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D:\HỒ SƠ CÔNG VIỆC\DỮ LIỆU NĂM 2026\HỒ SƠ CÔNG VIỆC CỦA CHI NHÁNH KHU VỰC 2\HẠNG MỤC LÒNG HỒ\phai niêm yết công khai phưng án\niêm yết lần 3\"/>
    </mc:Choice>
  </mc:AlternateContent>
  <xr:revisionPtr revIDLastSave="0" documentId="8_{B48E0FAA-A9E4-45C0-B20C-3C2882985060}" xr6:coauthVersionLast="36" xr6:coauthVersionMax="36" xr10:uidLastSave="{00000000-0000-0000-0000-000000000000}"/>
  <bookViews>
    <workbookView xWindow="-110" yWindow="-110" windowWidth="19440" windowHeight="12570" xr2:uid="{00000000-000D-0000-FFFF-FFFF00000000}"/>
  </bookViews>
  <sheets>
    <sheet name="Phương án chi tiết" sheetId="1" r:id="rId1"/>
    <sheet name="Phương án tổng hợp" sheetId="2" r:id="rId2"/>
  </sheets>
  <definedNames>
    <definedName name="_1">#REF!</definedName>
    <definedName name="_1000A01">#REF!</definedName>
    <definedName name="_2">#REF!</definedName>
    <definedName name="_Builtin0">#REF!</definedName>
    <definedName name="_Fill">#REF!</definedName>
    <definedName name="_xlnm._FilterDatabase" localSheetId="0" hidden="1">'Phương án chi tiết'!$A$5:$AK$1588</definedName>
    <definedName name="_xlnm._FilterDatabase" localSheetId="1" hidden="1">'Phương án tổng hợp'!$A$3:$T$25</definedName>
    <definedName name="_Key1">#REF!</definedName>
    <definedName name="_Key2">#REF!</definedName>
    <definedName name="_Sort">#REF!</definedName>
    <definedName name="a_min">#REF!</definedName>
    <definedName name="A01_">#REF!</definedName>
    <definedName name="A01AC">#REF!</definedName>
    <definedName name="A01CAT">#REF!</definedName>
    <definedName name="A01CODE">#REF!</definedName>
    <definedName name="A01DATA">#REF!</definedName>
    <definedName name="A01MI">#REF!</definedName>
    <definedName name="A01TO">#REF!</definedName>
    <definedName name="A120_">#REF!</definedName>
    <definedName name="a277Print_Titles">#REF!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ct_tec">#REF!</definedName>
    <definedName name="adb">#REF!</definedName>
    <definedName name="ADEQ">#REF!</definedName>
    <definedName name="adg">#REF!</definedName>
    <definedName name="AEZ">#REF!</definedName>
    <definedName name="ag142X42">#REF!</definedName>
    <definedName name="ag15F80">#REF!</definedName>
    <definedName name="ag267N59">#REF!</definedName>
    <definedName name="aK_cap">#REF!</definedName>
    <definedName name="aK_con">#REF!</definedName>
    <definedName name="aK_dep">#REF!</definedName>
    <definedName name="aK_dis">#REF!</definedName>
    <definedName name="aK_imm">#REF!</definedName>
    <definedName name="aK_rof">#REF!</definedName>
    <definedName name="aK_ron">#REF!</definedName>
    <definedName name="aK_run">#REF!</definedName>
    <definedName name="aK_sed">#REF!</definedName>
    <definedName name="All_Item">#REF!</definedName>
    <definedName name="ALPIN">#REF!</definedName>
    <definedName name="ALPJYOU">#REF!</definedName>
    <definedName name="ALPTOI">#REF!</definedName>
    <definedName name="aN_cap">#REF!</definedName>
    <definedName name="aN_con">#REF!</definedName>
    <definedName name="aN_dep">#REF!</definedName>
    <definedName name="aN_fix">#REF!</definedName>
    <definedName name="aN_imm">#REF!</definedName>
    <definedName name="aN_rof">#REF!</definedName>
    <definedName name="aN_ron">#REF!</definedName>
    <definedName name="aN_run">#REF!</definedName>
    <definedName name="aN_sed">#REF!</definedName>
    <definedName name="aP_cap">#REF!</definedName>
    <definedName name="aP_con">#REF!</definedName>
    <definedName name="aP_dep">#REF!</definedName>
    <definedName name="aP_dis">#REF!</definedName>
    <definedName name="aP_imm">#REF!</definedName>
    <definedName name="aP_rof">#REF!</definedName>
    <definedName name="aP_ron">#REF!</definedName>
    <definedName name="aP_run">#REF!</definedName>
    <definedName name="aP_sed">#REF!</definedName>
    <definedName name="at1.5">#REF!</definedName>
    <definedName name="atg">#REF!</definedName>
    <definedName name="atgoi">#REF!</definedName>
    <definedName name="b_min">#REF!</definedName>
    <definedName name="BacKan">#REF!</definedName>
    <definedName name="ban">#REF!</definedName>
    <definedName name="Bang_cly">#REF!</definedName>
    <definedName name="Bang_CVC">#REF!</definedName>
    <definedName name="bang_gia">#REF!</definedName>
    <definedName name="Bang_travl">#REF!</definedName>
    <definedName name="bangciti">#REF!</definedName>
    <definedName name="bangtinh">#REF!</definedName>
    <definedName name="baotai">#REF!</definedName>
    <definedName name="BarData">#REF!</definedName>
    <definedName name="BB">#REF!</definedName>
    <definedName name="Bbb">#REF!</definedName>
    <definedName name="Bbtt">#REF!</definedName>
    <definedName name="Bc">#REF!</definedName>
    <definedName name="Bcb">#REF!</definedName>
    <definedName name="Bctt">#REF!</definedName>
    <definedName name="BDHo">#REF!</definedName>
    <definedName name="BE100M">#REF!</definedName>
    <definedName name="BE50M">#REF!</definedName>
    <definedName name="beepsound">#REF!</definedName>
    <definedName name="betong100">#REF!</definedName>
    <definedName name="betong200">#REF!</definedName>
    <definedName name="Bgc">#REF!</definedName>
    <definedName name="BGS">#REF!</definedName>
    <definedName name="bia">#REF!</definedName>
    <definedName name="bienbao">#REF!</definedName>
    <definedName name="bienbcnhat">#REF!</definedName>
    <definedName name="bienbvuong">#REF!</definedName>
    <definedName name="Binhduong">#REF!</definedName>
    <definedName name="Binhphuoc">#REF!</definedName>
    <definedName name="Bio_tec">#REF!</definedName>
    <definedName name="Blc">#REF!</definedName>
    <definedName name="blook">#REF!</definedName>
    <definedName name="Bmn">#REF!</definedName>
    <definedName name="bN_fix">#REF!</definedName>
    <definedName name="Bnc">#REF!</definedName>
    <definedName name="bombetong">#REF!</definedName>
    <definedName name="bomnuoc">#REF!</definedName>
    <definedName name="Book2">#REF!</definedName>
    <definedName name="BOQ">#REF!</definedName>
    <definedName name="botda">#REF!</definedName>
    <definedName name="Bs">#REF!</definedName>
    <definedName name="Bsb">#REF!</definedName>
    <definedName name="BSM">#REF!</definedName>
    <definedName name="Bstt">#REF!</definedName>
    <definedName name="BT">#REF!</definedName>
    <definedName name="BT_A1">#REF!</definedName>
    <definedName name="BT_A2">#REF!</definedName>
    <definedName name="BT_A2.1">#REF!</definedName>
    <definedName name="BT_A2.2">#REF!</definedName>
    <definedName name="BT_B1">#REF!</definedName>
    <definedName name="BT_B2">#REF!</definedName>
    <definedName name="BT_C1">#REF!</definedName>
    <definedName name="BT_loai_A2.1">#REF!</definedName>
    <definedName name="BT_P1">#REF!</definedName>
    <definedName name="BT_P10">#REF!</definedName>
    <definedName name="BT_P11">#REF!</definedName>
    <definedName name="BT_P2">#REF!</definedName>
    <definedName name="BT_P3">#REF!</definedName>
    <definedName name="BT_P4">#REF!</definedName>
    <definedName name="BT_P5">#REF!</definedName>
    <definedName name="BT_P6">#REF!</definedName>
    <definedName name="BT_P7">#REF!</definedName>
    <definedName name="BT_P8">#REF!</definedName>
    <definedName name="BT_P9">#REF!</definedName>
    <definedName name="btcocM400">#REF!</definedName>
    <definedName name="BTcot">#REF!</definedName>
    <definedName name="Btcot1">#REF!</definedName>
    <definedName name="btchiuaxitm300">#REF!</definedName>
    <definedName name="BTchiuaxm200">#REF!</definedName>
    <definedName name="BTlotm100">#REF!</definedName>
    <definedName name="btthuongpham150">#REF!</definedName>
    <definedName name="btthuongpham300">#REF!</definedName>
    <definedName name="Bu_long">#REF!</definedName>
    <definedName name="Bulongthepcoctiepdia">#REF!</definedName>
    <definedName name="Bust">#REF!</definedName>
    <definedName name="bv">#REF!</definedName>
    <definedName name="BVCISUMMARY">#REF!</definedName>
    <definedName name="bvt">#REF!</definedName>
    <definedName name="bvtb">#REF!</definedName>
    <definedName name="bvttt">#REF!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_">#REF!</definedName>
    <definedName name="cácte">#REF!</definedName>
    <definedName name="Cachdienchuoi">#REF!</definedName>
    <definedName name="Cachdiendung">#REF!</definedName>
    <definedName name="Cachdienhaap">#REF!</definedName>
    <definedName name="CALC">#REF!</definedName>
    <definedName name="cap">#REF!</definedName>
    <definedName name="Cap_DUL_doc_B">#REF!</definedName>
    <definedName name="CAP_DUL_ngang_B">#REF!</definedName>
    <definedName name="cap0.7">#REF!</definedName>
    <definedName name="capphoi">#REF!</definedName>
    <definedName name="Cat">#REF!</definedName>
    <definedName name="Category_All">#REF!</definedName>
    <definedName name="CATIN">#REF!</definedName>
    <definedName name="CATJYOU">#REF!</definedName>
    <definedName name="catm">#REF!</definedName>
    <definedName name="catn">#REF!</definedName>
    <definedName name="CATSYU">#REF!</definedName>
    <definedName name="catuon">#REF!</definedName>
    <definedName name="catvang">#REF!</definedName>
    <definedName name="CATREC">#REF!</definedName>
    <definedName name="cau10t">#REF!</definedName>
    <definedName name="cau25t">#REF!</definedName>
    <definedName name="cau5t">#REF!</definedName>
    <definedName name="cay">#REF!</definedName>
    <definedName name="CB">#REF!</definedName>
    <definedName name="CBE50M">#REF!</definedName>
    <definedName name="CC">#REF!</definedName>
    <definedName name="CCS">#REF!</definedName>
    <definedName name="cchong">#REF!</definedName>
    <definedName name="cd">#REF!</definedName>
    <definedName name="CDBT">#REF!</definedName>
    <definedName name="CDCK">#REF!</definedName>
    <definedName name="CDCN">#REF!</definedName>
    <definedName name="CDCU">#REF!</definedName>
    <definedName name="CDD">#REF!</definedName>
    <definedName name="Cdnum">#REF!</definedName>
    <definedName name="CDT">#REF!</definedName>
    <definedName name="cfc">#REF!</definedName>
    <definedName name="cfk">#REF!</definedName>
    <definedName name="citidd">#REF!</definedName>
    <definedName name="CK">#REF!</definedName>
    <definedName name="Class_1">#REF!</definedName>
    <definedName name="Class_2">#REF!</definedName>
    <definedName name="Class_3">#REF!</definedName>
    <definedName name="Class_4">#REF!</definedName>
    <definedName name="Class_5">#REF!</definedName>
    <definedName name="ClayNden">#REF!</definedName>
    <definedName name="CLECT">#REF!</definedName>
    <definedName name="CLIEOS">#REF!</definedName>
    <definedName name="CLVCTB">#REF!</definedName>
    <definedName name="CLVL">#REF!</definedName>
    <definedName name="cN_fix">#REF!</definedName>
    <definedName name="CNC">#REF!</definedName>
    <definedName name="CND">#REF!</definedName>
    <definedName name="cNden">#REF!</definedName>
    <definedName name="cne">#REF!</definedName>
    <definedName name="CNG">#REF!</definedName>
    <definedName name="COC_1.2">#REF!</definedName>
    <definedName name="Coc_2m">#REF!</definedName>
    <definedName name="Cocbetong">#REF!</definedName>
    <definedName name="cocnhoi">#REF!</definedName>
    <definedName name="Cöï_ly_vaän_chuyeãn">#REF!</definedName>
    <definedName name="CÖÏ_LY_VAÄN_CHUYEÅN">#REF!</definedName>
    <definedName name="COMMON">#REF!</definedName>
    <definedName name="CON_EQP_COS">#REF!</definedName>
    <definedName name="CON_EQP_COST">#REF!</definedName>
    <definedName name="Concrete">#REF!</definedName>
    <definedName name="CONST_EQ">#REF!</definedName>
    <definedName name="Continue">#REF!</definedName>
    <definedName name="Cong_HM_DTCT">#REF!</definedName>
    <definedName name="Cong_M_DTCT">#REF!</definedName>
    <definedName name="Cong_NC_DTCT">#REF!</definedName>
    <definedName name="Cong_VL_DTCT">#REF!</definedName>
    <definedName name="cong1x15">#REF!</definedName>
    <definedName name="coppha">#REF!</definedName>
    <definedName name="Cos_tec">#REF!</definedName>
    <definedName name="Cot_thep">#REF!</definedName>
    <definedName name="Cot12b">#REF!</definedName>
    <definedName name="cot7.5">#REF!</definedName>
    <definedName name="cot8.5">#REF!</definedName>
    <definedName name="CotBTtronVuong">#REF!</definedName>
    <definedName name="cotdo">#REF!</definedName>
    <definedName name="cotpha">#REF!</definedName>
    <definedName name="COVER">#REF!</definedName>
    <definedName name="cp.1">#REF!</definedName>
    <definedName name="cp.2">#REF!</definedName>
    <definedName name="CPK">#REF!</definedName>
    <definedName name="cpsuoi">#REF!</definedName>
    <definedName name="CPTB">#REF!</definedName>
    <definedName name="CPVC100">#REF!</definedName>
    <definedName name="CPVCDN">#REF!</definedName>
    <definedName name="CPHA">#REF!</definedName>
    <definedName name="cphoi">#REF!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CRITINST">#REF!</definedName>
    <definedName name="CRITPURC">#REF!</definedName>
    <definedName name="CropEstablishmentWage">#REF!</definedName>
    <definedName name="CropManagementWage">#REF!</definedName>
    <definedName name="CR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SMBA">#REF!</definedName>
    <definedName name="CT">#REF!</definedName>
    <definedName name="CT_03">#REF!</definedName>
    <definedName name="CT_KSTK">#REF!</definedName>
    <definedName name="CT0.4">#REF!</definedName>
    <definedName name="CTBT">#REF!</definedName>
    <definedName name="CTBT1">#REF!</definedName>
    <definedName name="CTBT2">#REF!</definedName>
    <definedName name="CTCT">#REF!</definedName>
    <definedName name="ctdn9697">#REF!</definedName>
    <definedName name="CTDZ">#REF!</definedName>
    <definedName name="CTDz35">#REF!</definedName>
    <definedName name="cti3x15">#REF!</definedName>
    <definedName name="ctiep">#REF!</definedName>
    <definedName name="ctinh">#REF!</definedName>
    <definedName name="CTNC">#REF!</definedName>
    <definedName name="cto">#REF!</definedName>
    <definedName name="CTTra">#REF!</definedName>
    <definedName name="CTTraD">#REF!</definedName>
    <definedName name="CTTramDD">#REF!</definedName>
    <definedName name="CTVL">#REF!</definedName>
    <definedName name="CTHT">#REF!</definedName>
    <definedName name="ctre">#REF!</definedName>
    <definedName name="cui">#REF!</definedName>
    <definedName name="culy">#REF!</definedName>
    <definedName name="cun">#REF!</definedName>
    <definedName name="CURRENCY">#REF!</definedName>
    <definedName name="Currency_tec">#REF!</definedName>
    <definedName name="cv">#REF!</definedName>
    <definedName name="cx">#REF!</definedName>
    <definedName name="chanrac">#REF!</definedName>
    <definedName name="chiemhoa">#REF!</definedName>
    <definedName name="CHIÕt_TÝnh_0_4_II">#REF!</definedName>
    <definedName name="chon">#REF!</definedName>
    <definedName name="chon1">#REF!</definedName>
    <definedName name="chon2">#REF!</definedName>
    <definedName name="chon3">#REF!</definedName>
    <definedName name="Chupdaucapcongotnong">#REF!</definedName>
    <definedName name="d">#REF!</definedName>
    <definedName name="D_7101A_B">#REF!</definedName>
    <definedName name="D_L">#REF!</definedName>
    <definedName name="D1x49">#REF!</definedName>
    <definedName name="D1x49x49">#REF!</definedName>
    <definedName name="D1Z">#REF!</definedName>
    <definedName name="D4Z">#REF!</definedName>
    <definedName name="DA">#REF!</definedName>
    <definedName name="da05.1">#REF!</definedName>
    <definedName name="da1.2">#REF!</definedName>
    <definedName name="da2.4">#REF!</definedName>
    <definedName name="da2x4">#REF!</definedName>
    <definedName name="da4.6">#REF!</definedName>
    <definedName name="da4x7">#REF!</definedName>
    <definedName name="dacat">#REF!</definedName>
    <definedName name="dah">#REF!</definedName>
    <definedName name="dahb">#REF!</definedName>
    <definedName name="dahg">#REF!</definedName>
    <definedName name="dahnlt">#REF!</definedName>
    <definedName name="dahoc">#REF!</definedName>
    <definedName name="dao">#REF!</definedName>
    <definedName name="DAO_DAT">#REF!</definedName>
    <definedName name="daotd">#REF!</definedName>
    <definedName name="dap">#REF!</definedName>
    <definedName name="daptd">#REF!</definedName>
    <definedName name="DAT">#REF!</definedName>
    <definedName name="data">#REF!</definedName>
    <definedName name="Data11">#REF!</definedName>
    <definedName name="Data41">#REF!</definedName>
    <definedName name="dathai">#REF!</definedName>
    <definedName name="Daucapcongotnong">#REF!</definedName>
    <definedName name="Daucaplapdattrongvangoainha">#REF!</definedName>
    <definedName name="DaucotdongcuaUc">#REF!</definedName>
    <definedName name="Daucotdongnhom">#REF!</definedName>
    <definedName name="dauhoa">#REF!</definedName>
    <definedName name="daunoi">#REF!</definedName>
    <definedName name="Daunoinhomdong">#REF!</definedName>
    <definedName name="day">#REF!</definedName>
    <definedName name="dayAE35">#REF!</definedName>
    <definedName name="dayAE50">#REF!</definedName>
    <definedName name="dayAE70">#REF!</definedName>
    <definedName name="dayAE95">#REF!</definedName>
    <definedName name="daybuoc">#REF!</definedName>
    <definedName name="dayccham">#REF!</definedName>
    <definedName name="DayCEV">#REF!</definedName>
    <definedName name="daydien">#REF!</definedName>
    <definedName name="dayno">#REF!</definedName>
    <definedName name="dban">#REF!</definedName>
    <definedName name="DBASE">#REF!</definedName>
    <definedName name="dbln">#REF!</definedName>
    <definedName name="DBT">#REF!</definedName>
    <definedName name="DÇm_33">#REF!</definedName>
    <definedName name="dcoc">#REF!</definedName>
    <definedName name="dcp">#REF!</definedName>
    <definedName name="dctc35">#REF!</definedName>
    <definedName name="dd1x2">#REF!</definedName>
    <definedName name="DDM">#REF!</definedName>
    <definedName name="ddui">#REF!</definedName>
    <definedName name="den_bu">#REF!</definedName>
    <definedName name="denbu">#REF!</definedName>
    <definedName name="det">#REF!</definedName>
    <definedName name="Det32x3">#REF!</definedName>
    <definedName name="Det35x3">#REF!</definedName>
    <definedName name="Det40x4">#REF!</definedName>
    <definedName name="Det50x5">#REF!</definedName>
    <definedName name="Det63x6">#REF!</definedName>
    <definedName name="Det75x6">#REF!</definedName>
    <definedName name="df">#REF!</definedName>
    <definedName name="DG1M3BETONG">#REF!</definedName>
    <definedName name="dgbdII">#REF!</definedName>
    <definedName name="DGCTI592">#REF!</definedName>
    <definedName name="dgnc">#REF!</definedName>
    <definedName name="dgqndn">#REF!</definedName>
    <definedName name="dgvl">#REF!</definedName>
    <definedName name="dhoc">#REF!</definedName>
    <definedName name="dhom">#REF!</definedName>
    <definedName name="dinh">#REF!</definedName>
    <definedName name="dinh2">#REF!</definedName>
    <definedName name="dinhdia">#REF!</definedName>
    <definedName name="Dinhmuc">#REF!</definedName>
    <definedName name="DL">#REF!</definedName>
    <definedName name="DLC">#REF!</definedName>
    <definedName name="dm56bxd">#REF!</definedName>
    <definedName name="DMGT">#REF!</definedName>
    <definedName name="DMlapdatxa">#REF!</definedName>
    <definedName name="DMTK">#REF!</definedName>
    <definedName name="DMTL">#REF!</definedName>
    <definedName name="DN">#REF!</definedName>
    <definedName name="DÑt45x4">#REF!</definedName>
    <definedName name="dobt">#REF!</definedName>
    <definedName name="DOC">#REF!</definedName>
    <definedName name="Documents_array">#REF!</definedName>
    <definedName name="Dongia">#REF!</definedName>
    <definedName name="dongiavanchuyen">#REF!</definedName>
    <definedName name="DoorWindow">#REF!</definedName>
    <definedName name="ds">#REF!</definedName>
    <definedName name="ds1pnc">#REF!</definedName>
    <definedName name="ds1pvl">#REF!</definedName>
    <definedName name="ds3pnc">#REF!</definedName>
    <definedName name="ds3pvl">#REF!</definedName>
    <definedName name="dsct3pnc">#REF!</definedName>
    <definedName name="dsct3pvl">#REF!</definedName>
    <definedName name="DSUMDATA">#REF!</definedName>
    <definedName name="DTT">#REF!</definedName>
    <definedName name="dttdb">#REF!</definedName>
    <definedName name="dttdg">#REF!</definedName>
    <definedName name="DUT">#REF!</definedName>
    <definedName name="dutoan">#REF!</definedName>
    <definedName name="DutoanDongmo">#REF!</definedName>
    <definedName name="DZ_04">#REF!</definedName>
    <definedName name="Dz_35">#REF!</definedName>
    <definedName name="Earthwork">#REF!</definedName>
    <definedName name="Eb">#REF!</definedName>
    <definedName name="Ebdam">#REF!</definedName>
    <definedName name="EBT">#REF!</definedName>
    <definedName name="Ecdc">#REF!</definedName>
    <definedName name="Ecot1">#REF!</definedName>
    <definedName name="EDR">#REF!</definedName>
    <definedName name="Eff_min">#REF!</definedName>
    <definedName name="emb">#REF!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QI">#REF!</definedName>
    <definedName name="ETCDC">#REF!</definedName>
    <definedName name="EVNB">#REF!</definedName>
    <definedName name="ex">#REF!</definedName>
    <definedName name="f">#REF!</definedName>
    <definedName name="F_Class1">#REF!</definedName>
    <definedName name="F_Class2">#REF!</definedName>
    <definedName name="F_Class3">#REF!</definedName>
    <definedName name="F_Class4">#REF!</definedName>
    <definedName name="F_Class5">#REF!</definedName>
    <definedName name="F1bo">#REF!</definedName>
    <definedName name="f92F56">#REF!</definedName>
    <definedName name="FACTOR">#REF!</definedName>
    <definedName name="Fc">#REF!</definedName>
    <definedName name="FDR">#REF!</definedName>
    <definedName name="Fi">#REF!</definedName>
    <definedName name="FinishWork">#REF!</definedName>
    <definedName name="Fng">#REF!</definedName>
    <definedName name="fr_ani">#REF!</definedName>
    <definedName name="frK_bls">#REF!</definedName>
    <definedName name="frN_bls">#REF!</definedName>
    <definedName name="frP_bls">#REF!</definedName>
    <definedName name="fs">#REF!</definedName>
    <definedName name="ftd">#REF!</definedName>
    <definedName name="fth">#REF!</definedName>
    <definedName name="fuji">#REF!</definedName>
    <definedName name="G_C">#REF!</definedName>
    <definedName name="G_ME">#REF!</definedName>
    <definedName name="gach">#REF!</definedName>
    <definedName name="gachblock">#REF!</definedName>
    <definedName name="gachlhe">#REF!</definedName>
    <definedName name="GAHT">#REF!</definedName>
    <definedName name="GaicapbocCuXLPEPVCPVCloaiCEVV18den35kV">#REF!</definedName>
    <definedName name="gama">#REF!</definedName>
    <definedName name="Gamadam">#REF!</definedName>
    <definedName name="GC_DN">#REF!</definedName>
    <definedName name="GC_HT">#REF!</definedName>
    <definedName name="GC_TD">#REF!</definedName>
    <definedName name="GCP">#REF!</definedName>
    <definedName name="GCS">#REF!</definedName>
    <definedName name="GDTD">#REF!</definedName>
    <definedName name="geo">#REF!</definedName>
    <definedName name="ghip">#REF!</definedName>
    <definedName name="gl3p">#REF!</definedName>
    <definedName name="Glazing">#REF!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ics">#REF!</definedName>
    <definedName name="govan">#REF!</definedName>
    <definedName name="GP">#REF!</definedName>
    <definedName name="GRID">#REF!</definedName>
    <definedName name="gt">#REF!</definedName>
    <definedName name="Gtb">#REF!</definedName>
    <definedName name="gtbtt">#REF!</definedName>
    <definedName name="GTXL">#REF!</definedName>
    <definedName name="gv">#REF!</definedName>
    <definedName name="gvan">#REF!</definedName>
    <definedName name="Gxl">#REF!</definedName>
    <definedName name="gxltt">#REF!</definedName>
    <definedName name="gia">#REF!</definedName>
    <definedName name="gia_tien">#REF!</definedName>
    <definedName name="gia_tien_BTN">#REF!</definedName>
    <definedName name="GiacapAvanxoanLVABCXLPE">#REF!</definedName>
    <definedName name="GiacapbocCuXLPEPVCDSTAPVCloaiCEVVST">#REF!</definedName>
    <definedName name="GiacapbocCuXLPEPVCDSTPVCloaiCEVVST12den24kV">#REF!</definedName>
    <definedName name="GiacapbocCuXLPEPVCDSTPVCloaiCEVVST18den35kV">#REF!</definedName>
    <definedName name="GiacapbocCuXLPEPVCloaiCEV">#REF!</definedName>
    <definedName name="GiacapbocCuXLPEPVCloaiCEV12den24kV">#REF!</definedName>
    <definedName name="GiacapbocCuXLPEPVCloaiCEV18den35kV">#REF!</definedName>
    <definedName name="GiacapbocCuXLPEPVCPVCloaiCEVV12den24kV">#REF!</definedName>
    <definedName name="GiacapbocCuXLPEPVCSWPVCloaiCEVVSW12den24kV">#REF!</definedName>
    <definedName name="GiacapbocCuXLPEPVCSWPVCloaiCEVVSW18den35kV">#REF!</definedName>
    <definedName name="giacong">#REF!</definedName>
    <definedName name="GiadayACbocPVC">#REF!</definedName>
    <definedName name="GiadayAS">#REF!</definedName>
    <definedName name="GiadayAtran">#REF!</definedName>
    <definedName name="GiadayAV">#REF!</definedName>
    <definedName name="GiadayAXLPE1kVlkyhieuAE">#REF!</definedName>
    <definedName name="GiadaycapCEV">#REF!</definedName>
    <definedName name="GiadaycapCuPVC600V">#REF!</definedName>
    <definedName name="GiadayCVV">#REF!</definedName>
    <definedName name="GiadayMtran">#REF!</definedName>
    <definedName name="Giasatthep">#REF!</definedName>
    <definedName name="Giavatlieukhac">#REF!</definedName>
    <definedName name="giaydau">#REF!</definedName>
    <definedName name="Giocong">#REF!</definedName>
    <definedName name="H_Class1">#REF!</definedName>
    <definedName name="H_Class2">#REF!</definedName>
    <definedName name="H_Class3">#REF!</definedName>
    <definedName name="H_Class4">#REF!</definedName>
    <definedName name="H_Class5">#REF!</definedName>
    <definedName name="H0.4">#REF!</definedName>
    <definedName name="Ha">#REF!</definedName>
    <definedName name="Hamyen">#REF!</definedName>
    <definedName name="hangmuc">#REF!</definedName>
    <definedName name="HarvestingWage">#REF!</definedName>
    <definedName name="hau">#REF!</definedName>
    <definedName name="Hb">#REF!</definedName>
    <definedName name="Hbb">#REF!</definedName>
    <definedName name="HBC">#REF!</definedName>
    <definedName name="HBL">#REF!</definedName>
    <definedName name="Hbtt">#REF!</definedName>
    <definedName name="Hc">#REF!</definedName>
    <definedName name="Hcb">#REF!</definedName>
    <definedName name="HCM">#REF!</definedName>
    <definedName name="HCPH">#REF!</definedName>
    <definedName name="HCS">#REF!</definedName>
    <definedName name="Hctt">#REF!</definedName>
    <definedName name="HCU">#REF!</definedName>
    <definedName name="Hd">#REF!</definedName>
    <definedName name="Hdb">#REF!</definedName>
    <definedName name="HDC">#REF!</definedName>
    <definedName name="Hdtt">#REF!</definedName>
    <definedName name="HDU">#REF!</definedName>
    <definedName name="heä_soá_sình_laày">#REF!</definedName>
    <definedName name="Hello">#REF!</definedName>
    <definedName name="HHcat">#REF!</definedName>
    <definedName name="HHda">#REF!</definedName>
    <definedName name="HHIC">#REF!</definedName>
    <definedName name="HHT">#REF!</definedName>
    <definedName name="hien">#REF!</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N">#REF!</definedName>
    <definedName name="hÖ_sè_vËt_liÖu_ho__b_nh">#REF!</definedName>
    <definedName name="Hoabinh">#REF!</definedName>
    <definedName name="HoKY1">#REF!</definedName>
    <definedName name="HoKy2">#REF!</definedName>
    <definedName name="holan">#REF!</definedName>
    <definedName name="HOME_MANP">#REF!</definedName>
    <definedName name="HOMEOFFICE_COST">#REF!</definedName>
    <definedName name="Hong_Quang">#REF!</definedName>
    <definedName name="Hopnoicap">#REF!</definedName>
    <definedName name="HR">#REF!</definedName>
    <definedName name="HRC">#REF!</definedName>
    <definedName name="Hsb">#REF!</definedName>
    <definedName name="hsd">#REF!</definedName>
    <definedName name="hsdc">#REF!</definedName>
    <definedName name="hsdc1">#REF!</definedName>
    <definedName name="HSHH">#REF!</definedName>
    <definedName name="HSHHUT">#REF!</definedName>
    <definedName name="hsk">#REF!</definedName>
    <definedName name="hslx">#REF!</definedName>
    <definedName name="hsm">#REF!</definedName>
    <definedName name="HSMTC">#REF!</definedName>
    <definedName name="HSNC">#REF!</definedName>
    <definedName name="HSSL">#REF!</definedName>
    <definedName name="hßm4">#REF!</definedName>
    <definedName name="hstb">#REF!</definedName>
    <definedName name="hstdtk">#REF!</definedName>
    <definedName name="Hstt">#REF!</definedName>
    <definedName name="hsthep">#REF!</definedName>
    <definedName name="HSVC1">#REF!</definedName>
    <definedName name="HSVC2">#REF!</definedName>
    <definedName name="HSVC3">#REF!</definedName>
    <definedName name="hsvl">#REF!</definedName>
    <definedName name="HSXA">#REF!</definedName>
    <definedName name="HT">#REF!</definedName>
    <definedName name="htdd2003">#REF!</definedName>
    <definedName name="HTNC">#REF!</definedName>
    <definedName name="HTS">#REF!</definedName>
    <definedName name="HTU">#REF!</definedName>
    <definedName name="HTVL">#REF!</definedName>
    <definedName name="HV">#REF!</definedName>
    <definedName name="HVBC">#REF!</definedName>
    <definedName name="HVC">#REF!</definedName>
    <definedName name="HVL">#REF!</definedName>
    <definedName name="HVP">#REF!</definedName>
    <definedName name="hvt">#REF!</definedName>
    <definedName name="hvtb">#REF!</definedName>
    <definedName name="hvttt">#REF!</definedName>
    <definedName name="I">#REF!</definedName>
    <definedName name="I2É6">#REF!</definedName>
    <definedName name="IDLAB_COST">#REF!</definedName>
    <definedName name="IND_LAB">#REF!</definedName>
    <definedName name="INDMANP">#REF!</definedName>
    <definedName name="INF">#REF!</definedName>
    <definedName name="inputCosti">#REF!</definedName>
    <definedName name="inputLf">#REF!</definedName>
    <definedName name="inputWTP">#REF!</definedName>
    <definedName name="INT">#REF!</definedName>
    <definedName name="InteriorWork">#REF!</definedName>
    <definedName name="Ing">#REF!</definedName>
    <definedName name="IS_a">#REF!</definedName>
    <definedName name="IS_Clay">#REF!</definedName>
    <definedName name="IS_pH">#REF!</definedName>
    <definedName name="itd1.5">#REF!</definedName>
    <definedName name="itdd1.5">#REF!</definedName>
    <definedName name="itddgoi">#REF!</definedName>
    <definedName name="itdg">#REF!</definedName>
    <definedName name="itdgoi">#REF!</definedName>
    <definedName name="ith1.5">#REF!</definedName>
    <definedName name="ithg">#REF!</definedName>
    <definedName name="ithgoi">#REF!</definedName>
    <definedName name="IWTP">#REF!</definedName>
    <definedName name="J.O">#REF!</definedName>
    <definedName name="J.O_GT">#REF!</definedName>
    <definedName name="j356C8">#REF!</definedName>
    <definedName name="k">#REF!</definedName>
    <definedName name="K_Class1">#REF!</definedName>
    <definedName name="K_Class2">#REF!</definedName>
    <definedName name="K_Class3">#REF!</definedName>
    <definedName name="K_Class4">#REF!</definedName>
    <definedName name="K_Class5">#REF!</definedName>
    <definedName name="K_con">#REF!</definedName>
    <definedName name="K_L">#REF!</definedName>
    <definedName name="K_lchae">#REF!</definedName>
    <definedName name="K_run">#REF!</definedName>
    <definedName name="K_sed">#REF!</definedName>
    <definedName name="k14s">#REF!</definedName>
    <definedName name="kcdd">#REF!</definedName>
    <definedName name="kcg">#REF!</definedName>
    <definedName name="kcong">#REF!</definedName>
    <definedName name="KDC">#REF!</definedName>
    <definedName name="Kepcapcacloai">#REF!</definedName>
    <definedName name="KFFMAX">#REF!</definedName>
    <definedName name="KFFMIN">#REF!</definedName>
    <definedName name="kich250t">#REF!</definedName>
    <definedName name="kich500t">#REF!</definedName>
    <definedName name="kipdien">#REF!</definedName>
    <definedName name="kkk">#REF!</definedName>
    <definedName name="KL_C">#REF!</definedName>
    <definedName name="kl_ME">#REF!</definedName>
    <definedName name="KLC">#REF!</definedName>
    <definedName name="kldd1p">#REF!</definedName>
    <definedName name="KLFMAX">#REF!</definedName>
    <definedName name="KLFMIN">#REF!</definedName>
    <definedName name="KLGT2">#REF!</definedName>
    <definedName name="KLGT3">#REF!</definedName>
    <definedName name="KLHC15">#REF!</definedName>
    <definedName name="KLHC25">#REF!</definedName>
    <definedName name="KLLC15">#REF!</definedName>
    <definedName name="KLLC25">#REF!</definedName>
    <definedName name="KLMC15">#REF!</definedName>
    <definedName name="KLMC25">#REF!</definedName>
    <definedName name="Kng">#REF!</definedName>
    <definedName name="kp1ph">#REF!</definedName>
    <definedName name="KSTK">#REF!</definedName>
    <definedName name="Kte">#REF!</definedName>
    <definedName name="KVC">#REF!</definedName>
    <definedName name="Kxc">#REF!</definedName>
    <definedName name="Kxp">#REF!</definedName>
    <definedName name="khanang">#REF!</definedName>
    <definedName name="Khanhdonnoitrunggiannoidieuchinh">#REF!</definedName>
    <definedName name="khoanda">#REF!</definedName>
    <definedName name="khong">#REF!</definedName>
    <definedName name="l">#REF!</definedName>
    <definedName name="Lab_tec">#REF!</definedName>
    <definedName name="Labour_cost">#REF!</definedName>
    <definedName name="Lac_tec">#REF!</definedName>
    <definedName name="lan">#REF!</definedName>
    <definedName name="lancan">#REF!</definedName>
    <definedName name="LandPreperationWage">#REF!</definedName>
    <definedName name="laodam">#REF!</definedName>
    <definedName name="lapa">#REF!</definedName>
    <definedName name="lapb">#REF!</definedName>
    <definedName name="lapc">#REF!</definedName>
    <definedName name="Lcot">#REF!</definedName>
    <definedName name="Ld">#REF!</definedName>
    <definedName name="Lmk">#REF!</definedName>
    <definedName name="LMU">#REF!</definedName>
    <definedName name="LMUSelected">#REF!</definedName>
    <definedName name="LN">#REF!</definedName>
    <definedName name="lop17.5">#REF!</definedName>
    <definedName name="Loss_tec">#REF!</definedName>
    <definedName name="LRMC">#REF!</definedName>
    <definedName name="LT_TB">#REF!</definedName>
    <definedName name="Ltt">#REF!</definedName>
    <definedName name="lu15.5">#REF!</definedName>
    <definedName name="lurung">#REF!</definedName>
    <definedName name="luuthong">#REF!</definedName>
    <definedName name="lVC">#REF!</definedName>
    <definedName name="LX100N">#REF!</definedName>
    <definedName name="m">#REF!</definedName>
    <definedName name="M0.4">#REF!</definedName>
    <definedName name="M10aa1p">#REF!</definedName>
    <definedName name="M12ba3p">#REF!</definedName>
    <definedName name="M12bb1p">#REF!</definedName>
    <definedName name="M12bnnc">#REF!</definedName>
    <definedName name="M12bnvl">#REF!</definedName>
    <definedName name="M12cbnc">#REF!</definedName>
    <definedName name="M12cbvl">#REF!</definedName>
    <definedName name="M14bb1p">#REF!</definedName>
    <definedName name="M2H">#REF!</definedName>
    <definedName name="m8aanc">#REF!</definedName>
    <definedName name="m8aavl">#REF!</definedName>
    <definedName name="Ma3pnc">#REF!</definedName>
    <definedName name="Ma3pvl">#REF!</definedName>
    <definedName name="Maa3pnc">#REF!</definedName>
    <definedName name="Maa3pvl">#REF!</definedName>
    <definedName name="macbt">#REF!</definedName>
    <definedName name="MAJ_CON_EQP">#REF!</definedName>
    <definedName name="MakeIt">#REF!</definedName>
    <definedName name="Masonry">#REF!</definedName>
    <definedName name="maybua">#REF!</definedName>
    <definedName name="maycay">#REF!</definedName>
    <definedName name="mayphunson">#REF!</definedName>
    <definedName name="Mba1p">#REF!</definedName>
    <definedName name="Mba3p">#REF!</definedName>
    <definedName name="Mbb3p">#REF!</definedName>
    <definedName name="Mbn1p">#REF!</definedName>
    <definedName name="MBT">#REF!</definedName>
    <definedName name="mc">#REF!</definedName>
    <definedName name="mc1.5">#REF!</definedName>
    <definedName name="mc1.5s7">#REF!</definedName>
    <definedName name="mcgd">#REF!</definedName>
    <definedName name="mcgds7">#REF!</definedName>
    <definedName name="MDBT">#REF!</definedName>
    <definedName name="me">#REF!</definedName>
    <definedName name="Mè_A1">#REF!</definedName>
    <definedName name="Mè_A2">#REF!</definedName>
    <definedName name="MetalWork">#REF!</definedName>
    <definedName name="MG_A">#REF!</definedName>
    <definedName name="MIH">#REF!</definedName>
    <definedName name="MiscellaneousWork">#REF!</definedName>
    <definedName name="MN">#REF!</definedName>
    <definedName name="Morning">#REF!</definedName>
    <definedName name="mp1x25">#REF!</definedName>
    <definedName name="mrai">#REF!</definedName>
    <definedName name="msan">#REF!</definedName>
    <definedName name="MTCLD">#REF!</definedName>
    <definedName name="MTCMB">#REF!</definedName>
    <definedName name="MTCT">#REF!</definedName>
    <definedName name="MTMAC12">#REF!</definedName>
    <definedName name="MTN">#REF!</definedName>
    <definedName name="mtram">#REF!</definedName>
    <definedName name="MUA">#REF!</definedName>
    <definedName name="mui">#REF!</definedName>
    <definedName name="mxuc">#REF!</definedName>
    <definedName name="myle">#REF!</definedName>
    <definedName name="n">#REF!</definedName>
    <definedName name="N_Class1">#REF!</definedName>
    <definedName name="N_Class2">#REF!</definedName>
    <definedName name="N_Class3">#REF!</definedName>
    <definedName name="N_Class4">#REF!</definedName>
    <definedName name="N_Class5">#REF!</definedName>
    <definedName name="N_con">#REF!</definedName>
    <definedName name="N_lchae">#REF!</definedName>
    <definedName name="N_run">#REF!</definedName>
    <definedName name="N_sed">#REF!</definedName>
    <definedName name="N_volae">#REF!</definedName>
    <definedName name="n1pig">#REF!</definedName>
    <definedName name="n1pind">#REF!</definedName>
    <definedName name="n1pint">#REF!</definedName>
    <definedName name="n1ping">#REF!</definedName>
    <definedName name="nc">#REF!</definedName>
    <definedName name="nc.3">#REF!</definedName>
    <definedName name="nc.4">#REF!</definedName>
    <definedName name="nc_betong200">#REF!</definedName>
    <definedName name="nc_btm10">#REF!</definedName>
    <definedName name="nc_btm100">#REF!</definedName>
    <definedName name="nc_cotpha">#REF!</definedName>
    <definedName name="nc1p">#REF!</definedName>
    <definedName name="nc2.5">#REF!</definedName>
    <definedName name="nc2.7">#REF!</definedName>
    <definedName name="nc3.2">#REF!</definedName>
    <definedName name="nc3.5">#REF!</definedName>
    <definedName name="nc3.7">#REF!</definedName>
    <definedName name="nc3p">#REF!</definedName>
    <definedName name="nc4.5">#REF!</definedName>
    <definedName name="NCBD100">#REF!</definedName>
    <definedName name="NCBD200">#REF!</definedName>
    <definedName name="NCBD250">#REF!</definedName>
    <definedName name="NCcap0.7">#REF!</definedName>
    <definedName name="NCcap1">#REF!</definedName>
    <definedName name="nccs">#REF!</definedName>
    <definedName name="ncday35">#REF!</definedName>
    <definedName name="ncday50">#REF!</definedName>
    <definedName name="ncday70">#REF!</definedName>
    <definedName name="ncday95">#REF!</definedName>
    <definedName name="NCGF">#REF!</definedName>
    <definedName name="ncgff">#REF!</definedName>
    <definedName name="NCKday">#REF!</definedName>
    <definedName name="NCKT">#REF!</definedName>
    <definedName name="NCLD">#REF!</definedName>
    <definedName name="ncmt2">#REF!</definedName>
    <definedName name="NCPP">#REF!</definedName>
    <definedName name="NCT">#REF!</definedName>
    <definedName name="nctn">#REF!</definedName>
    <definedName name="nctram">#REF!</definedName>
    <definedName name="NCVC100">#REF!</definedName>
    <definedName name="NCVC200">#REF!</definedName>
    <definedName name="NCVC250">#REF!</definedName>
    <definedName name="NCVC3P">#REF!</definedName>
    <definedName name="ndc">#REF!</definedName>
    <definedName name="NDFN">#REF!</definedName>
    <definedName name="NDFP">#REF!</definedName>
    <definedName name="neo">#REF!</definedName>
    <definedName name="NET">#REF!</definedName>
    <definedName name="NET_1">#REF!</definedName>
    <definedName name="NET_ANA">#REF!</definedName>
    <definedName name="NET_ANA_1">#REF!</definedName>
    <definedName name="NET_ANA_2">#REF!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nc3p">#REF!</definedName>
    <definedName name="nint1p">#REF!</definedName>
    <definedName name="nintnc1p">#REF!</definedName>
    <definedName name="nintvl1p">#REF!</definedName>
    <definedName name="ninvl3p">#REF!</definedName>
    <definedName name="ning1p">#REF!</definedName>
    <definedName name="ningnc1p">#REF!</definedName>
    <definedName name="ningvl1p">#REF!</definedName>
    <definedName name="nkhi">#REF!</definedName>
    <definedName name="nl">#REF!</definedName>
    <definedName name="NL12nc">#REF!</definedName>
    <definedName name="NL12vl">#REF!</definedName>
    <definedName name="nl1p">#REF!</definedName>
    <definedName name="nl3p">#REF!</definedName>
    <definedName name="NLFElse">#REF!</definedName>
    <definedName name="NLHC15">#REF!</definedName>
    <definedName name="NLHC25">#REF!</definedName>
    <definedName name="NLLC15">#REF!</definedName>
    <definedName name="NLLC25">#REF!</definedName>
    <definedName name="NLMC15">#REF!</definedName>
    <definedName name="NLMC25">#REF!</definedName>
    <definedName name="nlnc3p">#REF!</definedName>
    <definedName name="nlnc3pha">#REF!</definedName>
    <definedName name="NLTK1p">#REF!</definedName>
    <definedName name="nlvl3p">#REF!</definedName>
    <definedName name="nn1p">#REF!</definedName>
    <definedName name="nn3p">#REF!</definedName>
    <definedName name="nnnc3p">#REF!</definedName>
    <definedName name="nnvl3p">#REF!</definedName>
    <definedName name="No">#REF!</definedName>
    <definedName name="nqd">#REF!</definedName>
    <definedName name="NrYC">#REF!</definedName>
    <definedName name="nsc">#REF!</definedName>
    <definedName name="nsk">#REF!</definedName>
    <definedName name="nuoc">#REF!</definedName>
    <definedName name="Nut_tec">#REF!</definedName>
    <definedName name="NVF">#REF!</definedName>
    <definedName name="nxc">#REF!</definedName>
    <definedName name="NH">#REF!</definedName>
    <definedName name="nhn">#REF!</definedName>
    <definedName name="NHot">#REF!</definedName>
    <definedName name="nhu">#REF!</definedName>
    <definedName name="nhua">#REF!</definedName>
    <definedName name="nhuad">#REF!</definedName>
    <definedName name="O">#REF!</definedName>
    <definedName name="O_M">#REF!</definedName>
    <definedName name="OD">#REF!</definedName>
    <definedName name="ODC">#REF!</definedName>
    <definedName name="ODS">#REF!</definedName>
    <definedName name="ODU">#REF!</definedName>
    <definedName name="OM">#REF!</definedName>
    <definedName name="OMC">#REF!</definedName>
    <definedName name="OME">#REF!</definedName>
    <definedName name="OMW">#REF!</definedName>
    <definedName name="Ongbaovecap">#REF!</definedName>
    <definedName name="Ongnoiday">#REF!</definedName>
    <definedName name="Ongnoidaybulongtachongrungtabu">#REF!</definedName>
    <definedName name="OngPVC">#REF!</definedName>
    <definedName name="ongren">#REF!</definedName>
    <definedName name="OOM">#REF!</definedName>
    <definedName name="options">#REF!</definedName>
    <definedName name="ophom">#REF!</definedName>
    <definedName name="ORD">#REF!</definedName>
    <definedName name="ORF">#REF!</definedName>
    <definedName name="otnmc">#REF!</definedName>
    <definedName name="oto10t">#REF!</definedName>
    <definedName name="oto12t">#REF!</definedName>
    <definedName name="oto5m3">#REF!</definedName>
    <definedName name="oto5t">#REF!</definedName>
    <definedName name="oto7t">#REF!</definedName>
    <definedName name="OtherWork">#REF!</definedName>
    <definedName name="OutRow">#REF!</definedName>
    <definedName name="P_Class1">#REF!</definedName>
    <definedName name="P_Class2">#REF!</definedName>
    <definedName name="P_Class3">#REF!</definedName>
    <definedName name="P_Class4">#REF!</definedName>
    <definedName name="P_Class5">#REF!</definedName>
    <definedName name="P_con">#REF!</definedName>
    <definedName name="P_run">#REF!</definedName>
    <definedName name="P_sed">#REF!</definedName>
    <definedName name="Painting">#REF!</definedName>
    <definedName name="Pe_Class1">#REF!</definedName>
    <definedName name="Pe_Class2">#REF!</definedName>
    <definedName name="Pe_Class3">#REF!</definedName>
    <definedName name="Pe_Class4">#REF!</definedName>
    <definedName name="Pe_Class5">#REF!</definedName>
    <definedName name="PFF">#REF!</definedName>
    <definedName name="PK">#REF!</definedName>
    <definedName name="Plaster">#REF!</definedName>
    <definedName name="Poppy">#REF!</definedName>
    <definedName name="PRC">#REF!</definedName>
    <definedName name="PrecNden">#REF!</definedName>
    <definedName name="PRICE">#REF!</definedName>
    <definedName name="PRICE1">#REF!</definedName>
    <definedName name="Prin1">#REF!</definedName>
    <definedName name="Prin10">#REF!</definedName>
    <definedName name="Prin11">#REF!</definedName>
    <definedName name="Prin12">#REF!</definedName>
    <definedName name="Prin15">#REF!</definedName>
    <definedName name="Prin16">#REF!</definedName>
    <definedName name="Prin18">#REF!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_xlnm.Print_Area" localSheetId="0">'Phương án chi tiết'!$A$5:$R$1588</definedName>
    <definedName name="PRINT_TITLES_MI">#REF!</definedName>
    <definedName name="PRINTA">#REF!</definedName>
    <definedName name="PRINTB">#REF!</definedName>
    <definedName name="PRINTC">#REF!</definedName>
    <definedName name="PROPOSAL">#REF!</definedName>
    <definedName name="PT_A1">#REF!</definedName>
    <definedName name="PT_A2">#REF!</definedName>
    <definedName name="PT_Duong">#REF!</definedName>
    <definedName name="PT_P1">#REF!</definedName>
    <definedName name="PT_P10">#REF!</definedName>
    <definedName name="PT_P11">#REF!</definedName>
    <definedName name="PT_P2">#REF!</definedName>
    <definedName name="PT_P3">#REF!</definedName>
    <definedName name="PT_P4">#REF!</definedName>
    <definedName name="PT_P5">#REF!</definedName>
    <definedName name="PT_P6">#REF!</definedName>
    <definedName name="PT_P7">#REF!</definedName>
    <definedName name="PT_P8">#REF!</definedName>
    <definedName name="PT_P9">#REF!</definedName>
    <definedName name="ptdg">#REF!</definedName>
    <definedName name="PTDG_cau">#REF!</definedName>
    <definedName name="PTVL10">#REF!</definedName>
    <definedName name="PTVL11">#REF!</definedName>
    <definedName name="PTVL12">#REF!</definedName>
    <definedName name="PTVLC51">#REF!</definedName>
    <definedName name="PTVLM51">#REF!</definedName>
    <definedName name="PTVLN51">#REF!</definedName>
    <definedName name="pvd">#REF!</definedName>
    <definedName name="PHC">#REF!</definedName>
    <definedName name="phennua">#REF!</definedName>
    <definedName name="Pheuhopgang">#REF!</definedName>
    <definedName name="phongnuoc">#REF!</definedName>
    <definedName name="phtuyen">#REF!</definedName>
    <definedName name="phu_luc_vua">#REF!</definedName>
    <definedName name="phugia">#REF!</definedName>
    <definedName name="Phukienduongday">#REF!</definedName>
    <definedName name="QC">#REF!</definedName>
    <definedName name="QDD">#REF!</definedName>
    <definedName name="qtcgdII">#REF!</definedName>
    <definedName name="qtdm">#REF!</definedName>
    <definedName name="qttgdII">#REF!</definedName>
    <definedName name="quehan">#REF!</definedName>
    <definedName name="Ra">#REF!</definedName>
    <definedName name="ra11p">#REF!</definedName>
    <definedName name="ra13p">#REF!</definedName>
    <definedName name="Racot">#REF!</definedName>
    <definedName name="Radam">#REF!</definedName>
    <definedName name="RCF">#REF!</definedName>
    <definedName name="RCKM">#REF!</definedName>
    <definedName name="Rcsd">#REF!</definedName>
    <definedName name="Rctc">#REF!</definedName>
    <definedName name="Rctt">#REF!</definedName>
    <definedName name="RDEC">#REF!</definedName>
    <definedName name="RDEFF">#REF!</definedName>
    <definedName name="RDFC">#REF!</definedName>
    <definedName name="RDFU">#REF!</definedName>
    <definedName name="RDLIF">#REF!</definedName>
    <definedName name="RDOM">#REF!</definedName>
    <definedName name="RDPC">#REF!</definedName>
    <definedName name="rdpcf">#REF!</definedName>
    <definedName name="RDRC">#REF!</definedName>
    <definedName name="RDRF">#REF!</definedName>
    <definedName name="RECOUT">#REF!</definedName>
    <definedName name="REG">#REF!</definedName>
    <definedName name="RFP003A">#REF!</definedName>
    <definedName name="RFP003B">#REF!</definedName>
    <definedName name="RFP003C">#REF!</definedName>
    <definedName name="RFP003D">#REF!</definedName>
    <definedName name="RFP003E">#REF!</definedName>
    <definedName name="RFP003F">#REF!</definedName>
    <definedName name="RGLIF">#REF!</definedName>
    <definedName name="RHEC">#REF!</definedName>
    <definedName name="RHEFF">#REF!</definedName>
    <definedName name="RHHC">#REF!</definedName>
    <definedName name="RHLIF">#REF!</definedName>
    <definedName name="RHOM">#REF!</definedName>
    <definedName name="RIR">#REF!</definedName>
    <definedName name="RLF">#REF!</definedName>
    <definedName name="RLKM">#REF!</definedName>
    <definedName name="RLL">#REF!</definedName>
    <definedName name="RLOM">#REF!</definedName>
    <definedName name="Rn">#REF!</definedName>
    <definedName name="Rncot">#REF!</definedName>
    <definedName name="Rndam">#REF!</definedName>
    <definedName name="RoofingWork">#REF!</definedName>
    <definedName name="RPHEC">#REF!</definedName>
    <definedName name="RPHLIF">#REF!</definedName>
    <definedName name="RPHOM">#REF!</definedName>
    <definedName name="RPHPC">#REF!</definedName>
    <definedName name="RSBC">#REF!</definedName>
    <definedName name="RSBLIF">#REF!</definedName>
    <definedName name="RSD">#REF!</definedName>
    <definedName name="RSIC">#REF!</definedName>
    <definedName name="RSIN">#REF!</definedName>
    <definedName name="RSLIF">#REF!</definedName>
    <definedName name="RSOM">#REF!</definedName>
    <definedName name="RSPI">#REF!</definedName>
    <definedName name="RSSC">#REF!</definedName>
    <definedName name="RTC">#REF!</definedName>
    <definedName name="RTT">#REF!</definedName>
    <definedName name="Ru">#REF!</definedName>
    <definedName name="RWTPlo">#REF!</definedName>
    <definedName name="RWTPhi">#REF!</definedName>
    <definedName name="s3tb">#REF!</definedName>
    <definedName name="s4tb">#REF!</definedName>
    <definedName name="s51.5">#REF!</definedName>
    <definedName name="s5tb">#REF!</definedName>
    <definedName name="s71.5">#REF!</definedName>
    <definedName name="s7tb">#REF!</definedName>
    <definedName name="SBBK">#REF!</definedName>
    <definedName name="sbc">#REF!</definedName>
    <definedName name="SCH">#REF!</definedName>
    <definedName name="SDMONG">#REF!</definedName>
    <definedName name="Sheet1">#REF!</definedName>
    <definedName name="sho">#REF!</definedName>
    <definedName name="SIZE">#REF!</definedName>
    <definedName name="skt">#REF!</definedName>
    <definedName name="SL_CRD">#REF!</definedName>
    <definedName name="SL_CRS">#REF!</definedName>
    <definedName name="SL_CS">#REF!</definedName>
    <definedName name="SL_DD">#REF!</definedName>
    <definedName name="SLT">#REF!</definedName>
    <definedName name="SM">#REF!</definedName>
    <definedName name="SMBA">#REF!</definedName>
    <definedName name="SMK">#REF!</definedName>
    <definedName name="Sng">#REF!</definedName>
    <definedName name="soc3p">#REF!</definedName>
    <definedName name="Soi">#REF!</definedName>
    <definedName name="soichon12">#REF!</definedName>
    <definedName name="soichon24">#REF!</definedName>
    <definedName name="soichon46">#REF!</definedName>
    <definedName name="soichon4x6">#REF!</definedName>
    <definedName name="solieu">#REF!</definedName>
    <definedName name="son">#REF!</definedName>
    <definedName name="sonduong">#REF!</definedName>
    <definedName name="SORT">#REF!</definedName>
    <definedName name="Sothutu">#REF!</definedName>
    <definedName name="SPEC">#REF!</definedName>
    <definedName name="SPECSUMMARY">#REF!</definedName>
    <definedName name="spk1p">#REF!</definedName>
    <definedName name="sss">#REF!</definedName>
    <definedName name="st">#REF!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t">#REF!</definedName>
    <definedName name="SU">#REF!</definedName>
    <definedName name="sub">#REF!</definedName>
    <definedName name="SUL">#REF!</definedName>
    <definedName name="SUMITOMO">#REF!</definedName>
    <definedName name="SUMITOMO_GT">#REF!</definedName>
    <definedName name="SUMMARY">#REF!</definedName>
    <definedName name="sur">#REF!</definedName>
    <definedName name="SVC">#REF!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æng_H_P_TBA">#REF!</definedName>
    <definedName name="Tæng_Hîp_35">#REF!</definedName>
    <definedName name="taluydac2">#REF!</definedName>
    <definedName name="taluydc1">#REF!</definedName>
    <definedName name="taluydc2">#REF!</definedName>
    <definedName name="taluydc3">#REF!</definedName>
    <definedName name="taluydc4">#REF!</definedName>
    <definedName name="tamvia">#REF!</definedName>
    <definedName name="TaPLoc">#REF!</definedName>
    <definedName name="taun">#REF!</definedName>
    <definedName name="TB_CTO">#REF!</definedName>
    <definedName name="TB_TBA">#REF!</definedName>
    <definedName name="TBA">#REF!</definedName>
    <definedName name="tbmc">#REF!</definedName>
    <definedName name="tbphunson">#REF!</definedName>
    <definedName name="TBSGP">#REF!</definedName>
    <definedName name="tbtram">#REF!</definedName>
    <definedName name="TC">#REF!</definedName>
    <definedName name="TC_NHANH1">#REF!</definedName>
    <definedName name="td10vl">#REF!</definedName>
    <definedName name="td12nc">#REF!</definedName>
    <definedName name="td1p">#REF!</definedName>
    <definedName name="td3p">#REF!</definedName>
    <definedName name="tdia">#REF!</definedName>
    <definedName name="tdnc1p">#REF!</definedName>
    <definedName name="TDT">#REF!</definedName>
    <definedName name="tdtr2cnc">#REF!</definedName>
    <definedName name="tdtr2cvl">#REF!</definedName>
    <definedName name="tdvl1p">#REF!</definedName>
    <definedName name="TemporaryWork">#REF!</definedName>
    <definedName name="TenCap">#REF!</definedName>
    <definedName name="tenvung">#REF!</definedName>
    <definedName name="Tengoi">#REF!</definedName>
    <definedName name="TGLS">#REF!</definedName>
    <definedName name="TI">#REF!</definedName>
    <definedName name="Tien">#REF!</definedName>
    <definedName name="TIENLUONG">#REF!</definedName>
    <definedName name="Tiep_dia">#REF!</definedName>
    <definedName name="TileStone">#REF!</definedName>
    <definedName name="tinhqd">#REF!</definedName>
    <definedName name="TIT">#REF!</definedName>
    <definedName name="TITAN">#REF!</definedName>
    <definedName name="TKP">#REF!</definedName>
    <definedName name="TLAC120">#REF!</definedName>
    <definedName name="TLAC35">#REF!</definedName>
    <definedName name="TLAC50">#REF!</definedName>
    <definedName name="TLAC70">#REF!</definedName>
    <definedName name="TLAC95">#REF!</definedName>
    <definedName name="TLDa">#REF!</definedName>
    <definedName name="TLdat">#REF!</definedName>
    <definedName name="TLDM">#REF!</definedName>
    <definedName name="Tle">#REF!</definedName>
    <definedName name="TLR">#REF!</definedName>
    <definedName name="TMDT1">#REF!</definedName>
    <definedName name="TMDT2">#REF!</definedName>
    <definedName name="TMDTmoi">#REF!</definedName>
    <definedName name="tmm1.5">#REF!</definedName>
    <definedName name="tmmg">#REF!</definedName>
    <definedName name="TMProtection">#REF!</definedName>
    <definedName name="TN">#REF!</definedName>
    <definedName name="TN_CTO">#REF!</definedName>
    <definedName name="toadocap">#REF!</definedName>
    <definedName name="Toanbo">#REF!</definedName>
    <definedName name="toidien">#REF!</definedName>
    <definedName name="Tonmai">#REF!</definedName>
    <definedName name="tong">#REF!</definedName>
    <definedName name="TONG_DU_TOAN">#REF!</definedName>
    <definedName name="TPcaphe">#REF!</definedName>
    <definedName name="TPLRP">#REF!</definedName>
    <definedName name="ts">#REF!</definedName>
    <definedName name="tsI">#REF!</definedName>
    <definedName name="TT_1P">#REF!</definedName>
    <definedName name="TT_3p">#REF!</definedName>
    <definedName name="ttbt">#REF!</definedName>
    <definedName name="TTCto">#REF!</definedName>
    <definedName name="TTDZ">#REF!</definedName>
    <definedName name="TTDZ04">#REF!</definedName>
    <definedName name="TTDZ35">#REF!</definedName>
    <definedName name="TTLo62">#REF!</definedName>
    <definedName name="ttt">#REF!</definedName>
    <definedName name="tttb">#REF!</definedName>
    <definedName name="TTVAn5">#REF!</definedName>
    <definedName name="tthi">#REF!</definedName>
    <definedName name="ttronmk">#REF!</definedName>
    <definedName name="Tuong_dau_HD">#REF!</definedName>
    <definedName name="Tuvan">#REF!</definedName>
    <definedName name="tv75nc">#REF!</definedName>
    <definedName name="tv75vl">#REF!</definedName>
    <definedName name="ty">#REF!</definedName>
    <definedName name="ty_le">#REF!</definedName>
    <definedName name="ty_le_BTN">#REF!</definedName>
    <definedName name="Ty_le1">#REF!</definedName>
    <definedName name="TH.CTrinh">#REF!</definedName>
    <definedName name="TH.tinh">#REF!</definedName>
    <definedName name="th3x15">#REF!</definedName>
    <definedName name="thai">#REF!</definedName>
    <definedName name="Thang">#REF!</definedName>
    <definedName name="Thang_Long">#REF!</definedName>
    <definedName name="Thang_Long_GT">#REF!</definedName>
    <definedName name="thanh">#REF!</definedName>
    <definedName name="Thanh_CT">#REF!</definedName>
    <definedName name="Thautinh">#REF!</definedName>
    <definedName name="THchon">#REF!</definedName>
    <definedName name="thdt">#REF!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uoc">#REF!</definedName>
    <definedName name="thepcdc">#REF!</definedName>
    <definedName name="thepDet75x7">#REF!</definedName>
    <definedName name="ThepDinh">#REF!</definedName>
    <definedName name="thepgoc25_60">#REF!</definedName>
    <definedName name="thepgoc63_75">#REF!</definedName>
    <definedName name="ThepGoc75x6">#REF!</definedName>
    <definedName name="thepgoc80_100">#REF!</definedName>
    <definedName name="theptam">#REF!</definedName>
    <definedName name="theptb">#REF!</definedName>
    <definedName name="theptron12">#REF!</definedName>
    <definedName name="theptron14_22">#REF!</definedName>
    <definedName name="theptron6_8">#REF!</definedName>
    <definedName name="thephinh">#REF!</definedName>
    <definedName name="THGO1pnc">#REF!</definedName>
    <definedName name="thht">#REF!</definedName>
    <definedName name="THI">#REF!</definedName>
    <definedName name="THKP160">#REF!</definedName>
    <definedName name="thkp3">#REF!</definedName>
    <definedName name="Thnghiem">#REF!</definedName>
    <definedName name="thop">#REF!</definedName>
    <definedName name="THQT">#REF!</definedName>
    <definedName name="thtt">#REF!</definedName>
    <definedName name="thtr15">#REF!</definedName>
    <definedName name="THU">#REF!</definedName>
    <definedName name="thuocno">#REF!</definedName>
    <definedName name="thvl">#REF!</definedName>
    <definedName name="tr1x15">#REF!</definedName>
    <definedName name="tr3x100">#REF!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1">#REF!</definedName>
    <definedName name="TRADE2">#REF!</definedName>
    <definedName name="tram100">#REF!</definedName>
    <definedName name="tram1x25">#REF!</definedName>
    <definedName name="TRaRu">#REF!</definedName>
    <definedName name="tron250l">#REF!</definedName>
    <definedName name="tron25th">#REF!</definedName>
    <definedName name="tron60th">#REF!</definedName>
    <definedName name="tron80l">#REF!</definedName>
    <definedName name="TronD10D18">#REF!</definedName>
    <definedName name="TronD6D8">#REF!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t">#REF!</definedName>
    <definedName name="UNL">#REF!</definedName>
    <definedName name="upnoc">#REF!</definedName>
    <definedName name="upperlowlandlimit">#REF!</definedName>
    <definedName name="USCT">#REF!</definedName>
    <definedName name="USCTKU">#REF!</definedName>
    <definedName name="USD">#REF!</definedName>
    <definedName name="USKC">#REF!</definedName>
    <definedName name="USNC">#REF!</definedName>
    <definedName name="v">#REF!</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N">#REF!</definedName>
    <definedName name="vanchuyencoc">#REF!</definedName>
    <definedName name="vankhuon">#REF!</definedName>
    <definedName name="vanthang">#REF!</definedName>
    <definedName name="VARIINST">#REF!</definedName>
    <definedName name="VARIPURC">#REF!</definedName>
    <definedName name="vat">#REF!</definedName>
    <definedName name="VAT_04">#REF!</definedName>
    <definedName name="VAT_22">#REF!</definedName>
    <definedName name="VAT_35">#REF!</definedName>
    <definedName name="VAT_Cto">#REF!</definedName>
    <definedName name="VAT_TB">#REF!</definedName>
    <definedName name="VAT_TBA">#REF!</definedName>
    <definedName name="VAT_XLTBA">#REF!</definedName>
    <definedName name="vatlieu">#REF!</definedName>
    <definedName name="vbtchongnuocm300">#REF!</definedName>
    <definedName name="vbtm150">#REF!</definedName>
    <definedName name="vbtm300">#REF!</definedName>
    <definedName name="vbtm400">#REF!</definedName>
    <definedName name="vc">#REF!</definedName>
    <definedName name="VCC">#REF!</definedName>
    <definedName name="vccat0.4">#REF!</definedName>
    <definedName name="vccatv">#REF!</definedName>
    <definedName name="vccot0.4">#REF!</definedName>
    <definedName name="vccot35">#REF!</definedName>
    <definedName name="vccott">#REF!</definedName>
    <definedName name="vccottt">#REF!</definedName>
    <definedName name="VCD">#REF!</definedName>
    <definedName name="vcda">#REF!</definedName>
    <definedName name="vcda0.4">#REF!</definedName>
    <definedName name="vcdatc2">#REF!</definedName>
    <definedName name="vcdatc3">#REF!</definedName>
    <definedName name="vcday">#REF!</definedName>
    <definedName name="vcdbt">#REF!</definedName>
    <definedName name="VCDC400">#REF!</definedName>
    <definedName name="vcdctc">#REF!</definedName>
    <definedName name="vcdd">#REF!</definedName>
    <definedName name="vcdt">#REF!</definedName>
    <definedName name="vcdtb">#REF!</definedName>
    <definedName name="vcdungcu0.4">#REF!</definedName>
    <definedName name="vcg">#REF!</definedName>
    <definedName name="vcgo">#REF!</definedName>
    <definedName name="vcgo0.4">#REF!</definedName>
    <definedName name="vcn">#REF!</definedName>
    <definedName name="vcnuoc0.4">#REF!</definedName>
    <definedName name="VCP">#REF!</definedName>
    <definedName name="vcpk">#REF!</definedName>
    <definedName name="VCS">#REF!</definedName>
    <definedName name="vcsat0.4">#REF!</definedName>
    <definedName name="vcsu">#REF!</definedName>
    <definedName name="vct">#REF!</definedName>
    <definedName name="vctb">#REF!</definedName>
    <definedName name="vctmong">#REF!</definedName>
    <definedName name="VCTT">#REF!</definedName>
    <definedName name="vctre">#REF!</definedName>
    <definedName name="vcxi">#REF!</definedName>
    <definedName name="vcxm">#REF!</definedName>
    <definedName name="vcxm0.4">#REF!</definedName>
    <definedName name="VCHT">#REF!</definedName>
    <definedName name="vd3p">#REF!</definedName>
    <definedName name="Vietri">#REF!</definedName>
    <definedName name="vkcauthang">#REF!</definedName>
    <definedName name="vkds">#REF!</definedName>
    <definedName name="vksan">#REF!</definedName>
    <definedName name="vktc">#REF!</definedName>
    <definedName name="vl1p">#REF!</definedName>
    <definedName name="vl3p">#REF!</definedName>
    <definedName name="Vlcap0.7">#REF!</definedName>
    <definedName name="VLcap1">#REF!</definedName>
    <definedName name="vldn400">#REF!</definedName>
    <definedName name="vldn600">#REF!</definedName>
    <definedName name="VLIEU">#REF!</definedName>
    <definedName name="VLKday">#REF!</definedName>
    <definedName name="VLT">#REF!</definedName>
    <definedName name="vltram">#REF!</definedName>
    <definedName name="VLxaydung">#REF!</definedName>
    <definedName name="Von.KL">#REF!</definedName>
    <definedName name="vr3p">#REF!</definedName>
    <definedName name="Vu">#REF!</definedName>
    <definedName name="VuaBT">#REF!</definedName>
    <definedName name="vung">#REF!</definedName>
    <definedName name="W">#REF!</definedName>
    <definedName name="W_Class1">#REF!</definedName>
    <definedName name="W_Class2">#REF!</definedName>
    <definedName name="W_Class3">#REF!</definedName>
    <definedName name="W_Class4">#REF!</definedName>
    <definedName name="W_Class5">#REF!</definedName>
    <definedName name="Wat_tec">#REF!</definedName>
    <definedName name="X">#REF!</definedName>
    <definedName name="X0.4">#REF!</definedName>
    <definedName name="x1pind">#REF!</definedName>
    <definedName name="x1pint">#REF!</definedName>
    <definedName name="x1ping">#REF!</definedName>
    <definedName name="xc">#REF!</definedName>
    <definedName name="xd0.6">#REF!</definedName>
    <definedName name="xd1.3">#REF!</definedName>
    <definedName name="xd1.5">#REF!</definedName>
    <definedName name="xdd">#REF!</definedName>
    <definedName name="XDDHT">#REF!</definedName>
    <definedName name="xetuoinhua">#REF!</definedName>
    <definedName name="xfco">#REF!</definedName>
    <definedName name="xfco3p">#REF!</definedName>
    <definedName name="xfcotnc">#REF!</definedName>
    <definedName name="xfcotvl">#REF!</definedName>
    <definedName name="xh">#REF!</definedName>
    <definedName name="xhn">#REF!</definedName>
    <definedName name="xi">#REF!</definedName>
    <definedName name="xig">#REF!</definedName>
    <definedName name="xig1p">#REF!</definedName>
    <definedName name="xig3p">#REF!</definedName>
    <definedName name="xignc3p">#REF!</definedName>
    <definedName name="xigvl3p">#REF!</definedName>
    <definedName name="ximang">#REF!</definedName>
    <definedName name="xin">#REF!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3p">#REF!</definedName>
    <definedName name="xint1p">#REF!</definedName>
    <definedName name="xinvl3p">#REF!</definedName>
    <definedName name="xing1p">#REF!</definedName>
    <definedName name="xingnc1p">#REF!</definedName>
    <definedName name="xingvl1p">#REF!</definedName>
    <definedName name="xit">#REF!</definedName>
    <definedName name="xit1p">#REF!</definedName>
    <definedName name="xit23p">#REF!</definedName>
    <definedName name="xit2nc3p">#REF!</definedName>
    <definedName name="xit2vl3p">#REF!</definedName>
    <definedName name="xit3p">#REF!</definedName>
    <definedName name="xitnc3p">#REF!</definedName>
    <definedName name="xitvl3p">#REF!</definedName>
    <definedName name="xk0.6">#REF!</definedName>
    <definedName name="xk1.3">#REF!</definedName>
    <definedName name="xk1.5">#REF!</definedName>
    <definedName name="xl">#REF!</definedName>
    <definedName name="Xl_CTO">#REF!</definedName>
    <definedName name="XL_TBA">#REF!</definedName>
    <definedName name="xlat">#REF!</definedName>
    <definedName name="xlc">#REF!</definedName>
    <definedName name="xld1.4">#REF!</definedName>
    <definedName name="xlk">#REF!</definedName>
    <definedName name="xlk1.4">#REF!</definedName>
    <definedName name="XLP">#REF!</definedName>
    <definedName name="XLxa">#REF!</definedName>
    <definedName name="xm">#REF!</definedName>
    <definedName name="XMBT">#REF!</definedName>
    <definedName name="xmcax">#REF!</definedName>
    <definedName name="xmpc40">#REF!</definedName>
    <definedName name="xn">#REF!</definedName>
    <definedName name="xoaydap">#REF!</definedName>
    <definedName name="XP">#REF!</definedName>
    <definedName name="Xsi">#REF!</definedName>
    <definedName name="XXT">#REF!</definedName>
    <definedName name="YeNuong">#REF!</definedName>
    <definedName name="yieldsfield">#REF!</definedName>
    <definedName name="yieldstoevaluate">#REF!</definedName>
    <definedName name="YRP">#REF!</definedName>
    <definedName name="ytddg">#REF!</definedName>
    <definedName name="Ythd1.5">#REF!</definedName>
    <definedName name="ythdg">#REF!</definedName>
    <definedName name="Ythdgoi">#REF!</definedName>
    <definedName name="Z">#REF!</definedName>
    <definedName name="ZYX">#REF!</definedName>
    <definedName name="ZZ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364" i="1" l="1"/>
  <c r="J1378" i="1"/>
  <c r="J1377" i="1"/>
  <c r="I161" i="1" l="1"/>
  <c r="I152" i="1"/>
  <c r="A2" i="2" l="1"/>
  <c r="A1" i="2"/>
  <c r="I1479" i="1" l="1"/>
  <c r="I1492" i="1"/>
  <c r="I1491" i="1"/>
  <c r="I1487" i="1"/>
  <c r="I1483" i="1"/>
  <c r="I1018" i="1"/>
  <c r="L1018" i="1" s="1"/>
  <c r="I225" i="1"/>
  <c r="I955" i="1"/>
  <c r="I953" i="1"/>
  <c r="I951" i="1"/>
  <c r="I358" i="1"/>
  <c r="I93" i="1" l="1"/>
  <c r="L93" i="1" s="1"/>
  <c r="I476" i="1"/>
  <c r="L476" i="1" s="1"/>
  <c r="L475" i="1"/>
  <c r="I21" i="1"/>
  <c r="I1485" i="1"/>
  <c r="L1043" i="1"/>
  <c r="I1166" i="1"/>
  <c r="I957" i="1"/>
  <c r="I788" i="1"/>
  <c r="I664" i="1"/>
  <c r="I381" i="1"/>
  <c r="I1489" i="1"/>
  <c r="L1489" i="1" s="1"/>
  <c r="I1361" i="1"/>
  <c r="L1361" i="1" s="1"/>
  <c r="I1302" i="1"/>
  <c r="L1302" i="1" s="1"/>
  <c r="I1158" i="1"/>
  <c r="L1158" i="1" s="1"/>
  <c r="I1038" i="1"/>
  <c r="L1038" i="1" s="1"/>
  <c r="I946" i="1"/>
  <c r="L946" i="1" s="1"/>
  <c r="I945" i="1"/>
  <c r="L945" i="1" s="1"/>
  <c r="I805" i="1"/>
  <c r="L805" i="1" s="1"/>
  <c r="I804" i="1"/>
  <c r="L804" i="1" s="1"/>
  <c r="I782" i="1"/>
  <c r="L782" i="1" s="1"/>
  <c r="I657" i="1"/>
  <c r="L657" i="1" s="1"/>
  <c r="I635" i="1"/>
  <c r="L635" i="1" s="1"/>
  <c r="I634" i="1"/>
  <c r="L634" i="1" s="1"/>
  <c r="I523" i="1"/>
  <c r="L523" i="1" s="1"/>
  <c r="I350" i="1"/>
  <c r="L350" i="1" s="1"/>
  <c r="I349" i="1"/>
  <c r="L349" i="1" s="1"/>
  <c r="I273" i="1"/>
  <c r="L273" i="1" s="1"/>
  <c r="I253" i="1"/>
  <c r="L253" i="1" s="1"/>
  <c r="I250" i="1"/>
  <c r="L250" i="1" s="1"/>
  <c r="L161" i="1"/>
  <c r="I361" i="1"/>
  <c r="L361" i="1" s="1"/>
  <c r="I262" i="1"/>
  <c r="L262" i="1" s="1"/>
  <c r="I1156" i="1"/>
  <c r="L1156" i="1" s="1"/>
  <c r="I1041" i="1"/>
  <c r="L1041" i="1" s="1"/>
  <c r="I1040" i="1"/>
  <c r="L1040" i="1" s="1"/>
  <c r="L1356" i="1"/>
  <c r="L836" i="1"/>
  <c r="L835" i="1"/>
  <c r="L1490" i="1"/>
  <c r="L826" i="1"/>
  <c r="L1352" i="1"/>
  <c r="L1351" i="1"/>
  <c r="L1169" i="1"/>
  <c r="L1168" i="1"/>
  <c r="L956" i="1"/>
  <c r="L840" i="1"/>
  <c r="L839" i="1"/>
  <c r="L663" i="1"/>
  <c r="L662" i="1"/>
  <c r="L521" i="1"/>
  <c r="L377" i="1"/>
  <c r="L257" i="1"/>
  <c r="L156" i="1"/>
  <c r="I505" i="1"/>
  <c r="I365" i="1"/>
  <c r="I1488" i="1"/>
  <c r="L1488" i="1" s="1"/>
  <c r="I1360" i="1"/>
  <c r="L1360" i="1" s="1"/>
  <c r="I1163" i="1"/>
  <c r="L1163" i="1" s="1"/>
  <c r="I1151" i="1"/>
  <c r="L1151" i="1" s="1"/>
  <c r="L951" i="1"/>
  <c r="I796" i="1"/>
  <c r="L796" i="1" s="1"/>
  <c r="I795" i="1"/>
  <c r="L795" i="1" s="1"/>
  <c r="I794" i="1"/>
  <c r="L794" i="1" s="1"/>
  <c r="I793" i="1"/>
  <c r="L793" i="1" s="1"/>
  <c r="I781" i="1"/>
  <c r="L781" i="1" s="1"/>
  <c r="I780" i="1"/>
  <c r="L780" i="1" s="1"/>
  <c r="I779" i="1"/>
  <c r="L779" i="1" s="1"/>
  <c r="I649" i="1"/>
  <c r="L649" i="1" s="1"/>
  <c r="I514" i="1"/>
  <c r="L514" i="1" s="1"/>
  <c r="I513" i="1"/>
  <c r="L513" i="1" s="1"/>
  <c r="I379" i="1"/>
  <c r="L379" i="1" s="1"/>
  <c r="I267" i="1"/>
  <c r="L267" i="1" s="1"/>
  <c r="L1162" i="1"/>
  <c r="L1037" i="1"/>
  <c r="L792" i="1"/>
  <c r="L650" i="1"/>
  <c r="L512" i="1"/>
  <c r="I1482" i="1"/>
  <c r="L1482" i="1" s="1"/>
  <c r="L1492" i="1"/>
  <c r="I1342" i="1"/>
  <c r="L1342" i="1" s="1"/>
  <c r="I1154" i="1"/>
  <c r="L1154" i="1" s="1"/>
  <c r="I1153" i="1"/>
  <c r="L1153" i="1" s="1"/>
  <c r="I1031" i="1"/>
  <c r="L1031" i="1" s="1"/>
  <c r="I1030" i="1"/>
  <c r="L1030" i="1" s="1"/>
  <c r="I810" i="1"/>
  <c r="L810" i="1" s="1"/>
  <c r="I809" i="1"/>
  <c r="L809" i="1" s="1"/>
  <c r="I808" i="1"/>
  <c r="L808" i="1" s="1"/>
  <c r="I783" i="1"/>
  <c r="L783" i="1" s="1"/>
  <c r="I632" i="1"/>
  <c r="L632" i="1" s="1"/>
  <c r="I631" i="1"/>
  <c r="L631" i="1" s="1"/>
  <c r="I519" i="1"/>
  <c r="L519" i="1" s="1"/>
  <c r="I364" i="1"/>
  <c r="I363" i="1"/>
  <c r="L363" i="1" s="1"/>
  <c r="I362" i="1"/>
  <c r="L362" i="1" s="1"/>
  <c r="L152" i="1"/>
  <c r="I1359" i="1"/>
  <c r="I1358" i="1"/>
  <c r="I1165" i="1"/>
  <c r="I1033" i="1"/>
  <c r="I947" i="1"/>
  <c r="I814" i="1"/>
  <c r="I784" i="1"/>
  <c r="I638" i="1"/>
  <c r="I637" i="1"/>
  <c r="I636" i="1"/>
  <c r="I518" i="1"/>
  <c r="I516" i="1"/>
  <c r="I502" i="1"/>
  <c r="I501" i="1"/>
  <c r="I347" i="1"/>
  <c r="I346" i="1"/>
  <c r="I1344" i="1"/>
  <c r="I817" i="1"/>
  <c r="I816" i="1"/>
  <c r="I646" i="1"/>
  <c r="I500" i="1"/>
  <c r="I354" i="1"/>
  <c r="I265" i="1"/>
  <c r="I355" i="1"/>
  <c r="I353" i="1"/>
  <c r="I251" i="1"/>
  <c r="I654" i="1"/>
  <c r="L654" i="1" s="1"/>
  <c r="I376" i="1"/>
  <c r="I499" i="1"/>
  <c r="I261" i="1"/>
  <c r="I378" i="1"/>
  <c r="I496" i="1"/>
  <c r="I645" i="1"/>
  <c r="I658" i="1"/>
  <c r="I834" i="1"/>
  <c r="I1035" i="1"/>
  <c r="I1349" i="1"/>
  <c r="I268" i="1"/>
  <c r="I830" i="1"/>
  <c r="L830" i="1" s="1"/>
  <c r="I791" i="1"/>
  <c r="I801" i="1"/>
  <c r="I529" i="1"/>
  <c r="I266" i="1"/>
  <c r="I528" i="1"/>
  <c r="I1149" i="1"/>
  <c r="I1150" i="1"/>
  <c r="I1343" i="1"/>
  <c r="I1484" i="1"/>
  <c r="L1484" i="1"/>
  <c r="I798" i="1" l="1"/>
  <c r="L798" i="1" s="1"/>
  <c r="I799" i="1"/>
  <c r="L799" i="1" s="1"/>
  <c r="I800" i="1"/>
  <c r="L800" i="1" s="1"/>
  <c r="I375" i="1" l="1"/>
  <c r="I270" i="1"/>
  <c r="I255" i="1"/>
  <c r="I360" i="1"/>
  <c r="I249" i="1"/>
  <c r="I254" i="1"/>
  <c r="I263" i="1"/>
  <c r="I264" i="1"/>
  <c r="I153" i="1"/>
  <c r="I494" i="1"/>
  <c r="I1161" i="1"/>
  <c r="I1338" i="1"/>
  <c r="I954" i="1"/>
  <c r="I656" i="1"/>
  <c r="I644" i="1"/>
  <c r="I515" i="1"/>
  <c r="I252" i="1"/>
  <c r="I374" i="1"/>
  <c r="I1355" i="1"/>
  <c r="I1337" i="1"/>
  <c r="I1336" i="1"/>
  <c r="I1152" i="1"/>
  <c r="I643" i="1"/>
  <c r="I642" i="1"/>
  <c r="I510" i="1"/>
  <c r="I641" i="1"/>
  <c r="L829" i="1"/>
  <c r="L508" i="1"/>
  <c r="I1346" i="1"/>
  <c r="I831" i="1"/>
  <c r="I498" i="1"/>
  <c r="I497" i="1"/>
  <c r="I1480" i="1"/>
  <c r="I1357" i="1"/>
  <c r="I944" i="1"/>
  <c r="I802" i="1"/>
  <c r="I655" i="1"/>
  <c r="I647" i="1"/>
  <c r="I526" i="1"/>
  <c r="L1364" i="1" l="1"/>
  <c r="I163" i="1"/>
  <c r="I123" i="1"/>
  <c r="I122" i="1"/>
  <c r="I121" i="1"/>
  <c r="I113" i="1"/>
  <c r="I112" i="1"/>
  <c r="I111" i="1"/>
  <c r="I110" i="1"/>
  <c r="P1238" i="1"/>
  <c r="L702" i="1" l="1"/>
  <c r="L701" i="1"/>
  <c r="L713" i="1"/>
  <c r="L712" i="1"/>
  <c r="L711" i="1"/>
  <c r="I787" i="1"/>
  <c r="I532" i="1"/>
  <c r="I269" i="1"/>
  <c r="P303" i="1" l="1"/>
  <c r="P391" i="1"/>
  <c r="P554" i="1"/>
  <c r="P668" i="1"/>
  <c r="P889" i="1"/>
  <c r="P968" i="1"/>
  <c r="P1065" i="1"/>
  <c r="P1203" i="1"/>
  <c r="P1239" i="1"/>
  <c r="P1283" i="1"/>
  <c r="P1379" i="1"/>
  <c r="H13" i="1"/>
  <c r="I13" i="1"/>
  <c r="I824" i="1"/>
  <c r="I823" i="1"/>
  <c r="I1028" i="1"/>
  <c r="L944" i="1" l="1"/>
  <c r="L255" i="1"/>
  <c r="L1480" i="1"/>
  <c r="L1357" i="1"/>
  <c r="I1164" i="1"/>
  <c r="L1164" i="1" s="1"/>
  <c r="L802" i="1"/>
  <c r="L655" i="1"/>
  <c r="L647" i="1"/>
  <c r="L526" i="1"/>
  <c r="L375" i="1"/>
  <c r="L270" i="1"/>
  <c r="I1362" i="1" l="1"/>
  <c r="L1362" i="1" s="1"/>
  <c r="L1353" i="1"/>
  <c r="L1354" i="1"/>
  <c r="L367" i="1"/>
  <c r="I1335" i="1"/>
  <c r="I1042" i="1"/>
  <c r="L382" i="1" l="1"/>
  <c r="J1202" i="1"/>
  <c r="J1201" i="1"/>
  <c r="I1201" i="1"/>
  <c r="J1200" i="1"/>
  <c r="J1199" i="1"/>
  <c r="J1588" i="1"/>
  <c r="J1587" i="1"/>
  <c r="J1064" i="1"/>
  <c r="J1060" i="1"/>
  <c r="J1059" i="1"/>
  <c r="X1506" i="1" l="1"/>
  <c r="Z1506" i="1"/>
  <c r="AA1506" i="1"/>
  <c r="AC1506" i="1"/>
  <c r="AE1506" i="1"/>
  <c r="AF1506" i="1"/>
  <c r="L880" i="1" l="1"/>
  <c r="L879" i="1"/>
  <c r="J888" i="1"/>
  <c r="J887" i="1"/>
  <c r="J886" i="1"/>
  <c r="J885" i="1"/>
  <c r="J302" i="1"/>
  <c r="J301" i="1"/>
  <c r="C23" i="2" l="1"/>
  <c r="AE1564" i="1" l="1"/>
  <c r="D25" i="2" l="1"/>
  <c r="C25" i="2"/>
  <c r="B25" i="2"/>
  <c r="A25" i="2"/>
  <c r="D24" i="2"/>
  <c r="C24" i="2"/>
  <c r="B24" i="2"/>
  <c r="A24" i="2"/>
  <c r="D23" i="2"/>
  <c r="B23" i="2"/>
  <c r="A23" i="2"/>
  <c r="D22" i="2"/>
  <c r="C22" i="2"/>
  <c r="B22" i="2"/>
  <c r="A22" i="2"/>
  <c r="AE1551" i="1"/>
  <c r="AE1524" i="1"/>
  <c r="Z1564" i="1" l="1"/>
  <c r="J25" i="2" s="1"/>
  <c r="AB1564" i="1"/>
  <c r="AC1564" i="1"/>
  <c r="AA1574" i="1"/>
  <c r="W1573" i="1"/>
  <c r="W1572" i="1"/>
  <c r="AA1571" i="1"/>
  <c r="Y1570" i="1"/>
  <c r="Y1564" i="1" s="1"/>
  <c r="I25" i="2" s="1"/>
  <c r="X1569" i="1"/>
  <c r="X1564" i="1" s="1"/>
  <c r="H25" i="2" s="1"/>
  <c r="X1551" i="1"/>
  <c r="Z1551" i="1"/>
  <c r="AB1551" i="1"/>
  <c r="AC1551" i="1"/>
  <c r="W1551" i="1"/>
  <c r="Y1557" i="1"/>
  <c r="Y1551" i="1" s="1"/>
  <c r="I24" i="2" s="1"/>
  <c r="AA1556" i="1"/>
  <c r="AA1551" i="1" s="1"/>
  <c r="K24" i="2" s="1"/>
  <c r="Y1524" i="1"/>
  <c r="Z1524" i="1"/>
  <c r="AB1524" i="1"/>
  <c r="AC1524" i="1"/>
  <c r="AA1536" i="1"/>
  <c r="AA1524" i="1" s="1"/>
  <c r="K23" i="2" s="1"/>
  <c r="X1535" i="1"/>
  <c r="X1534" i="1"/>
  <c r="X1533" i="1"/>
  <c r="X1532" i="1"/>
  <c r="X1531" i="1"/>
  <c r="W1530" i="1"/>
  <c r="W1529" i="1"/>
  <c r="I1510" i="1"/>
  <c r="H1510" i="1"/>
  <c r="U1506" i="1" s="1"/>
  <c r="E22" i="2" s="1"/>
  <c r="V1506" i="1"/>
  <c r="F22" i="2" s="1"/>
  <c r="H22" i="2"/>
  <c r="J22" i="2"/>
  <c r="K22" i="2"/>
  <c r="W1515" i="1"/>
  <c r="AB1514" i="1"/>
  <c r="Y1513" i="1"/>
  <c r="W1512" i="1"/>
  <c r="AB1511" i="1"/>
  <c r="I1585" i="1"/>
  <c r="L1585" i="1" s="1"/>
  <c r="E1585" i="1"/>
  <c r="C1585" i="1"/>
  <c r="I1584" i="1"/>
  <c r="L1584" i="1" s="1"/>
  <c r="E1584" i="1"/>
  <c r="C1584" i="1"/>
  <c r="I1583" i="1"/>
  <c r="L1583" i="1" s="1"/>
  <c r="E1583" i="1"/>
  <c r="C1583" i="1"/>
  <c r="I1582" i="1"/>
  <c r="L1582" i="1" s="1"/>
  <c r="E1582" i="1"/>
  <c r="C1582" i="1"/>
  <c r="I1581" i="1"/>
  <c r="L1581" i="1" s="1"/>
  <c r="E1581" i="1"/>
  <c r="C1581" i="1"/>
  <c r="I1580" i="1"/>
  <c r="E1580" i="1"/>
  <c r="E1587" i="1" s="1"/>
  <c r="E1588" i="1" s="1"/>
  <c r="C1580" i="1"/>
  <c r="L1578" i="1"/>
  <c r="G1578" i="1"/>
  <c r="I1577" i="1"/>
  <c r="L1577" i="1" s="1"/>
  <c r="L1576" i="1" s="1"/>
  <c r="G1577" i="1"/>
  <c r="E1577" i="1"/>
  <c r="D1577" i="1"/>
  <c r="L1574" i="1"/>
  <c r="L1573" i="1"/>
  <c r="L1572" i="1"/>
  <c r="L1571" i="1"/>
  <c r="L1570" i="1"/>
  <c r="L1569" i="1"/>
  <c r="I1568" i="1"/>
  <c r="V1564" i="1" s="1"/>
  <c r="F25" i="2" s="1"/>
  <c r="H1568" i="1"/>
  <c r="U1564" i="1" s="1"/>
  <c r="E25" i="2" s="1"/>
  <c r="I1563" i="1"/>
  <c r="L1563" i="1" s="1"/>
  <c r="E1563" i="1"/>
  <c r="D1563" i="1"/>
  <c r="C1563" i="1"/>
  <c r="I1562" i="1"/>
  <c r="L1562" i="1" s="1"/>
  <c r="E1562" i="1"/>
  <c r="D1562" i="1"/>
  <c r="C1562" i="1"/>
  <c r="I1560" i="1"/>
  <c r="L1560" i="1" s="1"/>
  <c r="L1559" i="1" s="1"/>
  <c r="G1560" i="1"/>
  <c r="E1560" i="1"/>
  <c r="D1560" i="1"/>
  <c r="L1557" i="1"/>
  <c r="L1556" i="1"/>
  <c r="I1555" i="1"/>
  <c r="V1551" i="1" s="1"/>
  <c r="F24" i="2" s="1"/>
  <c r="H1555" i="1"/>
  <c r="U1551" i="1" s="1"/>
  <c r="E24" i="2" s="1"/>
  <c r="J1550" i="1"/>
  <c r="I1548" i="1"/>
  <c r="L1548" i="1" s="1"/>
  <c r="E1548" i="1"/>
  <c r="D1548" i="1"/>
  <c r="C1548" i="1"/>
  <c r="I1547" i="1"/>
  <c r="L1547" i="1" s="1"/>
  <c r="E1547" i="1"/>
  <c r="D1547" i="1"/>
  <c r="C1547" i="1"/>
  <c r="I1546" i="1"/>
  <c r="L1546" i="1" s="1"/>
  <c r="E1546" i="1"/>
  <c r="D1546" i="1"/>
  <c r="D1585" i="1" s="1"/>
  <c r="C1546" i="1"/>
  <c r="I1545" i="1"/>
  <c r="I1550" i="1" s="1"/>
  <c r="E1545" i="1"/>
  <c r="D1545" i="1"/>
  <c r="D1584" i="1" s="1"/>
  <c r="I1544" i="1"/>
  <c r="L1544" i="1" s="1"/>
  <c r="E1544" i="1"/>
  <c r="D1544" i="1"/>
  <c r="D1583" i="1" s="1"/>
  <c r="C1544" i="1"/>
  <c r="I1543" i="1"/>
  <c r="L1543" i="1" s="1"/>
  <c r="E1543" i="1"/>
  <c r="D1543" i="1"/>
  <c r="D1582" i="1" s="1"/>
  <c r="C1543" i="1"/>
  <c r="I1542" i="1"/>
  <c r="L1542" i="1" s="1"/>
  <c r="E1542" i="1"/>
  <c r="D1542" i="1"/>
  <c r="D1581" i="1" s="1"/>
  <c r="C1542" i="1"/>
  <c r="I1541" i="1"/>
  <c r="L1541" i="1" s="1"/>
  <c r="E1541" i="1"/>
  <c r="D1541" i="1"/>
  <c r="D1580" i="1" s="1"/>
  <c r="D1587" i="1" s="1"/>
  <c r="D1588" i="1" s="1"/>
  <c r="C1541" i="1"/>
  <c r="L1539" i="1"/>
  <c r="L1538" i="1" s="1"/>
  <c r="AF1524" i="1" s="1"/>
  <c r="P23" i="2" s="1"/>
  <c r="L1536" i="1"/>
  <c r="L1535" i="1"/>
  <c r="L1534" i="1"/>
  <c r="L1533" i="1"/>
  <c r="L1532" i="1"/>
  <c r="L1531" i="1"/>
  <c r="L1530" i="1"/>
  <c r="L1529" i="1"/>
  <c r="I1528" i="1"/>
  <c r="V1524" i="1" s="1"/>
  <c r="F23" i="2" s="1"/>
  <c r="H1528" i="1"/>
  <c r="U1524" i="1" s="1"/>
  <c r="E23" i="2" s="1"/>
  <c r="I1523" i="1"/>
  <c r="L1523" i="1" s="1"/>
  <c r="E1523" i="1"/>
  <c r="D1523" i="1"/>
  <c r="C1523" i="1"/>
  <c r="I1522" i="1"/>
  <c r="L1522" i="1" s="1"/>
  <c r="E1522" i="1"/>
  <c r="D1522" i="1"/>
  <c r="I1521" i="1"/>
  <c r="L1521" i="1" s="1"/>
  <c r="E1521" i="1"/>
  <c r="D1521" i="1"/>
  <c r="C1521" i="1"/>
  <c r="I1520" i="1"/>
  <c r="L1520" i="1" s="1"/>
  <c r="E1520" i="1"/>
  <c r="D1520" i="1"/>
  <c r="C1520" i="1"/>
  <c r="I1519" i="1"/>
  <c r="L1519" i="1" s="1"/>
  <c r="L1515" i="1"/>
  <c r="L1514" i="1"/>
  <c r="L1513" i="1"/>
  <c r="L1512" i="1"/>
  <c r="L1511" i="1"/>
  <c r="L1550" i="1" l="1"/>
  <c r="L1549" i="1" s="1"/>
  <c r="L1561" i="1"/>
  <c r="AH1551" i="1" s="1"/>
  <c r="R24" i="2" s="1"/>
  <c r="I1587" i="1"/>
  <c r="L1587" i="1" s="1"/>
  <c r="L1580" i="1"/>
  <c r="L1579" i="1" s="1"/>
  <c r="AB1506" i="1"/>
  <c r="M22" i="2" s="1"/>
  <c r="Y1506" i="1"/>
  <c r="I22" i="2" s="1"/>
  <c r="W1506" i="1"/>
  <c r="G22" i="2" s="1"/>
  <c r="L1555" i="1"/>
  <c r="AD1551" i="1" s="1"/>
  <c r="W1524" i="1"/>
  <c r="G23" i="2" s="1"/>
  <c r="X1524" i="1"/>
  <c r="H23" i="2" s="1"/>
  <c r="AA1564" i="1"/>
  <c r="K25" i="2" s="1"/>
  <c r="W1564" i="1"/>
  <c r="G25" i="2" s="1"/>
  <c r="P1559" i="1"/>
  <c r="AF1551" i="1"/>
  <c r="P24" i="2" s="1"/>
  <c r="P1549" i="1"/>
  <c r="AJ1524" i="1"/>
  <c r="S23" i="2" s="1"/>
  <c r="P1576" i="1"/>
  <c r="AF1564" i="1"/>
  <c r="P25" i="2" s="1"/>
  <c r="L1528" i="1"/>
  <c r="L1568" i="1"/>
  <c r="P1568" i="1" s="1"/>
  <c r="AD1564" i="1" s="1"/>
  <c r="L1510" i="1"/>
  <c r="P1561" i="1"/>
  <c r="L1518" i="1"/>
  <c r="L1545" i="1"/>
  <c r="L1540" i="1" s="1"/>
  <c r="I885" i="1"/>
  <c r="I29" i="1"/>
  <c r="L553" i="1"/>
  <c r="I301" i="1"/>
  <c r="L247" i="1"/>
  <c r="A21" i="2"/>
  <c r="D20" i="2"/>
  <c r="C20" i="2"/>
  <c r="A20" i="2"/>
  <c r="Z1381" i="1"/>
  <c r="AB1381" i="1"/>
  <c r="AC1381" i="1"/>
  <c r="X1394" i="1"/>
  <c r="X1381" i="1" s="1"/>
  <c r="H20" i="2" s="1"/>
  <c r="Y1395" i="1"/>
  <c r="W1393" i="1"/>
  <c r="AA1392" i="1"/>
  <c r="AA1381" i="1" s="1"/>
  <c r="K20" i="2" s="1"/>
  <c r="W1391" i="1"/>
  <c r="W1390" i="1"/>
  <c r="W1389" i="1"/>
  <c r="W1388" i="1"/>
  <c r="W1387" i="1"/>
  <c r="Y1386" i="1"/>
  <c r="Y1381" i="1" s="1"/>
  <c r="I20" i="2" s="1"/>
  <c r="B20" i="2"/>
  <c r="C21" i="2"/>
  <c r="A19" i="2"/>
  <c r="A18" i="2"/>
  <c r="AB1423" i="1"/>
  <c r="D21" i="2"/>
  <c r="X1423" i="1"/>
  <c r="H21" i="2" s="1"/>
  <c r="Z1423" i="1"/>
  <c r="J21" i="2" s="1"/>
  <c r="AA1423" i="1"/>
  <c r="Y1433" i="1"/>
  <c r="Y1423" i="1" s="1"/>
  <c r="I21" i="2" s="1"/>
  <c r="W1432" i="1"/>
  <c r="W1431" i="1"/>
  <c r="W1430" i="1"/>
  <c r="W1429" i="1"/>
  <c r="AC1428" i="1"/>
  <c r="AC1423" i="1" s="1"/>
  <c r="L21" i="2" s="1"/>
  <c r="K21" i="2"/>
  <c r="B21" i="2"/>
  <c r="A17" i="2"/>
  <c r="A16" i="2"/>
  <c r="A15" i="2"/>
  <c r="A14" i="2"/>
  <c r="A13" i="2"/>
  <c r="A12" i="2"/>
  <c r="A11" i="2"/>
  <c r="A10" i="2"/>
  <c r="A9" i="2"/>
  <c r="A8" i="2"/>
  <c r="A7" i="2"/>
  <c r="A6" i="2"/>
  <c r="D19" i="2"/>
  <c r="C19" i="2"/>
  <c r="AD1506" i="1" l="1"/>
  <c r="L1506" i="1"/>
  <c r="I1588" i="1"/>
  <c r="L1588" i="1" s="1"/>
  <c r="L1586" i="1" s="1"/>
  <c r="L1551" i="1"/>
  <c r="P1555" i="1"/>
  <c r="P1551" i="1" s="1"/>
  <c r="P1510" i="1"/>
  <c r="N25" i="2"/>
  <c r="P1579" i="1"/>
  <c r="AH1564" i="1"/>
  <c r="R25" i="2" s="1"/>
  <c r="N22" i="2"/>
  <c r="N24" i="2"/>
  <c r="T24" i="2" s="1"/>
  <c r="AK1551" i="1"/>
  <c r="AH1524" i="1"/>
  <c r="R23" i="2" s="1"/>
  <c r="P1518" i="1"/>
  <c r="AH1506" i="1"/>
  <c r="R22" i="2" s="1"/>
  <c r="L1524" i="1"/>
  <c r="P1524" i="1" s="1"/>
  <c r="AD1524" i="1"/>
  <c r="P1506" i="1"/>
  <c r="W1423" i="1"/>
  <c r="G21" i="2" s="1"/>
  <c r="W1381" i="1"/>
  <c r="G20" i="2" s="1"/>
  <c r="D16" i="2"/>
  <c r="C16" i="2"/>
  <c r="P1586" i="1" l="1"/>
  <c r="P1564" i="1" s="1"/>
  <c r="AJ1564" i="1"/>
  <c r="S25" i="2" s="1"/>
  <c r="T25" i="2" s="1"/>
  <c r="AK1524" i="1"/>
  <c r="N23" i="2"/>
  <c r="T23" i="2" s="1"/>
  <c r="AK1506" i="1"/>
  <c r="L1564" i="1"/>
  <c r="AI1381" i="1"/>
  <c r="AG1381" i="1"/>
  <c r="Q20" i="2" s="1"/>
  <c r="AI1307" i="1"/>
  <c r="AG1307" i="1"/>
  <c r="Q19" i="2" s="1"/>
  <c r="AI1287" i="1"/>
  <c r="AH1287" i="1"/>
  <c r="R18" i="2" s="1"/>
  <c r="AG1287" i="1"/>
  <c r="Q18" i="2" s="1"/>
  <c r="AF1243" i="1"/>
  <c r="P17" i="2" s="1"/>
  <c r="AH1208" i="1"/>
  <c r="R16" i="2" s="1"/>
  <c r="AH559" i="1"/>
  <c r="R11" i="2" s="1"/>
  <c r="AF9" i="1"/>
  <c r="P6" i="2" s="1"/>
  <c r="D6" i="2"/>
  <c r="X9" i="1"/>
  <c r="H6" i="2" s="1"/>
  <c r="Y9" i="1"/>
  <c r="Z9" i="1"/>
  <c r="AA9" i="1"/>
  <c r="AB9" i="1"/>
  <c r="W16" i="1"/>
  <c r="W15" i="1"/>
  <c r="AC14" i="1"/>
  <c r="AC9" i="1" s="1"/>
  <c r="S9" i="1"/>
  <c r="C6" i="2" s="1"/>
  <c r="H1311" i="1"/>
  <c r="U1307" i="1" s="1"/>
  <c r="E19" i="2" s="1"/>
  <c r="B19" i="2"/>
  <c r="AB1317" i="1"/>
  <c r="Y1307" i="1"/>
  <c r="I19" i="2" s="1"/>
  <c r="Z1307" i="1"/>
  <c r="J19" i="2" s="1"/>
  <c r="AC1307" i="1"/>
  <c r="AA1319" i="1"/>
  <c r="AA1307" i="1" s="1"/>
  <c r="K19" i="2" s="1"/>
  <c r="AB1318" i="1"/>
  <c r="AB1316" i="1"/>
  <c r="W1315" i="1"/>
  <c r="W1314" i="1"/>
  <c r="W1313" i="1"/>
  <c r="AB1312" i="1"/>
  <c r="B18" i="2"/>
  <c r="AC1287" i="1"/>
  <c r="L18" i="2" s="1"/>
  <c r="T1287" i="1"/>
  <c r="D18" i="2" s="1"/>
  <c r="S1287" i="1"/>
  <c r="C18" i="2" s="1"/>
  <c r="B17" i="2"/>
  <c r="T1243" i="1"/>
  <c r="D17" i="2" s="1"/>
  <c r="S1243" i="1"/>
  <c r="C17" i="2" s="1"/>
  <c r="B16" i="2"/>
  <c r="D15" i="2"/>
  <c r="C15" i="2"/>
  <c r="B15" i="2"/>
  <c r="Y1070" i="1"/>
  <c r="I15" i="2" s="1"/>
  <c r="AA1070" i="1"/>
  <c r="K15" i="2" s="1"/>
  <c r="AB1096" i="1"/>
  <c r="W1095" i="1"/>
  <c r="W1093" i="1"/>
  <c r="W1094" i="1"/>
  <c r="Z1092" i="1"/>
  <c r="Z1070" i="1" s="1"/>
  <c r="J15" i="2" s="1"/>
  <c r="X1091" i="1"/>
  <c r="W1090" i="1"/>
  <c r="W1089" i="1"/>
  <c r="W1088" i="1"/>
  <c r="W1087" i="1"/>
  <c r="W1086" i="1"/>
  <c r="W1085" i="1"/>
  <c r="X1084" i="1"/>
  <c r="W1083" i="1"/>
  <c r="W1082" i="1"/>
  <c r="W1081" i="1"/>
  <c r="X1080" i="1"/>
  <c r="W1079" i="1"/>
  <c r="W1078" i="1"/>
  <c r="W1077" i="1"/>
  <c r="AC1075" i="1"/>
  <c r="AC1070" i="1" s="1"/>
  <c r="L15" i="2" s="1"/>
  <c r="D14" i="2"/>
  <c r="C14" i="2"/>
  <c r="Y973" i="1"/>
  <c r="Z973" i="1"/>
  <c r="AA987" i="1"/>
  <c r="AA986" i="1"/>
  <c r="X985" i="1"/>
  <c r="X984" i="1"/>
  <c r="X983" i="1"/>
  <c r="AC978" i="1"/>
  <c r="AC973" i="1" s="1"/>
  <c r="L14" i="2" s="1"/>
  <c r="B14" i="2"/>
  <c r="D13" i="2"/>
  <c r="C13" i="2"/>
  <c r="B13" i="2"/>
  <c r="Y894" i="1"/>
  <c r="Z894" i="1"/>
  <c r="AA894" i="1"/>
  <c r="AC899" i="1"/>
  <c r="AC894" i="1" s="1"/>
  <c r="L13" i="2" s="1"/>
  <c r="D12" i="2"/>
  <c r="C12" i="2"/>
  <c r="B12" i="2"/>
  <c r="X684" i="1"/>
  <c r="Y716" i="1"/>
  <c r="Y715" i="1"/>
  <c r="Y714" i="1"/>
  <c r="X713" i="1"/>
  <c r="X712" i="1"/>
  <c r="AB711" i="1"/>
  <c r="Z710" i="1"/>
  <c r="AB709" i="1"/>
  <c r="AA708" i="1"/>
  <c r="W707" i="1"/>
  <c r="W706" i="1"/>
  <c r="AA705" i="1"/>
  <c r="W704" i="1"/>
  <c r="W703" i="1"/>
  <c r="W702" i="1"/>
  <c r="W701" i="1"/>
  <c r="W700" i="1"/>
  <c r="W699" i="1"/>
  <c r="AA698" i="1"/>
  <c r="W697" i="1"/>
  <c r="W696" i="1"/>
  <c r="W695" i="1"/>
  <c r="W694" i="1"/>
  <c r="W693" i="1"/>
  <c r="Z692" i="1"/>
  <c r="X691" i="1"/>
  <c r="X690" i="1"/>
  <c r="X689" i="1"/>
  <c r="Z688" i="1"/>
  <c r="X687" i="1"/>
  <c r="X686" i="1"/>
  <c r="X685" i="1"/>
  <c r="Y683" i="1"/>
  <c r="W682" i="1"/>
  <c r="W681" i="1"/>
  <c r="W680" i="1"/>
  <c r="W679" i="1"/>
  <c r="AC677" i="1"/>
  <c r="AC672" i="1" s="1"/>
  <c r="L12" i="2" s="1"/>
  <c r="D11" i="2"/>
  <c r="C11" i="2"/>
  <c r="B11" i="2"/>
  <c r="X559" i="1"/>
  <c r="Y559" i="1"/>
  <c r="Z559" i="1"/>
  <c r="AA559" i="1"/>
  <c r="W559" i="1"/>
  <c r="AC564" i="1"/>
  <c r="AC559" i="1" s="1"/>
  <c r="L11" i="2" s="1"/>
  <c r="D10" i="2"/>
  <c r="C10" i="2"/>
  <c r="B10" i="2"/>
  <c r="B9" i="2"/>
  <c r="C9" i="2"/>
  <c r="D9" i="2"/>
  <c r="Z396" i="1"/>
  <c r="J10" i="2" s="1"/>
  <c r="W407" i="1"/>
  <c r="AA408" i="1"/>
  <c r="X418" i="1"/>
  <c r="X417" i="1"/>
  <c r="Y416" i="1"/>
  <c r="Y396" i="1" s="1"/>
  <c r="I10" i="2" s="1"/>
  <c r="AB415" i="1"/>
  <c r="AA414" i="1"/>
  <c r="X413" i="1"/>
  <c r="AA412" i="1"/>
  <c r="AB411" i="1"/>
  <c r="W410" i="1"/>
  <c r="W409" i="1"/>
  <c r="X406" i="1"/>
  <c r="W405" i="1"/>
  <c r="W404" i="1"/>
  <c r="W403" i="1"/>
  <c r="AC401" i="1"/>
  <c r="AC396" i="1" s="1"/>
  <c r="AC313" i="1"/>
  <c r="AC308" i="1" s="1"/>
  <c r="L9" i="2" s="1"/>
  <c r="X308" i="1"/>
  <c r="H9" i="2" s="1"/>
  <c r="Y308" i="1"/>
  <c r="I9" i="2" s="1"/>
  <c r="Z308" i="1"/>
  <c r="AA316" i="1"/>
  <c r="AA308" i="1" s="1"/>
  <c r="K9" i="2" s="1"/>
  <c r="W315" i="1"/>
  <c r="W308" i="1" s="1"/>
  <c r="G9" i="2" s="1"/>
  <c r="D8" i="2"/>
  <c r="C8" i="2"/>
  <c r="B8" i="2"/>
  <c r="D7" i="2"/>
  <c r="Z185" i="1"/>
  <c r="J8" i="2" s="1"/>
  <c r="Y211" i="1"/>
  <c r="Y185" i="1" s="1"/>
  <c r="I8" i="2" s="1"/>
  <c r="AB210" i="1"/>
  <c r="AA209" i="1"/>
  <c r="X208" i="1"/>
  <c r="X207" i="1"/>
  <c r="W206" i="1"/>
  <c r="AB205" i="1"/>
  <c r="X204" i="1"/>
  <c r="X203" i="1"/>
  <c r="X202" i="1"/>
  <c r="X201" i="1"/>
  <c r="X200" i="1"/>
  <c r="X199" i="1"/>
  <c r="X198" i="1"/>
  <c r="X197" i="1"/>
  <c r="AB196" i="1"/>
  <c r="X195" i="1"/>
  <c r="X194" i="1"/>
  <c r="W193" i="1"/>
  <c r="AA192" i="1"/>
  <c r="AB191" i="1"/>
  <c r="AC190" i="1"/>
  <c r="AC185" i="1" s="1"/>
  <c r="Z672" i="1" l="1"/>
  <c r="J12" i="2" s="1"/>
  <c r="W1307" i="1"/>
  <c r="G19" i="2" s="1"/>
  <c r="L6" i="2"/>
  <c r="I6" i="2"/>
  <c r="X973" i="1"/>
  <c r="H14" i="2" s="1"/>
  <c r="AA973" i="1"/>
  <c r="K14" i="2" s="1"/>
  <c r="W1070" i="1"/>
  <c r="G15" i="2" s="1"/>
  <c r="AK1564" i="1"/>
  <c r="AB185" i="1"/>
  <c r="M8" i="2" s="1"/>
  <c r="W9" i="1"/>
  <c r="G6" i="2" s="1"/>
  <c r="W396" i="1"/>
  <c r="G10" i="2" s="1"/>
  <c r="L10" i="2"/>
  <c r="X1070" i="1"/>
  <c r="H15" i="2" s="1"/>
  <c r="AA185" i="1"/>
  <c r="K8" i="2" s="1"/>
  <c r="X185" i="1"/>
  <c r="W185" i="1"/>
  <c r="G8" i="2" s="1"/>
  <c r="X396" i="1"/>
  <c r="H10" i="2" s="1"/>
  <c r="AA396" i="1"/>
  <c r="K10" i="2" s="1"/>
  <c r="W672" i="1"/>
  <c r="Y672" i="1"/>
  <c r="I12" i="2" s="1"/>
  <c r="X672" i="1"/>
  <c r="H12" i="2" s="1"/>
  <c r="AA672" i="1"/>
  <c r="K12" i="2" s="1"/>
  <c r="AB1307" i="1"/>
  <c r="M19" i="2" s="1"/>
  <c r="L8" i="2"/>
  <c r="H8" i="2" l="1"/>
  <c r="G12" i="2"/>
  <c r="K26" i="2"/>
  <c r="C7" i="2"/>
  <c r="X74" i="1"/>
  <c r="AC67" i="1"/>
  <c r="Y62" i="1"/>
  <c r="AC62" i="1"/>
  <c r="AA62" i="1"/>
  <c r="AA7" i="1" s="1"/>
  <c r="W79" i="1"/>
  <c r="W78" i="1"/>
  <c r="W77" i="1"/>
  <c r="W76" i="1"/>
  <c r="X75" i="1"/>
  <c r="Z73" i="1"/>
  <c r="Z62" i="1" s="1"/>
  <c r="AB72" i="1"/>
  <c r="AB62" i="1" s="1"/>
  <c r="X71" i="1"/>
  <c r="X70" i="1"/>
  <c r="X69" i="1"/>
  <c r="X68" i="1"/>
  <c r="M7" i="2" l="1"/>
  <c r="L7" i="2"/>
  <c r="J7" i="2"/>
  <c r="J26" i="2" s="1"/>
  <c r="Z7" i="1"/>
  <c r="I7" i="2"/>
  <c r="I26" i="2" s="1"/>
  <c r="Y7" i="1"/>
  <c r="W62" i="1"/>
  <c r="G7" i="2" s="1"/>
  <c r="X62" i="1"/>
  <c r="H7" i="2" s="1"/>
  <c r="H189" i="1" l="1"/>
  <c r="U185" i="1" l="1"/>
  <c r="E8" i="2" s="1"/>
  <c r="L163" i="1"/>
  <c r="L158" i="1"/>
  <c r="V9" i="1"/>
  <c r="F6" i="2" s="1"/>
  <c r="U9" i="1"/>
  <c r="L194" i="1"/>
  <c r="L193" i="1"/>
  <c r="L192" i="1"/>
  <c r="L190" i="1"/>
  <c r="I189" i="1"/>
  <c r="I66" i="1"/>
  <c r="V62" i="1" s="1"/>
  <c r="B7" i="2"/>
  <c r="L176" i="1"/>
  <c r="B6" i="2"/>
  <c r="L79" i="1"/>
  <c r="L75" i="1"/>
  <c r="L76" i="1"/>
  <c r="L77" i="1"/>
  <c r="L78" i="1"/>
  <c r="L58" i="1"/>
  <c r="L56" i="1"/>
  <c r="I51" i="1"/>
  <c r="L51" i="1" s="1"/>
  <c r="I25" i="1"/>
  <c r="L16" i="1"/>
  <c r="L15" i="1"/>
  <c r="E6" i="2" l="1"/>
  <c r="AI9" i="1"/>
  <c r="V185" i="1"/>
  <c r="F8" i="2" s="1"/>
  <c r="F7" i="2"/>
  <c r="I1325" i="1"/>
  <c r="L1325" i="1" s="1"/>
  <c r="J1324" i="1"/>
  <c r="I1328" i="1"/>
  <c r="L1328" i="1" s="1"/>
  <c r="I1401" i="1" l="1"/>
  <c r="I923" i="1"/>
  <c r="L923" i="1" s="1"/>
  <c r="I1476" i="1" l="1"/>
  <c r="L1476" i="1" s="1"/>
  <c r="I1477" i="1"/>
  <c r="L1477" i="1" s="1"/>
  <c r="I1475" i="1"/>
  <c r="J1445" i="1"/>
  <c r="J1444" i="1"/>
  <c r="I1439" i="1"/>
  <c r="J1002" i="1" l="1"/>
  <c r="J1104" i="1" l="1"/>
  <c r="I1001" i="1"/>
  <c r="L1001" i="1" s="1"/>
  <c r="I1000" i="1"/>
  <c r="L1000" i="1" s="1"/>
  <c r="I999" i="1"/>
  <c r="L999" i="1" s="1"/>
  <c r="I998" i="1"/>
  <c r="J914" i="1"/>
  <c r="I758" i="1"/>
  <c r="I757" i="1"/>
  <c r="I756" i="1"/>
  <c r="I720" i="1"/>
  <c r="I609" i="1"/>
  <c r="I608" i="1"/>
  <c r="I611" i="1"/>
  <c r="I610" i="1"/>
  <c r="I607" i="1"/>
  <c r="I426" i="1"/>
  <c r="I425" i="1"/>
  <c r="I424" i="1"/>
  <c r="I87" i="1"/>
  <c r="L87" i="1" s="1"/>
  <c r="I86" i="1"/>
  <c r="L86" i="1" s="1"/>
  <c r="I85" i="1"/>
  <c r="I322" i="1"/>
  <c r="I91" i="1"/>
  <c r="J90" i="1"/>
  <c r="I90" i="1"/>
  <c r="I1465" i="1"/>
  <c r="L1465" i="1" s="1"/>
  <c r="I1466" i="1"/>
  <c r="I1441" i="1"/>
  <c r="L1441" i="1" s="1"/>
  <c r="I1440" i="1"/>
  <c r="L1440" i="1" s="1"/>
  <c r="I1411" i="1" l="1"/>
  <c r="L1359" i="1"/>
  <c r="L1358" i="1"/>
  <c r="L1355" i="1"/>
  <c r="L1350" i="1"/>
  <c r="L1349" i="1"/>
  <c r="L1348" i="1"/>
  <c r="L1347" i="1"/>
  <c r="L1346" i="1"/>
  <c r="L1301" i="1" l="1"/>
  <c r="L1300" i="1"/>
  <c r="L1165" i="1"/>
  <c r="L1172" i="1"/>
  <c r="L1171" i="1"/>
  <c r="L1170" i="1"/>
  <c r="L1167" i="1"/>
  <c r="L1166" i="1"/>
  <c r="L1161" i="1"/>
  <c r="L1160" i="1"/>
  <c r="I1159" i="1"/>
  <c r="L1159" i="1" s="1"/>
  <c r="L1157" i="1"/>
  <c r="L1152" i="1"/>
  <c r="L1150" i="1"/>
  <c r="L1149" i="1"/>
  <c r="L1174" i="1"/>
  <c r="L1175" i="1"/>
  <c r="L1035" i="1"/>
  <c r="L1033" i="1"/>
  <c r="L1026" i="1"/>
  <c r="I1027" i="1"/>
  <c r="L1027" i="1" s="1"/>
  <c r="L1028" i="1"/>
  <c r="L1029" i="1"/>
  <c r="L1032" i="1"/>
  <c r="L1034" i="1"/>
  <c r="L1036" i="1"/>
  <c r="I1039" i="1"/>
  <c r="L1039" i="1" s="1"/>
  <c r="L1042" i="1"/>
  <c r="I1044" i="1"/>
  <c r="L1044" i="1" s="1"/>
  <c r="L957" i="1"/>
  <c r="L955" i="1"/>
  <c r="L954" i="1"/>
  <c r="L953" i="1"/>
  <c r="I952" i="1"/>
  <c r="L952" i="1" s="1"/>
  <c r="I950" i="1"/>
  <c r="L950" i="1" s="1"/>
  <c r="I949" i="1"/>
  <c r="L949" i="1" s="1"/>
  <c r="L948" i="1"/>
  <c r="L947" i="1"/>
  <c r="L943" i="1"/>
  <c r="L838" i="1"/>
  <c r="L837" i="1"/>
  <c r="L834" i="1"/>
  <c r="I833" i="1"/>
  <c r="L833" i="1" s="1"/>
  <c r="I832" i="1"/>
  <c r="L832" i="1" s="1"/>
  <c r="L831" i="1"/>
  <c r="I828" i="1"/>
  <c r="L828" i="1" s="1"/>
  <c r="I827" i="1"/>
  <c r="L827" i="1" s="1"/>
  <c r="L825" i="1"/>
  <c r="L824" i="1"/>
  <c r="L823" i="1"/>
  <c r="I822" i="1"/>
  <c r="L822" i="1" s="1"/>
  <c r="I821" i="1"/>
  <c r="L821" i="1" s="1"/>
  <c r="I820" i="1"/>
  <c r="L820" i="1" s="1"/>
  <c r="L819" i="1"/>
  <c r="L818" i="1"/>
  <c r="L817" i="1"/>
  <c r="L816" i="1"/>
  <c r="L815" i="1"/>
  <c r="L814" i="1"/>
  <c r="L813" i="1"/>
  <c r="L812" i="1"/>
  <c r="L811" i="1"/>
  <c r="L807" i="1"/>
  <c r="L806" i="1"/>
  <c r="L803" i="1"/>
  <c r="L801" i="1"/>
  <c r="I797" i="1"/>
  <c r="L797" i="1" s="1"/>
  <c r="L791" i="1"/>
  <c r="L842" i="1"/>
  <c r="L843" i="1"/>
  <c r="L846" i="1"/>
  <c r="L847" i="1"/>
  <c r="L848" i="1"/>
  <c r="L664" i="1"/>
  <c r="L661" i="1"/>
  <c r="L660" i="1"/>
  <c r="L659" i="1"/>
  <c r="L658" i="1"/>
  <c r="L656" i="1"/>
  <c r="I653" i="1"/>
  <c r="L653" i="1" s="1"/>
  <c r="I652" i="1"/>
  <c r="L652" i="1" s="1"/>
  <c r="L651" i="1"/>
  <c r="I648" i="1"/>
  <c r="L648" i="1" s="1"/>
  <c r="L646" i="1"/>
  <c r="L645" i="1"/>
  <c r="L644" i="1"/>
  <c r="L643" i="1"/>
  <c r="L642" i="1"/>
  <c r="L641" i="1"/>
  <c r="L640" i="1"/>
  <c r="L639" i="1"/>
  <c r="L638" i="1"/>
  <c r="L637" i="1"/>
  <c r="L636" i="1"/>
  <c r="L633" i="1"/>
  <c r="L528" i="1"/>
  <c r="L529" i="1"/>
  <c r="L532" i="1"/>
  <c r="I531" i="1"/>
  <c r="L531" i="1" s="1"/>
  <c r="I524" i="1"/>
  <c r="L524" i="1" s="1"/>
  <c r="L522" i="1"/>
  <c r="L520" i="1"/>
  <c r="L518" i="1"/>
  <c r="L517" i="1"/>
  <c r="L516" i="1"/>
  <c r="L515" i="1"/>
  <c r="I511" i="1"/>
  <c r="L511" i="1" s="1"/>
  <c r="L510" i="1"/>
  <c r="L509" i="1"/>
  <c r="I506" i="1"/>
  <c r="L506" i="1" s="1"/>
  <c r="L505" i="1"/>
  <c r="L504" i="1"/>
  <c r="I503" i="1"/>
  <c r="L503" i="1" s="1"/>
  <c r="L502" i="1"/>
  <c r="L501" i="1"/>
  <c r="L500" i="1"/>
  <c r="L499" i="1"/>
  <c r="L498" i="1"/>
  <c r="L497" i="1"/>
  <c r="L496" i="1"/>
  <c r="L495" i="1"/>
  <c r="L494" i="1"/>
  <c r="L534" i="1"/>
  <c r="L535" i="1"/>
  <c r="E537" i="1"/>
  <c r="L538" i="1"/>
  <c r="L539" i="1"/>
  <c r="L540" i="1"/>
  <c r="L541" i="1"/>
  <c r="L542" i="1"/>
  <c r="L543" i="1"/>
  <c r="L544" i="1"/>
  <c r="L545" i="1"/>
  <c r="L546" i="1"/>
  <c r="L547" i="1"/>
  <c r="L548" i="1"/>
  <c r="L549" i="1"/>
  <c r="L550" i="1"/>
  <c r="L551" i="1"/>
  <c r="L552" i="1"/>
  <c r="L1299" i="1" l="1"/>
  <c r="L1173" i="1"/>
  <c r="AG1070" i="1" s="1"/>
  <c r="Q15" i="2" s="1"/>
  <c r="L940" i="1"/>
  <c r="AF894" i="1" s="1"/>
  <c r="P13" i="2" s="1"/>
  <c r="L841" i="1"/>
  <c r="AG672" i="1" s="1"/>
  <c r="Q12" i="2" s="1"/>
  <c r="L630" i="1"/>
  <c r="AF559" i="1" s="1"/>
  <c r="P11" i="2" s="1"/>
  <c r="L533" i="1"/>
  <c r="AG396" i="1" s="1"/>
  <c r="Q10" i="2" s="1"/>
  <c r="P1299" i="1" l="1"/>
  <c r="AF1287" i="1"/>
  <c r="P18" i="2" s="1"/>
  <c r="L383" i="1"/>
  <c r="L381" i="1"/>
  <c r="I380" i="1"/>
  <c r="L380" i="1" s="1"/>
  <c r="L378" i="1"/>
  <c r="L376" i="1"/>
  <c r="L374" i="1"/>
  <c r="I373" i="1"/>
  <c r="L373" i="1" s="1"/>
  <c r="L372" i="1"/>
  <c r="L371" i="1"/>
  <c r="L370" i="1"/>
  <c r="L369" i="1"/>
  <c r="L368" i="1"/>
  <c r="L366" i="1"/>
  <c r="L365" i="1"/>
  <c r="L364" i="1"/>
  <c r="L360" i="1"/>
  <c r="I359" i="1"/>
  <c r="L359" i="1" s="1"/>
  <c r="L358" i="1"/>
  <c r="L357" i="1"/>
  <c r="L356" i="1"/>
  <c r="L355" i="1"/>
  <c r="L354" i="1"/>
  <c r="L353" i="1"/>
  <c r="I352" i="1"/>
  <c r="L352" i="1" s="1"/>
  <c r="L351" i="1"/>
  <c r="L348" i="1"/>
  <c r="L347" i="1"/>
  <c r="L346" i="1"/>
  <c r="L385" i="1"/>
  <c r="L386" i="1"/>
  <c r="E388" i="1"/>
  <c r="G247" i="1"/>
  <c r="D247" i="1"/>
  <c r="L269" i="1"/>
  <c r="L268" i="1"/>
  <c r="L266" i="1"/>
  <c r="L265" i="1"/>
  <c r="L264" i="1"/>
  <c r="L263" i="1"/>
  <c r="L261" i="1"/>
  <c r="L260" i="1"/>
  <c r="L259" i="1"/>
  <c r="L258" i="1"/>
  <c r="L256" i="1"/>
  <c r="L254" i="1"/>
  <c r="L252" i="1"/>
  <c r="L251" i="1"/>
  <c r="L249" i="1"/>
  <c r="L162" i="1"/>
  <c r="L160" i="1"/>
  <c r="L159" i="1"/>
  <c r="L157" i="1"/>
  <c r="L155" i="1"/>
  <c r="L154" i="1"/>
  <c r="L153" i="1"/>
  <c r="L151" i="1"/>
  <c r="L150" i="1"/>
  <c r="L147" i="1" l="1"/>
  <c r="AF62" i="1" s="1"/>
  <c r="P7" i="2" s="1"/>
  <c r="L384" i="1"/>
  <c r="P384" i="1" l="1"/>
  <c r="AG308" i="1"/>
  <c r="Q9" i="2" s="1"/>
  <c r="P1365" i="1" l="1"/>
  <c r="I1330" i="1"/>
  <c r="L1327" i="1"/>
  <c r="I1332" i="1"/>
  <c r="I1367" i="1"/>
  <c r="I1329" i="1"/>
  <c r="L1329" i="1" s="1"/>
  <c r="I1298" i="1"/>
  <c r="L1298" i="1" s="1"/>
  <c r="I1296" i="1" l="1"/>
  <c r="L1296" i="1" s="1"/>
  <c r="I1295" i="1"/>
  <c r="I1271" i="1" l="1"/>
  <c r="I1254" i="1"/>
  <c r="I1276" i="1"/>
  <c r="I1260" i="1"/>
  <c r="L1260" i="1" s="1"/>
  <c r="I1259" i="1"/>
  <c r="L1259" i="1" s="1"/>
  <c r="I1258" i="1"/>
  <c r="I1218" i="1"/>
  <c r="L1218" i="1" s="1"/>
  <c r="J1253" i="1"/>
  <c r="I1227" i="1"/>
  <c r="I1231" i="1"/>
  <c r="I1222" i="1"/>
  <c r="L1222" i="1" s="1"/>
  <c r="I1220" i="1"/>
  <c r="L1138" i="1"/>
  <c r="L1140" i="1"/>
  <c r="I1133" i="1"/>
  <c r="I1130" i="1"/>
  <c r="I1123" i="1"/>
  <c r="L1123" i="1" s="1"/>
  <c r="I1122" i="1"/>
  <c r="L1122" i="1" s="1"/>
  <c r="I1121" i="1"/>
  <c r="I1103" i="1"/>
  <c r="I1099" i="1"/>
  <c r="I1104" i="1" s="1"/>
  <c r="L1104" i="1" s="1"/>
  <c r="I1102" i="1"/>
  <c r="L1102" i="1" s="1"/>
  <c r="I1101" i="1"/>
  <c r="L1101" i="1" s="1"/>
  <c r="I1100" i="1"/>
  <c r="J1015" i="1" l="1"/>
  <c r="J619" i="1"/>
  <c r="I619" i="1"/>
  <c r="I1015" i="1"/>
  <c r="I1014" i="1"/>
  <c r="I997" i="1"/>
  <c r="J997" i="1"/>
  <c r="I996" i="1"/>
  <c r="J996" i="1"/>
  <c r="I1010" i="1"/>
  <c r="I1005" i="1"/>
  <c r="L1005" i="1" s="1"/>
  <c r="I1004" i="1"/>
  <c r="I994" i="1"/>
  <c r="I993" i="1"/>
  <c r="L993" i="1" s="1"/>
  <c r="I992" i="1"/>
  <c r="L992" i="1" s="1"/>
  <c r="I991" i="1"/>
  <c r="L991" i="1" s="1"/>
  <c r="I926" i="1"/>
  <c r="I927" i="1"/>
  <c r="I916" i="1"/>
  <c r="I911" i="1"/>
  <c r="L911" i="1" s="1"/>
  <c r="I909" i="1"/>
  <c r="I910" i="1"/>
  <c r="L910" i="1" s="1"/>
  <c r="I764" i="1"/>
  <c r="L764" i="1" s="1"/>
  <c r="I770" i="1"/>
  <c r="L770" i="1" s="1"/>
  <c r="I769" i="1"/>
  <c r="L769" i="1" s="1"/>
  <c r="I767" i="1"/>
  <c r="L767" i="1" s="1"/>
  <c r="I766" i="1"/>
  <c r="L766" i="1" s="1"/>
  <c r="I763" i="1"/>
  <c r="L763" i="1" s="1"/>
  <c r="L758" i="1"/>
  <c r="L757" i="1"/>
  <c r="L756" i="1"/>
  <c r="I754" i="1"/>
  <c r="L754" i="1" s="1"/>
  <c r="I747" i="1"/>
  <c r="L747" i="1" s="1"/>
  <c r="I742" i="1"/>
  <c r="L742" i="1" s="1"/>
  <c r="I738" i="1"/>
  <c r="L738" i="1" s="1"/>
  <c r="I739" i="1"/>
  <c r="L739" i="1" s="1"/>
  <c r="L720" i="1"/>
  <c r="I722" i="1"/>
  <c r="L722" i="1" s="1"/>
  <c r="I721" i="1"/>
  <c r="L721" i="1" s="1"/>
  <c r="I719" i="1"/>
  <c r="L719" i="1" s="1"/>
  <c r="I724" i="1"/>
  <c r="L724" i="1" s="1"/>
  <c r="I725" i="1"/>
  <c r="L725" i="1" s="1"/>
  <c r="I726" i="1"/>
  <c r="L726" i="1" s="1"/>
  <c r="I727" i="1"/>
  <c r="L727" i="1" s="1"/>
  <c r="I728" i="1"/>
  <c r="L728" i="1" s="1"/>
  <c r="I729" i="1"/>
  <c r="L729" i="1" s="1"/>
  <c r="I730" i="1"/>
  <c r="L730" i="1" s="1"/>
  <c r="I731" i="1"/>
  <c r="L731" i="1" s="1"/>
  <c r="I732" i="1"/>
  <c r="L732" i="1" s="1"/>
  <c r="I733" i="1"/>
  <c r="L733" i="1" s="1"/>
  <c r="I734" i="1"/>
  <c r="L734" i="1" s="1"/>
  <c r="I735" i="1"/>
  <c r="L735" i="1" s="1"/>
  <c r="I736" i="1"/>
  <c r="L736" i="1" s="1"/>
  <c r="I737" i="1"/>
  <c r="L737" i="1" s="1"/>
  <c r="I740" i="1"/>
  <c r="L740" i="1" s="1"/>
  <c r="I741" i="1"/>
  <c r="L741" i="1" s="1"/>
  <c r="I743" i="1"/>
  <c r="L743" i="1" s="1"/>
  <c r="I744" i="1"/>
  <c r="L744" i="1" s="1"/>
  <c r="I745" i="1"/>
  <c r="L745" i="1" s="1"/>
  <c r="I746" i="1"/>
  <c r="L746" i="1" s="1"/>
  <c r="I748" i="1"/>
  <c r="L748" i="1" s="1"/>
  <c r="I749" i="1"/>
  <c r="L749" i="1" s="1"/>
  <c r="I750" i="1"/>
  <c r="L750" i="1" s="1"/>
  <c r="I751" i="1"/>
  <c r="L751" i="1" s="1"/>
  <c r="I752" i="1"/>
  <c r="L752" i="1" s="1"/>
  <c r="L753" i="1"/>
  <c r="I755" i="1"/>
  <c r="L755" i="1" s="1"/>
  <c r="I759" i="1"/>
  <c r="L759" i="1" s="1"/>
  <c r="I760" i="1"/>
  <c r="L760" i="1" s="1"/>
  <c r="I761" i="1"/>
  <c r="L761" i="1" s="1"/>
  <c r="I762" i="1"/>
  <c r="L762" i="1" s="1"/>
  <c r="I765" i="1"/>
  <c r="L765" i="1" s="1"/>
  <c r="I768" i="1"/>
  <c r="L768" i="1" s="1"/>
  <c r="I771" i="1"/>
  <c r="L771" i="1" s="1"/>
  <c r="I772" i="1"/>
  <c r="J772" i="1"/>
  <c r="I773" i="1"/>
  <c r="L773" i="1" s="1"/>
  <c r="AI894" i="1" l="1"/>
  <c r="L997" i="1"/>
  <c r="L996" i="1"/>
  <c r="L772" i="1"/>
  <c r="L717" i="1" s="1"/>
  <c r="AE672" i="1" s="1"/>
  <c r="O12" i="2" s="1"/>
  <c r="J620" i="1" l="1"/>
  <c r="J621" i="1"/>
  <c r="I621" i="1"/>
  <c r="I620" i="1"/>
  <c r="I614" i="1"/>
  <c r="I612" i="1"/>
  <c r="L612" i="1" s="1"/>
  <c r="L611" i="1"/>
  <c r="L609" i="1"/>
  <c r="I616" i="1"/>
  <c r="I606" i="1"/>
  <c r="I604" i="1"/>
  <c r="I605" i="1"/>
  <c r="I466" i="1"/>
  <c r="L466" i="1" s="1"/>
  <c r="J462" i="1"/>
  <c r="I326" i="1"/>
  <c r="I428" i="1"/>
  <c r="I423" i="1"/>
  <c r="L426" i="1"/>
  <c r="L425" i="1"/>
  <c r="L620" i="1" l="1"/>
  <c r="L619" i="1"/>
  <c r="L621" i="1"/>
  <c r="L339" i="1" l="1"/>
  <c r="I341" i="1"/>
  <c r="L341" i="1" s="1"/>
  <c r="I337" i="1"/>
  <c r="L337" i="1" s="1"/>
  <c r="I330" i="1"/>
  <c r="I324" i="1"/>
  <c r="L324" i="1" s="1"/>
  <c r="I323" i="1"/>
  <c r="L323" i="1" s="1"/>
  <c r="I242" i="1"/>
  <c r="L242" i="1" s="1"/>
  <c r="I230" i="1"/>
  <c r="I226" i="1"/>
  <c r="L226" i="1" s="1"/>
  <c r="J224" i="1"/>
  <c r="I217" i="1"/>
  <c r="L217" i="1" s="1"/>
  <c r="I216" i="1"/>
  <c r="L216" i="1" s="1"/>
  <c r="I215" i="1"/>
  <c r="I141" i="1" l="1"/>
  <c r="L141" i="1" s="1"/>
  <c r="I140" i="1"/>
  <c r="L140" i="1" s="1"/>
  <c r="I139" i="1"/>
  <c r="I138" i="1"/>
  <c r="L138" i="1" s="1"/>
  <c r="I137" i="1"/>
  <c r="L137" i="1" s="1"/>
  <c r="I136" i="1"/>
  <c r="I132" i="1"/>
  <c r="I129" i="1"/>
  <c r="L129" i="1" s="1"/>
  <c r="I128" i="1"/>
  <c r="L128" i="1" s="1"/>
  <c r="I127" i="1"/>
  <c r="L127" i="1" s="1"/>
  <c r="I126" i="1"/>
  <c r="L126" i="1" s="1"/>
  <c r="I125" i="1"/>
  <c r="L125" i="1" s="1"/>
  <c r="I124" i="1"/>
  <c r="I118" i="1"/>
  <c r="L118" i="1" s="1"/>
  <c r="I117" i="1"/>
  <c r="L117" i="1" s="1"/>
  <c r="J27" i="1"/>
  <c r="I23" i="1"/>
  <c r="L23" i="1" s="1"/>
  <c r="I22" i="1"/>
  <c r="L22" i="1" s="1"/>
  <c r="O14" i="1"/>
  <c r="T22" i="2" l="1"/>
  <c r="B5" i="2"/>
  <c r="L1501" i="1"/>
  <c r="E1501" i="1"/>
  <c r="D1501" i="1"/>
  <c r="C1501" i="1"/>
  <c r="L1500" i="1"/>
  <c r="E1500" i="1"/>
  <c r="D1500" i="1"/>
  <c r="C1500" i="1"/>
  <c r="L1499" i="1"/>
  <c r="E1499" i="1"/>
  <c r="D1499" i="1"/>
  <c r="C1499" i="1"/>
  <c r="L1498" i="1"/>
  <c r="E1498" i="1"/>
  <c r="D1498" i="1"/>
  <c r="C1498" i="1"/>
  <c r="L1497" i="1"/>
  <c r="E1497" i="1"/>
  <c r="D1497" i="1"/>
  <c r="C1497" i="1"/>
  <c r="L1495" i="1"/>
  <c r="L1494" i="1" s="1"/>
  <c r="AG1423" i="1" s="1"/>
  <c r="Q21" i="2" s="1"/>
  <c r="L1493" i="1"/>
  <c r="L1491" i="1"/>
  <c r="L1487" i="1"/>
  <c r="L1486" i="1"/>
  <c r="L1485" i="1"/>
  <c r="L1483" i="1"/>
  <c r="L1481" i="1"/>
  <c r="L1479" i="1"/>
  <c r="L1475" i="1"/>
  <c r="L1474" i="1"/>
  <c r="I1473" i="1"/>
  <c r="L1473" i="1" s="1"/>
  <c r="L1472" i="1"/>
  <c r="I1471" i="1"/>
  <c r="L1471" i="1" s="1"/>
  <c r="I1470" i="1"/>
  <c r="L1470" i="1" s="1"/>
  <c r="I1469" i="1"/>
  <c r="L1469" i="1" s="1"/>
  <c r="I1468" i="1"/>
  <c r="L1468" i="1" s="1"/>
  <c r="I1467" i="1"/>
  <c r="L1467" i="1" s="1"/>
  <c r="L1466" i="1"/>
  <c r="I1464" i="1"/>
  <c r="L1464" i="1" s="1"/>
  <c r="I1463" i="1"/>
  <c r="L1463" i="1" s="1"/>
  <c r="I1462" i="1"/>
  <c r="L1462" i="1" s="1"/>
  <c r="I1461" i="1"/>
  <c r="L1461" i="1" s="1"/>
  <c r="I1460" i="1"/>
  <c r="L1460" i="1" s="1"/>
  <c r="I1459" i="1"/>
  <c r="L1459" i="1" s="1"/>
  <c r="I1458" i="1"/>
  <c r="L1458" i="1" s="1"/>
  <c r="I1457" i="1"/>
  <c r="L1457" i="1" s="1"/>
  <c r="I1456" i="1"/>
  <c r="L1456" i="1" s="1"/>
  <c r="I1455" i="1"/>
  <c r="L1455" i="1" s="1"/>
  <c r="I1454" i="1"/>
  <c r="L1454" i="1" s="1"/>
  <c r="I1445" i="1"/>
  <c r="L1445" i="1" s="1"/>
  <c r="I1453" i="1"/>
  <c r="L1453" i="1" s="1"/>
  <c r="I1452" i="1"/>
  <c r="L1452" i="1" s="1"/>
  <c r="I1451" i="1"/>
  <c r="L1451" i="1" s="1"/>
  <c r="I1450" i="1"/>
  <c r="L1450" i="1" s="1"/>
  <c r="I1449" i="1"/>
  <c r="L1449" i="1" s="1"/>
  <c r="I1448" i="1"/>
  <c r="L1448" i="1" s="1"/>
  <c r="I1447" i="1"/>
  <c r="L1447" i="1" s="1"/>
  <c r="I1446" i="1"/>
  <c r="L1446" i="1" s="1"/>
  <c r="I1443" i="1"/>
  <c r="L1443" i="1" s="1"/>
  <c r="I1442" i="1"/>
  <c r="L1442" i="1" s="1"/>
  <c r="L1439" i="1"/>
  <c r="I1438" i="1"/>
  <c r="L1438" i="1" s="1"/>
  <c r="J1437" i="1"/>
  <c r="I1437" i="1"/>
  <c r="I1436" i="1"/>
  <c r="L1433" i="1"/>
  <c r="L1432" i="1"/>
  <c r="L1431" i="1"/>
  <c r="L1430" i="1"/>
  <c r="L1429" i="1"/>
  <c r="O1428" i="1"/>
  <c r="L1428" i="1"/>
  <c r="I1427" i="1"/>
  <c r="V1423" i="1" s="1"/>
  <c r="F21" i="2" s="1"/>
  <c r="H1427" i="1"/>
  <c r="U1423" i="1" s="1"/>
  <c r="E21" i="2" s="1"/>
  <c r="I1420" i="1"/>
  <c r="L1420" i="1" s="1"/>
  <c r="E1420" i="1"/>
  <c r="C1420" i="1"/>
  <c r="I1419" i="1"/>
  <c r="L1419" i="1" s="1"/>
  <c r="E1419" i="1"/>
  <c r="C1419" i="1"/>
  <c r="I1418" i="1"/>
  <c r="L1418" i="1" s="1"/>
  <c r="E1418" i="1"/>
  <c r="C1418" i="1"/>
  <c r="I1417" i="1"/>
  <c r="L1417" i="1" s="1"/>
  <c r="E1417" i="1"/>
  <c r="C1417" i="1"/>
  <c r="I1416" i="1"/>
  <c r="L1416" i="1" s="1"/>
  <c r="E1416" i="1"/>
  <c r="C1416" i="1"/>
  <c r="I1415" i="1"/>
  <c r="L1415" i="1" s="1"/>
  <c r="E1415" i="1"/>
  <c r="C1415" i="1"/>
  <c r="I1414" i="1"/>
  <c r="L1414" i="1" s="1"/>
  <c r="E1414" i="1"/>
  <c r="C1414" i="1"/>
  <c r="I1413" i="1"/>
  <c r="L1413" i="1" s="1"/>
  <c r="E1413" i="1"/>
  <c r="C1413" i="1"/>
  <c r="I1412" i="1"/>
  <c r="L1412" i="1" s="1"/>
  <c r="E1412" i="1"/>
  <c r="C1412" i="1"/>
  <c r="L1411" i="1"/>
  <c r="E1411" i="1"/>
  <c r="C1411" i="1"/>
  <c r="I1407" i="1"/>
  <c r="L1407" i="1" s="1"/>
  <c r="L1406" i="1" s="1"/>
  <c r="P1406" i="1" s="1"/>
  <c r="E1407" i="1"/>
  <c r="D1407" i="1"/>
  <c r="I1405" i="1"/>
  <c r="L1405" i="1" s="1"/>
  <c r="I1404" i="1"/>
  <c r="L1404" i="1" s="1"/>
  <c r="I1403" i="1"/>
  <c r="L1403" i="1" s="1"/>
  <c r="I1402" i="1"/>
  <c r="L1402" i="1" s="1"/>
  <c r="L1401" i="1"/>
  <c r="I1400" i="1"/>
  <c r="L1400" i="1" s="1"/>
  <c r="I1399" i="1"/>
  <c r="L1399" i="1" s="1"/>
  <c r="I1398" i="1"/>
  <c r="L1398" i="1" s="1"/>
  <c r="L1395" i="1"/>
  <c r="L1394" i="1"/>
  <c r="L1393" i="1"/>
  <c r="L1392" i="1"/>
  <c r="L1391" i="1"/>
  <c r="L1390" i="1"/>
  <c r="L1389" i="1"/>
  <c r="L1388" i="1"/>
  <c r="L1387" i="1"/>
  <c r="L1386" i="1"/>
  <c r="I1385" i="1"/>
  <c r="V1381" i="1" s="1"/>
  <c r="F20" i="2" s="1"/>
  <c r="H1385" i="1"/>
  <c r="U1381" i="1" s="1"/>
  <c r="E20" i="2" s="1"/>
  <c r="G1364" i="1"/>
  <c r="E1377" i="1"/>
  <c r="E1378" i="1" s="1"/>
  <c r="D1377" i="1"/>
  <c r="D1378" i="1" s="1"/>
  <c r="I1374" i="1"/>
  <c r="L1374" i="1" s="1"/>
  <c r="I1373" i="1"/>
  <c r="L1373" i="1" s="1"/>
  <c r="F1373" i="1"/>
  <c r="E1373" i="1"/>
  <c r="D1373" i="1"/>
  <c r="C1373" i="1"/>
  <c r="I1372" i="1"/>
  <c r="L1372" i="1" s="1"/>
  <c r="F1372" i="1"/>
  <c r="E1372" i="1"/>
  <c r="D1372" i="1"/>
  <c r="C1372" i="1"/>
  <c r="I1371" i="1"/>
  <c r="L1371" i="1" s="1"/>
  <c r="F1371" i="1"/>
  <c r="E1371" i="1"/>
  <c r="D1371" i="1"/>
  <c r="C1371" i="1"/>
  <c r="I1370" i="1"/>
  <c r="L1370" i="1" s="1"/>
  <c r="F1370" i="1"/>
  <c r="E1370" i="1"/>
  <c r="D1370" i="1"/>
  <c r="C1370" i="1"/>
  <c r="I1369" i="1"/>
  <c r="L1369" i="1" s="1"/>
  <c r="F1369" i="1"/>
  <c r="E1369" i="1"/>
  <c r="D1369" i="1"/>
  <c r="C1369" i="1"/>
  <c r="I1368" i="1"/>
  <c r="L1368" i="1" s="1"/>
  <c r="F1368" i="1"/>
  <c r="E1368" i="1"/>
  <c r="D1368" i="1"/>
  <c r="C1368" i="1"/>
  <c r="L1367" i="1"/>
  <c r="F1367" i="1"/>
  <c r="E1367" i="1"/>
  <c r="D1367" i="1"/>
  <c r="C1367" i="1"/>
  <c r="L1344" i="1"/>
  <c r="L1343" i="1"/>
  <c r="L1340" i="1"/>
  <c r="L1339" i="1"/>
  <c r="L1338" i="1"/>
  <c r="L1337" i="1"/>
  <c r="L1336" i="1"/>
  <c r="L1335" i="1"/>
  <c r="L1332" i="1"/>
  <c r="L1330" i="1"/>
  <c r="I1323" i="1"/>
  <c r="I1320" i="1"/>
  <c r="L1319" i="1"/>
  <c r="L1318" i="1"/>
  <c r="L1317" i="1"/>
  <c r="L1316" i="1"/>
  <c r="L1315" i="1"/>
  <c r="L1314" i="1"/>
  <c r="L1313" i="1"/>
  <c r="L1312" i="1"/>
  <c r="L1297" i="1"/>
  <c r="L1295" i="1"/>
  <c r="L1292" i="1"/>
  <c r="I1291" i="1"/>
  <c r="V1287" i="1" s="1"/>
  <c r="F18" i="2" s="1"/>
  <c r="H1291" i="1"/>
  <c r="U1287" i="1" s="1"/>
  <c r="E18" i="2" s="1"/>
  <c r="P1282" i="1"/>
  <c r="L1281" i="1"/>
  <c r="L1280" i="1" s="1"/>
  <c r="P1279" i="1"/>
  <c r="I1278" i="1"/>
  <c r="L1278" i="1" s="1"/>
  <c r="L1277" i="1"/>
  <c r="L1276" i="1"/>
  <c r="L1275" i="1"/>
  <c r="I1273" i="1"/>
  <c r="L1273" i="1" s="1"/>
  <c r="I1272" i="1"/>
  <c r="L1272" i="1" s="1"/>
  <c r="L1271" i="1"/>
  <c r="I1270" i="1"/>
  <c r="L1270" i="1" s="1"/>
  <c r="I1269" i="1"/>
  <c r="L1269" i="1" s="1"/>
  <c r="I1268" i="1"/>
  <c r="L1268" i="1" s="1"/>
  <c r="I1267" i="1"/>
  <c r="L1267" i="1" s="1"/>
  <c r="I1266" i="1"/>
  <c r="L1266" i="1" s="1"/>
  <c r="J1265" i="1"/>
  <c r="I1265" i="1"/>
  <c r="I1264" i="1"/>
  <c r="L1264" i="1" s="1"/>
  <c r="I1263" i="1"/>
  <c r="L1263" i="1" s="1"/>
  <c r="I1262" i="1"/>
  <c r="L1262" i="1" s="1"/>
  <c r="I1261" i="1"/>
  <c r="L1261" i="1" s="1"/>
  <c r="L1258" i="1"/>
  <c r="J1257" i="1"/>
  <c r="I1257" i="1"/>
  <c r="I1256" i="1"/>
  <c r="L1256" i="1" s="1"/>
  <c r="I1255" i="1"/>
  <c r="L1255" i="1" s="1"/>
  <c r="L1254" i="1"/>
  <c r="I1253" i="1"/>
  <c r="J1252" i="1"/>
  <c r="I1252" i="1"/>
  <c r="I1251" i="1"/>
  <c r="L1251" i="1" s="1"/>
  <c r="I1248" i="1"/>
  <c r="H1247" i="1"/>
  <c r="U1243" i="1" s="1"/>
  <c r="E17" i="2" s="1"/>
  <c r="L1237" i="1"/>
  <c r="L1236" i="1" s="1"/>
  <c r="P1236" i="1" s="1"/>
  <c r="L1235" i="1"/>
  <c r="L1234" i="1"/>
  <c r="L1231" i="1"/>
  <c r="L1230" i="1"/>
  <c r="I1228" i="1"/>
  <c r="L1228" i="1" s="1"/>
  <c r="L1227" i="1"/>
  <c r="I1226" i="1"/>
  <c r="L1226" i="1" s="1"/>
  <c r="I1225" i="1"/>
  <c r="L1225" i="1" s="1"/>
  <c r="I1224" i="1"/>
  <c r="L1224" i="1" s="1"/>
  <c r="I1223" i="1"/>
  <c r="L1223" i="1" s="1"/>
  <c r="I1221" i="1"/>
  <c r="L1221" i="1" s="1"/>
  <c r="L1220" i="1"/>
  <c r="I1219" i="1"/>
  <c r="L1219" i="1" s="1"/>
  <c r="J1217" i="1"/>
  <c r="I1217" i="1"/>
  <c r="I1216" i="1"/>
  <c r="L1216" i="1" s="1"/>
  <c r="I1213" i="1"/>
  <c r="AC1208" i="1" s="1"/>
  <c r="H1212" i="1"/>
  <c r="U1208" i="1" s="1"/>
  <c r="E16" i="2" s="1"/>
  <c r="I1197" i="1"/>
  <c r="L1197" i="1" s="1"/>
  <c r="E1197" i="1"/>
  <c r="D1197" i="1"/>
  <c r="C1197" i="1"/>
  <c r="I1196" i="1"/>
  <c r="L1196" i="1" s="1"/>
  <c r="E1196" i="1"/>
  <c r="D1196" i="1"/>
  <c r="C1196" i="1"/>
  <c r="I1195" i="1"/>
  <c r="L1195" i="1" s="1"/>
  <c r="E1195" i="1"/>
  <c r="D1195" i="1"/>
  <c r="C1195" i="1"/>
  <c r="I1194" i="1"/>
  <c r="L1194" i="1" s="1"/>
  <c r="E1194" i="1"/>
  <c r="D1194" i="1"/>
  <c r="C1194" i="1"/>
  <c r="L1193" i="1"/>
  <c r="I1192" i="1"/>
  <c r="L1192" i="1" s="1"/>
  <c r="E1192" i="1"/>
  <c r="D1192" i="1"/>
  <c r="C1192" i="1"/>
  <c r="I1191" i="1"/>
  <c r="L1191" i="1" s="1"/>
  <c r="E1191" i="1"/>
  <c r="D1191" i="1"/>
  <c r="C1191" i="1"/>
  <c r="I1190" i="1"/>
  <c r="L1190" i="1" s="1"/>
  <c r="E1190" i="1"/>
  <c r="D1190" i="1"/>
  <c r="C1190" i="1"/>
  <c r="I1189" i="1"/>
  <c r="L1189" i="1" s="1"/>
  <c r="E1189" i="1"/>
  <c r="D1189" i="1"/>
  <c r="C1189" i="1"/>
  <c r="I1188" i="1"/>
  <c r="L1188" i="1" s="1"/>
  <c r="E1188" i="1"/>
  <c r="D1188" i="1"/>
  <c r="C1188" i="1"/>
  <c r="I1187" i="1"/>
  <c r="L1187" i="1" s="1"/>
  <c r="E1187" i="1"/>
  <c r="D1187" i="1"/>
  <c r="C1187" i="1"/>
  <c r="I1186" i="1"/>
  <c r="L1186" i="1" s="1"/>
  <c r="E1186" i="1"/>
  <c r="D1186" i="1"/>
  <c r="C1186" i="1"/>
  <c r="L1185" i="1"/>
  <c r="E1185" i="1"/>
  <c r="E1201" i="1" s="1"/>
  <c r="E1202" i="1" s="1"/>
  <c r="E1147" i="1" s="1"/>
  <c r="D1185" i="1"/>
  <c r="D1201" i="1" s="1"/>
  <c r="D1202" i="1" s="1"/>
  <c r="I1184" i="1"/>
  <c r="L1184" i="1" s="1"/>
  <c r="E1184" i="1"/>
  <c r="D1184" i="1"/>
  <c r="C1184" i="1"/>
  <c r="I1183" i="1"/>
  <c r="L1183" i="1" s="1"/>
  <c r="E1183" i="1"/>
  <c r="D1183" i="1"/>
  <c r="C1183" i="1"/>
  <c r="I1182" i="1"/>
  <c r="L1182" i="1" s="1"/>
  <c r="E1182" i="1"/>
  <c r="D1182" i="1"/>
  <c r="C1182" i="1"/>
  <c r="I1181" i="1"/>
  <c r="I1199" i="1" s="1"/>
  <c r="E1181" i="1"/>
  <c r="E1199" i="1" s="1"/>
  <c r="E1146" i="1" s="1"/>
  <c r="D1181" i="1"/>
  <c r="D1199" i="1" s="1"/>
  <c r="I1180" i="1"/>
  <c r="L1180" i="1" s="1"/>
  <c r="E1180" i="1"/>
  <c r="D1180" i="1"/>
  <c r="C1180" i="1"/>
  <c r="I1179" i="1"/>
  <c r="L1179" i="1" s="1"/>
  <c r="E1179" i="1"/>
  <c r="D1179" i="1"/>
  <c r="C1179" i="1"/>
  <c r="I1178" i="1"/>
  <c r="L1178" i="1" s="1"/>
  <c r="E1178" i="1"/>
  <c r="D1178" i="1"/>
  <c r="C1178" i="1"/>
  <c r="L1144" i="1"/>
  <c r="L1142" i="1"/>
  <c r="I1137" i="1"/>
  <c r="L1137" i="1" s="1"/>
  <c r="I1136" i="1"/>
  <c r="L1136" i="1" s="1"/>
  <c r="L1135" i="1"/>
  <c r="I1134" i="1"/>
  <c r="L1134" i="1" s="1"/>
  <c r="L1133" i="1"/>
  <c r="I1132" i="1"/>
  <c r="L1132" i="1" s="1"/>
  <c r="I1131" i="1"/>
  <c r="L1131" i="1" s="1"/>
  <c r="L1130" i="1"/>
  <c r="I1129" i="1"/>
  <c r="L1129" i="1" s="1"/>
  <c r="I1128" i="1"/>
  <c r="L1128" i="1" s="1"/>
  <c r="I1127" i="1"/>
  <c r="L1127" i="1" s="1"/>
  <c r="I1126" i="1"/>
  <c r="L1126" i="1" s="1"/>
  <c r="L1125" i="1"/>
  <c r="L1124" i="1"/>
  <c r="L1121" i="1"/>
  <c r="I1120" i="1"/>
  <c r="L1120" i="1" s="1"/>
  <c r="I1119" i="1"/>
  <c r="L1119" i="1" s="1"/>
  <c r="I1118" i="1"/>
  <c r="L1118" i="1" s="1"/>
  <c r="I1117" i="1"/>
  <c r="L1117" i="1" s="1"/>
  <c r="I1116" i="1"/>
  <c r="L1116" i="1" s="1"/>
  <c r="I1115" i="1"/>
  <c r="L1115" i="1" s="1"/>
  <c r="I1114" i="1"/>
  <c r="L1114" i="1" s="1"/>
  <c r="I1113" i="1"/>
  <c r="L1113" i="1" s="1"/>
  <c r="I1112" i="1"/>
  <c r="L1112" i="1" s="1"/>
  <c r="I1111" i="1"/>
  <c r="L1111" i="1" s="1"/>
  <c r="I1110" i="1"/>
  <c r="L1110" i="1" s="1"/>
  <c r="I1109" i="1"/>
  <c r="L1109" i="1" s="1"/>
  <c r="I1108" i="1"/>
  <c r="L1108" i="1" s="1"/>
  <c r="I1107" i="1"/>
  <c r="L1107" i="1" s="1"/>
  <c r="L1106" i="1"/>
  <c r="I1105" i="1"/>
  <c r="L1105" i="1" s="1"/>
  <c r="J1103" i="1"/>
  <c r="L1100" i="1"/>
  <c r="L1099" i="1"/>
  <c r="L1096" i="1"/>
  <c r="L1095" i="1"/>
  <c r="L1094" i="1"/>
  <c r="L1093" i="1"/>
  <c r="L1092" i="1"/>
  <c r="L1091" i="1"/>
  <c r="L1090" i="1"/>
  <c r="L1089" i="1"/>
  <c r="L1088" i="1"/>
  <c r="L1087" i="1"/>
  <c r="L1086" i="1"/>
  <c r="L1085" i="1"/>
  <c r="L1084" i="1"/>
  <c r="L1083" i="1"/>
  <c r="L1082" i="1"/>
  <c r="L1081" i="1"/>
  <c r="L1080" i="1"/>
  <c r="L1079" i="1"/>
  <c r="L1078" i="1"/>
  <c r="L1077" i="1"/>
  <c r="I1076" i="1"/>
  <c r="O1075" i="1"/>
  <c r="L1075" i="1"/>
  <c r="H1074" i="1"/>
  <c r="U1070" i="1" s="1"/>
  <c r="E15" i="2" s="1"/>
  <c r="J1063" i="1"/>
  <c r="J1062" i="1"/>
  <c r="J1061" i="1"/>
  <c r="I1057" i="1"/>
  <c r="L1057" i="1" s="1"/>
  <c r="E1057" i="1"/>
  <c r="D1057" i="1"/>
  <c r="C1057" i="1"/>
  <c r="I1056" i="1"/>
  <c r="L1056" i="1" s="1"/>
  <c r="E1056" i="1"/>
  <c r="D1056" i="1"/>
  <c r="C1056" i="1"/>
  <c r="I1055" i="1"/>
  <c r="L1055" i="1" s="1"/>
  <c r="E1055" i="1"/>
  <c r="E1063" i="1" s="1"/>
  <c r="E1064" i="1" s="1"/>
  <c r="D1055" i="1"/>
  <c r="D1063" i="1" s="1"/>
  <c r="D1064" i="1" s="1"/>
  <c r="C1055" i="1"/>
  <c r="I1054" i="1"/>
  <c r="I1061" i="1" s="1"/>
  <c r="E1054" i="1"/>
  <c r="E1061" i="1" s="1"/>
  <c r="D1054" i="1"/>
  <c r="D1061" i="1" s="1"/>
  <c r="D1062" i="1" s="1"/>
  <c r="C1054" i="1"/>
  <c r="I1053" i="1"/>
  <c r="E1053" i="1"/>
  <c r="E1059" i="1" s="1"/>
  <c r="D1053" i="1"/>
  <c r="D1059" i="1" s="1"/>
  <c r="D1023" i="1" s="1"/>
  <c r="C1053" i="1"/>
  <c r="E1052" i="1"/>
  <c r="D1052" i="1"/>
  <c r="C1052" i="1"/>
  <c r="E1051" i="1"/>
  <c r="D1051" i="1"/>
  <c r="C1051" i="1"/>
  <c r="E1050" i="1"/>
  <c r="D1050" i="1"/>
  <c r="C1050" i="1"/>
  <c r="E1049" i="1"/>
  <c r="L1047" i="1"/>
  <c r="L1046" i="1"/>
  <c r="I1022" i="1"/>
  <c r="L1022" i="1" s="1"/>
  <c r="E1022" i="1"/>
  <c r="D1022" i="1"/>
  <c r="I1021" i="1"/>
  <c r="L1021" i="1" s="1"/>
  <c r="E1021" i="1"/>
  <c r="D1021" i="1"/>
  <c r="L1017" i="1"/>
  <c r="I1016" i="1"/>
  <c r="L1016" i="1" s="1"/>
  <c r="L1015" i="1"/>
  <c r="L1014" i="1"/>
  <c r="I1013" i="1"/>
  <c r="L1013" i="1" s="1"/>
  <c r="I1012" i="1"/>
  <c r="L1012" i="1" s="1"/>
  <c r="I1011" i="1"/>
  <c r="L1011" i="1" s="1"/>
  <c r="L1010" i="1"/>
  <c r="I1009" i="1"/>
  <c r="L1009" i="1" s="1"/>
  <c r="I1007" i="1"/>
  <c r="L1007" i="1" s="1"/>
  <c r="I1006" i="1"/>
  <c r="L1006" i="1" s="1"/>
  <c r="L1004" i="1"/>
  <c r="I1003" i="1"/>
  <c r="L1003" i="1" s="1"/>
  <c r="L998" i="1"/>
  <c r="I995" i="1"/>
  <c r="L995" i="1" s="1"/>
  <c r="L994" i="1"/>
  <c r="I990" i="1"/>
  <c r="L987" i="1"/>
  <c r="L986" i="1"/>
  <c r="L985" i="1"/>
  <c r="L984" i="1"/>
  <c r="L983" i="1"/>
  <c r="I982" i="1"/>
  <c r="I981" i="1"/>
  <c r="I980" i="1"/>
  <c r="I979" i="1"/>
  <c r="L978" i="1"/>
  <c r="H977" i="1"/>
  <c r="E962" i="1"/>
  <c r="L960" i="1"/>
  <c r="L959" i="1"/>
  <c r="P940" i="1"/>
  <c r="I939" i="1"/>
  <c r="L939" i="1" s="1"/>
  <c r="L938" i="1"/>
  <c r="L936" i="1"/>
  <c r="L934" i="1"/>
  <c r="L932" i="1"/>
  <c r="L930" i="1"/>
  <c r="L928" i="1"/>
  <c r="L927" i="1"/>
  <c r="L926" i="1"/>
  <c r="I925" i="1"/>
  <c r="L925" i="1" s="1"/>
  <c r="I924" i="1"/>
  <c r="L924" i="1" s="1"/>
  <c r="J922" i="1"/>
  <c r="I922" i="1"/>
  <c r="I921" i="1"/>
  <c r="L921" i="1" s="1"/>
  <c r="I920" i="1"/>
  <c r="L920" i="1" s="1"/>
  <c r="I919" i="1"/>
  <c r="L919" i="1" s="1"/>
  <c r="I918" i="1"/>
  <c r="L918" i="1" s="1"/>
  <c r="I917" i="1"/>
  <c r="L917" i="1" s="1"/>
  <c r="J916" i="1"/>
  <c r="I915" i="1"/>
  <c r="L915" i="1" s="1"/>
  <c r="J913" i="1"/>
  <c r="I913" i="1"/>
  <c r="I912" i="1"/>
  <c r="L912" i="1" s="1"/>
  <c r="L909" i="1"/>
  <c r="I908" i="1"/>
  <c r="I905" i="1"/>
  <c r="W905" i="1" s="1"/>
  <c r="I904" i="1"/>
  <c r="I903" i="1"/>
  <c r="I902" i="1"/>
  <c r="I901" i="1"/>
  <c r="I900" i="1"/>
  <c r="O899" i="1"/>
  <c r="L899" i="1"/>
  <c r="H898" i="1"/>
  <c r="U894" i="1" s="1"/>
  <c r="E13" i="2" s="1"/>
  <c r="I887" i="1"/>
  <c r="I888" i="1" s="1"/>
  <c r="L888" i="1" s="1"/>
  <c r="E887" i="1"/>
  <c r="E888" i="1" s="1"/>
  <c r="D887" i="1"/>
  <c r="D888" i="1" s="1"/>
  <c r="I886" i="1"/>
  <c r="E885" i="1"/>
  <c r="E886" i="1" s="1"/>
  <c r="D885" i="1"/>
  <c r="D886" i="1" s="1"/>
  <c r="L883" i="1"/>
  <c r="L882" i="1"/>
  <c r="L881" i="1"/>
  <c r="L878" i="1"/>
  <c r="L877" i="1"/>
  <c r="L876" i="1"/>
  <c r="L875" i="1"/>
  <c r="L874" i="1"/>
  <c r="L873" i="1"/>
  <c r="L872" i="1"/>
  <c r="L871" i="1"/>
  <c r="L870" i="1"/>
  <c r="L869" i="1"/>
  <c r="L868" i="1"/>
  <c r="L867" i="1"/>
  <c r="L866" i="1"/>
  <c r="L865" i="1"/>
  <c r="L864" i="1"/>
  <c r="L863" i="1"/>
  <c r="L862" i="1"/>
  <c r="L861" i="1"/>
  <c r="L860" i="1"/>
  <c r="L859" i="1"/>
  <c r="L858" i="1"/>
  <c r="L857" i="1"/>
  <c r="L856" i="1"/>
  <c r="L855" i="1"/>
  <c r="L854" i="1"/>
  <c r="L853" i="1"/>
  <c r="L852" i="1"/>
  <c r="L851" i="1"/>
  <c r="L850" i="1"/>
  <c r="L849" i="1"/>
  <c r="L789" i="1"/>
  <c r="L788" i="1"/>
  <c r="L787" i="1"/>
  <c r="I786" i="1"/>
  <c r="L786" i="1" s="1"/>
  <c r="L785" i="1"/>
  <c r="L784" i="1"/>
  <c r="I778" i="1"/>
  <c r="L778" i="1" s="1"/>
  <c r="I777" i="1"/>
  <c r="L777" i="1" s="1"/>
  <c r="I776" i="1"/>
  <c r="L776" i="1" s="1"/>
  <c r="L716" i="1"/>
  <c r="L715" i="1"/>
  <c r="L714" i="1"/>
  <c r="L710" i="1"/>
  <c r="L709" i="1"/>
  <c r="L708" i="1"/>
  <c r="L707" i="1"/>
  <c r="L706" i="1"/>
  <c r="L705" i="1"/>
  <c r="L704" i="1"/>
  <c r="L703" i="1"/>
  <c r="L700" i="1"/>
  <c r="L699" i="1"/>
  <c r="L698" i="1"/>
  <c r="L697" i="1"/>
  <c r="L696" i="1"/>
  <c r="L695" i="1"/>
  <c r="L694" i="1"/>
  <c r="L693" i="1"/>
  <c r="L692" i="1"/>
  <c r="L691" i="1"/>
  <c r="L690" i="1"/>
  <c r="L689" i="1"/>
  <c r="L688" i="1"/>
  <c r="L687" i="1"/>
  <c r="L686" i="1"/>
  <c r="L685" i="1"/>
  <c r="L684" i="1"/>
  <c r="L683" i="1"/>
  <c r="L682" i="1"/>
  <c r="L681" i="1"/>
  <c r="L680" i="1"/>
  <c r="L679" i="1"/>
  <c r="I678" i="1"/>
  <c r="O677" i="1"/>
  <c r="L677" i="1"/>
  <c r="H676" i="1"/>
  <c r="U672" i="1" s="1"/>
  <c r="E12" i="2" s="1"/>
  <c r="L666" i="1"/>
  <c r="L665" i="1" s="1"/>
  <c r="L629" i="1"/>
  <c r="I628" i="1"/>
  <c r="L628" i="1" s="1"/>
  <c r="I627" i="1"/>
  <c r="L627" i="1" s="1"/>
  <c r="I626" i="1"/>
  <c r="L626" i="1" s="1"/>
  <c r="I625" i="1"/>
  <c r="L625" i="1" s="1"/>
  <c r="I624" i="1"/>
  <c r="L624" i="1" s="1"/>
  <c r="I623" i="1"/>
  <c r="L623" i="1" s="1"/>
  <c r="I622" i="1"/>
  <c r="L622" i="1" s="1"/>
  <c r="I617" i="1"/>
  <c r="L617" i="1" s="1"/>
  <c r="L616" i="1"/>
  <c r="I615" i="1"/>
  <c r="L615" i="1" s="1"/>
  <c r="L614" i="1"/>
  <c r="I613" i="1"/>
  <c r="L613" i="1" s="1"/>
  <c r="L610" i="1"/>
  <c r="L608" i="1"/>
  <c r="L607" i="1"/>
  <c r="L606" i="1"/>
  <c r="L605" i="1"/>
  <c r="L604" i="1"/>
  <c r="I603" i="1"/>
  <c r="L603" i="1" s="1"/>
  <c r="I602" i="1"/>
  <c r="L602" i="1" s="1"/>
  <c r="I601" i="1"/>
  <c r="L601" i="1" s="1"/>
  <c r="I600" i="1"/>
  <c r="L600" i="1" s="1"/>
  <c r="I599" i="1"/>
  <c r="L599" i="1" s="1"/>
  <c r="I598" i="1"/>
  <c r="L598" i="1" s="1"/>
  <c r="I597" i="1"/>
  <c r="L597" i="1" s="1"/>
  <c r="I596" i="1"/>
  <c r="L596" i="1" s="1"/>
  <c r="I595" i="1"/>
  <c r="L595" i="1" s="1"/>
  <c r="I594" i="1"/>
  <c r="L594" i="1" s="1"/>
  <c r="I593" i="1"/>
  <c r="L593" i="1" s="1"/>
  <c r="I592" i="1"/>
  <c r="L592" i="1" s="1"/>
  <c r="I591" i="1"/>
  <c r="L591" i="1" s="1"/>
  <c r="I590" i="1"/>
  <c r="L590" i="1" s="1"/>
  <c r="I589" i="1"/>
  <c r="L589" i="1" s="1"/>
  <c r="I588" i="1"/>
  <c r="L588" i="1" s="1"/>
  <c r="I587" i="1"/>
  <c r="L587" i="1" s="1"/>
  <c r="I586" i="1"/>
  <c r="L586" i="1" s="1"/>
  <c r="I585" i="1"/>
  <c r="L585" i="1" s="1"/>
  <c r="I584" i="1"/>
  <c r="L584" i="1" s="1"/>
  <c r="I583" i="1"/>
  <c r="L583" i="1" s="1"/>
  <c r="I582" i="1"/>
  <c r="L582" i="1" s="1"/>
  <c r="I581" i="1"/>
  <c r="L581" i="1" s="1"/>
  <c r="I580" i="1"/>
  <c r="L580" i="1" s="1"/>
  <c r="I579" i="1"/>
  <c r="L579" i="1" s="1"/>
  <c r="I578" i="1"/>
  <c r="L578" i="1" s="1"/>
  <c r="I577" i="1"/>
  <c r="L577" i="1" s="1"/>
  <c r="I576" i="1"/>
  <c r="L576" i="1" s="1"/>
  <c r="I575" i="1"/>
  <c r="L575" i="1" s="1"/>
  <c r="I574" i="1"/>
  <c r="L574" i="1" s="1"/>
  <c r="I573" i="1"/>
  <c r="L573" i="1" s="1"/>
  <c r="I572" i="1"/>
  <c r="L572" i="1" s="1"/>
  <c r="I571" i="1"/>
  <c r="L571" i="1" s="1"/>
  <c r="I570" i="1"/>
  <c r="L570" i="1" s="1"/>
  <c r="I569" i="1"/>
  <c r="L569" i="1" s="1"/>
  <c r="L568" i="1"/>
  <c r="I567" i="1"/>
  <c r="L567" i="1" s="1"/>
  <c r="I565" i="1"/>
  <c r="AB565" i="1" s="1"/>
  <c r="AB559" i="1" s="1"/>
  <c r="M11" i="2" s="1"/>
  <c r="O564" i="1"/>
  <c r="L564" i="1"/>
  <c r="H563" i="1"/>
  <c r="U559" i="1" s="1"/>
  <c r="E11" i="2" s="1"/>
  <c r="L492" i="1"/>
  <c r="L491" i="1"/>
  <c r="L490" i="1"/>
  <c r="L489" i="1"/>
  <c r="L488" i="1"/>
  <c r="L487" i="1"/>
  <c r="I485" i="1"/>
  <c r="L485" i="1" s="1"/>
  <c r="I483" i="1"/>
  <c r="L483" i="1" s="1"/>
  <c r="I481" i="1"/>
  <c r="L481" i="1" s="1"/>
  <c r="L477" i="1"/>
  <c r="I474" i="1"/>
  <c r="L474" i="1" s="1"/>
  <c r="I473" i="1"/>
  <c r="L473" i="1" s="1"/>
  <c r="I472" i="1"/>
  <c r="L472" i="1" s="1"/>
  <c r="I471" i="1"/>
  <c r="L471" i="1" s="1"/>
  <c r="I470" i="1"/>
  <c r="L470" i="1" s="1"/>
  <c r="I469" i="1"/>
  <c r="L469" i="1" s="1"/>
  <c r="I468" i="1"/>
  <c r="L468" i="1" s="1"/>
  <c r="I467" i="1"/>
  <c r="L467" i="1" s="1"/>
  <c r="I465" i="1"/>
  <c r="L465" i="1" s="1"/>
  <c r="I464" i="1"/>
  <c r="L464" i="1" s="1"/>
  <c r="I463" i="1"/>
  <c r="L463" i="1" s="1"/>
  <c r="I462" i="1"/>
  <c r="L462" i="1" s="1"/>
  <c r="I461" i="1"/>
  <c r="L461" i="1" s="1"/>
  <c r="I460" i="1"/>
  <c r="L460" i="1" s="1"/>
  <c r="I459" i="1"/>
  <c r="L459" i="1" s="1"/>
  <c r="I458" i="1"/>
  <c r="L458" i="1" s="1"/>
  <c r="I457" i="1"/>
  <c r="L457" i="1" s="1"/>
  <c r="I456" i="1"/>
  <c r="L456" i="1" s="1"/>
  <c r="I455" i="1"/>
  <c r="L455" i="1" s="1"/>
  <c r="I454" i="1"/>
  <c r="L454" i="1" s="1"/>
  <c r="I453" i="1"/>
  <c r="L453" i="1" s="1"/>
  <c r="I452" i="1"/>
  <c r="L452" i="1" s="1"/>
  <c r="I451" i="1"/>
  <c r="L451" i="1" s="1"/>
  <c r="I450" i="1"/>
  <c r="L450" i="1" s="1"/>
  <c r="I449" i="1"/>
  <c r="L449" i="1" s="1"/>
  <c r="I448" i="1"/>
  <c r="L448" i="1" s="1"/>
  <c r="I447" i="1"/>
  <c r="L447" i="1" s="1"/>
  <c r="I446" i="1"/>
  <c r="L446" i="1" s="1"/>
  <c r="I445" i="1"/>
  <c r="L445" i="1" s="1"/>
  <c r="I444" i="1"/>
  <c r="L444" i="1" s="1"/>
  <c r="I443" i="1"/>
  <c r="L443" i="1" s="1"/>
  <c r="I442" i="1"/>
  <c r="L442" i="1" s="1"/>
  <c r="I441" i="1"/>
  <c r="L441" i="1" s="1"/>
  <c r="I440" i="1"/>
  <c r="L440" i="1" s="1"/>
  <c r="I439" i="1"/>
  <c r="L439" i="1" s="1"/>
  <c r="I438" i="1"/>
  <c r="L438" i="1" s="1"/>
  <c r="I437" i="1"/>
  <c r="L437" i="1" s="1"/>
  <c r="I436" i="1"/>
  <c r="L436" i="1" s="1"/>
  <c r="I435" i="1"/>
  <c r="L435" i="1" s="1"/>
  <c r="I434" i="1"/>
  <c r="L434" i="1" s="1"/>
  <c r="I433" i="1"/>
  <c r="L433" i="1" s="1"/>
  <c r="I432" i="1"/>
  <c r="L432" i="1" s="1"/>
  <c r="I431" i="1"/>
  <c r="L431" i="1" s="1"/>
  <c r="I430" i="1"/>
  <c r="L430" i="1" s="1"/>
  <c r="L429" i="1"/>
  <c r="L428" i="1"/>
  <c r="I427" i="1"/>
  <c r="L427" i="1" s="1"/>
  <c r="L424" i="1"/>
  <c r="L423" i="1"/>
  <c r="J422" i="1"/>
  <c r="I422" i="1"/>
  <c r="I421" i="1"/>
  <c r="L421" i="1" s="1"/>
  <c r="L418" i="1"/>
  <c r="L417" i="1"/>
  <c r="L416" i="1"/>
  <c r="L415" i="1"/>
  <c r="L414" i="1"/>
  <c r="L413" i="1"/>
  <c r="L412" i="1"/>
  <c r="L411" i="1"/>
  <c r="L410" i="1"/>
  <c r="L409" i="1"/>
  <c r="L408" i="1"/>
  <c r="L407" i="1"/>
  <c r="L406" i="1"/>
  <c r="L405" i="1"/>
  <c r="L404" i="1"/>
  <c r="L403" i="1"/>
  <c r="I402" i="1"/>
  <c r="I400" i="1" s="1"/>
  <c r="L401" i="1"/>
  <c r="H400" i="1"/>
  <c r="L390" i="1"/>
  <c r="L389" i="1"/>
  <c r="L344" i="1"/>
  <c r="L342" i="1" s="1"/>
  <c r="I338" i="1"/>
  <c r="L338" i="1" s="1"/>
  <c r="I336" i="1"/>
  <c r="L336" i="1" s="1"/>
  <c r="I335" i="1"/>
  <c r="L335" i="1" s="1"/>
  <c r="I334" i="1"/>
  <c r="L334" i="1" s="1"/>
  <c r="I333" i="1"/>
  <c r="L333" i="1" s="1"/>
  <c r="I332" i="1"/>
  <c r="L332" i="1" s="1"/>
  <c r="I331" i="1"/>
  <c r="L331" i="1" s="1"/>
  <c r="J330" i="1"/>
  <c r="I329" i="1"/>
  <c r="L329" i="1" s="1"/>
  <c r="I328" i="1"/>
  <c r="L328" i="1" s="1"/>
  <c r="I327" i="1"/>
  <c r="L327" i="1" s="1"/>
  <c r="L326" i="1"/>
  <c r="I325" i="1"/>
  <c r="L325" i="1" s="1"/>
  <c r="L322" i="1"/>
  <c r="I321" i="1"/>
  <c r="L321" i="1" s="1"/>
  <c r="J320" i="1"/>
  <c r="I319" i="1"/>
  <c r="L316" i="1"/>
  <c r="L315" i="1"/>
  <c r="I314" i="1"/>
  <c r="L313" i="1"/>
  <c r="H312" i="1"/>
  <c r="I302" i="1"/>
  <c r="L302" i="1" s="1"/>
  <c r="G301" i="1"/>
  <c r="G302" i="1" s="1"/>
  <c r="E301" i="1"/>
  <c r="E302" i="1" s="1"/>
  <c r="D301" i="1"/>
  <c r="D302" i="1" s="1"/>
  <c r="L299" i="1"/>
  <c r="L298" i="1"/>
  <c r="L297" i="1"/>
  <c r="L296" i="1"/>
  <c r="L295" i="1"/>
  <c r="L294" i="1"/>
  <c r="L293" i="1"/>
  <c r="L292" i="1"/>
  <c r="L291" i="1"/>
  <c r="L290" i="1"/>
  <c r="L289" i="1"/>
  <c r="L288" i="1"/>
  <c r="L287" i="1"/>
  <c r="L286" i="1"/>
  <c r="L285" i="1"/>
  <c r="L284" i="1"/>
  <c r="L283" i="1"/>
  <c r="L282" i="1"/>
  <c r="L281" i="1"/>
  <c r="L280" i="1"/>
  <c r="I279" i="1"/>
  <c r="L279" i="1" s="1"/>
  <c r="E279" i="1"/>
  <c r="L277" i="1"/>
  <c r="L276" i="1"/>
  <c r="I274" i="1"/>
  <c r="L274" i="1" s="1"/>
  <c r="L272" i="1"/>
  <c r="I246" i="1"/>
  <c r="L246" i="1" s="1"/>
  <c r="G246" i="1"/>
  <c r="E246" i="1"/>
  <c r="D246" i="1"/>
  <c r="I245" i="1"/>
  <c r="L245" i="1" s="1"/>
  <c r="L243" i="1" s="1"/>
  <c r="E245" i="1"/>
  <c r="I241" i="1"/>
  <c r="L241" i="1" s="1"/>
  <c r="I240" i="1"/>
  <c r="L240" i="1" s="1"/>
  <c r="I239" i="1"/>
  <c r="L239" i="1" s="1"/>
  <c r="I238" i="1"/>
  <c r="L238" i="1" s="1"/>
  <c r="I237" i="1"/>
  <c r="L237" i="1" s="1"/>
  <c r="I236" i="1"/>
  <c r="L236" i="1" s="1"/>
  <c r="I235" i="1"/>
  <c r="L235" i="1" s="1"/>
  <c r="I234" i="1"/>
  <c r="L234" i="1" s="1"/>
  <c r="I233" i="1"/>
  <c r="L233" i="1" s="1"/>
  <c r="L232" i="1"/>
  <c r="I231" i="1"/>
  <c r="L231" i="1" s="1"/>
  <c r="L230" i="1"/>
  <c r="I229" i="1"/>
  <c r="L229" i="1" s="1"/>
  <c r="I228" i="1"/>
  <c r="L228" i="1" s="1"/>
  <c r="I227" i="1"/>
  <c r="L227" i="1" s="1"/>
  <c r="L225" i="1"/>
  <c r="I224" i="1"/>
  <c r="L224" i="1" s="1"/>
  <c r="I223" i="1"/>
  <c r="L223" i="1" s="1"/>
  <c r="I222" i="1"/>
  <c r="L222" i="1" s="1"/>
  <c r="I221" i="1"/>
  <c r="L221" i="1" s="1"/>
  <c r="I220" i="1"/>
  <c r="L220" i="1" s="1"/>
  <c r="J219" i="1"/>
  <c r="I219" i="1"/>
  <c r="I218" i="1"/>
  <c r="L218" i="1" s="1"/>
  <c r="L215" i="1"/>
  <c r="I214" i="1"/>
  <c r="L214" i="1" s="1"/>
  <c r="L211" i="1"/>
  <c r="L210" i="1"/>
  <c r="L209" i="1"/>
  <c r="L208" i="1"/>
  <c r="L207" i="1"/>
  <c r="L206" i="1"/>
  <c r="L205" i="1"/>
  <c r="L204" i="1"/>
  <c r="L203" i="1"/>
  <c r="L202" i="1"/>
  <c r="L201" i="1"/>
  <c r="L200" i="1"/>
  <c r="L199" i="1"/>
  <c r="L198" i="1"/>
  <c r="L197" i="1"/>
  <c r="L196" i="1"/>
  <c r="L195" i="1"/>
  <c r="L191" i="1"/>
  <c r="L179" i="1"/>
  <c r="L178" i="1"/>
  <c r="L177" i="1"/>
  <c r="L175" i="1"/>
  <c r="L174" i="1"/>
  <c r="L173" i="1"/>
  <c r="L172" i="1"/>
  <c r="L171" i="1"/>
  <c r="L170" i="1"/>
  <c r="L169" i="1"/>
  <c r="L168" i="1"/>
  <c r="L166" i="1"/>
  <c r="L165" i="1"/>
  <c r="I146" i="1"/>
  <c r="L146" i="1" s="1"/>
  <c r="L145" i="1"/>
  <c r="I144" i="1"/>
  <c r="L144" i="1" s="1"/>
  <c r="I143" i="1"/>
  <c r="L143" i="1" s="1"/>
  <c r="I142" i="1"/>
  <c r="L142" i="1" s="1"/>
  <c r="L139" i="1"/>
  <c r="L136" i="1"/>
  <c r="I135" i="1"/>
  <c r="L135" i="1" s="1"/>
  <c r="I134" i="1"/>
  <c r="L134" i="1" s="1"/>
  <c r="I133" i="1"/>
  <c r="L133" i="1" s="1"/>
  <c r="L132" i="1"/>
  <c r="I131" i="1"/>
  <c r="L131" i="1" s="1"/>
  <c r="I130" i="1"/>
  <c r="L130" i="1" s="1"/>
  <c r="L124" i="1"/>
  <c r="L123" i="1"/>
  <c r="L122" i="1"/>
  <c r="L121" i="1"/>
  <c r="I120" i="1"/>
  <c r="L120" i="1" s="1"/>
  <c r="I119" i="1"/>
  <c r="L119" i="1" s="1"/>
  <c r="I116" i="1"/>
  <c r="L116" i="1" s="1"/>
  <c r="L115" i="1"/>
  <c r="L114" i="1"/>
  <c r="L113" i="1"/>
  <c r="L112" i="1"/>
  <c r="L111" i="1"/>
  <c r="L110" i="1"/>
  <c r="I109" i="1"/>
  <c r="L109" i="1" s="1"/>
  <c r="I108" i="1"/>
  <c r="L108" i="1" s="1"/>
  <c r="I107" i="1"/>
  <c r="L107" i="1" s="1"/>
  <c r="I106" i="1"/>
  <c r="L106" i="1" s="1"/>
  <c r="I105" i="1"/>
  <c r="L105" i="1" s="1"/>
  <c r="I104" i="1"/>
  <c r="L104" i="1" s="1"/>
  <c r="I103" i="1"/>
  <c r="L103" i="1" s="1"/>
  <c r="I102" i="1"/>
  <c r="L102" i="1" s="1"/>
  <c r="I101" i="1"/>
  <c r="L101" i="1" s="1"/>
  <c r="I100" i="1"/>
  <c r="L100" i="1" s="1"/>
  <c r="I99" i="1"/>
  <c r="L99" i="1" s="1"/>
  <c r="I98" i="1"/>
  <c r="L98" i="1" s="1"/>
  <c r="I97" i="1"/>
  <c r="L97" i="1" s="1"/>
  <c r="I96" i="1"/>
  <c r="L96" i="1" s="1"/>
  <c r="I95" i="1"/>
  <c r="L95" i="1" s="1"/>
  <c r="I94" i="1"/>
  <c r="L94" i="1" s="1"/>
  <c r="I92" i="1"/>
  <c r="L92" i="1" s="1"/>
  <c r="L91" i="1"/>
  <c r="I89" i="1"/>
  <c r="L89" i="1" s="1"/>
  <c r="I88" i="1"/>
  <c r="L88" i="1" s="1"/>
  <c r="L85" i="1"/>
  <c r="I84" i="1"/>
  <c r="L84" i="1" s="1"/>
  <c r="J83" i="1"/>
  <c r="I83" i="1"/>
  <c r="I82" i="1"/>
  <c r="L82" i="1" s="1"/>
  <c r="L74" i="1"/>
  <c r="L73" i="1"/>
  <c r="L72" i="1"/>
  <c r="L71" i="1"/>
  <c r="L70" i="1"/>
  <c r="L69" i="1"/>
  <c r="L68" i="1"/>
  <c r="L67" i="1"/>
  <c r="H66" i="1"/>
  <c r="L57" i="1"/>
  <c r="L55" i="1" s="1"/>
  <c r="L54" i="1"/>
  <c r="L53" i="1" s="1"/>
  <c r="I50" i="1"/>
  <c r="L50" i="1" s="1"/>
  <c r="I49" i="1"/>
  <c r="L49" i="1" s="1"/>
  <c r="I48" i="1"/>
  <c r="L48" i="1" s="1"/>
  <c r="I47" i="1"/>
  <c r="L47" i="1" s="1"/>
  <c r="J46" i="1"/>
  <c r="I46" i="1"/>
  <c r="I45" i="1"/>
  <c r="L45" i="1" s="1"/>
  <c r="I44" i="1"/>
  <c r="L44" i="1" s="1"/>
  <c r="I43" i="1"/>
  <c r="L43" i="1" s="1"/>
  <c r="I42" i="1"/>
  <c r="L42" i="1" s="1"/>
  <c r="I41" i="1"/>
  <c r="L41" i="1" s="1"/>
  <c r="I40" i="1"/>
  <c r="L40" i="1" s="1"/>
  <c r="I39" i="1"/>
  <c r="L39" i="1" s="1"/>
  <c r="I38" i="1"/>
  <c r="L38" i="1" s="1"/>
  <c r="I37" i="1"/>
  <c r="L37" i="1" s="1"/>
  <c r="I36" i="1"/>
  <c r="L36" i="1" s="1"/>
  <c r="I35" i="1"/>
  <c r="L35" i="1" s="1"/>
  <c r="I34" i="1"/>
  <c r="L34" i="1" s="1"/>
  <c r="I33" i="1"/>
  <c r="L33" i="1" s="1"/>
  <c r="I32" i="1"/>
  <c r="L32" i="1" s="1"/>
  <c r="I31" i="1"/>
  <c r="L31" i="1" s="1"/>
  <c r="I30" i="1"/>
  <c r="L30" i="1" s="1"/>
  <c r="L29" i="1"/>
  <c r="J28" i="1"/>
  <c r="I28" i="1"/>
  <c r="I27" i="1"/>
  <c r="J26" i="1"/>
  <c r="I26" i="1"/>
  <c r="L25" i="1"/>
  <c r="I24" i="1"/>
  <c r="L24" i="1" s="1"/>
  <c r="L21" i="1"/>
  <c r="J20" i="1"/>
  <c r="I19" i="1"/>
  <c r="L14" i="1"/>
  <c r="L13" i="1" s="1"/>
  <c r="L566" i="1" l="1"/>
  <c r="L1293" i="1"/>
  <c r="L1333" i="1"/>
  <c r="L1410" i="1"/>
  <c r="L1291" i="1"/>
  <c r="L1496" i="1"/>
  <c r="AH1423" i="1" s="1"/>
  <c r="R21" i="2" s="1"/>
  <c r="L66" i="1"/>
  <c r="L16" i="2"/>
  <c r="L278" i="1"/>
  <c r="AH185" i="1" s="1"/>
  <c r="R8" i="2" s="1"/>
  <c r="AB314" i="1"/>
  <c r="AB308" i="1" s="1"/>
  <c r="I312" i="1"/>
  <c r="I977" i="1"/>
  <c r="L1427" i="1"/>
  <c r="AD1423" i="1" s="1"/>
  <c r="N21" i="2" s="1"/>
  <c r="L1478" i="1"/>
  <c r="AF1423" i="1" s="1"/>
  <c r="P21" i="2" s="1"/>
  <c r="L164" i="1"/>
  <c r="AG62" i="1" s="1"/>
  <c r="Q7" i="2" s="1"/>
  <c r="L167" i="1"/>
  <c r="P167" i="1" s="1"/>
  <c r="AI1423" i="1"/>
  <c r="AD9" i="1"/>
  <c r="AG9" i="1"/>
  <c r="U308" i="1"/>
  <c r="E9" i="2" s="1"/>
  <c r="U396" i="1"/>
  <c r="E10" i="2" s="1"/>
  <c r="AI559" i="1"/>
  <c r="AG1208" i="1"/>
  <c r="Q16" i="2" s="1"/>
  <c r="AI1208" i="1"/>
  <c r="P1280" i="1"/>
  <c r="AG1243" i="1"/>
  <c r="Q17" i="2" s="1"/>
  <c r="AH1243" i="1"/>
  <c r="R17" i="2" s="1"/>
  <c r="AF1381" i="1"/>
  <c r="P20" i="2" s="1"/>
  <c r="P342" i="1"/>
  <c r="AF308" i="1"/>
  <c r="P9" i="2" s="1"/>
  <c r="P665" i="1"/>
  <c r="AG559" i="1"/>
  <c r="Q11" i="2" s="1"/>
  <c r="L1053" i="1"/>
  <c r="I1059" i="1"/>
  <c r="I1177" i="1"/>
  <c r="L1177" i="1" s="1"/>
  <c r="AB1076" i="1"/>
  <c r="I1247" i="1"/>
  <c r="V1243" i="1" s="1"/>
  <c r="F17" i="2" s="1"/>
  <c r="AC1243" i="1"/>
  <c r="L17" i="2" s="1"/>
  <c r="I1311" i="1"/>
  <c r="V1307" i="1" s="1"/>
  <c r="F19" i="2" s="1"/>
  <c r="X1320" i="1"/>
  <c r="X1307" i="1" s="1"/>
  <c r="H19" i="2" s="1"/>
  <c r="I537" i="1"/>
  <c r="L537" i="1" s="1"/>
  <c r="L536" i="1" s="1"/>
  <c r="AH396" i="1" s="1"/>
  <c r="R10" i="2" s="1"/>
  <c r="AB402" i="1"/>
  <c r="AB396" i="1" s="1"/>
  <c r="M10" i="2" s="1"/>
  <c r="I845" i="1"/>
  <c r="L845" i="1" s="1"/>
  <c r="L844" i="1" s="1"/>
  <c r="AB678" i="1"/>
  <c r="AB672" i="1" s="1"/>
  <c r="M12" i="2" s="1"/>
  <c r="L901" i="1"/>
  <c r="X901" i="1"/>
  <c r="I965" i="1"/>
  <c r="L965" i="1" s="1"/>
  <c r="W903" i="1"/>
  <c r="I1050" i="1"/>
  <c r="L1050" i="1" s="1"/>
  <c r="W980" i="1"/>
  <c r="I1052" i="1"/>
  <c r="L1052" i="1" s="1"/>
  <c r="W982" i="1"/>
  <c r="I962" i="1"/>
  <c r="L962" i="1" s="1"/>
  <c r="AB900" i="1"/>
  <c r="AB894" i="1" s="1"/>
  <c r="M13" i="2" s="1"/>
  <c r="I964" i="1"/>
  <c r="L964" i="1" s="1"/>
  <c r="X902" i="1"/>
  <c r="L904" i="1"/>
  <c r="W904" i="1"/>
  <c r="E14" i="2"/>
  <c r="U973" i="1"/>
  <c r="I1049" i="1"/>
  <c r="L1049" i="1" s="1"/>
  <c r="AB979" i="1"/>
  <c r="AB973" i="1" s="1"/>
  <c r="M14" i="2" s="1"/>
  <c r="L981" i="1"/>
  <c r="W981" i="1"/>
  <c r="U62" i="1"/>
  <c r="L1323" i="1"/>
  <c r="I1324" i="1"/>
  <c r="L1324" i="1" s="1"/>
  <c r="L1436" i="1"/>
  <c r="I1444" i="1"/>
  <c r="L1444" i="1" s="1"/>
  <c r="L990" i="1"/>
  <c r="I1002" i="1"/>
  <c r="L1002" i="1" s="1"/>
  <c r="L908" i="1"/>
  <c r="I914" i="1"/>
  <c r="L914" i="1" s="1"/>
  <c r="L319" i="1"/>
  <c r="I320" i="1"/>
  <c r="L320" i="1" s="1"/>
  <c r="L1396" i="1"/>
  <c r="L1320" i="1"/>
  <c r="L1311" i="1" s="1"/>
  <c r="P1291" i="1"/>
  <c r="L774" i="1"/>
  <c r="L478" i="1"/>
  <c r="L314" i="1"/>
  <c r="L312" i="1" s="1"/>
  <c r="I388" i="1"/>
  <c r="L388" i="1" s="1"/>
  <c r="L387" i="1" s="1"/>
  <c r="L1213" i="1"/>
  <c r="L1212" i="1" s="1"/>
  <c r="AD1208" i="1" s="1"/>
  <c r="N16" i="2" s="1"/>
  <c r="O1213" i="1"/>
  <c r="L19" i="1"/>
  <c r="I20" i="1"/>
  <c r="L20" i="1" s="1"/>
  <c r="L1252" i="1"/>
  <c r="L330" i="1"/>
  <c r="L903" i="1"/>
  <c r="L90" i="1"/>
  <c r="L1045" i="1"/>
  <c r="L180" i="1"/>
  <c r="AI62" i="1" s="1"/>
  <c r="L1217" i="1"/>
  <c r="L1214" i="1" s="1"/>
  <c r="L27" i="1"/>
  <c r="L913" i="1"/>
  <c r="P1173" i="1"/>
  <c r="I1212" i="1"/>
  <c r="V1208" i="1" s="1"/>
  <c r="F16" i="2" s="1"/>
  <c r="L1253" i="1"/>
  <c r="I676" i="1"/>
  <c r="V672" i="1" s="1"/>
  <c r="F12" i="2" s="1"/>
  <c r="L26" i="1"/>
  <c r="L885" i="1"/>
  <c r="L916" i="1"/>
  <c r="L83" i="1"/>
  <c r="L275" i="1"/>
  <c r="L402" i="1"/>
  <c r="L400" i="1" s="1"/>
  <c r="L396" i="1" s="1"/>
  <c r="I967" i="1"/>
  <c r="L967" i="1" s="1"/>
  <c r="L905" i="1"/>
  <c r="L1076" i="1"/>
  <c r="L1074" i="1" s="1"/>
  <c r="AD1070" i="1" s="1"/>
  <c r="N15" i="2" s="1"/>
  <c r="L982" i="1"/>
  <c r="L422" i="1"/>
  <c r="L419" i="1" s="1"/>
  <c r="L922" i="1"/>
  <c r="E1200" i="1"/>
  <c r="L1437" i="1"/>
  <c r="E1060" i="1"/>
  <c r="E1023" i="1"/>
  <c r="L28" i="1"/>
  <c r="L46" i="1"/>
  <c r="L219" i="1"/>
  <c r="L958" i="1"/>
  <c r="L979" i="1"/>
  <c r="L1265" i="1"/>
  <c r="L1385" i="1"/>
  <c r="AD1381" i="1" s="1"/>
  <c r="N20" i="2" s="1"/>
  <c r="L887" i="1"/>
  <c r="I1063" i="1"/>
  <c r="I1064" i="1" s="1"/>
  <c r="L902" i="1"/>
  <c r="L1232" i="1"/>
  <c r="I966" i="1"/>
  <c r="L966" i="1" s="1"/>
  <c r="P147" i="1"/>
  <c r="L189" i="1"/>
  <c r="AD185" i="1" s="1"/>
  <c r="N8" i="2" s="1"/>
  <c r="P533" i="1"/>
  <c r="P630" i="1"/>
  <c r="L678" i="1"/>
  <c r="L676" i="1" s="1"/>
  <c r="P841" i="1"/>
  <c r="L886" i="1"/>
  <c r="I963" i="1"/>
  <c r="L963" i="1" s="1"/>
  <c r="L1054" i="1"/>
  <c r="L1061" i="1"/>
  <c r="L1257" i="1"/>
  <c r="D1146" i="1"/>
  <c r="D1200" i="1"/>
  <c r="L900" i="1"/>
  <c r="E1024" i="1"/>
  <c r="E1062" i="1"/>
  <c r="L1103" i="1"/>
  <c r="L1097" i="1" s="1"/>
  <c r="D1147" i="1"/>
  <c r="I898" i="1"/>
  <c r="V894" i="1" s="1"/>
  <c r="I1024" i="1"/>
  <c r="L1024" i="1" s="1"/>
  <c r="I1062" i="1"/>
  <c r="L1062" i="1" s="1"/>
  <c r="I1147" i="1"/>
  <c r="L1147" i="1" s="1"/>
  <c r="L1201" i="1"/>
  <c r="L565" i="1"/>
  <c r="L563" i="1" s="1"/>
  <c r="I563" i="1"/>
  <c r="V559" i="1" s="1"/>
  <c r="F11" i="2" s="1"/>
  <c r="L980" i="1"/>
  <c r="L301" i="1"/>
  <c r="L300" i="1" s="1"/>
  <c r="I1146" i="1"/>
  <c r="L1146" i="1" s="1"/>
  <c r="L1199" i="1"/>
  <c r="I1200" i="1"/>
  <c r="L1200" i="1" s="1"/>
  <c r="I1202" i="1"/>
  <c r="L1202" i="1" s="1"/>
  <c r="I1051" i="1"/>
  <c r="L1051" i="1" s="1"/>
  <c r="I1074" i="1"/>
  <c r="V1070" i="1" s="1"/>
  <c r="F15" i="2" s="1"/>
  <c r="L1181" i="1"/>
  <c r="L1248" i="1"/>
  <c r="L1247" i="1" s="1"/>
  <c r="D1060" i="1"/>
  <c r="D1024" i="1" s="1"/>
  <c r="O1248" i="1"/>
  <c r="I1375" i="1"/>
  <c r="AD62" i="1" l="1"/>
  <c r="N7" i="2" s="1"/>
  <c r="L1375" i="1"/>
  <c r="I1378" i="1"/>
  <c r="I1377" i="1"/>
  <c r="L317" i="1"/>
  <c r="Q6" i="2"/>
  <c r="N6" i="2"/>
  <c r="L308" i="1"/>
  <c r="L977" i="1"/>
  <c r="L988" i="1"/>
  <c r="L1048" i="1"/>
  <c r="L1287" i="1"/>
  <c r="AD1287" i="1"/>
  <c r="N18" i="2" s="1"/>
  <c r="L1198" i="1"/>
  <c r="P1198" i="1" s="1"/>
  <c r="L559" i="1"/>
  <c r="L898" i="1"/>
  <c r="L26" i="2"/>
  <c r="L1176" i="1"/>
  <c r="AH1070" i="1" s="1"/>
  <c r="R15" i="2" s="1"/>
  <c r="L906" i="1"/>
  <c r="E7" i="2"/>
  <c r="E26" i="2" s="1"/>
  <c r="U7" i="1"/>
  <c r="AC7" i="1"/>
  <c r="M9" i="2"/>
  <c r="F13" i="2"/>
  <c r="L884" i="1"/>
  <c r="L672" i="1" s="1"/>
  <c r="L80" i="1"/>
  <c r="L62" i="1" s="1"/>
  <c r="AJ185" i="1"/>
  <c r="S8" i="2" s="1"/>
  <c r="AD672" i="1"/>
  <c r="N12" i="2" s="1"/>
  <c r="L17" i="1"/>
  <c r="L9" i="1" s="1"/>
  <c r="P9" i="1" s="1"/>
  <c r="L961" i="1"/>
  <c r="AD559" i="1"/>
  <c r="N11" i="2" s="1"/>
  <c r="AD308" i="1"/>
  <c r="N9" i="2" s="1"/>
  <c r="P278" i="1"/>
  <c r="P536" i="1"/>
  <c r="L1434" i="1"/>
  <c r="L1321" i="1"/>
  <c r="P1232" i="1"/>
  <c r="AF1208" i="1"/>
  <c r="P16" i="2" s="1"/>
  <c r="AI672" i="1"/>
  <c r="P419" i="1"/>
  <c r="AE396" i="1"/>
  <c r="O10" i="2" s="1"/>
  <c r="AI308" i="1"/>
  <c r="P566" i="1"/>
  <c r="AE559" i="1"/>
  <c r="AI185" i="1"/>
  <c r="AI7" i="1" s="1"/>
  <c r="AI1070" i="1"/>
  <c r="P243" i="1"/>
  <c r="AF185" i="1"/>
  <c r="P8" i="2" s="1"/>
  <c r="P478" i="1"/>
  <c r="AF396" i="1"/>
  <c r="P10" i="2" s="1"/>
  <c r="P774" i="1"/>
  <c r="AF672" i="1"/>
  <c r="P1293" i="1"/>
  <c r="P1287" i="1" s="1"/>
  <c r="AE1287" i="1"/>
  <c r="P1396" i="1"/>
  <c r="AE1381" i="1"/>
  <c r="O20" i="2" s="1"/>
  <c r="AH9" i="1"/>
  <c r="R6" i="2" s="1"/>
  <c r="AB1070" i="1"/>
  <c r="M15" i="2" s="1"/>
  <c r="P1247" i="1"/>
  <c r="AD1243" i="1"/>
  <c r="N17" i="2" s="1"/>
  <c r="P1410" i="1"/>
  <c r="AH1381" i="1"/>
  <c r="R20" i="2" s="1"/>
  <c r="P1097" i="1"/>
  <c r="AE1070" i="1"/>
  <c r="O15" i="2" s="1"/>
  <c r="V308" i="1"/>
  <c r="F9" i="2" s="1"/>
  <c r="P958" i="1"/>
  <c r="AG894" i="1"/>
  <c r="Q13" i="2" s="1"/>
  <c r="V396" i="1"/>
  <c r="F10" i="2" s="1"/>
  <c r="P275" i="1"/>
  <c r="AG185" i="1"/>
  <c r="Q8" i="2" s="1"/>
  <c r="AI973" i="1"/>
  <c r="P1214" i="1"/>
  <c r="AE1208" i="1"/>
  <c r="P1045" i="1"/>
  <c r="AG973" i="1"/>
  <c r="Q14" i="2" s="1"/>
  <c r="P387" i="1"/>
  <c r="AH308" i="1"/>
  <c r="R9" i="2" s="1"/>
  <c r="AI396" i="1"/>
  <c r="P844" i="1"/>
  <c r="AH672" i="1"/>
  <c r="R12" i="2" s="1"/>
  <c r="P1311" i="1"/>
  <c r="AD1307" i="1"/>
  <c r="N19" i="2" s="1"/>
  <c r="AH62" i="1"/>
  <c r="V973" i="1"/>
  <c r="F14" i="2"/>
  <c r="W973" i="1"/>
  <c r="G14" i="2" s="1"/>
  <c r="W894" i="1"/>
  <c r="X894" i="1"/>
  <c r="P180" i="1"/>
  <c r="P164" i="1"/>
  <c r="L1381" i="1"/>
  <c r="P1385" i="1"/>
  <c r="L1145" i="1"/>
  <c r="P676" i="1"/>
  <c r="P312" i="1"/>
  <c r="L212" i="1"/>
  <c r="P66" i="1"/>
  <c r="P300" i="1"/>
  <c r="P189" i="1"/>
  <c r="P1212" i="1"/>
  <c r="L1208" i="1"/>
  <c r="P1074" i="1"/>
  <c r="P717" i="1"/>
  <c r="L1249" i="1"/>
  <c r="L1063" i="1"/>
  <c r="L1064" i="1"/>
  <c r="L1366" i="1"/>
  <c r="L1059" i="1"/>
  <c r="I1060" i="1"/>
  <c r="L1060" i="1" s="1"/>
  <c r="I1023" i="1"/>
  <c r="L1023" i="1" s="1"/>
  <c r="L1019" i="1" s="1"/>
  <c r="AG7" i="1" l="1"/>
  <c r="Q26" i="2"/>
  <c r="P12" i="2"/>
  <c r="L1058" i="1"/>
  <c r="AJ973" i="1" s="1"/>
  <c r="S14" i="2" s="1"/>
  <c r="L894" i="1"/>
  <c r="P563" i="1"/>
  <c r="P559" i="1" s="1"/>
  <c r="AE62" i="1"/>
  <c r="O7" i="2" s="1"/>
  <c r="AB7" i="1"/>
  <c r="AF973" i="1"/>
  <c r="P14" i="2" s="1"/>
  <c r="V7" i="1"/>
  <c r="M26" i="2"/>
  <c r="P1019" i="1"/>
  <c r="G13" i="2"/>
  <c r="W7" i="1"/>
  <c r="H13" i="2"/>
  <c r="H26" i="2" s="1"/>
  <c r="X7" i="1"/>
  <c r="G26" i="2"/>
  <c r="F26" i="2"/>
  <c r="P1176" i="1"/>
  <c r="T20" i="2"/>
  <c r="P1208" i="1"/>
  <c r="AE1423" i="1"/>
  <c r="L1423" i="1"/>
  <c r="P1423" i="1" s="1"/>
  <c r="AK1208" i="1"/>
  <c r="O16" i="2"/>
  <c r="T16" i="2" s="1"/>
  <c r="AK1287" i="1"/>
  <c r="O18" i="2"/>
  <c r="T18" i="2" s="1"/>
  <c r="AK559" i="1"/>
  <c r="O11" i="2"/>
  <c r="T11" i="2" s="1"/>
  <c r="R7" i="2"/>
  <c r="P1381" i="1"/>
  <c r="AK1381" i="1"/>
  <c r="P884" i="1"/>
  <c r="P672" i="1" s="1"/>
  <c r="AJ672" i="1"/>
  <c r="P977" i="1"/>
  <c r="AD973" i="1"/>
  <c r="N14" i="2" s="1"/>
  <c r="P1249" i="1"/>
  <c r="P1243" i="1" s="1"/>
  <c r="AE1243" i="1"/>
  <c r="O17" i="2" s="1"/>
  <c r="T17" i="2" s="1"/>
  <c r="P212" i="1"/>
  <c r="P185" i="1" s="1"/>
  <c r="AE185" i="1"/>
  <c r="P400" i="1"/>
  <c r="P396" i="1" s="1"/>
  <c r="AD396" i="1"/>
  <c r="AD7" i="1" s="1"/>
  <c r="P317" i="1"/>
  <c r="P308" i="1" s="1"/>
  <c r="AE308" i="1"/>
  <c r="AJ1070" i="1"/>
  <c r="P1048" i="1"/>
  <c r="AH973" i="1"/>
  <c r="R14" i="2" s="1"/>
  <c r="P1366" i="1"/>
  <c r="AH1307" i="1"/>
  <c r="R19" i="2" s="1"/>
  <c r="P898" i="1"/>
  <c r="AD894" i="1"/>
  <c r="N13" i="2" s="1"/>
  <c r="P961" i="1"/>
  <c r="AH894" i="1"/>
  <c r="P906" i="1"/>
  <c r="AE894" i="1"/>
  <c r="O13" i="2" s="1"/>
  <c r="P1145" i="1"/>
  <c r="AF1070" i="1"/>
  <c r="P988" i="1"/>
  <c r="AE973" i="1"/>
  <c r="O14" i="2" s="1"/>
  <c r="AE9" i="1"/>
  <c r="P1321" i="1"/>
  <c r="AE1307" i="1"/>
  <c r="O19" i="2" s="1"/>
  <c r="L185" i="1"/>
  <c r="P80" i="1"/>
  <c r="P62" i="1" s="1"/>
  <c r="L1070" i="1"/>
  <c r="L1243" i="1"/>
  <c r="L1377" i="1"/>
  <c r="AE7" i="1" l="1"/>
  <c r="R13" i="2"/>
  <c r="T13" i="2" s="1"/>
  <c r="AH7" i="1"/>
  <c r="S15" i="2"/>
  <c r="R26" i="2"/>
  <c r="L973" i="1"/>
  <c r="P894" i="1"/>
  <c r="AK62" i="1"/>
  <c r="T7" i="2"/>
  <c r="W1" i="1"/>
  <c r="P1070" i="1"/>
  <c r="AK1243" i="1"/>
  <c r="O21" i="2"/>
  <c r="T21" i="2" s="1"/>
  <c r="AK1423" i="1"/>
  <c r="AK9" i="1"/>
  <c r="O6" i="2"/>
  <c r="AK1070" i="1"/>
  <c r="P15" i="2"/>
  <c r="AK308" i="1"/>
  <c r="O9" i="2"/>
  <c r="T9" i="2" s="1"/>
  <c r="AK396" i="1"/>
  <c r="N10" i="2"/>
  <c r="N26" i="2" s="1"/>
  <c r="AK185" i="1"/>
  <c r="O8" i="2"/>
  <c r="T8" i="2" s="1"/>
  <c r="T14" i="2"/>
  <c r="AK672" i="1"/>
  <c r="S12" i="2"/>
  <c r="AK894" i="1"/>
  <c r="AK973" i="1"/>
  <c r="P1058" i="1"/>
  <c r="P973" i="1" s="1"/>
  <c r="L1378" i="1"/>
  <c r="O26" i="2" l="1"/>
  <c r="T12" i="2"/>
  <c r="T6" i="2"/>
  <c r="AF1307" i="1"/>
  <c r="AF7" i="1" s="1"/>
  <c r="L1376" i="1"/>
  <c r="P1376" i="1" s="1"/>
  <c r="T10" i="2"/>
  <c r="T15" i="2"/>
  <c r="P1333" i="1" l="1"/>
  <c r="P1307" i="1" s="1"/>
  <c r="P19" i="2"/>
  <c r="P26" i="2" s="1"/>
  <c r="AJ1307" i="1"/>
  <c r="L1307" i="1"/>
  <c r="L7" i="1" s="1"/>
  <c r="S19" i="2" l="1"/>
  <c r="S26" i="2" s="1"/>
  <c r="AJ7" i="1"/>
  <c r="AK1307" i="1"/>
  <c r="AK7" i="1" s="1"/>
  <c r="T19" i="2" l="1"/>
  <c r="T26" i="2" s="1"/>
</calcChain>
</file>

<file path=xl/sharedStrings.xml><?xml version="1.0" encoding="utf-8"?>
<sst xmlns="http://schemas.openxmlformats.org/spreadsheetml/2006/main" count="5083" uniqueCount="1420">
  <si>
    <t>STT</t>
  </si>
  <si>
    <t>Hạng mục tham chiếu</t>
  </si>
  <si>
    <t>Hạng mục bồi thường, hỗ trợ</t>
  </si>
  <si>
    <t>Tờ bản đồ</t>
  </si>
  <si>
    <t>Thửa số</t>
  </si>
  <si>
    <t>Đơn vị tính</t>
  </si>
  <si>
    <t xml:space="preserve">Khối lượng, diện tích thu hồi (m2) </t>
  </si>
  <si>
    <t>Đơn giá (đồng)</t>
  </si>
  <si>
    <t>Hệ số</t>
  </si>
  <si>
    <t>Thành tiền (đồng)</t>
  </si>
  <si>
    <t>Tổng tiền thực lĩnh sau thuế (đồng)</t>
  </si>
  <si>
    <t>Mức thu</t>
  </si>
  <si>
    <t>Số tiền (đồng)</t>
  </si>
  <si>
    <t>Tổng cộng</t>
  </si>
  <si>
    <t>I</t>
  </si>
  <si>
    <t>-</t>
  </si>
  <si>
    <t>HKTT: Bản phung, xã Tuần Giáo</t>
  </si>
  <si>
    <t>a</t>
  </si>
  <si>
    <t>Bồi thường về đất: vị trí 1</t>
  </si>
  <si>
    <t>Đất ở tại nông thôn  (ONT)</t>
  </si>
  <si>
    <t>2</t>
  </si>
  <si>
    <t>20%</t>
  </si>
  <si>
    <t>Đất trồng cây lâu năm (CLN)</t>
  </si>
  <si>
    <t>Đất chuyên trồng lúa nước (LUC)</t>
  </si>
  <si>
    <t>Điều 95  Luật Đất đai 2024; Điều 6 Nghị định 88/2024/NĐ-C p  ngày 15/7/2024; Văn bản số 4355/UBND-KT ngày 28/5/2026 của UBND tỉnh Điện Biên</t>
  </si>
  <si>
    <t>Đất nuôi trồng thủy sản (NTS)</t>
  </si>
  <si>
    <t>Đất trồng cây hàng năm khác (HNK)</t>
  </si>
  <si>
    <t>b</t>
  </si>
  <si>
    <t>Bồi thường về tài sản, VKT</t>
  </si>
  <si>
    <t>62.II</t>
  </si>
  <si>
    <t>+</t>
  </si>
  <si>
    <t>DT</t>
  </si>
  <si>
    <t>Giảm trừ không trát áo tường 2 mặt</t>
  </si>
  <si>
    <t>m2</t>
  </si>
  <si>
    <t>m3</t>
  </si>
  <si>
    <t>7.XVII</t>
  </si>
  <si>
    <t>51.XVII</t>
  </si>
  <si>
    <t>217.XII</t>
  </si>
  <si>
    <t>247.XVI</t>
  </si>
  <si>
    <t>153.VII</t>
  </si>
  <si>
    <t>248.XVI</t>
  </si>
  <si>
    <t>148.VII</t>
  </si>
  <si>
    <t>194.X</t>
  </si>
  <si>
    <t>c</t>
  </si>
  <si>
    <t>Bồi thường về cây trồng, vật nuôi:</t>
  </si>
  <si>
    <t>Quyết định số 58/2024/QĐ-UBND ngày 31/12/2024 của UBND tỉnh Điện Biên.</t>
  </si>
  <si>
    <t>kg</t>
  </si>
  <si>
    <t>Cây chuối, (37 cây)</t>
  </si>
  <si>
    <t>cây</t>
  </si>
  <si>
    <t>Cây đu đủ  (1 cây)</t>
  </si>
  <si>
    <t>khóm</t>
  </si>
  <si>
    <t>chậu</t>
  </si>
  <si>
    <t>Ao nuôi hỗn hợp các loài thuỷ sản</t>
  </si>
  <si>
    <t>d</t>
  </si>
  <si>
    <t>Bồi thường chi phí di chuyển tài sản khi Nhà nước thu hồi đất (Hộ gia đình có tổng số 4 nhân khẩu).</t>
  </si>
  <si>
    <t>Khoản 1 Điều 10 Quyết định số 40/2026/QĐ-UBND ngày 10/6/2026.</t>
  </si>
  <si>
    <t>Hộ gia đình di chuyển chỗ ở dưới 5km</t>
  </si>
  <si>
    <t>Hộ</t>
  </si>
  <si>
    <t>e</t>
  </si>
  <si>
    <t>Hỗ trợ đào tạo, chuyển đổi nghề và tìm kiếm việc làm</t>
  </si>
  <si>
    <t>Khoản 5 điều 2 Nghị định 226/2025/NĐ-C p ngày 15/8/2025 của Chính phủ; Điều 14 Quyết định số 40/2026/QĐ-UBND ngày 10/6/2026.</t>
  </si>
  <si>
    <t>f</t>
  </si>
  <si>
    <t>Hỗ trợ tiền thuê nhà ở trong thời gian chờ bố trí tái định cư</t>
  </si>
  <si>
    <t>Điều 15 Quyết định số 40/2026/QĐ-UBND ngày 10/6/2026.</t>
  </si>
  <si>
    <t>Hộ gia đình có 4 nhân khẩu</t>
  </si>
  <si>
    <t>Tháng</t>
  </si>
  <si>
    <t>g</t>
  </si>
  <si>
    <t>Tái định cư</t>
  </si>
  <si>
    <t>Suất</t>
  </si>
  <si>
    <t>Đất trồng lúa còn lại (LUK)</t>
  </si>
  <si>
    <t>1</t>
  </si>
  <si>
    <t>Điều 96  Luật Đất đai 2024; Điều 5 nghị định số 88/2024/NĐ-C p ngày 15/7/2024 của Chính phủ. Văn bản số 4355/UBND-KT ngày 28/5/2026 của UBND tỉnh Điện Biên</t>
  </si>
  <si>
    <t>Đất rừng sản xuất (RSX)</t>
  </si>
  <si>
    <t>Giảm trừ đơn giá đường kính cột không đủ đường kính cột cái, cao 5,2m : 25cm x 06 cột</t>
  </si>
  <si>
    <t>192.X</t>
  </si>
  <si>
    <t>223.XIII</t>
  </si>
  <si>
    <t>64.XVII</t>
  </si>
  <si>
    <t>250.XVI</t>
  </si>
  <si>
    <t>249.XVI</t>
  </si>
  <si>
    <t>52.XVII</t>
  </si>
  <si>
    <t>h</t>
  </si>
  <si>
    <t>Tòng Văn Thu</t>
  </si>
  <si>
    <t>Số định danh cá nhân: 011167001048</t>
  </si>
  <si>
    <t>Số điện thoại: 0789111152</t>
  </si>
  <si>
    <t>189</t>
  </si>
  <si>
    <t xml:space="preserve">Đất bố mẹ Tòng Văn Ương tự khai hoang từ năm 1992 để sử dụng vào mục đích chuyên trồng lúa nước, cho con Tòng Văn Thu năm 2012 sử dụng vào mục đích chuyên trồng lúa nước, đất sử dụng ổn định, liên tục, không tranh chấp. Đất chưa được cấp giấy chứng nhận quyền sử dụng đất </t>
  </si>
  <si>
    <t>223</t>
  </si>
  <si>
    <t>415</t>
  </si>
  <si>
    <t>40%</t>
  </si>
  <si>
    <t>thửa 415 tờ 2</t>
  </si>
  <si>
    <t>Giảm trừ tầng 1 không xây tường 220mm: 32,8x1,8m</t>
  </si>
  <si>
    <t>Giảm trừ đơn giá đường kính cột không đủ đường kính cột quân, cao 4,2m : 20cm x16 cột</t>
  </si>
  <si>
    <t>Giảm trừ đơn giá đường kính cột không đủ đường kính cột cái, cao 5,2m : 20cm x 06 cột</t>
  </si>
  <si>
    <t>Chênh lệch mái lợp bro xi măng và mái lợp ngói: 13,3x9,4</t>
  </si>
  <si>
    <t>89.XVII-95.XVII</t>
  </si>
  <si>
    <t>89.XVII-96.XVII</t>
  </si>
  <si>
    <t>Gia công lắ p dựng vách tôn so với vách gỗ: 14,4x2,5 cao</t>
  </si>
  <si>
    <t xml:space="preserve"> PU xà: (0,56x6,5)x4 xà</t>
  </si>
  <si>
    <t xml:space="preserve"> PU xà: (0,42x7,2)x4 xà</t>
  </si>
  <si>
    <t xml:space="preserve"> PU xà: (0,46x3,6)x4 xà</t>
  </si>
  <si>
    <t xml:space="preserve"> PU vì kèo: (6,0x0,50)x8 xà x2 bên</t>
  </si>
  <si>
    <t xml:space="preserve"> PU vì kèo trái: (0,42x4)x8 xà</t>
  </si>
  <si>
    <t xml:space="preserve"> PU xà nóc: (0,48x7,3)x1 xà</t>
  </si>
  <si>
    <t xml:space="preserve"> PU xà: (0,48x2,5)x8 xà</t>
  </si>
  <si>
    <t xml:space="preserve"> PU cột cái: (D200x5,8)x6 cột</t>
  </si>
  <si>
    <t xml:space="preserve"> PU cột quân: (D200x4,6)x16 cột</t>
  </si>
  <si>
    <t xml:space="preserve"> PU cột trụ: (D200x1,5)x2 trụ</t>
  </si>
  <si>
    <t xml:space="preserve"> PU xà gồ: (0,32x8,3)x8 xàx2 bên</t>
  </si>
  <si>
    <t xml:space="preserve"> PU sàn: 7,5x9,9x2 mặt</t>
  </si>
  <si>
    <t>53.XVII</t>
  </si>
  <si>
    <t>Lợp mái bằng tấm nhựa: (3x1)x2 bên</t>
  </si>
  <si>
    <t>57.XVII</t>
  </si>
  <si>
    <t>Lan can innoxt: 6,8x0,7</t>
  </si>
  <si>
    <t>md</t>
  </si>
  <si>
    <t>149.VII</t>
  </si>
  <si>
    <t>Nhà tắm, nhà vệ sinh không có bể phốt móng xây gạch, tường xây 110mm, không ốp gạch ceramic, không lát gạch Ceramic, xà gồ, vì kèo thé p hộ p, mái lợp fibroxi măng, cửa đi sắt hộ p huỳnh tôn: 3,3x2,9</t>
  </si>
  <si>
    <t>34.XVII</t>
  </si>
  <si>
    <t>Giảm trừ không ốp gạch: 9,2x2,2</t>
  </si>
  <si>
    <t>20.XVII-217.XII</t>
  </si>
  <si>
    <t>Giảm trừ lát gạch ceramic: 3,3x2,9</t>
  </si>
  <si>
    <t>Trụ đỡ test nước xây gạch Block: (0,44x0,44)x1,5 cao x4</t>
  </si>
  <si>
    <t>Sân phơi gạch vỡ láng xi măng: (2x2)+(4,8x2)+(4,5x3,5)</t>
  </si>
  <si>
    <t>Gia công lợp mái fibroxi măng: 4,5x3,5</t>
  </si>
  <si>
    <t>Hàng rào tre đan: 14+13+15m</t>
  </si>
  <si>
    <t>Tòng Văn Ương</t>
  </si>
  <si>
    <t>Số định danh cá nhân: 011071000343</t>
  </si>
  <si>
    <t>Số điện thoại: 0358489967</t>
  </si>
  <si>
    <t>Điều 96,  Luật Đất đai 2024; Điều 5, 12 Nghị định 88/2024/NĐ-C p  ngày 15/7/2024; Văn bản số 4355/UBND-KT ngày 28/5/2026 của UBND tỉnh Điện Biên</t>
  </si>
  <si>
    <t>383</t>
  </si>
  <si>
    <t>18</t>
  </si>
  <si>
    <t xml:space="preserve">Đất gia đình tự khai hoang từ năm 1992 để sử dụng vào mục đích trồng trồng lúa còn lại, đất sử dụng ổn định, liên tục, không tranh chấp. Đất chưa được cấp giấy chứng nhận quyền sử dụng đất </t>
  </si>
  <si>
    <t>23</t>
  </si>
  <si>
    <t>44</t>
  </si>
  <si>
    <t>47</t>
  </si>
  <si>
    <t xml:space="preserve">Đất gia đình tự khai hoang từ năm 1992 để sử dụng vào mục đích trồng trồng cây lâu năm, đất sử dụng ổn định, liên tục, không tranh chấp. Đất chưa được cấp giấy chứng nhận quyền sử dụng đất </t>
  </si>
  <si>
    <t>49</t>
  </si>
  <si>
    <t xml:space="preserve">Đất gia đình tự khai hoang  từ năm 1992 để sử dụng vào mục đích trồng trồng cây hàng năm khác, đất đến năm 2015; từ năm 2015 đến nay chuyển sang chăm sóc và bảo vệ đất thành rừng sản xuất. Hiện trạng có cây tre gia đình trồng và một số cây tự nhiên, sử dụng ổn định, không tranh chấp. Đất chưa được cấp giấy chứng nhận quyền sử dụng đất </t>
  </si>
  <si>
    <t>55</t>
  </si>
  <si>
    <t>68</t>
  </si>
  <si>
    <t>251</t>
  </si>
  <si>
    <t xml:space="preserve">Đất gia đình tự khai hoang từ năm 1992 để sử dụng vào mục đích chuyên trồng lúa nước, đất sử dụng ổn định, liên tục, không tranh chấp. Đất chưa được cấp giấy chứng nhận quyền sử dụng đất </t>
  </si>
  <si>
    <t>271</t>
  </si>
  <si>
    <t>273</t>
  </si>
  <si>
    <t>305</t>
  </si>
  <si>
    <t>thửa 383 tờ 2</t>
  </si>
  <si>
    <t>Nhà sàn cột kê khung cột gỗ D220, gỗ nhóm IV, nền láng xi măng, tầng 1  xây tường 110mm có lu sơn, lát sàn trên bằng gỗ, thưng gỗ, xà gồ vì kèo bằng gỗ, mái lợp tôn lạnh, lan can innox, hệ thống điện hoàn chỉnh: 9,7x12,9</t>
  </si>
  <si>
    <t>Giảm trừ đơn giá đường kính cột không đủ đường kính cột quân, cao 4,2m : 22cm x16 cột</t>
  </si>
  <si>
    <t>Giảm trừ đơn giá đường kính cột không đủ đường kính cột cái, cao 5,2m : 22cm x 06 cột</t>
  </si>
  <si>
    <t>Chênh lệch mái lợp tôn lạnh và mái lợp ngói: 9,7x12,9</t>
  </si>
  <si>
    <t>219.XII</t>
  </si>
  <si>
    <t>Cầu thang đổ BTCT: 5,7x1,25 + 2,5x1,25 + 4x1</t>
  </si>
  <si>
    <t>56.XVII</t>
  </si>
  <si>
    <t xml:space="preserve"> PU xà: (0,56x6,6)x4 xà</t>
  </si>
  <si>
    <t xml:space="preserve"> PU xà: (0,44x2,0)x4 xà</t>
  </si>
  <si>
    <t xml:space="preserve"> PU xà: (0,44x1,6)x2 xà</t>
  </si>
  <si>
    <t xml:space="preserve"> PU xà: 0,48x6,8x4 bên</t>
  </si>
  <si>
    <t xml:space="preserve"> PU cột cái: 0,69x5,2x6</t>
  </si>
  <si>
    <t xml:space="preserve"> PU cột quân: 0,69x4,2x16</t>
  </si>
  <si>
    <t xml:space="preserve"> PU cột quân: 0,69x1,4x2</t>
  </si>
  <si>
    <t xml:space="preserve"> PU xà: 0,48x2,2x4</t>
  </si>
  <si>
    <t xml:space="preserve"> PU xà: 0,52x3x4</t>
  </si>
  <si>
    <t xml:space="preserve"> PU xà: 0,48x6x8</t>
  </si>
  <si>
    <t xml:space="preserve"> PU xà: 0,48x7,8x1,0</t>
  </si>
  <si>
    <t xml:space="preserve"> PU xà: 0,44x3,1x4,0</t>
  </si>
  <si>
    <t xml:space="preserve"> PU xà: 0,32x4,0x4</t>
  </si>
  <si>
    <t xml:space="preserve"> PU xà: (10,0x6,6)x2 + 8,2x1x2</t>
  </si>
  <si>
    <t xml:space="preserve"> PU lan can: 8,2x0,6</t>
  </si>
  <si>
    <t xml:space="preserve"> PU thưng gỗ: (10,0+6,6)x2x1,9x2</t>
  </si>
  <si>
    <t xml:space="preserve"> PU rèm: 0,25x(6,7+7,6)</t>
  </si>
  <si>
    <t xml:space="preserve"> PU xà: 0,4x10,6x15</t>
  </si>
  <si>
    <t xml:space="preserve"> PU xà: 0,4x7,7x6</t>
  </si>
  <si>
    <t>Trụ xây gạch Bloch: (0,35x0,35x2,0)x2 trụ</t>
  </si>
  <si>
    <t>Trụ bê tông cốt thé p: 0,3x3,14x4 trụ</t>
  </si>
  <si>
    <t>trụ</t>
  </si>
  <si>
    <t>Trụ cổng BTCT: 0,3x0,3x2,2</t>
  </si>
  <si>
    <t>Trụ cổng phần xây gạch ngoài có lu sơn KT: 0,6x0,6x2,2x2 trụ</t>
  </si>
  <si>
    <t>Gia công mái cổng tôn KT: 2,0x4,5</t>
  </si>
  <si>
    <t>Gia công mái tôn KT: (1,8x9,4)+(2,8x10,0)</t>
  </si>
  <si>
    <t>Sân phơi gạch vỡ láng xi măng KT: 11,5x6</t>
  </si>
  <si>
    <t>Gia công mái Fibro xi măng KT: 2,6x3</t>
  </si>
  <si>
    <t>250.XII</t>
  </si>
  <si>
    <t>Chuồng lợn xây gạch cột trụ bằng gạch lợp mái Fibro xi măng KT: (2,5x3,5)+(2.8x4,2)</t>
  </si>
  <si>
    <t>Bể phốt tự hoại độc lậ p KT: 1,5x1,5x1,7</t>
  </si>
  <si>
    <t>137.VII</t>
  </si>
  <si>
    <t>Gia công mái Fibro xi măng KT: 3,8x4,7</t>
  </si>
  <si>
    <t>Sân phơi gạch vỡ láng xi măng KT: 3,8x4,7</t>
  </si>
  <si>
    <t>Tường xây gạch Block có lu sơn KT: 7,2x1,2</t>
  </si>
  <si>
    <t>Tấm đan BTCT KT: 1,6x2,3</t>
  </si>
  <si>
    <t>60.XVII</t>
  </si>
  <si>
    <t xml:space="preserve">Cửa sắ p xếp: 1,6x2,2m </t>
  </si>
  <si>
    <t>Lúa nước hiện trạng đã thu hoạch</t>
  </si>
  <si>
    <t>thửa 48 tờ 2</t>
  </si>
  <si>
    <t>Cây sung. Đường kính thân &lt; 5 cm (2 cây)</t>
  </si>
  <si>
    <t>Cây</t>
  </si>
  <si>
    <t>Gỗ nhóm lV đến nhóm VIII;  Đường kính thân 10 đến &lt; 20 cm</t>
  </si>
  <si>
    <t>Cây nhãn trồng năm 2022 (1 cây)</t>
  </si>
  <si>
    <t>Kg</t>
  </si>
  <si>
    <t>Cây chanh trồng năm 2023 (1 cây)</t>
  </si>
  <si>
    <t>Cây đinh lăng trồng năm 2025</t>
  </si>
  <si>
    <t xml:space="preserve">Cây bưởi trồng năm 2025 </t>
  </si>
  <si>
    <t>Tre, Trúc lấy thân; Đường kính thân ≥ 10 cm (500 cây)</t>
  </si>
  <si>
    <t xml:space="preserve">Gỗ nhóm lV đến nhóm VIII; Đường kính thân 7 đến &lt; 10 cm  </t>
  </si>
  <si>
    <t xml:space="preserve">Gỗ nhóm lV đến nhóm VIII Đường kính thân 7 đến &lt; 10 cm  </t>
  </si>
  <si>
    <t>Bồi thường chi phí di chuyển tài sản khi 
Nhà nước thu hồi đất (Hộ gia đình có tổng số 6 nhân khẩu).</t>
  </si>
  <si>
    <t>Số nhân khẩu tăng thêm của hộ gia đình</t>
  </si>
  <si>
    <t>Nhân khẩu</t>
  </si>
  <si>
    <t>Khoản 5 điều 2 Nghị định 226/2025/NĐ-C p ngày 15/8/2025 của Chính phủ; Điều 14 Quyết định số 40/2026/QĐ-UBND ngày 10/6/2026 của UBND tỉnh Điện Biên; Nghị Quyết số 28/2025/NQ-HĐND ngày 25/12/2025 của HĐND tỉnh Điện Biên.</t>
  </si>
  <si>
    <t>Hộ gia đình có 6 nhân khẩu</t>
  </si>
  <si>
    <t>Số nhân khẩu tăng thêm của hộ gia đình (2 khẩu tăng thêm)</t>
  </si>
  <si>
    <t>Tòng Văn Xuân</t>
  </si>
  <si>
    <t>Số định danh cá nhân: 011067000843</t>
  </si>
  <si>
    <t xml:space="preserve">Đất gia đình tự khai hoang từ năm 1992 để sử dụng vào mục đích làm nhà ở và trồng cây lâu năm, đất sử dụng ổn định, liên tục, không tranh chấp. Đất chưa được cấp giấy chứng nhận quyền sử dụng đất </t>
  </si>
  <si>
    <t>414</t>
  </si>
  <si>
    <t>Đất nuôi trồng thuỷ sản (NTS)</t>
  </si>
  <si>
    <t>307</t>
  </si>
  <si>
    <t>Đất đã được cấp giấy CNQSDĐ sốphát hành E 0347444, số vào sổ cấp giấy 00453 do UBND huyện Tuần Giáo cấp ngày tháng 10/1995. Thửa đất thu hồi thuộc thửa đất số 498a tờ bản đồ số 5, diện tích cấp GCNQSD đất (62,0m2), mục đích sử dụng đất Mạ. Diện tích chênh lệch hiện trạng sử dụng so với GCNQSD đất đã cấp (tăng 99,6m2) do sai số đo đạc khi cấp giấy chứng nhận quyền sử dụng đất. Hiện trạng sử dụng đất vào mục đích đất nuôi trồng thủy sản, sử dụng ổn định, liên tục, không tranh chấp.</t>
  </si>
  <si>
    <t>338</t>
  </si>
  <si>
    <t>Đất đã được cấp giấy CNQSDĐ sốphát hành E 0347444, số vào sổ cấp giấy 00453 do UBND huyện Tuần Giáo cấp ngày tháng 10/1995. Thửa đất thu hồi thuộc thửa đất số 618 tờ bản đồ số 5, diện tích cấp GCNQSD đất (1.184,0m2), mục đích sử dụng đất 2L (đất chuyên trồng lúa nước). Diện tích chênh lệch hiện trạng sử dụng so với GCNQSD đất đã cấp (giảm 146,1m2  do làm mương dẫn mước). Hiện trạng sử dụng đất vào mục đích đất chuyên trồng lúa nước, sử dụng ổn định, liên tục, không tranh chấp.</t>
  </si>
  <si>
    <t>453</t>
  </si>
  <si>
    <t>Đất đã được cấp giấy CNQSDĐ sốphát hành E 0347444, số vào sổ cấp giấy 00453 do UBND huyện Tuần Giáo cấp ngày tháng 10/1995. Thửa đất thu hồi thuộc thửa đất số 760, 748 tờ bản đồ số 5, diện tích cấp GCNQSD đất (672,0m2), mục đích sử dụng đất 1L (đất trồng lúa còn lại). Diện tích chênh lệch hiện trạng sử dụng so với GCNQSD đất đã cấp (giảm 18,2m2) do sai số đo đạc khi cấp giấy chứng nhận quyền sử dụng đất. Hiện trạng sử dụng đất vào mục đích đất trồng lúa còn lại, sử dụng ổn định, liên tục, không tranh chấp.</t>
  </si>
  <si>
    <t>274</t>
  </si>
  <si>
    <t>Đất đã được cấp giấy CNQSDĐ sốphát hành E 0347444, số vào sổ cấp giấy 00453 do UBND huyện Tuần Giáo cấp ngày tháng 10/1995. Thửa đất thu hồi thuộc thửa đất số 528, 527b tờ bản đồ số 5, diện tích cấp GCNQSD đất (464,0m2), mục đích sử dụng đất 1L (đất trồng lúa còn lại). Diện tích chênh lệch hiện trạng sử dụng so với GCNQSD đất đã cấp (giảm 78,0m2  do đất giá p suối bị sạt lở). Hiện trạng sử dụng đất vào mục đích đất nuôi trồng thủy sản, sử dụng ổn định, liên tục, không tranh chấp.</t>
  </si>
  <si>
    <t xml:space="preserve">Đất gia đình tự khai hoang từ năm 1991 để sử dụng vào mục đích trồng cây lâu năm, đất sử dụng ổn định, liên tục, không tranh chấp. Đất chưa được cấp giấy chứng nhận quyền sử dụng đất </t>
  </si>
  <si>
    <t>335</t>
  </si>
  <si>
    <t xml:space="preserve">Đất gia đình tự khai hoang từ năm 1991 để sử dụng vào mục đích trồng lúa còn lại, đất sử dụng ổn định, liên tục, không tranh chấp. Đất chưa được cấp giấy chứng nhận quyền sử dụng đất </t>
  </si>
  <si>
    <t>337</t>
  </si>
  <si>
    <t>339</t>
  </si>
  <si>
    <t>345</t>
  </si>
  <si>
    <t>353</t>
  </si>
  <si>
    <t>360</t>
  </si>
  <si>
    <t>363</t>
  </si>
  <si>
    <t>369</t>
  </si>
  <si>
    <t>Đất đã được cấp giấy CNQSDĐ sốphát hành E 0347444, số vào sổ cấp giấy 00453 do UBND huyện Tuần Giáo cấp ngày tháng 10/1995. Thửa đất thu hồi thuộc thửa đất số 605 tờ bản đồ số 5, diện tích cấp GCNQSD đất (492,0m2), mục đích sử dụng đất 2L (đất chuyên trồng lúa nước). Diện tích chênh lệch hiện trạng sử dụng so với GCNQSD đất đã cấp (tăng 36,6m2) do sai số đo đạc khi cấp giấy chứng nhận quyền sử dụng đất. Hiện trạng sử dụng đất vào mục đích đất chuyên trồng lúa nước, sử dụng ổn định, liên tục, không tranh chấp.</t>
  </si>
  <si>
    <t>Đất đã được cấp giấy CNQSDĐ sốphát hành E 0347444, số vào sổ cấp giấy 00453 do UBND huyện Tuần Giáo cấp ngày tháng 10/1995. Thửa đất thu hồi thuộc thửa đất số 761 tờ bản đồ số 5, diện tích cấp GCNQSD đất (228,0m2), mục đích sử dụng đất 1L (đất trồng lúa còn lại). Diện tích chênh lệch hiện trạng sử dụng so với GCNQSD đất đã cấp (tăng 16,7m2) do sai số đo đạc khi cấp giấy chứng nhận quyền sử dụng đất. Hiện trạng sử dụng đất vào mục đích đất trồng lúa còn lại, sử dụng ổn định, liên tục, không tranh chấp.</t>
  </si>
  <si>
    <t>Đất đã được cấp giấy CNQSDĐ sốphát hành E 0347444, số vào sổ cấp giấy 00453 do UBND huyện Tuần Giáo cấp ngày tháng 10/1995. Thửa đất thu hồi thuộc thửa đất số 759 tờ bản đồ số 5, diện tích cấp GCNQSD đất (76,0m2), mục đích sử dụng đất 1L (đất trồng lúa còn lại). Diện tích chênh lệch hiện trạng sử dụng so với GCNQSD đất đã cấp (tăng 0,5m2) do sai số đo đạc khi cấp giấy chứng nhận quyền sử dụng đất. Hiện trạng sử dụng đất vào mục đích đất trồng lúa còn lại, sử dụng ổn định, liên tục, không tranh chấp.</t>
  </si>
  <si>
    <t xml:space="preserve">Đất gia đình tự khai hoang từ năm 1991 để sử dụng vào mục đích nuôi trồng thủy sản, đất sử dụng ổn định, liên tục, không tranh chấp. Đất chưa được cấp giấy chứng nhận quyền sử dụng đất </t>
  </si>
  <si>
    <t xml:space="preserve">Đất gia đình tự khai hoang từ năm 1991 để sử dụng vào mục đích trồng cây hàng năm khác, đất sử dụng ổn định, liên tục, không tranh chấp. Đất chưa được cấp giấy chứng nhận quyền sử dụng đất </t>
  </si>
  <si>
    <t>thửa 414 tờ 2</t>
  </si>
  <si>
    <t>Nhà khung cột gỗ tròn D300, nền đất, tầng một không xây tường, , lát sàn trên bằng gỗ, thưng gỗ, mái xà gồ gỗ, lợp ngói, cửa đi gỗ, hệ thống điện hoàn chỉnh, kích thước: (13x9,6)</t>
  </si>
  <si>
    <t>Giảm trừ tường 220mm: 1,5x((10,8x2)+ (7,2x2))m</t>
  </si>
  <si>
    <t>20.XVII</t>
  </si>
  <si>
    <t>Giảm trừ nền không lát gạch Ceramic: 13x9</t>
  </si>
  <si>
    <t>48.XVII-49.XVII</t>
  </si>
  <si>
    <t>Chênh lệch lát sàn trên bằng tre so với sàn bằng gỗ: 10,9x2,4</t>
  </si>
  <si>
    <t>Sân phơi gạch vỡ láng xi măng: 4,3x4</t>
  </si>
  <si>
    <t>161.IX</t>
  </si>
  <si>
    <t>150.VII</t>
  </si>
  <si>
    <t>248.XII</t>
  </si>
  <si>
    <t>Chuồng trâu (công trình chăn nuôi loại 4) kết cấu cột tre, mái lợp fi bro xi măng, nền láng xi măng; 8,5x5,5</t>
  </si>
  <si>
    <t>Chuồng lợn (công trình chăn nuôi loại 3) móng gạch , tường xây gạch cao 0,8m, lợp fi bro xi măng, nền bê tông: 8,1x4,3m</t>
  </si>
  <si>
    <t>Gia công mái lợp fi bro xi măng: (3x4)+(1,6x1,3)</t>
  </si>
  <si>
    <t>206.X</t>
  </si>
  <si>
    <t>178.X</t>
  </si>
  <si>
    <t>Hàng rào tre đan: 80+120+80+20 m</t>
  </si>
  <si>
    <t>Hàng rào tre đan</t>
  </si>
  <si>
    <t>m²</t>
  </si>
  <si>
    <t>kiểm tra thửa ao cá hốn hợp là thửa nào</t>
  </si>
  <si>
    <t>thửa 424 tờ 2</t>
  </si>
  <si>
    <t>Cây bưởi trồng năm 2022 (1 cây)</t>
  </si>
  <si>
    <t>Cây xoài trồng năm 2022 (1 cây)</t>
  </si>
  <si>
    <t>Cây mận trồng năm 2022 (1 cây)</t>
  </si>
  <si>
    <t>Cây chanh trồng năm 2023 (2 cây)</t>
  </si>
  <si>
    <t>Cây xoài trồng năm 2022 (3 cây)</t>
  </si>
  <si>
    <t>Cây bưởi trồng năm 2020 (1 cây)</t>
  </si>
  <si>
    <t xml:space="preserve">Cây chuối (183 cây) </t>
  </si>
  <si>
    <t xml:space="preserve">Gỗ nhóm lV đến nhóm VIII Đường kính thân 10 đến &lt; 20 cm </t>
  </si>
  <si>
    <t xml:space="preserve">Cây tre lấy thân. Đường kính thân ≥ 10 cm </t>
  </si>
  <si>
    <t>Cây mắc ca trồng năm 2021</t>
  </si>
  <si>
    <t>Cây mắc ca trồng năm 2023</t>
  </si>
  <si>
    <t>Cây đu đủ (1 cây)</t>
  </si>
  <si>
    <t>thửa 284 tờ 2</t>
  </si>
  <si>
    <t>Cây xoài trồng năm 2020 (1 cây)</t>
  </si>
  <si>
    <t>Cây me trồng năm 2022 (1 cây)</t>
  </si>
  <si>
    <t>Bồi thường chi phí di chuyển tài sản khi Nhà nước thu hồi đất (Hộ gia đình có tổng số 5 nhân khẩu).</t>
  </si>
  <si>
    <t>Hỗ trợ chênh lệch giá trị đào tạo, chuyển đổi nghề và tìm kiếm việc làm giữa đất trồng lúa còn lại (LUK) theo giấy chứng nhận QSD đất đã cấp và đất nuôi trồng thuỷ sản (NTS) theo hiện trạng.</t>
  </si>
  <si>
    <t>Hộ gia đình có 5 nhân khẩu</t>
  </si>
  <si>
    <t>Số nhân khẩu tăng thêm của hộ gia đình (1 khẩu tăng thêm)</t>
  </si>
  <si>
    <t>Lò Văn Thanh (T)</t>
  </si>
  <si>
    <t xml:space="preserve">Đất bố mẹ Lò Văn Tun, Lò Thị Lả tự khai hoang từ năm 1967 để sử dụng vào mục đích làm nhà ở, cho con Lò Văn Thanh làm nhà ở và trồng cây lâu năm năm 1990, (sửa nhà năm 1998) đất sử dụng ổn định, liên tục, không tranh chấp. Đất chưa được cấp giấy chứng nhận quyền sử dụng đất </t>
  </si>
  <si>
    <t>158</t>
  </si>
  <si>
    <t xml:space="preserve">Đất gia đình tự khai hoang từ năm 1995 để sử dụng vào mục đích chuyên trồng lúa nước, đất sử dụng ổn định, liên tục, không tranh chấp. Đất chưa được cấp giấy chứng nhận quyền sử dụng đất </t>
  </si>
  <si>
    <t>377</t>
  </si>
  <si>
    <t xml:space="preserve">Đất gia đình tự khai hoang từ năm 1995 để sử dụng vào mục đích nuôi trồng thủy sản, đất sử dụng ổn định, liên tục, không tranh chấp. Đất chưa được cấp giấy chứng nhận quyền sử dụng đất </t>
  </si>
  <si>
    <t>thửa 380 tờ 2</t>
  </si>
  <si>
    <t>Nhà khung cột gỗ tròn D200, gỗ nhóm 4, nền láng bê tông, tầng một  xây tường 110mm, thưng gỗ, lát sàn trên bằng gỗ một phần bằng tre,  mái xà gồ gỗ, cầu thang một bên, lang can gỗ, lợp Fibrô xi măng, hệ thống điện hoàn chỉnh, kích thước: (9,5x13,5)m</t>
  </si>
  <si>
    <t>Trụ cổng xây gạch bloock KT: (0,4x0,4x1,7)x2 trụ</t>
  </si>
  <si>
    <t>Gia công cánh cửa bằng lưới thé p B40 KT: 1,6x1,5</t>
  </si>
  <si>
    <t>95.XVII</t>
  </si>
  <si>
    <t>Gia công vách ngăn bằng gỗ KT: 1,5x2</t>
  </si>
  <si>
    <t>49.XVII-48.XVII</t>
  </si>
  <si>
    <t>161.VII</t>
  </si>
  <si>
    <t>Bể nước xây tường 110mm, không có nắ p KT: (1x0,8x0,3)+(0,8x0,8x1,2)</t>
  </si>
  <si>
    <t>247.XII</t>
  </si>
  <si>
    <t xml:space="preserve"> Chuồng lợn (công trình chăn nuôi loại 3): Kết cấu móng gạch, tường xây gạch 110mm, không chát, cao 0,8m, không có thưng lưới b40, mái xà gồ, vì kèo tre, lợp fibrôxi măng. Nền bê tông KT: 7x4 </t>
  </si>
  <si>
    <t>Gia công mái lợp Fibroo xi măng KT: 1,5x7 +5,8x3,3</t>
  </si>
  <si>
    <t>152.VII</t>
  </si>
  <si>
    <t>Nhà tắm nhà vệ sinh khác, không có bể phốt, móng xây gạch, tường xây,  lợp Fi brô xi măng KT: 3,3x2,7</t>
  </si>
  <si>
    <t>Bậc tam cấp xây gạch bloock KT: (0,5x0,9)x2 bên</t>
  </si>
  <si>
    <t>thửa 158 tờ 1</t>
  </si>
  <si>
    <t>thửa 377 tờ 2</t>
  </si>
  <si>
    <t>Lường Văn Hoan</t>
  </si>
  <si>
    <t>Số định danh cá nhân: 011072001374</t>
  </si>
  <si>
    <t>Số điện thoại: 0364329766</t>
  </si>
  <si>
    <t xml:space="preserve">Đất bố mẹ Lường Văn Mọ, Lường Thị Nghiếu tự khai hoang từ năm 1971 để sử dụng vào mục đích làm nhà ở và trồng cây lâu năm, cho con Lường Văn Hoan làm nhà ở và trồng cây lâu năm năm 1991, ( phá nhà cũ xây dựng nhà mới năm 2004), đất sử dụng ổn định, liên tục, không tranh chấp. Đất chưa được cấp giấy chứng nhận quyền sử dụng đất </t>
  </si>
  <si>
    <t>206</t>
  </si>
  <si>
    <t>Đất đã được cấp giấy CNQSDĐ sốphát hành E 0347451, số vào sổ cấp giấy 00458 do UBND huyện Tuần Giáo cấp tháng 10/1995, thửa đất thu hồi Thuộc thửa đất số 439 Tờ bản đồ số 5, diện tích cấp giấy chứng nhận QSD đất (144,0m2), mục đích sử dụng đất 2L (đất chuyên trồng lúa nước). Diện tích chênh lệch hiện trạng sử dụng so với GCNQSD đất đã cấp (giảm 17,9m2) do sai số đo đạc khi cấp giấy chứng nhận quyền sử dụng đất. Hiện trạng sử dụng đất vào mục đích đất chuyên trồng lúa nước, đất sử dụng ổn định, liên tục, không tranh chấp.</t>
  </si>
  <si>
    <t>194</t>
  </si>
  <si>
    <t>Đất đã được cấp giấy CNQSDĐ sốphát hành E 0347451, số vào sổ cấp giấy 00458 do UBND huyện Tuần Giáo cấp tháng 10/1995, thửa đất thu hồi Thuộc thửa đất số 448 Tờ bản đồ số 5, diện tích cấp giấy chứng nhận QSD đất (125,0m2), mục đích sử dụng đất 2L (đất chuyên trồng lúa nước). Diện tích chênh lệch hiện trạng sử dụng so với GCNQSD đất đã cấp (tăng 57,3m2) do sai số đo đạc khi cấp giấy chứng nhận quyền sử dụng đất. Hiện trạng sử dụng đất vào mục đích đất chuyên trồng lúa nước, đất sử dụng ổn định, liên tục, không tranh chấp.</t>
  </si>
  <si>
    <t>288</t>
  </si>
  <si>
    <t>Đất đã được cấp giấy CNQSDĐ sốphát hành E 0347451, số vào sổ cấp giấy 00458 do UBND huyện Tuần Giáo cấp tháng 10/1995, thửa đất thu hồi Thuộc thửa đất số 445 Tờ bản đồ số 5, diện tích cấp giấy chứng nhận QSD đất (240,0m2), mục đích sử dụng đất 2L (đất chuyên trồng lúa nước). Diện tích chênh lệch hiện trạng sử dụng so với GCNQSD đất đã cấp (tăng 39,4m2) do sai số đo đạc khi cấp giấy chứng nhận quyền sử dụng đất. Hiện trạng sử dụng đất vào mục đích đất chuyên trồng lúa nước, đất sử dụng ổn định, liên tục, không tranh chấp.</t>
  </si>
  <si>
    <t>456</t>
  </si>
  <si>
    <t>Đất đã được cấp giấy CNQSDĐ sốphát hành E 0347451, số vào sổ cấp giấy 00458 do UBND huyện Tuần Giáo cấp tháng 10/1995, , thửa đất thu hồi Thuộc thửa đất số 763,762 Tờ bản đồ số 5, diện tích cấp giấy chứng nhận QSD đất (460,0m2), mục đích sử dụng đất 1L (đất trồng lúa còn lại). Diện tích chênh lệch hiện trạng sử dụng so với GCNQSD đất đã cấp (giảm 0,3m2) do sai số đo đạc khi cấp giấy chứng nhận quyền sử dụng đất. Hiện trạng sử dụng đất vào mục đích đất trồng lúa còn lại, đất sử dụng ổn định, liên tục, không tranh chấp.</t>
  </si>
  <si>
    <t>237</t>
  </si>
  <si>
    <t>Đất đã được cấp giấy CNQSDĐ sốphát hành E 0347451, số vào sổ cấp giấy 00458 do UBND huyện Tuần Giáo cấp tháng 10/1995, thửa đất thu hồi Thuộc thửa đất số 422 Tờ bản đồ số 5, diện tích cấp giấy chứng nhận QSD đất (500,0m2), mục đích sử dụng đất 2L (đất chuyên trồng lúa nước). Diện tích chênh lệch hiện trạng sử dụng so với GCNQSD đất đã cấp (giảm 2,3m2) do sai số đo đạc khi cấp giấy chứng nhận quyền sử dụng đất. Hiện trạng sử dụng đất vào mục đích đất chuyên trồng lúa nước, đất sử dụng ổn định, liên tục, không tranh chấp.</t>
  </si>
  <si>
    <t>265</t>
  </si>
  <si>
    <t xml:space="preserve">Đất gia đình tự khai hoang từ năm 1992 để sử dụng vào mục đích nuôi trồng thủy sản, đất sử dụng ổn định, liên tục, không tranh chấp. Đất chưa được cấp giấy chứng nhận quyền sử dụng đất </t>
  </si>
  <si>
    <t>297</t>
  </si>
  <si>
    <t>324</t>
  </si>
  <si>
    <t>Đất đã được cấp giấy CNQSDĐ sốphát hành E 0347451, số vào sổ cấp giấy 00458 do UBND huyện Tuần Giáo cấp tháng 10/1995, thửa đất thu hồi Thuộc thửa đất số 442 Tờ bản đồ số 5, diện tích cấp giấy chứng nhận QSD đất (460,0m2), mục đích sử dụng đất 2L (đất chuyên trồng lúa nước). Diện tích chênh lệch hiện trạng sử dụng so với GCNQSD đất đã cấp (tăng 50,0m2) do sai số đo đạc khi cấp giấy chứng nhận quyền sử dụng đất. Hiện trạng sử dụng đất vào mục đích đất chuyên trồng lúa nước, đất sử dụng ổn định, liên tục, không tranh chấp.</t>
  </si>
  <si>
    <t xml:space="preserve">Đất gia đình tự khai hoang từ năm 1992 để sử dụng vào mục đích trồng cây lâu năm, đất sử dụng ổn định, liên tục, không tranh chấp. Đất chưa được cấp giấy chứng nhận quyền sử dụng đất </t>
  </si>
  <si>
    <t>395</t>
  </si>
  <si>
    <t>428</t>
  </si>
  <si>
    <t xml:space="preserve">Đất gia đình tự khai hoang từ năm 1992 để sử dụng vào mục đích trồng lúa còn lại, đất sử dụng ổn định, liên tục, không tranh chấp. Đất chưa được cấp giấy chứng nhận quyền sử dụng đất </t>
  </si>
  <si>
    <t>431</t>
  </si>
  <si>
    <t xml:space="preserve">Đất gia đình tự khai hoang từ năm 1992 để sử dụng vào mục đích trồng cây hàng năm khác, đất sử dụng ổn định, liên tục, không tranh chấp. Đất chưa được cấp giấy chứng nhận quyền sử dụng đất </t>
  </si>
  <si>
    <t>378</t>
  </si>
  <si>
    <t>Thửa 448 tờ 2</t>
  </si>
  <si>
    <t>Sơn PU gỗ:</t>
  </si>
  <si>
    <t>Xà tầng 1: 0,34x12x7 cái</t>
  </si>
  <si>
    <t>Xà tầng 1: 0,43x11x3 cái</t>
  </si>
  <si>
    <t>Xà ngang tầng 1: 0,42x7,5x6 cái</t>
  </si>
  <si>
    <t>Xà ngang tầng 1: 0,36x2,85x4 cái</t>
  </si>
  <si>
    <t>Xà ngang tầng 1: 0,3x7,5x6 cái</t>
  </si>
  <si>
    <t>Cột cái: 0,6 x6,2x 4 cột</t>
  </si>
  <si>
    <t>Cột quân: 4,9x0,6x 20 cột</t>
  </si>
  <si>
    <t>Cột chống: 0,6x1,8x2 cái</t>
  </si>
  <si>
    <t>Xà ngang tầng 2: 0,4x10,6x3 cái</t>
  </si>
  <si>
    <t>Xà dọc: 0,48x6,9x 4 cái</t>
  </si>
  <si>
    <t>Xà: 0,4x4,0x2 cái</t>
  </si>
  <si>
    <t>Xà: 0,4x7,02x4 cái</t>
  </si>
  <si>
    <t>Xà: 0,4x1,53x2 cái</t>
  </si>
  <si>
    <t>Xà: 0,46x2,15x6 cái</t>
  </si>
  <si>
    <t>Xà nóc: 0,42x9,6x 1 cái</t>
  </si>
  <si>
    <t>Xà chéo: 0,4x4,0x8 cái</t>
  </si>
  <si>
    <t>Xà chéo: 0,46x6,0x 8 cái</t>
  </si>
  <si>
    <t>Ván thưng: 28,3x2,3x 2 mặt</t>
  </si>
  <si>
    <t>Nền gỗ: (6,9x10,3x2 mặt) + (3,03x7,36x2 mặt)</t>
  </si>
  <si>
    <t>Xà chòi: 0,35x3,03x 4 cái</t>
  </si>
  <si>
    <t>Xà chòi: 0,28x4,2x4 cái</t>
  </si>
  <si>
    <t>Xà chòi: 0,44x7,36x2 cái</t>
  </si>
  <si>
    <t>Xà nóc chòi: 0,32x8,0x1 cái</t>
  </si>
  <si>
    <t>Lan can: 0,46x12x1 cái</t>
  </si>
  <si>
    <t>Tường xây gạch block 110mm, không lu chát: 11x0,4m</t>
  </si>
  <si>
    <t>142.VI</t>
  </si>
  <si>
    <t>Giảm trừ ốp gạch: 4,4x1,7</t>
  </si>
  <si>
    <t>Gia công mái lợp fibroxi măng: 1,7x2,9</t>
  </si>
  <si>
    <t>Sân phơi bằng gạch vỡ láng xi măng: 1,7x2,9</t>
  </si>
  <si>
    <t>Tường 110 xây gạch block, trát 2 mặt, không lu sơn.KT: 3,7x1m</t>
  </si>
  <si>
    <t>Công trình chăn nuôi loại 5: cột, giằng tre, lợp gianh, nền xi măng.KT: 5,9x3,05</t>
  </si>
  <si>
    <t>242.XVI</t>
  </si>
  <si>
    <t>Chuồng ngan, gà vịt, gia cầm khác: kết cấu cột tre, giằng tre, mái fibroximăng, nền bê tông.KT: 6,95x4,9m</t>
  </si>
  <si>
    <t>Gia công mái fibroxi măng. KT: (6,17x2,2) + (3,5x1,4) + (2,5x1,4) + (4x4,8)</t>
  </si>
  <si>
    <t>46.XVII</t>
  </si>
  <si>
    <t>Công trình chăn nuôi loại 3: móng gạch, tường xây gạch 110mm cao 0,8, mái xà gồ, vì kèo tre, lợp fibroxi măng, nền bê tông: 4,5x5,0</t>
  </si>
  <si>
    <t>Sân phơi bằng gạch vỡ láng xi măng: 3,2x6m</t>
  </si>
  <si>
    <t>84.XVII</t>
  </si>
  <si>
    <t>Tường rào lưới thé p B40, cọc sắt (cao 1,4m), KT: 70,0 m</t>
  </si>
  <si>
    <t>Lúa hiện trạng đã thu hoạch</t>
  </si>
  <si>
    <t xml:space="preserve"> Cây cà phê trồng năm 2025</t>
  </si>
  <si>
    <t>Cây mắc ca trồng năm 2020</t>
  </si>
  <si>
    <t xml:space="preserve">Cây Gỗ nhóm lV đến nhóm VIII.  Đường kính thân 10 đến &lt; 20 cm </t>
  </si>
  <si>
    <t xml:space="preserve">Cây Gỗ nhóm lV đến nhóm VIII. Đường kính thân 7 đến &lt; 10 cm  </t>
  </si>
  <si>
    <t xml:space="preserve">Gỗ nhóm lV đến nhóm VIII. Đường kính thân ≥ 20 cm </t>
  </si>
  <si>
    <t>Cây bưởi trồng năm 2023 (12 cây)</t>
  </si>
  <si>
    <t>Cây bưởi trồng năm 2021 (2 cây)</t>
  </si>
  <si>
    <t>Cây ổi trồng năm 2025</t>
  </si>
  <si>
    <t>Cây ổi trồng năm 2024</t>
  </si>
  <si>
    <t>Cây ổi trồng năm 2021 (2 cây)</t>
  </si>
  <si>
    <t>Cây chanh trồng năm 2022 (2 cây)</t>
  </si>
  <si>
    <t>Cây mít trồng năm 2023 (4 cây)</t>
  </si>
  <si>
    <t xml:space="preserve">Cây sấu. Đường kính thân từ 20 cm đến &lt; 30 cm </t>
  </si>
  <si>
    <t xml:space="preserve">Cây mít trồng năm 2022 (6 cây) </t>
  </si>
  <si>
    <t>Cây nhãn trồng năm 2023 (17 cây)</t>
  </si>
  <si>
    <t>Cây vối. Đường kính thân ≥ 20 cm (2 cây)</t>
  </si>
  <si>
    <t>Cây xoài trồng năm 2022 (19 cây)</t>
  </si>
  <si>
    <t>Cây chuối (40 cây)</t>
  </si>
  <si>
    <t>Cây đào trồng năm 2021 (1 cây)</t>
  </si>
  <si>
    <t>Cây dâu lấy quả trồng năm 2024 (2 cây)</t>
  </si>
  <si>
    <t>Cây Riềng. KT: 20 m²</t>
  </si>
  <si>
    <t>Bồi thường chi phí di chuyển tài sản khi Nhà nước thu hồi đất (Hộ gia đình có tổng số 7 nhân khẩu).</t>
  </si>
  <si>
    <t>Hộ gia đình có 7 nhân khẩu</t>
  </si>
  <si>
    <t>Số nhân khẩu tăng thêm của hộ gia đình (3 khẩu tăng thêm)</t>
  </si>
  <si>
    <t>Giàng A Tằng (vợ: Tòng Thị Thu)</t>
  </si>
  <si>
    <t>Số định danh cá nhân: 011085000462</t>
  </si>
  <si>
    <t xml:space="preserve">Số điện thoại: </t>
  </si>
  <si>
    <t xml:space="preserve">Đất do bố mẹ vợ (Tòng Văn Khoán, Lò Thị Xiến) tự khai hoang năm 1985, sử dụng vào mục đích làm nhà ở và trồng cây lâu năm, tặng cho vợ chồng con gái là Tòng Thị Thu, Giàng A Tằng ở năm 2011 (có nhà ở 02 gian bằng khung cột gỗ, trát tóc xi), sửa nhà tháng 5/2019, đất sử dụng ổn định, liên tục, không tranh chấp. Đất chưa được cấp giấy chứng nhận quyền sử dụng đất  </t>
  </si>
  <si>
    <t>Sơn PU các kết cấu gỗ bằng sơn chuyên dụng</t>
  </si>
  <si>
    <t>Sàn: (6,6x3)x2 mặt +(9x9,6)x2 mặt</t>
  </si>
  <si>
    <t xml:space="preserve"> PU vách: ((31,2x2,3)+(12,5x2,8))x2 mặt</t>
  </si>
  <si>
    <t xml:space="preserve"> PU vách: (5,4x2,3)x2 mặt+(3x6,3)</t>
  </si>
  <si>
    <t xml:space="preserve"> PU vách: (17,5x0,3)x2 mặt</t>
  </si>
  <si>
    <t xml:space="preserve"> PU cột cái: D300 cao 6,4x6 cột</t>
  </si>
  <si>
    <t xml:space="preserve"> PU cột quân: D300 cao 5,1x16 cột</t>
  </si>
  <si>
    <t xml:space="preserve"> PU xà dọc: 0,38x9x8 xà</t>
  </si>
  <si>
    <t xml:space="preserve"> PU vỉ kèo: 0,48x5,2x8 cái</t>
  </si>
  <si>
    <t xml:space="preserve"> PU xà ngang: 0,38x6,5x2 xà</t>
  </si>
  <si>
    <t xml:space="preserve"> PU xà ngang: 0,38x2x6 xà</t>
  </si>
  <si>
    <t xml:space="preserve"> PU xà ngang: 0,38x3,5x4 cái</t>
  </si>
  <si>
    <t xml:space="preserve"> PU xà vượt: 0,38x4,2x2 xà</t>
  </si>
  <si>
    <t xml:space="preserve"> PU xà ngang: 0,38x2,09x2 xà</t>
  </si>
  <si>
    <t xml:space="preserve"> PU cột chống: 0,64x1,8x2 cột</t>
  </si>
  <si>
    <t xml:space="preserve"> PU xà ngang: 0,38x2,8x4 xà</t>
  </si>
  <si>
    <t xml:space="preserve"> PU xà dọc: 0,38x6,5x3 xà</t>
  </si>
  <si>
    <t xml:space="preserve"> PU vỉ kèo: 0,38x1,5x8 xà</t>
  </si>
  <si>
    <t xml:space="preserve"> PU cột chống: 0,64x0,9x4 cột</t>
  </si>
  <si>
    <t xml:space="preserve"> PU xà vượt: 0,38x8,9x2 xà</t>
  </si>
  <si>
    <t xml:space="preserve"> PU xà dọc: 0,38x2,8x4 xà</t>
  </si>
  <si>
    <t xml:space="preserve"> PU xà ngắn: 0,38x1,9x3 xà</t>
  </si>
  <si>
    <t xml:space="preserve"> PU xà dọc: 0,38x2,8x3 xà</t>
  </si>
  <si>
    <t xml:space="preserve"> PU vỉ kèo: 0,38x1,8x,12 vỉ</t>
  </si>
  <si>
    <t xml:space="preserve"> PU cột chống: 0,64x1,2x6 cột</t>
  </si>
  <si>
    <t xml:space="preserve"> PU cột chống ngắn: 0,64x0,7x4 cột</t>
  </si>
  <si>
    <t xml:space="preserve"> PU lan can: (7,4x0,6)x0,8 cao</t>
  </si>
  <si>
    <t xml:space="preserve"> PU xà đỡ: 1,2x0,46x8 xà</t>
  </si>
  <si>
    <t xml:space="preserve"> PU cầu thang: 3,04x1x2 mặt</t>
  </si>
  <si>
    <t xml:space="preserve"> PU xà sàn: 0,4x9,3x19 xà</t>
  </si>
  <si>
    <t xml:space="preserve"> PU xà ngang: 0,48x1,8x12 xà</t>
  </si>
  <si>
    <t xml:space="preserve"> PU xà gầm sàn: 4,14x0,6x2 xà</t>
  </si>
  <si>
    <t xml:space="preserve"> PU xà sàn: 2,5x0,4x16 xà</t>
  </si>
  <si>
    <t xml:space="preserve"> PU xà gầm sàn: 6,2x0,48x1 xà</t>
  </si>
  <si>
    <t>Gạch ốp cầu thang ceramic: (3x1,3)+(0,9x1,5)+(0,9x1,3)+(0,9x1,5)</t>
  </si>
  <si>
    <t>Cầu thang BTCT: 5x1,3</t>
  </si>
  <si>
    <t>ốp gạch ceramic: 5,5x1,6</t>
  </si>
  <si>
    <t>Tường xây 11cm gạch Block trát áo không sơn: (6,7+3,2)x2x2,5</t>
  </si>
  <si>
    <t>Trường xây gạch Block tường 11 cm trát áo không sơn: 2,1x1,8</t>
  </si>
  <si>
    <t>Chênh lệch giữa tường 110mm so với tường 220mm</t>
  </si>
  <si>
    <t>Bán mái kết cấu cột gỗ tròn D150, thanh giằng mái lợp fibroxi măng, không tường nền bê tông, láng vỡ xi măng: 3,4x4,2</t>
  </si>
  <si>
    <t>Kè xây bằng đá: 112m</t>
  </si>
  <si>
    <t>Sân phơi bằng gạch vỡ láng xi măng: (3,1x3,4)+(5x3)+(3,1x6,5)+(1,6x1,5)+(3,7x1,8)</t>
  </si>
  <si>
    <t>Chuồng gà lợp mái fibroxi măng, cột gỗ, thưng gỗ, nền xi măng: 4x4m</t>
  </si>
  <si>
    <t>Tường rào lưới B40 cọc tre: cao 1,5m dài 15m</t>
  </si>
  <si>
    <t>Tường rào xây gạch Block dày 11cm không trát áo 15,7x0,8</t>
  </si>
  <si>
    <t>Trụ cổng xây gạch Block không trát áo 0,33x0,33x2x2 trụ</t>
  </si>
  <si>
    <t>Trụ xây gạch Block không trát áo: 0,2x0,2x1,8x5 trụ</t>
  </si>
  <si>
    <t>Hàng rào tre đan, KT: 90m</t>
  </si>
  <si>
    <t>Cây nhãn trồng năm 2022 (10 cây)</t>
  </si>
  <si>
    <t>Cây nhãn trồng năm 2023 (3 cây)</t>
  </si>
  <si>
    <t>Cây nhãn trồng năm 2025 (1 cây)</t>
  </si>
  <si>
    <t>Cây xoài trồng năm 2017 (1 cây)</t>
  </si>
  <si>
    <t>Cây xoài trồng năm 2023 (3 cây)</t>
  </si>
  <si>
    <t>Cây mít trồng năm 2017 (1 cây)</t>
  </si>
  <si>
    <t>Cây mít trồng năm 2020 (1 cây)</t>
  </si>
  <si>
    <t>Cây mít trồng năm 2023 (8 cây)</t>
  </si>
  <si>
    <t>Cây mít trồng năm 2024 (1 cây)</t>
  </si>
  <si>
    <t>Cây mít trồng năm 2025 (1 cây)</t>
  </si>
  <si>
    <t>Cây bưởi trồng năm 2023 (1 cây)</t>
  </si>
  <si>
    <t>Cây bưởi trồng năm 2021 (1 cây)</t>
  </si>
  <si>
    <t>Cây đu đủ, (1 cây)</t>
  </si>
  <si>
    <t>Cây mận trồng năm 2023 (9 cây)</t>
  </si>
  <si>
    <t>Cây chuối (143 cây)</t>
  </si>
  <si>
    <t>Cây ổi trồng năm 2023 (2 cây)</t>
  </si>
  <si>
    <t>Cây ổi trồng năm 2025 (1 cây)</t>
  </si>
  <si>
    <t>Cây nhót trồng năm 2023 (1 cây)</t>
  </si>
  <si>
    <t>Cây nhót trồng năm 2022 (1 cây)</t>
  </si>
  <si>
    <t>Cây mắc cọoc trồng năm 2022 (1 cây)</t>
  </si>
  <si>
    <t>Cây chuối, (85 cây)</t>
  </si>
  <si>
    <t>Cây xoài trồng năm 2023 (1 cây)</t>
  </si>
  <si>
    <t>Cây núc nắc, cây vối đường kính thân &gt; 20cm, (2 cây)</t>
  </si>
  <si>
    <t>Cây gỗ nhóm IV đường kính thân 7 đến &lt;10 cm</t>
  </si>
  <si>
    <t>Cây tre lấy thân đường kính thân từ 5cm đến 10 cm</t>
  </si>
  <si>
    <t>Cây tre lấy thân đường kính thân &gt; 10 cm</t>
  </si>
  <si>
    <t>Rau ăn lá khác, KT: 3x8</t>
  </si>
  <si>
    <t>Bồi thường chi phí di chuyển tài sản khi Nhà nước thu hồi đất (Hộ gia đình có tổng số 04 nhân khẩu).</t>
  </si>
  <si>
    <t>Lò Văn Châm</t>
  </si>
  <si>
    <t>Số định danh cá nhân: 011077001346</t>
  </si>
  <si>
    <t>Đất do bố mẹ Lò Văn phiêu, Tòng Thị Mấng tự khai hoang năm 1971, để sử dụng vào mục đích làm nhà ở, cho con Lò Văn Châm ở và trồng cây lâu năm năm 1998, sử dụng ổn định, liên tục, không tranh chấp. Đất chưa được cấp giấy chứng nhận quyền sử dụng đất</t>
  </si>
  <si>
    <t xml:space="preserve">Đất do bố mẹ Lò Văn phiêu, Tòng Thị Mấng tự khai hoang năm 1990, để sử dụng vào mục đích chuyên trồng lúa nước, tặng cho cho con Lò Văn Châm năm 2003, sử dụng vào mục đích chuyên trồng lúa nước. sử dụng ổn định, liên tục, không tranh chấp. Đất chưa được cấp giấy chứng nhận quyền sử dụng đất </t>
  </si>
  <si>
    <t>239</t>
  </si>
  <si>
    <t>Điều 95, 135  Luật Đất đai 2024; Điều 6 Nghị định 88/2024/NĐ-C p  ngày 15/7/2024; Văn bản số 4355/UBND-KT ngày 28/5/2026 của UBND tỉnh Điện Biên</t>
  </si>
  <si>
    <t xml:space="preserve">Đất do bố mẹ Lò Văn phiêu, Tòng Thị Mấng tự khai hoang năm 1990, để sử dụng vào mục đích trồng cây hàng năm khác, tặng cho cho con Lò Văn Châm năm 2003, sử dụng vào mục đích trồng cây hàng năm khác. sử dụng ổn định, liên tục, không tranh chấp. Đất chưa được cấp giấy chứng nhận quyền sử dụng đất </t>
  </si>
  <si>
    <t xml:space="preserve">Đất do bố mẹ Lò Văn phiêu, Tòng Thị Mấng tự khai hoang năm 1990, để sử dụng vào mục đích trồng lúa còn lại, tặng cho cho con Lò Văn Châm năm 2003, sử dụng vào mục đích trồng lúa còn lại. sử dụng ổn định, liên tục, không tranh chấp. Đất chưa được cấp giấy chứng nhận quyền sử dụng đất </t>
  </si>
  <si>
    <t>22</t>
  </si>
  <si>
    <t>28</t>
  </si>
  <si>
    <t>35</t>
  </si>
  <si>
    <t>43</t>
  </si>
  <si>
    <t xml:space="preserve">Đất do bố mẹ Lò Văn phiêu, Tòng Thị Mấng tự khai hoang năm 1990, để sử dụng vào mục đích trồng cây hàng năm khác, tặng cho cho con Lò Văn Châm năm 2003, để sử dụng vào mục đích trồng cây hàng năm khác đến năm 2015; từ năm 2015 đến nay chuyển sang chăm sóc và bảo vệ đất thành rừng. Hiện trạng trên đất có cây tre gia đình trồng, sử dụng ổn định, không tranh chấp. Đất chưa được cấp giấy chứng nhận quyền sử dụng đất </t>
  </si>
  <si>
    <t>57</t>
  </si>
  <si>
    <t>63</t>
  </si>
  <si>
    <t>71</t>
  </si>
  <si>
    <t>96</t>
  </si>
  <si>
    <t>114</t>
  </si>
  <si>
    <t>Đất do bố mẹ Lò Văn phiêu, Tòng Thị Mấng tự khai hoang năm 1990, để sử dụng vào mục đích chuyên trồng lúa nước, tặng cho cho con Lò Văn Châm năm 2003, sử dụng vào mục đích chuyên trồng lúa nước. sử dụng ổn định, liên tục, không tranh chấp. Đất chưa được cấp giấy chứng nhận quyền sử dụng đất</t>
  </si>
  <si>
    <t>117</t>
  </si>
  <si>
    <t>120</t>
  </si>
  <si>
    <t>163</t>
  </si>
  <si>
    <t>170</t>
  </si>
  <si>
    <t>Đất do bố mẹ Lò Văn phiêu, Tòng Thị Mấng tự khai hoang năm 1990, để sử dụng vào mục đích nuôi trồng thủy sản, tặng cho cho con Lò Văn Châm năm 2003, sử dụng vào mục đích nuôi trồng thủy sản. sử dụng ổn định, liên tục, không tranh chấp. Đất chưa được cấp giấy chứng nhận quyền sử dụng đất</t>
  </si>
  <si>
    <t>193</t>
  </si>
  <si>
    <t>197</t>
  </si>
  <si>
    <t>207</t>
  </si>
  <si>
    <t>212</t>
  </si>
  <si>
    <t>231</t>
  </si>
  <si>
    <t>238</t>
  </si>
  <si>
    <t>Nhận thừa kế quyền sử dụng đất từ ông Lò Văn phiêu (đã chết) (ông Lò Văn phiêu đã được cấp GCNQSD đất sốphát hành E 0347456, số vào sổ cấp giấy 00468 do UBND huyện Tuần Giáo cấp tháng 10/1995), đến năm 2025 con trai Lò Văn Châm nhận thừa kế quyền sử dụng đất được Văn Phòng đăng ký QSD đất huyện Tuần Giáo xác nhận vào trang 4 của giấy GCNQSD đất đã cấp. Thửa đất thu hồi Thuộc thửa đất số 524 Tờ bản đồ số 5 diện tích cấp GCNQSD đất 300,0m2, mục đích sử dụng đất Ao (đất nuôi trồng thủy sản). Diện tích chênh lệch hiện trạng sử dụng so với GCNQSD đất đã cấp (giảm 30,2m2) do sai số đo đạc khi cấp giấy chứng nhận quyền sử dụng đất. Hiện trạng sử dụng đất vào mục đích đất nuôi trồng thủy sản, sử dụng ổn định, liên tục, không tranh chấp.</t>
  </si>
  <si>
    <t xml:space="preserve">Nhận thừa kế quyền sử dụng đất từ ông Lò Văn phiêu (đã chết) (ông Lò Văn phiêu đã được cấp GCNQSD đất sốphát hành E 0347456, số vào sổ cấp giấy 00468 do UBND huyện Tuần Giáo cấp tháng 10/1995), đến năm 2025 con trai Lò Văn Châm nhận thừa kế quyền sử dụng đất được Văn Phòng đăng ký QSD đất huyện Tuần Giáo xác nhận vào trang 4 của giấy GCNQSD đất đã cấp. Thửa đất thu hồi Thuộc thửa đất số 496 Tờ bản đồ số 5 diện tích cấp GCNQSD đất (200,0m2), mục đích sử dụng đất Mạ. Diện tích chênh lệch hiện trạng sử dụng so với GCNQSD đất đã cấp (giảm 13,2m2) do sai số đo đạc khi cấp giấy chứng nhận quyền sử dụng đất. Hiện trạng sử dụng đất vào mục đích đất chuyên trồng lúa nước, sử dụng ổn định, liên tục, không tranh chấp. </t>
  </si>
  <si>
    <t>298</t>
  </si>
  <si>
    <t>Đất do bố mẹ Lò Văn phiêu, Tòng Thị Mấng tự khai hoang năm 1990, để sử dụng vào mục đích trồng cây lâu năm, tặng cho cho con Lò Văn Châm năm 2003, sử dụng vào mục đích trồng cây lâu năm. sử dụng ổn định, liên tục, không tranh chấp. Đất chưa được cấp giấy chứng nhận quyền sử dụng đất</t>
  </si>
  <si>
    <t xml:space="preserve">Đất do bố mẹ Lò Văn phiêu, Tòng Thị Mấng tự khai hoang năm 1990, để sử dụng vào mục đích trồng cây hàng năm khác, tặng cho cho con Lò Văn Châm năm 2003, để sử dụng vào mục đích trồng cây hàng năm khác đến năm 2015; từ năm 2015 đến nay chuyển sang chăm sóc và bảo vệ đất thành rừng. Hiện trạng trên đất có cây tự nhiên, sử dụng ổn định, không tranh chấp. Đất chưa được cấp giấy chứng nhận quyền sử dụng đất </t>
  </si>
  <si>
    <t>344</t>
  </si>
  <si>
    <t>Đất do bố mẹ Lò Văn phiêu, Tòng Thị Mấng tự khai hoang năm 1990, để sử dụng vào mục đích trồng cây hàng năm khác, tặng cho cho con Lò Văn Châm năm 2003, sử dụng vào mục đích trồng cây hàng năm khác. sử dụng ổn định, liên tục, không tranh chấp. Đất chưa được cấp giấy chứng nhận quyền sử dụng đất</t>
  </si>
  <si>
    <t>Thửa 370 tờ 2</t>
  </si>
  <si>
    <t xml:space="preserve"> Nhà sàn cột kê, khung cột gỗ tròn D300, nền đất, tầng 1 không xây tường, lát sàn trên bằng gỗ, 1 phần bằng tre, thưng gỗ, lợp fibroxi măng, cầu thang đổ bê tông, hệ thống điện hoàn chỉnh: (10,2x12)</t>
  </si>
  <si>
    <t>Giảm trừ tầng 1 không xây tường: 29,8x1,8</t>
  </si>
  <si>
    <t>Giảm trừ nền không lát gạch: 10,2x12</t>
  </si>
  <si>
    <t>49-48</t>
  </si>
  <si>
    <t>Chênh lệch giữa lát nền bằng tre với lát nền bằng gỗ: 9,5x2</t>
  </si>
  <si>
    <t>Cầu thang đổ BTCT: 2,5x1</t>
  </si>
  <si>
    <t>Bể nước xây tường 11cm, không có nắ p XM: (2,1x2,2x1,8)+(1,5x2x2)</t>
  </si>
  <si>
    <t>Gia công lợp mái fibro XM: 3x4</t>
  </si>
  <si>
    <t>Nhà tắm, nhà vệ sinh không có bể phốt, móng xây gạch giằng BTCT, tường xây 110mm, nền láng XM, không ốp gạch tường: 6x3</t>
  </si>
  <si>
    <t>Cây ổi trồng năm 2024 ( 02 cây)</t>
  </si>
  <si>
    <t>Cây ổi trồng năm 2022 (1 cây)</t>
  </si>
  <si>
    <t>Cây xoài trồng năm 2022 4 (7 cây).</t>
  </si>
  <si>
    <t xml:space="preserve">Cây nhãn trồng năm 2018 (1 cây) </t>
  </si>
  <si>
    <t>Cây mít trồng năm 2022 (6 cây)</t>
  </si>
  <si>
    <t>Cây Nghệ. KT: 4 m²</t>
  </si>
  <si>
    <t>Cây Riềng. KT: 30,0 m²</t>
  </si>
  <si>
    <t>Rau ăn lá khác. KT: (8x18) +  (5x2) m</t>
  </si>
  <si>
    <t xml:space="preserve"> Gỗ nhóm lV đến nhóm VIII;  Đường kính thân 10 đến &lt; 20 cm</t>
  </si>
  <si>
    <t>Bồi thường chi phí di chuyển tài sản khi Nhà nước thu hồi đất (Hộ gia đình có tổng số 09 nhân khẩu).</t>
  </si>
  <si>
    <t>Hỗ trợ đào tạo, chuyển đổi nghề và tìm kiếm việc làm:</t>
  </si>
  <si>
    <t>Hộ gia đình có 9 nhân khẩu</t>
  </si>
  <si>
    <t>Lò Văn Chỉnh</t>
  </si>
  <si>
    <t>Số định danh cá nhân: 011084001255</t>
  </si>
  <si>
    <t>Số điện thoại: 0382412713</t>
  </si>
  <si>
    <t>Đất do bố mẹ Lò Văn Sứa, Lò Thị pấng khai hoang năm 1971 sử dụng vào mục đích làm nhà ở và trồng cây lâu năm, tặng cho con Lò Văn Chỉnh làm nhà ở và trồng cây lâu năm 2009, sử dụng ổn định, liên tục, không tranh chấp. Đất chưa được cấp giấy chứng nhận quyền sử dụng đất</t>
  </si>
  <si>
    <t>482</t>
  </si>
  <si>
    <t>Đất do bố mẹ Lò Văn Sứa, Lò Thị pấng tự khai hoang năm 1989, để sử dụng vào mục đích trồng lúa còn lại, tặng cho con Lò Văn Chỉnh năm 2003, sử dụng vào mục đích trồng trồng lúa còn lại. sử dụng ổn định, liên tục, không tranh chấp. Đất chưa được cấp giấy chứng nhận quyền sử dụng đất</t>
  </si>
  <si>
    <t>483</t>
  </si>
  <si>
    <t>173</t>
  </si>
  <si>
    <t>Đất do bố mẹ Lò Văn Sứa, Lò Thị pấng tự khai hoang năm 1989, để sử dụng vào mục đích chuyên trồng lúa nước, tặng cho con Lò Văn Chỉnh năm 2003, sử dụng vào mục đích trồng chuyên trồng lúa nước. sử dụng ổn định, liên tục, không tranh chấp. Đất chưa được cấp giấy chứng nhận quyền sử dụng đất</t>
  </si>
  <si>
    <t>184</t>
  </si>
  <si>
    <t>282</t>
  </si>
  <si>
    <t>Thửa 425 tờ 2</t>
  </si>
  <si>
    <t>Giảm trừ không ốp gạch ceramic: 16,2x1,8</t>
  </si>
  <si>
    <t>20-11</t>
  </si>
  <si>
    <t>Giảm trừ không lát gạch ceramic: 5,8x2,8</t>
  </si>
  <si>
    <t>Công trình chăn nuôi loại 4 (Chuồng gà): 2,2x2,4</t>
  </si>
  <si>
    <t>Công trình chăn nuôi loại 3 (Chuồng lợn) móng gạch, tường xây 110mm, cao 0,8m, mái xà gồ, vì kèo tre, nền bê tông: 3,5x6,2</t>
  </si>
  <si>
    <t>Trụ téc nước xây gạch: (0,2x0,2x3,5) 4 trụ</t>
  </si>
  <si>
    <t>Hàng rào tre đan: 65m</t>
  </si>
  <si>
    <t>Thửa 482 tờ 1</t>
  </si>
  <si>
    <t>Thửa 483 tờ 1</t>
  </si>
  <si>
    <t>Thửa 173 tờ 2</t>
  </si>
  <si>
    <t>Thửa 184 tờ 2</t>
  </si>
  <si>
    <t>Thửa 282 tờ 2</t>
  </si>
  <si>
    <t>Kè đá kếp khan dài 10m, cao 0,8m, dày 0,3m</t>
  </si>
  <si>
    <t>Lò Văn Định (vợ Lò Thị Nhạn)</t>
  </si>
  <si>
    <t>Số định danh cá nhân: 011063000906</t>
  </si>
  <si>
    <t>Số điện thoại: 0346879822</t>
  </si>
  <si>
    <t xml:space="preserve">Đất do gia đình tự khai hoang từ năm 1983 sử dụng vào mục đích làm nhà ở và trồng cây lâu năm, (sửa nhà năm 1995), đất sử dụng ổn định, liên tục, không tranh chấp. Đất chưa được cấp giấy chứng nhận quyền sử dụng đất </t>
  </si>
  <si>
    <t>Điều 96,  Luật Đất đai 2024; Điều 5 Nghị định số 88/2024/NĐ-C p ngày 15/7/2024;</t>
  </si>
  <si>
    <t>321</t>
  </si>
  <si>
    <t>Đất đã được cấp giấy CNQSDĐ sốphát hành E0347449, số vào sổ cấp giấy 00465 do UBND huyện Tuần Giáo cấp tháng 10/1995, thửa đất thu hồi thuộc thửa đất số 616 Tờ bản đồ số 5, diện tích cấp giấy chứng nhận QSD đất (460,0m2), mục đích sử dụng đất 2L (đất chuyên trồng lúa nước). Diện tích chênh lệch hiện trạng sử dụng so với GCNQSD đất đã cấp (tăng 32,9m2) do sai số đo đạc khi cấp giấy chứng nhận quyền sử dụng đất. Hiện trạng sử dụng đất vào mục đích đất chuyên trồng lúa nước, đất sử dụng ổn định, liên tục, không tranh chấp.</t>
  </si>
  <si>
    <t>Đất đã được cấp giấy CNQSDĐ sốphát hành E0347449, số vào sổ cấp giấy 00465 do UBND huyện Tuần Giáo cấp tháng 10/1995, thửa đất thu hồi thuộc thửa đất số 636a Tờ bản đồ số 5, diện tích cấp giấy chứng nhận QSD đất (260,0m2), mục đích sử dụng đất 2L (đất chuyên trồng lúa nước). Diện tích chênh lệch hiện trạng sử dụng so với GCNQSD đất đã cấp (giảm 32,9m2) do sai số đo đạc khi cấp giấy chứng nhận quyền sử dụng đất. Hiện trạng sử dụng đất vào mục đích đất chuyên trồng lúa nước, đất sử dụng ổn định, liên tục, không tranh chấp.</t>
  </si>
  <si>
    <t>202</t>
  </si>
  <si>
    <t>Đất đã được cấp giấy CNQSDĐ sốphát hành E0347449, số vào sổ cấp giấy 00465 do UBND huyện Tuần Giáo cấp tháng 10/1995, thửa đất thu hồi thuộc thửa đất số 397 Tờ bản đồ số 5, diện tích cấp giấy chứng nhận QSD đất (510,0m2), mục đích sử dụng đất 2L (đất chuyên trồng lúa nước). Diện tích chênh lệch hiện trạng sử dụng so với GCNQSD đất đã cấp (giảm 95,1m2  do đất giá p suối bị sạt lở). Hiện trạng sử dụng đất vào mục đích đất chuyên trồng lúa nước, đất sử dụng ổn định, liên tục, không tranh chấp.</t>
  </si>
  <si>
    <t>295</t>
  </si>
  <si>
    <t>Đất đã được cấp giấy CNQSDĐ sốphát hành E0347449, số vào sổ cấp giấy 00465 do UBND huyện Tuần Giáo cấp tháng 10/1995, thửa đất thu hồi thuộc thửa đất số 526, 527a tờ bản đồ số 5, diện tích cấp giấy chứng nhận QSD đất (352,0m2), mục đích sử dụng đất 1L (đất trồng lúa nước còn lại). Diện tích chênh lệch hiện trạng sử dụng so với GCNQSD đất đã cấp (tăng 186,7m2) do sai số đo đạc khi cấp giấy chứng nhận quyền sử dụng đất. Hiện trạng sử dụng đất vào mục đích đất nuôi trồng thủy sản, đất sử dụng ổn định, liên tục, không tranh chấp.</t>
  </si>
  <si>
    <t>411</t>
  </si>
  <si>
    <t xml:space="preserve">Đất đã được cấp giấy CNQSDĐ sốphát hành E0347449, số vào sổ cấp giấy 00465 do UBND huyện Tuần Giáo cấp tháng 10/1995, thửa đất thu hồi Thuộc một phần thửa đất số 549, 550 Tờ bản đồ số 5 (Thửa 550 diện tích 71,0 m2; thửa 549 diện tích 50,0 m2), mục đích sử dụng đất 1L (đất trồng lúa nước còn lại). Hiện trạng sử dụng đất vào mục đích đất nuôi trồng thủy sản, đất sử dụng ổn định, liên tục, không tranh chấp. </t>
  </si>
  <si>
    <t>416</t>
  </si>
  <si>
    <t xml:space="preserve">Đất đã được cấp giấy CNQSDĐ sốphát hành E0347449, số vào sổ cấp giấy 00465 do UBND huyện Tuần Giáo cấp tháng 10/1995, thửa đất thu hồi thuộc thửa 556 tờ bản đồ số 5 (diện tích 190m2) và Thuộc một phần thửa đất số 549 tờ bản đồ số 5 (diện tích 290,0m2), Thửa 550 tờ bản đồ số 5 (diện tích 129,0m2); Tổng diện tích cấp giấy chứng nhận QSD đất của 3 thửa (609,0m2), mục đích sử dụng đất 1L (đất trồng lúa nước còn lại). Diện tích chênh lệch hiện trạng sử dụng so với GCNQSD đất đã cấp (37,5m2) do sai số đo đạc khi cấp giấy chứng nhận quyền sử dụng đất. Hiện trạng sử dụng đất vào mục đích đất chuyên trồng lúa nước, đất sử dụng ổn định, liên tục, không tranh chấp. </t>
  </si>
  <si>
    <t xml:space="preserve">Đất đã được cấp giấy CNQSDĐ sốphát hành E0347449, số vào sổ cấp giấy 00465 do UBND huyện Tuần Giáo cấp tháng 10/1995, thửa đất thu hồi Thuộc thửa đất số 509 Tờ bản đồ số 5, diện tích cấp giấy chứng nhận QSD đất (180,0m2), mục đích sử dụng đất Mạ. Diện tích chênh lệch hiện trạng sử dụng so với GCNQSD đất đã cấp (tăng 23,1m2) do sai số đo đạc khi cấp giấy chứng nhận quyền sử dụng đất. Hiện trạng sử dụng đất vào mục đích nuôi trồng thủy sản, đất sử dụng ổn định, liên tục, không tranh chấp. </t>
  </si>
  <si>
    <t>359</t>
  </si>
  <si>
    <t xml:space="preserve">Đất đã được cấp giấy CNQSDĐ sốphát hành E0347449, số vào sổ cấp giấy 00465 do UBND huyện Tuần Giáo cấp tháng 10/1995, thửa đất thu hồi Thuộc thửa đất số 510a Tờ bản đồ số 5, diện tích cấp giấy chứng nhận QSD đất (80,0m2), mục đích sử dụng đất Mạ. Diện tích chênh lệch hiện trạng sử dụng so với GCNQSD đất đã cấp (giảm 12,3m2) do sai số đo đạc khi cấp giấy chứng nhận quyền sử dụng đất. Hiện trạng sử dụng đất vào mục đích nuôi trồng thủy sản, đất sử dụng ổn định, liên tục, không tranh chấp. </t>
  </si>
  <si>
    <t>Thửa 355 tờ 2</t>
  </si>
  <si>
    <t>Giảm trừ đơn giá đường kính cột không đủ đường kính cột quân, cao 4,2m : 25cm x14 cột</t>
  </si>
  <si>
    <t>Gia công lợp mái bằng fibroxi măng: (3,5x2,8)+(2x1,7)</t>
  </si>
  <si>
    <t>Sân phơi bằng gạch vữa láng xi măng: 6,8x4,8</t>
  </si>
  <si>
    <t>Cầu thang đổ BTCT kết hợp xây gạch: 1x1,2</t>
  </si>
  <si>
    <t xml:space="preserve"> phần đổ BTCT: 1x1,2</t>
  </si>
  <si>
    <t xml:space="preserve">m3 </t>
  </si>
  <si>
    <t>Nhà tắm, nhà vệ sinh khác:1,6x1,7</t>
  </si>
  <si>
    <t>Công trình chăn nuôi loại III, kết cấu mái gạch, tường xây gạch cao 0,8m; không quét vôi ve, mái xà gồ, vì kèo tre, lợp fibroxi măng: 4,5x3,5</t>
  </si>
  <si>
    <t>Giếng nước khoan sâu 30m</t>
  </si>
  <si>
    <t>Thửa số 355 tờ 2</t>
  </si>
  <si>
    <t>Cây bưởi trồng năm 2023 (4 cây)</t>
  </si>
  <si>
    <t>Cây nhãn trồng năm 2025</t>
  </si>
  <si>
    <t>Cây nhãn trồng năm 2023 (2 cây)</t>
  </si>
  <si>
    <t>Cây nhãn trồng năm 2021 (1 cây)</t>
  </si>
  <si>
    <t>Cây mít trồng năm 2023 (2 cây)</t>
  </si>
  <si>
    <t>Cây đu đủ (5 cây)</t>
  </si>
  <si>
    <t>Cây mận trồng năm 2025 (4 cây)</t>
  </si>
  <si>
    <t>Cây vải trồng năm 2019 (1 cây)</t>
  </si>
  <si>
    <t>Cây vải trồng năm 2023 (1 cây)</t>
  </si>
  <si>
    <t>Dong (25 m2)</t>
  </si>
  <si>
    <t>3</t>
  </si>
  <si>
    <t xml:space="preserve"> Hỗ trợ giá trị chênh lệch đơn giá bồi thường loại đất theo giấy chứng nhận QSD đất đã cấp đất trồng lúa còn lại  (LUK) và loại đất theo hiện trạng sử dụng đất (NTS)</t>
  </si>
  <si>
    <t xml:space="preserve"> Hỗ trợ giá trị chênh lệch đơn giá bồi thường loại đất theo giấy chứng nhận QSD đất đã cấp đất trồng lúa còn lại  (LUK) và loại đất theo hiện trạng sử dụng đất chuyên trồng lúa nước (LUC)</t>
  </si>
  <si>
    <t>Hỗ trợ chênh lệch giá trị đào tạo, chuyển đổi nghề và tìm kiếm việc làm giữa đất trồng lúa còn lại (LUK) theo giấy chứng nhận QSD đất đã cấp và đất chuyên trồng lúa nước (LUC) theo hiện trạng.</t>
  </si>
  <si>
    <t>Lò Văn Đoan (vợ Lường Thị Diêu)</t>
  </si>
  <si>
    <t>Số định danh cá nhân: 011077001335</t>
  </si>
  <si>
    <t>Số điện thoại: 0398289814</t>
  </si>
  <si>
    <t xml:space="preserve">Đất do bố mẹ Lò Văn Sứa, Lò Thị pấng khai hoang từ năm 1971 sử dụng vào mục đích làm nhà ở và trồng cây lâu năm, tặng cho con Lò Văn Đoan năm 2001 để ở và trồng cây lâu năm ( phá nhà cũ dựng nhà mới năm 2014). sử dụng ổn định, liên tục, không tranh chấp. Đất chưa được cấp giấy chứng nhận quyền sử dụng đất </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</si>
  <si>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Thửa đất thu hồi huộc thửa đất số 590 Tờ bản đồ số 5, diện tích cấp giấy chứng nhận QSD đất (115,0m2), mục đích sử dụng đất 2L (đất chuyên trồng lúa nước). Diện tích chênh lệch hiện trạng sử dụng so với GCNQSD đất đã cấp (tăng 26,1m2) do sai số đo đạc khi cấp giấy chứng nhận quyền sử dụng đất. Hiện trạng sử dụng đất vào mục đích đất chuyên trồng lúa nước, đất sử dụng ổn định, liên tục, không tranh chấp.</t>
  </si>
  <si>
    <t>Điều 95 Luật Đất đai 2024; Điều 6 Nghị định 88/2024/NĐ-C p  ngày 15/7/2024; Văn bản số 4355/UBND-KT ngày 28/5/2026 của UBND tỉnh Điện Biên</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</si>
  <si>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400 Tờ bản đồ số 5, diện tích cấp giấy chứng nhận QSD đất (120,0m2), mục đích sử dụng đất 2L (đất chuyên trồng lúa nước). Diện tích chênh lệch hiện trạng sử dụng so với GCNQSD đất đã cấp (giảm 50,9m2) do sai số đo đạc khi cấp giấy chứng nhận quyền sử dụng đất. Hiện trạng sử dụng đất vào mục đích đất chuyên trồng lúa nước, đất sử dụng ổn định, liên tục, không tranh chấp.</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</si>
  <si>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399 Tờ bản đồ số 5, diện tích cấp giấy chứng nhận QSD đất (336,0m2), mục đích sử dụng đất 2L (đất chuyên trồng lúa nước). Diện tích chênh lệch hiện trạng sử dụng so với GCNQSD đất đã cấp (tăng 28,1m2) do sai số đo đạc khi cấp giấy chứng nhận quyền sử dụng đất. Hiện trạng sử dụng đất vào mục đích đất chuyên trồng lúa nước, đất sử dụng ổn định, liên tục, không tranh chấp.</t>
  </si>
  <si>
    <t>342</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</si>
  <si>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510 Tờ bản đồ số 5, diện tích cấp giấy chứng nhận QSD đất (100,0m2), mục đích sử dụng đất 1L (đất trồng lúa còn lại). Diện tích chênh lệch hiện trạng sử dụng so với GCNQSD đất đã cấp (tăng 12,1m2) do sai số đo đạc khi cấp giấy chứng nhận quyền sử dụng đất. Hiện trạng sử dụng đất vào mục đích đất nuôi trồng thủy sản, đất sử dụng ổn định, liên tục, không tranh chấp.</t>
  </si>
  <si>
    <t>83</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</si>
  <si>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92 Tờ bản đồ số 5, diện tích cấp giấy chứng nhận QSD đất (600,0m2), mục đích sử dụng đất 2L (đất chuyên trồng lúa nước). Diện tích chênh lệch hiện trạng sử dụng so với GCNQSD đất đã cấp (giảm 206,3m2  do chia đất cho ông Lò Văn Thoại) do sai số đo đạc khi cấp giấy chứng nhận quyền sử dụng đất. Hiện trạng sử dụng đất vào mục đích đất chuyên trồng lúa nước, đất sử dụng ổn định, liên tục, không tranh chấp.</t>
  </si>
  <si>
    <t>326</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</si>
  <si>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615 Tờ bản đồ số 5, diện tích cấp giấy chứng nhận QSD đất (600,0m2), mục đích sử dụng đất 2L (đất chuyên trồng lúa nước). Diện tích chênh lệch hiện trạng sử dụng so với GCNQSD đất đã cấp (giảm 9,8m2) do sai số đo đạc khi cấp giấy chứng nhận quyền sử dụng đất. Hiện trạng sử dụng đất vào mục đích đất chuyên trồng lúa nước, đất sử dụng ổn định, liên tục, không tranh chấp.</t>
  </si>
  <si>
    <t>235</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</si>
  <si>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401 Tờ bản đồ số 5, diện tích cấp giấy chứng nhận QSD đất (530,0m2), mục đích sử dụng đất 2L (đất chuyên trồng lúa nước). Diện tích chênh lệch hiện trạng sử dụng so với GCNQSD đất đã cấp (giảm 46,2m2) do sai số đo đạc khi cấp giấy chứng nhận quyền sử dụng đất. Hiện trạng sử dụng đất vào mục đích đất chuyên trồng lúa nước, đất sử dụng ổn định, liên tục, không tranh chấp.</t>
  </si>
  <si>
    <t>382</t>
  </si>
  <si>
    <t>Nhận thừa kế quyền sử dụng đất từ ông Lò Văn Sứa (đã chết) (ông Lò Văn Sứa đã được cấp GCNQSD đất sốphát hành E 0347478, số vào sổ cấp giấy 00474 do UBND huyện Tuần Giáo cấp tháng 10/1995), đến năm 2020 con trai Lò Văn Đoan nhận thừa kế quyền sử dụng đất được Văn Phòng đăng ký QSD đất huyện Tuần Giáo xác nhận vào trang 4 của giấy GCNQSD đất đã cấp. Thuộc thửa đất số 546 Tờ bản đồ số 5, diện tích cấp giấy chứng nhận QSD đất (532,0m2), mục đích sử dụng đất 1L (đất trồng lúa còn lại). Diện tích chênh lệch hiện trạng sử dụng so với GCNQSD đất đã cấp (tăng 73,1m2) do sai số đo đạc khi cấp giấy chứng nhận quyền sử dụng đất. Hiện trạng sử dụng đất vào mục đích đất nuôi trồng thủy sản, đất sử dụng ổn định, liên tục, không tranh chấp.</t>
  </si>
  <si>
    <t>139</t>
  </si>
  <si>
    <t>Đất do bố mẹ Lò Văn Sứa, Lò Thị pấng tự khai hoang năm 1989, để sử dụng vào mục đích chuyên trồng lúa nước, tặng cho con Lò Văn Đoan năm 2002, sử dụng vào mục đích trồng chuyên trồng lúa nước. sử dụng ổn định, liên tục, không tranh chấp. Đất chưa được cấp giấy chứng nhận quyền sử dụng đất</t>
  </si>
  <si>
    <t>151</t>
  </si>
  <si>
    <t>160</t>
  </si>
  <si>
    <t>161</t>
  </si>
  <si>
    <t>484</t>
  </si>
  <si>
    <t>Đất do bố mẹ Lò Văn Sứa, Lò Thị pấng tự khai hoang năm 1989, để sử dụng vào mục đích trồng lúa còn lại, tặng cho con Lò Văn Đoan năm 2002, sử dụng vào mục đích trồng lúa còn lại. sử dụng ổn định, liên tục, không tranh chấp. Đất chưa được cấp giấy chứng nhận quyền sử dụng đất</t>
  </si>
  <si>
    <t xml:space="preserve">Đất do bố mẹ Lò Văn Mọ, Lò Thị Nghéo tự khai hoang năm 1989, để sử dụng vào mục đích trồng cây hàng năm khác, tặng cho con Lò Văn Đoan năm 2002 sử dụng vào mục đích trồng cây hàng năm khác đến năm 2015; từ năm 2015 đến nay chuyển sang chăm sóc và bảo vệ đất thành rừng sản xuất. Hiện trạng trên đất có cây tự nhiên và cây tre gia đình trồng, sử dụng ổn định, không tranh chấp. Đất chưa được cấp giấy chứng nhận quyền sử dụng đất </t>
  </si>
  <si>
    <t>110</t>
  </si>
  <si>
    <t>Đất do bố mẹ Lò Văn Sứa, Lò Thị pấng tự khai hoang năm 1989, để sử dụng vào mục đích chuyên trồng lúa nước, tặng cho con Lò Văn Đoan năm 2002, sử dụng vào mục đích chuyên trồng lúa nước. sử dụng ổn định, liên tục, không tranh chấp. Đất chưa được cấp giấy chứng nhận quyền sử dụng đất</t>
  </si>
  <si>
    <t>132</t>
  </si>
  <si>
    <t>147</t>
  </si>
  <si>
    <t>Đất do bố mẹ Lò Văn Sứa, Lò Thị pấng tự khai hoang năm 1989, để sử dụng vào mục đích trồng cây lâu năm, tặng cho con Lò Văn Đoan năm 2002, sử dụng vào mục đích trồng cây lâu năm. sử dụng ổn định, liên tục, không tranh chấp. Đất chưa được cấp giấy chứng nhận quyền sử dụng đất</t>
  </si>
  <si>
    <t>Thửa 442 tờ 2</t>
  </si>
  <si>
    <t>Giảm trừ tường tầng 1 không xây tường 220mm: (10,0+7,0)x2x1,75m + (2,3+6,9)x2x1,75m</t>
  </si>
  <si>
    <t>20-217</t>
  </si>
  <si>
    <t>Gia công rèm gỗ: 0,2x(7+1,2+7,5)m</t>
  </si>
  <si>
    <t>Sơn PU Sơn các kết cấu gỗ bằng sơn chuyên dụng:</t>
  </si>
  <si>
    <t>Sàn nhà:(2,3x7,3) + (10x4,8) m</t>
  </si>
  <si>
    <t>Cột cái: (0,3πx4,0)mx8 cái</t>
  </si>
  <si>
    <t>Cột quân: (0,3πx2,5)m x20 cái</t>
  </si>
  <si>
    <t>Xà ngang: (10,0x0,42)m x8 cái</t>
  </si>
  <si>
    <t>Xà dọc: (7,2x 0,42)x 2 cái</t>
  </si>
  <si>
    <t xml:space="preserve">Xà phụ: (2,25x0,42)mx8 cái; (0,42x2,5)x 4 </t>
  </si>
  <si>
    <t>Xà phụ: (5,5x0,52)mx4 cái; (0,42x7,2)</t>
  </si>
  <si>
    <t>Xà phụ: (3,0x0,64)m x4 cái: (0,42x1,5)x4</t>
  </si>
  <si>
    <t>Xà nóc: (8,0x0,44)m</t>
  </si>
  <si>
    <t>Lan can:(2,0+7,0+2,0)m, cao 0,6m</t>
  </si>
  <si>
    <t>Vì kèo:(5,8x0,48)x8 cái; (4,0x0,48) x 8 cái</t>
  </si>
  <si>
    <t>Trụ đỡ: (1,1x0,3π)x8 cái</t>
  </si>
  <si>
    <t>Thưng gỗ: ((7,25x2) + (10x2))x 2,0 m x 2 mặt</t>
  </si>
  <si>
    <t>Gia công lợp mái fibroxi măng: (2,3x2,2)m + (4,4x3,5)m + (2,0x2,6)m</t>
  </si>
  <si>
    <t>Tường xây gạch block dày 110mm, không trát: (3,2+5,6+1,8+3,5+6,3+14,0+1,3)m, cao 1,7m</t>
  </si>
  <si>
    <t>Tường rào kết hợp xây gạch tường 220mm, không lu sơn, lưới B40, cao 1,8 m: (8,0x1,8)m</t>
  </si>
  <si>
    <t>Gia công cánh cổng lưới thé p B40: (3,3x1,9)m</t>
  </si>
  <si>
    <t>Trụ cổng xây gạch block, không trát, không lu sơn: (0,33x0,33x2,2)m, 2 trụ</t>
  </si>
  <si>
    <t>Nhà tắm, nhà vệ sinh khác: móng xây gạch, tường xây gạch, mái lợp fibroxi măng: (3,5x2,5)m</t>
  </si>
  <si>
    <t>Giảm trừ tường xây 110mm so với tường xây 220mm</t>
  </si>
  <si>
    <t>Công trình chăn nuôi loại 3: móng xây gạch, tường xây gạch, mái lợp fibroxi măng, nền láng xi măng: (5,7x4,2)</t>
  </si>
  <si>
    <t>Chuồng trâu (công trình chăn nuôi loại 4) mái lợp fibroxi măng, cột kèo tre: (6,5x5,5)m</t>
  </si>
  <si>
    <t>Sân phơi gạch vỡ, láng xi măng: (3,5x 3,5)+(2,3x1,7)m</t>
  </si>
  <si>
    <t>Móng tường rào xây gạch, trên giằng BTCT: 18,0m +7,0m</t>
  </si>
  <si>
    <t>Tấm đan BTCT: 1,8x2,5m</t>
  </si>
  <si>
    <t>Gia công rèm bằng tôn: 0,3x17,7</t>
  </si>
  <si>
    <t>Thửa 83 tờ 2</t>
  </si>
  <si>
    <t>Thửa 115 tờ 2</t>
  </si>
  <si>
    <t>Thửa 435 tờ 2</t>
  </si>
  <si>
    <t>Cây đào trồng năm 2022 (1 cây)</t>
  </si>
  <si>
    <t>Bồi thường chi phí di chuyển tài sản khi Nhà nước thu hồi đất (Hộ gia đình có tổng số 9 nhân khẩu).</t>
  </si>
  <si>
    <t>Số nhân khẩu tăng thêm của hộ gia đình (5 khẩu tăng thêm)</t>
  </si>
  <si>
    <t>Lò Văn Lo (vợ Tòng Thị Hoa)</t>
  </si>
  <si>
    <t>Số định danh cá nhân: 011093007059</t>
  </si>
  <si>
    <t>Đất do bố mẹ là Tòng Văn Ương, Tòng Thị Inh khai hoang  năm 1992 làm nhà ở, tặng cho con gái là Tòng Thị Hoa tháng 10/2012 để sử dụng vào mục đích làm nhà ở, đến năm 2016 xây dựng nhà, đất sử dụng ổn định, liên tục, không tranh chấp. Đất chưa được cấp giấy chứng nhận quyền sử dụng đất</t>
  </si>
  <si>
    <t>Thửa 405 tờ 2</t>
  </si>
  <si>
    <t>3.I</t>
  </si>
  <si>
    <t>50-51</t>
  </si>
  <si>
    <t>Chênh lệch giữa lợp tôn xốp với lợp tôn liên doanh: 5,7x11,8</t>
  </si>
  <si>
    <t>Tường rào lưới thé p B40, cọc sắt: (cao 0,8m), KT: 4,6</t>
  </si>
  <si>
    <t>Tấm đan BTCT: 1,5x2,9</t>
  </si>
  <si>
    <t>Tường xây chắn đất 11cm có trát: 1,8x0,3</t>
  </si>
  <si>
    <t>Tường xây 11cm có lu sơn: 1,6x1,5</t>
  </si>
  <si>
    <t>Sân bằng bê tông xi măng mác 150: 15,5x0,8</t>
  </si>
  <si>
    <t>Trụ cổng xây gạch Block không trát: 0,4x0,4x2 (2 trụ)</t>
  </si>
  <si>
    <t>Trụ</t>
  </si>
  <si>
    <t>Cây cảnh (Cây phát tài) đường kính thân cây 15cm</t>
  </si>
  <si>
    <t>Hỗ trợ đào tạo, chuyển đổi nghề và tìm kiếm việc làm: không</t>
  </si>
  <si>
    <t>Lò Văn Quyền (vợ: Lò Thị Ngoan)</t>
  </si>
  <si>
    <t>Số định danh cá nhân: 011095000531</t>
  </si>
  <si>
    <t xml:space="preserve">Đất ông bà nội Lò Văn Đôi, Lò Thị Hon tự khai hoang từ năm 1985 để làm nhà ở và trồng cây lâu năm, cho bố Lò Văn Vui năm 1992 ở và trồng cây lâu năm, đến tháng 12/2013 cho con Lò Văn Quyền để sử dụng vào mục đích làm nhà ở (xây dựng nhà năm 2017), đất sử dụng ổn định, liên tục, không tranh chấp. Đất chưa được cấp giấy chứng nhận quyền sử dụng đất </t>
  </si>
  <si>
    <t>Thửa 352 tờ 2</t>
  </si>
  <si>
    <t>19-11</t>
  </si>
  <si>
    <t>Chênh lệch giữa nền láng XM và nền lát gạch ceramic: 5,1x11,3</t>
  </si>
  <si>
    <t>51-52</t>
  </si>
  <si>
    <t>Tường xây gạch Block không trát áo: 4,5x2,4 cao</t>
  </si>
  <si>
    <t>Chênh lệch giữa lợp mái fibro XM với mái lợp tôn: 5x2,5</t>
  </si>
  <si>
    <t>Gia công Lợp mái fibroxi măng: (2,8x3,3)+(2,4x3,5)</t>
  </si>
  <si>
    <t>Chuồng gà kết cấu cột tre, giằng tre, mái fibroxi măng, nền bê tông: 2,8x2,5</t>
  </si>
  <si>
    <t>Sân phơi bằng gạch vỡ láng xi măng: (2x2,4)+(1,3x5,4)</t>
  </si>
  <si>
    <t>Trụ cổng xây gạch Block không trát: 0,55x0,45x1,9, 2 trụ</t>
  </si>
  <si>
    <t xml:space="preserve"> phần đổ BTCT: 0,22x0,22x1,9 cao, 2 trụ</t>
  </si>
  <si>
    <t xml:space="preserve"> phần xây gạch: 0,33x0,23x1,9</t>
  </si>
  <si>
    <t xml:space="preserve"> Tường rào cột xây, hoa sắt, cả móng: 7m</t>
  </si>
  <si>
    <t>Bồi thường về cây trồng, vật nuôi: không</t>
  </si>
  <si>
    <t>Bồi thường chi phí di chuyển tài sản khi Nhà nước thu hồi đất (Hộ gia đình có tổng số 3 nhân khẩu).</t>
  </si>
  <si>
    <t>Hộ gia đình có 3 nhân khẩu</t>
  </si>
  <si>
    <t>Lường Thị Son</t>
  </si>
  <si>
    <t xml:space="preserve">Đất đã được cấp giấy CNQSDĐ sốphát hành DI321798, số vào sổ cấp giấy "CN"00011 do UBND huyện Tuần Giáo cấp ngày 19/7/2024, sử dụng ổn định, không tranh chấp. </t>
  </si>
  <si>
    <t>195.X</t>
  </si>
  <si>
    <t>Lò Văn Thiện</t>
  </si>
  <si>
    <t>Số định danh cá nhân: 011058000210</t>
  </si>
  <si>
    <t>Số điện thoại: 0355536252</t>
  </si>
  <si>
    <t xml:space="preserve">Đất gia đình tự khai hoang từ năm 1990 để sử dụng vào mục đích làm nhà ở và trồng cây lâu năm, đất sử dụng ổn định, liên tục, không tranh chấp. Đất chưa được cấp giấy chứng nhận quyền sử dụng đất </t>
  </si>
  <si>
    <t>228</t>
  </si>
  <si>
    <t>Đất đã được cấp giấy CNQSDĐ số vào sổ cấp giấy 00456 do UBND huyện Tuần Giáo cấp tháng 10/1995, , thửa đất thu hồi Thuộc thửa đất số 460 Tờ bản đồ số 5, diện tích cấp giấy chứng nhận QSD đất (230,0m2), mục đích sử dụng đất 2L (đất chuyên trồng lúa nước). Diện tích chênh lệch hiện trạng sử dụng so với GCNQSD đất đã cấp (tăng 55,0m2) do sai số đo đạc khi cấp giấy chứng nhận quyền sử dụng đất. Hiện trạng sử dụng đất vào mục đích đất chuyên trồng lúa nước, đất sử dụng ổn định, liên tục, không tranh chấp.</t>
  </si>
  <si>
    <t>247</t>
  </si>
  <si>
    <t xml:space="preserve">Đất đã được cấp giấy CNQSDĐ số vào sổ cấp giấy 00456 do UBND huyện Tuần Giáo cấp tháng 10/1995, , thửa đất thu hồi Thuộc thửa đất số 458 Tờ bản đồ số 5, diện tích cấp giấy chứng nhận QSD đất (1.180,0m2), mục đích sử dụng đất 2L (đất chuyên trồng lúa nước). Diện tích chênh lệch hiện trạng sử dụng so với GCNQSD đất đã cấp (tăng 57,2m2) do sai số đo đạc khi cấp giấy chứng nhận quyền sử dụng đất. Hiện trạng sử dụng đất vào mục đích đất chuyên trồng lúa nước, đất sử dụng ổn định, liên tục, không tranh chấp.  </t>
  </si>
  <si>
    <t>261</t>
  </si>
  <si>
    <t xml:space="preserve">Đất gia đình tự khai hoang từ năm 1990 để sử dụng vào mục đích trồng cây lâu năm, đất sử dụng ổn định, liên tục, không tranh chấp. Đất chưa được cấp giấy chứng nhận quyền sử dụng đất </t>
  </si>
  <si>
    <t>454</t>
  </si>
  <si>
    <t>Đất đã được cấp giấy CNQSDĐ số vào sổ cấp giấy 00456 do UBND huyện Tuần Giáo cấp tháng 10/1995, thửa đất thu hồi Thuộc thửa đất số 571, 569, 572 Tờ bản đồ số 5, diện tích cấp giấy chứng nhận QSD đất (752,0m2), mục đích sử dụng đất thửa 569 đất 1L (đất trồng lúa còn lại, diện tích 120,0m2), 572 đất 1L (đất trồng lúa còn lại, diện tích 112,0m2), thửa 571 đất Ao (đất nuôi trồng thủy sản, diện tích 520,0m2). Diện tích chênh lệch hiện trạng sử dụng so với GCNQSD đất đã cấp (tăng 94,7m2) do sai số đo đạc khi cấp giấy chứng nhận quyền sử dụng đất. Hiện trạng sử dụng đất vào mục đích đất nuôi trồng thủy sản, đất sử dụng ổn định, liên tục, không tranh chấp.</t>
  </si>
  <si>
    <t>Đất trồng lúa nước còn lại (LUK)</t>
  </si>
  <si>
    <t>240.XVI</t>
  </si>
  <si>
    <t>Hàng rào tre đan, KT: 20+18+20+50+50+5+120 m</t>
  </si>
  <si>
    <t>Cây bưởi trồng năm 2022 (13 cây)</t>
  </si>
  <si>
    <t>Cây nhãn trồng năm 2017 (3 cây)</t>
  </si>
  <si>
    <t xml:space="preserve"> Cây đào trồng năm 2021 (1 cây)</t>
  </si>
  <si>
    <t>Cây mận trồng năm 2018 (2 cây)</t>
  </si>
  <si>
    <t>Cây mắc ca trồng 2024</t>
  </si>
  <si>
    <t>Cây mắc ca trồng năm 2022 (2 cây)</t>
  </si>
  <si>
    <t xml:space="preserve">Cây Trám đen. Giai đoạn cho thu hoạch. Năm thứ 6 đến năm thứ 9 (đường kính thân từ 8 cm  &lt; 15 cm)   </t>
  </si>
  <si>
    <t xml:space="preserve">Cây tre lấy măng. Trồng năm thứ 4 trở đi (giai đoạn thu hoạch). Từ  &gt; 5 cây/khóm (8 khóm) </t>
  </si>
  <si>
    <t>Khóm</t>
  </si>
  <si>
    <t xml:space="preserve">Cây tre lấy thân. Đường kính thân &gt; 10 cm </t>
  </si>
  <si>
    <t>Bồi thường chi phí di chuyển tài sản khi Nhà nước thu hồi đất</t>
  </si>
  <si>
    <t>Số định danh cá nhân: 011081001170</t>
  </si>
  <si>
    <t xml:space="preserve">Đất bố mẹ Lường Văn Huấn, Tòng Thị Nhau tự khai hoang  từ năm 1971  để sử dụng vào mục đích làm nhà ở và trồng cây hàng năm, cho con Lường Văn Quý năm 2002 ở và trồng cây hàng năm ( phá nhà cũ xây dựng nhà mới năm 2023), đất sử dụng ổn định, liên tục, không tranh chấp. Đất chưa được cấp giấy chứng nhận quyền sử dụng đất t </t>
  </si>
  <si>
    <t>182</t>
  </si>
  <si>
    <t>200</t>
  </si>
  <si>
    <t>210</t>
  </si>
  <si>
    <t xml:space="preserve">Đất đã được cấp giấy CNQSDĐ cho ông Lường Văn Huấn (đã chết năm 2021) sốphát hành E 0347485, số vào sổ cấp giấy 00482 do UBND huyện Tuần Giáo cấp tháng 10/1995, cho con Lường Văn Quý năm 2002 (chưa thực hiện chỉnh lý giấy CNQSDĐ). thửa đất thu hồi thuộc thửa đất số  438 Tờ bản đồ số 5, diện tích cấp giấy chứng nhận QSD đất (84,0m2), mục đích sử dụng đất 2L (đất chuyên trồng lúa nước). Diện tích chênh lệch hiện trạng sử dụng so với GCNQSD đất đã cấp (tăng 30,1m2) sai số do đạc khi cấp giấy chứng nhận quyền sử dụng đất. Hiện trạng sử dụng vào mục đích đất chuyên trồng lúa nước, sử dụng ổn định, liên tục, không tranh chấp. </t>
  </si>
  <si>
    <t>213</t>
  </si>
  <si>
    <t>Đất đã được cấp giấy CNQSDĐ cho ông Lường Văn Huấn (đã chết năm 2021) sốphát hành E 0347485, số vào sổ cấp giấy 00482 do UBND huyện Tuần Giáo cấp tháng 10/1995, cho con Lường Văn Quý năm 2002 (chưa thực hiện chỉnh lý giấy CNQSDĐ). thửa đất thu hồi thuộc thửa đất số  450, 449 Tờ bản đồ số 5, diện tích cấp giấy chứng nhận QSD đất (679,0m2), mục đích sử dụng đất 2L (đất chuyên trồng lúa nước). Diện tích chênh lệch hiện trạng sử dụng so với GCNQSD đất đã cấp  (giảm 100,1m2  do đất giá p suối bị sạt lở). Hiện trạng sử dụng vào mục đích đất chuyên trồng lúa nước, sử dụng ổn định, liên tục, không tranh chấp.</t>
  </si>
  <si>
    <t>276</t>
  </si>
  <si>
    <t>Đất đã được cấp giấy CNQSDĐ cho ông Lường Văn Huấn (đã chết năm 2021) sốphát hành E 0347485, số vào sổ cấp giấy 00482 do UBND huyện Tuần Giáo cấp tháng 10/1995, cho con Lường Văn Quý năm 2002 (chưa thực hiện chỉnh lý giấy CNQSDĐ). Thửa đất thu hồi thuộc thửa đất số  585 Tờ bản đồ số 5, diện tích cấp giấy chứng nhận QSD đất (564,0m2), mục đích sử dụng đất 2L (đất chuyên trồng lúa nước). Diện tích chênh lệch hiện trạng sử dụng so với GCNQSD đất đã cấp  (giảm 11,7m2) sai số do đạc khi cấp giấy chứng nhận quyền sử dụng đất. Hiện trạng sử dụng vào mục đích đất chuyên trồng lúa nước, sử dụng ổn định, liên tục, không tranh chấp.</t>
  </si>
  <si>
    <t>403</t>
  </si>
  <si>
    <t xml:space="preserve">Đất bố mẹ Lường Văn Huấn, Tòng Thị nhau tự khai hoang  từ năm 1990  để sử dụng vào mục đích nuôi trồng thủy sản, cho con Lường Văn Quý năm 2002 sử dụng vào mục đích nuôi trồng thủy sản,  đất sử dụng ổn định, liên tục, không tranh chấp. Đất chưa được cấp giấy chứng nhận quyền sử dụng đất </t>
  </si>
  <si>
    <t>413</t>
  </si>
  <si>
    <t xml:space="preserve">Đất bố mẹ Lường Văn Huấn, Tòng Thị nhau tự khai hoang  từ năm 1990  để sử dụng vào mục đích chuyên trồng lúa nước, cho con Lường Văn Quý năm 2002 sử dụng vào mục đích chuyên trồng lúa nước,  đất sử dụng ổn định, liên tục, không tranh chấp. Đất chưa được cấp giấy chứng nhận quyền sử dụng đất </t>
  </si>
  <si>
    <t>420</t>
  </si>
  <si>
    <t xml:space="preserve">Đất bố mẹ Lường Văn Huấn, Tòng Thị nhau tự khai hoang  từ năm 1990  để sử dụng vào mục đích trồng lúa còn lại, cho con Lường Văn Quý năm 2002 sử dụng vào mục đích trồng lúa còn lại,  đất sử dụng ổn định, liên tục, không tranh chấp. Đất chưa được cấp giấy chứng nhận quyền sử dụng đất </t>
  </si>
  <si>
    <t>439</t>
  </si>
  <si>
    <t xml:space="preserve">Đất bố mẹ Lường Văn Huấn, Tòng Thị nhau tự khai hoang  từ năm 1990  để sử dụng vào mục đích trồng cây hàng năm khác, cho con Lường Văn Quý năm 2002 sử dụng vào mục đích cây hàng năm,  đất sử dụng ổn định, liên tục, không tranh chấp. Đất chưa được cấp giấy chứng nhận quyền sử dụng đất </t>
  </si>
  <si>
    <t>Thửa 472 tờ 2</t>
  </si>
  <si>
    <t>Nhà tắm, nhà vệ sinh khác, Móng xây gạch, lợp Fibrô xi măng KT: 1,6x3,5</t>
  </si>
  <si>
    <t>91.II</t>
  </si>
  <si>
    <t>Bán mái, kết cấu cột tre D150; thanh giằng tre, mái lợp fibrôximăng, không tường, nền bê tông láng xi măng. KT: (4x4) m</t>
  </si>
  <si>
    <t>Sân phơi gạch vỡ láng xi măng. KT: (4,6x4,2) m</t>
  </si>
  <si>
    <t>212.XI</t>
  </si>
  <si>
    <t>Chuồng trâu, bò khung cột gỗ, vì kèo gỗ, xà gồ bằng tre, nền bê tông, mái lợp fibrô xi măng KT: 6,2x4,8</t>
  </si>
  <si>
    <t>m³</t>
  </si>
  <si>
    <t xml:space="preserve">Bồi thường chi phí di chuyển tài sản khi Nhà nước thu hồi đất </t>
  </si>
  <si>
    <t>Cây cóc trồng năm 2023 (1 cây)</t>
  </si>
  <si>
    <t>Cây ổi trồng năm 2021 (1 cây)</t>
  </si>
  <si>
    <t>Cây chanh trồng năm thứ 4 (1 cây)</t>
  </si>
  <si>
    <t>Lường Văn Chỉnh ( vợ Lò Thị Thinh)</t>
  </si>
  <si>
    <t>Đất và nhà ở nhận chuyển nhượng từ ông Đỗ Văn Đoan ngày 26/3/2003 sử dụng ổn định, không tranh chấp. (đất ông Đỗ Văn Đoan khai hoang từ năm 1986 để làm nhà ở và trồng cây lâu năm)</t>
  </si>
  <si>
    <t>366</t>
  </si>
  <si>
    <t xml:space="preserve">Đất bố mẹ Lường Văn Hặc, Lò Thị Inh tự khai hoang từ năm 1982 để sử dụng vào mục đích đất chuyên trồng lúa nước, cho con Lường Văn Chỉnh năm 2000 sử dụng vào mục đích đất chuyên trồng lúa nước, đất sử dụng ổn định, liên tục, không tranh chấp. Đất chưa được cấp giấy chứng nhận quyền sử dụng đất </t>
  </si>
  <si>
    <t>Nhận chuyển nhượng từ ông Đỗ Văn Đoan ngày 26/3/2003 (Đất ông Đỗ Văn Đoan đã được cấp giấy CNQSDĐ sốphát hành E0347484, số vào sổ cấp giấy 00477 do UBND huyện Tuần Giáo cấp tháng 10/1995), Thửa đất thu hồi Thuộc thửa đất số 643 Tờ bản đồ số 5, diện tích cấp GCNQSD đất (380,0m2), mục đích sử dụng đất 2 L (đất chuyên trồng lúa nước). Diện tích chênh lệch hiện trạng sử dụng so với GCNQSD đất đã cấp (tăng 21,0m2) do sai số đo đạc khi cấp giấy chứng nhận quyền sử dụng đất. Hiện trạng sử dụng đất vào mục đích đất chuyên trồng lúa nước, sử dụng ổn định, liên tục, không tranh chấp.</t>
  </si>
  <si>
    <t>Nhận chuyển nhượng từ ông Đỗ Văn Đoan ngày 26/3/2003 (Đất ông Đỗ Văn Đoan đã được cấp giấy CNQSDĐ sốphát hành E0347484, số vào sổ cấp giấy 00477 do UBND huyện Tuần Giáo cấp tháng 10/1995), Thửa đất thu hồi Thuộc thửa đất số 642 Tờ bản đồ số 5, diện tích cấp GCNQSD đất (360,0m2), mục đích sử dụng đất 2 L (đất chuyên trồng lúa nước). Diện tích chênh lệch hiện trạng sử dụng so với GCNQSD đất đã cấp (tăng 36,0m2) do sai số đo đạc khi cấp giấy chứng nhận quyền sử dụng đất. Hiện trạng sử dụng đất vào mục đích đất chuyên trồng lúa nước, sử dụng ổn định, liên tục, không tranh chấp.</t>
  </si>
  <si>
    <t>381</t>
  </si>
  <si>
    <t>Nhận chuyển nhượng từ ông Đỗ Văn Đoan ngày 26/3/2003 (Đất ông Đỗ Văn Đoan đã được cấp giấy CNQSDĐ sốphát hành E0347484, số vào sổ cấp giấy 00477 do UBND huyện Tuần Giáo cấp tháng 10/1995), Thửa đất thu hồi Thuộc thửa đất số 664 Tờ bản đồ số 5, diện tích cấp GCNQSD đất (300,0m2), mục đích sử dụng đất 2 L (đất chuyên trồng lúa nước). Diện tích chênh lệch hiện trạng sử dụng so với GCNQSD đất đã cấp (tăng 23,2m2) do sai số đo đạc khi cấp giấy chứng nhận quyền sử dụng đất. Hiện trạng sử dụng đất vào mục đích đất chuyên trồng lúa nước, sử dụng ổn định, liên tục, không tranh chấp.</t>
  </si>
  <si>
    <t>491</t>
  </si>
  <si>
    <t xml:space="preserve">Đất bố mẹ Lường Văn Hặc, Lò Thị Inh tự khai hoang từ năm 1982 để sử dụng vào mục đích trồng cây hàng năm, cho con Lường Văn Chỉnh năm 2000 sử dụng vào mục đích trồng cây hàng năm, đất sử dụng ổn định, liên tục, không tranh chấp. Đất chưa được cấp giấy chứng nhận quyền sử dụng đất </t>
  </si>
  <si>
    <t>thửa 487 tờ 2</t>
  </si>
  <si>
    <t>Giảm trừ tầng 1 không xây tường 220mm. KT: 34,6x2</t>
  </si>
  <si>
    <t>Tầng 1 xây gạch block dày 110mm, không trát. KT: 34,6x2</t>
  </si>
  <si>
    <t xml:space="preserve"> PU gầm sàn ngang: 0,34x11,6x13 cái</t>
  </si>
  <si>
    <t xml:space="preserve"> PU xà dọc: 0,34x8,2x6 xà</t>
  </si>
  <si>
    <t xml:space="preserve"> PU xà tròn: (0,2x3,14x3m)x 20</t>
  </si>
  <si>
    <t xml:space="preserve"> PU xà ngang: 0,44x6,9x4 xà</t>
  </si>
  <si>
    <t xml:space="preserve"> PU xà ngang: 0,4x2,4x6 xà</t>
  </si>
  <si>
    <t xml:space="preserve"> PU xà: 0,4x2,0x6 xà</t>
  </si>
  <si>
    <t xml:space="preserve"> PU xà gồ: 0,4x5,3x8 xà</t>
  </si>
  <si>
    <t xml:space="preserve"> PU xà: 0,42x2,6x8 xà</t>
  </si>
  <si>
    <t xml:space="preserve"> PU thưng: 10,9x1,9x2 mặt</t>
  </si>
  <si>
    <t xml:space="preserve"> PU thưng: (10,9+4,6+4,6)x0,5x2 mặt</t>
  </si>
  <si>
    <t xml:space="preserve"> PU sàn: 5,5x10,9x2 mặt</t>
  </si>
  <si>
    <t xml:space="preserve"> PU cột cái: D220x5,5x6 cái</t>
  </si>
  <si>
    <t xml:space="preserve"> PU cột quân: D220x4,4x16 cái</t>
  </si>
  <si>
    <t xml:space="preserve"> PU thưng: 2,3x1,9x2 mặt</t>
  </si>
  <si>
    <t xml:space="preserve"> PU cột chống: D220x1,3x2 cột</t>
  </si>
  <si>
    <t>96.XVII</t>
  </si>
  <si>
    <t xml:space="preserve"> Gia công rèm tôn trước nhà: 0,3x10m</t>
  </si>
  <si>
    <t>107.II</t>
  </si>
  <si>
    <t xml:space="preserve"> Bếp khung cột mái BTCT, tường xây 110mm, không lu sơn, nền lát gạch Ceramic không có cửa, hệ thống điện hoàn chỉnh. 3,5x3,6 </t>
  </si>
  <si>
    <t>5.XVII</t>
  </si>
  <si>
    <t>Giảm trừ không lu sơn: 7,8x2,0</t>
  </si>
  <si>
    <t>Sân phơi bằng gạch vỡ láng xi măng: 15x8</t>
  </si>
  <si>
    <t>Công trình chăn nuôi loại 4: cột, giằng tre, lợp bro xi măng, nền xi măng.KT: 8x6</t>
  </si>
  <si>
    <t>96.II</t>
  </si>
  <si>
    <t>Bán mái, kết cấu cột gỗ tròn D150; thanh giằng mái lợp fibrôximăng, không tường, nền bê tông, mặt láng vữa xi măng: 3x7 + 3x5</t>
  </si>
  <si>
    <t>Tường xây gạch block dày 110mm: (24x1,4)m</t>
  </si>
  <si>
    <t>Cây nhãn trồng năm 2024 (3 cây)</t>
  </si>
  <si>
    <t>Cây mơ trồng năm 2019 (1 cây)</t>
  </si>
  <si>
    <t>Cây đào trồng năm 2023 (1 cây)</t>
  </si>
  <si>
    <t>Cây đào trồng năm 2021 (2 cây)</t>
  </si>
  <si>
    <t>Cây mít trồng năm 2022 (1 cây)</t>
  </si>
  <si>
    <t>Cây ổi trồng năm 2022 (2 cây)</t>
  </si>
  <si>
    <t>Cây trứng gà trồng năm 2024 (1 cây)</t>
  </si>
  <si>
    <t>Cây quất hồng bì trồng năm 2023 (1 cây)</t>
  </si>
  <si>
    <t>Sơn các kết cấu gỗ bằng sơn chuyên dụng</t>
  </si>
  <si>
    <t>Cây mận trồng năm 2021 (2 cây)</t>
  </si>
  <si>
    <t>Cây xoài trồng năm 2022 (2 cây)</t>
  </si>
  <si>
    <t>Cây chanh trồng năm 2023 (3 cây)</t>
  </si>
  <si>
    <t>Thửa 390 tờ 2</t>
  </si>
  <si>
    <t>Cây mít trồng năm 2021 (2 cây)</t>
  </si>
  <si>
    <t>Thửa 460 tờ 1</t>
  </si>
  <si>
    <t>Cây bưởi trồng năm thứ 5 (3 cây)</t>
  </si>
  <si>
    <t>Thuộc trường hợp thu hồi hết đất ở, có nhà ở trên thửa đất bị thu hồi, phải di chuyển chỗ ở, sau thu hồi hộ gia đình, cá nhân không còn đất ở, nhà ở nào khác trên địa bàn xã nơi có đất thu hồi, đủ điều kiện được bồi thường bằng đất ở tại khu tái định cư và xử lý chênh lệch theo quy định tại khoản 4 Điều 111 Luật Đất đai 2024; khoản 1 Điều 25 Nghị định 88/2024/NĐ C p ngày 15/7/2024.</t>
  </si>
  <si>
    <t>Cây ổi trồng năm thứ 6 (1 cây)</t>
  </si>
  <si>
    <t>Cây xoài trồng năm thứ 4 (1 cây)</t>
  </si>
  <si>
    <t>Cây chuối (120 cây)</t>
  </si>
  <si>
    <t>Cây khế trồng năm thứ 6 (1 cây)</t>
  </si>
  <si>
    <t>Cây mít trồng năm thứ 2 (1 cây)</t>
  </si>
  <si>
    <t>Cây bưởi trồng năm thứ 4 (1 cây)</t>
  </si>
  <si>
    <t>Cây bưởi trồng năm thứ 6 (1 cây)</t>
  </si>
  <si>
    <t>Cây chanh trồng năm thứ 4 (2 cây)</t>
  </si>
  <si>
    <t>Cây nhót trồng năm thứ 4 (1 cây)</t>
  </si>
  <si>
    <t>Cây mận trồng năm thứ 4 (3 cây)</t>
  </si>
  <si>
    <t>Cây mít trồng năm thứ 4 (2 cây)</t>
  </si>
  <si>
    <t>Cây nhãn trồng năm thứ 7 (1 cây)</t>
  </si>
  <si>
    <t>Cây xoài trồng năm thứ 4 (2 cây)</t>
  </si>
  <si>
    <t>Cây ổi trồng năm thứ 4 (1 cây)</t>
  </si>
  <si>
    <t>Cây ổi trồng năm thứ 7 (1 cây)</t>
  </si>
  <si>
    <t>Cây nhãn trồng năm thứ 10 (1 cây)</t>
  </si>
  <si>
    <t>Cây nhãn trồng năm thứ 4 (2 cây)</t>
  </si>
  <si>
    <t>Cây vải trồng năm thứ 5 (1 cây)</t>
  </si>
  <si>
    <t>Cây chanh trồng năm thứ 4 (3 cây)</t>
  </si>
  <si>
    <t>Cây táo trồng năm thứ 7 (1 cây)</t>
  </si>
  <si>
    <t>Di chuyển hoa, cây cảnh trồng trong chậu/ang/khay (hỗ trợ di chuyển với cự ly từ 100 m trở đi) có chu vi &gt;= 200 cm (20 chậu)</t>
  </si>
  <si>
    <t>Cây xoài trồng năm thứ 10 (2 cây)</t>
  </si>
  <si>
    <t>Cây trứng gà trồng năm thứ 5 (1 cây)</t>
  </si>
  <si>
    <t>Cây xoài trồng năm 2019 (1 cây)</t>
  </si>
  <si>
    <t>Cây mít trồng năm thứ 5 (1 cây)</t>
  </si>
  <si>
    <t>Cây mít trồng năm thứ 10 (1 cây)</t>
  </si>
  <si>
    <t>1, 2</t>
  </si>
  <si>
    <t>Cây mận trồng năm thứ 3 (1 cây)</t>
  </si>
  <si>
    <t>Họ và tên</t>
  </si>
  <si>
    <t>Tờ số</t>
  </si>
  <si>
    <t>Diện tích đo đạc (m²)</t>
  </si>
  <si>
    <t>Diện tích thu hồi
 (m²)</t>
  </si>
  <si>
    <t>Loại đất bồi thường</t>
  </si>
  <si>
    <t>Bồi thường về đất (đồng)</t>
  </si>
  <si>
    <t>Bồi thường tài sản, vật kiến trúc
 (đồng)</t>
  </si>
  <si>
    <t>Bồi thường cây trồng, vật nuôi (đồng)</t>
  </si>
  <si>
    <t>LUC</t>
  </si>
  <si>
    <t>LUK</t>
  </si>
  <si>
    <t>HNK</t>
  </si>
  <si>
    <t>RSX</t>
  </si>
  <si>
    <t>NTS</t>
  </si>
  <si>
    <t>ONT</t>
  </si>
  <si>
    <t>CLN</t>
  </si>
  <si>
    <t xml:space="preserve">I </t>
  </si>
  <si>
    <t xml:space="preserve"> </t>
  </si>
  <si>
    <t>Giảm trừ không lu sơn tường 2 mặt</t>
  </si>
  <si>
    <t>Điều 96,  Luật Đất đai 2024; Điều 5 nghị định số 88/2024/NĐ-CP ngày 15/7/2024 của Chính phủ.</t>
  </si>
  <si>
    <t>Điều 95  Luật Đất đai 2024; Điều 6 Nghị định 88/2024/NĐ-CP  ngày 15/7/2024; Văn bản số 4355/UBND-KT ngày 28/5/2026 của UBND tỉnh Điện Biên</t>
  </si>
  <si>
    <t>Cây đào trồng năm 2024 (1 cây)</t>
  </si>
  <si>
    <t>Cây nhãn trồng năm 2023 (1 cây)</t>
  </si>
  <si>
    <t>Điều 96  Luật Đất đai 2024; Điều 5 Nghị định số 88/2024/NĐ-CP ngày 15/7/2024 của Chính phủ; Văn bản số 4355/UBND-KT ngày 28/5/2026 của UBND tỉnh Điện Biên</t>
  </si>
  <si>
    <t>BẢN PHUNG</t>
  </si>
  <si>
    <t>Hỗ trợ khác</t>
  </si>
  <si>
    <t>Điều 96,  Luật Đất đai 2024; Điều 5 Nghị định số 88/2024/NĐ-CP ngày 15/7/2024; Nghĩa vụ tài chính được miễm theo Công văn số 764/CV-TCS3 ngày 12/7/2026 của Thuế  cơ sở 3</t>
  </si>
  <si>
    <t>Điều 96,  Luật Đất đai 2024; Điều 5 Nghị định số 88/2024/NĐ-CP ngày 15/7/2024 của Chính phủ; Nghĩa vụ tài chính được miễm theo Công văn số 764/CV-TCS3 ngày 12/7/2026 của Thuế  cơ sở 3</t>
  </si>
  <si>
    <t>Giảm trừ nền không lát gạch ceramic:</t>
  </si>
  <si>
    <t>Chênh lệch giữa gia công lắp dựng vách thưng kính so với vách gỗ: 17,7x2 cao</t>
  </si>
  <si>
    <t>Bể tự hoại độc lập: 1,2x2x2</t>
  </si>
  <si>
    <t xml:space="preserve">Đất gia đình tự khai hoang từ năm 1992 để sử dụng vào mục đích làm nhà ở, (phá nhà cũ xây dựng nhà mới năm 1999), đất sử dụng ổn định, liên tục, không tranh chấp. Đất chưa được cấp giấy chứng nhận quyền sử dụng đất </t>
  </si>
  <si>
    <t>Chênh lệch giữa nền không lát gạch ceramic và nền láng xi măng: 9,7x12,9</t>
  </si>
  <si>
    <t>Giảm trừ tầng 1 không xây tường tường 220mm: (7,3 + 10,6) x 2 cao 2,2m</t>
  </si>
  <si>
    <t>Gia công lan can cầu thang inox: 3,5+4,5+2,8</t>
  </si>
  <si>
    <t>Trát áo tường 2 mặt</t>
  </si>
  <si>
    <t>Lu sơn tường 2 mặt</t>
  </si>
  <si>
    <t>Cánh cổng thép hộp mạ kẽm: 2,5x2,3</t>
  </si>
  <si>
    <t xml:space="preserve">Tường xây gạch Block không chát tường 110mm KT: (1,8+6,5)x1,2 </t>
  </si>
  <si>
    <t>Tường xây gạch Block không chát tường 110mm KT:  (6,7+2,2+4,6)x1,7m</t>
  </si>
  <si>
    <t>Nhà tắm nhà vệ sinh bể phốt tường 110mm lu sơn, lát gạch ceramic mái đổ BTCT, của gỗ KT: 3,9x2,8m</t>
  </si>
  <si>
    <t>Bếp khung cột BTCT mái bằng BTCT  tường xây 110mm lát gạch ceramic, lu sơn, hệ thống điện hoàn chỉnh KT: 3,9x2,4 một mặt không sơn</t>
  </si>
  <si>
    <t>Tường xây gạch 110mm Block không trát KT: (11,4+8)x2</t>
  </si>
  <si>
    <t>Tường xây gạch Block không lu sơn KT: 2,5x0,4</t>
  </si>
  <si>
    <t>Tường rào lưới B40 khung cột sắt: 10,2 m cao 1,4m</t>
  </si>
  <si>
    <t>Giảm trừ trát áo tường 2 mặt</t>
  </si>
  <si>
    <t>Giảm trừ lu sơn tường 2 mặt</t>
  </si>
  <si>
    <t>Nhà tắm nhà vệ sinh móng xây gạch, nền láng xi măng, mái lợp fibrô xi măng, vì kèo thé p hộp KT: 3,4x2,2m</t>
  </si>
  <si>
    <t>Chênh lêch giữa nền lát gạch và nền láng xi măng: 2,6x1,7m</t>
  </si>
  <si>
    <t>20.XVII-217XI</t>
  </si>
  <si>
    <t>Bể tự hoại độc lập tường 110mm: (1,5x2x1,6)m</t>
  </si>
  <si>
    <t>Chênh lệch giữa tường 220mm và tường 110mm</t>
  </si>
  <si>
    <t>Tường xây gạch dày 110mm: (1,6+1,3)x1m</t>
  </si>
  <si>
    <t xml:space="preserve">Hỗ trợ  khác </t>
  </si>
  <si>
    <t xml:space="preserve"> Hỗ trợ giá trị chênh lệch đơn giá bồi thường loại đất theo hiện trạng sử dụng đất (NTS) và loại đất theo giấy chứng nhận QSD đất đã cấp đất trồng lúa còn lại (LUK)  </t>
  </si>
  <si>
    <t xml:space="preserve">Hỗ trợ chênh lệch giá trị đào tạo, chuyển đổi nghề và tìm kiếm việc làm giữa đất  nuôi trồng thuỷ sản (NTS) theo hiện trạng  và đất trồng lúa còn lại (LUK) theo giấy chứng nhận QSD đất đã cấp  </t>
  </si>
  <si>
    <t>Điều 96,  Luật Đất đai 2024; Điều 5 Nghị định số 88/2024/NĐ-CP ngày 15/7/2024 của Chính phủ.</t>
  </si>
  <si>
    <t>Khoản 5 Điều 2 Nghị định 226/2025/NĐ-CP ngày 15/8/2025 của Chính phủ; Điều 14 Quyết định số 40/2026/QĐ-UBND ngày 10/6/2026.</t>
  </si>
  <si>
    <t>Giảm trừ sàn tre so với sàn gỗ KT: 8,4x2,0</t>
  </si>
  <si>
    <t>Bể tự hoại độc lập tường 110 mm KT: 1,5x2x1,5</t>
  </si>
  <si>
    <t>Trụ chân téc nước xây gạch block KT:( 0,5x0,3x0,4)x4 trụ</t>
  </si>
  <si>
    <t>Thửa 431 tờ 2</t>
  </si>
  <si>
    <t>Thửa 436 tờ 2</t>
  </si>
  <si>
    <t>Thửa 395 tờ 2</t>
  </si>
  <si>
    <t>Thửa 265 tờ 2</t>
  </si>
  <si>
    <t>Chênh lệch giữa nền không lát gạch ceramic và nền gạch vỡ láng xi măng. KT: 12,2x13,1</t>
  </si>
  <si>
    <t>Giảm trừ tầng 1 không xây tường 220mm. KT: 36m cao 2m</t>
  </si>
  <si>
    <t>Gia công lắp dựng vách ngăn bằng gỗ: 10,5x2</t>
  </si>
  <si>
    <t>Bếp khung cột gỗ, thưng gỗ dày 3cm, nhóm IV; xà gồ, vì kèo thép hộp, lợp tôn; nền bê tông láng xi măng; cửa đi, cửa sổ thưng gỗ; hệ thống điện hoàn chỉnh. KT: 3,8x6 m</t>
  </si>
  <si>
    <t>Cánh cổng thép hộp mạ kẽm: 2,7x1,8m</t>
  </si>
  <si>
    <t>Nhà tắm nhà vệ sinh khác: móng xây gạch; trụ cột gỗ, thưng vách gỗ dày 3cm; xà gồ, vì kèo thép hộp, mái lợp gianh; nền lát gạch ceramic.KT: 2,4x2,8m</t>
  </si>
  <si>
    <t>Nhà vệ sinh (không có bể phốt), móng xây gạch, nền láng xi măng, không ốp gạch ceramic, mái đổ bê tông, cửa gỗ.KT:1,2x1,6 m</t>
  </si>
  <si>
    <t>chênh lệch giữa nền lát ceramic và nền gạch vỡ láng xi măng: 1,2x1,6</t>
  </si>
  <si>
    <t>Trát áo 2 mặt</t>
  </si>
  <si>
    <t>Gia công lắp đặt sàn bằng kết cấu tre trên nền đất (dùng làm chuồng nuôi động vật): 1,4x1,7x6 cái</t>
  </si>
  <si>
    <t>Gia công cửa bằng gỗ ván ghép: 1,2x1,8x 5 cái</t>
  </si>
  <si>
    <t>Khoản 5 điều 2 Nghị định 226/2025/NĐ-CP ngày 15/8/2025 của Chính phủ; Điều 14 Quyết định số 40/2026/QĐ-UBND ngày 10/6/2026 của UBND tỉnh Điện Biên; Nghị Quyết số 28/2025/NQ-HĐND ngày 25/12/2025 của HĐND tỉnh Điện Biên.</t>
  </si>
  <si>
    <t>Nhà sàn cột kê khung cột gỗ tròn D300 (gỗ nghiến), nền láng xi măng, tầng 1 xây 1 phần, lát sàn trần bằng gỗ, thưng gỗ, mái xà gồ vỉ kèo gỗ, cầu phong li tô gỗ, mái lợp tôn xốp, cầu thang gỗ 1 bên, lan can gỗ tay vịn gỗ, hệ thống điện hoàn chỉnh: (3,2x9,7)+(12,2x12,5)</t>
  </si>
  <si>
    <t>Bể tự hoại độc lập (đã bao gồm trát, đánh màu hoàn thiện): đáy bể BTCT tường xây gạch 1100mm, giằng tường BTCT; mái, nắ p BTCT: 2,2x1,1x1,5</t>
  </si>
  <si>
    <t>Nhà vệ sinh không bể phốt, móng xây gạch giằng BTCT, tường xây 11cm, ốp gạch ceramic nền láng gạch ceramic, mái BTCT, cửa khung nhôm kính: 2,8 x 1,8</t>
  </si>
  <si>
    <t>Nhà tắm, vệ sinh không bể phốt, móng xây gạch giằng BTCT, tường xây 11cm, ốp gạch ceramic nền láng gạch ceramic, mái tôn, cửa khung nhôm kính: 3,5x3,1</t>
  </si>
  <si>
    <t>Phần ốp gạch: 11x1,5</t>
  </si>
  <si>
    <t>Khoản 5 điều 2 Nghị định 226/2025/NĐ-CP ngày 15/8/2025 của Chính phủ; Điều 14 Quyết định số 40/2026/QĐ-UBND ngày 10/6/2026.</t>
  </si>
  <si>
    <t xml:space="preserve">Đất do bố mẹ Lò Văn Phiêu, Tòng Thị Mấng tự khai hoang năm 1971, để sử dụng vào mục đích làm nhà ở, Năm 2005 bà Tòng Thị Mấng chết, năm 2023 ông Lò Văn Phiêu chết, ông Châm kế thừa lại toàn bộ nhà và thửa đất ở của ông Lò Văn Phiêu để lại, sử dụng ở ổn định, liên tục, không tranh chấp. Đất chưa được cấp giấy chứng nhận quyền sử dụng đất
</t>
  </si>
  <si>
    <t>Nhận thừa kế quyền sử dụng đất từ ông Lò Văn Phiêu (đã chết) (ông Lò Văn Phiêu đã được cấp GCNQSD đất số phát hành E 0347456, số vào sổ cấp giấy 00468 do UBND huyện Tuần Giáo cấp tháng 10/1995. Đến năm 2025 con trai Lò Văn Châm nhận thừa kế quyền sử dụng đất được Văn phòng đăng ký QSD đất huyện Tuần Giáo xác nhận vào trang 4 của giấy GCNQSD đất đã cấp. Thửa đất thu hồi thuộc thửa đất số 703 Tờ bản đồ số 5, diện tích cấp GCNQSD đất (417,0m2), mục đích sử dụng đất 1 L (Đất trồng lúa còn lại). Diện tích chênh lệch hiện trạng sử dụng so với GCNQSD đất đã cấp (tăng 31,2m2) do sai số đo đạc khi cấp giấy chứng nhận quyền sử dụng đất, Hiện trạng sử dụng đất vào mục đích đất trồng chuyên trồng lúa nước, sử dụng ổn định, liên tục, không tranh chấp.</t>
  </si>
  <si>
    <t>Điều 96  Luật Đất đai 2024; Điều 5 nghị định số 88/2024/NĐ-CP ngày 15/7/2024 của Chính phủ. Văn bản số 4355/UBND-KT ngày 28/5/2026 của UBND tỉnh Điện Biên</t>
  </si>
  <si>
    <t>Kè xây bằng đá 23m x 0,4 x 1,2</t>
  </si>
  <si>
    <t>Kè xây bằng đá: 45m x 0,4 x 0,8m</t>
  </si>
  <si>
    <t>Kè xây bằng đá: 44m x 0,4 x 0,7m</t>
  </si>
  <si>
    <r>
      <t>m</t>
    </r>
    <r>
      <rPr>
        <vertAlign val="superscript"/>
        <sz val="11"/>
        <color theme="1"/>
        <rFont val="Times New Roman"/>
        <family val="1"/>
      </rPr>
      <t>2</t>
    </r>
  </si>
  <si>
    <t>Hỗ trợ chênh lệch giá trị đào tạo, chuyển đổi nghề và tìm kiếm việc làm giữa đất chuyên trồng lúa nước (LUC) theo hiện trạng và đất trồng lúa còn lại (LUK) theo giấy chứng nhận QSD đất đã cấp</t>
  </si>
  <si>
    <t xml:space="preserve"> Hỗ trợ giá trị chênh lệch đơn giá bồi thường loại đất theo hiện trạng sử dụng đất chuyên trồng lúa nước  (LUC) và loại đất theo giấy chứng nhận QSD đất đã cấp đất trồng lúa còn lại (LUK)  </t>
  </si>
  <si>
    <t xml:space="preserve">Hỗ trợ chênh lệch giá trị đào tạo, chuyển đổi nghề và tìm kiếm việc làm giữa đất chuyên trồng lúa nước (LUC) theo hiện trạng và đất trồng lúa còn lại (LUK) theo giấy chứng nhận QSD đất đã cấp </t>
  </si>
  <si>
    <t xml:space="preserve"> Hỗ trợ giá trị chênh lệch đơn giá bồi thường loại đất theo hiện trạng sử dụng đất chuyên trồng lúa nước  (LUC) và  loại đất theo giấy chứng nhận QSD đất đã cấp đất trồng lúa còn lại (LUK)  </t>
  </si>
  <si>
    <t>Nhận thừa kế quyền sử dụng đất từ ông Lò Văn Phiêu (đã chết) (ông Lò Văn Phiêu đã được cấp GCNQSD đất số phát hành E 0347456, số vào sổ cấp giấy 00468 do UBND huyện Tuần Giáo cấp tháng 10/1995), đến năm 2025 con trai Lò Văn Châm nhận thừa kế quyền sử dụng đất được Văn phòng đăng ký QSD đất huyện Tuần Giáo xác nhận vào trang 4 của giấy GCNQSD đất đã cấp. Thửa đất thu hồi Thuộc thửa đất số 581 Tờ bản đồ số 5 diện tích cấp GCNQSD đất 792,0m2, mục đích sử dụng đất 2 L (đất chuyên trồng lúa nước). Diện tích chênh lệch hiện trạng sử dụng so với GCNQSD đất đã cấp (tăng 29,0m2) do sai số đo đạc khi cấp giấy chứng nhận quyền sử dụng đất. Hiện trạng sử dụng đất vào mục đích đất chuyên trồng lúa nước, sử dụng ổn định, liên tục, không tranh chấp.</t>
  </si>
  <si>
    <t>Nhận thừa kế quyền sử dụng đất từ ông Lò Văn Phiêu (đã chết) (ông Lò Văn Phiêu đã được cấp GCNQSD đất số phát hành E 0347456, số vào sổ cấp giấy 00468 do UBND huyện Tuần Giáo cấp tháng 10/1995), đến năm 2025 con trai Lò Văn Châm nhận thừa kế quyền sử dụng đất được Văn phòng đăng ký QSD đất huyện Tuần Giáo xác nhận vào trang 4 của giấy GCNQSD đất đã cấp. Thửa đất thu hồi Thuộc thửa đất số 594 Tờ bản đồ số 5 diện tích cấp GCNQSD đất 644,0m2, mục đích sử dụng đất 2 L (đất chuyên trồng lúa nước). Diện tích chênh lệch hiện trạng sử dụng so với GCNQSD đất đã cấp (tăng 48,2m2) do sai số đo đạc khi cấp giấy chứng nhận quyền sử dụng đất. Hiện trạng sử dụng đất vào mục đích đất chuyên trồng lúa nước, sử dụng ổn định, liên tục, không tranh chấp.</t>
  </si>
  <si>
    <t>Điều 95, 135  Luật Đất đai 2024; Điều 6 Nghị định 88/2024/NĐ-CP  ngày 15/7/2024; Văn bản số 4355/UBND-KT ngày 28/5/2026 của UBND tỉnh Điện Biên</t>
  </si>
  <si>
    <t>Điều 95  Luật Đất đai 2024; Điều 5 nghị định số 88/2024/NĐ-CP ngày 15/7/2024 của Chính phủ. Văn bản số 4355/UBND-KT ngày 28/5/2026 của UBND tỉnh Điện Biên</t>
  </si>
  <si>
    <t>vị trí Đất</t>
  </si>
  <si>
    <t xml:space="preserve">Tổng diện tích thửa Đất (m2) 
</t>
  </si>
  <si>
    <t>Nguồn gốc Đất</t>
  </si>
  <si>
    <t>Điều 95  Luật Đất đai 2024; Điều 6 Nghị định 88/2024/NĐ-CP ngày 15/7/2024; Văn bản số 4355/UBND-KT ngày 28/5/2026 của UBND tỉnh Điện Biên</t>
  </si>
  <si>
    <t>Điều 96, Luật Đất đai 2024; Điều 5,12 nghị định số 88/2024/NĐ-CP ngày 15/7/2024 của Chính phủ. Văn bản số 4355/UBND-KT ngày 28/5/2026 của UBND tỉnh Điện Biên</t>
  </si>
  <si>
    <t>Điều 96,  Luật Đất đai 2024; Điều 5 Nghị định số 88/2024/NĐ-CP ngày 15/7/2024;  Nghĩa vụ tài chính được miễm theo Công văn số 764/CV-TCS3 ngày 12/7/2026 của Thuế  cơ sở 3</t>
  </si>
  <si>
    <t>mái lợp broximang: 9,1x7,2</t>
  </si>
  <si>
    <t>32-48</t>
  </si>
  <si>
    <t>Giảm trừ nền không lát gạch ceramic: 9,1x7,2</t>
  </si>
  <si>
    <t>Giảm trừ tầng 1 không xây tường 220mm: 22,8x1,6</t>
  </si>
  <si>
    <t>Giảm trừ đơn giá đường kính cột không đủ đường kính cột quân, cao 4m : 20cm x 12 cột</t>
  </si>
  <si>
    <t>Giảm trừ đơn giá đường kính cột không đủ đường kính cột cái, cao 5,0m : 20cm x 4 cột</t>
  </si>
  <si>
    <t>Nhà sàn cột kê khung cột gỗ tròn D200, nền đất, lát sàn trên bằng gỗ, một phần bằng tre, thưng tre, một phần bằng tôn tầng 1 không xây tường, mái xà gồ vỉ kèo tre, mái lợp fỉbro XM, hệ thống điện hoàn chỉnh: 9,1x7,2</t>
  </si>
  <si>
    <t>Chuồng gà, ngan vịt, gia cầm khác: kết cấu cột tre, giằng tre, mái fibrôxi măng, nền bê tông: 3x2,5</t>
  </si>
  <si>
    <t>Chuồng lợn: móng xây gạch, tường xây 110mm, quét vôi ve; nền láng xi măng; cột, kèo tre, lợp fibrôxi măng; cửa thép hộp, thưng tôn: 6*6,2</t>
  </si>
  <si>
    <t>Chuồng lợn: khung cột tre; nền đất; kèo tre, lợp fibrôxi măng: 6x6</t>
  </si>
  <si>
    <t>Cánh công thép hộp mạ kẽm: 2x2</t>
  </si>
  <si>
    <t>Tường xây gạch block không chát áo dài (18+13+23+8), cao 1,5m</t>
  </si>
  <si>
    <t>phần lát gạch ceramic: 1,2x0,9</t>
  </si>
  <si>
    <t>Phần đổ bê tông: 1,2x0,9x0,2</t>
  </si>
  <si>
    <t>Cầu thang đổ bê tông lát gạch ceramic: 1,2x0,9</t>
  </si>
  <si>
    <t>Bể nước xây tường 11cm không có nắp XM: (1,5x2,1x1,3)+(1x1x2x1)</t>
  </si>
  <si>
    <t>Sân phơi bằng gạch vỡ láng xi măng: (5,8x4,3) + (2,1x3,8)+(5,2x1,9)+(7x4,4)</t>
  </si>
  <si>
    <t>Gia công mái lợp fibro XM: 2,9x4,2</t>
  </si>
  <si>
    <t>Gia công Lợp mái bằng tôn - tôn thường: (1,4x1,8)+(3,7x3,6)</t>
  </si>
  <si>
    <t>Phần xây gạch: 2,4x1,1x0,1</t>
  </si>
  <si>
    <t>Cầu thang BTCT: 2,4x1,1</t>
  </si>
  <si>
    <t>Giảm trừ không trát 1 mặt: 14,8x1,9</t>
  </si>
  <si>
    <t>Giảm trừ tường xây gạch 110mm so với tường xây gạch 220mm: 11,8x1,8</t>
  </si>
  <si>
    <t>Nhà tắm, nhà vệ sinh: Bể phốt, đáy BTCT, xây gạch tường 110mm; Móng nhà xây gạch, giằng tường đổ BTCT, tường 110mm, ốp gạch ceramic; nền lát gạch ceramic; mái đổ BTCT; cửa đi, cửa sổ sắt hộp: 4,1x2,4</t>
  </si>
  <si>
    <t>Gia công rèm bằng gỗ: 18,1x0,3</t>
  </si>
  <si>
    <t>Tường xây gạch block 11cm không trát áo: 0,9x1,4</t>
  </si>
  <si>
    <t>Đổ bê tông cột thép cầu thang: 3,1x0,9x0,1</t>
  </si>
  <si>
    <t>Lát gạch ceramic cho cầu thang: 4,5x0,9</t>
  </si>
  <si>
    <t>Đóng trần nhựa cho công trình: 8,9x14,5</t>
  </si>
  <si>
    <t>PU lan can: 11x0,35</t>
  </si>
  <si>
    <t>PU vì kèo cột chòi: 0,38x3,5x3 cái</t>
  </si>
  <si>
    <t>PU xà gồ chòi: 0,28x4,8x6 xà</t>
  </si>
  <si>
    <t>PU xà chòi: 0,44x2,5x5 xà</t>
  </si>
  <si>
    <t>PU Sàn: (2,4x4,9)x 1 mặt + (7,6x13) x 1 mặt + (2,4x1)x 1 mặt</t>
  </si>
  <si>
    <t>PU thưng gỗ: (7,6+13)x2x 1 mặt</t>
  </si>
  <si>
    <t>PU xà ngang: 0,48x7,6x2 xà</t>
  </si>
  <si>
    <t>PU xà xiên: 0,54x12x7 xà</t>
  </si>
  <si>
    <t>PU xà chính: 0,54x2,5x18 xà</t>
  </si>
  <si>
    <t>PU cột trống: 0,62x2,3x4 cột</t>
  </si>
  <si>
    <t>Pu cột cái: 0,94x6,5x8 cột</t>
  </si>
  <si>
    <t>Pu cột quân: 0,94x4,5x19 cột</t>
  </si>
  <si>
    <t>- Nhà sàn cột kê, khung cột gỗ tròn D300, láng xi măng, xà gồ gỗ lợp ngói, tầng 1 không xây tường, lát sàn trên bằng gỗ, thưng gỗ, lợp tôn, cầu thang đổ bê tông, hệ thống điện hoàn chỉnh: (14x9,9)+(2,4x5,7)</t>
  </si>
  <si>
    <t>*</t>
  </si>
  <si>
    <t>Giảm trừ tầng 1 không xây tường 220mm: ((12+7,6)+(4,9+2,3)) x 2 cao 1,7m</t>
  </si>
  <si>
    <t>Bếp khung cột BTCT, mái bằng BTCT; tường xây 110mm, rát 1 mặt; nền lát gạch ceramic; tam cấp xây gạch; cửa đi thép hộp trên kính dưới tôn, hệ thống điện hoàn chỉnh: 4,6x3,4</t>
  </si>
  <si>
    <t>Giảm trừ không lu sơn: 14,8 x 2 cao1,9m</t>
  </si>
  <si>
    <t>Giếng nước đào thả bi có đường kính loại 0,9m trên xây thành bằng gạch chỉ, nắp đậy BTCT sâu 12m</t>
  </si>
  <si>
    <t>Hàng rào tre đan, KT: 13+18+6+8+18+8+26+26+5+75+222+260</t>
  </si>
  <si>
    <t>Chênh lệch giữa sàn trên thưng tre so với thưng gỗ : 3,1x3,6</t>
  </si>
  <si>
    <t>Cầu thang xây gạch block: 2,1x2,8x1</t>
  </si>
  <si>
    <t>Bếp cột BTCT, xà gồ, vì kèo tre, không cửa, nền bê tông lợp fibro XM: 3x3,8</t>
  </si>
  <si>
    <t>Kè đá xếp khan (cuội suối): dài 55m x 0,45 x 1,5</t>
  </si>
  <si>
    <t>Giảm trừ tầng 1 không xây tường: (6,6+8,2)x2x1,63</t>
  </si>
  <si>
    <t>Bếp, kết hợp nhà tắm, nhà vệ sinh xây 2 tầng liền kề với nhà sàn; khung cột BTCT, tường xây 110mm, không lu sơn, mái BTCT; nền lát gạch ceramic; bậc tam cấp xây gạch; cửa đi thép hộp, trên kính, dưới tôn; cửa sổ thép hộp panô kính: 8x2,8</t>
  </si>
  <si>
    <t>Chênh lệch tường xây 110mm so với tường xây 220mm: 19,6x4,2</t>
  </si>
  <si>
    <t xml:space="preserve"> phần xây gạch: 1x1,2x0,11</t>
  </si>
  <si>
    <t>217-20</t>
  </si>
  <si>
    <t xml:space="preserve">Chênh lệch giữa nền lát gạch ceramic so với nền láng XM: </t>
  </si>
  <si>
    <t>Chênh lệch giữa lát 1 phần sàn trên bằng gỗ so với lát sàn bằng tre: 7,9x2</t>
  </si>
  <si>
    <t>Bể nước xây tường 11cm, không có nắp XM: 2x1,7x1</t>
  </si>
  <si>
    <t>Gia công lắp đặt sàn bằng kết cấu tre, nhà sàn: (1,3x2)+3,5x2,3</t>
  </si>
  <si>
    <t>Cánh cổng thép hộp mạ kẽm: 3,7x1,8</t>
  </si>
  <si>
    <t>Hỗ trợ  khác</t>
  </si>
  <si>
    <t>Chênh lệch giữa sàn lát gạch và sàn ceramic và sàn láng xi măng: (8,8x11,3)m + (9,4x2,0)m + (4,2*9,5)m</t>
  </si>
  <si>
    <t>Cánh cổng thé p hộp mạ kẽm: (1,5x1,7)m</t>
  </si>
  <si>
    <t>Bể tự hoại độc lập (đã bao gồm trát, đánh màu hoàn thiện): đáy bể BTCT tường xây gạch 110 mm, giằng tường BTCT; mái, nắp BTCT.:(2,0x1,2x1,6)m</t>
  </si>
  <si>
    <t>Kè đá xếp khan (cuội suối): 3,5 + 3,5 +3,4+3,6 m, cao 0,8m, dày 0,3m</t>
  </si>
  <si>
    <t>Hỗ trợ chênh lệch giá trị đào tạo, chuyển đổi nghề và tìm kiếm việc làm giữa đất nuôi trồng thuỷ sản (NTS) theo hiện trạng  và  đất trồng lúa còn lại (LUK) theo giấy chứng nhận QSD đất đã cấp</t>
  </si>
  <si>
    <t xml:space="preserve"> Hỗ trợ giá trị chênh lệch đơn giá bồi thường  loại đất theo hiện trạng sử dụng đất (NTS) và loại đất theo giấy chứng nhận QSD đất đã cấp đất trồng lúa còn lại  (LUK) </t>
  </si>
  <si>
    <t xml:space="preserve">Hỗ trợ chênh lệch giá trị đào tạo, chuyển đổi nghề và tìm kiếm việc làm giữa đất nuôi trồng thuỷ sản (NTS) theo hiện trạng và đất trồng lúa còn lại (LUK) theo giấy chứng nhận QSD đất đã cấp </t>
  </si>
  <si>
    <t xml:space="preserve"> Hỗ trợ giá trị chênh lệch đơn giá bồi thường loại đất  loại đất theo hiện trạng sử dụng đất (NTS) và theo giấy chứng nhận QSD đất đã cấp đất trồng lúa còn lại  (LUK) </t>
  </si>
  <si>
    <t xml:space="preserve"> Điều 96,  Luật Đất đai 2024; Điều 5 Nghị định số 88/2024/NĐ-C p ngày 15/7/2024; Nghĩa vụ tài chính được miễm theo Công văn số 764/CV-TCS3 ngày 12/7/2026 của Thuế  cơ sở 3</t>
  </si>
  <si>
    <t>Giảm trừ không cửa sắt xếp:</t>
  </si>
  <si>
    <t>Bán mái, kết cấu khung cột thép, xà gồ, vì kèo thép, mái tôn, tường xây gạch cao 1,3m, không cửa sắt xếp có lu sơn kết hợp thưng tôn, nền bê tông, hệ thống điện hoàn chỉnh: 4,9x2,2</t>
  </si>
  <si>
    <t>Cây nho ghép trồng năm 2025</t>
  </si>
  <si>
    <t>Cánh cổng thép hộp mạ kẽm: 1,9x2,3</t>
  </si>
  <si>
    <t xml:space="preserve"> Điều 96,  Luật Đất đai 2024; Điều 5 Nghị định số 88/2024/NĐ-CP ngày 15/7/2024;  Nghĩa vụ tài chính được miễm theo Công văn số 764/CV-TCS3 ngày 12/7/2026 của Thuế  cơ sở 3</t>
  </si>
  <si>
    <t>chênh lệch hai đầu hồi tường 110mm với tường 220mm: 5,7x3,7</t>
  </si>
  <si>
    <t>Chênh lệch hai tường đầu hồi tường 110mm với tường 220 mm: 5x3,9</t>
  </si>
  <si>
    <t xml:space="preserve">Giảm trừ không trần nhựa: (10,9x5)+(7x1,9) </t>
  </si>
  <si>
    <t xml:space="preserve">Nhà 1 tầng không có hiên tây, tường 110mm, hai đầu hồi tường 110mm, lu sơn, xà gồ, vì kèo thép hộp, lợp tôn xốp, không trần nhựa, nền lát gạch ceramic, cửa đi bằng pano kính, hệ thống điện hoàn chỉnh, thiết bị nhà tắm, vệ sinh khép kín hoàn chỉnh, chiều cao từ nền đến trần 3,9m: (10,9x5)+(7x1,9) </t>
  </si>
  <si>
    <t xml:space="preserve"> Phần không trần nhựa: 5,1x11,3</t>
  </si>
  <si>
    <t>Bán mái, kết cấu khung cột thép, xà gồ, vì kèo thép, mái tôn không tường, nền bê tông, hệ thống điện hoàn chỉnh: 11,5x3,0</t>
  </si>
  <si>
    <t>Chênh lệch giữa mái lợp tôn so với mái Fibro XM: 11,5x3</t>
  </si>
  <si>
    <t>Nhà tắm, nhà vệ sinh không có bể phốt móng xây gạch, giằng BTCT, tường 11cm, không lát gạch, không ốp tường, xà gồ, vì kèo thép hộp, mái lợp tôn xốp, cửa đi pano kính: 1,5x2,9</t>
  </si>
  <si>
    <t xml:space="preserve"> Phần không ốp tường: 6,0x2,3</t>
  </si>
  <si>
    <t xml:space="preserve"> Phần không lát gạch: 1,3x2,6</t>
  </si>
  <si>
    <t xml:space="preserve">Bếp khung cột gỗ, thưng gỗ, xà gồ, vì kèo thép hộp, lợp fibroxi măng, nền láng xi măng, hệ thống điện hoàng chỉnh: 5,0x2,5 </t>
  </si>
  <si>
    <t>Gia công lắp đặt sàn bằng kết cấu gỗ trên nền đất (dùng làm chuồng nuôi động vật): 2,3x1,5 (3 cái)</t>
  </si>
  <si>
    <t>Bể nước xây tường 11cm, không có nắp XM: 1,0x1,0x0,5</t>
  </si>
  <si>
    <t>Bể tự hoại độc lập (đã bao gồm trát, đánh màu hoàn thiện): đáy bể BTCT tường xây gạch 110mm, giằng tường BTCT; mái, nắp BTCT: 1,5x1,5x1,5</t>
  </si>
  <si>
    <t>Cánh cổng thép hộp mạ kẽm: 2,2x2,3</t>
  </si>
  <si>
    <t>khoản 4 Điều 111 Luật đất đai 2024; Khoản 2, Điều 11 Nghị đinh 88/2024/NĐ-CP</t>
  </si>
  <si>
    <t>Tái định cư: không</t>
  </si>
  <si>
    <t>Số định danh cá nhân: 011090000858</t>
  </si>
  <si>
    <t>Số định danh cá nhân: 011071000344</t>
  </si>
  <si>
    <t>Số định danh cá nhân: 011085004532</t>
  </si>
  <si>
    <t>Thửa 485 tờ 1</t>
  </si>
  <si>
    <t>Thửa 518 tờ 2</t>
  </si>
  <si>
    <t>Giảm trừ không lu sơn</t>
  </si>
  <si>
    <t>Tường xây gạch block 110mm, không lu sơn: (17,2+11)x1,8 cao</t>
  </si>
  <si>
    <t>Hàng rào lưới B40 trụ xây gạch kết hợp xây tường gạch tuynel: 7x1,8m (phần xây gạch tuynel dày 11cm cao 50 cm)</t>
  </si>
  <si>
    <t>Tường xây gạch tuynel 110mm: dài 7m, cao 0,5</t>
  </si>
  <si>
    <t>Điều 95,  Luật Đất đai 2024; Điều 5,8,12 nghị định số 88/2024/NĐ-CP ngày 15/7/2024 của Chính phủ.</t>
  </si>
  <si>
    <t>Máng nước đổ bê tông (tấm đan BTCT) KT: (2,2*0,35)</t>
  </si>
  <si>
    <t>Thửa 346 tờ 1</t>
  </si>
  <si>
    <t>Thửa 454 tờ 1</t>
  </si>
  <si>
    <t>Thửa 444 tờ 1</t>
  </si>
  <si>
    <t>Đất bố mẹ Tòng Văn Ương tự khai hoang từ năm 1992 để sử dụng vào mục đích làm nhà ở, cho con Tòng Văn Thu năm 2009 làm nhà ở, đất sử dụng ổn định, liên tục, không tranh chấp. Đất chưa được cấp giấy chứng nhận quyền sử dụng đất.</t>
  </si>
  <si>
    <t>Cây mận trồng năm 2024 (1 cây)</t>
  </si>
  <si>
    <t>Cây đào trồng năm thứ 3 (1 cây)</t>
  </si>
  <si>
    <t>Cây xoài trồng năm 2023 (2 cây)</t>
  </si>
  <si>
    <t>Rau ăn lá khác</t>
  </si>
  <si>
    <t xml:space="preserve">Gỗ nhóm lV đến nhóm VIII;  Đường kính thân 10 đến &lt; 20 cm </t>
  </si>
  <si>
    <t>Cây vải trồng năm 2022 (2 cây)</t>
  </si>
  <si>
    <t>Cây mận trồng năm 2023 (2 cây)</t>
  </si>
  <si>
    <t>Cây dâu trồng năm thứ 2023 (1 cây)</t>
  </si>
  <si>
    <t>Cây ổi trồng năm 2023 (1 cây)</t>
  </si>
  <si>
    <t>Cây Dong  KT: 8 m2</t>
  </si>
  <si>
    <t>Cây Riềng. KT: 4,0 m²</t>
  </si>
  <si>
    <t>Cây chuối (17 cây)</t>
  </si>
  <si>
    <t>Cây xoài trồng năm thứ 5 (2 cây)</t>
  </si>
  <si>
    <t>Cây xoài trồng năm 2023(1 cây)</t>
  </si>
  <si>
    <t>Cây xoài trồng năm 2024 (1 cây)</t>
  </si>
  <si>
    <t>Cây xoài trồng năm thứ 3 (1 cây)</t>
  </si>
  <si>
    <t>Cây trứng gà trồng năm 2021 (1 cây)</t>
  </si>
  <si>
    <t>Cây trứng gà trồng năm thứ 6 (1 cây)</t>
  </si>
  <si>
    <t>Cây mận trồng năm 2021 (3 cây)</t>
  </si>
  <si>
    <t>Cây mận trồng năm thứ 6 (3 cây)</t>
  </si>
  <si>
    <t>Cây mận trồng năm thứ 2022 (6 cây)</t>
  </si>
  <si>
    <t>Cây mận trồng năm thứ 5 (6 cây)</t>
  </si>
  <si>
    <t>Cây mận trồng năm 2023 (3 cây)</t>
  </si>
  <si>
    <t>Cây mận trồng năm 2025 (5 cây)</t>
  </si>
  <si>
    <t>Cây mận trồng năm thứ 2 (5 cây)</t>
  </si>
  <si>
    <t>Cây bưởi trồng năm 2022 (3 cây)</t>
  </si>
  <si>
    <t>Cây vải trồng năm 2022 (1 cây)</t>
  </si>
  <si>
    <t>Cây nhãn trồng năm 2020 (1 cây)</t>
  </si>
  <si>
    <t>Cây nhãn trồng năm thứ 5 (3 cây)</t>
  </si>
  <si>
    <t>Cây táo trồng năm 2020 (1 cây)</t>
  </si>
  <si>
    <t>Cây sấu đường kính thân từ 10 cm đến &lt; 20 cm (1 cây)</t>
  </si>
  <si>
    <t>Cây cà phê trồng năm 2024 (4 cây)</t>
  </si>
  <si>
    <t>Cây cà phê trồng năm thứ 3 (4 cây)</t>
  </si>
  <si>
    <t>Cây núc nắc đường kính thân từ 10 cm đến &lt; 20 cm (2 cây)</t>
  </si>
  <si>
    <t>Cây sung đường kính thân từ 10 cm đến &lt; 20 cm (4 cây)</t>
  </si>
  <si>
    <t>Cây sung Đường kính thân từ 20 cm đến &lt; 30 cm</t>
  </si>
  <si>
    <t>Cây sung đường kính thân &gt;= 20 cm (1 cây)</t>
  </si>
  <si>
    <t>Cây mắc ca trồng năm thứ 2 (6 cây)</t>
  </si>
  <si>
    <t>Cây me trồng năm 2021 (1 cây)</t>
  </si>
  <si>
    <t>Cây me trồng năm thứ 6 (1 cây)</t>
  </si>
  <si>
    <t>Cây mắc coọc trồng năm 2020 (1 cây)</t>
  </si>
  <si>
    <t>Cây mắc coọc trồng năm thứ 7 (1 cây)</t>
  </si>
  <si>
    <t>Cây tre đường kính thân &gt;= 10 cm (195 cây)</t>
  </si>
  <si>
    <t>Cây đu đủ (4 cây)</t>
  </si>
  <si>
    <t>Cây ổi trồng năm 2021 cây)</t>
  </si>
  <si>
    <t>Cây ổi trồng năm thứ 6 (2 cây)</t>
  </si>
  <si>
    <t>Rau ăn lá các loại. KT: 40 m2</t>
  </si>
  <si>
    <t>Cây gỗ nhóm IV đường kính thân từ 5 cm đến &lt; 7 cm. (20 cây)</t>
  </si>
  <si>
    <t>Cây gỗ nhóm IV đường kính thân &gt;= 20 cm. (4 cây)</t>
  </si>
  <si>
    <t>thửa 448 tờ 2</t>
  </si>
  <si>
    <t>Cây cam trồng năm 2023 (3 cây)</t>
  </si>
  <si>
    <t>Cây đinh lăng trồng năm thứ 2 (5 cây)</t>
  </si>
  <si>
    <t>Cây khế trồng năm 2021 (1 cây)</t>
  </si>
  <si>
    <t>Cây khế trồng năm 2020</t>
  </si>
  <si>
    <t>Cây mắc coọc trồng năm thứ 2020  (1 cây)</t>
  </si>
  <si>
    <t>Cây mắc coọc trồng năm thứ 7  (1 cây)</t>
  </si>
  <si>
    <t>Cây mận trồng năm  2020 (1 cây)</t>
  </si>
  <si>
    <t>Cây mận trồng năm thứ 7 (1 cây)</t>
  </si>
  <si>
    <t>Cây mít trồng năm 2019 (1 cây)</t>
  </si>
  <si>
    <t>Cây mít trồng năm thứ 8 (1 cây)</t>
  </si>
  <si>
    <t>Cây nhãn trồng năm thứ 6 (1 cây)</t>
  </si>
  <si>
    <t>Cây núc nắc. Đường kính thân từ 10 cm đến  &lt; 20 cm (2 cây)</t>
  </si>
  <si>
    <t>Cây táo trồng năm 2021 (1 cây)</t>
  </si>
  <si>
    <t>thửa 386 tờ 2</t>
  </si>
  <si>
    <t>thửa 431 tờ 2</t>
  </si>
  <si>
    <t>thửa 395 tờ 2</t>
  </si>
  <si>
    <t>thửa 470 tờ 2</t>
  </si>
  <si>
    <t>Cây vải trồng năm 2020 (4 cây)</t>
  </si>
  <si>
    <t>Cây ổi trồng năm 2025 (24 cây)</t>
  </si>
  <si>
    <t>Cây ổi trồng năm thứ 2 (4+6+2+2+4+2+4 cây)</t>
  </si>
  <si>
    <t>Cây ổi trồng năm 2023 (16cây)</t>
  </si>
  <si>
    <t>Cây ổi trồng năm thứ 2020 (1 cây)</t>
  </si>
  <si>
    <t>Cây ổi trồng năm 2019 (2 cây)</t>
  </si>
  <si>
    <t>Cây ổi trồng năm thứ 8 (2 cây)</t>
  </si>
  <si>
    <t>Cây khế trồng năm thứ 2022 (2 cây)</t>
  </si>
  <si>
    <t>Cây khế trồng năm thứ 5 (2 cây)</t>
  </si>
  <si>
    <t>Cây cóc trồng năm thứ 4 (1 cây)</t>
  </si>
  <si>
    <t>Cây cóc trồng năm 2022 (1 cây)</t>
  </si>
  <si>
    <t>Cây cóc trồng năm thứ 5 (1 cây)</t>
  </si>
  <si>
    <t>Cây cóc trồng năm 2017 (1 cây)</t>
  </si>
  <si>
    <t>Cây cóc trồng năm thứ 10 (1 cây)</t>
  </si>
  <si>
    <t>Cây dâu trồng năm thứ 2023 (3 cây)</t>
  </si>
  <si>
    <t>Cây dâu trồng năm thứ 4 (1+2 cây)</t>
  </si>
  <si>
    <t>Cây chuối (171 cây)</t>
  </si>
  <si>
    <t>Cây chuối (30+28+30+14+43+20+6 cây)</t>
  </si>
  <si>
    <t>Cây xoài trồng năm 2024 (2 cây)</t>
  </si>
  <si>
    <t>Cây xoài trồng năm thứ 3 (2 cây)</t>
  </si>
  <si>
    <t>Cây xoài trồng năm 2017 (2 cây)</t>
  </si>
  <si>
    <t>Cây xoài trồng năm 2012 (1 cây)</t>
  </si>
  <si>
    <t>Cây xoài trồng năm thứ 15 (1 cây)</t>
  </si>
  <si>
    <t>Cây nhãn trồng năm 2025 (14 cây)</t>
  </si>
  <si>
    <t>Cây nhãn trồng năm thứ 2 (7+7 cây)</t>
  </si>
  <si>
    <t>Cây nhãn trồng năm 2024 (3+4 cây)</t>
  </si>
  <si>
    <t>Cây nhãn trồng năm thứ 3 (3+4 cây)</t>
  </si>
  <si>
    <t>Cây nhãn trồng năm 2023 (7+1 cây)</t>
  </si>
  <si>
    <t>Cây nhãn trồng năm thứ 4 (7+1 cây)</t>
  </si>
  <si>
    <t>Cây nhãn trồng năm thứ 2018 (1 cây)</t>
  </si>
  <si>
    <t>Cây nhãn trồng năm thứ 9 (1 cây)</t>
  </si>
  <si>
    <t>Cây nhãn trồng năm 2017 (1 cây)</t>
  </si>
  <si>
    <t>Thanh long năm 2024 (3 cây)</t>
  </si>
  <si>
    <t>Thanh long năm thứ 3 (3 cây)</t>
  </si>
  <si>
    <t>Cây mít trồng năm 2025 (6 cây)</t>
  </si>
  <si>
    <t>Cây mít trồng năm thứ 2 (1+5 cây)</t>
  </si>
  <si>
    <t>Cây mít trồng năm 2024 (3 cây)</t>
  </si>
  <si>
    <t>Cây mít trồng năm thứ 3 (3 cây)</t>
  </si>
  <si>
    <t>Cây mít trồng năm 2021 (1 cây)</t>
  </si>
  <si>
    <t>Cây mít trồng năm thứ 6 (1 cây)</t>
  </si>
  <si>
    <t>Cây mận trồng năm thứ 2 (4 cây)</t>
  </si>
  <si>
    <t>Cây mận trồng năm thứ 2022 (1 cây)</t>
  </si>
  <si>
    <t>Cây mận trồng năm thứ 5 (1 cây)</t>
  </si>
  <si>
    <t>Cây mận trồng năm thứ 6 (2 cây)</t>
  </si>
  <si>
    <t>Cây bưởi trồng năm 2025 (1 cây)</t>
  </si>
  <si>
    <t>Cây bưởi trồng năm thứ 1 (1 cây)</t>
  </si>
  <si>
    <t>Cây bưởi trồng năm 2024 (1 cây)</t>
  </si>
  <si>
    <t>Cây bưởi trồng năm thứ 3 (1 cây)</t>
  </si>
  <si>
    <t>Cây bưởi trồng năm 2022 (1+1 cây)</t>
  </si>
  <si>
    <t>Cây bưởi trồng năm thứ 5 (1+1 cây)</t>
  </si>
  <si>
    <t>Cây bưởi trồng năm thứ 6 (2 cây)</t>
  </si>
  <si>
    <t>Cây bưởi trồng năm 2019 (2 cây)</t>
  </si>
  <si>
    <t>Cây bưởi trồng năm thứ 8 (2 cây)</t>
  </si>
  <si>
    <t>Cây bưởi trồng năm 2017 (3+1 cây)</t>
  </si>
  <si>
    <t>Cây bưởi trồng năm thứ 10 (3+1 cây)</t>
  </si>
  <si>
    <t>Cây vả đường kính thân từ 10  &lt; 20cm (3 cây)</t>
  </si>
  <si>
    <t>Cây trứng gà trồng năm thứ 3 (1 cây)</t>
  </si>
  <si>
    <t>Cây trứng gà trồng năm 2023 (1 cây)</t>
  </si>
  <si>
    <t>Cây trứng gà trồng năm 2019 (1 cây)</t>
  </si>
  <si>
    <t>Cây trứng gà trồng năm thứ 8 (1 cây)</t>
  </si>
  <si>
    <t>Chanh leo (2 cây)</t>
  </si>
  <si>
    <t>Cây hồng xiêm trồng năm 2023 (2 cây)</t>
  </si>
  <si>
    <t>Cây hồng xiêm trồng năm thứ 4 (2 cây)</t>
  </si>
  <si>
    <t>Cây nhót trồng năm 2023 (4 cây)</t>
  </si>
  <si>
    <t>Cây nhót trồng năm thứ 4 (4 cây)</t>
  </si>
  <si>
    <t>Cây me trồng năm thứ 2021 (3 cây)</t>
  </si>
  <si>
    <t>Cây me trồng năm thứ 6 (3 cây)</t>
  </si>
  <si>
    <t>Cây vải trồng năm 2025 (3 cây)</t>
  </si>
  <si>
    <t>Cây vải trồng năm thứ 2 (3 cây)</t>
  </si>
  <si>
    <t>Cây vải trồng năm 2024 (1 cây)</t>
  </si>
  <si>
    <t>Cây vải trồng năm thứ 3 (1 cây)</t>
  </si>
  <si>
    <t>Cây trắc, sưa (gỗ nhóm I) Đường kính thân 7 đến &lt; 10 cm (3 cây)</t>
  </si>
  <si>
    <t>Cây gỗ (nhóm IV) Đường kính thân 7 đến &lt; 10 cm (6 cây)</t>
  </si>
  <si>
    <t>Cây tre Đường kính thân từ 5 cm đến
&lt; 10 cm (131 cây)</t>
  </si>
  <si>
    <t>Cây tre Đường kính thân &gt;= 10 cm (442)</t>
  </si>
  <si>
    <t>Cây tre Đường kính thân &gt;= 10 cm (100+60+31+6+150+80+15 cây)</t>
  </si>
  <si>
    <t>Cây nhãn trồng năm 2025 (6 cây)</t>
  </si>
  <si>
    <t>Cây mít trồng năm 2023 (3 cây)</t>
  </si>
  <si>
    <t>Cây bưởi trồng năm 2025 (3 cây)</t>
  </si>
  <si>
    <t>Cây bưởi trồng năm thứ 2023 (2 cây)</t>
  </si>
  <si>
    <t>Cây vải trồng năm thứ 2022 (1 cây)</t>
  </si>
  <si>
    <t>Cây táo trồng năm 2023 (1 cây)</t>
  </si>
  <si>
    <t>Cây trứng gà trồng năm 2023 (2 cây)</t>
  </si>
  <si>
    <t>Dong (6 m2)</t>
  </si>
  <si>
    <t>Cây tre Đường kính thân &gt;= 10 cm (160 cây)</t>
  </si>
  <si>
    <t>Rau ăn lá khác (30 m2)</t>
  </si>
  <si>
    <t>Cây nhãn trồng năm 2023 (5 cây)</t>
  </si>
  <si>
    <t>Thửa 445 tờ 2</t>
  </si>
  <si>
    <t>Cây xoài trồng năm 2025 (5 cây)</t>
  </si>
  <si>
    <t>Cây xoài trồng năm 2023 (10 cây)</t>
  </si>
  <si>
    <t>Cây nhót trồng năm 2022 (3 cây)</t>
  </si>
  <si>
    <t>Cây nhót trồng năm thứ 5 (3 cây)</t>
  </si>
  <si>
    <t>Cây sấu Đường kính thân &lt; 5 cm (3 cây)</t>
  </si>
  <si>
    <t>Cây ổi trồng năm 2025 (4 cây)</t>
  </si>
  <si>
    <t>Cây ổi trồng năm thứ 2 (4 cây)</t>
  </si>
  <si>
    <t>Cây ổi trồng năm 2023 (3 cây)</t>
  </si>
  <si>
    <t>Cây ổi trồng năm thứ 4 (3 cây)</t>
  </si>
  <si>
    <t>Cây chuối (60+20 cây)</t>
  </si>
  <si>
    <t>Cây mít trồng năm 2023 (6 cây)</t>
  </si>
  <si>
    <t>Cây mít trồng năm thứ 4 (6 cây)</t>
  </si>
  <si>
    <t>Rau ăn lá khác (80 m2)</t>
  </si>
  <si>
    <t>Cây mắc ca trồng năm 2023 (11 cây)</t>
  </si>
  <si>
    <t>Cây mắc ca trồng năm thứ 4 (11 cây)</t>
  </si>
  <si>
    <t>Cây tre Đường kính thân &gt;= 10 cm (252 cây)</t>
  </si>
  <si>
    <t>Cây tre lấy măng, Từ  &gt; 5 cây/khóm (10 khóm)</t>
  </si>
  <si>
    <t>Cây gỗ (nhóm IV) D Đường kính thân 7 đến &lt; 10 cm(20+2 cây)</t>
  </si>
  <si>
    <t>Cây gỗ (nhóm IV) 10 đến &lt; 20 cm (20+5 cây)</t>
  </si>
  <si>
    <t>Cây gỗ (nhóm IV) Đường kính thân &gt;= 20 cm (10+5 cây)</t>
  </si>
  <si>
    <t xml:space="preserve">Bồi thường về cây trồng, vật nuôi: </t>
  </si>
  <si>
    <t>Gỗ nhóm lV đến nhóm VIII. Đường kính thân từ 10 đến &lt; 20 cm (2 cây)</t>
  </si>
  <si>
    <t>Gỗ nhóm lV đến nhóm VIII. Đường kính thân từ 7 đến &lt; 10 cm (10 cây)</t>
  </si>
  <si>
    <t>Cây mận trồng năm 2024 3 (cây)</t>
  </si>
  <si>
    <t>Cây chè trồng năm 2024</t>
  </si>
  <si>
    <t>Cây cà phê trồng năm 2023 (1 cây)</t>
  </si>
  <si>
    <t>Cây cà phê trồng năm thứ 4 (1 cây)</t>
  </si>
  <si>
    <t>Cây chuối (137 cây)</t>
  </si>
  <si>
    <t>Cây mít trồng  2017 (1 cây)</t>
  </si>
  <si>
    <t>Rau ăn lá khác KT:15x10 m</t>
  </si>
  <si>
    <t>Gia công lắp đặt sàn bằng kết cấu tre trên nền đất KT: 6x4</t>
  </si>
  <si>
    <r>
      <t>m</t>
    </r>
    <r>
      <rPr>
        <vertAlign val="superscript"/>
        <sz val="11"/>
        <rFont val="Times New Roman"/>
        <family val="1"/>
      </rPr>
      <t>2</t>
    </r>
  </si>
  <si>
    <t>Lường Văn Quý vợ Quàng Thị Minh (và đồng thừa kế theo quy định của pháp luật)</t>
  </si>
  <si>
    <t>Căn cứ pháp lý</t>
  </si>
  <si>
    <t xml:space="preserve"> Bể nước xây tường 11cm không có nắp: cao 0,7x0,5x1,3</t>
  </si>
  <si>
    <t xml:space="preserve"> Bể nước xây tường 11cm không có nắp KT: 1,1x1,1x1</t>
  </si>
  <si>
    <t>Điều 96,  Luật Đất đai 2024; Điều 5, 12 Nghị định 88/2024/NĐ-CP  ngày 15/7/2024; Văn bản số 4355/UBND-KT ngày 28/5/2026 của UBND tỉnh Điện Biên</t>
  </si>
  <si>
    <t>Điều 96,  Luật Đất đai 2024; Điều 5 Nghị định số 88/2024/NĐ-CP ngày 15/7/2024 của Chính phủ.  Nghĩa vụ tài chính được miễm theo Công văn số 764/CV-TCS3 ngày 12/7/2026 của Thuế  cơ sở 3</t>
  </si>
  <si>
    <t xml:space="preserve">Đất đã được cấp giấy CNQSDĐ cho ông Lường Văn Huấn (đã chết năm 2021) sốphát hành E 0347485, số vào sổ cấp giấy 00482 do UBND huyện Tuần Giáo cấp tháng 10/1995, cho con Lường Văn Quý năm 2002 (chưa thực hiện chỉnh lý giấy CNQSDĐ). thửa đất thu hồi thuộc thửa đất số 437 Tờ bản đồ số 5, diện tích cấp giấy chứng nhận QSD đất (180,0m2), mục đích sử dụng đất 2L (đất chuyên trồng lúa nước). Diện tích chênh lệch hiện trạng sử dụng so với GCNQSD đất đã cấp  (giảm 60,3m2  do đất giáp suối bị sạt lở) Hiện trạng sử dụng vào mục đích đất chuyên trồng lúa nước, sử dụng ổn định, liên tục, không tranh chấp. </t>
  </si>
  <si>
    <t xml:space="preserve">Đất đã được cấp giấy CNQSDĐ cho ông Lường Văn Huấn (đã chết năm 2021) số phát hành E 0347485, số vào sổ cấp giấy 00482 do UBND huyện Tuần Giáo cấp tháng 10/1995, cho con Lường Văn Quý năm 2002 (chưa thực hiện chỉnh lý giấy CNQSDĐ). thửa đất thu hồi thuộc thửa đất số 455a, 455b Tờ bản đồ số 5, diện tích cấp giấy chứng nhận QSD đất (312,0m2), mục đích sử dụng đất 2L (đất chuyên trồng lúa nước). Diện tích chênh lệch hiện trạng sử dụng so với GCNQSD đất đã cấp (giảm 56,3m2) sai số do đạc khi cấp giấy chứng nhận quyền sử dụng đất. Hiện trạng sử dụng vào mục đích đất chuyên trồng lúa nước, sử dụng ổn định, liên tục, không tranh chấp. </t>
  </si>
  <si>
    <t>Chênh lệch giữa nền lát gạch ceramic và nền láng xi măng. KT: 13,5x10</t>
  </si>
  <si>
    <t>Kè xếp đá khan: 0,3x1,2x25 (cuội suối)</t>
  </si>
  <si>
    <t>Cánh cổng thép hộp mạ kẽm: 2x2,3</t>
  </si>
  <si>
    <t>Giảm trừ không cửa: 1,3 x 2,0</t>
  </si>
  <si>
    <t>Tường rào lưới thép B40, cọc gỗ (cao 1,8m): 20</t>
  </si>
  <si>
    <t>Nhà sàn cột kê khung cột gỗ D200, gỗ nhóm IV, nền đất, tầng 1 không xây tường, lát sàn trên bằng gỗ, xà gồ vì kèo bằng gỗ lợp Prôximăng, lan can innox, hệ thống điện hoàn chỉnh: 13,3x9,4</t>
  </si>
  <si>
    <t>50XVII-DT</t>
  </si>
  <si>
    <t>Kè xếp đá khan: 90 x 1,2 x 0,3m (cuội suối)</t>
  </si>
  <si>
    <t>Kè xếp đá khan: (4,0+4,3)x2x0,3 (cuội suối)</t>
  </si>
  <si>
    <t>Bể nước xây tường 110mm, không có nắp KT: 1,55x1,75x0,8 cao + 1,2x1,2x1,2 cao</t>
  </si>
  <si>
    <t>Kè xếp đá khan. KT: 0,5x1,2x15 m (cuội suối)</t>
  </si>
  <si>
    <t>Kè xếp đá khan. KT: 0,5x1,2x12 m (cuội suối)</t>
  </si>
  <si>
    <t>Kè xếp đá khan. KT:  0,5x1,2x6 m (cuội suối)</t>
  </si>
  <si>
    <t>Kè xếp đá khan. KT: 0,5x1,2x8 m (cuội suối)</t>
  </si>
  <si>
    <t>Kè xếp đá khan. KT: 0,5x1,2x5 m (cuội suối)</t>
  </si>
  <si>
    <t>Kè xếp đá khan. KT: 0,5x1,2x11 m (cuội suối)</t>
  </si>
  <si>
    <t>Kè xếp đá khan. KT: 0,5x1,2x14 m (cuội suối)</t>
  </si>
  <si>
    <t>Kè xếp đá khan. KT: 0,5x1,1x47 m (cuội suối)</t>
  </si>
  <si>
    <t>Giảm trừ tầng 1 không xây tường 220mm: 38m cao 1,5m</t>
  </si>
  <si>
    <t>Tường xây gạch Block tường 110mm không trát áo: 38m cao 1,5m</t>
  </si>
  <si>
    <t>Tường xây gạch Block tường 110mm s:(7,3 + 10,6) x 2 cao 2,2m</t>
  </si>
  <si>
    <t xml:space="preserve">Chênh lệch giữa nền lát gạch ceramic và nền gạch vỡ láng xi măng: </t>
  </si>
  <si>
    <t>Kè xếp đá khan. KT: 0,5x1,2x140 m (cuội suối)</t>
  </si>
  <si>
    <t>Nhà sàn cột kê khung cột gỗ tròn D200, nền láng xi măng, tầng 1 xây 110mm, không chát áo, lát sàn trên bằng gỗ, thưng gỗ, lập fibroxi măng, lan can gỗ, cửa đi gỗ, hệ thống điện hoàn chỉnh. KT: (12,2x13,1) + (8,7x2,9)</t>
  </si>
  <si>
    <t>Tường rào 1 xây gạch block dày 110mm, không trát. KT: 36m cao 2m</t>
  </si>
  <si>
    <t>Cây Mướp. KT: (4x10) m</t>
  </si>
  <si>
    <t>Giảm trừ sơn 2 mặt</t>
  </si>
  <si>
    <t>Giảm trừ tầng 1 không xây tường 220mm: (9,6+8,9)x2x2,2 cao</t>
  </si>
  <si>
    <t>Giảm trừ tầng 1 không xây tường 220mm: (2,9 + 6,2 + 2,9) x 2,2 cao</t>
  </si>
  <si>
    <t>Tường xây gạch Block 11cm: 5,5x1,2</t>
  </si>
  <si>
    <t>Kè đá xếp khan: dài 32m (cuội suối)</t>
  </si>
  <si>
    <t>Chênh lệch giữa lợp ngói và lượp Proximăng</t>
  </si>
  <si>
    <t>Tường xây gạch Block dày 110mm không trát áo: 15,7x1,5m</t>
  </si>
  <si>
    <t>Tường xây gạch Block dày 110mm không trát áo: 9,8x0,6m</t>
  </si>
  <si>
    <t>Kè xây bằng đá dài 11,5m, dày 0,55, cao 1,2 (cuội suối)</t>
  </si>
  <si>
    <t>Kè xếp đá khan dài 50m, cao 0,8m, dày 0,3m (cuội suối)</t>
  </si>
  <si>
    <t>Chênh lệch giữa mái lợp ngói và mái lợp Prôximăng</t>
  </si>
  <si>
    <t>Nhà sàn cột kê khung cột gỗ tròn D250, nền bê tông tầng 1 không xây tường 220, lợp Prôximăng, lát sàn trên bằng gỗ, 1 phần bằng tre, hệ thống điện hoàn chỉnh: 9,4x10,4</t>
  </si>
  <si>
    <t>Chênh lệch giữa mái lợp Prôximăng và mái lợp ngói</t>
  </si>
  <si>
    <t>Nhà sàn cột kê, khung cột gỗ tròn D300, gỗ nhóm IV, nền láng xi măng, không xây tường, lát sàn trên bằng gỗ, thưng gỗ, mái xà gồ gỗ, cầu phong li tô gỗ lợp Fibroxi măng, cầu thang gỗ, lan can gỗ, hệ thống điện hoàn chỉnh: (8,8x11,3)m+(9,4x2,0)m+(4,2x9,5)m</t>
  </si>
  <si>
    <t>Phần đổ BTCT: 0,22x0,22x2 cao, 2 trụ</t>
  </si>
  <si>
    <t>Phần xây gạch:0,18x0,18x 2 x 2 trụ</t>
  </si>
  <si>
    <t>Nhà 1 tầng không có hiên tây, tường 11cm, hai đầu hồi 11cm, không lu sơn, xà gồ, vì kèo thép hộp, lợp tôn xốp, không trần nhựa, nền gạch vỡ láng xi măng, cửa đi bằng pano kính, hệ thống điện hoàn chỉnh, thiết bị nhà tắm, vệ sinh khép kín chiều cao từ nền đến trần 3,7m: 5,7x11,8</t>
  </si>
  <si>
    <t>Tường rào lưới thép B40, cọc sắt: (cao1,2m), KT: 128m</t>
  </si>
  <si>
    <t xml:space="preserve"> Hỗ trợ giá trị chênh lệch đơn giá bồi thường loại đất theo hiện trạng sử dụng đất (NTS) và loại đất theo giấy chứng nhận QSD đất đã cấp đất trồng lúa còn lại  (LUK) </t>
  </si>
  <si>
    <t>Chênh lệch gia công lắp dựng cánh cửa sổ kính khung gỗ và cửa sổ bằng thép hộp kính: 0,55x1,3x30 cái</t>
  </si>
  <si>
    <t>76-84</t>
  </si>
  <si>
    <t>Chênh lệch giữa lợp tôn xốp lạnh và lợp ngói</t>
  </si>
  <si>
    <t xml:space="preserve"> Nhà sàn cột kê khung cột gỗ tròn D220, gỗ nhóm IV, nền láng xi măng, tầng 1 xây tường 110mm 2 mặt, không trát, thưng gỗ, 1 phần thưng bằng cánh cửa sổ khung thép kính, lát sàn trên bằng gỗ, mái xà gồ gỗ, lợp tôn lạnh, cầu thang gỗ 2 bên, hệ thống điện hoàn chỉnh: 13,5x10</t>
  </si>
  <si>
    <r>
      <t>m</t>
    </r>
    <r>
      <rPr>
        <vertAlign val="superscript"/>
        <sz val="12"/>
        <color theme="1"/>
        <rFont val="Times New Roman"/>
        <family val="1"/>
      </rPr>
      <t>2</t>
    </r>
  </si>
  <si>
    <t>Bán mái, kết cấu khung cột thép, xà gồ, vì kèo thép hộp, mái tôn, tường xây gạch 110mm cao 1,3m, lu sơn trên kết hợp lưới thép B40, cửa sắt xếp, nền bê tông, hệ thống điện hoàn chỉnh. 13,5x4,5m</t>
  </si>
  <si>
    <t xml:space="preserve"> Nhà tắm, nhà vệ sinh (không có bể phốt), móng xây gạch, giằng BTCT, tường xây 110mm, ốp gạch Ceramic, nền lát gạch Ceramic, mái đổ BTCT, cửa đi bằng gỗ: 3,5x2,2</t>
  </si>
  <si>
    <t>Chuồng lợn: móng xây gạch, tường xây 110mm, quét vôi ve; nền láng xi măng; cột, kèo tre, lợp fibrôxi măng; cửa thép hộp, thưng tôn. 3,3x6 + 6x4</t>
  </si>
  <si>
    <t>Giảm trừ không trát áo tường</t>
  </si>
  <si>
    <t>Kè xếp đá khan (cuội suối) KT: 20,5 m x 0,45 x 1,5m</t>
  </si>
  <si>
    <t>89.II</t>
  </si>
  <si>
    <t xml:space="preserve">Lán trông ao cá cột gỗ; thưng gỗ; xà gồ, vì kèo gỗ, mái lợp fibrôximăng, nền đất; hệ thống điện hoàn chỉnh. KT: 3x4m </t>
  </si>
  <si>
    <t>Gia công mái lợp Prôximăng: 3 x 4m</t>
  </si>
  <si>
    <t>Giảm trừ vách thưng gép tre: 26,5 x 1,5m</t>
  </si>
  <si>
    <t>Chuồng trâu, bò khung cột gỗ, vì kèo gỗ, xà gồ bằng tre, nền bê tông, mái lợp fibrô xi măng KT: 8,0x5,0m</t>
  </si>
  <si>
    <t>415, 189, 223</t>
  </si>
  <si>
    <t>383, 18, 23, 44, 47, 48, 49, 55, 68, 251, 271, 273, 305</t>
  </si>
  <si>
    <t>414, 307, 338, 453, 274, 284, 335, 337, 339, 345, 353, 360, 363, 369, 424, 334, 464. 479, 292, 69, 493</t>
  </si>
  <si>
    <t>380, 158, 377</t>
  </si>
  <si>
    <t>448, 206, 194, 288, 456, 237, 265, 297, 324, 386, 395, 428, 431, 436, 470, 374, 378</t>
  </si>
  <si>
    <t>370, 236, 239, 315, 335, 5, 21, 22, 28, 35, 43, 57, 63, 71, 96, 114, 117, 120, 163, 170, 177, 193, 197, 207, 212, 231, 238, 261, 293, 298, 334, 475, 479, 482, 344, 414, 494,  498, 488</t>
  </si>
  <si>
    <t xml:space="preserve">425, 482, 483, 173, 184, 282, </t>
  </si>
  <si>
    <t>355, 321, 339, 202, 295, 411, 416, 344, 359</t>
  </si>
  <si>
    <t>442, 270, 180, 228, 342, 83, 326, 235, 382, 139, 151, 160, 161, 265, 271, 484, 511, 110, 132, 147, 435</t>
  </si>
  <si>
    <t>Thửa đất số</t>
  </si>
  <si>
    <t>460, 228, 247, 261, 444, 454, 485, 346</t>
  </si>
  <si>
    <t>487, 366, 377, 378, 381, 491</t>
  </si>
  <si>
    <t>472, 182, 200, 210, 213, 276, 403, 413, 420, 439</t>
  </si>
  <si>
    <t>Đất trồng lúa   còn lại (LUK)</t>
  </si>
  <si>
    <t xml:space="preserve"> PU xà: (0,48x10)x3 +13 xà</t>
  </si>
  <si>
    <t>Lò Thị Inh</t>
  </si>
  <si>
    <t>Số định danh cá nhân: 011170001203</t>
  </si>
  <si>
    <t xml:space="preserve">Số điện thoại:  </t>
  </si>
  <si>
    <t xml:space="preserve">Đất do bố Lò Văn Khún tự khai hoang năm 1986 để ở và trồng cây lâu năm, tặng cho con là Lò Thị Inh năm 1995 ở và trồng cây lâu năm, (làm nhà mới năm 2020), đất sử dụng ổn định, liên tục, không tranh chấp. Đất chưa được cấp giấy chứng nhận quyền sử dụng đất </t>
  </si>
  <si>
    <t>Điều 96, Luật Đất đai 2024; Điều 5 nghị định số 88/2024/NĐ-CP ngày 15/7/2024 của Chính phủ; Văn bản số 4355/UBND-KT ngày 28/5/2026 của UBND tỉnh Điện Biên</t>
  </si>
  <si>
    <t>125</t>
  </si>
  <si>
    <t>Đất đã được cấp GCNQSD cho ông Lò Văn Khún (đã chết năm 2020) sốphát hành: E0347467, cấp tháng 10/1995 do UBND huyện Tuần Giáo cấp. Tặng cho con là  Lò Thị Inh năm 1999 (chưa thực hiện chỉnh lý giấy CNQSDĐ). Thửa đất thu hồi thuộc thửa đất số 371 Tờ bản đồ số 5 diện tích cấp GCNQSD đất (234,0m2), mục đích sử dụng đất Mạ. Diện tích chênh lệch hiện trạng sử dụng so với GCNQSD đất đã cấp (tăng 11,3m2) sai số do đạc khi cấp giấy chứng nhận quyền sử dụng đất. Hiện trạng sử dụng đất vào vào mục đích đất chuyên trồng lúa nước, đất sử dụng ổn định, liên tục, không tranh chấp</t>
  </si>
  <si>
    <t>443</t>
  </si>
  <si>
    <t xml:space="preserve">Đất do bố Lò Văn Khún tự khai hoang năm 1986, để sử dụng vào mục đích trồng cây hàng năm khác, tặng cho con là Lò Thị Inh năm 1995, sử dụng vào mục đích trồng cây hàng năm khác, đến năm 2019 xây dựng nhà quán để kinh doanh bán tạ p hóa đất sử dụng ổn định, liên tục, không tranh chấp. Đất chưa được cấp giấy chứng nhận quyền sử dụng đất </t>
  </si>
  <si>
    <t>Điều 96, Luật Đất đai 2024; Điều 5 nghị định số 88/2024/NĐ-CP ngày 15/7/2024 của Chính phủ;  Văn bản số 4355/UBND-KT ngày 28/5/2026 của UBND tỉnh Điện Biên</t>
  </si>
  <si>
    <t xml:space="preserve">Đất do bố Lò Văn Khún tự khai hoang năm 1986, để sử dụng vào mục đích trồng cây lâu năm, cho tặng con là Lò Thị Inh năm 1995, sử dụng vào mục đích trồng cây lâu năm, đất sử dụng ổn định, liên tục, không tranh chấp. Đất chưa được cấp giấy chứng nhận quyền sử dụng đất </t>
  </si>
  <si>
    <t>196</t>
  </si>
  <si>
    <t>Đất đã được cấp GCNQSD cho ông Lò Văn Khún (đã chết năm 2020) sốphát hành: E0347467, cấp tháng 10/1995 do UBND huyện Tuần Giáo cấp. Tặng cho con là  Lò Thị Inh năm 1999 (chưa thực hiện chỉnh lý giấy CNQSDĐ). Thửa đất thu hồi thuộc thửa đất số 433 Tờ bản đồ số 5 diện tích cấp GCNQSD đất (260,0m2), mục đích sử dụng đất 2L (đất chuyên trồng lúa nước). Diện tích chênh lệch hiện trạng sử dụng so với GCNQSD đất đã cấp (giảm 24,1m2) sai số đo đạc khi cấp giấy chứng nhận quyền sử dụng đất. Hiện trạng sử dụng đất vào mục đích đất chuyên trồng lúa nước, đất sử dụng ổn định, liên tục, không tranh chấp</t>
  </si>
  <si>
    <t xml:space="preserve">Bồi thường về tài sản, VKT: </t>
  </si>
  <si>
    <t xml:space="preserve"> Đất trồng cây lâu năm (CLN)</t>
  </si>
  <si>
    <t>Lường Hoàng Ngân</t>
  </si>
  <si>
    <t>Số định danh cá nhân: 011031001826</t>
  </si>
  <si>
    <t>109</t>
  </si>
  <si>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107 Tờ bản đồ số 5 diện tích cấp GCNQSD đất (876,0m2), mục đích sử dụng đất 2L  (đất chuyên trồng lúa nước). Diện tích chênh lệch hiện trạng sử dụng so với GCNQSD đất đã cấp (tăng 52,3m2) sai số do đạc khi cấp giấy chứng nhận quyền sử dụng đất. Hiện trạng sử dụng đất vào mục đích đất chuyên trồng lúa nước, đất sử dụng ổn định, liên tục, không tranh chấp</t>
  </si>
  <si>
    <t>135</t>
  </si>
  <si>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177, 179, 178 Tờ bản đồ số 5 diện tích cấp GCNQSD đất (152,0m2), mục đích sử dụng đất 2L  (đất chuyên trồng lúa nước). Diện tích chênh lệch hiện trạng sử dụng so với GCNQSD đất đã cấp (tăng 115,1m2) sai số do đạc khi cấp giấy chứng nhận quyền sử dụng đất. Hiện trạng sử dụng đất vào mục đích đất chuyên trồng lúa nước, đất sử dụng ổn định, liên tục, không tranh chấp</t>
  </si>
  <si>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750 Tờ bản đồ số 5 diện tích cấp GCNQSD đất (620,0m2), mục đích sử dụng đất 1L (đất trồng lúa còn lại). Diện tích chênh lệch hiện trạng sử dụng so với GCNQSD đất đã cấp (tăng 85,8m2) sai số do đạc khi cấp giấy chứng nhận quyền sử dụng đất. Hiện trạng sử dụng đất vào mục đích đất trồng lúa còn lại, đất sử dụng ổn định, liên tục, không tranh chấp</t>
  </si>
  <si>
    <t>442</t>
  </si>
  <si>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751 Tờ bản đồ số 5 diện tích cấp GCNQSD đất (590,0m2), mục đích sử dụng đất 1L (đất trồng lúa còn lại). Diện tích chênh lệch hiện trạng sử dụng so với GCNQSD đất đã cấp (giảm 25,1m2) sai số do đạc khi cấp giấy chứng nhận quyền sử dụng đất. Hiện trạng sử dụng đất vào mục đích đất trồng lúa còn lại, đất sử dụng ổn định, liên tục, không tranh chấp</t>
  </si>
  <si>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574 Tờ bản đồ số 5 diện tích cấp GCNQSD đất (212,0m2), mục đích sử dụng đất 1L (đất trồng lúa còn lại). Diện tích chênh lệch hiện trạng sử dụng so với GCNQSD đất đã cấp (tăng 18,5m2) sai số do đạc khi cấp giấy chứng nhận quyền sử dụng đất. Hiện trạng sử dụng đất vào mục đích đất trồng cây hàng năm khác, đất sử dụng ổn định, liên tục, không tranh chấp</t>
  </si>
  <si>
    <t>65</t>
  </si>
  <si>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77 Tờ bản đồ số 5 diện tích cấp GCNQSD đất (204,0m2), mục đích sử dụng đất 1L (đất trồng lúa còn lại). Diện tích chênh lệch hiện trạng sử dụng so với GCNQSD đất đã cấp (giảm 69,3m2) do sai số đo đạc khi cấp giấy chứng nhận quyền sử dụng đất. Hiện trạng sử dụng đất vào vào mục đích đất trồng lúa nước còn lại, đất sử dụng ổn định, liên tục, không tranh chấp</t>
  </si>
  <si>
    <t>433</t>
  </si>
  <si>
    <r>
      <t>m</t>
    </r>
    <r>
      <rPr>
        <vertAlign val="superscript"/>
        <sz val="14"/>
        <color theme="1"/>
        <rFont val="Times New Roman"/>
        <family val="1"/>
      </rPr>
      <t>2</t>
    </r>
  </si>
  <si>
    <t>Nhận thừa kế quyền sử dụng đất từ ông Lường Văn Toàn (đã chết) (ông Lường Văn Toàn đã được cấp GCNQSD đất có số vào sổ cấp giấy CNQSDĐ số vào sổ cấp giấy 00059 do UBND huyện Tuần Giáo cấp tháng 10/1995. Đến năm 2020 con trai Lường Hoàng Ngân nhận thừa kế quyền sử dụng đất được Văn Phòng đăng ký QSD đất huyện Tuần Giáo xác nhận vào trang 4 của giấy GCNQSD đất đã cấp. Thửa đất thu hồi thuộc thửa đất số 728 Tờ bản đồ số 5 diện tích cấp GCNQSD đất (164,0m2), mục đích sử dụng đất 1L (đất trồng lúa còn lại). Diện tích chênh lệch hiện trạng sử dụng so với GCNQSD đất đã cấp (tăng 42,6m2) do sai số đo đạc khi cấp giấy chứng nhận quyền sử dụng đất. Hiện trạng sử dụng đất vào vào mục đích đất trồng lúa nước còn lại, đất sử dụng ổn định, liên tục, không tranh chấp</t>
  </si>
  <si>
    <t>246</t>
  </si>
  <si>
    <t>Nhận thừa kế quyền sử dụng đất từ ông Lường Văn Toàn (đã chết) (ông Lường Văn Toàn đã được cấp GCNQSD đất có số vào sổ cấp giấy CNQSDĐ số vào sổ cấp giấy 00059 do UBND huyện Tuần Giáo cấp tháng 10/1995, mục đích sử dụng trong giấy CNQSDĐ mạ. Đến năm 2020 con trai Lường Hoàng Ngân nhận thừa kế quyền sử dụng đất được Văn Phòng đăng ký QSD đất huyện Tuần Giáo xác nhận vào trang 4 của giấy GCNQSD đất đã cấp. Thửa đất thu hồi thuộc thửa đất số 495,503 tờ bản đồ số 5 diện tích cấp GCNQSD đất (252,0m2), mục đích sử dụng đất mạ. Diện tích chênh lệch hiện trạng sử dụng so với GCNQSD đất đã cấp (giảm 47,6m2) do sai số đo đạc khi cấp giấy chứng nhận quyền sử dụng đất. Hiện trạng sử dụng đất vào vào mục đích nuôi trồng thủy sản, đất sử dụng ổn định, liên tục, không tranh chấp</t>
  </si>
  <si>
    <t>Khoản 5 điều 2 Nghị định 226/2025/NĐ-CPngày 15/8/2025 của Chính phủ; Điều 14 Quyết định số 40/2026/QĐ-UBND ngày 10/6/2026.</t>
  </si>
  <si>
    <t xml:space="preserve">Hỗ trợ khác </t>
  </si>
  <si>
    <t>Hỗ trợ chênh lệch giá trị đào tạo, chuyển đổi nghề và tìm kiếm việc làm giữa đất trồng cây hàng năm khác (HNK) và  theo hiện trạng đất trồng lúa còn lại (LUK) theo giấy chứng nhận QSD đất đã cấp.</t>
  </si>
  <si>
    <t>Theo Quyết định số 417/QĐ-UBND ngày 17/7/2026 của UBND xã Tuần Giáo</t>
  </si>
  <si>
    <t>Lò Văn Toàn</t>
  </si>
  <si>
    <t>Số định danh cá nhân: 011092001978</t>
  </si>
  <si>
    <r>
      <t>m</t>
    </r>
    <r>
      <rPr>
        <b/>
        <vertAlign val="superscript"/>
        <sz val="14"/>
        <color theme="1"/>
        <rFont val="Times New Roman"/>
        <family val="1"/>
      </rPr>
      <t>2</t>
    </r>
  </si>
  <si>
    <t xml:space="preserve">Đất bố Lò Văn Xiên khai hoang năm 1995 sử dụng vào mục đích nuôi trồng thủy sản. Cho con Lò Văn Toàn năm 2012 sử dụng nuôi trồng thủy sản, đất sử dụng ổn định, liên tục, không tranh chấp. Đất chưa được cấp giấy chứng nhận quyền sử dụng đất. </t>
  </si>
  <si>
    <t>Đất bố Lò Văn Xiên khai hoang năm 1995 sử dụng vào mục đích trồng cây hàng năm khác và lán trại trông ao. Cho con Lò Văn Toàn năm 2012 sử dụng trồng cây hàng năm khác và lán trại trông ao, đất sử dụng ổn định, liên tục, không tranh chấp. Đất chưa được cấp giấy chứng nhận quyền sử dụng đất.</t>
  </si>
  <si>
    <t>Tòng Văn Đông</t>
  </si>
  <si>
    <t>Số định danh cá nhân:  011086005781</t>
  </si>
  <si>
    <t>Nhận thừa kế quyền sử dụng đất từ ông Tòng Văn Tính (đã chết) (ông Tòng Văn Tính đã được cấp GCNQSD đất có số vào sổ cấp giấy CNQSDĐ sốphát hành E 0347480, số vào sổ cấp giấy 00466 do UBND huyện Tuần Giáo cấp tháng 10/1995), Đến năm 2018 cháu trai Tòng Văn Đông nhận thừa kế quyền sử dụng đất được Văn Phòng đăng ký QSD đất huyện Tuần Giáo xác nhận vào trang 4 của giấy  GCNQSD đất đã cấp. Thửa đất thu hồi thuộc thửa đất số 382 Tờ bản đồ số 5, diện tích cấp GCNQSD đất (330,0m2), mục đích sử dụng đất 1L  (đất trồng lúa còn lại). Diện tích chênh lệch hiện trạng sử dụng so với GCNQSD đất đã cấp (tăng 23,3m2) sai số do đạc khi cấp giấy chứng nhận quyền sử dụng đất. Hiện trạng sử dụng đất vào mục đích đất chuyên trồng lúa nước, đất sử dụng ổn định, liên tục, không tranh chấp</t>
  </si>
  <si>
    <t>11</t>
  </si>
  <si>
    <t xml:space="preserve">Đất ông bà Tòng Văn Tính, Lường Thị Hịa tự khai hoang từ năm 1990 để sử dụng vào mục đích trồng cây hàng năm khác, cho cháu Tòng Văn Đông năm 2007 sử dụng vào mục đích trồng cây hàng năm khác, đất sử dụng ổn định, liên tục, không tranh chấp. Đất chưa được cấp giấy chứng nhận quyền sử dụng đất </t>
  </si>
  <si>
    <t>Điều 96, Luật Đất đai 2024; Điều 5 nghị định số 88/2024/NĐ-CP ngày 15/7/2024 của Chính phủ.</t>
  </si>
  <si>
    <t>365</t>
  </si>
  <si>
    <t xml:space="preserve">Đất ông bà Tòng Văn Tính, Lường Thị Hịa tự khai hoang từ năm 1990 để sử dụng vào mục đích nuôi trồng thủy sản, cho cháu Tòng Văn Đông năm 2007 sử dụng đất nuôi trồng thủy sản, đất sử dụng ổn định, liên tục, không tranh chấp. Đất chưa được cấp giấy chứng nhận quyền sử dụng đất </t>
  </si>
  <si>
    <t>257</t>
  </si>
  <si>
    <t>Nhận thừa kế quyền sử dụng đất từ ông Tòng Văn Tính (đã chết năm 2007) (ông Tòng Văn Tính đã được cấp GCNQSD đất sốphát hành E 0347480, số vào sổ cấp giấy 00466 do UBND huyện Tuần Giáo cấp tháng 10/1995, năm 2018 cháu trai Tòng Văn Đông nhận thừa kế quyền sử dụng đất được Văn Phòng đăng ký QSD đất huyện Tuần Giáo xác nhận vào trang 4 của giấy  GCNQSD đất đã cấp. Thửa đất thu hồi thuộc thửa đất số 477 Tờ bản đồ số 5, diện tích cấp GCNQSD đất 628,0m2, mục đích sử dụng đất 2 L (đất chuyên trồng lúa nước). Diện tích chênh lệch hiện trạng sử dụng so với GCNQSD đất đã cấp (91,9m2) sai số do đạc khi cấp giấy chứng nhận quyền sử dụng đất. Hiện trạng sử dụng đất vào mục đích đất chuyên trồng lúa nước, đất sử dụng ổn định, liên tục, không tranh chấp</t>
  </si>
  <si>
    <t>356</t>
  </si>
  <si>
    <t xml:space="preserve">  Nhận thừa kế quyền sử dụng đất từ ông Tòng Văn Tính (đã chết năm 2007) (ông Tòng Văn Tính đã được cấp GCNQSD đất sốphát hành E 0347480, số vào sổ cấp giấy 00466 do UBND huyện Tuần Giáo cấp tháng 10/1995, năm 2018 cháu trai Tòng Văn Đông nhận thừa kế quyền sử dụng đất được Văn Phòng đăng ký QSD đất huyện Tuần Giáo xác nhận vào trang 4 của giấy  GCNQSD đất đã cấp. Thửa đất thu hồi thuộc thửa đất số 519 Tờ bản đồ số 5, diện tích cấp GCNQSD đất 172,0m2, mục đích sử dụng đất Mạ. Diện tích chênh lệch hiện trạng sử dụng so với GCNQSD đất đã cấp (51,2m2) sai số do đạc khi cấp giấy chứng nhận quyền sử dụng đất. Hiện trạng sử dụng đất vào mục đích đất nuôi trồng thủy sản, đất sử dụng ổn định, liên tục, không tranh chấp</t>
  </si>
  <si>
    <t xml:space="preserve">     </t>
  </si>
  <si>
    <t xml:space="preserve"> Hỗ trợ giá trị chênh lệch đơn giá bồi thường loại đất theo hiện trạng sử dụng đất chuyên trông lúa nước  (LUC)  và  loại đất theo giấy chứng nhận QSD đất đã cấp đất trồng lúa còn lại (LUK)</t>
  </si>
  <si>
    <t>Hỗ trợ chênh lệch giá trị đào tạo, chuyển đổi nghề và tìm kiếm việc làm giữa đất chuyên trông lúa nước (LUC) và  theo hiện trạng đất trồng lúa còn lại (LUK) theo giấy chứng nhận QSD đất đã cấp.</t>
  </si>
  <si>
    <t>441, 125, 443, 35, 196</t>
  </si>
  <si>
    <t>109, 135, 439, 442, 512, 65, 433, 246</t>
  </si>
  <si>
    <t>304, 499</t>
  </si>
  <si>
    <t>196, 11, 365, 257, 240, 356</t>
  </si>
  <si>
    <t>Cây gỗ nhóm IV đường kính thân &gt; 20 cm. (4 cây)</t>
  </si>
  <si>
    <t xml:space="preserve">Cây gỗ nhóm IV đường  kính thân &gt; 20 cm </t>
  </si>
  <si>
    <t>Cây gỗ (nhóm IV) Đường kính thân &gt; 20 cm (10+5 cây)</t>
  </si>
  <si>
    <r>
      <t xml:space="preserve">Nghĩa vụ tài chính </t>
    </r>
    <r>
      <rPr>
        <b/>
        <i/>
        <sz val="12"/>
        <color theme="1"/>
        <rFont val="Times New Roman"/>
        <family val="1"/>
      </rPr>
      <t>(nếu có)</t>
    </r>
  </si>
  <si>
    <r>
      <t>m</t>
    </r>
    <r>
      <rPr>
        <b/>
        <vertAlign val="superscript"/>
        <sz val="11"/>
        <color theme="1"/>
        <rFont val="Times New Roman"/>
        <family val="1"/>
      </rPr>
      <t>2</t>
    </r>
  </si>
  <si>
    <r>
      <t>m</t>
    </r>
    <r>
      <rPr>
        <vertAlign val="superscript"/>
        <sz val="11"/>
        <color theme="1"/>
        <rFont val="Times New Roman"/>
        <family val="1"/>
      </rPr>
      <t>3</t>
    </r>
  </si>
  <si>
    <r>
      <t>m</t>
    </r>
    <r>
      <rPr>
        <vertAlign val="superscript"/>
        <sz val="11"/>
        <color rgb="FF000000"/>
        <rFont val="Times New Roman"/>
        <family val="1"/>
      </rPr>
      <t>2</t>
    </r>
  </si>
  <si>
    <r>
      <t xml:space="preserve">Hỗ trợ đào tạo, chuyển đổi nghề và tìm kiếm việc làm: </t>
    </r>
    <r>
      <rPr>
        <sz val="11"/>
        <color theme="1"/>
        <rFont val="Times New Roman"/>
        <family val="1"/>
      </rPr>
      <t>hộ gia đình không phải là hộ trực tiếp sản xuất nông nghiệ p theo Báo cáo số: 399/BC UBND ngày 03/7/2026 của UBND xã Tuần Giáo.</t>
    </r>
  </si>
  <si>
    <r>
      <t>m</t>
    </r>
    <r>
      <rPr>
        <vertAlign val="superscript"/>
        <sz val="12"/>
        <color theme="1"/>
        <rFont val="Times New Roman"/>
        <family val="1"/>
      </rPr>
      <t>3</t>
    </r>
  </si>
  <si>
    <t>Khoản 1  Điều 10 Quyết định số 40/2026/QĐ-UBND ngày 10/6/2026.</t>
  </si>
  <si>
    <t>Quyết định số 06/QĐ-UBND ngày 26/02/2025 của UBND tỉnh Điện Biên</t>
  </si>
  <si>
    <t xml:space="preserve">Quyết định số 06/2025/QĐ-UBND ngày 26/02/2025 của UBND tỉnh Điện Biên </t>
  </si>
  <si>
    <t>Quyết định số 06/2025/QĐ-UBND ngày 26/02/2025 của UBND tỉnh Điện Biên</t>
  </si>
  <si>
    <t>Hộ gia đình di chuyển chỗ ở dưới  5km</t>
  </si>
  <si>
    <t>Cây ban đường kính thân từ 10 cm đến &lt; 20 cm</t>
  </si>
  <si>
    <t>Cây đinh lăng trồng năm  2025</t>
  </si>
  <si>
    <t>Cây mắc ca trồng năm 2025 (6 cây)</t>
  </si>
  <si>
    <t>Cây nhãn trồng năm2022 (3 cây)</t>
  </si>
  <si>
    <t>Cây thảo quả giai doạn thu hoạch, (5 khóm)</t>
  </si>
  <si>
    <t>Cây trắc, sưa (gỗ nhóm I đến nhóm III) Đường kính thân 7 đến &lt; 10 cm (3 cây)</t>
  </si>
  <si>
    <t>Cây trứng gà trồng năm  2023 (2 cây)</t>
  </si>
  <si>
    <t>Cây vải trồng năm 2021  (03 cây)</t>
  </si>
  <si>
    <t>Gỗ nhóm IV đến nhóm VIIIĐường kính thân 7 đến &lt; 10 cm (20 cây)</t>
  </si>
  <si>
    <t>Di chuyển chậu hoa, cây cảnh trồng dưới đất Cây có chiều cao &lt; 1 m, (15 chậu)</t>
  </si>
  <si>
    <t>Cây trám năm thứ 5 (đường kính thân từ 5 cm đến &lt; 8 cm) (2 cây)</t>
  </si>
  <si>
    <t>Cây trồng từ 3 năm đến dưới 4 năm (đường kính thân 5 &lt; 7 cm) (7 cây)</t>
  </si>
  <si>
    <t>Tường rào lưới thép B40, cọc gỗ (cao 1,8m); KT 11m</t>
  </si>
  <si>
    <t xml:space="preserve"> PU xà: 0,46x10x13xà</t>
  </si>
  <si>
    <t>Bể tự hoại độc lập: 1,5x1,5x1,5</t>
  </si>
  <si>
    <t>HƯƠNG ÁN KHÁI TOÁN BỒI THƯỜNG, HỖ TRỢ VÀ TÁI ĐỊNH CƯ CÔNG TRÌNH: HỒ BẢN PHỦ, THUỘC DỰ ÁN CỤM HỒ BẢN PHỦ - NẬM LÀ TỈNH ĐIỆN BIÊN (HẠNG MỤC HỒ CHỨA NƯỚC, ĐẬP ĐẦU MỐI, VÀ ĐƯỜNG GIAO THÔNG QUANH HỒ).</t>
  </si>
  <si>
    <t>(Kèm theo Văn bản số  797.  /TTPTQĐ-CNKV2  ngày 23 tháng  7  năm 2026 của Trung tâm Phát triển quỹ đất tỉnh Điện Biên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</si>
</sst>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_-* #,##0.00_-;\-* #,##0.00_-;_-* &quot;-&quot;??_-;_-@_-"/>
    <numFmt numFmtId="166" formatCode="_-* #,##0.0\ _₫_-;\-* #,##0.0\ _₫_-;_-* &quot;-&quot;??\ _₫_-;_-@"/>
    <numFmt numFmtId="167" formatCode="#,##0.0"/>
    <numFmt numFmtId="168" formatCode="#,##0.0\ _₫"/>
    <numFmt numFmtId="169" formatCode="0.0"/>
    <numFmt numFmtId="170" formatCode="_-* #,##0.00\ _₫_-;\-* #,##0.00\ _₫_-;_-* &quot;-&quot;??\ _₫_-;_-@"/>
    <numFmt numFmtId="171" formatCode="_(* #,##0_);_(* \(#,##0\);_(* &quot;-&quot;??_);_(@_)"/>
    <numFmt numFmtId="172" formatCode="_(* #,##0.0_);_(* \(#,##0.0\);_(* &quot;-&quot;??_);_(@_)"/>
    <numFmt numFmtId="173" formatCode="_-* #,##0\ _₫_-;\-* #,##0\ _₫_-;_-* &quot;-&quot;??\ _₫_-;_-@"/>
    <numFmt numFmtId="174" formatCode="_-* #,##0.000\ _₫_-;\-* #,##0.000\ _₫_-;_-* &quot;-&quot;??\ _₫_-;_-@"/>
    <numFmt numFmtId="175" formatCode="_-* #,##0.0\ _₫_-;\-* #,##0.0\ _₫_-;_-* &quot;-&quot;??.0\ _₫_-;_-@"/>
    <numFmt numFmtId="176" formatCode="#,##0.0;\(#,##0.0\)"/>
    <numFmt numFmtId="177" formatCode="#,##0;\(#,##0\)"/>
    <numFmt numFmtId="178" formatCode="_-* #,##0.0_-;\-* #,##0.0_-;_-* &quot;-&quot;??_-;_-@_-"/>
    <numFmt numFmtId="179" formatCode="_-* #,##0_-;\-* #,##0_-;_-* &quot;-&quot;??_-;_-@_-"/>
    <numFmt numFmtId="180" formatCode="#,##0\ _₫"/>
    <numFmt numFmtId="181" formatCode="_(* #,##0.0_);_(* \(#,##0.0\);_(* &quot;-&quot;?_);_(@_)"/>
  </numFmts>
  <fonts count="77">
    <font>
      <sz val="12"/>
      <color rgb="FF000000"/>
      <name val="Times New Roman"/>
      <scheme val="minor"/>
    </font>
    <font>
      <sz val="14"/>
      <color rgb="FFFF0000"/>
      <name val="Times New Roman"/>
      <family val="1"/>
    </font>
    <font>
      <sz val="12"/>
      <color theme="1"/>
      <name val="Times New Roman"/>
      <family val="1"/>
    </font>
    <font>
      <sz val="13"/>
      <color theme="1"/>
      <name val="Times New Roman"/>
      <family val="1"/>
    </font>
    <font>
      <sz val="12"/>
      <color rgb="FFFF0000"/>
      <name val="Times New Roman"/>
      <family val="1"/>
    </font>
    <font>
      <b/>
      <sz val="14"/>
      <color theme="1"/>
      <name val="Times New Roman"/>
      <family val="1"/>
    </font>
    <font>
      <b/>
      <sz val="12"/>
      <color theme="1"/>
      <name val="Times New Roman"/>
      <family val="1"/>
    </font>
    <font>
      <b/>
      <sz val="13"/>
      <color theme="1"/>
      <name val="Times New Roman"/>
      <family val="1"/>
    </font>
    <font>
      <sz val="12"/>
      <name val="Times New Roman"/>
      <family val="1"/>
    </font>
    <font>
      <b/>
      <sz val="12"/>
      <color rgb="FFFF0000"/>
      <name val="Times New Roman"/>
      <family val="1"/>
    </font>
    <font>
      <b/>
      <i/>
      <sz val="12"/>
      <color theme="1"/>
      <name val="Times New Roman"/>
      <family val="1"/>
    </font>
    <font>
      <b/>
      <sz val="11"/>
      <color theme="1"/>
      <name val="Times New Roman"/>
      <family val="1"/>
    </font>
    <font>
      <b/>
      <sz val="11"/>
      <color rgb="FFFF0000"/>
      <name val="Times New Roman"/>
      <family val="1"/>
    </font>
    <font>
      <sz val="11"/>
      <color theme="1"/>
      <name val="Times New Roman"/>
      <family val="1"/>
    </font>
    <font>
      <i/>
      <sz val="12"/>
      <color theme="1"/>
      <name val="Times New Roman"/>
      <family val="1"/>
    </font>
    <font>
      <sz val="11"/>
      <color rgb="FFFF0000"/>
      <name val="Times New Roman"/>
      <family val="1"/>
    </font>
    <font>
      <sz val="12"/>
      <color rgb="FF000000"/>
      <name val="Times New Roman"/>
      <family val="1"/>
    </font>
    <font>
      <sz val="11"/>
      <color rgb="FF000000"/>
      <name val="Times New Roman"/>
      <family val="1"/>
    </font>
    <font>
      <b/>
      <sz val="11"/>
      <color rgb="FF000000"/>
      <name val="Times New Roman"/>
      <family val="1"/>
    </font>
    <font>
      <sz val="14"/>
      <color theme="1"/>
      <name val="Times New Roman"/>
      <family val="1"/>
    </font>
    <font>
      <sz val="10"/>
      <color theme="1"/>
      <name val="Times New Roman"/>
      <family val="1"/>
    </font>
    <font>
      <b/>
      <i/>
      <sz val="11"/>
      <color theme="1"/>
      <name val="Times New Roman"/>
      <family val="1"/>
    </font>
    <font>
      <b/>
      <i/>
      <sz val="11"/>
      <color rgb="FFFF0000"/>
      <name val="Times New Roman"/>
      <family val="1"/>
    </font>
    <font>
      <b/>
      <i/>
      <sz val="12"/>
      <color rgb="FFFF0000"/>
      <name val="Times New Roman"/>
      <family val="1"/>
    </font>
    <font>
      <sz val="9"/>
      <color theme="1"/>
      <name val="Times New Roman"/>
      <family val="1"/>
    </font>
    <font>
      <b/>
      <sz val="12"/>
      <color rgb="FF000000"/>
      <name val="Times New Roman"/>
      <family val="1"/>
    </font>
    <font>
      <sz val="9"/>
      <color rgb="FF000000"/>
      <name val="Times New Roman"/>
      <family val="1"/>
    </font>
    <font>
      <b/>
      <i/>
      <sz val="12"/>
      <color rgb="FF000000"/>
      <name val="Times New Roman"/>
      <family val="1"/>
    </font>
    <font>
      <i/>
      <sz val="11"/>
      <color theme="1"/>
      <name val="Times New Roman"/>
      <family val="1"/>
    </font>
    <font>
      <b/>
      <sz val="11"/>
      <color rgb="FF0000FF"/>
      <name val="Times New Roman"/>
      <family val="1"/>
    </font>
    <font>
      <sz val="12"/>
      <color rgb="FF0000FF"/>
      <name val="Times New Roman"/>
      <family val="1"/>
    </font>
    <font>
      <sz val="12"/>
      <color theme="1"/>
      <name val="Times New Roman"/>
      <family val="1"/>
      <scheme val="minor"/>
    </font>
    <font>
      <b/>
      <i/>
      <sz val="13"/>
      <color theme="1"/>
      <name val="Times New Roman"/>
      <family val="1"/>
    </font>
    <font>
      <b/>
      <sz val="14"/>
      <color rgb="FF003366"/>
      <name val="Times New Roman"/>
      <family val="1"/>
    </font>
    <font>
      <i/>
      <u/>
      <sz val="12"/>
      <color theme="1"/>
      <name val="Times New Roman"/>
      <family val="1"/>
    </font>
    <font>
      <i/>
      <u/>
      <sz val="12"/>
      <color theme="1"/>
      <name val="Times New Roman"/>
      <family val="1"/>
    </font>
    <font>
      <b/>
      <vertAlign val="superscript"/>
      <sz val="11"/>
      <color theme="1"/>
      <name val="Times New Roman"/>
      <family val="1"/>
    </font>
    <font>
      <vertAlign val="superscript"/>
      <sz val="11"/>
      <color rgb="FF000000"/>
      <name val="Times New Roman"/>
      <family val="1"/>
    </font>
    <font>
      <vertAlign val="superscript"/>
      <sz val="11"/>
      <color theme="1"/>
      <name val="Times New Roman"/>
      <family val="1"/>
    </font>
    <font>
      <vertAlign val="superscript"/>
      <sz val="12"/>
      <color theme="1"/>
      <name val="Times New Roman"/>
      <family val="1"/>
    </font>
    <font>
      <sz val="12"/>
      <color rgb="FF000000"/>
      <name val="Times New Roman"/>
      <family val="1"/>
      <scheme val="minor"/>
    </font>
    <font>
      <sz val="12"/>
      <color theme="1"/>
      <name val="Times New Roman"/>
      <family val="1"/>
    </font>
    <font>
      <sz val="12"/>
      <color rgb="FF000000"/>
      <name val="Times New Roman"/>
      <family val="1"/>
      <scheme val="minor"/>
    </font>
    <font>
      <sz val="12"/>
      <color theme="1"/>
      <name val="Times New Roman"/>
      <family val="1"/>
      <scheme val="minor"/>
    </font>
    <font>
      <sz val="11"/>
      <color theme="1"/>
      <name val="Times New Roman"/>
      <family val="1"/>
    </font>
    <font>
      <b/>
      <sz val="11"/>
      <name val="Times New Roman"/>
      <family val="1"/>
    </font>
    <font>
      <b/>
      <sz val="12"/>
      <name val="Times New Roman"/>
      <family val="1"/>
    </font>
    <font>
      <b/>
      <i/>
      <sz val="12"/>
      <name val="Times New Roman"/>
      <family val="1"/>
    </font>
    <font>
      <sz val="11"/>
      <name val="Times New Roman"/>
      <family val="1"/>
    </font>
    <font>
      <sz val="12"/>
      <name val="Times New Roman"/>
      <family val="1"/>
      <scheme val="minor"/>
    </font>
    <font>
      <sz val="12"/>
      <color rgb="FF000000"/>
      <name val="Times New Roman"/>
      <family val="1"/>
      <scheme val="minor"/>
    </font>
    <font>
      <sz val="12"/>
      <color rgb="FF000000"/>
      <name val="&quot;Times New Roman&quot;"/>
    </font>
    <font>
      <i/>
      <sz val="11"/>
      <name val="Times New Roman"/>
      <family val="1"/>
    </font>
    <font>
      <b/>
      <i/>
      <sz val="11"/>
      <name val="Times New Roman"/>
      <family val="1"/>
    </font>
    <font>
      <sz val="13"/>
      <name val="Times New Roman"/>
      <family val="1"/>
    </font>
    <font>
      <i/>
      <sz val="12"/>
      <name val="Times New Roman"/>
      <family val="1"/>
    </font>
    <font>
      <sz val="13"/>
      <color rgb="FF000000"/>
      <name val="Times New Roman"/>
      <family val="1"/>
    </font>
    <font>
      <sz val="13"/>
      <color rgb="FF000000"/>
      <name val="Times New Roman"/>
      <family val="1"/>
      <scheme val="minor"/>
    </font>
    <font>
      <b/>
      <sz val="12"/>
      <color rgb="FF000000"/>
      <name val="Times New Roman"/>
      <family val="1"/>
      <scheme val="minor"/>
    </font>
    <font>
      <b/>
      <i/>
      <sz val="12"/>
      <color rgb="FF000000"/>
      <name val="Times New Roman"/>
      <family val="1"/>
      <scheme val="minor"/>
    </font>
    <font>
      <sz val="14"/>
      <name val="Times New Roman"/>
      <family val="1"/>
    </font>
    <font>
      <vertAlign val="superscript"/>
      <sz val="11"/>
      <name val="Times New Roman"/>
      <family val="1"/>
    </font>
    <font>
      <b/>
      <sz val="13"/>
      <name val="Times New Roman"/>
      <family val="1"/>
    </font>
    <font>
      <b/>
      <i/>
      <sz val="13"/>
      <name val="Times New Roman"/>
      <family val="1"/>
    </font>
    <font>
      <sz val="13"/>
      <name val="Times New Roman"/>
      <family val="1"/>
      <scheme val="minor"/>
    </font>
    <font>
      <b/>
      <sz val="12"/>
      <name val="Times New Roman"/>
      <family val="1"/>
      <scheme val="minor"/>
    </font>
    <font>
      <vertAlign val="superscript"/>
      <sz val="14"/>
      <color theme="1"/>
      <name val="Times New Roman"/>
      <family val="1"/>
    </font>
    <font>
      <b/>
      <i/>
      <sz val="14"/>
      <color theme="1"/>
      <name val="Times New Roman"/>
      <family val="1"/>
    </font>
    <font>
      <i/>
      <sz val="14"/>
      <color theme="1"/>
      <name val="Times New Roman"/>
      <family val="1"/>
    </font>
    <font>
      <b/>
      <sz val="14"/>
      <name val="Times New Roman"/>
      <family val="1"/>
    </font>
    <font>
      <b/>
      <i/>
      <sz val="14"/>
      <name val="Times New Roman"/>
      <family val="1"/>
    </font>
    <font>
      <b/>
      <vertAlign val="superscript"/>
      <sz val="14"/>
      <color theme="1"/>
      <name val="Times New Roman"/>
      <family val="1"/>
    </font>
    <font>
      <sz val="14"/>
      <color rgb="FF000000"/>
      <name val="Times New Roman"/>
      <family val="1"/>
    </font>
    <font>
      <b/>
      <sz val="16"/>
      <name val="Times New Roman"/>
      <family val="1"/>
    </font>
    <font>
      <b/>
      <sz val="18"/>
      <name val="Times New Roman"/>
      <family val="1"/>
    </font>
    <font>
      <b/>
      <sz val="18"/>
      <color theme="1"/>
      <name val="Times New Roman"/>
      <family val="1"/>
    </font>
    <font>
      <sz val="11"/>
      <color rgb="FF081B3A"/>
      <name val="Segoe UI"/>
      <family val="2"/>
    </font>
  </fonts>
  <fills count="10">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9"/>
        <bgColor theme="9"/>
      </patternFill>
    </fill>
    <fill>
      <patternFill patternType="solid">
        <fgColor rgb="FFD6E3BC"/>
        <bgColor rgb="FFD6E3BC"/>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s>
  <borders count="6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right/>
      <top style="hair">
        <color rgb="FF000000"/>
      </top>
      <bottom style="hair">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hair">
        <color rgb="FF000000"/>
      </top>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right style="thin">
        <color rgb="FF000000"/>
      </right>
      <top/>
      <bottom style="thin">
        <color rgb="FF000000"/>
      </bottom>
      <diagonal/>
    </border>
    <border>
      <left/>
      <right/>
      <top style="hair">
        <color rgb="FF000000"/>
      </top>
      <bottom style="hair">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hair">
        <color rgb="FF000000"/>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rgb="FF000000"/>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style="thin">
        <color auto="1"/>
      </right>
      <top style="thin">
        <color auto="1"/>
      </top>
      <bottom style="thin">
        <color auto="1"/>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indexed="64"/>
      </top>
      <bottom style="thin">
        <color indexed="64"/>
      </bottom>
      <diagonal/>
    </border>
    <border>
      <left style="thin">
        <color rgb="FF000000"/>
      </left>
      <right/>
      <top style="thin">
        <color rgb="FF000000"/>
      </top>
      <bottom style="thin">
        <color indexed="64"/>
      </bottom>
      <diagonal/>
    </border>
  </borders>
  <cellStyleXfs count="3">
    <xf numFmtId="0" fontId="0" fillId="0" borderId="0"/>
    <xf numFmtId="165" fontId="40" fillId="0" borderId="0" applyFont="0" applyFill="0" applyBorder="0" applyAlignment="0" applyProtection="0"/>
    <xf numFmtId="9" fontId="50" fillId="0" borderId="0" applyFont="0" applyFill="0" applyBorder="0" applyAlignment="0" applyProtection="0"/>
  </cellStyleXfs>
  <cellXfs count="1664">
    <xf numFmtId="0" fontId="0" fillId="0" borderId="0" xfId="0"/>
    <xf numFmtId="0" fontId="1" fillId="0" borderId="0" xfId="0" applyFont="1"/>
    <xf numFmtId="0" fontId="2" fillId="0" borderId="0" xfId="0" applyFont="1"/>
    <xf numFmtId="0" fontId="3" fillId="0" borderId="0" xfId="0" applyFont="1" applyAlignment="1">
      <alignment horizontal="left"/>
    </xf>
    <xf numFmtId="0" fontId="2" fillId="0" borderId="0" xfId="0" applyFont="1" applyAlignment="1">
      <alignment horizontal="center"/>
    </xf>
    <xf numFmtId="3" fontId="2" fillId="0" borderId="0" xfId="0" applyNumberFormat="1" applyFont="1" applyAlignment="1">
      <alignment horizontal="center"/>
    </xf>
    <xf numFmtId="0" fontId="2" fillId="0" borderId="1" xfId="0" applyFont="1" applyBorder="1" applyAlignment="1">
      <alignment horizontal="center"/>
    </xf>
    <xf numFmtId="0" fontId="2" fillId="0" borderId="0" xfId="0" applyFont="1" applyAlignment="1">
      <alignment horizontal="center" vertical="center" wrapText="1"/>
    </xf>
    <xf numFmtId="0" fontId="2" fillId="0" borderId="2" xfId="0" applyFont="1" applyBorder="1" applyAlignment="1">
      <alignment horizontal="center"/>
    </xf>
    <xf numFmtId="0" fontId="4" fillId="0" borderId="0" xfId="0" applyFont="1"/>
    <xf numFmtId="3" fontId="9" fillId="0" borderId="1" xfId="0" applyNumberFormat="1" applyFont="1" applyBorder="1" applyAlignment="1">
      <alignment vertical="center" wrapText="1"/>
    </xf>
    <xf numFmtId="3"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3" fontId="4" fillId="0" borderId="1" xfId="0" applyNumberFormat="1" applyFont="1" applyBorder="1"/>
    <xf numFmtId="3" fontId="9" fillId="0" borderId="1" xfId="0" applyNumberFormat="1" applyFont="1" applyBorder="1" applyAlignment="1">
      <alignment horizontal="right" vertical="center" wrapText="1"/>
    </xf>
    <xf numFmtId="3" fontId="4" fillId="0" borderId="1" xfId="0" applyNumberFormat="1" applyFont="1" applyBorder="1" applyAlignment="1">
      <alignment horizontal="right"/>
    </xf>
    <xf numFmtId="3" fontId="12" fillId="0" borderId="1" xfId="0" applyNumberFormat="1" applyFont="1" applyBorder="1" applyAlignment="1">
      <alignment vertical="center"/>
    </xf>
    <xf numFmtId="3" fontId="12" fillId="0" borderId="1" xfId="0" applyNumberFormat="1" applyFont="1" applyBorder="1" applyAlignment="1">
      <alignment horizontal="right"/>
    </xf>
    <xf numFmtId="0" fontId="12" fillId="0" borderId="1" xfId="0" applyFont="1" applyBorder="1"/>
    <xf numFmtId="0" fontId="12" fillId="0" borderId="0" xfId="0" applyFont="1"/>
    <xf numFmtId="168" fontId="12" fillId="0" borderId="1" xfId="0" applyNumberFormat="1" applyFont="1" applyBorder="1" applyAlignment="1">
      <alignment vertical="center"/>
    </xf>
    <xf numFmtId="3" fontId="15" fillId="0" borderId="1" xfId="0" applyNumberFormat="1" applyFont="1" applyBorder="1" applyAlignment="1">
      <alignment vertical="center"/>
    </xf>
    <xf numFmtId="0" fontId="15" fillId="0" borderId="1" xfId="0" applyFont="1" applyBorder="1"/>
    <xf numFmtId="0" fontId="15" fillId="0" borderId="0" xfId="0" applyFont="1"/>
    <xf numFmtId="0" fontId="12" fillId="0" borderId="1" xfId="0" applyFont="1" applyBorder="1" applyAlignment="1">
      <alignment vertical="center"/>
    </xf>
    <xf numFmtId="0" fontId="17" fillId="0" borderId="1" xfId="0" applyFont="1" applyBorder="1"/>
    <xf numFmtId="0" fontId="17" fillId="0" borderId="0" xfId="0" applyFont="1"/>
    <xf numFmtId="0" fontId="15" fillId="0" borderId="1" xfId="0" applyFont="1" applyBorder="1" applyAlignment="1">
      <alignment vertical="center"/>
    </xf>
    <xf numFmtId="0" fontId="16" fillId="0" borderId="1" xfId="0" applyFont="1" applyBorder="1"/>
    <xf numFmtId="0" fontId="16" fillId="0" borderId="0" xfId="0" applyFont="1"/>
    <xf numFmtId="3" fontId="13" fillId="0" borderId="1" xfId="0" applyNumberFormat="1" applyFont="1" applyBorder="1" applyAlignment="1">
      <alignment vertical="center"/>
    </xf>
    <xf numFmtId="0" fontId="13" fillId="0" borderId="1" xfId="0" applyFont="1" applyBorder="1"/>
    <xf numFmtId="0" fontId="13" fillId="0" borderId="1" xfId="0" applyFont="1" applyBorder="1" applyAlignment="1">
      <alignment vertical="center"/>
    </xf>
    <xf numFmtId="0" fontId="13" fillId="0" borderId="0" xfId="0" applyFont="1"/>
    <xf numFmtId="0" fontId="11" fillId="0" borderId="1" xfId="0" applyFont="1" applyBorder="1" applyAlignment="1">
      <alignment vertical="center"/>
    </xf>
    <xf numFmtId="0" fontId="11" fillId="0" borderId="1" xfId="0" applyFont="1" applyBorder="1"/>
    <xf numFmtId="0" fontId="18" fillId="0" borderId="1" xfId="0" applyFont="1" applyBorder="1"/>
    <xf numFmtId="0" fontId="18" fillId="0" borderId="0" xfId="0" applyFont="1"/>
    <xf numFmtId="3" fontId="13" fillId="0" borderId="2" xfId="0" applyNumberFormat="1" applyFont="1" applyBorder="1" applyAlignment="1">
      <alignment horizontal="center" vertical="center"/>
    </xf>
    <xf numFmtId="3" fontId="13" fillId="0" borderId="0" xfId="0" applyNumberFormat="1" applyFont="1" applyAlignment="1">
      <alignment horizontal="center" vertical="center"/>
    </xf>
    <xf numFmtId="3" fontId="13" fillId="0" borderId="1" xfId="0" applyNumberFormat="1" applyFont="1" applyBorder="1" applyAlignment="1">
      <alignment horizontal="center" vertical="center"/>
    </xf>
    <xf numFmtId="0" fontId="28" fillId="0" borderId="1" xfId="0" applyFont="1" applyBorder="1"/>
    <xf numFmtId="0" fontId="28" fillId="0" borderId="0" xfId="0" applyFont="1"/>
    <xf numFmtId="0" fontId="13" fillId="0" borderId="15" xfId="0" applyFont="1" applyBorder="1" applyAlignment="1">
      <alignment vertical="center"/>
    </xf>
    <xf numFmtId="0" fontId="11" fillId="0" borderId="0" xfId="0" applyFont="1"/>
    <xf numFmtId="0" fontId="15" fillId="0" borderId="6" xfId="0" applyFont="1" applyBorder="1" applyAlignment="1">
      <alignment vertical="center"/>
    </xf>
    <xf numFmtId="0" fontId="15" fillId="0" borderId="2" xfId="0" applyFont="1" applyBorder="1" applyAlignment="1">
      <alignment vertical="center"/>
    </xf>
    <xf numFmtId="0" fontId="15" fillId="0" borderId="2" xfId="0" applyFont="1" applyBorder="1"/>
    <xf numFmtId="0" fontId="30" fillId="0" borderId="0" xfId="0" applyFont="1"/>
    <xf numFmtId="3" fontId="19" fillId="0" borderId="0" xfId="0" applyNumberFormat="1" applyFont="1"/>
    <xf numFmtId="0" fontId="6" fillId="0" borderId="0" xfId="0" applyFont="1"/>
    <xf numFmtId="0" fontId="3" fillId="0" borderId="15" xfId="0" applyFont="1" applyBorder="1"/>
    <xf numFmtId="0" fontId="2" fillId="0" borderId="1" xfId="0" applyFont="1" applyBorder="1"/>
    <xf numFmtId="0" fontId="3" fillId="0" borderId="15" xfId="0" applyFont="1" applyBorder="1" applyAlignment="1">
      <alignment vertical="center"/>
    </xf>
    <xf numFmtId="0" fontId="6" fillId="0" borderId="1" xfId="0" applyFont="1" applyBorder="1"/>
    <xf numFmtId="3" fontId="33" fillId="0" borderId="0" xfId="0" applyNumberFormat="1" applyFont="1"/>
    <xf numFmtId="0" fontId="9" fillId="0" borderId="0" xfId="0" applyFont="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1" fontId="6" fillId="0" borderId="0" xfId="0" applyNumberFormat="1" applyFont="1"/>
    <xf numFmtId="167" fontId="6" fillId="0" borderId="0" xfId="0" applyNumberFormat="1" applyFont="1" applyAlignment="1">
      <alignment horizontal="right" wrapText="1"/>
    </xf>
    <xf numFmtId="167" fontId="2" fillId="0" borderId="0" xfId="0" applyNumberFormat="1" applyFont="1" applyAlignment="1">
      <alignment wrapText="1"/>
    </xf>
    <xf numFmtId="3" fontId="2" fillId="0" borderId="0" xfId="0" applyNumberFormat="1" applyFont="1" applyAlignment="1">
      <alignment wrapText="1"/>
    </xf>
    <xf numFmtId="3" fontId="2" fillId="0" borderId="1" xfId="0" applyNumberFormat="1" applyFont="1" applyBorder="1" applyAlignment="1">
      <alignment wrapText="1"/>
    </xf>
    <xf numFmtId="3" fontId="2" fillId="0" borderId="0" xfId="0" applyNumberFormat="1" applyFont="1" applyAlignment="1">
      <alignment horizontal="right" wrapText="1"/>
    </xf>
    <xf numFmtId="167" fontId="6" fillId="0" borderId="0" xfId="0" applyNumberFormat="1" applyFont="1" applyAlignment="1">
      <alignment horizontal="center"/>
    </xf>
    <xf numFmtId="167" fontId="6" fillId="0" borderId="0" xfId="0" applyNumberFormat="1" applyFont="1" applyAlignment="1">
      <alignment horizontal="right" vertical="center"/>
    </xf>
    <xf numFmtId="1" fontId="2" fillId="0" borderId="0" xfId="0" applyNumberFormat="1" applyFont="1"/>
    <xf numFmtId="167" fontId="35" fillId="0" borderId="0" xfId="0" applyNumberFormat="1" applyFont="1" applyAlignment="1">
      <alignment horizontal="right" wrapText="1"/>
    </xf>
    <xf numFmtId="167" fontId="2" fillId="0" borderId="0" xfId="0" applyNumberFormat="1" applyFont="1" applyAlignment="1">
      <alignment horizontal="right" vertical="center"/>
    </xf>
    <xf numFmtId="167" fontId="2" fillId="0" borderId="0" xfId="0" applyNumberFormat="1" applyFont="1" applyAlignment="1">
      <alignment horizontal="right" wrapText="1"/>
    </xf>
    <xf numFmtId="167" fontId="2" fillId="0" borderId="1" xfId="0" applyNumberFormat="1" applyFont="1" applyBorder="1" applyAlignment="1">
      <alignment horizontal="left" wrapText="1"/>
    </xf>
    <xf numFmtId="1" fontId="6" fillId="0" borderId="0" xfId="0" applyNumberFormat="1" applyFont="1" applyAlignment="1">
      <alignment vertical="center"/>
    </xf>
    <xf numFmtId="3" fontId="2" fillId="0" borderId="0" xfId="0" applyNumberFormat="1" applyFont="1" applyAlignment="1">
      <alignment vertical="center" wrapText="1"/>
    </xf>
    <xf numFmtId="3" fontId="2" fillId="0" borderId="1" xfId="0" applyNumberFormat="1" applyFont="1" applyBorder="1" applyAlignment="1">
      <alignment vertical="center" wrapText="1"/>
    </xf>
    <xf numFmtId="3" fontId="2" fillId="0" borderId="0" xfId="0" applyNumberFormat="1" applyFont="1" applyAlignment="1">
      <alignment horizontal="right" vertical="center" wrapText="1"/>
    </xf>
    <xf numFmtId="167" fontId="6" fillId="0" borderId="0" xfId="0" applyNumberFormat="1" applyFont="1" applyAlignment="1">
      <alignment horizontal="center" vertical="center"/>
    </xf>
    <xf numFmtId="3" fontId="6" fillId="0" borderId="0" xfId="0" applyNumberFormat="1" applyFont="1" applyAlignment="1">
      <alignment vertical="center" wrapText="1"/>
    </xf>
    <xf numFmtId="3" fontId="6" fillId="0" borderId="0" xfId="0" applyNumberFormat="1" applyFont="1" applyAlignment="1">
      <alignment horizontal="right" vertical="center" wrapText="1"/>
    </xf>
    <xf numFmtId="3" fontId="9" fillId="0" borderId="0" xfId="0" applyNumberFormat="1" applyFont="1" applyAlignment="1">
      <alignment horizontal="center" vertical="center" wrapText="1"/>
    </xf>
    <xf numFmtId="167" fontId="6" fillId="0" borderId="0" xfId="0" applyNumberFormat="1" applyFont="1" applyAlignment="1">
      <alignment horizontal="right" vertical="center" wrapText="1"/>
    </xf>
    <xf numFmtId="167" fontId="2" fillId="0" borderId="0" xfId="0" applyNumberFormat="1" applyFont="1" applyAlignment="1">
      <alignment vertical="center" wrapText="1"/>
    </xf>
    <xf numFmtId="3" fontId="6" fillId="0" borderId="1" xfId="0" applyNumberFormat="1" applyFont="1" applyBorder="1" applyAlignment="1">
      <alignment vertical="center" wrapText="1"/>
    </xf>
    <xf numFmtId="3" fontId="6" fillId="0" borderId="0" xfId="0" applyNumberFormat="1" applyFont="1" applyAlignment="1">
      <alignment wrapText="1"/>
    </xf>
    <xf numFmtId="3" fontId="6" fillId="0" borderId="1" xfId="0" applyNumberFormat="1" applyFont="1" applyBorder="1" applyAlignment="1">
      <alignment wrapText="1"/>
    </xf>
    <xf numFmtId="3" fontId="6" fillId="0" borderId="0" xfId="0" applyNumberFormat="1" applyFont="1" applyAlignment="1">
      <alignment horizontal="right" wrapText="1"/>
    </xf>
    <xf numFmtId="3" fontId="9" fillId="0" borderId="0" xfId="0" applyNumberFormat="1" applyFont="1" applyAlignment="1">
      <alignment horizontal="center" wrapText="1"/>
    </xf>
    <xf numFmtId="3" fontId="2" fillId="0" borderId="0" xfId="0" applyNumberFormat="1" applyFont="1" applyAlignment="1">
      <alignment horizontal="right"/>
    </xf>
    <xf numFmtId="167" fontId="2" fillId="0" borderId="0" xfId="0" applyNumberFormat="1" applyFont="1" applyAlignment="1">
      <alignment horizontal="center"/>
    </xf>
    <xf numFmtId="1" fontId="2" fillId="0" borderId="0" xfId="0" applyNumberFormat="1" applyFont="1" applyAlignment="1">
      <alignment horizontal="center"/>
    </xf>
    <xf numFmtId="167" fontId="6" fillId="0" borderId="0" xfId="0" applyNumberFormat="1" applyFont="1" applyAlignment="1">
      <alignment wrapText="1"/>
    </xf>
    <xf numFmtId="3" fontId="6" fillId="0" borderId="0" xfId="0" applyNumberFormat="1" applyFont="1" applyAlignment="1">
      <alignment horizontal="right"/>
    </xf>
    <xf numFmtId="3" fontId="6" fillId="0" borderId="1" xfId="0" applyNumberFormat="1" applyFont="1" applyBorder="1" applyAlignment="1">
      <alignment horizontal="right"/>
    </xf>
    <xf numFmtId="1" fontId="6" fillId="0" borderId="0" xfId="0" applyNumberFormat="1" applyFont="1" applyAlignment="1">
      <alignment horizontal="center"/>
    </xf>
    <xf numFmtId="167" fontId="2" fillId="0" borderId="1" xfId="0" applyNumberFormat="1" applyFont="1" applyBorder="1" applyAlignment="1">
      <alignment horizontal="center"/>
    </xf>
    <xf numFmtId="3" fontId="2" fillId="0" borderId="1" xfId="0" applyNumberFormat="1" applyFont="1" applyBorder="1" applyAlignment="1">
      <alignment horizontal="right"/>
    </xf>
    <xf numFmtId="0" fontId="6" fillId="0" borderId="1" xfId="0" applyFont="1" applyBorder="1" applyAlignment="1">
      <alignment wrapText="1"/>
    </xf>
    <xf numFmtId="0" fontId="6" fillId="0" borderId="1" xfId="0" applyFont="1" applyBorder="1" applyAlignment="1">
      <alignment horizontal="right" wrapText="1"/>
    </xf>
    <xf numFmtId="0" fontId="15" fillId="0" borderId="48" xfId="0" applyFont="1" applyBorder="1" applyAlignment="1">
      <alignment vertical="center"/>
    </xf>
    <xf numFmtId="0" fontId="15" fillId="0" borderId="48" xfId="0" applyFont="1" applyBorder="1"/>
    <xf numFmtId="0" fontId="41" fillId="0" borderId="0" xfId="0" applyFont="1" applyAlignment="1">
      <alignment horizontal="center" vertical="center"/>
    </xf>
    <xf numFmtId="0" fontId="42" fillId="0" borderId="0" xfId="0" applyFont="1" applyAlignment="1">
      <alignment horizontal="center" vertical="center"/>
    </xf>
    <xf numFmtId="0" fontId="13" fillId="0" borderId="48" xfId="0" applyFont="1" applyBorder="1" applyAlignment="1">
      <alignment vertical="center"/>
    </xf>
    <xf numFmtId="3" fontId="13" fillId="0" borderId="48" xfId="0" applyNumberFormat="1" applyFont="1" applyBorder="1" applyAlignment="1">
      <alignment vertical="center"/>
    </xf>
    <xf numFmtId="0" fontId="13" fillId="0" borderId="48" xfId="0" applyFont="1" applyBorder="1"/>
    <xf numFmtId="0" fontId="17" fillId="0" borderId="48" xfId="0" applyFont="1" applyBorder="1"/>
    <xf numFmtId="0" fontId="12" fillId="7" borderId="0" xfId="0" applyFont="1" applyFill="1"/>
    <xf numFmtId="0" fontId="0" fillId="7" borderId="0" xfId="0" applyFill="1"/>
    <xf numFmtId="0" fontId="11" fillId="0" borderId="48" xfId="0" applyFont="1" applyBorder="1" applyAlignment="1">
      <alignment vertical="center"/>
    </xf>
    <xf numFmtId="0" fontId="11" fillId="0" borderId="48" xfId="0" applyFont="1" applyBorder="1"/>
    <xf numFmtId="0" fontId="13" fillId="7" borderId="1" xfId="0" applyFont="1" applyFill="1" applyBorder="1" applyAlignment="1">
      <alignment vertical="center"/>
    </xf>
    <xf numFmtId="0" fontId="13" fillId="7" borderId="1" xfId="0" applyFont="1" applyFill="1" applyBorder="1"/>
    <xf numFmtId="0" fontId="17" fillId="7" borderId="1" xfId="0" applyFont="1" applyFill="1" applyBorder="1"/>
    <xf numFmtId="0" fontId="17" fillId="7" borderId="0" xfId="0" applyFont="1" applyFill="1"/>
    <xf numFmtId="0" fontId="13" fillId="7" borderId="48" xfId="0" applyFont="1" applyFill="1" applyBorder="1" applyAlignment="1">
      <alignment vertical="center"/>
    </xf>
    <xf numFmtId="0" fontId="13" fillId="7" borderId="48" xfId="0" applyFont="1" applyFill="1" applyBorder="1"/>
    <xf numFmtId="0" fontId="17" fillId="7" borderId="48" xfId="0" applyFont="1" applyFill="1" applyBorder="1"/>
    <xf numFmtId="0" fontId="48" fillId="7" borderId="0" xfId="0" applyFont="1" applyFill="1"/>
    <xf numFmtId="0" fontId="49" fillId="7" borderId="0" xfId="0" applyFont="1" applyFill="1"/>
    <xf numFmtId="0" fontId="15" fillId="7" borderId="1" xfId="0" applyFont="1" applyFill="1" applyBorder="1"/>
    <xf numFmtId="0" fontId="48" fillId="0" borderId="1" xfId="0" applyFont="1" applyBorder="1" applyAlignment="1">
      <alignment vertical="center"/>
    </xf>
    <xf numFmtId="0" fontId="48" fillId="0" borderId="1" xfId="0" applyFont="1" applyBorder="1"/>
    <xf numFmtId="0" fontId="48" fillId="0" borderId="0" xfId="0" applyFont="1"/>
    <xf numFmtId="0" fontId="49" fillId="0" borderId="0" xfId="0" applyFont="1"/>
    <xf numFmtId="0" fontId="13" fillId="7" borderId="0" xfId="0" applyFont="1" applyFill="1"/>
    <xf numFmtId="0" fontId="15" fillId="7" borderId="48" xfId="0" applyFont="1" applyFill="1" applyBorder="1" applyAlignment="1">
      <alignment vertical="center"/>
    </xf>
    <xf numFmtId="0" fontId="15" fillId="7" borderId="48" xfId="0" applyFont="1" applyFill="1" applyBorder="1"/>
    <xf numFmtId="0" fontId="15" fillId="7" borderId="0" xfId="0" applyFont="1" applyFill="1"/>
    <xf numFmtId="168" fontId="45" fillId="0" borderId="1" xfId="0" applyNumberFormat="1" applyFont="1" applyBorder="1" applyAlignment="1">
      <alignment vertical="center"/>
    </xf>
    <xf numFmtId="3" fontId="45" fillId="0" borderId="1" xfId="0" applyNumberFormat="1" applyFont="1" applyBorder="1" applyAlignment="1">
      <alignment vertical="center"/>
    </xf>
    <xf numFmtId="0" fontId="17" fillId="2" borderId="48" xfId="0" applyFont="1" applyFill="1" applyBorder="1" applyAlignment="1">
      <alignment vertical="center" wrapText="1"/>
    </xf>
    <xf numFmtId="0" fontId="13" fillId="2" borderId="48" xfId="0" applyFont="1" applyFill="1" applyBorder="1" applyAlignment="1">
      <alignment vertical="center" wrapText="1"/>
    </xf>
    <xf numFmtId="0" fontId="51" fillId="3" borderId="0" xfId="0" applyFont="1" applyFill="1" applyAlignment="1">
      <alignment wrapText="1"/>
    </xf>
    <xf numFmtId="0" fontId="15" fillId="5" borderId="48" xfId="0" applyFont="1" applyFill="1" applyBorder="1" applyAlignment="1">
      <alignment vertical="center" wrapText="1"/>
    </xf>
    <xf numFmtId="0" fontId="15" fillId="4" borderId="48" xfId="0" applyFont="1" applyFill="1" applyBorder="1" applyAlignment="1">
      <alignment vertical="center" wrapText="1"/>
    </xf>
    <xf numFmtId="0" fontId="48" fillId="2" borderId="48" xfId="0" applyFont="1" applyFill="1" applyBorder="1" applyAlignment="1">
      <alignment vertical="center" wrapText="1"/>
    </xf>
    <xf numFmtId="0" fontId="48" fillId="7" borderId="48" xfId="0" applyFont="1" applyFill="1" applyBorder="1" applyAlignment="1">
      <alignment vertical="center"/>
    </xf>
    <xf numFmtId="0" fontId="48" fillId="7" borderId="48" xfId="0" applyFont="1" applyFill="1" applyBorder="1"/>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1" fillId="0" borderId="1" xfId="0" applyFont="1" applyBorder="1" applyAlignment="1">
      <alignment horizontal="left" vertical="center" wrapText="1"/>
    </xf>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2" fillId="0" borderId="0" xfId="0" applyFont="1" applyAlignment="1">
      <alignment horizontal="center" vertical="center"/>
    </xf>
    <xf numFmtId="0" fontId="0" fillId="0" borderId="0" xfId="0" applyAlignment="1">
      <alignment horizontal="center" vertical="center"/>
    </xf>
    <xf numFmtId="0" fontId="48" fillId="0" borderId="1" xfId="0" applyFont="1" applyBorder="1" applyAlignment="1">
      <alignment horizontal="left" vertical="center"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5" fillId="7" borderId="1" xfId="0" applyFont="1" applyFill="1" applyBorder="1" applyAlignment="1">
      <alignment vertical="center"/>
    </xf>
    <xf numFmtId="0" fontId="13" fillId="7" borderId="15" xfId="0" applyFont="1" applyFill="1" applyBorder="1" applyAlignment="1">
      <alignment vertical="center"/>
    </xf>
    <xf numFmtId="0" fontId="16" fillId="7" borderId="0" xfId="0" applyFont="1" applyFill="1"/>
    <xf numFmtId="0" fontId="45" fillId="0" borderId="1" xfId="0" applyFont="1" applyBorder="1"/>
    <xf numFmtId="0" fontId="45" fillId="0" borderId="0" xfId="0" applyFont="1"/>
    <xf numFmtId="168" fontId="45" fillId="8" borderId="1" xfId="0" applyNumberFormat="1" applyFont="1" applyFill="1" applyBorder="1" applyAlignment="1">
      <alignment vertical="center"/>
    </xf>
    <xf numFmtId="3" fontId="45" fillId="8" borderId="1" xfId="0" applyNumberFormat="1" applyFont="1" applyFill="1" applyBorder="1" applyAlignment="1">
      <alignment vertical="center"/>
    </xf>
    <xf numFmtId="0" fontId="45" fillId="8" borderId="1" xfId="0" applyFont="1" applyFill="1" applyBorder="1"/>
    <xf numFmtId="0" fontId="45" fillId="8" borderId="0" xfId="0" applyFont="1" applyFill="1"/>
    <xf numFmtId="0" fontId="49" fillId="8" borderId="0" xfId="0" applyFont="1" applyFill="1"/>
    <xf numFmtId="168" fontId="11" fillId="8" borderId="1" xfId="0" applyNumberFormat="1" applyFont="1" applyFill="1" applyBorder="1" applyAlignment="1">
      <alignment vertical="center"/>
    </xf>
    <xf numFmtId="3" fontId="11" fillId="8" borderId="1" xfId="0" applyNumberFormat="1" applyFont="1" applyFill="1" applyBorder="1" applyAlignment="1">
      <alignment vertical="center"/>
    </xf>
    <xf numFmtId="0" fontId="13" fillId="8" borderId="1" xfId="0" applyFont="1" applyFill="1" applyBorder="1"/>
    <xf numFmtId="0" fontId="15" fillId="8" borderId="1" xfId="0" applyFont="1" applyFill="1" applyBorder="1"/>
    <xf numFmtId="0" fontId="17" fillId="8" borderId="1" xfId="0" applyFont="1" applyFill="1" applyBorder="1"/>
    <xf numFmtId="0" fontId="17" fillId="8" borderId="0" xfId="0" applyFont="1" applyFill="1"/>
    <xf numFmtId="0" fontId="0" fillId="8" borderId="0" xfId="0" applyFill="1"/>
    <xf numFmtId="0" fontId="48" fillId="8" borderId="1" xfId="0" applyFont="1" applyFill="1" applyBorder="1"/>
    <xf numFmtId="0" fontId="48" fillId="8" borderId="0" xfId="0" applyFont="1" applyFill="1"/>
    <xf numFmtId="168" fontId="12" fillId="8" borderId="1" xfId="0" applyNumberFormat="1" applyFont="1" applyFill="1" applyBorder="1" applyAlignment="1">
      <alignment vertical="center"/>
    </xf>
    <xf numFmtId="3" fontId="12" fillId="8" borderId="1" xfId="0" applyNumberFormat="1" applyFont="1" applyFill="1" applyBorder="1" applyAlignment="1">
      <alignment vertical="center"/>
    </xf>
    <xf numFmtId="0" fontId="12" fillId="8" borderId="1" xfId="0" applyFont="1" applyFill="1" applyBorder="1"/>
    <xf numFmtId="0" fontId="12" fillId="8" borderId="0" xfId="0" applyFont="1" applyFill="1"/>
    <xf numFmtId="0" fontId="56" fillId="0" borderId="15" xfId="0" applyFont="1" applyBorder="1"/>
    <xf numFmtId="0" fontId="56" fillId="0" borderId="0" xfId="0" applyFont="1"/>
    <xf numFmtId="0" fontId="57" fillId="0" borderId="0" xfId="0" applyFont="1"/>
    <xf numFmtId="0" fontId="3" fillId="0" borderId="48" xfId="0" applyFont="1" applyBorder="1" applyAlignment="1">
      <alignment vertical="center"/>
    </xf>
    <xf numFmtId="0" fontId="3" fillId="0" borderId="48" xfId="0" applyFont="1" applyBorder="1"/>
    <xf numFmtId="0" fontId="56" fillId="0" borderId="48" xfId="0" applyFont="1" applyBorder="1"/>
    <xf numFmtId="0" fontId="58" fillId="0" borderId="0" xfId="0" applyFont="1"/>
    <xf numFmtId="0" fontId="59" fillId="0" borderId="0" xfId="0" applyFont="1"/>
    <xf numFmtId="167" fontId="21" fillId="0" borderId="48" xfId="0" applyNumberFormat="1" applyFont="1" applyBorder="1" applyAlignment="1">
      <alignment horizontal="right" vertical="center"/>
    </xf>
    <xf numFmtId="0" fontId="21" fillId="0" borderId="48" xfId="0" applyFont="1" applyBorder="1"/>
    <xf numFmtId="0" fontId="21" fillId="0" borderId="0" xfId="0" applyFont="1"/>
    <xf numFmtId="167" fontId="21" fillId="7" borderId="48" xfId="0" applyNumberFormat="1" applyFont="1" applyFill="1" applyBorder="1" applyAlignment="1">
      <alignment horizontal="right" vertical="center"/>
    </xf>
    <xf numFmtId="0" fontId="11" fillId="7" borderId="1" xfId="0" applyFont="1" applyFill="1" applyBorder="1" applyAlignment="1">
      <alignment vertical="center"/>
    </xf>
    <xf numFmtId="0" fontId="11" fillId="7" borderId="1" xfId="0" applyFont="1" applyFill="1" applyBorder="1"/>
    <xf numFmtId="0" fontId="18" fillId="7" borderId="1" xfId="0" applyFont="1" applyFill="1" applyBorder="1"/>
    <xf numFmtId="0" fontId="18" fillId="7" borderId="0" xfId="0" applyFont="1" applyFill="1"/>
    <xf numFmtId="0" fontId="48" fillId="5" borderId="48" xfId="0" applyFont="1" applyFill="1" applyBorder="1" applyAlignment="1">
      <alignment vertical="center" wrapText="1"/>
    </xf>
    <xf numFmtId="0" fontId="18" fillId="0" borderId="48" xfId="0" applyFont="1" applyBorder="1"/>
    <xf numFmtId="0" fontId="11" fillId="7" borderId="48" xfId="0" applyFont="1" applyFill="1" applyBorder="1" applyAlignment="1">
      <alignment vertical="center"/>
    </xf>
    <xf numFmtId="0" fontId="12" fillId="0" borderId="48" xfId="0" applyFont="1" applyBorder="1" applyAlignment="1">
      <alignment horizontal="left" vertical="center" wrapText="1"/>
    </xf>
    <xf numFmtId="0" fontId="58" fillId="0" borderId="0" xfId="0" applyFont="1" applyAlignment="1">
      <alignment horizontal="left" vertical="center" wrapText="1"/>
    </xf>
    <xf numFmtId="0" fontId="12" fillId="7" borderId="1" xfId="0" applyFont="1" applyFill="1" applyBorder="1" applyAlignment="1">
      <alignment vertical="center"/>
    </xf>
    <xf numFmtId="0" fontId="12" fillId="7" borderId="1" xfId="0" applyFont="1" applyFill="1" applyBorder="1"/>
    <xf numFmtId="0" fontId="25" fillId="7" borderId="0" xfId="0" applyFont="1" applyFill="1"/>
    <xf numFmtId="0" fontId="58" fillId="7" borderId="0" xfId="0" applyFont="1" applyFill="1"/>
    <xf numFmtId="0" fontId="27" fillId="7" borderId="0" xfId="0" applyFont="1" applyFill="1"/>
    <xf numFmtId="0" fontId="59" fillId="7" borderId="0" xfId="0" applyFont="1" applyFill="1"/>
    <xf numFmtId="0" fontId="8" fillId="0" borderId="0" xfId="0" applyFont="1"/>
    <xf numFmtId="0" fontId="16" fillId="7" borderId="1" xfId="0" applyFont="1" applyFill="1" applyBorder="1"/>
    <xf numFmtId="0" fontId="2" fillId="0" borderId="48" xfId="0" applyFont="1" applyBorder="1"/>
    <xf numFmtId="0" fontId="16" fillId="0" borderId="48" xfId="0" applyFont="1" applyBorder="1"/>
    <xf numFmtId="0" fontId="15" fillId="0" borderId="48" xfId="0" applyFont="1" applyBorder="1" applyAlignment="1">
      <alignment horizontal="left" vertical="center" wrapText="1"/>
    </xf>
    <xf numFmtId="0" fontId="31" fillId="0" borderId="0" xfId="0" applyFont="1"/>
    <xf numFmtId="0" fontId="16" fillId="8" borderId="1" xfId="0" applyFont="1" applyFill="1" applyBorder="1"/>
    <xf numFmtId="0" fontId="16" fillId="8" borderId="0" xfId="0" applyFont="1" applyFill="1"/>
    <xf numFmtId="0" fontId="54" fillId="7" borderId="48" xfId="0" applyFont="1" applyFill="1" applyBorder="1" applyAlignment="1">
      <alignment vertical="center"/>
    </xf>
    <xf numFmtId="0" fontId="54" fillId="7" borderId="48" xfId="0" applyFont="1" applyFill="1" applyBorder="1"/>
    <xf numFmtId="0" fontId="54" fillId="7" borderId="0" xfId="0" applyFont="1" applyFill="1"/>
    <xf numFmtId="0" fontId="64" fillId="7" borderId="0" xfId="0" applyFont="1" applyFill="1"/>
    <xf numFmtId="0" fontId="31" fillId="7" borderId="0" xfId="0" applyFont="1" applyFill="1"/>
    <xf numFmtId="0" fontId="2" fillId="7" borderId="1" xfId="0" applyFont="1" applyFill="1" applyBorder="1"/>
    <xf numFmtId="0" fontId="2" fillId="7" borderId="0" xfId="0" applyFont="1" applyFill="1"/>
    <xf numFmtId="3" fontId="6" fillId="0" borderId="0" xfId="0" applyNumberFormat="1" applyFont="1" applyAlignment="1">
      <alignment horizontal="right"/>
    </xf>
    <xf numFmtId="0" fontId="0" fillId="0" borderId="0" xfId="0"/>
    <xf numFmtId="167" fontId="2" fillId="0" borderId="47" xfId="0" applyNumberFormat="1" applyFont="1" applyBorder="1" applyAlignment="1">
      <alignment horizontal="left" wrapText="1"/>
    </xf>
    <xf numFmtId="3" fontId="2" fillId="0" borderId="0" xfId="0" applyNumberFormat="1" applyFont="1" applyAlignment="1">
      <alignment horizontal="right"/>
    </xf>
    <xf numFmtId="167" fontId="6" fillId="0" borderId="0" xfId="0" applyNumberFormat="1" applyFont="1" applyAlignment="1">
      <alignment horizontal="left" wrapText="1"/>
    </xf>
    <xf numFmtId="167" fontId="6" fillId="0" borderId="0" xfId="0" applyNumberFormat="1" applyFont="1" applyAlignment="1">
      <alignment horizontal="left" vertical="center" wrapText="1"/>
    </xf>
    <xf numFmtId="167" fontId="6" fillId="0" borderId="45" xfId="0" applyNumberFormat="1" applyFont="1" applyBorder="1" applyAlignment="1">
      <alignment horizontal="left" wrapText="1"/>
    </xf>
    <xf numFmtId="167" fontId="6" fillId="0" borderId="47" xfId="0" applyNumberFormat="1" applyFont="1" applyBorder="1" applyAlignment="1">
      <alignment horizontal="left" wrapText="1"/>
    </xf>
    <xf numFmtId="167" fontId="34" fillId="0" borderId="47" xfId="0" applyNumberFormat="1" applyFont="1" applyBorder="1" applyAlignment="1">
      <alignment horizontal="left" wrapText="1"/>
    </xf>
    <xf numFmtId="167" fontId="6" fillId="0" borderId="47" xfId="0" applyNumberFormat="1" applyFont="1" applyBorder="1" applyAlignment="1">
      <alignment horizontal="left" vertical="center" wrapText="1"/>
    </xf>
    <xf numFmtId="0" fontId="8" fillId="0" borderId="48" xfId="0" applyFont="1" applyBorder="1"/>
    <xf numFmtId="0" fontId="0" fillId="0" borderId="0" xfId="0"/>
    <xf numFmtId="3" fontId="2" fillId="0" borderId="0" xfId="0" applyNumberFormat="1" applyFont="1" applyAlignment="1">
      <alignment horizontal="right"/>
    </xf>
    <xf numFmtId="3" fontId="6" fillId="0" borderId="0" xfId="0" applyNumberFormat="1" applyFont="1" applyAlignment="1">
      <alignment horizontal="right"/>
    </xf>
    <xf numFmtId="168" fontId="12" fillId="6" borderId="1" xfId="0" applyNumberFormat="1" applyFont="1" applyFill="1" applyBorder="1" applyAlignment="1">
      <alignment vertical="center"/>
    </xf>
    <xf numFmtId="3" fontId="12" fillId="6" borderId="1" xfId="0" applyNumberFormat="1" applyFont="1" applyFill="1" applyBorder="1" applyAlignment="1">
      <alignment vertical="center"/>
    </xf>
    <xf numFmtId="0" fontId="15" fillId="6" borderId="1" xfId="0" applyFont="1" applyFill="1" applyBorder="1"/>
    <xf numFmtId="0" fontId="15" fillId="6" borderId="0" xfId="0" applyFont="1" applyFill="1"/>
    <xf numFmtId="0" fontId="0" fillId="6" borderId="0" xfId="0" applyFill="1"/>
    <xf numFmtId="3" fontId="13" fillId="6" borderId="1" xfId="0" applyNumberFormat="1" applyFont="1" applyFill="1" applyBorder="1" applyAlignment="1">
      <alignment vertical="center"/>
    </xf>
    <xf numFmtId="0" fontId="13" fillId="6" borderId="1" xfId="0" applyFont="1" applyFill="1" applyBorder="1"/>
    <xf numFmtId="0" fontId="17" fillId="6" borderId="1" xfId="0" applyFont="1" applyFill="1" applyBorder="1"/>
    <xf numFmtId="0" fontId="17" fillId="6" borderId="0" xfId="0" applyFont="1" applyFill="1"/>
    <xf numFmtId="0" fontId="13" fillId="6" borderId="1" xfId="0" applyFont="1" applyFill="1" applyBorder="1" applyAlignment="1">
      <alignment vertical="center"/>
    </xf>
    <xf numFmtId="0" fontId="13" fillId="6" borderId="48" xfId="0" applyFont="1" applyFill="1" applyBorder="1" applyAlignment="1">
      <alignment vertical="center"/>
    </xf>
    <xf numFmtId="3" fontId="13" fillId="6" borderId="48" xfId="0" applyNumberFormat="1" applyFont="1" applyFill="1" applyBorder="1" applyAlignment="1">
      <alignment vertical="center"/>
    </xf>
    <xf numFmtId="0" fontId="13" fillId="6" borderId="48" xfId="0" applyFont="1" applyFill="1" applyBorder="1"/>
    <xf numFmtId="0" fontId="17" fillId="6" borderId="48" xfId="0" applyFont="1" applyFill="1" applyBorder="1"/>
    <xf numFmtId="0" fontId="15" fillId="6" borderId="48" xfId="0" applyFont="1" applyFill="1" applyBorder="1" applyAlignment="1">
      <alignment vertical="center"/>
    </xf>
    <xf numFmtId="0" fontId="15" fillId="6" borderId="48" xfId="0" applyFont="1" applyFill="1" applyBorder="1"/>
    <xf numFmtId="0" fontId="13" fillId="6" borderId="0" xfId="0" applyFont="1" applyFill="1"/>
    <xf numFmtId="0" fontId="11" fillId="6" borderId="1" xfId="0" applyFont="1" applyFill="1" applyBorder="1" applyAlignment="1">
      <alignment vertical="center"/>
    </xf>
    <xf numFmtId="0" fontId="11" fillId="6" borderId="1" xfId="0" applyFont="1" applyFill="1" applyBorder="1"/>
    <xf numFmtId="0" fontId="18" fillId="6" borderId="1" xfId="0" applyFont="1" applyFill="1" applyBorder="1"/>
    <xf numFmtId="0" fontId="18" fillId="6" borderId="0" xfId="0" applyFont="1" applyFill="1"/>
    <xf numFmtId="0" fontId="9" fillId="0" borderId="1" xfId="0" applyFont="1" applyBorder="1" applyAlignment="1">
      <alignment horizontal="center" vertical="center" wrapText="1"/>
    </xf>
    <xf numFmtId="168" fontId="45" fillId="6" borderId="1" xfId="0" applyNumberFormat="1" applyFont="1" applyFill="1" applyBorder="1" applyAlignment="1">
      <alignment vertical="center"/>
    </xf>
    <xf numFmtId="3" fontId="45" fillId="6" borderId="1" xfId="0" applyNumberFormat="1" applyFont="1" applyFill="1" applyBorder="1" applyAlignment="1">
      <alignment vertical="center"/>
    </xf>
    <xf numFmtId="0" fontId="4" fillId="6" borderId="48" xfId="0" applyFont="1" applyFill="1" applyBorder="1" applyAlignment="1">
      <alignment vertical="center"/>
    </xf>
    <xf numFmtId="0" fontId="4" fillId="6" borderId="48" xfId="0" applyFont="1" applyFill="1" applyBorder="1"/>
    <xf numFmtId="0" fontId="4" fillId="6" borderId="0" xfId="0" applyFont="1" applyFill="1"/>
    <xf numFmtId="0" fontId="40" fillId="6" borderId="0" xfId="0" applyFont="1" applyFill="1"/>
    <xf numFmtId="0" fontId="2" fillId="6" borderId="48" xfId="0" applyFont="1" applyFill="1" applyBorder="1" applyAlignment="1">
      <alignment vertical="center"/>
    </xf>
    <xf numFmtId="0" fontId="2" fillId="6" borderId="48" xfId="0" applyFont="1" applyFill="1" applyBorder="1"/>
    <xf numFmtId="0" fontId="16" fillId="6" borderId="48" xfId="0" applyFont="1" applyFill="1" applyBorder="1"/>
    <xf numFmtId="0" fontId="16" fillId="6" borderId="0" xfId="0" applyFont="1" applyFill="1"/>
    <xf numFmtId="0" fontId="44" fillId="6" borderId="1" xfId="0" applyFont="1" applyFill="1" applyBorder="1" applyAlignment="1">
      <alignment vertical="center"/>
    </xf>
    <xf numFmtId="0" fontId="44" fillId="6" borderId="1" xfId="0" applyFont="1" applyFill="1" applyBorder="1"/>
    <xf numFmtId="0" fontId="44" fillId="6" borderId="0" xfId="0" applyFont="1" applyFill="1"/>
    <xf numFmtId="0" fontId="43" fillId="6" borderId="0" xfId="0" applyFont="1" applyFill="1"/>
    <xf numFmtId="0" fontId="2" fillId="6" borderId="2" xfId="0" applyFont="1" applyFill="1" applyBorder="1"/>
    <xf numFmtId="0" fontId="2" fillId="6" borderId="0" xfId="0" applyFont="1" applyFill="1"/>
    <xf numFmtId="0" fontId="16" fillId="6" borderId="2" xfId="0" applyFont="1" applyFill="1" applyBorder="1"/>
    <xf numFmtId="3" fontId="6" fillId="0" borderId="12" xfId="0" applyNumberFormat="1" applyFont="1" applyFill="1" applyBorder="1" applyAlignment="1">
      <alignment horizontal="center"/>
    </xf>
    <xf numFmtId="168" fontId="6" fillId="0" borderId="12" xfId="0" applyNumberFormat="1" applyFont="1" applyFill="1" applyBorder="1" applyAlignment="1">
      <alignment horizontal="center"/>
    </xf>
    <xf numFmtId="169" fontId="6" fillId="0" borderId="12" xfId="0" applyNumberFormat="1" applyFont="1" applyFill="1" applyBorder="1" applyAlignment="1">
      <alignment horizontal="center"/>
    </xf>
    <xf numFmtId="3" fontId="2" fillId="0" borderId="15" xfId="0" applyNumberFormat="1" applyFont="1" applyFill="1" applyBorder="1"/>
    <xf numFmtId="168" fontId="2" fillId="0" borderId="15" xfId="0" applyNumberFormat="1" applyFont="1" applyFill="1" applyBorder="1"/>
    <xf numFmtId="169" fontId="2" fillId="0" borderId="15" xfId="0" applyNumberFormat="1" applyFont="1" applyFill="1" applyBorder="1"/>
    <xf numFmtId="167" fontId="6" fillId="0" borderId="15" xfId="0" applyNumberFormat="1" applyFont="1" applyFill="1" applyBorder="1" applyAlignment="1">
      <alignment horizontal="center" vertical="center" wrapText="1"/>
    </xf>
    <xf numFmtId="168" fontId="6" fillId="0" borderId="15" xfId="0" applyNumberFormat="1" applyFont="1" applyFill="1" applyBorder="1" applyAlignment="1">
      <alignment horizontal="center" vertical="center" wrapText="1"/>
    </xf>
    <xf numFmtId="169" fontId="6" fillId="0" borderId="15" xfId="0" applyNumberFormat="1" applyFont="1" applyFill="1" applyBorder="1" applyAlignment="1">
      <alignment horizontal="center" vertical="center" wrapText="1"/>
    </xf>
    <xf numFmtId="167" fontId="6" fillId="0" borderId="15" xfId="0" applyNumberFormat="1" applyFont="1" applyFill="1" applyBorder="1" applyAlignment="1">
      <alignment vertical="center" wrapText="1"/>
    </xf>
    <xf numFmtId="168" fontId="6" fillId="0" borderId="15" xfId="0" applyNumberFormat="1" applyFont="1" applyFill="1" applyBorder="1" applyAlignment="1">
      <alignment vertical="center" wrapText="1"/>
    </xf>
    <xf numFmtId="169" fontId="6" fillId="0" borderId="15" xfId="0" applyNumberFormat="1" applyFont="1" applyFill="1" applyBorder="1" applyAlignment="1">
      <alignment vertical="center" wrapText="1"/>
    </xf>
    <xf numFmtId="3" fontId="2" fillId="0" borderId="15" xfId="0" applyNumberFormat="1" applyFont="1" applyFill="1" applyBorder="1" applyAlignment="1">
      <alignment horizontal="center" vertical="center" wrapText="1"/>
    </xf>
    <xf numFmtId="169" fontId="2" fillId="0" borderId="15" xfId="0" applyNumberFormat="1" applyFont="1" applyFill="1" applyBorder="1" applyAlignment="1">
      <alignment vertical="center"/>
    </xf>
    <xf numFmtId="167" fontId="6" fillId="0" borderId="48" xfId="0" applyNumberFormat="1" applyFont="1" applyBorder="1" applyAlignment="1">
      <alignment horizontal="left" wrapText="1"/>
    </xf>
    <xf numFmtId="167" fontId="34" fillId="0" borderId="48" xfId="0" applyNumberFormat="1" applyFont="1" applyBorder="1" applyAlignment="1">
      <alignment horizontal="left" wrapText="1"/>
    </xf>
    <xf numFmtId="167" fontId="2" fillId="0" borderId="48" xfId="0" applyNumberFormat="1" applyFont="1" applyBorder="1" applyAlignment="1">
      <alignment horizontal="left" wrapText="1"/>
    </xf>
    <xf numFmtId="167" fontId="6" fillId="0" borderId="48" xfId="0" applyNumberFormat="1" applyFont="1" applyBorder="1" applyAlignment="1">
      <alignment horizontal="left" vertical="center" wrapText="1"/>
    </xf>
    <xf numFmtId="3" fontId="6" fillId="0" borderId="48" xfId="0" applyNumberFormat="1" applyFont="1" applyBorder="1" applyAlignment="1">
      <alignment vertical="center" wrapText="1"/>
    </xf>
    <xf numFmtId="3" fontId="2" fillId="0" borderId="48" xfId="0" applyNumberFormat="1" applyFont="1" applyBorder="1" applyAlignment="1">
      <alignment vertical="center" wrapText="1"/>
    </xf>
    <xf numFmtId="0" fontId="6" fillId="0" borderId="48" xfId="0" applyFont="1" applyBorder="1" applyAlignment="1">
      <alignment wrapText="1"/>
    </xf>
    <xf numFmtId="0" fontId="58" fillId="6" borderId="0" xfId="0" applyFont="1" applyFill="1"/>
    <xf numFmtId="168" fontId="12" fillId="0" borderId="48" xfId="0" applyNumberFormat="1" applyFont="1" applyBorder="1" applyAlignment="1">
      <alignment vertical="center"/>
    </xf>
    <xf numFmtId="167" fontId="22" fillId="7" borderId="48" xfId="0" applyNumberFormat="1" applyFont="1" applyFill="1" applyBorder="1" applyAlignment="1">
      <alignment horizontal="right" vertical="center"/>
    </xf>
    <xf numFmtId="167" fontId="22" fillId="0" borderId="48" xfId="0" applyNumberFormat="1" applyFont="1" applyBorder="1" applyAlignment="1">
      <alignment horizontal="right" vertical="center"/>
    </xf>
    <xf numFmtId="168" fontId="45" fillId="8" borderId="48" xfId="0" applyNumberFormat="1" applyFont="1" applyFill="1" applyBorder="1" applyAlignment="1">
      <alignment vertical="center"/>
    </xf>
    <xf numFmtId="168" fontId="12" fillId="6" borderId="48" xfId="0" applyNumberFormat="1" applyFont="1" applyFill="1" applyBorder="1" applyAlignment="1">
      <alignment vertical="center"/>
    </xf>
    <xf numFmtId="167" fontId="21" fillId="6" borderId="48" xfId="0" applyNumberFormat="1" applyFont="1" applyFill="1" applyBorder="1" applyAlignment="1">
      <alignment horizontal="right" vertical="center"/>
    </xf>
    <xf numFmtId="168" fontId="45" fillId="6" borderId="48" xfId="0" applyNumberFormat="1" applyFont="1" applyFill="1" applyBorder="1" applyAlignment="1">
      <alignment vertical="center"/>
    </xf>
    <xf numFmtId="0" fontId="48" fillId="0" borderId="48" xfId="0" applyFont="1" applyBorder="1" applyAlignment="1">
      <alignment vertical="center"/>
    </xf>
    <xf numFmtId="168" fontId="11" fillId="8" borderId="48" xfId="0" applyNumberFormat="1" applyFont="1" applyFill="1" applyBorder="1" applyAlignment="1">
      <alignment vertical="center"/>
    </xf>
    <xf numFmtId="3" fontId="6" fillId="0" borderId="49" xfId="0" applyNumberFormat="1" applyFont="1" applyFill="1" applyBorder="1" applyAlignment="1">
      <alignment horizontal="center" vertical="center"/>
    </xf>
    <xf numFmtId="3" fontId="2" fillId="0" borderId="49" xfId="0" applyNumberFormat="1" applyFont="1" applyFill="1" applyBorder="1" applyAlignment="1">
      <alignment horizontal="center" vertical="center" wrapText="1"/>
    </xf>
    <xf numFmtId="168" fontId="6" fillId="0" borderId="49" xfId="0" applyNumberFormat="1" applyFont="1" applyFill="1" applyBorder="1" applyAlignment="1">
      <alignment vertical="center"/>
    </xf>
    <xf numFmtId="3" fontId="2" fillId="0" borderId="49" xfId="0" applyNumberFormat="1" applyFont="1" applyFill="1" applyBorder="1" applyAlignment="1">
      <alignment vertical="center"/>
    </xf>
    <xf numFmtId="168" fontId="2" fillId="0" borderId="49" xfId="0" applyNumberFormat="1" applyFont="1" applyFill="1" applyBorder="1" applyAlignment="1">
      <alignment vertical="center"/>
    </xf>
    <xf numFmtId="169" fontId="2" fillId="0" borderId="49" xfId="0" applyNumberFormat="1" applyFont="1" applyFill="1" applyBorder="1" applyAlignment="1">
      <alignment vertical="center"/>
    </xf>
    <xf numFmtId="0" fontId="2" fillId="0" borderId="49" xfId="0" applyFont="1" applyFill="1" applyBorder="1" applyAlignment="1">
      <alignment vertical="center"/>
    </xf>
    <xf numFmtId="0" fontId="14" fillId="0" borderId="49" xfId="0" applyFont="1" applyFill="1" applyBorder="1" applyAlignment="1">
      <alignment vertical="center"/>
    </xf>
    <xf numFmtId="3" fontId="14" fillId="0" borderId="49" xfId="0" applyNumberFormat="1" applyFont="1" applyFill="1" applyBorder="1" applyAlignment="1">
      <alignment horizontal="center" vertical="center" wrapText="1"/>
    </xf>
    <xf numFmtId="168" fontId="14" fillId="0" borderId="49" xfId="0" applyNumberFormat="1" applyFont="1" applyFill="1" applyBorder="1" applyAlignment="1">
      <alignment vertical="center"/>
    </xf>
    <xf numFmtId="169" fontId="14" fillId="0" borderId="49" xfId="0" applyNumberFormat="1" applyFont="1" applyFill="1" applyBorder="1" applyAlignment="1">
      <alignment vertical="center"/>
    </xf>
    <xf numFmtId="0" fontId="11" fillId="8" borderId="1" xfId="0" applyFont="1" applyFill="1" applyBorder="1" applyAlignment="1">
      <alignment vertical="center"/>
    </xf>
    <xf numFmtId="0" fontId="12" fillId="8" borderId="1" xfId="0" applyFont="1" applyFill="1" applyBorder="1" applyAlignment="1">
      <alignment vertical="center"/>
    </xf>
    <xf numFmtId="0" fontId="18" fillId="8" borderId="1" xfId="0" applyFont="1" applyFill="1" applyBorder="1" applyAlignment="1">
      <alignment vertical="center"/>
    </xf>
    <xf numFmtId="0" fontId="18" fillId="8" borderId="0" xfId="0" applyFont="1" applyFill="1" applyAlignment="1">
      <alignment vertical="center"/>
    </xf>
    <xf numFmtId="0" fontId="58" fillId="8" borderId="0" xfId="0" applyFont="1" applyFill="1" applyAlignment="1">
      <alignment vertical="center"/>
    </xf>
    <xf numFmtId="0" fontId="65" fillId="8" borderId="0" xfId="0" applyFont="1" applyFill="1"/>
    <xf numFmtId="167" fontId="22" fillId="0" borderId="48" xfId="0" applyNumberFormat="1" applyFont="1" applyBorder="1" applyAlignment="1">
      <alignment horizontal="left" vertical="center" wrapText="1"/>
    </xf>
    <xf numFmtId="167" fontId="21" fillId="0" borderId="48" xfId="0" applyNumberFormat="1" applyFont="1" applyBorder="1" applyAlignment="1">
      <alignment horizontal="left" vertical="center" wrapText="1"/>
    </xf>
    <xf numFmtId="168" fontId="45" fillId="0" borderId="48" xfId="0" applyNumberFormat="1" applyFont="1" applyBorder="1" applyAlignment="1">
      <alignment vertical="center"/>
    </xf>
    <xf numFmtId="0" fontId="65" fillId="0" borderId="0" xfId="0" applyFont="1"/>
    <xf numFmtId="3" fontId="15" fillId="0" borderId="48" xfId="0" applyNumberFormat="1" applyFont="1" applyBorder="1" applyAlignment="1">
      <alignment vertical="center"/>
    </xf>
    <xf numFmtId="0" fontId="25" fillId="0" borderId="1" xfId="0" applyFont="1" applyBorder="1" applyAlignment="1">
      <alignment vertical="center"/>
    </xf>
    <xf numFmtId="0" fontId="25" fillId="0" borderId="0" xfId="0" applyFont="1" applyAlignment="1">
      <alignment vertical="center"/>
    </xf>
    <xf numFmtId="0" fontId="58" fillId="0" borderId="0" xfId="0" applyFont="1" applyAlignment="1">
      <alignment vertical="center"/>
    </xf>
    <xf numFmtId="168" fontId="12" fillId="8" borderId="48" xfId="0" applyNumberFormat="1" applyFont="1" applyFill="1" applyBorder="1" applyAlignment="1">
      <alignment vertical="center"/>
    </xf>
    <xf numFmtId="0" fontId="25" fillId="7" borderId="48" xfId="0" applyFont="1" applyFill="1" applyBorder="1"/>
    <xf numFmtId="0" fontId="16" fillId="7" borderId="48" xfId="0" applyFont="1" applyFill="1" applyBorder="1"/>
    <xf numFmtId="0" fontId="25" fillId="0" borderId="48" xfId="0" applyFont="1" applyBorder="1" applyAlignment="1">
      <alignment vertical="center"/>
    </xf>
    <xf numFmtId="0" fontId="30" fillId="0" borderId="48" xfId="0" applyFont="1" applyBorder="1"/>
    <xf numFmtId="0" fontId="27" fillId="7" borderId="48" xfId="0" applyFont="1" applyFill="1" applyBorder="1"/>
    <xf numFmtId="0" fontId="2" fillId="7" borderId="48" xfId="0" applyFont="1" applyFill="1" applyBorder="1"/>
    <xf numFmtId="0" fontId="16" fillId="8" borderId="48" xfId="0" applyFont="1" applyFill="1" applyBorder="1"/>
    <xf numFmtId="3" fontId="6" fillId="0" borderId="19" xfId="0" applyNumberFormat="1" applyFont="1" applyFill="1" applyBorder="1" applyAlignment="1">
      <alignment horizontal="center" vertical="center"/>
    </xf>
    <xf numFmtId="168" fontId="6" fillId="0" borderId="19" xfId="0" applyNumberFormat="1" applyFont="1" applyFill="1" applyBorder="1" applyAlignment="1">
      <alignment horizontal="center" vertical="center"/>
    </xf>
    <xf numFmtId="0" fontId="12" fillId="6" borderId="1" xfId="0" applyFont="1" applyFill="1" applyBorder="1"/>
    <xf numFmtId="0" fontId="12" fillId="6" borderId="0" xfId="0" applyFont="1" applyFill="1"/>
    <xf numFmtId="0" fontId="45" fillId="6" borderId="1" xfId="0" applyFont="1" applyFill="1" applyBorder="1"/>
    <xf numFmtId="0" fontId="45" fillId="6" borderId="0" xfId="0" applyFont="1" applyFill="1"/>
    <xf numFmtId="0" fontId="65" fillId="6" borderId="0" xfId="0" applyFont="1" applyFill="1"/>
    <xf numFmtId="3" fontId="12" fillId="0" borderId="48" xfId="0" applyNumberFormat="1" applyFont="1" applyBorder="1" applyAlignment="1">
      <alignment vertical="center"/>
    </xf>
    <xf numFmtId="0" fontId="12" fillId="0" borderId="48" xfId="0" applyFont="1" applyBorder="1" applyAlignment="1">
      <alignment vertical="center"/>
    </xf>
    <xf numFmtId="0" fontId="12" fillId="7" borderId="48" xfId="0" applyFont="1" applyFill="1" applyBorder="1" applyAlignment="1">
      <alignment vertical="center"/>
    </xf>
    <xf numFmtId="0" fontId="11" fillId="6" borderId="48" xfId="0" applyFont="1" applyFill="1" applyBorder="1" applyAlignment="1">
      <alignment vertical="center"/>
    </xf>
    <xf numFmtId="0" fontId="44" fillId="6" borderId="48" xfId="0" applyFont="1" applyFill="1" applyBorder="1" applyAlignment="1">
      <alignment vertical="center"/>
    </xf>
    <xf numFmtId="0" fontId="2" fillId="6" borderId="6" xfId="0" applyFont="1" applyFill="1" applyBorder="1"/>
    <xf numFmtId="0" fontId="16" fillId="6" borderId="6" xfId="0" applyFont="1" applyFill="1" applyBorder="1"/>
    <xf numFmtId="0" fontId="28" fillId="0" borderId="48" xfId="0" applyFont="1" applyBorder="1"/>
    <xf numFmtId="0" fontId="51" fillId="3" borderId="48" xfId="0" applyFont="1" applyFill="1" applyBorder="1" applyAlignment="1">
      <alignment wrapText="1"/>
    </xf>
    <xf numFmtId="0" fontId="13" fillId="0" borderId="20" xfId="0" applyFont="1" applyBorder="1" applyAlignment="1">
      <alignment vertical="center"/>
    </xf>
    <xf numFmtId="0" fontId="13" fillId="7" borderId="20" xfId="0" applyFont="1" applyFill="1" applyBorder="1" applyAlignment="1">
      <alignment vertical="center"/>
    </xf>
    <xf numFmtId="0" fontId="48" fillId="0" borderId="48" xfId="0" applyFont="1" applyBorder="1" applyAlignment="1">
      <alignment horizontal="left" vertical="center" wrapText="1"/>
    </xf>
    <xf numFmtId="0" fontId="11" fillId="0" borderId="48" xfId="0" applyFont="1" applyBorder="1" applyAlignment="1">
      <alignment horizontal="left" vertical="center" wrapText="1"/>
    </xf>
    <xf numFmtId="0" fontId="3" fillId="0" borderId="20" xfId="0" applyFont="1" applyBorder="1" applyAlignment="1">
      <alignment vertical="center"/>
    </xf>
    <xf numFmtId="3" fontId="11" fillId="0" borderId="2" xfId="0" applyNumberFormat="1" applyFont="1" applyFill="1" applyBorder="1" applyAlignment="1">
      <alignment horizontal="center" vertical="center" wrapText="1"/>
    </xf>
    <xf numFmtId="3" fontId="6" fillId="0" borderId="2" xfId="0" applyNumberFormat="1" applyFont="1" applyFill="1" applyBorder="1" applyAlignment="1">
      <alignment vertical="center" wrapText="1"/>
    </xf>
    <xf numFmtId="3" fontId="11" fillId="0" borderId="2" xfId="0" applyNumberFormat="1" applyFont="1" applyFill="1" applyBorder="1" applyAlignment="1">
      <alignment vertical="center" wrapText="1"/>
    </xf>
    <xf numFmtId="166" fontId="6" fillId="0" borderId="2" xfId="0" applyNumberFormat="1"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168" fontId="12" fillId="0" borderId="49" xfId="0" applyNumberFormat="1" applyFont="1" applyFill="1" applyBorder="1" applyAlignment="1">
      <alignment horizontal="center" vertical="center"/>
    </xf>
    <xf numFmtId="167" fontId="12" fillId="0" borderId="49" xfId="0" applyNumberFormat="1" applyFont="1" applyFill="1" applyBorder="1" applyAlignment="1">
      <alignment vertical="center"/>
    </xf>
    <xf numFmtId="3" fontId="11" fillId="0" borderId="2" xfId="0" quotePrefix="1" applyNumberFormat="1" applyFont="1" applyFill="1" applyBorder="1" applyAlignment="1">
      <alignment horizontal="left" vertical="center" wrapText="1"/>
    </xf>
    <xf numFmtId="166" fontId="11" fillId="0" borderId="2" xfId="0" applyNumberFormat="1" applyFont="1" applyFill="1" applyBorder="1" applyAlignment="1">
      <alignment vertical="center" wrapText="1"/>
    </xf>
    <xf numFmtId="168" fontId="12" fillId="0" borderId="49" xfId="0" applyNumberFormat="1" applyFont="1" applyFill="1" applyBorder="1" applyAlignment="1">
      <alignment vertical="center"/>
    </xf>
    <xf numFmtId="3" fontId="13" fillId="0" borderId="2" xfId="0" applyNumberFormat="1" applyFont="1" applyFill="1" applyBorder="1" applyAlignment="1">
      <alignment horizontal="center" vertical="center" wrapText="1"/>
    </xf>
    <xf numFmtId="3" fontId="13" fillId="0" borderId="2" xfId="0" quotePrefix="1" applyNumberFormat="1" applyFont="1" applyFill="1" applyBorder="1" applyAlignment="1">
      <alignment horizontal="left" vertical="center" wrapText="1"/>
    </xf>
    <xf numFmtId="3" fontId="2" fillId="0" borderId="2" xfId="0" applyNumberFormat="1" applyFont="1" applyFill="1" applyBorder="1" applyAlignment="1">
      <alignment vertical="center" wrapText="1"/>
    </xf>
    <xf numFmtId="3" fontId="13" fillId="0" borderId="2" xfId="0" applyNumberFormat="1" applyFont="1" applyFill="1" applyBorder="1" applyAlignment="1">
      <alignment vertical="center" wrapText="1"/>
    </xf>
    <xf numFmtId="166" fontId="2" fillId="0" borderId="2" xfId="0" applyNumberFormat="1" applyFont="1" applyFill="1" applyBorder="1" applyAlignment="1">
      <alignment horizontal="center" vertical="center" wrapText="1"/>
    </xf>
    <xf numFmtId="166" fontId="13" fillId="0" borderId="2" xfId="0" applyNumberFormat="1" applyFont="1" applyFill="1" applyBorder="1" applyAlignment="1">
      <alignment vertical="center" wrapText="1"/>
    </xf>
    <xf numFmtId="3" fontId="13" fillId="0" borderId="33" xfId="0" applyNumberFormat="1" applyFont="1" applyFill="1" applyBorder="1" applyAlignment="1">
      <alignment horizontal="center" vertical="center" wrapText="1"/>
    </xf>
    <xf numFmtId="168" fontId="15" fillId="0" borderId="49" xfId="0" applyNumberFormat="1" applyFont="1" applyFill="1" applyBorder="1" applyAlignment="1">
      <alignment vertical="center"/>
    </xf>
    <xf numFmtId="3" fontId="15" fillId="0" borderId="49" xfId="0" applyNumberFormat="1" applyFont="1" applyFill="1" applyBorder="1" applyAlignment="1">
      <alignment vertical="center"/>
    </xf>
    <xf numFmtId="0" fontId="13" fillId="0" borderId="2" xfId="0" quotePrefix="1" applyFont="1" applyFill="1" applyBorder="1" applyAlignment="1">
      <alignment horizontal="left" vertical="center" wrapText="1"/>
    </xf>
    <xf numFmtId="0" fontId="2" fillId="0" borderId="2" xfId="0" applyFont="1" applyFill="1" applyBorder="1" applyAlignment="1">
      <alignment horizontal="center" vertical="center" wrapText="1"/>
    </xf>
    <xf numFmtId="0" fontId="12" fillId="0" borderId="49" xfId="0" applyFont="1" applyFill="1" applyBorder="1" applyAlignment="1">
      <alignment vertical="center"/>
    </xf>
    <xf numFmtId="3" fontId="18"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3" fontId="17" fillId="0" borderId="2" xfId="0" applyNumberFormat="1" applyFont="1" applyFill="1" applyBorder="1" applyAlignment="1">
      <alignment horizontal="center" vertical="center" wrapText="1"/>
    </xf>
    <xf numFmtId="168" fontId="17" fillId="0" borderId="49" xfId="0" applyNumberFormat="1" applyFont="1" applyFill="1" applyBorder="1" applyAlignment="1">
      <alignment vertical="center"/>
    </xf>
    <xf numFmtId="0" fontId="17" fillId="0" borderId="49" xfId="0" applyFont="1" applyFill="1" applyBorder="1" applyAlignment="1">
      <alignment vertical="center"/>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167" fontId="13" fillId="0" borderId="2" xfId="0" applyNumberFormat="1" applyFont="1" applyFill="1" applyBorder="1" applyAlignment="1">
      <alignment horizontal="center" vertical="center" wrapText="1"/>
    </xf>
    <xf numFmtId="169" fontId="2" fillId="0" borderId="2" xfId="0" applyNumberFormat="1" applyFont="1" applyFill="1" applyBorder="1" applyAlignment="1">
      <alignment vertical="center"/>
    </xf>
    <xf numFmtId="171" fontId="13" fillId="0" borderId="2" xfId="0" applyNumberFormat="1" applyFont="1" applyFill="1" applyBorder="1" applyAlignment="1">
      <alignment vertical="center" wrapText="1"/>
    </xf>
    <xf numFmtId="0" fontId="15" fillId="0" borderId="49" xfId="0" applyFont="1" applyFill="1" applyBorder="1" applyAlignment="1">
      <alignment vertical="center"/>
    </xf>
    <xf numFmtId="0" fontId="2" fillId="0" borderId="2" xfId="0" applyFont="1" applyFill="1" applyBorder="1" applyAlignment="1">
      <alignment horizontal="left" vertical="center" wrapText="1"/>
    </xf>
    <xf numFmtId="171" fontId="13" fillId="0" borderId="2" xfId="0" applyNumberFormat="1" applyFont="1" applyFill="1" applyBorder="1" applyAlignment="1">
      <alignment horizontal="center" vertical="center" wrapText="1"/>
    </xf>
    <xf numFmtId="37" fontId="13" fillId="0" borderId="2" xfId="0" applyNumberFormat="1" applyFont="1" applyFill="1" applyBorder="1" applyAlignment="1">
      <alignment horizontal="center" vertical="center" wrapText="1"/>
    </xf>
    <xf numFmtId="169" fontId="6" fillId="0" borderId="49" xfId="0" applyNumberFormat="1" applyFont="1" applyFill="1" applyBorder="1" applyAlignment="1">
      <alignment vertical="center"/>
    </xf>
    <xf numFmtId="0" fontId="13" fillId="0" borderId="33" xfId="0" applyFont="1" applyFill="1" applyBorder="1" applyAlignment="1">
      <alignment horizontal="center" vertical="center" wrapText="1"/>
    </xf>
    <xf numFmtId="3" fontId="21"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13" fillId="0" borderId="2" xfId="0" quotePrefix="1" applyFont="1" applyFill="1" applyBorder="1" applyAlignment="1">
      <alignment horizontal="center" vertical="center" wrapText="1"/>
    </xf>
    <xf numFmtId="3" fontId="24" fillId="0" borderId="49" xfId="0" applyNumberFormat="1" applyFont="1" applyFill="1" applyBorder="1" applyAlignment="1">
      <alignment horizontal="center" vertical="center" wrapText="1"/>
    </xf>
    <xf numFmtId="3" fontId="10" fillId="0" borderId="2" xfId="0" applyNumberFormat="1" applyFont="1" applyFill="1" applyBorder="1" applyAlignment="1">
      <alignment vertical="center" wrapText="1"/>
    </xf>
    <xf numFmtId="3" fontId="11" fillId="0" borderId="13" xfId="0" applyNumberFormat="1" applyFont="1" applyFill="1" applyBorder="1" applyAlignment="1">
      <alignment horizontal="center" vertical="center" wrapText="1"/>
    </xf>
    <xf numFmtId="3" fontId="13" fillId="0" borderId="13" xfId="0" applyNumberFormat="1" applyFont="1" applyFill="1" applyBorder="1" applyAlignment="1">
      <alignment horizontal="center" vertical="center" wrapText="1"/>
    </xf>
    <xf numFmtId="167" fontId="2" fillId="0" borderId="13" xfId="0" applyNumberFormat="1" applyFont="1" applyFill="1" applyBorder="1" applyAlignment="1">
      <alignment horizontal="center" vertical="center" wrapText="1"/>
    </xf>
    <xf numFmtId="167" fontId="22" fillId="0" borderId="49" xfId="0" applyNumberFormat="1" applyFont="1" applyFill="1" applyBorder="1" applyAlignment="1">
      <alignment horizontal="right" vertical="center"/>
    </xf>
    <xf numFmtId="3" fontId="11" fillId="0" borderId="51" xfId="0" applyNumberFormat="1" applyFont="1" applyFill="1" applyBorder="1" applyAlignment="1">
      <alignment horizontal="center" vertical="center" wrapText="1"/>
    </xf>
    <xf numFmtId="3" fontId="13" fillId="0" borderId="51" xfId="0" applyNumberFormat="1" applyFont="1" applyFill="1" applyBorder="1" applyAlignment="1">
      <alignment horizontal="center" vertical="center" wrapText="1"/>
    </xf>
    <xf numFmtId="3" fontId="2" fillId="0" borderId="51" xfId="0" applyNumberFormat="1" applyFont="1" applyFill="1" applyBorder="1" applyAlignment="1">
      <alignment horizontal="center" vertical="center" wrapText="1"/>
    </xf>
    <xf numFmtId="167" fontId="2" fillId="0" borderId="51" xfId="0" applyNumberFormat="1" applyFont="1" applyFill="1" applyBorder="1" applyAlignment="1">
      <alignment horizontal="right" vertical="center" wrapText="1"/>
    </xf>
    <xf numFmtId="167" fontId="2" fillId="0" borderId="51" xfId="0" applyNumberFormat="1" applyFont="1" applyFill="1" applyBorder="1" applyAlignment="1">
      <alignment horizontal="center" vertical="center" wrapText="1"/>
    </xf>
    <xf numFmtId="9" fontId="13" fillId="0" borderId="51" xfId="0" applyNumberFormat="1" applyFont="1" applyFill="1" applyBorder="1" applyAlignment="1">
      <alignment vertical="center" wrapText="1"/>
    </xf>
    <xf numFmtId="3" fontId="11" fillId="0" borderId="49" xfId="0" applyNumberFormat="1" applyFont="1" applyFill="1" applyBorder="1" applyAlignment="1">
      <alignment horizontal="center" vertical="center" wrapText="1"/>
    </xf>
    <xf numFmtId="167" fontId="2" fillId="0" borderId="49" xfId="0" applyNumberFormat="1" applyFont="1" applyFill="1" applyBorder="1" applyAlignment="1">
      <alignment horizontal="center" vertical="center" wrapText="1"/>
    </xf>
    <xf numFmtId="9" fontId="13" fillId="0" borderId="49" xfId="0" applyNumberFormat="1" applyFont="1" applyFill="1" applyBorder="1" applyAlignment="1">
      <alignment vertical="center" wrapText="1"/>
    </xf>
    <xf numFmtId="3" fontId="11" fillId="0" borderId="18" xfId="0" applyNumberFormat="1" applyFont="1" applyFill="1" applyBorder="1" applyAlignment="1">
      <alignment horizontal="center" vertical="center" wrapText="1"/>
    </xf>
    <xf numFmtId="3" fontId="13" fillId="0" borderId="18" xfId="0" applyNumberFormat="1" applyFont="1" applyFill="1" applyBorder="1" applyAlignment="1">
      <alignment horizontal="center" vertical="center" wrapText="1"/>
    </xf>
    <xf numFmtId="167" fontId="2" fillId="0" borderId="18" xfId="0" applyNumberFormat="1" applyFont="1" applyFill="1" applyBorder="1" applyAlignment="1">
      <alignment horizontal="center" vertical="center" wrapText="1"/>
    </xf>
    <xf numFmtId="167"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9" fontId="13" fillId="0" borderId="2" xfId="0" applyNumberFormat="1" applyFont="1" applyFill="1" applyBorder="1" applyAlignment="1">
      <alignment vertical="center" wrapText="1"/>
    </xf>
    <xf numFmtId="172" fontId="2" fillId="0" borderId="13" xfId="0" applyNumberFormat="1" applyFont="1" applyFill="1" applyBorder="1" applyAlignment="1">
      <alignment horizontal="center" vertical="center" wrapText="1"/>
    </xf>
    <xf numFmtId="3" fontId="13" fillId="0" borderId="49" xfId="0" applyNumberFormat="1" applyFont="1" applyFill="1" applyBorder="1" applyAlignment="1">
      <alignment vertical="center" wrapText="1"/>
    </xf>
    <xf numFmtId="172" fontId="2" fillId="0" borderId="2" xfId="0" applyNumberFormat="1" applyFont="1" applyFill="1" applyBorder="1" applyAlignment="1">
      <alignment horizontal="center" vertical="center" wrapText="1"/>
    </xf>
    <xf numFmtId="172" fontId="2" fillId="0" borderId="49" xfId="0" applyNumberFormat="1" applyFont="1" applyFill="1" applyBorder="1" applyAlignment="1">
      <alignment horizontal="center" vertical="center" wrapText="1"/>
    </xf>
    <xf numFmtId="167" fontId="6" fillId="0" borderId="2" xfId="0" applyNumberFormat="1" applyFont="1" applyFill="1" applyBorder="1" applyAlignment="1">
      <alignment horizontal="center" vertical="center" wrapText="1"/>
    </xf>
    <xf numFmtId="3" fontId="11" fillId="0" borderId="6" xfId="0" applyNumberFormat="1" applyFont="1" applyFill="1" applyBorder="1" applyAlignment="1">
      <alignment horizontal="center" vertical="center" wrapText="1"/>
    </xf>
    <xf numFmtId="0" fontId="13" fillId="0" borderId="18" xfId="0" applyFont="1" applyFill="1" applyBorder="1" applyAlignment="1">
      <alignment horizontal="left" vertical="center" wrapText="1"/>
    </xf>
    <xf numFmtId="3" fontId="13" fillId="0" borderId="2"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167" fontId="11" fillId="0" borderId="2" xfId="0" applyNumberFormat="1" applyFont="1" applyFill="1" applyBorder="1" applyAlignment="1">
      <alignment horizontal="center" vertical="center" wrapText="1"/>
    </xf>
    <xf numFmtId="3" fontId="11" fillId="0" borderId="33" xfId="0" applyNumberFormat="1" applyFont="1" applyFill="1" applyBorder="1" applyAlignment="1">
      <alignment vertical="center" wrapText="1"/>
    </xf>
    <xf numFmtId="3" fontId="45" fillId="0" borderId="2" xfId="0" applyNumberFormat="1" applyFont="1" applyFill="1" applyBorder="1" applyAlignment="1">
      <alignment horizontal="center" vertical="center" wrapText="1"/>
    </xf>
    <xf numFmtId="166" fontId="46" fillId="0" borderId="2" xfId="0" applyNumberFormat="1" applyFont="1" applyFill="1" applyBorder="1" applyAlignment="1">
      <alignment horizontal="center" vertical="center" wrapText="1"/>
    </xf>
    <xf numFmtId="166" fontId="45" fillId="0" borderId="2" xfId="0" applyNumberFormat="1" applyFont="1" applyFill="1" applyBorder="1" applyAlignment="1">
      <alignment vertical="center" wrapText="1"/>
    </xf>
    <xf numFmtId="3" fontId="45" fillId="0" borderId="33" xfId="0" applyNumberFormat="1" applyFont="1" applyFill="1" applyBorder="1" applyAlignment="1">
      <alignment horizontal="center" vertical="center" wrapText="1"/>
    </xf>
    <xf numFmtId="0" fontId="6" fillId="0" borderId="49" xfId="0" applyFont="1" applyFill="1" applyBorder="1" applyAlignment="1">
      <alignment vertical="center"/>
    </xf>
    <xf numFmtId="3" fontId="6" fillId="0" borderId="49" xfId="0" applyNumberFormat="1" applyFont="1" applyFill="1" applyBorder="1" applyAlignment="1">
      <alignment horizontal="center" vertical="center" wrapText="1"/>
    </xf>
    <xf numFmtId="168" fontId="45" fillId="0" borderId="49" xfId="0" applyNumberFormat="1" applyFont="1" applyFill="1" applyBorder="1" applyAlignment="1">
      <alignment vertical="center"/>
    </xf>
    <xf numFmtId="180" fontId="45" fillId="0" borderId="49" xfId="0" applyNumberFormat="1" applyFont="1" applyFill="1" applyBorder="1" applyAlignment="1">
      <alignment vertical="center"/>
    </xf>
    <xf numFmtId="174" fontId="2" fillId="0" borderId="2" xfId="0" applyNumberFormat="1" applyFont="1" applyFill="1" applyBorder="1" applyAlignment="1">
      <alignment horizontal="center" vertical="center" wrapText="1"/>
    </xf>
    <xf numFmtId="166" fontId="11" fillId="0" borderId="2" xfId="0" applyNumberFormat="1" applyFont="1" applyFill="1" applyBorder="1" applyAlignment="1">
      <alignment horizontal="center" vertical="center" wrapText="1"/>
    </xf>
    <xf numFmtId="169" fontId="2" fillId="0" borderId="2" xfId="0" applyNumberFormat="1" applyFont="1" applyFill="1" applyBorder="1" applyAlignment="1">
      <alignment horizontal="center" vertical="center"/>
    </xf>
    <xf numFmtId="166" fontId="2" fillId="0" borderId="2" xfId="0" applyNumberFormat="1" applyFont="1" applyFill="1" applyBorder="1" applyAlignment="1">
      <alignment vertical="center" wrapText="1"/>
    </xf>
    <xf numFmtId="171" fontId="2" fillId="0" borderId="2" xfId="0" applyNumberFormat="1" applyFont="1" applyFill="1" applyBorder="1" applyAlignment="1">
      <alignment horizontal="center" vertical="center" wrapText="1"/>
    </xf>
    <xf numFmtId="3" fontId="11" fillId="0" borderId="2" xfId="0" applyNumberFormat="1" applyFont="1" applyFill="1" applyBorder="1" applyAlignment="1">
      <alignment horizontal="left" vertical="center" wrapText="1"/>
    </xf>
    <xf numFmtId="3" fontId="6" fillId="0" borderId="2" xfId="0" applyNumberFormat="1" applyFont="1" applyFill="1" applyBorder="1" applyAlignment="1">
      <alignment horizontal="center" vertical="center" wrapText="1"/>
    </xf>
    <xf numFmtId="3" fontId="13" fillId="0" borderId="18" xfId="0" applyNumberFormat="1" applyFont="1" applyFill="1" applyBorder="1" applyAlignment="1">
      <alignment horizontal="left" vertical="center" wrapText="1"/>
    </xf>
    <xf numFmtId="0" fontId="4" fillId="0" borderId="49" xfId="0" applyFont="1" applyFill="1" applyBorder="1" applyAlignment="1">
      <alignment vertical="center"/>
    </xf>
    <xf numFmtId="168" fontId="4" fillId="0" borderId="49" xfId="0" applyNumberFormat="1" applyFont="1" applyFill="1" applyBorder="1" applyAlignment="1">
      <alignment vertical="center"/>
    </xf>
    <xf numFmtId="168" fontId="13" fillId="0" borderId="49" xfId="0" applyNumberFormat="1" applyFont="1" applyFill="1" applyBorder="1" applyAlignment="1">
      <alignment vertical="center"/>
    </xf>
    <xf numFmtId="3" fontId="13" fillId="0" borderId="49" xfId="0" applyNumberFormat="1" applyFont="1" applyFill="1" applyBorder="1" applyAlignment="1">
      <alignment vertical="center"/>
    </xf>
    <xf numFmtId="37" fontId="13" fillId="0" borderId="2" xfId="0" quotePrefix="1" applyNumberFormat="1" applyFont="1" applyFill="1" applyBorder="1" applyAlignment="1">
      <alignment horizontal="center" vertical="center" wrapText="1"/>
    </xf>
    <xf numFmtId="0" fontId="13" fillId="0" borderId="49" xfId="0" applyFont="1" applyFill="1" applyBorder="1" applyAlignment="1">
      <alignment vertical="center"/>
    </xf>
    <xf numFmtId="168" fontId="2" fillId="0" borderId="49" xfId="0" applyNumberFormat="1" applyFont="1" applyFill="1" applyBorder="1" applyAlignment="1">
      <alignment horizontal="center" vertical="center"/>
    </xf>
    <xf numFmtId="168" fontId="11" fillId="0" borderId="49" xfId="0" applyNumberFormat="1" applyFont="1" applyFill="1" applyBorder="1" applyAlignment="1">
      <alignment vertical="center"/>
    </xf>
    <xf numFmtId="0" fontId="11" fillId="0" borderId="49" xfId="0" applyFont="1" applyFill="1" applyBorder="1" applyAlignment="1">
      <alignment vertical="center"/>
    </xf>
    <xf numFmtId="167" fontId="21" fillId="0" borderId="49" xfId="0" applyNumberFormat="1" applyFont="1" applyFill="1" applyBorder="1" applyAlignment="1">
      <alignment horizontal="right" vertical="center"/>
    </xf>
    <xf numFmtId="172" fontId="13" fillId="0" borderId="2" xfId="0" applyNumberFormat="1" applyFont="1" applyFill="1" applyBorder="1" applyAlignment="1">
      <alignment vertical="center" wrapText="1"/>
    </xf>
    <xf numFmtId="3" fontId="45" fillId="0" borderId="33" xfId="0" applyNumberFormat="1" applyFont="1" applyFill="1" applyBorder="1" applyAlignment="1">
      <alignment vertical="center" wrapText="1"/>
    </xf>
    <xf numFmtId="178" fontId="45" fillId="0" borderId="2" xfId="1" applyNumberFormat="1" applyFont="1" applyFill="1" applyBorder="1" applyAlignment="1">
      <alignment horizontal="center" vertical="center" wrapText="1"/>
    </xf>
    <xf numFmtId="165" fontId="6" fillId="0" borderId="49" xfId="1" applyFont="1" applyFill="1" applyBorder="1" applyAlignment="1">
      <alignment vertical="center"/>
    </xf>
    <xf numFmtId="173" fontId="11" fillId="0" borderId="2" xfId="0" applyNumberFormat="1" applyFont="1" applyFill="1" applyBorder="1" applyAlignment="1">
      <alignment horizontal="center" vertical="center" wrapText="1"/>
    </xf>
    <xf numFmtId="0" fontId="0" fillId="0" borderId="0" xfId="0" applyFill="1"/>
    <xf numFmtId="169" fontId="13" fillId="0" borderId="49" xfId="0" applyNumberFormat="1" applyFont="1" applyFill="1" applyBorder="1" applyAlignment="1">
      <alignment vertical="center"/>
    </xf>
    <xf numFmtId="0" fontId="16" fillId="0" borderId="15" xfId="0" applyFont="1" applyFill="1" applyBorder="1" applyAlignment="1">
      <alignment horizontal="center" vertical="center" wrapText="1"/>
    </xf>
    <xf numFmtId="167" fontId="17" fillId="0" borderId="2" xfId="0" applyNumberFormat="1" applyFont="1" applyFill="1" applyBorder="1" applyAlignment="1">
      <alignment horizontal="center" vertical="center" wrapText="1"/>
    </xf>
    <xf numFmtId="178" fontId="16" fillId="0" borderId="15" xfId="1" applyNumberFormat="1" applyFont="1" applyFill="1" applyBorder="1" applyAlignment="1">
      <alignment vertical="center"/>
    </xf>
    <xf numFmtId="171" fontId="17" fillId="0" borderId="2" xfId="0" applyNumberFormat="1" applyFont="1" applyFill="1" applyBorder="1" applyAlignment="1">
      <alignment vertical="center" wrapText="1"/>
    </xf>
    <xf numFmtId="0" fontId="13" fillId="0" borderId="13"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2" fillId="0" borderId="49" xfId="0" applyFont="1" applyFill="1" applyBorder="1" applyAlignment="1">
      <alignment horizontal="center" vertical="center" wrapText="1"/>
    </xf>
    <xf numFmtId="167" fontId="13" fillId="0" borderId="6" xfId="0" applyNumberFormat="1" applyFont="1" applyFill="1" applyBorder="1" applyAlignment="1">
      <alignment horizontal="center" vertical="center" wrapText="1"/>
    </xf>
    <xf numFmtId="3" fontId="10" fillId="0" borderId="2" xfId="0" applyNumberFormat="1" applyFont="1" applyFill="1" applyBorder="1" applyAlignment="1">
      <alignment horizontal="center" vertical="center"/>
    </xf>
    <xf numFmtId="0" fontId="2" fillId="0" borderId="33" xfId="0" applyFont="1" applyFill="1" applyBorder="1" applyAlignment="1">
      <alignment horizontal="center" vertical="center"/>
    </xf>
    <xf numFmtId="9" fontId="13" fillId="0" borderId="2" xfId="0" applyNumberFormat="1" applyFont="1" applyFill="1" applyBorder="1" applyAlignment="1">
      <alignment vertical="center"/>
    </xf>
    <xf numFmtId="9" fontId="2" fillId="0" borderId="34" xfId="0" applyNumberFormat="1" applyFont="1" applyFill="1" applyBorder="1" applyAlignment="1">
      <alignment horizontal="center" vertical="center"/>
    </xf>
    <xf numFmtId="3" fontId="2" fillId="0" borderId="15" xfId="0" applyNumberFormat="1" applyFont="1" applyFill="1" applyBorder="1" applyAlignment="1">
      <alignment horizontal="right" vertical="center" wrapText="1"/>
    </xf>
    <xf numFmtId="171" fontId="2" fillId="0" borderId="2" xfId="0" applyNumberFormat="1" applyFont="1" applyFill="1" applyBorder="1" applyAlignment="1">
      <alignment vertical="center" wrapText="1"/>
    </xf>
    <xf numFmtId="172" fontId="2" fillId="0" borderId="2" xfId="0" applyNumberFormat="1" applyFont="1" applyFill="1" applyBorder="1" applyAlignment="1">
      <alignment horizontal="right" vertical="center"/>
    </xf>
    <xf numFmtId="172" fontId="13" fillId="0" borderId="2" xfId="0" applyNumberFormat="1" applyFont="1" applyFill="1" applyBorder="1" applyAlignment="1">
      <alignment horizontal="center" vertical="center" wrapText="1"/>
    </xf>
    <xf numFmtId="3" fontId="13" fillId="0" borderId="2" xfId="0" applyNumberFormat="1" applyFont="1" applyFill="1" applyBorder="1" applyAlignment="1">
      <alignment horizontal="right" vertical="center" wrapText="1"/>
    </xf>
    <xf numFmtId="3" fontId="13" fillId="0" borderId="2" xfId="0" applyNumberFormat="1" applyFont="1" applyFill="1" applyBorder="1" applyAlignment="1">
      <alignment horizontal="right" vertical="center"/>
    </xf>
    <xf numFmtId="3" fontId="25" fillId="0" borderId="2" xfId="0" applyNumberFormat="1" applyFont="1" applyFill="1" applyBorder="1" applyAlignment="1">
      <alignment horizontal="center" vertical="center" wrapText="1"/>
    </xf>
    <xf numFmtId="169" fontId="16" fillId="0" borderId="15" xfId="0" applyNumberFormat="1" applyFont="1" applyFill="1" applyBorder="1" applyAlignment="1">
      <alignment vertical="center"/>
    </xf>
    <xf numFmtId="3" fontId="17" fillId="0" borderId="2" xfId="0" applyNumberFormat="1" applyFont="1" applyFill="1" applyBorder="1" applyAlignment="1">
      <alignment horizontal="right" vertical="center" wrapText="1"/>
    </xf>
    <xf numFmtId="168" fontId="16" fillId="0" borderId="49" xfId="0" applyNumberFormat="1" applyFont="1" applyFill="1" applyBorder="1" applyAlignment="1">
      <alignment vertical="center"/>
    </xf>
    <xf numFmtId="0" fontId="16" fillId="0" borderId="49" xfId="0" applyFont="1" applyFill="1" applyBorder="1" applyAlignment="1">
      <alignment vertical="center"/>
    </xf>
    <xf numFmtId="171" fontId="13" fillId="0" borderId="2" xfId="0" applyNumberFormat="1" applyFont="1" applyFill="1" applyBorder="1" applyAlignment="1">
      <alignment horizontal="right" vertical="center" wrapText="1"/>
    </xf>
    <xf numFmtId="179" fontId="45" fillId="0" borderId="2" xfId="1"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172" fontId="2" fillId="0" borderId="2" xfId="0" applyNumberFormat="1" applyFont="1" applyFill="1" applyBorder="1" applyAlignment="1">
      <alignment horizontal="center" vertical="center"/>
    </xf>
    <xf numFmtId="171" fontId="11" fillId="0" borderId="2" xfId="0" applyNumberFormat="1" applyFont="1" applyFill="1" applyBorder="1" applyAlignment="1">
      <alignment vertical="center" wrapText="1"/>
    </xf>
    <xf numFmtId="3" fontId="6" fillId="0" borderId="2" xfId="0" applyNumberFormat="1" applyFont="1" applyFill="1" applyBorder="1" applyAlignment="1">
      <alignment horizontal="left" vertical="center" wrapText="1"/>
    </xf>
    <xf numFmtId="3" fontId="2" fillId="0" borderId="2" xfId="0" applyNumberFormat="1" applyFont="1" applyFill="1" applyBorder="1" applyAlignment="1">
      <alignment horizontal="left" vertical="center" wrapText="1"/>
    </xf>
    <xf numFmtId="172" fontId="2" fillId="0" borderId="2" xfId="0" applyNumberFormat="1" applyFont="1" applyFill="1" applyBorder="1" applyAlignment="1">
      <alignment vertical="center" wrapText="1"/>
    </xf>
    <xf numFmtId="9" fontId="13" fillId="0" borderId="2" xfId="0" applyNumberFormat="1" applyFont="1" applyFill="1" applyBorder="1" applyAlignment="1">
      <alignment horizontal="center" vertical="center"/>
    </xf>
    <xf numFmtId="3" fontId="13" fillId="0" borderId="2" xfId="0" quotePrefix="1" applyNumberFormat="1" applyFont="1" applyFill="1" applyBorder="1" applyAlignment="1">
      <alignment horizontal="center" vertical="center" wrapText="1"/>
    </xf>
    <xf numFmtId="3" fontId="13" fillId="0" borderId="13" xfId="0" applyNumberFormat="1" applyFont="1" applyFill="1" applyBorder="1" applyAlignment="1">
      <alignment horizontal="left" vertical="center" wrapText="1"/>
    </xf>
    <xf numFmtId="3" fontId="2" fillId="0" borderId="13" xfId="0" applyNumberFormat="1" applyFont="1" applyFill="1" applyBorder="1" applyAlignment="1">
      <alignment horizontal="left" vertical="center" wrapText="1"/>
    </xf>
    <xf numFmtId="166" fontId="2" fillId="0" borderId="13" xfId="0" applyNumberFormat="1" applyFont="1" applyFill="1" applyBorder="1" applyAlignment="1">
      <alignment horizontal="center" vertical="center" wrapText="1"/>
    </xf>
    <xf numFmtId="9" fontId="13" fillId="0" borderId="13" xfId="0" applyNumberFormat="1" applyFont="1" applyFill="1" applyBorder="1" applyAlignment="1">
      <alignment vertical="center"/>
    </xf>
    <xf numFmtId="167" fontId="13" fillId="0" borderId="49" xfId="0" applyNumberFormat="1" applyFont="1" applyFill="1" applyBorder="1" applyAlignment="1">
      <alignment horizontal="center" vertical="center" wrapText="1"/>
    </xf>
    <xf numFmtId="166" fontId="2" fillId="0" borderId="49" xfId="0" applyNumberFormat="1" applyFont="1" applyFill="1" applyBorder="1" applyAlignment="1">
      <alignment horizontal="center" vertical="center" wrapText="1"/>
    </xf>
    <xf numFmtId="3" fontId="2" fillId="0" borderId="18" xfId="0" applyNumberFormat="1" applyFont="1" applyFill="1" applyBorder="1" applyAlignment="1">
      <alignment horizontal="left" vertical="center" wrapText="1"/>
    </xf>
    <xf numFmtId="166" fontId="2" fillId="0" borderId="18" xfId="0" applyNumberFormat="1" applyFont="1" applyFill="1" applyBorder="1" applyAlignment="1">
      <alignment horizontal="center" vertical="center" wrapText="1"/>
    </xf>
    <xf numFmtId="171" fontId="2" fillId="0" borderId="18" xfId="0" applyNumberFormat="1" applyFont="1" applyFill="1" applyBorder="1" applyAlignment="1">
      <alignment horizontal="center" vertical="center" wrapText="1"/>
    </xf>
    <xf numFmtId="171" fontId="13" fillId="0" borderId="18" xfId="0" applyNumberFormat="1" applyFont="1" applyFill="1" applyBorder="1" applyAlignment="1">
      <alignment vertical="center" wrapText="1"/>
    </xf>
    <xf numFmtId="171" fontId="2" fillId="0" borderId="13" xfId="0" applyNumberFormat="1" applyFont="1" applyFill="1" applyBorder="1" applyAlignment="1">
      <alignment horizontal="center" vertical="center" wrapText="1"/>
    </xf>
    <xf numFmtId="171" fontId="13" fillId="0" borderId="13" xfId="0" applyNumberFormat="1" applyFont="1" applyFill="1" applyBorder="1" applyAlignment="1">
      <alignment vertical="center" wrapText="1"/>
    </xf>
    <xf numFmtId="171" fontId="13" fillId="0" borderId="49" xfId="0" applyNumberFormat="1" applyFont="1" applyFill="1" applyBorder="1" applyAlignment="1">
      <alignment vertical="center" wrapText="1"/>
    </xf>
    <xf numFmtId="0" fontId="2" fillId="0" borderId="18" xfId="0" applyFont="1" applyFill="1" applyBorder="1" applyAlignment="1">
      <alignment horizontal="left" vertical="center" wrapText="1"/>
    </xf>
    <xf numFmtId="167" fontId="3" fillId="0" borderId="18" xfId="0" applyNumberFormat="1" applyFont="1" applyFill="1" applyBorder="1" applyAlignment="1">
      <alignment horizontal="center" vertical="center" wrapText="1"/>
    </xf>
    <xf numFmtId="3" fontId="2" fillId="0" borderId="18" xfId="0" applyNumberFormat="1" applyFont="1" applyFill="1" applyBorder="1" applyAlignment="1">
      <alignment vertical="center" wrapText="1"/>
    </xf>
    <xf numFmtId="9" fontId="2" fillId="0" borderId="18" xfId="0" applyNumberFormat="1" applyFont="1" applyFill="1" applyBorder="1" applyAlignment="1">
      <alignment horizontal="center" vertical="center" wrapText="1"/>
    </xf>
    <xf numFmtId="0" fontId="2" fillId="0" borderId="13" xfId="0" applyFont="1" applyFill="1" applyBorder="1" applyAlignment="1">
      <alignment horizontal="left" vertical="center" wrapText="1"/>
    </xf>
    <xf numFmtId="3" fontId="2" fillId="0" borderId="19" xfId="0" applyNumberFormat="1" applyFont="1" applyFill="1" applyBorder="1" applyAlignment="1">
      <alignment horizontal="center" vertical="center" wrapText="1"/>
    </xf>
    <xf numFmtId="172" fontId="2" fillId="0" borderId="19" xfId="0" applyNumberFormat="1" applyFont="1" applyFill="1" applyBorder="1" applyAlignment="1">
      <alignment horizontal="center" vertical="center" wrapText="1"/>
    </xf>
    <xf numFmtId="0" fontId="2" fillId="0" borderId="51" xfId="0" applyFont="1" applyFill="1" applyBorder="1" applyAlignment="1">
      <alignment vertical="center" wrapText="1"/>
    </xf>
    <xf numFmtId="0" fontId="2" fillId="0" borderId="51" xfId="0" applyFont="1" applyFill="1" applyBorder="1" applyAlignment="1">
      <alignment horizontal="left" vertical="center" wrapText="1"/>
    </xf>
    <xf numFmtId="166" fontId="2" fillId="0" borderId="51" xfId="0" applyNumberFormat="1" applyFont="1" applyFill="1" applyBorder="1" applyAlignment="1">
      <alignment horizontal="center" vertical="center" wrapText="1"/>
    </xf>
    <xf numFmtId="3" fontId="13" fillId="0" borderId="51" xfId="0" applyNumberFormat="1" applyFont="1" applyFill="1" applyBorder="1" applyAlignment="1">
      <alignment vertical="center" wrapText="1"/>
    </xf>
    <xf numFmtId="3" fontId="2" fillId="0" borderId="51" xfId="0" applyNumberFormat="1" applyFont="1" applyFill="1" applyBorder="1" applyAlignment="1">
      <alignment vertical="center" wrapText="1"/>
    </xf>
    <xf numFmtId="171" fontId="13" fillId="0" borderId="51" xfId="0" applyNumberFormat="1" applyFont="1" applyFill="1" applyBorder="1" applyAlignment="1">
      <alignment vertical="center" wrapText="1"/>
    </xf>
    <xf numFmtId="3" fontId="13" fillId="0" borderId="51" xfId="0" applyNumberFormat="1" applyFont="1" applyFill="1" applyBorder="1" applyAlignment="1">
      <alignment horizontal="right" vertical="center" wrapText="1"/>
    </xf>
    <xf numFmtId="3" fontId="13" fillId="0" borderId="52" xfId="0" applyNumberFormat="1" applyFont="1" applyFill="1" applyBorder="1" applyAlignment="1">
      <alignment horizontal="center" vertical="center" wrapText="1"/>
    </xf>
    <xf numFmtId="0" fontId="2" fillId="0" borderId="52" xfId="0" applyFont="1" applyFill="1" applyBorder="1" applyAlignment="1">
      <alignment vertical="center" wrapText="1"/>
    </xf>
    <xf numFmtId="0" fontId="13" fillId="0" borderId="52" xfId="0" applyFont="1" applyFill="1" applyBorder="1" applyAlignment="1">
      <alignment horizontal="left" vertical="center" wrapText="1"/>
    </xf>
    <xf numFmtId="167" fontId="13" fillId="0" borderId="52" xfId="0" applyNumberFormat="1" applyFont="1" applyFill="1" applyBorder="1" applyAlignment="1">
      <alignment horizontal="center" vertical="center" wrapText="1"/>
    </xf>
    <xf numFmtId="166" fontId="2" fillId="0" borderId="52" xfId="0" applyNumberFormat="1" applyFont="1" applyFill="1" applyBorder="1" applyAlignment="1">
      <alignment horizontal="center" vertical="center" wrapText="1"/>
    </xf>
    <xf numFmtId="172" fontId="2" fillId="0" borderId="52" xfId="0" applyNumberFormat="1" applyFont="1" applyFill="1" applyBorder="1" applyAlignment="1">
      <alignment horizontal="center" vertical="center" wrapText="1"/>
    </xf>
    <xf numFmtId="3" fontId="2" fillId="0" borderId="52" xfId="0" applyNumberFormat="1" applyFont="1" applyFill="1" applyBorder="1" applyAlignment="1">
      <alignment horizontal="center" vertical="center" wrapText="1"/>
    </xf>
    <xf numFmtId="9" fontId="13" fillId="0" borderId="52" xfId="0" applyNumberFormat="1" applyFont="1" applyFill="1" applyBorder="1" applyAlignment="1">
      <alignment vertical="center" wrapText="1"/>
    </xf>
    <xf numFmtId="0" fontId="11"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3" fontId="2" fillId="0" borderId="49" xfId="0" applyNumberFormat="1" applyFont="1" applyFill="1" applyBorder="1" applyAlignment="1">
      <alignment horizontal="center" vertical="center"/>
    </xf>
    <xf numFmtId="3" fontId="6" fillId="0" borderId="15" xfId="0" applyNumberFormat="1" applyFont="1" applyFill="1" applyBorder="1" applyAlignment="1">
      <alignment horizontal="center" vertical="center" wrapText="1"/>
    </xf>
    <xf numFmtId="0" fontId="11" fillId="0" borderId="19" xfId="0" applyFont="1" applyFill="1" applyBorder="1" applyAlignment="1">
      <alignment horizontal="left" vertical="center" wrapText="1"/>
    </xf>
    <xf numFmtId="0" fontId="6" fillId="0" borderId="2" xfId="0" applyFont="1" applyFill="1" applyBorder="1" applyAlignment="1">
      <alignment horizontal="center" vertical="center" wrapText="1"/>
    </xf>
    <xf numFmtId="172" fontId="6" fillId="0" borderId="2" xfId="0" applyNumberFormat="1" applyFont="1" applyFill="1" applyBorder="1" applyAlignment="1">
      <alignment horizontal="center" vertical="center"/>
    </xf>
    <xf numFmtId="0" fontId="48" fillId="0" borderId="49"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48" fillId="0" borderId="2" xfId="0" applyFont="1" applyFill="1" applyBorder="1" applyAlignment="1">
      <alignment horizontal="center" vertical="center" wrapText="1"/>
    </xf>
    <xf numFmtId="167" fontId="48" fillId="0" borderId="2" xfId="0" applyNumberFormat="1" applyFont="1" applyFill="1" applyBorder="1" applyAlignment="1">
      <alignment horizontal="center" vertical="center" wrapText="1"/>
    </xf>
    <xf numFmtId="166" fontId="8" fillId="0" borderId="2" xfId="0" applyNumberFormat="1" applyFont="1" applyFill="1" applyBorder="1" applyAlignment="1">
      <alignment horizontal="center" vertical="center" wrapText="1"/>
    </xf>
    <xf numFmtId="3" fontId="48" fillId="0" borderId="2" xfId="0" applyNumberFormat="1" applyFont="1" applyFill="1" applyBorder="1" applyAlignment="1">
      <alignment horizontal="center" vertical="center" wrapText="1"/>
    </xf>
    <xf numFmtId="168" fontId="48" fillId="0" borderId="49" xfId="0" applyNumberFormat="1" applyFont="1" applyFill="1" applyBorder="1" applyAlignment="1">
      <alignment vertical="center"/>
    </xf>
    <xf numFmtId="0" fontId="48" fillId="0" borderId="49" xfId="0" applyFont="1" applyFill="1" applyBorder="1" applyAlignment="1">
      <alignment vertical="center"/>
    </xf>
    <xf numFmtId="178" fontId="2" fillId="0" borderId="2" xfId="1" applyNumberFormat="1" applyFont="1" applyFill="1" applyBorder="1" applyAlignment="1">
      <alignment horizontal="center" vertical="center"/>
    </xf>
    <xf numFmtId="3" fontId="21" fillId="0" borderId="2" xfId="0" applyNumberFormat="1" applyFont="1" applyFill="1" applyBorder="1" applyAlignment="1">
      <alignment horizontal="left" vertical="center" wrapText="1"/>
    </xf>
    <xf numFmtId="3" fontId="21" fillId="0" borderId="2" xfId="0" applyNumberFormat="1" applyFont="1" applyFill="1" applyBorder="1" applyAlignment="1">
      <alignment horizontal="center" vertical="center" wrapText="1"/>
    </xf>
    <xf numFmtId="167" fontId="10" fillId="0" borderId="2" xfId="0" applyNumberFormat="1" applyFont="1" applyFill="1" applyBorder="1" applyAlignment="1">
      <alignment horizontal="center" vertical="center" wrapText="1"/>
    </xf>
    <xf numFmtId="172" fontId="10" fillId="0" borderId="2" xfId="0" applyNumberFormat="1" applyFont="1" applyFill="1" applyBorder="1" applyAlignment="1">
      <alignment horizontal="center" vertical="center" wrapText="1"/>
    </xf>
    <xf numFmtId="171" fontId="21" fillId="0" borderId="2" xfId="0" applyNumberFormat="1" applyFont="1" applyFill="1" applyBorder="1" applyAlignment="1">
      <alignment vertical="center" wrapText="1"/>
    </xf>
    <xf numFmtId="0" fontId="21" fillId="0" borderId="49" xfId="0" applyFont="1" applyFill="1" applyBorder="1" applyAlignment="1">
      <alignment vertical="center"/>
    </xf>
    <xf numFmtId="3" fontId="13" fillId="0" borderId="26" xfId="0" applyNumberFormat="1" applyFont="1" applyFill="1" applyBorder="1" applyAlignment="1">
      <alignment horizontal="center" vertical="center" wrapText="1"/>
    </xf>
    <xf numFmtId="3" fontId="11" fillId="0" borderId="26" xfId="0" applyNumberFormat="1" applyFont="1" applyFill="1" applyBorder="1" applyAlignment="1">
      <alignment horizontal="center" vertical="center" wrapText="1"/>
    </xf>
    <xf numFmtId="167" fontId="2" fillId="0" borderId="26" xfId="0" applyNumberFormat="1" applyFont="1" applyFill="1" applyBorder="1" applyAlignment="1">
      <alignment horizontal="center" vertical="center" wrapText="1"/>
    </xf>
    <xf numFmtId="3" fontId="16" fillId="0" borderId="49" xfId="0" applyNumberFormat="1" applyFont="1" applyFill="1" applyBorder="1" applyAlignment="1">
      <alignment vertical="center"/>
    </xf>
    <xf numFmtId="9" fontId="13" fillId="0" borderId="49" xfId="0" applyNumberFormat="1" applyFont="1" applyFill="1" applyBorder="1" applyAlignment="1">
      <alignment vertical="center"/>
    </xf>
    <xf numFmtId="172" fontId="2" fillId="0" borderId="18" xfId="0" applyNumberFormat="1" applyFont="1" applyFill="1" applyBorder="1" applyAlignment="1">
      <alignment horizontal="center" vertical="center" wrapText="1"/>
    </xf>
    <xf numFmtId="9" fontId="13" fillId="0" borderId="18" xfId="0" applyNumberFormat="1" applyFont="1" applyFill="1" applyBorder="1" applyAlignment="1">
      <alignment horizontal="center" vertical="center"/>
    </xf>
    <xf numFmtId="167" fontId="2" fillId="0" borderId="24" xfId="0" applyNumberFormat="1" applyFont="1" applyFill="1" applyBorder="1" applyAlignment="1">
      <alignment horizontal="center" vertical="center" wrapText="1"/>
    </xf>
    <xf numFmtId="3" fontId="2" fillId="0" borderId="52" xfId="0" applyNumberFormat="1" applyFont="1" applyFill="1" applyBorder="1" applyAlignment="1">
      <alignment horizontal="right" vertical="center" wrapText="1"/>
    </xf>
    <xf numFmtId="9" fontId="2" fillId="0" borderId="52" xfId="0" applyNumberFormat="1" applyFont="1" applyFill="1" applyBorder="1" applyAlignment="1">
      <alignment horizontal="center" vertical="center"/>
    </xf>
    <xf numFmtId="167" fontId="3" fillId="0" borderId="2"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167" fontId="13" fillId="0" borderId="13" xfId="0" applyNumberFormat="1" applyFont="1" applyFill="1" applyBorder="1" applyAlignment="1">
      <alignment horizontal="center" vertical="center" wrapText="1"/>
    </xf>
    <xf numFmtId="172" fontId="2" fillId="0" borderId="51" xfId="0" applyNumberFormat="1" applyFont="1" applyFill="1" applyBorder="1" applyAlignment="1">
      <alignment horizontal="center" vertical="center" wrapText="1"/>
    </xf>
    <xf numFmtId="9" fontId="13" fillId="0" borderId="51" xfId="0" applyNumberFormat="1" applyFont="1" applyFill="1" applyBorder="1" applyAlignment="1">
      <alignment vertical="center"/>
    </xf>
    <xf numFmtId="167" fontId="13" fillId="0" borderId="51" xfId="0" applyNumberFormat="1" applyFont="1" applyFill="1" applyBorder="1" applyAlignment="1">
      <alignment horizontal="center" vertical="center" wrapText="1"/>
    </xf>
    <xf numFmtId="172" fontId="2" fillId="0" borderId="18" xfId="0" applyNumberFormat="1" applyFont="1" applyFill="1" applyBorder="1" applyAlignment="1">
      <alignment horizontal="right" vertical="center" wrapText="1"/>
    </xf>
    <xf numFmtId="3" fontId="2" fillId="0" borderId="2" xfId="0" applyNumberFormat="1" applyFont="1" applyFill="1" applyBorder="1" applyAlignment="1">
      <alignment horizontal="right" vertical="center" wrapText="1"/>
    </xf>
    <xf numFmtId="3" fontId="2" fillId="0" borderId="18" xfId="0" applyNumberFormat="1" applyFont="1" applyFill="1" applyBorder="1" applyAlignment="1">
      <alignment vertical="center"/>
    </xf>
    <xf numFmtId="3" fontId="2" fillId="0" borderId="49" xfId="0" applyNumberFormat="1" applyFont="1" applyFill="1" applyBorder="1" applyAlignment="1">
      <alignment horizontal="right" vertical="center" wrapText="1"/>
    </xf>
    <xf numFmtId="167" fontId="13" fillId="0" borderId="26" xfId="0" applyNumberFormat="1" applyFont="1" applyFill="1" applyBorder="1" applyAlignment="1">
      <alignment horizontal="center" vertical="center" wrapText="1"/>
    </xf>
    <xf numFmtId="172" fontId="2" fillId="0" borderId="26" xfId="0" applyNumberFormat="1" applyFont="1" applyFill="1" applyBorder="1" applyAlignment="1">
      <alignment horizontal="center" vertical="center" wrapText="1"/>
    </xf>
    <xf numFmtId="3" fontId="2" fillId="0" borderId="26" xfId="0" applyNumberFormat="1" applyFont="1" applyFill="1" applyBorder="1" applyAlignment="1">
      <alignment horizontal="center" vertical="center" wrapText="1"/>
    </xf>
    <xf numFmtId="9" fontId="13" fillId="0" borderId="26" xfId="0" applyNumberFormat="1" applyFont="1" applyFill="1" applyBorder="1" applyAlignment="1">
      <alignment vertical="center"/>
    </xf>
    <xf numFmtId="9" fontId="2" fillId="0" borderId="49" xfId="0" applyNumberFormat="1" applyFont="1" applyFill="1" applyBorder="1" applyAlignment="1">
      <alignment horizontal="center" vertical="center" wrapText="1"/>
    </xf>
    <xf numFmtId="171" fontId="13" fillId="0" borderId="26" xfId="0" applyNumberFormat="1" applyFont="1" applyFill="1" applyBorder="1" applyAlignment="1">
      <alignment vertical="center" wrapText="1"/>
    </xf>
    <xf numFmtId="168" fontId="28" fillId="0" borderId="49" xfId="0" applyNumberFormat="1" applyFont="1" applyFill="1" applyBorder="1" applyAlignment="1">
      <alignment vertical="center"/>
    </xf>
    <xf numFmtId="0" fontId="28" fillId="0" borderId="49" xfId="0" applyFont="1" applyFill="1" applyBorder="1" applyAlignment="1">
      <alignment vertical="center"/>
    </xf>
    <xf numFmtId="168" fontId="6" fillId="0" borderId="49" xfId="0" applyNumberFormat="1" applyFont="1" applyFill="1" applyBorder="1" applyAlignment="1">
      <alignment vertical="center" wrapText="1"/>
    </xf>
    <xf numFmtId="172" fontId="8" fillId="0" borderId="2" xfId="0" applyNumberFormat="1" applyFont="1" applyFill="1" applyBorder="1" applyAlignment="1">
      <alignment horizontal="center" vertical="center" wrapText="1"/>
    </xf>
    <xf numFmtId="166" fontId="48" fillId="0" borderId="2" xfId="0" applyNumberFormat="1" applyFont="1" applyFill="1" applyBorder="1" applyAlignment="1">
      <alignment vertical="center" wrapText="1"/>
    </xf>
    <xf numFmtId="171" fontId="48" fillId="0" borderId="2" xfId="0" applyNumberFormat="1" applyFont="1" applyFill="1" applyBorder="1" applyAlignment="1">
      <alignment horizontal="center" vertical="center" wrapText="1"/>
    </xf>
    <xf numFmtId="166" fontId="2" fillId="0" borderId="6" xfId="0" applyNumberFormat="1" applyFont="1" applyFill="1" applyBorder="1" applyAlignment="1">
      <alignment horizontal="center" vertical="center" wrapText="1"/>
    </xf>
    <xf numFmtId="166" fontId="13" fillId="0" borderId="26" xfId="0" applyNumberFormat="1" applyFont="1" applyFill="1" applyBorder="1" applyAlignment="1">
      <alignment vertical="center" wrapText="1"/>
    </xf>
    <xf numFmtId="167" fontId="2" fillId="0" borderId="40" xfId="0" applyNumberFormat="1" applyFont="1" applyFill="1" applyBorder="1" applyAlignment="1">
      <alignment horizontal="center" vertical="center" wrapText="1"/>
    </xf>
    <xf numFmtId="3" fontId="2" fillId="0" borderId="13" xfId="0" applyNumberFormat="1" applyFont="1" applyFill="1" applyBorder="1" applyAlignment="1">
      <alignment horizontal="right" vertical="center" wrapText="1"/>
    </xf>
    <xf numFmtId="171" fontId="2" fillId="0" borderId="51" xfId="0" applyNumberFormat="1" applyFont="1" applyFill="1" applyBorder="1" applyAlignment="1">
      <alignment horizontal="center" vertical="center" wrapText="1"/>
    </xf>
    <xf numFmtId="167" fontId="2" fillId="0" borderId="52" xfId="0" applyNumberFormat="1" applyFont="1" applyFill="1" applyBorder="1" applyAlignment="1">
      <alignment horizontal="center" vertical="center" wrapText="1"/>
    </xf>
    <xf numFmtId="166" fontId="2" fillId="0" borderId="26" xfId="0" applyNumberFormat="1" applyFont="1" applyFill="1" applyBorder="1" applyAlignment="1">
      <alignment horizontal="center" vertical="center" wrapText="1"/>
    </xf>
    <xf numFmtId="9" fontId="2" fillId="0" borderId="52" xfId="0" applyNumberFormat="1" applyFont="1" applyFill="1" applyBorder="1" applyAlignment="1">
      <alignment vertical="center"/>
    </xf>
    <xf numFmtId="3" fontId="2" fillId="0" borderId="51" xfId="0" applyNumberFormat="1" applyFont="1" applyFill="1" applyBorder="1" applyAlignment="1">
      <alignment horizontal="right" vertical="center" wrapText="1"/>
    </xf>
    <xf numFmtId="170" fontId="2" fillId="0" borderId="52" xfId="0" applyNumberFormat="1" applyFont="1" applyFill="1" applyBorder="1" applyAlignment="1">
      <alignment horizontal="center" vertical="center" wrapText="1"/>
    </xf>
    <xf numFmtId="9" fontId="2" fillId="0" borderId="52" xfId="0" applyNumberFormat="1" applyFont="1" applyFill="1" applyBorder="1" applyAlignment="1">
      <alignment horizontal="center" vertical="center" wrapText="1"/>
    </xf>
    <xf numFmtId="167" fontId="3" fillId="0" borderId="49" xfId="0" applyNumberFormat="1" applyFont="1" applyFill="1" applyBorder="1" applyAlignment="1">
      <alignment horizontal="center" vertical="center" wrapText="1"/>
    </xf>
    <xf numFmtId="166" fontId="2" fillId="0" borderId="35" xfId="0" applyNumberFormat="1" applyFont="1" applyFill="1" applyBorder="1" applyAlignment="1">
      <alignment horizontal="center" vertical="center" wrapText="1"/>
    </xf>
    <xf numFmtId="171" fontId="2" fillId="0" borderId="26" xfId="0" applyNumberFormat="1" applyFont="1" applyFill="1" applyBorder="1" applyAlignment="1">
      <alignment horizontal="right" vertical="center" wrapText="1"/>
    </xf>
    <xf numFmtId="166" fontId="2" fillId="0" borderId="54" xfId="0" applyNumberFormat="1" applyFont="1" applyFill="1" applyBorder="1" applyAlignment="1">
      <alignment horizontal="center" vertical="center" wrapText="1"/>
    </xf>
    <xf numFmtId="166" fontId="2" fillId="0" borderId="56" xfId="0" applyNumberFormat="1" applyFont="1" applyFill="1" applyBorder="1" applyAlignment="1">
      <alignment horizontal="center" vertical="center" wrapText="1"/>
    </xf>
    <xf numFmtId="3" fontId="21" fillId="0" borderId="18" xfId="0" applyNumberFormat="1" applyFont="1" applyFill="1" applyBorder="1" applyAlignment="1">
      <alignment horizontal="center" vertical="center" wrapText="1"/>
    </xf>
    <xf numFmtId="166" fontId="2" fillId="0" borderId="30" xfId="0" applyNumberFormat="1" applyFont="1" applyFill="1" applyBorder="1" applyAlignment="1">
      <alignment horizontal="center" vertical="center" wrapText="1"/>
    </xf>
    <xf numFmtId="0" fontId="2" fillId="0" borderId="49" xfId="0" applyFont="1" applyFill="1" applyBorder="1" applyAlignment="1">
      <alignment horizontal="center" vertical="center"/>
    </xf>
    <xf numFmtId="166" fontId="2" fillId="0" borderId="44" xfId="0" applyNumberFormat="1" applyFont="1" applyFill="1" applyBorder="1" applyAlignment="1">
      <alignment horizontal="center" vertical="center" wrapText="1"/>
    </xf>
    <xf numFmtId="3" fontId="13" fillId="0" borderId="49" xfId="0" quotePrefix="1" applyNumberFormat="1" applyFont="1" applyFill="1" applyBorder="1" applyAlignment="1">
      <alignment horizontal="center" vertical="center" wrapText="1"/>
    </xf>
    <xf numFmtId="171" fontId="2" fillId="0" borderId="49" xfId="0" applyNumberFormat="1" applyFont="1" applyFill="1" applyBorder="1" applyAlignment="1">
      <alignment horizontal="center" vertical="center" wrapText="1"/>
    </xf>
    <xf numFmtId="3" fontId="21" fillId="0" borderId="13" xfId="0" applyNumberFormat="1" applyFont="1" applyFill="1" applyBorder="1" applyAlignment="1">
      <alignment horizontal="center" vertical="center" wrapText="1"/>
    </xf>
    <xf numFmtId="0" fontId="21" fillId="0" borderId="2" xfId="0" quotePrefix="1" applyFont="1" applyFill="1" applyBorder="1" applyAlignment="1">
      <alignment horizontal="center" vertical="center" wrapText="1"/>
    </xf>
    <xf numFmtId="3" fontId="10" fillId="0" borderId="33" xfId="0" applyNumberFormat="1" applyFont="1" applyFill="1" applyBorder="1" applyAlignment="1">
      <alignment horizontal="center" vertical="center" wrapText="1"/>
    </xf>
    <xf numFmtId="166" fontId="2" fillId="0" borderId="58" xfId="0" applyNumberFormat="1" applyFont="1" applyFill="1" applyBorder="1" applyAlignment="1">
      <alignment horizontal="center" vertical="center" wrapText="1"/>
    </xf>
    <xf numFmtId="9" fontId="13" fillId="0" borderId="51" xfId="0" applyNumberFormat="1" applyFont="1" applyFill="1" applyBorder="1" applyAlignment="1">
      <alignment horizontal="center" vertical="center"/>
    </xf>
    <xf numFmtId="9" fontId="13" fillId="0" borderId="26" xfId="0" applyNumberFormat="1" applyFont="1" applyFill="1" applyBorder="1" applyAlignment="1">
      <alignment horizontal="center" vertical="center"/>
    </xf>
    <xf numFmtId="171" fontId="2" fillId="0" borderId="2" xfId="0" applyNumberFormat="1" applyFont="1" applyFill="1" applyBorder="1" applyAlignment="1">
      <alignment horizontal="right" vertical="center" wrapText="1"/>
    </xf>
    <xf numFmtId="0" fontId="6" fillId="0" borderId="49" xfId="0" applyFont="1" applyFill="1" applyBorder="1" applyAlignment="1">
      <alignment vertical="center" wrapText="1"/>
    </xf>
    <xf numFmtId="166" fontId="6" fillId="0" borderId="49" xfId="0" applyNumberFormat="1" applyFont="1" applyFill="1" applyBorder="1" applyAlignment="1">
      <alignment vertical="center"/>
    </xf>
    <xf numFmtId="37" fontId="48" fillId="0" borderId="2" xfId="0" quotePrefix="1" applyNumberFormat="1" applyFont="1" applyFill="1" applyBorder="1" applyAlignment="1">
      <alignment horizontal="center" vertical="center" wrapText="1"/>
    </xf>
    <xf numFmtId="37" fontId="48"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178" fontId="2" fillId="0" borderId="2" xfId="1" applyNumberFormat="1" applyFont="1" applyFill="1" applyBorder="1" applyAlignment="1">
      <alignment vertical="center"/>
    </xf>
    <xf numFmtId="0" fontId="2" fillId="0" borderId="13" xfId="0" applyFont="1" applyFill="1" applyBorder="1" applyAlignment="1">
      <alignment vertical="center" wrapText="1"/>
    </xf>
    <xf numFmtId="175" fontId="13" fillId="0" borderId="2"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168" fontId="13" fillId="0" borderId="49" xfId="0" applyNumberFormat="1" applyFont="1" applyFill="1" applyBorder="1" applyAlignment="1">
      <alignment vertical="center" wrapText="1"/>
    </xf>
    <xf numFmtId="176" fontId="13" fillId="0" borderId="2" xfId="0" applyNumberFormat="1" applyFont="1" applyFill="1" applyBorder="1" applyAlignment="1">
      <alignment horizontal="center" vertical="center" wrapText="1"/>
    </xf>
    <xf numFmtId="177" fontId="13" fillId="0" borderId="2" xfId="0" applyNumberFormat="1" applyFont="1" applyFill="1" applyBorder="1" applyAlignment="1">
      <alignment horizontal="center" vertical="center" wrapText="1"/>
    </xf>
    <xf numFmtId="168" fontId="15" fillId="0" borderId="49" xfId="0" applyNumberFormat="1" applyFont="1" applyFill="1" applyBorder="1" applyAlignment="1">
      <alignment vertical="center" wrapText="1"/>
    </xf>
    <xf numFmtId="0" fontId="15" fillId="0" borderId="49" xfId="0" applyFont="1" applyFill="1" applyBorder="1" applyAlignment="1">
      <alignment vertical="center" wrapText="1"/>
    </xf>
    <xf numFmtId="175" fontId="48" fillId="0" borderId="2" xfId="0" applyNumberFormat="1" applyFont="1" applyFill="1" applyBorder="1" applyAlignment="1">
      <alignment horizontal="center" vertical="center" wrapText="1"/>
    </xf>
    <xf numFmtId="176" fontId="48" fillId="0" borderId="2" xfId="0" applyNumberFormat="1" applyFont="1" applyFill="1" applyBorder="1" applyAlignment="1">
      <alignment horizontal="center" vertical="center" wrapText="1"/>
    </xf>
    <xf numFmtId="177" fontId="48" fillId="0" borderId="2" xfId="0" applyNumberFormat="1" applyFont="1" applyFill="1" applyBorder="1" applyAlignment="1">
      <alignment horizontal="center" vertical="center" wrapText="1"/>
    </xf>
    <xf numFmtId="3" fontId="53" fillId="0" borderId="2" xfId="0" applyNumberFormat="1" applyFont="1" applyFill="1" applyBorder="1" applyAlignment="1">
      <alignment horizontal="center" vertical="center" wrapText="1"/>
    </xf>
    <xf numFmtId="0" fontId="48" fillId="0" borderId="33" xfId="0" applyFont="1" applyFill="1" applyBorder="1" applyAlignment="1">
      <alignment horizontal="center" vertical="center" wrapText="1"/>
    </xf>
    <xf numFmtId="168" fontId="48" fillId="0" borderId="49" xfId="0" applyNumberFormat="1" applyFont="1" applyFill="1" applyBorder="1" applyAlignment="1">
      <alignment vertical="center" wrapText="1"/>
    </xf>
    <xf numFmtId="0" fontId="48" fillId="0" borderId="49" xfId="0" applyFont="1" applyFill="1" applyBorder="1" applyAlignment="1">
      <alignment vertical="center" wrapText="1"/>
    </xf>
    <xf numFmtId="3" fontId="53" fillId="0" borderId="2" xfId="0" applyNumberFormat="1" applyFont="1" applyFill="1" applyBorder="1" applyAlignment="1">
      <alignment horizontal="center" vertical="center"/>
    </xf>
    <xf numFmtId="0" fontId="48" fillId="0" borderId="2" xfId="0" applyFont="1" applyFill="1" applyBorder="1" applyAlignment="1">
      <alignment horizontal="center" vertical="center"/>
    </xf>
    <xf numFmtId="0" fontId="2" fillId="0" borderId="15" xfId="0" applyFont="1" applyFill="1" applyBorder="1" applyAlignment="1">
      <alignment horizontal="center" vertical="center" wrapText="1"/>
    </xf>
    <xf numFmtId="171" fontId="48" fillId="0" borderId="2" xfId="0" applyNumberFormat="1" applyFont="1" applyFill="1" applyBorder="1" applyAlignment="1">
      <alignment horizontal="left" vertical="center" wrapText="1"/>
    </xf>
    <xf numFmtId="9" fontId="13" fillId="0" borderId="2" xfId="2" applyFont="1" applyFill="1" applyBorder="1" applyAlignment="1">
      <alignment vertical="center" wrapText="1"/>
    </xf>
    <xf numFmtId="3" fontId="17" fillId="0" borderId="6" xfId="0" applyNumberFormat="1" applyFont="1" applyFill="1" applyBorder="1" applyAlignment="1">
      <alignment horizontal="center" vertical="center" wrapText="1"/>
    </xf>
    <xf numFmtId="3" fontId="17" fillId="0" borderId="30" xfId="0" applyNumberFormat="1" applyFont="1" applyFill="1" applyBorder="1" applyAlignment="1">
      <alignment horizontal="center" vertical="center" wrapText="1"/>
    </xf>
    <xf numFmtId="9" fontId="48" fillId="0" borderId="2" xfId="2" applyFont="1" applyFill="1" applyBorder="1" applyAlignment="1">
      <alignment vertical="center" wrapText="1"/>
    </xf>
    <xf numFmtId="3" fontId="11" fillId="0" borderId="2" xfId="0" applyNumberFormat="1" applyFont="1" applyFill="1" applyBorder="1" applyAlignment="1">
      <alignment horizontal="right" vertical="center" wrapText="1"/>
    </xf>
    <xf numFmtId="167" fontId="2" fillId="0" borderId="2" xfId="0" applyNumberFormat="1" applyFont="1" applyFill="1" applyBorder="1" applyAlignment="1">
      <alignment horizontal="right" vertical="center" wrapText="1"/>
    </xf>
    <xf numFmtId="9" fontId="3" fillId="0" borderId="2" xfId="0" applyNumberFormat="1" applyFont="1" applyFill="1" applyBorder="1" applyAlignment="1">
      <alignment horizontal="center" vertical="center" wrapText="1"/>
    </xf>
    <xf numFmtId="171" fontId="6" fillId="0" borderId="2" xfId="0" applyNumberFormat="1" applyFont="1" applyFill="1" applyBorder="1" applyAlignment="1">
      <alignment horizontal="center" vertical="center" wrapText="1"/>
    </xf>
    <xf numFmtId="167" fontId="6" fillId="0" borderId="2" xfId="0" applyNumberFormat="1" applyFont="1" applyFill="1" applyBorder="1" applyAlignment="1">
      <alignment horizontal="right" vertical="center" wrapText="1"/>
    </xf>
    <xf numFmtId="9" fontId="2" fillId="0" borderId="2" xfId="0" applyNumberFormat="1" applyFont="1" applyFill="1" applyBorder="1" applyAlignment="1">
      <alignment horizontal="center" vertical="center"/>
    </xf>
    <xf numFmtId="166" fontId="6" fillId="0" borderId="13" xfId="0" applyNumberFormat="1" applyFont="1" applyFill="1" applyBorder="1" applyAlignment="1">
      <alignment horizontal="center" vertical="center" wrapText="1"/>
    </xf>
    <xf numFmtId="166" fontId="6" fillId="0" borderId="49"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166" fontId="6" fillId="0" borderId="18" xfId="0" applyNumberFormat="1" applyFont="1" applyFill="1" applyBorder="1" applyAlignment="1">
      <alignment horizontal="center" vertical="center" wrapText="1"/>
    </xf>
    <xf numFmtId="9" fontId="2" fillId="0" borderId="13" xfId="0" applyNumberFormat="1" applyFont="1" applyFill="1" applyBorder="1" applyAlignment="1">
      <alignment horizontal="center" vertical="center" wrapText="1"/>
    </xf>
    <xf numFmtId="9" fontId="2" fillId="0" borderId="49" xfId="0" applyNumberFormat="1" applyFont="1" applyFill="1" applyBorder="1" applyAlignment="1">
      <alignment horizontal="center" vertical="center"/>
    </xf>
    <xf numFmtId="3" fontId="6" fillId="0" borderId="26" xfId="0" applyNumberFormat="1" applyFont="1" applyFill="1" applyBorder="1" applyAlignment="1">
      <alignment horizontal="center" vertical="center" wrapText="1"/>
    </xf>
    <xf numFmtId="166" fontId="6" fillId="0" borderId="26" xfId="0" applyNumberFormat="1" applyFont="1" applyFill="1" applyBorder="1" applyAlignment="1">
      <alignment horizontal="center" vertical="center" wrapText="1"/>
    </xf>
    <xf numFmtId="9" fontId="2" fillId="0" borderId="35" xfId="0" applyNumberFormat="1" applyFont="1" applyFill="1" applyBorder="1" applyAlignment="1">
      <alignment horizontal="center" vertical="center"/>
    </xf>
    <xf numFmtId="9" fontId="2" fillId="0" borderId="13" xfId="0" applyNumberFormat="1" applyFont="1" applyFill="1" applyBorder="1" applyAlignment="1">
      <alignment horizontal="center" vertical="center"/>
    </xf>
    <xf numFmtId="3" fontId="6" fillId="0" borderId="52" xfId="0" applyNumberFormat="1" applyFont="1" applyFill="1" applyBorder="1" applyAlignment="1">
      <alignment horizontal="center" vertical="center" wrapText="1"/>
    </xf>
    <xf numFmtId="166" fontId="6" fillId="0" borderId="52" xfId="0" applyNumberFormat="1" applyFont="1" applyFill="1" applyBorder="1" applyAlignment="1">
      <alignment horizontal="center" vertical="center" wrapText="1"/>
    </xf>
    <xf numFmtId="9" fontId="2" fillId="0" borderId="18" xfId="0" applyNumberFormat="1" applyFont="1" applyFill="1" applyBorder="1" applyAlignment="1">
      <alignment horizontal="center" vertical="center"/>
    </xf>
    <xf numFmtId="170" fontId="2" fillId="0" borderId="49" xfId="0" applyNumberFormat="1" applyFont="1" applyFill="1" applyBorder="1" applyAlignment="1">
      <alignment horizontal="center" vertical="center" wrapText="1"/>
    </xf>
    <xf numFmtId="167" fontId="2" fillId="0" borderId="15"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9" fontId="2" fillId="0" borderId="20" xfId="0" applyNumberFormat="1" applyFont="1" applyFill="1" applyBorder="1" applyAlignment="1">
      <alignment horizontal="center" vertical="center"/>
    </xf>
    <xf numFmtId="9" fontId="2" fillId="0" borderId="44" xfId="0" applyNumberFormat="1" applyFont="1" applyFill="1" applyBorder="1" applyAlignment="1">
      <alignment horizontal="center" vertical="center" wrapText="1"/>
    </xf>
    <xf numFmtId="170" fontId="2" fillId="0" borderId="18" xfId="0" applyNumberFormat="1" applyFont="1" applyFill="1" applyBorder="1" applyAlignment="1">
      <alignment horizontal="center" vertical="center" wrapText="1"/>
    </xf>
    <xf numFmtId="9" fontId="2" fillId="0" borderId="15" xfId="0" applyNumberFormat="1" applyFont="1" applyFill="1" applyBorder="1" applyAlignment="1">
      <alignment horizontal="center" vertical="center" wrapText="1"/>
    </xf>
    <xf numFmtId="171" fontId="2" fillId="0" borderId="52" xfId="0" applyNumberFormat="1" applyFont="1" applyFill="1" applyBorder="1" applyAlignment="1">
      <alignment horizontal="center" vertical="center" wrapText="1"/>
    </xf>
    <xf numFmtId="166" fontId="2" fillId="0" borderId="2" xfId="0" applyNumberFormat="1" applyFont="1" applyFill="1" applyBorder="1" applyAlignment="1">
      <alignment horizontal="left" vertical="center" wrapText="1"/>
    </xf>
    <xf numFmtId="0" fontId="13" fillId="0" borderId="2" xfId="0" applyFont="1" applyFill="1" applyBorder="1" applyAlignment="1">
      <alignment horizontal="left" vertical="center"/>
    </xf>
    <xf numFmtId="167" fontId="13" fillId="0" borderId="2" xfId="0" applyNumberFormat="1" applyFont="1" applyFill="1" applyBorder="1" applyAlignment="1">
      <alignment horizontal="center" vertical="center"/>
    </xf>
    <xf numFmtId="166" fontId="2" fillId="0" borderId="2" xfId="0" applyNumberFormat="1" applyFont="1" applyFill="1" applyBorder="1" applyAlignment="1">
      <alignment horizontal="left" vertical="center"/>
    </xf>
    <xf numFmtId="169" fontId="2" fillId="0" borderId="2" xfId="0" applyNumberFormat="1" applyFont="1" applyFill="1" applyBorder="1" applyAlignment="1">
      <alignment horizontal="left" vertical="center"/>
    </xf>
    <xf numFmtId="171" fontId="13" fillId="0" borderId="13" xfId="0" applyNumberFormat="1"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3" fontId="13" fillId="0" borderId="49" xfId="0" applyNumberFormat="1" applyFont="1" applyFill="1" applyBorder="1" applyAlignment="1">
      <alignment horizontal="right" vertical="center" wrapText="1"/>
    </xf>
    <xf numFmtId="167" fontId="11" fillId="0" borderId="18" xfId="0" applyNumberFormat="1" applyFont="1" applyFill="1" applyBorder="1" applyAlignment="1">
      <alignment horizontal="center" vertical="center" wrapText="1"/>
    </xf>
    <xf numFmtId="166" fontId="11" fillId="0" borderId="18" xfId="0" applyNumberFormat="1" applyFont="1" applyFill="1" applyBorder="1" applyAlignment="1">
      <alignment vertical="center" wrapText="1"/>
    </xf>
    <xf numFmtId="3" fontId="10" fillId="0" borderId="49" xfId="0" applyNumberFormat="1" applyFont="1" applyFill="1" applyBorder="1" applyAlignment="1">
      <alignment vertical="center" wrapText="1"/>
    </xf>
    <xf numFmtId="3" fontId="45" fillId="0" borderId="33" xfId="0" quotePrefix="1" applyNumberFormat="1" applyFont="1" applyFill="1" applyBorder="1" applyAlignment="1">
      <alignment vertical="center" wrapText="1"/>
    </xf>
    <xf numFmtId="171" fontId="13" fillId="0" borderId="2" xfId="0" quotePrefix="1" applyNumberFormat="1" applyFont="1" applyFill="1" applyBorder="1" applyAlignment="1">
      <alignment horizontal="center" vertical="center" wrapText="1"/>
    </xf>
    <xf numFmtId="172" fontId="2" fillId="0" borderId="49" xfId="0" applyNumberFormat="1" applyFont="1" applyFill="1" applyBorder="1" applyAlignment="1">
      <alignment vertical="center"/>
    </xf>
    <xf numFmtId="166" fontId="13" fillId="0" borderId="2" xfId="0" applyNumberFormat="1" applyFont="1" applyFill="1" applyBorder="1" applyAlignment="1">
      <alignment horizontal="left" vertical="center" wrapText="1"/>
    </xf>
    <xf numFmtId="168" fontId="15" fillId="0" borderId="49" xfId="0" applyNumberFormat="1" applyFont="1" applyFill="1" applyBorder="1" applyAlignment="1">
      <alignment horizontal="left" vertical="center" wrapText="1"/>
    </xf>
    <xf numFmtId="0" fontId="15" fillId="0" borderId="49" xfId="0" applyFont="1" applyFill="1" applyBorder="1" applyAlignment="1">
      <alignment horizontal="left" vertical="center" wrapText="1"/>
    </xf>
    <xf numFmtId="171" fontId="13" fillId="0" borderId="2" xfId="0" applyNumberFormat="1"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26" xfId="0" applyFont="1" applyFill="1" applyBorder="1" applyAlignment="1">
      <alignment horizontal="left" vertical="center" wrapText="1"/>
    </xf>
    <xf numFmtId="16" fontId="13" fillId="0" borderId="2" xfId="0" quotePrefix="1" applyNumberFormat="1" applyFont="1" applyFill="1" applyBorder="1" applyAlignment="1">
      <alignment horizontal="left" vertical="center" wrapText="1"/>
    </xf>
    <xf numFmtId="1" fontId="13" fillId="0" borderId="2" xfId="0" quotePrefix="1" applyNumberFormat="1" applyFont="1" applyFill="1" applyBorder="1" applyAlignment="1">
      <alignment horizontal="center" vertical="center" wrapText="1"/>
    </xf>
    <xf numFmtId="3" fontId="45" fillId="0" borderId="2" xfId="0" applyNumberFormat="1" applyFont="1" applyFill="1" applyBorder="1" applyAlignment="1">
      <alignment horizontal="left" vertical="center" wrapText="1"/>
    </xf>
    <xf numFmtId="0" fontId="48" fillId="0" borderId="2" xfId="0" applyFont="1" applyFill="1" applyBorder="1" applyAlignment="1">
      <alignment horizontal="left" vertical="center" wrapText="1"/>
    </xf>
    <xf numFmtId="166" fontId="8" fillId="0" borderId="2" xfId="0" applyNumberFormat="1" applyFont="1" applyFill="1" applyBorder="1" applyAlignment="1">
      <alignment horizontal="left" vertical="center" wrapText="1"/>
    </xf>
    <xf numFmtId="167" fontId="8" fillId="0" borderId="2" xfId="0" applyNumberFormat="1" applyFont="1" applyFill="1" applyBorder="1" applyAlignment="1">
      <alignment horizontal="center" vertical="center" wrapText="1"/>
    </xf>
    <xf numFmtId="166" fontId="48" fillId="0" borderId="2" xfId="0" applyNumberFormat="1" applyFont="1" applyFill="1" applyBorder="1" applyAlignment="1">
      <alignment horizontal="left" vertical="center" wrapText="1"/>
    </xf>
    <xf numFmtId="3" fontId="53" fillId="0" borderId="2" xfId="0" applyNumberFormat="1" applyFont="1" applyFill="1" applyBorder="1" applyAlignment="1">
      <alignment horizontal="left" vertical="center" wrapText="1"/>
    </xf>
    <xf numFmtId="3" fontId="48" fillId="0" borderId="2" xfId="0" applyNumberFormat="1" applyFont="1" applyFill="1" applyBorder="1" applyAlignment="1">
      <alignment horizontal="left" vertical="center" wrapText="1"/>
    </xf>
    <xf numFmtId="168" fontId="48" fillId="0" borderId="49"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left" vertical="center" wrapText="1"/>
    </xf>
    <xf numFmtId="166" fontId="6" fillId="0" borderId="2" xfId="0" applyNumberFormat="1" applyFont="1" applyFill="1" applyBorder="1" applyAlignment="1">
      <alignment horizontal="left" vertical="center" wrapText="1"/>
    </xf>
    <xf numFmtId="166" fontId="11" fillId="0" borderId="2" xfId="0" applyNumberFormat="1" applyFont="1" applyFill="1" applyBorder="1" applyAlignment="1">
      <alignment horizontal="left" vertical="center" wrapText="1"/>
    </xf>
    <xf numFmtId="168" fontId="12" fillId="0" borderId="49" xfId="0" applyNumberFormat="1" applyFont="1" applyFill="1" applyBorder="1" applyAlignment="1">
      <alignment horizontal="left" vertical="center" wrapText="1"/>
    </xf>
    <xf numFmtId="0" fontId="12" fillId="0" borderId="49" xfId="0" applyFont="1" applyFill="1" applyBorder="1" applyAlignment="1">
      <alignment horizontal="left" vertical="center" wrapText="1"/>
    </xf>
    <xf numFmtId="0" fontId="46" fillId="0" borderId="5" xfId="0" applyFont="1" applyFill="1" applyBorder="1" applyAlignment="1">
      <alignment horizontal="left" vertical="center" wrapText="1"/>
    </xf>
    <xf numFmtId="0" fontId="46" fillId="0" borderId="5" xfId="0" applyFont="1" applyFill="1" applyBorder="1" applyAlignment="1">
      <alignment horizontal="center" vertical="center" wrapText="1"/>
    </xf>
    <xf numFmtId="0" fontId="46" fillId="0" borderId="6" xfId="0" applyFont="1" applyFill="1" applyBorder="1" applyAlignment="1">
      <alignment horizontal="left" vertical="center" wrapText="1"/>
    </xf>
    <xf numFmtId="9" fontId="13" fillId="0" borderId="49" xfId="0" applyNumberFormat="1" applyFont="1" applyFill="1" applyBorder="1" applyAlignment="1">
      <alignment horizontal="center" vertical="center"/>
    </xf>
    <xf numFmtId="3" fontId="11" fillId="0" borderId="52" xfId="0" applyNumberFormat="1" applyFont="1" applyFill="1" applyBorder="1" applyAlignment="1">
      <alignment horizontal="center" vertical="center" wrapText="1"/>
    </xf>
    <xf numFmtId="9" fontId="13" fillId="0" borderId="52" xfId="0" applyNumberFormat="1" applyFont="1" applyFill="1" applyBorder="1" applyAlignment="1">
      <alignment horizontal="center" vertical="center" wrapText="1"/>
    </xf>
    <xf numFmtId="9" fontId="13" fillId="0" borderId="18" xfId="0" applyNumberFormat="1" applyFont="1" applyFill="1" applyBorder="1" applyAlignment="1">
      <alignment horizontal="center" vertical="center" wrapText="1"/>
    </xf>
    <xf numFmtId="9" fontId="13" fillId="0" borderId="6" xfId="0" applyNumberFormat="1" applyFont="1" applyFill="1" applyBorder="1" applyAlignment="1">
      <alignment horizontal="center" vertical="center"/>
    </xf>
    <xf numFmtId="9" fontId="13" fillId="0" borderId="2" xfId="0" applyNumberFormat="1" applyFont="1" applyFill="1" applyBorder="1" applyAlignment="1">
      <alignment horizontal="center" vertical="center" wrapText="1"/>
    </xf>
    <xf numFmtId="9" fontId="13" fillId="0" borderId="44" xfId="0" applyNumberFormat="1" applyFont="1" applyFill="1" applyBorder="1" applyAlignment="1">
      <alignment horizontal="center" vertical="center"/>
    </xf>
    <xf numFmtId="9" fontId="13" fillId="0" borderId="51" xfId="0" applyNumberFormat="1" applyFont="1" applyFill="1" applyBorder="1" applyAlignment="1">
      <alignment horizontal="center" vertical="center" wrapText="1"/>
    </xf>
    <xf numFmtId="9" fontId="13" fillId="0" borderId="52" xfId="0" applyNumberFormat="1" applyFont="1" applyFill="1" applyBorder="1" applyAlignment="1">
      <alignment horizontal="center" vertical="center"/>
    </xf>
    <xf numFmtId="167" fontId="13" fillId="0" borderId="18" xfId="0" applyNumberFormat="1" applyFont="1" applyFill="1" applyBorder="1" applyAlignment="1">
      <alignment horizontal="center" vertical="center" wrapText="1"/>
    </xf>
    <xf numFmtId="166" fontId="13" fillId="0" borderId="6" xfId="0" applyNumberFormat="1" applyFont="1" applyFill="1" applyBorder="1" applyAlignment="1">
      <alignment horizontal="center" vertical="center" wrapText="1"/>
    </xf>
    <xf numFmtId="166" fontId="13" fillId="0" borderId="2" xfId="0" applyNumberFormat="1" applyFont="1" applyFill="1" applyBorder="1" applyAlignment="1">
      <alignment horizontal="center" vertical="center" wrapText="1"/>
    </xf>
    <xf numFmtId="167" fontId="22" fillId="0" borderId="49" xfId="0" applyNumberFormat="1" applyFont="1" applyFill="1" applyBorder="1" applyAlignment="1">
      <alignment horizontal="left" vertical="center" wrapText="1"/>
    </xf>
    <xf numFmtId="167" fontId="2" fillId="0" borderId="2" xfId="0" applyNumberFormat="1" applyFont="1" applyFill="1" applyBorder="1" applyAlignment="1">
      <alignment horizontal="left" vertical="center" wrapText="1"/>
    </xf>
    <xf numFmtId="167" fontId="21" fillId="0" borderId="49" xfId="0" applyNumberFormat="1" applyFont="1" applyFill="1" applyBorder="1" applyAlignment="1">
      <alignment horizontal="left" vertical="center" wrapText="1"/>
    </xf>
    <xf numFmtId="3" fontId="14" fillId="0" borderId="33" xfId="0" applyNumberFormat="1" applyFont="1" applyFill="1" applyBorder="1" applyAlignment="1">
      <alignment horizontal="left" vertical="center" wrapText="1"/>
    </xf>
    <xf numFmtId="179" fontId="2" fillId="0" borderId="2" xfId="1" quotePrefix="1" applyNumberFormat="1" applyFont="1" applyFill="1" applyBorder="1" applyAlignment="1">
      <alignment horizontal="center" vertical="center" wrapText="1"/>
    </xf>
    <xf numFmtId="168" fontId="11" fillId="0" borderId="49" xfId="0" applyNumberFormat="1" applyFont="1" applyFill="1" applyBorder="1" applyAlignment="1">
      <alignment horizontal="left" vertical="center" wrapText="1"/>
    </xf>
    <xf numFmtId="0" fontId="11" fillId="0" borderId="49" xfId="0" applyFont="1" applyFill="1" applyBorder="1" applyAlignment="1">
      <alignment horizontal="left" vertical="center" wrapText="1"/>
    </xf>
    <xf numFmtId="165" fontId="13" fillId="0" borderId="2" xfId="1" applyFont="1" applyFill="1" applyBorder="1" applyAlignment="1">
      <alignment horizontal="center" vertical="center" wrapText="1"/>
    </xf>
    <xf numFmtId="166" fontId="13" fillId="0" borderId="2" xfId="0" quotePrefix="1" applyNumberFormat="1" applyFont="1" applyFill="1" applyBorder="1" applyAlignment="1">
      <alignment horizontal="center" vertical="center" wrapText="1"/>
    </xf>
    <xf numFmtId="0" fontId="11" fillId="0" borderId="16" xfId="0" applyFont="1" applyFill="1" applyBorder="1" applyAlignment="1">
      <alignment horizontal="left" vertical="center" wrapText="1"/>
    </xf>
    <xf numFmtId="171" fontId="11" fillId="0" borderId="2" xfId="0" applyNumberFormat="1" applyFont="1" applyFill="1" applyBorder="1" applyAlignment="1">
      <alignment horizontal="center" vertical="center" wrapText="1"/>
    </xf>
    <xf numFmtId="3" fontId="13" fillId="0" borderId="15" xfId="0" applyNumberFormat="1" applyFont="1" applyFill="1" applyBorder="1" applyAlignment="1">
      <alignment horizontal="right" vertical="center" wrapText="1"/>
    </xf>
    <xf numFmtId="164" fontId="2" fillId="0" borderId="2" xfId="0" applyNumberFormat="1" applyFont="1" applyFill="1" applyBorder="1" applyAlignment="1">
      <alignment vertical="center"/>
    </xf>
    <xf numFmtId="3" fontId="21" fillId="0" borderId="2" xfId="0" applyNumberFormat="1" applyFont="1" applyFill="1" applyBorder="1" applyAlignment="1">
      <alignment vertical="center" wrapText="1"/>
    </xf>
    <xf numFmtId="171" fontId="48" fillId="0" borderId="2" xfId="0" applyNumberFormat="1" applyFont="1" applyFill="1" applyBorder="1" applyAlignment="1">
      <alignment vertical="center" wrapText="1"/>
    </xf>
    <xf numFmtId="3" fontId="7"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66" fontId="3" fillId="0" borderId="2" xfId="0" applyNumberFormat="1" applyFont="1" applyFill="1" applyBorder="1" applyAlignment="1">
      <alignment horizontal="center" vertical="center" wrapText="1"/>
    </xf>
    <xf numFmtId="172" fontId="3" fillId="0" borderId="2" xfId="0" applyNumberFormat="1" applyFont="1" applyFill="1" applyBorder="1" applyAlignment="1">
      <alignment horizontal="right" vertical="center" wrapText="1"/>
    </xf>
    <xf numFmtId="172"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right" vertical="center" wrapText="1"/>
    </xf>
    <xf numFmtId="171" fontId="3" fillId="0" borderId="2" xfId="0" applyNumberFormat="1" applyFont="1" applyFill="1" applyBorder="1" applyAlignment="1">
      <alignment horizontal="center" vertical="center" wrapText="1"/>
    </xf>
    <xf numFmtId="3" fontId="32" fillId="0" borderId="2" xfId="0" applyNumberFormat="1" applyFont="1" applyFill="1" applyBorder="1" applyAlignment="1">
      <alignment horizontal="center" vertical="center" wrapText="1"/>
    </xf>
    <xf numFmtId="3" fontId="3" fillId="0" borderId="2" xfId="0" applyNumberFormat="1" applyFont="1" applyFill="1" applyBorder="1" applyAlignment="1">
      <alignment vertical="center" wrapText="1"/>
    </xf>
    <xf numFmtId="168" fontId="3" fillId="0" borderId="49" xfId="0" applyNumberFormat="1" applyFont="1" applyFill="1" applyBorder="1" applyAlignment="1">
      <alignment vertical="center"/>
    </xf>
    <xf numFmtId="0" fontId="3" fillId="0" borderId="49" xfId="0" applyFont="1" applyFill="1" applyBorder="1" applyAlignment="1">
      <alignment vertical="center"/>
    </xf>
    <xf numFmtId="0" fontId="11" fillId="0" borderId="2" xfId="0" applyFont="1" applyFill="1" applyBorder="1" applyAlignment="1">
      <alignment horizontal="center" vertical="center"/>
    </xf>
    <xf numFmtId="167" fontId="2" fillId="0" borderId="13" xfId="0" applyNumberFormat="1" applyFont="1" applyFill="1" applyBorder="1" applyAlignment="1">
      <alignment horizontal="right" vertical="center" wrapText="1"/>
    </xf>
    <xf numFmtId="9" fontId="3" fillId="0" borderId="13" xfId="0" applyNumberFormat="1" applyFont="1" applyFill="1" applyBorder="1" applyAlignment="1">
      <alignment horizontal="center" vertical="center" wrapText="1"/>
    </xf>
    <xf numFmtId="167" fontId="2" fillId="0" borderId="49" xfId="0" applyNumberFormat="1" applyFont="1" applyFill="1" applyBorder="1" applyAlignment="1">
      <alignment horizontal="right" vertical="center" wrapText="1"/>
    </xf>
    <xf numFmtId="0" fontId="2" fillId="0" borderId="26" xfId="0" applyFont="1" applyFill="1" applyBorder="1" applyAlignment="1">
      <alignment vertical="center" wrapText="1"/>
    </xf>
    <xf numFmtId="167" fontId="2" fillId="0" borderId="26" xfId="0" applyNumberFormat="1" applyFont="1" applyFill="1" applyBorder="1" applyAlignment="1">
      <alignment horizontal="right" vertical="center" wrapText="1"/>
    </xf>
    <xf numFmtId="3" fontId="6" fillId="0" borderId="50" xfId="0" applyNumberFormat="1" applyFont="1" applyFill="1" applyBorder="1" applyAlignment="1">
      <alignment horizontal="center" vertical="center" wrapText="1"/>
    </xf>
    <xf numFmtId="0" fontId="6" fillId="0" borderId="49" xfId="0" applyFont="1" applyFill="1" applyBorder="1" applyAlignment="1">
      <alignment horizontal="left" vertical="center" wrapText="1"/>
    </xf>
    <xf numFmtId="167" fontId="2" fillId="0" borderId="18" xfId="0" applyNumberFormat="1" applyFont="1" applyFill="1" applyBorder="1" applyAlignment="1">
      <alignment horizontal="right" vertical="center" wrapText="1"/>
    </xf>
    <xf numFmtId="0" fontId="2" fillId="0" borderId="50" xfId="0" applyFont="1" applyFill="1" applyBorder="1" applyAlignment="1">
      <alignment vertical="center" wrapText="1"/>
    </xf>
    <xf numFmtId="167" fontId="3" fillId="0" borderId="6" xfId="0" applyNumberFormat="1" applyFont="1" applyFill="1" applyBorder="1" applyAlignment="1">
      <alignment horizontal="center" vertical="center" wrapText="1"/>
    </xf>
    <xf numFmtId="0" fontId="2" fillId="0" borderId="33" xfId="0" applyFont="1" applyFill="1" applyBorder="1" applyAlignment="1">
      <alignment vertical="center" wrapText="1"/>
    </xf>
    <xf numFmtId="3" fontId="13" fillId="0" borderId="6" xfId="0" applyNumberFormat="1" applyFont="1" applyFill="1" applyBorder="1" applyAlignment="1">
      <alignment horizontal="center" vertical="center" wrapText="1"/>
    </xf>
    <xf numFmtId="0" fontId="2" fillId="0" borderId="42" xfId="0" applyFont="1" applyFill="1" applyBorder="1" applyAlignment="1">
      <alignment vertical="center" wrapText="1"/>
    </xf>
    <xf numFmtId="167" fontId="3" fillId="0" borderId="44" xfId="0" applyNumberFormat="1" applyFont="1" applyFill="1" applyBorder="1" applyAlignment="1">
      <alignment horizontal="center" vertical="center" wrapText="1"/>
    </xf>
    <xf numFmtId="0" fontId="2" fillId="0" borderId="53" xfId="0" applyFont="1" applyFill="1" applyBorder="1" applyAlignment="1">
      <alignment vertical="center" wrapText="1"/>
    </xf>
    <xf numFmtId="167" fontId="2" fillId="0" borderId="54" xfId="0" applyNumberFormat="1" applyFont="1" applyFill="1" applyBorder="1" applyAlignment="1">
      <alignment horizontal="center" vertical="center" wrapText="1"/>
    </xf>
    <xf numFmtId="0" fontId="2" fillId="0" borderId="55" xfId="0" applyFont="1" applyFill="1" applyBorder="1" applyAlignment="1">
      <alignment vertical="center" wrapText="1"/>
    </xf>
    <xf numFmtId="167" fontId="13" fillId="0" borderId="56" xfId="0" applyNumberFormat="1" applyFont="1" applyFill="1" applyBorder="1" applyAlignment="1">
      <alignment horizontal="center" vertical="center" wrapText="1"/>
    </xf>
    <xf numFmtId="167" fontId="2" fillId="0" borderId="52" xfId="0" applyNumberFormat="1" applyFont="1" applyFill="1" applyBorder="1" applyAlignment="1">
      <alignment horizontal="right" vertical="center" wrapText="1"/>
    </xf>
    <xf numFmtId="167" fontId="13" fillId="0" borderId="30" xfId="0" applyNumberFormat="1" applyFont="1" applyFill="1" applyBorder="1" applyAlignment="1">
      <alignment horizontal="center" vertical="center" wrapText="1"/>
    </xf>
    <xf numFmtId="3" fontId="6" fillId="0" borderId="51" xfId="0" applyNumberFormat="1" applyFont="1" applyFill="1" applyBorder="1" applyAlignment="1">
      <alignment horizontal="center" vertical="center" wrapText="1"/>
    </xf>
    <xf numFmtId="0" fontId="2" fillId="0" borderId="57" xfId="0" applyFont="1" applyFill="1" applyBorder="1" applyAlignment="1">
      <alignment vertical="center" wrapText="1"/>
    </xf>
    <xf numFmtId="3" fontId="13" fillId="0" borderId="58" xfId="0" applyNumberFormat="1" applyFont="1" applyFill="1" applyBorder="1" applyAlignment="1">
      <alignment horizontal="center" vertical="center" wrapText="1"/>
    </xf>
    <xf numFmtId="167" fontId="13" fillId="0" borderId="54"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167" fontId="2" fillId="0" borderId="6" xfId="0" applyNumberFormat="1" applyFont="1" applyFill="1" applyBorder="1" applyAlignment="1">
      <alignment horizontal="center" vertical="center" wrapText="1"/>
    </xf>
    <xf numFmtId="3" fontId="6" fillId="0" borderId="19" xfId="0" applyNumberFormat="1" applyFont="1" applyFill="1" applyBorder="1" applyAlignment="1">
      <alignment horizontal="center" vertical="center" wrapText="1"/>
    </xf>
    <xf numFmtId="172" fontId="13" fillId="0" borderId="13" xfId="0" applyNumberFormat="1" applyFont="1" applyFill="1" applyBorder="1" applyAlignment="1">
      <alignment horizontal="center" vertical="center" wrapText="1"/>
    </xf>
    <xf numFmtId="171" fontId="11" fillId="0" borderId="13" xfId="0" applyNumberFormat="1" applyFont="1" applyFill="1" applyBorder="1" applyAlignment="1">
      <alignment horizontal="center" vertical="center" wrapText="1"/>
    </xf>
    <xf numFmtId="0" fontId="11" fillId="0" borderId="18" xfId="0" applyFont="1" applyFill="1" applyBorder="1" applyAlignment="1">
      <alignment horizontal="center" vertical="center" wrapText="1"/>
    </xf>
    <xf numFmtId="166" fontId="3" fillId="0" borderId="2" xfId="0" applyNumberFormat="1" applyFont="1" applyFill="1" applyBorder="1" applyAlignment="1">
      <alignment vertical="center" wrapText="1"/>
    </xf>
    <xf numFmtId="3" fontId="28" fillId="0" borderId="2" xfId="0" applyNumberFormat="1" applyFont="1" applyFill="1" applyBorder="1" applyAlignment="1">
      <alignment horizontal="center" vertical="center"/>
    </xf>
    <xf numFmtId="164" fontId="13" fillId="0" borderId="2" xfId="0" applyNumberFormat="1" applyFont="1" applyFill="1" applyBorder="1" applyAlignment="1">
      <alignment horizontal="center" vertical="center" wrapText="1"/>
    </xf>
    <xf numFmtId="0" fontId="6" fillId="0" borderId="49" xfId="0" applyFont="1" applyFill="1" applyBorder="1" applyAlignment="1">
      <alignment horizontal="center" vertical="center"/>
    </xf>
    <xf numFmtId="166" fontId="25" fillId="0" borderId="49" xfId="0" applyNumberFormat="1" applyFont="1" applyFill="1" applyBorder="1" applyAlignment="1">
      <alignment vertical="center"/>
    </xf>
    <xf numFmtId="166" fontId="6" fillId="0" borderId="2" xfId="0" applyNumberFormat="1" applyFont="1" applyFill="1" applyBorder="1" applyAlignment="1">
      <alignment vertical="center" wrapText="1"/>
    </xf>
    <xf numFmtId="3" fontId="19" fillId="0" borderId="2" xfId="0" applyNumberFormat="1" applyFont="1" applyFill="1" applyBorder="1" applyAlignment="1">
      <alignment horizontal="center" vertical="center" wrapText="1"/>
    </xf>
    <xf numFmtId="172" fontId="6" fillId="0" borderId="2" xfId="0" applyNumberFormat="1" applyFont="1" applyFill="1" applyBorder="1" applyAlignment="1">
      <alignment horizontal="center" vertical="center" wrapText="1"/>
    </xf>
    <xf numFmtId="171" fontId="11" fillId="0" borderId="2" xfId="0" applyNumberFormat="1" applyFont="1" applyFill="1" applyBorder="1" applyAlignment="1">
      <alignment horizontal="center" vertical="center"/>
    </xf>
    <xf numFmtId="3" fontId="25" fillId="0" borderId="49" xfId="0" applyNumberFormat="1" applyFont="1" applyFill="1" applyBorder="1" applyAlignment="1">
      <alignment vertical="center"/>
    </xf>
    <xf numFmtId="171" fontId="25" fillId="0" borderId="49" xfId="0" applyNumberFormat="1" applyFont="1" applyFill="1" applyBorder="1" applyAlignment="1">
      <alignment vertical="center"/>
    </xf>
    <xf numFmtId="3" fontId="29" fillId="0" borderId="2" xfId="0" applyNumberFormat="1" applyFont="1" applyFill="1" applyBorder="1" applyAlignment="1">
      <alignment horizontal="center" vertical="center" wrapText="1"/>
    </xf>
    <xf numFmtId="3" fontId="13" fillId="0" borderId="8" xfId="0" applyNumberFormat="1" applyFont="1" applyFill="1" applyBorder="1" applyAlignment="1">
      <alignment horizontal="left" vertical="center" wrapText="1"/>
    </xf>
    <xf numFmtId="172" fontId="2" fillId="0" borderId="2" xfId="0" applyNumberFormat="1" applyFont="1" applyFill="1" applyBorder="1" applyAlignment="1">
      <alignment horizontal="right" vertical="center" wrapText="1"/>
    </xf>
    <xf numFmtId="3" fontId="20" fillId="0" borderId="2" xfId="0" applyNumberFormat="1" applyFont="1" applyFill="1" applyBorder="1" applyAlignment="1">
      <alignment horizontal="center" vertical="center" wrapText="1"/>
    </xf>
    <xf numFmtId="9" fontId="2" fillId="0" borderId="2" xfId="0" applyNumberFormat="1" applyFont="1" applyFill="1" applyBorder="1" applyAlignment="1">
      <alignment vertical="center"/>
    </xf>
    <xf numFmtId="3" fontId="2" fillId="0" borderId="2" xfId="0" applyNumberFormat="1" applyFont="1" applyFill="1" applyBorder="1" applyAlignment="1">
      <alignment vertical="center"/>
    </xf>
    <xf numFmtId="166" fontId="2" fillId="0" borderId="42" xfId="0" applyNumberFormat="1" applyFont="1" applyFill="1" applyBorder="1" applyAlignment="1">
      <alignment horizontal="center" vertical="center" wrapText="1"/>
    </xf>
    <xf numFmtId="3" fontId="2" fillId="0" borderId="44" xfId="0" applyNumberFormat="1" applyFont="1" applyFill="1" applyBorder="1" applyAlignment="1">
      <alignment vertical="center"/>
    </xf>
    <xf numFmtId="171" fontId="2" fillId="0" borderId="26" xfId="0" applyNumberFormat="1" applyFont="1" applyFill="1" applyBorder="1" applyAlignment="1">
      <alignment horizontal="center" vertical="center" wrapText="1"/>
    </xf>
    <xf numFmtId="9" fontId="2" fillId="0" borderId="26" xfId="0" applyNumberFormat="1" applyFont="1" applyFill="1" applyBorder="1" applyAlignment="1">
      <alignment horizontal="center" vertical="center" wrapText="1"/>
    </xf>
    <xf numFmtId="167" fontId="10" fillId="0" borderId="33" xfId="0" applyNumberFormat="1" applyFont="1" applyFill="1" applyBorder="1" applyAlignment="1">
      <alignment horizontal="center" vertical="center" wrapText="1"/>
    </xf>
    <xf numFmtId="166" fontId="10" fillId="0" borderId="49" xfId="0" applyNumberFormat="1" applyFont="1" applyFill="1" applyBorder="1" applyAlignment="1">
      <alignment horizontal="center" vertical="center" wrapText="1"/>
    </xf>
    <xf numFmtId="171" fontId="10" fillId="0" borderId="49" xfId="0" applyNumberFormat="1" applyFont="1" applyFill="1" applyBorder="1" applyAlignment="1">
      <alignment horizontal="center" vertical="center" wrapText="1"/>
    </xf>
    <xf numFmtId="3" fontId="10" fillId="0" borderId="49" xfId="0" applyNumberFormat="1" applyFont="1" applyFill="1" applyBorder="1" applyAlignment="1">
      <alignment horizontal="right" vertical="center" wrapText="1"/>
    </xf>
    <xf numFmtId="3" fontId="21" fillId="0" borderId="49" xfId="0" applyNumberFormat="1" applyFont="1" applyFill="1" applyBorder="1" applyAlignment="1">
      <alignment horizontal="center" vertical="center" wrapText="1"/>
    </xf>
    <xf numFmtId="3" fontId="21" fillId="0" borderId="6" xfId="0" applyNumberFormat="1" applyFont="1" applyFill="1" applyBorder="1" applyAlignment="1">
      <alignment horizontal="center" vertical="center" wrapText="1"/>
    </xf>
    <xf numFmtId="167" fontId="13" fillId="0" borderId="33" xfId="0" applyNumberFormat="1" applyFont="1" applyFill="1" applyBorder="1" applyAlignment="1">
      <alignment horizontal="center" vertical="center" wrapText="1"/>
    </xf>
    <xf numFmtId="166" fontId="13" fillId="0" borderId="49" xfId="0" applyNumberFormat="1" applyFont="1" applyFill="1" applyBorder="1" applyAlignment="1">
      <alignment vertical="center" wrapText="1"/>
    </xf>
    <xf numFmtId="167" fontId="6" fillId="0" borderId="18" xfId="0" applyNumberFormat="1" applyFont="1" applyFill="1" applyBorder="1" applyAlignment="1">
      <alignment horizontal="center" vertical="center" wrapText="1"/>
    </xf>
    <xf numFmtId="3" fontId="11" fillId="0" borderId="18" xfId="0" applyNumberFormat="1" applyFont="1" applyFill="1" applyBorder="1" applyAlignment="1">
      <alignment vertical="center" wrapText="1"/>
    </xf>
    <xf numFmtId="3" fontId="14" fillId="0" borderId="33" xfId="0" applyNumberFormat="1" applyFont="1" applyFill="1" applyBorder="1" applyAlignment="1">
      <alignment horizontal="center" vertical="center" wrapText="1"/>
    </xf>
    <xf numFmtId="3" fontId="6" fillId="0" borderId="33" xfId="0" applyNumberFormat="1" applyFont="1" applyFill="1" applyBorder="1" applyAlignment="1">
      <alignment horizontal="center" vertical="center"/>
    </xf>
    <xf numFmtId="0" fontId="45" fillId="0" borderId="2" xfId="0" applyFont="1" applyFill="1" applyBorder="1" applyAlignment="1">
      <alignment horizontal="center" vertical="center" wrapText="1"/>
    </xf>
    <xf numFmtId="3" fontId="47" fillId="0" borderId="33" xfId="0" applyNumberFormat="1" applyFont="1" applyFill="1" applyBorder="1" applyAlignment="1">
      <alignment horizontal="center" vertical="center" wrapText="1"/>
    </xf>
    <xf numFmtId="172" fontId="11" fillId="0" borderId="13" xfId="0" applyNumberFormat="1" applyFont="1" applyFill="1" applyBorder="1" applyAlignment="1">
      <alignment horizontal="center" vertical="center" wrapText="1"/>
    </xf>
    <xf numFmtId="166" fontId="46" fillId="0" borderId="49" xfId="0" applyNumberFormat="1" applyFont="1" applyFill="1" applyBorder="1" applyAlignment="1">
      <alignment vertical="center"/>
    </xf>
    <xf numFmtId="171" fontId="46" fillId="0" borderId="49" xfId="0" applyNumberFormat="1" applyFont="1" applyFill="1" applyBorder="1" applyAlignment="1">
      <alignment vertical="center"/>
    </xf>
    <xf numFmtId="3" fontId="46" fillId="0" borderId="49" xfId="0" applyNumberFormat="1" applyFont="1" applyFill="1" applyBorder="1" applyAlignment="1">
      <alignment vertical="center"/>
    </xf>
    <xf numFmtId="0" fontId="46" fillId="0" borderId="49" xfId="0" applyFont="1" applyFill="1" applyBorder="1" applyAlignment="1">
      <alignment vertical="center"/>
    </xf>
    <xf numFmtId="0" fontId="2" fillId="0" borderId="6" xfId="0"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3" fontId="62" fillId="0" borderId="2" xfId="0" applyNumberFormat="1" applyFont="1" applyFill="1" applyBorder="1" applyAlignment="1">
      <alignment horizontal="center" vertical="center" wrapText="1"/>
    </xf>
    <xf numFmtId="0" fontId="54" fillId="0" borderId="2" xfId="0" applyFont="1" applyFill="1" applyBorder="1" applyAlignment="1">
      <alignment horizontal="center" vertical="center" wrapText="1"/>
    </xf>
    <xf numFmtId="167" fontId="54" fillId="0" borderId="2" xfId="0" applyNumberFormat="1" applyFont="1" applyFill="1" applyBorder="1" applyAlignment="1">
      <alignment horizontal="center" vertical="center" wrapText="1"/>
    </xf>
    <xf numFmtId="166" fontId="54"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3" fontId="54" fillId="0" borderId="2" xfId="0" applyNumberFormat="1" applyFont="1" applyFill="1" applyBorder="1" applyAlignment="1">
      <alignment horizontal="center" vertical="center" wrapText="1"/>
    </xf>
    <xf numFmtId="9" fontId="54" fillId="0" borderId="2" xfId="2" applyFont="1" applyFill="1" applyBorder="1" applyAlignment="1">
      <alignment vertical="center" wrapText="1"/>
    </xf>
    <xf numFmtId="3" fontId="63" fillId="0" borderId="2" xfId="0" applyNumberFormat="1" applyFont="1" applyFill="1" applyBorder="1" applyAlignment="1">
      <alignment horizontal="center" vertical="center"/>
    </xf>
    <xf numFmtId="0" fontId="54" fillId="0" borderId="2" xfId="0" applyFont="1" applyFill="1" applyBorder="1" applyAlignment="1">
      <alignment horizontal="center" vertical="center"/>
    </xf>
    <xf numFmtId="168" fontId="54" fillId="0" borderId="49" xfId="0" applyNumberFormat="1" applyFont="1" applyFill="1" applyBorder="1" applyAlignment="1">
      <alignment vertical="center"/>
    </xf>
    <xf numFmtId="0" fontId="54" fillId="0" borderId="49" xfId="0" applyFont="1" applyFill="1" applyBorder="1" applyAlignment="1">
      <alignment vertical="center"/>
    </xf>
    <xf numFmtId="164" fontId="2" fillId="0" borderId="2" xfId="0" applyNumberFormat="1" applyFont="1" applyFill="1" applyBorder="1" applyAlignment="1">
      <alignment horizontal="center" vertical="center" wrapText="1"/>
    </xf>
    <xf numFmtId="3" fontId="11" fillId="0" borderId="33" xfId="0" applyNumberFormat="1" applyFont="1" applyFill="1" applyBorder="1" applyAlignment="1">
      <alignment horizontal="center" vertical="center" wrapText="1"/>
    </xf>
    <xf numFmtId="0" fontId="0" fillId="0" borderId="0" xfId="0"/>
    <xf numFmtId="0" fontId="25" fillId="0" borderId="49" xfId="0" applyFont="1" applyFill="1" applyBorder="1" applyAlignment="1">
      <alignment vertical="center"/>
    </xf>
    <xf numFmtId="165" fontId="6" fillId="0" borderId="49" xfId="1" applyFont="1" applyFill="1" applyBorder="1" applyAlignment="1">
      <alignment horizontal="center" vertical="center"/>
    </xf>
    <xf numFmtId="178" fontId="6" fillId="0" borderId="49" xfId="1" applyNumberFormat="1" applyFont="1" applyFill="1" applyBorder="1" applyAlignment="1">
      <alignment horizontal="center" vertical="center"/>
    </xf>
    <xf numFmtId="165" fontId="16" fillId="0" borderId="49" xfId="1" applyFont="1" applyFill="1" applyBorder="1" applyAlignment="1">
      <alignment vertical="center"/>
    </xf>
    <xf numFmtId="0" fontId="6" fillId="0" borderId="49" xfId="0" applyFont="1" applyFill="1" applyBorder="1" applyAlignment="1">
      <alignment horizontal="center" vertical="center" wrapText="1"/>
    </xf>
    <xf numFmtId="0" fontId="46" fillId="0" borderId="48" xfId="0" applyFont="1" applyBorder="1" applyAlignment="1">
      <alignment vertical="center"/>
    </xf>
    <xf numFmtId="0" fontId="46" fillId="0" borderId="1" xfId="0" applyFont="1" applyBorder="1" applyAlignment="1">
      <alignment vertical="center"/>
    </xf>
    <xf numFmtId="0" fontId="46" fillId="0" borderId="0" xfId="0" applyFont="1" applyAlignment="1">
      <alignment vertical="center"/>
    </xf>
    <xf numFmtId="0" fontId="65" fillId="0" borderId="0" xfId="0" applyFont="1" applyAlignment="1">
      <alignment vertical="center"/>
    </xf>
    <xf numFmtId="166" fontId="6" fillId="0" borderId="49" xfId="0" applyNumberFormat="1" applyFont="1" applyFill="1" applyBorder="1" applyAlignment="1">
      <alignment vertical="center" wrapText="1"/>
    </xf>
    <xf numFmtId="178" fontId="17" fillId="0" borderId="2" xfId="1" applyNumberFormat="1" applyFont="1" applyFill="1" applyBorder="1" applyAlignment="1">
      <alignment horizontal="center" vertical="center" wrapText="1"/>
    </xf>
    <xf numFmtId="178" fontId="13" fillId="0" borderId="2" xfId="1" applyNumberFormat="1" applyFont="1" applyFill="1" applyBorder="1" applyAlignment="1">
      <alignment horizontal="center" vertical="center" wrapText="1"/>
    </xf>
    <xf numFmtId="178" fontId="13" fillId="0" borderId="2" xfId="1" applyNumberFormat="1" applyFont="1" applyFill="1" applyBorder="1" applyAlignment="1">
      <alignment horizontal="right" vertical="center" wrapText="1"/>
    </xf>
    <xf numFmtId="178" fontId="13" fillId="0" borderId="2" xfId="1" applyNumberFormat="1" applyFont="1" applyFill="1" applyBorder="1" applyAlignment="1">
      <alignment vertical="center" wrapText="1"/>
    </xf>
    <xf numFmtId="0" fontId="13" fillId="0" borderId="0" xfId="0" applyFont="1" applyAlignment="1">
      <alignment vertical="center"/>
    </xf>
    <xf numFmtId="0" fontId="0" fillId="0" borderId="0" xfId="0" applyAlignment="1">
      <alignment vertical="center"/>
    </xf>
    <xf numFmtId="0" fontId="11" fillId="0" borderId="48" xfId="0" applyFont="1" applyFill="1" applyBorder="1"/>
    <xf numFmtId="0" fontId="11" fillId="0" borderId="1" xfId="0" applyFont="1" applyFill="1" applyBorder="1"/>
    <xf numFmtId="0" fontId="11" fillId="0" borderId="0" xfId="0" applyFont="1" applyFill="1"/>
    <xf numFmtId="0" fontId="58" fillId="0" borderId="0" xfId="0" applyFont="1" applyFill="1"/>
    <xf numFmtId="178" fontId="13" fillId="0" borderId="2" xfId="1" applyNumberFormat="1" applyFont="1" applyFill="1" applyBorder="1" applyAlignment="1">
      <alignment vertical="center"/>
    </xf>
    <xf numFmtId="0" fontId="17" fillId="7" borderId="15" xfId="0" applyFont="1" applyFill="1" applyBorder="1" applyAlignment="1">
      <alignment vertical="center"/>
    </xf>
    <xf numFmtId="0" fontId="17" fillId="7" borderId="0" xfId="0" applyFont="1" applyFill="1" applyAlignment="1">
      <alignment vertical="center"/>
    </xf>
    <xf numFmtId="0" fontId="16" fillId="7" borderId="0" xfId="0" applyFont="1" applyFill="1" applyAlignment="1">
      <alignment vertical="center"/>
    </xf>
    <xf numFmtId="0" fontId="17" fillId="0" borderId="15" xfId="0" applyFont="1" applyBorder="1" applyAlignment="1">
      <alignment vertical="center"/>
    </xf>
    <xf numFmtId="0" fontId="17" fillId="0" borderId="0" xfId="0" applyFont="1" applyAlignment="1">
      <alignment vertical="center"/>
    </xf>
    <xf numFmtId="0" fontId="16" fillId="0" borderId="0" xfId="0" applyFont="1" applyAlignment="1">
      <alignment vertical="center"/>
    </xf>
    <xf numFmtId="0" fontId="13" fillId="6" borderId="20" xfId="0" applyFont="1" applyFill="1" applyBorder="1" applyAlignment="1">
      <alignment vertical="center"/>
    </xf>
    <xf numFmtId="0" fontId="13" fillId="6" borderId="15" xfId="0" applyFont="1" applyFill="1" applyBorder="1" applyAlignment="1">
      <alignment vertical="center"/>
    </xf>
    <xf numFmtId="0" fontId="17" fillId="6" borderId="15" xfId="0" applyFont="1" applyFill="1" applyBorder="1" applyAlignment="1">
      <alignment vertical="center"/>
    </xf>
    <xf numFmtId="0" fontId="17" fillId="6" borderId="0" xfId="0" applyFont="1" applyFill="1" applyAlignment="1">
      <alignment vertical="center"/>
    </xf>
    <xf numFmtId="0" fontId="16" fillId="6" borderId="0" xfId="0" applyFont="1" applyFill="1" applyAlignment="1">
      <alignment vertical="center"/>
    </xf>
    <xf numFmtId="0" fontId="13" fillId="8" borderId="48" xfId="0" applyFont="1" applyFill="1" applyBorder="1" applyAlignment="1">
      <alignment vertical="center"/>
    </xf>
    <xf numFmtId="0" fontId="13" fillId="8" borderId="1" xfId="0" applyFont="1" applyFill="1" applyBorder="1" applyAlignment="1">
      <alignment vertical="center"/>
    </xf>
    <xf numFmtId="178" fontId="13" fillId="0" borderId="2" xfId="1" applyNumberFormat="1" applyFont="1" applyFill="1" applyBorder="1" applyAlignment="1">
      <alignment horizontal="left" vertical="center" wrapText="1"/>
    </xf>
    <xf numFmtId="0" fontId="8" fillId="8" borderId="48" xfId="0" applyFont="1" applyFill="1" applyBorder="1"/>
    <xf numFmtId="0" fontId="49" fillId="8" borderId="48" xfId="0" applyFont="1" applyFill="1" applyBorder="1"/>
    <xf numFmtId="0" fontId="0" fillId="0" borderId="48" xfId="0" applyBorder="1"/>
    <xf numFmtId="0" fontId="40" fillId="0" borderId="48" xfId="0" applyFont="1" applyBorder="1"/>
    <xf numFmtId="0" fontId="0" fillId="8" borderId="48" xfId="0" applyFill="1" applyBorder="1"/>
    <xf numFmtId="0" fontId="0" fillId="7" borderId="48" xfId="0" applyFill="1" applyBorder="1"/>
    <xf numFmtId="0" fontId="46" fillId="8" borderId="48" xfId="0" applyFont="1" applyFill="1" applyBorder="1" applyAlignment="1">
      <alignment vertical="center"/>
    </xf>
    <xf numFmtId="0" fontId="65" fillId="8" borderId="48" xfId="0" applyFont="1" applyFill="1" applyBorder="1" applyAlignment="1">
      <alignment vertical="center"/>
    </xf>
    <xf numFmtId="1" fontId="11" fillId="0" borderId="13" xfId="0" applyNumberFormat="1" applyFont="1" applyBorder="1" applyAlignment="1">
      <alignment horizontal="center" vertical="center" wrapText="1"/>
    </xf>
    <xf numFmtId="167" fontId="11" fillId="0" borderId="13" xfId="0" applyNumberFormat="1" applyFont="1" applyBorder="1" applyAlignment="1">
      <alignment horizontal="left" vertical="center" wrapText="1"/>
    </xf>
    <xf numFmtId="167" fontId="11" fillId="0" borderId="13" xfId="0" applyNumberFormat="1" applyFont="1" applyBorder="1" applyAlignment="1">
      <alignment horizontal="right" vertical="center" wrapText="1"/>
    </xf>
    <xf numFmtId="0" fontId="5" fillId="0" borderId="13" xfId="0" applyFont="1" applyBorder="1" applyAlignment="1">
      <alignment vertical="center"/>
    </xf>
    <xf numFmtId="0" fontId="5" fillId="0" borderId="13" xfId="0" applyFont="1" applyBorder="1" applyAlignment="1">
      <alignment vertical="center" wrapText="1"/>
    </xf>
    <xf numFmtId="3" fontId="11" fillId="0" borderId="13" xfId="0" applyNumberFormat="1" applyFont="1" applyBorder="1" applyAlignment="1">
      <alignment horizontal="right" vertical="center" wrapText="1"/>
    </xf>
    <xf numFmtId="0" fontId="8" fillId="0" borderId="30" xfId="0" applyFont="1" applyBorder="1"/>
    <xf numFmtId="1" fontId="11" fillId="0" borderId="49" xfId="0" applyNumberFormat="1" applyFont="1" applyBorder="1" applyAlignment="1">
      <alignment horizontal="center" vertical="center" wrapText="1"/>
    </xf>
    <xf numFmtId="0" fontId="4" fillId="0" borderId="0" xfId="0" applyFont="1" applyFill="1" applyAlignment="1">
      <alignment horizontal="center" vertical="center" wrapText="1"/>
    </xf>
    <xf numFmtId="0" fontId="40" fillId="0" borderId="0" xfId="0" applyFont="1" applyFill="1"/>
    <xf numFmtId="0" fontId="13" fillId="8" borderId="48" xfId="0" applyFont="1" applyFill="1" applyBorder="1"/>
    <xf numFmtId="0" fontId="13" fillId="8" borderId="0" xfId="0" applyFont="1" applyFill="1"/>
    <xf numFmtId="0" fontId="15" fillId="8" borderId="48" xfId="0" applyFont="1" applyFill="1" applyBorder="1" applyAlignment="1">
      <alignment vertical="center"/>
    </xf>
    <xf numFmtId="0" fontId="15" fillId="8" borderId="1" xfId="0" applyFont="1" applyFill="1" applyBorder="1" applyAlignment="1">
      <alignment vertical="center"/>
    </xf>
    <xf numFmtId="0" fontId="15" fillId="8" borderId="0" xfId="0" applyFont="1" applyFill="1"/>
    <xf numFmtId="0" fontId="4" fillId="8" borderId="48" xfId="0" applyFont="1" applyFill="1" applyBorder="1" applyAlignment="1">
      <alignment vertical="center"/>
    </xf>
    <xf numFmtId="0" fontId="4" fillId="8" borderId="1" xfId="0" applyFont="1" applyFill="1" applyBorder="1" applyAlignment="1">
      <alignment vertical="center"/>
    </xf>
    <xf numFmtId="0" fontId="4" fillId="8" borderId="1" xfId="0" applyFont="1" applyFill="1" applyBorder="1"/>
    <xf numFmtId="0" fontId="4" fillId="8" borderId="0" xfId="0" applyFont="1" applyFill="1"/>
    <xf numFmtId="0" fontId="40" fillId="8" borderId="48" xfId="0" applyFont="1" applyFill="1" applyBorder="1"/>
    <xf numFmtId="3" fontId="8" fillId="0" borderId="49" xfId="0" applyNumberFormat="1" applyFont="1" applyFill="1" applyBorder="1" applyAlignment="1">
      <alignment horizontal="center" vertical="center" wrapText="1"/>
    </xf>
    <xf numFmtId="168" fontId="8" fillId="0" borderId="49" xfId="0" applyNumberFormat="1" applyFont="1" applyFill="1" applyBorder="1" applyAlignment="1">
      <alignment vertical="center"/>
    </xf>
    <xf numFmtId="169" fontId="8" fillId="0" borderId="49" xfId="0" applyNumberFormat="1" applyFont="1" applyFill="1" applyBorder="1" applyAlignment="1">
      <alignment vertical="center"/>
    </xf>
    <xf numFmtId="0" fontId="48" fillId="0" borderId="48" xfId="0" applyFont="1" applyFill="1" applyBorder="1"/>
    <xf numFmtId="0" fontId="48" fillId="0" borderId="1" xfId="0" applyFont="1" applyFill="1" applyBorder="1"/>
    <xf numFmtId="0" fontId="48" fillId="0" borderId="0" xfId="0" applyFont="1" applyFill="1"/>
    <xf numFmtId="0" fontId="49" fillId="0" borderId="0" xfId="0" applyFont="1" applyFill="1"/>
    <xf numFmtId="4" fontId="6" fillId="0" borderId="2"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172" fontId="8" fillId="0" borderId="2" xfId="0" applyNumberFormat="1" applyFont="1" applyFill="1" applyBorder="1" applyAlignment="1">
      <alignment horizontal="center" vertical="center"/>
    </xf>
    <xf numFmtId="3" fontId="48" fillId="0" borderId="15" xfId="0" applyNumberFormat="1" applyFont="1" applyFill="1" applyBorder="1" applyAlignment="1">
      <alignment horizontal="right" vertical="center" wrapText="1"/>
    </xf>
    <xf numFmtId="0" fontId="48" fillId="0" borderId="24" xfId="0" applyFont="1" applyFill="1" applyBorder="1" applyAlignment="1">
      <alignment horizontal="left" vertical="center" wrapText="1"/>
    </xf>
    <xf numFmtId="0" fontId="2" fillId="0" borderId="2" xfId="0" applyFont="1" applyFill="1" applyBorder="1" applyAlignment="1">
      <alignment horizontal="right" vertical="center" wrapText="1"/>
    </xf>
    <xf numFmtId="3" fontId="45" fillId="0" borderId="61" xfId="0" applyNumberFormat="1" applyFont="1" applyFill="1" applyBorder="1" applyAlignment="1">
      <alignment horizontal="center" vertical="center" wrapText="1"/>
    </xf>
    <xf numFmtId="3" fontId="45" fillId="0" borderId="49" xfId="0" applyNumberFormat="1" applyFont="1" applyFill="1" applyBorder="1" applyAlignment="1">
      <alignment horizontal="center" vertical="center" wrapText="1"/>
    </xf>
    <xf numFmtId="3" fontId="45" fillId="0" borderId="62" xfId="0" applyNumberFormat="1" applyFont="1" applyFill="1" applyBorder="1" applyAlignment="1">
      <alignment vertical="center" wrapText="1"/>
    </xf>
    <xf numFmtId="0" fontId="46" fillId="0" borderId="63" xfId="0" applyFont="1" applyFill="1" applyBorder="1" applyAlignment="1">
      <alignment vertical="center"/>
    </xf>
    <xf numFmtId="0" fontId="46" fillId="0" borderId="64" xfId="0" applyFont="1" applyFill="1" applyBorder="1" applyAlignment="1">
      <alignment vertical="center"/>
    </xf>
    <xf numFmtId="2" fontId="46" fillId="0" borderId="49" xfId="0" applyNumberFormat="1" applyFont="1" applyFill="1" applyBorder="1" applyAlignment="1">
      <alignment horizontal="center" vertical="center" wrapText="1"/>
    </xf>
    <xf numFmtId="166" fontId="46" fillId="0" borderId="49" xfId="0" applyNumberFormat="1" applyFont="1" applyFill="1" applyBorder="1" applyAlignment="1">
      <alignment horizontal="center" vertical="center" wrapText="1"/>
    </xf>
    <xf numFmtId="166" fontId="45" fillId="0" borderId="49" xfId="0" applyNumberFormat="1" applyFont="1" applyFill="1" applyBorder="1" applyAlignment="1">
      <alignment vertical="center" wrapText="1"/>
    </xf>
    <xf numFmtId="0" fontId="46" fillId="0" borderId="49" xfId="0" applyFont="1" applyFill="1" applyBorder="1" applyAlignment="1">
      <alignment horizontal="center" vertical="center" wrapText="1"/>
    </xf>
    <xf numFmtId="0" fontId="46" fillId="0" borderId="49" xfId="0" applyFont="1" applyFill="1" applyBorder="1" applyAlignment="1">
      <alignment vertical="center" wrapText="1"/>
    </xf>
    <xf numFmtId="2" fontId="46" fillId="0" borderId="49" xfId="0" applyNumberFormat="1" applyFont="1" applyFill="1" applyBorder="1" applyAlignment="1">
      <alignment vertical="center"/>
    </xf>
    <xf numFmtId="3" fontId="11" fillId="0" borderId="61" xfId="0" applyNumberFormat="1" applyFont="1" applyFill="1" applyBorder="1" applyAlignment="1">
      <alignment horizontal="center" vertical="center" wrapText="1"/>
    </xf>
    <xf numFmtId="2" fontId="2" fillId="0" borderId="49" xfId="0" applyNumberFormat="1" applyFont="1" applyFill="1" applyBorder="1" applyAlignment="1">
      <alignment horizontal="center" vertical="center" wrapText="1"/>
    </xf>
    <xf numFmtId="174" fontId="2" fillId="0" borderId="49" xfId="0" applyNumberFormat="1" applyFont="1" applyFill="1" applyBorder="1" applyAlignment="1">
      <alignment horizontal="center" vertical="center" wrapText="1"/>
    </xf>
    <xf numFmtId="2" fontId="6" fillId="0" borderId="49" xfId="0" applyNumberFormat="1" applyFont="1" applyFill="1" applyBorder="1" applyAlignment="1">
      <alignment horizontal="center" vertical="center" wrapText="1"/>
    </xf>
    <xf numFmtId="166" fontId="11" fillId="0" borderId="49" xfId="0" applyNumberFormat="1" applyFont="1" applyFill="1" applyBorder="1" applyAlignment="1">
      <alignment horizontal="center" vertical="center" wrapText="1"/>
    </xf>
    <xf numFmtId="3" fontId="13" fillId="0" borderId="61" xfId="0" applyNumberFormat="1" applyFont="1" applyFill="1" applyBorder="1" applyAlignment="1">
      <alignment horizontal="center" vertical="center" wrapText="1"/>
    </xf>
    <xf numFmtId="2" fontId="2" fillId="0" borderId="49" xfId="0" applyNumberFormat="1" applyFont="1" applyFill="1" applyBorder="1" applyAlignment="1">
      <alignment vertical="center"/>
    </xf>
    <xf numFmtId="169" fontId="2" fillId="0" borderId="49" xfId="0" applyNumberFormat="1" applyFont="1" applyFill="1" applyBorder="1" applyAlignment="1">
      <alignment horizontal="center" vertical="center"/>
    </xf>
    <xf numFmtId="171" fontId="13" fillId="0" borderId="49" xfId="0" applyNumberFormat="1" applyFont="1" applyFill="1" applyBorder="1" applyAlignment="1">
      <alignment horizontal="center" vertical="center" wrapText="1"/>
    </xf>
    <xf numFmtId="37" fontId="13" fillId="0" borderId="49" xfId="0" applyNumberFormat="1" applyFont="1" applyFill="1" applyBorder="1" applyAlignment="1">
      <alignment horizontal="center" vertical="center" wrapText="1"/>
    </xf>
    <xf numFmtId="2" fontId="2" fillId="0" borderId="49" xfId="0" applyNumberFormat="1" applyFont="1" applyFill="1" applyBorder="1" applyAlignment="1">
      <alignment horizontal="center" vertical="center"/>
    </xf>
    <xf numFmtId="3" fontId="45" fillId="0" borderId="53" xfId="0" applyNumberFormat="1" applyFont="1" applyFill="1" applyBorder="1" applyAlignment="1">
      <alignment vertical="center" wrapText="1"/>
    </xf>
    <xf numFmtId="166" fontId="11" fillId="0" borderId="49" xfId="0" applyNumberFormat="1" applyFont="1" applyFill="1" applyBorder="1" applyAlignment="1">
      <alignment vertical="center" wrapText="1"/>
    </xf>
    <xf numFmtId="0" fontId="25" fillId="0" borderId="49" xfId="0" applyFont="1" applyFill="1" applyBorder="1" applyAlignment="1">
      <alignment vertical="center" wrapText="1"/>
    </xf>
    <xf numFmtId="2" fontId="25" fillId="0" borderId="49" xfId="0" applyNumberFormat="1" applyFont="1" applyFill="1" applyBorder="1" applyAlignment="1">
      <alignment vertical="center"/>
    </xf>
    <xf numFmtId="173" fontId="13" fillId="0" borderId="49" xfId="0" applyNumberFormat="1" applyFont="1" applyFill="1" applyBorder="1" applyAlignment="1">
      <alignment vertical="center" wrapText="1"/>
    </xf>
    <xf numFmtId="0" fontId="19" fillId="0" borderId="49" xfId="0" applyFont="1" applyFill="1" applyBorder="1" applyAlignment="1">
      <alignment horizontal="center" vertical="center" wrapText="1"/>
    </xf>
    <xf numFmtId="2" fontId="2" fillId="0" borderId="49" xfId="0" applyNumberFormat="1" applyFont="1" applyFill="1" applyBorder="1" applyAlignment="1">
      <alignment vertical="center" wrapText="1"/>
    </xf>
    <xf numFmtId="0" fontId="19" fillId="0" borderId="49" xfId="0" applyFont="1" applyFill="1" applyBorder="1" applyAlignment="1">
      <alignment horizontal="left" vertical="center" wrapText="1"/>
    </xf>
    <xf numFmtId="167" fontId="19" fillId="0" borderId="49" xfId="0" applyNumberFormat="1" applyFont="1" applyFill="1" applyBorder="1" applyAlignment="1">
      <alignment horizontal="center" vertical="center" wrapText="1"/>
    </xf>
    <xf numFmtId="2" fontId="19" fillId="0" borderId="49" xfId="0" applyNumberFormat="1" applyFont="1" applyFill="1" applyBorder="1" applyAlignment="1">
      <alignment vertical="center" wrapText="1"/>
    </xf>
    <xf numFmtId="172" fontId="19" fillId="0" borderId="49" xfId="0" applyNumberFormat="1" applyFont="1" applyFill="1" applyBorder="1" applyAlignment="1">
      <alignment horizontal="center" vertical="center" wrapText="1"/>
    </xf>
    <xf numFmtId="173" fontId="19" fillId="0" borderId="49" xfId="0" applyNumberFormat="1" applyFont="1" applyFill="1" applyBorder="1" applyAlignment="1">
      <alignment vertical="center" wrapText="1"/>
    </xf>
    <xf numFmtId="171" fontId="19" fillId="0" borderId="49" xfId="0" applyNumberFormat="1" applyFont="1" applyFill="1" applyBorder="1" applyAlignment="1">
      <alignment horizontal="center" vertical="center" wrapText="1"/>
    </xf>
    <xf numFmtId="37" fontId="19" fillId="0" borderId="49" xfId="0" applyNumberFormat="1" applyFont="1" applyFill="1" applyBorder="1" applyAlignment="1">
      <alignment horizontal="center" vertical="center" wrapText="1"/>
    </xf>
    <xf numFmtId="3" fontId="19" fillId="0" borderId="49" xfId="0" applyNumberFormat="1" applyFont="1" applyFill="1" applyBorder="1" applyAlignment="1">
      <alignment horizontal="center" vertical="center" wrapText="1"/>
    </xf>
    <xf numFmtId="2" fontId="19" fillId="0" borderId="49" xfId="0" applyNumberFormat="1" applyFont="1" applyFill="1" applyBorder="1" applyAlignment="1">
      <alignment vertical="center"/>
    </xf>
    <xf numFmtId="169" fontId="19" fillId="0" borderId="49" xfId="0" applyNumberFormat="1" applyFont="1" applyFill="1" applyBorder="1" applyAlignment="1">
      <alignment horizontal="center" vertical="center"/>
    </xf>
    <xf numFmtId="166" fontId="19" fillId="0" borderId="49" xfId="0" applyNumberFormat="1" applyFont="1" applyFill="1" applyBorder="1" applyAlignment="1">
      <alignment vertical="center" wrapText="1"/>
    </xf>
    <xf numFmtId="3" fontId="5" fillId="0" borderId="49" xfId="0" applyNumberFormat="1" applyFont="1" applyFill="1" applyBorder="1" applyAlignment="1">
      <alignment horizontal="center" vertical="center" wrapText="1"/>
    </xf>
    <xf numFmtId="2" fontId="19" fillId="0" borderId="49" xfId="0" applyNumberFormat="1" applyFont="1" applyFill="1" applyBorder="1" applyAlignment="1">
      <alignment horizontal="center" vertical="center" wrapText="1"/>
    </xf>
    <xf numFmtId="166" fontId="19" fillId="0" borderId="49" xfId="0" applyNumberFormat="1" applyFont="1" applyFill="1" applyBorder="1" applyAlignment="1">
      <alignment horizontal="center" vertical="center" wrapText="1"/>
    </xf>
    <xf numFmtId="3" fontId="6" fillId="0" borderId="61" xfId="0" applyNumberFormat="1" applyFont="1" applyFill="1" applyBorder="1" applyAlignment="1">
      <alignment horizontal="center" vertical="center" wrapText="1"/>
    </xf>
    <xf numFmtId="172" fontId="19" fillId="0" borderId="49" xfId="0" applyNumberFormat="1" applyFont="1" applyFill="1" applyBorder="1" applyAlignment="1">
      <alignment vertical="center" wrapText="1"/>
    </xf>
    <xf numFmtId="0" fontId="5" fillId="0" borderId="49" xfId="0" applyFont="1" applyFill="1" applyBorder="1" applyAlignment="1">
      <alignment horizontal="left" vertical="center" wrapText="1"/>
    </xf>
    <xf numFmtId="171" fontId="19" fillId="0" borderId="49" xfId="0" applyNumberFormat="1" applyFont="1" applyFill="1" applyBorder="1" applyAlignment="1">
      <alignment vertical="center" wrapText="1"/>
    </xf>
    <xf numFmtId="3" fontId="60" fillId="0" borderId="49" xfId="0" applyNumberFormat="1" applyFont="1" applyFill="1" applyBorder="1" applyAlignment="1">
      <alignment horizontal="center" vertical="center" wrapText="1"/>
    </xf>
    <xf numFmtId="3" fontId="69" fillId="0" borderId="49" xfId="0" applyNumberFormat="1" applyFont="1" applyFill="1" applyBorder="1" applyAlignment="1">
      <alignment horizontal="center" vertical="center" wrapText="1"/>
    </xf>
    <xf numFmtId="3" fontId="69" fillId="0" borderId="53" xfId="0" applyNumberFormat="1" applyFont="1" applyFill="1" applyBorder="1" applyAlignment="1">
      <alignment vertical="center" wrapText="1"/>
    </xf>
    <xf numFmtId="2" fontId="69" fillId="0" borderId="49" xfId="0" applyNumberFormat="1" applyFont="1" applyFill="1" applyBorder="1" applyAlignment="1">
      <alignment horizontal="center" vertical="center" wrapText="1"/>
    </xf>
    <xf numFmtId="166" fontId="69" fillId="0" borderId="49" xfId="0" applyNumberFormat="1" applyFont="1" applyFill="1" applyBorder="1" applyAlignment="1">
      <alignment horizontal="center" vertical="center" wrapText="1"/>
    </xf>
    <xf numFmtId="166" fontId="69" fillId="0" borderId="49" xfId="0" applyNumberFormat="1" applyFont="1" applyFill="1" applyBorder="1" applyAlignment="1">
      <alignment vertical="center" wrapText="1"/>
    </xf>
    <xf numFmtId="174" fontId="19" fillId="0" borderId="49" xfId="0" applyNumberFormat="1" applyFont="1" applyFill="1" applyBorder="1" applyAlignment="1">
      <alignment horizontal="center" vertical="center" wrapText="1"/>
    </xf>
    <xf numFmtId="2" fontId="5" fillId="0" borderId="49" xfId="0" applyNumberFormat="1" applyFont="1" applyFill="1" applyBorder="1" applyAlignment="1">
      <alignment horizontal="center" vertical="center" wrapText="1"/>
    </xf>
    <xf numFmtId="166" fontId="5" fillId="0" borderId="49" xfId="0" applyNumberFormat="1" applyFont="1" applyFill="1" applyBorder="1" applyAlignment="1">
      <alignment horizontal="center" vertical="center" wrapText="1"/>
    </xf>
    <xf numFmtId="2" fontId="19" fillId="0" borderId="49" xfId="0" applyNumberFormat="1" applyFont="1" applyFill="1" applyBorder="1" applyAlignment="1">
      <alignment horizontal="center" vertical="center"/>
    </xf>
    <xf numFmtId="0" fontId="46" fillId="0" borderId="49" xfId="0" applyFont="1" applyFill="1" applyBorder="1" applyAlignment="1">
      <alignment horizontal="center" vertical="center"/>
    </xf>
    <xf numFmtId="178" fontId="46" fillId="0" borderId="49" xfId="1" applyNumberFormat="1" applyFont="1" applyFill="1" applyBorder="1" applyAlignment="1">
      <alignment vertical="center"/>
    </xf>
    <xf numFmtId="171" fontId="11" fillId="0" borderId="49" xfId="0" applyNumberFormat="1" applyFont="1" applyFill="1" applyBorder="1" applyAlignment="1">
      <alignment horizontal="center" vertical="center" wrapText="1"/>
    </xf>
    <xf numFmtId="172" fontId="13" fillId="0" borderId="49" xfId="0" applyNumberFormat="1" applyFont="1" applyFill="1" applyBorder="1" applyAlignment="1">
      <alignment vertical="center" wrapText="1"/>
    </xf>
    <xf numFmtId="3" fontId="13" fillId="0" borderId="57" xfId="0" applyNumberFormat="1" applyFont="1" applyFill="1" applyBorder="1" applyAlignment="1">
      <alignment horizontal="center" vertical="center" wrapText="1"/>
    </xf>
    <xf numFmtId="0" fontId="2" fillId="0" borderId="58" xfId="0" applyFont="1" applyFill="1" applyBorder="1" applyAlignment="1">
      <alignment horizontal="left" vertical="center" wrapText="1"/>
    </xf>
    <xf numFmtId="0" fontId="13" fillId="0" borderId="48" xfId="0" applyFont="1" applyFill="1" applyBorder="1"/>
    <xf numFmtId="0" fontId="13" fillId="0" borderId="1" xfId="0" applyFont="1" applyFill="1" applyBorder="1"/>
    <xf numFmtId="0" fontId="13" fillId="0" borderId="0" xfId="0" applyFont="1" applyFill="1"/>
    <xf numFmtId="0" fontId="13" fillId="0" borderId="48" xfId="0" applyFont="1" applyFill="1" applyBorder="1" applyAlignment="1">
      <alignment vertical="center"/>
    </xf>
    <xf numFmtId="0" fontId="13" fillId="0" borderId="1" xfId="0" applyFont="1" applyFill="1" applyBorder="1" applyAlignment="1">
      <alignment vertical="center"/>
    </xf>
    <xf numFmtId="3" fontId="2" fillId="0" borderId="19" xfId="0" applyNumberFormat="1" applyFont="1" applyFill="1" applyBorder="1" applyAlignment="1">
      <alignment vertical="center" wrapText="1"/>
    </xf>
    <xf numFmtId="0" fontId="41" fillId="2" borderId="0" xfId="0" applyFont="1" applyFill="1" applyAlignment="1"/>
    <xf numFmtId="3" fontId="46" fillId="0" borderId="2" xfId="0" applyNumberFormat="1" applyFont="1" applyFill="1" applyBorder="1" applyAlignment="1">
      <alignment vertical="center" wrapText="1"/>
    </xf>
    <xf numFmtId="171" fontId="8" fillId="0" borderId="2" xfId="0" applyNumberFormat="1" applyFont="1" applyFill="1" applyBorder="1" applyAlignment="1">
      <alignment vertical="center"/>
    </xf>
    <xf numFmtId="3" fontId="2" fillId="0" borderId="13" xfId="0" applyNumberFormat="1" applyFont="1" applyFill="1" applyBorder="1" applyAlignment="1">
      <alignment vertical="center" wrapText="1"/>
    </xf>
    <xf numFmtId="3" fontId="2" fillId="0" borderId="13" xfId="0" applyNumberFormat="1" applyFont="1" applyFill="1" applyBorder="1" applyAlignment="1">
      <alignment vertical="center"/>
    </xf>
    <xf numFmtId="3" fontId="2" fillId="0" borderId="19" xfId="0" applyNumberFormat="1" applyFont="1" applyFill="1" applyBorder="1" applyAlignment="1">
      <alignment vertical="center"/>
    </xf>
    <xf numFmtId="171" fontId="8" fillId="0" borderId="15" xfId="0" applyNumberFormat="1" applyFont="1" applyFill="1" applyBorder="1" applyAlignment="1">
      <alignment vertical="center" wrapText="1"/>
    </xf>
    <xf numFmtId="3" fontId="2" fillId="0" borderId="26" xfId="0" applyNumberFormat="1" applyFont="1" applyFill="1" applyBorder="1" applyAlignment="1">
      <alignment vertical="center" wrapText="1"/>
    </xf>
    <xf numFmtId="3" fontId="8" fillId="0" borderId="2" xfId="0" applyNumberFormat="1" applyFont="1" applyFill="1" applyBorder="1" applyAlignment="1">
      <alignment vertical="center" wrapText="1"/>
    </xf>
    <xf numFmtId="3" fontId="2" fillId="0" borderId="48" xfId="0" applyNumberFormat="1" applyFont="1" applyFill="1" applyBorder="1" applyAlignment="1">
      <alignment vertical="center"/>
    </xf>
    <xf numFmtId="3" fontId="48" fillId="0" borderId="2" xfId="0" applyNumberFormat="1" applyFont="1" applyFill="1" applyBorder="1" applyAlignment="1">
      <alignment vertical="center" wrapText="1"/>
    </xf>
    <xf numFmtId="171" fontId="2" fillId="0" borderId="49" xfId="0" applyNumberFormat="1" applyFont="1" applyFill="1" applyBorder="1" applyAlignment="1">
      <alignment vertical="center" wrapText="1"/>
    </xf>
    <xf numFmtId="3" fontId="2" fillId="0" borderId="26" xfId="0" applyNumberFormat="1" applyFont="1" applyFill="1" applyBorder="1" applyAlignment="1">
      <alignment vertical="center"/>
    </xf>
    <xf numFmtId="3" fontId="2" fillId="0" borderId="12" xfId="0" applyNumberFormat="1" applyFont="1" applyFill="1" applyBorder="1" applyAlignment="1">
      <alignment vertical="center"/>
    </xf>
    <xf numFmtId="171" fontId="2" fillId="0" borderId="24" xfId="0" applyNumberFormat="1" applyFont="1" applyFill="1" applyBorder="1" applyAlignment="1">
      <alignment vertical="center" wrapText="1"/>
    </xf>
    <xf numFmtId="171" fontId="8" fillId="0" borderId="2" xfId="0" applyNumberFormat="1" applyFont="1" applyFill="1" applyBorder="1" applyAlignment="1">
      <alignment vertical="center" wrapText="1"/>
    </xf>
    <xf numFmtId="173" fontId="3" fillId="0" borderId="2" xfId="0" applyNumberFormat="1" applyFont="1" applyFill="1" applyBorder="1" applyAlignment="1">
      <alignment vertical="center" wrapText="1"/>
    </xf>
    <xf numFmtId="3" fontId="6" fillId="0" borderId="13" xfId="0" applyNumberFormat="1" applyFont="1" applyFill="1" applyBorder="1" applyAlignment="1">
      <alignment vertical="center" wrapText="1"/>
    </xf>
    <xf numFmtId="3" fontId="54" fillId="0" borderId="2" xfId="0" applyNumberFormat="1" applyFont="1" applyFill="1" applyBorder="1" applyAlignment="1">
      <alignment vertical="center" wrapText="1"/>
    </xf>
    <xf numFmtId="3" fontId="46" fillId="0" borderId="49" xfId="0" applyNumberFormat="1" applyFont="1" applyFill="1" applyBorder="1" applyAlignment="1">
      <alignment vertical="center" wrapText="1"/>
    </xf>
    <xf numFmtId="3" fontId="6" fillId="0" borderId="49" xfId="0" applyNumberFormat="1" applyFont="1" applyFill="1" applyBorder="1" applyAlignment="1">
      <alignment vertical="center" wrapText="1"/>
    </xf>
    <xf numFmtId="3" fontId="19" fillId="0" borderId="49" xfId="0" applyNumberFormat="1" applyFont="1" applyFill="1" applyBorder="1" applyAlignment="1">
      <alignment vertical="center" wrapText="1"/>
    </xf>
    <xf numFmtId="171" fontId="60" fillId="0" borderId="49" xfId="0" applyNumberFormat="1" applyFont="1" applyFill="1" applyBorder="1" applyAlignment="1">
      <alignment vertical="center" wrapText="1"/>
    </xf>
    <xf numFmtId="3" fontId="69" fillId="0" borderId="49" xfId="0" applyNumberFormat="1" applyFont="1" applyFill="1" applyBorder="1" applyAlignment="1">
      <alignment vertical="center" wrapText="1"/>
    </xf>
    <xf numFmtId="0" fontId="42" fillId="0" borderId="0" xfId="0" applyFont="1" applyAlignment="1"/>
    <xf numFmtId="3" fontId="2" fillId="0" borderId="13" xfId="0" applyNumberFormat="1" applyFont="1" applyFill="1" applyBorder="1" applyAlignment="1">
      <alignment horizontal="center" vertical="center" wrapText="1"/>
    </xf>
    <xf numFmtId="3" fontId="2" fillId="0" borderId="18" xfId="0" applyNumberFormat="1" applyFont="1" applyFill="1" applyBorder="1" applyAlignment="1">
      <alignment horizontal="center" vertical="center" wrapText="1"/>
    </xf>
    <xf numFmtId="3" fontId="13" fillId="0" borderId="42" xfId="0" applyNumberFormat="1" applyFont="1" applyFill="1" applyBorder="1" applyAlignment="1">
      <alignment horizontal="center" vertical="center" wrapText="1"/>
    </xf>
    <xf numFmtId="3" fontId="13" fillId="0" borderId="50"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3" fontId="13" fillId="0" borderId="18" xfId="0" applyNumberFormat="1" applyFont="1" applyFill="1" applyBorder="1" applyAlignment="1">
      <alignment horizontal="right" vertical="center" wrapText="1"/>
    </xf>
    <xf numFmtId="3" fontId="13" fillId="0" borderId="13" xfId="0" applyNumberFormat="1" applyFont="1" applyFill="1" applyBorder="1" applyAlignment="1">
      <alignment horizontal="right" vertical="center" wrapText="1"/>
    </xf>
    <xf numFmtId="167" fontId="2" fillId="0" borderId="2" xfId="0" applyNumberFormat="1" applyFont="1" applyFill="1" applyBorder="1" applyAlignment="1">
      <alignment vertical="center" wrapText="1"/>
    </xf>
    <xf numFmtId="172" fontId="2" fillId="0" borderId="13" xfId="0" applyNumberFormat="1" applyFont="1" applyFill="1" applyBorder="1" applyAlignment="1">
      <alignment horizontal="right" vertical="center" wrapText="1"/>
    </xf>
    <xf numFmtId="166" fontId="2" fillId="0" borderId="18" xfId="0" applyNumberFormat="1" applyFont="1" applyFill="1" applyBorder="1" applyAlignment="1">
      <alignment horizontal="right" vertical="center" wrapText="1"/>
    </xf>
    <xf numFmtId="166" fontId="2" fillId="0" borderId="2" xfId="0" applyNumberFormat="1" applyFont="1" applyFill="1" applyBorder="1" applyAlignment="1">
      <alignment horizontal="right" vertical="center" wrapText="1"/>
    </xf>
    <xf numFmtId="170" fontId="2" fillId="0" borderId="42" xfId="0" applyNumberFormat="1" applyFont="1" applyFill="1" applyBorder="1" applyAlignment="1">
      <alignment horizontal="right" vertical="center" wrapText="1"/>
    </xf>
    <xf numFmtId="172" fontId="2" fillId="0" borderId="25" xfId="0" applyNumberFormat="1" applyFont="1" applyFill="1" applyBorder="1" applyAlignment="1">
      <alignment horizontal="right" vertical="center" wrapText="1"/>
    </xf>
    <xf numFmtId="172" fontId="2" fillId="0" borderId="26" xfId="0" applyNumberFormat="1" applyFont="1" applyFill="1" applyBorder="1" applyAlignment="1">
      <alignment horizontal="right" vertical="center" wrapText="1"/>
    </xf>
    <xf numFmtId="9" fontId="13" fillId="0" borderId="13" xfId="0" applyNumberFormat="1" applyFont="1" applyFill="1" applyBorder="1" applyAlignment="1">
      <alignment horizontal="center" vertical="center"/>
    </xf>
    <xf numFmtId="9" fontId="13" fillId="0" borderId="26" xfId="0" applyNumberFormat="1" applyFont="1" applyFill="1" applyBorder="1" applyAlignment="1">
      <alignment horizontal="center" vertical="center" wrapText="1"/>
    </xf>
    <xf numFmtId="3" fontId="2" fillId="0" borderId="26" xfId="0" applyNumberFormat="1" applyFont="1" applyFill="1" applyBorder="1" applyAlignment="1">
      <alignment horizontal="right" vertical="center" wrapText="1"/>
    </xf>
    <xf numFmtId="179" fontId="13" fillId="0" borderId="49" xfId="0" applyNumberFormat="1" applyFont="1" applyFill="1" applyBorder="1" applyAlignment="1">
      <alignment horizontal="right" vertical="center" wrapText="1"/>
    </xf>
    <xf numFmtId="0" fontId="17" fillId="0" borderId="1" xfId="0" applyFont="1" applyFill="1" applyBorder="1"/>
    <xf numFmtId="0" fontId="17" fillId="0" borderId="0" xfId="0" applyFont="1" applyFill="1"/>
    <xf numFmtId="0" fontId="15" fillId="6" borderId="1" xfId="0" applyFont="1" applyFill="1" applyBorder="1" applyAlignment="1">
      <alignment vertical="center"/>
    </xf>
    <xf numFmtId="0" fontId="17" fillId="6" borderId="1" xfId="0" applyFont="1" applyFill="1" applyBorder="1" applyAlignment="1">
      <alignment vertical="center"/>
    </xf>
    <xf numFmtId="0" fontId="0" fillId="6" borderId="0" xfId="0" applyFill="1" applyAlignment="1">
      <alignment vertical="center"/>
    </xf>
    <xf numFmtId="0" fontId="13" fillId="6" borderId="0" xfId="0" applyFont="1" applyFill="1" applyAlignment="1">
      <alignment vertical="center"/>
    </xf>
    <xf numFmtId="0" fontId="48" fillId="0" borderId="48" xfId="0" applyFont="1" applyFill="1" applyBorder="1" applyAlignment="1">
      <alignment vertical="center"/>
    </xf>
    <xf numFmtId="0" fontId="48" fillId="0" borderId="1" xfId="0" applyFont="1" applyFill="1" applyBorder="1" applyAlignment="1">
      <alignment vertical="center"/>
    </xf>
    <xf numFmtId="0" fontId="48" fillId="0" borderId="0" xfId="0" applyFont="1" applyFill="1" applyAlignment="1">
      <alignment vertical="center"/>
    </xf>
    <xf numFmtId="0" fontId="49" fillId="0" borderId="0" xfId="0" applyFont="1" applyFill="1" applyAlignment="1">
      <alignment vertical="center"/>
    </xf>
    <xf numFmtId="0" fontId="17" fillId="6" borderId="48" xfId="0" applyFont="1" applyFill="1" applyBorder="1" applyAlignment="1">
      <alignment vertical="center"/>
    </xf>
    <xf numFmtId="0" fontId="2" fillId="0" borderId="33"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3" fillId="0" borderId="49" xfId="0" applyFont="1" applyFill="1" applyBorder="1" applyAlignment="1">
      <alignment horizontal="center" vertical="center"/>
    </xf>
    <xf numFmtId="3" fontId="2" fillId="0" borderId="33" xfId="0" applyNumberFormat="1" applyFont="1" applyFill="1" applyBorder="1" applyAlignment="1">
      <alignment horizontal="center" vertical="center" wrapText="1"/>
    </xf>
    <xf numFmtId="4" fontId="6" fillId="0" borderId="33" xfId="0" applyNumberFormat="1" applyFont="1" applyFill="1" applyBorder="1" applyAlignment="1">
      <alignment horizontal="center" vertical="center" wrapText="1"/>
    </xf>
    <xf numFmtId="3" fontId="23" fillId="0" borderId="33" xfId="0" applyNumberFormat="1" applyFont="1" applyFill="1" applyBorder="1" applyAlignment="1">
      <alignment horizontal="center" vertical="center" wrapText="1"/>
    </xf>
    <xf numFmtId="167" fontId="6" fillId="0" borderId="20" xfId="0" applyNumberFormat="1" applyFont="1" applyFill="1" applyBorder="1" applyAlignment="1">
      <alignment vertical="center" wrapText="1"/>
    </xf>
    <xf numFmtId="3" fontId="6" fillId="0" borderId="34" xfId="0" applyNumberFormat="1" applyFont="1" applyFill="1" applyBorder="1" applyAlignment="1">
      <alignment horizontal="center" vertical="center"/>
    </xf>
    <xf numFmtId="3" fontId="2" fillId="0" borderId="54" xfId="0" applyNumberFormat="1" applyFont="1" applyFill="1" applyBorder="1" applyAlignment="1">
      <alignment vertical="center"/>
    </xf>
    <xf numFmtId="0" fontId="6" fillId="0" borderId="54" xfId="0" applyFont="1" applyFill="1" applyBorder="1" applyAlignment="1">
      <alignment vertical="center"/>
    </xf>
    <xf numFmtId="0" fontId="2" fillId="0" borderId="54" xfId="0" applyFont="1" applyFill="1" applyBorder="1" applyAlignment="1">
      <alignment vertical="center"/>
    </xf>
    <xf numFmtId="3" fontId="6" fillId="0" borderId="54" xfId="0" applyNumberFormat="1" applyFont="1" applyFill="1" applyBorder="1" applyAlignment="1">
      <alignment horizontal="center" vertical="center"/>
    </xf>
    <xf numFmtId="0" fontId="14" fillId="0" borderId="54" xfId="0" applyFont="1" applyFill="1" applyBorder="1" applyAlignment="1">
      <alignment vertical="center"/>
    </xf>
    <xf numFmtId="4" fontId="6" fillId="0" borderId="13" xfId="0" applyNumberFormat="1" applyFont="1" applyFill="1" applyBorder="1" applyAlignment="1">
      <alignment horizontal="center" vertical="center" wrapText="1"/>
    </xf>
    <xf numFmtId="4" fontId="6" fillId="0" borderId="49" xfId="0" applyNumberFormat="1" applyFont="1" applyFill="1" applyBorder="1" applyAlignment="1">
      <alignment horizontal="center" vertical="center" wrapText="1"/>
    </xf>
    <xf numFmtId="3" fontId="12" fillId="0" borderId="49" xfId="0" applyNumberFormat="1" applyFont="1" applyFill="1" applyBorder="1" applyAlignment="1">
      <alignment horizontal="center" vertical="center" wrapText="1"/>
    </xf>
    <xf numFmtId="3" fontId="47" fillId="0" borderId="50" xfId="0" applyNumberFormat="1" applyFont="1" applyFill="1" applyBorder="1" applyAlignment="1">
      <alignment horizontal="center" vertical="center" wrapText="1"/>
    </xf>
    <xf numFmtId="0" fontId="11" fillId="0" borderId="2" xfId="0" quotePrefix="1" applyFont="1" applyFill="1" applyBorder="1" applyAlignment="1">
      <alignment horizontal="left" vertical="center" wrapText="1"/>
    </xf>
    <xf numFmtId="166" fontId="2" fillId="0" borderId="2" xfId="0" applyNumberFormat="1" applyFont="1" applyFill="1" applyBorder="1" applyAlignment="1">
      <alignment horizontal="center" vertical="center"/>
    </xf>
    <xf numFmtId="173" fontId="2" fillId="0" borderId="2" xfId="0" applyNumberFormat="1" applyFont="1" applyFill="1" applyBorder="1" applyAlignment="1">
      <alignment horizontal="center" vertical="center" wrapText="1"/>
    </xf>
    <xf numFmtId="3" fontId="2" fillId="0" borderId="42" xfId="0" applyNumberFormat="1" applyFont="1" applyFill="1" applyBorder="1" applyAlignment="1">
      <alignment vertical="center" wrapText="1"/>
    </xf>
    <xf numFmtId="169" fontId="16" fillId="0" borderId="15" xfId="0" applyNumberFormat="1" applyFont="1" applyFill="1" applyBorder="1" applyAlignment="1">
      <alignment horizontal="center" vertical="center"/>
    </xf>
    <xf numFmtId="171" fontId="16" fillId="0" borderId="2" xfId="0" applyNumberFormat="1" applyFont="1" applyFill="1" applyBorder="1" applyAlignment="1">
      <alignment vertical="center"/>
    </xf>
    <xf numFmtId="171" fontId="16" fillId="0" borderId="2" xfId="0" applyNumberFormat="1" applyFont="1" applyFill="1" applyBorder="1" applyAlignment="1">
      <alignment vertical="center" wrapText="1"/>
    </xf>
    <xf numFmtId="171" fontId="2" fillId="0" borderId="2" xfId="0" applyNumberFormat="1" applyFont="1" applyFill="1" applyBorder="1" applyAlignment="1">
      <alignment vertical="center"/>
    </xf>
    <xf numFmtId="0" fontId="48" fillId="0" borderId="48" xfId="0" applyFont="1" applyFill="1" applyBorder="1" applyAlignment="1">
      <alignment horizontal="center" vertical="center"/>
    </xf>
    <xf numFmtId="173" fontId="2" fillId="0" borderId="2" xfId="0" applyNumberFormat="1" applyFont="1" applyFill="1" applyBorder="1" applyAlignment="1">
      <alignment vertical="center" wrapText="1"/>
    </xf>
    <xf numFmtId="3" fontId="16" fillId="0" borderId="0" xfId="0" applyNumberFormat="1" applyFont="1" applyFill="1" applyAlignment="1">
      <alignment vertical="center"/>
    </xf>
    <xf numFmtId="3" fontId="16" fillId="0" borderId="51" xfId="0" applyNumberFormat="1" applyFont="1" applyFill="1" applyBorder="1" applyAlignment="1">
      <alignment vertical="center"/>
    </xf>
    <xf numFmtId="0" fontId="8" fillId="0" borderId="0" xfId="0" applyFont="1" applyFill="1" applyAlignment="1">
      <alignment horizontal="center" vertical="center"/>
    </xf>
    <xf numFmtId="3" fontId="6" fillId="0" borderId="18" xfId="0" applyNumberFormat="1" applyFont="1" applyFill="1" applyBorder="1" applyAlignment="1">
      <alignment vertical="center" wrapText="1"/>
    </xf>
    <xf numFmtId="173" fontId="2" fillId="0" borderId="2" xfId="0" quotePrefix="1" applyNumberFormat="1" applyFont="1" applyFill="1" applyBorder="1" applyAlignment="1">
      <alignment horizontal="center" vertical="center" wrapText="1"/>
    </xf>
    <xf numFmtId="167" fontId="2" fillId="0" borderId="2" xfId="0" quotePrefix="1" applyNumberFormat="1" applyFont="1" applyFill="1" applyBorder="1" applyAlignment="1">
      <alignment horizontal="center" vertical="center" wrapText="1"/>
    </xf>
    <xf numFmtId="170" fontId="2" fillId="0" borderId="2" xfId="0" applyNumberFormat="1" applyFont="1" applyFill="1" applyBorder="1" applyAlignment="1">
      <alignment horizontal="center" vertical="center"/>
    </xf>
    <xf numFmtId="0" fontId="48" fillId="0" borderId="49" xfId="0" applyFont="1" applyFill="1" applyBorder="1" applyAlignment="1">
      <alignment horizontal="center" vertical="center" wrapText="1"/>
    </xf>
    <xf numFmtId="0" fontId="48" fillId="0" borderId="49" xfId="0" applyFont="1" applyFill="1" applyBorder="1" applyAlignment="1">
      <alignment horizontal="right" vertical="center" wrapText="1"/>
    </xf>
    <xf numFmtId="172" fontId="2" fillId="0" borderId="2" xfId="0" applyNumberFormat="1" applyFont="1" applyFill="1" applyBorder="1" applyAlignment="1">
      <alignment horizontal="left" vertical="center" wrapText="1"/>
    </xf>
    <xf numFmtId="171" fontId="2" fillId="0" borderId="15" xfId="0" applyNumberFormat="1" applyFont="1" applyFill="1" applyBorder="1" applyAlignment="1">
      <alignment vertical="center" wrapText="1"/>
    </xf>
    <xf numFmtId="169" fontId="2" fillId="0" borderId="15" xfId="0" applyNumberFormat="1" applyFont="1" applyFill="1" applyBorder="1" applyAlignment="1">
      <alignment horizontal="center" vertical="center"/>
    </xf>
    <xf numFmtId="171" fontId="6" fillId="0" borderId="2" xfId="0" applyNumberFormat="1" applyFont="1" applyFill="1" applyBorder="1" applyAlignment="1">
      <alignment vertical="center" wrapText="1"/>
    </xf>
    <xf numFmtId="9" fontId="2" fillId="0" borderId="51" xfId="0" applyNumberFormat="1" applyFont="1" applyFill="1" applyBorder="1" applyAlignment="1">
      <alignment horizontal="center" vertical="center" wrapText="1"/>
    </xf>
    <xf numFmtId="178" fontId="2" fillId="0" borderId="2" xfId="1" applyNumberFormat="1" applyFont="1" applyFill="1" applyBorder="1" applyAlignment="1">
      <alignment horizontal="center" vertical="center" wrapText="1"/>
    </xf>
    <xf numFmtId="171" fontId="2" fillId="0" borderId="15" xfId="0" applyNumberFormat="1" applyFont="1" applyFill="1" applyBorder="1" applyAlignment="1">
      <alignment horizontal="right" vertical="center" wrapText="1"/>
    </xf>
    <xf numFmtId="3" fontId="2" fillId="0" borderId="2" xfId="0" applyNumberFormat="1" applyFont="1" applyFill="1" applyBorder="1" applyAlignment="1">
      <alignment vertical="center" shrinkToFit="1"/>
    </xf>
    <xf numFmtId="172" fontId="2" fillId="0" borderId="33" xfId="0" applyNumberFormat="1" applyFont="1" applyFill="1" applyBorder="1" applyAlignment="1">
      <alignment horizontal="center" vertical="center" wrapText="1"/>
    </xf>
    <xf numFmtId="0" fontId="2" fillId="0" borderId="2" xfId="0" applyFont="1" applyFill="1" applyBorder="1" applyAlignment="1">
      <alignment vertical="center"/>
    </xf>
    <xf numFmtId="3" fontId="11" fillId="0" borderId="49" xfId="0" applyNumberFormat="1" applyFont="1" applyFill="1" applyBorder="1" applyAlignment="1">
      <alignment horizontal="center" vertical="center"/>
    </xf>
    <xf numFmtId="0" fontId="16" fillId="0" borderId="48" xfId="0" applyFont="1" applyFill="1" applyBorder="1" applyAlignment="1">
      <alignment vertical="center"/>
    </xf>
    <xf numFmtId="0" fontId="16" fillId="0" borderId="0" xfId="0" applyFont="1" applyFill="1" applyAlignment="1">
      <alignment vertical="center"/>
    </xf>
    <xf numFmtId="0" fontId="46" fillId="0" borderId="17" xfId="0" applyFont="1" applyFill="1" applyBorder="1" applyAlignment="1">
      <alignment vertical="center"/>
    </xf>
    <xf numFmtId="3" fontId="16" fillId="0" borderId="48" xfId="0" applyNumberFormat="1" applyFont="1" applyFill="1" applyBorder="1" applyAlignment="1">
      <alignment vertical="center"/>
    </xf>
    <xf numFmtId="3" fontId="72" fillId="0" borderId="49" xfId="0" applyNumberFormat="1" applyFont="1" applyFill="1" applyBorder="1" applyAlignment="1">
      <alignment vertical="center"/>
    </xf>
    <xf numFmtId="3" fontId="72" fillId="0" borderId="51" xfId="0" applyNumberFormat="1" applyFont="1" applyFill="1" applyBorder="1" applyAlignment="1">
      <alignment vertical="center"/>
    </xf>
    <xf numFmtId="0" fontId="48" fillId="0" borderId="52" xfId="0" applyFont="1" applyFill="1" applyBorder="1" applyAlignment="1">
      <alignment vertical="center" wrapText="1"/>
    </xf>
    <xf numFmtId="3" fontId="72" fillId="0" borderId="52" xfId="0" applyNumberFormat="1" applyFont="1" applyFill="1" applyBorder="1" applyAlignment="1">
      <alignment vertical="center"/>
    </xf>
    <xf numFmtId="166" fontId="2" fillId="0" borderId="49" xfId="0" applyNumberFormat="1" applyFont="1" applyFill="1" applyBorder="1" applyAlignment="1">
      <alignment vertical="center"/>
    </xf>
    <xf numFmtId="178" fontId="2" fillId="0" borderId="49" xfId="0" applyNumberFormat="1" applyFont="1" applyFill="1" applyBorder="1" applyAlignment="1">
      <alignment vertical="center"/>
    </xf>
    <xf numFmtId="3" fontId="16" fillId="0" borderId="2" xfId="0" applyNumberFormat="1" applyFont="1" applyFill="1" applyBorder="1" applyAlignment="1">
      <alignment vertical="center" wrapText="1"/>
    </xf>
    <xf numFmtId="3" fontId="16" fillId="0" borderId="2" xfId="0" applyNumberFormat="1" applyFont="1" applyFill="1" applyBorder="1" applyAlignment="1">
      <alignment horizontal="center" vertical="center" wrapText="1"/>
    </xf>
    <xf numFmtId="175" fontId="17" fillId="0" borderId="6" xfId="0" applyNumberFormat="1" applyFont="1" applyFill="1" applyBorder="1" applyAlignment="1">
      <alignment vertical="center" wrapText="1"/>
    </xf>
    <xf numFmtId="176" fontId="17" fillId="0" borderId="6" xfId="0" applyNumberFormat="1" applyFont="1" applyFill="1" applyBorder="1" applyAlignment="1">
      <alignment horizontal="center" vertical="center" wrapText="1"/>
    </xf>
    <xf numFmtId="3" fontId="17" fillId="0" borderId="6" xfId="0" applyNumberFormat="1" applyFont="1" applyFill="1" applyBorder="1" applyAlignment="1">
      <alignment vertical="center" wrapText="1"/>
    </xf>
    <xf numFmtId="3" fontId="16" fillId="0" borderId="6" xfId="0" applyNumberFormat="1" applyFont="1" applyFill="1" applyBorder="1" applyAlignment="1">
      <alignment vertical="center" wrapText="1"/>
    </xf>
    <xf numFmtId="168" fontId="16" fillId="0" borderId="49" xfId="0" applyNumberFormat="1" applyFont="1" applyFill="1" applyBorder="1" applyAlignment="1">
      <alignment vertical="center" wrapText="1"/>
    </xf>
    <xf numFmtId="175" fontId="17" fillId="0" borderId="30" xfId="0" applyNumberFormat="1" applyFont="1" applyFill="1" applyBorder="1" applyAlignment="1">
      <alignment vertical="center" wrapText="1"/>
    </xf>
    <xf numFmtId="176" fontId="17" fillId="0" borderId="30" xfId="0" applyNumberFormat="1" applyFont="1" applyFill="1" applyBorder="1" applyAlignment="1">
      <alignment horizontal="center" vertical="center" wrapText="1"/>
    </xf>
    <xf numFmtId="3" fontId="17" fillId="0" borderId="30" xfId="0" applyNumberFormat="1" applyFont="1" applyFill="1" applyBorder="1" applyAlignment="1">
      <alignment vertical="center" wrapText="1"/>
    </xf>
    <xf numFmtId="3" fontId="16" fillId="0" borderId="30" xfId="0" applyNumberFormat="1" applyFont="1" applyFill="1" applyBorder="1" applyAlignment="1">
      <alignment vertical="center" wrapText="1"/>
    </xf>
    <xf numFmtId="170" fontId="2" fillId="0" borderId="49" xfId="0" applyNumberFormat="1" applyFont="1" applyFill="1" applyBorder="1" applyAlignment="1">
      <alignment vertical="center"/>
    </xf>
    <xf numFmtId="0" fontId="6" fillId="0" borderId="17" xfId="0" applyFont="1" applyFill="1" applyBorder="1" applyAlignment="1">
      <alignment vertical="center"/>
    </xf>
    <xf numFmtId="178" fontId="8" fillId="0" borderId="49" xfId="1" applyNumberFormat="1" applyFont="1" applyFill="1" applyBorder="1" applyAlignment="1">
      <alignment horizontal="center" vertical="center" wrapText="1"/>
    </xf>
    <xf numFmtId="0" fontId="8" fillId="0" borderId="48" xfId="0" applyFont="1" applyFill="1" applyBorder="1" applyAlignment="1">
      <alignment horizontal="center" vertical="center" wrapText="1"/>
    </xf>
    <xf numFmtId="165" fontId="8" fillId="0" borderId="52" xfId="1" applyFont="1" applyFill="1" applyBorder="1" applyAlignment="1">
      <alignment horizontal="center" vertical="center" wrapText="1"/>
    </xf>
    <xf numFmtId="173" fontId="25" fillId="0" borderId="49" xfId="0" applyNumberFormat="1" applyFont="1" applyFill="1" applyBorder="1" applyAlignment="1">
      <alignment vertical="center"/>
    </xf>
    <xf numFmtId="0" fontId="30" fillId="0" borderId="49" xfId="0" applyFont="1" applyFill="1" applyBorder="1" applyAlignment="1">
      <alignment vertical="center"/>
    </xf>
    <xf numFmtId="165" fontId="48" fillId="0" borderId="48" xfId="1" applyFont="1" applyFill="1" applyBorder="1" applyAlignment="1">
      <alignment vertical="center"/>
    </xf>
    <xf numFmtId="179" fontId="48" fillId="0" borderId="49" xfId="1" applyNumberFormat="1" applyFont="1" applyFill="1" applyBorder="1" applyAlignment="1">
      <alignment vertical="center"/>
    </xf>
    <xf numFmtId="0" fontId="27" fillId="0" borderId="49" xfId="0" applyFont="1" applyFill="1" applyBorder="1" applyAlignment="1">
      <alignment vertical="center"/>
    </xf>
    <xf numFmtId="166" fontId="16" fillId="0" borderId="49" xfId="0" applyNumberFormat="1" applyFont="1" applyFill="1" applyBorder="1" applyAlignment="1">
      <alignment vertical="center"/>
    </xf>
    <xf numFmtId="169" fontId="17" fillId="0" borderId="49" xfId="0" applyNumberFormat="1" applyFont="1" applyFill="1" applyBorder="1" applyAlignment="1">
      <alignment vertical="center"/>
    </xf>
    <xf numFmtId="169" fontId="16" fillId="0" borderId="49" xfId="0" applyNumberFormat="1" applyFont="1" applyFill="1" applyBorder="1" applyAlignment="1">
      <alignment vertical="center"/>
    </xf>
    <xf numFmtId="0" fontId="8" fillId="0" borderId="49" xfId="0" applyFont="1" applyFill="1" applyBorder="1" applyAlignment="1">
      <alignment horizontal="center" vertical="center"/>
    </xf>
    <xf numFmtId="0" fontId="8" fillId="0" borderId="65" xfId="0" applyFont="1" applyFill="1" applyBorder="1" applyAlignment="1">
      <alignment vertical="center"/>
    </xf>
    <xf numFmtId="0" fontId="8" fillId="0" borderId="54" xfId="0" applyFont="1" applyFill="1" applyBorder="1" applyAlignment="1">
      <alignment vertical="center"/>
    </xf>
    <xf numFmtId="172" fontId="16" fillId="0" borderId="49" xfId="0" applyNumberFormat="1" applyFont="1" applyFill="1" applyBorder="1" applyAlignment="1">
      <alignment vertical="center"/>
    </xf>
    <xf numFmtId="0" fontId="69" fillId="0" borderId="49" xfId="0" applyFont="1" applyFill="1" applyBorder="1" applyAlignment="1">
      <alignment vertical="center"/>
    </xf>
    <xf numFmtId="0" fontId="60" fillId="0" borderId="65" xfId="0" applyFont="1" applyFill="1" applyBorder="1" applyAlignment="1">
      <alignment vertical="center"/>
    </xf>
    <xf numFmtId="0" fontId="60" fillId="0" borderId="54" xfId="0" applyFont="1" applyFill="1" applyBorder="1" applyAlignment="1">
      <alignment vertical="center"/>
    </xf>
    <xf numFmtId="3" fontId="45" fillId="0" borderId="2" xfId="0" applyNumberFormat="1" applyFont="1" applyFill="1" applyBorder="1" applyAlignment="1">
      <alignment vertical="center" wrapText="1"/>
    </xf>
    <xf numFmtId="0" fontId="0" fillId="0" borderId="0" xfId="0" applyAlignment="1"/>
    <xf numFmtId="3" fontId="13" fillId="0" borderId="33" xfId="0" applyNumberFormat="1" applyFont="1" applyFill="1" applyBorder="1" applyAlignment="1">
      <alignment horizontal="right" vertical="center"/>
    </xf>
    <xf numFmtId="3" fontId="17" fillId="0" borderId="33" xfId="0" applyNumberFormat="1" applyFont="1" applyFill="1" applyBorder="1" applyAlignment="1">
      <alignment horizontal="right" vertical="center"/>
    </xf>
    <xf numFmtId="0" fontId="13" fillId="8" borderId="0" xfId="0" applyFont="1" applyFill="1" applyAlignment="1">
      <alignment vertical="center"/>
    </xf>
    <xf numFmtId="0" fontId="0" fillId="8" borderId="0" xfId="0" applyFill="1" applyAlignment="1">
      <alignment vertical="center"/>
    </xf>
    <xf numFmtId="3" fontId="69" fillId="0" borderId="33" xfId="0" applyNumberFormat="1" applyFont="1" applyFill="1" applyBorder="1" applyAlignment="1">
      <alignment vertical="center" wrapText="1"/>
    </xf>
    <xf numFmtId="3" fontId="73" fillId="0" borderId="33" xfId="0" applyNumberFormat="1" applyFont="1" applyFill="1" applyBorder="1" applyAlignment="1">
      <alignment vertical="center" wrapText="1"/>
    </xf>
    <xf numFmtId="169" fontId="2" fillId="0" borderId="33" xfId="0" applyNumberFormat="1" applyFont="1" applyFill="1" applyBorder="1" applyAlignment="1">
      <alignment horizontal="center" vertical="center" wrapText="1"/>
    </xf>
    <xf numFmtId="3" fontId="14" fillId="0" borderId="53" xfId="0" applyNumberFormat="1" applyFont="1" applyFill="1" applyBorder="1" applyAlignment="1">
      <alignment horizontal="center" vertical="center" wrapText="1"/>
    </xf>
    <xf numFmtId="3" fontId="2" fillId="0" borderId="33" xfId="0" applyNumberFormat="1" applyFont="1" applyFill="1" applyBorder="1" applyAlignment="1">
      <alignment horizontal="center" vertical="center"/>
    </xf>
    <xf numFmtId="3" fontId="10" fillId="0" borderId="33" xfId="0" applyNumberFormat="1" applyFont="1" applyFill="1" applyBorder="1" applyAlignment="1">
      <alignment horizontal="center" vertical="center"/>
    </xf>
    <xf numFmtId="3" fontId="2" fillId="0" borderId="53" xfId="0" applyNumberFormat="1" applyFont="1" applyFill="1" applyBorder="1" applyAlignment="1">
      <alignment vertical="center" wrapText="1"/>
    </xf>
    <xf numFmtId="3" fontId="10" fillId="0" borderId="50" xfId="0" applyNumberFormat="1" applyFont="1" applyFill="1" applyBorder="1" applyAlignment="1">
      <alignment horizontal="center" vertical="center" wrapText="1"/>
    </xf>
    <xf numFmtId="0" fontId="24" fillId="0" borderId="49" xfId="0" applyFont="1" applyFill="1" applyBorder="1" applyAlignment="1">
      <alignment vertical="center"/>
    </xf>
    <xf numFmtId="0" fontId="26" fillId="0" borderId="49" xfId="0" applyFont="1" applyFill="1" applyBorder="1" applyAlignment="1">
      <alignment vertical="center"/>
    </xf>
    <xf numFmtId="0" fontId="2" fillId="0" borderId="42" xfId="0" applyFont="1" applyFill="1" applyBorder="1" applyAlignment="1">
      <alignment horizontal="center" vertical="center"/>
    </xf>
    <xf numFmtId="3" fontId="10" fillId="0" borderId="33" xfId="0" applyNumberFormat="1" applyFont="1" applyFill="1" applyBorder="1" applyAlignment="1">
      <alignment vertical="center" wrapText="1"/>
    </xf>
    <xf numFmtId="0" fontId="47" fillId="0" borderId="49" xfId="0" applyFont="1" applyFill="1" applyBorder="1" applyAlignment="1">
      <alignment vertical="center"/>
    </xf>
    <xf numFmtId="3" fontId="14" fillId="0" borderId="33" xfId="0" applyNumberFormat="1" applyFont="1" applyFill="1" applyBorder="1" applyAlignment="1">
      <alignment horizontal="center" vertical="center"/>
    </xf>
    <xf numFmtId="3" fontId="74" fillId="0" borderId="33" xfId="0" applyNumberFormat="1" applyFont="1" applyFill="1" applyBorder="1" applyAlignment="1">
      <alignment vertical="center" wrapText="1"/>
    </xf>
    <xf numFmtId="0" fontId="2" fillId="0" borderId="33" xfId="0" applyFont="1" applyFill="1" applyBorder="1" applyAlignment="1">
      <alignment vertical="center"/>
    </xf>
    <xf numFmtId="3" fontId="8" fillId="0" borderId="33" xfId="0" applyNumberFormat="1" applyFont="1" applyFill="1" applyBorder="1" applyAlignment="1">
      <alignment horizontal="center" vertical="center"/>
    </xf>
    <xf numFmtId="3" fontId="13" fillId="0" borderId="26" xfId="0" applyNumberFormat="1" applyFont="1" applyFill="1" applyBorder="1" applyAlignment="1">
      <alignment horizontal="right" vertical="center" wrapText="1"/>
    </xf>
    <xf numFmtId="169" fontId="2" fillId="0" borderId="33" xfId="0" applyNumberFormat="1" applyFont="1" applyFill="1" applyBorder="1" applyAlignment="1">
      <alignment horizontal="left" vertical="center" wrapText="1"/>
    </xf>
    <xf numFmtId="3" fontId="21" fillId="0" borderId="33" xfId="0" applyNumberFormat="1" applyFont="1" applyFill="1" applyBorder="1" applyAlignment="1">
      <alignment horizontal="center" vertical="center" wrapText="1"/>
    </xf>
    <xf numFmtId="3" fontId="28" fillId="0" borderId="33" xfId="0" applyNumberFormat="1" applyFont="1" applyFill="1" applyBorder="1" applyAlignment="1">
      <alignment horizontal="center" vertical="center" wrapText="1"/>
    </xf>
    <xf numFmtId="3" fontId="52" fillId="0" borderId="33" xfId="0" applyNumberFormat="1" applyFont="1" applyFill="1" applyBorder="1" applyAlignment="1">
      <alignment horizontal="center" vertical="center" wrapText="1"/>
    </xf>
    <xf numFmtId="3" fontId="17" fillId="0" borderId="41" xfId="0" applyNumberFormat="1" applyFont="1" applyFill="1" applyBorder="1" applyAlignment="1">
      <alignment vertical="center" wrapText="1"/>
    </xf>
    <xf numFmtId="3" fontId="10" fillId="0" borderId="53" xfId="0" applyNumberFormat="1" applyFont="1" applyFill="1" applyBorder="1" applyAlignment="1">
      <alignment vertical="center" wrapText="1"/>
    </xf>
    <xf numFmtId="0" fontId="8" fillId="0" borderId="33" xfId="0" applyFont="1" applyFill="1" applyBorder="1" applyAlignment="1">
      <alignment horizontal="left" vertical="center" wrapText="1"/>
    </xf>
    <xf numFmtId="0" fontId="8" fillId="0" borderId="33" xfId="0" applyFont="1" applyFill="1" applyBorder="1" applyAlignment="1">
      <alignment horizontal="center" vertical="center"/>
    </xf>
    <xf numFmtId="0" fontId="6" fillId="0" borderId="33" xfId="0" applyFont="1" applyFill="1" applyBorder="1" applyAlignment="1">
      <alignment horizontal="center" vertical="center"/>
    </xf>
    <xf numFmtId="0" fontId="8" fillId="0" borderId="53" xfId="0" applyFont="1" applyFill="1" applyBorder="1" applyAlignment="1">
      <alignment vertical="center" wrapText="1"/>
    </xf>
    <xf numFmtId="3" fontId="2" fillId="0" borderId="33" xfId="0" applyNumberFormat="1" applyFont="1" applyFill="1" applyBorder="1" applyAlignment="1">
      <alignment vertical="center" wrapText="1"/>
    </xf>
    <xf numFmtId="0" fontId="2" fillId="0" borderId="66" xfId="0" applyFont="1" applyFill="1" applyBorder="1" applyAlignment="1">
      <alignment vertical="center" wrapText="1"/>
    </xf>
    <xf numFmtId="169" fontId="2" fillId="0" borderId="33" xfId="0" applyNumberFormat="1" applyFont="1" applyFill="1" applyBorder="1" applyAlignment="1">
      <alignment vertical="center" wrapText="1"/>
    </xf>
    <xf numFmtId="0" fontId="54" fillId="0" borderId="33" xfId="0" applyFont="1" applyFill="1" applyBorder="1" applyAlignment="1">
      <alignment horizontal="center" vertical="center" wrapText="1"/>
    </xf>
    <xf numFmtId="0" fontId="20" fillId="0" borderId="49" xfId="0" applyFont="1" applyFill="1" applyBorder="1" applyAlignment="1">
      <alignment vertical="center" wrapText="1"/>
    </xf>
    <xf numFmtId="0" fontId="48" fillId="0" borderId="49" xfId="0" applyFont="1" applyFill="1" applyBorder="1" applyAlignment="1">
      <alignment horizontal="center" vertical="center"/>
    </xf>
    <xf numFmtId="3" fontId="16" fillId="0" borderId="49" xfId="0" applyNumberFormat="1" applyFont="1" applyFill="1" applyBorder="1" applyAlignment="1">
      <alignment vertical="center" wrapText="1"/>
    </xf>
    <xf numFmtId="0" fontId="16" fillId="0" borderId="49" xfId="0" applyFont="1" applyFill="1" applyBorder="1" applyAlignment="1">
      <alignment horizontal="left" vertical="center" wrapText="1"/>
    </xf>
    <xf numFmtId="0" fontId="11" fillId="0" borderId="49" xfId="0" applyFont="1" applyFill="1" applyBorder="1" applyAlignment="1">
      <alignment horizontal="center" vertical="center"/>
    </xf>
    <xf numFmtId="0" fontId="13" fillId="0" borderId="49" xfId="0" applyFont="1" applyFill="1" applyBorder="1" applyAlignment="1">
      <alignment vertical="center" wrapText="1"/>
    </xf>
    <xf numFmtId="0" fontId="54" fillId="0" borderId="49" xfId="0" applyFont="1" applyFill="1" applyBorder="1" applyAlignment="1">
      <alignment horizontal="center" vertical="center"/>
    </xf>
    <xf numFmtId="3" fontId="47" fillId="0" borderId="53" xfId="0" applyNumberFormat="1" applyFont="1" applyFill="1" applyBorder="1" applyAlignment="1">
      <alignment horizontal="center" vertical="center" wrapText="1"/>
    </xf>
    <xf numFmtId="0" fontId="2" fillId="0" borderId="53" xfId="0" applyFont="1" applyFill="1" applyBorder="1" applyAlignment="1">
      <alignment horizontal="center" vertical="center" wrapText="1"/>
    </xf>
    <xf numFmtId="3" fontId="2" fillId="0" borderId="53" xfId="0" applyNumberFormat="1" applyFont="1" applyFill="1" applyBorder="1" applyAlignment="1">
      <alignment horizontal="left" vertical="center" wrapText="1"/>
    </xf>
    <xf numFmtId="0" fontId="2" fillId="0" borderId="53" xfId="0" applyFont="1" applyFill="1" applyBorder="1" applyAlignment="1">
      <alignment horizontal="left" vertical="center" wrapText="1"/>
    </xf>
    <xf numFmtId="3" fontId="10" fillId="0" borderId="53" xfId="0" applyNumberFormat="1" applyFont="1" applyFill="1" applyBorder="1" applyAlignment="1">
      <alignment horizontal="center" vertical="center" wrapText="1"/>
    </xf>
    <xf numFmtId="3" fontId="6" fillId="0" borderId="53" xfId="0" applyNumberFormat="1" applyFont="1" applyFill="1" applyBorder="1" applyAlignment="1">
      <alignment horizontal="center" vertical="center"/>
    </xf>
    <xf numFmtId="0" fontId="19" fillId="0" borderId="53" xfId="0" applyFont="1" applyFill="1" applyBorder="1" applyAlignment="1">
      <alignment vertical="center" wrapText="1"/>
    </xf>
    <xf numFmtId="3" fontId="67" fillId="0" borderId="53" xfId="0" applyNumberFormat="1" applyFont="1" applyFill="1" applyBorder="1" applyAlignment="1">
      <alignment horizontal="center" vertical="center" wrapText="1"/>
    </xf>
    <xf numFmtId="3" fontId="68" fillId="0" borderId="53" xfId="0" applyNumberFormat="1" applyFont="1" applyFill="1" applyBorder="1" applyAlignment="1">
      <alignment horizontal="center" vertical="center" wrapText="1"/>
    </xf>
    <xf numFmtId="3" fontId="70" fillId="0" borderId="53" xfId="0" applyNumberFormat="1" applyFont="1" applyFill="1" applyBorder="1" applyAlignment="1">
      <alignment horizontal="center" vertical="center" wrapText="1"/>
    </xf>
    <xf numFmtId="0" fontId="19" fillId="0" borderId="53" xfId="0" applyFont="1" applyFill="1" applyBorder="1" applyAlignment="1">
      <alignment horizontal="center" vertical="center" wrapText="1"/>
    </xf>
    <xf numFmtId="3" fontId="19" fillId="0" borderId="53" xfId="0" applyNumberFormat="1" applyFont="1" applyFill="1" applyBorder="1" applyAlignment="1">
      <alignment horizontal="left" vertical="center" wrapText="1"/>
    </xf>
    <xf numFmtId="3" fontId="5" fillId="0" borderId="53" xfId="0" applyNumberFormat="1" applyFont="1" applyFill="1" applyBorder="1" applyAlignment="1">
      <alignment horizontal="center" vertical="center"/>
    </xf>
    <xf numFmtId="0" fontId="16" fillId="0" borderId="49" xfId="0" applyFont="1" applyFill="1" applyBorder="1" applyAlignment="1">
      <alignment vertical="center" wrapText="1"/>
    </xf>
    <xf numFmtId="3" fontId="75" fillId="0" borderId="33" xfId="0" applyNumberFormat="1" applyFont="1" applyFill="1" applyBorder="1" applyAlignment="1">
      <alignment vertical="center" wrapText="1"/>
    </xf>
    <xf numFmtId="3" fontId="74" fillId="0" borderId="33" xfId="0" quotePrefix="1" applyNumberFormat="1" applyFont="1" applyFill="1" applyBorder="1" applyAlignment="1">
      <alignment vertical="center" wrapText="1"/>
    </xf>
    <xf numFmtId="168" fontId="13" fillId="0" borderId="49" xfId="0" applyNumberFormat="1" applyFont="1" applyFill="1" applyBorder="1" applyAlignment="1">
      <alignment horizontal="left" vertical="center" wrapText="1"/>
    </xf>
    <xf numFmtId="0" fontId="13" fillId="0" borderId="48" xfId="0" applyFont="1" applyBorder="1" applyAlignment="1">
      <alignment horizontal="left" vertical="center" wrapText="1"/>
    </xf>
    <xf numFmtId="0" fontId="13" fillId="0" borderId="1" xfId="0" applyFont="1" applyBorder="1" applyAlignment="1">
      <alignment horizontal="left" vertical="center" wrapText="1"/>
    </xf>
    <xf numFmtId="0" fontId="13" fillId="0" borderId="0" xfId="0" applyFont="1" applyAlignment="1">
      <alignment horizontal="left" vertical="center" wrapText="1"/>
    </xf>
    <xf numFmtId="0" fontId="31" fillId="0" borderId="0" xfId="0" applyFont="1" applyAlignment="1">
      <alignment horizontal="left" vertical="center" wrapText="1"/>
    </xf>
    <xf numFmtId="177" fontId="48" fillId="0" borderId="2" xfId="0" applyNumberFormat="1" applyFont="1" applyFill="1" applyBorder="1" applyAlignment="1">
      <alignment horizontal="right" vertical="center" wrapText="1"/>
    </xf>
    <xf numFmtId="171" fontId="48" fillId="0" borderId="2" xfId="0" applyNumberFormat="1" applyFont="1" applyFill="1" applyBorder="1" applyAlignment="1">
      <alignment horizontal="right" vertical="center" wrapText="1"/>
    </xf>
    <xf numFmtId="3" fontId="13" fillId="0" borderId="52" xfId="0" applyNumberFormat="1" applyFont="1" applyFill="1" applyBorder="1" applyAlignment="1">
      <alignment horizontal="right" vertical="center" wrapText="1"/>
    </xf>
    <xf numFmtId="3" fontId="69" fillId="0" borderId="33" xfId="0" quotePrefix="1" applyNumberFormat="1" applyFont="1" applyFill="1" applyBorder="1" applyAlignment="1">
      <alignment vertical="center" wrapText="1"/>
    </xf>
    <xf numFmtId="3" fontId="2" fillId="0" borderId="18" xfId="0" applyNumberFormat="1" applyFont="1" applyFill="1" applyBorder="1" applyAlignment="1">
      <alignment horizontal="right" vertical="center" wrapText="1"/>
    </xf>
    <xf numFmtId="3" fontId="45" fillId="0" borderId="2" xfId="0" applyNumberFormat="1" applyFont="1" applyFill="1" applyBorder="1" applyAlignment="1">
      <alignment horizontal="right" vertical="center" wrapText="1"/>
    </xf>
    <xf numFmtId="173" fontId="11" fillId="0" borderId="2" xfId="0" applyNumberFormat="1" applyFont="1" applyFill="1" applyBorder="1" applyAlignment="1">
      <alignment horizontal="right" vertical="center" wrapText="1"/>
    </xf>
    <xf numFmtId="171" fontId="11" fillId="0" borderId="2" xfId="0" applyNumberFormat="1" applyFont="1" applyFill="1" applyBorder="1" applyAlignment="1">
      <alignment horizontal="right" vertical="center" wrapText="1"/>
    </xf>
    <xf numFmtId="166" fontId="11" fillId="0" borderId="2" xfId="0" applyNumberFormat="1" applyFont="1" applyFill="1" applyBorder="1" applyAlignment="1">
      <alignment horizontal="right" vertical="center" wrapText="1"/>
    </xf>
    <xf numFmtId="179" fontId="2" fillId="0" borderId="15" xfId="1" applyNumberFormat="1" applyFont="1" applyFill="1" applyBorder="1" applyAlignment="1">
      <alignment horizontal="right" vertical="center" wrapText="1"/>
    </xf>
    <xf numFmtId="3" fontId="11" fillId="0" borderId="18" xfId="0" applyNumberFormat="1" applyFont="1" applyFill="1" applyBorder="1" applyAlignment="1">
      <alignment horizontal="right" vertical="center" wrapText="1"/>
    </xf>
    <xf numFmtId="3" fontId="48" fillId="0" borderId="2" xfId="0" applyNumberFormat="1" applyFont="1" applyFill="1" applyBorder="1" applyAlignment="1">
      <alignment horizontal="right" vertical="center" wrapText="1"/>
    </xf>
    <xf numFmtId="171" fontId="11" fillId="0" borderId="13" xfId="0" applyNumberFormat="1" applyFont="1" applyFill="1" applyBorder="1" applyAlignment="1">
      <alignment horizontal="right" vertical="center" wrapText="1"/>
    </xf>
    <xf numFmtId="177" fontId="54" fillId="0" borderId="2" xfId="0" applyNumberFormat="1" applyFont="1" applyFill="1" applyBorder="1" applyAlignment="1">
      <alignment horizontal="right" vertical="center" wrapText="1"/>
    </xf>
    <xf numFmtId="3" fontId="45" fillId="0" borderId="49" xfId="0" applyNumberFormat="1" applyFont="1" applyFill="1" applyBorder="1" applyAlignment="1">
      <alignment horizontal="right" vertical="center" wrapText="1"/>
    </xf>
    <xf numFmtId="166" fontId="11" fillId="0" borderId="49" xfId="0" applyNumberFormat="1" applyFont="1" applyFill="1" applyBorder="1" applyAlignment="1">
      <alignment horizontal="right" vertical="center" wrapText="1"/>
    </xf>
    <xf numFmtId="166" fontId="13" fillId="0" borderId="49" xfId="0" applyNumberFormat="1" applyFont="1" applyFill="1" applyBorder="1" applyAlignment="1">
      <alignment horizontal="right" vertical="center" wrapText="1"/>
    </xf>
    <xf numFmtId="171" fontId="13" fillId="0" borderId="49" xfId="0" applyNumberFormat="1" applyFont="1" applyFill="1" applyBorder="1" applyAlignment="1">
      <alignment horizontal="right" vertical="center" wrapText="1"/>
    </xf>
    <xf numFmtId="3" fontId="73" fillId="0" borderId="33" xfId="0" quotePrefix="1" applyNumberFormat="1" applyFont="1" applyFill="1" applyBorder="1" applyAlignment="1">
      <alignment vertical="center" wrapText="1"/>
    </xf>
    <xf numFmtId="3" fontId="5" fillId="0" borderId="33" xfId="0" applyNumberFormat="1" applyFont="1" applyFill="1" applyBorder="1" applyAlignment="1">
      <alignment vertical="center" wrapText="1"/>
    </xf>
    <xf numFmtId="0" fontId="8" fillId="0" borderId="5" xfId="0" applyFont="1" applyFill="1" applyBorder="1" applyAlignment="1">
      <alignment vertical="center"/>
    </xf>
    <xf numFmtId="0" fontId="8" fillId="0" borderId="6" xfId="0" applyFont="1" applyFill="1" applyBorder="1" applyAlignment="1">
      <alignment vertical="center"/>
    </xf>
    <xf numFmtId="0" fontId="2" fillId="0" borderId="3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2" xfId="0" applyFont="1" applyFill="1" applyBorder="1" applyAlignment="1">
      <alignment horizontal="left" vertical="center" wrapText="1"/>
    </xf>
    <xf numFmtId="3" fontId="2" fillId="0" borderId="50" xfId="0" applyNumberFormat="1" applyFont="1" applyFill="1" applyBorder="1" applyAlignment="1">
      <alignment horizontal="center" vertical="center" wrapText="1"/>
    </xf>
    <xf numFmtId="3" fontId="2" fillId="0" borderId="49" xfId="0" applyNumberFormat="1" applyFont="1" applyFill="1" applyBorder="1" applyAlignment="1">
      <alignment horizontal="left" vertical="center" wrapText="1"/>
    </xf>
    <xf numFmtId="3" fontId="11" fillId="0" borderId="4" xfId="0" quotePrefix="1" applyNumberFormat="1" applyFont="1" applyFill="1" applyBorder="1" applyAlignment="1">
      <alignment horizontal="left" vertical="center" wrapText="1"/>
    </xf>
    <xf numFmtId="0" fontId="2" fillId="0" borderId="30" xfId="0" applyFont="1" applyFill="1" applyBorder="1" applyAlignment="1">
      <alignment horizontal="left" vertical="center" wrapText="1"/>
    </xf>
    <xf numFmtId="3" fontId="17" fillId="0" borderId="5" xfId="0" applyNumberFormat="1" applyFont="1" applyFill="1" applyBorder="1" applyAlignment="1">
      <alignment vertical="center" wrapText="1"/>
    </xf>
    <xf numFmtId="3" fontId="13" fillId="0" borderId="4" xfId="0" quotePrefix="1" applyNumberFormat="1" applyFont="1" applyFill="1" applyBorder="1" applyAlignment="1">
      <alignment horizontal="left" vertical="center" wrapText="1"/>
    </xf>
    <xf numFmtId="3" fontId="10" fillId="0" borderId="42" xfId="0" applyNumberFormat="1" applyFont="1" applyFill="1" applyBorder="1" applyAlignment="1">
      <alignment horizontal="center" vertical="center" wrapText="1"/>
    </xf>
    <xf numFmtId="0" fontId="8" fillId="0" borderId="50" xfId="0" applyFont="1" applyFill="1" applyBorder="1" applyAlignment="1">
      <alignment vertical="center"/>
    </xf>
    <xf numFmtId="3" fontId="13" fillId="0" borderId="49" xfId="0" applyNumberFormat="1" applyFont="1" applyFill="1" applyBorder="1" applyAlignment="1">
      <alignment horizontal="center" vertical="center" wrapText="1"/>
    </xf>
    <xf numFmtId="0" fontId="13" fillId="0" borderId="49" xfId="0" applyFont="1" applyFill="1" applyBorder="1" applyAlignment="1">
      <alignment horizontal="left" vertical="center" wrapText="1"/>
    </xf>
    <xf numFmtId="0" fontId="8" fillId="0" borderId="49" xfId="0" applyFont="1" applyFill="1" applyBorder="1" applyAlignment="1">
      <alignment vertical="center"/>
    </xf>
    <xf numFmtId="0" fontId="8" fillId="0" borderId="53" xfId="0" applyFont="1" applyFill="1" applyBorder="1" applyAlignment="1">
      <alignment vertical="center"/>
    </xf>
    <xf numFmtId="0" fontId="13" fillId="0" borderId="49" xfId="0" applyFont="1" applyFill="1" applyBorder="1" applyAlignment="1">
      <alignment horizontal="center" vertical="center" wrapText="1"/>
    </xf>
    <xf numFmtId="3" fontId="6" fillId="0" borderId="13" xfId="0" applyNumberFormat="1" applyFont="1" applyFill="1" applyBorder="1" applyAlignment="1">
      <alignment horizontal="center" vertical="center" wrapText="1"/>
    </xf>
    <xf numFmtId="0" fontId="13" fillId="0" borderId="51" xfId="0" applyFont="1" applyFill="1" applyBorder="1" applyAlignment="1">
      <alignment horizontal="left" vertical="center" wrapText="1"/>
    </xf>
    <xf numFmtId="3" fontId="3" fillId="0" borderId="33" xfId="0" applyNumberFormat="1" applyFont="1" applyFill="1" applyBorder="1" applyAlignment="1">
      <alignment vertical="center" wrapText="1"/>
    </xf>
    <xf numFmtId="3" fontId="3" fillId="0" borderId="5" xfId="0" applyNumberFormat="1" applyFont="1" applyFill="1" applyBorder="1" applyAlignment="1">
      <alignment vertical="center" wrapText="1"/>
    </xf>
    <xf numFmtId="3" fontId="3" fillId="0" borderId="6" xfId="0" applyNumberFormat="1" applyFont="1" applyFill="1" applyBorder="1" applyAlignment="1">
      <alignment vertical="center" wrapText="1"/>
    </xf>
    <xf numFmtId="3" fontId="20" fillId="0" borderId="49" xfId="0" applyNumberFormat="1" applyFont="1" applyFill="1" applyBorder="1" applyAlignment="1">
      <alignment horizontal="center" vertical="center" wrapText="1"/>
    </xf>
    <xf numFmtId="3" fontId="11" fillId="0" borderId="33" xfId="0" quotePrefix="1" applyNumberFormat="1" applyFont="1" applyFill="1" applyBorder="1" applyAlignment="1">
      <alignment horizontal="left" vertical="center" wrapText="1"/>
    </xf>
    <xf numFmtId="0" fontId="8" fillId="0" borderId="49" xfId="0" applyFont="1" applyFill="1" applyBorder="1" applyAlignment="1">
      <alignment horizontal="left" vertical="center" wrapText="1"/>
    </xf>
    <xf numFmtId="0" fontId="2" fillId="0" borderId="42" xfId="0" applyFont="1" applyFill="1" applyBorder="1" applyAlignment="1">
      <alignment horizontal="center" vertical="center" wrapText="1"/>
    </xf>
    <xf numFmtId="0" fontId="2" fillId="0" borderId="49" xfId="0" applyFont="1" applyFill="1" applyBorder="1" applyAlignment="1">
      <alignment vertical="center" wrapText="1"/>
    </xf>
    <xf numFmtId="3" fontId="48" fillId="0" borderId="49" xfId="0" applyNumberFormat="1" applyFont="1" applyFill="1" applyBorder="1" applyAlignment="1">
      <alignment horizontal="center" vertical="center" wrapText="1"/>
    </xf>
    <xf numFmtId="0" fontId="6" fillId="0" borderId="33" xfId="0" applyFont="1" applyFill="1" applyBorder="1" applyAlignment="1">
      <alignment horizontal="left" vertical="center" wrapText="1"/>
    </xf>
    <xf numFmtId="3" fontId="2" fillId="0" borderId="49" xfId="0" applyNumberFormat="1" applyFont="1" applyFill="1" applyBorder="1" applyAlignment="1">
      <alignment vertical="center" wrapText="1"/>
    </xf>
    <xf numFmtId="0" fontId="46" fillId="0" borderId="5" xfId="0" applyFont="1" applyFill="1" applyBorder="1" applyAlignment="1">
      <alignment vertical="center"/>
    </xf>
    <xf numFmtId="0" fontId="46" fillId="0" borderId="6"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3" fontId="2" fillId="0" borderId="52" xfId="0" applyNumberFormat="1" applyFont="1" applyFill="1" applyBorder="1" applyAlignment="1">
      <alignment vertical="center" wrapText="1"/>
    </xf>
    <xf numFmtId="3" fontId="19" fillId="0" borderId="49" xfId="0" applyNumberFormat="1" applyFont="1" applyFill="1" applyBorder="1" applyAlignment="1">
      <alignment horizontal="left" vertical="center" wrapText="1"/>
    </xf>
    <xf numFmtId="0" fontId="8" fillId="0" borderId="49" xfId="0" applyFont="1" applyFill="1" applyBorder="1" applyAlignment="1">
      <alignment horizontal="center" vertical="center" wrapText="1"/>
    </xf>
    <xf numFmtId="3" fontId="10" fillId="0" borderId="33" xfId="0" applyNumberFormat="1" applyFont="1" applyFill="1" applyBorder="1" applyAlignment="1">
      <alignment horizontal="left" vertical="center" wrapText="1"/>
    </xf>
    <xf numFmtId="3" fontId="2" fillId="0" borderId="33" xfId="0" applyNumberFormat="1" applyFont="1" applyFill="1" applyBorder="1" applyAlignment="1">
      <alignment horizontal="left" vertical="center" wrapText="1"/>
    </xf>
    <xf numFmtId="3" fontId="13" fillId="0" borderId="49" xfId="0" applyNumberFormat="1" applyFont="1" applyFill="1" applyBorder="1" applyAlignment="1">
      <alignment horizontal="left" vertical="center" wrapText="1"/>
    </xf>
    <xf numFmtId="3" fontId="11" fillId="0" borderId="49" xfId="0" applyNumberFormat="1" applyFont="1" applyFill="1" applyBorder="1" applyAlignment="1">
      <alignment horizontal="left" vertical="center" wrapText="1"/>
    </xf>
    <xf numFmtId="0" fontId="0" fillId="0" borderId="0" xfId="0"/>
    <xf numFmtId="3" fontId="5" fillId="0" borderId="49" xfId="0" applyNumberFormat="1" applyFont="1" applyFill="1" applyBorder="1" applyAlignment="1">
      <alignment horizontal="left" vertical="center" wrapText="1"/>
    </xf>
    <xf numFmtId="3" fontId="2" fillId="0" borderId="49" xfId="0" applyNumberFormat="1" applyFont="1" applyFill="1" applyBorder="1" applyAlignment="1">
      <alignment horizontal="left" vertical="center" wrapText="1"/>
    </xf>
    <xf numFmtId="0" fontId="13" fillId="0" borderId="53" xfId="0" applyFont="1" applyFill="1" applyBorder="1" applyAlignment="1">
      <alignment horizontal="left" vertical="center" wrapText="1"/>
    </xf>
    <xf numFmtId="0" fontId="13" fillId="9" borderId="48" xfId="0" applyFont="1" applyFill="1" applyBorder="1"/>
    <xf numFmtId="0" fontId="13" fillId="9" borderId="1" xfId="0" applyFont="1" applyFill="1" applyBorder="1"/>
    <xf numFmtId="0" fontId="13" fillId="9" borderId="0" xfId="0" applyFont="1" applyFill="1"/>
    <xf numFmtId="0" fontId="0" fillId="9" borderId="0" xfId="0" applyFill="1"/>
    <xf numFmtId="0" fontId="11" fillId="9" borderId="48" xfId="0" applyFont="1" applyFill="1" applyBorder="1" applyAlignment="1">
      <alignment vertical="center"/>
    </xf>
    <xf numFmtId="0" fontId="11" fillId="9" borderId="48" xfId="0" applyFont="1" applyFill="1" applyBorder="1"/>
    <xf numFmtId="0" fontId="18" fillId="9" borderId="48" xfId="0" applyFont="1" applyFill="1" applyBorder="1"/>
    <xf numFmtId="0" fontId="18" fillId="9" borderId="0" xfId="0" applyFont="1" applyFill="1"/>
    <xf numFmtId="0" fontId="16" fillId="9" borderId="48" xfId="0" applyFont="1" applyFill="1" applyBorder="1"/>
    <xf numFmtId="0" fontId="16" fillId="9" borderId="0" xfId="0" applyFont="1" applyFill="1"/>
    <xf numFmtId="0" fontId="13" fillId="9" borderId="48" xfId="0" applyFont="1" applyFill="1" applyBorder="1" applyAlignment="1">
      <alignment vertical="center"/>
    </xf>
    <xf numFmtId="0" fontId="13" fillId="9" borderId="1" xfId="0" applyFont="1" applyFill="1" applyBorder="1" applyAlignment="1">
      <alignment vertical="center"/>
    </xf>
    <xf numFmtId="0" fontId="17" fillId="9" borderId="1" xfId="0" applyFont="1" applyFill="1" applyBorder="1"/>
    <xf numFmtId="0" fontId="17" fillId="9" borderId="0" xfId="0" applyFont="1" applyFill="1"/>
    <xf numFmtId="0" fontId="15" fillId="9" borderId="48" xfId="0" applyFont="1" applyFill="1" applyBorder="1" applyAlignment="1">
      <alignment horizontal="left" vertical="center" wrapText="1"/>
    </xf>
    <xf numFmtId="0" fontId="15" fillId="9" borderId="0" xfId="0" applyFont="1" applyFill="1" applyAlignment="1">
      <alignment horizontal="left" vertical="center" wrapText="1"/>
    </xf>
    <xf numFmtId="0" fontId="0" fillId="9" borderId="0" xfId="0" applyFill="1" applyAlignment="1">
      <alignment horizontal="left" vertical="center" wrapText="1"/>
    </xf>
    <xf numFmtId="0" fontId="15" fillId="9" borderId="48" xfId="0" applyFont="1" applyFill="1" applyBorder="1" applyAlignment="1">
      <alignment vertical="center"/>
    </xf>
    <xf numFmtId="0" fontId="15" fillId="9" borderId="1" xfId="0" applyFont="1" applyFill="1" applyBorder="1" applyAlignment="1">
      <alignment vertical="center"/>
    </xf>
    <xf numFmtId="0" fontId="15" fillId="9" borderId="1" xfId="0" applyFont="1" applyFill="1" applyBorder="1"/>
    <xf numFmtId="0" fontId="15" fillId="9" borderId="0" xfId="0" applyFont="1" applyFill="1"/>
    <xf numFmtId="0" fontId="15" fillId="9" borderId="48" xfId="0" applyFont="1" applyFill="1" applyBorder="1"/>
    <xf numFmtId="3" fontId="13" fillId="0" borderId="13" xfId="0" applyNumberFormat="1" applyFont="1" applyFill="1" applyBorder="1" applyAlignment="1">
      <alignment vertical="center" wrapText="1"/>
    </xf>
    <xf numFmtId="9" fontId="13" fillId="0" borderId="13" xfId="0" applyNumberFormat="1" applyFont="1" applyFill="1" applyBorder="1" applyAlignment="1">
      <alignment horizontal="center" vertical="center" wrapText="1"/>
    </xf>
    <xf numFmtId="0" fontId="11" fillId="9" borderId="1" xfId="0" applyFont="1" applyFill="1" applyBorder="1" applyAlignment="1">
      <alignment vertical="center"/>
    </xf>
    <xf numFmtId="0" fontId="11" fillId="9" borderId="1" xfId="0" applyFont="1" applyFill="1" applyBorder="1"/>
    <xf numFmtId="0" fontId="18" fillId="9" borderId="1" xfId="0" applyFont="1" applyFill="1" applyBorder="1"/>
    <xf numFmtId="9" fontId="13" fillId="0" borderId="49" xfId="0" applyNumberFormat="1" applyFont="1" applyFill="1" applyBorder="1" applyAlignment="1">
      <alignment horizontal="center" vertical="center" wrapText="1"/>
    </xf>
    <xf numFmtId="167" fontId="2" fillId="0" borderId="52" xfId="0" applyNumberFormat="1" applyFont="1" applyFill="1" applyBorder="1" applyAlignment="1">
      <alignment vertical="center" wrapText="1"/>
    </xf>
    <xf numFmtId="166" fontId="2" fillId="0" borderId="49" xfId="0" applyNumberFormat="1" applyFont="1" applyFill="1" applyBorder="1" applyAlignment="1">
      <alignment horizontal="right" vertical="center" wrapText="1"/>
    </xf>
    <xf numFmtId="171" fontId="2" fillId="0" borderId="49" xfId="0" applyNumberFormat="1" applyFont="1" applyFill="1" applyBorder="1" applyAlignment="1">
      <alignment horizontal="right" vertical="center" wrapText="1"/>
    </xf>
    <xf numFmtId="3" fontId="13" fillId="0" borderId="18" xfId="0" applyNumberFormat="1" applyFont="1" applyFill="1" applyBorder="1" applyAlignment="1">
      <alignment vertical="center" wrapText="1"/>
    </xf>
    <xf numFmtId="166" fontId="2" fillId="0" borderId="51" xfId="0" applyNumberFormat="1" applyFont="1" applyFill="1" applyBorder="1" applyAlignment="1">
      <alignment horizontal="right" vertical="center" wrapText="1"/>
    </xf>
    <xf numFmtId="171" fontId="2" fillId="0" borderId="13" xfId="0" applyNumberFormat="1" applyFont="1" applyFill="1" applyBorder="1" applyAlignment="1">
      <alignment horizontal="right" vertical="center" wrapText="1"/>
    </xf>
    <xf numFmtId="172" fontId="2" fillId="0" borderId="49" xfId="0" applyNumberFormat="1" applyFont="1" applyFill="1" applyBorder="1" applyAlignment="1">
      <alignment horizontal="right" vertical="center" wrapText="1"/>
    </xf>
    <xf numFmtId="170" fontId="2" fillId="0" borderId="2" xfId="0" applyNumberFormat="1" applyFont="1" applyFill="1" applyBorder="1" applyAlignment="1">
      <alignment horizontal="right" vertical="center" wrapText="1"/>
    </xf>
    <xf numFmtId="170" fontId="2" fillId="0" borderId="13" xfId="0" applyNumberFormat="1" applyFont="1" applyFill="1" applyBorder="1" applyAlignment="1">
      <alignment horizontal="right" vertical="center" wrapText="1"/>
    </xf>
    <xf numFmtId="169" fontId="48" fillId="0" borderId="51" xfId="0" applyNumberFormat="1" applyFont="1" applyFill="1" applyBorder="1" applyAlignment="1">
      <alignment horizontal="right" vertical="center" wrapText="1"/>
    </xf>
    <xf numFmtId="172" fontId="2" fillId="0" borderId="51" xfId="0" applyNumberFormat="1" applyFont="1" applyFill="1" applyBorder="1" applyAlignment="1">
      <alignment horizontal="right" vertical="center" wrapText="1"/>
    </xf>
    <xf numFmtId="0" fontId="48" fillId="0" borderId="51" xfId="0" applyFont="1" applyFill="1" applyBorder="1" applyAlignment="1">
      <alignment horizontal="right" vertical="center" wrapText="1"/>
    </xf>
    <xf numFmtId="171" fontId="13" fillId="0" borderId="15" xfId="0" applyNumberFormat="1" applyFont="1" applyFill="1" applyBorder="1" applyAlignment="1">
      <alignment vertical="center" wrapText="1"/>
    </xf>
    <xf numFmtId="166" fontId="2" fillId="0" borderId="26" xfId="0" applyNumberFormat="1" applyFont="1" applyFill="1" applyBorder="1" applyAlignment="1">
      <alignment horizontal="right" vertical="center" wrapText="1"/>
    </xf>
    <xf numFmtId="171" fontId="13" fillId="0" borderId="6" xfId="0" applyNumberFormat="1" applyFont="1" applyFill="1" applyBorder="1" applyAlignment="1">
      <alignment horizontal="center" vertical="center" wrapText="1"/>
    </xf>
    <xf numFmtId="171" fontId="13" fillId="0" borderId="13" xfId="0" applyNumberFormat="1" applyFont="1" applyFill="1" applyBorder="1" applyAlignment="1">
      <alignment horizontal="center" vertical="center" wrapText="1"/>
    </xf>
    <xf numFmtId="171" fontId="2" fillId="0" borderId="24" xfId="0" applyNumberFormat="1" applyFont="1" applyFill="1" applyBorder="1" applyAlignment="1">
      <alignment horizontal="center" vertical="center" wrapText="1"/>
    </xf>
    <xf numFmtId="3" fontId="2" fillId="0" borderId="24" xfId="0" applyNumberFormat="1" applyFont="1" applyFill="1" applyBorder="1" applyAlignment="1">
      <alignment vertical="center" wrapText="1"/>
    </xf>
    <xf numFmtId="166" fontId="2" fillId="0" borderId="24" xfId="0" applyNumberFormat="1" applyFont="1" applyFill="1" applyBorder="1" applyAlignment="1">
      <alignment horizontal="right" vertical="center" wrapText="1"/>
    </xf>
    <xf numFmtId="3" fontId="2" fillId="0" borderId="24" xfId="0" applyNumberFormat="1" applyFont="1" applyFill="1" applyBorder="1" applyAlignment="1">
      <alignment horizontal="right" vertical="center" wrapText="1"/>
    </xf>
    <xf numFmtId="164" fontId="2" fillId="0" borderId="49" xfId="0" applyNumberFormat="1" applyFont="1" applyFill="1" applyBorder="1" applyAlignment="1">
      <alignment horizontal="left" vertical="center" wrapText="1" indent="1"/>
    </xf>
    <xf numFmtId="3" fontId="40" fillId="0" borderId="49" xfId="0" applyNumberFormat="1" applyFont="1" applyFill="1" applyBorder="1" applyAlignment="1">
      <alignment horizontal="center" vertical="center"/>
    </xf>
    <xf numFmtId="3" fontId="2" fillId="0" borderId="20" xfId="0" applyNumberFormat="1" applyFont="1" applyFill="1" applyBorder="1" applyAlignment="1">
      <alignment horizontal="right" vertical="center" wrapText="1"/>
    </xf>
    <xf numFmtId="172" fontId="2" fillId="0" borderId="52" xfId="0" applyNumberFormat="1" applyFont="1" applyFill="1" applyBorder="1" applyAlignment="1">
      <alignment horizontal="right" vertical="center" wrapText="1"/>
    </xf>
    <xf numFmtId="166" fontId="2" fillId="0" borderId="52" xfId="0" applyNumberFormat="1" applyFont="1" applyFill="1" applyBorder="1" applyAlignment="1">
      <alignment horizontal="right" vertical="center" wrapText="1"/>
    </xf>
    <xf numFmtId="0" fontId="48" fillId="0" borderId="52" xfId="0" applyFont="1" applyFill="1" applyBorder="1" applyAlignment="1">
      <alignment horizontal="right" vertical="center" wrapText="1"/>
    </xf>
    <xf numFmtId="0" fontId="76" fillId="0" borderId="0" xfId="0" applyFont="1" applyFill="1"/>
    <xf numFmtId="171" fontId="2" fillId="0" borderId="53" xfId="0" applyNumberFormat="1" applyFont="1" applyFill="1" applyBorder="1" applyAlignment="1">
      <alignment horizontal="center" vertical="center" wrapText="1"/>
    </xf>
    <xf numFmtId="172" fontId="2" fillId="0" borderId="50" xfId="0" applyNumberFormat="1" applyFont="1" applyFill="1" applyBorder="1" applyAlignment="1">
      <alignment horizontal="right" vertical="center" wrapText="1"/>
    </xf>
    <xf numFmtId="181" fontId="13" fillId="0" borderId="54" xfId="0" applyNumberFormat="1" applyFont="1" applyFill="1" applyBorder="1" applyAlignment="1">
      <alignment horizontal="right" vertical="center" wrapText="1"/>
    </xf>
    <xf numFmtId="3" fontId="13" fillId="0" borderId="30" xfId="0" applyNumberFormat="1" applyFont="1" applyFill="1" applyBorder="1" applyAlignment="1">
      <alignment horizontal="right" vertical="center" wrapText="1"/>
    </xf>
    <xf numFmtId="0" fontId="20" fillId="0" borderId="53" xfId="0" applyFont="1" applyFill="1" applyBorder="1" applyAlignment="1">
      <alignment horizontal="left" vertical="center" wrapText="1"/>
    </xf>
    <xf numFmtId="0" fontId="20" fillId="0" borderId="53" xfId="0" applyFont="1" applyFill="1" applyBorder="1" applyAlignment="1">
      <alignment vertical="center" wrapText="1"/>
    </xf>
    <xf numFmtId="167" fontId="6" fillId="0" borderId="18" xfId="0" applyNumberFormat="1" applyFont="1" applyBorder="1" applyAlignment="1">
      <alignment horizontal="center" vertical="center"/>
    </xf>
    <xf numFmtId="167" fontId="6" fillId="0" borderId="18" xfId="0" applyNumberFormat="1" applyFont="1" applyFill="1" applyBorder="1" applyAlignment="1">
      <alignment horizontal="center" vertical="center"/>
    </xf>
    <xf numFmtId="3" fontId="6" fillId="0" borderId="18" xfId="0" applyNumberFormat="1" applyFont="1" applyBorder="1" applyAlignment="1">
      <alignment horizontal="center" vertical="center"/>
    </xf>
    <xf numFmtId="1" fontId="11" fillId="0" borderId="49" xfId="0" applyNumberFormat="1" applyFont="1" applyFill="1" applyBorder="1" applyAlignment="1">
      <alignment horizontal="center" vertical="center" wrapText="1"/>
    </xf>
    <xf numFmtId="167" fontId="6" fillId="0" borderId="49" xfId="0" applyNumberFormat="1" applyFont="1" applyBorder="1" applyAlignment="1">
      <alignment horizontal="left" vertical="center" wrapText="1"/>
    </xf>
    <xf numFmtId="167" fontId="5" fillId="0" borderId="49" xfId="0" applyNumberFormat="1" applyFont="1" applyBorder="1" applyAlignment="1">
      <alignment horizontal="left" vertical="center" wrapText="1"/>
    </xf>
    <xf numFmtId="3" fontId="2" fillId="0" borderId="49" xfId="0" applyNumberFormat="1" applyFont="1" applyBorder="1" applyAlignment="1">
      <alignment horizontal="center" vertical="center" wrapText="1"/>
    </xf>
    <xf numFmtId="167" fontId="2" fillId="0" borderId="49" xfId="0" applyNumberFormat="1" applyFont="1" applyBorder="1" applyAlignment="1">
      <alignment horizontal="center" vertical="center" wrapText="1"/>
    </xf>
    <xf numFmtId="166" fontId="2" fillId="0" borderId="49" xfId="0" applyNumberFormat="1" applyFont="1" applyBorder="1" applyAlignment="1">
      <alignment horizontal="center" vertical="center" wrapText="1"/>
    </xf>
    <xf numFmtId="167" fontId="2" fillId="0" borderId="49" xfId="0" applyNumberFormat="1" applyFont="1" applyBorder="1" applyAlignment="1">
      <alignment horizontal="left" vertical="center" wrapText="1"/>
    </xf>
    <xf numFmtId="3" fontId="6" fillId="0" borderId="49" xfId="0" applyNumberFormat="1" applyFont="1" applyBorder="1" applyAlignment="1">
      <alignment horizontal="center" vertical="center" wrapText="1"/>
    </xf>
    <xf numFmtId="3" fontId="2" fillId="0" borderId="49" xfId="0" applyNumberFormat="1" applyFont="1" applyBorder="1" applyAlignment="1">
      <alignment horizontal="left" vertical="center" wrapText="1"/>
    </xf>
    <xf numFmtId="179" fontId="11" fillId="0" borderId="2" xfId="1" applyNumberFormat="1" applyFont="1" applyFill="1" applyBorder="1" applyAlignment="1">
      <alignment horizontal="center" vertical="center" wrapText="1"/>
    </xf>
    <xf numFmtId="3" fontId="21" fillId="0" borderId="2" xfId="0" applyNumberFormat="1" applyFont="1" applyFill="1" applyBorder="1" applyAlignment="1">
      <alignment horizontal="right" vertical="center" wrapText="1"/>
    </xf>
    <xf numFmtId="3" fontId="2" fillId="0" borderId="40" xfId="0" applyNumberFormat="1" applyFont="1" applyFill="1" applyBorder="1" applyAlignment="1">
      <alignment horizontal="right" vertical="center" wrapText="1"/>
    </xf>
    <xf numFmtId="0" fontId="0" fillId="0" borderId="0" xfId="0"/>
    <xf numFmtId="178" fontId="13" fillId="0" borderId="49" xfId="1" applyNumberFormat="1" applyFont="1" applyFill="1" applyBorder="1" applyAlignment="1">
      <alignment vertical="center" wrapText="1"/>
    </xf>
    <xf numFmtId="168" fontId="9" fillId="0" borderId="49" xfId="0" applyNumberFormat="1" applyFont="1" applyFill="1" applyBorder="1" applyAlignment="1">
      <alignment vertical="center" wrapText="1"/>
    </xf>
    <xf numFmtId="168" fontId="2" fillId="0" borderId="25" xfId="0" applyNumberFormat="1" applyFont="1" applyFill="1" applyBorder="1"/>
    <xf numFmtId="3" fontId="11" fillId="6" borderId="2" xfId="0" applyNumberFormat="1"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2" xfId="0" applyFont="1" applyFill="1" applyBorder="1" applyAlignment="1">
      <alignment horizontal="left" vertical="center" wrapText="1"/>
    </xf>
    <xf numFmtId="0" fontId="2" fillId="6" borderId="2" xfId="0" applyFont="1" applyFill="1" applyBorder="1" applyAlignment="1">
      <alignment horizontal="center" vertical="center" wrapText="1"/>
    </xf>
    <xf numFmtId="0" fontId="13" fillId="6" borderId="2" xfId="0" applyFont="1" applyFill="1" applyBorder="1" applyAlignment="1">
      <alignment horizontal="center" vertical="center"/>
    </xf>
    <xf numFmtId="178" fontId="2" fillId="6" borderId="2" xfId="1" applyNumberFormat="1" applyFont="1" applyFill="1" applyBorder="1" applyAlignment="1">
      <alignment vertical="center"/>
    </xf>
    <xf numFmtId="178" fontId="2" fillId="6" borderId="2" xfId="1" applyNumberFormat="1" applyFont="1" applyFill="1" applyBorder="1" applyAlignment="1">
      <alignment horizontal="center" vertical="center"/>
    </xf>
    <xf numFmtId="171" fontId="2" fillId="6" borderId="2" xfId="0" applyNumberFormat="1" applyFont="1" applyFill="1" applyBorder="1" applyAlignment="1">
      <alignment vertical="center" wrapText="1"/>
    </xf>
    <xf numFmtId="171" fontId="13" fillId="6" borderId="2" xfId="0" applyNumberFormat="1" applyFont="1" applyFill="1" applyBorder="1" applyAlignment="1">
      <alignment horizontal="center" vertical="center" wrapText="1"/>
    </xf>
    <xf numFmtId="3" fontId="13" fillId="6" borderId="2" xfId="0" applyNumberFormat="1" applyFont="1" applyFill="1" applyBorder="1" applyAlignment="1">
      <alignment horizontal="right" vertical="center" wrapText="1"/>
    </xf>
    <xf numFmtId="37" fontId="13" fillId="6" borderId="2" xfId="0" applyNumberFormat="1" applyFont="1" applyFill="1" applyBorder="1" applyAlignment="1">
      <alignment horizontal="center" vertical="center" wrapText="1"/>
    </xf>
    <xf numFmtId="3" fontId="13" fillId="6" borderId="2" xfId="0" applyNumberFormat="1" applyFont="1" applyFill="1" applyBorder="1" applyAlignment="1">
      <alignment horizontal="center" vertical="center" wrapText="1"/>
    </xf>
    <xf numFmtId="0" fontId="2" fillId="6" borderId="42" xfId="0" applyFont="1" applyFill="1" applyBorder="1" applyAlignment="1">
      <alignment vertical="center" wrapText="1"/>
    </xf>
    <xf numFmtId="0" fontId="2" fillId="6" borderId="49" xfId="0" applyFont="1" applyFill="1" applyBorder="1" applyAlignment="1">
      <alignment vertical="center"/>
    </xf>
    <xf numFmtId="0" fontId="2" fillId="6" borderId="49" xfId="0" applyFont="1" applyFill="1" applyBorder="1" applyAlignment="1">
      <alignment horizontal="center" vertical="center"/>
    </xf>
    <xf numFmtId="178" fontId="2" fillId="6" borderId="49" xfId="0" applyNumberFormat="1" applyFont="1" applyFill="1" applyBorder="1" applyAlignment="1">
      <alignment vertical="center"/>
    </xf>
    <xf numFmtId="168" fontId="13" fillId="6" borderId="49" xfId="0" applyNumberFormat="1" applyFont="1" applyFill="1" applyBorder="1" applyAlignment="1">
      <alignment vertical="center"/>
    </xf>
    <xf numFmtId="0" fontId="13" fillId="6" borderId="49" xfId="0" applyFont="1" applyFill="1" applyBorder="1" applyAlignment="1">
      <alignment vertical="center"/>
    </xf>
    <xf numFmtId="169" fontId="2" fillId="6" borderId="2" xfId="0" applyNumberFormat="1" applyFont="1" applyFill="1" applyBorder="1" applyAlignment="1">
      <alignment horizontal="left" vertical="center"/>
    </xf>
    <xf numFmtId="169" fontId="2" fillId="6" borderId="11" xfId="0" applyNumberFormat="1" applyFont="1" applyFill="1" applyBorder="1" applyAlignment="1">
      <alignment horizontal="center" vertical="center"/>
    </xf>
    <xf numFmtId="3" fontId="2" fillId="6" borderId="2" xfId="0" applyNumberFormat="1" applyFont="1" applyFill="1" applyBorder="1" applyAlignment="1">
      <alignment vertical="center"/>
    </xf>
    <xf numFmtId="178" fontId="13" fillId="6" borderId="2" xfId="1" applyNumberFormat="1" applyFont="1" applyFill="1" applyBorder="1" applyAlignment="1">
      <alignment vertical="center"/>
    </xf>
    <xf numFmtId="3" fontId="13" fillId="6" borderId="2" xfId="0" applyNumberFormat="1" applyFont="1" applyFill="1" applyBorder="1" applyAlignment="1">
      <alignment horizontal="right" vertical="center"/>
    </xf>
    <xf numFmtId="3" fontId="10" fillId="6" borderId="33" xfId="0" applyNumberFormat="1" applyFont="1" applyFill="1" applyBorder="1" applyAlignment="1">
      <alignment horizontal="center" vertical="center" wrapText="1"/>
    </xf>
    <xf numFmtId="0" fontId="1" fillId="0" borderId="48" xfId="0" applyFont="1" applyBorder="1" applyAlignment="1">
      <alignment horizontal="center" vertical="center"/>
    </xf>
    <xf numFmtId="0" fontId="1" fillId="0" borderId="35" xfId="0" applyFont="1" applyBorder="1" applyAlignment="1">
      <alignment horizontal="center" vertical="center"/>
    </xf>
    <xf numFmtId="0" fontId="1" fillId="0" borderId="41" xfId="0" applyFont="1" applyBorder="1" applyAlignment="1">
      <alignment horizontal="center" vertical="center"/>
    </xf>
    <xf numFmtId="0" fontId="1" fillId="0" borderId="30" xfId="0" applyFont="1" applyBorder="1" applyAlignment="1">
      <alignment horizontal="center" vertical="center"/>
    </xf>
    <xf numFmtId="0" fontId="2" fillId="0" borderId="53" xfId="0" applyFont="1" applyFill="1" applyBorder="1" applyAlignment="1">
      <alignment horizontal="center" vertical="center" wrapText="1"/>
    </xf>
    <xf numFmtId="0" fontId="2" fillId="0" borderId="65" xfId="0" applyFont="1" applyFill="1" applyBorder="1" applyAlignment="1">
      <alignment horizontal="center" vertical="center" wrapText="1"/>
    </xf>
    <xf numFmtId="0" fontId="2" fillId="0" borderId="54" xfId="0" applyFont="1" applyFill="1" applyBorder="1" applyAlignment="1">
      <alignment horizontal="center" vertical="center" wrapText="1"/>
    </xf>
    <xf numFmtId="3" fontId="13" fillId="0" borderId="33" xfId="0" quotePrefix="1" applyNumberFormat="1" applyFont="1" applyFill="1" applyBorder="1" applyAlignment="1">
      <alignment horizontal="left" vertical="center" wrapText="1"/>
    </xf>
    <xf numFmtId="3" fontId="13" fillId="0" borderId="5" xfId="0" quotePrefix="1" applyNumberFormat="1" applyFont="1" applyFill="1" applyBorder="1" applyAlignment="1">
      <alignment horizontal="left" vertical="center" wrapText="1"/>
    </xf>
    <xf numFmtId="3" fontId="13" fillId="0" borderId="6" xfId="0" quotePrefix="1" applyNumberFormat="1" applyFont="1" applyFill="1" applyBorder="1" applyAlignment="1">
      <alignment horizontal="left" vertical="center" wrapText="1"/>
    </xf>
    <xf numFmtId="0" fontId="48" fillId="0" borderId="33" xfId="0" quotePrefix="1" applyFont="1" applyFill="1" applyBorder="1" applyAlignment="1">
      <alignment horizontal="left" vertical="center" wrapText="1"/>
    </xf>
    <xf numFmtId="0" fontId="48" fillId="0" borderId="5" xfId="0" quotePrefix="1" applyFont="1" applyFill="1" applyBorder="1" applyAlignment="1">
      <alignment horizontal="left" vertical="center" wrapText="1"/>
    </xf>
    <xf numFmtId="0" fontId="48" fillId="0" borderId="6" xfId="0" quotePrefix="1" applyFont="1" applyFill="1" applyBorder="1" applyAlignment="1">
      <alignment horizontal="left" vertical="center" wrapText="1"/>
    </xf>
    <xf numFmtId="0" fontId="13" fillId="0" borderId="33" xfId="0" quotePrefix="1" applyFont="1" applyFill="1" applyBorder="1" applyAlignment="1">
      <alignment horizontal="left" vertical="center" wrapText="1"/>
    </xf>
    <xf numFmtId="0" fontId="13" fillId="0" borderId="5" xfId="0" quotePrefix="1" applyFont="1" applyFill="1" applyBorder="1" applyAlignment="1">
      <alignment horizontal="left" vertical="center" wrapText="1"/>
    </xf>
    <xf numFmtId="0" fontId="13" fillId="0" borderId="6" xfId="0" quotePrefix="1" applyFont="1" applyFill="1" applyBorder="1" applyAlignment="1">
      <alignment horizontal="left" vertical="center" wrapText="1"/>
    </xf>
    <xf numFmtId="3" fontId="2" fillId="0" borderId="27" xfId="0" applyNumberFormat="1" applyFont="1" applyFill="1" applyBorder="1" applyAlignment="1">
      <alignment horizontal="left" vertical="center" wrapText="1"/>
    </xf>
    <xf numFmtId="3" fontId="2" fillId="0" borderId="28" xfId="0" applyNumberFormat="1" applyFont="1" applyFill="1" applyBorder="1" applyAlignment="1">
      <alignment horizontal="left" vertical="center" wrapText="1"/>
    </xf>
    <xf numFmtId="3" fontId="2" fillId="0" borderId="29"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0" fontId="48" fillId="0" borderId="5" xfId="0" applyFont="1" applyFill="1" applyBorder="1" applyAlignment="1">
      <alignment horizontal="left" vertical="center" wrapText="1"/>
    </xf>
    <xf numFmtId="0" fontId="48" fillId="0" borderId="6" xfId="0" applyFont="1" applyFill="1" applyBorder="1" applyAlignment="1">
      <alignment horizontal="left" vertical="center" wrapText="1"/>
    </xf>
    <xf numFmtId="3" fontId="32" fillId="0" borderId="4" xfId="0" applyNumberFormat="1" applyFont="1" applyFill="1" applyBorder="1" applyAlignment="1">
      <alignment horizontal="left" vertical="center" wrapText="1"/>
    </xf>
    <xf numFmtId="0" fontId="55" fillId="0" borderId="5" xfId="0" applyFont="1" applyFill="1" applyBorder="1" applyAlignment="1">
      <alignment vertical="center"/>
    </xf>
    <xf numFmtId="0" fontId="55" fillId="0" borderId="6" xfId="0" applyFont="1" applyFill="1" applyBorder="1" applyAlignment="1">
      <alignment vertical="center"/>
    </xf>
    <xf numFmtId="3" fontId="3" fillId="0" borderId="4" xfId="0" quotePrefix="1" applyNumberFormat="1" applyFont="1" applyFill="1" applyBorder="1" applyAlignment="1">
      <alignment horizontal="left" vertical="center" wrapText="1"/>
    </xf>
    <xf numFmtId="0" fontId="8" fillId="0" borderId="5" xfId="0" applyFont="1" applyFill="1" applyBorder="1" applyAlignment="1">
      <alignment vertical="center"/>
    </xf>
    <xf numFmtId="0" fontId="8" fillId="0" borderId="6" xfId="0" applyFont="1" applyFill="1" applyBorder="1" applyAlignment="1">
      <alignment vertical="center"/>
    </xf>
    <xf numFmtId="3" fontId="21" fillId="0" borderId="33" xfId="0" quotePrefix="1" applyNumberFormat="1" applyFont="1" applyFill="1" applyBorder="1" applyAlignment="1">
      <alignment horizontal="left" vertical="center" wrapText="1"/>
    </xf>
    <xf numFmtId="3" fontId="21" fillId="0" borderId="5" xfId="0" quotePrefix="1" applyNumberFormat="1" applyFont="1" applyFill="1" applyBorder="1" applyAlignment="1">
      <alignment horizontal="left" vertical="center" wrapText="1"/>
    </xf>
    <xf numFmtId="3" fontId="21" fillId="0" borderId="6" xfId="0" quotePrefix="1" applyNumberFormat="1" applyFont="1" applyFill="1" applyBorder="1" applyAlignment="1">
      <alignment horizontal="left" vertical="center" wrapText="1"/>
    </xf>
    <xf numFmtId="3" fontId="21" fillId="0" borderId="33" xfId="0" applyNumberFormat="1" applyFont="1" applyFill="1" applyBorder="1" applyAlignment="1">
      <alignment horizontal="left" vertical="center" wrapText="1"/>
    </xf>
    <xf numFmtId="3" fontId="21" fillId="0" borderId="5" xfId="0" applyNumberFormat="1" applyFont="1" applyFill="1" applyBorder="1" applyAlignment="1">
      <alignment horizontal="left" vertical="center" wrapText="1"/>
    </xf>
    <xf numFmtId="3" fontId="21" fillId="0" borderId="6" xfId="0" applyNumberFormat="1" applyFont="1" applyFill="1" applyBorder="1" applyAlignment="1">
      <alignment horizontal="left" vertical="center" wrapText="1"/>
    </xf>
    <xf numFmtId="0" fontId="3" fillId="0" borderId="33" xfId="0" quotePrefix="1" applyFont="1" applyFill="1" applyBorder="1" applyAlignment="1">
      <alignment horizontal="left" vertical="center" wrapText="1"/>
    </xf>
    <xf numFmtId="0" fontId="3" fillId="0" borderId="5" xfId="0" quotePrefix="1" applyFont="1" applyFill="1" applyBorder="1" applyAlignment="1">
      <alignment horizontal="left" vertical="center" wrapText="1"/>
    </xf>
    <xf numFmtId="0" fontId="3" fillId="0" borderId="6" xfId="0" quotePrefix="1" applyFont="1" applyFill="1" applyBorder="1" applyAlignment="1">
      <alignment horizontal="left" vertical="center" wrapText="1"/>
    </xf>
    <xf numFmtId="3" fontId="48" fillId="0" borderId="33" xfId="0" applyNumberFormat="1" applyFont="1" applyFill="1" applyBorder="1" applyAlignment="1">
      <alignment horizontal="left" vertical="center" wrapText="1"/>
    </xf>
    <xf numFmtId="3" fontId="13" fillId="0" borderId="33" xfId="0" applyNumberFormat="1" applyFont="1" applyFill="1" applyBorder="1" applyAlignment="1">
      <alignment horizontal="left" vertical="center" wrapText="1"/>
    </xf>
    <xf numFmtId="0" fontId="48" fillId="0" borderId="4" xfId="0" applyFont="1" applyFill="1" applyBorder="1" applyAlignment="1">
      <alignment horizontal="left" vertical="center" wrapText="1"/>
    </xf>
    <xf numFmtId="3" fontId="3" fillId="0" borderId="4" xfId="0" applyNumberFormat="1" applyFont="1" applyFill="1" applyBorder="1" applyAlignment="1">
      <alignment horizontal="left" vertical="center" wrapText="1"/>
    </xf>
    <xf numFmtId="3" fontId="13" fillId="0" borderId="4" xfId="0" applyNumberFormat="1"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2" xfId="0" applyFont="1" applyFill="1" applyBorder="1" applyAlignment="1">
      <alignment horizontal="left" vertical="center" wrapText="1"/>
    </xf>
    <xf numFmtId="3" fontId="11" fillId="0" borderId="4" xfId="0" applyNumberFormat="1" applyFont="1" applyFill="1" applyBorder="1" applyAlignment="1">
      <alignment horizontal="left" vertical="center" wrapText="1"/>
    </xf>
    <xf numFmtId="0" fontId="13" fillId="0" borderId="4" xfId="0" quotePrefix="1" applyFont="1" applyFill="1" applyBorder="1" applyAlignment="1">
      <alignment horizontal="left" vertical="center" wrapText="1"/>
    </xf>
    <xf numFmtId="3" fontId="2" fillId="0" borderId="42" xfId="0" applyNumberFormat="1" applyFont="1" applyFill="1" applyBorder="1" applyAlignment="1">
      <alignment horizontal="center" vertical="center" wrapText="1"/>
    </xf>
    <xf numFmtId="3" fontId="2" fillId="0" borderId="50" xfId="0" applyNumberFormat="1" applyFont="1" applyFill="1" applyBorder="1" applyAlignment="1">
      <alignment horizontal="center" vertical="center" wrapText="1"/>
    </xf>
    <xf numFmtId="3" fontId="19" fillId="0" borderId="50" xfId="0" applyNumberFormat="1" applyFont="1" applyFill="1" applyBorder="1" applyAlignment="1">
      <alignment horizontal="left" vertical="center" wrapText="1"/>
    </xf>
    <xf numFmtId="0" fontId="60" fillId="0" borderId="41" xfId="0" applyFont="1" applyFill="1" applyBorder="1" applyAlignment="1">
      <alignment vertical="center"/>
    </xf>
    <xf numFmtId="0" fontId="60" fillId="0" borderId="30" xfId="0" applyFont="1" applyFill="1" applyBorder="1" applyAlignment="1">
      <alignment vertical="center"/>
    </xf>
    <xf numFmtId="3" fontId="2" fillId="0" borderId="42" xfId="0" applyNumberFormat="1" applyFont="1" applyFill="1" applyBorder="1" applyAlignment="1">
      <alignment horizontal="left" vertical="center" wrapText="1"/>
    </xf>
    <xf numFmtId="3" fontId="2" fillId="0" borderId="46" xfId="0" applyNumberFormat="1" applyFont="1" applyFill="1" applyBorder="1" applyAlignment="1">
      <alignment horizontal="left" vertical="center" wrapText="1"/>
    </xf>
    <xf numFmtId="3" fontId="2" fillId="0" borderId="44" xfId="0" applyNumberFormat="1" applyFont="1" applyFill="1" applyBorder="1" applyAlignment="1">
      <alignment horizontal="left" vertical="center" wrapText="1"/>
    </xf>
    <xf numFmtId="3" fontId="2" fillId="0" borderId="49" xfId="0" applyNumberFormat="1" applyFont="1" applyFill="1" applyBorder="1" applyAlignment="1">
      <alignment horizontal="left" vertical="center" wrapText="1"/>
    </xf>
    <xf numFmtId="3" fontId="2" fillId="0" borderId="32" xfId="0" applyNumberFormat="1" applyFont="1" applyFill="1" applyBorder="1" applyAlignment="1">
      <alignment horizontal="left" vertical="center" wrapText="1"/>
    </xf>
    <xf numFmtId="3" fontId="2" fillId="0" borderId="48" xfId="0" applyNumberFormat="1" applyFont="1" applyFill="1" applyBorder="1" applyAlignment="1">
      <alignment horizontal="left" vertical="center" wrapText="1"/>
    </xf>
    <xf numFmtId="3" fontId="2" fillId="0" borderId="35" xfId="0" applyNumberFormat="1" applyFont="1" applyFill="1" applyBorder="1" applyAlignment="1">
      <alignment horizontal="left" vertical="center" wrapText="1"/>
    </xf>
    <xf numFmtId="3" fontId="2" fillId="0" borderId="51" xfId="0" applyNumberFormat="1" applyFont="1" applyFill="1" applyBorder="1" applyAlignment="1">
      <alignment horizontal="left" vertical="center" wrapText="1"/>
    </xf>
    <xf numFmtId="3" fontId="2" fillId="0" borderId="38" xfId="0" applyNumberFormat="1" applyFont="1" applyFill="1" applyBorder="1" applyAlignment="1">
      <alignment horizontal="left" vertical="center" wrapText="1"/>
    </xf>
    <xf numFmtId="3" fontId="2" fillId="0" borderId="39" xfId="0" applyNumberFormat="1" applyFont="1" applyFill="1" applyBorder="1" applyAlignment="1">
      <alignment horizontal="left" vertical="center" wrapText="1"/>
    </xf>
    <xf numFmtId="3" fontId="2" fillId="0" borderId="40" xfId="0" applyNumberFormat="1" applyFont="1" applyFill="1" applyBorder="1" applyAlignment="1">
      <alignment horizontal="left" vertical="center" wrapText="1"/>
    </xf>
    <xf numFmtId="3" fontId="11" fillId="0" borderId="4" xfId="0" quotePrefix="1"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8" fillId="0" borderId="8" xfId="0" applyFont="1" applyFill="1" applyBorder="1" applyAlignment="1">
      <alignment vertical="center"/>
    </xf>
    <xf numFmtId="0" fontId="8" fillId="0" borderId="8" xfId="0" applyFont="1" applyFill="1" applyBorder="1" applyAlignment="1">
      <alignment horizontal="center" vertical="center"/>
    </xf>
    <xf numFmtId="0" fontId="13" fillId="0" borderId="3" xfId="0" applyFont="1" applyFill="1" applyBorder="1" applyAlignment="1">
      <alignment horizontal="center" vertical="center" wrapText="1"/>
    </xf>
    <xf numFmtId="0" fontId="2" fillId="0" borderId="32"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30" xfId="0" applyFont="1" applyFill="1" applyBorder="1" applyAlignment="1">
      <alignment horizontal="left" vertical="center" wrapText="1"/>
    </xf>
    <xf numFmtId="3" fontId="17" fillId="0" borderId="5" xfId="0" applyNumberFormat="1" applyFont="1" applyFill="1" applyBorder="1" applyAlignment="1">
      <alignment vertical="center" wrapText="1"/>
    </xf>
    <xf numFmtId="3" fontId="13" fillId="0" borderId="4" xfId="0" quotePrefix="1" applyNumberFormat="1" applyFont="1" applyFill="1" applyBorder="1" applyAlignment="1">
      <alignment horizontal="left" vertical="center" wrapText="1"/>
    </xf>
    <xf numFmtId="3" fontId="10" fillId="0" borderId="42" xfId="0" applyNumberFormat="1" applyFont="1" applyFill="1" applyBorder="1" applyAlignment="1">
      <alignment horizontal="center" vertical="center" wrapText="1"/>
    </xf>
    <xf numFmtId="0" fontId="8" fillId="0" borderId="50" xfId="0" applyFont="1" applyFill="1" applyBorder="1" applyAlignment="1">
      <alignment vertical="center"/>
    </xf>
    <xf numFmtId="0" fontId="13" fillId="0" borderId="33" xfId="0" applyFont="1" applyFill="1" applyBorder="1" applyAlignment="1">
      <alignment horizontal="left" vertical="center" wrapText="1"/>
    </xf>
    <xf numFmtId="3" fontId="13" fillId="0" borderId="49" xfId="0" applyNumberFormat="1" applyFont="1" applyFill="1" applyBorder="1" applyAlignment="1">
      <alignment horizontal="center" vertical="center" wrapText="1"/>
    </xf>
    <xf numFmtId="3" fontId="13" fillId="0" borderId="42" xfId="0" applyNumberFormat="1" applyFont="1" applyFill="1" applyBorder="1" applyAlignment="1">
      <alignment horizontal="left" vertical="center" wrapText="1"/>
    </xf>
    <xf numFmtId="3" fontId="13" fillId="0" borderId="46" xfId="0" applyNumberFormat="1" applyFont="1" applyFill="1" applyBorder="1" applyAlignment="1">
      <alignment horizontal="left" vertical="center" wrapText="1"/>
    </xf>
    <xf numFmtId="0" fontId="2"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8" fillId="0" borderId="49" xfId="0" applyFont="1" applyFill="1" applyBorder="1" applyAlignment="1">
      <alignment vertical="center"/>
    </xf>
    <xf numFmtId="3" fontId="21" fillId="0" borderId="4" xfId="0" applyNumberFormat="1" applyFont="1" applyFill="1" applyBorder="1" applyAlignment="1">
      <alignment horizontal="left" vertical="center" wrapText="1"/>
    </xf>
    <xf numFmtId="0" fontId="21" fillId="0" borderId="4" xfId="0" applyFont="1" applyFill="1" applyBorder="1" applyAlignment="1">
      <alignment horizontal="left" vertical="center" wrapText="1"/>
    </xf>
    <xf numFmtId="3" fontId="13" fillId="0" borderId="5" xfId="0" applyNumberFormat="1" applyFont="1" applyFill="1" applyBorder="1" applyAlignment="1">
      <alignment horizontal="left" vertical="center" wrapText="1"/>
    </xf>
    <xf numFmtId="3" fontId="13" fillId="0" borderId="6" xfId="0" applyNumberFormat="1" applyFont="1" applyFill="1" applyBorder="1" applyAlignment="1">
      <alignment horizontal="left" vertical="center" wrapText="1"/>
    </xf>
    <xf numFmtId="3" fontId="11" fillId="0" borderId="33" xfId="0" applyNumberFormat="1" applyFont="1" applyFill="1" applyBorder="1" applyAlignment="1">
      <alignment horizontal="left" vertical="center" wrapText="1"/>
    </xf>
    <xf numFmtId="3" fontId="11" fillId="0" borderId="5" xfId="0" applyNumberFormat="1" applyFont="1" applyFill="1" applyBorder="1" applyAlignment="1">
      <alignment horizontal="left" vertical="center" wrapText="1"/>
    </xf>
    <xf numFmtId="3" fontId="11" fillId="0" borderId="6" xfId="0" applyNumberFormat="1" applyFont="1" applyFill="1" applyBorder="1" applyAlignment="1">
      <alignment horizontal="left" vertical="center" wrapText="1"/>
    </xf>
    <xf numFmtId="0" fontId="11" fillId="0" borderId="50" xfId="0" applyFont="1" applyFill="1" applyBorder="1" applyAlignment="1">
      <alignment horizontal="left" vertical="center" wrapText="1"/>
    </xf>
    <xf numFmtId="0" fontId="8" fillId="0" borderId="41" xfId="0" applyFont="1" applyFill="1" applyBorder="1" applyAlignment="1">
      <alignment vertical="center"/>
    </xf>
    <xf numFmtId="0" fontId="8" fillId="0" borderId="30" xfId="0" applyFont="1" applyFill="1" applyBorder="1" applyAlignment="1">
      <alignment vertical="center"/>
    </xf>
    <xf numFmtId="0" fontId="13" fillId="0" borderId="49" xfId="0" applyFont="1" applyFill="1" applyBorder="1" applyAlignment="1">
      <alignment horizontal="left" vertical="center" wrapText="1"/>
    </xf>
    <xf numFmtId="0" fontId="8" fillId="0" borderId="53" xfId="0" applyFont="1" applyFill="1" applyBorder="1" applyAlignment="1">
      <alignment vertical="center"/>
    </xf>
    <xf numFmtId="0" fontId="13" fillId="0" borderId="42" xfId="0" applyFont="1" applyFill="1" applyBorder="1" applyAlignment="1">
      <alignment horizontal="left" vertical="center" wrapText="1"/>
    </xf>
    <xf numFmtId="0" fontId="8" fillId="0" borderId="46" xfId="0" applyFont="1" applyFill="1" applyBorder="1" applyAlignment="1">
      <alignment vertical="center"/>
    </xf>
    <xf numFmtId="0" fontId="13" fillId="0" borderId="49" xfId="0" applyFont="1" applyFill="1" applyBorder="1" applyAlignment="1">
      <alignment horizontal="center" vertical="center" wrapText="1"/>
    </xf>
    <xf numFmtId="0" fontId="4" fillId="0" borderId="3" xfId="0" applyFont="1" applyFill="1" applyBorder="1" applyAlignment="1">
      <alignment horizontal="center" vertical="center" wrapText="1"/>
    </xf>
    <xf numFmtId="167" fontId="13" fillId="0" borderId="3" xfId="0" applyNumberFormat="1" applyFont="1" applyFill="1" applyBorder="1" applyAlignment="1">
      <alignment horizontal="center" vertical="center" wrapText="1"/>
    </xf>
    <xf numFmtId="169" fontId="2" fillId="0" borderId="3" xfId="0" applyNumberFormat="1" applyFont="1" applyFill="1" applyBorder="1" applyAlignment="1">
      <alignment horizontal="center" vertical="center"/>
    </xf>
    <xf numFmtId="3" fontId="48" fillId="0" borderId="4" xfId="0" applyNumberFormat="1" applyFont="1" applyFill="1" applyBorder="1" applyAlignment="1">
      <alignment horizontal="left" vertical="center" wrapText="1"/>
    </xf>
    <xf numFmtId="0" fontId="13" fillId="0" borderId="3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6" xfId="0" applyFont="1" applyFill="1" applyBorder="1" applyAlignment="1">
      <alignment horizontal="left" vertical="center"/>
    </xf>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9" fillId="0" borderId="7" xfId="0" applyFont="1" applyBorder="1" applyAlignment="1">
      <alignment horizontal="center" vertical="center"/>
    </xf>
    <xf numFmtId="0" fontId="8" fillId="0" borderId="9" xfId="0" applyFont="1" applyBorder="1"/>
    <xf numFmtId="0" fontId="8" fillId="0" borderId="10" xfId="0" applyFont="1" applyBorder="1"/>
    <xf numFmtId="166" fontId="6" fillId="0" borderId="3" xfId="0" applyNumberFormat="1" applyFont="1" applyFill="1" applyBorder="1" applyAlignment="1">
      <alignment horizontal="center" vertical="center" wrapText="1"/>
    </xf>
    <xf numFmtId="3" fontId="6" fillId="0" borderId="13" xfId="0" applyNumberFormat="1" applyFont="1" applyFill="1" applyBorder="1" applyAlignment="1">
      <alignment horizontal="center" vertical="center" wrapText="1"/>
    </xf>
    <xf numFmtId="0" fontId="8" fillId="0" borderId="18" xfId="0" applyFont="1" applyFill="1" applyBorder="1" applyAlignment="1">
      <alignment horizontal="center" vertical="center"/>
    </xf>
    <xf numFmtId="3" fontId="6" fillId="0" borderId="3" xfId="0" applyNumberFormat="1" applyFont="1" applyFill="1" applyBorder="1" applyAlignment="1">
      <alignment vertical="center" wrapText="1"/>
    </xf>
    <xf numFmtId="3" fontId="6"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9" fillId="0" borderId="52"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7" fillId="0" borderId="3" xfId="0" applyNumberFormat="1" applyFont="1" applyFill="1" applyBorder="1" applyAlignment="1">
      <alignment horizontal="left" vertical="center" wrapText="1"/>
    </xf>
    <xf numFmtId="3" fontId="5" fillId="0" borderId="4" xfId="0" applyNumberFormat="1" applyFont="1" applyFill="1" applyBorder="1" applyAlignment="1">
      <alignment horizontal="center" vertical="center" wrapText="1"/>
    </xf>
    <xf numFmtId="0" fontId="11" fillId="0" borderId="4" xfId="0" applyFont="1" applyFill="1" applyBorder="1" applyAlignment="1">
      <alignment horizontal="left" vertical="center" wrapText="1"/>
    </xf>
    <xf numFmtId="0" fontId="13" fillId="0" borderId="46" xfId="0" applyFont="1" applyFill="1" applyBorder="1" applyAlignment="1">
      <alignment horizontal="left" vertical="center" wrapText="1"/>
    </xf>
    <xf numFmtId="0" fontId="13" fillId="0" borderId="44" xfId="0" applyFont="1" applyFill="1" applyBorder="1" applyAlignment="1">
      <alignment horizontal="left" vertical="center" wrapText="1"/>
    </xf>
    <xf numFmtId="0" fontId="13" fillId="0" borderId="51"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3" fillId="0" borderId="48"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8" fillId="0" borderId="44" xfId="0" applyFont="1" applyFill="1" applyBorder="1" applyAlignment="1">
      <alignment vertical="center"/>
    </xf>
    <xf numFmtId="0" fontId="13" fillId="0" borderId="50" xfId="0" applyFont="1" applyFill="1" applyBorder="1" applyAlignment="1">
      <alignment horizontal="left" vertical="center" wrapText="1"/>
    </xf>
    <xf numFmtId="0" fontId="13" fillId="0" borderId="41" xfId="0" applyFont="1" applyFill="1" applyBorder="1" applyAlignment="1">
      <alignment horizontal="left" vertical="center" wrapText="1"/>
    </xf>
    <xf numFmtId="0" fontId="13" fillId="0" borderId="30"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32" xfId="0" applyFont="1" applyFill="1" applyBorder="1" applyAlignment="1">
      <alignment horizontal="center" vertical="center" wrapText="1"/>
    </xf>
    <xf numFmtId="0" fontId="13" fillId="0" borderId="48" xfId="0" applyFont="1" applyFill="1" applyBorder="1" applyAlignment="1">
      <alignment horizontal="center" vertical="center" wrapText="1"/>
    </xf>
    <xf numFmtId="0" fontId="11" fillId="0" borderId="33"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8" fillId="0" borderId="48" xfId="0" applyFont="1" applyFill="1" applyBorder="1" applyAlignment="1">
      <alignment vertical="center"/>
    </xf>
    <xf numFmtId="0" fontId="13" fillId="0" borderId="53" xfId="0" applyFont="1" applyFill="1" applyBorder="1" applyAlignment="1">
      <alignment horizontal="left" vertical="center" wrapText="1"/>
    </xf>
    <xf numFmtId="0" fontId="13" fillId="0" borderId="52" xfId="0" applyFont="1" applyFill="1" applyBorder="1" applyAlignment="1">
      <alignment vertical="center" wrapText="1"/>
    </xf>
    <xf numFmtId="0" fontId="13" fillId="0" borderId="55" xfId="0" applyFont="1" applyFill="1" applyBorder="1" applyAlignment="1">
      <alignment vertical="center" wrapText="1"/>
    </xf>
    <xf numFmtId="0" fontId="21" fillId="0" borderId="50" xfId="0" applyFont="1" applyFill="1" applyBorder="1" applyAlignment="1">
      <alignment horizontal="left" vertical="center" wrapText="1"/>
    </xf>
    <xf numFmtId="3" fontId="11" fillId="0" borderId="50"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178" fontId="2" fillId="0" borderId="3" xfId="1" applyNumberFormat="1" applyFont="1" applyFill="1" applyBorder="1" applyAlignment="1">
      <alignment horizontal="center" vertical="center"/>
    </xf>
    <xf numFmtId="178" fontId="8" fillId="0" borderId="8" xfId="1" applyNumberFormat="1" applyFont="1" applyFill="1" applyBorder="1" applyAlignment="1">
      <alignment vertical="center"/>
    </xf>
    <xf numFmtId="3" fontId="3" fillId="0" borderId="33" xfId="0" applyNumberFormat="1" applyFont="1" applyFill="1" applyBorder="1" applyAlignment="1">
      <alignment horizontal="left" vertical="center" wrapText="1"/>
    </xf>
    <xf numFmtId="3" fontId="3" fillId="0" borderId="49" xfId="0" applyNumberFormat="1" applyFont="1" applyFill="1" applyBorder="1" applyAlignment="1">
      <alignment horizontal="left" vertical="center" wrapText="1"/>
    </xf>
    <xf numFmtId="3" fontId="3" fillId="0" borderId="32" xfId="0" applyNumberFormat="1" applyFont="1" applyFill="1" applyBorder="1" applyAlignment="1">
      <alignment horizontal="left" vertical="center" wrapText="1"/>
    </xf>
    <xf numFmtId="3" fontId="3" fillId="0" borderId="50" xfId="0" applyNumberFormat="1" applyFont="1" applyFill="1" applyBorder="1" applyAlignment="1">
      <alignment horizontal="left" vertical="center" wrapText="1"/>
    </xf>
    <xf numFmtId="0" fontId="54" fillId="0" borderId="5" xfId="0" applyFont="1" applyFill="1" applyBorder="1" applyAlignment="1">
      <alignment vertical="center"/>
    </xf>
    <xf numFmtId="0" fontId="2" fillId="0" borderId="33" xfId="0" applyFont="1" applyFill="1" applyBorder="1" applyAlignment="1">
      <alignment horizontal="left" vertical="center"/>
    </xf>
    <xf numFmtId="3" fontId="3" fillId="0" borderId="42"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0" fontId="8" fillId="0" borderId="51" xfId="0" applyFont="1" applyFill="1" applyBorder="1" applyAlignment="1">
      <alignment vertical="center"/>
    </xf>
    <xf numFmtId="0" fontId="8" fillId="0" borderId="57" xfId="0" applyFont="1" applyFill="1" applyBorder="1" applyAlignment="1">
      <alignmen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3" fontId="3" fillId="0" borderId="33" xfId="0" applyNumberFormat="1" applyFont="1" applyFill="1" applyBorder="1" applyAlignment="1">
      <alignment vertical="center" wrapText="1"/>
    </xf>
    <xf numFmtId="3" fontId="3" fillId="0" borderId="5" xfId="0" applyNumberFormat="1" applyFont="1" applyFill="1" applyBorder="1" applyAlignment="1">
      <alignment vertical="center" wrapText="1"/>
    </xf>
    <xf numFmtId="3" fontId="3" fillId="0" borderId="6" xfId="0" applyNumberFormat="1" applyFont="1" applyFill="1" applyBorder="1" applyAlignment="1">
      <alignment vertical="center" wrapText="1"/>
    </xf>
    <xf numFmtId="0" fontId="2" fillId="0" borderId="4" xfId="0" quotePrefix="1" applyFont="1" applyFill="1" applyBorder="1" applyAlignment="1">
      <alignment horizontal="left" vertical="center" wrapText="1"/>
    </xf>
    <xf numFmtId="3" fontId="54" fillId="0" borderId="4" xfId="0" applyNumberFormat="1" applyFont="1" applyFill="1" applyBorder="1" applyAlignment="1">
      <alignment horizontal="left" vertical="center" wrapText="1"/>
    </xf>
    <xf numFmtId="0" fontId="3" fillId="0" borderId="4" xfId="0" quotePrefix="1" applyFont="1" applyFill="1" applyBorder="1" applyAlignment="1">
      <alignment horizontal="left" vertical="center" wrapText="1"/>
    </xf>
    <xf numFmtId="3" fontId="20" fillId="0" borderId="49" xfId="0" applyNumberFormat="1" applyFont="1" applyFill="1" applyBorder="1" applyAlignment="1">
      <alignment horizontal="center" vertical="center" wrapText="1"/>
    </xf>
    <xf numFmtId="0" fontId="8" fillId="0" borderId="32" xfId="0" applyFont="1" applyFill="1" applyBorder="1" applyAlignment="1">
      <alignment vertical="center"/>
    </xf>
    <xf numFmtId="0" fontId="13" fillId="0" borderId="4" xfId="0" applyFont="1" applyFill="1" applyBorder="1" applyAlignment="1">
      <alignment horizontal="left" vertical="center"/>
    </xf>
    <xf numFmtId="3" fontId="11" fillId="0" borderId="33" xfId="0" quotePrefix="1" applyNumberFormat="1" applyFont="1" applyFill="1" applyBorder="1" applyAlignment="1">
      <alignment horizontal="left" vertical="center" wrapText="1"/>
    </xf>
    <xf numFmtId="3" fontId="11" fillId="0" borderId="5" xfId="0" quotePrefix="1" applyNumberFormat="1" applyFont="1" applyFill="1" applyBorder="1" applyAlignment="1">
      <alignment horizontal="left" vertical="center" wrapText="1"/>
    </xf>
    <xf numFmtId="3" fontId="11" fillId="0" borderId="6" xfId="0" quotePrefix="1" applyNumberFormat="1" applyFont="1" applyFill="1" applyBorder="1" applyAlignment="1">
      <alignment horizontal="left" vertical="center" wrapText="1"/>
    </xf>
    <xf numFmtId="0" fontId="8" fillId="0" borderId="49" xfId="0" applyFont="1" applyFill="1" applyBorder="1" applyAlignment="1">
      <alignment horizontal="left" vertical="center" wrapText="1"/>
    </xf>
    <xf numFmtId="0" fontId="11" fillId="0" borderId="33" xfId="0" quotePrefix="1" applyFont="1" applyFill="1" applyBorder="1" applyAlignment="1">
      <alignment horizontal="left" vertical="center" wrapText="1"/>
    </xf>
    <xf numFmtId="0" fontId="11" fillId="0" borderId="5" xfId="0" quotePrefix="1" applyFont="1" applyFill="1" applyBorder="1" applyAlignment="1">
      <alignment horizontal="left" vertical="center" wrapText="1"/>
    </xf>
    <xf numFmtId="0" fontId="11" fillId="0" borderId="6" xfId="0" quotePrefix="1" applyFont="1" applyFill="1" applyBorder="1" applyAlignment="1">
      <alignment horizontal="left" vertical="center" wrapText="1"/>
    </xf>
    <xf numFmtId="0" fontId="2" fillId="0" borderId="42"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 fillId="0" borderId="49" xfId="0" applyFont="1" applyFill="1" applyBorder="1" applyAlignment="1">
      <alignment vertical="center" wrapText="1"/>
    </xf>
    <xf numFmtId="3" fontId="48" fillId="0" borderId="49" xfId="0" applyNumberFormat="1" applyFont="1" applyFill="1" applyBorder="1" applyAlignment="1">
      <alignment horizontal="center" vertical="center" wrapText="1"/>
    </xf>
    <xf numFmtId="3" fontId="45" fillId="0" borderId="4" xfId="0" applyNumberFormat="1" applyFont="1" applyFill="1" applyBorder="1" applyAlignment="1">
      <alignment horizontal="left" vertical="center" wrapText="1"/>
    </xf>
    <xf numFmtId="0" fontId="8" fillId="0" borderId="32" xfId="0" applyFont="1" applyFill="1" applyBorder="1" applyAlignment="1">
      <alignment horizontal="left" vertical="center"/>
    </xf>
    <xf numFmtId="0" fontId="8" fillId="0" borderId="50" xfId="0" applyFont="1" applyFill="1" applyBorder="1" applyAlignment="1">
      <alignment horizontal="left" vertical="center"/>
    </xf>
    <xf numFmtId="0" fontId="6" fillId="0" borderId="3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8" fillId="0" borderId="4" xfId="0" applyFont="1" applyFill="1" applyBorder="1" applyAlignment="1">
      <alignment horizontal="left" vertical="center" wrapText="1"/>
    </xf>
    <xf numFmtId="3" fontId="2" fillId="0" borderId="49" xfId="0" applyNumberFormat="1" applyFont="1" applyFill="1" applyBorder="1" applyAlignment="1">
      <alignment vertical="center" wrapText="1"/>
    </xf>
    <xf numFmtId="0" fontId="11" fillId="0" borderId="4" xfId="0" applyFont="1" applyFill="1" applyBorder="1" applyAlignment="1">
      <alignment horizontal="left" vertical="center"/>
    </xf>
    <xf numFmtId="0" fontId="46" fillId="0" borderId="5" xfId="0" applyFont="1" applyFill="1" applyBorder="1" applyAlignment="1">
      <alignment vertical="center"/>
    </xf>
    <xf numFmtId="0" fontId="46" fillId="0" borderId="6" xfId="0" applyFont="1" applyFill="1" applyBorder="1" applyAlignment="1">
      <alignment vertical="center"/>
    </xf>
    <xf numFmtId="3" fontId="2" fillId="0" borderId="4" xfId="0" quotePrefix="1" applyNumberFormat="1" applyFont="1" applyFill="1" applyBorder="1" applyAlignment="1">
      <alignment horizontal="left" vertical="center" wrapText="1"/>
    </xf>
    <xf numFmtId="49" fontId="13" fillId="0" borderId="4" xfId="0" applyNumberFormat="1" applyFont="1" applyFill="1" applyBorder="1" applyAlignment="1">
      <alignment horizontal="left" vertical="center" wrapText="1"/>
    </xf>
    <xf numFmtId="49" fontId="13" fillId="0" borderId="33" xfId="0" applyNumberFormat="1" applyFont="1" applyFill="1" applyBorder="1" applyAlignment="1">
      <alignment horizontal="left" vertical="center" wrapText="1"/>
    </xf>
    <xf numFmtId="49" fontId="13" fillId="0" borderId="5" xfId="0" applyNumberFormat="1" applyFont="1" applyFill="1" applyBorder="1" applyAlignment="1">
      <alignment horizontal="left" vertical="center" wrapText="1"/>
    </xf>
    <xf numFmtId="49" fontId="13" fillId="0" borderId="6"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49" fontId="21" fillId="0" borderId="5" xfId="0" applyNumberFormat="1" applyFont="1" applyFill="1" applyBorder="1" applyAlignment="1">
      <alignment horizontal="left" vertical="center" wrapText="1"/>
    </xf>
    <xf numFmtId="49" fontId="21" fillId="0" borderId="6" xfId="0" applyNumberFormat="1" applyFont="1" applyFill="1" applyBorder="1" applyAlignment="1">
      <alignment horizontal="left" vertical="center" wrapText="1"/>
    </xf>
    <xf numFmtId="0" fontId="2" fillId="0" borderId="5" xfId="0" applyFont="1" applyFill="1" applyBorder="1" applyAlignment="1">
      <alignment vertical="center"/>
    </xf>
    <xf numFmtId="0" fontId="2" fillId="0" borderId="6" xfId="0" applyFont="1" applyFill="1" applyBorder="1" applyAlignment="1">
      <alignment vertical="center"/>
    </xf>
    <xf numFmtId="0" fontId="21" fillId="0" borderId="42" xfId="0" applyFont="1" applyFill="1" applyBorder="1" applyAlignment="1">
      <alignment horizontal="left" vertical="center" wrapText="1"/>
    </xf>
    <xf numFmtId="0" fontId="21" fillId="0" borderId="33" xfId="0" applyFont="1" applyFill="1" applyBorder="1" applyAlignment="1">
      <alignment horizontal="left" vertical="center" wrapText="1"/>
    </xf>
    <xf numFmtId="0" fontId="11" fillId="0" borderId="4" xfId="0" quotePrefix="1" applyFont="1" applyFill="1" applyBorder="1" applyAlignment="1">
      <alignment horizontal="left" vertical="center" wrapText="1"/>
    </xf>
    <xf numFmtId="0" fontId="48" fillId="0" borderId="4" xfId="0" quotePrefix="1" applyFont="1" applyFill="1" applyBorder="1" applyAlignment="1">
      <alignment horizontal="left" vertical="center" wrapText="1"/>
    </xf>
    <xf numFmtId="0" fontId="3" fillId="0" borderId="4" xfId="0" applyFont="1" applyFill="1" applyBorder="1" applyAlignment="1">
      <alignment horizontal="left" vertical="center"/>
    </xf>
    <xf numFmtId="0" fontId="54" fillId="0" borderId="6" xfId="0" applyFont="1" applyFill="1" applyBorder="1" applyAlignment="1">
      <alignment vertical="center"/>
    </xf>
    <xf numFmtId="0" fontId="11" fillId="0" borderId="50" xfId="0" quotePrefix="1" applyFont="1" applyFill="1" applyBorder="1" applyAlignment="1">
      <alignment horizontal="left" vertical="center" wrapText="1"/>
    </xf>
    <xf numFmtId="0" fontId="11" fillId="0" borderId="41" xfId="0" quotePrefix="1" applyFont="1" applyFill="1" applyBorder="1" applyAlignment="1">
      <alignment horizontal="left" vertical="center" wrapText="1"/>
    </xf>
    <xf numFmtId="0" fontId="11" fillId="0" borderId="30" xfId="0" quotePrefix="1" applyFont="1" applyFill="1" applyBorder="1" applyAlignment="1">
      <alignment horizontal="left" vertical="center" wrapText="1"/>
    </xf>
    <xf numFmtId="3" fontId="11" fillId="0" borderId="50" xfId="0" quotePrefix="1" applyNumberFormat="1" applyFont="1" applyFill="1" applyBorder="1" applyAlignment="1">
      <alignment horizontal="left" vertical="center" wrapText="1"/>
    </xf>
    <xf numFmtId="3" fontId="2" fillId="0" borderId="52" xfId="0" applyNumberFormat="1" applyFont="1" applyFill="1" applyBorder="1" applyAlignment="1">
      <alignment vertical="center" wrapText="1"/>
    </xf>
    <xf numFmtId="3" fontId="3" fillId="0" borderId="33" xfId="0" quotePrefix="1" applyNumberFormat="1" applyFont="1" applyFill="1" applyBorder="1" applyAlignment="1">
      <alignment horizontal="left" vertical="center" wrapText="1"/>
    </xf>
    <xf numFmtId="3" fontId="3" fillId="0" borderId="5" xfId="0" quotePrefix="1" applyNumberFormat="1" applyFont="1" applyFill="1" applyBorder="1" applyAlignment="1">
      <alignment horizontal="left" vertical="center" wrapText="1"/>
    </xf>
    <xf numFmtId="3" fontId="3" fillId="0" borderId="6" xfId="0" quotePrefix="1" applyNumberFormat="1" applyFont="1" applyFill="1" applyBorder="1" applyAlignment="1">
      <alignment horizontal="left" vertical="center" wrapText="1"/>
    </xf>
    <xf numFmtId="3" fontId="13" fillId="0" borderId="3" xfId="0" applyNumberFormat="1" applyFont="1" applyFill="1" applyBorder="1" applyAlignment="1">
      <alignment horizontal="center" vertical="center" wrapText="1"/>
    </xf>
    <xf numFmtId="3" fontId="2" fillId="0" borderId="4" xfId="0" applyNumberFormat="1" applyFont="1" applyFill="1" applyBorder="1" applyAlignment="1">
      <alignment horizontal="left" vertical="center" wrapText="1"/>
    </xf>
    <xf numFmtId="3" fontId="3" fillId="0" borderId="5" xfId="0" applyNumberFormat="1" applyFont="1" applyFill="1" applyBorder="1" applyAlignment="1">
      <alignment horizontal="left" vertical="center" wrapText="1"/>
    </xf>
    <xf numFmtId="3" fontId="3" fillId="0" borderId="6" xfId="0" applyNumberFormat="1" applyFont="1" applyFill="1" applyBorder="1" applyAlignment="1">
      <alignment horizontal="left" vertical="center" wrapText="1"/>
    </xf>
    <xf numFmtId="3" fontId="19" fillId="0" borderId="33" xfId="0" applyNumberFormat="1" applyFont="1" applyFill="1" applyBorder="1" applyAlignment="1">
      <alignment horizontal="left" vertical="center" wrapText="1"/>
    </xf>
    <xf numFmtId="0" fontId="60" fillId="0" borderId="5" xfId="0" applyFont="1" applyFill="1" applyBorder="1" applyAlignment="1">
      <alignment vertical="center"/>
    </xf>
    <xf numFmtId="0" fontId="60" fillId="0" borderId="6" xfId="0" applyFont="1" applyFill="1" applyBorder="1" applyAlignment="1">
      <alignment vertical="center"/>
    </xf>
    <xf numFmtId="3" fontId="19" fillId="0" borderId="42" xfId="0" applyNumberFormat="1" applyFont="1" applyFill="1" applyBorder="1" applyAlignment="1">
      <alignment horizontal="left" vertical="center" wrapText="1"/>
    </xf>
    <xf numFmtId="0" fontId="60" fillId="0" borderId="46" xfId="0" applyFont="1" applyFill="1" applyBorder="1" applyAlignment="1">
      <alignment vertical="center"/>
    </xf>
    <xf numFmtId="0" fontId="60" fillId="0" borderId="44" xfId="0" applyFont="1" applyFill="1" applyBorder="1" applyAlignment="1">
      <alignment vertical="center"/>
    </xf>
    <xf numFmtId="3" fontId="19" fillId="0" borderId="49" xfId="0" applyNumberFormat="1" applyFont="1" applyFill="1" applyBorder="1" applyAlignment="1">
      <alignment horizontal="left" vertical="center" wrapText="1"/>
    </xf>
    <xf numFmtId="0" fontId="60" fillId="0" borderId="49" xfId="0" applyFont="1" applyFill="1" applyBorder="1" applyAlignment="1">
      <alignment vertical="center"/>
    </xf>
    <xf numFmtId="3" fontId="8" fillId="0" borderId="3" xfId="0" applyNumberFormat="1" applyFont="1" applyFill="1" applyBorder="1" applyAlignment="1">
      <alignment horizontal="center" vertical="center" wrapText="1"/>
    </xf>
    <xf numFmtId="3" fontId="48" fillId="0" borderId="3" xfId="0" applyNumberFormat="1" applyFont="1" applyFill="1" applyBorder="1" applyAlignment="1">
      <alignment horizontal="left" vertical="center" wrapText="1"/>
    </xf>
    <xf numFmtId="167" fontId="48" fillId="0" borderId="3" xfId="0" applyNumberFormat="1" applyFont="1" applyFill="1" applyBorder="1" applyAlignment="1">
      <alignment horizontal="center" vertical="center" wrapText="1"/>
    </xf>
    <xf numFmtId="166" fontId="8" fillId="0" borderId="3" xfId="0" applyNumberFormat="1" applyFont="1" applyFill="1" applyBorder="1" applyAlignment="1">
      <alignment horizontal="center" vertical="center" wrapText="1"/>
    </xf>
    <xf numFmtId="3" fontId="8" fillId="0" borderId="3" xfId="0" applyNumberFormat="1" applyFont="1" applyFill="1" applyBorder="1" applyAlignment="1">
      <alignment horizontal="left" vertical="center" wrapText="1"/>
    </xf>
    <xf numFmtId="0" fontId="54" fillId="0" borderId="33" xfId="0" applyFont="1" applyFill="1" applyBorder="1" applyAlignment="1">
      <alignment horizontal="left" vertical="center" wrapText="1"/>
    </xf>
    <xf numFmtId="0" fontId="54" fillId="0" borderId="5" xfId="0" applyFont="1" applyFill="1" applyBorder="1" applyAlignment="1">
      <alignment horizontal="left" vertical="center" wrapText="1"/>
    </xf>
    <xf numFmtId="0" fontId="54" fillId="0" borderId="6" xfId="0" applyFont="1" applyFill="1" applyBorder="1" applyAlignment="1">
      <alignment horizontal="left" vertical="center" wrapText="1"/>
    </xf>
    <xf numFmtId="3" fontId="2" fillId="0" borderId="3" xfId="0" applyNumberFormat="1" applyFont="1" applyFill="1" applyBorder="1" applyAlignment="1">
      <alignment horizontal="center" vertical="center" wrapText="1"/>
    </xf>
    <xf numFmtId="166" fontId="2" fillId="0" borderId="3" xfId="0" applyNumberFormat="1" applyFont="1" applyFill="1" applyBorder="1" applyAlignment="1">
      <alignment horizontal="center" vertical="center" wrapText="1"/>
    </xf>
    <xf numFmtId="3" fontId="16" fillId="0" borderId="42" xfId="0" applyNumberFormat="1" applyFont="1" applyFill="1" applyBorder="1" applyAlignment="1">
      <alignment horizontal="left" vertical="center" wrapText="1"/>
    </xf>
    <xf numFmtId="0" fontId="20" fillId="0" borderId="49" xfId="0" applyFont="1" applyFill="1" applyBorder="1" applyAlignment="1">
      <alignment horizontal="left" vertical="center" wrapText="1"/>
    </xf>
    <xf numFmtId="3" fontId="2" fillId="0" borderId="50" xfId="0" applyNumberFormat="1" applyFont="1" applyFill="1" applyBorder="1" applyAlignment="1">
      <alignment horizontal="left" vertical="center" wrapText="1"/>
    </xf>
    <xf numFmtId="0" fontId="8" fillId="0" borderId="49" xfId="0" applyFont="1" applyFill="1" applyBorder="1" applyAlignment="1">
      <alignment horizontal="center" vertical="center" wrapText="1"/>
    </xf>
    <xf numFmtId="3" fontId="17" fillId="0" borderId="49" xfId="0" applyNumberFormat="1" applyFont="1" applyFill="1" applyBorder="1" applyAlignment="1">
      <alignment horizontal="left" vertical="center" wrapText="1"/>
    </xf>
    <xf numFmtId="3" fontId="10" fillId="0" borderId="33" xfId="0" applyNumberFormat="1" applyFont="1" applyFill="1" applyBorder="1" applyAlignment="1">
      <alignment horizontal="left" vertical="center" wrapText="1"/>
    </xf>
    <xf numFmtId="3" fontId="10" fillId="0" borderId="5" xfId="0" applyNumberFormat="1" applyFont="1" applyFill="1" applyBorder="1" applyAlignment="1">
      <alignment horizontal="left" vertical="center" wrapText="1"/>
    </xf>
    <xf numFmtId="3" fontId="10" fillId="0" borderId="6" xfId="0" applyNumberFormat="1" applyFont="1" applyFill="1" applyBorder="1" applyAlignment="1">
      <alignment horizontal="left" vertical="center" wrapText="1"/>
    </xf>
    <xf numFmtId="3" fontId="2" fillId="0" borderId="33" xfId="0" applyNumberFormat="1" applyFont="1" applyFill="1" applyBorder="1" applyAlignment="1">
      <alignment horizontal="left" vertical="center" wrapText="1"/>
    </xf>
    <xf numFmtId="0" fontId="8" fillId="0" borderId="35" xfId="0" applyFont="1" applyFill="1" applyBorder="1" applyAlignment="1">
      <alignment vertical="center"/>
    </xf>
    <xf numFmtId="0" fontId="6" fillId="0" borderId="25" xfId="0" applyFont="1" applyFill="1" applyBorder="1" applyAlignment="1">
      <alignment horizontal="center" vertical="center"/>
    </xf>
    <xf numFmtId="0" fontId="2" fillId="0" borderId="25" xfId="0" applyFont="1" applyFill="1" applyBorder="1" applyAlignment="1">
      <alignment vertical="center"/>
    </xf>
    <xf numFmtId="3" fontId="2" fillId="0" borderId="21" xfId="0" applyNumberFormat="1" applyFont="1" applyFill="1" applyBorder="1" applyAlignment="1">
      <alignment horizontal="left" vertical="center" wrapText="1"/>
    </xf>
    <xf numFmtId="3" fontId="2" fillId="0" borderId="22" xfId="0" applyNumberFormat="1" applyFont="1" applyFill="1" applyBorder="1" applyAlignment="1">
      <alignment horizontal="left" vertical="center" wrapText="1"/>
    </xf>
    <xf numFmtId="3" fontId="2" fillId="0" borderId="23" xfId="0" applyNumberFormat="1" applyFont="1" applyFill="1" applyBorder="1" applyAlignment="1">
      <alignment horizontal="left" vertical="center" wrapText="1"/>
    </xf>
    <xf numFmtId="3" fontId="2" fillId="0" borderId="25" xfId="0" applyNumberFormat="1" applyFont="1" applyFill="1" applyBorder="1" applyAlignment="1">
      <alignment horizontal="left" vertical="center" wrapText="1"/>
    </xf>
    <xf numFmtId="3" fontId="2" fillId="0" borderId="31" xfId="0" applyNumberFormat="1" applyFont="1" applyFill="1" applyBorder="1" applyAlignment="1">
      <alignment horizontal="left" vertical="center" wrapText="1"/>
    </xf>
    <xf numFmtId="3" fontId="2" fillId="0" borderId="20" xfId="0" applyNumberFormat="1" applyFont="1" applyFill="1" applyBorder="1" applyAlignment="1">
      <alignment horizontal="left" vertical="center" wrapText="1"/>
    </xf>
    <xf numFmtId="3" fontId="2" fillId="0" borderId="36" xfId="0" applyNumberFormat="1" applyFont="1" applyFill="1" applyBorder="1" applyAlignment="1">
      <alignment horizontal="left" vertical="center" wrapText="1"/>
    </xf>
    <xf numFmtId="3" fontId="2" fillId="0" borderId="37" xfId="0" applyNumberFormat="1" applyFont="1" applyFill="1" applyBorder="1" applyAlignment="1">
      <alignment horizontal="left" vertical="center" wrapText="1"/>
    </xf>
    <xf numFmtId="3" fontId="2" fillId="0" borderId="34" xfId="0" applyNumberFormat="1" applyFont="1" applyFill="1" applyBorder="1" applyAlignment="1">
      <alignment horizontal="left" vertical="center" wrapText="1"/>
    </xf>
    <xf numFmtId="0" fontId="6" fillId="0" borderId="15" xfId="0" applyFont="1" applyFill="1" applyBorder="1" applyAlignment="1">
      <alignment horizontal="center" vertical="center"/>
    </xf>
    <xf numFmtId="0" fontId="2" fillId="0" borderId="15" xfId="0" applyFont="1" applyFill="1" applyBorder="1" applyAlignment="1">
      <alignment vertical="center"/>
    </xf>
    <xf numFmtId="3" fontId="5" fillId="0" borderId="49" xfId="0" applyNumberFormat="1" applyFont="1" applyFill="1" applyBorder="1" applyAlignment="1">
      <alignment horizontal="left" vertical="center" wrapText="1"/>
    </xf>
    <xf numFmtId="3" fontId="2" fillId="0" borderId="52" xfId="0" applyNumberFormat="1" applyFont="1" applyFill="1" applyBorder="1" applyAlignment="1">
      <alignment horizontal="left" vertical="center" wrapText="1"/>
    </xf>
    <xf numFmtId="3" fontId="13" fillId="0" borderId="49" xfId="0" applyNumberFormat="1" applyFont="1" applyFill="1" applyBorder="1" applyAlignment="1">
      <alignment horizontal="left" vertical="center" wrapText="1"/>
    </xf>
    <xf numFmtId="0" fontId="25" fillId="0" borderId="57" xfId="0" applyFont="1" applyFill="1" applyBorder="1" applyAlignment="1">
      <alignment horizontal="left" vertical="center"/>
    </xf>
    <xf numFmtId="0" fontId="25" fillId="0" borderId="59" xfId="0" applyFont="1" applyFill="1" applyBorder="1" applyAlignment="1">
      <alignment horizontal="left" vertical="center"/>
    </xf>
    <xf numFmtId="0" fontId="25" fillId="0" borderId="60" xfId="0" applyFont="1" applyFill="1" applyBorder="1" applyAlignment="1">
      <alignment horizontal="left" vertical="center"/>
    </xf>
    <xf numFmtId="3" fontId="11" fillId="0" borderId="49" xfId="0" applyNumberFormat="1" applyFont="1" applyFill="1" applyBorder="1" applyAlignment="1">
      <alignment horizontal="left" vertical="center" wrapText="1"/>
    </xf>
    <xf numFmtId="167" fontId="5" fillId="0" borderId="50" xfId="0" applyNumberFormat="1" applyFont="1" applyBorder="1" applyAlignment="1">
      <alignment horizontal="center" vertical="center" wrapText="1"/>
    </xf>
    <xf numFmtId="0" fontId="60" fillId="0" borderId="30" xfId="0" applyFont="1" applyBorder="1"/>
    <xf numFmtId="3" fontId="6" fillId="0" borderId="43" xfId="0" applyNumberFormat="1" applyFont="1" applyBorder="1" applyAlignment="1">
      <alignment horizontal="right"/>
    </xf>
    <xf numFmtId="0" fontId="8" fillId="0" borderId="43" xfId="0" applyFont="1" applyBorder="1"/>
    <xf numFmtId="167" fontId="6" fillId="0" borderId="0" xfId="0" applyNumberFormat="1" applyFont="1" applyAlignment="1">
      <alignment horizontal="left" vertical="center" wrapText="1"/>
    </xf>
    <xf numFmtId="0" fontId="0" fillId="0" borderId="0" xfId="0"/>
    <xf numFmtId="3" fontId="6" fillId="0" borderId="0" xfId="0" applyNumberFormat="1" applyFont="1" applyAlignment="1">
      <alignment horizontal="right" vertical="center"/>
    </xf>
    <xf numFmtId="167" fontId="2" fillId="0" borderId="0" xfId="0" applyNumberFormat="1" applyFont="1" applyAlignment="1">
      <alignment horizontal="right" vertical="center" wrapText="1"/>
    </xf>
    <xf numFmtId="167" fontId="6" fillId="0" borderId="0" xfId="0" applyNumberFormat="1" applyFont="1" applyAlignment="1">
      <alignment horizontal="center" vertical="center" wrapText="1"/>
    </xf>
    <xf numFmtId="167" fontId="14" fillId="0" borderId="41" xfId="0" applyNumberFormat="1" applyFont="1" applyBorder="1" applyAlignment="1">
      <alignment horizontal="center" vertical="center"/>
    </xf>
    <xf numFmtId="0" fontId="8" fillId="0" borderId="41" xfId="0" applyFont="1" applyBorder="1"/>
    <xf numFmtId="1" fontId="11" fillId="0" borderId="3" xfId="0" applyNumberFormat="1" applyFont="1" applyBorder="1" applyAlignment="1">
      <alignment horizontal="center" vertical="center" wrapText="1"/>
    </xf>
    <xf numFmtId="0" fontId="8" fillId="0" borderId="8" xfId="0" applyFont="1" applyBorder="1"/>
    <xf numFmtId="167" fontId="11" fillId="0" borderId="3" xfId="0" applyNumberFormat="1" applyFont="1" applyBorder="1" applyAlignment="1">
      <alignment horizontal="center" vertical="center" wrapText="1"/>
    </xf>
    <xf numFmtId="0" fontId="46" fillId="0" borderId="13" xfId="0" applyFont="1" applyBorder="1" applyAlignment="1">
      <alignment horizontal="center" vertical="center" wrapText="1"/>
    </xf>
    <xf numFmtId="0" fontId="46" fillId="0" borderId="18" xfId="0" applyFont="1" applyBorder="1" applyAlignment="1">
      <alignment horizontal="center" vertical="center" wrapText="1"/>
    </xf>
    <xf numFmtId="3" fontId="6" fillId="0" borderId="3" xfId="0" applyNumberFormat="1" applyFont="1" applyBorder="1" applyAlignment="1">
      <alignment horizontal="center" vertical="center" wrapText="1"/>
    </xf>
    <xf numFmtId="167" fontId="11" fillId="0" borderId="42" xfId="0" applyNumberFormat="1" applyFont="1" applyBorder="1" applyAlignment="1">
      <alignment horizontal="center" vertical="center" wrapText="1"/>
    </xf>
    <xf numFmtId="0" fontId="46" fillId="0" borderId="13" xfId="0" applyFont="1" applyBorder="1" applyAlignment="1">
      <alignment vertical="center" wrapText="1"/>
    </xf>
    <xf numFmtId="0" fontId="46" fillId="0" borderId="18" xfId="0" applyFont="1" applyBorder="1" applyAlignment="1">
      <alignment vertical="center" wrapText="1"/>
    </xf>
    <xf numFmtId="3" fontId="6" fillId="0" borderId="13" xfId="0" applyNumberFormat="1" applyFont="1" applyBorder="1" applyAlignment="1">
      <alignment horizontal="center" vertical="center" wrapText="1"/>
    </xf>
    <xf numFmtId="3" fontId="6" fillId="0" borderId="18" xfId="0" applyNumberFormat="1" applyFont="1" applyBorder="1" applyAlignment="1">
      <alignment horizontal="center" vertical="center" wrapText="1"/>
    </xf>
    <xf numFmtId="3" fontId="6" fillId="0" borderId="0" xfId="0" applyNumberFormat="1" applyFont="1" applyAlignment="1">
      <alignment horizontal="right"/>
    </xf>
    <xf numFmtId="3" fontId="2" fillId="0" borderId="0" xfId="0" applyNumberFormat="1" applyFont="1" applyAlignment="1">
      <alignment horizontal="right"/>
    </xf>
    <xf numFmtId="167" fontId="6" fillId="0" borderId="0" xfId="0" applyNumberFormat="1" applyFont="1" applyAlignment="1">
      <alignment horizontal="right" vertical="center"/>
    </xf>
    <xf numFmtId="167" fontId="2" fillId="0" borderId="0" xfId="0" applyNumberFormat="1" applyFont="1" applyAlignment="1">
      <alignment horizontal="right" vertical="center"/>
    </xf>
    <xf numFmtId="167" fontId="6" fillId="0" borderId="0" xfId="0" applyNumberFormat="1" applyFont="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G1588"/>
  <sheetViews>
    <sheetView tabSelected="1" topLeftCell="C1" zoomScale="70" zoomScaleNormal="70" workbookViewId="0">
      <pane ySplit="7" topLeftCell="A1411" activePane="bottomLeft" state="frozen"/>
      <selection pane="bottomLeft" activeCell="L7" sqref="L7"/>
    </sheetView>
  </sheetViews>
  <sheetFormatPr defaultColWidth="11.25" defaultRowHeight="15" customHeight="1"/>
  <cols>
    <col min="1" max="1" width="5.83203125" customWidth="1"/>
    <col min="2" max="2" width="7.58203125" customWidth="1"/>
    <col min="3" max="3" width="28" customWidth="1"/>
    <col min="4" max="4" width="6.25" customWidth="1"/>
    <col min="5" max="5" width="6.75" style="103" customWidth="1"/>
    <col min="6" max="6" width="5.58203125" customWidth="1"/>
    <col min="7" max="7" width="7.5" style="149" customWidth="1"/>
    <col min="8" max="8" width="10.75" customWidth="1"/>
    <col min="9" max="9" width="12.33203125" style="103" customWidth="1"/>
    <col min="10" max="10" width="11.75" style="1006" customWidth="1"/>
    <col min="11" max="11" width="7" customWidth="1"/>
    <col min="12" max="12" width="16.08203125" customWidth="1"/>
    <col min="13" max="13" width="8.25" customWidth="1"/>
    <col min="14" max="14" width="12.33203125" customWidth="1"/>
    <col min="15" max="15" width="10.58203125" customWidth="1"/>
    <col min="16" max="16" width="13.4140625" style="1126" customWidth="1"/>
    <col min="17" max="17" width="27.83203125" customWidth="1"/>
    <col min="18" max="18" width="21" customWidth="1"/>
    <col min="19" max="19" width="7.08203125" style="2" hidden="1" customWidth="1"/>
    <col min="20" max="20" width="15.25" style="2" hidden="1" customWidth="1"/>
    <col min="21" max="21" width="11.5" style="2" hidden="1" customWidth="1"/>
    <col min="22" max="22" width="11.33203125" style="2" hidden="1" customWidth="1"/>
    <col min="23" max="23" width="15.25" style="2" hidden="1" customWidth="1"/>
    <col min="24" max="24" width="11.08203125" style="2" hidden="1" customWidth="1"/>
    <col min="25" max="25" width="9.58203125" style="2" hidden="1" customWidth="1"/>
    <col min="26" max="26" width="9.58203125" style="4" hidden="1" customWidth="1"/>
    <col min="27" max="27" width="10" style="2" hidden="1" customWidth="1"/>
    <col min="28" max="28" width="11.75" style="2" hidden="1" customWidth="1"/>
    <col min="29" max="29" width="11.08203125" hidden="1" customWidth="1"/>
    <col min="30" max="30" width="17.08203125" hidden="1" customWidth="1"/>
    <col min="31" max="31" width="17.25" hidden="1" customWidth="1"/>
    <col min="32" max="33" width="17.08203125" hidden="1" customWidth="1"/>
    <col min="34" max="34" width="19.08203125" hidden="1" customWidth="1"/>
    <col min="35" max="35" width="16.08203125" hidden="1" customWidth="1"/>
    <col min="36" max="36" width="15.83203125" style="219" hidden="1" customWidth="1"/>
    <col min="37" max="37" width="20.75" hidden="1" customWidth="1"/>
    <col min="38" max="38" width="15.58203125" customWidth="1"/>
    <col min="39" max="39" width="18.75" customWidth="1"/>
    <col min="40" max="40" width="16.25" customWidth="1"/>
    <col min="41" max="41" width="14.58203125" customWidth="1"/>
    <col min="42" max="42" width="15.58203125" customWidth="1"/>
    <col min="43" max="43" width="13.08203125" customWidth="1"/>
    <col min="44" max="44" width="15.75" customWidth="1"/>
    <col min="45" max="45" width="18.25" customWidth="1"/>
    <col min="46" max="46" width="9" customWidth="1"/>
    <col min="47" max="47" width="17.75" customWidth="1"/>
    <col min="48" max="67" width="11" customWidth="1"/>
    <col min="68" max="551" width="11.25" customWidth="1"/>
    <col min="552" max="553" width="16.75" customWidth="1"/>
  </cols>
  <sheetData>
    <row r="1" spans="1:553" ht="15" hidden="1" customHeight="1">
      <c r="A1" s="1"/>
      <c r="B1" s="2"/>
      <c r="C1" s="3"/>
      <c r="D1" s="4"/>
      <c r="E1" s="102"/>
      <c r="F1" s="4"/>
      <c r="G1" s="148"/>
      <c r="H1" s="4"/>
      <c r="I1" s="102"/>
      <c r="J1" s="982"/>
      <c r="K1" s="2"/>
      <c r="L1" s="5"/>
      <c r="M1" s="4"/>
      <c r="N1" s="4"/>
      <c r="O1" s="6"/>
      <c r="P1" s="6"/>
      <c r="Q1" s="7"/>
      <c r="R1" s="8"/>
      <c r="S1" s="271"/>
      <c r="T1" s="271"/>
      <c r="U1" s="272"/>
      <c r="V1" s="273"/>
      <c r="W1" s="272">
        <f>SUM(W7:AB7)</f>
        <v>52865.200000000012</v>
      </c>
      <c r="X1" s="272"/>
      <c r="Y1" s="272"/>
      <c r="Z1" s="272"/>
      <c r="AA1" s="272"/>
      <c r="AB1" s="272"/>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row>
    <row r="2" spans="1:553" ht="15" hidden="1" customHeight="1">
      <c r="A2" s="1"/>
      <c r="B2" s="2"/>
      <c r="C2" s="3"/>
      <c r="D2" s="4"/>
      <c r="E2" s="102"/>
      <c r="F2" s="4"/>
      <c r="G2" s="148"/>
      <c r="H2" s="4"/>
      <c r="I2" s="102"/>
      <c r="J2" s="982"/>
      <c r="K2" s="2"/>
      <c r="L2" s="5"/>
      <c r="M2" s="4"/>
      <c r="N2" s="4"/>
      <c r="O2" s="6"/>
      <c r="P2" s="6"/>
      <c r="Q2" s="7"/>
      <c r="R2" s="8"/>
      <c r="S2" s="274"/>
      <c r="T2" s="274"/>
      <c r="U2" s="275"/>
      <c r="V2" s="276"/>
      <c r="W2" s="275"/>
      <c r="X2" s="275"/>
      <c r="Y2" s="275"/>
      <c r="Z2" s="275"/>
      <c r="AA2" s="275"/>
      <c r="AB2" s="275"/>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row>
    <row r="3" spans="1:553" s="1335" customFormat="1" ht="35.25" customHeight="1">
      <c r="A3" s="1363" t="s">
        <v>1418</v>
      </c>
      <c r="B3" s="1363"/>
      <c r="C3" s="1363"/>
      <c r="D3" s="1363"/>
      <c r="E3" s="1363"/>
      <c r="F3" s="1363"/>
      <c r="G3" s="1363"/>
      <c r="H3" s="1363"/>
      <c r="I3" s="1363"/>
      <c r="J3" s="1363"/>
      <c r="K3" s="1363"/>
      <c r="L3" s="1363"/>
      <c r="M3" s="1363"/>
      <c r="N3" s="1363"/>
      <c r="O3" s="1363"/>
      <c r="P3" s="1363"/>
      <c r="Q3" s="1363"/>
      <c r="R3" s="1364"/>
      <c r="S3" s="274"/>
      <c r="T3" s="274"/>
      <c r="U3" s="275"/>
      <c r="V3" s="276"/>
      <c r="W3" s="275"/>
      <c r="X3" s="275"/>
      <c r="Y3" s="275"/>
      <c r="Z3" s="275"/>
      <c r="AA3" s="275"/>
      <c r="AB3" s="1338"/>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row>
    <row r="4" spans="1:553" s="1335" customFormat="1" ht="21" customHeight="1">
      <c r="A4" s="1365" t="s">
        <v>1419</v>
      </c>
      <c r="B4" s="1365"/>
      <c r="C4" s="1365"/>
      <c r="D4" s="1365"/>
      <c r="E4" s="1365"/>
      <c r="F4" s="1365"/>
      <c r="G4" s="1365"/>
      <c r="H4" s="1365"/>
      <c r="I4" s="1365"/>
      <c r="J4" s="1365"/>
      <c r="K4" s="1365"/>
      <c r="L4" s="1365"/>
      <c r="M4" s="1365"/>
      <c r="N4" s="1365"/>
      <c r="O4" s="1365"/>
      <c r="P4" s="1365"/>
      <c r="Q4" s="1365"/>
      <c r="R4" s="1366"/>
      <c r="S4" s="274"/>
      <c r="T4" s="274"/>
      <c r="U4" s="275"/>
      <c r="V4" s="276"/>
      <c r="W4" s="275"/>
      <c r="X4" s="275"/>
      <c r="Y4" s="275"/>
      <c r="Z4" s="275"/>
      <c r="AA4" s="275"/>
      <c r="AB4" s="1338"/>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row>
    <row r="5" spans="1:553" ht="45.75" customHeight="1">
      <c r="A5" s="1488" t="s">
        <v>0</v>
      </c>
      <c r="B5" s="1484" t="s">
        <v>1</v>
      </c>
      <c r="C5" s="1489" t="s">
        <v>2</v>
      </c>
      <c r="D5" s="1484" t="s">
        <v>3</v>
      </c>
      <c r="E5" s="1484" t="s">
        <v>4</v>
      </c>
      <c r="F5" s="1484" t="s">
        <v>944</v>
      </c>
      <c r="G5" s="1484" t="s">
        <v>5</v>
      </c>
      <c r="H5" s="1480" t="s">
        <v>945</v>
      </c>
      <c r="I5" s="1480" t="s">
        <v>6</v>
      </c>
      <c r="J5" s="1481" t="s">
        <v>7</v>
      </c>
      <c r="K5" s="1483" t="s">
        <v>8</v>
      </c>
      <c r="L5" s="1484" t="s">
        <v>9</v>
      </c>
      <c r="M5" s="1485" t="s">
        <v>1392</v>
      </c>
      <c r="N5" s="1389"/>
      <c r="O5" s="1390"/>
      <c r="P5" s="1483" t="s">
        <v>10</v>
      </c>
      <c r="Q5" s="907" t="s">
        <v>946</v>
      </c>
      <c r="R5" s="1050" t="s">
        <v>1247</v>
      </c>
      <c r="S5" s="277" t="s">
        <v>848</v>
      </c>
      <c r="T5" s="277" t="s">
        <v>4</v>
      </c>
      <c r="U5" s="278" t="s">
        <v>849</v>
      </c>
      <c r="V5" s="279" t="s">
        <v>850</v>
      </c>
      <c r="W5" s="1628" t="s">
        <v>855</v>
      </c>
      <c r="X5" s="1628" t="s">
        <v>856</v>
      </c>
      <c r="Y5" s="1628" t="s">
        <v>857</v>
      </c>
      <c r="Z5" s="1628" t="s">
        <v>858</v>
      </c>
      <c r="AA5" s="1628" t="s">
        <v>859</v>
      </c>
      <c r="AB5" s="1617" t="s">
        <v>861</v>
      </c>
      <c r="AC5" s="1486" t="s">
        <v>860</v>
      </c>
      <c r="AD5" s="1486" t="s">
        <v>852</v>
      </c>
      <c r="AE5" s="1486" t="s">
        <v>853</v>
      </c>
      <c r="AF5" s="1486" t="s">
        <v>854</v>
      </c>
      <c r="AG5" s="1486" t="s">
        <v>732</v>
      </c>
      <c r="AH5" s="1486" t="s">
        <v>59</v>
      </c>
      <c r="AI5" s="1486" t="s">
        <v>62</v>
      </c>
      <c r="AJ5" s="1486" t="s">
        <v>871</v>
      </c>
      <c r="AK5" s="1486" t="s">
        <v>9</v>
      </c>
      <c r="AL5" s="1477"/>
      <c r="AM5" s="10"/>
      <c r="AN5" s="10"/>
      <c r="AO5" s="11"/>
      <c r="AP5" s="11"/>
      <c r="AQ5" s="11"/>
      <c r="AR5" s="12"/>
      <c r="AS5" s="13"/>
      <c r="AT5" s="13"/>
      <c r="AU5" s="13"/>
      <c r="AV5" s="13"/>
      <c r="AW5" s="13"/>
      <c r="AX5" s="13"/>
      <c r="AY5" s="13"/>
      <c r="AZ5" s="13"/>
      <c r="BA5" s="13"/>
      <c r="BB5" s="13"/>
      <c r="BC5" s="13"/>
      <c r="BD5" s="13"/>
      <c r="BE5" s="13"/>
      <c r="BF5" s="13"/>
      <c r="BG5" s="13"/>
      <c r="BH5" s="13"/>
      <c r="BI5" s="13"/>
      <c r="BJ5" s="13"/>
      <c r="BK5" s="13"/>
      <c r="BL5" s="13"/>
      <c r="BM5" s="13"/>
      <c r="BN5" s="13"/>
      <c r="BO5" s="13"/>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row>
    <row r="6" spans="1:553" ht="42.65" customHeight="1">
      <c r="A6" s="1433"/>
      <c r="B6" s="1433"/>
      <c r="C6" s="1433"/>
      <c r="D6" s="1433"/>
      <c r="E6" s="1434"/>
      <c r="F6" s="1433"/>
      <c r="G6" s="1434"/>
      <c r="H6" s="1433"/>
      <c r="I6" s="1434"/>
      <c r="J6" s="1482"/>
      <c r="K6" s="1433"/>
      <c r="L6" s="1433"/>
      <c r="M6" s="537" t="s">
        <v>11</v>
      </c>
      <c r="N6" s="537" t="s">
        <v>7</v>
      </c>
      <c r="O6" s="537" t="s">
        <v>12</v>
      </c>
      <c r="P6" s="1433"/>
      <c r="Q6" s="1041"/>
      <c r="R6" s="1051"/>
      <c r="S6" s="1043"/>
      <c r="T6" s="280"/>
      <c r="U6" s="281"/>
      <c r="V6" s="282"/>
      <c r="W6" s="1629"/>
      <c r="X6" s="1629"/>
      <c r="Y6" s="1629"/>
      <c r="Z6" s="1629"/>
      <c r="AA6" s="1629"/>
      <c r="AB6" s="1618"/>
      <c r="AC6" s="1487"/>
      <c r="AD6" s="1487"/>
      <c r="AE6" s="1487"/>
      <c r="AF6" s="1487"/>
      <c r="AG6" s="1487"/>
      <c r="AH6" s="1487"/>
      <c r="AI6" s="1487"/>
      <c r="AJ6" s="1487"/>
      <c r="AK6" s="1487"/>
      <c r="AL6" s="1478"/>
      <c r="AM6" s="10"/>
      <c r="AN6" s="10"/>
      <c r="AO6" s="11"/>
      <c r="AP6" s="11"/>
      <c r="AQ6" s="11"/>
      <c r="AR6" s="12"/>
      <c r="AS6" s="13"/>
      <c r="AT6" s="13"/>
      <c r="AU6" s="13"/>
      <c r="AV6" s="13"/>
      <c r="AW6" s="13"/>
      <c r="AX6" s="13"/>
      <c r="AY6" s="13"/>
      <c r="AZ6" s="13"/>
      <c r="BA6" s="13"/>
      <c r="BB6" s="13"/>
      <c r="BC6" s="13"/>
      <c r="BD6" s="13"/>
      <c r="BE6" s="13"/>
      <c r="BF6" s="13"/>
      <c r="BG6" s="13"/>
      <c r="BH6" s="13"/>
      <c r="BI6" s="13"/>
      <c r="BJ6" s="13"/>
      <c r="BK6" s="13"/>
      <c r="BL6" s="13"/>
      <c r="BM6" s="13"/>
      <c r="BN6" s="13"/>
      <c r="BO6" s="13"/>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row>
    <row r="7" spans="1:553" ht="51" customHeight="1">
      <c r="A7" s="1082"/>
      <c r="B7" s="1490" t="s">
        <v>13</v>
      </c>
      <c r="C7" s="1389"/>
      <c r="D7" s="1389"/>
      <c r="E7" s="1389"/>
      <c r="F7" s="1390"/>
      <c r="G7" s="445"/>
      <c r="H7" s="359"/>
      <c r="I7" s="359"/>
      <c r="J7" s="357"/>
      <c r="K7" s="357"/>
      <c r="L7" s="445">
        <f>SUM(L8:L1588)/3</f>
        <v>19342062998.676502</v>
      </c>
      <c r="M7" s="445"/>
      <c r="N7" s="445"/>
      <c r="O7" s="445"/>
      <c r="P7" s="445"/>
      <c r="Q7" s="610"/>
      <c r="R7" s="302"/>
      <c r="S7" s="1044"/>
      <c r="T7" s="335"/>
      <c r="U7" s="336">
        <f>SUM(U9:U1588)</f>
        <v>65277.999999999993</v>
      </c>
      <c r="V7" s="336">
        <f>SUM(V9:V1588)</f>
        <v>57361.499999999993</v>
      </c>
      <c r="W7" s="336">
        <f t="shared" ref="W7:AC7" si="0">SUM(W9:W1588)/2</f>
        <v>19082.200000000004</v>
      </c>
      <c r="X7" s="336">
        <f t="shared" si="0"/>
        <v>10678.7</v>
      </c>
      <c r="Y7" s="336">
        <f t="shared" si="0"/>
        <v>5461.6</v>
      </c>
      <c r="Z7" s="336">
        <f t="shared" si="0"/>
        <v>2359</v>
      </c>
      <c r="AA7" s="336">
        <f t="shared" si="0"/>
        <v>5737.2000000000007</v>
      </c>
      <c r="AB7" s="336">
        <f t="shared" si="0"/>
        <v>9546.5</v>
      </c>
      <c r="AC7" s="336">
        <f t="shared" si="0"/>
        <v>4240.7</v>
      </c>
      <c r="AD7" s="1337">
        <f>SUM(AD9:AD1588)</f>
        <v>4692173300</v>
      </c>
      <c r="AE7" s="1337">
        <f t="shared" ref="AE7:AK7" si="1">SUM(AE9:AE1588)</f>
        <v>5825928210.3695002</v>
      </c>
      <c r="AF7" s="1337">
        <f t="shared" si="1"/>
        <v>1071625688.3069999</v>
      </c>
      <c r="AG7" s="1337">
        <f t="shared" si="1"/>
        <v>74500000</v>
      </c>
      <c r="AH7" s="1337">
        <f t="shared" si="1"/>
        <v>7520337600</v>
      </c>
      <c r="AI7" s="1337">
        <f t="shared" si="1"/>
        <v>0</v>
      </c>
      <c r="AJ7" s="1337">
        <f t="shared" si="1"/>
        <v>157498200</v>
      </c>
      <c r="AK7" s="1337">
        <f t="shared" si="1"/>
        <v>19342062998.676502</v>
      </c>
      <c r="AL7" s="1479"/>
      <c r="AM7" s="10"/>
      <c r="AN7" s="10"/>
      <c r="AO7" s="10"/>
      <c r="AP7" s="10"/>
      <c r="AQ7" s="10"/>
      <c r="AR7" s="14"/>
      <c r="AS7" s="15"/>
      <c r="AT7" s="15"/>
      <c r="AU7" s="15"/>
      <c r="AV7" s="15"/>
      <c r="AW7" s="15"/>
      <c r="AX7" s="15"/>
      <c r="AY7" s="15"/>
      <c r="AZ7" s="15"/>
      <c r="BA7" s="15"/>
      <c r="BB7" s="15"/>
      <c r="BC7" s="15"/>
      <c r="BD7" s="15"/>
      <c r="BE7" s="15"/>
      <c r="BF7" s="15"/>
      <c r="BG7" s="15"/>
      <c r="BH7" s="15"/>
      <c r="BI7" s="15"/>
      <c r="BJ7" s="15"/>
      <c r="BK7" s="15"/>
      <c r="BL7" s="15"/>
      <c r="BM7" s="15"/>
      <c r="BN7" s="15"/>
      <c r="BO7" s="15"/>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row>
    <row r="8" spans="1:553" ht="56.25" customHeight="1">
      <c r="A8" s="356" t="s">
        <v>14</v>
      </c>
      <c r="B8" s="356"/>
      <c r="C8" s="1054" t="s">
        <v>870</v>
      </c>
      <c r="D8" s="357"/>
      <c r="E8" s="445"/>
      <c r="F8" s="358"/>
      <c r="G8" s="356"/>
      <c r="H8" s="359"/>
      <c r="I8" s="359"/>
      <c r="J8" s="357"/>
      <c r="K8" s="358"/>
      <c r="L8" s="356"/>
      <c r="M8" s="356"/>
      <c r="N8" s="356"/>
      <c r="O8" s="356"/>
      <c r="P8" s="356"/>
      <c r="Q8" s="610"/>
      <c r="R8" s="1083"/>
      <c r="S8" s="1045"/>
      <c r="T8" s="303"/>
      <c r="U8" s="306"/>
      <c r="V8" s="307"/>
      <c r="W8" s="306"/>
      <c r="X8" s="306"/>
      <c r="Y8" s="306"/>
      <c r="Z8" s="306"/>
      <c r="AA8" s="306"/>
      <c r="AB8" s="306"/>
      <c r="AC8" s="361"/>
      <c r="AD8" s="361"/>
      <c r="AE8" s="361"/>
      <c r="AF8" s="361"/>
      <c r="AG8" s="361"/>
      <c r="AH8" s="361"/>
      <c r="AI8" s="361"/>
      <c r="AJ8" s="361"/>
      <c r="AK8" s="362"/>
      <c r="AL8" s="342"/>
      <c r="AM8" s="16"/>
      <c r="AN8" s="16"/>
      <c r="AO8" s="16"/>
      <c r="AP8" s="16"/>
      <c r="AQ8" s="16"/>
      <c r="AR8" s="16"/>
      <c r="AS8" s="17"/>
      <c r="AT8" s="17"/>
      <c r="AU8" s="17"/>
      <c r="AV8" s="17"/>
      <c r="AW8" s="17"/>
      <c r="AX8" s="17"/>
      <c r="AY8" s="17"/>
      <c r="AZ8" s="17"/>
      <c r="BA8" s="17"/>
      <c r="BB8" s="17"/>
      <c r="BC8" s="17"/>
      <c r="BD8" s="17"/>
      <c r="BE8" s="17"/>
      <c r="BF8" s="17"/>
      <c r="BG8" s="17"/>
      <c r="BH8" s="17"/>
      <c r="BI8" s="17"/>
      <c r="BJ8" s="17"/>
      <c r="BK8" s="17"/>
      <c r="BL8" s="17"/>
      <c r="BM8" s="17"/>
      <c r="BN8" s="17"/>
      <c r="BO8" s="17"/>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9"/>
    </row>
    <row r="9" spans="1:553" s="292" customFormat="1" ht="38.25" customHeight="1">
      <c r="A9" s="431">
        <v>1</v>
      </c>
      <c r="B9" s="431"/>
      <c r="C9" s="458" t="s">
        <v>81</v>
      </c>
      <c r="D9" s="1244"/>
      <c r="E9" s="1244"/>
      <c r="F9" s="1245"/>
      <c r="G9" s="431"/>
      <c r="H9" s="983"/>
      <c r="I9" s="432"/>
      <c r="J9" s="983"/>
      <c r="K9" s="433"/>
      <c r="L9" s="431">
        <f>SUM(L11:L61)/2</f>
        <v>472968051.60000002</v>
      </c>
      <c r="M9" s="431"/>
      <c r="N9" s="431"/>
      <c r="O9" s="431"/>
      <c r="P9" s="1125">
        <f>L9-P14</f>
        <v>472968051.60000002</v>
      </c>
      <c r="Q9" s="1042"/>
      <c r="R9" s="1052"/>
      <c r="S9" s="1046" t="str">
        <f>D14</f>
        <v>2</v>
      </c>
      <c r="T9" s="436" t="s">
        <v>1314</v>
      </c>
      <c r="U9" s="304">
        <f>H13</f>
        <v>557.79999999999995</v>
      </c>
      <c r="V9" s="393">
        <f>I13</f>
        <v>557.79999999999995</v>
      </c>
      <c r="W9" s="304">
        <f>SUM(W10:W16)</f>
        <v>344.79999999999995</v>
      </c>
      <c r="X9" s="304">
        <f t="shared" ref="X9:AB9" si="2">SUM(X10:X16)</f>
        <v>0</v>
      </c>
      <c r="Y9" s="304">
        <f t="shared" si="2"/>
        <v>0</v>
      </c>
      <c r="Z9" s="304">
        <f t="shared" si="2"/>
        <v>0</v>
      </c>
      <c r="AA9" s="304">
        <f t="shared" si="2"/>
        <v>0</v>
      </c>
      <c r="AB9" s="304">
        <f t="shared" si="2"/>
        <v>0</v>
      </c>
      <c r="AC9" s="304">
        <f>SUM(AC10:AC16)</f>
        <v>213</v>
      </c>
      <c r="AD9" s="365">
        <f>L13</f>
        <v>104447600</v>
      </c>
      <c r="AE9" s="365">
        <f>L17</f>
        <v>289043651.60000002</v>
      </c>
      <c r="AF9" s="365">
        <f>L52</f>
        <v>0</v>
      </c>
      <c r="AG9" s="365">
        <f>L53</f>
        <v>5000000</v>
      </c>
      <c r="AH9" s="365">
        <f>L55</f>
        <v>74476800</v>
      </c>
      <c r="AI9" s="365">
        <f>L58</f>
        <v>0</v>
      </c>
      <c r="AJ9" s="365"/>
      <c r="AK9" s="365">
        <f>SUM(AD9:AJ9)</f>
        <v>472968051.60000002</v>
      </c>
      <c r="AL9" s="297"/>
      <c r="AM9" s="232"/>
      <c r="AN9" s="232"/>
      <c r="AO9" s="233"/>
      <c r="AP9" s="233"/>
      <c r="AQ9" s="233"/>
      <c r="AR9" s="233"/>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37"/>
      <c r="CE9" s="337"/>
      <c r="CF9" s="337"/>
      <c r="CG9" s="337"/>
      <c r="CH9" s="337"/>
      <c r="CI9" s="337"/>
      <c r="CJ9" s="337"/>
      <c r="CK9" s="337"/>
      <c r="CL9" s="337"/>
      <c r="CM9" s="337"/>
      <c r="CN9" s="337"/>
      <c r="CO9" s="337"/>
      <c r="CP9" s="337"/>
      <c r="CQ9" s="337"/>
      <c r="CR9" s="337"/>
      <c r="CS9" s="337"/>
      <c r="CT9" s="337"/>
      <c r="CU9" s="337"/>
      <c r="CV9" s="337"/>
      <c r="CW9" s="337"/>
      <c r="CX9" s="337"/>
      <c r="CY9" s="337"/>
      <c r="CZ9" s="337"/>
      <c r="DA9" s="337"/>
      <c r="DB9" s="337"/>
      <c r="DC9" s="337"/>
      <c r="DD9" s="337"/>
      <c r="DE9" s="337"/>
      <c r="DF9" s="337"/>
      <c r="DG9" s="337"/>
      <c r="DH9" s="337"/>
      <c r="DI9" s="337"/>
      <c r="DJ9" s="337"/>
      <c r="DK9" s="337"/>
      <c r="DL9" s="337"/>
      <c r="DM9" s="337"/>
      <c r="DN9" s="337"/>
      <c r="DO9" s="337"/>
      <c r="DP9" s="337"/>
      <c r="DQ9" s="337"/>
      <c r="DR9" s="337"/>
      <c r="DS9" s="337"/>
      <c r="DT9" s="337"/>
      <c r="DU9" s="337"/>
      <c r="DV9" s="337"/>
      <c r="DW9" s="337"/>
      <c r="DX9" s="337"/>
      <c r="DY9" s="337"/>
      <c r="DZ9" s="337"/>
      <c r="EA9" s="337"/>
      <c r="EB9" s="337"/>
      <c r="EC9" s="337"/>
      <c r="ED9" s="337"/>
      <c r="EE9" s="337"/>
      <c r="EF9" s="337"/>
      <c r="EG9" s="337"/>
      <c r="EH9" s="337"/>
      <c r="EI9" s="337"/>
      <c r="EJ9" s="337"/>
      <c r="EK9" s="337"/>
      <c r="EL9" s="337"/>
      <c r="EM9" s="337"/>
      <c r="EN9" s="337"/>
      <c r="EO9" s="337"/>
      <c r="EP9" s="337"/>
      <c r="EQ9" s="337"/>
      <c r="ER9" s="337"/>
      <c r="ES9" s="337"/>
      <c r="ET9" s="337"/>
      <c r="EU9" s="337"/>
      <c r="EV9" s="337"/>
      <c r="EW9" s="337"/>
      <c r="EX9" s="337"/>
      <c r="EY9" s="337"/>
      <c r="EZ9" s="337"/>
      <c r="FA9" s="337"/>
      <c r="FB9" s="337"/>
      <c r="FC9" s="337"/>
      <c r="FD9" s="337"/>
      <c r="FE9" s="337"/>
      <c r="FF9" s="337"/>
      <c r="FG9" s="337"/>
      <c r="FH9" s="337"/>
      <c r="FI9" s="337"/>
      <c r="FJ9" s="337"/>
      <c r="FK9" s="337"/>
      <c r="FL9" s="337"/>
      <c r="FM9" s="337"/>
      <c r="FN9" s="337"/>
      <c r="FO9" s="337"/>
      <c r="FP9" s="337"/>
      <c r="FQ9" s="337"/>
      <c r="FR9" s="337"/>
      <c r="FS9" s="337"/>
      <c r="FT9" s="337"/>
      <c r="FU9" s="337"/>
      <c r="FV9" s="337"/>
      <c r="FW9" s="337"/>
      <c r="FX9" s="337"/>
      <c r="FY9" s="337"/>
      <c r="FZ9" s="337"/>
      <c r="GA9" s="337"/>
      <c r="GB9" s="337"/>
      <c r="GC9" s="337"/>
      <c r="GD9" s="337"/>
      <c r="GE9" s="337"/>
      <c r="GF9" s="337"/>
      <c r="GG9" s="337"/>
      <c r="GH9" s="337"/>
      <c r="GI9" s="337"/>
      <c r="GJ9" s="337"/>
      <c r="GK9" s="337"/>
      <c r="GL9" s="337"/>
      <c r="GM9" s="337"/>
      <c r="GN9" s="337"/>
      <c r="GO9" s="337"/>
      <c r="GP9" s="337"/>
      <c r="GQ9" s="337"/>
      <c r="GR9" s="337"/>
      <c r="GS9" s="337"/>
      <c r="GT9" s="337"/>
      <c r="GU9" s="337"/>
      <c r="GV9" s="337"/>
      <c r="GW9" s="337"/>
      <c r="GX9" s="337"/>
      <c r="GY9" s="337"/>
      <c r="GZ9" s="337"/>
      <c r="HA9" s="337"/>
      <c r="HB9" s="337"/>
      <c r="HC9" s="337"/>
      <c r="HD9" s="337"/>
      <c r="HE9" s="337"/>
      <c r="HF9" s="337"/>
      <c r="HG9" s="337"/>
      <c r="HH9" s="337"/>
      <c r="HI9" s="337"/>
      <c r="HJ9" s="337"/>
      <c r="HK9" s="337"/>
      <c r="HL9" s="337"/>
      <c r="HM9" s="337"/>
      <c r="HN9" s="337"/>
      <c r="HO9" s="337"/>
      <c r="HP9" s="337"/>
      <c r="HQ9" s="337"/>
      <c r="HR9" s="337"/>
      <c r="HS9" s="337"/>
      <c r="HT9" s="337"/>
      <c r="HU9" s="337"/>
      <c r="HV9" s="337"/>
      <c r="HW9" s="337"/>
      <c r="HX9" s="337"/>
      <c r="HY9" s="337"/>
      <c r="HZ9" s="337"/>
      <c r="IA9" s="337"/>
      <c r="IB9" s="337"/>
      <c r="IC9" s="337"/>
      <c r="ID9" s="337"/>
      <c r="IE9" s="337"/>
      <c r="IF9" s="337"/>
      <c r="IG9" s="337"/>
      <c r="IH9" s="337"/>
      <c r="II9" s="337"/>
      <c r="IJ9" s="337"/>
      <c r="IK9" s="337"/>
      <c r="IL9" s="337"/>
      <c r="IM9" s="337"/>
      <c r="IN9" s="337"/>
      <c r="IO9" s="337"/>
      <c r="IP9" s="337"/>
      <c r="IQ9" s="337"/>
      <c r="IR9" s="337"/>
      <c r="IS9" s="337"/>
      <c r="IT9" s="337"/>
      <c r="IU9" s="337"/>
      <c r="IV9" s="337"/>
      <c r="IW9" s="337"/>
      <c r="IX9" s="337"/>
      <c r="IY9" s="337"/>
      <c r="IZ9" s="337"/>
      <c r="JA9" s="337"/>
      <c r="JB9" s="337"/>
      <c r="JC9" s="337"/>
      <c r="JD9" s="337"/>
      <c r="JE9" s="337"/>
      <c r="JF9" s="337"/>
      <c r="JG9" s="337"/>
      <c r="JH9" s="337"/>
      <c r="JI9" s="337"/>
      <c r="JJ9" s="337"/>
      <c r="JK9" s="337"/>
      <c r="JL9" s="337"/>
      <c r="JM9" s="337"/>
      <c r="JN9" s="337"/>
      <c r="JO9" s="337"/>
      <c r="JP9" s="337"/>
      <c r="JQ9" s="337"/>
      <c r="JR9" s="337"/>
      <c r="JS9" s="337"/>
      <c r="JT9" s="337"/>
      <c r="JU9" s="337"/>
      <c r="JV9" s="337"/>
      <c r="JW9" s="337"/>
      <c r="JX9" s="337"/>
      <c r="JY9" s="337"/>
      <c r="JZ9" s="337"/>
      <c r="KA9" s="337"/>
      <c r="KB9" s="337"/>
      <c r="KC9" s="337"/>
      <c r="KD9" s="337"/>
      <c r="KE9" s="337"/>
      <c r="KF9" s="337"/>
      <c r="KG9" s="337"/>
      <c r="KH9" s="337"/>
      <c r="KI9" s="337"/>
      <c r="KJ9" s="337"/>
      <c r="KK9" s="337"/>
      <c r="KL9" s="337"/>
      <c r="KM9" s="337"/>
      <c r="KN9" s="337"/>
      <c r="KO9" s="337"/>
      <c r="KP9" s="337"/>
      <c r="KQ9" s="337"/>
      <c r="KR9" s="337"/>
      <c r="KS9" s="337"/>
      <c r="KT9" s="337"/>
      <c r="KU9" s="337"/>
      <c r="KV9" s="337"/>
      <c r="KW9" s="337"/>
      <c r="KX9" s="337"/>
      <c r="KY9" s="337"/>
      <c r="KZ9" s="337"/>
      <c r="LA9" s="337"/>
      <c r="LB9" s="337"/>
      <c r="LC9" s="337"/>
      <c r="LD9" s="337"/>
      <c r="LE9" s="337"/>
      <c r="LF9" s="337"/>
      <c r="LG9" s="337"/>
      <c r="LH9" s="337"/>
      <c r="LI9" s="337"/>
      <c r="LJ9" s="337"/>
      <c r="LK9" s="337"/>
      <c r="LL9" s="337"/>
      <c r="LM9" s="337"/>
      <c r="LN9" s="337"/>
      <c r="LO9" s="337"/>
      <c r="LP9" s="337"/>
      <c r="LQ9" s="337"/>
      <c r="LR9" s="337"/>
      <c r="LS9" s="337"/>
      <c r="LT9" s="337"/>
      <c r="LU9" s="337"/>
      <c r="LV9" s="337"/>
      <c r="LW9" s="337"/>
      <c r="LX9" s="337"/>
      <c r="LY9" s="337"/>
      <c r="LZ9" s="337"/>
      <c r="MA9" s="337"/>
      <c r="MB9" s="337"/>
      <c r="MC9" s="337"/>
      <c r="MD9" s="337"/>
      <c r="ME9" s="337"/>
      <c r="MF9" s="337"/>
      <c r="MG9" s="337"/>
      <c r="MH9" s="337"/>
      <c r="MI9" s="337"/>
      <c r="MJ9" s="337"/>
      <c r="MK9" s="337"/>
      <c r="ML9" s="337"/>
      <c r="MM9" s="337"/>
      <c r="MN9" s="337"/>
      <c r="MO9" s="337"/>
      <c r="MP9" s="337"/>
      <c r="MQ9" s="337"/>
      <c r="MR9" s="337"/>
      <c r="MS9" s="337"/>
      <c r="MT9" s="337"/>
      <c r="MU9" s="337"/>
      <c r="MV9" s="337"/>
      <c r="MW9" s="337"/>
      <c r="MX9" s="337"/>
      <c r="MY9" s="337"/>
      <c r="MZ9" s="337"/>
      <c r="NA9" s="337"/>
      <c r="NB9" s="337"/>
      <c r="NC9" s="337"/>
      <c r="ND9" s="337"/>
      <c r="NE9" s="337"/>
      <c r="NF9" s="337"/>
      <c r="NG9" s="337"/>
      <c r="NH9" s="337"/>
      <c r="NI9" s="337"/>
      <c r="NJ9" s="337"/>
      <c r="NK9" s="337"/>
      <c r="NL9" s="337"/>
      <c r="NM9" s="337"/>
      <c r="NN9" s="337"/>
      <c r="NO9" s="337"/>
      <c r="NP9" s="337"/>
      <c r="NQ9" s="337"/>
      <c r="NR9" s="337"/>
      <c r="NS9" s="337"/>
      <c r="NT9" s="337"/>
      <c r="NU9" s="337"/>
      <c r="NV9" s="337"/>
      <c r="NW9" s="337"/>
      <c r="NX9" s="337"/>
      <c r="NY9" s="337"/>
      <c r="NZ9" s="337"/>
      <c r="OA9" s="337"/>
      <c r="OB9" s="337"/>
      <c r="OC9" s="337"/>
      <c r="OD9" s="337"/>
      <c r="OE9" s="337"/>
      <c r="OF9" s="337"/>
      <c r="OG9" s="337"/>
      <c r="OH9" s="337"/>
      <c r="OI9" s="337"/>
      <c r="OJ9" s="337"/>
      <c r="OK9" s="337"/>
      <c r="OL9" s="337"/>
      <c r="OM9" s="337"/>
      <c r="ON9" s="337"/>
      <c r="OO9" s="337"/>
      <c r="OP9" s="337"/>
      <c r="OQ9" s="337"/>
      <c r="OR9" s="337"/>
      <c r="OS9" s="337"/>
      <c r="OT9" s="337"/>
      <c r="OU9" s="337"/>
      <c r="OV9" s="337"/>
      <c r="OW9" s="337"/>
      <c r="OX9" s="337"/>
      <c r="OY9" s="337"/>
      <c r="OZ9" s="337"/>
      <c r="PA9" s="337"/>
      <c r="PB9" s="337"/>
      <c r="PC9" s="337"/>
      <c r="PD9" s="337"/>
      <c r="PE9" s="337"/>
      <c r="PF9" s="337"/>
      <c r="PG9" s="337"/>
      <c r="PH9" s="337"/>
      <c r="PI9" s="337"/>
      <c r="PJ9" s="337"/>
      <c r="PK9" s="337"/>
      <c r="PL9" s="337"/>
      <c r="PM9" s="337"/>
      <c r="PN9" s="337"/>
      <c r="PO9" s="337"/>
      <c r="PP9" s="337"/>
      <c r="PQ9" s="337"/>
      <c r="PR9" s="337"/>
      <c r="PS9" s="337"/>
      <c r="PT9" s="337"/>
      <c r="PU9" s="337"/>
      <c r="PV9" s="337"/>
      <c r="PW9" s="337"/>
      <c r="PX9" s="337"/>
      <c r="PY9" s="337"/>
      <c r="PZ9" s="337"/>
      <c r="QA9" s="337"/>
      <c r="QB9" s="337"/>
      <c r="QC9" s="337"/>
      <c r="QD9" s="337"/>
      <c r="QE9" s="337"/>
      <c r="QF9" s="337"/>
      <c r="QG9" s="337"/>
      <c r="QH9" s="337"/>
      <c r="QI9" s="337"/>
      <c r="QJ9" s="337"/>
      <c r="QK9" s="337"/>
      <c r="QL9" s="337"/>
      <c r="QM9" s="337"/>
      <c r="QN9" s="337"/>
      <c r="QO9" s="337"/>
      <c r="QP9" s="337"/>
      <c r="QQ9" s="337"/>
      <c r="QR9" s="337"/>
      <c r="QS9" s="337"/>
      <c r="QT9" s="337"/>
      <c r="QU9" s="337"/>
      <c r="QV9" s="337"/>
      <c r="QW9" s="337"/>
      <c r="QX9" s="337"/>
      <c r="QY9" s="337"/>
      <c r="QZ9" s="337"/>
      <c r="RA9" s="337"/>
      <c r="RB9" s="337"/>
      <c r="RC9" s="337"/>
      <c r="RD9" s="337"/>
      <c r="RE9" s="337"/>
      <c r="RF9" s="337"/>
      <c r="RG9" s="337"/>
      <c r="RH9" s="337"/>
      <c r="RI9" s="337"/>
      <c r="RJ9" s="337"/>
      <c r="RK9" s="337"/>
      <c r="RL9" s="337"/>
      <c r="RM9" s="337"/>
      <c r="RN9" s="337"/>
      <c r="RO9" s="337"/>
      <c r="RP9" s="337"/>
      <c r="RQ9" s="337"/>
      <c r="RR9" s="337"/>
      <c r="RS9" s="337"/>
      <c r="RT9" s="337"/>
      <c r="RU9" s="337"/>
      <c r="RV9" s="337"/>
      <c r="RW9" s="337"/>
      <c r="RX9" s="337"/>
      <c r="RY9" s="337"/>
      <c r="RZ9" s="337"/>
      <c r="SA9" s="337"/>
      <c r="SB9" s="337"/>
      <c r="SC9" s="337"/>
      <c r="SD9" s="337"/>
      <c r="SE9" s="337"/>
      <c r="SF9" s="337"/>
      <c r="SG9" s="337"/>
      <c r="SH9" s="337"/>
      <c r="SI9" s="337"/>
      <c r="SJ9" s="337"/>
      <c r="SK9" s="337"/>
      <c r="SL9" s="337"/>
      <c r="SM9" s="337"/>
      <c r="SN9" s="337"/>
      <c r="SO9" s="337"/>
      <c r="SP9" s="337"/>
      <c r="SQ9" s="337"/>
      <c r="SR9" s="337"/>
      <c r="SS9" s="337"/>
      <c r="ST9" s="337"/>
      <c r="SU9" s="337"/>
      <c r="SV9" s="337"/>
      <c r="SW9" s="337"/>
      <c r="SX9" s="337"/>
      <c r="SY9" s="337"/>
      <c r="SZ9" s="337"/>
      <c r="TA9" s="337"/>
      <c r="TB9" s="337"/>
      <c r="TC9" s="337"/>
      <c r="TD9" s="337"/>
      <c r="TE9" s="337"/>
      <c r="TF9" s="337"/>
      <c r="TG9" s="337"/>
      <c r="TH9" s="337"/>
      <c r="TI9" s="337"/>
      <c r="TJ9" s="337"/>
      <c r="TK9" s="337"/>
      <c r="TL9" s="337"/>
      <c r="TM9" s="337"/>
      <c r="TN9" s="337"/>
      <c r="TO9" s="337"/>
      <c r="TP9" s="337"/>
      <c r="TQ9" s="337"/>
      <c r="TR9" s="337"/>
      <c r="TS9" s="337"/>
      <c r="TT9" s="337"/>
      <c r="TU9" s="337"/>
      <c r="TV9" s="337"/>
      <c r="TW9" s="337"/>
      <c r="TX9" s="337"/>
      <c r="TY9" s="337"/>
      <c r="TZ9" s="337"/>
      <c r="UA9" s="337"/>
      <c r="UB9" s="337"/>
      <c r="UC9" s="337"/>
      <c r="UD9" s="337"/>
      <c r="UE9" s="337"/>
      <c r="UF9" s="337"/>
      <c r="UG9" s="338"/>
    </row>
    <row r="10" spans="1:553" s="236" customFormat="1" ht="39.75" customHeight="1">
      <c r="A10" s="356" t="s">
        <v>15</v>
      </c>
      <c r="B10" s="366"/>
      <c r="C10" s="430" t="s">
        <v>1044</v>
      </c>
      <c r="D10" s="1211"/>
      <c r="E10" s="1211"/>
      <c r="F10" s="1212"/>
      <c r="G10" s="366"/>
      <c r="H10" s="370"/>
      <c r="I10" s="439"/>
      <c r="J10" s="368"/>
      <c r="K10" s="371"/>
      <c r="L10" s="366"/>
      <c r="M10" s="366"/>
      <c r="N10" s="366"/>
      <c r="O10" s="366"/>
      <c r="P10" s="366"/>
      <c r="Q10" s="812"/>
      <c r="R10" s="1226"/>
      <c r="S10" s="1047"/>
      <c r="T10" s="303"/>
      <c r="U10" s="306"/>
      <c r="V10" s="307"/>
      <c r="W10" s="306"/>
      <c r="X10" s="306"/>
      <c r="Y10" s="306"/>
      <c r="Z10" s="306"/>
      <c r="AA10" s="306"/>
      <c r="AB10" s="306"/>
      <c r="AC10" s="449"/>
      <c r="AD10" s="449"/>
      <c r="AE10" s="449"/>
      <c r="AF10" s="449"/>
      <c r="AG10" s="449"/>
      <c r="AH10" s="449"/>
      <c r="AI10" s="449"/>
      <c r="AJ10" s="449"/>
      <c r="AK10" s="450"/>
      <c r="AL10" s="243"/>
      <c r="AM10" s="237"/>
      <c r="AN10" s="237"/>
      <c r="AO10" s="237"/>
      <c r="AP10" s="237"/>
      <c r="AQ10" s="237"/>
      <c r="AR10" s="237"/>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9"/>
      <c r="BQ10" s="239"/>
      <c r="BR10" s="239"/>
      <c r="BS10" s="239"/>
      <c r="BT10" s="239"/>
      <c r="BU10" s="239"/>
      <c r="BV10" s="239"/>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c r="CZ10" s="239"/>
      <c r="DA10" s="239"/>
      <c r="DB10" s="239"/>
      <c r="DC10" s="239"/>
      <c r="DD10" s="239"/>
      <c r="DE10" s="239"/>
      <c r="DF10" s="239"/>
      <c r="DG10" s="239"/>
      <c r="DH10" s="239"/>
      <c r="DI10" s="239"/>
      <c r="DJ10" s="239"/>
      <c r="DK10" s="239"/>
      <c r="DL10" s="239"/>
      <c r="DM10" s="239"/>
      <c r="DN10" s="239"/>
      <c r="DO10" s="239"/>
      <c r="DP10" s="239"/>
      <c r="DQ10" s="239"/>
      <c r="DR10" s="239"/>
      <c r="DS10" s="239"/>
      <c r="DT10" s="239"/>
      <c r="DU10" s="239"/>
      <c r="DV10" s="239"/>
      <c r="DW10" s="239"/>
      <c r="DX10" s="239"/>
      <c r="DY10" s="239"/>
      <c r="DZ10" s="239"/>
      <c r="EA10" s="239"/>
      <c r="EB10" s="239"/>
      <c r="EC10" s="239"/>
      <c r="ED10" s="239"/>
      <c r="EE10" s="239"/>
      <c r="EF10" s="239"/>
      <c r="EG10" s="239"/>
      <c r="EH10" s="239"/>
      <c r="EI10" s="239"/>
      <c r="EJ10" s="239"/>
      <c r="EK10" s="239"/>
      <c r="EL10" s="239"/>
      <c r="EM10" s="239"/>
      <c r="EN10" s="239"/>
      <c r="EO10" s="239"/>
      <c r="EP10" s="239"/>
      <c r="EQ10" s="239"/>
      <c r="ER10" s="239"/>
      <c r="ES10" s="239"/>
      <c r="ET10" s="239"/>
      <c r="EU10" s="239"/>
      <c r="EV10" s="239"/>
      <c r="EW10" s="239"/>
      <c r="EX10" s="239"/>
      <c r="EY10" s="239"/>
      <c r="EZ10" s="239"/>
      <c r="FA10" s="239"/>
      <c r="FB10" s="239"/>
      <c r="FC10" s="239"/>
      <c r="FD10" s="239"/>
      <c r="FE10" s="239"/>
      <c r="FF10" s="239"/>
      <c r="FG10" s="239"/>
      <c r="FH10" s="239"/>
      <c r="FI10" s="239"/>
      <c r="FJ10" s="239"/>
      <c r="FK10" s="239"/>
      <c r="FL10" s="239"/>
      <c r="FM10" s="239"/>
      <c r="FN10" s="239"/>
      <c r="FO10" s="239"/>
      <c r="FP10" s="239"/>
      <c r="FQ10" s="239"/>
      <c r="FR10" s="239"/>
      <c r="FS10" s="239"/>
      <c r="FT10" s="239"/>
      <c r="FU10" s="239"/>
      <c r="FV10" s="239"/>
      <c r="FW10" s="239"/>
      <c r="FX10" s="239"/>
      <c r="FY10" s="239"/>
      <c r="FZ10" s="239"/>
      <c r="GA10" s="239"/>
      <c r="GB10" s="239"/>
      <c r="GC10" s="239"/>
      <c r="GD10" s="239"/>
      <c r="GE10" s="239"/>
      <c r="GF10" s="239"/>
      <c r="GG10" s="239"/>
      <c r="GH10" s="239"/>
      <c r="GI10" s="239"/>
      <c r="GJ10" s="239"/>
      <c r="GK10" s="239"/>
      <c r="GL10" s="239"/>
      <c r="GM10" s="239"/>
      <c r="GN10" s="239"/>
      <c r="GO10" s="239"/>
      <c r="GP10" s="239"/>
      <c r="GQ10" s="239"/>
      <c r="GR10" s="239"/>
      <c r="GS10" s="239"/>
      <c r="GT10" s="239"/>
      <c r="GU10" s="239"/>
      <c r="GV10" s="239"/>
      <c r="GW10" s="239"/>
      <c r="GX10" s="239"/>
      <c r="GY10" s="239"/>
      <c r="GZ10" s="239"/>
      <c r="HA10" s="239"/>
      <c r="HB10" s="239"/>
      <c r="HC10" s="239"/>
      <c r="HD10" s="239"/>
      <c r="HE10" s="239"/>
      <c r="HF10" s="239"/>
      <c r="HG10" s="239"/>
      <c r="HH10" s="239"/>
      <c r="HI10" s="239"/>
      <c r="HJ10" s="239"/>
      <c r="HK10" s="239"/>
      <c r="HL10" s="239"/>
      <c r="HM10" s="239"/>
      <c r="HN10" s="239"/>
      <c r="HO10" s="239"/>
      <c r="HP10" s="239"/>
      <c r="HQ10" s="239"/>
      <c r="HR10" s="239"/>
      <c r="HS10" s="239"/>
      <c r="HT10" s="239"/>
      <c r="HU10" s="239"/>
      <c r="HV10" s="239"/>
      <c r="HW10" s="239"/>
      <c r="HX10" s="239"/>
      <c r="HY10" s="239"/>
      <c r="HZ10" s="239"/>
      <c r="IA10" s="239"/>
      <c r="IB10" s="239"/>
      <c r="IC10" s="239"/>
      <c r="ID10" s="239"/>
      <c r="IE10" s="239"/>
      <c r="IF10" s="239"/>
      <c r="IG10" s="239"/>
      <c r="IH10" s="239"/>
      <c r="II10" s="239"/>
      <c r="IJ10" s="239"/>
      <c r="IK10" s="239"/>
      <c r="IL10" s="239"/>
      <c r="IM10" s="239"/>
      <c r="IN10" s="239"/>
      <c r="IO10" s="239"/>
      <c r="IP10" s="239"/>
      <c r="IQ10" s="239"/>
      <c r="IR10" s="239"/>
      <c r="IS10" s="239"/>
      <c r="IT10" s="239"/>
      <c r="IU10" s="239"/>
      <c r="IV10" s="239"/>
      <c r="IW10" s="239"/>
      <c r="IX10" s="239"/>
      <c r="IY10" s="239"/>
      <c r="IZ10" s="239"/>
      <c r="JA10" s="239"/>
      <c r="JB10" s="239"/>
      <c r="JC10" s="239"/>
      <c r="JD10" s="239"/>
      <c r="JE10" s="239"/>
      <c r="JF10" s="239"/>
      <c r="JG10" s="239"/>
      <c r="JH10" s="239"/>
      <c r="JI10" s="239"/>
      <c r="JJ10" s="239"/>
      <c r="JK10" s="239"/>
      <c r="JL10" s="239"/>
      <c r="JM10" s="239"/>
      <c r="JN10" s="239"/>
      <c r="JO10" s="239"/>
      <c r="JP10" s="239"/>
      <c r="JQ10" s="239"/>
      <c r="JR10" s="239"/>
      <c r="JS10" s="239"/>
      <c r="JT10" s="239"/>
      <c r="JU10" s="239"/>
      <c r="JV10" s="239"/>
      <c r="JW10" s="239"/>
      <c r="JX10" s="239"/>
      <c r="JY10" s="239"/>
      <c r="JZ10" s="239"/>
      <c r="KA10" s="239"/>
      <c r="KB10" s="239"/>
      <c r="KC10" s="239"/>
      <c r="KD10" s="239"/>
      <c r="KE10" s="239"/>
      <c r="KF10" s="239"/>
      <c r="KG10" s="239"/>
      <c r="KH10" s="239"/>
      <c r="KI10" s="239"/>
      <c r="KJ10" s="239"/>
      <c r="KK10" s="239"/>
      <c r="KL10" s="239"/>
      <c r="KM10" s="239"/>
      <c r="KN10" s="239"/>
      <c r="KO10" s="239"/>
      <c r="KP10" s="239"/>
      <c r="KQ10" s="239"/>
      <c r="KR10" s="239"/>
      <c r="KS10" s="239"/>
      <c r="KT10" s="239"/>
      <c r="KU10" s="239"/>
      <c r="KV10" s="239"/>
      <c r="KW10" s="239"/>
      <c r="KX10" s="239"/>
      <c r="KY10" s="239"/>
      <c r="KZ10" s="239"/>
      <c r="LA10" s="239"/>
      <c r="LB10" s="239"/>
      <c r="LC10" s="239"/>
      <c r="LD10" s="239"/>
      <c r="LE10" s="239"/>
      <c r="LF10" s="239"/>
      <c r="LG10" s="239"/>
      <c r="LH10" s="239"/>
      <c r="LI10" s="239"/>
      <c r="LJ10" s="239"/>
      <c r="LK10" s="239"/>
      <c r="LL10" s="239"/>
      <c r="LM10" s="239"/>
      <c r="LN10" s="239"/>
      <c r="LO10" s="239"/>
      <c r="LP10" s="239"/>
      <c r="LQ10" s="239"/>
      <c r="LR10" s="239"/>
      <c r="LS10" s="239"/>
      <c r="LT10" s="239"/>
      <c r="LU10" s="239"/>
      <c r="LV10" s="239"/>
      <c r="LW10" s="239"/>
      <c r="LX10" s="239"/>
      <c r="LY10" s="239"/>
      <c r="LZ10" s="239"/>
      <c r="MA10" s="239"/>
      <c r="MB10" s="239"/>
      <c r="MC10" s="239"/>
      <c r="MD10" s="239"/>
      <c r="ME10" s="239"/>
      <c r="MF10" s="239"/>
      <c r="MG10" s="239"/>
      <c r="MH10" s="239"/>
      <c r="MI10" s="239"/>
      <c r="MJ10" s="239"/>
      <c r="MK10" s="239"/>
      <c r="ML10" s="239"/>
      <c r="MM10" s="239"/>
      <c r="MN10" s="239"/>
      <c r="MO10" s="239"/>
      <c r="MP10" s="239"/>
      <c r="MQ10" s="239"/>
      <c r="MR10" s="239"/>
      <c r="MS10" s="239"/>
      <c r="MT10" s="239"/>
      <c r="MU10" s="239"/>
      <c r="MV10" s="239"/>
      <c r="MW10" s="239"/>
      <c r="MX10" s="239"/>
      <c r="MY10" s="239"/>
      <c r="MZ10" s="239"/>
      <c r="NA10" s="239"/>
      <c r="NB10" s="239"/>
      <c r="NC10" s="239"/>
      <c r="ND10" s="239"/>
      <c r="NE10" s="239"/>
      <c r="NF10" s="239"/>
      <c r="NG10" s="239"/>
      <c r="NH10" s="239"/>
      <c r="NI10" s="239"/>
      <c r="NJ10" s="239"/>
      <c r="NK10" s="239"/>
      <c r="NL10" s="239"/>
      <c r="NM10" s="239"/>
      <c r="NN10" s="239"/>
      <c r="NO10" s="239"/>
      <c r="NP10" s="239"/>
      <c r="NQ10" s="239"/>
      <c r="NR10" s="239"/>
      <c r="NS10" s="239"/>
      <c r="NT10" s="239"/>
      <c r="NU10" s="239"/>
      <c r="NV10" s="239"/>
      <c r="NW10" s="239"/>
      <c r="NX10" s="239"/>
      <c r="NY10" s="239"/>
      <c r="NZ10" s="239"/>
      <c r="OA10" s="239"/>
      <c r="OB10" s="239"/>
      <c r="OC10" s="239"/>
      <c r="OD10" s="239"/>
      <c r="OE10" s="239"/>
      <c r="OF10" s="239"/>
      <c r="OG10" s="239"/>
      <c r="OH10" s="239"/>
      <c r="OI10" s="239"/>
      <c r="OJ10" s="239"/>
      <c r="OK10" s="239"/>
      <c r="OL10" s="239"/>
      <c r="OM10" s="239"/>
      <c r="ON10" s="239"/>
      <c r="OO10" s="239"/>
      <c r="OP10" s="239"/>
      <c r="OQ10" s="239"/>
      <c r="OR10" s="239"/>
      <c r="OS10" s="239"/>
      <c r="OT10" s="239"/>
      <c r="OU10" s="239"/>
      <c r="OV10" s="239"/>
      <c r="OW10" s="239"/>
      <c r="OX10" s="239"/>
      <c r="OY10" s="239"/>
      <c r="OZ10" s="239"/>
      <c r="PA10" s="239"/>
      <c r="PB10" s="239"/>
      <c r="PC10" s="239"/>
      <c r="PD10" s="239"/>
      <c r="PE10" s="239"/>
      <c r="PF10" s="239"/>
      <c r="PG10" s="239"/>
      <c r="PH10" s="239"/>
      <c r="PI10" s="239"/>
      <c r="PJ10" s="239"/>
      <c r="PK10" s="239"/>
      <c r="PL10" s="239"/>
      <c r="PM10" s="239"/>
      <c r="PN10" s="239"/>
      <c r="PO10" s="239"/>
      <c r="PP10" s="239"/>
      <c r="PQ10" s="239"/>
      <c r="PR10" s="239"/>
      <c r="PS10" s="239"/>
      <c r="PT10" s="239"/>
      <c r="PU10" s="239"/>
      <c r="PV10" s="239"/>
      <c r="PW10" s="239"/>
      <c r="PX10" s="239"/>
      <c r="PY10" s="239"/>
      <c r="PZ10" s="239"/>
      <c r="QA10" s="239"/>
      <c r="QB10" s="239"/>
      <c r="QC10" s="239"/>
      <c r="QD10" s="239"/>
      <c r="QE10" s="239"/>
      <c r="QF10" s="239"/>
      <c r="QG10" s="239"/>
      <c r="QH10" s="239"/>
      <c r="QI10" s="239"/>
      <c r="QJ10" s="239"/>
      <c r="QK10" s="239"/>
      <c r="QL10" s="239"/>
      <c r="QM10" s="239"/>
      <c r="QN10" s="239"/>
      <c r="QO10" s="239"/>
      <c r="QP10" s="239"/>
      <c r="QQ10" s="239"/>
      <c r="QR10" s="239"/>
      <c r="QS10" s="239"/>
      <c r="QT10" s="239"/>
      <c r="QU10" s="239"/>
      <c r="QV10" s="239"/>
      <c r="QW10" s="239"/>
      <c r="QX10" s="239"/>
      <c r="QY10" s="239"/>
      <c r="QZ10" s="239"/>
      <c r="RA10" s="239"/>
      <c r="RB10" s="239"/>
      <c r="RC10" s="239"/>
      <c r="RD10" s="239"/>
      <c r="RE10" s="239"/>
      <c r="RF10" s="239"/>
      <c r="RG10" s="239"/>
      <c r="RH10" s="239"/>
      <c r="RI10" s="239"/>
      <c r="RJ10" s="239"/>
      <c r="RK10" s="239"/>
      <c r="RL10" s="239"/>
      <c r="RM10" s="239"/>
      <c r="RN10" s="239"/>
      <c r="RO10" s="239"/>
      <c r="RP10" s="239"/>
      <c r="RQ10" s="239"/>
      <c r="RR10" s="239"/>
      <c r="RS10" s="239"/>
      <c r="RT10" s="239"/>
      <c r="RU10" s="239"/>
      <c r="RV10" s="239"/>
      <c r="RW10" s="239"/>
      <c r="RX10" s="239"/>
      <c r="RY10" s="239"/>
      <c r="RZ10" s="239"/>
      <c r="SA10" s="239"/>
      <c r="SB10" s="239"/>
      <c r="SC10" s="239"/>
      <c r="SD10" s="239"/>
      <c r="SE10" s="239"/>
      <c r="SF10" s="239"/>
      <c r="SG10" s="239"/>
      <c r="SH10" s="239"/>
      <c r="SI10" s="239"/>
      <c r="SJ10" s="239"/>
      <c r="SK10" s="239"/>
      <c r="SL10" s="239"/>
      <c r="SM10" s="239"/>
      <c r="SN10" s="239"/>
      <c r="SO10" s="239"/>
      <c r="SP10" s="239"/>
      <c r="SQ10" s="239"/>
      <c r="SR10" s="239"/>
      <c r="SS10" s="239"/>
      <c r="ST10" s="239"/>
      <c r="SU10" s="239"/>
      <c r="SV10" s="239"/>
      <c r="SW10" s="239"/>
      <c r="SX10" s="239"/>
      <c r="SY10" s="239"/>
      <c r="SZ10" s="239"/>
      <c r="TA10" s="239"/>
      <c r="TB10" s="239"/>
      <c r="TC10" s="239"/>
      <c r="TD10" s="239"/>
      <c r="TE10" s="239"/>
      <c r="TF10" s="239"/>
      <c r="TG10" s="239"/>
      <c r="TH10" s="239"/>
      <c r="TI10" s="239"/>
      <c r="TJ10" s="239"/>
      <c r="TK10" s="239"/>
      <c r="TL10" s="239"/>
      <c r="TM10" s="239"/>
      <c r="TN10" s="239"/>
      <c r="TO10" s="239"/>
      <c r="TP10" s="239"/>
      <c r="TQ10" s="239"/>
      <c r="TR10" s="239"/>
      <c r="TS10" s="239"/>
      <c r="TT10" s="239"/>
      <c r="TU10" s="239"/>
      <c r="TV10" s="239"/>
      <c r="TW10" s="239"/>
      <c r="TX10" s="239"/>
      <c r="TY10" s="239"/>
      <c r="TZ10" s="239"/>
      <c r="UA10" s="239"/>
      <c r="UB10" s="239"/>
      <c r="UC10" s="239"/>
      <c r="UD10" s="239"/>
      <c r="UE10" s="239"/>
      <c r="UF10" s="239"/>
      <c r="UG10" s="240"/>
    </row>
    <row r="11" spans="1:553" s="236" customFormat="1" ht="39.75" customHeight="1">
      <c r="A11" s="356" t="s">
        <v>15</v>
      </c>
      <c r="B11" s="366"/>
      <c r="C11" s="430" t="s">
        <v>16</v>
      </c>
      <c r="D11" s="1211"/>
      <c r="E11" s="1211"/>
      <c r="F11" s="1212"/>
      <c r="G11" s="366"/>
      <c r="H11" s="439"/>
      <c r="I11" s="370"/>
      <c r="J11" s="368"/>
      <c r="K11" s="371"/>
      <c r="L11" s="366"/>
      <c r="M11" s="366"/>
      <c r="N11" s="366"/>
      <c r="O11" s="366"/>
      <c r="P11" s="366"/>
      <c r="Q11" s="1036"/>
      <c r="R11" s="1226"/>
      <c r="S11" s="1047"/>
      <c r="T11" s="303"/>
      <c r="U11" s="306"/>
      <c r="V11" s="307"/>
      <c r="W11" s="306"/>
      <c r="X11" s="306"/>
      <c r="Y11" s="306"/>
      <c r="Z11" s="306"/>
      <c r="AA11" s="306"/>
      <c r="AB11" s="306"/>
      <c r="AC11" s="449"/>
      <c r="AD11" s="449"/>
      <c r="AE11" s="449"/>
      <c r="AF11" s="449"/>
      <c r="AG11" s="449"/>
      <c r="AH11" s="449"/>
      <c r="AI11" s="449"/>
      <c r="AJ11" s="449"/>
      <c r="AK11" s="450"/>
      <c r="AL11" s="243"/>
      <c r="AM11" s="237"/>
      <c r="AN11" s="237"/>
      <c r="AO11" s="237"/>
      <c r="AP11" s="237"/>
      <c r="AQ11" s="237"/>
      <c r="AR11" s="237"/>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9"/>
      <c r="BQ11" s="239"/>
      <c r="BR11" s="239"/>
      <c r="BS11" s="239"/>
      <c r="BT11" s="239"/>
      <c r="BU11" s="239"/>
      <c r="BV11" s="239"/>
      <c r="BW11" s="239"/>
      <c r="BX11" s="239"/>
      <c r="BY11" s="239"/>
      <c r="BZ11" s="239"/>
      <c r="CA11" s="239"/>
      <c r="CB11" s="239"/>
      <c r="CC11" s="239"/>
      <c r="CD11" s="239"/>
      <c r="CE11" s="239"/>
      <c r="CF11" s="239"/>
      <c r="CG11" s="239"/>
      <c r="CH11" s="239"/>
      <c r="CI11" s="239"/>
      <c r="CJ11" s="239"/>
      <c r="CK11" s="239"/>
      <c r="CL11" s="239"/>
      <c r="CM11" s="239"/>
      <c r="CN11" s="239"/>
      <c r="CO11" s="239"/>
      <c r="CP11" s="239"/>
      <c r="CQ11" s="239"/>
      <c r="CR11" s="239"/>
      <c r="CS11" s="239"/>
      <c r="CT11" s="239"/>
      <c r="CU11" s="239"/>
      <c r="CV11" s="239"/>
      <c r="CW11" s="239"/>
      <c r="CX11" s="239"/>
      <c r="CY11" s="239"/>
      <c r="CZ11" s="239"/>
      <c r="DA11" s="239"/>
      <c r="DB11" s="239"/>
      <c r="DC11" s="239"/>
      <c r="DD11" s="239"/>
      <c r="DE11" s="239"/>
      <c r="DF11" s="239"/>
      <c r="DG11" s="239"/>
      <c r="DH11" s="239"/>
      <c r="DI11" s="239"/>
      <c r="DJ11" s="239"/>
      <c r="DK11" s="239"/>
      <c r="DL11" s="239"/>
      <c r="DM11" s="239"/>
      <c r="DN11" s="239"/>
      <c r="DO11" s="239"/>
      <c r="DP11" s="239"/>
      <c r="DQ11" s="239"/>
      <c r="DR11" s="239"/>
      <c r="DS11" s="239"/>
      <c r="DT11" s="239"/>
      <c r="DU11" s="239"/>
      <c r="DV11" s="239"/>
      <c r="DW11" s="239"/>
      <c r="DX11" s="239"/>
      <c r="DY11" s="239"/>
      <c r="DZ11" s="239"/>
      <c r="EA11" s="239"/>
      <c r="EB11" s="239"/>
      <c r="EC11" s="239"/>
      <c r="ED11" s="239"/>
      <c r="EE11" s="239"/>
      <c r="EF11" s="239"/>
      <c r="EG11" s="239"/>
      <c r="EH11" s="239"/>
      <c r="EI11" s="239"/>
      <c r="EJ11" s="239"/>
      <c r="EK11" s="239"/>
      <c r="EL11" s="239"/>
      <c r="EM11" s="239"/>
      <c r="EN11" s="239"/>
      <c r="EO11" s="239"/>
      <c r="EP11" s="239"/>
      <c r="EQ11" s="239"/>
      <c r="ER11" s="239"/>
      <c r="ES11" s="239"/>
      <c r="ET11" s="239"/>
      <c r="EU11" s="239"/>
      <c r="EV11" s="239"/>
      <c r="EW11" s="239"/>
      <c r="EX11" s="239"/>
      <c r="EY11" s="239"/>
      <c r="EZ11" s="239"/>
      <c r="FA11" s="239"/>
      <c r="FB11" s="239"/>
      <c r="FC11" s="239"/>
      <c r="FD11" s="239"/>
      <c r="FE11" s="239"/>
      <c r="FF11" s="239"/>
      <c r="FG11" s="239"/>
      <c r="FH11" s="239"/>
      <c r="FI11" s="239"/>
      <c r="FJ11" s="239"/>
      <c r="FK11" s="239"/>
      <c r="FL11" s="239"/>
      <c r="FM11" s="239"/>
      <c r="FN11" s="239"/>
      <c r="FO11" s="239"/>
      <c r="FP11" s="239"/>
      <c r="FQ11" s="239"/>
      <c r="FR11" s="239"/>
      <c r="FS11" s="239"/>
      <c r="FT11" s="239"/>
      <c r="FU11" s="239"/>
      <c r="FV11" s="239"/>
      <c r="FW11" s="239"/>
      <c r="FX11" s="239"/>
      <c r="FY11" s="239"/>
      <c r="FZ11" s="239"/>
      <c r="GA11" s="239"/>
      <c r="GB11" s="239"/>
      <c r="GC11" s="239"/>
      <c r="GD11" s="239"/>
      <c r="GE11" s="239"/>
      <c r="GF11" s="239"/>
      <c r="GG11" s="239"/>
      <c r="GH11" s="239"/>
      <c r="GI11" s="239"/>
      <c r="GJ11" s="239"/>
      <c r="GK11" s="239"/>
      <c r="GL11" s="239"/>
      <c r="GM11" s="239"/>
      <c r="GN11" s="239"/>
      <c r="GO11" s="239"/>
      <c r="GP11" s="239"/>
      <c r="GQ11" s="239"/>
      <c r="GR11" s="239"/>
      <c r="GS11" s="239"/>
      <c r="GT11" s="239"/>
      <c r="GU11" s="239"/>
      <c r="GV11" s="239"/>
      <c r="GW11" s="239"/>
      <c r="GX11" s="239"/>
      <c r="GY11" s="239"/>
      <c r="GZ11" s="239"/>
      <c r="HA11" s="239"/>
      <c r="HB11" s="239"/>
      <c r="HC11" s="239"/>
      <c r="HD11" s="239"/>
      <c r="HE11" s="239"/>
      <c r="HF11" s="239"/>
      <c r="HG11" s="239"/>
      <c r="HH11" s="239"/>
      <c r="HI11" s="239"/>
      <c r="HJ11" s="239"/>
      <c r="HK11" s="239"/>
      <c r="HL11" s="239"/>
      <c r="HM11" s="239"/>
      <c r="HN11" s="239"/>
      <c r="HO11" s="239"/>
      <c r="HP11" s="239"/>
      <c r="HQ11" s="239"/>
      <c r="HR11" s="239"/>
      <c r="HS11" s="239"/>
      <c r="HT11" s="239"/>
      <c r="HU11" s="239"/>
      <c r="HV11" s="239"/>
      <c r="HW11" s="239"/>
      <c r="HX11" s="239"/>
      <c r="HY11" s="239"/>
      <c r="HZ11" s="239"/>
      <c r="IA11" s="239"/>
      <c r="IB11" s="239"/>
      <c r="IC11" s="239"/>
      <c r="ID11" s="239"/>
      <c r="IE11" s="239"/>
      <c r="IF11" s="239"/>
      <c r="IG11" s="239"/>
      <c r="IH11" s="239"/>
      <c r="II11" s="239"/>
      <c r="IJ11" s="239"/>
      <c r="IK11" s="239"/>
      <c r="IL11" s="239"/>
      <c r="IM11" s="239"/>
      <c r="IN11" s="239"/>
      <c r="IO11" s="239"/>
      <c r="IP11" s="239"/>
      <c r="IQ11" s="239"/>
      <c r="IR11" s="239"/>
      <c r="IS11" s="239"/>
      <c r="IT11" s="239"/>
      <c r="IU11" s="239"/>
      <c r="IV11" s="239"/>
      <c r="IW11" s="239"/>
      <c r="IX11" s="239"/>
      <c r="IY11" s="239"/>
      <c r="IZ11" s="239"/>
      <c r="JA11" s="239"/>
      <c r="JB11" s="239"/>
      <c r="JC11" s="239"/>
      <c r="JD11" s="239"/>
      <c r="JE11" s="239"/>
      <c r="JF11" s="239"/>
      <c r="JG11" s="239"/>
      <c r="JH11" s="239"/>
      <c r="JI11" s="239"/>
      <c r="JJ11" s="239"/>
      <c r="JK11" s="239"/>
      <c r="JL11" s="239"/>
      <c r="JM11" s="239"/>
      <c r="JN11" s="239"/>
      <c r="JO11" s="239"/>
      <c r="JP11" s="239"/>
      <c r="JQ11" s="239"/>
      <c r="JR11" s="239"/>
      <c r="JS11" s="239"/>
      <c r="JT11" s="239"/>
      <c r="JU11" s="239"/>
      <c r="JV11" s="239"/>
      <c r="JW11" s="239"/>
      <c r="JX11" s="239"/>
      <c r="JY11" s="239"/>
      <c r="JZ11" s="239"/>
      <c r="KA11" s="239"/>
      <c r="KB11" s="239"/>
      <c r="KC11" s="239"/>
      <c r="KD11" s="239"/>
      <c r="KE11" s="239"/>
      <c r="KF11" s="239"/>
      <c r="KG11" s="239"/>
      <c r="KH11" s="239"/>
      <c r="KI11" s="239"/>
      <c r="KJ11" s="239"/>
      <c r="KK11" s="239"/>
      <c r="KL11" s="239"/>
      <c r="KM11" s="239"/>
      <c r="KN11" s="239"/>
      <c r="KO11" s="239"/>
      <c r="KP11" s="239"/>
      <c r="KQ11" s="239"/>
      <c r="KR11" s="239"/>
      <c r="KS11" s="239"/>
      <c r="KT11" s="239"/>
      <c r="KU11" s="239"/>
      <c r="KV11" s="239"/>
      <c r="KW11" s="239"/>
      <c r="KX11" s="239"/>
      <c r="KY11" s="239"/>
      <c r="KZ11" s="239"/>
      <c r="LA11" s="239"/>
      <c r="LB11" s="239"/>
      <c r="LC11" s="239"/>
      <c r="LD11" s="239"/>
      <c r="LE11" s="239"/>
      <c r="LF11" s="239"/>
      <c r="LG11" s="239"/>
      <c r="LH11" s="239"/>
      <c r="LI11" s="239"/>
      <c r="LJ11" s="239"/>
      <c r="LK11" s="239"/>
      <c r="LL11" s="239"/>
      <c r="LM11" s="239"/>
      <c r="LN11" s="239"/>
      <c r="LO11" s="239"/>
      <c r="LP11" s="239"/>
      <c r="LQ11" s="239"/>
      <c r="LR11" s="239"/>
      <c r="LS11" s="239"/>
      <c r="LT11" s="239"/>
      <c r="LU11" s="239"/>
      <c r="LV11" s="239"/>
      <c r="LW11" s="239"/>
      <c r="LX11" s="239"/>
      <c r="LY11" s="239"/>
      <c r="LZ11" s="239"/>
      <c r="MA11" s="239"/>
      <c r="MB11" s="239"/>
      <c r="MC11" s="239"/>
      <c r="MD11" s="239"/>
      <c r="ME11" s="239"/>
      <c r="MF11" s="239"/>
      <c r="MG11" s="239"/>
      <c r="MH11" s="239"/>
      <c r="MI11" s="239"/>
      <c r="MJ11" s="239"/>
      <c r="MK11" s="239"/>
      <c r="ML11" s="239"/>
      <c r="MM11" s="239"/>
      <c r="MN11" s="239"/>
      <c r="MO11" s="239"/>
      <c r="MP11" s="239"/>
      <c r="MQ11" s="239"/>
      <c r="MR11" s="239"/>
      <c r="MS11" s="239"/>
      <c r="MT11" s="239"/>
      <c r="MU11" s="239"/>
      <c r="MV11" s="239"/>
      <c r="MW11" s="239"/>
      <c r="MX11" s="239"/>
      <c r="MY11" s="239"/>
      <c r="MZ11" s="239"/>
      <c r="NA11" s="239"/>
      <c r="NB11" s="239"/>
      <c r="NC11" s="239"/>
      <c r="ND11" s="239"/>
      <c r="NE11" s="239"/>
      <c r="NF11" s="239"/>
      <c r="NG11" s="239"/>
      <c r="NH11" s="239"/>
      <c r="NI11" s="239"/>
      <c r="NJ11" s="239"/>
      <c r="NK11" s="239"/>
      <c r="NL11" s="239"/>
      <c r="NM11" s="239"/>
      <c r="NN11" s="239"/>
      <c r="NO11" s="239"/>
      <c r="NP11" s="239"/>
      <c r="NQ11" s="239"/>
      <c r="NR11" s="239"/>
      <c r="NS11" s="239"/>
      <c r="NT11" s="239"/>
      <c r="NU11" s="239"/>
      <c r="NV11" s="239"/>
      <c r="NW11" s="239"/>
      <c r="NX11" s="239"/>
      <c r="NY11" s="239"/>
      <c r="NZ11" s="239"/>
      <c r="OA11" s="239"/>
      <c r="OB11" s="239"/>
      <c r="OC11" s="239"/>
      <c r="OD11" s="239"/>
      <c r="OE11" s="239"/>
      <c r="OF11" s="239"/>
      <c r="OG11" s="239"/>
      <c r="OH11" s="239"/>
      <c r="OI11" s="239"/>
      <c r="OJ11" s="239"/>
      <c r="OK11" s="239"/>
      <c r="OL11" s="239"/>
      <c r="OM11" s="239"/>
      <c r="ON11" s="239"/>
      <c r="OO11" s="239"/>
      <c r="OP11" s="239"/>
      <c r="OQ11" s="239"/>
      <c r="OR11" s="239"/>
      <c r="OS11" s="239"/>
      <c r="OT11" s="239"/>
      <c r="OU11" s="239"/>
      <c r="OV11" s="239"/>
      <c r="OW11" s="239"/>
      <c r="OX11" s="239"/>
      <c r="OY11" s="239"/>
      <c r="OZ11" s="239"/>
      <c r="PA11" s="239"/>
      <c r="PB11" s="239"/>
      <c r="PC11" s="239"/>
      <c r="PD11" s="239"/>
      <c r="PE11" s="239"/>
      <c r="PF11" s="239"/>
      <c r="PG11" s="239"/>
      <c r="PH11" s="239"/>
      <c r="PI11" s="239"/>
      <c r="PJ11" s="239"/>
      <c r="PK11" s="239"/>
      <c r="PL11" s="239"/>
      <c r="PM11" s="239"/>
      <c r="PN11" s="239"/>
      <c r="PO11" s="239"/>
      <c r="PP11" s="239"/>
      <c r="PQ11" s="239"/>
      <c r="PR11" s="239"/>
      <c r="PS11" s="239"/>
      <c r="PT11" s="239"/>
      <c r="PU11" s="239"/>
      <c r="PV11" s="239"/>
      <c r="PW11" s="239"/>
      <c r="PX11" s="239"/>
      <c r="PY11" s="239"/>
      <c r="PZ11" s="239"/>
      <c r="QA11" s="239"/>
      <c r="QB11" s="239"/>
      <c r="QC11" s="239"/>
      <c r="QD11" s="239"/>
      <c r="QE11" s="239"/>
      <c r="QF11" s="239"/>
      <c r="QG11" s="239"/>
      <c r="QH11" s="239"/>
      <c r="QI11" s="239"/>
      <c r="QJ11" s="239"/>
      <c r="QK11" s="239"/>
      <c r="QL11" s="239"/>
      <c r="QM11" s="239"/>
      <c r="QN11" s="239"/>
      <c r="QO11" s="239"/>
      <c r="QP11" s="239"/>
      <c r="QQ11" s="239"/>
      <c r="QR11" s="239"/>
      <c r="QS11" s="239"/>
      <c r="QT11" s="239"/>
      <c r="QU11" s="239"/>
      <c r="QV11" s="239"/>
      <c r="QW11" s="239"/>
      <c r="QX11" s="239"/>
      <c r="QY11" s="239"/>
      <c r="QZ11" s="239"/>
      <c r="RA11" s="239"/>
      <c r="RB11" s="239"/>
      <c r="RC11" s="239"/>
      <c r="RD11" s="239"/>
      <c r="RE11" s="239"/>
      <c r="RF11" s="239"/>
      <c r="RG11" s="239"/>
      <c r="RH11" s="239"/>
      <c r="RI11" s="239"/>
      <c r="RJ11" s="239"/>
      <c r="RK11" s="239"/>
      <c r="RL11" s="239"/>
      <c r="RM11" s="239"/>
      <c r="RN11" s="239"/>
      <c r="RO11" s="239"/>
      <c r="RP11" s="239"/>
      <c r="RQ11" s="239"/>
      <c r="RR11" s="239"/>
      <c r="RS11" s="239"/>
      <c r="RT11" s="239"/>
      <c r="RU11" s="239"/>
      <c r="RV11" s="239"/>
      <c r="RW11" s="239"/>
      <c r="RX11" s="239"/>
      <c r="RY11" s="239"/>
      <c r="RZ11" s="239"/>
      <c r="SA11" s="239"/>
      <c r="SB11" s="239"/>
      <c r="SC11" s="239"/>
      <c r="SD11" s="239"/>
      <c r="SE11" s="239"/>
      <c r="SF11" s="239"/>
      <c r="SG11" s="239"/>
      <c r="SH11" s="239"/>
      <c r="SI11" s="239"/>
      <c r="SJ11" s="239"/>
      <c r="SK11" s="239"/>
      <c r="SL11" s="239"/>
      <c r="SM11" s="239"/>
      <c r="SN11" s="239"/>
      <c r="SO11" s="239"/>
      <c r="SP11" s="239"/>
      <c r="SQ11" s="239"/>
      <c r="SR11" s="239"/>
      <c r="SS11" s="239"/>
      <c r="ST11" s="239"/>
      <c r="SU11" s="239"/>
      <c r="SV11" s="239"/>
      <c r="SW11" s="239"/>
      <c r="SX11" s="239"/>
      <c r="SY11" s="239"/>
      <c r="SZ11" s="239"/>
      <c r="TA11" s="239"/>
      <c r="TB11" s="239"/>
      <c r="TC11" s="239"/>
      <c r="TD11" s="239"/>
      <c r="TE11" s="239"/>
      <c r="TF11" s="239"/>
      <c r="TG11" s="239"/>
      <c r="TH11" s="239"/>
      <c r="TI11" s="239"/>
      <c r="TJ11" s="239"/>
      <c r="TK11" s="239"/>
      <c r="TL11" s="239"/>
      <c r="TM11" s="239"/>
      <c r="TN11" s="239"/>
      <c r="TO11" s="239"/>
      <c r="TP11" s="239"/>
      <c r="TQ11" s="239"/>
      <c r="TR11" s="239"/>
      <c r="TS11" s="239"/>
      <c r="TT11" s="239"/>
      <c r="TU11" s="239"/>
      <c r="TV11" s="239"/>
      <c r="TW11" s="239"/>
      <c r="TX11" s="239"/>
      <c r="TY11" s="239"/>
      <c r="TZ11" s="239"/>
      <c r="UA11" s="239"/>
      <c r="UB11" s="239"/>
      <c r="UC11" s="239"/>
      <c r="UD11" s="239"/>
      <c r="UE11" s="239"/>
      <c r="UF11" s="239"/>
      <c r="UG11" s="240"/>
    </row>
    <row r="12" spans="1:553" s="236" customFormat="1" ht="29.25" customHeight="1">
      <c r="A12" s="356" t="s">
        <v>15</v>
      </c>
      <c r="B12" s="366"/>
      <c r="C12" s="430" t="s">
        <v>394</v>
      </c>
      <c r="D12" s="1211"/>
      <c r="E12" s="1211"/>
      <c r="F12" s="1212"/>
      <c r="G12" s="366"/>
      <c r="H12" s="370"/>
      <c r="I12" s="370"/>
      <c r="J12" s="368"/>
      <c r="K12" s="371"/>
      <c r="L12" s="366"/>
      <c r="M12" s="366"/>
      <c r="N12" s="366"/>
      <c r="O12" s="366"/>
      <c r="P12" s="366"/>
      <c r="Q12" s="1036"/>
      <c r="R12" s="1226"/>
      <c r="S12" s="1047"/>
      <c r="T12" s="303"/>
      <c r="U12" s="306"/>
      <c r="V12" s="307"/>
      <c r="W12" s="306"/>
      <c r="X12" s="306"/>
      <c r="Y12" s="306"/>
      <c r="Z12" s="306"/>
      <c r="AA12" s="306"/>
      <c r="AB12" s="306"/>
      <c r="AC12" s="449"/>
      <c r="AD12" s="449"/>
      <c r="AE12" s="449"/>
      <c r="AF12" s="449"/>
      <c r="AG12" s="449"/>
      <c r="AH12" s="449"/>
      <c r="AI12" s="449"/>
      <c r="AJ12" s="449"/>
      <c r="AK12" s="450"/>
      <c r="AL12" s="243"/>
      <c r="AM12" s="237"/>
      <c r="AN12" s="237"/>
      <c r="AO12" s="237"/>
      <c r="AP12" s="237"/>
      <c r="AQ12" s="237"/>
      <c r="AR12" s="237"/>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239"/>
      <c r="DJ12" s="239"/>
      <c r="DK12" s="239"/>
      <c r="DL12" s="239"/>
      <c r="DM12" s="239"/>
      <c r="DN12" s="239"/>
      <c r="DO12" s="239"/>
      <c r="DP12" s="239"/>
      <c r="DQ12" s="239"/>
      <c r="DR12" s="239"/>
      <c r="DS12" s="239"/>
      <c r="DT12" s="239"/>
      <c r="DU12" s="239"/>
      <c r="DV12" s="239"/>
      <c r="DW12" s="239"/>
      <c r="DX12" s="239"/>
      <c r="DY12" s="239"/>
      <c r="DZ12" s="239"/>
      <c r="EA12" s="239"/>
      <c r="EB12" s="239"/>
      <c r="EC12" s="239"/>
      <c r="ED12" s="239"/>
      <c r="EE12" s="239"/>
      <c r="EF12" s="239"/>
      <c r="EG12" s="239"/>
      <c r="EH12" s="239"/>
      <c r="EI12" s="239"/>
      <c r="EJ12" s="239"/>
      <c r="EK12" s="239"/>
      <c r="EL12" s="239"/>
      <c r="EM12" s="239"/>
      <c r="EN12" s="239"/>
      <c r="EO12" s="239"/>
      <c r="EP12" s="239"/>
      <c r="EQ12" s="239"/>
      <c r="ER12" s="239"/>
      <c r="ES12" s="239"/>
      <c r="ET12" s="239"/>
      <c r="EU12" s="239"/>
      <c r="EV12" s="239"/>
      <c r="EW12" s="239"/>
      <c r="EX12" s="239"/>
      <c r="EY12" s="239"/>
      <c r="EZ12" s="239"/>
      <c r="FA12" s="239"/>
      <c r="FB12" s="239"/>
      <c r="FC12" s="239"/>
      <c r="FD12" s="239"/>
      <c r="FE12" s="239"/>
      <c r="FF12" s="239"/>
      <c r="FG12" s="239"/>
      <c r="FH12" s="239"/>
      <c r="FI12" s="239"/>
      <c r="FJ12" s="239"/>
      <c r="FK12" s="239"/>
      <c r="FL12" s="239"/>
      <c r="FM12" s="239"/>
      <c r="FN12" s="239"/>
      <c r="FO12" s="239"/>
      <c r="FP12" s="239"/>
      <c r="FQ12" s="239"/>
      <c r="FR12" s="239"/>
      <c r="FS12" s="239"/>
      <c r="FT12" s="239"/>
      <c r="FU12" s="239"/>
      <c r="FV12" s="239"/>
      <c r="FW12" s="239"/>
      <c r="FX12" s="239"/>
      <c r="FY12" s="239"/>
      <c r="FZ12" s="239"/>
      <c r="GA12" s="239"/>
      <c r="GB12" s="239"/>
      <c r="GC12" s="239"/>
      <c r="GD12" s="239"/>
      <c r="GE12" s="239"/>
      <c r="GF12" s="239"/>
      <c r="GG12" s="239"/>
      <c r="GH12" s="239"/>
      <c r="GI12" s="239"/>
      <c r="GJ12" s="239"/>
      <c r="GK12" s="239"/>
      <c r="GL12" s="239"/>
      <c r="GM12" s="239"/>
      <c r="GN12" s="239"/>
      <c r="GO12" s="239"/>
      <c r="GP12" s="239"/>
      <c r="GQ12" s="239"/>
      <c r="GR12" s="239"/>
      <c r="GS12" s="239"/>
      <c r="GT12" s="239"/>
      <c r="GU12" s="239"/>
      <c r="GV12" s="239"/>
      <c r="GW12" s="239"/>
      <c r="GX12" s="239"/>
      <c r="GY12" s="239"/>
      <c r="GZ12" s="239"/>
      <c r="HA12" s="239"/>
      <c r="HB12" s="239"/>
      <c r="HC12" s="239"/>
      <c r="HD12" s="239"/>
      <c r="HE12" s="239"/>
      <c r="HF12" s="239"/>
      <c r="HG12" s="239"/>
      <c r="HH12" s="239"/>
      <c r="HI12" s="239"/>
      <c r="HJ12" s="239"/>
      <c r="HK12" s="239"/>
      <c r="HL12" s="239"/>
      <c r="HM12" s="239"/>
      <c r="HN12" s="239"/>
      <c r="HO12" s="239"/>
      <c r="HP12" s="239"/>
      <c r="HQ12" s="239"/>
      <c r="HR12" s="239"/>
      <c r="HS12" s="239"/>
      <c r="HT12" s="239"/>
      <c r="HU12" s="239"/>
      <c r="HV12" s="239"/>
      <c r="HW12" s="239"/>
      <c r="HX12" s="239"/>
      <c r="HY12" s="239"/>
      <c r="HZ12" s="239"/>
      <c r="IA12" s="239"/>
      <c r="IB12" s="239"/>
      <c r="IC12" s="239"/>
      <c r="ID12" s="239"/>
      <c r="IE12" s="239"/>
      <c r="IF12" s="239"/>
      <c r="IG12" s="239"/>
      <c r="IH12" s="239"/>
      <c r="II12" s="239"/>
      <c r="IJ12" s="239"/>
      <c r="IK12" s="239"/>
      <c r="IL12" s="239"/>
      <c r="IM12" s="239"/>
      <c r="IN12" s="239"/>
      <c r="IO12" s="239"/>
      <c r="IP12" s="239"/>
      <c r="IQ12" s="239"/>
      <c r="IR12" s="239"/>
      <c r="IS12" s="239"/>
      <c r="IT12" s="239"/>
      <c r="IU12" s="239"/>
      <c r="IV12" s="239"/>
      <c r="IW12" s="239"/>
      <c r="IX12" s="239"/>
      <c r="IY12" s="239"/>
      <c r="IZ12" s="239"/>
      <c r="JA12" s="239"/>
      <c r="JB12" s="239"/>
      <c r="JC12" s="239"/>
      <c r="JD12" s="239"/>
      <c r="JE12" s="239"/>
      <c r="JF12" s="239"/>
      <c r="JG12" s="239"/>
      <c r="JH12" s="239"/>
      <c r="JI12" s="239"/>
      <c r="JJ12" s="239"/>
      <c r="JK12" s="239"/>
      <c r="JL12" s="239"/>
      <c r="JM12" s="239"/>
      <c r="JN12" s="239"/>
      <c r="JO12" s="239"/>
      <c r="JP12" s="239"/>
      <c r="JQ12" s="239"/>
      <c r="JR12" s="239"/>
      <c r="JS12" s="239"/>
      <c r="JT12" s="239"/>
      <c r="JU12" s="239"/>
      <c r="JV12" s="239"/>
      <c r="JW12" s="239"/>
      <c r="JX12" s="239"/>
      <c r="JY12" s="239"/>
      <c r="JZ12" s="239"/>
      <c r="KA12" s="239"/>
      <c r="KB12" s="239"/>
      <c r="KC12" s="239"/>
      <c r="KD12" s="239"/>
      <c r="KE12" s="239"/>
      <c r="KF12" s="239"/>
      <c r="KG12" s="239"/>
      <c r="KH12" s="239"/>
      <c r="KI12" s="239"/>
      <c r="KJ12" s="239"/>
      <c r="KK12" s="239"/>
      <c r="KL12" s="239"/>
      <c r="KM12" s="239"/>
      <c r="KN12" s="239"/>
      <c r="KO12" s="239"/>
      <c r="KP12" s="239"/>
      <c r="KQ12" s="239"/>
      <c r="KR12" s="239"/>
      <c r="KS12" s="239"/>
      <c r="KT12" s="239"/>
      <c r="KU12" s="239"/>
      <c r="KV12" s="239"/>
      <c r="KW12" s="239"/>
      <c r="KX12" s="239"/>
      <c r="KY12" s="239"/>
      <c r="KZ12" s="239"/>
      <c r="LA12" s="239"/>
      <c r="LB12" s="239"/>
      <c r="LC12" s="239"/>
      <c r="LD12" s="239"/>
      <c r="LE12" s="239"/>
      <c r="LF12" s="239"/>
      <c r="LG12" s="239"/>
      <c r="LH12" s="239"/>
      <c r="LI12" s="239"/>
      <c r="LJ12" s="239"/>
      <c r="LK12" s="239"/>
      <c r="LL12" s="239"/>
      <c r="LM12" s="239"/>
      <c r="LN12" s="239"/>
      <c r="LO12" s="239"/>
      <c r="LP12" s="239"/>
      <c r="LQ12" s="239"/>
      <c r="LR12" s="239"/>
      <c r="LS12" s="239"/>
      <c r="LT12" s="239"/>
      <c r="LU12" s="239"/>
      <c r="LV12" s="239"/>
      <c r="LW12" s="239"/>
      <c r="LX12" s="239"/>
      <c r="LY12" s="239"/>
      <c r="LZ12" s="239"/>
      <c r="MA12" s="239"/>
      <c r="MB12" s="239"/>
      <c r="MC12" s="239"/>
      <c r="MD12" s="239"/>
      <c r="ME12" s="239"/>
      <c r="MF12" s="239"/>
      <c r="MG12" s="239"/>
      <c r="MH12" s="239"/>
      <c r="MI12" s="239"/>
      <c r="MJ12" s="239"/>
      <c r="MK12" s="239"/>
      <c r="ML12" s="239"/>
      <c r="MM12" s="239"/>
      <c r="MN12" s="239"/>
      <c r="MO12" s="239"/>
      <c r="MP12" s="239"/>
      <c r="MQ12" s="239"/>
      <c r="MR12" s="239"/>
      <c r="MS12" s="239"/>
      <c r="MT12" s="239"/>
      <c r="MU12" s="239"/>
      <c r="MV12" s="239"/>
      <c r="MW12" s="239"/>
      <c r="MX12" s="239"/>
      <c r="MY12" s="239"/>
      <c r="MZ12" s="239"/>
      <c r="NA12" s="239"/>
      <c r="NB12" s="239"/>
      <c r="NC12" s="239"/>
      <c r="ND12" s="239"/>
      <c r="NE12" s="239"/>
      <c r="NF12" s="239"/>
      <c r="NG12" s="239"/>
      <c r="NH12" s="239"/>
      <c r="NI12" s="239"/>
      <c r="NJ12" s="239"/>
      <c r="NK12" s="239"/>
      <c r="NL12" s="239"/>
      <c r="NM12" s="239"/>
      <c r="NN12" s="239"/>
      <c r="NO12" s="239"/>
      <c r="NP12" s="239"/>
      <c r="NQ12" s="239"/>
      <c r="NR12" s="239"/>
      <c r="NS12" s="239"/>
      <c r="NT12" s="239"/>
      <c r="NU12" s="239"/>
      <c r="NV12" s="239"/>
      <c r="NW12" s="239"/>
      <c r="NX12" s="239"/>
      <c r="NY12" s="239"/>
      <c r="NZ12" s="239"/>
      <c r="OA12" s="239"/>
      <c r="OB12" s="239"/>
      <c r="OC12" s="239"/>
      <c r="OD12" s="239"/>
      <c r="OE12" s="239"/>
      <c r="OF12" s="239"/>
      <c r="OG12" s="239"/>
      <c r="OH12" s="239"/>
      <c r="OI12" s="239"/>
      <c r="OJ12" s="239"/>
      <c r="OK12" s="239"/>
      <c r="OL12" s="239"/>
      <c r="OM12" s="239"/>
      <c r="ON12" s="239"/>
      <c r="OO12" s="239"/>
      <c r="OP12" s="239"/>
      <c r="OQ12" s="239"/>
      <c r="OR12" s="239"/>
      <c r="OS12" s="239"/>
      <c r="OT12" s="239"/>
      <c r="OU12" s="239"/>
      <c r="OV12" s="239"/>
      <c r="OW12" s="239"/>
      <c r="OX12" s="239"/>
      <c r="OY12" s="239"/>
      <c r="OZ12" s="239"/>
      <c r="PA12" s="239"/>
      <c r="PB12" s="239"/>
      <c r="PC12" s="239"/>
      <c r="PD12" s="239"/>
      <c r="PE12" s="239"/>
      <c r="PF12" s="239"/>
      <c r="PG12" s="239"/>
      <c r="PH12" s="239"/>
      <c r="PI12" s="239"/>
      <c r="PJ12" s="239"/>
      <c r="PK12" s="239"/>
      <c r="PL12" s="239"/>
      <c r="PM12" s="239"/>
      <c r="PN12" s="239"/>
      <c r="PO12" s="239"/>
      <c r="PP12" s="239"/>
      <c r="PQ12" s="239"/>
      <c r="PR12" s="239"/>
      <c r="PS12" s="239"/>
      <c r="PT12" s="239"/>
      <c r="PU12" s="239"/>
      <c r="PV12" s="239"/>
      <c r="PW12" s="239"/>
      <c r="PX12" s="239"/>
      <c r="PY12" s="239"/>
      <c r="PZ12" s="239"/>
      <c r="QA12" s="239"/>
      <c r="QB12" s="239"/>
      <c r="QC12" s="239"/>
      <c r="QD12" s="239"/>
      <c r="QE12" s="239"/>
      <c r="QF12" s="239"/>
      <c r="QG12" s="239"/>
      <c r="QH12" s="239"/>
      <c r="QI12" s="239"/>
      <c r="QJ12" s="239"/>
      <c r="QK12" s="239"/>
      <c r="QL12" s="239"/>
      <c r="QM12" s="239"/>
      <c r="QN12" s="239"/>
      <c r="QO12" s="239"/>
      <c r="QP12" s="239"/>
      <c r="QQ12" s="239"/>
      <c r="QR12" s="239"/>
      <c r="QS12" s="239"/>
      <c r="QT12" s="239"/>
      <c r="QU12" s="239"/>
      <c r="QV12" s="239"/>
      <c r="QW12" s="239"/>
      <c r="QX12" s="239"/>
      <c r="QY12" s="239"/>
      <c r="QZ12" s="239"/>
      <c r="RA12" s="239"/>
      <c r="RB12" s="239"/>
      <c r="RC12" s="239"/>
      <c r="RD12" s="239"/>
      <c r="RE12" s="239"/>
      <c r="RF12" s="239"/>
      <c r="RG12" s="239"/>
      <c r="RH12" s="239"/>
      <c r="RI12" s="239"/>
      <c r="RJ12" s="239"/>
      <c r="RK12" s="239"/>
      <c r="RL12" s="239"/>
      <c r="RM12" s="239"/>
      <c r="RN12" s="239"/>
      <c r="RO12" s="239"/>
      <c r="RP12" s="239"/>
      <c r="RQ12" s="239"/>
      <c r="RR12" s="239"/>
      <c r="RS12" s="239"/>
      <c r="RT12" s="239"/>
      <c r="RU12" s="239"/>
      <c r="RV12" s="239"/>
      <c r="RW12" s="239"/>
      <c r="RX12" s="239"/>
      <c r="RY12" s="239"/>
      <c r="RZ12" s="239"/>
      <c r="SA12" s="239"/>
      <c r="SB12" s="239"/>
      <c r="SC12" s="239"/>
      <c r="SD12" s="239"/>
      <c r="SE12" s="239"/>
      <c r="SF12" s="239"/>
      <c r="SG12" s="239"/>
      <c r="SH12" s="239"/>
      <c r="SI12" s="239"/>
      <c r="SJ12" s="239"/>
      <c r="SK12" s="239"/>
      <c r="SL12" s="239"/>
      <c r="SM12" s="239"/>
      <c r="SN12" s="239"/>
      <c r="SO12" s="239"/>
      <c r="SP12" s="239"/>
      <c r="SQ12" s="239"/>
      <c r="SR12" s="239"/>
      <c r="SS12" s="239"/>
      <c r="ST12" s="239"/>
      <c r="SU12" s="239"/>
      <c r="SV12" s="239"/>
      <c r="SW12" s="239"/>
      <c r="SX12" s="239"/>
      <c r="SY12" s="239"/>
      <c r="SZ12" s="239"/>
      <c r="TA12" s="239"/>
      <c r="TB12" s="239"/>
      <c r="TC12" s="239"/>
      <c r="TD12" s="239"/>
      <c r="TE12" s="239"/>
      <c r="TF12" s="239"/>
      <c r="TG12" s="239"/>
      <c r="TH12" s="239"/>
      <c r="TI12" s="239"/>
      <c r="TJ12" s="239"/>
      <c r="TK12" s="239"/>
      <c r="TL12" s="239"/>
      <c r="TM12" s="239"/>
      <c r="TN12" s="239"/>
      <c r="TO12" s="239"/>
      <c r="TP12" s="239"/>
      <c r="TQ12" s="239"/>
      <c r="TR12" s="239"/>
      <c r="TS12" s="239"/>
      <c r="TT12" s="239"/>
      <c r="TU12" s="239"/>
      <c r="TV12" s="239"/>
      <c r="TW12" s="239"/>
      <c r="TX12" s="239"/>
      <c r="TY12" s="239"/>
      <c r="TZ12" s="239"/>
      <c r="UA12" s="239"/>
      <c r="UB12" s="239"/>
      <c r="UC12" s="239"/>
      <c r="UD12" s="239"/>
      <c r="UE12" s="239"/>
      <c r="UF12" s="239"/>
      <c r="UG12" s="240"/>
    </row>
    <row r="13" spans="1:553" s="236" customFormat="1" ht="33" customHeight="1">
      <c r="A13" s="356" t="s">
        <v>17</v>
      </c>
      <c r="B13" s="356"/>
      <c r="C13" s="430" t="s">
        <v>18</v>
      </c>
      <c r="D13" s="1211"/>
      <c r="E13" s="1211"/>
      <c r="F13" s="1212"/>
      <c r="G13" s="356" t="s">
        <v>1393</v>
      </c>
      <c r="H13" s="359">
        <f>SUM(H14:H16)</f>
        <v>557.79999999999995</v>
      </c>
      <c r="I13" s="359">
        <f>SUM(I14:I16)</f>
        <v>557.79999999999995</v>
      </c>
      <c r="J13" s="368"/>
      <c r="K13" s="371"/>
      <c r="L13" s="440">
        <f>SUM(L14:L16)</f>
        <v>104447600</v>
      </c>
      <c r="M13" s="356"/>
      <c r="N13" s="356"/>
      <c r="O13" s="356"/>
      <c r="P13" s="356"/>
      <c r="Q13" s="1040"/>
      <c r="R13" s="1447" t="s">
        <v>873</v>
      </c>
      <c r="S13" s="1047"/>
      <c r="T13" s="303"/>
      <c r="U13" s="306"/>
      <c r="V13" s="307"/>
      <c r="W13" s="306"/>
      <c r="X13" s="306"/>
      <c r="Y13" s="306"/>
      <c r="Z13" s="306"/>
      <c r="AA13" s="306"/>
      <c r="AB13" s="306"/>
      <c r="AC13" s="449"/>
      <c r="AD13" s="449"/>
      <c r="AE13" s="449"/>
      <c r="AF13" s="449"/>
      <c r="AG13" s="449"/>
      <c r="AH13" s="449"/>
      <c r="AI13" s="449"/>
      <c r="AJ13" s="449"/>
      <c r="AK13" s="449"/>
      <c r="AL13" s="242"/>
      <c r="AM13" s="241"/>
      <c r="AN13" s="241"/>
      <c r="AO13" s="237"/>
      <c r="AP13" s="241"/>
      <c r="AQ13" s="241"/>
      <c r="AR13" s="241"/>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9"/>
      <c r="BQ13" s="239"/>
      <c r="BR13" s="239"/>
      <c r="BS13" s="239"/>
      <c r="BT13" s="239"/>
      <c r="BU13" s="239"/>
      <c r="BV13" s="239"/>
      <c r="BW13" s="239"/>
      <c r="BX13" s="239"/>
      <c r="BY13" s="239"/>
      <c r="BZ13" s="239"/>
      <c r="CA13" s="239"/>
      <c r="CB13" s="239"/>
      <c r="CC13" s="239"/>
      <c r="CD13" s="239"/>
      <c r="CE13" s="239"/>
      <c r="CF13" s="239"/>
      <c r="CG13" s="239"/>
      <c r="CH13" s="239"/>
      <c r="CI13" s="239"/>
      <c r="CJ13" s="239"/>
      <c r="CK13" s="239"/>
      <c r="CL13" s="239"/>
      <c r="CM13" s="239"/>
      <c r="CN13" s="239"/>
      <c r="CO13" s="239"/>
      <c r="CP13" s="239"/>
      <c r="CQ13" s="239"/>
      <c r="CR13" s="239"/>
      <c r="CS13" s="239"/>
      <c r="CT13" s="239"/>
      <c r="CU13" s="239"/>
      <c r="CV13" s="239"/>
      <c r="CW13" s="239"/>
      <c r="CX13" s="239"/>
      <c r="CY13" s="239"/>
      <c r="CZ13" s="239"/>
      <c r="DA13" s="239"/>
      <c r="DB13" s="239"/>
      <c r="DC13" s="239"/>
      <c r="DD13" s="239"/>
      <c r="DE13" s="239"/>
      <c r="DF13" s="239"/>
      <c r="DG13" s="239"/>
      <c r="DH13" s="239"/>
      <c r="DI13" s="239"/>
      <c r="DJ13" s="239"/>
      <c r="DK13" s="239"/>
      <c r="DL13" s="239"/>
      <c r="DM13" s="239"/>
      <c r="DN13" s="239"/>
      <c r="DO13" s="239"/>
      <c r="DP13" s="239"/>
      <c r="DQ13" s="239"/>
      <c r="DR13" s="239"/>
      <c r="DS13" s="239"/>
      <c r="DT13" s="239"/>
      <c r="DU13" s="239"/>
      <c r="DV13" s="239"/>
      <c r="DW13" s="239"/>
      <c r="DX13" s="239"/>
      <c r="DY13" s="239"/>
      <c r="DZ13" s="239"/>
      <c r="EA13" s="239"/>
      <c r="EB13" s="239"/>
      <c r="EC13" s="239"/>
      <c r="ED13" s="239"/>
      <c r="EE13" s="239"/>
      <c r="EF13" s="239"/>
      <c r="EG13" s="239"/>
      <c r="EH13" s="239"/>
      <c r="EI13" s="239"/>
      <c r="EJ13" s="239"/>
      <c r="EK13" s="239"/>
      <c r="EL13" s="239"/>
      <c r="EM13" s="239"/>
      <c r="EN13" s="239"/>
      <c r="EO13" s="239"/>
      <c r="EP13" s="239"/>
      <c r="EQ13" s="239"/>
      <c r="ER13" s="239"/>
      <c r="ES13" s="239"/>
      <c r="ET13" s="239"/>
      <c r="EU13" s="239"/>
      <c r="EV13" s="239"/>
      <c r="EW13" s="239"/>
      <c r="EX13" s="239"/>
      <c r="EY13" s="239"/>
      <c r="EZ13" s="239"/>
      <c r="FA13" s="239"/>
      <c r="FB13" s="239"/>
      <c r="FC13" s="239"/>
      <c r="FD13" s="239"/>
      <c r="FE13" s="239"/>
      <c r="FF13" s="239"/>
      <c r="FG13" s="239"/>
      <c r="FH13" s="239"/>
      <c r="FI13" s="239"/>
      <c r="FJ13" s="239"/>
      <c r="FK13" s="239"/>
      <c r="FL13" s="239"/>
      <c r="FM13" s="239"/>
      <c r="FN13" s="239"/>
      <c r="FO13" s="239"/>
      <c r="FP13" s="239"/>
      <c r="FQ13" s="239"/>
      <c r="FR13" s="239"/>
      <c r="FS13" s="239"/>
      <c r="FT13" s="239"/>
      <c r="FU13" s="239"/>
      <c r="FV13" s="239"/>
      <c r="FW13" s="239"/>
      <c r="FX13" s="239"/>
      <c r="FY13" s="239"/>
      <c r="FZ13" s="239"/>
      <c r="GA13" s="239"/>
      <c r="GB13" s="239"/>
      <c r="GC13" s="239"/>
      <c r="GD13" s="239"/>
      <c r="GE13" s="239"/>
      <c r="GF13" s="239"/>
      <c r="GG13" s="239"/>
      <c r="GH13" s="239"/>
      <c r="GI13" s="239"/>
      <c r="GJ13" s="239"/>
      <c r="GK13" s="239"/>
      <c r="GL13" s="239"/>
      <c r="GM13" s="239"/>
      <c r="GN13" s="239"/>
      <c r="GO13" s="239"/>
      <c r="GP13" s="239"/>
      <c r="GQ13" s="239"/>
      <c r="GR13" s="239"/>
      <c r="GS13" s="239"/>
      <c r="GT13" s="239"/>
      <c r="GU13" s="239"/>
      <c r="GV13" s="239"/>
      <c r="GW13" s="239"/>
      <c r="GX13" s="239"/>
      <c r="GY13" s="239"/>
      <c r="GZ13" s="239"/>
      <c r="HA13" s="239"/>
      <c r="HB13" s="239"/>
      <c r="HC13" s="239"/>
      <c r="HD13" s="239"/>
      <c r="HE13" s="239"/>
      <c r="HF13" s="239"/>
      <c r="HG13" s="239"/>
      <c r="HH13" s="239"/>
      <c r="HI13" s="239"/>
      <c r="HJ13" s="239"/>
      <c r="HK13" s="239"/>
      <c r="HL13" s="239"/>
      <c r="HM13" s="239"/>
      <c r="HN13" s="239"/>
      <c r="HO13" s="239"/>
      <c r="HP13" s="239"/>
      <c r="HQ13" s="239"/>
      <c r="HR13" s="239"/>
      <c r="HS13" s="239"/>
      <c r="HT13" s="239"/>
      <c r="HU13" s="239"/>
      <c r="HV13" s="239"/>
      <c r="HW13" s="239"/>
      <c r="HX13" s="239"/>
      <c r="HY13" s="239"/>
      <c r="HZ13" s="239"/>
      <c r="IA13" s="239"/>
      <c r="IB13" s="239"/>
      <c r="IC13" s="239"/>
      <c r="ID13" s="239"/>
      <c r="IE13" s="239"/>
      <c r="IF13" s="239"/>
      <c r="IG13" s="239"/>
      <c r="IH13" s="239"/>
      <c r="II13" s="239"/>
      <c r="IJ13" s="239"/>
      <c r="IK13" s="239"/>
      <c r="IL13" s="239"/>
      <c r="IM13" s="239"/>
      <c r="IN13" s="239"/>
      <c r="IO13" s="239"/>
      <c r="IP13" s="239"/>
      <c r="IQ13" s="239"/>
      <c r="IR13" s="239"/>
      <c r="IS13" s="239"/>
      <c r="IT13" s="239"/>
      <c r="IU13" s="239"/>
      <c r="IV13" s="239"/>
      <c r="IW13" s="239"/>
      <c r="IX13" s="239"/>
      <c r="IY13" s="239"/>
      <c r="IZ13" s="239"/>
      <c r="JA13" s="239"/>
      <c r="JB13" s="239"/>
      <c r="JC13" s="239"/>
      <c r="JD13" s="239"/>
      <c r="JE13" s="239"/>
      <c r="JF13" s="239"/>
      <c r="JG13" s="239"/>
      <c r="JH13" s="239"/>
      <c r="JI13" s="239"/>
      <c r="JJ13" s="239"/>
      <c r="JK13" s="239"/>
      <c r="JL13" s="239"/>
      <c r="JM13" s="239"/>
      <c r="JN13" s="239"/>
      <c r="JO13" s="239"/>
      <c r="JP13" s="239"/>
      <c r="JQ13" s="239"/>
      <c r="JR13" s="239"/>
      <c r="JS13" s="239"/>
      <c r="JT13" s="239"/>
      <c r="JU13" s="239"/>
      <c r="JV13" s="239"/>
      <c r="JW13" s="239"/>
      <c r="JX13" s="239"/>
      <c r="JY13" s="239"/>
      <c r="JZ13" s="239"/>
      <c r="KA13" s="239"/>
      <c r="KB13" s="239"/>
      <c r="KC13" s="239"/>
      <c r="KD13" s="239"/>
      <c r="KE13" s="239"/>
      <c r="KF13" s="239"/>
      <c r="KG13" s="239"/>
      <c r="KH13" s="239"/>
      <c r="KI13" s="239"/>
      <c r="KJ13" s="239"/>
      <c r="KK13" s="239"/>
      <c r="KL13" s="239"/>
      <c r="KM13" s="239"/>
      <c r="KN13" s="239"/>
      <c r="KO13" s="239"/>
      <c r="KP13" s="239"/>
      <c r="KQ13" s="239"/>
      <c r="KR13" s="239"/>
      <c r="KS13" s="239"/>
      <c r="KT13" s="239"/>
      <c r="KU13" s="239"/>
      <c r="KV13" s="239"/>
      <c r="KW13" s="239"/>
      <c r="KX13" s="239"/>
      <c r="KY13" s="239"/>
      <c r="KZ13" s="239"/>
      <c r="LA13" s="239"/>
      <c r="LB13" s="239"/>
      <c r="LC13" s="239"/>
      <c r="LD13" s="239"/>
      <c r="LE13" s="239"/>
      <c r="LF13" s="239"/>
      <c r="LG13" s="239"/>
      <c r="LH13" s="239"/>
      <c r="LI13" s="239"/>
      <c r="LJ13" s="239"/>
      <c r="LK13" s="239"/>
      <c r="LL13" s="239"/>
      <c r="LM13" s="239"/>
      <c r="LN13" s="239"/>
      <c r="LO13" s="239"/>
      <c r="LP13" s="239"/>
      <c r="LQ13" s="239"/>
      <c r="LR13" s="239"/>
      <c r="LS13" s="239"/>
      <c r="LT13" s="239"/>
      <c r="LU13" s="239"/>
      <c r="LV13" s="239"/>
      <c r="LW13" s="239"/>
      <c r="LX13" s="239"/>
      <c r="LY13" s="239"/>
      <c r="LZ13" s="239"/>
      <c r="MA13" s="239"/>
      <c r="MB13" s="239"/>
      <c r="MC13" s="239"/>
      <c r="MD13" s="239"/>
      <c r="ME13" s="239"/>
      <c r="MF13" s="239"/>
      <c r="MG13" s="239"/>
      <c r="MH13" s="239"/>
      <c r="MI13" s="239"/>
      <c r="MJ13" s="239"/>
      <c r="MK13" s="239"/>
      <c r="ML13" s="239"/>
      <c r="MM13" s="239"/>
      <c r="MN13" s="239"/>
      <c r="MO13" s="239"/>
      <c r="MP13" s="239"/>
      <c r="MQ13" s="239"/>
      <c r="MR13" s="239"/>
      <c r="MS13" s="239"/>
      <c r="MT13" s="239"/>
      <c r="MU13" s="239"/>
      <c r="MV13" s="239"/>
      <c r="MW13" s="239"/>
      <c r="MX13" s="239"/>
      <c r="MY13" s="239"/>
      <c r="MZ13" s="239"/>
      <c r="NA13" s="239"/>
      <c r="NB13" s="239"/>
      <c r="NC13" s="239"/>
      <c r="ND13" s="239"/>
      <c r="NE13" s="239"/>
      <c r="NF13" s="239"/>
      <c r="NG13" s="239"/>
      <c r="NH13" s="239"/>
      <c r="NI13" s="239"/>
      <c r="NJ13" s="239"/>
      <c r="NK13" s="239"/>
      <c r="NL13" s="239"/>
      <c r="NM13" s="239"/>
      <c r="NN13" s="239"/>
      <c r="NO13" s="239"/>
      <c r="NP13" s="239"/>
      <c r="NQ13" s="239"/>
      <c r="NR13" s="239"/>
      <c r="NS13" s="239"/>
      <c r="NT13" s="239"/>
      <c r="NU13" s="239"/>
      <c r="NV13" s="239"/>
      <c r="NW13" s="239"/>
      <c r="NX13" s="239"/>
      <c r="NY13" s="239"/>
      <c r="NZ13" s="239"/>
      <c r="OA13" s="239"/>
      <c r="OB13" s="239"/>
      <c r="OC13" s="239"/>
      <c r="OD13" s="239"/>
      <c r="OE13" s="239"/>
      <c r="OF13" s="239"/>
      <c r="OG13" s="239"/>
      <c r="OH13" s="239"/>
      <c r="OI13" s="239"/>
      <c r="OJ13" s="239"/>
      <c r="OK13" s="239"/>
      <c r="OL13" s="239"/>
      <c r="OM13" s="239"/>
      <c r="ON13" s="239"/>
      <c r="OO13" s="239"/>
      <c r="OP13" s="239"/>
      <c r="OQ13" s="239"/>
      <c r="OR13" s="239"/>
      <c r="OS13" s="239"/>
      <c r="OT13" s="239"/>
      <c r="OU13" s="239"/>
      <c r="OV13" s="239"/>
      <c r="OW13" s="239"/>
      <c r="OX13" s="239"/>
      <c r="OY13" s="239"/>
      <c r="OZ13" s="239"/>
      <c r="PA13" s="239"/>
      <c r="PB13" s="239"/>
      <c r="PC13" s="239"/>
      <c r="PD13" s="239"/>
      <c r="PE13" s="239"/>
      <c r="PF13" s="239"/>
      <c r="PG13" s="239"/>
      <c r="PH13" s="239"/>
      <c r="PI13" s="239"/>
      <c r="PJ13" s="239"/>
      <c r="PK13" s="239"/>
      <c r="PL13" s="239"/>
      <c r="PM13" s="239"/>
      <c r="PN13" s="239"/>
      <c r="PO13" s="239"/>
      <c r="PP13" s="239"/>
      <c r="PQ13" s="239"/>
      <c r="PR13" s="239"/>
      <c r="PS13" s="239"/>
      <c r="PT13" s="239"/>
      <c r="PU13" s="239"/>
      <c r="PV13" s="239"/>
      <c r="PW13" s="239"/>
      <c r="PX13" s="239"/>
      <c r="PY13" s="239"/>
      <c r="PZ13" s="239"/>
      <c r="QA13" s="239"/>
      <c r="QB13" s="239"/>
      <c r="QC13" s="239"/>
      <c r="QD13" s="239"/>
      <c r="QE13" s="239"/>
      <c r="QF13" s="239"/>
      <c r="QG13" s="239"/>
      <c r="QH13" s="239"/>
      <c r="QI13" s="239"/>
      <c r="QJ13" s="239"/>
      <c r="QK13" s="239"/>
      <c r="QL13" s="239"/>
      <c r="QM13" s="239"/>
      <c r="QN13" s="239"/>
      <c r="QO13" s="239"/>
      <c r="QP13" s="239"/>
      <c r="QQ13" s="239"/>
      <c r="QR13" s="239"/>
      <c r="QS13" s="239"/>
      <c r="QT13" s="239"/>
      <c r="QU13" s="239"/>
      <c r="QV13" s="239"/>
      <c r="QW13" s="239"/>
      <c r="QX13" s="239"/>
      <c r="QY13" s="239"/>
      <c r="QZ13" s="239"/>
      <c r="RA13" s="239"/>
      <c r="RB13" s="239"/>
      <c r="RC13" s="239"/>
      <c r="RD13" s="239"/>
      <c r="RE13" s="239"/>
      <c r="RF13" s="239"/>
      <c r="RG13" s="239"/>
      <c r="RH13" s="239"/>
      <c r="RI13" s="239"/>
      <c r="RJ13" s="239"/>
      <c r="RK13" s="239"/>
      <c r="RL13" s="239"/>
      <c r="RM13" s="239"/>
      <c r="RN13" s="239"/>
      <c r="RO13" s="239"/>
      <c r="RP13" s="239"/>
      <c r="RQ13" s="239"/>
      <c r="RR13" s="239"/>
      <c r="RS13" s="239"/>
      <c r="RT13" s="239"/>
      <c r="RU13" s="239"/>
      <c r="RV13" s="239"/>
      <c r="RW13" s="239"/>
      <c r="RX13" s="239"/>
      <c r="RY13" s="239"/>
      <c r="RZ13" s="239"/>
      <c r="SA13" s="239"/>
      <c r="SB13" s="239"/>
      <c r="SC13" s="239"/>
      <c r="SD13" s="239"/>
      <c r="SE13" s="239"/>
      <c r="SF13" s="239"/>
      <c r="SG13" s="239"/>
      <c r="SH13" s="239"/>
      <c r="SI13" s="239"/>
      <c r="SJ13" s="239"/>
      <c r="SK13" s="239"/>
      <c r="SL13" s="239"/>
      <c r="SM13" s="239"/>
      <c r="SN13" s="239"/>
      <c r="SO13" s="239"/>
      <c r="SP13" s="239"/>
      <c r="SQ13" s="239"/>
      <c r="SR13" s="239"/>
      <c r="SS13" s="239"/>
      <c r="ST13" s="239"/>
      <c r="SU13" s="239"/>
      <c r="SV13" s="239"/>
      <c r="SW13" s="239"/>
      <c r="SX13" s="239"/>
      <c r="SY13" s="239"/>
      <c r="SZ13" s="239"/>
      <c r="TA13" s="239"/>
      <c r="TB13" s="239"/>
      <c r="TC13" s="239"/>
      <c r="TD13" s="239"/>
      <c r="TE13" s="239"/>
      <c r="TF13" s="239"/>
      <c r="TG13" s="239"/>
      <c r="TH13" s="239"/>
      <c r="TI13" s="239"/>
      <c r="TJ13" s="239"/>
      <c r="TK13" s="239"/>
      <c r="TL13" s="239"/>
      <c r="TM13" s="239"/>
      <c r="TN13" s="239"/>
      <c r="TO13" s="239"/>
      <c r="TP13" s="239"/>
      <c r="TQ13" s="239"/>
      <c r="TR13" s="239"/>
      <c r="TS13" s="239"/>
      <c r="TT13" s="239"/>
      <c r="TU13" s="239"/>
      <c r="TV13" s="239"/>
      <c r="TW13" s="239"/>
      <c r="TX13" s="239"/>
      <c r="TY13" s="239"/>
      <c r="TZ13" s="239"/>
      <c r="UA13" s="239"/>
      <c r="UB13" s="239"/>
      <c r="UC13" s="239"/>
      <c r="UD13" s="239"/>
      <c r="UE13" s="239"/>
      <c r="UF13" s="239"/>
      <c r="UG13" s="240"/>
    </row>
    <row r="14" spans="1:553" s="236" customFormat="1" ht="186" customHeight="1">
      <c r="A14" s="356" t="s">
        <v>15</v>
      </c>
      <c r="B14" s="385"/>
      <c r="C14" s="384" t="s">
        <v>19</v>
      </c>
      <c r="D14" s="376" t="s">
        <v>20</v>
      </c>
      <c r="E14" s="376" t="s">
        <v>87</v>
      </c>
      <c r="F14" s="385"/>
      <c r="G14" s="386" t="s">
        <v>935</v>
      </c>
      <c r="H14" s="441">
        <v>213</v>
      </c>
      <c r="I14" s="1055">
        <v>213</v>
      </c>
      <c r="J14" s="368">
        <v>390000</v>
      </c>
      <c r="K14" s="371"/>
      <c r="L14" s="391">
        <f>ROUND(PRODUCT(I14:K14),0)</f>
        <v>83070000</v>
      </c>
      <c r="M14" s="451" t="s">
        <v>88</v>
      </c>
      <c r="N14" s="392">
        <v>198000</v>
      </c>
      <c r="O14" s="366">
        <f>N14*M14*I14</f>
        <v>16869600</v>
      </c>
      <c r="P14" s="366"/>
      <c r="Q14" s="1213" t="s">
        <v>1058</v>
      </c>
      <c r="R14" s="1447"/>
      <c r="S14" s="1047"/>
      <c r="T14" s="303"/>
      <c r="U14" s="306"/>
      <c r="V14" s="307"/>
      <c r="W14" s="306"/>
      <c r="X14" s="306"/>
      <c r="Y14" s="306"/>
      <c r="Z14" s="306"/>
      <c r="AA14" s="306"/>
      <c r="AB14" s="306"/>
      <c r="AC14" s="306">
        <f>I14</f>
        <v>213</v>
      </c>
      <c r="AD14" s="449"/>
      <c r="AE14" s="449"/>
      <c r="AF14" s="449"/>
      <c r="AG14" s="449"/>
      <c r="AH14" s="449"/>
      <c r="AI14" s="449"/>
      <c r="AJ14" s="449"/>
      <c r="AK14" s="452"/>
      <c r="AL14" s="242"/>
      <c r="AM14" s="242"/>
      <c r="AN14" s="242"/>
      <c r="AO14" s="243"/>
      <c r="AP14" s="242"/>
      <c r="AQ14" s="242"/>
      <c r="AR14" s="242"/>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c r="IM14" s="245"/>
      <c r="IN14" s="245"/>
      <c r="IO14" s="245"/>
      <c r="IP14" s="245"/>
      <c r="IQ14" s="245"/>
      <c r="IR14" s="245"/>
      <c r="IS14" s="245"/>
      <c r="IT14" s="245"/>
      <c r="IU14" s="245"/>
      <c r="IV14" s="245"/>
      <c r="IW14" s="245"/>
      <c r="IX14" s="245"/>
      <c r="IY14" s="245"/>
      <c r="IZ14" s="245"/>
      <c r="JA14" s="245"/>
      <c r="JB14" s="245"/>
      <c r="JC14" s="245"/>
      <c r="JD14" s="245"/>
      <c r="JE14" s="245"/>
      <c r="JF14" s="245"/>
      <c r="JG14" s="245"/>
      <c r="JH14" s="245"/>
      <c r="JI14" s="245"/>
      <c r="JJ14" s="245"/>
      <c r="JK14" s="245"/>
      <c r="JL14" s="245"/>
      <c r="JM14" s="245"/>
      <c r="JN14" s="245"/>
      <c r="JO14" s="245"/>
      <c r="JP14" s="245"/>
      <c r="JQ14" s="245"/>
      <c r="JR14" s="245"/>
      <c r="JS14" s="245"/>
      <c r="JT14" s="245"/>
      <c r="JU14" s="245"/>
      <c r="JV14" s="245"/>
      <c r="JW14" s="245"/>
      <c r="JX14" s="245"/>
      <c r="JY14" s="245"/>
      <c r="JZ14" s="245"/>
      <c r="KA14" s="245"/>
      <c r="KB14" s="245"/>
      <c r="KC14" s="245"/>
      <c r="KD14" s="245"/>
      <c r="KE14" s="245"/>
      <c r="KF14" s="245"/>
      <c r="KG14" s="245"/>
      <c r="KH14" s="245"/>
      <c r="KI14" s="245"/>
      <c r="KJ14" s="245"/>
      <c r="KK14" s="245"/>
      <c r="KL14" s="245"/>
      <c r="KM14" s="245"/>
      <c r="KN14" s="245"/>
      <c r="KO14" s="245"/>
      <c r="KP14" s="245"/>
      <c r="KQ14" s="245"/>
      <c r="KR14" s="245"/>
      <c r="KS14" s="245"/>
      <c r="KT14" s="245"/>
      <c r="KU14" s="245"/>
      <c r="KV14" s="245"/>
      <c r="KW14" s="245"/>
      <c r="KX14" s="245"/>
      <c r="KY14" s="245"/>
      <c r="KZ14" s="245"/>
      <c r="LA14" s="245"/>
      <c r="LB14" s="245"/>
      <c r="LC14" s="245"/>
      <c r="LD14" s="245"/>
      <c r="LE14" s="245"/>
      <c r="LF14" s="245"/>
      <c r="LG14" s="245"/>
      <c r="LH14" s="245"/>
      <c r="LI14" s="245"/>
      <c r="LJ14" s="245"/>
      <c r="LK14" s="245"/>
      <c r="LL14" s="245"/>
      <c r="LM14" s="245"/>
      <c r="LN14" s="245"/>
      <c r="LO14" s="245"/>
      <c r="LP14" s="245"/>
      <c r="LQ14" s="245"/>
      <c r="LR14" s="245"/>
      <c r="LS14" s="245"/>
      <c r="LT14" s="245"/>
      <c r="LU14" s="245"/>
      <c r="LV14" s="245"/>
      <c r="LW14" s="245"/>
      <c r="LX14" s="245"/>
      <c r="LY14" s="245"/>
      <c r="LZ14" s="245"/>
      <c r="MA14" s="245"/>
      <c r="MB14" s="245"/>
      <c r="MC14" s="245"/>
      <c r="MD14" s="245"/>
      <c r="ME14" s="245"/>
      <c r="MF14" s="245"/>
      <c r="MG14" s="245"/>
      <c r="MH14" s="245"/>
      <c r="MI14" s="245"/>
      <c r="MJ14" s="245"/>
      <c r="MK14" s="245"/>
      <c r="ML14" s="245"/>
      <c r="MM14" s="245"/>
      <c r="MN14" s="245"/>
      <c r="MO14" s="245"/>
      <c r="MP14" s="245"/>
      <c r="MQ14" s="245"/>
      <c r="MR14" s="245"/>
      <c r="MS14" s="245"/>
      <c r="MT14" s="245"/>
      <c r="MU14" s="245"/>
      <c r="MV14" s="245"/>
      <c r="MW14" s="245"/>
      <c r="MX14" s="245"/>
      <c r="MY14" s="245"/>
      <c r="MZ14" s="245"/>
      <c r="NA14" s="245"/>
      <c r="NB14" s="245"/>
      <c r="NC14" s="245"/>
      <c r="ND14" s="245"/>
      <c r="NE14" s="245"/>
      <c r="NF14" s="245"/>
      <c r="NG14" s="245"/>
      <c r="NH14" s="245"/>
      <c r="NI14" s="245"/>
      <c r="NJ14" s="245"/>
      <c r="NK14" s="245"/>
      <c r="NL14" s="245"/>
      <c r="NM14" s="245"/>
      <c r="NN14" s="245"/>
      <c r="NO14" s="245"/>
      <c r="NP14" s="245"/>
      <c r="NQ14" s="245"/>
      <c r="NR14" s="245"/>
      <c r="NS14" s="245"/>
      <c r="NT14" s="245"/>
      <c r="NU14" s="245"/>
      <c r="NV14" s="245"/>
      <c r="NW14" s="245"/>
      <c r="NX14" s="245"/>
      <c r="NY14" s="245"/>
      <c r="NZ14" s="245"/>
      <c r="OA14" s="245"/>
      <c r="OB14" s="245"/>
      <c r="OC14" s="245"/>
      <c r="OD14" s="245"/>
      <c r="OE14" s="245"/>
      <c r="OF14" s="245"/>
      <c r="OG14" s="245"/>
      <c r="OH14" s="245"/>
      <c r="OI14" s="245"/>
      <c r="OJ14" s="245"/>
      <c r="OK14" s="245"/>
      <c r="OL14" s="245"/>
      <c r="OM14" s="245"/>
      <c r="ON14" s="245"/>
      <c r="OO14" s="245"/>
      <c r="OP14" s="245"/>
      <c r="OQ14" s="245"/>
      <c r="OR14" s="245"/>
      <c r="OS14" s="245"/>
      <c r="OT14" s="245"/>
      <c r="OU14" s="245"/>
      <c r="OV14" s="245"/>
      <c r="OW14" s="245"/>
      <c r="OX14" s="245"/>
      <c r="OY14" s="245"/>
      <c r="OZ14" s="245"/>
      <c r="PA14" s="245"/>
      <c r="PB14" s="245"/>
      <c r="PC14" s="245"/>
      <c r="PD14" s="245"/>
      <c r="PE14" s="245"/>
      <c r="PF14" s="245"/>
      <c r="PG14" s="245"/>
      <c r="PH14" s="245"/>
      <c r="PI14" s="245"/>
      <c r="PJ14" s="245"/>
      <c r="PK14" s="245"/>
      <c r="PL14" s="245"/>
      <c r="PM14" s="245"/>
      <c r="PN14" s="245"/>
      <c r="PO14" s="245"/>
      <c r="PP14" s="245"/>
      <c r="PQ14" s="245"/>
      <c r="PR14" s="245"/>
      <c r="PS14" s="245"/>
      <c r="PT14" s="245"/>
      <c r="PU14" s="245"/>
      <c r="PV14" s="245"/>
      <c r="PW14" s="245"/>
      <c r="PX14" s="245"/>
      <c r="PY14" s="245"/>
      <c r="PZ14" s="245"/>
      <c r="QA14" s="245"/>
      <c r="QB14" s="245"/>
      <c r="QC14" s="245"/>
      <c r="QD14" s="245"/>
      <c r="QE14" s="245"/>
      <c r="QF14" s="245"/>
      <c r="QG14" s="245"/>
      <c r="QH14" s="245"/>
      <c r="QI14" s="245"/>
      <c r="QJ14" s="245"/>
      <c r="QK14" s="245"/>
      <c r="QL14" s="245"/>
      <c r="QM14" s="245"/>
      <c r="QN14" s="245"/>
      <c r="QO14" s="245"/>
      <c r="QP14" s="245"/>
      <c r="QQ14" s="245"/>
      <c r="QR14" s="245"/>
      <c r="QS14" s="245"/>
      <c r="QT14" s="245"/>
      <c r="QU14" s="245"/>
      <c r="QV14" s="245"/>
      <c r="QW14" s="245"/>
      <c r="QX14" s="245"/>
      <c r="QY14" s="245"/>
      <c r="QZ14" s="245"/>
      <c r="RA14" s="245"/>
      <c r="RB14" s="245"/>
      <c r="RC14" s="245"/>
      <c r="RD14" s="245"/>
      <c r="RE14" s="245"/>
      <c r="RF14" s="245"/>
      <c r="RG14" s="245"/>
      <c r="RH14" s="245"/>
      <c r="RI14" s="245"/>
      <c r="RJ14" s="245"/>
      <c r="RK14" s="245"/>
      <c r="RL14" s="245"/>
      <c r="RM14" s="245"/>
      <c r="RN14" s="245"/>
      <c r="RO14" s="245"/>
      <c r="RP14" s="245"/>
      <c r="RQ14" s="245"/>
      <c r="RR14" s="245"/>
      <c r="RS14" s="245"/>
      <c r="RT14" s="245"/>
      <c r="RU14" s="245"/>
      <c r="RV14" s="245"/>
      <c r="RW14" s="245"/>
      <c r="RX14" s="245"/>
      <c r="RY14" s="245"/>
      <c r="RZ14" s="245"/>
      <c r="SA14" s="245"/>
      <c r="SB14" s="245"/>
      <c r="SC14" s="245"/>
      <c r="SD14" s="245"/>
      <c r="SE14" s="245"/>
      <c r="SF14" s="245"/>
      <c r="SG14" s="245"/>
      <c r="SH14" s="245"/>
      <c r="SI14" s="245"/>
      <c r="SJ14" s="245"/>
      <c r="SK14" s="245"/>
      <c r="SL14" s="245"/>
      <c r="SM14" s="245"/>
      <c r="SN14" s="245"/>
      <c r="SO14" s="245"/>
      <c r="SP14" s="245"/>
      <c r="SQ14" s="245"/>
      <c r="SR14" s="245"/>
      <c r="SS14" s="245"/>
      <c r="ST14" s="245"/>
      <c r="SU14" s="245"/>
      <c r="SV14" s="245"/>
      <c r="SW14" s="245"/>
      <c r="SX14" s="245"/>
      <c r="SY14" s="245"/>
      <c r="SZ14" s="245"/>
      <c r="TA14" s="245"/>
      <c r="TB14" s="245"/>
      <c r="TC14" s="245"/>
      <c r="TD14" s="245"/>
      <c r="TE14" s="245"/>
      <c r="TF14" s="245"/>
      <c r="TG14" s="245"/>
      <c r="TH14" s="245"/>
      <c r="TI14" s="245"/>
      <c r="TJ14" s="245"/>
      <c r="TK14" s="245"/>
      <c r="TL14" s="245"/>
      <c r="TM14" s="245"/>
      <c r="TN14" s="245"/>
      <c r="TO14" s="245"/>
      <c r="TP14" s="245"/>
      <c r="TQ14" s="245"/>
      <c r="TR14" s="245"/>
      <c r="TS14" s="245"/>
      <c r="TT14" s="245"/>
      <c r="TU14" s="245"/>
      <c r="TV14" s="245"/>
      <c r="TW14" s="245"/>
      <c r="TX14" s="245"/>
      <c r="TY14" s="245"/>
      <c r="TZ14" s="245"/>
      <c r="UA14" s="245"/>
      <c r="UB14" s="245"/>
      <c r="UC14" s="245"/>
      <c r="UD14" s="245"/>
      <c r="UE14" s="245"/>
      <c r="UF14" s="245"/>
      <c r="UG14" s="240"/>
    </row>
    <row r="15" spans="1:553" s="236" customFormat="1" ht="186" customHeight="1">
      <c r="A15" s="356" t="s">
        <v>15</v>
      </c>
      <c r="B15" s="385"/>
      <c r="C15" s="384" t="s">
        <v>23</v>
      </c>
      <c r="D15" s="376" t="s">
        <v>20</v>
      </c>
      <c r="E15" s="376" t="s">
        <v>84</v>
      </c>
      <c r="F15" s="385"/>
      <c r="G15" s="386" t="s">
        <v>935</v>
      </c>
      <c r="H15" s="441">
        <v>69.599999999999994</v>
      </c>
      <c r="I15" s="1055">
        <v>69.599999999999994</v>
      </c>
      <c r="J15" s="368">
        <v>62000</v>
      </c>
      <c r="K15" s="371"/>
      <c r="L15" s="391">
        <f>ROUND(PRODUCT(I15:K15),0)</f>
        <v>4315200</v>
      </c>
      <c r="M15" s="392"/>
      <c r="N15" s="392"/>
      <c r="O15" s="366"/>
      <c r="P15" s="366"/>
      <c r="Q15" s="1036" t="s">
        <v>85</v>
      </c>
      <c r="R15" s="1452"/>
      <c r="S15" s="1047"/>
      <c r="T15" s="303"/>
      <c r="U15" s="306"/>
      <c r="V15" s="307"/>
      <c r="W15" s="306">
        <f>I15</f>
        <v>69.599999999999994</v>
      </c>
      <c r="X15" s="306"/>
      <c r="Y15" s="306"/>
      <c r="Z15" s="306"/>
      <c r="AA15" s="306"/>
      <c r="AB15" s="306"/>
      <c r="AC15" s="449"/>
      <c r="AD15" s="449"/>
      <c r="AE15" s="449"/>
      <c r="AF15" s="449"/>
      <c r="AG15" s="449"/>
      <c r="AH15" s="449"/>
      <c r="AI15" s="449"/>
      <c r="AJ15" s="449"/>
      <c r="AK15" s="452"/>
      <c r="AL15" s="242"/>
      <c r="AM15" s="241"/>
      <c r="AN15" s="241"/>
      <c r="AO15" s="241"/>
      <c r="AP15" s="241"/>
      <c r="AQ15" s="241"/>
      <c r="AR15" s="241"/>
      <c r="AS15" s="238"/>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9"/>
      <c r="BQ15" s="239"/>
      <c r="BR15" s="239"/>
      <c r="BS15" s="239"/>
      <c r="BT15" s="239"/>
      <c r="BU15" s="239"/>
      <c r="BV15" s="239"/>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c r="DK15" s="239"/>
      <c r="DL15" s="239"/>
      <c r="DM15" s="239"/>
      <c r="DN15" s="239"/>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c r="EL15" s="239"/>
      <c r="EM15" s="239"/>
      <c r="EN15" s="239"/>
      <c r="EO15" s="239"/>
      <c r="EP15" s="239"/>
      <c r="EQ15" s="239"/>
      <c r="ER15" s="239"/>
      <c r="ES15" s="239"/>
      <c r="ET15" s="239"/>
      <c r="EU15" s="239"/>
      <c r="EV15" s="239"/>
      <c r="EW15" s="239"/>
      <c r="EX15" s="239"/>
      <c r="EY15" s="239"/>
      <c r="EZ15" s="239"/>
      <c r="FA15" s="239"/>
      <c r="FB15" s="239"/>
      <c r="FC15" s="239"/>
      <c r="FD15" s="239"/>
      <c r="FE15" s="239"/>
      <c r="FF15" s="239"/>
      <c r="FG15" s="239"/>
      <c r="FH15" s="239"/>
      <c r="FI15" s="239"/>
      <c r="FJ15" s="239"/>
      <c r="FK15" s="239"/>
      <c r="FL15" s="239"/>
      <c r="FM15" s="239"/>
      <c r="FN15" s="239"/>
      <c r="FO15" s="239"/>
      <c r="FP15" s="239"/>
      <c r="FQ15" s="239"/>
      <c r="FR15" s="239"/>
      <c r="FS15" s="239"/>
      <c r="FT15" s="239"/>
      <c r="FU15" s="239"/>
      <c r="FV15" s="239"/>
      <c r="FW15" s="239"/>
      <c r="FX15" s="239"/>
      <c r="FY15" s="239"/>
      <c r="FZ15" s="239"/>
      <c r="GA15" s="239"/>
      <c r="GB15" s="239"/>
      <c r="GC15" s="239"/>
      <c r="GD15" s="239"/>
      <c r="GE15" s="239"/>
      <c r="GF15" s="239"/>
      <c r="GG15" s="239"/>
      <c r="GH15" s="239"/>
      <c r="GI15" s="239"/>
      <c r="GJ15" s="239"/>
      <c r="GK15" s="239"/>
      <c r="GL15" s="239"/>
      <c r="GM15" s="239"/>
      <c r="GN15" s="239"/>
      <c r="GO15" s="239"/>
      <c r="GP15" s="239"/>
      <c r="GQ15" s="239"/>
      <c r="GR15" s="239"/>
      <c r="GS15" s="239"/>
      <c r="GT15" s="239"/>
      <c r="GU15" s="239"/>
      <c r="GV15" s="239"/>
      <c r="GW15" s="239"/>
      <c r="GX15" s="239"/>
      <c r="GY15" s="239"/>
      <c r="GZ15" s="239"/>
      <c r="HA15" s="239"/>
      <c r="HB15" s="239"/>
      <c r="HC15" s="239"/>
      <c r="HD15" s="239"/>
      <c r="HE15" s="239"/>
      <c r="HF15" s="239"/>
      <c r="HG15" s="239"/>
      <c r="HH15" s="239"/>
      <c r="HI15" s="239"/>
      <c r="HJ15" s="239"/>
      <c r="HK15" s="239"/>
      <c r="HL15" s="239"/>
      <c r="HM15" s="239"/>
      <c r="HN15" s="239"/>
      <c r="HO15" s="239"/>
      <c r="HP15" s="239"/>
      <c r="HQ15" s="239"/>
      <c r="HR15" s="239"/>
      <c r="HS15" s="239"/>
      <c r="HT15" s="239"/>
      <c r="HU15" s="239"/>
      <c r="HV15" s="239"/>
      <c r="HW15" s="239"/>
      <c r="HX15" s="239"/>
      <c r="HY15" s="239"/>
      <c r="HZ15" s="239"/>
      <c r="IA15" s="239"/>
      <c r="IB15" s="239"/>
      <c r="IC15" s="239"/>
      <c r="ID15" s="239"/>
      <c r="IE15" s="239"/>
      <c r="IF15" s="239"/>
      <c r="IG15" s="239"/>
      <c r="IH15" s="239"/>
      <c r="II15" s="239"/>
      <c r="IJ15" s="239"/>
      <c r="IK15" s="239"/>
      <c r="IL15" s="239"/>
      <c r="IM15" s="239"/>
      <c r="IN15" s="239"/>
      <c r="IO15" s="239"/>
      <c r="IP15" s="239"/>
      <c r="IQ15" s="239"/>
      <c r="IR15" s="239"/>
      <c r="IS15" s="239"/>
      <c r="IT15" s="239"/>
      <c r="IU15" s="239"/>
      <c r="IV15" s="239"/>
      <c r="IW15" s="239"/>
      <c r="IX15" s="239"/>
      <c r="IY15" s="239"/>
      <c r="IZ15" s="239"/>
      <c r="JA15" s="239"/>
      <c r="JB15" s="239"/>
      <c r="JC15" s="239"/>
      <c r="JD15" s="239"/>
      <c r="JE15" s="239"/>
      <c r="JF15" s="239"/>
      <c r="JG15" s="239"/>
      <c r="JH15" s="239"/>
      <c r="JI15" s="239"/>
      <c r="JJ15" s="239"/>
      <c r="JK15" s="239"/>
      <c r="JL15" s="239"/>
      <c r="JM15" s="239"/>
      <c r="JN15" s="239"/>
      <c r="JO15" s="239"/>
      <c r="JP15" s="239"/>
      <c r="JQ15" s="239"/>
      <c r="JR15" s="239"/>
      <c r="JS15" s="239"/>
      <c r="JT15" s="239"/>
      <c r="JU15" s="239"/>
      <c r="JV15" s="239"/>
      <c r="JW15" s="239"/>
      <c r="JX15" s="239"/>
      <c r="JY15" s="239"/>
      <c r="JZ15" s="239"/>
      <c r="KA15" s="239"/>
      <c r="KB15" s="239"/>
      <c r="KC15" s="239"/>
      <c r="KD15" s="239"/>
      <c r="KE15" s="239"/>
      <c r="KF15" s="239"/>
      <c r="KG15" s="239"/>
      <c r="KH15" s="239"/>
      <c r="KI15" s="239"/>
      <c r="KJ15" s="239"/>
      <c r="KK15" s="239"/>
      <c r="KL15" s="239"/>
      <c r="KM15" s="239"/>
      <c r="KN15" s="239"/>
      <c r="KO15" s="239"/>
      <c r="KP15" s="239"/>
      <c r="KQ15" s="239"/>
      <c r="KR15" s="239"/>
      <c r="KS15" s="239"/>
      <c r="KT15" s="239"/>
      <c r="KU15" s="239"/>
      <c r="KV15" s="239"/>
      <c r="KW15" s="239"/>
      <c r="KX15" s="239"/>
      <c r="KY15" s="239"/>
      <c r="KZ15" s="239"/>
      <c r="LA15" s="239"/>
      <c r="LB15" s="239"/>
      <c r="LC15" s="239"/>
      <c r="LD15" s="239"/>
      <c r="LE15" s="239"/>
      <c r="LF15" s="239"/>
      <c r="LG15" s="239"/>
      <c r="LH15" s="239"/>
      <c r="LI15" s="239"/>
      <c r="LJ15" s="239"/>
      <c r="LK15" s="239"/>
      <c r="LL15" s="239"/>
      <c r="LM15" s="239"/>
      <c r="LN15" s="239"/>
      <c r="LO15" s="239"/>
      <c r="LP15" s="239"/>
      <c r="LQ15" s="239"/>
      <c r="LR15" s="239"/>
      <c r="LS15" s="239"/>
      <c r="LT15" s="239"/>
      <c r="LU15" s="239"/>
      <c r="LV15" s="239"/>
      <c r="LW15" s="239"/>
      <c r="LX15" s="239"/>
      <c r="LY15" s="239"/>
      <c r="LZ15" s="239"/>
      <c r="MA15" s="239"/>
      <c r="MB15" s="239"/>
      <c r="MC15" s="239"/>
      <c r="MD15" s="239"/>
      <c r="ME15" s="239"/>
      <c r="MF15" s="239"/>
      <c r="MG15" s="239"/>
      <c r="MH15" s="239"/>
      <c r="MI15" s="239"/>
      <c r="MJ15" s="239"/>
      <c r="MK15" s="239"/>
      <c r="ML15" s="239"/>
      <c r="MM15" s="239"/>
      <c r="MN15" s="239"/>
      <c r="MO15" s="239"/>
      <c r="MP15" s="239"/>
      <c r="MQ15" s="239"/>
      <c r="MR15" s="239"/>
      <c r="MS15" s="239"/>
      <c r="MT15" s="239"/>
      <c r="MU15" s="239"/>
      <c r="MV15" s="239"/>
      <c r="MW15" s="239"/>
      <c r="MX15" s="239"/>
      <c r="MY15" s="239"/>
      <c r="MZ15" s="239"/>
      <c r="NA15" s="239"/>
      <c r="NB15" s="239"/>
      <c r="NC15" s="239"/>
      <c r="ND15" s="239"/>
      <c r="NE15" s="239"/>
      <c r="NF15" s="239"/>
      <c r="NG15" s="239"/>
      <c r="NH15" s="239"/>
      <c r="NI15" s="239"/>
      <c r="NJ15" s="239"/>
      <c r="NK15" s="239"/>
      <c r="NL15" s="239"/>
      <c r="NM15" s="239"/>
      <c r="NN15" s="239"/>
      <c r="NO15" s="239"/>
      <c r="NP15" s="239"/>
      <c r="NQ15" s="239"/>
      <c r="NR15" s="239"/>
      <c r="NS15" s="239"/>
      <c r="NT15" s="239"/>
      <c r="NU15" s="239"/>
      <c r="NV15" s="239"/>
      <c r="NW15" s="239"/>
      <c r="NX15" s="239"/>
      <c r="NY15" s="239"/>
      <c r="NZ15" s="239"/>
      <c r="OA15" s="239"/>
      <c r="OB15" s="239"/>
      <c r="OC15" s="239"/>
      <c r="OD15" s="239"/>
      <c r="OE15" s="239"/>
      <c r="OF15" s="239"/>
      <c r="OG15" s="239"/>
      <c r="OH15" s="239"/>
      <c r="OI15" s="239"/>
      <c r="OJ15" s="239"/>
      <c r="OK15" s="239"/>
      <c r="OL15" s="239"/>
      <c r="OM15" s="239"/>
      <c r="ON15" s="239"/>
      <c r="OO15" s="239"/>
      <c r="OP15" s="239"/>
      <c r="OQ15" s="239"/>
      <c r="OR15" s="239"/>
      <c r="OS15" s="239"/>
      <c r="OT15" s="239"/>
      <c r="OU15" s="239"/>
      <c r="OV15" s="239"/>
      <c r="OW15" s="239"/>
      <c r="OX15" s="239"/>
      <c r="OY15" s="239"/>
      <c r="OZ15" s="239"/>
      <c r="PA15" s="239"/>
      <c r="PB15" s="239"/>
      <c r="PC15" s="239"/>
      <c r="PD15" s="239"/>
      <c r="PE15" s="239"/>
      <c r="PF15" s="239"/>
      <c r="PG15" s="239"/>
      <c r="PH15" s="239"/>
      <c r="PI15" s="239"/>
      <c r="PJ15" s="239"/>
      <c r="PK15" s="239"/>
      <c r="PL15" s="239"/>
      <c r="PM15" s="239"/>
      <c r="PN15" s="239"/>
      <c r="PO15" s="239"/>
      <c r="PP15" s="239"/>
      <c r="PQ15" s="239"/>
      <c r="PR15" s="239"/>
      <c r="PS15" s="239"/>
      <c r="PT15" s="239"/>
      <c r="PU15" s="239"/>
      <c r="PV15" s="239"/>
      <c r="PW15" s="239"/>
      <c r="PX15" s="239"/>
      <c r="PY15" s="239"/>
      <c r="PZ15" s="239"/>
      <c r="QA15" s="239"/>
      <c r="QB15" s="239"/>
      <c r="QC15" s="239"/>
      <c r="QD15" s="239"/>
      <c r="QE15" s="239"/>
      <c r="QF15" s="239"/>
      <c r="QG15" s="239"/>
      <c r="QH15" s="239"/>
      <c r="QI15" s="239"/>
      <c r="QJ15" s="239"/>
      <c r="QK15" s="239"/>
      <c r="QL15" s="239"/>
      <c r="QM15" s="239"/>
      <c r="QN15" s="239"/>
      <c r="QO15" s="239"/>
      <c r="QP15" s="239"/>
      <c r="QQ15" s="239"/>
      <c r="QR15" s="239"/>
      <c r="QS15" s="239"/>
      <c r="QT15" s="239"/>
      <c r="QU15" s="239"/>
      <c r="QV15" s="239"/>
      <c r="QW15" s="239"/>
      <c r="QX15" s="239"/>
      <c r="QY15" s="239"/>
      <c r="QZ15" s="239"/>
      <c r="RA15" s="239"/>
      <c r="RB15" s="239"/>
      <c r="RC15" s="239"/>
      <c r="RD15" s="239"/>
      <c r="RE15" s="239"/>
      <c r="RF15" s="239"/>
      <c r="RG15" s="239"/>
      <c r="RH15" s="239"/>
      <c r="RI15" s="239"/>
      <c r="RJ15" s="239"/>
      <c r="RK15" s="239"/>
      <c r="RL15" s="239"/>
      <c r="RM15" s="239"/>
      <c r="RN15" s="239"/>
      <c r="RO15" s="239"/>
      <c r="RP15" s="239"/>
      <c r="RQ15" s="239"/>
      <c r="RR15" s="239"/>
      <c r="RS15" s="239"/>
      <c r="RT15" s="239"/>
      <c r="RU15" s="239"/>
      <c r="RV15" s="239"/>
      <c r="RW15" s="239"/>
      <c r="RX15" s="239"/>
      <c r="RY15" s="239"/>
      <c r="RZ15" s="239"/>
      <c r="SA15" s="239"/>
      <c r="SB15" s="239"/>
      <c r="SC15" s="239"/>
      <c r="SD15" s="239"/>
      <c r="SE15" s="239"/>
      <c r="SF15" s="239"/>
      <c r="SG15" s="239"/>
      <c r="SH15" s="239"/>
      <c r="SI15" s="239"/>
      <c r="SJ15" s="239"/>
      <c r="SK15" s="239"/>
      <c r="SL15" s="239"/>
      <c r="SM15" s="239"/>
      <c r="SN15" s="239"/>
      <c r="SO15" s="239"/>
      <c r="SP15" s="239"/>
      <c r="SQ15" s="239"/>
      <c r="SR15" s="239"/>
      <c r="SS15" s="239"/>
      <c r="ST15" s="239"/>
      <c r="SU15" s="239"/>
      <c r="SV15" s="239"/>
      <c r="SW15" s="239"/>
      <c r="SX15" s="239"/>
      <c r="SY15" s="239"/>
      <c r="SZ15" s="239"/>
      <c r="TA15" s="239"/>
      <c r="TB15" s="239"/>
      <c r="TC15" s="239"/>
      <c r="TD15" s="239"/>
      <c r="TE15" s="239"/>
      <c r="TF15" s="239"/>
      <c r="TG15" s="239"/>
      <c r="TH15" s="239"/>
      <c r="TI15" s="239"/>
      <c r="TJ15" s="239"/>
      <c r="TK15" s="239"/>
      <c r="TL15" s="239"/>
      <c r="TM15" s="239"/>
      <c r="TN15" s="239"/>
      <c r="TO15" s="239"/>
      <c r="TP15" s="239"/>
      <c r="TQ15" s="239"/>
      <c r="TR15" s="239"/>
      <c r="TS15" s="239"/>
      <c r="TT15" s="239"/>
      <c r="TU15" s="239"/>
      <c r="TV15" s="239"/>
      <c r="TW15" s="239"/>
      <c r="TX15" s="239"/>
      <c r="TY15" s="239"/>
      <c r="TZ15" s="239"/>
      <c r="UA15" s="239"/>
      <c r="UB15" s="239"/>
      <c r="UC15" s="239"/>
      <c r="UD15" s="239"/>
      <c r="UE15" s="239"/>
      <c r="UF15" s="239"/>
      <c r="UG15" s="240"/>
    </row>
    <row r="16" spans="1:553" s="236" customFormat="1" ht="186" customHeight="1">
      <c r="A16" s="356" t="s">
        <v>15</v>
      </c>
      <c r="B16" s="385"/>
      <c r="C16" s="384" t="s">
        <v>23</v>
      </c>
      <c r="D16" s="376" t="s">
        <v>20</v>
      </c>
      <c r="E16" s="376" t="s">
        <v>86</v>
      </c>
      <c r="F16" s="385"/>
      <c r="G16" s="386" t="s">
        <v>935</v>
      </c>
      <c r="H16" s="441">
        <v>275.2</v>
      </c>
      <c r="I16" s="1055">
        <v>275.2</v>
      </c>
      <c r="J16" s="368">
        <v>62000</v>
      </c>
      <c r="K16" s="371"/>
      <c r="L16" s="391">
        <f>ROUND(PRODUCT(I16:K16),0)</f>
        <v>17062400</v>
      </c>
      <c r="M16" s="392"/>
      <c r="N16" s="392"/>
      <c r="O16" s="366"/>
      <c r="P16" s="366"/>
      <c r="Q16" s="1036" t="s">
        <v>85</v>
      </c>
      <c r="R16" s="1452"/>
      <c r="S16" s="1047"/>
      <c r="T16" s="303"/>
      <c r="U16" s="306"/>
      <c r="V16" s="307"/>
      <c r="W16" s="306">
        <f>I16</f>
        <v>275.2</v>
      </c>
      <c r="X16" s="306"/>
      <c r="Y16" s="306"/>
      <c r="Z16" s="306"/>
      <c r="AA16" s="306"/>
      <c r="AB16" s="306"/>
      <c r="AC16" s="449"/>
      <c r="AD16" s="449"/>
      <c r="AE16" s="449"/>
      <c r="AF16" s="449"/>
      <c r="AG16" s="449"/>
      <c r="AH16" s="449"/>
      <c r="AI16" s="449"/>
      <c r="AJ16" s="449"/>
      <c r="AK16" s="452"/>
      <c r="AL16" s="242"/>
      <c r="AM16" s="241"/>
      <c r="AN16" s="241"/>
      <c r="AO16" s="241"/>
      <c r="AP16" s="241"/>
      <c r="AQ16" s="241"/>
      <c r="AR16" s="241"/>
      <c r="AS16" s="238"/>
      <c r="AT16" s="234"/>
      <c r="AU16" s="234"/>
      <c r="AV16" s="234"/>
      <c r="AW16" s="234"/>
      <c r="AX16" s="234"/>
      <c r="AY16" s="234"/>
      <c r="AZ16" s="234"/>
      <c r="BA16" s="234"/>
      <c r="BB16" s="234"/>
      <c r="BC16" s="234"/>
      <c r="BD16" s="234"/>
      <c r="BE16" s="234"/>
      <c r="BF16" s="234"/>
      <c r="BG16" s="234"/>
      <c r="BH16" s="234"/>
      <c r="BI16" s="234"/>
      <c r="BJ16" s="234"/>
      <c r="BK16" s="234"/>
      <c r="BL16" s="234"/>
      <c r="BM16" s="234"/>
      <c r="BN16" s="234"/>
      <c r="BO16" s="234"/>
      <c r="BP16" s="239"/>
      <c r="BQ16" s="239"/>
      <c r="BR16" s="239"/>
      <c r="BS16" s="239"/>
      <c r="BT16" s="239"/>
      <c r="BU16" s="239"/>
      <c r="BV16" s="239"/>
      <c r="BW16" s="239"/>
      <c r="BX16" s="239"/>
      <c r="BY16" s="239"/>
      <c r="BZ16" s="239"/>
      <c r="CA16" s="239"/>
      <c r="CB16" s="239"/>
      <c r="CC16" s="239"/>
      <c r="CD16" s="239"/>
      <c r="CE16" s="239"/>
      <c r="CF16" s="239"/>
      <c r="CG16" s="239"/>
      <c r="CH16" s="239"/>
      <c r="CI16" s="239"/>
      <c r="CJ16" s="239"/>
      <c r="CK16" s="239"/>
      <c r="CL16" s="239"/>
      <c r="CM16" s="239"/>
      <c r="CN16" s="239"/>
      <c r="CO16" s="239"/>
      <c r="CP16" s="239"/>
      <c r="CQ16" s="239"/>
      <c r="CR16" s="239"/>
      <c r="CS16" s="239"/>
      <c r="CT16" s="239"/>
      <c r="CU16" s="239"/>
      <c r="CV16" s="239"/>
      <c r="CW16" s="239"/>
      <c r="CX16" s="239"/>
      <c r="CY16" s="239"/>
      <c r="CZ16" s="239"/>
      <c r="DA16" s="239"/>
      <c r="DB16" s="239"/>
      <c r="DC16" s="239"/>
      <c r="DD16" s="239"/>
      <c r="DE16" s="239"/>
      <c r="DF16" s="239"/>
      <c r="DG16" s="239"/>
      <c r="DH16" s="239"/>
      <c r="DI16" s="239"/>
      <c r="DJ16" s="239"/>
      <c r="DK16" s="239"/>
      <c r="DL16" s="239"/>
      <c r="DM16" s="239"/>
      <c r="DN16" s="239"/>
      <c r="DO16" s="239"/>
      <c r="DP16" s="239"/>
      <c r="DQ16" s="239"/>
      <c r="DR16" s="239"/>
      <c r="DS16" s="239"/>
      <c r="DT16" s="239"/>
      <c r="DU16" s="239"/>
      <c r="DV16" s="239"/>
      <c r="DW16" s="239"/>
      <c r="DX16" s="239"/>
      <c r="DY16" s="239"/>
      <c r="DZ16" s="239"/>
      <c r="EA16" s="239"/>
      <c r="EB16" s="239"/>
      <c r="EC16" s="239"/>
      <c r="ED16" s="239"/>
      <c r="EE16" s="239"/>
      <c r="EF16" s="239"/>
      <c r="EG16" s="239"/>
      <c r="EH16" s="239"/>
      <c r="EI16" s="239"/>
      <c r="EJ16" s="239"/>
      <c r="EK16" s="239"/>
      <c r="EL16" s="239"/>
      <c r="EM16" s="239"/>
      <c r="EN16" s="239"/>
      <c r="EO16" s="239"/>
      <c r="EP16" s="239"/>
      <c r="EQ16" s="239"/>
      <c r="ER16" s="239"/>
      <c r="ES16" s="239"/>
      <c r="ET16" s="239"/>
      <c r="EU16" s="239"/>
      <c r="EV16" s="239"/>
      <c r="EW16" s="239"/>
      <c r="EX16" s="239"/>
      <c r="EY16" s="239"/>
      <c r="EZ16" s="239"/>
      <c r="FA16" s="239"/>
      <c r="FB16" s="239"/>
      <c r="FC16" s="239"/>
      <c r="FD16" s="239"/>
      <c r="FE16" s="239"/>
      <c r="FF16" s="239"/>
      <c r="FG16" s="239"/>
      <c r="FH16" s="239"/>
      <c r="FI16" s="239"/>
      <c r="FJ16" s="239"/>
      <c r="FK16" s="239"/>
      <c r="FL16" s="239"/>
      <c r="FM16" s="239"/>
      <c r="FN16" s="239"/>
      <c r="FO16" s="239"/>
      <c r="FP16" s="239"/>
      <c r="FQ16" s="239"/>
      <c r="FR16" s="239"/>
      <c r="FS16" s="239"/>
      <c r="FT16" s="239"/>
      <c r="FU16" s="239"/>
      <c r="FV16" s="239"/>
      <c r="FW16" s="239"/>
      <c r="FX16" s="239"/>
      <c r="FY16" s="239"/>
      <c r="FZ16" s="239"/>
      <c r="GA16" s="239"/>
      <c r="GB16" s="239"/>
      <c r="GC16" s="239"/>
      <c r="GD16" s="239"/>
      <c r="GE16" s="239"/>
      <c r="GF16" s="239"/>
      <c r="GG16" s="239"/>
      <c r="GH16" s="239"/>
      <c r="GI16" s="239"/>
      <c r="GJ16" s="239"/>
      <c r="GK16" s="239"/>
      <c r="GL16" s="239"/>
      <c r="GM16" s="239"/>
      <c r="GN16" s="239"/>
      <c r="GO16" s="239"/>
      <c r="GP16" s="239"/>
      <c r="GQ16" s="239"/>
      <c r="GR16" s="239"/>
      <c r="GS16" s="239"/>
      <c r="GT16" s="239"/>
      <c r="GU16" s="239"/>
      <c r="GV16" s="239"/>
      <c r="GW16" s="239"/>
      <c r="GX16" s="239"/>
      <c r="GY16" s="239"/>
      <c r="GZ16" s="239"/>
      <c r="HA16" s="239"/>
      <c r="HB16" s="239"/>
      <c r="HC16" s="239"/>
      <c r="HD16" s="239"/>
      <c r="HE16" s="239"/>
      <c r="HF16" s="239"/>
      <c r="HG16" s="239"/>
      <c r="HH16" s="239"/>
      <c r="HI16" s="239"/>
      <c r="HJ16" s="239"/>
      <c r="HK16" s="239"/>
      <c r="HL16" s="239"/>
      <c r="HM16" s="239"/>
      <c r="HN16" s="239"/>
      <c r="HO16" s="239"/>
      <c r="HP16" s="239"/>
      <c r="HQ16" s="239"/>
      <c r="HR16" s="239"/>
      <c r="HS16" s="239"/>
      <c r="HT16" s="239"/>
      <c r="HU16" s="239"/>
      <c r="HV16" s="239"/>
      <c r="HW16" s="239"/>
      <c r="HX16" s="239"/>
      <c r="HY16" s="239"/>
      <c r="HZ16" s="239"/>
      <c r="IA16" s="239"/>
      <c r="IB16" s="239"/>
      <c r="IC16" s="239"/>
      <c r="ID16" s="239"/>
      <c r="IE16" s="239"/>
      <c r="IF16" s="239"/>
      <c r="IG16" s="239"/>
      <c r="IH16" s="239"/>
      <c r="II16" s="239"/>
      <c r="IJ16" s="239"/>
      <c r="IK16" s="239"/>
      <c r="IL16" s="239"/>
      <c r="IM16" s="239"/>
      <c r="IN16" s="239"/>
      <c r="IO16" s="239"/>
      <c r="IP16" s="239"/>
      <c r="IQ16" s="239"/>
      <c r="IR16" s="239"/>
      <c r="IS16" s="239"/>
      <c r="IT16" s="239"/>
      <c r="IU16" s="239"/>
      <c r="IV16" s="239"/>
      <c r="IW16" s="239"/>
      <c r="IX16" s="239"/>
      <c r="IY16" s="239"/>
      <c r="IZ16" s="239"/>
      <c r="JA16" s="239"/>
      <c r="JB16" s="239"/>
      <c r="JC16" s="239"/>
      <c r="JD16" s="239"/>
      <c r="JE16" s="239"/>
      <c r="JF16" s="239"/>
      <c r="JG16" s="239"/>
      <c r="JH16" s="239"/>
      <c r="JI16" s="239"/>
      <c r="JJ16" s="239"/>
      <c r="JK16" s="239"/>
      <c r="JL16" s="239"/>
      <c r="JM16" s="239"/>
      <c r="JN16" s="239"/>
      <c r="JO16" s="239"/>
      <c r="JP16" s="239"/>
      <c r="JQ16" s="239"/>
      <c r="JR16" s="239"/>
      <c r="JS16" s="239"/>
      <c r="JT16" s="239"/>
      <c r="JU16" s="239"/>
      <c r="JV16" s="239"/>
      <c r="JW16" s="239"/>
      <c r="JX16" s="239"/>
      <c r="JY16" s="239"/>
      <c r="JZ16" s="239"/>
      <c r="KA16" s="239"/>
      <c r="KB16" s="239"/>
      <c r="KC16" s="239"/>
      <c r="KD16" s="239"/>
      <c r="KE16" s="239"/>
      <c r="KF16" s="239"/>
      <c r="KG16" s="239"/>
      <c r="KH16" s="239"/>
      <c r="KI16" s="239"/>
      <c r="KJ16" s="239"/>
      <c r="KK16" s="239"/>
      <c r="KL16" s="239"/>
      <c r="KM16" s="239"/>
      <c r="KN16" s="239"/>
      <c r="KO16" s="239"/>
      <c r="KP16" s="239"/>
      <c r="KQ16" s="239"/>
      <c r="KR16" s="239"/>
      <c r="KS16" s="239"/>
      <c r="KT16" s="239"/>
      <c r="KU16" s="239"/>
      <c r="KV16" s="239"/>
      <c r="KW16" s="239"/>
      <c r="KX16" s="239"/>
      <c r="KY16" s="239"/>
      <c r="KZ16" s="239"/>
      <c r="LA16" s="239"/>
      <c r="LB16" s="239"/>
      <c r="LC16" s="239"/>
      <c r="LD16" s="239"/>
      <c r="LE16" s="239"/>
      <c r="LF16" s="239"/>
      <c r="LG16" s="239"/>
      <c r="LH16" s="239"/>
      <c r="LI16" s="239"/>
      <c r="LJ16" s="239"/>
      <c r="LK16" s="239"/>
      <c r="LL16" s="239"/>
      <c r="LM16" s="239"/>
      <c r="LN16" s="239"/>
      <c r="LO16" s="239"/>
      <c r="LP16" s="239"/>
      <c r="LQ16" s="239"/>
      <c r="LR16" s="239"/>
      <c r="LS16" s="239"/>
      <c r="LT16" s="239"/>
      <c r="LU16" s="239"/>
      <c r="LV16" s="239"/>
      <c r="LW16" s="239"/>
      <c r="LX16" s="239"/>
      <c r="LY16" s="239"/>
      <c r="LZ16" s="239"/>
      <c r="MA16" s="239"/>
      <c r="MB16" s="239"/>
      <c r="MC16" s="239"/>
      <c r="MD16" s="239"/>
      <c r="ME16" s="239"/>
      <c r="MF16" s="239"/>
      <c r="MG16" s="239"/>
      <c r="MH16" s="239"/>
      <c r="MI16" s="239"/>
      <c r="MJ16" s="239"/>
      <c r="MK16" s="239"/>
      <c r="ML16" s="239"/>
      <c r="MM16" s="239"/>
      <c r="MN16" s="239"/>
      <c r="MO16" s="239"/>
      <c r="MP16" s="239"/>
      <c r="MQ16" s="239"/>
      <c r="MR16" s="239"/>
      <c r="MS16" s="239"/>
      <c r="MT16" s="239"/>
      <c r="MU16" s="239"/>
      <c r="MV16" s="239"/>
      <c r="MW16" s="239"/>
      <c r="MX16" s="239"/>
      <c r="MY16" s="239"/>
      <c r="MZ16" s="239"/>
      <c r="NA16" s="239"/>
      <c r="NB16" s="239"/>
      <c r="NC16" s="239"/>
      <c r="ND16" s="239"/>
      <c r="NE16" s="239"/>
      <c r="NF16" s="239"/>
      <c r="NG16" s="239"/>
      <c r="NH16" s="239"/>
      <c r="NI16" s="239"/>
      <c r="NJ16" s="239"/>
      <c r="NK16" s="239"/>
      <c r="NL16" s="239"/>
      <c r="NM16" s="239"/>
      <c r="NN16" s="239"/>
      <c r="NO16" s="239"/>
      <c r="NP16" s="239"/>
      <c r="NQ16" s="239"/>
      <c r="NR16" s="239"/>
      <c r="NS16" s="239"/>
      <c r="NT16" s="239"/>
      <c r="NU16" s="239"/>
      <c r="NV16" s="239"/>
      <c r="NW16" s="239"/>
      <c r="NX16" s="239"/>
      <c r="NY16" s="239"/>
      <c r="NZ16" s="239"/>
      <c r="OA16" s="239"/>
      <c r="OB16" s="239"/>
      <c r="OC16" s="239"/>
      <c r="OD16" s="239"/>
      <c r="OE16" s="239"/>
      <c r="OF16" s="239"/>
      <c r="OG16" s="239"/>
      <c r="OH16" s="239"/>
      <c r="OI16" s="239"/>
      <c r="OJ16" s="239"/>
      <c r="OK16" s="239"/>
      <c r="OL16" s="239"/>
      <c r="OM16" s="239"/>
      <c r="ON16" s="239"/>
      <c r="OO16" s="239"/>
      <c r="OP16" s="239"/>
      <c r="OQ16" s="239"/>
      <c r="OR16" s="239"/>
      <c r="OS16" s="239"/>
      <c r="OT16" s="239"/>
      <c r="OU16" s="239"/>
      <c r="OV16" s="239"/>
      <c r="OW16" s="239"/>
      <c r="OX16" s="239"/>
      <c r="OY16" s="239"/>
      <c r="OZ16" s="239"/>
      <c r="PA16" s="239"/>
      <c r="PB16" s="239"/>
      <c r="PC16" s="239"/>
      <c r="PD16" s="239"/>
      <c r="PE16" s="239"/>
      <c r="PF16" s="239"/>
      <c r="PG16" s="239"/>
      <c r="PH16" s="239"/>
      <c r="PI16" s="239"/>
      <c r="PJ16" s="239"/>
      <c r="PK16" s="239"/>
      <c r="PL16" s="239"/>
      <c r="PM16" s="239"/>
      <c r="PN16" s="239"/>
      <c r="PO16" s="239"/>
      <c r="PP16" s="239"/>
      <c r="PQ16" s="239"/>
      <c r="PR16" s="239"/>
      <c r="PS16" s="239"/>
      <c r="PT16" s="239"/>
      <c r="PU16" s="239"/>
      <c r="PV16" s="239"/>
      <c r="PW16" s="239"/>
      <c r="PX16" s="239"/>
      <c r="PY16" s="239"/>
      <c r="PZ16" s="239"/>
      <c r="QA16" s="239"/>
      <c r="QB16" s="239"/>
      <c r="QC16" s="239"/>
      <c r="QD16" s="239"/>
      <c r="QE16" s="239"/>
      <c r="QF16" s="239"/>
      <c r="QG16" s="239"/>
      <c r="QH16" s="239"/>
      <c r="QI16" s="239"/>
      <c r="QJ16" s="239"/>
      <c r="QK16" s="239"/>
      <c r="QL16" s="239"/>
      <c r="QM16" s="239"/>
      <c r="QN16" s="239"/>
      <c r="QO16" s="239"/>
      <c r="QP16" s="239"/>
      <c r="QQ16" s="239"/>
      <c r="QR16" s="239"/>
      <c r="QS16" s="239"/>
      <c r="QT16" s="239"/>
      <c r="QU16" s="239"/>
      <c r="QV16" s="239"/>
      <c r="QW16" s="239"/>
      <c r="QX16" s="239"/>
      <c r="QY16" s="239"/>
      <c r="QZ16" s="239"/>
      <c r="RA16" s="239"/>
      <c r="RB16" s="239"/>
      <c r="RC16" s="239"/>
      <c r="RD16" s="239"/>
      <c r="RE16" s="239"/>
      <c r="RF16" s="239"/>
      <c r="RG16" s="239"/>
      <c r="RH16" s="239"/>
      <c r="RI16" s="239"/>
      <c r="RJ16" s="239"/>
      <c r="RK16" s="239"/>
      <c r="RL16" s="239"/>
      <c r="RM16" s="239"/>
      <c r="RN16" s="239"/>
      <c r="RO16" s="239"/>
      <c r="RP16" s="239"/>
      <c r="RQ16" s="239"/>
      <c r="RR16" s="239"/>
      <c r="RS16" s="239"/>
      <c r="RT16" s="239"/>
      <c r="RU16" s="239"/>
      <c r="RV16" s="239"/>
      <c r="RW16" s="239"/>
      <c r="RX16" s="239"/>
      <c r="RY16" s="239"/>
      <c r="RZ16" s="239"/>
      <c r="SA16" s="239"/>
      <c r="SB16" s="239"/>
      <c r="SC16" s="239"/>
      <c r="SD16" s="239"/>
      <c r="SE16" s="239"/>
      <c r="SF16" s="239"/>
      <c r="SG16" s="239"/>
      <c r="SH16" s="239"/>
      <c r="SI16" s="239"/>
      <c r="SJ16" s="239"/>
      <c r="SK16" s="239"/>
      <c r="SL16" s="239"/>
      <c r="SM16" s="239"/>
      <c r="SN16" s="239"/>
      <c r="SO16" s="239"/>
      <c r="SP16" s="239"/>
      <c r="SQ16" s="239"/>
      <c r="SR16" s="239"/>
      <c r="SS16" s="239"/>
      <c r="ST16" s="239"/>
      <c r="SU16" s="239"/>
      <c r="SV16" s="239"/>
      <c r="SW16" s="239"/>
      <c r="SX16" s="239"/>
      <c r="SY16" s="239"/>
      <c r="SZ16" s="239"/>
      <c r="TA16" s="239"/>
      <c r="TB16" s="239"/>
      <c r="TC16" s="239"/>
      <c r="TD16" s="239"/>
      <c r="TE16" s="239"/>
      <c r="TF16" s="239"/>
      <c r="TG16" s="239"/>
      <c r="TH16" s="239"/>
      <c r="TI16" s="239"/>
      <c r="TJ16" s="239"/>
      <c r="TK16" s="239"/>
      <c r="TL16" s="239"/>
      <c r="TM16" s="239"/>
      <c r="TN16" s="239"/>
      <c r="TO16" s="239"/>
      <c r="TP16" s="239"/>
      <c r="TQ16" s="239"/>
      <c r="TR16" s="239"/>
      <c r="TS16" s="239"/>
      <c r="TT16" s="239"/>
      <c r="TU16" s="239"/>
      <c r="TV16" s="239"/>
      <c r="TW16" s="239"/>
      <c r="TX16" s="239"/>
      <c r="TY16" s="239"/>
      <c r="TZ16" s="239"/>
      <c r="UA16" s="239"/>
      <c r="UB16" s="239"/>
      <c r="UC16" s="239"/>
      <c r="UD16" s="239"/>
      <c r="UE16" s="239"/>
      <c r="UF16" s="239"/>
      <c r="UG16" s="240"/>
    </row>
    <row r="17" spans="1:553" s="236" customFormat="1" ht="105" customHeight="1">
      <c r="A17" s="356" t="s">
        <v>27</v>
      </c>
      <c r="B17" s="356"/>
      <c r="C17" s="1413" t="s">
        <v>28</v>
      </c>
      <c r="D17" s="1389"/>
      <c r="E17" s="1389"/>
      <c r="F17" s="1390"/>
      <c r="G17" s="366"/>
      <c r="H17" s="370"/>
      <c r="I17" s="359"/>
      <c r="J17" s="368"/>
      <c r="K17" s="371"/>
      <c r="L17" s="356">
        <f>SUM(L19:L51)</f>
        <v>289043651.60000002</v>
      </c>
      <c r="M17" s="356"/>
      <c r="N17" s="356"/>
      <c r="O17" s="356"/>
      <c r="P17" s="356"/>
      <c r="Q17" s="610"/>
      <c r="R17" s="1226" t="s">
        <v>1399</v>
      </c>
      <c r="S17" s="1047"/>
      <c r="T17" s="303"/>
      <c r="U17" s="306"/>
      <c r="V17" s="307"/>
      <c r="W17" s="306"/>
      <c r="X17" s="306"/>
      <c r="Y17" s="306"/>
      <c r="Z17" s="306"/>
      <c r="AA17" s="306"/>
      <c r="AB17" s="306"/>
      <c r="AC17" s="449"/>
      <c r="AD17" s="449"/>
      <c r="AE17" s="449"/>
      <c r="AF17" s="449"/>
      <c r="AG17" s="449"/>
      <c r="AH17" s="449"/>
      <c r="AI17" s="449"/>
      <c r="AJ17" s="449"/>
      <c r="AK17" s="452"/>
      <c r="AL17" s="242"/>
      <c r="AM17" s="241"/>
      <c r="AN17" s="241"/>
      <c r="AO17" s="241"/>
      <c r="AP17" s="241"/>
      <c r="AQ17" s="241"/>
      <c r="AR17" s="241"/>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9"/>
      <c r="BQ17" s="239"/>
      <c r="BR17" s="239"/>
      <c r="BS17" s="239"/>
      <c r="BT17" s="239"/>
      <c r="BU17" s="239"/>
      <c r="BV17" s="239"/>
      <c r="BW17" s="239"/>
      <c r="BX17" s="239"/>
      <c r="BY17" s="239"/>
      <c r="BZ17" s="239"/>
      <c r="CA17" s="239"/>
      <c r="CB17" s="239"/>
      <c r="CC17" s="239"/>
      <c r="CD17" s="239"/>
      <c r="CE17" s="239"/>
      <c r="CF17" s="239"/>
      <c r="CG17" s="239"/>
      <c r="CH17" s="239"/>
      <c r="CI17" s="239"/>
      <c r="CJ17" s="239"/>
      <c r="CK17" s="239"/>
      <c r="CL17" s="239"/>
      <c r="CM17" s="239"/>
      <c r="CN17" s="239"/>
      <c r="CO17" s="239"/>
      <c r="CP17" s="239"/>
      <c r="CQ17" s="239"/>
      <c r="CR17" s="239"/>
      <c r="CS17" s="239"/>
      <c r="CT17" s="239"/>
      <c r="CU17" s="239"/>
      <c r="CV17" s="239"/>
      <c r="CW17" s="239"/>
      <c r="CX17" s="239"/>
      <c r="CY17" s="239"/>
      <c r="CZ17" s="239"/>
      <c r="DA17" s="239"/>
      <c r="DB17" s="239"/>
      <c r="DC17" s="239"/>
      <c r="DD17" s="239"/>
      <c r="DE17" s="239"/>
      <c r="DF17" s="239"/>
      <c r="DG17" s="239"/>
      <c r="DH17" s="239"/>
      <c r="DI17" s="239"/>
      <c r="DJ17" s="239"/>
      <c r="DK17" s="239"/>
      <c r="DL17" s="239"/>
      <c r="DM17" s="239"/>
      <c r="DN17" s="239"/>
      <c r="DO17" s="239"/>
      <c r="DP17" s="239"/>
      <c r="DQ17" s="239"/>
      <c r="DR17" s="239"/>
      <c r="DS17" s="239"/>
      <c r="DT17" s="239"/>
      <c r="DU17" s="239"/>
      <c r="DV17" s="239"/>
      <c r="DW17" s="239"/>
      <c r="DX17" s="239"/>
      <c r="DY17" s="239"/>
      <c r="DZ17" s="239"/>
      <c r="EA17" s="239"/>
      <c r="EB17" s="239"/>
      <c r="EC17" s="239"/>
      <c r="ED17" s="239"/>
      <c r="EE17" s="239"/>
      <c r="EF17" s="239"/>
      <c r="EG17" s="239"/>
      <c r="EH17" s="239"/>
      <c r="EI17" s="239"/>
      <c r="EJ17" s="239"/>
      <c r="EK17" s="239"/>
      <c r="EL17" s="239"/>
      <c r="EM17" s="239"/>
      <c r="EN17" s="239"/>
      <c r="EO17" s="239"/>
      <c r="EP17" s="239"/>
      <c r="EQ17" s="239"/>
      <c r="ER17" s="239"/>
      <c r="ES17" s="239"/>
      <c r="ET17" s="239"/>
      <c r="EU17" s="239"/>
      <c r="EV17" s="239"/>
      <c r="EW17" s="239"/>
      <c r="EX17" s="239"/>
      <c r="EY17" s="239"/>
      <c r="EZ17" s="239"/>
      <c r="FA17" s="239"/>
      <c r="FB17" s="239"/>
      <c r="FC17" s="239"/>
      <c r="FD17" s="239"/>
      <c r="FE17" s="239"/>
      <c r="FF17" s="239"/>
      <c r="FG17" s="239"/>
      <c r="FH17" s="239"/>
      <c r="FI17" s="239"/>
      <c r="FJ17" s="239"/>
      <c r="FK17" s="239"/>
      <c r="FL17" s="239"/>
      <c r="FM17" s="239"/>
      <c r="FN17" s="239"/>
      <c r="FO17" s="239"/>
      <c r="FP17" s="239"/>
      <c r="FQ17" s="239"/>
      <c r="FR17" s="239"/>
      <c r="FS17" s="239"/>
      <c r="FT17" s="239"/>
      <c r="FU17" s="239"/>
      <c r="FV17" s="239"/>
      <c r="FW17" s="239"/>
      <c r="FX17" s="239"/>
      <c r="FY17" s="239"/>
      <c r="FZ17" s="239"/>
      <c r="GA17" s="239"/>
      <c r="GB17" s="239"/>
      <c r="GC17" s="239"/>
      <c r="GD17" s="239"/>
      <c r="GE17" s="239"/>
      <c r="GF17" s="239"/>
      <c r="GG17" s="239"/>
      <c r="GH17" s="239"/>
      <c r="GI17" s="239"/>
      <c r="GJ17" s="239"/>
      <c r="GK17" s="239"/>
      <c r="GL17" s="239"/>
      <c r="GM17" s="239"/>
      <c r="GN17" s="239"/>
      <c r="GO17" s="239"/>
      <c r="GP17" s="239"/>
      <c r="GQ17" s="239"/>
      <c r="GR17" s="239"/>
      <c r="GS17" s="239"/>
      <c r="GT17" s="239"/>
      <c r="GU17" s="239"/>
      <c r="GV17" s="239"/>
      <c r="GW17" s="239"/>
      <c r="GX17" s="239"/>
      <c r="GY17" s="239"/>
      <c r="GZ17" s="239"/>
      <c r="HA17" s="239"/>
      <c r="HB17" s="239"/>
      <c r="HC17" s="239"/>
      <c r="HD17" s="239"/>
      <c r="HE17" s="239"/>
      <c r="HF17" s="239"/>
      <c r="HG17" s="239"/>
      <c r="HH17" s="239"/>
      <c r="HI17" s="239"/>
      <c r="HJ17" s="239"/>
      <c r="HK17" s="239"/>
      <c r="HL17" s="239"/>
      <c r="HM17" s="239"/>
      <c r="HN17" s="239"/>
      <c r="HO17" s="239"/>
      <c r="HP17" s="239"/>
      <c r="HQ17" s="239"/>
      <c r="HR17" s="239"/>
      <c r="HS17" s="239"/>
      <c r="HT17" s="239"/>
      <c r="HU17" s="239"/>
      <c r="HV17" s="239"/>
      <c r="HW17" s="239"/>
      <c r="HX17" s="239"/>
      <c r="HY17" s="239"/>
      <c r="HZ17" s="239"/>
      <c r="IA17" s="239"/>
      <c r="IB17" s="239"/>
      <c r="IC17" s="239"/>
      <c r="ID17" s="239"/>
      <c r="IE17" s="239"/>
      <c r="IF17" s="239"/>
      <c r="IG17" s="239"/>
      <c r="IH17" s="239"/>
      <c r="II17" s="239"/>
      <c r="IJ17" s="239"/>
      <c r="IK17" s="239"/>
      <c r="IL17" s="239"/>
      <c r="IM17" s="239"/>
      <c r="IN17" s="239"/>
      <c r="IO17" s="239"/>
      <c r="IP17" s="239"/>
      <c r="IQ17" s="239"/>
      <c r="IR17" s="239"/>
      <c r="IS17" s="239"/>
      <c r="IT17" s="239"/>
      <c r="IU17" s="239"/>
      <c r="IV17" s="239"/>
      <c r="IW17" s="239"/>
      <c r="IX17" s="239"/>
      <c r="IY17" s="239"/>
      <c r="IZ17" s="239"/>
      <c r="JA17" s="239"/>
      <c r="JB17" s="239"/>
      <c r="JC17" s="239"/>
      <c r="JD17" s="239"/>
      <c r="JE17" s="239"/>
      <c r="JF17" s="239"/>
      <c r="JG17" s="239"/>
      <c r="JH17" s="239"/>
      <c r="JI17" s="239"/>
      <c r="JJ17" s="239"/>
      <c r="JK17" s="239"/>
      <c r="JL17" s="239"/>
      <c r="JM17" s="239"/>
      <c r="JN17" s="239"/>
      <c r="JO17" s="239"/>
      <c r="JP17" s="239"/>
      <c r="JQ17" s="239"/>
      <c r="JR17" s="239"/>
      <c r="JS17" s="239"/>
      <c r="JT17" s="239"/>
      <c r="JU17" s="239"/>
      <c r="JV17" s="239"/>
      <c r="JW17" s="239"/>
      <c r="JX17" s="239"/>
      <c r="JY17" s="239"/>
      <c r="JZ17" s="239"/>
      <c r="KA17" s="239"/>
      <c r="KB17" s="239"/>
      <c r="KC17" s="239"/>
      <c r="KD17" s="239"/>
      <c r="KE17" s="239"/>
      <c r="KF17" s="239"/>
      <c r="KG17" s="239"/>
      <c r="KH17" s="239"/>
      <c r="KI17" s="239"/>
      <c r="KJ17" s="239"/>
      <c r="KK17" s="239"/>
      <c r="KL17" s="239"/>
      <c r="KM17" s="239"/>
      <c r="KN17" s="239"/>
      <c r="KO17" s="239"/>
      <c r="KP17" s="239"/>
      <c r="KQ17" s="239"/>
      <c r="KR17" s="239"/>
      <c r="KS17" s="239"/>
      <c r="KT17" s="239"/>
      <c r="KU17" s="239"/>
      <c r="KV17" s="239"/>
      <c r="KW17" s="239"/>
      <c r="KX17" s="239"/>
      <c r="KY17" s="239"/>
      <c r="KZ17" s="239"/>
      <c r="LA17" s="239"/>
      <c r="LB17" s="239"/>
      <c r="LC17" s="239"/>
      <c r="LD17" s="239"/>
      <c r="LE17" s="239"/>
      <c r="LF17" s="239"/>
      <c r="LG17" s="239"/>
      <c r="LH17" s="239"/>
      <c r="LI17" s="239"/>
      <c r="LJ17" s="239"/>
      <c r="LK17" s="239"/>
      <c r="LL17" s="239"/>
      <c r="LM17" s="239"/>
      <c r="LN17" s="239"/>
      <c r="LO17" s="239"/>
      <c r="LP17" s="239"/>
      <c r="LQ17" s="239"/>
      <c r="LR17" s="239"/>
      <c r="LS17" s="239"/>
      <c r="LT17" s="239"/>
      <c r="LU17" s="239"/>
      <c r="LV17" s="239"/>
      <c r="LW17" s="239"/>
      <c r="LX17" s="239"/>
      <c r="LY17" s="239"/>
      <c r="LZ17" s="239"/>
      <c r="MA17" s="239"/>
      <c r="MB17" s="239"/>
      <c r="MC17" s="239"/>
      <c r="MD17" s="239"/>
      <c r="ME17" s="239"/>
      <c r="MF17" s="239"/>
      <c r="MG17" s="239"/>
      <c r="MH17" s="239"/>
      <c r="MI17" s="239"/>
      <c r="MJ17" s="239"/>
      <c r="MK17" s="239"/>
      <c r="ML17" s="239"/>
      <c r="MM17" s="239"/>
      <c r="MN17" s="239"/>
      <c r="MO17" s="239"/>
      <c r="MP17" s="239"/>
      <c r="MQ17" s="239"/>
      <c r="MR17" s="239"/>
      <c r="MS17" s="239"/>
      <c r="MT17" s="239"/>
      <c r="MU17" s="239"/>
      <c r="MV17" s="239"/>
      <c r="MW17" s="239"/>
      <c r="MX17" s="239"/>
      <c r="MY17" s="239"/>
      <c r="MZ17" s="239"/>
      <c r="NA17" s="239"/>
      <c r="NB17" s="239"/>
      <c r="NC17" s="239"/>
      <c r="ND17" s="239"/>
      <c r="NE17" s="239"/>
      <c r="NF17" s="239"/>
      <c r="NG17" s="239"/>
      <c r="NH17" s="239"/>
      <c r="NI17" s="239"/>
      <c r="NJ17" s="239"/>
      <c r="NK17" s="239"/>
      <c r="NL17" s="239"/>
      <c r="NM17" s="239"/>
      <c r="NN17" s="239"/>
      <c r="NO17" s="239"/>
      <c r="NP17" s="239"/>
      <c r="NQ17" s="239"/>
      <c r="NR17" s="239"/>
      <c r="NS17" s="239"/>
      <c r="NT17" s="239"/>
      <c r="NU17" s="239"/>
      <c r="NV17" s="239"/>
      <c r="NW17" s="239"/>
      <c r="NX17" s="239"/>
      <c r="NY17" s="239"/>
      <c r="NZ17" s="239"/>
      <c r="OA17" s="239"/>
      <c r="OB17" s="239"/>
      <c r="OC17" s="239"/>
      <c r="OD17" s="239"/>
      <c r="OE17" s="239"/>
      <c r="OF17" s="239"/>
      <c r="OG17" s="239"/>
      <c r="OH17" s="239"/>
      <c r="OI17" s="239"/>
      <c r="OJ17" s="239"/>
      <c r="OK17" s="239"/>
      <c r="OL17" s="239"/>
      <c r="OM17" s="239"/>
      <c r="ON17" s="239"/>
      <c r="OO17" s="239"/>
      <c r="OP17" s="239"/>
      <c r="OQ17" s="239"/>
      <c r="OR17" s="239"/>
      <c r="OS17" s="239"/>
      <c r="OT17" s="239"/>
      <c r="OU17" s="239"/>
      <c r="OV17" s="239"/>
      <c r="OW17" s="239"/>
      <c r="OX17" s="239"/>
      <c r="OY17" s="239"/>
      <c r="OZ17" s="239"/>
      <c r="PA17" s="239"/>
      <c r="PB17" s="239"/>
      <c r="PC17" s="239"/>
      <c r="PD17" s="239"/>
      <c r="PE17" s="239"/>
      <c r="PF17" s="239"/>
      <c r="PG17" s="239"/>
      <c r="PH17" s="239"/>
      <c r="PI17" s="239"/>
      <c r="PJ17" s="239"/>
      <c r="PK17" s="239"/>
      <c r="PL17" s="239"/>
      <c r="PM17" s="239"/>
      <c r="PN17" s="239"/>
      <c r="PO17" s="239"/>
      <c r="PP17" s="239"/>
      <c r="PQ17" s="239"/>
      <c r="PR17" s="239"/>
      <c r="PS17" s="239"/>
      <c r="PT17" s="239"/>
      <c r="PU17" s="239"/>
      <c r="PV17" s="239"/>
      <c r="PW17" s="239"/>
      <c r="PX17" s="239"/>
      <c r="PY17" s="239"/>
      <c r="PZ17" s="239"/>
      <c r="QA17" s="239"/>
      <c r="QB17" s="239"/>
      <c r="QC17" s="239"/>
      <c r="QD17" s="239"/>
      <c r="QE17" s="239"/>
      <c r="QF17" s="239"/>
      <c r="QG17" s="239"/>
      <c r="QH17" s="239"/>
      <c r="QI17" s="239"/>
      <c r="QJ17" s="239"/>
      <c r="QK17" s="239"/>
      <c r="QL17" s="239"/>
      <c r="QM17" s="239"/>
      <c r="QN17" s="239"/>
      <c r="QO17" s="239"/>
      <c r="QP17" s="239"/>
      <c r="QQ17" s="239"/>
      <c r="QR17" s="239"/>
      <c r="QS17" s="239"/>
      <c r="QT17" s="239"/>
      <c r="QU17" s="239"/>
      <c r="QV17" s="239"/>
      <c r="QW17" s="239"/>
      <c r="QX17" s="239"/>
      <c r="QY17" s="239"/>
      <c r="QZ17" s="239"/>
      <c r="RA17" s="239"/>
      <c r="RB17" s="239"/>
      <c r="RC17" s="239"/>
      <c r="RD17" s="239"/>
      <c r="RE17" s="239"/>
      <c r="RF17" s="239"/>
      <c r="RG17" s="239"/>
      <c r="RH17" s="239"/>
      <c r="RI17" s="239"/>
      <c r="RJ17" s="239"/>
      <c r="RK17" s="239"/>
      <c r="RL17" s="239"/>
      <c r="RM17" s="239"/>
      <c r="RN17" s="239"/>
      <c r="RO17" s="239"/>
      <c r="RP17" s="239"/>
      <c r="RQ17" s="239"/>
      <c r="RR17" s="239"/>
      <c r="RS17" s="239"/>
      <c r="RT17" s="239"/>
      <c r="RU17" s="239"/>
      <c r="RV17" s="239"/>
      <c r="RW17" s="239"/>
      <c r="RX17" s="239"/>
      <c r="RY17" s="239"/>
      <c r="RZ17" s="239"/>
      <c r="SA17" s="239"/>
      <c r="SB17" s="239"/>
      <c r="SC17" s="239"/>
      <c r="SD17" s="239"/>
      <c r="SE17" s="239"/>
      <c r="SF17" s="239"/>
      <c r="SG17" s="239"/>
      <c r="SH17" s="239"/>
      <c r="SI17" s="239"/>
      <c r="SJ17" s="239"/>
      <c r="SK17" s="239"/>
      <c r="SL17" s="239"/>
      <c r="SM17" s="239"/>
      <c r="SN17" s="239"/>
      <c r="SO17" s="239"/>
      <c r="SP17" s="239"/>
      <c r="SQ17" s="239"/>
      <c r="SR17" s="239"/>
      <c r="SS17" s="239"/>
      <c r="ST17" s="239"/>
      <c r="SU17" s="239"/>
      <c r="SV17" s="239"/>
      <c r="SW17" s="239"/>
      <c r="SX17" s="239"/>
      <c r="SY17" s="239"/>
      <c r="SZ17" s="239"/>
      <c r="TA17" s="239"/>
      <c r="TB17" s="239"/>
      <c r="TC17" s="239"/>
      <c r="TD17" s="239"/>
      <c r="TE17" s="239"/>
      <c r="TF17" s="239"/>
      <c r="TG17" s="239"/>
      <c r="TH17" s="239"/>
      <c r="TI17" s="239"/>
      <c r="TJ17" s="239"/>
      <c r="TK17" s="239"/>
      <c r="TL17" s="239"/>
      <c r="TM17" s="239"/>
      <c r="TN17" s="239"/>
      <c r="TO17" s="239"/>
      <c r="TP17" s="239"/>
      <c r="TQ17" s="239"/>
      <c r="TR17" s="239"/>
      <c r="TS17" s="239"/>
      <c r="TT17" s="239"/>
      <c r="TU17" s="239"/>
      <c r="TV17" s="239"/>
      <c r="TW17" s="239"/>
      <c r="TX17" s="239"/>
      <c r="TY17" s="239"/>
      <c r="TZ17" s="239"/>
      <c r="UA17" s="239"/>
      <c r="UB17" s="239"/>
      <c r="UC17" s="239"/>
      <c r="UD17" s="239"/>
      <c r="UE17" s="239"/>
      <c r="UF17" s="239"/>
      <c r="UG17" s="240"/>
    </row>
    <row r="18" spans="1:553" s="236" customFormat="1" ht="27.75" customHeight="1">
      <c r="A18" s="356"/>
      <c r="B18" s="356"/>
      <c r="C18" s="1413" t="s">
        <v>89</v>
      </c>
      <c r="D18" s="1389"/>
      <c r="E18" s="1389"/>
      <c r="F18" s="1390"/>
      <c r="G18" s="366"/>
      <c r="H18" s="370"/>
      <c r="I18" s="359"/>
      <c r="J18" s="368"/>
      <c r="K18" s="371"/>
      <c r="L18" s="356"/>
      <c r="M18" s="356"/>
      <c r="N18" s="356"/>
      <c r="O18" s="356"/>
      <c r="P18" s="356"/>
      <c r="Q18" s="610"/>
      <c r="R18" s="1226"/>
      <c r="S18" s="1047"/>
      <c r="T18" s="303"/>
      <c r="U18" s="306"/>
      <c r="V18" s="307"/>
      <c r="W18" s="306"/>
      <c r="X18" s="306"/>
      <c r="Y18" s="306"/>
      <c r="Z18" s="306"/>
      <c r="AA18" s="306"/>
      <c r="AB18" s="306"/>
      <c r="AC18" s="449"/>
      <c r="AD18" s="449"/>
      <c r="AE18" s="449"/>
      <c r="AF18" s="449"/>
      <c r="AG18" s="449"/>
      <c r="AH18" s="449"/>
      <c r="AI18" s="449"/>
      <c r="AJ18" s="449"/>
      <c r="AK18" s="452"/>
      <c r="AL18" s="242"/>
      <c r="AM18" s="241"/>
      <c r="AN18" s="241"/>
      <c r="AO18" s="241"/>
      <c r="AP18" s="241"/>
      <c r="AQ18" s="241"/>
      <c r="AR18" s="241"/>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239"/>
      <c r="DH18" s="239"/>
      <c r="DI18" s="239"/>
      <c r="DJ18" s="239"/>
      <c r="DK18" s="239"/>
      <c r="DL18" s="239"/>
      <c r="DM18" s="239"/>
      <c r="DN18" s="239"/>
      <c r="DO18" s="239"/>
      <c r="DP18" s="239"/>
      <c r="DQ18" s="239"/>
      <c r="DR18" s="239"/>
      <c r="DS18" s="239"/>
      <c r="DT18" s="239"/>
      <c r="DU18" s="239"/>
      <c r="DV18" s="239"/>
      <c r="DW18" s="239"/>
      <c r="DX18" s="239"/>
      <c r="DY18" s="239"/>
      <c r="DZ18" s="239"/>
      <c r="EA18" s="239"/>
      <c r="EB18" s="239"/>
      <c r="EC18" s="239"/>
      <c r="ED18" s="239"/>
      <c r="EE18" s="239"/>
      <c r="EF18" s="239"/>
      <c r="EG18" s="239"/>
      <c r="EH18" s="239"/>
      <c r="EI18" s="239"/>
      <c r="EJ18" s="239"/>
      <c r="EK18" s="239"/>
      <c r="EL18" s="239"/>
      <c r="EM18" s="239"/>
      <c r="EN18" s="239"/>
      <c r="EO18" s="239"/>
      <c r="EP18" s="239"/>
      <c r="EQ18" s="239"/>
      <c r="ER18" s="239"/>
      <c r="ES18" s="239"/>
      <c r="ET18" s="239"/>
      <c r="EU18" s="239"/>
      <c r="EV18" s="239"/>
      <c r="EW18" s="239"/>
      <c r="EX18" s="239"/>
      <c r="EY18" s="239"/>
      <c r="EZ18" s="239"/>
      <c r="FA18" s="239"/>
      <c r="FB18" s="239"/>
      <c r="FC18" s="239"/>
      <c r="FD18" s="239"/>
      <c r="FE18" s="239"/>
      <c r="FF18" s="239"/>
      <c r="FG18" s="239"/>
      <c r="FH18" s="239"/>
      <c r="FI18" s="239"/>
      <c r="FJ18" s="239"/>
      <c r="FK18" s="239"/>
      <c r="FL18" s="239"/>
      <c r="FM18" s="239"/>
      <c r="FN18" s="239"/>
      <c r="FO18" s="239"/>
      <c r="FP18" s="239"/>
      <c r="FQ18" s="239"/>
      <c r="FR18" s="239"/>
      <c r="FS18" s="239"/>
      <c r="FT18" s="239"/>
      <c r="FU18" s="239"/>
      <c r="FV18" s="239"/>
      <c r="FW18" s="239"/>
      <c r="FX18" s="239"/>
      <c r="FY18" s="239"/>
      <c r="FZ18" s="239"/>
      <c r="GA18" s="239"/>
      <c r="GB18" s="239"/>
      <c r="GC18" s="239"/>
      <c r="GD18" s="239"/>
      <c r="GE18" s="239"/>
      <c r="GF18" s="239"/>
      <c r="GG18" s="239"/>
      <c r="GH18" s="239"/>
      <c r="GI18" s="239"/>
      <c r="GJ18" s="239"/>
      <c r="GK18" s="239"/>
      <c r="GL18" s="239"/>
      <c r="GM18" s="239"/>
      <c r="GN18" s="239"/>
      <c r="GO18" s="239"/>
      <c r="GP18" s="239"/>
      <c r="GQ18" s="239"/>
      <c r="GR18" s="239"/>
      <c r="GS18" s="239"/>
      <c r="GT18" s="239"/>
      <c r="GU18" s="239"/>
      <c r="GV18" s="239"/>
      <c r="GW18" s="239"/>
      <c r="GX18" s="239"/>
      <c r="GY18" s="239"/>
      <c r="GZ18" s="239"/>
      <c r="HA18" s="239"/>
      <c r="HB18" s="239"/>
      <c r="HC18" s="239"/>
      <c r="HD18" s="239"/>
      <c r="HE18" s="239"/>
      <c r="HF18" s="239"/>
      <c r="HG18" s="239"/>
      <c r="HH18" s="239"/>
      <c r="HI18" s="239"/>
      <c r="HJ18" s="239"/>
      <c r="HK18" s="239"/>
      <c r="HL18" s="239"/>
      <c r="HM18" s="239"/>
      <c r="HN18" s="239"/>
      <c r="HO18" s="239"/>
      <c r="HP18" s="239"/>
      <c r="HQ18" s="239"/>
      <c r="HR18" s="239"/>
      <c r="HS18" s="239"/>
      <c r="HT18" s="239"/>
      <c r="HU18" s="239"/>
      <c r="HV18" s="239"/>
      <c r="HW18" s="239"/>
      <c r="HX18" s="239"/>
      <c r="HY18" s="239"/>
      <c r="HZ18" s="239"/>
      <c r="IA18" s="239"/>
      <c r="IB18" s="239"/>
      <c r="IC18" s="239"/>
      <c r="ID18" s="239"/>
      <c r="IE18" s="239"/>
      <c r="IF18" s="239"/>
      <c r="IG18" s="239"/>
      <c r="IH18" s="239"/>
      <c r="II18" s="239"/>
      <c r="IJ18" s="239"/>
      <c r="IK18" s="239"/>
      <c r="IL18" s="239"/>
      <c r="IM18" s="239"/>
      <c r="IN18" s="239"/>
      <c r="IO18" s="239"/>
      <c r="IP18" s="239"/>
      <c r="IQ18" s="239"/>
      <c r="IR18" s="239"/>
      <c r="IS18" s="239"/>
      <c r="IT18" s="239"/>
      <c r="IU18" s="239"/>
      <c r="IV18" s="239"/>
      <c r="IW18" s="239"/>
      <c r="IX18" s="239"/>
      <c r="IY18" s="239"/>
      <c r="IZ18" s="239"/>
      <c r="JA18" s="239"/>
      <c r="JB18" s="239"/>
      <c r="JC18" s="239"/>
      <c r="JD18" s="239"/>
      <c r="JE18" s="239"/>
      <c r="JF18" s="239"/>
      <c r="JG18" s="239"/>
      <c r="JH18" s="239"/>
      <c r="JI18" s="239"/>
      <c r="JJ18" s="239"/>
      <c r="JK18" s="239"/>
      <c r="JL18" s="239"/>
      <c r="JM18" s="239"/>
      <c r="JN18" s="239"/>
      <c r="JO18" s="239"/>
      <c r="JP18" s="239"/>
      <c r="JQ18" s="239"/>
      <c r="JR18" s="239"/>
      <c r="JS18" s="239"/>
      <c r="JT18" s="239"/>
      <c r="JU18" s="239"/>
      <c r="JV18" s="239"/>
      <c r="JW18" s="239"/>
      <c r="JX18" s="239"/>
      <c r="JY18" s="239"/>
      <c r="JZ18" s="239"/>
      <c r="KA18" s="239"/>
      <c r="KB18" s="239"/>
      <c r="KC18" s="239"/>
      <c r="KD18" s="239"/>
      <c r="KE18" s="239"/>
      <c r="KF18" s="239"/>
      <c r="KG18" s="239"/>
      <c r="KH18" s="239"/>
      <c r="KI18" s="239"/>
      <c r="KJ18" s="239"/>
      <c r="KK18" s="239"/>
      <c r="KL18" s="239"/>
      <c r="KM18" s="239"/>
      <c r="KN18" s="239"/>
      <c r="KO18" s="239"/>
      <c r="KP18" s="239"/>
      <c r="KQ18" s="239"/>
      <c r="KR18" s="239"/>
      <c r="KS18" s="239"/>
      <c r="KT18" s="239"/>
      <c r="KU18" s="239"/>
      <c r="KV18" s="239"/>
      <c r="KW18" s="239"/>
      <c r="KX18" s="239"/>
      <c r="KY18" s="239"/>
      <c r="KZ18" s="239"/>
      <c r="LA18" s="239"/>
      <c r="LB18" s="239"/>
      <c r="LC18" s="239"/>
      <c r="LD18" s="239"/>
      <c r="LE18" s="239"/>
      <c r="LF18" s="239"/>
      <c r="LG18" s="239"/>
      <c r="LH18" s="239"/>
      <c r="LI18" s="239"/>
      <c r="LJ18" s="239"/>
      <c r="LK18" s="239"/>
      <c r="LL18" s="239"/>
      <c r="LM18" s="239"/>
      <c r="LN18" s="239"/>
      <c r="LO18" s="239"/>
      <c r="LP18" s="239"/>
      <c r="LQ18" s="239"/>
      <c r="LR18" s="239"/>
      <c r="LS18" s="239"/>
      <c r="LT18" s="239"/>
      <c r="LU18" s="239"/>
      <c r="LV18" s="239"/>
      <c r="LW18" s="239"/>
      <c r="LX18" s="239"/>
      <c r="LY18" s="239"/>
      <c r="LZ18" s="239"/>
      <c r="MA18" s="239"/>
      <c r="MB18" s="239"/>
      <c r="MC18" s="239"/>
      <c r="MD18" s="239"/>
      <c r="ME18" s="239"/>
      <c r="MF18" s="239"/>
      <c r="MG18" s="239"/>
      <c r="MH18" s="239"/>
      <c r="MI18" s="239"/>
      <c r="MJ18" s="239"/>
      <c r="MK18" s="239"/>
      <c r="ML18" s="239"/>
      <c r="MM18" s="239"/>
      <c r="MN18" s="239"/>
      <c r="MO18" s="239"/>
      <c r="MP18" s="239"/>
      <c r="MQ18" s="239"/>
      <c r="MR18" s="239"/>
      <c r="MS18" s="239"/>
      <c r="MT18" s="239"/>
      <c r="MU18" s="239"/>
      <c r="MV18" s="239"/>
      <c r="MW18" s="239"/>
      <c r="MX18" s="239"/>
      <c r="MY18" s="239"/>
      <c r="MZ18" s="239"/>
      <c r="NA18" s="239"/>
      <c r="NB18" s="239"/>
      <c r="NC18" s="239"/>
      <c r="ND18" s="239"/>
      <c r="NE18" s="239"/>
      <c r="NF18" s="239"/>
      <c r="NG18" s="239"/>
      <c r="NH18" s="239"/>
      <c r="NI18" s="239"/>
      <c r="NJ18" s="239"/>
      <c r="NK18" s="239"/>
      <c r="NL18" s="239"/>
      <c r="NM18" s="239"/>
      <c r="NN18" s="239"/>
      <c r="NO18" s="239"/>
      <c r="NP18" s="239"/>
      <c r="NQ18" s="239"/>
      <c r="NR18" s="239"/>
      <c r="NS18" s="239"/>
      <c r="NT18" s="239"/>
      <c r="NU18" s="239"/>
      <c r="NV18" s="239"/>
      <c r="NW18" s="239"/>
      <c r="NX18" s="239"/>
      <c r="NY18" s="239"/>
      <c r="NZ18" s="239"/>
      <c r="OA18" s="239"/>
      <c r="OB18" s="239"/>
      <c r="OC18" s="239"/>
      <c r="OD18" s="239"/>
      <c r="OE18" s="239"/>
      <c r="OF18" s="239"/>
      <c r="OG18" s="239"/>
      <c r="OH18" s="239"/>
      <c r="OI18" s="239"/>
      <c r="OJ18" s="239"/>
      <c r="OK18" s="239"/>
      <c r="OL18" s="239"/>
      <c r="OM18" s="239"/>
      <c r="ON18" s="239"/>
      <c r="OO18" s="239"/>
      <c r="OP18" s="239"/>
      <c r="OQ18" s="239"/>
      <c r="OR18" s="239"/>
      <c r="OS18" s="239"/>
      <c r="OT18" s="239"/>
      <c r="OU18" s="239"/>
      <c r="OV18" s="239"/>
      <c r="OW18" s="239"/>
      <c r="OX18" s="239"/>
      <c r="OY18" s="239"/>
      <c r="OZ18" s="239"/>
      <c r="PA18" s="239"/>
      <c r="PB18" s="239"/>
      <c r="PC18" s="239"/>
      <c r="PD18" s="239"/>
      <c r="PE18" s="239"/>
      <c r="PF18" s="239"/>
      <c r="PG18" s="239"/>
      <c r="PH18" s="239"/>
      <c r="PI18" s="239"/>
      <c r="PJ18" s="239"/>
      <c r="PK18" s="239"/>
      <c r="PL18" s="239"/>
      <c r="PM18" s="239"/>
      <c r="PN18" s="239"/>
      <c r="PO18" s="239"/>
      <c r="PP18" s="239"/>
      <c r="PQ18" s="239"/>
      <c r="PR18" s="239"/>
      <c r="PS18" s="239"/>
      <c r="PT18" s="239"/>
      <c r="PU18" s="239"/>
      <c r="PV18" s="239"/>
      <c r="PW18" s="239"/>
      <c r="PX18" s="239"/>
      <c r="PY18" s="239"/>
      <c r="PZ18" s="239"/>
      <c r="QA18" s="239"/>
      <c r="QB18" s="239"/>
      <c r="QC18" s="239"/>
      <c r="QD18" s="239"/>
      <c r="QE18" s="239"/>
      <c r="QF18" s="239"/>
      <c r="QG18" s="239"/>
      <c r="QH18" s="239"/>
      <c r="QI18" s="239"/>
      <c r="QJ18" s="239"/>
      <c r="QK18" s="239"/>
      <c r="QL18" s="239"/>
      <c r="QM18" s="239"/>
      <c r="QN18" s="239"/>
      <c r="QO18" s="239"/>
      <c r="QP18" s="239"/>
      <c r="QQ18" s="239"/>
      <c r="QR18" s="239"/>
      <c r="QS18" s="239"/>
      <c r="QT18" s="239"/>
      <c r="QU18" s="239"/>
      <c r="QV18" s="239"/>
      <c r="QW18" s="239"/>
      <c r="QX18" s="239"/>
      <c r="QY18" s="239"/>
      <c r="QZ18" s="239"/>
      <c r="RA18" s="239"/>
      <c r="RB18" s="239"/>
      <c r="RC18" s="239"/>
      <c r="RD18" s="239"/>
      <c r="RE18" s="239"/>
      <c r="RF18" s="239"/>
      <c r="RG18" s="239"/>
      <c r="RH18" s="239"/>
      <c r="RI18" s="239"/>
      <c r="RJ18" s="239"/>
      <c r="RK18" s="239"/>
      <c r="RL18" s="239"/>
      <c r="RM18" s="239"/>
      <c r="RN18" s="239"/>
      <c r="RO18" s="239"/>
      <c r="RP18" s="239"/>
      <c r="RQ18" s="239"/>
      <c r="RR18" s="239"/>
      <c r="RS18" s="239"/>
      <c r="RT18" s="239"/>
      <c r="RU18" s="239"/>
      <c r="RV18" s="239"/>
      <c r="RW18" s="239"/>
      <c r="RX18" s="239"/>
      <c r="RY18" s="239"/>
      <c r="RZ18" s="239"/>
      <c r="SA18" s="239"/>
      <c r="SB18" s="239"/>
      <c r="SC18" s="239"/>
      <c r="SD18" s="239"/>
      <c r="SE18" s="239"/>
      <c r="SF18" s="239"/>
      <c r="SG18" s="239"/>
      <c r="SH18" s="239"/>
      <c r="SI18" s="239"/>
      <c r="SJ18" s="239"/>
      <c r="SK18" s="239"/>
      <c r="SL18" s="239"/>
      <c r="SM18" s="239"/>
      <c r="SN18" s="239"/>
      <c r="SO18" s="239"/>
      <c r="SP18" s="239"/>
      <c r="SQ18" s="239"/>
      <c r="SR18" s="239"/>
      <c r="SS18" s="239"/>
      <c r="ST18" s="239"/>
      <c r="SU18" s="239"/>
      <c r="SV18" s="239"/>
      <c r="SW18" s="239"/>
      <c r="SX18" s="239"/>
      <c r="SY18" s="239"/>
      <c r="SZ18" s="239"/>
      <c r="TA18" s="239"/>
      <c r="TB18" s="239"/>
      <c r="TC18" s="239"/>
      <c r="TD18" s="239"/>
      <c r="TE18" s="239"/>
      <c r="TF18" s="239"/>
      <c r="TG18" s="239"/>
      <c r="TH18" s="239"/>
      <c r="TI18" s="239"/>
      <c r="TJ18" s="239"/>
      <c r="TK18" s="239"/>
      <c r="TL18" s="239"/>
      <c r="TM18" s="239"/>
      <c r="TN18" s="239"/>
      <c r="TO18" s="239"/>
      <c r="TP18" s="239"/>
      <c r="TQ18" s="239"/>
      <c r="TR18" s="239"/>
      <c r="TS18" s="239"/>
      <c r="TT18" s="239"/>
      <c r="TU18" s="239"/>
      <c r="TV18" s="239"/>
      <c r="TW18" s="239"/>
      <c r="TX18" s="239"/>
      <c r="TY18" s="239"/>
      <c r="TZ18" s="239"/>
      <c r="UA18" s="239"/>
      <c r="UB18" s="239"/>
      <c r="UC18" s="239"/>
      <c r="UD18" s="239"/>
      <c r="UE18" s="239"/>
      <c r="UF18" s="239"/>
      <c r="UG18" s="240"/>
    </row>
    <row r="19" spans="1:553" s="236" customFormat="1" ht="67.5" customHeight="1">
      <c r="A19" s="356" t="s">
        <v>15</v>
      </c>
      <c r="B19" s="398" t="s">
        <v>29</v>
      </c>
      <c r="C19" s="1404" t="s">
        <v>1259</v>
      </c>
      <c r="D19" s="1389"/>
      <c r="E19" s="1389"/>
      <c r="F19" s="1390"/>
      <c r="G19" s="386" t="s">
        <v>935</v>
      </c>
      <c r="H19" s="370"/>
      <c r="I19" s="417">
        <f>13.3*9.4</f>
        <v>125.02000000000001</v>
      </c>
      <c r="J19" s="368">
        <v>2204600</v>
      </c>
      <c r="K19" s="371"/>
      <c r="L19" s="391">
        <f t="shared" ref="L19:L21" si="3">ROUND(PRODUCT(I19:K19),0)</f>
        <v>275619092</v>
      </c>
      <c r="M19" s="395"/>
      <c r="N19" s="395"/>
      <c r="O19" s="366"/>
      <c r="P19" s="396"/>
      <c r="Q19" s="473"/>
      <c r="R19" s="1039"/>
      <c r="S19" s="1047"/>
      <c r="T19" s="303"/>
      <c r="U19" s="306"/>
      <c r="V19" s="307"/>
      <c r="W19" s="306"/>
      <c r="X19" s="306"/>
      <c r="Y19" s="306"/>
      <c r="Z19" s="306"/>
      <c r="AA19" s="306"/>
      <c r="AB19" s="306"/>
      <c r="AC19" s="449"/>
      <c r="AD19" s="449"/>
      <c r="AE19" s="449"/>
      <c r="AF19" s="449"/>
      <c r="AG19" s="452"/>
      <c r="AH19" s="452"/>
      <c r="AI19" s="452"/>
      <c r="AJ19" s="452"/>
      <c r="AK19" s="452"/>
      <c r="AL19" s="242"/>
      <c r="AM19" s="241"/>
      <c r="AN19" s="241"/>
      <c r="AO19" s="241"/>
      <c r="AP19" s="241"/>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9"/>
      <c r="BN19" s="239"/>
      <c r="BO19" s="239"/>
      <c r="BP19" s="239"/>
      <c r="BQ19" s="239"/>
      <c r="BR19" s="239"/>
      <c r="BS19" s="239"/>
      <c r="BT19" s="239"/>
      <c r="BU19" s="239"/>
      <c r="BV19" s="239"/>
      <c r="BW19" s="239"/>
      <c r="BX19" s="239"/>
      <c r="BY19" s="239"/>
      <c r="BZ19" s="239"/>
      <c r="CA19" s="239"/>
      <c r="CB19" s="239"/>
      <c r="CC19" s="239"/>
      <c r="CD19" s="239"/>
      <c r="CE19" s="239"/>
      <c r="CF19" s="239"/>
      <c r="CG19" s="239"/>
      <c r="CH19" s="239"/>
      <c r="CI19" s="239"/>
      <c r="CJ19" s="239"/>
      <c r="CK19" s="239"/>
      <c r="CL19" s="239"/>
      <c r="CM19" s="239"/>
      <c r="CN19" s="239"/>
      <c r="CO19" s="239"/>
      <c r="CP19" s="239"/>
      <c r="CQ19" s="239"/>
      <c r="CR19" s="239"/>
      <c r="CS19" s="239"/>
      <c r="CT19" s="239"/>
      <c r="CU19" s="239"/>
      <c r="CV19" s="239"/>
      <c r="CW19" s="239"/>
      <c r="CX19" s="239"/>
      <c r="CY19" s="239"/>
      <c r="CZ19" s="239"/>
      <c r="DA19" s="239"/>
      <c r="DB19" s="239"/>
      <c r="DC19" s="239"/>
      <c r="DD19" s="239"/>
      <c r="DE19" s="239"/>
      <c r="DF19" s="239"/>
      <c r="DG19" s="239"/>
      <c r="DH19" s="239"/>
      <c r="DI19" s="239"/>
      <c r="DJ19" s="239"/>
      <c r="DK19" s="239"/>
      <c r="DL19" s="239"/>
      <c r="DM19" s="239"/>
      <c r="DN19" s="239"/>
      <c r="DO19" s="239"/>
      <c r="DP19" s="239"/>
      <c r="DQ19" s="239"/>
      <c r="DR19" s="239"/>
      <c r="DS19" s="239"/>
      <c r="DT19" s="239"/>
      <c r="DU19" s="239"/>
      <c r="DV19" s="239"/>
      <c r="DW19" s="239"/>
      <c r="DX19" s="239"/>
      <c r="DY19" s="239"/>
      <c r="DZ19" s="239"/>
      <c r="EA19" s="239"/>
      <c r="EB19" s="239"/>
      <c r="EC19" s="239"/>
      <c r="ED19" s="239"/>
      <c r="EE19" s="239"/>
      <c r="EF19" s="239"/>
      <c r="EG19" s="239"/>
      <c r="EH19" s="239"/>
      <c r="EI19" s="239"/>
      <c r="EJ19" s="239"/>
      <c r="EK19" s="239"/>
      <c r="EL19" s="239"/>
      <c r="EM19" s="239"/>
      <c r="EN19" s="239"/>
      <c r="EO19" s="239"/>
      <c r="EP19" s="239"/>
      <c r="EQ19" s="239"/>
      <c r="ER19" s="239"/>
      <c r="ES19" s="239"/>
      <c r="ET19" s="239"/>
      <c r="EU19" s="239"/>
      <c r="EV19" s="239"/>
      <c r="EW19" s="239"/>
      <c r="EX19" s="239"/>
      <c r="EY19" s="239"/>
      <c r="EZ19" s="239"/>
      <c r="FA19" s="239"/>
      <c r="FB19" s="239"/>
      <c r="FC19" s="239"/>
      <c r="FD19" s="239"/>
      <c r="FE19" s="239"/>
      <c r="FF19" s="239"/>
      <c r="FG19" s="239"/>
      <c r="FH19" s="239"/>
      <c r="FI19" s="239"/>
      <c r="FJ19" s="239"/>
      <c r="FK19" s="239"/>
      <c r="FL19" s="239"/>
      <c r="FM19" s="239"/>
      <c r="FN19" s="239"/>
      <c r="FO19" s="239"/>
      <c r="FP19" s="239"/>
      <c r="FQ19" s="239"/>
      <c r="FR19" s="239"/>
      <c r="FS19" s="239"/>
      <c r="FT19" s="239"/>
      <c r="FU19" s="239"/>
      <c r="FV19" s="239"/>
      <c r="FW19" s="239"/>
      <c r="FX19" s="239"/>
      <c r="FY19" s="239"/>
      <c r="FZ19" s="239"/>
      <c r="GA19" s="239"/>
      <c r="GB19" s="239"/>
      <c r="GC19" s="239"/>
      <c r="GD19" s="239"/>
      <c r="GE19" s="239"/>
      <c r="GF19" s="239"/>
      <c r="GG19" s="239"/>
      <c r="GH19" s="239"/>
      <c r="GI19" s="239"/>
      <c r="GJ19" s="239"/>
      <c r="GK19" s="239"/>
      <c r="GL19" s="239"/>
      <c r="GM19" s="239"/>
      <c r="GN19" s="239"/>
      <c r="GO19" s="239"/>
      <c r="GP19" s="239"/>
      <c r="GQ19" s="239"/>
      <c r="GR19" s="239"/>
      <c r="GS19" s="239"/>
      <c r="GT19" s="239"/>
      <c r="GU19" s="239"/>
      <c r="GV19" s="239"/>
      <c r="GW19" s="239"/>
      <c r="GX19" s="239"/>
      <c r="GY19" s="239"/>
      <c r="GZ19" s="239"/>
      <c r="HA19" s="239"/>
      <c r="HB19" s="239"/>
      <c r="HC19" s="239"/>
      <c r="HD19" s="239"/>
      <c r="HE19" s="239"/>
      <c r="HF19" s="239"/>
      <c r="HG19" s="239"/>
      <c r="HH19" s="239"/>
      <c r="HI19" s="239"/>
      <c r="HJ19" s="239"/>
      <c r="HK19" s="239"/>
      <c r="HL19" s="239"/>
      <c r="HM19" s="239"/>
      <c r="HN19" s="239"/>
      <c r="HO19" s="239"/>
      <c r="HP19" s="239"/>
      <c r="HQ19" s="239"/>
      <c r="HR19" s="239"/>
      <c r="HS19" s="239"/>
      <c r="HT19" s="239"/>
      <c r="HU19" s="239"/>
      <c r="HV19" s="239"/>
      <c r="HW19" s="239"/>
      <c r="HX19" s="239"/>
      <c r="HY19" s="239"/>
      <c r="HZ19" s="239"/>
      <c r="IA19" s="239"/>
      <c r="IB19" s="239"/>
      <c r="IC19" s="239"/>
      <c r="ID19" s="239"/>
      <c r="IE19" s="239"/>
      <c r="IF19" s="239"/>
      <c r="IG19" s="239"/>
      <c r="IH19" s="239"/>
      <c r="II19" s="239"/>
      <c r="IJ19" s="239"/>
      <c r="IK19" s="239"/>
      <c r="IL19" s="239"/>
      <c r="IM19" s="239"/>
      <c r="IN19" s="239"/>
      <c r="IO19" s="239"/>
      <c r="IP19" s="239"/>
      <c r="IQ19" s="239"/>
      <c r="IR19" s="239"/>
      <c r="IS19" s="239"/>
      <c r="IT19" s="239"/>
      <c r="IU19" s="239"/>
      <c r="IV19" s="239"/>
      <c r="IW19" s="239"/>
      <c r="IX19" s="239"/>
      <c r="IY19" s="239"/>
      <c r="IZ19" s="239"/>
      <c r="JA19" s="239"/>
      <c r="JB19" s="239"/>
      <c r="JC19" s="239"/>
      <c r="JD19" s="239"/>
      <c r="JE19" s="239"/>
      <c r="JF19" s="239"/>
      <c r="JG19" s="239"/>
      <c r="JH19" s="239"/>
      <c r="JI19" s="239"/>
      <c r="JJ19" s="239"/>
      <c r="JK19" s="239"/>
      <c r="JL19" s="239"/>
      <c r="JM19" s="239"/>
      <c r="JN19" s="239"/>
      <c r="JO19" s="239"/>
      <c r="JP19" s="239"/>
      <c r="JQ19" s="239"/>
      <c r="JR19" s="239"/>
      <c r="JS19" s="239"/>
      <c r="JT19" s="239"/>
      <c r="JU19" s="239"/>
      <c r="JV19" s="239"/>
      <c r="JW19" s="239"/>
      <c r="JX19" s="239"/>
      <c r="JY19" s="239"/>
      <c r="JZ19" s="239"/>
      <c r="KA19" s="239"/>
      <c r="KB19" s="239"/>
      <c r="KC19" s="239"/>
      <c r="KD19" s="239"/>
      <c r="KE19" s="239"/>
      <c r="KF19" s="239"/>
      <c r="KG19" s="239"/>
      <c r="KH19" s="239"/>
      <c r="KI19" s="239"/>
      <c r="KJ19" s="239"/>
      <c r="KK19" s="239"/>
      <c r="KL19" s="239"/>
      <c r="KM19" s="239"/>
      <c r="KN19" s="239"/>
      <c r="KO19" s="239"/>
      <c r="KP19" s="239"/>
      <c r="KQ19" s="239"/>
      <c r="KR19" s="239"/>
      <c r="KS19" s="239"/>
      <c r="KT19" s="239"/>
      <c r="KU19" s="239"/>
      <c r="KV19" s="239"/>
      <c r="KW19" s="239"/>
      <c r="KX19" s="239"/>
      <c r="KY19" s="239"/>
      <c r="KZ19" s="239"/>
      <c r="LA19" s="239"/>
      <c r="LB19" s="239"/>
      <c r="LC19" s="239"/>
      <c r="LD19" s="239"/>
      <c r="LE19" s="239"/>
      <c r="LF19" s="239"/>
      <c r="LG19" s="239"/>
      <c r="LH19" s="239"/>
      <c r="LI19" s="239"/>
      <c r="LJ19" s="239"/>
      <c r="LK19" s="239"/>
      <c r="LL19" s="239"/>
      <c r="LM19" s="239"/>
      <c r="LN19" s="239"/>
      <c r="LO19" s="239"/>
      <c r="LP19" s="239"/>
      <c r="LQ19" s="239"/>
      <c r="LR19" s="239"/>
      <c r="LS19" s="239"/>
      <c r="LT19" s="239"/>
      <c r="LU19" s="239"/>
      <c r="LV19" s="239"/>
      <c r="LW19" s="239"/>
      <c r="LX19" s="239"/>
      <c r="LY19" s="239"/>
      <c r="LZ19" s="239"/>
      <c r="MA19" s="239"/>
      <c r="MB19" s="239"/>
      <c r="MC19" s="239"/>
      <c r="MD19" s="239"/>
      <c r="ME19" s="239"/>
      <c r="MF19" s="239"/>
      <c r="MG19" s="239"/>
      <c r="MH19" s="239"/>
      <c r="MI19" s="239"/>
      <c r="MJ19" s="239"/>
      <c r="MK19" s="239"/>
      <c r="ML19" s="239"/>
      <c r="MM19" s="239"/>
      <c r="MN19" s="239"/>
      <c r="MO19" s="239"/>
      <c r="MP19" s="239"/>
      <c r="MQ19" s="239"/>
      <c r="MR19" s="239"/>
      <c r="MS19" s="239"/>
      <c r="MT19" s="239"/>
      <c r="MU19" s="239"/>
      <c r="MV19" s="239"/>
      <c r="MW19" s="239"/>
      <c r="MX19" s="239"/>
      <c r="MY19" s="239"/>
      <c r="MZ19" s="239"/>
      <c r="NA19" s="239"/>
      <c r="NB19" s="239"/>
      <c r="NC19" s="239"/>
      <c r="ND19" s="239"/>
      <c r="NE19" s="239"/>
      <c r="NF19" s="239"/>
      <c r="NG19" s="239"/>
      <c r="NH19" s="239"/>
      <c r="NI19" s="239"/>
      <c r="NJ19" s="239"/>
      <c r="NK19" s="239"/>
      <c r="NL19" s="239"/>
      <c r="NM19" s="239"/>
      <c r="NN19" s="239"/>
      <c r="NO19" s="239"/>
      <c r="NP19" s="239"/>
      <c r="NQ19" s="239"/>
      <c r="NR19" s="239"/>
      <c r="NS19" s="239"/>
      <c r="NT19" s="239"/>
      <c r="NU19" s="239"/>
      <c r="NV19" s="239"/>
      <c r="NW19" s="239"/>
      <c r="NX19" s="239"/>
      <c r="NY19" s="239"/>
      <c r="NZ19" s="239"/>
      <c r="OA19" s="239"/>
      <c r="OB19" s="239"/>
      <c r="OC19" s="239"/>
      <c r="OD19" s="239"/>
      <c r="OE19" s="239"/>
      <c r="OF19" s="239"/>
      <c r="OG19" s="239"/>
      <c r="OH19" s="239"/>
      <c r="OI19" s="239"/>
      <c r="OJ19" s="239"/>
      <c r="OK19" s="239"/>
      <c r="OL19" s="239"/>
      <c r="OM19" s="239"/>
      <c r="ON19" s="239"/>
      <c r="OO19" s="239"/>
      <c r="OP19" s="239"/>
      <c r="OQ19" s="239"/>
      <c r="OR19" s="239"/>
      <c r="OS19" s="239"/>
      <c r="OT19" s="239"/>
      <c r="OU19" s="239"/>
      <c r="OV19" s="239"/>
      <c r="OW19" s="239"/>
      <c r="OX19" s="239"/>
      <c r="OY19" s="239"/>
      <c r="OZ19" s="239"/>
      <c r="PA19" s="239"/>
      <c r="PB19" s="239"/>
      <c r="PC19" s="239"/>
      <c r="PD19" s="239"/>
      <c r="PE19" s="239"/>
      <c r="PF19" s="239"/>
      <c r="PG19" s="239"/>
      <c r="PH19" s="239"/>
      <c r="PI19" s="239"/>
      <c r="PJ19" s="239"/>
      <c r="PK19" s="239"/>
      <c r="PL19" s="239"/>
      <c r="PM19" s="239"/>
      <c r="PN19" s="239"/>
      <c r="PO19" s="239"/>
      <c r="PP19" s="239"/>
      <c r="PQ19" s="239"/>
      <c r="PR19" s="239"/>
      <c r="PS19" s="239"/>
      <c r="PT19" s="239"/>
      <c r="PU19" s="239"/>
      <c r="PV19" s="239"/>
      <c r="PW19" s="239"/>
      <c r="PX19" s="239"/>
      <c r="PY19" s="239"/>
      <c r="PZ19" s="239"/>
      <c r="QA19" s="239"/>
      <c r="QB19" s="239"/>
      <c r="QC19" s="239"/>
      <c r="QD19" s="239"/>
      <c r="QE19" s="239"/>
      <c r="QF19" s="239"/>
      <c r="QG19" s="239"/>
      <c r="QH19" s="239"/>
      <c r="QI19" s="239"/>
      <c r="QJ19" s="239"/>
      <c r="QK19" s="239"/>
      <c r="QL19" s="239"/>
      <c r="QM19" s="239"/>
      <c r="QN19" s="239"/>
      <c r="QO19" s="239"/>
      <c r="QP19" s="239"/>
      <c r="QQ19" s="239"/>
      <c r="QR19" s="239"/>
      <c r="QS19" s="239"/>
      <c r="QT19" s="239"/>
      <c r="QU19" s="239"/>
      <c r="QV19" s="239"/>
      <c r="QW19" s="239"/>
      <c r="QX19" s="239"/>
      <c r="QY19" s="239"/>
      <c r="QZ19" s="239"/>
      <c r="RA19" s="239"/>
      <c r="RB19" s="239"/>
      <c r="RC19" s="239"/>
      <c r="RD19" s="239"/>
      <c r="RE19" s="239"/>
      <c r="RF19" s="239"/>
      <c r="RG19" s="239"/>
      <c r="RH19" s="239"/>
      <c r="RI19" s="239"/>
      <c r="RJ19" s="239"/>
      <c r="RK19" s="239"/>
      <c r="RL19" s="239"/>
      <c r="RM19" s="239"/>
      <c r="RN19" s="239"/>
      <c r="RO19" s="239"/>
      <c r="RP19" s="239"/>
      <c r="RQ19" s="239"/>
      <c r="RR19" s="239"/>
      <c r="RS19" s="239"/>
      <c r="RT19" s="239"/>
      <c r="RU19" s="239"/>
      <c r="RV19" s="239"/>
      <c r="RW19" s="239"/>
      <c r="RX19" s="239"/>
      <c r="RY19" s="239"/>
      <c r="RZ19" s="239"/>
      <c r="SA19" s="239"/>
      <c r="SB19" s="239"/>
      <c r="SC19" s="239"/>
      <c r="SD19" s="239"/>
      <c r="SE19" s="239"/>
      <c r="SF19" s="239"/>
      <c r="SG19" s="239"/>
      <c r="SH19" s="239"/>
      <c r="SI19" s="239"/>
      <c r="SJ19" s="239"/>
      <c r="SK19" s="239"/>
      <c r="SL19" s="239"/>
      <c r="SM19" s="239"/>
      <c r="SN19" s="239"/>
      <c r="SO19" s="239"/>
      <c r="SP19" s="239"/>
      <c r="SQ19" s="239"/>
      <c r="SR19" s="239"/>
      <c r="SS19" s="239"/>
      <c r="ST19" s="239"/>
      <c r="SU19" s="239"/>
      <c r="SV19" s="239"/>
      <c r="SW19" s="239"/>
      <c r="SX19" s="239"/>
      <c r="SY19" s="239"/>
      <c r="SZ19" s="239"/>
      <c r="TA19" s="239"/>
      <c r="TB19" s="239"/>
      <c r="TC19" s="239"/>
      <c r="TD19" s="239"/>
      <c r="TE19" s="239"/>
      <c r="TF19" s="239"/>
      <c r="TG19" s="239"/>
      <c r="TH19" s="239"/>
      <c r="TI19" s="239"/>
      <c r="TJ19" s="239"/>
      <c r="TK19" s="239"/>
      <c r="TL19" s="239"/>
      <c r="TM19" s="239"/>
      <c r="TN19" s="239"/>
      <c r="TO19" s="239"/>
      <c r="TP19" s="239"/>
      <c r="TQ19" s="239"/>
      <c r="TR19" s="239"/>
      <c r="TS19" s="239"/>
      <c r="TT19" s="239"/>
      <c r="TU19" s="239"/>
      <c r="TV19" s="239"/>
      <c r="TW19" s="239"/>
      <c r="TX19" s="239"/>
      <c r="TY19" s="239"/>
      <c r="TZ19" s="239"/>
      <c r="UA19" s="239"/>
      <c r="UB19" s="239"/>
      <c r="UC19" s="239"/>
      <c r="UD19" s="239"/>
      <c r="UE19" s="239"/>
      <c r="UF19" s="239"/>
      <c r="UG19" s="240"/>
    </row>
    <row r="20" spans="1:553" s="236" customFormat="1" ht="27.75" customHeight="1">
      <c r="A20" s="356" t="s">
        <v>30</v>
      </c>
      <c r="B20" s="398" t="s">
        <v>31</v>
      </c>
      <c r="C20" s="1404" t="s">
        <v>874</v>
      </c>
      <c r="D20" s="1389"/>
      <c r="E20" s="1389"/>
      <c r="F20" s="1390"/>
      <c r="G20" s="386" t="s">
        <v>935</v>
      </c>
      <c r="H20" s="370"/>
      <c r="I20" s="834">
        <f>-I19</f>
        <v>-125.02000000000001</v>
      </c>
      <c r="J20" s="368">
        <f>185700</f>
        <v>185700</v>
      </c>
      <c r="K20" s="371"/>
      <c r="L20" s="391">
        <f t="shared" si="3"/>
        <v>-23216214</v>
      </c>
      <c r="M20" s="395"/>
      <c r="N20" s="395"/>
      <c r="O20" s="366"/>
      <c r="P20" s="396"/>
      <c r="Q20" s="473"/>
      <c r="R20" s="1039"/>
      <c r="S20" s="1047"/>
      <c r="T20" s="303"/>
      <c r="U20" s="306"/>
      <c r="V20" s="307"/>
      <c r="W20" s="306"/>
      <c r="X20" s="306"/>
      <c r="Y20" s="306"/>
      <c r="Z20" s="306"/>
      <c r="AA20" s="306"/>
      <c r="AB20" s="306"/>
      <c r="AC20" s="449"/>
      <c r="AD20" s="449"/>
      <c r="AE20" s="449"/>
      <c r="AF20" s="449"/>
      <c r="AG20" s="452"/>
      <c r="AH20" s="452"/>
      <c r="AI20" s="452"/>
      <c r="AJ20" s="452"/>
      <c r="AK20" s="452"/>
      <c r="AL20" s="242"/>
      <c r="AM20" s="241"/>
      <c r="AN20" s="241"/>
      <c r="AO20" s="241"/>
      <c r="AP20" s="241"/>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39"/>
      <c r="GQ20" s="239"/>
      <c r="GR20" s="239"/>
      <c r="GS20" s="239"/>
      <c r="GT20" s="239"/>
      <c r="GU20" s="239"/>
      <c r="GV20" s="239"/>
      <c r="GW20" s="239"/>
      <c r="GX20" s="239"/>
      <c r="GY20" s="239"/>
      <c r="GZ20" s="239"/>
      <c r="HA20" s="239"/>
      <c r="HB20" s="239"/>
      <c r="HC20" s="239"/>
      <c r="HD20" s="239"/>
      <c r="HE20" s="239"/>
      <c r="HF20" s="239"/>
      <c r="HG20" s="239"/>
      <c r="HH20" s="239"/>
      <c r="HI20" s="239"/>
      <c r="HJ20" s="239"/>
      <c r="HK20" s="239"/>
      <c r="HL20" s="239"/>
      <c r="HM20" s="239"/>
      <c r="HN20" s="239"/>
      <c r="HO20" s="239"/>
      <c r="HP20" s="239"/>
      <c r="HQ20" s="239"/>
      <c r="HR20" s="239"/>
      <c r="HS20" s="239"/>
      <c r="HT20" s="239"/>
      <c r="HU20" s="239"/>
      <c r="HV20" s="239"/>
      <c r="HW20" s="239"/>
      <c r="HX20" s="239"/>
      <c r="HY20" s="239"/>
      <c r="HZ20" s="239"/>
      <c r="IA20" s="239"/>
      <c r="IB20" s="239"/>
      <c r="IC20" s="239"/>
      <c r="ID20" s="239"/>
      <c r="IE20" s="239"/>
      <c r="IF20" s="239"/>
      <c r="IG20" s="239"/>
      <c r="IH20" s="239"/>
      <c r="II20" s="239"/>
      <c r="IJ20" s="239"/>
      <c r="IK20" s="239"/>
      <c r="IL20" s="239"/>
      <c r="IM20" s="239"/>
      <c r="IN20" s="239"/>
      <c r="IO20" s="239"/>
      <c r="IP20" s="239"/>
      <c r="IQ20" s="239"/>
      <c r="IR20" s="239"/>
      <c r="IS20" s="239"/>
      <c r="IT20" s="239"/>
      <c r="IU20" s="239"/>
      <c r="IV20" s="239"/>
      <c r="IW20" s="239"/>
      <c r="IX20" s="239"/>
      <c r="IY20" s="239"/>
      <c r="IZ20" s="239"/>
      <c r="JA20" s="239"/>
      <c r="JB20" s="239"/>
      <c r="JC20" s="239"/>
      <c r="JD20" s="239"/>
      <c r="JE20" s="239"/>
      <c r="JF20" s="239"/>
      <c r="JG20" s="239"/>
      <c r="JH20" s="239"/>
      <c r="JI20" s="239"/>
      <c r="JJ20" s="239"/>
      <c r="JK20" s="239"/>
      <c r="JL20" s="239"/>
      <c r="JM20" s="239"/>
      <c r="JN20" s="239"/>
      <c r="JO20" s="239"/>
      <c r="JP20" s="239"/>
      <c r="JQ20" s="239"/>
      <c r="JR20" s="239"/>
      <c r="JS20" s="239"/>
      <c r="JT20" s="239"/>
      <c r="JU20" s="239"/>
      <c r="JV20" s="239"/>
      <c r="JW20" s="239"/>
      <c r="JX20" s="239"/>
      <c r="JY20" s="239"/>
      <c r="JZ20" s="239"/>
      <c r="KA20" s="239"/>
      <c r="KB20" s="239"/>
      <c r="KC20" s="239"/>
      <c r="KD20" s="239"/>
      <c r="KE20" s="239"/>
      <c r="KF20" s="239"/>
      <c r="KG20" s="239"/>
      <c r="KH20" s="239"/>
      <c r="KI20" s="239"/>
      <c r="KJ20" s="239"/>
      <c r="KK20" s="239"/>
      <c r="KL20" s="239"/>
      <c r="KM20" s="239"/>
      <c r="KN20" s="239"/>
      <c r="KO20" s="239"/>
      <c r="KP20" s="239"/>
      <c r="KQ20" s="239"/>
      <c r="KR20" s="239"/>
      <c r="KS20" s="239"/>
      <c r="KT20" s="239"/>
      <c r="KU20" s="239"/>
      <c r="KV20" s="239"/>
      <c r="KW20" s="239"/>
      <c r="KX20" s="239"/>
      <c r="KY20" s="239"/>
      <c r="KZ20" s="239"/>
      <c r="LA20" s="239"/>
      <c r="LB20" s="239"/>
      <c r="LC20" s="239"/>
      <c r="LD20" s="239"/>
      <c r="LE20" s="239"/>
      <c r="LF20" s="239"/>
      <c r="LG20" s="239"/>
      <c r="LH20" s="239"/>
      <c r="LI20" s="239"/>
      <c r="LJ20" s="239"/>
      <c r="LK20" s="239"/>
      <c r="LL20" s="239"/>
      <c r="LM20" s="239"/>
      <c r="LN20" s="239"/>
      <c r="LO20" s="239"/>
      <c r="LP20" s="239"/>
      <c r="LQ20" s="239"/>
      <c r="LR20" s="239"/>
      <c r="LS20" s="239"/>
      <c r="LT20" s="239"/>
      <c r="LU20" s="239"/>
      <c r="LV20" s="239"/>
      <c r="LW20" s="239"/>
      <c r="LX20" s="239"/>
      <c r="LY20" s="239"/>
      <c r="LZ20" s="239"/>
      <c r="MA20" s="239"/>
      <c r="MB20" s="239"/>
      <c r="MC20" s="239"/>
      <c r="MD20" s="239"/>
      <c r="ME20" s="239"/>
      <c r="MF20" s="239"/>
      <c r="MG20" s="239"/>
      <c r="MH20" s="239"/>
      <c r="MI20" s="239"/>
      <c r="MJ20" s="239"/>
      <c r="MK20" s="239"/>
      <c r="ML20" s="239"/>
      <c r="MM20" s="239"/>
      <c r="MN20" s="239"/>
      <c r="MO20" s="239"/>
      <c r="MP20" s="239"/>
      <c r="MQ20" s="239"/>
      <c r="MR20" s="239"/>
      <c r="MS20" s="239"/>
      <c r="MT20" s="239"/>
      <c r="MU20" s="239"/>
      <c r="MV20" s="239"/>
      <c r="MW20" s="239"/>
      <c r="MX20" s="239"/>
      <c r="MY20" s="239"/>
      <c r="MZ20" s="239"/>
      <c r="NA20" s="239"/>
      <c r="NB20" s="239"/>
      <c r="NC20" s="239"/>
      <c r="ND20" s="239"/>
      <c r="NE20" s="239"/>
      <c r="NF20" s="239"/>
      <c r="NG20" s="239"/>
      <c r="NH20" s="239"/>
      <c r="NI20" s="239"/>
      <c r="NJ20" s="239"/>
      <c r="NK20" s="239"/>
      <c r="NL20" s="239"/>
      <c r="NM20" s="239"/>
      <c r="NN20" s="239"/>
      <c r="NO20" s="239"/>
      <c r="NP20" s="239"/>
      <c r="NQ20" s="239"/>
      <c r="NR20" s="239"/>
      <c r="NS20" s="239"/>
      <c r="NT20" s="239"/>
      <c r="NU20" s="239"/>
      <c r="NV20" s="239"/>
      <c r="NW20" s="239"/>
      <c r="NX20" s="239"/>
      <c r="NY20" s="239"/>
      <c r="NZ20" s="239"/>
      <c r="OA20" s="239"/>
      <c r="OB20" s="239"/>
      <c r="OC20" s="239"/>
      <c r="OD20" s="239"/>
      <c r="OE20" s="239"/>
      <c r="OF20" s="239"/>
      <c r="OG20" s="239"/>
      <c r="OH20" s="239"/>
      <c r="OI20" s="239"/>
      <c r="OJ20" s="239"/>
      <c r="OK20" s="239"/>
      <c r="OL20" s="239"/>
      <c r="OM20" s="239"/>
      <c r="ON20" s="239"/>
      <c r="OO20" s="239"/>
      <c r="OP20" s="239"/>
      <c r="OQ20" s="239"/>
      <c r="OR20" s="239"/>
      <c r="OS20" s="239"/>
      <c r="OT20" s="239"/>
      <c r="OU20" s="239"/>
      <c r="OV20" s="239"/>
      <c r="OW20" s="239"/>
      <c r="OX20" s="239"/>
      <c r="OY20" s="239"/>
      <c r="OZ20" s="239"/>
      <c r="PA20" s="239"/>
      <c r="PB20" s="239"/>
      <c r="PC20" s="239"/>
      <c r="PD20" s="239"/>
      <c r="PE20" s="239"/>
      <c r="PF20" s="239"/>
      <c r="PG20" s="239"/>
      <c r="PH20" s="239"/>
      <c r="PI20" s="239"/>
      <c r="PJ20" s="239"/>
      <c r="PK20" s="239"/>
      <c r="PL20" s="239"/>
      <c r="PM20" s="239"/>
      <c r="PN20" s="239"/>
      <c r="PO20" s="239"/>
      <c r="PP20" s="239"/>
      <c r="PQ20" s="239"/>
      <c r="PR20" s="239"/>
      <c r="PS20" s="239"/>
      <c r="PT20" s="239"/>
      <c r="PU20" s="239"/>
      <c r="PV20" s="239"/>
      <c r="PW20" s="239"/>
      <c r="PX20" s="239"/>
      <c r="PY20" s="239"/>
      <c r="PZ20" s="239"/>
      <c r="QA20" s="239"/>
      <c r="QB20" s="239"/>
      <c r="QC20" s="239"/>
      <c r="QD20" s="239"/>
      <c r="QE20" s="239"/>
      <c r="QF20" s="239"/>
      <c r="QG20" s="239"/>
      <c r="QH20" s="239"/>
      <c r="QI20" s="239"/>
      <c r="QJ20" s="239"/>
      <c r="QK20" s="239"/>
      <c r="QL20" s="239"/>
      <c r="QM20" s="239"/>
      <c r="QN20" s="239"/>
      <c r="QO20" s="239"/>
      <c r="QP20" s="239"/>
      <c r="QQ20" s="239"/>
      <c r="QR20" s="239"/>
      <c r="QS20" s="239"/>
      <c r="QT20" s="239"/>
      <c r="QU20" s="239"/>
      <c r="QV20" s="239"/>
      <c r="QW20" s="239"/>
      <c r="QX20" s="239"/>
      <c r="QY20" s="239"/>
      <c r="QZ20" s="239"/>
      <c r="RA20" s="239"/>
      <c r="RB20" s="239"/>
      <c r="RC20" s="239"/>
      <c r="RD20" s="239"/>
      <c r="RE20" s="239"/>
      <c r="RF20" s="239"/>
      <c r="RG20" s="239"/>
      <c r="RH20" s="239"/>
      <c r="RI20" s="239"/>
      <c r="RJ20" s="239"/>
      <c r="RK20" s="239"/>
      <c r="RL20" s="239"/>
      <c r="RM20" s="239"/>
      <c r="RN20" s="239"/>
      <c r="RO20" s="239"/>
      <c r="RP20" s="239"/>
      <c r="RQ20" s="239"/>
      <c r="RR20" s="239"/>
      <c r="RS20" s="239"/>
      <c r="RT20" s="239"/>
      <c r="RU20" s="239"/>
      <c r="RV20" s="239"/>
      <c r="RW20" s="239"/>
      <c r="RX20" s="239"/>
      <c r="RY20" s="239"/>
      <c r="RZ20" s="239"/>
      <c r="SA20" s="239"/>
      <c r="SB20" s="239"/>
      <c r="SC20" s="239"/>
      <c r="SD20" s="239"/>
      <c r="SE20" s="239"/>
      <c r="SF20" s="239"/>
      <c r="SG20" s="239"/>
      <c r="SH20" s="239"/>
      <c r="SI20" s="239"/>
      <c r="SJ20" s="239"/>
      <c r="SK20" s="239"/>
      <c r="SL20" s="239"/>
      <c r="SM20" s="239"/>
      <c r="SN20" s="239"/>
      <c r="SO20" s="239"/>
      <c r="SP20" s="239"/>
      <c r="SQ20" s="239"/>
      <c r="SR20" s="239"/>
      <c r="SS20" s="239"/>
      <c r="ST20" s="239"/>
      <c r="SU20" s="239"/>
      <c r="SV20" s="239"/>
      <c r="SW20" s="239"/>
      <c r="SX20" s="239"/>
      <c r="SY20" s="239"/>
      <c r="SZ20" s="239"/>
      <c r="TA20" s="239"/>
      <c r="TB20" s="239"/>
      <c r="TC20" s="239"/>
      <c r="TD20" s="239"/>
      <c r="TE20" s="239"/>
      <c r="TF20" s="239"/>
      <c r="TG20" s="239"/>
      <c r="TH20" s="239"/>
      <c r="TI20" s="239"/>
      <c r="TJ20" s="239"/>
      <c r="TK20" s="239"/>
      <c r="TL20" s="239"/>
      <c r="TM20" s="239"/>
      <c r="TN20" s="239"/>
      <c r="TO20" s="239"/>
      <c r="TP20" s="239"/>
      <c r="TQ20" s="239"/>
      <c r="TR20" s="239"/>
      <c r="TS20" s="239"/>
      <c r="TT20" s="239"/>
      <c r="TU20" s="239"/>
      <c r="TV20" s="239"/>
      <c r="TW20" s="239"/>
      <c r="TX20" s="239"/>
      <c r="TY20" s="239"/>
      <c r="TZ20" s="239"/>
      <c r="UA20" s="239"/>
      <c r="UB20" s="239"/>
      <c r="UC20" s="239"/>
      <c r="UD20" s="239"/>
      <c r="UE20" s="239"/>
      <c r="UF20" s="239"/>
      <c r="UG20" s="240"/>
    </row>
    <row r="21" spans="1:553" s="236" customFormat="1" ht="27.75" customHeight="1">
      <c r="A21" s="356" t="s">
        <v>30</v>
      </c>
      <c r="B21" s="398" t="s">
        <v>31</v>
      </c>
      <c r="C21" s="1404" t="s">
        <v>90</v>
      </c>
      <c r="D21" s="1389"/>
      <c r="E21" s="1389"/>
      <c r="F21" s="1390"/>
      <c r="G21" s="386" t="s">
        <v>34</v>
      </c>
      <c r="H21" s="370"/>
      <c r="I21" s="834">
        <f>-32.8*1.8*0.22</f>
        <v>-12.988799999999999</v>
      </c>
      <c r="J21" s="368">
        <v>1748702</v>
      </c>
      <c r="K21" s="371"/>
      <c r="L21" s="391">
        <f t="shared" si="3"/>
        <v>-22713541</v>
      </c>
      <c r="M21" s="395"/>
      <c r="N21" s="395"/>
      <c r="O21" s="366"/>
      <c r="P21" s="396"/>
      <c r="Q21" s="473"/>
      <c r="R21" s="1039"/>
      <c r="S21" s="1047"/>
      <c r="T21" s="303"/>
      <c r="U21" s="306"/>
      <c r="V21" s="307"/>
      <c r="W21" s="306"/>
      <c r="X21" s="306"/>
      <c r="Y21" s="306"/>
      <c r="Z21" s="453"/>
      <c r="AA21" s="306"/>
      <c r="AB21" s="306"/>
      <c r="AC21" s="449"/>
      <c r="AD21" s="449"/>
      <c r="AE21" s="449"/>
      <c r="AF21" s="449"/>
      <c r="AG21" s="452"/>
      <c r="AH21" s="452"/>
      <c r="AI21" s="452"/>
      <c r="AJ21" s="452"/>
      <c r="AK21" s="452"/>
      <c r="AL21" s="242"/>
      <c r="AM21" s="241"/>
      <c r="AN21" s="241"/>
      <c r="AO21" s="241"/>
      <c r="AP21" s="241"/>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c r="DF21" s="239"/>
      <c r="DG21" s="239"/>
      <c r="DH21" s="239"/>
      <c r="DI21" s="239"/>
      <c r="DJ21" s="239"/>
      <c r="DK21" s="239"/>
      <c r="DL21" s="239"/>
      <c r="DM21" s="239"/>
      <c r="DN21" s="239"/>
      <c r="DO21" s="239"/>
      <c r="DP21" s="239"/>
      <c r="DQ21" s="239"/>
      <c r="DR21" s="239"/>
      <c r="DS21" s="239"/>
      <c r="DT21" s="239"/>
      <c r="DU21" s="239"/>
      <c r="DV21" s="239"/>
      <c r="DW21" s="239"/>
      <c r="DX21" s="239"/>
      <c r="DY21" s="239"/>
      <c r="DZ21" s="239"/>
      <c r="EA21" s="239"/>
      <c r="EB21" s="239"/>
      <c r="EC21" s="239"/>
      <c r="ED21" s="239"/>
      <c r="EE21" s="239"/>
      <c r="EF21" s="239"/>
      <c r="EG21" s="239"/>
      <c r="EH21" s="239"/>
      <c r="EI21" s="239"/>
      <c r="EJ21" s="239"/>
      <c r="EK21" s="239"/>
      <c r="EL21" s="239"/>
      <c r="EM21" s="239"/>
      <c r="EN21" s="239"/>
      <c r="EO21" s="239"/>
      <c r="EP21" s="239"/>
      <c r="EQ21" s="239"/>
      <c r="ER21" s="239"/>
      <c r="ES21" s="239"/>
      <c r="ET21" s="239"/>
      <c r="EU21" s="239"/>
      <c r="EV21" s="239"/>
      <c r="EW21" s="239"/>
      <c r="EX21" s="239"/>
      <c r="EY21" s="239"/>
      <c r="EZ21" s="239"/>
      <c r="FA21" s="239"/>
      <c r="FB21" s="239"/>
      <c r="FC21" s="239"/>
      <c r="FD21" s="239"/>
      <c r="FE21" s="239"/>
      <c r="FF21" s="239"/>
      <c r="FG21" s="239"/>
      <c r="FH21" s="239"/>
      <c r="FI21" s="239"/>
      <c r="FJ21" s="239"/>
      <c r="FK21" s="239"/>
      <c r="FL21" s="239"/>
      <c r="FM21" s="239"/>
      <c r="FN21" s="239"/>
      <c r="FO21" s="239"/>
      <c r="FP21" s="239"/>
      <c r="FQ21" s="239"/>
      <c r="FR21" s="239"/>
      <c r="FS21" s="239"/>
      <c r="FT21" s="239"/>
      <c r="FU21" s="239"/>
      <c r="FV21" s="239"/>
      <c r="FW21" s="239"/>
      <c r="FX21" s="239"/>
      <c r="FY21" s="239"/>
      <c r="FZ21" s="239"/>
      <c r="GA21" s="239"/>
      <c r="GB21" s="239"/>
      <c r="GC21" s="239"/>
      <c r="GD21" s="239"/>
      <c r="GE21" s="239"/>
      <c r="GF21" s="239"/>
      <c r="GG21" s="239"/>
      <c r="GH21" s="239"/>
      <c r="GI21" s="239"/>
      <c r="GJ21" s="239"/>
      <c r="GK21" s="239"/>
      <c r="GL21" s="239"/>
      <c r="GM21" s="239"/>
      <c r="GN21" s="239"/>
      <c r="GO21" s="239"/>
      <c r="GP21" s="239"/>
      <c r="GQ21" s="239"/>
      <c r="GR21" s="239"/>
      <c r="GS21" s="239"/>
      <c r="GT21" s="239"/>
      <c r="GU21" s="239"/>
      <c r="GV21" s="239"/>
      <c r="GW21" s="239"/>
      <c r="GX21" s="239"/>
      <c r="GY21" s="239"/>
      <c r="GZ21" s="239"/>
      <c r="HA21" s="239"/>
      <c r="HB21" s="239"/>
      <c r="HC21" s="239"/>
      <c r="HD21" s="239"/>
      <c r="HE21" s="239"/>
      <c r="HF21" s="239"/>
      <c r="HG21" s="239"/>
      <c r="HH21" s="239"/>
      <c r="HI21" s="239"/>
      <c r="HJ21" s="239"/>
      <c r="HK21" s="239"/>
      <c r="HL21" s="239"/>
      <c r="HM21" s="239"/>
      <c r="HN21" s="239"/>
      <c r="HO21" s="239"/>
      <c r="HP21" s="239"/>
      <c r="HQ21" s="239"/>
      <c r="HR21" s="239"/>
      <c r="HS21" s="239"/>
      <c r="HT21" s="239"/>
      <c r="HU21" s="239"/>
      <c r="HV21" s="239"/>
      <c r="HW21" s="239"/>
      <c r="HX21" s="239"/>
      <c r="HY21" s="239"/>
      <c r="HZ21" s="239"/>
      <c r="IA21" s="239"/>
      <c r="IB21" s="239"/>
      <c r="IC21" s="239"/>
      <c r="ID21" s="239"/>
      <c r="IE21" s="239"/>
      <c r="IF21" s="239"/>
      <c r="IG21" s="239"/>
      <c r="IH21" s="239"/>
      <c r="II21" s="239"/>
      <c r="IJ21" s="239"/>
      <c r="IK21" s="239"/>
      <c r="IL21" s="239"/>
      <c r="IM21" s="239"/>
      <c r="IN21" s="239"/>
      <c r="IO21" s="239"/>
      <c r="IP21" s="239"/>
      <c r="IQ21" s="239"/>
      <c r="IR21" s="239"/>
      <c r="IS21" s="239"/>
      <c r="IT21" s="239"/>
      <c r="IU21" s="239"/>
      <c r="IV21" s="239"/>
      <c r="IW21" s="239"/>
      <c r="IX21" s="239"/>
      <c r="IY21" s="239"/>
      <c r="IZ21" s="239"/>
      <c r="JA21" s="239"/>
      <c r="JB21" s="239"/>
      <c r="JC21" s="239"/>
      <c r="JD21" s="239"/>
      <c r="JE21" s="239"/>
      <c r="JF21" s="239"/>
      <c r="JG21" s="239"/>
      <c r="JH21" s="239"/>
      <c r="JI21" s="239"/>
      <c r="JJ21" s="239"/>
      <c r="JK21" s="239"/>
      <c r="JL21" s="239"/>
      <c r="JM21" s="239"/>
      <c r="JN21" s="239"/>
      <c r="JO21" s="239"/>
      <c r="JP21" s="239"/>
      <c r="JQ21" s="239"/>
      <c r="JR21" s="239"/>
      <c r="JS21" s="239"/>
      <c r="JT21" s="239"/>
      <c r="JU21" s="239"/>
      <c r="JV21" s="239"/>
      <c r="JW21" s="239"/>
      <c r="JX21" s="239"/>
      <c r="JY21" s="239"/>
      <c r="JZ21" s="239"/>
      <c r="KA21" s="239"/>
      <c r="KB21" s="239"/>
      <c r="KC21" s="239"/>
      <c r="KD21" s="239"/>
      <c r="KE21" s="239"/>
      <c r="KF21" s="239"/>
      <c r="KG21" s="239"/>
      <c r="KH21" s="239"/>
      <c r="KI21" s="239"/>
      <c r="KJ21" s="239"/>
      <c r="KK21" s="239"/>
      <c r="KL21" s="239"/>
      <c r="KM21" s="239"/>
      <c r="KN21" s="239"/>
      <c r="KO21" s="239"/>
      <c r="KP21" s="239"/>
      <c r="KQ21" s="239"/>
      <c r="KR21" s="239"/>
      <c r="KS21" s="239"/>
      <c r="KT21" s="239"/>
      <c r="KU21" s="239"/>
      <c r="KV21" s="239"/>
      <c r="KW21" s="239"/>
      <c r="KX21" s="239"/>
      <c r="KY21" s="239"/>
      <c r="KZ21" s="239"/>
      <c r="LA21" s="239"/>
      <c r="LB21" s="239"/>
      <c r="LC21" s="239"/>
      <c r="LD21" s="239"/>
      <c r="LE21" s="239"/>
      <c r="LF21" s="239"/>
      <c r="LG21" s="239"/>
      <c r="LH21" s="239"/>
      <c r="LI21" s="239"/>
      <c r="LJ21" s="239"/>
      <c r="LK21" s="239"/>
      <c r="LL21" s="239"/>
      <c r="LM21" s="239"/>
      <c r="LN21" s="239"/>
      <c r="LO21" s="239"/>
      <c r="LP21" s="239"/>
      <c r="LQ21" s="239"/>
      <c r="LR21" s="239"/>
      <c r="LS21" s="239"/>
      <c r="LT21" s="239"/>
      <c r="LU21" s="239"/>
      <c r="LV21" s="239"/>
      <c r="LW21" s="239"/>
      <c r="LX21" s="239"/>
      <c r="LY21" s="239"/>
      <c r="LZ21" s="239"/>
      <c r="MA21" s="239"/>
      <c r="MB21" s="239"/>
      <c r="MC21" s="239"/>
      <c r="MD21" s="239"/>
      <c r="ME21" s="239"/>
      <c r="MF21" s="239"/>
      <c r="MG21" s="239"/>
      <c r="MH21" s="239"/>
      <c r="MI21" s="239"/>
      <c r="MJ21" s="239"/>
      <c r="MK21" s="239"/>
      <c r="ML21" s="239"/>
      <c r="MM21" s="239"/>
      <c r="MN21" s="239"/>
      <c r="MO21" s="239"/>
      <c r="MP21" s="239"/>
      <c r="MQ21" s="239"/>
      <c r="MR21" s="239"/>
      <c r="MS21" s="239"/>
      <c r="MT21" s="239"/>
      <c r="MU21" s="239"/>
      <c r="MV21" s="239"/>
      <c r="MW21" s="239"/>
      <c r="MX21" s="239"/>
      <c r="MY21" s="239"/>
      <c r="MZ21" s="239"/>
      <c r="NA21" s="239"/>
      <c r="NB21" s="239"/>
      <c r="NC21" s="239"/>
      <c r="ND21" s="239"/>
      <c r="NE21" s="239"/>
      <c r="NF21" s="239"/>
      <c r="NG21" s="239"/>
      <c r="NH21" s="239"/>
      <c r="NI21" s="239"/>
      <c r="NJ21" s="239"/>
      <c r="NK21" s="239"/>
      <c r="NL21" s="239"/>
      <c r="NM21" s="239"/>
      <c r="NN21" s="239"/>
      <c r="NO21" s="239"/>
      <c r="NP21" s="239"/>
      <c r="NQ21" s="239"/>
      <c r="NR21" s="239"/>
      <c r="NS21" s="239"/>
      <c r="NT21" s="239"/>
      <c r="NU21" s="239"/>
      <c r="NV21" s="239"/>
      <c r="NW21" s="239"/>
      <c r="NX21" s="239"/>
      <c r="NY21" s="239"/>
      <c r="NZ21" s="239"/>
      <c r="OA21" s="239"/>
      <c r="OB21" s="239"/>
      <c r="OC21" s="239"/>
      <c r="OD21" s="239"/>
      <c r="OE21" s="239"/>
      <c r="OF21" s="239"/>
      <c r="OG21" s="239"/>
      <c r="OH21" s="239"/>
      <c r="OI21" s="239"/>
      <c r="OJ21" s="239"/>
      <c r="OK21" s="239"/>
      <c r="OL21" s="239"/>
      <c r="OM21" s="239"/>
      <c r="ON21" s="239"/>
      <c r="OO21" s="239"/>
      <c r="OP21" s="239"/>
      <c r="OQ21" s="239"/>
      <c r="OR21" s="239"/>
      <c r="OS21" s="239"/>
      <c r="OT21" s="239"/>
      <c r="OU21" s="239"/>
      <c r="OV21" s="239"/>
      <c r="OW21" s="239"/>
      <c r="OX21" s="239"/>
      <c r="OY21" s="239"/>
      <c r="OZ21" s="239"/>
      <c r="PA21" s="239"/>
      <c r="PB21" s="239"/>
      <c r="PC21" s="239"/>
      <c r="PD21" s="239"/>
      <c r="PE21" s="239"/>
      <c r="PF21" s="239"/>
      <c r="PG21" s="239"/>
      <c r="PH21" s="239"/>
      <c r="PI21" s="239"/>
      <c r="PJ21" s="239"/>
      <c r="PK21" s="239"/>
      <c r="PL21" s="239"/>
      <c r="PM21" s="239"/>
      <c r="PN21" s="239"/>
      <c r="PO21" s="239"/>
      <c r="PP21" s="239"/>
      <c r="PQ21" s="239"/>
      <c r="PR21" s="239"/>
      <c r="PS21" s="239"/>
      <c r="PT21" s="239"/>
      <c r="PU21" s="239"/>
      <c r="PV21" s="239"/>
      <c r="PW21" s="239"/>
      <c r="PX21" s="239"/>
      <c r="PY21" s="239"/>
      <c r="PZ21" s="239"/>
      <c r="QA21" s="239"/>
      <c r="QB21" s="239"/>
      <c r="QC21" s="239"/>
      <c r="QD21" s="239"/>
      <c r="QE21" s="239"/>
      <c r="QF21" s="239"/>
      <c r="QG21" s="239"/>
      <c r="QH21" s="239"/>
      <c r="QI21" s="239"/>
      <c r="QJ21" s="239"/>
      <c r="QK21" s="239"/>
      <c r="QL21" s="239"/>
      <c r="QM21" s="239"/>
      <c r="QN21" s="239"/>
      <c r="QO21" s="239"/>
      <c r="QP21" s="239"/>
      <c r="QQ21" s="239"/>
      <c r="QR21" s="239"/>
      <c r="QS21" s="239"/>
      <c r="QT21" s="239"/>
      <c r="QU21" s="239"/>
      <c r="QV21" s="239"/>
      <c r="QW21" s="239"/>
      <c r="QX21" s="239"/>
      <c r="QY21" s="239"/>
      <c r="QZ21" s="239"/>
      <c r="RA21" s="239"/>
      <c r="RB21" s="239"/>
      <c r="RC21" s="239"/>
      <c r="RD21" s="239"/>
      <c r="RE21" s="239"/>
      <c r="RF21" s="239"/>
      <c r="RG21" s="239"/>
      <c r="RH21" s="239"/>
      <c r="RI21" s="239"/>
      <c r="RJ21" s="239"/>
      <c r="RK21" s="239"/>
      <c r="RL21" s="239"/>
      <c r="RM21" s="239"/>
      <c r="RN21" s="239"/>
      <c r="RO21" s="239"/>
      <c r="RP21" s="239"/>
      <c r="RQ21" s="239"/>
      <c r="RR21" s="239"/>
      <c r="RS21" s="239"/>
      <c r="RT21" s="239"/>
      <c r="RU21" s="239"/>
      <c r="RV21" s="239"/>
      <c r="RW21" s="239"/>
      <c r="RX21" s="239"/>
      <c r="RY21" s="239"/>
      <c r="RZ21" s="239"/>
      <c r="SA21" s="239"/>
      <c r="SB21" s="239"/>
      <c r="SC21" s="239"/>
      <c r="SD21" s="239"/>
      <c r="SE21" s="239"/>
      <c r="SF21" s="239"/>
      <c r="SG21" s="239"/>
      <c r="SH21" s="239"/>
      <c r="SI21" s="239"/>
      <c r="SJ21" s="239"/>
      <c r="SK21" s="239"/>
      <c r="SL21" s="239"/>
      <c r="SM21" s="239"/>
      <c r="SN21" s="239"/>
      <c r="SO21" s="239"/>
      <c r="SP21" s="239"/>
      <c r="SQ21" s="239"/>
      <c r="SR21" s="239"/>
      <c r="SS21" s="239"/>
      <c r="ST21" s="239"/>
      <c r="SU21" s="239"/>
      <c r="SV21" s="239"/>
      <c r="SW21" s="239"/>
      <c r="SX21" s="239"/>
      <c r="SY21" s="239"/>
      <c r="SZ21" s="239"/>
      <c r="TA21" s="239"/>
      <c r="TB21" s="239"/>
      <c r="TC21" s="239"/>
      <c r="TD21" s="239"/>
      <c r="TE21" s="239"/>
      <c r="TF21" s="239"/>
      <c r="TG21" s="239"/>
      <c r="TH21" s="239"/>
      <c r="TI21" s="239"/>
      <c r="TJ21" s="239"/>
      <c r="TK21" s="239"/>
      <c r="TL21" s="239"/>
      <c r="TM21" s="239"/>
      <c r="TN21" s="239"/>
      <c r="TO21" s="239"/>
      <c r="TP21" s="239"/>
      <c r="TQ21" s="239"/>
      <c r="TR21" s="239"/>
      <c r="TS21" s="239"/>
      <c r="TT21" s="239"/>
      <c r="TU21" s="239"/>
      <c r="TV21" s="239"/>
      <c r="TW21" s="239"/>
      <c r="TX21" s="239"/>
      <c r="TY21" s="239"/>
      <c r="TZ21" s="239"/>
      <c r="UA21" s="239"/>
      <c r="UB21" s="239"/>
      <c r="UC21" s="239"/>
      <c r="UD21" s="239"/>
      <c r="UE21" s="239"/>
      <c r="UF21" s="239"/>
      <c r="UG21" s="240"/>
    </row>
    <row r="22" spans="1:553" s="236" customFormat="1" ht="24.65" customHeight="1">
      <c r="A22" s="356" t="s">
        <v>30</v>
      </c>
      <c r="B22" s="385">
        <v>2</v>
      </c>
      <c r="C22" s="1451" t="s">
        <v>32</v>
      </c>
      <c r="D22" s="1389"/>
      <c r="E22" s="1389"/>
      <c r="F22" s="1390"/>
      <c r="G22" s="386" t="s">
        <v>33</v>
      </c>
      <c r="H22" s="370"/>
      <c r="I22" s="834">
        <f>-32.8*1.8*2</f>
        <v>-118.08</v>
      </c>
      <c r="J22" s="368">
        <v>52000</v>
      </c>
      <c r="K22" s="371"/>
      <c r="L22" s="391">
        <f t="shared" ref="L22:L23" si="4">I22*J22</f>
        <v>-6140160</v>
      </c>
      <c r="M22" s="395"/>
      <c r="N22" s="395"/>
      <c r="O22" s="366"/>
      <c r="P22" s="396"/>
      <c r="Q22" s="473"/>
      <c r="R22" s="1039"/>
      <c r="S22" s="1047"/>
      <c r="T22" s="303"/>
      <c r="U22" s="306"/>
      <c r="V22" s="307"/>
      <c r="W22" s="306"/>
      <c r="X22" s="306"/>
      <c r="Y22" s="306"/>
      <c r="Z22" s="306"/>
      <c r="AA22" s="306"/>
      <c r="AB22" s="306"/>
      <c r="AC22" s="373"/>
      <c r="AD22" s="373"/>
      <c r="AE22" s="373"/>
      <c r="AF22" s="373"/>
      <c r="AG22" s="389"/>
      <c r="AH22" s="389"/>
      <c r="AI22" s="389"/>
      <c r="AJ22" s="389"/>
      <c r="AK22" s="389"/>
      <c r="AL22" s="246"/>
      <c r="AM22" s="246"/>
      <c r="AN22" s="246"/>
      <c r="AO22" s="246"/>
      <c r="AP22" s="246"/>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c r="DM22" s="247"/>
      <c r="DN22" s="247"/>
      <c r="DO22" s="247"/>
      <c r="DP22" s="247"/>
      <c r="DQ22" s="247"/>
      <c r="DR22" s="247"/>
      <c r="DS22" s="247"/>
      <c r="DT22" s="247"/>
      <c r="DU22" s="247"/>
      <c r="DV22" s="247"/>
      <c r="DW22" s="247"/>
      <c r="DX22" s="247"/>
      <c r="DY22" s="247"/>
      <c r="DZ22" s="247"/>
      <c r="EA22" s="247"/>
      <c r="EB22" s="247"/>
      <c r="EC22" s="247"/>
      <c r="ED22" s="247"/>
      <c r="EE22" s="247"/>
      <c r="EF22" s="247"/>
      <c r="EG22" s="247"/>
      <c r="EH22" s="247"/>
      <c r="EI22" s="247"/>
      <c r="EJ22" s="247"/>
      <c r="EK22" s="247"/>
      <c r="EL22" s="247"/>
      <c r="EM22" s="247"/>
      <c r="EN22" s="247"/>
      <c r="EO22" s="247"/>
      <c r="EP22" s="247"/>
      <c r="EQ22" s="247"/>
      <c r="ER22" s="247"/>
      <c r="ES22" s="247"/>
      <c r="ET22" s="247"/>
      <c r="EU22" s="247"/>
      <c r="EV22" s="247"/>
      <c r="EW22" s="247"/>
      <c r="EX22" s="247"/>
      <c r="EY22" s="247"/>
      <c r="EZ22" s="247"/>
      <c r="FA22" s="247"/>
      <c r="FB22" s="247"/>
      <c r="FC22" s="247"/>
      <c r="FD22" s="247"/>
      <c r="FE22" s="247"/>
      <c r="FF22" s="247"/>
      <c r="FG22" s="247"/>
      <c r="FH22" s="247"/>
      <c r="FI22" s="247"/>
      <c r="FJ22" s="247"/>
      <c r="FK22" s="247"/>
      <c r="FL22" s="247"/>
      <c r="FM22" s="247"/>
      <c r="FN22" s="247"/>
      <c r="FO22" s="247"/>
      <c r="FP22" s="247"/>
      <c r="FQ22" s="247"/>
      <c r="FR22" s="247"/>
      <c r="FS22" s="247"/>
      <c r="FT22" s="247"/>
      <c r="FU22" s="247"/>
      <c r="FV22" s="247"/>
      <c r="FW22" s="247"/>
      <c r="FX22" s="247"/>
      <c r="FY22" s="247"/>
      <c r="FZ22" s="247"/>
      <c r="GA22" s="247"/>
      <c r="GB22" s="247"/>
      <c r="GC22" s="247"/>
      <c r="GD22" s="247"/>
      <c r="GE22" s="247"/>
      <c r="GF22" s="247"/>
      <c r="GG22" s="247"/>
      <c r="GH22" s="247"/>
      <c r="GI22" s="247"/>
      <c r="GJ22" s="247"/>
      <c r="GK22" s="247"/>
      <c r="GL22" s="247"/>
      <c r="GM22" s="247"/>
      <c r="GN22" s="247"/>
      <c r="GO22" s="247"/>
      <c r="GP22" s="247"/>
      <c r="GQ22" s="247"/>
      <c r="GR22" s="247"/>
      <c r="GS22" s="247"/>
      <c r="GT22" s="247"/>
      <c r="GU22" s="247"/>
      <c r="GV22" s="247"/>
      <c r="GW22" s="247"/>
      <c r="GX22" s="247"/>
      <c r="GY22" s="247"/>
      <c r="GZ22" s="247"/>
      <c r="HA22" s="247"/>
      <c r="HB22" s="247"/>
      <c r="HC22" s="247"/>
      <c r="HD22" s="247"/>
      <c r="HE22" s="247"/>
      <c r="HF22" s="247"/>
      <c r="HG22" s="247"/>
      <c r="HH22" s="247"/>
      <c r="HI22" s="247"/>
      <c r="HJ22" s="247"/>
      <c r="HK22" s="247"/>
      <c r="HL22" s="247"/>
      <c r="HM22" s="247"/>
      <c r="HN22" s="247"/>
      <c r="HO22" s="247"/>
      <c r="HP22" s="247"/>
      <c r="HQ22" s="247"/>
      <c r="HR22" s="247"/>
      <c r="HS22" s="247"/>
      <c r="HT22" s="247"/>
      <c r="HU22" s="247"/>
      <c r="HV22" s="247"/>
      <c r="HW22" s="247"/>
      <c r="HX22" s="247"/>
      <c r="HY22" s="247"/>
      <c r="HZ22" s="247"/>
      <c r="IA22" s="247"/>
      <c r="IB22" s="247"/>
      <c r="IC22" s="247"/>
      <c r="ID22" s="247"/>
      <c r="IE22" s="247"/>
      <c r="IF22" s="247"/>
      <c r="IG22" s="247"/>
      <c r="IH22" s="247"/>
      <c r="II22" s="247"/>
      <c r="IJ22" s="247"/>
      <c r="IK22" s="247"/>
      <c r="IL22" s="247"/>
      <c r="IM22" s="247"/>
      <c r="IN22" s="247"/>
      <c r="IO22" s="247"/>
      <c r="IP22" s="247"/>
      <c r="IQ22" s="247"/>
      <c r="IR22" s="247"/>
      <c r="IS22" s="247"/>
      <c r="IT22" s="247"/>
      <c r="IU22" s="247"/>
      <c r="IV22" s="247"/>
      <c r="IW22" s="247"/>
      <c r="IX22" s="247"/>
      <c r="IY22" s="247"/>
      <c r="IZ22" s="247"/>
      <c r="JA22" s="247"/>
      <c r="JB22" s="247"/>
      <c r="JC22" s="247"/>
      <c r="JD22" s="247"/>
      <c r="JE22" s="247"/>
      <c r="JF22" s="247"/>
      <c r="JG22" s="247"/>
      <c r="JH22" s="247"/>
      <c r="JI22" s="247"/>
      <c r="JJ22" s="247"/>
      <c r="JK22" s="247"/>
      <c r="JL22" s="247"/>
      <c r="JM22" s="247"/>
      <c r="JN22" s="247"/>
      <c r="JO22" s="247"/>
      <c r="JP22" s="247"/>
      <c r="JQ22" s="247"/>
      <c r="JR22" s="247"/>
      <c r="JS22" s="247"/>
      <c r="JT22" s="247"/>
      <c r="JU22" s="247"/>
      <c r="JV22" s="247"/>
      <c r="JW22" s="247"/>
      <c r="JX22" s="247"/>
      <c r="JY22" s="247"/>
      <c r="JZ22" s="247"/>
      <c r="KA22" s="247"/>
      <c r="KB22" s="247"/>
      <c r="KC22" s="247"/>
      <c r="KD22" s="247"/>
      <c r="KE22" s="247"/>
      <c r="KF22" s="247"/>
      <c r="KG22" s="247"/>
      <c r="KH22" s="247"/>
      <c r="KI22" s="247"/>
      <c r="KJ22" s="247"/>
      <c r="KK22" s="247"/>
      <c r="KL22" s="247"/>
      <c r="KM22" s="247"/>
      <c r="KN22" s="247"/>
      <c r="KO22" s="247"/>
      <c r="KP22" s="247"/>
      <c r="KQ22" s="247"/>
      <c r="KR22" s="247"/>
      <c r="KS22" s="247"/>
      <c r="KT22" s="247"/>
      <c r="KU22" s="247"/>
      <c r="KV22" s="247"/>
      <c r="KW22" s="247"/>
      <c r="KX22" s="247"/>
      <c r="KY22" s="247"/>
      <c r="KZ22" s="247"/>
      <c r="LA22" s="247"/>
      <c r="LB22" s="247"/>
      <c r="LC22" s="247"/>
      <c r="LD22" s="247"/>
      <c r="LE22" s="247"/>
      <c r="LF22" s="247"/>
      <c r="LG22" s="247"/>
      <c r="LH22" s="247"/>
      <c r="LI22" s="247"/>
      <c r="LJ22" s="247"/>
      <c r="LK22" s="247"/>
      <c r="LL22" s="247"/>
      <c r="LM22" s="247"/>
      <c r="LN22" s="247"/>
      <c r="LO22" s="247"/>
      <c r="LP22" s="247"/>
      <c r="LQ22" s="247"/>
      <c r="LR22" s="247"/>
      <c r="LS22" s="247"/>
      <c r="LT22" s="247"/>
      <c r="LU22" s="247"/>
      <c r="LV22" s="247"/>
      <c r="LW22" s="247"/>
      <c r="LX22" s="247"/>
      <c r="LY22" s="247"/>
      <c r="LZ22" s="247"/>
      <c r="MA22" s="247"/>
      <c r="MB22" s="247"/>
      <c r="MC22" s="247"/>
      <c r="MD22" s="247"/>
      <c r="ME22" s="247"/>
      <c r="MF22" s="247"/>
      <c r="MG22" s="247"/>
      <c r="MH22" s="247"/>
      <c r="MI22" s="247"/>
      <c r="MJ22" s="247"/>
      <c r="MK22" s="247"/>
      <c r="ML22" s="247"/>
      <c r="MM22" s="247"/>
      <c r="MN22" s="247"/>
      <c r="MO22" s="247"/>
      <c r="MP22" s="247"/>
      <c r="MQ22" s="247"/>
      <c r="MR22" s="247"/>
      <c r="MS22" s="247"/>
      <c r="MT22" s="247"/>
      <c r="MU22" s="247"/>
      <c r="MV22" s="247"/>
      <c r="MW22" s="247"/>
      <c r="MX22" s="247"/>
      <c r="MY22" s="247"/>
      <c r="MZ22" s="247"/>
      <c r="NA22" s="247"/>
      <c r="NB22" s="247"/>
      <c r="NC22" s="247"/>
      <c r="ND22" s="247"/>
      <c r="NE22" s="247"/>
      <c r="NF22" s="247"/>
      <c r="NG22" s="247"/>
      <c r="NH22" s="247"/>
      <c r="NI22" s="247"/>
      <c r="NJ22" s="247"/>
      <c r="NK22" s="247"/>
      <c r="NL22" s="247"/>
      <c r="NM22" s="247"/>
      <c r="NN22" s="247"/>
      <c r="NO22" s="247"/>
      <c r="NP22" s="247"/>
      <c r="NQ22" s="247"/>
      <c r="NR22" s="247"/>
      <c r="NS22" s="247"/>
      <c r="NT22" s="247"/>
      <c r="NU22" s="247"/>
      <c r="NV22" s="247"/>
      <c r="NW22" s="247"/>
      <c r="NX22" s="247"/>
      <c r="NY22" s="247"/>
      <c r="NZ22" s="247"/>
      <c r="OA22" s="247"/>
      <c r="OB22" s="247"/>
      <c r="OC22" s="247"/>
      <c r="OD22" s="247"/>
      <c r="OE22" s="247"/>
      <c r="OF22" s="247"/>
      <c r="OG22" s="247"/>
      <c r="OH22" s="247"/>
      <c r="OI22" s="247"/>
      <c r="OJ22" s="247"/>
      <c r="OK22" s="247"/>
      <c r="OL22" s="247"/>
      <c r="OM22" s="247"/>
      <c r="ON22" s="247"/>
      <c r="OO22" s="247"/>
      <c r="OP22" s="247"/>
      <c r="OQ22" s="247"/>
      <c r="OR22" s="247"/>
      <c r="OS22" s="247"/>
      <c r="OT22" s="247"/>
      <c r="OU22" s="247"/>
      <c r="OV22" s="247"/>
      <c r="OW22" s="247"/>
      <c r="OX22" s="247"/>
      <c r="OY22" s="247"/>
      <c r="OZ22" s="247"/>
      <c r="PA22" s="247"/>
      <c r="PB22" s="247"/>
      <c r="PC22" s="247"/>
      <c r="PD22" s="247"/>
      <c r="PE22" s="247"/>
      <c r="PF22" s="247"/>
      <c r="PG22" s="247"/>
      <c r="PH22" s="247"/>
      <c r="PI22" s="247"/>
      <c r="PJ22" s="247"/>
      <c r="PK22" s="247"/>
      <c r="PL22" s="247"/>
      <c r="PM22" s="247"/>
      <c r="PN22" s="247"/>
      <c r="PO22" s="247"/>
      <c r="PP22" s="247"/>
      <c r="PQ22" s="247"/>
      <c r="PR22" s="247"/>
      <c r="PS22" s="247"/>
      <c r="PT22" s="247"/>
      <c r="PU22" s="247"/>
      <c r="PV22" s="247"/>
      <c r="PW22" s="247"/>
      <c r="PX22" s="247"/>
      <c r="PY22" s="247"/>
      <c r="PZ22" s="247"/>
      <c r="QA22" s="247"/>
      <c r="QB22" s="247"/>
      <c r="QC22" s="247"/>
      <c r="QD22" s="247"/>
      <c r="QE22" s="247"/>
      <c r="QF22" s="247"/>
      <c r="QG22" s="247"/>
      <c r="QH22" s="247"/>
      <c r="QI22" s="247"/>
      <c r="QJ22" s="247"/>
      <c r="QK22" s="247"/>
      <c r="QL22" s="247"/>
      <c r="QM22" s="247"/>
      <c r="QN22" s="247"/>
      <c r="QO22" s="247"/>
      <c r="QP22" s="247"/>
      <c r="QQ22" s="247"/>
      <c r="QR22" s="247"/>
      <c r="QS22" s="247"/>
      <c r="QT22" s="247"/>
      <c r="QU22" s="247"/>
      <c r="QV22" s="247"/>
      <c r="QW22" s="247"/>
      <c r="QX22" s="247"/>
      <c r="QY22" s="247"/>
      <c r="QZ22" s="247"/>
      <c r="RA22" s="247"/>
      <c r="RB22" s="247"/>
      <c r="RC22" s="247"/>
      <c r="RD22" s="247"/>
      <c r="RE22" s="247"/>
      <c r="RF22" s="247"/>
      <c r="RG22" s="247"/>
      <c r="RH22" s="247"/>
      <c r="RI22" s="247"/>
      <c r="RJ22" s="247"/>
      <c r="RK22" s="247"/>
      <c r="RL22" s="247"/>
      <c r="RM22" s="247"/>
      <c r="RN22" s="247"/>
      <c r="RO22" s="247"/>
      <c r="RP22" s="247"/>
      <c r="RQ22" s="247"/>
      <c r="RR22" s="247"/>
      <c r="RS22" s="247"/>
      <c r="RT22" s="247"/>
      <c r="RU22" s="247"/>
      <c r="RV22" s="247"/>
      <c r="RW22" s="247"/>
      <c r="RX22" s="247"/>
      <c r="RY22" s="247"/>
      <c r="RZ22" s="247"/>
      <c r="SA22" s="247"/>
      <c r="SB22" s="247"/>
      <c r="SC22" s="247"/>
      <c r="SD22" s="247"/>
      <c r="SE22" s="247"/>
      <c r="SF22" s="247"/>
      <c r="SG22" s="247"/>
      <c r="SH22" s="247"/>
      <c r="SI22" s="247"/>
      <c r="SJ22" s="247"/>
      <c r="SK22" s="247"/>
      <c r="SL22" s="247"/>
      <c r="SM22" s="247"/>
      <c r="SN22" s="247"/>
      <c r="SO22" s="247"/>
      <c r="SP22" s="247"/>
      <c r="SQ22" s="247"/>
      <c r="SR22" s="247"/>
      <c r="SS22" s="247"/>
      <c r="ST22" s="247"/>
      <c r="SU22" s="247"/>
      <c r="SV22" s="247"/>
      <c r="SW22" s="247"/>
      <c r="SX22" s="247"/>
      <c r="SY22" s="247"/>
      <c r="SZ22" s="247"/>
      <c r="TA22" s="247"/>
      <c r="TB22" s="247"/>
      <c r="TC22" s="247"/>
      <c r="TD22" s="247"/>
      <c r="TE22" s="247"/>
      <c r="TF22" s="247"/>
      <c r="TG22" s="247"/>
      <c r="TH22" s="247"/>
      <c r="TI22" s="247"/>
      <c r="TJ22" s="247"/>
      <c r="TK22" s="247"/>
      <c r="TL22" s="247"/>
      <c r="TM22" s="247"/>
      <c r="TN22" s="247"/>
      <c r="TO22" s="247"/>
      <c r="TP22" s="247"/>
      <c r="TQ22" s="247"/>
      <c r="TR22" s="247"/>
      <c r="TS22" s="247"/>
      <c r="TT22" s="247"/>
      <c r="TU22" s="247"/>
      <c r="TV22" s="247"/>
      <c r="TW22" s="247"/>
      <c r="TX22" s="247"/>
      <c r="TY22" s="247"/>
      <c r="TZ22" s="247"/>
      <c r="UA22" s="247"/>
      <c r="UB22" s="247"/>
      <c r="UC22" s="247"/>
      <c r="UD22" s="247"/>
      <c r="UE22" s="247"/>
      <c r="UF22" s="247"/>
      <c r="UG22" s="235"/>
    </row>
    <row r="23" spans="1:553" s="236" customFormat="1" ht="24" customHeight="1">
      <c r="A23" s="356" t="s">
        <v>30</v>
      </c>
      <c r="B23" s="385">
        <v>5</v>
      </c>
      <c r="C23" s="1451" t="s">
        <v>864</v>
      </c>
      <c r="D23" s="1389"/>
      <c r="E23" s="1389"/>
      <c r="F23" s="1390"/>
      <c r="G23" s="386" t="s">
        <v>33</v>
      </c>
      <c r="H23" s="370"/>
      <c r="I23" s="834">
        <f>-32.8*1.8*2</f>
        <v>-118.08</v>
      </c>
      <c r="J23" s="368">
        <v>41700</v>
      </c>
      <c r="K23" s="371"/>
      <c r="L23" s="391">
        <f t="shared" si="4"/>
        <v>-4923936</v>
      </c>
      <c r="M23" s="395"/>
      <c r="N23" s="395"/>
      <c r="O23" s="366"/>
      <c r="P23" s="396"/>
      <c r="Q23" s="473"/>
      <c r="R23" s="1039"/>
      <c r="S23" s="1047"/>
      <c r="T23" s="303"/>
      <c r="U23" s="306"/>
      <c r="V23" s="307"/>
      <c r="W23" s="306"/>
      <c r="X23" s="306"/>
      <c r="Y23" s="306"/>
      <c r="Z23" s="306"/>
      <c r="AA23" s="306"/>
      <c r="AB23" s="306"/>
      <c r="AC23" s="373"/>
      <c r="AD23" s="373"/>
      <c r="AE23" s="373"/>
      <c r="AF23" s="373"/>
      <c r="AG23" s="389"/>
      <c r="AH23" s="389"/>
      <c r="AI23" s="389"/>
      <c r="AJ23" s="389"/>
      <c r="AK23" s="389"/>
      <c r="AL23" s="246"/>
      <c r="AM23" s="246"/>
      <c r="AN23" s="246"/>
      <c r="AO23" s="246"/>
      <c r="AP23" s="246"/>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c r="CZ23" s="247"/>
      <c r="DA23" s="247"/>
      <c r="DB23" s="247"/>
      <c r="DC23" s="247"/>
      <c r="DD23" s="247"/>
      <c r="DE23" s="247"/>
      <c r="DF23" s="247"/>
      <c r="DG23" s="247"/>
      <c r="DH23" s="247"/>
      <c r="DI23" s="247"/>
      <c r="DJ23" s="247"/>
      <c r="DK23" s="247"/>
      <c r="DL23" s="247"/>
      <c r="DM23" s="247"/>
      <c r="DN23" s="247"/>
      <c r="DO23" s="247"/>
      <c r="DP23" s="247"/>
      <c r="DQ23" s="247"/>
      <c r="DR23" s="247"/>
      <c r="DS23" s="247"/>
      <c r="DT23" s="247"/>
      <c r="DU23" s="247"/>
      <c r="DV23" s="247"/>
      <c r="DW23" s="247"/>
      <c r="DX23" s="247"/>
      <c r="DY23" s="247"/>
      <c r="DZ23" s="247"/>
      <c r="EA23" s="247"/>
      <c r="EB23" s="247"/>
      <c r="EC23" s="247"/>
      <c r="ED23" s="247"/>
      <c r="EE23" s="247"/>
      <c r="EF23" s="247"/>
      <c r="EG23" s="247"/>
      <c r="EH23" s="247"/>
      <c r="EI23" s="247"/>
      <c r="EJ23" s="247"/>
      <c r="EK23" s="247"/>
      <c r="EL23" s="247"/>
      <c r="EM23" s="247"/>
      <c r="EN23" s="247"/>
      <c r="EO23" s="247"/>
      <c r="EP23" s="247"/>
      <c r="EQ23" s="247"/>
      <c r="ER23" s="247"/>
      <c r="ES23" s="247"/>
      <c r="ET23" s="247"/>
      <c r="EU23" s="247"/>
      <c r="EV23" s="247"/>
      <c r="EW23" s="247"/>
      <c r="EX23" s="247"/>
      <c r="EY23" s="247"/>
      <c r="EZ23" s="247"/>
      <c r="FA23" s="247"/>
      <c r="FB23" s="247"/>
      <c r="FC23" s="247"/>
      <c r="FD23" s="247"/>
      <c r="FE23" s="247"/>
      <c r="FF23" s="247"/>
      <c r="FG23" s="247"/>
      <c r="FH23" s="247"/>
      <c r="FI23" s="247"/>
      <c r="FJ23" s="247"/>
      <c r="FK23" s="247"/>
      <c r="FL23" s="247"/>
      <c r="FM23" s="247"/>
      <c r="FN23" s="247"/>
      <c r="FO23" s="247"/>
      <c r="FP23" s="247"/>
      <c r="FQ23" s="247"/>
      <c r="FR23" s="247"/>
      <c r="FS23" s="247"/>
      <c r="FT23" s="247"/>
      <c r="FU23" s="247"/>
      <c r="FV23" s="247"/>
      <c r="FW23" s="247"/>
      <c r="FX23" s="247"/>
      <c r="FY23" s="247"/>
      <c r="FZ23" s="247"/>
      <c r="GA23" s="247"/>
      <c r="GB23" s="247"/>
      <c r="GC23" s="247"/>
      <c r="GD23" s="247"/>
      <c r="GE23" s="247"/>
      <c r="GF23" s="247"/>
      <c r="GG23" s="247"/>
      <c r="GH23" s="247"/>
      <c r="GI23" s="247"/>
      <c r="GJ23" s="247"/>
      <c r="GK23" s="247"/>
      <c r="GL23" s="247"/>
      <c r="GM23" s="247"/>
      <c r="GN23" s="247"/>
      <c r="GO23" s="247"/>
      <c r="GP23" s="247"/>
      <c r="GQ23" s="247"/>
      <c r="GR23" s="247"/>
      <c r="GS23" s="247"/>
      <c r="GT23" s="247"/>
      <c r="GU23" s="247"/>
      <c r="GV23" s="247"/>
      <c r="GW23" s="247"/>
      <c r="GX23" s="247"/>
      <c r="GY23" s="247"/>
      <c r="GZ23" s="247"/>
      <c r="HA23" s="247"/>
      <c r="HB23" s="247"/>
      <c r="HC23" s="247"/>
      <c r="HD23" s="247"/>
      <c r="HE23" s="247"/>
      <c r="HF23" s="247"/>
      <c r="HG23" s="247"/>
      <c r="HH23" s="247"/>
      <c r="HI23" s="247"/>
      <c r="HJ23" s="247"/>
      <c r="HK23" s="247"/>
      <c r="HL23" s="247"/>
      <c r="HM23" s="247"/>
      <c r="HN23" s="247"/>
      <c r="HO23" s="247"/>
      <c r="HP23" s="247"/>
      <c r="HQ23" s="247"/>
      <c r="HR23" s="247"/>
      <c r="HS23" s="247"/>
      <c r="HT23" s="247"/>
      <c r="HU23" s="247"/>
      <c r="HV23" s="247"/>
      <c r="HW23" s="247"/>
      <c r="HX23" s="247"/>
      <c r="HY23" s="247"/>
      <c r="HZ23" s="247"/>
      <c r="IA23" s="247"/>
      <c r="IB23" s="247"/>
      <c r="IC23" s="247"/>
      <c r="ID23" s="247"/>
      <c r="IE23" s="247"/>
      <c r="IF23" s="247"/>
      <c r="IG23" s="247"/>
      <c r="IH23" s="247"/>
      <c r="II23" s="247"/>
      <c r="IJ23" s="247"/>
      <c r="IK23" s="247"/>
      <c r="IL23" s="247"/>
      <c r="IM23" s="247"/>
      <c r="IN23" s="247"/>
      <c r="IO23" s="247"/>
      <c r="IP23" s="247"/>
      <c r="IQ23" s="247"/>
      <c r="IR23" s="247"/>
      <c r="IS23" s="247"/>
      <c r="IT23" s="247"/>
      <c r="IU23" s="247"/>
      <c r="IV23" s="247"/>
      <c r="IW23" s="247"/>
      <c r="IX23" s="247"/>
      <c r="IY23" s="247"/>
      <c r="IZ23" s="247"/>
      <c r="JA23" s="247"/>
      <c r="JB23" s="247"/>
      <c r="JC23" s="247"/>
      <c r="JD23" s="247"/>
      <c r="JE23" s="247"/>
      <c r="JF23" s="247"/>
      <c r="JG23" s="247"/>
      <c r="JH23" s="247"/>
      <c r="JI23" s="247"/>
      <c r="JJ23" s="247"/>
      <c r="JK23" s="247"/>
      <c r="JL23" s="247"/>
      <c r="JM23" s="247"/>
      <c r="JN23" s="247"/>
      <c r="JO23" s="247"/>
      <c r="JP23" s="247"/>
      <c r="JQ23" s="247"/>
      <c r="JR23" s="247"/>
      <c r="JS23" s="247"/>
      <c r="JT23" s="247"/>
      <c r="JU23" s="247"/>
      <c r="JV23" s="247"/>
      <c r="JW23" s="247"/>
      <c r="JX23" s="247"/>
      <c r="JY23" s="247"/>
      <c r="JZ23" s="247"/>
      <c r="KA23" s="247"/>
      <c r="KB23" s="247"/>
      <c r="KC23" s="247"/>
      <c r="KD23" s="247"/>
      <c r="KE23" s="247"/>
      <c r="KF23" s="247"/>
      <c r="KG23" s="247"/>
      <c r="KH23" s="247"/>
      <c r="KI23" s="247"/>
      <c r="KJ23" s="247"/>
      <c r="KK23" s="247"/>
      <c r="KL23" s="247"/>
      <c r="KM23" s="247"/>
      <c r="KN23" s="247"/>
      <c r="KO23" s="247"/>
      <c r="KP23" s="247"/>
      <c r="KQ23" s="247"/>
      <c r="KR23" s="247"/>
      <c r="KS23" s="247"/>
      <c r="KT23" s="247"/>
      <c r="KU23" s="247"/>
      <c r="KV23" s="247"/>
      <c r="KW23" s="247"/>
      <c r="KX23" s="247"/>
      <c r="KY23" s="247"/>
      <c r="KZ23" s="247"/>
      <c r="LA23" s="247"/>
      <c r="LB23" s="247"/>
      <c r="LC23" s="247"/>
      <c r="LD23" s="247"/>
      <c r="LE23" s="247"/>
      <c r="LF23" s="247"/>
      <c r="LG23" s="247"/>
      <c r="LH23" s="247"/>
      <c r="LI23" s="247"/>
      <c r="LJ23" s="247"/>
      <c r="LK23" s="247"/>
      <c r="LL23" s="247"/>
      <c r="LM23" s="247"/>
      <c r="LN23" s="247"/>
      <c r="LO23" s="247"/>
      <c r="LP23" s="247"/>
      <c r="LQ23" s="247"/>
      <c r="LR23" s="247"/>
      <c r="LS23" s="247"/>
      <c r="LT23" s="247"/>
      <c r="LU23" s="247"/>
      <c r="LV23" s="247"/>
      <c r="LW23" s="247"/>
      <c r="LX23" s="247"/>
      <c r="LY23" s="247"/>
      <c r="LZ23" s="247"/>
      <c r="MA23" s="247"/>
      <c r="MB23" s="247"/>
      <c r="MC23" s="247"/>
      <c r="MD23" s="247"/>
      <c r="ME23" s="247"/>
      <c r="MF23" s="247"/>
      <c r="MG23" s="247"/>
      <c r="MH23" s="247"/>
      <c r="MI23" s="247"/>
      <c r="MJ23" s="247"/>
      <c r="MK23" s="247"/>
      <c r="ML23" s="247"/>
      <c r="MM23" s="247"/>
      <c r="MN23" s="247"/>
      <c r="MO23" s="247"/>
      <c r="MP23" s="247"/>
      <c r="MQ23" s="247"/>
      <c r="MR23" s="247"/>
      <c r="MS23" s="247"/>
      <c r="MT23" s="247"/>
      <c r="MU23" s="247"/>
      <c r="MV23" s="247"/>
      <c r="MW23" s="247"/>
      <c r="MX23" s="247"/>
      <c r="MY23" s="247"/>
      <c r="MZ23" s="247"/>
      <c r="NA23" s="247"/>
      <c r="NB23" s="247"/>
      <c r="NC23" s="247"/>
      <c r="ND23" s="247"/>
      <c r="NE23" s="247"/>
      <c r="NF23" s="247"/>
      <c r="NG23" s="247"/>
      <c r="NH23" s="247"/>
      <c r="NI23" s="247"/>
      <c r="NJ23" s="247"/>
      <c r="NK23" s="247"/>
      <c r="NL23" s="247"/>
      <c r="NM23" s="247"/>
      <c r="NN23" s="247"/>
      <c r="NO23" s="247"/>
      <c r="NP23" s="247"/>
      <c r="NQ23" s="247"/>
      <c r="NR23" s="247"/>
      <c r="NS23" s="247"/>
      <c r="NT23" s="247"/>
      <c r="NU23" s="247"/>
      <c r="NV23" s="247"/>
      <c r="NW23" s="247"/>
      <c r="NX23" s="247"/>
      <c r="NY23" s="247"/>
      <c r="NZ23" s="247"/>
      <c r="OA23" s="247"/>
      <c r="OB23" s="247"/>
      <c r="OC23" s="247"/>
      <c r="OD23" s="247"/>
      <c r="OE23" s="247"/>
      <c r="OF23" s="247"/>
      <c r="OG23" s="247"/>
      <c r="OH23" s="247"/>
      <c r="OI23" s="247"/>
      <c r="OJ23" s="247"/>
      <c r="OK23" s="247"/>
      <c r="OL23" s="247"/>
      <c r="OM23" s="247"/>
      <c r="ON23" s="247"/>
      <c r="OO23" s="247"/>
      <c r="OP23" s="247"/>
      <c r="OQ23" s="247"/>
      <c r="OR23" s="247"/>
      <c r="OS23" s="247"/>
      <c r="OT23" s="247"/>
      <c r="OU23" s="247"/>
      <c r="OV23" s="247"/>
      <c r="OW23" s="247"/>
      <c r="OX23" s="247"/>
      <c r="OY23" s="247"/>
      <c r="OZ23" s="247"/>
      <c r="PA23" s="247"/>
      <c r="PB23" s="247"/>
      <c r="PC23" s="247"/>
      <c r="PD23" s="247"/>
      <c r="PE23" s="247"/>
      <c r="PF23" s="247"/>
      <c r="PG23" s="247"/>
      <c r="PH23" s="247"/>
      <c r="PI23" s="247"/>
      <c r="PJ23" s="247"/>
      <c r="PK23" s="247"/>
      <c r="PL23" s="247"/>
      <c r="PM23" s="247"/>
      <c r="PN23" s="247"/>
      <c r="PO23" s="247"/>
      <c r="PP23" s="247"/>
      <c r="PQ23" s="247"/>
      <c r="PR23" s="247"/>
      <c r="PS23" s="247"/>
      <c r="PT23" s="247"/>
      <c r="PU23" s="247"/>
      <c r="PV23" s="247"/>
      <c r="PW23" s="247"/>
      <c r="PX23" s="247"/>
      <c r="PY23" s="247"/>
      <c r="PZ23" s="247"/>
      <c r="QA23" s="247"/>
      <c r="QB23" s="247"/>
      <c r="QC23" s="247"/>
      <c r="QD23" s="247"/>
      <c r="QE23" s="247"/>
      <c r="QF23" s="247"/>
      <c r="QG23" s="247"/>
      <c r="QH23" s="247"/>
      <c r="QI23" s="247"/>
      <c r="QJ23" s="247"/>
      <c r="QK23" s="247"/>
      <c r="QL23" s="247"/>
      <c r="QM23" s="247"/>
      <c r="QN23" s="247"/>
      <c r="QO23" s="247"/>
      <c r="QP23" s="247"/>
      <c r="QQ23" s="247"/>
      <c r="QR23" s="247"/>
      <c r="QS23" s="247"/>
      <c r="QT23" s="247"/>
      <c r="QU23" s="247"/>
      <c r="QV23" s="247"/>
      <c r="QW23" s="247"/>
      <c r="QX23" s="247"/>
      <c r="QY23" s="247"/>
      <c r="QZ23" s="247"/>
      <c r="RA23" s="247"/>
      <c r="RB23" s="247"/>
      <c r="RC23" s="247"/>
      <c r="RD23" s="247"/>
      <c r="RE23" s="247"/>
      <c r="RF23" s="247"/>
      <c r="RG23" s="247"/>
      <c r="RH23" s="247"/>
      <c r="RI23" s="247"/>
      <c r="RJ23" s="247"/>
      <c r="RK23" s="247"/>
      <c r="RL23" s="247"/>
      <c r="RM23" s="247"/>
      <c r="RN23" s="247"/>
      <c r="RO23" s="247"/>
      <c r="RP23" s="247"/>
      <c r="RQ23" s="247"/>
      <c r="RR23" s="247"/>
      <c r="RS23" s="247"/>
      <c r="RT23" s="247"/>
      <c r="RU23" s="247"/>
      <c r="RV23" s="247"/>
      <c r="RW23" s="247"/>
      <c r="RX23" s="247"/>
      <c r="RY23" s="247"/>
      <c r="RZ23" s="247"/>
      <c r="SA23" s="247"/>
      <c r="SB23" s="247"/>
      <c r="SC23" s="247"/>
      <c r="SD23" s="247"/>
      <c r="SE23" s="247"/>
      <c r="SF23" s="247"/>
      <c r="SG23" s="247"/>
      <c r="SH23" s="247"/>
      <c r="SI23" s="247"/>
      <c r="SJ23" s="247"/>
      <c r="SK23" s="247"/>
      <c r="SL23" s="247"/>
      <c r="SM23" s="247"/>
      <c r="SN23" s="247"/>
      <c r="SO23" s="247"/>
      <c r="SP23" s="247"/>
      <c r="SQ23" s="247"/>
      <c r="SR23" s="247"/>
      <c r="SS23" s="247"/>
      <c r="ST23" s="247"/>
      <c r="SU23" s="247"/>
      <c r="SV23" s="247"/>
      <c r="SW23" s="247"/>
      <c r="SX23" s="247"/>
      <c r="SY23" s="247"/>
      <c r="SZ23" s="247"/>
      <c r="TA23" s="247"/>
      <c r="TB23" s="247"/>
      <c r="TC23" s="247"/>
      <c r="TD23" s="247"/>
      <c r="TE23" s="247"/>
      <c r="TF23" s="247"/>
      <c r="TG23" s="247"/>
      <c r="TH23" s="247"/>
      <c r="TI23" s="247"/>
      <c r="TJ23" s="247"/>
      <c r="TK23" s="247"/>
      <c r="TL23" s="247"/>
      <c r="TM23" s="247"/>
      <c r="TN23" s="247"/>
      <c r="TO23" s="247"/>
      <c r="TP23" s="247"/>
      <c r="TQ23" s="247"/>
      <c r="TR23" s="247"/>
      <c r="TS23" s="247"/>
      <c r="TT23" s="247"/>
      <c r="TU23" s="247"/>
      <c r="TV23" s="247"/>
      <c r="TW23" s="247"/>
      <c r="TX23" s="247"/>
      <c r="TY23" s="247"/>
      <c r="TZ23" s="247"/>
      <c r="UA23" s="247"/>
      <c r="UB23" s="247"/>
      <c r="UC23" s="247"/>
      <c r="UD23" s="247"/>
      <c r="UE23" s="247"/>
      <c r="UF23" s="247"/>
      <c r="UG23" s="235"/>
    </row>
    <row r="24" spans="1:553" s="236" customFormat="1" ht="36" customHeight="1">
      <c r="A24" s="356" t="s">
        <v>30</v>
      </c>
      <c r="B24" s="385" t="s">
        <v>31</v>
      </c>
      <c r="C24" s="1404" t="s">
        <v>91</v>
      </c>
      <c r="D24" s="1389"/>
      <c r="E24" s="1389"/>
      <c r="F24" s="1390"/>
      <c r="G24" s="386" t="s">
        <v>34</v>
      </c>
      <c r="H24" s="370"/>
      <c r="I24" s="422">
        <f>((0.1*0.1*3.14)-(0.15*0.15*3.14))*4.2*16</f>
        <v>-2.6375999999999999</v>
      </c>
      <c r="J24" s="368">
        <v>4000000</v>
      </c>
      <c r="K24" s="371"/>
      <c r="L24" s="391">
        <f t="shared" ref="L24:L25" si="5">I24*J24</f>
        <v>-10550400</v>
      </c>
      <c r="M24" s="391"/>
      <c r="N24" s="391"/>
      <c r="O24" s="391"/>
      <c r="P24" s="391"/>
      <c r="Q24" s="1444"/>
      <c r="R24" s="1226"/>
      <c r="S24" s="1047"/>
      <c r="T24" s="303"/>
      <c r="U24" s="306"/>
      <c r="V24" s="307"/>
      <c r="W24" s="306"/>
      <c r="X24" s="306"/>
      <c r="Y24" s="306"/>
      <c r="Z24" s="306"/>
      <c r="AA24" s="306"/>
      <c r="AB24" s="306"/>
      <c r="AC24" s="449"/>
      <c r="AD24" s="449"/>
      <c r="AE24" s="449"/>
      <c r="AF24" s="449"/>
      <c r="AG24" s="449"/>
      <c r="AH24" s="449"/>
      <c r="AI24" s="449"/>
      <c r="AJ24" s="449"/>
      <c r="AK24" s="452"/>
      <c r="AL24" s="242"/>
      <c r="AM24" s="241"/>
      <c r="AN24" s="241"/>
      <c r="AO24" s="241"/>
      <c r="AP24" s="241"/>
      <c r="AQ24" s="241"/>
      <c r="AR24" s="241"/>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c r="IX24" s="238"/>
      <c r="IY24" s="238"/>
      <c r="IZ24" s="238"/>
      <c r="JA24" s="238"/>
      <c r="JB24" s="238"/>
      <c r="JC24" s="238"/>
      <c r="JD24" s="238"/>
      <c r="JE24" s="238"/>
      <c r="JF24" s="238"/>
      <c r="JG24" s="238"/>
      <c r="JH24" s="238"/>
      <c r="JI24" s="238"/>
      <c r="JJ24" s="238"/>
      <c r="JK24" s="238"/>
      <c r="JL24" s="238"/>
      <c r="JM24" s="238"/>
      <c r="JN24" s="238"/>
      <c r="JO24" s="238"/>
      <c r="JP24" s="238"/>
      <c r="JQ24" s="238"/>
      <c r="JR24" s="238"/>
      <c r="JS24" s="238"/>
      <c r="JT24" s="238"/>
      <c r="JU24" s="238"/>
      <c r="JV24" s="238"/>
      <c r="JW24" s="238"/>
      <c r="JX24" s="238"/>
      <c r="JY24" s="238"/>
      <c r="JZ24" s="238"/>
      <c r="KA24" s="238"/>
      <c r="KB24" s="238"/>
      <c r="KC24" s="238"/>
      <c r="KD24" s="238"/>
      <c r="KE24" s="238"/>
      <c r="KF24" s="238"/>
      <c r="KG24" s="238"/>
      <c r="KH24" s="238"/>
      <c r="KI24" s="238"/>
      <c r="KJ24" s="238"/>
      <c r="KK24" s="238"/>
      <c r="KL24" s="238"/>
      <c r="KM24" s="238"/>
      <c r="KN24" s="238"/>
      <c r="KO24" s="238"/>
      <c r="KP24" s="238"/>
      <c r="KQ24" s="238"/>
      <c r="KR24" s="238"/>
      <c r="KS24" s="238"/>
      <c r="KT24" s="238"/>
      <c r="KU24" s="238"/>
      <c r="KV24" s="238"/>
      <c r="KW24" s="238"/>
      <c r="KX24" s="238"/>
      <c r="KY24" s="238"/>
      <c r="KZ24" s="238"/>
      <c r="LA24" s="238"/>
      <c r="LB24" s="238"/>
      <c r="LC24" s="238"/>
      <c r="LD24" s="238"/>
      <c r="LE24" s="238"/>
      <c r="LF24" s="238"/>
      <c r="LG24" s="238"/>
      <c r="LH24" s="238"/>
      <c r="LI24" s="238"/>
      <c r="LJ24" s="238"/>
      <c r="LK24" s="238"/>
      <c r="LL24" s="238"/>
      <c r="LM24" s="238"/>
      <c r="LN24" s="238"/>
      <c r="LO24" s="238"/>
      <c r="LP24" s="238"/>
      <c r="LQ24" s="238"/>
      <c r="LR24" s="238"/>
      <c r="LS24" s="238"/>
      <c r="LT24" s="238"/>
      <c r="LU24" s="238"/>
      <c r="LV24" s="238"/>
      <c r="LW24" s="238"/>
      <c r="LX24" s="238"/>
      <c r="LY24" s="238"/>
      <c r="LZ24" s="238"/>
      <c r="MA24" s="238"/>
      <c r="MB24" s="238"/>
      <c r="MC24" s="238"/>
      <c r="MD24" s="238"/>
      <c r="ME24" s="238"/>
      <c r="MF24" s="238"/>
      <c r="MG24" s="238"/>
      <c r="MH24" s="238"/>
      <c r="MI24" s="238"/>
      <c r="MJ24" s="238"/>
      <c r="MK24" s="238"/>
      <c r="ML24" s="238"/>
      <c r="MM24" s="238"/>
      <c r="MN24" s="238"/>
      <c r="MO24" s="238"/>
      <c r="MP24" s="238"/>
      <c r="MQ24" s="238"/>
      <c r="MR24" s="238"/>
      <c r="MS24" s="238"/>
      <c r="MT24" s="238"/>
      <c r="MU24" s="238"/>
      <c r="MV24" s="238"/>
      <c r="MW24" s="238"/>
      <c r="MX24" s="238"/>
      <c r="MY24" s="238"/>
      <c r="MZ24" s="238"/>
      <c r="NA24" s="238"/>
      <c r="NB24" s="238"/>
      <c r="NC24" s="238"/>
      <c r="ND24" s="238"/>
      <c r="NE24" s="238"/>
      <c r="NF24" s="238"/>
      <c r="NG24" s="238"/>
      <c r="NH24" s="238"/>
      <c r="NI24" s="238"/>
      <c r="NJ24" s="238"/>
      <c r="NK24" s="238"/>
      <c r="NL24" s="238"/>
      <c r="NM24" s="238"/>
      <c r="NN24" s="238"/>
      <c r="NO24" s="238"/>
      <c r="NP24" s="238"/>
      <c r="NQ24" s="238"/>
      <c r="NR24" s="238"/>
      <c r="NS24" s="238"/>
      <c r="NT24" s="238"/>
      <c r="NU24" s="238"/>
      <c r="NV24" s="238"/>
      <c r="NW24" s="238"/>
      <c r="NX24" s="238"/>
      <c r="NY24" s="238"/>
      <c r="NZ24" s="238"/>
      <c r="OA24" s="238"/>
      <c r="OB24" s="238"/>
      <c r="OC24" s="238"/>
      <c r="OD24" s="238"/>
      <c r="OE24" s="238"/>
      <c r="OF24" s="238"/>
      <c r="OG24" s="238"/>
      <c r="OH24" s="238"/>
      <c r="OI24" s="238"/>
      <c r="OJ24" s="238"/>
      <c r="OK24" s="238"/>
      <c r="OL24" s="238"/>
      <c r="OM24" s="238"/>
      <c r="ON24" s="238"/>
      <c r="OO24" s="238"/>
      <c r="OP24" s="238"/>
      <c r="OQ24" s="238"/>
      <c r="OR24" s="238"/>
      <c r="OS24" s="238"/>
      <c r="OT24" s="238"/>
      <c r="OU24" s="238"/>
      <c r="OV24" s="238"/>
      <c r="OW24" s="238"/>
      <c r="OX24" s="238"/>
      <c r="OY24" s="238"/>
      <c r="OZ24" s="238"/>
      <c r="PA24" s="238"/>
      <c r="PB24" s="238"/>
      <c r="PC24" s="238"/>
      <c r="PD24" s="238"/>
      <c r="PE24" s="238"/>
      <c r="PF24" s="238"/>
      <c r="PG24" s="238"/>
      <c r="PH24" s="238"/>
      <c r="PI24" s="238"/>
      <c r="PJ24" s="238"/>
      <c r="PK24" s="238"/>
      <c r="PL24" s="238"/>
      <c r="PM24" s="238"/>
      <c r="PN24" s="238"/>
      <c r="PO24" s="238"/>
      <c r="PP24" s="238"/>
      <c r="PQ24" s="238"/>
      <c r="PR24" s="238"/>
      <c r="PS24" s="238"/>
      <c r="PT24" s="238"/>
      <c r="PU24" s="238"/>
      <c r="PV24" s="238"/>
      <c r="PW24" s="238"/>
      <c r="PX24" s="238"/>
      <c r="PY24" s="238"/>
      <c r="PZ24" s="238"/>
      <c r="QA24" s="238"/>
      <c r="QB24" s="238"/>
      <c r="QC24" s="238"/>
      <c r="QD24" s="238"/>
      <c r="QE24" s="238"/>
      <c r="QF24" s="238"/>
      <c r="QG24" s="238"/>
      <c r="QH24" s="238"/>
      <c r="QI24" s="238"/>
      <c r="QJ24" s="238"/>
      <c r="QK24" s="238"/>
      <c r="QL24" s="238"/>
      <c r="QM24" s="238"/>
      <c r="QN24" s="238"/>
      <c r="QO24" s="238"/>
      <c r="QP24" s="238"/>
      <c r="QQ24" s="238"/>
      <c r="QR24" s="238"/>
      <c r="QS24" s="238"/>
      <c r="QT24" s="238"/>
      <c r="QU24" s="238"/>
      <c r="QV24" s="238"/>
      <c r="QW24" s="238"/>
      <c r="QX24" s="238"/>
      <c r="QY24" s="238"/>
      <c r="QZ24" s="238"/>
      <c r="RA24" s="238"/>
      <c r="RB24" s="238"/>
      <c r="RC24" s="238"/>
      <c r="RD24" s="238"/>
      <c r="RE24" s="238"/>
      <c r="RF24" s="238"/>
      <c r="RG24" s="238"/>
      <c r="RH24" s="238"/>
      <c r="RI24" s="238"/>
      <c r="RJ24" s="238"/>
      <c r="RK24" s="238"/>
      <c r="RL24" s="238"/>
      <c r="RM24" s="238"/>
      <c r="RN24" s="238"/>
      <c r="RO24" s="238"/>
      <c r="RP24" s="238"/>
      <c r="RQ24" s="238"/>
      <c r="RR24" s="238"/>
      <c r="RS24" s="238"/>
      <c r="RT24" s="238"/>
      <c r="RU24" s="238"/>
      <c r="RV24" s="238"/>
      <c r="RW24" s="238"/>
      <c r="RX24" s="238"/>
      <c r="RY24" s="238"/>
      <c r="RZ24" s="238"/>
      <c r="SA24" s="238"/>
      <c r="SB24" s="238"/>
      <c r="SC24" s="238"/>
      <c r="SD24" s="238"/>
      <c r="SE24" s="238"/>
      <c r="SF24" s="238"/>
      <c r="SG24" s="238"/>
      <c r="SH24" s="238"/>
      <c r="SI24" s="238"/>
      <c r="SJ24" s="238"/>
      <c r="SK24" s="238"/>
      <c r="SL24" s="238"/>
      <c r="SM24" s="238"/>
      <c r="SN24" s="238"/>
      <c r="SO24" s="238"/>
      <c r="SP24" s="238"/>
      <c r="SQ24" s="238"/>
      <c r="SR24" s="238"/>
      <c r="SS24" s="238"/>
      <c r="ST24" s="238"/>
      <c r="SU24" s="238"/>
      <c r="SV24" s="238"/>
      <c r="SW24" s="238"/>
      <c r="SX24" s="238"/>
      <c r="SY24" s="238"/>
      <c r="SZ24" s="238"/>
      <c r="TA24" s="238"/>
      <c r="TB24" s="238"/>
      <c r="TC24" s="238"/>
      <c r="TD24" s="238"/>
      <c r="TE24" s="238"/>
      <c r="TF24" s="238"/>
      <c r="TG24" s="238"/>
      <c r="TH24" s="238"/>
      <c r="TI24" s="238"/>
      <c r="TJ24" s="238"/>
      <c r="TK24" s="238"/>
      <c r="TL24" s="238"/>
      <c r="TM24" s="238"/>
      <c r="TN24" s="238"/>
      <c r="TO24" s="238"/>
      <c r="TP24" s="238"/>
      <c r="TQ24" s="238"/>
      <c r="TR24" s="238"/>
      <c r="TS24" s="238"/>
      <c r="TT24" s="238"/>
      <c r="TU24" s="238"/>
      <c r="TV24" s="238"/>
      <c r="TW24" s="238"/>
      <c r="TX24" s="238"/>
      <c r="TY24" s="238"/>
      <c r="TZ24" s="238"/>
      <c r="UA24" s="238"/>
      <c r="UB24" s="238"/>
      <c r="UC24" s="238"/>
      <c r="UD24" s="238"/>
      <c r="UE24" s="238"/>
      <c r="UF24" s="238"/>
      <c r="UG24" s="248"/>
    </row>
    <row r="25" spans="1:553" s="236" customFormat="1" ht="41.25" customHeight="1">
      <c r="A25" s="356" t="s">
        <v>30</v>
      </c>
      <c r="B25" s="385" t="s">
        <v>31</v>
      </c>
      <c r="C25" s="1404" t="s">
        <v>92</v>
      </c>
      <c r="D25" s="1389"/>
      <c r="E25" s="1389"/>
      <c r="F25" s="1390"/>
      <c r="G25" s="386" t="s">
        <v>34</v>
      </c>
      <c r="H25" s="370"/>
      <c r="I25" s="422">
        <f>((0.1*0.1*3.14)-(0.15*0.15*3.14))*5.2*6</f>
        <v>-1.2246000000000001</v>
      </c>
      <c r="J25" s="368">
        <v>4000000</v>
      </c>
      <c r="K25" s="371"/>
      <c r="L25" s="391">
        <f t="shared" si="5"/>
        <v>-4898400.0000000009</v>
      </c>
      <c r="M25" s="391"/>
      <c r="N25" s="391"/>
      <c r="O25" s="391"/>
      <c r="P25" s="391"/>
      <c r="Q25" s="1445"/>
      <c r="R25" s="1226"/>
      <c r="S25" s="1048"/>
      <c r="T25" s="303"/>
      <c r="U25" s="304"/>
      <c r="V25" s="304"/>
      <c r="W25" s="304"/>
      <c r="X25" s="304"/>
      <c r="Y25" s="304"/>
      <c r="Z25" s="304"/>
      <c r="AA25" s="304"/>
      <c r="AB25" s="304"/>
      <c r="AC25" s="449"/>
      <c r="AD25" s="449"/>
      <c r="AE25" s="449"/>
      <c r="AF25" s="449"/>
      <c r="AG25" s="449"/>
      <c r="AH25" s="449"/>
      <c r="AI25" s="449"/>
      <c r="AJ25" s="449"/>
      <c r="AK25" s="452"/>
      <c r="AL25" s="242"/>
      <c r="AM25" s="241"/>
      <c r="AN25" s="241"/>
      <c r="AO25" s="241"/>
      <c r="AP25" s="241"/>
      <c r="AQ25" s="241"/>
      <c r="AR25" s="241"/>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c r="IX25" s="238"/>
      <c r="IY25" s="238"/>
      <c r="IZ25" s="238"/>
      <c r="JA25" s="238"/>
      <c r="JB25" s="238"/>
      <c r="JC25" s="238"/>
      <c r="JD25" s="238"/>
      <c r="JE25" s="238"/>
      <c r="JF25" s="238"/>
      <c r="JG25" s="238"/>
      <c r="JH25" s="238"/>
      <c r="JI25" s="238"/>
      <c r="JJ25" s="238"/>
      <c r="JK25" s="238"/>
      <c r="JL25" s="238"/>
      <c r="JM25" s="238"/>
      <c r="JN25" s="238"/>
      <c r="JO25" s="238"/>
      <c r="JP25" s="238"/>
      <c r="JQ25" s="238"/>
      <c r="JR25" s="238"/>
      <c r="JS25" s="238"/>
      <c r="JT25" s="238"/>
      <c r="JU25" s="238"/>
      <c r="JV25" s="238"/>
      <c r="JW25" s="238"/>
      <c r="JX25" s="238"/>
      <c r="JY25" s="238"/>
      <c r="JZ25" s="238"/>
      <c r="KA25" s="238"/>
      <c r="KB25" s="238"/>
      <c r="KC25" s="238"/>
      <c r="KD25" s="238"/>
      <c r="KE25" s="238"/>
      <c r="KF25" s="238"/>
      <c r="KG25" s="238"/>
      <c r="KH25" s="238"/>
      <c r="KI25" s="238"/>
      <c r="KJ25" s="238"/>
      <c r="KK25" s="238"/>
      <c r="KL25" s="238"/>
      <c r="KM25" s="238"/>
      <c r="KN25" s="238"/>
      <c r="KO25" s="238"/>
      <c r="KP25" s="238"/>
      <c r="KQ25" s="238"/>
      <c r="KR25" s="238"/>
      <c r="KS25" s="238"/>
      <c r="KT25" s="238"/>
      <c r="KU25" s="238"/>
      <c r="KV25" s="238"/>
      <c r="KW25" s="238"/>
      <c r="KX25" s="238"/>
      <c r="KY25" s="238"/>
      <c r="KZ25" s="238"/>
      <c r="LA25" s="238"/>
      <c r="LB25" s="238"/>
      <c r="LC25" s="238"/>
      <c r="LD25" s="238"/>
      <c r="LE25" s="238"/>
      <c r="LF25" s="238"/>
      <c r="LG25" s="238"/>
      <c r="LH25" s="238"/>
      <c r="LI25" s="238"/>
      <c r="LJ25" s="238"/>
      <c r="LK25" s="238"/>
      <c r="LL25" s="238"/>
      <c r="LM25" s="238"/>
      <c r="LN25" s="238"/>
      <c r="LO25" s="238"/>
      <c r="LP25" s="238"/>
      <c r="LQ25" s="238"/>
      <c r="LR25" s="238"/>
      <c r="LS25" s="238"/>
      <c r="LT25" s="238"/>
      <c r="LU25" s="238"/>
      <c r="LV25" s="238"/>
      <c r="LW25" s="238"/>
      <c r="LX25" s="238"/>
      <c r="LY25" s="238"/>
      <c r="LZ25" s="238"/>
      <c r="MA25" s="238"/>
      <c r="MB25" s="238"/>
      <c r="MC25" s="238"/>
      <c r="MD25" s="238"/>
      <c r="ME25" s="238"/>
      <c r="MF25" s="238"/>
      <c r="MG25" s="238"/>
      <c r="MH25" s="238"/>
      <c r="MI25" s="238"/>
      <c r="MJ25" s="238"/>
      <c r="MK25" s="238"/>
      <c r="ML25" s="238"/>
      <c r="MM25" s="238"/>
      <c r="MN25" s="238"/>
      <c r="MO25" s="238"/>
      <c r="MP25" s="238"/>
      <c r="MQ25" s="238"/>
      <c r="MR25" s="238"/>
      <c r="MS25" s="238"/>
      <c r="MT25" s="238"/>
      <c r="MU25" s="238"/>
      <c r="MV25" s="238"/>
      <c r="MW25" s="238"/>
      <c r="MX25" s="238"/>
      <c r="MY25" s="238"/>
      <c r="MZ25" s="238"/>
      <c r="NA25" s="238"/>
      <c r="NB25" s="238"/>
      <c r="NC25" s="238"/>
      <c r="ND25" s="238"/>
      <c r="NE25" s="238"/>
      <c r="NF25" s="238"/>
      <c r="NG25" s="238"/>
      <c r="NH25" s="238"/>
      <c r="NI25" s="238"/>
      <c r="NJ25" s="238"/>
      <c r="NK25" s="238"/>
      <c r="NL25" s="238"/>
      <c r="NM25" s="238"/>
      <c r="NN25" s="238"/>
      <c r="NO25" s="238"/>
      <c r="NP25" s="238"/>
      <c r="NQ25" s="238"/>
      <c r="NR25" s="238"/>
      <c r="NS25" s="238"/>
      <c r="NT25" s="238"/>
      <c r="NU25" s="238"/>
      <c r="NV25" s="238"/>
      <c r="NW25" s="238"/>
      <c r="NX25" s="238"/>
      <c r="NY25" s="238"/>
      <c r="NZ25" s="238"/>
      <c r="OA25" s="238"/>
      <c r="OB25" s="238"/>
      <c r="OC25" s="238"/>
      <c r="OD25" s="238"/>
      <c r="OE25" s="238"/>
      <c r="OF25" s="238"/>
      <c r="OG25" s="238"/>
      <c r="OH25" s="238"/>
      <c r="OI25" s="238"/>
      <c r="OJ25" s="238"/>
      <c r="OK25" s="238"/>
      <c r="OL25" s="238"/>
      <c r="OM25" s="238"/>
      <c r="ON25" s="238"/>
      <c r="OO25" s="238"/>
      <c r="OP25" s="238"/>
      <c r="OQ25" s="238"/>
      <c r="OR25" s="238"/>
      <c r="OS25" s="238"/>
      <c r="OT25" s="238"/>
      <c r="OU25" s="238"/>
      <c r="OV25" s="238"/>
      <c r="OW25" s="238"/>
      <c r="OX25" s="238"/>
      <c r="OY25" s="238"/>
      <c r="OZ25" s="238"/>
      <c r="PA25" s="238"/>
      <c r="PB25" s="238"/>
      <c r="PC25" s="238"/>
      <c r="PD25" s="238"/>
      <c r="PE25" s="238"/>
      <c r="PF25" s="238"/>
      <c r="PG25" s="238"/>
      <c r="PH25" s="238"/>
      <c r="PI25" s="238"/>
      <c r="PJ25" s="238"/>
      <c r="PK25" s="238"/>
      <c r="PL25" s="238"/>
      <c r="PM25" s="238"/>
      <c r="PN25" s="238"/>
      <c r="PO25" s="238"/>
      <c r="PP25" s="238"/>
      <c r="PQ25" s="238"/>
      <c r="PR25" s="238"/>
      <c r="PS25" s="238"/>
      <c r="PT25" s="238"/>
      <c r="PU25" s="238"/>
      <c r="PV25" s="238"/>
      <c r="PW25" s="238"/>
      <c r="PX25" s="238"/>
      <c r="PY25" s="238"/>
      <c r="PZ25" s="238"/>
      <c r="QA25" s="238"/>
      <c r="QB25" s="238"/>
      <c r="QC25" s="238"/>
      <c r="QD25" s="238"/>
      <c r="QE25" s="238"/>
      <c r="QF25" s="238"/>
      <c r="QG25" s="238"/>
      <c r="QH25" s="238"/>
      <c r="QI25" s="238"/>
      <c r="QJ25" s="238"/>
      <c r="QK25" s="238"/>
      <c r="QL25" s="238"/>
      <c r="QM25" s="238"/>
      <c r="QN25" s="238"/>
      <c r="QO25" s="238"/>
      <c r="QP25" s="238"/>
      <c r="QQ25" s="238"/>
      <c r="QR25" s="238"/>
      <c r="QS25" s="238"/>
      <c r="QT25" s="238"/>
      <c r="QU25" s="238"/>
      <c r="QV25" s="238"/>
      <c r="QW25" s="238"/>
      <c r="QX25" s="238"/>
      <c r="QY25" s="238"/>
      <c r="QZ25" s="238"/>
      <c r="RA25" s="238"/>
      <c r="RB25" s="238"/>
      <c r="RC25" s="238"/>
      <c r="RD25" s="238"/>
      <c r="RE25" s="238"/>
      <c r="RF25" s="238"/>
      <c r="RG25" s="238"/>
      <c r="RH25" s="238"/>
      <c r="RI25" s="238"/>
      <c r="RJ25" s="238"/>
      <c r="RK25" s="238"/>
      <c r="RL25" s="238"/>
      <c r="RM25" s="238"/>
      <c r="RN25" s="238"/>
      <c r="RO25" s="238"/>
      <c r="RP25" s="238"/>
      <c r="RQ25" s="238"/>
      <c r="RR25" s="238"/>
      <c r="RS25" s="238"/>
      <c r="RT25" s="238"/>
      <c r="RU25" s="238"/>
      <c r="RV25" s="238"/>
      <c r="RW25" s="238"/>
      <c r="RX25" s="238"/>
      <c r="RY25" s="238"/>
      <c r="RZ25" s="238"/>
      <c r="SA25" s="238"/>
      <c r="SB25" s="238"/>
      <c r="SC25" s="238"/>
      <c r="SD25" s="238"/>
      <c r="SE25" s="238"/>
      <c r="SF25" s="238"/>
      <c r="SG25" s="238"/>
      <c r="SH25" s="238"/>
      <c r="SI25" s="238"/>
      <c r="SJ25" s="238"/>
      <c r="SK25" s="238"/>
      <c r="SL25" s="238"/>
      <c r="SM25" s="238"/>
      <c r="SN25" s="238"/>
      <c r="SO25" s="238"/>
      <c r="SP25" s="238"/>
      <c r="SQ25" s="238"/>
      <c r="SR25" s="238"/>
      <c r="SS25" s="238"/>
      <c r="ST25" s="238"/>
      <c r="SU25" s="238"/>
      <c r="SV25" s="238"/>
      <c r="SW25" s="238"/>
      <c r="SX25" s="238"/>
      <c r="SY25" s="238"/>
      <c r="SZ25" s="238"/>
      <c r="TA25" s="238"/>
      <c r="TB25" s="238"/>
      <c r="TC25" s="238"/>
      <c r="TD25" s="238"/>
      <c r="TE25" s="238"/>
      <c r="TF25" s="238"/>
      <c r="TG25" s="238"/>
      <c r="TH25" s="238"/>
      <c r="TI25" s="238"/>
      <c r="TJ25" s="238"/>
      <c r="TK25" s="238"/>
      <c r="TL25" s="238"/>
      <c r="TM25" s="238"/>
      <c r="TN25" s="238"/>
      <c r="TO25" s="238"/>
      <c r="TP25" s="238"/>
      <c r="TQ25" s="238"/>
      <c r="TR25" s="238"/>
      <c r="TS25" s="238"/>
      <c r="TT25" s="238"/>
      <c r="TU25" s="238"/>
      <c r="TV25" s="238"/>
      <c r="TW25" s="238"/>
      <c r="TX25" s="238"/>
      <c r="TY25" s="238"/>
      <c r="TZ25" s="238"/>
      <c r="UA25" s="238"/>
      <c r="UB25" s="238"/>
      <c r="UC25" s="238"/>
      <c r="UD25" s="238"/>
      <c r="UE25" s="238"/>
      <c r="UF25" s="238"/>
      <c r="UG25" s="248"/>
    </row>
    <row r="26" spans="1:553" s="236" customFormat="1" ht="27.75" customHeight="1">
      <c r="A26" s="356" t="s">
        <v>30</v>
      </c>
      <c r="B26" s="398" t="s">
        <v>31</v>
      </c>
      <c r="C26" s="1404" t="s">
        <v>93</v>
      </c>
      <c r="D26" s="1389"/>
      <c r="E26" s="1389"/>
      <c r="F26" s="1390"/>
      <c r="G26" s="386" t="s">
        <v>935</v>
      </c>
      <c r="H26" s="370"/>
      <c r="I26" s="834">
        <f>-(13.3*9.4)</f>
        <v>-125.02000000000001</v>
      </c>
      <c r="J26" s="368">
        <f>185700-124207</f>
        <v>61493</v>
      </c>
      <c r="K26" s="371"/>
      <c r="L26" s="391">
        <f t="shared" ref="L26:L29" si="6">ROUND(PRODUCT(I26:K26),0)</f>
        <v>-7687855</v>
      </c>
      <c r="M26" s="395"/>
      <c r="N26" s="395"/>
      <c r="O26" s="366"/>
      <c r="P26" s="396"/>
      <c r="Q26" s="473"/>
      <c r="R26" s="1039"/>
      <c r="S26" s="1045"/>
      <c r="T26" s="303"/>
      <c r="U26" s="306"/>
      <c r="V26" s="307"/>
      <c r="W26" s="306"/>
      <c r="X26" s="306"/>
      <c r="Y26" s="306"/>
      <c r="Z26" s="306"/>
      <c r="AA26" s="306"/>
      <c r="AB26" s="306"/>
      <c r="AC26" s="449"/>
      <c r="AD26" s="449"/>
      <c r="AE26" s="449"/>
      <c r="AF26" s="449"/>
      <c r="AG26" s="452"/>
      <c r="AH26" s="452"/>
      <c r="AI26" s="452"/>
      <c r="AJ26" s="452"/>
      <c r="AK26" s="452"/>
      <c r="AL26" s="242"/>
      <c r="AM26" s="241"/>
      <c r="AN26" s="241"/>
      <c r="AO26" s="241"/>
      <c r="AP26" s="241"/>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9"/>
      <c r="BN26" s="239"/>
      <c r="BO26" s="239"/>
      <c r="BP26" s="239"/>
      <c r="BQ26" s="239"/>
      <c r="BR26" s="239"/>
      <c r="BS26" s="239"/>
      <c r="BT26" s="239"/>
      <c r="BU26" s="239"/>
      <c r="BV26" s="239"/>
      <c r="BW26" s="239"/>
      <c r="BX26" s="239"/>
      <c r="BY26" s="239"/>
      <c r="BZ26" s="239"/>
      <c r="CA26" s="239"/>
      <c r="CB26" s="239"/>
      <c r="CC26" s="239"/>
      <c r="CD26" s="239"/>
      <c r="CE26" s="239"/>
      <c r="CF26" s="239"/>
      <c r="CG26" s="239"/>
      <c r="CH26" s="239"/>
      <c r="CI26" s="239"/>
      <c r="CJ26" s="239"/>
      <c r="CK26" s="239"/>
      <c r="CL26" s="239"/>
      <c r="CM26" s="239"/>
      <c r="CN26" s="239"/>
      <c r="CO26" s="239"/>
      <c r="CP26" s="239"/>
      <c r="CQ26" s="239"/>
      <c r="CR26" s="239"/>
      <c r="CS26" s="239"/>
      <c r="CT26" s="239"/>
      <c r="CU26" s="239"/>
      <c r="CV26" s="239"/>
      <c r="CW26" s="239"/>
      <c r="CX26" s="239"/>
      <c r="CY26" s="239"/>
      <c r="CZ26" s="239"/>
      <c r="DA26" s="239"/>
      <c r="DB26" s="239"/>
      <c r="DC26" s="239"/>
      <c r="DD26" s="239"/>
      <c r="DE26" s="239"/>
      <c r="DF26" s="239"/>
      <c r="DG26" s="239"/>
      <c r="DH26" s="239"/>
      <c r="DI26" s="239"/>
      <c r="DJ26" s="239"/>
      <c r="DK26" s="239"/>
      <c r="DL26" s="239"/>
      <c r="DM26" s="239"/>
      <c r="DN26" s="239"/>
      <c r="DO26" s="239"/>
      <c r="DP26" s="239"/>
      <c r="DQ26" s="239"/>
      <c r="DR26" s="239"/>
      <c r="DS26" s="239"/>
      <c r="DT26" s="239"/>
      <c r="DU26" s="239"/>
      <c r="DV26" s="239"/>
      <c r="DW26" s="239"/>
      <c r="DX26" s="239"/>
      <c r="DY26" s="239"/>
      <c r="DZ26" s="239"/>
      <c r="EA26" s="239"/>
      <c r="EB26" s="239"/>
      <c r="EC26" s="239"/>
      <c r="ED26" s="239"/>
      <c r="EE26" s="239"/>
      <c r="EF26" s="239"/>
      <c r="EG26" s="239"/>
      <c r="EH26" s="239"/>
      <c r="EI26" s="239"/>
      <c r="EJ26" s="239"/>
      <c r="EK26" s="239"/>
      <c r="EL26" s="239"/>
      <c r="EM26" s="239"/>
      <c r="EN26" s="239"/>
      <c r="EO26" s="239"/>
      <c r="EP26" s="239"/>
      <c r="EQ26" s="239"/>
      <c r="ER26" s="239"/>
      <c r="ES26" s="239"/>
      <c r="ET26" s="239"/>
      <c r="EU26" s="239"/>
      <c r="EV26" s="239"/>
      <c r="EW26" s="239"/>
      <c r="EX26" s="239"/>
      <c r="EY26" s="239"/>
      <c r="EZ26" s="239"/>
      <c r="FA26" s="239"/>
      <c r="FB26" s="239"/>
      <c r="FC26" s="239"/>
      <c r="FD26" s="239"/>
      <c r="FE26" s="239"/>
      <c r="FF26" s="239"/>
      <c r="FG26" s="239"/>
      <c r="FH26" s="239"/>
      <c r="FI26" s="239"/>
      <c r="FJ26" s="239"/>
      <c r="FK26" s="239"/>
      <c r="FL26" s="239"/>
      <c r="FM26" s="239"/>
      <c r="FN26" s="239"/>
      <c r="FO26" s="239"/>
      <c r="FP26" s="239"/>
      <c r="FQ26" s="239"/>
      <c r="FR26" s="239"/>
      <c r="FS26" s="239"/>
      <c r="FT26" s="239"/>
      <c r="FU26" s="239"/>
      <c r="FV26" s="239"/>
      <c r="FW26" s="239"/>
      <c r="FX26" s="239"/>
      <c r="FY26" s="239"/>
      <c r="FZ26" s="239"/>
      <c r="GA26" s="239"/>
      <c r="GB26" s="239"/>
      <c r="GC26" s="239"/>
      <c r="GD26" s="239"/>
      <c r="GE26" s="239"/>
      <c r="GF26" s="239"/>
      <c r="GG26" s="239"/>
      <c r="GH26" s="239"/>
      <c r="GI26" s="239"/>
      <c r="GJ26" s="239"/>
      <c r="GK26" s="239"/>
      <c r="GL26" s="239"/>
      <c r="GM26" s="239"/>
      <c r="GN26" s="239"/>
      <c r="GO26" s="239"/>
      <c r="GP26" s="239"/>
      <c r="GQ26" s="239"/>
      <c r="GR26" s="239"/>
      <c r="GS26" s="239"/>
      <c r="GT26" s="239"/>
      <c r="GU26" s="239"/>
      <c r="GV26" s="239"/>
      <c r="GW26" s="239"/>
      <c r="GX26" s="239"/>
      <c r="GY26" s="239"/>
      <c r="GZ26" s="239"/>
      <c r="HA26" s="239"/>
      <c r="HB26" s="239"/>
      <c r="HC26" s="239"/>
      <c r="HD26" s="239"/>
      <c r="HE26" s="239"/>
      <c r="HF26" s="239"/>
      <c r="HG26" s="239"/>
      <c r="HH26" s="239"/>
      <c r="HI26" s="239"/>
      <c r="HJ26" s="239"/>
      <c r="HK26" s="239"/>
      <c r="HL26" s="239"/>
      <c r="HM26" s="239"/>
      <c r="HN26" s="239"/>
      <c r="HO26" s="239"/>
      <c r="HP26" s="239"/>
      <c r="HQ26" s="239"/>
      <c r="HR26" s="239"/>
      <c r="HS26" s="239"/>
      <c r="HT26" s="239"/>
      <c r="HU26" s="239"/>
      <c r="HV26" s="239"/>
      <c r="HW26" s="239"/>
      <c r="HX26" s="239"/>
      <c r="HY26" s="239"/>
      <c r="HZ26" s="239"/>
      <c r="IA26" s="239"/>
      <c r="IB26" s="239"/>
      <c r="IC26" s="239"/>
      <c r="ID26" s="239"/>
      <c r="IE26" s="239"/>
      <c r="IF26" s="239"/>
      <c r="IG26" s="239"/>
      <c r="IH26" s="239"/>
      <c r="II26" s="239"/>
      <c r="IJ26" s="239"/>
      <c r="IK26" s="239"/>
      <c r="IL26" s="239"/>
      <c r="IM26" s="239"/>
      <c r="IN26" s="239"/>
      <c r="IO26" s="239"/>
      <c r="IP26" s="239"/>
      <c r="IQ26" s="239"/>
      <c r="IR26" s="239"/>
      <c r="IS26" s="239"/>
      <c r="IT26" s="239"/>
      <c r="IU26" s="239"/>
      <c r="IV26" s="239"/>
      <c r="IW26" s="239"/>
      <c r="IX26" s="239"/>
      <c r="IY26" s="239"/>
      <c r="IZ26" s="239"/>
      <c r="JA26" s="239"/>
      <c r="JB26" s="239"/>
      <c r="JC26" s="239"/>
      <c r="JD26" s="239"/>
      <c r="JE26" s="239"/>
      <c r="JF26" s="239"/>
      <c r="JG26" s="239"/>
      <c r="JH26" s="239"/>
      <c r="JI26" s="239"/>
      <c r="JJ26" s="239"/>
      <c r="JK26" s="239"/>
      <c r="JL26" s="239"/>
      <c r="JM26" s="239"/>
      <c r="JN26" s="239"/>
      <c r="JO26" s="239"/>
      <c r="JP26" s="239"/>
      <c r="JQ26" s="239"/>
      <c r="JR26" s="239"/>
      <c r="JS26" s="239"/>
      <c r="JT26" s="239"/>
      <c r="JU26" s="239"/>
      <c r="JV26" s="239"/>
      <c r="JW26" s="239"/>
      <c r="JX26" s="239"/>
      <c r="JY26" s="239"/>
      <c r="JZ26" s="239"/>
      <c r="KA26" s="239"/>
      <c r="KB26" s="239"/>
      <c r="KC26" s="239"/>
      <c r="KD26" s="239"/>
      <c r="KE26" s="239"/>
      <c r="KF26" s="239"/>
      <c r="KG26" s="239"/>
      <c r="KH26" s="239"/>
      <c r="KI26" s="239"/>
      <c r="KJ26" s="239"/>
      <c r="KK26" s="239"/>
      <c r="KL26" s="239"/>
      <c r="KM26" s="239"/>
      <c r="KN26" s="239"/>
      <c r="KO26" s="239"/>
      <c r="KP26" s="239"/>
      <c r="KQ26" s="239"/>
      <c r="KR26" s="239"/>
      <c r="KS26" s="239"/>
      <c r="KT26" s="239"/>
      <c r="KU26" s="239"/>
      <c r="KV26" s="239"/>
      <c r="KW26" s="239"/>
      <c r="KX26" s="239"/>
      <c r="KY26" s="239"/>
      <c r="KZ26" s="239"/>
      <c r="LA26" s="239"/>
      <c r="LB26" s="239"/>
      <c r="LC26" s="239"/>
      <c r="LD26" s="239"/>
      <c r="LE26" s="239"/>
      <c r="LF26" s="239"/>
      <c r="LG26" s="239"/>
      <c r="LH26" s="239"/>
      <c r="LI26" s="239"/>
      <c r="LJ26" s="239"/>
      <c r="LK26" s="239"/>
      <c r="LL26" s="239"/>
      <c r="LM26" s="239"/>
      <c r="LN26" s="239"/>
      <c r="LO26" s="239"/>
      <c r="LP26" s="239"/>
      <c r="LQ26" s="239"/>
      <c r="LR26" s="239"/>
      <c r="LS26" s="239"/>
      <c r="LT26" s="239"/>
      <c r="LU26" s="239"/>
      <c r="LV26" s="239"/>
      <c r="LW26" s="239"/>
      <c r="LX26" s="239"/>
      <c r="LY26" s="239"/>
      <c r="LZ26" s="239"/>
      <c r="MA26" s="239"/>
      <c r="MB26" s="239"/>
      <c r="MC26" s="239"/>
      <c r="MD26" s="239"/>
      <c r="ME26" s="239"/>
      <c r="MF26" s="239"/>
      <c r="MG26" s="239"/>
      <c r="MH26" s="239"/>
      <c r="MI26" s="239"/>
      <c r="MJ26" s="239"/>
      <c r="MK26" s="239"/>
      <c r="ML26" s="239"/>
      <c r="MM26" s="239"/>
      <c r="MN26" s="239"/>
      <c r="MO26" s="239"/>
      <c r="MP26" s="239"/>
      <c r="MQ26" s="239"/>
      <c r="MR26" s="239"/>
      <c r="MS26" s="239"/>
      <c r="MT26" s="239"/>
      <c r="MU26" s="239"/>
      <c r="MV26" s="239"/>
      <c r="MW26" s="239"/>
      <c r="MX26" s="239"/>
      <c r="MY26" s="239"/>
      <c r="MZ26" s="239"/>
      <c r="NA26" s="239"/>
      <c r="NB26" s="239"/>
      <c r="NC26" s="239"/>
      <c r="ND26" s="239"/>
      <c r="NE26" s="239"/>
      <c r="NF26" s="239"/>
      <c r="NG26" s="239"/>
      <c r="NH26" s="239"/>
      <c r="NI26" s="239"/>
      <c r="NJ26" s="239"/>
      <c r="NK26" s="239"/>
      <c r="NL26" s="239"/>
      <c r="NM26" s="239"/>
      <c r="NN26" s="239"/>
      <c r="NO26" s="239"/>
      <c r="NP26" s="239"/>
      <c r="NQ26" s="239"/>
      <c r="NR26" s="239"/>
      <c r="NS26" s="239"/>
      <c r="NT26" s="239"/>
      <c r="NU26" s="239"/>
      <c r="NV26" s="239"/>
      <c r="NW26" s="239"/>
      <c r="NX26" s="239"/>
      <c r="NY26" s="239"/>
      <c r="NZ26" s="239"/>
      <c r="OA26" s="239"/>
      <c r="OB26" s="239"/>
      <c r="OC26" s="239"/>
      <c r="OD26" s="239"/>
      <c r="OE26" s="239"/>
      <c r="OF26" s="239"/>
      <c r="OG26" s="239"/>
      <c r="OH26" s="239"/>
      <c r="OI26" s="239"/>
      <c r="OJ26" s="239"/>
      <c r="OK26" s="239"/>
      <c r="OL26" s="239"/>
      <c r="OM26" s="239"/>
      <c r="ON26" s="239"/>
      <c r="OO26" s="239"/>
      <c r="OP26" s="239"/>
      <c r="OQ26" s="239"/>
      <c r="OR26" s="239"/>
      <c r="OS26" s="239"/>
      <c r="OT26" s="239"/>
      <c r="OU26" s="239"/>
      <c r="OV26" s="239"/>
      <c r="OW26" s="239"/>
      <c r="OX26" s="239"/>
      <c r="OY26" s="239"/>
      <c r="OZ26" s="239"/>
      <c r="PA26" s="239"/>
      <c r="PB26" s="239"/>
      <c r="PC26" s="239"/>
      <c r="PD26" s="239"/>
      <c r="PE26" s="239"/>
      <c r="PF26" s="239"/>
      <c r="PG26" s="239"/>
      <c r="PH26" s="239"/>
      <c r="PI26" s="239"/>
      <c r="PJ26" s="239"/>
      <c r="PK26" s="239"/>
      <c r="PL26" s="239"/>
      <c r="PM26" s="239"/>
      <c r="PN26" s="239"/>
      <c r="PO26" s="239"/>
      <c r="PP26" s="239"/>
      <c r="PQ26" s="239"/>
      <c r="PR26" s="239"/>
      <c r="PS26" s="239"/>
      <c r="PT26" s="239"/>
      <c r="PU26" s="239"/>
      <c r="PV26" s="239"/>
      <c r="PW26" s="239"/>
      <c r="PX26" s="239"/>
      <c r="PY26" s="239"/>
      <c r="PZ26" s="239"/>
      <c r="QA26" s="239"/>
      <c r="QB26" s="239"/>
      <c r="QC26" s="239"/>
      <c r="QD26" s="239"/>
      <c r="QE26" s="239"/>
      <c r="QF26" s="239"/>
      <c r="QG26" s="239"/>
      <c r="QH26" s="239"/>
      <c r="QI26" s="239"/>
      <c r="QJ26" s="239"/>
      <c r="QK26" s="239"/>
      <c r="QL26" s="239"/>
      <c r="QM26" s="239"/>
      <c r="QN26" s="239"/>
      <c r="QO26" s="239"/>
      <c r="QP26" s="239"/>
      <c r="QQ26" s="239"/>
      <c r="QR26" s="239"/>
      <c r="QS26" s="239"/>
      <c r="QT26" s="239"/>
      <c r="QU26" s="239"/>
      <c r="QV26" s="239"/>
      <c r="QW26" s="239"/>
      <c r="QX26" s="239"/>
      <c r="QY26" s="239"/>
      <c r="QZ26" s="239"/>
      <c r="RA26" s="239"/>
      <c r="RB26" s="239"/>
      <c r="RC26" s="239"/>
      <c r="RD26" s="239"/>
      <c r="RE26" s="239"/>
      <c r="RF26" s="239"/>
      <c r="RG26" s="239"/>
      <c r="RH26" s="239"/>
      <c r="RI26" s="239"/>
      <c r="RJ26" s="239"/>
      <c r="RK26" s="239"/>
      <c r="RL26" s="239"/>
      <c r="RM26" s="239"/>
      <c r="RN26" s="239"/>
      <c r="RO26" s="239"/>
      <c r="RP26" s="239"/>
      <c r="RQ26" s="239"/>
      <c r="RR26" s="239"/>
      <c r="RS26" s="239"/>
      <c r="RT26" s="239"/>
      <c r="RU26" s="239"/>
      <c r="RV26" s="239"/>
      <c r="RW26" s="239"/>
      <c r="RX26" s="239"/>
      <c r="RY26" s="239"/>
      <c r="RZ26" s="239"/>
      <c r="SA26" s="239"/>
      <c r="SB26" s="239"/>
      <c r="SC26" s="239"/>
      <c r="SD26" s="239"/>
      <c r="SE26" s="239"/>
      <c r="SF26" s="239"/>
      <c r="SG26" s="239"/>
      <c r="SH26" s="239"/>
      <c r="SI26" s="239"/>
      <c r="SJ26" s="239"/>
      <c r="SK26" s="239"/>
      <c r="SL26" s="239"/>
      <c r="SM26" s="239"/>
      <c r="SN26" s="239"/>
      <c r="SO26" s="239"/>
      <c r="SP26" s="239"/>
      <c r="SQ26" s="239"/>
      <c r="SR26" s="239"/>
      <c r="SS26" s="239"/>
      <c r="ST26" s="239"/>
      <c r="SU26" s="239"/>
      <c r="SV26" s="239"/>
      <c r="SW26" s="239"/>
      <c r="SX26" s="239"/>
      <c r="SY26" s="239"/>
      <c r="SZ26" s="239"/>
      <c r="TA26" s="239"/>
      <c r="TB26" s="239"/>
      <c r="TC26" s="239"/>
      <c r="TD26" s="239"/>
      <c r="TE26" s="239"/>
      <c r="TF26" s="239"/>
      <c r="TG26" s="239"/>
      <c r="TH26" s="239"/>
      <c r="TI26" s="239"/>
      <c r="TJ26" s="239"/>
      <c r="TK26" s="239"/>
      <c r="TL26" s="239"/>
      <c r="TM26" s="239"/>
      <c r="TN26" s="239"/>
      <c r="TO26" s="239"/>
      <c r="TP26" s="239"/>
      <c r="TQ26" s="239"/>
      <c r="TR26" s="239"/>
      <c r="TS26" s="239"/>
      <c r="TT26" s="239"/>
      <c r="TU26" s="239"/>
      <c r="TV26" s="239"/>
      <c r="TW26" s="239"/>
      <c r="TX26" s="239"/>
      <c r="TY26" s="239"/>
      <c r="TZ26" s="239"/>
      <c r="UA26" s="239"/>
      <c r="UB26" s="239"/>
      <c r="UC26" s="239"/>
      <c r="UD26" s="239"/>
      <c r="UE26" s="239"/>
      <c r="UF26" s="239"/>
      <c r="UG26" s="240"/>
    </row>
    <row r="27" spans="1:553" s="236" customFormat="1" ht="42" customHeight="1">
      <c r="A27" s="356" t="s">
        <v>30</v>
      </c>
      <c r="B27" s="398" t="s">
        <v>94</v>
      </c>
      <c r="C27" s="1404" t="s">
        <v>875</v>
      </c>
      <c r="D27" s="1389"/>
      <c r="E27" s="1389"/>
      <c r="F27" s="1390"/>
      <c r="G27" s="386" t="s">
        <v>935</v>
      </c>
      <c r="H27" s="370"/>
      <c r="I27" s="834">
        <f>17.7*2</f>
        <v>35.4</v>
      </c>
      <c r="J27" s="368">
        <f>500000-178600</f>
        <v>321400</v>
      </c>
      <c r="K27" s="371"/>
      <c r="L27" s="391">
        <f t="shared" si="6"/>
        <v>11377560</v>
      </c>
      <c r="M27" s="395"/>
      <c r="N27" s="395"/>
      <c r="O27" s="366"/>
      <c r="P27" s="396"/>
      <c r="Q27" s="473"/>
      <c r="R27" s="1039"/>
      <c r="S27" s="1045"/>
      <c r="T27" s="303"/>
      <c r="U27" s="306"/>
      <c r="V27" s="307"/>
      <c r="W27" s="306"/>
      <c r="X27" s="306"/>
      <c r="Y27" s="306"/>
      <c r="Z27" s="306"/>
      <c r="AA27" s="306"/>
      <c r="AB27" s="306"/>
      <c r="AC27" s="449"/>
      <c r="AD27" s="449"/>
      <c r="AE27" s="449"/>
      <c r="AF27" s="449"/>
      <c r="AG27" s="452"/>
      <c r="AH27" s="452"/>
      <c r="AI27" s="452"/>
      <c r="AJ27" s="452"/>
      <c r="AK27" s="452"/>
      <c r="AL27" s="242"/>
      <c r="AM27" s="241"/>
      <c r="AN27" s="241"/>
      <c r="AO27" s="241"/>
      <c r="AP27" s="241"/>
      <c r="AQ27" s="238"/>
      <c r="AR27" s="238"/>
      <c r="AS27" s="238"/>
      <c r="AT27" s="238"/>
      <c r="AU27" s="238"/>
      <c r="AV27" s="238"/>
      <c r="AW27" s="238"/>
      <c r="AX27" s="238"/>
      <c r="AY27" s="238"/>
      <c r="AZ27" s="238"/>
      <c r="BA27" s="238"/>
      <c r="BB27" s="238"/>
      <c r="BC27" s="238"/>
      <c r="BD27" s="238"/>
      <c r="BE27" s="238"/>
      <c r="BF27" s="238"/>
      <c r="BG27" s="238"/>
      <c r="BH27" s="238"/>
      <c r="BI27" s="238"/>
      <c r="BJ27" s="238"/>
      <c r="BK27" s="238"/>
      <c r="BL27" s="238"/>
      <c r="BM27" s="239"/>
      <c r="BN27" s="239"/>
      <c r="BO27" s="239"/>
      <c r="BP27" s="239"/>
      <c r="BQ27" s="239"/>
      <c r="BR27" s="239"/>
      <c r="BS27" s="239"/>
      <c r="BT27" s="239"/>
      <c r="BU27" s="239"/>
      <c r="BV27" s="239"/>
      <c r="BW27" s="239"/>
      <c r="BX27" s="239"/>
      <c r="BY27" s="239"/>
      <c r="BZ27" s="239"/>
      <c r="CA27" s="239"/>
      <c r="CB27" s="239"/>
      <c r="CC27" s="239"/>
      <c r="CD27" s="239"/>
      <c r="CE27" s="239"/>
      <c r="CF27" s="239"/>
      <c r="CG27" s="239"/>
      <c r="CH27" s="239"/>
      <c r="CI27" s="239"/>
      <c r="CJ27" s="239"/>
      <c r="CK27" s="239"/>
      <c r="CL27" s="239"/>
      <c r="CM27" s="239"/>
      <c r="CN27" s="239"/>
      <c r="CO27" s="239"/>
      <c r="CP27" s="239"/>
      <c r="CQ27" s="239"/>
      <c r="CR27" s="239"/>
      <c r="CS27" s="239"/>
      <c r="CT27" s="239"/>
      <c r="CU27" s="239"/>
      <c r="CV27" s="239"/>
      <c r="CW27" s="239"/>
      <c r="CX27" s="239"/>
      <c r="CY27" s="239"/>
      <c r="CZ27" s="239"/>
      <c r="DA27" s="239"/>
      <c r="DB27" s="239"/>
      <c r="DC27" s="239"/>
      <c r="DD27" s="239"/>
      <c r="DE27" s="239"/>
      <c r="DF27" s="239"/>
      <c r="DG27" s="239"/>
      <c r="DH27" s="239"/>
      <c r="DI27" s="239"/>
      <c r="DJ27" s="239"/>
      <c r="DK27" s="239"/>
      <c r="DL27" s="239"/>
      <c r="DM27" s="239"/>
      <c r="DN27" s="239"/>
      <c r="DO27" s="239"/>
      <c r="DP27" s="239"/>
      <c r="DQ27" s="239"/>
      <c r="DR27" s="239"/>
      <c r="DS27" s="239"/>
      <c r="DT27" s="239"/>
      <c r="DU27" s="239"/>
      <c r="DV27" s="239"/>
      <c r="DW27" s="239"/>
      <c r="DX27" s="239"/>
      <c r="DY27" s="239"/>
      <c r="DZ27" s="239"/>
      <c r="EA27" s="239"/>
      <c r="EB27" s="239"/>
      <c r="EC27" s="239"/>
      <c r="ED27" s="239"/>
      <c r="EE27" s="239"/>
      <c r="EF27" s="239"/>
      <c r="EG27" s="239"/>
      <c r="EH27" s="239"/>
      <c r="EI27" s="239"/>
      <c r="EJ27" s="239"/>
      <c r="EK27" s="239"/>
      <c r="EL27" s="239"/>
      <c r="EM27" s="239"/>
      <c r="EN27" s="239"/>
      <c r="EO27" s="239"/>
      <c r="EP27" s="239"/>
      <c r="EQ27" s="239"/>
      <c r="ER27" s="239"/>
      <c r="ES27" s="239"/>
      <c r="ET27" s="239"/>
      <c r="EU27" s="239"/>
      <c r="EV27" s="239"/>
      <c r="EW27" s="239"/>
      <c r="EX27" s="239"/>
      <c r="EY27" s="239"/>
      <c r="EZ27" s="239"/>
      <c r="FA27" s="239"/>
      <c r="FB27" s="239"/>
      <c r="FC27" s="239"/>
      <c r="FD27" s="239"/>
      <c r="FE27" s="239"/>
      <c r="FF27" s="239"/>
      <c r="FG27" s="239"/>
      <c r="FH27" s="239"/>
      <c r="FI27" s="239"/>
      <c r="FJ27" s="239"/>
      <c r="FK27" s="239"/>
      <c r="FL27" s="239"/>
      <c r="FM27" s="239"/>
      <c r="FN27" s="239"/>
      <c r="FO27" s="239"/>
      <c r="FP27" s="239"/>
      <c r="FQ27" s="239"/>
      <c r="FR27" s="239"/>
      <c r="FS27" s="239"/>
      <c r="FT27" s="239"/>
      <c r="FU27" s="239"/>
      <c r="FV27" s="239"/>
      <c r="FW27" s="239"/>
      <c r="FX27" s="239"/>
      <c r="FY27" s="239"/>
      <c r="FZ27" s="239"/>
      <c r="GA27" s="239"/>
      <c r="GB27" s="239"/>
      <c r="GC27" s="239"/>
      <c r="GD27" s="239"/>
      <c r="GE27" s="239"/>
      <c r="GF27" s="239"/>
      <c r="GG27" s="239"/>
      <c r="GH27" s="239"/>
      <c r="GI27" s="239"/>
      <c r="GJ27" s="239"/>
      <c r="GK27" s="239"/>
      <c r="GL27" s="239"/>
      <c r="GM27" s="239"/>
      <c r="GN27" s="239"/>
      <c r="GO27" s="239"/>
      <c r="GP27" s="239"/>
      <c r="GQ27" s="239"/>
      <c r="GR27" s="239"/>
      <c r="GS27" s="239"/>
      <c r="GT27" s="239"/>
      <c r="GU27" s="239"/>
      <c r="GV27" s="239"/>
      <c r="GW27" s="239"/>
      <c r="GX27" s="239"/>
      <c r="GY27" s="239"/>
      <c r="GZ27" s="239"/>
      <c r="HA27" s="239"/>
      <c r="HB27" s="239"/>
      <c r="HC27" s="239"/>
      <c r="HD27" s="239"/>
      <c r="HE27" s="239"/>
      <c r="HF27" s="239"/>
      <c r="HG27" s="239"/>
      <c r="HH27" s="239"/>
      <c r="HI27" s="239"/>
      <c r="HJ27" s="239"/>
      <c r="HK27" s="239"/>
      <c r="HL27" s="239"/>
      <c r="HM27" s="239"/>
      <c r="HN27" s="239"/>
      <c r="HO27" s="239"/>
      <c r="HP27" s="239"/>
      <c r="HQ27" s="239"/>
      <c r="HR27" s="239"/>
      <c r="HS27" s="239"/>
      <c r="HT27" s="239"/>
      <c r="HU27" s="239"/>
      <c r="HV27" s="239"/>
      <c r="HW27" s="239"/>
      <c r="HX27" s="239"/>
      <c r="HY27" s="239"/>
      <c r="HZ27" s="239"/>
      <c r="IA27" s="239"/>
      <c r="IB27" s="239"/>
      <c r="IC27" s="239"/>
      <c r="ID27" s="239"/>
      <c r="IE27" s="239"/>
      <c r="IF27" s="239"/>
      <c r="IG27" s="239"/>
      <c r="IH27" s="239"/>
      <c r="II27" s="239"/>
      <c r="IJ27" s="239"/>
      <c r="IK27" s="239"/>
      <c r="IL27" s="239"/>
      <c r="IM27" s="239"/>
      <c r="IN27" s="239"/>
      <c r="IO27" s="239"/>
      <c r="IP27" s="239"/>
      <c r="IQ27" s="239"/>
      <c r="IR27" s="239"/>
      <c r="IS27" s="239"/>
      <c r="IT27" s="239"/>
      <c r="IU27" s="239"/>
      <c r="IV27" s="239"/>
      <c r="IW27" s="239"/>
      <c r="IX27" s="239"/>
      <c r="IY27" s="239"/>
      <c r="IZ27" s="239"/>
      <c r="JA27" s="239"/>
      <c r="JB27" s="239"/>
      <c r="JC27" s="239"/>
      <c r="JD27" s="239"/>
      <c r="JE27" s="239"/>
      <c r="JF27" s="239"/>
      <c r="JG27" s="239"/>
      <c r="JH27" s="239"/>
      <c r="JI27" s="239"/>
      <c r="JJ27" s="239"/>
      <c r="JK27" s="239"/>
      <c r="JL27" s="239"/>
      <c r="JM27" s="239"/>
      <c r="JN27" s="239"/>
      <c r="JO27" s="239"/>
      <c r="JP27" s="239"/>
      <c r="JQ27" s="239"/>
      <c r="JR27" s="239"/>
      <c r="JS27" s="239"/>
      <c r="JT27" s="239"/>
      <c r="JU27" s="239"/>
      <c r="JV27" s="239"/>
      <c r="JW27" s="239"/>
      <c r="JX27" s="239"/>
      <c r="JY27" s="239"/>
      <c r="JZ27" s="239"/>
      <c r="KA27" s="239"/>
      <c r="KB27" s="239"/>
      <c r="KC27" s="239"/>
      <c r="KD27" s="239"/>
      <c r="KE27" s="239"/>
      <c r="KF27" s="239"/>
      <c r="KG27" s="239"/>
      <c r="KH27" s="239"/>
      <c r="KI27" s="239"/>
      <c r="KJ27" s="239"/>
      <c r="KK27" s="239"/>
      <c r="KL27" s="239"/>
      <c r="KM27" s="239"/>
      <c r="KN27" s="239"/>
      <c r="KO27" s="239"/>
      <c r="KP27" s="239"/>
      <c r="KQ27" s="239"/>
      <c r="KR27" s="239"/>
      <c r="KS27" s="239"/>
      <c r="KT27" s="239"/>
      <c r="KU27" s="239"/>
      <c r="KV27" s="239"/>
      <c r="KW27" s="239"/>
      <c r="KX27" s="239"/>
      <c r="KY27" s="239"/>
      <c r="KZ27" s="239"/>
      <c r="LA27" s="239"/>
      <c r="LB27" s="239"/>
      <c r="LC27" s="239"/>
      <c r="LD27" s="239"/>
      <c r="LE27" s="239"/>
      <c r="LF27" s="239"/>
      <c r="LG27" s="239"/>
      <c r="LH27" s="239"/>
      <c r="LI27" s="239"/>
      <c r="LJ27" s="239"/>
      <c r="LK27" s="239"/>
      <c r="LL27" s="239"/>
      <c r="LM27" s="239"/>
      <c r="LN27" s="239"/>
      <c r="LO27" s="239"/>
      <c r="LP27" s="239"/>
      <c r="LQ27" s="239"/>
      <c r="LR27" s="239"/>
      <c r="LS27" s="239"/>
      <c r="LT27" s="239"/>
      <c r="LU27" s="239"/>
      <c r="LV27" s="239"/>
      <c r="LW27" s="239"/>
      <c r="LX27" s="239"/>
      <c r="LY27" s="239"/>
      <c r="LZ27" s="239"/>
      <c r="MA27" s="239"/>
      <c r="MB27" s="239"/>
      <c r="MC27" s="239"/>
      <c r="MD27" s="239"/>
      <c r="ME27" s="239"/>
      <c r="MF27" s="239"/>
      <c r="MG27" s="239"/>
      <c r="MH27" s="239"/>
      <c r="MI27" s="239"/>
      <c r="MJ27" s="239"/>
      <c r="MK27" s="239"/>
      <c r="ML27" s="239"/>
      <c r="MM27" s="239"/>
      <c r="MN27" s="239"/>
      <c r="MO27" s="239"/>
      <c r="MP27" s="239"/>
      <c r="MQ27" s="239"/>
      <c r="MR27" s="239"/>
      <c r="MS27" s="239"/>
      <c r="MT27" s="239"/>
      <c r="MU27" s="239"/>
      <c r="MV27" s="239"/>
      <c r="MW27" s="239"/>
      <c r="MX27" s="239"/>
      <c r="MY27" s="239"/>
      <c r="MZ27" s="239"/>
      <c r="NA27" s="239"/>
      <c r="NB27" s="239"/>
      <c r="NC27" s="239"/>
      <c r="ND27" s="239"/>
      <c r="NE27" s="239"/>
      <c r="NF27" s="239"/>
      <c r="NG27" s="239"/>
      <c r="NH27" s="239"/>
      <c r="NI27" s="239"/>
      <c r="NJ27" s="239"/>
      <c r="NK27" s="239"/>
      <c r="NL27" s="239"/>
      <c r="NM27" s="239"/>
      <c r="NN27" s="239"/>
      <c r="NO27" s="239"/>
      <c r="NP27" s="239"/>
      <c r="NQ27" s="239"/>
      <c r="NR27" s="239"/>
      <c r="NS27" s="239"/>
      <c r="NT27" s="239"/>
      <c r="NU27" s="239"/>
      <c r="NV27" s="239"/>
      <c r="NW27" s="239"/>
      <c r="NX27" s="239"/>
      <c r="NY27" s="239"/>
      <c r="NZ27" s="239"/>
      <c r="OA27" s="239"/>
      <c r="OB27" s="239"/>
      <c r="OC27" s="239"/>
      <c r="OD27" s="239"/>
      <c r="OE27" s="239"/>
      <c r="OF27" s="239"/>
      <c r="OG27" s="239"/>
      <c r="OH27" s="239"/>
      <c r="OI27" s="239"/>
      <c r="OJ27" s="239"/>
      <c r="OK27" s="239"/>
      <c r="OL27" s="239"/>
      <c r="OM27" s="239"/>
      <c r="ON27" s="239"/>
      <c r="OO27" s="239"/>
      <c r="OP27" s="239"/>
      <c r="OQ27" s="239"/>
      <c r="OR27" s="239"/>
      <c r="OS27" s="239"/>
      <c r="OT27" s="239"/>
      <c r="OU27" s="239"/>
      <c r="OV27" s="239"/>
      <c r="OW27" s="239"/>
      <c r="OX27" s="239"/>
      <c r="OY27" s="239"/>
      <c r="OZ27" s="239"/>
      <c r="PA27" s="239"/>
      <c r="PB27" s="239"/>
      <c r="PC27" s="239"/>
      <c r="PD27" s="239"/>
      <c r="PE27" s="239"/>
      <c r="PF27" s="239"/>
      <c r="PG27" s="239"/>
      <c r="PH27" s="239"/>
      <c r="PI27" s="239"/>
      <c r="PJ27" s="239"/>
      <c r="PK27" s="239"/>
      <c r="PL27" s="239"/>
      <c r="PM27" s="239"/>
      <c r="PN27" s="239"/>
      <c r="PO27" s="239"/>
      <c r="PP27" s="239"/>
      <c r="PQ27" s="239"/>
      <c r="PR27" s="239"/>
      <c r="PS27" s="239"/>
      <c r="PT27" s="239"/>
      <c r="PU27" s="239"/>
      <c r="PV27" s="239"/>
      <c r="PW27" s="239"/>
      <c r="PX27" s="239"/>
      <c r="PY27" s="239"/>
      <c r="PZ27" s="239"/>
      <c r="QA27" s="239"/>
      <c r="QB27" s="239"/>
      <c r="QC27" s="239"/>
      <c r="QD27" s="239"/>
      <c r="QE27" s="239"/>
      <c r="QF27" s="239"/>
      <c r="QG27" s="239"/>
      <c r="QH27" s="239"/>
      <c r="QI27" s="239"/>
      <c r="QJ27" s="239"/>
      <c r="QK27" s="239"/>
      <c r="QL27" s="239"/>
      <c r="QM27" s="239"/>
      <c r="QN27" s="239"/>
      <c r="QO27" s="239"/>
      <c r="QP27" s="239"/>
      <c r="QQ27" s="239"/>
      <c r="QR27" s="239"/>
      <c r="QS27" s="239"/>
      <c r="QT27" s="239"/>
      <c r="QU27" s="239"/>
      <c r="QV27" s="239"/>
      <c r="QW27" s="239"/>
      <c r="QX27" s="239"/>
      <c r="QY27" s="239"/>
      <c r="QZ27" s="239"/>
      <c r="RA27" s="239"/>
      <c r="RB27" s="239"/>
      <c r="RC27" s="239"/>
      <c r="RD27" s="239"/>
      <c r="RE27" s="239"/>
      <c r="RF27" s="239"/>
      <c r="RG27" s="239"/>
      <c r="RH27" s="239"/>
      <c r="RI27" s="239"/>
      <c r="RJ27" s="239"/>
      <c r="RK27" s="239"/>
      <c r="RL27" s="239"/>
      <c r="RM27" s="239"/>
      <c r="RN27" s="239"/>
      <c r="RO27" s="239"/>
      <c r="RP27" s="239"/>
      <c r="RQ27" s="239"/>
      <c r="RR27" s="239"/>
      <c r="RS27" s="239"/>
      <c r="RT27" s="239"/>
      <c r="RU27" s="239"/>
      <c r="RV27" s="239"/>
      <c r="RW27" s="239"/>
      <c r="RX27" s="239"/>
      <c r="RY27" s="239"/>
      <c r="RZ27" s="239"/>
      <c r="SA27" s="239"/>
      <c r="SB27" s="239"/>
      <c r="SC27" s="239"/>
      <c r="SD27" s="239"/>
      <c r="SE27" s="239"/>
      <c r="SF27" s="239"/>
      <c r="SG27" s="239"/>
      <c r="SH27" s="239"/>
      <c r="SI27" s="239"/>
      <c r="SJ27" s="239"/>
      <c r="SK27" s="239"/>
      <c r="SL27" s="239"/>
      <c r="SM27" s="239"/>
      <c r="SN27" s="239"/>
      <c r="SO27" s="239"/>
      <c r="SP27" s="239"/>
      <c r="SQ27" s="239"/>
      <c r="SR27" s="239"/>
      <c r="SS27" s="239"/>
      <c r="ST27" s="239"/>
      <c r="SU27" s="239"/>
      <c r="SV27" s="239"/>
      <c r="SW27" s="239"/>
      <c r="SX27" s="239"/>
      <c r="SY27" s="239"/>
      <c r="SZ27" s="239"/>
      <c r="TA27" s="239"/>
      <c r="TB27" s="239"/>
      <c r="TC27" s="239"/>
      <c r="TD27" s="239"/>
      <c r="TE27" s="239"/>
      <c r="TF27" s="239"/>
      <c r="TG27" s="239"/>
      <c r="TH27" s="239"/>
      <c r="TI27" s="239"/>
      <c r="TJ27" s="239"/>
      <c r="TK27" s="239"/>
      <c r="TL27" s="239"/>
      <c r="TM27" s="239"/>
      <c r="TN27" s="239"/>
      <c r="TO27" s="239"/>
      <c r="TP27" s="239"/>
      <c r="TQ27" s="239"/>
      <c r="TR27" s="239"/>
      <c r="TS27" s="239"/>
      <c r="TT27" s="239"/>
      <c r="TU27" s="239"/>
      <c r="TV27" s="239"/>
      <c r="TW27" s="239"/>
      <c r="TX27" s="239"/>
      <c r="TY27" s="239"/>
      <c r="TZ27" s="239"/>
      <c r="UA27" s="239"/>
      <c r="UB27" s="239"/>
      <c r="UC27" s="239"/>
      <c r="UD27" s="239"/>
      <c r="UE27" s="239"/>
      <c r="UF27" s="239"/>
      <c r="UG27" s="240"/>
    </row>
    <row r="28" spans="1:553" s="236" customFormat="1" ht="42" customHeight="1">
      <c r="A28" s="356" t="s">
        <v>30</v>
      </c>
      <c r="B28" s="398" t="s">
        <v>95</v>
      </c>
      <c r="C28" s="1404" t="s">
        <v>96</v>
      </c>
      <c r="D28" s="1389"/>
      <c r="E28" s="1389"/>
      <c r="F28" s="1390"/>
      <c r="G28" s="386" t="s">
        <v>935</v>
      </c>
      <c r="H28" s="370"/>
      <c r="I28" s="834">
        <f>14.4*2.5</f>
        <v>36</v>
      </c>
      <c r="J28" s="368">
        <f>240000-178600</f>
        <v>61400</v>
      </c>
      <c r="K28" s="371"/>
      <c r="L28" s="391">
        <f t="shared" si="6"/>
        <v>2210400</v>
      </c>
      <c r="M28" s="395"/>
      <c r="N28" s="395"/>
      <c r="O28" s="366"/>
      <c r="P28" s="396"/>
      <c r="Q28" s="473"/>
      <c r="R28" s="1039"/>
      <c r="S28" s="1045"/>
      <c r="T28" s="303"/>
      <c r="U28" s="306"/>
      <c r="V28" s="307"/>
      <c r="W28" s="306"/>
      <c r="X28" s="306"/>
      <c r="Y28" s="306"/>
      <c r="Z28" s="306"/>
      <c r="AA28" s="306"/>
      <c r="AB28" s="306"/>
      <c r="AC28" s="449"/>
      <c r="AD28" s="449"/>
      <c r="AE28" s="449"/>
      <c r="AF28" s="449"/>
      <c r="AG28" s="452"/>
      <c r="AH28" s="452"/>
      <c r="AI28" s="452"/>
      <c r="AJ28" s="452"/>
      <c r="AK28" s="452"/>
      <c r="AL28" s="242"/>
      <c r="AM28" s="241"/>
      <c r="AN28" s="241"/>
      <c r="AO28" s="241"/>
      <c r="AP28" s="241"/>
      <c r="AQ28" s="238"/>
      <c r="AR28" s="238"/>
      <c r="AS28" s="238"/>
      <c r="AT28" s="238"/>
      <c r="AU28" s="238"/>
      <c r="AV28" s="238"/>
      <c r="AW28" s="238"/>
      <c r="AX28" s="238"/>
      <c r="AY28" s="238"/>
      <c r="AZ28" s="238"/>
      <c r="BA28" s="238"/>
      <c r="BB28" s="238"/>
      <c r="BC28" s="238"/>
      <c r="BD28" s="238"/>
      <c r="BE28" s="238"/>
      <c r="BF28" s="238"/>
      <c r="BG28" s="238"/>
      <c r="BH28" s="238"/>
      <c r="BI28" s="238"/>
      <c r="BJ28" s="238"/>
      <c r="BK28" s="238"/>
      <c r="BL28" s="238"/>
      <c r="BM28" s="239"/>
      <c r="BN28" s="239"/>
      <c r="BO28" s="239"/>
      <c r="BP28" s="239"/>
      <c r="BQ28" s="239"/>
      <c r="BR28" s="239"/>
      <c r="BS28" s="239"/>
      <c r="BT28" s="239"/>
      <c r="BU28" s="239"/>
      <c r="BV28" s="239"/>
      <c r="BW28" s="239"/>
      <c r="BX28" s="239"/>
      <c r="BY28" s="239"/>
      <c r="BZ28" s="239"/>
      <c r="CA28" s="239"/>
      <c r="CB28" s="239"/>
      <c r="CC28" s="239"/>
      <c r="CD28" s="239"/>
      <c r="CE28" s="239"/>
      <c r="CF28" s="239"/>
      <c r="CG28" s="239"/>
      <c r="CH28" s="239"/>
      <c r="CI28" s="239"/>
      <c r="CJ28" s="239"/>
      <c r="CK28" s="239"/>
      <c r="CL28" s="239"/>
      <c r="CM28" s="239"/>
      <c r="CN28" s="239"/>
      <c r="CO28" s="239"/>
      <c r="CP28" s="239"/>
      <c r="CQ28" s="239"/>
      <c r="CR28" s="239"/>
      <c r="CS28" s="239"/>
      <c r="CT28" s="239"/>
      <c r="CU28" s="239"/>
      <c r="CV28" s="239"/>
      <c r="CW28" s="239"/>
      <c r="CX28" s="239"/>
      <c r="CY28" s="239"/>
      <c r="CZ28" s="239"/>
      <c r="DA28" s="239"/>
      <c r="DB28" s="239"/>
      <c r="DC28" s="239"/>
      <c r="DD28" s="239"/>
      <c r="DE28" s="239"/>
      <c r="DF28" s="239"/>
      <c r="DG28" s="239"/>
      <c r="DH28" s="239"/>
      <c r="DI28" s="239"/>
      <c r="DJ28" s="239"/>
      <c r="DK28" s="239"/>
      <c r="DL28" s="239"/>
      <c r="DM28" s="239"/>
      <c r="DN28" s="239"/>
      <c r="DO28" s="239"/>
      <c r="DP28" s="239"/>
      <c r="DQ28" s="239"/>
      <c r="DR28" s="239"/>
      <c r="DS28" s="239"/>
      <c r="DT28" s="239"/>
      <c r="DU28" s="239"/>
      <c r="DV28" s="239"/>
      <c r="DW28" s="239"/>
      <c r="DX28" s="239"/>
      <c r="DY28" s="239"/>
      <c r="DZ28" s="239"/>
      <c r="EA28" s="239"/>
      <c r="EB28" s="239"/>
      <c r="EC28" s="239"/>
      <c r="ED28" s="239"/>
      <c r="EE28" s="239"/>
      <c r="EF28" s="239"/>
      <c r="EG28" s="239"/>
      <c r="EH28" s="239"/>
      <c r="EI28" s="239"/>
      <c r="EJ28" s="239"/>
      <c r="EK28" s="239"/>
      <c r="EL28" s="239"/>
      <c r="EM28" s="239"/>
      <c r="EN28" s="239"/>
      <c r="EO28" s="239"/>
      <c r="EP28" s="239"/>
      <c r="EQ28" s="239"/>
      <c r="ER28" s="239"/>
      <c r="ES28" s="239"/>
      <c r="ET28" s="239"/>
      <c r="EU28" s="239"/>
      <c r="EV28" s="239"/>
      <c r="EW28" s="239"/>
      <c r="EX28" s="239"/>
      <c r="EY28" s="239"/>
      <c r="EZ28" s="239"/>
      <c r="FA28" s="239"/>
      <c r="FB28" s="239"/>
      <c r="FC28" s="239"/>
      <c r="FD28" s="239"/>
      <c r="FE28" s="239"/>
      <c r="FF28" s="239"/>
      <c r="FG28" s="239"/>
      <c r="FH28" s="239"/>
      <c r="FI28" s="239"/>
      <c r="FJ28" s="239"/>
      <c r="FK28" s="239"/>
      <c r="FL28" s="239"/>
      <c r="FM28" s="239"/>
      <c r="FN28" s="239"/>
      <c r="FO28" s="239"/>
      <c r="FP28" s="239"/>
      <c r="FQ28" s="239"/>
      <c r="FR28" s="239"/>
      <c r="FS28" s="239"/>
      <c r="FT28" s="239"/>
      <c r="FU28" s="239"/>
      <c r="FV28" s="239"/>
      <c r="FW28" s="239"/>
      <c r="FX28" s="239"/>
      <c r="FY28" s="239"/>
      <c r="FZ28" s="239"/>
      <c r="GA28" s="239"/>
      <c r="GB28" s="239"/>
      <c r="GC28" s="239"/>
      <c r="GD28" s="239"/>
      <c r="GE28" s="239"/>
      <c r="GF28" s="239"/>
      <c r="GG28" s="239"/>
      <c r="GH28" s="239"/>
      <c r="GI28" s="239"/>
      <c r="GJ28" s="239"/>
      <c r="GK28" s="239"/>
      <c r="GL28" s="239"/>
      <c r="GM28" s="239"/>
      <c r="GN28" s="239"/>
      <c r="GO28" s="239"/>
      <c r="GP28" s="239"/>
      <c r="GQ28" s="239"/>
      <c r="GR28" s="239"/>
      <c r="GS28" s="239"/>
      <c r="GT28" s="239"/>
      <c r="GU28" s="239"/>
      <c r="GV28" s="239"/>
      <c r="GW28" s="239"/>
      <c r="GX28" s="239"/>
      <c r="GY28" s="239"/>
      <c r="GZ28" s="239"/>
      <c r="HA28" s="239"/>
      <c r="HB28" s="239"/>
      <c r="HC28" s="239"/>
      <c r="HD28" s="239"/>
      <c r="HE28" s="239"/>
      <c r="HF28" s="239"/>
      <c r="HG28" s="239"/>
      <c r="HH28" s="239"/>
      <c r="HI28" s="239"/>
      <c r="HJ28" s="239"/>
      <c r="HK28" s="239"/>
      <c r="HL28" s="239"/>
      <c r="HM28" s="239"/>
      <c r="HN28" s="239"/>
      <c r="HO28" s="239"/>
      <c r="HP28" s="239"/>
      <c r="HQ28" s="239"/>
      <c r="HR28" s="239"/>
      <c r="HS28" s="239"/>
      <c r="HT28" s="239"/>
      <c r="HU28" s="239"/>
      <c r="HV28" s="239"/>
      <c r="HW28" s="239"/>
      <c r="HX28" s="239"/>
      <c r="HY28" s="239"/>
      <c r="HZ28" s="239"/>
      <c r="IA28" s="239"/>
      <c r="IB28" s="239"/>
      <c r="IC28" s="239"/>
      <c r="ID28" s="239"/>
      <c r="IE28" s="239"/>
      <c r="IF28" s="239"/>
      <c r="IG28" s="239"/>
      <c r="IH28" s="239"/>
      <c r="II28" s="239"/>
      <c r="IJ28" s="239"/>
      <c r="IK28" s="239"/>
      <c r="IL28" s="239"/>
      <c r="IM28" s="239"/>
      <c r="IN28" s="239"/>
      <c r="IO28" s="239"/>
      <c r="IP28" s="239"/>
      <c r="IQ28" s="239"/>
      <c r="IR28" s="239"/>
      <c r="IS28" s="239"/>
      <c r="IT28" s="239"/>
      <c r="IU28" s="239"/>
      <c r="IV28" s="239"/>
      <c r="IW28" s="239"/>
      <c r="IX28" s="239"/>
      <c r="IY28" s="239"/>
      <c r="IZ28" s="239"/>
      <c r="JA28" s="239"/>
      <c r="JB28" s="239"/>
      <c r="JC28" s="239"/>
      <c r="JD28" s="239"/>
      <c r="JE28" s="239"/>
      <c r="JF28" s="239"/>
      <c r="JG28" s="239"/>
      <c r="JH28" s="239"/>
      <c r="JI28" s="239"/>
      <c r="JJ28" s="239"/>
      <c r="JK28" s="239"/>
      <c r="JL28" s="239"/>
      <c r="JM28" s="239"/>
      <c r="JN28" s="239"/>
      <c r="JO28" s="239"/>
      <c r="JP28" s="239"/>
      <c r="JQ28" s="239"/>
      <c r="JR28" s="239"/>
      <c r="JS28" s="239"/>
      <c r="JT28" s="239"/>
      <c r="JU28" s="239"/>
      <c r="JV28" s="239"/>
      <c r="JW28" s="239"/>
      <c r="JX28" s="239"/>
      <c r="JY28" s="239"/>
      <c r="JZ28" s="239"/>
      <c r="KA28" s="239"/>
      <c r="KB28" s="239"/>
      <c r="KC28" s="239"/>
      <c r="KD28" s="239"/>
      <c r="KE28" s="239"/>
      <c r="KF28" s="239"/>
      <c r="KG28" s="239"/>
      <c r="KH28" s="239"/>
      <c r="KI28" s="239"/>
      <c r="KJ28" s="239"/>
      <c r="KK28" s="239"/>
      <c r="KL28" s="239"/>
      <c r="KM28" s="239"/>
      <c r="KN28" s="239"/>
      <c r="KO28" s="239"/>
      <c r="KP28" s="239"/>
      <c r="KQ28" s="239"/>
      <c r="KR28" s="239"/>
      <c r="KS28" s="239"/>
      <c r="KT28" s="239"/>
      <c r="KU28" s="239"/>
      <c r="KV28" s="239"/>
      <c r="KW28" s="239"/>
      <c r="KX28" s="239"/>
      <c r="KY28" s="239"/>
      <c r="KZ28" s="239"/>
      <c r="LA28" s="239"/>
      <c r="LB28" s="239"/>
      <c r="LC28" s="239"/>
      <c r="LD28" s="239"/>
      <c r="LE28" s="239"/>
      <c r="LF28" s="239"/>
      <c r="LG28" s="239"/>
      <c r="LH28" s="239"/>
      <c r="LI28" s="239"/>
      <c r="LJ28" s="239"/>
      <c r="LK28" s="239"/>
      <c r="LL28" s="239"/>
      <c r="LM28" s="239"/>
      <c r="LN28" s="239"/>
      <c r="LO28" s="239"/>
      <c r="LP28" s="239"/>
      <c r="LQ28" s="239"/>
      <c r="LR28" s="239"/>
      <c r="LS28" s="239"/>
      <c r="LT28" s="239"/>
      <c r="LU28" s="239"/>
      <c r="LV28" s="239"/>
      <c r="LW28" s="239"/>
      <c r="LX28" s="239"/>
      <c r="LY28" s="239"/>
      <c r="LZ28" s="239"/>
      <c r="MA28" s="239"/>
      <c r="MB28" s="239"/>
      <c r="MC28" s="239"/>
      <c r="MD28" s="239"/>
      <c r="ME28" s="239"/>
      <c r="MF28" s="239"/>
      <c r="MG28" s="239"/>
      <c r="MH28" s="239"/>
      <c r="MI28" s="239"/>
      <c r="MJ28" s="239"/>
      <c r="MK28" s="239"/>
      <c r="ML28" s="239"/>
      <c r="MM28" s="239"/>
      <c r="MN28" s="239"/>
      <c r="MO28" s="239"/>
      <c r="MP28" s="239"/>
      <c r="MQ28" s="239"/>
      <c r="MR28" s="239"/>
      <c r="MS28" s="239"/>
      <c r="MT28" s="239"/>
      <c r="MU28" s="239"/>
      <c r="MV28" s="239"/>
      <c r="MW28" s="239"/>
      <c r="MX28" s="239"/>
      <c r="MY28" s="239"/>
      <c r="MZ28" s="239"/>
      <c r="NA28" s="239"/>
      <c r="NB28" s="239"/>
      <c r="NC28" s="239"/>
      <c r="ND28" s="239"/>
      <c r="NE28" s="239"/>
      <c r="NF28" s="239"/>
      <c r="NG28" s="239"/>
      <c r="NH28" s="239"/>
      <c r="NI28" s="239"/>
      <c r="NJ28" s="239"/>
      <c r="NK28" s="239"/>
      <c r="NL28" s="239"/>
      <c r="NM28" s="239"/>
      <c r="NN28" s="239"/>
      <c r="NO28" s="239"/>
      <c r="NP28" s="239"/>
      <c r="NQ28" s="239"/>
      <c r="NR28" s="239"/>
      <c r="NS28" s="239"/>
      <c r="NT28" s="239"/>
      <c r="NU28" s="239"/>
      <c r="NV28" s="239"/>
      <c r="NW28" s="239"/>
      <c r="NX28" s="239"/>
      <c r="NY28" s="239"/>
      <c r="NZ28" s="239"/>
      <c r="OA28" s="239"/>
      <c r="OB28" s="239"/>
      <c r="OC28" s="239"/>
      <c r="OD28" s="239"/>
      <c r="OE28" s="239"/>
      <c r="OF28" s="239"/>
      <c r="OG28" s="239"/>
      <c r="OH28" s="239"/>
      <c r="OI28" s="239"/>
      <c r="OJ28" s="239"/>
      <c r="OK28" s="239"/>
      <c r="OL28" s="239"/>
      <c r="OM28" s="239"/>
      <c r="ON28" s="239"/>
      <c r="OO28" s="239"/>
      <c r="OP28" s="239"/>
      <c r="OQ28" s="239"/>
      <c r="OR28" s="239"/>
      <c r="OS28" s="239"/>
      <c r="OT28" s="239"/>
      <c r="OU28" s="239"/>
      <c r="OV28" s="239"/>
      <c r="OW28" s="239"/>
      <c r="OX28" s="239"/>
      <c r="OY28" s="239"/>
      <c r="OZ28" s="239"/>
      <c r="PA28" s="239"/>
      <c r="PB28" s="239"/>
      <c r="PC28" s="239"/>
      <c r="PD28" s="239"/>
      <c r="PE28" s="239"/>
      <c r="PF28" s="239"/>
      <c r="PG28" s="239"/>
      <c r="PH28" s="239"/>
      <c r="PI28" s="239"/>
      <c r="PJ28" s="239"/>
      <c r="PK28" s="239"/>
      <c r="PL28" s="239"/>
      <c r="PM28" s="239"/>
      <c r="PN28" s="239"/>
      <c r="PO28" s="239"/>
      <c r="PP28" s="239"/>
      <c r="PQ28" s="239"/>
      <c r="PR28" s="239"/>
      <c r="PS28" s="239"/>
      <c r="PT28" s="239"/>
      <c r="PU28" s="239"/>
      <c r="PV28" s="239"/>
      <c r="PW28" s="239"/>
      <c r="PX28" s="239"/>
      <c r="PY28" s="239"/>
      <c r="PZ28" s="239"/>
      <c r="QA28" s="239"/>
      <c r="QB28" s="239"/>
      <c r="QC28" s="239"/>
      <c r="QD28" s="239"/>
      <c r="QE28" s="239"/>
      <c r="QF28" s="239"/>
      <c r="QG28" s="239"/>
      <c r="QH28" s="239"/>
      <c r="QI28" s="239"/>
      <c r="QJ28" s="239"/>
      <c r="QK28" s="239"/>
      <c r="QL28" s="239"/>
      <c r="QM28" s="239"/>
      <c r="QN28" s="239"/>
      <c r="QO28" s="239"/>
      <c r="QP28" s="239"/>
      <c r="QQ28" s="239"/>
      <c r="QR28" s="239"/>
      <c r="QS28" s="239"/>
      <c r="QT28" s="239"/>
      <c r="QU28" s="239"/>
      <c r="QV28" s="239"/>
      <c r="QW28" s="239"/>
      <c r="QX28" s="239"/>
      <c r="QY28" s="239"/>
      <c r="QZ28" s="239"/>
      <c r="RA28" s="239"/>
      <c r="RB28" s="239"/>
      <c r="RC28" s="239"/>
      <c r="RD28" s="239"/>
      <c r="RE28" s="239"/>
      <c r="RF28" s="239"/>
      <c r="RG28" s="239"/>
      <c r="RH28" s="239"/>
      <c r="RI28" s="239"/>
      <c r="RJ28" s="239"/>
      <c r="RK28" s="239"/>
      <c r="RL28" s="239"/>
      <c r="RM28" s="239"/>
      <c r="RN28" s="239"/>
      <c r="RO28" s="239"/>
      <c r="RP28" s="239"/>
      <c r="RQ28" s="239"/>
      <c r="RR28" s="239"/>
      <c r="RS28" s="239"/>
      <c r="RT28" s="239"/>
      <c r="RU28" s="239"/>
      <c r="RV28" s="239"/>
      <c r="RW28" s="239"/>
      <c r="RX28" s="239"/>
      <c r="RY28" s="239"/>
      <c r="RZ28" s="239"/>
      <c r="SA28" s="239"/>
      <c r="SB28" s="239"/>
      <c r="SC28" s="239"/>
      <c r="SD28" s="239"/>
      <c r="SE28" s="239"/>
      <c r="SF28" s="239"/>
      <c r="SG28" s="239"/>
      <c r="SH28" s="239"/>
      <c r="SI28" s="239"/>
      <c r="SJ28" s="239"/>
      <c r="SK28" s="239"/>
      <c r="SL28" s="239"/>
      <c r="SM28" s="239"/>
      <c r="SN28" s="239"/>
      <c r="SO28" s="239"/>
      <c r="SP28" s="239"/>
      <c r="SQ28" s="239"/>
      <c r="SR28" s="239"/>
      <c r="SS28" s="239"/>
      <c r="ST28" s="239"/>
      <c r="SU28" s="239"/>
      <c r="SV28" s="239"/>
      <c r="SW28" s="239"/>
      <c r="SX28" s="239"/>
      <c r="SY28" s="239"/>
      <c r="SZ28" s="239"/>
      <c r="TA28" s="239"/>
      <c r="TB28" s="239"/>
      <c r="TC28" s="239"/>
      <c r="TD28" s="239"/>
      <c r="TE28" s="239"/>
      <c r="TF28" s="239"/>
      <c r="TG28" s="239"/>
      <c r="TH28" s="239"/>
      <c r="TI28" s="239"/>
      <c r="TJ28" s="239"/>
      <c r="TK28" s="239"/>
      <c r="TL28" s="239"/>
      <c r="TM28" s="239"/>
      <c r="TN28" s="239"/>
      <c r="TO28" s="239"/>
      <c r="TP28" s="239"/>
      <c r="TQ28" s="239"/>
      <c r="TR28" s="239"/>
      <c r="TS28" s="239"/>
      <c r="TT28" s="239"/>
      <c r="TU28" s="239"/>
      <c r="TV28" s="239"/>
      <c r="TW28" s="239"/>
      <c r="TX28" s="239"/>
      <c r="TY28" s="239"/>
      <c r="TZ28" s="239"/>
      <c r="UA28" s="239"/>
      <c r="UB28" s="239"/>
      <c r="UC28" s="239"/>
      <c r="UD28" s="239"/>
      <c r="UE28" s="239"/>
      <c r="UF28" s="239"/>
      <c r="UG28" s="240"/>
    </row>
    <row r="29" spans="1:553" s="462" customFormat="1" ht="27.75" customHeight="1">
      <c r="A29" s="356" t="s">
        <v>30</v>
      </c>
      <c r="B29" s="366" t="s">
        <v>35</v>
      </c>
      <c r="C29" s="1404" t="s">
        <v>1328</v>
      </c>
      <c r="D29" s="1389"/>
      <c r="E29" s="1389"/>
      <c r="F29" s="1390"/>
      <c r="G29" s="386" t="s">
        <v>935</v>
      </c>
      <c r="H29" s="370"/>
      <c r="I29" s="834">
        <f>(0.48*10)*16</f>
        <v>76.8</v>
      </c>
      <c r="J29" s="368">
        <v>39000</v>
      </c>
      <c r="K29" s="371"/>
      <c r="L29" s="391">
        <f t="shared" si="6"/>
        <v>2995200</v>
      </c>
      <c r="M29" s="395"/>
      <c r="N29" s="395"/>
      <c r="O29" s="366"/>
      <c r="P29" s="396"/>
      <c r="Q29" s="473"/>
      <c r="R29" s="1039"/>
      <c r="S29" s="1047"/>
      <c r="T29" s="303"/>
      <c r="U29" s="306"/>
      <c r="V29" s="307"/>
      <c r="W29" s="306"/>
      <c r="X29" s="306"/>
      <c r="Y29" s="306"/>
      <c r="Z29" s="306"/>
      <c r="AA29" s="306"/>
      <c r="AB29" s="306"/>
      <c r="AC29" s="449"/>
      <c r="AD29" s="449"/>
      <c r="AE29" s="449"/>
      <c r="AF29" s="449"/>
      <c r="AG29" s="452"/>
      <c r="AH29" s="452"/>
      <c r="AI29" s="452"/>
      <c r="AJ29" s="452"/>
      <c r="AK29" s="452"/>
      <c r="AL29" s="979"/>
      <c r="AM29" s="980"/>
      <c r="AN29" s="980"/>
      <c r="AO29" s="980"/>
      <c r="AP29" s="980"/>
      <c r="AQ29" s="977"/>
      <c r="AR29" s="977"/>
      <c r="AS29" s="977"/>
      <c r="AT29" s="977"/>
      <c r="AU29" s="977"/>
      <c r="AV29" s="977"/>
      <c r="AW29" s="977"/>
      <c r="AX29" s="977"/>
      <c r="AY29" s="977"/>
      <c r="AZ29" s="977"/>
      <c r="BA29" s="977"/>
      <c r="BB29" s="977"/>
      <c r="BC29" s="977"/>
      <c r="BD29" s="977"/>
      <c r="BE29" s="977"/>
      <c r="BF29" s="977"/>
      <c r="BG29" s="977"/>
      <c r="BH29" s="977"/>
      <c r="BI29" s="977"/>
      <c r="BJ29" s="977"/>
      <c r="BK29" s="977"/>
      <c r="BL29" s="977"/>
      <c r="BM29" s="1025"/>
      <c r="BN29" s="1025"/>
      <c r="BO29" s="1025"/>
      <c r="BP29" s="1025"/>
      <c r="BQ29" s="1025"/>
      <c r="BR29" s="1025"/>
      <c r="BS29" s="1025"/>
      <c r="BT29" s="1025"/>
      <c r="BU29" s="1025"/>
      <c r="BV29" s="1025"/>
      <c r="BW29" s="1025"/>
      <c r="BX29" s="1025"/>
      <c r="BY29" s="1025"/>
      <c r="BZ29" s="1025"/>
      <c r="CA29" s="1025"/>
      <c r="CB29" s="1025"/>
      <c r="CC29" s="1025"/>
      <c r="CD29" s="1025"/>
      <c r="CE29" s="1025"/>
      <c r="CF29" s="1025"/>
      <c r="CG29" s="1025"/>
      <c r="CH29" s="1025"/>
      <c r="CI29" s="1025"/>
      <c r="CJ29" s="1025"/>
      <c r="CK29" s="1025"/>
      <c r="CL29" s="1025"/>
      <c r="CM29" s="1025"/>
      <c r="CN29" s="1025"/>
      <c r="CO29" s="1025"/>
      <c r="CP29" s="1025"/>
      <c r="CQ29" s="1025"/>
      <c r="CR29" s="1025"/>
      <c r="CS29" s="1025"/>
      <c r="CT29" s="1025"/>
      <c r="CU29" s="1025"/>
      <c r="CV29" s="1025"/>
      <c r="CW29" s="1025"/>
      <c r="CX29" s="1025"/>
      <c r="CY29" s="1025"/>
      <c r="CZ29" s="1025"/>
      <c r="DA29" s="1025"/>
      <c r="DB29" s="1025"/>
      <c r="DC29" s="1025"/>
      <c r="DD29" s="1025"/>
      <c r="DE29" s="1025"/>
      <c r="DF29" s="1025"/>
      <c r="DG29" s="1025"/>
      <c r="DH29" s="1025"/>
      <c r="DI29" s="1025"/>
      <c r="DJ29" s="1025"/>
      <c r="DK29" s="1025"/>
      <c r="DL29" s="1025"/>
      <c r="DM29" s="1025"/>
      <c r="DN29" s="1025"/>
      <c r="DO29" s="1025"/>
      <c r="DP29" s="1025"/>
      <c r="DQ29" s="1025"/>
      <c r="DR29" s="1025"/>
      <c r="DS29" s="1025"/>
      <c r="DT29" s="1025"/>
      <c r="DU29" s="1025"/>
      <c r="DV29" s="1025"/>
      <c r="DW29" s="1025"/>
      <c r="DX29" s="1025"/>
      <c r="DY29" s="1025"/>
      <c r="DZ29" s="1025"/>
      <c r="EA29" s="1025"/>
      <c r="EB29" s="1025"/>
      <c r="EC29" s="1025"/>
      <c r="ED29" s="1025"/>
      <c r="EE29" s="1025"/>
      <c r="EF29" s="1025"/>
      <c r="EG29" s="1025"/>
      <c r="EH29" s="1025"/>
      <c r="EI29" s="1025"/>
      <c r="EJ29" s="1025"/>
      <c r="EK29" s="1025"/>
      <c r="EL29" s="1025"/>
      <c r="EM29" s="1025"/>
      <c r="EN29" s="1025"/>
      <c r="EO29" s="1025"/>
      <c r="EP29" s="1025"/>
      <c r="EQ29" s="1025"/>
      <c r="ER29" s="1025"/>
      <c r="ES29" s="1025"/>
      <c r="ET29" s="1025"/>
      <c r="EU29" s="1025"/>
      <c r="EV29" s="1025"/>
      <c r="EW29" s="1025"/>
      <c r="EX29" s="1025"/>
      <c r="EY29" s="1025"/>
      <c r="EZ29" s="1025"/>
      <c r="FA29" s="1025"/>
      <c r="FB29" s="1025"/>
      <c r="FC29" s="1025"/>
      <c r="FD29" s="1025"/>
      <c r="FE29" s="1025"/>
      <c r="FF29" s="1025"/>
      <c r="FG29" s="1025"/>
      <c r="FH29" s="1025"/>
      <c r="FI29" s="1025"/>
      <c r="FJ29" s="1025"/>
      <c r="FK29" s="1025"/>
      <c r="FL29" s="1025"/>
      <c r="FM29" s="1025"/>
      <c r="FN29" s="1025"/>
      <c r="FO29" s="1025"/>
      <c r="FP29" s="1025"/>
      <c r="FQ29" s="1025"/>
      <c r="FR29" s="1025"/>
      <c r="FS29" s="1025"/>
      <c r="FT29" s="1025"/>
      <c r="FU29" s="1025"/>
      <c r="FV29" s="1025"/>
      <c r="FW29" s="1025"/>
      <c r="FX29" s="1025"/>
      <c r="FY29" s="1025"/>
      <c r="FZ29" s="1025"/>
      <c r="GA29" s="1025"/>
      <c r="GB29" s="1025"/>
      <c r="GC29" s="1025"/>
      <c r="GD29" s="1025"/>
      <c r="GE29" s="1025"/>
      <c r="GF29" s="1025"/>
      <c r="GG29" s="1025"/>
      <c r="GH29" s="1025"/>
      <c r="GI29" s="1025"/>
      <c r="GJ29" s="1025"/>
      <c r="GK29" s="1025"/>
      <c r="GL29" s="1025"/>
      <c r="GM29" s="1025"/>
      <c r="GN29" s="1025"/>
      <c r="GO29" s="1025"/>
      <c r="GP29" s="1025"/>
      <c r="GQ29" s="1025"/>
      <c r="GR29" s="1025"/>
      <c r="GS29" s="1025"/>
      <c r="GT29" s="1025"/>
      <c r="GU29" s="1025"/>
      <c r="GV29" s="1025"/>
      <c r="GW29" s="1025"/>
      <c r="GX29" s="1025"/>
      <c r="GY29" s="1025"/>
      <c r="GZ29" s="1025"/>
      <c r="HA29" s="1025"/>
      <c r="HB29" s="1025"/>
      <c r="HC29" s="1025"/>
      <c r="HD29" s="1025"/>
      <c r="HE29" s="1025"/>
      <c r="HF29" s="1025"/>
      <c r="HG29" s="1025"/>
      <c r="HH29" s="1025"/>
      <c r="HI29" s="1025"/>
      <c r="HJ29" s="1025"/>
      <c r="HK29" s="1025"/>
      <c r="HL29" s="1025"/>
      <c r="HM29" s="1025"/>
      <c r="HN29" s="1025"/>
      <c r="HO29" s="1025"/>
      <c r="HP29" s="1025"/>
      <c r="HQ29" s="1025"/>
      <c r="HR29" s="1025"/>
      <c r="HS29" s="1025"/>
      <c r="HT29" s="1025"/>
      <c r="HU29" s="1025"/>
      <c r="HV29" s="1025"/>
      <c r="HW29" s="1025"/>
      <c r="HX29" s="1025"/>
      <c r="HY29" s="1025"/>
      <c r="HZ29" s="1025"/>
      <c r="IA29" s="1025"/>
      <c r="IB29" s="1025"/>
      <c r="IC29" s="1025"/>
      <c r="ID29" s="1025"/>
      <c r="IE29" s="1025"/>
      <c r="IF29" s="1025"/>
      <c r="IG29" s="1025"/>
      <c r="IH29" s="1025"/>
      <c r="II29" s="1025"/>
      <c r="IJ29" s="1025"/>
      <c r="IK29" s="1025"/>
      <c r="IL29" s="1025"/>
      <c r="IM29" s="1025"/>
      <c r="IN29" s="1025"/>
      <c r="IO29" s="1025"/>
      <c r="IP29" s="1025"/>
      <c r="IQ29" s="1025"/>
      <c r="IR29" s="1025"/>
      <c r="IS29" s="1025"/>
      <c r="IT29" s="1025"/>
      <c r="IU29" s="1025"/>
      <c r="IV29" s="1025"/>
      <c r="IW29" s="1025"/>
      <c r="IX29" s="1025"/>
      <c r="IY29" s="1025"/>
      <c r="IZ29" s="1025"/>
      <c r="JA29" s="1025"/>
      <c r="JB29" s="1025"/>
      <c r="JC29" s="1025"/>
      <c r="JD29" s="1025"/>
      <c r="JE29" s="1025"/>
      <c r="JF29" s="1025"/>
      <c r="JG29" s="1025"/>
      <c r="JH29" s="1025"/>
      <c r="JI29" s="1025"/>
      <c r="JJ29" s="1025"/>
      <c r="JK29" s="1025"/>
      <c r="JL29" s="1025"/>
      <c r="JM29" s="1025"/>
      <c r="JN29" s="1025"/>
      <c r="JO29" s="1025"/>
      <c r="JP29" s="1025"/>
      <c r="JQ29" s="1025"/>
      <c r="JR29" s="1025"/>
      <c r="JS29" s="1025"/>
      <c r="JT29" s="1025"/>
      <c r="JU29" s="1025"/>
      <c r="JV29" s="1025"/>
      <c r="JW29" s="1025"/>
      <c r="JX29" s="1025"/>
      <c r="JY29" s="1025"/>
      <c r="JZ29" s="1025"/>
      <c r="KA29" s="1025"/>
      <c r="KB29" s="1025"/>
      <c r="KC29" s="1025"/>
      <c r="KD29" s="1025"/>
      <c r="KE29" s="1025"/>
      <c r="KF29" s="1025"/>
      <c r="KG29" s="1025"/>
      <c r="KH29" s="1025"/>
      <c r="KI29" s="1025"/>
      <c r="KJ29" s="1025"/>
      <c r="KK29" s="1025"/>
      <c r="KL29" s="1025"/>
      <c r="KM29" s="1025"/>
      <c r="KN29" s="1025"/>
      <c r="KO29" s="1025"/>
      <c r="KP29" s="1025"/>
      <c r="KQ29" s="1025"/>
      <c r="KR29" s="1025"/>
      <c r="KS29" s="1025"/>
      <c r="KT29" s="1025"/>
      <c r="KU29" s="1025"/>
      <c r="KV29" s="1025"/>
      <c r="KW29" s="1025"/>
      <c r="KX29" s="1025"/>
      <c r="KY29" s="1025"/>
      <c r="KZ29" s="1025"/>
      <c r="LA29" s="1025"/>
      <c r="LB29" s="1025"/>
      <c r="LC29" s="1025"/>
      <c r="LD29" s="1025"/>
      <c r="LE29" s="1025"/>
      <c r="LF29" s="1025"/>
      <c r="LG29" s="1025"/>
      <c r="LH29" s="1025"/>
      <c r="LI29" s="1025"/>
      <c r="LJ29" s="1025"/>
      <c r="LK29" s="1025"/>
      <c r="LL29" s="1025"/>
      <c r="LM29" s="1025"/>
      <c r="LN29" s="1025"/>
      <c r="LO29" s="1025"/>
      <c r="LP29" s="1025"/>
      <c r="LQ29" s="1025"/>
      <c r="LR29" s="1025"/>
      <c r="LS29" s="1025"/>
      <c r="LT29" s="1025"/>
      <c r="LU29" s="1025"/>
      <c r="LV29" s="1025"/>
      <c r="LW29" s="1025"/>
      <c r="LX29" s="1025"/>
      <c r="LY29" s="1025"/>
      <c r="LZ29" s="1025"/>
      <c r="MA29" s="1025"/>
      <c r="MB29" s="1025"/>
      <c r="MC29" s="1025"/>
      <c r="MD29" s="1025"/>
      <c r="ME29" s="1025"/>
      <c r="MF29" s="1025"/>
      <c r="MG29" s="1025"/>
      <c r="MH29" s="1025"/>
      <c r="MI29" s="1025"/>
      <c r="MJ29" s="1025"/>
      <c r="MK29" s="1025"/>
      <c r="ML29" s="1025"/>
      <c r="MM29" s="1025"/>
      <c r="MN29" s="1025"/>
      <c r="MO29" s="1025"/>
      <c r="MP29" s="1025"/>
      <c r="MQ29" s="1025"/>
      <c r="MR29" s="1025"/>
      <c r="MS29" s="1025"/>
      <c r="MT29" s="1025"/>
      <c r="MU29" s="1025"/>
      <c r="MV29" s="1025"/>
      <c r="MW29" s="1025"/>
      <c r="MX29" s="1025"/>
      <c r="MY29" s="1025"/>
      <c r="MZ29" s="1025"/>
      <c r="NA29" s="1025"/>
      <c r="NB29" s="1025"/>
      <c r="NC29" s="1025"/>
      <c r="ND29" s="1025"/>
      <c r="NE29" s="1025"/>
      <c r="NF29" s="1025"/>
      <c r="NG29" s="1025"/>
      <c r="NH29" s="1025"/>
      <c r="NI29" s="1025"/>
      <c r="NJ29" s="1025"/>
      <c r="NK29" s="1025"/>
      <c r="NL29" s="1025"/>
      <c r="NM29" s="1025"/>
      <c r="NN29" s="1025"/>
      <c r="NO29" s="1025"/>
      <c r="NP29" s="1025"/>
      <c r="NQ29" s="1025"/>
      <c r="NR29" s="1025"/>
      <c r="NS29" s="1025"/>
      <c r="NT29" s="1025"/>
      <c r="NU29" s="1025"/>
      <c r="NV29" s="1025"/>
      <c r="NW29" s="1025"/>
      <c r="NX29" s="1025"/>
      <c r="NY29" s="1025"/>
      <c r="NZ29" s="1025"/>
      <c r="OA29" s="1025"/>
      <c r="OB29" s="1025"/>
      <c r="OC29" s="1025"/>
      <c r="OD29" s="1025"/>
      <c r="OE29" s="1025"/>
      <c r="OF29" s="1025"/>
      <c r="OG29" s="1025"/>
      <c r="OH29" s="1025"/>
      <c r="OI29" s="1025"/>
      <c r="OJ29" s="1025"/>
      <c r="OK29" s="1025"/>
      <c r="OL29" s="1025"/>
      <c r="OM29" s="1025"/>
      <c r="ON29" s="1025"/>
      <c r="OO29" s="1025"/>
      <c r="OP29" s="1025"/>
      <c r="OQ29" s="1025"/>
      <c r="OR29" s="1025"/>
      <c r="OS29" s="1025"/>
      <c r="OT29" s="1025"/>
      <c r="OU29" s="1025"/>
      <c r="OV29" s="1025"/>
      <c r="OW29" s="1025"/>
      <c r="OX29" s="1025"/>
      <c r="OY29" s="1025"/>
      <c r="OZ29" s="1025"/>
      <c r="PA29" s="1025"/>
      <c r="PB29" s="1025"/>
      <c r="PC29" s="1025"/>
      <c r="PD29" s="1025"/>
      <c r="PE29" s="1025"/>
      <c r="PF29" s="1025"/>
      <c r="PG29" s="1025"/>
      <c r="PH29" s="1025"/>
      <c r="PI29" s="1025"/>
      <c r="PJ29" s="1025"/>
      <c r="PK29" s="1025"/>
      <c r="PL29" s="1025"/>
      <c r="PM29" s="1025"/>
      <c r="PN29" s="1025"/>
      <c r="PO29" s="1025"/>
      <c r="PP29" s="1025"/>
      <c r="PQ29" s="1025"/>
      <c r="PR29" s="1025"/>
      <c r="PS29" s="1025"/>
      <c r="PT29" s="1025"/>
      <c r="PU29" s="1025"/>
      <c r="PV29" s="1025"/>
      <c r="PW29" s="1025"/>
      <c r="PX29" s="1025"/>
      <c r="PY29" s="1025"/>
      <c r="PZ29" s="1025"/>
      <c r="QA29" s="1025"/>
      <c r="QB29" s="1025"/>
      <c r="QC29" s="1025"/>
      <c r="QD29" s="1025"/>
      <c r="QE29" s="1025"/>
      <c r="QF29" s="1025"/>
      <c r="QG29" s="1025"/>
      <c r="QH29" s="1025"/>
      <c r="QI29" s="1025"/>
      <c r="QJ29" s="1025"/>
      <c r="QK29" s="1025"/>
      <c r="QL29" s="1025"/>
      <c r="QM29" s="1025"/>
      <c r="QN29" s="1025"/>
      <c r="QO29" s="1025"/>
      <c r="QP29" s="1025"/>
      <c r="QQ29" s="1025"/>
      <c r="QR29" s="1025"/>
      <c r="QS29" s="1025"/>
      <c r="QT29" s="1025"/>
      <c r="QU29" s="1025"/>
      <c r="QV29" s="1025"/>
      <c r="QW29" s="1025"/>
      <c r="QX29" s="1025"/>
      <c r="QY29" s="1025"/>
      <c r="QZ29" s="1025"/>
      <c r="RA29" s="1025"/>
      <c r="RB29" s="1025"/>
      <c r="RC29" s="1025"/>
      <c r="RD29" s="1025"/>
      <c r="RE29" s="1025"/>
      <c r="RF29" s="1025"/>
      <c r="RG29" s="1025"/>
      <c r="RH29" s="1025"/>
      <c r="RI29" s="1025"/>
      <c r="RJ29" s="1025"/>
      <c r="RK29" s="1025"/>
      <c r="RL29" s="1025"/>
      <c r="RM29" s="1025"/>
      <c r="RN29" s="1025"/>
      <c r="RO29" s="1025"/>
      <c r="RP29" s="1025"/>
      <c r="RQ29" s="1025"/>
      <c r="RR29" s="1025"/>
      <c r="RS29" s="1025"/>
      <c r="RT29" s="1025"/>
      <c r="RU29" s="1025"/>
      <c r="RV29" s="1025"/>
      <c r="RW29" s="1025"/>
      <c r="RX29" s="1025"/>
      <c r="RY29" s="1025"/>
      <c r="RZ29" s="1025"/>
      <c r="SA29" s="1025"/>
      <c r="SB29" s="1025"/>
      <c r="SC29" s="1025"/>
      <c r="SD29" s="1025"/>
      <c r="SE29" s="1025"/>
      <c r="SF29" s="1025"/>
      <c r="SG29" s="1025"/>
      <c r="SH29" s="1025"/>
      <c r="SI29" s="1025"/>
      <c r="SJ29" s="1025"/>
      <c r="SK29" s="1025"/>
      <c r="SL29" s="1025"/>
      <c r="SM29" s="1025"/>
      <c r="SN29" s="1025"/>
      <c r="SO29" s="1025"/>
      <c r="SP29" s="1025"/>
      <c r="SQ29" s="1025"/>
      <c r="SR29" s="1025"/>
      <c r="SS29" s="1025"/>
      <c r="ST29" s="1025"/>
      <c r="SU29" s="1025"/>
      <c r="SV29" s="1025"/>
      <c r="SW29" s="1025"/>
      <c r="SX29" s="1025"/>
      <c r="SY29" s="1025"/>
      <c r="SZ29" s="1025"/>
      <c r="TA29" s="1025"/>
      <c r="TB29" s="1025"/>
      <c r="TC29" s="1025"/>
      <c r="TD29" s="1025"/>
      <c r="TE29" s="1025"/>
      <c r="TF29" s="1025"/>
      <c r="TG29" s="1025"/>
      <c r="TH29" s="1025"/>
      <c r="TI29" s="1025"/>
      <c r="TJ29" s="1025"/>
      <c r="TK29" s="1025"/>
      <c r="TL29" s="1025"/>
      <c r="TM29" s="1025"/>
      <c r="TN29" s="1025"/>
      <c r="TO29" s="1025"/>
      <c r="TP29" s="1025"/>
      <c r="TQ29" s="1025"/>
      <c r="TR29" s="1025"/>
      <c r="TS29" s="1025"/>
      <c r="TT29" s="1025"/>
      <c r="TU29" s="1025"/>
      <c r="TV29" s="1025"/>
      <c r="TW29" s="1025"/>
      <c r="TX29" s="1025"/>
      <c r="TY29" s="1025"/>
      <c r="TZ29" s="1025"/>
      <c r="UA29" s="1025"/>
      <c r="UB29" s="1025"/>
      <c r="UC29" s="1025"/>
      <c r="UD29" s="1025"/>
      <c r="UE29" s="1025"/>
      <c r="UF29" s="1025"/>
      <c r="UG29" s="1026"/>
    </row>
    <row r="30" spans="1:553" s="236" customFormat="1" ht="27.75" customHeight="1">
      <c r="A30" s="356" t="s">
        <v>30</v>
      </c>
      <c r="B30" s="366" t="s">
        <v>35</v>
      </c>
      <c r="C30" s="1404" t="s">
        <v>97</v>
      </c>
      <c r="D30" s="1389"/>
      <c r="E30" s="1389"/>
      <c r="F30" s="1390"/>
      <c r="G30" s="386" t="s">
        <v>34</v>
      </c>
      <c r="H30" s="370"/>
      <c r="I30" s="422">
        <f>(0.56*6.5)*4</f>
        <v>14.560000000000002</v>
      </c>
      <c r="J30" s="368">
        <v>39000</v>
      </c>
      <c r="K30" s="371"/>
      <c r="L30" s="391">
        <f t="shared" ref="L30:L31" si="7">I30*J30</f>
        <v>567840.00000000012</v>
      </c>
      <c r="M30" s="391"/>
      <c r="N30" s="391"/>
      <c r="O30" s="391"/>
      <c r="P30" s="391"/>
      <c r="Q30" s="1444"/>
      <c r="R30" s="1226"/>
      <c r="S30" s="1047"/>
      <c r="T30" s="303"/>
      <c r="U30" s="306"/>
      <c r="V30" s="307"/>
      <c r="W30" s="306"/>
      <c r="X30" s="306"/>
      <c r="Y30" s="306"/>
      <c r="Z30" s="306"/>
      <c r="AA30" s="306"/>
      <c r="AB30" s="306"/>
      <c r="AC30" s="449"/>
      <c r="AD30" s="449"/>
      <c r="AE30" s="449"/>
      <c r="AF30" s="449"/>
      <c r="AG30" s="449"/>
      <c r="AH30" s="449"/>
      <c r="AI30" s="449"/>
      <c r="AJ30" s="449"/>
      <c r="AK30" s="452"/>
      <c r="AL30" s="242"/>
      <c r="AM30" s="241"/>
      <c r="AN30" s="241"/>
      <c r="AO30" s="241"/>
      <c r="AP30" s="241"/>
      <c r="AQ30" s="241"/>
      <c r="AR30" s="241"/>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c r="IX30" s="238"/>
      <c r="IY30" s="238"/>
      <c r="IZ30" s="238"/>
      <c r="JA30" s="238"/>
      <c r="JB30" s="238"/>
      <c r="JC30" s="238"/>
      <c r="JD30" s="238"/>
      <c r="JE30" s="238"/>
      <c r="JF30" s="238"/>
      <c r="JG30" s="238"/>
      <c r="JH30" s="238"/>
      <c r="JI30" s="238"/>
      <c r="JJ30" s="238"/>
      <c r="JK30" s="238"/>
      <c r="JL30" s="238"/>
      <c r="JM30" s="238"/>
      <c r="JN30" s="238"/>
      <c r="JO30" s="238"/>
      <c r="JP30" s="238"/>
      <c r="JQ30" s="238"/>
      <c r="JR30" s="238"/>
      <c r="JS30" s="238"/>
      <c r="JT30" s="238"/>
      <c r="JU30" s="238"/>
      <c r="JV30" s="238"/>
      <c r="JW30" s="238"/>
      <c r="JX30" s="238"/>
      <c r="JY30" s="238"/>
      <c r="JZ30" s="238"/>
      <c r="KA30" s="238"/>
      <c r="KB30" s="238"/>
      <c r="KC30" s="238"/>
      <c r="KD30" s="238"/>
      <c r="KE30" s="238"/>
      <c r="KF30" s="238"/>
      <c r="KG30" s="238"/>
      <c r="KH30" s="238"/>
      <c r="KI30" s="238"/>
      <c r="KJ30" s="238"/>
      <c r="KK30" s="238"/>
      <c r="KL30" s="238"/>
      <c r="KM30" s="238"/>
      <c r="KN30" s="238"/>
      <c r="KO30" s="238"/>
      <c r="KP30" s="238"/>
      <c r="KQ30" s="238"/>
      <c r="KR30" s="238"/>
      <c r="KS30" s="238"/>
      <c r="KT30" s="238"/>
      <c r="KU30" s="238"/>
      <c r="KV30" s="238"/>
      <c r="KW30" s="238"/>
      <c r="KX30" s="238"/>
      <c r="KY30" s="238"/>
      <c r="KZ30" s="238"/>
      <c r="LA30" s="238"/>
      <c r="LB30" s="238"/>
      <c r="LC30" s="238"/>
      <c r="LD30" s="238"/>
      <c r="LE30" s="238"/>
      <c r="LF30" s="238"/>
      <c r="LG30" s="238"/>
      <c r="LH30" s="238"/>
      <c r="LI30" s="238"/>
      <c r="LJ30" s="238"/>
      <c r="LK30" s="238"/>
      <c r="LL30" s="238"/>
      <c r="LM30" s="238"/>
      <c r="LN30" s="238"/>
      <c r="LO30" s="238"/>
      <c r="LP30" s="238"/>
      <c r="LQ30" s="238"/>
      <c r="LR30" s="238"/>
      <c r="LS30" s="238"/>
      <c r="LT30" s="238"/>
      <c r="LU30" s="238"/>
      <c r="LV30" s="238"/>
      <c r="LW30" s="238"/>
      <c r="LX30" s="238"/>
      <c r="LY30" s="238"/>
      <c r="LZ30" s="238"/>
      <c r="MA30" s="238"/>
      <c r="MB30" s="238"/>
      <c r="MC30" s="238"/>
      <c r="MD30" s="238"/>
      <c r="ME30" s="238"/>
      <c r="MF30" s="238"/>
      <c r="MG30" s="238"/>
      <c r="MH30" s="238"/>
      <c r="MI30" s="238"/>
      <c r="MJ30" s="238"/>
      <c r="MK30" s="238"/>
      <c r="ML30" s="238"/>
      <c r="MM30" s="238"/>
      <c r="MN30" s="238"/>
      <c r="MO30" s="238"/>
      <c r="MP30" s="238"/>
      <c r="MQ30" s="238"/>
      <c r="MR30" s="238"/>
      <c r="MS30" s="238"/>
      <c r="MT30" s="238"/>
      <c r="MU30" s="238"/>
      <c r="MV30" s="238"/>
      <c r="MW30" s="238"/>
      <c r="MX30" s="238"/>
      <c r="MY30" s="238"/>
      <c r="MZ30" s="238"/>
      <c r="NA30" s="238"/>
      <c r="NB30" s="238"/>
      <c r="NC30" s="238"/>
      <c r="ND30" s="238"/>
      <c r="NE30" s="238"/>
      <c r="NF30" s="238"/>
      <c r="NG30" s="238"/>
      <c r="NH30" s="238"/>
      <c r="NI30" s="238"/>
      <c r="NJ30" s="238"/>
      <c r="NK30" s="238"/>
      <c r="NL30" s="238"/>
      <c r="NM30" s="238"/>
      <c r="NN30" s="238"/>
      <c r="NO30" s="238"/>
      <c r="NP30" s="238"/>
      <c r="NQ30" s="238"/>
      <c r="NR30" s="238"/>
      <c r="NS30" s="238"/>
      <c r="NT30" s="238"/>
      <c r="NU30" s="238"/>
      <c r="NV30" s="238"/>
      <c r="NW30" s="238"/>
      <c r="NX30" s="238"/>
      <c r="NY30" s="238"/>
      <c r="NZ30" s="238"/>
      <c r="OA30" s="238"/>
      <c r="OB30" s="238"/>
      <c r="OC30" s="238"/>
      <c r="OD30" s="238"/>
      <c r="OE30" s="238"/>
      <c r="OF30" s="238"/>
      <c r="OG30" s="238"/>
      <c r="OH30" s="238"/>
      <c r="OI30" s="238"/>
      <c r="OJ30" s="238"/>
      <c r="OK30" s="238"/>
      <c r="OL30" s="238"/>
      <c r="OM30" s="238"/>
      <c r="ON30" s="238"/>
      <c r="OO30" s="238"/>
      <c r="OP30" s="238"/>
      <c r="OQ30" s="238"/>
      <c r="OR30" s="238"/>
      <c r="OS30" s="238"/>
      <c r="OT30" s="238"/>
      <c r="OU30" s="238"/>
      <c r="OV30" s="238"/>
      <c r="OW30" s="238"/>
      <c r="OX30" s="238"/>
      <c r="OY30" s="238"/>
      <c r="OZ30" s="238"/>
      <c r="PA30" s="238"/>
      <c r="PB30" s="238"/>
      <c r="PC30" s="238"/>
      <c r="PD30" s="238"/>
      <c r="PE30" s="238"/>
      <c r="PF30" s="238"/>
      <c r="PG30" s="238"/>
      <c r="PH30" s="238"/>
      <c r="PI30" s="238"/>
      <c r="PJ30" s="238"/>
      <c r="PK30" s="238"/>
      <c r="PL30" s="238"/>
      <c r="PM30" s="238"/>
      <c r="PN30" s="238"/>
      <c r="PO30" s="238"/>
      <c r="PP30" s="238"/>
      <c r="PQ30" s="238"/>
      <c r="PR30" s="238"/>
      <c r="PS30" s="238"/>
      <c r="PT30" s="238"/>
      <c r="PU30" s="238"/>
      <c r="PV30" s="238"/>
      <c r="PW30" s="238"/>
      <c r="PX30" s="238"/>
      <c r="PY30" s="238"/>
      <c r="PZ30" s="238"/>
      <c r="QA30" s="238"/>
      <c r="QB30" s="238"/>
      <c r="QC30" s="238"/>
      <c r="QD30" s="238"/>
      <c r="QE30" s="238"/>
      <c r="QF30" s="238"/>
      <c r="QG30" s="238"/>
      <c r="QH30" s="238"/>
      <c r="QI30" s="238"/>
      <c r="QJ30" s="238"/>
      <c r="QK30" s="238"/>
      <c r="QL30" s="238"/>
      <c r="QM30" s="238"/>
      <c r="QN30" s="238"/>
      <c r="QO30" s="238"/>
      <c r="QP30" s="238"/>
      <c r="QQ30" s="238"/>
      <c r="QR30" s="238"/>
      <c r="QS30" s="238"/>
      <c r="QT30" s="238"/>
      <c r="QU30" s="238"/>
      <c r="QV30" s="238"/>
      <c r="QW30" s="238"/>
      <c r="QX30" s="238"/>
      <c r="QY30" s="238"/>
      <c r="QZ30" s="238"/>
      <c r="RA30" s="238"/>
      <c r="RB30" s="238"/>
      <c r="RC30" s="238"/>
      <c r="RD30" s="238"/>
      <c r="RE30" s="238"/>
      <c r="RF30" s="238"/>
      <c r="RG30" s="238"/>
      <c r="RH30" s="238"/>
      <c r="RI30" s="238"/>
      <c r="RJ30" s="238"/>
      <c r="RK30" s="238"/>
      <c r="RL30" s="238"/>
      <c r="RM30" s="238"/>
      <c r="RN30" s="238"/>
      <c r="RO30" s="238"/>
      <c r="RP30" s="238"/>
      <c r="RQ30" s="238"/>
      <c r="RR30" s="238"/>
      <c r="RS30" s="238"/>
      <c r="RT30" s="238"/>
      <c r="RU30" s="238"/>
      <c r="RV30" s="238"/>
      <c r="RW30" s="238"/>
      <c r="RX30" s="238"/>
      <c r="RY30" s="238"/>
      <c r="RZ30" s="238"/>
      <c r="SA30" s="238"/>
      <c r="SB30" s="238"/>
      <c r="SC30" s="238"/>
      <c r="SD30" s="238"/>
      <c r="SE30" s="238"/>
      <c r="SF30" s="238"/>
      <c r="SG30" s="238"/>
      <c r="SH30" s="238"/>
      <c r="SI30" s="238"/>
      <c r="SJ30" s="238"/>
      <c r="SK30" s="238"/>
      <c r="SL30" s="238"/>
      <c r="SM30" s="238"/>
      <c r="SN30" s="238"/>
      <c r="SO30" s="238"/>
      <c r="SP30" s="238"/>
      <c r="SQ30" s="238"/>
      <c r="SR30" s="238"/>
      <c r="SS30" s="238"/>
      <c r="ST30" s="238"/>
      <c r="SU30" s="238"/>
      <c r="SV30" s="238"/>
      <c r="SW30" s="238"/>
      <c r="SX30" s="238"/>
      <c r="SY30" s="238"/>
      <c r="SZ30" s="238"/>
      <c r="TA30" s="238"/>
      <c r="TB30" s="238"/>
      <c r="TC30" s="238"/>
      <c r="TD30" s="238"/>
      <c r="TE30" s="238"/>
      <c r="TF30" s="238"/>
      <c r="TG30" s="238"/>
      <c r="TH30" s="238"/>
      <c r="TI30" s="238"/>
      <c r="TJ30" s="238"/>
      <c r="TK30" s="238"/>
      <c r="TL30" s="238"/>
      <c r="TM30" s="238"/>
      <c r="TN30" s="238"/>
      <c r="TO30" s="238"/>
      <c r="TP30" s="238"/>
      <c r="TQ30" s="238"/>
      <c r="TR30" s="238"/>
      <c r="TS30" s="238"/>
      <c r="TT30" s="238"/>
      <c r="TU30" s="238"/>
      <c r="TV30" s="238"/>
      <c r="TW30" s="238"/>
      <c r="TX30" s="238"/>
      <c r="TY30" s="238"/>
      <c r="TZ30" s="238"/>
      <c r="UA30" s="238"/>
      <c r="UB30" s="238"/>
      <c r="UC30" s="238"/>
      <c r="UD30" s="238"/>
      <c r="UE30" s="238"/>
      <c r="UF30" s="238"/>
      <c r="UG30" s="248"/>
    </row>
    <row r="31" spans="1:553" s="236" customFormat="1" ht="27.75" customHeight="1">
      <c r="A31" s="356" t="s">
        <v>30</v>
      </c>
      <c r="B31" s="366" t="s">
        <v>35</v>
      </c>
      <c r="C31" s="1404" t="s">
        <v>98</v>
      </c>
      <c r="D31" s="1389"/>
      <c r="E31" s="1389"/>
      <c r="F31" s="1390"/>
      <c r="G31" s="386" t="s">
        <v>34</v>
      </c>
      <c r="H31" s="370"/>
      <c r="I31" s="422">
        <f>(0.42*7.2)*4</f>
        <v>12.096</v>
      </c>
      <c r="J31" s="368">
        <v>39000</v>
      </c>
      <c r="K31" s="371"/>
      <c r="L31" s="391">
        <f t="shared" si="7"/>
        <v>471744</v>
      </c>
      <c r="M31" s="391"/>
      <c r="N31" s="391"/>
      <c r="O31" s="391"/>
      <c r="P31" s="391"/>
      <c r="Q31" s="1445"/>
      <c r="R31" s="1226"/>
      <c r="S31" s="1047"/>
      <c r="T31" s="303"/>
      <c r="U31" s="306"/>
      <c r="V31" s="307"/>
      <c r="W31" s="306"/>
      <c r="X31" s="306"/>
      <c r="Y31" s="306"/>
      <c r="Z31" s="306"/>
      <c r="AA31" s="306"/>
      <c r="AB31" s="306"/>
      <c r="AC31" s="449"/>
      <c r="AD31" s="449"/>
      <c r="AE31" s="449"/>
      <c r="AF31" s="449"/>
      <c r="AG31" s="449"/>
      <c r="AH31" s="449"/>
      <c r="AI31" s="449"/>
      <c r="AJ31" s="449"/>
      <c r="AK31" s="452"/>
      <c r="AL31" s="242"/>
      <c r="AM31" s="241"/>
      <c r="AN31" s="241"/>
      <c r="AO31" s="241"/>
      <c r="AP31" s="241"/>
      <c r="AQ31" s="241"/>
      <c r="AR31" s="241"/>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c r="IX31" s="238"/>
      <c r="IY31" s="238"/>
      <c r="IZ31" s="238"/>
      <c r="JA31" s="238"/>
      <c r="JB31" s="238"/>
      <c r="JC31" s="238"/>
      <c r="JD31" s="238"/>
      <c r="JE31" s="238"/>
      <c r="JF31" s="238"/>
      <c r="JG31" s="238"/>
      <c r="JH31" s="238"/>
      <c r="JI31" s="238"/>
      <c r="JJ31" s="238"/>
      <c r="JK31" s="238"/>
      <c r="JL31" s="238"/>
      <c r="JM31" s="238"/>
      <c r="JN31" s="238"/>
      <c r="JO31" s="238"/>
      <c r="JP31" s="238"/>
      <c r="JQ31" s="238"/>
      <c r="JR31" s="238"/>
      <c r="JS31" s="238"/>
      <c r="JT31" s="238"/>
      <c r="JU31" s="238"/>
      <c r="JV31" s="238"/>
      <c r="JW31" s="238"/>
      <c r="JX31" s="238"/>
      <c r="JY31" s="238"/>
      <c r="JZ31" s="238"/>
      <c r="KA31" s="238"/>
      <c r="KB31" s="238"/>
      <c r="KC31" s="238"/>
      <c r="KD31" s="238"/>
      <c r="KE31" s="238"/>
      <c r="KF31" s="238"/>
      <c r="KG31" s="238"/>
      <c r="KH31" s="238"/>
      <c r="KI31" s="238"/>
      <c r="KJ31" s="238"/>
      <c r="KK31" s="238"/>
      <c r="KL31" s="238"/>
      <c r="KM31" s="238"/>
      <c r="KN31" s="238"/>
      <c r="KO31" s="238"/>
      <c r="KP31" s="238"/>
      <c r="KQ31" s="238"/>
      <c r="KR31" s="238"/>
      <c r="KS31" s="238"/>
      <c r="KT31" s="238"/>
      <c r="KU31" s="238"/>
      <c r="KV31" s="238"/>
      <c r="KW31" s="238"/>
      <c r="KX31" s="238"/>
      <c r="KY31" s="238"/>
      <c r="KZ31" s="238"/>
      <c r="LA31" s="238"/>
      <c r="LB31" s="238"/>
      <c r="LC31" s="238"/>
      <c r="LD31" s="238"/>
      <c r="LE31" s="238"/>
      <c r="LF31" s="238"/>
      <c r="LG31" s="238"/>
      <c r="LH31" s="238"/>
      <c r="LI31" s="238"/>
      <c r="LJ31" s="238"/>
      <c r="LK31" s="238"/>
      <c r="LL31" s="238"/>
      <c r="LM31" s="238"/>
      <c r="LN31" s="238"/>
      <c r="LO31" s="238"/>
      <c r="LP31" s="238"/>
      <c r="LQ31" s="238"/>
      <c r="LR31" s="238"/>
      <c r="LS31" s="238"/>
      <c r="LT31" s="238"/>
      <c r="LU31" s="238"/>
      <c r="LV31" s="238"/>
      <c r="LW31" s="238"/>
      <c r="LX31" s="238"/>
      <c r="LY31" s="238"/>
      <c r="LZ31" s="238"/>
      <c r="MA31" s="238"/>
      <c r="MB31" s="238"/>
      <c r="MC31" s="238"/>
      <c r="MD31" s="238"/>
      <c r="ME31" s="238"/>
      <c r="MF31" s="238"/>
      <c r="MG31" s="238"/>
      <c r="MH31" s="238"/>
      <c r="MI31" s="238"/>
      <c r="MJ31" s="238"/>
      <c r="MK31" s="238"/>
      <c r="ML31" s="238"/>
      <c r="MM31" s="238"/>
      <c r="MN31" s="238"/>
      <c r="MO31" s="238"/>
      <c r="MP31" s="238"/>
      <c r="MQ31" s="238"/>
      <c r="MR31" s="238"/>
      <c r="MS31" s="238"/>
      <c r="MT31" s="238"/>
      <c r="MU31" s="238"/>
      <c r="MV31" s="238"/>
      <c r="MW31" s="238"/>
      <c r="MX31" s="238"/>
      <c r="MY31" s="238"/>
      <c r="MZ31" s="238"/>
      <c r="NA31" s="238"/>
      <c r="NB31" s="238"/>
      <c r="NC31" s="238"/>
      <c r="ND31" s="238"/>
      <c r="NE31" s="238"/>
      <c r="NF31" s="238"/>
      <c r="NG31" s="238"/>
      <c r="NH31" s="238"/>
      <c r="NI31" s="238"/>
      <c r="NJ31" s="238"/>
      <c r="NK31" s="238"/>
      <c r="NL31" s="238"/>
      <c r="NM31" s="238"/>
      <c r="NN31" s="238"/>
      <c r="NO31" s="238"/>
      <c r="NP31" s="238"/>
      <c r="NQ31" s="238"/>
      <c r="NR31" s="238"/>
      <c r="NS31" s="238"/>
      <c r="NT31" s="238"/>
      <c r="NU31" s="238"/>
      <c r="NV31" s="238"/>
      <c r="NW31" s="238"/>
      <c r="NX31" s="238"/>
      <c r="NY31" s="238"/>
      <c r="NZ31" s="238"/>
      <c r="OA31" s="238"/>
      <c r="OB31" s="238"/>
      <c r="OC31" s="238"/>
      <c r="OD31" s="238"/>
      <c r="OE31" s="238"/>
      <c r="OF31" s="238"/>
      <c r="OG31" s="238"/>
      <c r="OH31" s="238"/>
      <c r="OI31" s="238"/>
      <c r="OJ31" s="238"/>
      <c r="OK31" s="238"/>
      <c r="OL31" s="238"/>
      <c r="OM31" s="238"/>
      <c r="ON31" s="238"/>
      <c r="OO31" s="238"/>
      <c r="OP31" s="238"/>
      <c r="OQ31" s="238"/>
      <c r="OR31" s="238"/>
      <c r="OS31" s="238"/>
      <c r="OT31" s="238"/>
      <c r="OU31" s="238"/>
      <c r="OV31" s="238"/>
      <c r="OW31" s="238"/>
      <c r="OX31" s="238"/>
      <c r="OY31" s="238"/>
      <c r="OZ31" s="238"/>
      <c r="PA31" s="238"/>
      <c r="PB31" s="238"/>
      <c r="PC31" s="238"/>
      <c r="PD31" s="238"/>
      <c r="PE31" s="238"/>
      <c r="PF31" s="238"/>
      <c r="PG31" s="238"/>
      <c r="PH31" s="238"/>
      <c r="PI31" s="238"/>
      <c r="PJ31" s="238"/>
      <c r="PK31" s="238"/>
      <c r="PL31" s="238"/>
      <c r="PM31" s="238"/>
      <c r="PN31" s="238"/>
      <c r="PO31" s="238"/>
      <c r="PP31" s="238"/>
      <c r="PQ31" s="238"/>
      <c r="PR31" s="238"/>
      <c r="PS31" s="238"/>
      <c r="PT31" s="238"/>
      <c r="PU31" s="238"/>
      <c r="PV31" s="238"/>
      <c r="PW31" s="238"/>
      <c r="PX31" s="238"/>
      <c r="PY31" s="238"/>
      <c r="PZ31" s="238"/>
      <c r="QA31" s="238"/>
      <c r="QB31" s="238"/>
      <c r="QC31" s="238"/>
      <c r="QD31" s="238"/>
      <c r="QE31" s="238"/>
      <c r="QF31" s="238"/>
      <c r="QG31" s="238"/>
      <c r="QH31" s="238"/>
      <c r="QI31" s="238"/>
      <c r="QJ31" s="238"/>
      <c r="QK31" s="238"/>
      <c r="QL31" s="238"/>
      <c r="QM31" s="238"/>
      <c r="QN31" s="238"/>
      <c r="QO31" s="238"/>
      <c r="QP31" s="238"/>
      <c r="QQ31" s="238"/>
      <c r="QR31" s="238"/>
      <c r="QS31" s="238"/>
      <c r="QT31" s="238"/>
      <c r="QU31" s="238"/>
      <c r="QV31" s="238"/>
      <c r="QW31" s="238"/>
      <c r="QX31" s="238"/>
      <c r="QY31" s="238"/>
      <c r="QZ31" s="238"/>
      <c r="RA31" s="238"/>
      <c r="RB31" s="238"/>
      <c r="RC31" s="238"/>
      <c r="RD31" s="238"/>
      <c r="RE31" s="238"/>
      <c r="RF31" s="238"/>
      <c r="RG31" s="238"/>
      <c r="RH31" s="238"/>
      <c r="RI31" s="238"/>
      <c r="RJ31" s="238"/>
      <c r="RK31" s="238"/>
      <c r="RL31" s="238"/>
      <c r="RM31" s="238"/>
      <c r="RN31" s="238"/>
      <c r="RO31" s="238"/>
      <c r="RP31" s="238"/>
      <c r="RQ31" s="238"/>
      <c r="RR31" s="238"/>
      <c r="RS31" s="238"/>
      <c r="RT31" s="238"/>
      <c r="RU31" s="238"/>
      <c r="RV31" s="238"/>
      <c r="RW31" s="238"/>
      <c r="RX31" s="238"/>
      <c r="RY31" s="238"/>
      <c r="RZ31" s="238"/>
      <c r="SA31" s="238"/>
      <c r="SB31" s="238"/>
      <c r="SC31" s="238"/>
      <c r="SD31" s="238"/>
      <c r="SE31" s="238"/>
      <c r="SF31" s="238"/>
      <c r="SG31" s="238"/>
      <c r="SH31" s="238"/>
      <c r="SI31" s="238"/>
      <c r="SJ31" s="238"/>
      <c r="SK31" s="238"/>
      <c r="SL31" s="238"/>
      <c r="SM31" s="238"/>
      <c r="SN31" s="238"/>
      <c r="SO31" s="238"/>
      <c r="SP31" s="238"/>
      <c r="SQ31" s="238"/>
      <c r="SR31" s="238"/>
      <c r="SS31" s="238"/>
      <c r="ST31" s="238"/>
      <c r="SU31" s="238"/>
      <c r="SV31" s="238"/>
      <c r="SW31" s="238"/>
      <c r="SX31" s="238"/>
      <c r="SY31" s="238"/>
      <c r="SZ31" s="238"/>
      <c r="TA31" s="238"/>
      <c r="TB31" s="238"/>
      <c r="TC31" s="238"/>
      <c r="TD31" s="238"/>
      <c r="TE31" s="238"/>
      <c r="TF31" s="238"/>
      <c r="TG31" s="238"/>
      <c r="TH31" s="238"/>
      <c r="TI31" s="238"/>
      <c r="TJ31" s="238"/>
      <c r="TK31" s="238"/>
      <c r="TL31" s="238"/>
      <c r="TM31" s="238"/>
      <c r="TN31" s="238"/>
      <c r="TO31" s="238"/>
      <c r="TP31" s="238"/>
      <c r="TQ31" s="238"/>
      <c r="TR31" s="238"/>
      <c r="TS31" s="238"/>
      <c r="TT31" s="238"/>
      <c r="TU31" s="238"/>
      <c r="TV31" s="238"/>
      <c r="TW31" s="238"/>
      <c r="TX31" s="238"/>
      <c r="TY31" s="238"/>
      <c r="TZ31" s="238"/>
      <c r="UA31" s="238"/>
      <c r="UB31" s="238"/>
      <c r="UC31" s="238"/>
      <c r="UD31" s="238"/>
      <c r="UE31" s="238"/>
      <c r="UF31" s="238"/>
      <c r="UG31" s="248"/>
    </row>
    <row r="32" spans="1:553" s="236" customFormat="1" ht="27.75" customHeight="1">
      <c r="A32" s="356" t="s">
        <v>30</v>
      </c>
      <c r="B32" s="366" t="s">
        <v>35</v>
      </c>
      <c r="C32" s="1404" t="s">
        <v>99</v>
      </c>
      <c r="D32" s="1389"/>
      <c r="E32" s="1389"/>
      <c r="F32" s="1390"/>
      <c r="G32" s="386" t="s">
        <v>935</v>
      </c>
      <c r="H32" s="370"/>
      <c r="I32" s="834">
        <f>(0.46*3.6)*4</f>
        <v>6.6240000000000006</v>
      </c>
      <c r="J32" s="368">
        <v>39000</v>
      </c>
      <c r="K32" s="371"/>
      <c r="L32" s="391">
        <f>ROUND(PRODUCT(I32:K32),0)</f>
        <v>258336</v>
      </c>
      <c r="M32" s="395"/>
      <c r="N32" s="395"/>
      <c r="O32" s="366"/>
      <c r="P32" s="396"/>
      <c r="Q32" s="473"/>
      <c r="R32" s="1039"/>
      <c r="S32" s="1047"/>
      <c r="T32" s="303"/>
      <c r="U32" s="306"/>
      <c r="V32" s="307"/>
      <c r="W32" s="306"/>
      <c r="X32" s="306"/>
      <c r="Y32" s="306"/>
      <c r="Z32" s="306"/>
      <c r="AA32" s="306"/>
      <c r="AB32" s="306"/>
      <c r="AC32" s="449"/>
      <c r="AD32" s="449"/>
      <c r="AE32" s="449"/>
      <c r="AF32" s="449"/>
      <c r="AG32" s="452"/>
      <c r="AH32" s="452"/>
      <c r="AI32" s="452"/>
      <c r="AJ32" s="452"/>
      <c r="AK32" s="452"/>
      <c r="AL32" s="242"/>
      <c r="AM32" s="241"/>
      <c r="AN32" s="241"/>
      <c r="AO32" s="241"/>
      <c r="AP32" s="241"/>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39"/>
      <c r="DT32" s="239"/>
      <c r="DU32" s="239"/>
      <c r="DV32" s="239"/>
      <c r="DW32" s="239"/>
      <c r="DX32" s="239"/>
      <c r="DY32" s="239"/>
      <c r="DZ32" s="239"/>
      <c r="EA32" s="239"/>
      <c r="EB32" s="239"/>
      <c r="EC32" s="239"/>
      <c r="ED32" s="239"/>
      <c r="EE32" s="239"/>
      <c r="EF32" s="239"/>
      <c r="EG32" s="239"/>
      <c r="EH32" s="239"/>
      <c r="EI32" s="239"/>
      <c r="EJ32" s="239"/>
      <c r="EK32" s="239"/>
      <c r="EL32" s="239"/>
      <c r="EM32" s="239"/>
      <c r="EN32" s="239"/>
      <c r="EO32" s="239"/>
      <c r="EP32" s="239"/>
      <c r="EQ32" s="239"/>
      <c r="ER32" s="239"/>
      <c r="ES32" s="239"/>
      <c r="ET32" s="239"/>
      <c r="EU32" s="239"/>
      <c r="EV32" s="239"/>
      <c r="EW32" s="239"/>
      <c r="EX32" s="239"/>
      <c r="EY32" s="239"/>
      <c r="EZ32" s="239"/>
      <c r="FA32" s="239"/>
      <c r="FB32" s="239"/>
      <c r="FC32" s="239"/>
      <c r="FD32" s="239"/>
      <c r="FE32" s="239"/>
      <c r="FF32" s="239"/>
      <c r="FG32" s="239"/>
      <c r="FH32" s="239"/>
      <c r="FI32" s="239"/>
      <c r="FJ32" s="239"/>
      <c r="FK32" s="239"/>
      <c r="FL32" s="239"/>
      <c r="FM32" s="239"/>
      <c r="FN32" s="239"/>
      <c r="FO32" s="239"/>
      <c r="FP32" s="239"/>
      <c r="FQ32" s="239"/>
      <c r="FR32" s="239"/>
      <c r="FS32" s="239"/>
      <c r="FT32" s="239"/>
      <c r="FU32" s="239"/>
      <c r="FV32" s="239"/>
      <c r="FW32" s="239"/>
      <c r="FX32" s="239"/>
      <c r="FY32" s="239"/>
      <c r="FZ32" s="239"/>
      <c r="GA32" s="239"/>
      <c r="GB32" s="239"/>
      <c r="GC32" s="239"/>
      <c r="GD32" s="239"/>
      <c r="GE32" s="239"/>
      <c r="GF32" s="239"/>
      <c r="GG32" s="239"/>
      <c r="GH32" s="239"/>
      <c r="GI32" s="239"/>
      <c r="GJ32" s="239"/>
      <c r="GK32" s="239"/>
      <c r="GL32" s="239"/>
      <c r="GM32" s="239"/>
      <c r="GN32" s="239"/>
      <c r="GO32" s="239"/>
      <c r="GP32" s="239"/>
      <c r="GQ32" s="239"/>
      <c r="GR32" s="239"/>
      <c r="GS32" s="239"/>
      <c r="GT32" s="239"/>
      <c r="GU32" s="239"/>
      <c r="GV32" s="239"/>
      <c r="GW32" s="239"/>
      <c r="GX32" s="239"/>
      <c r="GY32" s="239"/>
      <c r="GZ32" s="239"/>
      <c r="HA32" s="239"/>
      <c r="HB32" s="239"/>
      <c r="HC32" s="239"/>
      <c r="HD32" s="239"/>
      <c r="HE32" s="239"/>
      <c r="HF32" s="239"/>
      <c r="HG32" s="239"/>
      <c r="HH32" s="239"/>
      <c r="HI32" s="239"/>
      <c r="HJ32" s="239"/>
      <c r="HK32" s="239"/>
      <c r="HL32" s="239"/>
      <c r="HM32" s="239"/>
      <c r="HN32" s="239"/>
      <c r="HO32" s="239"/>
      <c r="HP32" s="239"/>
      <c r="HQ32" s="239"/>
      <c r="HR32" s="239"/>
      <c r="HS32" s="239"/>
      <c r="HT32" s="239"/>
      <c r="HU32" s="239"/>
      <c r="HV32" s="239"/>
      <c r="HW32" s="239"/>
      <c r="HX32" s="239"/>
      <c r="HY32" s="239"/>
      <c r="HZ32" s="239"/>
      <c r="IA32" s="239"/>
      <c r="IB32" s="239"/>
      <c r="IC32" s="239"/>
      <c r="ID32" s="239"/>
      <c r="IE32" s="239"/>
      <c r="IF32" s="239"/>
      <c r="IG32" s="239"/>
      <c r="IH32" s="239"/>
      <c r="II32" s="239"/>
      <c r="IJ32" s="239"/>
      <c r="IK32" s="239"/>
      <c r="IL32" s="239"/>
      <c r="IM32" s="239"/>
      <c r="IN32" s="239"/>
      <c r="IO32" s="239"/>
      <c r="IP32" s="239"/>
      <c r="IQ32" s="239"/>
      <c r="IR32" s="239"/>
      <c r="IS32" s="239"/>
      <c r="IT32" s="239"/>
      <c r="IU32" s="239"/>
      <c r="IV32" s="239"/>
      <c r="IW32" s="239"/>
      <c r="IX32" s="239"/>
      <c r="IY32" s="239"/>
      <c r="IZ32" s="239"/>
      <c r="JA32" s="239"/>
      <c r="JB32" s="239"/>
      <c r="JC32" s="239"/>
      <c r="JD32" s="239"/>
      <c r="JE32" s="239"/>
      <c r="JF32" s="239"/>
      <c r="JG32" s="239"/>
      <c r="JH32" s="239"/>
      <c r="JI32" s="239"/>
      <c r="JJ32" s="239"/>
      <c r="JK32" s="239"/>
      <c r="JL32" s="239"/>
      <c r="JM32" s="239"/>
      <c r="JN32" s="239"/>
      <c r="JO32" s="239"/>
      <c r="JP32" s="239"/>
      <c r="JQ32" s="239"/>
      <c r="JR32" s="239"/>
      <c r="JS32" s="239"/>
      <c r="JT32" s="239"/>
      <c r="JU32" s="239"/>
      <c r="JV32" s="239"/>
      <c r="JW32" s="239"/>
      <c r="JX32" s="239"/>
      <c r="JY32" s="239"/>
      <c r="JZ32" s="239"/>
      <c r="KA32" s="239"/>
      <c r="KB32" s="239"/>
      <c r="KC32" s="239"/>
      <c r="KD32" s="239"/>
      <c r="KE32" s="239"/>
      <c r="KF32" s="239"/>
      <c r="KG32" s="239"/>
      <c r="KH32" s="239"/>
      <c r="KI32" s="239"/>
      <c r="KJ32" s="239"/>
      <c r="KK32" s="239"/>
      <c r="KL32" s="239"/>
      <c r="KM32" s="239"/>
      <c r="KN32" s="239"/>
      <c r="KO32" s="239"/>
      <c r="KP32" s="239"/>
      <c r="KQ32" s="239"/>
      <c r="KR32" s="239"/>
      <c r="KS32" s="239"/>
      <c r="KT32" s="239"/>
      <c r="KU32" s="239"/>
      <c r="KV32" s="239"/>
      <c r="KW32" s="239"/>
      <c r="KX32" s="239"/>
      <c r="KY32" s="239"/>
      <c r="KZ32" s="239"/>
      <c r="LA32" s="239"/>
      <c r="LB32" s="239"/>
      <c r="LC32" s="239"/>
      <c r="LD32" s="239"/>
      <c r="LE32" s="239"/>
      <c r="LF32" s="239"/>
      <c r="LG32" s="239"/>
      <c r="LH32" s="239"/>
      <c r="LI32" s="239"/>
      <c r="LJ32" s="239"/>
      <c r="LK32" s="239"/>
      <c r="LL32" s="239"/>
      <c r="LM32" s="239"/>
      <c r="LN32" s="239"/>
      <c r="LO32" s="239"/>
      <c r="LP32" s="239"/>
      <c r="LQ32" s="239"/>
      <c r="LR32" s="239"/>
      <c r="LS32" s="239"/>
      <c r="LT32" s="239"/>
      <c r="LU32" s="239"/>
      <c r="LV32" s="239"/>
      <c r="LW32" s="239"/>
      <c r="LX32" s="239"/>
      <c r="LY32" s="239"/>
      <c r="LZ32" s="239"/>
      <c r="MA32" s="239"/>
      <c r="MB32" s="239"/>
      <c r="MC32" s="239"/>
      <c r="MD32" s="239"/>
      <c r="ME32" s="239"/>
      <c r="MF32" s="239"/>
      <c r="MG32" s="239"/>
      <c r="MH32" s="239"/>
      <c r="MI32" s="239"/>
      <c r="MJ32" s="239"/>
      <c r="MK32" s="239"/>
      <c r="ML32" s="239"/>
      <c r="MM32" s="239"/>
      <c r="MN32" s="239"/>
      <c r="MO32" s="239"/>
      <c r="MP32" s="239"/>
      <c r="MQ32" s="239"/>
      <c r="MR32" s="239"/>
      <c r="MS32" s="239"/>
      <c r="MT32" s="239"/>
      <c r="MU32" s="239"/>
      <c r="MV32" s="239"/>
      <c r="MW32" s="239"/>
      <c r="MX32" s="239"/>
      <c r="MY32" s="239"/>
      <c r="MZ32" s="239"/>
      <c r="NA32" s="239"/>
      <c r="NB32" s="239"/>
      <c r="NC32" s="239"/>
      <c r="ND32" s="239"/>
      <c r="NE32" s="239"/>
      <c r="NF32" s="239"/>
      <c r="NG32" s="239"/>
      <c r="NH32" s="239"/>
      <c r="NI32" s="239"/>
      <c r="NJ32" s="239"/>
      <c r="NK32" s="239"/>
      <c r="NL32" s="239"/>
      <c r="NM32" s="239"/>
      <c r="NN32" s="239"/>
      <c r="NO32" s="239"/>
      <c r="NP32" s="239"/>
      <c r="NQ32" s="239"/>
      <c r="NR32" s="239"/>
      <c r="NS32" s="239"/>
      <c r="NT32" s="239"/>
      <c r="NU32" s="239"/>
      <c r="NV32" s="239"/>
      <c r="NW32" s="239"/>
      <c r="NX32" s="239"/>
      <c r="NY32" s="239"/>
      <c r="NZ32" s="239"/>
      <c r="OA32" s="239"/>
      <c r="OB32" s="239"/>
      <c r="OC32" s="239"/>
      <c r="OD32" s="239"/>
      <c r="OE32" s="239"/>
      <c r="OF32" s="239"/>
      <c r="OG32" s="239"/>
      <c r="OH32" s="239"/>
      <c r="OI32" s="239"/>
      <c r="OJ32" s="239"/>
      <c r="OK32" s="239"/>
      <c r="OL32" s="239"/>
      <c r="OM32" s="239"/>
      <c r="ON32" s="239"/>
      <c r="OO32" s="239"/>
      <c r="OP32" s="239"/>
      <c r="OQ32" s="239"/>
      <c r="OR32" s="239"/>
      <c r="OS32" s="239"/>
      <c r="OT32" s="239"/>
      <c r="OU32" s="239"/>
      <c r="OV32" s="239"/>
      <c r="OW32" s="239"/>
      <c r="OX32" s="239"/>
      <c r="OY32" s="239"/>
      <c r="OZ32" s="239"/>
      <c r="PA32" s="239"/>
      <c r="PB32" s="239"/>
      <c r="PC32" s="239"/>
      <c r="PD32" s="239"/>
      <c r="PE32" s="239"/>
      <c r="PF32" s="239"/>
      <c r="PG32" s="239"/>
      <c r="PH32" s="239"/>
      <c r="PI32" s="239"/>
      <c r="PJ32" s="239"/>
      <c r="PK32" s="239"/>
      <c r="PL32" s="239"/>
      <c r="PM32" s="239"/>
      <c r="PN32" s="239"/>
      <c r="PO32" s="239"/>
      <c r="PP32" s="239"/>
      <c r="PQ32" s="239"/>
      <c r="PR32" s="239"/>
      <c r="PS32" s="239"/>
      <c r="PT32" s="239"/>
      <c r="PU32" s="239"/>
      <c r="PV32" s="239"/>
      <c r="PW32" s="239"/>
      <c r="PX32" s="239"/>
      <c r="PY32" s="239"/>
      <c r="PZ32" s="239"/>
      <c r="QA32" s="239"/>
      <c r="QB32" s="239"/>
      <c r="QC32" s="239"/>
      <c r="QD32" s="239"/>
      <c r="QE32" s="239"/>
      <c r="QF32" s="239"/>
      <c r="QG32" s="239"/>
      <c r="QH32" s="239"/>
      <c r="QI32" s="239"/>
      <c r="QJ32" s="239"/>
      <c r="QK32" s="239"/>
      <c r="QL32" s="239"/>
      <c r="QM32" s="239"/>
      <c r="QN32" s="239"/>
      <c r="QO32" s="239"/>
      <c r="QP32" s="239"/>
      <c r="QQ32" s="239"/>
      <c r="QR32" s="239"/>
      <c r="QS32" s="239"/>
      <c r="QT32" s="239"/>
      <c r="QU32" s="239"/>
      <c r="QV32" s="239"/>
      <c r="QW32" s="239"/>
      <c r="QX32" s="239"/>
      <c r="QY32" s="239"/>
      <c r="QZ32" s="239"/>
      <c r="RA32" s="239"/>
      <c r="RB32" s="239"/>
      <c r="RC32" s="239"/>
      <c r="RD32" s="239"/>
      <c r="RE32" s="239"/>
      <c r="RF32" s="239"/>
      <c r="RG32" s="239"/>
      <c r="RH32" s="239"/>
      <c r="RI32" s="239"/>
      <c r="RJ32" s="239"/>
      <c r="RK32" s="239"/>
      <c r="RL32" s="239"/>
      <c r="RM32" s="239"/>
      <c r="RN32" s="239"/>
      <c r="RO32" s="239"/>
      <c r="RP32" s="239"/>
      <c r="RQ32" s="239"/>
      <c r="RR32" s="239"/>
      <c r="RS32" s="239"/>
      <c r="RT32" s="239"/>
      <c r="RU32" s="239"/>
      <c r="RV32" s="239"/>
      <c r="RW32" s="239"/>
      <c r="RX32" s="239"/>
      <c r="RY32" s="239"/>
      <c r="RZ32" s="239"/>
      <c r="SA32" s="239"/>
      <c r="SB32" s="239"/>
      <c r="SC32" s="239"/>
      <c r="SD32" s="239"/>
      <c r="SE32" s="239"/>
      <c r="SF32" s="239"/>
      <c r="SG32" s="239"/>
      <c r="SH32" s="239"/>
      <c r="SI32" s="239"/>
      <c r="SJ32" s="239"/>
      <c r="SK32" s="239"/>
      <c r="SL32" s="239"/>
      <c r="SM32" s="239"/>
      <c r="SN32" s="239"/>
      <c r="SO32" s="239"/>
      <c r="SP32" s="239"/>
      <c r="SQ32" s="239"/>
      <c r="SR32" s="239"/>
      <c r="SS32" s="239"/>
      <c r="ST32" s="239"/>
      <c r="SU32" s="239"/>
      <c r="SV32" s="239"/>
      <c r="SW32" s="239"/>
      <c r="SX32" s="239"/>
      <c r="SY32" s="239"/>
      <c r="SZ32" s="239"/>
      <c r="TA32" s="239"/>
      <c r="TB32" s="239"/>
      <c r="TC32" s="239"/>
      <c r="TD32" s="239"/>
      <c r="TE32" s="239"/>
      <c r="TF32" s="239"/>
      <c r="TG32" s="239"/>
      <c r="TH32" s="239"/>
      <c r="TI32" s="239"/>
      <c r="TJ32" s="239"/>
      <c r="TK32" s="239"/>
      <c r="TL32" s="239"/>
      <c r="TM32" s="239"/>
      <c r="TN32" s="239"/>
      <c r="TO32" s="239"/>
      <c r="TP32" s="239"/>
      <c r="TQ32" s="239"/>
      <c r="TR32" s="239"/>
      <c r="TS32" s="239"/>
      <c r="TT32" s="239"/>
      <c r="TU32" s="239"/>
      <c r="TV32" s="239"/>
      <c r="TW32" s="239"/>
      <c r="TX32" s="239"/>
      <c r="TY32" s="239"/>
      <c r="TZ32" s="239"/>
      <c r="UA32" s="239"/>
      <c r="UB32" s="239"/>
      <c r="UC32" s="239"/>
      <c r="UD32" s="239"/>
      <c r="UE32" s="239"/>
      <c r="UF32" s="239"/>
      <c r="UG32" s="240"/>
    </row>
    <row r="33" spans="1:553" s="236" customFormat="1" ht="27.75" customHeight="1">
      <c r="A33" s="356" t="s">
        <v>30</v>
      </c>
      <c r="B33" s="366" t="s">
        <v>35</v>
      </c>
      <c r="C33" s="1404" t="s">
        <v>100</v>
      </c>
      <c r="D33" s="1389"/>
      <c r="E33" s="1389"/>
      <c r="F33" s="1390"/>
      <c r="G33" s="386" t="s">
        <v>935</v>
      </c>
      <c r="H33" s="370"/>
      <c r="I33" s="422">
        <f>(6*0.5)*8*2</f>
        <v>48</v>
      </c>
      <c r="J33" s="368">
        <v>39000</v>
      </c>
      <c r="K33" s="371"/>
      <c r="L33" s="391">
        <f t="shared" ref="L33:L34" si="8">I33*J33</f>
        <v>1872000</v>
      </c>
      <c r="M33" s="391"/>
      <c r="N33" s="391"/>
      <c r="O33" s="391"/>
      <c r="P33" s="391"/>
      <c r="Q33" s="1444"/>
      <c r="R33" s="1226"/>
      <c r="S33" s="1047"/>
      <c r="T33" s="303"/>
      <c r="U33" s="306"/>
      <c r="V33" s="307"/>
      <c r="W33" s="306"/>
      <c r="X33" s="306"/>
      <c r="Y33" s="306"/>
      <c r="Z33" s="306"/>
      <c r="AA33" s="306"/>
      <c r="AB33" s="306"/>
      <c r="AC33" s="449"/>
      <c r="AD33" s="449"/>
      <c r="AE33" s="449"/>
      <c r="AF33" s="449"/>
      <c r="AG33" s="449"/>
      <c r="AH33" s="449"/>
      <c r="AI33" s="449"/>
      <c r="AJ33" s="449"/>
      <c r="AK33" s="452"/>
      <c r="AL33" s="242"/>
      <c r="AM33" s="241"/>
      <c r="AN33" s="241"/>
      <c r="AO33" s="241"/>
      <c r="AP33" s="241"/>
      <c r="AQ33" s="241"/>
      <c r="AR33" s="241"/>
      <c r="AS33" s="238"/>
      <c r="AT33" s="238"/>
      <c r="AU33" s="238"/>
      <c r="AV33" s="238"/>
      <c r="AW33" s="238"/>
      <c r="AX33" s="238"/>
      <c r="AY33" s="238"/>
      <c r="AZ33" s="238"/>
      <c r="BA33" s="238"/>
      <c r="BB33" s="238"/>
      <c r="BC33" s="238"/>
      <c r="BD33" s="238"/>
      <c r="BE33" s="238"/>
      <c r="BF33" s="238"/>
      <c r="BG33" s="238"/>
      <c r="BH33" s="238"/>
      <c r="BI33" s="238"/>
      <c r="BJ33" s="238"/>
      <c r="BK33" s="238"/>
      <c r="BL33" s="238"/>
      <c r="BM33" s="238"/>
      <c r="BN33" s="238"/>
      <c r="BO33" s="238"/>
      <c r="BP33" s="238"/>
      <c r="BQ33" s="238"/>
      <c r="BR33" s="238"/>
      <c r="BS33" s="238"/>
      <c r="BT33" s="238"/>
      <c r="BU33" s="238"/>
      <c r="BV33" s="238"/>
      <c r="BW33" s="238"/>
      <c r="BX33" s="238"/>
      <c r="BY33" s="238"/>
      <c r="BZ33" s="238"/>
      <c r="CA33" s="238"/>
      <c r="CB33" s="238"/>
      <c r="CC33" s="238"/>
      <c r="CD33" s="238"/>
      <c r="CE33" s="238"/>
      <c r="CF33" s="238"/>
      <c r="CG33" s="238"/>
      <c r="CH33" s="238"/>
      <c r="CI33" s="238"/>
      <c r="CJ33" s="238"/>
      <c r="CK33" s="238"/>
      <c r="CL33" s="238"/>
      <c r="CM33" s="238"/>
      <c r="CN33" s="238"/>
      <c r="CO33" s="238"/>
      <c r="CP33" s="238"/>
      <c r="CQ33" s="238"/>
      <c r="CR33" s="238"/>
      <c r="CS33" s="238"/>
      <c r="CT33" s="238"/>
      <c r="CU33" s="238"/>
      <c r="CV33" s="238"/>
      <c r="CW33" s="238"/>
      <c r="CX33" s="238"/>
      <c r="CY33" s="238"/>
      <c r="CZ33" s="238"/>
      <c r="DA33" s="238"/>
      <c r="DB33" s="238"/>
      <c r="DC33" s="238"/>
      <c r="DD33" s="238"/>
      <c r="DE33" s="238"/>
      <c r="DF33" s="238"/>
      <c r="DG33" s="238"/>
      <c r="DH33" s="238"/>
      <c r="DI33" s="238"/>
      <c r="DJ33" s="238"/>
      <c r="DK33" s="238"/>
      <c r="DL33" s="238"/>
      <c r="DM33" s="238"/>
      <c r="DN33" s="238"/>
      <c r="DO33" s="238"/>
      <c r="DP33" s="238"/>
      <c r="DQ33" s="238"/>
      <c r="DR33" s="238"/>
      <c r="DS33" s="238"/>
      <c r="DT33" s="238"/>
      <c r="DU33" s="238"/>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38"/>
      <c r="FI33" s="238"/>
      <c r="FJ33" s="238"/>
      <c r="FK33" s="238"/>
      <c r="FL33" s="238"/>
      <c r="FM33" s="238"/>
      <c r="FN33" s="238"/>
      <c r="FO33" s="238"/>
      <c r="FP33" s="238"/>
      <c r="FQ33" s="238"/>
      <c r="FR33" s="238"/>
      <c r="FS33" s="238"/>
      <c r="FT33" s="238"/>
      <c r="FU33" s="238"/>
      <c r="FV33" s="238"/>
      <c r="FW33" s="238"/>
      <c r="FX33" s="238"/>
      <c r="FY33" s="238"/>
      <c r="FZ33" s="238"/>
      <c r="GA33" s="238"/>
      <c r="GB33" s="238"/>
      <c r="GC33" s="238"/>
      <c r="GD33" s="238"/>
      <c r="GE33" s="238"/>
      <c r="GF33" s="238"/>
      <c r="GG33" s="238"/>
      <c r="GH33" s="238"/>
      <c r="GI33" s="238"/>
      <c r="GJ33" s="238"/>
      <c r="GK33" s="238"/>
      <c r="GL33" s="238"/>
      <c r="GM33" s="238"/>
      <c r="GN33" s="238"/>
      <c r="GO33" s="238"/>
      <c r="GP33" s="238"/>
      <c r="GQ33" s="238"/>
      <c r="GR33" s="238"/>
      <c r="GS33" s="238"/>
      <c r="GT33" s="238"/>
      <c r="GU33" s="238"/>
      <c r="GV33" s="238"/>
      <c r="GW33" s="238"/>
      <c r="GX33" s="238"/>
      <c r="GY33" s="238"/>
      <c r="GZ33" s="238"/>
      <c r="HA33" s="238"/>
      <c r="HB33" s="238"/>
      <c r="HC33" s="238"/>
      <c r="HD33" s="238"/>
      <c r="HE33" s="238"/>
      <c r="HF33" s="238"/>
      <c r="HG33" s="238"/>
      <c r="HH33" s="238"/>
      <c r="HI33" s="238"/>
      <c r="HJ33" s="238"/>
      <c r="HK33" s="238"/>
      <c r="HL33" s="238"/>
      <c r="HM33" s="238"/>
      <c r="HN33" s="238"/>
      <c r="HO33" s="238"/>
      <c r="HP33" s="238"/>
      <c r="HQ33" s="238"/>
      <c r="HR33" s="238"/>
      <c r="HS33" s="238"/>
      <c r="HT33" s="238"/>
      <c r="HU33" s="238"/>
      <c r="HV33" s="238"/>
      <c r="HW33" s="238"/>
      <c r="HX33" s="238"/>
      <c r="HY33" s="238"/>
      <c r="HZ33" s="238"/>
      <c r="IA33" s="238"/>
      <c r="IB33" s="238"/>
      <c r="IC33" s="238"/>
      <c r="ID33" s="238"/>
      <c r="IE33" s="238"/>
      <c r="IF33" s="238"/>
      <c r="IG33" s="238"/>
      <c r="IH33" s="238"/>
      <c r="II33" s="238"/>
      <c r="IJ33" s="238"/>
      <c r="IK33" s="238"/>
      <c r="IL33" s="238"/>
      <c r="IM33" s="238"/>
      <c r="IN33" s="238"/>
      <c r="IO33" s="238"/>
      <c r="IP33" s="238"/>
      <c r="IQ33" s="238"/>
      <c r="IR33" s="238"/>
      <c r="IS33" s="238"/>
      <c r="IT33" s="238"/>
      <c r="IU33" s="238"/>
      <c r="IV33" s="238"/>
      <c r="IW33" s="238"/>
      <c r="IX33" s="238"/>
      <c r="IY33" s="238"/>
      <c r="IZ33" s="238"/>
      <c r="JA33" s="238"/>
      <c r="JB33" s="238"/>
      <c r="JC33" s="238"/>
      <c r="JD33" s="238"/>
      <c r="JE33" s="238"/>
      <c r="JF33" s="238"/>
      <c r="JG33" s="238"/>
      <c r="JH33" s="238"/>
      <c r="JI33" s="238"/>
      <c r="JJ33" s="238"/>
      <c r="JK33" s="238"/>
      <c r="JL33" s="238"/>
      <c r="JM33" s="238"/>
      <c r="JN33" s="238"/>
      <c r="JO33" s="238"/>
      <c r="JP33" s="238"/>
      <c r="JQ33" s="238"/>
      <c r="JR33" s="238"/>
      <c r="JS33" s="238"/>
      <c r="JT33" s="238"/>
      <c r="JU33" s="238"/>
      <c r="JV33" s="238"/>
      <c r="JW33" s="238"/>
      <c r="JX33" s="238"/>
      <c r="JY33" s="238"/>
      <c r="JZ33" s="238"/>
      <c r="KA33" s="238"/>
      <c r="KB33" s="238"/>
      <c r="KC33" s="238"/>
      <c r="KD33" s="238"/>
      <c r="KE33" s="238"/>
      <c r="KF33" s="238"/>
      <c r="KG33" s="238"/>
      <c r="KH33" s="238"/>
      <c r="KI33" s="238"/>
      <c r="KJ33" s="238"/>
      <c r="KK33" s="238"/>
      <c r="KL33" s="238"/>
      <c r="KM33" s="238"/>
      <c r="KN33" s="238"/>
      <c r="KO33" s="238"/>
      <c r="KP33" s="238"/>
      <c r="KQ33" s="238"/>
      <c r="KR33" s="238"/>
      <c r="KS33" s="238"/>
      <c r="KT33" s="238"/>
      <c r="KU33" s="238"/>
      <c r="KV33" s="238"/>
      <c r="KW33" s="238"/>
      <c r="KX33" s="238"/>
      <c r="KY33" s="238"/>
      <c r="KZ33" s="238"/>
      <c r="LA33" s="238"/>
      <c r="LB33" s="238"/>
      <c r="LC33" s="238"/>
      <c r="LD33" s="238"/>
      <c r="LE33" s="238"/>
      <c r="LF33" s="238"/>
      <c r="LG33" s="238"/>
      <c r="LH33" s="238"/>
      <c r="LI33" s="238"/>
      <c r="LJ33" s="238"/>
      <c r="LK33" s="238"/>
      <c r="LL33" s="238"/>
      <c r="LM33" s="238"/>
      <c r="LN33" s="238"/>
      <c r="LO33" s="238"/>
      <c r="LP33" s="238"/>
      <c r="LQ33" s="238"/>
      <c r="LR33" s="238"/>
      <c r="LS33" s="238"/>
      <c r="LT33" s="238"/>
      <c r="LU33" s="238"/>
      <c r="LV33" s="238"/>
      <c r="LW33" s="238"/>
      <c r="LX33" s="238"/>
      <c r="LY33" s="238"/>
      <c r="LZ33" s="238"/>
      <c r="MA33" s="238"/>
      <c r="MB33" s="238"/>
      <c r="MC33" s="238"/>
      <c r="MD33" s="238"/>
      <c r="ME33" s="238"/>
      <c r="MF33" s="238"/>
      <c r="MG33" s="238"/>
      <c r="MH33" s="238"/>
      <c r="MI33" s="238"/>
      <c r="MJ33" s="238"/>
      <c r="MK33" s="238"/>
      <c r="ML33" s="238"/>
      <c r="MM33" s="238"/>
      <c r="MN33" s="238"/>
      <c r="MO33" s="238"/>
      <c r="MP33" s="238"/>
      <c r="MQ33" s="238"/>
      <c r="MR33" s="238"/>
      <c r="MS33" s="238"/>
      <c r="MT33" s="238"/>
      <c r="MU33" s="238"/>
      <c r="MV33" s="238"/>
      <c r="MW33" s="238"/>
      <c r="MX33" s="238"/>
      <c r="MY33" s="238"/>
      <c r="MZ33" s="238"/>
      <c r="NA33" s="238"/>
      <c r="NB33" s="238"/>
      <c r="NC33" s="238"/>
      <c r="ND33" s="238"/>
      <c r="NE33" s="238"/>
      <c r="NF33" s="238"/>
      <c r="NG33" s="238"/>
      <c r="NH33" s="238"/>
      <c r="NI33" s="238"/>
      <c r="NJ33" s="238"/>
      <c r="NK33" s="238"/>
      <c r="NL33" s="238"/>
      <c r="NM33" s="238"/>
      <c r="NN33" s="238"/>
      <c r="NO33" s="238"/>
      <c r="NP33" s="238"/>
      <c r="NQ33" s="238"/>
      <c r="NR33" s="238"/>
      <c r="NS33" s="238"/>
      <c r="NT33" s="238"/>
      <c r="NU33" s="238"/>
      <c r="NV33" s="238"/>
      <c r="NW33" s="238"/>
      <c r="NX33" s="238"/>
      <c r="NY33" s="238"/>
      <c r="NZ33" s="238"/>
      <c r="OA33" s="238"/>
      <c r="OB33" s="238"/>
      <c r="OC33" s="238"/>
      <c r="OD33" s="238"/>
      <c r="OE33" s="238"/>
      <c r="OF33" s="238"/>
      <c r="OG33" s="238"/>
      <c r="OH33" s="238"/>
      <c r="OI33" s="238"/>
      <c r="OJ33" s="238"/>
      <c r="OK33" s="238"/>
      <c r="OL33" s="238"/>
      <c r="OM33" s="238"/>
      <c r="ON33" s="238"/>
      <c r="OO33" s="238"/>
      <c r="OP33" s="238"/>
      <c r="OQ33" s="238"/>
      <c r="OR33" s="238"/>
      <c r="OS33" s="238"/>
      <c r="OT33" s="238"/>
      <c r="OU33" s="238"/>
      <c r="OV33" s="238"/>
      <c r="OW33" s="238"/>
      <c r="OX33" s="238"/>
      <c r="OY33" s="238"/>
      <c r="OZ33" s="238"/>
      <c r="PA33" s="238"/>
      <c r="PB33" s="238"/>
      <c r="PC33" s="238"/>
      <c r="PD33" s="238"/>
      <c r="PE33" s="238"/>
      <c r="PF33" s="238"/>
      <c r="PG33" s="238"/>
      <c r="PH33" s="238"/>
      <c r="PI33" s="238"/>
      <c r="PJ33" s="238"/>
      <c r="PK33" s="238"/>
      <c r="PL33" s="238"/>
      <c r="PM33" s="238"/>
      <c r="PN33" s="238"/>
      <c r="PO33" s="238"/>
      <c r="PP33" s="238"/>
      <c r="PQ33" s="238"/>
      <c r="PR33" s="238"/>
      <c r="PS33" s="238"/>
      <c r="PT33" s="238"/>
      <c r="PU33" s="238"/>
      <c r="PV33" s="238"/>
      <c r="PW33" s="238"/>
      <c r="PX33" s="238"/>
      <c r="PY33" s="238"/>
      <c r="PZ33" s="238"/>
      <c r="QA33" s="238"/>
      <c r="QB33" s="238"/>
      <c r="QC33" s="238"/>
      <c r="QD33" s="238"/>
      <c r="QE33" s="238"/>
      <c r="QF33" s="238"/>
      <c r="QG33" s="238"/>
      <c r="QH33" s="238"/>
      <c r="QI33" s="238"/>
      <c r="QJ33" s="238"/>
      <c r="QK33" s="238"/>
      <c r="QL33" s="238"/>
      <c r="QM33" s="238"/>
      <c r="QN33" s="238"/>
      <c r="QO33" s="238"/>
      <c r="QP33" s="238"/>
      <c r="QQ33" s="238"/>
      <c r="QR33" s="238"/>
      <c r="QS33" s="238"/>
      <c r="QT33" s="238"/>
      <c r="QU33" s="238"/>
      <c r="QV33" s="238"/>
      <c r="QW33" s="238"/>
      <c r="QX33" s="238"/>
      <c r="QY33" s="238"/>
      <c r="QZ33" s="238"/>
      <c r="RA33" s="238"/>
      <c r="RB33" s="238"/>
      <c r="RC33" s="238"/>
      <c r="RD33" s="238"/>
      <c r="RE33" s="238"/>
      <c r="RF33" s="238"/>
      <c r="RG33" s="238"/>
      <c r="RH33" s="238"/>
      <c r="RI33" s="238"/>
      <c r="RJ33" s="238"/>
      <c r="RK33" s="238"/>
      <c r="RL33" s="238"/>
      <c r="RM33" s="238"/>
      <c r="RN33" s="238"/>
      <c r="RO33" s="238"/>
      <c r="RP33" s="238"/>
      <c r="RQ33" s="238"/>
      <c r="RR33" s="238"/>
      <c r="RS33" s="238"/>
      <c r="RT33" s="238"/>
      <c r="RU33" s="238"/>
      <c r="RV33" s="238"/>
      <c r="RW33" s="238"/>
      <c r="RX33" s="238"/>
      <c r="RY33" s="238"/>
      <c r="RZ33" s="238"/>
      <c r="SA33" s="238"/>
      <c r="SB33" s="238"/>
      <c r="SC33" s="238"/>
      <c r="SD33" s="238"/>
      <c r="SE33" s="238"/>
      <c r="SF33" s="238"/>
      <c r="SG33" s="238"/>
      <c r="SH33" s="238"/>
      <c r="SI33" s="238"/>
      <c r="SJ33" s="238"/>
      <c r="SK33" s="238"/>
      <c r="SL33" s="238"/>
      <c r="SM33" s="238"/>
      <c r="SN33" s="238"/>
      <c r="SO33" s="238"/>
      <c r="SP33" s="238"/>
      <c r="SQ33" s="238"/>
      <c r="SR33" s="238"/>
      <c r="SS33" s="238"/>
      <c r="ST33" s="238"/>
      <c r="SU33" s="238"/>
      <c r="SV33" s="238"/>
      <c r="SW33" s="238"/>
      <c r="SX33" s="238"/>
      <c r="SY33" s="238"/>
      <c r="SZ33" s="238"/>
      <c r="TA33" s="238"/>
      <c r="TB33" s="238"/>
      <c r="TC33" s="238"/>
      <c r="TD33" s="238"/>
      <c r="TE33" s="238"/>
      <c r="TF33" s="238"/>
      <c r="TG33" s="238"/>
      <c r="TH33" s="238"/>
      <c r="TI33" s="238"/>
      <c r="TJ33" s="238"/>
      <c r="TK33" s="238"/>
      <c r="TL33" s="238"/>
      <c r="TM33" s="238"/>
      <c r="TN33" s="238"/>
      <c r="TO33" s="238"/>
      <c r="TP33" s="238"/>
      <c r="TQ33" s="238"/>
      <c r="TR33" s="238"/>
      <c r="TS33" s="238"/>
      <c r="TT33" s="238"/>
      <c r="TU33" s="238"/>
      <c r="TV33" s="238"/>
      <c r="TW33" s="238"/>
      <c r="TX33" s="238"/>
      <c r="TY33" s="238"/>
      <c r="TZ33" s="238"/>
      <c r="UA33" s="238"/>
      <c r="UB33" s="238"/>
      <c r="UC33" s="238"/>
      <c r="UD33" s="238"/>
      <c r="UE33" s="238"/>
      <c r="UF33" s="238"/>
      <c r="UG33" s="248"/>
    </row>
    <row r="34" spans="1:553" s="236" customFormat="1" ht="27.75" customHeight="1">
      <c r="A34" s="356" t="s">
        <v>30</v>
      </c>
      <c r="B34" s="366" t="s">
        <v>35</v>
      </c>
      <c r="C34" s="1404" t="s">
        <v>101</v>
      </c>
      <c r="D34" s="1389"/>
      <c r="E34" s="1389"/>
      <c r="F34" s="1390"/>
      <c r="G34" s="386" t="s">
        <v>935</v>
      </c>
      <c r="H34" s="370"/>
      <c r="I34" s="422">
        <f>(0.42*4)*8</f>
        <v>13.44</v>
      </c>
      <c r="J34" s="368">
        <v>39000</v>
      </c>
      <c r="K34" s="371"/>
      <c r="L34" s="391">
        <f t="shared" si="8"/>
        <v>524160</v>
      </c>
      <c r="M34" s="391"/>
      <c r="N34" s="391"/>
      <c r="O34" s="391"/>
      <c r="P34" s="391"/>
      <c r="Q34" s="1445"/>
      <c r="R34" s="1226"/>
      <c r="S34" s="1047"/>
      <c r="T34" s="303"/>
      <c r="U34" s="306"/>
      <c r="V34" s="307"/>
      <c r="W34" s="306"/>
      <c r="X34" s="306"/>
      <c r="Y34" s="306"/>
      <c r="Z34" s="306"/>
      <c r="AA34" s="306"/>
      <c r="AB34" s="306"/>
      <c r="AC34" s="449"/>
      <c r="AD34" s="449"/>
      <c r="AE34" s="449"/>
      <c r="AF34" s="449"/>
      <c r="AG34" s="449"/>
      <c r="AH34" s="449"/>
      <c r="AI34" s="449"/>
      <c r="AJ34" s="449"/>
      <c r="AK34" s="452"/>
      <c r="AL34" s="242"/>
      <c r="AM34" s="241"/>
      <c r="AN34" s="241"/>
      <c r="AO34" s="241"/>
      <c r="AP34" s="241"/>
      <c r="AQ34" s="241"/>
      <c r="AR34" s="241"/>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c r="IX34" s="238"/>
      <c r="IY34" s="238"/>
      <c r="IZ34" s="238"/>
      <c r="JA34" s="238"/>
      <c r="JB34" s="238"/>
      <c r="JC34" s="238"/>
      <c r="JD34" s="238"/>
      <c r="JE34" s="238"/>
      <c r="JF34" s="238"/>
      <c r="JG34" s="238"/>
      <c r="JH34" s="238"/>
      <c r="JI34" s="238"/>
      <c r="JJ34" s="238"/>
      <c r="JK34" s="238"/>
      <c r="JL34" s="238"/>
      <c r="JM34" s="238"/>
      <c r="JN34" s="238"/>
      <c r="JO34" s="238"/>
      <c r="JP34" s="238"/>
      <c r="JQ34" s="238"/>
      <c r="JR34" s="238"/>
      <c r="JS34" s="238"/>
      <c r="JT34" s="238"/>
      <c r="JU34" s="238"/>
      <c r="JV34" s="238"/>
      <c r="JW34" s="238"/>
      <c r="JX34" s="238"/>
      <c r="JY34" s="238"/>
      <c r="JZ34" s="238"/>
      <c r="KA34" s="238"/>
      <c r="KB34" s="238"/>
      <c r="KC34" s="238"/>
      <c r="KD34" s="238"/>
      <c r="KE34" s="238"/>
      <c r="KF34" s="238"/>
      <c r="KG34" s="238"/>
      <c r="KH34" s="238"/>
      <c r="KI34" s="238"/>
      <c r="KJ34" s="238"/>
      <c r="KK34" s="238"/>
      <c r="KL34" s="238"/>
      <c r="KM34" s="238"/>
      <c r="KN34" s="238"/>
      <c r="KO34" s="238"/>
      <c r="KP34" s="238"/>
      <c r="KQ34" s="238"/>
      <c r="KR34" s="238"/>
      <c r="KS34" s="238"/>
      <c r="KT34" s="238"/>
      <c r="KU34" s="238"/>
      <c r="KV34" s="238"/>
      <c r="KW34" s="238"/>
      <c r="KX34" s="238"/>
      <c r="KY34" s="238"/>
      <c r="KZ34" s="238"/>
      <c r="LA34" s="238"/>
      <c r="LB34" s="238"/>
      <c r="LC34" s="238"/>
      <c r="LD34" s="238"/>
      <c r="LE34" s="238"/>
      <c r="LF34" s="238"/>
      <c r="LG34" s="238"/>
      <c r="LH34" s="238"/>
      <c r="LI34" s="238"/>
      <c r="LJ34" s="238"/>
      <c r="LK34" s="238"/>
      <c r="LL34" s="238"/>
      <c r="LM34" s="238"/>
      <c r="LN34" s="238"/>
      <c r="LO34" s="238"/>
      <c r="LP34" s="238"/>
      <c r="LQ34" s="238"/>
      <c r="LR34" s="238"/>
      <c r="LS34" s="238"/>
      <c r="LT34" s="238"/>
      <c r="LU34" s="238"/>
      <c r="LV34" s="238"/>
      <c r="LW34" s="238"/>
      <c r="LX34" s="238"/>
      <c r="LY34" s="238"/>
      <c r="LZ34" s="238"/>
      <c r="MA34" s="238"/>
      <c r="MB34" s="238"/>
      <c r="MC34" s="238"/>
      <c r="MD34" s="238"/>
      <c r="ME34" s="238"/>
      <c r="MF34" s="238"/>
      <c r="MG34" s="238"/>
      <c r="MH34" s="238"/>
      <c r="MI34" s="238"/>
      <c r="MJ34" s="238"/>
      <c r="MK34" s="238"/>
      <c r="ML34" s="238"/>
      <c r="MM34" s="238"/>
      <c r="MN34" s="238"/>
      <c r="MO34" s="238"/>
      <c r="MP34" s="238"/>
      <c r="MQ34" s="238"/>
      <c r="MR34" s="238"/>
      <c r="MS34" s="238"/>
      <c r="MT34" s="238"/>
      <c r="MU34" s="238"/>
      <c r="MV34" s="238"/>
      <c r="MW34" s="238"/>
      <c r="MX34" s="238"/>
      <c r="MY34" s="238"/>
      <c r="MZ34" s="238"/>
      <c r="NA34" s="238"/>
      <c r="NB34" s="238"/>
      <c r="NC34" s="238"/>
      <c r="ND34" s="238"/>
      <c r="NE34" s="238"/>
      <c r="NF34" s="238"/>
      <c r="NG34" s="238"/>
      <c r="NH34" s="238"/>
      <c r="NI34" s="238"/>
      <c r="NJ34" s="238"/>
      <c r="NK34" s="238"/>
      <c r="NL34" s="238"/>
      <c r="NM34" s="238"/>
      <c r="NN34" s="238"/>
      <c r="NO34" s="238"/>
      <c r="NP34" s="238"/>
      <c r="NQ34" s="238"/>
      <c r="NR34" s="238"/>
      <c r="NS34" s="238"/>
      <c r="NT34" s="238"/>
      <c r="NU34" s="238"/>
      <c r="NV34" s="238"/>
      <c r="NW34" s="238"/>
      <c r="NX34" s="238"/>
      <c r="NY34" s="238"/>
      <c r="NZ34" s="238"/>
      <c r="OA34" s="238"/>
      <c r="OB34" s="238"/>
      <c r="OC34" s="238"/>
      <c r="OD34" s="238"/>
      <c r="OE34" s="238"/>
      <c r="OF34" s="238"/>
      <c r="OG34" s="238"/>
      <c r="OH34" s="238"/>
      <c r="OI34" s="238"/>
      <c r="OJ34" s="238"/>
      <c r="OK34" s="238"/>
      <c r="OL34" s="238"/>
      <c r="OM34" s="238"/>
      <c r="ON34" s="238"/>
      <c r="OO34" s="238"/>
      <c r="OP34" s="238"/>
      <c r="OQ34" s="238"/>
      <c r="OR34" s="238"/>
      <c r="OS34" s="238"/>
      <c r="OT34" s="238"/>
      <c r="OU34" s="238"/>
      <c r="OV34" s="238"/>
      <c r="OW34" s="238"/>
      <c r="OX34" s="238"/>
      <c r="OY34" s="238"/>
      <c r="OZ34" s="238"/>
      <c r="PA34" s="238"/>
      <c r="PB34" s="238"/>
      <c r="PC34" s="238"/>
      <c r="PD34" s="238"/>
      <c r="PE34" s="238"/>
      <c r="PF34" s="238"/>
      <c r="PG34" s="238"/>
      <c r="PH34" s="238"/>
      <c r="PI34" s="238"/>
      <c r="PJ34" s="238"/>
      <c r="PK34" s="238"/>
      <c r="PL34" s="238"/>
      <c r="PM34" s="238"/>
      <c r="PN34" s="238"/>
      <c r="PO34" s="238"/>
      <c r="PP34" s="238"/>
      <c r="PQ34" s="238"/>
      <c r="PR34" s="238"/>
      <c r="PS34" s="238"/>
      <c r="PT34" s="238"/>
      <c r="PU34" s="238"/>
      <c r="PV34" s="238"/>
      <c r="PW34" s="238"/>
      <c r="PX34" s="238"/>
      <c r="PY34" s="238"/>
      <c r="PZ34" s="238"/>
      <c r="QA34" s="238"/>
      <c r="QB34" s="238"/>
      <c r="QC34" s="238"/>
      <c r="QD34" s="238"/>
      <c r="QE34" s="238"/>
      <c r="QF34" s="238"/>
      <c r="QG34" s="238"/>
      <c r="QH34" s="238"/>
      <c r="QI34" s="238"/>
      <c r="QJ34" s="238"/>
      <c r="QK34" s="238"/>
      <c r="QL34" s="238"/>
      <c r="QM34" s="238"/>
      <c r="QN34" s="238"/>
      <c r="QO34" s="238"/>
      <c r="QP34" s="238"/>
      <c r="QQ34" s="238"/>
      <c r="QR34" s="238"/>
      <c r="QS34" s="238"/>
      <c r="QT34" s="238"/>
      <c r="QU34" s="238"/>
      <c r="QV34" s="238"/>
      <c r="QW34" s="238"/>
      <c r="QX34" s="238"/>
      <c r="QY34" s="238"/>
      <c r="QZ34" s="238"/>
      <c r="RA34" s="238"/>
      <c r="RB34" s="238"/>
      <c r="RC34" s="238"/>
      <c r="RD34" s="238"/>
      <c r="RE34" s="238"/>
      <c r="RF34" s="238"/>
      <c r="RG34" s="238"/>
      <c r="RH34" s="238"/>
      <c r="RI34" s="238"/>
      <c r="RJ34" s="238"/>
      <c r="RK34" s="238"/>
      <c r="RL34" s="238"/>
      <c r="RM34" s="238"/>
      <c r="RN34" s="238"/>
      <c r="RO34" s="238"/>
      <c r="RP34" s="238"/>
      <c r="RQ34" s="238"/>
      <c r="RR34" s="238"/>
      <c r="RS34" s="238"/>
      <c r="RT34" s="238"/>
      <c r="RU34" s="238"/>
      <c r="RV34" s="238"/>
      <c r="RW34" s="238"/>
      <c r="RX34" s="238"/>
      <c r="RY34" s="238"/>
      <c r="RZ34" s="238"/>
      <c r="SA34" s="238"/>
      <c r="SB34" s="238"/>
      <c r="SC34" s="238"/>
      <c r="SD34" s="238"/>
      <c r="SE34" s="238"/>
      <c r="SF34" s="238"/>
      <c r="SG34" s="238"/>
      <c r="SH34" s="238"/>
      <c r="SI34" s="238"/>
      <c r="SJ34" s="238"/>
      <c r="SK34" s="238"/>
      <c r="SL34" s="238"/>
      <c r="SM34" s="238"/>
      <c r="SN34" s="238"/>
      <c r="SO34" s="238"/>
      <c r="SP34" s="238"/>
      <c r="SQ34" s="238"/>
      <c r="SR34" s="238"/>
      <c r="SS34" s="238"/>
      <c r="ST34" s="238"/>
      <c r="SU34" s="238"/>
      <c r="SV34" s="238"/>
      <c r="SW34" s="238"/>
      <c r="SX34" s="238"/>
      <c r="SY34" s="238"/>
      <c r="SZ34" s="238"/>
      <c r="TA34" s="238"/>
      <c r="TB34" s="238"/>
      <c r="TC34" s="238"/>
      <c r="TD34" s="238"/>
      <c r="TE34" s="238"/>
      <c r="TF34" s="238"/>
      <c r="TG34" s="238"/>
      <c r="TH34" s="238"/>
      <c r="TI34" s="238"/>
      <c r="TJ34" s="238"/>
      <c r="TK34" s="238"/>
      <c r="TL34" s="238"/>
      <c r="TM34" s="238"/>
      <c r="TN34" s="238"/>
      <c r="TO34" s="238"/>
      <c r="TP34" s="238"/>
      <c r="TQ34" s="238"/>
      <c r="TR34" s="238"/>
      <c r="TS34" s="238"/>
      <c r="TT34" s="238"/>
      <c r="TU34" s="238"/>
      <c r="TV34" s="238"/>
      <c r="TW34" s="238"/>
      <c r="TX34" s="238"/>
      <c r="TY34" s="238"/>
      <c r="TZ34" s="238"/>
      <c r="UA34" s="238"/>
      <c r="UB34" s="238"/>
      <c r="UC34" s="238"/>
      <c r="UD34" s="238"/>
      <c r="UE34" s="238"/>
      <c r="UF34" s="238"/>
      <c r="UG34" s="248"/>
    </row>
    <row r="35" spans="1:553" s="236" customFormat="1" ht="27.75" customHeight="1">
      <c r="A35" s="356" t="s">
        <v>30</v>
      </c>
      <c r="B35" s="366" t="s">
        <v>35</v>
      </c>
      <c r="C35" s="1404" t="s">
        <v>102</v>
      </c>
      <c r="D35" s="1389"/>
      <c r="E35" s="1389"/>
      <c r="F35" s="1390"/>
      <c r="G35" s="386" t="s">
        <v>935</v>
      </c>
      <c r="H35" s="370"/>
      <c r="I35" s="834">
        <f>(0.48*7.3)*1</f>
        <v>3.504</v>
      </c>
      <c r="J35" s="368">
        <v>39000</v>
      </c>
      <c r="K35" s="371"/>
      <c r="L35" s="391">
        <f>ROUND(PRODUCT(I35:K35),0)</f>
        <v>136656</v>
      </c>
      <c r="M35" s="395"/>
      <c r="N35" s="395"/>
      <c r="O35" s="366"/>
      <c r="P35" s="396"/>
      <c r="Q35" s="473"/>
      <c r="R35" s="1039"/>
      <c r="S35" s="1047"/>
      <c r="T35" s="303"/>
      <c r="U35" s="306"/>
      <c r="V35" s="307"/>
      <c r="W35" s="306"/>
      <c r="X35" s="306"/>
      <c r="Y35" s="306"/>
      <c r="Z35" s="306"/>
      <c r="AA35" s="306"/>
      <c r="AB35" s="306"/>
      <c r="AC35" s="449"/>
      <c r="AD35" s="449"/>
      <c r="AE35" s="449"/>
      <c r="AF35" s="449"/>
      <c r="AG35" s="452"/>
      <c r="AH35" s="452"/>
      <c r="AI35" s="452"/>
      <c r="AJ35" s="452"/>
      <c r="AK35" s="452"/>
      <c r="AL35" s="242"/>
      <c r="AM35" s="241"/>
      <c r="AN35" s="241"/>
      <c r="AO35" s="241"/>
      <c r="AP35" s="241"/>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c r="CR35" s="239"/>
      <c r="CS35" s="239"/>
      <c r="CT35" s="239"/>
      <c r="CU35" s="239"/>
      <c r="CV35" s="239"/>
      <c r="CW35" s="239"/>
      <c r="CX35" s="239"/>
      <c r="CY35" s="239"/>
      <c r="CZ35" s="239"/>
      <c r="DA35" s="239"/>
      <c r="DB35" s="239"/>
      <c r="DC35" s="239"/>
      <c r="DD35" s="239"/>
      <c r="DE35" s="239"/>
      <c r="DF35" s="239"/>
      <c r="DG35" s="239"/>
      <c r="DH35" s="239"/>
      <c r="DI35" s="239"/>
      <c r="DJ35" s="239"/>
      <c r="DK35" s="239"/>
      <c r="DL35" s="239"/>
      <c r="DM35" s="239"/>
      <c r="DN35" s="239"/>
      <c r="DO35" s="239"/>
      <c r="DP35" s="239"/>
      <c r="DQ35" s="239"/>
      <c r="DR35" s="239"/>
      <c r="DS35" s="239"/>
      <c r="DT35" s="239"/>
      <c r="DU35" s="239"/>
      <c r="DV35" s="239"/>
      <c r="DW35" s="239"/>
      <c r="DX35" s="239"/>
      <c r="DY35" s="239"/>
      <c r="DZ35" s="239"/>
      <c r="EA35" s="239"/>
      <c r="EB35" s="239"/>
      <c r="EC35" s="239"/>
      <c r="ED35" s="239"/>
      <c r="EE35" s="239"/>
      <c r="EF35" s="239"/>
      <c r="EG35" s="239"/>
      <c r="EH35" s="239"/>
      <c r="EI35" s="239"/>
      <c r="EJ35" s="239"/>
      <c r="EK35" s="239"/>
      <c r="EL35" s="239"/>
      <c r="EM35" s="239"/>
      <c r="EN35" s="239"/>
      <c r="EO35" s="239"/>
      <c r="EP35" s="239"/>
      <c r="EQ35" s="239"/>
      <c r="ER35" s="239"/>
      <c r="ES35" s="239"/>
      <c r="ET35" s="239"/>
      <c r="EU35" s="239"/>
      <c r="EV35" s="239"/>
      <c r="EW35" s="239"/>
      <c r="EX35" s="239"/>
      <c r="EY35" s="239"/>
      <c r="EZ35" s="239"/>
      <c r="FA35" s="239"/>
      <c r="FB35" s="239"/>
      <c r="FC35" s="239"/>
      <c r="FD35" s="239"/>
      <c r="FE35" s="239"/>
      <c r="FF35" s="239"/>
      <c r="FG35" s="239"/>
      <c r="FH35" s="239"/>
      <c r="FI35" s="239"/>
      <c r="FJ35" s="239"/>
      <c r="FK35" s="239"/>
      <c r="FL35" s="239"/>
      <c r="FM35" s="239"/>
      <c r="FN35" s="239"/>
      <c r="FO35" s="239"/>
      <c r="FP35" s="239"/>
      <c r="FQ35" s="239"/>
      <c r="FR35" s="239"/>
      <c r="FS35" s="239"/>
      <c r="FT35" s="239"/>
      <c r="FU35" s="239"/>
      <c r="FV35" s="239"/>
      <c r="FW35" s="239"/>
      <c r="FX35" s="239"/>
      <c r="FY35" s="239"/>
      <c r="FZ35" s="239"/>
      <c r="GA35" s="239"/>
      <c r="GB35" s="239"/>
      <c r="GC35" s="239"/>
      <c r="GD35" s="239"/>
      <c r="GE35" s="239"/>
      <c r="GF35" s="239"/>
      <c r="GG35" s="239"/>
      <c r="GH35" s="239"/>
      <c r="GI35" s="239"/>
      <c r="GJ35" s="239"/>
      <c r="GK35" s="239"/>
      <c r="GL35" s="239"/>
      <c r="GM35" s="239"/>
      <c r="GN35" s="239"/>
      <c r="GO35" s="239"/>
      <c r="GP35" s="239"/>
      <c r="GQ35" s="239"/>
      <c r="GR35" s="239"/>
      <c r="GS35" s="239"/>
      <c r="GT35" s="239"/>
      <c r="GU35" s="239"/>
      <c r="GV35" s="239"/>
      <c r="GW35" s="239"/>
      <c r="GX35" s="239"/>
      <c r="GY35" s="239"/>
      <c r="GZ35" s="239"/>
      <c r="HA35" s="239"/>
      <c r="HB35" s="239"/>
      <c r="HC35" s="239"/>
      <c r="HD35" s="239"/>
      <c r="HE35" s="239"/>
      <c r="HF35" s="239"/>
      <c r="HG35" s="239"/>
      <c r="HH35" s="239"/>
      <c r="HI35" s="239"/>
      <c r="HJ35" s="239"/>
      <c r="HK35" s="239"/>
      <c r="HL35" s="239"/>
      <c r="HM35" s="239"/>
      <c r="HN35" s="239"/>
      <c r="HO35" s="239"/>
      <c r="HP35" s="239"/>
      <c r="HQ35" s="239"/>
      <c r="HR35" s="239"/>
      <c r="HS35" s="239"/>
      <c r="HT35" s="239"/>
      <c r="HU35" s="239"/>
      <c r="HV35" s="239"/>
      <c r="HW35" s="239"/>
      <c r="HX35" s="239"/>
      <c r="HY35" s="239"/>
      <c r="HZ35" s="239"/>
      <c r="IA35" s="239"/>
      <c r="IB35" s="239"/>
      <c r="IC35" s="239"/>
      <c r="ID35" s="239"/>
      <c r="IE35" s="239"/>
      <c r="IF35" s="239"/>
      <c r="IG35" s="239"/>
      <c r="IH35" s="239"/>
      <c r="II35" s="239"/>
      <c r="IJ35" s="239"/>
      <c r="IK35" s="239"/>
      <c r="IL35" s="239"/>
      <c r="IM35" s="239"/>
      <c r="IN35" s="239"/>
      <c r="IO35" s="239"/>
      <c r="IP35" s="239"/>
      <c r="IQ35" s="239"/>
      <c r="IR35" s="239"/>
      <c r="IS35" s="239"/>
      <c r="IT35" s="239"/>
      <c r="IU35" s="239"/>
      <c r="IV35" s="239"/>
      <c r="IW35" s="239"/>
      <c r="IX35" s="239"/>
      <c r="IY35" s="239"/>
      <c r="IZ35" s="239"/>
      <c r="JA35" s="239"/>
      <c r="JB35" s="239"/>
      <c r="JC35" s="239"/>
      <c r="JD35" s="239"/>
      <c r="JE35" s="239"/>
      <c r="JF35" s="239"/>
      <c r="JG35" s="239"/>
      <c r="JH35" s="239"/>
      <c r="JI35" s="239"/>
      <c r="JJ35" s="239"/>
      <c r="JK35" s="239"/>
      <c r="JL35" s="239"/>
      <c r="JM35" s="239"/>
      <c r="JN35" s="239"/>
      <c r="JO35" s="239"/>
      <c r="JP35" s="239"/>
      <c r="JQ35" s="239"/>
      <c r="JR35" s="239"/>
      <c r="JS35" s="239"/>
      <c r="JT35" s="239"/>
      <c r="JU35" s="239"/>
      <c r="JV35" s="239"/>
      <c r="JW35" s="239"/>
      <c r="JX35" s="239"/>
      <c r="JY35" s="239"/>
      <c r="JZ35" s="239"/>
      <c r="KA35" s="239"/>
      <c r="KB35" s="239"/>
      <c r="KC35" s="239"/>
      <c r="KD35" s="239"/>
      <c r="KE35" s="239"/>
      <c r="KF35" s="239"/>
      <c r="KG35" s="239"/>
      <c r="KH35" s="239"/>
      <c r="KI35" s="239"/>
      <c r="KJ35" s="239"/>
      <c r="KK35" s="239"/>
      <c r="KL35" s="239"/>
      <c r="KM35" s="239"/>
      <c r="KN35" s="239"/>
      <c r="KO35" s="239"/>
      <c r="KP35" s="239"/>
      <c r="KQ35" s="239"/>
      <c r="KR35" s="239"/>
      <c r="KS35" s="239"/>
      <c r="KT35" s="239"/>
      <c r="KU35" s="239"/>
      <c r="KV35" s="239"/>
      <c r="KW35" s="239"/>
      <c r="KX35" s="239"/>
      <c r="KY35" s="239"/>
      <c r="KZ35" s="239"/>
      <c r="LA35" s="239"/>
      <c r="LB35" s="239"/>
      <c r="LC35" s="239"/>
      <c r="LD35" s="239"/>
      <c r="LE35" s="239"/>
      <c r="LF35" s="239"/>
      <c r="LG35" s="239"/>
      <c r="LH35" s="239"/>
      <c r="LI35" s="239"/>
      <c r="LJ35" s="239"/>
      <c r="LK35" s="239"/>
      <c r="LL35" s="239"/>
      <c r="LM35" s="239"/>
      <c r="LN35" s="239"/>
      <c r="LO35" s="239"/>
      <c r="LP35" s="239"/>
      <c r="LQ35" s="239"/>
      <c r="LR35" s="239"/>
      <c r="LS35" s="239"/>
      <c r="LT35" s="239"/>
      <c r="LU35" s="239"/>
      <c r="LV35" s="239"/>
      <c r="LW35" s="239"/>
      <c r="LX35" s="239"/>
      <c r="LY35" s="239"/>
      <c r="LZ35" s="239"/>
      <c r="MA35" s="239"/>
      <c r="MB35" s="239"/>
      <c r="MC35" s="239"/>
      <c r="MD35" s="239"/>
      <c r="ME35" s="239"/>
      <c r="MF35" s="239"/>
      <c r="MG35" s="239"/>
      <c r="MH35" s="239"/>
      <c r="MI35" s="239"/>
      <c r="MJ35" s="239"/>
      <c r="MK35" s="239"/>
      <c r="ML35" s="239"/>
      <c r="MM35" s="239"/>
      <c r="MN35" s="239"/>
      <c r="MO35" s="239"/>
      <c r="MP35" s="239"/>
      <c r="MQ35" s="239"/>
      <c r="MR35" s="239"/>
      <c r="MS35" s="239"/>
      <c r="MT35" s="239"/>
      <c r="MU35" s="239"/>
      <c r="MV35" s="239"/>
      <c r="MW35" s="239"/>
      <c r="MX35" s="239"/>
      <c r="MY35" s="239"/>
      <c r="MZ35" s="239"/>
      <c r="NA35" s="239"/>
      <c r="NB35" s="239"/>
      <c r="NC35" s="239"/>
      <c r="ND35" s="239"/>
      <c r="NE35" s="239"/>
      <c r="NF35" s="239"/>
      <c r="NG35" s="239"/>
      <c r="NH35" s="239"/>
      <c r="NI35" s="239"/>
      <c r="NJ35" s="239"/>
      <c r="NK35" s="239"/>
      <c r="NL35" s="239"/>
      <c r="NM35" s="239"/>
      <c r="NN35" s="239"/>
      <c r="NO35" s="239"/>
      <c r="NP35" s="239"/>
      <c r="NQ35" s="239"/>
      <c r="NR35" s="239"/>
      <c r="NS35" s="239"/>
      <c r="NT35" s="239"/>
      <c r="NU35" s="239"/>
      <c r="NV35" s="239"/>
      <c r="NW35" s="239"/>
      <c r="NX35" s="239"/>
      <c r="NY35" s="239"/>
      <c r="NZ35" s="239"/>
      <c r="OA35" s="239"/>
      <c r="OB35" s="239"/>
      <c r="OC35" s="239"/>
      <c r="OD35" s="239"/>
      <c r="OE35" s="239"/>
      <c r="OF35" s="239"/>
      <c r="OG35" s="239"/>
      <c r="OH35" s="239"/>
      <c r="OI35" s="239"/>
      <c r="OJ35" s="239"/>
      <c r="OK35" s="239"/>
      <c r="OL35" s="239"/>
      <c r="OM35" s="239"/>
      <c r="ON35" s="239"/>
      <c r="OO35" s="239"/>
      <c r="OP35" s="239"/>
      <c r="OQ35" s="239"/>
      <c r="OR35" s="239"/>
      <c r="OS35" s="239"/>
      <c r="OT35" s="239"/>
      <c r="OU35" s="239"/>
      <c r="OV35" s="239"/>
      <c r="OW35" s="239"/>
      <c r="OX35" s="239"/>
      <c r="OY35" s="239"/>
      <c r="OZ35" s="239"/>
      <c r="PA35" s="239"/>
      <c r="PB35" s="239"/>
      <c r="PC35" s="239"/>
      <c r="PD35" s="239"/>
      <c r="PE35" s="239"/>
      <c r="PF35" s="239"/>
      <c r="PG35" s="239"/>
      <c r="PH35" s="239"/>
      <c r="PI35" s="239"/>
      <c r="PJ35" s="239"/>
      <c r="PK35" s="239"/>
      <c r="PL35" s="239"/>
      <c r="PM35" s="239"/>
      <c r="PN35" s="239"/>
      <c r="PO35" s="239"/>
      <c r="PP35" s="239"/>
      <c r="PQ35" s="239"/>
      <c r="PR35" s="239"/>
      <c r="PS35" s="239"/>
      <c r="PT35" s="239"/>
      <c r="PU35" s="239"/>
      <c r="PV35" s="239"/>
      <c r="PW35" s="239"/>
      <c r="PX35" s="239"/>
      <c r="PY35" s="239"/>
      <c r="PZ35" s="239"/>
      <c r="QA35" s="239"/>
      <c r="QB35" s="239"/>
      <c r="QC35" s="239"/>
      <c r="QD35" s="239"/>
      <c r="QE35" s="239"/>
      <c r="QF35" s="239"/>
      <c r="QG35" s="239"/>
      <c r="QH35" s="239"/>
      <c r="QI35" s="239"/>
      <c r="QJ35" s="239"/>
      <c r="QK35" s="239"/>
      <c r="QL35" s="239"/>
      <c r="QM35" s="239"/>
      <c r="QN35" s="239"/>
      <c r="QO35" s="239"/>
      <c r="QP35" s="239"/>
      <c r="QQ35" s="239"/>
      <c r="QR35" s="239"/>
      <c r="QS35" s="239"/>
      <c r="QT35" s="239"/>
      <c r="QU35" s="239"/>
      <c r="QV35" s="239"/>
      <c r="QW35" s="239"/>
      <c r="QX35" s="239"/>
      <c r="QY35" s="239"/>
      <c r="QZ35" s="239"/>
      <c r="RA35" s="239"/>
      <c r="RB35" s="239"/>
      <c r="RC35" s="239"/>
      <c r="RD35" s="239"/>
      <c r="RE35" s="239"/>
      <c r="RF35" s="239"/>
      <c r="RG35" s="239"/>
      <c r="RH35" s="239"/>
      <c r="RI35" s="239"/>
      <c r="RJ35" s="239"/>
      <c r="RK35" s="239"/>
      <c r="RL35" s="239"/>
      <c r="RM35" s="239"/>
      <c r="RN35" s="239"/>
      <c r="RO35" s="239"/>
      <c r="RP35" s="239"/>
      <c r="RQ35" s="239"/>
      <c r="RR35" s="239"/>
      <c r="RS35" s="239"/>
      <c r="RT35" s="239"/>
      <c r="RU35" s="239"/>
      <c r="RV35" s="239"/>
      <c r="RW35" s="239"/>
      <c r="RX35" s="239"/>
      <c r="RY35" s="239"/>
      <c r="RZ35" s="239"/>
      <c r="SA35" s="239"/>
      <c r="SB35" s="239"/>
      <c r="SC35" s="239"/>
      <c r="SD35" s="239"/>
      <c r="SE35" s="239"/>
      <c r="SF35" s="239"/>
      <c r="SG35" s="239"/>
      <c r="SH35" s="239"/>
      <c r="SI35" s="239"/>
      <c r="SJ35" s="239"/>
      <c r="SK35" s="239"/>
      <c r="SL35" s="239"/>
      <c r="SM35" s="239"/>
      <c r="SN35" s="239"/>
      <c r="SO35" s="239"/>
      <c r="SP35" s="239"/>
      <c r="SQ35" s="239"/>
      <c r="SR35" s="239"/>
      <c r="SS35" s="239"/>
      <c r="ST35" s="239"/>
      <c r="SU35" s="239"/>
      <c r="SV35" s="239"/>
      <c r="SW35" s="239"/>
      <c r="SX35" s="239"/>
      <c r="SY35" s="239"/>
      <c r="SZ35" s="239"/>
      <c r="TA35" s="239"/>
      <c r="TB35" s="239"/>
      <c r="TC35" s="239"/>
      <c r="TD35" s="239"/>
      <c r="TE35" s="239"/>
      <c r="TF35" s="239"/>
      <c r="TG35" s="239"/>
      <c r="TH35" s="239"/>
      <c r="TI35" s="239"/>
      <c r="TJ35" s="239"/>
      <c r="TK35" s="239"/>
      <c r="TL35" s="239"/>
      <c r="TM35" s="239"/>
      <c r="TN35" s="239"/>
      <c r="TO35" s="239"/>
      <c r="TP35" s="239"/>
      <c r="TQ35" s="239"/>
      <c r="TR35" s="239"/>
      <c r="TS35" s="239"/>
      <c r="TT35" s="239"/>
      <c r="TU35" s="239"/>
      <c r="TV35" s="239"/>
      <c r="TW35" s="239"/>
      <c r="TX35" s="239"/>
      <c r="TY35" s="239"/>
      <c r="TZ35" s="239"/>
      <c r="UA35" s="239"/>
      <c r="UB35" s="239"/>
      <c r="UC35" s="239"/>
      <c r="UD35" s="239"/>
      <c r="UE35" s="239"/>
      <c r="UF35" s="239"/>
      <c r="UG35" s="240"/>
    </row>
    <row r="36" spans="1:553" s="236" customFormat="1" ht="27.75" customHeight="1">
      <c r="A36" s="356" t="s">
        <v>30</v>
      </c>
      <c r="B36" s="366" t="s">
        <v>35</v>
      </c>
      <c r="C36" s="1404" t="s">
        <v>103</v>
      </c>
      <c r="D36" s="1389"/>
      <c r="E36" s="1389"/>
      <c r="F36" s="1390"/>
      <c r="G36" s="386" t="s">
        <v>935</v>
      </c>
      <c r="H36" s="370"/>
      <c r="I36" s="422">
        <f>(0.48*2.5)*8</f>
        <v>9.6</v>
      </c>
      <c r="J36" s="368">
        <v>39000</v>
      </c>
      <c r="K36" s="371"/>
      <c r="L36" s="391">
        <f t="shared" ref="L36:L37" si="9">I36*J36</f>
        <v>374400</v>
      </c>
      <c r="M36" s="391"/>
      <c r="N36" s="391"/>
      <c r="O36" s="391"/>
      <c r="P36" s="391"/>
      <c r="Q36" s="1444"/>
      <c r="R36" s="1226"/>
      <c r="S36" s="1047"/>
      <c r="T36" s="303"/>
      <c r="U36" s="306"/>
      <c r="V36" s="307"/>
      <c r="W36" s="306"/>
      <c r="X36" s="306"/>
      <c r="Y36" s="306"/>
      <c r="Z36" s="306"/>
      <c r="AA36" s="306"/>
      <c r="AB36" s="306"/>
      <c r="AC36" s="449"/>
      <c r="AD36" s="449"/>
      <c r="AE36" s="449"/>
      <c r="AF36" s="449"/>
      <c r="AG36" s="449"/>
      <c r="AH36" s="449"/>
      <c r="AI36" s="449"/>
      <c r="AJ36" s="449"/>
      <c r="AK36" s="452"/>
      <c r="AL36" s="242"/>
      <c r="AM36" s="241"/>
      <c r="AN36" s="241"/>
      <c r="AO36" s="241"/>
      <c r="AP36" s="241"/>
      <c r="AQ36" s="241"/>
      <c r="AR36" s="241"/>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c r="IX36" s="238"/>
      <c r="IY36" s="238"/>
      <c r="IZ36" s="238"/>
      <c r="JA36" s="238"/>
      <c r="JB36" s="238"/>
      <c r="JC36" s="238"/>
      <c r="JD36" s="238"/>
      <c r="JE36" s="238"/>
      <c r="JF36" s="238"/>
      <c r="JG36" s="238"/>
      <c r="JH36" s="238"/>
      <c r="JI36" s="238"/>
      <c r="JJ36" s="238"/>
      <c r="JK36" s="238"/>
      <c r="JL36" s="238"/>
      <c r="JM36" s="238"/>
      <c r="JN36" s="238"/>
      <c r="JO36" s="238"/>
      <c r="JP36" s="238"/>
      <c r="JQ36" s="238"/>
      <c r="JR36" s="238"/>
      <c r="JS36" s="238"/>
      <c r="JT36" s="238"/>
      <c r="JU36" s="238"/>
      <c r="JV36" s="238"/>
      <c r="JW36" s="238"/>
      <c r="JX36" s="238"/>
      <c r="JY36" s="238"/>
      <c r="JZ36" s="238"/>
      <c r="KA36" s="238"/>
      <c r="KB36" s="238"/>
      <c r="KC36" s="238"/>
      <c r="KD36" s="238"/>
      <c r="KE36" s="238"/>
      <c r="KF36" s="238"/>
      <c r="KG36" s="238"/>
      <c r="KH36" s="238"/>
      <c r="KI36" s="238"/>
      <c r="KJ36" s="238"/>
      <c r="KK36" s="238"/>
      <c r="KL36" s="238"/>
      <c r="KM36" s="238"/>
      <c r="KN36" s="238"/>
      <c r="KO36" s="238"/>
      <c r="KP36" s="238"/>
      <c r="KQ36" s="238"/>
      <c r="KR36" s="238"/>
      <c r="KS36" s="238"/>
      <c r="KT36" s="238"/>
      <c r="KU36" s="238"/>
      <c r="KV36" s="238"/>
      <c r="KW36" s="238"/>
      <c r="KX36" s="238"/>
      <c r="KY36" s="238"/>
      <c r="KZ36" s="238"/>
      <c r="LA36" s="238"/>
      <c r="LB36" s="238"/>
      <c r="LC36" s="238"/>
      <c r="LD36" s="238"/>
      <c r="LE36" s="238"/>
      <c r="LF36" s="238"/>
      <c r="LG36" s="238"/>
      <c r="LH36" s="238"/>
      <c r="LI36" s="238"/>
      <c r="LJ36" s="238"/>
      <c r="LK36" s="238"/>
      <c r="LL36" s="238"/>
      <c r="LM36" s="238"/>
      <c r="LN36" s="238"/>
      <c r="LO36" s="238"/>
      <c r="LP36" s="238"/>
      <c r="LQ36" s="238"/>
      <c r="LR36" s="238"/>
      <c r="LS36" s="238"/>
      <c r="LT36" s="238"/>
      <c r="LU36" s="238"/>
      <c r="LV36" s="238"/>
      <c r="LW36" s="238"/>
      <c r="LX36" s="238"/>
      <c r="LY36" s="238"/>
      <c r="LZ36" s="238"/>
      <c r="MA36" s="238"/>
      <c r="MB36" s="238"/>
      <c r="MC36" s="238"/>
      <c r="MD36" s="238"/>
      <c r="ME36" s="238"/>
      <c r="MF36" s="238"/>
      <c r="MG36" s="238"/>
      <c r="MH36" s="238"/>
      <c r="MI36" s="238"/>
      <c r="MJ36" s="238"/>
      <c r="MK36" s="238"/>
      <c r="ML36" s="238"/>
      <c r="MM36" s="238"/>
      <c r="MN36" s="238"/>
      <c r="MO36" s="238"/>
      <c r="MP36" s="238"/>
      <c r="MQ36" s="238"/>
      <c r="MR36" s="238"/>
      <c r="MS36" s="238"/>
      <c r="MT36" s="238"/>
      <c r="MU36" s="238"/>
      <c r="MV36" s="238"/>
      <c r="MW36" s="238"/>
      <c r="MX36" s="238"/>
      <c r="MY36" s="238"/>
      <c r="MZ36" s="238"/>
      <c r="NA36" s="238"/>
      <c r="NB36" s="238"/>
      <c r="NC36" s="238"/>
      <c r="ND36" s="238"/>
      <c r="NE36" s="238"/>
      <c r="NF36" s="238"/>
      <c r="NG36" s="238"/>
      <c r="NH36" s="238"/>
      <c r="NI36" s="238"/>
      <c r="NJ36" s="238"/>
      <c r="NK36" s="238"/>
      <c r="NL36" s="238"/>
      <c r="NM36" s="238"/>
      <c r="NN36" s="238"/>
      <c r="NO36" s="238"/>
      <c r="NP36" s="238"/>
      <c r="NQ36" s="238"/>
      <c r="NR36" s="238"/>
      <c r="NS36" s="238"/>
      <c r="NT36" s="238"/>
      <c r="NU36" s="238"/>
      <c r="NV36" s="238"/>
      <c r="NW36" s="238"/>
      <c r="NX36" s="238"/>
      <c r="NY36" s="238"/>
      <c r="NZ36" s="238"/>
      <c r="OA36" s="238"/>
      <c r="OB36" s="238"/>
      <c r="OC36" s="238"/>
      <c r="OD36" s="238"/>
      <c r="OE36" s="238"/>
      <c r="OF36" s="238"/>
      <c r="OG36" s="238"/>
      <c r="OH36" s="238"/>
      <c r="OI36" s="238"/>
      <c r="OJ36" s="238"/>
      <c r="OK36" s="238"/>
      <c r="OL36" s="238"/>
      <c r="OM36" s="238"/>
      <c r="ON36" s="238"/>
      <c r="OO36" s="238"/>
      <c r="OP36" s="238"/>
      <c r="OQ36" s="238"/>
      <c r="OR36" s="238"/>
      <c r="OS36" s="238"/>
      <c r="OT36" s="238"/>
      <c r="OU36" s="238"/>
      <c r="OV36" s="238"/>
      <c r="OW36" s="238"/>
      <c r="OX36" s="238"/>
      <c r="OY36" s="238"/>
      <c r="OZ36" s="238"/>
      <c r="PA36" s="238"/>
      <c r="PB36" s="238"/>
      <c r="PC36" s="238"/>
      <c r="PD36" s="238"/>
      <c r="PE36" s="238"/>
      <c r="PF36" s="238"/>
      <c r="PG36" s="238"/>
      <c r="PH36" s="238"/>
      <c r="PI36" s="238"/>
      <c r="PJ36" s="238"/>
      <c r="PK36" s="238"/>
      <c r="PL36" s="238"/>
      <c r="PM36" s="238"/>
      <c r="PN36" s="238"/>
      <c r="PO36" s="238"/>
      <c r="PP36" s="238"/>
      <c r="PQ36" s="238"/>
      <c r="PR36" s="238"/>
      <c r="PS36" s="238"/>
      <c r="PT36" s="238"/>
      <c r="PU36" s="238"/>
      <c r="PV36" s="238"/>
      <c r="PW36" s="238"/>
      <c r="PX36" s="238"/>
      <c r="PY36" s="238"/>
      <c r="PZ36" s="238"/>
      <c r="QA36" s="238"/>
      <c r="QB36" s="238"/>
      <c r="QC36" s="238"/>
      <c r="QD36" s="238"/>
      <c r="QE36" s="238"/>
      <c r="QF36" s="238"/>
      <c r="QG36" s="238"/>
      <c r="QH36" s="238"/>
      <c r="QI36" s="238"/>
      <c r="QJ36" s="238"/>
      <c r="QK36" s="238"/>
      <c r="QL36" s="238"/>
      <c r="QM36" s="238"/>
      <c r="QN36" s="238"/>
      <c r="QO36" s="238"/>
      <c r="QP36" s="238"/>
      <c r="QQ36" s="238"/>
      <c r="QR36" s="238"/>
      <c r="QS36" s="238"/>
      <c r="QT36" s="238"/>
      <c r="QU36" s="238"/>
      <c r="QV36" s="238"/>
      <c r="QW36" s="238"/>
      <c r="QX36" s="238"/>
      <c r="QY36" s="238"/>
      <c r="QZ36" s="238"/>
      <c r="RA36" s="238"/>
      <c r="RB36" s="238"/>
      <c r="RC36" s="238"/>
      <c r="RD36" s="238"/>
      <c r="RE36" s="238"/>
      <c r="RF36" s="238"/>
      <c r="RG36" s="238"/>
      <c r="RH36" s="238"/>
      <c r="RI36" s="238"/>
      <c r="RJ36" s="238"/>
      <c r="RK36" s="238"/>
      <c r="RL36" s="238"/>
      <c r="RM36" s="238"/>
      <c r="RN36" s="238"/>
      <c r="RO36" s="238"/>
      <c r="RP36" s="238"/>
      <c r="RQ36" s="238"/>
      <c r="RR36" s="238"/>
      <c r="RS36" s="238"/>
      <c r="RT36" s="238"/>
      <c r="RU36" s="238"/>
      <c r="RV36" s="238"/>
      <c r="RW36" s="238"/>
      <c r="RX36" s="238"/>
      <c r="RY36" s="238"/>
      <c r="RZ36" s="238"/>
      <c r="SA36" s="238"/>
      <c r="SB36" s="238"/>
      <c r="SC36" s="238"/>
      <c r="SD36" s="238"/>
      <c r="SE36" s="238"/>
      <c r="SF36" s="238"/>
      <c r="SG36" s="238"/>
      <c r="SH36" s="238"/>
      <c r="SI36" s="238"/>
      <c r="SJ36" s="238"/>
      <c r="SK36" s="238"/>
      <c r="SL36" s="238"/>
      <c r="SM36" s="238"/>
      <c r="SN36" s="238"/>
      <c r="SO36" s="238"/>
      <c r="SP36" s="238"/>
      <c r="SQ36" s="238"/>
      <c r="SR36" s="238"/>
      <c r="SS36" s="238"/>
      <c r="ST36" s="238"/>
      <c r="SU36" s="238"/>
      <c r="SV36" s="238"/>
      <c r="SW36" s="238"/>
      <c r="SX36" s="238"/>
      <c r="SY36" s="238"/>
      <c r="SZ36" s="238"/>
      <c r="TA36" s="238"/>
      <c r="TB36" s="238"/>
      <c r="TC36" s="238"/>
      <c r="TD36" s="238"/>
      <c r="TE36" s="238"/>
      <c r="TF36" s="238"/>
      <c r="TG36" s="238"/>
      <c r="TH36" s="238"/>
      <c r="TI36" s="238"/>
      <c r="TJ36" s="238"/>
      <c r="TK36" s="238"/>
      <c r="TL36" s="238"/>
      <c r="TM36" s="238"/>
      <c r="TN36" s="238"/>
      <c r="TO36" s="238"/>
      <c r="TP36" s="238"/>
      <c r="TQ36" s="238"/>
      <c r="TR36" s="238"/>
      <c r="TS36" s="238"/>
      <c r="TT36" s="238"/>
      <c r="TU36" s="238"/>
      <c r="TV36" s="238"/>
      <c r="TW36" s="238"/>
      <c r="TX36" s="238"/>
      <c r="TY36" s="238"/>
      <c r="TZ36" s="238"/>
      <c r="UA36" s="238"/>
      <c r="UB36" s="238"/>
      <c r="UC36" s="238"/>
      <c r="UD36" s="238"/>
      <c r="UE36" s="238"/>
      <c r="UF36" s="238"/>
      <c r="UG36" s="248"/>
    </row>
    <row r="37" spans="1:553" s="236" customFormat="1" ht="27.75" customHeight="1">
      <c r="A37" s="356" t="s">
        <v>30</v>
      </c>
      <c r="B37" s="366" t="s">
        <v>35</v>
      </c>
      <c r="C37" s="1404" t="s">
        <v>104</v>
      </c>
      <c r="D37" s="1389"/>
      <c r="E37" s="1389"/>
      <c r="F37" s="1390"/>
      <c r="G37" s="386" t="s">
        <v>935</v>
      </c>
      <c r="H37" s="370"/>
      <c r="I37" s="422">
        <f>(0.2*3.14*5.8)*6</f>
        <v>21.854400000000005</v>
      </c>
      <c r="J37" s="368">
        <v>39000</v>
      </c>
      <c r="K37" s="371"/>
      <c r="L37" s="391">
        <f t="shared" si="9"/>
        <v>852321.60000000021</v>
      </c>
      <c r="M37" s="391"/>
      <c r="N37" s="391"/>
      <c r="O37" s="391"/>
      <c r="P37" s="391"/>
      <c r="Q37" s="1445"/>
      <c r="R37" s="1226"/>
      <c r="S37" s="1047"/>
      <c r="T37" s="303"/>
      <c r="U37" s="306"/>
      <c r="V37" s="307"/>
      <c r="W37" s="306"/>
      <c r="X37" s="306"/>
      <c r="Y37" s="306"/>
      <c r="Z37" s="306"/>
      <c r="AA37" s="306"/>
      <c r="AB37" s="306"/>
      <c r="AC37" s="449"/>
      <c r="AD37" s="449"/>
      <c r="AE37" s="449"/>
      <c r="AF37" s="449"/>
      <c r="AG37" s="449"/>
      <c r="AH37" s="449"/>
      <c r="AI37" s="449"/>
      <c r="AJ37" s="449"/>
      <c r="AK37" s="452"/>
      <c r="AL37" s="242"/>
      <c r="AM37" s="241"/>
      <c r="AN37" s="241"/>
      <c r="AO37" s="241"/>
      <c r="AP37" s="241"/>
      <c r="AQ37" s="241"/>
      <c r="AR37" s="241"/>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c r="IX37" s="238"/>
      <c r="IY37" s="238"/>
      <c r="IZ37" s="238"/>
      <c r="JA37" s="238"/>
      <c r="JB37" s="238"/>
      <c r="JC37" s="238"/>
      <c r="JD37" s="238"/>
      <c r="JE37" s="238"/>
      <c r="JF37" s="238"/>
      <c r="JG37" s="238"/>
      <c r="JH37" s="238"/>
      <c r="JI37" s="238"/>
      <c r="JJ37" s="238"/>
      <c r="JK37" s="238"/>
      <c r="JL37" s="238"/>
      <c r="JM37" s="238"/>
      <c r="JN37" s="238"/>
      <c r="JO37" s="238"/>
      <c r="JP37" s="238"/>
      <c r="JQ37" s="238"/>
      <c r="JR37" s="238"/>
      <c r="JS37" s="238"/>
      <c r="JT37" s="238"/>
      <c r="JU37" s="238"/>
      <c r="JV37" s="238"/>
      <c r="JW37" s="238"/>
      <c r="JX37" s="238"/>
      <c r="JY37" s="238"/>
      <c r="JZ37" s="238"/>
      <c r="KA37" s="238"/>
      <c r="KB37" s="238"/>
      <c r="KC37" s="238"/>
      <c r="KD37" s="238"/>
      <c r="KE37" s="238"/>
      <c r="KF37" s="238"/>
      <c r="KG37" s="238"/>
      <c r="KH37" s="238"/>
      <c r="KI37" s="238"/>
      <c r="KJ37" s="238"/>
      <c r="KK37" s="238"/>
      <c r="KL37" s="238"/>
      <c r="KM37" s="238"/>
      <c r="KN37" s="238"/>
      <c r="KO37" s="238"/>
      <c r="KP37" s="238"/>
      <c r="KQ37" s="238"/>
      <c r="KR37" s="238"/>
      <c r="KS37" s="238"/>
      <c r="KT37" s="238"/>
      <c r="KU37" s="238"/>
      <c r="KV37" s="238"/>
      <c r="KW37" s="238"/>
      <c r="KX37" s="238"/>
      <c r="KY37" s="238"/>
      <c r="KZ37" s="238"/>
      <c r="LA37" s="238"/>
      <c r="LB37" s="238"/>
      <c r="LC37" s="238"/>
      <c r="LD37" s="238"/>
      <c r="LE37" s="238"/>
      <c r="LF37" s="238"/>
      <c r="LG37" s="238"/>
      <c r="LH37" s="238"/>
      <c r="LI37" s="238"/>
      <c r="LJ37" s="238"/>
      <c r="LK37" s="238"/>
      <c r="LL37" s="238"/>
      <c r="LM37" s="238"/>
      <c r="LN37" s="238"/>
      <c r="LO37" s="238"/>
      <c r="LP37" s="238"/>
      <c r="LQ37" s="238"/>
      <c r="LR37" s="238"/>
      <c r="LS37" s="238"/>
      <c r="LT37" s="238"/>
      <c r="LU37" s="238"/>
      <c r="LV37" s="238"/>
      <c r="LW37" s="238"/>
      <c r="LX37" s="238"/>
      <c r="LY37" s="238"/>
      <c r="LZ37" s="238"/>
      <c r="MA37" s="238"/>
      <c r="MB37" s="238"/>
      <c r="MC37" s="238"/>
      <c r="MD37" s="238"/>
      <c r="ME37" s="238"/>
      <c r="MF37" s="238"/>
      <c r="MG37" s="238"/>
      <c r="MH37" s="238"/>
      <c r="MI37" s="238"/>
      <c r="MJ37" s="238"/>
      <c r="MK37" s="238"/>
      <c r="ML37" s="238"/>
      <c r="MM37" s="238"/>
      <c r="MN37" s="238"/>
      <c r="MO37" s="238"/>
      <c r="MP37" s="238"/>
      <c r="MQ37" s="238"/>
      <c r="MR37" s="238"/>
      <c r="MS37" s="238"/>
      <c r="MT37" s="238"/>
      <c r="MU37" s="238"/>
      <c r="MV37" s="238"/>
      <c r="MW37" s="238"/>
      <c r="MX37" s="238"/>
      <c r="MY37" s="238"/>
      <c r="MZ37" s="238"/>
      <c r="NA37" s="238"/>
      <c r="NB37" s="238"/>
      <c r="NC37" s="238"/>
      <c r="ND37" s="238"/>
      <c r="NE37" s="238"/>
      <c r="NF37" s="238"/>
      <c r="NG37" s="238"/>
      <c r="NH37" s="238"/>
      <c r="NI37" s="238"/>
      <c r="NJ37" s="238"/>
      <c r="NK37" s="238"/>
      <c r="NL37" s="238"/>
      <c r="NM37" s="238"/>
      <c r="NN37" s="238"/>
      <c r="NO37" s="238"/>
      <c r="NP37" s="238"/>
      <c r="NQ37" s="238"/>
      <c r="NR37" s="238"/>
      <c r="NS37" s="238"/>
      <c r="NT37" s="238"/>
      <c r="NU37" s="238"/>
      <c r="NV37" s="238"/>
      <c r="NW37" s="238"/>
      <c r="NX37" s="238"/>
      <c r="NY37" s="238"/>
      <c r="NZ37" s="238"/>
      <c r="OA37" s="238"/>
      <c r="OB37" s="238"/>
      <c r="OC37" s="238"/>
      <c r="OD37" s="238"/>
      <c r="OE37" s="238"/>
      <c r="OF37" s="238"/>
      <c r="OG37" s="238"/>
      <c r="OH37" s="238"/>
      <c r="OI37" s="238"/>
      <c r="OJ37" s="238"/>
      <c r="OK37" s="238"/>
      <c r="OL37" s="238"/>
      <c r="OM37" s="238"/>
      <c r="ON37" s="238"/>
      <c r="OO37" s="238"/>
      <c r="OP37" s="238"/>
      <c r="OQ37" s="238"/>
      <c r="OR37" s="238"/>
      <c r="OS37" s="238"/>
      <c r="OT37" s="238"/>
      <c r="OU37" s="238"/>
      <c r="OV37" s="238"/>
      <c r="OW37" s="238"/>
      <c r="OX37" s="238"/>
      <c r="OY37" s="238"/>
      <c r="OZ37" s="238"/>
      <c r="PA37" s="238"/>
      <c r="PB37" s="238"/>
      <c r="PC37" s="238"/>
      <c r="PD37" s="238"/>
      <c r="PE37" s="238"/>
      <c r="PF37" s="238"/>
      <c r="PG37" s="238"/>
      <c r="PH37" s="238"/>
      <c r="PI37" s="238"/>
      <c r="PJ37" s="238"/>
      <c r="PK37" s="238"/>
      <c r="PL37" s="238"/>
      <c r="PM37" s="238"/>
      <c r="PN37" s="238"/>
      <c r="PO37" s="238"/>
      <c r="PP37" s="238"/>
      <c r="PQ37" s="238"/>
      <c r="PR37" s="238"/>
      <c r="PS37" s="238"/>
      <c r="PT37" s="238"/>
      <c r="PU37" s="238"/>
      <c r="PV37" s="238"/>
      <c r="PW37" s="238"/>
      <c r="PX37" s="238"/>
      <c r="PY37" s="238"/>
      <c r="PZ37" s="238"/>
      <c r="QA37" s="238"/>
      <c r="QB37" s="238"/>
      <c r="QC37" s="238"/>
      <c r="QD37" s="238"/>
      <c r="QE37" s="238"/>
      <c r="QF37" s="238"/>
      <c r="QG37" s="238"/>
      <c r="QH37" s="238"/>
      <c r="QI37" s="238"/>
      <c r="QJ37" s="238"/>
      <c r="QK37" s="238"/>
      <c r="QL37" s="238"/>
      <c r="QM37" s="238"/>
      <c r="QN37" s="238"/>
      <c r="QO37" s="238"/>
      <c r="QP37" s="238"/>
      <c r="QQ37" s="238"/>
      <c r="QR37" s="238"/>
      <c r="QS37" s="238"/>
      <c r="QT37" s="238"/>
      <c r="QU37" s="238"/>
      <c r="QV37" s="238"/>
      <c r="QW37" s="238"/>
      <c r="QX37" s="238"/>
      <c r="QY37" s="238"/>
      <c r="QZ37" s="238"/>
      <c r="RA37" s="238"/>
      <c r="RB37" s="238"/>
      <c r="RC37" s="238"/>
      <c r="RD37" s="238"/>
      <c r="RE37" s="238"/>
      <c r="RF37" s="238"/>
      <c r="RG37" s="238"/>
      <c r="RH37" s="238"/>
      <c r="RI37" s="238"/>
      <c r="RJ37" s="238"/>
      <c r="RK37" s="238"/>
      <c r="RL37" s="238"/>
      <c r="RM37" s="238"/>
      <c r="RN37" s="238"/>
      <c r="RO37" s="238"/>
      <c r="RP37" s="238"/>
      <c r="RQ37" s="238"/>
      <c r="RR37" s="238"/>
      <c r="RS37" s="238"/>
      <c r="RT37" s="238"/>
      <c r="RU37" s="238"/>
      <c r="RV37" s="238"/>
      <c r="RW37" s="238"/>
      <c r="RX37" s="238"/>
      <c r="RY37" s="238"/>
      <c r="RZ37" s="238"/>
      <c r="SA37" s="238"/>
      <c r="SB37" s="238"/>
      <c r="SC37" s="238"/>
      <c r="SD37" s="238"/>
      <c r="SE37" s="238"/>
      <c r="SF37" s="238"/>
      <c r="SG37" s="238"/>
      <c r="SH37" s="238"/>
      <c r="SI37" s="238"/>
      <c r="SJ37" s="238"/>
      <c r="SK37" s="238"/>
      <c r="SL37" s="238"/>
      <c r="SM37" s="238"/>
      <c r="SN37" s="238"/>
      <c r="SO37" s="238"/>
      <c r="SP37" s="238"/>
      <c r="SQ37" s="238"/>
      <c r="SR37" s="238"/>
      <c r="SS37" s="238"/>
      <c r="ST37" s="238"/>
      <c r="SU37" s="238"/>
      <c r="SV37" s="238"/>
      <c r="SW37" s="238"/>
      <c r="SX37" s="238"/>
      <c r="SY37" s="238"/>
      <c r="SZ37" s="238"/>
      <c r="TA37" s="238"/>
      <c r="TB37" s="238"/>
      <c r="TC37" s="238"/>
      <c r="TD37" s="238"/>
      <c r="TE37" s="238"/>
      <c r="TF37" s="238"/>
      <c r="TG37" s="238"/>
      <c r="TH37" s="238"/>
      <c r="TI37" s="238"/>
      <c r="TJ37" s="238"/>
      <c r="TK37" s="238"/>
      <c r="TL37" s="238"/>
      <c r="TM37" s="238"/>
      <c r="TN37" s="238"/>
      <c r="TO37" s="238"/>
      <c r="TP37" s="238"/>
      <c r="TQ37" s="238"/>
      <c r="TR37" s="238"/>
      <c r="TS37" s="238"/>
      <c r="TT37" s="238"/>
      <c r="TU37" s="238"/>
      <c r="TV37" s="238"/>
      <c r="TW37" s="238"/>
      <c r="TX37" s="238"/>
      <c r="TY37" s="238"/>
      <c r="TZ37" s="238"/>
      <c r="UA37" s="238"/>
      <c r="UB37" s="238"/>
      <c r="UC37" s="238"/>
      <c r="UD37" s="238"/>
      <c r="UE37" s="238"/>
      <c r="UF37" s="238"/>
      <c r="UG37" s="248"/>
    </row>
    <row r="38" spans="1:553" s="236" customFormat="1" ht="27.75" customHeight="1">
      <c r="A38" s="356" t="s">
        <v>30</v>
      </c>
      <c r="B38" s="366" t="s">
        <v>35</v>
      </c>
      <c r="C38" s="1404" t="s">
        <v>105</v>
      </c>
      <c r="D38" s="1389"/>
      <c r="E38" s="1389"/>
      <c r="F38" s="1390"/>
      <c r="G38" s="386" t="s">
        <v>935</v>
      </c>
      <c r="H38" s="370"/>
      <c r="I38" s="834">
        <f>(0.2*3.14*4.6)*16</f>
        <v>46.220800000000004</v>
      </c>
      <c r="J38" s="368">
        <v>39000</v>
      </c>
      <c r="K38" s="371"/>
      <c r="L38" s="391">
        <f t="shared" ref="L38:L39" si="10">ROUND(PRODUCT(I38:K38),0)</f>
        <v>1802611</v>
      </c>
      <c r="M38" s="395"/>
      <c r="N38" s="395"/>
      <c r="O38" s="366"/>
      <c r="P38" s="396"/>
      <c r="Q38" s="473"/>
      <c r="R38" s="1039"/>
      <c r="S38" s="1047"/>
      <c r="T38" s="303"/>
      <c r="U38" s="306"/>
      <c r="V38" s="307"/>
      <c r="W38" s="306"/>
      <c r="X38" s="306"/>
      <c r="Y38" s="306"/>
      <c r="Z38" s="306"/>
      <c r="AA38" s="306"/>
      <c r="AB38" s="306"/>
      <c r="AC38" s="449"/>
      <c r="AD38" s="449"/>
      <c r="AE38" s="449"/>
      <c r="AF38" s="449"/>
      <c r="AG38" s="452"/>
      <c r="AH38" s="452"/>
      <c r="AI38" s="452"/>
      <c r="AJ38" s="452"/>
      <c r="AK38" s="452"/>
      <c r="AL38" s="242"/>
      <c r="AM38" s="241"/>
      <c r="AN38" s="241"/>
      <c r="AO38" s="241"/>
      <c r="AP38" s="241"/>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39"/>
      <c r="DE38" s="239"/>
      <c r="DF38" s="239"/>
      <c r="DG38" s="239"/>
      <c r="DH38" s="239"/>
      <c r="DI38" s="239"/>
      <c r="DJ38" s="239"/>
      <c r="DK38" s="239"/>
      <c r="DL38" s="239"/>
      <c r="DM38" s="239"/>
      <c r="DN38" s="239"/>
      <c r="DO38" s="239"/>
      <c r="DP38" s="239"/>
      <c r="DQ38" s="239"/>
      <c r="DR38" s="239"/>
      <c r="DS38" s="239"/>
      <c r="DT38" s="239"/>
      <c r="DU38" s="239"/>
      <c r="DV38" s="239"/>
      <c r="DW38" s="239"/>
      <c r="DX38" s="239"/>
      <c r="DY38" s="239"/>
      <c r="DZ38" s="239"/>
      <c r="EA38" s="239"/>
      <c r="EB38" s="239"/>
      <c r="EC38" s="239"/>
      <c r="ED38" s="239"/>
      <c r="EE38" s="239"/>
      <c r="EF38" s="239"/>
      <c r="EG38" s="239"/>
      <c r="EH38" s="239"/>
      <c r="EI38" s="239"/>
      <c r="EJ38" s="239"/>
      <c r="EK38" s="239"/>
      <c r="EL38" s="239"/>
      <c r="EM38" s="239"/>
      <c r="EN38" s="239"/>
      <c r="EO38" s="239"/>
      <c r="EP38" s="239"/>
      <c r="EQ38" s="239"/>
      <c r="ER38" s="239"/>
      <c r="ES38" s="239"/>
      <c r="ET38" s="239"/>
      <c r="EU38" s="239"/>
      <c r="EV38" s="239"/>
      <c r="EW38" s="239"/>
      <c r="EX38" s="239"/>
      <c r="EY38" s="239"/>
      <c r="EZ38" s="239"/>
      <c r="FA38" s="239"/>
      <c r="FB38" s="239"/>
      <c r="FC38" s="239"/>
      <c r="FD38" s="239"/>
      <c r="FE38" s="239"/>
      <c r="FF38" s="239"/>
      <c r="FG38" s="239"/>
      <c r="FH38" s="239"/>
      <c r="FI38" s="239"/>
      <c r="FJ38" s="239"/>
      <c r="FK38" s="239"/>
      <c r="FL38" s="239"/>
      <c r="FM38" s="239"/>
      <c r="FN38" s="239"/>
      <c r="FO38" s="239"/>
      <c r="FP38" s="239"/>
      <c r="FQ38" s="239"/>
      <c r="FR38" s="239"/>
      <c r="FS38" s="239"/>
      <c r="FT38" s="239"/>
      <c r="FU38" s="239"/>
      <c r="FV38" s="239"/>
      <c r="FW38" s="239"/>
      <c r="FX38" s="239"/>
      <c r="FY38" s="239"/>
      <c r="FZ38" s="239"/>
      <c r="GA38" s="239"/>
      <c r="GB38" s="239"/>
      <c r="GC38" s="239"/>
      <c r="GD38" s="239"/>
      <c r="GE38" s="239"/>
      <c r="GF38" s="239"/>
      <c r="GG38" s="239"/>
      <c r="GH38" s="239"/>
      <c r="GI38" s="239"/>
      <c r="GJ38" s="239"/>
      <c r="GK38" s="239"/>
      <c r="GL38" s="239"/>
      <c r="GM38" s="239"/>
      <c r="GN38" s="239"/>
      <c r="GO38" s="239"/>
      <c r="GP38" s="239"/>
      <c r="GQ38" s="239"/>
      <c r="GR38" s="239"/>
      <c r="GS38" s="239"/>
      <c r="GT38" s="239"/>
      <c r="GU38" s="239"/>
      <c r="GV38" s="239"/>
      <c r="GW38" s="239"/>
      <c r="GX38" s="239"/>
      <c r="GY38" s="239"/>
      <c r="GZ38" s="239"/>
      <c r="HA38" s="239"/>
      <c r="HB38" s="239"/>
      <c r="HC38" s="239"/>
      <c r="HD38" s="239"/>
      <c r="HE38" s="239"/>
      <c r="HF38" s="239"/>
      <c r="HG38" s="239"/>
      <c r="HH38" s="239"/>
      <c r="HI38" s="239"/>
      <c r="HJ38" s="239"/>
      <c r="HK38" s="239"/>
      <c r="HL38" s="239"/>
      <c r="HM38" s="239"/>
      <c r="HN38" s="239"/>
      <c r="HO38" s="239"/>
      <c r="HP38" s="239"/>
      <c r="HQ38" s="239"/>
      <c r="HR38" s="239"/>
      <c r="HS38" s="239"/>
      <c r="HT38" s="239"/>
      <c r="HU38" s="239"/>
      <c r="HV38" s="239"/>
      <c r="HW38" s="239"/>
      <c r="HX38" s="239"/>
      <c r="HY38" s="239"/>
      <c r="HZ38" s="239"/>
      <c r="IA38" s="239"/>
      <c r="IB38" s="239"/>
      <c r="IC38" s="239"/>
      <c r="ID38" s="239"/>
      <c r="IE38" s="239"/>
      <c r="IF38" s="239"/>
      <c r="IG38" s="239"/>
      <c r="IH38" s="239"/>
      <c r="II38" s="239"/>
      <c r="IJ38" s="239"/>
      <c r="IK38" s="239"/>
      <c r="IL38" s="239"/>
      <c r="IM38" s="239"/>
      <c r="IN38" s="239"/>
      <c r="IO38" s="239"/>
      <c r="IP38" s="239"/>
      <c r="IQ38" s="239"/>
      <c r="IR38" s="239"/>
      <c r="IS38" s="239"/>
      <c r="IT38" s="239"/>
      <c r="IU38" s="239"/>
      <c r="IV38" s="239"/>
      <c r="IW38" s="239"/>
      <c r="IX38" s="239"/>
      <c r="IY38" s="239"/>
      <c r="IZ38" s="239"/>
      <c r="JA38" s="239"/>
      <c r="JB38" s="239"/>
      <c r="JC38" s="239"/>
      <c r="JD38" s="239"/>
      <c r="JE38" s="239"/>
      <c r="JF38" s="239"/>
      <c r="JG38" s="239"/>
      <c r="JH38" s="239"/>
      <c r="JI38" s="239"/>
      <c r="JJ38" s="239"/>
      <c r="JK38" s="239"/>
      <c r="JL38" s="239"/>
      <c r="JM38" s="239"/>
      <c r="JN38" s="239"/>
      <c r="JO38" s="239"/>
      <c r="JP38" s="239"/>
      <c r="JQ38" s="239"/>
      <c r="JR38" s="239"/>
      <c r="JS38" s="239"/>
      <c r="JT38" s="239"/>
      <c r="JU38" s="239"/>
      <c r="JV38" s="239"/>
      <c r="JW38" s="239"/>
      <c r="JX38" s="239"/>
      <c r="JY38" s="239"/>
      <c r="JZ38" s="239"/>
      <c r="KA38" s="239"/>
      <c r="KB38" s="239"/>
      <c r="KC38" s="239"/>
      <c r="KD38" s="239"/>
      <c r="KE38" s="239"/>
      <c r="KF38" s="239"/>
      <c r="KG38" s="239"/>
      <c r="KH38" s="239"/>
      <c r="KI38" s="239"/>
      <c r="KJ38" s="239"/>
      <c r="KK38" s="239"/>
      <c r="KL38" s="239"/>
      <c r="KM38" s="239"/>
      <c r="KN38" s="239"/>
      <c r="KO38" s="239"/>
      <c r="KP38" s="239"/>
      <c r="KQ38" s="239"/>
      <c r="KR38" s="239"/>
      <c r="KS38" s="239"/>
      <c r="KT38" s="239"/>
      <c r="KU38" s="239"/>
      <c r="KV38" s="239"/>
      <c r="KW38" s="239"/>
      <c r="KX38" s="239"/>
      <c r="KY38" s="239"/>
      <c r="KZ38" s="239"/>
      <c r="LA38" s="239"/>
      <c r="LB38" s="239"/>
      <c r="LC38" s="239"/>
      <c r="LD38" s="239"/>
      <c r="LE38" s="239"/>
      <c r="LF38" s="239"/>
      <c r="LG38" s="239"/>
      <c r="LH38" s="239"/>
      <c r="LI38" s="239"/>
      <c r="LJ38" s="239"/>
      <c r="LK38" s="239"/>
      <c r="LL38" s="239"/>
      <c r="LM38" s="239"/>
      <c r="LN38" s="239"/>
      <c r="LO38" s="239"/>
      <c r="LP38" s="239"/>
      <c r="LQ38" s="239"/>
      <c r="LR38" s="239"/>
      <c r="LS38" s="239"/>
      <c r="LT38" s="239"/>
      <c r="LU38" s="239"/>
      <c r="LV38" s="239"/>
      <c r="LW38" s="239"/>
      <c r="LX38" s="239"/>
      <c r="LY38" s="239"/>
      <c r="LZ38" s="239"/>
      <c r="MA38" s="239"/>
      <c r="MB38" s="239"/>
      <c r="MC38" s="239"/>
      <c r="MD38" s="239"/>
      <c r="ME38" s="239"/>
      <c r="MF38" s="239"/>
      <c r="MG38" s="239"/>
      <c r="MH38" s="239"/>
      <c r="MI38" s="239"/>
      <c r="MJ38" s="239"/>
      <c r="MK38" s="239"/>
      <c r="ML38" s="239"/>
      <c r="MM38" s="239"/>
      <c r="MN38" s="239"/>
      <c r="MO38" s="239"/>
      <c r="MP38" s="239"/>
      <c r="MQ38" s="239"/>
      <c r="MR38" s="239"/>
      <c r="MS38" s="239"/>
      <c r="MT38" s="239"/>
      <c r="MU38" s="239"/>
      <c r="MV38" s="239"/>
      <c r="MW38" s="239"/>
      <c r="MX38" s="239"/>
      <c r="MY38" s="239"/>
      <c r="MZ38" s="239"/>
      <c r="NA38" s="239"/>
      <c r="NB38" s="239"/>
      <c r="NC38" s="239"/>
      <c r="ND38" s="239"/>
      <c r="NE38" s="239"/>
      <c r="NF38" s="239"/>
      <c r="NG38" s="239"/>
      <c r="NH38" s="239"/>
      <c r="NI38" s="239"/>
      <c r="NJ38" s="239"/>
      <c r="NK38" s="239"/>
      <c r="NL38" s="239"/>
      <c r="NM38" s="239"/>
      <c r="NN38" s="239"/>
      <c r="NO38" s="239"/>
      <c r="NP38" s="239"/>
      <c r="NQ38" s="239"/>
      <c r="NR38" s="239"/>
      <c r="NS38" s="239"/>
      <c r="NT38" s="239"/>
      <c r="NU38" s="239"/>
      <c r="NV38" s="239"/>
      <c r="NW38" s="239"/>
      <c r="NX38" s="239"/>
      <c r="NY38" s="239"/>
      <c r="NZ38" s="239"/>
      <c r="OA38" s="239"/>
      <c r="OB38" s="239"/>
      <c r="OC38" s="239"/>
      <c r="OD38" s="239"/>
      <c r="OE38" s="239"/>
      <c r="OF38" s="239"/>
      <c r="OG38" s="239"/>
      <c r="OH38" s="239"/>
      <c r="OI38" s="239"/>
      <c r="OJ38" s="239"/>
      <c r="OK38" s="239"/>
      <c r="OL38" s="239"/>
      <c r="OM38" s="239"/>
      <c r="ON38" s="239"/>
      <c r="OO38" s="239"/>
      <c r="OP38" s="239"/>
      <c r="OQ38" s="239"/>
      <c r="OR38" s="239"/>
      <c r="OS38" s="239"/>
      <c r="OT38" s="239"/>
      <c r="OU38" s="239"/>
      <c r="OV38" s="239"/>
      <c r="OW38" s="239"/>
      <c r="OX38" s="239"/>
      <c r="OY38" s="239"/>
      <c r="OZ38" s="239"/>
      <c r="PA38" s="239"/>
      <c r="PB38" s="239"/>
      <c r="PC38" s="239"/>
      <c r="PD38" s="239"/>
      <c r="PE38" s="239"/>
      <c r="PF38" s="239"/>
      <c r="PG38" s="239"/>
      <c r="PH38" s="239"/>
      <c r="PI38" s="239"/>
      <c r="PJ38" s="239"/>
      <c r="PK38" s="239"/>
      <c r="PL38" s="239"/>
      <c r="PM38" s="239"/>
      <c r="PN38" s="239"/>
      <c r="PO38" s="239"/>
      <c r="PP38" s="239"/>
      <c r="PQ38" s="239"/>
      <c r="PR38" s="239"/>
      <c r="PS38" s="239"/>
      <c r="PT38" s="239"/>
      <c r="PU38" s="239"/>
      <c r="PV38" s="239"/>
      <c r="PW38" s="239"/>
      <c r="PX38" s="239"/>
      <c r="PY38" s="239"/>
      <c r="PZ38" s="239"/>
      <c r="QA38" s="239"/>
      <c r="QB38" s="239"/>
      <c r="QC38" s="239"/>
      <c r="QD38" s="239"/>
      <c r="QE38" s="239"/>
      <c r="QF38" s="239"/>
      <c r="QG38" s="239"/>
      <c r="QH38" s="239"/>
      <c r="QI38" s="239"/>
      <c r="QJ38" s="239"/>
      <c r="QK38" s="239"/>
      <c r="QL38" s="239"/>
      <c r="QM38" s="239"/>
      <c r="QN38" s="239"/>
      <c r="QO38" s="239"/>
      <c r="QP38" s="239"/>
      <c r="QQ38" s="239"/>
      <c r="QR38" s="239"/>
      <c r="QS38" s="239"/>
      <c r="QT38" s="239"/>
      <c r="QU38" s="239"/>
      <c r="QV38" s="239"/>
      <c r="QW38" s="239"/>
      <c r="QX38" s="239"/>
      <c r="QY38" s="239"/>
      <c r="QZ38" s="239"/>
      <c r="RA38" s="239"/>
      <c r="RB38" s="239"/>
      <c r="RC38" s="239"/>
      <c r="RD38" s="239"/>
      <c r="RE38" s="239"/>
      <c r="RF38" s="239"/>
      <c r="RG38" s="239"/>
      <c r="RH38" s="239"/>
      <c r="RI38" s="239"/>
      <c r="RJ38" s="239"/>
      <c r="RK38" s="239"/>
      <c r="RL38" s="239"/>
      <c r="RM38" s="239"/>
      <c r="RN38" s="239"/>
      <c r="RO38" s="239"/>
      <c r="RP38" s="239"/>
      <c r="RQ38" s="239"/>
      <c r="RR38" s="239"/>
      <c r="RS38" s="239"/>
      <c r="RT38" s="239"/>
      <c r="RU38" s="239"/>
      <c r="RV38" s="239"/>
      <c r="RW38" s="239"/>
      <c r="RX38" s="239"/>
      <c r="RY38" s="239"/>
      <c r="RZ38" s="239"/>
      <c r="SA38" s="239"/>
      <c r="SB38" s="239"/>
      <c r="SC38" s="239"/>
      <c r="SD38" s="239"/>
      <c r="SE38" s="239"/>
      <c r="SF38" s="239"/>
      <c r="SG38" s="239"/>
      <c r="SH38" s="239"/>
      <c r="SI38" s="239"/>
      <c r="SJ38" s="239"/>
      <c r="SK38" s="239"/>
      <c r="SL38" s="239"/>
      <c r="SM38" s="239"/>
      <c r="SN38" s="239"/>
      <c r="SO38" s="239"/>
      <c r="SP38" s="239"/>
      <c r="SQ38" s="239"/>
      <c r="SR38" s="239"/>
      <c r="SS38" s="239"/>
      <c r="ST38" s="239"/>
      <c r="SU38" s="239"/>
      <c r="SV38" s="239"/>
      <c r="SW38" s="239"/>
      <c r="SX38" s="239"/>
      <c r="SY38" s="239"/>
      <c r="SZ38" s="239"/>
      <c r="TA38" s="239"/>
      <c r="TB38" s="239"/>
      <c r="TC38" s="239"/>
      <c r="TD38" s="239"/>
      <c r="TE38" s="239"/>
      <c r="TF38" s="239"/>
      <c r="TG38" s="239"/>
      <c r="TH38" s="239"/>
      <c r="TI38" s="239"/>
      <c r="TJ38" s="239"/>
      <c r="TK38" s="239"/>
      <c r="TL38" s="239"/>
      <c r="TM38" s="239"/>
      <c r="TN38" s="239"/>
      <c r="TO38" s="239"/>
      <c r="TP38" s="239"/>
      <c r="TQ38" s="239"/>
      <c r="TR38" s="239"/>
      <c r="TS38" s="239"/>
      <c r="TT38" s="239"/>
      <c r="TU38" s="239"/>
      <c r="TV38" s="239"/>
      <c r="TW38" s="239"/>
      <c r="TX38" s="239"/>
      <c r="TY38" s="239"/>
      <c r="TZ38" s="239"/>
      <c r="UA38" s="239"/>
      <c r="UB38" s="239"/>
      <c r="UC38" s="239"/>
      <c r="UD38" s="239"/>
      <c r="UE38" s="239"/>
      <c r="UF38" s="239"/>
      <c r="UG38" s="240"/>
    </row>
    <row r="39" spans="1:553" s="236" customFormat="1" ht="27.75" customHeight="1">
      <c r="A39" s="356" t="s">
        <v>30</v>
      </c>
      <c r="B39" s="366" t="s">
        <v>35</v>
      </c>
      <c r="C39" s="1404" t="s">
        <v>106</v>
      </c>
      <c r="D39" s="1389"/>
      <c r="E39" s="1389"/>
      <c r="F39" s="1390"/>
      <c r="G39" s="386" t="s">
        <v>935</v>
      </c>
      <c r="H39" s="370"/>
      <c r="I39" s="834">
        <f>1.5*0.2*3.14*2</f>
        <v>1.8840000000000003</v>
      </c>
      <c r="J39" s="368">
        <v>39000</v>
      </c>
      <c r="K39" s="371"/>
      <c r="L39" s="391">
        <f t="shared" si="10"/>
        <v>73476</v>
      </c>
      <c r="M39" s="395"/>
      <c r="N39" s="395"/>
      <c r="O39" s="366"/>
      <c r="P39" s="396"/>
      <c r="Q39" s="473"/>
      <c r="R39" s="1039"/>
      <c r="S39" s="1049"/>
      <c r="T39" s="310"/>
      <c r="U39" s="311"/>
      <c r="V39" s="312"/>
      <c r="W39" s="311"/>
      <c r="X39" s="311"/>
      <c r="Y39" s="311"/>
      <c r="Z39" s="311"/>
      <c r="AA39" s="311"/>
      <c r="AB39" s="311"/>
      <c r="AC39" s="449"/>
      <c r="AD39" s="449"/>
      <c r="AE39" s="449"/>
      <c r="AF39" s="449"/>
      <c r="AG39" s="452"/>
      <c r="AH39" s="452"/>
      <c r="AI39" s="452"/>
      <c r="AJ39" s="452"/>
      <c r="AK39" s="452"/>
      <c r="AL39" s="242"/>
      <c r="AM39" s="241"/>
      <c r="AN39" s="241"/>
      <c r="AO39" s="241"/>
      <c r="AP39" s="241"/>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9"/>
      <c r="BN39" s="239"/>
      <c r="BO39" s="239"/>
      <c r="BP39" s="239"/>
      <c r="BQ39" s="239"/>
      <c r="BR39" s="239"/>
      <c r="BS39" s="239"/>
      <c r="BT39" s="239"/>
      <c r="BU39" s="239"/>
      <c r="BV39" s="239"/>
      <c r="BW39" s="239"/>
      <c r="BX39" s="239"/>
      <c r="BY39" s="239"/>
      <c r="BZ39" s="239"/>
      <c r="CA39" s="239"/>
      <c r="CB39" s="239"/>
      <c r="CC39" s="239"/>
      <c r="CD39" s="239"/>
      <c r="CE39" s="239"/>
      <c r="CF39" s="239"/>
      <c r="CG39" s="239"/>
      <c r="CH39" s="239"/>
      <c r="CI39" s="239"/>
      <c r="CJ39" s="239"/>
      <c r="CK39" s="239"/>
      <c r="CL39" s="239"/>
      <c r="CM39" s="239"/>
      <c r="CN39" s="239"/>
      <c r="CO39" s="239"/>
      <c r="CP39" s="239"/>
      <c r="CQ39" s="239"/>
      <c r="CR39" s="239"/>
      <c r="CS39" s="239"/>
      <c r="CT39" s="239"/>
      <c r="CU39" s="239"/>
      <c r="CV39" s="239"/>
      <c r="CW39" s="239"/>
      <c r="CX39" s="239"/>
      <c r="CY39" s="239"/>
      <c r="CZ39" s="239"/>
      <c r="DA39" s="239"/>
      <c r="DB39" s="239"/>
      <c r="DC39" s="239"/>
      <c r="DD39" s="239"/>
      <c r="DE39" s="239"/>
      <c r="DF39" s="239"/>
      <c r="DG39" s="239"/>
      <c r="DH39" s="239"/>
      <c r="DI39" s="239"/>
      <c r="DJ39" s="239"/>
      <c r="DK39" s="239"/>
      <c r="DL39" s="239"/>
      <c r="DM39" s="239"/>
      <c r="DN39" s="239"/>
      <c r="DO39" s="239"/>
      <c r="DP39" s="239"/>
      <c r="DQ39" s="239"/>
      <c r="DR39" s="239"/>
      <c r="DS39" s="239"/>
      <c r="DT39" s="239"/>
      <c r="DU39" s="239"/>
      <c r="DV39" s="239"/>
      <c r="DW39" s="239"/>
      <c r="DX39" s="239"/>
      <c r="DY39" s="239"/>
      <c r="DZ39" s="239"/>
      <c r="EA39" s="239"/>
      <c r="EB39" s="239"/>
      <c r="EC39" s="239"/>
      <c r="ED39" s="239"/>
      <c r="EE39" s="239"/>
      <c r="EF39" s="239"/>
      <c r="EG39" s="239"/>
      <c r="EH39" s="239"/>
      <c r="EI39" s="239"/>
      <c r="EJ39" s="239"/>
      <c r="EK39" s="239"/>
      <c r="EL39" s="239"/>
      <c r="EM39" s="239"/>
      <c r="EN39" s="239"/>
      <c r="EO39" s="239"/>
      <c r="EP39" s="239"/>
      <c r="EQ39" s="239"/>
      <c r="ER39" s="239"/>
      <c r="ES39" s="239"/>
      <c r="ET39" s="239"/>
      <c r="EU39" s="239"/>
      <c r="EV39" s="239"/>
      <c r="EW39" s="239"/>
      <c r="EX39" s="239"/>
      <c r="EY39" s="239"/>
      <c r="EZ39" s="239"/>
      <c r="FA39" s="239"/>
      <c r="FB39" s="239"/>
      <c r="FC39" s="239"/>
      <c r="FD39" s="239"/>
      <c r="FE39" s="239"/>
      <c r="FF39" s="239"/>
      <c r="FG39" s="239"/>
      <c r="FH39" s="239"/>
      <c r="FI39" s="239"/>
      <c r="FJ39" s="239"/>
      <c r="FK39" s="239"/>
      <c r="FL39" s="239"/>
      <c r="FM39" s="239"/>
      <c r="FN39" s="239"/>
      <c r="FO39" s="239"/>
      <c r="FP39" s="239"/>
      <c r="FQ39" s="239"/>
      <c r="FR39" s="239"/>
      <c r="FS39" s="239"/>
      <c r="FT39" s="239"/>
      <c r="FU39" s="239"/>
      <c r="FV39" s="239"/>
      <c r="FW39" s="239"/>
      <c r="FX39" s="239"/>
      <c r="FY39" s="239"/>
      <c r="FZ39" s="239"/>
      <c r="GA39" s="239"/>
      <c r="GB39" s="239"/>
      <c r="GC39" s="239"/>
      <c r="GD39" s="239"/>
      <c r="GE39" s="239"/>
      <c r="GF39" s="239"/>
      <c r="GG39" s="239"/>
      <c r="GH39" s="239"/>
      <c r="GI39" s="239"/>
      <c r="GJ39" s="239"/>
      <c r="GK39" s="239"/>
      <c r="GL39" s="239"/>
      <c r="GM39" s="239"/>
      <c r="GN39" s="239"/>
      <c r="GO39" s="239"/>
      <c r="GP39" s="239"/>
      <c r="GQ39" s="239"/>
      <c r="GR39" s="239"/>
      <c r="GS39" s="239"/>
      <c r="GT39" s="239"/>
      <c r="GU39" s="239"/>
      <c r="GV39" s="239"/>
      <c r="GW39" s="239"/>
      <c r="GX39" s="239"/>
      <c r="GY39" s="239"/>
      <c r="GZ39" s="239"/>
      <c r="HA39" s="239"/>
      <c r="HB39" s="239"/>
      <c r="HC39" s="239"/>
      <c r="HD39" s="239"/>
      <c r="HE39" s="239"/>
      <c r="HF39" s="239"/>
      <c r="HG39" s="239"/>
      <c r="HH39" s="239"/>
      <c r="HI39" s="239"/>
      <c r="HJ39" s="239"/>
      <c r="HK39" s="239"/>
      <c r="HL39" s="239"/>
      <c r="HM39" s="239"/>
      <c r="HN39" s="239"/>
      <c r="HO39" s="239"/>
      <c r="HP39" s="239"/>
      <c r="HQ39" s="239"/>
      <c r="HR39" s="239"/>
      <c r="HS39" s="239"/>
      <c r="HT39" s="239"/>
      <c r="HU39" s="239"/>
      <c r="HV39" s="239"/>
      <c r="HW39" s="239"/>
      <c r="HX39" s="239"/>
      <c r="HY39" s="239"/>
      <c r="HZ39" s="239"/>
      <c r="IA39" s="239"/>
      <c r="IB39" s="239"/>
      <c r="IC39" s="239"/>
      <c r="ID39" s="239"/>
      <c r="IE39" s="239"/>
      <c r="IF39" s="239"/>
      <c r="IG39" s="239"/>
      <c r="IH39" s="239"/>
      <c r="II39" s="239"/>
      <c r="IJ39" s="239"/>
      <c r="IK39" s="239"/>
      <c r="IL39" s="239"/>
      <c r="IM39" s="239"/>
      <c r="IN39" s="239"/>
      <c r="IO39" s="239"/>
      <c r="IP39" s="239"/>
      <c r="IQ39" s="239"/>
      <c r="IR39" s="239"/>
      <c r="IS39" s="239"/>
      <c r="IT39" s="239"/>
      <c r="IU39" s="239"/>
      <c r="IV39" s="239"/>
      <c r="IW39" s="239"/>
      <c r="IX39" s="239"/>
      <c r="IY39" s="239"/>
      <c r="IZ39" s="239"/>
      <c r="JA39" s="239"/>
      <c r="JB39" s="239"/>
      <c r="JC39" s="239"/>
      <c r="JD39" s="239"/>
      <c r="JE39" s="239"/>
      <c r="JF39" s="239"/>
      <c r="JG39" s="239"/>
      <c r="JH39" s="239"/>
      <c r="JI39" s="239"/>
      <c r="JJ39" s="239"/>
      <c r="JK39" s="239"/>
      <c r="JL39" s="239"/>
      <c r="JM39" s="239"/>
      <c r="JN39" s="239"/>
      <c r="JO39" s="239"/>
      <c r="JP39" s="239"/>
      <c r="JQ39" s="239"/>
      <c r="JR39" s="239"/>
      <c r="JS39" s="239"/>
      <c r="JT39" s="239"/>
      <c r="JU39" s="239"/>
      <c r="JV39" s="239"/>
      <c r="JW39" s="239"/>
      <c r="JX39" s="239"/>
      <c r="JY39" s="239"/>
      <c r="JZ39" s="239"/>
      <c r="KA39" s="239"/>
      <c r="KB39" s="239"/>
      <c r="KC39" s="239"/>
      <c r="KD39" s="239"/>
      <c r="KE39" s="239"/>
      <c r="KF39" s="239"/>
      <c r="KG39" s="239"/>
      <c r="KH39" s="239"/>
      <c r="KI39" s="239"/>
      <c r="KJ39" s="239"/>
      <c r="KK39" s="239"/>
      <c r="KL39" s="239"/>
      <c r="KM39" s="239"/>
      <c r="KN39" s="239"/>
      <c r="KO39" s="239"/>
      <c r="KP39" s="239"/>
      <c r="KQ39" s="239"/>
      <c r="KR39" s="239"/>
      <c r="KS39" s="239"/>
      <c r="KT39" s="239"/>
      <c r="KU39" s="239"/>
      <c r="KV39" s="239"/>
      <c r="KW39" s="239"/>
      <c r="KX39" s="239"/>
      <c r="KY39" s="239"/>
      <c r="KZ39" s="239"/>
      <c r="LA39" s="239"/>
      <c r="LB39" s="239"/>
      <c r="LC39" s="239"/>
      <c r="LD39" s="239"/>
      <c r="LE39" s="239"/>
      <c r="LF39" s="239"/>
      <c r="LG39" s="239"/>
      <c r="LH39" s="239"/>
      <c r="LI39" s="239"/>
      <c r="LJ39" s="239"/>
      <c r="LK39" s="239"/>
      <c r="LL39" s="239"/>
      <c r="LM39" s="239"/>
      <c r="LN39" s="239"/>
      <c r="LO39" s="239"/>
      <c r="LP39" s="239"/>
      <c r="LQ39" s="239"/>
      <c r="LR39" s="239"/>
      <c r="LS39" s="239"/>
      <c r="LT39" s="239"/>
      <c r="LU39" s="239"/>
      <c r="LV39" s="239"/>
      <c r="LW39" s="239"/>
      <c r="LX39" s="239"/>
      <c r="LY39" s="239"/>
      <c r="LZ39" s="239"/>
      <c r="MA39" s="239"/>
      <c r="MB39" s="239"/>
      <c r="MC39" s="239"/>
      <c r="MD39" s="239"/>
      <c r="ME39" s="239"/>
      <c r="MF39" s="239"/>
      <c r="MG39" s="239"/>
      <c r="MH39" s="239"/>
      <c r="MI39" s="239"/>
      <c r="MJ39" s="239"/>
      <c r="MK39" s="239"/>
      <c r="ML39" s="239"/>
      <c r="MM39" s="239"/>
      <c r="MN39" s="239"/>
      <c r="MO39" s="239"/>
      <c r="MP39" s="239"/>
      <c r="MQ39" s="239"/>
      <c r="MR39" s="239"/>
      <c r="MS39" s="239"/>
      <c r="MT39" s="239"/>
      <c r="MU39" s="239"/>
      <c r="MV39" s="239"/>
      <c r="MW39" s="239"/>
      <c r="MX39" s="239"/>
      <c r="MY39" s="239"/>
      <c r="MZ39" s="239"/>
      <c r="NA39" s="239"/>
      <c r="NB39" s="239"/>
      <c r="NC39" s="239"/>
      <c r="ND39" s="239"/>
      <c r="NE39" s="239"/>
      <c r="NF39" s="239"/>
      <c r="NG39" s="239"/>
      <c r="NH39" s="239"/>
      <c r="NI39" s="239"/>
      <c r="NJ39" s="239"/>
      <c r="NK39" s="239"/>
      <c r="NL39" s="239"/>
      <c r="NM39" s="239"/>
      <c r="NN39" s="239"/>
      <c r="NO39" s="239"/>
      <c r="NP39" s="239"/>
      <c r="NQ39" s="239"/>
      <c r="NR39" s="239"/>
      <c r="NS39" s="239"/>
      <c r="NT39" s="239"/>
      <c r="NU39" s="239"/>
      <c r="NV39" s="239"/>
      <c r="NW39" s="239"/>
      <c r="NX39" s="239"/>
      <c r="NY39" s="239"/>
      <c r="NZ39" s="239"/>
      <c r="OA39" s="239"/>
      <c r="OB39" s="239"/>
      <c r="OC39" s="239"/>
      <c r="OD39" s="239"/>
      <c r="OE39" s="239"/>
      <c r="OF39" s="239"/>
      <c r="OG39" s="239"/>
      <c r="OH39" s="239"/>
      <c r="OI39" s="239"/>
      <c r="OJ39" s="239"/>
      <c r="OK39" s="239"/>
      <c r="OL39" s="239"/>
      <c r="OM39" s="239"/>
      <c r="ON39" s="239"/>
      <c r="OO39" s="239"/>
      <c r="OP39" s="239"/>
      <c r="OQ39" s="239"/>
      <c r="OR39" s="239"/>
      <c r="OS39" s="239"/>
      <c r="OT39" s="239"/>
      <c r="OU39" s="239"/>
      <c r="OV39" s="239"/>
      <c r="OW39" s="239"/>
      <c r="OX39" s="239"/>
      <c r="OY39" s="239"/>
      <c r="OZ39" s="239"/>
      <c r="PA39" s="239"/>
      <c r="PB39" s="239"/>
      <c r="PC39" s="239"/>
      <c r="PD39" s="239"/>
      <c r="PE39" s="239"/>
      <c r="PF39" s="239"/>
      <c r="PG39" s="239"/>
      <c r="PH39" s="239"/>
      <c r="PI39" s="239"/>
      <c r="PJ39" s="239"/>
      <c r="PK39" s="239"/>
      <c r="PL39" s="239"/>
      <c r="PM39" s="239"/>
      <c r="PN39" s="239"/>
      <c r="PO39" s="239"/>
      <c r="PP39" s="239"/>
      <c r="PQ39" s="239"/>
      <c r="PR39" s="239"/>
      <c r="PS39" s="239"/>
      <c r="PT39" s="239"/>
      <c r="PU39" s="239"/>
      <c r="PV39" s="239"/>
      <c r="PW39" s="239"/>
      <c r="PX39" s="239"/>
      <c r="PY39" s="239"/>
      <c r="PZ39" s="239"/>
      <c r="QA39" s="239"/>
      <c r="QB39" s="239"/>
      <c r="QC39" s="239"/>
      <c r="QD39" s="239"/>
      <c r="QE39" s="239"/>
      <c r="QF39" s="239"/>
      <c r="QG39" s="239"/>
      <c r="QH39" s="239"/>
      <c r="QI39" s="239"/>
      <c r="QJ39" s="239"/>
      <c r="QK39" s="239"/>
      <c r="QL39" s="239"/>
      <c r="QM39" s="239"/>
      <c r="QN39" s="239"/>
      <c r="QO39" s="239"/>
      <c r="QP39" s="239"/>
      <c r="QQ39" s="239"/>
      <c r="QR39" s="239"/>
      <c r="QS39" s="239"/>
      <c r="QT39" s="239"/>
      <c r="QU39" s="239"/>
      <c r="QV39" s="239"/>
      <c r="QW39" s="239"/>
      <c r="QX39" s="239"/>
      <c r="QY39" s="239"/>
      <c r="QZ39" s="239"/>
      <c r="RA39" s="239"/>
      <c r="RB39" s="239"/>
      <c r="RC39" s="239"/>
      <c r="RD39" s="239"/>
      <c r="RE39" s="239"/>
      <c r="RF39" s="239"/>
      <c r="RG39" s="239"/>
      <c r="RH39" s="239"/>
      <c r="RI39" s="239"/>
      <c r="RJ39" s="239"/>
      <c r="RK39" s="239"/>
      <c r="RL39" s="239"/>
      <c r="RM39" s="239"/>
      <c r="RN39" s="239"/>
      <c r="RO39" s="239"/>
      <c r="RP39" s="239"/>
      <c r="RQ39" s="239"/>
      <c r="RR39" s="239"/>
      <c r="RS39" s="239"/>
      <c r="RT39" s="239"/>
      <c r="RU39" s="239"/>
      <c r="RV39" s="239"/>
      <c r="RW39" s="239"/>
      <c r="RX39" s="239"/>
      <c r="RY39" s="239"/>
      <c r="RZ39" s="239"/>
      <c r="SA39" s="239"/>
      <c r="SB39" s="239"/>
      <c r="SC39" s="239"/>
      <c r="SD39" s="239"/>
      <c r="SE39" s="239"/>
      <c r="SF39" s="239"/>
      <c r="SG39" s="239"/>
      <c r="SH39" s="239"/>
      <c r="SI39" s="239"/>
      <c r="SJ39" s="239"/>
      <c r="SK39" s="239"/>
      <c r="SL39" s="239"/>
      <c r="SM39" s="239"/>
      <c r="SN39" s="239"/>
      <c r="SO39" s="239"/>
      <c r="SP39" s="239"/>
      <c r="SQ39" s="239"/>
      <c r="SR39" s="239"/>
      <c r="SS39" s="239"/>
      <c r="ST39" s="239"/>
      <c r="SU39" s="239"/>
      <c r="SV39" s="239"/>
      <c r="SW39" s="239"/>
      <c r="SX39" s="239"/>
      <c r="SY39" s="239"/>
      <c r="SZ39" s="239"/>
      <c r="TA39" s="239"/>
      <c r="TB39" s="239"/>
      <c r="TC39" s="239"/>
      <c r="TD39" s="239"/>
      <c r="TE39" s="239"/>
      <c r="TF39" s="239"/>
      <c r="TG39" s="239"/>
      <c r="TH39" s="239"/>
      <c r="TI39" s="239"/>
      <c r="TJ39" s="239"/>
      <c r="TK39" s="239"/>
      <c r="TL39" s="239"/>
      <c r="TM39" s="239"/>
      <c r="TN39" s="239"/>
      <c r="TO39" s="239"/>
      <c r="TP39" s="239"/>
      <c r="TQ39" s="239"/>
      <c r="TR39" s="239"/>
      <c r="TS39" s="239"/>
      <c r="TT39" s="239"/>
      <c r="TU39" s="239"/>
      <c r="TV39" s="239"/>
      <c r="TW39" s="239"/>
      <c r="TX39" s="239"/>
      <c r="TY39" s="239"/>
      <c r="TZ39" s="239"/>
      <c r="UA39" s="239"/>
      <c r="UB39" s="239"/>
      <c r="UC39" s="239"/>
      <c r="UD39" s="239"/>
      <c r="UE39" s="239"/>
      <c r="UF39" s="239"/>
      <c r="UG39" s="240"/>
    </row>
    <row r="40" spans="1:553" s="236" customFormat="1" ht="27.75" customHeight="1">
      <c r="A40" s="356" t="s">
        <v>30</v>
      </c>
      <c r="B40" s="366" t="s">
        <v>35</v>
      </c>
      <c r="C40" s="1404" t="s">
        <v>107</v>
      </c>
      <c r="D40" s="1389"/>
      <c r="E40" s="1389"/>
      <c r="F40" s="1390"/>
      <c r="G40" s="386" t="s">
        <v>935</v>
      </c>
      <c r="H40" s="370"/>
      <c r="I40" s="422">
        <f>(0.32*8.3)*8*2</f>
        <v>42.496000000000002</v>
      </c>
      <c r="J40" s="368">
        <v>39000</v>
      </c>
      <c r="K40" s="371"/>
      <c r="L40" s="391">
        <f t="shared" ref="L40:L41" si="11">I40*J40</f>
        <v>1657344</v>
      </c>
      <c r="M40" s="391"/>
      <c r="N40" s="391"/>
      <c r="O40" s="391"/>
      <c r="P40" s="391"/>
      <c r="Q40" s="1444"/>
      <c r="R40" s="1226"/>
      <c r="S40" s="1047"/>
      <c r="T40" s="303"/>
      <c r="U40" s="306"/>
      <c r="V40" s="307"/>
      <c r="W40" s="306"/>
      <c r="X40" s="306"/>
      <c r="Y40" s="306"/>
      <c r="Z40" s="306"/>
      <c r="AA40" s="306"/>
      <c r="AB40" s="306"/>
      <c r="AC40" s="449"/>
      <c r="AD40" s="449"/>
      <c r="AE40" s="449"/>
      <c r="AF40" s="449"/>
      <c r="AG40" s="449"/>
      <c r="AH40" s="449"/>
      <c r="AI40" s="449"/>
      <c r="AJ40" s="449"/>
      <c r="AK40" s="452"/>
      <c r="AL40" s="242"/>
      <c r="AM40" s="241"/>
      <c r="AN40" s="241"/>
      <c r="AO40" s="241"/>
      <c r="AP40" s="241"/>
      <c r="AQ40" s="241"/>
      <c r="AR40" s="241"/>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c r="IX40" s="238"/>
      <c r="IY40" s="238"/>
      <c r="IZ40" s="238"/>
      <c r="JA40" s="238"/>
      <c r="JB40" s="238"/>
      <c r="JC40" s="238"/>
      <c r="JD40" s="238"/>
      <c r="JE40" s="238"/>
      <c r="JF40" s="238"/>
      <c r="JG40" s="238"/>
      <c r="JH40" s="238"/>
      <c r="JI40" s="238"/>
      <c r="JJ40" s="238"/>
      <c r="JK40" s="238"/>
      <c r="JL40" s="238"/>
      <c r="JM40" s="238"/>
      <c r="JN40" s="238"/>
      <c r="JO40" s="238"/>
      <c r="JP40" s="238"/>
      <c r="JQ40" s="238"/>
      <c r="JR40" s="238"/>
      <c r="JS40" s="238"/>
      <c r="JT40" s="238"/>
      <c r="JU40" s="238"/>
      <c r="JV40" s="238"/>
      <c r="JW40" s="238"/>
      <c r="JX40" s="238"/>
      <c r="JY40" s="238"/>
      <c r="JZ40" s="238"/>
      <c r="KA40" s="238"/>
      <c r="KB40" s="238"/>
      <c r="KC40" s="238"/>
      <c r="KD40" s="238"/>
      <c r="KE40" s="238"/>
      <c r="KF40" s="238"/>
      <c r="KG40" s="238"/>
      <c r="KH40" s="238"/>
      <c r="KI40" s="238"/>
      <c r="KJ40" s="238"/>
      <c r="KK40" s="238"/>
      <c r="KL40" s="238"/>
      <c r="KM40" s="238"/>
      <c r="KN40" s="238"/>
      <c r="KO40" s="238"/>
      <c r="KP40" s="238"/>
      <c r="KQ40" s="238"/>
      <c r="KR40" s="238"/>
      <c r="KS40" s="238"/>
      <c r="KT40" s="238"/>
      <c r="KU40" s="238"/>
      <c r="KV40" s="238"/>
      <c r="KW40" s="238"/>
      <c r="KX40" s="238"/>
      <c r="KY40" s="238"/>
      <c r="KZ40" s="238"/>
      <c r="LA40" s="238"/>
      <c r="LB40" s="238"/>
      <c r="LC40" s="238"/>
      <c r="LD40" s="238"/>
      <c r="LE40" s="238"/>
      <c r="LF40" s="238"/>
      <c r="LG40" s="238"/>
      <c r="LH40" s="238"/>
      <c r="LI40" s="238"/>
      <c r="LJ40" s="238"/>
      <c r="LK40" s="238"/>
      <c r="LL40" s="238"/>
      <c r="LM40" s="238"/>
      <c r="LN40" s="238"/>
      <c r="LO40" s="238"/>
      <c r="LP40" s="238"/>
      <c r="LQ40" s="238"/>
      <c r="LR40" s="238"/>
      <c r="LS40" s="238"/>
      <c r="LT40" s="238"/>
      <c r="LU40" s="238"/>
      <c r="LV40" s="238"/>
      <c r="LW40" s="238"/>
      <c r="LX40" s="238"/>
      <c r="LY40" s="238"/>
      <c r="LZ40" s="238"/>
      <c r="MA40" s="238"/>
      <c r="MB40" s="238"/>
      <c r="MC40" s="238"/>
      <c r="MD40" s="238"/>
      <c r="ME40" s="238"/>
      <c r="MF40" s="238"/>
      <c r="MG40" s="238"/>
      <c r="MH40" s="238"/>
      <c r="MI40" s="238"/>
      <c r="MJ40" s="238"/>
      <c r="MK40" s="238"/>
      <c r="ML40" s="238"/>
      <c r="MM40" s="238"/>
      <c r="MN40" s="238"/>
      <c r="MO40" s="238"/>
      <c r="MP40" s="238"/>
      <c r="MQ40" s="238"/>
      <c r="MR40" s="238"/>
      <c r="MS40" s="238"/>
      <c r="MT40" s="238"/>
      <c r="MU40" s="238"/>
      <c r="MV40" s="238"/>
      <c r="MW40" s="238"/>
      <c r="MX40" s="238"/>
      <c r="MY40" s="238"/>
      <c r="MZ40" s="238"/>
      <c r="NA40" s="238"/>
      <c r="NB40" s="238"/>
      <c r="NC40" s="238"/>
      <c r="ND40" s="238"/>
      <c r="NE40" s="238"/>
      <c r="NF40" s="238"/>
      <c r="NG40" s="238"/>
      <c r="NH40" s="238"/>
      <c r="NI40" s="238"/>
      <c r="NJ40" s="238"/>
      <c r="NK40" s="238"/>
      <c r="NL40" s="238"/>
      <c r="NM40" s="238"/>
      <c r="NN40" s="238"/>
      <c r="NO40" s="238"/>
      <c r="NP40" s="238"/>
      <c r="NQ40" s="238"/>
      <c r="NR40" s="238"/>
      <c r="NS40" s="238"/>
      <c r="NT40" s="238"/>
      <c r="NU40" s="238"/>
      <c r="NV40" s="238"/>
      <c r="NW40" s="238"/>
      <c r="NX40" s="238"/>
      <c r="NY40" s="238"/>
      <c r="NZ40" s="238"/>
      <c r="OA40" s="238"/>
      <c r="OB40" s="238"/>
      <c r="OC40" s="238"/>
      <c r="OD40" s="238"/>
      <c r="OE40" s="238"/>
      <c r="OF40" s="238"/>
      <c r="OG40" s="238"/>
      <c r="OH40" s="238"/>
      <c r="OI40" s="238"/>
      <c r="OJ40" s="238"/>
      <c r="OK40" s="238"/>
      <c r="OL40" s="238"/>
      <c r="OM40" s="238"/>
      <c r="ON40" s="238"/>
      <c r="OO40" s="238"/>
      <c r="OP40" s="238"/>
      <c r="OQ40" s="238"/>
      <c r="OR40" s="238"/>
      <c r="OS40" s="238"/>
      <c r="OT40" s="238"/>
      <c r="OU40" s="238"/>
      <c r="OV40" s="238"/>
      <c r="OW40" s="238"/>
      <c r="OX40" s="238"/>
      <c r="OY40" s="238"/>
      <c r="OZ40" s="238"/>
      <c r="PA40" s="238"/>
      <c r="PB40" s="238"/>
      <c r="PC40" s="238"/>
      <c r="PD40" s="238"/>
      <c r="PE40" s="238"/>
      <c r="PF40" s="238"/>
      <c r="PG40" s="238"/>
      <c r="PH40" s="238"/>
      <c r="PI40" s="238"/>
      <c r="PJ40" s="238"/>
      <c r="PK40" s="238"/>
      <c r="PL40" s="238"/>
      <c r="PM40" s="238"/>
      <c r="PN40" s="238"/>
      <c r="PO40" s="238"/>
      <c r="PP40" s="238"/>
      <c r="PQ40" s="238"/>
      <c r="PR40" s="238"/>
      <c r="PS40" s="238"/>
      <c r="PT40" s="238"/>
      <c r="PU40" s="238"/>
      <c r="PV40" s="238"/>
      <c r="PW40" s="238"/>
      <c r="PX40" s="238"/>
      <c r="PY40" s="238"/>
      <c r="PZ40" s="238"/>
      <c r="QA40" s="238"/>
      <c r="QB40" s="238"/>
      <c r="QC40" s="238"/>
      <c r="QD40" s="238"/>
      <c r="QE40" s="238"/>
      <c r="QF40" s="238"/>
      <c r="QG40" s="238"/>
      <c r="QH40" s="238"/>
      <c r="QI40" s="238"/>
      <c r="QJ40" s="238"/>
      <c r="QK40" s="238"/>
      <c r="QL40" s="238"/>
      <c r="QM40" s="238"/>
      <c r="QN40" s="238"/>
      <c r="QO40" s="238"/>
      <c r="QP40" s="238"/>
      <c r="QQ40" s="238"/>
      <c r="QR40" s="238"/>
      <c r="QS40" s="238"/>
      <c r="QT40" s="238"/>
      <c r="QU40" s="238"/>
      <c r="QV40" s="238"/>
      <c r="QW40" s="238"/>
      <c r="QX40" s="238"/>
      <c r="QY40" s="238"/>
      <c r="QZ40" s="238"/>
      <c r="RA40" s="238"/>
      <c r="RB40" s="238"/>
      <c r="RC40" s="238"/>
      <c r="RD40" s="238"/>
      <c r="RE40" s="238"/>
      <c r="RF40" s="238"/>
      <c r="RG40" s="238"/>
      <c r="RH40" s="238"/>
      <c r="RI40" s="238"/>
      <c r="RJ40" s="238"/>
      <c r="RK40" s="238"/>
      <c r="RL40" s="238"/>
      <c r="RM40" s="238"/>
      <c r="RN40" s="238"/>
      <c r="RO40" s="238"/>
      <c r="RP40" s="238"/>
      <c r="RQ40" s="238"/>
      <c r="RR40" s="238"/>
      <c r="RS40" s="238"/>
      <c r="RT40" s="238"/>
      <c r="RU40" s="238"/>
      <c r="RV40" s="238"/>
      <c r="RW40" s="238"/>
      <c r="RX40" s="238"/>
      <c r="RY40" s="238"/>
      <c r="RZ40" s="238"/>
      <c r="SA40" s="238"/>
      <c r="SB40" s="238"/>
      <c r="SC40" s="238"/>
      <c r="SD40" s="238"/>
      <c r="SE40" s="238"/>
      <c r="SF40" s="238"/>
      <c r="SG40" s="238"/>
      <c r="SH40" s="238"/>
      <c r="SI40" s="238"/>
      <c r="SJ40" s="238"/>
      <c r="SK40" s="238"/>
      <c r="SL40" s="238"/>
      <c r="SM40" s="238"/>
      <c r="SN40" s="238"/>
      <c r="SO40" s="238"/>
      <c r="SP40" s="238"/>
      <c r="SQ40" s="238"/>
      <c r="SR40" s="238"/>
      <c r="SS40" s="238"/>
      <c r="ST40" s="238"/>
      <c r="SU40" s="238"/>
      <c r="SV40" s="238"/>
      <c r="SW40" s="238"/>
      <c r="SX40" s="238"/>
      <c r="SY40" s="238"/>
      <c r="SZ40" s="238"/>
      <c r="TA40" s="238"/>
      <c r="TB40" s="238"/>
      <c r="TC40" s="238"/>
      <c r="TD40" s="238"/>
      <c r="TE40" s="238"/>
      <c r="TF40" s="238"/>
      <c r="TG40" s="238"/>
      <c r="TH40" s="238"/>
      <c r="TI40" s="238"/>
      <c r="TJ40" s="238"/>
      <c r="TK40" s="238"/>
      <c r="TL40" s="238"/>
      <c r="TM40" s="238"/>
      <c r="TN40" s="238"/>
      <c r="TO40" s="238"/>
      <c r="TP40" s="238"/>
      <c r="TQ40" s="238"/>
      <c r="TR40" s="238"/>
      <c r="TS40" s="238"/>
      <c r="TT40" s="238"/>
      <c r="TU40" s="238"/>
      <c r="TV40" s="238"/>
      <c r="TW40" s="238"/>
      <c r="TX40" s="238"/>
      <c r="TY40" s="238"/>
      <c r="TZ40" s="238"/>
      <c r="UA40" s="238"/>
      <c r="UB40" s="238"/>
      <c r="UC40" s="238"/>
      <c r="UD40" s="238"/>
      <c r="UE40" s="238"/>
      <c r="UF40" s="238"/>
      <c r="UG40" s="248"/>
    </row>
    <row r="41" spans="1:553" s="236" customFormat="1" ht="27.75" customHeight="1">
      <c r="A41" s="356" t="s">
        <v>30</v>
      </c>
      <c r="B41" s="366" t="s">
        <v>35</v>
      </c>
      <c r="C41" s="1404" t="s">
        <v>108</v>
      </c>
      <c r="D41" s="1389"/>
      <c r="E41" s="1389"/>
      <c r="F41" s="1390"/>
      <c r="G41" s="386" t="s">
        <v>935</v>
      </c>
      <c r="H41" s="370"/>
      <c r="I41" s="422">
        <f>7.5*9.9*2</f>
        <v>148.5</v>
      </c>
      <c r="J41" s="368">
        <v>39000</v>
      </c>
      <c r="K41" s="371"/>
      <c r="L41" s="391">
        <f t="shared" si="11"/>
        <v>5791500</v>
      </c>
      <c r="M41" s="391"/>
      <c r="N41" s="391"/>
      <c r="O41" s="391"/>
      <c r="P41" s="391"/>
      <c r="Q41" s="1445"/>
      <c r="R41" s="1226"/>
      <c r="S41" s="1047"/>
      <c r="T41" s="303"/>
      <c r="U41" s="306"/>
      <c r="V41" s="307"/>
      <c r="W41" s="306"/>
      <c r="X41" s="306"/>
      <c r="Y41" s="306"/>
      <c r="Z41" s="306"/>
      <c r="AA41" s="306"/>
      <c r="AB41" s="306"/>
      <c r="AC41" s="449"/>
      <c r="AD41" s="449"/>
      <c r="AE41" s="449"/>
      <c r="AF41" s="449"/>
      <c r="AG41" s="449"/>
      <c r="AH41" s="449"/>
      <c r="AI41" s="449"/>
      <c r="AJ41" s="449"/>
      <c r="AK41" s="452"/>
      <c r="AL41" s="242"/>
      <c r="AM41" s="241"/>
      <c r="AN41" s="241"/>
      <c r="AO41" s="241"/>
      <c r="AP41" s="241"/>
      <c r="AQ41" s="241"/>
      <c r="AR41" s="241"/>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c r="IX41" s="238"/>
      <c r="IY41" s="238"/>
      <c r="IZ41" s="238"/>
      <c r="JA41" s="238"/>
      <c r="JB41" s="238"/>
      <c r="JC41" s="238"/>
      <c r="JD41" s="238"/>
      <c r="JE41" s="238"/>
      <c r="JF41" s="238"/>
      <c r="JG41" s="238"/>
      <c r="JH41" s="238"/>
      <c r="JI41" s="238"/>
      <c r="JJ41" s="238"/>
      <c r="JK41" s="238"/>
      <c r="JL41" s="238"/>
      <c r="JM41" s="238"/>
      <c r="JN41" s="238"/>
      <c r="JO41" s="238"/>
      <c r="JP41" s="238"/>
      <c r="JQ41" s="238"/>
      <c r="JR41" s="238"/>
      <c r="JS41" s="238"/>
      <c r="JT41" s="238"/>
      <c r="JU41" s="238"/>
      <c r="JV41" s="238"/>
      <c r="JW41" s="238"/>
      <c r="JX41" s="238"/>
      <c r="JY41" s="238"/>
      <c r="JZ41" s="238"/>
      <c r="KA41" s="238"/>
      <c r="KB41" s="238"/>
      <c r="KC41" s="238"/>
      <c r="KD41" s="238"/>
      <c r="KE41" s="238"/>
      <c r="KF41" s="238"/>
      <c r="KG41" s="238"/>
      <c r="KH41" s="238"/>
      <c r="KI41" s="238"/>
      <c r="KJ41" s="238"/>
      <c r="KK41" s="238"/>
      <c r="KL41" s="238"/>
      <c r="KM41" s="238"/>
      <c r="KN41" s="238"/>
      <c r="KO41" s="238"/>
      <c r="KP41" s="238"/>
      <c r="KQ41" s="238"/>
      <c r="KR41" s="238"/>
      <c r="KS41" s="238"/>
      <c r="KT41" s="238"/>
      <c r="KU41" s="238"/>
      <c r="KV41" s="238"/>
      <c r="KW41" s="238"/>
      <c r="KX41" s="238"/>
      <c r="KY41" s="238"/>
      <c r="KZ41" s="238"/>
      <c r="LA41" s="238"/>
      <c r="LB41" s="238"/>
      <c r="LC41" s="238"/>
      <c r="LD41" s="238"/>
      <c r="LE41" s="238"/>
      <c r="LF41" s="238"/>
      <c r="LG41" s="238"/>
      <c r="LH41" s="238"/>
      <c r="LI41" s="238"/>
      <c r="LJ41" s="238"/>
      <c r="LK41" s="238"/>
      <c r="LL41" s="238"/>
      <c r="LM41" s="238"/>
      <c r="LN41" s="238"/>
      <c r="LO41" s="238"/>
      <c r="LP41" s="238"/>
      <c r="LQ41" s="238"/>
      <c r="LR41" s="238"/>
      <c r="LS41" s="238"/>
      <c r="LT41" s="238"/>
      <c r="LU41" s="238"/>
      <c r="LV41" s="238"/>
      <c r="LW41" s="238"/>
      <c r="LX41" s="238"/>
      <c r="LY41" s="238"/>
      <c r="LZ41" s="238"/>
      <c r="MA41" s="238"/>
      <c r="MB41" s="238"/>
      <c r="MC41" s="238"/>
      <c r="MD41" s="238"/>
      <c r="ME41" s="238"/>
      <c r="MF41" s="238"/>
      <c r="MG41" s="238"/>
      <c r="MH41" s="238"/>
      <c r="MI41" s="238"/>
      <c r="MJ41" s="238"/>
      <c r="MK41" s="238"/>
      <c r="ML41" s="238"/>
      <c r="MM41" s="238"/>
      <c r="MN41" s="238"/>
      <c r="MO41" s="238"/>
      <c r="MP41" s="238"/>
      <c r="MQ41" s="238"/>
      <c r="MR41" s="238"/>
      <c r="MS41" s="238"/>
      <c r="MT41" s="238"/>
      <c r="MU41" s="238"/>
      <c r="MV41" s="238"/>
      <c r="MW41" s="238"/>
      <c r="MX41" s="238"/>
      <c r="MY41" s="238"/>
      <c r="MZ41" s="238"/>
      <c r="NA41" s="238"/>
      <c r="NB41" s="238"/>
      <c r="NC41" s="238"/>
      <c r="ND41" s="238"/>
      <c r="NE41" s="238"/>
      <c r="NF41" s="238"/>
      <c r="NG41" s="238"/>
      <c r="NH41" s="238"/>
      <c r="NI41" s="238"/>
      <c r="NJ41" s="238"/>
      <c r="NK41" s="238"/>
      <c r="NL41" s="238"/>
      <c r="NM41" s="238"/>
      <c r="NN41" s="238"/>
      <c r="NO41" s="238"/>
      <c r="NP41" s="238"/>
      <c r="NQ41" s="238"/>
      <c r="NR41" s="238"/>
      <c r="NS41" s="238"/>
      <c r="NT41" s="238"/>
      <c r="NU41" s="238"/>
      <c r="NV41" s="238"/>
      <c r="NW41" s="238"/>
      <c r="NX41" s="238"/>
      <c r="NY41" s="238"/>
      <c r="NZ41" s="238"/>
      <c r="OA41" s="238"/>
      <c r="OB41" s="238"/>
      <c r="OC41" s="238"/>
      <c r="OD41" s="238"/>
      <c r="OE41" s="238"/>
      <c r="OF41" s="238"/>
      <c r="OG41" s="238"/>
      <c r="OH41" s="238"/>
      <c r="OI41" s="238"/>
      <c r="OJ41" s="238"/>
      <c r="OK41" s="238"/>
      <c r="OL41" s="238"/>
      <c r="OM41" s="238"/>
      <c r="ON41" s="238"/>
      <c r="OO41" s="238"/>
      <c r="OP41" s="238"/>
      <c r="OQ41" s="238"/>
      <c r="OR41" s="238"/>
      <c r="OS41" s="238"/>
      <c r="OT41" s="238"/>
      <c r="OU41" s="238"/>
      <c r="OV41" s="238"/>
      <c r="OW41" s="238"/>
      <c r="OX41" s="238"/>
      <c r="OY41" s="238"/>
      <c r="OZ41" s="238"/>
      <c r="PA41" s="238"/>
      <c r="PB41" s="238"/>
      <c r="PC41" s="238"/>
      <c r="PD41" s="238"/>
      <c r="PE41" s="238"/>
      <c r="PF41" s="238"/>
      <c r="PG41" s="238"/>
      <c r="PH41" s="238"/>
      <c r="PI41" s="238"/>
      <c r="PJ41" s="238"/>
      <c r="PK41" s="238"/>
      <c r="PL41" s="238"/>
      <c r="PM41" s="238"/>
      <c r="PN41" s="238"/>
      <c r="PO41" s="238"/>
      <c r="PP41" s="238"/>
      <c r="PQ41" s="238"/>
      <c r="PR41" s="238"/>
      <c r="PS41" s="238"/>
      <c r="PT41" s="238"/>
      <c r="PU41" s="238"/>
      <c r="PV41" s="238"/>
      <c r="PW41" s="238"/>
      <c r="PX41" s="238"/>
      <c r="PY41" s="238"/>
      <c r="PZ41" s="238"/>
      <c r="QA41" s="238"/>
      <c r="QB41" s="238"/>
      <c r="QC41" s="238"/>
      <c r="QD41" s="238"/>
      <c r="QE41" s="238"/>
      <c r="QF41" s="238"/>
      <c r="QG41" s="238"/>
      <c r="QH41" s="238"/>
      <c r="QI41" s="238"/>
      <c r="QJ41" s="238"/>
      <c r="QK41" s="238"/>
      <c r="QL41" s="238"/>
      <c r="QM41" s="238"/>
      <c r="QN41" s="238"/>
      <c r="QO41" s="238"/>
      <c r="QP41" s="238"/>
      <c r="QQ41" s="238"/>
      <c r="QR41" s="238"/>
      <c r="QS41" s="238"/>
      <c r="QT41" s="238"/>
      <c r="QU41" s="238"/>
      <c r="QV41" s="238"/>
      <c r="QW41" s="238"/>
      <c r="QX41" s="238"/>
      <c r="QY41" s="238"/>
      <c r="QZ41" s="238"/>
      <c r="RA41" s="238"/>
      <c r="RB41" s="238"/>
      <c r="RC41" s="238"/>
      <c r="RD41" s="238"/>
      <c r="RE41" s="238"/>
      <c r="RF41" s="238"/>
      <c r="RG41" s="238"/>
      <c r="RH41" s="238"/>
      <c r="RI41" s="238"/>
      <c r="RJ41" s="238"/>
      <c r="RK41" s="238"/>
      <c r="RL41" s="238"/>
      <c r="RM41" s="238"/>
      <c r="RN41" s="238"/>
      <c r="RO41" s="238"/>
      <c r="RP41" s="238"/>
      <c r="RQ41" s="238"/>
      <c r="RR41" s="238"/>
      <c r="RS41" s="238"/>
      <c r="RT41" s="238"/>
      <c r="RU41" s="238"/>
      <c r="RV41" s="238"/>
      <c r="RW41" s="238"/>
      <c r="RX41" s="238"/>
      <c r="RY41" s="238"/>
      <c r="RZ41" s="238"/>
      <c r="SA41" s="238"/>
      <c r="SB41" s="238"/>
      <c r="SC41" s="238"/>
      <c r="SD41" s="238"/>
      <c r="SE41" s="238"/>
      <c r="SF41" s="238"/>
      <c r="SG41" s="238"/>
      <c r="SH41" s="238"/>
      <c r="SI41" s="238"/>
      <c r="SJ41" s="238"/>
      <c r="SK41" s="238"/>
      <c r="SL41" s="238"/>
      <c r="SM41" s="238"/>
      <c r="SN41" s="238"/>
      <c r="SO41" s="238"/>
      <c r="SP41" s="238"/>
      <c r="SQ41" s="238"/>
      <c r="SR41" s="238"/>
      <c r="SS41" s="238"/>
      <c r="ST41" s="238"/>
      <c r="SU41" s="238"/>
      <c r="SV41" s="238"/>
      <c r="SW41" s="238"/>
      <c r="SX41" s="238"/>
      <c r="SY41" s="238"/>
      <c r="SZ41" s="238"/>
      <c r="TA41" s="238"/>
      <c r="TB41" s="238"/>
      <c r="TC41" s="238"/>
      <c r="TD41" s="238"/>
      <c r="TE41" s="238"/>
      <c r="TF41" s="238"/>
      <c r="TG41" s="238"/>
      <c r="TH41" s="238"/>
      <c r="TI41" s="238"/>
      <c r="TJ41" s="238"/>
      <c r="TK41" s="238"/>
      <c r="TL41" s="238"/>
      <c r="TM41" s="238"/>
      <c r="TN41" s="238"/>
      <c r="TO41" s="238"/>
      <c r="TP41" s="238"/>
      <c r="TQ41" s="238"/>
      <c r="TR41" s="238"/>
      <c r="TS41" s="238"/>
      <c r="TT41" s="238"/>
      <c r="TU41" s="238"/>
      <c r="TV41" s="238"/>
      <c r="TW41" s="238"/>
      <c r="TX41" s="238"/>
      <c r="TY41" s="238"/>
      <c r="TZ41" s="238"/>
      <c r="UA41" s="238"/>
      <c r="UB41" s="238"/>
      <c r="UC41" s="238"/>
      <c r="UD41" s="238"/>
      <c r="UE41" s="238"/>
      <c r="UF41" s="238"/>
      <c r="UG41" s="248"/>
    </row>
    <row r="42" spans="1:553" s="236" customFormat="1" ht="27.75" customHeight="1">
      <c r="A42" s="356" t="s">
        <v>30</v>
      </c>
      <c r="B42" s="366" t="s">
        <v>109</v>
      </c>
      <c r="C42" s="1404" t="s">
        <v>110</v>
      </c>
      <c r="D42" s="1389"/>
      <c r="E42" s="1389"/>
      <c r="F42" s="1390"/>
      <c r="G42" s="386" t="s">
        <v>935</v>
      </c>
      <c r="H42" s="370"/>
      <c r="I42" s="422">
        <f>(3*1)*2</f>
        <v>6</v>
      </c>
      <c r="J42" s="368">
        <v>39000</v>
      </c>
      <c r="K42" s="371"/>
      <c r="L42" s="391">
        <f t="shared" ref="L42:L50" si="12">ROUND(PRODUCT(I42:K42),0)</f>
        <v>234000</v>
      </c>
      <c r="M42" s="391"/>
      <c r="N42" s="391"/>
      <c r="O42" s="391"/>
      <c r="P42" s="391"/>
      <c r="Q42" s="1444"/>
      <c r="R42" s="1226"/>
      <c r="S42" s="1047"/>
      <c r="T42" s="303"/>
      <c r="U42" s="306"/>
      <c r="V42" s="307"/>
      <c r="W42" s="306"/>
      <c r="X42" s="306"/>
      <c r="Y42" s="306"/>
      <c r="Z42" s="306"/>
      <c r="AA42" s="306"/>
      <c r="AB42" s="306"/>
      <c r="AC42" s="449"/>
      <c r="AD42" s="449"/>
      <c r="AE42" s="449"/>
      <c r="AF42" s="449"/>
      <c r="AG42" s="449"/>
      <c r="AH42" s="449"/>
      <c r="AI42" s="449"/>
      <c r="AJ42" s="449"/>
      <c r="AK42" s="452"/>
      <c r="AL42" s="242"/>
      <c r="AM42" s="241"/>
      <c r="AN42" s="241"/>
      <c r="AO42" s="241"/>
      <c r="AP42" s="241"/>
      <c r="AQ42" s="241"/>
      <c r="AR42" s="241"/>
      <c r="AS42" s="238"/>
      <c r="AT42" s="238"/>
      <c r="AU42" s="238"/>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8"/>
      <c r="BR42" s="238"/>
      <c r="BS42" s="238"/>
      <c r="BT42" s="238"/>
      <c r="BU42" s="238"/>
      <c r="BV42" s="238"/>
      <c r="BW42" s="238"/>
      <c r="BX42" s="238"/>
      <c r="BY42" s="238"/>
      <c r="BZ42" s="238"/>
      <c r="CA42" s="238"/>
      <c r="CB42" s="238"/>
      <c r="CC42" s="238"/>
      <c r="CD42" s="238"/>
      <c r="CE42" s="238"/>
      <c r="CF42" s="238"/>
      <c r="CG42" s="238"/>
      <c r="CH42" s="238"/>
      <c r="CI42" s="238"/>
      <c r="CJ42" s="238"/>
      <c r="CK42" s="238"/>
      <c r="CL42" s="238"/>
      <c r="CM42" s="238"/>
      <c r="CN42" s="238"/>
      <c r="CO42" s="238"/>
      <c r="CP42" s="238"/>
      <c r="CQ42" s="238"/>
      <c r="CR42" s="238"/>
      <c r="CS42" s="238"/>
      <c r="CT42" s="238"/>
      <c r="CU42" s="238"/>
      <c r="CV42" s="238"/>
      <c r="CW42" s="238"/>
      <c r="CX42" s="238"/>
      <c r="CY42" s="238"/>
      <c r="CZ42" s="238"/>
      <c r="DA42" s="238"/>
      <c r="DB42" s="238"/>
      <c r="DC42" s="238"/>
      <c r="DD42" s="238"/>
      <c r="DE42" s="238"/>
      <c r="DF42" s="238"/>
      <c r="DG42" s="238"/>
      <c r="DH42" s="238"/>
      <c r="DI42" s="238"/>
      <c r="DJ42" s="238"/>
      <c r="DK42" s="238"/>
      <c r="DL42" s="238"/>
      <c r="DM42" s="238"/>
      <c r="DN42" s="238"/>
      <c r="DO42" s="238"/>
      <c r="DP42" s="238"/>
      <c r="DQ42" s="238"/>
      <c r="DR42" s="238"/>
      <c r="DS42" s="238"/>
      <c r="DT42" s="238"/>
      <c r="DU42" s="238"/>
      <c r="DV42" s="238"/>
      <c r="DW42" s="238"/>
      <c r="DX42" s="238"/>
      <c r="DY42" s="238"/>
      <c r="DZ42" s="238"/>
      <c r="EA42" s="238"/>
      <c r="EB42" s="238"/>
      <c r="EC42" s="238"/>
      <c r="ED42" s="238"/>
      <c r="EE42" s="238"/>
      <c r="EF42" s="238"/>
      <c r="EG42" s="238"/>
      <c r="EH42" s="238"/>
      <c r="EI42" s="238"/>
      <c r="EJ42" s="238"/>
      <c r="EK42" s="238"/>
      <c r="EL42" s="238"/>
      <c r="EM42" s="238"/>
      <c r="EN42" s="238"/>
      <c r="EO42" s="238"/>
      <c r="EP42" s="238"/>
      <c r="EQ42" s="238"/>
      <c r="ER42" s="238"/>
      <c r="ES42" s="238"/>
      <c r="ET42" s="238"/>
      <c r="EU42" s="238"/>
      <c r="EV42" s="238"/>
      <c r="EW42" s="238"/>
      <c r="EX42" s="238"/>
      <c r="EY42" s="238"/>
      <c r="EZ42" s="238"/>
      <c r="FA42" s="238"/>
      <c r="FB42" s="238"/>
      <c r="FC42" s="238"/>
      <c r="FD42" s="238"/>
      <c r="FE42" s="238"/>
      <c r="FF42" s="238"/>
      <c r="FG42" s="238"/>
      <c r="FH42" s="238"/>
      <c r="FI42" s="238"/>
      <c r="FJ42" s="238"/>
      <c r="FK42" s="238"/>
      <c r="FL42" s="238"/>
      <c r="FM42" s="238"/>
      <c r="FN42" s="238"/>
      <c r="FO42" s="238"/>
      <c r="FP42" s="238"/>
      <c r="FQ42" s="238"/>
      <c r="FR42" s="238"/>
      <c r="FS42" s="238"/>
      <c r="FT42" s="238"/>
      <c r="FU42" s="238"/>
      <c r="FV42" s="238"/>
      <c r="FW42" s="238"/>
      <c r="FX42" s="238"/>
      <c r="FY42" s="238"/>
      <c r="FZ42" s="238"/>
      <c r="GA42" s="238"/>
      <c r="GB42" s="238"/>
      <c r="GC42" s="238"/>
      <c r="GD42" s="238"/>
      <c r="GE42" s="238"/>
      <c r="GF42" s="238"/>
      <c r="GG42" s="238"/>
      <c r="GH42" s="238"/>
      <c r="GI42" s="238"/>
      <c r="GJ42" s="238"/>
      <c r="GK42" s="238"/>
      <c r="GL42" s="238"/>
      <c r="GM42" s="238"/>
      <c r="GN42" s="238"/>
      <c r="GO42" s="238"/>
      <c r="GP42" s="238"/>
      <c r="GQ42" s="238"/>
      <c r="GR42" s="238"/>
      <c r="GS42" s="238"/>
      <c r="GT42" s="238"/>
      <c r="GU42" s="238"/>
      <c r="GV42" s="238"/>
      <c r="GW42" s="238"/>
      <c r="GX42" s="238"/>
      <c r="GY42" s="238"/>
      <c r="GZ42" s="238"/>
      <c r="HA42" s="238"/>
      <c r="HB42" s="238"/>
      <c r="HC42" s="238"/>
      <c r="HD42" s="238"/>
      <c r="HE42" s="238"/>
      <c r="HF42" s="238"/>
      <c r="HG42" s="238"/>
      <c r="HH42" s="238"/>
      <c r="HI42" s="238"/>
      <c r="HJ42" s="238"/>
      <c r="HK42" s="238"/>
      <c r="HL42" s="238"/>
      <c r="HM42" s="238"/>
      <c r="HN42" s="238"/>
      <c r="HO42" s="238"/>
      <c r="HP42" s="238"/>
      <c r="HQ42" s="238"/>
      <c r="HR42" s="238"/>
      <c r="HS42" s="238"/>
      <c r="HT42" s="238"/>
      <c r="HU42" s="238"/>
      <c r="HV42" s="238"/>
      <c r="HW42" s="238"/>
      <c r="HX42" s="238"/>
      <c r="HY42" s="238"/>
      <c r="HZ42" s="238"/>
      <c r="IA42" s="238"/>
      <c r="IB42" s="238"/>
      <c r="IC42" s="238"/>
      <c r="ID42" s="238"/>
      <c r="IE42" s="238"/>
      <c r="IF42" s="238"/>
      <c r="IG42" s="238"/>
      <c r="IH42" s="238"/>
      <c r="II42" s="238"/>
      <c r="IJ42" s="238"/>
      <c r="IK42" s="238"/>
      <c r="IL42" s="238"/>
      <c r="IM42" s="238"/>
      <c r="IN42" s="238"/>
      <c r="IO42" s="238"/>
      <c r="IP42" s="238"/>
      <c r="IQ42" s="238"/>
      <c r="IR42" s="238"/>
      <c r="IS42" s="238"/>
      <c r="IT42" s="238"/>
      <c r="IU42" s="238"/>
      <c r="IV42" s="238"/>
      <c r="IW42" s="238"/>
      <c r="IX42" s="238"/>
      <c r="IY42" s="238"/>
      <c r="IZ42" s="238"/>
      <c r="JA42" s="238"/>
      <c r="JB42" s="238"/>
      <c r="JC42" s="238"/>
      <c r="JD42" s="238"/>
      <c r="JE42" s="238"/>
      <c r="JF42" s="238"/>
      <c r="JG42" s="238"/>
      <c r="JH42" s="238"/>
      <c r="JI42" s="238"/>
      <c r="JJ42" s="238"/>
      <c r="JK42" s="238"/>
      <c r="JL42" s="238"/>
      <c r="JM42" s="238"/>
      <c r="JN42" s="238"/>
      <c r="JO42" s="238"/>
      <c r="JP42" s="238"/>
      <c r="JQ42" s="238"/>
      <c r="JR42" s="238"/>
      <c r="JS42" s="238"/>
      <c r="JT42" s="238"/>
      <c r="JU42" s="238"/>
      <c r="JV42" s="238"/>
      <c r="JW42" s="238"/>
      <c r="JX42" s="238"/>
      <c r="JY42" s="238"/>
      <c r="JZ42" s="238"/>
      <c r="KA42" s="238"/>
      <c r="KB42" s="238"/>
      <c r="KC42" s="238"/>
      <c r="KD42" s="238"/>
      <c r="KE42" s="238"/>
      <c r="KF42" s="238"/>
      <c r="KG42" s="238"/>
      <c r="KH42" s="238"/>
      <c r="KI42" s="238"/>
      <c r="KJ42" s="238"/>
      <c r="KK42" s="238"/>
      <c r="KL42" s="238"/>
      <c r="KM42" s="238"/>
      <c r="KN42" s="238"/>
      <c r="KO42" s="238"/>
      <c r="KP42" s="238"/>
      <c r="KQ42" s="238"/>
      <c r="KR42" s="238"/>
      <c r="KS42" s="238"/>
      <c r="KT42" s="238"/>
      <c r="KU42" s="238"/>
      <c r="KV42" s="238"/>
      <c r="KW42" s="238"/>
      <c r="KX42" s="238"/>
      <c r="KY42" s="238"/>
      <c r="KZ42" s="238"/>
      <c r="LA42" s="238"/>
      <c r="LB42" s="238"/>
      <c r="LC42" s="238"/>
      <c r="LD42" s="238"/>
      <c r="LE42" s="238"/>
      <c r="LF42" s="238"/>
      <c r="LG42" s="238"/>
      <c r="LH42" s="238"/>
      <c r="LI42" s="238"/>
      <c r="LJ42" s="238"/>
      <c r="LK42" s="238"/>
      <c r="LL42" s="238"/>
      <c r="LM42" s="238"/>
      <c r="LN42" s="238"/>
      <c r="LO42" s="238"/>
      <c r="LP42" s="238"/>
      <c r="LQ42" s="238"/>
      <c r="LR42" s="238"/>
      <c r="LS42" s="238"/>
      <c r="LT42" s="238"/>
      <c r="LU42" s="238"/>
      <c r="LV42" s="238"/>
      <c r="LW42" s="238"/>
      <c r="LX42" s="238"/>
      <c r="LY42" s="238"/>
      <c r="LZ42" s="238"/>
      <c r="MA42" s="238"/>
      <c r="MB42" s="238"/>
      <c r="MC42" s="238"/>
      <c r="MD42" s="238"/>
      <c r="ME42" s="238"/>
      <c r="MF42" s="238"/>
      <c r="MG42" s="238"/>
      <c r="MH42" s="238"/>
      <c r="MI42" s="238"/>
      <c r="MJ42" s="238"/>
      <c r="MK42" s="238"/>
      <c r="ML42" s="238"/>
      <c r="MM42" s="238"/>
      <c r="MN42" s="238"/>
      <c r="MO42" s="238"/>
      <c r="MP42" s="238"/>
      <c r="MQ42" s="238"/>
      <c r="MR42" s="238"/>
      <c r="MS42" s="238"/>
      <c r="MT42" s="238"/>
      <c r="MU42" s="238"/>
      <c r="MV42" s="238"/>
      <c r="MW42" s="238"/>
      <c r="MX42" s="238"/>
      <c r="MY42" s="238"/>
      <c r="MZ42" s="238"/>
      <c r="NA42" s="238"/>
      <c r="NB42" s="238"/>
      <c r="NC42" s="238"/>
      <c r="ND42" s="238"/>
      <c r="NE42" s="238"/>
      <c r="NF42" s="238"/>
      <c r="NG42" s="238"/>
      <c r="NH42" s="238"/>
      <c r="NI42" s="238"/>
      <c r="NJ42" s="238"/>
      <c r="NK42" s="238"/>
      <c r="NL42" s="238"/>
      <c r="NM42" s="238"/>
      <c r="NN42" s="238"/>
      <c r="NO42" s="238"/>
      <c r="NP42" s="238"/>
      <c r="NQ42" s="238"/>
      <c r="NR42" s="238"/>
      <c r="NS42" s="238"/>
      <c r="NT42" s="238"/>
      <c r="NU42" s="238"/>
      <c r="NV42" s="238"/>
      <c r="NW42" s="238"/>
      <c r="NX42" s="238"/>
      <c r="NY42" s="238"/>
      <c r="NZ42" s="238"/>
      <c r="OA42" s="238"/>
      <c r="OB42" s="238"/>
      <c r="OC42" s="238"/>
      <c r="OD42" s="238"/>
      <c r="OE42" s="238"/>
      <c r="OF42" s="238"/>
      <c r="OG42" s="238"/>
      <c r="OH42" s="238"/>
      <c r="OI42" s="238"/>
      <c r="OJ42" s="238"/>
      <c r="OK42" s="238"/>
      <c r="OL42" s="238"/>
      <c r="OM42" s="238"/>
      <c r="ON42" s="238"/>
      <c r="OO42" s="238"/>
      <c r="OP42" s="238"/>
      <c r="OQ42" s="238"/>
      <c r="OR42" s="238"/>
      <c r="OS42" s="238"/>
      <c r="OT42" s="238"/>
      <c r="OU42" s="238"/>
      <c r="OV42" s="238"/>
      <c r="OW42" s="238"/>
      <c r="OX42" s="238"/>
      <c r="OY42" s="238"/>
      <c r="OZ42" s="238"/>
      <c r="PA42" s="238"/>
      <c r="PB42" s="238"/>
      <c r="PC42" s="238"/>
      <c r="PD42" s="238"/>
      <c r="PE42" s="238"/>
      <c r="PF42" s="238"/>
      <c r="PG42" s="238"/>
      <c r="PH42" s="238"/>
      <c r="PI42" s="238"/>
      <c r="PJ42" s="238"/>
      <c r="PK42" s="238"/>
      <c r="PL42" s="238"/>
      <c r="PM42" s="238"/>
      <c r="PN42" s="238"/>
      <c r="PO42" s="238"/>
      <c r="PP42" s="238"/>
      <c r="PQ42" s="238"/>
      <c r="PR42" s="238"/>
      <c r="PS42" s="238"/>
      <c r="PT42" s="238"/>
      <c r="PU42" s="238"/>
      <c r="PV42" s="238"/>
      <c r="PW42" s="238"/>
      <c r="PX42" s="238"/>
      <c r="PY42" s="238"/>
      <c r="PZ42" s="238"/>
      <c r="QA42" s="238"/>
      <c r="QB42" s="238"/>
      <c r="QC42" s="238"/>
      <c r="QD42" s="238"/>
      <c r="QE42" s="238"/>
      <c r="QF42" s="238"/>
      <c r="QG42" s="238"/>
      <c r="QH42" s="238"/>
      <c r="QI42" s="238"/>
      <c r="QJ42" s="238"/>
      <c r="QK42" s="238"/>
      <c r="QL42" s="238"/>
      <c r="QM42" s="238"/>
      <c r="QN42" s="238"/>
      <c r="QO42" s="238"/>
      <c r="QP42" s="238"/>
      <c r="QQ42" s="238"/>
      <c r="QR42" s="238"/>
      <c r="QS42" s="238"/>
      <c r="QT42" s="238"/>
      <c r="QU42" s="238"/>
      <c r="QV42" s="238"/>
      <c r="QW42" s="238"/>
      <c r="QX42" s="238"/>
      <c r="QY42" s="238"/>
      <c r="QZ42" s="238"/>
      <c r="RA42" s="238"/>
      <c r="RB42" s="238"/>
      <c r="RC42" s="238"/>
      <c r="RD42" s="238"/>
      <c r="RE42" s="238"/>
      <c r="RF42" s="238"/>
      <c r="RG42" s="238"/>
      <c r="RH42" s="238"/>
      <c r="RI42" s="238"/>
      <c r="RJ42" s="238"/>
      <c r="RK42" s="238"/>
      <c r="RL42" s="238"/>
      <c r="RM42" s="238"/>
      <c r="RN42" s="238"/>
      <c r="RO42" s="238"/>
      <c r="RP42" s="238"/>
      <c r="RQ42" s="238"/>
      <c r="RR42" s="238"/>
      <c r="RS42" s="238"/>
      <c r="RT42" s="238"/>
      <c r="RU42" s="238"/>
      <c r="RV42" s="238"/>
      <c r="RW42" s="238"/>
      <c r="RX42" s="238"/>
      <c r="RY42" s="238"/>
      <c r="RZ42" s="238"/>
      <c r="SA42" s="238"/>
      <c r="SB42" s="238"/>
      <c r="SC42" s="238"/>
      <c r="SD42" s="238"/>
      <c r="SE42" s="238"/>
      <c r="SF42" s="238"/>
      <c r="SG42" s="238"/>
      <c r="SH42" s="238"/>
      <c r="SI42" s="238"/>
      <c r="SJ42" s="238"/>
      <c r="SK42" s="238"/>
      <c r="SL42" s="238"/>
      <c r="SM42" s="238"/>
      <c r="SN42" s="238"/>
      <c r="SO42" s="238"/>
      <c r="SP42" s="238"/>
      <c r="SQ42" s="238"/>
      <c r="SR42" s="238"/>
      <c r="SS42" s="238"/>
      <c r="ST42" s="238"/>
      <c r="SU42" s="238"/>
      <c r="SV42" s="238"/>
      <c r="SW42" s="238"/>
      <c r="SX42" s="238"/>
      <c r="SY42" s="238"/>
      <c r="SZ42" s="238"/>
      <c r="TA42" s="238"/>
      <c r="TB42" s="238"/>
      <c r="TC42" s="238"/>
      <c r="TD42" s="238"/>
      <c r="TE42" s="238"/>
      <c r="TF42" s="238"/>
      <c r="TG42" s="238"/>
      <c r="TH42" s="238"/>
      <c r="TI42" s="238"/>
      <c r="TJ42" s="238"/>
      <c r="TK42" s="238"/>
      <c r="TL42" s="238"/>
      <c r="TM42" s="238"/>
      <c r="TN42" s="238"/>
      <c r="TO42" s="238"/>
      <c r="TP42" s="238"/>
      <c r="TQ42" s="238"/>
      <c r="TR42" s="238"/>
      <c r="TS42" s="238"/>
      <c r="TT42" s="238"/>
      <c r="TU42" s="238"/>
      <c r="TV42" s="238"/>
      <c r="TW42" s="238"/>
      <c r="TX42" s="238"/>
      <c r="TY42" s="238"/>
      <c r="TZ42" s="238"/>
      <c r="UA42" s="238"/>
      <c r="UB42" s="238"/>
      <c r="UC42" s="238"/>
      <c r="UD42" s="238"/>
      <c r="UE42" s="238"/>
      <c r="UF42" s="238"/>
      <c r="UG42" s="248"/>
    </row>
    <row r="43" spans="1:553" s="236" customFormat="1" ht="27.75" customHeight="1">
      <c r="A43" s="356" t="s">
        <v>30</v>
      </c>
      <c r="B43" s="366" t="s">
        <v>111</v>
      </c>
      <c r="C43" s="1404" t="s">
        <v>112</v>
      </c>
      <c r="D43" s="1389"/>
      <c r="E43" s="1389"/>
      <c r="F43" s="1390"/>
      <c r="G43" s="386" t="s">
        <v>113</v>
      </c>
      <c r="H43" s="370"/>
      <c r="I43" s="422">
        <f>5.3*0.52*4</f>
        <v>11.023999999999999</v>
      </c>
      <c r="J43" s="368">
        <v>420000</v>
      </c>
      <c r="K43" s="371"/>
      <c r="L43" s="391">
        <f t="shared" si="12"/>
        <v>4630080</v>
      </c>
      <c r="M43" s="391"/>
      <c r="N43" s="391"/>
      <c r="O43" s="391"/>
      <c r="P43" s="391"/>
      <c r="Q43" s="1445"/>
      <c r="R43" s="1226"/>
      <c r="S43" s="1047"/>
      <c r="T43" s="303"/>
      <c r="U43" s="306"/>
      <c r="V43" s="307"/>
      <c r="W43" s="306"/>
      <c r="X43" s="306"/>
      <c r="Y43" s="306"/>
      <c r="Z43" s="306"/>
      <c r="AA43" s="306"/>
      <c r="AB43" s="306"/>
      <c r="AC43" s="449"/>
      <c r="AD43" s="449"/>
      <c r="AE43" s="449"/>
      <c r="AF43" s="449"/>
      <c r="AG43" s="449"/>
      <c r="AH43" s="449"/>
      <c r="AI43" s="449"/>
      <c r="AJ43" s="449"/>
      <c r="AK43" s="452"/>
      <c r="AL43" s="242"/>
      <c r="AM43" s="241"/>
      <c r="AN43" s="241"/>
      <c r="AO43" s="241"/>
      <c r="AP43" s="241"/>
      <c r="AQ43" s="241"/>
      <c r="AR43" s="241"/>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8"/>
      <c r="BR43" s="238"/>
      <c r="BS43" s="238"/>
      <c r="BT43" s="238"/>
      <c r="BU43" s="238"/>
      <c r="BV43" s="238"/>
      <c r="BW43" s="238"/>
      <c r="BX43" s="238"/>
      <c r="BY43" s="238"/>
      <c r="BZ43" s="238"/>
      <c r="CA43" s="238"/>
      <c r="CB43" s="238"/>
      <c r="CC43" s="238"/>
      <c r="CD43" s="238"/>
      <c r="CE43" s="238"/>
      <c r="CF43" s="238"/>
      <c r="CG43" s="238"/>
      <c r="CH43" s="238"/>
      <c r="CI43" s="238"/>
      <c r="CJ43" s="238"/>
      <c r="CK43" s="238"/>
      <c r="CL43" s="238"/>
      <c r="CM43" s="238"/>
      <c r="CN43" s="238"/>
      <c r="CO43" s="238"/>
      <c r="CP43" s="238"/>
      <c r="CQ43" s="238"/>
      <c r="CR43" s="238"/>
      <c r="CS43" s="238"/>
      <c r="CT43" s="238"/>
      <c r="CU43" s="238"/>
      <c r="CV43" s="238"/>
      <c r="CW43" s="238"/>
      <c r="CX43" s="238"/>
      <c r="CY43" s="238"/>
      <c r="CZ43" s="238"/>
      <c r="DA43" s="238"/>
      <c r="DB43" s="238"/>
      <c r="DC43" s="238"/>
      <c r="DD43" s="238"/>
      <c r="DE43" s="238"/>
      <c r="DF43" s="238"/>
      <c r="DG43" s="238"/>
      <c r="DH43" s="238"/>
      <c r="DI43" s="238"/>
      <c r="DJ43" s="238"/>
      <c r="DK43" s="238"/>
      <c r="DL43" s="238"/>
      <c r="DM43" s="238"/>
      <c r="DN43" s="238"/>
      <c r="DO43" s="238"/>
      <c r="DP43" s="238"/>
      <c r="DQ43" s="238"/>
      <c r="DR43" s="238"/>
      <c r="DS43" s="238"/>
      <c r="DT43" s="238"/>
      <c r="DU43" s="238"/>
      <c r="DV43" s="238"/>
      <c r="DW43" s="238"/>
      <c r="DX43" s="238"/>
      <c r="DY43" s="238"/>
      <c r="DZ43" s="238"/>
      <c r="EA43" s="238"/>
      <c r="EB43" s="238"/>
      <c r="EC43" s="238"/>
      <c r="ED43" s="238"/>
      <c r="EE43" s="238"/>
      <c r="EF43" s="238"/>
      <c r="EG43" s="238"/>
      <c r="EH43" s="238"/>
      <c r="EI43" s="238"/>
      <c r="EJ43" s="238"/>
      <c r="EK43" s="238"/>
      <c r="EL43" s="238"/>
      <c r="EM43" s="238"/>
      <c r="EN43" s="238"/>
      <c r="EO43" s="238"/>
      <c r="EP43" s="238"/>
      <c r="EQ43" s="238"/>
      <c r="ER43" s="238"/>
      <c r="ES43" s="238"/>
      <c r="ET43" s="238"/>
      <c r="EU43" s="238"/>
      <c r="EV43" s="238"/>
      <c r="EW43" s="238"/>
      <c r="EX43" s="238"/>
      <c r="EY43" s="238"/>
      <c r="EZ43" s="238"/>
      <c r="FA43" s="238"/>
      <c r="FB43" s="238"/>
      <c r="FC43" s="238"/>
      <c r="FD43" s="238"/>
      <c r="FE43" s="238"/>
      <c r="FF43" s="238"/>
      <c r="FG43" s="238"/>
      <c r="FH43" s="238"/>
      <c r="FI43" s="238"/>
      <c r="FJ43" s="238"/>
      <c r="FK43" s="238"/>
      <c r="FL43" s="238"/>
      <c r="FM43" s="238"/>
      <c r="FN43" s="238"/>
      <c r="FO43" s="238"/>
      <c r="FP43" s="238"/>
      <c r="FQ43" s="238"/>
      <c r="FR43" s="238"/>
      <c r="FS43" s="238"/>
      <c r="FT43" s="238"/>
      <c r="FU43" s="238"/>
      <c r="FV43" s="238"/>
      <c r="FW43" s="238"/>
      <c r="FX43" s="238"/>
      <c r="FY43" s="238"/>
      <c r="FZ43" s="238"/>
      <c r="GA43" s="238"/>
      <c r="GB43" s="238"/>
      <c r="GC43" s="238"/>
      <c r="GD43" s="238"/>
      <c r="GE43" s="238"/>
      <c r="GF43" s="238"/>
      <c r="GG43" s="238"/>
      <c r="GH43" s="238"/>
      <c r="GI43" s="238"/>
      <c r="GJ43" s="238"/>
      <c r="GK43" s="238"/>
      <c r="GL43" s="238"/>
      <c r="GM43" s="238"/>
      <c r="GN43" s="238"/>
      <c r="GO43" s="238"/>
      <c r="GP43" s="238"/>
      <c r="GQ43" s="238"/>
      <c r="GR43" s="238"/>
      <c r="GS43" s="238"/>
      <c r="GT43" s="238"/>
      <c r="GU43" s="238"/>
      <c r="GV43" s="238"/>
      <c r="GW43" s="238"/>
      <c r="GX43" s="238"/>
      <c r="GY43" s="238"/>
      <c r="GZ43" s="238"/>
      <c r="HA43" s="238"/>
      <c r="HB43" s="238"/>
      <c r="HC43" s="238"/>
      <c r="HD43" s="238"/>
      <c r="HE43" s="238"/>
      <c r="HF43" s="238"/>
      <c r="HG43" s="238"/>
      <c r="HH43" s="238"/>
      <c r="HI43" s="238"/>
      <c r="HJ43" s="238"/>
      <c r="HK43" s="238"/>
      <c r="HL43" s="238"/>
      <c r="HM43" s="238"/>
      <c r="HN43" s="238"/>
      <c r="HO43" s="238"/>
      <c r="HP43" s="238"/>
      <c r="HQ43" s="238"/>
      <c r="HR43" s="238"/>
      <c r="HS43" s="238"/>
      <c r="HT43" s="238"/>
      <c r="HU43" s="238"/>
      <c r="HV43" s="238"/>
      <c r="HW43" s="238"/>
      <c r="HX43" s="238"/>
      <c r="HY43" s="238"/>
      <c r="HZ43" s="238"/>
      <c r="IA43" s="238"/>
      <c r="IB43" s="238"/>
      <c r="IC43" s="238"/>
      <c r="ID43" s="238"/>
      <c r="IE43" s="238"/>
      <c r="IF43" s="238"/>
      <c r="IG43" s="238"/>
      <c r="IH43" s="238"/>
      <c r="II43" s="238"/>
      <c r="IJ43" s="238"/>
      <c r="IK43" s="238"/>
      <c r="IL43" s="238"/>
      <c r="IM43" s="238"/>
      <c r="IN43" s="238"/>
      <c r="IO43" s="238"/>
      <c r="IP43" s="238"/>
      <c r="IQ43" s="238"/>
      <c r="IR43" s="238"/>
      <c r="IS43" s="238"/>
      <c r="IT43" s="238"/>
      <c r="IU43" s="238"/>
      <c r="IV43" s="238"/>
      <c r="IW43" s="238"/>
      <c r="IX43" s="238"/>
      <c r="IY43" s="238"/>
      <c r="IZ43" s="238"/>
      <c r="JA43" s="238"/>
      <c r="JB43" s="238"/>
      <c r="JC43" s="238"/>
      <c r="JD43" s="238"/>
      <c r="JE43" s="238"/>
      <c r="JF43" s="238"/>
      <c r="JG43" s="238"/>
      <c r="JH43" s="238"/>
      <c r="JI43" s="238"/>
      <c r="JJ43" s="238"/>
      <c r="JK43" s="238"/>
      <c r="JL43" s="238"/>
      <c r="JM43" s="238"/>
      <c r="JN43" s="238"/>
      <c r="JO43" s="238"/>
      <c r="JP43" s="238"/>
      <c r="JQ43" s="238"/>
      <c r="JR43" s="238"/>
      <c r="JS43" s="238"/>
      <c r="JT43" s="238"/>
      <c r="JU43" s="238"/>
      <c r="JV43" s="238"/>
      <c r="JW43" s="238"/>
      <c r="JX43" s="238"/>
      <c r="JY43" s="238"/>
      <c r="JZ43" s="238"/>
      <c r="KA43" s="238"/>
      <c r="KB43" s="238"/>
      <c r="KC43" s="238"/>
      <c r="KD43" s="238"/>
      <c r="KE43" s="238"/>
      <c r="KF43" s="238"/>
      <c r="KG43" s="238"/>
      <c r="KH43" s="238"/>
      <c r="KI43" s="238"/>
      <c r="KJ43" s="238"/>
      <c r="KK43" s="238"/>
      <c r="KL43" s="238"/>
      <c r="KM43" s="238"/>
      <c r="KN43" s="238"/>
      <c r="KO43" s="238"/>
      <c r="KP43" s="238"/>
      <c r="KQ43" s="238"/>
      <c r="KR43" s="238"/>
      <c r="KS43" s="238"/>
      <c r="KT43" s="238"/>
      <c r="KU43" s="238"/>
      <c r="KV43" s="238"/>
      <c r="KW43" s="238"/>
      <c r="KX43" s="238"/>
      <c r="KY43" s="238"/>
      <c r="KZ43" s="238"/>
      <c r="LA43" s="238"/>
      <c r="LB43" s="238"/>
      <c r="LC43" s="238"/>
      <c r="LD43" s="238"/>
      <c r="LE43" s="238"/>
      <c r="LF43" s="238"/>
      <c r="LG43" s="238"/>
      <c r="LH43" s="238"/>
      <c r="LI43" s="238"/>
      <c r="LJ43" s="238"/>
      <c r="LK43" s="238"/>
      <c r="LL43" s="238"/>
      <c r="LM43" s="238"/>
      <c r="LN43" s="238"/>
      <c r="LO43" s="238"/>
      <c r="LP43" s="238"/>
      <c r="LQ43" s="238"/>
      <c r="LR43" s="238"/>
      <c r="LS43" s="238"/>
      <c r="LT43" s="238"/>
      <c r="LU43" s="238"/>
      <c r="LV43" s="238"/>
      <c r="LW43" s="238"/>
      <c r="LX43" s="238"/>
      <c r="LY43" s="238"/>
      <c r="LZ43" s="238"/>
      <c r="MA43" s="238"/>
      <c r="MB43" s="238"/>
      <c r="MC43" s="238"/>
      <c r="MD43" s="238"/>
      <c r="ME43" s="238"/>
      <c r="MF43" s="238"/>
      <c r="MG43" s="238"/>
      <c r="MH43" s="238"/>
      <c r="MI43" s="238"/>
      <c r="MJ43" s="238"/>
      <c r="MK43" s="238"/>
      <c r="ML43" s="238"/>
      <c r="MM43" s="238"/>
      <c r="MN43" s="238"/>
      <c r="MO43" s="238"/>
      <c r="MP43" s="238"/>
      <c r="MQ43" s="238"/>
      <c r="MR43" s="238"/>
      <c r="MS43" s="238"/>
      <c r="MT43" s="238"/>
      <c r="MU43" s="238"/>
      <c r="MV43" s="238"/>
      <c r="MW43" s="238"/>
      <c r="MX43" s="238"/>
      <c r="MY43" s="238"/>
      <c r="MZ43" s="238"/>
      <c r="NA43" s="238"/>
      <c r="NB43" s="238"/>
      <c r="NC43" s="238"/>
      <c r="ND43" s="238"/>
      <c r="NE43" s="238"/>
      <c r="NF43" s="238"/>
      <c r="NG43" s="238"/>
      <c r="NH43" s="238"/>
      <c r="NI43" s="238"/>
      <c r="NJ43" s="238"/>
      <c r="NK43" s="238"/>
      <c r="NL43" s="238"/>
      <c r="NM43" s="238"/>
      <c r="NN43" s="238"/>
      <c r="NO43" s="238"/>
      <c r="NP43" s="238"/>
      <c r="NQ43" s="238"/>
      <c r="NR43" s="238"/>
      <c r="NS43" s="238"/>
      <c r="NT43" s="238"/>
      <c r="NU43" s="238"/>
      <c r="NV43" s="238"/>
      <c r="NW43" s="238"/>
      <c r="NX43" s="238"/>
      <c r="NY43" s="238"/>
      <c r="NZ43" s="238"/>
      <c r="OA43" s="238"/>
      <c r="OB43" s="238"/>
      <c r="OC43" s="238"/>
      <c r="OD43" s="238"/>
      <c r="OE43" s="238"/>
      <c r="OF43" s="238"/>
      <c r="OG43" s="238"/>
      <c r="OH43" s="238"/>
      <c r="OI43" s="238"/>
      <c r="OJ43" s="238"/>
      <c r="OK43" s="238"/>
      <c r="OL43" s="238"/>
      <c r="OM43" s="238"/>
      <c r="ON43" s="238"/>
      <c r="OO43" s="238"/>
      <c r="OP43" s="238"/>
      <c r="OQ43" s="238"/>
      <c r="OR43" s="238"/>
      <c r="OS43" s="238"/>
      <c r="OT43" s="238"/>
      <c r="OU43" s="238"/>
      <c r="OV43" s="238"/>
      <c r="OW43" s="238"/>
      <c r="OX43" s="238"/>
      <c r="OY43" s="238"/>
      <c r="OZ43" s="238"/>
      <c r="PA43" s="238"/>
      <c r="PB43" s="238"/>
      <c r="PC43" s="238"/>
      <c r="PD43" s="238"/>
      <c r="PE43" s="238"/>
      <c r="PF43" s="238"/>
      <c r="PG43" s="238"/>
      <c r="PH43" s="238"/>
      <c r="PI43" s="238"/>
      <c r="PJ43" s="238"/>
      <c r="PK43" s="238"/>
      <c r="PL43" s="238"/>
      <c r="PM43" s="238"/>
      <c r="PN43" s="238"/>
      <c r="PO43" s="238"/>
      <c r="PP43" s="238"/>
      <c r="PQ43" s="238"/>
      <c r="PR43" s="238"/>
      <c r="PS43" s="238"/>
      <c r="PT43" s="238"/>
      <c r="PU43" s="238"/>
      <c r="PV43" s="238"/>
      <c r="PW43" s="238"/>
      <c r="PX43" s="238"/>
      <c r="PY43" s="238"/>
      <c r="PZ43" s="238"/>
      <c r="QA43" s="238"/>
      <c r="QB43" s="238"/>
      <c r="QC43" s="238"/>
      <c r="QD43" s="238"/>
      <c r="QE43" s="238"/>
      <c r="QF43" s="238"/>
      <c r="QG43" s="238"/>
      <c r="QH43" s="238"/>
      <c r="QI43" s="238"/>
      <c r="QJ43" s="238"/>
      <c r="QK43" s="238"/>
      <c r="QL43" s="238"/>
      <c r="QM43" s="238"/>
      <c r="QN43" s="238"/>
      <c r="QO43" s="238"/>
      <c r="QP43" s="238"/>
      <c r="QQ43" s="238"/>
      <c r="QR43" s="238"/>
      <c r="QS43" s="238"/>
      <c r="QT43" s="238"/>
      <c r="QU43" s="238"/>
      <c r="QV43" s="238"/>
      <c r="QW43" s="238"/>
      <c r="QX43" s="238"/>
      <c r="QY43" s="238"/>
      <c r="QZ43" s="238"/>
      <c r="RA43" s="238"/>
      <c r="RB43" s="238"/>
      <c r="RC43" s="238"/>
      <c r="RD43" s="238"/>
      <c r="RE43" s="238"/>
      <c r="RF43" s="238"/>
      <c r="RG43" s="238"/>
      <c r="RH43" s="238"/>
      <c r="RI43" s="238"/>
      <c r="RJ43" s="238"/>
      <c r="RK43" s="238"/>
      <c r="RL43" s="238"/>
      <c r="RM43" s="238"/>
      <c r="RN43" s="238"/>
      <c r="RO43" s="238"/>
      <c r="RP43" s="238"/>
      <c r="RQ43" s="238"/>
      <c r="RR43" s="238"/>
      <c r="RS43" s="238"/>
      <c r="RT43" s="238"/>
      <c r="RU43" s="238"/>
      <c r="RV43" s="238"/>
      <c r="RW43" s="238"/>
      <c r="RX43" s="238"/>
      <c r="RY43" s="238"/>
      <c r="RZ43" s="238"/>
      <c r="SA43" s="238"/>
      <c r="SB43" s="238"/>
      <c r="SC43" s="238"/>
      <c r="SD43" s="238"/>
      <c r="SE43" s="238"/>
      <c r="SF43" s="238"/>
      <c r="SG43" s="238"/>
      <c r="SH43" s="238"/>
      <c r="SI43" s="238"/>
      <c r="SJ43" s="238"/>
      <c r="SK43" s="238"/>
      <c r="SL43" s="238"/>
      <c r="SM43" s="238"/>
      <c r="SN43" s="238"/>
      <c r="SO43" s="238"/>
      <c r="SP43" s="238"/>
      <c r="SQ43" s="238"/>
      <c r="SR43" s="238"/>
      <c r="SS43" s="238"/>
      <c r="ST43" s="238"/>
      <c r="SU43" s="238"/>
      <c r="SV43" s="238"/>
      <c r="SW43" s="238"/>
      <c r="SX43" s="238"/>
      <c r="SY43" s="238"/>
      <c r="SZ43" s="238"/>
      <c r="TA43" s="238"/>
      <c r="TB43" s="238"/>
      <c r="TC43" s="238"/>
      <c r="TD43" s="238"/>
      <c r="TE43" s="238"/>
      <c r="TF43" s="238"/>
      <c r="TG43" s="238"/>
      <c r="TH43" s="238"/>
      <c r="TI43" s="238"/>
      <c r="TJ43" s="238"/>
      <c r="TK43" s="238"/>
      <c r="TL43" s="238"/>
      <c r="TM43" s="238"/>
      <c r="TN43" s="238"/>
      <c r="TO43" s="238"/>
      <c r="TP43" s="238"/>
      <c r="TQ43" s="238"/>
      <c r="TR43" s="238"/>
      <c r="TS43" s="238"/>
      <c r="TT43" s="238"/>
      <c r="TU43" s="238"/>
      <c r="TV43" s="238"/>
      <c r="TW43" s="238"/>
      <c r="TX43" s="238"/>
      <c r="TY43" s="238"/>
      <c r="TZ43" s="238"/>
      <c r="UA43" s="238"/>
      <c r="UB43" s="238"/>
      <c r="UC43" s="238"/>
      <c r="UD43" s="238"/>
      <c r="UE43" s="238"/>
      <c r="UF43" s="238"/>
      <c r="UG43" s="248"/>
    </row>
    <row r="44" spans="1:553" s="236" customFormat="1" ht="61.9" customHeight="1">
      <c r="A44" s="356" t="s">
        <v>15</v>
      </c>
      <c r="B44" s="366" t="s">
        <v>114</v>
      </c>
      <c r="C44" s="1404" t="s">
        <v>115</v>
      </c>
      <c r="D44" s="1389"/>
      <c r="E44" s="1389"/>
      <c r="F44" s="1390"/>
      <c r="G44" s="386" t="s">
        <v>935</v>
      </c>
      <c r="H44" s="370"/>
      <c r="I44" s="834">
        <f>3.3*2.9</f>
        <v>9.5699999999999985</v>
      </c>
      <c r="J44" s="368">
        <v>3900000</v>
      </c>
      <c r="K44" s="371"/>
      <c r="L44" s="391">
        <f t="shared" si="12"/>
        <v>37323000</v>
      </c>
      <c r="M44" s="395"/>
      <c r="N44" s="395"/>
      <c r="O44" s="366"/>
      <c r="P44" s="396"/>
      <c r="Q44" s="473"/>
      <c r="R44" s="1039"/>
      <c r="S44" s="1047"/>
      <c r="T44" s="303"/>
      <c r="U44" s="306"/>
      <c r="V44" s="307"/>
      <c r="W44" s="306"/>
      <c r="X44" s="306"/>
      <c r="Y44" s="306"/>
      <c r="Z44" s="306"/>
      <c r="AA44" s="306"/>
      <c r="AB44" s="306"/>
      <c r="AC44" s="449"/>
      <c r="AD44" s="449"/>
      <c r="AE44" s="449"/>
      <c r="AF44" s="449"/>
      <c r="AG44" s="452"/>
      <c r="AH44" s="452"/>
      <c r="AI44" s="452"/>
      <c r="AJ44" s="452"/>
      <c r="AK44" s="452"/>
      <c r="AL44" s="242"/>
      <c r="AM44" s="241"/>
      <c r="AN44" s="241"/>
      <c r="AO44" s="241"/>
      <c r="AP44" s="241"/>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39"/>
      <c r="CK44" s="239"/>
      <c r="CL44" s="239"/>
      <c r="CM44" s="239"/>
      <c r="CN44" s="239"/>
      <c r="CO44" s="239"/>
      <c r="CP44" s="239"/>
      <c r="CQ44" s="239"/>
      <c r="CR44" s="239"/>
      <c r="CS44" s="239"/>
      <c r="CT44" s="239"/>
      <c r="CU44" s="239"/>
      <c r="CV44" s="239"/>
      <c r="CW44" s="239"/>
      <c r="CX44" s="239"/>
      <c r="CY44" s="239"/>
      <c r="CZ44" s="239"/>
      <c r="DA44" s="239"/>
      <c r="DB44" s="239"/>
      <c r="DC44" s="239"/>
      <c r="DD44" s="239"/>
      <c r="DE44" s="239"/>
      <c r="DF44" s="239"/>
      <c r="DG44" s="239"/>
      <c r="DH44" s="239"/>
      <c r="DI44" s="239"/>
      <c r="DJ44" s="239"/>
      <c r="DK44" s="239"/>
      <c r="DL44" s="239"/>
      <c r="DM44" s="239"/>
      <c r="DN44" s="239"/>
      <c r="DO44" s="239"/>
      <c r="DP44" s="239"/>
      <c r="DQ44" s="239"/>
      <c r="DR44" s="239"/>
      <c r="DS44" s="239"/>
      <c r="DT44" s="239"/>
      <c r="DU44" s="239"/>
      <c r="DV44" s="239"/>
      <c r="DW44" s="239"/>
      <c r="DX44" s="239"/>
      <c r="DY44" s="239"/>
      <c r="DZ44" s="239"/>
      <c r="EA44" s="239"/>
      <c r="EB44" s="239"/>
      <c r="EC44" s="239"/>
      <c r="ED44" s="239"/>
      <c r="EE44" s="239"/>
      <c r="EF44" s="239"/>
      <c r="EG44" s="239"/>
      <c r="EH44" s="239"/>
      <c r="EI44" s="239"/>
      <c r="EJ44" s="239"/>
      <c r="EK44" s="239"/>
      <c r="EL44" s="239"/>
      <c r="EM44" s="239"/>
      <c r="EN44" s="239"/>
      <c r="EO44" s="239"/>
      <c r="EP44" s="239"/>
      <c r="EQ44" s="239"/>
      <c r="ER44" s="239"/>
      <c r="ES44" s="239"/>
      <c r="ET44" s="239"/>
      <c r="EU44" s="239"/>
      <c r="EV44" s="239"/>
      <c r="EW44" s="239"/>
      <c r="EX44" s="239"/>
      <c r="EY44" s="239"/>
      <c r="EZ44" s="239"/>
      <c r="FA44" s="239"/>
      <c r="FB44" s="239"/>
      <c r="FC44" s="239"/>
      <c r="FD44" s="239"/>
      <c r="FE44" s="239"/>
      <c r="FF44" s="239"/>
      <c r="FG44" s="239"/>
      <c r="FH44" s="239"/>
      <c r="FI44" s="239"/>
      <c r="FJ44" s="239"/>
      <c r="FK44" s="239"/>
      <c r="FL44" s="239"/>
      <c r="FM44" s="239"/>
      <c r="FN44" s="239"/>
      <c r="FO44" s="239"/>
      <c r="FP44" s="239"/>
      <c r="FQ44" s="239"/>
      <c r="FR44" s="239"/>
      <c r="FS44" s="239"/>
      <c r="FT44" s="239"/>
      <c r="FU44" s="239"/>
      <c r="FV44" s="239"/>
      <c r="FW44" s="239"/>
      <c r="FX44" s="239"/>
      <c r="FY44" s="239"/>
      <c r="FZ44" s="239"/>
      <c r="GA44" s="239"/>
      <c r="GB44" s="239"/>
      <c r="GC44" s="239"/>
      <c r="GD44" s="239"/>
      <c r="GE44" s="239"/>
      <c r="GF44" s="239"/>
      <c r="GG44" s="239"/>
      <c r="GH44" s="239"/>
      <c r="GI44" s="239"/>
      <c r="GJ44" s="239"/>
      <c r="GK44" s="239"/>
      <c r="GL44" s="239"/>
      <c r="GM44" s="239"/>
      <c r="GN44" s="239"/>
      <c r="GO44" s="239"/>
      <c r="GP44" s="239"/>
      <c r="GQ44" s="239"/>
      <c r="GR44" s="239"/>
      <c r="GS44" s="239"/>
      <c r="GT44" s="239"/>
      <c r="GU44" s="239"/>
      <c r="GV44" s="239"/>
      <c r="GW44" s="239"/>
      <c r="GX44" s="239"/>
      <c r="GY44" s="239"/>
      <c r="GZ44" s="239"/>
      <c r="HA44" s="239"/>
      <c r="HB44" s="239"/>
      <c r="HC44" s="239"/>
      <c r="HD44" s="239"/>
      <c r="HE44" s="239"/>
      <c r="HF44" s="239"/>
      <c r="HG44" s="239"/>
      <c r="HH44" s="239"/>
      <c r="HI44" s="239"/>
      <c r="HJ44" s="239"/>
      <c r="HK44" s="239"/>
      <c r="HL44" s="239"/>
      <c r="HM44" s="239"/>
      <c r="HN44" s="239"/>
      <c r="HO44" s="239"/>
      <c r="HP44" s="239"/>
      <c r="HQ44" s="239"/>
      <c r="HR44" s="239"/>
      <c r="HS44" s="239"/>
      <c r="HT44" s="239"/>
      <c r="HU44" s="239"/>
      <c r="HV44" s="239"/>
      <c r="HW44" s="239"/>
      <c r="HX44" s="239"/>
      <c r="HY44" s="239"/>
      <c r="HZ44" s="239"/>
      <c r="IA44" s="239"/>
      <c r="IB44" s="239"/>
      <c r="IC44" s="239"/>
      <c r="ID44" s="239"/>
      <c r="IE44" s="239"/>
      <c r="IF44" s="239"/>
      <c r="IG44" s="239"/>
      <c r="IH44" s="239"/>
      <c r="II44" s="239"/>
      <c r="IJ44" s="239"/>
      <c r="IK44" s="239"/>
      <c r="IL44" s="239"/>
      <c r="IM44" s="239"/>
      <c r="IN44" s="239"/>
      <c r="IO44" s="239"/>
      <c r="IP44" s="239"/>
      <c r="IQ44" s="239"/>
      <c r="IR44" s="239"/>
      <c r="IS44" s="239"/>
      <c r="IT44" s="239"/>
      <c r="IU44" s="239"/>
      <c r="IV44" s="239"/>
      <c r="IW44" s="239"/>
      <c r="IX44" s="239"/>
      <c r="IY44" s="239"/>
      <c r="IZ44" s="239"/>
      <c r="JA44" s="239"/>
      <c r="JB44" s="239"/>
      <c r="JC44" s="239"/>
      <c r="JD44" s="239"/>
      <c r="JE44" s="239"/>
      <c r="JF44" s="239"/>
      <c r="JG44" s="239"/>
      <c r="JH44" s="239"/>
      <c r="JI44" s="239"/>
      <c r="JJ44" s="239"/>
      <c r="JK44" s="239"/>
      <c r="JL44" s="239"/>
      <c r="JM44" s="239"/>
      <c r="JN44" s="239"/>
      <c r="JO44" s="239"/>
      <c r="JP44" s="239"/>
      <c r="JQ44" s="239"/>
      <c r="JR44" s="239"/>
      <c r="JS44" s="239"/>
      <c r="JT44" s="239"/>
      <c r="JU44" s="239"/>
      <c r="JV44" s="239"/>
      <c r="JW44" s="239"/>
      <c r="JX44" s="239"/>
      <c r="JY44" s="239"/>
      <c r="JZ44" s="239"/>
      <c r="KA44" s="239"/>
      <c r="KB44" s="239"/>
      <c r="KC44" s="239"/>
      <c r="KD44" s="239"/>
      <c r="KE44" s="239"/>
      <c r="KF44" s="239"/>
      <c r="KG44" s="239"/>
      <c r="KH44" s="239"/>
      <c r="KI44" s="239"/>
      <c r="KJ44" s="239"/>
      <c r="KK44" s="239"/>
      <c r="KL44" s="239"/>
      <c r="KM44" s="239"/>
      <c r="KN44" s="239"/>
      <c r="KO44" s="239"/>
      <c r="KP44" s="239"/>
      <c r="KQ44" s="239"/>
      <c r="KR44" s="239"/>
      <c r="KS44" s="239"/>
      <c r="KT44" s="239"/>
      <c r="KU44" s="239"/>
      <c r="KV44" s="239"/>
      <c r="KW44" s="239"/>
      <c r="KX44" s="239"/>
      <c r="KY44" s="239"/>
      <c r="KZ44" s="239"/>
      <c r="LA44" s="239"/>
      <c r="LB44" s="239"/>
      <c r="LC44" s="239"/>
      <c r="LD44" s="239"/>
      <c r="LE44" s="239"/>
      <c r="LF44" s="239"/>
      <c r="LG44" s="239"/>
      <c r="LH44" s="239"/>
      <c r="LI44" s="239"/>
      <c r="LJ44" s="239"/>
      <c r="LK44" s="239"/>
      <c r="LL44" s="239"/>
      <c r="LM44" s="239"/>
      <c r="LN44" s="239"/>
      <c r="LO44" s="239"/>
      <c r="LP44" s="239"/>
      <c r="LQ44" s="239"/>
      <c r="LR44" s="239"/>
      <c r="LS44" s="239"/>
      <c r="LT44" s="239"/>
      <c r="LU44" s="239"/>
      <c r="LV44" s="239"/>
      <c r="LW44" s="239"/>
      <c r="LX44" s="239"/>
      <c r="LY44" s="239"/>
      <c r="LZ44" s="239"/>
      <c r="MA44" s="239"/>
      <c r="MB44" s="239"/>
      <c r="MC44" s="239"/>
      <c r="MD44" s="239"/>
      <c r="ME44" s="239"/>
      <c r="MF44" s="239"/>
      <c r="MG44" s="239"/>
      <c r="MH44" s="239"/>
      <c r="MI44" s="239"/>
      <c r="MJ44" s="239"/>
      <c r="MK44" s="239"/>
      <c r="ML44" s="239"/>
      <c r="MM44" s="239"/>
      <c r="MN44" s="239"/>
      <c r="MO44" s="239"/>
      <c r="MP44" s="239"/>
      <c r="MQ44" s="239"/>
      <c r="MR44" s="239"/>
      <c r="MS44" s="239"/>
      <c r="MT44" s="239"/>
      <c r="MU44" s="239"/>
      <c r="MV44" s="239"/>
      <c r="MW44" s="239"/>
      <c r="MX44" s="239"/>
      <c r="MY44" s="239"/>
      <c r="MZ44" s="239"/>
      <c r="NA44" s="239"/>
      <c r="NB44" s="239"/>
      <c r="NC44" s="239"/>
      <c r="ND44" s="239"/>
      <c r="NE44" s="239"/>
      <c r="NF44" s="239"/>
      <c r="NG44" s="239"/>
      <c r="NH44" s="239"/>
      <c r="NI44" s="239"/>
      <c r="NJ44" s="239"/>
      <c r="NK44" s="239"/>
      <c r="NL44" s="239"/>
      <c r="NM44" s="239"/>
      <c r="NN44" s="239"/>
      <c r="NO44" s="239"/>
      <c r="NP44" s="239"/>
      <c r="NQ44" s="239"/>
      <c r="NR44" s="239"/>
      <c r="NS44" s="239"/>
      <c r="NT44" s="239"/>
      <c r="NU44" s="239"/>
      <c r="NV44" s="239"/>
      <c r="NW44" s="239"/>
      <c r="NX44" s="239"/>
      <c r="NY44" s="239"/>
      <c r="NZ44" s="239"/>
      <c r="OA44" s="239"/>
      <c r="OB44" s="239"/>
      <c r="OC44" s="239"/>
      <c r="OD44" s="239"/>
      <c r="OE44" s="239"/>
      <c r="OF44" s="239"/>
      <c r="OG44" s="239"/>
      <c r="OH44" s="239"/>
      <c r="OI44" s="239"/>
      <c r="OJ44" s="239"/>
      <c r="OK44" s="239"/>
      <c r="OL44" s="239"/>
      <c r="OM44" s="239"/>
      <c r="ON44" s="239"/>
      <c r="OO44" s="239"/>
      <c r="OP44" s="239"/>
      <c r="OQ44" s="239"/>
      <c r="OR44" s="239"/>
      <c r="OS44" s="239"/>
      <c r="OT44" s="239"/>
      <c r="OU44" s="239"/>
      <c r="OV44" s="239"/>
      <c r="OW44" s="239"/>
      <c r="OX44" s="239"/>
      <c r="OY44" s="239"/>
      <c r="OZ44" s="239"/>
      <c r="PA44" s="239"/>
      <c r="PB44" s="239"/>
      <c r="PC44" s="239"/>
      <c r="PD44" s="239"/>
      <c r="PE44" s="239"/>
      <c r="PF44" s="239"/>
      <c r="PG44" s="239"/>
      <c r="PH44" s="239"/>
      <c r="PI44" s="239"/>
      <c r="PJ44" s="239"/>
      <c r="PK44" s="239"/>
      <c r="PL44" s="239"/>
      <c r="PM44" s="239"/>
      <c r="PN44" s="239"/>
      <c r="PO44" s="239"/>
      <c r="PP44" s="239"/>
      <c r="PQ44" s="239"/>
      <c r="PR44" s="239"/>
      <c r="PS44" s="239"/>
      <c r="PT44" s="239"/>
      <c r="PU44" s="239"/>
      <c r="PV44" s="239"/>
      <c r="PW44" s="239"/>
      <c r="PX44" s="239"/>
      <c r="PY44" s="239"/>
      <c r="PZ44" s="239"/>
      <c r="QA44" s="239"/>
      <c r="QB44" s="239"/>
      <c r="QC44" s="239"/>
      <c r="QD44" s="239"/>
      <c r="QE44" s="239"/>
      <c r="QF44" s="239"/>
      <c r="QG44" s="239"/>
      <c r="QH44" s="239"/>
      <c r="QI44" s="239"/>
      <c r="QJ44" s="239"/>
      <c r="QK44" s="239"/>
      <c r="QL44" s="239"/>
      <c r="QM44" s="239"/>
      <c r="QN44" s="239"/>
      <c r="QO44" s="239"/>
      <c r="QP44" s="239"/>
      <c r="QQ44" s="239"/>
      <c r="QR44" s="239"/>
      <c r="QS44" s="239"/>
      <c r="QT44" s="239"/>
      <c r="QU44" s="239"/>
      <c r="QV44" s="239"/>
      <c r="QW44" s="239"/>
      <c r="QX44" s="239"/>
      <c r="QY44" s="239"/>
      <c r="QZ44" s="239"/>
      <c r="RA44" s="239"/>
      <c r="RB44" s="239"/>
      <c r="RC44" s="239"/>
      <c r="RD44" s="239"/>
      <c r="RE44" s="239"/>
      <c r="RF44" s="239"/>
      <c r="RG44" s="239"/>
      <c r="RH44" s="239"/>
      <c r="RI44" s="239"/>
      <c r="RJ44" s="239"/>
      <c r="RK44" s="239"/>
      <c r="RL44" s="239"/>
      <c r="RM44" s="239"/>
      <c r="RN44" s="239"/>
      <c r="RO44" s="239"/>
      <c r="RP44" s="239"/>
      <c r="RQ44" s="239"/>
      <c r="RR44" s="239"/>
      <c r="RS44" s="239"/>
      <c r="RT44" s="239"/>
      <c r="RU44" s="239"/>
      <c r="RV44" s="239"/>
      <c r="RW44" s="239"/>
      <c r="RX44" s="239"/>
      <c r="RY44" s="239"/>
      <c r="RZ44" s="239"/>
      <c r="SA44" s="239"/>
      <c r="SB44" s="239"/>
      <c r="SC44" s="239"/>
      <c r="SD44" s="239"/>
      <c r="SE44" s="239"/>
      <c r="SF44" s="239"/>
      <c r="SG44" s="239"/>
      <c r="SH44" s="239"/>
      <c r="SI44" s="239"/>
      <c r="SJ44" s="239"/>
      <c r="SK44" s="239"/>
      <c r="SL44" s="239"/>
      <c r="SM44" s="239"/>
      <c r="SN44" s="239"/>
      <c r="SO44" s="239"/>
      <c r="SP44" s="239"/>
      <c r="SQ44" s="239"/>
      <c r="SR44" s="239"/>
      <c r="SS44" s="239"/>
      <c r="ST44" s="239"/>
      <c r="SU44" s="239"/>
      <c r="SV44" s="239"/>
      <c r="SW44" s="239"/>
      <c r="SX44" s="239"/>
      <c r="SY44" s="239"/>
      <c r="SZ44" s="239"/>
      <c r="TA44" s="239"/>
      <c r="TB44" s="239"/>
      <c r="TC44" s="239"/>
      <c r="TD44" s="239"/>
      <c r="TE44" s="239"/>
      <c r="TF44" s="239"/>
      <c r="TG44" s="239"/>
      <c r="TH44" s="239"/>
      <c r="TI44" s="239"/>
      <c r="TJ44" s="239"/>
      <c r="TK44" s="239"/>
      <c r="TL44" s="239"/>
      <c r="TM44" s="239"/>
      <c r="TN44" s="239"/>
      <c r="TO44" s="239"/>
      <c r="TP44" s="239"/>
      <c r="TQ44" s="239"/>
      <c r="TR44" s="239"/>
      <c r="TS44" s="239"/>
      <c r="TT44" s="239"/>
      <c r="TU44" s="239"/>
      <c r="TV44" s="239"/>
      <c r="TW44" s="239"/>
      <c r="TX44" s="239"/>
      <c r="TY44" s="239"/>
      <c r="TZ44" s="239"/>
      <c r="UA44" s="239"/>
      <c r="UB44" s="239"/>
      <c r="UC44" s="239"/>
      <c r="UD44" s="239"/>
      <c r="UE44" s="239"/>
      <c r="UF44" s="239"/>
      <c r="UG44" s="240"/>
    </row>
    <row r="45" spans="1:553" s="236" customFormat="1" ht="27.75" customHeight="1">
      <c r="A45" s="356" t="s">
        <v>15</v>
      </c>
      <c r="B45" s="366" t="s">
        <v>116</v>
      </c>
      <c r="C45" s="1404" t="s">
        <v>117</v>
      </c>
      <c r="D45" s="1389"/>
      <c r="E45" s="1389"/>
      <c r="F45" s="1390"/>
      <c r="G45" s="386" t="s">
        <v>935</v>
      </c>
      <c r="H45" s="370"/>
      <c r="I45" s="834">
        <f>-9.2*2.2</f>
        <v>-20.239999999999998</v>
      </c>
      <c r="J45" s="368">
        <v>251000</v>
      </c>
      <c r="K45" s="371"/>
      <c r="L45" s="391">
        <f t="shared" si="12"/>
        <v>-5080240</v>
      </c>
      <c r="M45" s="395"/>
      <c r="N45" s="395"/>
      <c r="O45" s="366"/>
      <c r="P45" s="396"/>
      <c r="Q45" s="473"/>
      <c r="R45" s="1039"/>
      <c r="S45" s="1048"/>
      <c r="T45" s="303"/>
      <c r="U45" s="304"/>
      <c r="V45" s="304"/>
      <c r="W45" s="304"/>
      <c r="X45" s="304"/>
      <c r="Y45" s="304"/>
      <c r="Z45" s="304"/>
      <c r="AA45" s="304"/>
      <c r="AB45" s="304"/>
      <c r="AC45" s="449"/>
      <c r="AD45" s="449"/>
      <c r="AE45" s="449"/>
      <c r="AF45" s="449"/>
      <c r="AG45" s="452"/>
      <c r="AH45" s="452"/>
      <c r="AI45" s="452"/>
      <c r="AJ45" s="452"/>
      <c r="AK45" s="452"/>
      <c r="AL45" s="242"/>
      <c r="AM45" s="241"/>
      <c r="AN45" s="241"/>
      <c r="AO45" s="241"/>
      <c r="AP45" s="241"/>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39"/>
      <c r="CK45" s="239"/>
      <c r="CL45" s="239"/>
      <c r="CM45" s="239"/>
      <c r="CN45" s="239"/>
      <c r="CO45" s="239"/>
      <c r="CP45" s="239"/>
      <c r="CQ45" s="239"/>
      <c r="CR45" s="239"/>
      <c r="CS45" s="239"/>
      <c r="CT45" s="239"/>
      <c r="CU45" s="239"/>
      <c r="CV45" s="239"/>
      <c r="CW45" s="239"/>
      <c r="CX45" s="239"/>
      <c r="CY45" s="239"/>
      <c r="CZ45" s="239"/>
      <c r="DA45" s="239"/>
      <c r="DB45" s="239"/>
      <c r="DC45" s="239"/>
      <c r="DD45" s="239"/>
      <c r="DE45" s="239"/>
      <c r="DF45" s="239"/>
      <c r="DG45" s="239"/>
      <c r="DH45" s="239"/>
      <c r="DI45" s="239"/>
      <c r="DJ45" s="239"/>
      <c r="DK45" s="239"/>
      <c r="DL45" s="239"/>
      <c r="DM45" s="239"/>
      <c r="DN45" s="239"/>
      <c r="DO45" s="239"/>
      <c r="DP45" s="239"/>
      <c r="DQ45" s="239"/>
      <c r="DR45" s="239"/>
      <c r="DS45" s="239"/>
      <c r="DT45" s="239"/>
      <c r="DU45" s="239"/>
      <c r="DV45" s="239"/>
      <c r="DW45" s="239"/>
      <c r="DX45" s="239"/>
      <c r="DY45" s="239"/>
      <c r="DZ45" s="239"/>
      <c r="EA45" s="239"/>
      <c r="EB45" s="239"/>
      <c r="EC45" s="239"/>
      <c r="ED45" s="239"/>
      <c r="EE45" s="239"/>
      <c r="EF45" s="239"/>
      <c r="EG45" s="239"/>
      <c r="EH45" s="239"/>
      <c r="EI45" s="239"/>
      <c r="EJ45" s="239"/>
      <c r="EK45" s="239"/>
      <c r="EL45" s="239"/>
      <c r="EM45" s="239"/>
      <c r="EN45" s="239"/>
      <c r="EO45" s="239"/>
      <c r="EP45" s="239"/>
      <c r="EQ45" s="239"/>
      <c r="ER45" s="239"/>
      <c r="ES45" s="239"/>
      <c r="ET45" s="239"/>
      <c r="EU45" s="239"/>
      <c r="EV45" s="239"/>
      <c r="EW45" s="239"/>
      <c r="EX45" s="239"/>
      <c r="EY45" s="239"/>
      <c r="EZ45" s="239"/>
      <c r="FA45" s="239"/>
      <c r="FB45" s="239"/>
      <c r="FC45" s="239"/>
      <c r="FD45" s="239"/>
      <c r="FE45" s="239"/>
      <c r="FF45" s="239"/>
      <c r="FG45" s="239"/>
      <c r="FH45" s="239"/>
      <c r="FI45" s="239"/>
      <c r="FJ45" s="239"/>
      <c r="FK45" s="239"/>
      <c r="FL45" s="239"/>
      <c r="FM45" s="239"/>
      <c r="FN45" s="239"/>
      <c r="FO45" s="239"/>
      <c r="FP45" s="239"/>
      <c r="FQ45" s="239"/>
      <c r="FR45" s="239"/>
      <c r="FS45" s="239"/>
      <c r="FT45" s="239"/>
      <c r="FU45" s="239"/>
      <c r="FV45" s="239"/>
      <c r="FW45" s="239"/>
      <c r="FX45" s="239"/>
      <c r="FY45" s="239"/>
      <c r="FZ45" s="239"/>
      <c r="GA45" s="239"/>
      <c r="GB45" s="239"/>
      <c r="GC45" s="239"/>
      <c r="GD45" s="239"/>
      <c r="GE45" s="239"/>
      <c r="GF45" s="239"/>
      <c r="GG45" s="239"/>
      <c r="GH45" s="239"/>
      <c r="GI45" s="239"/>
      <c r="GJ45" s="239"/>
      <c r="GK45" s="239"/>
      <c r="GL45" s="239"/>
      <c r="GM45" s="239"/>
      <c r="GN45" s="239"/>
      <c r="GO45" s="239"/>
      <c r="GP45" s="239"/>
      <c r="GQ45" s="239"/>
      <c r="GR45" s="239"/>
      <c r="GS45" s="239"/>
      <c r="GT45" s="239"/>
      <c r="GU45" s="239"/>
      <c r="GV45" s="239"/>
      <c r="GW45" s="239"/>
      <c r="GX45" s="239"/>
      <c r="GY45" s="239"/>
      <c r="GZ45" s="239"/>
      <c r="HA45" s="239"/>
      <c r="HB45" s="239"/>
      <c r="HC45" s="239"/>
      <c r="HD45" s="239"/>
      <c r="HE45" s="239"/>
      <c r="HF45" s="239"/>
      <c r="HG45" s="239"/>
      <c r="HH45" s="239"/>
      <c r="HI45" s="239"/>
      <c r="HJ45" s="239"/>
      <c r="HK45" s="239"/>
      <c r="HL45" s="239"/>
      <c r="HM45" s="239"/>
      <c r="HN45" s="239"/>
      <c r="HO45" s="239"/>
      <c r="HP45" s="239"/>
      <c r="HQ45" s="239"/>
      <c r="HR45" s="239"/>
      <c r="HS45" s="239"/>
      <c r="HT45" s="239"/>
      <c r="HU45" s="239"/>
      <c r="HV45" s="239"/>
      <c r="HW45" s="239"/>
      <c r="HX45" s="239"/>
      <c r="HY45" s="239"/>
      <c r="HZ45" s="239"/>
      <c r="IA45" s="239"/>
      <c r="IB45" s="239"/>
      <c r="IC45" s="239"/>
      <c r="ID45" s="239"/>
      <c r="IE45" s="239"/>
      <c r="IF45" s="239"/>
      <c r="IG45" s="239"/>
      <c r="IH45" s="239"/>
      <c r="II45" s="239"/>
      <c r="IJ45" s="239"/>
      <c r="IK45" s="239"/>
      <c r="IL45" s="239"/>
      <c r="IM45" s="239"/>
      <c r="IN45" s="239"/>
      <c r="IO45" s="239"/>
      <c r="IP45" s="239"/>
      <c r="IQ45" s="239"/>
      <c r="IR45" s="239"/>
      <c r="IS45" s="239"/>
      <c r="IT45" s="239"/>
      <c r="IU45" s="239"/>
      <c r="IV45" s="239"/>
      <c r="IW45" s="239"/>
      <c r="IX45" s="239"/>
      <c r="IY45" s="239"/>
      <c r="IZ45" s="239"/>
      <c r="JA45" s="239"/>
      <c r="JB45" s="239"/>
      <c r="JC45" s="239"/>
      <c r="JD45" s="239"/>
      <c r="JE45" s="239"/>
      <c r="JF45" s="239"/>
      <c r="JG45" s="239"/>
      <c r="JH45" s="239"/>
      <c r="JI45" s="239"/>
      <c r="JJ45" s="239"/>
      <c r="JK45" s="239"/>
      <c r="JL45" s="239"/>
      <c r="JM45" s="239"/>
      <c r="JN45" s="239"/>
      <c r="JO45" s="239"/>
      <c r="JP45" s="239"/>
      <c r="JQ45" s="239"/>
      <c r="JR45" s="239"/>
      <c r="JS45" s="239"/>
      <c r="JT45" s="239"/>
      <c r="JU45" s="239"/>
      <c r="JV45" s="239"/>
      <c r="JW45" s="239"/>
      <c r="JX45" s="239"/>
      <c r="JY45" s="239"/>
      <c r="JZ45" s="239"/>
      <c r="KA45" s="239"/>
      <c r="KB45" s="239"/>
      <c r="KC45" s="239"/>
      <c r="KD45" s="239"/>
      <c r="KE45" s="239"/>
      <c r="KF45" s="239"/>
      <c r="KG45" s="239"/>
      <c r="KH45" s="239"/>
      <c r="KI45" s="239"/>
      <c r="KJ45" s="239"/>
      <c r="KK45" s="239"/>
      <c r="KL45" s="239"/>
      <c r="KM45" s="239"/>
      <c r="KN45" s="239"/>
      <c r="KO45" s="239"/>
      <c r="KP45" s="239"/>
      <c r="KQ45" s="239"/>
      <c r="KR45" s="239"/>
      <c r="KS45" s="239"/>
      <c r="KT45" s="239"/>
      <c r="KU45" s="239"/>
      <c r="KV45" s="239"/>
      <c r="KW45" s="239"/>
      <c r="KX45" s="239"/>
      <c r="KY45" s="239"/>
      <c r="KZ45" s="239"/>
      <c r="LA45" s="239"/>
      <c r="LB45" s="239"/>
      <c r="LC45" s="239"/>
      <c r="LD45" s="239"/>
      <c r="LE45" s="239"/>
      <c r="LF45" s="239"/>
      <c r="LG45" s="239"/>
      <c r="LH45" s="239"/>
      <c r="LI45" s="239"/>
      <c r="LJ45" s="239"/>
      <c r="LK45" s="239"/>
      <c r="LL45" s="239"/>
      <c r="LM45" s="239"/>
      <c r="LN45" s="239"/>
      <c r="LO45" s="239"/>
      <c r="LP45" s="239"/>
      <c r="LQ45" s="239"/>
      <c r="LR45" s="239"/>
      <c r="LS45" s="239"/>
      <c r="LT45" s="239"/>
      <c r="LU45" s="239"/>
      <c r="LV45" s="239"/>
      <c r="LW45" s="239"/>
      <c r="LX45" s="239"/>
      <c r="LY45" s="239"/>
      <c r="LZ45" s="239"/>
      <c r="MA45" s="239"/>
      <c r="MB45" s="239"/>
      <c r="MC45" s="239"/>
      <c r="MD45" s="239"/>
      <c r="ME45" s="239"/>
      <c r="MF45" s="239"/>
      <c r="MG45" s="239"/>
      <c r="MH45" s="239"/>
      <c r="MI45" s="239"/>
      <c r="MJ45" s="239"/>
      <c r="MK45" s="239"/>
      <c r="ML45" s="239"/>
      <c r="MM45" s="239"/>
      <c r="MN45" s="239"/>
      <c r="MO45" s="239"/>
      <c r="MP45" s="239"/>
      <c r="MQ45" s="239"/>
      <c r="MR45" s="239"/>
      <c r="MS45" s="239"/>
      <c r="MT45" s="239"/>
      <c r="MU45" s="239"/>
      <c r="MV45" s="239"/>
      <c r="MW45" s="239"/>
      <c r="MX45" s="239"/>
      <c r="MY45" s="239"/>
      <c r="MZ45" s="239"/>
      <c r="NA45" s="239"/>
      <c r="NB45" s="239"/>
      <c r="NC45" s="239"/>
      <c r="ND45" s="239"/>
      <c r="NE45" s="239"/>
      <c r="NF45" s="239"/>
      <c r="NG45" s="239"/>
      <c r="NH45" s="239"/>
      <c r="NI45" s="239"/>
      <c r="NJ45" s="239"/>
      <c r="NK45" s="239"/>
      <c r="NL45" s="239"/>
      <c r="NM45" s="239"/>
      <c r="NN45" s="239"/>
      <c r="NO45" s="239"/>
      <c r="NP45" s="239"/>
      <c r="NQ45" s="239"/>
      <c r="NR45" s="239"/>
      <c r="NS45" s="239"/>
      <c r="NT45" s="239"/>
      <c r="NU45" s="239"/>
      <c r="NV45" s="239"/>
      <c r="NW45" s="239"/>
      <c r="NX45" s="239"/>
      <c r="NY45" s="239"/>
      <c r="NZ45" s="239"/>
      <c r="OA45" s="239"/>
      <c r="OB45" s="239"/>
      <c r="OC45" s="239"/>
      <c r="OD45" s="239"/>
      <c r="OE45" s="239"/>
      <c r="OF45" s="239"/>
      <c r="OG45" s="239"/>
      <c r="OH45" s="239"/>
      <c r="OI45" s="239"/>
      <c r="OJ45" s="239"/>
      <c r="OK45" s="239"/>
      <c r="OL45" s="239"/>
      <c r="OM45" s="239"/>
      <c r="ON45" s="239"/>
      <c r="OO45" s="239"/>
      <c r="OP45" s="239"/>
      <c r="OQ45" s="239"/>
      <c r="OR45" s="239"/>
      <c r="OS45" s="239"/>
      <c r="OT45" s="239"/>
      <c r="OU45" s="239"/>
      <c r="OV45" s="239"/>
      <c r="OW45" s="239"/>
      <c r="OX45" s="239"/>
      <c r="OY45" s="239"/>
      <c r="OZ45" s="239"/>
      <c r="PA45" s="239"/>
      <c r="PB45" s="239"/>
      <c r="PC45" s="239"/>
      <c r="PD45" s="239"/>
      <c r="PE45" s="239"/>
      <c r="PF45" s="239"/>
      <c r="PG45" s="239"/>
      <c r="PH45" s="239"/>
      <c r="PI45" s="239"/>
      <c r="PJ45" s="239"/>
      <c r="PK45" s="239"/>
      <c r="PL45" s="239"/>
      <c r="PM45" s="239"/>
      <c r="PN45" s="239"/>
      <c r="PO45" s="239"/>
      <c r="PP45" s="239"/>
      <c r="PQ45" s="239"/>
      <c r="PR45" s="239"/>
      <c r="PS45" s="239"/>
      <c r="PT45" s="239"/>
      <c r="PU45" s="239"/>
      <c r="PV45" s="239"/>
      <c r="PW45" s="239"/>
      <c r="PX45" s="239"/>
      <c r="PY45" s="239"/>
      <c r="PZ45" s="239"/>
      <c r="QA45" s="239"/>
      <c r="QB45" s="239"/>
      <c r="QC45" s="239"/>
      <c r="QD45" s="239"/>
      <c r="QE45" s="239"/>
      <c r="QF45" s="239"/>
      <c r="QG45" s="239"/>
      <c r="QH45" s="239"/>
      <c r="QI45" s="239"/>
      <c r="QJ45" s="239"/>
      <c r="QK45" s="239"/>
      <c r="QL45" s="239"/>
      <c r="QM45" s="239"/>
      <c r="QN45" s="239"/>
      <c r="QO45" s="239"/>
      <c r="QP45" s="239"/>
      <c r="QQ45" s="239"/>
      <c r="QR45" s="239"/>
      <c r="QS45" s="239"/>
      <c r="QT45" s="239"/>
      <c r="QU45" s="239"/>
      <c r="QV45" s="239"/>
      <c r="QW45" s="239"/>
      <c r="QX45" s="239"/>
      <c r="QY45" s="239"/>
      <c r="QZ45" s="239"/>
      <c r="RA45" s="239"/>
      <c r="RB45" s="239"/>
      <c r="RC45" s="239"/>
      <c r="RD45" s="239"/>
      <c r="RE45" s="239"/>
      <c r="RF45" s="239"/>
      <c r="RG45" s="239"/>
      <c r="RH45" s="239"/>
      <c r="RI45" s="239"/>
      <c r="RJ45" s="239"/>
      <c r="RK45" s="239"/>
      <c r="RL45" s="239"/>
      <c r="RM45" s="239"/>
      <c r="RN45" s="239"/>
      <c r="RO45" s="239"/>
      <c r="RP45" s="239"/>
      <c r="RQ45" s="239"/>
      <c r="RR45" s="239"/>
      <c r="RS45" s="239"/>
      <c r="RT45" s="239"/>
      <c r="RU45" s="239"/>
      <c r="RV45" s="239"/>
      <c r="RW45" s="239"/>
      <c r="RX45" s="239"/>
      <c r="RY45" s="239"/>
      <c r="RZ45" s="239"/>
      <c r="SA45" s="239"/>
      <c r="SB45" s="239"/>
      <c r="SC45" s="239"/>
      <c r="SD45" s="239"/>
      <c r="SE45" s="239"/>
      <c r="SF45" s="239"/>
      <c r="SG45" s="239"/>
      <c r="SH45" s="239"/>
      <c r="SI45" s="239"/>
      <c r="SJ45" s="239"/>
      <c r="SK45" s="239"/>
      <c r="SL45" s="239"/>
      <c r="SM45" s="239"/>
      <c r="SN45" s="239"/>
      <c r="SO45" s="239"/>
      <c r="SP45" s="239"/>
      <c r="SQ45" s="239"/>
      <c r="SR45" s="239"/>
      <c r="SS45" s="239"/>
      <c r="ST45" s="239"/>
      <c r="SU45" s="239"/>
      <c r="SV45" s="239"/>
      <c r="SW45" s="239"/>
      <c r="SX45" s="239"/>
      <c r="SY45" s="239"/>
      <c r="SZ45" s="239"/>
      <c r="TA45" s="239"/>
      <c r="TB45" s="239"/>
      <c r="TC45" s="239"/>
      <c r="TD45" s="239"/>
      <c r="TE45" s="239"/>
      <c r="TF45" s="239"/>
      <c r="TG45" s="239"/>
      <c r="TH45" s="239"/>
      <c r="TI45" s="239"/>
      <c r="TJ45" s="239"/>
      <c r="TK45" s="239"/>
      <c r="TL45" s="239"/>
      <c r="TM45" s="239"/>
      <c r="TN45" s="239"/>
      <c r="TO45" s="239"/>
      <c r="TP45" s="239"/>
      <c r="TQ45" s="239"/>
      <c r="TR45" s="239"/>
      <c r="TS45" s="239"/>
      <c r="TT45" s="239"/>
      <c r="TU45" s="239"/>
      <c r="TV45" s="239"/>
      <c r="TW45" s="239"/>
      <c r="TX45" s="239"/>
      <c r="TY45" s="239"/>
      <c r="TZ45" s="239"/>
      <c r="UA45" s="239"/>
      <c r="UB45" s="239"/>
      <c r="UC45" s="239"/>
      <c r="UD45" s="239"/>
      <c r="UE45" s="239"/>
      <c r="UF45" s="239"/>
      <c r="UG45" s="240"/>
    </row>
    <row r="46" spans="1:553" s="236" customFormat="1" ht="27.75" customHeight="1">
      <c r="A46" s="356" t="s">
        <v>15</v>
      </c>
      <c r="B46" s="366" t="s">
        <v>118</v>
      </c>
      <c r="C46" s="1404" t="s">
        <v>119</v>
      </c>
      <c r="D46" s="1389"/>
      <c r="E46" s="1389"/>
      <c r="F46" s="1390"/>
      <c r="G46" s="386" t="s">
        <v>935</v>
      </c>
      <c r="H46" s="370"/>
      <c r="I46" s="834">
        <f>-3.3*2.9</f>
        <v>-9.5699999999999985</v>
      </c>
      <c r="J46" s="368">
        <f>185700-137200</f>
        <v>48500</v>
      </c>
      <c r="K46" s="371"/>
      <c r="L46" s="391">
        <f t="shared" si="12"/>
        <v>-464145</v>
      </c>
      <c r="M46" s="395"/>
      <c r="N46" s="395"/>
      <c r="O46" s="366"/>
      <c r="P46" s="396"/>
      <c r="Q46" s="473"/>
      <c r="R46" s="1039"/>
      <c r="S46" s="1045"/>
      <c r="T46" s="303"/>
      <c r="U46" s="306"/>
      <c r="V46" s="307"/>
      <c r="W46" s="306"/>
      <c r="X46" s="306"/>
      <c r="Y46" s="306"/>
      <c r="Z46" s="306"/>
      <c r="AA46" s="306"/>
      <c r="AB46" s="306"/>
      <c r="AC46" s="449"/>
      <c r="AD46" s="449"/>
      <c r="AE46" s="449"/>
      <c r="AF46" s="449"/>
      <c r="AG46" s="452"/>
      <c r="AH46" s="452"/>
      <c r="AI46" s="452"/>
      <c r="AJ46" s="452"/>
      <c r="AK46" s="452"/>
      <c r="AL46" s="242"/>
      <c r="AM46" s="241"/>
      <c r="AN46" s="241"/>
      <c r="AO46" s="241"/>
      <c r="AP46" s="241"/>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c r="CK46" s="239"/>
      <c r="CL46" s="239"/>
      <c r="CM46" s="239"/>
      <c r="CN46" s="239"/>
      <c r="CO46" s="239"/>
      <c r="CP46" s="239"/>
      <c r="CQ46" s="239"/>
      <c r="CR46" s="239"/>
      <c r="CS46" s="239"/>
      <c r="CT46" s="239"/>
      <c r="CU46" s="239"/>
      <c r="CV46" s="239"/>
      <c r="CW46" s="239"/>
      <c r="CX46" s="239"/>
      <c r="CY46" s="239"/>
      <c r="CZ46" s="239"/>
      <c r="DA46" s="239"/>
      <c r="DB46" s="239"/>
      <c r="DC46" s="239"/>
      <c r="DD46" s="239"/>
      <c r="DE46" s="239"/>
      <c r="DF46" s="239"/>
      <c r="DG46" s="239"/>
      <c r="DH46" s="239"/>
      <c r="DI46" s="239"/>
      <c r="DJ46" s="239"/>
      <c r="DK46" s="239"/>
      <c r="DL46" s="239"/>
      <c r="DM46" s="239"/>
      <c r="DN46" s="239"/>
      <c r="DO46" s="239"/>
      <c r="DP46" s="239"/>
      <c r="DQ46" s="239"/>
      <c r="DR46" s="239"/>
      <c r="DS46" s="239"/>
      <c r="DT46" s="239"/>
      <c r="DU46" s="239"/>
      <c r="DV46" s="239"/>
      <c r="DW46" s="239"/>
      <c r="DX46" s="239"/>
      <c r="DY46" s="239"/>
      <c r="DZ46" s="239"/>
      <c r="EA46" s="239"/>
      <c r="EB46" s="239"/>
      <c r="EC46" s="239"/>
      <c r="ED46" s="239"/>
      <c r="EE46" s="239"/>
      <c r="EF46" s="239"/>
      <c r="EG46" s="239"/>
      <c r="EH46" s="239"/>
      <c r="EI46" s="239"/>
      <c r="EJ46" s="239"/>
      <c r="EK46" s="239"/>
      <c r="EL46" s="239"/>
      <c r="EM46" s="239"/>
      <c r="EN46" s="239"/>
      <c r="EO46" s="239"/>
      <c r="EP46" s="239"/>
      <c r="EQ46" s="239"/>
      <c r="ER46" s="239"/>
      <c r="ES46" s="239"/>
      <c r="ET46" s="239"/>
      <c r="EU46" s="239"/>
      <c r="EV46" s="239"/>
      <c r="EW46" s="239"/>
      <c r="EX46" s="239"/>
      <c r="EY46" s="239"/>
      <c r="EZ46" s="239"/>
      <c r="FA46" s="239"/>
      <c r="FB46" s="239"/>
      <c r="FC46" s="239"/>
      <c r="FD46" s="239"/>
      <c r="FE46" s="239"/>
      <c r="FF46" s="239"/>
      <c r="FG46" s="239"/>
      <c r="FH46" s="239"/>
      <c r="FI46" s="239"/>
      <c r="FJ46" s="239"/>
      <c r="FK46" s="239"/>
      <c r="FL46" s="239"/>
      <c r="FM46" s="239"/>
      <c r="FN46" s="239"/>
      <c r="FO46" s="239"/>
      <c r="FP46" s="239"/>
      <c r="FQ46" s="239"/>
      <c r="FR46" s="239"/>
      <c r="FS46" s="239"/>
      <c r="FT46" s="239"/>
      <c r="FU46" s="239"/>
      <c r="FV46" s="239"/>
      <c r="FW46" s="239"/>
      <c r="FX46" s="239"/>
      <c r="FY46" s="239"/>
      <c r="FZ46" s="239"/>
      <c r="GA46" s="239"/>
      <c r="GB46" s="239"/>
      <c r="GC46" s="239"/>
      <c r="GD46" s="239"/>
      <c r="GE46" s="239"/>
      <c r="GF46" s="239"/>
      <c r="GG46" s="239"/>
      <c r="GH46" s="239"/>
      <c r="GI46" s="239"/>
      <c r="GJ46" s="239"/>
      <c r="GK46" s="239"/>
      <c r="GL46" s="239"/>
      <c r="GM46" s="239"/>
      <c r="GN46" s="239"/>
      <c r="GO46" s="239"/>
      <c r="GP46" s="239"/>
      <c r="GQ46" s="239"/>
      <c r="GR46" s="239"/>
      <c r="GS46" s="239"/>
      <c r="GT46" s="239"/>
      <c r="GU46" s="239"/>
      <c r="GV46" s="239"/>
      <c r="GW46" s="239"/>
      <c r="GX46" s="239"/>
      <c r="GY46" s="239"/>
      <c r="GZ46" s="239"/>
      <c r="HA46" s="239"/>
      <c r="HB46" s="239"/>
      <c r="HC46" s="239"/>
      <c r="HD46" s="239"/>
      <c r="HE46" s="239"/>
      <c r="HF46" s="239"/>
      <c r="HG46" s="239"/>
      <c r="HH46" s="239"/>
      <c r="HI46" s="239"/>
      <c r="HJ46" s="239"/>
      <c r="HK46" s="239"/>
      <c r="HL46" s="239"/>
      <c r="HM46" s="239"/>
      <c r="HN46" s="239"/>
      <c r="HO46" s="239"/>
      <c r="HP46" s="239"/>
      <c r="HQ46" s="239"/>
      <c r="HR46" s="239"/>
      <c r="HS46" s="239"/>
      <c r="HT46" s="239"/>
      <c r="HU46" s="239"/>
      <c r="HV46" s="239"/>
      <c r="HW46" s="239"/>
      <c r="HX46" s="239"/>
      <c r="HY46" s="239"/>
      <c r="HZ46" s="239"/>
      <c r="IA46" s="239"/>
      <c r="IB46" s="239"/>
      <c r="IC46" s="239"/>
      <c r="ID46" s="239"/>
      <c r="IE46" s="239"/>
      <c r="IF46" s="239"/>
      <c r="IG46" s="239"/>
      <c r="IH46" s="239"/>
      <c r="II46" s="239"/>
      <c r="IJ46" s="239"/>
      <c r="IK46" s="239"/>
      <c r="IL46" s="239"/>
      <c r="IM46" s="239"/>
      <c r="IN46" s="239"/>
      <c r="IO46" s="239"/>
      <c r="IP46" s="239"/>
      <c r="IQ46" s="239"/>
      <c r="IR46" s="239"/>
      <c r="IS46" s="239"/>
      <c r="IT46" s="239"/>
      <c r="IU46" s="239"/>
      <c r="IV46" s="239"/>
      <c r="IW46" s="239"/>
      <c r="IX46" s="239"/>
      <c r="IY46" s="239"/>
      <c r="IZ46" s="239"/>
      <c r="JA46" s="239"/>
      <c r="JB46" s="239"/>
      <c r="JC46" s="239"/>
      <c r="JD46" s="239"/>
      <c r="JE46" s="239"/>
      <c r="JF46" s="239"/>
      <c r="JG46" s="239"/>
      <c r="JH46" s="239"/>
      <c r="JI46" s="239"/>
      <c r="JJ46" s="239"/>
      <c r="JK46" s="239"/>
      <c r="JL46" s="239"/>
      <c r="JM46" s="239"/>
      <c r="JN46" s="239"/>
      <c r="JO46" s="239"/>
      <c r="JP46" s="239"/>
      <c r="JQ46" s="239"/>
      <c r="JR46" s="239"/>
      <c r="JS46" s="239"/>
      <c r="JT46" s="239"/>
      <c r="JU46" s="239"/>
      <c r="JV46" s="239"/>
      <c r="JW46" s="239"/>
      <c r="JX46" s="239"/>
      <c r="JY46" s="239"/>
      <c r="JZ46" s="239"/>
      <c r="KA46" s="239"/>
      <c r="KB46" s="239"/>
      <c r="KC46" s="239"/>
      <c r="KD46" s="239"/>
      <c r="KE46" s="239"/>
      <c r="KF46" s="239"/>
      <c r="KG46" s="239"/>
      <c r="KH46" s="239"/>
      <c r="KI46" s="239"/>
      <c r="KJ46" s="239"/>
      <c r="KK46" s="239"/>
      <c r="KL46" s="239"/>
      <c r="KM46" s="239"/>
      <c r="KN46" s="239"/>
      <c r="KO46" s="239"/>
      <c r="KP46" s="239"/>
      <c r="KQ46" s="239"/>
      <c r="KR46" s="239"/>
      <c r="KS46" s="239"/>
      <c r="KT46" s="239"/>
      <c r="KU46" s="239"/>
      <c r="KV46" s="239"/>
      <c r="KW46" s="239"/>
      <c r="KX46" s="239"/>
      <c r="KY46" s="239"/>
      <c r="KZ46" s="239"/>
      <c r="LA46" s="239"/>
      <c r="LB46" s="239"/>
      <c r="LC46" s="239"/>
      <c r="LD46" s="239"/>
      <c r="LE46" s="239"/>
      <c r="LF46" s="239"/>
      <c r="LG46" s="239"/>
      <c r="LH46" s="239"/>
      <c r="LI46" s="239"/>
      <c r="LJ46" s="239"/>
      <c r="LK46" s="239"/>
      <c r="LL46" s="239"/>
      <c r="LM46" s="239"/>
      <c r="LN46" s="239"/>
      <c r="LO46" s="239"/>
      <c r="LP46" s="239"/>
      <c r="LQ46" s="239"/>
      <c r="LR46" s="239"/>
      <c r="LS46" s="239"/>
      <c r="LT46" s="239"/>
      <c r="LU46" s="239"/>
      <c r="LV46" s="239"/>
      <c r="LW46" s="239"/>
      <c r="LX46" s="239"/>
      <c r="LY46" s="239"/>
      <c r="LZ46" s="239"/>
      <c r="MA46" s="239"/>
      <c r="MB46" s="239"/>
      <c r="MC46" s="239"/>
      <c r="MD46" s="239"/>
      <c r="ME46" s="239"/>
      <c r="MF46" s="239"/>
      <c r="MG46" s="239"/>
      <c r="MH46" s="239"/>
      <c r="MI46" s="239"/>
      <c r="MJ46" s="239"/>
      <c r="MK46" s="239"/>
      <c r="ML46" s="239"/>
      <c r="MM46" s="239"/>
      <c r="MN46" s="239"/>
      <c r="MO46" s="239"/>
      <c r="MP46" s="239"/>
      <c r="MQ46" s="239"/>
      <c r="MR46" s="239"/>
      <c r="MS46" s="239"/>
      <c r="MT46" s="239"/>
      <c r="MU46" s="239"/>
      <c r="MV46" s="239"/>
      <c r="MW46" s="239"/>
      <c r="MX46" s="239"/>
      <c r="MY46" s="239"/>
      <c r="MZ46" s="239"/>
      <c r="NA46" s="239"/>
      <c r="NB46" s="239"/>
      <c r="NC46" s="239"/>
      <c r="ND46" s="239"/>
      <c r="NE46" s="239"/>
      <c r="NF46" s="239"/>
      <c r="NG46" s="239"/>
      <c r="NH46" s="239"/>
      <c r="NI46" s="239"/>
      <c r="NJ46" s="239"/>
      <c r="NK46" s="239"/>
      <c r="NL46" s="239"/>
      <c r="NM46" s="239"/>
      <c r="NN46" s="239"/>
      <c r="NO46" s="239"/>
      <c r="NP46" s="239"/>
      <c r="NQ46" s="239"/>
      <c r="NR46" s="239"/>
      <c r="NS46" s="239"/>
      <c r="NT46" s="239"/>
      <c r="NU46" s="239"/>
      <c r="NV46" s="239"/>
      <c r="NW46" s="239"/>
      <c r="NX46" s="239"/>
      <c r="NY46" s="239"/>
      <c r="NZ46" s="239"/>
      <c r="OA46" s="239"/>
      <c r="OB46" s="239"/>
      <c r="OC46" s="239"/>
      <c r="OD46" s="239"/>
      <c r="OE46" s="239"/>
      <c r="OF46" s="239"/>
      <c r="OG46" s="239"/>
      <c r="OH46" s="239"/>
      <c r="OI46" s="239"/>
      <c r="OJ46" s="239"/>
      <c r="OK46" s="239"/>
      <c r="OL46" s="239"/>
      <c r="OM46" s="239"/>
      <c r="ON46" s="239"/>
      <c r="OO46" s="239"/>
      <c r="OP46" s="239"/>
      <c r="OQ46" s="239"/>
      <c r="OR46" s="239"/>
      <c r="OS46" s="239"/>
      <c r="OT46" s="239"/>
      <c r="OU46" s="239"/>
      <c r="OV46" s="239"/>
      <c r="OW46" s="239"/>
      <c r="OX46" s="239"/>
      <c r="OY46" s="239"/>
      <c r="OZ46" s="239"/>
      <c r="PA46" s="239"/>
      <c r="PB46" s="239"/>
      <c r="PC46" s="239"/>
      <c r="PD46" s="239"/>
      <c r="PE46" s="239"/>
      <c r="PF46" s="239"/>
      <c r="PG46" s="239"/>
      <c r="PH46" s="239"/>
      <c r="PI46" s="239"/>
      <c r="PJ46" s="239"/>
      <c r="PK46" s="239"/>
      <c r="PL46" s="239"/>
      <c r="PM46" s="239"/>
      <c r="PN46" s="239"/>
      <c r="PO46" s="239"/>
      <c r="PP46" s="239"/>
      <c r="PQ46" s="239"/>
      <c r="PR46" s="239"/>
      <c r="PS46" s="239"/>
      <c r="PT46" s="239"/>
      <c r="PU46" s="239"/>
      <c r="PV46" s="239"/>
      <c r="PW46" s="239"/>
      <c r="PX46" s="239"/>
      <c r="PY46" s="239"/>
      <c r="PZ46" s="239"/>
      <c r="QA46" s="239"/>
      <c r="QB46" s="239"/>
      <c r="QC46" s="239"/>
      <c r="QD46" s="239"/>
      <c r="QE46" s="239"/>
      <c r="QF46" s="239"/>
      <c r="QG46" s="239"/>
      <c r="QH46" s="239"/>
      <c r="QI46" s="239"/>
      <c r="QJ46" s="239"/>
      <c r="QK46" s="239"/>
      <c r="QL46" s="239"/>
      <c r="QM46" s="239"/>
      <c r="QN46" s="239"/>
      <c r="QO46" s="239"/>
      <c r="QP46" s="239"/>
      <c r="QQ46" s="239"/>
      <c r="QR46" s="239"/>
      <c r="QS46" s="239"/>
      <c r="QT46" s="239"/>
      <c r="QU46" s="239"/>
      <c r="QV46" s="239"/>
      <c r="QW46" s="239"/>
      <c r="QX46" s="239"/>
      <c r="QY46" s="239"/>
      <c r="QZ46" s="239"/>
      <c r="RA46" s="239"/>
      <c r="RB46" s="239"/>
      <c r="RC46" s="239"/>
      <c r="RD46" s="239"/>
      <c r="RE46" s="239"/>
      <c r="RF46" s="239"/>
      <c r="RG46" s="239"/>
      <c r="RH46" s="239"/>
      <c r="RI46" s="239"/>
      <c r="RJ46" s="239"/>
      <c r="RK46" s="239"/>
      <c r="RL46" s="239"/>
      <c r="RM46" s="239"/>
      <c r="RN46" s="239"/>
      <c r="RO46" s="239"/>
      <c r="RP46" s="239"/>
      <c r="RQ46" s="239"/>
      <c r="RR46" s="239"/>
      <c r="RS46" s="239"/>
      <c r="RT46" s="239"/>
      <c r="RU46" s="239"/>
      <c r="RV46" s="239"/>
      <c r="RW46" s="239"/>
      <c r="RX46" s="239"/>
      <c r="RY46" s="239"/>
      <c r="RZ46" s="239"/>
      <c r="SA46" s="239"/>
      <c r="SB46" s="239"/>
      <c r="SC46" s="239"/>
      <c r="SD46" s="239"/>
      <c r="SE46" s="239"/>
      <c r="SF46" s="239"/>
      <c r="SG46" s="239"/>
      <c r="SH46" s="239"/>
      <c r="SI46" s="239"/>
      <c r="SJ46" s="239"/>
      <c r="SK46" s="239"/>
      <c r="SL46" s="239"/>
      <c r="SM46" s="239"/>
      <c r="SN46" s="239"/>
      <c r="SO46" s="239"/>
      <c r="SP46" s="239"/>
      <c r="SQ46" s="239"/>
      <c r="SR46" s="239"/>
      <c r="SS46" s="239"/>
      <c r="ST46" s="239"/>
      <c r="SU46" s="239"/>
      <c r="SV46" s="239"/>
      <c r="SW46" s="239"/>
      <c r="SX46" s="239"/>
      <c r="SY46" s="239"/>
      <c r="SZ46" s="239"/>
      <c r="TA46" s="239"/>
      <c r="TB46" s="239"/>
      <c r="TC46" s="239"/>
      <c r="TD46" s="239"/>
      <c r="TE46" s="239"/>
      <c r="TF46" s="239"/>
      <c r="TG46" s="239"/>
      <c r="TH46" s="239"/>
      <c r="TI46" s="239"/>
      <c r="TJ46" s="239"/>
      <c r="TK46" s="239"/>
      <c r="TL46" s="239"/>
      <c r="TM46" s="239"/>
      <c r="TN46" s="239"/>
      <c r="TO46" s="239"/>
      <c r="TP46" s="239"/>
      <c r="TQ46" s="239"/>
      <c r="TR46" s="239"/>
      <c r="TS46" s="239"/>
      <c r="TT46" s="239"/>
      <c r="TU46" s="239"/>
      <c r="TV46" s="239"/>
      <c r="TW46" s="239"/>
      <c r="TX46" s="239"/>
      <c r="TY46" s="239"/>
      <c r="TZ46" s="239"/>
      <c r="UA46" s="239"/>
      <c r="UB46" s="239"/>
      <c r="UC46" s="239"/>
      <c r="UD46" s="239"/>
      <c r="UE46" s="239"/>
      <c r="UF46" s="239"/>
      <c r="UG46" s="240"/>
    </row>
    <row r="47" spans="1:553" s="236" customFormat="1" ht="27.75" customHeight="1">
      <c r="A47" s="356" t="s">
        <v>15</v>
      </c>
      <c r="B47" s="366" t="s">
        <v>39</v>
      </c>
      <c r="C47" s="1404" t="s">
        <v>876</v>
      </c>
      <c r="D47" s="1389"/>
      <c r="E47" s="1389"/>
      <c r="F47" s="1390"/>
      <c r="G47" s="386" t="s">
        <v>1394</v>
      </c>
      <c r="H47" s="370"/>
      <c r="I47" s="834">
        <f>1.2*2*2</f>
        <v>4.8</v>
      </c>
      <c r="J47" s="368">
        <v>2943200</v>
      </c>
      <c r="K47" s="371"/>
      <c r="L47" s="391">
        <f t="shared" si="12"/>
        <v>14127360</v>
      </c>
      <c r="M47" s="395"/>
      <c r="N47" s="395"/>
      <c r="O47" s="366"/>
      <c r="P47" s="396"/>
      <c r="Q47" s="473"/>
      <c r="R47" s="1039"/>
      <c r="S47" s="1045"/>
      <c r="T47" s="303"/>
      <c r="U47" s="306"/>
      <c r="V47" s="307"/>
      <c r="W47" s="306"/>
      <c r="X47" s="306"/>
      <c r="Y47" s="306"/>
      <c r="Z47" s="306"/>
      <c r="AA47" s="306"/>
      <c r="AB47" s="306"/>
      <c r="AC47" s="449"/>
      <c r="AD47" s="449"/>
      <c r="AE47" s="449"/>
      <c r="AF47" s="449"/>
      <c r="AG47" s="452"/>
      <c r="AH47" s="452"/>
      <c r="AI47" s="452"/>
      <c r="AJ47" s="452"/>
      <c r="AK47" s="452"/>
      <c r="AL47" s="242"/>
      <c r="AM47" s="241"/>
      <c r="AN47" s="241"/>
      <c r="AO47" s="241"/>
      <c r="AP47" s="241"/>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c r="CK47" s="239"/>
      <c r="CL47" s="239"/>
      <c r="CM47" s="239"/>
      <c r="CN47" s="239"/>
      <c r="CO47" s="239"/>
      <c r="CP47" s="239"/>
      <c r="CQ47" s="239"/>
      <c r="CR47" s="239"/>
      <c r="CS47" s="239"/>
      <c r="CT47" s="239"/>
      <c r="CU47" s="239"/>
      <c r="CV47" s="239"/>
      <c r="CW47" s="239"/>
      <c r="CX47" s="239"/>
      <c r="CY47" s="239"/>
      <c r="CZ47" s="239"/>
      <c r="DA47" s="239"/>
      <c r="DB47" s="239"/>
      <c r="DC47" s="239"/>
      <c r="DD47" s="239"/>
      <c r="DE47" s="239"/>
      <c r="DF47" s="239"/>
      <c r="DG47" s="239"/>
      <c r="DH47" s="239"/>
      <c r="DI47" s="239"/>
      <c r="DJ47" s="239"/>
      <c r="DK47" s="239"/>
      <c r="DL47" s="239"/>
      <c r="DM47" s="239"/>
      <c r="DN47" s="239"/>
      <c r="DO47" s="239"/>
      <c r="DP47" s="239"/>
      <c r="DQ47" s="239"/>
      <c r="DR47" s="239"/>
      <c r="DS47" s="239"/>
      <c r="DT47" s="239"/>
      <c r="DU47" s="239"/>
      <c r="DV47" s="239"/>
      <c r="DW47" s="239"/>
      <c r="DX47" s="239"/>
      <c r="DY47" s="239"/>
      <c r="DZ47" s="239"/>
      <c r="EA47" s="239"/>
      <c r="EB47" s="239"/>
      <c r="EC47" s="239"/>
      <c r="ED47" s="239"/>
      <c r="EE47" s="239"/>
      <c r="EF47" s="239"/>
      <c r="EG47" s="239"/>
      <c r="EH47" s="239"/>
      <c r="EI47" s="239"/>
      <c r="EJ47" s="239"/>
      <c r="EK47" s="239"/>
      <c r="EL47" s="239"/>
      <c r="EM47" s="239"/>
      <c r="EN47" s="239"/>
      <c r="EO47" s="239"/>
      <c r="EP47" s="239"/>
      <c r="EQ47" s="239"/>
      <c r="ER47" s="239"/>
      <c r="ES47" s="239"/>
      <c r="ET47" s="239"/>
      <c r="EU47" s="239"/>
      <c r="EV47" s="239"/>
      <c r="EW47" s="239"/>
      <c r="EX47" s="239"/>
      <c r="EY47" s="239"/>
      <c r="EZ47" s="239"/>
      <c r="FA47" s="239"/>
      <c r="FB47" s="239"/>
      <c r="FC47" s="239"/>
      <c r="FD47" s="239"/>
      <c r="FE47" s="239"/>
      <c r="FF47" s="239"/>
      <c r="FG47" s="239"/>
      <c r="FH47" s="239"/>
      <c r="FI47" s="239"/>
      <c r="FJ47" s="239"/>
      <c r="FK47" s="239"/>
      <c r="FL47" s="239"/>
      <c r="FM47" s="239"/>
      <c r="FN47" s="239"/>
      <c r="FO47" s="239"/>
      <c r="FP47" s="239"/>
      <c r="FQ47" s="239"/>
      <c r="FR47" s="239"/>
      <c r="FS47" s="239"/>
      <c r="FT47" s="239"/>
      <c r="FU47" s="239"/>
      <c r="FV47" s="239"/>
      <c r="FW47" s="239"/>
      <c r="FX47" s="239"/>
      <c r="FY47" s="239"/>
      <c r="FZ47" s="239"/>
      <c r="GA47" s="239"/>
      <c r="GB47" s="239"/>
      <c r="GC47" s="239"/>
      <c r="GD47" s="239"/>
      <c r="GE47" s="239"/>
      <c r="GF47" s="239"/>
      <c r="GG47" s="239"/>
      <c r="GH47" s="239"/>
      <c r="GI47" s="239"/>
      <c r="GJ47" s="239"/>
      <c r="GK47" s="239"/>
      <c r="GL47" s="239"/>
      <c r="GM47" s="239"/>
      <c r="GN47" s="239"/>
      <c r="GO47" s="239"/>
      <c r="GP47" s="239"/>
      <c r="GQ47" s="239"/>
      <c r="GR47" s="239"/>
      <c r="GS47" s="239"/>
      <c r="GT47" s="239"/>
      <c r="GU47" s="239"/>
      <c r="GV47" s="239"/>
      <c r="GW47" s="239"/>
      <c r="GX47" s="239"/>
      <c r="GY47" s="239"/>
      <c r="GZ47" s="239"/>
      <c r="HA47" s="239"/>
      <c r="HB47" s="239"/>
      <c r="HC47" s="239"/>
      <c r="HD47" s="239"/>
      <c r="HE47" s="239"/>
      <c r="HF47" s="239"/>
      <c r="HG47" s="239"/>
      <c r="HH47" s="239"/>
      <c r="HI47" s="239"/>
      <c r="HJ47" s="239"/>
      <c r="HK47" s="239"/>
      <c r="HL47" s="239"/>
      <c r="HM47" s="239"/>
      <c r="HN47" s="239"/>
      <c r="HO47" s="239"/>
      <c r="HP47" s="239"/>
      <c r="HQ47" s="239"/>
      <c r="HR47" s="239"/>
      <c r="HS47" s="239"/>
      <c r="HT47" s="239"/>
      <c r="HU47" s="239"/>
      <c r="HV47" s="239"/>
      <c r="HW47" s="239"/>
      <c r="HX47" s="239"/>
      <c r="HY47" s="239"/>
      <c r="HZ47" s="239"/>
      <c r="IA47" s="239"/>
      <c r="IB47" s="239"/>
      <c r="IC47" s="239"/>
      <c r="ID47" s="239"/>
      <c r="IE47" s="239"/>
      <c r="IF47" s="239"/>
      <c r="IG47" s="239"/>
      <c r="IH47" s="239"/>
      <c r="II47" s="239"/>
      <c r="IJ47" s="239"/>
      <c r="IK47" s="239"/>
      <c r="IL47" s="239"/>
      <c r="IM47" s="239"/>
      <c r="IN47" s="239"/>
      <c r="IO47" s="239"/>
      <c r="IP47" s="239"/>
      <c r="IQ47" s="239"/>
      <c r="IR47" s="239"/>
      <c r="IS47" s="239"/>
      <c r="IT47" s="239"/>
      <c r="IU47" s="239"/>
      <c r="IV47" s="239"/>
      <c r="IW47" s="239"/>
      <c r="IX47" s="239"/>
      <c r="IY47" s="239"/>
      <c r="IZ47" s="239"/>
      <c r="JA47" s="239"/>
      <c r="JB47" s="239"/>
      <c r="JC47" s="239"/>
      <c r="JD47" s="239"/>
      <c r="JE47" s="239"/>
      <c r="JF47" s="239"/>
      <c r="JG47" s="239"/>
      <c r="JH47" s="239"/>
      <c r="JI47" s="239"/>
      <c r="JJ47" s="239"/>
      <c r="JK47" s="239"/>
      <c r="JL47" s="239"/>
      <c r="JM47" s="239"/>
      <c r="JN47" s="239"/>
      <c r="JO47" s="239"/>
      <c r="JP47" s="239"/>
      <c r="JQ47" s="239"/>
      <c r="JR47" s="239"/>
      <c r="JS47" s="239"/>
      <c r="JT47" s="239"/>
      <c r="JU47" s="239"/>
      <c r="JV47" s="239"/>
      <c r="JW47" s="239"/>
      <c r="JX47" s="239"/>
      <c r="JY47" s="239"/>
      <c r="JZ47" s="239"/>
      <c r="KA47" s="239"/>
      <c r="KB47" s="239"/>
      <c r="KC47" s="239"/>
      <c r="KD47" s="239"/>
      <c r="KE47" s="239"/>
      <c r="KF47" s="239"/>
      <c r="KG47" s="239"/>
      <c r="KH47" s="239"/>
      <c r="KI47" s="239"/>
      <c r="KJ47" s="239"/>
      <c r="KK47" s="239"/>
      <c r="KL47" s="239"/>
      <c r="KM47" s="239"/>
      <c r="KN47" s="239"/>
      <c r="KO47" s="239"/>
      <c r="KP47" s="239"/>
      <c r="KQ47" s="239"/>
      <c r="KR47" s="239"/>
      <c r="KS47" s="239"/>
      <c r="KT47" s="239"/>
      <c r="KU47" s="239"/>
      <c r="KV47" s="239"/>
      <c r="KW47" s="239"/>
      <c r="KX47" s="239"/>
      <c r="KY47" s="239"/>
      <c r="KZ47" s="239"/>
      <c r="LA47" s="239"/>
      <c r="LB47" s="239"/>
      <c r="LC47" s="239"/>
      <c r="LD47" s="239"/>
      <c r="LE47" s="239"/>
      <c r="LF47" s="239"/>
      <c r="LG47" s="239"/>
      <c r="LH47" s="239"/>
      <c r="LI47" s="239"/>
      <c r="LJ47" s="239"/>
      <c r="LK47" s="239"/>
      <c r="LL47" s="239"/>
      <c r="LM47" s="239"/>
      <c r="LN47" s="239"/>
      <c r="LO47" s="239"/>
      <c r="LP47" s="239"/>
      <c r="LQ47" s="239"/>
      <c r="LR47" s="239"/>
      <c r="LS47" s="239"/>
      <c r="LT47" s="239"/>
      <c r="LU47" s="239"/>
      <c r="LV47" s="239"/>
      <c r="LW47" s="239"/>
      <c r="LX47" s="239"/>
      <c r="LY47" s="239"/>
      <c r="LZ47" s="239"/>
      <c r="MA47" s="239"/>
      <c r="MB47" s="239"/>
      <c r="MC47" s="239"/>
      <c r="MD47" s="239"/>
      <c r="ME47" s="239"/>
      <c r="MF47" s="239"/>
      <c r="MG47" s="239"/>
      <c r="MH47" s="239"/>
      <c r="MI47" s="239"/>
      <c r="MJ47" s="239"/>
      <c r="MK47" s="239"/>
      <c r="ML47" s="239"/>
      <c r="MM47" s="239"/>
      <c r="MN47" s="239"/>
      <c r="MO47" s="239"/>
      <c r="MP47" s="239"/>
      <c r="MQ47" s="239"/>
      <c r="MR47" s="239"/>
      <c r="MS47" s="239"/>
      <c r="MT47" s="239"/>
      <c r="MU47" s="239"/>
      <c r="MV47" s="239"/>
      <c r="MW47" s="239"/>
      <c r="MX47" s="239"/>
      <c r="MY47" s="239"/>
      <c r="MZ47" s="239"/>
      <c r="NA47" s="239"/>
      <c r="NB47" s="239"/>
      <c r="NC47" s="239"/>
      <c r="ND47" s="239"/>
      <c r="NE47" s="239"/>
      <c r="NF47" s="239"/>
      <c r="NG47" s="239"/>
      <c r="NH47" s="239"/>
      <c r="NI47" s="239"/>
      <c r="NJ47" s="239"/>
      <c r="NK47" s="239"/>
      <c r="NL47" s="239"/>
      <c r="NM47" s="239"/>
      <c r="NN47" s="239"/>
      <c r="NO47" s="239"/>
      <c r="NP47" s="239"/>
      <c r="NQ47" s="239"/>
      <c r="NR47" s="239"/>
      <c r="NS47" s="239"/>
      <c r="NT47" s="239"/>
      <c r="NU47" s="239"/>
      <c r="NV47" s="239"/>
      <c r="NW47" s="239"/>
      <c r="NX47" s="239"/>
      <c r="NY47" s="239"/>
      <c r="NZ47" s="239"/>
      <c r="OA47" s="239"/>
      <c r="OB47" s="239"/>
      <c r="OC47" s="239"/>
      <c r="OD47" s="239"/>
      <c r="OE47" s="239"/>
      <c r="OF47" s="239"/>
      <c r="OG47" s="239"/>
      <c r="OH47" s="239"/>
      <c r="OI47" s="239"/>
      <c r="OJ47" s="239"/>
      <c r="OK47" s="239"/>
      <c r="OL47" s="239"/>
      <c r="OM47" s="239"/>
      <c r="ON47" s="239"/>
      <c r="OO47" s="239"/>
      <c r="OP47" s="239"/>
      <c r="OQ47" s="239"/>
      <c r="OR47" s="239"/>
      <c r="OS47" s="239"/>
      <c r="OT47" s="239"/>
      <c r="OU47" s="239"/>
      <c r="OV47" s="239"/>
      <c r="OW47" s="239"/>
      <c r="OX47" s="239"/>
      <c r="OY47" s="239"/>
      <c r="OZ47" s="239"/>
      <c r="PA47" s="239"/>
      <c r="PB47" s="239"/>
      <c r="PC47" s="239"/>
      <c r="PD47" s="239"/>
      <c r="PE47" s="239"/>
      <c r="PF47" s="239"/>
      <c r="PG47" s="239"/>
      <c r="PH47" s="239"/>
      <c r="PI47" s="239"/>
      <c r="PJ47" s="239"/>
      <c r="PK47" s="239"/>
      <c r="PL47" s="239"/>
      <c r="PM47" s="239"/>
      <c r="PN47" s="239"/>
      <c r="PO47" s="239"/>
      <c r="PP47" s="239"/>
      <c r="PQ47" s="239"/>
      <c r="PR47" s="239"/>
      <c r="PS47" s="239"/>
      <c r="PT47" s="239"/>
      <c r="PU47" s="239"/>
      <c r="PV47" s="239"/>
      <c r="PW47" s="239"/>
      <c r="PX47" s="239"/>
      <c r="PY47" s="239"/>
      <c r="PZ47" s="239"/>
      <c r="QA47" s="239"/>
      <c r="QB47" s="239"/>
      <c r="QC47" s="239"/>
      <c r="QD47" s="239"/>
      <c r="QE47" s="239"/>
      <c r="QF47" s="239"/>
      <c r="QG47" s="239"/>
      <c r="QH47" s="239"/>
      <c r="QI47" s="239"/>
      <c r="QJ47" s="239"/>
      <c r="QK47" s="239"/>
      <c r="QL47" s="239"/>
      <c r="QM47" s="239"/>
      <c r="QN47" s="239"/>
      <c r="QO47" s="239"/>
      <c r="QP47" s="239"/>
      <c r="QQ47" s="239"/>
      <c r="QR47" s="239"/>
      <c r="QS47" s="239"/>
      <c r="QT47" s="239"/>
      <c r="QU47" s="239"/>
      <c r="QV47" s="239"/>
      <c r="QW47" s="239"/>
      <c r="QX47" s="239"/>
      <c r="QY47" s="239"/>
      <c r="QZ47" s="239"/>
      <c r="RA47" s="239"/>
      <c r="RB47" s="239"/>
      <c r="RC47" s="239"/>
      <c r="RD47" s="239"/>
      <c r="RE47" s="239"/>
      <c r="RF47" s="239"/>
      <c r="RG47" s="239"/>
      <c r="RH47" s="239"/>
      <c r="RI47" s="239"/>
      <c r="RJ47" s="239"/>
      <c r="RK47" s="239"/>
      <c r="RL47" s="239"/>
      <c r="RM47" s="239"/>
      <c r="RN47" s="239"/>
      <c r="RO47" s="239"/>
      <c r="RP47" s="239"/>
      <c r="RQ47" s="239"/>
      <c r="RR47" s="239"/>
      <c r="RS47" s="239"/>
      <c r="RT47" s="239"/>
      <c r="RU47" s="239"/>
      <c r="RV47" s="239"/>
      <c r="RW47" s="239"/>
      <c r="RX47" s="239"/>
      <c r="RY47" s="239"/>
      <c r="RZ47" s="239"/>
      <c r="SA47" s="239"/>
      <c r="SB47" s="239"/>
      <c r="SC47" s="239"/>
      <c r="SD47" s="239"/>
      <c r="SE47" s="239"/>
      <c r="SF47" s="239"/>
      <c r="SG47" s="239"/>
      <c r="SH47" s="239"/>
      <c r="SI47" s="239"/>
      <c r="SJ47" s="239"/>
      <c r="SK47" s="239"/>
      <c r="SL47" s="239"/>
      <c r="SM47" s="239"/>
      <c r="SN47" s="239"/>
      <c r="SO47" s="239"/>
      <c r="SP47" s="239"/>
      <c r="SQ47" s="239"/>
      <c r="SR47" s="239"/>
      <c r="SS47" s="239"/>
      <c r="ST47" s="239"/>
      <c r="SU47" s="239"/>
      <c r="SV47" s="239"/>
      <c r="SW47" s="239"/>
      <c r="SX47" s="239"/>
      <c r="SY47" s="239"/>
      <c r="SZ47" s="239"/>
      <c r="TA47" s="239"/>
      <c r="TB47" s="239"/>
      <c r="TC47" s="239"/>
      <c r="TD47" s="239"/>
      <c r="TE47" s="239"/>
      <c r="TF47" s="239"/>
      <c r="TG47" s="239"/>
      <c r="TH47" s="239"/>
      <c r="TI47" s="239"/>
      <c r="TJ47" s="239"/>
      <c r="TK47" s="239"/>
      <c r="TL47" s="239"/>
      <c r="TM47" s="239"/>
      <c r="TN47" s="239"/>
      <c r="TO47" s="239"/>
      <c r="TP47" s="239"/>
      <c r="TQ47" s="239"/>
      <c r="TR47" s="239"/>
      <c r="TS47" s="239"/>
      <c r="TT47" s="239"/>
      <c r="TU47" s="239"/>
      <c r="TV47" s="239"/>
      <c r="TW47" s="239"/>
      <c r="TX47" s="239"/>
      <c r="TY47" s="239"/>
      <c r="TZ47" s="239"/>
      <c r="UA47" s="239"/>
      <c r="UB47" s="239"/>
      <c r="UC47" s="239"/>
      <c r="UD47" s="239"/>
      <c r="UE47" s="239"/>
      <c r="UF47" s="239"/>
      <c r="UG47" s="240"/>
    </row>
    <row r="48" spans="1:553" s="236" customFormat="1" ht="27.75" customHeight="1">
      <c r="A48" s="356" t="s">
        <v>15</v>
      </c>
      <c r="B48" s="366" t="s">
        <v>31</v>
      </c>
      <c r="C48" s="1404" t="s">
        <v>120</v>
      </c>
      <c r="D48" s="1389"/>
      <c r="E48" s="1389"/>
      <c r="F48" s="1390"/>
      <c r="G48" s="386" t="s">
        <v>1394</v>
      </c>
      <c r="H48" s="370"/>
      <c r="I48" s="834">
        <f>0.44*0.44*1.5*4</f>
        <v>1.1616</v>
      </c>
      <c r="J48" s="368">
        <v>1748702</v>
      </c>
      <c r="K48" s="371"/>
      <c r="L48" s="391">
        <f t="shared" si="12"/>
        <v>2031292</v>
      </c>
      <c r="M48" s="395"/>
      <c r="N48" s="395"/>
      <c r="O48" s="366"/>
      <c r="P48" s="396"/>
      <c r="Q48" s="473"/>
      <c r="R48" s="1039"/>
      <c r="S48" s="1045"/>
      <c r="T48" s="303"/>
      <c r="U48" s="306"/>
      <c r="V48" s="307"/>
      <c r="W48" s="306"/>
      <c r="X48" s="306"/>
      <c r="Y48" s="306"/>
      <c r="Z48" s="306"/>
      <c r="AA48" s="306"/>
      <c r="AB48" s="306"/>
      <c r="AC48" s="449"/>
      <c r="AD48" s="449"/>
      <c r="AE48" s="449"/>
      <c r="AF48" s="449"/>
      <c r="AG48" s="452"/>
      <c r="AH48" s="452"/>
      <c r="AI48" s="452"/>
      <c r="AJ48" s="452"/>
      <c r="AK48" s="452"/>
      <c r="AL48" s="242"/>
      <c r="AM48" s="241"/>
      <c r="AN48" s="241"/>
      <c r="AO48" s="241"/>
      <c r="AP48" s="241"/>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9"/>
      <c r="CP48" s="239"/>
      <c r="CQ48" s="239"/>
      <c r="CR48" s="239"/>
      <c r="CS48" s="239"/>
      <c r="CT48" s="239"/>
      <c r="CU48" s="239"/>
      <c r="CV48" s="239"/>
      <c r="CW48" s="239"/>
      <c r="CX48" s="239"/>
      <c r="CY48" s="239"/>
      <c r="CZ48" s="239"/>
      <c r="DA48" s="239"/>
      <c r="DB48" s="239"/>
      <c r="DC48" s="239"/>
      <c r="DD48" s="239"/>
      <c r="DE48" s="239"/>
      <c r="DF48" s="239"/>
      <c r="DG48" s="239"/>
      <c r="DH48" s="239"/>
      <c r="DI48" s="239"/>
      <c r="DJ48" s="239"/>
      <c r="DK48" s="239"/>
      <c r="DL48" s="239"/>
      <c r="DM48" s="239"/>
      <c r="DN48" s="239"/>
      <c r="DO48" s="239"/>
      <c r="DP48" s="239"/>
      <c r="DQ48" s="239"/>
      <c r="DR48" s="239"/>
      <c r="DS48" s="239"/>
      <c r="DT48" s="239"/>
      <c r="DU48" s="239"/>
      <c r="DV48" s="239"/>
      <c r="DW48" s="239"/>
      <c r="DX48" s="239"/>
      <c r="DY48" s="239"/>
      <c r="DZ48" s="239"/>
      <c r="EA48" s="239"/>
      <c r="EB48" s="239"/>
      <c r="EC48" s="239"/>
      <c r="ED48" s="239"/>
      <c r="EE48" s="239"/>
      <c r="EF48" s="239"/>
      <c r="EG48" s="239"/>
      <c r="EH48" s="239"/>
      <c r="EI48" s="239"/>
      <c r="EJ48" s="239"/>
      <c r="EK48" s="239"/>
      <c r="EL48" s="239"/>
      <c r="EM48" s="239"/>
      <c r="EN48" s="239"/>
      <c r="EO48" s="239"/>
      <c r="EP48" s="239"/>
      <c r="EQ48" s="239"/>
      <c r="ER48" s="239"/>
      <c r="ES48" s="239"/>
      <c r="ET48" s="239"/>
      <c r="EU48" s="239"/>
      <c r="EV48" s="239"/>
      <c r="EW48" s="239"/>
      <c r="EX48" s="239"/>
      <c r="EY48" s="239"/>
      <c r="EZ48" s="239"/>
      <c r="FA48" s="239"/>
      <c r="FB48" s="239"/>
      <c r="FC48" s="239"/>
      <c r="FD48" s="239"/>
      <c r="FE48" s="239"/>
      <c r="FF48" s="239"/>
      <c r="FG48" s="239"/>
      <c r="FH48" s="239"/>
      <c r="FI48" s="239"/>
      <c r="FJ48" s="239"/>
      <c r="FK48" s="239"/>
      <c r="FL48" s="239"/>
      <c r="FM48" s="239"/>
      <c r="FN48" s="239"/>
      <c r="FO48" s="239"/>
      <c r="FP48" s="239"/>
      <c r="FQ48" s="239"/>
      <c r="FR48" s="239"/>
      <c r="FS48" s="239"/>
      <c r="FT48" s="239"/>
      <c r="FU48" s="239"/>
      <c r="FV48" s="239"/>
      <c r="FW48" s="239"/>
      <c r="FX48" s="239"/>
      <c r="FY48" s="239"/>
      <c r="FZ48" s="239"/>
      <c r="GA48" s="239"/>
      <c r="GB48" s="239"/>
      <c r="GC48" s="239"/>
      <c r="GD48" s="239"/>
      <c r="GE48" s="239"/>
      <c r="GF48" s="239"/>
      <c r="GG48" s="239"/>
      <c r="GH48" s="239"/>
      <c r="GI48" s="239"/>
      <c r="GJ48" s="239"/>
      <c r="GK48" s="239"/>
      <c r="GL48" s="239"/>
      <c r="GM48" s="239"/>
      <c r="GN48" s="239"/>
      <c r="GO48" s="239"/>
      <c r="GP48" s="239"/>
      <c r="GQ48" s="239"/>
      <c r="GR48" s="239"/>
      <c r="GS48" s="239"/>
      <c r="GT48" s="239"/>
      <c r="GU48" s="239"/>
      <c r="GV48" s="239"/>
      <c r="GW48" s="239"/>
      <c r="GX48" s="239"/>
      <c r="GY48" s="239"/>
      <c r="GZ48" s="239"/>
      <c r="HA48" s="239"/>
      <c r="HB48" s="239"/>
      <c r="HC48" s="239"/>
      <c r="HD48" s="239"/>
      <c r="HE48" s="239"/>
      <c r="HF48" s="239"/>
      <c r="HG48" s="239"/>
      <c r="HH48" s="239"/>
      <c r="HI48" s="239"/>
      <c r="HJ48" s="239"/>
      <c r="HK48" s="239"/>
      <c r="HL48" s="239"/>
      <c r="HM48" s="239"/>
      <c r="HN48" s="239"/>
      <c r="HO48" s="239"/>
      <c r="HP48" s="239"/>
      <c r="HQ48" s="239"/>
      <c r="HR48" s="239"/>
      <c r="HS48" s="239"/>
      <c r="HT48" s="239"/>
      <c r="HU48" s="239"/>
      <c r="HV48" s="239"/>
      <c r="HW48" s="239"/>
      <c r="HX48" s="239"/>
      <c r="HY48" s="239"/>
      <c r="HZ48" s="239"/>
      <c r="IA48" s="239"/>
      <c r="IB48" s="239"/>
      <c r="IC48" s="239"/>
      <c r="ID48" s="239"/>
      <c r="IE48" s="239"/>
      <c r="IF48" s="239"/>
      <c r="IG48" s="239"/>
      <c r="IH48" s="239"/>
      <c r="II48" s="239"/>
      <c r="IJ48" s="239"/>
      <c r="IK48" s="239"/>
      <c r="IL48" s="239"/>
      <c r="IM48" s="239"/>
      <c r="IN48" s="239"/>
      <c r="IO48" s="239"/>
      <c r="IP48" s="239"/>
      <c r="IQ48" s="239"/>
      <c r="IR48" s="239"/>
      <c r="IS48" s="239"/>
      <c r="IT48" s="239"/>
      <c r="IU48" s="239"/>
      <c r="IV48" s="239"/>
      <c r="IW48" s="239"/>
      <c r="IX48" s="239"/>
      <c r="IY48" s="239"/>
      <c r="IZ48" s="239"/>
      <c r="JA48" s="239"/>
      <c r="JB48" s="239"/>
      <c r="JC48" s="239"/>
      <c r="JD48" s="239"/>
      <c r="JE48" s="239"/>
      <c r="JF48" s="239"/>
      <c r="JG48" s="239"/>
      <c r="JH48" s="239"/>
      <c r="JI48" s="239"/>
      <c r="JJ48" s="239"/>
      <c r="JK48" s="239"/>
      <c r="JL48" s="239"/>
      <c r="JM48" s="239"/>
      <c r="JN48" s="239"/>
      <c r="JO48" s="239"/>
      <c r="JP48" s="239"/>
      <c r="JQ48" s="239"/>
      <c r="JR48" s="239"/>
      <c r="JS48" s="239"/>
      <c r="JT48" s="239"/>
      <c r="JU48" s="239"/>
      <c r="JV48" s="239"/>
      <c r="JW48" s="239"/>
      <c r="JX48" s="239"/>
      <c r="JY48" s="239"/>
      <c r="JZ48" s="239"/>
      <c r="KA48" s="239"/>
      <c r="KB48" s="239"/>
      <c r="KC48" s="239"/>
      <c r="KD48" s="239"/>
      <c r="KE48" s="239"/>
      <c r="KF48" s="239"/>
      <c r="KG48" s="239"/>
      <c r="KH48" s="239"/>
      <c r="KI48" s="239"/>
      <c r="KJ48" s="239"/>
      <c r="KK48" s="239"/>
      <c r="KL48" s="239"/>
      <c r="KM48" s="239"/>
      <c r="KN48" s="239"/>
      <c r="KO48" s="239"/>
      <c r="KP48" s="239"/>
      <c r="KQ48" s="239"/>
      <c r="KR48" s="239"/>
      <c r="KS48" s="239"/>
      <c r="KT48" s="239"/>
      <c r="KU48" s="239"/>
      <c r="KV48" s="239"/>
      <c r="KW48" s="239"/>
      <c r="KX48" s="239"/>
      <c r="KY48" s="239"/>
      <c r="KZ48" s="239"/>
      <c r="LA48" s="239"/>
      <c r="LB48" s="239"/>
      <c r="LC48" s="239"/>
      <c r="LD48" s="239"/>
      <c r="LE48" s="239"/>
      <c r="LF48" s="239"/>
      <c r="LG48" s="239"/>
      <c r="LH48" s="239"/>
      <c r="LI48" s="239"/>
      <c r="LJ48" s="239"/>
      <c r="LK48" s="239"/>
      <c r="LL48" s="239"/>
      <c r="LM48" s="239"/>
      <c r="LN48" s="239"/>
      <c r="LO48" s="239"/>
      <c r="LP48" s="239"/>
      <c r="LQ48" s="239"/>
      <c r="LR48" s="239"/>
      <c r="LS48" s="239"/>
      <c r="LT48" s="239"/>
      <c r="LU48" s="239"/>
      <c r="LV48" s="239"/>
      <c r="LW48" s="239"/>
      <c r="LX48" s="239"/>
      <c r="LY48" s="239"/>
      <c r="LZ48" s="239"/>
      <c r="MA48" s="239"/>
      <c r="MB48" s="239"/>
      <c r="MC48" s="239"/>
      <c r="MD48" s="239"/>
      <c r="ME48" s="239"/>
      <c r="MF48" s="239"/>
      <c r="MG48" s="239"/>
      <c r="MH48" s="239"/>
      <c r="MI48" s="239"/>
      <c r="MJ48" s="239"/>
      <c r="MK48" s="239"/>
      <c r="ML48" s="239"/>
      <c r="MM48" s="239"/>
      <c r="MN48" s="239"/>
      <c r="MO48" s="239"/>
      <c r="MP48" s="239"/>
      <c r="MQ48" s="239"/>
      <c r="MR48" s="239"/>
      <c r="MS48" s="239"/>
      <c r="MT48" s="239"/>
      <c r="MU48" s="239"/>
      <c r="MV48" s="239"/>
      <c r="MW48" s="239"/>
      <c r="MX48" s="239"/>
      <c r="MY48" s="239"/>
      <c r="MZ48" s="239"/>
      <c r="NA48" s="239"/>
      <c r="NB48" s="239"/>
      <c r="NC48" s="239"/>
      <c r="ND48" s="239"/>
      <c r="NE48" s="239"/>
      <c r="NF48" s="239"/>
      <c r="NG48" s="239"/>
      <c r="NH48" s="239"/>
      <c r="NI48" s="239"/>
      <c r="NJ48" s="239"/>
      <c r="NK48" s="239"/>
      <c r="NL48" s="239"/>
      <c r="NM48" s="239"/>
      <c r="NN48" s="239"/>
      <c r="NO48" s="239"/>
      <c r="NP48" s="239"/>
      <c r="NQ48" s="239"/>
      <c r="NR48" s="239"/>
      <c r="NS48" s="239"/>
      <c r="NT48" s="239"/>
      <c r="NU48" s="239"/>
      <c r="NV48" s="239"/>
      <c r="NW48" s="239"/>
      <c r="NX48" s="239"/>
      <c r="NY48" s="239"/>
      <c r="NZ48" s="239"/>
      <c r="OA48" s="239"/>
      <c r="OB48" s="239"/>
      <c r="OC48" s="239"/>
      <c r="OD48" s="239"/>
      <c r="OE48" s="239"/>
      <c r="OF48" s="239"/>
      <c r="OG48" s="239"/>
      <c r="OH48" s="239"/>
      <c r="OI48" s="239"/>
      <c r="OJ48" s="239"/>
      <c r="OK48" s="239"/>
      <c r="OL48" s="239"/>
      <c r="OM48" s="239"/>
      <c r="ON48" s="239"/>
      <c r="OO48" s="239"/>
      <c r="OP48" s="239"/>
      <c r="OQ48" s="239"/>
      <c r="OR48" s="239"/>
      <c r="OS48" s="239"/>
      <c r="OT48" s="239"/>
      <c r="OU48" s="239"/>
      <c r="OV48" s="239"/>
      <c r="OW48" s="239"/>
      <c r="OX48" s="239"/>
      <c r="OY48" s="239"/>
      <c r="OZ48" s="239"/>
      <c r="PA48" s="239"/>
      <c r="PB48" s="239"/>
      <c r="PC48" s="239"/>
      <c r="PD48" s="239"/>
      <c r="PE48" s="239"/>
      <c r="PF48" s="239"/>
      <c r="PG48" s="239"/>
      <c r="PH48" s="239"/>
      <c r="PI48" s="239"/>
      <c r="PJ48" s="239"/>
      <c r="PK48" s="239"/>
      <c r="PL48" s="239"/>
      <c r="PM48" s="239"/>
      <c r="PN48" s="239"/>
      <c r="PO48" s="239"/>
      <c r="PP48" s="239"/>
      <c r="PQ48" s="239"/>
      <c r="PR48" s="239"/>
      <c r="PS48" s="239"/>
      <c r="PT48" s="239"/>
      <c r="PU48" s="239"/>
      <c r="PV48" s="239"/>
      <c r="PW48" s="239"/>
      <c r="PX48" s="239"/>
      <c r="PY48" s="239"/>
      <c r="PZ48" s="239"/>
      <c r="QA48" s="239"/>
      <c r="QB48" s="239"/>
      <c r="QC48" s="239"/>
      <c r="QD48" s="239"/>
      <c r="QE48" s="239"/>
      <c r="QF48" s="239"/>
      <c r="QG48" s="239"/>
      <c r="QH48" s="239"/>
      <c r="QI48" s="239"/>
      <c r="QJ48" s="239"/>
      <c r="QK48" s="239"/>
      <c r="QL48" s="239"/>
      <c r="QM48" s="239"/>
      <c r="QN48" s="239"/>
      <c r="QO48" s="239"/>
      <c r="QP48" s="239"/>
      <c r="QQ48" s="239"/>
      <c r="QR48" s="239"/>
      <c r="QS48" s="239"/>
      <c r="QT48" s="239"/>
      <c r="QU48" s="239"/>
      <c r="QV48" s="239"/>
      <c r="QW48" s="239"/>
      <c r="QX48" s="239"/>
      <c r="QY48" s="239"/>
      <c r="QZ48" s="239"/>
      <c r="RA48" s="239"/>
      <c r="RB48" s="239"/>
      <c r="RC48" s="239"/>
      <c r="RD48" s="239"/>
      <c r="RE48" s="239"/>
      <c r="RF48" s="239"/>
      <c r="RG48" s="239"/>
      <c r="RH48" s="239"/>
      <c r="RI48" s="239"/>
      <c r="RJ48" s="239"/>
      <c r="RK48" s="239"/>
      <c r="RL48" s="239"/>
      <c r="RM48" s="239"/>
      <c r="RN48" s="239"/>
      <c r="RO48" s="239"/>
      <c r="RP48" s="239"/>
      <c r="RQ48" s="239"/>
      <c r="RR48" s="239"/>
      <c r="RS48" s="239"/>
      <c r="RT48" s="239"/>
      <c r="RU48" s="239"/>
      <c r="RV48" s="239"/>
      <c r="RW48" s="239"/>
      <c r="RX48" s="239"/>
      <c r="RY48" s="239"/>
      <c r="RZ48" s="239"/>
      <c r="SA48" s="239"/>
      <c r="SB48" s="239"/>
      <c r="SC48" s="239"/>
      <c r="SD48" s="239"/>
      <c r="SE48" s="239"/>
      <c r="SF48" s="239"/>
      <c r="SG48" s="239"/>
      <c r="SH48" s="239"/>
      <c r="SI48" s="239"/>
      <c r="SJ48" s="239"/>
      <c r="SK48" s="239"/>
      <c r="SL48" s="239"/>
      <c r="SM48" s="239"/>
      <c r="SN48" s="239"/>
      <c r="SO48" s="239"/>
      <c r="SP48" s="239"/>
      <c r="SQ48" s="239"/>
      <c r="SR48" s="239"/>
      <c r="SS48" s="239"/>
      <c r="ST48" s="239"/>
      <c r="SU48" s="239"/>
      <c r="SV48" s="239"/>
      <c r="SW48" s="239"/>
      <c r="SX48" s="239"/>
      <c r="SY48" s="239"/>
      <c r="SZ48" s="239"/>
      <c r="TA48" s="239"/>
      <c r="TB48" s="239"/>
      <c r="TC48" s="239"/>
      <c r="TD48" s="239"/>
      <c r="TE48" s="239"/>
      <c r="TF48" s="239"/>
      <c r="TG48" s="239"/>
      <c r="TH48" s="239"/>
      <c r="TI48" s="239"/>
      <c r="TJ48" s="239"/>
      <c r="TK48" s="239"/>
      <c r="TL48" s="239"/>
      <c r="TM48" s="239"/>
      <c r="TN48" s="239"/>
      <c r="TO48" s="239"/>
      <c r="TP48" s="239"/>
      <c r="TQ48" s="239"/>
      <c r="TR48" s="239"/>
      <c r="TS48" s="239"/>
      <c r="TT48" s="239"/>
      <c r="TU48" s="239"/>
      <c r="TV48" s="239"/>
      <c r="TW48" s="239"/>
      <c r="TX48" s="239"/>
      <c r="TY48" s="239"/>
      <c r="TZ48" s="239"/>
      <c r="UA48" s="239"/>
      <c r="UB48" s="239"/>
      <c r="UC48" s="239"/>
      <c r="UD48" s="239"/>
      <c r="UE48" s="239"/>
      <c r="UF48" s="239"/>
      <c r="UG48" s="240"/>
    </row>
    <row r="49" spans="1:553" s="236" customFormat="1" ht="40.5" customHeight="1">
      <c r="A49" s="356" t="s">
        <v>15</v>
      </c>
      <c r="B49" s="366" t="s">
        <v>37</v>
      </c>
      <c r="C49" s="1404" t="s">
        <v>121</v>
      </c>
      <c r="D49" s="1389"/>
      <c r="E49" s="1389"/>
      <c r="F49" s="1390"/>
      <c r="G49" s="386" t="s">
        <v>935</v>
      </c>
      <c r="H49" s="370"/>
      <c r="I49" s="834">
        <f>(2*2)+(4.8*2)+(4.5*3.5)</f>
        <v>29.35</v>
      </c>
      <c r="J49" s="368">
        <v>137200</v>
      </c>
      <c r="K49" s="371"/>
      <c r="L49" s="391">
        <f t="shared" si="12"/>
        <v>4026820</v>
      </c>
      <c r="M49" s="395"/>
      <c r="N49" s="395"/>
      <c r="O49" s="366"/>
      <c r="P49" s="396"/>
      <c r="Q49" s="473"/>
      <c r="R49" s="1039"/>
      <c r="S49" s="1047"/>
      <c r="T49" s="303"/>
      <c r="U49" s="306"/>
      <c r="V49" s="307"/>
      <c r="W49" s="306"/>
      <c r="X49" s="306"/>
      <c r="Y49" s="306"/>
      <c r="Z49" s="306"/>
      <c r="AA49" s="306"/>
      <c r="AB49" s="306"/>
      <c r="AC49" s="449"/>
      <c r="AD49" s="449"/>
      <c r="AE49" s="449"/>
      <c r="AF49" s="449"/>
      <c r="AG49" s="452"/>
      <c r="AH49" s="452"/>
      <c r="AI49" s="452"/>
      <c r="AJ49" s="452"/>
      <c r="AK49" s="452"/>
      <c r="AL49" s="242"/>
      <c r="AM49" s="241"/>
      <c r="AN49" s="241"/>
      <c r="AO49" s="241"/>
      <c r="AP49" s="241"/>
      <c r="AQ49" s="238"/>
      <c r="AR49" s="238"/>
      <c r="AS49" s="238"/>
      <c r="AT49" s="238"/>
      <c r="AU49" s="238"/>
      <c r="AV49" s="238"/>
      <c r="AW49" s="238"/>
      <c r="AX49" s="238"/>
      <c r="AY49" s="238"/>
      <c r="AZ49" s="238"/>
      <c r="BA49" s="238"/>
      <c r="BB49" s="238"/>
      <c r="BC49" s="238"/>
      <c r="BD49" s="238"/>
      <c r="BE49" s="238"/>
      <c r="BF49" s="238"/>
      <c r="BG49" s="238"/>
      <c r="BH49" s="238"/>
      <c r="BI49" s="238"/>
      <c r="BJ49" s="238"/>
      <c r="BK49" s="238"/>
      <c r="BL49" s="238"/>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9"/>
      <c r="CP49" s="239"/>
      <c r="CQ49" s="239"/>
      <c r="CR49" s="239"/>
      <c r="CS49" s="239"/>
      <c r="CT49" s="239"/>
      <c r="CU49" s="239"/>
      <c r="CV49" s="239"/>
      <c r="CW49" s="239"/>
      <c r="CX49" s="239"/>
      <c r="CY49" s="239"/>
      <c r="CZ49" s="239"/>
      <c r="DA49" s="239"/>
      <c r="DB49" s="239"/>
      <c r="DC49" s="239"/>
      <c r="DD49" s="239"/>
      <c r="DE49" s="239"/>
      <c r="DF49" s="239"/>
      <c r="DG49" s="239"/>
      <c r="DH49" s="239"/>
      <c r="DI49" s="239"/>
      <c r="DJ49" s="239"/>
      <c r="DK49" s="239"/>
      <c r="DL49" s="239"/>
      <c r="DM49" s="239"/>
      <c r="DN49" s="239"/>
      <c r="DO49" s="239"/>
      <c r="DP49" s="239"/>
      <c r="DQ49" s="239"/>
      <c r="DR49" s="239"/>
      <c r="DS49" s="239"/>
      <c r="DT49" s="239"/>
      <c r="DU49" s="239"/>
      <c r="DV49" s="239"/>
      <c r="DW49" s="239"/>
      <c r="DX49" s="239"/>
      <c r="DY49" s="239"/>
      <c r="DZ49" s="239"/>
      <c r="EA49" s="239"/>
      <c r="EB49" s="239"/>
      <c r="EC49" s="239"/>
      <c r="ED49" s="239"/>
      <c r="EE49" s="239"/>
      <c r="EF49" s="239"/>
      <c r="EG49" s="239"/>
      <c r="EH49" s="239"/>
      <c r="EI49" s="239"/>
      <c r="EJ49" s="239"/>
      <c r="EK49" s="239"/>
      <c r="EL49" s="239"/>
      <c r="EM49" s="239"/>
      <c r="EN49" s="239"/>
      <c r="EO49" s="239"/>
      <c r="EP49" s="239"/>
      <c r="EQ49" s="239"/>
      <c r="ER49" s="239"/>
      <c r="ES49" s="239"/>
      <c r="ET49" s="239"/>
      <c r="EU49" s="239"/>
      <c r="EV49" s="239"/>
      <c r="EW49" s="239"/>
      <c r="EX49" s="239"/>
      <c r="EY49" s="239"/>
      <c r="EZ49" s="239"/>
      <c r="FA49" s="239"/>
      <c r="FB49" s="239"/>
      <c r="FC49" s="239"/>
      <c r="FD49" s="239"/>
      <c r="FE49" s="239"/>
      <c r="FF49" s="239"/>
      <c r="FG49" s="239"/>
      <c r="FH49" s="239"/>
      <c r="FI49" s="239"/>
      <c r="FJ49" s="239"/>
      <c r="FK49" s="239"/>
      <c r="FL49" s="239"/>
      <c r="FM49" s="239"/>
      <c r="FN49" s="239"/>
      <c r="FO49" s="239"/>
      <c r="FP49" s="239"/>
      <c r="FQ49" s="239"/>
      <c r="FR49" s="239"/>
      <c r="FS49" s="239"/>
      <c r="FT49" s="239"/>
      <c r="FU49" s="239"/>
      <c r="FV49" s="239"/>
      <c r="FW49" s="239"/>
      <c r="FX49" s="239"/>
      <c r="FY49" s="239"/>
      <c r="FZ49" s="239"/>
      <c r="GA49" s="239"/>
      <c r="GB49" s="239"/>
      <c r="GC49" s="239"/>
      <c r="GD49" s="239"/>
      <c r="GE49" s="239"/>
      <c r="GF49" s="239"/>
      <c r="GG49" s="239"/>
      <c r="GH49" s="239"/>
      <c r="GI49" s="239"/>
      <c r="GJ49" s="239"/>
      <c r="GK49" s="239"/>
      <c r="GL49" s="239"/>
      <c r="GM49" s="239"/>
      <c r="GN49" s="239"/>
      <c r="GO49" s="239"/>
      <c r="GP49" s="239"/>
      <c r="GQ49" s="239"/>
      <c r="GR49" s="239"/>
      <c r="GS49" s="239"/>
      <c r="GT49" s="239"/>
      <c r="GU49" s="239"/>
      <c r="GV49" s="239"/>
      <c r="GW49" s="239"/>
      <c r="GX49" s="239"/>
      <c r="GY49" s="239"/>
      <c r="GZ49" s="239"/>
      <c r="HA49" s="239"/>
      <c r="HB49" s="239"/>
      <c r="HC49" s="239"/>
      <c r="HD49" s="239"/>
      <c r="HE49" s="239"/>
      <c r="HF49" s="239"/>
      <c r="HG49" s="239"/>
      <c r="HH49" s="239"/>
      <c r="HI49" s="239"/>
      <c r="HJ49" s="239"/>
      <c r="HK49" s="239"/>
      <c r="HL49" s="239"/>
      <c r="HM49" s="239"/>
      <c r="HN49" s="239"/>
      <c r="HO49" s="239"/>
      <c r="HP49" s="239"/>
      <c r="HQ49" s="239"/>
      <c r="HR49" s="239"/>
      <c r="HS49" s="239"/>
      <c r="HT49" s="239"/>
      <c r="HU49" s="239"/>
      <c r="HV49" s="239"/>
      <c r="HW49" s="239"/>
      <c r="HX49" s="239"/>
      <c r="HY49" s="239"/>
      <c r="HZ49" s="239"/>
      <c r="IA49" s="239"/>
      <c r="IB49" s="239"/>
      <c r="IC49" s="239"/>
      <c r="ID49" s="239"/>
      <c r="IE49" s="239"/>
      <c r="IF49" s="239"/>
      <c r="IG49" s="239"/>
      <c r="IH49" s="239"/>
      <c r="II49" s="239"/>
      <c r="IJ49" s="239"/>
      <c r="IK49" s="239"/>
      <c r="IL49" s="239"/>
      <c r="IM49" s="239"/>
      <c r="IN49" s="239"/>
      <c r="IO49" s="239"/>
      <c r="IP49" s="239"/>
      <c r="IQ49" s="239"/>
      <c r="IR49" s="239"/>
      <c r="IS49" s="239"/>
      <c r="IT49" s="239"/>
      <c r="IU49" s="239"/>
      <c r="IV49" s="239"/>
      <c r="IW49" s="239"/>
      <c r="IX49" s="239"/>
      <c r="IY49" s="239"/>
      <c r="IZ49" s="239"/>
      <c r="JA49" s="239"/>
      <c r="JB49" s="239"/>
      <c r="JC49" s="239"/>
      <c r="JD49" s="239"/>
      <c r="JE49" s="239"/>
      <c r="JF49" s="239"/>
      <c r="JG49" s="239"/>
      <c r="JH49" s="239"/>
      <c r="JI49" s="239"/>
      <c r="JJ49" s="239"/>
      <c r="JK49" s="239"/>
      <c r="JL49" s="239"/>
      <c r="JM49" s="239"/>
      <c r="JN49" s="239"/>
      <c r="JO49" s="239"/>
      <c r="JP49" s="239"/>
      <c r="JQ49" s="239"/>
      <c r="JR49" s="239"/>
      <c r="JS49" s="239"/>
      <c r="JT49" s="239"/>
      <c r="JU49" s="239"/>
      <c r="JV49" s="239"/>
      <c r="JW49" s="239"/>
      <c r="JX49" s="239"/>
      <c r="JY49" s="239"/>
      <c r="JZ49" s="239"/>
      <c r="KA49" s="239"/>
      <c r="KB49" s="239"/>
      <c r="KC49" s="239"/>
      <c r="KD49" s="239"/>
      <c r="KE49" s="239"/>
      <c r="KF49" s="239"/>
      <c r="KG49" s="239"/>
      <c r="KH49" s="239"/>
      <c r="KI49" s="239"/>
      <c r="KJ49" s="239"/>
      <c r="KK49" s="239"/>
      <c r="KL49" s="239"/>
      <c r="KM49" s="239"/>
      <c r="KN49" s="239"/>
      <c r="KO49" s="239"/>
      <c r="KP49" s="239"/>
      <c r="KQ49" s="239"/>
      <c r="KR49" s="239"/>
      <c r="KS49" s="239"/>
      <c r="KT49" s="239"/>
      <c r="KU49" s="239"/>
      <c r="KV49" s="239"/>
      <c r="KW49" s="239"/>
      <c r="KX49" s="239"/>
      <c r="KY49" s="239"/>
      <c r="KZ49" s="239"/>
      <c r="LA49" s="239"/>
      <c r="LB49" s="239"/>
      <c r="LC49" s="239"/>
      <c r="LD49" s="239"/>
      <c r="LE49" s="239"/>
      <c r="LF49" s="239"/>
      <c r="LG49" s="239"/>
      <c r="LH49" s="239"/>
      <c r="LI49" s="239"/>
      <c r="LJ49" s="239"/>
      <c r="LK49" s="239"/>
      <c r="LL49" s="239"/>
      <c r="LM49" s="239"/>
      <c r="LN49" s="239"/>
      <c r="LO49" s="239"/>
      <c r="LP49" s="239"/>
      <c r="LQ49" s="239"/>
      <c r="LR49" s="239"/>
      <c r="LS49" s="239"/>
      <c r="LT49" s="239"/>
      <c r="LU49" s="239"/>
      <c r="LV49" s="239"/>
      <c r="LW49" s="239"/>
      <c r="LX49" s="239"/>
      <c r="LY49" s="239"/>
      <c r="LZ49" s="239"/>
      <c r="MA49" s="239"/>
      <c r="MB49" s="239"/>
      <c r="MC49" s="239"/>
      <c r="MD49" s="239"/>
      <c r="ME49" s="239"/>
      <c r="MF49" s="239"/>
      <c r="MG49" s="239"/>
      <c r="MH49" s="239"/>
      <c r="MI49" s="239"/>
      <c r="MJ49" s="239"/>
      <c r="MK49" s="239"/>
      <c r="ML49" s="239"/>
      <c r="MM49" s="239"/>
      <c r="MN49" s="239"/>
      <c r="MO49" s="239"/>
      <c r="MP49" s="239"/>
      <c r="MQ49" s="239"/>
      <c r="MR49" s="239"/>
      <c r="MS49" s="239"/>
      <c r="MT49" s="239"/>
      <c r="MU49" s="239"/>
      <c r="MV49" s="239"/>
      <c r="MW49" s="239"/>
      <c r="MX49" s="239"/>
      <c r="MY49" s="239"/>
      <c r="MZ49" s="239"/>
      <c r="NA49" s="239"/>
      <c r="NB49" s="239"/>
      <c r="NC49" s="239"/>
      <c r="ND49" s="239"/>
      <c r="NE49" s="239"/>
      <c r="NF49" s="239"/>
      <c r="NG49" s="239"/>
      <c r="NH49" s="239"/>
      <c r="NI49" s="239"/>
      <c r="NJ49" s="239"/>
      <c r="NK49" s="239"/>
      <c r="NL49" s="239"/>
      <c r="NM49" s="239"/>
      <c r="NN49" s="239"/>
      <c r="NO49" s="239"/>
      <c r="NP49" s="239"/>
      <c r="NQ49" s="239"/>
      <c r="NR49" s="239"/>
      <c r="NS49" s="239"/>
      <c r="NT49" s="239"/>
      <c r="NU49" s="239"/>
      <c r="NV49" s="239"/>
      <c r="NW49" s="239"/>
      <c r="NX49" s="239"/>
      <c r="NY49" s="239"/>
      <c r="NZ49" s="239"/>
      <c r="OA49" s="239"/>
      <c r="OB49" s="239"/>
      <c r="OC49" s="239"/>
      <c r="OD49" s="239"/>
      <c r="OE49" s="239"/>
      <c r="OF49" s="239"/>
      <c r="OG49" s="239"/>
      <c r="OH49" s="239"/>
      <c r="OI49" s="239"/>
      <c r="OJ49" s="239"/>
      <c r="OK49" s="239"/>
      <c r="OL49" s="239"/>
      <c r="OM49" s="239"/>
      <c r="ON49" s="239"/>
      <c r="OO49" s="239"/>
      <c r="OP49" s="239"/>
      <c r="OQ49" s="239"/>
      <c r="OR49" s="239"/>
      <c r="OS49" s="239"/>
      <c r="OT49" s="239"/>
      <c r="OU49" s="239"/>
      <c r="OV49" s="239"/>
      <c r="OW49" s="239"/>
      <c r="OX49" s="239"/>
      <c r="OY49" s="239"/>
      <c r="OZ49" s="239"/>
      <c r="PA49" s="239"/>
      <c r="PB49" s="239"/>
      <c r="PC49" s="239"/>
      <c r="PD49" s="239"/>
      <c r="PE49" s="239"/>
      <c r="PF49" s="239"/>
      <c r="PG49" s="239"/>
      <c r="PH49" s="239"/>
      <c r="PI49" s="239"/>
      <c r="PJ49" s="239"/>
      <c r="PK49" s="239"/>
      <c r="PL49" s="239"/>
      <c r="PM49" s="239"/>
      <c r="PN49" s="239"/>
      <c r="PO49" s="239"/>
      <c r="PP49" s="239"/>
      <c r="PQ49" s="239"/>
      <c r="PR49" s="239"/>
      <c r="PS49" s="239"/>
      <c r="PT49" s="239"/>
      <c r="PU49" s="239"/>
      <c r="PV49" s="239"/>
      <c r="PW49" s="239"/>
      <c r="PX49" s="239"/>
      <c r="PY49" s="239"/>
      <c r="PZ49" s="239"/>
      <c r="QA49" s="239"/>
      <c r="QB49" s="239"/>
      <c r="QC49" s="239"/>
      <c r="QD49" s="239"/>
      <c r="QE49" s="239"/>
      <c r="QF49" s="239"/>
      <c r="QG49" s="239"/>
      <c r="QH49" s="239"/>
      <c r="QI49" s="239"/>
      <c r="QJ49" s="239"/>
      <c r="QK49" s="239"/>
      <c r="QL49" s="239"/>
      <c r="QM49" s="239"/>
      <c r="QN49" s="239"/>
      <c r="QO49" s="239"/>
      <c r="QP49" s="239"/>
      <c r="QQ49" s="239"/>
      <c r="QR49" s="239"/>
      <c r="QS49" s="239"/>
      <c r="QT49" s="239"/>
      <c r="QU49" s="239"/>
      <c r="QV49" s="239"/>
      <c r="QW49" s="239"/>
      <c r="QX49" s="239"/>
      <c r="QY49" s="239"/>
      <c r="QZ49" s="239"/>
      <c r="RA49" s="239"/>
      <c r="RB49" s="239"/>
      <c r="RC49" s="239"/>
      <c r="RD49" s="239"/>
      <c r="RE49" s="239"/>
      <c r="RF49" s="239"/>
      <c r="RG49" s="239"/>
      <c r="RH49" s="239"/>
      <c r="RI49" s="239"/>
      <c r="RJ49" s="239"/>
      <c r="RK49" s="239"/>
      <c r="RL49" s="239"/>
      <c r="RM49" s="239"/>
      <c r="RN49" s="239"/>
      <c r="RO49" s="239"/>
      <c r="RP49" s="239"/>
      <c r="RQ49" s="239"/>
      <c r="RR49" s="239"/>
      <c r="RS49" s="239"/>
      <c r="RT49" s="239"/>
      <c r="RU49" s="239"/>
      <c r="RV49" s="239"/>
      <c r="RW49" s="239"/>
      <c r="RX49" s="239"/>
      <c r="RY49" s="239"/>
      <c r="RZ49" s="239"/>
      <c r="SA49" s="239"/>
      <c r="SB49" s="239"/>
      <c r="SC49" s="239"/>
      <c r="SD49" s="239"/>
      <c r="SE49" s="239"/>
      <c r="SF49" s="239"/>
      <c r="SG49" s="239"/>
      <c r="SH49" s="239"/>
      <c r="SI49" s="239"/>
      <c r="SJ49" s="239"/>
      <c r="SK49" s="239"/>
      <c r="SL49" s="239"/>
      <c r="SM49" s="239"/>
      <c r="SN49" s="239"/>
      <c r="SO49" s="239"/>
      <c r="SP49" s="239"/>
      <c r="SQ49" s="239"/>
      <c r="SR49" s="239"/>
      <c r="SS49" s="239"/>
      <c r="ST49" s="239"/>
      <c r="SU49" s="239"/>
      <c r="SV49" s="239"/>
      <c r="SW49" s="239"/>
      <c r="SX49" s="239"/>
      <c r="SY49" s="239"/>
      <c r="SZ49" s="239"/>
      <c r="TA49" s="239"/>
      <c r="TB49" s="239"/>
      <c r="TC49" s="239"/>
      <c r="TD49" s="239"/>
      <c r="TE49" s="239"/>
      <c r="TF49" s="239"/>
      <c r="TG49" s="239"/>
      <c r="TH49" s="239"/>
      <c r="TI49" s="239"/>
      <c r="TJ49" s="239"/>
      <c r="TK49" s="239"/>
      <c r="TL49" s="239"/>
      <c r="TM49" s="239"/>
      <c r="TN49" s="239"/>
      <c r="TO49" s="239"/>
      <c r="TP49" s="239"/>
      <c r="TQ49" s="239"/>
      <c r="TR49" s="239"/>
      <c r="TS49" s="239"/>
      <c r="TT49" s="239"/>
      <c r="TU49" s="239"/>
      <c r="TV49" s="239"/>
      <c r="TW49" s="239"/>
      <c r="TX49" s="239"/>
      <c r="TY49" s="239"/>
      <c r="TZ49" s="239"/>
      <c r="UA49" s="239"/>
      <c r="UB49" s="239"/>
      <c r="UC49" s="239"/>
      <c r="UD49" s="239"/>
      <c r="UE49" s="239"/>
      <c r="UF49" s="239"/>
      <c r="UG49" s="240"/>
    </row>
    <row r="50" spans="1:553" s="236" customFormat="1" ht="40.5" customHeight="1">
      <c r="A50" s="356" t="s">
        <v>15</v>
      </c>
      <c r="B50" s="366" t="s">
        <v>79</v>
      </c>
      <c r="C50" s="1404" t="s">
        <v>122</v>
      </c>
      <c r="D50" s="1389"/>
      <c r="E50" s="1389"/>
      <c r="F50" s="1390"/>
      <c r="G50" s="386" t="s">
        <v>935</v>
      </c>
      <c r="H50" s="370"/>
      <c r="I50" s="834">
        <f>4.5*3.5</f>
        <v>15.75</v>
      </c>
      <c r="J50" s="368">
        <v>60200</v>
      </c>
      <c r="K50" s="371"/>
      <c r="L50" s="391">
        <f t="shared" si="12"/>
        <v>948150</v>
      </c>
      <c r="M50" s="395"/>
      <c r="N50" s="395"/>
      <c r="O50" s="366"/>
      <c r="P50" s="396"/>
      <c r="Q50" s="473"/>
      <c r="R50" s="1039"/>
      <c r="S50" s="1047"/>
      <c r="T50" s="303"/>
      <c r="U50" s="306"/>
      <c r="V50" s="307"/>
      <c r="W50" s="306"/>
      <c r="X50" s="306"/>
      <c r="Y50" s="306"/>
      <c r="Z50" s="306"/>
      <c r="AA50" s="306"/>
      <c r="AB50" s="306"/>
      <c r="AC50" s="449"/>
      <c r="AD50" s="449"/>
      <c r="AE50" s="449"/>
      <c r="AF50" s="449"/>
      <c r="AG50" s="452"/>
      <c r="AH50" s="452"/>
      <c r="AI50" s="452"/>
      <c r="AJ50" s="452"/>
      <c r="AK50" s="452"/>
      <c r="AL50" s="242"/>
      <c r="AM50" s="241"/>
      <c r="AN50" s="241"/>
      <c r="AO50" s="241"/>
      <c r="AP50" s="241"/>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39"/>
      <c r="CZ50" s="239"/>
      <c r="DA50" s="239"/>
      <c r="DB50" s="239"/>
      <c r="DC50" s="239"/>
      <c r="DD50" s="239"/>
      <c r="DE50" s="239"/>
      <c r="DF50" s="239"/>
      <c r="DG50" s="239"/>
      <c r="DH50" s="239"/>
      <c r="DI50" s="239"/>
      <c r="DJ50" s="239"/>
      <c r="DK50" s="239"/>
      <c r="DL50" s="239"/>
      <c r="DM50" s="239"/>
      <c r="DN50" s="239"/>
      <c r="DO50" s="239"/>
      <c r="DP50" s="239"/>
      <c r="DQ50" s="239"/>
      <c r="DR50" s="239"/>
      <c r="DS50" s="239"/>
      <c r="DT50" s="239"/>
      <c r="DU50" s="239"/>
      <c r="DV50" s="239"/>
      <c r="DW50" s="239"/>
      <c r="DX50" s="239"/>
      <c r="DY50" s="239"/>
      <c r="DZ50" s="239"/>
      <c r="EA50" s="239"/>
      <c r="EB50" s="239"/>
      <c r="EC50" s="239"/>
      <c r="ED50" s="239"/>
      <c r="EE50" s="239"/>
      <c r="EF50" s="239"/>
      <c r="EG50" s="239"/>
      <c r="EH50" s="239"/>
      <c r="EI50" s="239"/>
      <c r="EJ50" s="239"/>
      <c r="EK50" s="239"/>
      <c r="EL50" s="239"/>
      <c r="EM50" s="239"/>
      <c r="EN50" s="239"/>
      <c r="EO50" s="239"/>
      <c r="EP50" s="239"/>
      <c r="EQ50" s="239"/>
      <c r="ER50" s="239"/>
      <c r="ES50" s="239"/>
      <c r="ET50" s="239"/>
      <c r="EU50" s="239"/>
      <c r="EV50" s="239"/>
      <c r="EW50" s="239"/>
      <c r="EX50" s="239"/>
      <c r="EY50" s="239"/>
      <c r="EZ50" s="239"/>
      <c r="FA50" s="239"/>
      <c r="FB50" s="239"/>
      <c r="FC50" s="239"/>
      <c r="FD50" s="239"/>
      <c r="FE50" s="239"/>
      <c r="FF50" s="239"/>
      <c r="FG50" s="239"/>
      <c r="FH50" s="239"/>
      <c r="FI50" s="239"/>
      <c r="FJ50" s="239"/>
      <c r="FK50" s="239"/>
      <c r="FL50" s="239"/>
      <c r="FM50" s="239"/>
      <c r="FN50" s="239"/>
      <c r="FO50" s="239"/>
      <c r="FP50" s="239"/>
      <c r="FQ50" s="239"/>
      <c r="FR50" s="239"/>
      <c r="FS50" s="239"/>
      <c r="FT50" s="239"/>
      <c r="FU50" s="239"/>
      <c r="FV50" s="239"/>
      <c r="FW50" s="239"/>
      <c r="FX50" s="239"/>
      <c r="FY50" s="239"/>
      <c r="FZ50" s="239"/>
      <c r="GA50" s="239"/>
      <c r="GB50" s="239"/>
      <c r="GC50" s="239"/>
      <c r="GD50" s="239"/>
      <c r="GE50" s="239"/>
      <c r="GF50" s="239"/>
      <c r="GG50" s="239"/>
      <c r="GH50" s="239"/>
      <c r="GI50" s="239"/>
      <c r="GJ50" s="239"/>
      <c r="GK50" s="239"/>
      <c r="GL50" s="239"/>
      <c r="GM50" s="239"/>
      <c r="GN50" s="239"/>
      <c r="GO50" s="239"/>
      <c r="GP50" s="239"/>
      <c r="GQ50" s="239"/>
      <c r="GR50" s="239"/>
      <c r="GS50" s="239"/>
      <c r="GT50" s="239"/>
      <c r="GU50" s="239"/>
      <c r="GV50" s="239"/>
      <c r="GW50" s="239"/>
      <c r="GX50" s="239"/>
      <c r="GY50" s="239"/>
      <c r="GZ50" s="239"/>
      <c r="HA50" s="239"/>
      <c r="HB50" s="239"/>
      <c r="HC50" s="239"/>
      <c r="HD50" s="239"/>
      <c r="HE50" s="239"/>
      <c r="HF50" s="239"/>
      <c r="HG50" s="239"/>
      <c r="HH50" s="239"/>
      <c r="HI50" s="239"/>
      <c r="HJ50" s="239"/>
      <c r="HK50" s="239"/>
      <c r="HL50" s="239"/>
      <c r="HM50" s="239"/>
      <c r="HN50" s="239"/>
      <c r="HO50" s="239"/>
      <c r="HP50" s="239"/>
      <c r="HQ50" s="239"/>
      <c r="HR50" s="239"/>
      <c r="HS50" s="239"/>
      <c r="HT50" s="239"/>
      <c r="HU50" s="239"/>
      <c r="HV50" s="239"/>
      <c r="HW50" s="239"/>
      <c r="HX50" s="239"/>
      <c r="HY50" s="239"/>
      <c r="HZ50" s="239"/>
      <c r="IA50" s="239"/>
      <c r="IB50" s="239"/>
      <c r="IC50" s="239"/>
      <c r="ID50" s="239"/>
      <c r="IE50" s="239"/>
      <c r="IF50" s="239"/>
      <c r="IG50" s="239"/>
      <c r="IH50" s="239"/>
      <c r="II50" s="239"/>
      <c r="IJ50" s="239"/>
      <c r="IK50" s="239"/>
      <c r="IL50" s="239"/>
      <c r="IM50" s="239"/>
      <c r="IN50" s="239"/>
      <c r="IO50" s="239"/>
      <c r="IP50" s="239"/>
      <c r="IQ50" s="239"/>
      <c r="IR50" s="239"/>
      <c r="IS50" s="239"/>
      <c r="IT50" s="239"/>
      <c r="IU50" s="239"/>
      <c r="IV50" s="239"/>
      <c r="IW50" s="239"/>
      <c r="IX50" s="239"/>
      <c r="IY50" s="239"/>
      <c r="IZ50" s="239"/>
      <c r="JA50" s="239"/>
      <c r="JB50" s="239"/>
      <c r="JC50" s="239"/>
      <c r="JD50" s="239"/>
      <c r="JE50" s="239"/>
      <c r="JF50" s="239"/>
      <c r="JG50" s="239"/>
      <c r="JH50" s="239"/>
      <c r="JI50" s="239"/>
      <c r="JJ50" s="239"/>
      <c r="JK50" s="239"/>
      <c r="JL50" s="239"/>
      <c r="JM50" s="239"/>
      <c r="JN50" s="239"/>
      <c r="JO50" s="239"/>
      <c r="JP50" s="239"/>
      <c r="JQ50" s="239"/>
      <c r="JR50" s="239"/>
      <c r="JS50" s="239"/>
      <c r="JT50" s="239"/>
      <c r="JU50" s="239"/>
      <c r="JV50" s="239"/>
      <c r="JW50" s="239"/>
      <c r="JX50" s="239"/>
      <c r="JY50" s="239"/>
      <c r="JZ50" s="239"/>
      <c r="KA50" s="239"/>
      <c r="KB50" s="239"/>
      <c r="KC50" s="239"/>
      <c r="KD50" s="239"/>
      <c r="KE50" s="239"/>
      <c r="KF50" s="239"/>
      <c r="KG50" s="239"/>
      <c r="KH50" s="239"/>
      <c r="KI50" s="239"/>
      <c r="KJ50" s="239"/>
      <c r="KK50" s="239"/>
      <c r="KL50" s="239"/>
      <c r="KM50" s="239"/>
      <c r="KN50" s="239"/>
      <c r="KO50" s="239"/>
      <c r="KP50" s="239"/>
      <c r="KQ50" s="239"/>
      <c r="KR50" s="239"/>
      <c r="KS50" s="239"/>
      <c r="KT50" s="239"/>
      <c r="KU50" s="239"/>
      <c r="KV50" s="239"/>
      <c r="KW50" s="239"/>
      <c r="KX50" s="239"/>
      <c r="KY50" s="239"/>
      <c r="KZ50" s="239"/>
      <c r="LA50" s="239"/>
      <c r="LB50" s="239"/>
      <c r="LC50" s="239"/>
      <c r="LD50" s="239"/>
      <c r="LE50" s="239"/>
      <c r="LF50" s="239"/>
      <c r="LG50" s="239"/>
      <c r="LH50" s="239"/>
      <c r="LI50" s="239"/>
      <c r="LJ50" s="239"/>
      <c r="LK50" s="239"/>
      <c r="LL50" s="239"/>
      <c r="LM50" s="239"/>
      <c r="LN50" s="239"/>
      <c r="LO50" s="239"/>
      <c r="LP50" s="239"/>
      <c r="LQ50" s="239"/>
      <c r="LR50" s="239"/>
      <c r="LS50" s="239"/>
      <c r="LT50" s="239"/>
      <c r="LU50" s="239"/>
      <c r="LV50" s="239"/>
      <c r="LW50" s="239"/>
      <c r="LX50" s="239"/>
      <c r="LY50" s="239"/>
      <c r="LZ50" s="239"/>
      <c r="MA50" s="239"/>
      <c r="MB50" s="239"/>
      <c r="MC50" s="239"/>
      <c r="MD50" s="239"/>
      <c r="ME50" s="239"/>
      <c r="MF50" s="239"/>
      <c r="MG50" s="239"/>
      <c r="MH50" s="239"/>
      <c r="MI50" s="239"/>
      <c r="MJ50" s="239"/>
      <c r="MK50" s="239"/>
      <c r="ML50" s="239"/>
      <c r="MM50" s="239"/>
      <c r="MN50" s="239"/>
      <c r="MO50" s="239"/>
      <c r="MP50" s="239"/>
      <c r="MQ50" s="239"/>
      <c r="MR50" s="239"/>
      <c r="MS50" s="239"/>
      <c r="MT50" s="239"/>
      <c r="MU50" s="239"/>
      <c r="MV50" s="239"/>
      <c r="MW50" s="239"/>
      <c r="MX50" s="239"/>
      <c r="MY50" s="239"/>
      <c r="MZ50" s="239"/>
      <c r="NA50" s="239"/>
      <c r="NB50" s="239"/>
      <c r="NC50" s="239"/>
      <c r="ND50" s="239"/>
      <c r="NE50" s="239"/>
      <c r="NF50" s="239"/>
      <c r="NG50" s="239"/>
      <c r="NH50" s="239"/>
      <c r="NI50" s="239"/>
      <c r="NJ50" s="239"/>
      <c r="NK50" s="239"/>
      <c r="NL50" s="239"/>
      <c r="NM50" s="239"/>
      <c r="NN50" s="239"/>
      <c r="NO50" s="239"/>
      <c r="NP50" s="239"/>
      <c r="NQ50" s="239"/>
      <c r="NR50" s="239"/>
      <c r="NS50" s="239"/>
      <c r="NT50" s="239"/>
      <c r="NU50" s="239"/>
      <c r="NV50" s="239"/>
      <c r="NW50" s="239"/>
      <c r="NX50" s="239"/>
      <c r="NY50" s="239"/>
      <c r="NZ50" s="239"/>
      <c r="OA50" s="239"/>
      <c r="OB50" s="239"/>
      <c r="OC50" s="239"/>
      <c r="OD50" s="239"/>
      <c r="OE50" s="239"/>
      <c r="OF50" s="239"/>
      <c r="OG50" s="239"/>
      <c r="OH50" s="239"/>
      <c r="OI50" s="239"/>
      <c r="OJ50" s="239"/>
      <c r="OK50" s="239"/>
      <c r="OL50" s="239"/>
      <c r="OM50" s="239"/>
      <c r="ON50" s="239"/>
      <c r="OO50" s="239"/>
      <c r="OP50" s="239"/>
      <c r="OQ50" s="239"/>
      <c r="OR50" s="239"/>
      <c r="OS50" s="239"/>
      <c r="OT50" s="239"/>
      <c r="OU50" s="239"/>
      <c r="OV50" s="239"/>
      <c r="OW50" s="239"/>
      <c r="OX50" s="239"/>
      <c r="OY50" s="239"/>
      <c r="OZ50" s="239"/>
      <c r="PA50" s="239"/>
      <c r="PB50" s="239"/>
      <c r="PC50" s="239"/>
      <c r="PD50" s="239"/>
      <c r="PE50" s="239"/>
      <c r="PF50" s="239"/>
      <c r="PG50" s="239"/>
      <c r="PH50" s="239"/>
      <c r="PI50" s="239"/>
      <c r="PJ50" s="239"/>
      <c r="PK50" s="239"/>
      <c r="PL50" s="239"/>
      <c r="PM50" s="239"/>
      <c r="PN50" s="239"/>
      <c r="PO50" s="239"/>
      <c r="PP50" s="239"/>
      <c r="PQ50" s="239"/>
      <c r="PR50" s="239"/>
      <c r="PS50" s="239"/>
      <c r="PT50" s="239"/>
      <c r="PU50" s="239"/>
      <c r="PV50" s="239"/>
      <c r="PW50" s="239"/>
      <c r="PX50" s="239"/>
      <c r="PY50" s="239"/>
      <c r="PZ50" s="239"/>
      <c r="QA50" s="239"/>
      <c r="QB50" s="239"/>
      <c r="QC50" s="239"/>
      <c r="QD50" s="239"/>
      <c r="QE50" s="239"/>
      <c r="QF50" s="239"/>
      <c r="QG50" s="239"/>
      <c r="QH50" s="239"/>
      <c r="QI50" s="239"/>
      <c r="QJ50" s="239"/>
      <c r="QK50" s="239"/>
      <c r="QL50" s="239"/>
      <c r="QM50" s="239"/>
      <c r="QN50" s="239"/>
      <c r="QO50" s="239"/>
      <c r="QP50" s="239"/>
      <c r="QQ50" s="239"/>
      <c r="QR50" s="239"/>
      <c r="QS50" s="239"/>
      <c r="QT50" s="239"/>
      <c r="QU50" s="239"/>
      <c r="QV50" s="239"/>
      <c r="QW50" s="239"/>
      <c r="QX50" s="239"/>
      <c r="QY50" s="239"/>
      <c r="QZ50" s="239"/>
      <c r="RA50" s="239"/>
      <c r="RB50" s="239"/>
      <c r="RC50" s="239"/>
      <c r="RD50" s="239"/>
      <c r="RE50" s="239"/>
      <c r="RF50" s="239"/>
      <c r="RG50" s="239"/>
      <c r="RH50" s="239"/>
      <c r="RI50" s="239"/>
      <c r="RJ50" s="239"/>
      <c r="RK50" s="239"/>
      <c r="RL50" s="239"/>
      <c r="RM50" s="239"/>
      <c r="RN50" s="239"/>
      <c r="RO50" s="239"/>
      <c r="RP50" s="239"/>
      <c r="RQ50" s="239"/>
      <c r="RR50" s="239"/>
      <c r="RS50" s="239"/>
      <c r="RT50" s="239"/>
      <c r="RU50" s="239"/>
      <c r="RV50" s="239"/>
      <c r="RW50" s="239"/>
      <c r="RX50" s="239"/>
      <c r="RY50" s="239"/>
      <c r="RZ50" s="239"/>
      <c r="SA50" s="239"/>
      <c r="SB50" s="239"/>
      <c r="SC50" s="239"/>
      <c r="SD50" s="239"/>
      <c r="SE50" s="239"/>
      <c r="SF50" s="239"/>
      <c r="SG50" s="239"/>
      <c r="SH50" s="239"/>
      <c r="SI50" s="239"/>
      <c r="SJ50" s="239"/>
      <c r="SK50" s="239"/>
      <c r="SL50" s="239"/>
      <c r="SM50" s="239"/>
      <c r="SN50" s="239"/>
      <c r="SO50" s="239"/>
      <c r="SP50" s="239"/>
      <c r="SQ50" s="239"/>
      <c r="SR50" s="239"/>
      <c r="SS50" s="239"/>
      <c r="ST50" s="239"/>
      <c r="SU50" s="239"/>
      <c r="SV50" s="239"/>
      <c r="SW50" s="239"/>
      <c r="SX50" s="239"/>
      <c r="SY50" s="239"/>
      <c r="SZ50" s="239"/>
      <c r="TA50" s="239"/>
      <c r="TB50" s="239"/>
      <c r="TC50" s="239"/>
      <c r="TD50" s="239"/>
      <c r="TE50" s="239"/>
      <c r="TF50" s="239"/>
      <c r="TG50" s="239"/>
      <c r="TH50" s="239"/>
      <c r="TI50" s="239"/>
      <c r="TJ50" s="239"/>
      <c r="TK50" s="239"/>
      <c r="TL50" s="239"/>
      <c r="TM50" s="239"/>
      <c r="TN50" s="239"/>
      <c r="TO50" s="239"/>
      <c r="TP50" s="239"/>
      <c r="TQ50" s="239"/>
      <c r="TR50" s="239"/>
      <c r="TS50" s="239"/>
      <c r="TT50" s="239"/>
      <c r="TU50" s="239"/>
      <c r="TV50" s="239"/>
      <c r="TW50" s="239"/>
      <c r="TX50" s="239"/>
      <c r="TY50" s="239"/>
      <c r="TZ50" s="239"/>
      <c r="UA50" s="239"/>
      <c r="UB50" s="239"/>
      <c r="UC50" s="239"/>
      <c r="UD50" s="239"/>
      <c r="UE50" s="239"/>
      <c r="UF50" s="239"/>
      <c r="UG50" s="240"/>
    </row>
    <row r="51" spans="1:553" s="236" customFormat="1" ht="40.5" customHeight="1">
      <c r="A51" s="356" t="s">
        <v>15</v>
      </c>
      <c r="B51" s="366" t="s">
        <v>35</v>
      </c>
      <c r="C51" s="1404" t="s">
        <v>123</v>
      </c>
      <c r="D51" s="1389"/>
      <c r="E51" s="1389"/>
      <c r="F51" s="1390"/>
      <c r="G51" s="386" t="s">
        <v>113</v>
      </c>
      <c r="H51" s="370"/>
      <c r="I51" s="834">
        <f>13+14+15</f>
        <v>42</v>
      </c>
      <c r="J51" s="368">
        <v>114600</v>
      </c>
      <c r="K51" s="371"/>
      <c r="L51" s="391">
        <f>ROUND(PRODUCT(I51:K51),0)</f>
        <v>4813200</v>
      </c>
      <c r="M51" s="395"/>
      <c r="N51" s="395"/>
      <c r="O51" s="366"/>
      <c r="P51" s="396"/>
      <c r="Q51" s="473"/>
      <c r="R51" s="1039"/>
      <c r="S51" s="1047"/>
      <c r="T51" s="303"/>
      <c r="U51" s="306"/>
      <c r="V51" s="307"/>
      <c r="W51" s="306"/>
      <c r="X51" s="306"/>
      <c r="Y51" s="306"/>
      <c r="Z51" s="306"/>
      <c r="AA51" s="306"/>
      <c r="AB51" s="306"/>
      <c r="AC51" s="449"/>
      <c r="AD51" s="449"/>
      <c r="AE51" s="449"/>
      <c r="AF51" s="449"/>
      <c r="AG51" s="452"/>
      <c r="AH51" s="452"/>
      <c r="AI51" s="452"/>
      <c r="AJ51" s="452"/>
      <c r="AK51" s="452"/>
      <c r="AL51" s="242"/>
      <c r="AM51" s="241"/>
      <c r="AN51" s="241"/>
      <c r="AO51" s="241"/>
      <c r="AP51" s="241"/>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c r="CK51" s="239"/>
      <c r="CL51" s="239"/>
      <c r="CM51" s="239"/>
      <c r="CN51" s="239"/>
      <c r="CO51" s="239"/>
      <c r="CP51" s="239"/>
      <c r="CQ51" s="239"/>
      <c r="CR51" s="239"/>
      <c r="CS51" s="239"/>
      <c r="CT51" s="239"/>
      <c r="CU51" s="239"/>
      <c r="CV51" s="239"/>
      <c r="CW51" s="239"/>
      <c r="CX51" s="239"/>
      <c r="CY51" s="239"/>
      <c r="CZ51" s="239"/>
      <c r="DA51" s="239"/>
      <c r="DB51" s="239"/>
      <c r="DC51" s="239"/>
      <c r="DD51" s="239"/>
      <c r="DE51" s="239"/>
      <c r="DF51" s="239"/>
      <c r="DG51" s="239"/>
      <c r="DH51" s="239"/>
      <c r="DI51" s="239"/>
      <c r="DJ51" s="239"/>
      <c r="DK51" s="239"/>
      <c r="DL51" s="239"/>
      <c r="DM51" s="239"/>
      <c r="DN51" s="239"/>
      <c r="DO51" s="239"/>
      <c r="DP51" s="239"/>
      <c r="DQ51" s="239"/>
      <c r="DR51" s="239"/>
      <c r="DS51" s="239"/>
      <c r="DT51" s="239"/>
      <c r="DU51" s="239"/>
      <c r="DV51" s="239"/>
      <c r="DW51" s="239"/>
      <c r="DX51" s="239"/>
      <c r="DY51" s="239"/>
      <c r="DZ51" s="239"/>
      <c r="EA51" s="239"/>
      <c r="EB51" s="239"/>
      <c r="EC51" s="239"/>
      <c r="ED51" s="239"/>
      <c r="EE51" s="239"/>
      <c r="EF51" s="239"/>
      <c r="EG51" s="239"/>
      <c r="EH51" s="239"/>
      <c r="EI51" s="239"/>
      <c r="EJ51" s="239"/>
      <c r="EK51" s="239"/>
      <c r="EL51" s="239"/>
      <c r="EM51" s="239"/>
      <c r="EN51" s="239"/>
      <c r="EO51" s="239"/>
      <c r="EP51" s="239"/>
      <c r="EQ51" s="239"/>
      <c r="ER51" s="239"/>
      <c r="ES51" s="239"/>
      <c r="ET51" s="239"/>
      <c r="EU51" s="239"/>
      <c r="EV51" s="239"/>
      <c r="EW51" s="239"/>
      <c r="EX51" s="239"/>
      <c r="EY51" s="239"/>
      <c r="EZ51" s="239"/>
      <c r="FA51" s="239"/>
      <c r="FB51" s="239"/>
      <c r="FC51" s="239"/>
      <c r="FD51" s="239"/>
      <c r="FE51" s="239"/>
      <c r="FF51" s="239"/>
      <c r="FG51" s="239"/>
      <c r="FH51" s="239"/>
      <c r="FI51" s="239"/>
      <c r="FJ51" s="239"/>
      <c r="FK51" s="239"/>
      <c r="FL51" s="239"/>
      <c r="FM51" s="239"/>
      <c r="FN51" s="239"/>
      <c r="FO51" s="239"/>
      <c r="FP51" s="239"/>
      <c r="FQ51" s="239"/>
      <c r="FR51" s="239"/>
      <c r="FS51" s="239"/>
      <c r="FT51" s="239"/>
      <c r="FU51" s="239"/>
      <c r="FV51" s="239"/>
      <c r="FW51" s="239"/>
      <c r="FX51" s="239"/>
      <c r="FY51" s="239"/>
      <c r="FZ51" s="239"/>
      <c r="GA51" s="239"/>
      <c r="GB51" s="239"/>
      <c r="GC51" s="239"/>
      <c r="GD51" s="239"/>
      <c r="GE51" s="239"/>
      <c r="GF51" s="239"/>
      <c r="GG51" s="239"/>
      <c r="GH51" s="239"/>
      <c r="GI51" s="239"/>
      <c r="GJ51" s="239"/>
      <c r="GK51" s="239"/>
      <c r="GL51" s="239"/>
      <c r="GM51" s="239"/>
      <c r="GN51" s="239"/>
      <c r="GO51" s="239"/>
      <c r="GP51" s="239"/>
      <c r="GQ51" s="239"/>
      <c r="GR51" s="239"/>
      <c r="GS51" s="239"/>
      <c r="GT51" s="239"/>
      <c r="GU51" s="239"/>
      <c r="GV51" s="239"/>
      <c r="GW51" s="239"/>
      <c r="GX51" s="239"/>
      <c r="GY51" s="239"/>
      <c r="GZ51" s="239"/>
      <c r="HA51" s="239"/>
      <c r="HB51" s="239"/>
      <c r="HC51" s="239"/>
      <c r="HD51" s="239"/>
      <c r="HE51" s="239"/>
      <c r="HF51" s="239"/>
      <c r="HG51" s="239"/>
      <c r="HH51" s="239"/>
      <c r="HI51" s="239"/>
      <c r="HJ51" s="239"/>
      <c r="HK51" s="239"/>
      <c r="HL51" s="239"/>
      <c r="HM51" s="239"/>
      <c r="HN51" s="239"/>
      <c r="HO51" s="239"/>
      <c r="HP51" s="239"/>
      <c r="HQ51" s="239"/>
      <c r="HR51" s="239"/>
      <c r="HS51" s="239"/>
      <c r="HT51" s="239"/>
      <c r="HU51" s="239"/>
      <c r="HV51" s="239"/>
      <c r="HW51" s="239"/>
      <c r="HX51" s="239"/>
      <c r="HY51" s="239"/>
      <c r="HZ51" s="239"/>
      <c r="IA51" s="239"/>
      <c r="IB51" s="239"/>
      <c r="IC51" s="239"/>
      <c r="ID51" s="239"/>
      <c r="IE51" s="239"/>
      <c r="IF51" s="239"/>
      <c r="IG51" s="239"/>
      <c r="IH51" s="239"/>
      <c r="II51" s="239"/>
      <c r="IJ51" s="239"/>
      <c r="IK51" s="239"/>
      <c r="IL51" s="239"/>
      <c r="IM51" s="239"/>
      <c r="IN51" s="239"/>
      <c r="IO51" s="239"/>
      <c r="IP51" s="239"/>
      <c r="IQ51" s="239"/>
      <c r="IR51" s="239"/>
      <c r="IS51" s="239"/>
      <c r="IT51" s="239"/>
      <c r="IU51" s="239"/>
      <c r="IV51" s="239"/>
      <c r="IW51" s="239"/>
      <c r="IX51" s="239"/>
      <c r="IY51" s="239"/>
      <c r="IZ51" s="239"/>
      <c r="JA51" s="239"/>
      <c r="JB51" s="239"/>
      <c r="JC51" s="239"/>
      <c r="JD51" s="239"/>
      <c r="JE51" s="239"/>
      <c r="JF51" s="239"/>
      <c r="JG51" s="239"/>
      <c r="JH51" s="239"/>
      <c r="JI51" s="239"/>
      <c r="JJ51" s="239"/>
      <c r="JK51" s="239"/>
      <c r="JL51" s="239"/>
      <c r="JM51" s="239"/>
      <c r="JN51" s="239"/>
      <c r="JO51" s="239"/>
      <c r="JP51" s="239"/>
      <c r="JQ51" s="239"/>
      <c r="JR51" s="239"/>
      <c r="JS51" s="239"/>
      <c r="JT51" s="239"/>
      <c r="JU51" s="239"/>
      <c r="JV51" s="239"/>
      <c r="JW51" s="239"/>
      <c r="JX51" s="239"/>
      <c r="JY51" s="239"/>
      <c r="JZ51" s="239"/>
      <c r="KA51" s="239"/>
      <c r="KB51" s="239"/>
      <c r="KC51" s="239"/>
      <c r="KD51" s="239"/>
      <c r="KE51" s="239"/>
      <c r="KF51" s="239"/>
      <c r="KG51" s="239"/>
      <c r="KH51" s="239"/>
      <c r="KI51" s="239"/>
      <c r="KJ51" s="239"/>
      <c r="KK51" s="239"/>
      <c r="KL51" s="239"/>
      <c r="KM51" s="239"/>
      <c r="KN51" s="239"/>
      <c r="KO51" s="239"/>
      <c r="KP51" s="239"/>
      <c r="KQ51" s="239"/>
      <c r="KR51" s="239"/>
      <c r="KS51" s="239"/>
      <c r="KT51" s="239"/>
      <c r="KU51" s="239"/>
      <c r="KV51" s="239"/>
      <c r="KW51" s="239"/>
      <c r="KX51" s="239"/>
      <c r="KY51" s="239"/>
      <c r="KZ51" s="239"/>
      <c r="LA51" s="239"/>
      <c r="LB51" s="239"/>
      <c r="LC51" s="239"/>
      <c r="LD51" s="239"/>
      <c r="LE51" s="239"/>
      <c r="LF51" s="239"/>
      <c r="LG51" s="239"/>
      <c r="LH51" s="239"/>
      <c r="LI51" s="239"/>
      <c r="LJ51" s="239"/>
      <c r="LK51" s="239"/>
      <c r="LL51" s="239"/>
      <c r="LM51" s="239"/>
      <c r="LN51" s="239"/>
      <c r="LO51" s="239"/>
      <c r="LP51" s="239"/>
      <c r="LQ51" s="239"/>
      <c r="LR51" s="239"/>
      <c r="LS51" s="239"/>
      <c r="LT51" s="239"/>
      <c r="LU51" s="239"/>
      <c r="LV51" s="239"/>
      <c r="LW51" s="239"/>
      <c r="LX51" s="239"/>
      <c r="LY51" s="239"/>
      <c r="LZ51" s="239"/>
      <c r="MA51" s="239"/>
      <c r="MB51" s="239"/>
      <c r="MC51" s="239"/>
      <c r="MD51" s="239"/>
      <c r="ME51" s="239"/>
      <c r="MF51" s="239"/>
      <c r="MG51" s="239"/>
      <c r="MH51" s="239"/>
      <c r="MI51" s="239"/>
      <c r="MJ51" s="239"/>
      <c r="MK51" s="239"/>
      <c r="ML51" s="239"/>
      <c r="MM51" s="239"/>
      <c r="MN51" s="239"/>
      <c r="MO51" s="239"/>
      <c r="MP51" s="239"/>
      <c r="MQ51" s="239"/>
      <c r="MR51" s="239"/>
      <c r="MS51" s="239"/>
      <c r="MT51" s="239"/>
      <c r="MU51" s="239"/>
      <c r="MV51" s="239"/>
      <c r="MW51" s="239"/>
      <c r="MX51" s="239"/>
      <c r="MY51" s="239"/>
      <c r="MZ51" s="239"/>
      <c r="NA51" s="239"/>
      <c r="NB51" s="239"/>
      <c r="NC51" s="239"/>
      <c r="ND51" s="239"/>
      <c r="NE51" s="239"/>
      <c r="NF51" s="239"/>
      <c r="NG51" s="239"/>
      <c r="NH51" s="239"/>
      <c r="NI51" s="239"/>
      <c r="NJ51" s="239"/>
      <c r="NK51" s="239"/>
      <c r="NL51" s="239"/>
      <c r="NM51" s="239"/>
      <c r="NN51" s="239"/>
      <c r="NO51" s="239"/>
      <c r="NP51" s="239"/>
      <c r="NQ51" s="239"/>
      <c r="NR51" s="239"/>
      <c r="NS51" s="239"/>
      <c r="NT51" s="239"/>
      <c r="NU51" s="239"/>
      <c r="NV51" s="239"/>
      <c r="NW51" s="239"/>
      <c r="NX51" s="239"/>
      <c r="NY51" s="239"/>
      <c r="NZ51" s="239"/>
      <c r="OA51" s="239"/>
      <c r="OB51" s="239"/>
      <c r="OC51" s="239"/>
      <c r="OD51" s="239"/>
      <c r="OE51" s="239"/>
      <c r="OF51" s="239"/>
      <c r="OG51" s="239"/>
      <c r="OH51" s="239"/>
      <c r="OI51" s="239"/>
      <c r="OJ51" s="239"/>
      <c r="OK51" s="239"/>
      <c r="OL51" s="239"/>
      <c r="OM51" s="239"/>
      <c r="ON51" s="239"/>
      <c r="OO51" s="239"/>
      <c r="OP51" s="239"/>
      <c r="OQ51" s="239"/>
      <c r="OR51" s="239"/>
      <c r="OS51" s="239"/>
      <c r="OT51" s="239"/>
      <c r="OU51" s="239"/>
      <c r="OV51" s="239"/>
      <c r="OW51" s="239"/>
      <c r="OX51" s="239"/>
      <c r="OY51" s="239"/>
      <c r="OZ51" s="239"/>
      <c r="PA51" s="239"/>
      <c r="PB51" s="239"/>
      <c r="PC51" s="239"/>
      <c r="PD51" s="239"/>
      <c r="PE51" s="239"/>
      <c r="PF51" s="239"/>
      <c r="PG51" s="239"/>
      <c r="PH51" s="239"/>
      <c r="PI51" s="239"/>
      <c r="PJ51" s="239"/>
      <c r="PK51" s="239"/>
      <c r="PL51" s="239"/>
      <c r="PM51" s="239"/>
      <c r="PN51" s="239"/>
      <c r="PO51" s="239"/>
      <c r="PP51" s="239"/>
      <c r="PQ51" s="239"/>
      <c r="PR51" s="239"/>
      <c r="PS51" s="239"/>
      <c r="PT51" s="239"/>
      <c r="PU51" s="239"/>
      <c r="PV51" s="239"/>
      <c r="PW51" s="239"/>
      <c r="PX51" s="239"/>
      <c r="PY51" s="239"/>
      <c r="PZ51" s="239"/>
      <c r="QA51" s="239"/>
      <c r="QB51" s="239"/>
      <c r="QC51" s="239"/>
      <c r="QD51" s="239"/>
      <c r="QE51" s="239"/>
      <c r="QF51" s="239"/>
      <c r="QG51" s="239"/>
      <c r="QH51" s="239"/>
      <c r="QI51" s="239"/>
      <c r="QJ51" s="239"/>
      <c r="QK51" s="239"/>
      <c r="QL51" s="239"/>
      <c r="QM51" s="239"/>
      <c r="QN51" s="239"/>
      <c r="QO51" s="239"/>
      <c r="QP51" s="239"/>
      <c r="QQ51" s="239"/>
      <c r="QR51" s="239"/>
      <c r="QS51" s="239"/>
      <c r="QT51" s="239"/>
      <c r="QU51" s="239"/>
      <c r="QV51" s="239"/>
      <c r="QW51" s="239"/>
      <c r="QX51" s="239"/>
      <c r="QY51" s="239"/>
      <c r="QZ51" s="239"/>
      <c r="RA51" s="239"/>
      <c r="RB51" s="239"/>
      <c r="RC51" s="239"/>
      <c r="RD51" s="239"/>
      <c r="RE51" s="239"/>
      <c r="RF51" s="239"/>
      <c r="RG51" s="239"/>
      <c r="RH51" s="239"/>
      <c r="RI51" s="239"/>
      <c r="RJ51" s="239"/>
      <c r="RK51" s="239"/>
      <c r="RL51" s="239"/>
      <c r="RM51" s="239"/>
      <c r="RN51" s="239"/>
      <c r="RO51" s="239"/>
      <c r="RP51" s="239"/>
      <c r="RQ51" s="239"/>
      <c r="RR51" s="239"/>
      <c r="RS51" s="239"/>
      <c r="RT51" s="239"/>
      <c r="RU51" s="239"/>
      <c r="RV51" s="239"/>
      <c r="RW51" s="239"/>
      <c r="RX51" s="239"/>
      <c r="RY51" s="239"/>
      <c r="RZ51" s="239"/>
      <c r="SA51" s="239"/>
      <c r="SB51" s="239"/>
      <c r="SC51" s="239"/>
      <c r="SD51" s="239"/>
      <c r="SE51" s="239"/>
      <c r="SF51" s="239"/>
      <c r="SG51" s="239"/>
      <c r="SH51" s="239"/>
      <c r="SI51" s="239"/>
      <c r="SJ51" s="239"/>
      <c r="SK51" s="239"/>
      <c r="SL51" s="239"/>
      <c r="SM51" s="239"/>
      <c r="SN51" s="239"/>
      <c r="SO51" s="239"/>
      <c r="SP51" s="239"/>
      <c r="SQ51" s="239"/>
      <c r="SR51" s="239"/>
      <c r="SS51" s="239"/>
      <c r="ST51" s="239"/>
      <c r="SU51" s="239"/>
      <c r="SV51" s="239"/>
      <c r="SW51" s="239"/>
      <c r="SX51" s="239"/>
      <c r="SY51" s="239"/>
      <c r="SZ51" s="239"/>
      <c r="TA51" s="239"/>
      <c r="TB51" s="239"/>
      <c r="TC51" s="239"/>
      <c r="TD51" s="239"/>
      <c r="TE51" s="239"/>
      <c r="TF51" s="239"/>
      <c r="TG51" s="239"/>
      <c r="TH51" s="239"/>
      <c r="TI51" s="239"/>
      <c r="TJ51" s="239"/>
      <c r="TK51" s="239"/>
      <c r="TL51" s="239"/>
      <c r="TM51" s="239"/>
      <c r="TN51" s="239"/>
      <c r="TO51" s="239"/>
      <c r="TP51" s="239"/>
      <c r="TQ51" s="239"/>
      <c r="TR51" s="239"/>
      <c r="TS51" s="239"/>
      <c r="TT51" s="239"/>
      <c r="TU51" s="239"/>
      <c r="TV51" s="239"/>
      <c r="TW51" s="239"/>
      <c r="TX51" s="239"/>
      <c r="TY51" s="239"/>
      <c r="TZ51" s="239"/>
      <c r="UA51" s="239"/>
      <c r="UB51" s="239"/>
      <c r="UC51" s="239"/>
      <c r="UD51" s="239"/>
      <c r="UE51" s="239"/>
      <c r="UF51" s="239"/>
      <c r="UG51" s="240"/>
    </row>
    <row r="52" spans="1:553" s="236" customFormat="1" ht="65.25" customHeight="1">
      <c r="A52" s="356" t="s">
        <v>43</v>
      </c>
      <c r="B52" s="356"/>
      <c r="C52" s="1413" t="s">
        <v>44</v>
      </c>
      <c r="D52" s="1389"/>
      <c r="E52" s="1389"/>
      <c r="F52" s="1390"/>
      <c r="G52" s="356"/>
      <c r="H52" s="359"/>
      <c r="I52" s="359"/>
      <c r="J52" s="357"/>
      <c r="K52" s="364"/>
      <c r="L52" s="356">
        <v>0</v>
      </c>
      <c r="M52" s="356"/>
      <c r="N52" s="356"/>
      <c r="O52" s="356"/>
      <c r="P52" s="356"/>
      <c r="Q52" s="610"/>
      <c r="R52" s="1226"/>
      <c r="S52" s="1047"/>
      <c r="T52" s="303"/>
      <c r="U52" s="306"/>
      <c r="V52" s="307"/>
      <c r="W52" s="306"/>
      <c r="X52" s="306"/>
      <c r="Y52" s="306"/>
      <c r="Z52" s="306"/>
      <c r="AA52" s="306"/>
      <c r="AB52" s="306"/>
      <c r="AC52" s="454"/>
      <c r="AD52" s="454"/>
      <c r="AE52" s="454"/>
      <c r="AF52" s="454"/>
      <c r="AG52" s="454"/>
      <c r="AH52" s="454"/>
      <c r="AI52" s="454"/>
      <c r="AJ52" s="454"/>
      <c r="AK52" s="455"/>
      <c r="AL52" s="345"/>
      <c r="AM52" s="249"/>
      <c r="AN52" s="249"/>
      <c r="AO52" s="249"/>
      <c r="AP52" s="249"/>
      <c r="AQ52" s="249"/>
      <c r="AR52" s="249"/>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1"/>
      <c r="IK52" s="251"/>
      <c r="IL52" s="251"/>
      <c r="IM52" s="251"/>
      <c r="IN52" s="251"/>
      <c r="IO52" s="251"/>
      <c r="IP52" s="251"/>
      <c r="IQ52" s="251"/>
      <c r="IR52" s="251"/>
      <c r="IS52" s="251"/>
      <c r="IT52" s="251"/>
      <c r="IU52" s="251"/>
      <c r="IV52" s="251"/>
      <c r="IW52" s="251"/>
      <c r="IX52" s="251"/>
      <c r="IY52" s="251"/>
      <c r="IZ52" s="251"/>
      <c r="JA52" s="251"/>
      <c r="JB52" s="251"/>
      <c r="JC52" s="251"/>
      <c r="JD52" s="251"/>
      <c r="JE52" s="251"/>
      <c r="JF52" s="251"/>
      <c r="JG52" s="251"/>
      <c r="JH52" s="251"/>
      <c r="JI52" s="251"/>
      <c r="JJ52" s="251"/>
      <c r="JK52" s="251"/>
      <c r="JL52" s="251"/>
      <c r="JM52" s="251"/>
      <c r="JN52" s="251"/>
      <c r="JO52" s="251"/>
      <c r="JP52" s="251"/>
      <c r="JQ52" s="251"/>
      <c r="JR52" s="251"/>
      <c r="JS52" s="251"/>
      <c r="JT52" s="251"/>
      <c r="JU52" s="251"/>
      <c r="JV52" s="251"/>
      <c r="JW52" s="251"/>
      <c r="JX52" s="251"/>
      <c r="JY52" s="251"/>
      <c r="JZ52" s="251"/>
      <c r="KA52" s="251"/>
      <c r="KB52" s="251"/>
      <c r="KC52" s="251"/>
      <c r="KD52" s="251"/>
      <c r="KE52" s="251"/>
      <c r="KF52" s="251"/>
      <c r="KG52" s="251"/>
      <c r="KH52" s="251"/>
      <c r="KI52" s="251"/>
      <c r="KJ52" s="251"/>
      <c r="KK52" s="251"/>
      <c r="KL52" s="251"/>
      <c r="KM52" s="251"/>
      <c r="KN52" s="251"/>
      <c r="KO52" s="251"/>
      <c r="KP52" s="251"/>
      <c r="KQ52" s="251"/>
      <c r="KR52" s="251"/>
      <c r="KS52" s="251"/>
      <c r="KT52" s="251"/>
      <c r="KU52" s="251"/>
      <c r="KV52" s="251"/>
      <c r="KW52" s="251"/>
      <c r="KX52" s="251"/>
      <c r="KY52" s="251"/>
      <c r="KZ52" s="251"/>
      <c r="LA52" s="251"/>
      <c r="LB52" s="251"/>
      <c r="LC52" s="251"/>
      <c r="LD52" s="251"/>
      <c r="LE52" s="251"/>
      <c r="LF52" s="251"/>
      <c r="LG52" s="251"/>
      <c r="LH52" s="251"/>
      <c r="LI52" s="251"/>
      <c r="LJ52" s="251"/>
      <c r="LK52" s="251"/>
      <c r="LL52" s="251"/>
      <c r="LM52" s="251"/>
      <c r="LN52" s="251"/>
      <c r="LO52" s="251"/>
      <c r="LP52" s="251"/>
      <c r="LQ52" s="251"/>
      <c r="LR52" s="251"/>
      <c r="LS52" s="251"/>
      <c r="LT52" s="251"/>
      <c r="LU52" s="251"/>
      <c r="LV52" s="251"/>
      <c r="LW52" s="251"/>
      <c r="LX52" s="251"/>
      <c r="LY52" s="251"/>
      <c r="LZ52" s="251"/>
      <c r="MA52" s="251"/>
      <c r="MB52" s="251"/>
      <c r="MC52" s="251"/>
      <c r="MD52" s="251"/>
      <c r="ME52" s="251"/>
      <c r="MF52" s="251"/>
      <c r="MG52" s="251"/>
      <c r="MH52" s="251"/>
      <c r="MI52" s="251"/>
      <c r="MJ52" s="251"/>
      <c r="MK52" s="251"/>
      <c r="ML52" s="251"/>
      <c r="MM52" s="251"/>
      <c r="MN52" s="251"/>
      <c r="MO52" s="251"/>
      <c r="MP52" s="251"/>
      <c r="MQ52" s="251"/>
      <c r="MR52" s="251"/>
      <c r="MS52" s="251"/>
      <c r="MT52" s="251"/>
      <c r="MU52" s="251"/>
      <c r="MV52" s="251"/>
      <c r="MW52" s="251"/>
      <c r="MX52" s="251"/>
      <c r="MY52" s="251"/>
      <c r="MZ52" s="251"/>
      <c r="NA52" s="251"/>
      <c r="NB52" s="251"/>
      <c r="NC52" s="251"/>
      <c r="ND52" s="251"/>
      <c r="NE52" s="251"/>
      <c r="NF52" s="251"/>
      <c r="NG52" s="251"/>
      <c r="NH52" s="251"/>
      <c r="NI52" s="251"/>
      <c r="NJ52" s="251"/>
      <c r="NK52" s="251"/>
      <c r="NL52" s="251"/>
      <c r="NM52" s="251"/>
      <c r="NN52" s="251"/>
      <c r="NO52" s="251"/>
      <c r="NP52" s="251"/>
      <c r="NQ52" s="251"/>
      <c r="NR52" s="251"/>
      <c r="NS52" s="251"/>
      <c r="NT52" s="251"/>
      <c r="NU52" s="251"/>
      <c r="NV52" s="251"/>
      <c r="NW52" s="251"/>
      <c r="NX52" s="251"/>
      <c r="NY52" s="251"/>
      <c r="NZ52" s="251"/>
      <c r="OA52" s="251"/>
      <c r="OB52" s="251"/>
      <c r="OC52" s="251"/>
      <c r="OD52" s="251"/>
      <c r="OE52" s="251"/>
      <c r="OF52" s="251"/>
      <c r="OG52" s="251"/>
      <c r="OH52" s="251"/>
      <c r="OI52" s="251"/>
      <c r="OJ52" s="251"/>
      <c r="OK52" s="251"/>
      <c r="OL52" s="251"/>
      <c r="OM52" s="251"/>
      <c r="ON52" s="251"/>
      <c r="OO52" s="251"/>
      <c r="OP52" s="251"/>
      <c r="OQ52" s="251"/>
      <c r="OR52" s="251"/>
      <c r="OS52" s="251"/>
      <c r="OT52" s="251"/>
      <c r="OU52" s="251"/>
      <c r="OV52" s="251"/>
      <c r="OW52" s="251"/>
      <c r="OX52" s="251"/>
      <c r="OY52" s="251"/>
      <c r="OZ52" s="251"/>
      <c r="PA52" s="251"/>
      <c r="PB52" s="251"/>
      <c r="PC52" s="251"/>
      <c r="PD52" s="251"/>
      <c r="PE52" s="251"/>
      <c r="PF52" s="251"/>
      <c r="PG52" s="251"/>
      <c r="PH52" s="251"/>
      <c r="PI52" s="251"/>
      <c r="PJ52" s="251"/>
      <c r="PK52" s="251"/>
      <c r="PL52" s="251"/>
      <c r="PM52" s="251"/>
      <c r="PN52" s="251"/>
      <c r="PO52" s="251"/>
      <c r="PP52" s="251"/>
      <c r="PQ52" s="251"/>
      <c r="PR52" s="251"/>
      <c r="PS52" s="251"/>
      <c r="PT52" s="251"/>
      <c r="PU52" s="251"/>
      <c r="PV52" s="251"/>
      <c r="PW52" s="251"/>
      <c r="PX52" s="251"/>
      <c r="PY52" s="251"/>
      <c r="PZ52" s="251"/>
      <c r="QA52" s="251"/>
      <c r="QB52" s="251"/>
      <c r="QC52" s="251"/>
      <c r="QD52" s="251"/>
      <c r="QE52" s="251"/>
      <c r="QF52" s="251"/>
      <c r="QG52" s="251"/>
      <c r="QH52" s="251"/>
      <c r="QI52" s="251"/>
      <c r="QJ52" s="251"/>
      <c r="QK52" s="251"/>
      <c r="QL52" s="251"/>
      <c r="QM52" s="251"/>
      <c r="QN52" s="251"/>
      <c r="QO52" s="251"/>
      <c r="QP52" s="251"/>
      <c r="QQ52" s="251"/>
      <c r="QR52" s="251"/>
      <c r="QS52" s="251"/>
      <c r="QT52" s="251"/>
      <c r="QU52" s="251"/>
      <c r="QV52" s="251"/>
      <c r="QW52" s="251"/>
      <c r="QX52" s="251"/>
      <c r="QY52" s="251"/>
      <c r="QZ52" s="251"/>
      <c r="RA52" s="251"/>
      <c r="RB52" s="251"/>
      <c r="RC52" s="251"/>
      <c r="RD52" s="251"/>
      <c r="RE52" s="251"/>
      <c r="RF52" s="251"/>
      <c r="RG52" s="251"/>
      <c r="RH52" s="251"/>
      <c r="RI52" s="251"/>
      <c r="RJ52" s="251"/>
      <c r="RK52" s="251"/>
      <c r="RL52" s="251"/>
      <c r="RM52" s="251"/>
      <c r="RN52" s="251"/>
      <c r="RO52" s="251"/>
      <c r="RP52" s="251"/>
      <c r="RQ52" s="251"/>
      <c r="RR52" s="251"/>
      <c r="RS52" s="251"/>
      <c r="RT52" s="251"/>
      <c r="RU52" s="251"/>
      <c r="RV52" s="251"/>
      <c r="RW52" s="251"/>
      <c r="RX52" s="251"/>
      <c r="RY52" s="251"/>
      <c r="RZ52" s="251"/>
      <c r="SA52" s="251"/>
      <c r="SB52" s="251"/>
      <c r="SC52" s="251"/>
      <c r="SD52" s="251"/>
      <c r="SE52" s="251"/>
      <c r="SF52" s="251"/>
      <c r="SG52" s="251"/>
      <c r="SH52" s="251"/>
      <c r="SI52" s="251"/>
      <c r="SJ52" s="251"/>
      <c r="SK52" s="251"/>
      <c r="SL52" s="251"/>
      <c r="SM52" s="251"/>
      <c r="SN52" s="251"/>
      <c r="SO52" s="251"/>
      <c r="SP52" s="251"/>
      <c r="SQ52" s="251"/>
      <c r="SR52" s="251"/>
      <c r="SS52" s="251"/>
      <c r="ST52" s="251"/>
      <c r="SU52" s="251"/>
      <c r="SV52" s="251"/>
      <c r="SW52" s="251"/>
      <c r="SX52" s="251"/>
      <c r="SY52" s="251"/>
      <c r="SZ52" s="251"/>
      <c r="TA52" s="251"/>
      <c r="TB52" s="251"/>
      <c r="TC52" s="251"/>
      <c r="TD52" s="251"/>
      <c r="TE52" s="251"/>
      <c r="TF52" s="251"/>
      <c r="TG52" s="251"/>
      <c r="TH52" s="251"/>
      <c r="TI52" s="251"/>
      <c r="TJ52" s="251"/>
      <c r="TK52" s="251"/>
      <c r="TL52" s="251"/>
      <c r="TM52" s="251"/>
      <c r="TN52" s="251"/>
      <c r="TO52" s="251"/>
      <c r="TP52" s="251"/>
      <c r="TQ52" s="251"/>
      <c r="TR52" s="251"/>
      <c r="TS52" s="251"/>
      <c r="TT52" s="251"/>
      <c r="TU52" s="251"/>
      <c r="TV52" s="251"/>
      <c r="TW52" s="251"/>
      <c r="TX52" s="251"/>
      <c r="TY52" s="251"/>
      <c r="TZ52" s="251"/>
      <c r="UA52" s="251"/>
      <c r="UB52" s="251"/>
      <c r="UC52" s="251"/>
      <c r="UD52" s="251"/>
      <c r="UE52" s="251"/>
      <c r="UF52" s="251"/>
      <c r="UG52" s="252"/>
    </row>
    <row r="53" spans="1:553" s="236" customFormat="1" ht="51.75" customHeight="1">
      <c r="A53" s="356" t="s">
        <v>53</v>
      </c>
      <c r="B53" s="356"/>
      <c r="C53" s="1413" t="s">
        <v>54</v>
      </c>
      <c r="D53" s="1559"/>
      <c r="E53" s="1559"/>
      <c r="F53" s="1560"/>
      <c r="G53" s="356"/>
      <c r="H53" s="424"/>
      <c r="I53" s="424"/>
      <c r="J53" s="357"/>
      <c r="K53" s="358"/>
      <c r="L53" s="356">
        <f>L54</f>
        <v>5000000</v>
      </c>
      <c r="M53" s="356"/>
      <c r="N53" s="356"/>
      <c r="O53" s="356"/>
      <c r="P53" s="356"/>
      <c r="Q53" s="610"/>
      <c r="R53" s="1447" t="s">
        <v>55</v>
      </c>
      <c r="S53" s="1047"/>
      <c r="T53" s="303"/>
      <c r="U53" s="306"/>
      <c r="V53" s="307"/>
      <c r="W53" s="306"/>
      <c r="X53" s="306"/>
      <c r="Y53" s="306"/>
      <c r="Z53" s="306"/>
      <c r="AA53" s="306"/>
      <c r="AB53" s="306"/>
      <c r="AC53" s="456"/>
      <c r="AD53" s="456"/>
      <c r="AE53" s="456"/>
      <c r="AF53" s="456"/>
      <c r="AG53" s="456"/>
      <c r="AH53" s="456"/>
      <c r="AI53" s="456"/>
      <c r="AJ53" s="456"/>
      <c r="AK53" s="456"/>
      <c r="AL53" s="298"/>
      <c r="AM53" s="249"/>
      <c r="AN53" s="249"/>
      <c r="AO53" s="249"/>
      <c r="AP53" s="249"/>
      <c r="AQ53" s="249"/>
      <c r="AR53" s="249"/>
      <c r="AS53" s="249"/>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1"/>
      <c r="IK53" s="251"/>
      <c r="IL53" s="251"/>
      <c r="IM53" s="251"/>
      <c r="IN53" s="251"/>
      <c r="IO53" s="251"/>
      <c r="IP53" s="251"/>
      <c r="IQ53" s="251"/>
      <c r="IR53" s="251"/>
      <c r="IS53" s="251"/>
      <c r="IT53" s="251"/>
      <c r="IU53" s="251"/>
      <c r="IV53" s="251"/>
      <c r="IW53" s="251"/>
      <c r="IX53" s="251"/>
      <c r="IY53" s="251"/>
      <c r="IZ53" s="251"/>
      <c r="JA53" s="251"/>
      <c r="JB53" s="251"/>
      <c r="JC53" s="251"/>
      <c r="JD53" s="251"/>
      <c r="JE53" s="251"/>
      <c r="JF53" s="251"/>
      <c r="JG53" s="251"/>
      <c r="JH53" s="251"/>
      <c r="JI53" s="251"/>
      <c r="JJ53" s="251"/>
      <c r="JK53" s="251"/>
      <c r="JL53" s="251"/>
      <c r="JM53" s="251"/>
      <c r="JN53" s="251"/>
      <c r="JO53" s="251"/>
      <c r="JP53" s="251"/>
      <c r="JQ53" s="251"/>
      <c r="JR53" s="251"/>
      <c r="JS53" s="251"/>
      <c r="JT53" s="251"/>
      <c r="JU53" s="251"/>
      <c r="JV53" s="251"/>
      <c r="JW53" s="251"/>
      <c r="JX53" s="251"/>
      <c r="JY53" s="251"/>
      <c r="JZ53" s="251"/>
      <c r="KA53" s="251"/>
      <c r="KB53" s="251"/>
      <c r="KC53" s="251"/>
      <c r="KD53" s="251"/>
      <c r="KE53" s="251"/>
      <c r="KF53" s="251"/>
      <c r="KG53" s="251"/>
      <c r="KH53" s="251"/>
      <c r="KI53" s="251"/>
      <c r="KJ53" s="251"/>
      <c r="KK53" s="251"/>
      <c r="KL53" s="251"/>
      <c r="KM53" s="251"/>
      <c r="KN53" s="251"/>
      <c r="KO53" s="251"/>
      <c r="KP53" s="251"/>
      <c r="KQ53" s="251"/>
      <c r="KR53" s="251"/>
      <c r="KS53" s="251"/>
      <c r="KT53" s="251"/>
      <c r="KU53" s="251"/>
      <c r="KV53" s="251"/>
      <c r="KW53" s="251"/>
      <c r="KX53" s="251"/>
      <c r="KY53" s="251"/>
      <c r="KZ53" s="251"/>
      <c r="LA53" s="251"/>
      <c r="LB53" s="251"/>
      <c r="LC53" s="251"/>
      <c r="LD53" s="251"/>
      <c r="LE53" s="251"/>
      <c r="LF53" s="251"/>
      <c r="LG53" s="251"/>
      <c r="LH53" s="251"/>
      <c r="LI53" s="251"/>
      <c r="LJ53" s="251"/>
      <c r="LK53" s="251"/>
      <c r="LL53" s="251"/>
      <c r="LM53" s="251"/>
      <c r="LN53" s="251"/>
      <c r="LO53" s="251"/>
      <c r="LP53" s="251"/>
      <c r="LQ53" s="251"/>
      <c r="LR53" s="251"/>
      <c r="LS53" s="251"/>
      <c r="LT53" s="251"/>
      <c r="LU53" s="251"/>
      <c r="LV53" s="251"/>
      <c r="LW53" s="251"/>
      <c r="LX53" s="251"/>
      <c r="LY53" s="251"/>
      <c r="LZ53" s="251"/>
      <c r="MA53" s="251"/>
      <c r="MB53" s="251"/>
      <c r="MC53" s="251"/>
      <c r="MD53" s="251"/>
      <c r="ME53" s="251"/>
      <c r="MF53" s="251"/>
      <c r="MG53" s="251"/>
      <c r="MH53" s="251"/>
      <c r="MI53" s="251"/>
      <c r="MJ53" s="251"/>
      <c r="MK53" s="251"/>
      <c r="ML53" s="251"/>
      <c r="MM53" s="251"/>
      <c r="MN53" s="251"/>
      <c r="MO53" s="251"/>
      <c r="MP53" s="251"/>
      <c r="MQ53" s="251"/>
      <c r="MR53" s="251"/>
      <c r="MS53" s="251"/>
      <c r="MT53" s="251"/>
      <c r="MU53" s="251"/>
      <c r="MV53" s="251"/>
      <c r="MW53" s="251"/>
      <c r="MX53" s="251"/>
      <c r="MY53" s="251"/>
      <c r="MZ53" s="251"/>
      <c r="NA53" s="251"/>
      <c r="NB53" s="251"/>
      <c r="NC53" s="251"/>
      <c r="ND53" s="251"/>
      <c r="NE53" s="251"/>
      <c r="NF53" s="251"/>
      <c r="NG53" s="251"/>
      <c r="NH53" s="251"/>
      <c r="NI53" s="251"/>
      <c r="NJ53" s="251"/>
      <c r="NK53" s="251"/>
      <c r="NL53" s="251"/>
      <c r="NM53" s="251"/>
      <c r="NN53" s="251"/>
      <c r="NO53" s="251"/>
      <c r="NP53" s="251"/>
      <c r="NQ53" s="251"/>
      <c r="NR53" s="251"/>
      <c r="NS53" s="251"/>
      <c r="NT53" s="251"/>
      <c r="NU53" s="251"/>
      <c r="NV53" s="251"/>
      <c r="NW53" s="251"/>
      <c r="NX53" s="251"/>
      <c r="NY53" s="251"/>
      <c r="NZ53" s="251"/>
      <c r="OA53" s="251"/>
      <c r="OB53" s="251"/>
      <c r="OC53" s="251"/>
      <c r="OD53" s="251"/>
      <c r="OE53" s="251"/>
      <c r="OF53" s="251"/>
      <c r="OG53" s="251"/>
      <c r="OH53" s="251"/>
      <c r="OI53" s="251"/>
      <c r="OJ53" s="251"/>
      <c r="OK53" s="251"/>
      <c r="OL53" s="251"/>
      <c r="OM53" s="251"/>
      <c r="ON53" s="251"/>
      <c r="OO53" s="251"/>
      <c r="OP53" s="251"/>
      <c r="OQ53" s="251"/>
      <c r="OR53" s="251"/>
      <c r="OS53" s="251"/>
      <c r="OT53" s="251"/>
      <c r="OU53" s="251"/>
      <c r="OV53" s="251"/>
      <c r="OW53" s="251"/>
      <c r="OX53" s="251"/>
      <c r="OY53" s="251"/>
      <c r="OZ53" s="251"/>
      <c r="PA53" s="251"/>
      <c r="PB53" s="251"/>
      <c r="PC53" s="251"/>
      <c r="PD53" s="251"/>
      <c r="PE53" s="251"/>
      <c r="PF53" s="251"/>
      <c r="PG53" s="251"/>
      <c r="PH53" s="251"/>
      <c r="PI53" s="251"/>
      <c r="PJ53" s="251"/>
      <c r="PK53" s="251"/>
      <c r="PL53" s="251"/>
      <c r="PM53" s="251"/>
      <c r="PN53" s="251"/>
      <c r="PO53" s="251"/>
      <c r="PP53" s="251"/>
      <c r="PQ53" s="251"/>
      <c r="PR53" s="251"/>
      <c r="PS53" s="251"/>
      <c r="PT53" s="251"/>
      <c r="PU53" s="251"/>
      <c r="PV53" s="251"/>
      <c r="PW53" s="251"/>
      <c r="PX53" s="251"/>
      <c r="PY53" s="251"/>
      <c r="PZ53" s="251"/>
      <c r="QA53" s="251"/>
      <c r="QB53" s="251"/>
      <c r="QC53" s="251"/>
      <c r="QD53" s="251"/>
      <c r="QE53" s="251"/>
      <c r="QF53" s="251"/>
      <c r="QG53" s="251"/>
      <c r="QH53" s="251"/>
      <c r="QI53" s="251"/>
      <c r="QJ53" s="251"/>
      <c r="QK53" s="251"/>
      <c r="QL53" s="251"/>
      <c r="QM53" s="251"/>
      <c r="QN53" s="251"/>
      <c r="QO53" s="251"/>
      <c r="QP53" s="251"/>
      <c r="QQ53" s="251"/>
      <c r="QR53" s="251"/>
      <c r="QS53" s="251"/>
      <c r="QT53" s="251"/>
      <c r="QU53" s="251"/>
      <c r="QV53" s="251"/>
      <c r="QW53" s="251"/>
      <c r="QX53" s="251"/>
      <c r="QY53" s="251"/>
      <c r="QZ53" s="251"/>
      <c r="RA53" s="251"/>
      <c r="RB53" s="251"/>
      <c r="RC53" s="251"/>
      <c r="RD53" s="251"/>
      <c r="RE53" s="251"/>
      <c r="RF53" s="251"/>
      <c r="RG53" s="251"/>
      <c r="RH53" s="251"/>
      <c r="RI53" s="251"/>
      <c r="RJ53" s="251"/>
      <c r="RK53" s="251"/>
      <c r="RL53" s="251"/>
      <c r="RM53" s="251"/>
      <c r="RN53" s="251"/>
      <c r="RO53" s="251"/>
      <c r="RP53" s="251"/>
      <c r="RQ53" s="251"/>
      <c r="RR53" s="251"/>
      <c r="RS53" s="251"/>
      <c r="RT53" s="251"/>
      <c r="RU53" s="251"/>
      <c r="RV53" s="251"/>
      <c r="RW53" s="251"/>
      <c r="RX53" s="251"/>
      <c r="RY53" s="251"/>
      <c r="RZ53" s="251"/>
      <c r="SA53" s="251"/>
      <c r="SB53" s="251"/>
      <c r="SC53" s="251"/>
      <c r="SD53" s="251"/>
      <c r="SE53" s="251"/>
      <c r="SF53" s="251"/>
      <c r="SG53" s="251"/>
      <c r="SH53" s="251"/>
      <c r="SI53" s="251"/>
      <c r="SJ53" s="251"/>
      <c r="SK53" s="251"/>
      <c r="SL53" s="251"/>
      <c r="SM53" s="251"/>
      <c r="SN53" s="251"/>
      <c r="SO53" s="251"/>
      <c r="SP53" s="251"/>
      <c r="SQ53" s="251"/>
      <c r="SR53" s="251"/>
      <c r="SS53" s="251"/>
      <c r="ST53" s="251"/>
      <c r="SU53" s="251"/>
      <c r="SV53" s="251"/>
      <c r="SW53" s="251"/>
      <c r="SX53" s="251"/>
      <c r="SY53" s="251"/>
      <c r="SZ53" s="251"/>
      <c r="TA53" s="251"/>
      <c r="TB53" s="251"/>
      <c r="TC53" s="251"/>
      <c r="TD53" s="251"/>
      <c r="TE53" s="251"/>
      <c r="TF53" s="251"/>
      <c r="TG53" s="251"/>
      <c r="TH53" s="251"/>
      <c r="TI53" s="251"/>
      <c r="TJ53" s="251"/>
      <c r="TK53" s="251"/>
      <c r="TL53" s="251"/>
      <c r="TM53" s="251"/>
      <c r="TN53" s="251"/>
      <c r="TO53" s="251"/>
      <c r="TP53" s="251"/>
      <c r="TQ53" s="251"/>
      <c r="TR53" s="251"/>
      <c r="TS53" s="251"/>
      <c r="TT53" s="251"/>
      <c r="TU53" s="251"/>
      <c r="TV53" s="251"/>
      <c r="TW53" s="251"/>
      <c r="TX53" s="251"/>
      <c r="TY53" s="251"/>
      <c r="TZ53" s="251"/>
      <c r="UA53" s="251"/>
      <c r="UB53" s="251"/>
      <c r="UC53" s="251"/>
      <c r="UD53" s="251"/>
      <c r="UE53" s="251"/>
      <c r="UF53" s="251"/>
      <c r="UG53" s="252"/>
    </row>
    <row r="54" spans="1:553" s="236" customFormat="1" ht="51" customHeight="1">
      <c r="A54" s="356"/>
      <c r="B54" s="356"/>
      <c r="C54" s="1404" t="s">
        <v>1402</v>
      </c>
      <c r="D54" s="1389"/>
      <c r="E54" s="1389"/>
      <c r="F54" s="1390"/>
      <c r="G54" s="366" t="s">
        <v>57</v>
      </c>
      <c r="H54" s="417"/>
      <c r="I54" s="417">
        <v>1</v>
      </c>
      <c r="J54" s="368">
        <v>5000000</v>
      </c>
      <c r="K54" s="369"/>
      <c r="L54" s="366">
        <f>I54*J54</f>
        <v>5000000</v>
      </c>
      <c r="M54" s="356"/>
      <c r="N54" s="356"/>
      <c r="O54" s="356"/>
      <c r="P54" s="356"/>
      <c r="Q54" s="610"/>
      <c r="R54" s="1452"/>
      <c r="S54" s="1047"/>
      <c r="T54" s="303"/>
      <c r="U54" s="306"/>
      <c r="V54" s="307"/>
      <c r="W54" s="306"/>
      <c r="X54" s="306"/>
      <c r="Y54" s="306"/>
      <c r="Z54" s="306"/>
      <c r="AA54" s="306"/>
      <c r="AB54" s="306"/>
      <c r="AC54" s="456"/>
      <c r="AD54" s="456"/>
      <c r="AE54" s="456"/>
      <c r="AF54" s="456"/>
      <c r="AG54" s="456"/>
      <c r="AH54" s="456"/>
      <c r="AI54" s="456"/>
      <c r="AJ54" s="456"/>
      <c r="AK54" s="456"/>
      <c r="AL54" s="298"/>
      <c r="AM54" s="249"/>
      <c r="AN54" s="249"/>
      <c r="AO54" s="249"/>
      <c r="AP54" s="249"/>
      <c r="AQ54" s="249"/>
      <c r="AR54" s="249"/>
      <c r="AS54" s="249"/>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1"/>
      <c r="IK54" s="251"/>
      <c r="IL54" s="251"/>
      <c r="IM54" s="251"/>
      <c r="IN54" s="251"/>
      <c r="IO54" s="251"/>
      <c r="IP54" s="251"/>
      <c r="IQ54" s="251"/>
      <c r="IR54" s="251"/>
      <c r="IS54" s="251"/>
      <c r="IT54" s="251"/>
      <c r="IU54" s="251"/>
      <c r="IV54" s="251"/>
      <c r="IW54" s="251"/>
      <c r="IX54" s="251"/>
      <c r="IY54" s="251"/>
      <c r="IZ54" s="251"/>
      <c r="JA54" s="251"/>
      <c r="JB54" s="251"/>
      <c r="JC54" s="251"/>
      <c r="JD54" s="251"/>
      <c r="JE54" s="251"/>
      <c r="JF54" s="251"/>
      <c r="JG54" s="251"/>
      <c r="JH54" s="251"/>
      <c r="JI54" s="251"/>
      <c r="JJ54" s="251"/>
      <c r="JK54" s="251"/>
      <c r="JL54" s="251"/>
      <c r="JM54" s="251"/>
      <c r="JN54" s="251"/>
      <c r="JO54" s="251"/>
      <c r="JP54" s="251"/>
      <c r="JQ54" s="251"/>
      <c r="JR54" s="251"/>
      <c r="JS54" s="251"/>
      <c r="JT54" s="251"/>
      <c r="JU54" s="251"/>
      <c r="JV54" s="251"/>
      <c r="JW54" s="251"/>
      <c r="JX54" s="251"/>
      <c r="JY54" s="251"/>
      <c r="JZ54" s="251"/>
      <c r="KA54" s="251"/>
      <c r="KB54" s="251"/>
      <c r="KC54" s="251"/>
      <c r="KD54" s="251"/>
      <c r="KE54" s="251"/>
      <c r="KF54" s="251"/>
      <c r="KG54" s="251"/>
      <c r="KH54" s="251"/>
      <c r="KI54" s="251"/>
      <c r="KJ54" s="251"/>
      <c r="KK54" s="251"/>
      <c r="KL54" s="251"/>
      <c r="KM54" s="251"/>
      <c r="KN54" s="251"/>
      <c r="KO54" s="251"/>
      <c r="KP54" s="251"/>
      <c r="KQ54" s="251"/>
      <c r="KR54" s="251"/>
      <c r="KS54" s="251"/>
      <c r="KT54" s="251"/>
      <c r="KU54" s="251"/>
      <c r="KV54" s="251"/>
      <c r="KW54" s="251"/>
      <c r="KX54" s="251"/>
      <c r="KY54" s="251"/>
      <c r="KZ54" s="251"/>
      <c r="LA54" s="251"/>
      <c r="LB54" s="251"/>
      <c r="LC54" s="251"/>
      <c r="LD54" s="251"/>
      <c r="LE54" s="251"/>
      <c r="LF54" s="251"/>
      <c r="LG54" s="251"/>
      <c r="LH54" s="251"/>
      <c r="LI54" s="251"/>
      <c r="LJ54" s="251"/>
      <c r="LK54" s="251"/>
      <c r="LL54" s="251"/>
      <c r="LM54" s="251"/>
      <c r="LN54" s="251"/>
      <c r="LO54" s="251"/>
      <c r="LP54" s="251"/>
      <c r="LQ54" s="251"/>
      <c r="LR54" s="251"/>
      <c r="LS54" s="251"/>
      <c r="LT54" s="251"/>
      <c r="LU54" s="251"/>
      <c r="LV54" s="251"/>
      <c r="LW54" s="251"/>
      <c r="LX54" s="251"/>
      <c r="LY54" s="251"/>
      <c r="LZ54" s="251"/>
      <c r="MA54" s="251"/>
      <c r="MB54" s="251"/>
      <c r="MC54" s="251"/>
      <c r="MD54" s="251"/>
      <c r="ME54" s="251"/>
      <c r="MF54" s="251"/>
      <c r="MG54" s="251"/>
      <c r="MH54" s="251"/>
      <c r="MI54" s="251"/>
      <c r="MJ54" s="251"/>
      <c r="MK54" s="251"/>
      <c r="ML54" s="251"/>
      <c r="MM54" s="251"/>
      <c r="MN54" s="251"/>
      <c r="MO54" s="251"/>
      <c r="MP54" s="251"/>
      <c r="MQ54" s="251"/>
      <c r="MR54" s="251"/>
      <c r="MS54" s="251"/>
      <c r="MT54" s="251"/>
      <c r="MU54" s="251"/>
      <c r="MV54" s="251"/>
      <c r="MW54" s="251"/>
      <c r="MX54" s="251"/>
      <c r="MY54" s="251"/>
      <c r="MZ54" s="251"/>
      <c r="NA54" s="251"/>
      <c r="NB54" s="251"/>
      <c r="NC54" s="251"/>
      <c r="ND54" s="251"/>
      <c r="NE54" s="251"/>
      <c r="NF54" s="251"/>
      <c r="NG54" s="251"/>
      <c r="NH54" s="251"/>
      <c r="NI54" s="251"/>
      <c r="NJ54" s="251"/>
      <c r="NK54" s="251"/>
      <c r="NL54" s="251"/>
      <c r="NM54" s="251"/>
      <c r="NN54" s="251"/>
      <c r="NO54" s="251"/>
      <c r="NP54" s="251"/>
      <c r="NQ54" s="251"/>
      <c r="NR54" s="251"/>
      <c r="NS54" s="251"/>
      <c r="NT54" s="251"/>
      <c r="NU54" s="251"/>
      <c r="NV54" s="251"/>
      <c r="NW54" s="251"/>
      <c r="NX54" s="251"/>
      <c r="NY54" s="251"/>
      <c r="NZ54" s="251"/>
      <c r="OA54" s="251"/>
      <c r="OB54" s="251"/>
      <c r="OC54" s="251"/>
      <c r="OD54" s="251"/>
      <c r="OE54" s="251"/>
      <c r="OF54" s="251"/>
      <c r="OG54" s="251"/>
      <c r="OH54" s="251"/>
      <c r="OI54" s="251"/>
      <c r="OJ54" s="251"/>
      <c r="OK54" s="251"/>
      <c r="OL54" s="251"/>
      <c r="OM54" s="251"/>
      <c r="ON54" s="251"/>
      <c r="OO54" s="251"/>
      <c r="OP54" s="251"/>
      <c r="OQ54" s="251"/>
      <c r="OR54" s="251"/>
      <c r="OS54" s="251"/>
      <c r="OT54" s="251"/>
      <c r="OU54" s="251"/>
      <c r="OV54" s="251"/>
      <c r="OW54" s="251"/>
      <c r="OX54" s="251"/>
      <c r="OY54" s="251"/>
      <c r="OZ54" s="251"/>
      <c r="PA54" s="251"/>
      <c r="PB54" s="251"/>
      <c r="PC54" s="251"/>
      <c r="PD54" s="251"/>
      <c r="PE54" s="251"/>
      <c r="PF54" s="251"/>
      <c r="PG54" s="251"/>
      <c r="PH54" s="251"/>
      <c r="PI54" s="251"/>
      <c r="PJ54" s="251"/>
      <c r="PK54" s="251"/>
      <c r="PL54" s="251"/>
      <c r="PM54" s="251"/>
      <c r="PN54" s="251"/>
      <c r="PO54" s="251"/>
      <c r="PP54" s="251"/>
      <c r="PQ54" s="251"/>
      <c r="PR54" s="251"/>
      <c r="PS54" s="251"/>
      <c r="PT54" s="251"/>
      <c r="PU54" s="251"/>
      <c r="PV54" s="251"/>
      <c r="PW54" s="251"/>
      <c r="PX54" s="251"/>
      <c r="PY54" s="251"/>
      <c r="PZ54" s="251"/>
      <c r="QA54" s="251"/>
      <c r="QB54" s="251"/>
      <c r="QC54" s="251"/>
      <c r="QD54" s="251"/>
      <c r="QE54" s="251"/>
      <c r="QF54" s="251"/>
      <c r="QG54" s="251"/>
      <c r="QH54" s="251"/>
      <c r="QI54" s="251"/>
      <c r="QJ54" s="251"/>
      <c r="QK54" s="251"/>
      <c r="QL54" s="251"/>
      <c r="QM54" s="251"/>
      <c r="QN54" s="251"/>
      <c r="QO54" s="251"/>
      <c r="QP54" s="251"/>
      <c r="QQ54" s="251"/>
      <c r="QR54" s="251"/>
      <c r="QS54" s="251"/>
      <c r="QT54" s="251"/>
      <c r="QU54" s="251"/>
      <c r="QV54" s="251"/>
      <c r="QW54" s="251"/>
      <c r="QX54" s="251"/>
      <c r="QY54" s="251"/>
      <c r="QZ54" s="251"/>
      <c r="RA54" s="251"/>
      <c r="RB54" s="251"/>
      <c r="RC54" s="251"/>
      <c r="RD54" s="251"/>
      <c r="RE54" s="251"/>
      <c r="RF54" s="251"/>
      <c r="RG54" s="251"/>
      <c r="RH54" s="251"/>
      <c r="RI54" s="251"/>
      <c r="RJ54" s="251"/>
      <c r="RK54" s="251"/>
      <c r="RL54" s="251"/>
      <c r="RM54" s="251"/>
      <c r="RN54" s="251"/>
      <c r="RO54" s="251"/>
      <c r="RP54" s="251"/>
      <c r="RQ54" s="251"/>
      <c r="RR54" s="251"/>
      <c r="RS54" s="251"/>
      <c r="RT54" s="251"/>
      <c r="RU54" s="251"/>
      <c r="RV54" s="251"/>
      <c r="RW54" s="251"/>
      <c r="RX54" s="251"/>
      <c r="RY54" s="251"/>
      <c r="RZ54" s="251"/>
      <c r="SA54" s="251"/>
      <c r="SB54" s="251"/>
      <c r="SC54" s="251"/>
      <c r="SD54" s="251"/>
      <c r="SE54" s="251"/>
      <c r="SF54" s="251"/>
      <c r="SG54" s="251"/>
      <c r="SH54" s="251"/>
      <c r="SI54" s="251"/>
      <c r="SJ54" s="251"/>
      <c r="SK54" s="251"/>
      <c r="SL54" s="251"/>
      <c r="SM54" s="251"/>
      <c r="SN54" s="251"/>
      <c r="SO54" s="251"/>
      <c r="SP54" s="251"/>
      <c r="SQ54" s="251"/>
      <c r="SR54" s="251"/>
      <c r="SS54" s="251"/>
      <c r="ST54" s="251"/>
      <c r="SU54" s="251"/>
      <c r="SV54" s="251"/>
      <c r="SW54" s="251"/>
      <c r="SX54" s="251"/>
      <c r="SY54" s="251"/>
      <c r="SZ54" s="251"/>
      <c r="TA54" s="251"/>
      <c r="TB54" s="251"/>
      <c r="TC54" s="251"/>
      <c r="TD54" s="251"/>
      <c r="TE54" s="251"/>
      <c r="TF54" s="251"/>
      <c r="TG54" s="251"/>
      <c r="TH54" s="251"/>
      <c r="TI54" s="251"/>
      <c r="TJ54" s="251"/>
      <c r="TK54" s="251"/>
      <c r="TL54" s="251"/>
      <c r="TM54" s="251"/>
      <c r="TN54" s="251"/>
      <c r="TO54" s="251"/>
      <c r="TP54" s="251"/>
      <c r="TQ54" s="251"/>
      <c r="TR54" s="251"/>
      <c r="TS54" s="251"/>
      <c r="TT54" s="251"/>
      <c r="TU54" s="251"/>
      <c r="TV54" s="251"/>
      <c r="TW54" s="251"/>
      <c r="TX54" s="251"/>
      <c r="TY54" s="251"/>
      <c r="TZ54" s="251"/>
      <c r="UA54" s="251"/>
      <c r="UB54" s="251"/>
      <c r="UC54" s="251"/>
      <c r="UD54" s="251"/>
      <c r="UE54" s="251"/>
      <c r="UF54" s="251"/>
      <c r="UG54" s="252"/>
    </row>
    <row r="55" spans="1:553" s="236" customFormat="1" ht="123" customHeight="1">
      <c r="A55" s="356" t="s">
        <v>58</v>
      </c>
      <c r="B55" s="356"/>
      <c r="C55" s="1413" t="s">
        <v>59</v>
      </c>
      <c r="D55" s="1389"/>
      <c r="E55" s="1389"/>
      <c r="F55" s="1390"/>
      <c r="G55" s="356"/>
      <c r="H55" s="359"/>
      <c r="I55" s="359"/>
      <c r="J55" s="357"/>
      <c r="K55" s="364"/>
      <c r="L55" s="356">
        <f>L56+L57</f>
        <v>74476800</v>
      </c>
      <c r="M55" s="356"/>
      <c r="N55" s="356"/>
      <c r="O55" s="356"/>
      <c r="P55" s="356"/>
      <c r="Q55" s="610"/>
      <c r="R55" s="1226" t="s">
        <v>60</v>
      </c>
      <c r="S55" s="1047"/>
      <c r="T55" s="303"/>
      <c r="U55" s="306"/>
      <c r="V55" s="307"/>
      <c r="W55" s="306"/>
      <c r="X55" s="306"/>
      <c r="Y55" s="306"/>
      <c r="Z55" s="306"/>
      <c r="AA55" s="306"/>
      <c r="AB55" s="306"/>
      <c r="AC55" s="454"/>
      <c r="AD55" s="454"/>
      <c r="AE55" s="454"/>
      <c r="AF55" s="454"/>
      <c r="AG55" s="454"/>
      <c r="AH55" s="454"/>
      <c r="AI55" s="454"/>
      <c r="AJ55" s="454"/>
      <c r="AK55" s="455"/>
      <c r="AL55" s="345"/>
      <c r="AM55" s="249"/>
      <c r="AN55" s="249"/>
      <c r="AO55" s="249"/>
      <c r="AP55" s="249"/>
      <c r="AQ55" s="249"/>
      <c r="AR55" s="249"/>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1"/>
      <c r="IK55" s="251"/>
      <c r="IL55" s="251"/>
      <c r="IM55" s="251"/>
      <c r="IN55" s="251"/>
      <c r="IO55" s="251"/>
      <c r="IP55" s="251"/>
      <c r="IQ55" s="251"/>
      <c r="IR55" s="251"/>
      <c r="IS55" s="251"/>
      <c r="IT55" s="251"/>
      <c r="IU55" s="251"/>
      <c r="IV55" s="251"/>
      <c r="IW55" s="251"/>
      <c r="IX55" s="251"/>
      <c r="IY55" s="251"/>
      <c r="IZ55" s="251"/>
      <c r="JA55" s="251"/>
      <c r="JB55" s="251"/>
      <c r="JC55" s="251"/>
      <c r="JD55" s="251"/>
      <c r="JE55" s="251"/>
      <c r="JF55" s="251"/>
      <c r="JG55" s="251"/>
      <c r="JH55" s="251"/>
      <c r="JI55" s="251"/>
      <c r="JJ55" s="251"/>
      <c r="JK55" s="251"/>
      <c r="JL55" s="251"/>
      <c r="JM55" s="251"/>
      <c r="JN55" s="251"/>
      <c r="JO55" s="251"/>
      <c r="JP55" s="251"/>
      <c r="JQ55" s="251"/>
      <c r="JR55" s="251"/>
      <c r="JS55" s="251"/>
      <c r="JT55" s="251"/>
      <c r="JU55" s="251"/>
      <c r="JV55" s="251"/>
      <c r="JW55" s="251"/>
      <c r="JX55" s="251"/>
      <c r="JY55" s="251"/>
      <c r="JZ55" s="251"/>
      <c r="KA55" s="251"/>
      <c r="KB55" s="251"/>
      <c r="KC55" s="251"/>
      <c r="KD55" s="251"/>
      <c r="KE55" s="251"/>
      <c r="KF55" s="251"/>
      <c r="KG55" s="251"/>
      <c r="KH55" s="251"/>
      <c r="KI55" s="251"/>
      <c r="KJ55" s="251"/>
      <c r="KK55" s="251"/>
      <c r="KL55" s="251"/>
      <c r="KM55" s="251"/>
      <c r="KN55" s="251"/>
      <c r="KO55" s="251"/>
      <c r="KP55" s="251"/>
      <c r="KQ55" s="251"/>
      <c r="KR55" s="251"/>
      <c r="KS55" s="251"/>
      <c r="KT55" s="251"/>
      <c r="KU55" s="251"/>
      <c r="KV55" s="251"/>
      <c r="KW55" s="251"/>
      <c r="KX55" s="251"/>
      <c r="KY55" s="251"/>
      <c r="KZ55" s="251"/>
      <c r="LA55" s="251"/>
      <c r="LB55" s="251"/>
      <c r="LC55" s="251"/>
      <c r="LD55" s="251"/>
      <c r="LE55" s="251"/>
      <c r="LF55" s="251"/>
      <c r="LG55" s="251"/>
      <c r="LH55" s="251"/>
      <c r="LI55" s="251"/>
      <c r="LJ55" s="251"/>
      <c r="LK55" s="251"/>
      <c r="LL55" s="251"/>
      <c r="LM55" s="251"/>
      <c r="LN55" s="251"/>
      <c r="LO55" s="251"/>
      <c r="LP55" s="251"/>
      <c r="LQ55" s="251"/>
      <c r="LR55" s="251"/>
      <c r="LS55" s="251"/>
      <c r="LT55" s="251"/>
      <c r="LU55" s="251"/>
      <c r="LV55" s="251"/>
      <c r="LW55" s="251"/>
      <c r="LX55" s="251"/>
      <c r="LY55" s="251"/>
      <c r="LZ55" s="251"/>
      <c r="MA55" s="251"/>
      <c r="MB55" s="251"/>
      <c r="MC55" s="251"/>
      <c r="MD55" s="251"/>
      <c r="ME55" s="251"/>
      <c r="MF55" s="251"/>
      <c r="MG55" s="251"/>
      <c r="MH55" s="251"/>
      <c r="MI55" s="251"/>
      <c r="MJ55" s="251"/>
      <c r="MK55" s="251"/>
      <c r="ML55" s="251"/>
      <c r="MM55" s="251"/>
      <c r="MN55" s="251"/>
      <c r="MO55" s="251"/>
      <c r="MP55" s="251"/>
      <c r="MQ55" s="251"/>
      <c r="MR55" s="251"/>
      <c r="MS55" s="251"/>
      <c r="MT55" s="251"/>
      <c r="MU55" s="251"/>
      <c r="MV55" s="251"/>
      <c r="MW55" s="251"/>
      <c r="MX55" s="251"/>
      <c r="MY55" s="251"/>
      <c r="MZ55" s="251"/>
      <c r="NA55" s="251"/>
      <c r="NB55" s="251"/>
      <c r="NC55" s="251"/>
      <c r="ND55" s="251"/>
      <c r="NE55" s="251"/>
      <c r="NF55" s="251"/>
      <c r="NG55" s="251"/>
      <c r="NH55" s="251"/>
      <c r="NI55" s="251"/>
      <c r="NJ55" s="251"/>
      <c r="NK55" s="251"/>
      <c r="NL55" s="251"/>
      <c r="NM55" s="251"/>
      <c r="NN55" s="251"/>
      <c r="NO55" s="251"/>
      <c r="NP55" s="251"/>
      <c r="NQ55" s="251"/>
      <c r="NR55" s="251"/>
      <c r="NS55" s="251"/>
      <c r="NT55" s="251"/>
      <c r="NU55" s="251"/>
      <c r="NV55" s="251"/>
      <c r="NW55" s="251"/>
      <c r="NX55" s="251"/>
      <c r="NY55" s="251"/>
      <c r="NZ55" s="251"/>
      <c r="OA55" s="251"/>
      <c r="OB55" s="251"/>
      <c r="OC55" s="251"/>
      <c r="OD55" s="251"/>
      <c r="OE55" s="251"/>
      <c r="OF55" s="251"/>
      <c r="OG55" s="251"/>
      <c r="OH55" s="251"/>
      <c r="OI55" s="251"/>
      <c r="OJ55" s="251"/>
      <c r="OK55" s="251"/>
      <c r="OL55" s="251"/>
      <c r="OM55" s="251"/>
      <c r="ON55" s="251"/>
      <c r="OO55" s="251"/>
      <c r="OP55" s="251"/>
      <c r="OQ55" s="251"/>
      <c r="OR55" s="251"/>
      <c r="OS55" s="251"/>
      <c r="OT55" s="251"/>
      <c r="OU55" s="251"/>
      <c r="OV55" s="251"/>
      <c r="OW55" s="251"/>
      <c r="OX55" s="251"/>
      <c r="OY55" s="251"/>
      <c r="OZ55" s="251"/>
      <c r="PA55" s="251"/>
      <c r="PB55" s="251"/>
      <c r="PC55" s="251"/>
      <c r="PD55" s="251"/>
      <c r="PE55" s="251"/>
      <c r="PF55" s="251"/>
      <c r="PG55" s="251"/>
      <c r="PH55" s="251"/>
      <c r="PI55" s="251"/>
      <c r="PJ55" s="251"/>
      <c r="PK55" s="251"/>
      <c r="PL55" s="251"/>
      <c r="PM55" s="251"/>
      <c r="PN55" s="251"/>
      <c r="PO55" s="251"/>
      <c r="PP55" s="251"/>
      <c r="PQ55" s="251"/>
      <c r="PR55" s="251"/>
      <c r="PS55" s="251"/>
      <c r="PT55" s="251"/>
      <c r="PU55" s="251"/>
      <c r="PV55" s="251"/>
      <c r="PW55" s="251"/>
      <c r="PX55" s="251"/>
      <c r="PY55" s="251"/>
      <c r="PZ55" s="251"/>
      <c r="QA55" s="251"/>
      <c r="QB55" s="251"/>
      <c r="QC55" s="251"/>
      <c r="QD55" s="251"/>
      <c r="QE55" s="251"/>
      <c r="QF55" s="251"/>
      <c r="QG55" s="251"/>
      <c r="QH55" s="251"/>
      <c r="QI55" s="251"/>
      <c r="QJ55" s="251"/>
      <c r="QK55" s="251"/>
      <c r="QL55" s="251"/>
      <c r="QM55" s="251"/>
      <c r="QN55" s="251"/>
      <c r="QO55" s="251"/>
      <c r="QP55" s="251"/>
      <c r="QQ55" s="251"/>
      <c r="QR55" s="251"/>
      <c r="QS55" s="251"/>
      <c r="QT55" s="251"/>
      <c r="QU55" s="251"/>
      <c r="QV55" s="251"/>
      <c r="QW55" s="251"/>
      <c r="QX55" s="251"/>
      <c r="QY55" s="251"/>
      <c r="QZ55" s="251"/>
      <c r="RA55" s="251"/>
      <c r="RB55" s="251"/>
      <c r="RC55" s="251"/>
      <c r="RD55" s="251"/>
      <c r="RE55" s="251"/>
      <c r="RF55" s="251"/>
      <c r="RG55" s="251"/>
      <c r="RH55" s="251"/>
      <c r="RI55" s="251"/>
      <c r="RJ55" s="251"/>
      <c r="RK55" s="251"/>
      <c r="RL55" s="251"/>
      <c r="RM55" s="251"/>
      <c r="RN55" s="251"/>
      <c r="RO55" s="251"/>
      <c r="RP55" s="251"/>
      <c r="RQ55" s="251"/>
      <c r="RR55" s="251"/>
      <c r="RS55" s="251"/>
      <c r="RT55" s="251"/>
      <c r="RU55" s="251"/>
      <c r="RV55" s="251"/>
      <c r="RW55" s="251"/>
      <c r="RX55" s="251"/>
      <c r="RY55" s="251"/>
      <c r="RZ55" s="251"/>
      <c r="SA55" s="251"/>
      <c r="SB55" s="251"/>
      <c r="SC55" s="251"/>
      <c r="SD55" s="251"/>
      <c r="SE55" s="251"/>
      <c r="SF55" s="251"/>
      <c r="SG55" s="251"/>
      <c r="SH55" s="251"/>
      <c r="SI55" s="251"/>
      <c r="SJ55" s="251"/>
      <c r="SK55" s="251"/>
      <c r="SL55" s="251"/>
      <c r="SM55" s="251"/>
      <c r="SN55" s="251"/>
      <c r="SO55" s="251"/>
      <c r="SP55" s="251"/>
      <c r="SQ55" s="251"/>
      <c r="SR55" s="251"/>
      <c r="SS55" s="251"/>
      <c r="ST55" s="251"/>
      <c r="SU55" s="251"/>
      <c r="SV55" s="251"/>
      <c r="SW55" s="251"/>
      <c r="SX55" s="251"/>
      <c r="SY55" s="251"/>
      <c r="SZ55" s="251"/>
      <c r="TA55" s="251"/>
      <c r="TB55" s="251"/>
      <c r="TC55" s="251"/>
      <c r="TD55" s="251"/>
      <c r="TE55" s="251"/>
      <c r="TF55" s="251"/>
      <c r="TG55" s="251"/>
      <c r="TH55" s="251"/>
      <c r="TI55" s="251"/>
      <c r="TJ55" s="251"/>
      <c r="TK55" s="251"/>
      <c r="TL55" s="251"/>
      <c r="TM55" s="251"/>
      <c r="TN55" s="251"/>
      <c r="TO55" s="251"/>
      <c r="TP55" s="251"/>
      <c r="TQ55" s="251"/>
      <c r="TR55" s="251"/>
      <c r="TS55" s="251"/>
      <c r="TT55" s="251"/>
      <c r="TU55" s="251"/>
      <c r="TV55" s="251"/>
      <c r="TW55" s="251"/>
      <c r="TX55" s="251"/>
      <c r="TY55" s="251"/>
      <c r="TZ55" s="251"/>
      <c r="UA55" s="251"/>
      <c r="UB55" s="251"/>
      <c r="UC55" s="251"/>
      <c r="UD55" s="251"/>
      <c r="UE55" s="251"/>
      <c r="UF55" s="251"/>
      <c r="UG55" s="252"/>
    </row>
    <row r="56" spans="1:553" s="236" customFormat="1" ht="75" customHeight="1">
      <c r="A56" s="356" t="s">
        <v>15</v>
      </c>
      <c r="B56" s="356"/>
      <c r="C56" s="384" t="s">
        <v>23</v>
      </c>
      <c r="D56" s="376" t="s">
        <v>20</v>
      </c>
      <c r="E56" s="376" t="s">
        <v>84</v>
      </c>
      <c r="F56" s="385"/>
      <c r="G56" s="386" t="s">
        <v>935</v>
      </c>
      <c r="H56" s="441"/>
      <c r="I56" s="441">
        <v>69.599999999999994</v>
      </c>
      <c r="J56" s="368">
        <v>72000</v>
      </c>
      <c r="K56" s="457">
        <v>3</v>
      </c>
      <c r="L56" s="366">
        <f>I56*J56*K56</f>
        <v>15033600</v>
      </c>
      <c r="M56" s="366"/>
      <c r="N56" s="366"/>
      <c r="O56" s="366"/>
      <c r="P56" s="366"/>
      <c r="Q56" s="813"/>
      <c r="R56" s="421"/>
      <c r="S56" s="1047"/>
      <c r="T56" s="303"/>
      <c r="U56" s="306"/>
      <c r="V56" s="307"/>
      <c r="W56" s="306"/>
      <c r="X56" s="306"/>
      <c r="Y56" s="306"/>
      <c r="Z56" s="306"/>
      <c r="AA56" s="306"/>
      <c r="AB56" s="306"/>
      <c r="AC56" s="449"/>
      <c r="AD56" s="452"/>
      <c r="AE56" s="452"/>
      <c r="AF56" s="452"/>
      <c r="AG56" s="452"/>
      <c r="AH56" s="452"/>
      <c r="AI56" s="452"/>
      <c r="AJ56" s="452"/>
      <c r="AK56" s="452"/>
      <c r="AL56" s="244"/>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8"/>
      <c r="BU56" s="238"/>
      <c r="BV56" s="238"/>
      <c r="BW56" s="238"/>
      <c r="BX56" s="238"/>
      <c r="BY56" s="238"/>
      <c r="BZ56" s="238"/>
      <c r="CA56" s="238"/>
      <c r="CB56" s="238"/>
      <c r="CC56" s="238"/>
      <c r="CD56" s="238"/>
      <c r="CE56" s="238"/>
      <c r="CF56" s="238"/>
      <c r="CG56" s="238"/>
      <c r="CH56" s="238"/>
      <c r="CI56" s="238"/>
      <c r="CJ56" s="238"/>
      <c r="CK56" s="238"/>
      <c r="CL56" s="238"/>
      <c r="CM56" s="238"/>
      <c r="CN56" s="238"/>
      <c r="CO56" s="238"/>
      <c r="CP56" s="238"/>
      <c r="CQ56" s="238"/>
      <c r="CR56" s="238"/>
      <c r="CS56" s="238"/>
      <c r="CT56" s="238"/>
      <c r="CU56" s="238"/>
      <c r="CV56" s="238"/>
      <c r="CW56" s="238"/>
      <c r="CX56" s="238"/>
      <c r="CY56" s="238"/>
      <c r="CZ56" s="238"/>
      <c r="DA56" s="238"/>
      <c r="DB56" s="238"/>
      <c r="DC56" s="238"/>
      <c r="DD56" s="238"/>
      <c r="DE56" s="238"/>
      <c r="DF56" s="238"/>
      <c r="DG56" s="238"/>
      <c r="DH56" s="238"/>
      <c r="DI56" s="238"/>
      <c r="DJ56" s="238"/>
      <c r="DK56" s="238"/>
      <c r="DL56" s="238"/>
      <c r="DM56" s="238"/>
      <c r="DN56" s="238"/>
      <c r="DO56" s="238"/>
      <c r="DP56" s="238"/>
      <c r="DQ56" s="238"/>
      <c r="DR56" s="238"/>
      <c r="DS56" s="238"/>
      <c r="DT56" s="238"/>
      <c r="DU56" s="238"/>
      <c r="DV56" s="238"/>
      <c r="DW56" s="238"/>
      <c r="DX56" s="238"/>
      <c r="DY56" s="238"/>
      <c r="DZ56" s="238"/>
      <c r="EA56" s="238"/>
      <c r="EB56" s="238"/>
      <c r="EC56" s="238"/>
      <c r="ED56" s="238"/>
      <c r="EE56" s="238"/>
      <c r="EF56" s="238"/>
      <c r="EG56" s="238"/>
      <c r="EH56" s="238"/>
      <c r="EI56" s="238"/>
      <c r="EJ56" s="238"/>
      <c r="EK56" s="238"/>
      <c r="EL56" s="238"/>
      <c r="EM56" s="238"/>
      <c r="EN56" s="238"/>
      <c r="EO56" s="238"/>
      <c r="EP56" s="238"/>
      <c r="EQ56" s="238"/>
      <c r="ER56" s="238"/>
      <c r="ES56" s="238"/>
      <c r="ET56" s="238"/>
      <c r="EU56" s="238"/>
      <c r="EV56" s="238"/>
      <c r="EW56" s="238"/>
      <c r="EX56" s="238"/>
      <c r="EY56" s="238"/>
      <c r="EZ56" s="238"/>
      <c r="FA56" s="238"/>
      <c r="FB56" s="238"/>
      <c r="FC56" s="238"/>
      <c r="FD56" s="238"/>
      <c r="FE56" s="238"/>
      <c r="FF56" s="238"/>
      <c r="FG56" s="238"/>
      <c r="FH56" s="238"/>
      <c r="FI56" s="238"/>
      <c r="FJ56" s="238"/>
      <c r="FK56" s="238"/>
      <c r="FL56" s="238"/>
      <c r="FM56" s="238"/>
      <c r="FN56" s="238"/>
      <c r="FO56" s="238"/>
      <c r="FP56" s="238"/>
      <c r="FQ56" s="238"/>
      <c r="FR56" s="238"/>
      <c r="FS56" s="238"/>
      <c r="FT56" s="238"/>
      <c r="FU56" s="238"/>
      <c r="FV56" s="238"/>
      <c r="FW56" s="238"/>
      <c r="FX56" s="238"/>
      <c r="FY56" s="238"/>
      <c r="FZ56" s="238"/>
      <c r="GA56" s="238"/>
      <c r="GB56" s="238"/>
      <c r="GC56" s="238"/>
      <c r="GD56" s="238"/>
      <c r="GE56" s="238"/>
      <c r="GF56" s="238"/>
      <c r="GG56" s="238"/>
      <c r="GH56" s="238"/>
      <c r="GI56" s="238"/>
      <c r="GJ56" s="238"/>
      <c r="GK56" s="238"/>
      <c r="GL56" s="238"/>
      <c r="GM56" s="238"/>
      <c r="GN56" s="238"/>
      <c r="GO56" s="238"/>
      <c r="GP56" s="238"/>
      <c r="GQ56" s="238"/>
      <c r="GR56" s="238"/>
      <c r="GS56" s="238"/>
      <c r="GT56" s="238"/>
      <c r="GU56" s="238"/>
      <c r="GV56" s="238"/>
      <c r="GW56" s="238"/>
      <c r="GX56" s="238"/>
      <c r="GY56" s="238"/>
      <c r="GZ56" s="238"/>
      <c r="HA56" s="238"/>
      <c r="HB56" s="238"/>
      <c r="HC56" s="238"/>
      <c r="HD56" s="238"/>
      <c r="HE56" s="238"/>
      <c r="HF56" s="238"/>
      <c r="HG56" s="238"/>
      <c r="HH56" s="238"/>
      <c r="HI56" s="238"/>
      <c r="HJ56" s="238"/>
      <c r="HK56" s="238"/>
      <c r="HL56" s="238"/>
      <c r="HM56" s="238"/>
      <c r="HN56" s="238"/>
      <c r="HO56" s="238"/>
      <c r="HP56" s="238"/>
      <c r="HQ56" s="238"/>
      <c r="HR56" s="238"/>
      <c r="HS56" s="238"/>
      <c r="HT56" s="238"/>
      <c r="HU56" s="238"/>
      <c r="HV56" s="238"/>
      <c r="HW56" s="238"/>
      <c r="HX56" s="238"/>
      <c r="HY56" s="238"/>
      <c r="HZ56" s="238"/>
      <c r="IA56" s="238"/>
      <c r="IB56" s="238"/>
      <c r="IC56" s="238"/>
      <c r="ID56" s="238"/>
      <c r="IE56" s="238"/>
      <c r="IF56" s="238"/>
      <c r="IG56" s="238"/>
      <c r="IH56" s="238"/>
      <c r="II56" s="238"/>
      <c r="IJ56" s="238"/>
      <c r="IK56" s="238"/>
      <c r="IL56" s="238"/>
      <c r="IM56" s="238"/>
      <c r="IN56" s="238"/>
      <c r="IO56" s="238"/>
      <c r="IP56" s="238"/>
      <c r="IQ56" s="238"/>
      <c r="IR56" s="238"/>
      <c r="IS56" s="238"/>
      <c r="IT56" s="238"/>
      <c r="IU56" s="238"/>
      <c r="IV56" s="238"/>
      <c r="IW56" s="238"/>
      <c r="IX56" s="238"/>
      <c r="IY56" s="238"/>
      <c r="IZ56" s="238"/>
      <c r="JA56" s="238"/>
      <c r="JB56" s="238"/>
      <c r="JC56" s="238"/>
      <c r="JD56" s="238"/>
      <c r="JE56" s="238"/>
      <c r="JF56" s="238"/>
      <c r="JG56" s="238"/>
      <c r="JH56" s="238"/>
      <c r="JI56" s="238"/>
      <c r="JJ56" s="238"/>
      <c r="JK56" s="238"/>
      <c r="JL56" s="238"/>
      <c r="JM56" s="238"/>
      <c r="JN56" s="238"/>
      <c r="JO56" s="238"/>
      <c r="JP56" s="238"/>
      <c r="JQ56" s="238"/>
      <c r="JR56" s="238"/>
      <c r="JS56" s="238"/>
      <c r="JT56" s="238"/>
      <c r="JU56" s="238"/>
      <c r="JV56" s="238"/>
      <c r="JW56" s="238"/>
      <c r="JX56" s="238"/>
      <c r="JY56" s="238"/>
      <c r="JZ56" s="238"/>
      <c r="KA56" s="238"/>
      <c r="KB56" s="238"/>
      <c r="KC56" s="238"/>
      <c r="KD56" s="238"/>
      <c r="KE56" s="238"/>
      <c r="KF56" s="238"/>
      <c r="KG56" s="238"/>
      <c r="KH56" s="238"/>
      <c r="KI56" s="238"/>
      <c r="KJ56" s="238"/>
      <c r="KK56" s="238"/>
      <c r="KL56" s="238"/>
      <c r="KM56" s="238"/>
      <c r="KN56" s="238"/>
      <c r="KO56" s="238"/>
      <c r="KP56" s="238"/>
      <c r="KQ56" s="238"/>
      <c r="KR56" s="238"/>
      <c r="KS56" s="238"/>
      <c r="KT56" s="238"/>
      <c r="KU56" s="238"/>
      <c r="KV56" s="238"/>
      <c r="KW56" s="238"/>
      <c r="KX56" s="238"/>
      <c r="KY56" s="238"/>
      <c r="KZ56" s="238"/>
      <c r="LA56" s="238"/>
      <c r="LB56" s="238"/>
      <c r="LC56" s="238"/>
      <c r="LD56" s="238"/>
      <c r="LE56" s="238"/>
      <c r="LF56" s="238"/>
      <c r="LG56" s="238"/>
      <c r="LH56" s="238"/>
      <c r="LI56" s="238"/>
      <c r="LJ56" s="238"/>
      <c r="LK56" s="238"/>
      <c r="LL56" s="238"/>
      <c r="LM56" s="238"/>
      <c r="LN56" s="238"/>
      <c r="LO56" s="238"/>
      <c r="LP56" s="238"/>
      <c r="LQ56" s="238"/>
      <c r="LR56" s="238"/>
      <c r="LS56" s="238"/>
      <c r="LT56" s="238"/>
      <c r="LU56" s="238"/>
      <c r="LV56" s="238"/>
      <c r="LW56" s="238"/>
      <c r="LX56" s="238"/>
      <c r="LY56" s="238"/>
      <c r="LZ56" s="238"/>
      <c r="MA56" s="238"/>
      <c r="MB56" s="238"/>
      <c r="MC56" s="238"/>
      <c r="MD56" s="238"/>
      <c r="ME56" s="238"/>
      <c r="MF56" s="238"/>
      <c r="MG56" s="238"/>
      <c r="MH56" s="238"/>
      <c r="MI56" s="238"/>
      <c r="MJ56" s="238"/>
      <c r="MK56" s="238"/>
      <c r="ML56" s="238"/>
      <c r="MM56" s="238"/>
      <c r="MN56" s="238"/>
      <c r="MO56" s="238"/>
      <c r="MP56" s="238"/>
      <c r="MQ56" s="238"/>
      <c r="MR56" s="238"/>
      <c r="MS56" s="238"/>
      <c r="MT56" s="238"/>
      <c r="MU56" s="238"/>
      <c r="MV56" s="238"/>
      <c r="MW56" s="238"/>
      <c r="MX56" s="238"/>
      <c r="MY56" s="238"/>
      <c r="MZ56" s="238"/>
      <c r="NA56" s="238"/>
      <c r="NB56" s="238"/>
      <c r="NC56" s="238"/>
      <c r="ND56" s="238"/>
      <c r="NE56" s="238"/>
      <c r="NF56" s="238"/>
      <c r="NG56" s="238"/>
      <c r="NH56" s="238"/>
      <c r="NI56" s="238"/>
      <c r="NJ56" s="238"/>
      <c r="NK56" s="238"/>
      <c r="NL56" s="238"/>
      <c r="NM56" s="238"/>
      <c r="NN56" s="238"/>
      <c r="NO56" s="238"/>
      <c r="NP56" s="238"/>
      <c r="NQ56" s="238"/>
      <c r="NR56" s="238"/>
      <c r="NS56" s="238"/>
      <c r="NT56" s="238"/>
      <c r="NU56" s="238"/>
      <c r="NV56" s="238"/>
      <c r="NW56" s="238"/>
      <c r="NX56" s="238"/>
      <c r="NY56" s="238"/>
      <c r="NZ56" s="238"/>
      <c r="OA56" s="238"/>
      <c r="OB56" s="238"/>
      <c r="OC56" s="238"/>
      <c r="OD56" s="238"/>
      <c r="OE56" s="238"/>
      <c r="OF56" s="238"/>
      <c r="OG56" s="238"/>
      <c r="OH56" s="238"/>
      <c r="OI56" s="238"/>
      <c r="OJ56" s="238"/>
      <c r="OK56" s="238"/>
      <c r="OL56" s="238"/>
      <c r="OM56" s="238"/>
      <c r="ON56" s="238"/>
      <c r="OO56" s="238"/>
      <c r="OP56" s="238"/>
      <c r="OQ56" s="238"/>
      <c r="OR56" s="238"/>
      <c r="OS56" s="238"/>
      <c r="OT56" s="238"/>
      <c r="OU56" s="238"/>
      <c r="OV56" s="238"/>
      <c r="OW56" s="238"/>
      <c r="OX56" s="238"/>
      <c r="OY56" s="238"/>
      <c r="OZ56" s="238"/>
      <c r="PA56" s="238"/>
      <c r="PB56" s="238"/>
      <c r="PC56" s="238"/>
      <c r="PD56" s="238"/>
      <c r="PE56" s="238"/>
      <c r="PF56" s="238"/>
      <c r="PG56" s="238"/>
      <c r="PH56" s="238"/>
      <c r="PI56" s="238"/>
      <c r="PJ56" s="238"/>
      <c r="PK56" s="238"/>
      <c r="PL56" s="238"/>
      <c r="PM56" s="238"/>
      <c r="PN56" s="238"/>
      <c r="PO56" s="238"/>
      <c r="PP56" s="238"/>
      <c r="PQ56" s="238"/>
      <c r="PR56" s="238"/>
      <c r="PS56" s="238"/>
      <c r="PT56" s="238"/>
      <c r="PU56" s="238"/>
      <c r="PV56" s="238"/>
      <c r="PW56" s="238"/>
      <c r="PX56" s="238"/>
      <c r="PY56" s="238"/>
      <c r="PZ56" s="238"/>
      <c r="QA56" s="238"/>
      <c r="QB56" s="238"/>
      <c r="QC56" s="238"/>
      <c r="QD56" s="238"/>
      <c r="QE56" s="238"/>
      <c r="QF56" s="238"/>
      <c r="QG56" s="238"/>
      <c r="QH56" s="238"/>
      <c r="QI56" s="238"/>
      <c r="QJ56" s="238"/>
      <c r="QK56" s="238"/>
      <c r="QL56" s="238"/>
      <c r="QM56" s="238"/>
      <c r="QN56" s="238"/>
      <c r="QO56" s="238"/>
      <c r="QP56" s="238"/>
      <c r="QQ56" s="238"/>
      <c r="QR56" s="238"/>
      <c r="QS56" s="238"/>
      <c r="QT56" s="238"/>
      <c r="QU56" s="238"/>
      <c r="QV56" s="238"/>
      <c r="QW56" s="238"/>
      <c r="QX56" s="238"/>
      <c r="QY56" s="238"/>
      <c r="QZ56" s="238"/>
      <c r="RA56" s="238"/>
      <c r="RB56" s="238"/>
      <c r="RC56" s="238"/>
      <c r="RD56" s="238"/>
      <c r="RE56" s="238"/>
      <c r="RF56" s="238"/>
      <c r="RG56" s="238"/>
      <c r="RH56" s="238"/>
      <c r="RI56" s="238"/>
      <c r="RJ56" s="238"/>
      <c r="RK56" s="238"/>
      <c r="RL56" s="238"/>
      <c r="RM56" s="238"/>
      <c r="RN56" s="238"/>
      <c r="RO56" s="238"/>
      <c r="RP56" s="238"/>
      <c r="RQ56" s="238"/>
      <c r="RR56" s="238"/>
      <c r="RS56" s="238"/>
      <c r="RT56" s="238"/>
      <c r="RU56" s="238"/>
      <c r="RV56" s="238"/>
      <c r="RW56" s="238"/>
      <c r="RX56" s="238"/>
      <c r="RY56" s="238"/>
      <c r="RZ56" s="238"/>
      <c r="SA56" s="238"/>
      <c r="SB56" s="238"/>
      <c r="SC56" s="238"/>
      <c r="SD56" s="238"/>
      <c r="SE56" s="238"/>
      <c r="SF56" s="238"/>
      <c r="SG56" s="238"/>
      <c r="SH56" s="238"/>
      <c r="SI56" s="238"/>
      <c r="SJ56" s="238"/>
      <c r="SK56" s="238"/>
      <c r="SL56" s="238"/>
      <c r="SM56" s="238"/>
      <c r="SN56" s="238"/>
      <c r="SO56" s="238"/>
      <c r="SP56" s="238"/>
      <c r="SQ56" s="238"/>
      <c r="SR56" s="238"/>
      <c r="SS56" s="238"/>
      <c r="ST56" s="238"/>
      <c r="SU56" s="238"/>
      <c r="SV56" s="238"/>
      <c r="SW56" s="238"/>
      <c r="SX56" s="238"/>
      <c r="SY56" s="238"/>
      <c r="SZ56" s="238"/>
      <c r="TA56" s="238"/>
      <c r="TB56" s="238"/>
      <c r="TC56" s="238"/>
      <c r="TD56" s="238"/>
      <c r="TE56" s="238"/>
      <c r="TF56" s="238"/>
      <c r="TG56" s="238"/>
      <c r="TH56" s="238"/>
      <c r="TI56" s="238"/>
      <c r="TJ56" s="238"/>
      <c r="TK56" s="238"/>
      <c r="TL56" s="238"/>
      <c r="TM56" s="238"/>
      <c r="TN56" s="238"/>
      <c r="TO56" s="238"/>
      <c r="TP56" s="238"/>
      <c r="TQ56" s="238"/>
      <c r="TR56" s="238"/>
      <c r="TS56" s="238"/>
      <c r="TT56" s="238"/>
      <c r="TU56" s="238"/>
      <c r="TV56" s="238"/>
      <c r="TW56" s="238"/>
      <c r="TX56" s="238"/>
      <c r="TY56" s="238"/>
      <c r="TZ56" s="238"/>
      <c r="UA56" s="238"/>
      <c r="UB56" s="238"/>
      <c r="UC56" s="238"/>
      <c r="UD56" s="238"/>
      <c r="UE56" s="238"/>
      <c r="UF56" s="238"/>
      <c r="UG56" s="248"/>
    </row>
    <row r="57" spans="1:553" s="236" customFormat="1" ht="75" customHeight="1">
      <c r="A57" s="356" t="s">
        <v>15</v>
      </c>
      <c r="B57" s="356"/>
      <c r="C57" s="384" t="s">
        <v>23</v>
      </c>
      <c r="D57" s="376" t="s">
        <v>20</v>
      </c>
      <c r="E57" s="376" t="s">
        <v>86</v>
      </c>
      <c r="F57" s="385"/>
      <c r="G57" s="386" t="s">
        <v>935</v>
      </c>
      <c r="H57" s="441"/>
      <c r="I57" s="441">
        <v>275.2</v>
      </c>
      <c r="J57" s="368">
        <v>72000</v>
      </c>
      <c r="K57" s="457">
        <v>3</v>
      </c>
      <c r="L57" s="366">
        <f t="shared" ref="L57" si="13">I57*J57*K57</f>
        <v>59443200</v>
      </c>
      <c r="M57" s="366"/>
      <c r="N57" s="366"/>
      <c r="O57" s="366"/>
      <c r="P57" s="366"/>
      <c r="Q57" s="813"/>
      <c r="R57" s="1228"/>
      <c r="S57" s="1047"/>
      <c r="T57" s="303"/>
      <c r="U57" s="306"/>
      <c r="V57" s="307"/>
      <c r="W57" s="306"/>
      <c r="X57" s="306"/>
      <c r="Y57" s="306"/>
      <c r="Z57" s="306"/>
      <c r="AA57" s="306"/>
      <c r="AB57" s="306"/>
      <c r="AC57" s="449"/>
      <c r="AD57" s="452"/>
      <c r="AE57" s="452"/>
      <c r="AF57" s="452"/>
      <c r="AG57" s="452"/>
      <c r="AH57" s="452"/>
      <c r="AI57" s="452"/>
      <c r="AJ57" s="452"/>
      <c r="AK57" s="452"/>
      <c r="AL57" s="244"/>
      <c r="AM57" s="238"/>
      <c r="AN57" s="238"/>
      <c r="AO57" s="238"/>
      <c r="AP57" s="238"/>
      <c r="AQ57" s="238"/>
      <c r="AR57" s="238"/>
      <c r="AS57" s="238"/>
      <c r="AT57" s="238"/>
      <c r="AU57" s="238"/>
      <c r="AV57" s="238"/>
      <c r="AW57" s="238"/>
      <c r="AX57" s="238"/>
      <c r="AY57" s="238"/>
      <c r="AZ57" s="238"/>
      <c r="BA57" s="238"/>
      <c r="BB57" s="238"/>
      <c r="BC57" s="238"/>
      <c r="BD57" s="238"/>
      <c r="BE57" s="238"/>
      <c r="BF57" s="238"/>
      <c r="BG57" s="238"/>
      <c r="BH57" s="238"/>
      <c r="BI57" s="238"/>
      <c r="BJ57" s="238"/>
      <c r="BK57" s="238"/>
      <c r="BL57" s="238"/>
      <c r="BM57" s="238"/>
      <c r="BN57" s="238"/>
      <c r="BO57" s="238"/>
      <c r="BP57" s="238"/>
      <c r="BQ57" s="238"/>
      <c r="BR57" s="238"/>
      <c r="BS57" s="238"/>
      <c r="BT57" s="238"/>
      <c r="BU57" s="238"/>
      <c r="BV57" s="238"/>
      <c r="BW57" s="238"/>
      <c r="BX57" s="238"/>
      <c r="BY57" s="238"/>
      <c r="BZ57" s="238"/>
      <c r="CA57" s="238"/>
      <c r="CB57" s="238"/>
      <c r="CC57" s="238"/>
      <c r="CD57" s="238"/>
      <c r="CE57" s="238"/>
      <c r="CF57" s="238"/>
      <c r="CG57" s="238"/>
      <c r="CH57" s="238"/>
      <c r="CI57" s="238"/>
      <c r="CJ57" s="238"/>
      <c r="CK57" s="238"/>
      <c r="CL57" s="238"/>
      <c r="CM57" s="238"/>
      <c r="CN57" s="238"/>
      <c r="CO57" s="238"/>
      <c r="CP57" s="238"/>
      <c r="CQ57" s="238"/>
      <c r="CR57" s="238"/>
      <c r="CS57" s="238"/>
      <c r="CT57" s="238"/>
      <c r="CU57" s="238"/>
      <c r="CV57" s="238"/>
      <c r="CW57" s="238"/>
      <c r="CX57" s="238"/>
      <c r="CY57" s="238"/>
      <c r="CZ57" s="238"/>
      <c r="DA57" s="238"/>
      <c r="DB57" s="238"/>
      <c r="DC57" s="238"/>
      <c r="DD57" s="238"/>
      <c r="DE57" s="238"/>
      <c r="DF57" s="238"/>
      <c r="DG57" s="238"/>
      <c r="DH57" s="238"/>
      <c r="DI57" s="238"/>
      <c r="DJ57" s="238"/>
      <c r="DK57" s="238"/>
      <c r="DL57" s="238"/>
      <c r="DM57" s="238"/>
      <c r="DN57" s="238"/>
      <c r="DO57" s="238"/>
      <c r="DP57" s="238"/>
      <c r="DQ57" s="238"/>
      <c r="DR57" s="238"/>
      <c r="DS57" s="238"/>
      <c r="DT57" s="238"/>
      <c r="DU57" s="238"/>
      <c r="DV57" s="238"/>
      <c r="DW57" s="238"/>
      <c r="DX57" s="238"/>
      <c r="DY57" s="238"/>
      <c r="DZ57" s="238"/>
      <c r="EA57" s="238"/>
      <c r="EB57" s="238"/>
      <c r="EC57" s="238"/>
      <c r="ED57" s="238"/>
      <c r="EE57" s="238"/>
      <c r="EF57" s="238"/>
      <c r="EG57" s="238"/>
      <c r="EH57" s="238"/>
      <c r="EI57" s="238"/>
      <c r="EJ57" s="238"/>
      <c r="EK57" s="238"/>
      <c r="EL57" s="238"/>
      <c r="EM57" s="238"/>
      <c r="EN57" s="238"/>
      <c r="EO57" s="238"/>
      <c r="EP57" s="238"/>
      <c r="EQ57" s="238"/>
      <c r="ER57" s="238"/>
      <c r="ES57" s="238"/>
      <c r="ET57" s="238"/>
      <c r="EU57" s="238"/>
      <c r="EV57" s="238"/>
      <c r="EW57" s="238"/>
      <c r="EX57" s="238"/>
      <c r="EY57" s="238"/>
      <c r="EZ57" s="238"/>
      <c r="FA57" s="238"/>
      <c r="FB57" s="238"/>
      <c r="FC57" s="238"/>
      <c r="FD57" s="238"/>
      <c r="FE57" s="238"/>
      <c r="FF57" s="238"/>
      <c r="FG57" s="238"/>
      <c r="FH57" s="238"/>
      <c r="FI57" s="238"/>
      <c r="FJ57" s="238"/>
      <c r="FK57" s="238"/>
      <c r="FL57" s="238"/>
      <c r="FM57" s="238"/>
      <c r="FN57" s="238"/>
      <c r="FO57" s="238"/>
      <c r="FP57" s="238"/>
      <c r="FQ57" s="238"/>
      <c r="FR57" s="238"/>
      <c r="FS57" s="238"/>
      <c r="FT57" s="238"/>
      <c r="FU57" s="238"/>
      <c r="FV57" s="238"/>
      <c r="FW57" s="238"/>
      <c r="FX57" s="238"/>
      <c r="FY57" s="238"/>
      <c r="FZ57" s="238"/>
      <c r="GA57" s="238"/>
      <c r="GB57" s="238"/>
      <c r="GC57" s="238"/>
      <c r="GD57" s="238"/>
      <c r="GE57" s="238"/>
      <c r="GF57" s="238"/>
      <c r="GG57" s="238"/>
      <c r="GH57" s="238"/>
      <c r="GI57" s="238"/>
      <c r="GJ57" s="238"/>
      <c r="GK57" s="238"/>
      <c r="GL57" s="238"/>
      <c r="GM57" s="238"/>
      <c r="GN57" s="238"/>
      <c r="GO57" s="238"/>
      <c r="GP57" s="238"/>
      <c r="GQ57" s="238"/>
      <c r="GR57" s="238"/>
      <c r="GS57" s="238"/>
      <c r="GT57" s="238"/>
      <c r="GU57" s="238"/>
      <c r="GV57" s="238"/>
      <c r="GW57" s="238"/>
      <c r="GX57" s="238"/>
      <c r="GY57" s="238"/>
      <c r="GZ57" s="238"/>
      <c r="HA57" s="238"/>
      <c r="HB57" s="238"/>
      <c r="HC57" s="238"/>
      <c r="HD57" s="238"/>
      <c r="HE57" s="238"/>
      <c r="HF57" s="238"/>
      <c r="HG57" s="238"/>
      <c r="HH57" s="238"/>
      <c r="HI57" s="238"/>
      <c r="HJ57" s="238"/>
      <c r="HK57" s="238"/>
      <c r="HL57" s="238"/>
      <c r="HM57" s="238"/>
      <c r="HN57" s="238"/>
      <c r="HO57" s="238"/>
      <c r="HP57" s="238"/>
      <c r="HQ57" s="238"/>
      <c r="HR57" s="238"/>
      <c r="HS57" s="238"/>
      <c r="HT57" s="238"/>
      <c r="HU57" s="238"/>
      <c r="HV57" s="238"/>
      <c r="HW57" s="238"/>
      <c r="HX57" s="238"/>
      <c r="HY57" s="238"/>
      <c r="HZ57" s="238"/>
      <c r="IA57" s="238"/>
      <c r="IB57" s="238"/>
      <c r="IC57" s="238"/>
      <c r="ID57" s="238"/>
      <c r="IE57" s="238"/>
      <c r="IF57" s="238"/>
      <c r="IG57" s="238"/>
      <c r="IH57" s="238"/>
      <c r="II57" s="238"/>
      <c r="IJ57" s="238"/>
      <c r="IK57" s="238"/>
      <c r="IL57" s="238"/>
      <c r="IM57" s="238"/>
      <c r="IN57" s="238"/>
      <c r="IO57" s="238"/>
      <c r="IP57" s="238"/>
      <c r="IQ57" s="238"/>
      <c r="IR57" s="238"/>
      <c r="IS57" s="238"/>
      <c r="IT57" s="238"/>
      <c r="IU57" s="238"/>
      <c r="IV57" s="238"/>
      <c r="IW57" s="238"/>
      <c r="IX57" s="238"/>
      <c r="IY57" s="238"/>
      <c r="IZ57" s="238"/>
      <c r="JA57" s="238"/>
      <c r="JB57" s="238"/>
      <c r="JC57" s="238"/>
      <c r="JD57" s="238"/>
      <c r="JE57" s="238"/>
      <c r="JF57" s="238"/>
      <c r="JG57" s="238"/>
      <c r="JH57" s="238"/>
      <c r="JI57" s="238"/>
      <c r="JJ57" s="238"/>
      <c r="JK57" s="238"/>
      <c r="JL57" s="238"/>
      <c r="JM57" s="238"/>
      <c r="JN57" s="238"/>
      <c r="JO57" s="238"/>
      <c r="JP57" s="238"/>
      <c r="JQ57" s="238"/>
      <c r="JR57" s="238"/>
      <c r="JS57" s="238"/>
      <c r="JT57" s="238"/>
      <c r="JU57" s="238"/>
      <c r="JV57" s="238"/>
      <c r="JW57" s="238"/>
      <c r="JX57" s="238"/>
      <c r="JY57" s="238"/>
      <c r="JZ57" s="238"/>
      <c r="KA57" s="238"/>
      <c r="KB57" s="238"/>
      <c r="KC57" s="238"/>
      <c r="KD57" s="238"/>
      <c r="KE57" s="238"/>
      <c r="KF57" s="238"/>
      <c r="KG57" s="238"/>
      <c r="KH57" s="238"/>
      <c r="KI57" s="238"/>
      <c r="KJ57" s="238"/>
      <c r="KK57" s="238"/>
      <c r="KL57" s="238"/>
      <c r="KM57" s="238"/>
      <c r="KN57" s="238"/>
      <c r="KO57" s="238"/>
      <c r="KP57" s="238"/>
      <c r="KQ57" s="238"/>
      <c r="KR57" s="238"/>
      <c r="KS57" s="238"/>
      <c r="KT57" s="238"/>
      <c r="KU57" s="238"/>
      <c r="KV57" s="238"/>
      <c r="KW57" s="238"/>
      <c r="KX57" s="238"/>
      <c r="KY57" s="238"/>
      <c r="KZ57" s="238"/>
      <c r="LA57" s="238"/>
      <c r="LB57" s="238"/>
      <c r="LC57" s="238"/>
      <c r="LD57" s="238"/>
      <c r="LE57" s="238"/>
      <c r="LF57" s="238"/>
      <c r="LG57" s="238"/>
      <c r="LH57" s="238"/>
      <c r="LI57" s="238"/>
      <c r="LJ57" s="238"/>
      <c r="LK57" s="238"/>
      <c r="LL57" s="238"/>
      <c r="LM57" s="238"/>
      <c r="LN57" s="238"/>
      <c r="LO57" s="238"/>
      <c r="LP57" s="238"/>
      <c r="LQ57" s="238"/>
      <c r="LR57" s="238"/>
      <c r="LS57" s="238"/>
      <c r="LT57" s="238"/>
      <c r="LU57" s="238"/>
      <c r="LV57" s="238"/>
      <c r="LW57" s="238"/>
      <c r="LX57" s="238"/>
      <c r="LY57" s="238"/>
      <c r="LZ57" s="238"/>
      <c r="MA57" s="238"/>
      <c r="MB57" s="238"/>
      <c r="MC57" s="238"/>
      <c r="MD57" s="238"/>
      <c r="ME57" s="238"/>
      <c r="MF57" s="238"/>
      <c r="MG57" s="238"/>
      <c r="MH57" s="238"/>
      <c r="MI57" s="238"/>
      <c r="MJ57" s="238"/>
      <c r="MK57" s="238"/>
      <c r="ML57" s="238"/>
      <c r="MM57" s="238"/>
      <c r="MN57" s="238"/>
      <c r="MO57" s="238"/>
      <c r="MP57" s="238"/>
      <c r="MQ57" s="238"/>
      <c r="MR57" s="238"/>
      <c r="MS57" s="238"/>
      <c r="MT57" s="238"/>
      <c r="MU57" s="238"/>
      <c r="MV57" s="238"/>
      <c r="MW57" s="238"/>
      <c r="MX57" s="238"/>
      <c r="MY57" s="238"/>
      <c r="MZ57" s="238"/>
      <c r="NA57" s="238"/>
      <c r="NB57" s="238"/>
      <c r="NC57" s="238"/>
      <c r="ND57" s="238"/>
      <c r="NE57" s="238"/>
      <c r="NF57" s="238"/>
      <c r="NG57" s="238"/>
      <c r="NH57" s="238"/>
      <c r="NI57" s="238"/>
      <c r="NJ57" s="238"/>
      <c r="NK57" s="238"/>
      <c r="NL57" s="238"/>
      <c r="NM57" s="238"/>
      <c r="NN57" s="238"/>
      <c r="NO57" s="238"/>
      <c r="NP57" s="238"/>
      <c r="NQ57" s="238"/>
      <c r="NR57" s="238"/>
      <c r="NS57" s="238"/>
      <c r="NT57" s="238"/>
      <c r="NU57" s="238"/>
      <c r="NV57" s="238"/>
      <c r="NW57" s="238"/>
      <c r="NX57" s="238"/>
      <c r="NY57" s="238"/>
      <c r="NZ57" s="238"/>
      <c r="OA57" s="238"/>
      <c r="OB57" s="238"/>
      <c r="OC57" s="238"/>
      <c r="OD57" s="238"/>
      <c r="OE57" s="238"/>
      <c r="OF57" s="238"/>
      <c r="OG57" s="238"/>
      <c r="OH57" s="238"/>
      <c r="OI57" s="238"/>
      <c r="OJ57" s="238"/>
      <c r="OK57" s="238"/>
      <c r="OL57" s="238"/>
      <c r="OM57" s="238"/>
      <c r="ON57" s="238"/>
      <c r="OO57" s="238"/>
      <c r="OP57" s="238"/>
      <c r="OQ57" s="238"/>
      <c r="OR57" s="238"/>
      <c r="OS57" s="238"/>
      <c r="OT57" s="238"/>
      <c r="OU57" s="238"/>
      <c r="OV57" s="238"/>
      <c r="OW57" s="238"/>
      <c r="OX57" s="238"/>
      <c r="OY57" s="238"/>
      <c r="OZ57" s="238"/>
      <c r="PA57" s="238"/>
      <c r="PB57" s="238"/>
      <c r="PC57" s="238"/>
      <c r="PD57" s="238"/>
      <c r="PE57" s="238"/>
      <c r="PF57" s="238"/>
      <c r="PG57" s="238"/>
      <c r="PH57" s="238"/>
      <c r="PI57" s="238"/>
      <c r="PJ57" s="238"/>
      <c r="PK57" s="238"/>
      <c r="PL57" s="238"/>
      <c r="PM57" s="238"/>
      <c r="PN57" s="238"/>
      <c r="PO57" s="238"/>
      <c r="PP57" s="238"/>
      <c r="PQ57" s="238"/>
      <c r="PR57" s="238"/>
      <c r="PS57" s="238"/>
      <c r="PT57" s="238"/>
      <c r="PU57" s="238"/>
      <c r="PV57" s="238"/>
      <c r="PW57" s="238"/>
      <c r="PX57" s="238"/>
      <c r="PY57" s="238"/>
      <c r="PZ57" s="238"/>
      <c r="QA57" s="238"/>
      <c r="QB57" s="238"/>
      <c r="QC57" s="238"/>
      <c r="QD57" s="238"/>
      <c r="QE57" s="238"/>
      <c r="QF57" s="238"/>
      <c r="QG57" s="238"/>
      <c r="QH57" s="238"/>
      <c r="QI57" s="238"/>
      <c r="QJ57" s="238"/>
      <c r="QK57" s="238"/>
      <c r="QL57" s="238"/>
      <c r="QM57" s="238"/>
      <c r="QN57" s="238"/>
      <c r="QO57" s="238"/>
      <c r="QP57" s="238"/>
      <c r="QQ57" s="238"/>
      <c r="QR57" s="238"/>
      <c r="QS57" s="238"/>
      <c r="QT57" s="238"/>
      <c r="QU57" s="238"/>
      <c r="QV57" s="238"/>
      <c r="QW57" s="238"/>
      <c r="QX57" s="238"/>
      <c r="QY57" s="238"/>
      <c r="QZ57" s="238"/>
      <c r="RA57" s="238"/>
      <c r="RB57" s="238"/>
      <c r="RC57" s="238"/>
      <c r="RD57" s="238"/>
      <c r="RE57" s="238"/>
      <c r="RF57" s="238"/>
      <c r="RG57" s="238"/>
      <c r="RH57" s="238"/>
      <c r="RI57" s="238"/>
      <c r="RJ57" s="238"/>
      <c r="RK57" s="238"/>
      <c r="RL57" s="238"/>
      <c r="RM57" s="238"/>
      <c r="RN57" s="238"/>
      <c r="RO57" s="238"/>
      <c r="RP57" s="238"/>
      <c r="RQ57" s="238"/>
      <c r="RR57" s="238"/>
      <c r="RS57" s="238"/>
      <c r="RT57" s="238"/>
      <c r="RU57" s="238"/>
      <c r="RV57" s="238"/>
      <c r="RW57" s="238"/>
      <c r="RX57" s="238"/>
      <c r="RY57" s="238"/>
      <c r="RZ57" s="238"/>
      <c r="SA57" s="238"/>
      <c r="SB57" s="238"/>
      <c r="SC57" s="238"/>
      <c r="SD57" s="238"/>
      <c r="SE57" s="238"/>
      <c r="SF57" s="238"/>
      <c r="SG57" s="238"/>
      <c r="SH57" s="238"/>
      <c r="SI57" s="238"/>
      <c r="SJ57" s="238"/>
      <c r="SK57" s="238"/>
      <c r="SL57" s="238"/>
      <c r="SM57" s="238"/>
      <c r="SN57" s="238"/>
      <c r="SO57" s="238"/>
      <c r="SP57" s="238"/>
      <c r="SQ57" s="238"/>
      <c r="SR57" s="238"/>
      <c r="SS57" s="238"/>
      <c r="ST57" s="238"/>
      <c r="SU57" s="238"/>
      <c r="SV57" s="238"/>
      <c r="SW57" s="238"/>
      <c r="SX57" s="238"/>
      <c r="SY57" s="238"/>
      <c r="SZ57" s="238"/>
      <c r="TA57" s="238"/>
      <c r="TB57" s="238"/>
      <c r="TC57" s="238"/>
      <c r="TD57" s="238"/>
      <c r="TE57" s="238"/>
      <c r="TF57" s="238"/>
      <c r="TG57" s="238"/>
      <c r="TH57" s="238"/>
      <c r="TI57" s="238"/>
      <c r="TJ57" s="238"/>
      <c r="TK57" s="238"/>
      <c r="TL57" s="238"/>
      <c r="TM57" s="238"/>
      <c r="TN57" s="238"/>
      <c r="TO57" s="238"/>
      <c r="TP57" s="238"/>
      <c r="TQ57" s="238"/>
      <c r="TR57" s="238"/>
      <c r="TS57" s="238"/>
      <c r="TT57" s="238"/>
      <c r="TU57" s="238"/>
      <c r="TV57" s="238"/>
      <c r="TW57" s="238"/>
      <c r="TX57" s="238"/>
      <c r="TY57" s="238"/>
      <c r="TZ57" s="238"/>
      <c r="UA57" s="238"/>
      <c r="UB57" s="238"/>
      <c r="UC57" s="238"/>
      <c r="UD57" s="238"/>
      <c r="UE57" s="238"/>
      <c r="UF57" s="238"/>
      <c r="UG57" s="248"/>
    </row>
    <row r="58" spans="1:553" s="236" customFormat="1" ht="99.75" customHeight="1">
      <c r="A58" s="356" t="s">
        <v>61</v>
      </c>
      <c r="B58" s="428"/>
      <c r="C58" s="1413" t="s">
        <v>62</v>
      </c>
      <c r="D58" s="1389"/>
      <c r="E58" s="1389"/>
      <c r="F58" s="1390"/>
      <c r="G58" s="429"/>
      <c r="H58" s="359"/>
      <c r="I58" s="359"/>
      <c r="J58" s="357"/>
      <c r="K58" s="364"/>
      <c r="L58" s="356">
        <f>L59</f>
        <v>0</v>
      </c>
      <c r="M58" s="356"/>
      <c r="N58" s="356"/>
      <c r="O58" s="356"/>
      <c r="P58" s="358"/>
      <c r="Q58" s="610"/>
      <c r="R58" s="1226"/>
      <c r="S58" s="1047"/>
      <c r="T58" s="303"/>
      <c r="U58" s="306"/>
      <c r="V58" s="307"/>
      <c r="W58" s="306"/>
      <c r="X58" s="306"/>
      <c r="Y58" s="306"/>
      <c r="Z58" s="306"/>
      <c r="AA58" s="306"/>
      <c r="AB58" s="306"/>
      <c r="AC58" s="454"/>
      <c r="AD58" s="454"/>
      <c r="AE58" s="454"/>
      <c r="AF58" s="454"/>
      <c r="AG58" s="454"/>
      <c r="AH58" s="454"/>
      <c r="AI58" s="454"/>
      <c r="AJ58" s="454"/>
      <c r="AK58" s="455"/>
      <c r="AL58" s="345"/>
      <c r="AM58" s="249"/>
      <c r="AN58" s="249"/>
      <c r="AO58" s="249"/>
      <c r="AP58" s="249"/>
      <c r="AQ58" s="249"/>
      <c r="AR58" s="249"/>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1"/>
      <c r="IK58" s="251"/>
      <c r="IL58" s="251"/>
      <c r="IM58" s="251"/>
      <c r="IN58" s="251"/>
      <c r="IO58" s="251"/>
      <c r="IP58" s="251"/>
      <c r="IQ58" s="251"/>
      <c r="IR58" s="251"/>
      <c r="IS58" s="251"/>
      <c r="IT58" s="251"/>
      <c r="IU58" s="251"/>
      <c r="IV58" s="251"/>
      <c r="IW58" s="251"/>
      <c r="IX58" s="251"/>
      <c r="IY58" s="251"/>
      <c r="IZ58" s="251"/>
      <c r="JA58" s="251"/>
      <c r="JB58" s="251"/>
      <c r="JC58" s="251"/>
      <c r="JD58" s="251"/>
      <c r="JE58" s="251"/>
      <c r="JF58" s="251"/>
      <c r="JG58" s="251"/>
      <c r="JH58" s="251"/>
      <c r="JI58" s="251"/>
      <c r="JJ58" s="251"/>
      <c r="JK58" s="251"/>
      <c r="JL58" s="251"/>
      <c r="JM58" s="251"/>
      <c r="JN58" s="251"/>
      <c r="JO58" s="251"/>
      <c r="JP58" s="251"/>
      <c r="JQ58" s="251"/>
      <c r="JR58" s="251"/>
      <c r="JS58" s="251"/>
      <c r="JT58" s="251"/>
      <c r="JU58" s="251"/>
      <c r="JV58" s="251"/>
      <c r="JW58" s="251"/>
      <c r="JX58" s="251"/>
      <c r="JY58" s="251"/>
      <c r="JZ58" s="251"/>
      <c r="KA58" s="251"/>
      <c r="KB58" s="251"/>
      <c r="KC58" s="251"/>
      <c r="KD58" s="251"/>
      <c r="KE58" s="251"/>
      <c r="KF58" s="251"/>
      <c r="KG58" s="251"/>
      <c r="KH58" s="251"/>
      <c r="KI58" s="251"/>
      <c r="KJ58" s="251"/>
      <c r="KK58" s="251"/>
      <c r="KL58" s="251"/>
      <c r="KM58" s="251"/>
      <c r="KN58" s="251"/>
      <c r="KO58" s="251"/>
      <c r="KP58" s="251"/>
      <c r="KQ58" s="251"/>
      <c r="KR58" s="251"/>
      <c r="KS58" s="251"/>
      <c r="KT58" s="251"/>
      <c r="KU58" s="251"/>
      <c r="KV58" s="251"/>
      <c r="KW58" s="251"/>
      <c r="KX58" s="251"/>
      <c r="KY58" s="251"/>
      <c r="KZ58" s="251"/>
      <c r="LA58" s="251"/>
      <c r="LB58" s="251"/>
      <c r="LC58" s="251"/>
      <c r="LD58" s="251"/>
      <c r="LE58" s="251"/>
      <c r="LF58" s="251"/>
      <c r="LG58" s="251"/>
      <c r="LH58" s="251"/>
      <c r="LI58" s="251"/>
      <c r="LJ58" s="251"/>
      <c r="LK58" s="251"/>
      <c r="LL58" s="251"/>
      <c r="LM58" s="251"/>
      <c r="LN58" s="251"/>
      <c r="LO58" s="251"/>
      <c r="LP58" s="251"/>
      <c r="LQ58" s="251"/>
      <c r="LR58" s="251"/>
      <c r="LS58" s="251"/>
      <c r="LT58" s="251"/>
      <c r="LU58" s="251"/>
      <c r="LV58" s="251"/>
      <c r="LW58" s="251"/>
      <c r="LX58" s="251"/>
      <c r="LY58" s="251"/>
      <c r="LZ58" s="251"/>
      <c r="MA58" s="251"/>
      <c r="MB58" s="251"/>
      <c r="MC58" s="251"/>
      <c r="MD58" s="251"/>
      <c r="ME58" s="251"/>
      <c r="MF58" s="251"/>
      <c r="MG58" s="251"/>
      <c r="MH58" s="251"/>
      <c r="MI58" s="251"/>
      <c r="MJ58" s="251"/>
      <c r="MK58" s="251"/>
      <c r="ML58" s="251"/>
      <c r="MM58" s="251"/>
      <c r="MN58" s="251"/>
      <c r="MO58" s="251"/>
      <c r="MP58" s="251"/>
      <c r="MQ58" s="251"/>
      <c r="MR58" s="251"/>
      <c r="MS58" s="251"/>
      <c r="MT58" s="251"/>
      <c r="MU58" s="251"/>
      <c r="MV58" s="251"/>
      <c r="MW58" s="251"/>
      <c r="MX58" s="251"/>
      <c r="MY58" s="251"/>
      <c r="MZ58" s="251"/>
      <c r="NA58" s="251"/>
      <c r="NB58" s="251"/>
      <c r="NC58" s="251"/>
      <c r="ND58" s="251"/>
      <c r="NE58" s="251"/>
      <c r="NF58" s="251"/>
      <c r="NG58" s="251"/>
      <c r="NH58" s="251"/>
      <c r="NI58" s="251"/>
      <c r="NJ58" s="251"/>
      <c r="NK58" s="251"/>
      <c r="NL58" s="251"/>
      <c r="NM58" s="251"/>
      <c r="NN58" s="251"/>
      <c r="NO58" s="251"/>
      <c r="NP58" s="251"/>
      <c r="NQ58" s="251"/>
      <c r="NR58" s="251"/>
      <c r="NS58" s="251"/>
      <c r="NT58" s="251"/>
      <c r="NU58" s="251"/>
      <c r="NV58" s="251"/>
      <c r="NW58" s="251"/>
      <c r="NX58" s="251"/>
      <c r="NY58" s="251"/>
      <c r="NZ58" s="251"/>
      <c r="OA58" s="251"/>
      <c r="OB58" s="251"/>
      <c r="OC58" s="251"/>
      <c r="OD58" s="251"/>
      <c r="OE58" s="251"/>
      <c r="OF58" s="251"/>
      <c r="OG58" s="251"/>
      <c r="OH58" s="251"/>
      <c r="OI58" s="251"/>
      <c r="OJ58" s="251"/>
      <c r="OK58" s="251"/>
      <c r="OL58" s="251"/>
      <c r="OM58" s="251"/>
      <c r="ON58" s="251"/>
      <c r="OO58" s="251"/>
      <c r="OP58" s="251"/>
      <c r="OQ58" s="251"/>
      <c r="OR58" s="251"/>
      <c r="OS58" s="251"/>
      <c r="OT58" s="251"/>
      <c r="OU58" s="251"/>
      <c r="OV58" s="251"/>
      <c r="OW58" s="251"/>
      <c r="OX58" s="251"/>
      <c r="OY58" s="251"/>
      <c r="OZ58" s="251"/>
      <c r="PA58" s="251"/>
      <c r="PB58" s="251"/>
      <c r="PC58" s="251"/>
      <c r="PD58" s="251"/>
      <c r="PE58" s="251"/>
      <c r="PF58" s="251"/>
      <c r="PG58" s="251"/>
      <c r="PH58" s="251"/>
      <c r="PI58" s="251"/>
      <c r="PJ58" s="251"/>
      <c r="PK58" s="251"/>
      <c r="PL58" s="251"/>
      <c r="PM58" s="251"/>
      <c r="PN58" s="251"/>
      <c r="PO58" s="251"/>
      <c r="PP58" s="251"/>
      <c r="PQ58" s="251"/>
      <c r="PR58" s="251"/>
      <c r="PS58" s="251"/>
      <c r="PT58" s="251"/>
      <c r="PU58" s="251"/>
      <c r="PV58" s="251"/>
      <c r="PW58" s="251"/>
      <c r="PX58" s="251"/>
      <c r="PY58" s="251"/>
      <c r="PZ58" s="251"/>
      <c r="QA58" s="251"/>
      <c r="QB58" s="251"/>
      <c r="QC58" s="251"/>
      <c r="QD58" s="251"/>
      <c r="QE58" s="251"/>
      <c r="QF58" s="251"/>
      <c r="QG58" s="251"/>
      <c r="QH58" s="251"/>
      <c r="QI58" s="251"/>
      <c r="QJ58" s="251"/>
      <c r="QK58" s="251"/>
      <c r="QL58" s="251"/>
      <c r="QM58" s="251"/>
      <c r="QN58" s="251"/>
      <c r="QO58" s="251"/>
      <c r="QP58" s="251"/>
      <c r="QQ58" s="251"/>
      <c r="QR58" s="251"/>
      <c r="QS58" s="251"/>
      <c r="QT58" s="251"/>
      <c r="QU58" s="251"/>
      <c r="QV58" s="251"/>
      <c r="QW58" s="251"/>
      <c r="QX58" s="251"/>
      <c r="QY58" s="251"/>
      <c r="QZ58" s="251"/>
      <c r="RA58" s="251"/>
      <c r="RB58" s="251"/>
      <c r="RC58" s="251"/>
      <c r="RD58" s="251"/>
      <c r="RE58" s="251"/>
      <c r="RF58" s="251"/>
      <c r="RG58" s="251"/>
      <c r="RH58" s="251"/>
      <c r="RI58" s="251"/>
      <c r="RJ58" s="251"/>
      <c r="RK58" s="251"/>
      <c r="RL58" s="251"/>
      <c r="RM58" s="251"/>
      <c r="RN58" s="251"/>
      <c r="RO58" s="251"/>
      <c r="RP58" s="251"/>
      <c r="RQ58" s="251"/>
      <c r="RR58" s="251"/>
      <c r="RS58" s="251"/>
      <c r="RT58" s="251"/>
      <c r="RU58" s="251"/>
      <c r="RV58" s="251"/>
      <c r="RW58" s="251"/>
      <c r="RX58" s="251"/>
      <c r="RY58" s="251"/>
      <c r="RZ58" s="251"/>
      <c r="SA58" s="251"/>
      <c r="SB58" s="251"/>
      <c r="SC58" s="251"/>
      <c r="SD58" s="251"/>
      <c r="SE58" s="251"/>
      <c r="SF58" s="251"/>
      <c r="SG58" s="251"/>
      <c r="SH58" s="251"/>
      <c r="SI58" s="251"/>
      <c r="SJ58" s="251"/>
      <c r="SK58" s="251"/>
      <c r="SL58" s="251"/>
      <c r="SM58" s="251"/>
      <c r="SN58" s="251"/>
      <c r="SO58" s="251"/>
      <c r="SP58" s="251"/>
      <c r="SQ58" s="251"/>
      <c r="SR58" s="251"/>
      <c r="SS58" s="251"/>
      <c r="ST58" s="251"/>
      <c r="SU58" s="251"/>
      <c r="SV58" s="251"/>
      <c r="SW58" s="251"/>
      <c r="SX58" s="251"/>
      <c r="SY58" s="251"/>
      <c r="SZ58" s="251"/>
      <c r="TA58" s="251"/>
      <c r="TB58" s="251"/>
      <c r="TC58" s="251"/>
      <c r="TD58" s="251"/>
      <c r="TE58" s="251"/>
      <c r="TF58" s="251"/>
      <c r="TG58" s="251"/>
      <c r="TH58" s="251"/>
      <c r="TI58" s="251"/>
      <c r="TJ58" s="251"/>
      <c r="TK58" s="251"/>
      <c r="TL58" s="251"/>
      <c r="TM58" s="251"/>
      <c r="TN58" s="251"/>
      <c r="TO58" s="251"/>
      <c r="TP58" s="251"/>
      <c r="TQ58" s="251"/>
      <c r="TR58" s="251"/>
      <c r="TS58" s="251"/>
      <c r="TT58" s="251"/>
      <c r="TU58" s="251"/>
      <c r="TV58" s="251"/>
      <c r="TW58" s="251"/>
      <c r="TX58" s="251"/>
      <c r="TY58" s="251"/>
      <c r="TZ58" s="251"/>
      <c r="UA58" s="251"/>
      <c r="UB58" s="251"/>
      <c r="UC58" s="251"/>
      <c r="UD58" s="251"/>
      <c r="UE58" s="251"/>
      <c r="UF58" s="251"/>
      <c r="UG58" s="252"/>
    </row>
    <row r="59" spans="1:553" s="236" customFormat="1" ht="27.75" customHeight="1">
      <c r="A59" s="356"/>
      <c r="B59" s="428"/>
      <c r="C59" s="1404" t="s">
        <v>64</v>
      </c>
      <c r="D59" s="1389"/>
      <c r="E59" s="1389"/>
      <c r="F59" s="1390"/>
      <c r="G59" s="386"/>
      <c r="H59" s="370"/>
      <c r="I59" s="1056"/>
      <c r="J59" s="368"/>
      <c r="K59" s="371"/>
      <c r="L59" s="366"/>
      <c r="M59" s="356"/>
      <c r="N59" s="356"/>
      <c r="O59" s="356"/>
      <c r="P59" s="356"/>
      <c r="Q59" s="610"/>
      <c r="R59" s="1226"/>
      <c r="S59" s="1047"/>
      <c r="T59" s="303"/>
      <c r="U59" s="306"/>
      <c r="V59" s="307"/>
      <c r="W59" s="306"/>
      <c r="X59" s="306"/>
      <c r="Y59" s="306"/>
      <c r="Z59" s="306"/>
      <c r="AA59" s="306"/>
      <c r="AB59" s="306"/>
      <c r="AC59" s="454"/>
      <c r="AD59" s="454"/>
      <c r="AE59" s="454"/>
      <c r="AF59" s="454"/>
      <c r="AG59" s="454"/>
      <c r="AH59" s="454"/>
      <c r="AI59" s="454"/>
      <c r="AJ59" s="454"/>
      <c r="AK59" s="455"/>
      <c r="AL59" s="345"/>
      <c r="AM59" s="249"/>
      <c r="AN59" s="249"/>
      <c r="AO59" s="249"/>
      <c r="AP59" s="249"/>
      <c r="AQ59" s="249"/>
      <c r="AR59" s="249"/>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1"/>
      <c r="IK59" s="251"/>
      <c r="IL59" s="251"/>
      <c r="IM59" s="251"/>
      <c r="IN59" s="251"/>
      <c r="IO59" s="251"/>
      <c r="IP59" s="251"/>
      <c r="IQ59" s="251"/>
      <c r="IR59" s="251"/>
      <c r="IS59" s="251"/>
      <c r="IT59" s="251"/>
      <c r="IU59" s="251"/>
      <c r="IV59" s="251"/>
      <c r="IW59" s="251"/>
      <c r="IX59" s="251"/>
      <c r="IY59" s="251"/>
      <c r="IZ59" s="251"/>
      <c r="JA59" s="251"/>
      <c r="JB59" s="251"/>
      <c r="JC59" s="251"/>
      <c r="JD59" s="251"/>
      <c r="JE59" s="251"/>
      <c r="JF59" s="251"/>
      <c r="JG59" s="251"/>
      <c r="JH59" s="251"/>
      <c r="JI59" s="251"/>
      <c r="JJ59" s="251"/>
      <c r="JK59" s="251"/>
      <c r="JL59" s="251"/>
      <c r="JM59" s="251"/>
      <c r="JN59" s="251"/>
      <c r="JO59" s="251"/>
      <c r="JP59" s="251"/>
      <c r="JQ59" s="251"/>
      <c r="JR59" s="251"/>
      <c r="JS59" s="251"/>
      <c r="JT59" s="251"/>
      <c r="JU59" s="251"/>
      <c r="JV59" s="251"/>
      <c r="JW59" s="251"/>
      <c r="JX59" s="251"/>
      <c r="JY59" s="251"/>
      <c r="JZ59" s="251"/>
      <c r="KA59" s="251"/>
      <c r="KB59" s="251"/>
      <c r="KC59" s="251"/>
      <c r="KD59" s="251"/>
      <c r="KE59" s="251"/>
      <c r="KF59" s="251"/>
      <c r="KG59" s="251"/>
      <c r="KH59" s="251"/>
      <c r="KI59" s="251"/>
      <c r="KJ59" s="251"/>
      <c r="KK59" s="251"/>
      <c r="KL59" s="251"/>
      <c r="KM59" s="251"/>
      <c r="KN59" s="251"/>
      <c r="KO59" s="251"/>
      <c r="KP59" s="251"/>
      <c r="KQ59" s="251"/>
      <c r="KR59" s="251"/>
      <c r="KS59" s="251"/>
      <c r="KT59" s="251"/>
      <c r="KU59" s="251"/>
      <c r="KV59" s="251"/>
      <c r="KW59" s="251"/>
      <c r="KX59" s="251"/>
      <c r="KY59" s="251"/>
      <c r="KZ59" s="251"/>
      <c r="LA59" s="251"/>
      <c r="LB59" s="251"/>
      <c r="LC59" s="251"/>
      <c r="LD59" s="251"/>
      <c r="LE59" s="251"/>
      <c r="LF59" s="251"/>
      <c r="LG59" s="251"/>
      <c r="LH59" s="251"/>
      <c r="LI59" s="251"/>
      <c r="LJ59" s="251"/>
      <c r="LK59" s="251"/>
      <c r="LL59" s="251"/>
      <c r="LM59" s="251"/>
      <c r="LN59" s="251"/>
      <c r="LO59" s="251"/>
      <c r="LP59" s="251"/>
      <c r="LQ59" s="251"/>
      <c r="LR59" s="251"/>
      <c r="LS59" s="251"/>
      <c r="LT59" s="251"/>
      <c r="LU59" s="251"/>
      <c r="LV59" s="251"/>
      <c r="LW59" s="251"/>
      <c r="LX59" s="251"/>
      <c r="LY59" s="251"/>
      <c r="LZ59" s="251"/>
      <c r="MA59" s="251"/>
      <c r="MB59" s="251"/>
      <c r="MC59" s="251"/>
      <c r="MD59" s="251"/>
      <c r="ME59" s="251"/>
      <c r="MF59" s="251"/>
      <c r="MG59" s="251"/>
      <c r="MH59" s="251"/>
      <c r="MI59" s="251"/>
      <c r="MJ59" s="251"/>
      <c r="MK59" s="251"/>
      <c r="ML59" s="251"/>
      <c r="MM59" s="251"/>
      <c r="MN59" s="251"/>
      <c r="MO59" s="251"/>
      <c r="MP59" s="251"/>
      <c r="MQ59" s="251"/>
      <c r="MR59" s="251"/>
      <c r="MS59" s="251"/>
      <c r="MT59" s="251"/>
      <c r="MU59" s="251"/>
      <c r="MV59" s="251"/>
      <c r="MW59" s="251"/>
      <c r="MX59" s="251"/>
      <c r="MY59" s="251"/>
      <c r="MZ59" s="251"/>
      <c r="NA59" s="251"/>
      <c r="NB59" s="251"/>
      <c r="NC59" s="251"/>
      <c r="ND59" s="251"/>
      <c r="NE59" s="251"/>
      <c r="NF59" s="251"/>
      <c r="NG59" s="251"/>
      <c r="NH59" s="251"/>
      <c r="NI59" s="251"/>
      <c r="NJ59" s="251"/>
      <c r="NK59" s="251"/>
      <c r="NL59" s="251"/>
      <c r="NM59" s="251"/>
      <c r="NN59" s="251"/>
      <c r="NO59" s="251"/>
      <c r="NP59" s="251"/>
      <c r="NQ59" s="251"/>
      <c r="NR59" s="251"/>
      <c r="NS59" s="251"/>
      <c r="NT59" s="251"/>
      <c r="NU59" s="251"/>
      <c r="NV59" s="251"/>
      <c r="NW59" s="251"/>
      <c r="NX59" s="251"/>
      <c r="NY59" s="251"/>
      <c r="NZ59" s="251"/>
      <c r="OA59" s="251"/>
      <c r="OB59" s="251"/>
      <c r="OC59" s="251"/>
      <c r="OD59" s="251"/>
      <c r="OE59" s="251"/>
      <c r="OF59" s="251"/>
      <c r="OG59" s="251"/>
      <c r="OH59" s="251"/>
      <c r="OI59" s="251"/>
      <c r="OJ59" s="251"/>
      <c r="OK59" s="251"/>
      <c r="OL59" s="251"/>
      <c r="OM59" s="251"/>
      <c r="ON59" s="251"/>
      <c r="OO59" s="251"/>
      <c r="OP59" s="251"/>
      <c r="OQ59" s="251"/>
      <c r="OR59" s="251"/>
      <c r="OS59" s="251"/>
      <c r="OT59" s="251"/>
      <c r="OU59" s="251"/>
      <c r="OV59" s="251"/>
      <c r="OW59" s="251"/>
      <c r="OX59" s="251"/>
      <c r="OY59" s="251"/>
      <c r="OZ59" s="251"/>
      <c r="PA59" s="251"/>
      <c r="PB59" s="251"/>
      <c r="PC59" s="251"/>
      <c r="PD59" s="251"/>
      <c r="PE59" s="251"/>
      <c r="PF59" s="251"/>
      <c r="PG59" s="251"/>
      <c r="PH59" s="251"/>
      <c r="PI59" s="251"/>
      <c r="PJ59" s="251"/>
      <c r="PK59" s="251"/>
      <c r="PL59" s="251"/>
      <c r="PM59" s="251"/>
      <c r="PN59" s="251"/>
      <c r="PO59" s="251"/>
      <c r="PP59" s="251"/>
      <c r="PQ59" s="251"/>
      <c r="PR59" s="251"/>
      <c r="PS59" s="251"/>
      <c r="PT59" s="251"/>
      <c r="PU59" s="251"/>
      <c r="PV59" s="251"/>
      <c r="PW59" s="251"/>
      <c r="PX59" s="251"/>
      <c r="PY59" s="251"/>
      <c r="PZ59" s="251"/>
      <c r="QA59" s="251"/>
      <c r="QB59" s="251"/>
      <c r="QC59" s="251"/>
      <c r="QD59" s="251"/>
      <c r="QE59" s="251"/>
      <c r="QF59" s="251"/>
      <c r="QG59" s="251"/>
      <c r="QH59" s="251"/>
      <c r="QI59" s="251"/>
      <c r="QJ59" s="251"/>
      <c r="QK59" s="251"/>
      <c r="QL59" s="251"/>
      <c r="QM59" s="251"/>
      <c r="QN59" s="251"/>
      <c r="QO59" s="251"/>
      <c r="QP59" s="251"/>
      <c r="QQ59" s="251"/>
      <c r="QR59" s="251"/>
      <c r="QS59" s="251"/>
      <c r="QT59" s="251"/>
      <c r="QU59" s="251"/>
      <c r="QV59" s="251"/>
      <c r="QW59" s="251"/>
      <c r="QX59" s="251"/>
      <c r="QY59" s="251"/>
      <c r="QZ59" s="251"/>
      <c r="RA59" s="251"/>
      <c r="RB59" s="251"/>
      <c r="RC59" s="251"/>
      <c r="RD59" s="251"/>
      <c r="RE59" s="251"/>
      <c r="RF59" s="251"/>
      <c r="RG59" s="251"/>
      <c r="RH59" s="251"/>
      <c r="RI59" s="251"/>
      <c r="RJ59" s="251"/>
      <c r="RK59" s="251"/>
      <c r="RL59" s="251"/>
      <c r="RM59" s="251"/>
      <c r="RN59" s="251"/>
      <c r="RO59" s="251"/>
      <c r="RP59" s="251"/>
      <c r="RQ59" s="251"/>
      <c r="RR59" s="251"/>
      <c r="RS59" s="251"/>
      <c r="RT59" s="251"/>
      <c r="RU59" s="251"/>
      <c r="RV59" s="251"/>
      <c r="RW59" s="251"/>
      <c r="RX59" s="251"/>
      <c r="RY59" s="251"/>
      <c r="RZ59" s="251"/>
      <c r="SA59" s="251"/>
      <c r="SB59" s="251"/>
      <c r="SC59" s="251"/>
      <c r="SD59" s="251"/>
      <c r="SE59" s="251"/>
      <c r="SF59" s="251"/>
      <c r="SG59" s="251"/>
      <c r="SH59" s="251"/>
      <c r="SI59" s="251"/>
      <c r="SJ59" s="251"/>
      <c r="SK59" s="251"/>
      <c r="SL59" s="251"/>
      <c r="SM59" s="251"/>
      <c r="SN59" s="251"/>
      <c r="SO59" s="251"/>
      <c r="SP59" s="251"/>
      <c r="SQ59" s="251"/>
      <c r="SR59" s="251"/>
      <c r="SS59" s="251"/>
      <c r="ST59" s="251"/>
      <c r="SU59" s="251"/>
      <c r="SV59" s="251"/>
      <c r="SW59" s="251"/>
      <c r="SX59" s="251"/>
      <c r="SY59" s="251"/>
      <c r="SZ59" s="251"/>
      <c r="TA59" s="251"/>
      <c r="TB59" s="251"/>
      <c r="TC59" s="251"/>
      <c r="TD59" s="251"/>
      <c r="TE59" s="251"/>
      <c r="TF59" s="251"/>
      <c r="TG59" s="251"/>
      <c r="TH59" s="251"/>
      <c r="TI59" s="251"/>
      <c r="TJ59" s="251"/>
      <c r="TK59" s="251"/>
      <c r="TL59" s="251"/>
      <c r="TM59" s="251"/>
      <c r="TN59" s="251"/>
      <c r="TO59" s="251"/>
      <c r="TP59" s="251"/>
      <c r="TQ59" s="251"/>
      <c r="TR59" s="251"/>
      <c r="TS59" s="251"/>
      <c r="TT59" s="251"/>
      <c r="TU59" s="251"/>
      <c r="TV59" s="251"/>
      <c r="TW59" s="251"/>
      <c r="TX59" s="251"/>
      <c r="TY59" s="251"/>
      <c r="TZ59" s="251"/>
      <c r="UA59" s="251"/>
      <c r="UB59" s="251"/>
      <c r="UC59" s="251"/>
      <c r="UD59" s="251"/>
      <c r="UE59" s="251"/>
      <c r="UF59" s="251"/>
      <c r="UG59" s="252"/>
    </row>
    <row r="60" spans="1:553" s="236" customFormat="1" ht="27.75" customHeight="1">
      <c r="A60" s="356" t="s">
        <v>66</v>
      </c>
      <c r="B60" s="356"/>
      <c r="C60" s="1413" t="s">
        <v>67</v>
      </c>
      <c r="D60" s="1389"/>
      <c r="E60" s="1389"/>
      <c r="F60" s="1390"/>
      <c r="G60" s="356"/>
      <c r="H60" s="359"/>
      <c r="I60" s="359"/>
      <c r="J60" s="357"/>
      <c r="K60" s="364"/>
      <c r="L60" s="356"/>
      <c r="M60" s="356"/>
      <c r="N60" s="356"/>
      <c r="O60" s="356"/>
      <c r="P60" s="356"/>
      <c r="Q60" s="1224"/>
      <c r="R60" s="421"/>
      <c r="S60" s="1047"/>
      <c r="T60" s="303"/>
      <c r="U60" s="306"/>
      <c r="V60" s="307"/>
      <c r="W60" s="306"/>
      <c r="X60" s="306"/>
      <c r="Y60" s="306"/>
      <c r="Z60" s="306"/>
      <c r="AA60" s="306"/>
      <c r="AB60" s="306"/>
      <c r="AC60" s="454"/>
      <c r="AD60" s="454"/>
      <c r="AE60" s="454"/>
      <c r="AF60" s="454"/>
      <c r="AG60" s="454"/>
      <c r="AH60" s="454"/>
      <c r="AI60" s="454"/>
      <c r="AJ60" s="454"/>
      <c r="AK60" s="455"/>
      <c r="AL60" s="345"/>
      <c r="AM60" s="249"/>
      <c r="AN60" s="249"/>
      <c r="AO60" s="249"/>
      <c r="AP60" s="249"/>
      <c r="AQ60" s="249"/>
      <c r="AR60" s="249"/>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1"/>
      <c r="IK60" s="251"/>
      <c r="IL60" s="251"/>
      <c r="IM60" s="251"/>
      <c r="IN60" s="251"/>
      <c r="IO60" s="251"/>
      <c r="IP60" s="251"/>
      <c r="IQ60" s="251"/>
      <c r="IR60" s="251"/>
      <c r="IS60" s="251"/>
      <c r="IT60" s="251"/>
      <c r="IU60" s="251"/>
      <c r="IV60" s="251"/>
      <c r="IW60" s="251"/>
      <c r="IX60" s="251"/>
      <c r="IY60" s="251"/>
      <c r="IZ60" s="251"/>
      <c r="JA60" s="251"/>
      <c r="JB60" s="251"/>
      <c r="JC60" s="251"/>
      <c r="JD60" s="251"/>
      <c r="JE60" s="251"/>
      <c r="JF60" s="251"/>
      <c r="JG60" s="251"/>
      <c r="JH60" s="251"/>
      <c r="JI60" s="251"/>
      <c r="JJ60" s="251"/>
      <c r="JK60" s="251"/>
      <c r="JL60" s="251"/>
      <c r="JM60" s="251"/>
      <c r="JN60" s="251"/>
      <c r="JO60" s="251"/>
      <c r="JP60" s="251"/>
      <c r="JQ60" s="251"/>
      <c r="JR60" s="251"/>
      <c r="JS60" s="251"/>
      <c r="JT60" s="251"/>
      <c r="JU60" s="251"/>
      <c r="JV60" s="251"/>
      <c r="JW60" s="251"/>
      <c r="JX60" s="251"/>
      <c r="JY60" s="251"/>
      <c r="JZ60" s="251"/>
      <c r="KA60" s="251"/>
      <c r="KB60" s="251"/>
      <c r="KC60" s="251"/>
      <c r="KD60" s="251"/>
      <c r="KE60" s="251"/>
      <c r="KF60" s="251"/>
      <c r="KG60" s="251"/>
      <c r="KH60" s="251"/>
      <c r="KI60" s="251"/>
      <c r="KJ60" s="251"/>
      <c r="KK60" s="251"/>
      <c r="KL60" s="251"/>
      <c r="KM60" s="251"/>
      <c r="KN60" s="251"/>
      <c r="KO60" s="251"/>
      <c r="KP60" s="251"/>
      <c r="KQ60" s="251"/>
      <c r="KR60" s="251"/>
      <c r="KS60" s="251"/>
      <c r="KT60" s="251"/>
      <c r="KU60" s="251"/>
      <c r="KV60" s="251"/>
      <c r="KW60" s="251"/>
      <c r="KX60" s="251"/>
      <c r="KY60" s="251"/>
      <c r="KZ60" s="251"/>
      <c r="LA60" s="251"/>
      <c r="LB60" s="251"/>
      <c r="LC60" s="251"/>
      <c r="LD60" s="251"/>
      <c r="LE60" s="251"/>
      <c r="LF60" s="251"/>
      <c r="LG60" s="251"/>
      <c r="LH60" s="251"/>
      <c r="LI60" s="251"/>
      <c r="LJ60" s="251"/>
      <c r="LK60" s="251"/>
      <c r="LL60" s="251"/>
      <c r="LM60" s="251"/>
      <c r="LN60" s="251"/>
      <c r="LO60" s="251"/>
      <c r="LP60" s="251"/>
      <c r="LQ60" s="251"/>
      <c r="LR60" s="251"/>
      <c r="LS60" s="251"/>
      <c r="LT60" s="251"/>
      <c r="LU60" s="251"/>
      <c r="LV60" s="251"/>
      <c r="LW60" s="251"/>
      <c r="LX60" s="251"/>
      <c r="LY60" s="251"/>
      <c r="LZ60" s="251"/>
      <c r="MA60" s="251"/>
      <c r="MB60" s="251"/>
      <c r="MC60" s="251"/>
      <c r="MD60" s="251"/>
      <c r="ME60" s="251"/>
      <c r="MF60" s="251"/>
      <c r="MG60" s="251"/>
      <c r="MH60" s="251"/>
      <c r="MI60" s="251"/>
      <c r="MJ60" s="251"/>
      <c r="MK60" s="251"/>
      <c r="ML60" s="251"/>
      <c r="MM60" s="251"/>
      <c r="MN60" s="251"/>
      <c r="MO60" s="251"/>
      <c r="MP60" s="251"/>
      <c r="MQ60" s="251"/>
      <c r="MR60" s="251"/>
      <c r="MS60" s="251"/>
      <c r="MT60" s="251"/>
      <c r="MU60" s="251"/>
      <c r="MV60" s="251"/>
      <c r="MW60" s="251"/>
      <c r="MX60" s="251"/>
      <c r="MY60" s="251"/>
      <c r="MZ60" s="251"/>
      <c r="NA60" s="251"/>
      <c r="NB60" s="251"/>
      <c r="NC60" s="251"/>
      <c r="ND60" s="251"/>
      <c r="NE60" s="251"/>
      <c r="NF60" s="251"/>
      <c r="NG60" s="251"/>
      <c r="NH60" s="251"/>
      <c r="NI60" s="251"/>
      <c r="NJ60" s="251"/>
      <c r="NK60" s="251"/>
      <c r="NL60" s="251"/>
      <c r="NM60" s="251"/>
      <c r="NN60" s="251"/>
      <c r="NO60" s="251"/>
      <c r="NP60" s="251"/>
      <c r="NQ60" s="251"/>
      <c r="NR60" s="251"/>
      <c r="NS60" s="251"/>
      <c r="NT60" s="251"/>
      <c r="NU60" s="251"/>
      <c r="NV60" s="251"/>
      <c r="NW60" s="251"/>
      <c r="NX60" s="251"/>
      <c r="NY60" s="251"/>
      <c r="NZ60" s="251"/>
      <c r="OA60" s="251"/>
      <c r="OB60" s="251"/>
      <c r="OC60" s="251"/>
      <c r="OD60" s="251"/>
      <c r="OE60" s="251"/>
      <c r="OF60" s="251"/>
      <c r="OG60" s="251"/>
      <c r="OH60" s="251"/>
      <c r="OI60" s="251"/>
      <c r="OJ60" s="251"/>
      <c r="OK60" s="251"/>
      <c r="OL60" s="251"/>
      <c r="OM60" s="251"/>
      <c r="ON60" s="251"/>
      <c r="OO60" s="251"/>
      <c r="OP60" s="251"/>
      <c r="OQ60" s="251"/>
      <c r="OR60" s="251"/>
      <c r="OS60" s="251"/>
      <c r="OT60" s="251"/>
      <c r="OU60" s="251"/>
      <c r="OV60" s="251"/>
      <c r="OW60" s="251"/>
      <c r="OX60" s="251"/>
      <c r="OY60" s="251"/>
      <c r="OZ60" s="251"/>
      <c r="PA60" s="251"/>
      <c r="PB60" s="251"/>
      <c r="PC60" s="251"/>
      <c r="PD60" s="251"/>
      <c r="PE60" s="251"/>
      <c r="PF60" s="251"/>
      <c r="PG60" s="251"/>
      <c r="PH60" s="251"/>
      <c r="PI60" s="251"/>
      <c r="PJ60" s="251"/>
      <c r="PK60" s="251"/>
      <c r="PL60" s="251"/>
      <c r="PM60" s="251"/>
      <c r="PN60" s="251"/>
      <c r="PO60" s="251"/>
      <c r="PP60" s="251"/>
      <c r="PQ60" s="251"/>
      <c r="PR60" s="251"/>
      <c r="PS60" s="251"/>
      <c r="PT60" s="251"/>
      <c r="PU60" s="251"/>
      <c r="PV60" s="251"/>
      <c r="PW60" s="251"/>
      <c r="PX60" s="251"/>
      <c r="PY60" s="251"/>
      <c r="PZ60" s="251"/>
      <c r="QA60" s="251"/>
      <c r="QB60" s="251"/>
      <c r="QC60" s="251"/>
      <c r="QD60" s="251"/>
      <c r="QE60" s="251"/>
      <c r="QF60" s="251"/>
      <c r="QG60" s="251"/>
      <c r="QH60" s="251"/>
      <c r="QI60" s="251"/>
      <c r="QJ60" s="251"/>
      <c r="QK60" s="251"/>
      <c r="QL60" s="251"/>
      <c r="QM60" s="251"/>
      <c r="QN60" s="251"/>
      <c r="QO60" s="251"/>
      <c r="QP60" s="251"/>
      <c r="QQ60" s="251"/>
      <c r="QR60" s="251"/>
      <c r="QS60" s="251"/>
      <c r="QT60" s="251"/>
      <c r="QU60" s="251"/>
      <c r="QV60" s="251"/>
      <c r="QW60" s="251"/>
      <c r="QX60" s="251"/>
      <c r="QY60" s="251"/>
      <c r="QZ60" s="251"/>
      <c r="RA60" s="251"/>
      <c r="RB60" s="251"/>
      <c r="RC60" s="251"/>
      <c r="RD60" s="251"/>
      <c r="RE60" s="251"/>
      <c r="RF60" s="251"/>
      <c r="RG60" s="251"/>
      <c r="RH60" s="251"/>
      <c r="RI60" s="251"/>
      <c r="RJ60" s="251"/>
      <c r="RK60" s="251"/>
      <c r="RL60" s="251"/>
      <c r="RM60" s="251"/>
      <c r="RN60" s="251"/>
      <c r="RO60" s="251"/>
      <c r="RP60" s="251"/>
      <c r="RQ60" s="251"/>
      <c r="RR60" s="251"/>
      <c r="RS60" s="251"/>
      <c r="RT60" s="251"/>
      <c r="RU60" s="251"/>
      <c r="RV60" s="251"/>
      <c r="RW60" s="251"/>
      <c r="RX60" s="251"/>
      <c r="RY60" s="251"/>
      <c r="RZ60" s="251"/>
      <c r="SA60" s="251"/>
      <c r="SB60" s="251"/>
      <c r="SC60" s="251"/>
      <c r="SD60" s="251"/>
      <c r="SE60" s="251"/>
      <c r="SF60" s="251"/>
      <c r="SG60" s="251"/>
      <c r="SH60" s="251"/>
      <c r="SI60" s="251"/>
      <c r="SJ60" s="251"/>
      <c r="SK60" s="251"/>
      <c r="SL60" s="251"/>
      <c r="SM60" s="251"/>
      <c r="SN60" s="251"/>
      <c r="SO60" s="251"/>
      <c r="SP60" s="251"/>
      <c r="SQ60" s="251"/>
      <c r="SR60" s="251"/>
      <c r="SS60" s="251"/>
      <c r="ST60" s="251"/>
      <c r="SU60" s="251"/>
      <c r="SV60" s="251"/>
      <c r="SW60" s="251"/>
      <c r="SX60" s="251"/>
      <c r="SY60" s="251"/>
      <c r="SZ60" s="251"/>
      <c r="TA60" s="251"/>
      <c r="TB60" s="251"/>
      <c r="TC60" s="251"/>
      <c r="TD60" s="251"/>
      <c r="TE60" s="251"/>
      <c r="TF60" s="251"/>
      <c r="TG60" s="251"/>
      <c r="TH60" s="251"/>
      <c r="TI60" s="251"/>
      <c r="TJ60" s="251"/>
      <c r="TK60" s="251"/>
      <c r="TL60" s="251"/>
      <c r="TM60" s="251"/>
      <c r="TN60" s="251"/>
      <c r="TO60" s="251"/>
      <c r="TP60" s="251"/>
      <c r="TQ60" s="251"/>
      <c r="TR60" s="251"/>
      <c r="TS60" s="251"/>
      <c r="TT60" s="251"/>
      <c r="TU60" s="251"/>
      <c r="TV60" s="251"/>
      <c r="TW60" s="251"/>
      <c r="TX60" s="251"/>
      <c r="TY60" s="251"/>
      <c r="TZ60" s="251"/>
      <c r="UA60" s="251"/>
      <c r="UB60" s="251"/>
      <c r="UC60" s="251"/>
      <c r="UD60" s="251"/>
      <c r="UE60" s="251"/>
      <c r="UF60" s="251"/>
      <c r="UG60" s="252"/>
    </row>
    <row r="61" spans="1:553" s="236" customFormat="1" ht="128.25" customHeight="1">
      <c r="A61" s="356" t="s">
        <v>15</v>
      </c>
      <c r="B61" s="366"/>
      <c r="C61" s="1414" t="s">
        <v>818</v>
      </c>
      <c r="D61" s="1389"/>
      <c r="E61" s="1389"/>
      <c r="F61" s="1390"/>
      <c r="G61" s="366" t="s">
        <v>68</v>
      </c>
      <c r="H61" s="370"/>
      <c r="I61" s="370">
        <v>1</v>
      </c>
      <c r="J61" s="368"/>
      <c r="K61" s="371"/>
      <c r="L61" s="366"/>
      <c r="M61" s="366"/>
      <c r="N61" s="366"/>
      <c r="O61" s="366"/>
      <c r="P61" s="372"/>
      <c r="Q61" s="1134"/>
      <c r="R61" s="421" t="s">
        <v>1042</v>
      </c>
      <c r="S61" s="1047"/>
      <c r="T61" s="303"/>
      <c r="U61" s="306"/>
      <c r="V61" s="307"/>
      <c r="W61" s="306"/>
      <c r="X61" s="306"/>
      <c r="Y61" s="306"/>
      <c r="Z61" s="306"/>
      <c r="AA61" s="306"/>
      <c r="AB61" s="306"/>
      <c r="AC61" s="449"/>
      <c r="AD61" s="449"/>
      <c r="AE61" s="449"/>
      <c r="AF61" s="449"/>
      <c r="AG61" s="449"/>
      <c r="AH61" s="449"/>
      <c r="AI61" s="449"/>
      <c r="AJ61" s="449"/>
      <c r="AK61" s="452"/>
      <c r="AL61" s="242"/>
      <c r="AM61" s="241"/>
      <c r="AN61" s="241"/>
      <c r="AO61" s="241"/>
      <c r="AP61" s="241"/>
      <c r="AQ61" s="241"/>
      <c r="AR61" s="241"/>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9"/>
      <c r="BQ61" s="239"/>
      <c r="BR61" s="239"/>
      <c r="BS61" s="239"/>
      <c r="BT61" s="239"/>
      <c r="BU61" s="239"/>
      <c r="BV61" s="239"/>
      <c r="BW61" s="239"/>
      <c r="BX61" s="239"/>
      <c r="BY61" s="239"/>
      <c r="BZ61" s="239"/>
      <c r="CA61" s="239"/>
      <c r="CB61" s="239"/>
      <c r="CC61" s="239"/>
      <c r="CD61" s="239"/>
      <c r="CE61" s="239"/>
      <c r="CF61" s="239"/>
      <c r="CG61" s="239"/>
      <c r="CH61" s="239"/>
      <c r="CI61" s="239"/>
      <c r="CJ61" s="239"/>
      <c r="CK61" s="239"/>
      <c r="CL61" s="239"/>
      <c r="CM61" s="239"/>
      <c r="CN61" s="239"/>
      <c r="CO61" s="239"/>
      <c r="CP61" s="239"/>
      <c r="CQ61" s="239"/>
      <c r="CR61" s="239"/>
      <c r="CS61" s="239"/>
      <c r="CT61" s="239"/>
      <c r="CU61" s="239"/>
      <c r="CV61" s="239"/>
      <c r="CW61" s="239"/>
      <c r="CX61" s="239"/>
      <c r="CY61" s="239"/>
      <c r="CZ61" s="239"/>
      <c r="DA61" s="239"/>
      <c r="DB61" s="239"/>
      <c r="DC61" s="239"/>
      <c r="DD61" s="239"/>
      <c r="DE61" s="239"/>
      <c r="DF61" s="239"/>
      <c r="DG61" s="239"/>
      <c r="DH61" s="239"/>
      <c r="DI61" s="239"/>
      <c r="DJ61" s="239"/>
      <c r="DK61" s="239"/>
      <c r="DL61" s="239"/>
      <c r="DM61" s="239"/>
      <c r="DN61" s="239"/>
      <c r="DO61" s="239"/>
      <c r="DP61" s="239"/>
      <c r="DQ61" s="239"/>
      <c r="DR61" s="239"/>
      <c r="DS61" s="239"/>
      <c r="DT61" s="239"/>
      <c r="DU61" s="239"/>
      <c r="DV61" s="239"/>
      <c r="DW61" s="239"/>
      <c r="DX61" s="239"/>
      <c r="DY61" s="239"/>
      <c r="DZ61" s="239"/>
      <c r="EA61" s="239"/>
      <c r="EB61" s="239"/>
      <c r="EC61" s="239"/>
      <c r="ED61" s="239"/>
      <c r="EE61" s="239"/>
      <c r="EF61" s="239"/>
      <c r="EG61" s="239"/>
      <c r="EH61" s="239"/>
      <c r="EI61" s="239"/>
      <c r="EJ61" s="239"/>
      <c r="EK61" s="239"/>
      <c r="EL61" s="239"/>
      <c r="EM61" s="239"/>
      <c r="EN61" s="239"/>
      <c r="EO61" s="239"/>
      <c r="EP61" s="239"/>
      <c r="EQ61" s="239"/>
      <c r="ER61" s="239"/>
      <c r="ES61" s="239"/>
      <c r="ET61" s="239"/>
      <c r="EU61" s="239"/>
      <c r="EV61" s="239"/>
      <c r="EW61" s="239"/>
      <c r="EX61" s="239"/>
      <c r="EY61" s="239"/>
      <c r="EZ61" s="239"/>
      <c r="FA61" s="239"/>
      <c r="FB61" s="239"/>
      <c r="FC61" s="239"/>
      <c r="FD61" s="239"/>
      <c r="FE61" s="239"/>
      <c r="FF61" s="239"/>
      <c r="FG61" s="239"/>
      <c r="FH61" s="239"/>
      <c r="FI61" s="239"/>
      <c r="FJ61" s="239"/>
      <c r="FK61" s="239"/>
      <c r="FL61" s="239"/>
      <c r="FM61" s="239"/>
      <c r="FN61" s="239"/>
      <c r="FO61" s="239"/>
      <c r="FP61" s="239"/>
      <c r="FQ61" s="239"/>
      <c r="FR61" s="239"/>
      <c r="FS61" s="239"/>
      <c r="FT61" s="239"/>
      <c r="FU61" s="239"/>
      <c r="FV61" s="239"/>
      <c r="FW61" s="239"/>
      <c r="FX61" s="239"/>
      <c r="FY61" s="239"/>
      <c r="FZ61" s="239"/>
      <c r="GA61" s="239"/>
      <c r="GB61" s="239"/>
      <c r="GC61" s="239"/>
      <c r="GD61" s="239"/>
      <c r="GE61" s="239"/>
      <c r="GF61" s="239"/>
      <c r="GG61" s="239"/>
      <c r="GH61" s="239"/>
      <c r="GI61" s="239"/>
      <c r="GJ61" s="239"/>
      <c r="GK61" s="239"/>
      <c r="GL61" s="239"/>
      <c r="GM61" s="239"/>
      <c r="GN61" s="239"/>
      <c r="GO61" s="239"/>
      <c r="GP61" s="239"/>
      <c r="GQ61" s="239"/>
      <c r="GR61" s="239"/>
      <c r="GS61" s="239"/>
      <c r="GT61" s="239"/>
      <c r="GU61" s="239"/>
      <c r="GV61" s="239"/>
      <c r="GW61" s="239"/>
      <c r="GX61" s="239"/>
      <c r="GY61" s="239"/>
      <c r="GZ61" s="239"/>
      <c r="HA61" s="239"/>
      <c r="HB61" s="239"/>
      <c r="HC61" s="239"/>
      <c r="HD61" s="239"/>
      <c r="HE61" s="239"/>
      <c r="HF61" s="239"/>
      <c r="HG61" s="239"/>
      <c r="HH61" s="239"/>
      <c r="HI61" s="239"/>
      <c r="HJ61" s="239"/>
      <c r="HK61" s="239"/>
      <c r="HL61" s="239"/>
      <c r="HM61" s="239"/>
      <c r="HN61" s="239"/>
      <c r="HO61" s="239"/>
      <c r="HP61" s="239"/>
      <c r="HQ61" s="239"/>
      <c r="HR61" s="239"/>
      <c r="HS61" s="239"/>
      <c r="HT61" s="239"/>
      <c r="HU61" s="239"/>
      <c r="HV61" s="239"/>
      <c r="HW61" s="239"/>
      <c r="HX61" s="239"/>
      <c r="HY61" s="239"/>
      <c r="HZ61" s="239"/>
      <c r="IA61" s="239"/>
      <c r="IB61" s="239"/>
      <c r="IC61" s="239"/>
      <c r="ID61" s="239"/>
      <c r="IE61" s="239"/>
      <c r="IF61" s="239"/>
      <c r="IG61" s="239"/>
      <c r="IH61" s="239"/>
      <c r="II61" s="239"/>
      <c r="IJ61" s="239"/>
      <c r="IK61" s="239"/>
      <c r="IL61" s="239"/>
      <c r="IM61" s="239"/>
      <c r="IN61" s="239"/>
      <c r="IO61" s="239"/>
      <c r="IP61" s="239"/>
      <c r="IQ61" s="239"/>
      <c r="IR61" s="239"/>
      <c r="IS61" s="239"/>
      <c r="IT61" s="239"/>
      <c r="IU61" s="239"/>
      <c r="IV61" s="239"/>
      <c r="IW61" s="239"/>
      <c r="IX61" s="239"/>
      <c r="IY61" s="239"/>
      <c r="IZ61" s="239"/>
      <c r="JA61" s="239"/>
      <c r="JB61" s="239"/>
      <c r="JC61" s="239"/>
      <c r="JD61" s="239"/>
      <c r="JE61" s="239"/>
      <c r="JF61" s="239"/>
      <c r="JG61" s="239"/>
      <c r="JH61" s="239"/>
      <c r="JI61" s="239"/>
      <c r="JJ61" s="239"/>
      <c r="JK61" s="239"/>
      <c r="JL61" s="239"/>
      <c r="JM61" s="239"/>
      <c r="JN61" s="239"/>
      <c r="JO61" s="239"/>
      <c r="JP61" s="239"/>
      <c r="JQ61" s="239"/>
      <c r="JR61" s="239"/>
      <c r="JS61" s="239"/>
      <c r="JT61" s="239"/>
      <c r="JU61" s="239"/>
      <c r="JV61" s="239"/>
      <c r="JW61" s="239"/>
      <c r="JX61" s="239"/>
      <c r="JY61" s="239"/>
      <c r="JZ61" s="239"/>
      <c r="KA61" s="239"/>
      <c r="KB61" s="239"/>
      <c r="KC61" s="239"/>
      <c r="KD61" s="239"/>
      <c r="KE61" s="239"/>
      <c r="KF61" s="239"/>
      <c r="KG61" s="239"/>
      <c r="KH61" s="239"/>
      <c r="KI61" s="239"/>
      <c r="KJ61" s="239"/>
      <c r="KK61" s="239"/>
      <c r="KL61" s="239"/>
      <c r="KM61" s="239"/>
      <c r="KN61" s="239"/>
      <c r="KO61" s="239"/>
      <c r="KP61" s="239"/>
      <c r="KQ61" s="239"/>
      <c r="KR61" s="239"/>
      <c r="KS61" s="239"/>
      <c r="KT61" s="239"/>
      <c r="KU61" s="239"/>
      <c r="KV61" s="239"/>
      <c r="KW61" s="239"/>
      <c r="KX61" s="239"/>
      <c r="KY61" s="239"/>
      <c r="KZ61" s="239"/>
      <c r="LA61" s="239"/>
      <c r="LB61" s="239"/>
      <c r="LC61" s="239"/>
      <c r="LD61" s="239"/>
      <c r="LE61" s="239"/>
      <c r="LF61" s="239"/>
      <c r="LG61" s="239"/>
      <c r="LH61" s="239"/>
      <c r="LI61" s="239"/>
      <c r="LJ61" s="239"/>
      <c r="LK61" s="239"/>
      <c r="LL61" s="239"/>
      <c r="LM61" s="239"/>
      <c r="LN61" s="239"/>
      <c r="LO61" s="239"/>
      <c r="LP61" s="239"/>
      <c r="LQ61" s="239"/>
      <c r="LR61" s="239"/>
      <c r="LS61" s="239"/>
      <c r="LT61" s="239"/>
      <c r="LU61" s="239"/>
      <c r="LV61" s="239"/>
      <c r="LW61" s="239"/>
      <c r="LX61" s="239"/>
      <c r="LY61" s="239"/>
      <c r="LZ61" s="239"/>
      <c r="MA61" s="239"/>
      <c r="MB61" s="239"/>
      <c r="MC61" s="239"/>
      <c r="MD61" s="239"/>
      <c r="ME61" s="239"/>
      <c r="MF61" s="239"/>
      <c r="MG61" s="239"/>
      <c r="MH61" s="239"/>
      <c r="MI61" s="239"/>
      <c r="MJ61" s="239"/>
      <c r="MK61" s="239"/>
      <c r="ML61" s="239"/>
      <c r="MM61" s="239"/>
      <c r="MN61" s="239"/>
      <c r="MO61" s="239"/>
      <c r="MP61" s="239"/>
      <c r="MQ61" s="239"/>
      <c r="MR61" s="239"/>
      <c r="MS61" s="239"/>
      <c r="MT61" s="239"/>
      <c r="MU61" s="239"/>
      <c r="MV61" s="239"/>
      <c r="MW61" s="239"/>
      <c r="MX61" s="239"/>
      <c r="MY61" s="239"/>
      <c r="MZ61" s="239"/>
      <c r="NA61" s="239"/>
      <c r="NB61" s="239"/>
      <c r="NC61" s="239"/>
      <c r="ND61" s="239"/>
      <c r="NE61" s="239"/>
      <c r="NF61" s="239"/>
      <c r="NG61" s="239"/>
      <c r="NH61" s="239"/>
      <c r="NI61" s="239"/>
      <c r="NJ61" s="239"/>
      <c r="NK61" s="239"/>
      <c r="NL61" s="239"/>
      <c r="NM61" s="239"/>
      <c r="NN61" s="239"/>
      <c r="NO61" s="239"/>
      <c r="NP61" s="239"/>
      <c r="NQ61" s="239"/>
      <c r="NR61" s="239"/>
      <c r="NS61" s="239"/>
      <c r="NT61" s="239"/>
      <c r="NU61" s="239"/>
      <c r="NV61" s="239"/>
      <c r="NW61" s="239"/>
      <c r="NX61" s="239"/>
      <c r="NY61" s="239"/>
      <c r="NZ61" s="239"/>
      <c r="OA61" s="239"/>
      <c r="OB61" s="239"/>
      <c r="OC61" s="239"/>
      <c r="OD61" s="239"/>
      <c r="OE61" s="239"/>
      <c r="OF61" s="239"/>
      <c r="OG61" s="239"/>
      <c r="OH61" s="239"/>
      <c r="OI61" s="239"/>
      <c r="OJ61" s="239"/>
      <c r="OK61" s="239"/>
      <c r="OL61" s="239"/>
      <c r="OM61" s="239"/>
      <c r="ON61" s="239"/>
      <c r="OO61" s="239"/>
      <c r="OP61" s="239"/>
      <c r="OQ61" s="239"/>
      <c r="OR61" s="239"/>
      <c r="OS61" s="239"/>
      <c r="OT61" s="239"/>
      <c r="OU61" s="239"/>
      <c r="OV61" s="239"/>
      <c r="OW61" s="239"/>
      <c r="OX61" s="239"/>
      <c r="OY61" s="239"/>
      <c r="OZ61" s="239"/>
      <c r="PA61" s="239"/>
      <c r="PB61" s="239"/>
      <c r="PC61" s="239"/>
      <c r="PD61" s="239"/>
      <c r="PE61" s="239"/>
      <c r="PF61" s="239"/>
      <c r="PG61" s="239"/>
      <c r="PH61" s="239"/>
      <c r="PI61" s="239"/>
      <c r="PJ61" s="239"/>
      <c r="PK61" s="239"/>
      <c r="PL61" s="239"/>
      <c r="PM61" s="239"/>
      <c r="PN61" s="239"/>
      <c r="PO61" s="239"/>
      <c r="PP61" s="239"/>
      <c r="PQ61" s="239"/>
      <c r="PR61" s="239"/>
      <c r="PS61" s="239"/>
      <c r="PT61" s="239"/>
      <c r="PU61" s="239"/>
      <c r="PV61" s="239"/>
      <c r="PW61" s="239"/>
      <c r="PX61" s="239"/>
      <c r="PY61" s="239"/>
      <c r="PZ61" s="239"/>
      <c r="QA61" s="239"/>
      <c r="QB61" s="239"/>
      <c r="QC61" s="239"/>
      <c r="QD61" s="239"/>
      <c r="QE61" s="239"/>
      <c r="QF61" s="239"/>
      <c r="QG61" s="239"/>
      <c r="QH61" s="239"/>
      <c r="QI61" s="239"/>
      <c r="QJ61" s="239"/>
      <c r="QK61" s="239"/>
      <c r="QL61" s="239"/>
      <c r="QM61" s="239"/>
      <c r="QN61" s="239"/>
      <c r="QO61" s="239"/>
      <c r="QP61" s="239"/>
      <c r="QQ61" s="239"/>
      <c r="QR61" s="239"/>
      <c r="QS61" s="239"/>
      <c r="QT61" s="239"/>
      <c r="QU61" s="239"/>
      <c r="QV61" s="239"/>
      <c r="QW61" s="239"/>
      <c r="QX61" s="239"/>
      <c r="QY61" s="239"/>
      <c r="QZ61" s="239"/>
      <c r="RA61" s="239"/>
      <c r="RB61" s="239"/>
      <c r="RC61" s="239"/>
      <c r="RD61" s="239"/>
      <c r="RE61" s="239"/>
      <c r="RF61" s="239"/>
      <c r="RG61" s="239"/>
      <c r="RH61" s="239"/>
      <c r="RI61" s="239"/>
      <c r="RJ61" s="239"/>
      <c r="RK61" s="239"/>
      <c r="RL61" s="239"/>
      <c r="RM61" s="239"/>
      <c r="RN61" s="239"/>
      <c r="RO61" s="239"/>
      <c r="RP61" s="239"/>
      <c r="RQ61" s="239"/>
      <c r="RR61" s="239"/>
      <c r="RS61" s="239"/>
      <c r="RT61" s="239"/>
      <c r="RU61" s="239"/>
      <c r="RV61" s="239"/>
      <c r="RW61" s="239"/>
      <c r="RX61" s="239"/>
      <c r="RY61" s="239"/>
      <c r="RZ61" s="239"/>
      <c r="SA61" s="239"/>
      <c r="SB61" s="239"/>
      <c r="SC61" s="239"/>
      <c r="SD61" s="239"/>
      <c r="SE61" s="239"/>
      <c r="SF61" s="239"/>
      <c r="SG61" s="239"/>
      <c r="SH61" s="239"/>
      <c r="SI61" s="239"/>
      <c r="SJ61" s="239"/>
      <c r="SK61" s="239"/>
      <c r="SL61" s="239"/>
      <c r="SM61" s="239"/>
      <c r="SN61" s="239"/>
      <c r="SO61" s="239"/>
      <c r="SP61" s="239"/>
      <c r="SQ61" s="239"/>
      <c r="SR61" s="239"/>
      <c r="SS61" s="239"/>
      <c r="ST61" s="239"/>
      <c r="SU61" s="239"/>
      <c r="SV61" s="239"/>
      <c r="SW61" s="239"/>
      <c r="SX61" s="239"/>
      <c r="SY61" s="239"/>
      <c r="SZ61" s="239"/>
      <c r="TA61" s="239"/>
      <c r="TB61" s="239"/>
      <c r="TC61" s="239"/>
      <c r="TD61" s="239"/>
      <c r="TE61" s="239"/>
      <c r="TF61" s="239"/>
      <c r="TG61" s="239"/>
      <c r="TH61" s="239"/>
      <c r="TI61" s="239"/>
      <c r="TJ61" s="239"/>
      <c r="TK61" s="239"/>
      <c r="TL61" s="239"/>
      <c r="TM61" s="239"/>
      <c r="TN61" s="239"/>
      <c r="TO61" s="239"/>
      <c r="TP61" s="239"/>
      <c r="TQ61" s="239"/>
      <c r="TR61" s="239"/>
      <c r="TS61" s="239"/>
      <c r="TT61" s="239"/>
      <c r="TU61" s="239"/>
      <c r="TV61" s="239"/>
      <c r="TW61" s="239"/>
      <c r="TX61" s="239"/>
      <c r="TY61" s="239"/>
      <c r="TZ61" s="239"/>
      <c r="UA61" s="239"/>
      <c r="UB61" s="239"/>
      <c r="UC61" s="239"/>
      <c r="UD61" s="239"/>
      <c r="UE61" s="239"/>
      <c r="UF61" s="239"/>
      <c r="UG61" s="240"/>
    </row>
    <row r="62" spans="1:553" s="341" customFormat="1" ht="60" customHeight="1">
      <c r="A62" s="431">
        <v>2</v>
      </c>
      <c r="B62" s="431"/>
      <c r="C62" s="1132" t="s">
        <v>124</v>
      </c>
      <c r="D62" s="1244"/>
      <c r="E62" s="1244"/>
      <c r="F62" s="1245"/>
      <c r="G62" s="431"/>
      <c r="H62" s="432"/>
      <c r="I62" s="432"/>
      <c r="J62" s="983"/>
      <c r="K62" s="433"/>
      <c r="L62" s="459">
        <f>SUM(L63:L184)/2</f>
        <v>1149253459.5176473</v>
      </c>
      <c r="M62" s="431"/>
      <c r="N62" s="431"/>
      <c r="O62" s="431"/>
      <c r="P62" s="431">
        <f>P66+P80+P147+P164+P167+P180</f>
        <v>1149253459.517647</v>
      </c>
      <c r="Q62" s="1053"/>
      <c r="R62" s="914"/>
      <c r="S62" s="435">
        <v>2</v>
      </c>
      <c r="T62" s="436" t="s">
        <v>1315</v>
      </c>
      <c r="U62" s="304">
        <f>H66</f>
        <v>3750.6000000000004</v>
      </c>
      <c r="V62" s="460">
        <f>I66</f>
        <v>3425.0000000000005</v>
      </c>
      <c r="W62" s="304">
        <f>SUM(W63:W79)</f>
        <v>856.59999999999991</v>
      </c>
      <c r="X62" s="304">
        <f>SUM(X63:X79)</f>
        <v>749.7</v>
      </c>
      <c r="Y62" s="304">
        <f>SUM(Y63:Y79)</f>
        <v>0</v>
      </c>
      <c r="Z62" s="304">
        <f t="shared" ref="Z62:AB62" si="14">SUM(Z63:Z79)</f>
        <v>675.3</v>
      </c>
      <c r="AA62" s="304">
        <f t="shared" si="14"/>
        <v>0</v>
      </c>
      <c r="AB62" s="304">
        <f t="shared" si="14"/>
        <v>830.2</v>
      </c>
      <c r="AC62" s="304">
        <f>SUM(AC63:AC79)</f>
        <v>313.2</v>
      </c>
      <c r="AD62" s="437">
        <f>L66</f>
        <v>272380400</v>
      </c>
      <c r="AE62" s="437">
        <f>L80</f>
        <v>482108336.51764703</v>
      </c>
      <c r="AF62" s="437">
        <f>L147</f>
        <v>29310223</v>
      </c>
      <c r="AG62" s="437">
        <f>L164</f>
        <v>6000000</v>
      </c>
      <c r="AH62" s="437">
        <f>L167</f>
        <v>359454500</v>
      </c>
      <c r="AI62" s="437">
        <f>L180</f>
        <v>0</v>
      </c>
      <c r="AJ62" s="437"/>
      <c r="AK62" s="437">
        <f>SUM(AD62:AJ62)</f>
        <v>1149253459.517647</v>
      </c>
      <c r="AL62" s="299"/>
      <c r="AM62" s="254"/>
      <c r="AN62" s="254"/>
      <c r="AO62" s="255"/>
      <c r="AP62" s="255"/>
      <c r="AQ62" s="255"/>
      <c r="AR62" s="255"/>
      <c r="AS62" s="339"/>
      <c r="AT62" s="339"/>
      <c r="AU62" s="339"/>
      <c r="AV62" s="339"/>
      <c r="AW62" s="339"/>
      <c r="AX62" s="339"/>
      <c r="AY62" s="339"/>
      <c r="AZ62" s="339"/>
      <c r="BA62" s="339"/>
      <c r="BB62" s="339"/>
      <c r="BC62" s="339"/>
      <c r="BD62" s="339"/>
      <c r="BE62" s="339"/>
      <c r="BF62" s="339"/>
      <c r="BG62" s="339"/>
      <c r="BH62" s="339"/>
      <c r="BI62" s="339"/>
      <c r="BJ62" s="339"/>
      <c r="BK62" s="339"/>
      <c r="BL62" s="339"/>
      <c r="BM62" s="339"/>
      <c r="BN62" s="339"/>
      <c r="BO62" s="339"/>
      <c r="BP62" s="339"/>
      <c r="BQ62" s="339"/>
      <c r="BR62" s="339"/>
      <c r="BS62" s="339"/>
      <c r="BT62" s="339"/>
      <c r="BU62" s="339"/>
      <c r="BV62" s="339"/>
      <c r="BW62" s="339"/>
      <c r="BX62" s="339"/>
      <c r="BY62" s="339"/>
      <c r="BZ62" s="339"/>
      <c r="CA62" s="339"/>
      <c r="CB62" s="339"/>
      <c r="CC62" s="339"/>
      <c r="CD62" s="339"/>
      <c r="CE62" s="339"/>
      <c r="CF62" s="339"/>
      <c r="CG62" s="339"/>
      <c r="CH62" s="339"/>
      <c r="CI62" s="339"/>
      <c r="CJ62" s="339"/>
      <c r="CK62" s="339"/>
      <c r="CL62" s="339"/>
      <c r="CM62" s="339"/>
      <c r="CN62" s="339"/>
      <c r="CO62" s="339"/>
      <c r="CP62" s="339"/>
      <c r="CQ62" s="339"/>
      <c r="CR62" s="339"/>
      <c r="CS62" s="339"/>
      <c r="CT62" s="339"/>
      <c r="CU62" s="339"/>
      <c r="CV62" s="339"/>
      <c r="CW62" s="339"/>
      <c r="CX62" s="339"/>
      <c r="CY62" s="339"/>
      <c r="CZ62" s="339"/>
      <c r="DA62" s="339"/>
      <c r="DB62" s="339"/>
      <c r="DC62" s="339"/>
      <c r="DD62" s="339"/>
      <c r="DE62" s="339"/>
      <c r="DF62" s="339"/>
      <c r="DG62" s="339"/>
      <c r="DH62" s="339"/>
      <c r="DI62" s="339"/>
      <c r="DJ62" s="339"/>
      <c r="DK62" s="339"/>
      <c r="DL62" s="339"/>
      <c r="DM62" s="339"/>
      <c r="DN62" s="339"/>
      <c r="DO62" s="339"/>
      <c r="DP62" s="339"/>
      <c r="DQ62" s="339"/>
      <c r="DR62" s="339"/>
      <c r="DS62" s="339"/>
      <c r="DT62" s="339"/>
      <c r="DU62" s="339"/>
      <c r="DV62" s="339"/>
      <c r="DW62" s="339"/>
      <c r="DX62" s="339"/>
      <c r="DY62" s="339"/>
      <c r="DZ62" s="339"/>
      <c r="EA62" s="339"/>
      <c r="EB62" s="339"/>
      <c r="EC62" s="339"/>
      <c r="ED62" s="339"/>
      <c r="EE62" s="339"/>
      <c r="EF62" s="339"/>
      <c r="EG62" s="339"/>
      <c r="EH62" s="339"/>
      <c r="EI62" s="339"/>
      <c r="EJ62" s="339"/>
      <c r="EK62" s="339"/>
      <c r="EL62" s="339"/>
      <c r="EM62" s="339"/>
      <c r="EN62" s="339"/>
      <c r="EO62" s="339"/>
      <c r="EP62" s="339"/>
      <c r="EQ62" s="339"/>
      <c r="ER62" s="339"/>
      <c r="ES62" s="339"/>
      <c r="ET62" s="339"/>
      <c r="EU62" s="339"/>
      <c r="EV62" s="339"/>
      <c r="EW62" s="339"/>
      <c r="EX62" s="339"/>
      <c r="EY62" s="339"/>
      <c r="EZ62" s="339"/>
      <c r="FA62" s="339"/>
      <c r="FB62" s="339"/>
      <c r="FC62" s="339"/>
      <c r="FD62" s="339"/>
      <c r="FE62" s="339"/>
      <c r="FF62" s="339"/>
      <c r="FG62" s="339"/>
      <c r="FH62" s="339"/>
      <c r="FI62" s="339"/>
      <c r="FJ62" s="339"/>
      <c r="FK62" s="339"/>
      <c r="FL62" s="339"/>
      <c r="FM62" s="339"/>
      <c r="FN62" s="339"/>
      <c r="FO62" s="339"/>
      <c r="FP62" s="339"/>
      <c r="FQ62" s="339"/>
      <c r="FR62" s="339"/>
      <c r="FS62" s="339"/>
      <c r="FT62" s="339"/>
      <c r="FU62" s="339"/>
      <c r="FV62" s="339"/>
      <c r="FW62" s="339"/>
      <c r="FX62" s="339"/>
      <c r="FY62" s="339"/>
      <c r="FZ62" s="339"/>
      <c r="GA62" s="339"/>
      <c r="GB62" s="339"/>
      <c r="GC62" s="339"/>
      <c r="GD62" s="339"/>
      <c r="GE62" s="339"/>
      <c r="GF62" s="339"/>
      <c r="GG62" s="339"/>
      <c r="GH62" s="339"/>
      <c r="GI62" s="339"/>
      <c r="GJ62" s="339"/>
      <c r="GK62" s="339"/>
      <c r="GL62" s="339"/>
      <c r="GM62" s="339"/>
      <c r="GN62" s="339"/>
      <c r="GO62" s="339"/>
      <c r="GP62" s="339"/>
      <c r="GQ62" s="339"/>
      <c r="GR62" s="339"/>
      <c r="GS62" s="339"/>
      <c r="GT62" s="339"/>
      <c r="GU62" s="339"/>
      <c r="GV62" s="339"/>
      <c r="GW62" s="339"/>
      <c r="GX62" s="339"/>
      <c r="GY62" s="339"/>
      <c r="GZ62" s="339"/>
      <c r="HA62" s="339"/>
      <c r="HB62" s="339"/>
      <c r="HC62" s="339"/>
      <c r="HD62" s="339"/>
      <c r="HE62" s="339"/>
      <c r="HF62" s="339"/>
      <c r="HG62" s="339"/>
      <c r="HH62" s="339"/>
      <c r="HI62" s="339"/>
      <c r="HJ62" s="339"/>
      <c r="HK62" s="339"/>
      <c r="HL62" s="339"/>
      <c r="HM62" s="339"/>
      <c r="HN62" s="339"/>
      <c r="HO62" s="339"/>
      <c r="HP62" s="339"/>
      <c r="HQ62" s="339"/>
      <c r="HR62" s="339"/>
      <c r="HS62" s="339"/>
      <c r="HT62" s="339"/>
      <c r="HU62" s="339"/>
      <c r="HV62" s="339"/>
      <c r="HW62" s="339"/>
      <c r="HX62" s="339"/>
      <c r="HY62" s="339"/>
      <c r="HZ62" s="339"/>
      <c r="IA62" s="339"/>
      <c r="IB62" s="339"/>
      <c r="IC62" s="339"/>
      <c r="ID62" s="339"/>
      <c r="IE62" s="339"/>
      <c r="IF62" s="339"/>
      <c r="IG62" s="339"/>
      <c r="IH62" s="339"/>
      <c r="II62" s="339"/>
      <c r="IJ62" s="339"/>
      <c r="IK62" s="339"/>
      <c r="IL62" s="339"/>
      <c r="IM62" s="339"/>
      <c r="IN62" s="339"/>
      <c r="IO62" s="339"/>
      <c r="IP62" s="339"/>
      <c r="IQ62" s="339"/>
      <c r="IR62" s="339"/>
      <c r="IS62" s="339"/>
      <c r="IT62" s="339"/>
      <c r="IU62" s="339"/>
      <c r="IV62" s="339"/>
      <c r="IW62" s="339"/>
      <c r="IX62" s="339"/>
      <c r="IY62" s="339"/>
      <c r="IZ62" s="339"/>
      <c r="JA62" s="339"/>
      <c r="JB62" s="339"/>
      <c r="JC62" s="339"/>
      <c r="JD62" s="339"/>
      <c r="JE62" s="339"/>
      <c r="JF62" s="339"/>
      <c r="JG62" s="339"/>
      <c r="JH62" s="339"/>
      <c r="JI62" s="339"/>
      <c r="JJ62" s="339"/>
      <c r="JK62" s="339"/>
      <c r="JL62" s="339"/>
      <c r="JM62" s="339"/>
      <c r="JN62" s="339"/>
      <c r="JO62" s="339"/>
      <c r="JP62" s="339"/>
      <c r="JQ62" s="339"/>
      <c r="JR62" s="339"/>
      <c r="JS62" s="339"/>
      <c r="JT62" s="339"/>
      <c r="JU62" s="339"/>
      <c r="JV62" s="339"/>
      <c r="JW62" s="339"/>
      <c r="JX62" s="339"/>
      <c r="JY62" s="339"/>
      <c r="JZ62" s="339"/>
      <c r="KA62" s="339"/>
      <c r="KB62" s="339"/>
      <c r="KC62" s="339"/>
      <c r="KD62" s="339"/>
      <c r="KE62" s="339"/>
      <c r="KF62" s="339"/>
      <c r="KG62" s="339"/>
      <c r="KH62" s="339"/>
      <c r="KI62" s="339"/>
      <c r="KJ62" s="339"/>
      <c r="KK62" s="339"/>
      <c r="KL62" s="339"/>
      <c r="KM62" s="339"/>
      <c r="KN62" s="339"/>
      <c r="KO62" s="339"/>
      <c r="KP62" s="339"/>
      <c r="KQ62" s="339"/>
      <c r="KR62" s="339"/>
      <c r="KS62" s="339"/>
      <c r="KT62" s="339"/>
      <c r="KU62" s="339"/>
      <c r="KV62" s="339"/>
      <c r="KW62" s="339"/>
      <c r="KX62" s="339"/>
      <c r="KY62" s="339"/>
      <c r="KZ62" s="339"/>
      <c r="LA62" s="339"/>
      <c r="LB62" s="339"/>
      <c r="LC62" s="339"/>
      <c r="LD62" s="339"/>
      <c r="LE62" s="339"/>
      <c r="LF62" s="339"/>
      <c r="LG62" s="339"/>
      <c r="LH62" s="339"/>
      <c r="LI62" s="339"/>
      <c r="LJ62" s="339"/>
      <c r="LK62" s="339"/>
      <c r="LL62" s="339"/>
      <c r="LM62" s="339"/>
      <c r="LN62" s="339"/>
      <c r="LO62" s="339"/>
      <c r="LP62" s="339"/>
      <c r="LQ62" s="339"/>
      <c r="LR62" s="339"/>
      <c r="LS62" s="339"/>
      <c r="LT62" s="339"/>
      <c r="LU62" s="339"/>
      <c r="LV62" s="339"/>
      <c r="LW62" s="339"/>
      <c r="LX62" s="339"/>
      <c r="LY62" s="339"/>
      <c r="LZ62" s="339"/>
      <c r="MA62" s="339"/>
      <c r="MB62" s="339"/>
      <c r="MC62" s="339"/>
      <c r="MD62" s="339"/>
      <c r="ME62" s="339"/>
      <c r="MF62" s="339"/>
      <c r="MG62" s="339"/>
      <c r="MH62" s="339"/>
      <c r="MI62" s="339"/>
      <c r="MJ62" s="339"/>
      <c r="MK62" s="339"/>
      <c r="ML62" s="339"/>
      <c r="MM62" s="339"/>
      <c r="MN62" s="339"/>
      <c r="MO62" s="339"/>
      <c r="MP62" s="339"/>
      <c r="MQ62" s="339"/>
      <c r="MR62" s="339"/>
      <c r="MS62" s="339"/>
      <c r="MT62" s="339"/>
      <c r="MU62" s="339"/>
      <c r="MV62" s="339"/>
      <c r="MW62" s="339"/>
      <c r="MX62" s="339"/>
      <c r="MY62" s="339"/>
      <c r="MZ62" s="339"/>
      <c r="NA62" s="339"/>
      <c r="NB62" s="339"/>
      <c r="NC62" s="339"/>
      <c r="ND62" s="339"/>
      <c r="NE62" s="339"/>
      <c r="NF62" s="339"/>
      <c r="NG62" s="339"/>
      <c r="NH62" s="339"/>
      <c r="NI62" s="339"/>
      <c r="NJ62" s="339"/>
      <c r="NK62" s="339"/>
      <c r="NL62" s="339"/>
      <c r="NM62" s="339"/>
      <c r="NN62" s="339"/>
      <c r="NO62" s="339"/>
      <c r="NP62" s="339"/>
      <c r="NQ62" s="339"/>
      <c r="NR62" s="339"/>
      <c r="NS62" s="339"/>
      <c r="NT62" s="339"/>
      <c r="NU62" s="339"/>
      <c r="NV62" s="339"/>
      <c r="NW62" s="339"/>
      <c r="NX62" s="339"/>
      <c r="NY62" s="339"/>
      <c r="NZ62" s="339"/>
      <c r="OA62" s="339"/>
      <c r="OB62" s="339"/>
      <c r="OC62" s="339"/>
      <c r="OD62" s="339"/>
      <c r="OE62" s="339"/>
      <c r="OF62" s="339"/>
      <c r="OG62" s="339"/>
      <c r="OH62" s="339"/>
      <c r="OI62" s="339"/>
      <c r="OJ62" s="339"/>
      <c r="OK62" s="339"/>
      <c r="OL62" s="339"/>
      <c r="OM62" s="339"/>
      <c r="ON62" s="339"/>
      <c r="OO62" s="339"/>
      <c r="OP62" s="339"/>
      <c r="OQ62" s="339"/>
      <c r="OR62" s="339"/>
      <c r="OS62" s="339"/>
      <c r="OT62" s="339"/>
      <c r="OU62" s="339"/>
      <c r="OV62" s="339"/>
      <c r="OW62" s="339"/>
      <c r="OX62" s="339"/>
      <c r="OY62" s="339"/>
      <c r="OZ62" s="339"/>
      <c r="PA62" s="339"/>
      <c r="PB62" s="339"/>
      <c r="PC62" s="339"/>
      <c r="PD62" s="339"/>
      <c r="PE62" s="339"/>
      <c r="PF62" s="339"/>
      <c r="PG62" s="339"/>
      <c r="PH62" s="339"/>
      <c r="PI62" s="339"/>
      <c r="PJ62" s="339"/>
      <c r="PK62" s="339"/>
      <c r="PL62" s="339"/>
      <c r="PM62" s="339"/>
      <c r="PN62" s="339"/>
      <c r="PO62" s="339"/>
      <c r="PP62" s="339"/>
      <c r="PQ62" s="339"/>
      <c r="PR62" s="339"/>
      <c r="PS62" s="339"/>
      <c r="PT62" s="339"/>
      <c r="PU62" s="339"/>
      <c r="PV62" s="339"/>
      <c r="PW62" s="339"/>
      <c r="PX62" s="339"/>
      <c r="PY62" s="339"/>
      <c r="PZ62" s="339"/>
      <c r="QA62" s="339"/>
      <c r="QB62" s="339"/>
      <c r="QC62" s="339"/>
      <c r="QD62" s="339"/>
      <c r="QE62" s="339"/>
      <c r="QF62" s="339"/>
      <c r="QG62" s="339"/>
      <c r="QH62" s="339"/>
      <c r="QI62" s="339"/>
      <c r="QJ62" s="339"/>
      <c r="QK62" s="339"/>
      <c r="QL62" s="339"/>
      <c r="QM62" s="339"/>
      <c r="QN62" s="339"/>
      <c r="QO62" s="339"/>
      <c r="QP62" s="339"/>
      <c r="QQ62" s="339"/>
      <c r="QR62" s="339"/>
      <c r="QS62" s="339"/>
      <c r="QT62" s="339"/>
      <c r="QU62" s="339"/>
      <c r="QV62" s="339"/>
      <c r="QW62" s="339"/>
      <c r="QX62" s="339"/>
      <c r="QY62" s="339"/>
      <c r="QZ62" s="339"/>
      <c r="RA62" s="339"/>
      <c r="RB62" s="339"/>
      <c r="RC62" s="339"/>
      <c r="RD62" s="339"/>
      <c r="RE62" s="339"/>
      <c r="RF62" s="339"/>
      <c r="RG62" s="339"/>
      <c r="RH62" s="339"/>
      <c r="RI62" s="339"/>
      <c r="RJ62" s="339"/>
      <c r="RK62" s="339"/>
      <c r="RL62" s="339"/>
      <c r="RM62" s="339"/>
      <c r="RN62" s="339"/>
      <c r="RO62" s="339"/>
      <c r="RP62" s="339"/>
      <c r="RQ62" s="339"/>
      <c r="RR62" s="339"/>
      <c r="RS62" s="339"/>
      <c r="RT62" s="339"/>
      <c r="RU62" s="339"/>
      <c r="RV62" s="339"/>
      <c r="RW62" s="339"/>
      <c r="RX62" s="339"/>
      <c r="RY62" s="339"/>
      <c r="RZ62" s="339"/>
      <c r="SA62" s="339"/>
      <c r="SB62" s="339"/>
      <c r="SC62" s="339"/>
      <c r="SD62" s="339"/>
      <c r="SE62" s="339"/>
      <c r="SF62" s="339"/>
      <c r="SG62" s="339"/>
      <c r="SH62" s="339"/>
      <c r="SI62" s="339"/>
      <c r="SJ62" s="339"/>
      <c r="SK62" s="339"/>
      <c r="SL62" s="339"/>
      <c r="SM62" s="339"/>
      <c r="SN62" s="339"/>
      <c r="SO62" s="339"/>
      <c r="SP62" s="339"/>
      <c r="SQ62" s="339"/>
      <c r="SR62" s="339"/>
      <c r="SS62" s="339"/>
      <c r="ST62" s="339"/>
      <c r="SU62" s="339"/>
      <c r="SV62" s="339"/>
      <c r="SW62" s="339"/>
      <c r="SX62" s="339"/>
      <c r="SY62" s="339"/>
      <c r="SZ62" s="339"/>
      <c r="TA62" s="339"/>
      <c r="TB62" s="339"/>
      <c r="TC62" s="339"/>
      <c r="TD62" s="339"/>
      <c r="TE62" s="339"/>
      <c r="TF62" s="339"/>
      <c r="TG62" s="339"/>
      <c r="TH62" s="339"/>
      <c r="TI62" s="339"/>
      <c r="TJ62" s="339"/>
      <c r="TK62" s="339"/>
      <c r="TL62" s="339"/>
      <c r="TM62" s="339"/>
      <c r="TN62" s="339"/>
      <c r="TO62" s="339"/>
      <c r="TP62" s="339"/>
      <c r="TQ62" s="339"/>
      <c r="TR62" s="339"/>
      <c r="TS62" s="339"/>
      <c r="TT62" s="339"/>
      <c r="TU62" s="339"/>
      <c r="TV62" s="339"/>
      <c r="TW62" s="339"/>
      <c r="TX62" s="339"/>
      <c r="TY62" s="339"/>
      <c r="TZ62" s="339"/>
      <c r="UA62" s="339"/>
      <c r="UB62" s="339"/>
      <c r="UC62" s="339"/>
      <c r="UD62" s="339"/>
      <c r="UE62" s="339"/>
      <c r="UF62" s="339"/>
      <c r="UG62" s="340"/>
    </row>
    <row r="63" spans="1:553" s="236" customFormat="1" ht="39" customHeight="1">
      <c r="A63" s="356" t="s">
        <v>15</v>
      </c>
      <c r="B63" s="366"/>
      <c r="C63" s="1404" t="s">
        <v>125</v>
      </c>
      <c r="D63" s="1389"/>
      <c r="E63" s="1389"/>
      <c r="F63" s="1390"/>
      <c r="G63" s="366"/>
      <c r="H63" s="370"/>
      <c r="I63" s="439"/>
      <c r="J63" s="368"/>
      <c r="K63" s="371"/>
      <c r="L63" s="366"/>
      <c r="M63" s="366"/>
      <c r="N63" s="366"/>
      <c r="O63" s="366"/>
      <c r="P63" s="366"/>
      <c r="Q63" s="812"/>
      <c r="R63" s="1226"/>
      <c r="S63" s="308"/>
      <c r="T63" s="303"/>
      <c r="U63" s="306"/>
      <c r="V63" s="307"/>
      <c r="W63" s="306"/>
      <c r="X63" s="306"/>
      <c r="Y63" s="306"/>
      <c r="Z63" s="306"/>
      <c r="AA63" s="306"/>
      <c r="AB63" s="306"/>
      <c r="AC63" s="449"/>
      <c r="AD63" s="449"/>
      <c r="AE63" s="449"/>
      <c r="AF63" s="449"/>
      <c r="AG63" s="449"/>
      <c r="AH63" s="449"/>
      <c r="AI63" s="449"/>
      <c r="AJ63" s="449"/>
      <c r="AK63" s="450"/>
      <c r="AL63" s="243"/>
      <c r="AM63" s="237"/>
      <c r="AN63" s="237"/>
      <c r="AO63" s="237"/>
      <c r="AP63" s="237"/>
      <c r="AQ63" s="237"/>
      <c r="AR63" s="237"/>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9"/>
      <c r="BQ63" s="239"/>
      <c r="BR63" s="239"/>
      <c r="BS63" s="239"/>
      <c r="BT63" s="239"/>
      <c r="BU63" s="239"/>
      <c r="BV63" s="239"/>
      <c r="BW63" s="239"/>
      <c r="BX63" s="239"/>
      <c r="BY63" s="239"/>
      <c r="BZ63" s="239"/>
      <c r="CA63" s="239"/>
      <c r="CB63" s="239"/>
      <c r="CC63" s="239"/>
      <c r="CD63" s="239"/>
      <c r="CE63" s="239"/>
      <c r="CF63" s="239"/>
      <c r="CG63" s="239"/>
      <c r="CH63" s="239"/>
      <c r="CI63" s="239"/>
      <c r="CJ63" s="239"/>
      <c r="CK63" s="239"/>
      <c r="CL63" s="239"/>
      <c r="CM63" s="239"/>
      <c r="CN63" s="239"/>
      <c r="CO63" s="239"/>
      <c r="CP63" s="239"/>
      <c r="CQ63" s="239"/>
      <c r="CR63" s="239"/>
      <c r="CS63" s="239"/>
      <c r="CT63" s="239"/>
      <c r="CU63" s="239"/>
      <c r="CV63" s="239"/>
      <c r="CW63" s="239"/>
      <c r="CX63" s="239"/>
      <c r="CY63" s="239"/>
      <c r="CZ63" s="239"/>
      <c r="DA63" s="239"/>
      <c r="DB63" s="239"/>
      <c r="DC63" s="239"/>
      <c r="DD63" s="239"/>
      <c r="DE63" s="239"/>
      <c r="DF63" s="239"/>
      <c r="DG63" s="239"/>
      <c r="DH63" s="239"/>
      <c r="DI63" s="239"/>
      <c r="DJ63" s="239"/>
      <c r="DK63" s="239"/>
      <c r="DL63" s="239"/>
      <c r="DM63" s="239"/>
      <c r="DN63" s="239"/>
      <c r="DO63" s="239"/>
      <c r="DP63" s="239"/>
      <c r="DQ63" s="239"/>
      <c r="DR63" s="239"/>
      <c r="DS63" s="239"/>
      <c r="DT63" s="239"/>
      <c r="DU63" s="239"/>
      <c r="DV63" s="239"/>
      <c r="DW63" s="239"/>
      <c r="DX63" s="239"/>
      <c r="DY63" s="239"/>
      <c r="DZ63" s="239"/>
      <c r="EA63" s="239"/>
      <c r="EB63" s="239"/>
      <c r="EC63" s="239"/>
      <c r="ED63" s="239"/>
      <c r="EE63" s="239"/>
      <c r="EF63" s="239"/>
      <c r="EG63" s="239"/>
      <c r="EH63" s="239"/>
      <c r="EI63" s="239"/>
      <c r="EJ63" s="239"/>
      <c r="EK63" s="239"/>
      <c r="EL63" s="239"/>
      <c r="EM63" s="239"/>
      <c r="EN63" s="239"/>
      <c r="EO63" s="239"/>
      <c r="EP63" s="239"/>
      <c r="EQ63" s="239"/>
      <c r="ER63" s="239"/>
      <c r="ES63" s="239"/>
      <c r="ET63" s="239"/>
      <c r="EU63" s="239"/>
      <c r="EV63" s="239"/>
      <c r="EW63" s="239"/>
      <c r="EX63" s="239"/>
      <c r="EY63" s="239"/>
      <c r="EZ63" s="239"/>
      <c r="FA63" s="239"/>
      <c r="FB63" s="239"/>
      <c r="FC63" s="239"/>
      <c r="FD63" s="239"/>
      <c r="FE63" s="239"/>
      <c r="FF63" s="239"/>
      <c r="FG63" s="239"/>
      <c r="FH63" s="239"/>
      <c r="FI63" s="239"/>
      <c r="FJ63" s="239"/>
      <c r="FK63" s="239"/>
      <c r="FL63" s="239"/>
      <c r="FM63" s="239"/>
      <c r="FN63" s="239"/>
      <c r="FO63" s="239"/>
      <c r="FP63" s="239"/>
      <c r="FQ63" s="239"/>
      <c r="FR63" s="239"/>
      <c r="FS63" s="239"/>
      <c r="FT63" s="239"/>
      <c r="FU63" s="239"/>
      <c r="FV63" s="239"/>
      <c r="FW63" s="239"/>
      <c r="FX63" s="239"/>
      <c r="FY63" s="239"/>
      <c r="FZ63" s="239"/>
      <c r="GA63" s="239"/>
      <c r="GB63" s="239"/>
      <c r="GC63" s="239"/>
      <c r="GD63" s="239"/>
      <c r="GE63" s="239"/>
      <c r="GF63" s="239"/>
      <c r="GG63" s="239"/>
      <c r="GH63" s="239"/>
      <c r="GI63" s="239"/>
      <c r="GJ63" s="239"/>
      <c r="GK63" s="239"/>
      <c r="GL63" s="239"/>
      <c r="GM63" s="239"/>
      <c r="GN63" s="239"/>
      <c r="GO63" s="239"/>
      <c r="GP63" s="239"/>
      <c r="GQ63" s="239"/>
      <c r="GR63" s="239"/>
      <c r="GS63" s="239"/>
      <c r="GT63" s="239"/>
      <c r="GU63" s="239"/>
      <c r="GV63" s="239"/>
      <c r="GW63" s="239"/>
      <c r="GX63" s="239"/>
      <c r="GY63" s="239"/>
      <c r="GZ63" s="239"/>
      <c r="HA63" s="239"/>
      <c r="HB63" s="239"/>
      <c r="HC63" s="239"/>
      <c r="HD63" s="239"/>
      <c r="HE63" s="239"/>
      <c r="HF63" s="239"/>
      <c r="HG63" s="239"/>
      <c r="HH63" s="239"/>
      <c r="HI63" s="239"/>
      <c r="HJ63" s="239"/>
      <c r="HK63" s="239"/>
      <c r="HL63" s="239"/>
      <c r="HM63" s="239"/>
      <c r="HN63" s="239"/>
      <c r="HO63" s="239"/>
      <c r="HP63" s="239"/>
      <c r="HQ63" s="239"/>
      <c r="HR63" s="239"/>
      <c r="HS63" s="239"/>
      <c r="HT63" s="239"/>
      <c r="HU63" s="239"/>
      <c r="HV63" s="239"/>
      <c r="HW63" s="239"/>
      <c r="HX63" s="239"/>
      <c r="HY63" s="239"/>
      <c r="HZ63" s="239"/>
      <c r="IA63" s="239"/>
      <c r="IB63" s="239"/>
      <c r="IC63" s="239"/>
      <c r="ID63" s="239"/>
      <c r="IE63" s="239"/>
      <c r="IF63" s="239"/>
      <c r="IG63" s="239"/>
      <c r="IH63" s="239"/>
      <c r="II63" s="239"/>
      <c r="IJ63" s="239"/>
      <c r="IK63" s="239"/>
      <c r="IL63" s="239"/>
      <c r="IM63" s="239"/>
      <c r="IN63" s="239"/>
      <c r="IO63" s="239"/>
      <c r="IP63" s="239"/>
      <c r="IQ63" s="239"/>
      <c r="IR63" s="239"/>
      <c r="IS63" s="239"/>
      <c r="IT63" s="239"/>
      <c r="IU63" s="239"/>
      <c r="IV63" s="239"/>
      <c r="IW63" s="239"/>
      <c r="IX63" s="239"/>
      <c r="IY63" s="239"/>
      <c r="IZ63" s="239"/>
      <c r="JA63" s="239"/>
      <c r="JB63" s="239"/>
      <c r="JC63" s="239"/>
      <c r="JD63" s="239"/>
      <c r="JE63" s="239"/>
      <c r="JF63" s="239"/>
      <c r="JG63" s="239"/>
      <c r="JH63" s="239"/>
      <c r="JI63" s="239"/>
      <c r="JJ63" s="239"/>
      <c r="JK63" s="239"/>
      <c r="JL63" s="239"/>
      <c r="JM63" s="239"/>
      <c r="JN63" s="239"/>
      <c r="JO63" s="239"/>
      <c r="JP63" s="239"/>
      <c r="JQ63" s="239"/>
      <c r="JR63" s="239"/>
      <c r="JS63" s="239"/>
      <c r="JT63" s="239"/>
      <c r="JU63" s="239"/>
      <c r="JV63" s="239"/>
      <c r="JW63" s="239"/>
      <c r="JX63" s="239"/>
      <c r="JY63" s="239"/>
      <c r="JZ63" s="239"/>
      <c r="KA63" s="239"/>
      <c r="KB63" s="239"/>
      <c r="KC63" s="239"/>
      <c r="KD63" s="239"/>
      <c r="KE63" s="239"/>
      <c r="KF63" s="239"/>
      <c r="KG63" s="239"/>
      <c r="KH63" s="239"/>
      <c r="KI63" s="239"/>
      <c r="KJ63" s="239"/>
      <c r="KK63" s="239"/>
      <c r="KL63" s="239"/>
      <c r="KM63" s="239"/>
      <c r="KN63" s="239"/>
      <c r="KO63" s="239"/>
      <c r="KP63" s="239"/>
      <c r="KQ63" s="239"/>
      <c r="KR63" s="239"/>
      <c r="KS63" s="239"/>
      <c r="KT63" s="239"/>
      <c r="KU63" s="239"/>
      <c r="KV63" s="239"/>
      <c r="KW63" s="239"/>
      <c r="KX63" s="239"/>
      <c r="KY63" s="239"/>
      <c r="KZ63" s="239"/>
      <c r="LA63" s="239"/>
      <c r="LB63" s="239"/>
      <c r="LC63" s="239"/>
      <c r="LD63" s="239"/>
      <c r="LE63" s="239"/>
      <c r="LF63" s="239"/>
      <c r="LG63" s="239"/>
      <c r="LH63" s="239"/>
      <c r="LI63" s="239"/>
      <c r="LJ63" s="239"/>
      <c r="LK63" s="239"/>
      <c r="LL63" s="239"/>
      <c r="LM63" s="239"/>
      <c r="LN63" s="239"/>
      <c r="LO63" s="239"/>
      <c r="LP63" s="239"/>
      <c r="LQ63" s="239"/>
      <c r="LR63" s="239"/>
      <c r="LS63" s="239"/>
      <c r="LT63" s="239"/>
      <c r="LU63" s="239"/>
      <c r="LV63" s="239"/>
      <c r="LW63" s="239"/>
      <c r="LX63" s="239"/>
      <c r="LY63" s="239"/>
      <c r="LZ63" s="239"/>
      <c r="MA63" s="239"/>
      <c r="MB63" s="239"/>
      <c r="MC63" s="239"/>
      <c r="MD63" s="239"/>
      <c r="ME63" s="239"/>
      <c r="MF63" s="239"/>
      <c r="MG63" s="239"/>
      <c r="MH63" s="239"/>
      <c r="MI63" s="239"/>
      <c r="MJ63" s="239"/>
      <c r="MK63" s="239"/>
      <c r="ML63" s="239"/>
      <c r="MM63" s="239"/>
      <c r="MN63" s="239"/>
      <c r="MO63" s="239"/>
      <c r="MP63" s="239"/>
      <c r="MQ63" s="239"/>
      <c r="MR63" s="239"/>
      <c r="MS63" s="239"/>
      <c r="MT63" s="239"/>
      <c r="MU63" s="239"/>
      <c r="MV63" s="239"/>
      <c r="MW63" s="239"/>
      <c r="MX63" s="239"/>
      <c r="MY63" s="239"/>
      <c r="MZ63" s="239"/>
      <c r="NA63" s="239"/>
      <c r="NB63" s="239"/>
      <c r="NC63" s="239"/>
      <c r="ND63" s="239"/>
      <c r="NE63" s="239"/>
      <c r="NF63" s="239"/>
      <c r="NG63" s="239"/>
      <c r="NH63" s="239"/>
      <c r="NI63" s="239"/>
      <c r="NJ63" s="239"/>
      <c r="NK63" s="239"/>
      <c r="NL63" s="239"/>
      <c r="NM63" s="239"/>
      <c r="NN63" s="239"/>
      <c r="NO63" s="239"/>
      <c r="NP63" s="239"/>
      <c r="NQ63" s="239"/>
      <c r="NR63" s="239"/>
      <c r="NS63" s="239"/>
      <c r="NT63" s="239"/>
      <c r="NU63" s="239"/>
      <c r="NV63" s="239"/>
      <c r="NW63" s="239"/>
      <c r="NX63" s="239"/>
      <c r="NY63" s="239"/>
      <c r="NZ63" s="239"/>
      <c r="OA63" s="239"/>
      <c r="OB63" s="239"/>
      <c r="OC63" s="239"/>
      <c r="OD63" s="239"/>
      <c r="OE63" s="239"/>
      <c r="OF63" s="239"/>
      <c r="OG63" s="239"/>
      <c r="OH63" s="239"/>
      <c r="OI63" s="239"/>
      <c r="OJ63" s="239"/>
      <c r="OK63" s="239"/>
      <c r="OL63" s="239"/>
      <c r="OM63" s="239"/>
      <c r="ON63" s="239"/>
      <c r="OO63" s="239"/>
      <c r="OP63" s="239"/>
      <c r="OQ63" s="239"/>
      <c r="OR63" s="239"/>
      <c r="OS63" s="239"/>
      <c r="OT63" s="239"/>
      <c r="OU63" s="239"/>
      <c r="OV63" s="239"/>
      <c r="OW63" s="239"/>
      <c r="OX63" s="239"/>
      <c r="OY63" s="239"/>
      <c r="OZ63" s="239"/>
      <c r="PA63" s="239"/>
      <c r="PB63" s="239"/>
      <c r="PC63" s="239"/>
      <c r="PD63" s="239"/>
      <c r="PE63" s="239"/>
      <c r="PF63" s="239"/>
      <c r="PG63" s="239"/>
      <c r="PH63" s="239"/>
      <c r="PI63" s="239"/>
      <c r="PJ63" s="239"/>
      <c r="PK63" s="239"/>
      <c r="PL63" s="239"/>
      <c r="PM63" s="239"/>
      <c r="PN63" s="239"/>
      <c r="PO63" s="239"/>
      <c r="PP63" s="239"/>
      <c r="PQ63" s="239"/>
      <c r="PR63" s="239"/>
      <c r="PS63" s="239"/>
      <c r="PT63" s="239"/>
      <c r="PU63" s="239"/>
      <c r="PV63" s="239"/>
      <c r="PW63" s="239"/>
      <c r="PX63" s="239"/>
      <c r="PY63" s="239"/>
      <c r="PZ63" s="239"/>
      <c r="QA63" s="239"/>
      <c r="QB63" s="239"/>
      <c r="QC63" s="239"/>
      <c r="QD63" s="239"/>
      <c r="QE63" s="239"/>
      <c r="QF63" s="239"/>
      <c r="QG63" s="239"/>
      <c r="QH63" s="239"/>
      <c r="QI63" s="239"/>
      <c r="QJ63" s="239"/>
      <c r="QK63" s="239"/>
      <c r="QL63" s="239"/>
      <c r="QM63" s="239"/>
      <c r="QN63" s="239"/>
      <c r="QO63" s="239"/>
      <c r="QP63" s="239"/>
      <c r="QQ63" s="239"/>
      <c r="QR63" s="239"/>
      <c r="QS63" s="239"/>
      <c r="QT63" s="239"/>
      <c r="QU63" s="239"/>
      <c r="QV63" s="239"/>
      <c r="QW63" s="239"/>
      <c r="QX63" s="239"/>
      <c r="QY63" s="239"/>
      <c r="QZ63" s="239"/>
      <c r="RA63" s="239"/>
      <c r="RB63" s="239"/>
      <c r="RC63" s="239"/>
      <c r="RD63" s="239"/>
      <c r="RE63" s="239"/>
      <c r="RF63" s="239"/>
      <c r="RG63" s="239"/>
      <c r="RH63" s="239"/>
      <c r="RI63" s="239"/>
      <c r="RJ63" s="239"/>
      <c r="RK63" s="239"/>
      <c r="RL63" s="239"/>
      <c r="RM63" s="239"/>
      <c r="RN63" s="239"/>
      <c r="RO63" s="239"/>
      <c r="RP63" s="239"/>
      <c r="RQ63" s="239"/>
      <c r="RR63" s="239"/>
      <c r="RS63" s="239"/>
      <c r="RT63" s="239"/>
      <c r="RU63" s="239"/>
      <c r="RV63" s="239"/>
      <c r="RW63" s="239"/>
      <c r="RX63" s="239"/>
      <c r="RY63" s="239"/>
      <c r="RZ63" s="239"/>
      <c r="SA63" s="239"/>
      <c r="SB63" s="239"/>
      <c r="SC63" s="239"/>
      <c r="SD63" s="239"/>
      <c r="SE63" s="239"/>
      <c r="SF63" s="239"/>
      <c r="SG63" s="239"/>
      <c r="SH63" s="239"/>
      <c r="SI63" s="239"/>
      <c r="SJ63" s="239"/>
      <c r="SK63" s="239"/>
      <c r="SL63" s="239"/>
      <c r="SM63" s="239"/>
      <c r="SN63" s="239"/>
      <c r="SO63" s="239"/>
      <c r="SP63" s="239"/>
      <c r="SQ63" s="239"/>
      <c r="SR63" s="239"/>
      <c r="SS63" s="239"/>
      <c r="ST63" s="239"/>
      <c r="SU63" s="239"/>
      <c r="SV63" s="239"/>
      <c r="SW63" s="239"/>
      <c r="SX63" s="239"/>
      <c r="SY63" s="239"/>
      <c r="SZ63" s="239"/>
      <c r="TA63" s="239"/>
      <c r="TB63" s="239"/>
      <c r="TC63" s="239"/>
      <c r="TD63" s="239"/>
      <c r="TE63" s="239"/>
      <c r="TF63" s="239"/>
      <c r="TG63" s="239"/>
      <c r="TH63" s="239"/>
      <c r="TI63" s="239"/>
      <c r="TJ63" s="239"/>
      <c r="TK63" s="239"/>
      <c r="TL63" s="239"/>
      <c r="TM63" s="239"/>
      <c r="TN63" s="239"/>
      <c r="TO63" s="239"/>
      <c r="TP63" s="239"/>
      <c r="TQ63" s="239"/>
      <c r="TR63" s="239"/>
      <c r="TS63" s="239"/>
      <c r="TT63" s="239"/>
      <c r="TU63" s="239"/>
      <c r="TV63" s="239"/>
      <c r="TW63" s="239"/>
      <c r="TX63" s="239"/>
      <c r="TY63" s="239"/>
      <c r="TZ63" s="239"/>
      <c r="UA63" s="239"/>
      <c r="UB63" s="239"/>
      <c r="UC63" s="239"/>
      <c r="UD63" s="239"/>
      <c r="UE63" s="239"/>
      <c r="UF63" s="239"/>
      <c r="UG63" s="240"/>
    </row>
    <row r="64" spans="1:553" s="236" customFormat="1" ht="39.65" customHeight="1">
      <c r="A64" s="356" t="s">
        <v>15</v>
      </c>
      <c r="B64" s="366"/>
      <c r="C64" s="1404" t="s">
        <v>16</v>
      </c>
      <c r="D64" s="1389"/>
      <c r="E64" s="1389"/>
      <c r="F64" s="1390"/>
      <c r="G64" s="366"/>
      <c r="H64" s="439"/>
      <c r="I64" s="370"/>
      <c r="J64" s="368"/>
      <c r="K64" s="371"/>
      <c r="L64" s="366"/>
      <c r="M64" s="366"/>
      <c r="N64" s="366"/>
      <c r="O64" s="366"/>
      <c r="P64" s="366"/>
      <c r="Q64" s="1036"/>
      <c r="R64" s="1226"/>
      <c r="S64" s="308"/>
      <c r="T64" s="303"/>
      <c r="U64" s="306"/>
      <c r="V64" s="307"/>
      <c r="W64" s="306"/>
      <c r="X64" s="306"/>
      <c r="Y64" s="306"/>
      <c r="Z64" s="306"/>
      <c r="AA64" s="306"/>
      <c r="AB64" s="306"/>
      <c r="AC64" s="449"/>
      <c r="AD64" s="449"/>
      <c r="AE64" s="449"/>
      <c r="AF64" s="449"/>
      <c r="AG64" s="449"/>
      <c r="AH64" s="449"/>
      <c r="AI64" s="449"/>
      <c r="AJ64" s="449"/>
      <c r="AK64" s="450"/>
      <c r="AL64" s="243"/>
      <c r="AM64" s="237"/>
      <c r="AN64" s="237"/>
      <c r="AO64" s="237"/>
      <c r="AP64" s="237"/>
      <c r="AQ64" s="237"/>
      <c r="AR64" s="237"/>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9"/>
      <c r="CP64" s="239"/>
      <c r="CQ64" s="239"/>
      <c r="CR64" s="239"/>
      <c r="CS64" s="239"/>
      <c r="CT64" s="239"/>
      <c r="CU64" s="239"/>
      <c r="CV64" s="239"/>
      <c r="CW64" s="239"/>
      <c r="CX64" s="239"/>
      <c r="CY64" s="239"/>
      <c r="CZ64" s="239"/>
      <c r="DA64" s="239"/>
      <c r="DB64" s="239"/>
      <c r="DC64" s="239"/>
      <c r="DD64" s="239"/>
      <c r="DE64" s="239"/>
      <c r="DF64" s="239"/>
      <c r="DG64" s="239"/>
      <c r="DH64" s="239"/>
      <c r="DI64" s="239"/>
      <c r="DJ64" s="239"/>
      <c r="DK64" s="239"/>
      <c r="DL64" s="239"/>
      <c r="DM64" s="239"/>
      <c r="DN64" s="239"/>
      <c r="DO64" s="239"/>
      <c r="DP64" s="239"/>
      <c r="DQ64" s="239"/>
      <c r="DR64" s="239"/>
      <c r="DS64" s="239"/>
      <c r="DT64" s="239"/>
      <c r="DU64" s="239"/>
      <c r="DV64" s="239"/>
      <c r="DW64" s="239"/>
      <c r="DX64" s="239"/>
      <c r="DY64" s="239"/>
      <c r="DZ64" s="239"/>
      <c r="EA64" s="239"/>
      <c r="EB64" s="239"/>
      <c r="EC64" s="239"/>
      <c r="ED64" s="239"/>
      <c r="EE64" s="239"/>
      <c r="EF64" s="239"/>
      <c r="EG64" s="239"/>
      <c r="EH64" s="239"/>
      <c r="EI64" s="239"/>
      <c r="EJ64" s="239"/>
      <c r="EK64" s="239"/>
      <c r="EL64" s="239"/>
      <c r="EM64" s="239"/>
      <c r="EN64" s="239"/>
      <c r="EO64" s="239"/>
      <c r="EP64" s="239"/>
      <c r="EQ64" s="239"/>
      <c r="ER64" s="239"/>
      <c r="ES64" s="239"/>
      <c r="ET64" s="239"/>
      <c r="EU64" s="239"/>
      <c r="EV64" s="239"/>
      <c r="EW64" s="239"/>
      <c r="EX64" s="239"/>
      <c r="EY64" s="239"/>
      <c r="EZ64" s="239"/>
      <c r="FA64" s="239"/>
      <c r="FB64" s="239"/>
      <c r="FC64" s="239"/>
      <c r="FD64" s="239"/>
      <c r="FE64" s="239"/>
      <c r="FF64" s="239"/>
      <c r="FG64" s="239"/>
      <c r="FH64" s="239"/>
      <c r="FI64" s="239"/>
      <c r="FJ64" s="239"/>
      <c r="FK64" s="239"/>
      <c r="FL64" s="239"/>
      <c r="FM64" s="239"/>
      <c r="FN64" s="239"/>
      <c r="FO64" s="239"/>
      <c r="FP64" s="239"/>
      <c r="FQ64" s="239"/>
      <c r="FR64" s="239"/>
      <c r="FS64" s="239"/>
      <c r="FT64" s="239"/>
      <c r="FU64" s="239"/>
      <c r="FV64" s="239"/>
      <c r="FW64" s="239"/>
      <c r="FX64" s="239"/>
      <c r="FY64" s="239"/>
      <c r="FZ64" s="239"/>
      <c r="GA64" s="239"/>
      <c r="GB64" s="239"/>
      <c r="GC64" s="239"/>
      <c r="GD64" s="239"/>
      <c r="GE64" s="239"/>
      <c r="GF64" s="239"/>
      <c r="GG64" s="239"/>
      <c r="GH64" s="239"/>
      <c r="GI64" s="239"/>
      <c r="GJ64" s="239"/>
      <c r="GK64" s="239"/>
      <c r="GL64" s="239"/>
      <c r="GM64" s="239"/>
      <c r="GN64" s="239"/>
      <c r="GO64" s="239"/>
      <c r="GP64" s="239"/>
      <c r="GQ64" s="239"/>
      <c r="GR64" s="239"/>
      <c r="GS64" s="239"/>
      <c r="GT64" s="239"/>
      <c r="GU64" s="239"/>
      <c r="GV64" s="239"/>
      <c r="GW64" s="239"/>
      <c r="GX64" s="239"/>
      <c r="GY64" s="239"/>
      <c r="GZ64" s="239"/>
      <c r="HA64" s="239"/>
      <c r="HB64" s="239"/>
      <c r="HC64" s="239"/>
      <c r="HD64" s="239"/>
      <c r="HE64" s="239"/>
      <c r="HF64" s="239"/>
      <c r="HG64" s="239"/>
      <c r="HH64" s="239"/>
      <c r="HI64" s="239"/>
      <c r="HJ64" s="239"/>
      <c r="HK64" s="239"/>
      <c r="HL64" s="239"/>
      <c r="HM64" s="239"/>
      <c r="HN64" s="239"/>
      <c r="HO64" s="239"/>
      <c r="HP64" s="239"/>
      <c r="HQ64" s="239"/>
      <c r="HR64" s="239"/>
      <c r="HS64" s="239"/>
      <c r="HT64" s="239"/>
      <c r="HU64" s="239"/>
      <c r="HV64" s="239"/>
      <c r="HW64" s="239"/>
      <c r="HX64" s="239"/>
      <c r="HY64" s="239"/>
      <c r="HZ64" s="239"/>
      <c r="IA64" s="239"/>
      <c r="IB64" s="239"/>
      <c r="IC64" s="239"/>
      <c r="ID64" s="239"/>
      <c r="IE64" s="239"/>
      <c r="IF64" s="239"/>
      <c r="IG64" s="239"/>
      <c r="IH64" s="239"/>
      <c r="II64" s="239"/>
      <c r="IJ64" s="239"/>
      <c r="IK64" s="239"/>
      <c r="IL64" s="239"/>
      <c r="IM64" s="239"/>
      <c r="IN64" s="239"/>
      <c r="IO64" s="239"/>
      <c r="IP64" s="239"/>
      <c r="IQ64" s="239"/>
      <c r="IR64" s="239"/>
      <c r="IS64" s="239"/>
      <c r="IT64" s="239"/>
      <c r="IU64" s="239"/>
      <c r="IV64" s="239"/>
      <c r="IW64" s="239"/>
      <c r="IX64" s="239"/>
      <c r="IY64" s="239"/>
      <c r="IZ64" s="239"/>
      <c r="JA64" s="239"/>
      <c r="JB64" s="239"/>
      <c r="JC64" s="239"/>
      <c r="JD64" s="239"/>
      <c r="JE64" s="239"/>
      <c r="JF64" s="239"/>
      <c r="JG64" s="239"/>
      <c r="JH64" s="239"/>
      <c r="JI64" s="239"/>
      <c r="JJ64" s="239"/>
      <c r="JK64" s="239"/>
      <c r="JL64" s="239"/>
      <c r="JM64" s="239"/>
      <c r="JN64" s="239"/>
      <c r="JO64" s="239"/>
      <c r="JP64" s="239"/>
      <c r="JQ64" s="239"/>
      <c r="JR64" s="239"/>
      <c r="JS64" s="239"/>
      <c r="JT64" s="239"/>
      <c r="JU64" s="239"/>
      <c r="JV64" s="239"/>
      <c r="JW64" s="239"/>
      <c r="JX64" s="239"/>
      <c r="JY64" s="239"/>
      <c r="JZ64" s="239"/>
      <c r="KA64" s="239"/>
      <c r="KB64" s="239"/>
      <c r="KC64" s="239"/>
      <c r="KD64" s="239"/>
      <c r="KE64" s="239"/>
      <c r="KF64" s="239"/>
      <c r="KG64" s="239"/>
      <c r="KH64" s="239"/>
      <c r="KI64" s="239"/>
      <c r="KJ64" s="239"/>
      <c r="KK64" s="239"/>
      <c r="KL64" s="239"/>
      <c r="KM64" s="239"/>
      <c r="KN64" s="239"/>
      <c r="KO64" s="239"/>
      <c r="KP64" s="239"/>
      <c r="KQ64" s="239"/>
      <c r="KR64" s="239"/>
      <c r="KS64" s="239"/>
      <c r="KT64" s="239"/>
      <c r="KU64" s="239"/>
      <c r="KV64" s="239"/>
      <c r="KW64" s="239"/>
      <c r="KX64" s="239"/>
      <c r="KY64" s="239"/>
      <c r="KZ64" s="239"/>
      <c r="LA64" s="239"/>
      <c r="LB64" s="239"/>
      <c r="LC64" s="239"/>
      <c r="LD64" s="239"/>
      <c r="LE64" s="239"/>
      <c r="LF64" s="239"/>
      <c r="LG64" s="239"/>
      <c r="LH64" s="239"/>
      <c r="LI64" s="239"/>
      <c r="LJ64" s="239"/>
      <c r="LK64" s="239"/>
      <c r="LL64" s="239"/>
      <c r="LM64" s="239"/>
      <c r="LN64" s="239"/>
      <c r="LO64" s="239"/>
      <c r="LP64" s="239"/>
      <c r="LQ64" s="239"/>
      <c r="LR64" s="239"/>
      <c r="LS64" s="239"/>
      <c r="LT64" s="239"/>
      <c r="LU64" s="239"/>
      <c r="LV64" s="239"/>
      <c r="LW64" s="239"/>
      <c r="LX64" s="239"/>
      <c r="LY64" s="239"/>
      <c r="LZ64" s="239"/>
      <c r="MA64" s="239"/>
      <c r="MB64" s="239"/>
      <c r="MC64" s="239"/>
      <c r="MD64" s="239"/>
      <c r="ME64" s="239"/>
      <c r="MF64" s="239"/>
      <c r="MG64" s="239"/>
      <c r="MH64" s="239"/>
      <c r="MI64" s="239"/>
      <c r="MJ64" s="239"/>
      <c r="MK64" s="239"/>
      <c r="ML64" s="239"/>
      <c r="MM64" s="239"/>
      <c r="MN64" s="239"/>
      <c r="MO64" s="239"/>
      <c r="MP64" s="239"/>
      <c r="MQ64" s="239"/>
      <c r="MR64" s="239"/>
      <c r="MS64" s="239"/>
      <c r="MT64" s="239"/>
      <c r="MU64" s="239"/>
      <c r="MV64" s="239"/>
      <c r="MW64" s="239"/>
      <c r="MX64" s="239"/>
      <c r="MY64" s="239"/>
      <c r="MZ64" s="239"/>
      <c r="NA64" s="239"/>
      <c r="NB64" s="239"/>
      <c r="NC64" s="239"/>
      <c r="ND64" s="239"/>
      <c r="NE64" s="239"/>
      <c r="NF64" s="239"/>
      <c r="NG64" s="239"/>
      <c r="NH64" s="239"/>
      <c r="NI64" s="239"/>
      <c r="NJ64" s="239"/>
      <c r="NK64" s="239"/>
      <c r="NL64" s="239"/>
      <c r="NM64" s="239"/>
      <c r="NN64" s="239"/>
      <c r="NO64" s="239"/>
      <c r="NP64" s="239"/>
      <c r="NQ64" s="239"/>
      <c r="NR64" s="239"/>
      <c r="NS64" s="239"/>
      <c r="NT64" s="239"/>
      <c r="NU64" s="239"/>
      <c r="NV64" s="239"/>
      <c r="NW64" s="239"/>
      <c r="NX64" s="239"/>
      <c r="NY64" s="239"/>
      <c r="NZ64" s="239"/>
      <c r="OA64" s="239"/>
      <c r="OB64" s="239"/>
      <c r="OC64" s="239"/>
      <c r="OD64" s="239"/>
      <c r="OE64" s="239"/>
      <c r="OF64" s="239"/>
      <c r="OG64" s="239"/>
      <c r="OH64" s="239"/>
      <c r="OI64" s="239"/>
      <c r="OJ64" s="239"/>
      <c r="OK64" s="239"/>
      <c r="OL64" s="239"/>
      <c r="OM64" s="239"/>
      <c r="ON64" s="239"/>
      <c r="OO64" s="239"/>
      <c r="OP64" s="239"/>
      <c r="OQ64" s="239"/>
      <c r="OR64" s="239"/>
      <c r="OS64" s="239"/>
      <c r="OT64" s="239"/>
      <c r="OU64" s="239"/>
      <c r="OV64" s="239"/>
      <c r="OW64" s="239"/>
      <c r="OX64" s="239"/>
      <c r="OY64" s="239"/>
      <c r="OZ64" s="239"/>
      <c r="PA64" s="239"/>
      <c r="PB64" s="239"/>
      <c r="PC64" s="239"/>
      <c r="PD64" s="239"/>
      <c r="PE64" s="239"/>
      <c r="PF64" s="239"/>
      <c r="PG64" s="239"/>
      <c r="PH64" s="239"/>
      <c r="PI64" s="239"/>
      <c r="PJ64" s="239"/>
      <c r="PK64" s="239"/>
      <c r="PL64" s="239"/>
      <c r="PM64" s="239"/>
      <c r="PN64" s="239"/>
      <c r="PO64" s="239"/>
      <c r="PP64" s="239"/>
      <c r="PQ64" s="239"/>
      <c r="PR64" s="239"/>
      <c r="PS64" s="239"/>
      <c r="PT64" s="239"/>
      <c r="PU64" s="239"/>
      <c r="PV64" s="239"/>
      <c r="PW64" s="239"/>
      <c r="PX64" s="239"/>
      <c r="PY64" s="239"/>
      <c r="PZ64" s="239"/>
      <c r="QA64" s="239"/>
      <c r="QB64" s="239"/>
      <c r="QC64" s="239"/>
      <c r="QD64" s="239"/>
      <c r="QE64" s="239"/>
      <c r="QF64" s="239"/>
      <c r="QG64" s="239"/>
      <c r="QH64" s="239"/>
      <c r="QI64" s="239"/>
      <c r="QJ64" s="239"/>
      <c r="QK64" s="239"/>
      <c r="QL64" s="239"/>
      <c r="QM64" s="239"/>
      <c r="QN64" s="239"/>
      <c r="QO64" s="239"/>
      <c r="QP64" s="239"/>
      <c r="QQ64" s="239"/>
      <c r="QR64" s="239"/>
      <c r="QS64" s="239"/>
      <c r="QT64" s="239"/>
      <c r="QU64" s="239"/>
      <c r="QV64" s="239"/>
      <c r="QW64" s="239"/>
      <c r="QX64" s="239"/>
      <c r="QY64" s="239"/>
      <c r="QZ64" s="239"/>
      <c r="RA64" s="239"/>
      <c r="RB64" s="239"/>
      <c r="RC64" s="239"/>
      <c r="RD64" s="239"/>
      <c r="RE64" s="239"/>
      <c r="RF64" s="239"/>
      <c r="RG64" s="239"/>
      <c r="RH64" s="239"/>
      <c r="RI64" s="239"/>
      <c r="RJ64" s="239"/>
      <c r="RK64" s="239"/>
      <c r="RL64" s="239"/>
      <c r="RM64" s="239"/>
      <c r="RN64" s="239"/>
      <c r="RO64" s="239"/>
      <c r="RP64" s="239"/>
      <c r="RQ64" s="239"/>
      <c r="RR64" s="239"/>
      <c r="RS64" s="239"/>
      <c r="RT64" s="239"/>
      <c r="RU64" s="239"/>
      <c r="RV64" s="239"/>
      <c r="RW64" s="239"/>
      <c r="RX64" s="239"/>
      <c r="RY64" s="239"/>
      <c r="RZ64" s="239"/>
      <c r="SA64" s="239"/>
      <c r="SB64" s="239"/>
      <c r="SC64" s="239"/>
      <c r="SD64" s="239"/>
      <c r="SE64" s="239"/>
      <c r="SF64" s="239"/>
      <c r="SG64" s="239"/>
      <c r="SH64" s="239"/>
      <c r="SI64" s="239"/>
      <c r="SJ64" s="239"/>
      <c r="SK64" s="239"/>
      <c r="SL64" s="239"/>
      <c r="SM64" s="239"/>
      <c r="SN64" s="239"/>
      <c r="SO64" s="239"/>
      <c r="SP64" s="239"/>
      <c r="SQ64" s="239"/>
      <c r="SR64" s="239"/>
      <c r="SS64" s="239"/>
      <c r="ST64" s="239"/>
      <c r="SU64" s="239"/>
      <c r="SV64" s="239"/>
      <c r="SW64" s="239"/>
      <c r="SX64" s="239"/>
      <c r="SY64" s="239"/>
      <c r="SZ64" s="239"/>
      <c r="TA64" s="239"/>
      <c r="TB64" s="239"/>
      <c r="TC64" s="239"/>
      <c r="TD64" s="239"/>
      <c r="TE64" s="239"/>
      <c r="TF64" s="239"/>
      <c r="TG64" s="239"/>
      <c r="TH64" s="239"/>
      <c r="TI64" s="239"/>
      <c r="TJ64" s="239"/>
      <c r="TK64" s="239"/>
      <c r="TL64" s="239"/>
      <c r="TM64" s="239"/>
      <c r="TN64" s="239"/>
      <c r="TO64" s="239"/>
      <c r="TP64" s="239"/>
      <c r="TQ64" s="239"/>
      <c r="TR64" s="239"/>
      <c r="TS64" s="239"/>
      <c r="TT64" s="239"/>
      <c r="TU64" s="239"/>
      <c r="TV64" s="239"/>
      <c r="TW64" s="239"/>
      <c r="TX64" s="239"/>
      <c r="TY64" s="239"/>
      <c r="TZ64" s="239"/>
      <c r="UA64" s="239"/>
      <c r="UB64" s="239"/>
      <c r="UC64" s="239"/>
      <c r="UD64" s="239"/>
      <c r="UE64" s="239"/>
      <c r="UF64" s="239"/>
      <c r="UG64" s="240"/>
    </row>
    <row r="65" spans="1:553" s="236" customFormat="1" ht="25.5" customHeight="1">
      <c r="A65" s="356" t="s">
        <v>15</v>
      </c>
      <c r="B65" s="366"/>
      <c r="C65" s="1404" t="s">
        <v>126</v>
      </c>
      <c r="D65" s="1389"/>
      <c r="E65" s="1389"/>
      <c r="F65" s="1390"/>
      <c r="G65" s="366"/>
      <c r="H65" s="370"/>
      <c r="I65" s="370"/>
      <c r="J65" s="368"/>
      <c r="K65" s="371"/>
      <c r="L65" s="366"/>
      <c r="M65" s="366"/>
      <c r="N65" s="366"/>
      <c r="O65" s="366"/>
      <c r="P65" s="366"/>
      <c r="Q65" s="1036"/>
      <c r="R65" s="1226"/>
      <c r="S65" s="308"/>
      <c r="T65" s="303"/>
      <c r="U65" s="306"/>
      <c r="V65" s="307"/>
      <c r="W65" s="306"/>
      <c r="X65" s="306"/>
      <c r="Y65" s="306"/>
      <c r="Z65" s="306"/>
      <c r="AA65" s="306"/>
      <c r="AB65" s="306"/>
      <c r="AC65" s="449"/>
      <c r="AD65" s="449"/>
      <c r="AE65" s="449"/>
      <c r="AF65" s="449"/>
      <c r="AG65" s="449"/>
      <c r="AH65" s="449"/>
      <c r="AI65" s="449"/>
      <c r="AJ65" s="449"/>
      <c r="AK65" s="450"/>
      <c r="AL65" s="243"/>
      <c r="AM65" s="237"/>
      <c r="AN65" s="237"/>
      <c r="AO65" s="237"/>
      <c r="AP65" s="237"/>
      <c r="AQ65" s="237"/>
      <c r="AR65" s="237"/>
      <c r="AS65" s="238"/>
      <c r="AT65" s="238"/>
      <c r="AU65" s="238"/>
      <c r="AV65" s="238"/>
      <c r="AW65" s="238"/>
      <c r="AX65" s="238"/>
      <c r="AY65" s="238"/>
      <c r="AZ65" s="238"/>
      <c r="BA65" s="238"/>
      <c r="BB65" s="238"/>
      <c r="BC65" s="238"/>
      <c r="BD65" s="238"/>
      <c r="BE65" s="238"/>
      <c r="BF65" s="238"/>
      <c r="BG65" s="238"/>
      <c r="BH65" s="238"/>
      <c r="BI65" s="238"/>
      <c r="BJ65" s="238"/>
      <c r="BK65" s="238"/>
      <c r="BL65" s="238"/>
      <c r="BM65" s="238"/>
      <c r="BN65" s="238"/>
      <c r="BO65" s="238"/>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9"/>
      <c r="CP65" s="239"/>
      <c r="CQ65" s="239"/>
      <c r="CR65" s="239"/>
      <c r="CS65" s="239"/>
      <c r="CT65" s="239"/>
      <c r="CU65" s="239"/>
      <c r="CV65" s="239"/>
      <c r="CW65" s="239"/>
      <c r="CX65" s="239"/>
      <c r="CY65" s="239"/>
      <c r="CZ65" s="239"/>
      <c r="DA65" s="239"/>
      <c r="DB65" s="239"/>
      <c r="DC65" s="239"/>
      <c r="DD65" s="239"/>
      <c r="DE65" s="239"/>
      <c r="DF65" s="239"/>
      <c r="DG65" s="239"/>
      <c r="DH65" s="239"/>
      <c r="DI65" s="239"/>
      <c r="DJ65" s="239"/>
      <c r="DK65" s="239"/>
      <c r="DL65" s="239"/>
      <c r="DM65" s="239"/>
      <c r="DN65" s="239"/>
      <c r="DO65" s="239"/>
      <c r="DP65" s="239"/>
      <c r="DQ65" s="239"/>
      <c r="DR65" s="239"/>
      <c r="DS65" s="239"/>
      <c r="DT65" s="239"/>
      <c r="DU65" s="239"/>
      <c r="DV65" s="239"/>
      <c r="DW65" s="239"/>
      <c r="DX65" s="239"/>
      <c r="DY65" s="239"/>
      <c r="DZ65" s="239"/>
      <c r="EA65" s="239"/>
      <c r="EB65" s="239"/>
      <c r="EC65" s="239"/>
      <c r="ED65" s="239"/>
      <c r="EE65" s="239"/>
      <c r="EF65" s="239"/>
      <c r="EG65" s="239"/>
      <c r="EH65" s="239"/>
      <c r="EI65" s="239"/>
      <c r="EJ65" s="239"/>
      <c r="EK65" s="239"/>
      <c r="EL65" s="239"/>
      <c r="EM65" s="239"/>
      <c r="EN65" s="239"/>
      <c r="EO65" s="239"/>
      <c r="EP65" s="239"/>
      <c r="EQ65" s="239"/>
      <c r="ER65" s="239"/>
      <c r="ES65" s="239"/>
      <c r="ET65" s="239"/>
      <c r="EU65" s="239"/>
      <c r="EV65" s="239"/>
      <c r="EW65" s="239"/>
      <c r="EX65" s="239"/>
      <c r="EY65" s="239"/>
      <c r="EZ65" s="239"/>
      <c r="FA65" s="239"/>
      <c r="FB65" s="239"/>
      <c r="FC65" s="239"/>
      <c r="FD65" s="239"/>
      <c r="FE65" s="239"/>
      <c r="FF65" s="239"/>
      <c r="FG65" s="239"/>
      <c r="FH65" s="239"/>
      <c r="FI65" s="239"/>
      <c r="FJ65" s="239"/>
      <c r="FK65" s="239"/>
      <c r="FL65" s="239"/>
      <c r="FM65" s="239"/>
      <c r="FN65" s="239"/>
      <c r="FO65" s="239"/>
      <c r="FP65" s="239"/>
      <c r="FQ65" s="239"/>
      <c r="FR65" s="239"/>
      <c r="FS65" s="239"/>
      <c r="FT65" s="239"/>
      <c r="FU65" s="239"/>
      <c r="FV65" s="239"/>
      <c r="FW65" s="239"/>
      <c r="FX65" s="239"/>
      <c r="FY65" s="239"/>
      <c r="FZ65" s="239"/>
      <c r="GA65" s="239"/>
      <c r="GB65" s="239"/>
      <c r="GC65" s="239"/>
      <c r="GD65" s="239"/>
      <c r="GE65" s="239"/>
      <c r="GF65" s="239"/>
      <c r="GG65" s="239"/>
      <c r="GH65" s="239"/>
      <c r="GI65" s="239"/>
      <c r="GJ65" s="239"/>
      <c r="GK65" s="239"/>
      <c r="GL65" s="239"/>
      <c r="GM65" s="239"/>
      <c r="GN65" s="239"/>
      <c r="GO65" s="239"/>
      <c r="GP65" s="239"/>
      <c r="GQ65" s="239"/>
      <c r="GR65" s="239"/>
      <c r="GS65" s="239"/>
      <c r="GT65" s="239"/>
      <c r="GU65" s="239"/>
      <c r="GV65" s="239"/>
      <c r="GW65" s="239"/>
      <c r="GX65" s="239"/>
      <c r="GY65" s="239"/>
      <c r="GZ65" s="239"/>
      <c r="HA65" s="239"/>
      <c r="HB65" s="239"/>
      <c r="HC65" s="239"/>
      <c r="HD65" s="239"/>
      <c r="HE65" s="239"/>
      <c r="HF65" s="239"/>
      <c r="HG65" s="239"/>
      <c r="HH65" s="239"/>
      <c r="HI65" s="239"/>
      <c r="HJ65" s="239"/>
      <c r="HK65" s="239"/>
      <c r="HL65" s="239"/>
      <c r="HM65" s="239"/>
      <c r="HN65" s="239"/>
      <c r="HO65" s="239"/>
      <c r="HP65" s="239"/>
      <c r="HQ65" s="239"/>
      <c r="HR65" s="239"/>
      <c r="HS65" s="239"/>
      <c r="HT65" s="239"/>
      <c r="HU65" s="239"/>
      <c r="HV65" s="239"/>
      <c r="HW65" s="239"/>
      <c r="HX65" s="239"/>
      <c r="HY65" s="239"/>
      <c r="HZ65" s="239"/>
      <c r="IA65" s="239"/>
      <c r="IB65" s="239"/>
      <c r="IC65" s="239"/>
      <c r="ID65" s="239"/>
      <c r="IE65" s="239"/>
      <c r="IF65" s="239"/>
      <c r="IG65" s="239"/>
      <c r="IH65" s="239"/>
      <c r="II65" s="239"/>
      <c r="IJ65" s="239"/>
      <c r="IK65" s="239"/>
      <c r="IL65" s="239"/>
      <c r="IM65" s="239"/>
      <c r="IN65" s="239"/>
      <c r="IO65" s="239"/>
      <c r="IP65" s="239"/>
      <c r="IQ65" s="239"/>
      <c r="IR65" s="239"/>
      <c r="IS65" s="239"/>
      <c r="IT65" s="239"/>
      <c r="IU65" s="239"/>
      <c r="IV65" s="239"/>
      <c r="IW65" s="239"/>
      <c r="IX65" s="239"/>
      <c r="IY65" s="239"/>
      <c r="IZ65" s="239"/>
      <c r="JA65" s="239"/>
      <c r="JB65" s="239"/>
      <c r="JC65" s="239"/>
      <c r="JD65" s="239"/>
      <c r="JE65" s="239"/>
      <c r="JF65" s="239"/>
      <c r="JG65" s="239"/>
      <c r="JH65" s="239"/>
      <c r="JI65" s="239"/>
      <c r="JJ65" s="239"/>
      <c r="JK65" s="239"/>
      <c r="JL65" s="239"/>
      <c r="JM65" s="239"/>
      <c r="JN65" s="239"/>
      <c r="JO65" s="239"/>
      <c r="JP65" s="239"/>
      <c r="JQ65" s="239"/>
      <c r="JR65" s="239"/>
      <c r="JS65" s="239"/>
      <c r="JT65" s="239"/>
      <c r="JU65" s="239"/>
      <c r="JV65" s="239"/>
      <c r="JW65" s="239"/>
      <c r="JX65" s="239"/>
      <c r="JY65" s="239"/>
      <c r="JZ65" s="239"/>
      <c r="KA65" s="239"/>
      <c r="KB65" s="239"/>
      <c r="KC65" s="239"/>
      <c r="KD65" s="239"/>
      <c r="KE65" s="239"/>
      <c r="KF65" s="239"/>
      <c r="KG65" s="239"/>
      <c r="KH65" s="239"/>
      <c r="KI65" s="239"/>
      <c r="KJ65" s="239"/>
      <c r="KK65" s="239"/>
      <c r="KL65" s="239"/>
      <c r="KM65" s="239"/>
      <c r="KN65" s="239"/>
      <c r="KO65" s="239"/>
      <c r="KP65" s="239"/>
      <c r="KQ65" s="239"/>
      <c r="KR65" s="239"/>
      <c r="KS65" s="239"/>
      <c r="KT65" s="239"/>
      <c r="KU65" s="239"/>
      <c r="KV65" s="239"/>
      <c r="KW65" s="239"/>
      <c r="KX65" s="239"/>
      <c r="KY65" s="239"/>
      <c r="KZ65" s="239"/>
      <c r="LA65" s="239"/>
      <c r="LB65" s="239"/>
      <c r="LC65" s="239"/>
      <c r="LD65" s="239"/>
      <c r="LE65" s="239"/>
      <c r="LF65" s="239"/>
      <c r="LG65" s="239"/>
      <c r="LH65" s="239"/>
      <c r="LI65" s="239"/>
      <c r="LJ65" s="239"/>
      <c r="LK65" s="239"/>
      <c r="LL65" s="239"/>
      <c r="LM65" s="239"/>
      <c r="LN65" s="239"/>
      <c r="LO65" s="239"/>
      <c r="LP65" s="239"/>
      <c r="LQ65" s="239"/>
      <c r="LR65" s="239"/>
      <c r="LS65" s="239"/>
      <c r="LT65" s="239"/>
      <c r="LU65" s="239"/>
      <c r="LV65" s="239"/>
      <c r="LW65" s="239"/>
      <c r="LX65" s="239"/>
      <c r="LY65" s="239"/>
      <c r="LZ65" s="239"/>
      <c r="MA65" s="239"/>
      <c r="MB65" s="239"/>
      <c r="MC65" s="239"/>
      <c r="MD65" s="239"/>
      <c r="ME65" s="239"/>
      <c r="MF65" s="239"/>
      <c r="MG65" s="239"/>
      <c r="MH65" s="239"/>
      <c r="MI65" s="239"/>
      <c r="MJ65" s="239"/>
      <c r="MK65" s="239"/>
      <c r="ML65" s="239"/>
      <c r="MM65" s="239"/>
      <c r="MN65" s="239"/>
      <c r="MO65" s="239"/>
      <c r="MP65" s="239"/>
      <c r="MQ65" s="239"/>
      <c r="MR65" s="239"/>
      <c r="MS65" s="239"/>
      <c r="MT65" s="239"/>
      <c r="MU65" s="239"/>
      <c r="MV65" s="239"/>
      <c r="MW65" s="239"/>
      <c r="MX65" s="239"/>
      <c r="MY65" s="239"/>
      <c r="MZ65" s="239"/>
      <c r="NA65" s="239"/>
      <c r="NB65" s="239"/>
      <c r="NC65" s="239"/>
      <c r="ND65" s="239"/>
      <c r="NE65" s="239"/>
      <c r="NF65" s="239"/>
      <c r="NG65" s="239"/>
      <c r="NH65" s="239"/>
      <c r="NI65" s="239"/>
      <c r="NJ65" s="239"/>
      <c r="NK65" s="239"/>
      <c r="NL65" s="239"/>
      <c r="NM65" s="239"/>
      <c r="NN65" s="239"/>
      <c r="NO65" s="239"/>
      <c r="NP65" s="239"/>
      <c r="NQ65" s="239"/>
      <c r="NR65" s="239"/>
      <c r="NS65" s="239"/>
      <c r="NT65" s="239"/>
      <c r="NU65" s="239"/>
      <c r="NV65" s="239"/>
      <c r="NW65" s="239"/>
      <c r="NX65" s="239"/>
      <c r="NY65" s="239"/>
      <c r="NZ65" s="239"/>
      <c r="OA65" s="239"/>
      <c r="OB65" s="239"/>
      <c r="OC65" s="239"/>
      <c r="OD65" s="239"/>
      <c r="OE65" s="239"/>
      <c r="OF65" s="239"/>
      <c r="OG65" s="239"/>
      <c r="OH65" s="239"/>
      <c r="OI65" s="239"/>
      <c r="OJ65" s="239"/>
      <c r="OK65" s="239"/>
      <c r="OL65" s="239"/>
      <c r="OM65" s="239"/>
      <c r="ON65" s="239"/>
      <c r="OO65" s="239"/>
      <c r="OP65" s="239"/>
      <c r="OQ65" s="239"/>
      <c r="OR65" s="239"/>
      <c r="OS65" s="239"/>
      <c r="OT65" s="239"/>
      <c r="OU65" s="239"/>
      <c r="OV65" s="239"/>
      <c r="OW65" s="239"/>
      <c r="OX65" s="239"/>
      <c r="OY65" s="239"/>
      <c r="OZ65" s="239"/>
      <c r="PA65" s="239"/>
      <c r="PB65" s="239"/>
      <c r="PC65" s="239"/>
      <c r="PD65" s="239"/>
      <c r="PE65" s="239"/>
      <c r="PF65" s="239"/>
      <c r="PG65" s="239"/>
      <c r="PH65" s="239"/>
      <c r="PI65" s="239"/>
      <c r="PJ65" s="239"/>
      <c r="PK65" s="239"/>
      <c r="PL65" s="239"/>
      <c r="PM65" s="239"/>
      <c r="PN65" s="239"/>
      <c r="PO65" s="239"/>
      <c r="PP65" s="239"/>
      <c r="PQ65" s="239"/>
      <c r="PR65" s="239"/>
      <c r="PS65" s="239"/>
      <c r="PT65" s="239"/>
      <c r="PU65" s="239"/>
      <c r="PV65" s="239"/>
      <c r="PW65" s="239"/>
      <c r="PX65" s="239"/>
      <c r="PY65" s="239"/>
      <c r="PZ65" s="239"/>
      <c r="QA65" s="239"/>
      <c r="QB65" s="239"/>
      <c r="QC65" s="239"/>
      <c r="QD65" s="239"/>
      <c r="QE65" s="239"/>
      <c r="QF65" s="239"/>
      <c r="QG65" s="239"/>
      <c r="QH65" s="239"/>
      <c r="QI65" s="239"/>
      <c r="QJ65" s="239"/>
      <c r="QK65" s="239"/>
      <c r="QL65" s="239"/>
      <c r="QM65" s="239"/>
      <c r="QN65" s="239"/>
      <c r="QO65" s="239"/>
      <c r="QP65" s="239"/>
      <c r="QQ65" s="239"/>
      <c r="QR65" s="239"/>
      <c r="QS65" s="239"/>
      <c r="QT65" s="239"/>
      <c r="QU65" s="239"/>
      <c r="QV65" s="239"/>
      <c r="QW65" s="239"/>
      <c r="QX65" s="239"/>
      <c r="QY65" s="239"/>
      <c r="QZ65" s="239"/>
      <c r="RA65" s="239"/>
      <c r="RB65" s="239"/>
      <c r="RC65" s="239"/>
      <c r="RD65" s="239"/>
      <c r="RE65" s="239"/>
      <c r="RF65" s="239"/>
      <c r="RG65" s="239"/>
      <c r="RH65" s="239"/>
      <c r="RI65" s="239"/>
      <c r="RJ65" s="239"/>
      <c r="RK65" s="239"/>
      <c r="RL65" s="239"/>
      <c r="RM65" s="239"/>
      <c r="RN65" s="239"/>
      <c r="RO65" s="239"/>
      <c r="RP65" s="239"/>
      <c r="RQ65" s="239"/>
      <c r="RR65" s="239"/>
      <c r="RS65" s="239"/>
      <c r="RT65" s="239"/>
      <c r="RU65" s="239"/>
      <c r="RV65" s="239"/>
      <c r="RW65" s="239"/>
      <c r="RX65" s="239"/>
      <c r="RY65" s="239"/>
      <c r="RZ65" s="239"/>
      <c r="SA65" s="239"/>
      <c r="SB65" s="239"/>
      <c r="SC65" s="239"/>
      <c r="SD65" s="239"/>
      <c r="SE65" s="239"/>
      <c r="SF65" s="239"/>
      <c r="SG65" s="239"/>
      <c r="SH65" s="239"/>
      <c r="SI65" s="239"/>
      <c r="SJ65" s="239"/>
      <c r="SK65" s="239"/>
      <c r="SL65" s="239"/>
      <c r="SM65" s="239"/>
      <c r="SN65" s="239"/>
      <c r="SO65" s="239"/>
      <c r="SP65" s="239"/>
      <c r="SQ65" s="239"/>
      <c r="SR65" s="239"/>
      <c r="SS65" s="239"/>
      <c r="ST65" s="239"/>
      <c r="SU65" s="239"/>
      <c r="SV65" s="239"/>
      <c r="SW65" s="239"/>
      <c r="SX65" s="239"/>
      <c r="SY65" s="239"/>
      <c r="SZ65" s="239"/>
      <c r="TA65" s="239"/>
      <c r="TB65" s="239"/>
      <c r="TC65" s="239"/>
      <c r="TD65" s="239"/>
      <c r="TE65" s="239"/>
      <c r="TF65" s="239"/>
      <c r="TG65" s="239"/>
      <c r="TH65" s="239"/>
      <c r="TI65" s="239"/>
      <c r="TJ65" s="239"/>
      <c r="TK65" s="239"/>
      <c r="TL65" s="239"/>
      <c r="TM65" s="239"/>
      <c r="TN65" s="239"/>
      <c r="TO65" s="239"/>
      <c r="TP65" s="239"/>
      <c r="TQ65" s="239"/>
      <c r="TR65" s="239"/>
      <c r="TS65" s="239"/>
      <c r="TT65" s="239"/>
      <c r="TU65" s="239"/>
      <c r="TV65" s="239"/>
      <c r="TW65" s="239"/>
      <c r="TX65" s="239"/>
      <c r="TY65" s="239"/>
      <c r="TZ65" s="239"/>
      <c r="UA65" s="239"/>
      <c r="UB65" s="239"/>
      <c r="UC65" s="239"/>
      <c r="UD65" s="239"/>
      <c r="UE65" s="239"/>
      <c r="UF65" s="239"/>
      <c r="UG65" s="240"/>
    </row>
    <row r="66" spans="1:553" s="236" customFormat="1" ht="65.25" customHeight="1">
      <c r="A66" s="356" t="s">
        <v>17</v>
      </c>
      <c r="B66" s="356"/>
      <c r="C66" s="1404" t="s">
        <v>18</v>
      </c>
      <c r="D66" s="1389"/>
      <c r="E66" s="1389"/>
      <c r="F66" s="1390"/>
      <c r="G66" s="356" t="s">
        <v>1393</v>
      </c>
      <c r="H66" s="359">
        <f t="shared" ref="H66" si="15">SUM(H67:H79)</f>
        <v>3750.6000000000004</v>
      </c>
      <c r="I66" s="359">
        <f>SUM(I67:I79)</f>
        <v>3425.0000000000005</v>
      </c>
      <c r="J66" s="368"/>
      <c r="K66" s="371"/>
      <c r="L66" s="461">
        <f>SUM(L67:L79)</f>
        <v>272380400</v>
      </c>
      <c r="M66" s="356"/>
      <c r="N66" s="356"/>
      <c r="O66" s="356"/>
      <c r="P66" s="356">
        <f>L66</f>
        <v>272380400</v>
      </c>
      <c r="Q66" s="1084"/>
      <c r="R66" s="1447" t="s">
        <v>1250</v>
      </c>
      <c r="S66" s="308"/>
      <c r="T66" s="486"/>
      <c r="U66" s="486"/>
      <c r="V66" s="486"/>
      <c r="W66" s="486"/>
      <c r="X66" s="486"/>
      <c r="Y66" s="486"/>
      <c r="Z66" s="486"/>
      <c r="AA66" s="486"/>
      <c r="AB66" s="486"/>
      <c r="AC66" s="486"/>
      <c r="AD66" s="449"/>
      <c r="AE66" s="449"/>
      <c r="AF66" s="449"/>
      <c r="AG66" s="449"/>
      <c r="AH66" s="449"/>
      <c r="AI66" s="449"/>
      <c r="AJ66" s="449"/>
      <c r="AK66" s="452"/>
      <c r="AL66" s="242"/>
      <c r="AM66" s="241"/>
      <c r="AN66" s="241"/>
      <c r="AO66" s="237"/>
      <c r="AP66" s="241"/>
      <c r="AQ66" s="241"/>
      <c r="AR66" s="241"/>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9"/>
      <c r="BQ66" s="239"/>
      <c r="BR66" s="239"/>
      <c r="BS66" s="239"/>
      <c r="BT66" s="239"/>
      <c r="BU66" s="239"/>
      <c r="BV66" s="239"/>
      <c r="BW66" s="239"/>
      <c r="BX66" s="239"/>
      <c r="BY66" s="239"/>
      <c r="BZ66" s="239"/>
      <c r="CA66" s="239"/>
      <c r="CB66" s="239"/>
      <c r="CC66" s="239"/>
      <c r="CD66" s="239"/>
      <c r="CE66" s="239"/>
      <c r="CF66" s="239"/>
      <c r="CG66" s="239"/>
      <c r="CH66" s="239"/>
      <c r="CI66" s="239"/>
      <c r="CJ66" s="239"/>
      <c r="CK66" s="239"/>
      <c r="CL66" s="239"/>
      <c r="CM66" s="239"/>
      <c r="CN66" s="239"/>
      <c r="CO66" s="239"/>
      <c r="CP66" s="239"/>
      <c r="CQ66" s="239"/>
      <c r="CR66" s="239"/>
      <c r="CS66" s="239"/>
      <c r="CT66" s="239"/>
      <c r="CU66" s="239"/>
      <c r="CV66" s="239"/>
      <c r="CW66" s="239"/>
      <c r="CX66" s="239"/>
      <c r="CY66" s="239"/>
      <c r="CZ66" s="239"/>
      <c r="DA66" s="239"/>
      <c r="DB66" s="239"/>
      <c r="DC66" s="239"/>
      <c r="DD66" s="239"/>
      <c r="DE66" s="239"/>
      <c r="DF66" s="239"/>
      <c r="DG66" s="239"/>
      <c r="DH66" s="239"/>
      <c r="DI66" s="239"/>
      <c r="DJ66" s="239"/>
      <c r="DK66" s="239"/>
      <c r="DL66" s="239"/>
      <c r="DM66" s="239"/>
      <c r="DN66" s="239"/>
      <c r="DO66" s="239"/>
      <c r="DP66" s="239"/>
      <c r="DQ66" s="239"/>
      <c r="DR66" s="239"/>
      <c r="DS66" s="239"/>
      <c r="DT66" s="239"/>
      <c r="DU66" s="239"/>
      <c r="DV66" s="239"/>
      <c r="DW66" s="239"/>
      <c r="DX66" s="239"/>
      <c r="DY66" s="239"/>
      <c r="DZ66" s="239"/>
      <c r="EA66" s="239"/>
      <c r="EB66" s="239"/>
      <c r="EC66" s="239"/>
      <c r="ED66" s="239"/>
      <c r="EE66" s="239"/>
      <c r="EF66" s="239"/>
      <c r="EG66" s="239"/>
      <c r="EH66" s="239"/>
      <c r="EI66" s="239"/>
      <c r="EJ66" s="239"/>
      <c r="EK66" s="239"/>
      <c r="EL66" s="239"/>
      <c r="EM66" s="239"/>
      <c r="EN66" s="239"/>
      <c r="EO66" s="239"/>
      <c r="EP66" s="239"/>
      <c r="EQ66" s="239"/>
      <c r="ER66" s="239"/>
      <c r="ES66" s="239"/>
      <c r="ET66" s="239"/>
      <c r="EU66" s="239"/>
      <c r="EV66" s="239"/>
      <c r="EW66" s="239"/>
      <c r="EX66" s="239"/>
      <c r="EY66" s="239"/>
      <c r="EZ66" s="239"/>
      <c r="FA66" s="239"/>
      <c r="FB66" s="239"/>
      <c r="FC66" s="239"/>
      <c r="FD66" s="239"/>
      <c r="FE66" s="239"/>
      <c r="FF66" s="239"/>
      <c r="FG66" s="239"/>
      <c r="FH66" s="239"/>
      <c r="FI66" s="239"/>
      <c r="FJ66" s="239"/>
      <c r="FK66" s="239"/>
      <c r="FL66" s="239"/>
      <c r="FM66" s="239"/>
      <c r="FN66" s="239"/>
      <c r="FO66" s="239"/>
      <c r="FP66" s="239"/>
      <c r="FQ66" s="239"/>
      <c r="FR66" s="239"/>
      <c r="FS66" s="239"/>
      <c r="FT66" s="239"/>
      <c r="FU66" s="239"/>
      <c r="FV66" s="239"/>
      <c r="FW66" s="239"/>
      <c r="FX66" s="239"/>
      <c r="FY66" s="239"/>
      <c r="FZ66" s="239"/>
      <c r="GA66" s="239"/>
      <c r="GB66" s="239"/>
      <c r="GC66" s="239"/>
      <c r="GD66" s="239"/>
      <c r="GE66" s="239"/>
      <c r="GF66" s="239"/>
      <c r="GG66" s="239"/>
      <c r="GH66" s="239"/>
      <c r="GI66" s="239"/>
      <c r="GJ66" s="239"/>
      <c r="GK66" s="239"/>
      <c r="GL66" s="239"/>
      <c r="GM66" s="239"/>
      <c r="GN66" s="239"/>
      <c r="GO66" s="239"/>
      <c r="GP66" s="239"/>
      <c r="GQ66" s="239"/>
      <c r="GR66" s="239"/>
      <c r="GS66" s="239"/>
      <c r="GT66" s="239"/>
      <c r="GU66" s="239"/>
      <c r="GV66" s="239"/>
      <c r="GW66" s="239"/>
      <c r="GX66" s="239"/>
      <c r="GY66" s="239"/>
      <c r="GZ66" s="239"/>
      <c r="HA66" s="239"/>
      <c r="HB66" s="239"/>
      <c r="HC66" s="239"/>
      <c r="HD66" s="239"/>
      <c r="HE66" s="239"/>
      <c r="HF66" s="239"/>
      <c r="HG66" s="239"/>
      <c r="HH66" s="239"/>
      <c r="HI66" s="239"/>
      <c r="HJ66" s="239"/>
      <c r="HK66" s="239"/>
      <c r="HL66" s="239"/>
      <c r="HM66" s="239"/>
      <c r="HN66" s="239"/>
      <c r="HO66" s="239"/>
      <c r="HP66" s="239"/>
      <c r="HQ66" s="239"/>
      <c r="HR66" s="239"/>
      <c r="HS66" s="239"/>
      <c r="HT66" s="239"/>
      <c r="HU66" s="239"/>
      <c r="HV66" s="239"/>
      <c r="HW66" s="239"/>
      <c r="HX66" s="239"/>
      <c r="HY66" s="239"/>
      <c r="HZ66" s="239"/>
      <c r="IA66" s="239"/>
      <c r="IB66" s="239"/>
      <c r="IC66" s="239"/>
      <c r="ID66" s="239"/>
      <c r="IE66" s="239"/>
      <c r="IF66" s="239"/>
      <c r="IG66" s="239"/>
      <c r="IH66" s="239"/>
      <c r="II66" s="239"/>
      <c r="IJ66" s="239"/>
      <c r="IK66" s="239"/>
      <c r="IL66" s="239"/>
      <c r="IM66" s="239"/>
      <c r="IN66" s="239"/>
      <c r="IO66" s="239"/>
      <c r="IP66" s="239"/>
      <c r="IQ66" s="239"/>
      <c r="IR66" s="239"/>
      <c r="IS66" s="239"/>
      <c r="IT66" s="239"/>
      <c r="IU66" s="239"/>
      <c r="IV66" s="239"/>
      <c r="IW66" s="239"/>
      <c r="IX66" s="239"/>
      <c r="IY66" s="239"/>
      <c r="IZ66" s="239"/>
      <c r="JA66" s="239"/>
      <c r="JB66" s="239"/>
      <c r="JC66" s="239"/>
      <c r="JD66" s="239"/>
      <c r="JE66" s="239"/>
      <c r="JF66" s="239"/>
      <c r="JG66" s="239"/>
      <c r="JH66" s="239"/>
      <c r="JI66" s="239"/>
      <c r="JJ66" s="239"/>
      <c r="JK66" s="239"/>
      <c r="JL66" s="239"/>
      <c r="JM66" s="239"/>
      <c r="JN66" s="239"/>
      <c r="JO66" s="239"/>
      <c r="JP66" s="239"/>
      <c r="JQ66" s="239"/>
      <c r="JR66" s="239"/>
      <c r="JS66" s="239"/>
      <c r="JT66" s="239"/>
      <c r="JU66" s="239"/>
      <c r="JV66" s="239"/>
      <c r="JW66" s="239"/>
      <c r="JX66" s="239"/>
      <c r="JY66" s="239"/>
      <c r="JZ66" s="239"/>
      <c r="KA66" s="239"/>
      <c r="KB66" s="239"/>
      <c r="KC66" s="239"/>
      <c r="KD66" s="239"/>
      <c r="KE66" s="239"/>
      <c r="KF66" s="239"/>
      <c r="KG66" s="239"/>
      <c r="KH66" s="239"/>
      <c r="KI66" s="239"/>
      <c r="KJ66" s="239"/>
      <c r="KK66" s="239"/>
      <c r="KL66" s="239"/>
      <c r="KM66" s="239"/>
      <c r="KN66" s="239"/>
      <c r="KO66" s="239"/>
      <c r="KP66" s="239"/>
      <c r="KQ66" s="239"/>
      <c r="KR66" s="239"/>
      <c r="KS66" s="239"/>
      <c r="KT66" s="239"/>
      <c r="KU66" s="239"/>
      <c r="KV66" s="239"/>
      <c r="KW66" s="239"/>
      <c r="KX66" s="239"/>
      <c r="KY66" s="239"/>
      <c r="KZ66" s="239"/>
      <c r="LA66" s="239"/>
      <c r="LB66" s="239"/>
      <c r="LC66" s="239"/>
      <c r="LD66" s="239"/>
      <c r="LE66" s="239"/>
      <c r="LF66" s="239"/>
      <c r="LG66" s="239"/>
      <c r="LH66" s="239"/>
      <c r="LI66" s="239"/>
      <c r="LJ66" s="239"/>
      <c r="LK66" s="239"/>
      <c r="LL66" s="239"/>
      <c r="LM66" s="239"/>
      <c r="LN66" s="239"/>
      <c r="LO66" s="239"/>
      <c r="LP66" s="239"/>
      <c r="LQ66" s="239"/>
      <c r="LR66" s="239"/>
      <c r="LS66" s="239"/>
      <c r="LT66" s="239"/>
      <c r="LU66" s="239"/>
      <c r="LV66" s="239"/>
      <c r="LW66" s="239"/>
      <c r="LX66" s="239"/>
      <c r="LY66" s="239"/>
      <c r="LZ66" s="239"/>
      <c r="MA66" s="239"/>
      <c r="MB66" s="239"/>
      <c r="MC66" s="239"/>
      <c r="MD66" s="239"/>
      <c r="ME66" s="239"/>
      <c r="MF66" s="239"/>
      <c r="MG66" s="239"/>
      <c r="MH66" s="239"/>
      <c r="MI66" s="239"/>
      <c r="MJ66" s="239"/>
      <c r="MK66" s="239"/>
      <c r="ML66" s="239"/>
      <c r="MM66" s="239"/>
      <c r="MN66" s="239"/>
      <c r="MO66" s="239"/>
      <c r="MP66" s="239"/>
      <c r="MQ66" s="239"/>
      <c r="MR66" s="239"/>
      <c r="MS66" s="239"/>
      <c r="MT66" s="239"/>
      <c r="MU66" s="239"/>
      <c r="MV66" s="239"/>
      <c r="MW66" s="239"/>
      <c r="MX66" s="239"/>
      <c r="MY66" s="239"/>
      <c r="MZ66" s="239"/>
      <c r="NA66" s="239"/>
      <c r="NB66" s="239"/>
      <c r="NC66" s="239"/>
      <c r="ND66" s="239"/>
      <c r="NE66" s="239"/>
      <c r="NF66" s="239"/>
      <c r="NG66" s="239"/>
      <c r="NH66" s="239"/>
      <c r="NI66" s="239"/>
      <c r="NJ66" s="239"/>
      <c r="NK66" s="239"/>
      <c r="NL66" s="239"/>
      <c r="NM66" s="239"/>
      <c r="NN66" s="239"/>
      <c r="NO66" s="239"/>
      <c r="NP66" s="239"/>
      <c r="NQ66" s="239"/>
      <c r="NR66" s="239"/>
      <c r="NS66" s="239"/>
      <c r="NT66" s="239"/>
      <c r="NU66" s="239"/>
      <c r="NV66" s="239"/>
      <c r="NW66" s="239"/>
      <c r="NX66" s="239"/>
      <c r="NY66" s="239"/>
      <c r="NZ66" s="239"/>
      <c r="OA66" s="239"/>
      <c r="OB66" s="239"/>
      <c r="OC66" s="239"/>
      <c r="OD66" s="239"/>
      <c r="OE66" s="239"/>
      <c r="OF66" s="239"/>
      <c r="OG66" s="239"/>
      <c r="OH66" s="239"/>
      <c r="OI66" s="239"/>
      <c r="OJ66" s="239"/>
      <c r="OK66" s="239"/>
      <c r="OL66" s="239"/>
      <c r="OM66" s="239"/>
      <c r="ON66" s="239"/>
      <c r="OO66" s="239"/>
      <c r="OP66" s="239"/>
      <c r="OQ66" s="239"/>
      <c r="OR66" s="239"/>
      <c r="OS66" s="239"/>
      <c r="OT66" s="239"/>
      <c r="OU66" s="239"/>
      <c r="OV66" s="239"/>
      <c r="OW66" s="239"/>
      <c r="OX66" s="239"/>
      <c r="OY66" s="239"/>
      <c r="OZ66" s="239"/>
      <c r="PA66" s="239"/>
      <c r="PB66" s="239"/>
      <c r="PC66" s="239"/>
      <c r="PD66" s="239"/>
      <c r="PE66" s="239"/>
      <c r="PF66" s="239"/>
      <c r="PG66" s="239"/>
      <c r="PH66" s="239"/>
      <c r="PI66" s="239"/>
      <c r="PJ66" s="239"/>
      <c r="PK66" s="239"/>
      <c r="PL66" s="239"/>
      <c r="PM66" s="239"/>
      <c r="PN66" s="239"/>
      <c r="PO66" s="239"/>
      <c r="PP66" s="239"/>
      <c r="PQ66" s="239"/>
      <c r="PR66" s="239"/>
      <c r="PS66" s="239"/>
      <c r="PT66" s="239"/>
      <c r="PU66" s="239"/>
      <c r="PV66" s="239"/>
      <c r="PW66" s="239"/>
      <c r="PX66" s="239"/>
      <c r="PY66" s="239"/>
      <c r="PZ66" s="239"/>
      <c r="QA66" s="239"/>
      <c r="QB66" s="239"/>
      <c r="QC66" s="239"/>
      <c r="QD66" s="239"/>
      <c r="QE66" s="239"/>
      <c r="QF66" s="239"/>
      <c r="QG66" s="239"/>
      <c r="QH66" s="239"/>
      <c r="QI66" s="239"/>
      <c r="QJ66" s="239"/>
      <c r="QK66" s="239"/>
      <c r="QL66" s="239"/>
      <c r="QM66" s="239"/>
      <c r="QN66" s="239"/>
      <c r="QO66" s="239"/>
      <c r="QP66" s="239"/>
      <c r="QQ66" s="239"/>
      <c r="QR66" s="239"/>
      <c r="QS66" s="239"/>
      <c r="QT66" s="239"/>
      <c r="QU66" s="239"/>
      <c r="QV66" s="239"/>
      <c r="QW66" s="239"/>
      <c r="QX66" s="239"/>
      <c r="QY66" s="239"/>
      <c r="QZ66" s="239"/>
      <c r="RA66" s="239"/>
      <c r="RB66" s="239"/>
      <c r="RC66" s="239"/>
      <c r="RD66" s="239"/>
      <c r="RE66" s="239"/>
      <c r="RF66" s="239"/>
      <c r="RG66" s="239"/>
      <c r="RH66" s="239"/>
      <c r="RI66" s="239"/>
      <c r="RJ66" s="239"/>
      <c r="RK66" s="239"/>
      <c r="RL66" s="239"/>
      <c r="RM66" s="239"/>
      <c r="RN66" s="239"/>
      <c r="RO66" s="239"/>
      <c r="RP66" s="239"/>
      <c r="RQ66" s="239"/>
      <c r="RR66" s="239"/>
      <c r="RS66" s="239"/>
      <c r="RT66" s="239"/>
      <c r="RU66" s="239"/>
      <c r="RV66" s="239"/>
      <c r="RW66" s="239"/>
      <c r="RX66" s="239"/>
      <c r="RY66" s="239"/>
      <c r="RZ66" s="239"/>
      <c r="SA66" s="239"/>
      <c r="SB66" s="239"/>
      <c r="SC66" s="239"/>
      <c r="SD66" s="239"/>
      <c r="SE66" s="239"/>
      <c r="SF66" s="239"/>
      <c r="SG66" s="239"/>
      <c r="SH66" s="239"/>
      <c r="SI66" s="239"/>
      <c r="SJ66" s="239"/>
      <c r="SK66" s="239"/>
      <c r="SL66" s="239"/>
      <c r="SM66" s="239"/>
      <c r="SN66" s="239"/>
      <c r="SO66" s="239"/>
      <c r="SP66" s="239"/>
      <c r="SQ66" s="239"/>
      <c r="SR66" s="239"/>
      <c r="SS66" s="239"/>
      <c r="ST66" s="239"/>
      <c r="SU66" s="239"/>
      <c r="SV66" s="239"/>
      <c r="SW66" s="239"/>
      <c r="SX66" s="239"/>
      <c r="SY66" s="239"/>
      <c r="SZ66" s="239"/>
      <c r="TA66" s="239"/>
      <c r="TB66" s="239"/>
      <c r="TC66" s="239"/>
      <c r="TD66" s="239"/>
      <c r="TE66" s="239"/>
      <c r="TF66" s="239"/>
      <c r="TG66" s="239"/>
      <c r="TH66" s="239"/>
      <c r="TI66" s="239"/>
      <c r="TJ66" s="239"/>
      <c r="TK66" s="239"/>
      <c r="TL66" s="239"/>
      <c r="TM66" s="239"/>
      <c r="TN66" s="239"/>
      <c r="TO66" s="239"/>
      <c r="TP66" s="239"/>
      <c r="TQ66" s="239"/>
      <c r="TR66" s="239"/>
      <c r="TS66" s="239"/>
      <c r="TT66" s="239"/>
      <c r="TU66" s="239"/>
      <c r="TV66" s="239"/>
      <c r="TW66" s="239"/>
      <c r="TX66" s="239"/>
      <c r="TY66" s="239"/>
      <c r="TZ66" s="239"/>
      <c r="UA66" s="239"/>
      <c r="UB66" s="239"/>
      <c r="UC66" s="239"/>
      <c r="UD66" s="239"/>
      <c r="UE66" s="239"/>
      <c r="UF66" s="239"/>
      <c r="UG66" s="240"/>
    </row>
    <row r="67" spans="1:553" s="1029" customFormat="1" ht="150" customHeight="1">
      <c r="A67" s="356" t="s">
        <v>15</v>
      </c>
      <c r="B67" s="385"/>
      <c r="C67" s="384" t="s">
        <v>19</v>
      </c>
      <c r="D67" s="376" t="s">
        <v>20</v>
      </c>
      <c r="E67" s="376" t="s">
        <v>128</v>
      </c>
      <c r="F67" s="385">
        <v>1</v>
      </c>
      <c r="G67" s="386" t="s">
        <v>935</v>
      </c>
      <c r="H67" s="441">
        <v>313.2</v>
      </c>
      <c r="I67" s="1055">
        <v>313.2</v>
      </c>
      <c r="J67" s="368">
        <v>390000</v>
      </c>
      <c r="K67" s="371"/>
      <c r="L67" s="391">
        <f>ROUND(PRODUCT(I67:K67),0)</f>
        <v>122148000</v>
      </c>
      <c r="M67" s="392"/>
      <c r="N67" s="392"/>
      <c r="O67" s="366"/>
      <c r="P67" s="366"/>
      <c r="Q67" s="1057" t="s">
        <v>877</v>
      </c>
      <c r="R67" s="1452"/>
      <c r="S67" s="308"/>
      <c r="T67" s="303"/>
      <c r="U67" s="306"/>
      <c r="V67" s="307"/>
      <c r="W67" s="306"/>
      <c r="X67" s="306"/>
      <c r="Y67" s="306"/>
      <c r="Z67" s="306"/>
      <c r="AA67" s="306"/>
      <c r="AB67" s="306"/>
      <c r="AC67" s="449">
        <f>I67</f>
        <v>313.2</v>
      </c>
      <c r="AD67" s="449"/>
      <c r="AE67" s="449"/>
      <c r="AF67" s="449"/>
      <c r="AG67" s="449"/>
      <c r="AH67" s="449"/>
      <c r="AI67" s="449"/>
      <c r="AJ67" s="449"/>
      <c r="AK67" s="452"/>
      <c r="AL67" s="242"/>
      <c r="AM67" s="241"/>
      <c r="AN67" s="241"/>
      <c r="AO67" s="241"/>
      <c r="AP67" s="241"/>
      <c r="AQ67" s="241"/>
      <c r="AR67" s="241"/>
      <c r="AS67" s="241"/>
      <c r="AT67" s="1027"/>
      <c r="AU67" s="1027"/>
      <c r="AV67" s="1027"/>
      <c r="AW67" s="1027"/>
      <c r="AX67" s="1027"/>
      <c r="AY67" s="1027"/>
      <c r="AZ67" s="1027"/>
      <c r="BA67" s="1027"/>
      <c r="BB67" s="1027"/>
      <c r="BC67" s="1027"/>
      <c r="BD67" s="1027"/>
      <c r="BE67" s="1027"/>
      <c r="BF67" s="1027"/>
      <c r="BG67" s="1027"/>
      <c r="BH67" s="1027"/>
      <c r="BI67" s="1027"/>
      <c r="BJ67" s="1027"/>
      <c r="BK67" s="1027"/>
      <c r="BL67" s="1027"/>
      <c r="BM67" s="1027"/>
      <c r="BN67" s="1027"/>
      <c r="BO67" s="1027"/>
      <c r="BP67" s="1028"/>
      <c r="BQ67" s="1028"/>
      <c r="BR67" s="1028"/>
      <c r="BS67" s="1028"/>
      <c r="BT67" s="1028"/>
      <c r="BU67" s="1028"/>
      <c r="BV67" s="1028"/>
      <c r="BW67" s="1028"/>
      <c r="BX67" s="1028"/>
      <c r="BY67" s="1028"/>
      <c r="BZ67" s="1028"/>
      <c r="CA67" s="1028"/>
      <c r="CB67" s="1028"/>
      <c r="CC67" s="1028"/>
      <c r="CD67" s="1028"/>
      <c r="CE67" s="1028"/>
      <c r="CF67" s="1028"/>
      <c r="CG67" s="1028"/>
      <c r="CH67" s="1028"/>
      <c r="CI67" s="1028"/>
      <c r="CJ67" s="1028"/>
      <c r="CK67" s="1028"/>
      <c r="CL67" s="1028"/>
      <c r="CM67" s="1028"/>
      <c r="CN67" s="1028"/>
      <c r="CO67" s="1028"/>
      <c r="CP67" s="1028"/>
      <c r="CQ67" s="1028"/>
      <c r="CR67" s="1028"/>
      <c r="CS67" s="1028"/>
      <c r="CT67" s="1028"/>
      <c r="CU67" s="1028"/>
      <c r="CV67" s="1028"/>
      <c r="CW67" s="1028"/>
      <c r="CX67" s="1028"/>
      <c r="CY67" s="1028"/>
      <c r="CZ67" s="1028"/>
      <c r="DA67" s="1028"/>
      <c r="DB67" s="1028"/>
      <c r="DC67" s="1028"/>
      <c r="DD67" s="1028"/>
      <c r="DE67" s="1028"/>
      <c r="DF67" s="1028"/>
      <c r="DG67" s="1028"/>
      <c r="DH67" s="1028"/>
      <c r="DI67" s="1028"/>
      <c r="DJ67" s="1028"/>
      <c r="DK67" s="1028"/>
      <c r="DL67" s="1028"/>
      <c r="DM67" s="1028"/>
      <c r="DN67" s="1028"/>
      <c r="DO67" s="1028"/>
      <c r="DP67" s="1028"/>
      <c r="DQ67" s="1028"/>
      <c r="DR67" s="1028"/>
      <c r="DS67" s="1028"/>
      <c r="DT67" s="1028"/>
      <c r="DU67" s="1028"/>
      <c r="DV67" s="1028"/>
      <c r="DW67" s="1028"/>
      <c r="DX67" s="1028"/>
      <c r="DY67" s="1028"/>
      <c r="DZ67" s="1028"/>
      <c r="EA67" s="1028"/>
      <c r="EB67" s="1028"/>
      <c r="EC67" s="1028"/>
      <c r="ED67" s="1028"/>
      <c r="EE67" s="1028"/>
      <c r="EF67" s="1028"/>
      <c r="EG67" s="1028"/>
      <c r="EH67" s="1028"/>
      <c r="EI67" s="1028"/>
      <c r="EJ67" s="1028"/>
      <c r="EK67" s="1028"/>
      <c r="EL67" s="1028"/>
      <c r="EM67" s="1028"/>
      <c r="EN67" s="1028"/>
      <c r="EO67" s="1028"/>
      <c r="EP67" s="1028"/>
      <c r="EQ67" s="1028"/>
      <c r="ER67" s="1028"/>
      <c r="ES67" s="1028"/>
      <c r="ET67" s="1028"/>
      <c r="EU67" s="1028"/>
      <c r="EV67" s="1028"/>
      <c r="EW67" s="1028"/>
      <c r="EX67" s="1028"/>
      <c r="EY67" s="1028"/>
      <c r="EZ67" s="1028"/>
      <c r="FA67" s="1028"/>
      <c r="FB67" s="1028"/>
      <c r="FC67" s="1028"/>
      <c r="FD67" s="1028"/>
      <c r="FE67" s="1028"/>
      <c r="FF67" s="1028"/>
      <c r="FG67" s="1028"/>
      <c r="FH67" s="1028"/>
      <c r="FI67" s="1028"/>
      <c r="FJ67" s="1028"/>
      <c r="FK67" s="1028"/>
      <c r="FL67" s="1028"/>
      <c r="FM67" s="1028"/>
      <c r="FN67" s="1028"/>
      <c r="FO67" s="1028"/>
      <c r="FP67" s="1028"/>
      <c r="FQ67" s="1028"/>
      <c r="FR67" s="1028"/>
      <c r="FS67" s="1028"/>
      <c r="FT67" s="1028"/>
      <c r="FU67" s="1028"/>
      <c r="FV67" s="1028"/>
      <c r="FW67" s="1028"/>
      <c r="FX67" s="1028"/>
      <c r="FY67" s="1028"/>
      <c r="FZ67" s="1028"/>
      <c r="GA67" s="1028"/>
      <c r="GB67" s="1028"/>
      <c r="GC67" s="1028"/>
      <c r="GD67" s="1028"/>
      <c r="GE67" s="1028"/>
      <c r="GF67" s="1028"/>
      <c r="GG67" s="1028"/>
      <c r="GH67" s="1028"/>
      <c r="GI67" s="1028"/>
      <c r="GJ67" s="1028"/>
      <c r="GK67" s="1028"/>
      <c r="GL67" s="1028"/>
      <c r="GM67" s="1028"/>
      <c r="GN67" s="1028"/>
      <c r="GO67" s="1028"/>
      <c r="GP67" s="1028"/>
      <c r="GQ67" s="1028"/>
      <c r="GR67" s="1028"/>
      <c r="GS67" s="1028"/>
      <c r="GT67" s="1028"/>
      <c r="GU67" s="1028"/>
      <c r="GV67" s="1028"/>
      <c r="GW67" s="1028"/>
      <c r="GX67" s="1028"/>
      <c r="GY67" s="1028"/>
      <c r="GZ67" s="1028"/>
      <c r="HA67" s="1028"/>
      <c r="HB67" s="1028"/>
      <c r="HC67" s="1028"/>
      <c r="HD67" s="1028"/>
      <c r="HE67" s="1028"/>
      <c r="HF67" s="1028"/>
      <c r="HG67" s="1028"/>
      <c r="HH67" s="1028"/>
      <c r="HI67" s="1028"/>
      <c r="HJ67" s="1028"/>
      <c r="HK67" s="1028"/>
      <c r="HL67" s="1028"/>
      <c r="HM67" s="1028"/>
      <c r="HN67" s="1028"/>
      <c r="HO67" s="1028"/>
      <c r="HP67" s="1028"/>
      <c r="HQ67" s="1028"/>
      <c r="HR67" s="1028"/>
      <c r="HS67" s="1028"/>
      <c r="HT67" s="1028"/>
      <c r="HU67" s="1028"/>
      <c r="HV67" s="1028"/>
      <c r="HW67" s="1028"/>
      <c r="HX67" s="1028"/>
      <c r="HY67" s="1028"/>
      <c r="HZ67" s="1028"/>
      <c r="IA67" s="1028"/>
      <c r="IB67" s="1028"/>
      <c r="IC67" s="1028"/>
      <c r="ID67" s="1028"/>
      <c r="IE67" s="1028"/>
      <c r="IF67" s="1028"/>
      <c r="IG67" s="1028"/>
      <c r="IH67" s="1028"/>
      <c r="II67" s="1028"/>
      <c r="IJ67" s="1028"/>
      <c r="IK67" s="1028"/>
      <c r="IL67" s="1028"/>
      <c r="IM67" s="1028"/>
      <c r="IN67" s="1028"/>
      <c r="IO67" s="1028"/>
      <c r="IP67" s="1028"/>
      <c r="IQ67" s="1028"/>
      <c r="IR67" s="1028"/>
      <c r="IS67" s="1028"/>
      <c r="IT67" s="1028"/>
      <c r="IU67" s="1028"/>
      <c r="IV67" s="1028"/>
      <c r="IW67" s="1028"/>
      <c r="IX67" s="1028"/>
      <c r="IY67" s="1028"/>
      <c r="IZ67" s="1028"/>
      <c r="JA67" s="1028"/>
      <c r="JB67" s="1028"/>
      <c r="JC67" s="1028"/>
      <c r="JD67" s="1028"/>
      <c r="JE67" s="1028"/>
      <c r="JF67" s="1028"/>
      <c r="JG67" s="1028"/>
      <c r="JH67" s="1028"/>
      <c r="JI67" s="1028"/>
      <c r="JJ67" s="1028"/>
      <c r="JK67" s="1028"/>
      <c r="JL67" s="1028"/>
      <c r="JM67" s="1028"/>
      <c r="JN67" s="1028"/>
      <c r="JO67" s="1028"/>
      <c r="JP67" s="1028"/>
      <c r="JQ67" s="1028"/>
      <c r="JR67" s="1028"/>
      <c r="JS67" s="1028"/>
      <c r="JT67" s="1028"/>
      <c r="JU67" s="1028"/>
      <c r="JV67" s="1028"/>
      <c r="JW67" s="1028"/>
      <c r="JX67" s="1028"/>
      <c r="JY67" s="1028"/>
      <c r="JZ67" s="1028"/>
      <c r="KA67" s="1028"/>
      <c r="KB67" s="1028"/>
      <c r="KC67" s="1028"/>
      <c r="KD67" s="1028"/>
      <c r="KE67" s="1028"/>
      <c r="KF67" s="1028"/>
      <c r="KG67" s="1028"/>
      <c r="KH67" s="1028"/>
      <c r="KI67" s="1028"/>
      <c r="KJ67" s="1028"/>
      <c r="KK67" s="1028"/>
      <c r="KL67" s="1028"/>
      <c r="KM67" s="1028"/>
      <c r="KN67" s="1028"/>
      <c r="KO67" s="1028"/>
      <c r="KP67" s="1028"/>
      <c r="KQ67" s="1028"/>
      <c r="KR67" s="1028"/>
      <c r="KS67" s="1028"/>
      <c r="KT67" s="1028"/>
      <c r="KU67" s="1028"/>
      <c r="KV67" s="1028"/>
      <c r="KW67" s="1028"/>
      <c r="KX67" s="1028"/>
      <c r="KY67" s="1028"/>
      <c r="KZ67" s="1028"/>
      <c r="LA67" s="1028"/>
      <c r="LB67" s="1028"/>
      <c r="LC67" s="1028"/>
      <c r="LD67" s="1028"/>
      <c r="LE67" s="1028"/>
      <c r="LF67" s="1028"/>
      <c r="LG67" s="1028"/>
      <c r="LH67" s="1028"/>
      <c r="LI67" s="1028"/>
      <c r="LJ67" s="1028"/>
      <c r="LK67" s="1028"/>
      <c r="LL67" s="1028"/>
      <c r="LM67" s="1028"/>
      <c r="LN67" s="1028"/>
      <c r="LO67" s="1028"/>
      <c r="LP67" s="1028"/>
      <c r="LQ67" s="1028"/>
      <c r="LR67" s="1028"/>
      <c r="LS67" s="1028"/>
      <c r="LT67" s="1028"/>
      <c r="LU67" s="1028"/>
      <c r="LV67" s="1028"/>
      <c r="LW67" s="1028"/>
      <c r="LX67" s="1028"/>
      <c r="LY67" s="1028"/>
      <c r="LZ67" s="1028"/>
      <c r="MA67" s="1028"/>
      <c r="MB67" s="1028"/>
      <c r="MC67" s="1028"/>
      <c r="MD67" s="1028"/>
      <c r="ME67" s="1028"/>
      <c r="MF67" s="1028"/>
      <c r="MG67" s="1028"/>
      <c r="MH67" s="1028"/>
      <c r="MI67" s="1028"/>
      <c r="MJ67" s="1028"/>
      <c r="MK67" s="1028"/>
      <c r="ML67" s="1028"/>
      <c r="MM67" s="1028"/>
      <c r="MN67" s="1028"/>
      <c r="MO67" s="1028"/>
      <c r="MP67" s="1028"/>
      <c r="MQ67" s="1028"/>
      <c r="MR67" s="1028"/>
      <c r="MS67" s="1028"/>
      <c r="MT67" s="1028"/>
      <c r="MU67" s="1028"/>
      <c r="MV67" s="1028"/>
      <c r="MW67" s="1028"/>
      <c r="MX67" s="1028"/>
      <c r="MY67" s="1028"/>
      <c r="MZ67" s="1028"/>
      <c r="NA67" s="1028"/>
      <c r="NB67" s="1028"/>
      <c r="NC67" s="1028"/>
      <c r="ND67" s="1028"/>
      <c r="NE67" s="1028"/>
      <c r="NF67" s="1028"/>
      <c r="NG67" s="1028"/>
      <c r="NH67" s="1028"/>
      <c r="NI67" s="1028"/>
      <c r="NJ67" s="1028"/>
      <c r="NK67" s="1028"/>
      <c r="NL67" s="1028"/>
      <c r="NM67" s="1028"/>
      <c r="NN67" s="1028"/>
      <c r="NO67" s="1028"/>
      <c r="NP67" s="1028"/>
      <c r="NQ67" s="1028"/>
      <c r="NR67" s="1028"/>
      <c r="NS67" s="1028"/>
      <c r="NT67" s="1028"/>
      <c r="NU67" s="1028"/>
      <c r="NV67" s="1028"/>
      <c r="NW67" s="1028"/>
      <c r="NX67" s="1028"/>
      <c r="NY67" s="1028"/>
      <c r="NZ67" s="1028"/>
      <c r="OA67" s="1028"/>
      <c r="OB67" s="1028"/>
      <c r="OC67" s="1028"/>
      <c r="OD67" s="1028"/>
      <c r="OE67" s="1028"/>
      <c r="OF67" s="1028"/>
      <c r="OG67" s="1028"/>
      <c r="OH67" s="1028"/>
      <c r="OI67" s="1028"/>
      <c r="OJ67" s="1028"/>
      <c r="OK67" s="1028"/>
      <c r="OL67" s="1028"/>
      <c r="OM67" s="1028"/>
      <c r="ON67" s="1028"/>
      <c r="OO67" s="1028"/>
      <c r="OP67" s="1028"/>
      <c r="OQ67" s="1028"/>
      <c r="OR67" s="1028"/>
      <c r="OS67" s="1028"/>
      <c r="OT67" s="1028"/>
      <c r="OU67" s="1028"/>
      <c r="OV67" s="1028"/>
      <c r="OW67" s="1028"/>
      <c r="OX67" s="1028"/>
      <c r="OY67" s="1028"/>
      <c r="OZ67" s="1028"/>
      <c r="PA67" s="1028"/>
      <c r="PB67" s="1028"/>
      <c r="PC67" s="1028"/>
      <c r="PD67" s="1028"/>
      <c r="PE67" s="1028"/>
      <c r="PF67" s="1028"/>
      <c r="PG67" s="1028"/>
      <c r="PH67" s="1028"/>
      <c r="PI67" s="1028"/>
      <c r="PJ67" s="1028"/>
      <c r="PK67" s="1028"/>
      <c r="PL67" s="1028"/>
      <c r="PM67" s="1028"/>
      <c r="PN67" s="1028"/>
      <c r="PO67" s="1028"/>
      <c r="PP67" s="1028"/>
      <c r="PQ67" s="1028"/>
      <c r="PR67" s="1028"/>
      <c r="PS67" s="1028"/>
      <c r="PT67" s="1028"/>
      <c r="PU67" s="1028"/>
      <c r="PV67" s="1028"/>
      <c r="PW67" s="1028"/>
      <c r="PX67" s="1028"/>
      <c r="PY67" s="1028"/>
      <c r="PZ67" s="1028"/>
      <c r="QA67" s="1028"/>
      <c r="QB67" s="1028"/>
      <c r="QC67" s="1028"/>
      <c r="QD67" s="1028"/>
      <c r="QE67" s="1028"/>
      <c r="QF67" s="1028"/>
      <c r="QG67" s="1028"/>
      <c r="QH67" s="1028"/>
      <c r="QI67" s="1028"/>
      <c r="QJ67" s="1028"/>
      <c r="QK67" s="1028"/>
      <c r="QL67" s="1028"/>
      <c r="QM67" s="1028"/>
      <c r="QN67" s="1028"/>
      <c r="QO67" s="1028"/>
      <c r="QP67" s="1028"/>
      <c r="QQ67" s="1028"/>
      <c r="QR67" s="1028"/>
      <c r="QS67" s="1028"/>
      <c r="QT67" s="1028"/>
      <c r="QU67" s="1028"/>
      <c r="QV67" s="1028"/>
      <c r="QW67" s="1028"/>
      <c r="QX67" s="1028"/>
      <c r="QY67" s="1028"/>
      <c r="QZ67" s="1028"/>
      <c r="RA67" s="1028"/>
      <c r="RB67" s="1028"/>
      <c r="RC67" s="1028"/>
      <c r="RD67" s="1028"/>
      <c r="RE67" s="1028"/>
      <c r="RF67" s="1028"/>
      <c r="RG67" s="1028"/>
      <c r="RH67" s="1028"/>
      <c r="RI67" s="1028"/>
      <c r="RJ67" s="1028"/>
      <c r="RK67" s="1028"/>
      <c r="RL67" s="1028"/>
      <c r="RM67" s="1028"/>
      <c r="RN67" s="1028"/>
      <c r="RO67" s="1028"/>
      <c r="RP67" s="1028"/>
      <c r="RQ67" s="1028"/>
      <c r="RR67" s="1028"/>
      <c r="RS67" s="1028"/>
      <c r="RT67" s="1028"/>
      <c r="RU67" s="1028"/>
      <c r="RV67" s="1028"/>
      <c r="RW67" s="1028"/>
      <c r="RX67" s="1028"/>
      <c r="RY67" s="1028"/>
      <c r="RZ67" s="1028"/>
      <c r="SA67" s="1028"/>
      <c r="SB67" s="1028"/>
      <c r="SC67" s="1028"/>
      <c r="SD67" s="1028"/>
      <c r="SE67" s="1028"/>
      <c r="SF67" s="1028"/>
      <c r="SG67" s="1028"/>
      <c r="SH67" s="1028"/>
      <c r="SI67" s="1028"/>
      <c r="SJ67" s="1028"/>
      <c r="SK67" s="1028"/>
      <c r="SL67" s="1028"/>
      <c r="SM67" s="1028"/>
      <c r="SN67" s="1028"/>
      <c r="SO67" s="1028"/>
      <c r="SP67" s="1028"/>
      <c r="SQ67" s="1028"/>
      <c r="SR67" s="1028"/>
      <c r="SS67" s="1028"/>
      <c r="ST67" s="1028"/>
      <c r="SU67" s="1028"/>
      <c r="SV67" s="1028"/>
      <c r="SW67" s="1028"/>
      <c r="SX67" s="1028"/>
      <c r="SY67" s="1028"/>
      <c r="SZ67" s="1028"/>
      <c r="TA67" s="1028"/>
      <c r="TB67" s="1028"/>
      <c r="TC67" s="1028"/>
      <c r="TD67" s="1028"/>
      <c r="TE67" s="1028"/>
      <c r="TF67" s="1028"/>
      <c r="TG67" s="1028"/>
      <c r="TH67" s="1028"/>
      <c r="TI67" s="1028"/>
      <c r="TJ67" s="1028"/>
      <c r="TK67" s="1028"/>
      <c r="TL67" s="1028"/>
      <c r="TM67" s="1028"/>
      <c r="TN67" s="1028"/>
      <c r="TO67" s="1028"/>
      <c r="TP67" s="1028"/>
      <c r="TQ67" s="1028"/>
      <c r="TR67" s="1028"/>
      <c r="TS67" s="1028"/>
      <c r="TT67" s="1028"/>
      <c r="TU67" s="1028"/>
      <c r="TV67" s="1028"/>
      <c r="TW67" s="1028"/>
      <c r="TX67" s="1028"/>
      <c r="TY67" s="1028"/>
      <c r="TZ67" s="1028"/>
      <c r="UA67" s="1028"/>
      <c r="UB67" s="1028"/>
      <c r="UC67" s="1028"/>
      <c r="UD67" s="1028"/>
      <c r="UE67" s="1028"/>
      <c r="UF67" s="1028"/>
      <c r="UG67" s="867"/>
    </row>
    <row r="68" spans="1:553" s="1029" customFormat="1" ht="150" customHeight="1">
      <c r="A68" s="366" t="s">
        <v>15</v>
      </c>
      <c r="B68" s="366"/>
      <c r="C68" s="384" t="s">
        <v>69</v>
      </c>
      <c r="D68" s="376" t="s">
        <v>20</v>
      </c>
      <c r="E68" s="376" t="s">
        <v>129</v>
      </c>
      <c r="F68" s="385">
        <v>1</v>
      </c>
      <c r="G68" s="386" t="s">
        <v>935</v>
      </c>
      <c r="H68" s="441">
        <v>15.9</v>
      </c>
      <c r="I68" s="490">
        <v>15.9</v>
      </c>
      <c r="J68" s="477">
        <v>55000</v>
      </c>
      <c r="K68" s="388"/>
      <c r="L68" s="366">
        <f t="shared" ref="L68:L74" si="16">PRODUCT(I68:K68)</f>
        <v>874500</v>
      </c>
      <c r="M68" s="366"/>
      <c r="N68" s="366"/>
      <c r="O68" s="366"/>
      <c r="P68" s="366"/>
      <c r="Q68" s="1036" t="s">
        <v>130</v>
      </c>
      <c r="R68" s="1452"/>
      <c r="S68" s="309"/>
      <c r="T68" s="310"/>
      <c r="U68" s="311"/>
      <c r="V68" s="312"/>
      <c r="W68" s="311"/>
      <c r="X68" s="311">
        <f>I68</f>
        <v>15.9</v>
      </c>
      <c r="Y68" s="311"/>
      <c r="Z68" s="311"/>
      <c r="AA68" s="311"/>
      <c r="AB68" s="311"/>
      <c r="AC68" s="463"/>
      <c r="AD68" s="452"/>
      <c r="AE68" s="452"/>
      <c r="AF68" s="452"/>
      <c r="AG68" s="452"/>
      <c r="AH68" s="452"/>
      <c r="AI68" s="452"/>
      <c r="AJ68" s="452"/>
      <c r="AK68" s="452"/>
      <c r="AL68" s="242"/>
      <c r="AM68" s="241"/>
      <c r="AN68" s="241"/>
      <c r="AO68" s="241"/>
      <c r="AP68" s="241"/>
      <c r="AQ68" s="241"/>
      <c r="AR68" s="241"/>
      <c r="AS68" s="241"/>
      <c r="AT68" s="241"/>
      <c r="AU68" s="241"/>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c r="CO68" s="241"/>
      <c r="CP68" s="241"/>
      <c r="CQ68" s="241"/>
      <c r="CR68" s="241"/>
      <c r="CS68" s="241"/>
      <c r="CT68" s="241"/>
      <c r="CU68" s="241"/>
      <c r="CV68" s="241"/>
      <c r="CW68" s="241"/>
      <c r="CX68" s="241"/>
      <c r="CY68" s="241"/>
      <c r="CZ68" s="241"/>
      <c r="DA68" s="241"/>
      <c r="DB68" s="241"/>
      <c r="DC68" s="241"/>
      <c r="DD68" s="241"/>
      <c r="DE68" s="241"/>
      <c r="DF68" s="241"/>
      <c r="DG68" s="241"/>
      <c r="DH68" s="241"/>
      <c r="DI68" s="241"/>
      <c r="DJ68" s="241"/>
      <c r="DK68" s="241"/>
      <c r="DL68" s="241"/>
      <c r="DM68" s="241"/>
      <c r="DN68" s="241"/>
      <c r="DO68" s="241"/>
      <c r="DP68" s="241"/>
      <c r="DQ68" s="241"/>
      <c r="DR68" s="241"/>
      <c r="DS68" s="241"/>
      <c r="DT68" s="241"/>
      <c r="DU68" s="241"/>
      <c r="DV68" s="241"/>
      <c r="DW68" s="241"/>
      <c r="DX68" s="241"/>
      <c r="DY68" s="241"/>
      <c r="DZ68" s="241"/>
      <c r="EA68" s="241"/>
      <c r="EB68" s="241"/>
      <c r="EC68" s="241"/>
      <c r="ED68" s="241"/>
      <c r="EE68" s="241"/>
      <c r="EF68" s="241"/>
      <c r="EG68" s="241"/>
      <c r="EH68" s="241"/>
      <c r="EI68" s="241"/>
      <c r="EJ68" s="241"/>
      <c r="EK68" s="241"/>
      <c r="EL68" s="241"/>
      <c r="EM68" s="241"/>
      <c r="EN68" s="241"/>
      <c r="EO68" s="241"/>
      <c r="EP68" s="241"/>
      <c r="EQ68" s="241"/>
      <c r="ER68" s="241"/>
      <c r="ES68" s="241"/>
      <c r="ET68" s="241"/>
      <c r="EU68" s="241"/>
      <c r="EV68" s="241"/>
      <c r="EW68" s="241"/>
      <c r="EX68" s="241"/>
      <c r="EY68" s="241"/>
      <c r="EZ68" s="241"/>
      <c r="FA68" s="241"/>
      <c r="FB68" s="241"/>
      <c r="FC68" s="241"/>
      <c r="FD68" s="241"/>
      <c r="FE68" s="241"/>
      <c r="FF68" s="241"/>
      <c r="FG68" s="241"/>
      <c r="FH68" s="241"/>
      <c r="FI68" s="241"/>
      <c r="FJ68" s="241"/>
      <c r="FK68" s="241"/>
      <c r="FL68" s="241"/>
      <c r="FM68" s="241"/>
      <c r="FN68" s="241"/>
      <c r="FO68" s="241"/>
      <c r="FP68" s="241"/>
      <c r="FQ68" s="241"/>
      <c r="FR68" s="241"/>
      <c r="FS68" s="241"/>
      <c r="FT68" s="241"/>
      <c r="FU68" s="241"/>
      <c r="FV68" s="241"/>
      <c r="FW68" s="241"/>
      <c r="FX68" s="241"/>
      <c r="FY68" s="241"/>
      <c r="FZ68" s="241"/>
      <c r="GA68" s="241"/>
      <c r="GB68" s="241"/>
      <c r="GC68" s="241"/>
      <c r="GD68" s="241"/>
      <c r="GE68" s="241"/>
      <c r="GF68" s="241"/>
      <c r="GG68" s="241"/>
      <c r="GH68" s="241"/>
      <c r="GI68" s="241"/>
      <c r="GJ68" s="241"/>
      <c r="GK68" s="241"/>
      <c r="GL68" s="241"/>
      <c r="GM68" s="241"/>
      <c r="GN68" s="241"/>
      <c r="GO68" s="241"/>
      <c r="GP68" s="241"/>
      <c r="GQ68" s="241"/>
      <c r="GR68" s="241"/>
      <c r="GS68" s="241"/>
      <c r="GT68" s="241"/>
      <c r="GU68" s="241"/>
      <c r="GV68" s="241"/>
      <c r="GW68" s="241"/>
      <c r="GX68" s="241"/>
      <c r="GY68" s="241"/>
      <c r="GZ68" s="241"/>
      <c r="HA68" s="241"/>
      <c r="HB68" s="241"/>
      <c r="HC68" s="241"/>
      <c r="HD68" s="241"/>
      <c r="HE68" s="241"/>
      <c r="HF68" s="241"/>
      <c r="HG68" s="241"/>
      <c r="HH68" s="241"/>
      <c r="HI68" s="241"/>
      <c r="HJ68" s="241"/>
      <c r="HK68" s="241"/>
      <c r="HL68" s="241"/>
      <c r="HM68" s="241"/>
      <c r="HN68" s="241"/>
      <c r="HO68" s="241"/>
      <c r="HP68" s="241"/>
      <c r="HQ68" s="241"/>
      <c r="HR68" s="241"/>
      <c r="HS68" s="241"/>
      <c r="HT68" s="241"/>
      <c r="HU68" s="241"/>
      <c r="HV68" s="241"/>
      <c r="HW68" s="241"/>
      <c r="HX68" s="241"/>
      <c r="HY68" s="241"/>
      <c r="HZ68" s="241"/>
      <c r="IA68" s="241"/>
      <c r="IB68" s="241"/>
      <c r="IC68" s="241"/>
      <c r="ID68" s="241"/>
      <c r="IE68" s="241"/>
      <c r="IF68" s="241"/>
      <c r="IG68" s="241"/>
      <c r="IH68" s="241"/>
      <c r="II68" s="241"/>
      <c r="IJ68" s="241"/>
      <c r="IK68" s="241"/>
      <c r="IL68" s="241"/>
      <c r="IM68" s="241"/>
      <c r="IN68" s="241"/>
      <c r="IO68" s="241"/>
      <c r="IP68" s="241"/>
      <c r="IQ68" s="241"/>
      <c r="IR68" s="241"/>
      <c r="IS68" s="241"/>
      <c r="IT68" s="241"/>
      <c r="IU68" s="241"/>
      <c r="IV68" s="241"/>
      <c r="IW68" s="241"/>
      <c r="IX68" s="241"/>
      <c r="IY68" s="241"/>
      <c r="IZ68" s="241"/>
      <c r="JA68" s="241"/>
      <c r="JB68" s="241"/>
      <c r="JC68" s="241"/>
      <c r="JD68" s="241"/>
      <c r="JE68" s="241"/>
      <c r="JF68" s="241"/>
      <c r="JG68" s="241"/>
      <c r="JH68" s="241"/>
      <c r="JI68" s="241"/>
      <c r="JJ68" s="241"/>
      <c r="JK68" s="241"/>
      <c r="JL68" s="241"/>
      <c r="JM68" s="241"/>
      <c r="JN68" s="241"/>
      <c r="JO68" s="241"/>
      <c r="JP68" s="241"/>
      <c r="JQ68" s="241"/>
      <c r="JR68" s="241"/>
      <c r="JS68" s="241"/>
      <c r="JT68" s="241"/>
      <c r="JU68" s="241"/>
      <c r="JV68" s="241"/>
      <c r="JW68" s="241"/>
      <c r="JX68" s="241"/>
      <c r="JY68" s="241"/>
      <c r="JZ68" s="241"/>
      <c r="KA68" s="241"/>
      <c r="KB68" s="241"/>
      <c r="KC68" s="241"/>
      <c r="KD68" s="241"/>
      <c r="KE68" s="241"/>
      <c r="KF68" s="241"/>
      <c r="KG68" s="241"/>
      <c r="KH68" s="241"/>
      <c r="KI68" s="241"/>
      <c r="KJ68" s="241"/>
      <c r="KK68" s="241"/>
      <c r="KL68" s="241"/>
      <c r="KM68" s="241"/>
      <c r="KN68" s="241"/>
      <c r="KO68" s="241"/>
      <c r="KP68" s="241"/>
      <c r="KQ68" s="241"/>
      <c r="KR68" s="241"/>
      <c r="KS68" s="241"/>
      <c r="KT68" s="241"/>
      <c r="KU68" s="241"/>
      <c r="KV68" s="241"/>
      <c r="KW68" s="241"/>
      <c r="KX68" s="241"/>
      <c r="KY68" s="241"/>
      <c r="KZ68" s="241"/>
      <c r="LA68" s="241"/>
      <c r="LB68" s="241"/>
      <c r="LC68" s="241"/>
      <c r="LD68" s="241"/>
      <c r="LE68" s="241"/>
      <c r="LF68" s="241"/>
      <c r="LG68" s="241"/>
      <c r="LH68" s="241"/>
      <c r="LI68" s="241"/>
      <c r="LJ68" s="241"/>
      <c r="LK68" s="241"/>
      <c r="LL68" s="241"/>
      <c r="LM68" s="241"/>
      <c r="LN68" s="241"/>
      <c r="LO68" s="241"/>
      <c r="LP68" s="241"/>
      <c r="LQ68" s="241"/>
      <c r="LR68" s="241"/>
      <c r="LS68" s="241"/>
      <c r="LT68" s="241"/>
      <c r="LU68" s="241"/>
      <c r="LV68" s="241"/>
      <c r="LW68" s="241"/>
      <c r="LX68" s="241"/>
      <c r="LY68" s="241"/>
      <c r="LZ68" s="241"/>
      <c r="MA68" s="241"/>
      <c r="MB68" s="241"/>
      <c r="MC68" s="241"/>
      <c r="MD68" s="241"/>
      <c r="ME68" s="241"/>
      <c r="MF68" s="241"/>
      <c r="MG68" s="241"/>
      <c r="MH68" s="241"/>
      <c r="MI68" s="241"/>
      <c r="MJ68" s="241"/>
      <c r="MK68" s="241"/>
      <c r="ML68" s="241"/>
      <c r="MM68" s="241"/>
      <c r="MN68" s="241"/>
      <c r="MO68" s="241"/>
      <c r="MP68" s="241"/>
      <c r="MQ68" s="241"/>
      <c r="MR68" s="241"/>
      <c r="MS68" s="241"/>
      <c r="MT68" s="241"/>
      <c r="MU68" s="241"/>
      <c r="MV68" s="241"/>
      <c r="MW68" s="241"/>
      <c r="MX68" s="241"/>
      <c r="MY68" s="241"/>
      <c r="MZ68" s="241"/>
      <c r="NA68" s="241"/>
      <c r="NB68" s="241"/>
      <c r="NC68" s="241"/>
      <c r="ND68" s="241"/>
      <c r="NE68" s="241"/>
      <c r="NF68" s="241"/>
      <c r="NG68" s="241"/>
      <c r="NH68" s="241"/>
      <c r="NI68" s="241"/>
      <c r="NJ68" s="241"/>
      <c r="NK68" s="241"/>
      <c r="NL68" s="241"/>
      <c r="NM68" s="241"/>
      <c r="NN68" s="241"/>
      <c r="NO68" s="241"/>
      <c r="NP68" s="241"/>
      <c r="NQ68" s="241"/>
      <c r="NR68" s="241"/>
      <c r="NS68" s="241"/>
      <c r="NT68" s="241"/>
      <c r="NU68" s="241"/>
      <c r="NV68" s="241"/>
      <c r="NW68" s="241"/>
      <c r="NX68" s="241"/>
      <c r="NY68" s="241"/>
      <c r="NZ68" s="241"/>
      <c r="OA68" s="241"/>
      <c r="OB68" s="241"/>
      <c r="OC68" s="241"/>
      <c r="OD68" s="241"/>
      <c r="OE68" s="241"/>
      <c r="OF68" s="241"/>
      <c r="OG68" s="241"/>
      <c r="OH68" s="241"/>
      <c r="OI68" s="241"/>
      <c r="OJ68" s="241"/>
      <c r="OK68" s="241"/>
      <c r="OL68" s="241"/>
      <c r="OM68" s="241"/>
      <c r="ON68" s="241"/>
      <c r="OO68" s="241"/>
      <c r="OP68" s="241"/>
      <c r="OQ68" s="241"/>
      <c r="OR68" s="241"/>
      <c r="OS68" s="241"/>
      <c r="OT68" s="241"/>
      <c r="OU68" s="241"/>
      <c r="OV68" s="241"/>
      <c r="OW68" s="241"/>
      <c r="OX68" s="241"/>
      <c r="OY68" s="241"/>
      <c r="OZ68" s="241"/>
      <c r="PA68" s="241"/>
      <c r="PB68" s="241"/>
      <c r="PC68" s="241"/>
      <c r="PD68" s="241"/>
      <c r="PE68" s="241"/>
      <c r="PF68" s="241"/>
      <c r="PG68" s="241"/>
      <c r="PH68" s="241"/>
      <c r="PI68" s="241"/>
      <c r="PJ68" s="241"/>
      <c r="PK68" s="241"/>
      <c r="PL68" s="241"/>
      <c r="PM68" s="241"/>
      <c r="PN68" s="241"/>
      <c r="PO68" s="241"/>
      <c r="PP68" s="241"/>
      <c r="PQ68" s="241"/>
      <c r="PR68" s="241"/>
      <c r="PS68" s="241"/>
      <c r="PT68" s="241"/>
      <c r="PU68" s="241"/>
      <c r="PV68" s="241"/>
      <c r="PW68" s="241"/>
      <c r="PX68" s="241"/>
      <c r="PY68" s="241"/>
      <c r="PZ68" s="241"/>
      <c r="QA68" s="241"/>
      <c r="QB68" s="241"/>
      <c r="QC68" s="241"/>
      <c r="QD68" s="241"/>
      <c r="QE68" s="241"/>
      <c r="QF68" s="241"/>
      <c r="QG68" s="241"/>
      <c r="QH68" s="241"/>
      <c r="QI68" s="241"/>
      <c r="QJ68" s="241"/>
      <c r="QK68" s="241"/>
      <c r="QL68" s="241"/>
      <c r="QM68" s="241"/>
      <c r="QN68" s="241"/>
      <c r="QO68" s="241"/>
      <c r="QP68" s="241"/>
      <c r="QQ68" s="241"/>
      <c r="QR68" s="241"/>
      <c r="QS68" s="241"/>
      <c r="QT68" s="241"/>
      <c r="QU68" s="241"/>
      <c r="QV68" s="241"/>
      <c r="QW68" s="241"/>
      <c r="QX68" s="241"/>
      <c r="QY68" s="241"/>
      <c r="QZ68" s="241"/>
      <c r="RA68" s="241"/>
      <c r="RB68" s="241"/>
      <c r="RC68" s="241"/>
      <c r="RD68" s="241"/>
      <c r="RE68" s="241"/>
      <c r="RF68" s="241"/>
      <c r="RG68" s="241"/>
      <c r="RH68" s="241"/>
      <c r="RI68" s="241"/>
      <c r="RJ68" s="241"/>
      <c r="RK68" s="241"/>
      <c r="RL68" s="241"/>
      <c r="RM68" s="241"/>
      <c r="RN68" s="241"/>
      <c r="RO68" s="241"/>
      <c r="RP68" s="241"/>
      <c r="RQ68" s="241"/>
      <c r="RR68" s="241"/>
      <c r="RS68" s="241"/>
      <c r="RT68" s="241"/>
      <c r="RU68" s="241"/>
      <c r="RV68" s="241"/>
      <c r="RW68" s="241"/>
      <c r="RX68" s="241"/>
      <c r="RY68" s="241"/>
      <c r="RZ68" s="241"/>
      <c r="SA68" s="241"/>
      <c r="SB68" s="241"/>
      <c r="SC68" s="241"/>
      <c r="SD68" s="241"/>
      <c r="SE68" s="241"/>
      <c r="SF68" s="241"/>
      <c r="SG68" s="241"/>
      <c r="SH68" s="241"/>
      <c r="SI68" s="241"/>
      <c r="SJ68" s="241"/>
      <c r="SK68" s="241"/>
      <c r="SL68" s="241"/>
      <c r="SM68" s="241"/>
      <c r="SN68" s="241"/>
      <c r="SO68" s="241"/>
      <c r="SP68" s="241"/>
      <c r="SQ68" s="241"/>
      <c r="SR68" s="241"/>
      <c r="SS68" s="241"/>
      <c r="ST68" s="241"/>
      <c r="SU68" s="241"/>
      <c r="SV68" s="241"/>
      <c r="SW68" s="241"/>
      <c r="SX68" s="241"/>
      <c r="SY68" s="241"/>
      <c r="SZ68" s="241"/>
      <c r="TA68" s="241"/>
      <c r="TB68" s="241"/>
      <c r="TC68" s="241"/>
      <c r="TD68" s="241"/>
      <c r="TE68" s="241"/>
      <c r="TF68" s="241"/>
      <c r="TG68" s="241"/>
      <c r="TH68" s="241"/>
      <c r="TI68" s="241"/>
      <c r="TJ68" s="241"/>
      <c r="TK68" s="241"/>
      <c r="TL68" s="241"/>
      <c r="TM68" s="241"/>
      <c r="TN68" s="241"/>
      <c r="TO68" s="241"/>
      <c r="TP68" s="241"/>
      <c r="TQ68" s="241"/>
      <c r="TR68" s="241"/>
      <c r="TS68" s="241"/>
      <c r="TT68" s="241"/>
      <c r="TU68" s="241"/>
      <c r="TV68" s="241"/>
      <c r="TW68" s="241"/>
      <c r="TX68" s="241"/>
      <c r="TY68" s="241"/>
      <c r="TZ68" s="241"/>
      <c r="UA68" s="241"/>
      <c r="UB68" s="241"/>
      <c r="UC68" s="241"/>
      <c r="UD68" s="241"/>
      <c r="UE68" s="241"/>
      <c r="UF68" s="241"/>
      <c r="UG68" s="1030"/>
    </row>
    <row r="69" spans="1:553" s="1029" customFormat="1" ht="150" customHeight="1">
      <c r="A69" s="366" t="s">
        <v>15</v>
      </c>
      <c r="B69" s="366"/>
      <c r="C69" s="384" t="s">
        <v>69</v>
      </c>
      <c r="D69" s="376" t="s">
        <v>20</v>
      </c>
      <c r="E69" s="376" t="s">
        <v>131</v>
      </c>
      <c r="F69" s="385">
        <v>1</v>
      </c>
      <c r="G69" s="386" t="s">
        <v>935</v>
      </c>
      <c r="H69" s="441">
        <v>91.8</v>
      </c>
      <c r="I69" s="490">
        <v>91.8</v>
      </c>
      <c r="J69" s="477">
        <v>55000</v>
      </c>
      <c r="K69" s="388"/>
      <c r="L69" s="366">
        <f t="shared" si="16"/>
        <v>5049000</v>
      </c>
      <c r="M69" s="366"/>
      <c r="N69" s="366"/>
      <c r="O69" s="366"/>
      <c r="P69" s="366"/>
      <c r="Q69" s="1036" t="s">
        <v>130</v>
      </c>
      <c r="R69" s="1452"/>
      <c r="S69" s="308"/>
      <c r="T69" s="303"/>
      <c r="U69" s="306"/>
      <c r="V69" s="307"/>
      <c r="W69" s="306"/>
      <c r="X69" s="306">
        <f>I69</f>
        <v>91.8</v>
      </c>
      <c r="Y69" s="306"/>
      <c r="Z69" s="306"/>
      <c r="AA69" s="306"/>
      <c r="AB69" s="306"/>
      <c r="AC69" s="463"/>
      <c r="AD69" s="452"/>
      <c r="AE69" s="452"/>
      <c r="AF69" s="452"/>
      <c r="AG69" s="452"/>
      <c r="AH69" s="452"/>
      <c r="AI69" s="452"/>
      <c r="AJ69" s="452"/>
      <c r="AK69" s="452"/>
      <c r="AL69" s="242"/>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c r="CO69" s="241"/>
      <c r="CP69" s="241"/>
      <c r="CQ69" s="241"/>
      <c r="CR69" s="241"/>
      <c r="CS69" s="241"/>
      <c r="CT69" s="241"/>
      <c r="CU69" s="241"/>
      <c r="CV69" s="241"/>
      <c r="CW69" s="241"/>
      <c r="CX69" s="241"/>
      <c r="CY69" s="241"/>
      <c r="CZ69" s="241"/>
      <c r="DA69" s="241"/>
      <c r="DB69" s="241"/>
      <c r="DC69" s="241"/>
      <c r="DD69" s="241"/>
      <c r="DE69" s="241"/>
      <c r="DF69" s="241"/>
      <c r="DG69" s="241"/>
      <c r="DH69" s="241"/>
      <c r="DI69" s="241"/>
      <c r="DJ69" s="241"/>
      <c r="DK69" s="241"/>
      <c r="DL69" s="241"/>
      <c r="DM69" s="241"/>
      <c r="DN69" s="241"/>
      <c r="DO69" s="241"/>
      <c r="DP69" s="241"/>
      <c r="DQ69" s="241"/>
      <c r="DR69" s="241"/>
      <c r="DS69" s="241"/>
      <c r="DT69" s="241"/>
      <c r="DU69" s="241"/>
      <c r="DV69" s="241"/>
      <c r="DW69" s="241"/>
      <c r="DX69" s="241"/>
      <c r="DY69" s="241"/>
      <c r="DZ69" s="241"/>
      <c r="EA69" s="241"/>
      <c r="EB69" s="241"/>
      <c r="EC69" s="241"/>
      <c r="ED69" s="241"/>
      <c r="EE69" s="241"/>
      <c r="EF69" s="241"/>
      <c r="EG69" s="241"/>
      <c r="EH69" s="241"/>
      <c r="EI69" s="241"/>
      <c r="EJ69" s="241"/>
      <c r="EK69" s="241"/>
      <c r="EL69" s="241"/>
      <c r="EM69" s="241"/>
      <c r="EN69" s="241"/>
      <c r="EO69" s="241"/>
      <c r="EP69" s="241"/>
      <c r="EQ69" s="241"/>
      <c r="ER69" s="241"/>
      <c r="ES69" s="241"/>
      <c r="ET69" s="241"/>
      <c r="EU69" s="241"/>
      <c r="EV69" s="241"/>
      <c r="EW69" s="241"/>
      <c r="EX69" s="241"/>
      <c r="EY69" s="241"/>
      <c r="EZ69" s="241"/>
      <c r="FA69" s="241"/>
      <c r="FB69" s="241"/>
      <c r="FC69" s="241"/>
      <c r="FD69" s="241"/>
      <c r="FE69" s="241"/>
      <c r="FF69" s="241"/>
      <c r="FG69" s="241"/>
      <c r="FH69" s="241"/>
      <c r="FI69" s="241"/>
      <c r="FJ69" s="241"/>
      <c r="FK69" s="241"/>
      <c r="FL69" s="241"/>
      <c r="FM69" s="241"/>
      <c r="FN69" s="241"/>
      <c r="FO69" s="241"/>
      <c r="FP69" s="241"/>
      <c r="FQ69" s="241"/>
      <c r="FR69" s="241"/>
      <c r="FS69" s="241"/>
      <c r="FT69" s="241"/>
      <c r="FU69" s="241"/>
      <c r="FV69" s="241"/>
      <c r="FW69" s="241"/>
      <c r="FX69" s="241"/>
      <c r="FY69" s="241"/>
      <c r="FZ69" s="241"/>
      <c r="GA69" s="241"/>
      <c r="GB69" s="241"/>
      <c r="GC69" s="241"/>
      <c r="GD69" s="241"/>
      <c r="GE69" s="241"/>
      <c r="GF69" s="241"/>
      <c r="GG69" s="241"/>
      <c r="GH69" s="241"/>
      <c r="GI69" s="241"/>
      <c r="GJ69" s="241"/>
      <c r="GK69" s="241"/>
      <c r="GL69" s="241"/>
      <c r="GM69" s="241"/>
      <c r="GN69" s="241"/>
      <c r="GO69" s="241"/>
      <c r="GP69" s="241"/>
      <c r="GQ69" s="241"/>
      <c r="GR69" s="241"/>
      <c r="GS69" s="241"/>
      <c r="GT69" s="241"/>
      <c r="GU69" s="241"/>
      <c r="GV69" s="241"/>
      <c r="GW69" s="241"/>
      <c r="GX69" s="241"/>
      <c r="GY69" s="241"/>
      <c r="GZ69" s="241"/>
      <c r="HA69" s="241"/>
      <c r="HB69" s="241"/>
      <c r="HC69" s="241"/>
      <c r="HD69" s="241"/>
      <c r="HE69" s="241"/>
      <c r="HF69" s="241"/>
      <c r="HG69" s="241"/>
      <c r="HH69" s="241"/>
      <c r="HI69" s="241"/>
      <c r="HJ69" s="241"/>
      <c r="HK69" s="241"/>
      <c r="HL69" s="241"/>
      <c r="HM69" s="241"/>
      <c r="HN69" s="241"/>
      <c r="HO69" s="241"/>
      <c r="HP69" s="241"/>
      <c r="HQ69" s="241"/>
      <c r="HR69" s="241"/>
      <c r="HS69" s="241"/>
      <c r="HT69" s="241"/>
      <c r="HU69" s="241"/>
      <c r="HV69" s="241"/>
      <c r="HW69" s="241"/>
      <c r="HX69" s="241"/>
      <c r="HY69" s="241"/>
      <c r="HZ69" s="241"/>
      <c r="IA69" s="241"/>
      <c r="IB69" s="241"/>
      <c r="IC69" s="241"/>
      <c r="ID69" s="241"/>
      <c r="IE69" s="241"/>
      <c r="IF69" s="241"/>
      <c r="IG69" s="241"/>
      <c r="IH69" s="241"/>
      <c r="II69" s="241"/>
      <c r="IJ69" s="241"/>
      <c r="IK69" s="241"/>
      <c r="IL69" s="241"/>
      <c r="IM69" s="241"/>
      <c r="IN69" s="241"/>
      <c r="IO69" s="241"/>
      <c r="IP69" s="241"/>
      <c r="IQ69" s="241"/>
      <c r="IR69" s="241"/>
      <c r="IS69" s="241"/>
      <c r="IT69" s="241"/>
      <c r="IU69" s="241"/>
      <c r="IV69" s="241"/>
      <c r="IW69" s="241"/>
      <c r="IX69" s="241"/>
      <c r="IY69" s="241"/>
      <c r="IZ69" s="241"/>
      <c r="JA69" s="241"/>
      <c r="JB69" s="241"/>
      <c r="JC69" s="241"/>
      <c r="JD69" s="241"/>
      <c r="JE69" s="241"/>
      <c r="JF69" s="241"/>
      <c r="JG69" s="241"/>
      <c r="JH69" s="241"/>
      <c r="JI69" s="241"/>
      <c r="JJ69" s="241"/>
      <c r="JK69" s="241"/>
      <c r="JL69" s="241"/>
      <c r="JM69" s="241"/>
      <c r="JN69" s="241"/>
      <c r="JO69" s="241"/>
      <c r="JP69" s="241"/>
      <c r="JQ69" s="241"/>
      <c r="JR69" s="241"/>
      <c r="JS69" s="241"/>
      <c r="JT69" s="241"/>
      <c r="JU69" s="241"/>
      <c r="JV69" s="241"/>
      <c r="JW69" s="241"/>
      <c r="JX69" s="241"/>
      <c r="JY69" s="241"/>
      <c r="JZ69" s="241"/>
      <c r="KA69" s="241"/>
      <c r="KB69" s="241"/>
      <c r="KC69" s="241"/>
      <c r="KD69" s="241"/>
      <c r="KE69" s="241"/>
      <c r="KF69" s="241"/>
      <c r="KG69" s="241"/>
      <c r="KH69" s="241"/>
      <c r="KI69" s="241"/>
      <c r="KJ69" s="241"/>
      <c r="KK69" s="241"/>
      <c r="KL69" s="241"/>
      <c r="KM69" s="241"/>
      <c r="KN69" s="241"/>
      <c r="KO69" s="241"/>
      <c r="KP69" s="241"/>
      <c r="KQ69" s="241"/>
      <c r="KR69" s="241"/>
      <c r="KS69" s="241"/>
      <c r="KT69" s="241"/>
      <c r="KU69" s="241"/>
      <c r="KV69" s="241"/>
      <c r="KW69" s="241"/>
      <c r="KX69" s="241"/>
      <c r="KY69" s="241"/>
      <c r="KZ69" s="241"/>
      <c r="LA69" s="241"/>
      <c r="LB69" s="241"/>
      <c r="LC69" s="241"/>
      <c r="LD69" s="241"/>
      <c r="LE69" s="241"/>
      <c r="LF69" s="241"/>
      <c r="LG69" s="241"/>
      <c r="LH69" s="241"/>
      <c r="LI69" s="241"/>
      <c r="LJ69" s="241"/>
      <c r="LK69" s="241"/>
      <c r="LL69" s="241"/>
      <c r="LM69" s="241"/>
      <c r="LN69" s="241"/>
      <c r="LO69" s="241"/>
      <c r="LP69" s="241"/>
      <c r="LQ69" s="241"/>
      <c r="LR69" s="241"/>
      <c r="LS69" s="241"/>
      <c r="LT69" s="241"/>
      <c r="LU69" s="241"/>
      <c r="LV69" s="241"/>
      <c r="LW69" s="241"/>
      <c r="LX69" s="241"/>
      <c r="LY69" s="241"/>
      <c r="LZ69" s="241"/>
      <c r="MA69" s="241"/>
      <c r="MB69" s="241"/>
      <c r="MC69" s="241"/>
      <c r="MD69" s="241"/>
      <c r="ME69" s="241"/>
      <c r="MF69" s="241"/>
      <c r="MG69" s="241"/>
      <c r="MH69" s="241"/>
      <c r="MI69" s="241"/>
      <c r="MJ69" s="241"/>
      <c r="MK69" s="241"/>
      <c r="ML69" s="241"/>
      <c r="MM69" s="241"/>
      <c r="MN69" s="241"/>
      <c r="MO69" s="241"/>
      <c r="MP69" s="241"/>
      <c r="MQ69" s="241"/>
      <c r="MR69" s="241"/>
      <c r="MS69" s="241"/>
      <c r="MT69" s="241"/>
      <c r="MU69" s="241"/>
      <c r="MV69" s="241"/>
      <c r="MW69" s="241"/>
      <c r="MX69" s="241"/>
      <c r="MY69" s="241"/>
      <c r="MZ69" s="241"/>
      <c r="NA69" s="241"/>
      <c r="NB69" s="241"/>
      <c r="NC69" s="241"/>
      <c r="ND69" s="241"/>
      <c r="NE69" s="241"/>
      <c r="NF69" s="241"/>
      <c r="NG69" s="241"/>
      <c r="NH69" s="241"/>
      <c r="NI69" s="241"/>
      <c r="NJ69" s="241"/>
      <c r="NK69" s="241"/>
      <c r="NL69" s="241"/>
      <c r="NM69" s="241"/>
      <c r="NN69" s="241"/>
      <c r="NO69" s="241"/>
      <c r="NP69" s="241"/>
      <c r="NQ69" s="241"/>
      <c r="NR69" s="241"/>
      <c r="NS69" s="241"/>
      <c r="NT69" s="241"/>
      <c r="NU69" s="241"/>
      <c r="NV69" s="241"/>
      <c r="NW69" s="241"/>
      <c r="NX69" s="241"/>
      <c r="NY69" s="241"/>
      <c r="NZ69" s="241"/>
      <c r="OA69" s="241"/>
      <c r="OB69" s="241"/>
      <c r="OC69" s="241"/>
      <c r="OD69" s="241"/>
      <c r="OE69" s="241"/>
      <c r="OF69" s="241"/>
      <c r="OG69" s="241"/>
      <c r="OH69" s="241"/>
      <c r="OI69" s="241"/>
      <c r="OJ69" s="241"/>
      <c r="OK69" s="241"/>
      <c r="OL69" s="241"/>
      <c r="OM69" s="241"/>
      <c r="ON69" s="241"/>
      <c r="OO69" s="241"/>
      <c r="OP69" s="241"/>
      <c r="OQ69" s="241"/>
      <c r="OR69" s="241"/>
      <c r="OS69" s="241"/>
      <c r="OT69" s="241"/>
      <c r="OU69" s="241"/>
      <c r="OV69" s="241"/>
      <c r="OW69" s="241"/>
      <c r="OX69" s="241"/>
      <c r="OY69" s="241"/>
      <c r="OZ69" s="241"/>
      <c r="PA69" s="241"/>
      <c r="PB69" s="241"/>
      <c r="PC69" s="241"/>
      <c r="PD69" s="241"/>
      <c r="PE69" s="241"/>
      <c r="PF69" s="241"/>
      <c r="PG69" s="241"/>
      <c r="PH69" s="241"/>
      <c r="PI69" s="241"/>
      <c r="PJ69" s="241"/>
      <c r="PK69" s="241"/>
      <c r="PL69" s="241"/>
      <c r="PM69" s="241"/>
      <c r="PN69" s="241"/>
      <c r="PO69" s="241"/>
      <c r="PP69" s="241"/>
      <c r="PQ69" s="241"/>
      <c r="PR69" s="241"/>
      <c r="PS69" s="241"/>
      <c r="PT69" s="241"/>
      <c r="PU69" s="241"/>
      <c r="PV69" s="241"/>
      <c r="PW69" s="241"/>
      <c r="PX69" s="241"/>
      <c r="PY69" s="241"/>
      <c r="PZ69" s="241"/>
      <c r="QA69" s="241"/>
      <c r="QB69" s="241"/>
      <c r="QC69" s="241"/>
      <c r="QD69" s="241"/>
      <c r="QE69" s="241"/>
      <c r="QF69" s="241"/>
      <c r="QG69" s="241"/>
      <c r="QH69" s="241"/>
      <c r="QI69" s="241"/>
      <c r="QJ69" s="241"/>
      <c r="QK69" s="241"/>
      <c r="QL69" s="241"/>
      <c r="QM69" s="241"/>
      <c r="QN69" s="241"/>
      <c r="QO69" s="241"/>
      <c r="QP69" s="241"/>
      <c r="QQ69" s="241"/>
      <c r="QR69" s="241"/>
      <c r="QS69" s="241"/>
      <c r="QT69" s="241"/>
      <c r="QU69" s="241"/>
      <c r="QV69" s="241"/>
      <c r="QW69" s="241"/>
      <c r="QX69" s="241"/>
      <c r="QY69" s="241"/>
      <c r="QZ69" s="241"/>
      <c r="RA69" s="241"/>
      <c r="RB69" s="241"/>
      <c r="RC69" s="241"/>
      <c r="RD69" s="241"/>
      <c r="RE69" s="241"/>
      <c r="RF69" s="241"/>
      <c r="RG69" s="241"/>
      <c r="RH69" s="241"/>
      <c r="RI69" s="241"/>
      <c r="RJ69" s="241"/>
      <c r="RK69" s="241"/>
      <c r="RL69" s="241"/>
      <c r="RM69" s="241"/>
      <c r="RN69" s="241"/>
      <c r="RO69" s="241"/>
      <c r="RP69" s="241"/>
      <c r="RQ69" s="241"/>
      <c r="RR69" s="241"/>
      <c r="RS69" s="241"/>
      <c r="RT69" s="241"/>
      <c r="RU69" s="241"/>
      <c r="RV69" s="241"/>
      <c r="RW69" s="241"/>
      <c r="RX69" s="241"/>
      <c r="RY69" s="241"/>
      <c r="RZ69" s="241"/>
      <c r="SA69" s="241"/>
      <c r="SB69" s="241"/>
      <c r="SC69" s="241"/>
      <c r="SD69" s="241"/>
      <c r="SE69" s="241"/>
      <c r="SF69" s="241"/>
      <c r="SG69" s="241"/>
      <c r="SH69" s="241"/>
      <c r="SI69" s="241"/>
      <c r="SJ69" s="241"/>
      <c r="SK69" s="241"/>
      <c r="SL69" s="241"/>
      <c r="SM69" s="241"/>
      <c r="SN69" s="241"/>
      <c r="SO69" s="241"/>
      <c r="SP69" s="241"/>
      <c r="SQ69" s="241"/>
      <c r="SR69" s="241"/>
      <c r="SS69" s="241"/>
      <c r="ST69" s="241"/>
      <c r="SU69" s="241"/>
      <c r="SV69" s="241"/>
      <c r="SW69" s="241"/>
      <c r="SX69" s="241"/>
      <c r="SY69" s="241"/>
      <c r="SZ69" s="241"/>
      <c r="TA69" s="241"/>
      <c r="TB69" s="241"/>
      <c r="TC69" s="241"/>
      <c r="TD69" s="241"/>
      <c r="TE69" s="241"/>
      <c r="TF69" s="241"/>
      <c r="TG69" s="241"/>
      <c r="TH69" s="241"/>
      <c r="TI69" s="241"/>
      <c r="TJ69" s="241"/>
      <c r="TK69" s="241"/>
      <c r="TL69" s="241"/>
      <c r="TM69" s="241"/>
      <c r="TN69" s="241"/>
      <c r="TO69" s="241"/>
      <c r="TP69" s="241"/>
      <c r="TQ69" s="241"/>
      <c r="TR69" s="241"/>
      <c r="TS69" s="241"/>
      <c r="TT69" s="241"/>
      <c r="TU69" s="241"/>
      <c r="TV69" s="241"/>
      <c r="TW69" s="241"/>
      <c r="TX69" s="241"/>
      <c r="TY69" s="241"/>
      <c r="TZ69" s="241"/>
      <c r="UA69" s="241"/>
      <c r="UB69" s="241"/>
      <c r="UC69" s="241"/>
      <c r="UD69" s="241"/>
      <c r="UE69" s="241"/>
      <c r="UF69" s="241"/>
      <c r="UG69" s="1030"/>
    </row>
    <row r="70" spans="1:553" s="1029" customFormat="1" ht="150" customHeight="1">
      <c r="A70" s="366" t="s">
        <v>15</v>
      </c>
      <c r="B70" s="366"/>
      <c r="C70" s="384" t="s">
        <v>69</v>
      </c>
      <c r="D70" s="376" t="s">
        <v>20</v>
      </c>
      <c r="E70" s="376" t="s">
        <v>132</v>
      </c>
      <c r="F70" s="385">
        <v>1</v>
      </c>
      <c r="G70" s="386" t="s">
        <v>935</v>
      </c>
      <c r="H70" s="441">
        <v>386.2</v>
      </c>
      <c r="I70" s="490">
        <v>386.2</v>
      </c>
      <c r="J70" s="477">
        <v>55000</v>
      </c>
      <c r="K70" s="388"/>
      <c r="L70" s="366">
        <f t="shared" si="16"/>
        <v>21241000</v>
      </c>
      <c r="M70" s="366"/>
      <c r="N70" s="366"/>
      <c r="O70" s="366"/>
      <c r="P70" s="366"/>
      <c r="Q70" s="1036" t="s">
        <v>130</v>
      </c>
      <c r="R70" s="1452"/>
      <c r="S70" s="308"/>
      <c r="T70" s="303"/>
      <c r="U70" s="306"/>
      <c r="V70" s="307"/>
      <c r="W70" s="306"/>
      <c r="X70" s="306">
        <f>I70</f>
        <v>386.2</v>
      </c>
      <c r="Y70" s="306"/>
      <c r="Z70" s="306"/>
      <c r="AA70" s="306"/>
      <c r="AB70" s="306"/>
      <c r="AC70" s="463"/>
      <c r="AD70" s="452"/>
      <c r="AE70" s="452"/>
      <c r="AF70" s="452"/>
      <c r="AG70" s="452"/>
      <c r="AH70" s="452"/>
      <c r="AI70" s="452"/>
      <c r="AJ70" s="452"/>
      <c r="AK70" s="452"/>
      <c r="AL70" s="242"/>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c r="CO70" s="241"/>
      <c r="CP70" s="241"/>
      <c r="CQ70" s="241"/>
      <c r="CR70" s="241"/>
      <c r="CS70" s="241"/>
      <c r="CT70" s="241"/>
      <c r="CU70" s="241"/>
      <c r="CV70" s="241"/>
      <c r="CW70" s="241"/>
      <c r="CX70" s="241"/>
      <c r="CY70" s="241"/>
      <c r="CZ70" s="241"/>
      <c r="DA70" s="241"/>
      <c r="DB70" s="241"/>
      <c r="DC70" s="241"/>
      <c r="DD70" s="241"/>
      <c r="DE70" s="241"/>
      <c r="DF70" s="241"/>
      <c r="DG70" s="241"/>
      <c r="DH70" s="241"/>
      <c r="DI70" s="241"/>
      <c r="DJ70" s="241"/>
      <c r="DK70" s="241"/>
      <c r="DL70" s="241"/>
      <c r="DM70" s="241"/>
      <c r="DN70" s="241"/>
      <c r="DO70" s="241"/>
      <c r="DP70" s="241"/>
      <c r="DQ70" s="241"/>
      <c r="DR70" s="241"/>
      <c r="DS70" s="241"/>
      <c r="DT70" s="241"/>
      <c r="DU70" s="241"/>
      <c r="DV70" s="241"/>
      <c r="DW70" s="241"/>
      <c r="DX70" s="241"/>
      <c r="DY70" s="241"/>
      <c r="DZ70" s="241"/>
      <c r="EA70" s="241"/>
      <c r="EB70" s="241"/>
      <c r="EC70" s="241"/>
      <c r="ED70" s="241"/>
      <c r="EE70" s="241"/>
      <c r="EF70" s="241"/>
      <c r="EG70" s="241"/>
      <c r="EH70" s="241"/>
      <c r="EI70" s="241"/>
      <c r="EJ70" s="241"/>
      <c r="EK70" s="241"/>
      <c r="EL70" s="241"/>
      <c r="EM70" s="241"/>
      <c r="EN70" s="241"/>
      <c r="EO70" s="241"/>
      <c r="EP70" s="241"/>
      <c r="EQ70" s="241"/>
      <c r="ER70" s="241"/>
      <c r="ES70" s="241"/>
      <c r="ET70" s="241"/>
      <c r="EU70" s="241"/>
      <c r="EV70" s="241"/>
      <c r="EW70" s="241"/>
      <c r="EX70" s="241"/>
      <c r="EY70" s="241"/>
      <c r="EZ70" s="241"/>
      <c r="FA70" s="241"/>
      <c r="FB70" s="241"/>
      <c r="FC70" s="241"/>
      <c r="FD70" s="241"/>
      <c r="FE70" s="241"/>
      <c r="FF70" s="241"/>
      <c r="FG70" s="241"/>
      <c r="FH70" s="241"/>
      <c r="FI70" s="241"/>
      <c r="FJ70" s="241"/>
      <c r="FK70" s="241"/>
      <c r="FL70" s="241"/>
      <c r="FM70" s="241"/>
      <c r="FN70" s="241"/>
      <c r="FO70" s="241"/>
      <c r="FP70" s="241"/>
      <c r="FQ70" s="241"/>
      <c r="FR70" s="241"/>
      <c r="FS70" s="241"/>
      <c r="FT70" s="241"/>
      <c r="FU70" s="241"/>
      <c r="FV70" s="241"/>
      <c r="FW70" s="241"/>
      <c r="FX70" s="241"/>
      <c r="FY70" s="241"/>
      <c r="FZ70" s="241"/>
      <c r="GA70" s="241"/>
      <c r="GB70" s="241"/>
      <c r="GC70" s="241"/>
      <c r="GD70" s="241"/>
      <c r="GE70" s="241"/>
      <c r="GF70" s="241"/>
      <c r="GG70" s="241"/>
      <c r="GH70" s="241"/>
      <c r="GI70" s="241"/>
      <c r="GJ70" s="241"/>
      <c r="GK70" s="241"/>
      <c r="GL70" s="241"/>
      <c r="GM70" s="241"/>
      <c r="GN70" s="241"/>
      <c r="GO70" s="241"/>
      <c r="GP70" s="241"/>
      <c r="GQ70" s="241"/>
      <c r="GR70" s="241"/>
      <c r="GS70" s="241"/>
      <c r="GT70" s="241"/>
      <c r="GU70" s="241"/>
      <c r="GV70" s="241"/>
      <c r="GW70" s="241"/>
      <c r="GX70" s="241"/>
      <c r="GY70" s="241"/>
      <c r="GZ70" s="241"/>
      <c r="HA70" s="241"/>
      <c r="HB70" s="241"/>
      <c r="HC70" s="241"/>
      <c r="HD70" s="241"/>
      <c r="HE70" s="241"/>
      <c r="HF70" s="241"/>
      <c r="HG70" s="241"/>
      <c r="HH70" s="241"/>
      <c r="HI70" s="241"/>
      <c r="HJ70" s="241"/>
      <c r="HK70" s="241"/>
      <c r="HL70" s="241"/>
      <c r="HM70" s="241"/>
      <c r="HN70" s="241"/>
      <c r="HO70" s="241"/>
      <c r="HP70" s="241"/>
      <c r="HQ70" s="241"/>
      <c r="HR70" s="241"/>
      <c r="HS70" s="241"/>
      <c r="HT70" s="241"/>
      <c r="HU70" s="241"/>
      <c r="HV70" s="241"/>
      <c r="HW70" s="241"/>
      <c r="HX70" s="241"/>
      <c r="HY70" s="241"/>
      <c r="HZ70" s="241"/>
      <c r="IA70" s="241"/>
      <c r="IB70" s="241"/>
      <c r="IC70" s="241"/>
      <c r="ID70" s="241"/>
      <c r="IE70" s="241"/>
      <c r="IF70" s="241"/>
      <c r="IG70" s="241"/>
      <c r="IH70" s="241"/>
      <c r="II70" s="241"/>
      <c r="IJ70" s="241"/>
      <c r="IK70" s="241"/>
      <c r="IL70" s="241"/>
      <c r="IM70" s="241"/>
      <c r="IN70" s="241"/>
      <c r="IO70" s="241"/>
      <c r="IP70" s="241"/>
      <c r="IQ70" s="241"/>
      <c r="IR70" s="241"/>
      <c r="IS70" s="241"/>
      <c r="IT70" s="241"/>
      <c r="IU70" s="241"/>
      <c r="IV70" s="241"/>
      <c r="IW70" s="241"/>
      <c r="IX70" s="241"/>
      <c r="IY70" s="241"/>
      <c r="IZ70" s="241"/>
      <c r="JA70" s="241"/>
      <c r="JB70" s="241"/>
      <c r="JC70" s="241"/>
      <c r="JD70" s="241"/>
      <c r="JE70" s="241"/>
      <c r="JF70" s="241"/>
      <c r="JG70" s="241"/>
      <c r="JH70" s="241"/>
      <c r="JI70" s="241"/>
      <c r="JJ70" s="241"/>
      <c r="JK70" s="241"/>
      <c r="JL70" s="241"/>
      <c r="JM70" s="241"/>
      <c r="JN70" s="241"/>
      <c r="JO70" s="241"/>
      <c r="JP70" s="241"/>
      <c r="JQ70" s="241"/>
      <c r="JR70" s="241"/>
      <c r="JS70" s="241"/>
      <c r="JT70" s="241"/>
      <c r="JU70" s="241"/>
      <c r="JV70" s="241"/>
      <c r="JW70" s="241"/>
      <c r="JX70" s="241"/>
      <c r="JY70" s="241"/>
      <c r="JZ70" s="241"/>
      <c r="KA70" s="241"/>
      <c r="KB70" s="241"/>
      <c r="KC70" s="241"/>
      <c r="KD70" s="241"/>
      <c r="KE70" s="241"/>
      <c r="KF70" s="241"/>
      <c r="KG70" s="241"/>
      <c r="KH70" s="241"/>
      <c r="KI70" s="241"/>
      <c r="KJ70" s="241"/>
      <c r="KK70" s="241"/>
      <c r="KL70" s="241"/>
      <c r="KM70" s="241"/>
      <c r="KN70" s="241"/>
      <c r="KO70" s="241"/>
      <c r="KP70" s="241"/>
      <c r="KQ70" s="241"/>
      <c r="KR70" s="241"/>
      <c r="KS70" s="241"/>
      <c r="KT70" s="241"/>
      <c r="KU70" s="241"/>
      <c r="KV70" s="241"/>
      <c r="KW70" s="241"/>
      <c r="KX70" s="241"/>
      <c r="KY70" s="241"/>
      <c r="KZ70" s="241"/>
      <c r="LA70" s="241"/>
      <c r="LB70" s="241"/>
      <c r="LC70" s="241"/>
      <c r="LD70" s="241"/>
      <c r="LE70" s="241"/>
      <c r="LF70" s="241"/>
      <c r="LG70" s="241"/>
      <c r="LH70" s="241"/>
      <c r="LI70" s="241"/>
      <c r="LJ70" s="241"/>
      <c r="LK70" s="241"/>
      <c r="LL70" s="241"/>
      <c r="LM70" s="241"/>
      <c r="LN70" s="241"/>
      <c r="LO70" s="241"/>
      <c r="LP70" s="241"/>
      <c r="LQ70" s="241"/>
      <c r="LR70" s="241"/>
      <c r="LS70" s="241"/>
      <c r="LT70" s="241"/>
      <c r="LU70" s="241"/>
      <c r="LV70" s="241"/>
      <c r="LW70" s="241"/>
      <c r="LX70" s="241"/>
      <c r="LY70" s="241"/>
      <c r="LZ70" s="241"/>
      <c r="MA70" s="241"/>
      <c r="MB70" s="241"/>
      <c r="MC70" s="241"/>
      <c r="MD70" s="241"/>
      <c r="ME70" s="241"/>
      <c r="MF70" s="241"/>
      <c r="MG70" s="241"/>
      <c r="MH70" s="241"/>
      <c r="MI70" s="241"/>
      <c r="MJ70" s="241"/>
      <c r="MK70" s="241"/>
      <c r="ML70" s="241"/>
      <c r="MM70" s="241"/>
      <c r="MN70" s="241"/>
      <c r="MO70" s="241"/>
      <c r="MP70" s="241"/>
      <c r="MQ70" s="241"/>
      <c r="MR70" s="241"/>
      <c r="MS70" s="241"/>
      <c r="MT70" s="241"/>
      <c r="MU70" s="241"/>
      <c r="MV70" s="241"/>
      <c r="MW70" s="241"/>
      <c r="MX70" s="241"/>
      <c r="MY70" s="241"/>
      <c r="MZ70" s="241"/>
      <c r="NA70" s="241"/>
      <c r="NB70" s="241"/>
      <c r="NC70" s="241"/>
      <c r="ND70" s="241"/>
      <c r="NE70" s="241"/>
      <c r="NF70" s="241"/>
      <c r="NG70" s="241"/>
      <c r="NH70" s="241"/>
      <c r="NI70" s="241"/>
      <c r="NJ70" s="241"/>
      <c r="NK70" s="241"/>
      <c r="NL70" s="241"/>
      <c r="NM70" s="241"/>
      <c r="NN70" s="241"/>
      <c r="NO70" s="241"/>
      <c r="NP70" s="241"/>
      <c r="NQ70" s="241"/>
      <c r="NR70" s="241"/>
      <c r="NS70" s="241"/>
      <c r="NT70" s="241"/>
      <c r="NU70" s="241"/>
      <c r="NV70" s="241"/>
      <c r="NW70" s="241"/>
      <c r="NX70" s="241"/>
      <c r="NY70" s="241"/>
      <c r="NZ70" s="241"/>
      <c r="OA70" s="241"/>
      <c r="OB70" s="241"/>
      <c r="OC70" s="241"/>
      <c r="OD70" s="241"/>
      <c r="OE70" s="241"/>
      <c r="OF70" s="241"/>
      <c r="OG70" s="241"/>
      <c r="OH70" s="241"/>
      <c r="OI70" s="241"/>
      <c r="OJ70" s="241"/>
      <c r="OK70" s="241"/>
      <c r="OL70" s="241"/>
      <c r="OM70" s="241"/>
      <c r="ON70" s="241"/>
      <c r="OO70" s="241"/>
      <c r="OP70" s="241"/>
      <c r="OQ70" s="241"/>
      <c r="OR70" s="241"/>
      <c r="OS70" s="241"/>
      <c r="OT70" s="241"/>
      <c r="OU70" s="241"/>
      <c r="OV70" s="241"/>
      <c r="OW70" s="241"/>
      <c r="OX70" s="241"/>
      <c r="OY70" s="241"/>
      <c r="OZ70" s="241"/>
      <c r="PA70" s="241"/>
      <c r="PB70" s="241"/>
      <c r="PC70" s="241"/>
      <c r="PD70" s="241"/>
      <c r="PE70" s="241"/>
      <c r="PF70" s="241"/>
      <c r="PG70" s="241"/>
      <c r="PH70" s="241"/>
      <c r="PI70" s="241"/>
      <c r="PJ70" s="241"/>
      <c r="PK70" s="241"/>
      <c r="PL70" s="241"/>
      <c r="PM70" s="241"/>
      <c r="PN70" s="241"/>
      <c r="PO70" s="241"/>
      <c r="PP70" s="241"/>
      <c r="PQ70" s="241"/>
      <c r="PR70" s="241"/>
      <c r="PS70" s="241"/>
      <c r="PT70" s="241"/>
      <c r="PU70" s="241"/>
      <c r="PV70" s="241"/>
      <c r="PW70" s="241"/>
      <c r="PX70" s="241"/>
      <c r="PY70" s="241"/>
      <c r="PZ70" s="241"/>
      <c r="QA70" s="241"/>
      <c r="QB70" s="241"/>
      <c r="QC70" s="241"/>
      <c r="QD70" s="241"/>
      <c r="QE70" s="241"/>
      <c r="QF70" s="241"/>
      <c r="QG70" s="241"/>
      <c r="QH70" s="241"/>
      <c r="QI70" s="241"/>
      <c r="QJ70" s="241"/>
      <c r="QK70" s="241"/>
      <c r="QL70" s="241"/>
      <c r="QM70" s="241"/>
      <c r="QN70" s="241"/>
      <c r="QO70" s="241"/>
      <c r="QP70" s="241"/>
      <c r="QQ70" s="241"/>
      <c r="QR70" s="241"/>
      <c r="QS70" s="241"/>
      <c r="QT70" s="241"/>
      <c r="QU70" s="241"/>
      <c r="QV70" s="241"/>
      <c r="QW70" s="241"/>
      <c r="QX70" s="241"/>
      <c r="QY70" s="241"/>
      <c r="QZ70" s="241"/>
      <c r="RA70" s="241"/>
      <c r="RB70" s="241"/>
      <c r="RC70" s="241"/>
      <c r="RD70" s="241"/>
      <c r="RE70" s="241"/>
      <c r="RF70" s="241"/>
      <c r="RG70" s="241"/>
      <c r="RH70" s="241"/>
      <c r="RI70" s="241"/>
      <c r="RJ70" s="241"/>
      <c r="RK70" s="241"/>
      <c r="RL70" s="241"/>
      <c r="RM70" s="241"/>
      <c r="RN70" s="241"/>
      <c r="RO70" s="241"/>
      <c r="RP70" s="241"/>
      <c r="RQ70" s="241"/>
      <c r="RR70" s="241"/>
      <c r="RS70" s="241"/>
      <c r="RT70" s="241"/>
      <c r="RU70" s="241"/>
      <c r="RV70" s="241"/>
      <c r="RW70" s="241"/>
      <c r="RX70" s="241"/>
      <c r="RY70" s="241"/>
      <c r="RZ70" s="241"/>
      <c r="SA70" s="241"/>
      <c r="SB70" s="241"/>
      <c r="SC70" s="241"/>
      <c r="SD70" s="241"/>
      <c r="SE70" s="241"/>
      <c r="SF70" s="241"/>
      <c r="SG70" s="241"/>
      <c r="SH70" s="241"/>
      <c r="SI70" s="241"/>
      <c r="SJ70" s="241"/>
      <c r="SK70" s="241"/>
      <c r="SL70" s="241"/>
      <c r="SM70" s="241"/>
      <c r="SN70" s="241"/>
      <c r="SO70" s="241"/>
      <c r="SP70" s="241"/>
      <c r="SQ70" s="241"/>
      <c r="SR70" s="241"/>
      <c r="SS70" s="241"/>
      <c r="ST70" s="241"/>
      <c r="SU70" s="241"/>
      <c r="SV70" s="241"/>
      <c r="SW70" s="241"/>
      <c r="SX70" s="241"/>
      <c r="SY70" s="241"/>
      <c r="SZ70" s="241"/>
      <c r="TA70" s="241"/>
      <c r="TB70" s="241"/>
      <c r="TC70" s="241"/>
      <c r="TD70" s="241"/>
      <c r="TE70" s="241"/>
      <c r="TF70" s="241"/>
      <c r="TG70" s="241"/>
      <c r="TH70" s="241"/>
      <c r="TI70" s="241"/>
      <c r="TJ70" s="241"/>
      <c r="TK70" s="241"/>
      <c r="TL70" s="241"/>
      <c r="TM70" s="241"/>
      <c r="TN70" s="241"/>
      <c r="TO70" s="241"/>
      <c r="TP70" s="241"/>
      <c r="TQ70" s="241"/>
      <c r="TR70" s="241"/>
      <c r="TS70" s="241"/>
      <c r="TT70" s="241"/>
      <c r="TU70" s="241"/>
      <c r="TV70" s="241"/>
      <c r="TW70" s="241"/>
      <c r="TX70" s="241"/>
      <c r="TY70" s="241"/>
      <c r="TZ70" s="241"/>
      <c r="UA70" s="241"/>
      <c r="UB70" s="241"/>
      <c r="UC70" s="241"/>
      <c r="UD70" s="241"/>
      <c r="UE70" s="241"/>
      <c r="UF70" s="241"/>
      <c r="UG70" s="1030"/>
    </row>
    <row r="71" spans="1:553" s="1029" customFormat="1" ht="150" customHeight="1">
      <c r="A71" s="366" t="s">
        <v>15</v>
      </c>
      <c r="B71" s="366"/>
      <c r="C71" s="384" t="s">
        <v>69</v>
      </c>
      <c r="D71" s="376" t="s">
        <v>20</v>
      </c>
      <c r="E71" s="376" t="s">
        <v>133</v>
      </c>
      <c r="F71" s="385">
        <v>1</v>
      </c>
      <c r="G71" s="386" t="s">
        <v>935</v>
      </c>
      <c r="H71" s="441">
        <v>40.200000000000003</v>
      </c>
      <c r="I71" s="490">
        <v>40.200000000000003</v>
      </c>
      <c r="J71" s="477">
        <v>55000</v>
      </c>
      <c r="K71" s="388"/>
      <c r="L71" s="366">
        <f t="shared" si="16"/>
        <v>2211000</v>
      </c>
      <c r="M71" s="366"/>
      <c r="N71" s="366"/>
      <c r="O71" s="366"/>
      <c r="P71" s="366"/>
      <c r="Q71" s="1036" t="s">
        <v>130</v>
      </c>
      <c r="R71" s="1452"/>
      <c r="S71" s="308"/>
      <c r="T71" s="303"/>
      <c r="U71" s="306"/>
      <c r="V71" s="307"/>
      <c r="W71" s="306"/>
      <c r="X71" s="306">
        <f>I71</f>
        <v>40.200000000000003</v>
      </c>
      <c r="Y71" s="306"/>
      <c r="Z71" s="306"/>
      <c r="AA71" s="306"/>
      <c r="AB71" s="306"/>
      <c r="AC71" s="463"/>
      <c r="AD71" s="452"/>
      <c r="AE71" s="452"/>
      <c r="AF71" s="452"/>
      <c r="AG71" s="452"/>
      <c r="AH71" s="452"/>
      <c r="AI71" s="452"/>
      <c r="AJ71" s="452"/>
      <c r="AK71" s="452"/>
      <c r="AL71" s="242"/>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c r="CO71" s="241"/>
      <c r="CP71" s="241"/>
      <c r="CQ71" s="241"/>
      <c r="CR71" s="241"/>
      <c r="CS71" s="241"/>
      <c r="CT71" s="241"/>
      <c r="CU71" s="241"/>
      <c r="CV71" s="241"/>
      <c r="CW71" s="241"/>
      <c r="CX71" s="241"/>
      <c r="CY71" s="241"/>
      <c r="CZ71" s="241"/>
      <c r="DA71" s="241"/>
      <c r="DB71" s="241"/>
      <c r="DC71" s="241"/>
      <c r="DD71" s="241"/>
      <c r="DE71" s="241"/>
      <c r="DF71" s="241"/>
      <c r="DG71" s="241"/>
      <c r="DH71" s="241"/>
      <c r="DI71" s="241"/>
      <c r="DJ71" s="241"/>
      <c r="DK71" s="241"/>
      <c r="DL71" s="241"/>
      <c r="DM71" s="241"/>
      <c r="DN71" s="241"/>
      <c r="DO71" s="241"/>
      <c r="DP71" s="241"/>
      <c r="DQ71" s="241"/>
      <c r="DR71" s="241"/>
      <c r="DS71" s="241"/>
      <c r="DT71" s="241"/>
      <c r="DU71" s="241"/>
      <c r="DV71" s="241"/>
      <c r="DW71" s="241"/>
      <c r="DX71" s="241"/>
      <c r="DY71" s="241"/>
      <c r="DZ71" s="241"/>
      <c r="EA71" s="241"/>
      <c r="EB71" s="241"/>
      <c r="EC71" s="241"/>
      <c r="ED71" s="241"/>
      <c r="EE71" s="241"/>
      <c r="EF71" s="241"/>
      <c r="EG71" s="241"/>
      <c r="EH71" s="241"/>
      <c r="EI71" s="241"/>
      <c r="EJ71" s="241"/>
      <c r="EK71" s="241"/>
      <c r="EL71" s="241"/>
      <c r="EM71" s="241"/>
      <c r="EN71" s="241"/>
      <c r="EO71" s="241"/>
      <c r="EP71" s="241"/>
      <c r="EQ71" s="241"/>
      <c r="ER71" s="241"/>
      <c r="ES71" s="241"/>
      <c r="ET71" s="241"/>
      <c r="EU71" s="241"/>
      <c r="EV71" s="241"/>
      <c r="EW71" s="241"/>
      <c r="EX71" s="241"/>
      <c r="EY71" s="241"/>
      <c r="EZ71" s="241"/>
      <c r="FA71" s="241"/>
      <c r="FB71" s="241"/>
      <c r="FC71" s="241"/>
      <c r="FD71" s="241"/>
      <c r="FE71" s="241"/>
      <c r="FF71" s="241"/>
      <c r="FG71" s="241"/>
      <c r="FH71" s="241"/>
      <c r="FI71" s="241"/>
      <c r="FJ71" s="241"/>
      <c r="FK71" s="241"/>
      <c r="FL71" s="241"/>
      <c r="FM71" s="241"/>
      <c r="FN71" s="241"/>
      <c r="FO71" s="241"/>
      <c r="FP71" s="241"/>
      <c r="FQ71" s="241"/>
      <c r="FR71" s="241"/>
      <c r="FS71" s="241"/>
      <c r="FT71" s="241"/>
      <c r="FU71" s="241"/>
      <c r="FV71" s="241"/>
      <c r="FW71" s="241"/>
      <c r="FX71" s="241"/>
      <c r="FY71" s="241"/>
      <c r="FZ71" s="241"/>
      <c r="GA71" s="241"/>
      <c r="GB71" s="241"/>
      <c r="GC71" s="241"/>
      <c r="GD71" s="241"/>
      <c r="GE71" s="241"/>
      <c r="GF71" s="241"/>
      <c r="GG71" s="241"/>
      <c r="GH71" s="241"/>
      <c r="GI71" s="241"/>
      <c r="GJ71" s="241"/>
      <c r="GK71" s="241"/>
      <c r="GL71" s="241"/>
      <c r="GM71" s="241"/>
      <c r="GN71" s="241"/>
      <c r="GO71" s="241"/>
      <c r="GP71" s="241"/>
      <c r="GQ71" s="241"/>
      <c r="GR71" s="241"/>
      <c r="GS71" s="241"/>
      <c r="GT71" s="241"/>
      <c r="GU71" s="241"/>
      <c r="GV71" s="241"/>
      <c r="GW71" s="241"/>
      <c r="GX71" s="241"/>
      <c r="GY71" s="241"/>
      <c r="GZ71" s="241"/>
      <c r="HA71" s="241"/>
      <c r="HB71" s="241"/>
      <c r="HC71" s="241"/>
      <c r="HD71" s="241"/>
      <c r="HE71" s="241"/>
      <c r="HF71" s="241"/>
      <c r="HG71" s="241"/>
      <c r="HH71" s="241"/>
      <c r="HI71" s="241"/>
      <c r="HJ71" s="241"/>
      <c r="HK71" s="241"/>
      <c r="HL71" s="241"/>
      <c r="HM71" s="241"/>
      <c r="HN71" s="241"/>
      <c r="HO71" s="241"/>
      <c r="HP71" s="241"/>
      <c r="HQ71" s="241"/>
      <c r="HR71" s="241"/>
      <c r="HS71" s="241"/>
      <c r="HT71" s="241"/>
      <c r="HU71" s="241"/>
      <c r="HV71" s="241"/>
      <c r="HW71" s="241"/>
      <c r="HX71" s="241"/>
      <c r="HY71" s="241"/>
      <c r="HZ71" s="241"/>
      <c r="IA71" s="241"/>
      <c r="IB71" s="241"/>
      <c r="IC71" s="241"/>
      <c r="ID71" s="241"/>
      <c r="IE71" s="241"/>
      <c r="IF71" s="241"/>
      <c r="IG71" s="241"/>
      <c r="IH71" s="241"/>
      <c r="II71" s="241"/>
      <c r="IJ71" s="241"/>
      <c r="IK71" s="241"/>
      <c r="IL71" s="241"/>
      <c r="IM71" s="241"/>
      <c r="IN71" s="241"/>
      <c r="IO71" s="241"/>
      <c r="IP71" s="241"/>
      <c r="IQ71" s="241"/>
      <c r="IR71" s="241"/>
      <c r="IS71" s="241"/>
      <c r="IT71" s="241"/>
      <c r="IU71" s="241"/>
      <c r="IV71" s="241"/>
      <c r="IW71" s="241"/>
      <c r="IX71" s="241"/>
      <c r="IY71" s="241"/>
      <c r="IZ71" s="241"/>
      <c r="JA71" s="241"/>
      <c r="JB71" s="241"/>
      <c r="JC71" s="241"/>
      <c r="JD71" s="241"/>
      <c r="JE71" s="241"/>
      <c r="JF71" s="241"/>
      <c r="JG71" s="241"/>
      <c r="JH71" s="241"/>
      <c r="JI71" s="241"/>
      <c r="JJ71" s="241"/>
      <c r="JK71" s="241"/>
      <c r="JL71" s="241"/>
      <c r="JM71" s="241"/>
      <c r="JN71" s="241"/>
      <c r="JO71" s="241"/>
      <c r="JP71" s="241"/>
      <c r="JQ71" s="241"/>
      <c r="JR71" s="241"/>
      <c r="JS71" s="241"/>
      <c r="JT71" s="241"/>
      <c r="JU71" s="241"/>
      <c r="JV71" s="241"/>
      <c r="JW71" s="241"/>
      <c r="JX71" s="241"/>
      <c r="JY71" s="241"/>
      <c r="JZ71" s="241"/>
      <c r="KA71" s="241"/>
      <c r="KB71" s="241"/>
      <c r="KC71" s="241"/>
      <c r="KD71" s="241"/>
      <c r="KE71" s="241"/>
      <c r="KF71" s="241"/>
      <c r="KG71" s="241"/>
      <c r="KH71" s="241"/>
      <c r="KI71" s="241"/>
      <c r="KJ71" s="241"/>
      <c r="KK71" s="241"/>
      <c r="KL71" s="241"/>
      <c r="KM71" s="241"/>
      <c r="KN71" s="241"/>
      <c r="KO71" s="241"/>
      <c r="KP71" s="241"/>
      <c r="KQ71" s="241"/>
      <c r="KR71" s="241"/>
      <c r="KS71" s="241"/>
      <c r="KT71" s="241"/>
      <c r="KU71" s="241"/>
      <c r="KV71" s="241"/>
      <c r="KW71" s="241"/>
      <c r="KX71" s="241"/>
      <c r="KY71" s="241"/>
      <c r="KZ71" s="241"/>
      <c r="LA71" s="241"/>
      <c r="LB71" s="241"/>
      <c r="LC71" s="241"/>
      <c r="LD71" s="241"/>
      <c r="LE71" s="241"/>
      <c r="LF71" s="241"/>
      <c r="LG71" s="241"/>
      <c r="LH71" s="241"/>
      <c r="LI71" s="241"/>
      <c r="LJ71" s="241"/>
      <c r="LK71" s="241"/>
      <c r="LL71" s="241"/>
      <c r="LM71" s="241"/>
      <c r="LN71" s="241"/>
      <c r="LO71" s="241"/>
      <c r="LP71" s="241"/>
      <c r="LQ71" s="241"/>
      <c r="LR71" s="241"/>
      <c r="LS71" s="241"/>
      <c r="LT71" s="241"/>
      <c r="LU71" s="241"/>
      <c r="LV71" s="241"/>
      <c r="LW71" s="241"/>
      <c r="LX71" s="241"/>
      <c r="LY71" s="241"/>
      <c r="LZ71" s="241"/>
      <c r="MA71" s="241"/>
      <c r="MB71" s="241"/>
      <c r="MC71" s="241"/>
      <c r="MD71" s="241"/>
      <c r="ME71" s="241"/>
      <c r="MF71" s="241"/>
      <c r="MG71" s="241"/>
      <c r="MH71" s="241"/>
      <c r="MI71" s="241"/>
      <c r="MJ71" s="241"/>
      <c r="MK71" s="241"/>
      <c r="ML71" s="241"/>
      <c r="MM71" s="241"/>
      <c r="MN71" s="241"/>
      <c r="MO71" s="241"/>
      <c r="MP71" s="241"/>
      <c r="MQ71" s="241"/>
      <c r="MR71" s="241"/>
      <c r="MS71" s="241"/>
      <c r="MT71" s="241"/>
      <c r="MU71" s="241"/>
      <c r="MV71" s="241"/>
      <c r="MW71" s="241"/>
      <c r="MX71" s="241"/>
      <c r="MY71" s="241"/>
      <c r="MZ71" s="241"/>
      <c r="NA71" s="241"/>
      <c r="NB71" s="241"/>
      <c r="NC71" s="241"/>
      <c r="ND71" s="241"/>
      <c r="NE71" s="241"/>
      <c r="NF71" s="241"/>
      <c r="NG71" s="241"/>
      <c r="NH71" s="241"/>
      <c r="NI71" s="241"/>
      <c r="NJ71" s="241"/>
      <c r="NK71" s="241"/>
      <c r="NL71" s="241"/>
      <c r="NM71" s="241"/>
      <c r="NN71" s="241"/>
      <c r="NO71" s="241"/>
      <c r="NP71" s="241"/>
      <c r="NQ71" s="241"/>
      <c r="NR71" s="241"/>
      <c r="NS71" s="241"/>
      <c r="NT71" s="241"/>
      <c r="NU71" s="241"/>
      <c r="NV71" s="241"/>
      <c r="NW71" s="241"/>
      <c r="NX71" s="241"/>
      <c r="NY71" s="241"/>
      <c r="NZ71" s="241"/>
      <c r="OA71" s="241"/>
      <c r="OB71" s="241"/>
      <c r="OC71" s="241"/>
      <c r="OD71" s="241"/>
      <c r="OE71" s="241"/>
      <c r="OF71" s="241"/>
      <c r="OG71" s="241"/>
      <c r="OH71" s="241"/>
      <c r="OI71" s="241"/>
      <c r="OJ71" s="241"/>
      <c r="OK71" s="241"/>
      <c r="OL71" s="241"/>
      <c r="OM71" s="241"/>
      <c r="ON71" s="241"/>
      <c r="OO71" s="241"/>
      <c r="OP71" s="241"/>
      <c r="OQ71" s="241"/>
      <c r="OR71" s="241"/>
      <c r="OS71" s="241"/>
      <c r="OT71" s="241"/>
      <c r="OU71" s="241"/>
      <c r="OV71" s="241"/>
      <c r="OW71" s="241"/>
      <c r="OX71" s="241"/>
      <c r="OY71" s="241"/>
      <c r="OZ71" s="241"/>
      <c r="PA71" s="241"/>
      <c r="PB71" s="241"/>
      <c r="PC71" s="241"/>
      <c r="PD71" s="241"/>
      <c r="PE71" s="241"/>
      <c r="PF71" s="241"/>
      <c r="PG71" s="241"/>
      <c r="PH71" s="241"/>
      <c r="PI71" s="241"/>
      <c r="PJ71" s="241"/>
      <c r="PK71" s="241"/>
      <c r="PL71" s="241"/>
      <c r="PM71" s="241"/>
      <c r="PN71" s="241"/>
      <c r="PO71" s="241"/>
      <c r="PP71" s="241"/>
      <c r="PQ71" s="241"/>
      <c r="PR71" s="241"/>
      <c r="PS71" s="241"/>
      <c r="PT71" s="241"/>
      <c r="PU71" s="241"/>
      <c r="PV71" s="241"/>
      <c r="PW71" s="241"/>
      <c r="PX71" s="241"/>
      <c r="PY71" s="241"/>
      <c r="PZ71" s="241"/>
      <c r="QA71" s="241"/>
      <c r="QB71" s="241"/>
      <c r="QC71" s="241"/>
      <c r="QD71" s="241"/>
      <c r="QE71" s="241"/>
      <c r="QF71" s="241"/>
      <c r="QG71" s="241"/>
      <c r="QH71" s="241"/>
      <c r="QI71" s="241"/>
      <c r="QJ71" s="241"/>
      <c r="QK71" s="241"/>
      <c r="QL71" s="241"/>
      <c r="QM71" s="241"/>
      <c r="QN71" s="241"/>
      <c r="QO71" s="241"/>
      <c r="QP71" s="241"/>
      <c r="QQ71" s="241"/>
      <c r="QR71" s="241"/>
      <c r="QS71" s="241"/>
      <c r="QT71" s="241"/>
      <c r="QU71" s="241"/>
      <c r="QV71" s="241"/>
      <c r="QW71" s="241"/>
      <c r="QX71" s="241"/>
      <c r="QY71" s="241"/>
      <c r="QZ71" s="241"/>
      <c r="RA71" s="241"/>
      <c r="RB71" s="241"/>
      <c r="RC71" s="241"/>
      <c r="RD71" s="241"/>
      <c r="RE71" s="241"/>
      <c r="RF71" s="241"/>
      <c r="RG71" s="241"/>
      <c r="RH71" s="241"/>
      <c r="RI71" s="241"/>
      <c r="RJ71" s="241"/>
      <c r="RK71" s="241"/>
      <c r="RL71" s="241"/>
      <c r="RM71" s="241"/>
      <c r="RN71" s="241"/>
      <c r="RO71" s="241"/>
      <c r="RP71" s="241"/>
      <c r="RQ71" s="241"/>
      <c r="RR71" s="241"/>
      <c r="RS71" s="241"/>
      <c r="RT71" s="241"/>
      <c r="RU71" s="241"/>
      <c r="RV71" s="241"/>
      <c r="RW71" s="241"/>
      <c r="RX71" s="241"/>
      <c r="RY71" s="241"/>
      <c r="RZ71" s="241"/>
      <c r="SA71" s="241"/>
      <c r="SB71" s="241"/>
      <c r="SC71" s="241"/>
      <c r="SD71" s="241"/>
      <c r="SE71" s="241"/>
      <c r="SF71" s="241"/>
      <c r="SG71" s="241"/>
      <c r="SH71" s="241"/>
      <c r="SI71" s="241"/>
      <c r="SJ71" s="241"/>
      <c r="SK71" s="241"/>
      <c r="SL71" s="241"/>
      <c r="SM71" s="241"/>
      <c r="SN71" s="241"/>
      <c r="SO71" s="241"/>
      <c r="SP71" s="241"/>
      <c r="SQ71" s="241"/>
      <c r="SR71" s="241"/>
      <c r="SS71" s="241"/>
      <c r="ST71" s="241"/>
      <c r="SU71" s="241"/>
      <c r="SV71" s="241"/>
      <c r="SW71" s="241"/>
      <c r="SX71" s="241"/>
      <c r="SY71" s="241"/>
      <c r="SZ71" s="241"/>
      <c r="TA71" s="241"/>
      <c r="TB71" s="241"/>
      <c r="TC71" s="241"/>
      <c r="TD71" s="241"/>
      <c r="TE71" s="241"/>
      <c r="TF71" s="241"/>
      <c r="TG71" s="241"/>
      <c r="TH71" s="241"/>
      <c r="TI71" s="241"/>
      <c r="TJ71" s="241"/>
      <c r="TK71" s="241"/>
      <c r="TL71" s="241"/>
      <c r="TM71" s="241"/>
      <c r="TN71" s="241"/>
      <c r="TO71" s="241"/>
      <c r="TP71" s="241"/>
      <c r="TQ71" s="241"/>
      <c r="TR71" s="241"/>
      <c r="TS71" s="241"/>
      <c r="TT71" s="241"/>
      <c r="TU71" s="241"/>
      <c r="TV71" s="241"/>
      <c r="TW71" s="241"/>
      <c r="TX71" s="241"/>
      <c r="TY71" s="241"/>
      <c r="TZ71" s="241"/>
      <c r="UA71" s="241"/>
      <c r="UB71" s="241"/>
      <c r="UC71" s="241"/>
      <c r="UD71" s="241"/>
      <c r="UE71" s="241"/>
      <c r="UF71" s="241"/>
      <c r="UG71" s="1030"/>
    </row>
    <row r="72" spans="1:553" s="1034" customFormat="1" ht="150" customHeight="1">
      <c r="A72" s="431" t="s">
        <v>15</v>
      </c>
      <c r="B72" s="431"/>
      <c r="C72" s="695" t="s">
        <v>22</v>
      </c>
      <c r="D72" s="540">
        <v>2</v>
      </c>
      <c r="E72" s="540">
        <v>48</v>
      </c>
      <c r="F72" s="541">
        <v>1</v>
      </c>
      <c r="G72" s="542" t="s">
        <v>1245</v>
      </c>
      <c r="H72" s="540">
        <v>830.2</v>
      </c>
      <c r="I72" s="583">
        <v>830.2</v>
      </c>
      <c r="J72" s="984">
        <v>60000</v>
      </c>
      <c r="K72" s="738"/>
      <c r="L72" s="544">
        <f t="shared" si="16"/>
        <v>49812000</v>
      </c>
      <c r="M72" s="544"/>
      <c r="N72" s="544"/>
      <c r="O72" s="544"/>
      <c r="P72" s="544"/>
      <c r="Q72" s="1037" t="s">
        <v>134</v>
      </c>
      <c r="R72" s="1452"/>
      <c r="S72" s="1228"/>
      <c r="T72" s="900"/>
      <c r="U72" s="901"/>
      <c r="V72" s="902"/>
      <c r="W72" s="901"/>
      <c r="X72" s="901"/>
      <c r="Y72" s="901"/>
      <c r="Z72" s="901"/>
      <c r="AA72" s="901"/>
      <c r="AB72" s="901">
        <f>I72</f>
        <v>830.2</v>
      </c>
      <c r="AC72" s="545"/>
      <c r="AD72" s="546"/>
      <c r="AE72" s="546"/>
      <c r="AF72" s="546"/>
      <c r="AG72" s="546"/>
      <c r="AH72" s="546"/>
      <c r="AI72" s="546"/>
      <c r="AJ72" s="546"/>
      <c r="AK72" s="546"/>
      <c r="AL72" s="1031"/>
      <c r="AM72" s="1032"/>
      <c r="AN72" s="1032"/>
      <c r="AO72" s="1032"/>
      <c r="AP72" s="1032"/>
      <c r="AQ72" s="1032"/>
      <c r="AR72" s="1032"/>
      <c r="AS72" s="1032"/>
      <c r="AT72" s="1032"/>
      <c r="AU72" s="1032"/>
      <c r="AV72" s="1032"/>
      <c r="AW72" s="1032"/>
      <c r="AX72" s="1032"/>
      <c r="AY72" s="1032"/>
      <c r="AZ72" s="1032"/>
      <c r="BA72" s="1032"/>
      <c r="BB72" s="1032"/>
      <c r="BC72" s="1032"/>
      <c r="BD72" s="1032"/>
      <c r="BE72" s="1032"/>
      <c r="BF72" s="1032"/>
      <c r="BG72" s="1032"/>
      <c r="BH72" s="1032"/>
      <c r="BI72" s="1032"/>
      <c r="BJ72" s="1032"/>
      <c r="BK72" s="1032"/>
      <c r="BL72" s="1032"/>
      <c r="BM72" s="1032"/>
      <c r="BN72" s="1032"/>
      <c r="BO72" s="1032"/>
      <c r="BP72" s="1032"/>
      <c r="BQ72" s="1032"/>
      <c r="BR72" s="1032"/>
      <c r="BS72" s="1032"/>
      <c r="BT72" s="1032"/>
      <c r="BU72" s="1032"/>
      <c r="BV72" s="1032"/>
      <c r="BW72" s="1032"/>
      <c r="BX72" s="1032"/>
      <c r="BY72" s="1032"/>
      <c r="BZ72" s="1032"/>
      <c r="CA72" s="1032"/>
      <c r="CB72" s="1032"/>
      <c r="CC72" s="1032"/>
      <c r="CD72" s="1032"/>
      <c r="CE72" s="1032"/>
      <c r="CF72" s="1032"/>
      <c r="CG72" s="1032"/>
      <c r="CH72" s="1032"/>
      <c r="CI72" s="1032"/>
      <c r="CJ72" s="1032"/>
      <c r="CK72" s="1032"/>
      <c r="CL72" s="1032"/>
      <c r="CM72" s="1032"/>
      <c r="CN72" s="1032"/>
      <c r="CO72" s="1032"/>
      <c r="CP72" s="1032"/>
      <c r="CQ72" s="1032"/>
      <c r="CR72" s="1032"/>
      <c r="CS72" s="1032"/>
      <c r="CT72" s="1032"/>
      <c r="CU72" s="1032"/>
      <c r="CV72" s="1032"/>
      <c r="CW72" s="1032"/>
      <c r="CX72" s="1032"/>
      <c r="CY72" s="1032"/>
      <c r="CZ72" s="1032"/>
      <c r="DA72" s="1032"/>
      <c r="DB72" s="1032"/>
      <c r="DC72" s="1032"/>
      <c r="DD72" s="1032"/>
      <c r="DE72" s="1032"/>
      <c r="DF72" s="1032"/>
      <c r="DG72" s="1032"/>
      <c r="DH72" s="1032"/>
      <c r="DI72" s="1032"/>
      <c r="DJ72" s="1032"/>
      <c r="DK72" s="1032"/>
      <c r="DL72" s="1032"/>
      <c r="DM72" s="1032"/>
      <c r="DN72" s="1032"/>
      <c r="DO72" s="1032"/>
      <c r="DP72" s="1032"/>
      <c r="DQ72" s="1032"/>
      <c r="DR72" s="1032"/>
      <c r="DS72" s="1032"/>
      <c r="DT72" s="1032"/>
      <c r="DU72" s="1032"/>
      <c r="DV72" s="1032"/>
      <c r="DW72" s="1032"/>
      <c r="DX72" s="1032"/>
      <c r="DY72" s="1032"/>
      <c r="DZ72" s="1032"/>
      <c r="EA72" s="1032"/>
      <c r="EB72" s="1032"/>
      <c r="EC72" s="1032"/>
      <c r="ED72" s="1032"/>
      <c r="EE72" s="1032"/>
      <c r="EF72" s="1032"/>
      <c r="EG72" s="1032"/>
      <c r="EH72" s="1032"/>
      <c r="EI72" s="1032"/>
      <c r="EJ72" s="1032"/>
      <c r="EK72" s="1032"/>
      <c r="EL72" s="1032"/>
      <c r="EM72" s="1032"/>
      <c r="EN72" s="1032"/>
      <c r="EO72" s="1032"/>
      <c r="EP72" s="1032"/>
      <c r="EQ72" s="1032"/>
      <c r="ER72" s="1032"/>
      <c r="ES72" s="1032"/>
      <c r="ET72" s="1032"/>
      <c r="EU72" s="1032"/>
      <c r="EV72" s="1032"/>
      <c r="EW72" s="1032"/>
      <c r="EX72" s="1032"/>
      <c r="EY72" s="1032"/>
      <c r="EZ72" s="1032"/>
      <c r="FA72" s="1032"/>
      <c r="FB72" s="1032"/>
      <c r="FC72" s="1032"/>
      <c r="FD72" s="1032"/>
      <c r="FE72" s="1032"/>
      <c r="FF72" s="1032"/>
      <c r="FG72" s="1032"/>
      <c r="FH72" s="1032"/>
      <c r="FI72" s="1032"/>
      <c r="FJ72" s="1032"/>
      <c r="FK72" s="1032"/>
      <c r="FL72" s="1032"/>
      <c r="FM72" s="1032"/>
      <c r="FN72" s="1032"/>
      <c r="FO72" s="1032"/>
      <c r="FP72" s="1032"/>
      <c r="FQ72" s="1032"/>
      <c r="FR72" s="1032"/>
      <c r="FS72" s="1032"/>
      <c r="FT72" s="1032"/>
      <c r="FU72" s="1032"/>
      <c r="FV72" s="1032"/>
      <c r="FW72" s="1032"/>
      <c r="FX72" s="1032"/>
      <c r="FY72" s="1032"/>
      <c r="FZ72" s="1032"/>
      <c r="GA72" s="1032"/>
      <c r="GB72" s="1032"/>
      <c r="GC72" s="1032"/>
      <c r="GD72" s="1032"/>
      <c r="GE72" s="1032"/>
      <c r="GF72" s="1032"/>
      <c r="GG72" s="1032"/>
      <c r="GH72" s="1032"/>
      <c r="GI72" s="1032"/>
      <c r="GJ72" s="1032"/>
      <c r="GK72" s="1032"/>
      <c r="GL72" s="1032"/>
      <c r="GM72" s="1032"/>
      <c r="GN72" s="1032"/>
      <c r="GO72" s="1032"/>
      <c r="GP72" s="1032"/>
      <c r="GQ72" s="1032"/>
      <c r="GR72" s="1032"/>
      <c r="GS72" s="1032"/>
      <c r="GT72" s="1032"/>
      <c r="GU72" s="1032"/>
      <c r="GV72" s="1032"/>
      <c r="GW72" s="1032"/>
      <c r="GX72" s="1032"/>
      <c r="GY72" s="1032"/>
      <c r="GZ72" s="1032"/>
      <c r="HA72" s="1032"/>
      <c r="HB72" s="1032"/>
      <c r="HC72" s="1032"/>
      <c r="HD72" s="1032"/>
      <c r="HE72" s="1032"/>
      <c r="HF72" s="1032"/>
      <c r="HG72" s="1032"/>
      <c r="HH72" s="1032"/>
      <c r="HI72" s="1032"/>
      <c r="HJ72" s="1032"/>
      <c r="HK72" s="1032"/>
      <c r="HL72" s="1032"/>
      <c r="HM72" s="1032"/>
      <c r="HN72" s="1032"/>
      <c r="HO72" s="1032"/>
      <c r="HP72" s="1032"/>
      <c r="HQ72" s="1032"/>
      <c r="HR72" s="1032"/>
      <c r="HS72" s="1032"/>
      <c r="HT72" s="1032"/>
      <c r="HU72" s="1032"/>
      <c r="HV72" s="1032"/>
      <c r="HW72" s="1032"/>
      <c r="HX72" s="1032"/>
      <c r="HY72" s="1032"/>
      <c r="HZ72" s="1032"/>
      <c r="IA72" s="1032"/>
      <c r="IB72" s="1032"/>
      <c r="IC72" s="1032"/>
      <c r="ID72" s="1032"/>
      <c r="IE72" s="1032"/>
      <c r="IF72" s="1032"/>
      <c r="IG72" s="1032"/>
      <c r="IH72" s="1032"/>
      <c r="II72" s="1032"/>
      <c r="IJ72" s="1032"/>
      <c r="IK72" s="1032"/>
      <c r="IL72" s="1032"/>
      <c r="IM72" s="1032"/>
      <c r="IN72" s="1032"/>
      <c r="IO72" s="1032"/>
      <c r="IP72" s="1032"/>
      <c r="IQ72" s="1032"/>
      <c r="IR72" s="1032"/>
      <c r="IS72" s="1032"/>
      <c r="IT72" s="1032"/>
      <c r="IU72" s="1032"/>
      <c r="IV72" s="1032"/>
      <c r="IW72" s="1032"/>
      <c r="IX72" s="1032"/>
      <c r="IY72" s="1032"/>
      <c r="IZ72" s="1032"/>
      <c r="JA72" s="1032"/>
      <c r="JB72" s="1032"/>
      <c r="JC72" s="1032"/>
      <c r="JD72" s="1032"/>
      <c r="JE72" s="1032"/>
      <c r="JF72" s="1032"/>
      <c r="JG72" s="1032"/>
      <c r="JH72" s="1032"/>
      <c r="JI72" s="1032"/>
      <c r="JJ72" s="1032"/>
      <c r="JK72" s="1032"/>
      <c r="JL72" s="1032"/>
      <c r="JM72" s="1032"/>
      <c r="JN72" s="1032"/>
      <c r="JO72" s="1032"/>
      <c r="JP72" s="1032"/>
      <c r="JQ72" s="1032"/>
      <c r="JR72" s="1032"/>
      <c r="JS72" s="1032"/>
      <c r="JT72" s="1032"/>
      <c r="JU72" s="1032"/>
      <c r="JV72" s="1032"/>
      <c r="JW72" s="1032"/>
      <c r="JX72" s="1032"/>
      <c r="JY72" s="1032"/>
      <c r="JZ72" s="1032"/>
      <c r="KA72" s="1032"/>
      <c r="KB72" s="1032"/>
      <c r="KC72" s="1032"/>
      <c r="KD72" s="1032"/>
      <c r="KE72" s="1032"/>
      <c r="KF72" s="1032"/>
      <c r="KG72" s="1032"/>
      <c r="KH72" s="1032"/>
      <c r="KI72" s="1032"/>
      <c r="KJ72" s="1032"/>
      <c r="KK72" s="1032"/>
      <c r="KL72" s="1032"/>
      <c r="KM72" s="1032"/>
      <c r="KN72" s="1032"/>
      <c r="KO72" s="1032"/>
      <c r="KP72" s="1032"/>
      <c r="KQ72" s="1032"/>
      <c r="KR72" s="1032"/>
      <c r="KS72" s="1032"/>
      <c r="KT72" s="1032"/>
      <c r="KU72" s="1032"/>
      <c r="KV72" s="1032"/>
      <c r="KW72" s="1032"/>
      <c r="KX72" s="1032"/>
      <c r="KY72" s="1032"/>
      <c r="KZ72" s="1032"/>
      <c r="LA72" s="1032"/>
      <c r="LB72" s="1032"/>
      <c r="LC72" s="1032"/>
      <c r="LD72" s="1032"/>
      <c r="LE72" s="1032"/>
      <c r="LF72" s="1032"/>
      <c r="LG72" s="1032"/>
      <c r="LH72" s="1032"/>
      <c r="LI72" s="1032"/>
      <c r="LJ72" s="1032"/>
      <c r="LK72" s="1032"/>
      <c r="LL72" s="1032"/>
      <c r="LM72" s="1032"/>
      <c r="LN72" s="1032"/>
      <c r="LO72" s="1032"/>
      <c r="LP72" s="1032"/>
      <c r="LQ72" s="1032"/>
      <c r="LR72" s="1032"/>
      <c r="LS72" s="1032"/>
      <c r="LT72" s="1032"/>
      <c r="LU72" s="1032"/>
      <c r="LV72" s="1032"/>
      <c r="LW72" s="1032"/>
      <c r="LX72" s="1032"/>
      <c r="LY72" s="1032"/>
      <c r="LZ72" s="1032"/>
      <c r="MA72" s="1032"/>
      <c r="MB72" s="1032"/>
      <c r="MC72" s="1032"/>
      <c r="MD72" s="1032"/>
      <c r="ME72" s="1032"/>
      <c r="MF72" s="1032"/>
      <c r="MG72" s="1032"/>
      <c r="MH72" s="1032"/>
      <c r="MI72" s="1032"/>
      <c r="MJ72" s="1032"/>
      <c r="MK72" s="1032"/>
      <c r="ML72" s="1032"/>
      <c r="MM72" s="1032"/>
      <c r="MN72" s="1032"/>
      <c r="MO72" s="1032"/>
      <c r="MP72" s="1032"/>
      <c r="MQ72" s="1032"/>
      <c r="MR72" s="1032"/>
      <c r="MS72" s="1032"/>
      <c r="MT72" s="1032"/>
      <c r="MU72" s="1032"/>
      <c r="MV72" s="1032"/>
      <c r="MW72" s="1032"/>
      <c r="MX72" s="1032"/>
      <c r="MY72" s="1032"/>
      <c r="MZ72" s="1032"/>
      <c r="NA72" s="1032"/>
      <c r="NB72" s="1032"/>
      <c r="NC72" s="1032"/>
      <c r="ND72" s="1032"/>
      <c r="NE72" s="1032"/>
      <c r="NF72" s="1032"/>
      <c r="NG72" s="1032"/>
      <c r="NH72" s="1032"/>
      <c r="NI72" s="1032"/>
      <c r="NJ72" s="1032"/>
      <c r="NK72" s="1032"/>
      <c r="NL72" s="1032"/>
      <c r="NM72" s="1032"/>
      <c r="NN72" s="1032"/>
      <c r="NO72" s="1032"/>
      <c r="NP72" s="1032"/>
      <c r="NQ72" s="1032"/>
      <c r="NR72" s="1032"/>
      <c r="NS72" s="1032"/>
      <c r="NT72" s="1032"/>
      <c r="NU72" s="1032"/>
      <c r="NV72" s="1032"/>
      <c r="NW72" s="1032"/>
      <c r="NX72" s="1032"/>
      <c r="NY72" s="1032"/>
      <c r="NZ72" s="1032"/>
      <c r="OA72" s="1032"/>
      <c r="OB72" s="1032"/>
      <c r="OC72" s="1032"/>
      <c r="OD72" s="1032"/>
      <c r="OE72" s="1032"/>
      <c r="OF72" s="1032"/>
      <c r="OG72" s="1032"/>
      <c r="OH72" s="1032"/>
      <c r="OI72" s="1032"/>
      <c r="OJ72" s="1032"/>
      <c r="OK72" s="1032"/>
      <c r="OL72" s="1032"/>
      <c r="OM72" s="1032"/>
      <c r="ON72" s="1032"/>
      <c r="OO72" s="1032"/>
      <c r="OP72" s="1032"/>
      <c r="OQ72" s="1032"/>
      <c r="OR72" s="1032"/>
      <c r="OS72" s="1032"/>
      <c r="OT72" s="1032"/>
      <c r="OU72" s="1032"/>
      <c r="OV72" s="1032"/>
      <c r="OW72" s="1032"/>
      <c r="OX72" s="1032"/>
      <c r="OY72" s="1032"/>
      <c r="OZ72" s="1032"/>
      <c r="PA72" s="1032"/>
      <c r="PB72" s="1032"/>
      <c r="PC72" s="1032"/>
      <c r="PD72" s="1032"/>
      <c r="PE72" s="1032"/>
      <c r="PF72" s="1032"/>
      <c r="PG72" s="1032"/>
      <c r="PH72" s="1032"/>
      <c r="PI72" s="1032"/>
      <c r="PJ72" s="1032"/>
      <c r="PK72" s="1032"/>
      <c r="PL72" s="1032"/>
      <c r="PM72" s="1032"/>
      <c r="PN72" s="1032"/>
      <c r="PO72" s="1032"/>
      <c r="PP72" s="1032"/>
      <c r="PQ72" s="1032"/>
      <c r="PR72" s="1032"/>
      <c r="PS72" s="1032"/>
      <c r="PT72" s="1032"/>
      <c r="PU72" s="1032"/>
      <c r="PV72" s="1032"/>
      <c r="PW72" s="1032"/>
      <c r="PX72" s="1032"/>
      <c r="PY72" s="1032"/>
      <c r="PZ72" s="1032"/>
      <c r="QA72" s="1032"/>
      <c r="QB72" s="1032"/>
      <c r="QC72" s="1032"/>
      <c r="QD72" s="1032"/>
      <c r="QE72" s="1032"/>
      <c r="QF72" s="1032"/>
      <c r="QG72" s="1032"/>
      <c r="QH72" s="1032"/>
      <c r="QI72" s="1032"/>
      <c r="QJ72" s="1032"/>
      <c r="QK72" s="1032"/>
      <c r="QL72" s="1032"/>
      <c r="QM72" s="1032"/>
      <c r="QN72" s="1032"/>
      <c r="QO72" s="1032"/>
      <c r="QP72" s="1032"/>
      <c r="QQ72" s="1032"/>
      <c r="QR72" s="1032"/>
      <c r="QS72" s="1032"/>
      <c r="QT72" s="1032"/>
      <c r="QU72" s="1032"/>
      <c r="QV72" s="1032"/>
      <c r="QW72" s="1032"/>
      <c r="QX72" s="1032"/>
      <c r="QY72" s="1032"/>
      <c r="QZ72" s="1032"/>
      <c r="RA72" s="1032"/>
      <c r="RB72" s="1032"/>
      <c r="RC72" s="1032"/>
      <c r="RD72" s="1032"/>
      <c r="RE72" s="1032"/>
      <c r="RF72" s="1032"/>
      <c r="RG72" s="1032"/>
      <c r="RH72" s="1032"/>
      <c r="RI72" s="1032"/>
      <c r="RJ72" s="1032"/>
      <c r="RK72" s="1032"/>
      <c r="RL72" s="1032"/>
      <c r="RM72" s="1032"/>
      <c r="RN72" s="1032"/>
      <c r="RO72" s="1032"/>
      <c r="RP72" s="1032"/>
      <c r="RQ72" s="1032"/>
      <c r="RR72" s="1032"/>
      <c r="RS72" s="1032"/>
      <c r="RT72" s="1032"/>
      <c r="RU72" s="1032"/>
      <c r="RV72" s="1032"/>
      <c r="RW72" s="1032"/>
      <c r="RX72" s="1032"/>
      <c r="RY72" s="1032"/>
      <c r="RZ72" s="1032"/>
      <c r="SA72" s="1032"/>
      <c r="SB72" s="1032"/>
      <c r="SC72" s="1032"/>
      <c r="SD72" s="1032"/>
      <c r="SE72" s="1032"/>
      <c r="SF72" s="1032"/>
      <c r="SG72" s="1032"/>
      <c r="SH72" s="1032"/>
      <c r="SI72" s="1032"/>
      <c r="SJ72" s="1032"/>
      <c r="SK72" s="1032"/>
      <c r="SL72" s="1032"/>
      <c r="SM72" s="1032"/>
      <c r="SN72" s="1032"/>
      <c r="SO72" s="1032"/>
      <c r="SP72" s="1032"/>
      <c r="SQ72" s="1032"/>
      <c r="SR72" s="1032"/>
      <c r="SS72" s="1032"/>
      <c r="ST72" s="1032"/>
      <c r="SU72" s="1032"/>
      <c r="SV72" s="1032"/>
      <c r="SW72" s="1032"/>
      <c r="SX72" s="1032"/>
      <c r="SY72" s="1032"/>
      <c r="SZ72" s="1032"/>
      <c r="TA72" s="1032"/>
      <c r="TB72" s="1032"/>
      <c r="TC72" s="1032"/>
      <c r="TD72" s="1032"/>
      <c r="TE72" s="1032"/>
      <c r="TF72" s="1032"/>
      <c r="TG72" s="1032"/>
      <c r="TH72" s="1032"/>
      <c r="TI72" s="1032"/>
      <c r="TJ72" s="1032"/>
      <c r="TK72" s="1032"/>
      <c r="TL72" s="1032"/>
      <c r="TM72" s="1032"/>
      <c r="TN72" s="1032"/>
      <c r="TO72" s="1032"/>
      <c r="TP72" s="1032"/>
      <c r="TQ72" s="1032"/>
      <c r="TR72" s="1032"/>
      <c r="TS72" s="1032"/>
      <c r="TT72" s="1032"/>
      <c r="TU72" s="1032"/>
      <c r="TV72" s="1032"/>
      <c r="TW72" s="1032"/>
      <c r="TX72" s="1032"/>
      <c r="TY72" s="1032"/>
      <c r="TZ72" s="1032"/>
      <c r="UA72" s="1032"/>
      <c r="UB72" s="1032"/>
      <c r="UC72" s="1032"/>
      <c r="UD72" s="1032"/>
      <c r="UE72" s="1032"/>
      <c r="UF72" s="1032"/>
      <c r="UG72" s="1033"/>
    </row>
    <row r="73" spans="1:553" s="1029" customFormat="1" ht="213.75" customHeight="1">
      <c r="A73" s="378"/>
      <c r="B73" s="378"/>
      <c r="C73" s="380" t="s">
        <v>72</v>
      </c>
      <c r="D73" s="464" t="s">
        <v>20</v>
      </c>
      <c r="E73" s="464" t="s">
        <v>135</v>
      </c>
      <c r="F73" s="379">
        <v>1</v>
      </c>
      <c r="G73" s="465" t="s">
        <v>1395</v>
      </c>
      <c r="H73" s="466">
        <v>1000.9</v>
      </c>
      <c r="I73" s="1058">
        <v>675.3</v>
      </c>
      <c r="J73" s="1059">
        <v>9000</v>
      </c>
      <c r="K73" s="467"/>
      <c r="L73" s="381">
        <f t="shared" si="16"/>
        <v>6077700</v>
      </c>
      <c r="M73" s="381"/>
      <c r="N73" s="381"/>
      <c r="O73" s="381"/>
      <c r="P73" s="381"/>
      <c r="Q73" s="1038" t="s">
        <v>136</v>
      </c>
      <c r="R73" s="1452"/>
      <c r="S73" s="308"/>
      <c r="T73" s="303"/>
      <c r="U73" s="306"/>
      <c r="V73" s="307"/>
      <c r="W73" s="306"/>
      <c r="X73" s="306"/>
      <c r="Y73" s="306"/>
      <c r="Z73" s="306">
        <f>I73</f>
        <v>675.3</v>
      </c>
      <c r="AA73" s="306"/>
      <c r="AB73" s="306"/>
      <c r="AC73" s="382"/>
      <c r="AD73" s="383"/>
      <c r="AE73" s="383"/>
      <c r="AF73" s="383"/>
      <c r="AG73" s="383"/>
      <c r="AH73" s="383"/>
      <c r="AI73" s="383"/>
      <c r="AJ73" s="383"/>
      <c r="AK73" s="383"/>
      <c r="AL73" s="1035"/>
      <c r="AM73" s="1028"/>
      <c r="AN73" s="1028"/>
      <c r="AO73" s="1028"/>
      <c r="AP73" s="1028"/>
      <c r="AQ73" s="1028"/>
      <c r="AR73" s="1028"/>
      <c r="AS73" s="1028"/>
      <c r="AT73" s="1028"/>
      <c r="AU73" s="1028"/>
      <c r="AV73" s="1028"/>
      <c r="AW73" s="1028"/>
      <c r="AX73" s="1028"/>
      <c r="AY73" s="1028"/>
      <c r="AZ73" s="1028"/>
      <c r="BA73" s="1028"/>
      <c r="BB73" s="1028"/>
      <c r="BC73" s="1028"/>
      <c r="BD73" s="1028"/>
      <c r="BE73" s="1028"/>
      <c r="BF73" s="1028"/>
      <c r="BG73" s="1028"/>
      <c r="BH73" s="1028"/>
      <c r="BI73" s="1028"/>
      <c r="BJ73" s="1028"/>
      <c r="BK73" s="1028"/>
      <c r="BL73" s="1028"/>
      <c r="BM73" s="1028"/>
      <c r="BN73" s="1028"/>
      <c r="BO73" s="1028"/>
      <c r="BP73" s="1028"/>
      <c r="BQ73" s="1028"/>
      <c r="BR73" s="1028"/>
      <c r="BS73" s="1028"/>
      <c r="BT73" s="1028"/>
      <c r="BU73" s="1028"/>
      <c r="BV73" s="1028"/>
      <c r="BW73" s="1028"/>
      <c r="BX73" s="1028"/>
      <c r="BY73" s="1028"/>
      <c r="BZ73" s="1028"/>
      <c r="CA73" s="1028"/>
      <c r="CB73" s="1028"/>
      <c r="CC73" s="1028"/>
      <c r="CD73" s="1028"/>
      <c r="CE73" s="1028"/>
      <c r="CF73" s="1028"/>
      <c r="CG73" s="1028"/>
      <c r="CH73" s="1028"/>
      <c r="CI73" s="1028"/>
      <c r="CJ73" s="1028"/>
      <c r="CK73" s="1028"/>
      <c r="CL73" s="1028"/>
      <c r="CM73" s="1028"/>
      <c r="CN73" s="1028"/>
      <c r="CO73" s="1028"/>
      <c r="CP73" s="1028"/>
      <c r="CQ73" s="1028"/>
      <c r="CR73" s="1028"/>
      <c r="CS73" s="1028"/>
      <c r="CT73" s="1028"/>
      <c r="CU73" s="1028"/>
      <c r="CV73" s="1028"/>
      <c r="CW73" s="1028"/>
      <c r="CX73" s="1028"/>
      <c r="CY73" s="1028"/>
      <c r="CZ73" s="1028"/>
      <c r="DA73" s="1028"/>
      <c r="DB73" s="1028"/>
      <c r="DC73" s="1028"/>
      <c r="DD73" s="1028"/>
      <c r="DE73" s="1028"/>
      <c r="DF73" s="1028"/>
      <c r="DG73" s="1028"/>
      <c r="DH73" s="1028"/>
      <c r="DI73" s="1028"/>
      <c r="DJ73" s="1028"/>
      <c r="DK73" s="1028"/>
      <c r="DL73" s="1028"/>
      <c r="DM73" s="1028"/>
      <c r="DN73" s="1028"/>
      <c r="DO73" s="1028"/>
      <c r="DP73" s="1028"/>
      <c r="DQ73" s="1028"/>
      <c r="DR73" s="1028"/>
      <c r="DS73" s="1028"/>
      <c r="DT73" s="1028"/>
      <c r="DU73" s="1028"/>
      <c r="DV73" s="1028"/>
      <c r="DW73" s="1028"/>
      <c r="DX73" s="1028"/>
      <c r="DY73" s="1028"/>
      <c r="DZ73" s="1028"/>
      <c r="EA73" s="1028"/>
      <c r="EB73" s="1028"/>
      <c r="EC73" s="1028"/>
      <c r="ED73" s="1028"/>
      <c r="EE73" s="1028"/>
      <c r="EF73" s="1028"/>
      <c r="EG73" s="1028"/>
      <c r="EH73" s="1028"/>
      <c r="EI73" s="1028"/>
      <c r="EJ73" s="1028"/>
      <c r="EK73" s="1028"/>
      <c r="EL73" s="1028"/>
      <c r="EM73" s="1028"/>
      <c r="EN73" s="1028"/>
      <c r="EO73" s="1028"/>
      <c r="EP73" s="1028"/>
      <c r="EQ73" s="1028"/>
      <c r="ER73" s="1028"/>
      <c r="ES73" s="1028"/>
      <c r="ET73" s="1028"/>
      <c r="EU73" s="1028"/>
      <c r="EV73" s="1028"/>
      <c r="EW73" s="1028"/>
      <c r="EX73" s="1028"/>
      <c r="EY73" s="1028"/>
      <c r="EZ73" s="1028"/>
      <c r="FA73" s="1028"/>
      <c r="FB73" s="1028"/>
      <c r="FC73" s="1028"/>
      <c r="FD73" s="1028"/>
      <c r="FE73" s="1028"/>
      <c r="FF73" s="1028"/>
      <c r="FG73" s="1028"/>
      <c r="FH73" s="1028"/>
      <c r="FI73" s="1028"/>
      <c r="FJ73" s="1028"/>
      <c r="FK73" s="1028"/>
      <c r="FL73" s="1028"/>
      <c r="FM73" s="1028"/>
      <c r="FN73" s="1028"/>
      <c r="FO73" s="1028"/>
      <c r="FP73" s="1028"/>
      <c r="FQ73" s="1028"/>
      <c r="FR73" s="1028"/>
      <c r="FS73" s="1028"/>
      <c r="FT73" s="1028"/>
      <c r="FU73" s="1028"/>
      <c r="FV73" s="1028"/>
      <c r="FW73" s="1028"/>
      <c r="FX73" s="1028"/>
      <c r="FY73" s="1028"/>
      <c r="FZ73" s="1028"/>
      <c r="GA73" s="1028"/>
      <c r="GB73" s="1028"/>
      <c r="GC73" s="1028"/>
      <c r="GD73" s="1028"/>
      <c r="GE73" s="1028"/>
      <c r="GF73" s="1028"/>
      <c r="GG73" s="1028"/>
      <c r="GH73" s="1028"/>
      <c r="GI73" s="1028"/>
      <c r="GJ73" s="1028"/>
      <c r="GK73" s="1028"/>
      <c r="GL73" s="1028"/>
      <c r="GM73" s="1028"/>
      <c r="GN73" s="1028"/>
      <c r="GO73" s="1028"/>
      <c r="GP73" s="1028"/>
      <c r="GQ73" s="1028"/>
      <c r="GR73" s="1028"/>
      <c r="GS73" s="1028"/>
      <c r="GT73" s="1028"/>
      <c r="GU73" s="1028"/>
      <c r="GV73" s="1028"/>
      <c r="GW73" s="1028"/>
      <c r="GX73" s="1028"/>
      <c r="GY73" s="1028"/>
      <c r="GZ73" s="1028"/>
      <c r="HA73" s="1028"/>
      <c r="HB73" s="1028"/>
      <c r="HC73" s="1028"/>
      <c r="HD73" s="1028"/>
      <c r="HE73" s="1028"/>
      <c r="HF73" s="1028"/>
      <c r="HG73" s="1028"/>
      <c r="HH73" s="1028"/>
      <c r="HI73" s="1028"/>
      <c r="HJ73" s="1028"/>
      <c r="HK73" s="1028"/>
      <c r="HL73" s="1028"/>
      <c r="HM73" s="1028"/>
      <c r="HN73" s="1028"/>
      <c r="HO73" s="1028"/>
      <c r="HP73" s="1028"/>
      <c r="HQ73" s="1028"/>
      <c r="HR73" s="1028"/>
      <c r="HS73" s="1028"/>
      <c r="HT73" s="1028"/>
      <c r="HU73" s="1028"/>
      <c r="HV73" s="1028"/>
      <c r="HW73" s="1028"/>
      <c r="HX73" s="1028"/>
      <c r="HY73" s="1028"/>
      <c r="HZ73" s="1028"/>
      <c r="IA73" s="1028"/>
      <c r="IB73" s="1028"/>
      <c r="IC73" s="1028"/>
      <c r="ID73" s="1028"/>
      <c r="IE73" s="1028"/>
      <c r="IF73" s="1028"/>
      <c r="IG73" s="1028"/>
      <c r="IH73" s="1028"/>
      <c r="II73" s="1028"/>
      <c r="IJ73" s="1028"/>
      <c r="IK73" s="1028"/>
      <c r="IL73" s="1028"/>
      <c r="IM73" s="1028"/>
      <c r="IN73" s="1028"/>
      <c r="IO73" s="1028"/>
      <c r="IP73" s="1028"/>
      <c r="IQ73" s="1028"/>
      <c r="IR73" s="1028"/>
      <c r="IS73" s="1028"/>
      <c r="IT73" s="1028"/>
      <c r="IU73" s="1028"/>
      <c r="IV73" s="1028"/>
      <c r="IW73" s="1028"/>
      <c r="IX73" s="1028"/>
      <c r="IY73" s="1028"/>
      <c r="IZ73" s="1028"/>
      <c r="JA73" s="1028"/>
      <c r="JB73" s="1028"/>
      <c r="JC73" s="1028"/>
      <c r="JD73" s="1028"/>
      <c r="JE73" s="1028"/>
      <c r="JF73" s="1028"/>
      <c r="JG73" s="1028"/>
      <c r="JH73" s="1028"/>
      <c r="JI73" s="1028"/>
      <c r="JJ73" s="1028"/>
      <c r="JK73" s="1028"/>
      <c r="JL73" s="1028"/>
      <c r="JM73" s="1028"/>
      <c r="JN73" s="1028"/>
      <c r="JO73" s="1028"/>
      <c r="JP73" s="1028"/>
      <c r="JQ73" s="1028"/>
      <c r="JR73" s="1028"/>
      <c r="JS73" s="1028"/>
      <c r="JT73" s="1028"/>
      <c r="JU73" s="1028"/>
      <c r="JV73" s="1028"/>
      <c r="JW73" s="1028"/>
      <c r="JX73" s="1028"/>
      <c r="JY73" s="1028"/>
      <c r="JZ73" s="1028"/>
      <c r="KA73" s="1028"/>
      <c r="KB73" s="1028"/>
      <c r="KC73" s="1028"/>
      <c r="KD73" s="1028"/>
      <c r="KE73" s="1028"/>
      <c r="KF73" s="1028"/>
      <c r="KG73" s="1028"/>
      <c r="KH73" s="1028"/>
      <c r="KI73" s="1028"/>
      <c r="KJ73" s="1028"/>
      <c r="KK73" s="1028"/>
      <c r="KL73" s="1028"/>
      <c r="KM73" s="1028"/>
      <c r="KN73" s="1028"/>
      <c r="KO73" s="1028"/>
      <c r="KP73" s="1028"/>
      <c r="KQ73" s="1028"/>
      <c r="KR73" s="1028"/>
      <c r="KS73" s="1028"/>
      <c r="KT73" s="1028"/>
      <c r="KU73" s="1028"/>
      <c r="KV73" s="1028"/>
      <c r="KW73" s="1028"/>
      <c r="KX73" s="1028"/>
      <c r="KY73" s="1028"/>
      <c r="KZ73" s="1028"/>
      <c r="LA73" s="1028"/>
      <c r="LB73" s="1028"/>
      <c r="LC73" s="1028"/>
      <c r="LD73" s="1028"/>
      <c r="LE73" s="1028"/>
      <c r="LF73" s="1028"/>
      <c r="LG73" s="1028"/>
      <c r="LH73" s="1028"/>
      <c r="LI73" s="1028"/>
      <c r="LJ73" s="1028"/>
      <c r="LK73" s="1028"/>
      <c r="LL73" s="1028"/>
      <c r="LM73" s="1028"/>
      <c r="LN73" s="1028"/>
      <c r="LO73" s="1028"/>
      <c r="LP73" s="1028"/>
      <c r="LQ73" s="1028"/>
      <c r="LR73" s="1028"/>
      <c r="LS73" s="1028"/>
      <c r="LT73" s="1028"/>
      <c r="LU73" s="1028"/>
      <c r="LV73" s="1028"/>
      <c r="LW73" s="1028"/>
      <c r="LX73" s="1028"/>
      <c r="LY73" s="1028"/>
      <c r="LZ73" s="1028"/>
      <c r="MA73" s="1028"/>
      <c r="MB73" s="1028"/>
      <c r="MC73" s="1028"/>
      <c r="MD73" s="1028"/>
      <c r="ME73" s="1028"/>
      <c r="MF73" s="1028"/>
      <c r="MG73" s="1028"/>
      <c r="MH73" s="1028"/>
      <c r="MI73" s="1028"/>
      <c r="MJ73" s="1028"/>
      <c r="MK73" s="1028"/>
      <c r="ML73" s="1028"/>
      <c r="MM73" s="1028"/>
      <c r="MN73" s="1028"/>
      <c r="MO73" s="1028"/>
      <c r="MP73" s="1028"/>
      <c r="MQ73" s="1028"/>
      <c r="MR73" s="1028"/>
      <c r="MS73" s="1028"/>
      <c r="MT73" s="1028"/>
      <c r="MU73" s="1028"/>
      <c r="MV73" s="1028"/>
      <c r="MW73" s="1028"/>
      <c r="MX73" s="1028"/>
      <c r="MY73" s="1028"/>
      <c r="MZ73" s="1028"/>
      <c r="NA73" s="1028"/>
      <c r="NB73" s="1028"/>
      <c r="NC73" s="1028"/>
      <c r="ND73" s="1028"/>
      <c r="NE73" s="1028"/>
      <c r="NF73" s="1028"/>
      <c r="NG73" s="1028"/>
      <c r="NH73" s="1028"/>
      <c r="NI73" s="1028"/>
      <c r="NJ73" s="1028"/>
      <c r="NK73" s="1028"/>
      <c r="NL73" s="1028"/>
      <c r="NM73" s="1028"/>
      <c r="NN73" s="1028"/>
      <c r="NO73" s="1028"/>
      <c r="NP73" s="1028"/>
      <c r="NQ73" s="1028"/>
      <c r="NR73" s="1028"/>
      <c r="NS73" s="1028"/>
      <c r="NT73" s="1028"/>
      <c r="NU73" s="1028"/>
      <c r="NV73" s="1028"/>
      <c r="NW73" s="1028"/>
      <c r="NX73" s="1028"/>
      <c r="NY73" s="1028"/>
      <c r="NZ73" s="1028"/>
      <c r="OA73" s="1028"/>
      <c r="OB73" s="1028"/>
      <c r="OC73" s="1028"/>
      <c r="OD73" s="1028"/>
      <c r="OE73" s="1028"/>
      <c r="OF73" s="1028"/>
      <c r="OG73" s="1028"/>
      <c r="OH73" s="1028"/>
      <c r="OI73" s="1028"/>
      <c r="OJ73" s="1028"/>
      <c r="OK73" s="1028"/>
      <c r="OL73" s="1028"/>
      <c r="OM73" s="1028"/>
      <c r="ON73" s="1028"/>
      <c r="OO73" s="1028"/>
      <c r="OP73" s="1028"/>
      <c r="OQ73" s="1028"/>
      <c r="OR73" s="1028"/>
      <c r="OS73" s="1028"/>
      <c r="OT73" s="1028"/>
      <c r="OU73" s="1028"/>
      <c r="OV73" s="1028"/>
      <c r="OW73" s="1028"/>
      <c r="OX73" s="1028"/>
      <c r="OY73" s="1028"/>
      <c r="OZ73" s="1028"/>
      <c r="PA73" s="1028"/>
      <c r="PB73" s="1028"/>
      <c r="PC73" s="1028"/>
      <c r="PD73" s="1028"/>
      <c r="PE73" s="1028"/>
      <c r="PF73" s="1028"/>
      <c r="PG73" s="1028"/>
      <c r="PH73" s="1028"/>
      <c r="PI73" s="1028"/>
      <c r="PJ73" s="1028"/>
      <c r="PK73" s="1028"/>
      <c r="PL73" s="1028"/>
      <c r="PM73" s="1028"/>
      <c r="PN73" s="1028"/>
      <c r="PO73" s="1028"/>
      <c r="PP73" s="1028"/>
      <c r="PQ73" s="1028"/>
      <c r="PR73" s="1028"/>
      <c r="PS73" s="1028"/>
      <c r="PT73" s="1028"/>
      <c r="PU73" s="1028"/>
      <c r="PV73" s="1028"/>
      <c r="PW73" s="1028"/>
      <c r="PX73" s="1028"/>
      <c r="PY73" s="1028"/>
      <c r="PZ73" s="1028"/>
      <c r="QA73" s="1028"/>
      <c r="QB73" s="1028"/>
      <c r="QC73" s="1028"/>
      <c r="QD73" s="1028"/>
      <c r="QE73" s="1028"/>
      <c r="QF73" s="1028"/>
      <c r="QG73" s="1028"/>
      <c r="QH73" s="1028"/>
      <c r="QI73" s="1028"/>
      <c r="QJ73" s="1028"/>
      <c r="QK73" s="1028"/>
      <c r="QL73" s="1028"/>
      <c r="QM73" s="1028"/>
      <c r="QN73" s="1028"/>
      <c r="QO73" s="1028"/>
      <c r="QP73" s="1028"/>
      <c r="QQ73" s="1028"/>
      <c r="QR73" s="1028"/>
      <c r="QS73" s="1028"/>
      <c r="QT73" s="1028"/>
      <c r="QU73" s="1028"/>
      <c r="QV73" s="1028"/>
      <c r="QW73" s="1028"/>
      <c r="QX73" s="1028"/>
      <c r="QY73" s="1028"/>
      <c r="QZ73" s="1028"/>
      <c r="RA73" s="1028"/>
      <c r="RB73" s="1028"/>
      <c r="RC73" s="1028"/>
      <c r="RD73" s="1028"/>
      <c r="RE73" s="1028"/>
      <c r="RF73" s="1028"/>
      <c r="RG73" s="1028"/>
      <c r="RH73" s="1028"/>
      <c r="RI73" s="1028"/>
      <c r="RJ73" s="1028"/>
      <c r="RK73" s="1028"/>
      <c r="RL73" s="1028"/>
      <c r="RM73" s="1028"/>
      <c r="RN73" s="1028"/>
      <c r="RO73" s="1028"/>
      <c r="RP73" s="1028"/>
      <c r="RQ73" s="1028"/>
      <c r="RR73" s="1028"/>
      <c r="RS73" s="1028"/>
      <c r="RT73" s="1028"/>
      <c r="RU73" s="1028"/>
      <c r="RV73" s="1028"/>
      <c r="RW73" s="1028"/>
      <c r="RX73" s="1028"/>
      <c r="RY73" s="1028"/>
      <c r="RZ73" s="1028"/>
      <c r="SA73" s="1028"/>
      <c r="SB73" s="1028"/>
      <c r="SC73" s="1028"/>
      <c r="SD73" s="1028"/>
      <c r="SE73" s="1028"/>
      <c r="SF73" s="1028"/>
      <c r="SG73" s="1028"/>
      <c r="SH73" s="1028"/>
      <c r="SI73" s="1028"/>
      <c r="SJ73" s="1028"/>
      <c r="SK73" s="1028"/>
      <c r="SL73" s="1028"/>
      <c r="SM73" s="1028"/>
      <c r="SN73" s="1028"/>
      <c r="SO73" s="1028"/>
      <c r="SP73" s="1028"/>
      <c r="SQ73" s="1028"/>
      <c r="SR73" s="1028"/>
      <c r="SS73" s="1028"/>
      <c r="ST73" s="1028"/>
      <c r="SU73" s="1028"/>
      <c r="SV73" s="1028"/>
      <c r="SW73" s="1028"/>
      <c r="SX73" s="1028"/>
      <c r="SY73" s="1028"/>
      <c r="SZ73" s="1028"/>
      <c r="TA73" s="1028"/>
      <c r="TB73" s="1028"/>
      <c r="TC73" s="1028"/>
      <c r="TD73" s="1028"/>
      <c r="TE73" s="1028"/>
      <c r="TF73" s="1028"/>
      <c r="TG73" s="1028"/>
      <c r="TH73" s="1028"/>
      <c r="TI73" s="1028"/>
      <c r="TJ73" s="1028"/>
      <c r="TK73" s="1028"/>
      <c r="TL73" s="1028"/>
      <c r="TM73" s="1028"/>
      <c r="TN73" s="1028"/>
      <c r="TO73" s="1028"/>
      <c r="TP73" s="1028"/>
      <c r="TQ73" s="1028"/>
      <c r="TR73" s="1028"/>
      <c r="TS73" s="1028"/>
      <c r="TT73" s="1028"/>
      <c r="TU73" s="1028"/>
      <c r="TV73" s="1028"/>
      <c r="TW73" s="1028"/>
      <c r="TX73" s="1028"/>
      <c r="TY73" s="1028"/>
      <c r="TZ73" s="1028"/>
      <c r="UA73" s="1028"/>
      <c r="UB73" s="1028"/>
      <c r="UC73" s="1028"/>
      <c r="UD73" s="1028"/>
      <c r="UE73" s="1028"/>
      <c r="UF73" s="1028"/>
      <c r="UG73" s="867"/>
    </row>
    <row r="74" spans="1:553" s="1029" customFormat="1" ht="150" customHeight="1">
      <c r="A74" s="366" t="s">
        <v>15</v>
      </c>
      <c r="B74" s="366"/>
      <c r="C74" s="384" t="s">
        <v>69</v>
      </c>
      <c r="D74" s="376" t="s">
        <v>20</v>
      </c>
      <c r="E74" s="376" t="s">
        <v>137</v>
      </c>
      <c r="F74" s="385">
        <v>1</v>
      </c>
      <c r="G74" s="386" t="s">
        <v>935</v>
      </c>
      <c r="H74" s="441">
        <v>116.9</v>
      </c>
      <c r="I74" s="490">
        <v>116.9</v>
      </c>
      <c r="J74" s="477">
        <v>55000</v>
      </c>
      <c r="K74" s="388"/>
      <c r="L74" s="366">
        <f t="shared" si="16"/>
        <v>6429500</v>
      </c>
      <c r="M74" s="366"/>
      <c r="N74" s="366"/>
      <c r="O74" s="366"/>
      <c r="P74" s="366"/>
      <c r="Q74" s="1036" t="s">
        <v>130</v>
      </c>
      <c r="R74" s="1452"/>
      <c r="S74" s="308"/>
      <c r="T74" s="303"/>
      <c r="U74" s="306"/>
      <c r="V74" s="307"/>
      <c r="W74" s="306"/>
      <c r="X74" s="306">
        <f>I74</f>
        <v>116.9</v>
      </c>
      <c r="Y74" s="306"/>
      <c r="Z74" s="306"/>
      <c r="AA74" s="306"/>
      <c r="AB74" s="306"/>
      <c r="AC74" s="463"/>
      <c r="AD74" s="452"/>
      <c r="AE74" s="452"/>
      <c r="AF74" s="452"/>
      <c r="AG74" s="452"/>
      <c r="AH74" s="452"/>
      <c r="AI74" s="452"/>
      <c r="AJ74" s="452"/>
      <c r="AK74" s="452"/>
      <c r="AL74" s="242"/>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c r="CO74" s="241"/>
      <c r="CP74" s="241"/>
      <c r="CQ74" s="241"/>
      <c r="CR74" s="241"/>
      <c r="CS74" s="241"/>
      <c r="CT74" s="241"/>
      <c r="CU74" s="241"/>
      <c r="CV74" s="241"/>
      <c r="CW74" s="241"/>
      <c r="CX74" s="241"/>
      <c r="CY74" s="241"/>
      <c r="CZ74" s="241"/>
      <c r="DA74" s="241"/>
      <c r="DB74" s="241"/>
      <c r="DC74" s="241"/>
      <c r="DD74" s="241"/>
      <c r="DE74" s="241"/>
      <c r="DF74" s="241"/>
      <c r="DG74" s="241"/>
      <c r="DH74" s="241"/>
      <c r="DI74" s="241"/>
      <c r="DJ74" s="241"/>
      <c r="DK74" s="241"/>
      <c r="DL74" s="241"/>
      <c r="DM74" s="241"/>
      <c r="DN74" s="241"/>
      <c r="DO74" s="241"/>
      <c r="DP74" s="241"/>
      <c r="DQ74" s="241"/>
      <c r="DR74" s="241"/>
      <c r="DS74" s="241"/>
      <c r="DT74" s="241"/>
      <c r="DU74" s="241"/>
      <c r="DV74" s="241"/>
      <c r="DW74" s="241"/>
      <c r="DX74" s="241"/>
      <c r="DY74" s="241"/>
      <c r="DZ74" s="241"/>
      <c r="EA74" s="241"/>
      <c r="EB74" s="241"/>
      <c r="EC74" s="241"/>
      <c r="ED74" s="241"/>
      <c r="EE74" s="241"/>
      <c r="EF74" s="241"/>
      <c r="EG74" s="241"/>
      <c r="EH74" s="241"/>
      <c r="EI74" s="241"/>
      <c r="EJ74" s="241"/>
      <c r="EK74" s="241"/>
      <c r="EL74" s="241"/>
      <c r="EM74" s="241"/>
      <c r="EN74" s="241"/>
      <c r="EO74" s="241"/>
      <c r="EP74" s="241"/>
      <c r="EQ74" s="241"/>
      <c r="ER74" s="241"/>
      <c r="ES74" s="241"/>
      <c r="ET74" s="241"/>
      <c r="EU74" s="241"/>
      <c r="EV74" s="241"/>
      <c r="EW74" s="241"/>
      <c r="EX74" s="241"/>
      <c r="EY74" s="241"/>
      <c r="EZ74" s="241"/>
      <c r="FA74" s="241"/>
      <c r="FB74" s="241"/>
      <c r="FC74" s="241"/>
      <c r="FD74" s="241"/>
      <c r="FE74" s="241"/>
      <c r="FF74" s="241"/>
      <c r="FG74" s="241"/>
      <c r="FH74" s="241"/>
      <c r="FI74" s="241"/>
      <c r="FJ74" s="241"/>
      <c r="FK74" s="241"/>
      <c r="FL74" s="241"/>
      <c r="FM74" s="241"/>
      <c r="FN74" s="241"/>
      <c r="FO74" s="241"/>
      <c r="FP74" s="241"/>
      <c r="FQ74" s="241"/>
      <c r="FR74" s="241"/>
      <c r="FS74" s="241"/>
      <c r="FT74" s="241"/>
      <c r="FU74" s="241"/>
      <c r="FV74" s="241"/>
      <c r="FW74" s="241"/>
      <c r="FX74" s="241"/>
      <c r="FY74" s="241"/>
      <c r="FZ74" s="241"/>
      <c r="GA74" s="241"/>
      <c r="GB74" s="241"/>
      <c r="GC74" s="241"/>
      <c r="GD74" s="241"/>
      <c r="GE74" s="241"/>
      <c r="GF74" s="241"/>
      <c r="GG74" s="241"/>
      <c r="GH74" s="241"/>
      <c r="GI74" s="241"/>
      <c r="GJ74" s="241"/>
      <c r="GK74" s="241"/>
      <c r="GL74" s="241"/>
      <c r="GM74" s="241"/>
      <c r="GN74" s="241"/>
      <c r="GO74" s="241"/>
      <c r="GP74" s="241"/>
      <c r="GQ74" s="241"/>
      <c r="GR74" s="241"/>
      <c r="GS74" s="241"/>
      <c r="GT74" s="241"/>
      <c r="GU74" s="241"/>
      <c r="GV74" s="241"/>
      <c r="GW74" s="241"/>
      <c r="GX74" s="241"/>
      <c r="GY74" s="241"/>
      <c r="GZ74" s="241"/>
      <c r="HA74" s="241"/>
      <c r="HB74" s="241"/>
      <c r="HC74" s="241"/>
      <c r="HD74" s="241"/>
      <c r="HE74" s="241"/>
      <c r="HF74" s="241"/>
      <c r="HG74" s="241"/>
      <c r="HH74" s="241"/>
      <c r="HI74" s="241"/>
      <c r="HJ74" s="241"/>
      <c r="HK74" s="241"/>
      <c r="HL74" s="241"/>
      <c r="HM74" s="241"/>
      <c r="HN74" s="241"/>
      <c r="HO74" s="241"/>
      <c r="HP74" s="241"/>
      <c r="HQ74" s="241"/>
      <c r="HR74" s="241"/>
      <c r="HS74" s="241"/>
      <c r="HT74" s="241"/>
      <c r="HU74" s="241"/>
      <c r="HV74" s="241"/>
      <c r="HW74" s="241"/>
      <c r="HX74" s="241"/>
      <c r="HY74" s="241"/>
      <c r="HZ74" s="241"/>
      <c r="IA74" s="241"/>
      <c r="IB74" s="241"/>
      <c r="IC74" s="241"/>
      <c r="ID74" s="241"/>
      <c r="IE74" s="241"/>
      <c r="IF74" s="241"/>
      <c r="IG74" s="241"/>
      <c r="IH74" s="241"/>
      <c r="II74" s="241"/>
      <c r="IJ74" s="241"/>
      <c r="IK74" s="241"/>
      <c r="IL74" s="241"/>
      <c r="IM74" s="241"/>
      <c r="IN74" s="241"/>
      <c r="IO74" s="241"/>
      <c r="IP74" s="241"/>
      <c r="IQ74" s="241"/>
      <c r="IR74" s="241"/>
      <c r="IS74" s="241"/>
      <c r="IT74" s="241"/>
      <c r="IU74" s="241"/>
      <c r="IV74" s="241"/>
      <c r="IW74" s="241"/>
      <c r="IX74" s="241"/>
      <c r="IY74" s="241"/>
      <c r="IZ74" s="241"/>
      <c r="JA74" s="241"/>
      <c r="JB74" s="241"/>
      <c r="JC74" s="241"/>
      <c r="JD74" s="241"/>
      <c r="JE74" s="241"/>
      <c r="JF74" s="241"/>
      <c r="JG74" s="241"/>
      <c r="JH74" s="241"/>
      <c r="JI74" s="241"/>
      <c r="JJ74" s="241"/>
      <c r="JK74" s="241"/>
      <c r="JL74" s="241"/>
      <c r="JM74" s="241"/>
      <c r="JN74" s="241"/>
      <c r="JO74" s="241"/>
      <c r="JP74" s="241"/>
      <c r="JQ74" s="241"/>
      <c r="JR74" s="241"/>
      <c r="JS74" s="241"/>
      <c r="JT74" s="241"/>
      <c r="JU74" s="241"/>
      <c r="JV74" s="241"/>
      <c r="JW74" s="241"/>
      <c r="JX74" s="241"/>
      <c r="JY74" s="241"/>
      <c r="JZ74" s="241"/>
      <c r="KA74" s="241"/>
      <c r="KB74" s="241"/>
      <c r="KC74" s="241"/>
      <c r="KD74" s="241"/>
      <c r="KE74" s="241"/>
      <c r="KF74" s="241"/>
      <c r="KG74" s="241"/>
      <c r="KH74" s="241"/>
      <c r="KI74" s="241"/>
      <c r="KJ74" s="241"/>
      <c r="KK74" s="241"/>
      <c r="KL74" s="241"/>
      <c r="KM74" s="241"/>
      <c r="KN74" s="241"/>
      <c r="KO74" s="241"/>
      <c r="KP74" s="241"/>
      <c r="KQ74" s="241"/>
      <c r="KR74" s="241"/>
      <c r="KS74" s="241"/>
      <c r="KT74" s="241"/>
      <c r="KU74" s="241"/>
      <c r="KV74" s="241"/>
      <c r="KW74" s="241"/>
      <c r="KX74" s="241"/>
      <c r="KY74" s="241"/>
      <c r="KZ74" s="241"/>
      <c r="LA74" s="241"/>
      <c r="LB74" s="241"/>
      <c r="LC74" s="241"/>
      <c r="LD74" s="241"/>
      <c r="LE74" s="241"/>
      <c r="LF74" s="241"/>
      <c r="LG74" s="241"/>
      <c r="LH74" s="241"/>
      <c r="LI74" s="241"/>
      <c r="LJ74" s="241"/>
      <c r="LK74" s="241"/>
      <c r="LL74" s="241"/>
      <c r="LM74" s="241"/>
      <c r="LN74" s="241"/>
      <c r="LO74" s="241"/>
      <c r="LP74" s="241"/>
      <c r="LQ74" s="241"/>
      <c r="LR74" s="241"/>
      <c r="LS74" s="241"/>
      <c r="LT74" s="241"/>
      <c r="LU74" s="241"/>
      <c r="LV74" s="241"/>
      <c r="LW74" s="241"/>
      <c r="LX74" s="241"/>
      <c r="LY74" s="241"/>
      <c r="LZ74" s="241"/>
      <c r="MA74" s="241"/>
      <c r="MB74" s="241"/>
      <c r="MC74" s="241"/>
      <c r="MD74" s="241"/>
      <c r="ME74" s="241"/>
      <c r="MF74" s="241"/>
      <c r="MG74" s="241"/>
      <c r="MH74" s="241"/>
      <c r="MI74" s="241"/>
      <c r="MJ74" s="241"/>
      <c r="MK74" s="241"/>
      <c r="ML74" s="241"/>
      <c r="MM74" s="241"/>
      <c r="MN74" s="241"/>
      <c r="MO74" s="241"/>
      <c r="MP74" s="241"/>
      <c r="MQ74" s="241"/>
      <c r="MR74" s="241"/>
      <c r="MS74" s="241"/>
      <c r="MT74" s="241"/>
      <c r="MU74" s="241"/>
      <c r="MV74" s="241"/>
      <c r="MW74" s="241"/>
      <c r="MX74" s="241"/>
      <c r="MY74" s="241"/>
      <c r="MZ74" s="241"/>
      <c r="NA74" s="241"/>
      <c r="NB74" s="241"/>
      <c r="NC74" s="241"/>
      <c r="ND74" s="241"/>
      <c r="NE74" s="241"/>
      <c r="NF74" s="241"/>
      <c r="NG74" s="241"/>
      <c r="NH74" s="241"/>
      <c r="NI74" s="241"/>
      <c r="NJ74" s="241"/>
      <c r="NK74" s="241"/>
      <c r="NL74" s="241"/>
      <c r="NM74" s="241"/>
      <c r="NN74" s="241"/>
      <c r="NO74" s="241"/>
      <c r="NP74" s="241"/>
      <c r="NQ74" s="241"/>
      <c r="NR74" s="241"/>
      <c r="NS74" s="241"/>
      <c r="NT74" s="241"/>
      <c r="NU74" s="241"/>
      <c r="NV74" s="241"/>
      <c r="NW74" s="241"/>
      <c r="NX74" s="241"/>
      <c r="NY74" s="241"/>
      <c r="NZ74" s="241"/>
      <c r="OA74" s="241"/>
      <c r="OB74" s="241"/>
      <c r="OC74" s="241"/>
      <c r="OD74" s="241"/>
      <c r="OE74" s="241"/>
      <c r="OF74" s="241"/>
      <c r="OG74" s="241"/>
      <c r="OH74" s="241"/>
      <c r="OI74" s="241"/>
      <c r="OJ74" s="241"/>
      <c r="OK74" s="241"/>
      <c r="OL74" s="241"/>
      <c r="OM74" s="241"/>
      <c r="ON74" s="241"/>
      <c r="OO74" s="241"/>
      <c r="OP74" s="241"/>
      <c r="OQ74" s="241"/>
      <c r="OR74" s="241"/>
      <c r="OS74" s="241"/>
      <c r="OT74" s="241"/>
      <c r="OU74" s="241"/>
      <c r="OV74" s="241"/>
      <c r="OW74" s="241"/>
      <c r="OX74" s="241"/>
      <c r="OY74" s="241"/>
      <c r="OZ74" s="241"/>
      <c r="PA74" s="241"/>
      <c r="PB74" s="241"/>
      <c r="PC74" s="241"/>
      <c r="PD74" s="241"/>
      <c r="PE74" s="241"/>
      <c r="PF74" s="241"/>
      <c r="PG74" s="241"/>
      <c r="PH74" s="241"/>
      <c r="PI74" s="241"/>
      <c r="PJ74" s="241"/>
      <c r="PK74" s="241"/>
      <c r="PL74" s="241"/>
      <c r="PM74" s="241"/>
      <c r="PN74" s="241"/>
      <c r="PO74" s="241"/>
      <c r="PP74" s="241"/>
      <c r="PQ74" s="241"/>
      <c r="PR74" s="241"/>
      <c r="PS74" s="241"/>
      <c r="PT74" s="241"/>
      <c r="PU74" s="241"/>
      <c r="PV74" s="241"/>
      <c r="PW74" s="241"/>
      <c r="PX74" s="241"/>
      <c r="PY74" s="241"/>
      <c r="PZ74" s="241"/>
      <c r="QA74" s="241"/>
      <c r="QB74" s="241"/>
      <c r="QC74" s="241"/>
      <c r="QD74" s="241"/>
      <c r="QE74" s="241"/>
      <c r="QF74" s="241"/>
      <c r="QG74" s="241"/>
      <c r="QH74" s="241"/>
      <c r="QI74" s="241"/>
      <c r="QJ74" s="241"/>
      <c r="QK74" s="241"/>
      <c r="QL74" s="241"/>
      <c r="QM74" s="241"/>
      <c r="QN74" s="241"/>
      <c r="QO74" s="241"/>
      <c r="QP74" s="241"/>
      <c r="QQ74" s="241"/>
      <c r="QR74" s="241"/>
      <c r="QS74" s="241"/>
      <c r="QT74" s="241"/>
      <c r="QU74" s="241"/>
      <c r="QV74" s="241"/>
      <c r="QW74" s="241"/>
      <c r="QX74" s="241"/>
      <c r="QY74" s="241"/>
      <c r="QZ74" s="241"/>
      <c r="RA74" s="241"/>
      <c r="RB74" s="241"/>
      <c r="RC74" s="241"/>
      <c r="RD74" s="241"/>
      <c r="RE74" s="241"/>
      <c r="RF74" s="241"/>
      <c r="RG74" s="241"/>
      <c r="RH74" s="241"/>
      <c r="RI74" s="241"/>
      <c r="RJ74" s="241"/>
      <c r="RK74" s="241"/>
      <c r="RL74" s="241"/>
      <c r="RM74" s="241"/>
      <c r="RN74" s="241"/>
      <c r="RO74" s="241"/>
      <c r="RP74" s="241"/>
      <c r="RQ74" s="241"/>
      <c r="RR74" s="241"/>
      <c r="RS74" s="241"/>
      <c r="RT74" s="241"/>
      <c r="RU74" s="241"/>
      <c r="RV74" s="241"/>
      <c r="RW74" s="241"/>
      <c r="RX74" s="241"/>
      <c r="RY74" s="241"/>
      <c r="RZ74" s="241"/>
      <c r="SA74" s="241"/>
      <c r="SB74" s="241"/>
      <c r="SC74" s="241"/>
      <c r="SD74" s="241"/>
      <c r="SE74" s="241"/>
      <c r="SF74" s="241"/>
      <c r="SG74" s="241"/>
      <c r="SH74" s="241"/>
      <c r="SI74" s="241"/>
      <c r="SJ74" s="241"/>
      <c r="SK74" s="241"/>
      <c r="SL74" s="241"/>
      <c r="SM74" s="241"/>
      <c r="SN74" s="241"/>
      <c r="SO74" s="241"/>
      <c r="SP74" s="241"/>
      <c r="SQ74" s="241"/>
      <c r="SR74" s="241"/>
      <c r="SS74" s="241"/>
      <c r="ST74" s="241"/>
      <c r="SU74" s="241"/>
      <c r="SV74" s="241"/>
      <c r="SW74" s="241"/>
      <c r="SX74" s="241"/>
      <c r="SY74" s="241"/>
      <c r="SZ74" s="241"/>
      <c r="TA74" s="241"/>
      <c r="TB74" s="241"/>
      <c r="TC74" s="241"/>
      <c r="TD74" s="241"/>
      <c r="TE74" s="241"/>
      <c r="TF74" s="241"/>
      <c r="TG74" s="241"/>
      <c r="TH74" s="241"/>
      <c r="TI74" s="241"/>
      <c r="TJ74" s="241"/>
      <c r="TK74" s="241"/>
      <c r="TL74" s="241"/>
      <c r="TM74" s="241"/>
      <c r="TN74" s="241"/>
      <c r="TO74" s="241"/>
      <c r="TP74" s="241"/>
      <c r="TQ74" s="241"/>
      <c r="TR74" s="241"/>
      <c r="TS74" s="241"/>
      <c r="TT74" s="241"/>
      <c r="TU74" s="241"/>
      <c r="TV74" s="241"/>
      <c r="TW74" s="241"/>
      <c r="TX74" s="241"/>
      <c r="TY74" s="241"/>
      <c r="TZ74" s="241"/>
      <c r="UA74" s="241"/>
      <c r="UB74" s="241"/>
      <c r="UC74" s="241"/>
      <c r="UD74" s="241"/>
      <c r="UE74" s="241"/>
      <c r="UF74" s="241"/>
      <c r="UG74" s="1030"/>
    </row>
    <row r="75" spans="1:553" s="1029" customFormat="1" ht="150" customHeight="1">
      <c r="A75" s="366" t="s">
        <v>15</v>
      </c>
      <c r="B75" s="366"/>
      <c r="C75" s="384" t="s">
        <v>69</v>
      </c>
      <c r="D75" s="376" t="s">
        <v>20</v>
      </c>
      <c r="E75" s="376" t="s">
        <v>138</v>
      </c>
      <c r="F75" s="385">
        <v>1</v>
      </c>
      <c r="G75" s="386" t="s">
        <v>935</v>
      </c>
      <c r="H75" s="441">
        <v>98.7</v>
      </c>
      <c r="I75" s="490">
        <v>98.7</v>
      </c>
      <c r="J75" s="477">
        <v>55000</v>
      </c>
      <c r="K75" s="388"/>
      <c r="L75" s="366">
        <f>PRODUCT(I75:K75)</f>
        <v>5428500</v>
      </c>
      <c r="M75" s="366"/>
      <c r="N75" s="366"/>
      <c r="O75" s="366"/>
      <c r="P75" s="366"/>
      <c r="Q75" s="1036" t="s">
        <v>130</v>
      </c>
      <c r="R75" s="1452"/>
      <c r="S75" s="308"/>
      <c r="T75" s="303"/>
      <c r="U75" s="306"/>
      <c r="V75" s="307"/>
      <c r="W75" s="306"/>
      <c r="X75" s="306">
        <f>I75</f>
        <v>98.7</v>
      </c>
      <c r="Y75" s="306"/>
      <c r="Z75" s="306"/>
      <c r="AA75" s="306"/>
      <c r="AB75" s="306"/>
      <c r="AC75" s="463"/>
      <c r="AD75" s="452"/>
      <c r="AE75" s="452"/>
      <c r="AF75" s="452"/>
      <c r="AG75" s="452"/>
      <c r="AH75" s="452"/>
      <c r="AI75" s="452"/>
      <c r="AJ75" s="452"/>
      <c r="AK75" s="452"/>
      <c r="AL75" s="242"/>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c r="CO75" s="241"/>
      <c r="CP75" s="241"/>
      <c r="CQ75" s="241"/>
      <c r="CR75" s="241"/>
      <c r="CS75" s="241"/>
      <c r="CT75" s="241"/>
      <c r="CU75" s="241"/>
      <c r="CV75" s="241"/>
      <c r="CW75" s="241"/>
      <c r="CX75" s="241"/>
      <c r="CY75" s="241"/>
      <c r="CZ75" s="241"/>
      <c r="DA75" s="241"/>
      <c r="DB75" s="241"/>
      <c r="DC75" s="241"/>
      <c r="DD75" s="241"/>
      <c r="DE75" s="241"/>
      <c r="DF75" s="241"/>
      <c r="DG75" s="241"/>
      <c r="DH75" s="241"/>
      <c r="DI75" s="241"/>
      <c r="DJ75" s="241"/>
      <c r="DK75" s="241"/>
      <c r="DL75" s="241"/>
      <c r="DM75" s="241"/>
      <c r="DN75" s="241"/>
      <c r="DO75" s="241"/>
      <c r="DP75" s="241"/>
      <c r="DQ75" s="241"/>
      <c r="DR75" s="241"/>
      <c r="DS75" s="241"/>
      <c r="DT75" s="241"/>
      <c r="DU75" s="241"/>
      <c r="DV75" s="241"/>
      <c r="DW75" s="241"/>
      <c r="DX75" s="241"/>
      <c r="DY75" s="241"/>
      <c r="DZ75" s="241"/>
      <c r="EA75" s="241"/>
      <c r="EB75" s="241"/>
      <c r="EC75" s="241"/>
      <c r="ED75" s="241"/>
      <c r="EE75" s="241"/>
      <c r="EF75" s="241"/>
      <c r="EG75" s="241"/>
      <c r="EH75" s="241"/>
      <c r="EI75" s="241"/>
      <c r="EJ75" s="241"/>
      <c r="EK75" s="241"/>
      <c r="EL75" s="241"/>
      <c r="EM75" s="241"/>
      <c r="EN75" s="241"/>
      <c r="EO75" s="241"/>
      <c r="EP75" s="241"/>
      <c r="EQ75" s="241"/>
      <c r="ER75" s="241"/>
      <c r="ES75" s="241"/>
      <c r="ET75" s="241"/>
      <c r="EU75" s="241"/>
      <c r="EV75" s="241"/>
      <c r="EW75" s="241"/>
      <c r="EX75" s="241"/>
      <c r="EY75" s="241"/>
      <c r="EZ75" s="241"/>
      <c r="FA75" s="241"/>
      <c r="FB75" s="241"/>
      <c r="FC75" s="241"/>
      <c r="FD75" s="241"/>
      <c r="FE75" s="241"/>
      <c r="FF75" s="241"/>
      <c r="FG75" s="241"/>
      <c r="FH75" s="241"/>
      <c r="FI75" s="241"/>
      <c r="FJ75" s="241"/>
      <c r="FK75" s="241"/>
      <c r="FL75" s="241"/>
      <c r="FM75" s="241"/>
      <c r="FN75" s="241"/>
      <c r="FO75" s="241"/>
      <c r="FP75" s="241"/>
      <c r="FQ75" s="241"/>
      <c r="FR75" s="241"/>
      <c r="FS75" s="241"/>
      <c r="FT75" s="241"/>
      <c r="FU75" s="241"/>
      <c r="FV75" s="241"/>
      <c r="FW75" s="241"/>
      <c r="FX75" s="241"/>
      <c r="FY75" s="241"/>
      <c r="FZ75" s="241"/>
      <c r="GA75" s="241"/>
      <c r="GB75" s="241"/>
      <c r="GC75" s="241"/>
      <c r="GD75" s="241"/>
      <c r="GE75" s="241"/>
      <c r="GF75" s="241"/>
      <c r="GG75" s="241"/>
      <c r="GH75" s="241"/>
      <c r="GI75" s="241"/>
      <c r="GJ75" s="241"/>
      <c r="GK75" s="241"/>
      <c r="GL75" s="241"/>
      <c r="GM75" s="241"/>
      <c r="GN75" s="241"/>
      <c r="GO75" s="241"/>
      <c r="GP75" s="241"/>
      <c r="GQ75" s="241"/>
      <c r="GR75" s="241"/>
      <c r="GS75" s="241"/>
      <c r="GT75" s="241"/>
      <c r="GU75" s="241"/>
      <c r="GV75" s="241"/>
      <c r="GW75" s="241"/>
      <c r="GX75" s="241"/>
      <c r="GY75" s="241"/>
      <c r="GZ75" s="241"/>
      <c r="HA75" s="241"/>
      <c r="HB75" s="241"/>
      <c r="HC75" s="241"/>
      <c r="HD75" s="241"/>
      <c r="HE75" s="241"/>
      <c r="HF75" s="241"/>
      <c r="HG75" s="241"/>
      <c r="HH75" s="241"/>
      <c r="HI75" s="241"/>
      <c r="HJ75" s="241"/>
      <c r="HK75" s="241"/>
      <c r="HL75" s="241"/>
      <c r="HM75" s="241"/>
      <c r="HN75" s="241"/>
      <c r="HO75" s="241"/>
      <c r="HP75" s="241"/>
      <c r="HQ75" s="241"/>
      <c r="HR75" s="241"/>
      <c r="HS75" s="241"/>
      <c r="HT75" s="241"/>
      <c r="HU75" s="241"/>
      <c r="HV75" s="241"/>
      <c r="HW75" s="241"/>
      <c r="HX75" s="241"/>
      <c r="HY75" s="241"/>
      <c r="HZ75" s="241"/>
      <c r="IA75" s="241"/>
      <c r="IB75" s="241"/>
      <c r="IC75" s="241"/>
      <c r="ID75" s="241"/>
      <c r="IE75" s="241"/>
      <c r="IF75" s="241"/>
      <c r="IG75" s="241"/>
      <c r="IH75" s="241"/>
      <c r="II75" s="241"/>
      <c r="IJ75" s="241"/>
      <c r="IK75" s="241"/>
      <c r="IL75" s="241"/>
      <c r="IM75" s="241"/>
      <c r="IN75" s="241"/>
      <c r="IO75" s="241"/>
      <c r="IP75" s="241"/>
      <c r="IQ75" s="241"/>
      <c r="IR75" s="241"/>
      <c r="IS75" s="241"/>
      <c r="IT75" s="241"/>
      <c r="IU75" s="241"/>
      <c r="IV75" s="241"/>
      <c r="IW75" s="241"/>
      <c r="IX75" s="241"/>
      <c r="IY75" s="241"/>
      <c r="IZ75" s="241"/>
      <c r="JA75" s="241"/>
      <c r="JB75" s="241"/>
      <c r="JC75" s="241"/>
      <c r="JD75" s="241"/>
      <c r="JE75" s="241"/>
      <c r="JF75" s="241"/>
      <c r="JG75" s="241"/>
      <c r="JH75" s="241"/>
      <c r="JI75" s="241"/>
      <c r="JJ75" s="241"/>
      <c r="JK75" s="241"/>
      <c r="JL75" s="241"/>
      <c r="JM75" s="241"/>
      <c r="JN75" s="241"/>
      <c r="JO75" s="241"/>
      <c r="JP75" s="241"/>
      <c r="JQ75" s="241"/>
      <c r="JR75" s="241"/>
      <c r="JS75" s="241"/>
      <c r="JT75" s="241"/>
      <c r="JU75" s="241"/>
      <c r="JV75" s="241"/>
      <c r="JW75" s="241"/>
      <c r="JX75" s="241"/>
      <c r="JY75" s="241"/>
      <c r="JZ75" s="241"/>
      <c r="KA75" s="241"/>
      <c r="KB75" s="241"/>
      <c r="KC75" s="241"/>
      <c r="KD75" s="241"/>
      <c r="KE75" s="241"/>
      <c r="KF75" s="241"/>
      <c r="KG75" s="241"/>
      <c r="KH75" s="241"/>
      <c r="KI75" s="241"/>
      <c r="KJ75" s="241"/>
      <c r="KK75" s="241"/>
      <c r="KL75" s="241"/>
      <c r="KM75" s="241"/>
      <c r="KN75" s="241"/>
      <c r="KO75" s="241"/>
      <c r="KP75" s="241"/>
      <c r="KQ75" s="241"/>
      <c r="KR75" s="241"/>
      <c r="KS75" s="241"/>
      <c r="KT75" s="241"/>
      <c r="KU75" s="241"/>
      <c r="KV75" s="241"/>
      <c r="KW75" s="241"/>
      <c r="KX75" s="241"/>
      <c r="KY75" s="241"/>
      <c r="KZ75" s="241"/>
      <c r="LA75" s="241"/>
      <c r="LB75" s="241"/>
      <c r="LC75" s="241"/>
      <c r="LD75" s="241"/>
      <c r="LE75" s="241"/>
      <c r="LF75" s="241"/>
      <c r="LG75" s="241"/>
      <c r="LH75" s="241"/>
      <c r="LI75" s="241"/>
      <c r="LJ75" s="241"/>
      <c r="LK75" s="241"/>
      <c r="LL75" s="241"/>
      <c r="LM75" s="241"/>
      <c r="LN75" s="241"/>
      <c r="LO75" s="241"/>
      <c r="LP75" s="241"/>
      <c r="LQ75" s="241"/>
      <c r="LR75" s="241"/>
      <c r="LS75" s="241"/>
      <c r="LT75" s="241"/>
      <c r="LU75" s="241"/>
      <c r="LV75" s="241"/>
      <c r="LW75" s="241"/>
      <c r="LX75" s="241"/>
      <c r="LY75" s="241"/>
      <c r="LZ75" s="241"/>
      <c r="MA75" s="241"/>
      <c r="MB75" s="241"/>
      <c r="MC75" s="241"/>
      <c r="MD75" s="241"/>
      <c r="ME75" s="241"/>
      <c r="MF75" s="241"/>
      <c r="MG75" s="241"/>
      <c r="MH75" s="241"/>
      <c r="MI75" s="241"/>
      <c r="MJ75" s="241"/>
      <c r="MK75" s="241"/>
      <c r="ML75" s="241"/>
      <c r="MM75" s="241"/>
      <c r="MN75" s="241"/>
      <c r="MO75" s="241"/>
      <c r="MP75" s="241"/>
      <c r="MQ75" s="241"/>
      <c r="MR75" s="241"/>
      <c r="MS75" s="241"/>
      <c r="MT75" s="241"/>
      <c r="MU75" s="241"/>
      <c r="MV75" s="241"/>
      <c r="MW75" s="241"/>
      <c r="MX75" s="241"/>
      <c r="MY75" s="241"/>
      <c r="MZ75" s="241"/>
      <c r="NA75" s="241"/>
      <c r="NB75" s="241"/>
      <c r="NC75" s="241"/>
      <c r="ND75" s="241"/>
      <c r="NE75" s="241"/>
      <c r="NF75" s="241"/>
      <c r="NG75" s="241"/>
      <c r="NH75" s="241"/>
      <c r="NI75" s="241"/>
      <c r="NJ75" s="241"/>
      <c r="NK75" s="241"/>
      <c r="NL75" s="241"/>
      <c r="NM75" s="241"/>
      <c r="NN75" s="241"/>
      <c r="NO75" s="241"/>
      <c r="NP75" s="241"/>
      <c r="NQ75" s="241"/>
      <c r="NR75" s="241"/>
      <c r="NS75" s="241"/>
      <c r="NT75" s="241"/>
      <c r="NU75" s="241"/>
      <c r="NV75" s="241"/>
      <c r="NW75" s="241"/>
      <c r="NX75" s="241"/>
      <c r="NY75" s="241"/>
      <c r="NZ75" s="241"/>
      <c r="OA75" s="241"/>
      <c r="OB75" s="241"/>
      <c r="OC75" s="241"/>
      <c r="OD75" s="241"/>
      <c r="OE75" s="241"/>
      <c r="OF75" s="241"/>
      <c r="OG75" s="241"/>
      <c r="OH75" s="241"/>
      <c r="OI75" s="241"/>
      <c r="OJ75" s="241"/>
      <c r="OK75" s="241"/>
      <c r="OL75" s="241"/>
      <c r="OM75" s="241"/>
      <c r="ON75" s="241"/>
      <c r="OO75" s="241"/>
      <c r="OP75" s="241"/>
      <c r="OQ75" s="241"/>
      <c r="OR75" s="241"/>
      <c r="OS75" s="241"/>
      <c r="OT75" s="241"/>
      <c r="OU75" s="241"/>
      <c r="OV75" s="241"/>
      <c r="OW75" s="241"/>
      <c r="OX75" s="241"/>
      <c r="OY75" s="241"/>
      <c r="OZ75" s="241"/>
      <c r="PA75" s="241"/>
      <c r="PB75" s="241"/>
      <c r="PC75" s="241"/>
      <c r="PD75" s="241"/>
      <c r="PE75" s="241"/>
      <c r="PF75" s="241"/>
      <c r="PG75" s="241"/>
      <c r="PH75" s="241"/>
      <c r="PI75" s="241"/>
      <c r="PJ75" s="241"/>
      <c r="PK75" s="241"/>
      <c r="PL75" s="241"/>
      <c r="PM75" s="241"/>
      <c r="PN75" s="241"/>
      <c r="PO75" s="241"/>
      <c r="PP75" s="241"/>
      <c r="PQ75" s="241"/>
      <c r="PR75" s="241"/>
      <c r="PS75" s="241"/>
      <c r="PT75" s="241"/>
      <c r="PU75" s="241"/>
      <c r="PV75" s="241"/>
      <c r="PW75" s="241"/>
      <c r="PX75" s="241"/>
      <c r="PY75" s="241"/>
      <c r="PZ75" s="241"/>
      <c r="QA75" s="241"/>
      <c r="QB75" s="241"/>
      <c r="QC75" s="241"/>
      <c r="QD75" s="241"/>
      <c r="QE75" s="241"/>
      <c r="QF75" s="241"/>
      <c r="QG75" s="241"/>
      <c r="QH75" s="241"/>
      <c r="QI75" s="241"/>
      <c r="QJ75" s="241"/>
      <c r="QK75" s="241"/>
      <c r="QL75" s="241"/>
      <c r="QM75" s="241"/>
      <c r="QN75" s="241"/>
      <c r="QO75" s="241"/>
      <c r="QP75" s="241"/>
      <c r="QQ75" s="241"/>
      <c r="QR75" s="241"/>
      <c r="QS75" s="241"/>
      <c r="QT75" s="241"/>
      <c r="QU75" s="241"/>
      <c r="QV75" s="241"/>
      <c r="QW75" s="241"/>
      <c r="QX75" s="241"/>
      <c r="QY75" s="241"/>
      <c r="QZ75" s="241"/>
      <c r="RA75" s="241"/>
      <c r="RB75" s="241"/>
      <c r="RC75" s="241"/>
      <c r="RD75" s="241"/>
      <c r="RE75" s="241"/>
      <c r="RF75" s="241"/>
      <c r="RG75" s="241"/>
      <c r="RH75" s="241"/>
      <c r="RI75" s="241"/>
      <c r="RJ75" s="241"/>
      <c r="RK75" s="241"/>
      <c r="RL75" s="241"/>
      <c r="RM75" s="241"/>
      <c r="RN75" s="241"/>
      <c r="RO75" s="241"/>
      <c r="RP75" s="241"/>
      <c r="RQ75" s="241"/>
      <c r="RR75" s="241"/>
      <c r="RS75" s="241"/>
      <c r="RT75" s="241"/>
      <c r="RU75" s="241"/>
      <c r="RV75" s="241"/>
      <c r="RW75" s="241"/>
      <c r="RX75" s="241"/>
      <c r="RY75" s="241"/>
      <c r="RZ75" s="241"/>
      <c r="SA75" s="241"/>
      <c r="SB75" s="241"/>
      <c r="SC75" s="241"/>
      <c r="SD75" s="241"/>
      <c r="SE75" s="241"/>
      <c r="SF75" s="241"/>
      <c r="SG75" s="241"/>
      <c r="SH75" s="241"/>
      <c r="SI75" s="241"/>
      <c r="SJ75" s="241"/>
      <c r="SK75" s="241"/>
      <c r="SL75" s="241"/>
      <c r="SM75" s="241"/>
      <c r="SN75" s="241"/>
      <c r="SO75" s="241"/>
      <c r="SP75" s="241"/>
      <c r="SQ75" s="241"/>
      <c r="SR75" s="241"/>
      <c r="SS75" s="241"/>
      <c r="ST75" s="241"/>
      <c r="SU75" s="241"/>
      <c r="SV75" s="241"/>
      <c r="SW75" s="241"/>
      <c r="SX75" s="241"/>
      <c r="SY75" s="241"/>
      <c r="SZ75" s="241"/>
      <c r="TA75" s="241"/>
      <c r="TB75" s="241"/>
      <c r="TC75" s="241"/>
      <c r="TD75" s="241"/>
      <c r="TE75" s="241"/>
      <c r="TF75" s="241"/>
      <c r="TG75" s="241"/>
      <c r="TH75" s="241"/>
      <c r="TI75" s="241"/>
      <c r="TJ75" s="241"/>
      <c r="TK75" s="241"/>
      <c r="TL75" s="241"/>
      <c r="TM75" s="241"/>
      <c r="TN75" s="241"/>
      <c r="TO75" s="241"/>
      <c r="TP75" s="241"/>
      <c r="TQ75" s="241"/>
      <c r="TR75" s="241"/>
      <c r="TS75" s="241"/>
      <c r="TT75" s="241"/>
      <c r="TU75" s="241"/>
      <c r="TV75" s="241"/>
      <c r="TW75" s="241"/>
      <c r="TX75" s="241"/>
      <c r="TY75" s="241"/>
      <c r="TZ75" s="241"/>
      <c r="UA75" s="241"/>
      <c r="UB75" s="241"/>
      <c r="UC75" s="241"/>
      <c r="UD75" s="241"/>
      <c r="UE75" s="241"/>
      <c r="UF75" s="241"/>
      <c r="UG75" s="1030"/>
    </row>
    <row r="76" spans="1:553" s="1029" customFormat="1" ht="150" customHeight="1">
      <c r="A76" s="366" t="s">
        <v>15</v>
      </c>
      <c r="B76" s="366"/>
      <c r="C76" s="384" t="s">
        <v>23</v>
      </c>
      <c r="D76" s="376" t="s">
        <v>20</v>
      </c>
      <c r="E76" s="376" t="s">
        <v>139</v>
      </c>
      <c r="F76" s="385">
        <v>1</v>
      </c>
      <c r="G76" s="386" t="s">
        <v>935</v>
      </c>
      <c r="H76" s="441">
        <v>571.5</v>
      </c>
      <c r="I76" s="490">
        <v>571.5</v>
      </c>
      <c r="J76" s="368">
        <v>62000</v>
      </c>
      <c r="K76" s="388"/>
      <c r="L76" s="366">
        <f>PRODUCT(I76:K76)</f>
        <v>35433000</v>
      </c>
      <c r="M76" s="366"/>
      <c r="N76" s="366"/>
      <c r="O76" s="366"/>
      <c r="P76" s="366"/>
      <c r="Q76" s="1036" t="s">
        <v>140</v>
      </c>
      <c r="R76" s="1452"/>
      <c r="S76" s="308"/>
      <c r="T76" s="303"/>
      <c r="U76" s="306"/>
      <c r="V76" s="307"/>
      <c r="W76" s="306">
        <f>I76</f>
        <v>571.5</v>
      </c>
      <c r="X76" s="306"/>
      <c r="Y76" s="306"/>
      <c r="Z76" s="306"/>
      <c r="AA76" s="306"/>
      <c r="AB76" s="306"/>
      <c r="AC76" s="463"/>
      <c r="AD76" s="452"/>
      <c r="AE76" s="452"/>
      <c r="AF76" s="452"/>
      <c r="AG76" s="452"/>
      <c r="AH76" s="452"/>
      <c r="AI76" s="452"/>
      <c r="AJ76" s="452"/>
      <c r="AK76" s="452"/>
      <c r="AL76" s="242"/>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c r="CO76" s="241"/>
      <c r="CP76" s="241"/>
      <c r="CQ76" s="241"/>
      <c r="CR76" s="241"/>
      <c r="CS76" s="241"/>
      <c r="CT76" s="241"/>
      <c r="CU76" s="241"/>
      <c r="CV76" s="241"/>
      <c r="CW76" s="241"/>
      <c r="CX76" s="241"/>
      <c r="CY76" s="241"/>
      <c r="CZ76" s="241"/>
      <c r="DA76" s="241"/>
      <c r="DB76" s="241"/>
      <c r="DC76" s="241"/>
      <c r="DD76" s="241"/>
      <c r="DE76" s="241"/>
      <c r="DF76" s="241"/>
      <c r="DG76" s="241"/>
      <c r="DH76" s="241"/>
      <c r="DI76" s="241"/>
      <c r="DJ76" s="241"/>
      <c r="DK76" s="241"/>
      <c r="DL76" s="241"/>
      <c r="DM76" s="241"/>
      <c r="DN76" s="241"/>
      <c r="DO76" s="241"/>
      <c r="DP76" s="241"/>
      <c r="DQ76" s="241"/>
      <c r="DR76" s="241"/>
      <c r="DS76" s="241"/>
      <c r="DT76" s="241"/>
      <c r="DU76" s="241"/>
      <c r="DV76" s="241"/>
      <c r="DW76" s="241"/>
      <c r="DX76" s="241"/>
      <c r="DY76" s="241"/>
      <c r="DZ76" s="241"/>
      <c r="EA76" s="241"/>
      <c r="EB76" s="241"/>
      <c r="EC76" s="241"/>
      <c r="ED76" s="241"/>
      <c r="EE76" s="241"/>
      <c r="EF76" s="241"/>
      <c r="EG76" s="241"/>
      <c r="EH76" s="241"/>
      <c r="EI76" s="241"/>
      <c r="EJ76" s="241"/>
      <c r="EK76" s="241"/>
      <c r="EL76" s="241"/>
      <c r="EM76" s="241"/>
      <c r="EN76" s="241"/>
      <c r="EO76" s="241"/>
      <c r="EP76" s="241"/>
      <c r="EQ76" s="241"/>
      <c r="ER76" s="241"/>
      <c r="ES76" s="241"/>
      <c r="ET76" s="241"/>
      <c r="EU76" s="241"/>
      <c r="EV76" s="241"/>
      <c r="EW76" s="241"/>
      <c r="EX76" s="241"/>
      <c r="EY76" s="241"/>
      <c r="EZ76" s="241"/>
      <c r="FA76" s="241"/>
      <c r="FB76" s="241"/>
      <c r="FC76" s="241"/>
      <c r="FD76" s="241"/>
      <c r="FE76" s="241"/>
      <c r="FF76" s="241"/>
      <c r="FG76" s="241"/>
      <c r="FH76" s="241"/>
      <c r="FI76" s="241"/>
      <c r="FJ76" s="241"/>
      <c r="FK76" s="241"/>
      <c r="FL76" s="241"/>
      <c r="FM76" s="241"/>
      <c r="FN76" s="241"/>
      <c r="FO76" s="241"/>
      <c r="FP76" s="241"/>
      <c r="FQ76" s="241"/>
      <c r="FR76" s="241"/>
      <c r="FS76" s="241"/>
      <c r="FT76" s="241"/>
      <c r="FU76" s="241"/>
      <c r="FV76" s="241"/>
      <c r="FW76" s="241"/>
      <c r="FX76" s="241"/>
      <c r="FY76" s="241"/>
      <c r="FZ76" s="241"/>
      <c r="GA76" s="241"/>
      <c r="GB76" s="241"/>
      <c r="GC76" s="241"/>
      <c r="GD76" s="241"/>
      <c r="GE76" s="241"/>
      <c r="GF76" s="241"/>
      <c r="GG76" s="241"/>
      <c r="GH76" s="241"/>
      <c r="GI76" s="241"/>
      <c r="GJ76" s="241"/>
      <c r="GK76" s="241"/>
      <c r="GL76" s="241"/>
      <c r="GM76" s="241"/>
      <c r="GN76" s="241"/>
      <c r="GO76" s="241"/>
      <c r="GP76" s="241"/>
      <c r="GQ76" s="241"/>
      <c r="GR76" s="241"/>
      <c r="GS76" s="241"/>
      <c r="GT76" s="241"/>
      <c r="GU76" s="241"/>
      <c r="GV76" s="241"/>
      <c r="GW76" s="241"/>
      <c r="GX76" s="241"/>
      <c r="GY76" s="241"/>
      <c r="GZ76" s="241"/>
      <c r="HA76" s="241"/>
      <c r="HB76" s="241"/>
      <c r="HC76" s="241"/>
      <c r="HD76" s="241"/>
      <c r="HE76" s="241"/>
      <c r="HF76" s="241"/>
      <c r="HG76" s="241"/>
      <c r="HH76" s="241"/>
      <c r="HI76" s="241"/>
      <c r="HJ76" s="241"/>
      <c r="HK76" s="241"/>
      <c r="HL76" s="241"/>
      <c r="HM76" s="241"/>
      <c r="HN76" s="241"/>
      <c r="HO76" s="241"/>
      <c r="HP76" s="241"/>
      <c r="HQ76" s="241"/>
      <c r="HR76" s="241"/>
      <c r="HS76" s="241"/>
      <c r="HT76" s="241"/>
      <c r="HU76" s="241"/>
      <c r="HV76" s="241"/>
      <c r="HW76" s="241"/>
      <c r="HX76" s="241"/>
      <c r="HY76" s="241"/>
      <c r="HZ76" s="241"/>
      <c r="IA76" s="241"/>
      <c r="IB76" s="241"/>
      <c r="IC76" s="241"/>
      <c r="ID76" s="241"/>
      <c r="IE76" s="241"/>
      <c r="IF76" s="241"/>
      <c r="IG76" s="241"/>
      <c r="IH76" s="241"/>
      <c r="II76" s="241"/>
      <c r="IJ76" s="241"/>
      <c r="IK76" s="241"/>
      <c r="IL76" s="241"/>
      <c r="IM76" s="241"/>
      <c r="IN76" s="241"/>
      <c r="IO76" s="241"/>
      <c r="IP76" s="241"/>
      <c r="IQ76" s="241"/>
      <c r="IR76" s="241"/>
      <c r="IS76" s="241"/>
      <c r="IT76" s="241"/>
      <c r="IU76" s="241"/>
      <c r="IV76" s="241"/>
      <c r="IW76" s="241"/>
      <c r="IX76" s="241"/>
      <c r="IY76" s="241"/>
      <c r="IZ76" s="241"/>
      <c r="JA76" s="241"/>
      <c r="JB76" s="241"/>
      <c r="JC76" s="241"/>
      <c r="JD76" s="241"/>
      <c r="JE76" s="241"/>
      <c r="JF76" s="241"/>
      <c r="JG76" s="241"/>
      <c r="JH76" s="241"/>
      <c r="JI76" s="241"/>
      <c r="JJ76" s="241"/>
      <c r="JK76" s="241"/>
      <c r="JL76" s="241"/>
      <c r="JM76" s="241"/>
      <c r="JN76" s="241"/>
      <c r="JO76" s="241"/>
      <c r="JP76" s="241"/>
      <c r="JQ76" s="241"/>
      <c r="JR76" s="241"/>
      <c r="JS76" s="241"/>
      <c r="JT76" s="241"/>
      <c r="JU76" s="241"/>
      <c r="JV76" s="241"/>
      <c r="JW76" s="241"/>
      <c r="JX76" s="241"/>
      <c r="JY76" s="241"/>
      <c r="JZ76" s="241"/>
      <c r="KA76" s="241"/>
      <c r="KB76" s="241"/>
      <c r="KC76" s="241"/>
      <c r="KD76" s="241"/>
      <c r="KE76" s="241"/>
      <c r="KF76" s="241"/>
      <c r="KG76" s="241"/>
      <c r="KH76" s="241"/>
      <c r="KI76" s="241"/>
      <c r="KJ76" s="241"/>
      <c r="KK76" s="241"/>
      <c r="KL76" s="241"/>
      <c r="KM76" s="241"/>
      <c r="KN76" s="241"/>
      <c r="KO76" s="241"/>
      <c r="KP76" s="241"/>
      <c r="KQ76" s="241"/>
      <c r="KR76" s="241"/>
      <c r="KS76" s="241"/>
      <c r="KT76" s="241"/>
      <c r="KU76" s="241"/>
      <c r="KV76" s="241"/>
      <c r="KW76" s="241"/>
      <c r="KX76" s="241"/>
      <c r="KY76" s="241"/>
      <c r="KZ76" s="241"/>
      <c r="LA76" s="241"/>
      <c r="LB76" s="241"/>
      <c r="LC76" s="241"/>
      <c r="LD76" s="241"/>
      <c r="LE76" s="241"/>
      <c r="LF76" s="241"/>
      <c r="LG76" s="241"/>
      <c r="LH76" s="241"/>
      <c r="LI76" s="241"/>
      <c r="LJ76" s="241"/>
      <c r="LK76" s="241"/>
      <c r="LL76" s="241"/>
      <c r="LM76" s="241"/>
      <c r="LN76" s="241"/>
      <c r="LO76" s="241"/>
      <c r="LP76" s="241"/>
      <c r="LQ76" s="241"/>
      <c r="LR76" s="241"/>
      <c r="LS76" s="241"/>
      <c r="LT76" s="241"/>
      <c r="LU76" s="241"/>
      <c r="LV76" s="241"/>
      <c r="LW76" s="241"/>
      <c r="LX76" s="241"/>
      <c r="LY76" s="241"/>
      <c r="LZ76" s="241"/>
      <c r="MA76" s="241"/>
      <c r="MB76" s="241"/>
      <c r="MC76" s="241"/>
      <c r="MD76" s="241"/>
      <c r="ME76" s="241"/>
      <c r="MF76" s="241"/>
      <c r="MG76" s="241"/>
      <c r="MH76" s="241"/>
      <c r="MI76" s="241"/>
      <c r="MJ76" s="241"/>
      <c r="MK76" s="241"/>
      <c r="ML76" s="241"/>
      <c r="MM76" s="241"/>
      <c r="MN76" s="241"/>
      <c r="MO76" s="241"/>
      <c r="MP76" s="241"/>
      <c r="MQ76" s="241"/>
      <c r="MR76" s="241"/>
      <c r="MS76" s="241"/>
      <c r="MT76" s="241"/>
      <c r="MU76" s="241"/>
      <c r="MV76" s="241"/>
      <c r="MW76" s="241"/>
      <c r="MX76" s="241"/>
      <c r="MY76" s="241"/>
      <c r="MZ76" s="241"/>
      <c r="NA76" s="241"/>
      <c r="NB76" s="241"/>
      <c r="NC76" s="241"/>
      <c r="ND76" s="241"/>
      <c r="NE76" s="241"/>
      <c r="NF76" s="241"/>
      <c r="NG76" s="241"/>
      <c r="NH76" s="241"/>
      <c r="NI76" s="241"/>
      <c r="NJ76" s="241"/>
      <c r="NK76" s="241"/>
      <c r="NL76" s="241"/>
      <c r="NM76" s="241"/>
      <c r="NN76" s="241"/>
      <c r="NO76" s="241"/>
      <c r="NP76" s="241"/>
      <c r="NQ76" s="241"/>
      <c r="NR76" s="241"/>
      <c r="NS76" s="241"/>
      <c r="NT76" s="241"/>
      <c r="NU76" s="241"/>
      <c r="NV76" s="241"/>
      <c r="NW76" s="241"/>
      <c r="NX76" s="241"/>
      <c r="NY76" s="241"/>
      <c r="NZ76" s="241"/>
      <c r="OA76" s="241"/>
      <c r="OB76" s="241"/>
      <c r="OC76" s="241"/>
      <c r="OD76" s="241"/>
      <c r="OE76" s="241"/>
      <c r="OF76" s="241"/>
      <c r="OG76" s="241"/>
      <c r="OH76" s="241"/>
      <c r="OI76" s="241"/>
      <c r="OJ76" s="241"/>
      <c r="OK76" s="241"/>
      <c r="OL76" s="241"/>
      <c r="OM76" s="241"/>
      <c r="ON76" s="241"/>
      <c r="OO76" s="241"/>
      <c r="OP76" s="241"/>
      <c r="OQ76" s="241"/>
      <c r="OR76" s="241"/>
      <c r="OS76" s="241"/>
      <c r="OT76" s="241"/>
      <c r="OU76" s="241"/>
      <c r="OV76" s="241"/>
      <c r="OW76" s="241"/>
      <c r="OX76" s="241"/>
      <c r="OY76" s="241"/>
      <c r="OZ76" s="241"/>
      <c r="PA76" s="241"/>
      <c r="PB76" s="241"/>
      <c r="PC76" s="241"/>
      <c r="PD76" s="241"/>
      <c r="PE76" s="241"/>
      <c r="PF76" s="241"/>
      <c r="PG76" s="241"/>
      <c r="PH76" s="241"/>
      <c r="PI76" s="241"/>
      <c r="PJ76" s="241"/>
      <c r="PK76" s="241"/>
      <c r="PL76" s="241"/>
      <c r="PM76" s="241"/>
      <c r="PN76" s="241"/>
      <c r="PO76" s="241"/>
      <c r="PP76" s="241"/>
      <c r="PQ76" s="241"/>
      <c r="PR76" s="241"/>
      <c r="PS76" s="241"/>
      <c r="PT76" s="241"/>
      <c r="PU76" s="241"/>
      <c r="PV76" s="241"/>
      <c r="PW76" s="241"/>
      <c r="PX76" s="241"/>
      <c r="PY76" s="241"/>
      <c r="PZ76" s="241"/>
      <c r="QA76" s="241"/>
      <c r="QB76" s="241"/>
      <c r="QC76" s="241"/>
      <c r="QD76" s="241"/>
      <c r="QE76" s="241"/>
      <c r="QF76" s="241"/>
      <c r="QG76" s="241"/>
      <c r="QH76" s="241"/>
      <c r="QI76" s="241"/>
      <c r="QJ76" s="241"/>
      <c r="QK76" s="241"/>
      <c r="QL76" s="241"/>
      <c r="QM76" s="241"/>
      <c r="QN76" s="241"/>
      <c r="QO76" s="241"/>
      <c r="QP76" s="241"/>
      <c r="QQ76" s="241"/>
      <c r="QR76" s="241"/>
      <c r="QS76" s="241"/>
      <c r="QT76" s="241"/>
      <c r="QU76" s="241"/>
      <c r="QV76" s="241"/>
      <c r="QW76" s="241"/>
      <c r="QX76" s="241"/>
      <c r="QY76" s="241"/>
      <c r="QZ76" s="241"/>
      <c r="RA76" s="241"/>
      <c r="RB76" s="241"/>
      <c r="RC76" s="241"/>
      <c r="RD76" s="241"/>
      <c r="RE76" s="241"/>
      <c r="RF76" s="241"/>
      <c r="RG76" s="241"/>
      <c r="RH76" s="241"/>
      <c r="RI76" s="241"/>
      <c r="RJ76" s="241"/>
      <c r="RK76" s="241"/>
      <c r="RL76" s="241"/>
      <c r="RM76" s="241"/>
      <c r="RN76" s="241"/>
      <c r="RO76" s="241"/>
      <c r="RP76" s="241"/>
      <c r="RQ76" s="241"/>
      <c r="RR76" s="241"/>
      <c r="RS76" s="241"/>
      <c r="RT76" s="241"/>
      <c r="RU76" s="241"/>
      <c r="RV76" s="241"/>
      <c r="RW76" s="241"/>
      <c r="RX76" s="241"/>
      <c r="RY76" s="241"/>
      <c r="RZ76" s="241"/>
      <c r="SA76" s="241"/>
      <c r="SB76" s="241"/>
      <c r="SC76" s="241"/>
      <c r="SD76" s="241"/>
      <c r="SE76" s="241"/>
      <c r="SF76" s="241"/>
      <c r="SG76" s="241"/>
      <c r="SH76" s="241"/>
      <c r="SI76" s="241"/>
      <c r="SJ76" s="241"/>
      <c r="SK76" s="241"/>
      <c r="SL76" s="241"/>
      <c r="SM76" s="241"/>
      <c r="SN76" s="241"/>
      <c r="SO76" s="241"/>
      <c r="SP76" s="241"/>
      <c r="SQ76" s="241"/>
      <c r="SR76" s="241"/>
      <c r="SS76" s="241"/>
      <c r="ST76" s="241"/>
      <c r="SU76" s="241"/>
      <c r="SV76" s="241"/>
      <c r="SW76" s="241"/>
      <c r="SX76" s="241"/>
      <c r="SY76" s="241"/>
      <c r="SZ76" s="241"/>
      <c r="TA76" s="241"/>
      <c r="TB76" s="241"/>
      <c r="TC76" s="241"/>
      <c r="TD76" s="241"/>
      <c r="TE76" s="241"/>
      <c r="TF76" s="241"/>
      <c r="TG76" s="241"/>
      <c r="TH76" s="241"/>
      <c r="TI76" s="241"/>
      <c r="TJ76" s="241"/>
      <c r="TK76" s="241"/>
      <c r="TL76" s="241"/>
      <c r="TM76" s="241"/>
      <c r="TN76" s="241"/>
      <c r="TO76" s="241"/>
      <c r="TP76" s="241"/>
      <c r="TQ76" s="241"/>
      <c r="TR76" s="241"/>
      <c r="TS76" s="241"/>
      <c r="TT76" s="241"/>
      <c r="TU76" s="241"/>
      <c r="TV76" s="241"/>
      <c r="TW76" s="241"/>
      <c r="TX76" s="241"/>
      <c r="TY76" s="241"/>
      <c r="TZ76" s="241"/>
      <c r="UA76" s="241"/>
      <c r="UB76" s="241"/>
      <c r="UC76" s="241"/>
      <c r="UD76" s="241"/>
      <c r="UE76" s="241"/>
      <c r="UF76" s="241"/>
      <c r="UG76" s="1030"/>
    </row>
    <row r="77" spans="1:553" s="1029" customFormat="1" ht="150" customHeight="1">
      <c r="A77" s="366" t="s">
        <v>15</v>
      </c>
      <c r="B77" s="366"/>
      <c r="C77" s="384" t="s">
        <v>23</v>
      </c>
      <c r="D77" s="376" t="s">
        <v>20</v>
      </c>
      <c r="E77" s="376" t="s">
        <v>141</v>
      </c>
      <c r="F77" s="385">
        <v>1</v>
      </c>
      <c r="G77" s="386" t="s">
        <v>935</v>
      </c>
      <c r="H77" s="441">
        <v>59.4</v>
      </c>
      <c r="I77" s="490">
        <v>59.4</v>
      </c>
      <c r="J77" s="368">
        <v>62000</v>
      </c>
      <c r="K77" s="388"/>
      <c r="L77" s="366">
        <f>PRODUCT(I77:K77)</f>
        <v>3682800</v>
      </c>
      <c r="M77" s="366"/>
      <c r="N77" s="366"/>
      <c r="O77" s="366"/>
      <c r="P77" s="366"/>
      <c r="Q77" s="1036" t="s">
        <v>140</v>
      </c>
      <c r="R77" s="1452"/>
      <c r="S77" s="308"/>
      <c r="T77" s="303"/>
      <c r="U77" s="306"/>
      <c r="V77" s="307"/>
      <c r="W77" s="306">
        <f>I77</f>
        <v>59.4</v>
      </c>
      <c r="X77" s="306"/>
      <c r="Y77" s="306"/>
      <c r="Z77" s="306"/>
      <c r="AA77" s="306"/>
      <c r="AB77" s="306"/>
      <c r="AC77" s="463"/>
      <c r="AD77" s="452"/>
      <c r="AE77" s="452"/>
      <c r="AF77" s="452"/>
      <c r="AG77" s="452"/>
      <c r="AH77" s="452"/>
      <c r="AI77" s="452"/>
      <c r="AJ77" s="452"/>
      <c r="AK77" s="452"/>
      <c r="AL77" s="242"/>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c r="CO77" s="241"/>
      <c r="CP77" s="241"/>
      <c r="CQ77" s="241"/>
      <c r="CR77" s="241"/>
      <c r="CS77" s="241"/>
      <c r="CT77" s="241"/>
      <c r="CU77" s="241"/>
      <c r="CV77" s="241"/>
      <c r="CW77" s="241"/>
      <c r="CX77" s="241"/>
      <c r="CY77" s="241"/>
      <c r="CZ77" s="241"/>
      <c r="DA77" s="241"/>
      <c r="DB77" s="241"/>
      <c r="DC77" s="241"/>
      <c r="DD77" s="241"/>
      <c r="DE77" s="241"/>
      <c r="DF77" s="241"/>
      <c r="DG77" s="241"/>
      <c r="DH77" s="241"/>
      <c r="DI77" s="241"/>
      <c r="DJ77" s="241"/>
      <c r="DK77" s="241"/>
      <c r="DL77" s="241"/>
      <c r="DM77" s="241"/>
      <c r="DN77" s="241"/>
      <c r="DO77" s="241"/>
      <c r="DP77" s="241"/>
      <c r="DQ77" s="241"/>
      <c r="DR77" s="241"/>
      <c r="DS77" s="241"/>
      <c r="DT77" s="241"/>
      <c r="DU77" s="241"/>
      <c r="DV77" s="241"/>
      <c r="DW77" s="241"/>
      <c r="DX77" s="241"/>
      <c r="DY77" s="241"/>
      <c r="DZ77" s="241"/>
      <c r="EA77" s="241"/>
      <c r="EB77" s="241"/>
      <c r="EC77" s="241"/>
      <c r="ED77" s="241"/>
      <c r="EE77" s="241"/>
      <c r="EF77" s="241"/>
      <c r="EG77" s="241"/>
      <c r="EH77" s="241"/>
      <c r="EI77" s="241"/>
      <c r="EJ77" s="241"/>
      <c r="EK77" s="241"/>
      <c r="EL77" s="241"/>
      <c r="EM77" s="241"/>
      <c r="EN77" s="241"/>
      <c r="EO77" s="241"/>
      <c r="EP77" s="241"/>
      <c r="EQ77" s="241"/>
      <c r="ER77" s="241"/>
      <c r="ES77" s="241"/>
      <c r="ET77" s="241"/>
      <c r="EU77" s="241"/>
      <c r="EV77" s="241"/>
      <c r="EW77" s="241"/>
      <c r="EX77" s="241"/>
      <c r="EY77" s="241"/>
      <c r="EZ77" s="241"/>
      <c r="FA77" s="241"/>
      <c r="FB77" s="241"/>
      <c r="FC77" s="241"/>
      <c r="FD77" s="241"/>
      <c r="FE77" s="241"/>
      <c r="FF77" s="241"/>
      <c r="FG77" s="241"/>
      <c r="FH77" s="241"/>
      <c r="FI77" s="241"/>
      <c r="FJ77" s="241"/>
      <c r="FK77" s="241"/>
      <c r="FL77" s="241"/>
      <c r="FM77" s="241"/>
      <c r="FN77" s="241"/>
      <c r="FO77" s="241"/>
      <c r="FP77" s="241"/>
      <c r="FQ77" s="241"/>
      <c r="FR77" s="241"/>
      <c r="FS77" s="241"/>
      <c r="FT77" s="241"/>
      <c r="FU77" s="241"/>
      <c r="FV77" s="241"/>
      <c r="FW77" s="241"/>
      <c r="FX77" s="241"/>
      <c r="FY77" s="241"/>
      <c r="FZ77" s="241"/>
      <c r="GA77" s="241"/>
      <c r="GB77" s="241"/>
      <c r="GC77" s="241"/>
      <c r="GD77" s="241"/>
      <c r="GE77" s="241"/>
      <c r="GF77" s="241"/>
      <c r="GG77" s="241"/>
      <c r="GH77" s="241"/>
      <c r="GI77" s="241"/>
      <c r="GJ77" s="241"/>
      <c r="GK77" s="241"/>
      <c r="GL77" s="241"/>
      <c r="GM77" s="241"/>
      <c r="GN77" s="241"/>
      <c r="GO77" s="241"/>
      <c r="GP77" s="241"/>
      <c r="GQ77" s="241"/>
      <c r="GR77" s="241"/>
      <c r="GS77" s="241"/>
      <c r="GT77" s="241"/>
      <c r="GU77" s="241"/>
      <c r="GV77" s="241"/>
      <c r="GW77" s="241"/>
      <c r="GX77" s="241"/>
      <c r="GY77" s="241"/>
      <c r="GZ77" s="241"/>
      <c r="HA77" s="241"/>
      <c r="HB77" s="241"/>
      <c r="HC77" s="241"/>
      <c r="HD77" s="241"/>
      <c r="HE77" s="241"/>
      <c r="HF77" s="241"/>
      <c r="HG77" s="241"/>
      <c r="HH77" s="241"/>
      <c r="HI77" s="241"/>
      <c r="HJ77" s="241"/>
      <c r="HK77" s="241"/>
      <c r="HL77" s="241"/>
      <c r="HM77" s="241"/>
      <c r="HN77" s="241"/>
      <c r="HO77" s="241"/>
      <c r="HP77" s="241"/>
      <c r="HQ77" s="241"/>
      <c r="HR77" s="241"/>
      <c r="HS77" s="241"/>
      <c r="HT77" s="241"/>
      <c r="HU77" s="241"/>
      <c r="HV77" s="241"/>
      <c r="HW77" s="241"/>
      <c r="HX77" s="241"/>
      <c r="HY77" s="241"/>
      <c r="HZ77" s="241"/>
      <c r="IA77" s="241"/>
      <c r="IB77" s="241"/>
      <c r="IC77" s="241"/>
      <c r="ID77" s="241"/>
      <c r="IE77" s="241"/>
      <c r="IF77" s="241"/>
      <c r="IG77" s="241"/>
      <c r="IH77" s="241"/>
      <c r="II77" s="241"/>
      <c r="IJ77" s="241"/>
      <c r="IK77" s="241"/>
      <c r="IL77" s="241"/>
      <c r="IM77" s="241"/>
      <c r="IN77" s="241"/>
      <c r="IO77" s="241"/>
      <c r="IP77" s="241"/>
      <c r="IQ77" s="241"/>
      <c r="IR77" s="241"/>
      <c r="IS77" s="241"/>
      <c r="IT77" s="241"/>
      <c r="IU77" s="241"/>
      <c r="IV77" s="241"/>
      <c r="IW77" s="241"/>
      <c r="IX77" s="241"/>
      <c r="IY77" s="241"/>
      <c r="IZ77" s="241"/>
      <c r="JA77" s="241"/>
      <c r="JB77" s="241"/>
      <c r="JC77" s="241"/>
      <c r="JD77" s="241"/>
      <c r="JE77" s="241"/>
      <c r="JF77" s="241"/>
      <c r="JG77" s="241"/>
      <c r="JH77" s="241"/>
      <c r="JI77" s="241"/>
      <c r="JJ77" s="241"/>
      <c r="JK77" s="241"/>
      <c r="JL77" s="241"/>
      <c r="JM77" s="241"/>
      <c r="JN77" s="241"/>
      <c r="JO77" s="241"/>
      <c r="JP77" s="241"/>
      <c r="JQ77" s="241"/>
      <c r="JR77" s="241"/>
      <c r="JS77" s="241"/>
      <c r="JT77" s="241"/>
      <c r="JU77" s="241"/>
      <c r="JV77" s="241"/>
      <c r="JW77" s="241"/>
      <c r="JX77" s="241"/>
      <c r="JY77" s="241"/>
      <c r="JZ77" s="241"/>
      <c r="KA77" s="241"/>
      <c r="KB77" s="241"/>
      <c r="KC77" s="241"/>
      <c r="KD77" s="241"/>
      <c r="KE77" s="241"/>
      <c r="KF77" s="241"/>
      <c r="KG77" s="241"/>
      <c r="KH77" s="241"/>
      <c r="KI77" s="241"/>
      <c r="KJ77" s="241"/>
      <c r="KK77" s="241"/>
      <c r="KL77" s="241"/>
      <c r="KM77" s="241"/>
      <c r="KN77" s="241"/>
      <c r="KO77" s="241"/>
      <c r="KP77" s="241"/>
      <c r="KQ77" s="241"/>
      <c r="KR77" s="241"/>
      <c r="KS77" s="241"/>
      <c r="KT77" s="241"/>
      <c r="KU77" s="241"/>
      <c r="KV77" s="241"/>
      <c r="KW77" s="241"/>
      <c r="KX77" s="241"/>
      <c r="KY77" s="241"/>
      <c r="KZ77" s="241"/>
      <c r="LA77" s="241"/>
      <c r="LB77" s="241"/>
      <c r="LC77" s="241"/>
      <c r="LD77" s="241"/>
      <c r="LE77" s="241"/>
      <c r="LF77" s="241"/>
      <c r="LG77" s="241"/>
      <c r="LH77" s="241"/>
      <c r="LI77" s="241"/>
      <c r="LJ77" s="241"/>
      <c r="LK77" s="241"/>
      <c r="LL77" s="241"/>
      <c r="LM77" s="241"/>
      <c r="LN77" s="241"/>
      <c r="LO77" s="241"/>
      <c r="LP77" s="241"/>
      <c r="LQ77" s="241"/>
      <c r="LR77" s="241"/>
      <c r="LS77" s="241"/>
      <c r="LT77" s="241"/>
      <c r="LU77" s="241"/>
      <c r="LV77" s="241"/>
      <c r="LW77" s="241"/>
      <c r="LX77" s="241"/>
      <c r="LY77" s="241"/>
      <c r="LZ77" s="241"/>
      <c r="MA77" s="241"/>
      <c r="MB77" s="241"/>
      <c r="MC77" s="241"/>
      <c r="MD77" s="241"/>
      <c r="ME77" s="241"/>
      <c r="MF77" s="241"/>
      <c r="MG77" s="241"/>
      <c r="MH77" s="241"/>
      <c r="MI77" s="241"/>
      <c r="MJ77" s="241"/>
      <c r="MK77" s="241"/>
      <c r="ML77" s="241"/>
      <c r="MM77" s="241"/>
      <c r="MN77" s="241"/>
      <c r="MO77" s="241"/>
      <c r="MP77" s="241"/>
      <c r="MQ77" s="241"/>
      <c r="MR77" s="241"/>
      <c r="MS77" s="241"/>
      <c r="MT77" s="241"/>
      <c r="MU77" s="241"/>
      <c r="MV77" s="241"/>
      <c r="MW77" s="241"/>
      <c r="MX77" s="241"/>
      <c r="MY77" s="241"/>
      <c r="MZ77" s="241"/>
      <c r="NA77" s="241"/>
      <c r="NB77" s="241"/>
      <c r="NC77" s="241"/>
      <c r="ND77" s="241"/>
      <c r="NE77" s="241"/>
      <c r="NF77" s="241"/>
      <c r="NG77" s="241"/>
      <c r="NH77" s="241"/>
      <c r="NI77" s="241"/>
      <c r="NJ77" s="241"/>
      <c r="NK77" s="241"/>
      <c r="NL77" s="241"/>
      <c r="NM77" s="241"/>
      <c r="NN77" s="241"/>
      <c r="NO77" s="241"/>
      <c r="NP77" s="241"/>
      <c r="NQ77" s="241"/>
      <c r="NR77" s="241"/>
      <c r="NS77" s="241"/>
      <c r="NT77" s="241"/>
      <c r="NU77" s="241"/>
      <c r="NV77" s="241"/>
      <c r="NW77" s="241"/>
      <c r="NX77" s="241"/>
      <c r="NY77" s="241"/>
      <c r="NZ77" s="241"/>
      <c r="OA77" s="241"/>
      <c r="OB77" s="241"/>
      <c r="OC77" s="241"/>
      <c r="OD77" s="241"/>
      <c r="OE77" s="241"/>
      <c r="OF77" s="241"/>
      <c r="OG77" s="241"/>
      <c r="OH77" s="241"/>
      <c r="OI77" s="241"/>
      <c r="OJ77" s="241"/>
      <c r="OK77" s="241"/>
      <c r="OL77" s="241"/>
      <c r="OM77" s="241"/>
      <c r="ON77" s="241"/>
      <c r="OO77" s="241"/>
      <c r="OP77" s="241"/>
      <c r="OQ77" s="241"/>
      <c r="OR77" s="241"/>
      <c r="OS77" s="241"/>
      <c r="OT77" s="241"/>
      <c r="OU77" s="241"/>
      <c r="OV77" s="241"/>
      <c r="OW77" s="241"/>
      <c r="OX77" s="241"/>
      <c r="OY77" s="241"/>
      <c r="OZ77" s="241"/>
      <c r="PA77" s="241"/>
      <c r="PB77" s="241"/>
      <c r="PC77" s="241"/>
      <c r="PD77" s="241"/>
      <c r="PE77" s="241"/>
      <c r="PF77" s="241"/>
      <c r="PG77" s="241"/>
      <c r="PH77" s="241"/>
      <c r="PI77" s="241"/>
      <c r="PJ77" s="241"/>
      <c r="PK77" s="241"/>
      <c r="PL77" s="241"/>
      <c r="PM77" s="241"/>
      <c r="PN77" s="241"/>
      <c r="PO77" s="241"/>
      <c r="PP77" s="241"/>
      <c r="PQ77" s="241"/>
      <c r="PR77" s="241"/>
      <c r="PS77" s="241"/>
      <c r="PT77" s="241"/>
      <c r="PU77" s="241"/>
      <c r="PV77" s="241"/>
      <c r="PW77" s="241"/>
      <c r="PX77" s="241"/>
      <c r="PY77" s="241"/>
      <c r="PZ77" s="241"/>
      <c r="QA77" s="241"/>
      <c r="QB77" s="241"/>
      <c r="QC77" s="241"/>
      <c r="QD77" s="241"/>
      <c r="QE77" s="241"/>
      <c r="QF77" s="241"/>
      <c r="QG77" s="241"/>
      <c r="QH77" s="241"/>
      <c r="QI77" s="241"/>
      <c r="QJ77" s="241"/>
      <c r="QK77" s="241"/>
      <c r="QL77" s="241"/>
      <c r="QM77" s="241"/>
      <c r="QN77" s="241"/>
      <c r="QO77" s="241"/>
      <c r="QP77" s="241"/>
      <c r="QQ77" s="241"/>
      <c r="QR77" s="241"/>
      <c r="QS77" s="241"/>
      <c r="QT77" s="241"/>
      <c r="QU77" s="241"/>
      <c r="QV77" s="241"/>
      <c r="QW77" s="241"/>
      <c r="QX77" s="241"/>
      <c r="QY77" s="241"/>
      <c r="QZ77" s="241"/>
      <c r="RA77" s="241"/>
      <c r="RB77" s="241"/>
      <c r="RC77" s="241"/>
      <c r="RD77" s="241"/>
      <c r="RE77" s="241"/>
      <c r="RF77" s="241"/>
      <c r="RG77" s="241"/>
      <c r="RH77" s="241"/>
      <c r="RI77" s="241"/>
      <c r="RJ77" s="241"/>
      <c r="RK77" s="241"/>
      <c r="RL77" s="241"/>
      <c r="RM77" s="241"/>
      <c r="RN77" s="241"/>
      <c r="RO77" s="241"/>
      <c r="RP77" s="241"/>
      <c r="RQ77" s="241"/>
      <c r="RR77" s="241"/>
      <c r="RS77" s="241"/>
      <c r="RT77" s="241"/>
      <c r="RU77" s="241"/>
      <c r="RV77" s="241"/>
      <c r="RW77" s="241"/>
      <c r="RX77" s="241"/>
      <c r="RY77" s="241"/>
      <c r="RZ77" s="241"/>
      <c r="SA77" s="241"/>
      <c r="SB77" s="241"/>
      <c r="SC77" s="241"/>
      <c r="SD77" s="241"/>
      <c r="SE77" s="241"/>
      <c r="SF77" s="241"/>
      <c r="SG77" s="241"/>
      <c r="SH77" s="241"/>
      <c r="SI77" s="241"/>
      <c r="SJ77" s="241"/>
      <c r="SK77" s="241"/>
      <c r="SL77" s="241"/>
      <c r="SM77" s="241"/>
      <c r="SN77" s="241"/>
      <c r="SO77" s="241"/>
      <c r="SP77" s="241"/>
      <c r="SQ77" s="241"/>
      <c r="SR77" s="241"/>
      <c r="SS77" s="241"/>
      <c r="ST77" s="241"/>
      <c r="SU77" s="241"/>
      <c r="SV77" s="241"/>
      <c r="SW77" s="241"/>
      <c r="SX77" s="241"/>
      <c r="SY77" s="241"/>
      <c r="SZ77" s="241"/>
      <c r="TA77" s="241"/>
      <c r="TB77" s="241"/>
      <c r="TC77" s="241"/>
      <c r="TD77" s="241"/>
      <c r="TE77" s="241"/>
      <c r="TF77" s="241"/>
      <c r="TG77" s="241"/>
      <c r="TH77" s="241"/>
      <c r="TI77" s="241"/>
      <c r="TJ77" s="241"/>
      <c r="TK77" s="241"/>
      <c r="TL77" s="241"/>
      <c r="TM77" s="241"/>
      <c r="TN77" s="241"/>
      <c r="TO77" s="241"/>
      <c r="TP77" s="241"/>
      <c r="TQ77" s="241"/>
      <c r="TR77" s="241"/>
      <c r="TS77" s="241"/>
      <c r="TT77" s="241"/>
      <c r="TU77" s="241"/>
      <c r="TV77" s="241"/>
      <c r="TW77" s="241"/>
      <c r="TX77" s="241"/>
      <c r="TY77" s="241"/>
      <c r="TZ77" s="241"/>
      <c r="UA77" s="241"/>
      <c r="UB77" s="241"/>
      <c r="UC77" s="241"/>
      <c r="UD77" s="241"/>
      <c r="UE77" s="241"/>
      <c r="UF77" s="241"/>
      <c r="UG77" s="1030"/>
    </row>
    <row r="78" spans="1:553" s="1029" customFormat="1" ht="150" customHeight="1">
      <c r="A78" s="366" t="s">
        <v>15</v>
      </c>
      <c r="B78" s="366"/>
      <c r="C78" s="468" t="s">
        <v>23</v>
      </c>
      <c r="D78" s="1011" t="s">
        <v>20</v>
      </c>
      <c r="E78" s="1011" t="s">
        <v>142</v>
      </c>
      <c r="F78" s="469">
        <v>1</v>
      </c>
      <c r="G78" s="386" t="s">
        <v>935</v>
      </c>
      <c r="H78" s="441">
        <v>17.399999999999999</v>
      </c>
      <c r="I78" s="490">
        <v>17.399999999999999</v>
      </c>
      <c r="J78" s="368">
        <v>62000</v>
      </c>
      <c r="K78" s="388"/>
      <c r="L78" s="366">
        <f>PRODUCT(I78:K78)</f>
        <v>1078800</v>
      </c>
      <c r="M78" s="366"/>
      <c r="N78" s="366"/>
      <c r="O78" s="366"/>
      <c r="P78" s="366"/>
      <c r="Q78" s="1036" t="s">
        <v>140</v>
      </c>
      <c r="R78" s="1452"/>
      <c r="S78" s="308"/>
      <c r="T78" s="303"/>
      <c r="U78" s="306"/>
      <c r="V78" s="307"/>
      <c r="W78" s="306">
        <f>I78</f>
        <v>17.399999999999999</v>
      </c>
      <c r="X78" s="306"/>
      <c r="Y78" s="306"/>
      <c r="Z78" s="306"/>
      <c r="AA78" s="306"/>
      <c r="AB78" s="306"/>
      <c r="AC78" s="463"/>
      <c r="AD78" s="452"/>
      <c r="AE78" s="452"/>
      <c r="AF78" s="452"/>
      <c r="AG78" s="452"/>
      <c r="AH78" s="452"/>
      <c r="AI78" s="452"/>
      <c r="AJ78" s="452"/>
      <c r="AK78" s="452"/>
      <c r="AL78" s="242"/>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c r="CO78" s="241"/>
      <c r="CP78" s="241"/>
      <c r="CQ78" s="241"/>
      <c r="CR78" s="241"/>
      <c r="CS78" s="241"/>
      <c r="CT78" s="241"/>
      <c r="CU78" s="241"/>
      <c r="CV78" s="241"/>
      <c r="CW78" s="241"/>
      <c r="CX78" s="241"/>
      <c r="CY78" s="241"/>
      <c r="CZ78" s="241"/>
      <c r="DA78" s="241"/>
      <c r="DB78" s="241"/>
      <c r="DC78" s="241"/>
      <c r="DD78" s="241"/>
      <c r="DE78" s="241"/>
      <c r="DF78" s="241"/>
      <c r="DG78" s="241"/>
      <c r="DH78" s="241"/>
      <c r="DI78" s="241"/>
      <c r="DJ78" s="241"/>
      <c r="DK78" s="241"/>
      <c r="DL78" s="241"/>
      <c r="DM78" s="241"/>
      <c r="DN78" s="241"/>
      <c r="DO78" s="241"/>
      <c r="DP78" s="241"/>
      <c r="DQ78" s="241"/>
      <c r="DR78" s="241"/>
      <c r="DS78" s="241"/>
      <c r="DT78" s="241"/>
      <c r="DU78" s="241"/>
      <c r="DV78" s="241"/>
      <c r="DW78" s="241"/>
      <c r="DX78" s="241"/>
      <c r="DY78" s="241"/>
      <c r="DZ78" s="241"/>
      <c r="EA78" s="241"/>
      <c r="EB78" s="241"/>
      <c r="EC78" s="241"/>
      <c r="ED78" s="241"/>
      <c r="EE78" s="241"/>
      <c r="EF78" s="241"/>
      <c r="EG78" s="241"/>
      <c r="EH78" s="241"/>
      <c r="EI78" s="241"/>
      <c r="EJ78" s="241"/>
      <c r="EK78" s="241"/>
      <c r="EL78" s="241"/>
      <c r="EM78" s="241"/>
      <c r="EN78" s="241"/>
      <c r="EO78" s="241"/>
      <c r="EP78" s="241"/>
      <c r="EQ78" s="241"/>
      <c r="ER78" s="241"/>
      <c r="ES78" s="241"/>
      <c r="ET78" s="241"/>
      <c r="EU78" s="241"/>
      <c r="EV78" s="241"/>
      <c r="EW78" s="241"/>
      <c r="EX78" s="241"/>
      <c r="EY78" s="241"/>
      <c r="EZ78" s="241"/>
      <c r="FA78" s="241"/>
      <c r="FB78" s="241"/>
      <c r="FC78" s="241"/>
      <c r="FD78" s="241"/>
      <c r="FE78" s="241"/>
      <c r="FF78" s="241"/>
      <c r="FG78" s="241"/>
      <c r="FH78" s="241"/>
      <c r="FI78" s="241"/>
      <c r="FJ78" s="241"/>
      <c r="FK78" s="241"/>
      <c r="FL78" s="241"/>
      <c r="FM78" s="241"/>
      <c r="FN78" s="241"/>
      <c r="FO78" s="241"/>
      <c r="FP78" s="241"/>
      <c r="FQ78" s="241"/>
      <c r="FR78" s="241"/>
      <c r="FS78" s="241"/>
      <c r="FT78" s="241"/>
      <c r="FU78" s="241"/>
      <c r="FV78" s="241"/>
      <c r="FW78" s="241"/>
      <c r="FX78" s="241"/>
      <c r="FY78" s="241"/>
      <c r="FZ78" s="241"/>
      <c r="GA78" s="241"/>
      <c r="GB78" s="241"/>
      <c r="GC78" s="241"/>
      <c r="GD78" s="241"/>
      <c r="GE78" s="241"/>
      <c r="GF78" s="241"/>
      <c r="GG78" s="241"/>
      <c r="GH78" s="241"/>
      <c r="GI78" s="241"/>
      <c r="GJ78" s="241"/>
      <c r="GK78" s="241"/>
      <c r="GL78" s="241"/>
      <c r="GM78" s="241"/>
      <c r="GN78" s="241"/>
      <c r="GO78" s="241"/>
      <c r="GP78" s="241"/>
      <c r="GQ78" s="241"/>
      <c r="GR78" s="241"/>
      <c r="GS78" s="241"/>
      <c r="GT78" s="241"/>
      <c r="GU78" s="241"/>
      <c r="GV78" s="241"/>
      <c r="GW78" s="241"/>
      <c r="GX78" s="241"/>
      <c r="GY78" s="241"/>
      <c r="GZ78" s="241"/>
      <c r="HA78" s="241"/>
      <c r="HB78" s="241"/>
      <c r="HC78" s="241"/>
      <c r="HD78" s="241"/>
      <c r="HE78" s="241"/>
      <c r="HF78" s="241"/>
      <c r="HG78" s="241"/>
      <c r="HH78" s="241"/>
      <c r="HI78" s="241"/>
      <c r="HJ78" s="241"/>
      <c r="HK78" s="241"/>
      <c r="HL78" s="241"/>
      <c r="HM78" s="241"/>
      <c r="HN78" s="241"/>
      <c r="HO78" s="241"/>
      <c r="HP78" s="241"/>
      <c r="HQ78" s="241"/>
      <c r="HR78" s="241"/>
      <c r="HS78" s="241"/>
      <c r="HT78" s="241"/>
      <c r="HU78" s="241"/>
      <c r="HV78" s="241"/>
      <c r="HW78" s="241"/>
      <c r="HX78" s="241"/>
      <c r="HY78" s="241"/>
      <c r="HZ78" s="241"/>
      <c r="IA78" s="241"/>
      <c r="IB78" s="241"/>
      <c r="IC78" s="241"/>
      <c r="ID78" s="241"/>
      <c r="IE78" s="241"/>
      <c r="IF78" s="241"/>
      <c r="IG78" s="241"/>
      <c r="IH78" s="241"/>
      <c r="II78" s="241"/>
      <c r="IJ78" s="241"/>
      <c r="IK78" s="241"/>
      <c r="IL78" s="241"/>
      <c r="IM78" s="241"/>
      <c r="IN78" s="241"/>
      <c r="IO78" s="241"/>
      <c r="IP78" s="241"/>
      <c r="IQ78" s="241"/>
      <c r="IR78" s="241"/>
      <c r="IS78" s="241"/>
      <c r="IT78" s="241"/>
      <c r="IU78" s="241"/>
      <c r="IV78" s="241"/>
      <c r="IW78" s="241"/>
      <c r="IX78" s="241"/>
      <c r="IY78" s="241"/>
      <c r="IZ78" s="241"/>
      <c r="JA78" s="241"/>
      <c r="JB78" s="241"/>
      <c r="JC78" s="241"/>
      <c r="JD78" s="241"/>
      <c r="JE78" s="241"/>
      <c r="JF78" s="241"/>
      <c r="JG78" s="241"/>
      <c r="JH78" s="241"/>
      <c r="JI78" s="241"/>
      <c r="JJ78" s="241"/>
      <c r="JK78" s="241"/>
      <c r="JL78" s="241"/>
      <c r="JM78" s="241"/>
      <c r="JN78" s="241"/>
      <c r="JO78" s="241"/>
      <c r="JP78" s="241"/>
      <c r="JQ78" s="241"/>
      <c r="JR78" s="241"/>
      <c r="JS78" s="241"/>
      <c r="JT78" s="241"/>
      <c r="JU78" s="241"/>
      <c r="JV78" s="241"/>
      <c r="JW78" s="241"/>
      <c r="JX78" s="241"/>
      <c r="JY78" s="241"/>
      <c r="JZ78" s="241"/>
      <c r="KA78" s="241"/>
      <c r="KB78" s="241"/>
      <c r="KC78" s="241"/>
      <c r="KD78" s="241"/>
      <c r="KE78" s="241"/>
      <c r="KF78" s="241"/>
      <c r="KG78" s="241"/>
      <c r="KH78" s="241"/>
      <c r="KI78" s="241"/>
      <c r="KJ78" s="241"/>
      <c r="KK78" s="241"/>
      <c r="KL78" s="241"/>
      <c r="KM78" s="241"/>
      <c r="KN78" s="241"/>
      <c r="KO78" s="241"/>
      <c r="KP78" s="241"/>
      <c r="KQ78" s="241"/>
      <c r="KR78" s="241"/>
      <c r="KS78" s="241"/>
      <c r="KT78" s="241"/>
      <c r="KU78" s="241"/>
      <c r="KV78" s="241"/>
      <c r="KW78" s="241"/>
      <c r="KX78" s="241"/>
      <c r="KY78" s="241"/>
      <c r="KZ78" s="241"/>
      <c r="LA78" s="241"/>
      <c r="LB78" s="241"/>
      <c r="LC78" s="241"/>
      <c r="LD78" s="241"/>
      <c r="LE78" s="241"/>
      <c r="LF78" s="241"/>
      <c r="LG78" s="241"/>
      <c r="LH78" s="241"/>
      <c r="LI78" s="241"/>
      <c r="LJ78" s="241"/>
      <c r="LK78" s="241"/>
      <c r="LL78" s="241"/>
      <c r="LM78" s="241"/>
      <c r="LN78" s="241"/>
      <c r="LO78" s="241"/>
      <c r="LP78" s="241"/>
      <c r="LQ78" s="241"/>
      <c r="LR78" s="241"/>
      <c r="LS78" s="241"/>
      <c r="LT78" s="241"/>
      <c r="LU78" s="241"/>
      <c r="LV78" s="241"/>
      <c r="LW78" s="241"/>
      <c r="LX78" s="241"/>
      <c r="LY78" s="241"/>
      <c r="LZ78" s="241"/>
      <c r="MA78" s="241"/>
      <c r="MB78" s="241"/>
      <c r="MC78" s="241"/>
      <c r="MD78" s="241"/>
      <c r="ME78" s="241"/>
      <c r="MF78" s="241"/>
      <c r="MG78" s="241"/>
      <c r="MH78" s="241"/>
      <c r="MI78" s="241"/>
      <c r="MJ78" s="241"/>
      <c r="MK78" s="241"/>
      <c r="ML78" s="241"/>
      <c r="MM78" s="241"/>
      <c r="MN78" s="241"/>
      <c r="MO78" s="241"/>
      <c r="MP78" s="241"/>
      <c r="MQ78" s="241"/>
      <c r="MR78" s="241"/>
      <c r="MS78" s="241"/>
      <c r="MT78" s="241"/>
      <c r="MU78" s="241"/>
      <c r="MV78" s="241"/>
      <c r="MW78" s="241"/>
      <c r="MX78" s="241"/>
      <c r="MY78" s="241"/>
      <c r="MZ78" s="241"/>
      <c r="NA78" s="241"/>
      <c r="NB78" s="241"/>
      <c r="NC78" s="241"/>
      <c r="ND78" s="241"/>
      <c r="NE78" s="241"/>
      <c r="NF78" s="241"/>
      <c r="NG78" s="241"/>
      <c r="NH78" s="241"/>
      <c r="NI78" s="241"/>
      <c r="NJ78" s="241"/>
      <c r="NK78" s="241"/>
      <c r="NL78" s="241"/>
      <c r="NM78" s="241"/>
      <c r="NN78" s="241"/>
      <c r="NO78" s="241"/>
      <c r="NP78" s="241"/>
      <c r="NQ78" s="241"/>
      <c r="NR78" s="241"/>
      <c r="NS78" s="241"/>
      <c r="NT78" s="241"/>
      <c r="NU78" s="241"/>
      <c r="NV78" s="241"/>
      <c r="NW78" s="241"/>
      <c r="NX78" s="241"/>
      <c r="NY78" s="241"/>
      <c r="NZ78" s="241"/>
      <c r="OA78" s="241"/>
      <c r="OB78" s="241"/>
      <c r="OC78" s="241"/>
      <c r="OD78" s="241"/>
      <c r="OE78" s="241"/>
      <c r="OF78" s="241"/>
      <c r="OG78" s="241"/>
      <c r="OH78" s="241"/>
      <c r="OI78" s="241"/>
      <c r="OJ78" s="241"/>
      <c r="OK78" s="241"/>
      <c r="OL78" s="241"/>
      <c r="OM78" s="241"/>
      <c r="ON78" s="241"/>
      <c r="OO78" s="241"/>
      <c r="OP78" s="241"/>
      <c r="OQ78" s="241"/>
      <c r="OR78" s="241"/>
      <c r="OS78" s="241"/>
      <c r="OT78" s="241"/>
      <c r="OU78" s="241"/>
      <c r="OV78" s="241"/>
      <c r="OW78" s="241"/>
      <c r="OX78" s="241"/>
      <c r="OY78" s="241"/>
      <c r="OZ78" s="241"/>
      <c r="PA78" s="241"/>
      <c r="PB78" s="241"/>
      <c r="PC78" s="241"/>
      <c r="PD78" s="241"/>
      <c r="PE78" s="241"/>
      <c r="PF78" s="241"/>
      <c r="PG78" s="241"/>
      <c r="PH78" s="241"/>
      <c r="PI78" s="241"/>
      <c r="PJ78" s="241"/>
      <c r="PK78" s="241"/>
      <c r="PL78" s="241"/>
      <c r="PM78" s="241"/>
      <c r="PN78" s="241"/>
      <c r="PO78" s="241"/>
      <c r="PP78" s="241"/>
      <c r="PQ78" s="241"/>
      <c r="PR78" s="241"/>
      <c r="PS78" s="241"/>
      <c r="PT78" s="241"/>
      <c r="PU78" s="241"/>
      <c r="PV78" s="241"/>
      <c r="PW78" s="241"/>
      <c r="PX78" s="241"/>
      <c r="PY78" s="241"/>
      <c r="PZ78" s="241"/>
      <c r="QA78" s="241"/>
      <c r="QB78" s="241"/>
      <c r="QC78" s="241"/>
      <c r="QD78" s="241"/>
      <c r="QE78" s="241"/>
      <c r="QF78" s="241"/>
      <c r="QG78" s="241"/>
      <c r="QH78" s="241"/>
      <c r="QI78" s="241"/>
      <c r="QJ78" s="241"/>
      <c r="QK78" s="241"/>
      <c r="QL78" s="241"/>
      <c r="QM78" s="241"/>
      <c r="QN78" s="241"/>
      <c r="QO78" s="241"/>
      <c r="QP78" s="241"/>
      <c r="QQ78" s="241"/>
      <c r="QR78" s="241"/>
      <c r="QS78" s="241"/>
      <c r="QT78" s="241"/>
      <c r="QU78" s="241"/>
      <c r="QV78" s="241"/>
      <c r="QW78" s="241"/>
      <c r="QX78" s="241"/>
      <c r="QY78" s="241"/>
      <c r="QZ78" s="241"/>
      <c r="RA78" s="241"/>
      <c r="RB78" s="241"/>
      <c r="RC78" s="241"/>
      <c r="RD78" s="241"/>
      <c r="RE78" s="241"/>
      <c r="RF78" s="241"/>
      <c r="RG78" s="241"/>
      <c r="RH78" s="241"/>
      <c r="RI78" s="241"/>
      <c r="RJ78" s="241"/>
      <c r="RK78" s="241"/>
      <c r="RL78" s="241"/>
      <c r="RM78" s="241"/>
      <c r="RN78" s="241"/>
      <c r="RO78" s="241"/>
      <c r="RP78" s="241"/>
      <c r="RQ78" s="241"/>
      <c r="RR78" s="241"/>
      <c r="RS78" s="241"/>
      <c r="RT78" s="241"/>
      <c r="RU78" s="241"/>
      <c r="RV78" s="241"/>
      <c r="RW78" s="241"/>
      <c r="RX78" s="241"/>
      <c r="RY78" s="241"/>
      <c r="RZ78" s="241"/>
      <c r="SA78" s="241"/>
      <c r="SB78" s="241"/>
      <c r="SC78" s="241"/>
      <c r="SD78" s="241"/>
      <c r="SE78" s="241"/>
      <c r="SF78" s="241"/>
      <c r="SG78" s="241"/>
      <c r="SH78" s="241"/>
      <c r="SI78" s="241"/>
      <c r="SJ78" s="241"/>
      <c r="SK78" s="241"/>
      <c r="SL78" s="241"/>
      <c r="SM78" s="241"/>
      <c r="SN78" s="241"/>
      <c r="SO78" s="241"/>
      <c r="SP78" s="241"/>
      <c r="SQ78" s="241"/>
      <c r="SR78" s="241"/>
      <c r="SS78" s="241"/>
      <c r="ST78" s="241"/>
      <c r="SU78" s="241"/>
      <c r="SV78" s="241"/>
      <c r="SW78" s="241"/>
      <c r="SX78" s="241"/>
      <c r="SY78" s="241"/>
      <c r="SZ78" s="241"/>
      <c r="TA78" s="241"/>
      <c r="TB78" s="241"/>
      <c r="TC78" s="241"/>
      <c r="TD78" s="241"/>
      <c r="TE78" s="241"/>
      <c r="TF78" s="241"/>
      <c r="TG78" s="241"/>
      <c r="TH78" s="241"/>
      <c r="TI78" s="241"/>
      <c r="TJ78" s="241"/>
      <c r="TK78" s="241"/>
      <c r="TL78" s="241"/>
      <c r="TM78" s="241"/>
      <c r="TN78" s="241"/>
      <c r="TO78" s="241"/>
      <c r="TP78" s="241"/>
      <c r="TQ78" s="241"/>
      <c r="TR78" s="241"/>
      <c r="TS78" s="241"/>
      <c r="TT78" s="241"/>
      <c r="TU78" s="241"/>
      <c r="TV78" s="241"/>
      <c r="TW78" s="241"/>
      <c r="TX78" s="241"/>
      <c r="TY78" s="241"/>
      <c r="TZ78" s="241"/>
      <c r="UA78" s="241"/>
      <c r="UB78" s="241"/>
      <c r="UC78" s="241"/>
      <c r="UD78" s="241"/>
      <c r="UE78" s="241"/>
      <c r="UF78" s="241"/>
      <c r="UG78" s="1030"/>
    </row>
    <row r="79" spans="1:553" s="1029" customFormat="1" ht="150" customHeight="1">
      <c r="A79" s="366" t="s">
        <v>15</v>
      </c>
      <c r="B79" s="372"/>
      <c r="C79" s="1227" t="s">
        <v>23</v>
      </c>
      <c r="D79" s="470" t="s">
        <v>20</v>
      </c>
      <c r="E79" s="470" t="s">
        <v>143</v>
      </c>
      <c r="F79" s="1230">
        <v>1</v>
      </c>
      <c r="G79" s="471" t="s">
        <v>935</v>
      </c>
      <c r="H79" s="441">
        <v>208.3</v>
      </c>
      <c r="I79" s="490">
        <v>208.3</v>
      </c>
      <c r="J79" s="368">
        <v>62000</v>
      </c>
      <c r="K79" s="388"/>
      <c r="L79" s="366">
        <f>PRODUCT(I79:K79)</f>
        <v>12914600</v>
      </c>
      <c r="M79" s="366"/>
      <c r="N79" s="366"/>
      <c r="O79" s="366"/>
      <c r="P79" s="366"/>
      <c r="Q79" s="1036" t="s">
        <v>140</v>
      </c>
      <c r="R79" s="1452"/>
      <c r="S79" s="308"/>
      <c r="T79" s="303"/>
      <c r="U79" s="306"/>
      <c r="V79" s="307"/>
      <c r="W79" s="306">
        <f>I79</f>
        <v>208.3</v>
      </c>
      <c r="X79" s="306"/>
      <c r="Y79" s="306"/>
      <c r="Z79" s="306"/>
      <c r="AA79" s="306"/>
      <c r="AB79" s="306"/>
      <c r="AC79" s="463"/>
      <c r="AD79" s="452"/>
      <c r="AE79" s="452"/>
      <c r="AF79" s="452"/>
      <c r="AG79" s="452"/>
      <c r="AH79" s="452"/>
      <c r="AI79" s="452"/>
      <c r="AJ79" s="452"/>
      <c r="AK79" s="452"/>
      <c r="AL79" s="242"/>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c r="CO79" s="241"/>
      <c r="CP79" s="241"/>
      <c r="CQ79" s="241"/>
      <c r="CR79" s="241"/>
      <c r="CS79" s="241"/>
      <c r="CT79" s="241"/>
      <c r="CU79" s="241"/>
      <c r="CV79" s="241"/>
      <c r="CW79" s="241"/>
      <c r="CX79" s="241"/>
      <c r="CY79" s="241"/>
      <c r="CZ79" s="241"/>
      <c r="DA79" s="241"/>
      <c r="DB79" s="241"/>
      <c r="DC79" s="241"/>
      <c r="DD79" s="241"/>
      <c r="DE79" s="241"/>
      <c r="DF79" s="241"/>
      <c r="DG79" s="241"/>
      <c r="DH79" s="241"/>
      <c r="DI79" s="241"/>
      <c r="DJ79" s="241"/>
      <c r="DK79" s="241"/>
      <c r="DL79" s="241"/>
      <c r="DM79" s="241"/>
      <c r="DN79" s="241"/>
      <c r="DO79" s="241"/>
      <c r="DP79" s="241"/>
      <c r="DQ79" s="241"/>
      <c r="DR79" s="241"/>
      <c r="DS79" s="241"/>
      <c r="DT79" s="241"/>
      <c r="DU79" s="241"/>
      <c r="DV79" s="241"/>
      <c r="DW79" s="241"/>
      <c r="DX79" s="241"/>
      <c r="DY79" s="241"/>
      <c r="DZ79" s="241"/>
      <c r="EA79" s="241"/>
      <c r="EB79" s="241"/>
      <c r="EC79" s="241"/>
      <c r="ED79" s="241"/>
      <c r="EE79" s="241"/>
      <c r="EF79" s="241"/>
      <c r="EG79" s="241"/>
      <c r="EH79" s="241"/>
      <c r="EI79" s="241"/>
      <c r="EJ79" s="241"/>
      <c r="EK79" s="241"/>
      <c r="EL79" s="241"/>
      <c r="EM79" s="241"/>
      <c r="EN79" s="241"/>
      <c r="EO79" s="241"/>
      <c r="EP79" s="241"/>
      <c r="EQ79" s="241"/>
      <c r="ER79" s="241"/>
      <c r="ES79" s="241"/>
      <c r="ET79" s="241"/>
      <c r="EU79" s="241"/>
      <c r="EV79" s="241"/>
      <c r="EW79" s="241"/>
      <c r="EX79" s="241"/>
      <c r="EY79" s="241"/>
      <c r="EZ79" s="241"/>
      <c r="FA79" s="241"/>
      <c r="FB79" s="241"/>
      <c r="FC79" s="241"/>
      <c r="FD79" s="241"/>
      <c r="FE79" s="241"/>
      <c r="FF79" s="241"/>
      <c r="FG79" s="241"/>
      <c r="FH79" s="241"/>
      <c r="FI79" s="241"/>
      <c r="FJ79" s="241"/>
      <c r="FK79" s="241"/>
      <c r="FL79" s="241"/>
      <c r="FM79" s="241"/>
      <c r="FN79" s="241"/>
      <c r="FO79" s="241"/>
      <c r="FP79" s="241"/>
      <c r="FQ79" s="241"/>
      <c r="FR79" s="241"/>
      <c r="FS79" s="241"/>
      <c r="FT79" s="241"/>
      <c r="FU79" s="241"/>
      <c r="FV79" s="241"/>
      <c r="FW79" s="241"/>
      <c r="FX79" s="241"/>
      <c r="FY79" s="241"/>
      <c r="FZ79" s="241"/>
      <c r="GA79" s="241"/>
      <c r="GB79" s="241"/>
      <c r="GC79" s="241"/>
      <c r="GD79" s="241"/>
      <c r="GE79" s="241"/>
      <c r="GF79" s="241"/>
      <c r="GG79" s="241"/>
      <c r="GH79" s="241"/>
      <c r="GI79" s="241"/>
      <c r="GJ79" s="241"/>
      <c r="GK79" s="241"/>
      <c r="GL79" s="241"/>
      <c r="GM79" s="241"/>
      <c r="GN79" s="241"/>
      <c r="GO79" s="241"/>
      <c r="GP79" s="241"/>
      <c r="GQ79" s="241"/>
      <c r="GR79" s="241"/>
      <c r="GS79" s="241"/>
      <c r="GT79" s="241"/>
      <c r="GU79" s="241"/>
      <c r="GV79" s="241"/>
      <c r="GW79" s="241"/>
      <c r="GX79" s="241"/>
      <c r="GY79" s="241"/>
      <c r="GZ79" s="241"/>
      <c r="HA79" s="241"/>
      <c r="HB79" s="241"/>
      <c r="HC79" s="241"/>
      <c r="HD79" s="241"/>
      <c r="HE79" s="241"/>
      <c r="HF79" s="241"/>
      <c r="HG79" s="241"/>
      <c r="HH79" s="241"/>
      <c r="HI79" s="241"/>
      <c r="HJ79" s="241"/>
      <c r="HK79" s="241"/>
      <c r="HL79" s="241"/>
      <c r="HM79" s="241"/>
      <c r="HN79" s="241"/>
      <c r="HO79" s="241"/>
      <c r="HP79" s="241"/>
      <c r="HQ79" s="241"/>
      <c r="HR79" s="241"/>
      <c r="HS79" s="241"/>
      <c r="HT79" s="241"/>
      <c r="HU79" s="241"/>
      <c r="HV79" s="241"/>
      <c r="HW79" s="241"/>
      <c r="HX79" s="241"/>
      <c r="HY79" s="241"/>
      <c r="HZ79" s="241"/>
      <c r="IA79" s="241"/>
      <c r="IB79" s="241"/>
      <c r="IC79" s="241"/>
      <c r="ID79" s="241"/>
      <c r="IE79" s="241"/>
      <c r="IF79" s="241"/>
      <c r="IG79" s="241"/>
      <c r="IH79" s="241"/>
      <c r="II79" s="241"/>
      <c r="IJ79" s="241"/>
      <c r="IK79" s="241"/>
      <c r="IL79" s="241"/>
      <c r="IM79" s="241"/>
      <c r="IN79" s="241"/>
      <c r="IO79" s="241"/>
      <c r="IP79" s="241"/>
      <c r="IQ79" s="241"/>
      <c r="IR79" s="241"/>
      <c r="IS79" s="241"/>
      <c r="IT79" s="241"/>
      <c r="IU79" s="241"/>
      <c r="IV79" s="241"/>
      <c r="IW79" s="241"/>
      <c r="IX79" s="241"/>
      <c r="IY79" s="241"/>
      <c r="IZ79" s="241"/>
      <c r="JA79" s="241"/>
      <c r="JB79" s="241"/>
      <c r="JC79" s="241"/>
      <c r="JD79" s="241"/>
      <c r="JE79" s="241"/>
      <c r="JF79" s="241"/>
      <c r="JG79" s="241"/>
      <c r="JH79" s="241"/>
      <c r="JI79" s="241"/>
      <c r="JJ79" s="241"/>
      <c r="JK79" s="241"/>
      <c r="JL79" s="241"/>
      <c r="JM79" s="241"/>
      <c r="JN79" s="241"/>
      <c r="JO79" s="241"/>
      <c r="JP79" s="241"/>
      <c r="JQ79" s="241"/>
      <c r="JR79" s="241"/>
      <c r="JS79" s="241"/>
      <c r="JT79" s="241"/>
      <c r="JU79" s="241"/>
      <c r="JV79" s="241"/>
      <c r="JW79" s="241"/>
      <c r="JX79" s="241"/>
      <c r="JY79" s="241"/>
      <c r="JZ79" s="241"/>
      <c r="KA79" s="241"/>
      <c r="KB79" s="241"/>
      <c r="KC79" s="241"/>
      <c r="KD79" s="241"/>
      <c r="KE79" s="241"/>
      <c r="KF79" s="241"/>
      <c r="KG79" s="241"/>
      <c r="KH79" s="241"/>
      <c r="KI79" s="241"/>
      <c r="KJ79" s="241"/>
      <c r="KK79" s="241"/>
      <c r="KL79" s="241"/>
      <c r="KM79" s="241"/>
      <c r="KN79" s="241"/>
      <c r="KO79" s="241"/>
      <c r="KP79" s="241"/>
      <c r="KQ79" s="241"/>
      <c r="KR79" s="241"/>
      <c r="KS79" s="241"/>
      <c r="KT79" s="241"/>
      <c r="KU79" s="241"/>
      <c r="KV79" s="241"/>
      <c r="KW79" s="241"/>
      <c r="KX79" s="241"/>
      <c r="KY79" s="241"/>
      <c r="KZ79" s="241"/>
      <c r="LA79" s="241"/>
      <c r="LB79" s="241"/>
      <c r="LC79" s="241"/>
      <c r="LD79" s="241"/>
      <c r="LE79" s="241"/>
      <c r="LF79" s="241"/>
      <c r="LG79" s="241"/>
      <c r="LH79" s="241"/>
      <c r="LI79" s="241"/>
      <c r="LJ79" s="241"/>
      <c r="LK79" s="241"/>
      <c r="LL79" s="241"/>
      <c r="LM79" s="241"/>
      <c r="LN79" s="241"/>
      <c r="LO79" s="241"/>
      <c r="LP79" s="241"/>
      <c r="LQ79" s="241"/>
      <c r="LR79" s="241"/>
      <c r="LS79" s="241"/>
      <c r="LT79" s="241"/>
      <c r="LU79" s="241"/>
      <c r="LV79" s="241"/>
      <c r="LW79" s="241"/>
      <c r="LX79" s="241"/>
      <c r="LY79" s="241"/>
      <c r="LZ79" s="241"/>
      <c r="MA79" s="241"/>
      <c r="MB79" s="241"/>
      <c r="MC79" s="241"/>
      <c r="MD79" s="241"/>
      <c r="ME79" s="241"/>
      <c r="MF79" s="241"/>
      <c r="MG79" s="241"/>
      <c r="MH79" s="241"/>
      <c r="MI79" s="241"/>
      <c r="MJ79" s="241"/>
      <c r="MK79" s="241"/>
      <c r="ML79" s="241"/>
      <c r="MM79" s="241"/>
      <c r="MN79" s="241"/>
      <c r="MO79" s="241"/>
      <c r="MP79" s="241"/>
      <c r="MQ79" s="241"/>
      <c r="MR79" s="241"/>
      <c r="MS79" s="241"/>
      <c r="MT79" s="241"/>
      <c r="MU79" s="241"/>
      <c r="MV79" s="241"/>
      <c r="MW79" s="241"/>
      <c r="MX79" s="241"/>
      <c r="MY79" s="241"/>
      <c r="MZ79" s="241"/>
      <c r="NA79" s="241"/>
      <c r="NB79" s="241"/>
      <c r="NC79" s="241"/>
      <c r="ND79" s="241"/>
      <c r="NE79" s="241"/>
      <c r="NF79" s="241"/>
      <c r="NG79" s="241"/>
      <c r="NH79" s="241"/>
      <c r="NI79" s="241"/>
      <c r="NJ79" s="241"/>
      <c r="NK79" s="241"/>
      <c r="NL79" s="241"/>
      <c r="NM79" s="241"/>
      <c r="NN79" s="241"/>
      <c r="NO79" s="241"/>
      <c r="NP79" s="241"/>
      <c r="NQ79" s="241"/>
      <c r="NR79" s="241"/>
      <c r="NS79" s="241"/>
      <c r="NT79" s="241"/>
      <c r="NU79" s="241"/>
      <c r="NV79" s="241"/>
      <c r="NW79" s="241"/>
      <c r="NX79" s="241"/>
      <c r="NY79" s="241"/>
      <c r="NZ79" s="241"/>
      <c r="OA79" s="241"/>
      <c r="OB79" s="241"/>
      <c r="OC79" s="241"/>
      <c r="OD79" s="241"/>
      <c r="OE79" s="241"/>
      <c r="OF79" s="241"/>
      <c r="OG79" s="241"/>
      <c r="OH79" s="241"/>
      <c r="OI79" s="241"/>
      <c r="OJ79" s="241"/>
      <c r="OK79" s="241"/>
      <c r="OL79" s="241"/>
      <c r="OM79" s="241"/>
      <c r="ON79" s="241"/>
      <c r="OO79" s="241"/>
      <c r="OP79" s="241"/>
      <c r="OQ79" s="241"/>
      <c r="OR79" s="241"/>
      <c r="OS79" s="241"/>
      <c r="OT79" s="241"/>
      <c r="OU79" s="241"/>
      <c r="OV79" s="241"/>
      <c r="OW79" s="241"/>
      <c r="OX79" s="241"/>
      <c r="OY79" s="241"/>
      <c r="OZ79" s="241"/>
      <c r="PA79" s="241"/>
      <c r="PB79" s="241"/>
      <c r="PC79" s="241"/>
      <c r="PD79" s="241"/>
      <c r="PE79" s="241"/>
      <c r="PF79" s="241"/>
      <c r="PG79" s="241"/>
      <c r="PH79" s="241"/>
      <c r="PI79" s="241"/>
      <c r="PJ79" s="241"/>
      <c r="PK79" s="241"/>
      <c r="PL79" s="241"/>
      <c r="PM79" s="241"/>
      <c r="PN79" s="241"/>
      <c r="PO79" s="241"/>
      <c r="PP79" s="241"/>
      <c r="PQ79" s="241"/>
      <c r="PR79" s="241"/>
      <c r="PS79" s="241"/>
      <c r="PT79" s="241"/>
      <c r="PU79" s="241"/>
      <c r="PV79" s="241"/>
      <c r="PW79" s="241"/>
      <c r="PX79" s="241"/>
      <c r="PY79" s="241"/>
      <c r="PZ79" s="241"/>
      <c r="QA79" s="241"/>
      <c r="QB79" s="241"/>
      <c r="QC79" s="241"/>
      <c r="QD79" s="241"/>
      <c r="QE79" s="241"/>
      <c r="QF79" s="241"/>
      <c r="QG79" s="241"/>
      <c r="QH79" s="241"/>
      <c r="QI79" s="241"/>
      <c r="QJ79" s="241"/>
      <c r="QK79" s="241"/>
      <c r="QL79" s="241"/>
      <c r="QM79" s="241"/>
      <c r="QN79" s="241"/>
      <c r="QO79" s="241"/>
      <c r="QP79" s="241"/>
      <c r="QQ79" s="241"/>
      <c r="QR79" s="241"/>
      <c r="QS79" s="241"/>
      <c r="QT79" s="241"/>
      <c r="QU79" s="241"/>
      <c r="QV79" s="241"/>
      <c r="QW79" s="241"/>
      <c r="QX79" s="241"/>
      <c r="QY79" s="241"/>
      <c r="QZ79" s="241"/>
      <c r="RA79" s="241"/>
      <c r="RB79" s="241"/>
      <c r="RC79" s="241"/>
      <c r="RD79" s="241"/>
      <c r="RE79" s="241"/>
      <c r="RF79" s="241"/>
      <c r="RG79" s="241"/>
      <c r="RH79" s="241"/>
      <c r="RI79" s="241"/>
      <c r="RJ79" s="241"/>
      <c r="RK79" s="241"/>
      <c r="RL79" s="241"/>
      <c r="RM79" s="241"/>
      <c r="RN79" s="241"/>
      <c r="RO79" s="241"/>
      <c r="RP79" s="241"/>
      <c r="RQ79" s="241"/>
      <c r="RR79" s="241"/>
      <c r="RS79" s="241"/>
      <c r="RT79" s="241"/>
      <c r="RU79" s="241"/>
      <c r="RV79" s="241"/>
      <c r="RW79" s="241"/>
      <c r="RX79" s="241"/>
      <c r="RY79" s="241"/>
      <c r="RZ79" s="241"/>
      <c r="SA79" s="241"/>
      <c r="SB79" s="241"/>
      <c r="SC79" s="241"/>
      <c r="SD79" s="241"/>
      <c r="SE79" s="241"/>
      <c r="SF79" s="241"/>
      <c r="SG79" s="241"/>
      <c r="SH79" s="241"/>
      <c r="SI79" s="241"/>
      <c r="SJ79" s="241"/>
      <c r="SK79" s="241"/>
      <c r="SL79" s="241"/>
      <c r="SM79" s="241"/>
      <c r="SN79" s="241"/>
      <c r="SO79" s="241"/>
      <c r="SP79" s="241"/>
      <c r="SQ79" s="241"/>
      <c r="SR79" s="241"/>
      <c r="SS79" s="241"/>
      <c r="ST79" s="241"/>
      <c r="SU79" s="241"/>
      <c r="SV79" s="241"/>
      <c r="SW79" s="241"/>
      <c r="SX79" s="241"/>
      <c r="SY79" s="241"/>
      <c r="SZ79" s="241"/>
      <c r="TA79" s="241"/>
      <c r="TB79" s="241"/>
      <c r="TC79" s="241"/>
      <c r="TD79" s="241"/>
      <c r="TE79" s="241"/>
      <c r="TF79" s="241"/>
      <c r="TG79" s="241"/>
      <c r="TH79" s="241"/>
      <c r="TI79" s="241"/>
      <c r="TJ79" s="241"/>
      <c r="TK79" s="241"/>
      <c r="TL79" s="241"/>
      <c r="TM79" s="241"/>
      <c r="TN79" s="241"/>
      <c r="TO79" s="241"/>
      <c r="TP79" s="241"/>
      <c r="TQ79" s="241"/>
      <c r="TR79" s="241"/>
      <c r="TS79" s="241"/>
      <c r="TT79" s="241"/>
      <c r="TU79" s="241"/>
      <c r="TV79" s="241"/>
      <c r="TW79" s="241"/>
      <c r="TX79" s="241"/>
      <c r="TY79" s="241"/>
      <c r="TZ79" s="241"/>
      <c r="UA79" s="241"/>
      <c r="UB79" s="241"/>
      <c r="UC79" s="241"/>
      <c r="UD79" s="241"/>
      <c r="UE79" s="241"/>
      <c r="UF79" s="241"/>
      <c r="UG79" s="1030"/>
    </row>
    <row r="80" spans="1:553" s="236" customFormat="1" ht="49.5" customHeight="1">
      <c r="A80" s="356" t="s">
        <v>27</v>
      </c>
      <c r="B80" s="356"/>
      <c r="C80" s="1514" t="s">
        <v>28</v>
      </c>
      <c r="D80" s="1461"/>
      <c r="E80" s="1461"/>
      <c r="F80" s="1462"/>
      <c r="G80" s="366"/>
      <c r="H80" s="370"/>
      <c r="I80" s="359"/>
      <c r="J80" s="368"/>
      <c r="K80" s="371"/>
      <c r="L80" s="1332">
        <f>SUM(L82:L146)</f>
        <v>482108336.51764703</v>
      </c>
      <c r="M80" s="356"/>
      <c r="N80" s="356"/>
      <c r="O80" s="356"/>
      <c r="P80" s="356">
        <f>L80</f>
        <v>482108336.51764703</v>
      </c>
      <c r="Q80" s="610"/>
      <c r="R80" s="1226" t="s">
        <v>1399</v>
      </c>
      <c r="S80" s="308"/>
      <c r="T80" s="303"/>
      <c r="U80" s="306"/>
      <c r="V80" s="307"/>
      <c r="W80" s="306"/>
      <c r="X80" s="306"/>
      <c r="Y80" s="306"/>
      <c r="Z80" s="306"/>
      <c r="AA80" s="306"/>
      <c r="AB80" s="306"/>
      <c r="AC80" s="449"/>
      <c r="AD80" s="449"/>
      <c r="AE80" s="449"/>
      <c r="AF80" s="449"/>
      <c r="AG80" s="449"/>
      <c r="AH80" s="449"/>
      <c r="AI80" s="449"/>
      <c r="AJ80" s="449"/>
      <c r="AK80" s="452"/>
      <c r="AL80" s="242"/>
      <c r="AM80" s="241"/>
      <c r="AN80" s="241"/>
      <c r="AO80" s="241"/>
      <c r="AP80" s="241"/>
      <c r="AQ80" s="241"/>
      <c r="AR80" s="241"/>
      <c r="AS80" s="238"/>
      <c r="AT80" s="238"/>
      <c r="AU80" s="238"/>
      <c r="AV80" s="238"/>
      <c r="AW80" s="238"/>
      <c r="AX80" s="238"/>
      <c r="AY80" s="238"/>
      <c r="AZ80" s="238"/>
      <c r="BA80" s="238"/>
      <c r="BB80" s="238"/>
      <c r="BC80" s="238"/>
      <c r="BD80" s="238"/>
      <c r="BE80" s="238"/>
      <c r="BF80" s="238"/>
      <c r="BG80" s="238"/>
      <c r="BH80" s="238"/>
      <c r="BI80" s="238"/>
      <c r="BJ80" s="238"/>
      <c r="BK80" s="238"/>
      <c r="BL80" s="238"/>
      <c r="BM80" s="238"/>
      <c r="BN80" s="238"/>
      <c r="BO80" s="238"/>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9"/>
      <c r="CP80" s="239"/>
      <c r="CQ80" s="239"/>
      <c r="CR80" s="239"/>
      <c r="CS80" s="239"/>
      <c r="CT80" s="239"/>
      <c r="CU80" s="239"/>
      <c r="CV80" s="239"/>
      <c r="CW80" s="239"/>
      <c r="CX80" s="239"/>
      <c r="CY80" s="239"/>
      <c r="CZ80" s="239"/>
      <c r="DA80" s="239"/>
      <c r="DB80" s="239"/>
      <c r="DC80" s="239"/>
      <c r="DD80" s="239"/>
      <c r="DE80" s="239"/>
      <c r="DF80" s="239"/>
      <c r="DG80" s="239"/>
      <c r="DH80" s="239"/>
      <c r="DI80" s="239"/>
      <c r="DJ80" s="239"/>
      <c r="DK80" s="239"/>
      <c r="DL80" s="239"/>
      <c r="DM80" s="239"/>
      <c r="DN80" s="239"/>
      <c r="DO80" s="239"/>
      <c r="DP80" s="239"/>
      <c r="DQ80" s="239"/>
      <c r="DR80" s="239"/>
      <c r="DS80" s="239"/>
      <c r="DT80" s="239"/>
      <c r="DU80" s="239"/>
      <c r="DV80" s="239"/>
      <c r="DW80" s="239"/>
      <c r="DX80" s="239"/>
      <c r="DY80" s="239"/>
      <c r="DZ80" s="239"/>
      <c r="EA80" s="239"/>
      <c r="EB80" s="239"/>
      <c r="EC80" s="239"/>
      <c r="ED80" s="239"/>
      <c r="EE80" s="239"/>
      <c r="EF80" s="239"/>
      <c r="EG80" s="239"/>
      <c r="EH80" s="239"/>
      <c r="EI80" s="239"/>
      <c r="EJ80" s="239"/>
      <c r="EK80" s="239"/>
      <c r="EL80" s="239"/>
      <c r="EM80" s="239"/>
      <c r="EN80" s="239"/>
      <c r="EO80" s="239"/>
      <c r="EP80" s="239"/>
      <c r="EQ80" s="239"/>
      <c r="ER80" s="239"/>
      <c r="ES80" s="239"/>
      <c r="ET80" s="239"/>
      <c r="EU80" s="239"/>
      <c r="EV80" s="239"/>
      <c r="EW80" s="239"/>
      <c r="EX80" s="239"/>
      <c r="EY80" s="239"/>
      <c r="EZ80" s="239"/>
      <c r="FA80" s="239"/>
      <c r="FB80" s="239"/>
      <c r="FC80" s="239"/>
      <c r="FD80" s="239"/>
      <c r="FE80" s="239"/>
      <c r="FF80" s="239"/>
      <c r="FG80" s="239"/>
      <c r="FH80" s="239"/>
      <c r="FI80" s="239"/>
      <c r="FJ80" s="239"/>
      <c r="FK80" s="239"/>
      <c r="FL80" s="239"/>
      <c r="FM80" s="239"/>
      <c r="FN80" s="239"/>
      <c r="FO80" s="239"/>
      <c r="FP80" s="239"/>
      <c r="FQ80" s="239"/>
      <c r="FR80" s="239"/>
      <c r="FS80" s="239"/>
      <c r="FT80" s="239"/>
      <c r="FU80" s="239"/>
      <c r="FV80" s="239"/>
      <c r="FW80" s="239"/>
      <c r="FX80" s="239"/>
      <c r="FY80" s="239"/>
      <c r="FZ80" s="239"/>
      <c r="GA80" s="239"/>
      <c r="GB80" s="239"/>
      <c r="GC80" s="239"/>
      <c r="GD80" s="239"/>
      <c r="GE80" s="239"/>
      <c r="GF80" s="239"/>
      <c r="GG80" s="239"/>
      <c r="GH80" s="239"/>
      <c r="GI80" s="239"/>
      <c r="GJ80" s="239"/>
      <c r="GK80" s="239"/>
      <c r="GL80" s="239"/>
      <c r="GM80" s="239"/>
      <c r="GN80" s="239"/>
      <c r="GO80" s="239"/>
      <c r="GP80" s="239"/>
      <c r="GQ80" s="239"/>
      <c r="GR80" s="239"/>
      <c r="GS80" s="239"/>
      <c r="GT80" s="239"/>
      <c r="GU80" s="239"/>
      <c r="GV80" s="239"/>
      <c r="GW80" s="239"/>
      <c r="GX80" s="239"/>
      <c r="GY80" s="239"/>
      <c r="GZ80" s="239"/>
      <c r="HA80" s="239"/>
      <c r="HB80" s="239"/>
      <c r="HC80" s="239"/>
      <c r="HD80" s="239"/>
      <c r="HE80" s="239"/>
      <c r="HF80" s="239"/>
      <c r="HG80" s="239"/>
      <c r="HH80" s="239"/>
      <c r="HI80" s="239"/>
      <c r="HJ80" s="239"/>
      <c r="HK80" s="239"/>
      <c r="HL80" s="239"/>
      <c r="HM80" s="239"/>
      <c r="HN80" s="239"/>
      <c r="HO80" s="239"/>
      <c r="HP80" s="239"/>
      <c r="HQ80" s="239"/>
      <c r="HR80" s="239"/>
      <c r="HS80" s="239"/>
      <c r="HT80" s="239"/>
      <c r="HU80" s="239"/>
      <c r="HV80" s="239"/>
      <c r="HW80" s="239"/>
      <c r="HX80" s="239"/>
      <c r="HY80" s="239"/>
      <c r="HZ80" s="239"/>
      <c r="IA80" s="239"/>
      <c r="IB80" s="239"/>
      <c r="IC80" s="239"/>
      <c r="ID80" s="239"/>
      <c r="IE80" s="239"/>
      <c r="IF80" s="239"/>
      <c r="IG80" s="239"/>
      <c r="IH80" s="239"/>
      <c r="II80" s="239"/>
      <c r="IJ80" s="239"/>
      <c r="IK80" s="239"/>
      <c r="IL80" s="239"/>
      <c r="IM80" s="239"/>
      <c r="IN80" s="239"/>
      <c r="IO80" s="239"/>
      <c r="IP80" s="239"/>
      <c r="IQ80" s="239"/>
      <c r="IR80" s="239"/>
      <c r="IS80" s="239"/>
      <c r="IT80" s="239"/>
      <c r="IU80" s="239"/>
      <c r="IV80" s="239"/>
      <c r="IW80" s="239"/>
      <c r="IX80" s="239"/>
      <c r="IY80" s="239"/>
      <c r="IZ80" s="239"/>
      <c r="JA80" s="239"/>
      <c r="JB80" s="239"/>
      <c r="JC80" s="239"/>
      <c r="JD80" s="239"/>
      <c r="JE80" s="239"/>
      <c r="JF80" s="239"/>
      <c r="JG80" s="239"/>
      <c r="JH80" s="239"/>
      <c r="JI80" s="239"/>
      <c r="JJ80" s="239"/>
      <c r="JK80" s="239"/>
      <c r="JL80" s="239"/>
      <c r="JM80" s="239"/>
      <c r="JN80" s="239"/>
      <c r="JO80" s="239"/>
      <c r="JP80" s="239"/>
      <c r="JQ80" s="239"/>
      <c r="JR80" s="239"/>
      <c r="JS80" s="239"/>
      <c r="JT80" s="239"/>
      <c r="JU80" s="239"/>
      <c r="JV80" s="239"/>
      <c r="JW80" s="239"/>
      <c r="JX80" s="239"/>
      <c r="JY80" s="239"/>
      <c r="JZ80" s="239"/>
      <c r="KA80" s="239"/>
      <c r="KB80" s="239"/>
      <c r="KC80" s="239"/>
      <c r="KD80" s="239"/>
      <c r="KE80" s="239"/>
      <c r="KF80" s="239"/>
      <c r="KG80" s="239"/>
      <c r="KH80" s="239"/>
      <c r="KI80" s="239"/>
      <c r="KJ80" s="239"/>
      <c r="KK80" s="239"/>
      <c r="KL80" s="239"/>
      <c r="KM80" s="239"/>
      <c r="KN80" s="239"/>
      <c r="KO80" s="239"/>
      <c r="KP80" s="239"/>
      <c r="KQ80" s="239"/>
      <c r="KR80" s="239"/>
      <c r="KS80" s="239"/>
      <c r="KT80" s="239"/>
      <c r="KU80" s="239"/>
      <c r="KV80" s="239"/>
      <c r="KW80" s="239"/>
      <c r="KX80" s="239"/>
      <c r="KY80" s="239"/>
      <c r="KZ80" s="239"/>
      <c r="LA80" s="239"/>
      <c r="LB80" s="239"/>
      <c r="LC80" s="239"/>
      <c r="LD80" s="239"/>
      <c r="LE80" s="239"/>
      <c r="LF80" s="239"/>
      <c r="LG80" s="239"/>
      <c r="LH80" s="239"/>
      <c r="LI80" s="239"/>
      <c r="LJ80" s="239"/>
      <c r="LK80" s="239"/>
      <c r="LL80" s="239"/>
      <c r="LM80" s="239"/>
      <c r="LN80" s="239"/>
      <c r="LO80" s="239"/>
      <c r="LP80" s="239"/>
      <c r="LQ80" s="239"/>
      <c r="LR80" s="239"/>
      <c r="LS80" s="239"/>
      <c r="LT80" s="239"/>
      <c r="LU80" s="239"/>
      <c r="LV80" s="239"/>
      <c r="LW80" s="239"/>
      <c r="LX80" s="239"/>
      <c r="LY80" s="239"/>
      <c r="LZ80" s="239"/>
      <c r="MA80" s="239"/>
      <c r="MB80" s="239"/>
      <c r="MC80" s="239"/>
      <c r="MD80" s="239"/>
      <c r="ME80" s="239"/>
      <c r="MF80" s="239"/>
      <c r="MG80" s="239"/>
      <c r="MH80" s="239"/>
      <c r="MI80" s="239"/>
      <c r="MJ80" s="239"/>
      <c r="MK80" s="239"/>
      <c r="ML80" s="239"/>
      <c r="MM80" s="239"/>
      <c r="MN80" s="239"/>
      <c r="MO80" s="239"/>
      <c r="MP80" s="239"/>
      <c r="MQ80" s="239"/>
      <c r="MR80" s="239"/>
      <c r="MS80" s="239"/>
      <c r="MT80" s="239"/>
      <c r="MU80" s="239"/>
      <c r="MV80" s="239"/>
      <c r="MW80" s="239"/>
      <c r="MX80" s="239"/>
      <c r="MY80" s="239"/>
      <c r="MZ80" s="239"/>
      <c r="NA80" s="239"/>
      <c r="NB80" s="239"/>
      <c r="NC80" s="239"/>
      <c r="ND80" s="239"/>
      <c r="NE80" s="239"/>
      <c r="NF80" s="239"/>
      <c r="NG80" s="239"/>
      <c r="NH80" s="239"/>
      <c r="NI80" s="239"/>
      <c r="NJ80" s="239"/>
      <c r="NK80" s="239"/>
      <c r="NL80" s="239"/>
      <c r="NM80" s="239"/>
      <c r="NN80" s="239"/>
      <c r="NO80" s="239"/>
      <c r="NP80" s="239"/>
      <c r="NQ80" s="239"/>
      <c r="NR80" s="239"/>
      <c r="NS80" s="239"/>
      <c r="NT80" s="239"/>
      <c r="NU80" s="239"/>
      <c r="NV80" s="239"/>
      <c r="NW80" s="239"/>
      <c r="NX80" s="239"/>
      <c r="NY80" s="239"/>
      <c r="NZ80" s="239"/>
      <c r="OA80" s="239"/>
      <c r="OB80" s="239"/>
      <c r="OC80" s="239"/>
      <c r="OD80" s="239"/>
      <c r="OE80" s="239"/>
      <c r="OF80" s="239"/>
      <c r="OG80" s="239"/>
      <c r="OH80" s="239"/>
      <c r="OI80" s="239"/>
      <c r="OJ80" s="239"/>
      <c r="OK80" s="239"/>
      <c r="OL80" s="239"/>
      <c r="OM80" s="239"/>
      <c r="ON80" s="239"/>
      <c r="OO80" s="239"/>
      <c r="OP80" s="239"/>
      <c r="OQ80" s="239"/>
      <c r="OR80" s="239"/>
      <c r="OS80" s="239"/>
      <c r="OT80" s="239"/>
      <c r="OU80" s="239"/>
      <c r="OV80" s="239"/>
      <c r="OW80" s="239"/>
      <c r="OX80" s="239"/>
      <c r="OY80" s="239"/>
      <c r="OZ80" s="239"/>
      <c r="PA80" s="239"/>
      <c r="PB80" s="239"/>
      <c r="PC80" s="239"/>
      <c r="PD80" s="239"/>
      <c r="PE80" s="239"/>
      <c r="PF80" s="239"/>
      <c r="PG80" s="239"/>
      <c r="PH80" s="239"/>
      <c r="PI80" s="239"/>
      <c r="PJ80" s="239"/>
      <c r="PK80" s="239"/>
      <c r="PL80" s="239"/>
      <c r="PM80" s="239"/>
      <c r="PN80" s="239"/>
      <c r="PO80" s="239"/>
      <c r="PP80" s="239"/>
      <c r="PQ80" s="239"/>
      <c r="PR80" s="239"/>
      <c r="PS80" s="239"/>
      <c r="PT80" s="239"/>
      <c r="PU80" s="239"/>
      <c r="PV80" s="239"/>
      <c r="PW80" s="239"/>
      <c r="PX80" s="239"/>
      <c r="PY80" s="239"/>
      <c r="PZ80" s="239"/>
      <c r="QA80" s="239"/>
      <c r="QB80" s="239"/>
      <c r="QC80" s="239"/>
      <c r="QD80" s="239"/>
      <c r="QE80" s="239"/>
      <c r="QF80" s="239"/>
      <c r="QG80" s="239"/>
      <c r="QH80" s="239"/>
      <c r="QI80" s="239"/>
      <c r="QJ80" s="239"/>
      <c r="QK80" s="239"/>
      <c r="QL80" s="239"/>
      <c r="QM80" s="239"/>
      <c r="QN80" s="239"/>
      <c r="QO80" s="239"/>
      <c r="QP80" s="239"/>
      <c r="QQ80" s="239"/>
      <c r="QR80" s="239"/>
      <c r="QS80" s="239"/>
      <c r="QT80" s="239"/>
      <c r="QU80" s="239"/>
      <c r="QV80" s="239"/>
      <c r="QW80" s="239"/>
      <c r="QX80" s="239"/>
      <c r="QY80" s="239"/>
      <c r="QZ80" s="239"/>
      <c r="RA80" s="239"/>
      <c r="RB80" s="239"/>
      <c r="RC80" s="239"/>
      <c r="RD80" s="239"/>
      <c r="RE80" s="239"/>
      <c r="RF80" s="239"/>
      <c r="RG80" s="239"/>
      <c r="RH80" s="239"/>
      <c r="RI80" s="239"/>
      <c r="RJ80" s="239"/>
      <c r="RK80" s="239"/>
      <c r="RL80" s="239"/>
      <c r="RM80" s="239"/>
      <c r="RN80" s="239"/>
      <c r="RO80" s="239"/>
      <c r="RP80" s="239"/>
      <c r="RQ80" s="239"/>
      <c r="RR80" s="239"/>
      <c r="RS80" s="239"/>
      <c r="RT80" s="239"/>
      <c r="RU80" s="239"/>
      <c r="RV80" s="239"/>
      <c r="RW80" s="239"/>
      <c r="RX80" s="239"/>
      <c r="RY80" s="239"/>
      <c r="RZ80" s="239"/>
      <c r="SA80" s="239"/>
      <c r="SB80" s="239"/>
      <c r="SC80" s="239"/>
      <c r="SD80" s="239"/>
      <c r="SE80" s="239"/>
      <c r="SF80" s="239"/>
      <c r="SG80" s="239"/>
      <c r="SH80" s="239"/>
      <c r="SI80" s="239"/>
      <c r="SJ80" s="239"/>
      <c r="SK80" s="239"/>
      <c r="SL80" s="239"/>
      <c r="SM80" s="239"/>
      <c r="SN80" s="239"/>
      <c r="SO80" s="239"/>
      <c r="SP80" s="239"/>
      <c r="SQ80" s="239"/>
      <c r="SR80" s="239"/>
      <c r="SS80" s="239"/>
      <c r="ST80" s="239"/>
      <c r="SU80" s="239"/>
      <c r="SV80" s="239"/>
      <c r="SW80" s="239"/>
      <c r="SX80" s="239"/>
      <c r="SY80" s="239"/>
      <c r="SZ80" s="239"/>
      <c r="TA80" s="239"/>
      <c r="TB80" s="239"/>
      <c r="TC80" s="239"/>
      <c r="TD80" s="239"/>
      <c r="TE80" s="239"/>
      <c r="TF80" s="239"/>
      <c r="TG80" s="239"/>
      <c r="TH80" s="239"/>
      <c r="TI80" s="239"/>
      <c r="TJ80" s="239"/>
      <c r="TK80" s="239"/>
      <c r="TL80" s="239"/>
      <c r="TM80" s="239"/>
      <c r="TN80" s="239"/>
      <c r="TO80" s="239"/>
      <c r="TP80" s="239"/>
      <c r="TQ80" s="239"/>
      <c r="TR80" s="239"/>
      <c r="TS80" s="239"/>
      <c r="TT80" s="239"/>
      <c r="TU80" s="239"/>
      <c r="TV80" s="239"/>
      <c r="TW80" s="239"/>
      <c r="TX80" s="239"/>
      <c r="TY80" s="239"/>
      <c r="TZ80" s="239"/>
      <c r="UA80" s="239"/>
      <c r="UB80" s="239"/>
      <c r="UC80" s="239"/>
      <c r="UD80" s="239"/>
      <c r="UE80" s="239"/>
      <c r="UF80" s="239"/>
      <c r="UG80" s="240"/>
    </row>
    <row r="81" spans="1:553" s="236" customFormat="1" ht="49.5" customHeight="1">
      <c r="A81" s="356"/>
      <c r="B81" s="356"/>
      <c r="C81" s="1457" t="s">
        <v>144</v>
      </c>
      <c r="D81" s="1458"/>
      <c r="E81" s="1458"/>
      <c r="F81" s="1459"/>
      <c r="G81" s="366"/>
      <c r="H81" s="370"/>
      <c r="I81" s="359"/>
      <c r="J81" s="368"/>
      <c r="K81" s="371"/>
      <c r="L81" s="356"/>
      <c r="M81" s="356"/>
      <c r="N81" s="356"/>
      <c r="O81" s="356"/>
      <c r="P81" s="356"/>
      <c r="Q81" s="610"/>
      <c r="R81" s="1226"/>
      <c r="S81" s="308"/>
      <c r="T81" s="303"/>
      <c r="U81" s="306"/>
      <c r="V81" s="307"/>
      <c r="W81" s="306"/>
      <c r="X81" s="306"/>
      <c r="Y81" s="306"/>
      <c r="Z81" s="306"/>
      <c r="AA81" s="306"/>
      <c r="AB81" s="306"/>
      <c r="AC81" s="449"/>
      <c r="AD81" s="449"/>
      <c r="AE81" s="449"/>
      <c r="AF81" s="449"/>
      <c r="AG81" s="449"/>
      <c r="AH81" s="449"/>
      <c r="AI81" s="449"/>
      <c r="AJ81" s="449"/>
      <c r="AK81" s="452"/>
      <c r="AL81" s="242"/>
      <c r="AM81" s="241"/>
      <c r="AN81" s="241"/>
      <c r="AO81" s="241"/>
      <c r="AP81" s="241"/>
      <c r="AQ81" s="241"/>
      <c r="AR81" s="241"/>
      <c r="AS81" s="238"/>
      <c r="AT81" s="238"/>
      <c r="AU81" s="238"/>
      <c r="AV81" s="238"/>
      <c r="AW81" s="238"/>
      <c r="AX81" s="238"/>
      <c r="AY81" s="238"/>
      <c r="AZ81" s="238"/>
      <c r="BA81" s="238"/>
      <c r="BB81" s="238"/>
      <c r="BC81" s="238"/>
      <c r="BD81" s="238"/>
      <c r="BE81" s="238"/>
      <c r="BF81" s="238"/>
      <c r="BG81" s="238"/>
      <c r="BH81" s="238"/>
      <c r="BI81" s="238"/>
      <c r="BJ81" s="238"/>
      <c r="BK81" s="238"/>
      <c r="BL81" s="238"/>
      <c r="BM81" s="238"/>
      <c r="BN81" s="238"/>
      <c r="BO81" s="238"/>
      <c r="BP81" s="239"/>
      <c r="BQ81" s="239"/>
      <c r="BR81" s="239"/>
      <c r="BS81" s="239"/>
      <c r="BT81" s="239"/>
      <c r="BU81" s="239"/>
      <c r="BV81" s="239"/>
      <c r="BW81" s="239"/>
      <c r="BX81" s="239"/>
      <c r="BY81" s="239"/>
      <c r="BZ81" s="239"/>
      <c r="CA81" s="239"/>
      <c r="CB81" s="239"/>
      <c r="CC81" s="239"/>
      <c r="CD81" s="239"/>
      <c r="CE81" s="239"/>
      <c r="CF81" s="239"/>
      <c r="CG81" s="239"/>
      <c r="CH81" s="239"/>
      <c r="CI81" s="239"/>
      <c r="CJ81" s="239"/>
      <c r="CK81" s="239"/>
      <c r="CL81" s="239"/>
      <c r="CM81" s="239"/>
      <c r="CN81" s="239"/>
      <c r="CO81" s="239"/>
      <c r="CP81" s="239"/>
      <c r="CQ81" s="239"/>
      <c r="CR81" s="239"/>
      <c r="CS81" s="239"/>
      <c r="CT81" s="239"/>
      <c r="CU81" s="239"/>
      <c r="CV81" s="239"/>
      <c r="CW81" s="239"/>
      <c r="CX81" s="239"/>
      <c r="CY81" s="239"/>
      <c r="CZ81" s="239"/>
      <c r="DA81" s="239"/>
      <c r="DB81" s="239"/>
      <c r="DC81" s="239"/>
      <c r="DD81" s="239"/>
      <c r="DE81" s="239"/>
      <c r="DF81" s="239"/>
      <c r="DG81" s="239"/>
      <c r="DH81" s="239"/>
      <c r="DI81" s="239"/>
      <c r="DJ81" s="239"/>
      <c r="DK81" s="239"/>
      <c r="DL81" s="239"/>
      <c r="DM81" s="239"/>
      <c r="DN81" s="239"/>
      <c r="DO81" s="239"/>
      <c r="DP81" s="239"/>
      <c r="DQ81" s="239"/>
      <c r="DR81" s="239"/>
      <c r="DS81" s="239"/>
      <c r="DT81" s="239"/>
      <c r="DU81" s="239"/>
      <c r="DV81" s="239"/>
      <c r="DW81" s="239"/>
      <c r="DX81" s="239"/>
      <c r="DY81" s="239"/>
      <c r="DZ81" s="239"/>
      <c r="EA81" s="239"/>
      <c r="EB81" s="239"/>
      <c r="EC81" s="239"/>
      <c r="ED81" s="239"/>
      <c r="EE81" s="239"/>
      <c r="EF81" s="239"/>
      <c r="EG81" s="239"/>
      <c r="EH81" s="239"/>
      <c r="EI81" s="239"/>
      <c r="EJ81" s="239"/>
      <c r="EK81" s="239"/>
      <c r="EL81" s="239"/>
      <c r="EM81" s="239"/>
      <c r="EN81" s="239"/>
      <c r="EO81" s="239"/>
      <c r="EP81" s="239"/>
      <c r="EQ81" s="239"/>
      <c r="ER81" s="239"/>
      <c r="ES81" s="239"/>
      <c r="ET81" s="239"/>
      <c r="EU81" s="239"/>
      <c r="EV81" s="239"/>
      <c r="EW81" s="239"/>
      <c r="EX81" s="239"/>
      <c r="EY81" s="239"/>
      <c r="EZ81" s="239"/>
      <c r="FA81" s="239"/>
      <c r="FB81" s="239"/>
      <c r="FC81" s="239"/>
      <c r="FD81" s="239"/>
      <c r="FE81" s="239"/>
      <c r="FF81" s="239"/>
      <c r="FG81" s="239"/>
      <c r="FH81" s="239"/>
      <c r="FI81" s="239"/>
      <c r="FJ81" s="239"/>
      <c r="FK81" s="239"/>
      <c r="FL81" s="239"/>
      <c r="FM81" s="239"/>
      <c r="FN81" s="239"/>
      <c r="FO81" s="239"/>
      <c r="FP81" s="239"/>
      <c r="FQ81" s="239"/>
      <c r="FR81" s="239"/>
      <c r="FS81" s="239"/>
      <c r="FT81" s="239"/>
      <c r="FU81" s="239"/>
      <c r="FV81" s="239"/>
      <c r="FW81" s="239"/>
      <c r="FX81" s="239"/>
      <c r="FY81" s="239"/>
      <c r="FZ81" s="239"/>
      <c r="GA81" s="239"/>
      <c r="GB81" s="239"/>
      <c r="GC81" s="239"/>
      <c r="GD81" s="239"/>
      <c r="GE81" s="239"/>
      <c r="GF81" s="239"/>
      <c r="GG81" s="239"/>
      <c r="GH81" s="239"/>
      <c r="GI81" s="239"/>
      <c r="GJ81" s="239"/>
      <c r="GK81" s="239"/>
      <c r="GL81" s="239"/>
      <c r="GM81" s="239"/>
      <c r="GN81" s="239"/>
      <c r="GO81" s="239"/>
      <c r="GP81" s="239"/>
      <c r="GQ81" s="239"/>
      <c r="GR81" s="239"/>
      <c r="GS81" s="239"/>
      <c r="GT81" s="239"/>
      <c r="GU81" s="239"/>
      <c r="GV81" s="239"/>
      <c r="GW81" s="239"/>
      <c r="GX81" s="239"/>
      <c r="GY81" s="239"/>
      <c r="GZ81" s="239"/>
      <c r="HA81" s="239"/>
      <c r="HB81" s="239"/>
      <c r="HC81" s="239"/>
      <c r="HD81" s="239"/>
      <c r="HE81" s="239"/>
      <c r="HF81" s="239"/>
      <c r="HG81" s="239"/>
      <c r="HH81" s="239"/>
      <c r="HI81" s="239"/>
      <c r="HJ81" s="239"/>
      <c r="HK81" s="239"/>
      <c r="HL81" s="239"/>
      <c r="HM81" s="239"/>
      <c r="HN81" s="239"/>
      <c r="HO81" s="239"/>
      <c r="HP81" s="239"/>
      <c r="HQ81" s="239"/>
      <c r="HR81" s="239"/>
      <c r="HS81" s="239"/>
      <c r="HT81" s="239"/>
      <c r="HU81" s="239"/>
      <c r="HV81" s="239"/>
      <c r="HW81" s="239"/>
      <c r="HX81" s="239"/>
      <c r="HY81" s="239"/>
      <c r="HZ81" s="239"/>
      <c r="IA81" s="239"/>
      <c r="IB81" s="239"/>
      <c r="IC81" s="239"/>
      <c r="ID81" s="239"/>
      <c r="IE81" s="239"/>
      <c r="IF81" s="239"/>
      <c r="IG81" s="239"/>
      <c r="IH81" s="239"/>
      <c r="II81" s="239"/>
      <c r="IJ81" s="239"/>
      <c r="IK81" s="239"/>
      <c r="IL81" s="239"/>
      <c r="IM81" s="239"/>
      <c r="IN81" s="239"/>
      <c r="IO81" s="239"/>
      <c r="IP81" s="239"/>
      <c r="IQ81" s="239"/>
      <c r="IR81" s="239"/>
      <c r="IS81" s="239"/>
      <c r="IT81" s="239"/>
      <c r="IU81" s="239"/>
      <c r="IV81" s="239"/>
      <c r="IW81" s="239"/>
      <c r="IX81" s="239"/>
      <c r="IY81" s="239"/>
      <c r="IZ81" s="239"/>
      <c r="JA81" s="239"/>
      <c r="JB81" s="239"/>
      <c r="JC81" s="239"/>
      <c r="JD81" s="239"/>
      <c r="JE81" s="239"/>
      <c r="JF81" s="239"/>
      <c r="JG81" s="239"/>
      <c r="JH81" s="239"/>
      <c r="JI81" s="239"/>
      <c r="JJ81" s="239"/>
      <c r="JK81" s="239"/>
      <c r="JL81" s="239"/>
      <c r="JM81" s="239"/>
      <c r="JN81" s="239"/>
      <c r="JO81" s="239"/>
      <c r="JP81" s="239"/>
      <c r="JQ81" s="239"/>
      <c r="JR81" s="239"/>
      <c r="JS81" s="239"/>
      <c r="JT81" s="239"/>
      <c r="JU81" s="239"/>
      <c r="JV81" s="239"/>
      <c r="JW81" s="239"/>
      <c r="JX81" s="239"/>
      <c r="JY81" s="239"/>
      <c r="JZ81" s="239"/>
      <c r="KA81" s="239"/>
      <c r="KB81" s="239"/>
      <c r="KC81" s="239"/>
      <c r="KD81" s="239"/>
      <c r="KE81" s="239"/>
      <c r="KF81" s="239"/>
      <c r="KG81" s="239"/>
      <c r="KH81" s="239"/>
      <c r="KI81" s="239"/>
      <c r="KJ81" s="239"/>
      <c r="KK81" s="239"/>
      <c r="KL81" s="239"/>
      <c r="KM81" s="239"/>
      <c r="KN81" s="239"/>
      <c r="KO81" s="239"/>
      <c r="KP81" s="239"/>
      <c r="KQ81" s="239"/>
      <c r="KR81" s="239"/>
      <c r="KS81" s="239"/>
      <c r="KT81" s="239"/>
      <c r="KU81" s="239"/>
      <c r="KV81" s="239"/>
      <c r="KW81" s="239"/>
      <c r="KX81" s="239"/>
      <c r="KY81" s="239"/>
      <c r="KZ81" s="239"/>
      <c r="LA81" s="239"/>
      <c r="LB81" s="239"/>
      <c r="LC81" s="239"/>
      <c r="LD81" s="239"/>
      <c r="LE81" s="239"/>
      <c r="LF81" s="239"/>
      <c r="LG81" s="239"/>
      <c r="LH81" s="239"/>
      <c r="LI81" s="239"/>
      <c r="LJ81" s="239"/>
      <c r="LK81" s="239"/>
      <c r="LL81" s="239"/>
      <c r="LM81" s="239"/>
      <c r="LN81" s="239"/>
      <c r="LO81" s="239"/>
      <c r="LP81" s="239"/>
      <c r="LQ81" s="239"/>
      <c r="LR81" s="239"/>
      <c r="LS81" s="239"/>
      <c r="LT81" s="239"/>
      <c r="LU81" s="239"/>
      <c r="LV81" s="239"/>
      <c r="LW81" s="239"/>
      <c r="LX81" s="239"/>
      <c r="LY81" s="239"/>
      <c r="LZ81" s="239"/>
      <c r="MA81" s="239"/>
      <c r="MB81" s="239"/>
      <c r="MC81" s="239"/>
      <c r="MD81" s="239"/>
      <c r="ME81" s="239"/>
      <c r="MF81" s="239"/>
      <c r="MG81" s="239"/>
      <c r="MH81" s="239"/>
      <c r="MI81" s="239"/>
      <c r="MJ81" s="239"/>
      <c r="MK81" s="239"/>
      <c r="ML81" s="239"/>
      <c r="MM81" s="239"/>
      <c r="MN81" s="239"/>
      <c r="MO81" s="239"/>
      <c r="MP81" s="239"/>
      <c r="MQ81" s="239"/>
      <c r="MR81" s="239"/>
      <c r="MS81" s="239"/>
      <c r="MT81" s="239"/>
      <c r="MU81" s="239"/>
      <c r="MV81" s="239"/>
      <c r="MW81" s="239"/>
      <c r="MX81" s="239"/>
      <c r="MY81" s="239"/>
      <c r="MZ81" s="239"/>
      <c r="NA81" s="239"/>
      <c r="NB81" s="239"/>
      <c r="NC81" s="239"/>
      <c r="ND81" s="239"/>
      <c r="NE81" s="239"/>
      <c r="NF81" s="239"/>
      <c r="NG81" s="239"/>
      <c r="NH81" s="239"/>
      <c r="NI81" s="239"/>
      <c r="NJ81" s="239"/>
      <c r="NK81" s="239"/>
      <c r="NL81" s="239"/>
      <c r="NM81" s="239"/>
      <c r="NN81" s="239"/>
      <c r="NO81" s="239"/>
      <c r="NP81" s="239"/>
      <c r="NQ81" s="239"/>
      <c r="NR81" s="239"/>
      <c r="NS81" s="239"/>
      <c r="NT81" s="239"/>
      <c r="NU81" s="239"/>
      <c r="NV81" s="239"/>
      <c r="NW81" s="239"/>
      <c r="NX81" s="239"/>
      <c r="NY81" s="239"/>
      <c r="NZ81" s="239"/>
      <c r="OA81" s="239"/>
      <c r="OB81" s="239"/>
      <c r="OC81" s="239"/>
      <c r="OD81" s="239"/>
      <c r="OE81" s="239"/>
      <c r="OF81" s="239"/>
      <c r="OG81" s="239"/>
      <c r="OH81" s="239"/>
      <c r="OI81" s="239"/>
      <c r="OJ81" s="239"/>
      <c r="OK81" s="239"/>
      <c r="OL81" s="239"/>
      <c r="OM81" s="239"/>
      <c r="ON81" s="239"/>
      <c r="OO81" s="239"/>
      <c r="OP81" s="239"/>
      <c r="OQ81" s="239"/>
      <c r="OR81" s="239"/>
      <c r="OS81" s="239"/>
      <c r="OT81" s="239"/>
      <c r="OU81" s="239"/>
      <c r="OV81" s="239"/>
      <c r="OW81" s="239"/>
      <c r="OX81" s="239"/>
      <c r="OY81" s="239"/>
      <c r="OZ81" s="239"/>
      <c r="PA81" s="239"/>
      <c r="PB81" s="239"/>
      <c r="PC81" s="239"/>
      <c r="PD81" s="239"/>
      <c r="PE81" s="239"/>
      <c r="PF81" s="239"/>
      <c r="PG81" s="239"/>
      <c r="PH81" s="239"/>
      <c r="PI81" s="239"/>
      <c r="PJ81" s="239"/>
      <c r="PK81" s="239"/>
      <c r="PL81" s="239"/>
      <c r="PM81" s="239"/>
      <c r="PN81" s="239"/>
      <c r="PO81" s="239"/>
      <c r="PP81" s="239"/>
      <c r="PQ81" s="239"/>
      <c r="PR81" s="239"/>
      <c r="PS81" s="239"/>
      <c r="PT81" s="239"/>
      <c r="PU81" s="239"/>
      <c r="PV81" s="239"/>
      <c r="PW81" s="239"/>
      <c r="PX81" s="239"/>
      <c r="PY81" s="239"/>
      <c r="PZ81" s="239"/>
      <c r="QA81" s="239"/>
      <c r="QB81" s="239"/>
      <c r="QC81" s="239"/>
      <c r="QD81" s="239"/>
      <c r="QE81" s="239"/>
      <c r="QF81" s="239"/>
      <c r="QG81" s="239"/>
      <c r="QH81" s="239"/>
      <c r="QI81" s="239"/>
      <c r="QJ81" s="239"/>
      <c r="QK81" s="239"/>
      <c r="QL81" s="239"/>
      <c r="QM81" s="239"/>
      <c r="QN81" s="239"/>
      <c r="QO81" s="239"/>
      <c r="QP81" s="239"/>
      <c r="QQ81" s="239"/>
      <c r="QR81" s="239"/>
      <c r="QS81" s="239"/>
      <c r="QT81" s="239"/>
      <c r="QU81" s="239"/>
      <c r="QV81" s="239"/>
      <c r="QW81" s="239"/>
      <c r="QX81" s="239"/>
      <c r="QY81" s="239"/>
      <c r="QZ81" s="239"/>
      <c r="RA81" s="239"/>
      <c r="RB81" s="239"/>
      <c r="RC81" s="239"/>
      <c r="RD81" s="239"/>
      <c r="RE81" s="239"/>
      <c r="RF81" s="239"/>
      <c r="RG81" s="239"/>
      <c r="RH81" s="239"/>
      <c r="RI81" s="239"/>
      <c r="RJ81" s="239"/>
      <c r="RK81" s="239"/>
      <c r="RL81" s="239"/>
      <c r="RM81" s="239"/>
      <c r="RN81" s="239"/>
      <c r="RO81" s="239"/>
      <c r="RP81" s="239"/>
      <c r="RQ81" s="239"/>
      <c r="RR81" s="239"/>
      <c r="RS81" s="239"/>
      <c r="RT81" s="239"/>
      <c r="RU81" s="239"/>
      <c r="RV81" s="239"/>
      <c r="RW81" s="239"/>
      <c r="RX81" s="239"/>
      <c r="RY81" s="239"/>
      <c r="RZ81" s="239"/>
      <c r="SA81" s="239"/>
      <c r="SB81" s="239"/>
      <c r="SC81" s="239"/>
      <c r="SD81" s="239"/>
      <c r="SE81" s="239"/>
      <c r="SF81" s="239"/>
      <c r="SG81" s="239"/>
      <c r="SH81" s="239"/>
      <c r="SI81" s="239"/>
      <c r="SJ81" s="239"/>
      <c r="SK81" s="239"/>
      <c r="SL81" s="239"/>
      <c r="SM81" s="239"/>
      <c r="SN81" s="239"/>
      <c r="SO81" s="239"/>
      <c r="SP81" s="239"/>
      <c r="SQ81" s="239"/>
      <c r="SR81" s="239"/>
      <c r="SS81" s="239"/>
      <c r="ST81" s="239"/>
      <c r="SU81" s="239"/>
      <c r="SV81" s="239"/>
      <c r="SW81" s="239"/>
      <c r="SX81" s="239"/>
      <c r="SY81" s="239"/>
      <c r="SZ81" s="239"/>
      <c r="TA81" s="239"/>
      <c r="TB81" s="239"/>
      <c r="TC81" s="239"/>
      <c r="TD81" s="239"/>
      <c r="TE81" s="239"/>
      <c r="TF81" s="239"/>
      <c r="TG81" s="239"/>
      <c r="TH81" s="239"/>
      <c r="TI81" s="239"/>
      <c r="TJ81" s="239"/>
      <c r="TK81" s="239"/>
      <c r="TL81" s="239"/>
      <c r="TM81" s="239"/>
      <c r="TN81" s="239"/>
      <c r="TO81" s="239"/>
      <c r="TP81" s="239"/>
      <c r="TQ81" s="239"/>
      <c r="TR81" s="239"/>
      <c r="TS81" s="239"/>
      <c r="TT81" s="239"/>
      <c r="TU81" s="239"/>
      <c r="TV81" s="239"/>
      <c r="TW81" s="239"/>
      <c r="TX81" s="239"/>
      <c r="TY81" s="239"/>
      <c r="TZ81" s="239"/>
      <c r="UA81" s="239"/>
      <c r="UB81" s="239"/>
      <c r="UC81" s="239"/>
      <c r="UD81" s="239"/>
      <c r="UE81" s="239"/>
      <c r="UF81" s="239"/>
      <c r="UG81" s="240"/>
    </row>
    <row r="82" spans="1:553" s="236" customFormat="1" ht="93.75" customHeight="1">
      <c r="A82" s="356" t="s">
        <v>15</v>
      </c>
      <c r="B82" s="398" t="s">
        <v>29</v>
      </c>
      <c r="C82" s="1414" t="s">
        <v>145</v>
      </c>
      <c r="D82" s="1389"/>
      <c r="E82" s="1389"/>
      <c r="F82" s="1390"/>
      <c r="G82" s="386" t="s">
        <v>935</v>
      </c>
      <c r="H82" s="370"/>
      <c r="I82" s="417">
        <f>9.7*12.9</f>
        <v>125.13</v>
      </c>
      <c r="J82" s="368">
        <v>2204600</v>
      </c>
      <c r="K82" s="371"/>
      <c r="L82" s="391">
        <f t="shared" ref="L82:L85" si="17">ROUND(PRODUCT(I82:K82),0)</f>
        <v>275861598</v>
      </c>
      <c r="M82" s="395"/>
      <c r="N82" s="395"/>
      <c r="O82" s="366"/>
      <c r="P82" s="396"/>
      <c r="Q82" s="473"/>
      <c r="R82" s="1039"/>
      <c r="S82" s="308"/>
      <c r="T82" s="303"/>
      <c r="U82" s="306"/>
      <c r="V82" s="307"/>
      <c r="W82" s="306"/>
      <c r="X82" s="306"/>
      <c r="Y82" s="306"/>
      <c r="Z82" s="306"/>
      <c r="AA82" s="306"/>
      <c r="AB82" s="306"/>
      <c r="AC82" s="449"/>
      <c r="AD82" s="449"/>
      <c r="AE82" s="449"/>
      <c r="AF82" s="449"/>
      <c r="AG82" s="452"/>
      <c r="AH82" s="452"/>
      <c r="AI82" s="452"/>
      <c r="AJ82" s="452"/>
      <c r="AK82" s="452"/>
      <c r="AL82" s="242"/>
      <c r="AM82" s="241"/>
      <c r="AN82" s="241"/>
      <c r="AO82" s="241"/>
      <c r="AP82" s="241"/>
      <c r="AQ82" s="238"/>
      <c r="AR82" s="238"/>
      <c r="AS82" s="238"/>
      <c r="AT82" s="238"/>
      <c r="AU82" s="238"/>
      <c r="AV82" s="238"/>
      <c r="AW82" s="238"/>
      <c r="AX82" s="238"/>
      <c r="AY82" s="238"/>
      <c r="AZ82" s="238"/>
      <c r="BA82" s="238"/>
      <c r="BB82" s="238"/>
      <c r="BC82" s="238"/>
      <c r="BD82" s="238"/>
      <c r="BE82" s="238"/>
      <c r="BF82" s="238"/>
      <c r="BG82" s="238"/>
      <c r="BH82" s="238"/>
      <c r="BI82" s="238"/>
      <c r="BJ82" s="238"/>
      <c r="BK82" s="238"/>
      <c r="BL82" s="238"/>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c r="CK82" s="239"/>
      <c r="CL82" s="239"/>
      <c r="CM82" s="239"/>
      <c r="CN82" s="239"/>
      <c r="CO82" s="239"/>
      <c r="CP82" s="239"/>
      <c r="CQ82" s="239"/>
      <c r="CR82" s="239"/>
      <c r="CS82" s="239"/>
      <c r="CT82" s="239"/>
      <c r="CU82" s="239"/>
      <c r="CV82" s="239"/>
      <c r="CW82" s="239"/>
      <c r="CX82" s="239"/>
      <c r="CY82" s="239"/>
      <c r="CZ82" s="239"/>
      <c r="DA82" s="239"/>
      <c r="DB82" s="239"/>
      <c r="DC82" s="239"/>
      <c r="DD82" s="239"/>
      <c r="DE82" s="239"/>
      <c r="DF82" s="239"/>
      <c r="DG82" s="239"/>
      <c r="DH82" s="239"/>
      <c r="DI82" s="239"/>
      <c r="DJ82" s="239"/>
      <c r="DK82" s="239"/>
      <c r="DL82" s="239"/>
      <c r="DM82" s="239"/>
      <c r="DN82" s="239"/>
      <c r="DO82" s="239"/>
      <c r="DP82" s="239"/>
      <c r="DQ82" s="239"/>
      <c r="DR82" s="239"/>
      <c r="DS82" s="239"/>
      <c r="DT82" s="239"/>
      <c r="DU82" s="239"/>
      <c r="DV82" s="239"/>
      <c r="DW82" s="239"/>
      <c r="DX82" s="239"/>
      <c r="DY82" s="239"/>
      <c r="DZ82" s="239"/>
      <c r="EA82" s="239"/>
      <c r="EB82" s="239"/>
      <c r="EC82" s="239"/>
      <c r="ED82" s="239"/>
      <c r="EE82" s="239"/>
      <c r="EF82" s="239"/>
      <c r="EG82" s="239"/>
      <c r="EH82" s="239"/>
      <c r="EI82" s="239"/>
      <c r="EJ82" s="239"/>
      <c r="EK82" s="239"/>
      <c r="EL82" s="239"/>
      <c r="EM82" s="239"/>
      <c r="EN82" s="239"/>
      <c r="EO82" s="239"/>
      <c r="EP82" s="239"/>
      <c r="EQ82" s="239"/>
      <c r="ER82" s="239"/>
      <c r="ES82" s="239"/>
      <c r="ET82" s="239"/>
      <c r="EU82" s="239"/>
      <c r="EV82" s="239"/>
      <c r="EW82" s="239"/>
      <c r="EX82" s="239"/>
      <c r="EY82" s="239"/>
      <c r="EZ82" s="239"/>
      <c r="FA82" s="239"/>
      <c r="FB82" s="239"/>
      <c r="FC82" s="239"/>
      <c r="FD82" s="239"/>
      <c r="FE82" s="239"/>
      <c r="FF82" s="239"/>
      <c r="FG82" s="239"/>
      <c r="FH82" s="239"/>
      <c r="FI82" s="239"/>
      <c r="FJ82" s="239"/>
      <c r="FK82" s="239"/>
      <c r="FL82" s="239"/>
      <c r="FM82" s="239"/>
      <c r="FN82" s="239"/>
      <c r="FO82" s="239"/>
      <c r="FP82" s="239"/>
      <c r="FQ82" s="239"/>
      <c r="FR82" s="239"/>
      <c r="FS82" s="239"/>
      <c r="FT82" s="239"/>
      <c r="FU82" s="239"/>
      <c r="FV82" s="239"/>
      <c r="FW82" s="239"/>
      <c r="FX82" s="239"/>
      <c r="FY82" s="239"/>
      <c r="FZ82" s="239"/>
      <c r="GA82" s="239"/>
      <c r="GB82" s="239"/>
      <c r="GC82" s="239"/>
      <c r="GD82" s="239"/>
      <c r="GE82" s="239"/>
      <c r="GF82" s="239"/>
      <c r="GG82" s="239"/>
      <c r="GH82" s="239"/>
      <c r="GI82" s="239"/>
      <c r="GJ82" s="239"/>
      <c r="GK82" s="239"/>
      <c r="GL82" s="239"/>
      <c r="GM82" s="239"/>
      <c r="GN82" s="239"/>
      <c r="GO82" s="239"/>
      <c r="GP82" s="239"/>
      <c r="GQ82" s="239"/>
      <c r="GR82" s="239"/>
      <c r="GS82" s="239"/>
      <c r="GT82" s="239"/>
      <c r="GU82" s="239"/>
      <c r="GV82" s="239"/>
      <c r="GW82" s="239"/>
      <c r="GX82" s="239"/>
      <c r="GY82" s="239"/>
      <c r="GZ82" s="239"/>
      <c r="HA82" s="239"/>
      <c r="HB82" s="239"/>
      <c r="HC82" s="239"/>
      <c r="HD82" s="239"/>
      <c r="HE82" s="239"/>
      <c r="HF82" s="239"/>
      <c r="HG82" s="239"/>
      <c r="HH82" s="239"/>
      <c r="HI82" s="239"/>
      <c r="HJ82" s="239"/>
      <c r="HK82" s="239"/>
      <c r="HL82" s="239"/>
      <c r="HM82" s="239"/>
      <c r="HN82" s="239"/>
      <c r="HO82" s="239"/>
      <c r="HP82" s="239"/>
      <c r="HQ82" s="239"/>
      <c r="HR82" s="239"/>
      <c r="HS82" s="239"/>
      <c r="HT82" s="239"/>
      <c r="HU82" s="239"/>
      <c r="HV82" s="239"/>
      <c r="HW82" s="239"/>
      <c r="HX82" s="239"/>
      <c r="HY82" s="239"/>
      <c r="HZ82" s="239"/>
      <c r="IA82" s="239"/>
      <c r="IB82" s="239"/>
      <c r="IC82" s="239"/>
      <c r="ID82" s="239"/>
      <c r="IE82" s="239"/>
      <c r="IF82" s="239"/>
      <c r="IG82" s="239"/>
      <c r="IH82" s="239"/>
      <c r="II82" s="239"/>
      <c r="IJ82" s="239"/>
      <c r="IK82" s="239"/>
      <c r="IL82" s="239"/>
      <c r="IM82" s="239"/>
      <c r="IN82" s="239"/>
      <c r="IO82" s="239"/>
      <c r="IP82" s="239"/>
      <c r="IQ82" s="239"/>
      <c r="IR82" s="239"/>
      <c r="IS82" s="239"/>
      <c r="IT82" s="239"/>
      <c r="IU82" s="239"/>
      <c r="IV82" s="239"/>
      <c r="IW82" s="239"/>
      <c r="IX82" s="239"/>
      <c r="IY82" s="239"/>
      <c r="IZ82" s="239"/>
      <c r="JA82" s="239"/>
      <c r="JB82" s="239"/>
      <c r="JC82" s="239"/>
      <c r="JD82" s="239"/>
      <c r="JE82" s="239"/>
      <c r="JF82" s="239"/>
      <c r="JG82" s="239"/>
      <c r="JH82" s="239"/>
      <c r="JI82" s="239"/>
      <c r="JJ82" s="239"/>
      <c r="JK82" s="239"/>
      <c r="JL82" s="239"/>
      <c r="JM82" s="239"/>
      <c r="JN82" s="239"/>
      <c r="JO82" s="239"/>
      <c r="JP82" s="239"/>
      <c r="JQ82" s="239"/>
      <c r="JR82" s="239"/>
      <c r="JS82" s="239"/>
      <c r="JT82" s="239"/>
      <c r="JU82" s="239"/>
      <c r="JV82" s="239"/>
      <c r="JW82" s="239"/>
      <c r="JX82" s="239"/>
      <c r="JY82" s="239"/>
      <c r="JZ82" s="239"/>
      <c r="KA82" s="239"/>
      <c r="KB82" s="239"/>
      <c r="KC82" s="239"/>
      <c r="KD82" s="239"/>
      <c r="KE82" s="239"/>
      <c r="KF82" s="239"/>
      <c r="KG82" s="239"/>
      <c r="KH82" s="239"/>
      <c r="KI82" s="239"/>
      <c r="KJ82" s="239"/>
      <c r="KK82" s="239"/>
      <c r="KL82" s="239"/>
      <c r="KM82" s="239"/>
      <c r="KN82" s="239"/>
      <c r="KO82" s="239"/>
      <c r="KP82" s="239"/>
      <c r="KQ82" s="239"/>
      <c r="KR82" s="239"/>
      <c r="KS82" s="239"/>
      <c r="KT82" s="239"/>
      <c r="KU82" s="239"/>
      <c r="KV82" s="239"/>
      <c r="KW82" s="239"/>
      <c r="KX82" s="239"/>
      <c r="KY82" s="239"/>
      <c r="KZ82" s="239"/>
      <c r="LA82" s="239"/>
      <c r="LB82" s="239"/>
      <c r="LC82" s="239"/>
      <c r="LD82" s="239"/>
      <c r="LE82" s="239"/>
      <c r="LF82" s="239"/>
      <c r="LG82" s="239"/>
      <c r="LH82" s="239"/>
      <c r="LI82" s="239"/>
      <c r="LJ82" s="239"/>
      <c r="LK82" s="239"/>
      <c r="LL82" s="239"/>
      <c r="LM82" s="239"/>
      <c r="LN82" s="239"/>
      <c r="LO82" s="239"/>
      <c r="LP82" s="239"/>
      <c r="LQ82" s="239"/>
      <c r="LR82" s="239"/>
      <c r="LS82" s="239"/>
      <c r="LT82" s="239"/>
      <c r="LU82" s="239"/>
      <c r="LV82" s="239"/>
      <c r="LW82" s="239"/>
      <c r="LX82" s="239"/>
      <c r="LY82" s="239"/>
      <c r="LZ82" s="239"/>
      <c r="MA82" s="239"/>
      <c r="MB82" s="239"/>
      <c r="MC82" s="239"/>
      <c r="MD82" s="239"/>
      <c r="ME82" s="239"/>
      <c r="MF82" s="239"/>
      <c r="MG82" s="239"/>
      <c r="MH82" s="239"/>
      <c r="MI82" s="239"/>
      <c r="MJ82" s="239"/>
      <c r="MK82" s="239"/>
      <c r="ML82" s="239"/>
      <c r="MM82" s="239"/>
      <c r="MN82" s="239"/>
      <c r="MO82" s="239"/>
      <c r="MP82" s="239"/>
      <c r="MQ82" s="239"/>
      <c r="MR82" s="239"/>
      <c r="MS82" s="239"/>
      <c r="MT82" s="239"/>
      <c r="MU82" s="239"/>
      <c r="MV82" s="239"/>
      <c r="MW82" s="239"/>
      <c r="MX82" s="239"/>
      <c r="MY82" s="239"/>
      <c r="MZ82" s="239"/>
      <c r="NA82" s="239"/>
      <c r="NB82" s="239"/>
      <c r="NC82" s="239"/>
      <c r="ND82" s="239"/>
      <c r="NE82" s="239"/>
      <c r="NF82" s="239"/>
      <c r="NG82" s="239"/>
      <c r="NH82" s="239"/>
      <c r="NI82" s="239"/>
      <c r="NJ82" s="239"/>
      <c r="NK82" s="239"/>
      <c r="NL82" s="239"/>
      <c r="NM82" s="239"/>
      <c r="NN82" s="239"/>
      <c r="NO82" s="239"/>
      <c r="NP82" s="239"/>
      <c r="NQ82" s="239"/>
      <c r="NR82" s="239"/>
      <c r="NS82" s="239"/>
      <c r="NT82" s="239"/>
      <c r="NU82" s="239"/>
      <c r="NV82" s="239"/>
      <c r="NW82" s="239"/>
      <c r="NX82" s="239"/>
      <c r="NY82" s="239"/>
      <c r="NZ82" s="239"/>
      <c r="OA82" s="239"/>
      <c r="OB82" s="239"/>
      <c r="OC82" s="239"/>
      <c r="OD82" s="239"/>
      <c r="OE82" s="239"/>
      <c r="OF82" s="239"/>
      <c r="OG82" s="239"/>
      <c r="OH82" s="239"/>
      <c r="OI82" s="239"/>
      <c r="OJ82" s="239"/>
      <c r="OK82" s="239"/>
      <c r="OL82" s="239"/>
      <c r="OM82" s="239"/>
      <c r="ON82" s="239"/>
      <c r="OO82" s="239"/>
      <c r="OP82" s="239"/>
      <c r="OQ82" s="239"/>
      <c r="OR82" s="239"/>
      <c r="OS82" s="239"/>
      <c r="OT82" s="239"/>
      <c r="OU82" s="239"/>
      <c r="OV82" s="239"/>
      <c r="OW82" s="239"/>
      <c r="OX82" s="239"/>
      <c r="OY82" s="239"/>
      <c r="OZ82" s="239"/>
      <c r="PA82" s="239"/>
      <c r="PB82" s="239"/>
      <c r="PC82" s="239"/>
      <c r="PD82" s="239"/>
      <c r="PE82" s="239"/>
      <c r="PF82" s="239"/>
      <c r="PG82" s="239"/>
      <c r="PH82" s="239"/>
      <c r="PI82" s="239"/>
      <c r="PJ82" s="239"/>
      <c r="PK82" s="239"/>
      <c r="PL82" s="239"/>
      <c r="PM82" s="239"/>
      <c r="PN82" s="239"/>
      <c r="PO82" s="239"/>
      <c r="PP82" s="239"/>
      <c r="PQ82" s="239"/>
      <c r="PR82" s="239"/>
      <c r="PS82" s="239"/>
      <c r="PT82" s="239"/>
      <c r="PU82" s="239"/>
      <c r="PV82" s="239"/>
      <c r="PW82" s="239"/>
      <c r="PX82" s="239"/>
      <c r="PY82" s="239"/>
      <c r="PZ82" s="239"/>
      <c r="QA82" s="239"/>
      <c r="QB82" s="239"/>
      <c r="QC82" s="239"/>
      <c r="QD82" s="239"/>
      <c r="QE82" s="239"/>
      <c r="QF82" s="239"/>
      <c r="QG82" s="239"/>
      <c r="QH82" s="239"/>
      <c r="QI82" s="239"/>
      <c r="QJ82" s="239"/>
      <c r="QK82" s="239"/>
      <c r="QL82" s="239"/>
      <c r="QM82" s="239"/>
      <c r="QN82" s="239"/>
      <c r="QO82" s="239"/>
      <c r="QP82" s="239"/>
      <c r="QQ82" s="239"/>
      <c r="QR82" s="239"/>
      <c r="QS82" s="239"/>
      <c r="QT82" s="239"/>
      <c r="QU82" s="239"/>
      <c r="QV82" s="239"/>
      <c r="QW82" s="239"/>
      <c r="QX82" s="239"/>
      <c r="QY82" s="239"/>
      <c r="QZ82" s="239"/>
      <c r="RA82" s="239"/>
      <c r="RB82" s="239"/>
      <c r="RC82" s="239"/>
      <c r="RD82" s="239"/>
      <c r="RE82" s="239"/>
      <c r="RF82" s="239"/>
      <c r="RG82" s="239"/>
      <c r="RH82" s="239"/>
      <c r="RI82" s="239"/>
      <c r="RJ82" s="239"/>
      <c r="RK82" s="239"/>
      <c r="RL82" s="239"/>
      <c r="RM82" s="239"/>
      <c r="RN82" s="239"/>
      <c r="RO82" s="239"/>
      <c r="RP82" s="239"/>
      <c r="RQ82" s="239"/>
      <c r="RR82" s="239"/>
      <c r="RS82" s="239"/>
      <c r="RT82" s="239"/>
      <c r="RU82" s="239"/>
      <c r="RV82" s="239"/>
      <c r="RW82" s="239"/>
      <c r="RX82" s="239"/>
      <c r="RY82" s="239"/>
      <c r="RZ82" s="239"/>
      <c r="SA82" s="239"/>
      <c r="SB82" s="239"/>
      <c r="SC82" s="239"/>
      <c r="SD82" s="239"/>
      <c r="SE82" s="239"/>
      <c r="SF82" s="239"/>
      <c r="SG82" s="239"/>
      <c r="SH82" s="239"/>
      <c r="SI82" s="239"/>
      <c r="SJ82" s="239"/>
      <c r="SK82" s="239"/>
      <c r="SL82" s="239"/>
      <c r="SM82" s="239"/>
      <c r="SN82" s="239"/>
      <c r="SO82" s="239"/>
      <c r="SP82" s="239"/>
      <c r="SQ82" s="239"/>
      <c r="SR82" s="239"/>
      <c r="SS82" s="239"/>
      <c r="ST82" s="239"/>
      <c r="SU82" s="239"/>
      <c r="SV82" s="239"/>
      <c r="SW82" s="239"/>
      <c r="SX82" s="239"/>
      <c r="SY82" s="239"/>
      <c r="SZ82" s="239"/>
      <c r="TA82" s="239"/>
      <c r="TB82" s="239"/>
      <c r="TC82" s="239"/>
      <c r="TD82" s="239"/>
      <c r="TE82" s="239"/>
      <c r="TF82" s="239"/>
      <c r="TG82" s="239"/>
      <c r="TH82" s="239"/>
      <c r="TI82" s="239"/>
      <c r="TJ82" s="239"/>
      <c r="TK82" s="239"/>
      <c r="TL82" s="239"/>
      <c r="TM82" s="239"/>
      <c r="TN82" s="239"/>
      <c r="TO82" s="239"/>
      <c r="TP82" s="239"/>
      <c r="TQ82" s="239"/>
      <c r="TR82" s="239"/>
      <c r="TS82" s="239"/>
      <c r="TT82" s="239"/>
      <c r="TU82" s="239"/>
      <c r="TV82" s="239"/>
      <c r="TW82" s="239"/>
      <c r="TX82" s="239"/>
      <c r="TY82" s="239"/>
      <c r="TZ82" s="239"/>
      <c r="UA82" s="239"/>
      <c r="UB82" s="239"/>
      <c r="UC82" s="239"/>
      <c r="UD82" s="239"/>
      <c r="UE82" s="239"/>
      <c r="UF82" s="239"/>
      <c r="UG82" s="240"/>
    </row>
    <row r="83" spans="1:553" s="236" customFormat="1" ht="44.25" customHeight="1">
      <c r="A83" s="356" t="s">
        <v>30</v>
      </c>
      <c r="B83" s="398" t="s">
        <v>31</v>
      </c>
      <c r="C83" s="1443" t="s">
        <v>878</v>
      </c>
      <c r="D83" s="1389"/>
      <c r="E83" s="1389"/>
      <c r="F83" s="1390"/>
      <c r="G83" s="386" t="s">
        <v>935</v>
      </c>
      <c r="H83" s="370"/>
      <c r="I83" s="422">
        <f>-9.7*12.9</f>
        <v>-125.13</v>
      </c>
      <c r="J83" s="368">
        <f>185700-137200</f>
        <v>48500</v>
      </c>
      <c r="K83" s="371"/>
      <c r="L83" s="391">
        <f t="shared" si="17"/>
        <v>-6068805</v>
      </c>
      <c r="M83" s="395"/>
      <c r="N83" s="395"/>
      <c r="O83" s="366"/>
      <c r="P83" s="396"/>
      <c r="Q83" s="473"/>
      <c r="R83" s="1039"/>
      <c r="S83" s="308"/>
      <c r="T83" s="303"/>
      <c r="U83" s="306"/>
      <c r="V83" s="307"/>
      <c r="W83" s="306"/>
      <c r="X83" s="306"/>
      <c r="Y83" s="306"/>
      <c r="Z83" s="306"/>
      <c r="AA83" s="306"/>
      <c r="AB83" s="306"/>
      <c r="AC83" s="449"/>
      <c r="AD83" s="449"/>
      <c r="AE83" s="449"/>
      <c r="AF83" s="449"/>
      <c r="AG83" s="452"/>
      <c r="AH83" s="452"/>
      <c r="AI83" s="452"/>
      <c r="AJ83" s="452"/>
      <c r="AK83" s="452"/>
      <c r="AL83" s="242"/>
      <c r="AM83" s="241"/>
      <c r="AN83" s="241"/>
      <c r="AO83" s="241"/>
      <c r="AP83" s="241"/>
      <c r="AQ83" s="238"/>
      <c r="AR83" s="238"/>
      <c r="AS83" s="238"/>
      <c r="AT83" s="238"/>
      <c r="AU83" s="238"/>
      <c r="AV83" s="238"/>
      <c r="AW83" s="238"/>
      <c r="AX83" s="238"/>
      <c r="AY83" s="238"/>
      <c r="AZ83" s="238"/>
      <c r="BA83" s="238"/>
      <c r="BB83" s="238"/>
      <c r="BC83" s="238"/>
      <c r="BD83" s="238"/>
      <c r="BE83" s="238"/>
      <c r="BF83" s="238"/>
      <c r="BG83" s="238"/>
      <c r="BH83" s="238"/>
      <c r="BI83" s="238"/>
      <c r="BJ83" s="238"/>
      <c r="BK83" s="238"/>
      <c r="BL83" s="238"/>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c r="CK83" s="239"/>
      <c r="CL83" s="239"/>
      <c r="CM83" s="239"/>
      <c r="CN83" s="239"/>
      <c r="CO83" s="239"/>
      <c r="CP83" s="239"/>
      <c r="CQ83" s="239"/>
      <c r="CR83" s="239"/>
      <c r="CS83" s="239"/>
      <c r="CT83" s="239"/>
      <c r="CU83" s="239"/>
      <c r="CV83" s="239"/>
      <c r="CW83" s="239"/>
      <c r="CX83" s="239"/>
      <c r="CY83" s="239"/>
      <c r="CZ83" s="239"/>
      <c r="DA83" s="239"/>
      <c r="DB83" s="239"/>
      <c r="DC83" s="239"/>
      <c r="DD83" s="239"/>
      <c r="DE83" s="239"/>
      <c r="DF83" s="239"/>
      <c r="DG83" s="239"/>
      <c r="DH83" s="239"/>
      <c r="DI83" s="239"/>
      <c r="DJ83" s="239"/>
      <c r="DK83" s="239"/>
      <c r="DL83" s="239"/>
      <c r="DM83" s="239"/>
      <c r="DN83" s="239"/>
      <c r="DO83" s="239"/>
      <c r="DP83" s="239"/>
      <c r="DQ83" s="239"/>
      <c r="DR83" s="239"/>
      <c r="DS83" s="239"/>
      <c r="DT83" s="239"/>
      <c r="DU83" s="239"/>
      <c r="DV83" s="239"/>
      <c r="DW83" s="239"/>
      <c r="DX83" s="239"/>
      <c r="DY83" s="239"/>
      <c r="DZ83" s="239"/>
      <c r="EA83" s="239"/>
      <c r="EB83" s="239"/>
      <c r="EC83" s="239"/>
      <c r="ED83" s="239"/>
      <c r="EE83" s="239"/>
      <c r="EF83" s="239"/>
      <c r="EG83" s="239"/>
      <c r="EH83" s="239"/>
      <c r="EI83" s="239"/>
      <c r="EJ83" s="239"/>
      <c r="EK83" s="239"/>
      <c r="EL83" s="239"/>
      <c r="EM83" s="239"/>
      <c r="EN83" s="239"/>
      <c r="EO83" s="239"/>
      <c r="EP83" s="239"/>
      <c r="EQ83" s="239"/>
      <c r="ER83" s="239"/>
      <c r="ES83" s="239"/>
      <c r="ET83" s="239"/>
      <c r="EU83" s="239"/>
      <c r="EV83" s="239"/>
      <c r="EW83" s="239"/>
      <c r="EX83" s="239"/>
      <c r="EY83" s="239"/>
      <c r="EZ83" s="239"/>
      <c r="FA83" s="239"/>
      <c r="FB83" s="239"/>
      <c r="FC83" s="239"/>
      <c r="FD83" s="239"/>
      <c r="FE83" s="239"/>
      <c r="FF83" s="239"/>
      <c r="FG83" s="239"/>
      <c r="FH83" s="239"/>
      <c r="FI83" s="239"/>
      <c r="FJ83" s="239"/>
      <c r="FK83" s="239"/>
      <c r="FL83" s="239"/>
      <c r="FM83" s="239"/>
      <c r="FN83" s="239"/>
      <c r="FO83" s="239"/>
      <c r="FP83" s="239"/>
      <c r="FQ83" s="239"/>
      <c r="FR83" s="239"/>
      <c r="FS83" s="239"/>
      <c r="FT83" s="239"/>
      <c r="FU83" s="239"/>
      <c r="FV83" s="239"/>
      <c r="FW83" s="239"/>
      <c r="FX83" s="239"/>
      <c r="FY83" s="239"/>
      <c r="FZ83" s="239"/>
      <c r="GA83" s="239"/>
      <c r="GB83" s="239"/>
      <c r="GC83" s="239"/>
      <c r="GD83" s="239"/>
      <c r="GE83" s="239"/>
      <c r="GF83" s="239"/>
      <c r="GG83" s="239"/>
      <c r="GH83" s="239"/>
      <c r="GI83" s="239"/>
      <c r="GJ83" s="239"/>
      <c r="GK83" s="239"/>
      <c r="GL83" s="239"/>
      <c r="GM83" s="239"/>
      <c r="GN83" s="239"/>
      <c r="GO83" s="239"/>
      <c r="GP83" s="239"/>
      <c r="GQ83" s="239"/>
      <c r="GR83" s="239"/>
      <c r="GS83" s="239"/>
      <c r="GT83" s="239"/>
      <c r="GU83" s="239"/>
      <c r="GV83" s="239"/>
      <c r="GW83" s="239"/>
      <c r="GX83" s="239"/>
      <c r="GY83" s="239"/>
      <c r="GZ83" s="239"/>
      <c r="HA83" s="239"/>
      <c r="HB83" s="239"/>
      <c r="HC83" s="239"/>
      <c r="HD83" s="239"/>
      <c r="HE83" s="239"/>
      <c r="HF83" s="239"/>
      <c r="HG83" s="239"/>
      <c r="HH83" s="239"/>
      <c r="HI83" s="239"/>
      <c r="HJ83" s="239"/>
      <c r="HK83" s="239"/>
      <c r="HL83" s="239"/>
      <c r="HM83" s="239"/>
      <c r="HN83" s="239"/>
      <c r="HO83" s="239"/>
      <c r="HP83" s="239"/>
      <c r="HQ83" s="239"/>
      <c r="HR83" s="239"/>
      <c r="HS83" s="239"/>
      <c r="HT83" s="239"/>
      <c r="HU83" s="239"/>
      <c r="HV83" s="239"/>
      <c r="HW83" s="239"/>
      <c r="HX83" s="239"/>
      <c r="HY83" s="239"/>
      <c r="HZ83" s="239"/>
      <c r="IA83" s="239"/>
      <c r="IB83" s="239"/>
      <c r="IC83" s="239"/>
      <c r="ID83" s="239"/>
      <c r="IE83" s="239"/>
      <c r="IF83" s="239"/>
      <c r="IG83" s="239"/>
      <c r="IH83" s="239"/>
      <c r="II83" s="239"/>
      <c r="IJ83" s="239"/>
      <c r="IK83" s="239"/>
      <c r="IL83" s="239"/>
      <c r="IM83" s="239"/>
      <c r="IN83" s="239"/>
      <c r="IO83" s="239"/>
      <c r="IP83" s="239"/>
      <c r="IQ83" s="239"/>
      <c r="IR83" s="239"/>
      <c r="IS83" s="239"/>
      <c r="IT83" s="239"/>
      <c r="IU83" s="239"/>
      <c r="IV83" s="239"/>
      <c r="IW83" s="239"/>
      <c r="IX83" s="239"/>
      <c r="IY83" s="239"/>
      <c r="IZ83" s="239"/>
      <c r="JA83" s="239"/>
      <c r="JB83" s="239"/>
      <c r="JC83" s="239"/>
      <c r="JD83" s="239"/>
      <c r="JE83" s="239"/>
      <c r="JF83" s="239"/>
      <c r="JG83" s="239"/>
      <c r="JH83" s="239"/>
      <c r="JI83" s="239"/>
      <c r="JJ83" s="239"/>
      <c r="JK83" s="239"/>
      <c r="JL83" s="239"/>
      <c r="JM83" s="239"/>
      <c r="JN83" s="239"/>
      <c r="JO83" s="239"/>
      <c r="JP83" s="239"/>
      <c r="JQ83" s="239"/>
      <c r="JR83" s="239"/>
      <c r="JS83" s="239"/>
      <c r="JT83" s="239"/>
      <c r="JU83" s="239"/>
      <c r="JV83" s="239"/>
      <c r="JW83" s="239"/>
      <c r="JX83" s="239"/>
      <c r="JY83" s="239"/>
      <c r="JZ83" s="239"/>
      <c r="KA83" s="239"/>
      <c r="KB83" s="239"/>
      <c r="KC83" s="239"/>
      <c r="KD83" s="239"/>
      <c r="KE83" s="239"/>
      <c r="KF83" s="239"/>
      <c r="KG83" s="239"/>
      <c r="KH83" s="239"/>
      <c r="KI83" s="239"/>
      <c r="KJ83" s="239"/>
      <c r="KK83" s="239"/>
      <c r="KL83" s="239"/>
      <c r="KM83" s="239"/>
      <c r="KN83" s="239"/>
      <c r="KO83" s="239"/>
      <c r="KP83" s="239"/>
      <c r="KQ83" s="239"/>
      <c r="KR83" s="239"/>
      <c r="KS83" s="239"/>
      <c r="KT83" s="239"/>
      <c r="KU83" s="239"/>
      <c r="KV83" s="239"/>
      <c r="KW83" s="239"/>
      <c r="KX83" s="239"/>
      <c r="KY83" s="239"/>
      <c r="KZ83" s="239"/>
      <c r="LA83" s="239"/>
      <c r="LB83" s="239"/>
      <c r="LC83" s="239"/>
      <c r="LD83" s="239"/>
      <c r="LE83" s="239"/>
      <c r="LF83" s="239"/>
      <c r="LG83" s="239"/>
      <c r="LH83" s="239"/>
      <c r="LI83" s="239"/>
      <c r="LJ83" s="239"/>
      <c r="LK83" s="239"/>
      <c r="LL83" s="239"/>
      <c r="LM83" s="239"/>
      <c r="LN83" s="239"/>
      <c r="LO83" s="239"/>
      <c r="LP83" s="239"/>
      <c r="LQ83" s="239"/>
      <c r="LR83" s="239"/>
      <c r="LS83" s="239"/>
      <c r="LT83" s="239"/>
      <c r="LU83" s="239"/>
      <c r="LV83" s="239"/>
      <c r="LW83" s="239"/>
      <c r="LX83" s="239"/>
      <c r="LY83" s="239"/>
      <c r="LZ83" s="239"/>
      <c r="MA83" s="239"/>
      <c r="MB83" s="239"/>
      <c r="MC83" s="239"/>
      <c r="MD83" s="239"/>
      <c r="ME83" s="239"/>
      <c r="MF83" s="239"/>
      <c r="MG83" s="239"/>
      <c r="MH83" s="239"/>
      <c r="MI83" s="239"/>
      <c r="MJ83" s="239"/>
      <c r="MK83" s="239"/>
      <c r="ML83" s="239"/>
      <c r="MM83" s="239"/>
      <c r="MN83" s="239"/>
      <c r="MO83" s="239"/>
      <c r="MP83" s="239"/>
      <c r="MQ83" s="239"/>
      <c r="MR83" s="239"/>
      <c r="MS83" s="239"/>
      <c r="MT83" s="239"/>
      <c r="MU83" s="239"/>
      <c r="MV83" s="239"/>
      <c r="MW83" s="239"/>
      <c r="MX83" s="239"/>
      <c r="MY83" s="239"/>
      <c r="MZ83" s="239"/>
      <c r="NA83" s="239"/>
      <c r="NB83" s="239"/>
      <c r="NC83" s="239"/>
      <c r="ND83" s="239"/>
      <c r="NE83" s="239"/>
      <c r="NF83" s="239"/>
      <c r="NG83" s="239"/>
      <c r="NH83" s="239"/>
      <c r="NI83" s="239"/>
      <c r="NJ83" s="239"/>
      <c r="NK83" s="239"/>
      <c r="NL83" s="239"/>
      <c r="NM83" s="239"/>
      <c r="NN83" s="239"/>
      <c r="NO83" s="239"/>
      <c r="NP83" s="239"/>
      <c r="NQ83" s="239"/>
      <c r="NR83" s="239"/>
      <c r="NS83" s="239"/>
      <c r="NT83" s="239"/>
      <c r="NU83" s="239"/>
      <c r="NV83" s="239"/>
      <c r="NW83" s="239"/>
      <c r="NX83" s="239"/>
      <c r="NY83" s="239"/>
      <c r="NZ83" s="239"/>
      <c r="OA83" s="239"/>
      <c r="OB83" s="239"/>
      <c r="OC83" s="239"/>
      <c r="OD83" s="239"/>
      <c r="OE83" s="239"/>
      <c r="OF83" s="239"/>
      <c r="OG83" s="239"/>
      <c r="OH83" s="239"/>
      <c r="OI83" s="239"/>
      <c r="OJ83" s="239"/>
      <c r="OK83" s="239"/>
      <c r="OL83" s="239"/>
      <c r="OM83" s="239"/>
      <c r="ON83" s="239"/>
      <c r="OO83" s="239"/>
      <c r="OP83" s="239"/>
      <c r="OQ83" s="239"/>
      <c r="OR83" s="239"/>
      <c r="OS83" s="239"/>
      <c r="OT83" s="239"/>
      <c r="OU83" s="239"/>
      <c r="OV83" s="239"/>
      <c r="OW83" s="239"/>
      <c r="OX83" s="239"/>
      <c r="OY83" s="239"/>
      <c r="OZ83" s="239"/>
      <c r="PA83" s="239"/>
      <c r="PB83" s="239"/>
      <c r="PC83" s="239"/>
      <c r="PD83" s="239"/>
      <c r="PE83" s="239"/>
      <c r="PF83" s="239"/>
      <c r="PG83" s="239"/>
      <c r="PH83" s="239"/>
      <c r="PI83" s="239"/>
      <c r="PJ83" s="239"/>
      <c r="PK83" s="239"/>
      <c r="PL83" s="239"/>
      <c r="PM83" s="239"/>
      <c r="PN83" s="239"/>
      <c r="PO83" s="239"/>
      <c r="PP83" s="239"/>
      <c r="PQ83" s="239"/>
      <c r="PR83" s="239"/>
      <c r="PS83" s="239"/>
      <c r="PT83" s="239"/>
      <c r="PU83" s="239"/>
      <c r="PV83" s="239"/>
      <c r="PW83" s="239"/>
      <c r="PX83" s="239"/>
      <c r="PY83" s="239"/>
      <c r="PZ83" s="239"/>
      <c r="QA83" s="239"/>
      <c r="QB83" s="239"/>
      <c r="QC83" s="239"/>
      <c r="QD83" s="239"/>
      <c r="QE83" s="239"/>
      <c r="QF83" s="239"/>
      <c r="QG83" s="239"/>
      <c r="QH83" s="239"/>
      <c r="QI83" s="239"/>
      <c r="QJ83" s="239"/>
      <c r="QK83" s="239"/>
      <c r="QL83" s="239"/>
      <c r="QM83" s="239"/>
      <c r="QN83" s="239"/>
      <c r="QO83" s="239"/>
      <c r="QP83" s="239"/>
      <c r="QQ83" s="239"/>
      <c r="QR83" s="239"/>
      <c r="QS83" s="239"/>
      <c r="QT83" s="239"/>
      <c r="QU83" s="239"/>
      <c r="QV83" s="239"/>
      <c r="QW83" s="239"/>
      <c r="QX83" s="239"/>
      <c r="QY83" s="239"/>
      <c r="QZ83" s="239"/>
      <c r="RA83" s="239"/>
      <c r="RB83" s="239"/>
      <c r="RC83" s="239"/>
      <c r="RD83" s="239"/>
      <c r="RE83" s="239"/>
      <c r="RF83" s="239"/>
      <c r="RG83" s="239"/>
      <c r="RH83" s="239"/>
      <c r="RI83" s="239"/>
      <c r="RJ83" s="239"/>
      <c r="RK83" s="239"/>
      <c r="RL83" s="239"/>
      <c r="RM83" s="239"/>
      <c r="RN83" s="239"/>
      <c r="RO83" s="239"/>
      <c r="RP83" s="239"/>
      <c r="RQ83" s="239"/>
      <c r="RR83" s="239"/>
      <c r="RS83" s="239"/>
      <c r="RT83" s="239"/>
      <c r="RU83" s="239"/>
      <c r="RV83" s="239"/>
      <c r="RW83" s="239"/>
      <c r="RX83" s="239"/>
      <c r="RY83" s="239"/>
      <c r="RZ83" s="239"/>
      <c r="SA83" s="239"/>
      <c r="SB83" s="239"/>
      <c r="SC83" s="239"/>
      <c r="SD83" s="239"/>
      <c r="SE83" s="239"/>
      <c r="SF83" s="239"/>
      <c r="SG83" s="239"/>
      <c r="SH83" s="239"/>
      <c r="SI83" s="239"/>
      <c r="SJ83" s="239"/>
      <c r="SK83" s="239"/>
      <c r="SL83" s="239"/>
      <c r="SM83" s="239"/>
      <c r="SN83" s="239"/>
      <c r="SO83" s="239"/>
      <c r="SP83" s="239"/>
      <c r="SQ83" s="239"/>
      <c r="SR83" s="239"/>
      <c r="SS83" s="239"/>
      <c r="ST83" s="239"/>
      <c r="SU83" s="239"/>
      <c r="SV83" s="239"/>
      <c r="SW83" s="239"/>
      <c r="SX83" s="239"/>
      <c r="SY83" s="239"/>
      <c r="SZ83" s="239"/>
      <c r="TA83" s="239"/>
      <c r="TB83" s="239"/>
      <c r="TC83" s="239"/>
      <c r="TD83" s="239"/>
      <c r="TE83" s="239"/>
      <c r="TF83" s="239"/>
      <c r="TG83" s="239"/>
      <c r="TH83" s="239"/>
      <c r="TI83" s="239"/>
      <c r="TJ83" s="239"/>
      <c r="TK83" s="239"/>
      <c r="TL83" s="239"/>
      <c r="TM83" s="239"/>
      <c r="TN83" s="239"/>
      <c r="TO83" s="239"/>
      <c r="TP83" s="239"/>
      <c r="TQ83" s="239"/>
      <c r="TR83" s="239"/>
      <c r="TS83" s="239"/>
      <c r="TT83" s="239"/>
      <c r="TU83" s="239"/>
      <c r="TV83" s="239"/>
      <c r="TW83" s="239"/>
      <c r="TX83" s="239"/>
      <c r="TY83" s="239"/>
      <c r="TZ83" s="239"/>
      <c r="UA83" s="239"/>
      <c r="UB83" s="239"/>
      <c r="UC83" s="239"/>
      <c r="UD83" s="239"/>
      <c r="UE83" s="239"/>
      <c r="UF83" s="239"/>
      <c r="UG83" s="240"/>
    </row>
    <row r="84" spans="1:553" s="236" customFormat="1" ht="44.25" customHeight="1">
      <c r="A84" s="356" t="s">
        <v>30</v>
      </c>
      <c r="B84" s="398" t="s">
        <v>31</v>
      </c>
      <c r="C84" s="1443" t="s">
        <v>879</v>
      </c>
      <c r="D84" s="1389"/>
      <c r="E84" s="1389"/>
      <c r="F84" s="1390"/>
      <c r="G84" s="386" t="s">
        <v>34</v>
      </c>
      <c r="H84" s="370"/>
      <c r="I84" s="422">
        <f>-2*(7.3+10.6)*2.2*0.22</f>
        <v>-17.327200000000001</v>
      </c>
      <c r="J84" s="368">
        <v>1748702</v>
      </c>
      <c r="K84" s="371"/>
      <c r="L84" s="391">
        <f t="shared" si="17"/>
        <v>-30300109</v>
      </c>
      <c r="M84" s="395"/>
      <c r="N84" s="395"/>
      <c r="O84" s="366"/>
      <c r="P84" s="396"/>
      <c r="Q84" s="473"/>
      <c r="R84" s="1039"/>
      <c r="S84" s="302"/>
      <c r="T84" s="303"/>
      <c r="U84" s="304"/>
      <c r="V84" s="304"/>
      <c r="W84" s="304"/>
      <c r="X84" s="304"/>
      <c r="Y84" s="304"/>
      <c r="Z84" s="304"/>
      <c r="AA84" s="304"/>
      <c r="AB84" s="304"/>
      <c r="AC84" s="449"/>
      <c r="AD84" s="449"/>
      <c r="AE84" s="449"/>
      <c r="AF84" s="449"/>
      <c r="AG84" s="452"/>
      <c r="AH84" s="452"/>
      <c r="AI84" s="452"/>
      <c r="AJ84" s="452"/>
      <c r="AK84" s="452"/>
      <c r="AL84" s="242"/>
      <c r="AM84" s="241"/>
      <c r="AN84" s="241"/>
      <c r="AO84" s="241"/>
      <c r="AP84" s="241"/>
      <c r="AQ84" s="238"/>
      <c r="AR84" s="238"/>
      <c r="AS84" s="238"/>
      <c r="AT84" s="238"/>
      <c r="AU84" s="238"/>
      <c r="AV84" s="238"/>
      <c r="AW84" s="238"/>
      <c r="AX84" s="238"/>
      <c r="AY84" s="238"/>
      <c r="AZ84" s="238"/>
      <c r="BA84" s="238"/>
      <c r="BB84" s="238"/>
      <c r="BC84" s="238"/>
      <c r="BD84" s="238"/>
      <c r="BE84" s="238"/>
      <c r="BF84" s="238"/>
      <c r="BG84" s="238"/>
      <c r="BH84" s="238"/>
      <c r="BI84" s="238"/>
      <c r="BJ84" s="238"/>
      <c r="BK84" s="238"/>
      <c r="BL84" s="238"/>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9"/>
      <c r="CP84" s="239"/>
      <c r="CQ84" s="239"/>
      <c r="CR84" s="239"/>
      <c r="CS84" s="239"/>
      <c r="CT84" s="239"/>
      <c r="CU84" s="239"/>
      <c r="CV84" s="239"/>
      <c r="CW84" s="239"/>
      <c r="CX84" s="239"/>
      <c r="CY84" s="239"/>
      <c r="CZ84" s="239"/>
      <c r="DA84" s="239"/>
      <c r="DB84" s="239"/>
      <c r="DC84" s="239"/>
      <c r="DD84" s="239"/>
      <c r="DE84" s="239"/>
      <c r="DF84" s="239"/>
      <c r="DG84" s="239"/>
      <c r="DH84" s="239"/>
      <c r="DI84" s="239"/>
      <c r="DJ84" s="239"/>
      <c r="DK84" s="239"/>
      <c r="DL84" s="239"/>
      <c r="DM84" s="239"/>
      <c r="DN84" s="239"/>
      <c r="DO84" s="239"/>
      <c r="DP84" s="239"/>
      <c r="DQ84" s="239"/>
      <c r="DR84" s="239"/>
      <c r="DS84" s="239"/>
      <c r="DT84" s="239"/>
      <c r="DU84" s="239"/>
      <c r="DV84" s="239"/>
      <c r="DW84" s="239"/>
      <c r="DX84" s="239"/>
      <c r="DY84" s="239"/>
      <c r="DZ84" s="239"/>
      <c r="EA84" s="239"/>
      <c r="EB84" s="239"/>
      <c r="EC84" s="239"/>
      <c r="ED84" s="239"/>
      <c r="EE84" s="239"/>
      <c r="EF84" s="239"/>
      <c r="EG84" s="239"/>
      <c r="EH84" s="239"/>
      <c r="EI84" s="239"/>
      <c r="EJ84" s="239"/>
      <c r="EK84" s="239"/>
      <c r="EL84" s="239"/>
      <c r="EM84" s="239"/>
      <c r="EN84" s="239"/>
      <c r="EO84" s="239"/>
      <c r="EP84" s="239"/>
      <c r="EQ84" s="239"/>
      <c r="ER84" s="239"/>
      <c r="ES84" s="239"/>
      <c r="ET84" s="239"/>
      <c r="EU84" s="239"/>
      <c r="EV84" s="239"/>
      <c r="EW84" s="239"/>
      <c r="EX84" s="239"/>
      <c r="EY84" s="239"/>
      <c r="EZ84" s="239"/>
      <c r="FA84" s="239"/>
      <c r="FB84" s="239"/>
      <c r="FC84" s="239"/>
      <c r="FD84" s="239"/>
      <c r="FE84" s="239"/>
      <c r="FF84" s="239"/>
      <c r="FG84" s="239"/>
      <c r="FH84" s="239"/>
      <c r="FI84" s="239"/>
      <c r="FJ84" s="239"/>
      <c r="FK84" s="239"/>
      <c r="FL84" s="239"/>
      <c r="FM84" s="239"/>
      <c r="FN84" s="239"/>
      <c r="FO84" s="239"/>
      <c r="FP84" s="239"/>
      <c r="FQ84" s="239"/>
      <c r="FR84" s="239"/>
      <c r="FS84" s="239"/>
      <c r="FT84" s="239"/>
      <c r="FU84" s="239"/>
      <c r="FV84" s="239"/>
      <c r="FW84" s="239"/>
      <c r="FX84" s="239"/>
      <c r="FY84" s="239"/>
      <c r="FZ84" s="239"/>
      <c r="GA84" s="239"/>
      <c r="GB84" s="239"/>
      <c r="GC84" s="239"/>
      <c r="GD84" s="239"/>
      <c r="GE84" s="239"/>
      <c r="GF84" s="239"/>
      <c r="GG84" s="239"/>
      <c r="GH84" s="239"/>
      <c r="GI84" s="239"/>
      <c r="GJ84" s="239"/>
      <c r="GK84" s="239"/>
      <c r="GL84" s="239"/>
      <c r="GM84" s="239"/>
      <c r="GN84" s="239"/>
      <c r="GO84" s="239"/>
      <c r="GP84" s="239"/>
      <c r="GQ84" s="239"/>
      <c r="GR84" s="239"/>
      <c r="GS84" s="239"/>
      <c r="GT84" s="239"/>
      <c r="GU84" s="239"/>
      <c r="GV84" s="239"/>
      <c r="GW84" s="239"/>
      <c r="GX84" s="239"/>
      <c r="GY84" s="239"/>
      <c r="GZ84" s="239"/>
      <c r="HA84" s="239"/>
      <c r="HB84" s="239"/>
      <c r="HC84" s="239"/>
      <c r="HD84" s="239"/>
      <c r="HE84" s="239"/>
      <c r="HF84" s="239"/>
      <c r="HG84" s="239"/>
      <c r="HH84" s="239"/>
      <c r="HI84" s="239"/>
      <c r="HJ84" s="239"/>
      <c r="HK84" s="239"/>
      <c r="HL84" s="239"/>
      <c r="HM84" s="239"/>
      <c r="HN84" s="239"/>
      <c r="HO84" s="239"/>
      <c r="HP84" s="239"/>
      <c r="HQ84" s="239"/>
      <c r="HR84" s="239"/>
      <c r="HS84" s="239"/>
      <c r="HT84" s="239"/>
      <c r="HU84" s="239"/>
      <c r="HV84" s="239"/>
      <c r="HW84" s="239"/>
      <c r="HX84" s="239"/>
      <c r="HY84" s="239"/>
      <c r="HZ84" s="239"/>
      <c r="IA84" s="239"/>
      <c r="IB84" s="239"/>
      <c r="IC84" s="239"/>
      <c r="ID84" s="239"/>
      <c r="IE84" s="239"/>
      <c r="IF84" s="239"/>
      <c r="IG84" s="239"/>
      <c r="IH84" s="239"/>
      <c r="II84" s="239"/>
      <c r="IJ84" s="239"/>
      <c r="IK84" s="239"/>
      <c r="IL84" s="239"/>
      <c r="IM84" s="239"/>
      <c r="IN84" s="239"/>
      <c r="IO84" s="239"/>
      <c r="IP84" s="239"/>
      <c r="IQ84" s="239"/>
      <c r="IR84" s="239"/>
      <c r="IS84" s="239"/>
      <c r="IT84" s="239"/>
      <c r="IU84" s="239"/>
      <c r="IV84" s="239"/>
      <c r="IW84" s="239"/>
      <c r="IX84" s="239"/>
      <c r="IY84" s="239"/>
      <c r="IZ84" s="239"/>
      <c r="JA84" s="239"/>
      <c r="JB84" s="239"/>
      <c r="JC84" s="239"/>
      <c r="JD84" s="239"/>
      <c r="JE84" s="239"/>
      <c r="JF84" s="239"/>
      <c r="JG84" s="239"/>
      <c r="JH84" s="239"/>
      <c r="JI84" s="239"/>
      <c r="JJ84" s="239"/>
      <c r="JK84" s="239"/>
      <c r="JL84" s="239"/>
      <c r="JM84" s="239"/>
      <c r="JN84" s="239"/>
      <c r="JO84" s="239"/>
      <c r="JP84" s="239"/>
      <c r="JQ84" s="239"/>
      <c r="JR84" s="239"/>
      <c r="JS84" s="239"/>
      <c r="JT84" s="239"/>
      <c r="JU84" s="239"/>
      <c r="JV84" s="239"/>
      <c r="JW84" s="239"/>
      <c r="JX84" s="239"/>
      <c r="JY84" s="239"/>
      <c r="JZ84" s="239"/>
      <c r="KA84" s="239"/>
      <c r="KB84" s="239"/>
      <c r="KC84" s="239"/>
      <c r="KD84" s="239"/>
      <c r="KE84" s="239"/>
      <c r="KF84" s="239"/>
      <c r="KG84" s="239"/>
      <c r="KH84" s="239"/>
      <c r="KI84" s="239"/>
      <c r="KJ84" s="239"/>
      <c r="KK84" s="239"/>
      <c r="KL84" s="239"/>
      <c r="KM84" s="239"/>
      <c r="KN84" s="239"/>
      <c r="KO84" s="239"/>
      <c r="KP84" s="239"/>
      <c r="KQ84" s="239"/>
      <c r="KR84" s="239"/>
      <c r="KS84" s="239"/>
      <c r="KT84" s="239"/>
      <c r="KU84" s="239"/>
      <c r="KV84" s="239"/>
      <c r="KW84" s="239"/>
      <c r="KX84" s="239"/>
      <c r="KY84" s="239"/>
      <c r="KZ84" s="239"/>
      <c r="LA84" s="239"/>
      <c r="LB84" s="239"/>
      <c r="LC84" s="239"/>
      <c r="LD84" s="239"/>
      <c r="LE84" s="239"/>
      <c r="LF84" s="239"/>
      <c r="LG84" s="239"/>
      <c r="LH84" s="239"/>
      <c r="LI84" s="239"/>
      <c r="LJ84" s="239"/>
      <c r="LK84" s="239"/>
      <c r="LL84" s="239"/>
      <c r="LM84" s="239"/>
      <c r="LN84" s="239"/>
      <c r="LO84" s="239"/>
      <c r="LP84" s="239"/>
      <c r="LQ84" s="239"/>
      <c r="LR84" s="239"/>
      <c r="LS84" s="239"/>
      <c r="LT84" s="239"/>
      <c r="LU84" s="239"/>
      <c r="LV84" s="239"/>
      <c r="LW84" s="239"/>
      <c r="LX84" s="239"/>
      <c r="LY84" s="239"/>
      <c r="LZ84" s="239"/>
      <c r="MA84" s="239"/>
      <c r="MB84" s="239"/>
      <c r="MC84" s="239"/>
      <c r="MD84" s="239"/>
      <c r="ME84" s="239"/>
      <c r="MF84" s="239"/>
      <c r="MG84" s="239"/>
      <c r="MH84" s="239"/>
      <c r="MI84" s="239"/>
      <c r="MJ84" s="239"/>
      <c r="MK84" s="239"/>
      <c r="ML84" s="239"/>
      <c r="MM84" s="239"/>
      <c r="MN84" s="239"/>
      <c r="MO84" s="239"/>
      <c r="MP84" s="239"/>
      <c r="MQ84" s="239"/>
      <c r="MR84" s="239"/>
      <c r="MS84" s="239"/>
      <c r="MT84" s="239"/>
      <c r="MU84" s="239"/>
      <c r="MV84" s="239"/>
      <c r="MW84" s="239"/>
      <c r="MX84" s="239"/>
      <c r="MY84" s="239"/>
      <c r="MZ84" s="239"/>
      <c r="NA84" s="239"/>
      <c r="NB84" s="239"/>
      <c r="NC84" s="239"/>
      <c r="ND84" s="239"/>
      <c r="NE84" s="239"/>
      <c r="NF84" s="239"/>
      <c r="NG84" s="239"/>
      <c r="NH84" s="239"/>
      <c r="NI84" s="239"/>
      <c r="NJ84" s="239"/>
      <c r="NK84" s="239"/>
      <c r="NL84" s="239"/>
      <c r="NM84" s="239"/>
      <c r="NN84" s="239"/>
      <c r="NO84" s="239"/>
      <c r="NP84" s="239"/>
      <c r="NQ84" s="239"/>
      <c r="NR84" s="239"/>
      <c r="NS84" s="239"/>
      <c r="NT84" s="239"/>
      <c r="NU84" s="239"/>
      <c r="NV84" s="239"/>
      <c r="NW84" s="239"/>
      <c r="NX84" s="239"/>
      <c r="NY84" s="239"/>
      <c r="NZ84" s="239"/>
      <c r="OA84" s="239"/>
      <c r="OB84" s="239"/>
      <c r="OC84" s="239"/>
      <c r="OD84" s="239"/>
      <c r="OE84" s="239"/>
      <c r="OF84" s="239"/>
      <c r="OG84" s="239"/>
      <c r="OH84" s="239"/>
      <c r="OI84" s="239"/>
      <c r="OJ84" s="239"/>
      <c r="OK84" s="239"/>
      <c r="OL84" s="239"/>
      <c r="OM84" s="239"/>
      <c r="ON84" s="239"/>
      <c r="OO84" s="239"/>
      <c r="OP84" s="239"/>
      <c r="OQ84" s="239"/>
      <c r="OR84" s="239"/>
      <c r="OS84" s="239"/>
      <c r="OT84" s="239"/>
      <c r="OU84" s="239"/>
      <c r="OV84" s="239"/>
      <c r="OW84" s="239"/>
      <c r="OX84" s="239"/>
      <c r="OY84" s="239"/>
      <c r="OZ84" s="239"/>
      <c r="PA84" s="239"/>
      <c r="PB84" s="239"/>
      <c r="PC84" s="239"/>
      <c r="PD84" s="239"/>
      <c r="PE84" s="239"/>
      <c r="PF84" s="239"/>
      <c r="PG84" s="239"/>
      <c r="PH84" s="239"/>
      <c r="PI84" s="239"/>
      <c r="PJ84" s="239"/>
      <c r="PK84" s="239"/>
      <c r="PL84" s="239"/>
      <c r="PM84" s="239"/>
      <c r="PN84" s="239"/>
      <c r="PO84" s="239"/>
      <c r="PP84" s="239"/>
      <c r="PQ84" s="239"/>
      <c r="PR84" s="239"/>
      <c r="PS84" s="239"/>
      <c r="PT84" s="239"/>
      <c r="PU84" s="239"/>
      <c r="PV84" s="239"/>
      <c r="PW84" s="239"/>
      <c r="PX84" s="239"/>
      <c r="PY84" s="239"/>
      <c r="PZ84" s="239"/>
      <c r="QA84" s="239"/>
      <c r="QB84" s="239"/>
      <c r="QC84" s="239"/>
      <c r="QD84" s="239"/>
      <c r="QE84" s="239"/>
      <c r="QF84" s="239"/>
      <c r="QG84" s="239"/>
      <c r="QH84" s="239"/>
      <c r="QI84" s="239"/>
      <c r="QJ84" s="239"/>
      <c r="QK84" s="239"/>
      <c r="QL84" s="239"/>
      <c r="QM84" s="239"/>
      <c r="QN84" s="239"/>
      <c r="QO84" s="239"/>
      <c r="QP84" s="239"/>
      <c r="QQ84" s="239"/>
      <c r="QR84" s="239"/>
      <c r="QS84" s="239"/>
      <c r="QT84" s="239"/>
      <c r="QU84" s="239"/>
      <c r="QV84" s="239"/>
      <c r="QW84" s="239"/>
      <c r="QX84" s="239"/>
      <c r="QY84" s="239"/>
      <c r="QZ84" s="239"/>
      <c r="RA84" s="239"/>
      <c r="RB84" s="239"/>
      <c r="RC84" s="239"/>
      <c r="RD84" s="239"/>
      <c r="RE84" s="239"/>
      <c r="RF84" s="239"/>
      <c r="RG84" s="239"/>
      <c r="RH84" s="239"/>
      <c r="RI84" s="239"/>
      <c r="RJ84" s="239"/>
      <c r="RK84" s="239"/>
      <c r="RL84" s="239"/>
      <c r="RM84" s="239"/>
      <c r="RN84" s="239"/>
      <c r="RO84" s="239"/>
      <c r="RP84" s="239"/>
      <c r="RQ84" s="239"/>
      <c r="RR84" s="239"/>
      <c r="RS84" s="239"/>
      <c r="RT84" s="239"/>
      <c r="RU84" s="239"/>
      <c r="RV84" s="239"/>
      <c r="RW84" s="239"/>
      <c r="RX84" s="239"/>
      <c r="RY84" s="239"/>
      <c r="RZ84" s="239"/>
      <c r="SA84" s="239"/>
      <c r="SB84" s="239"/>
      <c r="SC84" s="239"/>
      <c r="SD84" s="239"/>
      <c r="SE84" s="239"/>
      <c r="SF84" s="239"/>
      <c r="SG84" s="239"/>
      <c r="SH84" s="239"/>
      <c r="SI84" s="239"/>
      <c r="SJ84" s="239"/>
      <c r="SK84" s="239"/>
      <c r="SL84" s="239"/>
      <c r="SM84" s="239"/>
      <c r="SN84" s="239"/>
      <c r="SO84" s="239"/>
      <c r="SP84" s="239"/>
      <c r="SQ84" s="239"/>
      <c r="SR84" s="239"/>
      <c r="SS84" s="239"/>
      <c r="ST84" s="239"/>
      <c r="SU84" s="239"/>
      <c r="SV84" s="239"/>
      <c r="SW84" s="239"/>
      <c r="SX84" s="239"/>
      <c r="SY84" s="239"/>
      <c r="SZ84" s="239"/>
      <c r="TA84" s="239"/>
      <c r="TB84" s="239"/>
      <c r="TC84" s="239"/>
      <c r="TD84" s="239"/>
      <c r="TE84" s="239"/>
      <c r="TF84" s="239"/>
      <c r="TG84" s="239"/>
      <c r="TH84" s="239"/>
      <c r="TI84" s="239"/>
      <c r="TJ84" s="239"/>
      <c r="TK84" s="239"/>
      <c r="TL84" s="239"/>
      <c r="TM84" s="239"/>
      <c r="TN84" s="239"/>
      <c r="TO84" s="239"/>
      <c r="TP84" s="239"/>
      <c r="TQ84" s="239"/>
      <c r="TR84" s="239"/>
      <c r="TS84" s="239"/>
      <c r="TT84" s="239"/>
      <c r="TU84" s="239"/>
      <c r="TV84" s="239"/>
      <c r="TW84" s="239"/>
      <c r="TX84" s="239"/>
      <c r="TY84" s="239"/>
      <c r="TZ84" s="239"/>
      <c r="UA84" s="239"/>
      <c r="UB84" s="239"/>
      <c r="UC84" s="239"/>
      <c r="UD84" s="239"/>
      <c r="UE84" s="239"/>
      <c r="UF84" s="239"/>
      <c r="UG84" s="240"/>
    </row>
    <row r="85" spans="1:553" s="236" customFormat="1" ht="44.25" customHeight="1">
      <c r="A85" s="356" t="s">
        <v>30</v>
      </c>
      <c r="B85" s="398">
        <v>203</v>
      </c>
      <c r="C85" s="1443" t="s">
        <v>1274</v>
      </c>
      <c r="D85" s="1389"/>
      <c r="E85" s="1389"/>
      <c r="F85" s="1390"/>
      <c r="G85" s="386" t="s">
        <v>33</v>
      </c>
      <c r="H85" s="370"/>
      <c r="I85" s="422">
        <f>2*(7.3+10.6)*2.2/1.7</f>
        <v>46.329411764705888</v>
      </c>
      <c r="J85" s="368">
        <v>815000</v>
      </c>
      <c r="K85" s="371"/>
      <c r="L85" s="391">
        <f t="shared" si="17"/>
        <v>37758471</v>
      </c>
      <c r="M85" s="395"/>
      <c r="N85" s="395"/>
      <c r="O85" s="366"/>
      <c r="P85" s="396"/>
      <c r="Q85" s="473"/>
      <c r="R85" s="1039"/>
      <c r="S85" s="305"/>
      <c r="T85" s="303"/>
      <c r="U85" s="306"/>
      <c r="V85" s="307"/>
      <c r="W85" s="306"/>
      <c r="X85" s="306"/>
      <c r="Y85" s="306"/>
      <c r="Z85" s="306"/>
      <c r="AA85" s="306"/>
      <c r="AB85" s="306"/>
      <c r="AC85" s="449"/>
      <c r="AD85" s="449"/>
      <c r="AE85" s="449"/>
      <c r="AF85" s="449"/>
      <c r="AG85" s="452"/>
      <c r="AH85" s="452"/>
      <c r="AI85" s="452"/>
      <c r="AJ85" s="452"/>
      <c r="AK85" s="452"/>
      <c r="AL85" s="242"/>
      <c r="AM85" s="241"/>
      <c r="AN85" s="241"/>
      <c r="AO85" s="241"/>
      <c r="AP85" s="241"/>
      <c r="AQ85" s="238"/>
      <c r="AR85" s="238"/>
      <c r="AS85" s="238"/>
      <c r="AT85" s="238"/>
      <c r="AU85" s="238"/>
      <c r="AV85" s="238"/>
      <c r="AW85" s="238"/>
      <c r="AX85" s="238"/>
      <c r="AY85" s="238"/>
      <c r="AZ85" s="238"/>
      <c r="BA85" s="238"/>
      <c r="BB85" s="238"/>
      <c r="BC85" s="238"/>
      <c r="BD85" s="238"/>
      <c r="BE85" s="238"/>
      <c r="BF85" s="238"/>
      <c r="BG85" s="238"/>
      <c r="BH85" s="238"/>
      <c r="BI85" s="238"/>
      <c r="BJ85" s="238"/>
      <c r="BK85" s="238"/>
      <c r="BL85" s="238"/>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9"/>
      <c r="CP85" s="239"/>
      <c r="CQ85" s="239"/>
      <c r="CR85" s="239"/>
      <c r="CS85" s="239"/>
      <c r="CT85" s="239"/>
      <c r="CU85" s="239"/>
      <c r="CV85" s="239"/>
      <c r="CW85" s="239"/>
      <c r="CX85" s="239"/>
      <c r="CY85" s="239"/>
      <c r="CZ85" s="239"/>
      <c r="DA85" s="239"/>
      <c r="DB85" s="239"/>
      <c r="DC85" s="239"/>
      <c r="DD85" s="239"/>
      <c r="DE85" s="239"/>
      <c r="DF85" s="239"/>
      <c r="DG85" s="239"/>
      <c r="DH85" s="239"/>
      <c r="DI85" s="239"/>
      <c r="DJ85" s="239"/>
      <c r="DK85" s="239"/>
      <c r="DL85" s="239"/>
      <c r="DM85" s="239"/>
      <c r="DN85" s="239"/>
      <c r="DO85" s="239"/>
      <c r="DP85" s="239"/>
      <c r="DQ85" s="239"/>
      <c r="DR85" s="239"/>
      <c r="DS85" s="239"/>
      <c r="DT85" s="239"/>
      <c r="DU85" s="239"/>
      <c r="DV85" s="239"/>
      <c r="DW85" s="239"/>
      <c r="DX85" s="239"/>
      <c r="DY85" s="239"/>
      <c r="DZ85" s="239"/>
      <c r="EA85" s="239"/>
      <c r="EB85" s="239"/>
      <c r="EC85" s="239"/>
      <c r="ED85" s="239"/>
      <c r="EE85" s="239"/>
      <c r="EF85" s="239"/>
      <c r="EG85" s="239"/>
      <c r="EH85" s="239"/>
      <c r="EI85" s="239"/>
      <c r="EJ85" s="239"/>
      <c r="EK85" s="239"/>
      <c r="EL85" s="239"/>
      <c r="EM85" s="239"/>
      <c r="EN85" s="239"/>
      <c r="EO85" s="239"/>
      <c r="EP85" s="239"/>
      <c r="EQ85" s="239"/>
      <c r="ER85" s="239"/>
      <c r="ES85" s="239"/>
      <c r="ET85" s="239"/>
      <c r="EU85" s="239"/>
      <c r="EV85" s="239"/>
      <c r="EW85" s="239"/>
      <c r="EX85" s="239"/>
      <c r="EY85" s="239"/>
      <c r="EZ85" s="239"/>
      <c r="FA85" s="239"/>
      <c r="FB85" s="239"/>
      <c r="FC85" s="239"/>
      <c r="FD85" s="239"/>
      <c r="FE85" s="239"/>
      <c r="FF85" s="239"/>
      <c r="FG85" s="239"/>
      <c r="FH85" s="239"/>
      <c r="FI85" s="239"/>
      <c r="FJ85" s="239"/>
      <c r="FK85" s="239"/>
      <c r="FL85" s="239"/>
      <c r="FM85" s="239"/>
      <c r="FN85" s="239"/>
      <c r="FO85" s="239"/>
      <c r="FP85" s="239"/>
      <c r="FQ85" s="239"/>
      <c r="FR85" s="239"/>
      <c r="FS85" s="239"/>
      <c r="FT85" s="239"/>
      <c r="FU85" s="239"/>
      <c r="FV85" s="239"/>
      <c r="FW85" s="239"/>
      <c r="FX85" s="239"/>
      <c r="FY85" s="239"/>
      <c r="FZ85" s="239"/>
      <c r="GA85" s="239"/>
      <c r="GB85" s="239"/>
      <c r="GC85" s="239"/>
      <c r="GD85" s="239"/>
      <c r="GE85" s="239"/>
      <c r="GF85" s="239"/>
      <c r="GG85" s="239"/>
      <c r="GH85" s="239"/>
      <c r="GI85" s="239"/>
      <c r="GJ85" s="239"/>
      <c r="GK85" s="239"/>
      <c r="GL85" s="239"/>
      <c r="GM85" s="239"/>
      <c r="GN85" s="239"/>
      <c r="GO85" s="239"/>
      <c r="GP85" s="239"/>
      <c r="GQ85" s="239"/>
      <c r="GR85" s="239"/>
      <c r="GS85" s="239"/>
      <c r="GT85" s="239"/>
      <c r="GU85" s="239"/>
      <c r="GV85" s="239"/>
      <c r="GW85" s="239"/>
      <c r="GX85" s="239"/>
      <c r="GY85" s="239"/>
      <c r="GZ85" s="239"/>
      <c r="HA85" s="239"/>
      <c r="HB85" s="239"/>
      <c r="HC85" s="239"/>
      <c r="HD85" s="239"/>
      <c r="HE85" s="239"/>
      <c r="HF85" s="239"/>
      <c r="HG85" s="239"/>
      <c r="HH85" s="239"/>
      <c r="HI85" s="239"/>
      <c r="HJ85" s="239"/>
      <c r="HK85" s="239"/>
      <c r="HL85" s="239"/>
      <c r="HM85" s="239"/>
      <c r="HN85" s="239"/>
      <c r="HO85" s="239"/>
      <c r="HP85" s="239"/>
      <c r="HQ85" s="239"/>
      <c r="HR85" s="239"/>
      <c r="HS85" s="239"/>
      <c r="HT85" s="239"/>
      <c r="HU85" s="239"/>
      <c r="HV85" s="239"/>
      <c r="HW85" s="239"/>
      <c r="HX85" s="239"/>
      <c r="HY85" s="239"/>
      <c r="HZ85" s="239"/>
      <c r="IA85" s="239"/>
      <c r="IB85" s="239"/>
      <c r="IC85" s="239"/>
      <c r="ID85" s="239"/>
      <c r="IE85" s="239"/>
      <c r="IF85" s="239"/>
      <c r="IG85" s="239"/>
      <c r="IH85" s="239"/>
      <c r="II85" s="239"/>
      <c r="IJ85" s="239"/>
      <c r="IK85" s="239"/>
      <c r="IL85" s="239"/>
      <c r="IM85" s="239"/>
      <c r="IN85" s="239"/>
      <c r="IO85" s="239"/>
      <c r="IP85" s="239"/>
      <c r="IQ85" s="239"/>
      <c r="IR85" s="239"/>
      <c r="IS85" s="239"/>
      <c r="IT85" s="239"/>
      <c r="IU85" s="239"/>
      <c r="IV85" s="239"/>
      <c r="IW85" s="239"/>
      <c r="IX85" s="239"/>
      <c r="IY85" s="239"/>
      <c r="IZ85" s="239"/>
      <c r="JA85" s="239"/>
      <c r="JB85" s="239"/>
      <c r="JC85" s="239"/>
      <c r="JD85" s="239"/>
      <c r="JE85" s="239"/>
      <c r="JF85" s="239"/>
      <c r="JG85" s="239"/>
      <c r="JH85" s="239"/>
      <c r="JI85" s="239"/>
      <c r="JJ85" s="239"/>
      <c r="JK85" s="239"/>
      <c r="JL85" s="239"/>
      <c r="JM85" s="239"/>
      <c r="JN85" s="239"/>
      <c r="JO85" s="239"/>
      <c r="JP85" s="239"/>
      <c r="JQ85" s="239"/>
      <c r="JR85" s="239"/>
      <c r="JS85" s="239"/>
      <c r="JT85" s="239"/>
      <c r="JU85" s="239"/>
      <c r="JV85" s="239"/>
      <c r="JW85" s="239"/>
      <c r="JX85" s="239"/>
      <c r="JY85" s="239"/>
      <c r="JZ85" s="239"/>
      <c r="KA85" s="239"/>
      <c r="KB85" s="239"/>
      <c r="KC85" s="239"/>
      <c r="KD85" s="239"/>
      <c r="KE85" s="239"/>
      <c r="KF85" s="239"/>
      <c r="KG85" s="239"/>
      <c r="KH85" s="239"/>
      <c r="KI85" s="239"/>
      <c r="KJ85" s="239"/>
      <c r="KK85" s="239"/>
      <c r="KL85" s="239"/>
      <c r="KM85" s="239"/>
      <c r="KN85" s="239"/>
      <c r="KO85" s="239"/>
      <c r="KP85" s="239"/>
      <c r="KQ85" s="239"/>
      <c r="KR85" s="239"/>
      <c r="KS85" s="239"/>
      <c r="KT85" s="239"/>
      <c r="KU85" s="239"/>
      <c r="KV85" s="239"/>
      <c r="KW85" s="239"/>
      <c r="KX85" s="239"/>
      <c r="KY85" s="239"/>
      <c r="KZ85" s="239"/>
      <c r="LA85" s="239"/>
      <c r="LB85" s="239"/>
      <c r="LC85" s="239"/>
      <c r="LD85" s="239"/>
      <c r="LE85" s="239"/>
      <c r="LF85" s="239"/>
      <c r="LG85" s="239"/>
      <c r="LH85" s="239"/>
      <c r="LI85" s="239"/>
      <c r="LJ85" s="239"/>
      <c r="LK85" s="239"/>
      <c r="LL85" s="239"/>
      <c r="LM85" s="239"/>
      <c r="LN85" s="239"/>
      <c r="LO85" s="239"/>
      <c r="LP85" s="239"/>
      <c r="LQ85" s="239"/>
      <c r="LR85" s="239"/>
      <c r="LS85" s="239"/>
      <c r="LT85" s="239"/>
      <c r="LU85" s="239"/>
      <c r="LV85" s="239"/>
      <c r="LW85" s="239"/>
      <c r="LX85" s="239"/>
      <c r="LY85" s="239"/>
      <c r="LZ85" s="239"/>
      <c r="MA85" s="239"/>
      <c r="MB85" s="239"/>
      <c r="MC85" s="239"/>
      <c r="MD85" s="239"/>
      <c r="ME85" s="239"/>
      <c r="MF85" s="239"/>
      <c r="MG85" s="239"/>
      <c r="MH85" s="239"/>
      <c r="MI85" s="239"/>
      <c r="MJ85" s="239"/>
      <c r="MK85" s="239"/>
      <c r="ML85" s="239"/>
      <c r="MM85" s="239"/>
      <c r="MN85" s="239"/>
      <c r="MO85" s="239"/>
      <c r="MP85" s="239"/>
      <c r="MQ85" s="239"/>
      <c r="MR85" s="239"/>
      <c r="MS85" s="239"/>
      <c r="MT85" s="239"/>
      <c r="MU85" s="239"/>
      <c r="MV85" s="239"/>
      <c r="MW85" s="239"/>
      <c r="MX85" s="239"/>
      <c r="MY85" s="239"/>
      <c r="MZ85" s="239"/>
      <c r="NA85" s="239"/>
      <c r="NB85" s="239"/>
      <c r="NC85" s="239"/>
      <c r="ND85" s="239"/>
      <c r="NE85" s="239"/>
      <c r="NF85" s="239"/>
      <c r="NG85" s="239"/>
      <c r="NH85" s="239"/>
      <c r="NI85" s="239"/>
      <c r="NJ85" s="239"/>
      <c r="NK85" s="239"/>
      <c r="NL85" s="239"/>
      <c r="NM85" s="239"/>
      <c r="NN85" s="239"/>
      <c r="NO85" s="239"/>
      <c r="NP85" s="239"/>
      <c r="NQ85" s="239"/>
      <c r="NR85" s="239"/>
      <c r="NS85" s="239"/>
      <c r="NT85" s="239"/>
      <c r="NU85" s="239"/>
      <c r="NV85" s="239"/>
      <c r="NW85" s="239"/>
      <c r="NX85" s="239"/>
      <c r="NY85" s="239"/>
      <c r="NZ85" s="239"/>
      <c r="OA85" s="239"/>
      <c r="OB85" s="239"/>
      <c r="OC85" s="239"/>
      <c r="OD85" s="239"/>
      <c r="OE85" s="239"/>
      <c r="OF85" s="239"/>
      <c r="OG85" s="239"/>
      <c r="OH85" s="239"/>
      <c r="OI85" s="239"/>
      <c r="OJ85" s="239"/>
      <c r="OK85" s="239"/>
      <c r="OL85" s="239"/>
      <c r="OM85" s="239"/>
      <c r="ON85" s="239"/>
      <c r="OO85" s="239"/>
      <c r="OP85" s="239"/>
      <c r="OQ85" s="239"/>
      <c r="OR85" s="239"/>
      <c r="OS85" s="239"/>
      <c r="OT85" s="239"/>
      <c r="OU85" s="239"/>
      <c r="OV85" s="239"/>
      <c r="OW85" s="239"/>
      <c r="OX85" s="239"/>
      <c r="OY85" s="239"/>
      <c r="OZ85" s="239"/>
      <c r="PA85" s="239"/>
      <c r="PB85" s="239"/>
      <c r="PC85" s="239"/>
      <c r="PD85" s="239"/>
      <c r="PE85" s="239"/>
      <c r="PF85" s="239"/>
      <c r="PG85" s="239"/>
      <c r="PH85" s="239"/>
      <c r="PI85" s="239"/>
      <c r="PJ85" s="239"/>
      <c r="PK85" s="239"/>
      <c r="PL85" s="239"/>
      <c r="PM85" s="239"/>
      <c r="PN85" s="239"/>
      <c r="PO85" s="239"/>
      <c r="PP85" s="239"/>
      <c r="PQ85" s="239"/>
      <c r="PR85" s="239"/>
      <c r="PS85" s="239"/>
      <c r="PT85" s="239"/>
      <c r="PU85" s="239"/>
      <c r="PV85" s="239"/>
      <c r="PW85" s="239"/>
      <c r="PX85" s="239"/>
      <c r="PY85" s="239"/>
      <c r="PZ85" s="239"/>
      <c r="QA85" s="239"/>
      <c r="QB85" s="239"/>
      <c r="QC85" s="239"/>
      <c r="QD85" s="239"/>
      <c r="QE85" s="239"/>
      <c r="QF85" s="239"/>
      <c r="QG85" s="239"/>
      <c r="QH85" s="239"/>
      <c r="QI85" s="239"/>
      <c r="QJ85" s="239"/>
      <c r="QK85" s="239"/>
      <c r="QL85" s="239"/>
      <c r="QM85" s="239"/>
      <c r="QN85" s="239"/>
      <c r="QO85" s="239"/>
      <c r="QP85" s="239"/>
      <c r="QQ85" s="239"/>
      <c r="QR85" s="239"/>
      <c r="QS85" s="239"/>
      <c r="QT85" s="239"/>
      <c r="QU85" s="239"/>
      <c r="QV85" s="239"/>
      <c r="QW85" s="239"/>
      <c r="QX85" s="239"/>
      <c r="QY85" s="239"/>
      <c r="QZ85" s="239"/>
      <c r="RA85" s="239"/>
      <c r="RB85" s="239"/>
      <c r="RC85" s="239"/>
      <c r="RD85" s="239"/>
      <c r="RE85" s="239"/>
      <c r="RF85" s="239"/>
      <c r="RG85" s="239"/>
      <c r="RH85" s="239"/>
      <c r="RI85" s="239"/>
      <c r="RJ85" s="239"/>
      <c r="RK85" s="239"/>
      <c r="RL85" s="239"/>
      <c r="RM85" s="239"/>
      <c r="RN85" s="239"/>
      <c r="RO85" s="239"/>
      <c r="RP85" s="239"/>
      <c r="RQ85" s="239"/>
      <c r="RR85" s="239"/>
      <c r="RS85" s="239"/>
      <c r="RT85" s="239"/>
      <c r="RU85" s="239"/>
      <c r="RV85" s="239"/>
      <c r="RW85" s="239"/>
      <c r="RX85" s="239"/>
      <c r="RY85" s="239"/>
      <c r="RZ85" s="239"/>
      <c r="SA85" s="239"/>
      <c r="SB85" s="239"/>
      <c r="SC85" s="239"/>
      <c r="SD85" s="239"/>
      <c r="SE85" s="239"/>
      <c r="SF85" s="239"/>
      <c r="SG85" s="239"/>
      <c r="SH85" s="239"/>
      <c r="SI85" s="239"/>
      <c r="SJ85" s="239"/>
      <c r="SK85" s="239"/>
      <c r="SL85" s="239"/>
      <c r="SM85" s="239"/>
      <c r="SN85" s="239"/>
      <c r="SO85" s="239"/>
      <c r="SP85" s="239"/>
      <c r="SQ85" s="239"/>
      <c r="SR85" s="239"/>
      <c r="SS85" s="239"/>
      <c r="ST85" s="239"/>
      <c r="SU85" s="239"/>
      <c r="SV85" s="239"/>
      <c r="SW85" s="239"/>
      <c r="SX85" s="239"/>
      <c r="SY85" s="239"/>
      <c r="SZ85" s="239"/>
      <c r="TA85" s="239"/>
      <c r="TB85" s="239"/>
      <c r="TC85" s="239"/>
      <c r="TD85" s="239"/>
      <c r="TE85" s="239"/>
      <c r="TF85" s="239"/>
      <c r="TG85" s="239"/>
      <c r="TH85" s="239"/>
      <c r="TI85" s="239"/>
      <c r="TJ85" s="239"/>
      <c r="TK85" s="239"/>
      <c r="TL85" s="239"/>
      <c r="TM85" s="239"/>
      <c r="TN85" s="239"/>
      <c r="TO85" s="239"/>
      <c r="TP85" s="239"/>
      <c r="TQ85" s="239"/>
      <c r="TR85" s="239"/>
      <c r="TS85" s="239"/>
      <c r="TT85" s="239"/>
      <c r="TU85" s="239"/>
      <c r="TV85" s="239"/>
      <c r="TW85" s="239"/>
      <c r="TX85" s="239"/>
      <c r="TY85" s="239"/>
      <c r="TZ85" s="239"/>
      <c r="UA85" s="239"/>
      <c r="UB85" s="239"/>
      <c r="UC85" s="239"/>
      <c r="UD85" s="239"/>
      <c r="UE85" s="239"/>
      <c r="UF85" s="239"/>
      <c r="UG85" s="240"/>
    </row>
    <row r="86" spans="1:553" s="236" customFormat="1" ht="44.25" customHeight="1">
      <c r="A86" s="356" t="s">
        <v>30</v>
      </c>
      <c r="B86" s="385">
        <v>2</v>
      </c>
      <c r="C86" s="1451" t="s">
        <v>32</v>
      </c>
      <c r="D86" s="1389"/>
      <c r="E86" s="1389"/>
      <c r="F86" s="1390"/>
      <c r="G86" s="386" t="s">
        <v>33</v>
      </c>
      <c r="H86" s="370"/>
      <c r="I86" s="422">
        <f>-2*(7.3+10.6)*2.2*2</f>
        <v>-157.52000000000001</v>
      </c>
      <c r="J86" s="368">
        <v>52000</v>
      </c>
      <c r="K86" s="371"/>
      <c r="L86" s="391">
        <f t="shared" ref="L86:L87" si="18">I86*J86</f>
        <v>-8191040.0000000009</v>
      </c>
      <c r="M86" s="395"/>
      <c r="N86" s="395"/>
      <c r="O86" s="366"/>
      <c r="P86" s="396"/>
      <c r="Q86" s="473"/>
      <c r="R86" s="1039"/>
      <c r="S86" s="305"/>
      <c r="T86" s="303"/>
      <c r="U86" s="306"/>
      <c r="V86" s="307"/>
      <c r="W86" s="306"/>
      <c r="X86" s="306"/>
      <c r="Y86" s="306"/>
      <c r="Z86" s="306"/>
      <c r="AA86" s="306"/>
      <c r="AB86" s="306"/>
      <c r="AC86" s="373"/>
      <c r="AD86" s="373"/>
      <c r="AE86" s="373"/>
      <c r="AF86" s="373"/>
      <c r="AG86" s="389"/>
      <c r="AH86" s="389"/>
      <c r="AI86" s="389"/>
      <c r="AJ86" s="389"/>
      <c r="AK86" s="389"/>
      <c r="AL86" s="246"/>
      <c r="AM86" s="246"/>
      <c r="AN86" s="246"/>
      <c r="AO86" s="246"/>
      <c r="AP86" s="246"/>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c r="CO86" s="247"/>
      <c r="CP86" s="247"/>
      <c r="CQ86" s="247"/>
      <c r="CR86" s="247"/>
      <c r="CS86" s="247"/>
      <c r="CT86" s="247"/>
      <c r="CU86" s="247"/>
      <c r="CV86" s="247"/>
      <c r="CW86" s="247"/>
      <c r="CX86" s="247"/>
      <c r="CY86" s="247"/>
      <c r="CZ86" s="247"/>
      <c r="DA86" s="247"/>
      <c r="DB86" s="247"/>
      <c r="DC86" s="247"/>
      <c r="DD86" s="247"/>
      <c r="DE86" s="247"/>
      <c r="DF86" s="247"/>
      <c r="DG86" s="247"/>
      <c r="DH86" s="247"/>
      <c r="DI86" s="247"/>
      <c r="DJ86" s="247"/>
      <c r="DK86" s="247"/>
      <c r="DL86" s="247"/>
      <c r="DM86" s="247"/>
      <c r="DN86" s="247"/>
      <c r="DO86" s="247"/>
      <c r="DP86" s="247"/>
      <c r="DQ86" s="247"/>
      <c r="DR86" s="247"/>
      <c r="DS86" s="247"/>
      <c r="DT86" s="247"/>
      <c r="DU86" s="247"/>
      <c r="DV86" s="247"/>
      <c r="DW86" s="247"/>
      <c r="DX86" s="247"/>
      <c r="DY86" s="247"/>
      <c r="DZ86" s="247"/>
      <c r="EA86" s="247"/>
      <c r="EB86" s="247"/>
      <c r="EC86" s="247"/>
      <c r="ED86" s="247"/>
      <c r="EE86" s="247"/>
      <c r="EF86" s="247"/>
      <c r="EG86" s="247"/>
      <c r="EH86" s="247"/>
      <c r="EI86" s="247"/>
      <c r="EJ86" s="247"/>
      <c r="EK86" s="247"/>
      <c r="EL86" s="247"/>
      <c r="EM86" s="247"/>
      <c r="EN86" s="247"/>
      <c r="EO86" s="247"/>
      <c r="EP86" s="247"/>
      <c r="EQ86" s="247"/>
      <c r="ER86" s="247"/>
      <c r="ES86" s="247"/>
      <c r="ET86" s="247"/>
      <c r="EU86" s="247"/>
      <c r="EV86" s="247"/>
      <c r="EW86" s="247"/>
      <c r="EX86" s="247"/>
      <c r="EY86" s="247"/>
      <c r="EZ86" s="247"/>
      <c r="FA86" s="247"/>
      <c r="FB86" s="247"/>
      <c r="FC86" s="247"/>
      <c r="FD86" s="247"/>
      <c r="FE86" s="247"/>
      <c r="FF86" s="247"/>
      <c r="FG86" s="247"/>
      <c r="FH86" s="247"/>
      <c r="FI86" s="247"/>
      <c r="FJ86" s="247"/>
      <c r="FK86" s="247"/>
      <c r="FL86" s="247"/>
      <c r="FM86" s="247"/>
      <c r="FN86" s="247"/>
      <c r="FO86" s="247"/>
      <c r="FP86" s="247"/>
      <c r="FQ86" s="247"/>
      <c r="FR86" s="247"/>
      <c r="FS86" s="247"/>
      <c r="FT86" s="247"/>
      <c r="FU86" s="247"/>
      <c r="FV86" s="247"/>
      <c r="FW86" s="247"/>
      <c r="FX86" s="247"/>
      <c r="FY86" s="247"/>
      <c r="FZ86" s="247"/>
      <c r="GA86" s="247"/>
      <c r="GB86" s="247"/>
      <c r="GC86" s="247"/>
      <c r="GD86" s="247"/>
      <c r="GE86" s="247"/>
      <c r="GF86" s="247"/>
      <c r="GG86" s="247"/>
      <c r="GH86" s="247"/>
      <c r="GI86" s="247"/>
      <c r="GJ86" s="247"/>
      <c r="GK86" s="247"/>
      <c r="GL86" s="247"/>
      <c r="GM86" s="247"/>
      <c r="GN86" s="247"/>
      <c r="GO86" s="247"/>
      <c r="GP86" s="247"/>
      <c r="GQ86" s="247"/>
      <c r="GR86" s="247"/>
      <c r="GS86" s="247"/>
      <c r="GT86" s="247"/>
      <c r="GU86" s="247"/>
      <c r="GV86" s="247"/>
      <c r="GW86" s="247"/>
      <c r="GX86" s="247"/>
      <c r="GY86" s="247"/>
      <c r="GZ86" s="247"/>
      <c r="HA86" s="247"/>
      <c r="HB86" s="247"/>
      <c r="HC86" s="247"/>
      <c r="HD86" s="247"/>
      <c r="HE86" s="247"/>
      <c r="HF86" s="247"/>
      <c r="HG86" s="247"/>
      <c r="HH86" s="247"/>
      <c r="HI86" s="247"/>
      <c r="HJ86" s="247"/>
      <c r="HK86" s="247"/>
      <c r="HL86" s="247"/>
      <c r="HM86" s="247"/>
      <c r="HN86" s="247"/>
      <c r="HO86" s="247"/>
      <c r="HP86" s="247"/>
      <c r="HQ86" s="247"/>
      <c r="HR86" s="247"/>
      <c r="HS86" s="247"/>
      <c r="HT86" s="247"/>
      <c r="HU86" s="247"/>
      <c r="HV86" s="247"/>
      <c r="HW86" s="247"/>
      <c r="HX86" s="247"/>
      <c r="HY86" s="247"/>
      <c r="HZ86" s="247"/>
      <c r="IA86" s="247"/>
      <c r="IB86" s="247"/>
      <c r="IC86" s="247"/>
      <c r="ID86" s="247"/>
      <c r="IE86" s="247"/>
      <c r="IF86" s="247"/>
      <c r="IG86" s="247"/>
      <c r="IH86" s="247"/>
      <c r="II86" s="247"/>
      <c r="IJ86" s="247"/>
      <c r="IK86" s="247"/>
      <c r="IL86" s="247"/>
      <c r="IM86" s="247"/>
      <c r="IN86" s="247"/>
      <c r="IO86" s="247"/>
      <c r="IP86" s="247"/>
      <c r="IQ86" s="247"/>
      <c r="IR86" s="247"/>
      <c r="IS86" s="247"/>
      <c r="IT86" s="247"/>
      <c r="IU86" s="247"/>
      <c r="IV86" s="247"/>
      <c r="IW86" s="247"/>
      <c r="IX86" s="247"/>
      <c r="IY86" s="247"/>
      <c r="IZ86" s="247"/>
      <c r="JA86" s="247"/>
      <c r="JB86" s="247"/>
      <c r="JC86" s="247"/>
      <c r="JD86" s="247"/>
      <c r="JE86" s="247"/>
      <c r="JF86" s="247"/>
      <c r="JG86" s="247"/>
      <c r="JH86" s="247"/>
      <c r="JI86" s="247"/>
      <c r="JJ86" s="247"/>
      <c r="JK86" s="247"/>
      <c r="JL86" s="247"/>
      <c r="JM86" s="247"/>
      <c r="JN86" s="247"/>
      <c r="JO86" s="247"/>
      <c r="JP86" s="247"/>
      <c r="JQ86" s="247"/>
      <c r="JR86" s="247"/>
      <c r="JS86" s="247"/>
      <c r="JT86" s="247"/>
      <c r="JU86" s="247"/>
      <c r="JV86" s="247"/>
      <c r="JW86" s="247"/>
      <c r="JX86" s="247"/>
      <c r="JY86" s="247"/>
      <c r="JZ86" s="247"/>
      <c r="KA86" s="247"/>
      <c r="KB86" s="247"/>
      <c r="KC86" s="247"/>
      <c r="KD86" s="247"/>
      <c r="KE86" s="247"/>
      <c r="KF86" s="247"/>
      <c r="KG86" s="247"/>
      <c r="KH86" s="247"/>
      <c r="KI86" s="247"/>
      <c r="KJ86" s="247"/>
      <c r="KK86" s="247"/>
      <c r="KL86" s="247"/>
      <c r="KM86" s="247"/>
      <c r="KN86" s="247"/>
      <c r="KO86" s="247"/>
      <c r="KP86" s="247"/>
      <c r="KQ86" s="247"/>
      <c r="KR86" s="247"/>
      <c r="KS86" s="247"/>
      <c r="KT86" s="247"/>
      <c r="KU86" s="247"/>
      <c r="KV86" s="247"/>
      <c r="KW86" s="247"/>
      <c r="KX86" s="247"/>
      <c r="KY86" s="247"/>
      <c r="KZ86" s="247"/>
      <c r="LA86" s="247"/>
      <c r="LB86" s="247"/>
      <c r="LC86" s="247"/>
      <c r="LD86" s="247"/>
      <c r="LE86" s="247"/>
      <c r="LF86" s="247"/>
      <c r="LG86" s="247"/>
      <c r="LH86" s="247"/>
      <c r="LI86" s="247"/>
      <c r="LJ86" s="247"/>
      <c r="LK86" s="247"/>
      <c r="LL86" s="247"/>
      <c r="LM86" s="247"/>
      <c r="LN86" s="247"/>
      <c r="LO86" s="247"/>
      <c r="LP86" s="247"/>
      <c r="LQ86" s="247"/>
      <c r="LR86" s="247"/>
      <c r="LS86" s="247"/>
      <c r="LT86" s="247"/>
      <c r="LU86" s="247"/>
      <c r="LV86" s="247"/>
      <c r="LW86" s="247"/>
      <c r="LX86" s="247"/>
      <c r="LY86" s="247"/>
      <c r="LZ86" s="247"/>
      <c r="MA86" s="247"/>
      <c r="MB86" s="247"/>
      <c r="MC86" s="247"/>
      <c r="MD86" s="247"/>
      <c r="ME86" s="247"/>
      <c r="MF86" s="247"/>
      <c r="MG86" s="247"/>
      <c r="MH86" s="247"/>
      <c r="MI86" s="247"/>
      <c r="MJ86" s="247"/>
      <c r="MK86" s="247"/>
      <c r="ML86" s="247"/>
      <c r="MM86" s="247"/>
      <c r="MN86" s="247"/>
      <c r="MO86" s="247"/>
      <c r="MP86" s="247"/>
      <c r="MQ86" s="247"/>
      <c r="MR86" s="247"/>
      <c r="MS86" s="247"/>
      <c r="MT86" s="247"/>
      <c r="MU86" s="247"/>
      <c r="MV86" s="247"/>
      <c r="MW86" s="247"/>
      <c r="MX86" s="247"/>
      <c r="MY86" s="247"/>
      <c r="MZ86" s="247"/>
      <c r="NA86" s="247"/>
      <c r="NB86" s="247"/>
      <c r="NC86" s="247"/>
      <c r="ND86" s="247"/>
      <c r="NE86" s="247"/>
      <c r="NF86" s="247"/>
      <c r="NG86" s="247"/>
      <c r="NH86" s="247"/>
      <c r="NI86" s="247"/>
      <c r="NJ86" s="247"/>
      <c r="NK86" s="247"/>
      <c r="NL86" s="247"/>
      <c r="NM86" s="247"/>
      <c r="NN86" s="247"/>
      <c r="NO86" s="247"/>
      <c r="NP86" s="247"/>
      <c r="NQ86" s="247"/>
      <c r="NR86" s="247"/>
      <c r="NS86" s="247"/>
      <c r="NT86" s="247"/>
      <c r="NU86" s="247"/>
      <c r="NV86" s="247"/>
      <c r="NW86" s="247"/>
      <c r="NX86" s="247"/>
      <c r="NY86" s="247"/>
      <c r="NZ86" s="247"/>
      <c r="OA86" s="247"/>
      <c r="OB86" s="247"/>
      <c r="OC86" s="247"/>
      <c r="OD86" s="247"/>
      <c r="OE86" s="247"/>
      <c r="OF86" s="247"/>
      <c r="OG86" s="247"/>
      <c r="OH86" s="247"/>
      <c r="OI86" s="247"/>
      <c r="OJ86" s="247"/>
      <c r="OK86" s="247"/>
      <c r="OL86" s="247"/>
      <c r="OM86" s="247"/>
      <c r="ON86" s="247"/>
      <c r="OO86" s="247"/>
      <c r="OP86" s="247"/>
      <c r="OQ86" s="247"/>
      <c r="OR86" s="247"/>
      <c r="OS86" s="247"/>
      <c r="OT86" s="247"/>
      <c r="OU86" s="247"/>
      <c r="OV86" s="247"/>
      <c r="OW86" s="247"/>
      <c r="OX86" s="247"/>
      <c r="OY86" s="247"/>
      <c r="OZ86" s="247"/>
      <c r="PA86" s="247"/>
      <c r="PB86" s="247"/>
      <c r="PC86" s="247"/>
      <c r="PD86" s="247"/>
      <c r="PE86" s="247"/>
      <c r="PF86" s="247"/>
      <c r="PG86" s="247"/>
      <c r="PH86" s="247"/>
      <c r="PI86" s="247"/>
      <c r="PJ86" s="247"/>
      <c r="PK86" s="247"/>
      <c r="PL86" s="247"/>
      <c r="PM86" s="247"/>
      <c r="PN86" s="247"/>
      <c r="PO86" s="247"/>
      <c r="PP86" s="247"/>
      <c r="PQ86" s="247"/>
      <c r="PR86" s="247"/>
      <c r="PS86" s="247"/>
      <c r="PT86" s="247"/>
      <c r="PU86" s="247"/>
      <c r="PV86" s="247"/>
      <c r="PW86" s="247"/>
      <c r="PX86" s="247"/>
      <c r="PY86" s="247"/>
      <c r="PZ86" s="247"/>
      <c r="QA86" s="247"/>
      <c r="QB86" s="247"/>
      <c r="QC86" s="247"/>
      <c r="QD86" s="247"/>
      <c r="QE86" s="247"/>
      <c r="QF86" s="247"/>
      <c r="QG86" s="247"/>
      <c r="QH86" s="247"/>
      <c r="QI86" s="247"/>
      <c r="QJ86" s="247"/>
      <c r="QK86" s="247"/>
      <c r="QL86" s="247"/>
      <c r="QM86" s="247"/>
      <c r="QN86" s="247"/>
      <c r="QO86" s="247"/>
      <c r="QP86" s="247"/>
      <c r="QQ86" s="247"/>
      <c r="QR86" s="247"/>
      <c r="QS86" s="247"/>
      <c r="QT86" s="247"/>
      <c r="QU86" s="247"/>
      <c r="QV86" s="247"/>
      <c r="QW86" s="247"/>
      <c r="QX86" s="247"/>
      <c r="QY86" s="247"/>
      <c r="QZ86" s="247"/>
      <c r="RA86" s="247"/>
      <c r="RB86" s="247"/>
      <c r="RC86" s="247"/>
      <c r="RD86" s="247"/>
      <c r="RE86" s="247"/>
      <c r="RF86" s="247"/>
      <c r="RG86" s="247"/>
      <c r="RH86" s="247"/>
      <c r="RI86" s="247"/>
      <c r="RJ86" s="247"/>
      <c r="RK86" s="247"/>
      <c r="RL86" s="247"/>
      <c r="RM86" s="247"/>
      <c r="RN86" s="247"/>
      <c r="RO86" s="247"/>
      <c r="RP86" s="247"/>
      <c r="RQ86" s="247"/>
      <c r="RR86" s="247"/>
      <c r="RS86" s="247"/>
      <c r="RT86" s="247"/>
      <c r="RU86" s="247"/>
      <c r="RV86" s="247"/>
      <c r="RW86" s="247"/>
      <c r="RX86" s="247"/>
      <c r="RY86" s="247"/>
      <c r="RZ86" s="247"/>
      <c r="SA86" s="247"/>
      <c r="SB86" s="247"/>
      <c r="SC86" s="247"/>
      <c r="SD86" s="247"/>
      <c r="SE86" s="247"/>
      <c r="SF86" s="247"/>
      <c r="SG86" s="247"/>
      <c r="SH86" s="247"/>
      <c r="SI86" s="247"/>
      <c r="SJ86" s="247"/>
      <c r="SK86" s="247"/>
      <c r="SL86" s="247"/>
      <c r="SM86" s="247"/>
      <c r="SN86" s="247"/>
      <c r="SO86" s="247"/>
      <c r="SP86" s="247"/>
      <c r="SQ86" s="247"/>
      <c r="SR86" s="247"/>
      <c r="SS86" s="247"/>
      <c r="ST86" s="247"/>
      <c r="SU86" s="247"/>
      <c r="SV86" s="247"/>
      <c r="SW86" s="247"/>
      <c r="SX86" s="247"/>
      <c r="SY86" s="247"/>
      <c r="SZ86" s="247"/>
      <c r="TA86" s="247"/>
      <c r="TB86" s="247"/>
      <c r="TC86" s="247"/>
      <c r="TD86" s="247"/>
      <c r="TE86" s="247"/>
      <c r="TF86" s="247"/>
      <c r="TG86" s="247"/>
      <c r="TH86" s="247"/>
      <c r="TI86" s="247"/>
      <c r="TJ86" s="247"/>
      <c r="TK86" s="247"/>
      <c r="TL86" s="247"/>
      <c r="TM86" s="247"/>
      <c r="TN86" s="247"/>
      <c r="TO86" s="247"/>
      <c r="TP86" s="247"/>
      <c r="TQ86" s="247"/>
      <c r="TR86" s="247"/>
      <c r="TS86" s="247"/>
      <c r="TT86" s="247"/>
      <c r="TU86" s="247"/>
      <c r="TV86" s="247"/>
      <c r="TW86" s="247"/>
      <c r="TX86" s="247"/>
      <c r="TY86" s="247"/>
      <c r="TZ86" s="247"/>
      <c r="UA86" s="247"/>
      <c r="UB86" s="247"/>
      <c r="UC86" s="247"/>
      <c r="UD86" s="247"/>
      <c r="UE86" s="247"/>
      <c r="UF86" s="247"/>
      <c r="UG86" s="235"/>
    </row>
    <row r="87" spans="1:553" s="236" customFormat="1" ht="44.25" customHeight="1">
      <c r="A87" s="356" t="s">
        <v>30</v>
      </c>
      <c r="B87" s="385">
        <v>5</v>
      </c>
      <c r="C87" s="1451" t="s">
        <v>864</v>
      </c>
      <c r="D87" s="1389"/>
      <c r="E87" s="1389"/>
      <c r="F87" s="1390"/>
      <c r="G87" s="386" t="s">
        <v>33</v>
      </c>
      <c r="H87" s="370"/>
      <c r="I87" s="422">
        <f>-2*(7.3+10.6)*2.2*2</f>
        <v>-157.52000000000001</v>
      </c>
      <c r="J87" s="368">
        <v>41700</v>
      </c>
      <c r="K87" s="371"/>
      <c r="L87" s="391">
        <f t="shared" si="18"/>
        <v>-6568584</v>
      </c>
      <c r="M87" s="395"/>
      <c r="N87" s="395"/>
      <c r="O87" s="366"/>
      <c r="P87" s="396"/>
      <c r="Q87" s="473"/>
      <c r="R87" s="1039"/>
      <c r="S87" s="305"/>
      <c r="T87" s="303"/>
      <c r="U87" s="306"/>
      <c r="V87" s="307"/>
      <c r="W87" s="306"/>
      <c r="X87" s="306"/>
      <c r="Y87" s="306"/>
      <c r="Z87" s="306"/>
      <c r="AA87" s="306"/>
      <c r="AB87" s="306"/>
      <c r="AC87" s="373"/>
      <c r="AD87" s="373"/>
      <c r="AE87" s="373"/>
      <c r="AF87" s="373"/>
      <c r="AG87" s="389"/>
      <c r="AH87" s="389"/>
      <c r="AI87" s="389"/>
      <c r="AJ87" s="389"/>
      <c r="AK87" s="389"/>
      <c r="AL87" s="246"/>
      <c r="AM87" s="246"/>
      <c r="AN87" s="246"/>
      <c r="AO87" s="246"/>
      <c r="AP87" s="246"/>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c r="CO87" s="247"/>
      <c r="CP87" s="247"/>
      <c r="CQ87" s="247"/>
      <c r="CR87" s="247"/>
      <c r="CS87" s="247"/>
      <c r="CT87" s="247"/>
      <c r="CU87" s="247"/>
      <c r="CV87" s="247"/>
      <c r="CW87" s="247"/>
      <c r="CX87" s="247"/>
      <c r="CY87" s="247"/>
      <c r="CZ87" s="247"/>
      <c r="DA87" s="247"/>
      <c r="DB87" s="247"/>
      <c r="DC87" s="247"/>
      <c r="DD87" s="247"/>
      <c r="DE87" s="247"/>
      <c r="DF87" s="247"/>
      <c r="DG87" s="247"/>
      <c r="DH87" s="247"/>
      <c r="DI87" s="247"/>
      <c r="DJ87" s="247"/>
      <c r="DK87" s="247"/>
      <c r="DL87" s="247"/>
      <c r="DM87" s="247"/>
      <c r="DN87" s="247"/>
      <c r="DO87" s="247"/>
      <c r="DP87" s="247"/>
      <c r="DQ87" s="247"/>
      <c r="DR87" s="247"/>
      <c r="DS87" s="247"/>
      <c r="DT87" s="247"/>
      <c r="DU87" s="247"/>
      <c r="DV87" s="247"/>
      <c r="DW87" s="247"/>
      <c r="DX87" s="247"/>
      <c r="DY87" s="247"/>
      <c r="DZ87" s="247"/>
      <c r="EA87" s="247"/>
      <c r="EB87" s="247"/>
      <c r="EC87" s="247"/>
      <c r="ED87" s="247"/>
      <c r="EE87" s="247"/>
      <c r="EF87" s="247"/>
      <c r="EG87" s="247"/>
      <c r="EH87" s="247"/>
      <c r="EI87" s="247"/>
      <c r="EJ87" s="247"/>
      <c r="EK87" s="247"/>
      <c r="EL87" s="247"/>
      <c r="EM87" s="247"/>
      <c r="EN87" s="247"/>
      <c r="EO87" s="247"/>
      <c r="EP87" s="247"/>
      <c r="EQ87" s="247"/>
      <c r="ER87" s="247"/>
      <c r="ES87" s="247"/>
      <c r="ET87" s="247"/>
      <c r="EU87" s="247"/>
      <c r="EV87" s="247"/>
      <c r="EW87" s="247"/>
      <c r="EX87" s="247"/>
      <c r="EY87" s="247"/>
      <c r="EZ87" s="247"/>
      <c r="FA87" s="247"/>
      <c r="FB87" s="247"/>
      <c r="FC87" s="247"/>
      <c r="FD87" s="247"/>
      <c r="FE87" s="247"/>
      <c r="FF87" s="247"/>
      <c r="FG87" s="247"/>
      <c r="FH87" s="247"/>
      <c r="FI87" s="247"/>
      <c r="FJ87" s="247"/>
      <c r="FK87" s="247"/>
      <c r="FL87" s="247"/>
      <c r="FM87" s="247"/>
      <c r="FN87" s="247"/>
      <c r="FO87" s="247"/>
      <c r="FP87" s="247"/>
      <c r="FQ87" s="247"/>
      <c r="FR87" s="247"/>
      <c r="FS87" s="247"/>
      <c r="FT87" s="247"/>
      <c r="FU87" s="247"/>
      <c r="FV87" s="247"/>
      <c r="FW87" s="247"/>
      <c r="FX87" s="247"/>
      <c r="FY87" s="247"/>
      <c r="FZ87" s="247"/>
      <c r="GA87" s="247"/>
      <c r="GB87" s="247"/>
      <c r="GC87" s="247"/>
      <c r="GD87" s="247"/>
      <c r="GE87" s="247"/>
      <c r="GF87" s="247"/>
      <c r="GG87" s="247"/>
      <c r="GH87" s="247"/>
      <c r="GI87" s="247"/>
      <c r="GJ87" s="247"/>
      <c r="GK87" s="247"/>
      <c r="GL87" s="247"/>
      <c r="GM87" s="247"/>
      <c r="GN87" s="247"/>
      <c r="GO87" s="247"/>
      <c r="GP87" s="247"/>
      <c r="GQ87" s="247"/>
      <c r="GR87" s="247"/>
      <c r="GS87" s="247"/>
      <c r="GT87" s="247"/>
      <c r="GU87" s="247"/>
      <c r="GV87" s="247"/>
      <c r="GW87" s="247"/>
      <c r="GX87" s="247"/>
      <c r="GY87" s="247"/>
      <c r="GZ87" s="247"/>
      <c r="HA87" s="247"/>
      <c r="HB87" s="247"/>
      <c r="HC87" s="247"/>
      <c r="HD87" s="247"/>
      <c r="HE87" s="247"/>
      <c r="HF87" s="247"/>
      <c r="HG87" s="247"/>
      <c r="HH87" s="247"/>
      <c r="HI87" s="247"/>
      <c r="HJ87" s="247"/>
      <c r="HK87" s="247"/>
      <c r="HL87" s="247"/>
      <c r="HM87" s="247"/>
      <c r="HN87" s="247"/>
      <c r="HO87" s="247"/>
      <c r="HP87" s="247"/>
      <c r="HQ87" s="247"/>
      <c r="HR87" s="247"/>
      <c r="HS87" s="247"/>
      <c r="HT87" s="247"/>
      <c r="HU87" s="247"/>
      <c r="HV87" s="247"/>
      <c r="HW87" s="247"/>
      <c r="HX87" s="247"/>
      <c r="HY87" s="247"/>
      <c r="HZ87" s="247"/>
      <c r="IA87" s="247"/>
      <c r="IB87" s="247"/>
      <c r="IC87" s="247"/>
      <c r="ID87" s="247"/>
      <c r="IE87" s="247"/>
      <c r="IF87" s="247"/>
      <c r="IG87" s="247"/>
      <c r="IH87" s="247"/>
      <c r="II87" s="247"/>
      <c r="IJ87" s="247"/>
      <c r="IK87" s="247"/>
      <c r="IL87" s="247"/>
      <c r="IM87" s="247"/>
      <c r="IN87" s="247"/>
      <c r="IO87" s="247"/>
      <c r="IP87" s="247"/>
      <c r="IQ87" s="247"/>
      <c r="IR87" s="247"/>
      <c r="IS87" s="247"/>
      <c r="IT87" s="247"/>
      <c r="IU87" s="247"/>
      <c r="IV87" s="247"/>
      <c r="IW87" s="247"/>
      <c r="IX87" s="247"/>
      <c r="IY87" s="247"/>
      <c r="IZ87" s="247"/>
      <c r="JA87" s="247"/>
      <c r="JB87" s="247"/>
      <c r="JC87" s="247"/>
      <c r="JD87" s="247"/>
      <c r="JE87" s="247"/>
      <c r="JF87" s="247"/>
      <c r="JG87" s="247"/>
      <c r="JH87" s="247"/>
      <c r="JI87" s="247"/>
      <c r="JJ87" s="247"/>
      <c r="JK87" s="247"/>
      <c r="JL87" s="247"/>
      <c r="JM87" s="247"/>
      <c r="JN87" s="247"/>
      <c r="JO87" s="247"/>
      <c r="JP87" s="247"/>
      <c r="JQ87" s="247"/>
      <c r="JR87" s="247"/>
      <c r="JS87" s="247"/>
      <c r="JT87" s="247"/>
      <c r="JU87" s="247"/>
      <c r="JV87" s="247"/>
      <c r="JW87" s="247"/>
      <c r="JX87" s="247"/>
      <c r="JY87" s="247"/>
      <c r="JZ87" s="247"/>
      <c r="KA87" s="247"/>
      <c r="KB87" s="247"/>
      <c r="KC87" s="247"/>
      <c r="KD87" s="247"/>
      <c r="KE87" s="247"/>
      <c r="KF87" s="247"/>
      <c r="KG87" s="247"/>
      <c r="KH87" s="247"/>
      <c r="KI87" s="247"/>
      <c r="KJ87" s="247"/>
      <c r="KK87" s="247"/>
      <c r="KL87" s="247"/>
      <c r="KM87" s="247"/>
      <c r="KN87" s="247"/>
      <c r="KO87" s="247"/>
      <c r="KP87" s="247"/>
      <c r="KQ87" s="247"/>
      <c r="KR87" s="247"/>
      <c r="KS87" s="247"/>
      <c r="KT87" s="247"/>
      <c r="KU87" s="247"/>
      <c r="KV87" s="247"/>
      <c r="KW87" s="247"/>
      <c r="KX87" s="247"/>
      <c r="KY87" s="247"/>
      <c r="KZ87" s="247"/>
      <c r="LA87" s="247"/>
      <c r="LB87" s="247"/>
      <c r="LC87" s="247"/>
      <c r="LD87" s="247"/>
      <c r="LE87" s="247"/>
      <c r="LF87" s="247"/>
      <c r="LG87" s="247"/>
      <c r="LH87" s="247"/>
      <c r="LI87" s="247"/>
      <c r="LJ87" s="247"/>
      <c r="LK87" s="247"/>
      <c r="LL87" s="247"/>
      <c r="LM87" s="247"/>
      <c r="LN87" s="247"/>
      <c r="LO87" s="247"/>
      <c r="LP87" s="247"/>
      <c r="LQ87" s="247"/>
      <c r="LR87" s="247"/>
      <c r="LS87" s="247"/>
      <c r="LT87" s="247"/>
      <c r="LU87" s="247"/>
      <c r="LV87" s="247"/>
      <c r="LW87" s="247"/>
      <c r="LX87" s="247"/>
      <c r="LY87" s="247"/>
      <c r="LZ87" s="247"/>
      <c r="MA87" s="247"/>
      <c r="MB87" s="247"/>
      <c r="MC87" s="247"/>
      <c r="MD87" s="247"/>
      <c r="ME87" s="247"/>
      <c r="MF87" s="247"/>
      <c r="MG87" s="247"/>
      <c r="MH87" s="247"/>
      <c r="MI87" s="247"/>
      <c r="MJ87" s="247"/>
      <c r="MK87" s="247"/>
      <c r="ML87" s="247"/>
      <c r="MM87" s="247"/>
      <c r="MN87" s="247"/>
      <c r="MO87" s="247"/>
      <c r="MP87" s="247"/>
      <c r="MQ87" s="247"/>
      <c r="MR87" s="247"/>
      <c r="MS87" s="247"/>
      <c r="MT87" s="247"/>
      <c r="MU87" s="247"/>
      <c r="MV87" s="247"/>
      <c r="MW87" s="247"/>
      <c r="MX87" s="247"/>
      <c r="MY87" s="247"/>
      <c r="MZ87" s="247"/>
      <c r="NA87" s="247"/>
      <c r="NB87" s="247"/>
      <c r="NC87" s="247"/>
      <c r="ND87" s="247"/>
      <c r="NE87" s="247"/>
      <c r="NF87" s="247"/>
      <c r="NG87" s="247"/>
      <c r="NH87" s="247"/>
      <c r="NI87" s="247"/>
      <c r="NJ87" s="247"/>
      <c r="NK87" s="247"/>
      <c r="NL87" s="247"/>
      <c r="NM87" s="247"/>
      <c r="NN87" s="247"/>
      <c r="NO87" s="247"/>
      <c r="NP87" s="247"/>
      <c r="NQ87" s="247"/>
      <c r="NR87" s="247"/>
      <c r="NS87" s="247"/>
      <c r="NT87" s="247"/>
      <c r="NU87" s="247"/>
      <c r="NV87" s="247"/>
      <c r="NW87" s="247"/>
      <c r="NX87" s="247"/>
      <c r="NY87" s="247"/>
      <c r="NZ87" s="247"/>
      <c r="OA87" s="247"/>
      <c r="OB87" s="247"/>
      <c r="OC87" s="247"/>
      <c r="OD87" s="247"/>
      <c r="OE87" s="247"/>
      <c r="OF87" s="247"/>
      <c r="OG87" s="247"/>
      <c r="OH87" s="247"/>
      <c r="OI87" s="247"/>
      <c r="OJ87" s="247"/>
      <c r="OK87" s="247"/>
      <c r="OL87" s="247"/>
      <c r="OM87" s="247"/>
      <c r="ON87" s="247"/>
      <c r="OO87" s="247"/>
      <c r="OP87" s="247"/>
      <c r="OQ87" s="247"/>
      <c r="OR87" s="247"/>
      <c r="OS87" s="247"/>
      <c r="OT87" s="247"/>
      <c r="OU87" s="247"/>
      <c r="OV87" s="247"/>
      <c r="OW87" s="247"/>
      <c r="OX87" s="247"/>
      <c r="OY87" s="247"/>
      <c r="OZ87" s="247"/>
      <c r="PA87" s="247"/>
      <c r="PB87" s="247"/>
      <c r="PC87" s="247"/>
      <c r="PD87" s="247"/>
      <c r="PE87" s="247"/>
      <c r="PF87" s="247"/>
      <c r="PG87" s="247"/>
      <c r="PH87" s="247"/>
      <c r="PI87" s="247"/>
      <c r="PJ87" s="247"/>
      <c r="PK87" s="247"/>
      <c r="PL87" s="247"/>
      <c r="PM87" s="247"/>
      <c r="PN87" s="247"/>
      <c r="PO87" s="247"/>
      <c r="PP87" s="247"/>
      <c r="PQ87" s="247"/>
      <c r="PR87" s="247"/>
      <c r="PS87" s="247"/>
      <c r="PT87" s="247"/>
      <c r="PU87" s="247"/>
      <c r="PV87" s="247"/>
      <c r="PW87" s="247"/>
      <c r="PX87" s="247"/>
      <c r="PY87" s="247"/>
      <c r="PZ87" s="247"/>
      <c r="QA87" s="247"/>
      <c r="QB87" s="247"/>
      <c r="QC87" s="247"/>
      <c r="QD87" s="247"/>
      <c r="QE87" s="247"/>
      <c r="QF87" s="247"/>
      <c r="QG87" s="247"/>
      <c r="QH87" s="247"/>
      <c r="QI87" s="247"/>
      <c r="QJ87" s="247"/>
      <c r="QK87" s="247"/>
      <c r="QL87" s="247"/>
      <c r="QM87" s="247"/>
      <c r="QN87" s="247"/>
      <c r="QO87" s="247"/>
      <c r="QP87" s="247"/>
      <c r="QQ87" s="247"/>
      <c r="QR87" s="247"/>
      <c r="QS87" s="247"/>
      <c r="QT87" s="247"/>
      <c r="QU87" s="247"/>
      <c r="QV87" s="247"/>
      <c r="QW87" s="247"/>
      <c r="QX87" s="247"/>
      <c r="QY87" s="247"/>
      <c r="QZ87" s="247"/>
      <c r="RA87" s="247"/>
      <c r="RB87" s="247"/>
      <c r="RC87" s="247"/>
      <c r="RD87" s="247"/>
      <c r="RE87" s="247"/>
      <c r="RF87" s="247"/>
      <c r="RG87" s="247"/>
      <c r="RH87" s="247"/>
      <c r="RI87" s="247"/>
      <c r="RJ87" s="247"/>
      <c r="RK87" s="247"/>
      <c r="RL87" s="247"/>
      <c r="RM87" s="247"/>
      <c r="RN87" s="247"/>
      <c r="RO87" s="247"/>
      <c r="RP87" s="247"/>
      <c r="RQ87" s="247"/>
      <c r="RR87" s="247"/>
      <c r="RS87" s="247"/>
      <c r="RT87" s="247"/>
      <c r="RU87" s="247"/>
      <c r="RV87" s="247"/>
      <c r="RW87" s="247"/>
      <c r="RX87" s="247"/>
      <c r="RY87" s="247"/>
      <c r="RZ87" s="247"/>
      <c r="SA87" s="247"/>
      <c r="SB87" s="247"/>
      <c r="SC87" s="247"/>
      <c r="SD87" s="247"/>
      <c r="SE87" s="247"/>
      <c r="SF87" s="247"/>
      <c r="SG87" s="247"/>
      <c r="SH87" s="247"/>
      <c r="SI87" s="247"/>
      <c r="SJ87" s="247"/>
      <c r="SK87" s="247"/>
      <c r="SL87" s="247"/>
      <c r="SM87" s="247"/>
      <c r="SN87" s="247"/>
      <c r="SO87" s="247"/>
      <c r="SP87" s="247"/>
      <c r="SQ87" s="247"/>
      <c r="SR87" s="247"/>
      <c r="SS87" s="247"/>
      <c r="ST87" s="247"/>
      <c r="SU87" s="247"/>
      <c r="SV87" s="247"/>
      <c r="SW87" s="247"/>
      <c r="SX87" s="247"/>
      <c r="SY87" s="247"/>
      <c r="SZ87" s="247"/>
      <c r="TA87" s="247"/>
      <c r="TB87" s="247"/>
      <c r="TC87" s="247"/>
      <c r="TD87" s="247"/>
      <c r="TE87" s="247"/>
      <c r="TF87" s="247"/>
      <c r="TG87" s="247"/>
      <c r="TH87" s="247"/>
      <c r="TI87" s="247"/>
      <c r="TJ87" s="247"/>
      <c r="TK87" s="247"/>
      <c r="TL87" s="247"/>
      <c r="TM87" s="247"/>
      <c r="TN87" s="247"/>
      <c r="TO87" s="247"/>
      <c r="TP87" s="247"/>
      <c r="TQ87" s="247"/>
      <c r="TR87" s="247"/>
      <c r="TS87" s="247"/>
      <c r="TT87" s="247"/>
      <c r="TU87" s="247"/>
      <c r="TV87" s="247"/>
      <c r="TW87" s="247"/>
      <c r="TX87" s="247"/>
      <c r="TY87" s="247"/>
      <c r="TZ87" s="247"/>
      <c r="UA87" s="247"/>
      <c r="UB87" s="247"/>
      <c r="UC87" s="247"/>
      <c r="UD87" s="247"/>
      <c r="UE87" s="247"/>
      <c r="UF87" s="247"/>
      <c r="UG87" s="235"/>
    </row>
    <row r="88" spans="1:553" s="236" customFormat="1" ht="44.25" customHeight="1">
      <c r="A88" s="356" t="s">
        <v>30</v>
      </c>
      <c r="B88" s="385" t="s">
        <v>31</v>
      </c>
      <c r="C88" s="1443" t="s">
        <v>146</v>
      </c>
      <c r="D88" s="1389"/>
      <c r="E88" s="1389"/>
      <c r="F88" s="1390"/>
      <c r="G88" s="386" t="s">
        <v>34</v>
      </c>
      <c r="H88" s="370"/>
      <c r="I88" s="422">
        <f>((0.11*0.11*3.14)-(0.15*0.15*3.14))*4.2*16</f>
        <v>-2.1944832000000005</v>
      </c>
      <c r="J88" s="368">
        <v>4000000</v>
      </c>
      <c r="K88" s="371"/>
      <c r="L88" s="391">
        <f t="shared" ref="L88:L89" si="19">I88*J88</f>
        <v>-8777932.8000000026</v>
      </c>
      <c r="M88" s="391"/>
      <c r="N88" s="391"/>
      <c r="O88" s="391"/>
      <c r="P88" s="391"/>
      <c r="Q88" s="1444"/>
      <c r="R88" s="1226"/>
      <c r="S88" s="308"/>
      <c r="T88" s="303"/>
      <c r="U88" s="306"/>
      <c r="V88" s="307"/>
      <c r="W88" s="307"/>
      <c r="X88" s="307"/>
      <c r="Y88" s="307"/>
      <c r="Z88" s="307"/>
      <c r="AA88" s="307"/>
      <c r="AB88" s="307"/>
      <c r="AC88" s="449"/>
      <c r="AD88" s="449"/>
      <c r="AE88" s="449"/>
      <c r="AF88" s="449"/>
      <c r="AG88" s="449"/>
      <c r="AH88" s="449"/>
      <c r="AI88" s="449"/>
      <c r="AJ88" s="449"/>
      <c r="AK88" s="452"/>
      <c r="AL88" s="242"/>
      <c r="AM88" s="241"/>
      <c r="AN88" s="241"/>
      <c r="AO88" s="241"/>
      <c r="AP88" s="241"/>
      <c r="AQ88" s="241"/>
      <c r="AR88" s="241"/>
      <c r="AS88" s="238"/>
      <c r="AT88" s="238"/>
      <c r="AU88" s="238"/>
      <c r="AV88" s="238"/>
      <c r="AW88" s="238"/>
      <c r="AX88" s="238"/>
      <c r="AY88" s="238"/>
      <c r="AZ88" s="238"/>
      <c r="BA88" s="238"/>
      <c r="BB88" s="238"/>
      <c r="BC88" s="238"/>
      <c r="BD88" s="238"/>
      <c r="BE88" s="238"/>
      <c r="BF88" s="238"/>
      <c r="BG88" s="238"/>
      <c r="BH88" s="238"/>
      <c r="BI88" s="238"/>
      <c r="BJ88" s="238"/>
      <c r="BK88" s="238"/>
      <c r="BL88" s="238"/>
      <c r="BM88" s="238"/>
      <c r="BN88" s="238"/>
      <c r="BO88" s="238"/>
      <c r="BP88" s="238"/>
      <c r="BQ88" s="238"/>
      <c r="BR88" s="238"/>
      <c r="BS88" s="238"/>
      <c r="BT88" s="238"/>
      <c r="BU88" s="238"/>
      <c r="BV88" s="238"/>
      <c r="BW88" s="238"/>
      <c r="BX88" s="238"/>
      <c r="BY88" s="238"/>
      <c r="BZ88" s="238"/>
      <c r="CA88" s="238"/>
      <c r="CB88" s="238"/>
      <c r="CC88" s="238"/>
      <c r="CD88" s="238"/>
      <c r="CE88" s="238"/>
      <c r="CF88" s="238"/>
      <c r="CG88" s="238"/>
      <c r="CH88" s="238"/>
      <c r="CI88" s="238"/>
      <c r="CJ88" s="238"/>
      <c r="CK88" s="238"/>
      <c r="CL88" s="238"/>
      <c r="CM88" s="238"/>
      <c r="CN88" s="238"/>
      <c r="CO88" s="238"/>
      <c r="CP88" s="238"/>
      <c r="CQ88" s="238"/>
      <c r="CR88" s="238"/>
      <c r="CS88" s="238"/>
      <c r="CT88" s="238"/>
      <c r="CU88" s="238"/>
      <c r="CV88" s="238"/>
      <c r="CW88" s="238"/>
      <c r="CX88" s="238"/>
      <c r="CY88" s="238"/>
      <c r="CZ88" s="238"/>
      <c r="DA88" s="238"/>
      <c r="DB88" s="238"/>
      <c r="DC88" s="238"/>
      <c r="DD88" s="238"/>
      <c r="DE88" s="238"/>
      <c r="DF88" s="238"/>
      <c r="DG88" s="238"/>
      <c r="DH88" s="238"/>
      <c r="DI88" s="238"/>
      <c r="DJ88" s="238"/>
      <c r="DK88" s="238"/>
      <c r="DL88" s="238"/>
      <c r="DM88" s="238"/>
      <c r="DN88" s="238"/>
      <c r="DO88" s="238"/>
      <c r="DP88" s="238"/>
      <c r="DQ88" s="238"/>
      <c r="DR88" s="238"/>
      <c r="DS88" s="238"/>
      <c r="DT88" s="238"/>
      <c r="DU88" s="238"/>
      <c r="DV88" s="238"/>
      <c r="DW88" s="238"/>
      <c r="DX88" s="238"/>
      <c r="DY88" s="238"/>
      <c r="DZ88" s="238"/>
      <c r="EA88" s="238"/>
      <c r="EB88" s="238"/>
      <c r="EC88" s="238"/>
      <c r="ED88" s="238"/>
      <c r="EE88" s="238"/>
      <c r="EF88" s="238"/>
      <c r="EG88" s="238"/>
      <c r="EH88" s="238"/>
      <c r="EI88" s="238"/>
      <c r="EJ88" s="238"/>
      <c r="EK88" s="238"/>
      <c r="EL88" s="238"/>
      <c r="EM88" s="238"/>
      <c r="EN88" s="238"/>
      <c r="EO88" s="238"/>
      <c r="EP88" s="238"/>
      <c r="EQ88" s="238"/>
      <c r="ER88" s="238"/>
      <c r="ES88" s="238"/>
      <c r="ET88" s="238"/>
      <c r="EU88" s="238"/>
      <c r="EV88" s="238"/>
      <c r="EW88" s="238"/>
      <c r="EX88" s="238"/>
      <c r="EY88" s="238"/>
      <c r="EZ88" s="238"/>
      <c r="FA88" s="238"/>
      <c r="FB88" s="238"/>
      <c r="FC88" s="238"/>
      <c r="FD88" s="238"/>
      <c r="FE88" s="238"/>
      <c r="FF88" s="238"/>
      <c r="FG88" s="238"/>
      <c r="FH88" s="238"/>
      <c r="FI88" s="238"/>
      <c r="FJ88" s="238"/>
      <c r="FK88" s="238"/>
      <c r="FL88" s="238"/>
      <c r="FM88" s="238"/>
      <c r="FN88" s="238"/>
      <c r="FO88" s="238"/>
      <c r="FP88" s="238"/>
      <c r="FQ88" s="238"/>
      <c r="FR88" s="238"/>
      <c r="FS88" s="238"/>
      <c r="FT88" s="238"/>
      <c r="FU88" s="238"/>
      <c r="FV88" s="238"/>
      <c r="FW88" s="238"/>
      <c r="FX88" s="238"/>
      <c r="FY88" s="238"/>
      <c r="FZ88" s="238"/>
      <c r="GA88" s="238"/>
      <c r="GB88" s="238"/>
      <c r="GC88" s="238"/>
      <c r="GD88" s="238"/>
      <c r="GE88" s="238"/>
      <c r="GF88" s="238"/>
      <c r="GG88" s="238"/>
      <c r="GH88" s="238"/>
      <c r="GI88" s="238"/>
      <c r="GJ88" s="238"/>
      <c r="GK88" s="238"/>
      <c r="GL88" s="238"/>
      <c r="GM88" s="238"/>
      <c r="GN88" s="238"/>
      <c r="GO88" s="238"/>
      <c r="GP88" s="238"/>
      <c r="GQ88" s="238"/>
      <c r="GR88" s="238"/>
      <c r="GS88" s="238"/>
      <c r="GT88" s="238"/>
      <c r="GU88" s="238"/>
      <c r="GV88" s="238"/>
      <c r="GW88" s="238"/>
      <c r="GX88" s="238"/>
      <c r="GY88" s="238"/>
      <c r="GZ88" s="238"/>
      <c r="HA88" s="238"/>
      <c r="HB88" s="238"/>
      <c r="HC88" s="238"/>
      <c r="HD88" s="238"/>
      <c r="HE88" s="238"/>
      <c r="HF88" s="238"/>
      <c r="HG88" s="238"/>
      <c r="HH88" s="238"/>
      <c r="HI88" s="238"/>
      <c r="HJ88" s="238"/>
      <c r="HK88" s="238"/>
      <c r="HL88" s="238"/>
      <c r="HM88" s="238"/>
      <c r="HN88" s="238"/>
      <c r="HO88" s="238"/>
      <c r="HP88" s="238"/>
      <c r="HQ88" s="238"/>
      <c r="HR88" s="238"/>
      <c r="HS88" s="238"/>
      <c r="HT88" s="238"/>
      <c r="HU88" s="238"/>
      <c r="HV88" s="238"/>
      <c r="HW88" s="238"/>
      <c r="HX88" s="238"/>
      <c r="HY88" s="238"/>
      <c r="HZ88" s="238"/>
      <c r="IA88" s="238"/>
      <c r="IB88" s="238"/>
      <c r="IC88" s="238"/>
      <c r="ID88" s="238"/>
      <c r="IE88" s="238"/>
      <c r="IF88" s="238"/>
      <c r="IG88" s="238"/>
      <c r="IH88" s="238"/>
      <c r="II88" s="238"/>
      <c r="IJ88" s="238"/>
      <c r="IK88" s="238"/>
      <c r="IL88" s="238"/>
      <c r="IM88" s="238"/>
      <c r="IN88" s="238"/>
      <c r="IO88" s="238"/>
      <c r="IP88" s="238"/>
      <c r="IQ88" s="238"/>
      <c r="IR88" s="238"/>
      <c r="IS88" s="238"/>
      <c r="IT88" s="238"/>
      <c r="IU88" s="238"/>
      <c r="IV88" s="238"/>
      <c r="IW88" s="238"/>
      <c r="IX88" s="238"/>
      <c r="IY88" s="238"/>
      <c r="IZ88" s="238"/>
      <c r="JA88" s="238"/>
      <c r="JB88" s="238"/>
      <c r="JC88" s="238"/>
      <c r="JD88" s="238"/>
      <c r="JE88" s="238"/>
      <c r="JF88" s="238"/>
      <c r="JG88" s="238"/>
      <c r="JH88" s="238"/>
      <c r="JI88" s="238"/>
      <c r="JJ88" s="238"/>
      <c r="JK88" s="238"/>
      <c r="JL88" s="238"/>
      <c r="JM88" s="238"/>
      <c r="JN88" s="238"/>
      <c r="JO88" s="238"/>
      <c r="JP88" s="238"/>
      <c r="JQ88" s="238"/>
      <c r="JR88" s="238"/>
      <c r="JS88" s="238"/>
      <c r="JT88" s="238"/>
      <c r="JU88" s="238"/>
      <c r="JV88" s="238"/>
      <c r="JW88" s="238"/>
      <c r="JX88" s="238"/>
      <c r="JY88" s="238"/>
      <c r="JZ88" s="238"/>
      <c r="KA88" s="238"/>
      <c r="KB88" s="238"/>
      <c r="KC88" s="238"/>
      <c r="KD88" s="238"/>
      <c r="KE88" s="238"/>
      <c r="KF88" s="238"/>
      <c r="KG88" s="238"/>
      <c r="KH88" s="238"/>
      <c r="KI88" s="238"/>
      <c r="KJ88" s="238"/>
      <c r="KK88" s="238"/>
      <c r="KL88" s="238"/>
      <c r="KM88" s="238"/>
      <c r="KN88" s="238"/>
      <c r="KO88" s="238"/>
      <c r="KP88" s="238"/>
      <c r="KQ88" s="238"/>
      <c r="KR88" s="238"/>
      <c r="KS88" s="238"/>
      <c r="KT88" s="238"/>
      <c r="KU88" s="238"/>
      <c r="KV88" s="238"/>
      <c r="KW88" s="238"/>
      <c r="KX88" s="238"/>
      <c r="KY88" s="238"/>
      <c r="KZ88" s="238"/>
      <c r="LA88" s="238"/>
      <c r="LB88" s="238"/>
      <c r="LC88" s="238"/>
      <c r="LD88" s="238"/>
      <c r="LE88" s="238"/>
      <c r="LF88" s="238"/>
      <c r="LG88" s="238"/>
      <c r="LH88" s="238"/>
      <c r="LI88" s="238"/>
      <c r="LJ88" s="238"/>
      <c r="LK88" s="238"/>
      <c r="LL88" s="238"/>
      <c r="LM88" s="238"/>
      <c r="LN88" s="238"/>
      <c r="LO88" s="238"/>
      <c r="LP88" s="238"/>
      <c r="LQ88" s="238"/>
      <c r="LR88" s="238"/>
      <c r="LS88" s="238"/>
      <c r="LT88" s="238"/>
      <c r="LU88" s="238"/>
      <c r="LV88" s="238"/>
      <c r="LW88" s="238"/>
      <c r="LX88" s="238"/>
      <c r="LY88" s="238"/>
      <c r="LZ88" s="238"/>
      <c r="MA88" s="238"/>
      <c r="MB88" s="238"/>
      <c r="MC88" s="238"/>
      <c r="MD88" s="238"/>
      <c r="ME88" s="238"/>
      <c r="MF88" s="238"/>
      <c r="MG88" s="238"/>
      <c r="MH88" s="238"/>
      <c r="MI88" s="238"/>
      <c r="MJ88" s="238"/>
      <c r="MK88" s="238"/>
      <c r="ML88" s="238"/>
      <c r="MM88" s="238"/>
      <c r="MN88" s="238"/>
      <c r="MO88" s="238"/>
      <c r="MP88" s="238"/>
      <c r="MQ88" s="238"/>
      <c r="MR88" s="238"/>
      <c r="MS88" s="238"/>
      <c r="MT88" s="238"/>
      <c r="MU88" s="238"/>
      <c r="MV88" s="238"/>
      <c r="MW88" s="238"/>
      <c r="MX88" s="238"/>
      <c r="MY88" s="238"/>
      <c r="MZ88" s="238"/>
      <c r="NA88" s="238"/>
      <c r="NB88" s="238"/>
      <c r="NC88" s="238"/>
      <c r="ND88" s="238"/>
      <c r="NE88" s="238"/>
      <c r="NF88" s="238"/>
      <c r="NG88" s="238"/>
      <c r="NH88" s="238"/>
      <c r="NI88" s="238"/>
      <c r="NJ88" s="238"/>
      <c r="NK88" s="238"/>
      <c r="NL88" s="238"/>
      <c r="NM88" s="238"/>
      <c r="NN88" s="238"/>
      <c r="NO88" s="238"/>
      <c r="NP88" s="238"/>
      <c r="NQ88" s="238"/>
      <c r="NR88" s="238"/>
      <c r="NS88" s="238"/>
      <c r="NT88" s="238"/>
      <c r="NU88" s="238"/>
      <c r="NV88" s="238"/>
      <c r="NW88" s="238"/>
      <c r="NX88" s="238"/>
      <c r="NY88" s="238"/>
      <c r="NZ88" s="238"/>
      <c r="OA88" s="238"/>
      <c r="OB88" s="238"/>
      <c r="OC88" s="238"/>
      <c r="OD88" s="238"/>
      <c r="OE88" s="238"/>
      <c r="OF88" s="238"/>
      <c r="OG88" s="238"/>
      <c r="OH88" s="238"/>
      <c r="OI88" s="238"/>
      <c r="OJ88" s="238"/>
      <c r="OK88" s="238"/>
      <c r="OL88" s="238"/>
      <c r="OM88" s="238"/>
      <c r="ON88" s="238"/>
      <c r="OO88" s="238"/>
      <c r="OP88" s="238"/>
      <c r="OQ88" s="238"/>
      <c r="OR88" s="238"/>
      <c r="OS88" s="238"/>
      <c r="OT88" s="238"/>
      <c r="OU88" s="238"/>
      <c r="OV88" s="238"/>
      <c r="OW88" s="238"/>
      <c r="OX88" s="238"/>
      <c r="OY88" s="238"/>
      <c r="OZ88" s="238"/>
      <c r="PA88" s="238"/>
      <c r="PB88" s="238"/>
      <c r="PC88" s="238"/>
      <c r="PD88" s="238"/>
      <c r="PE88" s="238"/>
      <c r="PF88" s="238"/>
      <c r="PG88" s="238"/>
      <c r="PH88" s="238"/>
      <c r="PI88" s="238"/>
      <c r="PJ88" s="238"/>
      <c r="PK88" s="238"/>
      <c r="PL88" s="238"/>
      <c r="PM88" s="238"/>
      <c r="PN88" s="238"/>
      <c r="PO88" s="238"/>
      <c r="PP88" s="238"/>
      <c r="PQ88" s="238"/>
      <c r="PR88" s="238"/>
      <c r="PS88" s="238"/>
      <c r="PT88" s="238"/>
      <c r="PU88" s="238"/>
      <c r="PV88" s="238"/>
      <c r="PW88" s="238"/>
      <c r="PX88" s="238"/>
      <c r="PY88" s="238"/>
      <c r="PZ88" s="238"/>
      <c r="QA88" s="238"/>
      <c r="QB88" s="238"/>
      <c r="QC88" s="238"/>
      <c r="QD88" s="238"/>
      <c r="QE88" s="238"/>
      <c r="QF88" s="238"/>
      <c r="QG88" s="238"/>
      <c r="QH88" s="238"/>
      <c r="QI88" s="238"/>
      <c r="QJ88" s="238"/>
      <c r="QK88" s="238"/>
      <c r="QL88" s="238"/>
      <c r="QM88" s="238"/>
      <c r="QN88" s="238"/>
      <c r="QO88" s="238"/>
      <c r="QP88" s="238"/>
      <c r="QQ88" s="238"/>
      <c r="QR88" s="238"/>
      <c r="QS88" s="238"/>
      <c r="QT88" s="238"/>
      <c r="QU88" s="238"/>
      <c r="QV88" s="238"/>
      <c r="QW88" s="238"/>
      <c r="QX88" s="238"/>
      <c r="QY88" s="238"/>
      <c r="QZ88" s="238"/>
      <c r="RA88" s="238"/>
      <c r="RB88" s="238"/>
      <c r="RC88" s="238"/>
      <c r="RD88" s="238"/>
      <c r="RE88" s="238"/>
      <c r="RF88" s="238"/>
      <c r="RG88" s="238"/>
      <c r="RH88" s="238"/>
      <c r="RI88" s="238"/>
      <c r="RJ88" s="238"/>
      <c r="RK88" s="238"/>
      <c r="RL88" s="238"/>
      <c r="RM88" s="238"/>
      <c r="RN88" s="238"/>
      <c r="RO88" s="238"/>
      <c r="RP88" s="238"/>
      <c r="RQ88" s="238"/>
      <c r="RR88" s="238"/>
      <c r="RS88" s="238"/>
      <c r="RT88" s="238"/>
      <c r="RU88" s="238"/>
      <c r="RV88" s="238"/>
      <c r="RW88" s="238"/>
      <c r="RX88" s="238"/>
      <c r="RY88" s="238"/>
      <c r="RZ88" s="238"/>
      <c r="SA88" s="238"/>
      <c r="SB88" s="238"/>
      <c r="SC88" s="238"/>
      <c r="SD88" s="238"/>
      <c r="SE88" s="238"/>
      <c r="SF88" s="238"/>
      <c r="SG88" s="238"/>
      <c r="SH88" s="238"/>
      <c r="SI88" s="238"/>
      <c r="SJ88" s="238"/>
      <c r="SK88" s="238"/>
      <c r="SL88" s="238"/>
      <c r="SM88" s="238"/>
      <c r="SN88" s="238"/>
      <c r="SO88" s="238"/>
      <c r="SP88" s="238"/>
      <c r="SQ88" s="238"/>
      <c r="SR88" s="238"/>
      <c r="SS88" s="238"/>
      <c r="ST88" s="238"/>
      <c r="SU88" s="238"/>
      <c r="SV88" s="238"/>
      <c r="SW88" s="238"/>
      <c r="SX88" s="238"/>
      <c r="SY88" s="238"/>
      <c r="SZ88" s="238"/>
      <c r="TA88" s="238"/>
      <c r="TB88" s="238"/>
      <c r="TC88" s="238"/>
      <c r="TD88" s="238"/>
      <c r="TE88" s="238"/>
      <c r="TF88" s="238"/>
      <c r="TG88" s="238"/>
      <c r="TH88" s="238"/>
      <c r="TI88" s="238"/>
      <c r="TJ88" s="238"/>
      <c r="TK88" s="238"/>
      <c r="TL88" s="238"/>
      <c r="TM88" s="238"/>
      <c r="TN88" s="238"/>
      <c r="TO88" s="238"/>
      <c r="TP88" s="238"/>
      <c r="TQ88" s="238"/>
      <c r="TR88" s="238"/>
      <c r="TS88" s="238"/>
      <c r="TT88" s="238"/>
      <c r="TU88" s="238"/>
      <c r="TV88" s="238"/>
      <c r="TW88" s="238"/>
      <c r="TX88" s="238"/>
      <c r="TY88" s="238"/>
      <c r="TZ88" s="238"/>
      <c r="UA88" s="238"/>
      <c r="UB88" s="238"/>
      <c r="UC88" s="238"/>
      <c r="UD88" s="238"/>
      <c r="UE88" s="238"/>
      <c r="UF88" s="238"/>
      <c r="UG88" s="248"/>
    </row>
    <row r="89" spans="1:553" s="236" customFormat="1" ht="44.25" customHeight="1">
      <c r="A89" s="356" t="s">
        <v>30</v>
      </c>
      <c r="B89" s="385" t="s">
        <v>31</v>
      </c>
      <c r="C89" s="1443" t="s">
        <v>147</v>
      </c>
      <c r="D89" s="1389"/>
      <c r="E89" s="1389"/>
      <c r="F89" s="1390"/>
      <c r="G89" s="386" t="s">
        <v>34</v>
      </c>
      <c r="H89" s="370"/>
      <c r="I89" s="422">
        <f>((0.11*0.11*3.14)-(0.15*0.15*3.14))*5.2*6</f>
        <v>-1.0188672000000001</v>
      </c>
      <c r="J89" s="368">
        <v>4000000</v>
      </c>
      <c r="K89" s="371"/>
      <c r="L89" s="391">
        <f t="shared" si="19"/>
        <v>-4075468.8000000003</v>
      </c>
      <c r="M89" s="391"/>
      <c r="N89" s="391"/>
      <c r="O89" s="391"/>
      <c r="P89" s="391"/>
      <c r="Q89" s="1445"/>
      <c r="R89" s="1226"/>
      <c r="S89" s="308"/>
      <c r="T89" s="303"/>
      <c r="U89" s="306"/>
      <c r="V89" s="307"/>
      <c r="W89" s="307"/>
      <c r="X89" s="307"/>
      <c r="Y89" s="307"/>
      <c r="Z89" s="307"/>
      <c r="AA89" s="307"/>
      <c r="AB89" s="307"/>
      <c r="AC89" s="449"/>
      <c r="AD89" s="449"/>
      <c r="AE89" s="449"/>
      <c r="AF89" s="449"/>
      <c r="AG89" s="449"/>
      <c r="AH89" s="449"/>
      <c r="AI89" s="449"/>
      <c r="AJ89" s="449"/>
      <c r="AK89" s="452"/>
      <c r="AL89" s="242"/>
      <c r="AM89" s="241"/>
      <c r="AN89" s="241"/>
      <c r="AO89" s="241"/>
      <c r="AP89" s="241"/>
      <c r="AQ89" s="241"/>
      <c r="AR89" s="241"/>
      <c r="AS89" s="238"/>
      <c r="AT89" s="238"/>
      <c r="AU89" s="238"/>
      <c r="AV89" s="238"/>
      <c r="AW89" s="238"/>
      <c r="AX89" s="238"/>
      <c r="AY89" s="238"/>
      <c r="AZ89" s="238"/>
      <c r="BA89" s="238"/>
      <c r="BB89" s="238"/>
      <c r="BC89" s="238"/>
      <c r="BD89" s="238"/>
      <c r="BE89" s="238"/>
      <c r="BF89" s="238"/>
      <c r="BG89" s="238"/>
      <c r="BH89" s="238"/>
      <c r="BI89" s="238"/>
      <c r="BJ89" s="238"/>
      <c r="BK89" s="238"/>
      <c r="BL89" s="238"/>
      <c r="BM89" s="238"/>
      <c r="BN89" s="238"/>
      <c r="BO89" s="238"/>
      <c r="BP89" s="238"/>
      <c r="BQ89" s="238"/>
      <c r="BR89" s="238"/>
      <c r="BS89" s="238"/>
      <c r="BT89" s="238"/>
      <c r="BU89" s="238"/>
      <c r="BV89" s="238"/>
      <c r="BW89" s="238"/>
      <c r="BX89" s="238"/>
      <c r="BY89" s="238"/>
      <c r="BZ89" s="238"/>
      <c r="CA89" s="238"/>
      <c r="CB89" s="238"/>
      <c r="CC89" s="238"/>
      <c r="CD89" s="238"/>
      <c r="CE89" s="238"/>
      <c r="CF89" s="238"/>
      <c r="CG89" s="238"/>
      <c r="CH89" s="238"/>
      <c r="CI89" s="238"/>
      <c r="CJ89" s="238"/>
      <c r="CK89" s="238"/>
      <c r="CL89" s="238"/>
      <c r="CM89" s="238"/>
      <c r="CN89" s="238"/>
      <c r="CO89" s="238"/>
      <c r="CP89" s="238"/>
      <c r="CQ89" s="238"/>
      <c r="CR89" s="238"/>
      <c r="CS89" s="238"/>
      <c r="CT89" s="238"/>
      <c r="CU89" s="238"/>
      <c r="CV89" s="238"/>
      <c r="CW89" s="238"/>
      <c r="CX89" s="238"/>
      <c r="CY89" s="238"/>
      <c r="CZ89" s="238"/>
      <c r="DA89" s="238"/>
      <c r="DB89" s="238"/>
      <c r="DC89" s="238"/>
      <c r="DD89" s="238"/>
      <c r="DE89" s="238"/>
      <c r="DF89" s="238"/>
      <c r="DG89" s="238"/>
      <c r="DH89" s="238"/>
      <c r="DI89" s="238"/>
      <c r="DJ89" s="238"/>
      <c r="DK89" s="238"/>
      <c r="DL89" s="238"/>
      <c r="DM89" s="238"/>
      <c r="DN89" s="238"/>
      <c r="DO89" s="238"/>
      <c r="DP89" s="238"/>
      <c r="DQ89" s="238"/>
      <c r="DR89" s="238"/>
      <c r="DS89" s="238"/>
      <c r="DT89" s="238"/>
      <c r="DU89" s="238"/>
      <c r="DV89" s="238"/>
      <c r="DW89" s="238"/>
      <c r="DX89" s="238"/>
      <c r="DY89" s="238"/>
      <c r="DZ89" s="238"/>
      <c r="EA89" s="238"/>
      <c r="EB89" s="238"/>
      <c r="EC89" s="238"/>
      <c r="ED89" s="238"/>
      <c r="EE89" s="238"/>
      <c r="EF89" s="238"/>
      <c r="EG89" s="238"/>
      <c r="EH89" s="238"/>
      <c r="EI89" s="238"/>
      <c r="EJ89" s="238"/>
      <c r="EK89" s="238"/>
      <c r="EL89" s="238"/>
      <c r="EM89" s="238"/>
      <c r="EN89" s="238"/>
      <c r="EO89" s="238"/>
      <c r="EP89" s="238"/>
      <c r="EQ89" s="238"/>
      <c r="ER89" s="238"/>
      <c r="ES89" s="238"/>
      <c r="ET89" s="238"/>
      <c r="EU89" s="238"/>
      <c r="EV89" s="238"/>
      <c r="EW89" s="238"/>
      <c r="EX89" s="238"/>
      <c r="EY89" s="238"/>
      <c r="EZ89" s="238"/>
      <c r="FA89" s="238"/>
      <c r="FB89" s="238"/>
      <c r="FC89" s="238"/>
      <c r="FD89" s="238"/>
      <c r="FE89" s="238"/>
      <c r="FF89" s="238"/>
      <c r="FG89" s="238"/>
      <c r="FH89" s="238"/>
      <c r="FI89" s="238"/>
      <c r="FJ89" s="238"/>
      <c r="FK89" s="238"/>
      <c r="FL89" s="238"/>
      <c r="FM89" s="238"/>
      <c r="FN89" s="238"/>
      <c r="FO89" s="238"/>
      <c r="FP89" s="238"/>
      <c r="FQ89" s="238"/>
      <c r="FR89" s="238"/>
      <c r="FS89" s="238"/>
      <c r="FT89" s="238"/>
      <c r="FU89" s="238"/>
      <c r="FV89" s="238"/>
      <c r="FW89" s="238"/>
      <c r="FX89" s="238"/>
      <c r="FY89" s="238"/>
      <c r="FZ89" s="238"/>
      <c r="GA89" s="238"/>
      <c r="GB89" s="238"/>
      <c r="GC89" s="238"/>
      <c r="GD89" s="238"/>
      <c r="GE89" s="238"/>
      <c r="GF89" s="238"/>
      <c r="GG89" s="238"/>
      <c r="GH89" s="238"/>
      <c r="GI89" s="238"/>
      <c r="GJ89" s="238"/>
      <c r="GK89" s="238"/>
      <c r="GL89" s="238"/>
      <c r="GM89" s="238"/>
      <c r="GN89" s="238"/>
      <c r="GO89" s="238"/>
      <c r="GP89" s="238"/>
      <c r="GQ89" s="238"/>
      <c r="GR89" s="238"/>
      <c r="GS89" s="238"/>
      <c r="GT89" s="238"/>
      <c r="GU89" s="238"/>
      <c r="GV89" s="238"/>
      <c r="GW89" s="238"/>
      <c r="GX89" s="238"/>
      <c r="GY89" s="238"/>
      <c r="GZ89" s="238"/>
      <c r="HA89" s="238"/>
      <c r="HB89" s="238"/>
      <c r="HC89" s="238"/>
      <c r="HD89" s="238"/>
      <c r="HE89" s="238"/>
      <c r="HF89" s="238"/>
      <c r="HG89" s="238"/>
      <c r="HH89" s="238"/>
      <c r="HI89" s="238"/>
      <c r="HJ89" s="238"/>
      <c r="HK89" s="238"/>
      <c r="HL89" s="238"/>
      <c r="HM89" s="238"/>
      <c r="HN89" s="238"/>
      <c r="HO89" s="238"/>
      <c r="HP89" s="238"/>
      <c r="HQ89" s="238"/>
      <c r="HR89" s="238"/>
      <c r="HS89" s="238"/>
      <c r="HT89" s="238"/>
      <c r="HU89" s="238"/>
      <c r="HV89" s="238"/>
      <c r="HW89" s="238"/>
      <c r="HX89" s="238"/>
      <c r="HY89" s="238"/>
      <c r="HZ89" s="238"/>
      <c r="IA89" s="238"/>
      <c r="IB89" s="238"/>
      <c r="IC89" s="238"/>
      <c r="ID89" s="238"/>
      <c r="IE89" s="238"/>
      <c r="IF89" s="238"/>
      <c r="IG89" s="238"/>
      <c r="IH89" s="238"/>
      <c r="II89" s="238"/>
      <c r="IJ89" s="238"/>
      <c r="IK89" s="238"/>
      <c r="IL89" s="238"/>
      <c r="IM89" s="238"/>
      <c r="IN89" s="238"/>
      <c r="IO89" s="238"/>
      <c r="IP89" s="238"/>
      <c r="IQ89" s="238"/>
      <c r="IR89" s="238"/>
      <c r="IS89" s="238"/>
      <c r="IT89" s="238"/>
      <c r="IU89" s="238"/>
      <c r="IV89" s="238"/>
      <c r="IW89" s="238"/>
      <c r="IX89" s="238"/>
      <c r="IY89" s="238"/>
      <c r="IZ89" s="238"/>
      <c r="JA89" s="238"/>
      <c r="JB89" s="238"/>
      <c r="JC89" s="238"/>
      <c r="JD89" s="238"/>
      <c r="JE89" s="238"/>
      <c r="JF89" s="238"/>
      <c r="JG89" s="238"/>
      <c r="JH89" s="238"/>
      <c r="JI89" s="238"/>
      <c r="JJ89" s="238"/>
      <c r="JK89" s="238"/>
      <c r="JL89" s="238"/>
      <c r="JM89" s="238"/>
      <c r="JN89" s="238"/>
      <c r="JO89" s="238"/>
      <c r="JP89" s="238"/>
      <c r="JQ89" s="238"/>
      <c r="JR89" s="238"/>
      <c r="JS89" s="238"/>
      <c r="JT89" s="238"/>
      <c r="JU89" s="238"/>
      <c r="JV89" s="238"/>
      <c r="JW89" s="238"/>
      <c r="JX89" s="238"/>
      <c r="JY89" s="238"/>
      <c r="JZ89" s="238"/>
      <c r="KA89" s="238"/>
      <c r="KB89" s="238"/>
      <c r="KC89" s="238"/>
      <c r="KD89" s="238"/>
      <c r="KE89" s="238"/>
      <c r="KF89" s="238"/>
      <c r="KG89" s="238"/>
      <c r="KH89" s="238"/>
      <c r="KI89" s="238"/>
      <c r="KJ89" s="238"/>
      <c r="KK89" s="238"/>
      <c r="KL89" s="238"/>
      <c r="KM89" s="238"/>
      <c r="KN89" s="238"/>
      <c r="KO89" s="238"/>
      <c r="KP89" s="238"/>
      <c r="KQ89" s="238"/>
      <c r="KR89" s="238"/>
      <c r="KS89" s="238"/>
      <c r="KT89" s="238"/>
      <c r="KU89" s="238"/>
      <c r="KV89" s="238"/>
      <c r="KW89" s="238"/>
      <c r="KX89" s="238"/>
      <c r="KY89" s="238"/>
      <c r="KZ89" s="238"/>
      <c r="LA89" s="238"/>
      <c r="LB89" s="238"/>
      <c r="LC89" s="238"/>
      <c r="LD89" s="238"/>
      <c r="LE89" s="238"/>
      <c r="LF89" s="238"/>
      <c r="LG89" s="238"/>
      <c r="LH89" s="238"/>
      <c r="LI89" s="238"/>
      <c r="LJ89" s="238"/>
      <c r="LK89" s="238"/>
      <c r="LL89" s="238"/>
      <c r="LM89" s="238"/>
      <c r="LN89" s="238"/>
      <c r="LO89" s="238"/>
      <c r="LP89" s="238"/>
      <c r="LQ89" s="238"/>
      <c r="LR89" s="238"/>
      <c r="LS89" s="238"/>
      <c r="LT89" s="238"/>
      <c r="LU89" s="238"/>
      <c r="LV89" s="238"/>
      <c r="LW89" s="238"/>
      <c r="LX89" s="238"/>
      <c r="LY89" s="238"/>
      <c r="LZ89" s="238"/>
      <c r="MA89" s="238"/>
      <c r="MB89" s="238"/>
      <c r="MC89" s="238"/>
      <c r="MD89" s="238"/>
      <c r="ME89" s="238"/>
      <c r="MF89" s="238"/>
      <c r="MG89" s="238"/>
      <c r="MH89" s="238"/>
      <c r="MI89" s="238"/>
      <c r="MJ89" s="238"/>
      <c r="MK89" s="238"/>
      <c r="ML89" s="238"/>
      <c r="MM89" s="238"/>
      <c r="MN89" s="238"/>
      <c r="MO89" s="238"/>
      <c r="MP89" s="238"/>
      <c r="MQ89" s="238"/>
      <c r="MR89" s="238"/>
      <c r="MS89" s="238"/>
      <c r="MT89" s="238"/>
      <c r="MU89" s="238"/>
      <c r="MV89" s="238"/>
      <c r="MW89" s="238"/>
      <c r="MX89" s="238"/>
      <c r="MY89" s="238"/>
      <c r="MZ89" s="238"/>
      <c r="NA89" s="238"/>
      <c r="NB89" s="238"/>
      <c r="NC89" s="238"/>
      <c r="ND89" s="238"/>
      <c r="NE89" s="238"/>
      <c r="NF89" s="238"/>
      <c r="NG89" s="238"/>
      <c r="NH89" s="238"/>
      <c r="NI89" s="238"/>
      <c r="NJ89" s="238"/>
      <c r="NK89" s="238"/>
      <c r="NL89" s="238"/>
      <c r="NM89" s="238"/>
      <c r="NN89" s="238"/>
      <c r="NO89" s="238"/>
      <c r="NP89" s="238"/>
      <c r="NQ89" s="238"/>
      <c r="NR89" s="238"/>
      <c r="NS89" s="238"/>
      <c r="NT89" s="238"/>
      <c r="NU89" s="238"/>
      <c r="NV89" s="238"/>
      <c r="NW89" s="238"/>
      <c r="NX89" s="238"/>
      <c r="NY89" s="238"/>
      <c r="NZ89" s="238"/>
      <c r="OA89" s="238"/>
      <c r="OB89" s="238"/>
      <c r="OC89" s="238"/>
      <c r="OD89" s="238"/>
      <c r="OE89" s="238"/>
      <c r="OF89" s="238"/>
      <c r="OG89" s="238"/>
      <c r="OH89" s="238"/>
      <c r="OI89" s="238"/>
      <c r="OJ89" s="238"/>
      <c r="OK89" s="238"/>
      <c r="OL89" s="238"/>
      <c r="OM89" s="238"/>
      <c r="ON89" s="238"/>
      <c r="OO89" s="238"/>
      <c r="OP89" s="238"/>
      <c r="OQ89" s="238"/>
      <c r="OR89" s="238"/>
      <c r="OS89" s="238"/>
      <c r="OT89" s="238"/>
      <c r="OU89" s="238"/>
      <c r="OV89" s="238"/>
      <c r="OW89" s="238"/>
      <c r="OX89" s="238"/>
      <c r="OY89" s="238"/>
      <c r="OZ89" s="238"/>
      <c r="PA89" s="238"/>
      <c r="PB89" s="238"/>
      <c r="PC89" s="238"/>
      <c r="PD89" s="238"/>
      <c r="PE89" s="238"/>
      <c r="PF89" s="238"/>
      <c r="PG89" s="238"/>
      <c r="PH89" s="238"/>
      <c r="PI89" s="238"/>
      <c r="PJ89" s="238"/>
      <c r="PK89" s="238"/>
      <c r="PL89" s="238"/>
      <c r="PM89" s="238"/>
      <c r="PN89" s="238"/>
      <c r="PO89" s="238"/>
      <c r="PP89" s="238"/>
      <c r="PQ89" s="238"/>
      <c r="PR89" s="238"/>
      <c r="PS89" s="238"/>
      <c r="PT89" s="238"/>
      <c r="PU89" s="238"/>
      <c r="PV89" s="238"/>
      <c r="PW89" s="238"/>
      <c r="PX89" s="238"/>
      <c r="PY89" s="238"/>
      <c r="PZ89" s="238"/>
      <c r="QA89" s="238"/>
      <c r="QB89" s="238"/>
      <c r="QC89" s="238"/>
      <c r="QD89" s="238"/>
      <c r="QE89" s="238"/>
      <c r="QF89" s="238"/>
      <c r="QG89" s="238"/>
      <c r="QH89" s="238"/>
      <c r="QI89" s="238"/>
      <c r="QJ89" s="238"/>
      <c r="QK89" s="238"/>
      <c r="QL89" s="238"/>
      <c r="QM89" s="238"/>
      <c r="QN89" s="238"/>
      <c r="QO89" s="238"/>
      <c r="QP89" s="238"/>
      <c r="QQ89" s="238"/>
      <c r="QR89" s="238"/>
      <c r="QS89" s="238"/>
      <c r="QT89" s="238"/>
      <c r="QU89" s="238"/>
      <c r="QV89" s="238"/>
      <c r="QW89" s="238"/>
      <c r="QX89" s="238"/>
      <c r="QY89" s="238"/>
      <c r="QZ89" s="238"/>
      <c r="RA89" s="238"/>
      <c r="RB89" s="238"/>
      <c r="RC89" s="238"/>
      <c r="RD89" s="238"/>
      <c r="RE89" s="238"/>
      <c r="RF89" s="238"/>
      <c r="RG89" s="238"/>
      <c r="RH89" s="238"/>
      <c r="RI89" s="238"/>
      <c r="RJ89" s="238"/>
      <c r="RK89" s="238"/>
      <c r="RL89" s="238"/>
      <c r="RM89" s="238"/>
      <c r="RN89" s="238"/>
      <c r="RO89" s="238"/>
      <c r="RP89" s="238"/>
      <c r="RQ89" s="238"/>
      <c r="RR89" s="238"/>
      <c r="RS89" s="238"/>
      <c r="RT89" s="238"/>
      <c r="RU89" s="238"/>
      <c r="RV89" s="238"/>
      <c r="RW89" s="238"/>
      <c r="RX89" s="238"/>
      <c r="RY89" s="238"/>
      <c r="RZ89" s="238"/>
      <c r="SA89" s="238"/>
      <c r="SB89" s="238"/>
      <c r="SC89" s="238"/>
      <c r="SD89" s="238"/>
      <c r="SE89" s="238"/>
      <c r="SF89" s="238"/>
      <c r="SG89" s="238"/>
      <c r="SH89" s="238"/>
      <c r="SI89" s="238"/>
      <c r="SJ89" s="238"/>
      <c r="SK89" s="238"/>
      <c r="SL89" s="238"/>
      <c r="SM89" s="238"/>
      <c r="SN89" s="238"/>
      <c r="SO89" s="238"/>
      <c r="SP89" s="238"/>
      <c r="SQ89" s="238"/>
      <c r="SR89" s="238"/>
      <c r="SS89" s="238"/>
      <c r="ST89" s="238"/>
      <c r="SU89" s="238"/>
      <c r="SV89" s="238"/>
      <c r="SW89" s="238"/>
      <c r="SX89" s="238"/>
      <c r="SY89" s="238"/>
      <c r="SZ89" s="238"/>
      <c r="TA89" s="238"/>
      <c r="TB89" s="238"/>
      <c r="TC89" s="238"/>
      <c r="TD89" s="238"/>
      <c r="TE89" s="238"/>
      <c r="TF89" s="238"/>
      <c r="TG89" s="238"/>
      <c r="TH89" s="238"/>
      <c r="TI89" s="238"/>
      <c r="TJ89" s="238"/>
      <c r="TK89" s="238"/>
      <c r="TL89" s="238"/>
      <c r="TM89" s="238"/>
      <c r="TN89" s="238"/>
      <c r="TO89" s="238"/>
      <c r="TP89" s="238"/>
      <c r="TQ89" s="238"/>
      <c r="TR89" s="238"/>
      <c r="TS89" s="238"/>
      <c r="TT89" s="238"/>
      <c r="TU89" s="238"/>
      <c r="TV89" s="238"/>
      <c r="TW89" s="238"/>
      <c r="TX89" s="238"/>
      <c r="TY89" s="238"/>
      <c r="TZ89" s="238"/>
      <c r="UA89" s="238"/>
      <c r="UB89" s="238"/>
      <c r="UC89" s="238"/>
      <c r="UD89" s="238"/>
      <c r="UE89" s="238"/>
      <c r="UF89" s="238"/>
      <c r="UG89" s="248"/>
    </row>
    <row r="90" spans="1:553" s="236" customFormat="1" ht="44.25" customHeight="1">
      <c r="A90" s="356" t="s">
        <v>30</v>
      </c>
      <c r="B90" s="398" t="s">
        <v>1260</v>
      </c>
      <c r="C90" s="1414" t="s">
        <v>148</v>
      </c>
      <c r="D90" s="1389"/>
      <c r="E90" s="1389"/>
      <c r="F90" s="1390"/>
      <c r="G90" s="386" t="s">
        <v>935</v>
      </c>
      <c r="H90" s="370"/>
      <c r="I90" s="422">
        <f>13.3*9.4</f>
        <v>125.02000000000001</v>
      </c>
      <c r="J90" s="368">
        <f>200600-124207</f>
        <v>76393</v>
      </c>
      <c r="K90" s="371"/>
      <c r="L90" s="391">
        <f t="shared" ref="L90:L92" si="20">ROUND(PRODUCT(I90:K90),0)</f>
        <v>9550653</v>
      </c>
      <c r="M90" s="395"/>
      <c r="N90" s="395"/>
      <c r="O90" s="366"/>
      <c r="P90" s="396"/>
      <c r="Q90" s="473"/>
      <c r="R90" s="1039"/>
      <c r="S90" s="308"/>
      <c r="T90" s="303"/>
      <c r="U90" s="306"/>
      <c r="V90" s="307"/>
      <c r="W90" s="307"/>
      <c r="X90" s="307"/>
      <c r="Y90" s="307"/>
      <c r="Z90" s="307"/>
      <c r="AA90" s="307"/>
      <c r="AB90" s="307"/>
      <c r="AC90" s="449"/>
      <c r="AD90" s="449"/>
      <c r="AE90" s="449"/>
      <c r="AF90" s="449"/>
      <c r="AG90" s="452"/>
      <c r="AH90" s="452"/>
      <c r="AI90" s="452"/>
      <c r="AJ90" s="452"/>
      <c r="AK90" s="452"/>
      <c r="AL90" s="242"/>
      <c r="AM90" s="241"/>
      <c r="AN90" s="241"/>
      <c r="AO90" s="241"/>
      <c r="AP90" s="241"/>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c r="CK90" s="239"/>
      <c r="CL90" s="239"/>
      <c r="CM90" s="239"/>
      <c r="CN90" s="239"/>
      <c r="CO90" s="239"/>
      <c r="CP90" s="239"/>
      <c r="CQ90" s="239"/>
      <c r="CR90" s="239"/>
      <c r="CS90" s="239"/>
      <c r="CT90" s="239"/>
      <c r="CU90" s="239"/>
      <c r="CV90" s="239"/>
      <c r="CW90" s="239"/>
      <c r="CX90" s="239"/>
      <c r="CY90" s="239"/>
      <c r="CZ90" s="239"/>
      <c r="DA90" s="239"/>
      <c r="DB90" s="239"/>
      <c r="DC90" s="239"/>
      <c r="DD90" s="239"/>
      <c r="DE90" s="239"/>
      <c r="DF90" s="239"/>
      <c r="DG90" s="239"/>
      <c r="DH90" s="239"/>
      <c r="DI90" s="239"/>
      <c r="DJ90" s="239"/>
      <c r="DK90" s="239"/>
      <c r="DL90" s="239"/>
      <c r="DM90" s="239"/>
      <c r="DN90" s="239"/>
      <c r="DO90" s="239"/>
      <c r="DP90" s="239"/>
      <c r="DQ90" s="239"/>
      <c r="DR90" s="239"/>
      <c r="DS90" s="239"/>
      <c r="DT90" s="239"/>
      <c r="DU90" s="239"/>
      <c r="DV90" s="239"/>
      <c r="DW90" s="239"/>
      <c r="DX90" s="239"/>
      <c r="DY90" s="239"/>
      <c r="DZ90" s="239"/>
      <c r="EA90" s="239"/>
      <c r="EB90" s="239"/>
      <c r="EC90" s="239"/>
      <c r="ED90" s="239"/>
      <c r="EE90" s="239"/>
      <c r="EF90" s="239"/>
      <c r="EG90" s="239"/>
      <c r="EH90" s="239"/>
      <c r="EI90" s="239"/>
      <c r="EJ90" s="239"/>
      <c r="EK90" s="239"/>
      <c r="EL90" s="239"/>
      <c r="EM90" s="239"/>
      <c r="EN90" s="239"/>
      <c r="EO90" s="239"/>
      <c r="EP90" s="239"/>
      <c r="EQ90" s="239"/>
      <c r="ER90" s="239"/>
      <c r="ES90" s="239"/>
      <c r="ET90" s="239"/>
      <c r="EU90" s="239"/>
      <c r="EV90" s="239"/>
      <c r="EW90" s="239"/>
      <c r="EX90" s="239"/>
      <c r="EY90" s="239"/>
      <c r="EZ90" s="239"/>
      <c r="FA90" s="239"/>
      <c r="FB90" s="239"/>
      <c r="FC90" s="239"/>
      <c r="FD90" s="239"/>
      <c r="FE90" s="239"/>
      <c r="FF90" s="239"/>
      <c r="FG90" s="239"/>
      <c r="FH90" s="239"/>
      <c r="FI90" s="239"/>
      <c r="FJ90" s="239"/>
      <c r="FK90" s="239"/>
      <c r="FL90" s="239"/>
      <c r="FM90" s="239"/>
      <c r="FN90" s="239"/>
      <c r="FO90" s="239"/>
      <c r="FP90" s="239"/>
      <c r="FQ90" s="239"/>
      <c r="FR90" s="239"/>
      <c r="FS90" s="239"/>
      <c r="FT90" s="239"/>
      <c r="FU90" s="239"/>
      <c r="FV90" s="239"/>
      <c r="FW90" s="239"/>
      <c r="FX90" s="239"/>
      <c r="FY90" s="239"/>
      <c r="FZ90" s="239"/>
      <c r="GA90" s="239"/>
      <c r="GB90" s="239"/>
      <c r="GC90" s="239"/>
      <c r="GD90" s="239"/>
      <c r="GE90" s="239"/>
      <c r="GF90" s="239"/>
      <c r="GG90" s="239"/>
      <c r="GH90" s="239"/>
      <c r="GI90" s="239"/>
      <c r="GJ90" s="239"/>
      <c r="GK90" s="239"/>
      <c r="GL90" s="239"/>
      <c r="GM90" s="239"/>
      <c r="GN90" s="239"/>
      <c r="GO90" s="239"/>
      <c r="GP90" s="239"/>
      <c r="GQ90" s="239"/>
      <c r="GR90" s="239"/>
      <c r="GS90" s="239"/>
      <c r="GT90" s="239"/>
      <c r="GU90" s="239"/>
      <c r="GV90" s="239"/>
      <c r="GW90" s="239"/>
      <c r="GX90" s="239"/>
      <c r="GY90" s="239"/>
      <c r="GZ90" s="239"/>
      <c r="HA90" s="239"/>
      <c r="HB90" s="239"/>
      <c r="HC90" s="239"/>
      <c r="HD90" s="239"/>
      <c r="HE90" s="239"/>
      <c r="HF90" s="239"/>
      <c r="HG90" s="239"/>
      <c r="HH90" s="239"/>
      <c r="HI90" s="239"/>
      <c r="HJ90" s="239"/>
      <c r="HK90" s="239"/>
      <c r="HL90" s="239"/>
      <c r="HM90" s="239"/>
      <c r="HN90" s="239"/>
      <c r="HO90" s="239"/>
      <c r="HP90" s="239"/>
      <c r="HQ90" s="239"/>
      <c r="HR90" s="239"/>
      <c r="HS90" s="239"/>
      <c r="HT90" s="239"/>
      <c r="HU90" s="239"/>
      <c r="HV90" s="239"/>
      <c r="HW90" s="239"/>
      <c r="HX90" s="239"/>
      <c r="HY90" s="239"/>
      <c r="HZ90" s="239"/>
      <c r="IA90" s="239"/>
      <c r="IB90" s="239"/>
      <c r="IC90" s="239"/>
      <c r="ID90" s="239"/>
      <c r="IE90" s="239"/>
      <c r="IF90" s="239"/>
      <c r="IG90" s="239"/>
      <c r="IH90" s="239"/>
      <c r="II90" s="239"/>
      <c r="IJ90" s="239"/>
      <c r="IK90" s="239"/>
      <c r="IL90" s="239"/>
      <c r="IM90" s="239"/>
      <c r="IN90" s="239"/>
      <c r="IO90" s="239"/>
      <c r="IP90" s="239"/>
      <c r="IQ90" s="239"/>
      <c r="IR90" s="239"/>
      <c r="IS90" s="239"/>
      <c r="IT90" s="239"/>
      <c r="IU90" s="239"/>
      <c r="IV90" s="239"/>
      <c r="IW90" s="239"/>
      <c r="IX90" s="239"/>
      <c r="IY90" s="239"/>
      <c r="IZ90" s="239"/>
      <c r="JA90" s="239"/>
      <c r="JB90" s="239"/>
      <c r="JC90" s="239"/>
      <c r="JD90" s="239"/>
      <c r="JE90" s="239"/>
      <c r="JF90" s="239"/>
      <c r="JG90" s="239"/>
      <c r="JH90" s="239"/>
      <c r="JI90" s="239"/>
      <c r="JJ90" s="239"/>
      <c r="JK90" s="239"/>
      <c r="JL90" s="239"/>
      <c r="JM90" s="239"/>
      <c r="JN90" s="239"/>
      <c r="JO90" s="239"/>
      <c r="JP90" s="239"/>
      <c r="JQ90" s="239"/>
      <c r="JR90" s="239"/>
      <c r="JS90" s="239"/>
      <c r="JT90" s="239"/>
      <c r="JU90" s="239"/>
      <c r="JV90" s="239"/>
      <c r="JW90" s="239"/>
      <c r="JX90" s="239"/>
      <c r="JY90" s="239"/>
      <c r="JZ90" s="239"/>
      <c r="KA90" s="239"/>
      <c r="KB90" s="239"/>
      <c r="KC90" s="239"/>
      <c r="KD90" s="239"/>
      <c r="KE90" s="239"/>
      <c r="KF90" s="239"/>
      <c r="KG90" s="239"/>
      <c r="KH90" s="239"/>
      <c r="KI90" s="239"/>
      <c r="KJ90" s="239"/>
      <c r="KK90" s="239"/>
      <c r="KL90" s="239"/>
      <c r="KM90" s="239"/>
      <c r="KN90" s="239"/>
      <c r="KO90" s="239"/>
      <c r="KP90" s="239"/>
      <c r="KQ90" s="239"/>
      <c r="KR90" s="239"/>
      <c r="KS90" s="239"/>
      <c r="KT90" s="239"/>
      <c r="KU90" s="239"/>
      <c r="KV90" s="239"/>
      <c r="KW90" s="239"/>
      <c r="KX90" s="239"/>
      <c r="KY90" s="239"/>
      <c r="KZ90" s="239"/>
      <c r="LA90" s="239"/>
      <c r="LB90" s="239"/>
      <c r="LC90" s="239"/>
      <c r="LD90" s="239"/>
      <c r="LE90" s="239"/>
      <c r="LF90" s="239"/>
      <c r="LG90" s="239"/>
      <c r="LH90" s="239"/>
      <c r="LI90" s="239"/>
      <c r="LJ90" s="239"/>
      <c r="LK90" s="239"/>
      <c r="LL90" s="239"/>
      <c r="LM90" s="239"/>
      <c r="LN90" s="239"/>
      <c r="LO90" s="239"/>
      <c r="LP90" s="239"/>
      <c r="LQ90" s="239"/>
      <c r="LR90" s="239"/>
      <c r="LS90" s="239"/>
      <c r="LT90" s="239"/>
      <c r="LU90" s="239"/>
      <c r="LV90" s="239"/>
      <c r="LW90" s="239"/>
      <c r="LX90" s="239"/>
      <c r="LY90" s="239"/>
      <c r="LZ90" s="239"/>
      <c r="MA90" s="239"/>
      <c r="MB90" s="239"/>
      <c r="MC90" s="239"/>
      <c r="MD90" s="239"/>
      <c r="ME90" s="239"/>
      <c r="MF90" s="239"/>
      <c r="MG90" s="239"/>
      <c r="MH90" s="239"/>
      <c r="MI90" s="239"/>
      <c r="MJ90" s="239"/>
      <c r="MK90" s="239"/>
      <c r="ML90" s="239"/>
      <c r="MM90" s="239"/>
      <c r="MN90" s="239"/>
      <c r="MO90" s="239"/>
      <c r="MP90" s="239"/>
      <c r="MQ90" s="239"/>
      <c r="MR90" s="239"/>
      <c r="MS90" s="239"/>
      <c r="MT90" s="239"/>
      <c r="MU90" s="239"/>
      <c r="MV90" s="239"/>
      <c r="MW90" s="239"/>
      <c r="MX90" s="239"/>
      <c r="MY90" s="239"/>
      <c r="MZ90" s="239"/>
      <c r="NA90" s="239"/>
      <c r="NB90" s="239"/>
      <c r="NC90" s="239"/>
      <c r="ND90" s="239"/>
      <c r="NE90" s="239"/>
      <c r="NF90" s="239"/>
      <c r="NG90" s="239"/>
      <c r="NH90" s="239"/>
      <c r="NI90" s="239"/>
      <c r="NJ90" s="239"/>
      <c r="NK90" s="239"/>
      <c r="NL90" s="239"/>
      <c r="NM90" s="239"/>
      <c r="NN90" s="239"/>
      <c r="NO90" s="239"/>
      <c r="NP90" s="239"/>
      <c r="NQ90" s="239"/>
      <c r="NR90" s="239"/>
      <c r="NS90" s="239"/>
      <c r="NT90" s="239"/>
      <c r="NU90" s="239"/>
      <c r="NV90" s="239"/>
      <c r="NW90" s="239"/>
      <c r="NX90" s="239"/>
      <c r="NY90" s="239"/>
      <c r="NZ90" s="239"/>
      <c r="OA90" s="239"/>
      <c r="OB90" s="239"/>
      <c r="OC90" s="239"/>
      <c r="OD90" s="239"/>
      <c r="OE90" s="239"/>
      <c r="OF90" s="239"/>
      <c r="OG90" s="239"/>
      <c r="OH90" s="239"/>
      <c r="OI90" s="239"/>
      <c r="OJ90" s="239"/>
      <c r="OK90" s="239"/>
      <c r="OL90" s="239"/>
      <c r="OM90" s="239"/>
      <c r="ON90" s="239"/>
      <c r="OO90" s="239"/>
      <c r="OP90" s="239"/>
      <c r="OQ90" s="239"/>
      <c r="OR90" s="239"/>
      <c r="OS90" s="239"/>
      <c r="OT90" s="239"/>
      <c r="OU90" s="239"/>
      <c r="OV90" s="239"/>
      <c r="OW90" s="239"/>
      <c r="OX90" s="239"/>
      <c r="OY90" s="239"/>
      <c r="OZ90" s="239"/>
      <c r="PA90" s="239"/>
      <c r="PB90" s="239"/>
      <c r="PC90" s="239"/>
      <c r="PD90" s="239"/>
      <c r="PE90" s="239"/>
      <c r="PF90" s="239"/>
      <c r="PG90" s="239"/>
      <c r="PH90" s="239"/>
      <c r="PI90" s="239"/>
      <c r="PJ90" s="239"/>
      <c r="PK90" s="239"/>
      <c r="PL90" s="239"/>
      <c r="PM90" s="239"/>
      <c r="PN90" s="239"/>
      <c r="PO90" s="239"/>
      <c r="PP90" s="239"/>
      <c r="PQ90" s="239"/>
      <c r="PR90" s="239"/>
      <c r="PS90" s="239"/>
      <c r="PT90" s="239"/>
      <c r="PU90" s="239"/>
      <c r="PV90" s="239"/>
      <c r="PW90" s="239"/>
      <c r="PX90" s="239"/>
      <c r="PY90" s="239"/>
      <c r="PZ90" s="239"/>
      <c r="QA90" s="239"/>
      <c r="QB90" s="239"/>
      <c r="QC90" s="239"/>
      <c r="QD90" s="239"/>
      <c r="QE90" s="239"/>
      <c r="QF90" s="239"/>
      <c r="QG90" s="239"/>
      <c r="QH90" s="239"/>
      <c r="QI90" s="239"/>
      <c r="QJ90" s="239"/>
      <c r="QK90" s="239"/>
      <c r="QL90" s="239"/>
      <c r="QM90" s="239"/>
      <c r="QN90" s="239"/>
      <c r="QO90" s="239"/>
      <c r="QP90" s="239"/>
      <c r="QQ90" s="239"/>
      <c r="QR90" s="239"/>
      <c r="QS90" s="239"/>
      <c r="QT90" s="239"/>
      <c r="QU90" s="239"/>
      <c r="QV90" s="239"/>
      <c r="QW90" s="239"/>
      <c r="QX90" s="239"/>
      <c r="QY90" s="239"/>
      <c r="QZ90" s="239"/>
      <c r="RA90" s="239"/>
      <c r="RB90" s="239"/>
      <c r="RC90" s="239"/>
      <c r="RD90" s="239"/>
      <c r="RE90" s="239"/>
      <c r="RF90" s="239"/>
      <c r="RG90" s="239"/>
      <c r="RH90" s="239"/>
      <c r="RI90" s="239"/>
      <c r="RJ90" s="239"/>
      <c r="RK90" s="239"/>
      <c r="RL90" s="239"/>
      <c r="RM90" s="239"/>
      <c r="RN90" s="239"/>
      <c r="RO90" s="239"/>
      <c r="RP90" s="239"/>
      <c r="RQ90" s="239"/>
      <c r="RR90" s="239"/>
      <c r="RS90" s="239"/>
      <c r="RT90" s="239"/>
      <c r="RU90" s="239"/>
      <c r="RV90" s="239"/>
      <c r="RW90" s="239"/>
      <c r="RX90" s="239"/>
      <c r="RY90" s="239"/>
      <c r="RZ90" s="239"/>
      <c r="SA90" s="239"/>
      <c r="SB90" s="239"/>
      <c r="SC90" s="239"/>
      <c r="SD90" s="239"/>
      <c r="SE90" s="239"/>
      <c r="SF90" s="239"/>
      <c r="SG90" s="239"/>
      <c r="SH90" s="239"/>
      <c r="SI90" s="239"/>
      <c r="SJ90" s="239"/>
      <c r="SK90" s="239"/>
      <c r="SL90" s="239"/>
      <c r="SM90" s="239"/>
      <c r="SN90" s="239"/>
      <c r="SO90" s="239"/>
      <c r="SP90" s="239"/>
      <c r="SQ90" s="239"/>
      <c r="SR90" s="239"/>
      <c r="SS90" s="239"/>
      <c r="ST90" s="239"/>
      <c r="SU90" s="239"/>
      <c r="SV90" s="239"/>
      <c r="SW90" s="239"/>
      <c r="SX90" s="239"/>
      <c r="SY90" s="239"/>
      <c r="SZ90" s="239"/>
      <c r="TA90" s="239"/>
      <c r="TB90" s="239"/>
      <c r="TC90" s="239"/>
      <c r="TD90" s="239"/>
      <c r="TE90" s="239"/>
      <c r="TF90" s="239"/>
      <c r="TG90" s="239"/>
      <c r="TH90" s="239"/>
      <c r="TI90" s="239"/>
      <c r="TJ90" s="239"/>
      <c r="TK90" s="239"/>
      <c r="TL90" s="239"/>
      <c r="TM90" s="239"/>
      <c r="TN90" s="239"/>
      <c r="TO90" s="239"/>
      <c r="TP90" s="239"/>
      <c r="TQ90" s="239"/>
      <c r="TR90" s="239"/>
      <c r="TS90" s="239"/>
      <c r="TT90" s="239"/>
      <c r="TU90" s="239"/>
      <c r="TV90" s="239"/>
      <c r="TW90" s="239"/>
      <c r="TX90" s="239"/>
      <c r="TY90" s="239"/>
      <c r="TZ90" s="239"/>
      <c r="UA90" s="239"/>
      <c r="UB90" s="239"/>
      <c r="UC90" s="239"/>
      <c r="UD90" s="239"/>
      <c r="UE90" s="239"/>
      <c r="UF90" s="239"/>
      <c r="UG90" s="240"/>
    </row>
    <row r="91" spans="1:553" s="236" customFormat="1" ht="34.5" customHeight="1">
      <c r="A91" s="356" t="s">
        <v>15</v>
      </c>
      <c r="B91" s="398" t="s">
        <v>149</v>
      </c>
      <c r="C91" s="1443" t="s">
        <v>150</v>
      </c>
      <c r="D91" s="1389"/>
      <c r="E91" s="1389"/>
      <c r="F91" s="1390"/>
      <c r="G91" s="386" t="s">
        <v>935</v>
      </c>
      <c r="H91" s="370"/>
      <c r="I91" s="422">
        <f>5.7*1.25+2.5*1.25+4*1</f>
        <v>14.25</v>
      </c>
      <c r="J91" s="368">
        <v>267200</v>
      </c>
      <c r="K91" s="371"/>
      <c r="L91" s="391">
        <f t="shared" si="20"/>
        <v>3807600</v>
      </c>
      <c r="M91" s="395"/>
      <c r="N91" s="395"/>
      <c r="O91" s="366"/>
      <c r="P91" s="396"/>
      <c r="Q91" s="473"/>
      <c r="R91" s="1039"/>
      <c r="S91" s="308"/>
      <c r="T91" s="303"/>
      <c r="U91" s="306"/>
      <c r="V91" s="307"/>
      <c r="W91" s="307"/>
      <c r="X91" s="307"/>
      <c r="Y91" s="307"/>
      <c r="Z91" s="307"/>
      <c r="AA91" s="307"/>
      <c r="AB91" s="307"/>
      <c r="AC91" s="449"/>
      <c r="AD91" s="449"/>
      <c r="AE91" s="449"/>
      <c r="AF91" s="449"/>
      <c r="AG91" s="452"/>
      <c r="AH91" s="452"/>
      <c r="AI91" s="452"/>
      <c r="AJ91" s="452"/>
      <c r="AK91" s="452"/>
      <c r="AL91" s="242"/>
      <c r="AM91" s="241"/>
      <c r="AN91" s="241"/>
      <c r="AO91" s="241"/>
      <c r="AP91" s="241"/>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9"/>
      <c r="CP91" s="239"/>
      <c r="CQ91" s="239"/>
      <c r="CR91" s="239"/>
      <c r="CS91" s="239"/>
      <c r="CT91" s="239"/>
      <c r="CU91" s="239"/>
      <c r="CV91" s="239"/>
      <c r="CW91" s="239"/>
      <c r="CX91" s="239"/>
      <c r="CY91" s="239"/>
      <c r="CZ91" s="239"/>
      <c r="DA91" s="239"/>
      <c r="DB91" s="239"/>
      <c r="DC91" s="239"/>
      <c r="DD91" s="239"/>
      <c r="DE91" s="239"/>
      <c r="DF91" s="239"/>
      <c r="DG91" s="239"/>
      <c r="DH91" s="239"/>
      <c r="DI91" s="239"/>
      <c r="DJ91" s="239"/>
      <c r="DK91" s="239"/>
      <c r="DL91" s="239"/>
      <c r="DM91" s="239"/>
      <c r="DN91" s="239"/>
      <c r="DO91" s="239"/>
      <c r="DP91" s="239"/>
      <c r="DQ91" s="239"/>
      <c r="DR91" s="239"/>
      <c r="DS91" s="239"/>
      <c r="DT91" s="239"/>
      <c r="DU91" s="239"/>
      <c r="DV91" s="239"/>
      <c r="DW91" s="239"/>
      <c r="DX91" s="239"/>
      <c r="DY91" s="239"/>
      <c r="DZ91" s="239"/>
      <c r="EA91" s="239"/>
      <c r="EB91" s="239"/>
      <c r="EC91" s="239"/>
      <c r="ED91" s="239"/>
      <c r="EE91" s="239"/>
      <c r="EF91" s="239"/>
      <c r="EG91" s="239"/>
      <c r="EH91" s="239"/>
      <c r="EI91" s="239"/>
      <c r="EJ91" s="239"/>
      <c r="EK91" s="239"/>
      <c r="EL91" s="239"/>
      <c r="EM91" s="239"/>
      <c r="EN91" s="239"/>
      <c r="EO91" s="239"/>
      <c r="EP91" s="239"/>
      <c r="EQ91" s="239"/>
      <c r="ER91" s="239"/>
      <c r="ES91" s="239"/>
      <c r="ET91" s="239"/>
      <c r="EU91" s="239"/>
      <c r="EV91" s="239"/>
      <c r="EW91" s="239"/>
      <c r="EX91" s="239"/>
      <c r="EY91" s="239"/>
      <c r="EZ91" s="239"/>
      <c r="FA91" s="239"/>
      <c r="FB91" s="239"/>
      <c r="FC91" s="239"/>
      <c r="FD91" s="239"/>
      <c r="FE91" s="239"/>
      <c r="FF91" s="239"/>
      <c r="FG91" s="239"/>
      <c r="FH91" s="239"/>
      <c r="FI91" s="239"/>
      <c r="FJ91" s="239"/>
      <c r="FK91" s="239"/>
      <c r="FL91" s="239"/>
      <c r="FM91" s="239"/>
      <c r="FN91" s="239"/>
      <c r="FO91" s="239"/>
      <c r="FP91" s="239"/>
      <c r="FQ91" s="239"/>
      <c r="FR91" s="239"/>
      <c r="FS91" s="239"/>
      <c r="FT91" s="239"/>
      <c r="FU91" s="239"/>
      <c r="FV91" s="239"/>
      <c r="FW91" s="239"/>
      <c r="FX91" s="239"/>
      <c r="FY91" s="239"/>
      <c r="FZ91" s="239"/>
      <c r="GA91" s="239"/>
      <c r="GB91" s="239"/>
      <c r="GC91" s="239"/>
      <c r="GD91" s="239"/>
      <c r="GE91" s="239"/>
      <c r="GF91" s="239"/>
      <c r="GG91" s="239"/>
      <c r="GH91" s="239"/>
      <c r="GI91" s="239"/>
      <c r="GJ91" s="239"/>
      <c r="GK91" s="239"/>
      <c r="GL91" s="239"/>
      <c r="GM91" s="239"/>
      <c r="GN91" s="239"/>
      <c r="GO91" s="239"/>
      <c r="GP91" s="239"/>
      <c r="GQ91" s="239"/>
      <c r="GR91" s="239"/>
      <c r="GS91" s="239"/>
      <c r="GT91" s="239"/>
      <c r="GU91" s="239"/>
      <c r="GV91" s="239"/>
      <c r="GW91" s="239"/>
      <c r="GX91" s="239"/>
      <c r="GY91" s="239"/>
      <c r="GZ91" s="239"/>
      <c r="HA91" s="239"/>
      <c r="HB91" s="239"/>
      <c r="HC91" s="239"/>
      <c r="HD91" s="239"/>
      <c r="HE91" s="239"/>
      <c r="HF91" s="239"/>
      <c r="HG91" s="239"/>
      <c r="HH91" s="239"/>
      <c r="HI91" s="239"/>
      <c r="HJ91" s="239"/>
      <c r="HK91" s="239"/>
      <c r="HL91" s="239"/>
      <c r="HM91" s="239"/>
      <c r="HN91" s="239"/>
      <c r="HO91" s="239"/>
      <c r="HP91" s="239"/>
      <c r="HQ91" s="239"/>
      <c r="HR91" s="239"/>
      <c r="HS91" s="239"/>
      <c r="HT91" s="239"/>
      <c r="HU91" s="239"/>
      <c r="HV91" s="239"/>
      <c r="HW91" s="239"/>
      <c r="HX91" s="239"/>
      <c r="HY91" s="239"/>
      <c r="HZ91" s="239"/>
      <c r="IA91" s="239"/>
      <c r="IB91" s="239"/>
      <c r="IC91" s="239"/>
      <c r="ID91" s="239"/>
      <c r="IE91" s="239"/>
      <c r="IF91" s="239"/>
      <c r="IG91" s="239"/>
      <c r="IH91" s="239"/>
      <c r="II91" s="239"/>
      <c r="IJ91" s="239"/>
      <c r="IK91" s="239"/>
      <c r="IL91" s="239"/>
      <c r="IM91" s="239"/>
      <c r="IN91" s="239"/>
      <c r="IO91" s="239"/>
      <c r="IP91" s="239"/>
      <c r="IQ91" s="239"/>
      <c r="IR91" s="239"/>
      <c r="IS91" s="239"/>
      <c r="IT91" s="239"/>
      <c r="IU91" s="239"/>
      <c r="IV91" s="239"/>
      <c r="IW91" s="239"/>
      <c r="IX91" s="239"/>
      <c r="IY91" s="239"/>
      <c r="IZ91" s="239"/>
      <c r="JA91" s="239"/>
      <c r="JB91" s="239"/>
      <c r="JC91" s="239"/>
      <c r="JD91" s="239"/>
      <c r="JE91" s="239"/>
      <c r="JF91" s="239"/>
      <c r="JG91" s="239"/>
      <c r="JH91" s="239"/>
      <c r="JI91" s="239"/>
      <c r="JJ91" s="239"/>
      <c r="JK91" s="239"/>
      <c r="JL91" s="239"/>
      <c r="JM91" s="239"/>
      <c r="JN91" s="239"/>
      <c r="JO91" s="239"/>
      <c r="JP91" s="239"/>
      <c r="JQ91" s="239"/>
      <c r="JR91" s="239"/>
      <c r="JS91" s="239"/>
      <c r="JT91" s="239"/>
      <c r="JU91" s="239"/>
      <c r="JV91" s="239"/>
      <c r="JW91" s="239"/>
      <c r="JX91" s="239"/>
      <c r="JY91" s="239"/>
      <c r="JZ91" s="239"/>
      <c r="KA91" s="239"/>
      <c r="KB91" s="239"/>
      <c r="KC91" s="239"/>
      <c r="KD91" s="239"/>
      <c r="KE91" s="239"/>
      <c r="KF91" s="239"/>
      <c r="KG91" s="239"/>
      <c r="KH91" s="239"/>
      <c r="KI91" s="239"/>
      <c r="KJ91" s="239"/>
      <c r="KK91" s="239"/>
      <c r="KL91" s="239"/>
      <c r="KM91" s="239"/>
      <c r="KN91" s="239"/>
      <c r="KO91" s="239"/>
      <c r="KP91" s="239"/>
      <c r="KQ91" s="239"/>
      <c r="KR91" s="239"/>
      <c r="KS91" s="239"/>
      <c r="KT91" s="239"/>
      <c r="KU91" s="239"/>
      <c r="KV91" s="239"/>
      <c r="KW91" s="239"/>
      <c r="KX91" s="239"/>
      <c r="KY91" s="239"/>
      <c r="KZ91" s="239"/>
      <c r="LA91" s="239"/>
      <c r="LB91" s="239"/>
      <c r="LC91" s="239"/>
      <c r="LD91" s="239"/>
      <c r="LE91" s="239"/>
      <c r="LF91" s="239"/>
      <c r="LG91" s="239"/>
      <c r="LH91" s="239"/>
      <c r="LI91" s="239"/>
      <c r="LJ91" s="239"/>
      <c r="LK91" s="239"/>
      <c r="LL91" s="239"/>
      <c r="LM91" s="239"/>
      <c r="LN91" s="239"/>
      <c r="LO91" s="239"/>
      <c r="LP91" s="239"/>
      <c r="LQ91" s="239"/>
      <c r="LR91" s="239"/>
      <c r="LS91" s="239"/>
      <c r="LT91" s="239"/>
      <c r="LU91" s="239"/>
      <c r="LV91" s="239"/>
      <c r="LW91" s="239"/>
      <c r="LX91" s="239"/>
      <c r="LY91" s="239"/>
      <c r="LZ91" s="239"/>
      <c r="MA91" s="239"/>
      <c r="MB91" s="239"/>
      <c r="MC91" s="239"/>
      <c r="MD91" s="239"/>
      <c r="ME91" s="239"/>
      <c r="MF91" s="239"/>
      <c r="MG91" s="239"/>
      <c r="MH91" s="239"/>
      <c r="MI91" s="239"/>
      <c r="MJ91" s="239"/>
      <c r="MK91" s="239"/>
      <c r="ML91" s="239"/>
      <c r="MM91" s="239"/>
      <c r="MN91" s="239"/>
      <c r="MO91" s="239"/>
      <c r="MP91" s="239"/>
      <c r="MQ91" s="239"/>
      <c r="MR91" s="239"/>
      <c r="MS91" s="239"/>
      <c r="MT91" s="239"/>
      <c r="MU91" s="239"/>
      <c r="MV91" s="239"/>
      <c r="MW91" s="239"/>
      <c r="MX91" s="239"/>
      <c r="MY91" s="239"/>
      <c r="MZ91" s="239"/>
      <c r="NA91" s="239"/>
      <c r="NB91" s="239"/>
      <c r="NC91" s="239"/>
      <c r="ND91" s="239"/>
      <c r="NE91" s="239"/>
      <c r="NF91" s="239"/>
      <c r="NG91" s="239"/>
      <c r="NH91" s="239"/>
      <c r="NI91" s="239"/>
      <c r="NJ91" s="239"/>
      <c r="NK91" s="239"/>
      <c r="NL91" s="239"/>
      <c r="NM91" s="239"/>
      <c r="NN91" s="239"/>
      <c r="NO91" s="239"/>
      <c r="NP91" s="239"/>
      <c r="NQ91" s="239"/>
      <c r="NR91" s="239"/>
      <c r="NS91" s="239"/>
      <c r="NT91" s="239"/>
      <c r="NU91" s="239"/>
      <c r="NV91" s="239"/>
      <c r="NW91" s="239"/>
      <c r="NX91" s="239"/>
      <c r="NY91" s="239"/>
      <c r="NZ91" s="239"/>
      <c r="OA91" s="239"/>
      <c r="OB91" s="239"/>
      <c r="OC91" s="239"/>
      <c r="OD91" s="239"/>
      <c r="OE91" s="239"/>
      <c r="OF91" s="239"/>
      <c r="OG91" s="239"/>
      <c r="OH91" s="239"/>
      <c r="OI91" s="239"/>
      <c r="OJ91" s="239"/>
      <c r="OK91" s="239"/>
      <c r="OL91" s="239"/>
      <c r="OM91" s="239"/>
      <c r="ON91" s="239"/>
      <c r="OO91" s="239"/>
      <c r="OP91" s="239"/>
      <c r="OQ91" s="239"/>
      <c r="OR91" s="239"/>
      <c r="OS91" s="239"/>
      <c r="OT91" s="239"/>
      <c r="OU91" s="239"/>
      <c r="OV91" s="239"/>
      <c r="OW91" s="239"/>
      <c r="OX91" s="239"/>
      <c r="OY91" s="239"/>
      <c r="OZ91" s="239"/>
      <c r="PA91" s="239"/>
      <c r="PB91" s="239"/>
      <c r="PC91" s="239"/>
      <c r="PD91" s="239"/>
      <c r="PE91" s="239"/>
      <c r="PF91" s="239"/>
      <c r="PG91" s="239"/>
      <c r="PH91" s="239"/>
      <c r="PI91" s="239"/>
      <c r="PJ91" s="239"/>
      <c r="PK91" s="239"/>
      <c r="PL91" s="239"/>
      <c r="PM91" s="239"/>
      <c r="PN91" s="239"/>
      <c r="PO91" s="239"/>
      <c r="PP91" s="239"/>
      <c r="PQ91" s="239"/>
      <c r="PR91" s="239"/>
      <c r="PS91" s="239"/>
      <c r="PT91" s="239"/>
      <c r="PU91" s="239"/>
      <c r="PV91" s="239"/>
      <c r="PW91" s="239"/>
      <c r="PX91" s="239"/>
      <c r="PY91" s="239"/>
      <c r="PZ91" s="239"/>
      <c r="QA91" s="239"/>
      <c r="QB91" s="239"/>
      <c r="QC91" s="239"/>
      <c r="QD91" s="239"/>
      <c r="QE91" s="239"/>
      <c r="QF91" s="239"/>
      <c r="QG91" s="239"/>
      <c r="QH91" s="239"/>
      <c r="QI91" s="239"/>
      <c r="QJ91" s="239"/>
      <c r="QK91" s="239"/>
      <c r="QL91" s="239"/>
      <c r="QM91" s="239"/>
      <c r="QN91" s="239"/>
      <c r="QO91" s="239"/>
      <c r="QP91" s="239"/>
      <c r="QQ91" s="239"/>
      <c r="QR91" s="239"/>
      <c r="QS91" s="239"/>
      <c r="QT91" s="239"/>
      <c r="QU91" s="239"/>
      <c r="QV91" s="239"/>
      <c r="QW91" s="239"/>
      <c r="QX91" s="239"/>
      <c r="QY91" s="239"/>
      <c r="QZ91" s="239"/>
      <c r="RA91" s="239"/>
      <c r="RB91" s="239"/>
      <c r="RC91" s="239"/>
      <c r="RD91" s="239"/>
      <c r="RE91" s="239"/>
      <c r="RF91" s="239"/>
      <c r="RG91" s="239"/>
      <c r="RH91" s="239"/>
      <c r="RI91" s="239"/>
      <c r="RJ91" s="239"/>
      <c r="RK91" s="239"/>
      <c r="RL91" s="239"/>
      <c r="RM91" s="239"/>
      <c r="RN91" s="239"/>
      <c r="RO91" s="239"/>
      <c r="RP91" s="239"/>
      <c r="RQ91" s="239"/>
      <c r="RR91" s="239"/>
      <c r="RS91" s="239"/>
      <c r="RT91" s="239"/>
      <c r="RU91" s="239"/>
      <c r="RV91" s="239"/>
      <c r="RW91" s="239"/>
      <c r="RX91" s="239"/>
      <c r="RY91" s="239"/>
      <c r="RZ91" s="239"/>
      <c r="SA91" s="239"/>
      <c r="SB91" s="239"/>
      <c r="SC91" s="239"/>
      <c r="SD91" s="239"/>
      <c r="SE91" s="239"/>
      <c r="SF91" s="239"/>
      <c r="SG91" s="239"/>
      <c r="SH91" s="239"/>
      <c r="SI91" s="239"/>
      <c r="SJ91" s="239"/>
      <c r="SK91" s="239"/>
      <c r="SL91" s="239"/>
      <c r="SM91" s="239"/>
      <c r="SN91" s="239"/>
      <c r="SO91" s="239"/>
      <c r="SP91" s="239"/>
      <c r="SQ91" s="239"/>
      <c r="SR91" s="239"/>
      <c r="SS91" s="239"/>
      <c r="ST91" s="239"/>
      <c r="SU91" s="239"/>
      <c r="SV91" s="239"/>
      <c r="SW91" s="239"/>
      <c r="SX91" s="239"/>
      <c r="SY91" s="239"/>
      <c r="SZ91" s="239"/>
      <c r="TA91" s="239"/>
      <c r="TB91" s="239"/>
      <c r="TC91" s="239"/>
      <c r="TD91" s="239"/>
      <c r="TE91" s="239"/>
      <c r="TF91" s="239"/>
      <c r="TG91" s="239"/>
      <c r="TH91" s="239"/>
      <c r="TI91" s="239"/>
      <c r="TJ91" s="239"/>
      <c r="TK91" s="239"/>
      <c r="TL91" s="239"/>
      <c r="TM91" s="239"/>
      <c r="TN91" s="239"/>
      <c r="TO91" s="239"/>
      <c r="TP91" s="239"/>
      <c r="TQ91" s="239"/>
      <c r="TR91" s="239"/>
      <c r="TS91" s="239"/>
      <c r="TT91" s="239"/>
      <c r="TU91" s="239"/>
      <c r="TV91" s="239"/>
      <c r="TW91" s="239"/>
      <c r="TX91" s="239"/>
      <c r="TY91" s="239"/>
      <c r="TZ91" s="239"/>
      <c r="UA91" s="239"/>
      <c r="UB91" s="239"/>
      <c r="UC91" s="239"/>
      <c r="UD91" s="239"/>
      <c r="UE91" s="239"/>
      <c r="UF91" s="239"/>
      <c r="UG91" s="240"/>
    </row>
    <row r="92" spans="1:553" s="236" customFormat="1" ht="34.5" customHeight="1">
      <c r="A92" s="356" t="s">
        <v>30</v>
      </c>
      <c r="B92" s="398" t="s">
        <v>151</v>
      </c>
      <c r="C92" s="1443" t="s">
        <v>880</v>
      </c>
      <c r="D92" s="1389"/>
      <c r="E92" s="1389"/>
      <c r="F92" s="1390"/>
      <c r="G92" s="386" t="s">
        <v>113</v>
      </c>
      <c r="H92" s="370"/>
      <c r="I92" s="422">
        <f>3.5+4.5+2.8</f>
        <v>10.8</v>
      </c>
      <c r="J92" s="368">
        <v>420000</v>
      </c>
      <c r="K92" s="371"/>
      <c r="L92" s="391">
        <f t="shared" si="20"/>
        <v>4536000</v>
      </c>
      <c r="M92" s="395"/>
      <c r="N92" s="395"/>
      <c r="O92" s="366"/>
      <c r="P92" s="396"/>
      <c r="Q92" s="473"/>
      <c r="R92" s="1039"/>
      <c r="S92" s="308"/>
      <c r="T92" s="303"/>
      <c r="U92" s="306"/>
      <c r="V92" s="307"/>
      <c r="W92" s="307"/>
      <c r="X92" s="307"/>
      <c r="Y92" s="307"/>
      <c r="Z92" s="307"/>
      <c r="AA92" s="307"/>
      <c r="AB92" s="307"/>
      <c r="AC92" s="449"/>
      <c r="AD92" s="449"/>
      <c r="AE92" s="449"/>
      <c r="AF92" s="449"/>
      <c r="AG92" s="452"/>
      <c r="AH92" s="452"/>
      <c r="AI92" s="452"/>
      <c r="AJ92" s="452"/>
      <c r="AK92" s="452"/>
      <c r="AL92" s="242"/>
      <c r="AM92" s="241"/>
      <c r="AN92" s="241"/>
      <c r="AO92" s="241"/>
      <c r="AP92" s="241"/>
      <c r="AQ92" s="238"/>
      <c r="AR92" s="238"/>
      <c r="AS92" s="238"/>
      <c r="AT92" s="238"/>
      <c r="AU92" s="238"/>
      <c r="AV92" s="238"/>
      <c r="AW92" s="238"/>
      <c r="AX92" s="238"/>
      <c r="AY92" s="238"/>
      <c r="AZ92" s="238"/>
      <c r="BA92" s="238"/>
      <c r="BB92" s="238"/>
      <c r="BC92" s="238"/>
      <c r="BD92" s="238"/>
      <c r="BE92" s="238"/>
      <c r="BF92" s="238"/>
      <c r="BG92" s="238"/>
      <c r="BH92" s="238"/>
      <c r="BI92" s="238"/>
      <c r="BJ92" s="238"/>
      <c r="BK92" s="238"/>
      <c r="BL92" s="238"/>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9"/>
      <c r="CP92" s="239"/>
      <c r="CQ92" s="239"/>
      <c r="CR92" s="239"/>
      <c r="CS92" s="239"/>
      <c r="CT92" s="239"/>
      <c r="CU92" s="239"/>
      <c r="CV92" s="239"/>
      <c r="CW92" s="239"/>
      <c r="CX92" s="239"/>
      <c r="CY92" s="239"/>
      <c r="CZ92" s="239"/>
      <c r="DA92" s="239"/>
      <c r="DB92" s="239"/>
      <c r="DC92" s="239"/>
      <c r="DD92" s="239"/>
      <c r="DE92" s="239"/>
      <c r="DF92" s="239"/>
      <c r="DG92" s="239"/>
      <c r="DH92" s="239"/>
      <c r="DI92" s="239"/>
      <c r="DJ92" s="239"/>
      <c r="DK92" s="239"/>
      <c r="DL92" s="239"/>
      <c r="DM92" s="239"/>
      <c r="DN92" s="239"/>
      <c r="DO92" s="239"/>
      <c r="DP92" s="239"/>
      <c r="DQ92" s="239"/>
      <c r="DR92" s="239"/>
      <c r="DS92" s="239"/>
      <c r="DT92" s="239"/>
      <c r="DU92" s="239"/>
      <c r="DV92" s="239"/>
      <c r="DW92" s="239"/>
      <c r="DX92" s="239"/>
      <c r="DY92" s="239"/>
      <c r="DZ92" s="239"/>
      <c r="EA92" s="239"/>
      <c r="EB92" s="239"/>
      <c r="EC92" s="239"/>
      <c r="ED92" s="239"/>
      <c r="EE92" s="239"/>
      <c r="EF92" s="239"/>
      <c r="EG92" s="239"/>
      <c r="EH92" s="239"/>
      <c r="EI92" s="239"/>
      <c r="EJ92" s="239"/>
      <c r="EK92" s="239"/>
      <c r="EL92" s="239"/>
      <c r="EM92" s="239"/>
      <c r="EN92" s="239"/>
      <c r="EO92" s="239"/>
      <c r="EP92" s="239"/>
      <c r="EQ92" s="239"/>
      <c r="ER92" s="239"/>
      <c r="ES92" s="239"/>
      <c r="ET92" s="239"/>
      <c r="EU92" s="239"/>
      <c r="EV92" s="239"/>
      <c r="EW92" s="239"/>
      <c r="EX92" s="239"/>
      <c r="EY92" s="239"/>
      <c r="EZ92" s="239"/>
      <c r="FA92" s="239"/>
      <c r="FB92" s="239"/>
      <c r="FC92" s="239"/>
      <c r="FD92" s="239"/>
      <c r="FE92" s="239"/>
      <c r="FF92" s="239"/>
      <c r="FG92" s="239"/>
      <c r="FH92" s="239"/>
      <c r="FI92" s="239"/>
      <c r="FJ92" s="239"/>
      <c r="FK92" s="239"/>
      <c r="FL92" s="239"/>
      <c r="FM92" s="239"/>
      <c r="FN92" s="239"/>
      <c r="FO92" s="239"/>
      <c r="FP92" s="239"/>
      <c r="FQ92" s="239"/>
      <c r="FR92" s="239"/>
      <c r="FS92" s="239"/>
      <c r="FT92" s="239"/>
      <c r="FU92" s="239"/>
      <c r="FV92" s="239"/>
      <c r="FW92" s="239"/>
      <c r="FX92" s="239"/>
      <c r="FY92" s="239"/>
      <c r="FZ92" s="239"/>
      <c r="GA92" s="239"/>
      <c r="GB92" s="239"/>
      <c r="GC92" s="239"/>
      <c r="GD92" s="239"/>
      <c r="GE92" s="239"/>
      <c r="GF92" s="239"/>
      <c r="GG92" s="239"/>
      <c r="GH92" s="239"/>
      <c r="GI92" s="239"/>
      <c r="GJ92" s="239"/>
      <c r="GK92" s="239"/>
      <c r="GL92" s="239"/>
      <c r="GM92" s="239"/>
      <c r="GN92" s="239"/>
      <c r="GO92" s="239"/>
      <c r="GP92" s="239"/>
      <c r="GQ92" s="239"/>
      <c r="GR92" s="239"/>
      <c r="GS92" s="239"/>
      <c r="GT92" s="239"/>
      <c r="GU92" s="239"/>
      <c r="GV92" s="239"/>
      <c r="GW92" s="239"/>
      <c r="GX92" s="239"/>
      <c r="GY92" s="239"/>
      <c r="GZ92" s="239"/>
      <c r="HA92" s="239"/>
      <c r="HB92" s="239"/>
      <c r="HC92" s="239"/>
      <c r="HD92" s="239"/>
      <c r="HE92" s="239"/>
      <c r="HF92" s="239"/>
      <c r="HG92" s="239"/>
      <c r="HH92" s="239"/>
      <c r="HI92" s="239"/>
      <c r="HJ92" s="239"/>
      <c r="HK92" s="239"/>
      <c r="HL92" s="239"/>
      <c r="HM92" s="239"/>
      <c r="HN92" s="239"/>
      <c r="HO92" s="239"/>
      <c r="HP92" s="239"/>
      <c r="HQ92" s="239"/>
      <c r="HR92" s="239"/>
      <c r="HS92" s="239"/>
      <c r="HT92" s="239"/>
      <c r="HU92" s="239"/>
      <c r="HV92" s="239"/>
      <c r="HW92" s="239"/>
      <c r="HX92" s="239"/>
      <c r="HY92" s="239"/>
      <c r="HZ92" s="239"/>
      <c r="IA92" s="239"/>
      <c r="IB92" s="239"/>
      <c r="IC92" s="239"/>
      <c r="ID92" s="239"/>
      <c r="IE92" s="239"/>
      <c r="IF92" s="239"/>
      <c r="IG92" s="239"/>
      <c r="IH92" s="239"/>
      <c r="II92" s="239"/>
      <c r="IJ92" s="239"/>
      <c r="IK92" s="239"/>
      <c r="IL92" s="239"/>
      <c r="IM92" s="239"/>
      <c r="IN92" s="239"/>
      <c r="IO92" s="239"/>
      <c r="IP92" s="239"/>
      <c r="IQ92" s="239"/>
      <c r="IR92" s="239"/>
      <c r="IS92" s="239"/>
      <c r="IT92" s="239"/>
      <c r="IU92" s="239"/>
      <c r="IV92" s="239"/>
      <c r="IW92" s="239"/>
      <c r="IX92" s="239"/>
      <c r="IY92" s="239"/>
      <c r="IZ92" s="239"/>
      <c r="JA92" s="239"/>
      <c r="JB92" s="239"/>
      <c r="JC92" s="239"/>
      <c r="JD92" s="239"/>
      <c r="JE92" s="239"/>
      <c r="JF92" s="239"/>
      <c r="JG92" s="239"/>
      <c r="JH92" s="239"/>
      <c r="JI92" s="239"/>
      <c r="JJ92" s="239"/>
      <c r="JK92" s="239"/>
      <c r="JL92" s="239"/>
      <c r="JM92" s="239"/>
      <c r="JN92" s="239"/>
      <c r="JO92" s="239"/>
      <c r="JP92" s="239"/>
      <c r="JQ92" s="239"/>
      <c r="JR92" s="239"/>
      <c r="JS92" s="239"/>
      <c r="JT92" s="239"/>
      <c r="JU92" s="239"/>
      <c r="JV92" s="239"/>
      <c r="JW92" s="239"/>
      <c r="JX92" s="239"/>
      <c r="JY92" s="239"/>
      <c r="JZ92" s="239"/>
      <c r="KA92" s="239"/>
      <c r="KB92" s="239"/>
      <c r="KC92" s="239"/>
      <c r="KD92" s="239"/>
      <c r="KE92" s="239"/>
      <c r="KF92" s="239"/>
      <c r="KG92" s="239"/>
      <c r="KH92" s="239"/>
      <c r="KI92" s="239"/>
      <c r="KJ92" s="239"/>
      <c r="KK92" s="239"/>
      <c r="KL92" s="239"/>
      <c r="KM92" s="239"/>
      <c r="KN92" s="239"/>
      <c r="KO92" s="239"/>
      <c r="KP92" s="239"/>
      <c r="KQ92" s="239"/>
      <c r="KR92" s="239"/>
      <c r="KS92" s="239"/>
      <c r="KT92" s="239"/>
      <c r="KU92" s="239"/>
      <c r="KV92" s="239"/>
      <c r="KW92" s="239"/>
      <c r="KX92" s="239"/>
      <c r="KY92" s="239"/>
      <c r="KZ92" s="239"/>
      <c r="LA92" s="239"/>
      <c r="LB92" s="239"/>
      <c r="LC92" s="239"/>
      <c r="LD92" s="239"/>
      <c r="LE92" s="239"/>
      <c r="LF92" s="239"/>
      <c r="LG92" s="239"/>
      <c r="LH92" s="239"/>
      <c r="LI92" s="239"/>
      <c r="LJ92" s="239"/>
      <c r="LK92" s="239"/>
      <c r="LL92" s="239"/>
      <c r="LM92" s="239"/>
      <c r="LN92" s="239"/>
      <c r="LO92" s="239"/>
      <c r="LP92" s="239"/>
      <c r="LQ92" s="239"/>
      <c r="LR92" s="239"/>
      <c r="LS92" s="239"/>
      <c r="LT92" s="239"/>
      <c r="LU92" s="239"/>
      <c r="LV92" s="239"/>
      <c r="LW92" s="239"/>
      <c r="LX92" s="239"/>
      <c r="LY92" s="239"/>
      <c r="LZ92" s="239"/>
      <c r="MA92" s="239"/>
      <c r="MB92" s="239"/>
      <c r="MC92" s="239"/>
      <c r="MD92" s="239"/>
      <c r="ME92" s="239"/>
      <c r="MF92" s="239"/>
      <c r="MG92" s="239"/>
      <c r="MH92" s="239"/>
      <c r="MI92" s="239"/>
      <c r="MJ92" s="239"/>
      <c r="MK92" s="239"/>
      <c r="ML92" s="239"/>
      <c r="MM92" s="239"/>
      <c r="MN92" s="239"/>
      <c r="MO92" s="239"/>
      <c r="MP92" s="239"/>
      <c r="MQ92" s="239"/>
      <c r="MR92" s="239"/>
      <c r="MS92" s="239"/>
      <c r="MT92" s="239"/>
      <c r="MU92" s="239"/>
      <c r="MV92" s="239"/>
      <c r="MW92" s="239"/>
      <c r="MX92" s="239"/>
      <c r="MY92" s="239"/>
      <c r="MZ92" s="239"/>
      <c r="NA92" s="239"/>
      <c r="NB92" s="239"/>
      <c r="NC92" s="239"/>
      <c r="ND92" s="239"/>
      <c r="NE92" s="239"/>
      <c r="NF92" s="239"/>
      <c r="NG92" s="239"/>
      <c r="NH92" s="239"/>
      <c r="NI92" s="239"/>
      <c r="NJ92" s="239"/>
      <c r="NK92" s="239"/>
      <c r="NL92" s="239"/>
      <c r="NM92" s="239"/>
      <c r="NN92" s="239"/>
      <c r="NO92" s="239"/>
      <c r="NP92" s="239"/>
      <c r="NQ92" s="239"/>
      <c r="NR92" s="239"/>
      <c r="NS92" s="239"/>
      <c r="NT92" s="239"/>
      <c r="NU92" s="239"/>
      <c r="NV92" s="239"/>
      <c r="NW92" s="239"/>
      <c r="NX92" s="239"/>
      <c r="NY92" s="239"/>
      <c r="NZ92" s="239"/>
      <c r="OA92" s="239"/>
      <c r="OB92" s="239"/>
      <c r="OC92" s="239"/>
      <c r="OD92" s="239"/>
      <c r="OE92" s="239"/>
      <c r="OF92" s="239"/>
      <c r="OG92" s="239"/>
      <c r="OH92" s="239"/>
      <c r="OI92" s="239"/>
      <c r="OJ92" s="239"/>
      <c r="OK92" s="239"/>
      <c r="OL92" s="239"/>
      <c r="OM92" s="239"/>
      <c r="ON92" s="239"/>
      <c r="OO92" s="239"/>
      <c r="OP92" s="239"/>
      <c r="OQ92" s="239"/>
      <c r="OR92" s="239"/>
      <c r="OS92" s="239"/>
      <c r="OT92" s="239"/>
      <c r="OU92" s="239"/>
      <c r="OV92" s="239"/>
      <c r="OW92" s="239"/>
      <c r="OX92" s="239"/>
      <c r="OY92" s="239"/>
      <c r="OZ92" s="239"/>
      <c r="PA92" s="239"/>
      <c r="PB92" s="239"/>
      <c r="PC92" s="239"/>
      <c r="PD92" s="239"/>
      <c r="PE92" s="239"/>
      <c r="PF92" s="239"/>
      <c r="PG92" s="239"/>
      <c r="PH92" s="239"/>
      <c r="PI92" s="239"/>
      <c r="PJ92" s="239"/>
      <c r="PK92" s="239"/>
      <c r="PL92" s="239"/>
      <c r="PM92" s="239"/>
      <c r="PN92" s="239"/>
      <c r="PO92" s="239"/>
      <c r="PP92" s="239"/>
      <c r="PQ92" s="239"/>
      <c r="PR92" s="239"/>
      <c r="PS92" s="239"/>
      <c r="PT92" s="239"/>
      <c r="PU92" s="239"/>
      <c r="PV92" s="239"/>
      <c r="PW92" s="239"/>
      <c r="PX92" s="239"/>
      <c r="PY92" s="239"/>
      <c r="PZ92" s="239"/>
      <c r="QA92" s="239"/>
      <c r="QB92" s="239"/>
      <c r="QC92" s="239"/>
      <c r="QD92" s="239"/>
      <c r="QE92" s="239"/>
      <c r="QF92" s="239"/>
      <c r="QG92" s="239"/>
      <c r="QH92" s="239"/>
      <c r="QI92" s="239"/>
      <c r="QJ92" s="239"/>
      <c r="QK92" s="239"/>
      <c r="QL92" s="239"/>
      <c r="QM92" s="239"/>
      <c r="QN92" s="239"/>
      <c r="QO92" s="239"/>
      <c r="QP92" s="239"/>
      <c r="QQ92" s="239"/>
      <c r="QR92" s="239"/>
      <c r="QS92" s="239"/>
      <c r="QT92" s="239"/>
      <c r="QU92" s="239"/>
      <c r="QV92" s="239"/>
      <c r="QW92" s="239"/>
      <c r="QX92" s="239"/>
      <c r="QY92" s="239"/>
      <c r="QZ92" s="239"/>
      <c r="RA92" s="239"/>
      <c r="RB92" s="239"/>
      <c r="RC92" s="239"/>
      <c r="RD92" s="239"/>
      <c r="RE92" s="239"/>
      <c r="RF92" s="239"/>
      <c r="RG92" s="239"/>
      <c r="RH92" s="239"/>
      <c r="RI92" s="239"/>
      <c r="RJ92" s="239"/>
      <c r="RK92" s="239"/>
      <c r="RL92" s="239"/>
      <c r="RM92" s="239"/>
      <c r="RN92" s="239"/>
      <c r="RO92" s="239"/>
      <c r="RP92" s="239"/>
      <c r="RQ92" s="239"/>
      <c r="RR92" s="239"/>
      <c r="RS92" s="239"/>
      <c r="RT92" s="239"/>
      <c r="RU92" s="239"/>
      <c r="RV92" s="239"/>
      <c r="RW92" s="239"/>
      <c r="RX92" s="239"/>
      <c r="RY92" s="239"/>
      <c r="RZ92" s="239"/>
      <c r="SA92" s="239"/>
      <c r="SB92" s="239"/>
      <c r="SC92" s="239"/>
      <c r="SD92" s="239"/>
      <c r="SE92" s="239"/>
      <c r="SF92" s="239"/>
      <c r="SG92" s="239"/>
      <c r="SH92" s="239"/>
      <c r="SI92" s="239"/>
      <c r="SJ92" s="239"/>
      <c r="SK92" s="239"/>
      <c r="SL92" s="239"/>
      <c r="SM92" s="239"/>
      <c r="SN92" s="239"/>
      <c r="SO92" s="239"/>
      <c r="SP92" s="239"/>
      <c r="SQ92" s="239"/>
      <c r="SR92" s="239"/>
      <c r="SS92" s="239"/>
      <c r="ST92" s="239"/>
      <c r="SU92" s="239"/>
      <c r="SV92" s="239"/>
      <c r="SW92" s="239"/>
      <c r="SX92" s="239"/>
      <c r="SY92" s="239"/>
      <c r="SZ92" s="239"/>
      <c r="TA92" s="239"/>
      <c r="TB92" s="239"/>
      <c r="TC92" s="239"/>
      <c r="TD92" s="239"/>
      <c r="TE92" s="239"/>
      <c r="TF92" s="239"/>
      <c r="TG92" s="239"/>
      <c r="TH92" s="239"/>
      <c r="TI92" s="239"/>
      <c r="TJ92" s="239"/>
      <c r="TK92" s="239"/>
      <c r="TL92" s="239"/>
      <c r="TM92" s="239"/>
      <c r="TN92" s="239"/>
      <c r="TO92" s="239"/>
      <c r="TP92" s="239"/>
      <c r="TQ92" s="239"/>
      <c r="TR92" s="239"/>
      <c r="TS92" s="239"/>
      <c r="TT92" s="239"/>
      <c r="TU92" s="239"/>
      <c r="TV92" s="239"/>
      <c r="TW92" s="239"/>
      <c r="TX92" s="239"/>
      <c r="TY92" s="239"/>
      <c r="TZ92" s="239"/>
      <c r="UA92" s="239"/>
      <c r="UB92" s="239"/>
      <c r="UC92" s="239"/>
      <c r="UD92" s="239"/>
      <c r="UE92" s="239"/>
      <c r="UF92" s="239"/>
      <c r="UG92" s="240"/>
    </row>
    <row r="93" spans="1:553" s="236" customFormat="1" ht="34.5" customHeight="1">
      <c r="A93" s="356" t="s">
        <v>30</v>
      </c>
      <c r="B93" s="366" t="s">
        <v>35</v>
      </c>
      <c r="C93" s="1414" t="s">
        <v>1416</v>
      </c>
      <c r="D93" s="1389"/>
      <c r="E93" s="1389"/>
      <c r="F93" s="1390"/>
      <c r="G93" s="386" t="s">
        <v>935</v>
      </c>
      <c r="H93" s="370"/>
      <c r="I93" s="422">
        <f>0.46*10*13</f>
        <v>59.800000000000004</v>
      </c>
      <c r="J93" s="368">
        <v>39000</v>
      </c>
      <c r="K93" s="371"/>
      <c r="L93" s="391">
        <f>ROUND(PRODUCT(I93:K93),0)</f>
        <v>2332200</v>
      </c>
      <c r="M93" s="395"/>
      <c r="N93" s="395"/>
      <c r="O93" s="366"/>
      <c r="P93" s="396"/>
      <c r="Q93" s="473"/>
      <c r="R93" s="1039"/>
      <c r="S93" s="308"/>
      <c r="T93" s="303"/>
      <c r="U93" s="306"/>
      <c r="V93" s="307"/>
      <c r="W93" s="307"/>
      <c r="X93" s="307"/>
      <c r="Y93" s="307"/>
      <c r="Z93" s="307"/>
      <c r="AA93" s="307"/>
      <c r="AB93" s="307"/>
      <c r="AC93" s="449"/>
      <c r="AD93" s="449"/>
      <c r="AE93" s="449"/>
      <c r="AF93" s="449"/>
      <c r="AG93" s="452"/>
      <c r="AH93" s="452"/>
      <c r="AI93" s="452"/>
      <c r="AJ93" s="452"/>
      <c r="AK93" s="452"/>
      <c r="AL93" s="242"/>
      <c r="AM93" s="241"/>
      <c r="AN93" s="241"/>
      <c r="AO93" s="241"/>
      <c r="AP93" s="241"/>
      <c r="AQ93" s="238"/>
      <c r="AR93" s="238"/>
      <c r="AS93" s="238"/>
      <c r="AT93" s="238"/>
      <c r="AU93" s="238"/>
      <c r="AV93" s="238"/>
      <c r="AW93" s="238"/>
      <c r="AX93" s="238"/>
      <c r="AY93" s="238"/>
      <c r="AZ93" s="238"/>
      <c r="BA93" s="238"/>
      <c r="BB93" s="238"/>
      <c r="BC93" s="238"/>
      <c r="BD93" s="238"/>
      <c r="BE93" s="238"/>
      <c r="BF93" s="238"/>
      <c r="BG93" s="238"/>
      <c r="BH93" s="238"/>
      <c r="BI93" s="238"/>
      <c r="BJ93" s="238"/>
      <c r="BK93" s="238"/>
      <c r="BL93" s="238"/>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c r="CK93" s="239"/>
      <c r="CL93" s="239"/>
      <c r="CM93" s="239"/>
      <c r="CN93" s="239"/>
      <c r="CO93" s="239"/>
      <c r="CP93" s="239"/>
      <c r="CQ93" s="239"/>
      <c r="CR93" s="239"/>
      <c r="CS93" s="239"/>
      <c r="CT93" s="239"/>
      <c r="CU93" s="239"/>
      <c r="CV93" s="239"/>
      <c r="CW93" s="239"/>
      <c r="CX93" s="239"/>
      <c r="CY93" s="239"/>
      <c r="CZ93" s="239"/>
      <c r="DA93" s="239"/>
      <c r="DB93" s="239"/>
      <c r="DC93" s="239"/>
      <c r="DD93" s="239"/>
      <c r="DE93" s="239"/>
      <c r="DF93" s="239"/>
      <c r="DG93" s="239"/>
      <c r="DH93" s="239"/>
      <c r="DI93" s="239"/>
      <c r="DJ93" s="239"/>
      <c r="DK93" s="239"/>
      <c r="DL93" s="239"/>
      <c r="DM93" s="239"/>
      <c r="DN93" s="239"/>
      <c r="DO93" s="239"/>
      <c r="DP93" s="239"/>
      <c r="DQ93" s="239"/>
      <c r="DR93" s="239"/>
      <c r="DS93" s="239"/>
      <c r="DT93" s="239"/>
      <c r="DU93" s="239"/>
      <c r="DV93" s="239"/>
      <c r="DW93" s="239"/>
      <c r="DX93" s="239"/>
      <c r="DY93" s="239"/>
      <c r="DZ93" s="239"/>
      <c r="EA93" s="239"/>
      <c r="EB93" s="239"/>
      <c r="EC93" s="239"/>
      <c r="ED93" s="239"/>
      <c r="EE93" s="239"/>
      <c r="EF93" s="239"/>
      <c r="EG93" s="239"/>
      <c r="EH93" s="239"/>
      <c r="EI93" s="239"/>
      <c r="EJ93" s="239"/>
      <c r="EK93" s="239"/>
      <c r="EL93" s="239"/>
      <c r="EM93" s="239"/>
      <c r="EN93" s="239"/>
      <c r="EO93" s="239"/>
      <c r="EP93" s="239"/>
      <c r="EQ93" s="239"/>
      <c r="ER93" s="239"/>
      <c r="ES93" s="239"/>
      <c r="ET93" s="239"/>
      <c r="EU93" s="239"/>
      <c r="EV93" s="239"/>
      <c r="EW93" s="239"/>
      <c r="EX93" s="239"/>
      <c r="EY93" s="239"/>
      <c r="EZ93" s="239"/>
      <c r="FA93" s="239"/>
      <c r="FB93" s="239"/>
      <c r="FC93" s="239"/>
      <c r="FD93" s="239"/>
      <c r="FE93" s="239"/>
      <c r="FF93" s="239"/>
      <c r="FG93" s="239"/>
      <c r="FH93" s="239"/>
      <c r="FI93" s="239"/>
      <c r="FJ93" s="239"/>
      <c r="FK93" s="239"/>
      <c r="FL93" s="239"/>
      <c r="FM93" s="239"/>
      <c r="FN93" s="239"/>
      <c r="FO93" s="239"/>
      <c r="FP93" s="239"/>
      <c r="FQ93" s="239"/>
      <c r="FR93" s="239"/>
      <c r="FS93" s="239"/>
      <c r="FT93" s="239"/>
      <c r="FU93" s="239"/>
      <c r="FV93" s="239"/>
      <c r="FW93" s="239"/>
      <c r="FX93" s="239"/>
      <c r="FY93" s="239"/>
      <c r="FZ93" s="239"/>
      <c r="GA93" s="239"/>
      <c r="GB93" s="239"/>
      <c r="GC93" s="239"/>
      <c r="GD93" s="239"/>
      <c r="GE93" s="239"/>
      <c r="GF93" s="239"/>
      <c r="GG93" s="239"/>
      <c r="GH93" s="239"/>
      <c r="GI93" s="239"/>
      <c r="GJ93" s="239"/>
      <c r="GK93" s="239"/>
      <c r="GL93" s="239"/>
      <c r="GM93" s="239"/>
      <c r="GN93" s="239"/>
      <c r="GO93" s="239"/>
      <c r="GP93" s="239"/>
      <c r="GQ93" s="239"/>
      <c r="GR93" s="239"/>
      <c r="GS93" s="239"/>
      <c r="GT93" s="239"/>
      <c r="GU93" s="239"/>
      <c r="GV93" s="239"/>
      <c r="GW93" s="239"/>
      <c r="GX93" s="239"/>
      <c r="GY93" s="239"/>
      <c r="GZ93" s="239"/>
      <c r="HA93" s="239"/>
      <c r="HB93" s="239"/>
      <c r="HC93" s="239"/>
      <c r="HD93" s="239"/>
      <c r="HE93" s="239"/>
      <c r="HF93" s="239"/>
      <c r="HG93" s="239"/>
      <c r="HH93" s="239"/>
      <c r="HI93" s="239"/>
      <c r="HJ93" s="239"/>
      <c r="HK93" s="239"/>
      <c r="HL93" s="239"/>
      <c r="HM93" s="239"/>
      <c r="HN93" s="239"/>
      <c r="HO93" s="239"/>
      <c r="HP93" s="239"/>
      <c r="HQ93" s="239"/>
      <c r="HR93" s="239"/>
      <c r="HS93" s="239"/>
      <c r="HT93" s="239"/>
      <c r="HU93" s="239"/>
      <c r="HV93" s="239"/>
      <c r="HW93" s="239"/>
      <c r="HX93" s="239"/>
      <c r="HY93" s="239"/>
      <c r="HZ93" s="239"/>
      <c r="IA93" s="239"/>
      <c r="IB93" s="239"/>
      <c r="IC93" s="239"/>
      <c r="ID93" s="239"/>
      <c r="IE93" s="239"/>
      <c r="IF93" s="239"/>
      <c r="IG93" s="239"/>
      <c r="IH93" s="239"/>
      <c r="II93" s="239"/>
      <c r="IJ93" s="239"/>
      <c r="IK93" s="239"/>
      <c r="IL93" s="239"/>
      <c r="IM93" s="239"/>
      <c r="IN93" s="239"/>
      <c r="IO93" s="239"/>
      <c r="IP93" s="239"/>
      <c r="IQ93" s="239"/>
      <c r="IR93" s="239"/>
      <c r="IS93" s="239"/>
      <c r="IT93" s="239"/>
      <c r="IU93" s="239"/>
      <c r="IV93" s="239"/>
      <c r="IW93" s="239"/>
      <c r="IX93" s="239"/>
      <c r="IY93" s="239"/>
      <c r="IZ93" s="239"/>
      <c r="JA93" s="239"/>
      <c r="JB93" s="239"/>
      <c r="JC93" s="239"/>
      <c r="JD93" s="239"/>
      <c r="JE93" s="239"/>
      <c r="JF93" s="239"/>
      <c r="JG93" s="239"/>
      <c r="JH93" s="239"/>
      <c r="JI93" s="239"/>
      <c r="JJ93" s="239"/>
      <c r="JK93" s="239"/>
      <c r="JL93" s="239"/>
      <c r="JM93" s="239"/>
      <c r="JN93" s="239"/>
      <c r="JO93" s="239"/>
      <c r="JP93" s="239"/>
      <c r="JQ93" s="239"/>
      <c r="JR93" s="239"/>
      <c r="JS93" s="239"/>
      <c r="JT93" s="239"/>
      <c r="JU93" s="239"/>
      <c r="JV93" s="239"/>
      <c r="JW93" s="239"/>
      <c r="JX93" s="239"/>
      <c r="JY93" s="239"/>
      <c r="JZ93" s="239"/>
      <c r="KA93" s="239"/>
      <c r="KB93" s="239"/>
      <c r="KC93" s="239"/>
      <c r="KD93" s="239"/>
      <c r="KE93" s="239"/>
      <c r="KF93" s="239"/>
      <c r="KG93" s="239"/>
      <c r="KH93" s="239"/>
      <c r="KI93" s="239"/>
      <c r="KJ93" s="239"/>
      <c r="KK93" s="239"/>
      <c r="KL93" s="239"/>
      <c r="KM93" s="239"/>
      <c r="KN93" s="239"/>
      <c r="KO93" s="239"/>
      <c r="KP93" s="239"/>
      <c r="KQ93" s="239"/>
      <c r="KR93" s="239"/>
      <c r="KS93" s="239"/>
      <c r="KT93" s="239"/>
      <c r="KU93" s="239"/>
      <c r="KV93" s="239"/>
      <c r="KW93" s="239"/>
      <c r="KX93" s="239"/>
      <c r="KY93" s="239"/>
      <c r="KZ93" s="239"/>
      <c r="LA93" s="239"/>
      <c r="LB93" s="239"/>
      <c r="LC93" s="239"/>
      <c r="LD93" s="239"/>
      <c r="LE93" s="239"/>
      <c r="LF93" s="239"/>
      <c r="LG93" s="239"/>
      <c r="LH93" s="239"/>
      <c r="LI93" s="239"/>
      <c r="LJ93" s="239"/>
      <c r="LK93" s="239"/>
      <c r="LL93" s="239"/>
      <c r="LM93" s="239"/>
      <c r="LN93" s="239"/>
      <c r="LO93" s="239"/>
      <c r="LP93" s="239"/>
      <c r="LQ93" s="239"/>
      <c r="LR93" s="239"/>
      <c r="LS93" s="239"/>
      <c r="LT93" s="239"/>
      <c r="LU93" s="239"/>
      <c r="LV93" s="239"/>
      <c r="LW93" s="239"/>
      <c r="LX93" s="239"/>
      <c r="LY93" s="239"/>
      <c r="LZ93" s="239"/>
      <c r="MA93" s="239"/>
      <c r="MB93" s="239"/>
      <c r="MC93" s="239"/>
      <c r="MD93" s="239"/>
      <c r="ME93" s="239"/>
      <c r="MF93" s="239"/>
      <c r="MG93" s="239"/>
      <c r="MH93" s="239"/>
      <c r="MI93" s="239"/>
      <c r="MJ93" s="239"/>
      <c r="MK93" s="239"/>
      <c r="ML93" s="239"/>
      <c r="MM93" s="239"/>
      <c r="MN93" s="239"/>
      <c r="MO93" s="239"/>
      <c r="MP93" s="239"/>
      <c r="MQ93" s="239"/>
      <c r="MR93" s="239"/>
      <c r="MS93" s="239"/>
      <c r="MT93" s="239"/>
      <c r="MU93" s="239"/>
      <c r="MV93" s="239"/>
      <c r="MW93" s="239"/>
      <c r="MX93" s="239"/>
      <c r="MY93" s="239"/>
      <c r="MZ93" s="239"/>
      <c r="NA93" s="239"/>
      <c r="NB93" s="239"/>
      <c r="NC93" s="239"/>
      <c r="ND93" s="239"/>
      <c r="NE93" s="239"/>
      <c r="NF93" s="239"/>
      <c r="NG93" s="239"/>
      <c r="NH93" s="239"/>
      <c r="NI93" s="239"/>
      <c r="NJ93" s="239"/>
      <c r="NK93" s="239"/>
      <c r="NL93" s="239"/>
      <c r="NM93" s="239"/>
      <c r="NN93" s="239"/>
      <c r="NO93" s="239"/>
      <c r="NP93" s="239"/>
      <c r="NQ93" s="239"/>
      <c r="NR93" s="239"/>
      <c r="NS93" s="239"/>
      <c r="NT93" s="239"/>
      <c r="NU93" s="239"/>
      <c r="NV93" s="239"/>
      <c r="NW93" s="239"/>
      <c r="NX93" s="239"/>
      <c r="NY93" s="239"/>
      <c r="NZ93" s="239"/>
      <c r="OA93" s="239"/>
      <c r="OB93" s="239"/>
      <c r="OC93" s="239"/>
      <c r="OD93" s="239"/>
      <c r="OE93" s="239"/>
      <c r="OF93" s="239"/>
      <c r="OG93" s="239"/>
      <c r="OH93" s="239"/>
      <c r="OI93" s="239"/>
      <c r="OJ93" s="239"/>
      <c r="OK93" s="239"/>
      <c r="OL93" s="239"/>
      <c r="OM93" s="239"/>
      <c r="ON93" s="239"/>
      <c r="OO93" s="239"/>
      <c r="OP93" s="239"/>
      <c r="OQ93" s="239"/>
      <c r="OR93" s="239"/>
      <c r="OS93" s="239"/>
      <c r="OT93" s="239"/>
      <c r="OU93" s="239"/>
      <c r="OV93" s="239"/>
      <c r="OW93" s="239"/>
      <c r="OX93" s="239"/>
      <c r="OY93" s="239"/>
      <c r="OZ93" s="239"/>
      <c r="PA93" s="239"/>
      <c r="PB93" s="239"/>
      <c r="PC93" s="239"/>
      <c r="PD93" s="239"/>
      <c r="PE93" s="239"/>
      <c r="PF93" s="239"/>
      <c r="PG93" s="239"/>
      <c r="PH93" s="239"/>
      <c r="PI93" s="239"/>
      <c r="PJ93" s="239"/>
      <c r="PK93" s="239"/>
      <c r="PL93" s="239"/>
      <c r="PM93" s="239"/>
      <c r="PN93" s="239"/>
      <c r="PO93" s="239"/>
      <c r="PP93" s="239"/>
      <c r="PQ93" s="239"/>
      <c r="PR93" s="239"/>
      <c r="PS93" s="239"/>
      <c r="PT93" s="239"/>
      <c r="PU93" s="239"/>
      <c r="PV93" s="239"/>
      <c r="PW93" s="239"/>
      <c r="PX93" s="239"/>
      <c r="PY93" s="239"/>
      <c r="PZ93" s="239"/>
      <c r="QA93" s="239"/>
      <c r="QB93" s="239"/>
      <c r="QC93" s="239"/>
      <c r="QD93" s="239"/>
      <c r="QE93" s="239"/>
      <c r="QF93" s="239"/>
      <c r="QG93" s="239"/>
      <c r="QH93" s="239"/>
      <c r="QI93" s="239"/>
      <c r="QJ93" s="239"/>
      <c r="QK93" s="239"/>
      <c r="QL93" s="239"/>
      <c r="QM93" s="239"/>
      <c r="QN93" s="239"/>
      <c r="QO93" s="239"/>
      <c r="QP93" s="239"/>
      <c r="QQ93" s="239"/>
      <c r="QR93" s="239"/>
      <c r="QS93" s="239"/>
      <c r="QT93" s="239"/>
      <c r="QU93" s="239"/>
      <c r="QV93" s="239"/>
      <c r="QW93" s="239"/>
      <c r="QX93" s="239"/>
      <c r="QY93" s="239"/>
      <c r="QZ93" s="239"/>
      <c r="RA93" s="239"/>
      <c r="RB93" s="239"/>
      <c r="RC93" s="239"/>
      <c r="RD93" s="239"/>
      <c r="RE93" s="239"/>
      <c r="RF93" s="239"/>
      <c r="RG93" s="239"/>
      <c r="RH93" s="239"/>
      <c r="RI93" s="239"/>
      <c r="RJ93" s="239"/>
      <c r="RK93" s="239"/>
      <c r="RL93" s="239"/>
      <c r="RM93" s="239"/>
      <c r="RN93" s="239"/>
      <c r="RO93" s="239"/>
      <c r="RP93" s="239"/>
      <c r="RQ93" s="239"/>
      <c r="RR93" s="239"/>
      <c r="RS93" s="239"/>
      <c r="RT93" s="239"/>
      <c r="RU93" s="239"/>
      <c r="RV93" s="239"/>
      <c r="RW93" s="239"/>
      <c r="RX93" s="239"/>
      <c r="RY93" s="239"/>
      <c r="RZ93" s="239"/>
      <c r="SA93" s="239"/>
      <c r="SB93" s="239"/>
      <c r="SC93" s="239"/>
      <c r="SD93" s="239"/>
      <c r="SE93" s="239"/>
      <c r="SF93" s="239"/>
      <c r="SG93" s="239"/>
      <c r="SH93" s="239"/>
      <c r="SI93" s="239"/>
      <c r="SJ93" s="239"/>
      <c r="SK93" s="239"/>
      <c r="SL93" s="239"/>
      <c r="SM93" s="239"/>
      <c r="SN93" s="239"/>
      <c r="SO93" s="239"/>
      <c r="SP93" s="239"/>
      <c r="SQ93" s="239"/>
      <c r="SR93" s="239"/>
      <c r="SS93" s="239"/>
      <c r="ST93" s="239"/>
      <c r="SU93" s="239"/>
      <c r="SV93" s="239"/>
      <c r="SW93" s="239"/>
      <c r="SX93" s="239"/>
      <c r="SY93" s="239"/>
      <c r="SZ93" s="239"/>
      <c r="TA93" s="239"/>
      <c r="TB93" s="239"/>
      <c r="TC93" s="239"/>
      <c r="TD93" s="239"/>
      <c r="TE93" s="239"/>
      <c r="TF93" s="239"/>
      <c r="TG93" s="239"/>
      <c r="TH93" s="239"/>
      <c r="TI93" s="239"/>
      <c r="TJ93" s="239"/>
      <c r="TK93" s="239"/>
      <c r="TL93" s="239"/>
      <c r="TM93" s="239"/>
      <c r="TN93" s="239"/>
      <c r="TO93" s="239"/>
      <c r="TP93" s="239"/>
      <c r="TQ93" s="239"/>
      <c r="TR93" s="239"/>
      <c r="TS93" s="239"/>
      <c r="TT93" s="239"/>
      <c r="TU93" s="239"/>
      <c r="TV93" s="239"/>
      <c r="TW93" s="239"/>
      <c r="TX93" s="239"/>
      <c r="TY93" s="239"/>
      <c r="TZ93" s="239"/>
      <c r="UA93" s="239"/>
      <c r="UB93" s="239"/>
      <c r="UC93" s="239"/>
      <c r="UD93" s="239"/>
      <c r="UE93" s="239"/>
      <c r="UF93" s="239"/>
      <c r="UG93" s="240"/>
    </row>
    <row r="94" spans="1:553" s="236" customFormat="1" ht="34.5" customHeight="1">
      <c r="A94" s="356" t="s">
        <v>30</v>
      </c>
      <c r="B94" s="366" t="s">
        <v>35</v>
      </c>
      <c r="C94" s="1414" t="s">
        <v>152</v>
      </c>
      <c r="D94" s="1389"/>
      <c r="E94" s="1389"/>
      <c r="F94" s="1390"/>
      <c r="G94" s="386" t="s">
        <v>935</v>
      </c>
      <c r="H94" s="370"/>
      <c r="I94" s="422">
        <f>(0.56*6.6)*4</f>
        <v>14.784000000000001</v>
      </c>
      <c r="J94" s="368">
        <v>39000</v>
      </c>
      <c r="K94" s="371"/>
      <c r="L94" s="391">
        <f t="shared" ref="L94:L95" si="21">I94*J94</f>
        <v>576576</v>
      </c>
      <c r="M94" s="391"/>
      <c r="N94" s="391"/>
      <c r="O94" s="391"/>
      <c r="P94" s="391"/>
      <c r="Q94" s="1444"/>
      <c r="R94" s="1226"/>
      <c r="S94" s="308"/>
      <c r="T94" s="303"/>
      <c r="U94" s="306"/>
      <c r="V94" s="307"/>
      <c r="W94" s="307"/>
      <c r="X94" s="307"/>
      <c r="Y94" s="307"/>
      <c r="Z94" s="307"/>
      <c r="AA94" s="307"/>
      <c r="AB94" s="307"/>
      <c r="AC94" s="449"/>
      <c r="AD94" s="449"/>
      <c r="AE94" s="449"/>
      <c r="AF94" s="449"/>
      <c r="AG94" s="449"/>
      <c r="AH94" s="449"/>
      <c r="AI94" s="449"/>
      <c r="AJ94" s="449"/>
      <c r="AK94" s="452"/>
      <c r="AL94" s="242"/>
      <c r="AM94" s="241"/>
      <c r="AN94" s="241"/>
      <c r="AO94" s="241"/>
      <c r="AP94" s="241"/>
      <c r="AQ94" s="241"/>
      <c r="AR94" s="241"/>
      <c r="AS94" s="238"/>
      <c r="AT94" s="238"/>
      <c r="AU94" s="238"/>
      <c r="AV94" s="238"/>
      <c r="AW94" s="238"/>
      <c r="AX94" s="238"/>
      <c r="AY94" s="238"/>
      <c r="AZ94" s="238"/>
      <c r="BA94" s="238"/>
      <c r="BB94" s="238"/>
      <c r="BC94" s="238"/>
      <c r="BD94" s="238"/>
      <c r="BE94" s="238"/>
      <c r="BF94" s="238"/>
      <c r="BG94" s="238"/>
      <c r="BH94" s="238"/>
      <c r="BI94" s="238"/>
      <c r="BJ94" s="238"/>
      <c r="BK94" s="238"/>
      <c r="BL94" s="238"/>
      <c r="BM94" s="238"/>
      <c r="BN94" s="238"/>
      <c r="BO94" s="238"/>
      <c r="BP94" s="238"/>
      <c r="BQ94" s="238"/>
      <c r="BR94" s="238"/>
      <c r="BS94" s="238"/>
      <c r="BT94" s="238"/>
      <c r="BU94" s="238"/>
      <c r="BV94" s="238"/>
      <c r="BW94" s="238"/>
      <c r="BX94" s="238"/>
      <c r="BY94" s="238"/>
      <c r="BZ94" s="238"/>
      <c r="CA94" s="238"/>
      <c r="CB94" s="238"/>
      <c r="CC94" s="238"/>
      <c r="CD94" s="238"/>
      <c r="CE94" s="238"/>
      <c r="CF94" s="238"/>
      <c r="CG94" s="238"/>
      <c r="CH94" s="238"/>
      <c r="CI94" s="238"/>
      <c r="CJ94" s="238"/>
      <c r="CK94" s="238"/>
      <c r="CL94" s="238"/>
      <c r="CM94" s="238"/>
      <c r="CN94" s="238"/>
      <c r="CO94" s="238"/>
      <c r="CP94" s="238"/>
      <c r="CQ94" s="238"/>
      <c r="CR94" s="238"/>
      <c r="CS94" s="238"/>
      <c r="CT94" s="238"/>
      <c r="CU94" s="238"/>
      <c r="CV94" s="238"/>
      <c r="CW94" s="238"/>
      <c r="CX94" s="238"/>
      <c r="CY94" s="238"/>
      <c r="CZ94" s="238"/>
      <c r="DA94" s="238"/>
      <c r="DB94" s="238"/>
      <c r="DC94" s="238"/>
      <c r="DD94" s="238"/>
      <c r="DE94" s="238"/>
      <c r="DF94" s="238"/>
      <c r="DG94" s="238"/>
      <c r="DH94" s="238"/>
      <c r="DI94" s="238"/>
      <c r="DJ94" s="238"/>
      <c r="DK94" s="238"/>
      <c r="DL94" s="238"/>
      <c r="DM94" s="238"/>
      <c r="DN94" s="238"/>
      <c r="DO94" s="238"/>
      <c r="DP94" s="238"/>
      <c r="DQ94" s="238"/>
      <c r="DR94" s="238"/>
      <c r="DS94" s="238"/>
      <c r="DT94" s="238"/>
      <c r="DU94" s="238"/>
      <c r="DV94" s="238"/>
      <c r="DW94" s="238"/>
      <c r="DX94" s="238"/>
      <c r="DY94" s="238"/>
      <c r="DZ94" s="238"/>
      <c r="EA94" s="238"/>
      <c r="EB94" s="238"/>
      <c r="EC94" s="238"/>
      <c r="ED94" s="238"/>
      <c r="EE94" s="238"/>
      <c r="EF94" s="238"/>
      <c r="EG94" s="238"/>
      <c r="EH94" s="238"/>
      <c r="EI94" s="238"/>
      <c r="EJ94" s="238"/>
      <c r="EK94" s="238"/>
      <c r="EL94" s="238"/>
      <c r="EM94" s="238"/>
      <c r="EN94" s="238"/>
      <c r="EO94" s="238"/>
      <c r="EP94" s="238"/>
      <c r="EQ94" s="238"/>
      <c r="ER94" s="238"/>
      <c r="ES94" s="238"/>
      <c r="ET94" s="238"/>
      <c r="EU94" s="238"/>
      <c r="EV94" s="238"/>
      <c r="EW94" s="238"/>
      <c r="EX94" s="238"/>
      <c r="EY94" s="238"/>
      <c r="EZ94" s="238"/>
      <c r="FA94" s="238"/>
      <c r="FB94" s="238"/>
      <c r="FC94" s="238"/>
      <c r="FD94" s="238"/>
      <c r="FE94" s="238"/>
      <c r="FF94" s="238"/>
      <c r="FG94" s="238"/>
      <c r="FH94" s="238"/>
      <c r="FI94" s="238"/>
      <c r="FJ94" s="238"/>
      <c r="FK94" s="238"/>
      <c r="FL94" s="238"/>
      <c r="FM94" s="238"/>
      <c r="FN94" s="238"/>
      <c r="FO94" s="238"/>
      <c r="FP94" s="238"/>
      <c r="FQ94" s="238"/>
      <c r="FR94" s="238"/>
      <c r="FS94" s="238"/>
      <c r="FT94" s="238"/>
      <c r="FU94" s="238"/>
      <c r="FV94" s="238"/>
      <c r="FW94" s="238"/>
      <c r="FX94" s="238"/>
      <c r="FY94" s="238"/>
      <c r="FZ94" s="238"/>
      <c r="GA94" s="238"/>
      <c r="GB94" s="238"/>
      <c r="GC94" s="238"/>
      <c r="GD94" s="238"/>
      <c r="GE94" s="238"/>
      <c r="GF94" s="238"/>
      <c r="GG94" s="238"/>
      <c r="GH94" s="238"/>
      <c r="GI94" s="238"/>
      <c r="GJ94" s="238"/>
      <c r="GK94" s="238"/>
      <c r="GL94" s="238"/>
      <c r="GM94" s="238"/>
      <c r="GN94" s="238"/>
      <c r="GO94" s="238"/>
      <c r="GP94" s="238"/>
      <c r="GQ94" s="238"/>
      <c r="GR94" s="238"/>
      <c r="GS94" s="238"/>
      <c r="GT94" s="238"/>
      <c r="GU94" s="238"/>
      <c r="GV94" s="238"/>
      <c r="GW94" s="238"/>
      <c r="GX94" s="238"/>
      <c r="GY94" s="238"/>
      <c r="GZ94" s="238"/>
      <c r="HA94" s="238"/>
      <c r="HB94" s="238"/>
      <c r="HC94" s="238"/>
      <c r="HD94" s="238"/>
      <c r="HE94" s="238"/>
      <c r="HF94" s="238"/>
      <c r="HG94" s="238"/>
      <c r="HH94" s="238"/>
      <c r="HI94" s="238"/>
      <c r="HJ94" s="238"/>
      <c r="HK94" s="238"/>
      <c r="HL94" s="238"/>
      <c r="HM94" s="238"/>
      <c r="HN94" s="238"/>
      <c r="HO94" s="238"/>
      <c r="HP94" s="238"/>
      <c r="HQ94" s="238"/>
      <c r="HR94" s="238"/>
      <c r="HS94" s="238"/>
      <c r="HT94" s="238"/>
      <c r="HU94" s="238"/>
      <c r="HV94" s="238"/>
      <c r="HW94" s="238"/>
      <c r="HX94" s="238"/>
      <c r="HY94" s="238"/>
      <c r="HZ94" s="238"/>
      <c r="IA94" s="238"/>
      <c r="IB94" s="238"/>
      <c r="IC94" s="238"/>
      <c r="ID94" s="238"/>
      <c r="IE94" s="238"/>
      <c r="IF94" s="238"/>
      <c r="IG94" s="238"/>
      <c r="IH94" s="238"/>
      <c r="II94" s="238"/>
      <c r="IJ94" s="238"/>
      <c r="IK94" s="238"/>
      <c r="IL94" s="238"/>
      <c r="IM94" s="238"/>
      <c r="IN94" s="238"/>
      <c r="IO94" s="238"/>
      <c r="IP94" s="238"/>
      <c r="IQ94" s="238"/>
      <c r="IR94" s="238"/>
      <c r="IS94" s="238"/>
      <c r="IT94" s="238"/>
      <c r="IU94" s="238"/>
      <c r="IV94" s="238"/>
      <c r="IW94" s="238"/>
      <c r="IX94" s="238"/>
      <c r="IY94" s="238"/>
      <c r="IZ94" s="238"/>
      <c r="JA94" s="238"/>
      <c r="JB94" s="238"/>
      <c r="JC94" s="238"/>
      <c r="JD94" s="238"/>
      <c r="JE94" s="238"/>
      <c r="JF94" s="238"/>
      <c r="JG94" s="238"/>
      <c r="JH94" s="238"/>
      <c r="JI94" s="238"/>
      <c r="JJ94" s="238"/>
      <c r="JK94" s="238"/>
      <c r="JL94" s="238"/>
      <c r="JM94" s="238"/>
      <c r="JN94" s="238"/>
      <c r="JO94" s="238"/>
      <c r="JP94" s="238"/>
      <c r="JQ94" s="238"/>
      <c r="JR94" s="238"/>
      <c r="JS94" s="238"/>
      <c r="JT94" s="238"/>
      <c r="JU94" s="238"/>
      <c r="JV94" s="238"/>
      <c r="JW94" s="238"/>
      <c r="JX94" s="238"/>
      <c r="JY94" s="238"/>
      <c r="JZ94" s="238"/>
      <c r="KA94" s="238"/>
      <c r="KB94" s="238"/>
      <c r="KC94" s="238"/>
      <c r="KD94" s="238"/>
      <c r="KE94" s="238"/>
      <c r="KF94" s="238"/>
      <c r="KG94" s="238"/>
      <c r="KH94" s="238"/>
      <c r="KI94" s="238"/>
      <c r="KJ94" s="238"/>
      <c r="KK94" s="238"/>
      <c r="KL94" s="238"/>
      <c r="KM94" s="238"/>
      <c r="KN94" s="238"/>
      <c r="KO94" s="238"/>
      <c r="KP94" s="238"/>
      <c r="KQ94" s="238"/>
      <c r="KR94" s="238"/>
      <c r="KS94" s="238"/>
      <c r="KT94" s="238"/>
      <c r="KU94" s="238"/>
      <c r="KV94" s="238"/>
      <c r="KW94" s="238"/>
      <c r="KX94" s="238"/>
      <c r="KY94" s="238"/>
      <c r="KZ94" s="238"/>
      <c r="LA94" s="238"/>
      <c r="LB94" s="238"/>
      <c r="LC94" s="238"/>
      <c r="LD94" s="238"/>
      <c r="LE94" s="238"/>
      <c r="LF94" s="238"/>
      <c r="LG94" s="238"/>
      <c r="LH94" s="238"/>
      <c r="LI94" s="238"/>
      <c r="LJ94" s="238"/>
      <c r="LK94" s="238"/>
      <c r="LL94" s="238"/>
      <c r="LM94" s="238"/>
      <c r="LN94" s="238"/>
      <c r="LO94" s="238"/>
      <c r="LP94" s="238"/>
      <c r="LQ94" s="238"/>
      <c r="LR94" s="238"/>
      <c r="LS94" s="238"/>
      <c r="LT94" s="238"/>
      <c r="LU94" s="238"/>
      <c r="LV94" s="238"/>
      <c r="LW94" s="238"/>
      <c r="LX94" s="238"/>
      <c r="LY94" s="238"/>
      <c r="LZ94" s="238"/>
      <c r="MA94" s="238"/>
      <c r="MB94" s="238"/>
      <c r="MC94" s="238"/>
      <c r="MD94" s="238"/>
      <c r="ME94" s="238"/>
      <c r="MF94" s="238"/>
      <c r="MG94" s="238"/>
      <c r="MH94" s="238"/>
      <c r="MI94" s="238"/>
      <c r="MJ94" s="238"/>
      <c r="MK94" s="238"/>
      <c r="ML94" s="238"/>
      <c r="MM94" s="238"/>
      <c r="MN94" s="238"/>
      <c r="MO94" s="238"/>
      <c r="MP94" s="238"/>
      <c r="MQ94" s="238"/>
      <c r="MR94" s="238"/>
      <c r="MS94" s="238"/>
      <c r="MT94" s="238"/>
      <c r="MU94" s="238"/>
      <c r="MV94" s="238"/>
      <c r="MW94" s="238"/>
      <c r="MX94" s="238"/>
      <c r="MY94" s="238"/>
      <c r="MZ94" s="238"/>
      <c r="NA94" s="238"/>
      <c r="NB94" s="238"/>
      <c r="NC94" s="238"/>
      <c r="ND94" s="238"/>
      <c r="NE94" s="238"/>
      <c r="NF94" s="238"/>
      <c r="NG94" s="238"/>
      <c r="NH94" s="238"/>
      <c r="NI94" s="238"/>
      <c r="NJ94" s="238"/>
      <c r="NK94" s="238"/>
      <c r="NL94" s="238"/>
      <c r="NM94" s="238"/>
      <c r="NN94" s="238"/>
      <c r="NO94" s="238"/>
      <c r="NP94" s="238"/>
      <c r="NQ94" s="238"/>
      <c r="NR94" s="238"/>
      <c r="NS94" s="238"/>
      <c r="NT94" s="238"/>
      <c r="NU94" s="238"/>
      <c r="NV94" s="238"/>
      <c r="NW94" s="238"/>
      <c r="NX94" s="238"/>
      <c r="NY94" s="238"/>
      <c r="NZ94" s="238"/>
      <c r="OA94" s="238"/>
      <c r="OB94" s="238"/>
      <c r="OC94" s="238"/>
      <c r="OD94" s="238"/>
      <c r="OE94" s="238"/>
      <c r="OF94" s="238"/>
      <c r="OG94" s="238"/>
      <c r="OH94" s="238"/>
      <c r="OI94" s="238"/>
      <c r="OJ94" s="238"/>
      <c r="OK94" s="238"/>
      <c r="OL94" s="238"/>
      <c r="OM94" s="238"/>
      <c r="ON94" s="238"/>
      <c r="OO94" s="238"/>
      <c r="OP94" s="238"/>
      <c r="OQ94" s="238"/>
      <c r="OR94" s="238"/>
      <c r="OS94" s="238"/>
      <c r="OT94" s="238"/>
      <c r="OU94" s="238"/>
      <c r="OV94" s="238"/>
      <c r="OW94" s="238"/>
      <c r="OX94" s="238"/>
      <c r="OY94" s="238"/>
      <c r="OZ94" s="238"/>
      <c r="PA94" s="238"/>
      <c r="PB94" s="238"/>
      <c r="PC94" s="238"/>
      <c r="PD94" s="238"/>
      <c r="PE94" s="238"/>
      <c r="PF94" s="238"/>
      <c r="PG94" s="238"/>
      <c r="PH94" s="238"/>
      <c r="PI94" s="238"/>
      <c r="PJ94" s="238"/>
      <c r="PK94" s="238"/>
      <c r="PL94" s="238"/>
      <c r="PM94" s="238"/>
      <c r="PN94" s="238"/>
      <c r="PO94" s="238"/>
      <c r="PP94" s="238"/>
      <c r="PQ94" s="238"/>
      <c r="PR94" s="238"/>
      <c r="PS94" s="238"/>
      <c r="PT94" s="238"/>
      <c r="PU94" s="238"/>
      <c r="PV94" s="238"/>
      <c r="PW94" s="238"/>
      <c r="PX94" s="238"/>
      <c r="PY94" s="238"/>
      <c r="PZ94" s="238"/>
      <c r="QA94" s="238"/>
      <c r="QB94" s="238"/>
      <c r="QC94" s="238"/>
      <c r="QD94" s="238"/>
      <c r="QE94" s="238"/>
      <c r="QF94" s="238"/>
      <c r="QG94" s="238"/>
      <c r="QH94" s="238"/>
      <c r="QI94" s="238"/>
      <c r="QJ94" s="238"/>
      <c r="QK94" s="238"/>
      <c r="QL94" s="238"/>
      <c r="QM94" s="238"/>
      <c r="QN94" s="238"/>
      <c r="QO94" s="238"/>
      <c r="QP94" s="238"/>
      <c r="QQ94" s="238"/>
      <c r="QR94" s="238"/>
      <c r="QS94" s="238"/>
      <c r="QT94" s="238"/>
      <c r="QU94" s="238"/>
      <c r="QV94" s="238"/>
      <c r="QW94" s="238"/>
      <c r="QX94" s="238"/>
      <c r="QY94" s="238"/>
      <c r="QZ94" s="238"/>
      <c r="RA94" s="238"/>
      <c r="RB94" s="238"/>
      <c r="RC94" s="238"/>
      <c r="RD94" s="238"/>
      <c r="RE94" s="238"/>
      <c r="RF94" s="238"/>
      <c r="RG94" s="238"/>
      <c r="RH94" s="238"/>
      <c r="RI94" s="238"/>
      <c r="RJ94" s="238"/>
      <c r="RK94" s="238"/>
      <c r="RL94" s="238"/>
      <c r="RM94" s="238"/>
      <c r="RN94" s="238"/>
      <c r="RO94" s="238"/>
      <c r="RP94" s="238"/>
      <c r="RQ94" s="238"/>
      <c r="RR94" s="238"/>
      <c r="RS94" s="238"/>
      <c r="RT94" s="238"/>
      <c r="RU94" s="238"/>
      <c r="RV94" s="238"/>
      <c r="RW94" s="238"/>
      <c r="RX94" s="238"/>
      <c r="RY94" s="238"/>
      <c r="RZ94" s="238"/>
      <c r="SA94" s="238"/>
      <c r="SB94" s="238"/>
      <c r="SC94" s="238"/>
      <c r="SD94" s="238"/>
      <c r="SE94" s="238"/>
      <c r="SF94" s="238"/>
      <c r="SG94" s="238"/>
      <c r="SH94" s="238"/>
      <c r="SI94" s="238"/>
      <c r="SJ94" s="238"/>
      <c r="SK94" s="238"/>
      <c r="SL94" s="238"/>
      <c r="SM94" s="238"/>
      <c r="SN94" s="238"/>
      <c r="SO94" s="238"/>
      <c r="SP94" s="238"/>
      <c r="SQ94" s="238"/>
      <c r="SR94" s="238"/>
      <c r="SS94" s="238"/>
      <c r="ST94" s="238"/>
      <c r="SU94" s="238"/>
      <c r="SV94" s="238"/>
      <c r="SW94" s="238"/>
      <c r="SX94" s="238"/>
      <c r="SY94" s="238"/>
      <c r="SZ94" s="238"/>
      <c r="TA94" s="238"/>
      <c r="TB94" s="238"/>
      <c r="TC94" s="238"/>
      <c r="TD94" s="238"/>
      <c r="TE94" s="238"/>
      <c r="TF94" s="238"/>
      <c r="TG94" s="238"/>
      <c r="TH94" s="238"/>
      <c r="TI94" s="238"/>
      <c r="TJ94" s="238"/>
      <c r="TK94" s="238"/>
      <c r="TL94" s="238"/>
      <c r="TM94" s="238"/>
      <c r="TN94" s="238"/>
      <c r="TO94" s="238"/>
      <c r="TP94" s="238"/>
      <c r="TQ94" s="238"/>
      <c r="TR94" s="238"/>
      <c r="TS94" s="238"/>
      <c r="TT94" s="238"/>
      <c r="TU94" s="238"/>
      <c r="TV94" s="238"/>
      <c r="TW94" s="238"/>
      <c r="TX94" s="238"/>
      <c r="TY94" s="238"/>
      <c r="TZ94" s="238"/>
      <c r="UA94" s="238"/>
      <c r="UB94" s="238"/>
      <c r="UC94" s="238"/>
      <c r="UD94" s="238"/>
      <c r="UE94" s="238"/>
      <c r="UF94" s="238"/>
      <c r="UG94" s="248"/>
    </row>
    <row r="95" spans="1:553" s="236" customFormat="1" ht="34.5" customHeight="1">
      <c r="A95" s="356" t="s">
        <v>30</v>
      </c>
      <c r="B95" s="366" t="s">
        <v>35</v>
      </c>
      <c r="C95" s="1414" t="s">
        <v>153</v>
      </c>
      <c r="D95" s="1389"/>
      <c r="E95" s="1389"/>
      <c r="F95" s="1390"/>
      <c r="G95" s="386" t="s">
        <v>935</v>
      </c>
      <c r="H95" s="370"/>
      <c r="I95" s="422">
        <f>(0.44*2)*4</f>
        <v>3.52</v>
      </c>
      <c r="J95" s="368">
        <v>39000</v>
      </c>
      <c r="K95" s="371"/>
      <c r="L95" s="391">
        <f t="shared" si="21"/>
        <v>137280</v>
      </c>
      <c r="M95" s="391"/>
      <c r="N95" s="391"/>
      <c r="O95" s="391"/>
      <c r="P95" s="391"/>
      <c r="Q95" s="1445"/>
      <c r="R95" s="1226"/>
      <c r="S95" s="308"/>
      <c r="T95" s="303"/>
      <c r="U95" s="306"/>
      <c r="V95" s="307"/>
      <c r="W95" s="306"/>
      <c r="X95" s="306"/>
      <c r="Y95" s="306"/>
      <c r="Z95" s="306"/>
      <c r="AA95" s="306"/>
      <c r="AB95" s="306"/>
      <c r="AC95" s="449"/>
      <c r="AD95" s="449"/>
      <c r="AE95" s="449"/>
      <c r="AF95" s="449"/>
      <c r="AG95" s="449"/>
      <c r="AH95" s="449"/>
      <c r="AI95" s="449"/>
      <c r="AJ95" s="449"/>
      <c r="AK95" s="452"/>
      <c r="AL95" s="242"/>
      <c r="AM95" s="241"/>
      <c r="AN95" s="241"/>
      <c r="AO95" s="241"/>
      <c r="AP95" s="241"/>
      <c r="AQ95" s="241"/>
      <c r="AR95" s="241"/>
      <c r="AS95" s="238"/>
      <c r="AT95" s="238"/>
      <c r="AU95" s="238"/>
      <c r="AV95" s="238"/>
      <c r="AW95" s="238"/>
      <c r="AX95" s="238"/>
      <c r="AY95" s="238"/>
      <c r="AZ95" s="238"/>
      <c r="BA95" s="238"/>
      <c r="BB95" s="238"/>
      <c r="BC95" s="238"/>
      <c r="BD95" s="238"/>
      <c r="BE95" s="238"/>
      <c r="BF95" s="238"/>
      <c r="BG95" s="238"/>
      <c r="BH95" s="238"/>
      <c r="BI95" s="238"/>
      <c r="BJ95" s="238"/>
      <c r="BK95" s="238"/>
      <c r="BL95" s="238"/>
      <c r="BM95" s="238"/>
      <c r="BN95" s="238"/>
      <c r="BO95" s="238"/>
      <c r="BP95" s="238"/>
      <c r="BQ95" s="238"/>
      <c r="BR95" s="238"/>
      <c r="BS95" s="238"/>
      <c r="BT95" s="238"/>
      <c r="BU95" s="238"/>
      <c r="BV95" s="238"/>
      <c r="BW95" s="238"/>
      <c r="BX95" s="238"/>
      <c r="BY95" s="238"/>
      <c r="BZ95" s="238"/>
      <c r="CA95" s="238"/>
      <c r="CB95" s="238"/>
      <c r="CC95" s="238"/>
      <c r="CD95" s="238"/>
      <c r="CE95" s="238"/>
      <c r="CF95" s="238"/>
      <c r="CG95" s="238"/>
      <c r="CH95" s="238"/>
      <c r="CI95" s="238"/>
      <c r="CJ95" s="238"/>
      <c r="CK95" s="238"/>
      <c r="CL95" s="238"/>
      <c r="CM95" s="238"/>
      <c r="CN95" s="238"/>
      <c r="CO95" s="238"/>
      <c r="CP95" s="238"/>
      <c r="CQ95" s="238"/>
      <c r="CR95" s="238"/>
      <c r="CS95" s="238"/>
      <c r="CT95" s="238"/>
      <c r="CU95" s="238"/>
      <c r="CV95" s="238"/>
      <c r="CW95" s="238"/>
      <c r="CX95" s="238"/>
      <c r="CY95" s="238"/>
      <c r="CZ95" s="238"/>
      <c r="DA95" s="238"/>
      <c r="DB95" s="238"/>
      <c r="DC95" s="238"/>
      <c r="DD95" s="238"/>
      <c r="DE95" s="238"/>
      <c r="DF95" s="238"/>
      <c r="DG95" s="238"/>
      <c r="DH95" s="238"/>
      <c r="DI95" s="238"/>
      <c r="DJ95" s="238"/>
      <c r="DK95" s="238"/>
      <c r="DL95" s="238"/>
      <c r="DM95" s="238"/>
      <c r="DN95" s="238"/>
      <c r="DO95" s="238"/>
      <c r="DP95" s="238"/>
      <c r="DQ95" s="238"/>
      <c r="DR95" s="238"/>
      <c r="DS95" s="238"/>
      <c r="DT95" s="238"/>
      <c r="DU95" s="238"/>
      <c r="DV95" s="238"/>
      <c r="DW95" s="238"/>
      <c r="DX95" s="238"/>
      <c r="DY95" s="238"/>
      <c r="DZ95" s="238"/>
      <c r="EA95" s="238"/>
      <c r="EB95" s="238"/>
      <c r="EC95" s="238"/>
      <c r="ED95" s="238"/>
      <c r="EE95" s="238"/>
      <c r="EF95" s="238"/>
      <c r="EG95" s="238"/>
      <c r="EH95" s="238"/>
      <c r="EI95" s="238"/>
      <c r="EJ95" s="238"/>
      <c r="EK95" s="238"/>
      <c r="EL95" s="238"/>
      <c r="EM95" s="238"/>
      <c r="EN95" s="238"/>
      <c r="EO95" s="238"/>
      <c r="EP95" s="238"/>
      <c r="EQ95" s="238"/>
      <c r="ER95" s="238"/>
      <c r="ES95" s="238"/>
      <c r="ET95" s="238"/>
      <c r="EU95" s="238"/>
      <c r="EV95" s="238"/>
      <c r="EW95" s="238"/>
      <c r="EX95" s="238"/>
      <c r="EY95" s="238"/>
      <c r="EZ95" s="238"/>
      <c r="FA95" s="238"/>
      <c r="FB95" s="238"/>
      <c r="FC95" s="238"/>
      <c r="FD95" s="238"/>
      <c r="FE95" s="238"/>
      <c r="FF95" s="238"/>
      <c r="FG95" s="238"/>
      <c r="FH95" s="238"/>
      <c r="FI95" s="238"/>
      <c r="FJ95" s="238"/>
      <c r="FK95" s="238"/>
      <c r="FL95" s="238"/>
      <c r="FM95" s="238"/>
      <c r="FN95" s="238"/>
      <c r="FO95" s="238"/>
      <c r="FP95" s="238"/>
      <c r="FQ95" s="238"/>
      <c r="FR95" s="238"/>
      <c r="FS95" s="238"/>
      <c r="FT95" s="238"/>
      <c r="FU95" s="238"/>
      <c r="FV95" s="238"/>
      <c r="FW95" s="238"/>
      <c r="FX95" s="238"/>
      <c r="FY95" s="238"/>
      <c r="FZ95" s="238"/>
      <c r="GA95" s="238"/>
      <c r="GB95" s="238"/>
      <c r="GC95" s="238"/>
      <c r="GD95" s="238"/>
      <c r="GE95" s="238"/>
      <c r="GF95" s="238"/>
      <c r="GG95" s="238"/>
      <c r="GH95" s="238"/>
      <c r="GI95" s="238"/>
      <c r="GJ95" s="238"/>
      <c r="GK95" s="238"/>
      <c r="GL95" s="238"/>
      <c r="GM95" s="238"/>
      <c r="GN95" s="238"/>
      <c r="GO95" s="238"/>
      <c r="GP95" s="238"/>
      <c r="GQ95" s="238"/>
      <c r="GR95" s="238"/>
      <c r="GS95" s="238"/>
      <c r="GT95" s="238"/>
      <c r="GU95" s="238"/>
      <c r="GV95" s="238"/>
      <c r="GW95" s="238"/>
      <c r="GX95" s="238"/>
      <c r="GY95" s="238"/>
      <c r="GZ95" s="238"/>
      <c r="HA95" s="238"/>
      <c r="HB95" s="238"/>
      <c r="HC95" s="238"/>
      <c r="HD95" s="238"/>
      <c r="HE95" s="238"/>
      <c r="HF95" s="238"/>
      <c r="HG95" s="238"/>
      <c r="HH95" s="238"/>
      <c r="HI95" s="238"/>
      <c r="HJ95" s="238"/>
      <c r="HK95" s="238"/>
      <c r="HL95" s="238"/>
      <c r="HM95" s="238"/>
      <c r="HN95" s="238"/>
      <c r="HO95" s="238"/>
      <c r="HP95" s="238"/>
      <c r="HQ95" s="238"/>
      <c r="HR95" s="238"/>
      <c r="HS95" s="238"/>
      <c r="HT95" s="238"/>
      <c r="HU95" s="238"/>
      <c r="HV95" s="238"/>
      <c r="HW95" s="238"/>
      <c r="HX95" s="238"/>
      <c r="HY95" s="238"/>
      <c r="HZ95" s="238"/>
      <c r="IA95" s="238"/>
      <c r="IB95" s="238"/>
      <c r="IC95" s="238"/>
      <c r="ID95" s="238"/>
      <c r="IE95" s="238"/>
      <c r="IF95" s="238"/>
      <c r="IG95" s="238"/>
      <c r="IH95" s="238"/>
      <c r="II95" s="238"/>
      <c r="IJ95" s="238"/>
      <c r="IK95" s="238"/>
      <c r="IL95" s="238"/>
      <c r="IM95" s="238"/>
      <c r="IN95" s="238"/>
      <c r="IO95" s="238"/>
      <c r="IP95" s="238"/>
      <c r="IQ95" s="238"/>
      <c r="IR95" s="238"/>
      <c r="IS95" s="238"/>
      <c r="IT95" s="238"/>
      <c r="IU95" s="238"/>
      <c r="IV95" s="238"/>
      <c r="IW95" s="238"/>
      <c r="IX95" s="238"/>
      <c r="IY95" s="238"/>
      <c r="IZ95" s="238"/>
      <c r="JA95" s="238"/>
      <c r="JB95" s="238"/>
      <c r="JC95" s="238"/>
      <c r="JD95" s="238"/>
      <c r="JE95" s="238"/>
      <c r="JF95" s="238"/>
      <c r="JG95" s="238"/>
      <c r="JH95" s="238"/>
      <c r="JI95" s="238"/>
      <c r="JJ95" s="238"/>
      <c r="JK95" s="238"/>
      <c r="JL95" s="238"/>
      <c r="JM95" s="238"/>
      <c r="JN95" s="238"/>
      <c r="JO95" s="238"/>
      <c r="JP95" s="238"/>
      <c r="JQ95" s="238"/>
      <c r="JR95" s="238"/>
      <c r="JS95" s="238"/>
      <c r="JT95" s="238"/>
      <c r="JU95" s="238"/>
      <c r="JV95" s="238"/>
      <c r="JW95" s="238"/>
      <c r="JX95" s="238"/>
      <c r="JY95" s="238"/>
      <c r="JZ95" s="238"/>
      <c r="KA95" s="238"/>
      <c r="KB95" s="238"/>
      <c r="KC95" s="238"/>
      <c r="KD95" s="238"/>
      <c r="KE95" s="238"/>
      <c r="KF95" s="238"/>
      <c r="KG95" s="238"/>
      <c r="KH95" s="238"/>
      <c r="KI95" s="238"/>
      <c r="KJ95" s="238"/>
      <c r="KK95" s="238"/>
      <c r="KL95" s="238"/>
      <c r="KM95" s="238"/>
      <c r="KN95" s="238"/>
      <c r="KO95" s="238"/>
      <c r="KP95" s="238"/>
      <c r="KQ95" s="238"/>
      <c r="KR95" s="238"/>
      <c r="KS95" s="238"/>
      <c r="KT95" s="238"/>
      <c r="KU95" s="238"/>
      <c r="KV95" s="238"/>
      <c r="KW95" s="238"/>
      <c r="KX95" s="238"/>
      <c r="KY95" s="238"/>
      <c r="KZ95" s="238"/>
      <c r="LA95" s="238"/>
      <c r="LB95" s="238"/>
      <c r="LC95" s="238"/>
      <c r="LD95" s="238"/>
      <c r="LE95" s="238"/>
      <c r="LF95" s="238"/>
      <c r="LG95" s="238"/>
      <c r="LH95" s="238"/>
      <c r="LI95" s="238"/>
      <c r="LJ95" s="238"/>
      <c r="LK95" s="238"/>
      <c r="LL95" s="238"/>
      <c r="LM95" s="238"/>
      <c r="LN95" s="238"/>
      <c r="LO95" s="238"/>
      <c r="LP95" s="238"/>
      <c r="LQ95" s="238"/>
      <c r="LR95" s="238"/>
      <c r="LS95" s="238"/>
      <c r="LT95" s="238"/>
      <c r="LU95" s="238"/>
      <c r="LV95" s="238"/>
      <c r="LW95" s="238"/>
      <c r="LX95" s="238"/>
      <c r="LY95" s="238"/>
      <c r="LZ95" s="238"/>
      <c r="MA95" s="238"/>
      <c r="MB95" s="238"/>
      <c r="MC95" s="238"/>
      <c r="MD95" s="238"/>
      <c r="ME95" s="238"/>
      <c r="MF95" s="238"/>
      <c r="MG95" s="238"/>
      <c r="MH95" s="238"/>
      <c r="MI95" s="238"/>
      <c r="MJ95" s="238"/>
      <c r="MK95" s="238"/>
      <c r="ML95" s="238"/>
      <c r="MM95" s="238"/>
      <c r="MN95" s="238"/>
      <c r="MO95" s="238"/>
      <c r="MP95" s="238"/>
      <c r="MQ95" s="238"/>
      <c r="MR95" s="238"/>
      <c r="MS95" s="238"/>
      <c r="MT95" s="238"/>
      <c r="MU95" s="238"/>
      <c r="MV95" s="238"/>
      <c r="MW95" s="238"/>
      <c r="MX95" s="238"/>
      <c r="MY95" s="238"/>
      <c r="MZ95" s="238"/>
      <c r="NA95" s="238"/>
      <c r="NB95" s="238"/>
      <c r="NC95" s="238"/>
      <c r="ND95" s="238"/>
      <c r="NE95" s="238"/>
      <c r="NF95" s="238"/>
      <c r="NG95" s="238"/>
      <c r="NH95" s="238"/>
      <c r="NI95" s="238"/>
      <c r="NJ95" s="238"/>
      <c r="NK95" s="238"/>
      <c r="NL95" s="238"/>
      <c r="NM95" s="238"/>
      <c r="NN95" s="238"/>
      <c r="NO95" s="238"/>
      <c r="NP95" s="238"/>
      <c r="NQ95" s="238"/>
      <c r="NR95" s="238"/>
      <c r="NS95" s="238"/>
      <c r="NT95" s="238"/>
      <c r="NU95" s="238"/>
      <c r="NV95" s="238"/>
      <c r="NW95" s="238"/>
      <c r="NX95" s="238"/>
      <c r="NY95" s="238"/>
      <c r="NZ95" s="238"/>
      <c r="OA95" s="238"/>
      <c r="OB95" s="238"/>
      <c r="OC95" s="238"/>
      <c r="OD95" s="238"/>
      <c r="OE95" s="238"/>
      <c r="OF95" s="238"/>
      <c r="OG95" s="238"/>
      <c r="OH95" s="238"/>
      <c r="OI95" s="238"/>
      <c r="OJ95" s="238"/>
      <c r="OK95" s="238"/>
      <c r="OL95" s="238"/>
      <c r="OM95" s="238"/>
      <c r="ON95" s="238"/>
      <c r="OO95" s="238"/>
      <c r="OP95" s="238"/>
      <c r="OQ95" s="238"/>
      <c r="OR95" s="238"/>
      <c r="OS95" s="238"/>
      <c r="OT95" s="238"/>
      <c r="OU95" s="238"/>
      <c r="OV95" s="238"/>
      <c r="OW95" s="238"/>
      <c r="OX95" s="238"/>
      <c r="OY95" s="238"/>
      <c r="OZ95" s="238"/>
      <c r="PA95" s="238"/>
      <c r="PB95" s="238"/>
      <c r="PC95" s="238"/>
      <c r="PD95" s="238"/>
      <c r="PE95" s="238"/>
      <c r="PF95" s="238"/>
      <c r="PG95" s="238"/>
      <c r="PH95" s="238"/>
      <c r="PI95" s="238"/>
      <c r="PJ95" s="238"/>
      <c r="PK95" s="238"/>
      <c r="PL95" s="238"/>
      <c r="PM95" s="238"/>
      <c r="PN95" s="238"/>
      <c r="PO95" s="238"/>
      <c r="PP95" s="238"/>
      <c r="PQ95" s="238"/>
      <c r="PR95" s="238"/>
      <c r="PS95" s="238"/>
      <c r="PT95" s="238"/>
      <c r="PU95" s="238"/>
      <c r="PV95" s="238"/>
      <c r="PW95" s="238"/>
      <c r="PX95" s="238"/>
      <c r="PY95" s="238"/>
      <c r="PZ95" s="238"/>
      <c r="QA95" s="238"/>
      <c r="QB95" s="238"/>
      <c r="QC95" s="238"/>
      <c r="QD95" s="238"/>
      <c r="QE95" s="238"/>
      <c r="QF95" s="238"/>
      <c r="QG95" s="238"/>
      <c r="QH95" s="238"/>
      <c r="QI95" s="238"/>
      <c r="QJ95" s="238"/>
      <c r="QK95" s="238"/>
      <c r="QL95" s="238"/>
      <c r="QM95" s="238"/>
      <c r="QN95" s="238"/>
      <c r="QO95" s="238"/>
      <c r="QP95" s="238"/>
      <c r="QQ95" s="238"/>
      <c r="QR95" s="238"/>
      <c r="QS95" s="238"/>
      <c r="QT95" s="238"/>
      <c r="QU95" s="238"/>
      <c r="QV95" s="238"/>
      <c r="QW95" s="238"/>
      <c r="QX95" s="238"/>
      <c r="QY95" s="238"/>
      <c r="QZ95" s="238"/>
      <c r="RA95" s="238"/>
      <c r="RB95" s="238"/>
      <c r="RC95" s="238"/>
      <c r="RD95" s="238"/>
      <c r="RE95" s="238"/>
      <c r="RF95" s="238"/>
      <c r="RG95" s="238"/>
      <c r="RH95" s="238"/>
      <c r="RI95" s="238"/>
      <c r="RJ95" s="238"/>
      <c r="RK95" s="238"/>
      <c r="RL95" s="238"/>
      <c r="RM95" s="238"/>
      <c r="RN95" s="238"/>
      <c r="RO95" s="238"/>
      <c r="RP95" s="238"/>
      <c r="RQ95" s="238"/>
      <c r="RR95" s="238"/>
      <c r="RS95" s="238"/>
      <c r="RT95" s="238"/>
      <c r="RU95" s="238"/>
      <c r="RV95" s="238"/>
      <c r="RW95" s="238"/>
      <c r="RX95" s="238"/>
      <c r="RY95" s="238"/>
      <c r="RZ95" s="238"/>
      <c r="SA95" s="238"/>
      <c r="SB95" s="238"/>
      <c r="SC95" s="238"/>
      <c r="SD95" s="238"/>
      <c r="SE95" s="238"/>
      <c r="SF95" s="238"/>
      <c r="SG95" s="238"/>
      <c r="SH95" s="238"/>
      <c r="SI95" s="238"/>
      <c r="SJ95" s="238"/>
      <c r="SK95" s="238"/>
      <c r="SL95" s="238"/>
      <c r="SM95" s="238"/>
      <c r="SN95" s="238"/>
      <c r="SO95" s="238"/>
      <c r="SP95" s="238"/>
      <c r="SQ95" s="238"/>
      <c r="SR95" s="238"/>
      <c r="SS95" s="238"/>
      <c r="ST95" s="238"/>
      <c r="SU95" s="238"/>
      <c r="SV95" s="238"/>
      <c r="SW95" s="238"/>
      <c r="SX95" s="238"/>
      <c r="SY95" s="238"/>
      <c r="SZ95" s="238"/>
      <c r="TA95" s="238"/>
      <c r="TB95" s="238"/>
      <c r="TC95" s="238"/>
      <c r="TD95" s="238"/>
      <c r="TE95" s="238"/>
      <c r="TF95" s="238"/>
      <c r="TG95" s="238"/>
      <c r="TH95" s="238"/>
      <c r="TI95" s="238"/>
      <c r="TJ95" s="238"/>
      <c r="TK95" s="238"/>
      <c r="TL95" s="238"/>
      <c r="TM95" s="238"/>
      <c r="TN95" s="238"/>
      <c r="TO95" s="238"/>
      <c r="TP95" s="238"/>
      <c r="TQ95" s="238"/>
      <c r="TR95" s="238"/>
      <c r="TS95" s="238"/>
      <c r="TT95" s="238"/>
      <c r="TU95" s="238"/>
      <c r="TV95" s="238"/>
      <c r="TW95" s="238"/>
      <c r="TX95" s="238"/>
      <c r="TY95" s="238"/>
      <c r="TZ95" s="238"/>
      <c r="UA95" s="238"/>
      <c r="UB95" s="238"/>
      <c r="UC95" s="238"/>
      <c r="UD95" s="238"/>
      <c r="UE95" s="238"/>
      <c r="UF95" s="238"/>
      <c r="UG95" s="248"/>
    </row>
    <row r="96" spans="1:553" s="236" customFormat="1" ht="34.5" customHeight="1">
      <c r="A96" s="356" t="s">
        <v>30</v>
      </c>
      <c r="B96" s="366" t="s">
        <v>35</v>
      </c>
      <c r="C96" s="1414" t="s">
        <v>154</v>
      </c>
      <c r="D96" s="1389"/>
      <c r="E96" s="1389"/>
      <c r="F96" s="1390"/>
      <c r="G96" s="386" t="s">
        <v>935</v>
      </c>
      <c r="H96" s="370"/>
      <c r="I96" s="422">
        <f>0.44*1.6*2</f>
        <v>1.4080000000000001</v>
      </c>
      <c r="J96" s="368">
        <v>39000</v>
      </c>
      <c r="K96" s="371"/>
      <c r="L96" s="391">
        <f>ROUND(PRODUCT(I96:K96),0)</f>
        <v>54912</v>
      </c>
      <c r="M96" s="395"/>
      <c r="N96" s="395"/>
      <c r="O96" s="366"/>
      <c r="P96" s="396"/>
      <c r="Q96" s="473"/>
      <c r="R96" s="1039"/>
      <c r="S96" s="308"/>
      <c r="T96" s="303"/>
      <c r="U96" s="306"/>
      <c r="V96" s="307"/>
      <c r="W96" s="306"/>
      <c r="X96" s="306"/>
      <c r="Y96" s="306"/>
      <c r="Z96" s="306"/>
      <c r="AA96" s="306"/>
      <c r="AB96" s="306"/>
      <c r="AC96" s="449"/>
      <c r="AD96" s="449"/>
      <c r="AE96" s="449"/>
      <c r="AF96" s="449"/>
      <c r="AG96" s="452"/>
      <c r="AH96" s="452"/>
      <c r="AI96" s="452"/>
      <c r="AJ96" s="452"/>
      <c r="AK96" s="452"/>
      <c r="AL96" s="242"/>
      <c r="AM96" s="241"/>
      <c r="AN96" s="241"/>
      <c r="AO96" s="241"/>
      <c r="AP96" s="241"/>
      <c r="AQ96" s="238"/>
      <c r="AR96" s="238"/>
      <c r="AS96" s="238"/>
      <c r="AT96" s="238"/>
      <c r="AU96" s="238"/>
      <c r="AV96" s="238"/>
      <c r="AW96" s="238"/>
      <c r="AX96" s="238"/>
      <c r="AY96" s="238"/>
      <c r="AZ96" s="238"/>
      <c r="BA96" s="238"/>
      <c r="BB96" s="238"/>
      <c r="BC96" s="238"/>
      <c r="BD96" s="238"/>
      <c r="BE96" s="238"/>
      <c r="BF96" s="238"/>
      <c r="BG96" s="238"/>
      <c r="BH96" s="238"/>
      <c r="BI96" s="238"/>
      <c r="BJ96" s="238"/>
      <c r="BK96" s="238"/>
      <c r="BL96" s="238"/>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c r="CK96" s="239"/>
      <c r="CL96" s="239"/>
      <c r="CM96" s="239"/>
      <c r="CN96" s="239"/>
      <c r="CO96" s="239"/>
      <c r="CP96" s="239"/>
      <c r="CQ96" s="239"/>
      <c r="CR96" s="239"/>
      <c r="CS96" s="239"/>
      <c r="CT96" s="239"/>
      <c r="CU96" s="239"/>
      <c r="CV96" s="239"/>
      <c r="CW96" s="239"/>
      <c r="CX96" s="239"/>
      <c r="CY96" s="239"/>
      <c r="CZ96" s="239"/>
      <c r="DA96" s="239"/>
      <c r="DB96" s="239"/>
      <c r="DC96" s="239"/>
      <c r="DD96" s="239"/>
      <c r="DE96" s="239"/>
      <c r="DF96" s="239"/>
      <c r="DG96" s="239"/>
      <c r="DH96" s="239"/>
      <c r="DI96" s="239"/>
      <c r="DJ96" s="239"/>
      <c r="DK96" s="239"/>
      <c r="DL96" s="239"/>
      <c r="DM96" s="239"/>
      <c r="DN96" s="239"/>
      <c r="DO96" s="239"/>
      <c r="DP96" s="239"/>
      <c r="DQ96" s="239"/>
      <c r="DR96" s="239"/>
      <c r="DS96" s="239"/>
      <c r="DT96" s="239"/>
      <c r="DU96" s="239"/>
      <c r="DV96" s="239"/>
      <c r="DW96" s="239"/>
      <c r="DX96" s="239"/>
      <c r="DY96" s="239"/>
      <c r="DZ96" s="239"/>
      <c r="EA96" s="239"/>
      <c r="EB96" s="239"/>
      <c r="EC96" s="239"/>
      <c r="ED96" s="239"/>
      <c r="EE96" s="239"/>
      <c r="EF96" s="239"/>
      <c r="EG96" s="239"/>
      <c r="EH96" s="239"/>
      <c r="EI96" s="239"/>
      <c r="EJ96" s="239"/>
      <c r="EK96" s="239"/>
      <c r="EL96" s="239"/>
      <c r="EM96" s="239"/>
      <c r="EN96" s="239"/>
      <c r="EO96" s="239"/>
      <c r="EP96" s="239"/>
      <c r="EQ96" s="239"/>
      <c r="ER96" s="239"/>
      <c r="ES96" s="239"/>
      <c r="ET96" s="239"/>
      <c r="EU96" s="239"/>
      <c r="EV96" s="239"/>
      <c r="EW96" s="239"/>
      <c r="EX96" s="239"/>
      <c r="EY96" s="239"/>
      <c r="EZ96" s="239"/>
      <c r="FA96" s="239"/>
      <c r="FB96" s="239"/>
      <c r="FC96" s="239"/>
      <c r="FD96" s="239"/>
      <c r="FE96" s="239"/>
      <c r="FF96" s="239"/>
      <c r="FG96" s="239"/>
      <c r="FH96" s="239"/>
      <c r="FI96" s="239"/>
      <c r="FJ96" s="239"/>
      <c r="FK96" s="239"/>
      <c r="FL96" s="239"/>
      <c r="FM96" s="239"/>
      <c r="FN96" s="239"/>
      <c r="FO96" s="239"/>
      <c r="FP96" s="239"/>
      <c r="FQ96" s="239"/>
      <c r="FR96" s="239"/>
      <c r="FS96" s="239"/>
      <c r="FT96" s="239"/>
      <c r="FU96" s="239"/>
      <c r="FV96" s="239"/>
      <c r="FW96" s="239"/>
      <c r="FX96" s="239"/>
      <c r="FY96" s="239"/>
      <c r="FZ96" s="239"/>
      <c r="GA96" s="239"/>
      <c r="GB96" s="239"/>
      <c r="GC96" s="239"/>
      <c r="GD96" s="239"/>
      <c r="GE96" s="239"/>
      <c r="GF96" s="239"/>
      <c r="GG96" s="239"/>
      <c r="GH96" s="239"/>
      <c r="GI96" s="239"/>
      <c r="GJ96" s="239"/>
      <c r="GK96" s="239"/>
      <c r="GL96" s="239"/>
      <c r="GM96" s="239"/>
      <c r="GN96" s="239"/>
      <c r="GO96" s="239"/>
      <c r="GP96" s="239"/>
      <c r="GQ96" s="239"/>
      <c r="GR96" s="239"/>
      <c r="GS96" s="239"/>
      <c r="GT96" s="239"/>
      <c r="GU96" s="239"/>
      <c r="GV96" s="239"/>
      <c r="GW96" s="239"/>
      <c r="GX96" s="239"/>
      <c r="GY96" s="239"/>
      <c r="GZ96" s="239"/>
      <c r="HA96" s="239"/>
      <c r="HB96" s="239"/>
      <c r="HC96" s="239"/>
      <c r="HD96" s="239"/>
      <c r="HE96" s="239"/>
      <c r="HF96" s="239"/>
      <c r="HG96" s="239"/>
      <c r="HH96" s="239"/>
      <c r="HI96" s="239"/>
      <c r="HJ96" s="239"/>
      <c r="HK96" s="239"/>
      <c r="HL96" s="239"/>
      <c r="HM96" s="239"/>
      <c r="HN96" s="239"/>
      <c r="HO96" s="239"/>
      <c r="HP96" s="239"/>
      <c r="HQ96" s="239"/>
      <c r="HR96" s="239"/>
      <c r="HS96" s="239"/>
      <c r="HT96" s="239"/>
      <c r="HU96" s="239"/>
      <c r="HV96" s="239"/>
      <c r="HW96" s="239"/>
      <c r="HX96" s="239"/>
      <c r="HY96" s="239"/>
      <c r="HZ96" s="239"/>
      <c r="IA96" s="239"/>
      <c r="IB96" s="239"/>
      <c r="IC96" s="239"/>
      <c r="ID96" s="239"/>
      <c r="IE96" s="239"/>
      <c r="IF96" s="239"/>
      <c r="IG96" s="239"/>
      <c r="IH96" s="239"/>
      <c r="II96" s="239"/>
      <c r="IJ96" s="239"/>
      <c r="IK96" s="239"/>
      <c r="IL96" s="239"/>
      <c r="IM96" s="239"/>
      <c r="IN96" s="239"/>
      <c r="IO96" s="239"/>
      <c r="IP96" s="239"/>
      <c r="IQ96" s="239"/>
      <c r="IR96" s="239"/>
      <c r="IS96" s="239"/>
      <c r="IT96" s="239"/>
      <c r="IU96" s="239"/>
      <c r="IV96" s="239"/>
      <c r="IW96" s="239"/>
      <c r="IX96" s="239"/>
      <c r="IY96" s="239"/>
      <c r="IZ96" s="239"/>
      <c r="JA96" s="239"/>
      <c r="JB96" s="239"/>
      <c r="JC96" s="239"/>
      <c r="JD96" s="239"/>
      <c r="JE96" s="239"/>
      <c r="JF96" s="239"/>
      <c r="JG96" s="239"/>
      <c r="JH96" s="239"/>
      <c r="JI96" s="239"/>
      <c r="JJ96" s="239"/>
      <c r="JK96" s="239"/>
      <c r="JL96" s="239"/>
      <c r="JM96" s="239"/>
      <c r="JN96" s="239"/>
      <c r="JO96" s="239"/>
      <c r="JP96" s="239"/>
      <c r="JQ96" s="239"/>
      <c r="JR96" s="239"/>
      <c r="JS96" s="239"/>
      <c r="JT96" s="239"/>
      <c r="JU96" s="239"/>
      <c r="JV96" s="239"/>
      <c r="JW96" s="239"/>
      <c r="JX96" s="239"/>
      <c r="JY96" s="239"/>
      <c r="JZ96" s="239"/>
      <c r="KA96" s="239"/>
      <c r="KB96" s="239"/>
      <c r="KC96" s="239"/>
      <c r="KD96" s="239"/>
      <c r="KE96" s="239"/>
      <c r="KF96" s="239"/>
      <c r="KG96" s="239"/>
      <c r="KH96" s="239"/>
      <c r="KI96" s="239"/>
      <c r="KJ96" s="239"/>
      <c r="KK96" s="239"/>
      <c r="KL96" s="239"/>
      <c r="KM96" s="239"/>
      <c r="KN96" s="239"/>
      <c r="KO96" s="239"/>
      <c r="KP96" s="239"/>
      <c r="KQ96" s="239"/>
      <c r="KR96" s="239"/>
      <c r="KS96" s="239"/>
      <c r="KT96" s="239"/>
      <c r="KU96" s="239"/>
      <c r="KV96" s="239"/>
      <c r="KW96" s="239"/>
      <c r="KX96" s="239"/>
      <c r="KY96" s="239"/>
      <c r="KZ96" s="239"/>
      <c r="LA96" s="239"/>
      <c r="LB96" s="239"/>
      <c r="LC96" s="239"/>
      <c r="LD96" s="239"/>
      <c r="LE96" s="239"/>
      <c r="LF96" s="239"/>
      <c r="LG96" s="239"/>
      <c r="LH96" s="239"/>
      <c r="LI96" s="239"/>
      <c r="LJ96" s="239"/>
      <c r="LK96" s="239"/>
      <c r="LL96" s="239"/>
      <c r="LM96" s="239"/>
      <c r="LN96" s="239"/>
      <c r="LO96" s="239"/>
      <c r="LP96" s="239"/>
      <c r="LQ96" s="239"/>
      <c r="LR96" s="239"/>
      <c r="LS96" s="239"/>
      <c r="LT96" s="239"/>
      <c r="LU96" s="239"/>
      <c r="LV96" s="239"/>
      <c r="LW96" s="239"/>
      <c r="LX96" s="239"/>
      <c r="LY96" s="239"/>
      <c r="LZ96" s="239"/>
      <c r="MA96" s="239"/>
      <c r="MB96" s="239"/>
      <c r="MC96" s="239"/>
      <c r="MD96" s="239"/>
      <c r="ME96" s="239"/>
      <c r="MF96" s="239"/>
      <c r="MG96" s="239"/>
      <c r="MH96" s="239"/>
      <c r="MI96" s="239"/>
      <c r="MJ96" s="239"/>
      <c r="MK96" s="239"/>
      <c r="ML96" s="239"/>
      <c r="MM96" s="239"/>
      <c r="MN96" s="239"/>
      <c r="MO96" s="239"/>
      <c r="MP96" s="239"/>
      <c r="MQ96" s="239"/>
      <c r="MR96" s="239"/>
      <c r="MS96" s="239"/>
      <c r="MT96" s="239"/>
      <c r="MU96" s="239"/>
      <c r="MV96" s="239"/>
      <c r="MW96" s="239"/>
      <c r="MX96" s="239"/>
      <c r="MY96" s="239"/>
      <c r="MZ96" s="239"/>
      <c r="NA96" s="239"/>
      <c r="NB96" s="239"/>
      <c r="NC96" s="239"/>
      <c r="ND96" s="239"/>
      <c r="NE96" s="239"/>
      <c r="NF96" s="239"/>
      <c r="NG96" s="239"/>
      <c r="NH96" s="239"/>
      <c r="NI96" s="239"/>
      <c r="NJ96" s="239"/>
      <c r="NK96" s="239"/>
      <c r="NL96" s="239"/>
      <c r="NM96" s="239"/>
      <c r="NN96" s="239"/>
      <c r="NO96" s="239"/>
      <c r="NP96" s="239"/>
      <c r="NQ96" s="239"/>
      <c r="NR96" s="239"/>
      <c r="NS96" s="239"/>
      <c r="NT96" s="239"/>
      <c r="NU96" s="239"/>
      <c r="NV96" s="239"/>
      <c r="NW96" s="239"/>
      <c r="NX96" s="239"/>
      <c r="NY96" s="239"/>
      <c r="NZ96" s="239"/>
      <c r="OA96" s="239"/>
      <c r="OB96" s="239"/>
      <c r="OC96" s="239"/>
      <c r="OD96" s="239"/>
      <c r="OE96" s="239"/>
      <c r="OF96" s="239"/>
      <c r="OG96" s="239"/>
      <c r="OH96" s="239"/>
      <c r="OI96" s="239"/>
      <c r="OJ96" s="239"/>
      <c r="OK96" s="239"/>
      <c r="OL96" s="239"/>
      <c r="OM96" s="239"/>
      <c r="ON96" s="239"/>
      <c r="OO96" s="239"/>
      <c r="OP96" s="239"/>
      <c r="OQ96" s="239"/>
      <c r="OR96" s="239"/>
      <c r="OS96" s="239"/>
      <c r="OT96" s="239"/>
      <c r="OU96" s="239"/>
      <c r="OV96" s="239"/>
      <c r="OW96" s="239"/>
      <c r="OX96" s="239"/>
      <c r="OY96" s="239"/>
      <c r="OZ96" s="239"/>
      <c r="PA96" s="239"/>
      <c r="PB96" s="239"/>
      <c r="PC96" s="239"/>
      <c r="PD96" s="239"/>
      <c r="PE96" s="239"/>
      <c r="PF96" s="239"/>
      <c r="PG96" s="239"/>
      <c r="PH96" s="239"/>
      <c r="PI96" s="239"/>
      <c r="PJ96" s="239"/>
      <c r="PK96" s="239"/>
      <c r="PL96" s="239"/>
      <c r="PM96" s="239"/>
      <c r="PN96" s="239"/>
      <c r="PO96" s="239"/>
      <c r="PP96" s="239"/>
      <c r="PQ96" s="239"/>
      <c r="PR96" s="239"/>
      <c r="PS96" s="239"/>
      <c r="PT96" s="239"/>
      <c r="PU96" s="239"/>
      <c r="PV96" s="239"/>
      <c r="PW96" s="239"/>
      <c r="PX96" s="239"/>
      <c r="PY96" s="239"/>
      <c r="PZ96" s="239"/>
      <c r="QA96" s="239"/>
      <c r="QB96" s="239"/>
      <c r="QC96" s="239"/>
      <c r="QD96" s="239"/>
      <c r="QE96" s="239"/>
      <c r="QF96" s="239"/>
      <c r="QG96" s="239"/>
      <c r="QH96" s="239"/>
      <c r="QI96" s="239"/>
      <c r="QJ96" s="239"/>
      <c r="QK96" s="239"/>
      <c r="QL96" s="239"/>
      <c r="QM96" s="239"/>
      <c r="QN96" s="239"/>
      <c r="QO96" s="239"/>
      <c r="QP96" s="239"/>
      <c r="QQ96" s="239"/>
      <c r="QR96" s="239"/>
      <c r="QS96" s="239"/>
      <c r="QT96" s="239"/>
      <c r="QU96" s="239"/>
      <c r="QV96" s="239"/>
      <c r="QW96" s="239"/>
      <c r="QX96" s="239"/>
      <c r="QY96" s="239"/>
      <c r="QZ96" s="239"/>
      <c r="RA96" s="239"/>
      <c r="RB96" s="239"/>
      <c r="RC96" s="239"/>
      <c r="RD96" s="239"/>
      <c r="RE96" s="239"/>
      <c r="RF96" s="239"/>
      <c r="RG96" s="239"/>
      <c r="RH96" s="239"/>
      <c r="RI96" s="239"/>
      <c r="RJ96" s="239"/>
      <c r="RK96" s="239"/>
      <c r="RL96" s="239"/>
      <c r="RM96" s="239"/>
      <c r="RN96" s="239"/>
      <c r="RO96" s="239"/>
      <c r="RP96" s="239"/>
      <c r="RQ96" s="239"/>
      <c r="RR96" s="239"/>
      <c r="RS96" s="239"/>
      <c r="RT96" s="239"/>
      <c r="RU96" s="239"/>
      <c r="RV96" s="239"/>
      <c r="RW96" s="239"/>
      <c r="RX96" s="239"/>
      <c r="RY96" s="239"/>
      <c r="RZ96" s="239"/>
      <c r="SA96" s="239"/>
      <c r="SB96" s="239"/>
      <c r="SC96" s="239"/>
      <c r="SD96" s="239"/>
      <c r="SE96" s="239"/>
      <c r="SF96" s="239"/>
      <c r="SG96" s="239"/>
      <c r="SH96" s="239"/>
      <c r="SI96" s="239"/>
      <c r="SJ96" s="239"/>
      <c r="SK96" s="239"/>
      <c r="SL96" s="239"/>
      <c r="SM96" s="239"/>
      <c r="SN96" s="239"/>
      <c r="SO96" s="239"/>
      <c r="SP96" s="239"/>
      <c r="SQ96" s="239"/>
      <c r="SR96" s="239"/>
      <c r="SS96" s="239"/>
      <c r="ST96" s="239"/>
      <c r="SU96" s="239"/>
      <c r="SV96" s="239"/>
      <c r="SW96" s="239"/>
      <c r="SX96" s="239"/>
      <c r="SY96" s="239"/>
      <c r="SZ96" s="239"/>
      <c r="TA96" s="239"/>
      <c r="TB96" s="239"/>
      <c r="TC96" s="239"/>
      <c r="TD96" s="239"/>
      <c r="TE96" s="239"/>
      <c r="TF96" s="239"/>
      <c r="TG96" s="239"/>
      <c r="TH96" s="239"/>
      <c r="TI96" s="239"/>
      <c r="TJ96" s="239"/>
      <c r="TK96" s="239"/>
      <c r="TL96" s="239"/>
      <c r="TM96" s="239"/>
      <c r="TN96" s="239"/>
      <c r="TO96" s="239"/>
      <c r="TP96" s="239"/>
      <c r="TQ96" s="239"/>
      <c r="TR96" s="239"/>
      <c r="TS96" s="239"/>
      <c r="TT96" s="239"/>
      <c r="TU96" s="239"/>
      <c r="TV96" s="239"/>
      <c r="TW96" s="239"/>
      <c r="TX96" s="239"/>
      <c r="TY96" s="239"/>
      <c r="TZ96" s="239"/>
      <c r="UA96" s="239"/>
      <c r="UB96" s="239"/>
      <c r="UC96" s="239"/>
      <c r="UD96" s="239"/>
      <c r="UE96" s="239"/>
      <c r="UF96" s="239"/>
      <c r="UG96" s="240"/>
    </row>
    <row r="97" spans="1:553" s="236" customFormat="1" ht="34.5" customHeight="1">
      <c r="A97" s="356" t="s">
        <v>30</v>
      </c>
      <c r="B97" s="366" t="s">
        <v>35</v>
      </c>
      <c r="C97" s="1414" t="s">
        <v>155</v>
      </c>
      <c r="D97" s="1389"/>
      <c r="E97" s="1389"/>
      <c r="F97" s="1390"/>
      <c r="G97" s="386" t="s">
        <v>935</v>
      </c>
      <c r="H97" s="370"/>
      <c r="I97" s="422">
        <f>0.48*6.8*4</f>
        <v>13.055999999999999</v>
      </c>
      <c r="J97" s="368">
        <v>39000</v>
      </c>
      <c r="K97" s="371"/>
      <c r="L97" s="391">
        <f t="shared" ref="L97:L98" si="22">I97*J97</f>
        <v>509183.99999999994</v>
      </c>
      <c r="M97" s="391"/>
      <c r="N97" s="391"/>
      <c r="O97" s="391"/>
      <c r="P97" s="391"/>
      <c r="Q97" s="1444"/>
      <c r="R97" s="1226"/>
      <c r="S97" s="308"/>
      <c r="T97" s="303"/>
      <c r="U97" s="306"/>
      <c r="V97" s="307"/>
      <c r="W97" s="306"/>
      <c r="X97" s="306"/>
      <c r="Y97" s="306"/>
      <c r="Z97" s="306"/>
      <c r="AA97" s="306"/>
      <c r="AB97" s="306"/>
      <c r="AC97" s="449"/>
      <c r="AD97" s="449"/>
      <c r="AE97" s="449"/>
      <c r="AF97" s="449"/>
      <c r="AG97" s="449"/>
      <c r="AH97" s="449"/>
      <c r="AI97" s="449"/>
      <c r="AJ97" s="449"/>
      <c r="AK97" s="452"/>
      <c r="AL97" s="242"/>
      <c r="AM97" s="241"/>
      <c r="AN97" s="241"/>
      <c r="AO97" s="241"/>
      <c r="AP97" s="241"/>
      <c r="AQ97" s="241"/>
      <c r="AR97" s="241"/>
      <c r="AS97" s="238"/>
      <c r="AT97" s="238"/>
      <c r="AU97" s="238"/>
      <c r="AV97" s="238"/>
      <c r="AW97" s="238"/>
      <c r="AX97" s="238"/>
      <c r="AY97" s="238"/>
      <c r="AZ97" s="238"/>
      <c r="BA97" s="238"/>
      <c r="BB97" s="238"/>
      <c r="BC97" s="238"/>
      <c r="BD97" s="238"/>
      <c r="BE97" s="238"/>
      <c r="BF97" s="238"/>
      <c r="BG97" s="238"/>
      <c r="BH97" s="238"/>
      <c r="BI97" s="238"/>
      <c r="BJ97" s="238"/>
      <c r="BK97" s="238"/>
      <c r="BL97" s="238"/>
      <c r="BM97" s="238"/>
      <c r="BN97" s="238"/>
      <c r="BO97" s="238"/>
      <c r="BP97" s="238"/>
      <c r="BQ97" s="238"/>
      <c r="BR97" s="238"/>
      <c r="BS97" s="238"/>
      <c r="BT97" s="238"/>
      <c r="BU97" s="238"/>
      <c r="BV97" s="238"/>
      <c r="BW97" s="238"/>
      <c r="BX97" s="238"/>
      <c r="BY97" s="238"/>
      <c r="BZ97" s="238"/>
      <c r="CA97" s="238"/>
      <c r="CB97" s="238"/>
      <c r="CC97" s="238"/>
      <c r="CD97" s="238"/>
      <c r="CE97" s="238"/>
      <c r="CF97" s="238"/>
      <c r="CG97" s="238"/>
      <c r="CH97" s="238"/>
      <c r="CI97" s="238"/>
      <c r="CJ97" s="238"/>
      <c r="CK97" s="238"/>
      <c r="CL97" s="238"/>
      <c r="CM97" s="238"/>
      <c r="CN97" s="238"/>
      <c r="CO97" s="238"/>
      <c r="CP97" s="238"/>
      <c r="CQ97" s="238"/>
      <c r="CR97" s="238"/>
      <c r="CS97" s="238"/>
      <c r="CT97" s="238"/>
      <c r="CU97" s="238"/>
      <c r="CV97" s="238"/>
      <c r="CW97" s="238"/>
      <c r="CX97" s="238"/>
      <c r="CY97" s="238"/>
      <c r="CZ97" s="238"/>
      <c r="DA97" s="238"/>
      <c r="DB97" s="238"/>
      <c r="DC97" s="238"/>
      <c r="DD97" s="238"/>
      <c r="DE97" s="238"/>
      <c r="DF97" s="238"/>
      <c r="DG97" s="238"/>
      <c r="DH97" s="238"/>
      <c r="DI97" s="238"/>
      <c r="DJ97" s="238"/>
      <c r="DK97" s="238"/>
      <c r="DL97" s="238"/>
      <c r="DM97" s="238"/>
      <c r="DN97" s="238"/>
      <c r="DO97" s="238"/>
      <c r="DP97" s="238"/>
      <c r="DQ97" s="238"/>
      <c r="DR97" s="238"/>
      <c r="DS97" s="238"/>
      <c r="DT97" s="238"/>
      <c r="DU97" s="238"/>
      <c r="DV97" s="238"/>
      <c r="DW97" s="238"/>
      <c r="DX97" s="238"/>
      <c r="DY97" s="238"/>
      <c r="DZ97" s="238"/>
      <c r="EA97" s="238"/>
      <c r="EB97" s="238"/>
      <c r="EC97" s="238"/>
      <c r="ED97" s="238"/>
      <c r="EE97" s="238"/>
      <c r="EF97" s="238"/>
      <c r="EG97" s="238"/>
      <c r="EH97" s="238"/>
      <c r="EI97" s="238"/>
      <c r="EJ97" s="238"/>
      <c r="EK97" s="238"/>
      <c r="EL97" s="238"/>
      <c r="EM97" s="238"/>
      <c r="EN97" s="238"/>
      <c r="EO97" s="238"/>
      <c r="EP97" s="238"/>
      <c r="EQ97" s="238"/>
      <c r="ER97" s="238"/>
      <c r="ES97" s="238"/>
      <c r="ET97" s="238"/>
      <c r="EU97" s="238"/>
      <c r="EV97" s="238"/>
      <c r="EW97" s="238"/>
      <c r="EX97" s="238"/>
      <c r="EY97" s="238"/>
      <c r="EZ97" s="238"/>
      <c r="FA97" s="238"/>
      <c r="FB97" s="238"/>
      <c r="FC97" s="238"/>
      <c r="FD97" s="238"/>
      <c r="FE97" s="238"/>
      <c r="FF97" s="238"/>
      <c r="FG97" s="238"/>
      <c r="FH97" s="238"/>
      <c r="FI97" s="238"/>
      <c r="FJ97" s="238"/>
      <c r="FK97" s="238"/>
      <c r="FL97" s="238"/>
      <c r="FM97" s="238"/>
      <c r="FN97" s="238"/>
      <c r="FO97" s="238"/>
      <c r="FP97" s="238"/>
      <c r="FQ97" s="238"/>
      <c r="FR97" s="238"/>
      <c r="FS97" s="238"/>
      <c r="FT97" s="238"/>
      <c r="FU97" s="238"/>
      <c r="FV97" s="238"/>
      <c r="FW97" s="238"/>
      <c r="FX97" s="238"/>
      <c r="FY97" s="238"/>
      <c r="FZ97" s="238"/>
      <c r="GA97" s="238"/>
      <c r="GB97" s="238"/>
      <c r="GC97" s="238"/>
      <c r="GD97" s="238"/>
      <c r="GE97" s="238"/>
      <c r="GF97" s="238"/>
      <c r="GG97" s="238"/>
      <c r="GH97" s="238"/>
      <c r="GI97" s="238"/>
      <c r="GJ97" s="238"/>
      <c r="GK97" s="238"/>
      <c r="GL97" s="238"/>
      <c r="GM97" s="238"/>
      <c r="GN97" s="238"/>
      <c r="GO97" s="238"/>
      <c r="GP97" s="238"/>
      <c r="GQ97" s="238"/>
      <c r="GR97" s="238"/>
      <c r="GS97" s="238"/>
      <c r="GT97" s="238"/>
      <c r="GU97" s="238"/>
      <c r="GV97" s="238"/>
      <c r="GW97" s="238"/>
      <c r="GX97" s="238"/>
      <c r="GY97" s="238"/>
      <c r="GZ97" s="238"/>
      <c r="HA97" s="238"/>
      <c r="HB97" s="238"/>
      <c r="HC97" s="238"/>
      <c r="HD97" s="238"/>
      <c r="HE97" s="238"/>
      <c r="HF97" s="238"/>
      <c r="HG97" s="238"/>
      <c r="HH97" s="238"/>
      <c r="HI97" s="238"/>
      <c r="HJ97" s="238"/>
      <c r="HK97" s="238"/>
      <c r="HL97" s="238"/>
      <c r="HM97" s="238"/>
      <c r="HN97" s="238"/>
      <c r="HO97" s="238"/>
      <c r="HP97" s="238"/>
      <c r="HQ97" s="238"/>
      <c r="HR97" s="238"/>
      <c r="HS97" s="238"/>
      <c r="HT97" s="238"/>
      <c r="HU97" s="238"/>
      <c r="HV97" s="238"/>
      <c r="HW97" s="238"/>
      <c r="HX97" s="238"/>
      <c r="HY97" s="238"/>
      <c r="HZ97" s="238"/>
      <c r="IA97" s="238"/>
      <c r="IB97" s="238"/>
      <c r="IC97" s="238"/>
      <c r="ID97" s="238"/>
      <c r="IE97" s="238"/>
      <c r="IF97" s="238"/>
      <c r="IG97" s="238"/>
      <c r="IH97" s="238"/>
      <c r="II97" s="238"/>
      <c r="IJ97" s="238"/>
      <c r="IK97" s="238"/>
      <c r="IL97" s="238"/>
      <c r="IM97" s="238"/>
      <c r="IN97" s="238"/>
      <c r="IO97" s="238"/>
      <c r="IP97" s="238"/>
      <c r="IQ97" s="238"/>
      <c r="IR97" s="238"/>
      <c r="IS97" s="238"/>
      <c r="IT97" s="238"/>
      <c r="IU97" s="238"/>
      <c r="IV97" s="238"/>
      <c r="IW97" s="238"/>
      <c r="IX97" s="238"/>
      <c r="IY97" s="238"/>
      <c r="IZ97" s="238"/>
      <c r="JA97" s="238"/>
      <c r="JB97" s="238"/>
      <c r="JC97" s="238"/>
      <c r="JD97" s="238"/>
      <c r="JE97" s="238"/>
      <c r="JF97" s="238"/>
      <c r="JG97" s="238"/>
      <c r="JH97" s="238"/>
      <c r="JI97" s="238"/>
      <c r="JJ97" s="238"/>
      <c r="JK97" s="238"/>
      <c r="JL97" s="238"/>
      <c r="JM97" s="238"/>
      <c r="JN97" s="238"/>
      <c r="JO97" s="238"/>
      <c r="JP97" s="238"/>
      <c r="JQ97" s="238"/>
      <c r="JR97" s="238"/>
      <c r="JS97" s="238"/>
      <c r="JT97" s="238"/>
      <c r="JU97" s="238"/>
      <c r="JV97" s="238"/>
      <c r="JW97" s="238"/>
      <c r="JX97" s="238"/>
      <c r="JY97" s="238"/>
      <c r="JZ97" s="238"/>
      <c r="KA97" s="238"/>
      <c r="KB97" s="238"/>
      <c r="KC97" s="238"/>
      <c r="KD97" s="238"/>
      <c r="KE97" s="238"/>
      <c r="KF97" s="238"/>
      <c r="KG97" s="238"/>
      <c r="KH97" s="238"/>
      <c r="KI97" s="238"/>
      <c r="KJ97" s="238"/>
      <c r="KK97" s="238"/>
      <c r="KL97" s="238"/>
      <c r="KM97" s="238"/>
      <c r="KN97" s="238"/>
      <c r="KO97" s="238"/>
      <c r="KP97" s="238"/>
      <c r="KQ97" s="238"/>
      <c r="KR97" s="238"/>
      <c r="KS97" s="238"/>
      <c r="KT97" s="238"/>
      <c r="KU97" s="238"/>
      <c r="KV97" s="238"/>
      <c r="KW97" s="238"/>
      <c r="KX97" s="238"/>
      <c r="KY97" s="238"/>
      <c r="KZ97" s="238"/>
      <c r="LA97" s="238"/>
      <c r="LB97" s="238"/>
      <c r="LC97" s="238"/>
      <c r="LD97" s="238"/>
      <c r="LE97" s="238"/>
      <c r="LF97" s="238"/>
      <c r="LG97" s="238"/>
      <c r="LH97" s="238"/>
      <c r="LI97" s="238"/>
      <c r="LJ97" s="238"/>
      <c r="LK97" s="238"/>
      <c r="LL97" s="238"/>
      <c r="LM97" s="238"/>
      <c r="LN97" s="238"/>
      <c r="LO97" s="238"/>
      <c r="LP97" s="238"/>
      <c r="LQ97" s="238"/>
      <c r="LR97" s="238"/>
      <c r="LS97" s="238"/>
      <c r="LT97" s="238"/>
      <c r="LU97" s="238"/>
      <c r="LV97" s="238"/>
      <c r="LW97" s="238"/>
      <c r="LX97" s="238"/>
      <c r="LY97" s="238"/>
      <c r="LZ97" s="238"/>
      <c r="MA97" s="238"/>
      <c r="MB97" s="238"/>
      <c r="MC97" s="238"/>
      <c r="MD97" s="238"/>
      <c r="ME97" s="238"/>
      <c r="MF97" s="238"/>
      <c r="MG97" s="238"/>
      <c r="MH97" s="238"/>
      <c r="MI97" s="238"/>
      <c r="MJ97" s="238"/>
      <c r="MK97" s="238"/>
      <c r="ML97" s="238"/>
      <c r="MM97" s="238"/>
      <c r="MN97" s="238"/>
      <c r="MO97" s="238"/>
      <c r="MP97" s="238"/>
      <c r="MQ97" s="238"/>
      <c r="MR97" s="238"/>
      <c r="MS97" s="238"/>
      <c r="MT97" s="238"/>
      <c r="MU97" s="238"/>
      <c r="MV97" s="238"/>
      <c r="MW97" s="238"/>
      <c r="MX97" s="238"/>
      <c r="MY97" s="238"/>
      <c r="MZ97" s="238"/>
      <c r="NA97" s="238"/>
      <c r="NB97" s="238"/>
      <c r="NC97" s="238"/>
      <c r="ND97" s="238"/>
      <c r="NE97" s="238"/>
      <c r="NF97" s="238"/>
      <c r="NG97" s="238"/>
      <c r="NH97" s="238"/>
      <c r="NI97" s="238"/>
      <c r="NJ97" s="238"/>
      <c r="NK97" s="238"/>
      <c r="NL97" s="238"/>
      <c r="NM97" s="238"/>
      <c r="NN97" s="238"/>
      <c r="NO97" s="238"/>
      <c r="NP97" s="238"/>
      <c r="NQ97" s="238"/>
      <c r="NR97" s="238"/>
      <c r="NS97" s="238"/>
      <c r="NT97" s="238"/>
      <c r="NU97" s="238"/>
      <c r="NV97" s="238"/>
      <c r="NW97" s="238"/>
      <c r="NX97" s="238"/>
      <c r="NY97" s="238"/>
      <c r="NZ97" s="238"/>
      <c r="OA97" s="238"/>
      <c r="OB97" s="238"/>
      <c r="OC97" s="238"/>
      <c r="OD97" s="238"/>
      <c r="OE97" s="238"/>
      <c r="OF97" s="238"/>
      <c r="OG97" s="238"/>
      <c r="OH97" s="238"/>
      <c r="OI97" s="238"/>
      <c r="OJ97" s="238"/>
      <c r="OK97" s="238"/>
      <c r="OL97" s="238"/>
      <c r="OM97" s="238"/>
      <c r="ON97" s="238"/>
      <c r="OO97" s="238"/>
      <c r="OP97" s="238"/>
      <c r="OQ97" s="238"/>
      <c r="OR97" s="238"/>
      <c r="OS97" s="238"/>
      <c r="OT97" s="238"/>
      <c r="OU97" s="238"/>
      <c r="OV97" s="238"/>
      <c r="OW97" s="238"/>
      <c r="OX97" s="238"/>
      <c r="OY97" s="238"/>
      <c r="OZ97" s="238"/>
      <c r="PA97" s="238"/>
      <c r="PB97" s="238"/>
      <c r="PC97" s="238"/>
      <c r="PD97" s="238"/>
      <c r="PE97" s="238"/>
      <c r="PF97" s="238"/>
      <c r="PG97" s="238"/>
      <c r="PH97" s="238"/>
      <c r="PI97" s="238"/>
      <c r="PJ97" s="238"/>
      <c r="PK97" s="238"/>
      <c r="PL97" s="238"/>
      <c r="PM97" s="238"/>
      <c r="PN97" s="238"/>
      <c r="PO97" s="238"/>
      <c r="PP97" s="238"/>
      <c r="PQ97" s="238"/>
      <c r="PR97" s="238"/>
      <c r="PS97" s="238"/>
      <c r="PT97" s="238"/>
      <c r="PU97" s="238"/>
      <c r="PV97" s="238"/>
      <c r="PW97" s="238"/>
      <c r="PX97" s="238"/>
      <c r="PY97" s="238"/>
      <c r="PZ97" s="238"/>
      <c r="QA97" s="238"/>
      <c r="QB97" s="238"/>
      <c r="QC97" s="238"/>
      <c r="QD97" s="238"/>
      <c r="QE97" s="238"/>
      <c r="QF97" s="238"/>
      <c r="QG97" s="238"/>
      <c r="QH97" s="238"/>
      <c r="QI97" s="238"/>
      <c r="QJ97" s="238"/>
      <c r="QK97" s="238"/>
      <c r="QL97" s="238"/>
      <c r="QM97" s="238"/>
      <c r="QN97" s="238"/>
      <c r="QO97" s="238"/>
      <c r="QP97" s="238"/>
      <c r="QQ97" s="238"/>
      <c r="QR97" s="238"/>
      <c r="QS97" s="238"/>
      <c r="QT97" s="238"/>
      <c r="QU97" s="238"/>
      <c r="QV97" s="238"/>
      <c r="QW97" s="238"/>
      <c r="QX97" s="238"/>
      <c r="QY97" s="238"/>
      <c r="QZ97" s="238"/>
      <c r="RA97" s="238"/>
      <c r="RB97" s="238"/>
      <c r="RC97" s="238"/>
      <c r="RD97" s="238"/>
      <c r="RE97" s="238"/>
      <c r="RF97" s="238"/>
      <c r="RG97" s="238"/>
      <c r="RH97" s="238"/>
      <c r="RI97" s="238"/>
      <c r="RJ97" s="238"/>
      <c r="RK97" s="238"/>
      <c r="RL97" s="238"/>
      <c r="RM97" s="238"/>
      <c r="RN97" s="238"/>
      <c r="RO97" s="238"/>
      <c r="RP97" s="238"/>
      <c r="RQ97" s="238"/>
      <c r="RR97" s="238"/>
      <c r="RS97" s="238"/>
      <c r="RT97" s="238"/>
      <c r="RU97" s="238"/>
      <c r="RV97" s="238"/>
      <c r="RW97" s="238"/>
      <c r="RX97" s="238"/>
      <c r="RY97" s="238"/>
      <c r="RZ97" s="238"/>
      <c r="SA97" s="238"/>
      <c r="SB97" s="238"/>
      <c r="SC97" s="238"/>
      <c r="SD97" s="238"/>
      <c r="SE97" s="238"/>
      <c r="SF97" s="238"/>
      <c r="SG97" s="238"/>
      <c r="SH97" s="238"/>
      <c r="SI97" s="238"/>
      <c r="SJ97" s="238"/>
      <c r="SK97" s="238"/>
      <c r="SL97" s="238"/>
      <c r="SM97" s="238"/>
      <c r="SN97" s="238"/>
      <c r="SO97" s="238"/>
      <c r="SP97" s="238"/>
      <c r="SQ97" s="238"/>
      <c r="SR97" s="238"/>
      <c r="SS97" s="238"/>
      <c r="ST97" s="238"/>
      <c r="SU97" s="238"/>
      <c r="SV97" s="238"/>
      <c r="SW97" s="238"/>
      <c r="SX97" s="238"/>
      <c r="SY97" s="238"/>
      <c r="SZ97" s="238"/>
      <c r="TA97" s="238"/>
      <c r="TB97" s="238"/>
      <c r="TC97" s="238"/>
      <c r="TD97" s="238"/>
      <c r="TE97" s="238"/>
      <c r="TF97" s="238"/>
      <c r="TG97" s="238"/>
      <c r="TH97" s="238"/>
      <c r="TI97" s="238"/>
      <c r="TJ97" s="238"/>
      <c r="TK97" s="238"/>
      <c r="TL97" s="238"/>
      <c r="TM97" s="238"/>
      <c r="TN97" s="238"/>
      <c r="TO97" s="238"/>
      <c r="TP97" s="238"/>
      <c r="TQ97" s="238"/>
      <c r="TR97" s="238"/>
      <c r="TS97" s="238"/>
      <c r="TT97" s="238"/>
      <c r="TU97" s="238"/>
      <c r="TV97" s="238"/>
      <c r="TW97" s="238"/>
      <c r="TX97" s="238"/>
      <c r="TY97" s="238"/>
      <c r="TZ97" s="238"/>
      <c r="UA97" s="238"/>
      <c r="UB97" s="238"/>
      <c r="UC97" s="238"/>
      <c r="UD97" s="238"/>
      <c r="UE97" s="238"/>
      <c r="UF97" s="238"/>
      <c r="UG97" s="248"/>
    </row>
    <row r="98" spans="1:553" s="236" customFormat="1" ht="34.5" customHeight="1">
      <c r="A98" s="356" t="s">
        <v>30</v>
      </c>
      <c r="B98" s="366" t="s">
        <v>35</v>
      </c>
      <c r="C98" s="1414" t="s">
        <v>156</v>
      </c>
      <c r="D98" s="1389"/>
      <c r="E98" s="1389"/>
      <c r="F98" s="1390"/>
      <c r="G98" s="386" t="s">
        <v>935</v>
      </c>
      <c r="H98" s="370"/>
      <c r="I98" s="422">
        <f>0.6*5.2*6</f>
        <v>18.72</v>
      </c>
      <c r="J98" s="368">
        <v>39000</v>
      </c>
      <c r="K98" s="371"/>
      <c r="L98" s="391">
        <f t="shared" si="22"/>
        <v>730080</v>
      </c>
      <c r="M98" s="391"/>
      <c r="N98" s="391"/>
      <c r="O98" s="391"/>
      <c r="P98" s="391"/>
      <c r="Q98" s="1445"/>
      <c r="R98" s="1226"/>
      <c r="S98" s="308"/>
      <c r="T98" s="303"/>
      <c r="U98" s="306"/>
      <c r="V98" s="307"/>
      <c r="W98" s="306"/>
      <c r="X98" s="306"/>
      <c r="Y98" s="306"/>
      <c r="Z98" s="306"/>
      <c r="AA98" s="306"/>
      <c r="AB98" s="306"/>
      <c r="AC98" s="449"/>
      <c r="AD98" s="449"/>
      <c r="AE98" s="449"/>
      <c r="AF98" s="449"/>
      <c r="AG98" s="449"/>
      <c r="AH98" s="449"/>
      <c r="AI98" s="449"/>
      <c r="AJ98" s="449"/>
      <c r="AK98" s="452"/>
      <c r="AL98" s="242"/>
      <c r="AM98" s="241"/>
      <c r="AN98" s="241"/>
      <c r="AO98" s="241"/>
      <c r="AP98" s="241"/>
      <c r="AQ98" s="241"/>
      <c r="AR98" s="241"/>
      <c r="AS98" s="238"/>
      <c r="AT98" s="238"/>
      <c r="AU98" s="238"/>
      <c r="AV98" s="238"/>
      <c r="AW98" s="238"/>
      <c r="AX98" s="238"/>
      <c r="AY98" s="238"/>
      <c r="AZ98" s="238"/>
      <c r="BA98" s="238"/>
      <c r="BB98" s="238"/>
      <c r="BC98" s="238"/>
      <c r="BD98" s="238"/>
      <c r="BE98" s="238"/>
      <c r="BF98" s="238"/>
      <c r="BG98" s="238"/>
      <c r="BH98" s="238"/>
      <c r="BI98" s="238"/>
      <c r="BJ98" s="238"/>
      <c r="BK98" s="238"/>
      <c r="BL98" s="238"/>
      <c r="BM98" s="238"/>
      <c r="BN98" s="238"/>
      <c r="BO98" s="238"/>
      <c r="BP98" s="238"/>
      <c r="BQ98" s="238"/>
      <c r="BR98" s="238"/>
      <c r="BS98" s="238"/>
      <c r="BT98" s="238"/>
      <c r="BU98" s="238"/>
      <c r="BV98" s="238"/>
      <c r="BW98" s="238"/>
      <c r="BX98" s="238"/>
      <c r="BY98" s="238"/>
      <c r="BZ98" s="238"/>
      <c r="CA98" s="238"/>
      <c r="CB98" s="238"/>
      <c r="CC98" s="238"/>
      <c r="CD98" s="238"/>
      <c r="CE98" s="238"/>
      <c r="CF98" s="238"/>
      <c r="CG98" s="238"/>
      <c r="CH98" s="238"/>
      <c r="CI98" s="238"/>
      <c r="CJ98" s="238"/>
      <c r="CK98" s="238"/>
      <c r="CL98" s="238"/>
      <c r="CM98" s="238"/>
      <c r="CN98" s="238"/>
      <c r="CO98" s="238"/>
      <c r="CP98" s="238"/>
      <c r="CQ98" s="238"/>
      <c r="CR98" s="238"/>
      <c r="CS98" s="238"/>
      <c r="CT98" s="238"/>
      <c r="CU98" s="238"/>
      <c r="CV98" s="238"/>
      <c r="CW98" s="238"/>
      <c r="CX98" s="238"/>
      <c r="CY98" s="238"/>
      <c r="CZ98" s="238"/>
      <c r="DA98" s="238"/>
      <c r="DB98" s="238"/>
      <c r="DC98" s="238"/>
      <c r="DD98" s="238"/>
      <c r="DE98" s="238"/>
      <c r="DF98" s="238"/>
      <c r="DG98" s="238"/>
      <c r="DH98" s="238"/>
      <c r="DI98" s="238"/>
      <c r="DJ98" s="238"/>
      <c r="DK98" s="238"/>
      <c r="DL98" s="238"/>
      <c r="DM98" s="238"/>
      <c r="DN98" s="238"/>
      <c r="DO98" s="238"/>
      <c r="DP98" s="238"/>
      <c r="DQ98" s="238"/>
      <c r="DR98" s="238"/>
      <c r="DS98" s="238"/>
      <c r="DT98" s="238"/>
      <c r="DU98" s="238"/>
      <c r="DV98" s="238"/>
      <c r="DW98" s="238"/>
      <c r="DX98" s="238"/>
      <c r="DY98" s="238"/>
      <c r="DZ98" s="238"/>
      <c r="EA98" s="238"/>
      <c r="EB98" s="238"/>
      <c r="EC98" s="238"/>
      <c r="ED98" s="238"/>
      <c r="EE98" s="238"/>
      <c r="EF98" s="238"/>
      <c r="EG98" s="238"/>
      <c r="EH98" s="238"/>
      <c r="EI98" s="238"/>
      <c r="EJ98" s="238"/>
      <c r="EK98" s="238"/>
      <c r="EL98" s="238"/>
      <c r="EM98" s="238"/>
      <c r="EN98" s="238"/>
      <c r="EO98" s="238"/>
      <c r="EP98" s="238"/>
      <c r="EQ98" s="238"/>
      <c r="ER98" s="238"/>
      <c r="ES98" s="238"/>
      <c r="ET98" s="238"/>
      <c r="EU98" s="238"/>
      <c r="EV98" s="238"/>
      <c r="EW98" s="238"/>
      <c r="EX98" s="238"/>
      <c r="EY98" s="238"/>
      <c r="EZ98" s="238"/>
      <c r="FA98" s="238"/>
      <c r="FB98" s="238"/>
      <c r="FC98" s="238"/>
      <c r="FD98" s="238"/>
      <c r="FE98" s="238"/>
      <c r="FF98" s="238"/>
      <c r="FG98" s="238"/>
      <c r="FH98" s="238"/>
      <c r="FI98" s="238"/>
      <c r="FJ98" s="238"/>
      <c r="FK98" s="238"/>
      <c r="FL98" s="238"/>
      <c r="FM98" s="238"/>
      <c r="FN98" s="238"/>
      <c r="FO98" s="238"/>
      <c r="FP98" s="238"/>
      <c r="FQ98" s="238"/>
      <c r="FR98" s="238"/>
      <c r="FS98" s="238"/>
      <c r="FT98" s="238"/>
      <c r="FU98" s="238"/>
      <c r="FV98" s="238"/>
      <c r="FW98" s="238"/>
      <c r="FX98" s="238"/>
      <c r="FY98" s="238"/>
      <c r="FZ98" s="238"/>
      <c r="GA98" s="238"/>
      <c r="GB98" s="238"/>
      <c r="GC98" s="238"/>
      <c r="GD98" s="238"/>
      <c r="GE98" s="238"/>
      <c r="GF98" s="238"/>
      <c r="GG98" s="238"/>
      <c r="GH98" s="238"/>
      <c r="GI98" s="238"/>
      <c r="GJ98" s="238"/>
      <c r="GK98" s="238"/>
      <c r="GL98" s="238"/>
      <c r="GM98" s="238"/>
      <c r="GN98" s="238"/>
      <c r="GO98" s="238"/>
      <c r="GP98" s="238"/>
      <c r="GQ98" s="238"/>
      <c r="GR98" s="238"/>
      <c r="GS98" s="238"/>
      <c r="GT98" s="238"/>
      <c r="GU98" s="238"/>
      <c r="GV98" s="238"/>
      <c r="GW98" s="238"/>
      <c r="GX98" s="238"/>
      <c r="GY98" s="238"/>
      <c r="GZ98" s="238"/>
      <c r="HA98" s="238"/>
      <c r="HB98" s="238"/>
      <c r="HC98" s="238"/>
      <c r="HD98" s="238"/>
      <c r="HE98" s="238"/>
      <c r="HF98" s="238"/>
      <c r="HG98" s="238"/>
      <c r="HH98" s="238"/>
      <c r="HI98" s="238"/>
      <c r="HJ98" s="238"/>
      <c r="HK98" s="238"/>
      <c r="HL98" s="238"/>
      <c r="HM98" s="238"/>
      <c r="HN98" s="238"/>
      <c r="HO98" s="238"/>
      <c r="HP98" s="238"/>
      <c r="HQ98" s="238"/>
      <c r="HR98" s="238"/>
      <c r="HS98" s="238"/>
      <c r="HT98" s="238"/>
      <c r="HU98" s="238"/>
      <c r="HV98" s="238"/>
      <c r="HW98" s="238"/>
      <c r="HX98" s="238"/>
      <c r="HY98" s="238"/>
      <c r="HZ98" s="238"/>
      <c r="IA98" s="238"/>
      <c r="IB98" s="238"/>
      <c r="IC98" s="238"/>
      <c r="ID98" s="238"/>
      <c r="IE98" s="238"/>
      <c r="IF98" s="238"/>
      <c r="IG98" s="238"/>
      <c r="IH98" s="238"/>
      <c r="II98" s="238"/>
      <c r="IJ98" s="238"/>
      <c r="IK98" s="238"/>
      <c r="IL98" s="238"/>
      <c r="IM98" s="238"/>
      <c r="IN98" s="238"/>
      <c r="IO98" s="238"/>
      <c r="IP98" s="238"/>
      <c r="IQ98" s="238"/>
      <c r="IR98" s="238"/>
      <c r="IS98" s="238"/>
      <c r="IT98" s="238"/>
      <c r="IU98" s="238"/>
      <c r="IV98" s="238"/>
      <c r="IW98" s="238"/>
      <c r="IX98" s="238"/>
      <c r="IY98" s="238"/>
      <c r="IZ98" s="238"/>
      <c r="JA98" s="238"/>
      <c r="JB98" s="238"/>
      <c r="JC98" s="238"/>
      <c r="JD98" s="238"/>
      <c r="JE98" s="238"/>
      <c r="JF98" s="238"/>
      <c r="JG98" s="238"/>
      <c r="JH98" s="238"/>
      <c r="JI98" s="238"/>
      <c r="JJ98" s="238"/>
      <c r="JK98" s="238"/>
      <c r="JL98" s="238"/>
      <c r="JM98" s="238"/>
      <c r="JN98" s="238"/>
      <c r="JO98" s="238"/>
      <c r="JP98" s="238"/>
      <c r="JQ98" s="238"/>
      <c r="JR98" s="238"/>
      <c r="JS98" s="238"/>
      <c r="JT98" s="238"/>
      <c r="JU98" s="238"/>
      <c r="JV98" s="238"/>
      <c r="JW98" s="238"/>
      <c r="JX98" s="238"/>
      <c r="JY98" s="238"/>
      <c r="JZ98" s="238"/>
      <c r="KA98" s="238"/>
      <c r="KB98" s="238"/>
      <c r="KC98" s="238"/>
      <c r="KD98" s="238"/>
      <c r="KE98" s="238"/>
      <c r="KF98" s="238"/>
      <c r="KG98" s="238"/>
      <c r="KH98" s="238"/>
      <c r="KI98" s="238"/>
      <c r="KJ98" s="238"/>
      <c r="KK98" s="238"/>
      <c r="KL98" s="238"/>
      <c r="KM98" s="238"/>
      <c r="KN98" s="238"/>
      <c r="KO98" s="238"/>
      <c r="KP98" s="238"/>
      <c r="KQ98" s="238"/>
      <c r="KR98" s="238"/>
      <c r="KS98" s="238"/>
      <c r="KT98" s="238"/>
      <c r="KU98" s="238"/>
      <c r="KV98" s="238"/>
      <c r="KW98" s="238"/>
      <c r="KX98" s="238"/>
      <c r="KY98" s="238"/>
      <c r="KZ98" s="238"/>
      <c r="LA98" s="238"/>
      <c r="LB98" s="238"/>
      <c r="LC98" s="238"/>
      <c r="LD98" s="238"/>
      <c r="LE98" s="238"/>
      <c r="LF98" s="238"/>
      <c r="LG98" s="238"/>
      <c r="LH98" s="238"/>
      <c r="LI98" s="238"/>
      <c r="LJ98" s="238"/>
      <c r="LK98" s="238"/>
      <c r="LL98" s="238"/>
      <c r="LM98" s="238"/>
      <c r="LN98" s="238"/>
      <c r="LO98" s="238"/>
      <c r="LP98" s="238"/>
      <c r="LQ98" s="238"/>
      <c r="LR98" s="238"/>
      <c r="LS98" s="238"/>
      <c r="LT98" s="238"/>
      <c r="LU98" s="238"/>
      <c r="LV98" s="238"/>
      <c r="LW98" s="238"/>
      <c r="LX98" s="238"/>
      <c r="LY98" s="238"/>
      <c r="LZ98" s="238"/>
      <c r="MA98" s="238"/>
      <c r="MB98" s="238"/>
      <c r="MC98" s="238"/>
      <c r="MD98" s="238"/>
      <c r="ME98" s="238"/>
      <c r="MF98" s="238"/>
      <c r="MG98" s="238"/>
      <c r="MH98" s="238"/>
      <c r="MI98" s="238"/>
      <c r="MJ98" s="238"/>
      <c r="MK98" s="238"/>
      <c r="ML98" s="238"/>
      <c r="MM98" s="238"/>
      <c r="MN98" s="238"/>
      <c r="MO98" s="238"/>
      <c r="MP98" s="238"/>
      <c r="MQ98" s="238"/>
      <c r="MR98" s="238"/>
      <c r="MS98" s="238"/>
      <c r="MT98" s="238"/>
      <c r="MU98" s="238"/>
      <c r="MV98" s="238"/>
      <c r="MW98" s="238"/>
      <c r="MX98" s="238"/>
      <c r="MY98" s="238"/>
      <c r="MZ98" s="238"/>
      <c r="NA98" s="238"/>
      <c r="NB98" s="238"/>
      <c r="NC98" s="238"/>
      <c r="ND98" s="238"/>
      <c r="NE98" s="238"/>
      <c r="NF98" s="238"/>
      <c r="NG98" s="238"/>
      <c r="NH98" s="238"/>
      <c r="NI98" s="238"/>
      <c r="NJ98" s="238"/>
      <c r="NK98" s="238"/>
      <c r="NL98" s="238"/>
      <c r="NM98" s="238"/>
      <c r="NN98" s="238"/>
      <c r="NO98" s="238"/>
      <c r="NP98" s="238"/>
      <c r="NQ98" s="238"/>
      <c r="NR98" s="238"/>
      <c r="NS98" s="238"/>
      <c r="NT98" s="238"/>
      <c r="NU98" s="238"/>
      <c r="NV98" s="238"/>
      <c r="NW98" s="238"/>
      <c r="NX98" s="238"/>
      <c r="NY98" s="238"/>
      <c r="NZ98" s="238"/>
      <c r="OA98" s="238"/>
      <c r="OB98" s="238"/>
      <c r="OC98" s="238"/>
      <c r="OD98" s="238"/>
      <c r="OE98" s="238"/>
      <c r="OF98" s="238"/>
      <c r="OG98" s="238"/>
      <c r="OH98" s="238"/>
      <c r="OI98" s="238"/>
      <c r="OJ98" s="238"/>
      <c r="OK98" s="238"/>
      <c r="OL98" s="238"/>
      <c r="OM98" s="238"/>
      <c r="ON98" s="238"/>
      <c r="OO98" s="238"/>
      <c r="OP98" s="238"/>
      <c r="OQ98" s="238"/>
      <c r="OR98" s="238"/>
      <c r="OS98" s="238"/>
      <c r="OT98" s="238"/>
      <c r="OU98" s="238"/>
      <c r="OV98" s="238"/>
      <c r="OW98" s="238"/>
      <c r="OX98" s="238"/>
      <c r="OY98" s="238"/>
      <c r="OZ98" s="238"/>
      <c r="PA98" s="238"/>
      <c r="PB98" s="238"/>
      <c r="PC98" s="238"/>
      <c r="PD98" s="238"/>
      <c r="PE98" s="238"/>
      <c r="PF98" s="238"/>
      <c r="PG98" s="238"/>
      <c r="PH98" s="238"/>
      <c r="PI98" s="238"/>
      <c r="PJ98" s="238"/>
      <c r="PK98" s="238"/>
      <c r="PL98" s="238"/>
      <c r="PM98" s="238"/>
      <c r="PN98" s="238"/>
      <c r="PO98" s="238"/>
      <c r="PP98" s="238"/>
      <c r="PQ98" s="238"/>
      <c r="PR98" s="238"/>
      <c r="PS98" s="238"/>
      <c r="PT98" s="238"/>
      <c r="PU98" s="238"/>
      <c r="PV98" s="238"/>
      <c r="PW98" s="238"/>
      <c r="PX98" s="238"/>
      <c r="PY98" s="238"/>
      <c r="PZ98" s="238"/>
      <c r="QA98" s="238"/>
      <c r="QB98" s="238"/>
      <c r="QC98" s="238"/>
      <c r="QD98" s="238"/>
      <c r="QE98" s="238"/>
      <c r="QF98" s="238"/>
      <c r="QG98" s="238"/>
      <c r="QH98" s="238"/>
      <c r="QI98" s="238"/>
      <c r="QJ98" s="238"/>
      <c r="QK98" s="238"/>
      <c r="QL98" s="238"/>
      <c r="QM98" s="238"/>
      <c r="QN98" s="238"/>
      <c r="QO98" s="238"/>
      <c r="QP98" s="238"/>
      <c r="QQ98" s="238"/>
      <c r="QR98" s="238"/>
      <c r="QS98" s="238"/>
      <c r="QT98" s="238"/>
      <c r="QU98" s="238"/>
      <c r="QV98" s="238"/>
      <c r="QW98" s="238"/>
      <c r="QX98" s="238"/>
      <c r="QY98" s="238"/>
      <c r="QZ98" s="238"/>
      <c r="RA98" s="238"/>
      <c r="RB98" s="238"/>
      <c r="RC98" s="238"/>
      <c r="RD98" s="238"/>
      <c r="RE98" s="238"/>
      <c r="RF98" s="238"/>
      <c r="RG98" s="238"/>
      <c r="RH98" s="238"/>
      <c r="RI98" s="238"/>
      <c r="RJ98" s="238"/>
      <c r="RK98" s="238"/>
      <c r="RL98" s="238"/>
      <c r="RM98" s="238"/>
      <c r="RN98" s="238"/>
      <c r="RO98" s="238"/>
      <c r="RP98" s="238"/>
      <c r="RQ98" s="238"/>
      <c r="RR98" s="238"/>
      <c r="RS98" s="238"/>
      <c r="RT98" s="238"/>
      <c r="RU98" s="238"/>
      <c r="RV98" s="238"/>
      <c r="RW98" s="238"/>
      <c r="RX98" s="238"/>
      <c r="RY98" s="238"/>
      <c r="RZ98" s="238"/>
      <c r="SA98" s="238"/>
      <c r="SB98" s="238"/>
      <c r="SC98" s="238"/>
      <c r="SD98" s="238"/>
      <c r="SE98" s="238"/>
      <c r="SF98" s="238"/>
      <c r="SG98" s="238"/>
      <c r="SH98" s="238"/>
      <c r="SI98" s="238"/>
      <c r="SJ98" s="238"/>
      <c r="SK98" s="238"/>
      <c r="SL98" s="238"/>
      <c r="SM98" s="238"/>
      <c r="SN98" s="238"/>
      <c r="SO98" s="238"/>
      <c r="SP98" s="238"/>
      <c r="SQ98" s="238"/>
      <c r="SR98" s="238"/>
      <c r="SS98" s="238"/>
      <c r="ST98" s="238"/>
      <c r="SU98" s="238"/>
      <c r="SV98" s="238"/>
      <c r="SW98" s="238"/>
      <c r="SX98" s="238"/>
      <c r="SY98" s="238"/>
      <c r="SZ98" s="238"/>
      <c r="TA98" s="238"/>
      <c r="TB98" s="238"/>
      <c r="TC98" s="238"/>
      <c r="TD98" s="238"/>
      <c r="TE98" s="238"/>
      <c r="TF98" s="238"/>
      <c r="TG98" s="238"/>
      <c r="TH98" s="238"/>
      <c r="TI98" s="238"/>
      <c r="TJ98" s="238"/>
      <c r="TK98" s="238"/>
      <c r="TL98" s="238"/>
      <c r="TM98" s="238"/>
      <c r="TN98" s="238"/>
      <c r="TO98" s="238"/>
      <c r="TP98" s="238"/>
      <c r="TQ98" s="238"/>
      <c r="TR98" s="238"/>
      <c r="TS98" s="238"/>
      <c r="TT98" s="238"/>
      <c r="TU98" s="238"/>
      <c r="TV98" s="238"/>
      <c r="TW98" s="238"/>
      <c r="TX98" s="238"/>
      <c r="TY98" s="238"/>
      <c r="TZ98" s="238"/>
      <c r="UA98" s="238"/>
      <c r="UB98" s="238"/>
      <c r="UC98" s="238"/>
      <c r="UD98" s="238"/>
      <c r="UE98" s="238"/>
      <c r="UF98" s="238"/>
      <c r="UG98" s="248"/>
    </row>
    <row r="99" spans="1:553" s="236" customFormat="1" ht="34.5" customHeight="1">
      <c r="A99" s="356" t="s">
        <v>30</v>
      </c>
      <c r="B99" s="366" t="s">
        <v>35</v>
      </c>
      <c r="C99" s="1414" t="s">
        <v>157</v>
      </c>
      <c r="D99" s="1389"/>
      <c r="E99" s="1389"/>
      <c r="F99" s="1390"/>
      <c r="G99" s="386" t="s">
        <v>935</v>
      </c>
      <c r="H99" s="370"/>
      <c r="I99" s="422">
        <f>0.69*4.2*16</f>
        <v>46.367999999999995</v>
      </c>
      <c r="J99" s="368">
        <v>39000</v>
      </c>
      <c r="K99" s="371"/>
      <c r="L99" s="391">
        <f>ROUND(PRODUCT(I99:K99),0)</f>
        <v>1808352</v>
      </c>
      <c r="M99" s="395"/>
      <c r="N99" s="395"/>
      <c r="O99" s="366"/>
      <c r="P99" s="396"/>
      <c r="Q99" s="473"/>
      <c r="R99" s="1039"/>
      <c r="S99" s="309"/>
      <c r="T99" s="310"/>
      <c r="U99" s="311"/>
      <c r="V99" s="312"/>
      <c r="W99" s="311"/>
      <c r="X99" s="311"/>
      <c r="Y99" s="311"/>
      <c r="Z99" s="311"/>
      <c r="AA99" s="311"/>
      <c r="AB99" s="311"/>
      <c r="AC99" s="449"/>
      <c r="AD99" s="449"/>
      <c r="AE99" s="449"/>
      <c r="AF99" s="449"/>
      <c r="AG99" s="452"/>
      <c r="AH99" s="452"/>
      <c r="AI99" s="452"/>
      <c r="AJ99" s="452"/>
      <c r="AK99" s="452"/>
      <c r="AL99" s="242"/>
      <c r="AM99" s="241"/>
      <c r="AN99" s="241"/>
      <c r="AO99" s="241"/>
      <c r="AP99" s="241"/>
      <c r="AQ99" s="238"/>
      <c r="AR99" s="238"/>
      <c r="AS99" s="238"/>
      <c r="AT99" s="238"/>
      <c r="AU99" s="238"/>
      <c r="AV99" s="238"/>
      <c r="AW99" s="238"/>
      <c r="AX99" s="238"/>
      <c r="AY99" s="238"/>
      <c r="AZ99" s="238"/>
      <c r="BA99" s="238"/>
      <c r="BB99" s="238"/>
      <c r="BC99" s="238"/>
      <c r="BD99" s="238"/>
      <c r="BE99" s="238"/>
      <c r="BF99" s="238"/>
      <c r="BG99" s="238"/>
      <c r="BH99" s="238"/>
      <c r="BI99" s="238"/>
      <c r="BJ99" s="238"/>
      <c r="BK99" s="238"/>
      <c r="BL99" s="238"/>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9"/>
      <c r="CP99" s="239"/>
      <c r="CQ99" s="239"/>
      <c r="CR99" s="239"/>
      <c r="CS99" s="239"/>
      <c r="CT99" s="239"/>
      <c r="CU99" s="239"/>
      <c r="CV99" s="239"/>
      <c r="CW99" s="239"/>
      <c r="CX99" s="239"/>
      <c r="CY99" s="239"/>
      <c r="CZ99" s="239"/>
      <c r="DA99" s="239"/>
      <c r="DB99" s="239"/>
      <c r="DC99" s="239"/>
      <c r="DD99" s="239"/>
      <c r="DE99" s="239"/>
      <c r="DF99" s="239"/>
      <c r="DG99" s="239"/>
      <c r="DH99" s="239"/>
      <c r="DI99" s="239"/>
      <c r="DJ99" s="239"/>
      <c r="DK99" s="239"/>
      <c r="DL99" s="239"/>
      <c r="DM99" s="239"/>
      <c r="DN99" s="239"/>
      <c r="DO99" s="239"/>
      <c r="DP99" s="239"/>
      <c r="DQ99" s="239"/>
      <c r="DR99" s="239"/>
      <c r="DS99" s="239"/>
      <c r="DT99" s="239"/>
      <c r="DU99" s="239"/>
      <c r="DV99" s="239"/>
      <c r="DW99" s="239"/>
      <c r="DX99" s="239"/>
      <c r="DY99" s="239"/>
      <c r="DZ99" s="239"/>
      <c r="EA99" s="239"/>
      <c r="EB99" s="239"/>
      <c r="EC99" s="239"/>
      <c r="ED99" s="239"/>
      <c r="EE99" s="239"/>
      <c r="EF99" s="239"/>
      <c r="EG99" s="239"/>
      <c r="EH99" s="239"/>
      <c r="EI99" s="239"/>
      <c r="EJ99" s="239"/>
      <c r="EK99" s="239"/>
      <c r="EL99" s="239"/>
      <c r="EM99" s="239"/>
      <c r="EN99" s="239"/>
      <c r="EO99" s="239"/>
      <c r="EP99" s="239"/>
      <c r="EQ99" s="239"/>
      <c r="ER99" s="239"/>
      <c r="ES99" s="239"/>
      <c r="ET99" s="239"/>
      <c r="EU99" s="239"/>
      <c r="EV99" s="239"/>
      <c r="EW99" s="239"/>
      <c r="EX99" s="239"/>
      <c r="EY99" s="239"/>
      <c r="EZ99" s="239"/>
      <c r="FA99" s="239"/>
      <c r="FB99" s="239"/>
      <c r="FC99" s="239"/>
      <c r="FD99" s="239"/>
      <c r="FE99" s="239"/>
      <c r="FF99" s="239"/>
      <c r="FG99" s="239"/>
      <c r="FH99" s="239"/>
      <c r="FI99" s="239"/>
      <c r="FJ99" s="239"/>
      <c r="FK99" s="239"/>
      <c r="FL99" s="239"/>
      <c r="FM99" s="239"/>
      <c r="FN99" s="239"/>
      <c r="FO99" s="239"/>
      <c r="FP99" s="239"/>
      <c r="FQ99" s="239"/>
      <c r="FR99" s="239"/>
      <c r="FS99" s="239"/>
      <c r="FT99" s="239"/>
      <c r="FU99" s="239"/>
      <c r="FV99" s="239"/>
      <c r="FW99" s="239"/>
      <c r="FX99" s="239"/>
      <c r="FY99" s="239"/>
      <c r="FZ99" s="239"/>
      <c r="GA99" s="239"/>
      <c r="GB99" s="239"/>
      <c r="GC99" s="239"/>
      <c r="GD99" s="239"/>
      <c r="GE99" s="239"/>
      <c r="GF99" s="239"/>
      <c r="GG99" s="239"/>
      <c r="GH99" s="239"/>
      <c r="GI99" s="239"/>
      <c r="GJ99" s="239"/>
      <c r="GK99" s="239"/>
      <c r="GL99" s="239"/>
      <c r="GM99" s="239"/>
      <c r="GN99" s="239"/>
      <c r="GO99" s="239"/>
      <c r="GP99" s="239"/>
      <c r="GQ99" s="239"/>
      <c r="GR99" s="239"/>
      <c r="GS99" s="239"/>
      <c r="GT99" s="239"/>
      <c r="GU99" s="239"/>
      <c r="GV99" s="239"/>
      <c r="GW99" s="239"/>
      <c r="GX99" s="239"/>
      <c r="GY99" s="239"/>
      <c r="GZ99" s="239"/>
      <c r="HA99" s="239"/>
      <c r="HB99" s="239"/>
      <c r="HC99" s="239"/>
      <c r="HD99" s="239"/>
      <c r="HE99" s="239"/>
      <c r="HF99" s="239"/>
      <c r="HG99" s="239"/>
      <c r="HH99" s="239"/>
      <c r="HI99" s="239"/>
      <c r="HJ99" s="239"/>
      <c r="HK99" s="239"/>
      <c r="HL99" s="239"/>
      <c r="HM99" s="239"/>
      <c r="HN99" s="239"/>
      <c r="HO99" s="239"/>
      <c r="HP99" s="239"/>
      <c r="HQ99" s="239"/>
      <c r="HR99" s="239"/>
      <c r="HS99" s="239"/>
      <c r="HT99" s="239"/>
      <c r="HU99" s="239"/>
      <c r="HV99" s="239"/>
      <c r="HW99" s="239"/>
      <c r="HX99" s="239"/>
      <c r="HY99" s="239"/>
      <c r="HZ99" s="239"/>
      <c r="IA99" s="239"/>
      <c r="IB99" s="239"/>
      <c r="IC99" s="239"/>
      <c r="ID99" s="239"/>
      <c r="IE99" s="239"/>
      <c r="IF99" s="239"/>
      <c r="IG99" s="239"/>
      <c r="IH99" s="239"/>
      <c r="II99" s="239"/>
      <c r="IJ99" s="239"/>
      <c r="IK99" s="239"/>
      <c r="IL99" s="239"/>
      <c r="IM99" s="239"/>
      <c r="IN99" s="239"/>
      <c r="IO99" s="239"/>
      <c r="IP99" s="239"/>
      <c r="IQ99" s="239"/>
      <c r="IR99" s="239"/>
      <c r="IS99" s="239"/>
      <c r="IT99" s="239"/>
      <c r="IU99" s="239"/>
      <c r="IV99" s="239"/>
      <c r="IW99" s="239"/>
      <c r="IX99" s="239"/>
      <c r="IY99" s="239"/>
      <c r="IZ99" s="239"/>
      <c r="JA99" s="239"/>
      <c r="JB99" s="239"/>
      <c r="JC99" s="239"/>
      <c r="JD99" s="239"/>
      <c r="JE99" s="239"/>
      <c r="JF99" s="239"/>
      <c r="JG99" s="239"/>
      <c r="JH99" s="239"/>
      <c r="JI99" s="239"/>
      <c r="JJ99" s="239"/>
      <c r="JK99" s="239"/>
      <c r="JL99" s="239"/>
      <c r="JM99" s="239"/>
      <c r="JN99" s="239"/>
      <c r="JO99" s="239"/>
      <c r="JP99" s="239"/>
      <c r="JQ99" s="239"/>
      <c r="JR99" s="239"/>
      <c r="JS99" s="239"/>
      <c r="JT99" s="239"/>
      <c r="JU99" s="239"/>
      <c r="JV99" s="239"/>
      <c r="JW99" s="239"/>
      <c r="JX99" s="239"/>
      <c r="JY99" s="239"/>
      <c r="JZ99" s="239"/>
      <c r="KA99" s="239"/>
      <c r="KB99" s="239"/>
      <c r="KC99" s="239"/>
      <c r="KD99" s="239"/>
      <c r="KE99" s="239"/>
      <c r="KF99" s="239"/>
      <c r="KG99" s="239"/>
      <c r="KH99" s="239"/>
      <c r="KI99" s="239"/>
      <c r="KJ99" s="239"/>
      <c r="KK99" s="239"/>
      <c r="KL99" s="239"/>
      <c r="KM99" s="239"/>
      <c r="KN99" s="239"/>
      <c r="KO99" s="239"/>
      <c r="KP99" s="239"/>
      <c r="KQ99" s="239"/>
      <c r="KR99" s="239"/>
      <c r="KS99" s="239"/>
      <c r="KT99" s="239"/>
      <c r="KU99" s="239"/>
      <c r="KV99" s="239"/>
      <c r="KW99" s="239"/>
      <c r="KX99" s="239"/>
      <c r="KY99" s="239"/>
      <c r="KZ99" s="239"/>
      <c r="LA99" s="239"/>
      <c r="LB99" s="239"/>
      <c r="LC99" s="239"/>
      <c r="LD99" s="239"/>
      <c r="LE99" s="239"/>
      <c r="LF99" s="239"/>
      <c r="LG99" s="239"/>
      <c r="LH99" s="239"/>
      <c r="LI99" s="239"/>
      <c r="LJ99" s="239"/>
      <c r="LK99" s="239"/>
      <c r="LL99" s="239"/>
      <c r="LM99" s="239"/>
      <c r="LN99" s="239"/>
      <c r="LO99" s="239"/>
      <c r="LP99" s="239"/>
      <c r="LQ99" s="239"/>
      <c r="LR99" s="239"/>
      <c r="LS99" s="239"/>
      <c r="LT99" s="239"/>
      <c r="LU99" s="239"/>
      <c r="LV99" s="239"/>
      <c r="LW99" s="239"/>
      <c r="LX99" s="239"/>
      <c r="LY99" s="239"/>
      <c r="LZ99" s="239"/>
      <c r="MA99" s="239"/>
      <c r="MB99" s="239"/>
      <c r="MC99" s="239"/>
      <c r="MD99" s="239"/>
      <c r="ME99" s="239"/>
      <c r="MF99" s="239"/>
      <c r="MG99" s="239"/>
      <c r="MH99" s="239"/>
      <c r="MI99" s="239"/>
      <c r="MJ99" s="239"/>
      <c r="MK99" s="239"/>
      <c r="ML99" s="239"/>
      <c r="MM99" s="239"/>
      <c r="MN99" s="239"/>
      <c r="MO99" s="239"/>
      <c r="MP99" s="239"/>
      <c r="MQ99" s="239"/>
      <c r="MR99" s="239"/>
      <c r="MS99" s="239"/>
      <c r="MT99" s="239"/>
      <c r="MU99" s="239"/>
      <c r="MV99" s="239"/>
      <c r="MW99" s="239"/>
      <c r="MX99" s="239"/>
      <c r="MY99" s="239"/>
      <c r="MZ99" s="239"/>
      <c r="NA99" s="239"/>
      <c r="NB99" s="239"/>
      <c r="NC99" s="239"/>
      <c r="ND99" s="239"/>
      <c r="NE99" s="239"/>
      <c r="NF99" s="239"/>
      <c r="NG99" s="239"/>
      <c r="NH99" s="239"/>
      <c r="NI99" s="239"/>
      <c r="NJ99" s="239"/>
      <c r="NK99" s="239"/>
      <c r="NL99" s="239"/>
      <c r="NM99" s="239"/>
      <c r="NN99" s="239"/>
      <c r="NO99" s="239"/>
      <c r="NP99" s="239"/>
      <c r="NQ99" s="239"/>
      <c r="NR99" s="239"/>
      <c r="NS99" s="239"/>
      <c r="NT99" s="239"/>
      <c r="NU99" s="239"/>
      <c r="NV99" s="239"/>
      <c r="NW99" s="239"/>
      <c r="NX99" s="239"/>
      <c r="NY99" s="239"/>
      <c r="NZ99" s="239"/>
      <c r="OA99" s="239"/>
      <c r="OB99" s="239"/>
      <c r="OC99" s="239"/>
      <c r="OD99" s="239"/>
      <c r="OE99" s="239"/>
      <c r="OF99" s="239"/>
      <c r="OG99" s="239"/>
      <c r="OH99" s="239"/>
      <c r="OI99" s="239"/>
      <c r="OJ99" s="239"/>
      <c r="OK99" s="239"/>
      <c r="OL99" s="239"/>
      <c r="OM99" s="239"/>
      <c r="ON99" s="239"/>
      <c r="OO99" s="239"/>
      <c r="OP99" s="239"/>
      <c r="OQ99" s="239"/>
      <c r="OR99" s="239"/>
      <c r="OS99" s="239"/>
      <c r="OT99" s="239"/>
      <c r="OU99" s="239"/>
      <c r="OV99" s="239"/>
      <c r="OW99" s="239"/>
      <c r="OX99" s="239"/>
      <c r="OY99" s="239"/>
      <c r="OZ99" s="239"/>
      <c r="PA99" s="239"/>
      <c r="PB99" s="239"/>
      <c r="PC99" s="239"/>
      <c r="PD99" s="239"/>
      <c r="PE99" s="239"/>
      <c r="PF99" s="239"/>
      <c r="PG99" s="239"/>
      <c r="PH99" s="239"/>
      <c r="PI99" s="239"/>
      <c r="PJ99" s="239"/>
      <c r="PK99" s="239"/>
      <c r="PL99" s="239"/>
      <c r="PM99" s="239"/>
      <c r="PN99" s="239"/>
      <c r="PO99" s="239"/>
      <c r="PP99" s="239"/>
      <c r="PQ99" s="239"/>
      <c r="PR99" s="239"/>
      <c r="PS99" s="239"/>
      <c r="PT99" s="239"/>
      <c r="PU99" s="239"/>
      <c r="PV99" s="239"/>
      <c r="PW99" s="239"/>
      <c r="PX99" s="239"/>
      <c r="PY99" s="239"/>
      <c r="PZ99" s="239"/>
      <c r="QA99" s="239"/>
      <c r="QB99" s="239"/>
      <c r="QC99" s="239"/>
      <c r="QD99" s="239"/>
      <c r="QE99" s="239"/>
      <c r="QF99" s="239"/>
      <c r="QG99" s="239"/>
      <c r="QH99" s="239"/>
      <c r="QI99" s="239"/>
      <c r="QJ99" s="239"/>
      <c r="QK99" s="239"/>
      <c r="QL99" s="239"/>
      <c r="QM99" s="239"/>
      <c r="QN99" s="239"/>
      <c r="QO99" s="239"/>
      <c r="QP99" s="239"/>
      <c r="QQ99" s="239"/>
      <c r="QR99" s="239"/>
      <c r="QS99" s="239"/>
      <c r="QT99" s="239"/>
      <c r="QU99" s="239"/>
      <c r="QV99" s="239"/>
      <c r="QW99" s="239"/>
      <c r="QX99" s="239"/>
      <c r="QY99" s="239"/>
      <c r="QZ99" s="239"/>
      <c r="RA99" s="239"/>
      <c r="RB99" s="239"/>
      <c r="RC99" s="239"/>
      <c r="RD99" s="239"/>
      <c r="RE99" s="239"/>
      <c r="RF99" s="239"/>
      <c r="RG99" s="239"/>
      <c r="RH99" s="239"/>
      <c r="RI99" s="239"/>
      <c r="RJ99" s="239"/>
      <c r="RK99" s="239"/>
      <c r="RL99" s="239"/>
      <c r="RM99" s="239"/>
      <c r="RN99" s="239"/>
      <c r="RO99" s="239"/>
      <c r="RP99" s="239"/>
      <c r="RQ99" s="239"/>
      <c r="RR99" s="239"/>
      <c r="RS99" s="239"/>
      <c r="RT99" s="239"/>
      <c r="RU99" s="239"/>
      <c r="RV99" s="239"/>
      <c r="RW99" s="239"/>
      <c r="RX99" s="239"/>
      <c r="RY99" s="239"/>
      <c r="RZ99" s="239"/>
      <c r="SA99" s="239"/>
      <c r="SB99" s="239"/>
      <c r="SC99" s="239"/>
      <c r="SD99" s="239"/>
      <c r="SE99" s="239"/>
      <c r="SF99" s="239"/>
      <c r="SG99" s="239"/>
      <c r="SH99" s="239"/>
      <c r="SI99" s="239"/>
      <c r="SJ99" s="239"/>
      <c r="SK99" s="239"/>
      <c r="SL99" s="239"/>
      <c r="SM99" s="239"/>
      <c r="SN99" s="239"/>
      <c r="SO99" s="239"/>
      <c r="SP99" s="239"/>
      <c r="SQ99" s="239"/>
      <c r="SR99" s="239"/>
      <c r="SS99" s="239"/>
      <c r="ST99" s="239"/>
      <c r="SU99" s="239"/>
      <c r="SV99" s="239"/>
      <c r="SW99" s="239"/>
      <c r="SX99" s="239"/>
      <c r="SY99" s="239"/>
      <c r="SZ99" s="239"/>
      <c r="TA99" s="239"/>
      <c r="TB99" s="239"/>
      <c r="TC99" s="239"/>
      <c r="TD99" s="239"/>
      <c r="TE99" s="239"/>
      <c r="TF99" s="239"/>
      <c r="TG99" s="239"/>
      <c r="TH99" s="239"/>
      <c r="TI99" s="239"/>
      <c r="TJ99" s="239"/>
      <c r="TK99" s="239"/>
      <c r="TL99" s="239"/>
      <c r="TM99" s="239"/>
      <c r="TN99" s="239"/>
      <c r="TO99" s="239"/>
      <c r="TP99" s="239"/>
      <c r="TQ99" s="239"/>
      <c r="TR99" s="239"/>
      <c r="TS99" s="239"/>
      <c r="TT99" s="239"/>
      <c r="TU99" s="239"/>
      <c r="TV99" s="239"/>
      <c r="TW99" s="239"/>
      <c r="TX99" s="239"/>
      <c r="TY99" s="239"/>
      <c r="TZ99" s="239"/>
      <c r="UA99" s="239"/>
      <c r="UB99" s="239"/>
      <c r="UC99" s="239"/>
      <c r="UD99" s="239"/>
      <c r="UE99" s="239"/>
      <c r="UF99" s="239"/>
      <c r="UG99" s="240"/>
    </row>
    <row r="100" spans="1:553" s="236" customFormat="1" ht="34.5" customHeight="1">
      <c r="A100" s="356" t="s">
        <v>30</v>
      </c>
      <c r="B100" s="366" t="s">
        <v>35</v>
      </c>
      <c r="C100" s="1414" t="s">
        <v>158</v>
      </c>
      <c r="D100" s="1389"/>
      <c r="E100" s="1389"/>
      <c r="F100" s="1390"/>
      <c r="G100" s="386" t="s">
        <v>935</v>
      </c>
      <c r="H100" s="370"/>
      <c r="I100" s="422">
        <f>0.69*1.4*2</f>
        <v>1.9319999999999997</v>
      </c>
      <c r="J100" s="368">
        <v>39000</v>
      </c>
      <c r="K100" s="371"/>
      <c r="L100" s="391">
        <f t="shared" ref="L100:L101" si="23">I100*J100</f>
        <v>75347.999999999985</v>
      </c>
      <c r="M100" s="391"/>
      <c r="N100" s="391"/>
      <c r="O100" s="391"/>
      <c r="P100" s="391"/>
      <c r="Q100" s="1444"/>
      <c r="R100" s="1226"/>
      <c r="S100" s="308"/>
      <c r="T100" s="303"/>
      <c r="U100" s="306"/>
      <c r="V100" s="307"/>
      <c r="W100" s="306"/>
      <c r="X100" s="306"/>
      <c r="Y100" s="306"/>
      <c r="Z100" s="306"/>
      <c r="AA100" s="306"/>
      <c r="AB100" s="306"/>
      <c r="AC100" s="449"/>
      <c r="AD100" s="449"/>
      <c r="AE100" s="449"/>
      <c r="AF100" s="449"/>
      <c r="AG100" s="449"/>
      <c r="AH100" s="449"/>
      <c r="AI100" s="449"/>
      <c r="AJ100" s="449"/>
      <c r="AK100" s="452"/>
      <c r="AL100" s="242"/>
      <c r="AM100" s="241"/>
      <c r="AN100" s="241"/>
      <c r="AO100" s="241"/>
      <c r="AP100" s="241"/>
      <c r="AQ100" s="241"/>
      <c r="AR100" s="241"/>
      <c r="AS100" s="238"/>
      <c r="AT100" s="238"/>
      <c r="AU100" s="238"/>
      <c r="AV100" s="238"/>
      <c r="AW100" s="238"/>
      <c r="AX100" s="238"/>
      <c r="AY100" s="238"/>
      <c r="AZ100" s="238"/>
      <c r="BA100" s="238"/>
      <c r="BB100" s="238"/>
      <c r="BC100" s="238"/>
      <c r="BD100" s="238"/>
      <c r="BE100" s="238"/>
      <c r="BF100" s="238"/>
      <c r="BG100" s="238"/>
      <c r="BH100" s="238"/>
      <c r="BI100" s="238"/>
      <c r="BJ100" s="238"/>
      <c r="BK100" s="238"/>
      <c r="BL100" s="238"/>
      <c r="BM100" s="238"/>
      <c r="BN100" s="238"/>
      <c r="BO100" s="238"/>
      <c r="BP100" s="238"/>
      <c r="BQ100" s="238"/>
      <c r="BR100" s="238"/>
      <c r="BS100" s="238"/>
      <c r="BT100" s="238"/>
      <c r="BU100" s="238"/>
      <c r="BV100" s="238"/>
      <c r="BW100" s="238"/>
      <c r="BX100" s="238"/>
      <c r="BY100" s="238"/>
      <c r="BZ100" s="238"/>
      <c r="CA100" s="238"/>
      <c r="CB100" s="238"/>
      <c r="CC100" s="238"/>
      <c r="CD100" s="238"/>
      <c r="CE100" s="238"/>
      <c r="CF100" s="238"/>
      <c r="CG100" s="238"/>
      <c r="CH100" s="238"/>
      <c r="CI100" s="238"/>
      <c r="CJ100" s="238"/>
      <c r="CK100" s="238"/>
      <c r="CL100" s="238"/>
      <c r="CM100" s="238"/>
      <c r="CN100" s="238"/>
      <c r="CO100" s="238"/>
      <c r="CP100" s="238"/>
      <c r="CQ100" s="238"/>
      <c r="CR100" s="238"/>
      <c r="CS100" s="238"/>
      <c r="CT100" s="238"/>
      <c r="CU100" s="238"/>
      <c r="CV100" s="238"/>
      <c r="CW100" s="238"/>
      <c r="CX100" s="238"/>
      <c r="CY100" s="238"/>
      <c r="CZ100" s="238"/>
      <c r="DA100" s="238"/>
      <c r="DB100" s="238"/>
      <c r="DC100" s="238"/>
      <c r="DD100" s="238"/>
      <c r="DE100" s="238"/>
      <c r="DF100" s="238"/>
      <c r="DG100" s="238"/>
      <c r="DH100" s="238"/>
      <c r="DI100" s="238"/>
      <c r="DJ100" s="238"/>
      <c r="DK100" s="238"/>
      <c r="DL100" s="238"/>
      <c r="DM100" s="238"/>
      <c r="DN100" s="238"/>
      <c r="DO100" s="238"/>
      <c r="DP100" s="238"/>
      <c r="DQ100" s="238"/>
      <c r="DR100" s="238"/>
      <c r="DS100" s="238"/>
      <c r="DT100" s="238"/>
      <c r="DU100" s="238"/>
      <c r="DV100" s="238"/>
      <c r="DW100" s="238"/>
      <c r="DX100" s="238"/>
      <c r="DY100" s="238"/>
      <c r="DZ100" s="238"/>
      <c r="EA100" s="238"/>
      <c r="EB100" s="238"/>
      <c r="EC100" s="238"/>
      <c r="ED100" s="238"/>
      <c r="EE100" s="238"/>
      <c r="EF100" s="238"/>
      <c r="EG100" s="238"/>
      <c r="EH100" s="238"/>
      <c r="EI100" s="238"/>
      <c r="EJ100" s="238"/>
      <c r="EK100" s="238"/>
      <c r="EL100" s="238"/>
      <c r="EM100" s="238"/>
      <c r="EN100" s="238"/>
      <c r="EO100" s="238"/>
      <c r="EP100" s="238"/>
      <c r="EQ100" s="238"/>
      <c r="ER100" s="238"/>
      <c r="ES100" s="238"/>
      <c r="ET100" s="238"/>
      <c r="EU100" s="238"/>
      <c r="EV100" s="238"/>
      <c r="EW100" s="238"/>
      <c r="EX100" s="238"/>
      <c r="EY100" s="238"/>
      <c r="EZ100" s="238"/>
      <c r="FA100" s="238"/>
      <c r="FB100" s="238"/>
      <c r="FC100" s="238"/>
      <c r="FD100" s="238"/>
      <c r="FE100" s="238"/>
      <c r="FF100" s="238"/>
      <c r="FG100" s="238"/>
      <c r="FH100" s="238"/>
      <c r="FI100" s="238"/>
      <c r="FJ100" s="238"/>
      <c r="FK100" s="238"/>
      <c r="FL100" s="238"/>
      <c r="FM100" s="238"/>
      <c r="FN100" s="238"/>
      <c r="FO100" s="238"/>
      <c r="FP100" s="238"/>
      <c r="FQ100" s="238"/>
      <c r="FR100" s="238"/>
      <c r="FS100" s="238"/>
      <c r="FT100" s="238"/>
      <c r="FU100" s="238"/>
      <c r="FV100" s="238"/>
      <c r="FW100" s="238"/>
      <c r="FX100" s="238"/>
      <c r="FY100" s="238"/>
      <c r="FZ100" s="238"/>
      <c r="GA100" s="238"/>
      <c r="GB100" s="238"/>
      <c r="GC100" s="238"/>
      <c r="GD100" s="238"/>
      <c r="GE100" s="238"/>
      <c r="GF100" s="238"/>
      <c r="GG100" s="238"/>
      <c r="GH100" s="238"/>
      <c r="GI100" s="238"/>
      <c r="GJ100" s="238"/>
      <c r="GK100" s="238"/>
      <c r="GL100" s="238"/>
      <c r="GM100" s="238"/>
      <c r="GN100" s="238"/>
      <c r="GO100" s="238"/>
      <c r="GP100" s="238"/>
      <c r="GQ100" s="238"/>
      <c r="GR100" s="238"/>
      <c r="GS100" s="238"/>
      <c r="GT100" s="238"/>
      <c r="GU100" s="238"/>
      <c r="GV100" s="238"/>
      <c r="GW100" s="238"/>
      <c r="GX100" s="238"/>
      <c r="GY100" s="238"/>
      <c r="GZ100" s="238"/>
      <c r="HA100" s="238"/>
      <c r="HB100" s="238"/>
      <c r="HC100" s="238"/>
      <c r="HD100" s="238"/>
      <c r="HE100" s="238"/>
      <c r="HF100" s="238"/>
      <c r="HG100" s="238"/>
      <c r="HH100" s="238"/>
      <c r="HI100" s="238"/>
      <c r="HJ100" s="238"/>
      <c r="HK100" s="238"/>
      <c r="HL100" s="238"/>
      <c r="HM100" s="238"/>
      <c r="HN100" s="238"/>
      <c r="HO100" s="238"/>
      <c r="HP100" s="238"/>
      <c r="HQ100" s="238"/>
      <c r="HR100" s="238"/>
      <c r="HS100" s="238"/>
      <c r="HT100" s="238"/>
      <c r="HU100" s="238"/>
      <c r="HV100" s="238"/>
      <c r="HW100" s="238"/>
      <c r="HX100" s="238"/>
      <c r="HY100" s="238"/>
      <c r="HZ100" s="238"/>
      <c r="IA100" s="238"/>
      <c r="IB100" s="238"/>
      <c r="IC100" s="238"/>
      <c r="ID100" s="238"/>
      <c r="IE100" s="238"/>
      <c r="IF100" s="238"/>
      <c r="IG100" s="238"/>
      <c r="IH100" s="238"/>
      <c r="II100" s="238"/>
      <c r="IJ100" s="238"/>
      <c r="IK100" s="238"/>
      <c r="IL100" s="238"/>
      <c r="IM100" s="238"/>
      <c r="IN100" s="238"/>
      <c r="IO100" s="238"/>
      <c r="IP100" s="238"/>
      <c r="IQ100" s="238"/>
      <c r="IR100" s="238"/>
      <c r="IS100" s="238"/>
      <c r="IT100" s="238"/>
      <c r="IU100" s="238"/>
      <c r="IV100" s="238"/>
      <c r="IW100" s="238"/>
      <c r="IX100" s="238"/>
      <c r="IY100" s="238"/>
      <c r="IZ100" s="238"/>
      <c r="JA100" s="238"/>
      <c r="JB100" s="238"/>
      <c r="JC100" s="238"/>
      <c r="JD100" s="238"/>
      <c r="JE100" s="238"/>
      <c r="JF100" s="238"/>
      <c r="JG100" s="238"/>
      <c r="JH100" s="238"/>
      <c r="JI100" s="238"/>
      <c r="JJ100" s="238"/>
      <c r="JK100" s="238"/>
      <c r="JL100" s="238"/>
      <c r="JM100" s="238"/>
      <c r="JN100" s="238"/>
      <c r="JO100" s="238"/>
      <c r="JP100" s="238"/>
      <c r="JQ100" s="238"/>
      <c r="JR100" s="238"/>
      <c r="JS100" s="238"/>
      <c r="JT100" s="238"/>
      <c r="JU100" s="238"/>
      <c r="JV100" s="238"/>
      <c r="JW100" s="238"/>
      <c r="JX100" s="238"/>
      <c r="JY100" s="238"/>
      <c r="JZ100" s="238"/>
      <c r="KA100" s="238"/>
      <c r="KB100" s="238"/>
      <c r="KC100" s="238"/>
      <c r="KD100" s="238"/>
      <c r="KE100" s="238"/>
      <c r="KF100" s="238"/>
      <c r="KG100" s="238"/>
      <c r="KH100" s="238"/>
      <c r="KI100" s="238"/>
      <c r="KJ100" s="238"/>
      <c r="KK100" s="238"/>
      <c r="KL100" s="238"/>
      <c r="KM100" s="238"/>
      <c r="KN100" s="238"/>
      <c r="KO100" s="238"/>
      <c r="KP100" s="238"/>
      <c r="KQ100" s="238"/>
      <c r="KR100" s="238"/>
      <c r="KS100" s="238"/>
      <c r="KT100" s="238"/>
      <c r="KU100" s="238"/>
      <c r="KV100" s="238"/>
      <c r="KW100" s="238"/>
      <c r="KX100" s="238"/>
      <c r="KY100" s="238"/>
      <c r="KZ100" s="238"/>
      <c r="LA100" s="238"/>
      <c r="LB100" s="238"/>
      <c r="LC100" s="238"/>
      <c r="LD100" s="238"/>
      <c r="LE100" s="238"/>
      <c r="LF100" s="238"/>
      <c r="LG100" s="238"/>
      <c r="LH100" s="238"/>
      <c r="LI100" s="238"/>
      <c r="LJ100" s="238"/>
      <c r="LK100" s="238"/>
      <c r="LL100" s="238"/>
      <c r="LM100" s="238"/>
      <c r="LN100" s="238"/>
      <c r="LO100" s="238"/>
      <c r="LP100" s="238"/>
      <c r="LQ100" s="238"/>
      <c r="LR100" s="238"/>
      <c r="LS100" s="238"/>
      <c r="LT100" s="238"/>
      <c r="LU100" s="238"/>
      <c r="LV100" s="238"/>
      <c r="LW100" s="238"/>
      <c r="LX100" s="238"/>
      <c r="LY100" s="238"/>
      <c r="LZ100" s="238"/>
      <c r="MA100" s="238"/>
      <c r="MB100" s="238"/>
      <c r="MC100" s="238"/>
      <c r="MD100" s="238"/>
      <c r="ME100" s="238"/>
      <c r="MF100" s="238"/>
      <c r="MG100" s="238"/>
      <c r="MH100" s="238"/>
      <c r="MI100" s="238"/>
      <c r="MJ100" s="238"/>
      <c r="MK100" s="238"/>
      <c r="ML100" s="238"/>
      <c r="MM100" s="238"/>
      <c r="MN100" s="238"/>
      <c r="MO100" s="238"/>
      <c r="MP100" s="238"/>
      <c r="MQ100" s="238"/>
      <c r="MR100" s="238"/>
      <c r="MS100" s="238"/>
      <c r="MT100" s="238"/>
      <c r="MU100" s="238"/>
      <c r="MV100" s="238"/>
      <c r="MW100" s="238"/>
      <c r="MX100" s="238"/>
      <c r="MY100" s="238"/>
      <c r="MZ100" s="238"/>
      <c r="NA100" s="238"/>
      <c r="NB100" s="238"/>
      <c r="NC100" s="238"/>
      <c r="ND100" s="238"/>
      <c r="NE100" s="238"/>
      <c r="NF100" s="238"/>
      <c r="NG100" s="238"/>
      <c r="NH100" s="238"/>
      <c r="NI100" s="238"/>
      <c r="NJ100" s="238"/>
      <c r="NK100" s="238"/>
      <c r="NL100" s="238"/>
      <c r="NM100" s="238"/>
      <c r="NN100" s="238"/>
      <c r="NO100" s="238"/>
      <c r="NP100" s="238"/>
      <c r="NQ100" s="238"/>
      <c r="NR100" s="238"/>
      <c r="NS100" s="238"/>
      <c r="NT100" s="238"/>
      <c r="NU100" s="238"/>
      <c r="NV100" s="238"/>
      <c r="NW100" s="238"/>
      <c r="NX100" s="238"/>
      <c r="NY100" s="238"/>
      <c r="NZ100" s="238"/>
      <c r="OA100" s="238"/>
      <c r="OB100" s="238"/>
      <c r="OC100" s="238"/>
      <c r="OD100" s="238"/>
      <c r="OE100" s="238"/>
      <c r="OF100" s="238"/>
      <c r="OG100" s="238"/>
      <c r="OH100" s="238"/>
      <c r="OI100" s="238"/>
      <c r="OJ100" s="238"/>
      <c r="OK100" s="238"/>
      <c r="OL100" s="238"/>
      <c r="OM100" s="238"/>
      <c r="ON100" s="238"/>
      <c r="OO100" s="238"/>
      <c r="OP100" s="238"/>
      <c r="OQ100" s="238"/>
      <c r="OR100" s="238"/>
      <c r="OS100" s="238"/>
      <c r="OT100" s="238"/>
      <c r="OU100" s="238"/>
      <c r="OV100" s="238"/>
      <c r="OW100" s="238"/>
      <c r="OX100" s="238"/>
      <c r="OY100" s="238"/>
      <c r="OZ100" s="238"/>
      <c r="PA100" s="238"/>
      <c r="PB100" s="238"/>
      <c r="PC100" s="238"/>
      <c r="PD100" s="238"/>
      <c r="PE100" s="238"/>
      <c r="PF100" s="238"/>
      <c r="PG100" s="238"/>
      <c r="PH100" s="238"/>
      <c r="PI100" s="238"/>
      <c r="PJ100" s="238"/>
      <c r="PK100" s="238"/>
      <c r="PL100" s="238"/>
      <c r="PM100" s="238"/>
      <c r="PN100" s="238"/>
      <c r="PO100" s="238"/>
      <c r="PP100" s="238"/>
      <c r="PQ100" s="238"/>
      <c r="PR100" s="238"/>
      <c r="PS100" s="238"/>
      <c r="PT100" s="238"/>
      <c r="PU100" s="238"/>
      <c r="PV100" s="238"/>
      <c r="PW100" s="238"/>
      <c r="PX100" s="238"/>
      <c r="PY100" s="238"/>
      <c r="PZ100" s="238"/>
      <c r="QA100" s="238"/>
      <c r="QB100" s="238"/>
      <c r="QC100" s="238"/>
      <c r="QD100" s="238"/>
      <c r="QE100" s="238"/>
      <c r="QF100" s="238"/>
      <c r="QG100" s="238"/>
      <c r="QH100" s="238"/>
      <c r="QI100" s="238"/>
      <c r="QJ100" s="238"/>
      <c r="QK100" s="238"/>
      <c r="QL100" s="238"/>
      <c r="QM100" s="238"/>
      <c r="QN100" s="238"/>
      <c r="QO100" s="238"/>
      <c r="QP100" s="238"/>
      <c r="QQ100" s="238"/>
      <c r="QR100" s="238"/>
      <c r="QS100" s="238"/>
      <c r="QT100" s="238"/>
      <c r="QU100" s="238"/>
      <c r="QV100" s="238"/>
      <c r="QW100" s="238"/>
      <c r="QX100" s="238"/>
      <c r="QY100" s="238"/>
      <c r="QZ100" s="238"/>
      <c r="RA100" s="238"/>
      <c r="RB100" s="238"/>
      <c r="RC100" s="238"/>
      <c r="RD100" s="238"/>
      <c r="RE100" s="238"/>
      <c r="RF100" s="238"/>
      <c r="RG100" s="238"/>
      <c r="RH100" s="238"/>
      <c r="RI100" s="238"/>
      <c r="RJ100" s="238"/>
      <c r="RK100" s="238"/>
      <c r="RL100" s="238"/>
      <c r="RM100" s="238"/>
      <c r="RN100" s="238"/>
      <c r="RO100" s="238"/>
      <c r="RP100" s="238"/>
      <c r="RQ100" s="238"/>
      <c r="RR100" s="238"/>
      <c r="RS100" s="238"/>
      <c r="RT100" s="238"/>
      <c r="RU100" s="238"/>
      <c r="RV100" s="238"/>
      <c r="RW100" s="238"/>
      <c r="RX100" s="238"/>
      <c r="RY100" s="238"/>
      <c r="RZ100" s="238"/>
      <c r="SA100" s="238"/>
      <c r="SB100" s="238"/>
      <c r="SC100" s="238"/>
      <c r="SD100" s="238"/>
      <c r="SE100" s="238"/>
      <c r="SF100" s="238"/>
      <c r="SG100" s="238"/>
      <c r="SH100" s="238"/>
      <c r="SI100" s="238"/>
      <c r="SJ100" s="238"/>
      <c r="SK100" s="238"/>
      <c r="SL100" s="238"/>
      <c r="SM100" s="238"/>
      <c r="SN100" s="238"/>
      <c r="SO100" s="238"/>
      <c r="SP100" s="238"/>
      <c r="SQ100" s="238"/>
      <c r="SR100" s="238"/>
      <c r="SS100" s="238"/>
      <c r="ST100" s="238"/>
      <c r="SU100" s="238"/>
      <c r="SV100" s="238"/>
      <c r="SW100" s="238"/>
      <c r="SX100" s="238"/>
      <c r="SY100" s="238"/>
      <c r="SZ100" s="238"/>
      <c r="TA100" s="238"/>
      <c r="TB100" s="238"/>
      <c r="TC100" s="238"/>
      <c r="TD100" s="238"/>
      <c r="TE100" s="238"/>
      <c r="TF100" s="238"/>
      <c r="TG100" s="238"/>
      <c r="TH100" s="238"/>
      <c r="TI100" s="238"/>
      <c r="TJ100" s="238"/>
      <c r="TK100" s="238"/>
      <c r="TL100" s="238"/>
      <c r="TM100" s="238"/>
      <c r="TN100" s="238"/>
      <c r="TO100" s="238"/>
      <c r="TP100" s="238"/>
      <c r="TQ100" s="238"/>
      <c r="TR100" s="238"/>
      <c r="TS100" s="238"/>
      <c r="TT100" s="238"/>
      <c r="TU100" s="238"/>
      <c r="TV100" s="238"/>
      <c r="TW100" s="238"/>
      <c r="TX100" s="238"/>
      <c r="TY100" s="238"/>
      <c r="TZ100" s="238"/>
      <c r="UA100" s="238"/>
      <c r="UB100" s="238"/>
      <c r="UC100" s="238"/>
      <c r="UD100" s="238"/>
      <c r="UE100" s="238"/>
      <c r="UF100" s="238"/>
      <c r="UG100" s="248"/>
    </row>
    <row r="101" spans="1:553" s="236" customFormat="1" ht="34.5" customHeight="1">
      <c r="A101" s="356" t="s">
        <v>30</v>
      </c>
      <c r="B101" s="366" t="s">
        <v>35</v>
      </c>
      <c r="C101" s="1414" t="s">
        <v>159</v>
      </c>
      <c r="D101" s="1389"/>
      <c r="E101" s="1389"/>
      <c r="F101" s="1390"/>
      <c r="G101" s="386" t="s">
        <v>935</v>
      </c>
      <c r="H101" s="370"/>
      <c r="I101" s="422">
        <f>0.48*2.2*4</f>
        <v>4.2240000000000002</v>
      </c>
      <c r="J101" s="368">
        <v>39000</v>
      </c>
      <c r="K101" s="371"/>
      <c r="L101" s="391">
        <f t="shared" si="23"/>
        <v>164736</v>
      </c>
      <c r="M101" s="391"/>
      <c r="N101" s="391"/>
      <c r="O101" s="391"/>
      <c r="P101" s="391"/>
      <c r="Q101" s="1445"/>
      <c r="R101" s="1226"/>
      <c r="S101" s="308"/>
      <c r="T101" s="303"/>
      <c r="U101" s="306"/>
      <c r="V101" s="307"/>
      <c r="W101" s="306"/>
      <c r="X101" s="306"/>
      <c r="Y101" s="306"/>
      <c r="Z101" s="306"/>
      <c r="AA101" s="306"/>
      <c r="AB101" s="306"/>
      <c r="AC101" s="449"/>
      <c r="AD101" s="449"/>
      <c r="AE101" s="449"/>
      <c r="AF101" s="449"/>
      <c r="AG101" s="449"/>
      <c r="AH101" s="449"/>
      <c r="AI101" s="449"/>
      <c r="AJ101" s="449"/>
      <c r="AK101" s="452"/>
      <c r="AL101" s="242"/>
      <c r="AM101" s="241"/>
      <c r="AN101" s="241"/>
      <c r="AO101" s="241"/>
      <c r="AP101" s="241"/>
      <c r="AQ101" s="241"/>
      <c r="AR101" s="241"/>
      <c r="AS101" s="238"/>
      <c r="AT101" s="238"/>
      <c r="AU101" s="238"/>
      <c r="AV101" s="238"/>
      <c r="AW101" s="238"/>
      <c r="AX101" s="238"/>
      <c r="AY101" s="238"/>
      <c r="AZ101" s="238"/>
      <c r="BA101" s="238"/>
      <c r="BB101" s="238"/>
      <c r="BC101" s="238"/>
      <c r="BD101" s="238"/>
      <c r="BE101" s="238"/>
      <c r="BF101" s="238"/>
      <c r="BG101" s="238"/>
      <c r="BH101" s="238"/>
      <c r="BI101" s="238"/>
      <c r="BJ101" s="238"/>
      <c r="BK101" s="238"/>
      <c r="BL101" s="238"/>
      <c r="BM101" s="238"/>
      <c r="BN101" s="238"/>
      <c r="BO101" s="238"/>
      <c r="BP101" s="238"/>
      <c r="BQ101" s="238"/>
      <c r="BR101" s="238"/>
      <c r="BS101" s="238"/>
      <c r="BT101" s="238"/>
      <c r="BU101" s="238"/>
      <c r="BV101" s="238"/>
      <c r="BW101" s="238"/>
      <c r="BX101" s="238"/>
      <c r="BY101" s="238"/>
      <c r="BZ101" s="238"/>
      <c r="CA101" s="238"/>
      <c r="CB101" s="238"/>
      <c r="CC101" s="238"/>
      <c r="CD101" s="238"/>
      <c r="CE101" s="238"/>
      <c r="CF101" s="238"/>
      <c r="CG101" s="238"/>
      <c r="CH101" s="238"/>
      <c r="CI101" s="238"/>
      <c r="CJ101" s="238"/>
      <c r="CK101" s="238"/>
      <c r="CL101" s="238"/>
      <c r="CM101" s="238"/>
      <c r="CN101" s="238"/>
      <c r="CO101" s="238"/>
      <c r="CP101" s="238"/>
      <c r="CQ101" s="238"/>
      <c r="CR101" s="238"/>
      <c r="CS101" s="238"/>
      <c r="CT101" s="238"/>
      <c r="CU101" s="238"/>
      <c r="CV101" s="238"/>
      <c r="CW101" s="238"/>
      <c r="CX101" s="238"/>
      <c r="CY101" s="238"/>
      <c r="CZ101" s="238"/>
      <c r="DA101" s="238"/>
      <c r="DB101" s="238"/>
      <c r="DC101" s="238"/>
      <c r="DD101" s="238"/>
      <c r="DE101" s="238"/>
      <c r="DF101" s="238"/>
      <c r="DG101" s="238"/>
      <c r="DH101" s="238"/>
      <c r="DI101" s="238"/>
      <c r="DJ101" s="238"/>
      <c r="DK101" s="238"/>
      <c r="DL101" s="238"/>
      <c r="DM101" s="238"/>
      <c r="DN101" s="238"/>
      <c r="DO101" s="238"/>
      <c r="DP101" s="238"/>
      <c r="DQ101" s="238"/>
      <c r="DR101" s="238"/>
      <c r="DS101" s="238"/>
      <c r="DT101" s="238"/>
      <c r="DU101" s="238"/>
      <c r="DV101" s="238"/>
      <c r="DW101" s="238"/>
      <c r="DX101" s="238"/>
      <c r="DY101" s="238"/>
      <c r="DZ101" s="238"/>
      <c r="EA101" s="238"/>
      <c r="EB101" s="238"/>
      <c r="EC101" s="238"/>
      <c r="ED101" s="238"/>
      <c r="EE101" s="238"/>
      <c r="EF101" s="238"/>
      <c r="EG101" s="238"/>
      <c r="EH101" s="238"/>
      <c r="EI101" s="238"/>
      <c r="EJ101" s="238"/>
      <c r="EK101" s="238"/>
      <c r="EL101" s="238"/>
      <c r="EM101" s="238"/>
      <c r="EN101" s="238"/>
      <c r="EO101" s="238"/>
      <c r="EP101" s="238"/>
      <c r="EQ101" s="238"/>
      <c r="ER101" s="238"/>
      <c r="ES101" s="238"/>
      <c r="ET101" s="238"/>
      <c r="EU101" s="238"/>
      <c r="EV101" s="238"/>
      <c r="EW101" s="238"/>
      <c r="EX101" s="238"/>
      <c r="EY101" s="238"/>
      <c r="EZ101" s="238"/>
      <c r="FA101" s="238"/>
      <c r="FB101" s="238"/>
      <c r="FC101" s="238"/>
      <c r="FD101" s="238"/>
      <c r="FE101" s="238"/>
      <c r="FF101" s="238"/>
      <c r="FG101" s="238"/>
      <c r="FH101" s="238"/>
      <c r="FI101" s="238"/>
      <c r="FJ101" s="238"/>
      <c r="FK101" s="238"/>
      <c r="FL101" s="238"/>
      <c r="FM101" s="238"/>
      <c r="FN101" s="238"/>
      <c r="FO101" s="238"/>
      <c r="FP101" s="238"/>
      <c r="FQ101" s="238"/>
      <c r="FR101" s="238"/>
      <c r="FS101" s="238"/>
      <c r="FT101" s="238"/>
      <c r="FU101" s="238"/>
      <c r="FV101" s="238"/>
      <c r="FW101" s="238"/>
      <c r="FX101" s="238"/>
      <c r="FY101" s="238"/>
      <c r="FZ101" s="238"/>
      <c r="GA101" s="238"/>
      <c r="GB101" s="238"/>
      <c r="GC101" s="238"/>
      <c r="GD101" s="238"/>
      <c r="GE101" s="238"/>
      <c r="GF101" s="238"/>
      <c r="GG101" s="238"/>
      <c r="GH101" s="238"/>
      <c r="GI101" s="238"/>
      <c r="GJ101" s="238"/>
      <c r="GK101" s="238"/>
      <c r="GL101" s="238"/>
      <c r="GM101" s="238"/>
      <c r="GN101" s="238"/>
      <c r="GO101" s="238"/>
      <c r="GP101" s="238"/>
      <c r="GQ101" s="238"/>
      <c r="GR101" s="238"/>
      <c r="GS101" s="238"/>
      <c r="GT101" s="238"/>
      <c r="GU101" s="238"/>
      <c r="GV101" s="238"/>
      <c r="GW101" s="238"/>
      <c r="GX101" s="238"/>
      <c r="GY101" s="238"/>
      <c r="GZ101" s="238"/>
      <c r="HA101" s="238"/>
      <c r="HB101" s="238"/>
      <c r="HC101" s="238"/>
      <c r="HD101" s="238"/>
      <c r="HE101" s="238"/>
      <c r="HF101" s="238"/>
      <c r="HG101" s="238"/>
      <c r="HH101" s="238"/>
      <c r="HI101" s="238"/>
      <c r="HJ101" s="238"/>
      <c r="HK101" s="238"/>
      <c r="HL101" s="238"/>
      <c r="HM101" s="238"/>
      <c r="HN101" s="238"/>
      <c r="HO101" s="238"/>
      <c r="HP101" s="238"/>
      <c r="HQ101" s="238"/>
      <c r="HR101" s="238"/>
      <c r="HS101" s="238"/>
      <c r="HT101" s="238"/>
      <c r="HU101" s="238"/>
      <c r="HV101" s="238"/>
      <c r="HW101" s="238"/>
      <c r="HX101" s="238"/>
      <c r="HY101" s="238"/>
      <c r="HZ101" s="238"/>
      <c r="IA101" s="238"/>
      <c r="IB101" s="238"/>
      <c r="IC101" s="238"/>
      <c r="ID101" s="238"/>
      <c r="IE101" s="238"/>
      <c r="IF101" s="238"/>
      <c r="IG101" s="238"/>
      <c r="IH101" s="238"/>
      <c r="II101" s="238"/>
      <c r="IJ101" s="238"/>
      <c r="IK101" s="238"/>
      <c r="IL101" s="238"/>
      <c r="IM101" s="238"/>
      <c r="IN101" s="238"/>
      <c r="IO101" s="238"/>
      <c r="IP101" s="238"/>
      <c r="IQ101" s="238"/>
      <c r="IR101" s="238"/>
      <c r="IS101" s="238"/>
      <c r="IT101" s="238"/>
      <c r="IU101" s="238"/>
      <c r="IV101" s="238"/>
      <c r="IW101" s="238"/>
      <c r="IX101" s="238"/>
      <c r="IY101" s="238"/>
      <c r="IZ101" s="238"/>
      <c r="JA101" s="238"/>
      <c r="JB101" s="238"/>
      <c r="JC101" s="238"/>
      <c r="JD101" s="238"/>
      <c r="JE101" s="238"/>
      <c r="JF101" s="238"/>
      <c r="JG101" s="238"/>
      <c r="JH101" s="238"/>
      <c r="JI101" s="238"/>
      <c r="JJ101" s="238"/>
      <c r="JK101" s="238"/>
      <c r="JL101" s="238"/>
      <c r="JM101" s="238"/>
      <c r="JN101" s="238"/>
      <c r="JO101" s="238"/>
      <c r="JP101" s="238"/>
      <c r="JQ101" s="238"/>
      <c r="JR101" s="238"/>
      <c r="JS101" s="238"/>
      <c r="JT101" s="238"/>
      <c r="JU101" s="238"/>
      <c r="JV101" s="238"/>
      <c r="JW101" s="238"/>
      <c r="JX101" s="238"/>
      <c r="JY101" s="238"/>
      <c r="JZ101" s="238"/>
      <c r="KA101" s="238"/>
      <c r="KB101" s="238"/>
      <c r="KC101" s="238"/>
      <c r="KD101" s="238"/>
      <c r="KE101" s="238"/>
      <c r="KF101" s="238"/>
      <c r="KG101" s="238"/>
      <c r="KH101" s="238"/>
      <c r="KI101" s="238"/>
      <c r="KJ101" s="238"/>
      <c r="KK101" s="238"/>
      <c r="KL101" s="238"/>
      <c r="KM101" s="238"/>
      <c r="KN101" s="238"/>
      <c r="KO101" s="238"/>
      <c r="KP101" s="238"/>
      <c r="KQ101" s="238"/>
      <c r="KR101" s="238"/>
      <c r="KS101" s="238"/>
      <c r="KT101" s="238"/>
      <c r="KU101" s="238"/>
      <c r="KV101" s="238"/>
      <c r="KW101" s="238"/>
      <c r="KX101" s="238"/>
      <c r="KY101" s="238"/>
      <c r="KZ101" s="238"/>
      <c r="LA101" s="238"/>
      <c r="LB101" s="238"/>
      <c r="LC101" s="238"/>
      <c r="LD101" s="238"/>
      <c r="LE101" s="238"/>
      <c r="LF101" s="238"/>
      <c r="LG101" s="238"/>
      <c r="LH101" s="238"/>
      <c r="LI101" s="238"/>
      <c r="LJ101" s="238"/>
      <c r="LK101" s="238"/>
      <c r="LL101" s="238"/>
      <c r="LM101" s="238"/>
      <c r="LN101" s="238"/>
      <c r="LO101" s="238"/>
      <c r="LP101" s="238"/>
      <c r="LQ101" s="238"/>
      <c r="LR101" s="238"/>
      <c r="LS101" s="238"/>
      <c r="LT101" s="238"/>
      <c r="LU101" s="238"/>
      <c r="LV101" s="238"/>
      <c r="LW101" s="238"/>
      <c r="LX101" s="238"/>
      <c r="LY101" s="238"/>
      <c r="LZ101" s="238"/>
      <c r="MA101" s="238"/>
      <c r="MB101" s="238"/>
      <c r="MC101" s="238"/>
      <c r="MD101" s="238"/>
      <c r="ME101" s="238"/>
      <c r="MF101" s="238"/>
      <c r="MG101" s="238"/>
      <c r="MH101" s="238"/>
      <c r="MI101" s="238"/>
      <c r="MJ101" s="238"/>
      <c r="MK101" s="238"/>
      <c r="ML101" s="238"/>
      <c r="MM101" s="238"/>
      <c r="MN101" s="238"/>
      <c r="MO101" s="238"/>
      <c r="MP101" s="238"/>
      <c r="MQ101" s="238"/>
      <c r="MR101" s="238"/>
      <c r="MS101" s="238"/>
      <c r="MT101" s="238"/>
      <c r="MU101" s="238"/>
      <c r="MV101" s="238"/>
      <c r="MW101" s="238"/>
      <c r="MX101" s="238"/>
      <c r="MY101" s="238"/>
      <c r="MZ101" s="238"/>
      <c r="NA101" s="238"/>
      <c r="NB101" s="238"/>
      <c r="NC101" s="238"/>
      <c r="ND101" s="238"/>
      <c r="NE101" s="238"/>
      <c r="NF101" s="238"/>
      <c r="NG101" s="238"/>
      <c r="NH101" s="238"/>
      <c r="NI101" s="238"/>
      <c r="NJ101" s="238"/>
      <c r="NK101" s="238"/>
      <c r="NL101" s="238"/>
      <c r="NM101" s="238"/>
      <c r="NN101" s="238"/>
      <c r="NO101" s="238"/>
      <c r="NP101" s="238"/>
      <c r="NQ101" s="238"/>
      <c r="NR101" s="238"/>
      <c r="NS101" s="238"/>
      <c r="NT101" s="238"/>
      <c r="NU101" s="238"/>
      <c r="NV101" s="238"/>
      <c r="NW101" s="238"/>
      <c r="NX101" s="238"/>
      <c r="NY101" s="238"/>
      <c r="NZ101" s="238"/>
      <c r="OA101" s="238"/>
      <c r="OB101" s="238"/>
      <c r="OC101" s="238"/>
      <c r="OD101" s="238"/>
      <c r="OE101" s="238"/>
      <c r="OF101" s="238"/>
      <c r="OG101" s="238"/>
      <c r="OH101" s="238"/>
      <c r="OI101" s="238"/>
      <c r="OJ101" s="238"/>
      <c r="OK101" s="238"/>
      <c r="OL101" s="238"/>
      <c r="OM101" s="238"/>
      <c r="ON101" s="238"/>
      <c r="OO101" s="238"/>
      <c r="OP101" s="238"/>
      <c r="OQ101" s="238"/>
      <c r="OR101" s="238"/>
      <c r="OS101" s="238"/>
      <c r="OT101" s="238"/>
      <c r="OU101" s="238"/>
      <c r="OV101" s="238"/>
      <c r="OW101" s="238"/>
      <c r="OX101" s="238"/>
      <c r="OY101" s="238"/>
      <c r="OZ101" s="238"/>
      <c r="PA101" s="238"/>
      <c r="PB101" s="238"/>
      <c r="PC101" s="238"/>
      <c r="PD101" s="238"/>
      <c r="PE101" s="238"/>
      <c r="PF101" s="238"/>
      <c r="PG101" s="238"/>
      <c r="PH101" s="238"/>
      <c r="PI101" s="238"/>
      <c r="PJ101" s="238"/>
      <c r="PK101" s="238"/>
      <c r="PL101" s="238"/>
      <c r="PM101" s="238"/>
      <c r="PN101" s="238"/>
      <c r="PO101" s="238"/>
      <c r="PP101" s="238"/>
      <c r="PQ101" s="238"/>
      <c r="PR101" s="238"/>
      <c r="PS101" s="238"/>
      <c r="PT101" s="238"/>
      <c r="PU101" s="238"/>
      <c r="PV101" s="238"/>
      <c r="PW101" s="238"/>
      <c r="PX101" s="238"/>
      <c r="PY101" s="238"/>
      <c r="PZ101" s="238"/>
      <c r="QA101" s="238"/>
      <c r="QB101" s="238"/>
      <c r="QC101" s="238"/>
      <c r="QD101" s="238"/>
      <c r="QE101" s="238"/>
      <c r="QF101" s="238"/>
      <c r="QG101" s="238"/>
      <c r="QH101" s="238"/>
      <c r="QI101" s="238"/>
      <c r="QJ101" s="238"/>
      <c r="QK101" s="238"/>
      <c r="QL101" s="238"/>
      <c r="QM101" s="238"/>
      <c r="QN101" s="238"/>
      <c r="QO101" s="238"/>
      <c r="QP101" s="238"/>
      <c r="QQ101" s="238"/>
      <c r="QR101" s="238"/>
      <c r="QS101" s="238"/>
      <c r="QT101" s="238"/>
      <c r="QU101" s="238"/>
      <c r="QV101" s="238"/>
      <c r="QW101" s="238"/>
      <c r="QX101" s="238"/>
      <c r="QY101" s="238"/>
      <c r="QZ101" s="238"/>
      <c r="RA101" s="238"/>
      <c r="RB101" s="238"/>
      <c r="RC101" s="238"/>
      <c r="RD101" s="238"/>
      <c r="RE101" s="238"/>
      <c r="RF101" s="238"/>
      <c r="RG101" s="238"/>
      <c r="RH101" s="238"/>
      <c r="RI101" s="238"/>
      <c r="RJ101" s="238"/>
      <c r="RK101" s="238"/>
      <c r="RL101" s="238"/>
      <c r="RM101" s="238"/>
      <c r="RN101" s="238"/>
      <c r="RO101" s="238"/>
      <c r="RP101" s="238"/>
      <c r="RQ101" s="238"/>
      <c r="RR101" s="238"/>
      <c r="RS101" s="238"/>
      <c r="RT101" s="238"/>
      <c r="RU101" s="238"/>
      <c r="RV101" s="238"/>
      <c r="RW101" s="238"/>
      <c r="RX101" s="238"/>
      <c r="RY101" s="238"/>
      <c r="RZ101" s="238"/>
      <c r="SA101" s="238"/>
      <c r="SB101" s="238"/>
      <c r="SC101" s="238"/>
      <c r="SD101" s="238"/>
      <c r="SE101" s="238"/>
      <c r="SF101" s="238"/>
      <c r="SG101" s="238"/>
      <c r="SH101" s="238"/>
      <c r="SI101" s="238"/>
      <c r="SJ101" s="238"/>
      <c r="SK101" s="238"/>
      <c r="SL101" s="238"/>
      <c r="SM101" s="238"/>
      <c r="SN101" s="238"/>
      <c r="SO101" s="238"/>
      <c r="SP101" s="238"/>
      <c r="SQ101" s="238"/>
      <c r="SR101" s="238"/>
      <c r="SS101" s="238"/>
      <c r="ST101" s="238"/>
      <c r="SU101" s="238"/>
      <c r="SV101" s="238"/>
      <c r="SW101" s="238"/>
      <c r="SX101" s="238"/>
      <c r="SY101" s="238"/>
      <c r="SZ101" s="238"/>
      <c r="TA101" s="238"/>
      <c r="TB101" s="238"/>
      <c r="TC101" s="238"/>
      <c r="TD101" s="238"/>
      <c r="TE101" s="238"/>
      <c r="TF101" s="238"/>
      <c r="TG101" s="238"/>
      <c r="TH101" s="238"/>
      <c r="TI101" s="238"/>
      <c r="TJ101" s="238"/>
      <c r="TK101" s="238"/>
      <c r="TL101" s="238"/>
      <c r="TM101" s="238"/>
      <c r="TN101" s="238"/>
      <c r="TO101" s="238"/>
      <c r="TP101" s="238"/>
      <c r="TQ101" s="238"/>
      <c r="TR101" s="238"/>
      <c r="TS101" s="238"/>
      <c r="TT101" s="238"/>
      <c r="TU101" s="238"/>
      <c r="TV101" s="238"/>
      <c r="TW101" s="238"/>
      <c r="TX101" s="238"/>
      <c r="TY101" s="238"/>
      <c r="TZ101" s="238"/>
      <c r="UA101" s="238"/>
      <c r="UB101" s="238"/>
      <c r="UC101" s="238"/>
      <c r="UD101" s="238"/>
      <c r="UE101" s="238"/>
      <c r="UF101" s="238"/>
      <c r="UG101" s="248"/>
    </row>
    <row r="102" spans="1:553" s="236" customFormat="1" ht="34.5" customHeight="1">
      <c r="A102" s="356" t="s">
        <v>30</v>
      </c>
      <c r="B102" s="366" t="s">
        <v>35</v>
      </c>
      <c r="C102" s="1414" t="s">
        <v>160</v>
      </c>
      <c r="D102" s="1389"/>
      <c r="E102" s="1389"/>
      <c r="F102" s="1390"/>
      <c r="G102" s="386" t="s">
        <v>935</v>
      </c>
      <c r="H102" s="370"/>
      <c r="I102" s="422">
        <f>0.52*3*4</f>
        <v>6.24</v>
      </c>
      <c r="J102" s="368">
        <v>39000</v>
      </c>
      <c r="K102" s="371"/>
      <c r="L102" s="391">
        <f t="shared" ref="L102:L103" si="24">ROUND(PRODUCT(I102:K102),0)</f>
        <v>243360</v>
      </c>
      <c r="M102" s="395"/>
      <c r="N102" s="395"/>
      <c r="O102" s="366"/>
      <c r="P102" s="396"/>
      <c r="Q102" s="473"/>
      <c r="R102" s="1039"/>
      <c r="S102" s="308"/>
      <c r="T102" s="303"/>
      <c r="U102" s="306"/>
      <c r="V102" s="307"/>
      <c r="W102" s="306"/>
      <c r="X102" s="306"/>
      <c r="Y102" s="306"/>
      <c r="Z102" s="306"/>
      <c r="AA102" s="306"/>
      <c r="AB102" s="306"/>
      <c r="AC102" s="449"/>
      <c r="AD102" s="449"/>
      <c r="AE102" s="449"/>
      <c r="AF102" s="449"/>
      <c r="AG102" s="452"/>
      <c r="AH102" s="452"/>
      <c r="AI102" s="452"/>
      <c r="AJ102" s="452"/>
      <c r="AK102" s="452"/>
      <c r="AL102" s="242"/>
      <c r="AM102" s="241"/>
      <c r="AN102" s="241"/>
      <c r="AO102" s="241"/>
      <c r="AP102" s="241"/>
      <c r="AQ102" s="238"/>
      <c r="AR102" s="238"/>
      <c r="AS102" s="238"/>
      <c r="AT102" s="238"/>
      <c r="AU102" s="238"/>
      <c r="AV102" s="238"/>
      <c r="AW102" s="238"/>
      <c r="AX102" s="238"/>
      <c r="AY102" s="238"/>
      <c r="AZ102" s="238"/>
      <c r="BA102" s="238"/>
      <c r="BB102" s="238"/>
      <c r="BC102" s="238"/>
      <c r="BD102" s="238"/>
      <c r="BE102" s="238"/>
      <c r="BF102" s="238"/>
      <c r="BG102" s="238"/>
      <c r="BH102" s="238"/>
      <c r="BI102" s="238"/>
      <c r="BJ102" s="238"/>
      <c r="BK102" s="238"/>
      <c r="BL102" s="238"/>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c r="CK102" s="239"/>
      <c r="CL102" s="239"/>
      <c r="CM102" s="239"/>
      <c r="CN102" s="239"/>
      <c r="CO102" s="239"/>
      <c r="CP102" s="239"/>
      <c r="CQ102" s="239"/>
      <c r="CR102" s="239"/>
      <c r="CS102" s="239"/>
      <c r="CT102" s="239"/>
      <c r="CU102" s="239"/>
      <c r="CV102" s="239"/>
      <c r="CW102" s="239"/>
      <c r="CX102" s="239"/>
      <c r="CY102" s="239"/>
      <c r="CZ102" s="239"/>
      <c r="DA102" s="239"/>
      <c r="DB102" s="239"/>
      <c r="DC102" s="239"/>
      <c r="DD102" s="239"/>
      <c r="DE102" s="239"/>
      <c r="DF102" s="239"/>
      <c r="DG102" s="239"/>
      <c r="DH102" s="239"/>
      <c r="DI102" s="239"/>
      <c r="DJ102" s="239"/>
      <c r="DK102" s="239"/>
      <c r="DL102" s="239"/>
      <c r="DM102" s="239"/>
      <c r="DN102" s="239"/>
      <c r="DO102" s="239"/>
      <c r="DP102" s="239"/>
      <c r="DQ102" s="239"/>
      <c r="DR102" s="239"/>
      <c r="DS102" s="239"/>
      <c r="DT102" s="239"/>
      <c r="DU102" s="239"/>
      <c r="DV102" s="239"/>
      <c r="DW102" s="239"/>
      <c r="DX102" s="239"/>
      <c r="DY102" s="239"/>
      <c r="DZ102" s="239"/>
      <c r="EA102" s="239"/>
      <c r="EB102" s="239"/>
      <c r="EC102" s="239"/>
      <c r="ED102" s="239"/>
      <c r="EE102" s="239"/>
      <c r="EF102" s="239"/>
      <c r="EG102" s="239"/>
      <c r="EH102" s="239"/>
      <c r="EI102" s="239"/>
      <c r="EJ102" s="239"/>
      <c r="EK102" s="239"/>
      <c r="EL102" s="239"/>
      <c r="EM102" s="239"/>
      <c r="EN102" s="239"/>
      <c r="EO102" s="239"/>
      <c r="EP102" s="239"/>
      <c r="EQ102" s="239"/>
      <c r="ER102" s="239"/>
      <c r="ES102" s="239"/>
      <c r="ET102" s="239"/>
      <c r="EU102" s="239"/>
      <c r="EV102" s="239"/>
      <c r="EW102" s="239"/>
      <c r="EX102" s="239"/>
      <c r="EY102" s="239"/>
      <c r="EZ102" s="239"/>
      <c r="FA102" s="239"/>
      <c r="FB102" s="239"/>
      <c r="FC102" s="239"/>
      <c r="FD102" s="239"/>
      <c r="FE102" s="239"/>
      <c r="FF102" s="239"/>
      <c r="FG102" s="239"/>
      <c r="FH102" s="239"/>
      <c r="FI102" s="239"/>
      <c r="FJ102" s="239"/>
      <c r="FK102" s="239"/>
      <c r="FL102" s="239"/>
      <c r="FM102" s="239"/>
      <c r="FN102" s="239"/>
      <c r="FO102" s="239"/>
      <c r="FP102" s="239"/>
      <c r="FQ102" s="239"/>
      <c r="FR102" s="239"/>
      <c r="FS102" s="239"/>
      <c r="FT102" s="239"/>
      <c r="FU102" s="239"/>
      <c r="FV102" s="239"/>
      <c r="FW102" s="239"/>
      <c r="FX102" s="239"/>
      <c r="FY102" s="239"/>
      <c r="FZ102" s="239"/>
      <c r="GA102" s="239"/>
      <c r="GB102" s="239"/>
      <c r="GC102" s="239"/>
      <c r="GD102" s="239"/>
      <c r="GE102" s="239"/>
      <c r="GF102" s="239"/>
      <c r="GG102" s="239"/>
      <c r="GH102" s="239"/>
      <c r="GI102" s="239"/>
      <c r="GJ102" s="239"/>
      <c r="GK102" s="239"/>
      <c r="GL102" s="239"/>
      <c r="GM102" s="239"/>
      <c r="GN102" s="239"/>
      <c r="GO102" s="239"/>
      <c r="GP102" s="239"/>
      <c r="GQ102" s="239"/>
      <c r="GR102" s="239"/>
      <c r="GS102" s="239"/>
      <c r="GT102" s="239"/>
      <c r="GU102" s="239"/>
      <c r="GV102" s="239"/>
      <c r="GW102" s="239"/>
      <c r="GX102" s="239"/>
      <c r="GY102" s="239"/>
      <c r="GZ102" s="239"/>
      <c r="HA102" s="239"/>
      <c r="HB102" s="239"/>
      <c r="HC102" s="239"/>
      <c r="HD102" s="239"/>
      <c r="HE102" s="239"/>
      <c r="HF102" s="239"/>
      <c r="HG102" s="239"/>
      <c r="HH102" s="239"/>
      <c r="HI102" s="239"/>
      <c r="HJ102" s="239"/>
      <c r="HK102" s="239"/>
      <c r="HL102" s="239"/>
      <c r="HM102" s="239"/>
      <c r="HN102" s="239"/>
      <c r="HO102" s="239"/>
      <c r="HP102" s="239"/>
      <c r="HQ102" s="239"/>
      <c r="HR102" s="239"/>
      <c r="HS102" s="239"/>
      <c r="HT102" s="239"/>
      <c r="HU102" s="239"/>
      <c r="HV102" s="239"/>
      <c r="HW102" s="239"/>
      <c r="HX102" s="239"/>
      <c r="HY102" s="239"/>
      <c r="HZ102" s="239"/>
      <c r="IA102" s="239"/>
      <c r="IB102" s="239"/>
      <c r="IC102" s="239"/>
      <c r="ID102" s="239"/>
      <c r="IE102" s="239"/>
      <c r="IF102" s="239"/>
      <c r="IG102" s="239"/>
      <c r="IH102" s="239"/>
      <c r="II102" s="239"/>
      <c r="IJ102" s="239"/>
      <c r="IK102" s="239"/>
      <c r="IL102" s="239"/>
      <c r="IM102" s="239"/>
      <c r="IN102" s="239"/>
      <c r="IO102" s="239"/>
      <c r="IP102" s="239"/>
      <c r="IQ102" s="239"/>
      <c r="IR102" s="239"/>
      <c r="IS102" s="239"/>
      <c r="IT102" s="239"/>
      <c r="IU102" s="239"/>
      <c r="IV102" s="239"/>
      <c r="IW102" s="239"/>
      <c r="IX102" s="239"/>
      <c r="IY102" s="239"/>
      <c r="IZ102" s="239"/>
      <c r="JA102" s="239"/>
      <c r="JB102" s="239"/>
      <c r="JC102" s="239"/>
      <c r="JD102" s="239"/>
      <c r="JE102" s="239"/>
      <c r="JF102" s="239"/>
      <c r="JG102" s="239"/>
      <c r="JH102" s="239"/>
      <c r="JI102" s="239"/>
      <c r="JJ102" s="239"/>
      <c r="JK102" s="239"/>
      <c r="JL102" s="239"/>
      <c r="JM102" s="239"/>
      <c r="JN102" s="239"/>
      <c r="JO102" s="239"/>
      <c r="JP102" s="239"/>
      <c r="JQ102" s="239"/>
      <c r="JR102" s="239"/>
      <c r="JS102" s="239"/>
      <c r="JT102" s="239"/>
      <c r="JU102" s="239"/>
      <c r="JV102" s="239"/>
      <c r="JW102" s="239"/>
      <c r="JX102" s="239"/>
      <c r="JY102" s="239"/>
      <c r="JZ102" s="239"/>
      <c r="KA102" s="239"/>
      <c r="KB102" s="239"/>
      <c r="KC102" s="239"/>
      <c r="KD102" s="239"/>
      <c r="KE102" s="239"/>
      <c r="KF102" s="239"/>
      <c r="KG102" s="239"/>
      <c r="KH102" s="239"/>
      <c r="KI102" s="239"/>
      <c r="KJ102" s="239"/>
      <c r="KK102" s="239"/>
      <c r="KL102" s="239"/>
      <c r="KM102" s="239"/>
      <c r="KN102" s="239"/>
      <c r="KO102" s="239"/>
      <c r="KP102" s="239"/>
      <c r="KQ102" s="239"/>
      <c r="KR102" s="239"/>
      <c r="KS102" s="239"/>
      <c r="KT102" s="239"/>
      <c r="KU102" s="239"/>
      <c r="KV102" s="239"/>
      <c r="KW102" s="239"/>
      <c r="KX102" s="239"/>
      <c r="KY102" s="239"/>
      <c r="KZ102" s="239"/>
      <c r="LA102" s="239"/>
      <c r="LB102" s="239"/>
      <c r="LC102" s="239"/>
      <c r="LD102" s="239"/>
      <c r="LE102" s="239"/>
      <c r="LF102" s="239"/>
      <c r="LG102" s="239"/>
      <c r="LH102" s="239"/>
      <c r="LI102" s="239"/>
      <c r="LJ102" s="239"/>
      <c r="LK102" s="239"/>
      <c r="LL102" s="239"/>
      <c r="LM102" s="239"/>
      <c r="LN102" s="239"/>
      <c r="LO102" s="239"/>
      <c r="LP102" s="239"/>
      <c r="LQ102" s="239"/>
      <c r="LR102" s="239"/>
      <c r="LS102" s="239"/>
      <c r="LT102" s="239"/>
      <c r="LU102" s="239"/>
      <c r="LV102" s="239"/>
      <c r="LW102" s="239"/>
      <c r="LX102" s="239"/>
      <c r="LY102" s="239"/>
      <c r="LZ102" s="239"/>
      <c r="MA102" s="239"/>
      <c r="MB102" s="239"/>
      <c r="MC102" s="239"/>
      <c r="MD102" s="239"/>
      <c r="ME102" s="239"/>
      <c r="MF102" s="239"/>
      <c r="MG102" s="239"/>
      <c r="MH102" s="239"/>
      <c r="MI102" s="239"/>
      <c r="MJ102" s="239"/>
      <c r="MK102" s="239"/>
      <c r="ML102" s="239"/>
      <c r="MM102" s="239"/>
      <c r="MN102" s="239"/>
      <c r="MO102" s="239"/>
      <c r="MP102" s="239"/>
      <c r="MQ102" s="239"/>
      <c r="MR102" s="239"/>
      <c r="MS102" s="239"/>
      <c r="MT102" s="239"/>
      <c r="MU102" s="239"/>
      <c r="MV102" s="239"/>
      <c r="MW102" s="239"/>
      <c r="MX102" s="239"/>
      <c r="MY102" s="239"/>
      <c r="MZ102" s="239"/>
      <c r="NA102" s="239"/>
      <c r="NB102" s="239"/>
      <c r="NC102" s="239"/>
      <c r="ND102" s="239"/>
      <c r="NE102" s="239"/>
      <c r="NF102" s="239"/>
      <c r="NG102" s="239"/>
      <c r="NH102" s="239"/>
      <c r="NI102" s="239"/>
      <c r="NJ102" s="239"/>
      <c r="NK102" s="239"/>
      <c r="NL102" s="239"/>
      <c r="NM102" s="239"/>
      <c r="NN102" s="239"/>
      <c r="NO102" s="239"/>
      <c r="NP102" s="239"/>
      <c r="NQ102" s="239"/>
      <c r="NR102" s="239"/>
      <c r="NS102" s="239"/>
      <c r="NT102" s="239"/>
      <c r="NU102" s="239"/>
      <c r="NV102" s="239"/>
      <c r="NW102" s="239"/>
      <c r="NX102" s="239"/>
      <c r="NY102" s="239"/>
      <c r="NZ102" s="239"/>
      <c r="OA102" s="239"/>
      <c r="OB102" s="239"/>
      <c r="OC102" s="239"/>
      <c r="OD102" s="239"/>
      <c r="OE102" s="239"/>
      <c r="OF102" s="239"/>
      <c r="OG102" s="239"/>
      <c r="OH102" s="239"/>
      <c r="OI102" s="239"/>
      <c r="OJ102" s="239"/>
      <c r="OK102" s="239"/>
      <c r="OL102" s="239"/>
      <c r="OM102" s="239"/>
      <c r="ON102" s="239"/>
      <c r="OO102" s="239"/>
      <c r="OP102" s="239"/>
      <c r="OQ102" s="239"/>
      <c r="OR102" s="239"/>
      <c r="OS102" s="239"/>
      <c r="OT102" s="239"/>
      <c r="OU102" s="239"/>
      <c r="OV102" s="239"/>
      <c r="OW102" s="239"/>
      <c r="OX102" s="239"/>
      <c r="OY102" s="239"/>
      <c r="OZ102" s="239"/>
      <c r="PA102" s="239"/>
      <c r="PB102" s="239"/>
      <c r="PC102" s="239"/>
      <c r="PD102" s="239"/>
      <c r="PE102" s="239"/>
      <c r="PF102" s="239"/>
      <c r="PG102" s="239"/>
      <c r="PH102" s="239"/>
      <c r="PI102" s="239"/>
      <c r="PJ102" s="239"/>
      <c r="PK102" s="239"/>
      <c r="PL102" s="239"/>
      <c r="PM102" s="239"/>
      <c r="PN102" s="239"/>
      <c r="PO102" s="239"/>
      <c r="PP102" s="239"/>
      <c r="PQ102" s="239"/>
      <c r="PR102" s="239"/>
      <c r="PS102" s="239"/>
      <c r="PT102" s="239"/>
      <c r="PU102" s="239"/>
      <c r="PV102" s="239"/>
      <c r="PW102" s="239"/>
      <c r="PX102" s="239"/>
      <c r="PY102" s="239"/>
      <c r="PZ102" s="239"/>
      <c r="QA102" s="239"/>
      <c r="QB102" s="239"/>
      <c r="QC102" s="239"/>
      <c r="QD102" s="239"/>
      <c r="QE102" s="239"/>
      <c r="QF102" s="239"/>
      <c r="QG102" s="239"/>
      <c r="QH102" s="239"/>
      <c r="QI102" s="239"/>
      <c r="QJ102" s="239"/>
      <c r="QK102" s="239"/>
      <c r="QL102" s="239"/>
      <c r="QM102" s="239"/>
      <c r="QN102" s="239"/>
      <c r="QO102" s="239"/>
      <c r="QP102" s="239"/>
      <c r="QQ102" s="239"/>
      <c r="QR102" s="239"/>
      <c r="QS102" s="239"/>
      <c r="QT102" s="239"/>
      <c r="QU102" s="239"/>
      <c r="QV102" s="239"/>
      <c r="QW102" s="239"/>
      <c r="QX102" s="239"/>
      <c r="QY102" s="239"/>
      <c r="QZ102" s="239"/>
      <c r="RA102" s="239"/>
      <c r="RB102" s="239"/>
      <c r="RC102" s="239"/>
      <c r="RD102" s="239"/>
      <c r="RE102" s="239"/>
      <c r="RF102" s="239"/>
      <c r="RG102" s="239"/>
      <c r="RH102" s="239"/>
      <c r="RI102" s="239"/>
      <c r="RJ102" s="239"/>
      <c r="RK102" s="239"/>
      <c r="RL102" s="239"/>
      <c r="RM102" s="239"/>
      <c r="RN102" s="239"/>
      <c r="RO102" s="239"/>
      <c r="RP102" s="239"/>
      <c r="RQ102" s="239"/>
      <c r="RR102" s="239"/>
      <c r="RS102" s="239"/>
      <c r="RT102" s="239"/>
      <c r="RU102" s="239"/>
      <c r="RV102" s="239"/>
      <c r="RW102" s="239"/>
      <c r="RX102" s="239"/>
      <c r="RY102" s="239"/>
      <c r="RZ102" s="239"/>
      <c r="SA102" s="239"/>
      <c r="SB102" s="239"/>
      <c r="SC102" s="239"/>
      <c r="SD102" s="239"/>
      <c r="SE102" s="239"/>
      <c r="SF102" s="239"/>
      <c r="SG102" s="239"/>
      <c r="SH102" s="239"/>
      <c r="SI102" s="239"/>
      <c r="SJ102" s="239"/>
      <c r="SK102" s="239"/>
      <c r="SL102" s="239"/>
      <c r="SM102" s="239"/>
      <c r="SN102" s="239"/>
      <c r="SO102" s="239"/>
      <c r="SP102" s="239"/>
      <c r="SQ102" s="239"/>
      <c r="SR102" s="239"/>
      <c r="SS102" s="239"/>
      <c r="ST102" s="239"/>
      <c r="SU102" s="239"/>
      <c r="SV102" s="239"/>
      <c r="SW102" s="239"/>
      <c r="SX102" s="239"/>
      <c r="SY102" s="239"/>
      <c r="SZ102" s="239"/>
      <c r="TA102" s="239"/>
      <c r="TB102" s="239"/>
      <c r="TC102" s="239"/>
      <c r="TD102" s="239"/>
      <c r="TE102" s="239"/>
      <c r="TF102" s="239"/>
      <c r="TG102" s="239"/>
      <c r="TH102" s="239"/>
      <c r="TI102" s="239"/>
      <c r="TJ102" s="239"/>
      <c r="TK102" s="239"/>
      <c r="TL102" s="239"/>
      <c r="TM102" s="239"/>
      <c r="TN102" s="239"/>
      <c r="TO102" s="239"/>
      <c r="TP102" s="239"/>
      <c r="TQ102" s="239"/>
      <c r="TR102" s="239"/>
      <c r="TS102" s="239"/>
      <c r="TT102" s="239"/>
      <c r="TU102" s="239"/>
      <c r="TV102" s="239"/>
      <c r="TW102" s="239"/>
      <c r="TX102" s="239"/>
      <c r="TY102" s="239"/>
      <c r="TZ102" s="239"/>
      <c r="UA102" s="239"/>
      <c r="UB102" s="239"/>
      <c r="UC102" s="239"/>
      <c r="UD102" s="239"/>
      <c r="UE102" s="239"/>
      <c r="UF102" s="239"/>
      <c r="UG102" s="240"/>
    </row>
    <row r="103" spans="1:553" s="236" customFormat="1" ht="34.5" customHeight="1">
      <c r="A103" s="356" t="s">
        <v>30</v>
      </c>
      <c r="B103" s="366" t="s">
        <v>35</v>
      </c>
      <c r="C103" s="1414" t="s">
        <v>161</v>
      </c>
      <c r="D103" s="1389"/>
      <c r="E103" s="1389"/>
      <c r="F103" s="1390"/>
      <c r="G103" s="386" t="s">
        <v>935</v>
      </c>
      <c r="H103" s="370"/>
      <c r="I103" s="422">
        <f>0.48*6*8</f>
        <v>23.04</v>
      </c>
      <c r="J103" s="368">
        <v>39000</v>
      </c>
      <c r="K103" s="371"/>
      <c r="L103" s="391">
        <f t="shared" si="24"/>
        <v>898560</v>
      </c>
      <c r="M103" s="395"/>
      <c r="N103" s="395"/>
      <c r="O103" s="366"/>
      <c r="P103" s="396"/>
      <c r="Q103" s="473"/>
      <c r="R103" s="1039"/>
      <c r="S103" s="308"/>
      <c r="T103" s="303"/>
      <c r="U103" s="306"/>
      <c r="V103" s="307"/>
      <c r="W103" s="306"/>
      <c r="X103" s="306"/>
      <c r="Y103" s="306"/>
      <c r="Z103" s="306"/>
      <c r="AA103" s="306"/>
      <c r="AB103" s="306"/>
      <c r="AC103" s="449"/>
      <c r="AD103" s="449"/>
      <c r="AE103" s="449"/>
      <c r="AF103" s="449"/>
      <c r="AG103" s="452"/>
      <c r="AH103" s="452"/>
      <c r="AI103" s="452"/>
      <c r="AJ103" s="452"/>
      <c r="AK103" s="452"/>
      <c r="AL103" s="242"/>
      <c r="AM103" s="241"/>
      <c r="AN103" s="241"/>
      <c r="AO103" s="241"/>
      <c r="AP103" s="241"/>
      <c r="AQ103" s="238"/>
      <c r="AR103" s="238"/>
      <c r="AS103" s="238"/>
      <c r="AT103" s="238"/>
      <c r="AU103" s="238"/>
      <c r="AV103" s="238"/>
      <c r="AW103" s="238"/>
      <c r="AX103" s="238"/>
      <c r="AY103" s="238"/>
      <c r="AZ103" s="238"/>
      <c r="BA103" s="238"/>
      <c r="BB103" s="238"/>
      <c r="BC103" s="238"/>
      <c r="BD103" s="238"/>
      <c r="BE103" s="238"/>
      <c r="BF103" s="238"/>
      <c r="BG103" s="238"/>
      <c r="BH103" s="238"/>
      <c r="BI103" s="238"/>
      <c r="BJ103" s="238"/>
      <c r="BK103" s="238"/>
      <c r="BL103" s="238"/>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c r="CK103" s="239"/>
      <c r="CL103" s="239"/>
      <c r="CM103" s="239"/>
      <c r="CN103" s="239"/>
      <c r="CO103" s="239"/>
      <c r="CP103" s="239"/>
      <c r="CQ103" s="239"/>
      <c r="CR103" s="239"/>
      <c r="CS103" s="239"/>
      <c r="CT103" s="239"/>
      <c r="CU103" s="239"/>
      <c r="CV103" s="239"/>
      <c r="CW103" s="239"/>
      <c r="CX103" s="239"/>
      <c r="CY103" s="239"/>
      <c r="CZ103" s="239"/>
      <c r="DA103" s="239"/>
      <c r="DB103" s="239"/>
      <c r="DC103" s="239"/>
      <c r="DD103" s="239"/>
      <c r="DE103" s="239"/>
      <c r="DF103" s="239"/>
      <c r="DG103" s="239"/>
      <c r="DH103" s="239"/>
      <c r="DI103" s="239"/>
      <c r="DJ103" s="239"/>
      <c r="DK103" s="239"/>
      <c r="DL103" s="239"/>
      <c r="DM103" s="239"/>
      <c r="DN103" s="239"/>
      <c r="DO103" s="239"/>
      <c r="DP103" s="239"/>
      <c r="DQ103" s="239"/>
      <c r="DR103" s="239"/>
      <c r="DS103" s="239"/>
      <c r="DT103" s="239"/>
      <c r="DU103" s="239"/>
      <c r="DV103" s="239"/>
      <c r="DW103" s="239"/>
      <c r="DX103" s="239"/>
      <c r="DY103" s="239"/>
      <c r="DZ103" s="239"/>
      <c r="EA103" s="239"/>
      <c r="EB103" s="239"/>
      <c r="EC103" s="239"/>
      <c r="ED103" s="239"/>
      <c r="EE103" s="239"/>
      <c r="EF103" s="239"/>
      <c r="EG103" s="239"/>
      <c r="EH103" s="239"/>
      <c r="EI103" s="239"/>
      <c r="EJ103" s="239"/>
      <c r="EK103" s="239"/>
      <c r="EL103" s="239"/>
      <c r="EM103" s="239"/>
      <c r="EN103" s="239"/>
      <c r="EO103" s="239"/>
      <c r="EP103" s="239"/>
      <c r="EQ103" s="239"/>
      <c r="ER103" s="239"/>
      <c r="ES103" s="239"/>
      <c r="ET103" s="239"/>
      <c r="EU103" s="239"/>
      <c r="EV103" s="239"/>
      <c r="EW103" s="239"/>
      <c r="EX103" s="239"/>
      <c r="EY103" s="239"/>
      <c r="EZ103" s="239"/>
      <c r="FA103" s="239"/>
      <c r="FB103" s="239"/>
      <c r="FC103" s="239"/>
      <c r="FD103" s="239"/>
      <c r="FE103" s="239"/>
      <c r="FF103" s="239"/>
      <c r="FG103" s="239"/>
      <c r="FH103" s="239"/>
      <c r="FI103" s="239"/>
      <c r="FJ103" s="239"/>
      <c r="FK103" s="239"/>
      <c r="FL103" s="239"/>
      <c r="FM103" s="239"/>
      <c r="FN103" s="239"/>
      <c r="FO103" s="239"/>
      <c r="FP103" s="239"/>
      <c r="FQ103" s="239"/>
      <c r="FR103" s="239"/>
      <c r="FS103" s="239"/>
      <c r="FT103" s="239"/>
      <c r="FU103" s="239"/>
      <c r="FV103" s="239"/>
      <c r="FW103" s="239"/>
      <c r="FX103" s="239"/>
      <c r="FY103" s="239"/>
      <c r="FZ103" s="239"/>
      <c r="GA103" s="239"/>
      <c r="GB103" s="239"/>
      <c r="GC103" s="239"/>
      <c r="GD103" s="239"/>
      <c r="GE103" s="239"/>
      <c r="GF103" s="239"/>
      <c r="GG103" s="239"/>
      <c r="GH103" s="239"/>
      <c r="GI103" s="239"/>
      <c r="GJ103" s="239"/>
      <c r="GK103" s="239"/>
      <c r="GL103" s="239"/>
      <c r="GM103" s="239"/>
      <c r="GN103" s="239"/>
      <c r="GO103" s="239"/>
      <c r="GP103" s="239"/>
      <c r="GQ103" s="239"/>
      <c r="GR103" s="239"/>
      <c r="GS103" s="239"/>
      <c r="GT103" s="239"/>
      <c r="GU103" s="239"/>
      <c r="GV103" s="239"/>
      <c r="GW103" s="239"/>
      <c r="GX103" s="239"/>
      <c r="GY103" s="239"/>
      <c r="GZ103" s="239"/>
      <c r="HA103" s="239"/>
      <c r="HB103" s="239"/>
      <c r="HC103" s="239"/>
      <c r="HD103" s="239"/>
      <c r="HE103" s="239"/>
      <c r="HF103" s="239"/>
      <c r="HG103" s="239"/>
      <c r="HH103" s="239"/>
      <c r="HI103" s="239"/>
      <c r="HJ103" s="239"/>
      <c r="HK103" s="239"/>
      <c r="HL103" s="239"/>
      <c r="HM103" s="239"/>
      <c r="HN103" s="239"/>
      <c r="HO103" s="239"/>
      <c r="HP103" s="239"/>
      <c r="HQ103" s="239"/>
      <c r="HR103" s="239"/>
      <c r="HS103" s="239"/>
      <c r="HT103" s="239"/>
      <c r="HU103" s="239"/>
      <c r="HV103" s="239"/>
      <c r="HW103" s="239"/>
      <c r="HX103" s="239"/>
      <c r="HY103" s="239"/>
      <c r="HZ103" s="239"/>
      <c r="IA103" s="239"/>
      <c r="IB103" s="239"/>
      <c r="IC103" s="239"/>
      <c r="ID103" s="239"/>
      <c r="IE103" s="239"/>
      <c r="IF103" s="239"/>
      <c r="IG103" s="239"/>
      <c r="IH103" s="239"/>
      <c r="II103" s="239"/>
      <c r="IJ103" s="239"/>
      <c r="IK103" s="239"/>
      <c r="IL103" s="239"/>
      <c r="IM103" s="239"/>
      <c r="IN103" s="239"/>
      <c r="IO103" s="239"/>
      <c r="IP103" s="239"/>
      <c r="IQ103" s="239"/>
      <c r="IR103" s="239"/>
      <c r="IS103" s="239"/>
      <c r="IT103" s="239"/>
      <c r="IU103" s="239"/>
      <c r="IV103" s="239"/>
      <c r="IW103" s="239"/>
      <c r="IX103" s="239"/>
      <c r="IY103" s="239"/>
      <c r="IZ103" s="239"/>
      <c r="JA103" s="239"/>
      <c r="JB103" s="239"/>
      <c r="JC103" s="239"/>
      <c r="JD103" s="239"/>
      <c r="JE103" s="239"/>
      <c r="JF103" s="239"/>
      <c r="JG103" s="239"/>
      <c r="JH103" s="239"/>
      <c r="JI103" s="239"/>
      <c r="JJ103" s="239"/>
      <c r="JK103" s="239"/>
      <c r="JL103" s="239"/>
      <c r="JM103" s="239"/>
      <c r="JN103" s="239"/>
      <c r="JO103" s="239"/>
      <c r="JP103" s="239"/>
      <c r="JQ103" s="239"/>
      <c r="JR103" s="239"/>
      <c r="JS103" s="239"/>
      <c r="JT103" s="239"/>
      <c r="JU103" s="239"/>
      <c r="JV103" s="239"/>
      <c r="JW103" s="239"/>
      <c r="JX103" s="239"/>
      <c r="JY103" s="239"/>
      <c r="JZ103" s="239"/>
      <c r="KA103" s="239"/>
      <c r="KB103" s="239"/>
      <c r="KC103" s="239"/>
      <c r="KD103" s="239"/>
      <c r="KE103" s="239"/>
      <c r="KF103" s="239"/>
      <c r="KG103" s="239"/>
      <c r="KH103" s="239"/>
      <c r="KI103" s="239"/>
      <c r="KJ103" s="239"/>
      <c r="KK103" s="239"/>
      <c r="KL103" s="239"/>
      <c r="KM103" s="239"/>
      <c r="KN103" s="239"/>
      <c r="KO103" s="239"/>
      <c r="KP103" s="239"/>
      <c r="KQ103" s="239"/>
      <c r="KR103" s="239"/>
      <c r="KS103" s="239"/>
      <c r="KT103" s="239"/>
      <c r="KU103" s="239"/>
      <c r="KV103" s="239"/>
      <c r="KW103" s="239"/>
      <c r="KX103" s="239"/>
      <c r="KY103" s="239"/>
      <c r="KZ103" s="239"/>
      <c r="LA103" s="239"/>
      <c r="LB103" s="239"/>
      <c r="LC103" s="239"/>
      <c r="LD103" s="239"/>
      <c r="LE103" s="239"/>
      <c r="LF103" s="239"/>
      <c r="LG103" s="239"/>
      <c r="LH103" s="239"/>
      <c r="LI103" s="239"/>
      <c r="LJ103" s="239"/>
      <c r="LK103" s="239"/>
      <c r="LL103" s="239"/>
      <c r="LM103" s="239"/>
      <c r="LN103" s="239"/>
      <c r="LO103" s="239"/>
      <c r="LP103" s="239"/>
      <c r="LQ103" s="239"/>
      <c r="LR103" s="239"/>
      <c r="LS103" s="239"/>
      <c r="LT103" s="239"/>
      <c r="LU103" s="239"/>
      <c r="LV103" s="239"/>
      <c r="LW103" s="239"/>
      <c r="LX103" s="239"/>
      <c r="LY103" s="239"/>
      <c r="LZ103" s="239"/>
      <c r="MA103" s="239"/>
      <c r="MB103" s="239"/>
      <c r="MC103" s="239"/>
      <c r="MD103" s="239"/>
      <c r="ME103" s="239"/>
      <c r="MF103" s="239"/>
      <c r="MG103" s="239"/>
      <c r="MH103" s="239"/>
      <c r="MI103" s="239"/>
      <c r="MJ103" s="239"/>
      <c r="MK103" s="239"/>
      <c r="ML103" s="239"/>
      <c r="MM103" s="239"/>
      <c r="MN103" s="239"/>
      <c r="MO103" s="239"/>
      <c r="MP103" s="239"/>
      <c r="MQ103" s="239"/>
      <c r="MR103" s="239"/>
      <c r="MS103" s="239"/>
      <c r="MT103" s="239"/>
      <c r="MU103" s="239"/>
      <c r="MV103" s="239"/>
      <c r="MW103" s="239"/>
      <c r="MX103" s="239"/>
      <c r="MY103" s="239"/>
      <c r="MZ103" s="239"/>
      <c r="NA103" s="239"/>
      <c r="NB103" s="239"/>
      <c r="NC103" s="239"/>
      <c r="ND103" s="239"/>
      <c r="NE103" s="239"/>
      <c r="NF103" s="239"/>
      <c r="NG103" s="239"/>
      <c r="NH103" s="239"/>
      <c r="NI103" s="239"/>
      <c r="NJ103" s="239"/>
      <c r="NK103" s="239"/>
      <c r="NL103" s="239"/>
      <c r="NM103" s="239"/>
      <c r="NN103" s="239"/>
      <c r="NO103" s="239"/>
      <c r="NP103" s="239"/>
      <c r="NQ103" s="239"/>
      <c r="NR103" s="239"/>
      <c r="NS103" s="239"/>
      <c r="NT103" s="239"/>
      <c r="NU103" s="239"/>
      <c r="NV103" s="239"/>
      <c r="NW103" s="239"/>
      <c r="NX103" s="239"/>
      <c r="NY103" s="239"/>
      <c r="NZ103" s="239"/>
      <c r="OA103" s="239"/>
      <c r="OB103" s="239"/>
      <c r="OC103" s="239"/>
      <c r="OD103" s="239"/>
      <c r="OE103" s="239"/>
      <c r="OF103" s="239"/>
      <c r="OG103" s="239"/>
      <c r="OH103" s="239"/>
      <c r="OI103" s="239"/>
      <c r="OJ103" s="239"/>
      <c r="OK103" s="239"/>
      <c r="OL103" s="239"/>
      <c r="OM103" s="239"/>
      <c r="ON103" s="239"/>
      <c r="OO103" s="239"/>
      <c r="OP103" s="239"/>
      <c r="OQ103" s="239"/>
      <c r="OR103" s="239"/>
      <c r="OS103" s="239"/>
      <c r="OT103" s="239"/>
      <c r="OU103" s="239"/>
      <c r="OV103" s="239"/>
      <c r="OW103" s="239"/>
      <c r="OX103" s="239"/>
      <c r="OY103" s="239"/>
      <c r="OZ103" s="239"/>
      <c r="PA103" s="239"/>
      <c r="PB103" s="239"/>
      <c r="PC103" s="239"/>
      <c r="PD103" s="239"/>
      <c r="PE103" s="239"/>
      <c r="PF103" s="239"/>
      <c r="PG103" s="239"/>
      <c r="PH103" s="239"/>
      <c r="PI103" s="239"/>
      <c r="PJ103" s="239"/>
      <c r="PK103" s="239"/>
      <c r="PL103" s="239"/>
      <c r="PM103" s="239"/>
      <c r="PN103" s="239"/>
      <c r="PO103" s="239"/>
      <c r="PP103" s="239"/>
      <c r="PQ103" s="239"/>
      <c r="PR103" s="239"/>
      <c r="PS103" s="239"/>
      <c r="PT103" s="239"/>
      <c r="PU103" s="239"/>
      <c r="PV103" s="239"/>
      <c r="PW103" s="239"/>
      <c r="PX103" s="239"/>
      <c r="PY103" s="239"/>
      <c r="PZ103" s="239"/>
      <c r="QA103" s="239"/>
      <c r="QB103" s="239"/>
      <c r="QC103" s="239"/>
      <c r="QD103" s="239"/>
      <c r="QE103" s="239"/>
      <c r="QF103" s="239"/>
      <c r="QG103" s="239"/>
      <c r="QH103" s="239"/>
      <c r="QI103" s="239"/>
      <c r="QJ103" s="239"/>
      <c r="QK103" s="239"/>
      <c r="QL103" s="239"/>
      <c r="QM103" s="239"/>
      <c r="QN103" s="239"/>
      <c r="QO103" s="239"/>
      <c r="QP103" s="239"/>
      <c r="QQ103" s="239"/>
      <c r="QR103" s="239"/>
      <c r="QS103" s="239"/>
      <c r="QT103" s="239"/>
      <c r="QU103" s="239"/>
      <c r="QV103" s="239"/>
      <c r="QW103" s="239"/>
      <c r="QX103" s="239"/>
      <c r="QY103" s="239"/>
      <c r="QZ103" s="239"/>
      <c r="RA103" s="239"/>
      <c r="RB103" s="239"/>
      <c r="RC103" s="239"/>
      <c r="RD103" s="239"/>
      <c r="RE103" s="239"/>
      <c r="RF103" s="239"/>
      <c r="RG103" s="239"/>
      <c r="RH103" s="239"/>
      <c r="RI103" s="239"/>
      <c r="RJ103" s="239"/>
      <c r="RK103" s="239"/>
      <c r="RL103" s="239"/>
      <c r="RM103" s="239"/>
      <c r="RN103" s="239"/>
      <c r="RO103" s="239"/>
      <c r="RP103" s="239"/>
      <c r="RQ103" s="239"/>
      <c r="RR103" s="239"/>
      <c r="RS103" s="239"/>
      <c r="RT103" s="239"/>
      <c r="RU103" s="239"/>
      <c r="RV103" s="239"/>
      <c r="RW103" s="239"/>
      <c r="RX103" s="239"/>
      <c r="RY103" s="239"/>
      <c r="RZ103" s="239"/>
      <c r="SA103" s="239"/>
      <c r="SB103" s="239"/>
      <c r="SC103" s="239"/>
      <c r="SD103" s="239"/>
      <c r="SE103" s="239"/>
      <c r="SF103" s="239"/>
      <c r="SG103" s="239"/>
      <c r="SH103" s="239"/>
      <c r="SI103" s="239"/>
      <c r="SJ103" s="239"/>
      <c r="SK103" s="239"/>
      <c r="SL103" s="239"/>
      <c r="SM103" s="239"/>
      <c r="SN103" s="239"/>
      <c r="SO103" s="239"/>
      <c r="SP103" s="239"/>
      <c r="SQ103" s="239"/>
      <c r="SR103" s="239"/>
      <c r="SS103" s="239"/>
      <c r="ST103" s="239"/>
      <c r="SU103" s="239"/>
      <c r="SV103" s="239"/>
      <c r="SW103" s="239"/>
      <c r="SX103" s="239"/>
      <c r="SY103" s="239"/>
      <c r="SZ103" s="239"/>
      <c r="TA103" s="239"/>
      <c r="TB103" s="239"/>
      <c r="TC103" s="239"/>
      <c r="TD103" s="239"/>
      <c r="TE103" s="239"/>
      <c r="TF103" s="239"/>
      <c r="TG103" s="239"/>
      <c r="TH103" s="239"/>
      <c r="TI103" s="239"/>
      <c r="TJ103" s="239"/>
      <c r="TK103" s="239"/>
      <c r="TL103" s="239"/>
      <c r="TM103" s="239"/>
      <c r="TN103" s="239"/>
      <c r="TO103" s="239"/>
      <c r="TP103" s="239"/>
      <c r="TQ103" s="239"/>
      <c r="TR103" s="239"/>
      <c r="TS103" s="239"/>
      <c r="TT103" s="239"/>
      <c r="TU103" s="239"/>
      <c r="TV103" s="239"/>
      <c r="TW103" s="239"/>
      <c r="TX103" s="239"/>
      <c r="TY103" s="239"/>
      <c r="TZ103" s="239"/>
      <c r="UA103" s="239"/>
      <c r="UB103" s="239"/>
      <c r="UC103" s="239"/>
      <c r="UD103" s="239"/>
      <c r="UE103" s="239"/>
      <c r="UF103" s="239"/>
      <c r="UG103" s="240"/>
    </row>
    <row r="104" spans="1:553" s="236" customFormat="1" ht="34.5" customHeight="1">
      <c r="A104" s="356" t="s">
        <v>30</v>
      </c>
      <c r="B104" s="366" t="s">
        <v>35</v>
      </c>
      <c r="C104" s="1414" t="s">
        <v>162</v>
      </c>
      <c r="D104" s="1389"/>
      <c r="E104" s="1389"/>
      <c r="F104" s="1390"/>
      <c r="G104" s="386" t="s">
        <v>935</v>
      </c>
      <c r="H104" s="370"/>
      <c r="I104" s="422">
        <f>0.48*7.8*1</f>
        <v>3.7439999999999998</v>
      </c>
      <c r="J104" s="368">
        <v>39000</v>
      </c>
      <c r="K104" s="371"/>
      <c r="L104" s="391">
        <f t="shared" ref="L104:L112" si="25">I104*J104</f>
        <v>146016</v>
      </c>
      <c r="M104" s="391"/>
      <c r="N104" s="391"/>
      <c r="O104" s="391"/>
      <c r="P104" s="391"/>
      <c r="Q104" s="1444"/>
      <c r="R104" s="1226"/>
      <c r="S104" s="308"/>
      <c r="T104" s="303"/>
      <c r="U104" s="306"/>
      <c r="V104" s="307"/>
      <c r="W104" s="306"/>
      <c r="X104" s="306"/>
      <c r="Y104" s="306"/>
      <c r="Z104" s="306"/>
      <c r="AA104" s="306"/>
      <c r="AB104" s="306"/>
      <c r="AC104" s="449"/>
      <c r="AD104" s="449"/>
      <c r="AE104" s="449"/>
      <c r="AF104" s="449"/>
      <c r="AG104" s="449"/>
      <c r="AH104" s="449"/>
      <c r="AI104" s="449"/>
      <c r="AJ104" s="449"/>
      <c r="AK104" s="452"/>
      <c r="AL104" s="242"/>
      <c r="AM104" s="241"/>
      <c r="AN104" s="241"/>
      <c r="AO104" s="241"/>
      <c r="AP104" s="241"/>
      <c r="AQ104" s="241"/>
      <c r="AR104" s="241"/>
      <c r="AS104" s="238"/>
      <c r="AT104" s="238"/>
      <c r="AU104" s="238"/>
      <c r="AV104" s="238"/>
      <c r="AW104" s="238"/>
      <c r="AX104" s="238"/>
      <c r="AY104" s="238"/>
      <c r="AZ104" s="238"/>
      <c r="BA104" s="238"/>
      <c r="BB104" s="238"/>
      <c r="BC104" s="238"/>
      <c r="BD104" s="238"/>
      <c r="BE104" s="238"/>
      <c r="BF104" s="238"/>
      <c r="BG104" s="238"/>
      <c r="BH104" s="238"/>
      <c r="BI104" s="238"/>
      <c r="BJ104" s="238"/>
      <c r="BK104" s="238"/>
      <c r="BL104" s="238"/>
      <c r="BM104" s="238"/>
      <c r="BN104" s="238"/>
      <c r="BO104" s="238"/>
      <c r="BP104" s="238"/>
      <c r="BQ104" s="238"/>
      <c r="BR104" s="238"/>
      <c r="BS104" s="238"/>
      <c r="BT104" s="238"/>
      <c r="BU104" s="238"/>
      <c r="BV104" s="238"/>
      <c r="BW104" s="238"/>
      <c r="BX104" s="238"/>
      <c r="BY104" s="238"/>
      <c r="BZ104" s="238"/>
      <c r="CA104" s="238"/>
      <c r="CB104" s="238"/>
      <c r="CC104" s="238"/>
      <c r="CD104" s="238"/>
      <c r="CE104" s="238"/>
      <c r="CF104" s="238"/>
      <c r="CG104" s="238"/>
      <c r="CH104" s="238"/>
      <c r="CI104" s="238"/>
      <c r="CJ104" s="238"/>
      <c r="CK104" s="238"/>
      <c r="CL104" s="238"/>
      <c r="CM104" s="238"/>
      <c r="CN104" s="238"/>
      <c r="CO104" s="238"/>
      <c r="CP104" s="238"/>
      <c r="CQ104" s="238"/>
      <c r="CR104" s="238"/>
      <c r="CS104" s="238"/>
      <c r="CT104" s="238"/>
      <c r="CU104" s="238"/>
      <c r="CV104" s="238"/>
      <c r="CW104" s="238"/>
      <c r="CX104" s="238"/>
      <c r="CY104" s="238"/>
      <c r="CZ104" s="238"/>
      <c r="DA104" s="238"/>
      <c r="DB104" s="238"/>
      <c r="DC104" s="238"/>
      <c r="DD104" s="238"/>
      <c r="DE104" s="238"/>
      <c r="DF104" s="238"/>
      <c r="DG104" s="238"/>
      <c r="DH104" s="238"/>
      <c r="DI104" s="238"/>
      <c r="DJ104" s="238"/>
      <c r="DK104" s="238"/>
      <c r="DL104" s="238"/>
      <c r="DM104" s="238"/>
      <c r="DN104" s="238"/>
      <c r="DO104" s="238"/>
      <c r="DP104" s="238"/>
      <c r="DQ104" s="238"/>
      <c r="DR104" s="238"/>
      <c r="DS104" s="238"/>
      <c r="DT104" s="238"/>
      <c r="DU104" s="238"/>
      <c r="DV104" s="238"/>
      <c r="DW104" s="238"/>
      <c r="DX104" s="238"/>
      <c r="DY104" s="238"/>
      <c r="DZ104" s="238"/>
      <c r="EA104" s="238"/>
      <c r="EB104" s="238"/>
      <c r="EC104" s="238"/>
      <c r="ED104" s="238"/>
      <c r="EE104" s="238"/>
      <c r="EF104" s="238"/>
      <c r="EG104" s="238"/>
      <c r="EH104" s="238"/>
      <c r="EI104" s="238"/>
      <c r="EJ104" s="238"/>
      <c r="EK104" s="238"/>
      <c r="EL104" s="238"/>
      <c r="EM104" s="238"/>
      <c r="EN104" s="238"/>
      <c r="EO104" s="238"/>
      <c r="EP104" s="238"/>
      <c r="EQ104" s="238"/>
      <c r="ER104" s="238"/>
      <c r="ES104" s="238"/>
      <c r="ET104" s="238"/>
      <c r="EU104" s="238"/>
      <c r="EV104" s="238"/>
      <c r="EW104" s="238"/>
      <c r="EX104" s="238"/>
      <c r="EY104" s="238"/>
      <c r="EZ104" s="238"/>
      <c r="FA104" s="238"/>
      <c r="FB104" s="238"/>
      <c r="FC104" s="238"/>
      <c r="FD104" s="238"/>
      <c r="FE104" s="238"/>
      <c r="FF104" s="238"/>
      <c r="FG104" s="238"/>
      <c r="FH104" s="238"/>
      <c r="FI104" s="238"/>
      <c r="FJ104" s="238"/>
      <c r="FK104" s="238"/>
      <c r="FL104" s="238"/>
      <c r="FM104" s="238"/>
      <c r="FN104" s="238"/>
      <c r="FO104" s="238"/>
      <c r="FP104" s="238"/>
      <c r="FQ104" s="238"/>
      <c r="FR104" s="238"/>
      <c r="FS104" s="238"/>
      <c r="FT104" s="238"/>
      <c r="FU104" s="238"/>
      <c r="FV104" s="238"/>
      <c r="FW104" s="238"/>
      <c r="FX104" s="238"/>
      <c r="FY104" s="238"/>
      <c r="FZ104" s="238"/>
      <c r="GA104" s="238"/>
      <c r="GB104" s="238"/>
      <c r="GC104" s="238"/>
      <c r="GD104" s="238"/>
      <c r="GE104" s="238"/>
      <c r="GF104" s="238"/>
      <c r="GG104" s="238"/>
      <c r="GH104" s="238"/>
      <c r="GI104" s="238"/>
      <c r="GJ104" s="238"/>
      <c r="GK104" s="238"/>
      <c r="GL104" s="238"/>
      <c r="GM104" s="238"/>
      <c r="GN104" s="238"/>
      <c r="GO104" s="238"/>
      <c r="GP104" s="238"/>
      <c r="GQ104" s="238"/>
      <c r="GR104" s="238"/>
      <c r="GS104" s="238"/>
      <c r="GT104" s="238"/>
      <c r="GU104" s="238"/>
      <c r="GV104" s="238"/>
      <c r="GW104" s="238"/>
      <c r="GX104" s="238"/>
      <c r="GY104" s="238"/>
      <c r="GZ104" s="238"/>
      <c r="HA104" s="238"/>
      <c r="HB104" s="238"/>
      <c r="HC104" s="238"/>
      <c r="HD104" s="238"/>
      <c r="HE104" s="238"/>
      <c r="HF104" s="238"/>
      <c r="HG104" s="238"/>
      <c r="HH104" s="238"/>
      <c r="HI104" s="238"/>
      <c r="HJ104" s="238"/>
      <c r="HK104" s="238"/>
      <c r="HL104" s="238"/>
      <c r="HM104" s="238"/>
      <c r="HN104" s="238"/>
      <c r="HO104" s="238"/>
      <c r="HP104" s="238"/>
      <c r="HQ104" s="238"/>
      <c r="HR104" s="238"/>
      <c r="HS104" s="238"/>
      <c r="HT104" s="238"/>
      <c r="HU104" s="238"/>
      <c r="HV104" s="238"/>
      <c r="HW104" s="238"/>
      <c r="HX104" s="238"/>
      <c r="HY104" s="238"/>
      <c r="HZ104" s="238"/>
      <c r="IA104" s="238"/>
      <c r="IB104" s="238"/>
      <c r="IC104" s="238"/>
      <c r="ID104" s="238"/>
      <c r="IE104" s="238"/>
      <c r="IF104" s="238"/>
      <c r="IG104" s="238"/>
      <c r="IH104" s="238"/>
      <c r="II104" s="238"/>
      <c r="IJ104" s="238"/>
      <c r="IK104" s="238"/>
      <c r="IL104" s="238"/>
      <c r="IM104" s="238"/>
      <c r="IN104" s="238"/>
      <c r="IO104" s="238"/>
      <c r="IP104" s="238"/>
      <c r="IQ104" s="238"/>
      <c r="IR104" s="238"/>
      <c r="IS104" s="238"/>
      <c r="IT104" s="238"/>
      <c r="IU104" s="238"/>
      <c r="IV104" s="238"/>
      <c r="IW104" s="238"/>
      <c r="IX104" s="238"/>
      <c r="IY104" s="238"/>
      <c r="IZ104" s="238"/>
      <c r="JA104" s="238"/>
      <c r="JB104" s="238"/>
      <c r="JC104" s="238"/>
      <c r="JD104" s="238"/>
      <c r="JE104" s="238"/>
      <c r="JF104" s="238"/>
      <c r="JG104" s="238"/>
      <c r="JH104" s="238"/>
      <c r="JI104" s="238"/>
      <c r="JJ104" s="238"/>
      <c r="JK104" s="238"/>
      <c r="JL104" s="238"/>
      <c r="JM104" s="238"/>
      <c r="JN104" s="238"/>
      <c r="JO104" s="238"/>
      <c r="JP104" s="238"/>
      <c r="JQ104" s="238"/>
      <c r="JR104" s="238"/>
      <c r="JS104" s="238"/>
      <c r="JT104" s="238"/>
      <c r="JU104" s="238"/>
      <c r="JV104" s="238"/>
      <c r="JW104" s="238"/>
      <c r="JX104" s="238"/>
      <c r="JY104" s="238"/>
      <c r="JZ104" s="238"/>
      <c r="KA104" s="238"/>
      <c r="KB104" s="238"/>
      <c r="KC104" s="238"/>
      <c r="KD104" s="238"/>
      <c r="KE104" s="238"/>
      <c r="KF104" s="238"/>
      <c r="KG104" s="238"/>
      <c r="KH104" s="238"/>
      <c r="KI104" s="238"/>
      <c r="KJ104" s="238"/>
      <c r="KK104" s="238"/>
      <c r="KL104" s="238"/>
      <c r="KM104" s="238"/>
      <c r="KN104" s="238"/>
      <c r="KO104" s="238"/>
      <c r="KP104" s="238"/>
      <c r="KQ104" s="238"/>
      <c r="KR104" s="238"/>
      <c r="KS104" s="238"/>
      <c r="KT104" s="238"/>
      <c r="KU104" s="238"/>
      <c r="KV104" s="238"/>
      <c r="KW104" s="238"/>
      <c r="KX104" s="238"/>
      <c r="KY104" s="238"/>
      <c r="KZ104" s="238"/>
      <c r="LA104" s="238"/>
      <c r="LB104" s="238"/>
      <c r="LC104" s="238"/>
      <c r="LD104" s="238"/>
      <c r="LE104" s="238"/>
      <c r="LF104" s="238"/>
      <c r="LG104" s="238"/>
      <c r="LH104" s="238"/>
      <c r="LI104" s="238"/>
      <c r="LJ104" s="238"/>
      <c r="LK104" s="238"/>
      <c r="LL104" s="238"/>
      <c r="LM104" s="238"/>
      <c r="LN104" s="238"/>
      <c r="LO104" s="238"/>
      <c r="LP104" s="238"/>
      <c r="LQ104" s="238"/>
      <c r="LR104" s="238"/>
      <c r="LS104" s="238"/>
      <c r="LT104" s="238"/>
      <c r="LU104" s="238"/>
      <c r="LV104" s="238"/>
      <c r="LW104" s="238"/>
      <c r="LX104" s="238"/>
      <c r="LY104" s="238"/>
      <c r="LZ104" s="238"/>
      <c r="MA104" s="238"/>
      <c r="MB104" s="238"/>
      <c r="MC104" s="238"/>
      <c r="MD104" s="238"/>
      <c r="ME104" s="238"/>
      <c r="MF104" s="238"/>
      <c r="MG104" s="238"/>
      <c r="MH104" s="238"/>
      <c r="MI104" s="238"/>
      <c r="MJ104" s="238"/>
      <c r="MK104" s="238"/>
      <c r="ML104" s="238"/>
      <c r="MM104" s="238"/>
      <c r="MN104" s="238"/>
      <c r="MO104" s="238"/>
      <c r="MP104" s="238"/>
      <c r="MQ104" s="238"/>
      <c r="MR104" s="238"/>
      <c r="MS104" s="238"/>
      <c r="MT104" s="238"/>
      <c r="MU104" s="238"/>
      <c r="MV104" s="238"/>
      <c r="MW104" s="238"/>
      <c r="MX104" s="238"/>
      <c r="MY104" s="238"/>
      <c r="MZ104" s="238"/>
      <c r="NA104" s="238"/>
      <c r="NB104" s="238"/>
      <c r="NC104" s="238"/>
      <c r="ND104" s="238"/>
      <c r="NE104" s="238"/>
      <c r="NF104" s="238"/>
      <c r="NG104" s="238"/>
      <c r="NH104" s="238"/>
      <c r="NI104" s="238"/>
      <c r="NJ104" s="238"/>
      <c r="NK104" s="238"/>
      <c r="NL104" s="238"/>
      <c r="NM104" s="238"/>
      <c r="NN104" s="238"/>
      <c r="NO104" s="238"/>
      <c r="NP104" s="238"/>
      <c r="NQ104" s="238"/>
      <c r="NR104" s="238"/>
      <c r="NS104" s="238"/>
      <c r="NT104" s="238"/>
      <c r="NU104" s="238"/>
      <c r="NV104" s="238"/>
      <c r="NW104" s="238"/>
      <c r="NX104" s="238"/>
      <c r="NY104" s="238"/>
      <c r="NZ104" s="238"/>
      <c r="OA104" s="238"/>
      <c r="OB104" s="238"/>
      <c r="OC104" s="238"/>
      <c r="OD104" s="238"/>
      <c r="OE104" s="238"/>
      <c r="OF104" s="238"/>
      <c r="OG104" s="238"/>
      <c r="OH104" s="238"/>
      <c r="OI104" s="238"/>
      <c r="OJ104" s="238"/>
      <c r="OK104" s="238"/>
      <c r="OL104" s="238"/>
      <c r="OM104" s="238"/>
      <c r="ON104" s="238"/>
      <c r="OO104" s="238"/>
      <c r="OP104" s="238"/>
      <c r="OQ104" s="238"/>
      <c r="OR104" s="238"/>
      <c r="OS104" s="238"/>
      <c r="OT104" s="238"/>
      <c r="OU104" s="238"/>
      <c r="OV104" s="238"/>
      <c r="OW104" s="238"/>
      <c r="OX104" s="238"/>
      <c r="OY104" s="238"/>
      <c r="OZ104" s="238"/>
      <c r="PA104" s="238"/>
      <c r="PB104" s="238"/>
      <c r="PC104" s="238"/>
      <c r="PD104" s="238"/>
      <c r="PE104" s="238"/>
      <c r="PF104" s="238"/>
      <c r="PG104" s="238"/>
      <c r="PH104" s="238"/>
      <c r="PI104" s="238"/>
      <c r="PJ104" s="238"/>
      <c r="PK104" s="238"/>
      <c r="PL104" s="238"/>
      <c r="PM104" s="238"/>
      <c r="PN104" s="238"/>
      <c r="PO104" s="238"/>
      <c r="PP104" s="238"/>
      <c r="PQ104" s="238"/>
      <c r="PR104" s="238"/>
      <c r="PS104" s="238"/>
      <c r="PT104" s="238"/>
      <c r="PU104" s="238"/>
      <c r="PV104" s="238"/>
      <c r="PW104" s="238"/>
      <c r="PX104" s="238"/>
      <c r="PY104" s="238"/>
      <c r="PZ104" s="238"/>
      <c r="QA104" s="238"/>
      <c r="QB104" s="238"/>
      <c r="QC104" s="238"/>
      <c r="QD104" s="238"/>
      <c r="QE104" s="238"/>
      <c r="QF104" s="238"/>
      <c r="QG104" s="238"/>
      <c r="QH104" s="238"/>
      <c r="QI104" s="238"/>
      <c r="QJ104" s="238"/>
      <c r="QK104" s="238"/>
      <c r="QL104" s="238"/>
      <c r="QM104" s="238"/>
      <c r="QN104" s="238"/>
      <c r="QO104" s="238"/>
      <c r="QP104" s="238"/>
      <c r="QQ104" s="238"/>
      <c r="QR104" s="238"/>
      <c r="QS104" s="238"/>
      <c r="QT104" s="238"/>
      <c r="QU104" s="238"/>
      <c r="QV104" s="238"/>
      <c r="QW104" s="238"/>
      <c r="QX104" s="238"/>
      <c r="QY104" s="238"/>
      <c r="QZ104" s="238"/>
      <c r="RA104" s="238"/>
      <c r="RB104" s="238"/>
      <c r="RC104" s="238"/>
      <c r="RD104" s="238"/>
      <c r="RE104" s="238"/>
      <c r="RF104" s="238"/>
      <c r="RG104" s="238"/>
      <c r="RH104" s="238"/>
      <c r="RI104" s="238"/>
      <c r="RJ104" s="238"/>
      <c r="RK104" s="238"/>
      <c r="RL104" s="238"/>
      <c r="RM104" s="238"/>
      <c r="RN104" s="238"/>
      <c r="RO104" s="238"/>
      <c r="RP104" s="238"/>
      <c r="RQ104" s="238"/>
      <c r="RR104" s="238"/>
      <c r="RS104" s="238"/>
      <c r="RT104" s="238"/>
      <c r="RU104" s="238"/>
      <c r="RV104" s="238"/>
      <c r="RW104" s="238"/>
      <c r="RX104" s="238"/>
      <c r="RY104" s="238"/>
      <c r="RZ104" s="238"/>
      <c r="SA104" s="238"/>
      <c r="SB104" s="238"/>
      <c r="SC104" s="238"/>
      <c r="SD104" s="238"/>
      <c r="SE104" s="238"/>
      <c r="SF104" s="238"/>
      <c r="SG104" s="238"/>
      <c r="SH104" s="238"/>
      <c r="SI104" s="238"/>
      <c r="SJ104" s="238"/>
      <c r="SK104" s="238"/>
      <c r="SL104" s="238"/>
      <c r="SM104" s="238"/>
      <c r="SN104" s="238"/>
      <c r="SO104" s="238"/>
      <c r="SP104" s="238"/>
      <c r="SQ104" s="238"/>
      <c r="SR104" s="238"/>
      <c r="SS104" s="238"/>
      <c r="ST104" s="238"/>
      <c r="SU104" s="238"/>
      <c r="SV104" s="238"/>
      <c r="SW104" s="238"/>
      <c r="SX104" s="238"/>
      <c r="SY104" s="238"/>
      <c r="SZ104" s="238"/>
      <c r="TA104" s="238"/>
      <c r="TB104" s="238"/>
      <c r="TC104" s="238"/>
      <c r="TD104" s="238"/>
      <c r="TE104" s="238"/>
      <c r="TF104" s="238"/>
      <c r="TG104" s="238"/>
      <c r="TH104" s="238"/>
      <c r="TI104" s="238"/>
      <c r="TJ104" s="238"/>
      <c r="TK104" s="238"/>
      <c r="TL104" s="238"/>
      <c r="TM104" s="238"/>
      <c r="TN104" s="238"/>
      <c r="TO104" s="238"/>
      <c r="TP104" s="238"/>
      <c r="TQ104" s="238"/>
      <c r="TR104" s="238"/>
      <c r="TS104" s="238"/>
      <c r="TT104" s="238"/>
      <c r="TU104" s="238"/>
      <c r="TV104" s="238"/>
      <c r="TW104" s="238"/>
      <c r="TX104" s="238"/>
      <c r="TY104" s="238"/>
      <c r="TZ104" s="238"/>
      <c r="UA104" s="238"/>
      <c r="UB104" s="238"/>
      <c r="UC104" s="238"/>
      <c r="UD104" s="238"/>
      <c r="UE104" s="238"/>
      <c r="UF104" s="238"/>
      <c r="UG104" s="248"/>
    </row>
    <row r="105" spans="1:553" s="236" customFormat="1" ht="34.5" customHeight="1">
      <c r="A105" s="356" t="s">
        <v>30</v>
      </c>
      <c r="B105" s="366" t="s">
        <v>35</v>
      </c>
      <c r="C105" s="1414" t="s">
        <v>163</v>
      </c>
      <c r="D105" s="1389"/>
      <c r="E105" s="1389"/>
      <c r="F105" s="1390"/>
      <c r="G105" s="386" t="s">
        <v>935</v>
      </c>
      <c r="H105" s="370"/>
      <c r="I105" s="422">
        <f>0.44*3.1*4</f>
        <v>5.4560000000000004</v>
      </c>
      <c r="J105" s="368">
        <v>39000</v>
      </c>
      <c r="K105" s="371"/>
      <c r="L105" s="391">
        <f t="shared" si="25"/>
        <v>212784.00000000003</v>
      </c>
      <c r="M105" s="391"/>
      <c r="N105" s="391"/>
      <c r="O105" s="391"/>
      <c r="P105" s="391"/>
      <c r="Q105" s="1537"/>
      <c r="R105" s="1226"/>
      <c r="S105" s="308"/>
      <c r="T105" s="303"/>
      <c r="U105" s="306"/>
      <c r="V105" s="307"/>
      <c r="W105" s="306"/>
      <c r="X105" s="306"/>
      <c r="Y105" s="306"/>
      <c r="Z105" s="306"/>
      <c r="AA105" s="306"/>
      <c r="AB105" s="306"/>
      <c r="AC105" s="449"/>
      <c r="AD105" s="449"/>
      <c r="AE105" s="449"/>
      <c r="AF105" s="449"/>
      <c r="AG105" s="449"/>
      <c r="AH105" s="449"/>
      <c r="AI105" s="449"/>
      <c r="AJ105" s="449"/>
      <c r="AK105" s="452"/>
      <c r="AL105" s="242"/>
      <c r="AM105" s="241"/>
      <c r="AN105" s="241"/>
      <c r="AO105" s="241"/>
      <c r="AP105" s="241"/>
      <c r="AQ105" s="241"/>
      <c r="AR105" s="241"/>
      <c r="AS105" s="238"/>
      <c r="AT105" s="238"/>
      <c r="AU105" s="238"/>
      <c r="AV105" s="238"/>
      <c r="AW105" s="238"/>
      <c r="AX105" s="238"/>
      <c r="AY105" s="238"/>
      <c r="AZ105" s="238"/>
      <c r="BA105" s="238"/>
      <c r="BB105" s="238"/>
      <c r="BC105" s="238"/>
      <c r="BD105" s="238"/>
      <c r="BE105" s="238"/>
      <c r="BF105" s="238"/>
      <c r="BG105" s="238"/>
      <c r="BH105" s="238"/>
      <c r="BI105" s="238"/>
      <c r="BJ105" s="238"/>
      <c r="BK105" s="238"/>
      <c r="BL105" s="238"/>
      <c r="BM105" s="238"/>
      <c r="BN105" s="238"/>
      <c r="BO105" s="238"/>
      <c r="BP105" s="238"/>
      <c r="BQ105" s="238"/>
      <c r="BR105" s="238"/>
      <c r="BS105" s="238"/>
      <c r="BT105" s="238"/>
      <c r="BU105" s="238"/>
      <c r="BV105" s="238"/>
      <c r="BW105" s="238"/>
      <c r="BX105" s="238"/>
      <c r="BY105" s="238"/>
      <c r="BZ105" s="238"/>
      <c r="CA105" s="238"/>
      <c r="CB105" s="238"/>
      <c r="CC105" s="238"/>
      <c r="CD105" s="238"/>
      <c r="CE105" s="238"/>
      <c r="CF105" s="238"/>
      <c r="CG105" s="238"/>
      <c r="CH105" s="238"/>
      <c r="CI105" s="238"/>
      <c r="CJ105" s="238"/>
      <c r="CK105" s="238"/>
      <c r="CL105" s="238"/>
      <c r="CM105" s="238"/>
      <c r="CN105" s="238"/>
      <c r="CO105" s="238"/>
      <c r="CP105" s="238"/>
      <c r="CQ105" s="238"/>
      <c r="CR105" s="238"/>
      <c r="CS105" s="238"/>
      <c r="CT105" s="238"/>
      <c r="CU105" s="238"/>
      <c r="CV105" s="238"/>
      <c r="CW105" s="238"/>
      <c r="CX105" s="238"/>
      <c r="CY105" s="238"/>
      <c r="CZ105" s="238"/>
      <c r="DA105" s="238"/>
      <c r="DB105" s="238"/>
      <c r="DC105" s="238"/>
      <c r="DD105" s="238"/>
      <c r="DE105" s="238"/>
      <c r="DF105" s="238"/>
      <c r="DG105" s="238"/>
      <c r="DH105" s="238"/>
      <c r="DI105" s="238"/>
      <c r="DJ105" s="238"/>
      <c r="DK105" s="238"/>
      <c r="DL105" s="238"/>
      <c r="DM105" s="238"/>
      <c r="DN105" s="238"/>
      <c r="DO105" s="238"/>
      <c r="DP105" s="238"/>
      <c r="DQ105" s="238"/>
      <c r="DR105" s="238"/>
      <c r="DS105" s="238"/>
      <c r="DT105" s="238"/>
      <c r="DU105" s="238"/>
      <c r="DV105" s="238"/>
      <c r="DW105" s="238"/>
      <c r="DX105" s="238"/>
      <c r="DY105" s="238"/>
      <c r="DZ105" s="238"/>
      <c r="EA105" s="238"/>
      <c r="EB105" s="238"/>
      <c r="EC105" s="238"/>
      <c r="ED105" s="238"/>
      <c r="EE105" s="238"/>
      <c r="EF105" s="238"/>
      <c r="EG105" s="238"/>
      <c r="EH105" s="238"/>
      <c r="EI105" s="238"/>
      <c r="EJ105" s="238"/>
      <c r="EK105" s="238"/>
      <c r="EL105" s="238"/>
      <c r="EM105" s="238"/>
      <c r="EN105" s="238"/>
      <c r="EO105" s="238"/>
      <c r="EP105" s="238"/>
      <c r="EQ105" s="238"/>
      <c r="ER105" s="238"/>
      <c r="ES105" s="238"/>
      <c r="ET105" s="238"/>
      <c r="EU105" s="238"/>
      <c r="EV105" s="238"/>
      <c r="EW105" s="238"/>
      <c r="EX105" s="238"/>
      <c r="EY105" s="238"/>
      <c r="EZ105" s="238"/>
      <c r="FA105" s="238"/>
      <c r="FB105" s="238"/>
      <c r="FC105" s="238"/>
      <c r="FD105" s="238"/>
      <c r="FE105" s="238"/>
      <c r="FF105" s="238"/>
      <c r="FG105" s="238"/>
      <c r="FH105" s="238"/>
      <c r="FI105" s="238"/>
      <c r="FJ105" s="238"/>
      <c r="FK105" s="238"/>
      <c r="FL105" s="238"/>
      <c r="FM105" s="238"/>
      <c r="FN105" s="238"/>
      <c r="FO105" s="238"/>
      <c r="FP105" s="238"/>
      <c r="FQ105" s="238"/>
      <c r="FR105" s="238"/>
      <c r="FS105" s="238"/>
      <c r="FT105" s="238"/>
      <c r="FU105" s="238"/>
      <c r="FV105" s="238"/>
      <c r="FW105" s="238"/>
      <c r="FX105" s="238"/>
      <c r="FY105" s="238"/>
      <c r="FZ105" s="238"/>
      <c r="GA105" s="238"/>
      <c r="GB105" s="238"/>
      <c r="GC105" s="238"/>
      <c r="GD105" s="238"/>
      <c r="GE105" s="238"/>
      <c r="GF105" s="238"/>
      <c r="GG105" s="238"/>
      <c r="GH105" s="238"/>
      <c r="GI105" s="238"/>
      <c r="GJ105" s="238"/>
      <c r="GK105" s="238"/>
      <c r="GL105" s="238"/>
      <c r="GM105" s="238"/>
      <c r="GN105" s="238"/>
      <c r="GO105" s="238"/>
      <c r="GP105" s="238"/>
      <c r="GQ105" s="238"/>
      <c r="GR105" s="238"/>
      <c r="GS105" s="238"/>
      <c r="GT105" s="238"/>
      <c r="GU105" s="238"/>
      <c r="GV105" s="238"/>
      <c r="GW105" s="238"/>
      <c r="GX105" s="238"/>
      <c r="GY105" s="238"/>
      <c r="GZ105" s="238"/>
      <c r="HA105" s="238"/>
      <c r="HB105" s="238"/>
      <c r="HC105" s="238"/>
      <c r="HD105" s="238"/>
      <c r="HE105" s="238"/>
      <c r="HF105" s="238"/>
      <c r="HG105" s="238"/>
      <c r="HH105" s="238"/>
      <c r="HI105" s="238"/>
      <c r="HJ105" s="238"/>
      <c r="HK105" s="238"/>
      <c r="HL105" s="238"/>
      <c r="HM105" s="238"/>
      <c r="HN105" s="238"/>
      <c r="HO105" s="238"/>
      <c r="HP105" s="238"/>
      <c r="HQ105" s="238"/>
      <c r="HR105" s="238"/>
      <c r="HS105" s="238"/>
      <c r="HT105" s="238"/>
      <c r="HU105" s="238"/>
      <c r="HV105" s="238"/>
      <c r="HW105" s="238"/>
      <c r="HX105" s="238"/>
      <c r="HY105" s="238"/>
      <c r="HZ105" s="238"/>
      <c r="IA105" s="238"/>
      <c r="IB105" s="238"/>
      <c r="IC105" s="238"/>
      <c r="ID105" s="238"/>
      <c r="IE105" s="238"/>
      <c r="IF105" s="238"/>
      <c r="IG105" s="238"/>
      <c r="IH105" s="238"/>
      <c r="II105" s="238"/>
      <c r="IJ105" s="238"/>
      <c r="IK105" s="238"/>
      <c r="IL105" s="238"/>
      <c r="IM105" s="238"/>
      <c r="IN105" s="238"/>
      <c r="IO105" s="238"/>
      <c r="IP105" s="238"/>
      <c r="IQ105" s="238"/>
      <c r="IR105" s="238"/>
      <c r="IS105" s="238"/>
      <c r="IT105" s="238"/>
      <c r="IU105" s="238"/>
      <c r="IV105" s="238"/>
      <c r="IW105" s="238"/>
      <c r="IX105" s="238"/>
      <c r="IY105" s="238"/>
      <c r="IZ105" s="238"/>
      <c r="JA105" s="238"/>
      <c r="JB105" s="238"/>
      <c r="JC105" s="238"/>
      <c r="JD105" s="238"/>
      <c r="JE105" s="238"/>
      <c r="JF105" s="238"/>
      <c r="JG105" s="238"/>
      <c r="JH105" s="238"/>
      <c r="JI105" s="238"/>
      <c r="JJ105" s="238"/>
      <c r="JK105" s="238"/>
      <c r="JL105" s="238"/>
      <c r="JM105" s="238"/>
      <c r="JN105" s="238"/>
      <c r="JO105" s="238"/>
      <c r="JP105" s="238"/>
      <c r="JQ105" s="238"/>
      <c r="JR105" s="238"/>
      <c r="JS105" s="238"/>
      <c r="JT105" s="238"/>
      <c r="JU105" s="238"/>
      <c r="JV105" s="238"/>
      <c r="JW105" s="238"/>
      <c r="JX105" s="238"/>
      <c r="JY105" s="238"/>
      <c r="JZ105" s="238"/>
      <c r="KA105" s="238"/>
      <c r="KB105" s="238"/>
      <c r="KC105" s="238"/>
      <c r="KD105" s="238"/>
      <c r="KE105" s="238"/>
      <c r="KF105" s="238"/>
      <c r="KG105" s="238"/>
      <c r="KH105" s="238"/>
      <c r="KI105" s="238"/>
      <c r="KJ105" s="238"/>
      <c r="KK105" s="238"/>
      <c r="KL105" s="238"/>
      <c r="KM105" s="238"/>
      <c r="KN105" s="238"/>
      <c r="KO105" s="238"/>
      <c r="KP105" s="238"/>
      <c r="KQ105" s="238"/>
      <c r="KR105" s="238"/>
      <c r="KS105" s="238"/>
      <c r="KT105" s="238"/>
      <c r="KU105" s="238"/>
      <c r="KV105" s="238"/>
      <c r="KW105" s="238"/>
      <c r="KX105" s="238"/>
      <c r="KY105" s="238"/>
      <c r="KZ105" s="238"/>
      <c r="LA105" s="238"/>
      <c r="LB105" s="238"/>
      <c r="LC105" s="238"/>
      <c r="LD105" s="238"/>
      <c r="LE105" s="238"/>
      <c r="LF105" s="238"/>
      <c r="LG105" s="238"/>
      <c r="LH105" s="238"/>
      <c r="LI105" s="238"/>
      <c r="LJ105" s="238"/>
      <c r="LK105" s="238"/>
      <c r="LL105" s="238"/>
      <c r="LM105" s="238"/>
      <c r="LN105" s="238"/>
      <c r="LO105" s="238"/>
      <c r="LP105" s="238"/>
      <c r="LQ105" s="238"/>
      <c r="LR105" s="238"/>
      <c r="LS105" s="238"/>
      <c r="LT105" s="238"/>
      <c r="LU105" s="238"/>
      <c r="LV105" s="238"/>
      <c r="LW105" s="238"/>
      <c r="LX105" s="238"/>
      <c r="LY105" s="238"/>
      <c r="LZ105" s="238"/>
      <c r="MA105" s="238"/>
      <c r="MB105" s="238"/>
      <c r="MC105" s="238"/>
      <c r="MD105" s="238"/>
      <c r="ME105" s="238"/>
      <c r="MF105" s="238"/>
      <c r="MG105" s="238"/>
      <c r="MH105" s="238"/>
      <c r="MI105" s="238"/>
      <c r="MJ105" s="238"/>
      <c r="MK105" s="238"/>
      <c r="ML105" s="238"/>
      <c r="MM105" s="238"/>
      <c r="MN105" s="238"/>
      <c r="MO105" s="238"/>
      <c r="MP105" s="238"/>
      <c r="MQ105" s="238"/>
      <c r="MR105" s="238"/>
      <c r="MS105" s="238"/>
      <c r="MT105" s="238"/>
      <c r="MU105" s="238"/>
      <c r="MV105" s="238"/>
      <c r="MW105" s="238"/>
      <c r="MX105" s="238"/>
      <c r="MY105" s="238"/>
      <c r="MZ105" s="238"/>
      <c r="NA105" s="238"/>
      <c r="NB105" s="238"/>
      <c r="NC105" s="238"/>
      <c r="ND105" s="238"/>
      <c r="NE105" s="238"/>
      <c r="NF105" s="238"/>
      <c r="NG105" s="238"/>
      <c r="NH105" s="238"/>
      <c r="NI105" s="238"/>
      <c r="NJ105" s="238"/>
      <c r="NK105" s="238"/>
      <c r="NL105" s="238"/>
      <c r="NM105" s="238"/>
      <c r="NN105" s="238"/>
      <c r="NO105" s="238"/>
      <c r="NP105" s="238"/>
      <c r="NQ105" s="238"/>
      <c r="NR105" s="238"/>
      <c r="NS105" s="238"/>
      <c r="NT105" s="238"/>
      <c r="NU105" s="238"/>
      <c r="NV105" s="238"/>
      <c r="NW105" s="238"/>
      <c r="NX105" s="238"/>
      <c r="NY105" s="238"/>
      <c r="NZ105" s="238"/>
      <c r="OA105" s="238"/>
      <c r="OB105" s="238"/>
      <c r="OC105" s="238"/>
      <c r="OD105" s="238"/>
      <c r="OE105" s="238"/>
      <c r="OF105" s="238"/>
      <c r="OG105" s="238"/>
      <c r="OH105" s="238"/>
      <c r="OI105" s="238"/>
      <c r="OJ105" s="238"/>
      <c r="OK105" s="238"/>
      <c r="OL105" s="238"/>
      <c r="OM105" s="238"/>
      <c r="ON105" s="238"/>
      <c r="OO105" s="238"/>
      <c r="OP105" s="238"/>
      <c r="OQ105" s="238"/>
      <c r="OR105" s="238"/>
      <c r="OS105" s="238"/>
      <c r="OT105" s="238"/>
      <c r="OU105" s="238"/>
      <c r="OV105" s="238"/>
      <c r="OW105" s="238"/>
      <c r="OX105" s="238"/>
      <c r="OY105" s="238"/>
      <c r="OZ105" s="238"/>
      <c r="PA105" s="238"/>
      <c r="PB105" s="238"/>
      <c r="PC105" s="238"/>
      <c r="PD105" s="238"/>
      <c r="PE105" s="238"/>
      <c r="PF105" s="238"/>
      <c r="PG105" s="238"/>
      <c r="PH105" s="238"/>
      <c r="PI105" s="238"/>
      <c r="PJ105" s="238"/>
      <c r="PK105" s="238"/>
      <c r="PL105" s="238"/>
      <c r="PM105" s="238"/>
      <c r="PN105" s="238"/>
      <c r="PO105" s="238"/>
      <c r="PP105" s="238"/>
      <c r="PQ105" s="238"/>
      <c r="PR105" s="238"/>
      <c r="PS105" s="238"/>
      <c r="PT105" s="238"/>
      <c r="PU105" s="238"/>
      <c r="PV105" s="238"/>
      <c r="PW105" s="238"/>
      <c r="PX105" s="238"/>
      <c r="PY105" s="238"/>
      <c r="PZ105" s="238"/>
      <c r="QA105" s="238"/>
      <c r="QB105" s="238"/>
      <c r="QC105" s="238"/>
      <c r="QD105" s="238"/>
      <c r="QE105" s="238"/>
      <c r="QF105" s="238"/>
      <c r="QG105" s="238"/>
      <c r="QH105" s="238"/>
      <c r="QI105" s="238"/>
      <c r="QJ105" s="238"/>
      <c r="QK105" s="238"/>
      <c r="QL105" s="238"/>
      <c r="QM105" s="238"/>
      <c r="QN105" s="238"/>
      <c r="QO105" s="238"/>
      <c r="QP105" s="238"/>
      <c r="QQ105" s="238"/>
      <c r="QR105" s="238"/>
      <c r="QS105" s="238"/>
      <c r="QT105" s="238"/>
      <c r="QU105" s="238"/>
      <c r="QV105" s="238"/>
      <c r="QW105" s="238"/>
      <c r="QX105" s="238"/>
      <c r="QY105" s="238"/>
      <c r="QZ105" s="238"/>
      <c r="RA105" s="238"/>
      <c r="RB105" s="238"/>
      <c r="RC105" s="238"/>
      <c r="RD105" s="238"/>
      <c r="RE105" s="238"/>
      <c r="RF105" s="238"/>
      <c r="RG105" s="238"/>
      <c r="RH105" s="238"/>
      <c r="RI105" s="238"/>
      <c r="RJ105" s="238"/>
      <c r="RK105" s="238"/>
      <c r="RL105" s="238"/>
      <c r="RM105" s="238"/>
      <c r="RN105" s="238"/>
      <c r="RO105" s="238"/>
      <c r="RP105" s="238"/>
      <c r="RQ105" s="238"/>
      <c r="RR105" s="238"/>
      <c r="RS105" s="238"/>
      <c r="RT105" s="238"/>
      <c r="RU105" s="238"/>
      <c r="RV105" s="238"/>
      <c r="RW105" s="238"/>
      <c r="RX105" s="238"/>
      <c r="RY105" s="238"/>
      <c r="RZ105" s="238"/>
      <c r="SA105" s="238"/>
      <c r="SB105" s="238"/>
      <c r="SC105" s="238"/>
      <c r="SD105" s="238"/>
      <c r="SE105" s="238"/>
      <c r="SF105" s="238"/>
      <c r="SG105" s="238"/>
      <c r="SH105" s="238"/>
      <c r="SI105" s="238"/>
      <c r="SJ105" s="238"/>
      <c r="SK105" s="238"/>
      <c r="SL105" s="238"/>
      <c r="SM105" s="238"/>
      <c r="SN105" s="238"/>
      <c r="SO105" s="238"/>
      <c r="SP105" s="238"/>
      <c r="SQ105" s="238"/>
      <c r="SR105" s="238"/>
      <c r="SS105" s="238"/>
      <c r="ST105" s="238"/>
      <c r="SU105" s="238"/>
      <c r="SV105" s="238"/>
      <c r="SW105" s="238"/>
      <c r="SX105" s="238"/>
      <c r="SY105" s="238"/>
      <c r="SZ105" s="238"/>
      <c r="TA105" s="238"/>
      <c r="TB105" s="238"/>
      <c r="TC105" s="238"/>
      <c r="TD105" s="238"/>
      <c r="TE105" s="238"/>
      <c r="TF105" s="238"/>
      <c r="TG105" s="238"/>
      <c r="TH105" s="238"/>
      <c r="TI105" s="238"/>
      <c r="TJ105" s="238"/>
      <c r="TK105" s="238"/>
      <c r="TL105" s="238"/>
      <c r="TM105" s="238"/>
      <c r="TN105" s="238"/>
      <c r="TO105" s="238"/>
      <c r="TP105" s="238"/>
      <c r="TQ105" s="238"/>
      <c r="TR105" s="238"/>
      <c r="TS105" s="238"/>
      <c r="TT105" s="238"/>
      <c r="TU105" s="238"/>
      <c r="TV105" s="238"/>
      <c r="TW105" s="238"/>
      <c r="TX105" s="238"/>
      <c r="TY105" s="238"/>
      <c r="TZ105" s="238"/>
      <c r="UA105" s="238"/>
      <c r="UB105" s="238"/>
      <c r="UC105" s="238"/>
      <c r="UD105" s="238"/>
      <c r="UE105" s="238"/>
      <c r="UF105" s="238"/>
      <c r="UG105" s="248"/>
    </row>
    <row r="106" spans="1:553" s="236" customFormat="1" ht="34.5" customHeight="1">
      <c r="A106" s="356" t="s">
        <v>30</v>
      </c>
      <c r="B106" s="366" t="s">
        <v>35</v>
      </c>
      <c r="C106" s="1414" t="s">
        <v>164</v>
      </c>
      <c r="D106" s="1389"/>
      <c r="E106" s="1389"/>
      <c r="F106" s="1390"/>
      <c r="G106" s="386" t="s">
        <v>935</v>
      </c>
      <c r="H106" s="370"/>
      <c r="I106" s="422">
        <f>0.32*4*4</f>
        <v>5.12</v>
      </c>
      <c r="J106" s="368">
        <v>39000</v>
      </c>
      <c r="K106" s="371"/>
      <c r="L106" s="391">
        <f t="shared" si="25"/>
        <v>199680</v>
      </c>
      <c r="M106" s="391"/>
      <c r="N106" s="391"/>
      <c r="O106" s="391"/>
      <c r="P106" s="391"/>
      <c r="Q106" s="1537"/>
      <c r="R106" s="1226"/>
      <c r="S106" s="302"/>
      <c r="T106" s="303"/>
      <c r="U106" s="304"/>
      <c r="V106" s="304"/>
      <c r="W106" s="304"/>
      <c r="X106" s="304"/>
      <c r="Y106" s="304"/>
      <c r="Z106" s="304"/>
      <c r="AA106" s="304"/>
      <c r="AB106" s="304"/>
      <c r="AC106" s="449"/>
      <c r="AD106" s="449"/>
      <c r="AE106" s="449"/>
      <c r="AF106" s="449"/>
      <c r="AG106" s="449"/>
      <c r="AH106" s="449"/>
      <c r="AI106" s="449"/>
      <c r="AJ106" s="449"/>
      <c r="AK106" s="452"/>
      <c r="AL106" s="242"/>
      <c r="AM106" s="241"/>
      <c r="AN106" s="241"/>
      <c r="AO106" s="241"/>
      <c r="AP106" s="241"/>
      <c r="AQ106" s="241"/>
      <c r="AR106" s="241"/>
      <c r="AS106" s="238"/>
      <c r="AT106" s="238"/>
      <c r="AU106" s="238"/>
      <c r="AV106" s="238"/>
      <c r="AW106" s="238"/>
      <c r="AX106" s="238"/>
      <c r="AY106" s="238"/>
      <c r="AZ106" s="238"/>
      <c r="BA106" s="238"/>
      <c r="BB106" s="238"/>
      <c r="BC106" s="238"/>
      <c r="BD106" s="238"/>
      <c r="BE106" s="238"/>
      <c r="BF106" s="238"/>
      <c r="BG106" s="238"/>
      <c r="BH106" s="238"/>
      <c r="BI106" s="238"/>
      <c r="BJ106" s="238"/>
      <c r="BK106" s="238"/>
      <c r="BL106" s="238"/>
      <c r="BM106" s="238"/>
      <c r="BN106" s="238"/>
      <c r="BO106" s="238"/>
      <c r="BP106" s="238"/>
      <c r="BQ106" s="238"/>
      <c r="BR106" s="238"/>
      <c r="BS106" s="238"/>
      <c r="BT106" s="238"/>
      <c r="BU106" s="238"/>
      <c r="BV106" s="238"/>
      <c r="BW106" s="238"/>
      <c r="BX106" s="238"/>
      <c r="BY106" s="238"/>
      <c r="BZ106" s="238"/>
      <c r="CA106" s="238"/>
      <c r="CB106" s="238"/>
      <c r="CC106" s="238"/>
      <c r="CD106" s="238"/>
      <c r="CE106" s="238"/>
      <c r="CF106" s="238"/>
      <c r="CG106" s="238"/>
      <c r="CH106" s="238"/>
      <c r="CI106" s="238"/>
      <c r="CJ106" s="238"/>
      <c r="CK106" s="238"/>
      <c r="CL106" s="238"/>
      <c r="CM106" s="238"/>
      <c r="CN106" s="238"/>
      <c r="CO106" s="238"/>
      <c r="CP106" s="238"/>
      <c r="CQ106" s="238"/>
      <c r="CR106" s="238"/>
      <c r="CS106" s="238"/>
      <c r="CT106" s="238"/>
      <c r="CU106" s="238"/>
      <c r="CV106" s="238"/>
      <c r="CW106" s="238"/>
      <c r="CX106" s="238"/>
      <c r="CY106" s="238"/>
      <c r="CZ106" s="238"/>
      <c r="DA106" s="238"/>
      <c r="DB106" s="238"/>
      <c r="DC106" s="238"/>
      <c r="DD106" s="238"/>
      <c r="DE106" s="238"/>
      <c r="DF106" s="238"/>
      <c r="DG106" s="238"/>
      <c r="DH106" s="238"/>
      <c r="DI106" s="238"/>
      <c r="DJ106" s="238"/>
      <c r="DK106" s="238"/>
      <c r="DL106" s="238"/>
      <c r="DM106" s="238"/>
      <c r="DN106" s="238"/>
      <c r="DO106" s="238"/>
      <c r="DP106" s="238"/>
      <c r="DQ106" s="238"/>
      <c r="DR106" s="238"/>
      <c r="DS106" s="238"/>
      <c r="DT106" s="238"/>
      <c r="DU106" s="238"/>
      <c r="DV106" s="238"/>
      <c r="DW106" s="238"/>
      <c r="DX106" s="238"/>
      <c r="DY106" s="238"/>
      <c r="DZ106" s="238"/>
      <c r="EA106" s="238"/>
      <c r="EB106" s="238"/>
      <c r="EC106" s="238"/>
      <c r="ED106" s="238"/>
      <c r="EE106" s="238"/>
      <c r="EF106" s="238"/>
      <c r="EG106" s="238"/>
      <c r="EH106" s="238"/>
      <c r="EI106" s="238"/>
      <c r="EJ106" s="238"/>
      <c r="EK106" s="238"/>
      <c r="EL106" s="238"/>
      <c r="EM106" s="238"/>
      <c r="EN106" s="238"/>
      <c r="EO106" s="238"/>
      <c r="EP106" s="238"/>
      <c r="EQ106" s="238"/>
      <c r="ER106" s="238"/>
      <c r="ES106" s="238"/>
      <c r="ET106" s="238"/>
      <c r="EU106" s="238"/>
      <c r="EV106" s="238"/>
      <c r="EW106" s="238"/>
      <c r="EX106" s="238"/>
      <c r="EY106" s="238"/>
      <c r="EZ106" s="238"/>
      <c r="FA106" s="238"/>
      <c r="FB106" s="238"/>
      <c r="FC106" s="238"/>
      <c r="FD106" s="238"/>
      <c r="FE106" s="238"/>
      <c r="FF106" s="238"/>
      <c r="FG106" s="238"/>
      <c r="FH106" s="238"/>
      <c r="FI106" s="238"/>
      <c r="FJ106" s="238"/>
      <c r="FK106" s="238"/>
      <c r="FL106" s="238"/>
      <c r="FM106" s="238"/>
      <c r="FN106" s="238"/>
      <c r="FO106" s="238"/>
      <c r="FP106" s="238"/>
      <c r="FQ106" s="238"/>
      <c r="FR106" s="238"/>
      <c r="FS106" s="238"/>
      <c r="FT106" s="238"/>
      <c r="FU106" s="238"/>
      <c r="FV106" s="238"/>
      <c r="FW106" s="238"/>
      <c r="FX106" s="238"/>
      <c r="FY106" s="238"/>
      <c r="FZ106" s="238"/>
      <c r="GA106" s="238"/>
      <c r="GB106" s="238"/>
      <c r="GC106" s="238"/>
      <c r="GD106" s="238"/>
      <c r="GE106" s="238"/>
      <c r="GF106" s="238"/>
      <c r="GG106" s="238"/>
      <c r="GH106" s="238"/>
      <c r="GI106" s="238"/>
      <c r="GJ106" s="238"/>
      <c r="GK106" s="238"/>
      <c r="GL106" s="238"/>
      <c r="GM106" s="238"/>
      <c r="GN106" s="238"/>
      <c r="GO106" s="238"/>
      <c r="GP106" s="238"/>
      <c r="GQ106" s="238"/>
      <c r="GR106" s="238"/>
      <c r="GS106" s="238"/>
      <c r="GT106" s="238"/>
      <c r="GU106" s="238"/>
      <c r="GV106" s="238"/>
      <c r="GW106" s="238"/>
      <c r="GX106" s="238"/>
      <c r="GY106" s="238"/>
      <c r="GZ106" s="238"/>
      <c r="HA106" s="238"/>
      <c r="HB106" s="238"/>
      <c r="HC106" s="238"/>
      <c r="HD106" s="238"/>
      <c r="HE106" s="238"/>
      <c r="HF106" s="238"/>
      <c r="HG106" s="238"/>
      <c r="HH106" s="238"/>
      <c r="HI106" s="238"/>
      <c r="HJ106" s="238"/>
      <c r="HK106" s="238"/>
      <c r="HL106" s="238"/>
      <c r="HM106" s="238"/>
      <c r="HN106" s="238"/>
      <c r="HO106" s="238"/>
      <c r="HP106" s="238"/>
      <c r="HQ106" s="238"/>
      <c r="HR106" s="238"/>
      <c r="HS106" s="238"/>
      <c r="HT106" s="238"/>
      <c r="HU106" s="238"/>
      <c r="HV106" s="238"/>
      <c r="HW106" s="238"/>
      <c r="HX106" s="238"/>
      <c r="HY106" s="238"/>
      <c r="HZ106" s="238"/>
      <c r="IA106" s="238"/>
      <c r="IB106" s="238"/>
      <c r="IC106" s="238"/>
      <c r="ID106" s="238"/>
      <c r="IE106" s="238"/>
      <c r="IF106" s="238"/>
      <c r="IG106" s="238"/>
      <c r="IH106" s="238"/>
      <c r="II106" s="238"/>
      <c r="IJ106" s="238"/>
      <c r="IK106" s="238"/>
      <c r="IL106" s="238"/>
      <c r="IM106" s="238"/>
      <c r="IN106" s="238"/>
      <c r="IO106" s="238"/>
      <c r="IP106" s="238"/>
      <c r="IQ106" s="238"/>
      <c r="IR106" s="238"/>
      <c r="IS106" s="238"/>
      <c r="IT106" s="238"/>
      <c r="IU106" s="238"/>
      <c r="IV106" s="238"/>
      <c r="IW106" s="238"/>
      <c r="IX106" s="238"/>
      <c r="IY106" s="238"/>
      <c r="IZ106" s="238"/>
      <c r="JA106" s="238"/>
      <c r="JB106" s="238"/>
      <c r="JC106" s="238"/>
      <c r="JD106" s="238"/>
      <c r="JE106" s="238"/>
      <c r="JF106" s="238"/>
      <c r="JG106" s="238"/>
      <c r="JH106" s="238"/>
      <c r="JI106" s="238"/>
      <c r="JJ106" s="238"/>
      <c r="JK106" s="238"/>
      <c r="JL106" s="238"/>
      <c r="JM106" s="238"/>
      <c r="JN106" s="238"/>
      <c r="JO106" s="238"/>
      <c r="JP106" s="238"/>
      <c r="JQ106" s="238"/>
      <c r="JR106" s="238"/>
      <c r="JS106" s="238"/>
      <c r="JT106" s="238"/>
      <c r="JU106" s="238"/>
      <c r="JV106" s="238"/>
      <c r="JW106" s="238"/>
      <c r="JX106" s="238"/>
      <c r="JY106" s="238"/>
      <c r="JZ106" s="238"/>
      <c r="KA106" s="238"/>
      <c r="KB106" s="238"/>
      <c r="KC106" s="238"/>
      <c r="KD106" s="238"/>
      <c r="KE106" s="238"/>
      <c r="KF106" s="238"/>
      <c r="KG106" s="238"/>
      <c r="KH106" s="238"/>
      <c r="KI106" s="238"/>
      <c r="KJ106" s="238"/>
      <c r="KK106" s="238"/>
      <c r="KL106" s="238"/>
      <c r="KM106" s="238"/>
      <c r="KN106" s="238"/>
      <c r="KO106" s="238"/>
      <c r="KP106" s="238"/>
      <c r="KQ106" s="238"/>
      <c r="KR106" s="238"/>
      <c r="KS106" s="238"/>
      <c r="KT106" s="238"/>
      <c r="KU106" s="238"/>
      <c r="KV106" s="238"/>
      <c r="KW106" s="238"/>
      <c r="KX106" s="238"/>
      <c r="KY106" s="238"/>
      <c r="KZ106" s="238"/>
      <c r="LA106" s="238"/>
      <c r="LB106" s="238"/>
      <c r="LC106" s="238"/>
      <c r="LD106" s="238"/>
      <c r="LE106" s="238"/>
      <c r="LF106" s="238"/>
      <c r="LG106" s="238"/>
      <c r="LH106" s="238"/>
      <c r="LI106" s="238"/>
      <c r="LJ106" s="238"/>
      <c r="LK106" s="238"/>
      <c r="LL106" s="238"/>
      <c r="LM106" s="238"/>
      <c r="LN106" s="238"/>
      <c r="LO106" s="238"/>
      <c r="LP106" s="238"/>
      <c r="LQ106" s="238"/>
      <c r="LR106" s="238"/>
      <c r="LS106" s="238"/>
      <c r="LT106" s="238"/>
      <c r="LU106" s="238"/>
      <c r="LV106" s="238"/>
      <c r="LW106" s="238"/>
      <c r="LX106" s="238"/>
      <c r="LY106" s="238"/>
      <c r="LZ106" s="238"/>
      <c r="MA106" s="238"/>
      <c r="MB106" s="238"/>
      <c r="MC106" s="238"/>
      <c r="MD106" s="238"/>
      <c r="ME106" s="238"/>
      <c r="MF106" s="238"/>
      <c r="MG106" s="238"/>
      <c r="MH106" s="238"/>
      <c r="MI106" s="238"/>
      <c r="MJ106" s="238"/>
      <c r="MK106" s="238"/>
      <c r="ML106" s="238"/>
      <c r="MM106" s="238"/>
      <c r="MN106" s="238"/>
      <c r="MO106" s="238"/>
      <c r="MP106" s="238"/>
      <c r="MQ106" s="238"/>
      <c r="MR106" s="238"/>
      <c r="MS106" s="238"/>
      <c r="MT106" s="238"/>
      <c r="MU106" s="238"/>
      <c r="MV106" s="238"/>
      <c r="MW106" s="238"/>
      <c r="MX106" s="238"/>
      <c r="MY106" s="238"/>
      <c r="MZ106" s="238"/>
      <c r="NA106" s="238"/>
      <c r="NB106" s="238"/>
      <c r="NC106" s="238"/>
      <c r="ND106" s="238"/>
      <c r="NE106" s="238"/>
      <c r="NF106" s="238"/>
      <c r="NG106" s="238"/>
      <c r="NH106" s="238"/>
      <c r="NI106" s="238"/>
      <c r="NJ106" s="238"/>
      <c r="NK106" s="238"/>
      <c r="NL106" s="238"/>
      <c r="NM106" s="238"/>
      <c r="NN106" s="238"/>
      <c r="NO106" s="238"/>
      <c r="NP106" s="238"/>
      <c r="NQ106" s="238"/>
      <c r="NR106" s="238"/>
      <c r="NS106" s="238"/>
      <c r="NT106" s="238"/>
      <c r="NU106" s="238"/>
      <c r="NV106" s="238"/>
      <c r="NW106" s="238"/>
      <c r="NX106" s="238"/>
      <c r="NY106" s="238"/>
      <c r="NZ106" s="238"/>
      <c r="OA106" s="238"/>
      <c r="OB106" s="238"/>
      <c r="OC106" s="238"/>
      <c r="OD106" s="238"/>
      <c r="OE106" s="238"/>
      <c r="OF106" s="238"/>
      <c r="OG106" s="238"/>
      <c r="OH106" s="238"/>
      <c r="OI106" s="238"/>
      <c r="OJ106" s="238"/>
      <c r="OK106" s="238"/>
      <c r="OL106" s="238"/>
      <c r="OM106" s="238"/>
      <c r="ON106" s="238"/>
      <c r="OO106" s="238"/>
      <c r="OP106" s="238"/>
      <c r="OQ106" s="238"/>
      <c r="OR106" s="238"/>
      <c r="OS106" s="238"/>
      <c r="OT106" s="238"/>
      <c r="OU106" s="238"/>
      <c r="OV106" s="238"/>
      <c r="OW106" s="238"/>
      <c r="OX106" s="238"/>
      <c r="OY106" s="238"/>
      <c r="OZ106" s="238"/>
      <c r="PA106" s="238"/>
      <c r="PB106" s="238"/>
      <c r="PC106" s="238"/>
      <c r="PD106" s="238"/>
      <c r="PE106" s="238"/>
      <c r="PF106" s="238"/>
      <c r="PG106" s="238"/>
      <c r="PH106" s="238"/>
      <c r="PI106" s="238"/>
      <c r="PJ106" s="238"/>
      <c r="PK106" s="238"/>
      <c r="PL106" s="238"/>
      <c r="PM106" s="238"/>
      <c r="PN106" s="238"/>
      <c r="PO106" s="238"/>
      <c r="PP106" s="238"/>
      <c r="PQ106" s="238"/>
      <c r="PR106" s="238"/>
      <c r="PS106" s="238"/>
      <c r="PT106" s="238"/>
      <c r="PU106" s="238"/>
      <c r="PV106" s="238"/>
      <c r="PW106" s="238"/>
      <c r="PX106" s="238"/>
      <c r="PY106" s="238"/>
      <c r="PZ106" s="238"/>
      <c r="QA106" s="238"/>
      <c r="QB106" s="238"/>
      <c r="QC106" s="238"/>
      <c r="QD106" s="238"/>
      <c r="QE106" s="238"/>
      <c r="QF106" s="238"/>
      <c r="QG106" s="238"/>
      <c r="QH106" s="238"/>
      <c r="QI106" s="238"/>
      <c r="QJ106" s="238"/>
      <c r="QK106" s="238"/>
      <c r="QL106" s="238"/>
      <c r="QM106" s="238"/>
      <c r="QN106" s="238"/>
      <c r="QO106" s="238"/>
      <c r="QP106" s="238"/>
      <c r="QQ106" s="238"/>
      <c r="QR106" s="238"/>
      <c r="QS106" s="238"/>
      <c r="QT106" s="238"/>
      <c r="QU106" s="238"/>
      <c r="QV106" s="238"/>
      <c r="QW106" s="238"/>
      <c r="QX106" s="238"/>
      <c r="QY106" s="238"/>
      <c r="QZ106" s="238"/>
      <c r="RA106" s="238"/>
      <c r="RB106" s="238"/>
      <c r="RC106" s="238"/>
      <c r="RD106" s="238"/>
      <c r="RE106" s="238"/>
      <c r="RF106" s="238"/>
      <c r="RG106" s="238"/>
      <c r="RH106" s="238"/>
      <c r="RI106" s="238"/>
      <c r="RJ106" s="238"/>
      <c r="RK106" s="238"/>
      <c r="RL106" s="238"/>
      <c r="RM106" s="238"/>
      <c r="RN106" s="238"/>
      <c r="RO106" s="238"/>
      <c r="RP106" s="238"/>
      <c r="RQ106" s="238"/>
      <c r="RR106" s="238"/>
      <c r="RS106" s="238"/>
      <c r="RT106" s="238"/>
      <c r="RU106" s="238"/>
      <c r="RV106" s="238"/>
      <c r="RW106" s="238"/>
      <c r="RX106" s="238"/>
      <c r="RY106" s="238"/>
      <c r="RZ106" s="238"/>
      <c r="SA106" s="238"/>
      <c r="SB106" s="238"/>
      <c r="SC106" s="238"/>
      <c r="SD106" s="238"/>
      <c r="SE106" s="238"/>
      <c r="SF106" s="238"/>
      <c r="SG106" s="238"/>
      <c r="SH106" s="238"/>
      <c r="SI106" s="238"/>
      <c r="SJ106" s="238"/>
      <c r="SK106" s="238"/>
      <c r="SL106" s="238"/>
      <c r="SM106" s="238"/>
      <c r="SN106" s="238"/>
      <c r="SO106" s="238"/>
      <c r="SP106" s="238"/>
      <c r="SQ106" s="238"/>
      <c r="SR106" s="238"/>
      <c r="SS106" s="238"/>
      <c r="ST106" s="238"/>
      <c r="SU106" s="238"/>
      <c r="SV106" s="238"/>
      <c r="SW106" s="238"/>
      <c r="SX106" s="238"/>
      <c r="SY106" s="238"/>
      <c r="SZ106" s="238"/>
      <c r="TA106" s="238"/>
      <c r="TB106" s="238"/>
      <c r="TC106" s="238"/>
      <c r="TD106" s="238"/>
      <c r="TE106" s="238"/>
      <c r="TF106" s="238"/>
      <c r="TG106" s="238"/>
      <c r="TH106" s="238"/>
      <c r="TI106" s="238"/>
      <c r="TJ106" s="238"/>
      <c r="TK106" s="238"/>
      <c r="TL106" s="238"/>
      <c r="TM106" s="238"/>
      <c r="TN106" s="238"/>
      <c r="TO106" s="238"/>
      <c r="TP106" s="238"/>
      <c r="TQ106" s="238"/>
      <c r="TR106" s="238"/>
      <c r="TS106" s="238"/>
      <c r="TT106" s="238"/>
      <c r="TU106" s="238"/>
      <c r="TV106" s="238"/>
      <c r="TW106" s="238"/>
      <c r="TX106" s="238"/>
      <c r="TY106" s="238"/>
      <c r="TZ106" s="238"/>
      <c r="UA106" s="238"/>
      <c r="UB106" s="238"/>
      <c r="UC106" s="238"/>
      <c r="UD106" s="238"/>
      <c r="UE106" s="238"/>
      <c r="UF106" s="238"/>
      <c r="UG106" s="248"/>
    </row>
    <row r="107" spans="1:553" s="236" customFormat="1" ht="34.5" customHeight="1">
      <c r="A107" s="356" t="s">
        <v>30</v>
      </c>
      <c r="B107" s="366" t="s">
        <v>35</v>
      </c>
      <c r="C107" s="1414" t="s">
        <v>165</v>
      </c>
      <c r="D107" s="1389"/>
      <c r="E107" s="1389"/>
      <c r="F107" s="1390"/>
      <c r="G107" s="386" t="s">
        <v>935</v>
      </c>
      <c r="H107" s="370"/>
      <c r="I107" s="422">
        <f>10*6.6*2+8.2*1*2</f>
        <v>148.4</v>
      </c>
      <c r="J107" s="368">
        <v>39000</v>
      </c>
      <c r="K107" s="371"/>
      <c r="L107" s="391">
        <f t="shared" si="25"/>
        <v>5787600</v>
      </c>
      <c r="M107" s="391"/>
      <c r="N107" s="391"/>
      <c r="O107" s="391"/>
      <c r="P107" s="391"/>
      <c r="Q107" s="1537"/>
      <c r="R107" s="1226"/>
      <c r="S107" s="305"/>
      <c r="T107" s="303"/>
      <c r="U107" s="306"/>
      <c r="V107" s="307"/>
      <c r="W107" s="306"/>
      <c r="X107" s="306"/>
      <c r="Y107" s="306"/>
      <c r="Z107" s="306"/>
      <c r="AA107" s="306"/>
      <c r="AB107" s="306"/>
      <c r="AC107" s="449"/>
      <c r="AD107" s="449"/>
      <c r="AE107" s="449"/>
      <c r="AF107" s="449"/>
      <c r="AG107" s="449"/>
      <c r="AH107" s="449"/>
      <c r="AI107" s="449"/>
      <c r="AJ107" s="449"/>
      <c r="AK107" s="452"/>
      <c r="AL107" s="242"/>
      <c r="AM107" s="241"/>
      <c r="AN107" s="241"/>
      <c r="AO107" s="241"/>
      <c r="AP107" s="241"/>
      <c r="AQ107" s="241"/>
      <c r="AR107" s="241"/>
      <c r="AS107" s="238"/>
      <c r="AT107" s="238"/>
      <c r="AU107" s="238"/>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c r="EA107" s="238"/>
      <c r="EB107" s="238"/>
      <c r="EC107" s="238"/>
      <c r="ED107" s="238"/>
      <c r="EE107" s="238"/>
      <c r="EF107" s="238"/>
      <c r="EG107" s="238"/>
      <c r="EH107" s="238"/>
      <c r="EI107" s="238"/>
      <c r="EJ107" s="238"/>
      <c r="EK107" s="238"/>
      <c r="EL107" s="238"/>
      <c r="EM107" s="238"/>
      <c r="EN107" s="238"/>
      <c r="EO107" s="238"/>
      <c r="EP107" s="238"/>
      <c r="EQ107" s="238"/>
      <c r="ER107" s="238"/>
      <c r="ES107" s="238"/>
      <c r="ET107" s="238"/>
      <c r="EU107" s="238"/>
      <c r="EV107" s="238"/>
      <c r="EW107" s="238"/>
      <c r="EX107" s="238"/>
      <c r="EY107" s="238"/>
      <c r="EZ107" s="238"/>
      <c r="FA107" s="238"/>
      <c r="FB107" s="238"/>
      <c r="FC107" s="238"/>
      <c r="FD107" s="238"/>
      <c r="FE107" s="238"/>
      <c r="FF107" s="238"/>
      <c r="FG107" s="238"/>
      <c r="FH107" s="238"/>
      <c r="FI107" s="238"/>
      <c r="FJ107" s="238"/>
      <c r="FK107" s="238"/>
      <c r="FL107" s="238"/>
      <c r="FM107" s="238"/>
      <c r="FN107" s="238"/>
      <c r="FO107" s="238"/>
      <c r="FP107" s="238"/>
      <c r="FQ107" s="238"/>
      <c r="FR107" s="238"/>
      <c r="FS107" s="238"/>
      <c r="FT107" s="238"/>
      <c r="FU107" s="238"/>
      <c r="FV107" s="238"/>
      <c r="FW107" s="238"/>
      <c r="FX107" s="238"/>
      <c r="FY107" s="238"/>
      <c r="FZ107" s="238"/>
      <c r="GA107" s="238"/>
      <c r="GB107" s="238"/>
      <c r="GC107" s="238"/>
      <c r="GD107" s="238"/>
      <c r="GE107" s="238"/>
      <c r="GF107" s="238"/>
      <c r="GG107" s="238"/>
      <c r="GH107" s="238"/>
      <c r="GI107" s="238"/>
      <c r="GJ107" s="238"/>
      <c r="GK107" s="238"/>
      <c r="GL107" s="238"/>
      <c r="GM107" s="238"/>
      <c r="GN107" s="238"/>
      <c r="GO107" s="238"/>
      <c r="GP107" s="238"/>
      <c r="GQ107" s="238"/>
      <c r="GR107" s="238"/>
      <c r="GS107" s="238"/>
      <c r="GT107" s="238"/>
      <c r="GU107" s="238"/>
      <c r="GV107" s="238"/>
      <c r="GW107" s="238"/>
      <c r="GX107" s="238"/>
      <c r="GY107" s="238"/>
      <c r="GZ107" s="238"/>
      <c r="HA107" s="238"/>
      <c r="HB107" s="238"/>
      <c r="HC107" s="238"/>
      <c r="HD107" s="238"/>
      <c r="HE107" s="238"/>
      <c r="HF107" s="238"/>
      <c r="HG107" s="238"/>
      <c r="HH107" s="238"/>
      <c r="HI107" s="238"/>
      <c r="HJ107" s="238"/>
      <c r="HK107" s="238"/>
      <c r="HL107" s="238"/>
      <c r="HM107" s="238"/>
      <c r="HN107" s="238"/>
      <c r="HO107" s="238"/>
      <c r="HP107" s="238"/>
      <c r="HQ107" s="238"/>
      <c r="HR107" s="238"/>
      <c r="HS107" s="238"/>
      <c r="HT107" s="238"/>
      <c r="HU107" s="238"/>
      <c r="HV107" s="238"/>
      <c r="HW107" s="238"/>
      <c r="HX107" s="238"/>
      <c r="HY107" s="238"/>
      <c r="HZ107" s="238"/>
      <c r="IA107" s="238"/>
      <c r="IB107" s="238"/>
      <c r="IC107" s="238"/>
      <c r="ID107" s="238"/>
      <c r="IE107" s="238"/>
      <c r="IF107" s="238"/>
      <c r="IG107" s="238"/>
      <c r="IH107" s="238"/>
      <c r="II107" s="238"/>
      <c r="IJ107" s="238"/>
      <c r="IK107" s="238"/>
      <c r="IL107" s="238"/>
      <c r="IM107" s="238"/>
      <c r="IN107" s="238"/>
      <c r="IO107" s="238"/>
      <c r="IP107" s="238"/>
      <c r="IQ107" s="238"/>
      <c r="IR107" s="238"/>
      <c r="IS107" s="238"/>
      <c r="IT107" s="238"/>
      <c r="IU107" s="238"/>
      <c r="IV107" s="238"/>
      <c r="IW107" s="238"/>
      <c r="IX107" s="238"/>
      <c r="IY107" s="238"/>
      <c r="IZ107" s="238"/>
      <c r="JA107" s="238"/>
      <c r="JB107" s="238"/>
      <c r="JC107" s="238"/>
      <c r="JD107" s="238"/>
      <c r="JE107" s="238"/>
      <c r="JF107" s="238"/>
      <c r="JG107" s="238"/>
      <c r="JH107" s="238"/>
      <c r="JI107" s="238"/>
      <c r="JJ107" s="238"/>
      <c r="JK107" s="238"/>
      <c r="JL107" s="238"/>
      <c r="JM107" s="238"/>
      <c r="JN107" s="238"/>
      <c r="JO107" s="238"/>
      <c r="JP107" s="238"/>
      <c r="JQ107" s="238"/>
      <c r="JR107" s="238"/>
      <c r="JS107" s="238"/>
      <c r="JT107" s="238"/>
      <c r="JU107" s="238"/>
      <c r="JV107" s="238"/>
      <c r="JW107" s="238"/>
      <c r="JX107" s="238"/>
      <c r="JY107" s="238"/>
      <c r="JZ107" s="238"/>
      <c r="KA107" s="238"/>
      <c r="KB107" s="238"/>
      <c r="KC107" s="238"/>
      <c r="KD107" s="238"/>
      <c r="KE107" s="238"/>
      <c r="KF107" s="238"/>
      <c r="KG107" s="238"/>
      <c r="KH107" s="238"/>
      <c r="KI107" s="238"/>
      <c r="KJ107" s="238"/>
      <c r="KK107" s="238"/>
      <c r="KL107" s="238"/>
      <c r="KM107" s="238"/>
      <c r="KN107" s="238"/>
      <c r="KO107" s="238"/>
      <c r="KP107" s="238"/>
      <c r="KQ107" s="238"/>
      <c r="KR107" s="238"/>
      <c r="KS107" s="238"/>
      <c r="KT107" s="238"/>
      <c r="KU107" s="238"/>
      <c r="KV107" s="238"/>
      <c r="KW107" s="238"/>
      <c r="KX107" s="238"/>
      <c r="KY107" s="238"/>
      <c r="KZ107" s="238"/>
      <c r="LA107" s="238"/>
      <c r="LB107" s="238"/>
      <c r="LC107" s="238"/>
      <c r="LD107" s="238"/>
      <c r="LE107" s="238"/>
      <c r="LF107" s="238"/>
      <c r="LG107" s="238"/>
      <c r="LH107" s="238"/>
      <c r="LI107" s="238"/>
      <c r="LJ107" s="238"/>
      <c r="LK107" s="238"/>
      <c r="LL107" s="238"/>
      <c r="LM107" s="238"/>
      <c r="LN107" s="238"/>
      <c r="LO107" s="238"/>
      <c r="LP107" s="238"/>
      <c r="LQ107" s="238"/>
      <c r="LR107" s="238"/>
      <c r="LS107" s="238"/>
      <c r="LT107" s="238"/>
      <c r="LU107" s="238"/>
      <c r="LV107" s="238"/>
      <c r="LW107" s="238"/>
      <c r="LX107" s="238"/>
      <c r="LY107" s="238"/>
      <c r="LZ107" s="238"/>
      <c r="MA107" s="238"/>
      <c r="MB107" s="238"/>
      <c r="MC107" s="238"/>
      <c r="MD107" s="238"/>
      <c r="ME107" s="238"/>
      <c r="MF107" s="238"/>
      <c r="MG107" s="238"/>
      <c r="MH107" s="238"/>
      <c r="MI107" s="238"/>
      <c r="MJ107" s="238"/>
      <c r="MK107" s="238"/>
      <c r="ML107" s="238"/>
      <c r="MM107" s="238"/>
      <c r="MN107" s="238"/>
      <c r="MO107" s="238"/>
      <c r="MP107" s="238"/>
      <c r="MQ107" s="238"/>
      <c r="MR107" s="238"/>
      <c r="MS107" s="238"/>
      <c r="MT107" s="238"/>
      <c r="MU107" s="238"/>
      <c r="MV107" s="238"/>
      <c r="MW107" s="238"/>
      <c r="MX107" s="238"/>
      <c r="MY107" s="238"/>
      <c r="MZ107" s="238"/>
      <c r="NA107" s="238"/>
      <c r="NB107" s="238"/>
      <c r="NC107" s="238"/>
      <c r="ND107" s="238"/>
      <c r="NE107" s="238"/>
      <c r="NF107" s="238"/>
      <c r="NG107" s="238"/>
      <c r="NH107" s="238"/>
      <c r="NI107" s="238"/>
      <c r="NJ107" s="238"/>
      <c r="NK107" s="238"/>
      <c r="NL107" s="238"/>
      <c r="NM107" s="238"/>
      <c r="NN107" s="238"/>
      <c r="NO107" s="238"/>
      <c r="NP107" s="238"/>
      <c r="NQ107" s="238"/>
      <c r="NR107" s="238"/>
      <c r="NS107" s="238"/>
      <c r="NT107" s="238"/>
      <c r="NU107" s="238"/>
      <c r="NV107" s="238"/>
      <c r="NW107" s="238"/>
      <c r="NX107" s="238"/>
      <c r="NY107" s="238"/>
      <c r="NZ107" s="238"/>
      <c r="OA107" s="238"/>
      <c r="OB107" s="238"/>
      <c r="OC107" s="238"/>
      <c r="OD107" s="238"/>
      <c r="OE107" s="238"/>
      <c r="OF107" s="238"/>
      <c r="OG107" s="238"/>
      <c r="OH107" s="238"/>
      <c r="OI107" s="238"/>
      <c r="OJ107" s="238"/>
      <c r="OK107" s="238"/>
      <c r="OL107" s="238"/>
      <c r="OM107" s="238"/>
      <c r="ON107" s="238"/>
      <c r="OO107" s="238"/>
      <c r="OP107" s="238"/>
      <c r="OQ107" s="238"/>
      <c r="OR107" s="238"/>
      <c r="OS107" s="238"/>
      <c r="OT107" s="238"/>
      <c r="OU107" s="238"/>
      <c r="OV107" s="238"/>
      <c r="OW107" s="238"/>
      <c r="OX107" s="238"/>
      <c r="OY107" s="238"/>
      <c r="OZ107" s="238"/>
      <c r="PA107" s="238"/>
      <c r="PB107" s="238"/>
      <c r="PC107" s="238"/>
      <c r="PD107" s="238"/>
      <c r="PE107" s="238"/>
      <c r="PF107" s="238"/>
      <c r="PG107" s="238"/>
      <c r="PH107" s="238"/>
      <c r="PI107" s="238"/>
      <c r="PJ107" s="238"/>
      <c r="PK107" s="238"/>
      <c r="PL107" s="238"/>
      <c r="PM107" s="238"/>
      <c r="PN107" s="238"/>
      <c r="PO107" s="238"/>
      <c r="PP107" s="238"/>
      <c r="PQ107" s="238"/>
      <c r="PR107" s="238"/>
      <c r="PS107" s="238"/>
      <c r="PT107" s="238"/>
      <c r="PU107" s="238"/>
      <c r="PV107" s="238"/>
      <c r="PW107" s="238"/>
      <c r="PX107" s="238"/>
      <c r="PY107" s="238"/>
      <c r="PZ107" s="238"/>
      <c r="QA107" s="238"/>
      <c r="QB107" s="238"/>
      <c r="QC107" s="238"/>
      <c r="QD107" s="238"/>
      <c r="QE107" s="238"/>
      <c r="QF107" s="238"/>
      <c r="QG107" s="238"/>
      <c r="QH107" s="238"/>
      <c r="QI107" s="238"/>
      <c r="QJ107" s="238"/>
      <c r="QK107" s="238"/>
      <c r="QL107" s="238"/>
      <c r="QM107" s="238"/>
      <c r="QN107" s="238"/>
      <c r="QO107" s="238"/>
      <c r="QP107" s="238"/>
      <c r="QQ107" s="238"/>
      <c r="QR107" s="238"/>
      <c r="QS107" s="238"/>
      <c r="QT107" s="238"/>
      <c r="QU107" s="238"/>
      <c r="QV107" s="238"/>
      <c r="QW107" s="238"/>
      <c r="QX107" s="238"/>
      <c r="QY107" s="238"/>
      <c r="QZ107" s="238"/>
      <c r="RA107" s="238"/>
      <c r="RB107" s="238"/>
      <c r="RC107" s="238"/>
      <c r="RD107" s="238"/>
      <c r="RE107" s="238"/>
      <c r="RF107" s="238"/>
      <c r="RG107" s="238"/>
      <c r="RH107" s="238"/>
      <c r="RI107" s="238"/>
      <c r="RJ107" s="238"/>
      <c r="RK107" s="238"/>
      <c r="RL107" s="238"/>
      <c r="RM107" s="238"/>
      <c r="RN107" s="238"/>
      <c r="RO107" s="238"/>
      <c r="RP107" s="238"/>
      <c r="RQ107" s="238"/>
      <c r="RR107" s="238"/>
      <c r="RS107" s="238"/>
      <c r="RT107" s="238"/>
      <c r="RU107" s="238"/>
      <c r="RV107" s="238"/>
      <c r="RW107" s="238"/>
      <c r="RX107" s="238"/>
      <c r="RY107" s="238"/>
      <c r="RZ107" s="238"/>
      <c r="SA107" s="238"/>
      <c r="SB107" s="238"/>
      <c r="SC107" s="238"/>
      <c r="SD107" s="238"/>
      <c r="SE107" s="238"/>
      <c r="SF107" s="238"/>
      <c r="SG107" s="238"/>
      <c r="SH107" s="238"/>
      <c r="SI107" s="238"/>
      <c r="SJ107" s="238"/>
      <c r="SK107" s="238"/>
      <c r="SL107" s="238"/>
      <c r="SM107" s="238"/>
      <c r="SN107" s="238"/>
      <c r="SO107" s="238"/>
      <c r="SP107" s="238"/>
      <c r="SQ107" s="238"/>
      <c r="SR107" s="238"/>
      <c r="SS107" s="238"/>
      <c r="ST107" s="238"/>
      <c r="SU107" s="238"/>
      <c r="SV107" s="238"/>
      <c r="SW107" s="238"/>
      <c r="SX107" s="238"/>
      <c r="SY107" s="238"/>
      <c r="SZ107" s="238"/>
      <c r="TA107" s="238"/>
      <c r="TB107" s="238"/>
      <c r="TC107" s="238"/>
      <c r="TD107" s="238"/>
      <c r="TE107" s="238"/>
      <c r="TF107" s="238"/>
      <c r="TG107" s="238"/>
      <c r="TH107" s="238"/>
      <c r="TI107" s="238"/>
      <c r="TJ107" s="238"/>
      <c r="TK107" s="238"/>
      <c r="TL107" s="238"/>
      <c r="TM107" s="238"/>
      <c r="TN107" s="238"/>
      <c r="TO107" s="238"/>
      <c r="TP107" s="238"/>
      <c r="TQ107" s="238"/>
      <c r="TR107" s="238"/>
      <c r="TS107" s="238"/>
      <c r="TT107" s="238"/>
      <c r="TU107" s="238"/>
      <c r="TV107" s="238"/>
      <c r="TW107" s="238"/>
      <c r="TX107" s="238"/>
      <c r="TY107" s="238"/>
      <c r="TZ107" s="238"/>
      <c r="UA107" s="238"/>
      <c r="UB107" s="238"/>
      <c r="UC107" s="238"/>
      <c r="UD107" s="238"/>
      <c r="UE107" s="238"/>
      <c r="UF107" s="238"/>
      <c r="UG107" s="248"/>
    </row>
    <row r="108" spans="1:553" s="236" customFormat="1" ht="34.5" customHeight="1">
      <c r="A108" s="356" t="s">
        <v>30</v>
      </c>
      <c r="B108" s="366" t="s">
        <v>35</v>
      </c>
      <c r="C108" s="1414" t="s">
        <v>166</v>
      </c>
      <c r="D108" s="1389"/>
      <c r="E108" s="1389"/>
      <c r="F108" s="1390"/>
      <c r="G108" s="386" t="s">
        <v>935</v>
      </c>
      <c r="H108" s="370"/>
      <c r="I108" s="422">
        <f>8.2*0.6</f>
        <v>4.919999999999999</v>
      </c>
      <c r="J108" s="368">
        <v>39000</v>
      </c>
      <c r="K108" s="371"/>
      <c r="L108" s="391">
        <f t="shared" si="25"/>
        <v>191879.99999999997</v>
      </c>
      <c r="M108" s="391"/>
      <c r="N108" s="391"/>
      <c r="O108" s="391"/>
      <c r="P108" s="391"/>
      <c r="Q108" s="1537"/>
      <c r="R108" s="1226"/>
      <c r="S108" s="305"/>
      <c r="T108" s="303"/>
      <c r="U108" s="306"/>
      <c r="V108" s="307"/>
      <c r="W108" s="306"/>
      <c r="X108" s="306"/>
      <c r="Y108" s="306"/>
      <c r="Z108" s="306"/>
      <c r="AA108" s="306"/>
      <c r="AB108" s="306"/>
      <c r="AC108" s="449"/>
      <c r="AD108" s="449"/>
      <c r="AE108" s="449"/>
      <c r="AF108" s="449"/>
      <c r="AG108" s="449"/>
      <c r="AH108" s="449"/>
      <c r="AI108" s="449"/>
      <c r="AJ108" s="449"/>
      <c r="AK108" s="452"/>
      <c r="AL108" s="242"/>
      <c r="AM108" s="241"/>
      <c r="AN108" s="241"/>
      <c r="AO108" s="241"/>
      <c r="AP108" s="241"/>
      <c r="AQ108" s="241"/>
      <c r="AR108" s="241"/>
      <c r="AS108" s="238"/>
      <c r="AT108" s="238"/>
      <c r="AU108" s="238"/>
      <c r="AV108" s="238"/>
      <c r="AW108" s="238"/>
      <c r="AX108" s="238"/>
      <c r="AY108" s="238"/>
      <c r="AZ108" s="238"/>
      <c r="BA108" s="238"/>
      <c r="BB108" s="238"/>
      <c r="BC108" s="238"/>
      <c r="BD108" s="238"/>
      <c r="BE108" s="238"/>
      <c r="BF108" s="238"/>
      <c r="BG108" s="238"/>
      <c r="BH108" s="238"/>
      <c r="BI108" s="238"/>
      <c r="BJ108" s="238"/>
      <c r="BK108" s="238"/>
      <c r="BL108" s="238"/>
      <c r="BM108" s="238"/>
      <c r="BN108" s="238"/>
      <c r="BO108" s="238"/>
      <c r="BP108" s="238"/>
      <c r="BQ108" s="238"/>
      <c r="BR108" s="238"/>
      <c r="BS108" s="238"/>
      <c r="BT108" s="238"/>
      <c r="BU108" s="238"/>
      <c r="BV108" s="238"/>
      <c r="BW108" s="238"/>
      <c r="BX108" s="238"/>
      <c r="BY108" s="238"/>
      <c r="BZ108" s="238"/>
      <c r="CA108" s="238"/>
      <c r="CB108" s="238"/>
      <c r="CC108" s="238"/>
      <c r="CD108" s="238"/>
      <c r="CE108" s="238"/>
      <c r="CF108" s="238"/>
      <c r="CG108" s="238"/>
      <c r="CH108" s="238"/>
      <c r="CI108" s="238"/>
      <c r="CJ108" s="238"/>
      <c r="CK108" s="238"/>
      <c r="CL108" s="238"/>
      <c r="CM108" s="238"/>
      <c r="CN108" s="238"/>
      <c r="CO108" s="238"/>
      <c r="CP108" s="238"/>
      <c r="CQ108" s="238"/>
      <c r="CR108" s="238"/>
      <c r="CS108" s="238"/>
      <c r="CT108" s="238"/>
      <c r="CU108" s="238"/>
      <c r="CV108" s="238"/>
      <c r="CW108" s="238"/>
      <c r="CX108" s="238"/>
      <c r="CY108" s="238"/>
      <c r="CZ108" s="238"/>
      <c r="DA108" s="238"/>
      <c r="DB108" s="238"/>
      <c r="DC108" s="238"/>
      <c r="DD108" s="238"/>
      <c r="DE108" s="238"/>
      <c r="DF108" s="238"/>
      <c r="DG108" s="238"/>
      <c r="DH108" s="238"/>
      <c r="DI108" s="238"/>
      <c r="DJ108" s="238"/>
      <c r="DK108" s="238"/>
      <c r="DL108" s="238"/>
      <c r="DM108" s="238"/>
      <c r="DN108" s="238"/>
      <c r="DO108" s="238"/>
      <c r="DP108" s="238"/>
      <c r="DQ108" s="238"/>
      <c r="DR108" s="238"/>
      <c r="DS108" s="238"/>
      <c r="DT108" s="238"/>
      <c r="DU108" s="238"/>
      <c r="DV108" s="238"/>
      <c r="DW108" s="238"/>
      <c r="DX108" s="238"/>
      <c r="DY108" s="238"/>
      <c r="DZ108" s="238"/>
      <c r="EA108" s="238"/>
      <c r="EB108" s="238"/>
      <c r="EC108" s="238"/>
      <c r="ED108" s="238"/>
      <c r="EE108" s="238"/>
      <c r="EF108" s="238"/>
      <c r="EG108" s="238"/>
      <c r="EH108" s="238"/>
      <c r="EI108" s="238"/>
      <c r="EJ108" s="238"/>
      <c r="EK108" s="238"/>
      <c r="EL108" s="238"/>
      <c r="EM108" s="238"/>
      <c r="EN108" s="238"/>
      <c r="EO108" s="238"/>
      <c r="EP108" s="238"/>
      <c r="EQ108" s="238"/>
      <c r="ER108" s="238"/>
      <c r="ES108" s="238"/>
      <c r="ET108" s="238"/>
      <c r="EU108" s="238"/>
      <c r="EV108" s="238"/>
      <c r="EW108" s="238"/>
      <c r="EX108" s="238"/>
      <c r="EY108" s="238"/>
      <c r="EZ108" s="238"/>
      <c r="FA108" s="238"/>
      <c r="FB108" s="238"/>
      <c r="FC108" s="238"/>
      <c r="FD108" s="238"/>
      <c r="FE108" s="238"/>
      <c r="FF108" s="238"/>
      <c r="FG108" s="238"/>
      <c r="FH108" s="238"/>
      <c r="FI108" s="238"/>
      <c r="FJ108" s="238"/>
      <c r="FK108" s="238"/>
      <c r="FL108" s="238"/>
      <c r="FM108" s="238"/>
      <c r="FN108" s="238"/>
      <c r="FO108" s="238"/>
      <c r="FP108" s="238"/>
      <c r="FQ108" s="238"/>
      <c r="FR108" s="238"/>
      <c r="FS108" s="238"/>
      <c r="FT108" s="238"/>
      <c r="FU108" s="238"/>
      <c r="FV108" s="238"/>
      <c r="FW108" s="238"/>
      <c r="FX108" s="238"/>
      <c r="FY108" s="238"/>
      <c r="FZ108" s="238"/>
      <c r="GA108" s="238"/>
      <c r="GB108" s="238"/>
      <c r="GC108" s="238"/>
      <c r="GD108" s="238"/>
      <c r="GE108" s="238"/>
      <c r="GF108" s="238"/>
      <c r="GG108" s="238"/>
      <c r="GH108" s="238"/>
      <c r="GI108" s="238"/>
      <c r="GJ108" s="238"/>
      <c r="GK108" s="238"/>
      <c r="GL108" s="238"/>
      <c r="GM108" s="238"/>
      <c r="GN108" s="238"/>
      <c r="GO108" s="238"/>
      <c r="GP108" s="238"/>
      <c r="GQ108" s="238"/>
      <c r="GR108" s="238"/>
      <c r="GS108" s="238"/>
      <c r="GT108" s="238"/>
      <c r="GU108" s="238"/>
      <c r="GV108" s="238"/>
      <c r="GW108" s="238"/>
      <c r="GX108" s="238"/>
      <c r="GY108" s="238"/>
      <c r="GZ108" s="238"/>
      <c r="HA108" s="238"/>
      <c r="HB108" s="238"/>
      <c r="HC108" s="238"/>
      <c r="HD108" s="238"/>
      <c r="HE108" s="238"/>
      <c r="HF108" s="238"/>
      <c r="HG108" s="238"/>
      <c r="HH108" s="238"/>
      <c r="HI108" s="238"/>
      <c r="HJ108" s="238"/>
      <c r="HK108" s="238"/>
      <c r="HL108" s="238"/>
      <c r="HM108" s="238"/>
      <c r="HN108" s="238"/>
      <c r="HO108" s="238"/>
      <c r="HP108" s="238"/>
      <c r="HQ108" s="238"/>
      <c r="HR108" s="238"/>
      <c r="HS108" s="238"/>
      <c r="HT108" s="238"/>
      <c r="HU108" s="238"/>
      <c r="HV108" s="238"/>
      <c r="HW108" s="238"/>
      <c r="HX108" s="238"/>
      <c r="HY108" s="238"/>
      <c r="HZ108" s="238"/>
      <c r="IA108" s="238"/>
      <c r="IB108" s="238"/>
      <c r="IC108" s="238"/>
      <c r="ID108" s="238"/>
      <c r="IE108" s="238"/>
      <c r="IF108" s="238"/>
      <c r="IG108" s="238"/>
      <c r="IH108" s="238"/>
      <c r="II108" s="238"/>
      <c r="IJ108" s="238"/>
      <c r="IK108" s="238"/>
      <c r="IL108" s="238"/>
      <c r="IM108" s="238"/>
      <c r="IN108" s="238"/>
      <c r="IO108" s="238"/>
      <c r="IP108" s="238"/>
      <c r="IQ108" s="238"/>
      <c r="IR108" s="238"/>
      <c r="IS108" s="238"/>
      <c r="IT108" s="238"/>
      <c r="IU108" s="238"/>
      <c r="IV108" s="238"/>
      <c r="IW108" s="238"/>
      <c r="IX108" s="238"/>
      <c r="IY108" s="238"/>
      <c r="IZ108" s="238"/>
      <c r="JA108" s="238"/>
      <c r="JB108" s="238"/>
      <c r="JC108" s="238"/>
      <c r="JD108" s="238"/>
      <c r="JE108" s="238"/>
      <c r="JF108" s="238"/>
      <c r="JG108" s="238"/>
      <c r="JH108" s="238"/>
      <c r="JI108" s="238"/>
      <c r="JJ108" s="238"/>
      <c r="JK108" s="238"/>
      <c r="JL108" s="238"/>
      <c r="JM108" s="238"/>
      <c r="JN108" s="238"/>
      <c r="JO108" s="238"/>
      <c r="JP108" s="238"/>
      <c r="JQ108" s="238"/>
      <c r="JR108" s="238"/>
      <c r="JS108" s="238"/>
      <c r="JT108" s="238"/>
      <c r="JU108" s="238"/>
      <c r="JV108" s="238"/>
      <c r="JW108" s="238"/>
      <c r="JX108" s="238"/>
      <c r="JY108" s="238"/>
      <c r="JZ108" s="238"/>
      <c r="KA108" s="238"/>
      <c r="KB108" s="238"/>
      <c r="KC108" s="238"/>
      <c r="KD108" s="238"/>
      <c r="KE108" s="238"/>
      <c r="KF108" s="238"/>
      <c r="KG108" s="238"/>
      <c r="KH108" s="238"/>
      <c r="KI108" s="238"/>
      <c r="KJ108" s="238"/>
      <c r="KK108" s="238"/>
      <c r="KL108" s="238"/>
      <c r="KM108" s="238"/>
      <c r="KN108" s="238"/>
      <c r="KO108" s="238"/>
      <c r="KP108" s="238"/>
      <c r="KQ108" s="238"/>
      <c r="KR108" s="238"/>
      <c r="KS108" s="238"/>
      <c r="KT108" s="238"/>
      <c r="KU108" s="238"/>
      <c r="KV108" s="238"/>
      <c r="KW108" s="238"/>
      <c r="KX108" s="238"/>
      <c r="KY108" s="238"/>
      <c r="KZ108" s="238"/>
      <c r="LA108" s="238"/>
      <c r="LB108" s="238"/>
      <c r="LC108" s="238"/>
      <c r="LD108" s="238"/>
      <c r="LE108" s="238"/>
      <c r="LF108" s="238"/>
      <c r="LG108" s="238"/>
      <c r="LH108" s="238"/>
      <c r="LI108" s="238"/>
      <c r="LJ108" s="238"/>
      <c r="LK108" s="238"/>
      <c r="LL108" s="238"/>
      <c r="LM108" s="238"/>
      <c r="LN108" s="238"/>
      <c r="LO108" s="238"/>
      <c r="LP108" s="238"/>
      <c r="LQ108" s="238"/>
      <c r="LR108" s="238"/>
      <c r="LS108" s="238"/>
      <c r="LT108" s="238"/>
      <c r="LU108" s="238"/>
      <c r="LV108" s="238"/>
      <c r="LW108" s="238"/>
      <c r="LX108" s="238"/>
      <c r="LY108" s="238"/>
      <c r="LZ108" s="238"/>
      <c r="MA108" s="238"/>
      <c r="MB108" s="238"/>
      <c r="MC108" s="238"/>
      <c r="MD108" s="238"/>
      <c r="ME108" s="238"/>
      <c r="MF108" s="238"/>
      <c r="MG108" s="238"/>
      <c r="MH108" s="238"/>
      <c r="MI108" s="238"/>
      <c r="MJ108" s="238"/>
      <c r="MK108" s="238"/>
      <c r="ML108" s="238"/>
      <c r="MM108" s="238"/>
      <c r="MN108" s="238"/>
      <c r="MO108" s="238"/>
      <c r="MP108" s="238"/>
      <c r="MQ108" s="238"/>
      <c r="MR108" s="238"/>
      <c r="MS108" s="238"/>
      <c r="MT108" s="238"/>
      <c r="MU108" s="238"/>
      <c r="MV108" s="238"/>
      <c r="MW108" s="238"/>
      <c r="MX108" s="238"/>
      <c r="MY108" s="238"/>
      <c r="MZ108" s="238"/>
      <c r="NA108" s="238"/>
      <c r="NB108" s="238"/>
      <c r="NC108" s="238"/>
      <c r="ND108" s="238"/>
      <c r="NE108" s="238"/>
      <c r="NF108" s="238"/>
      <c r="NG108" s="238"/>
      <c r="NH108" s="238"/>
      <c r="NI108" s="238"/>
      <c r="NJ108" s="238"/>
      <c r="NK108" s="238"/>
      <c r="NL108" s="238"/>
      <c r="NM108" s="238"/>
      <c r="NN108" s="238"/>
      <c r="NO108" s="238"/>
      <c r="NP108" s="238"/>
      <c r="NQ108" s="238"/>
      <c r="NR108" s="238"/>
      <c r="NS108" s="238"/>
      <c r="NT108" s="238"/>
      <c r="NU108" s="238"/>
      <c r="NV108" s="238"/>
      <c r="NW108" s="238"/>
      <c r="NX108" s="238"/>
      <c r="NY108" s="238"/>
      <c r="NZ108" s="238"/>
      <c r="OA108" s="238"/>
      <c r="OB108" s="238"/>
      <c r="OC108" s="238"/>
      <c r="OD108" s="238"/>
      <c r="OE108" s="238"/>
      <c r="OF108" s="238"/>
      <c r="OG108" s="238"/>
      <c r="OH108" s="238"/>
      <c r="OI108" s="238"/>
      <c r="OJ108" s="238"/>
      <c r="OK108" s="238"/>
      <c r="OL108" s="238"/>
      <c r="OM108" s="238"/>
      <c r="ON108" s="238"/>
      <c r="OO108" s="238"/>
      <c r="OP108" s="238"/>
      <c r="OQ108" s="238"/>
      <c r="OR108" s="238"/>
      <c r="OS108" s="238"/>
      <c r="OT108" s="238"/>
      <c r="OU108" s="238"/>
      <c r="OV108" s="238"/>
      <c r="OW108" s="238"/>
      <c r="OX108" s="238"/>
      <c r="OY108" s="238"/>
      <c r="OZ108" s="238"/>
      <c r="PA108" s="238"/>
      <c r="PB108" s="238"/>
      <c r="PC108" s="238"/>
      <c r="PD108" s="238"/>
      <c r="PE108" s="238"/>
      <c r="PF108" s="238"/>
      <c r="PG108" s="238"/>
      <c r="PH108" s="238"/>
      <c r="PI108" s="238"/>
      <c r="PJ108" s="238"/>
      <c r="PK108" s="238"/>
      <c r="PL108" s="238"/>
      <c r="PM108" s="238"/>
      <c r="PN108" s="238"/>
      <c r="PO108" s="238"/>
      <c r="PP108" s="238"/>
      <c r="PQ108" s="238"/>
      <c r="PR108" s="238"/>
      <c r="PS108" s="238"/>
      <c r="PT108" s="238"/>
      <c r="PU108" s="238"/>
      <c r="PV108" s="238"/>
      <c r="PW108" s="238"/>
      <c r="PX108" s="238"/>
      <c r="PY108" s="238"/>
      <c r="PZ108" s="238"/>
      <c r="QA108" s="238"/>
      <c r="QB108" s="238"/>
      <c r="QC108" s="238"/>
      <c r="QD108" s="238"/>
      <c r="QE108" s="238"/>
      <c r="QF108" s="238"/>
      <c r="QG108" s="238"/>
      <c r="QH108" s="238"/>
      <c r="QI108" s="238"/>
      <c r="QJ108" s="238"/>
      <c r="QK108" s="238"/>
      <c r="QL108" s="238"/>
      <c r="QM108" s="238"/>
      <c r="QN108" s="238"/>
      <c r="QO108" s="238"/>
      <c r="QP108" s="238"/>
      <c r="QQ108" s="238"/>
      <c r="QR108" s="238"/>
      <c r="QS108" s="238"/>
      <c r="QT108" s="238"/>
      <c r="QU108" s="238"/>
      <c r="QV108" s="238"/>
      <c r="QW108" s="238"/>
      <c r="QX108" s="238"/>
      <c r="QY108" s="238"/>
      <c r="QZ108" s="238"/>
      <c r="RA108" s="238"/>
      <c r="RB108" s="238"/>
      <c r="RC108" s="238"/>
      <c r="RD108" s="238"/>
      <c r="RE108" s="238"/>
      <c r="RF108" s="238"/>
      <c r="RG108" s="238"/>
      <c r="RH108" s="238"/>
      <c r="RI108" s="238"/>
      <c r="RJ108" s="238"/>
      <c r="RK108" s="238"/>
      <c r="RL108" s="238"/>
      <c r="RM108" s="238"/>
      <c r="RN108" s="238"/>
      <c r="RO108" s="238"/>
      <c r="RP108" s="238"/>
      <c r="RQ108" s="238"/>
      <c r="RR108" s="238"/>
      <c r="RS108" s="238"/>
      <c r="RT108" s="238"/>
      <c r="RU108" s="238"/>
      <c r="RV108" s="238"/>
      <c r="RW108" s="238"/>
      <c r="RX108" s="238"/>
      <c r="RY108" s="238"/>
      <c r="RZ108" s="238"/>
      <c r="SA108" s="238"/>
      <c r="SB108" s="238"/>
      <c r="SC108" s="238"/>
      <c r="SD108" s="238"/>
      <c r="SE108" s="238"/>
      <c r="SF108" s="238"/>
      <c r="SG108" s="238"/>
      <c r="SH108" s="238"/>
      <c r="SI108" s="238"/>
      <c r="SJ108" s="238"/>
      <c r="SK108" s="238"/>
      <c r="SL108" s="238"/>
      <c r="SM108" s="238"/>
      <c r="SN108" s="238"/>
      <c r="SO108" s="238"/>
      <c r="SP108" s="238"/>
      <c r="SQ108" s="238"/>
      <c r="SR108" s="238"/>
      <c r="SS108" s="238"/>
      <c r="ST108" s="238"/>
      <c r="SU108" s="238"/>
      <c r="SV108" s="238"/>
      <c r="SW108" s="238"/>
      <c r="SX108" s="238"/>
      <c r="SY108" s="238"/>
      <c r="SZ108" s="238"/>
      <c r="TA108" s="238"/>
      <c r="TB108" s="238"/>
      <c r="TC108" s="238"/>
      <c r="TD108" s="238"/>
      <c r="TE108" s="238"/>
      <c r="TF108" s="238"/>
      <c r="TG108" s="238"/>
      <c r="TH108" s="238"/>
      <c r="TI108" s="238"/>
      <c r="TJ108" s="238"/>
      <c r="TK108" s="238"/>
      <c r="TL108" s="238"/>
      <c r="TM108" s="238"/>
      <c r="TN108" s="238"/>
      <c r="TO108" s="238"/>
      <c r="TP108" s="238"/>
      <c r="TQ108" s="238"/>
      <c r="TR108" s="238"/>
      <c r="TS108" s="238"/>
      <c r="TT108" s="238"/>
      <c r="TU108" s="238"/>
      <c r="TV108" s="238"/>
      <c r="TW108" s="238"/>
      <c r="TX108" s="238"/>
      <c r="TY108" s="238"/>
      <c r="TZ108" s="238"/>
      <c r="UA108" s="238"/>
      <c r="UB108" s="238"/>
      <c r="UC108" s="238"/>
      <c r="UD108" s="238"/>
      <c r="UE108" s="238"/>
      <c r="UF108" s="238"/>
      <c r="UG108" s="248"/>
    </row>
    <row r="109" spans="1:553" s="236" customFormat="1" ht="34.5" customHeight="1">
      <c r="A109" s="356" t="s">
        <v>30</v>
      </c>
      <c r="B109" s="366" t="s">
        <v>35</v>
      </c>
      <c r="C109" s="1414" t="s">
        <v>167</v>
      </c>
      <c r="D109" s="1389"/>
      <c r="E109" s="1389"/>
      <c r="F109" s="1390"/>
      <c r="G109" s="386" t="s">
        <v>935</v>
      </c>
      <c r="H109" s="370"/>
      <c r="I109" s="422">
        <f>(10+6.6)*2*1.9*2</f>
        <v>126.16000000000001</v>
      </c>
      <c r="J109" s="368">
        <v>39000</v>
      </c>
      <c r="K109" s="371"/>
      <c r="L109" s="391">
        <f t="shared" si="25"/>
        <v>4920240</v>
      </c>
      <c r="M109" s="391"/>
      <c r="N109" s="391"/>
      <c r="O109" s="391"/>
      <c r="P109" s="391"/>
      <c r="Q109" s="1537"/>
      <c r="R109" s="1226"/>
      <c r="S109" s="305"/>
      <c r="T109" s="303"/>
      <c r="U109" s="306"/>
      <c r="V109" s="307"/>
      <c r="W109" s="306"/>
      <c r="X109" s="306"/>
      <c r="Y109" s="306"/>
      <c r="Z109" s="306"/>
      <c r="AA109" s="306"/>
      <c r="AB109" s="306"/>
      <c r="AC109" s="449"/>
      <c r="AD109" s="449"/>
      <c r="AE109" s="449"/>
      <c r="AF109" s="449"/>
      <c r="AG109" s="449"/>
      <c r="AH109" s="449"/>
      <c r="AI109" s="449"/>
      <c r="AJ109" s="449"/>
      <c r="AK109" s="452"/>
      <c r="AL109" s="242"/>
      <c r="AM109" s="241"/>
      <c r="AN109" s="241"/>
      <c r="AO109" s="241"/>
      <c r="AP109" s="241"/>
      <c r="AQ109" s="241"/>
      <c r="AR109" s="241"/>
      <c r="AS109" s="238"/>
      <c r="AT109" s="238"/>
      <c r="AU109" s="238"/>
      <c r="AV109" s="238"/>
      <c r="AW109" s="238"/>
      <c r="AX109" s="238"/>
      <c r="AY109" s="238"/>
      <c r="AZ109" s="238"/>
      <c r="BA109" s="238"/>
      <c r="BB109" s="238"/>
      <c r="BC109" s="238"/>
      <c r="BD109" s="238"/>
      <c r="BE109" s="238"/>
      <c r="BF109" s="238"/>
      <c r="BG109" s="238"/>
      <c r="BH109" s="238"/>
      <c r="BI109" s="238"/>
      <c r="BJ109" s="238"/>
      <c r="BK109" s="238"/>
      <c r="BL109" s="238"/>
      <c r="BM109" s="238"/>
      <c r="BN109" s="238"/>
      <c r="BO109" s="238"/>
      <c r="BP109" s="238"/>
      <c r="BQ109" s="238"/>
      <c r="BR109" s="238"/>
      <c r="BS109" s="238"/>
      <c r="BT109" s="238"/>
      <c r="BU109" s="238"/>
      <c r="BV109" s="238"/>
      <c r="BW109" s="238"/>
      <c r="BX109" s="238"/>
      <c r="BY109" s="238"/>
      <c r="BZ109" s="238"/>
      <c r="CA109" s="238"/>
      <c r="CB109" s="238"/>
      <c r="CC109" s="238"/>
      <c r="CD109" s="238"/>
      <c r="CE109" s="238"/>
      <c r="CF109" s="238"/>
      <c r="CG109" s="238"/>
      <c r="CH109" s="238"/>
      <c r="CI109" s="238"/>
      <c r="CJ109" s="238"/>
      <c r="CK109" s="238"/>
      <c r="CL109" s="238"/>
      <c r="CM109" s="238"/>
      <c r="CN109" s="238"/>
      <c r="CO109" s="238"/>
      <c r="CP109" s="238"/>
      <c r="CQ109" s="238"/>
      <c r="CR109" s="238"/>
      <c r="CS109" s="238"/>
      <c r="CT109" s="238"/>
      <c r="CU109" s="238"/>
      <c r="CV109" s="238"/>
      <c r="CW109" s="238"/>
      <c r="CX109" s="238"/>
      <c r="CY109" s="238"/>
      <c r="CZ109" s="238"/>
      <c r="DA109" s="238"/>
      <c r="DB109" s="238"/>
      <c r="DC109" s="238"/>
      <c r="DD109" s="238"/>
      <c r="DE109" s="238"/>
      <c r="DF109" s="238"/>
      <c r="DG109" s="238"/>
      <c r="DH109" s="238"/>
      <c r="DI109" s="238"/>
      <c r="DJ109" s="238"/>
      <c r="DK109" s="238"/>
      <c r="DL109" s="238"/>
      <c r="DM109" s="238"/>
      <c r="DN109" s="238"/>
      <c r="DO109" s="238"/>
      <c r="DP109" s="238"/>
      <c r="DQ109" s="238"/>
      <c r="DR109" s="238"/>
      <c r="DS109" s="238"/>
      <c r="DT109" s="238"/>
      <c r="DU109" s="238"/>
      <c r="DV109" s="238"/>
      <c r="DW109" s="238"/>
      <c r="DX109" s="238"/>
      <c r="DY109" s="238"/>
      <c r="DZ109" s="238"/>
      <c r="EA109" s="238"/>
      <c r="EB109" s="238"/>
      <c r="EC109" s="238"/>
      <c r="ED109" s="238"/>
      <c r="EE109" s="238"/>
      <c r="EF109" s="238"/>
      <c r="EG109" s="238"/>
      <c r="EH109" s="238"/>
      <c r="EI109" s="238"/>
      <c r="EJ109" s="238"/>
      <c r="EK109" s="238"/>
      <c r="EL109" s="238"/>
      <c r="EM109" s="238"/>
      <c r="EN109" s="238"/>
      <c r="EO109" s="238"/>
      <c r="EP109" s="238"/>
      <c r="EQ109" s="238"/>
      <c r="ER109" s="238"/>
      <c r="ES109" s="238"/>
      <c r="ET109" s="238"/>
      <c r="EU109" s="238"/>
      <c r="EV109" s="238"/>
      <c r="EW109" s="238"/>
      <c r="EX109" s="238"/>
      <c r="EY109" s="238"/>
      <c r="EZ109" s="238"/>
      <c r="FA109" s="238"/>
      <c r="FB109" s="238"/>
      <c r="FC109" s="238"/>
      <c r="FD109" s="238"/>
      <c r="FE109" s="238"/>
      <c r="FF109" s="238"/>
      <c r="FG109" s="238"/>
      <c r="FH109" s="238"/>
      <c r="FI109" s="238"/>
      <c r="FJ109" s="238"/>
      <c r="FK109" s="238"/>
      <c r="FL109" s="238"/>
      <c r="FM109" s="238"/>
      <c r="FN109" s="238"/>
      <c r="FO109" s="238"/>
      <c r="FP109" s="238"/>
      <c r="FQ109" s="238"/>
      <c r="FR109" s="238"/>
      <c r="FS109" s="238"/>
      <c r="FT109" s="238"/>
      <c r="FU109" s="238"/>
      <c r="FV109" s="238"/>
      <c r="FW109" s="238"/>
      <c r="FX109" s="238"/>
      <c r="FY109" s="238"/>
      <c r="FZ109" s="238"/>
      <c r="GA109" s="238"/>
      <c r="GB109" s="238"/>
      <c r="GC109" s="238"/>
      <c r="GD109" s="238"/>
      <c r="GE109" s="238"/>
      <c r="GF109" s="238"/>
      <c r="GG109" s="238"/>
      <c r="GH109" s="238"/>
      <c r="GI109" s="238"/>
      <c r="GJ109" s="238"/>
      <c r="GK109" s="238"/>
      <c r="GL109" s="238"/>
      <c r="GM109" s="238"/>
      <c r="GN109" s="238"/>
      <c r="GO109" s="238"/>
      <c r="GP109" s="238"/>
      <c r="GQ109" s="238"/>
      <c r="GR109" s="238"/>
      <c r="GS109" s="238"/>
      <c r="GT109" s="238"/>
      <c r="GU109" s="238"/>
      <c r="GV109" s="238"/>
      <c r="GW109" s="238"/>
      <c r="GX109" s="238"/>
      <c r="GY109" s="238"/>
      <c r="GZ109" s="238"/>
      <c r="HA109" s="238"/>
      <c r="HB109" s="238"/>
      <c r="HC109" s="238"/>
      <c r="HD109" s="238"/>
      <c r="HE109" s="238"/>
      <c r="HF109" s="238"/>
      <c r="HG109" s="238"/>
      <c r="HH109" s="238"/>
      <c r="HI109" s="238"/>
      <c r="HJ109" s="238"/>
      <c r="HK109" s="238"/>
      <c r="HL109" s="238"/>
      <c r="HM109" s="238"/>
      <c r="HN109" s="238"/>
      <c r="HO109" s="238"/>
      <c r="HP109" s="238"/>
      <c r="HQ109" s="238"/>
      <c r="HR109" s="238"/>
      <c r="HS109" s="238"/>
      <c r="HT109" s="238"/>
      <c r="HU109" s="238"/>
      <c r="HV109" s="238"/>
      <c r="HW109" s="238"/>
      <c r="HX109" s="238"/>
      <c r="HY109" s="238"/>
      <c r="HZ109" s="238"/>
      <c r="IA109" s="238"/>
      <c r="IB109" s="238"/>
      <c r="IC109" s="238"/>
      <c r="ID109" s="238"/>
      <c r="IE109" s="238"/>
      <c r="IF109" s="238"/>
      <c r="IG109" s="238"/>
      <c r="IH109" s="238"/>
      <c r="II109" s="238"/>
      <c r="IJ109" s="238"/>
      <c r="IK109" s="238"/>
      <c r="IL109" s="238"/>
      <c r="IM109" s="238"/>
      <c r="IN109" s="238"/>
      <c r="IO109" s="238"/>
      <c r="IP109" s="238"/>
      <c r="IQ109" s="238"/>
      <c r="IR109" s="238"/>
      <c r="IS109" s="238"/>
      <c r="IT109" s="238"/>
      <c r="IU109" s="238"/>
      <c r="IV109" s="238"/>
      <c r="IW109" s="238"/>
      <c r="IX109" s="238"/>
      <c r="IY109" s="238"/>
      <c r="IZ109" s="238"/>
      <c r="JA109" s="238"/>
      <c r="JB109" s="238"/>
      <c r="JC109" s="238"/>
      <c r="JD109" s="238"/>
      <c r="JE109" s="238"/>
      <c r="JF109" s="238"/>
      <c r="JG109" s="238"/>
      <c r="JH109" s="238"/>
      <c r="JI109" s="238"/>
      <c r="JJ109" s="238"/>
      <c r="JK109" s="238"/>
      <c r="JL109" s="238"/>
      <c r="JM109" s="238"/>
      <c r="JN109" s="238"/>
      <c r="JO109" s="238"/>
      <c r="JP109" s="238"/>
      <c r="JQ109" s="238"/>
      <c r="JR109" s="238"/>
      <c r="JS109" s="238"/>
      <c r="JT109" s="238"/>
      <c r="JU109" s="238"/>
      <c r="JV109" s="238"/>
      <c r="JW109" s="238"/>
      <c r="JX109" s="238"/>
      <c r="JY109" s="238"/>
      <c r="JZ109" s="238"/>
      <c r="KA109" s="238"/>
      <c r="KB109" s="238"/>
      <c r="KC109" s="238"/>
      <c r="KD109" s="238"/>
      <c r="KE109" s="238"/>
      <c r="KF109" s="238"/>
      <c r="KG109" s="238"/>
      <c r="KH109" s="238"/>
      <c r="KI109" s="238"/>
      <c r="KJ109" s="238"/>
      <c r="KK109" s="238"/>
      <c r="KL109" s="238"/>
      <c r="KM109" s="238"/>
      <c r="KN109" s="238"/>
      <c r="KO109" s="238"/>
      <c r="KP109" s="238"/>
      <c r="KQ109" s="238"/>
      <c r="KR109" s="238"/>
      <c r="KS109" s="238"/>
      <c r="KT109" s="238"/>
      <c r="KU109" s="238"/>
      <c r="KV109" s="238"/>
      <c r="KW109" s="238"/>
      <c r="KX109" s="238"/>
      <c r="KY109" s="238"/>
      <c r="KZ109" s="238"/>
      <c r="LA109" s="238"/>
      <c r="LB109" s="238"/>
      <c r="LC109" s="238"/>
      <c r="LD109" s="238"/>
      <c r="LE109" s="238"/>
      <c r="LF109" s="238"/>
      <c r="LG109" s="238"/>
      <c r="LH109" s="238"/>
      <c r="LI109" s="238"/>
      <c r="LJ109" s="238"/>
      <c r="LK109" s="238"/>
      <c r="LL109" s="238"/>
      <c r="LM109" s="238"/>
      <c r="LN109" s="238"/>
      <c r="LO109" s="238"/>
      <c r="LP109" s="238"/>
      <c r="LQ109" s="238"/>
      <c r="LR109" s="238"/>
      <c r="LS109" s="238"/>
      <c r="LT109" s="238"/>
      <c r="LU109" s="238"/>
      <c r="LV109" s="238"/>
      <c r="LW109" s="238"/>
      <c r="LX109" s="238"/>
      <c r="LY109" s="238"/>
      <c r="LZ109" s="238"/>
      <c r="MA109" s="238"/>
      <c r="MB109" s="238"/>
      <c r="MC109" s="238"/>
      <c r="MD109" s="238"/>
      <c r="ME109" s="238"/>
      <c r="MF109" s="238"/>
      <c r="MG109" s="238"/>
      <c r="MH109" s="238"/>
      <c r="MI109" s="238"/>
      <c r="MJ109" s="238"/>
      <c r="MK109" s="238"/>
      <c r="ML109" s="238"/>
      <c r="MM109" s="238"/>
      <c r="MN109" s="238"/>
      <c r="MO109" s="238"/>
      <c r="MP109" s="238"/>
      <c r="MQ109" s="238"/>
      <c r="MR109" s="238"/>
      <c r="MS109" s="238"/>
      <c r="MT109" s="238"/>
      <c r="MU109" s="238"/>
      <c r="MV109" s="238"/>
      <c r="MW109" s="238"/>
      <c r="MX109" s="238"/>
      <c r="MY109" s="238"/>
      <c r="MZ109" s="238"/>
      <c r="NA109" s="238"/>
      <c r="NB109" s="238"/>
      <c r="NC109" s="238"/>
      <c r="ND109" s="238"/>
      <c r="NE109" s="238"/>
      <c r="NF109" s="238"/>
      <c r="NG109" s="238"/>
      <c r="NH109" s="238"/>
      <c r="NI109" s="238"/>
      <c r="NJ109" s="238"/>
      <c r="NK109" s="238"/>
      <c r="NL109" s="238"/>
      <c r="NM109" s="238"/>
      <c r="NN109" s="238"/>
      <c r="NO109" s="238"/>
      <c r="NP109" s="238"/>
      <c r="NQ109" s="238"/>
      <c r="NR109" s="238"/>
      <c r="NS109" s="238"/>
      <c r="NT109" s="238"/>
      <c r="NU109" s="238"/>
      <c r="NV109" s="238"/>
      <c r="NW109" s="238"/>
      <c r="NX109" s="238"/>
      <c r="NY109" s="238"/>
      <c r="NZ109" s="238"/>
      <c r="OA109" s="238"/>
      <c r="OB109" s="238"/>
      <c r="OC109" s="238"/>
      <c r="OD109" s="238"/>
      <c r="OE109" s="238"/>
      <c r="OF109" s="238"/>
      <c r="OG109" s="238"/>
      <c r="OH109" s="238"/>
      <c r="OI109" s="238"/>
      <c r="OJ109" s="238"/>
      <c r="OK109" s="238"/>
      <c r="OL109" s="238"/>
      <c r="OM109" s="238"/>
      <c r="ON109" s="238"/>
      <c r="OO109" s="238"/>
      <c r="OP109" s="238"/>
      <c r="OQ109" s="238"/>
      <c r="OR109" s="238"/>
      <c r="OS109" s="238"/>
      <c r="OT109" s="238"/>
      <c r="OU109" s="238"/>
      <c r="OV109" s="238"/>
      <c r="OW109" s="238"/>
      <c r="OX109" s="238"/>
      <c r="OY109" s="238"/>
      <c r="OZ109" s="238"/>
      <c r="PA109" s="238"/>
      <c r="PB109" s="238"/>
      <c r="PC109" s="238"/>
      <c r="PD109" s="238"/>
      <c r="PE109" s="238"/>
      <c r="PF109" s="238"/>
      <c r="PG109" s="238"/>
      <c r="PH109" s="238"/>
      <c r="PI109" s="238"/>
      <c r="PJ109" s="238"/>
      <c r="PK109" s="238"/>
      <c r="PL109" s="238"/>
      <c r="PM109" s="238"/>
      <c r="PN109" s="238"/>
      <c r="PO109" s="238"/>
      <c r="PP109" s="238"/>
      <c r="PQ109" s="238"/>
      <c r="PR109" s="238"/>
      <c r="PS109" s="238"/>
      <c r="PT109" s="238"/>
      <c r="PU109" s="238"/>
      <c r="PV109" s="238"/>
      <c r="PW109" s="238"/>
      <c r="PX109" s="238"/>
      <c r="PY109" s="238"/>
      <c r="PZ109" s="238"/>
      <c r="QA109" s="238"/>
      <c r="QB109" s="238"/>
      <c r="QC109" s="238"/>
      <c r="QD109" s="238"/>
      <c r="QE109" s="238"/>
      <c r="QF109" s="238"/>
      <c r="QG109" s="238"/>
      <c r="QH109" s="238"/>
      <c r="QI109" s="238"/>
      <c r="QJ109" s="238"/>
      <c r="QK109" s="238"/>
      <c r="QL109" s="238"/>
      <c r="QM109" s="238"/>
      <c r="QN109" s="238"/>
      <c r="QO109" s="238"/>
      <c r="QP109" s="238"/>
      <c r="QQ109" s="238"/>
      <c r="QR109" s="238"/>
      <c r="QS109" s="238"/>
      <c r="QT109" s="238"/>
      <c r="QU109" s="238"/>
      <c r="QV109" s="238"/>
      <c r="QW109" s="238"/>
      <c r="QX109" s="238"/>
      <c r="QY109" s="238"/>
      <c r="QZ109" s="238"/>
      <c r="RA109" s="238"/>
      <c r="RB109" s="238"/>
      <c r="RC109" s="238"/>
      <c r="RD109" s="238"/>
      <c r="RE109" s="238"/>
      <c r="RF109" s="238"/>
      <c r="RG109" s="238"/>
      <c r="RH109" s="238"/>
      <c r="RI109" s="238"/>
      <c r="RJ109" s="238"/>
      <c r="RK109" s="238"/>
      <c r="RL109" s="238"/>
      <c r="RM109" s="238"/>
      <c r="RN109" s="238"/>
      <c r="RO109" s="238"/>
      <c r="RP109" s="238"/>
      <c r="RQ109" s="238"/>
      <c r="RR109" s="238"/>
      <c r="RS109" s="238"/>
      <c r="RT109" s="238"/>
      <c r="RU109" s="238"/>
      <c r="RV109" s="238"/>
      <c r="RW109" s="238"/>
      <c r="RX109" s="238"/>
      <c r="RY109" s="238"/>
      <c r="RZ109" s="238"/>
      <c r="SA109" s="238"/>
      <c r="SB109" s="238"/>
      <c r="SC109" s="238"/>
      <c r="SD109" s="238"/>
      <c r="SE109" s="238"/>
      <c r="SF109" s="238"/>
      <c r="SG109" s="238"/>
      <c r="SH109" s="238"/>
      <c r="SI109" s="238"/>
      <c r="SJ109" s="238"/>
      <c r="SK109" s="238"/>
      <c r="SL109" s="238"/>
      <c r="SM109" s="238"/>
      <c r="SN109" s="238"/>
      <c r="SO109" s="238"/>
      <c r="SP109" s="238"/>
      <c r="SQ109" s="238"/>
      <c r="SR109" s="238"/>
      <c r="SS109" s="238"/>
      <c r="ST109" s="238"/>
      <c r="SU109" s="238"/>
      <c r="SV109" s="238"/>
      <c r="SW109" s="238"/>
      <c r="SX109" s="238"/>
      <c r="SY109" s="238"/>
      <c r="SZ109" s="238"/>
      <c r="TA109" s="238"/>
      <c r="TB109" s="238"/>
      <c r="TC109" s="238"/>
      <c r="TD109" s="238"/>
      <c r="TE109" s="238"/>
      <c r="TF109" s="238"/>
      <c r="TG109" s="238"/>
      <c r="TH109" s="238"/>
      <c r="TI109" s="238"/>
      <c r="TJ109" s="238"/>
      <c r="TK109" s="238"/>
      <c r="TL109" s="238"/>
      <c r="TM109" s="238"/>
      <c r="TN109" s="238"/>
      <c r="TO109" s="238"/>
      <c r="TP109" s="238"/>
      <c r="TQ109" s="238"/>
      <c r="TR109" s="238"/>
      <c r="TS109" s="238"/>
      <c r="TT109" s="238"/>
      <c r="TU109" s="238"/>
      <c r="TV109" s="238"/>
      <c r="TW109" s="238"/>
      <c r="TX109" s="238"/>
      <c r="TY109" s="238"/>
      <c r="TZ109" s="238"/>
      <c r="UA109" s="238"/>
      <c r="UB109" s="238"/>
      <c r="UC109" s="238"/>
      <c r="UD109" s="238"/>
      <c r="UE109" s="238"/>
      <c r="UF109" s="238"/>
      <c r="UG109" s="248"/>
    </row>
    <row r="110" spans="1:553" s="236" customFormat="1" ht="34.5" customHeight="1">
      <c r="A110" s="356" t="s">
        <v>30</v>
      </c>
      <c r="B110" s="366" t="s">
        <v>35</v>
      </c>
      <c r="C110" s="1414" t="s">
        <v>168</v>
      </c>
      <c r="D110" s="1389"/>
      <c r="E110" s="1389"/>
      <c r="F110" s="1390"/>
      <c r="G110" s="386" t="s">
        <v>935</v>
      </c>
      <c r="H110" s="370"/>
      <c r="I110" s="422">
        <f>(6.7+7.6)*0.25</f>
        <v>3.5750000000000002</v>
      </c>
      <c r="J110" s="368">
        <v>39000</v>
      </c>
      <c r="K110" s="371"/>
      <c r="L110" s="391">
        <f t="shared" si="25"/>
        <v>139425</v>
      </c>
      <c r="M110" s="391"/>
      <c r="N110" s="391"/>
      <c r="O110" s="391"/>
      <c r="P110" s="391"/>
      <c r="Q110" s="1445"/>
      <c r="R110" s="1226"/>
      <c r="S110" s="308"/>
      <c r="T110" s="303"/>
      <c r="U110" s="306"/>
      <c r="V110" s="307"/>
      <c r="W110" s="306"/>
      <c r="X110" s="306"/>
      <c r="Y110" s="306"/>
      <c r="Z110" s="306"/>
      <c r="AA110" s="306"/>
      <c r="AB110" s="306"/>
      <c r="AC110" s="449"/>
      <c r="AD110" s="449"/>
      <c r="AE110" s="449"/>
      <c r="AF110" s="449"/>
      <c r="AG110" s="449"/>
      <c r="AH110" s="449"/>
      <c r="AI110" s="449"/>
      <c r="AJ110" s="449"/>
      <c r="AK110" s="452"/>
      <c r="AL110" s="242"/>
      <c r="AM110" s="241"/>
      <c r="AN110" s="241"/>
      <c r="AO110" s="241"/>
      <c r="AP110" s="241"/>
      <c r="AQ110" s="241"/>
      <c r="AR110" s="241"/>
      <c r="AS110" s="238"/>
      <c r="AT110" s="238"/>
      <c r="AU110" s="238"/>
      <c r="AV110" s="238"/>
      <c r="AW110" s="238"/>
      <c r="AX110" s="238"/>
      <c r="AY110" s="238"/>
      <c r="AZ110" s="238"/>
      <c r="BA110" s="238"/>
      <c r="BB110" s="238"/>
      <c r="BC110" s="238"/>
      <c r="BD110" s="238"/>
      <c r="BE110" s="238"/>
      <c r="BF110" s="238"/>
      <c r="BG110" s="238"/>
      <c r="BH110" s="238"/>
      <c r="BI110" s="238"/>
      <c r="BJ110" s="238"/>
      <c r="BK110" s="238"/>
      <c r="BL110" s="238"/>
      <c r="BM110" s="238"/>
      <c r="BN110" s="238"/>
      <c r="BO110" s="238"/>
      <c r="BP110" s="238"/>
      <c r="BQ110" s="238"/>
      <c r="BR110" s="238"/>
      <c r="BS110" s="238"/>
      <c r="BT110" s="238"/>
      <c r="BU110" s="238"/>
      <c r="BV110" s="238"/>
      <c r="BW110" s="238"/>
      <c r="BX110" s="238"/>
      <c r="BY110" s="238"/>
      <c r="BZ110" s="238"/>
      <c r="CA110" s="238"/>
      <c r="CB110" s="238"/>
      <c r="CC110" s="238"/>
      <c r="CD110" s="238"/>
      <c r="CE110" s="238"/>
      <c r="CF110" s="238"/>
      <c r="CG110" s="238"/>
      <c r="CH110" s="238"/>
      <c r="CI110" s="238"/>
      <c r="CJ110" s="238"/>
      <c r="CK110" s="238"/>
      <c r="CL110" s="238"/>
      <c r="CM110" s="238"/>
      <c r="CN110" s="238"/>
      <c r="CO110" s="238"/>
      <c r="CP110" s="238"/>
      <c r="CQ110" s="238"/>
      <c r="CR110" s="238"/>
      <c r="CS110" s="238"/>
      <c r="CT110" s="238"/>
      <c r="CU110" s="238"/>
      <c r="CV110" s="238"/>
      <c r="CW110" s="238"/>
      <c r="CX110" s="238"/>
      <c r="CY110" s="238"/>
      <c r="CZ110" s="238"/>
      <c r="DA110" s="238"/>
      <c r="DB110" s="238"/>
      <c r="DC110" s="238"/>
      <c r="DD110" s="238"/>
      <c r="DE110" s="238"/>
      <c r="DF110" s="238"/>
      <c r="DG110" s="238"/>
      <c r="DH110" s="238"/>
      <c r="DI110" s="238"/>
      <c r="DJ110" s="238"/>
      <c r="DK110" s="238"/>
      <c r="DL110" s="238"/>
      <c r="DM110" s="238"/>
      <c r="DN110" s="238"/>
      <c r="DO110" s="238"/>
      <c r="DP110" s="238"/>
      <c r="DQ110" s="238"/>
      <c r="DR110" s="238"/>
      <c r="DS110" s="238"/>
      <c r="DT110" s="238"/>
      <c r="DU110" s="238"/>
      <c r="DV110" s="238"/>
      <c r="DW110" s="238"/>
      <c r="DX110" s="238"/>
      <c r="DY110" s="238"/>
      <c r="DZ110" s="238"/>
      <c r="EA110" s="238"/>
      <c r="EB110" s="238"/>
      <c r="EC110" s="238"/>
      <c r="ED110" s="238"/>
      <c r="EE110" s="238"/>
      <c r="EF110" s="238"/>
      <c r="EG110" s="238"/>
      <c r="EH110" s="238"/>
      <c r="EI110" s="238"/>
      <c r="EJ110" s="238"/>
      <c r="EK110" s="238"/>
      <c r="EL110" s="238"/>
      <c r="EM110" s="238"/>
      <c r="EN110" s="238"/>
      <c r="EO110" s="238"/>
      <c r="EP110" s="238"/>
      <c r="EQ110" s="238"/>
      <c r="ER110" s="238"/>
      <c r="ES110" s="238"/>
      <c r="ET110" s="238"/>
      <c r="EU110" s="238"/>
      <c r="EV110" s="238"/>
      <c r="EW110" s="238"/>
      <c r="EX110" s="238"/>
      <c r="EY110" s="238"/>
      <c r="EZ110" s="238"/>
      <c r="FA110" s="238"/>
      <c r="FB110" s="238"/>
      <c r="FC110" s="238"/>
      <c r="FD110" s="238"/>
      <c r="FE110" s="238"/>
      <c r="FF110" s="238"/>
      <c r="FG110" s="238"/>
      <c r="FH110" s="238"/>
      <c r="FI110" s="238"/>
      <c r="FJ110" s="238"/>
      <c r="FK110" s="238"/>
      <c r="FL110" s="238"/>
      <c r="FM110" s="238"/>
      <c r="FN110" s="238"/>
      <c r="FO110" s="238"/>
      <c r="FP110" s="238"/>
      <c r="FQ110" s="238"/>
      <c r="FR110" s="238"/>
      <c r="FS110" s="238"/>
      <c r="FT110" s="238"/>
      <c r="FU110" s="238"/>
      <c r="FV110" s="238"/>
      <c r="FW110" s="238"/>
      <c r="FX110" s="238"/>
      <c r="FY110" s="238"/>
      <c r="FZ110" s="238"/>
      <c r="GA110" s="238"/>
      <c r="GB110" s="238"/>
      <c r="GC110" s="238"/>
      <c r="GD110" s="238"/>
      <c r="GE110" s="238"/>
      <c r="GF110" s="238"/>
      <c r="GG110" s="238"/>
      <c r="GH110" s="238"/>
      <c r="GI110" s="238"/>
      <c r="GJ110" s="238"/>
      <c r="GK110" s="238"/>
      <c r="GL110" s="238"/>
      <c r="GM110" s="238"/>
      <c r="GN110" s="238"/>
      <c r="GO110" s="238"/>
      <c r="GP110" s="238"/>
      <c r="GQ110" s="238"/>
      <c r="GR110" s="238"/>
      <c r="GS110" s="238"/>
      <c r="GT110" s="238"/>
      <c r="GU110" s="238"/>
      <c r="GV110" s="238"/>
      <c r="GW110" s="238"/>
      <c r="GX110" s="238"/>
      <c r="GY110" s="238"/>
      <c r="GZ110" s="238"/>
      <c r="HA110" s="238"/>
      <c r="HB110" s="238"/>
      <c r="HC110" s="238"/>
      <c r="HD110" s="238"/>
      <c r="HE110" s="238"/>
      <c r="HF110" s="238"/>
      <c r="HG110" s="238"/>
      <c r="HH110" s="238"/>
      <c r="HI110" s="238"/>
      <c r="HJ110" s="238"/>
      <c r="HK110" s="238"/>
      <c r="HL110" s="238"/>
      <c r="HM110" s="238"/>
      <c r="HN110" s="238"/>
      <c r="HO110" s="238"/>
      <c r="HP110" s="238"/>
      <c r="HQ110" s="238"/>
      <c r="HR110" s="238"/>
      <c r="HS110" s="238"/>
      <c r="HT110" s="238"/>
      <c r="HU110" s="238"/>
      <c r="HV110" s="238"/>
      <c r="HW110" s="238"/>
      <c r="HX110" s="238"/>
      <c r="HY110" s="238"/>
      <c r="HZ110" s="238"/>
      <c r="IA110" s="238"/>
      <c r="IB110" s="238"/>
      <c r="IC110" s="238"/>
      <c r="ID110" s="238"/>
      <c r="IE110" s="238"/>
      <c r="IF110" s="238"/>
      <c r="IG110" s="238"/>
      <c r="IH110" s="238"/>
      <c r="II110" s="238"/>
      <c r="IJ110" s="238"/>
      <c r="IK110" s="238"/>
      <c r="IL110" s="238"/>
      <c r="IM110" s="238"/>
      <c r="IN110" s="238"/>
      <c r="IO110" s="238"/>
      <c r="IP110" s="238"/>
      <c r="IQ110" s="238"/>
      <c r="IR110" s="238"/>
      <c r="IS110" s="238"/>
      <c r="IT110" s="238"/>
      <c r="IU110" s="238"/>
      <c r="IV110" s="238"/>
      <c r="IW110" s="238"/>
      <c r="IX110" s="238"/>
      <c r="IY110" s="238"/>
      <c r="IZ110" s="238"/>
      <c r="JA110" s="238"/>
      <c r="JB110" s="238"/>
      <c r="JC110" s="238"/>
      <c r="JD110" s="238"/>
      <c r="JE110" s="238"/>
      <c r="JF110" s="238"/>
      <c r="JG110" s="238"/>
      <c r="JH110" s="238"/>
      <c r="JI110" s="238"/>
      <c r="JJ110" s="238"/>
      <c r="JK110" s="238"/>
      <c r="JL110" s="238"/>
      <c r="JM110" s="238"/>
      <c r="JN110" s="238"/>
      <c r="JO110" s="238"/>
      <c r="JP110" s="238"/>
      <c r="JQ110" s="238"/>
      <c r="JR110" s="238"/>
      <c r="JS110" s="238"/>
      <c r="JT110" s="238"/>
      <c r="JU110" s="238"/>
      <c r="JV110" s="238"/>
      <c r="JW110" s="238"/>
      <c r="JX110" s="238"/>
      <c r="JY110" s="238"/>
      <c r="JZ110" s="238"/>
      <c r="KA110" s="238"/>
      <c r="KB110" s="238"/>
      <c r="KC110" s="238"/>
      <c r="KD110" s="238"/>
      <c r="KE110" s="238"/>
      <c r="KF110" s="238"/>
      <c r="KG110" s="238"/>
      <c r="KH110" s="238"/>
      <c r="KI110" s="238"/>
      <c r="KJ110" s="238"/>
      <c r="KK110" s="238"/>
      <c r="KL110" s="238"/>
      <c r="KM110" s="238"/>
      <c r="KN110" s="238"/>
      <c r="KO110" s="238"/>
      <c r="KP110" s="238"/>
      <c r="KQ110" s="238"/>
      <c r="KR110" s="238"/>
      <c r="KS110" s="238"/>
      <c r="KT110" s="238"/>
      <c r="KU110" s="238"/>
      <c r="KV110" s="238"/>
      <c r="KW110" s="238"/>
      <c r="KX110" s="238"/>
      <c r="KY110" s="238"/>
      <c r="KZ110" s="238"/>
      <c r="LA110" s="238"/>
      <c r="LB110" s="238"/>
      <c r="LC110" s="238"/>
      <c r="LD110" s="238"/>
      <c r="LE110" s="238"/>
      <c r="LF110" s="238"/>
      <c r="LG110" s="238"/>
      <c r="LH110" s="238"/>
      <c r="LI110" s="238"/>
      <c r="LJ110" s="238"/>
      <c r="LK110" s="238"/>
      <c r="LL110" s="238"/>
      <c r="LM110" s="238"/>
      <c r="LN110" s="238"/>
      <c r="LO110" s="238"/>
      <c r="LP110" s="238"/>
      <c r="LQ110" s="238"/>
      <c r="LR110" s="238"/>
      <c r="LS110" s="238"/>
      <c r="LT110" s="238"/>
      <c r="LU110" s="238"/>
      <c r="LV110" s="238"/>
      <c r="LW110" s="238"/>
      <c r="LX110" s="238"/>
      <c r="LY110" s="238"/>
      <c r="LZ110" s="238"/>
      <c r="MA110" s="238"/>
      <c r="MB110" s="238"/>
      <c r="MC110" s="238"/>
      <c r="MD110" s="238"/>
      <c r="ME110" s="238"/>
      <c r="MF110" s="238"/>
      <c r="MG110" s="238"/>
      <c r="MH110" s="238"/>
      <c r="MI110" s="238"/>
      <c r="MJ110" s="238"/>
      <c r="MK110" s="238"/>
      <c r="ML110" s="238"/>
      <c r="MM110" s="238"/>
      <c r="MN110" s="238"/>
      <c r="MO110" s="238"/>
      <c r="MP110" s="238"/>
      <c r="MQ110" s="238"/>
      <c r="MR110" s="238"/>
      <c r="MS110" s="238"/>
      <c r="MT110" s="238"/>
      <c r="MU110" s="238"/>
      <c r="MV110" s="238"/>
      <c r="MW110" s="238"/>
      <c r="MX110" s="238"/>
      <c r="MY110" s="238"/>
      <c r="MZ110" s="238"/>
      <c r="NA110" s="238"/>
      <c r="NB110" s="238"/>
      <c r="NC110" s="238"/>
      <c r="ND110" s="238"/>
      <c r="NE110" s="238"/>
      <c r="NF110" s="238"/>
      <c r="NG110" s="238"/>
      <c r="NH110" s="238"/>
      <c r="NI110" s="238"/>
      <c r="NJ110" s="238"/>
      <c r="NK110" s="238"/>
      <c r="NL110" s="238"/>
      <c r="NM110" s="238"/>
      <c r="NN110" s="238"/>
      <c r="NO110" s="238"/>
      <c r="NP110" s="238"/>
      <c r="NQ110" s="238"/>
      <c r="NR110" s="238"/>
      <c r="NS110" s="238"/>
      <c r="NT110" s="238"/>
      <c r="NU110" s="238"/>
      <c r="NV110" s="238"/>
      <c r="NW110" s="238"/>
      <c r="NX110" s="238"/>
      <c r="NY110" s="238"/>
      <c r="NZ110" s="238"/>
      <c r="OA110" s="238"/>
      <c r="OB110" s="238"/>
      <c r="OC110" s="238"/>
      <c r="OD110" s="238"/>
      <c r="OE110" s="238"/>
      <c r="OF110" s="238"/>
      <c r="OG110" s="238"/>
      <c r="OH110" s="238"/>
      <c r="OI110" s="238"/>
      <c r="OJ110" s="238"/>
      <c r="OK110" s="238"/>
      <c r="OL110" s="238"/>
      <c r="OM110" s="238"/>
      <c r="ON110" s="238"/>
      <c r="OO110" s="238"/>
      <c r="OP110" s="238"/>
      <c r="OQ110" s="238"/>
      <c r="OR110" s="238"/>
      <c r="OS110" s="238"/>
      <c r="OT110" s="238"/>
      <c r="OU110" s="238"/>
      <c r="OV110" s="238"/>
      <c r="OW110" s="238"/>
      <c r="OX110" s="238"/>
      <c r="OY110" s="238"/>
      <c r="OZ110" s="238"/>
      <c r="PA110" s="238"/>
      <c r="PB110" s="238"/>
      <c r="PC110" s="238"/>
      <c r="PD110" s="238"/>
      <c r="PE110" s="238"/>
      <c r="PF110" s="238"/>
      <c r="PG110" s="238"/>
      <c r="PH110" s="238"/>
      <c r="PI110" s="238"/>
      <c r="PJ110" s="238"/>
      <c r="PK110" s="238"/>
      <c r="PL110" s="238"/>
      <c r="PM110" s="238"/>
      <c r="PN110" s="238"/>
      <c r="PO110" s="238"/>
      <c r="PP110" s="238"/>
      <c r="PQ110" s="238"/>
      <c r="PR110" s="238"/>
      <c r="PS110" s="238"/>
      <c r="PT110" s="238"/>
      <c r="PU110" s="238"/>
      <c r="PV110" s="238"/>
      <c r="PW110" s="238"/>
      <c r="PX110" s="238"/>
      <c r="PY110" s="238"/>
      <c r="PZ110" s="238"/>
      <c r="QA110" s="238"/>
      <c r="QB110" s="238"/>
      <c r="QC110" s="238"/>
      <c r="QD110" s="238"/>
      <c r="QE110" s="238"/>
      <c r="QF110" s="238"/>
      <c r="QG110" s="238"/>
      <c r="QH110" s="238"/>
      <c r="QI110" s="238"/>
      <c r="QJ110" s="238"/>
      <c r="QK110" s="238"/>
      <c r="QL110" s="238"/>
      <c r="QM110" s="238"/>
      <c r="QN110" s="238"/>
      <c r="QO110" s="238"/>
      <c r="QP110" s="238"/>
      <c r="QQ110" s="238"/>
      <c r="QR110" s="238"/>
      <c r="QS110" s="238"/>
      <c r="QT110" s="238"/>
      <c r="QU110" s="238"/>
      <c r="QV110" s="238"/>
      <c r="QW110" s="238"/>
      <c r="QX110" s="238"/>
      <c r="QY110" s="238"/>
      <c r="QZ110" s="238"/>
      <c r="RA110" s="238"/>
      <c r="RB110" s="238"/>
      <c r="RC110" s="238"/>
      <c r="RD110" s="238"/>
      <c r="RE110" s="238"/>
      <c r="RF110" s="238"/>
      <c r="RG110" s="238"/>
      <c r="RH110" s="238"/>
      <c r="RI110" s="238"/>
      <c r="RJ110" s="238"/>
      <c r="RK110" s="238"/>
      <c r="RL110" s="238"/>
      <c r="RM110" s="238"/>
      <c r="RN110" s="238"/>
      <c r="RO110" s="238"/>
      <c r="RP110" s="238"/>
      <c r="RQ110" s="238"/>
      <c r="RR110" s="238"/>
      <c r="RS110" s="238"/>
      <c r="RT110" s="238"/>
      <c r="RU110" s="238"/>
      <c r="RV110" s="238"/>
      <c r="RW110" s="238"/>
      <c r="RX110" s="238"/>
      <c r="RY110" s="238"/>
      <c r="RZ110" s="238"/>
      <c r="SA110" s="238"/>
      <c r="SB110" s="238"/>
      <c r="SC110" s="238"/>
      <c r="SD110" s="238"/>
      <c r="SE110" s="238"/>
      <c r="SF110" s="238"/>
      <c r="SG110" s="238"/>
      <c r="SH110" s="238"/>
      <c r="SI110" s="238"/>
      <c r="SJ110" s="238"/>
      <c r="SK110" s="238"/>
      <c r="SL110" s="238"/>
      <c r="SM110" s="238"/>
      <c r="SN110" s="238"/>
      <c r="SO110" s="238"/>
      <c r="SP110" s="238"/>
      <c r="SQ110" s="238"/>
      <c r="SR110" s="238"/>
      <c r="SS110" s="238"/>
      <c r="ST110" s="238"/>
      <c r="SU110" s="238"/>
      <c r="SV110" s="238"/>
      <c r="SW110" s="238"/>
      <c r="SX110" s="238"/>
      <c r="SY110" s="238"/>
      <c r="SZ110" s="238"/>
      <c r="TA110" s="238"/>
      <c r="TB110" s="238"/>
      <c r="TC110" s="238"/>
      <c r="TD110" s="238"/>
      <c r="TE110" s="238"/>
      <c r="TF110" s="238"/>
      <c r="TG110" s="238"/>
      <c r="TH110" s="238"/>
      <c r="TI110" s="238"/>
      <c r="TJ110" s="238"/>
      <c r="TK110" s="238"/>
      <c r="TL110" s="238"/>
      <c r="TM110" s="238"/>
      <c r="TN110" s="238"/>
      <c r="TO110" s="238"/>
      <c r="TP110" s="238"/>
      <c r="TQ110" s="238"/>
      <c r="TR110" s="238"/>
      <c r="TS110" s="238"/>
      <c r="TT110" s="238"/>
      <c r="TU110" s="238"/>
      <c r="TV110" s="238"/>
      <c r="TW110" s="238"/>
      <c r="TX110" s="238"/>
      <c r="TY110" s="238"/>
      <c r="TZ110" s="238"/>
      <c r="UA110" s="238"/>
      <c r="UB110" s="238"/>
      <c r="UC110" s="238"/>
      <c r="UD110" s="238"/>
      <c r="UE110" s="238"/>
      <c r="UF110" s="238"/>
      <c r="UG110" s="248"/>
    </row>
    <row r="111" spans="1:553" s="236" customFormat="1" ht="34.5" customHeight="1">
      <c r="A111" s="356" t="s">
        <v>30</v>
      </c>
      <c r="B111" s="366" t="s">
        <v>35</v>
      </c>
      <c r="C111" s="1414" t="s">
        <v>169</v>
      </c>
      <c r="D111" s="1389"/>
      <c r="E111" s="1389"/>
      <c r="F111" s="1390"/>
      <c r="G111" s="386" t="s">
        <v>935</v>
      </c>
      <c r="H111" s="370"/>
      <c r="I111" s="422">
        <f>0.4*10.6*15</f>
        <v>63.6</v>
      </c>
      <c r="J111" s="368">
        <v>39000</v>
      </c>
      <c r="K111" s="371"/>
      <c r="L111" s="391">
        <f t="shared" si="25"/>
        <v>2480400</v>
      </c>
      <c r="M111" s="391"/>
      <c r="N111" s="391"/>
      <c r="O111" s="391"/>
      <c r="P111" s="391"/>
      <c r="Q111" s="610"/>
      <c r="R111" s="1226"/>
      <c r="S111" s="308"/>
      <c r="T111" s="303"/>
      <c r="U111" s="306"/>
      <c r="V111" s="307"/>
      <c r="W111" s="306"/>
      <c r="X111" s="306"/>
      <c r="Y111" s="306"/>
      <c r="Z111" s="306"/>
      <c r="AA111" s="306"/>
      <c r="AB111" s="306"/>
      <c r="AC111" s="449"/>
      <c r="AD111" s="449"/>
      <c r="AE111" s="449"/>
      <c r="AF111" s="449"/>
      <c r="AG111" s="449"/>
      <c r="AH111" s="449"/>
      <c r="AI111" s="449"/>
      <c r="AJ111" s="449"/>
      <c r="AK111" s="452"/>
      <c r="AL111" s="242"/>
      <c r="AM111" s="241"/>
      <c r="AN111" s="241"/>
      <c r="AO111" s="241"/>
      <c r="AP111" s="241"/>
      <c r="AQ111" s="241"/>
      <c r="AR111" s="241"/>
      <c r="AS111" s="238"/>
      <c r="AT111" s="238"/>
      <c r="AU111" s="238"/>
      <c r="AV111" s="238"/>
      <c r="AW111" s="238"/>
      <c r="AX111" s="238"/>
      <c r="AY111" s="238"/>
      <c r="AZ111" s="238"/>
      <c r="BA111" s="238"/>
      <c r="BB111" s="238"/>
      <c r="BC111" s="238"/>
      <c r="BD111" s="238"/>
      <c r="BE111" s="238"/>
      <c r="BF111" s="238"/>
      <c r="BG111" s="238"/>
      <c r="BH111" s="238"/>
      <c r="BI111" s="238"/>
      <c r="BJ111" s="238"/>
      <c r="BK111" s="238"/>
      <c r="BL111" s="238"/>
      <c r="BM111" s="238"/>
      <c r="BN111" s="238"/>
      <c r="BO111" s="238"/>
      <c r="BP111" s="238"/>
      <c r="BQ111" s="238"/>
      <c r="BR111" s="238"/>
      <c r="BS111" s="238"/>
      <c r="BT111" s="238"/>
      <c r="BU111" s="238"/>
      <c r="BV111" s="238"/>
      <c r="BW111" s="238"/>
      <c r="BX111" s="238"/>
      <c r="BY111" s="238"/>
      <c r="BZ111" s="238"/>
      <c r="CA111" s="238"/>
      <c r="CB111" s="238"/>
      <c r="CC111" s="238"/>
      <c r="CD111" s="238"/>
      <c r="CE111" s="238"/>
      <c r="CF111" s="238"/>
      <c r="CG111" s="238"/>
      <c r="CH111" s="238"/>
      <c r="CI111" s="238"/>
      <c r="CJ111" s="238"/>
      <c r="CK111" s="238"/>
      <c r="CL111" s="238"/>
      <c r="CM111" s="238"/>
      <c r="CN111" s="238"/>
      <c r="CO111" s="238"/>
      <c r="CP111" s="238"/>
      <c r="CQ111" s="238"/>
      <c r="CR111" s="238"/>
      <c r="CS111" s="238"/>
      <c r="CT111" s="238"/>
      <c r="CU111" s="238"/>
      <c r="CV111" s="238"/>
      <c r="CW111" s="238"/>
      <c r="CX111" s="238"/>
      <c r="CY111" s="238"/>
      <c r="CZ111" s="238"/>
      <c r="DA111" s="238"/>
      <c r="DB111" s="238"/>
      <c r="DC111" s="238"/>
      <c r="DD111" s="238"/>
      <c r="DE111" s="238"/>
      <c r="DF111" s="238"/>
      <c r="DG111" s="238"/>
      <c r="DH111" s="238"/>
      <c r="DI111" s="238"/>
      <c r="DJ111" s="238"/>
      <c r="DK111" s="238"/>
      <c r="DL111" s="238"/>
      <c r="DM111" s="238"/>
      <c r="DN111" s="238"/>
      <c r="DO111" s="238"/>
      <c r="DP111" s="238"/>
      <c r="DQ111" s="238"/>
      <c r="DR111" s="238"/>
      <c r="DS111" s="238"/>
      <c r="DT111" s="238"/>
      <c r="DU111" s="238"/>
      <c r="DV111" s="238"/>
      <c r="DW111" s="238"/>
      <c r="DX111" s="238"/>
      <c r="DY111" s="238"/>
      <c r="DZ111" s="238"/>
      <c r="EA111" s="238"/>
      <c r="EB111" s="238"/>
      <c r="EC111" s="238"/>
      <c r="ED111" s="238"/>
      <c r="EE111" s="238"/>
      <c r="EF111" s="238"/>
      <c r="EG111" s="238"/>
      <c r="EH111" s="238"/>
      <c r="EI111" s="238"/>
      <c r="EJ111" s="238"/>
      <c r="EK111" s="238"/>
      <c r="EL111" s="238"/>
      <c r="EM111" s="238"/>
      <c r="EN111" s="238"/>
      <c r="EO111" s="238"/>
      <c r="EP111" s="238"/>
      <c r="EQ111" s="238"/>
      <c r="ER111" s="238"/>
      <c r="ES111" s="238"/>
      <c r="ET111" s="238"/>
      <c r="EU111" s="238"/>
      <c r="EV111" s="238"/>
      <c r="EW111" s="238"/>
      <c r="EX111" s="238"/>
      <c r="EY111" s="238"/>
      <c r="EZ111" s="238"/>
      <c r="FA111" s="238"/>
      <c r="FB111" s="238"/>
      <c r="FC111" s="238"/>
      <c r="FD111" s="238"/>
      <c r="FE111" s="238"/>
      <c r="FF111" s="238"/>
      <c r="FG111" s="238"/>
      <c r="FH111" s="238"/>
      <c r="FI111" s="238"/>
      <c r="FJ111" s="238"/>
      <c r="FK111" s="238"/>
      <c r="FL111" s="238"/>
      <c r="FM111" s="238"/>
      <c r="FN111" s="238"/>
      <c r="FO111" s="238"/>
      <c r="FP111" s="238"/>
      <c r="FQ111" s="238"/>
      <c r="FR111" s="238"/>
      <c r="FS111" s="238"/>
      <c r="FT111" s="238"/>
      <c r="FU111" s="238"/>
      <c r="FV111" s="238"/>
      <c r="FW111" s="238"/>
      <c r="FX111" s="238"/>
      <c r="FY111" s="238"/>
      <c r="FZ111" s="238"/>
      <c r="GA111" s="238"/>
      <c r="GB111" s="238"/>
      <c r="GC111" s="238"/>
      <c r="GD111" s="238"/>
      <c r="GE111" s="238"/>
      <c r="GF111" s="238"/>
      <c r="GG111" s="238"/>
      <c r="GH111" s="238"/>
      <c r="GI111" s="238"/>
      <c r="GJ111" s="238"/>
      <c r="GK111" s="238"/>
      <c r="GL111" s="238"/>
      <c r="GM111" s="238"/>
      <c r="GN111" s="238"/>
      <c r="GO111" s="238"/>
      <c r="GP111" s="238"/>
      <c r="GQ111" s="238"/>
      <c r="GR111" s="238"/>
      <c r="GS111" s="238"/>
      <c r="GT111" s="238"/>
      <c r="GU111" s="238"/>
      <c r="GV111" s="238"/>
      <c r="GW111" s="238"/>
      <c r="GX111" s="238"/>
      <c r="GY111" s="238"/>
      <c r="GZ111" s="238"/>
      <c r="HA111" s="238"/>
      <c r="HB111" s="238"/>
      <c r="HC111" s="238"/>
      <c r="HD111" s="238"/>
      <c r="HE111" s="238"/>
      <c r="HF111" s="238"/>
      <c r="HG111" s="238"/>
      <c r="HH111" s="238"/>
      <c r="HI111" s="238"/>
      <c r="HJ111" s="238"/>
      <c r="HK111" s="238"/>
      <c r="HL111" s="238"/>
      <c r="HM111" s="238"/>
      <c r="HN111" s="238"/>
      <c r="HO111" s="238"/>
      <c r="HP111" s="238"/>
      <c r="HQ111" s="238"/>
      <c r="HR111" s="238"/>
      <c r="HS111" s="238"/>
      <c r="HT111" s="238"/>
      <c r="HU111" s="238"/>
      <c r="HV111" s="238"/>
      <c r="HW111" s="238"/>
      <c r="HX111" s="238"/>
      <c r="HY111" s="238"/>
      <c r="HZ111" s="238"/>
      <c r="IA111" s="238"/>
      <c r="IB111" s="238"/>
      <c r="IC111" s="238"/>
      <c r="ID111" s="238"/>
      <c r="IE111" s="238"/>
      <c r="IF111" s="238"/>
      <c r="IG111" s="238"/>
      <c r="IH111" s="238"/>
      <c r="II111" s="238"/>
      <c r="IJ111" s="238"/>
      <c r="IK111" s="238"/>
      <c r="IL111" s="238"/>
      <c r="IM111" s="238"/>
      <c r="IN111" s="238"/>
      <c r="IO111" s="238"/>
      <c r="IP111" s="238"/>
      <c r="IQ111" s="238"/>
      <c r="IR111" s="238"/>
      <c r="IS111" s="238"/>
      <c r="IT111" s="238"/>
      <c r="IU111" s="238"/>
      <c r="IV111" s="238"/>
      <c r="IW111" s="238"/>
      <c r="IX111" s="238"/>
      <c r="IY111" s="238"/>
      <c r="IZ111" s="238"/>
      <c r="JA111" s="238"/>
      <c r="JB111" s="238"/>
      <c r="JC111" s="238"/>
      <c r="JD111" s="238"/>
      <c r="JE111" s="238"/>
      <c r="JF111" s="238"/>
      <c r="JG111" s="238"/>
      <c r="JH111" s="238"/>
      <c r="JI111" s="238"/>
      <c r="JJ111" s="238"/>
      <c r="JK111" s="238"/>
      <c r="JL111" s="238"/>
      <c r="JM111" s="238"/>
      <c r="JN111" s="238"/>
      <c r="JO111" s="238"/>
      <c r="JP111" s="238"/>
      <c r="JQ111" s="238"/>
      <c r="JR111" s="238"/>
      <c r="JS111" s="238"/>
      <c r="JT111" s="238"/>
      <c r="JU111" s="238"/>
      <c r="JV111" s="238"/>
      <c r="JW111" s="238"/>
      <c r="JX111" s="238"/>
      <c r="JY111" s="238"/>
      <c r="JZ111" s="238"/>
      <c r="KA111" s="238"/>
      <c r="KB111" s="238"/>
      <c r="KC111" s="238"/>
      <c r="KD111" s="238"/>
      <c r="KE111" s="238"/>
      <c r="KF111" s="238"/>
      <c r="KG111" s="238"/>
      <c r="KH111" s="238"/>
      <c r="KI111" s="238"/>
      <c r="KJ111" s="238"/>
      <c r="KK111" s="238"/>
      <c r="KL111" s="238"/>
      <c r="KM111" s="238"/>
      <c r="KN111" s="238"/>
      <c r="KO111" s="238"/>
      <c r="KP111" s="238"/>
      <c r="KQ111" s="238"/>
      <c r="KR111" s="238"/>
      <c r="KS111" s="238"/>
      <c r="KT111" s="238"/>
      <c r="KU111" s="238"/>
      <c r="KV111" s="238"/>
      <c r="KW111" s="238"/>
      <c r="KX111" s="238"/>
      <c r="KY111" s="238"/>
      <c r="KZ111" s="238"/>
      <c r="LA111" s="238"/>
      <c r="LB111" s="238"/>
      <c r="LC111" s="238"/>
      <c r="LD111" s="238"/>
      <c r="LE111" s="238"/>
      <c r="LF111" s="238"/>
      <c r="LG111" s="238"/>
      <c r="LH111" s="238"/>
      <c r="LI111" s="238"/>
      <c r="LJ111" s="238"/>
      <c r="LK111" s="238"/>
      <c r="LL111" s="238"/>
      <c r="LM111" s="238"/>
      <c r="LN111" s="238"/>
      <c r="LO111" s="238"/>
      <c r="LP111" s="238"/>
      <c r="LQ111" s="238"/>
      <c r="LR111" s="238"/>
      <c r="LS111" s="238"/>
      <c r="LT111" s="238"/>
      <c r="LU111" s="238"/>
      <c r="LV111" s="238"/>
      <c r="LW111" s="238"/>
      <c r="LX111" s="238"/>
      <c r="LY111" s="238"/>
      <c r="LZ111" s="238"/>
      <c r="MA111" s="238"/>
      <c r="MB111" s="238"/>
      <c r="MC111" s="238"/>
      <c r="MD111" s="238"/>
      <c r="ME111" s="238"/>
      <c r="MF111" s="238"/>
      <c r="MG111" s="238"/>
      <c r="MH111" s="238"/>
      <c r="MI111" s="238"/>
      <c r="MJ111" s="238"/>
      <c r="MK111" s="238"/>
      <c r="ML111" s="238"/>
      <c r="MM111" s="238"/>
      <c r="MN111" s="238"/>
      <c r="MO111" s="238"/>
      <c r="MP111" s="238"/>
      <c r="MQ111" s="238"/>
      <c r="MR111" s="238"/>
      <c r="MS111" s="238"/>
      <c r="MT111" s="238"/>
      <c r="MU111" s="238"/>
      <c r="MV111" s="238"/>
      <c r="MW111" s="238"/>
      <c r="MX111" s="238"/>
      <c r="MY111" s="238"/>
      <c r="MZ111" s="238"/>
      <c r="NA111" s="238"/>
      <c r="NB111" s="238"/>
      <c r="NC111" s="238"/>
      <c r="ND111" s="238"/>
      <c r="NE111" s="238"/>
      <c r="NF111" s="238"/>
      <c r="NG111" s="238"/>
      <c r="NH111" s="238"/>
      <c r="NI111" s="238"/>
      <c r="NJ111" s="238"/>
      <c r="NK111" s="238"/>
      <c r="NL111" s="238"/>
      <c r="NM111" s="238"/>
      <c r="NN111" s="238"/>
      <c r="NO111" s="238"/>
      <c r="NP111" s="238"/>
      <c r="NQ111" s="238"/>
      <c r="NR111" s="238"/>
      <c r="NS111" s="238"/>
      <c r="NT111" s="238"/>
      <c r="NU111" s="238"/>
      <c r="NV111" s="238"/>
      <c r="NW111" s="238"/>
      <c r="NX111" s="238"/>
      <c r="NY111" s="238"/>
      <c r="NZ111" s="238"/>
      <c r="OA111" s="238"/>
      <c r="OB111" s="238"/>
      <c r="OC111" s="238"/>
      <c r="OD111" s="238"/>
      <c r="OE111" s="238"/>
      <c r="OF111" s="238"/>
      <c r="OG111" s="238"/>
      <c r="OH111" s="238"/>
      <c r="OI111" s="238"/>
      <c r="OJ111" s="238"/>
      <c r="OK111" s="238"/>
      <c r="OL111" s="238"/>
      <c r="OM111" s="238"/>
      <c r="ON111" s="238"/>
      <c r="OO111" s="238"/>
      <c r="OP111" s="238"/>
      <c r="OQ111" s="238"/>
      <c r="OR111" s="238"/>
      <c r="OS111" s="238"/>
      <c r="OT111" s="238"/>
      <c r="OU111" s="238"/>
      <c r="OV111" s="238"/>
      <c r="OW111" s="238"/>
      <c r="OX111" s="238"/>
      <c r="OY111" s="238"/>
      <c r="OZ111" s="238"/>
      <c r="PA111" s="238"/>
      <c r="PB111" s="238"/>
      <c r="PC111" s="238"/>
      <c r="PD111" s="238"/>
      <c r="PE111" s="238"/>
      <c r="PF111" s="238"/>
      <c r="PG111" s="238"/>
      <c r="PH111" s="238"/>
      <c r="PI111" s="238"/>
      <c r="PJ111" s="238"/>
      <c r="PK111" s="238"/>
      <c r="PL111" s="238"/>
      <c r="PM111" s="238"/>
      <c r="PN111" s="238"/>
      <c r="PO111" s="238"/>
      <c r="PP111" s="238"/>
      <c r="PQ111" s="238"/>
      <c r="PR111" s="238"/>
      <c r="PS111" s="238"/>
      <c r="PT111" s="238"/>
      <c r="PU111" s="238"/>
      <c r="PV111" s="238"/>
      <c r="PW111" s="238"/>
      <c r="PX111" s="238"/>
      <c r="PY111" s="238"/>
      <c r="PZ111" s="238"/>
      <c r="QA111" s="238"/>
      <c r="QB111" s="238"/>
      <c r="QC111" s="238"/>
      <c r="QD111" s="238"/>
      <c r="QE111" s="238"/>
      <c r="QF111" s="238"/>
      <c r="QG111" s="238"/>
      <c r="QH111" s="238"/>
      <c r="QI111" s="238"/>
      <c r="QJ111" s="238"/>
      <c r="QK111" s="238"/>
      <c r="QL111" s="238"/>
      <c r="QM111" s="238"/>
      <c r="QN111" s="238"/>
      <c r="QO111" s="238"/>
      <c r="QP111" s="238"/>
      <c r="QQ111" s="238"/>
      <c r="QR111" s="238"/>
      <c r="QS111" s="238"/>
      <c r="QT111" s="238"/>
      <c r="QU111" s="238"/>
      <c r="QV111" s="238"/>
      <c r="QW111" s="238"/>
      <c r="QX111" s="238"/>
      <c r="QY111" s="238"/>
      <c r="QZ111" s="238"/>
      <c r="RA111" s="238"/>
      <c r="RB111" s="238"/>
      <c r="RC111" s="238"/>
      <c r="RD111" s="238"/>
      <c r="RE111" s="238"/>
      <c r="RF111" s="238"/>
      <c r="RG111" s="238"/>
      <c r="RH111" s="238"/>
      <c r="RI111" s="238"/>
      <c r="RJ111" s="238"/>
      <c r="RK111" s="238"/>
      <c r="RL111" s="238"/>
      <c r="RM111" s="238"/>
      <c r="RN111" s="238"/>
      <c r="RO111" s="238"/>
      <c r="RP111" s="238"/>
      <c r="RQ111" s="238"/>
      <c r="RR111" s="238"/>
      <c r="RS111" s="238"/>
      <c r="RT111" s="238"/>
      <c r="RU111" s="238"/>
      <c r="RV111" s="238"/>
      <c r="RW111" s="238"/>
      <c r="RX111" s="238"/>
      <c r="RY111" s="238"/>
      <c r="RZ111" s="238"/>
      <c r="SA111" s="238"/>
      <c r="SB111" s="238"/>
      <c r="SC111" s="238"/>
      <c r="SD111" s="238"/>
      <c r="SE111" s="238"/>
      <c r="SF111" s="238"/>
      <c r="SG111" s="238"/>
      <c r="SH111" s="238"/>
      <c r="SI111" s="238"/>
      <c r="SJ111" s="238"/>
      <c r="SK111" s="238"/>
      <c r="SL111" s="238"/>
      <c r="SM111" s="238"/>
      <c r="SN111" s="238"/>
      <c r="SO111" s="238"/>
      <c r="SP111" s="238"/>
      <c r="SQ111" s="238"/>
      <c r="SR111" s="238"/>
      <c r="SS111" s="238"/>
      <c r="ST111" s="238"/>
      <c r="SU111" s="238"/>
      <c r="SV111" s="238"/>
      <c r="SW111" s="238"/>
      <c r="SX111" s="238"/>
      <c r="SY111" s="238"/>
      <c r="SZ111" s="238"/>
      <c r="TA111" s="238"/>
      <c r="TB111" s="238"/>
      <c r="TC111" s="238"/>
      <c r="TD111" s="238"/>
      <c r="TE111" s="238"/>
      <c r="TF111" s="238"/>
      <c r="TG111" s="238"/>
      <c r="TH111" s="238"/>
      <c r="TI111" s="238"/>
      <c r="TJ111" s="238"/>
      <c r="TK111" s="238"/>
      <c r="TL111" s="238"/>
      <c r="TM111" s="238"/>
      <c r="TN111" s="238"/>
      <c r="TO111" s="238"/>
      <c r="TP111" s="238"/>
      <c r="TQ111" s="238"/>
      <c r="TR111" s="238"/>
      <c r="TS111" s="238"/>
      <c r="TT111" s="238"/>
      <c r="TU111" s="238"/>
      <c r="TV111" s="238"/>
      <c r="TW111" s="238"/>
      <c r="TX111" s="238"/>
      <c r="TY111" s="238"/>
      <c r="TZ111" s="238"/>
      <c r="UA111" s="238"/>
      <c r="UB111" s="238"/>
      <c r="UC111" s="238"/>
      <c r="UD111" s="238"/>
      <c r="UE111" s="238"/>
      <c r="UF111" s="238"/>
      <c r="UG111" s="248"/>
    </row>
    <row r="112" spans="1:553" s="236" customFormat="1" ht="34.5" customHeight="1">
      <c r="A112" s="356" t="s">
        <v>30</v>
      </c>
      <c r="B112" s="366" t="s">
        <v>35</v>
      </c>
      <c r="C112" s="1414" t="s">
        <v>170</v>
      </c>
      <c r="D112" s="1389"/>
      <c r="E112" s="1389"/>
      <c r="F112" s="1390"/>
      <c r="G112" s="386" t="s">
        <v>935</v>
      </c>
      <c r="H112" s="370"/>
      <c r="I112" s="422">
        <f>0.4*7.7*6</f>
        <v>18.48</v>
      </c>
      <c r="J112" s="368">
        <v>39000</v>
      </c>
      <c r="K112" s="371"/>
      <c r="L112" s="391">
        <f t="shared" si="25"/>
        <v>720720</v>
      </c>
      <c r="M112" s="391"/>
      <c r="N112" s="391"/>
      <c r="O112" s="391"/>
      <c r="P112" s="391"/>
      <c r="Q112" s="610"/>
      <c r="R112" s="1226"/>
      <c r="S112" s="308"/>
      <c r="T112" s="303"/>
      <c r="U112" s="306"/>
      <c r="V112" s="307"/>
      <c r="W112" s="307"/>
      <c r="X112" s="307"/>
      <c r="Y112" s="307"/>
      <c r="Z112" s="307"/>
      <c r="AA112" s="307"/>
      <c r="AB112" s="307"/>
      <c r="AC112" s="449"/>
      <c r="AD112" s="449"/>
      <c r="AE112" s="449"/>
      <c r="AF112" s="449"/>
      <c r="AG112" s="449"/>
      <c r="AH112" s="449"/>
      <c r="AI112" s="449"/>
      <c r="AJ112" s="449"/>
      <c r="AK112" s="452"/>
      <c r="AL112" s="242"/>
      <c r="AM112" s="241"/>
      <c r="AN112" s="241"/>
      <c r="AO112" s="241"/>
      <c r="AP112" s="241"/>
      <c r="AQ112" s="241"/>
      <c r="AR112" s="241"/>
      <c r="AS112" s="238"/>
      <c r="AT112" s="238"/>
      <c r="AU112" s="238"/>
      <c r="AV112" s="238"/>
      <c r="AW112" s="238"/>
      <c r="AX112" s="238"/>
      <c r="AY112" s="238"/>
      <c r="AZ112" s="238"/>
      <c r="BA112" s="238"/>
      <c r="BB112" s="238"/>
      <c r="BC112" s="238"/>
      <c r="BD112" s="238"/>
      <c r="BE112" s="238"/>
      <c r="BF112" s="238"/>
      <c r="BG112" s="238"/>
      <c r="BH112" s="238"/>
      <c r="BI112" s="238"/>
      <c r="BJ112" s="238"/>
      <c r="BK112" s="238"/>
      <c r="BL112" s="238"/>
      <c r="BM112" s="238"/>
      <c r="BN112" s="238"/>
      <c r="BO112" s="238"/>
      <c r="BP112" s="238"/>
      <c r="BQ112" s="238"/>
      <c r="BR112" s="238"/>
      <c r="BS112" s="238"/>
      <c r="BT112" s="238"/>
      <c r="BU112" s="238"/>
      <c r="BV112" s="238"/>
      <c r="BW112" s="238"/>
      <c r="BX112" s="238"/>
      <c r="BY112" s="238"/>
      <c r="BZ112" s="238"/>
      <c r="CA112" s="238"/>
      <c r="CB112" s="238"/>
      <c r="CC112" s="238"/>
      <c r="CD112" s="238"/>
      <c r="CE112" s="238"/>
      <c r="CF112" s="238"/>
      <c r="CG112" s="238"/>
      <c r="CH112" s="238"/>
      <c r="CI112" s="238"/>
      <c r="CJ112" s="238"/>
      <c r="CK112" s="238"/>
      <c r="CL112" s="238"/>
      <c r="CM112" s="238"/>
      <c r="CN112" s="238"/>
      <c r="CO112" s="238"/>
      <c r="CP112" s="238"/>
      <c r="CQ112" s="238"/>
      <c r="CR112" s="238"/>
      <c r="CS112" s="238"/>
      <c r="CT112" s="238"/>
      <c r="CU112" s="238"/>
      <c r="CV112" s="238"/>
      <c r="CW112" s="238"/>
      <c r="CX112" s="238"/>
      <c r="CY112" s="238"/>
      <c r="CZ112" s="238"/>
      <c r="DA112" s="238"/>
      <c r="DB112" s="238"/>
      <c r="DC112" s="238"/>
      <c r="DD112" s="238"/>
      <c r="DE112" s="238"/>
      <c r="DF112" s="238"/>
      <c r="DG112" s="238"/>
      <c r="DH112" s="238"/>
      <c r="DI112" s="238"/>
      <c r="DJ112" s="238"/>
      <c r="DK112" s="238"/>
      <c r="DL112" s="238"/>
      <c r="DM112" s="238"/>
      <c r="DN112" s="238"/>
      <c r="DO112" s="238"/>
      <c r="DP112" s="238"/>
      <c r="DQ112" s="238"/>
      <c r="DR112" s="238"/>
      <c r="DS112" s="238"/>
      <c r="DT112" s="238"/>
      <c r="DU112" s="238"/>
      <c r="DV112" s="238"/>
      <c r="DW112" s="238"/>
      <c r="DX112" s="238"/>
      <c r="DY112" s="238"/>
      <c r="DZ112" s="238"/>
      <c r="EA112" s="238"/>
      <c r="EB112" s="238"/>
      <c r="EC112" s="238"/>
      <c r="ED112" s="238"/>
      <c r="EE112" s="238"/>
      <c r="EF112" s="238"/>
      <c r="EG112" s="238"/>
      <c r="EH112" s="238"/>
      <c r="EI112" s="238"/>
      <c r="EJ112" s="238"/>
      <c r="EK112" s="238"/>
      <c r="EL112" s="238"/>
      <c r="EM112" s="238"/>
      <c r="EN112" s="238"/>
      <c r="EO112" s="238"/>
      <c r="EP112" s="238"/>
      <c r="EQ112" s="238"/>
      <c r="ER112" s="238"/>
      <c r="ES112" s="238"/>
      <c r="ET112" s="238"/>
      <c r="EU112" s="238"/>
      <c r="EV112" s="238"/>
      <c r="EW112" s="238"/>
      <c r="EX112" s="238"/>
      <c r="EY112" s="238"/>
      <c r="EZ112" s="238"/>
      <c r="FA112" s="238"/>
      <c r="FB112" s="238"/>
      <c r="FC112" s="238"/>
      <c r="FD112" s="238"/>
      <c r="FE112" s="238"/>
      <c r="FF112" s="238"/>
      <c r="FG112" s="238"/>
      <c r="FH112" s="238"/>
      <c r="FI112" s="238"/>
      <c r="FJ112" s="238"/>
      <c r="FK112" s="238"/>
      <c r="FL112" s="238"/>
      <c r="FM112" s="238"/>
      <c r="FN112" s="238"/>
      <c r="FO112" s="238"/>
      <c r="FP112" s="238"/>
      <c r="FQ112" s="238"/>
      <c r="FR112" s="238"/>
      <c r="FS112" s="238"/>
      <c r="FT112" s="238"/>
      <c r="FU112" s="238"/>
      <c r="FV112" s="238"/>
      <c r="FW112" s="238"/>
      <c r="FX112" s="238"/>
      <c r="FY112" s="238"/>
      <c r="FZ112" s="238"/>
      <c r="GA112" s="238"/>
      <c r="GB112" s="238"/>
      <c r="GC112" s="238"/>
      <c r="GD112" s="238"/>
      <c r="GE112" s="238"/>
      <c r="GF112" s="238"/>
      <c r="GG112" s="238"/>
      <c r="GH112" s="238"/>
      <c r="GI112" s="238"/>
      <c r="GJ112" s="238"/>
      <c r="GK112" s="238"/>
      <c r="GL112" s="238"/>
      <c r="GM112" s="238"/>
      <c r="GN112" s="238"/>
      <c r="GO112" s="238"/>
      <c r="GP112" s="238"/>
      <c r="GQ112" s="238"/>
      <c r="GR112" s="238"/>
      <c r="GS112" s="238"/>
      <c r="GT112" s="238"/>
      <c r="GU112" s="238"/>
      <c r="GV112" s="238"/>
      <c r="GW112" s="238"/>
      <c r="GX112" s="238"/>
      <c r="GY112" s="238"/>
      <c r="GZ112" s="238"/>
      <c r="HA112" s="238"/>
      <c r="HB112" s="238"/>
      <c r="HC112" s="238"/>
      <c r="HD112" s="238"/>
      <c r="HE112" s="238"/>
      <c r="HF112" s="238"/>
      <c r="HG112" s="238"/>
      <c r="HH112" s="238"/>
      <c r="HI112" s="238"/>
      <c r="HJ112" s="238"/>
      <c r="HK112" s="238"/>
      <c r="HL112" s="238"/>
      <c r="HM112" s="238"/>
      <c r="HN112" s="238"/>
      <c r="HO112" s="238"/>
      <c r="HP112" s="238"/>
      <c r="HQ112" s="238"/>
      <c r="HR112" s="238"/>
      <c r="HS112" s="238"/>
      <c r="HT112" s="238"/>
      <c r="HU112" s="238"/>
      <c r="HV112" s="238"/>
      <c r="HW112" s="238"/>
      <c r="HX112" s="238"/>
      <c r="HY112" s="238"/>
      <c r="HZ112" s="238"/>
      <c r="IA112" s="238"/>
      <c r="IB112" s="238"/>
      <c r="IC112" s="238"/>
      <c r="ID112" s="238"/>
      <c r="IE112" s="238"/>
      <c r="IF112" s="238"/>
      <c r="IG112" s="238"/>
      <c r="IH112" s="238"/>
      <c r="II112" s="238"/>
      <c r="IJ112" s="238"/>
      <c r="IK112" s="238"/>
      <c r="IL112" s="238"/>
      <c r="IM112" s="238"/>
      <c r="IN112" s="238"/>
      <c r="IO112" s="238"/>
      <c r="IP112" s="238"/>
      <c r="IQ112" s="238"/>
      <c r="IR112" s="238"/>
      <c r="IS112" s="238"/>
      <c r="IT112" s="238"/>
      <c r="IU112" s="238"/>
      <c r="IV112" s="238"/>
      <c r="IW112" s="238"/>
      <c r="IX112" s="238"/>
      <c r="IY112" s="238"/>
      <c r="IZ112" s="238"/>
      <c r="JA112" s="238"/>
      <c r="JB112" s="238"/>
      <c r="JC112" s="238"/>
      <c r="JD112" s="238"/>
      <c r="JE112" s="238"/>
      <c r="JF112" s="238"/>
      <c r="JG112" s="238"/>
      <c r="JH112" s="238"/>
      <c r="JI112" s="238"/>
      <c r="JJ112" s="238"/>
      <c r="JK112" s="238"/>
      <c r="JL112" s="238"/>
      <c r="JM112" s="238"/>
      <c r="JN112" s="238"/>
      <c r="JO112" s="238"/>
      <c r="JP112" s="238"/>
      <c r="JQ112" s="238"/>
      <c r="JR112" s="238"/>
      <c r="JS112" s="238"/>
      <c r="JT112" s="238"/>
      <c r="JU112" s="238"/>
      <c r="JV112" s="238"/>
      <c r="JW112" s="238"/>
      <c r="JX112" s="238"/>
      <c r="JY112" s="238"/>
      <c r="JZ112" s="238"/>
      <c r="KA112" s="238"/>
      <c r="KB112" s="238"/>
      <c r="KC112" s="238"/>
      <c r="KD112" s="238"/>
      <c r="KE112" s="238"/>
      <c r="KF112" s="238"/>
      <c r="KG112" s="238"/>
      <c r="KH112" s="238"/>
      <c r="KI112" s="238"/>
      <c r="KJ112" s="238"/>
      <c r="KK112" s="238"/>
      <c r="KL112" s="238"/>
      <c r="KM112" s="238"/>
      <c r="KN112" s="238"/>
      <c r="KO112" s="238"/>
      <c r="KP112" s="238"/>
      <c r="KQ112" s="238"/>
      <c r="KR112" s="238"/>
      <c r="KS112" s="238"/>
      <c r="KT112" s="238"/>
      <c r="KU112" s="238"/>
      <c r="KV112" s="238"/>
      <c r="KW112" s="238"/>
      <c r="KX112" s="238"/>
      <c r="KY112" s="238"/>
      <c r="KZ112" s="238"/>
      <c r="LA112" s="238"/>
      <c r="LB112" s="238"/>
      <c r="LC112" s="238"/>
      <c r="LD112" s="238"/>
      <c r="LE112" s="238"/>
      <c r="LF112" s="238"/>
      <c r="LG112" s="238"/>
      <c r="LH112" s="238"/>
      <c r="LI112" s="238"/>
      <c r="LJ112" s="238"/>
      <c r="LK112" s="238"/>
      <c r="LL112" s="238"/>
      <c r="LM112" s="238"/>
      <c r="LN112" s="238"/>
      <c r="LO112" s="238"/>
      <c r="LP112" s="238"/>
      <c r="LQ112" s="238"/>
      <c r="LR112" s="238"/>
      <c r="LS112" s="238"/>
      <c r="LT112" s="238"/>
      <c r="LU112" s="238"/>
      <c r="LV112" s="238"/>
      <c r="LW112" s="238"/>
      <c r="LX112" s="238"/>
      <c r="LY112" s="238"/>
      <c r="LZ112" s="238"/>
      <c r="MA112" s="238"/>
      <c r="MB112" s="238"/>
      <c r="MC112" s="238"/>
      <c r="MD112" s="238"/>
      <c r="ME112" s="238"/>
      <c r="MF112" s="238"/>
      <c r="MG112" s="238"/>
      <c r="MH112" s="238"/>
      <c r="MI112" s="238"/>
      <c r="MJ112" s="238"/>
      <c r="MK112" s="238"/>
      <c r="ML112" s="238"/>
      <c r="MM112" s="238"/>
      <c r="MN112" s="238"/>
      <c r="MO112" s="238"/>
      <c r="MP112" s="238"/>
      <c r="MQ112" s="238"/>
      <c r="MR112" s="238"/>
      <c r="MS112" s="238"/>
      <c r="MT112" s="238"/>
      <c r="MU112" s="238"/>
      <c r="MV112" s="238"/>
      <c r="MW112" s="238"/>
      <c r="MX112" s="238"/>
      <c r="MY112" s="238"/>
      <c r="MZ112" s="238"/>
      <c r="NA112" s="238"/>
      <c r="NB112" s="238"/>
      <c r="NC112" s="238"/>
      <c r="ND112" s="238"/>
      <c r="NE112" s="238"/>
      <c r="NF112" s="238"/>
      <c r="NG112" s="238"/>
      <c r="NH112" s="238"/>
      <c r="NI112" s="238"/>
      <c r="NJ112" s="238"/>
      <c r="NK112" s="238"/>
      <c r="NL112" s="238"/>
      <c r="NM112" s="238"/>
      <c r="NN112" s="238"/>
      <c r="NO112" s="238"/>
      <c r="NP112" s="238"/>
      <c r="NQ112" s="238"/>
      <c r="NR112" s="238"/>
      <c r="NS112" s="238"/>
      <c r="NT112" s="238"/>
      <c r="NU112" s="238"/>
      <c r="NV112" s="238"/>
      <c r="NW112" s="238"/>
      <c r="NX112" s="238"/>
      <c r="NY112" s="238"/>
      <c r="NZ112" s="238"/>
      <c r="OA112" s="238"/>
      <c r="OB112" s="238"/>
      <c r="OC112" s="238"/>
      <c r="OD112" s="238"/>
      <c r="OE112" s="238"/>
      <c r="OF112" s="238"/>
      <c r="OG112" s="238"/>
      <c r="OH112" s="238"/>
      <c r="OI112" s="238"/>
      <c r="OJ112" s="238"/>
      <c r="OK112" s="238"/>
      <c r="OL112" s="238"/>
      <c r="OM112" s="238"/>
      <c r="ON112" s="238"/>
      <c r="OO112" s="238"/>
      <c r="OP112" s="238"/>
      <c r="OQ112" s="238"/>
      <c r="OR112" s="238"/>
      <c r="OS112" s="238"/>
      <c r="OT112" s="238"/>
      <c r="OU112" s="238"/>
      <c r="OV112" s="238"/>
      <c r="OW112" s="238"/>
      <c r="OX112" s="238"/>
      <c r="OY112" s="238"/>
      <c r="OZ112" s="238"/>
      <c r="PA112" s="238"/>
      <c r="PB112" s="238"/>
      <c r="PC112" s="238"/>
      <c r="PD112" s="238"/>
      <c r="PE112" s="238"/>
      <c r="PF112" s="238"/>
      <c r="PG112" s="238"/>
      <c r="PH112" s="238"/>
      <c r="PI112" s="238"/>
      <c r="PJ112" s="238"/>
      <c r="PK112" s="238"/>
      <c r="PL112" s="238"/>
      <c r="PM112" s="238"/>
      <c r="PN112" s="238"/>
      <c r="PO112" s="238"/>
      <c r="PP112" s="238"/>
      <c r="PQ112" s="238"/>
      <c r="PR112" s="238"/>
      <c r="PS112" s="238"/>
      <c r="PT112" s="238"/>
      <c r="PU112" s="238"/>
      <c r="PV112" s="238"/>
      <c r="PW112" s="238"/>
      <c r="PX112" s="238"/>
      <c r="PY112" s="238"/>
      <c r="PZ112" s="238"/>
      <c r="QA112" s="238"/>
      <c r="QB112" s="238"/>
      <c r="QC112" s="238"/>
      <c r="QD112" s="238"/>
      <c r="QE112" s="238"/>
      <c r="QF112" s="238"/>
      <c r="QG112" s="238"/>
      <c r="QH112" s="238"/>
      <c r="QI112" s="238"/>
      <c r="QJ112" s="238"/>
      <c r="QK112" s="238"/>
      <c r="QL112" s="238"/>
      <c r="QM112" s="238"/>
      <c r="QN112" s="238"/>
      <c r="QO112" s="238"/>
      <c r="QP112" s="238"/>
      <c r="QQ112" s="238"/>
      <c r="QR112" s="238"/>
      <c r="QS112" s="238"/>
      <c r="QT112" s="238"/>
      <c r="QU112" s="238"/>
      <c r="QV112" s="238"/>
      <c r="QW112" s="238"/>
      <c r="QX112" s="238"/>
      <c r="QY112" s="238"/>
      <c r="QZ112" s="238"/>
      <c r="RA112" s="238"/>
      <c r="RB112" s="238"/>
      <c r="RC112" s="238"/>
      <c r="RD112" s="238"/>
      <c r="RE112" s="238"/>
      <c r="RF112" s="238"/>
      <c r="RG112" s="238"/>
      <c r="RH112" s="238"/>
      <c r="RI112" s="238"/>
      <c r="RJ112" s="238"/>
      <c r="RK112" s="238"/>
      <c r="RL112" s="238"/>
      <c r="RM112" s="238"/>
      <c r="RN112" s="238"/>
      <c r="RO112" s="238"/>
      <c r="RP112" s="238"/>
      <c r="RQ112" s="238"/>
      <c r="RR112" s="238"/>
      <c r="RS112" s="238"/>
      <c r="RT112" s="238"/>
      <c r="RU112" s="238"/>
      <c r="RV112" s="238"/>
      <c r="RW112" s="238"/>
      <c r="RX112" s="238"/>
      <c r="RY112" s="238"/>
      <c r="RZ112" s="238"/>
      <c r="SA112" s="238"/>
      <c r="SB112" s="238"/>
      <c r="SC112" s="238"/>
      <c r="SD112" s="238"/>
      <c r="SE112" s="238"/>
      <c r="SF112" s="238"/>
      <c r="SG112" s="238"/>
      <c r="SH112" s="238"/>
      <c r="SI112" s="238"/>
      <c r="SJ112" s="238"/>
      <c r="SK112" s="238"/>
      <c r="SL112" s="238"/>
      <c r="SM112" s="238"/>
      <c r="SN112" s="238"/>
      <c r="SO112" s="238"/>
      <c r="SP112" s="238"/>
      <c r="SQ112" s="238"/>
      <c r="SR112" s="238"/>
      <c r="SS112" s="238"/>
      <c r="ST112" s="238"/>
      <c r="SU112" s="238"/>
      <c r="SV112" s="238"/>
      <c r="SW112" s="238"/>
      <c r="SX112" s="238"/>
      <c r="SY112" s="238"/>
      <c r="SZ112" s="238"/>
      <c r="TA112" s="238"/>
      <c r="TB112" s="238"/>
      <c r="TC112" s="238"/>
      <c r="TD112" s="238"/>
      <c r="TE112" s="238"/>
      <c r="TF112" s="238"/>
      <c r="TG112" s="238"/>
      <c r="TH112" s="238"/>
      <c r="TI112" s="238"/>
      <c r="TJ112" s="238"/>
      <c r="TK112" s="238"/>
      <c r="TL112" s="238"/>
      <c r="TM112" s="238"/>
      <c r="TN112" s="238"/>
      <c r="TO112" s="238"/>
      <c r="TP112" s="238"/>
      <c r="TQ112" s="238"/>
      <c r="TR112" s="238"/>
      <c r="TS112" s="238"/>
      <c r="TT112" s="238"/>
      <c r="TU112" s="238"/>
      <c r="TV112" s="238"/>
      <c r="TW112" s="238"/>
      <c r="TX112" s="238"/>
      <c r="TY112" s="238"/>
      <c r="TZ112" s="238"/>
      <c r="UA112" s="238"/>
      <c r="UB112" s="238"/>
      <c r="UC112" s="238"/>
      <c r="UD112" s="238"/>
      <c r="UE112" s="238"/>
      <c r="UF112" s="238"/>
      <c r="UG112" s="248"/>
    </row>
    <row r="113" spans="1:553" s="462" customFormat="1" ht="34.5" customHeight="1">
      <c r="A113" s="356" t="s">
        <v>15</v>
      </c>
      <c r="B113" s="366" t="s">
        <v>151</v>
      </c>
      <c r="C113" s="1443" t="s">
        <v>171</v>
      </c>
      <c r="D113" s="1389"/>
      <c r="E113" s="1389"/>
      <c r="F113" s="1390"/>
      <c r="G113" s="386" t="s">
        <v>113</v>
      </c>
      <c r="H113" s="370"/>
      <c r="I113" s="422">
        <f>0.35*0.35*2*2</f>
        <v>0.48999999999999994</v>
      </c>
      <c r="J113" s="368">
        <v>1748702</v>
      </c>
      <c r="K113" s="371"/>
      <c r="L113" s="391">
        <f>ROUND(PRODUCT(I113:K113),0)</f>
        <v>856864</v>
      </c>
      <c r="M113" s="391"/>
      <c r="N113" s="391"/>
      <c r="O113" s="391"/>
      <c r="P113" s="391"/>
      <c r="Q113" s="1225"/>
      <c r="R113" s="1226"/>
      <c r="S113" s="308"/>
      <c r="T113" s="303"/>
      <c r="U113" s="306"/>
      <c r="V113" s="307"/>
      <c r="W113" s="306"/>
      <c r="X113" s="306"/>
      <c r="Y113" s="306"/>
      <c r="Z113" s="306"/>
      <c r="AA113" s="306"/>
      <c r="AB113" s="306"/>
      <c r="AC113" s="449"/>
      <c r="AD113" s="449"/>
      <c r="AE113" s="449"/>
      <c r="AF113" s="449"/>
      <c r="AG113" s="449"/>
      <c r="AH113" s="449"/>
      <c r="AI113" s="449"/>
      <c r="AJ113" s="449"/>
      <c r="AK113" s="452"/>
      <c r="AL113" s="979"/>
      <c r="AM113" s="980"/>
      <c r="AN113" s="980"/>
      <c r="AO113" s="980"/>
      <c r="AP113" s="980"/>
      <c r="AQ113" s="980"/>
      <c r="AR113" s="980"/>
      <c r="AS113" s="977"/>
      <c r="AT113" s="977"/>
      <c r="AU113" s="977"/>
      <c r="AV113" s="977"/>
      <c r="AW113" s="977"/>
      <c r="AX113" s="977"/>
      <c r="AY113" s="977"/>
      <c r="AZ113" s="977"/>
      <c r="BA113" s="977"/>
      <c r="BB113" s="977"/>
      <c r="BC113" s="977"/>
      <c r="BD113" s="977"/>
      <c r="BE113" s="977"/>
      <c r="BF113" s="977"/>
      <c r="BG113" s="977"/>
      <c r="BH113" s="977"/>
      <c r="BI113" s="977"/>
      <c r="BJ113" s="977"/>
      <c r="BK113" s="977"/>
      <c r="BL113" s="977"/>
      <c r="BM113" s="977"/>
      <c r="BN113" s="977"/>
      <c r="BO113" s="977"/>
      <c r="BP113" s="977"/>
      <c r="BQ113" s="977"/>
      <c r="BR113" s="977"/>
      <c r="BS113" s="977"/>
      <c r="BT113" s="977"/>
      <c r="BU113" s="977"/>
      <c r="BV113" s="977"/>
      <c r="BW113" s="977"/>
      <c r="BX113" s="977"/>
      <c r="BY113" s="977"/>
      <c r="BZ113" s="977"/>
      <c r="CA113" s="977"/>
      <c r="CB113" s="977"/>
      <c r="CC113" s="977"/>
      <c r="CD113" s="977"/>
      <c r="CE113" s="977"/>
      <c r="CF113" s="977"/>
      <c r="CG113" s="977"/>
      <c r="CH113" s="977"/>
      <c r="CI113" s="977"/>
      <c r="CJ113" s="977"/>
      <c r="CK113" s="977"/>
      <c r="CL113" s="977"/>
      <c r="CM113" s="977"/>
      <c r="CN113" s="977"/>
      <c r="CO113" s="977"/>
      <c r="CP113" s="977"/>
      <c r="CQ113" s="977"/>
      <c r="CR113" s="977"/>
      <c r="CS113" s="977"/>
      <c r="CT113" s="977"/>
      <c r="CU113" s="977"/>
      <c r="CV113" s="977"/>
      <c r="CW113" s="977"/>
      <c r="CX113" s="977"/>
      <c r="CY113" s="977"/>
      <c r="CZ113" s="977"/>
      <c r="DA113" s="977"/>
      <c r="DB113" s="977"/>
      <c r="DC113" s="977"/>
      <c r="DD113" s="977"/>
      <c r="DE113" s="977"/>
      <c r="DF113" s="977"/>
      <c r="DG113" s="977"/>
      <c r="DH113" s="977"/>
      <c r="DI113" s="977"/>
      <c r="DJ113" s="977"/>
      <c r="DK113" s="977"/>
      <c r="DL113" s="977"/>
      <c r="DM113" s="977"/>
      <c r="DN113" s="977"/>
      <c r="DO113" s="977"/>
      <c r="DP113" s="977"/>
      <c r="DQ113" s="977"/>
      <c r="DR113" s="977"/>
      <c r="DS113" s="977"/>
      <c r="DT113" s="977"/>
      <c r="DU113" s="977"/>
      <c r="DV113" s="977"/>
      <c r="DW113" s="977"/>
      <c r="DX113" s="977"/>
      <c r="DY113" s="977"/>
      <c r="DZ113" s="977"/>
      <c r="EA113" s="977"/>
      <c r="EB113" s="977"/>
      <c r="EC113" s="977"/>
      <c r="ED113" s="977"/>
      <c r="EE113" s="977"/>
      <c r="EF113" s="977"/>
      <c r="EG113" s="977"/>
      <c r="EH113" s="977"/>
      <c r="EI113" s="977"/>
      <c r="EJ113" s="977"/>
      <c r="EK113" s="977"/>
      <c r="EL113" s="977"/>
      <c r="EM113" s="977"/>
      <c r="EN113" s="977"/>
      <c r="EO113" s="977"/>
      <c r="EP113" s="977"/>
      <c r="EQ113" s="977"/>
      <c r="ER113" s="977"/>
      <c r="ES113" s="977"/>
      <c r="ET113" s="977"/>
      <c r="EU113" s="977"/>
      <c r="EV113" s="977"/>
      <c r="EW113" s="977"/>
      <c r="EX113" s="977"/>
      <c r="EY113" s="977"/>
      <c r="EZ113" s="977"/>
      <c r="FA113" s="977"/>
      <c r="FB113" s="977"/>
      <c r="FC113" s="977"/>
      <c r="FD113" s="977"/>
      <c r="FE113" s="977"/>
      <c r="FF113" s="977"/>
      <c r="FG113" s="977"/>
      <c r="FH113" s="977"/>
      <c r="FI113" s="977"/>
      <c r="FJ113" s="977"/>
      <c r="FK113" s="977"/>
      <c r="FL113" s="977"/>
      <c r="FM113" s="977"/>
      <c r="FN113" s="977"/>
      <c r="FO113" s="977"/>
      <c r="FP113" s="977"/>
      <c r="FQ113" s="977"/>
      <c r="FR113" s="977"/>
      <c r="FS113" s="977"/>
      <c r="FT113" s="977"/>
      <c r="FU113" s="977"/>
      <c r="FV113" s="977"/>
      <c r="FW113" s="977"/>
      <c r="FX113" s="977"/>
      <c r="FY113" s="977"/>
      <c r="FZ113" s="977"/>
      <c r="GA113" s="977"/>
      <c r="GB113" s="977"/>
      <c r="GC113" s="977"/>
      <c r="GD113" s="977"/>
      <c r="GE113" s="977"/>
      <c r="GF113" s="977"/>
      <c r="GG113" s="977"/>
      <c r="GH113" s="977"/>
      <c r="GI113" s="977"/>
      <c r="GJ113" s="977"/>
      <c r="GK113" s="977"/>
      <c r="GL113" s="977"/>
      <c r="GM113" s="977"/>
      <c r="GN113" s="977"/>
      <c r="GO113" s="977"/>
      <c r="GP113" s="977"/>
      <c r="GQ113" s="977"/>
      <c r="GR113" s="977"/>
      <c r="GS113" s="977"/>
      <c r="GT113" s="977"/>
      <c r="GU113" s="977"/>
      <c r="GV113" s="977"/>
      <c r="GW113" s="977"/>
      <c r="GX113" s="977"/>
      <c r="GY113" s="977"/>
      <c r="GZ113" s="977"/>
      <c r="HA113" s="977"/>
      <c r="HB113" s="977"/>
      <c r="HC113" s="977"/>
      <c r="HD113" s="977"/>
      <c r="HE113" s="977"/>
      <c r="HF113" s="977"/>
      <c r="HG113" s="977"/>
      <c r="HH113" s="977"/>
      <c r="HI113" s="977"/>
      <c r="HJ113" s="977"/>
      <c r="HK113" s="977"/>
      <c r="HL113" s="977"/>
      <c r="HM113" s="977"/>
      <c r="HN113" s="977"/>
      <c r="HO113" s="977"/>
      <c r="HP113" s="977"/>
      <c r="HQ113" s="977"/>
      <c r="HR113" s="977"/>
      <c r="HS113" s="977"/>
      <c r="HT113" s="977"/>
      <c r="HU113" s="977"/>
      <c r="HV113" s="977"/>
      <c r="HW113" s="977"/>
      <c r="HX113" s="977"/>
      <c r="HY113" s="977"/>
      <c r="HZ113" s="977"/>
      <c r="IA113" s="977"/>
      <c r="IB113" s="977"/>
      <c r="IC113" s="977"/>
      <c r="ID113" s="977"/>
      <c r="IE113" s="977"/>
      <c r="IF113" s="977"/>
      <c r="IG113" s="977"/>
      <c r="IH113" s="977"/>
      <c r="II113" s="977"/>
      <c r="IJ113" s="977"/>
      <c r="IK113" s="977"/>
      <c r="IL113" s="977"/>
      <c r="IM113" s="977"/>
      <c r="IN113" s="977"/>
      <c r="IO113" s="977"/>
      <c r="IP113" s="977"/>
      <c r="IQ113" s="977"/>
      <c r="IR113" s="977"/>
      <c r="IS113" s="977"/>
      <c r="IT113" s="977"/>
      <c r="IU113" s="977"/>
      <c r="IV113" s="977"/>
      <c r="IW113" s="977"/>
      <c r="IX113" s="977"/>
      <c r="IY113" s="977"/>
      <c r="IZ113" s="977"/>
      <c r="JA113" s="977"/>
      <c r="JB113" s="977"/>
      <c r="JC113" s="977"/>
      <c r="JD113" s="977"/>
      <c r="JE113" s="977"/>
      <c r="JF113" s="977"/>
      <c r="JG113" s="977"/>
      <c r="JH113" s="977"/>
      <c r="JI113" s="977"/>
      <c r="JJ113" s="977"/>
      <c r="JK113" s="977"/>
      <c r="JL113" s="977"/>
      <c r="JM113" s="977"/>
      <c r="JN113" s="977"/>
      <c r="JO113" s="977"/>
      <c r="JP113" s="977"/>
      <c r="JQ113" s="977"/>
      <c r="JR113" s="977"/>
      <c r="JS113" s="977"/>
      <c r="JT113" s="977"/>
      <c r="JU113" s="977"/>
      <c r="JV113" s="977"/>
      <c r="JW113" s="977"/>
      <c r="JX113" s="977"/>
      <c r="JY113" s="977"/>
      <c r="JZ113" s="977"/>
      <c r="KA113" s="977"/>
      <c r="KB113" s="977"/>
      <c r="KC113" s="977"/>
      <c r="KD113" s="977"/>
      <c r="KE113" s="977"/>
      <c r="KF113" s="977"/>
      <c r="KG113" s="977"/>
      <c r="KH113" s="977"/>
      <c r="KI113" s="977"/>
      <c r="KJ113" s="977"/>
      <c r="KK113" s="977"/>
      <c r="KL113" s="977"/>
      <c r="KM113" s="977"/>
      <c r="KN113" s="977"/>
      <c r="KO113" s="977"/>
      <c r="KP113" s="977"/>
      <c r="KQ113" s="977"/>
      <c r="KR113" s="977"/>
      <c r="KS113" s="977"/>
      <c r="KT113" s="977"/>
      <c r="KU113" s="977"/>
      <c r="KV113" s="977"/>
      <c r="KW113" s="977"/>
      <c r="KX113" s="977"/>
      <c r="KY113" s="977"/>
      <c r="KZ113" s="977"/>
      <c r="LA113" s="977"/>
      <c r="LB113" s="977"/>
      <c r="LC113" s="977"/>
      <c r="LD113" s="977"/>
      <c r="LE113" s="977"/>
      <c r="LF113" s="977"/>
      <c r="LG113" s="977"/>
      <c r="LH113" s="977"/>
      <c r="LI113" s="977"/>
      <c r="LJ113" s="977"/>
      <c r="LK113" s="977"/>
      <c r="LL113" s="977"/>
      <c r="LM113" s="977"/>
      <c r="LN113" s="977"/>
      <c r="LO113" s="977"/>
      <c r="LP113" s="977"/>
      <c r="LQ113" s="977"/>
      <c r="LR113" s="977"/>
      <c r="LS113" s="977"/>
      <c r="LT113" s="977"/>
      <c r="LU113" s="977"/>
      <c r="LV113" s="977"/>
      <c r="LW113" s="977"/>
      <c r="LX113" s="977"/>
      <c r="LY113" s="977"/>
      <c r="LZ113" s="977"/>
      <c r="MA113" s="977"/>
      <c r="MB113" s="977"/>
      <c r="MC113" s="977"/>
      <c r="MD113" s="977"/>
      <c r="ME113" s="977"/>
      <c r="MF113" s="977"/>
      <c r="MG113" s="977"/>
      <c r="MH113" s="977"/>
      <c r="MI113" s="977"/>
      <c r="MJ113" s="977"/>
      <c r="MK113" s="977"/>
      <c r="ML113" s="977"/>
      <c r="MM113" s="977"/>
      <c r="MN113" s="977"/>
      <c r="MO113" s="977"/>
      <c r="MP113" s="977"/>
      <c r="MQ113" s="977"/>
      <c r="MR113" s="977"/>
      <c r="MS113" s="977"/>
      <c r="MT113" s="977"/>
      <c r="MU113" s="977"/>
      <c r="MV113" s="977"/>
      <c r="MW113" s="977"/>
      <c r="MX113" s="977"/>
      <c r="MY113" s="977"/>
      <c r="MZ113" s="977"/>
      <c r="NA113" s="977"/>
      <c r="NB113" s="977"/>
      <c r="NC113" s="977"/>
      <c r="ND113" s="977"/>
      <c r="NE113" s="977"/>
      <c r="NF113" s="977"/>
      <c r="NG113" s="977"/>
      <c r="NH113" s="977"/>
      <c r="NI113" s="977"/>
      <c r="NJ113" s="977"/>
      <c r="NK113" s="977"/>
      <c r="NL113" s="977"/>
      <c r="NM113" s="977"/>
      <c r="NN113" s="977"/>
      <c r="NO113" s="977"/>
      <c r="NP113" s="977"/>
      <c r="NQ113" s="977"/>
      <c r="NR113" s="977"/>
      <c r="NS113" s="977"/>
      <c r="NT113" s="977"/>
      <c r="NU113" s="977"/>
      <c r="NV113" s="977"/>
      <c r="NW113" s="977"/>
      <c r="NX113" s="977"/>
      <c r="NY113" s="977"/>
      <c r="NZ113" s="977"/>
      <c r="OA113" s="977"/>
      <c r="OB113" s="977"/>
      <c r="OC113" s="977"/>
      <c r="OD113" s="977"/>
      <c r="OE113" s="977"/>
      <c r="OF113" s="977"/>
      <c r="OG113" s="977"/>
      <c r="OH113" s="977"/>
      <c r="OI113" s="977"/>
      <c r="OJ113" s="977"/>
      <c r="OK113" s="977"/>
      <c r="OL113" s="977"/>
      <c r="OM113" s="977"/>
      <c r="ON113" s="977"/>
      <c r="OO113" s="977"/>
      <c r="OP113" s="977"/>
      <c r="OQ113" s="977"/>
      <c r="OR113" s="977"/>
      <c r="OS113" s="977"/>
      <c r="OT113" s="977"/>
      <c r="OU113" s="977"/>
      <c r="OV113" s="977"/>
      <c r="OW113" s="977"/>
      <c r="OX113" s="977"/>
      <c r="OY113" s="977"/>
      <c r="OZ113" s="977"/>
      <c r="PA113" s="977"/>
      <c r="PB113" s="977"/>
      <c r="PC113" s="977"/>
      <c r="PD113" s="977"/>
      <c r="PE113" s="977"/>
      <c r="PF113" s="977"/>
      <c r="PG113" s="977"/>
      <c r="PH113" s="977"/>
      <c r="PI113" s="977"/>
      <c r="PJ113" s="977"/>
      <c r="PK113" s="977"/>
      <c r="PL113" s="977"/>
      <c r="PM113" s="977"/>
      <c r="PN113" s="977"/>
      <c r="PO113" s="977"/>
      <c r="PP113" s="977"/>
      <c r="PQ113" s="977"/>
      <c r="PR113" s="977"/>
      <c r="PS113" s="977"/>
      <c r="PT113" s="977"/>
      <c r="PU113" s="977"/>
      <c r="PV113" s="977"/>
      <c r="PW113" s="977"/>
      <c r="PX113" s="977"/>
      <c r="PY113" s="977"/>
      <c r="PZ113" s="977"/>
      <c r="QA113" s="977"/>
      <c r="QB113" s="977"/>
      <c r="QC113" s="977"/>
      <c r="QD113" s="977"/>
      <c r="QE113" s="977"/>
      <c r="QF113" s="977"/>
      <c r="QG113" s="977"/>
      <c r="QH113" s="977"/>
      <c r="QI113" s="977"/>
      <c r="QJ113" s="977"/>
      <c r="QK113" s="977"/>
      <c r="QL113" s="977"/>
      <c r="QM113" s="977"/>
      <c r="QN113" s="977"/>
      <c r="QO113" s="977"/>
      <c r="QP113" s="977"/>
      <c r="QQ113" s="977"/>
      <c r="QR113" s="977"/>
      <c r="QS113" s="977"/>
      <c r="QT113" s="977"/>
      <c r="QU113" s="977"/>
      <c r="QV113" s="977"/>
      <c r="QW113" s="977"/>
      <c r="QX113" s="977"/>
      <c r="QY113" s="977"/>
      <c r="QZ113" s="977"/>
      <c r="RA113" s="977"/>
      <c r="RB113" s="977"/>
      <c r="RC113" s="977"/>
      <c r="RD113" s="977"/>
      <c r="RE113" s="977"/>
      <c r="RF113" s="977"/>
      <c r="RG113" s="977"/>
      <c r="RH113" s="977"/>
      <c r="RI113" s="977"/>
      <c r="RJ113" s="977"/>
      <c r="RK113" s="977"/>
      <c r="RL113" s="977"/>
      <c r="RM113" s="977"/>
      <c r="RN113" s="977"/>
      <c r="RO113" s="977"/>
      <c r="RP113" s="977"/>
      <c r="RQ113" s="977"/>
      <c r="RR113" s="977"/>
      <c r="RS113" s="977"/>
      <c r="RT113" s="977"/>
      <c r="RU113" s="977"/>
      <c r="RV113" s="977"/>
      <c r="RW113" s="977"/>
      <c r="RX113" s="977"/>
      <c r="RY113" s="977"/>
      <c r="RZ113" s="977"/>
      <c r="SA113" s="977"/>
      <c r="SB113" s="977"/>
      <c r="SC113" s="977"/>
      <c r="SD113" s="977"/>
      <c r="SE113" s="977"/>
      <c r="SF113" s="977"/>
      <c r="SG113" s="977"/>
      <c r="SH113" s="977"/>
      <c r="SI113" s="977"/>
      <c r="SJ113" s="977"/>
      <c r="SK113" s="977"/>
      <c r="SL113" s="977"/>
      <c r="SM113" s="977"/>
      <c r="SN113" s="977"/>
      <c r="SO113" s="977"/>
      <c r="SP113" s="977"/>
      <c r="SQ113" s="977"/>
      <c r="SR113" s="977"/>
      <c r="SS113" s="977"/>
      <c r="ST113" s="977"/>
      <c r="SU113" s="977"/>
      <c r="SV113" s="977"/>
      <c r="SW113" s="977"/>
      <c r="SX113" s="977"/>
      <c r="SY113" s="977"/>
      <c r="SZ113" s="977"/>
      <c r="TA113" s="977"/>
      <c r="TB113" s="977"/>
      <c r="TC113" s="977"/>
      <c r="TD113" s="977"/>
      <c r="TE113" s="977"/>
      <c r="TF113" s="977"/>
      <c r="TG113" s="977"/>
      <c r="TH113" s="977"/>
      <c r="TI113" s="977"/>
      <c r="TJ113" s="977"/>
      <c r="TK113" s="977"/>
      <c r="TL113" s="977"/>
      <c r="TM113" s="977"/>
      <c r="TN113" s="977"/>
      <c r="TO113" s="977"/>
      <c r="TP113" s="977"/>
      <c r="TQ113" s="977"/>
      <c r="TR113" s="977"/>
      <c r="TS113" s="977"/>
      <c r="TT113" s="977"/>
      <c r="TU113" s="977"/>
      <c r="TV113" s="977"/>
      <c r="TW113" s="977"/>
      <c r="TX113" s="977"/>
      <c r="TY113" s="977"/>
      <c r="TZ113" s="977"/>
      <c r="UA113" s="977"/>
      <c r="UB113" s="977"/>
      <c r="UC113" s="977"/>
      <c r="UD113" s="977"/>
      <c r="UE113" s="977"/>
      <c r="UF113" s="977"/>
      <c r="UG113" s="978"/>
    </row>
    <row r="114" spans="1:553" s="236" customFormat="1" ht="34.5" customHeight="1">
      <c r="A114" s="356" t="s">
        <v>15</v>
      </c>
      <c r="B114" s="366" t="s">
        <v>114</v>
      </c>
      <c r="C114" s="1414" t="s">
        <v>172</v>
      </c>
      <c r="D114" s="1389"/>
      <c r="E114" s="1389"/>
      <c r="F114" s="1390"/>
      <c r="G114" s="386" t="s">
        <v>173</v>
      </c>
      <c r="H114" s="370"/>
      <c r="I114" s="422">
        <v>2</v>
      </c>
      <c r="J114" s="368">
        <v>2564900</v>
      </c>
      <c r="K114" s="371"/>
      <c r="L114" s="391">
        <f t="shared" ref="L114:L145" si="26">ROUND(PRODUCT(I114:K114),0)</f>
        <v>5129800</v>
      </c>
      <c r="M114" s="395"/>
      <c r="N114" s="395"/>
      <c r="O114" s="366"/>
      <c r="P114" s="396"/>
      <c r="Q114" s="473"/>
      <c r="R114" s="1039"/>
      <c r="S114" s="308"/>
      <c r="T114" s="303"/>
      <c r="U114" s="306"/>
      <c r="V114" s="307"/>
      <c r="W114" s="306"/>
      <c r="X114" s="306"/>
      <c r="Y114" s="306"/>
      <c r="Z114" s="306"/>
      <c r="AA114" s="306"/>
      <c r="AB114" s="306"/>
      <c r="AC114" s="449"/>
      <c r="AD114" s="449"/>
      <c r="AE114" s="449"/>
      <c r="AF114" s="449"/>
      <c r="AG114" s="452"/>
      <c r="AH114" s="452"/>
      <c r="AI114" s="452"/>
      <c r="AJ114" s="452"/>
      <c r="AK114" s="452"/>
      <c r="AL114" s="242"/>
      <c r="AM114" s="241"/>
      <c r="AN114" s="241"/>
      <c r="AO114" s="241"/>
      <c r="AP114" s="241"/>
      <c r="AQ114" s="238"/>
      <c r="AR114" s="238"/>
      <c r="AS114" s="238"/>
      <c r="AT114" s="238"/>
      <c r="AU114" s="238"/>
      <c r="AV114" s="238"/>
      <c r="AW114" s="238"/>
      <c r="AX114" s="238"/>
      <c r="AY114" s="238"/>
      <c r="AZ114" s="238"/>
      <c r="BA114" s="238"/>
      <c r="BB114" s="238"/>
      <c r="BC114" s="238"/>
      <c r="BD114" s="238"/>
      <c r="BE114" s="238"/>
      <c r="BF114" s="238"/>
      <c r="BG114" s="238"/>
      <c r="BH114" s="238"/>
      <c r="BI114" s="238"/>
      <c r="BJ114" s="238"/>
      <c r="BK114" s="238"/>
      <c r="BL114" s="238"/>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c r="CK114" s="239"/>
      <c r="CL114" s="239"/>
      <c r="CM114" s="239"/>
      <c r="CN114" s="239"/>
      <c r="CO114" s="239"/>
      <c r="CP114" s="239"/>
      <c r="CQ114" s="239"/>
      <c r="CR114" s="239"/>
      <c r="CS114" s="239"/>
      <c r="CT114" s="239"/>
      <c r="CU114" s="239"/>
      <c r="CV114" s="239"/>
      <c r="CW114" s="239"/>
      <c r="CX114" s="239"/>
      <c r="CY114" s="239"/>
      <c r="CZ114" s="239"/>
      <c r="DA114" s="239"/>
      <c r="DB114" s="239"/>
      <c r="DC114" s="239"/>
      <c r="DD114" s="239"/>
      <c r="DE114" s="239"/>
      <c r="DF114" s="239"/>
      <c r="DG114" s="239"/>
      <c r="DH114" s="239"/>
      <c r="DI114" s="239"/>
      <c r="DJ114" s="239"/>
      <c r="DK114" s="239"/>
      <c r="DL114" s="239"/>
      <c r="DM114" s="239"/>
      <c r="DN114" s="239"/>
      <c r="DO114" s="239"/>
      <c r="DP114" s="239"/>
      <c r="DQ114" s="239"/>
      <c r="DR114" s="239"/>
      <c r="DS114" s="239"/>
      <c r="DT114" s="239"/>
      <c r="DU114" s="239"/>
      <c r="DV114" s="239"/>
      <c r="DW114" s="239"/>
      <c r="DX114" s="239"/>
      <c r="DY114" s="239"/>
      <c r="DZ114" s="239"/>
      <c r="EA114" s="239"/>
      <c r="EB114" s="239"/>
      <c r="EC114" s="239"/>
      <c r="ED114" s="239"/>
      <c r="EE114" s="239"/>
      <c r="EF114" s="239"/>
      <c r="EG114" s="239"/>
      <c r="EH114" s="239"/>
      <c r="EI114" s="239"/>
      <c r="EJ114" s="239"/>
      <c r="EK114" s="239"/>
      <c r="EL114" s="239"/>
      <c r="EM114" s="239"/>
      <c r="EN114" s="239"/>
      <c r="EO114" s="239"/>
      <c r="EP114" s="239"/>
      <c r="EQ114" s="239"/>
      <c r="ER114" s="239"/>
      <c r="ES114" s="239"/>
      <c r="ET114" s="239"/>
      <c r="EU114" s="239"/>
      <c r="EV114" s="239"/>
      <c r="EW114" s="239"/>
      <c r="EX114" s="239"/>
      <c r="EY114" s="239"/>
      <c r="EZ114" s="239"/>
      <c r="FA114" s="239"/>
      <c r="FB114" s="239"/>
      <c r="FC114" s="239"/>
      <c r="FD114" s="239"/>
      <c r="FE114" s="239"/>
      <c r="FF114" s="239"/>
      <c r="FG114" s="239"/>
      <c r="FH114" s="239"/>
      <c r="FI114" s="239"/>
      <c r="FJ114" s="239"/>
      <c r="FK114" s="239"/>
      <c r="FL114" s="239"/>
      <c r="FM114" s="239"/>
      <c r="FN114" s="239"/>
      <c r="FO114" s="239"/>
      <c r="FP114" s="239"/>
      <c r="FQ114" s="239"/>
      <c r="FR114" s="239"/>
      <c r="FS114" s="239"/>
      <c r="FT114" s="239"/>
      <c r="FU114" s="239"/>
      <c r="FV114" s="239"/>
      <c r="FW114" s="239"/>
      <c r="FX114" s="239"/>
      <c r="FY114" s="239"/>
      <c r="FZ114" s="239"/>
      <c r="GA114" s="239"/>
      <c r="GB114" s="239"/>
      <c r="GC114" s="239"/>
      <c r="GD114" s="239"/>
      <c r="GE114" s="239"/>
      <c r="GF114" s="239"/>
      <c r="GG114" s="239"/>
      <c r="GH114" s="239"/>
      <c r="GI114" s="239"/>
      <c r="GJ114" s="239"/>
      <c r="GK114" s="239"/>
      <c r="GL114" s="239"/>
      <c r="GM114" s="239"/>
      <c r="GN114" s="239"/>
      <c r="GO114" s="239"/>
      <c r="GP114" s="239"/>
      <c r="GQ114" s="239"/>
      <c r="GR114" s="239"/>
      <c r="GS114" s="239"/>
      <c r="GT114" s="239"/>
      <c r="GU114" s="239"/>
      <c r="GV114" s="239"/>
      <c r="GW114" s="239"/>
      <c r="GX114" s="239"/>
      <c r="GY114" s="239"/>
      <c r="GZ114" s="239"/>
      <c r="HA114" s="239"/>
      <c r="HB114" s="239"/>
      <c r="HC114" s="239"/>
      <c r="HD114" s="239"/>
      <c r="HE114" s="239"/>
      <c r="HF114" s="239"/>
      <c r="HG114" s="239"/>
      <c r="HH114" s="239"/>
      <c r="HI114" s="239"/>
      <c r="HJ114" s="239"/>
      <c r="HK114" s="239"/>
      <c r="HL114" s="239"/>
      <c r="HM114" s="239"/>
      <c r="HN114" s="239"/>
      <c r="HO114" s="239"/>
      <c r="HP114" s="239"/>
      <c r="HQ114" s="239"/>
      <c r="HR114" s="239"/>
      <c r="HS114" s="239"/>
      <c r="HT114" s="239"/>
      <c r="HU114" s="239"/>
      <c r="HV114" s="239"/>
      <c r="HW114" s="239"/>
      <c r="HX114" s="239"/>
      <c r="HY114" s="239"/>
      <c r="HZ114" s="239"/>
      <c r="IA114" s="239"/>
      <c r="IB114" s="239"/>
      <c r="IC114" s="239"/>
      <c r="ID114" s="239"/>
      <c r="IE114" s="239"/>
      <c r="IF114" s="239"/>
      <c r="IG114" s="239"/>
      <c r="IH114" s="239"/>
      <c r="II114" s="239"/>
      <c r="IJ114" s="239"/>
      <c r="IK114" s="239"/>
      <c r="IL114" s="239"/>
      <c r="IM114" s="239"/>
      <c r="IN114" s="239"/>
      <c r="IO114" s="239"/>
      <c r="IP114" s="239"/>
      <c r="IQ114" s="239"/>
      <c r="IR114" s="239"/>
      <c r="IS114" s="239"/>
      <c r="IT114" s="239"/>
      <c r="IU114" s="239"/>
      <c r="IV114" s="239"/>
      <c r="IW114" s="239"/>
      <c r="IX114" s="239"/>
      <c r="IY114" s="239"/>
      <c r="IZ114" s="239"/>
      <c r="JA114" s="239"/>
      <c r="JB114" s="239"/>
      <c r="JC114" s="239"/>
      <c r="JD114" s="239"/>
      <c r="JE114" s="239"/>
      <c r="JF114" s="239"/>
      <c r="JG114" s="239"/>
      <c r="JH114" s="239"/>
      <c r="JI114" s="239"/>
      <c r="JJ114" s="239"/>
      <c r="JK114" s="239"/>
      <c r="JL114" s="239"/>
      <c r="JM114" s="239"/>
      <c r="JN114" s="239"/>
      <c r="JO114" s="239"/>
      <c r="JP114" s="239"/>
      <c r="JQ114" s="239"/>
      <c r="JR114" s="239"/>
      <c r="JS114" s="239"/>
      <c r="JT114" s="239"/>
      <c r="JU114" s="239"/>
      <c r="JV114" s="239"/>
      <c r="JW114" s="239"/>
      <c r="JX114" s="239"/>
      <c r="JY114" s="239"/>
      <c r="JZ114" s="239"/>
      <c r="KA114" s="239"/>
      <c r="KB114" s="239"/>
      <c r="KC114" s="239"/>
      <c r="KD114" s="239"/>
      <c r="KE114" s="239"/>
      <c r="KF114" s="239"/>
      <c r="KG114" s="239"/>
      <c r="KH114" s="239"/>
      <c r="KI114" s="239"/>
      <c r="KJ114" s="239"/>
      <c r="KK114" s="239"/>
      <c r="KL114" s="239"/>
      <c r="KM114" s="239"/>
      <c r="KN114" s="239"/>
      <c r="KO114" s="239"/>
      <c r="KP114" s="239"/>
      <c r="KQ114" s="239"/>
      <c r="KR114" s="239"/>
      <c r="KS114" s="239"/>
      <c r="KT114" s="239"/>
      <c r="KU114" s="239"/>
      <c r="KV114" s="239"/>
      <c r="KW114" s="239"/>
      <c r="KX114" s="239"/>
      <c r="KY114" s="239"/>
      <c r="KZ114" s="239"/>
      <c r="LA114" s="239"/>
      <c r="LB114" s="239"/>
      <c r="LC114" s="239"/>
      <c r="LD114" s="239"/>
      <c r="LE114" s="239"/>
      <c r="LF114" s="239"/>
      <c r="LG114" s="239"/>
      <c r="LH114" s="239"/>
      <c r="LI114" s="239"/>
      <c r="LJ114" s="239"/>
      <c r="LK114" s="239"/>
      <c r="LL114" s="239"/>
      <c r="LM114" s="239"/>
      <c r="LN114" s="239"/>
      <c r="LO114" s="239"/>
      <c r="LP114" s="239"/>
      <c r="LQ114" s="239"/>
      <c r="LR114" s="239"/>
      <c r="LS114" s="239"/>
      <c r="LT114" s="239"/>
      <c r="LU114" s="239"/>
      <c r="LV114" s="239"/>
      <c r="LW114" s="239"/>
      <c r="LX114" s="239"/>
      <c r="LY114" s="239"/>
      <c r="LZ114" s="239"/>
      <c r="MA114" s="239"/>
      <c r="MB114" s="239"/>
      <c r="MC114" s="239"/>
      <c r="MD114" s="239"/>
      <c r="ME114" s="239"/>
      <c r="MF114" s="239"/>
      <c r="MG114" s="239"/>
      <c r="MH114" s="239"/>
      <c r="MI114" s="239"/>
      <c r="MJ114" s="239"/>
      <c r="MK114" s="239"/>
      <c r="ML114" s="239"/>
      <c r="MM114" s="239"/>
      <c r="MN114" s="239"/>
      <c r="MO114" s="239"/>
      <c r="MP114" s="239"/>
      <c r="MQ114" s="239"/>
      <c r="MR114" s="239"/>
      <c r="MS114" s="239"/>
      <c r="MT114" s="239"/>
      <c r="MU114" s="239"/>
      <c r="MV114" s="239"/>
      <c r="MW114" s="239"/>
      <c r="MX114" s="239"/>
      <c r="MY114" s="239"/>
      <c r="MZ114" s="239"/>
      <c r="NA114" s="239"/>
      <c r="NB114" s="239"/>
      <c r="NC114" s="239"/>
      <c r="ND114" s="239"/>
      <c r="NE114" s="239"/>
      <c r="NF114" s="239"/>
      <c r="NG114" s="239"/>
      <c r="NH114" s="239"/>
      <c r="NI114" s="239"/>
      <c r="NJ114" s="239"/>
      <c r="NK114" s="239"/>
      <c r="NL114" s="239"/>
      <c r="NM114" s="239"/>
      <c r="NN114" s="239"/>
      <c r="NO114" s="239"/>
      <c r="NP114" s="239"/>
      <c r="NQ114" s="239"/>
      <c r="NR114" s="239"/>
      <c r="NS114" s="239"/>
      <c r="NT114" s="239"/>
      <c r="NU114" s="239"/>
      <c r="NV114" s="239"/>
      <c r="NW114" s="239"/>
      <c r="NX114" s="239"/>
      <c r="NY114" s="239"/>
      <c r="NZ114" s="239"/>
      <c r="OA114" s="239"/>
      <c r="OB114" s="239"/>
      <c r="OC114" s="239"/>
      <c r="OD114" s="239"/>
      <c r="OE114" s="239"/>
      <c r="OF114" s="239"/>
      <c r="OG114" s="239"/>
      <c r="OH114" s="239"/>
      <c r="OI114" s="239"/>
      <c r="OJ114" s="239"/>
      <c r="OK114" s="239"/>
      <c r="OL114" s="239"/>
      <c r="OM114" s="239"/>
      <c r="ON114" s="239"/>
      <c r="OO114" s="239"/>
      <c r="OP114" s="239"/>
      <c r="OQ114" s="239"/>
      <c r="OR114" s="239"/>
      <c r="OS114" s="239"/>
      <c r="OT114" s="239"/>
      <c r="OU114" s="239"/>
      <c r="OV114" s="239"/>
      <c r="OW114" s="239"/>
      <c r="OX114" s="239"/>
      <c r="OY114" s="239"/>
      <c r="OZ114" s="239"/>
      <c r="PA114" s="239"/>
      <c r="PB114" s="239"/>
      <c r="PC114" s="239"/>
      <c r="PD114" s="239"/>
      <c r="PE114" s="239"/>
      <c r="PF114" s="239"/>
      <c r="PG114" s="239"/>
      <c r="PH114" s="239"/>
      <c r="PI114" s="239"/>
      <c r="PJ114" s="239"/>
      <c r="PK114" s="239"/>
      <c r="PL114" s="239"/>
      <c r="PM114" s="239"/>
      <c r="PN114" s="239"/>
      <c r="PO114" s="239"/>
      <c r="PP114" s="239"/>
      <c r="PQ114" s="239"/>
      <c r="PR114" s="239"/>
      <c r="PS114" s="239"/>
      <c r="PT114" s="239"/>
      <c r="PU114" s="239"/>
      <c r="PV114" s="239"/>
      <c r="PW114" s="239"/>
      <c r="PX114" s="239"/>
      <c r="PY114" s="239"/>
      <c r="PZ114" s="239"/>
      <c r="QA114" s="239"/>
      <c r="QB114" s="239"/>
      <c r="QC114" s="239"/>
      <c r="QD114" s="239"/>
      <c r="QE114" s="239"/>
      <c r="QF114" s="239"/>
      <c r="QG114" s="239"/>
      <c r="QH114" s="239"/>
      <c r="QI114" s="239"/>
      <c r="QJ114" s="239"/>
      <c r="QK114" s="239"/>
      <c r="QL114" s="239"/>
      <c r="QM114" s="239"/>
      <c r="QN114" s="239"/>
      <c r="QO114" s="239"/>
      <c r="QP114" s="239"/>
      <c r="QQ114" s="239"/>
      <c r="QR114" s="239"/>
      <c r="QS114" s="239"/>
      <c r="QT114" s="239"/>
      <c r="QU114" s="239"/>
      <c r="QV114" s="239"/>
      <c r="QW114" s="239"/>
      <c r="QX114" s="239"/>
      <c r="QY114" s="239"/>
      <c r="QZ114" s="239"/>
      <c r="RA114" s="239"/>
      <c r="RB114" s="239"/>
      <c r="RC114" s="239"/>
      <c r="RD114" s="239"/>
      <c r="RE114" s="239"/>
      <c r="RF114" s="239"/>
      <c r="RG114" s="239"/>
      <c r="RH114" s="239"/>
      <c r="RI114" s="239"/>
      <c r="RJ114" s="239"/>
      <c r="RK114" s="239"/>
      <c r="RL114" s="239"/>
      <c r="RM114" s="239"/>
      <c r="RN114" s="239"/>
      <c r="RO114" s="239"/>
      <c r="RP114" s="239"/>
      <c r="RQ114" s="239"/>
      <c r="RR114" s="239"/>
      <c r="RS114" s="239"/>
      <c r="RT114" s="239"/>
      <c r="RU114" s="239"/>
      <c r="RV114" s="239"/>
      <c r="RW114" s="239"/>
      <c r="RX114" s="239"/>
      <c r="RY114" s="239"/>
      <c r="RZ114" s="239"/>
      <c r="SA114" s="239"/>
      <c r="SB114" s="239"/>
      <c r="SC114" s="239"/>
      <c r="SD114" s="239"/>
      <c r="SE114" s="239"/>
      <c r="SF114" s="239"/>
      <c r="SG114" s="239"/>
      <c r="SH114" s="239"/>
      <c r="SI114" s="239"/>
      <c r="SJ114" s="239"/>
      <c r="SK114" s="239"/>
      <c r="SL114" s="239"/>
      <c r="SM114" s="239"/>
      <c r="SN114" s="239"/>
      <c r="SO114" s="239"/>
      <c r="SP114" s="239"/>
      <c r="SQ114" s="239"/>
      <c r="SR114" s="239"/>
      <c r="SS114" s="239"/>
      <c r="ST114" s="239"/>
      <c r="SU114" s="239"/>
      <c r="SV114" s="239"/>
      <c r="SW114" s="239"/>
      <c r="SX114" s="239"/>
      <c r="SY114" s="239"/>
      <c r="SZ114" s="239"/>
      <c r="TA114" s="239"/>
      <c r="TB114" s="239"/>
      <c r="TC114" s="239"/>
      <c r="TD114" s="239"/>
      <c r="TE114" s="239"/>
      <c r="TF114" s="239"/>
      <c r="TG114" s="239"/>
      <c r="TH114" s="239"/>
      <c r="TI114" s="239"/>
      <c r="TJ114" s="239"/>
      <c r="TK114" s="239"/>
      <c r="TL114" s="239"/>
      <c r="TM114" s="239"/>
      <c r="TN114" s="239"/>
      <c r="TO114" s="239"/>
      <c r="TP114" s="239"/>
      <c r="TQ114" s="239"/>
      <c r="TR114" s="239"/>
      <c r="TS114" s="239"/>
      <c r="TT114" s="239"/>
      <c r="TU114" s="239"/>
      <c r="TV114" s="239"/>
      <c r="TW114" s="239"/>
      <c r="TX114" s="239"/>
      <c r="TY114" s="239"/>
      <c r="TZ114" s="239"/>
      <c r="UA114" s="239"/>
      <c r="UB114" s="239"/>
      <c r="UC114" s="239"/>
      <c r="UD114" s="239"/>
      <c r="UE114" s="239"/>
      <c r="UF114" s="239"/>
      <c r="UG114" s="240"/>
    </row>
    <row r="115" spans="1:553" s="236" customFormat="1" ht="34.5" customHeight="1">
      <c r="A115" s="356" t="s">
        <v>15</v>
      </c>
      <c r="B115" s="366" t="s">
        <v>114</v>
      </c>
      <c r="C115" s="1443" t="s">
        <v>174</v>
      </c>
      <c r="D115" s="1389"/>
      <c r="E115" s="1389"/>
      <c r="F115" s="1390"/>
      <c r="G115" s="386" t="s">
        <v>173</v>
      </c>
      <c r="H115" s="370"/>
      <c r="I115" s="422">
        <v>2</v>
      </c>
      <c r="J115" s="368">
        <v>2564900</v>
      </c>
      <c r="K115" s="371"/>
      <c r="L115" s="391">
        <f t="shared" si="26"/>
        <v>5129800</v>
      </c>
      <c r="M115" s="395"/>
      <c r="N115" s="395"/>
      <c r="O115" s="366"/>
      <c r="P115" s="396"/>
      <c r="Q115" s="473"/>
      <c r="R115" s="1039"/>
      <c r="S115" s="308"/>
      <c r="T115" s="303"/>
      <c r="U115" s="306"/>
      <c r="V115" s="307"/>
      <c r="W115" s="306"/>
      <c r="X115" s="306"/>
      <c r="Y115" s="306"/>
      <c r="Z115" s="306"/>
      <c r="AA115" s="306"/>
      <c r="AB115" s="306"/>
      <c r="AC115" s="449"/>
      <c r="AD115" s="449"/>
      <c r="AE115" s="449"/>
      <c r="AF115" s="449"/>
      <c r="AG115" s="452"/>
      <c r="AH115" s="452"/>
      <c r="AI115" s="452"/>
      <c r="AJ115" s="452"/>
      <c r="AK115" s="452"/>
      <c r="AL115" s="242"/>
      <c r="AM115" s="241"/>
      <c r="AN115" s="241"/>
      <c r="AO115" s="241"/>
      <c r="AP115" s="241"/>
      <c r="AQ115" s="238"/>
      <c r="AR115" s="238"/>
      <c r="AS115" s="238"/>
      <c r="AT115" s="238"/>
      <c r="AU115" s="238"/>
      <c r="AV115" s="238"/>
      <c r="AW115" s="238"/>
      <c r="AX115" s="238"/>
      <c r="AY115" s="238"/>
      <c r="AZ115" s="238"/>
      <c r="BA115" s="238"/>
      <c r="BB115" s="238"/>
      <c r="BC115" s="238"/>
      <c r="BD115" s="238"/>
      <c r="BE115" s="238"/>
      <c r="BF115" s="238"/>
      <c r="BG115" s="238"/>
      <c r="BH115" s="238"/>
      <c r="BI115" s="238"/>
      <c r="BJ115" s="238"/>
      <c r="BK115" s="238"/>
      <c r="BL115" s="238"/>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c r="CK115" s="239"/>
      <c r="CL115" s="239"/>
      <c r="CM115" s="239"/>
      <c r="CN115" s="239"/>
      <c r="CO115" s="239"/>
      <c r="CP115" s="239"/>
      <c r="CQ115" s="239"/>
      <c r="CR115" s="239"/>
      <c r="CS115" s="239"/>
      <c r="CT115" s="239"/>
      <c r="CU115" s="239"/>
      <c r="CV115" s="239"/>
      <c r="CW115" s="239"/>
      <c r="CX115" s="239"/>
      <c r="CY115" s="239"/>
      <c r="CZ115" s="239"/>
      <c r="DA115" s="239"/>
      <c r="DB115" s="239"/>
      <c r="DC115" s="239"/>
      <c r="DD115" s="239"/>
      <c r="DE115" s="239"/>
      <c r="DF115" s="239"/>
      <c r="DG115" s="239"/>
      <c r="DH115" s="239"/>
      <c r="DI115" s="239"/>
      <c r="DJ115" s="239"/>
      <c r="DK115" s="239"/>
      <c r="DL115" s="239"/>
      <c r="DM115" s="239"/>
      <c r="DN115" s="239"/>
      <c r="DO115" s="239"/>
      <c r="DP115" s="239"/>
      <c r="DQ115" s="239"/>
      <c r="DR115" s="239"/>
      <c r="DS115" s="239"/>
      <c r="DT115" s="239"/>
      <c r="DU115" s="239"/>
      <c r="DV115" s="239"/>
      <c r="DW115" s="239"/>
      <c r="DX115" s="239"/>
      <c r="DY115" s="239"/>
      <c r="DZ115" s="239"/>
      <c r="EA115" s="239"/>
      <c r="EB115" s="239"/>
      <c r="EC115" s="239"/>
      <c r="ED115" s="239"/>
      <c r="EE115" s="239"/>
      <c r="EF115" s="239"/>
      <c r="EG115" s="239"/>
      <c r="EH115" s="239"/>
      <c r="EI115" s="239"/>
      <c r="EJ115" s="239"/>
      <c r="EK115" s="239"/>
      <c r="EL115" s="239"/>
      <c r="EM115" s="239"/>
      <c r="EN115" s="239"/>
      <c r="EO115" s="239"/>
      <c r="EP115" s="239"/>
      <c r="EQ115" s="239"/>
      <c r="ER115" s="239"/>
      <c r="ES115" s="239"/>
      <c r="ET115" s="239"/>
      <c r="EU115" s="239"/>
      <c r="EV115" s="239"/>
      <c r="EW115" s="239"/>
      <c r="EX115" s="239"/>
      <c r="EY115" s="239"/>
      <c r="EZ115" s="239"/>
      <c r="FA115" s="239"/>
      <c r="FB115" s="239"/>
      <c r="FC115" s="239"/>
      <c r="FD115" s="239"/>
      <c r="FE115" s="239"/>
      <c r="FF115" s="239"/>
      <c r="FG115" s="239"/>
      <c r="FH115" s="239"/>
      <c r="FI115" s="239"/>
      <c r="FJ115" s="239"/>
      <c r="FK115" s="239"/>
      <c r="FL115" s="239"/>
      <c r="FM115" s="239"/>
      <c r="FN115" s="239"/>
      <c r="FO115" s="239"/>
      <c r="FP115" s="239"/>
      <c r="FQ115" s="239"/>
      <c r="FR115" s="239"/>
      <c r="FS115" s="239"/>
      <c r="FT115" s="239"/>
      <c r="FU115" s="239"/>
      <c r="FV115" s="239"/>
      <c r="FW115" s="239"/>
      <c r="FX115" s="239"/>
      <c r="FY115" s="239"/>
      <c r="FZ115" s="239"/>
      <c r="GA115" s="239"/>
      <c r="GB115" s="239"/>
      <c r="GC115" s="239"/>
      <c r="GD115" s="239"/>
      <c r="GE115" s="239"/>
      <c r="GF115" s="239"/>
      <c r="GG115" s="239"/>
      <c r="GH115" s="239"/>
      <c r="GI115" s="239"/>
      <c r="GJ115" s="239"/>
      <c r="GK115" s="239"/>
      <c r="GL115" s="239"/>
      <c r="GM115" s="239"/>
      <c r="GN115" s="239"/>
      <c r="GO115" s="239"/>
      <c r="GP115" s="239"/>
      <c r="GQ115" s="239"/>
      <c r="GR115" s="239"/>
      <c r="GS115" s="239"/>
      <c r="GT115" s="239"/>
      <c r="GU115" s="239"/>
      <c r="GV115" s="239"/>
      <c r="GW115" s="239"/>
      <c r="GX115" s="239"/>
      <c r="GY115" s="239"/>
      <c r="GZ115" s="239"/>
      <c r="HA115" s="239"/>
      <c r="HB115" s="239"/>
      <c r="HC115" s="239"/>
      <c r="HD115" s="239"/>
      <c r="HE115" s="239"/>
      <c r="HF115" s="239"/>
      <c r="HG115" s="239"/>
      <c r="HH115" s="239"/>
      <c r="HI115" s="239"/>
      <c r="HJ115" s="239"/>
      <c r="HK115" s="239"/>
      <c r="HL115" s="239"/>
      <c r="HM115" s="239"/>
      <c r="HN115" s="239"/>
      <c r="HO115" s="239"/>
      <c r="HP115" s="239"/>
      <c r="HQ115" s="239"/>
      <c r="HR115" s="239"/>
      <c r="HS115" s="239"/>
      <c r="HT115" s="239"/>
      <c r="HU115" s="239"/>
      <c r="HV115" s="239"/>
      <c r="HW115" s="239"/>
      <c r="HX115" s="239"/>
      <c r="HY115" s="239"/>
      <c r="HZ115" s="239"/>
      <c r="IA115" s="239"/>
      <c r="IB115" s="239"/>
      <c r="IC115" s="239"/>
      <c r="ID115" s="239"/>
      <c r="IE115" s="239"/>
      <c r="IF115" s="239"/>
      <c r="IG115" s="239"/>
      <c r="IH115" s="239"/>
      <c r="II115" s="239"/>
      <c r="IJ115" s="239"/>
      <c r="IK115" s="239"/>
      <c r="IL115" s="239"/>
      <c r="IM115" s="239"/>
      <c r="IN115" s="239"/>
      <c r="IO115" s="239"/>
      <c r="IP115" s="239"/>
      <c r="IQ115" s="239"/>
      <c r="IR115" s="239"/>
      <c r="IS115" s="239"/>
      <c r="IT115" s="239"/>
      <c r="IU115" s="239"/>
      <c r="IV115" s="239"/>
      <c r="IW115" s="239"/>
      <c r="IX115" s="239"/>
      <c r="IY115" s="239"/>
      <c r="IZ115" s="239"/>
      <c r="JA115" s="239"/>
      <c r="JB115" s="239"/>
      <c r="JC115" s="239"/>
      <c r="JD115" s="239"/>
      <c r="JE115" s="239"/>
      <c r="JF115" s="239"/>
      <c r="JG115" s="239"/>
      <c r="JH115" s="239"/>
      <c r="JI115" s="239"/>
      <c r="JJ115" s="239"/>
      <c r="JK115" s="239"/>
      <c r="JL115" s="239"/>
      <c r="JM115" s="239"/>
      <c r="JN115" s="239"/>
      <c r="JO115" s="239"/>
      <c r="JP115" s="239"/>
      <c r="JQ115" s="239"/>
      <c r="JR115" s="239"/>
      <c r="JS115" s="239"/>
      <c r="JT115" s="239"/>
      <c r="JU115" s="239"/>
      <c r="JV115" s="239"/>
      <c r="JW115" s="239"/>
      <c r="JX115" s="239"/>
      <c r="JY115" s="239"/>
      <c r="JZ115" s="239"/>
      <c r="KA115" s="239"/>
      <c r="KB115" s="239"/>
      <c r="KC115" s="239"/>
      <c r="KD115" s="239"/>
      <c r="KE115" s="239"/>
      <c r="KF115" s="239"/>
      <c r="KG115" s="239"/>
      <c r="KH115" s="239"/>
      <c r="KI115" s="239"/>
      <c r="KJ115" s="239"/>
      <c r="KK115" s="239"/>
      <c r="KL115" s="239"/>
      <c r="KM115" s="239"/>
      <c r="KN115" s="239"/>
      <c r="KO115" s="239"/>
      <c r="KP115" s="239"/>
      <c r="KQ115" s="239"/>
      <c r="KR115" s="239"/>
      <c r="KS115" s="239"/>
      <c r="KT115" s="239"/>
      <c r="KU115" s="239"/>
      <c r="KV115" s="239"/>
      <c r="KW115" s="239"/>
      <c r="KX115" s="239"/>
      <c r="KY115" s="239"/>
      <c r="KZ115" s="239"/>
      <c r="LA115" s="239"/>
      <c r="LB115" s="239"/>
      <c r="LC115" s="239"/>
      <c r="LD115" s="239"/>
      <c r="LE115" s="239"/>
      <c r="LF115" s="239"/>
      <c r="LG115" s="239"/>
      <c r="LH115" s="239"/>
      <c r="LI115" s="239"/>
      <c r="LJ115" s="239"/>
      <c r="LK115" s="239"/>
      <c r="LL115" s="239"/>
      <c r="LM115" s="239"/>
      <c r="LN115" s="239"/>
      <c r="LO115" s="239"/>
      <c r="LP115" s="239"/>
      <c r="LQ115" s="239"/>
      <c r="LR115" s="239"/>
      <c r="LS115" s="239"/>
      <c r="LT115" s="239"/>
      <c r="LU115" s="239"/>
      <c r="LV115" s="239"/>
      <c r="LW115" s="239"/>
      <c r="LX115" s="239"/>
      <c r="LY115" s="239"/>
      <c r="LZ115" s="239"/>
      <c r="MA115" s="239"/>
      <c r="MB115" s="239"/>
      <c r="MC115" s="239"/>
      <c r="MD115" s="239"/>
      <c r="ME115" s="239"/>
      <c r="MF115" s="239"/>
      <c r="MG115" s="239"/>
      <c r="MH115" s="239"/>
      <c r="MI115" s="239"/>
      <c r="MJ115" s="239"/>
      <c r="MK115" s="239"/>
      <c r="ML115" s="239"/>
      <c r="MM115" s="239"/>
      <c r="MN115" s="239"/>
      <c r="MO115" s="239"/>
      <c r="MP115" s="239"/>
      <c r="MQ115" s="239"/>
      <c r="MR115" s="239"/>
      <c r="MS115" s="239"/>
      <c r="MT115" s="239"/>
      <c r="MU115" s="239"/>
      <c r="MV115" s="239"/>
      <c r="MW115" s="239"/>
      <c r="MX115" s="239"/>
      <c r="MY115" s="239"/>
      <c r="MZ115" s="239"/>
      <c r="NA115" s="239"/>
      <c r="NB115" s="239"/>
      <c r="NC115" s="239"/>
      <c r="ND115" s="239"/>
      <c r="NE115" s="239"/>
      <c r="NF115" s="239"/>
      <c r="NG115" s="239"/>
      <c r="NH115" s="239"/>
      <c r="NI115" s="239"/>
      <c r="NJ115" s="239"/>
      <c r="NK115" s="239"/>
      <c r="NL115" s="239"/>
      <c r="NM115" s="239"/>
      <c r="NN115" s="239"/>
      <c r="NO115" s="239"/>
      <c r="NP115" s="239"/>
      <c r="NQ115" s="239"/>
      <c r="NR115" s="239"/>
      <c r="NS115" s="239"/>
      <c r="NT115" s="239"/>
      <c r="NU115" s="239"/>
      <c r="NV115" s="239"/>
      <c r="NW115" s="239"/>
      <c r="NX115" s="239"/>
      <c r="NY115" s="239"/>
      <c r="NZ115" s="239"/>
      <c r="OA115" s="239"/>
      <c r="OB115" s="239"/>
      <c r="OC115" s="239"/>
      <c r="OD115" s="239"/>
      <c r="OE115" s="239"/>
      <c r="OF115" s="239"/>
      <c r="OG115" s="239"/>
      <c r="OH115" s="239"/>
      <c r="OI115" s="239"/>
      <c r="OJ115" s="239"/>
      <c r="OK115" s="239"/>
      <c r="OL115" s="239"/>
      <c r="OM115" s="239"/>
      <c r="ON115" s="239"/>
      <c r="OO115" s="239"/>
      <c r="OP115" s="239"/>
      <c r="OQ115" s="239"/>
      <c r="OR115" s="239"/>
      <c r="OS115" s="239"/>
      <c r="OT115" s="239"/>
      <c r="OU115" s="239"/>
      <c r="OV115" s="239"/>
      <c r="OW115" s="239"/>
      <c r="OX115" s="239"/>
      <c r="OY115" s="239"/>
      <c r="OZ115" s="239"/>
      <c r="PA115" s="239"/>
      <c r="PB115" s="239"/>
      <c r="PC115" s="239"/>
      <c r="PD115" s="239"/>
      <c r="PE115" s="239"/>
      <c r="PF115" s="239"/>
      <c r="PG115" s="239"/>
      <c r="PH115" s="239"/>
      <c r="PI115" s="239"/>
      <c r="PJ115" s="239"/>
      <c r="PK115" s="239"/>
      <c r="PL115" s="239"/>
      <c r="PM115" s="239"/>
      <c r="PN115" s="239"/>
      <c r="PO115" s="239"/>
      <c r="PP115" s="239"/>
      <c r="PQ115" s="239"/>
      <c r="PR115" s="239"/>
      <c r="PS115" s="239"/>
      <c r="PT115" s="239"/>
      <c r="PU115" s="239"/>
      <c r="PV115" s="239"/>
      <c r="PW115" s="239"/>
      <c r="PX115" s="239"/>
      <c r="PY115" s="239"/>
      <c r="PZ115" s="239"/>
      <c r="QA115" s="239"/>
      <c r="QB115" s="239"/>
      <c r="QC115" s="239"/>
      <c r="QD115" s="239"/>
      <c r="QE115" s="239"/>
      <c r="QF115" s="239"/>
      <c r="QG115" s="239"/>
      <c r="QH115" s="239"/>
      <c r="QI115" s="239"/>
      <c r="QJ115" s="239"/>
      <c r="QK115" s="239"/>
      <c r="QL115" s="239"/>
      <c r="QM115" s="239"/>
      <c r="QN115" s="239"/>
      <c r="QO115" s="239"/>
      <c r="QP115" s="239"/>
      <c r="QQ115" s="239"/>
      <c r="QR115" s="239"/>
      <c r="QS115" s="239"/>
      <c r="QT115" s="239"/>
      <c r="QU115" s="239"/>
      <c r="QV115" s="239"/>
      <c r="QW115" s="239"/>
      <c r="QX115" s="239"/>
      <c r="QY115" s="239"/>
      <c r="QZ115" s="239"/>
      <c r="RA115" s="239"/>
      <c r="RB115" s="239"/>
      <c r="RC115" s="239"/>
      <c r="RD115" s="239"/>
      <c r="RE115" s="239"/>
      <c r="RF115" s="239"/>
      <c r="RG115" s="239"/>
      <c r="RH115" s="239"/>
      <c r="RI115" s="239"/>
      <c r="RJ115" s="239"/>
      <c r="RK115" s="239"/>
      <c r="RL115" s="239"/>
      <c r="RM115" s="239"/>
      <c r="RN115" s="239"/>
      <c r="RO115" s="239"/>
      <c r="RP115" s="239"/>
      <c r="RQ115" s="239"/>
      <c r="RR115" s="239"/>
      <c r="RS115" s="239"/>
      <c r="RT115" s="239"/>
      <c r="RU115" s="239"/>
      <c r="RV115" s="239"/>
      <c r="RW115" s="239"/>
      <c r="RX115" s="239"/>
      <c r="RY115" s="239"/>
      <c r="RZ115" s="239"/>
      <c r="SA115" s="239"/>
      <c r="SB115" s="239"/>
      <c r="SC115" s="239"/>
      <c r="SD115" s="239"/>
      <c r="SE115" s="239"/>
      <c r="SF115" s="239"/>
      <c r="SG115" s="239"/>
      <c r="SH115" s="239"/>
      <c r="SI115" s="239"/>
      <c r="SJ115" s="239"/>
      <c r="SK115" s="239"/>
      <c r="SL115" s="239"/>
      <c r="SM115" s="239"/>
      <c r="SN115" s="239"/>
      <c r="SO115" s="239"/>
      <c r="SP115" s="239"/>
      <c r="SQ115" s="239"/>
      <c r="SR115" s="239"/>
      <c r="SS115" s="239"/>
      <c r="ST115" s="239"/>
      <c r="SU115" s="239"/>
      <c r="SV115" s="239"/>
      <c r="SW115" s="239"/>
      <c r="SX115" s="239"/>
      <c r="SY115" s="239"/>
      <c r="SZ115" s="239"/>
      <c r="TA115" s="239"/>
      <c r="TB115" s="239"/>
      <c r="TC115" s="239"/>
      <c r="TD115" s="239"/>
      <c r="TE115" s="239"/>
      <c r="TF115" s="239"/>
      <c r="TG115" s="239"/>
      <c r="TH115" s="239"/>
      <c r="TI115" s="239"/>
      <c r="TJ115" s="239"/>
      <c r="TK115" s="239"/>
      <c r="TL115" s="239"/>
      <c r="TM115" s="239"/>
      <c r="TN115" s="239"/>
      <c r="TO115" s="239"/>
      <c r="TP115" s="239"/>
      <c r="TQ115" s="239"/>
      <c r="TR115" s="239"/>
      <c r="TS115" s="239"/>
      <c r="TT115" s="239"/>
      <c r="TU115" s="239"/>
      <c r="TV115" s="239"/>
      <c r="TW115" s="239"/>
      <c r="TX115" s="239"/>
      <c r="TY115" s="239"/>
      <c r="TZ115" s="239"/>
      <c r="UA115" s="239"/>
      <c r="UB115" s="239"/>
      <c r="UC115" s="239"/>
      <c r="UD115" s="239"/>
      <c r="UE115" s="239"/>
      <c r="UF115" s="239"/>
      <c r="UG115" s="240"/>
    </row>
    <row r="116" spans="1:553" s="236" customFormat="1" ht="34.5" customHeight="1">
      <c r="A116" s="356" t="s">
        <v>15</v>
      </c>
      <c r="B116" s="366" t="s">
        <v>31</v>
      </c>
      <c r="C116" s="1414" t="s">
        <v>175</v>
      </c>
      <c r="D116" s="1389"/>
      <c r="E116" s="1389"/>
      <c r="F116" s="1390"/>
      <c r="G116" s="386" t="s">
        <v>1394</v>
      </c>
      <c r="H116" s="370"/>
      <c r="I116" s="422">
        <f>0.6*0.6*2.2*2</f>
        <v>1.5840000000000001</v>
      </c>
      <c r="J116" s="368">
        <v>1748702</v>
      </c>
      <c r="K116" s="371"/>
      <c r="L116" s="391">
        <f t="shared" si="26"/>
        <v>2769944</v>
      </c>
      <c r="M116" s="395"/>
      <c r="N116" s="395"/>
      <c r="O116" s="366"/>
      <c r="P116" s="396"/>
      <c r="Q116" s="473"/>
      <c r="R116" s="1039"/>
      <c r="S116" s="309"/>
      <c r="T116" s="310"/>
      <c r="U116" s="311"/>
      <c r="V116" s="312"/>
      <c r="W116" s="311"/>
      <c r="X116" s="311"/>
      <c r="Y116" s="311"/>
      <c r="Z116" s="311"/>
      <c r="AA116" s="311"/>
      <c r="AB116" s="311"/>
      <c r="AC116" s="449"/>
      <c r="AD116" s="449"/>
      <c r="AE116" s="449"/>
      <c r="AF116" s="449"/>
      <c r="AG116" s="452"/>
      <c r="AH116" s="452"/>
      <c r="AI116" s="452"/>
      <c r="AJ116" s="452"/>
      <c r="AK116" s="452"/>
      <c r="AL116" s="242"/>
      <c r="AM116" s="241"/>
      <c r="AN116" s="241"/>
      <c r="AO116" s="241"/>
      <c r="AP116" s="241"/>
      <c r="AQ116" s="238"/>
      <c r="AR116" s="238"/>
      <c r="AS116" s="238"/>
      <c r="AT116" s="238"/>
      <c r="AU116" s="238"/>
      <c r="AV116" s="238"/>
      <c r="AW116" s="238"/>
      <c r="AX116" s="238"/>
      <c r="AY116" s="238"/>
      <c r="AZ116" s="238"/>
      <c r="BA116" s="238"/>
      <c r="BB116" s="238"/>
      <c r="BC116" s="238"/>
      <c r="BD116" s="238"/>
      <c r="BE116" s="238"/>
      <c r="BF116" s="238"/>
      <c r="BG116" s="238"/>
      <c r="BH116" s="238"/>
      <c r="BI116" s="238"/>
      <c r="BJ116" s="238"/>
      <c r="BK116" s="238"/>
      <c r="BL116" s="238"/>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c r="CK116" s="239"/>
      <c r="CL116" s="239"/>
      <c r="CM116" s="239"/>
      <c r="CN116" s="239"/>
      <c r="CO116" s="239"/>
      <c r="CP116" s="239"/>
      <c r="CQ116" s="239"/>
      <c r="CR116" s="239"/>
      <c r="CS116" s="239"/>
      <c r="CT116" s="239"/>
      <c r="CU116" s="239"/>
      <c r="CV116" s="239"/>
      <c r="CW116" s="239"/>
      <c r="CX116" s="239"/>
      <c r="CY116" s="239"/>
      <c r="CZ116" s="239"/>
      <c r="DA116" s="239"/>
      <c r="DB116" s="239"/>
      <c r="DC116" s="239"/>
      <c r="DD116" s="239"/>
      <c r="DE116" s="239"/>
      <c r="DF116" s="239"/>
      <c r="DG116" s="239"/>
      <c r="DH116" s="239"/>
      <c r="DI116" s="239"/>
      <c r="DJ116" s="239"/>
      <c r="DK116" s="239"/>
      <c r="DL116" s="239"/>
      <c r="DM116" s="239"/>
      <c r="DN116" s="239"/>
      <c r="DO116" s="239"/>
      <c r="DP116" s="239"/>
      <c r="DQ116" s="239"/>
      <c r="DR116" s="239"/>
      <c r="DS116" s="239"/>
      <c r="DT116" s="239"/>
      <c r="DU116" s="239"/>
      <c r="DV116" s="239"/>
      <c r="DW116" s="239"/>
      <c r="DX116" s="239"/>
      <c r="DY116" s="239"/>
      <c r="DZ116" s="239"/>
      <c r="EA116" s="239"/>
      <c r="EB116" s="239"/>
      <c r="EC116" s="239"/>
      <c r="ED116" s="239"/>
      <c r="EE116" s="239"/>
      <c r="EF116" s="239"/>
      <c r="EG116" s="239"/>
      <c r="EH116" s="239"/>
      <c r="EI116" s="239"/>
      <c r="EJ116" s="239"/>
      <c r="EK116" s="239"/>
      <c r="EL116" s="239"/>
      <c r="EM116" s="239"/>
      <c r="EN116" s="239"/>
      <c r="EO116" s="239"/>
      <c r="EP116" s="239"/>
      <c r="EQ116" s="239"/>
      <c r="ER116" s="239"/>
      <c r="ES116" s="239"/>
      <c r="ET116" s="239"/>
      <c r="EU116" s="239"/>
      <c r="EV116" s="239"/>
      <c r="EW116" s="239"/>
      <c r="EX116" s="239"/>
      <c r="EY116" s="239"/>
      <c r="EZ116" s="239"/>
      <c r="FA116" s="239"/>
      <c r="FB116" s="239"/>
      <c r="FC116" s="239"/>
      <c r="FD116" s="239"/>
      <c r="FE116" s="239"/>
      <c r="FF116" s="239"/>
      <c r="FG116" s="239"/>
      <c r="FH116" s="239"/>
      <c r="FI116" s="239"/>
      <c r="FJ116" s="239"/>
      <c r="FK116" s="239"/>
      <c r="FL116" s="239"/>
      <c r="FM116" s="239"/>
      <c r="FN116" s="239"/>
      <c r="FO116" s="239"/>
      <c r="FP116" s="239"/>
      <c r="FQ116" s="239"/>
      <c r="FR116" s="239"/>
      <c r="FS116" s="239"/>
      <c r="FT116" s="239"/>
      <c r="FU116" s="239"/>
      <c r="FV116" s="239"/>
      <c r="FW116" s="239"/>
      <c r="FX116" s="239"/>
      <c r="FY116" s="239"/>
      <c r="FZ116" s="239"/>
      <c r="GA116" s="239"/>
      <c r="GB116" s="239"/>
      <c r="GC116" s="239"/>
      <c r="GD116" s="239"/>
      <c r="GE116" s="239"/>
      <c r="GF116" s="239"/>
      <c r="GG116" s="239"/>
      <c r="GH116" s="239"/>
      <c r="GI116" s="239"/>
      <c r="GJ116" s="239"/>
      <c r="GK116" s="239"/>
      <c r="GL116" s="239"/>
      <c r="GM116" s="239"/>
      <c r="GN116" s="239"/>
      <c r="GO116" s="239"/>
      <c r="GP116" s="239"/>
      <c r="GQ116" s="239"/>
      <c r="GR116" s="239"/>
      <c r="GS116" s="239"/>
      <c r="GT116" s="239"/>
      <c r="GU116" s="239"/>
      <c r="GV116" s="239"/>
      <c r="GW116" s="239"/>
      <c r="GX116" s="239"/>
      <c r="GY116" s="239"/>
      <c r="GZ116" s="239"/>
      <c r="HA116" s="239"/>
      <c r="HB116" s="239"/>
      <c r="HC116" s="239"/>
      <c r="HD116" s="239"/>
      <c r="HE116" s="239"/>
      <c r="HF116" s="239"/>
      <c r="HG116" s="239"/>
      <c r="HH116" s="239"/>
      <c r="HI116" s="239"/>
      <c r="HJ116" s="239"/>
      <c r="HK116" s="239"/>
      <c r="HL116" s="239"/>
      <c r="HM116" s="239"/>
      <c r="HN116" s="239"/>
      <c r="HO116" s="239"/>
      <c r="HP116" s="239"/>
      <c r="HQ116" s="239"/>
      <c r="HR116" s="239"/>
      <c r="HS116" s="239"/>
      <c r="HT116" s="239"/>
      <c r="HU116" s="239"/>
      <c r="HV116" s="239"/>
      <c r="HW116" s="239"/>
      <c r="HX116" s="239"/>
      <c r="HY116" s="239"/>
      <c r="HZ116" s="239"/>
      <c r="IA116" s="239"/>
      <c r="IB116" s="239"/>
      <c r="IC116" s="239"/>
      <c r="ID116" s="239"/>
      <c r="IE116" s="239"/>
      <c r="IF116" s="239"/>
      <c r="IG116" s="239"/>
      <c r="IH116" s="239"/>
      <c r="II116" s="239"/>
      <c r="IJ116" s="239"/>
      <c r="IK116" s="239"/>
      <c r="IL116" s="239"/>
      <c r="IM116" s="239"/>
      <c r="IN116" s="239"/>
      <c r="IO116" s="239"/>
      <c r="IP116" s="239"/>
      <c r="IQ116" s="239"/>
      <c r="IR116" s="239"/>
      <c r="IS116" s="239"/>
      <c r="IT116" s="239"/>
      <c r="IU116" s="239"/>
      <c r="IV116" s="239"/>
      <c r="IW116" s="239"/>
      <c r="IX116" s="239"/>
      <c r="IY116" s="239"/>
      <c r="IZ116" s="239"/>
      <c r="JA116" s="239"/>
      <c r="JB116" s="239"/>
      <c r="JC116" s="239"/>
      <c r="JD116" s="239"/>
      <c r="JE116" s="239"/>
      <c r="JF116" s="239"/>
      <c r="JG116" s="239"/>
      <c r="JH116" s="239"/>
      <c r="JI116" s="239"/>
      <c r="JJ116" s="239"/>
      <c r="JK116" s="239"/>
      <c r="JL116" s="239"/>
      <c r="JM116" s="239"/>
      <c r="JN116" s="239"/>
      <c r="JO116" s="239"/>
      <c r="JP116" s="239"/>
      <c r="JQ116" s="239"/>
      <c r="JR116" s="239"/>
      <c r="JS116" s="239"/>
      <c r="JT116" s="239"/>
      <c r="JU116" s="239"/>
      <c r="JV116" s="239"/>
      <c r="JW116" s="239"/>
      <c r="JX116" s="239"/>
      <c r="JY116" s="239"/>
      <c r="JZ116" s="239"/>
      <c r="KA116" s="239"/>
      <c r="KB116" s="239"/>
      <c r="KC116" s="239"/>
      <c r="KD116" s="239"/>
      <c r="KE116" s="239"/>
      <c r="KF116" s="239"/>
      <c r="KG116" s="239"/>
      <c r="KH116" s="239"/>
      <c r="KI116" s="239"/>
      <c r="KJ116" s="239"/>
      <c r="KK116" s="239"/>
      <c r="KL116" s="239"/>
      <c r="KM116" s="239"/>
      <c r="KN116" s="239"/>
      <c r="KO116" s="239"/>
      <c r="KP116" s="239"/>
      <c r="KQ116" s="239"/>
      <c r="KR116" s="239"/>
      <c r="KS116" s="239"/>
      <c r="KT116" s="239"/>
      <c r="KU116" s="239"/>
      <c r="KV116" s="239"/>
      <c r="KW116" s="239"/>
      <c r="KX116" s="239"/>
      <c r="KY116" s="239"/>
      <c r="KZ116" s="239"/>
      <c r="LA116" s="239"/>
      <c r="LB116" s="239"/>
      <c r="LC116" s="239"/>
      <c r="LD116" s="239"/>
      <c r="LE116" s="239"/>
      <c r="LF116" s="239"/>
      <c r="LG116" s="239"/>
      <c r="LH116" s="239"/>
      <c r="LI116" s="239"/>
      <c r="LJ116" s="239"/>
      <c r="LK116" s="239"/>
      <c r="LL116" s="239"/>
      <c r="LM116" s="239"/>
      <c r="LN116" s="239"/>
      <c r="LO116" s="239"/>
      <c r="LP116" s="239"/>
      <c r="LQ116" s="239"/>
      <c r="LR116" s="239"/>
      <c r="LS116" s="239"/>
      <c r="LT116" s="239"/>
      <c r="LU116" s="239"/>
      <c r="LV116" s="239"/>
      <c r="LW116" s="239"/>
      <c r="LX116" s="239"/>
      <c r="LY116" s="239"/>
      <c r="LZ116" s="239"/>
      <c r="MA116" s="239"/>
      <c r="MB116" s="239"/>
      <c r="MC116" s="239"/>
      <c r="MD116" s="239"/>
      <c r="ME116" s="239"/>
      <c r="MF116" s="239"/>
      <c r="MG116" s="239"/>
      <c r="MH116" s="239"/>
      <c r="MI116" s="239"/>
      <c r="MJ116" s="239"/>
      <c r="MK116" s="239"/>
      <c r="ML116" s="239"/>
      <c r="MM116" s="239"/>
      <c r="MN116" s="239"/>
      <c r="MO116" s="239"/>
      <c r="MP116" s="239"/>
      <c r="MQ116" s="239"/>
      <c r="MR116" s="239"/>
      <c r="MS116" s="239"/>
      <c r="MT116" s="239"/>
      <c r="MU116" s="239"/>
      <c r="MV116" s="239"/>
      <c r="MW116" s="239"/>
      <c r="MX116" s="239"/>
      <c r="MY116" s="239"/>
      <c r="MZ116" s="239"/>
      <c r="NA116" s="239"/>
      <c r="NB116" s="239"/>
      <c r="NC116" s="239"/>
      <c r="ND116" s="239"/>
      <c r="NE116" s="239"/>
      <c r="NF116" s="239"/>
      <c r="NG116" s="239"/>
      <c r="NH116" s="239"/>
      <c r="NI116" s="239"/>
      <c r="NJ116" s="239"/>
      <c r="NK116" s="239"/>
      <c r="NL116" s="239"/>
      <c r="NM116" s="239"/>
      <c r="NN116" s="239"/>
      <c r="NO116" s="239"/>
      <c r="NP116" s="239"/>
      <c r="NQ116" s="239"/>
      <c r="NR116" s="239"/>
      <c r="NS116" s="239"/>
      <c r="NT116" s="239"/>
      <c r="NU116" s="239"/>
      <c r="NV116" s="239"/>
      <c r="NW116" s="239"/>
      <c r="NX116" s="239"/>
      <c r="NY116" s="239"/>
      <c r="NZ116" s="239"/>
      <c r="OA116" s="239"/>
      <c r="OB116" s="239"/>
      <c r="OC116" s="239"/>
      <c r="OD116" s="239"/>
      <c r="OE116" s="239"/>
      <c r="OF116" s="239"/>
      <c r="OG116" s="239"/>
      <c r="OH116" s="239"/>
      <c r="OI116" s="239"/>
      <c r="OJ116" s="239"/>
      <c r="OK116" s="239"/>
      <c r="OL116" s="239"/>
      <c r="OM116" s="239"/>
      <c r="ON116" s="239"/>
      <c r="OO116" s="239"/>
      <c r="OP116" s="239"/>
      <c r="OQ116" s="239"/>
      <c r="OR116" s="239"/>
      <c r="OS116" s="239"/>
      <c r="OT116" s="239"/>
      <c r="OU116" s="239"/>
      <c r="OV116" s="239"/>
      <c r="OW116" s="239"/>
      <c r="OX116" s="239"/>
      <c r="OY116" s="239"/>
      <c r="OZ116" s="239"/>
      <c r="PA116" s="239"/>
      <c r="PB116" s="239"/>
      <c r="PC116" s="239"/>
      <c r="PD116" s="239"/>
      <c r="PE116" s="239"/>
      <c r="PF116" s="239"/>
      <c r="PG116" s="239"/>
      <c r="PH116" s="239"/>
      <c r="PI116" s="239"/>
      <c r="PJ116" s="239"/>
      <c r="PK116" s="239"/>
      <c r="PL116" s="239"/>
      <c r="PM116" s="239"/>
      <c r="PN116" s="239"/>
      <c r="PO116" s="239"/>
      <c r="PP116" s="239"/>
      <c r="PQ116" s="239"/>
      <c r="PR116" s="239"/>
      <c r="PS116" s="239"/>
      <c r="PT116" s="239"/>
      <c r="PU116" s="239"/>
      <c r="PV116" s="239"/>
      <c r="PW116" s="239"/>
      <c r="PX116" s="239"/>
      <c r="PY116" s="239"/>
      <c r="PZ116" s="239"/>
      <c r="QA116" s="239"/>
      <c r="QB116" s="239"/>
      <c r="QC116" s="239"/>
      <c r="QD116" s="239"/>
      <c r="QE116" s="239"/>
      <c r="QF116" s="239"/>
      <c r="QG116" s="239"/>
      <c r="QH116" s="239"/>
      <c r="QI116" s="239"/>
      <c r="QJ116" s="239"/>
      <c r="QK116" s="239"/>
      <c r="QL116" s="239"/>
      <c r="QM116" s="239"/>
      <c r="QN116" s="239"/>
      <c r="QO116" s="239"/>
      <c r="QP116" s="239"/>
      <c r="QQ116" s="239"/>
      <c r="QR116" s="239"/>
      <c r="QS116" s="239"/>
      <c r="QT116" s="239"/>
      <c r="QU116" s="239"/>
      <c r="QV116" s="239"/>
      <c r="QW116" s="239"/>
      <c r="QX116" s="239"/>
      <c r="QY116" s="239"/>
      <c r="QZ116" s="239"/>
      <c r="RA116" s="239"/>
      <c r="RB116" s="239"/>
      <c r="RC116" s="239"/>
      <c r="RD116" s="239"/>
      <c r="RE116" s="239"/>
      <c r="RF116" s="239"/>
      <c r="RG116" s="239"/>
      <c r="RH116" s="239"/>
      <c r="RI116" s="239"/>
      <c r="RJ116" s="239"/>
      <c r="RK116" s="239"/>
      <c r="RL116" s="239"/>
      <c r="RM116" s="239"/>
      <c r="RN116" s="239"/>
      <c r="RO116" s="239"/>
      <c r="RP116" s="239"/>
      <c r="RQ116" s="239"/>
      <c r="RR116" s="239"/>
      <c r="RS116" s="239"/>
      <c r="RT116" s="239"/>
      <c r="RU116" s="239"/>
      <c r="RV116" s="239"/>
      <c r="RW116" s="239"/>
      <c r="RX116" s="239"/>
      <c r="RY116" s="239"/>
      <c r="RZ116" s="239"/>
      <c r="SA116" s="239"/>
      <c r="SB116" s="239"/>
      <c r="SC116" s="239"/>
      <c r="SD116" s="239"/>
      <c r="SE116" s="239"/>
      <c r="SF116" s="239"/>
      <c r="SG116" s="239"/>
      <c r="SH116" s="239"/>
      <c r="SI116" s="239"/>
      <c r="SJ116" s="239"/>
      <c r="SK116" s="239"/>
      <c r="SL116" s="239"/>
      <c r="SM116" s="239"/>
      <c r="SN116" s="239"/>
      <c r="SO116" s="239"/>
      <c r="SP116" s="239"/>
      <c r="SQ116" s="239"/>
      <c r="SR116" s="239"/>
      <c r="SS116" s="239"/>
      <c r="ST116" s="239"/>
      <c r="SU116" s="239"/>
      <c r="SV116" s="239"/>
      <c r="SW116" s="239"/>
      <c r="SX116" s="239"/>
      <c r="SY116" s="239"/>
      <c r="SZ116" s="239"/>
      <c r="TA116" s="239"/>
      <c r="TB116" s="239"/>
      <c r="TC116" s="239"/>
      <c r="TD116" s="239"/>
      <c r="TE116" s="239"/>
      <c r="TF116" s="239"/>
      <c r="TG116" s="239"/>
      <c r="TH116" s="239"/>
      <c r="TI116" s="239"/>
      <c r="TJ116" s="239"/>
      <c r="TK116" s="239"/>
      <c r="TL116" s="239"/>
      <c r="TM116" s="239"/>
      <c r="TN116" s="239"/>
      <c r="TO116" s="239"/>
      <c r="TP116" s="239"/>
      <c r="TQ116" s="239"/>
      <c r="TR116" s="239"/>
      <c r="TS116" s="239"/>
      <c r="TT116" s="239"/>
      <c r="TU116" s="239"/>
      <c r="TV116" s="239"/>
      <c r="TW116" s="239"/>
      <c r="TX116" s="239"/>
      <c r="TY116" s="239"/>
      <c r="TZ116" s="239"/>
      <c r="UA116" s="239"/>
      <c r="UB116" s="239"/>
      <c r="UC116" s="239"/>
      <c r="UD116" s="239"/>
      <c r="UE116" s="239"/>
      <c r="UF116" s="239"/>
      <c r="UG116" s="240"/>
    </row>
    <row r="117" spans="1:553" s="236" customFormat="1" ht="27.65" customHeight="1">
      <c r="A117" s="356" t="s">
        <v>30</v>
      </c>
      <c r="B117" s="385">
        <v>2</v>
      </c>
      <c r="C117" s="1451" t="s">
        <v>881</v>
      </c>
      <c r="D117" s="1389"/>
      <c r="E117" s="1389"/>
      <c r="F117" s="1390"/>
      <c r="G117" s="386" t="s">
        <v>33</v>
      </c>
      <c r="H117" s="370"/>
      <c r="I117" s="422">
        <f>(0.6+0.6)*2*2.2*2</f>
        <v>10.56</v>
      </c>
      <c r="J117" s="368">
        <v>52000</v>
      </c>
      <c r="K117" s="371"/>
      <c r="L117" s="391">
        <f t="shared" ref="L117:L118" si="27">I117*J117</f>
        <v>549120</v>
      </c>
      <c r="M117" s="395"/>
      <c r="N117" s="395"/>
      <c r="O117" s="366"/>
      <c r="P117" s="396"/>
      <c r="Q117" s="473"/>
      <c r="R117" s="1039"/>
      <c r="S117" s="309"/>
      <c r="T117" s="310"/>
      <c r="U117" s="311"/>
      <c r="V117" s="312"/>
      <c r="W117" s="311"/>
      <c r="X117" s="311"/>
      <c r="Y117" s="311"/>
      <c r="Z117" s="311"/>
      <c r="AA117" s="311"/>
      <c r="AB117" s="311"/>
      <c r="AC117" s="449"/>
      <c r="AD117" s="449"/>
      <c r="AE117" s="449"/>
      <c r="AF117" s="449"/>
      <c r="AG117" s="452"/>
      <c r="AH117" s="452"/>
      <c r="AI117" s="452"/>
      <c r="AJ117" s="452"/>
      <c r="AK117" s="452"/>
      <c r="AL117" s="242"/>
      <c r="AM117" s="242"/>
      <c r="AN117" s="242"/>
      <c r="AO117" s="242"/>
      <c r="AP117" s="242"/>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5"/>
      <c r="BN117" s="245"/>
      <c r="BO117" s="245"/>
      <c r="BP117" s="245"/>
      <c r="BQ117" s="245"/>
      <c r="BR117" s="245"/>
      <c r="BS117" s="245"/>
      <c r="BT117" s="245"/>
      <c r="BU117" s="245"/>
      <c r="BV117" s="245"/>
      <c r="BW117" s="245"/>
      <c r="BX117" s="245"/>
      <c r="BY117" s="245"/>
      <c r="BZ117" s="245"/>
      <c r="CA117" s="245"/>
      <c r="CB117" s="245"/>
      <c r="CC117" s="245"/>
      <c r="CD117" s="245"/>
      <c r="CE117" s="245"/>
      <c r="CF117" s="245"/>
      <c r="CG117" s="245"/>
      <c r="CH117" s="245"/>
      <c r="CI117" s="245"/>
      <c r="CJ117" s="245"/>
      <c r="CK117" s="245"/>
      <c r="CL117" s="245"/>
      <c r="CM117" s="245"/>
      <c r="CN117" s="245"/>
      <c r="CO117" s="245"/>
      <c r="CP117" s="245"/>
      <c r="CQ117" s="245"/>
      <c r="CR117" s="245"/>
      <c r="CS117" s="245"/>
      <c r="CT117" s="245"/>
      <c r="CU117" s="245"/>
      <c r="CV117" s="245"/>
      <c r="CW117" s="245"/>
      <c r="CX117" s="245"/>
      <c r="CY117" s="245"/>
      <c r="CZ117" s="245"/>
      <c r="DA117" s="245"/>
      <c r="DB117" s="245"/>
      <c r="DC117" s="245"/>
      <c r="DD117" s="245"/>
      <c r="DE117" s="245"/>
      <c r="DF117" s="245"/>
      <c r="DG117" s="245"/>
      <c r="DH117" s="245"/>
      <c r="DI117" s="245"/>
      <c r="DJ117" s="245"/>
      <c r="DK117" s="245"/>
      <c r="DL117" s="245"/>
      <c r="DM117" s="245"/>
      <c r="DN117" s="245"/>
      <c r="DO117" s="245"/>
      <c r="DP117" s="245"/>
      <c r="DQ117" s="245"/>
      <c r="DR117" s="245"/>
      <c r="DS117" s="245"/>
      <c r="DT117" s="245"/>
      <c r="DU117" s="245"/>
      <c r="DV117" s="245"/>
      <c r="DW117" s="245"/>
      <c r="DX117" s="245"/>
      <c r="DY117" s="245"/>
      <c r="DZ117" s="245"/>
      <c r="EA117" s="245"/>
      <c r="EB117" s="245"/>
      <c r="EC117" s="245"/>
      <c r="ED117" s="245"/>
      <c r="EE117" s="245"/>
      <c r="EF117" s="245"/>
      <c r="EG117" s="245"/>
      <c r="EH117" s="245"/>
      <c r="EI117" s="245"/>
      <c r="EJ117" s="245"/>
      <c r="EK117" s="245"/>
      <c r="EL117" s="245"/>
      <c r="EM117" s="245"/>
      <c r="EN117" s="245"/>
      <c r="EO117" s="245"/>
      <c r="EP117" s="245"/>
      <c r="EQ117" s="245"/>
      <c r="ER117" s="245"/>
      <c r="ES117" s="245"/>
      <c r="ET117" s="245"/>
      <c r="EU117" s="245"/>
      <c r="EV117" s="245"/>
      <c r="EW117" s="245"/>
      <c r="EX117" s="245"/>
      <c r="EY117" s="245"/>
      <c r="EZ117" s="245"/>
      <c r="FA117" s="245"/>
      <c r="FB117" s="245"/>
      <c r="FC117" s="245"/>
      <c r="FD117" s="245"/>
      <c r="FE117" s="245"/>
      <c r="FF117" s="245"/>
      <c r="FG117" s="245"/>
      <c r="FH117" s="245"/>
      <c r="FI117" s="245"/>
      <c r="FJ117" s="245"/>
      <c r="FK117" s="245"/>
      <c r="FL117" s="245"/>
      <c r="FM117" s="245"/>
      <c r="FN117" s="245"/>
      <c r="FO117" s="245"/>
      <c r="FP117" s="245"/>
      <c r="FQ117" s="245"/>
      <c r="FR117" s="245"/>
      <c r="FS117" s="245"/>
      <c r="FT117" s="245"/>
      <c r="FU117" s="245"/>
      <c r="FV117" s="245"/>
      <c r="FW117" s="245"/>
      <c r="FX117" s="245"/>
      <c r="FY117" s="245"/>
      <c r="FZ117" s="245"/>
      <c r="GA117" s="245"/>
      <c r="GB117" s="245"/>
      <c r="GC117" s="245"/>
      <c r="GD117" s="245"/>
      <c r="GE117" s="245"/>
      <c r="GF117" s="245"/>
      <c r="GG117" s="245"/>
      <c r="GH117" s="245"/>
      <c r="GI117" s="245"/>
      <c r="GJ117" s="245"/>
      <c r="GK117" s="245"/>
      <c r="GL117" s="245"/>
      <c r="GM117" s="245"/>
      <c r="GN117" s="245"/>
      <c r="GO117" s="245"/>
      <c r="GP117" s="245"/>
      <c r="GQ117" s="245"/>
      <c r="GR117" s="245"/>
      <c r="GS117" s="245"/>
      <c r="GT117" s="245"/>
      <c r="GU117" s="245"/>
      <c r="GV117" s="245"/>
      <c r="GW117" s="245"/>
      <c r="GX117" s="245"/>
      <c r="GY117" s="245"/>
      <c r="GZ117" s="245"/>
      <c r="HA117" s="245"/>
      <c r="HB117" s="245"/>
      <c r="HC117" s="245"/>
      <c r="HD117" s="245"/>
      <c r="HE117" s="245"/>
      <c r="HF117" s="245"/>
      <c r="HG117" s="245"/>
      <c r="HH117" s="245"/>
      <c r="HI117" s="245"/>
      <c r="HJ117" s="245"/>
      <c r="HK117" s="245"/>
      <c r="HL117" s="245"/>
      <c r="HM117" s="245"/>
      <c r="HN117" s="245"/>
      <c r="HO117" s="245"/>
      <c r="HP117" s="245"/>
      <c r="HQ117" s="245"/>
      <c r="HR117" s="245"/>
      <c r="HS117" s="245"/>
      <c r="HT117" s="245"/>
      <c r="HU117" s="245"/>
      <c r="HV117" s="245"/>
      <c r="HW117" s="245"/>
      <c r="HX117" s="245"/>
      <c r="HY117" s="245"/>
      <c r="HZ117" s="245"/>
      <c r="IA117" s="245"/>
      <c r="IB117" s="245"/>
      <c r="IC117" s="245"/>
      <c r="ID117" s="245"/>
      <c r="IE117" s="245"/>
      <c r="IF117" s="245"/>
      <c r="IG117" s="245"/>
      <c r="IH117" s="245"/>
      <c r="II117" s="245"/>
      <c r="IJ117" s="245"/>
      <c r="IK117" s="245"/>
      <c r="IL117" s="245"/>
      <c r="IM117" s="245"/>
      <c r="IN117" s="245"/>
      <c r="IO117" s="245"/>
      <c r="IP117" s="245"/>
      <c r="IQ117" s="245"/>
      <c r="IR117" s="245"/>
      <c r="IS117" s="245"/>
      <c r="IT117" s="245"/>
      <c r="IU117" s="245"/>
      <c r="IV117" s="245"/>
      <c r="IW117" s="245"/>
      <c r="IX117" s="245"/>
      <c r="IY117" s="245"/>
      <c r="IZ117" s="245"/>
      <c r="JA117" s="245"/>
      <c r="JB117" s="245"/>
      <c r="JC117" s="245"/>
      <c r="JD117" s="245"/>
      <c r="JE117" s="245"/>
      <c r="JF117" s="245"/>
      <c r="JG117" s="245"/>
      <c r="JH117" s="245"/>
      <c r="JI117" s="245"/>
      <c r="JJ117" s="245"/>
      <c r="JK117" s="245"/>
      <c r="JL117" s="245"/>
      <c r="JM117" s="245"/>
      <c r="JN117" s="245"/>
      <c r="JO117" s="245"/>
      <c r="JP117" s="245"/>
      <c r="JQ117" s="245"/>
      <c r="JR117" s="245"/>
      <c r="JS117" s="245"/>
      <c r="JT117" s="245"/>
      <c r="JU117" s="245"/>
      <c r="JV117" s="245"/>
      <c r="JW117" s="245"/>
      <c r="JX117" s="245"/>
      <c r="JY117" s="245"/>
      <c r="JZ117" s="245"/>
      <c r="KA117" s="245"/>
      <c r="KB117" s="245"/>
      <c r="KC117" s="245"/>
      <c r="KD117" s="245"/>
      <c r="KE117" s="245"/>
      <c r="KF117" s="245"/>
      <c r="KG117" s="245"/>
      <c r="KH117" s="245"/>
      <c r="KI117" s="245"/>
      <c r="KJ117" s="245"/>
      <c r="KK117" s="245"/>
      <c r="KL117" s="245"/>
      <c r="KM117" s="245"/>
      <c r="KN117" s="245"/>
      <c r="KO117" s="245"/>
      <c r="KP117" s="245"/>
      <c r="KQ117" s="245"/>
      <c r="KR117" s="245"/>
      <c r="KS117" s="245"/>
      <c r="KT117" s="245"/>
      <c r="KU117" s="245"/>
      <c r="KV117" s="245"/>
      <c r="KW117" s="245"/>
      <c r="KX117" s="245"/>
      <c r="KY117" s="245"/>
      <c r="KZ117" s="245"/>
      <c r="LA117" s="245"/>
      <c r="LB117" s="245"/>
      <c r="LC117" s="245"/>
      <c r="LD117" s="245"/>
      <c r="LE117" s="245"/>
      <c r="LF117" s="245"/>
      <c r="LG117" s="245"/>
      <c r="LH117" s="245"/>
      <c r="LI117" s="245"/>
      <c r="LJ117" s="245"/>
      <c r="LK117" s="245"/>
      <c r="LL117" s="245"/>
      <c r="LM117" s="245"/>
      <c r="LN117" s="245"/>
      <c r="LO117" s="245"/>
      <c r="LP117" s="245"/>
      <c r="LQ117" s="245"/>
      <c r="LR117" s="245"/>
      <c r="LS117" s="245"/>
      <c r="LT117" s="245"/>
      <c r="LU117" s="245"/>
      <c r="LV117" s="245"/>
      <c r="LW117" s="245"/>
      <c r="LX117" s="245"/>
      <c r="LY117" s="245"/>
      <c r="LZ117" s="245"/>
      <c r="MA117" s="245"/>
      <c r="MB117" s="245"/>
      <c r="MC117" s="245"/>
      <c r="MD117" s="245"/>
      <c r="ME117" s="245"/>
      <c r="MF117" s="245"/>
      <c r="MG117" s="245"/>
      <c r="MH117" s="245"/>
      <c r="MI117" s="245"/>
      <c r="MJ117" s="245"/>
      <c r="MK117" s="245"/>
      <c r="ML117" s="245"/>
      <c r="MM117" s="245"/>
      <c r="MN117" s="245"/>
      <c r="MO117" s="245"/>
      <c r="MP117" s="245"/>
      <c r="MQ117" s="245"/>
      <c r="MR117" s="245"/>
      <c r="MS117" s="245"/>
      <c r="MT117" s="245"/>
      <c r="MU117" s="245"/>
      <c r="MV117" s="245"/>
      <c r="MW117" s="245"/>
      <c r="MX117" s="245"/>
      <c r="MY117" s="245"/>
      <c r="MZ117" s="245"/>
      <c r="NA117" s="245"/>
      <c r="NB117" s="245"/>
      <c r="NC117" s="245"/>
      <c r="ND117" s="245"/>
      <c r="NE117" s="245"/>
      <c r="NF117" s="245"/>
      <c r="NG117" s="245"/>
      <c r="NH117" s="245"/>
      <c r="NI117" s="245"/>
      <c r="NJ117" s="245"/>
      <c r="NK117" s="245"/>
      <c r="NL117" s="245"/>
      <c r="NM117" s="245"/>
      <c r="NN117" s="245"/>
      <c r="NO117" s="245"/>
      <c r="NP117" s="245"/>
      <c r="NQ117" s="245"/>
      <c r="NR117" s="245"/>
      <c r="NS117" s="245"/>
      <c r="NT117" s="245"/>
      <c r="NU117" s="245"/>
      <c r="NV117" s="245"/>
      <c r="NW117" s="245"/>
      <c r="NX117" s="245"/>
      <c r="NY117" s="245"/>
      <c r="NZ117" s="245"/>
      <c r="OA117" s="245"/>
      <c r="OB117" s="245"/>
      <c r="OC117" s="245"/>
      <c r="OD117" s="245"/>
      <c r="OE117" s="245"/>
      <c r="OF117" s="245"/>
      <c r="OG117" s="245"/>
      <c r="OH117" s="245"/>
      <c r="OI117" s="245"/>
      <c r="OJ117" s="245"/>
      <c r="OK117" s="245"/>
      <c r="OL117" s="245"/>
      <c r="OM117" s="245"/>
      <c r="ON117" s="245"/>
      <c r="OO117" s="245"/>
      <c r="OP117" s="245"/>
      <c r="OQ117" s="245"/>
      <c r="OR117" s="245"/>
      <c r="OS117" s="245"/>
      <c r="OT117" s="245"/>
      <c r="OU117" s="245"/>
      <c r="OV117" s="245"/>
      <c r="OW117" s="245"/>
      <c r="OX117" s="245"/>
      <c r="OY117" s="245"/>
      <c r="OZ117" s="245"/>
      <c r="PA117" s="245"/>
      <c r="PB117" s="245"/>
      <c r="PC117" s="245"/>
      <c r="PD117" s="245"/>
      <c r="PE117" s="245"/>
      <c r="PF117" s="245"/>
      <c r="PG117" s="245"/>
      <c r="PH117" s="245"/>
      <c r="PI117" s="245"/>
      <c r="PJ117" s="245"/>
      <c r="PK117" s="245"/>
      <c r="PL117" s="245"/>
      <c r="PM117" s="245"/>
      <c r="PN117" s="245"/>
      <c r="PO117" s="245"/>
      <c r="PP117" s="245"/>
      <c r="PQ117" s="245"/>
      <c r="PR117" s="245"/>
      <c r="PS117" s="245"/>
      <c r="PT117" s="245"/>
      <c r="PU117" s="245"/>
      <c r="PV117" s="245"/>
      <c r="PW117" s="245"/>
      <c r="PX117" s="245"/>
      <c r="PY117" s="245"/>
      <c r="PZ117" s="245"/>
      <c r="QA117" s="245"/>
      <c r="QB117" s="245"/>
      <c r="QC117" s="245"/>
      <c r="QD117" s="245"/>
      <c r="QE117" s="245"/>
      <c r="QF117" s="245"/>
      <c r="QG117" s="245"/>
      <c r="QH117" s="245"/>
      <c r="QI117" s="245"/>
      <c r="QJ117" s="245"/>
      <c r="QK117" s="245"/>
      <c r="QL117" s="245"/>
      <c r="QM117" s="245"/>
      <c r="QN117" s="245"/>
      <c r="QO117" s="245"/>
      <c r="QP117" s="245"/>
      <c r="QQ117" s="245"/>
      <c r="QR117" s="245"/>
      <c r="QS117" s="245"/>
      <c r="QT117" s="245"/>
      <c r="QU117" s="245"/>
      <c r="QV117" s="245"/>
      <c r="QW117" s="245"/>
      <c r="QX117" s="245"/>
      <c r="QY117" s="245"/>
      <c r="QZ117" s="245"/>
      <c r="RA117" s="245"/>
      <c r="RB117" s="245"/>
      <c r="RC117" s="245"/>
      <c r="RD117" s="245"/>
      <c r="RE117" s="245"/>
      <c r="RF117" s="245"/>
      <c r="RG117" s="245"/>
      <c r="RH117" s="245"/>
      <c r="RI117" s="245"/>
      <c r="RJ117" s="245"/>
      <c r="RK117" s="245"/>
      <c r="RL117" s="245"/>
      <c r="RM117" s="245"/>
      <c r="RN117" s="245"/>
      <c r="RO117" s="245"/>
      <c r="RP117" s="245"/>
      <c r="RQ117" s="245"/>
      <c r="RR117" s="245"/>
      <c r="RS117" s="245"/>
      <c r="RT117" s="245"/>
      <c r="RU117" s="245"/>
      <c r="RV117" s="245"/>
      <c r="RW117" s="245"/>
      <c r="RX117" s="245"/>
      <c r="RY117" s="245"/>
      <c r="RZ117" s="245"/>
      <c r="SA117" s="245"/>
      <c r="SB117" s="245"/>
      <c r="SC117" s="245"/>
      <c r="SD117" s="245"/>
      <c r="SE117" s="245"/>
      <c r="SF117" s="245"/>
      <c r="SG117" s="245"/>
      <c r="SH117" s="245"/>
      <c r="SI117" s="245"/>
      <c r="SJ117" s="245"/>
      <c r="SK117" s="245"/>
      <c r="SL117" s="245"/>
      <c r="SM117" s="245"/>
      <c r="SN117" s="245"/>
      <c r="SO117" s="245"/>
      <c r="SP117" s="245"/>
      <c r="SQ117" s="245"/>
      <c r="SR117" s="245"/>
      <c r="SS117" s="245"/>
      <c r="ST117" s="245"/>
      <c r="SU117" s="245"/>
      <c r="SV117" s="245"/>
      <c r="SW117" s="245"/>
      <c r="SX117" s="245"/>
      <c r="SY117" s="245"/>
      <c r="SZ117" s="245"/>
      <c r="TA117" s="245"/>
      <c r="TB117" s="245"/>
      <c r="TC117" s="245"/>
      <c r="TD117" s="245"/>
      <c r="TE117" s="245"/>
      <c r="TF117" s="245"/>
      <c r="TG117" s="245"/>
      <c r="TH117" s="245"/>
      <c r="TI117" s="245"/>
      <c r="TJ117" s="245"/>
      <c r="TK117" s="245"/>
      <c r="TL117" s="245"/>
      <c r="TM117" s="245"/>
      <c r="TN117" s="245"/>
      <c r="TO117" s="245"/>
      <c r="TP117" s="245"/>
      <c r="TQ117" s="245"/>
      <c r="TR117" s="245"/>
      <c r="TS117" s="245"/>
      <c r="TT117" s="245"/>
      <c r="TU117" s="245"/>
      <c r="TV117" s="245"/>
      <c r="TW117" s="245"/>
      <c r="TX117" s="245"/>
      <c r="TY117" s="245"/>
      <c r="TZ117" s="245"/>
      <c r="UA117" s="245"/>
      <c r="UB117" s="245"/>
      <c r="UC117" s="245"/>
      <c r="UD117" s="245"/>
      <c r="UE117" s="245"/>
      <c r="UF117" s="245"/>
      <c r="UG117" s="240"/>
    </row>
    <row r="118" spans="1:553" s="236" customFormat="1" ht="27.65" customHeight="1">
      <c r="A118" s="356" t="s">
        <v>30</v>
      </c>
      <c r="B118" s="385">
        <v>5</v>
      </c>
      <c r="C118" s="1451" t="s">
        <v>882</v>
      </c>
      <c r="D118" s="1389"/>
      <c r="E118" s="1389"/>
      <c r="F118" s="1390"/>
      <c r="G118" s="386" t="s">
        <v>33</v>
      </c>
      <c r="H118" s="370"/>
      <c r="I118" s="422">
        <f>(0.6+0.6)*2*2.2*2</f>
        <v>10.56</v>
      </c>
      <c r="J118" s="368">
        <v>41700</v>
      </c>
      <c r="K118" s="371"/>
      <c r="L118" s="391">
        <f t="shared" si="27"/>
        <v>440352</v>
      </c>
      <c r="M118" s="395"/>
      <c r="N118" s="395"/>
      <c r="O118" s="366"/>
      <c r="P118" s="396"/>
      <c r="Q118" s="473"/>
      <c r="R118" s="1039"/>
      <c r="S118" s="308"/>
      <c r="T118" s="303"/>
      <c r="U118" s="306"/>
      <c r="V118" s="307"/>
      <c r="W118" s="306"/>
      <c r="X118" s="306"/>
      <c r="Y118" s="306"/>
      <c r="Z118" s="306"/>
      <c r="AA118" s="306"/>
      <c r="AB118" s="306"/>
      <c r="AC118" s="449"/>
      <c r="AD118" s="449"/>
      <c r="AE118" s="449"/>
      <c r="AF118" s="449"/>
      <c r="AG118" s="452"/>
      <c r="AH118" s="452"/>
      <c r="AI118" s="452"/>
      <c r="AJ118" s="452"/>
      <c r="AK118" s="452"/>
      <c r="AL118" s="242"/>
      <c r="AM118" s="242"/>
      <c r="AN118" s="242"/>
      <c r="AO118" s="242"/>
      <c r="AP118" s="242"/>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5"/>
      <c r="BN118" s="245"/>
      <c r="BO118" s="245"/>
      <c r="BP118" s="245"/>
      <c r="BQ118" s="245"/>
      <c r="BR118" s="245"/>
      <c r="BS118" s="245"/>
      <c r="BT118" s="245"/>
      <c r="BU118" s="245"/>
      <c r="BV118" s="245"/>
      <c r="BW118" s="245"/>
      <c r="BX118" s="245"/>
      <c r="BY118" s="245"/>
      <c r="BZ118" s="245"/>
      <c r="CA118" s="245"/>
      <c r="CB118" s="245"/>
      <c r="CC118" s="245"/>
      <c r="CD118" s="245"/>
      <c r="CE118" s="245"/>
      <c r="CF118" s="245"/>
      <c r="CG118" s="245"/>
      <c r="CH118" s="245"/>
      <c r="CI118" s="245"/>
      <c r="CJ118" s="245"/>
      <c r="CK118" s="245"/>
      <c r="CL118" s="245"/>
      <c r="CM118" s="245"/>
      <c r="CN118" s="245"/>
      <c r="CO118" s="245"/>
      <c r="CP118" s="245"/>
      <c r="CQ118" s="245"/>
      <c r="CR118" s="245"/>
      <c r="CS118" s="245"/>
      <c r="CT118" s="245"/>
      <c r="CU118" s="245"/>
      <c r="CV118" s="245"/>
      <c r="CW118" s="245"/>
      <c r="CX118" s="245"/>
      <c r="CY118" s="245"/>
      <c r="CZ118" s="245"/>
      <c r="DA118" s="245"/>
      <c r="DB118" s="245"/>
      <c r="DC118" s="245"/>
      <c r="DD118" s="245"/>
      <c r="DE118" s="245"/>
      <c r="DF118" s="245"/>
      <c r="DG118" s="245"/>
      <c r="DH118" s="245"/>
      <c r="DI118" s="245"/>
      <c r="DJ118" s="245"/>
      <c r="DK118" s="245"/>
      <c r="DL118" s="245"/>
      <c r="DM118" s="245"/>
      <c r="DN118" s="245"/>
      <c r="DO118" s="245"/>
      <c r="DP118" s="245"/>
      <c r="DQ118" s="245"/>
      <c r="DR118" s="245"/>
      <c r="DS118" s="245"/>
      <c r="DT118" s="245"/>
      <c r="DU118" s="245"/>
      <c r="DV118" s="245"/>
      <c r="DW118" s="245"/>
      <c r="DX118" s="245"/>
      <c r="DY118" s="245"/>
      <c r="DZ118" s="245"/>
      <c r="EA118" s="245"/>
      <c r="EB118" s="245"/>
      <c r="EC118" s="245"/>
      <c r="ED118" s="245"/>
      <c r="EE118" s="245"/>
      <c r="EF118" s="245"/>
      <c r="EG118" s="245"/>
      <c r="EH118" s="245"/>
      <c r="EI118" s="245"/>
      <c r="EJ118" s="245"/>
      <c r="EK118" s="245"/>
      <c r="EL118" s="245"/>
      <c r="EM118" s="245"/>
      <c r="EN118" s="245"/>
      <c r="EO118" s="245"/>
      <c r="EP118" s="245"/>
      <c r="EQ118" s="245"/>
      <c r="ER118" s="245"/>
      <c r="ES118" s="245"/>
      <c r="ET118" s="245"/>
      <c r="EU118" s="245"/>
      <c r="EV118" s="245"/>
      <c r="EW118" s="245"/>
      <c r="EX118" s="245"/>
      <c r="EY118" s="245"/>
      <c r="EZ118" s="245"/>
      <c r="FA118" s="245"/>
      <c r="FB118" s="245"/>
      <c r="FC118" s="245"/>
      <c r="FD118" s="245"/>
      <c r="FE118" s="245"/>
      <c r="FF118" s="245"/>
      <c r="FG118" s="245"/>
      <c r="FH118" s="245"/>
      <c r="FI118" s="245"/>
      <c r="FJ118" s="245"/>
      <c r="FK118" s="245"/>
      <c r="FL118" s="245"/>
      <c r="FM118" s="245"/>
      <c r="FN118" s="245"/>
      <c r="FO118" s="245"/>
      <c r="FP118" s="245"/>
      <c r="FQ118" s="245"/>
      <c r="FR118" s="245"/>
      <c r="FS118" s="245"/>
      <c r="FT118" s="245"/>
      <c r="FU118" s="245"/>
      <c r="FV118" s="245"/>
      <c r="FW118" s="245"/>
      <c r="FX118" s="245"/>
      <c r="FY118" s="245"/>
      <c r="FZ118" s="245"/>
      <c r="GA118" s="245"/>
      <c r="GB118" s="245"/>
      <c r="GC118" s="245"/>
      <c r="GD118" s="245"/>
      <c r="GE118" s="245"/>
      <c r="GF118" s="245"/>
      <c r="GG118" s="245"/>
      <c r="GH118" s="245"/>
      <c r="GI118" s="245"/>
      <c r="GJ118" s="245"/>
      <c r="GK118" s="245"/>
      <c r="GL118" s="245"/>
      <c r="GM118" s="245"/>
      <c r="GN118" s="245"/>
      <c r="GO118" s="245"/>
      <c r="GP118" s="245"/>
      <c r="GQ118" s="245"/>
      <c r="GR118" s="245"/>
      <c r="GS118" s="245"/>
      <c r="GT118" s="245"/>
      <c r="GU118" s="245"/>
      <c r="GV118" s="245"/>
      <c r="GW118" s="245"/>
      <c r="GX118" s="245"/>
      <c r="GY118" s="245"/>
      <c r="GZ118" s="245"/>
      <c r="HA118" s="245"/>
      <c r="HB118" s="245"/>
      <c r="HC118" s="245"/>
      <c r="HD118" s="245"/>
      <c r="HE118" s="245"/>
      <c r="HF118" s="245"/>
      <c r="HG118" s="245"/>
      <c r="HH118" s="245"/>
      <c r="HI118" s="245"/>
      <c r="HJ118" s="245"/>
      <c r="HK118" s="245"/>
      <c r="HL118" s="245"/>
      <c r="HM118" s="245"/>
      <c r="HN118" s="245"/>
      <c r="HO118" s="245"/>
      <c r="HP118" s="245"/>
      <c r="HQ118" s="245"/>
      <c r="HR118" s="245"/>
      <c r="HS118" s="245"/>
      <c r="HT118" s="245"/>
      <c r="HU118" s="245"/>
      <c r="HV118" s="245"/>
      <c r="HW118" s="245"/>
      <c r="HX118" s="245"/>
      <c r="HY118" s="245"/>
      <c r="HZ118" s="245"/>
      <c r="IA118" s="245"/>
      <c r="IB118" s="245"/>
      <c r="IC118" s="245"/>
      <c r="ID118" s="245"/>
      <c r="IE118" s="245"/>
      <c r="IF118" s="245"/>
      <c r="IG118" s="245"/>
      <c r="IH118" s="245"/>
      <c r="II118" s="245"/>
      <c r="IJ118" s="245"/>
      <c r="IK118" s="245"/>
      <c r="IL118" s="245"/>
      <c r="IM118" s="245"/>
      <c r="IN118" s="245"/>
      <c r="IO118" s="245"/>
      <c r="IP118" s="245"/>
      <c r="IQ118" s="245"/>
      <c r="IR118" s="245"/>
      <c r="IS118" s="245"/>
      <c r="IT118" s="245"/>
      <c r="IU118" s="245"/>
      <c r="IV118" s="245"/>
      <c r="IW118" s="245"/>
      <c r="IX118" s="245"/>
      <c r="IY118" s="245"/>
      <c r="IZ118" s="245"/>
      <c r="JA118" s="245"/>
      <c r="JB118" s="245"/>
      <c r="JC118" s="245"/>
      <c r="JD118" s="245"/>
      <c r="JE118" s="245"/>
      <c r="JF118" s="245"/>
      <c r="JG118" s="245"/>
      <c r="JH118" s="245"/>
      <c r="JI118" s="245"/>
      <c r="JJ118" s="245"/>
      <c r="JK118" s="245"/>
      <c r="JL118" s="245"/>
      <c r="JM118" s="245"/>
      <c r="JN118" s="245"/>
      <c r="JO118" s="245"/>
      <c r="JP118" s="245"/>
      <c r="JQ118" s="245"/>
      <c r="JR118" s="245"/>
      <c r="JS118" s="245"/>
      <c r="JT118" s="245"/>
      <c r="JU118" s="245"/>
      <c r="JV118" s="245"/>
      <c r="JW118" s="245"/>
      <c r="JX118" s="245"/>
      <c r="JY118" s="245"/>
      <c r="JZ118" s="245"/>
      <c r="KA118" s="245"/>
      <c r="KB118" s="245"/>
      <c r="KC118" s="245"/>
      <c r="KD118" s="245"/>
      <c r="KE118" s="245"/>
      <c r="KF118" s="245"/>
      <c r="KG118" s="245"/>
      <c r="KH118" s="245"/>
      <c r="KI118" s="245"/>
      <c r="KJ118" s="245"/>
      <c r="KK118" s="245"/>
      <c r="KL118" s="245"/>
      <c r="KM118" s="245"/>
      <c r="KN118" s="245"/>
      <c r="KO118" s="245"/>
      <c r="KP118" s="245"/>
      <c r="KQ118" s="245"/>
      <c r="KR118" s="245"/>
      <c r="KS118" s="245"/>
      <c r="KT118" s="245"/>
      <c r="KU118" s="245"/>
      <c r="KV118" s="245"/>
      <c r="KW118" s="245"/>
      <c r="KX118" s="245"/>
      <c r="KY118" s="245"/>
      <c r="KZ118" s="245"/>
      <c r="LA118" s="245"/>
      <c r="LB118" s="245"/>
      <c r="LC118" s="245"/>
      <c r="LD118" s="245"/>
      <c r="LE118" s="245"/>
      <c r="LF118" s="245"/>
      <c r="LG118" s="245"/>
      <c r="LH118" s="245"/>
      <c r="LI118" s="245"/>
      <c r="LJ118" s="245"/>
      <c r="LK118" s="245"/>
      <c r="LL118" s="245"/>
      <c r="LM118" s="245"/>
      <c r="LN118" s="245"/>
      <c r="LO118" s="245"/>
      <c r="LP118" s="245"/>
      <c r="LQ118" s="245"/>
      <c r="LR118" s="245"/>
      <c r="LS118" s="245"/>
      <c r="LT118" s="245"/>
      <c r="LU118" s="245"/>
      <c r="LV118" s="245"/>
      <c r="LW118" s="245"/>
      <c r="LX118" s="245"/>
      <c r="LY118" s="245"/>
      <c r="LZ118" s="245"/>
      <c r="MA118" s="245"/>
      <c r="MB118" s="245"/>
      <c r="MC118" s="245"/>
      <c r="MD118" s="245"/>
      <c r="ME118" s="245"/>
      <c r="MF118" s="245"/>
      <c r="MG118" s="245"/>
      <c r="MH118" s="245"/>
      <c r="MI118" s="245"/>
      <c r="MJ118" s="245"/>
      <c r="MK118" s="245"/>
      <c r="ML118" s="245"/>
      <c r="MM118" s="245"/>
      <c r="MN118" s="245"/>
      <c r="MO118" s="245"/>
      <c r="MP118" s="245"/>
      <c r="MQ118" s="245"/>
      <c r="MR118" s="245"/>
      <c r="MS118" s="245"/>
      <c r="MT118" s="245"/>
      <c r="MU118" s="245"/>
      <c r="MV118" s="245"/>
      <c r="MW118" s="245"/>
      <c r="MX118" s="245"/>
      <c r="MY118" s="245"/>
      <c r="MZ118" s="245"/>
      <c r="NA118" s="245"/>
      <c r="NB118" s="245"/>
      <c r="NC118" s="245"/>
      <c r="ND118" s="245"/>
      <c r="NE118" s="245"/>
      <c r="NF118" s="245"/>
      <c r="NG118" s="245"/>
      <c r="NH118" s="245"/>
      <c r="NI118" s="245"/>
      <c r="NJ118" s="245"/>
      <c r="NK118" s="245"/>
      <c r="NL118" s="245"/>
      <c r="NM118" s="245"/>
      <c r="NN118" s="245"/>
      <c r="NO118" s="245"/>
      <c r="NP118" s="245"/>
      <c r="NQ118" s="245"/>
      <c r="NR118" s="245"/>
      <c r="NS118" s="245"/>
      <c r="NT118" s="245"/>
      <c r="NU118" s="245"/>
      <c r="NV118" s="245"/>
      <c r="NW118" s="245"/>
      <c r="NX118" s="245"/>
      <c r="NY118" s="245"/>
      <c r="NZ118" s="245"/>
      <c r="OA118" s="245"/>
      <c r="OB118" s="245"/>
      <c r="OC118" s="245"/>
      <c r="OD118" s="245"/>
      <c r="OE118" s="245"/>
      <c r="OF118" s="245"/>
      <c r="OG118" s="245"/>
      <c r="OH118" s="245"/>
      <c r="OI118" s="245"/>
      <c r="OJ118" s="245"/>
      <c r="OK118" s="245"/>
      <c r="OL118" s="245"/>
      <c r="OM118" s="245"/>
      <c r="ON118" s="245"/>
      <c r="OO118" s="245"/>
      <c r="OP118" s="245"/>
      <c r="OQ118" s="245"/>
      <c r="OR118" s="245"/>
      <c r="OS118" s="245"/>
      <c r="OT118" s="245"/>
      <c r="OU118" s="245"/>
      <c r="OV118" s="245"/>
      <c r="OW118" s="245"/>
      <c r="OX118" s="245"/>
      <c r="OY118" s="245"/>
      <c r="OZ118" s="245"/>
      <c r="PA118" s="245"/>
      <c r="PB118" s="245"/>
      <c r="PC118" s="245"/>
      <c r="PD118" s="245"/>
      <c r="PE118" s="245"/>
      <c r="PF118" s="245"/>
      <c r="PG118" s="245"/>
      <c r="PH118" s="245"/>
      <c r="PI118" s="245"/>
      <c r="PJ118" s="245"/>
      <c r="PK118" s="245"/>
      <c r="PL118" s="245"/>
      <c r="PM118" s="245"/>
      <c r="PN118" s="245"/>
      <c r="PO118" s="245"/>
      <c r="PP118" s="245"/>
      <c r="PQ118" s="245"/>
      <c r="PR118" s="245"/>
      <c r="PS118" s="245"/>
      <c r="PT118" s="245"/>
      <c r="PU118" s="245"/>
      <c r="PV118" s="245"/>
      <c r="PW118" s="245"/>
      <c r="PX118" s="245"/>
      <c r="PY118" s="245"/>
      <c r="PZ118" s="245"/>
      <c r="QA118" s="245"/>
      <c r="QB118" s="245"/>
      <c r="QC118" s="245"/>
      <c r="QD118" s="245"/>
      <c r="QE118" s="245"/>
      <c r="QF118" s="245"/>
      <c r="QG118" s="245"/>
      <c r="QH118" s="245"/>
      <c r="QI118" s="245"/>
      <c r="QJ118" s="245"/>
      <c r="QK118" s="245"/>
      <c r="QL118" s="245"/>
      <c r="QM118" s="245"/>
      <c r="QN118" s="245"/>
      <c r="QO118" s="245"/>
      <c r="QP118" s="245"/>
      <c r="QQ118" s="245"/>
      <c r="QR118" s="245"/>
      <c r="QS118" s="245"/>
      <c r="QT118" s="245"/>
      <c r="QU118" s="245"/>
      <c r="QV118" s="245"/>
      <c r="QW118" s="245"/>
      <c r="QX118" s="245"/>
      <c r="QY118" s="245"/>
      <c r="QZ118" s="245"/>
      <c r="RA118" s="245"/>
      <c r="RB118" s="245"/>
      <c r="RC118" s="245"/>
      <c r="RD118" s="245"/>
      <c r="RE118" s="245"/>
      <c r="RF118" s="245"/>
      <c r="RG118" s="245"/>
      <c r="RH118" s="245"/>
      <c r="RI118" s="245"/>
      <c r="RJ118" s="245"/>
      <c r="RK118" s="245"/>
      <c r="RL118" s="245"/>
      <c r="RM118" s="245"/>
      <c r="RN118" s="245"/>
      <c r="RO118" s="245"/>
      <c r="RP118" s="245"/>
      <c r="RQ118" s="245"/>
      <c r="RR118" s="245"/>
      <c r="RS118" s="245"/>
      <c r="RT118" s="245"/>
      <c r="RU118" s="245"/>
      <c r="RV118" s="245"/>
      <c r="RW118" s="245"/>
      <c r="RX118" s="245"/>
      <c r="RY118" s="245"/>
      <c r="RZ118" s="245"/>
      <c r="SA118" s="245"/>
      <c r="SB118" s="245"/>
      <c r="SC118" s="245"/>
      <c r="SD118" s="245"/>
      <c r="SE118" s="245"/>
      <c r="SF118" s="245"/>
      <c r="SG118" s="245"/>
      <c r="SH118" s="245"/>
      <c r="SI118" s="245"/>
      <c r="SJ118" s="245"/>
      <c r="SK118" s="245"/>
      <c r="SL118" s="245"/>
      <c r="SM118" s="245"/>
      <c r="SN118" s="245"/>
      <c r="SO118" s="245"/>
      <c r="SP118" s="245"/>
      <c r="SQ118" s="245"/>
      <c r="SR118" s="245"/>
      <c r="SS118" s="245"/>
      <c r="ST118" s="245"/>
      <c r="SU118" s="245"/>
      <c r="SV118" s="245"/>
      <c r="SW118" s="245"/>
      <c r="SX118" s="245"/>
      <c r="SY118" s="245"/>
      <c r="SZ118" s="245"/>
      <c r="TA118" s="245"/>
      <c r="TB118" s="245"/>
      <c r="TC118" s="245"/>
      <c r="TD118" s="245"/>
      <c r="TE118" s="245"/>
      <c r="TF118" s="245"/>
      <c r="TG118" s="245"/>
      <c r="TH118" s="245"/>
      <c r="TI118" s="245"/>
      <c r="TJ118" s="245"/>
      <c r="TK118" s="245"/>
      <c r="TL118" s="245"/>
      <c r="TM118" s="245"/>
      <c r="TN118" s="245"/>
      <c r="TO118" s="245"/>
      <c r="TP118" s="245"/>
      <c r="TQ118" s="245"/>
      <c r="TR118" s="245"/>
      <c r="TS118" s="245"/>
      <c r="TT118" s="245"/>
      <c r="TU118" s="245"/>
      <c r="TV118" s="245"/>
      <c r="TW118" s="245"/>
      <c r="TX118" s="245"/>
      <c r="TY118" s="245"/>
      <c r="TZ118" s="245"/>
      <c r="UA118" s="245"/>
      <c r="UB118" s="245"/>
      <c r="UC118" s="245"/>
      <c r="UD118" s="245"/>
      <c r="UE118" s="245"/>
      <c r="UF118" s="245"/>
      <c r="UG118" s="240"/>
    </row>
    <row r="119" spans="1:553" s="236" customFormat="1" ht="34.5" customHeight="1">
      <c r="A119" s="356" t="s">
        <v>15</v>
      </c>
      <c r="B119" s="366" t="s">
        <v>36</v>
      </c>
      <c r="C119" s="1443" t="s">
        <v>176</v>
      </c>
      <c r="D119" s="1389"/>
      <c r="E119" s="1389"/>
      <c r="F119" s="1390"/>
      <c r="G119" s="386" t="s">
        <v>935</v>
      </c>
      <c r="H119" s="370"/>
      <c r="I119" s="422">
        <f>2*4.5</f>
        <v>9</v>
      </c>
      <c r="J119" s="368">
        <v>153000</v>
      </c>
      <c r="K119" s="371"/>
      <c r="L119" s="391">
        <f t="shared" si="26"/>
        <v>1377000</v>
      </c>
      <c r="M119" s="395"/>
      <c r="N119" s="395"/>
      <c r="O119" s="366"/>
      <c r="P119" s="396"/>
      <c r="Q119" s="473"/>
      <c r="R119" s="1039"/>
      <c r="S119" s="308"/>
      <c r="T119" s="303"/>
      <c r="U119" s="306"/>
      <c r="V119" s="307"/>
      <c r="W119" s="306"/>
      <c r="X119" s="306"/>
      <c r="Y119" s="306"/>
      <c r="Z119" s="306"/>
      <c r="AA119" s="306"/>
      <c r="AB119" s="306"/>
      <c r="AC119" s="449"/>
      <c r="AD119" s="449"/>
      <c r="AE119" s="449"/>
      <c r="AF119" s="449"/>
      <c r="AG119" s="452"/>
      <c r="AH119" s="452"/>
      <c r="AI119" s="452"/>
      <c r="AJ119" s="452"/>
      <c r="AK119" s="452"/>
      <c r="AL119" s="242"/>
      <c r="AM119" s="241"/>
      <c r="AN119" s="241"/>
      <c r="AO119" s="241"/>
      <c r="AP119" s="241"/>
      <c r="AQ119" s="238"/>
      <c r="AR119" s="238"/>
      <c r="AS119" s="238"/>
      <c r="AT119" s="238"/>
      <c r="AU119" s="238"/>
      <c r="AV119" s="238"/>
      <c r="AW119" s="238"/>
      <c r="AX119" s="238"/>
      <c r="AY119" s="238"/>
      <c r="AZ119" s="238"/>
      <c r="BA119" s="238"/>
      <c r="BB119" s="238"/>
      <c r="BC119" s="238"/>
      <c r="BD119" s="238"/>
      <c r="BE119" s="238"/>
      <c r="BF119" s="238"/>
      <c r="BG119" s="238"/>
      <c r="BH119" s="238"/>
      <c r="BI119" s="238"/>
      <c r="BJ119" s="238"/>
      <c r="BK119" s="238"/>
      <c r="BL119" s="238"/>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c r="CK119" s="239"/>
      <c r="CL119" s="239"/>
      <c r="CM119" s="239"/>
      <c r="CN119" s="239"/>
      <c r="CO119" s="239"/>
      <c r="CP119" s="239"/>
      <c r="CQ119" s="239"/>
      <c r="CR119" s="239"/>
      <c r="CS119" s="239"/>
      <c r="CT119" s="239"/>
      <c r="CU119" s="239"/>
      <c r="CV119" s="239"/>
      <c r="CW119" s="239"/>
      <c r="CX119" s="239"/>
      <c r="CY119" s="239"/>
      <c r="CZ119" s="239"/>
      <c r="DA119" s="239"/>
      <c r="DB119" s="239"/>
      <c r="DC119" s="239"/>
      <c r="DD119" s="239"/>
      <c r="DE119" s="239"/>
      <c r="DF119" s="239"/>
      <c r="DG119" s="239"/>
      <c r="DH119" s="239"/>
      <c r="DI119" s="239"/>
      <c r="DJ119" s="239"/>
      <c r="DK119" s="239"/>
      <c r="DL119" s="239"/>
      <c r="DM119" s="239"/>
      <c r="DN119" s="239"/>
      <c r="DO119" s="239"/>
      <c r="DP119" s="239"/>
      <c r="DQ119" s="239"/>
      <c r="DR119" s="239"/>
      <c r="DS119" s="239"/>
      <c r="DT119" s="239"/>
      <c r="DU119" s="239"/>
      <c r="DV119" s="239"/>
      <c r="DW119" s="239"/>
      <c r="DX119" s="239"/>
      <c r="DY119" s="239"/>
      <c r="DZ119" s="239"/>
      <c r="EA119" s="239"/>
      <c r="EB119" s="239"/>
      <c r="EC119" s="239"/>
      <c r="ED119" s="239"/>
      <c r="EE119" s="239"/>
      <c r="EF119" s="239"/>
      <c r="EG119" s="239"/>
      <c r="EH119" s="239"/>
      <c r="EI119" s="239"/>
      <c r="EJ119" s="239"/>
      <c r="EK119" s="239"/>
      <c r="EL119" s="239"/>
      <c r="EM119" s="239"/>
      <c r="EN119" s="239"/>
      <c r="EO119" s="239"/>
      <c r="EP119" s="239"/>
      <c r="EQ119" s="239"/>
      <c r="ER119" s="239"/>
      <c r="ES119" s="239"/>
      <c r="ET119" s="239"/>
      <c r="EU119" s="239"/>
      <c r="EV119" s="239"/>
      <c r="EW119" s="239"/>
      <c r="EX119" s="239"/>
      <c r="EY119" s="239"/>
      <c r="EZ119" s="239"/>
      <c r="FA119" s="239"/>
      <c r="FB119" s="239"/>
      <c r="FC119" s="239"/>
      <c r="FD119" s="239"/>
      <c r="FE119" s="239"/>
      <c r="FF119" s="239"/>
      <c r="FG119" s="239"/>
      <c r="FH119" s="239"/>
      <c r="FI119" s="239"/>
      <c r="FJ119" s="239"/>
      <c r="FK119" s="239"/>
      <c r="FL119" s="239"/>
      <c r="FM119" s="239"/>
      <c r="FN119" s="239"/>
      <c r="FO119" s="239"/>
      <c r="FP119" s="239"/>
      <c r="FQ119" s="239"/>
      <c r="FR119" s="239"/>
      <c r="FS119" s="239"/>
      <c r="FT119" s="239"/>
      <c r="FU119" s="239"/>
      <c r="FV119" s="239"/>
      <c r="FW119" s="239"/>
      <c r="FX119" s="239"/>
      <c r="FY119" s="239"/>
      <c r="FZ119" s="239"/>
      <c r="GA119" s="239"/>
      <c r="GB119" s="239"/>
      <c r="GC119" s="239"/>
      <c r="GD119" s="239"/>
      <c r="GE119" s="239"/>
      <c r="GF119" s="239"/>
      <c r="GG119" s="239"/>
      <c r="GH119" s="239"/>
      <c r="GI119" s="239"/>
      <c r="GJ119" s="239"/>
      <c r="GK119" s="239"/>
      <c r="GL119" s="239"/>
      <c r="GM119" s="239"/>
      <c r="GN119" s="239"/>
      <c r="GO119" s="239"/>
      <c r="GP119" s="239"/>
      <c r="GQ119" s="239"/>
      <c r="GR119" s="239"/>
      <c r="GS119" s="239"/>
      <c r="GT119" s="239"/>
      <c r="GU119" s="239"/>
      <c r="GV119" s="239"/>
      <c r="GW119" s="239"/>
      <c r="GX119" s="239"/>
      <c r="GY119" s="239"/>
      <c r="GZ119" s="239"/>
      <c r="HA119" s="239"/>
      <c r="HB119" s="239"/>
      <c r="HC119" s="239"/>
      <c r="HD119" s="239"/>
      <c r="HE119" s="239"/>
      <c r="HF119" s="239"/>
      <c r="HG119" s="239"/>
      <c r="HH119" s="239"/>
      <c r="HI119" s="239"/>
      <c r="HJ119" s="239"/>
      <c r="HK119" s="239"/>
      <c r="HL119" s="239"/>
      <c r="HM119" s="239"/>
      <c r="HN119" s="239"/>
      <c r="HO119" s="239"/>
      <c r="HP119" s="239"/>
      <c r="HQ119" s="239"/>
      <c r="HR119" s="239"/>
      <c r="HS119" s="239"/>
      <c r="HT119" s="239"/>
      <c r="HU119" s="239"/>
      <c r="HV119" s="239"/>
      <c r="HW119" s="239"/>
      <c r="HX119" s="239"/>
      <c r="HY119" s="239"/>
      <c r="HZ119" s="239"/>
      <c r="IA119" s="239"/>
      <c r="IB119" s="239"/>
      <c r="IC119" s="239"/>
      <c r="ID119" s="239"/>
      <c r="IE119" s="239"/>
      <c r="IF119" s="239"/>
      <c r="IG119" s="239"/>
      <c r="IH119" s="239"/>
      <c r="II119" s="239"/>
      <c r="IJ119" s="239"/>
      <c r="IK119" s="239"/>
      <c r="IL119" s="239"/>
      <c r="IM119" s="239"/>
      <c r="IN119" s="239"/>
      <c r="IO119" s="239"/>
      <c r="IP119" s="239"/>
      <c r="IQ119" s="239"/>
      <c r="IR119" s="239"/>
      <c r="IS119" s="239"/>
      <c r="IT119" s="239"/>
      <c r="IU119" s="239"/>
      <c r="IV119" s="239"/>
      <c r="IW119" s="239"/>
      <c r="IX119" s="239"/>
      <c r="IY119" s="239"/>
      <c r="IZ119" s="239"/>
      <c r="JA119" s="239"/>
      <c r="JB119" s="239"/>
      <c r="JC119" s="239"/>
      <c r="JD119" s="239"/>
      <c r="JE119" s="239"/>
      <c r="JF119" s="239"/>
      <c r="JG119" s="239"/>
      <c r="JH119" s="239"/>
      <c r="JI119" s="239"/>
      <c r="JJ119" s="239"/>
      <c r="JK119" s="239"/>
      <c r="JL119" s="239"/>
      <c r="JM119" s="239"/>
      <c r="JN119" s="239"/>
      <c r="JO119" s="239"/>
      <c r="JP119" s="239"/>
      <c r="JQ119" s="239"/>
      <c r="JR119" s="239"/>
      <c r="JS119" s="239"/>
      <c r="JT119" s="239"/>
      <c r="JU119" s="239"/>
      <c r="JV119" s="239"/>
      <c r="JW119" s="239"/>
      <c r="JX119" s="239"/>
      <c r="JY119" s="239"/>
      <c r="JZ119" s="239"/>
      <c r="KA119" s="239"/>
      <c r="KB119" s="239"/>
      <c r="KC119" s="239"/>
      <c r="KD119" s="239"/>
      <c r="KE119" s="239"/>
      <c r="KF119" s="239"/>
      <c r="KG119" s="239"/>
      <c r="KH119" s="239"/>
      <c r="KI119" s="239"/>
      <c r="KJ119" s="239"/>
      <c r="KK119" s="239"/>
      <c r="KL119" s="239"/>
      <c r="KM119" s="239"/>
      <c r="KN119" s="239"/>
      <c r="KO119" s="239"/>
      <c r="KP119" s="239"/>
      <c r="KQ119" s="239"/>
      <c r="KR119" s="239"/>
      <c r="KS119" s="239"/>
      <c r="KT119" s="239"/>
      <c r="KU119" s="239"/>
      <c r="KV119" s="239"/>
      <c r="KW119" s="239"/>
      <c r="KX119" s="239"/>
      <c r="KY119" s="239"/>
      <c r="KZ119" s="239"/>
      <c r="LA119" s="239"/>
      <c r="LB119" s="239"/>
      <c r="LC119" s="239"/>
      <c r="LD119" s="239"/>
      <c r="LE119" s="239"/>
      <c r="LF119" s="239"/>
      <c r="LG119" s="239"/>
      <c r="LH119" s="239"/>
      <c r="LI119" s="239"/>
      <c r="LJ119" s="239"/>
      <c r="LK119" s="239"/>
      <c r="LL119" s="239"/>
      <c r="LM119" s="239"/>
      <c r="LN119" s="239"/>
      <c r="LO119" s="239"/>
      <c r="LP119" s="239"/>
      <c r="LQ119" s="239"/>
      <c r="LR119" s="239"/>
      <c r="LS119" s="239"/>
      <c r="LT119" s="239"/>
      <c r="LU119" s="239"/>
      <c r="LV119" s="239"/>
      <c r="LW119" s="239"/>
      <c r="LX119" s="239"/>
      <c r="LY119" s="239"/>
      <c r="LZ119" s="239"/>
      <c r="MA119" s="239"/>
      <c r="MB119" s="239"/>
      <c r="MC119" s="239"/>
      <c r="MD119" s="239"/>
      <c r="ME119" s="239"/>
      <c r="MF119" s="239"/>
      <c r="MG119" s="239"/>
      <c r="MH119" s="239"/>
      <c r="MI119" s="239"/>
      <c r="MJ119" s="239"/>
      <c r="MK119" s="239"/>
      <c r="ML119" s="239"/>
      <c r="MM119" s="239"/>
      <c r="MN119" s="239"/>
      <c r="MO119" s="239"/>
      <c r="MP119" s="239"/>
      <c r="MQ119" s="239"/>
      <c r="MR119" s="239"/>
      <c r="MS119" s="239"/>
      <c r="MT119" s="239"/>
      <c r="MU119" s="239"/>
      <c r="MV119" s="239"/>
      <c r="MW119" s="239"/>
      <c r="MX119" s="239"/>
      <c r="MY119" s="239"/>
      <c r="MZ119" s="239"/>
      <c r="NA119" s="239"/>
      <c r="NB119" s="239"/>
      <c r="NC119" s="239"/>
      <c r="ND119" s="239"/>
      <c r="NE119" s="239"/>
      <c r="NF119" s="239"/>
      <c r="NG119" s="239"/>
      <c r="NH119" s="239"/>
      <c r="NI119" s="239"/>
      <c r="NJ119" s="239"/>
      <c r="NK119" s="239"/>
      <c r="NL119" s="239"/>
      <c r="NM119" s="239"/>
      <c r="NN119" s="239"/>
      <c r="NO119" s="239"/>
      <c r="NP119" s="239"/>
      <c r="NQ119" s="239"/>
      <c r="NR119" s="239"/>
      <c r="NS119" s="239"/>
      <c r="NT119" s="239"/>
      <c r="NU119" s="239"/>
      <c r="NV119" s="239"/>
      <c r="NW119" s="239"/>
      <c r="NX119" s="239"/>
      <c r="NY119" s="239"/>
      <c r="NZ119" s="239"/>
      <c r="OA119" s="239"/>
      <c r="OB119" s="239"/>
      <c r="OC119" s="239"/>
      <c r="OD119" s="239"/>
      <c r="OE119" s="239"/>
      <c r="OF119" s="239"/>
      <c r="OG119" s="239"/>
      <c r="OH119" s="239"/>
      <c r="OI119" s="239"/>
      <c r="OJ119" s="239"/>
      <c r="OK119" s="239"/>
      <c r="OL119" s="239"/>
      <c r="OM119" s="239"/>
      <c r="ON119" s="239"/>
      <c r="OO119" s="239"/>
      <c r="OP119" s="239"/>
      <c r="OQ119" s="239"/>
      <c r="OR119" s="239"/>
      <c r="OS119" s="239"/>
      <c r="OT119" s="239"/>
      <c r="OU119" s="239"/>
      <c r="OV119" s="239"/>
      <c r="OW119" s="239"/>
      <c r="OX119" s="239"/>
      <c r="OY119" s="239"/>
      <c r="OZ119" s="239"/>
      <c r="PA119" s="239"/>
      <c r="PB119" s="239"/>
      <c r="PC119" s="239"/>
      <c r="PD119" s="239"/>
      <c r="PE119" s="239"/>
      <c r="PF119" s="239"/>
      <c r="PG119" s="239"/>
      <c r="PH119" s="239"/>
      <c r="PI119" s="239"/>
      <c r="PJ119" s="239"/>
      <c r="PK119" s="239"/>
      <c r="PL119" s="239"/>
      <c r="PM119" s="239"/>
      <c r="PN119" s="239"/>
      <c r="PO119" s="239"/>
      <c r="PP119" s="239"/>
      <c r="PQ119" s="239"/>
      <c r="PR119" s="239"/>
      <c r="PS119" s="239"/>
      <c r="PT119" s="239"/>
      <c r="PU119" s="239"/>
      <c r="PV119" s="239"/>
      <c r="PW119" s="239"/>
      <c r="PX119" s="239"/>
      <c r="PY119" s="239"/>
      <c r="PZ119" s="239"/>
      <c r="QA119" s="239"/>
      <c r="QB119" s="239"/>
      <c r="QC119" s="239"/>
      <c r="QD119" s="239"/>
      <c r="QE119" s="239"/>
      <c r="QF119" s="239"/>
      <c r="QG119" s="239"/>
      <c r="QH119" s="239"/>
      <c r="QI119" s="239"/>
      <c r="QJ119" s="239"/>
      <c r="QK119" s="239"/>
      <c r="QL119" s="239"/>
      <c r="QM119" s="239"/>
      <c r="QN119" s="239"/>
      <c r="QO119" s="239"/>
      <c r="QP119" s="239"/>
      <c r="QQ119" s="239"/>
      <c r="QR119" s="239"/>
      <c r="QS119" s="239"/>
      <c r="QT119" s="239"/>
      <c r="QU119" s="239"/>
      <c r="QV119" s="239"/>
      <c r="QW119" s="239"/>
      <c r="QX119" s="239"/>
      <c r="QY119" s="239"/>
      <c r="QZ119" s="239"/>
      <c r="RA119" s="239"/>
      <c r="RB119" s="239"/>
      <c r="RC119" s="239"/>
      <c r="RD119" s="239"/>
      <c r="RE119" s="239"/>
      <c r="RF119" s="239"/>
      <c r="RG119" s="239"/>
      <c r="RH119" s="239"/>
      <c r="RI119" s="239"/>
      <c r="RJ119" s="239"/>
      <c r="RK119" s="239"/>
      <c r="RL119" s="239"/>
      <c r="RM119" s="239"/>
      <c r="RN119" s="239"/>
      <c r="RO119" s="239"/>
      <c r="RP119" s="239"/>
      <c r="RQ119" s="239"/>
      <c r="RR119" s="239"/>
      <c r="RS119" s="239"/>
      <c r="RT119" s="239"/>
      <c r="RU119" s="239"/>
      <c r="RV119" s="239"/>
      <c r="RW119" s="239"/>
      <c r="RX119" s="239"/>
      <c r="RY119" s="239"/>
      <c r="RZ119" s="239"/>
      <c r="SA119" s="239"/>
      <c r="SB119" s="239"/>
      <c r="SC119" s="239"/>
      <c r="SD119" s="239"/>
      <c r="SE119" s="239"/>
      <c r="SF119" s="239"/>
      <c r="SG119" s="239"/>
      <c r="SH119" s="239"/>
      <c r="SI119" s="239"/>
      <c r="SJ119" s="239"/>
      <c r="SK119" s="239"/>
      <c r="SL119" s="239"/>
      <c r="SM119" s="239"/>
      <c r="SN119" s="239"/>
      <c r="SO119" s="239"/>
      <c r="SP119" s="239"/>
      <c r="SQ119" s="239"/>
      <c r="SR119" s="239"/>
      <c r="SS119" s="239"/>
      <c r="ST119" s="239"/>
      <c r="SU119" s="239"/>
      <c r="SV119" s="239"/>
      <c r="SW119" s="239"/>
      <c r="SX119" s="239"/>
      <c r="SY119" s="239"/>
      <c r="SZ119" s="239"/>
      <c r="TA119" s="239"/>
      <c r="TB119" s="239"/>
      <c r="TC119" s="239"/>
      <c r="TD119" s="239"/>
      <c r="TE119" s="239"/>
      <c r="TF119" s="239"/>
      <c r="TG119" s="239"/>
      <c r="TH119" s="239"/>
      <c r="TI119" s="239"/>
      <c r="TJ119" s="239"/>
      <c r="TK119" s="239"/>
      <c r="TL119" s="239"/>
      <c r="TM119" s="239"/>
      <c r="TN119" s="239"/>
      <c r="TO119" s="239"/>
      <c r="TP119" s="239"/>
      <c r="TQ119" s="239"/>
      <c r="TR119" s="239"/>
      <c r="TS119" s="239"/>
      <c r="TT119" s="239"/>
      <c r="TU119" s="239"/>
      <c r="TV119" s="239"/>
      <c r="TW119" s="239"/>
      <c r="TX119" s="239"/>
      <c r="TY119" s="239"/>
      <c r="TZ119" s="239"/>
      <c r="UA119" s="239"/>
      <c r="UB119" s="239"/>
      <c r="UC119" s="239"/>
      <c r="UD119" s="239"/>
      <c r="UE119" s="239"/>
      <c r="UF119" s="239"/>
      <c r="UG119" s="240"/>
    </row>
    <row r="120" spans="1:553" s="236" customFormat="1" ht="34.5" customHeight="1">
      <c r="A120" s="356" t="s">
        <v>15</v>
      </c>
      <c r="B120" s="366" t="s">
        <v>75</v>
      </c>
      <c r="C120" s="1414" t="s">
        <v>883</v>
      </c>
      <c r="D120" s="1389"/>
      <c r="E120" s="1389"/>
      <c r="F120" s="1390"/>
      <c r="G120" s="386" t="s">
        <v>935</v>
      </c>
      <c r="H120" s="370"/>
      <c r="I120" s="422">
        <f>2.5*2.3</f>
        <v>5.75</v>
      </c>
      <c r="J120" s="368">
        <v>569800</v>
      </c>
      <c r="K120" s="371"/>
      <c r="L120" s="391">
        <f t="shared" si="26"/>
        <v>3276350</v>
      </c>
      <c r="M120" s="395"/>
      <c r="N120" s="395"/>
      <c r="O120" s="366"/>
      <c r="P120" s="396"/>
      <c r="Q120" s="473"/>
      <c r="R120" s="1039"/>
      <c r="S120" s="302"/>
      <c r="T120" s="399"/>
      <c r="U120" s="304"/>
      <c r="V120" s="304"/>
      <c r="W120" s="304"/>
      <c r="X120" s="304"/>
      <c r="Y120" s="304"/>
      <c r="Z120" s="304"/>
      <c r="AA120" s="304"/>
      <c r="AB120" s="304"/>
      <c r="AC120" s="449"/>
      <c r="AD120" s="449"/>
      <c r="AE120" s="449"/>
      <c r="AF120" s="449"/>
      <c r="AG120" s="452"/>
      <c r="AH120" s="452"/>
      <c r="AI120" s="452"/>
      <c r="AJ120" s="452"/>
      <c r="AK120" s="452"/>
      <c r="AL120" s="242"/>
      <c r="AM120" s="241"/>
      <c r="AN120" s="241"/>
      <c r="AO120" s="241"/>
      <c r="AP120" s="241"/>
      <c r="AQ120" s="238"/>
      <c r="AR120" s="238"/>
      <c r="AS120" s="238"/>
      <c r="AT120" s="238"/>
      <c r="AU120" s="238"/>
      <c r="AV120" s="238"/>
      <c r="AW120" s="238"/>
      <c r="AX120" s="238"/>
      <c r="AY120" s="238"/>
      <c r="AZ120" s="238"/>
      <c r="BA120" s="238"/>
      <c r="BB120" s="238"/>
      <c r="BC120" s="238"/>
      <c r="BD120" s="238"/>
      <c r="BE120" s="238"/>
      <c r="BF120" s="238"/>
      <c r="BG120" s="238"/>
      <c r="BH120" s="238"/>
      <c r="BI120" s="238"/>
      <c r="BJ120" s="238"/>
      <c r="BK120" s="238"/>
      <c r="BL120" s="238"/>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c r="CK120" s="239"/>
      <c r="CL120" s="239"/>
      <c r="CM120" s="239"/>
      <c r="CN120" s="239"/>
      <c r="CO120" s="239"/>
      <c r="CP120" s="239"/>
      <c r="CQ120" s="239"/>
      <c r="CR120" s="239"/>
      <c r="CS120" s="239"/>
      <c r="CT120" s="239"/>
      <c r="CU120" s="239"/>
      <c r="CV120" s="239"/>
      <c r="CW120" s="239"/>
      <c r="CX120" s="239"/>
      <c r="CY120" s="239"/>
      <c r="CZ120" s="239"/>
      <c r="DA120" s="239"/>
      <c r="DB120" s="239"/>
      <c r="DC120" s="239"/>
      <c r="DD120" s="239"/>
      <c r="DE120" s="239"/>
      <c r="DF120" s="239"/>
      <c r="DG120" s="239"/>
      <c r="DH120" s="239"/>
      <c r="DI120" s="239"/>
      <c r="DJ120" s="239"/>
      <c r="DK120" s="239"/>
      <c r="DL120" s="239"/>
      <c r="DM120" s="239"/>
      <c r="DN120" s="239"/>
      <c r="DO120" s="239"/>
      <c r="DP120" s="239"/>
      <c r="DQ120" s="239"/>
      <c r="DR120" s="239"/>
      <c r="DS120" s="239"/>
      <c r="DT120" s="239"/>
      <c r="DU120" s="239"/>
      <c r="DV120" s="239"/>
      <c r="DW120" s="239"/>
      <c r="DX120" s="239"/>
      <c r="DY120" s="239"/>
      <c r="DZ120" s="239"/>
      <c r="EA120" s="239"/>
      <c r="EB120" s="239"/>
      <c r="EC120" s="239"/>
      <c r="ED120" s="239"/>
      <c r="EE120" s="239"/>
      <c r="EF120" s="239"/>
      <c r="EG120" s="239"/>
      <c r="EH120" s="239"/>
      <c r="EI120" s="239"/>
      <c r="EJ120" s="239"/>
      <c r="EK120" s="239"/>
      <c r="EL120" s="239"/>
      <c r="EM120" s="239"/>
      <c r="EN120" s="239"/>
      <c r="EO120" s="239"/>
      <c r="EP120" s="239"/>
      <c r="EQ120" s="239"/>
      <c r="ER120" s="239"/>
      <c r="ES120" s="239"/>
      <c r="ET120" s="239"/>
      <c r="EU120" s="239"/>
      <c r="EV120" s="239"/>
      <c r="EW120" s="239"/>
      <c r="EX120" s="239"/>
      <c r="EY120" s="239"/>
      <c r="EZ120" s="239"/>
      <c r="FA120" s="239"/>
      <c r="FB120" s="239"/>
      <c r="FC120" s="239"/>
      <c r="FD120" s="239"/>
      <c r="FE120" s="239"/>
      <c r="FF120" s="239"/>
      <c r="FG120" s="239"/>
      <c r="FH120" s="239"/>
      <c r="FI120" s="239"/>
      <c r="FJ120" s="239"/>
      <c r="FK120" s="239"/>
      <c r="FL120" s="239"/>
      <c r="FM120" s="239"/>
      <c r="FN120" s="239"/>
      <c r="FO120" s="239"/>
      <c r="FP120" s="239"/>
      <c r="FQ120" s="239"/>
      <c r="FR120" s="239"/>
      <c r="FS120" s="239"/>
      <c r="FT120" s="239"/>
      <c r="FU120" s="239"/>
      <c r="FV120" s="239"/>
      <c r="FW120" s="239"/>
      <c r="FX120" s="239"/>
      <c r="FY120" s="239"/>
      <c r="FZ120" s="239"/>
      <c r="GA120" s="239"/>
      <c r="GB120" s="239"/>
      <c r="GC120" s="239"/>
      <c r="GD120" s="239"/>
      <c r="GE120" s="239"/>
      <c r="GF120" s="239"/>
      <c r="GG120" s="239"/>
      <c r="GH120" s="239"/>
      <c r="GI120" s="239"/>
      <c r="GJ120" s="239"/>
      <c r="GK120" s="239"/>
      <c r="GL120" s="239"/>
      <c r="GM120" s="239"/>
      <c r="GN120" s="239"/>
      <c r="GO120" s="239"/>
      <c r="GP120" s="239"/>
      <c r="GQ120" s="239"/>
      <c r="GR120" s="239"/>
      <c r="GS120" s="239"/>
      <c r="GT120" s="239"/>
      <c r="GU120" s="239"/>
      <c r="GV120" s="239"/>
      <c r="GW120" s="239"/>
      <c r="GX120" s="239"/>
      <c r="GY120" s="239"/>
      <c r="GZ120" s="239"/>
      <c r="HA120" s="239"/>
      <c r="HB120" s="239"/>
      <c r="HC120" s="239"/>
      <c r="HD120" s="239"/>
      <c r="HE120" s="239"/>
      <c r="HF120" s="239"/>
      <c r="HG120" s="239"/>
      <c r="HH120" s="239"/>
      <c r="HI120" s="239"/>
      <c r="HJ120" s="239"/>
      <c r="HK120" s="239"/>
      <c r="HL120" s="239"/>
      <c r="HM120" s="239"/>
      <c r="HN120" s="239"/>
      <c r="HO120" s="239"/>
      <c r="HP120" s="239"/>
      <c r="HQ120" s="239"/>
      <c r="HR120" s="239"/>
      <c r="HS120" s="239"/>
      <c r="HT120" s="239"/>
      <c r="HU120" s="239"/>
      <c r="HV120" s="239"/>
      <c r="HW120" s="239"/>
      <c r="HX120" s="239"/>
      <c r="HY120" s="239"/>
      <c r="HZ120" s="239"/>
      <c r="IA120" s="239"/>
      <c r="IB120" s="239"/>
      <c r="IC120" s="239"/>
      <c r="ID120" s="239"/>
      <c r="IE120" s="239"/>
      <c r="IF120" s="239"/>
      <c r="IG120" s="239"/>
      <c r="IH120" s="239"/>
      <c r="II120" s="239"/>
      <c r="IJ120" s="239"/>
      <c r="IK120" s="239"/>
      <c r="IL120" s="239"/>
      <c r="IM120" s="239"/>
      <c r="IN120" s="239"/>
      <c r="IO120" s="239"/>
      <c r="IP120" s="239"/>
      <c r="IQ120" s="239"/>
      <c r="IR120" s="239"/>
      <c r="IS120" s="239"/>
      <c r="IT120" s="239"/>
      <c r="IU120" s="239"/>
      <c r="IV120" s="239"/>
      <c r="IW120" s="239"/>
      <c r="IX120" s="239"/>
      <c r="IY120" s="239"/>
      <c r="IZ120" s="239"/>
      <c r="JA120" s="239"/>
      <c r="JB120" s="239"/>
      <c r="JC120" s="239"/>
      <c r="JD120" s="239"/>
      <c r="JE120" s="239"/>
      <c r="JF120" s="239"/>
      <c r="JG120" s="239"/>
      <c r="JH120" s="239"/>
      <c r="JI120" s="239"/>
      <c r="JJ120" s="239"/>
      <c r="JK120" s="239"/>
      <c r="JL120" s="239"/>
      <c r="JM120" s="239"/>
      <c r="JN120" s="239"/>
      <c r="JO120" s="239"/>
      <c r="JP120" s="239"/>
      <c r="JQ120" s="239"/>
      <c r="JR120" s="239"/>
      <c r="JS120" s="239"/>
      <c r="JT120" s="239"/>
      <c r="JU120" s="239"/>
      <c r="JV120" s="239"/>
      <c r="JW120" s="239"/>
      <c r="JX120" s="239"/>
      <c r="JY120" s="239"/>
      <c r="JZ120" s="239"/>
      <c r="KA120" s="239"/>
      <c r="KB120" s="239"/>
      <c r="KC120" s="239"/>
      <c r="KD120" s="239"/>
      <c r="KE120" s="239"/>
      <c r="KF120" s="239"/>
      <c r="KG120" s="239"/>
      <c r="KH120" s="239"/>
      <c r="KI120" s="239"/>
      <c r="KJ120" s="239"/>
      <c r="KK120" s="239"/>
      <c r="KL120" s="239"/>
      <c r="KM120" s="239"/>
      <c r="KN120" s="239"/>
      <c r="KO120" s="239"/>
      <c r="KP120" s="239"/>
      <c r="KQ120" s="239"/>
      <c r="KR120" s="239"/>
      <c r="KS120" s="239"/>
      <c r="KT120" s="239"/>
      <c r="KU120" s="239"/>
      <c r="KV120" s="239"/>
      <c r="KW120" s="239"/>
      <c r="KX120" s="239"/>
      <c r="KY120" s="239"/>
      <c r="KZ120" s="239"/>
      <c r="LA120" s="239"/>
      <c r="LB120" s="239"/>
      <c r="LC120" s="239"/>
      <c r="LD120" s="239"/>
      <c r="LE120" s="239"/>
      <c r="LF120" s="239"/>
      <c r="LG120" s="239"/>
      <c r="LH120" s="239"/>
      <c r="LI120" s="239"/>
      <c r="LJ120" s="239"/>
      <c r="LK120" s="239"/>
      <c r="LL120" s="239"/>
      <c r="LM120" s="239"/>
      <c r="LN120" s="239"/>
      <c r="LO120" s="239"/>
      <c r="LP120" s="239"/>
      <c r="LQ120" s="239"/>
      <c r="LR120" s="239"/>
      <c r="LS120" s="239"/>
      <c r="LT120" s="239"/>
      <c r="LU120" s="239"/>
      <c r="LV120" s="239"/>
      <c r="LW120" s="239"/>
      <c r="LX120" s="239"/>
      <c r="LY120" s="239"/>
      <c r="LZ120" s="239"/>
      <c r="MA120" s="239"/>
      <c r="MB120" s="239"/>
      <c r="MC120" s="239"/>
      <c r="MD120" s="239"/>
      <c r="ME120" s="239"/>
      <c r="MF120" s="239"/>
      <c r="MG120" s="239"/>
      <c r="MH120" s="239"/>
      <c r="MI120" s="239"/>
      <c r="MJ120" s="239"/>
      <c r="MK120" s="239"/>
      <c r="ML120" s="239"/>
      <c r="MM120" s="239"/>
      <c r="MN120" s="239"/>
      <c r="MO120" s="239"/>
      <c r="MP120" s="239"/>
      <c r="MQ120" s="239"/>
      <c r="MR120" s="239"/>
      <c r="MS120" s="239"/>
      <c r="MT120" s="239"/>
      <c r="MU120" s="239"/>
      <c r="MV120" s="239"/>
      <c r="MW120" s="239"/>
      <c r="MX120" s="239"/>
      <c r="MY120" s="239"/>
      <c r="MZ120" s="239"/>
      <c r="NA120" s="239"/>
      <c r="NB120" s="239"/>
      <c r="NC120" s="239"/>
      <c r="ND120" s="239"/>
      <c r="NE120" s="239"/>
      <c r="NF120" s="239"/>
      <c r="NG120" s="239"/>
      <c r="NH120" s="239"/>
      <c r="NI120" s="239"/>
      <c r="NJ120" s="239"/>
      <c r="NK120" s="239"/>
      <c r="NL120" s="239"/>
      <c r="NM120" s="239"/>
      <c r="NN120" s="239"/>
      <c r="NO120" s="239"/>
      <c r="NP120" s="239"/>
      <c r="NQ120" s="239"/>
      <c r="NR120" s="239"/>
      <c r="NS120" s="239"/>
      <c r="NT120" s="239"/>
      <c r="NU120" s="239"/>
      <c r="NV120" s="239"/>
      <c r="NW120" s="239"/>
      <c r="NX120" s="239"/>
      <c r="NY120" s="239"/>
      <c r="NZ120" s="239"/>
      <c r="OA120" s="239"/>
      <c r="OB120" s="239"/>
      <c r="OC120" s="239"/>
      <c r="OD120" s="239"/>
      <c r="OE120" s="239"/>
      <c r="OF120" s="239"/>
      <c r="OG120" s="239"/>
      <c r="OH120" s="239"/>
      <c r="OI120" s="239"/>
      <c r="OJ120" s="239"/>
      <c r="OK120" s="239"/>
      <c r="OL120" s="239"/>
      <c r="OM120" s="239"/>
      <c r="ON120" s="239"/>
      <c r="OO120" s="239"/>
      <c r="OP120" s="239"/>
      <c r="OQ120" s="239"/>
      <c r="OR120" s="239"/>
      <c r="OS120" s="239"/>
      <c r="OT120" s="239"/>
      <c r="OU120" s="239"/>
      <c r="OV120" s="239"/>
      <c r="OW120" s="239"/>
      <c r="OX120" s="239"/>
      <c r="OY120" s="239"/>
      <c r="OZ120" s="239"/>
      <c r="PA120" s="239"/>
      <c r="PB120" s="239"/>
      <c r="PC120" s="239"/>
      <c r="PD120" s="239"/>
      <c r="PE120" s="239"/>
      <c r="PF120" s="239"/>
      <c r="PG120" s="239"/>
      <c r="PH120" s="239"/>
      <c r="PI120" s="239"/>
      <c r="PJ120" s="239"/>
      <c r="PK120" s="239"/>
      <c r="PL120" s="239"/>
      <c r="PM120" s="239"/>
      <c r="PN120" s="239"/>
      <c r="PO120" s="239"/>
      <c r="PP120" s="239"/>
      <c r="PQ120" s="239"/>
      <c r="PR120" s="239"/>
      <c r="PS120" s="239"/>
      <c r="PT120" s="239"/>
      <c r="PU120" s="239"/>
      <c r="PV120" s="239"/>
      <c r="PW120" s="239"/>
      <c r="PX120" s="239"/>
      <c r="PY120" s="239"/>
      <c r="PZ120" s="239"/>
      <c r="QA120" s="239"/>
      <c r="QB120" s="239"/>
      <c r="QC120" s="239"/>
      <c r="QD120" s="239"/>
      <c r="QE120" s="239"/>
      <c r="QF120" s="239"/>
      <c r="QG120" s="239"/>
      <c r="QH120" s="239"/>
      <c r="QI120" s="239"/>
      <c r="QJ120" s="239"/>
      <c r="QK120" s="239"/>
      <c r="QL120" s="239"/>
      <c r="QM120" s="239"/>
      <c r="QN120" s="239"/>
      <c r="QO120" s="239"/>
      <c r="QP120" s="239"/>
      <c r="QQ120" s="239"/>
      <c r="QR120" s="239"/>
      <c r="QS120" s="239"/>
      <c r="QT120" s="239"/>
      <c r="QU120" s="239"/>
      <c r="QV120" s="239"/>
      <c r="QW120" s="239"/>
      <c r="QX120" s="239"/>
      <c r="QY120" s="239"/>
      <c r="QZ120" s="239"/>
      <c r="RA120" s="239"/>
      <c r="RB120" s="239"/>
      <c r="RC120" s="239"/>
      <c r="RD120" s="239"/>
      <c r="RE120" s="239"/>
      <c r="RF120" s="239"/>
      <c r="RG120" s="239"/>
      <c r="RH120" s="239"/>
      <c r="RI120" s="239"/>
      <c r="RJ120" s="239"/>
      <c r="RK120" s="239"/>
      <c r="RL120" s="239"/>
      <c r="RM120" s="239"/>
      <c r="RN120" s="239"/>
      <c r="RO120" s="239"/>
      <c r="RP120" s="239"/>
      <c r="RQ120" s="239"/>
      <c r="RR120" s="239"/>
      <c r="RS120" s="239"/>
      <c r="RT120" s="239"/>
      <c r="RU120" s="239"/>
      <c r="RV120" s="239"/>
      <c r="RW120" s="239"/>
      <c r="RX120" s="239"/>
      <c r="RY120" s="239"/>
      <c r="RZ120" s="239"/>
      <c r="SA120" s="239"/>
      <c r="SB120" s="239"/>
      <c r="SC120" s="239"/>
      <c r="SD120" s="239"/>
      <c r="SE120" s="239"/>
      <c r="SF120" s="239"/>
      <c r="SG120" s="239"/>
      <c r="SH120" s="239"/>
      <c r="SI120" s="239"/>
      <c r="SJ120" s="239"/>
      <c r="SK120" s="239"/>
      <c r="SL120" s="239"/>
      <c r="SM120" s="239"/>
      <c r="SN120" s="239"/>
      <c r="SO120" s="239"/>
      <c r="SP120" s="239"/>
      <c r="SQ120" s="239"/>
      <c r="SR120" s="239"/>
      <c r="SS120" s="239"/>
      <c r="ST120" s="239"/>
      <c r="SU120" s="239"/>
      <c r="SV120" s="239"/>
      <c r="SW120" s="239"/>
      <c r="SX120" s="239"/>
      <c r="SY120" s="239"/>
      <c r="SZ120" s="239"/>
      <c r="TA120" s="239"/>
      <c r="TB120" s="239"/>
      <c r="TC120" s="239"/>
      <c r="TD120" s="239"/>
      <c r="TE120" s="239"/>
      <c r="TF120" s="239"/>
      <c r="TG120" s="239"/>
      <c r="TH120" s="239"/>
      <c r="TI120" s="239"/>
      <c r="TJ120" s="239"/>
      <c r="TK120" s="239"/>
      <c r="TL120" s="239"/>
      <c r="TM120" s="239"/>
      <c r="TN120" s="239"/>
      <c r="TO120" s="239"/>
      <c r="TP120" s="239"/>
      <c r="TQ120" s="239"/>
      <c r="TR120" s="239"/>
      <c r="TS120" s="239"/>
      <c r="TT120" s="239"/>
      <c r="TU120" s="239"/>
      <c r="TV120" s="239"/>
      <c r="TW120" s="239"/>
      <c r="TX120" s="239"/>
      <c r="TY120" s="239"/>
      <c r="TZ120" s="239"/>
      <c r="UA120" s="239"/>
      <c r="UB120" s="239"/>
      <c r="UC120" s="239"/>
      <c r="UD120" s="239"/>
      <c r="UE120" s="239"/>
      <c r="UF120" s="239"/>
      <c r="UG120" s="240"/>
    </row>
    <row r="121" spans="1:553" s="236" customFormat="1" ht="34.5" customHeight="1">
      <c r="A121" s="356" t="s">
        <v>15</v>
      </c>
      <c r="B121" s="366" t="s">
        <v>36</v>
      </c>
      <c r="C121" s="1443" t="s">
        <v>177</v>
      </c>
      <c r="D121" s="1389"/>
      <c r="E121" s="1389"/>
      <c r="F121" s="1390"/>
      <c r="G121" s="386" t="s">
        <v>935</v>
      </c>
      <c r="H121" s="370"/>
      <c r="I121" s="422">
        <f>1.8*9.4+2.8*10</f>
        <v>44.92</v>
      </c>
      <c r="J121" s="368">
        <v>153000</v>
      </c>
      <c r="K121" s="371"/>
      <c r="L121" s="391">
        <f t="shared" si="26"/>
        <v>6872760</v>
      </c>
      <c r="M121" s="395"/>
      <c r="N121" s="395"/>
      <c r="O121" s="366"/>
      <c r="P121" s="396"/>
      <c r="Q121" s="473"/>
      <c r="R121" s="1039"/>
      <c r="S121" s="305"/>
      <c r="T121" s="303"/>
      <c r="U121" s="306"/>
      <c r="V121" s="307"/>
      <c r="W121" s="306"/>
      <c r="X121" s="306"/>
      <c r="Y121" s="306"/>
      <c r="Z121" s="306"/>
      <c r="AA121" s="306"/>
      <c r="AB121" s="306"/>
      <c r="AC121" s="449"/>
      <c r="AD121" s="449"/>
      <c r="AE121" s="449"/>
      <c r="AF121" s="449"/>
      <c r="AG121" s="452"/>
      <c r="AH121" s="452"/>
      <c r="AI121" s="452"/>
      <c r="AJ121" s="452"/>
      <c r="AK121" s="452"/>
      <c r="AL121" s="242"/>
      <c r="AM121" s="241"/>
      <c r="AN121" s="241"/>
      <c r="AO121" s="241"/>
      <c r="AP121" s="241"/>
      <c r="AQ121" s="238"/>
      <c r="AR121" s="238"/>
      <c r="AS121" s="238"/>
      <c r="AT121" s="238"/>
      <c r="AU121" s="238"/>
      <c r="AV121" s="238"/>
      <c r="AW121" s="238"/>
      <c r="AX121" s="238"/>
      <c r="AY121" s="238"/>
      <c r="AZ121" s="238"/>
      <c r="BA121" s="238"/>
      <c r="BB121" s="238"/>
      <c r="BC121" s="238"/>
      <c r="BD121" s="238"/>
      <c r="BE121" s="238"/>
      <c r="BF121" s="238"/>
      <c r="BG121" s="238"/>
      <c r="BH121" s="238"/>
      <c r="BI121" s="238"/>
      <c r="BJ121" s="238"/>
      <c r="BK121" s="238"/>
      <c r="BL121" s="238"/>
      <c r="BM121" s="239"/>
      <c r="BN121" s="239"/>
      <c r="BO121" s="239"/>
      <c r="BP121" s="239"/>
      <c r="BQ121" s="239"/>
      <c r="BR121" s="239"/>
      <c r="BS121" s="239"/>
      <c r="BT121" s="239"/>
      <c r="BU121" s="239"/>
      <c r="BV121" s="239"/>
      <c r="BW121" s="239"/>
      <c r="BX121" s="239"/>
      <c r="BY121" s="239"/>
      <c r="BZ121" s="239"/>
      <c r="CA121" s="239"/>
      <c r="CB121" s="239"/>
      <c r="CC121" s="239"/>
      <c r="CD121" s="239"/>
      <c r="CE121" s="239"/>
      <c r="CF121" s="239"/>
      <c r="CG121" s="239"/>
      <c r="CH121" s="239"/>
      <c r="CI121" s="239"/>
      <c r="CJ121" s="239"/>
      <c r="CK121" s="239"/>
      <c r="CL121" s="239"/>
      <c r="CM121" s="239"/>
      <c r="CN121" s="239"/>
      <c r="CO121" s="239"/>
      <c r="CP121" s="239"/>
      <c r="CQ121" s="239"/>
      <c r="CR121" s="239"/>
      <c r="CS121" s="239"/>
      <c r="CT121" s="239"/>
      <c r="CU121" s="239"/>
      <c r="CV121" s="239"/>
      <c r="CW121" s="239"/>
      <c r="CX121" s="239"/>
      <c r="CY121" s="239"/>
      <c r="CZ121" s="239"/>
      <c r="DA121" s="239"/>
      <c r="DB121" s="239"/>
      <c r="DC121" s="239"/>
      <c r="DD121" s="239"/>
      <c r="DE121" s="239"/>
      <c r="DF121" s="239"/>
      <c r="DG121" s="239"/>
      <c r="DH121" s="239"/>
      <c r="DI121" s="239"/>
      <c r="DJ121" s="239"/>
      <c r="DK121" s="239"/>
      <c r="DL121" s="239"/>
      <c r="DM121" s="239"/>
      <c r="DN121" s="239"/>
      <c r="DO121" s="239"/>
      <c r="DP121" s="239"/>
      <c r="DQ121" s="239"/>
      <c r="DR121" s="239"/>
      <c r="DS121" s="239"/>
      <c r="DT121" s="239"/>
      <c r="DU121" s="239"/>
      <c r="DV121" s="239"/>
      <c r="DW121" s="239"/>
      <c r="DX121" s="239"/>
      <c r="DY121" s="239"/>
      <c r="DZ121" s="239"/>
      <c r="EA121" s="239"/>
      <c r="EB121" s="239"/>
      <c r="EC121" s="239"/>
      <c r="ED121" s="239"/>
      <c r="EE121" s="239"/>
      <c r="EF121" s="239"/>
      <c r="EG121" s="239"/>
      <c r="EH121" s="239"/>
      <c r="EI121" s="239"/>
      <c r="EJ121" s="239"/>
      <c r="EK121" s="239"/>
      <c r="EL121" s="239"/>
      <c r="EM121" s="239"/>
      <c r="EN121" s="239"/>
      <c r="EO121" s="239"/>
      <c r="EP121" s="239"/>
      <c r="EQ121" s="239"/>
      <c r="ER121" s="239"/>
      <c r="ES121" s="239"/>
      <c r="ET121" s="239"/>
      <c r="EU121" s="239"/>
      <c r="EV121" s="239"/>
      <c r="EW121" s="239"/>
      <c r="EX121" s="239"/>
      <c r="EY121" s="239"/>
      <c r="EZ121" s="239"/>
      <c r="FA121" s="239"/>
      <c r="FB121" s="239"/>
      <c r="FC121" s="239"/>
      <c r="FD121" s="239"/>
      <c r="FE121" s="239"/>
      <c r="FF121" s="239"/>
      <c r="FG121" s="239"/>
      <c r="FH121" s="239"/>
      <c r="FI121" s="239"/>
      <c r="FJ121" s="239"/>
      <c r="FK121" s="239"/>
      <c r="FL121" s="239"/>
      <c r="FM121" s="239"/>
      <c r="FN121" s="239"/>
      <c r="FO121" s="239"/>
      <c r="FP121" s="239"/>
      <c r="FQ121" s="239"/>
      <c r="FR121" s="239"/>
      <c r="FS121" s="239"/>
      <c r="FT121" s="239"/>
      <c r="FU121" s="239"/>
      <c r="FV121" s="239"/>
      <c r="FW121" s="239"/>
      <c r="FX121" s="239"/>
      <c r="FY121" s="239"/>
      <c r="FZ121" s="239"/>
      <c r="GA121" s="239"/>
      <c r="GB121" s="239"/>
      <c r="GC121" s="239"/>
      <c r="GD121" s="239"/>
      <c r="GE121" s="239"/>
      <c r="GF121" s="239"/>
      <c r="GG121" s="239"/>
      <c r="GH121" s="239"/>
      <c r="GI121" s="239"/>
      <c r="GJ121" s="239"/>
      <c r="GK121" s="239"/>
      <c r="GL121" s="239"/>
      <c r="GM121" s="239"/>
      <c r="GN121" s="239"/>
      <c r="GO121" s="239"/>
      <c r="GP121" s="239"/>
      <c r="GQ121" s="239"/>
      <c r="GR121" s="239"/>
      <c r="GS121" s="239"/>
      <c r="GT121" s="239"/>
      <c r="GU121" s="239"/>
      <c r="GV121" s="239"/>
      <c r="GW121" s="239"/>
      <c r="GX121" s="239"/>
      <c r="GY121" s="239"/>
      <c r="GZ121" s="239"/>
      <c r="HA121" s="239"/>
      <c r="HB121" s="239"/>
      <c r="HC121" s="239"/>
      <c r="HD121" s="239"/>
      <c r="HE121" s="239"/>
      <c r="HF121" s="239"/>
      <c r="HG121" s="239"/>
      <c r="HH121" s="239"/>
      <c r="HI121" s="239"/>
      <c r="HJ121" s="239"/>
      <c r="HK121" s="239"/>
      <c r="HL121" s="239"/>
      <c r="HM121" s="239"/>
      <c r="HN121" s="239"/>
      <c r="HO121" s="239"/>
      <c r="HP121" s="239"/>
      <c r="HQ121" s="239"/>
      <c r="HR121" s="239"/>
      <c r="HS121" s="239"/>
      <c r="HT121" s="239"/>
      <c r="HU121" s="239"/>
      <c r="HV121" s="239"/>
      <c r="HW121" s="239"/>
      <c r="HX121" s="239"/>
      <c r="HY121" s="239"/>
      <c r="HZ121" s="239"/>
      <c r="IA121" s="239"/>
      <c r="IB121" s="239"/>
      <c r="IC121" s="239"/>
      <c r="ID121" s="239"/>
      <c r="IE121" s="239"/>
      <c r="IF121" s="239"/>
      <c r="IG121" s="239"/>
      <c r="IH121" s="239"/>
      <c r="II121" s="239"/>
      <c r="IJ121" s="239"/>
      <c r="IK121" s="239"/>
      <c r="IL121" s="239"/>
      <c r="IM121" s="239"/>
      <c r="IN121" s="239"/>
      <c r="IO121" s="239"/>
      <c r="IP121" s="239"/>
      <c r="IQ121" s="239"/>
      <c r="IR121" s="239"/>
      <c r="IS121" s="239"/>
      <c r="IT121" s="239"/>
      <c r="IU121" s="239"/>
      <c r="IV121" s="239"/>
      <c r="IW121" s="239"/>
      <c r="IX121" s="239"/>
      <c r="IY121" s="239"/>
      <c r="IZ121" s="239"/>
      <c r="JA121" s="239"/>
      <c r="JB121" s="239"/>
      <c r="JC121" s="239"/>
      <c r="JD121" s="239"/>
      <c r="JE121" s="239"/>
      <c r="JF121" s="239"/>
      <c r="JG121" s="239"/>
      <c r="JH121" s="239"/>
      <c r="JI121" s="239"/>
      <c r="JJ121" s="239"/>
      <c r="JK121" s="239"/>
      <c r="JL121" s="239"/>
      <c r="JM121" s="239"/>
      <c r="JN121" s="239"/>
      <c r="JO121" s="239"/>
      <c r="JP121" s="239"/>
      <c r="JQ121" s="239"/>
      <c r="JR121" s="239"/>
      <c r="JS121" s="239"/>
      <c r="JT121" s="239"/>
      <c r="JU121" s="239"/>
      <c r="JV121" s="239"/>
      <c r="JW121" s="239"/>
      <c r="JX121" s="239"/>
      <c r="JY121" s="239"/>
      <c r="JZ121" s="239"/>
      <c r="KA121" s="239"/>
      <c r="KB121" s="239"/>
      <c r="KC121" s="239"/>
      <c r="KD121" s="239"/>
      <c r="KE121" s="239"/>
      <c r="KF121" s="239"/>
      <c r="KG121" s="239"/>
      <c r="KH121" s="239"/>
      <c r="KI121" s="239"/>
      <c r="KJ121" s="239"/>
      <c r="KK121" s="239"/>
      <c r="KL121" s="239"/>
      <c r="KM121" s="239"/>
      <c r="KN121" s="239"/>
      <c r="KO121" s="239"/>
      <c r="KP121" s="239"/>
      <c r="KQ121" s="239"/>
      <c r="KR121" s="239"/>
      <c r="KS121" s="239"/>
      <c r="KT121" s="239"/>
      <c r="KU121" s="239"/>
      <c r="KV121" s="239"/>
      <c r="KW121" s="239"/>
      <c r="KX121" s="239"/>
      <c r="KY121" s="239"/>
      <c r="KZ121" s="239"/>
      <c r="LA121" s="239"/>
      <c r="LB121" s="239"/>
      <c r="LC121" s="239"/>
      <c r="LD121" s="239"/>
      <c r="LE121" s="239"/>
      <c r="LF121" s="239"/>
      <c r="LG121" s="239"/>
      <c r="LH121" s="239"/>
      <c r="LI121" s="239"/>
      <c r="LJ121" s="239"/>
      <c r="LK121" s="239"/>
      <c r="LL121" s="239"/>
      <c r="LM121" s="239"/>
      <c r="LN121" s="239"/>
      <c r="LO121" s="239"/>
      <c r="LP121" s="239"/>
      <c r="LQ121" s="239"/>
      <c r="LR121" s="239"/>
      <c r="LS121" s="239"/>
      <c r="LT121" s="239"/>
      <c r="LU121" s="239"/>
      <c r="LV121" s="239"/>
      <c r="LW121" s="239"/>
      <c r="LX121" s="239"/>
      <c r="LY121" s="239"/>
      <c r="LZ121" s="239"/>
      <c r="MA121" s="239"/>
      <c r="MB121" s="239"/>
      <c r="MC121" s="239"/>
      <c r="MD121" s="239"/>
      <c r="ME121" s="239"/>
      <c r="MF121" s="239"/>
      <c r="MG121" s="239"/>
      <c r="MH121" s="239"/>
      <c r="MI121" s="239"/>
      <c r="MJ121" s="239"/>
      <c r="MK121" s="239"/>
      <c r="ML121" s="239"/>
      <c r="MM121" s="239"/>
      <c r="MN121" s="239"/>
      <c r="MO121" s="239"/>
      <c r="MP121" s="239"/>
      <c r="MQ121" s="239"/>
      <c r="MR121" s="239"/>
      <c r="MS121" s="239"/>
      <c r="MT121" s="239"/>
      <c r="MU121" s="239"/>
      <c r="MV121" s="239"/>
      <c r="MW121" s="239"/>
      <c r="MX121" s="239"/>
      <c r="MY121" s="239"/>
      <c r="MZ121" s="239"/>
      <c r="NA121" s="239"/>
      <c r="NB121" s="239"/>
      <c r="NC121" s="239"/>
      <c r="ND121" s="239"/>
      <c r="NE121" s="239"/>
      <c r="NF121" s="239"/>
      <c r="NG121" s="239"/>
      <c r="NH121" s="239"/>
      <c r="NI121" s="239"/>
      <c r="NJ121" s="239"/>
      <c r="NK121" s="239"/>
      <c r="NL121" s="239"/>
      <c r="NM121" s="239"/>
      <c r="NN121" s="239"/>
      <c r="NO121" s="239"/>
      <c r="NP121" s="239"/>
      <c r="NQ121" s="239"/>
      <c r="NR121" s="239"/>
      <c r="NS121" s="239"/>
      <c r="NT121" s="239"/>
      <c r="NU121" s="239"/>
      <c r="NV121" s="239"/>
      <c r="NW121" s="239"/>
      <c r="NX121" s="239"/>
      <c r="NY121" s="239"/>
      <c r="NZ121" s="239"/>
      <c r="OA121" s="239"/>
      <c r="OB121" s="239"/>
      <c r="OC121" s="239"/>
      <c r="OD121" s="239"/>
      <c r="OE121" s="239"/>
      <c r="OF121" s="239"/>
      <c r="OG121" s="239"/>
      <c r="OH121" s="239"/>
      <c r="OI121" s="239"/>
      <c r="OJ121" s="239"/>
      <c r="OK121" s="239"/>
      <c r="OL121" s="239"/>
      <c r="OM121" s="239"/>
      <c r="ON121" s="239"/>
      <c r="OO121" s="239"/>
      <c r="OP121" s="239"/>
      <c r="OQ121" s="239"/>
      <c r="OR121" s="239"/>
      <c r="OS121" s="239"/>
      <c r="OT121" s="239"/>
      <c r="OU121" s="239"/>
      <c r="OV121" s="239"/>
      <c r="OW121" s="239"/>
      <c r="OX121" s="239"/>
      <c r="OY121" s="239"/>
      <c r="OZ121" s="239"/>
      <c r="PA121" s="239"/>
      <c r="PB121" s="239"/>
      <c r="PC121" s="239"/>
      <c r="PD121" s="239"/>
      <c r="PE121" s="239"/>
      <c r="PF121" s="239"/>
      <c r="PG121" s="239"/>
      <c r="PH121" s="239"/>
      <c r="PI121" s="239"/>
      <c r="PJ121" s="239"/>
      <c r="PK121" s="239"/>
      <c r="PL121" s="239"/>
      <c r="PM121" s="239"/>
      <c r="PN121" s="239"/>
      <c r="PO121" s="239"/>
      <c r="PP121" s="239"/>
      <c r="PQ121" s="239"/>
      <c r="PR121" s="239"/>
      <c r="PS121" s="239"/>
      <c r="PT121" s="239"/>
      <c r="PU121" s="239"/>
      <c r="PV121" s="239"/>
      <c r="PW121" s="239"/>
      <c r="PX121" s="239"/>
      <c r="PY121" s="239"/>
      <c r="PZ121" s="239"/>
      <c r="QA121" s="239"/>
      <c r="QB121" s="239"/>
      <c r="QC121" s="239"/>
      <c r="QD121" s="239"/>
      <c r="QE121" s="239"/>
      <c r="QF121" s="239"/>
      <c r="QG121" s="239"/>
      <c r="QH121" s="239"/>
      <c r="QI121" s="239"/>
      <c r="QJ121" s="239"/>
      <c r="QK121" s="239"/>
      <c r="QL121" s="239"/>
      <c r="QM121" s="239"/>
      <c r="QN121" s="239"/>
      <c r="QO121" s="239"/>
      <c r="QP121" s="239"/>
      <c r="QQ121" s="239"/>
      <c r="QR121" s="239"/>
      <c r="QS121" s="239"/>
      <c r="QT121" s="239"/>
      <c r="QU121" s="239"/>
      <c r="QV121" s="239"/>
      <c r="QW121" s="239"/>
      <c r="QX121" s="239"/>
      <c r="QY121" s="239"/>
      <c r="QZ121" s="239"/>
      <c r="RA121" s="239"/>
      <c r="RB121" s="239"/>
      <c r="RC121" s="239"/>
      <c r="RD121" s="239"/>
      <c r="RE121" s="239"/>
      <c r="RF121" s="239"/>
      <c r="RG121" s="239"/>
      <c r="RH121" s="239"/>
      <c r="RI121" s="239"/>
      <c r="RJ121" s="239"/>
      <c r="RK121" s="239"/>
      <c r="RL121" s="239"/>
      <c r="RM121" s="239"/>
      <c r="RN121" s="239"/>
      <c r="RO121" s="239"/>
      <c r="RP121" s="239"/>
      <c r="RQ121" s="239"/>
      <c r="RR121" s="239"/>
      <c r="RS121" s="239"/>
      <c r="RT121" s="239"/>
      <c r="RU121" s="239"/>
      <c r="RV121" s="239"/>
      <c r="RW121" s="239"/>
      <c r="RX121" s="239"/>
      <c r="RY121" s="239"/>
      <c r="RZ121" s="239"/>
      <c r="SA121" s="239"/>
      <c r="SB121" s="239"/>
      <c r="SC121" s="239"/>
      <c r="SD121" s="239"/>
      <c r="SE121" s="239"/>
      <c r="SF121" s="239"/>
      <c r="SG121" s="239"/>
      <c r="SH121" s="239"/>
      <c r="SI121" s="239"/>
      <c r="SJ121" s="239"/>
      <c r="SK121" s="239"/>
      <c r="SL121" s="239"/>
      <c r="SM121" s="239"/>
      <c r="SN121" s="239"/>
      <c r="SO121" s="239"/>
      <c r="SP121" s="239"/>
      <c r="SQ121" s="239"/>
      <c r="SR121" s="239"/>
      <c r="SS121" s="239"/>
      <c r="ST121" s="239"/>
      <c r="SU121" s="239"/>
      <c r="SV121" s="239"/>
      <c r="SW121" s="239"/>
      <c r="SX121" s="239"/>
      <c r="SY121" s="239"/>
      <c r="SZ121" s="239"/>
      <c r="TA121" s="239"/>
      <c r="TB121" s="239"/>
      <c r="TC121" s="239"/>
      <c r="TD121" s="239"/>
      <c r="TE121" s="239"/>
      <c r="TF121" s="239"/>
      <c r="TG121" s="239"/>
      <c r="TH121" s="239"/>
      <c r="TI121" s="239"/>
      <c r="TJ121" s="239"/>
      <c r="TK121" s="239"/>
      <c r="TL121" s="239"/>
      <c r="TM121" s="239"/>
      <c r="TN121" s="239"/>
      <c r="TO121" s="239"/>
      <c r="TP121" s="239"/>
      <c r="TQ121" s="239"/>
      <c r="TR121" s="239"/>
      <c r="TS121" s="239"/>
      <c r="TT121" s="239"/>
      <c r="TU121" s="239"/>
      <c r="TV121" s="239"/>
      <c r="TW121" s="239"/>
      <c r="TX121" s="239"/>
      <c r="TY121" s="239"/>
      <c r="TZ121" s="239"/>
      <c r="UA121" s="239"/>
      <c r="UB121" s="239"/>
      <c r="UC121" s="239"/>
      <c r="UD121" s="239"/>
      <c r="UE121" s="239"/>
      <c r="UF121" s="239"/>
      <c r="UG121" s="240"/>
    </row>
    <row r="122" spans="1:553" s="236" customFormat="1" ht="34.5" customHeight="1">
      <c r="A122" s="356" t="s">
        <v>15</v>
      </c>
      <c r="B122" s="366" t="s">
        <v>37</v>
      </c>
      <c r="C122" s="1414" t="s">
        <v>178</v>
      </c>
      <c r="D122" s="1389"/>
      <c r="E122" s="1389"/>
      <c r="F122" s="1390"/>
      <c r="G122" s="386" t="s">
        <v>935</v>
      </c>
      <c r="H122" s="370"/>
      <c r="I122" s="422">
        <f>4.5*3.5</f>
        <v>15.75</v>
      </c>
      <c r="J122" s="368">
        <v>137200</v>
      </c>
      <c r="K122" s="371"/>
      <c r="L122" s="391">
        <f t="shared" si="26"/>
        <v>2160900</v>
      </c>
      <c r="M122" s="395"/>
      <c r="N122" s="395"/>
      <c r="O122" s="366"/>
      <c r="P122" s="396"/>
      <c r="Q122" s="473"/>
      <c r="R122" s="1039"/>
      <c r="S122" s="305"/>
      <c r="T122" s="303"/>
      <c r="U122" s="306"/>
      <c r="V122" s="307"/>
      <c r="W122" s="306"/>
      <c r="X122" s="306"/>
      <c r="Y122" s="306"/>
      <c r="Z122" s="306"/>
      <c r="AA122" s="306"/>
      <c r="AB122" s="306"/>
      <c r="AC122" s="449"/>
      <c r="AD122" s="449"/>
      <c r="AE122" s="449"/>
      <c r="AF122" s="449"/>
      <c r="AG122" s="452"/>
      <c r="AH122" s="452"/>
      <c r="AI122" s="452"/>
      <c r="AJ122" s="452"/>
      <c r="AK122" s="452"/>
      <c r="AL122" s="242"/>
      <c r="AM122" s="241"/>
      <c r="AN122" s="241"/>
      <c r="AO122" s="241"/>
      <c r="AP122" s="241"/>
      <c r="AQ122" s="238"/>
      <c r="AR122" s="238"/>
      <c r="AS122" s="238"/>
      <c r="AT122" s="238"/>
      <c r="AU122" s="238"/>
      <c r="AV122" s="238"/>
      <c r="AW122" s="238"/>
      <c r="AX122" s="238"/>
      <c r="AY122" s="238"/>
      <c r="AZ122" s="238"/>
      <c r="BA122" s="238"/>
      <c r="BB122" s="238"/>
      <c r="BC122" s="238"/>
      <c r="BD122" s="238"/>
      <c r="BE122" s="238"/>
      <c r="BF122" s="238"/>
      <c r="BG122" s="238"/>
      <c r="BH122" s="238"/>
      <c r="BI122" s="238"/>
      <c r="BJ122" s="238"/>
      <c r="BK122" s="238"/>
      <c r="BL122" s="238"/>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c r="CK122" s="239"/>
      <c r="CL122" s="239"/>
      <c r="CM122" s="239"/>
      <c r="CN122" s="239"/>
      <c r="CO122" s="239"/>
      <c r="CP122" s="239"/>
      <c r="CQ122" s="239"/>
      <c r="CR122" s="239"/>
      <c r="CS122" s="239"/>
      <c r="CT122" s="239"/>
      <c r="CU122" s="239"/>
      <c r="CV122" s="239"/>
      <c r="CW122" s="239"/>
      <c r="CX122" s="239"/>
      <c r="CY122" s="239"/>
      <c r="CZ122" s="239"/>
      <c r="DA122" s="239"/>
      <c r="DB122" s="239"/>
      <c r="DC122" s="239"/>
      <c r="DD122" s="239"/>
      <c r="DE122" s="239"/>
      <c r="DF122" s="239"/>
      <c r="DG122" s="239"/>
      <c r="DH122" s="239"/>
      <c r="DI122" s="239"/>
      <c r="DJ122" s="239"/>
      <c r="DK122" s="239"/>
      <c r="DL122" s="239"/>
      <c r="DM122" s="239"/>
      <c r="DN122" s="239"/>
      <c r="DO122" s="239"/>
      <c r="DP122" s="239"/>
      <c r="DQ122" s="239"/>
      <c r="DR122" s="239"/>
      <c r="DS122" s="239"/>
      <c r="DT122" s="239"/>
      <c r="DU122" s="239"/>
      <c r="DV122" s="239"/>
      <c r="DW122" s="239"/>
      <c r="DX122" s="239"/>
      <c r="DY122" s="239"/>
      <c r="DZ122" s="239"/>
      <c r="EA122" s="239"/>
      <c r="EB122" s="239"/>
      <c r="EC122" s="239"/>
      <c r="ED122" s="239"/>
      <c r="EE122" s="239"/>
      <c r="EF122" s="239"/>
      <c r="EG122" s="239"/>
      <c r="EH122" s="239"/>
      <c r="EI122" s="239"/>
      <c r="EJ122" s="239"/>
      <c r="EK122" s="239"/>
      <c r="EL122" s="239"/>
      <c r="EM122" s="239"/>
      <c r="EN122" s="239"/>
      <c r="EO122" s="239"/>
      <c r="EP122" s="239"/>
      <c r="EQ122" s="239"/>
      <c r="ER122" s="239"/>
      <c r="ES122" s="239"/>
      <c r="ET122" s="239"/>
      <c r="EU122" s="239"/>
      <c r="EV122" s="239"/>
      <c r="EW122" s="239"/>
      <c r="EX122" s="239"/>
      <c r="EY122" s="239"/>
      <c r="EZ122" s="239"/>
      <c r="FA122" s="239"/>
      <c r="FB122" s="239"/>
      <c r="FC122" s="239"/>
      <c r="FD122" s="239"/>
      <c r="FE122" s="239"/>
      <c r="FF122" s="239"/>
      <c r="FG122" s="239"/>
      <c r="FH122" s="239"/>
      <c r="FI122" s="239"/>
      <c r="FJ122" s="239"/>
      <c r="FK122" s="239"/>
      <c r="FL122" s="239"/>
      <c r="FM122" s="239"/>
      <c r="FN122" s="239"/>
      <c r="FO122" s="239"/>
      <c r="FP122" s="239"/>
      <c r="FQ122" s="239"/>
      <c r="FR122" s="239"/>
      <c r="FS122" s="239"/>
      <c r="FT122" s="239"/>
      <c r="FU122" s="239"/>
      <c r="FV122" s="239"/>
      <c r="FW122" s="239"/>
      <c r="FX122" s="239"/>
      <c r="FY122" s="239"/>
      <c r="FZ122" s="239"/>
      <c r="GA122" s="239"/>
      <c r="GB122" s="239"/>
      <c r="GC122" s="239"/>
      <c r="GD122" s="239"/>
      <c r="GE122" s="239"/>
      <c r="GF122" s="239"/>
      <c r="GG122" s="239"/>
      <c r="GH122" s="239"/>
      <c r="GI122" s="239"/>
      <c r="GJ122" s="239"/>
      <c r="GK122" s="239"/>
      <c r="GL122" s="239"/>
      <c r="GM122" s="239"/>
      <c r="GN122" s="239"/>
      <c r="GO122" s="239"/>
      <c r="GP122" s="239"/>
      <c r="GQ122" s="239"/>
      <c r="GR122" s="239"/>
      <c r="GS122" s="239"/>
      <c r="GT122" s="239"/>
      <c r="GU122" s="239"/>
      <c r="GV122" s="239"/>
      <c r="GW122" s="239"/>
      <c r="GX122" s="239"/>
      <c r="GY122" s="239"/>
      <c r="GZ122" s="239"/>
      <c r="HA122" s="239"/>
      <c r="HB122" s="239"/>
      <c r="HC122" s="239"/>
      <c r="HD122" s="239"/>
      <c r="HE122" s="239"/>
      <c r="HF122" s="239"/>
      <c r="HG122" s="239"/>
      <c r="HH122" s="239"/>
      <c r="HI122" s="239"/>
      <c r="HJ122" s="239"/>
      <c r="HK122" s="239"/>
      <c r="HL122" s="239"/>
      <c r="HM122" s="239"/>
      <c r="HN122" s="239"/>
      <c r="HO122" s="239"/>
      <c r="HP122" s="239"/>
      <c r="HQ122" s="239"/>
      <c r="HR122" s="239"/>
      <c r="HS122" s="239"/>
      <c r="HT122" s="239"/>
      <c r="HU122" s="239"/>
      <c r="HV122" s="239"/>
      <c r="HW122" s="239"/>
      <c r="HX122" s="239"/>
      <c r="HY122" s="239"/>
      <c r="HZ122" s="239"/>
      <c r="IA122" s="239"/>
      <c r="IB122" s="239"/>
      <c r="IC122" s="239"/>
      <c r="ID122" s="239"/>
      <c r="IE122" s="239"/>
      <c r="IF122" s="239"/>
      <c r="IG122" s="239"/>
      <c r="IH122" s="239"/>
      <c r="II122" s="239"/>
      <c r="IJ122" s="239"/>
      <c r="IK122" s="239"/>
      <c r="IL122" s="239"/>
      <c r="IM122" s="239"/>
      <c r="IN122" s="239"/>
      <c r="IO122" s="239"/>
      <c r="IP122" s="239"/>
      <c r="IQ122" s="239"/>
      <c r="IR122" s="239"/>
      <c r="IS122" s="239"/>
      <c r="IT122" s="239"/>
      <c r="IU122" s="239"/>
      <c r="IV122" s="239"/>
      <c r="IW122" s="239"/>
      <c r="IX122" s="239"/>
      <c r="IY122" s="239"/>
      <c r="IZ122" s="239"/>
      <c r="JA122" s="239"/>
      <c r="JB122" s="239"/>
      <c r="JC122" s="239"/>
      <c r="JD122" s="239"/>
      <c r="JE122" s="239"/>
      <c r="JF122" s="239"/>
      <c r="JG122" s="239"/>
      <c r="JH122" s="239"/>
      <c r="JI122" s="239"/>
      <c r="JJ122" s="239"/>
      <c r="JK122" s="239"/>
      <c r="JL122" s="239"/>
      <c r="JM122" s="239"/>
      <c r="JN122" s="239"/>
      <c r="JO122" s="239"/>
      <c r="JP122" s="239"/>
      <c r="JQ122" s="239"/>
      <c r="JR122" s="239"/>
      <c r="JS122" s="239"/>
      <c r="JT122" s="239"/>
      <c r="JU122" s="239"/>
      <c r="JV122" s="239"/>
      <c r="JW122" s="239"/>
      <c r="JX122" s="239"/>
      <c r="JY122" s="239"/>
      <c r="JZ122" s="239"/>
      <c r="KA122" s="239"/>
      <c r="KB122" s="239"/>
      <c r="KC122" s="239"/>
      <c r="KD122" s="239"/>
      <c r="KE122" s="239"/>
      <c r="KF122" s="239"/>
      <c r="KG122" s="239"/>
      <c r="KH122" s="239"/>
      <c r="KI122" s="239"/>
      <c r="KJ122" s="239"/>
      <c r="KK122" s="239"/>
      <c r="KL122" s="239"/>
      <c r="KM122" s="239"/>
      <c r="KN122" s="239"/>
      <c r="KO122" s="239"/>
      <c r="KP122" s="239"/>
      <c r="KQ122" s="239"/>
      <c r="KR122" s="239"/>
      <c r="KS122" s="239"/>
      <c r="KT122" s="239"/>
      <c r="KU122" s="239"/>
      <c r="KV122" s="239"/>
      <c r="KW122" s="239"/>
      <c r="KX122" s="239"/>
      <c r="KY122" s="239"/>
      <c r="KZ122" s="239"/>
      <c r="LA122" s="239"/>
      <c r="LB122" s="239"/>
      <c r="LC122" s="239"/>
      <c r="LD122" s="239"/>
      <c r="LE122" s="239"/>
      <c r="LF122" s="239"/>
      <c r="LG122" s="239"/>
      <c r="LH122" s="239"/>
      <c r="LI122" s="239"/>
      <c r="LJ122" s="239"/>
      <c r="LK122" s="239"/>
      <c r="LL122" s="239"/>
      <c r="LM122" s="239"/>
      <c r="LN122" s="239"/>
      <c r="LO122" s="239"/>
      <c r="LP122" s="239"/>
      <c r="LQ122" s="239"/>
      <c r="LR122" s="239"/>
      <c r="LS122" s="239"/>
      <c r="LT122" s="239"/>
      <c r="LU122" s="239"/>
      <c r="LV122" s="239"/>
      <c r="LW122" s="239"/>
      <c r="LX122" s="239"/>
      <c r="LY122" s="239"/>
      <c r="LZ122" s="239"/>
      <c r="MA122" s="239"/>
      <c r="MB122" s="239"/>
      <c r="MC122" s="239"/>
      <c r="MD122" s="239"/>
      <c r="ME122" s="239"/>
      <c r="MF122" s="239"/>
      <c r="MG122" s="239"/>
      <c r="MH122" s="239"/>
      <c r="MI122" s="239"/>
      <c r="MJ122" s="239"/>
      <c r="MK122" s="239"/>
      <c r="ML122" s="239"/>
      <c r="MM122" s="239"/>
      <c r="MN122" s="239"/>
      <c r="MO122" s="239"/>
      <c r="MP122" s="239"/>
      <c r="MQ122" s="239"/>
      <c r="MR122" s="239"/>
      <c r="MS122" s="239"/>
      <c r="MT122" s="239"/>
      <c r="MU122" s="239"/>
      <c r="MV122" s="239"/>
      <c r="MW122" s="239"/>
      <c r="MX122" s="239"/>
      <c r="MY122" s="239"/>
      <c r="MZ122" s="239"/>
      <c r="NA122" s="239"/>
      <c r="NB122" s="239"/>
      <c r="NC122" s="239"/>
      <c r="ND122" s="239"/>
      <c r="NE122" s="239"/>
      <c r="NF122" s="239"/>
      <c r="NG122" s="239"/>
      <c r="NH122" s="239"/>
      <c r="NI122" s="239"/>
      <c r="NJ122" s="239"/>
      <c r="NK122" s="239"/>
      <c r="NL122" s="239"/>
      <c r="NM122" s="239"/>
      <c r="NN122" s="239"/>
      <c r="NO122" s="239"/>
      <c r="NP122" s="239"/>
      <c r="NQ122" s="239"/>
      <c r="NR122" s="239"/>
      <c r="NS122" s="239"/>
      <c r="NT122" s="239"/>
      <c r="NU122" s="239"/>
      <c r="NV122" s="239"/>
      <c r="NW122" s="239"/>
      <c r="NX122" s="239"/>
      <c r="NY122" s="239"/>
      <c r="NZ122" s="239"/>
      <c r="OA122" s="239"/>
      <c r="OB122" s="239"/>
      <c r="OC122" s="239"/>
      <c r="OD122" s="239"/>
      <c r="OE122" s="239"/>
      <c r="OF122" s="239"/>
      <c r="OG122" s="239"/>
      <c r="OH122" s="239"/>
      <c r="OI122" s="239"/>
      <c r="OJ122" s="239"/>
      <c r="OK122" s="239"/>
      <c r="OL122" s="239"/>
      <c r="OM122" s="239"/>
      <c r="ON122" s="239"/>
      <c r="OO122" s="239"/>
      <c r="OP122" s="239"/>
      <c r="OQ122" s="239"/>
      <c r="OR122" s="239"/>
      <c r="OS122" s="239"/>
      <c r="OT122" s="239"/>
      <c r="OU122" s="239"/>
      <c r="OV122" s="239"/>
      <c r="OW122" s="239"/>
      <c r="OX122" s="239"/>
      <c r="OY122" s="239"/>
      <c r="OZ122" s="239"/>
      <c r="PA122" s="239"/>
      <c r="PB122" s="239"/>
      <c r="PC122" s="239"/>
      <c r="PD122" s="239"/>
      <c r="PE122" s="239"/>
      <c r="PF122" s="239"/>
      <c r="PG122" s="239"/>
      <c r="PH122" s="239"/>
      <c r="PI122" s="239"/>
      <c r="PJ122" s="239"/>
      <c r="PK122" s="239"/>
      <c r="PL122" s="239"/>
      <c r="PM122" s="239"/>
      <c r="PN122" s="239"/>
      <c r="PO122" s="239"/>
      <c r="PP122" s="239"/>
      <c r="PQ122" s="239"/>
      <c r="PR122" s="239"/>
      <c r="PS122" s="239"/>
      <c r="PT122" s="239"/>
      <c r="PU122" s="239"/>
      <c r="PV122" s="239"/>
      <c r="PW122" s="239"/>
      <c r="PX122" s="239"/>
      <c r="PY122" s="239"/>
      <c r="PZ122" s="239"/>
      <c r="QA122" s="239"/>
      <c r="QB122" s="239"/>
      <c r="QC122" s="239"/>
      <c r="QD122" s="239"/>
      <c r="QE122" s="239"/>
      <c r="QF122" s="239"/>
      <c r="QG122" s="239"/>
      <c r="QH122" s="239"/>
      <c r="QI122" s="239"/>
      <c r="QJ122" s="239"/>
      <c r="QK122" s="239"/>
      <c r="QL122" s="239"/>
      <c r="QM122" s="239"/>
      <c r="QN122" s="239"/>
      <c r="QO122" s="239"/>
      <c r="QP122" s="239"/>
      <c r="QQ122" s="239"/>
      <c r="QR122" s="239"/>
      <c r="QS122" s="239"/>
      <c r="QT122" s="239"/>
      <c r="QU122" s="239"/>
      <c r="QV122" s="239"/>
      <c r="QW122" s="239"/>
      <c r="QX122" s="239"/>
      <c r="QY122" s="239"/>
      <c r="QZ122" s="239"/>
      <c r="RA122" s="239"/>
      <c r="RB122" s="239"/>
      <c r="RC122" s="239"/>
      <c r="RD122" s="239"/>
      <c r="RE122" s="239"/>
      <c r="RF122" s="239"/>
      <c r="RG122" s="239"/>
      <c r="RH122" s="239"/>
      <c r="RI122" s="239"/>
      <c r="RJ122" s="239"/>
      <c r="RK122" s="239"/>
      <c r="RL122" s="239"/>
      <c r="RM122" s="239"/>
      <c r="RN122" s="239"/>
      <c r="RO122" s="239"/>
      <c r="RP122" s="239"/>
      <c r="RQ122" s="239"/>
      <c r="RR122" s="239"/>
      <c r="RS122" s="239"/>
      <c r="RT122" s="239"/>
      <c r="RU122" s="239"/>
      <c r="RV122" s="239"/>
      <c r="RW122" s="239"/>
      <c r="RX122" s="239"/>
      <c r="RY122" s="239"/>
      <c r="RZ122" s="239"/>
      <c r="SA122" s="239"/>
      <c r="SB122" s="239"/>
      <c r="SC122" s="239"/>
      <c r="SD122" s="239"/>
      <c r="SE122" s="239"/>
      <c r="SF122" s="239"/>
      <c r="SG122" s="239"/>
      <c r="SH122" s="239"/>
      <c r="SI122" s="239"/>
      <c r="SJ122" s="239"/>
      <c r="SK122" s="239"/>
      <c r="SL122" s="239"/>
      <c r="SM122" s="239"/>
      <c r="SN122" s="239"/>
      <c r="SO122" s="239"/>
      <c r="SP122" s="239"/>
      <c r="SQ122" s="239"/>
      <c r="SR122" s="239"/>
      <c r="SS122" s="239"/>
      <c r="ST122" s="239"/>
      <c r="SU122" s="239"/>
      <c r="SV122" s="239"/>
      <c r="SW122" s="239"/>
      <c r="SX122" s="239"/>
      <c r="SY122" s="239"/>
      <c r="SZ122" s="239"/>
      <c r="TA122" s="239"/>
      <c r="TB122" s="239"/>
      <c r="TC122" s="239"/>
      <c r="TD122" s="239"/>
      <c r="TE122" s="239"/>
      <c r="TF122" s="239"/>
      <c r="TG122" s="239"/>
      <c r="TH122" s="239"/>
      <c r="TI122" s="239"/>
      <c r="TJ122" s="239"/>
      <c r="TK122" s="239"/>
      <c r="TL122" s="239"/>
      <c r="TM122" s="239"/>
      <c r="TN122" s="239"/>
      <c r="TO122" s="239"/>
      <c r="TP122" s="239"/>
      <c r="TQ122" s="239"/>
      <c r="TR122" s="239"/>
      <c r="TS122" s="239"/>
      <c r="TT122" s="239"/>
      <c r="TU122" s="239"/>
      <c r="TV122" s="239"/>
      <c r="TW122" s="239"/>
      <c r="TX122" s="239"/>
      <c r="TY122" s="239"/>
      <c r="TZ122" s="239"/>
      <c r="UA122" s="239"/>
      <c r="UB122" s="239"/>
      <c r="UC122" s="239"/>
      <c r="UD122" s="239"/>
      <c r="UE122" s="239"/>
      <c r="UF122" s="239"/>
      <c r="UG122" s="240"/>
    </row>
    <row r="123" spans="1:553" s="236" customFormat="1" ht="34.5" customHeight="1">
      <c r="A123" s="356" t="s">
        <v>15</v>
      </c>
      <c r="B123" s="366" t="s">
        <v>109</v>
      </c>
      <c r="C123" s="1443" t="s">
        <v>179</v>
      </c>
      <c r="D123" s="1389"/>
      <c r="E123" s="1389"/>
      <c r="F123" s="1390"/>
      <c r="G123" s="386" t="s">
        <v>33</v>
      </c>
      <c r="H123" s="370"/>
      <c r="I123" s="422">
        <f>2.6*3</f>
        <v>7.8000000000000007</v>
      </c>
      <c r="J123" s="368">
        <v>60200</v>
      </c>
      <c r="K123" s="371"/>
      <c r="L123" s="391">
        <f t="shared" si="26"/>
        <v>469560</v>
      </c>
      <c r="M123" s="395"/>
      <c r="N123" s="395"/>
      <c r="O123" s="366"/>
      <c r="P123" s="396"/>
      <c r="Q123" s="473"/>
      <c r="R123" s="1039"/>
      <c r="S123" s="305"/>
      <c r="T123" s="303"/>
      <c r="U123" s="306"/>
      <c r="V123" s="307"/>
      <c r="W123" s="306"/>
      <c r="X123" s="306"/>
      <c r="Y123" s="306"/>
      <c r="Z123" s="306"/>
      <c r="AA123" s="306"/>
      <c r="AB123" s="306"/>
      <c r="AC123" s="449"/>
      <c r="AD123" s="449"/>
      <c r="AE123" s="449"/>
      <c r="AF123" s="449"/>
      <c r="AG123" s="452"/>
      <c r="AH123" s="452"/>
      <c r="AI123" s="452"/>
      <c r="AJ123" s="452"/>
      <c r="AK123" s="452"/>
      <c r="AL123" s="242"/>
      <c r="AM123" s="241"/>
      <c r="AN123" s="241"/>
      <c r="AO123" s="241"/>
      <c r="AP123" s="241"/>
      <c r="AQ123" s="238"/>
      <c r="AR123" s="238"/>
      <c r="AS123" s="238"/>
      <c r="AT123" s="238"/>
      <c r="AU123" s="238"/>
      <c r="AV123" s="238"/>
      <c r="AW123" s="238"/>
      <c r="AX123" s="238"/>
      <c r="AY123" s="238"/>
      <c r="AZ123" s="238"/>
      <c r="BA123" s="238"/>
      <c r="BB123" s="238"/>
      <c r="BC123" s="238"/>
      <c r="BD123" s="238"/>
      <c r="BE123" s="238"/>
      <c r="BF123" s="238"/>
      <c r="BG123" s="238"/>
      <c r="BH123" s="238"/>
      <c r="BI123" s="238"/>
      <c r="BJ123" s="238"/>
      <c r="BK123" s="238"/>
      <c r="BL123" s="238"/>
      <c r="BM123" s="239"/>
      <c r="BN123" s="239"/>
      <c r="BO123" s="239"/>
      <c r="BP123" s="239"/>
      <c r="BQ123" s="239"/>
      <c r="BR123" s="239"/>
      <c r="BS123" s="239"/>
      <c r="BT123" s="239"/>
      <c r="BU123" s="239"/>
      <c r="BV123" s="239"/>
      <c r="BW123" s="239"/>
      <c r="BX123" s="239"/>
      <c r="BY123" s="239"/>
      <c r="BZ123" s="239"/>
      <c r="CA123" s="239"/>
      <c r="CB123" s="239"/>
      <c r="CC123" s="239"/>
      <c r="CD123" s="239"/>
      <c r="CE123" s="239"/>
      <c r="CF123" s="239"/>
      <c r="CG123" s="239"/>
      <c r="CH123" s="239"/>
      <c r="CI123" s="239"/>
      <c r="CJ123" s="239"/>
      <c r="CK123" s="239"/>
      <c r="CL123" s="239"/>
      <c r="CM123" s="239"/>
      <c r="CN123" s="239"/>
      <c r="CO123" s="239"/>
      <c r="CP123" s="239"/>
      <c r="CQ123" s="239"/>
      <c r="CR123" s="239"/>
      <c r="CS123" s="239"/>
      <c r="CT123" s="239"/>
      <c r="CU123" s="239"/>
      <c r="CV123" s="239"/>
      <c r="CW123" s="239"/>
      <c r="CX123" s="239"/>
      <c r="CY123" s="239"/>
      <c r="CZ123" s="239"/>
      <c r="DA123" s="239"/>
      <c r="DB123" s="239"/>
      <c r="DC123" s="239"/>
      <c r="DD123" s="239"/>
      <c r="DE123" s="239"/>
      <c r="DF123" s="239"/>
      <c r="DG123" s="239"/>
      <c r="DH123" s="239"/>
      <c r="DI123" s="239"/>
      <c r="DJ123" s="239"/>
      <c r="DK123" s="239"/>
      <c r="DL123" s="239"/>
      <c r="DM123" s="239"/>
      <c r="DN123" s="239"/>
      <c r="DO123" s="239"/>
      <c r="DP123" s="239"/>
      <c r="DQ123" s="239"/>
      <c r="DR123" s="239"/>
      <c r="DS123" s="239"/>
      <c r="DT123" s="239"/>
      <c r="DU123" s="239"/>
      <c r="DV123" s="239"/>
      <c r="DW123" s="239"/>
      <c r="DX123" s="239"/>
      <c r="DY123" s="239"/>
      <c r="DZ123" s="239"/>
      <c r="EA123" s="239"/>
      <c r="EB123" s="239"/>
      <c r="EC123" s="239"/>
      <c r="ED123" s="239"/>
      <c r="EE123" s="239"/>
      <c r="EF123" s="239"/>
      <c r="EG123" s="239"/>
      <c r="EH123" s="239"/>
      <c r="EI123" s="239"/>
      <c r="EJ123" s="239"/>
      <c r="EK123" s="239"/>
      <c r="EL123" s="239"/>
      <c r="EM123" s="239"/>
      <c r="EN123" s="239"/>
      <c r="EO123" s="239"/>
      <c r="EP123" s="239"/>
      <c r="EQ123" s="239"/>
      <c r="ER123" s="239"/>
      <c r="ES123" s="239"/>
      <c r="ET123" s="239"/>
      <c r="EU123" s="239"/>
      <c r="EV123" s="239"/>
      <c r="EW123" s="239"/>
      <c r="EX123" s="239"/>
      <c r="EY123" s="239"/>
      <c r="EZ123" s="239"/>
      <c r="FA123" s="239"/>
      <c r="FB123" s="239"/>
      <c r="FC123" s="239"/>
      <c r="FD123" s="239"/>
      <c r="FE123" s="239"/>
      <c r="FF123" s="239"/>
      <c r="FG123" s="239"/>
      <c r="FH123" s="239"/>
      <c r="FI123" s="239"/>
      <c r="FJ123" s="239"/>
      <c r="FK123" s="239"/>
      <c r="FL123" s="239"/>
      <c r="FM123" s="239"/>
      <c r="FN123" s="239"/>
      <c r="FO123" s="239"/>
      <c r="FP123" s="239"/>
      <c r="FQ123" s="239"/>
      <c r="FR123" s="239"/>
      <c r="FS123" s="239"/>
      <c r="FT123" s="239"/>
      <c r="FU123" s="239"/>
      <c r="FV123" s="239"/>
      <c r="FW123" s="239"/>
      <c r="FX123" s="239"/>
      <c r="FY123" s="239"/>
      <c r="FZ123" s="239"/>
      <c r="GA123" s="239"/>
      <c r="GB123" s="239"/>
      <c r="GC123" s="239"/>
      <c r="GD123" s="239"/>
      <c r="GE123" s="239"/>
      <c r="GF123" s="239"/>
      <c r="GG123" s="239"/>
      <c r="GH123" s="239"/>
      <c r="GI123" s="239"/>
      <c r="GJ123" s="239"/>
      <c r="GK123" s="239"/>
      <c r="GL123" s="239"/>
      <c r="GM123" s="239"/>
      <c r="GN123" s="239"/>
      <c r="GO123" s="239"/>
      <c r="GP123" s="239"/>
      <c r="GQ123" s="239"/>
      <c r="GR123" s="239"/>
      <c r="GS123" s="239"/>
      <c r="GT123" s="239"/>
      <c r="GU123" s="239"/>
      <c r="GV123" s="239"/>
      <c r="GW123" s="239"/>
      <c r="GX123" s="239"/>
      <c r="GY123" s="239"/>
      <c r="GZ123" s="239"/>
      <c r="HA123" s="239"/>
      <c r="HB123" s="239"/>
      <c r="HC123" s="239"/>
      <c r="HD123" s="239"/>
      <c r="HE123" s="239"/>
      <c r="HF123" s="239"/>
      <c r="HG123" s="239"/>
      <c r="HH123" s="239"/>
      <c r="HI123" s="239"/>
      <c r="HJ123" s="239"/>
      <c r="HK123" s="239"/>
      <c r="HL123" s="239"/>
      <c r="HM123" s="239"/>
      <c r="HN123" s="239"/>
      <c r="HO123" s="239"/>
      <c r="HP123" s="239"/>
      <c r="HQ123" s="239"/>
      <c r="HR123" s="239"/>
      <c r="HS123" s="239"/>
      <c r="HT123" s="239"/>
      <c r="HU123" s="239"/>
      <c r="HV123" s="239"/>
      <c r="HW123" s="239"/>
      <c r="HX123" s="239"/>
      <c r="HY123" s="239"/>
      <c r="HZ123" s="239"/>
      <c r="IA123" s="239"/>
      <c r="IB123" s="239"/>
      <c r="IC123" s="239"/>
      <c r="ID123" s="239"/>
      <c r="IE123" s="239"/>
      <c r="IF123" s="239"/>
      <c r="IG123" s="239"/>
      <c r="IH123" s="239"/>
      <c r="II123" s="239"/>
      <c r="IJ123" s="239"/>
      <c r="IK123" s="239"/>
      <c r="IL123" s="239"/>
      <c r="IM123" s="239"/>
      <c r="IN123" s="239"/>
      <c r="IO123" s="239"/>
      <c r="IP123" s="239"/>
      <c r="IQ123" s="239"/>
      <c r="IR123" s="239"/>
      <c r="IS123" s="239"/>
      <c r="IT123" s="239"/>
      <c r="IU123" s="239"/>
      <c r="IV123" s="239"/>
      <c r="IW123" s="239"/>
      <c r="IX123" s="239"/>
      <c r="IY123" s="239"/>
      <c r="IZ123" s="239"/>
      <c r="JA123" s="239"/>
      <c r="JB123" s="239"/>
      <c r="JC123" s="239"/>
      <c r="JD123" s="239"/>
      <c r="JE123" s="239"/>
      <c r="JF123" s="239"/>
      <c r="JG123" s="239"/>
      <c r="JH123" s="239"/>
      <c r="JI123" s="239"/>
      <c r="JJ123" s="239"/>
      <c r="JK123" s="239"/>
      <c r="JL123" s="239"/>
      <c r="JM123" s="239"/>
      <c r="JN123" s="239"/>
      <c r="JO123" s="239"/>
      <c r="JP123" s="239"/>
      <c r="JQ123" s="239"/>
      <c r="JR123" s="239"/>
      <c r="JS123" s="239"/>
      <c r="JT123" s="239"/>
      <c r="JU123" s="239"/>
      <c r="JV123" s="239"/>
      <c r="JW123" s="239"/>
      <c r="JX123" s="239"/>
      <c r="JY123" s="239"/>
      <c r="JZ123" s="239"/>
      <c r="KA123" s="239"/>
      <c r="KB123" s="239"/>
      <c r="KC123" s="239"/>
      <c r="KD123" s="239"/>
      <c r="KE123" s="239"/>
      <c r="KF123" s="239"/>
      <c r="KG123" s="239"/>
      <c r="KH123" s="239"/>
      <c r="KI123" s="239"/>
      <c r="KJ123" s="239"/>
      <c r="KK123" s="239"/>
      <c r="KL123" s="239"/>
      <c r="KM123" s="239"/>
      <c r="KN123" s="239"/>
      <c r="KO123" s="239"/>
      <c r="KP123" s="239"/>
      <c r="KQ123" s="239"/>
      <c r="KR123" s="239"/>
      <c r="KS123" s="239"/>
      <c r="KT123" s="239"/>
      <c r="KU123" s="239"/>
      <c r="KV123" s="239"/>
      <c r="KW123" s="239"/>
      <c r="KX123" s="239"/>
      <c r="KY123" s="239"/>
      <c r="KZ123" s="239"/>
      <c r="LA123" s="239"/>
      <c r="LB123" s="239"/>
      <c r="LC123" s="239"/>
      <c r="LD123" s="239"/>
      <c r="LE123" s="239"/>
      <c r="LF123" s="239"/>
      <c r="LG123" s="239"/>
      <c r="LH123" s="239"/>
      <c r="LI123" s="239"/>
      <c r="LJ123" s="239"/>
      <c r="LK123" s="239"/>
      <c r="LL123" s="239"/>
      <c r="LM123" s="239"/>
      <c r="LN123" s="239"/>
      <c r="LO123" s="239"/>
      <c r="LP123" s="239"/>
      <c r="LQ123" s="239"/>
      <c r="LR123" s="239"/>
      <c r="LS123" s="239"/>
      <c r="LT123" s="239"/>
      <c r="LU123" s="239"/>
      <c r="LV123" s="239"/>
      <c r="LW123" s="239"/>
      <c r="LX123" s="239"/>
      <c r="LY123" s="239"/>
      <c r="LZ123" s="239"/>
      <c r="MA123" s="239"/>
      <c r="MB123" s="239"/>
      <c r="MC123" s="239"/>
      <c r="MD123" s="239"/>
      <c r="ME123" s="239"/>
      <c r="MF123" s="239"/>
      <c r="MG123" s="239"/>
      <c r="MH123" s="239"/>
      <c r="MI123" s="239"/>
      <c r="MJ123" s="239"/>
      <c r="MK123" s="239"/>
      <c r="ML123" s="239"/>
      <c r="MM123" s="239"/>
      <c r="MN123" s="239"/>
      <c r="MO123" s="239"/>
      <c r="MP123" s="239"/>
      <c r="MQ123" s="239"/>
      <c r="MR123" s="239"/>
      <c r="MS123" s="239"/>
      <c r="MT123" s="239"/>
      <c r="MU123" s="239"/>
      <c r="MV123" s="239"/>
      <c r="MW123" s="239"/>
      <c r="MX123" s="239"/>
      <c r="MY123" s="239"/>
      <c r="MZ123" s="239"/>
      <c r="NA123" s="239"/>
      <c r="NB123" s="239"/>
      <c r="NC123" s="239"/>
      <c r="ND123" s="239"/>
      <c r="NE123" s="239"/>
      <c r="NF123" s="239"/>
      <c r="NG123" s="239"/>
      <c r="NH123" s="239"/>
      <c r="NI123" s="239"/>
      <c r="NJ123" s="239"/>
      <c r="NK123" s="239"/>
      <c r="NL123" s="239"/>
      <c r="NM123" s="239"/>
      <c r="NN123" s="239"/>
      <c r="NO123" s="239"/>
      <c r="NP123" s="239"/>
      <c r="NQ123" s="239"/>
      <c r="NR123" s="239"/>
      <c r="NS123" s="239"/>
      <c r="NT123" s="239"/>
      <c r="NU123" s="239"/>
      <c r="NV123" s="239"/>
      <c r="NW123" s="239"/>
      <c r="NX123" s="239"/>
      <c r="NY123" s="239"/>
      <c r="NZ123" s="239"/>
      <c r="OA123" s="239"/>
      <c r="OB123" s="239"/>
      <c r="OC123" s="239"/>
      <c r="OD123" s="239"/>
      <c r="OE123" s="239"/>
      <c r="OF123" s="239"/>
      <c r="OG123" s="239"/>
      <c r="OH123" s="239"/>
      <c r="OI123" s="239"/>
      <c r="OJ123" s="239"/>
      <c r="OK123" s="239"/>
      <c r="OL123" s="239"/>
      <c r="OM123" s="239"/>
      <c r="ON123" s="239"/>
      <c r="OO123" s="239"/>
      <c r="OP123" s="239"/>
      <c r="OQ123" s="239"/>
      <c r="OR123" s="239"/>
      <c r="OS123" s="239"/>
      <c r="OT123" s="239"/>
      <c r="OU123" s="239"/>
      <c r="OV123" s="239"/>
      <c r="OW123" s="239"/>
      <c r="OX123" s="239"/>
      <c r="OY123" s="239"/>
      <c r="OZ123" s="239"/>
      <c r="PA123" s="239"/>
      <c r="PB123" s="239"/>
      <c r="PC123" s="239"/>
      <c r="PD123" s="239"/>
      <c r="PE123" s="239"/>
      <c r="PF123" s="239"/>
      <c r="PG123" s="239"/>
      <c r="PH123" s="239"/>
      <c r="PI123" s="239"/>
      <c r="PJ123" s="239"/>
      <c r="PK123" s="239"/>
      <c r="PL123" s="239"/>
      <c r="PM123" s="239"/>
      <c r="PN123" s="239"/>
      <c r="PO123" s="239"/>
      <c r="PP123" s="239"/>
      <c r="PQ123" s="239"/>
      <c r="PR123" s="239"/>
      <c r="PS123" s="239"/>
      <c r="PT123" s="239"/>
      <c r="PU123" s="239"/>
      <c r="PV123" s="239"/>
      <c r="PW123" s="239"/>
      <c r="PX123" s="239"/>
      <c r="PY123" s="239"/>
      <c r="PZ123" s="239"/>
      <c r="QA123" s="239"/>
      <c r="QB123" s="239"/>
      <c r="QC123" s="239"/>
      <c r="QD123" s="239"/>
      <c r="QE123" s="239"/>
      <c r="QF123" s="239"/>
      <c r="QG123" s="239"/>
      <c r="QH123" s="239"/>
      <c r="QI123" s="239"/>
      <c r="QJ123" s="239"/>
      <c r="QK123" s="239"/>
      <c r="QL123" s="239"/>
      <c r="QM123" s="239"/>
      <c r="QN123" s="239"/>
      <c r="QO123" s="239"/>
      <c r="QP123" s="239"/>
      <c r="QQ123" s="239"/>
      <c r="QR123" s="239"/>
      <c r="QS123" s="239"/>
      <c r="QT123" s="239"/>
      <c r="QU123" s="239"/>
      <c r="QV123" s="239"/>
      <c r="QW123" s="239"/>
      <c r="QX123" s="239"/>
      <c r="QY123" s="239"/>
      <c r="QZ123" s="239"/>
      <c r="RA123" s="239"/>
      <c r="RB123" s="239"/>
      <c r="RC123" s="239"/>
      <c r="RD123" s="239"/>
      <c r="RE123" s="239"/>
      <c r="RF123" s="239"/>
      <c r="RG123" s="239"/>
      <c r="RH123" s="239"/>
      <c r="RI123" s="239"/>
      <c r="RJ123" s="239"/>
      <c r="RK123" s="239"/>
      <c r="RL123" s="239"/>
      <c r="RM123" s="239"/>
      <c r="RN123" s="239"/>
      <c r="RO123" s="239"/>
      <c r="RP123" s="239"/>
      <c r="RQ123" s="239"/>
      <c r="RR123" s="239"/>
      <c r="RS123" s="239"/>
      <c r="RT123" s="239"/>
      <c r="RU123" s="239"/>
      <c r="RV123" s="239"/>
      <c r="RW123" s="239"/>
      <c r="RX123" s="239"/>
      <c r="RY123" s="239"/>
      <c r="RZ123" s="239"/>
      <c r="SA123" s="239"/>
      <c r="SB123" s="239"/>
      <c r="SC123" s="239"/>
      <c r="SD123" s="239"/>
      <c r="SE123" s="239"/>
      <c r="SF123" s="239"/>
      <c r="SG123" s="239"/>
      <c r="SH123" s="239"/>
      <c r="SI123" s="239"/>
      <c r="SJ123" s="239"/>
      <c r="SK123" s="239"/>
      <c r="SL123" s="239"/>
      <c r="SM123" s="239"/>
      <c r="SN123" s="239"/>
      <c r="SO123" s="239"/>
      <c r="SP123" s="239"/>
      <c r="SQ123" s="239"/>
      <c r="SR123" s="239"/>
      <c r="SS123" s="239"/>
      <c r="ST123" s="239"/>
      <c r="SU123" s="239"/>
      <c r="SV123" s="239"/>
      <c r="SW123" s="239"/>
      <c r="SX123" s="239"/>
      <c r="SY123" s="239"/>
      <c r="SZ123" s="239"/>
      <c r="TA123" s="239"/>
      <c r="TB123" s="239"/>
      <c r="TC123" s="239"/>
      <c r="TD123" s="239"/>
      <c r="TE123" s="239"/>
      <c r="TF123" s="239"/>
      <c r="TG123" s="239"/>
      <c r="TH123" s="239"/>
      <c r="TI123" s="239"/>
      <c r="TJ123" s="239"/>
      <c r="TK123" s="239"/>
      <c r="TL123" s="239"/>
      <c r="TM123" s="239"/>
      <c r="TN123" s="239"/>
      <c r="TO123" s="239"/>
      <c r="TP123" s="239"/>
      <c r="TQ123" s="239"/>
      <c r="TR123" s="239"/>
      <c r="TS123" s="239"/>
      <c r="TT123" s="239"/>
      <c r="TU123" s="239"/>
      <c r="TV123" s="239"/>
      <c r="TW123" s="239"/>
      <c r="TX123" s="239"/>
      <c r="TY123" s="239"/>
      <c r="TZ123" s="239"/>
      <c r="UA123" s="239"/>
      <c r="UB123" s="239"/>
      <c r="UC123" s="239"/>
      <c r="UD123" s="239"/>
      <c r="UE123" s="239"/>
      <c r="UF123" s="239"/>
      <c r="UG123" s="240"/>
    </row>
    <row r="124" spans="1:553" s="236" customFormat="1" ht="34.5" customHeight="1">
      <c r="A124" s="356" t="s">
        <v>15</v>
      </c>
      <c r="B124" s="366">
        <v>203</v>
      </c>
      <c r="C124" s="1443" t="s">
        <v>884</v>
      </c>
      <c r="D124" s="1389"/>
      <c r="E124" s="1389"/>
      <c r="F124" s="1390"/>
      <c r="G124" s="386" t="s">
        <v>113</v>
      </c>
      <c r="H124" s="370"/>
      <c r="I124" s="422">
        <f>(1.8+6.5)*1.2/1.7</f>
        <v>5.8588235294117652</v>
      </c>
      <c r="J124" s="368">
        <v>815000</v>
      </c>
      <c r="K124" s="371"/>
      <c r="L124" s="391">
        <f t="shared" si="26"/>
        <v>4774941</v>
      </c>
      <c r="M124" s="395"/>
      <c r="N124" s="395"/>
      <c r="O124" s="366"/>
      <c r="P124" s="396"/>
      <c r="Q124" s="473"/>
      <c r="R124" s="1039"/>
      <c r="S124" s="308"/>
      <c r="T124" s="303"/>
      <c r="U124" s="306"/>
      <c r="V124" s="307"/>
      <c r="W124" s="306"/>
      <c r="X124" s="306"/>
      <c r="Y124" s="306"/>
      <c r="Z124" s="306"/>
      <c r="AA124" s="306"/>
      <c r="AB124" s="306"/>
      <c r="AC124" s="449"/>
      <c r="AD124" s="449"/>
      <c r="AE124" s="449"/>
      <c r="AF124" s="449"/>
      <c r="AG124" s="452"/>
      <c r="AH124" s="452"/>
      <c r="AI124" s="452"/>
      <c r="AJ124" s="452"/>
      <c r="AK124" s="452"/>
      <c r="AL124" s="242"/>
      <c r="AM124" s="241"/>
      <c r="AN124" s="241"/>
      <c r="AO124" s="241"/>
      <c r="AP124" s="241"/>
      <c r="AQ124" s="238"/>
      <c r="AR124" s="238"/>
      <c r="AS124" s="238"/>
      <c r="AT124" s="238"/>
      <c r="AU124" s="238"/>
      <c r="AV124" s="238"/>
      <c r="AW124" s="238"/>
      <c r="AX124" s="238"/>
      <c r="AY124" s="238"/>
      <c r="AZ124" s="238"/>
      <c r="BA124" s="238"/>
      <c r="BB124" s="238"/>
      <c r="BC124" s="238"/>
      <c r="BD124" s="238"/>
      <c r="BE124" s="238"/>
      <c r="BF124" s="238"/>
      <c r="BG124" s="238"/>
      <c r="BH124" s="238"/>
      <c r="BI124" s="238"/>
      <c r="BJ124" s="238"/>
      <c r="BK124" s="238"/>
      <c r="BL124" s="238"/>
      <c r="BM124" s="239"/>
      <c r="BN124" s="239"/>
      <c r="BO124" s="239"/>
      <c r="BP124" s="239"/>
      <c r="BQ124" s="239"/>
      <c r="BR124" s="239"/>
      <c r="BS124" s="239"/>
      <c r="BT124" s="239"/>
      <c r="BU124" s="239"/>
      <c r="BV124" s="239"/>
      <c r="BW124" s="239"/>
      <c r="BX124" s="239"/>
      <c r="BY124" s="239"/>
      <c r="BZ124" s="239"/>
      <c r="CA124" s="239"/>
      <c r="CB124" s="239"/>
      <c r="CC124" s="239"/>
      <c r="CD124" s="239"/>
      <c r="CE124" s="239"/>
      <c r="CF124" s="239"/>
      <c r="CG124" s="239"/>
      <c r="CH124" s="239"/>
      <c r="CI124" s="239"/>
      <c r="CJ124" s="239"/>
      <c r="CK124" s="239"/>
      <c r="CL124" s="239"/>
      <c r="CM124" s="239"/>
      <c r="CN124" s="239"/>
      <c r="CO124" s="239"/>
      <c r="CP124" s="239"/>
      <c r="CQ124" s="239"/>
      <c r="CR124" s="239"/>
      <c r="CS124" s="239"/>
      <c r="CT124" s="239"/>
      <c r="CU124" s="239"/>
      <c r="CV124" s="239"/>
      <c r="CW124" s="239"/>
      <c r="CX124" s="239"/>
      <c r="CY124" s="239"/>
      <c r="CZ124" s="239"/>
      <c r="DA124" s="239"/>
      <c r="DB124" s="239"/>
      <c r="DC124" s="239"/>
      <c r="DD124" s="239"/>
      <c r="DE124" s="239"/>
      <c r="DF124" s="239"/>
      <c r="DG124" s="239"/>
      <c r="DH124" s="239"/>
      <c r="DI124" s="239"/>
      <c r="DJ124" s="239"/>
      <c r="DK124" s="239"/>
      <c r="DL124" s="239"/>
      <c r="DM124" s="239"/>
      <c r="DN124" s="239"/>
      <c r="DO124" s="239"/>
      <c r="DP124" s="239"/>
      <c r="DQ124" s="239"/>
      <c r="DR124" s="239"/>
      <c r="DS124" s="239"/>
      <c r="DT124" s="239"/>
      <c r="DU124" s="239"/>
      <c r="DV124" s="239"/>
      <c r="DW124" s="239"/>
      <c r="DX124" s="239"/>
      <c r="DY124" s="239"/>
      <c r="DZ124" s="239"/>
      <c r="EA124" s="239"/>
      <c r="EB124" s="239"/>
      <c r="EC124" s="239"/>
      <c r="ED124" s="239"/>
      <c r="EE124" s="239"/>
      <c r="EF124" s="239"/>
      <c r="EG124" s="239"/>
      <c r="EH124" s="239"/>
      <c r="EI124" s="239"/>
      <c r="EJ124" s="239"/>
      <c r="EK124" s="239"/>
      <c r="EL124" s="239"/>
      <c r="EM124" s="239"/>
      <c r="EN124" s="239"/>
      <c r="EO124" s="239"/>
      <c r="EP124" s="239"/>
      <c r="EQ124" s="239"/>
      <c r="ER124" s="239"/>
      <c r="ES124" s="239"/>
      <c r="ET124" s="239"/>
      <c r="EU124" s="239"/>
      <c r="EV124" s="239"/>
      <c r="EW124" s="239"/>
      <c r="EX124" s="239"/>
      <c r="EY124" s="239"/>
      <c r="EZ124" s="239"/>
      <c r="FA124" s="239"/>
      <c r="FB124" s="239"/>
      <c r="FC124" s="239"/>
      <c r="FD124" s="239"/>
      <c r="FE124" s="239"/>
      <c r="FF124" s="239"/>
      <c r="FG124" s="239"/>
      <c r="FH124" s="239"/>
      <c r="FI124" s="239"/>
      <c r="FJ124" s="239"/>
      <c r="FK124" s="239"/>
      <c r="FL124" s="239"/>
      <c r="FM124" s="239"/>
      <c r="FN124" s="239"/>
      <c r="FO124" s="239"/>
      <c r="FP124" s="239"/>
      <c r="FQ124" s="239"/>
      <c r="FR124" s="239"/>
      <c r="FS124" s="239"/>
      <c r="FT124" s="239"/>
      <c r="FU124" s="239"/>
      <c r="FV124" s="239"/>
      <c r="FW124" s="239"/>
      <c r="FX124" s="239"/>
      <c r="FY124" s="239"/>
      <c r="FZ124" s="239"/>
      <c r="GA124" s="239"/>
      <c r="GB124" s="239"/>
      <c r="GC124" s="239"/>
      <c r="GD124" s="239"/>
      <c r="GE124" s="239"/>
      <c r="GF124" s="239"/>
      <c r="GG124" s="239"/>
      <c r="GH124" s="239"/>
      <c r="GI124" s="239"/>
      <c r="GJ124" s="239"/>
      <c r="GK124" s="239"/>
      <c r="GL124" s="239"/>
      <c r="GM124" s="239"/>
      <c r="GN124" s="239"/>
      <c r="GO124" s="239"/>
      <c r="GP124" s="239"/>
      <c r="GQ124" s="239"/>
      <c r="GR124" s="239"/>
      <c r="GS124" s="239"/>
      <c r="GT124" s="239"/>
      <c r="GU124" s="239"/>
      <c r="GV124" s="239"/>
      <c r="GW124" s="239"/>
      <c r="GX124" s="239"/>
      <c r="GY124" s="239"/>
      <c r="GZ124" s="239"/>
      <c r="HA124" s="239"/>
      <c r="HB124" s="239"/>
      <c r="HC124" s="239"/>
      <c r="HD124" s="239"/>
      <c r="HE124" s="239"/>
      <c r="HF124" s="239"/>
      <c r="HG124" s="239"/>
      <c r="HH124" s="239"/>
      <c r="HI124" s="239"/>
      <c r="HJ124" s="239"/>
      <c r="HK124" s="239"/>
      <c r="HL124" s="239"/>
      <c r="HM124" s="239"/>
      <c r="HN124" s="239"/>
      <c r="HO124" s="239"/>
      <c r="HP124" s="239"/>
      <c r="HQ124" s="239"/>
      <c r="HR124" s="239"/>
      <c r="HS124" s="239"/>
      <c r="HT124" s="239"/>
      <c r="HU124" s="239"/>
      <c r="HV124" s="239"/>
      <c r="HW124" s="239"/>
      <c r="HX124" s="239"/>
      <c r="HY124" s="239"/>
      <c r="HZ124" s="239"/>
      <c r="IA124" s="239"/>
      <c r="IB124" s="239"/>
      <c r="IC124" s="239"/>
      <c r="ID124" s="239"/>
      <c r="IE124" s="239"/>
      <c r="IF124" s="239"/>
      <c r="IG124" s="239"/>
      <c r="IH124" s="239"/>
      <c r="II124" s="239"/>
      <c r="IJ124" s="239"/>
      <c r="IK124" s="239"/>
      <c r="IL124" s="239"/>
      <c r="IM124" s="239"/>
      <c r="IN124" s="239"/>
      <c r="IO124" s="239"/>
      <c r="IP124" s="239"/>
      <c r="IQ124" s="239"/>
      <c r="IR124" s="239"/>
      <c r="IS124" s="239"/>
      <c r="IT124" s="239"/>
      <c r="IU124" s="239"/>
      <c r="IV124" s="239"/>
      <c r="IW124" s="239"/>
      <c r="IX124" s="239"/>
      <c r="IY124" s="239"/>
      <c r="IZ124" s="239"/>
      <c r="JA124" s="239"/>
      <c r="JB124" s="239"/>
      <c r="JC124" s="239"/>
      <c r="JD124" s="239"/>
      <c r="JE124" s="239"/>
      <c r="JF124" s="239"/>
      <c r="JG124" s="239"/>
      <c r="JH124" s="239"/>
      <c r="JI124" s="239"/>
      <c r="JJ124" s="239"/>
      <c r="JK124" s="239"/>
      <c r="JL124" s="239"/>
      <c r="JM124" s="239"/>
      <c r="JN124" s="239"/>
      <c r="JO124" s="239"/>
      <c r="JP124" s="239"/>
      <c r="JQ124" s="239"/>
      <c r="JR124" s="239"/>
      <c r="JS124" s="239"/>
      <c r="JT124" s="239"/>
      <c r="JU124" s="239"/>
      <c r="JV124" s="239"/>
      <c r="JW124" s="239"/>
      <c r="JX124" s="239"/>
      <c r="JY124" s="239"/>
      <c r="JZ124" s="239"/>
      <c r="KA124" s="239"/>
      <c r="KB124" s="239"/>
      <c r="KC124" s="239"/>
      <c r="KD124" s="239"/>
      <c r="KE124" s="239"/>
      <c r="KF124" s="239"/>
      <c r="KG124" s="239"/>
      <c r="KH124" s="239"/>
      <c r="KI124" s="239"/>
      <c r="KJ124" s="239"/>
      <c r="KK124" s="239"/>
      <c r="KL124" s="239"/>
      <c r="KM124" s="239"/>
      <c r="KN124" s="239"/>
      <c r="KO124" s="239"/>
      <c r="KP124" s="239"/>
      <c r="KQ124" s="239"/>
      <c r="KR124" s="239"/>
      <c r="KS124" s="239"/>
      <c r="KT124" s="239"/>
      <c r="KU124" s="239"/>
      <c r="KV124" s="239"/>
      <c r="KW124" s="239"/>
      <c r="KX124" s="239"/>
      <c r="KY124" s="239"/>
      <c r="KZ124" s="239"/>
      <c r="LA124" s="239"/>
      <c r="LB124" s="239"/>
      <c r="LC124" s="239"/>
      <c r="LD124" s="239"/>
      <c r="LE124" s="239"/>
      <c r="LF124" s="239"/>
      <c r="LG124" s="239"/>
      <c r="LH124" s="239"/>
      <c r="LI124" s="239"/>
      <c r="LJ124" s="239"/>
      <c r="LK124" s="239"/>
      <c r="LL124" s="239"/>
      <c r="LM124" s="239"/>
      <c r="LN124" s="239"/>
      <c r="LO124" s="239"/>
      <c r="LP124" s="239"/>
      <c r="LQ124" s="239"/>
      <c r="LR124" s="239"/>
      <c r="LS124" s="239"/>
      <c r="LT124" s="239"/>
      <c r="LU124" s="239"/>
      <c r="LV124" s="239"/>
      <c r="LW124" s="239"/>
      <c r="LX124" s="239"/>
      <c r="LY124" s="239"/>
      <c r="LZ124" s="239"/>
      <c r="MA124" s="239"/>
      <c r="MB124" s="239"/>
      <c r="MC124" s="239"/>
      <c r="MD124" s="239"/>
      <c r="ME124" s="239"/>
      <c r="MF124" s="239"/>
      <c r="MG124" s="239"/>
      <c r="MH124" s="239"/>
      <c r="MI124" s="239"/>
      <c r="MJ124" s="239"/>
      <c r="MK124" s="239"/>
      <c r="ML124" s="239"/>
      <c r="MM124" s="239"/>
      <c r="MN124" s="239"/>
      <c r="MO124" s="239"/>
      <c r="MP124" s="239"/>
      <c r="MQ124" s="239"/>
      <c r="MR124" s="239"/>
      <c r="MS124" s="239"/>
      <c r="MT124" s="239"/>
      <c r="MU124" s="239"/>
      <c r="MV124" s="239"/>
      <c r="MW124" s="239"/>
      <c r="MX124" s="239"/>
      <c r="MY124" s="239"/>
      <c r="MZ124" s="239"/>
      <c r="NA124" s="239"/>
      <c r="NB124" s="239"/>
      <c r="NC124" s="239"/>
      <c r="ND124" s="239"/>
      <c r="NE124" s="239"/>
      <c r="NF124" s="239"/>
      <c r="NG124" s="239"/>
      <c r="NH124" s="239"/>
      <c r="NI124" s="239"/>
      <c r="NJ124" s="239"/>
      <c r="NK124" s="239"/>
      <c r="NL124" s="239"/>
      <c r="NM124" s="239"/>
      <c r="NN124" s="239"/>
      <c r="NO124" s="239"/>
      <c r="NP124" s="239"/>
      <c r="NQ124" s="239"/>
      <c r="NR124" s="239"/>
      <c r="NS124" s="239"/>
      <c r="NT124" s="239"/>
      <c r="NU124" s="239"/>
      <c r="NV124" s="239"/>
      <c r="NW124" s="239"/>
      <c r="NX124" s="239"/>
      <c r="NY124" s="239"/>
      <c r="NZ124" s="239"/>
      <c r="OA124" s="239"/>
      <c r="OB124" s="239"/>
      <c r="OC124" s="239"/>
      <c r="OD124" s="239"/>
      <c r="OE124" s="239"/>
      <c r="OF124" s="239"/>
      <c r="OG124" s="239"/>
      <c r="OH124" s="239"/>
      <c r="OI124" s="239"/>
      <c r="OJ124" s="239"/>
      <c r="OK124" s="239"/>
      <c r="OL124" s="239"/>
      <c r="OM124" s="239"/>
      <c r="ON124" s="239"/>
      <c r="OO124" s="239"/>
      <c r="OP124" s="239"/>
      <c r="OQ124" s="239"/>
      <c r="OR124" s="239"/>
      <c r="OS124" s="239"/>
      <c r="OT124" s="239"/>
      <c r="OU124" s="239"/>
      <c r="OV124" s="239"/>
      <c r="OW124" s="239"/>
      <c r="OX124" s="239"/>
      <c r="OY124" s="239"/>
      <c r="OZ124" s="239"/>
      <c r="PA124" s="239"/>
      <c r="PB124" s="239"/>
      <c r="PC124" s="239"/>
      <c r="PD124" s="239"/>
      <c r="PE124" s="239"/>
      <c r="PF124" s="239"/>
      <c r="PG124" s="239"/>
      <c r="PH124" s="239"/>
      <c r="PI124" s="239"/>
      <c r="PJ124" s="239"/>
      <c r="PK124" s="239"/>
      <c r="PL124" s="239"/>
      <c r="PM124" s="239"/>
      <c r="PN124" s="239"/>
      <c r="PO124" s="239"/>
      <c r="PP124" s="239"/>
      <c r="PQ124" s="239"/>
      <c r="PR124" s="239"/>
      <c r="PS124" s="239"/>
      <c r="PT124" s="239"/>
      <c r="PU124" s="239"/>
      <c r="PV124" s="239"/>
      <c r="PW124" s="239"/>
      <c r="PX124" s="239"/>
      <c r="PY124" s="239"/>
      <c r="PZ124" s="239"/>
      <c r="QA124" s="239"/>
      <c r="QB124" s="239"/>
      <c r="QC124" s="239"/>
      <c r="QD124" s="239"/>
      <c r="QE124" s="239"/>
      <c r="QF124" s="239"/>
      <c r="QG124" s="239"/>
      <c r="QH124" s="239"/>
      <c r="QI124" s="239"/>
      <c r="QJ124" s="239"/>
      <c r="QK124" s="239"/>
      <c r="QL124" s="239"/>
      <c r="QM124" s="239"/>
      <c r="QN124" s="239"/>
      <c r="QO124" s="239"/>
      <c r="QP124" s="239"/>
      <c r="QQ124" s="239"/>
      <c r="QR124" s="239"/>
      <c r="QS124" s="239"/>
      <c r="QT124" s="239"/>
      <c r="QU124" s="239"/>
      <c r="QV124" s="239"/>
      <c r="QW124" s="239"/>
      <c r="QX124" s="239"/>
      <c r="QY124" s="239"/>
      <c r="QZ124" s="239"/>
      <c r="RA124" s="239"/>
      <c r="RB124" s="239"/>
      <c r="RC124" s="239"/>
      <c r="RD124" s="239"/>
      <c r="RE124" s="239"/>
      <c r="RF124" s="239"/>
      <c r="RG124" s="239"/>
      <c r="RH124" s="239"/>
      <c r="RI124" s="239"/>
      <c r="RJ124" s="239"/>
      <c r="RK124" s="239"/>
      <c r="RL124" s="239"/>
      <c r="RM124" s="239"/>
      <c r="RN124" s="239"/>
      <c r="RO124" s="239"/>
      <c r="RP124" s="239"/>
      <c r="RQ124" s="239"/>
      <c r="RR124" s="239"/>
      <c r="RS124" s="239"/>
      <c r="RT124" s="239"/>
      <c r="RU124" s="239"/>
      <c r="RV124" s="239"/>
      <c r="RW124" s="239"/>
      <c r="RX124" s="239"/>
      <c r="RY124" s="239"/>
      <c r="RZ124" s="239"/>
      <c r="SA124" s="239"/>
      <c r="SB124" s="239"/>
      <c r="SC124" s="239"/>
      <c r="SD124" s="239"/>
      <c r="SE124" s="239"/>
      <c r="SF124" s="239"/>
      <c r="SG124" s="239"/>
      <c r="SH124" s="239"/>
      <c r="SI124" s="239"/>
      <c r="SJ124" s="239"/>
      <c r="SK124" s="239"/>
      <c r="SL124" s="239"/>
      <c r="SM124" s="239"/>
      <c r="SN124" s="239"/>
      <c r="SO124" s="239"/>
      <c r="SP124" s="239"/>
      <c r="SQ124" s="239"/>
      <c r="SR124" s="239"/>
      <c r="SS124" s="239"/>
      <c r="ST124" s="239"/>
      <c r="SU124" s="239"/>
      <c r="SV124" s="239"/>
      <c r="SW124" s="239"/>
      <c r="SX124" s="239"/>
      <c r="SY124" s="239"/>
      <c r="SZ124" s="239"/>
      <c r="TA124" s="239"/>
      <c r="TB124" s="239"/>
      <c r="TC124" s="239"/>
      <c r="TD124" s="239"/>
      <c r="TE124" s="239"/>
      <c r="TF124" s="239"/>
      <c r="TG124" s="239"/>
      <c r="TH124" s="239"/>
      <c r="TI124" s="239"/>
      <c r="TJ124" s="239"/>
      <c r="TK124" s="239"/>
      <c r="TL124" s="239"/>
      <c r="TM124" s="239"/>
      <c r="TN124" s="239"/>
      <c r="TO124" s="239"/>
      <c r="TP124" s="239"/>
      <c r="TQ124" s="239"/>
      <c r="TR124" s="239"/>
      <c r="TS124" s="239"/>
      <c r="TT124" s="239"/>
      <c r="TU124" s="239"/>
      <c r="TV124" s="239"/>
      <c r="TW124" s="239"/>
      <c r="TX124" s="239"/>
      <c r="TY124" s="239"/>
      <c r="TZ124" s="239"/>
      <c r="UA124" s="239"/>
      <c r="UB124" s="239"/>
      <c r="UC124" s="239"/>
      <c r="UD124" s="239"/>
      <c r="UE124" s="239"/>
      <c r="UF124" s="239"/>
      <c r="UG124" s="240"/>
    </row>
    <row r="125" spans="1:553" s="259" customFormat="1" ht="24.65" customHeight="1">
      <c r="A125" s="445" t="s">
        <v>30</v>
      </c>
      <c r="B125" s="376">
        <v>2</v>
      </c>
      <c r="C125" s="1450" t="s">
        <v>32</v>
      </c>
      <c r="D125" s="1389"/>
      <c r="E125" s="1389"/>
      <c r="F125" s="1390"/>
      <c r="G125" s="417" t="s">
        <v>33</v>
      </c>
      <c r="H125" s="370"/>
      <c r="I125" s="422">
        <f>-(1.8+6.5)*1.2/1.7*2</f>
        <v>-11.71764705882353</v>
      </c>
      <c r="J125" s="368">
        <v>52000</v>
      </c>
      <c r="K125" s="442"/>
      <c r="L125" s="443">
        <f t="shared" ref="L125:L127" si="28">I125*J125</f>
        <v>-609317.64705882361</v>
      </c>
      <c r="M125" s="472"/>
      <c r="N125" s="472"/>
      <c r="O125" s="418"/>
      <c r="P125" s="397"/>
      <c r="Q125" s="473"/>
      <c r="R125" s="604"/>
      <c r="S125" s="308"/>
      <c r="T125" s="303"/>
      <c r="U125" s="306"/>
      <c r="V125" s="307"/>
      <c r="W125" s="307"/>
      <c r="X125" s="307"/>
      <c r="Y125" s="307"/>
      <c r="Z125" s="307"/>
      <c r="AA125" s="307"/>
      <c r="AB125" s="307"/>
      <c r="AC125" s="448"/>
      <c r="AD125" s="448"/>
      <c r="AE125" s="448"/>
      <c r="AF125" s="448"/>
      <c r="AG125" s="447"/>
      <c r="AH125" s="447"/>
      <c r="AI125" s="447"/>
      <c r="AJ125" s="447"/>
      <c r="AK125" s="447"/>
      <c r="AL125" s="256"/>
      <c r="AM125" s="256"/>
      <c r="AN125" s="256"/>
      <c r="AO125" s="256"/>
      <c r="AP125" s="256"/>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7"/>
      <c r="DL125" s="257"/>
      <c r="DM125" s="257"/>
      <c r="DN125" s="257"/>
      <c r="DO125" s="257"/>
      <c r="DP125" s="257"/>
      <c r="DQ125" s="257"/>
      <c r="DR125" s="257"/>
      <c r="DS125" s="257"/>
      <c r="DT125" s="257"/>
      <c r="DU125" s="257"/>
      <c r="DV125" s="257"/>
      <c r="DW125" s="257"/>
      <c r="DX125" s="257"/>
      <c r="DY125" s="257"/>
      <c r="DZ125" s="257"/>
      <c r="EA125" s="257"/>
      <c r="EB125" s="257"/>
      <c r="EC125" s="257"/>
      <c r="ED125" s="257"/>
      <c r="EE125" s="257"/>
      <c r="EF125" s="257"/>
      <c r="EG125" s="257"/>
      <c r="EH125" s="257"/>
      <c r="EI125" s="257"/>
      <c r="EJ125" s="257"/>
      <c r="EK125" s="257"/>
      <c r="EL125" s="257"/>
      <c r="EM125" s="257"/>
      <c r="EN125" s="257"/>
      <c r="EO125" s="257"/>
      <c r="EP125" s="257"/>
      <c r="EQ125" s="257"/>
      <c r="ER125" s="257"/>
      <c r="ES125" s="257"/>
      <c r="ET125" s="257"/>
      <c r="EU125" s="257"/>
      <c r="EV125" s="257"/>
      <c r="EW125" s="257"/>
      <c r="EX125" s="257"/>
      <c r="EY125" s="257"/>
      <c r="EZ125" s="257"/>
      <c r="FA125" s="257"/>
      <c r="FB125" s="257"/>
      <c r="FC125" s="257"/>
      <c r="FD125" s="257"/>
      <c r="FE125" s="257"/>
      <c r="FF125" s="257"/>
      <c r="FG125" s="257"/>
      <c r="FH125" s="257"/>
      <c r="FI125" s="257"/>
      <c r="FJ125" s="257"/>
      <c r="FK125" s="257"/>
      <c r="FL125" s="257"/>
      <c r="FM125" s="257"/>
      <c r="FN125" s="257"/>
      <c r="FO125" s="257"/>
      <c r="FP125" s="257"/>
      <c r="FQ125" s="257"/>
      <c r="FR125" s="257"/>
      <c r="FS125" s="257"/>
      <c r="FT125" s="257"/>
      <c r="FU125" s="257"/>
      <c r="FV125" s="257"/>
      <c r="FW125" s="257"/>
      <c r="FX125" s="257"/>
      <c r="FY125" s="257"/>
      <c r="FZ125" s="257"/>
      <c r="GA125" s="257"/>
      <c r="GB125" s="257"/>
      <c r="GC125" s="257"/>
      <c r="GD125" s="257"/>
      <c r="GE125" s="257"/>
      <c r="GF125" s="257"/>
      <c r="GG125" s="257"/>
      <c r="GH125" s="257"/>
      <c r="GI125" s="257"/>
      <c r="GJ125" s="257"/>
      <c r="GK125" s="257"/>
      <c r="GL125" s="257"/>
      <c r="GM125" s="257"/>
      <c r="GN125" s="257"/>
      <c r="GO125" s="257"/>
      <c r="GP125" s="257"/>
      <c r="GQ125" s="257"/>
      <c r="GR125" s="257"/>
      <c r="GS125" s="257"/>
      <c r="GT125" s="257"/>
      <c r="GU125" s="257"/>
      <c r="GV125" s="257"/>
      <c r="GW125" s="257"/>
      <c r="GX125" s="257"/>
      <c r="GY125" s="257"/>
      <c r="GZ125" s="257"/>
      <c r="HA125" s="257"/>
      <c r="HB125" s="257"/>
      <c r="HC125" s="257"/>
      <c r="HD125" s="257"/>
      <c r="HE125" s="257"/>
      <c r="HF125" s="257"/>
      <c r="HG125" s="257"/>
      <c r="HH125" s="257"/>
      <c r="HI125" s="257"/>
      <c r="HJ125" s="257"/>
      <c r="HK125" s="257"/>
      <c r="HL125" s="257"/>
      <c r="HM125" s="257"/>
      <c r="HN125" s="257"/>
      <c r="HO125" s="257"/>
      <c r="HP125" s="257"/>
      <c r="HQ125" s="257"/>
      <c r="HR125" s="257"/>
      <c r="HS125" s="257"/>
      <c r="HT125" s="257"/>
      <c r="HU125" s="257"/>
      <c r="HV125" s="257"/>
      <c r="HW125" s="257"/>
      <c r="HX125" s="257"/>
      <c r="HY125" s="257"/>
      <c r="HZ125" s="257"/>
      <c r="IA125" s="257"/>
      <c r="IB125" s="257"/>
      <c r="IC125" s="257"/>
      <c r="ID125" s="257"/>
      <c r="IE125" s="257"/>
      <c r="IF125" s="257"/>
      <c r="IG125" s="257"/>
      <c r="IH125" s="257"/>
      <c r="II125" s="257"/>
      <c r="IJ125" s="257"/>
      <c r="IK125" s="257"/>
      <c r="IL125" s="257"/>
      <c r="IM125" s="257"/>
      <c r="IN125" s="257"/>
      <c r="IO125" s="257"/>
      <c r="IP125" s="257"/>
      <c r="IQ125" s="257"/>
      <c r="IR125" s="257"/>
      <c r="IS125" s="257"/>
      <c r="IT125" s="257"/>
      <c r="IU125" s="257"/>
      <c r="IV125" s="257"/>
      <c r="IW125" s="257"/>
      <c r="IX125" s="257"/>
      <c r="IY125" s="257"/>
      <c r="IZ125" s="257"/>
      <c r="JA125" s="257"/>
      <c r="JB125" s="257"/>
      <c r="JC125" s="257"/>
      <c r="JD125" s="257"/>
      <c r="JE125" s="257"/>
      <c r="JF125" s="257"/>
      <c r="JG125" s="257"/>
      <c r="JH125" s="257"/>
      <c r="JI125" s="257"/>
      <c r="JJ125" s="257"/>
      <c r="JK125" s="257"/>
      <c r="JL125" s="257"/>
      <c r="JM125" s="257"/>
      <c r="JN125" s="257"/>
      <c r="JO125" s="257"/>
      <c r="JP125" s="257"/>
      <c r="JQ125" s="257"/>
      <c r="JR125" s="257"/>
      <c r="JS125" s="257"/>
      <c r="JT125" s="257"/>
      <c r="JU125" s="257"/>
      <c r="JV125" s="257"/>
      <c r="JW125" s="257"/>
      <c r="JX125" s="257"/>
      <c r="JY125" s="257"/>
      <c r="JZ125" s="257"/>
      <c r="KA125" s="257"/>
      <c r="KB125" s="257"/>
      <c r="KC125" s="257"/>
      <c r="KD125" s="257"/>
      <c r="KE125" s="257"/>
      <c r="KF125" s="257"/>
      <c r="KG125" s="257"/>
      <c r="KH125" s="257"/>
      <c r="KI125" s="257"/>
      <c r="KJ125" s="257"/>
      <c r="KK125" s="257"/>
      <c r="KL125" s="257"/>
      <c r="KM125" s="257"/>
      <c r="KN125" s="257"/>
      <c r="KO125" s="257"/>
      <c r="KP125" s="257"/>
      <c r="KQ125" s="257"/>
      <c r="KR125" s="257"/>
      <c r="KS125" s="257"/>
      <c r="KT125" s="257"/>
      <c r="KU125" s="257"/>
      <c r="KV125" s="257"/>
      <c r="KW125" s="257"/>
      <c r="KX125" s="257"/>
      <c r="KY125" s="257"/>
      <c r="KZ125" s="257"/>
      <c r="LA125" s="257"/>
      <c r="LB125" s="257"/>
      <c r="LC125" s="257"/>
      <c r="LD125" s="257"/>
      <c r="LE125" s="257"/>
      <c r="LF125" s="257"/>
      <c r="LG125" s="257"/>
      <c r="LH125" s="257"/>
      <c r="LI125" s="257"/>
      <c r="LJ125" s="257"/>
      <c r="LK125" s="257"/>
      <c r="LL125" s="257"/>
      <c r="LM125" s="257"/>
      <c r="LN125" s="257"/>
      <c r="LO125" s="257"/>
      <c r="LP125" s="257"/>
      <c r="LQ125" s="257"/>
      <c r="LR125" s="257"/>
      <c r="LS125" s="257"/>
      <c r="LT125" s="257"/>
      <c r="LU125" s="257"/>
      <c r="LV125" s="257"/>
      <c r="LW125" s="257"/>
      <c r="LX125" s="257"/>
      <c r="LY125" s="257"/>
      <c r="LZ125" s="257"/>
      <c r="MA125" s="257"/>
      <c r="MB125" s="257"/>
      <c r="MC125" s="257"/>
      <c r="MD125" s="257"/>
      <c r="ME125" s="257"/>
      <c r="MF125" s="257"/>
      <c r="MG125" s="257"/>
      <c r="MH125" s="257"/>
      <c r="MI125" s="257"/>
      <c r="MJ125" s="257"/>
      <c r="MK125" s="257"/>
      <c r="ML125" s="257"/>
      <c r="MM125" s="257"/>
      <c r="MN125" s="257"/>
      <c r="MO125" s="257"/>
      <c r="MP125" s="257"/>
      <c r="MQ125" s="257"/>
      <c r="MR125" s="257"/>
      <c r="MS125" s="257"/>
      <c r="MT125" s="257"/>
      <c r="MU125" s="257"/>
      <c r="MV125" s="257"/>
      <c r="MW125" s="257"/>
      <c r="MX125" s="257"/>
      <c r="MY125" s="257"/>
      <c r="MZ125" s="257"/>
      <c r="NA125" s="257"/>
      <c r="NB125" s="257"/>
      <c r="NC125" s="257"/>
      <c r="ND125" s="257"/>
      <c r="NE125" s="257"/>
      <c r="NF125" s="257"/>
      <c r="NG125" s="257"/>
      <c r="NH125" s="257"/>
      <c r="NI125" s="257"/>
      <c r="NJ125" s="257"/>
      <c r="NK125" s="257"/>
      <c r="NL125" s="257"/>
      <c r="NM125" s="257"/>
      <c r="NN125" s="257"/>
      <c r="NO125" s="257"/>
      <c r="NP125" s="257"/>
      <c r="NQ125" s="257"/>
      <c r="NR125" s="257"/>
      <c r="NS125" s="257"/>
      <c r="NT125" s="257"/>
      <c r="NU125" s="257"/>
      <c r="NV125" s="257"/>
      <c r="NW125" s="257"/>
      <c r="NX125" s="257"/>
      <c r="NY125" s="257"/>
      <c r="NZ125" s="257"/>
      <c r="OA125" s="257"/>
      <c r="OB125" s="257"/>
      <c r="OC125" s="257"/>
      <c r="OD125" s="257"/>
      <c r="OE125" s="257"/>
      <c r="OF125" s="257"/>
      <c r="OG125" s="257"/>
      <c r="OH125" s="257"/>
      <c r="OI125" s="257"/>
      <c r="OJ125" s="257"/>
      <c r="OK125" s="257"/>
      <c r="OL125" s="257"/>
      <c r="OM125" s="257"/>
      <c r="ON125" s="257"/>
      <c r="OO125" s="257"/>
      <c r="OP125" s="257"/>
      <c r="OQ125" s="257"/>
      <c r="OR125" s="257"/>
      <c r="OS125" s="257"/>
      <c r="OT125" s="257"/>
      <c r="OU125" s="257"/>
      <c r="OV125" s="257"/>
      <c r="OW125" s="257"/>
      <c r="OX125" s="257"/>
      <c r="OY125" s="257"/>
      <c r="OZ125" s="257"/>
      <c r="PA125" s="257"/>
      <c r="PB125" s="257"/>
      <c r="PC125" s="257"/>
      <c r="PD125" s="257"/>
      <c r="PE125" s="257"/>
      <c r="PF125" s="257"/>
      <c r="PG125" s="257"/>
      <c r="PH125" s="257"/>
      <c r="PI125" s="257"/>
      <c r="PJ125" s="257"/>
      <c r="PK125" s="257"/>
      <c r="PL125" s="257"/>
      <c r="PM125" s="257"/>
      <c r="PN125" s="257"/>
      <c r="PO125" s="257"/>
      <c r="PP125" s="257"/>
      <c r="PQ125" s="257"/>
      <c r="PR125" s="257"/>
      <c r="PS125" s="257"/>
      <c r="PT125" s="257"/>
      <c r="PU125" s="257"/>
      <c r="PV125" s="257"/>
      <c r="PW125" s="257"/>
      <c r="PX125" s="257"/>
      <c r="PY125" s="257"/>
      <c r="PZ125" s="257"/>
      <c r="QA125" s="257"/>
      <c r="QB125" s="257"/>
      <c r="QC125" s="257"/>
      <c r="QD125" s="257"/>
      <c r="QE125" s="257"/>
      <c r="QF125" s="257"/>
      <c r="QG125" s="257"/>
      <c r="QH125" s="257"/>
      <c r="QI125" s="257"/>
      <c r="QJ125" s="257"/>
      <c r="QK125" s="257"/>
      <c r="QL125" s="257"/>
      <c r="QM125" s="257"/>
      <c r="QN125" s="257"/>
      <c r="QO125" s="257"/>
      <c r="QP125" s="257"/>
      <c r="QQ125" s="257"/>
      <c r="QR125" s="257"/>
      <c r="QS125" s="257"/>
      <c r="QT125" s="257"/>
      <c r="QU125" s="257"/>
      <c r="QV125" s="257"/>
      <c r="QW125" s="257"/>
      <c r="QX125" s="257"/>
      <c r="QY125" s="257"/>
      <c r="QZ125" s="257"/>
      <c r="RA125" s="257"/>
      <c r="RB125" s="257"/>
      <c r="RC125" s="257"/>
      <c r="RD125" s="257"/>
      <c r="RE125" s="257"/>
      <c r="RF125" s="257"/>
      <c r="RG125" s="257"/>
      <c r="RH125" s="257"/>
      <c r="RI125" s="257"/>
      <c r="RJ125" s="257"/>
      <c r="RK125" s="257"/>
      <c r="RL125" s="257"/>
      <c r="RM125" s="257"/>
      <c r="RN125" s="257"/>
      <c r="RO125" s="257"/>
      <c r="RP125" s="257"/>
      <c r="RQ125" s="257"/>
      <c r="RR125" s="257"/>
      <c r="RS125" s="257"/>
      <c r="RT125" s="257"/>
      <c r="RU125" s="257"/>
      <c r="RV125" s="257"/>
      <c r="RW125" s="257"/>
      <c r="RX125" s="257"/>
      <c r="RY125" s="257"/>
      <c r="RZ125" s="257"/>
      <c r="SA125" s="257"/>
      <c r="SB125" s="257"/>
      <c r="SC125" s="257"/>
      <c r="SD125" s="257"/>
      <c r="SE125" s="257"/>
      <c r="SF125" s="257"/>
      <c r="SG125" s="257"/>
      <c r="SH125" s="257"/>
      <c r="SI125" s="257"/>
      <c r="SJ125" s="257"/>
      <c r="SK125" s="257"/>
      <c r="SL125" s="257"/>
      <c r="SM125" s="257"/>
      <c r="SN125" s="257"/>
      <c r="SO125" s="257"/>
      <c r="SP125" s="257"/>
      <c r="SQ125" s="257"/>
      <c r="SR125" s="257"/>
      <c r="SS125" s="257"/>
      <c r="ST125" s="257"/>
      <c r="SU125" s="257"/>
      <c r="SV125" s="257"/>
      <c r="SW125" s="257"/>
      <c r="SX125" s="257"/>
      <c r="SY125" s="257"/>
      <c r="SZ125" s="257"/>
      <c r="TA125" s="257"/>
      <c r="TB125" s="257"/>
      <c r="TC125" s="257"/>
      <c r="TD125" s="257"/>
      <c r="TE125" s="257"/>
      <c r="TF125" s="257"/>
      <c r="TG125" s="257"/>
      <c r="TH125" s="257"/>
      <c r="TI125" s="257"/>
      <c r="TJ125" s="257"/>
      <c r="TK125" s="257"/>
      <c r="TL125" s="257"/>
      <c r="TM125" s="257"/>
      <c r="TN125" s="257"/>
      <c r="TO125" s="257"/>
      <c r="TP125" s="257"/>
      <c r="TQ125" s="257"/>
      <c r="TR125" s="257"/>
      <c r="TS125" s="257"/>
      <c r="TT125" s="257"/>
      <c r="TU125" s="257"/>
      <c r="TV125" s="257"/>
      <c r="TW125" s="257"/>
      <c r="TX125" s="257"/>
      <c r="TY125" s="257"/>
      <c r="TZ125" s="257"/>
      <c r="UA125" s="257"/>
      <c r="UB125" s="257"/>
      <c r="UC125" s="257"/>
      <c r="UD125" s="257"/>
      <c r="UE125" s="257"/>
      <c r="UF125" s="257"/>
      <c r="UG125" s="258"/>
    </row>
    <row r="126" spans="1:553" s="259" customFormat="1" ht="24" customHeight="1">
      <c r="A126" s="445" t="s">
        <v>30</v>
      </c>
      <c r="B126" s="376">
        <v>5</v>
      </c>
      <c r="C126" s="1450" t="s">
        <v>864</v>
      </c>
      <c r="D126" s="1389"/>
      <c r="E126" s="1389"/>
      <c r="F126" s="1390"/>
      <c r="G126" s="417" t="s">
        <v>33</v>
      </c>
      <c r="H126" s="370"/>
      <c r="I126" s="422">
        <f>-(1.8+6.5)*1.2/1.7*2</f>
        <v>-11.71764705882353</v>
      </c>
      <c r="J126" s="368">
        <v>41700</v>
      </c>
      <c r="K126" s="442"/>
      <c r="L126" s="443">
        <f t="shared" si="28"/>
        <v>-488625.8823529412</v>
      </c>
      <c r="M126" s="472"/>
      <c r="N126" s="472"/>
      <c r="O126" s="418"/>
      <c r="P126" s="397"/>
      <c r="Q126" s="473"/>
      <c r="R126" s="604"/>
      <c r="S126" s="308"/>
      <c r="T126" s="303"/>
      <c r="U126" s="306"/>
      <c r="V126" s="307"/>
      <c r="W126" s="307"/>
      <c r="X126" s="307"/>
      <c r="Y126" s="307"/>
      <c r="Z126" s="307"/>
      <c r="AA126" s="307"/>
      <c r="AB126" s="307"/>
      <c r="AC126" s="448"/>
      <c r="AD126" s="448"/>
      <c r="AE126" s="448"/>
      <c r="AF126" s="448"/>
      <c r="AG126" s="447"/>
      <c r="AH126" s="447"/>
      <c r="AI126" s="447"/>
      <c r="AJ126" s="447"/>
      <c r="AK126" s="447"/>
      <c r="AL126" s="256"/>
      <c r="AM126" s="256"/>
      <c r="AN126" s="256"/>
      <c r="AO126" s="256"/>
      <c r="AP126" s="256"/>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7"/>
      <c r="DL126" s="257"/>
      <c r="DM126" s="257"/>
      <c r="DN126" s="257"/>
      <c r="DO126" s="257"/>
      <c r="DP126" s="257"/>
      <c r="DQ126" s="257"/>
      <c r="DR126" s="257"/>
      <c r="DS126" s="257"/>
      <c r="DT126" s="257"/>
      <c r="DU126" s="257"/>
      <c r="DV126" s="257"/>
      <c r="DW126" s="257"/>
      <c r="DX126" s="257"/>
      <c r="DY126" s="257"/>
      <c r="DZ126" s="257"/>
      <c r="EA126" s="257"/>
      <c r="EB126" s="257"/>
      <c r="EC126" s="257"/>
      <c r="ED126" s="257"/>
      <c r="EE126" s="257"/>
      <c r="EF126" s="257"/>
      <c r="EG126" s="257"/>
      <c r="EH126" s="257"/>
      <c r="EI126" s="257"/>
      <c r="EJ126" s="257"/>
      <c r="EK126" s="257"/>
      <c r="EL126" s="257"/>
      <c r="EM126" s="257"/>
      <c r="EN126" s="257"/>
      <c r="EO126" s="257"/>
      <c r="EP126" s="257"/>
      <c r="EQ126" s="257"/>
      <c r="ER126" s="257"/>
      <c r="ES126" s="257"/>
      <c r="ET126" s="257"/>
      <c r="EU126" s="257"/>
      <c r="EV126" s="257"/>
      <c r="EW126" s="257"/>
      <c r="EX126" s="257"/>
      <c r="EY126" s="257"/>
      <c r="EZ126" s="257"/>
      <c r="FA126" s="257"/>
      <c r="FB126" s="257"/>
      <c r="FC126" s="257"/>
      <c r="FD126" s="257"/>
      <c r="FE126" s="257"/>
      <c r="FF126" s="257"/>
      <c r="FG126" s="257"/>
      <c r="FH126" s="257"/>
      <c r="FI126" s="257"/>
      <c r="FJ126" s="257"/>
      <c r="FK126" s="257"/>
      <c r="FL126" s="257"/>
      <c r="FM126" s="257"/>
      <c r="FN126" s="257"/>
      <c r="FO126" s="257"/>
      <c r="FP126" s="257"/>
      <c r="FQ126" s="257"/>
      <c r="FR126" s="257"/>
      <c r="FS126" s="257"/>
      <c r="FT126" s="257"/>
      <c r="FU126" s="257"/>
      <c r="FV126" s="257"/>
      <c r="FW126" s="257"/>
      <c r="FX126" s="257"/>
      <c r="FY126" s="257"/>
      <c r="FZ126" s="257"/>
      <c r="GA126" s="257"/>
      <c r="GB126" s="257"/>
      <c r="GC126" s="257"/>
      <c r="GD126" s="257"/>
      <c r="GE126" s="257"/>
      <c r="GF126" s="257"/>
      <c r="GG126" s="257"/>
      <c r="GH126" s="257"/>
      <c r="GI126" s="257"/>
      <c r="GJ126" s="257"/>
      <c r="GK126" s="257"/>
      <c r="GL126" s="257"/>
      <c r="GM126" s="257"/>
      <c r="GN126" s="257"/>
      <c r="GO126" s="257"/>
      <c r="GP126" s="257"/>
      <c r="GQ126" s="257"/>
      <c r="GR126" s="257"/>
      <c r="GS126" s="257"/>
      <c r="GT126" s="257"/>
      <c r="GU126" s="257"/>
      <c r="GV126" s="257"/>
      <c r="GW126" s="257"/>
      <c r="GX126" s="257"/>
      <c r="GY126" s="257"/>
      <c r="GZ126" s="257"/>
      <c r="HA126" s="257"/>
      <c r="HB126" s="257"/>
      <c r="HC126" s="257"/>
      <c r="HD126" s="257"/>
      <c r="HE126" s="257"/>
      <c r="HF126" s="257"/>
      <c r="HG126" s="257"/>
      <c r="HH126" s="257"/>
      <c r="HI126" s="257"/>
      <c r="HJ126" s="257"/>
      <c r="HK126" s="257"/>
      <c r="HL126" s="257"/>
      <c r="HM126" s="257"/>
      <c r="HN126" s="257"/>
      <c r="HO126" s="257"/>
      <c r="HP126" s="257"/>
      <c r="HQ126" s="257"/>
      <c r="HR126" s="257"/>
      <c r="HS126" s="257"/>
      <c r="HT126" s="257"/>
      <c r="HU126" s="257"/>
      <c r="HV126" s="257"/>
      <c r="HW126" s="257"/>
      <c r="HX126" s="257"/>
      <c r="HY126" s="257"/>
      <c r="HZ126" s="257"/>
      <c r="IA126" s="257"/>
      <c r="IB126" s="257"/>
      <c r="IC126" s="257"/>
      <c r="ID126" s="257"/>
      <c r="IE126" s="257"/>
      <c r="IF126" s="257"/>
      <c r="IG126" s="257"/>
      <c r="IH126" s="257"/>
      <c r="II126" s="257"/>
      <c r="IJ126" s="257"/>
      <c r="IK126" s="257"/>
      <c r="IL126" s="257"/>
      <c r="IM126" s="257"/>
      <c r="IN126" s="257"/>
      <c r="IO126" s="257"/>
      <c r="IP126" s="257"/>
      <c r="IQ126" s="257"/>
      <c r="IR126" s="257"/>
      <c r="IS126" s="257"/>
      <c r="IT126" s="257"/>
      <c r="IU126" s="257"/>
      <c r="IV126" s="257"/>
      <c r="IW126" s="257"/>
      <c r="IX126" s="257"/>
      <c r="IY126" s="257"/>
      <c r="IZ126" s="257"/>
      <c r="JA126" s="257"/>
      <c r="JB126" s="257"/>
      <c r="JC126" s="257"/>
      <c r="JD126" s="257"/>
      <c r="JE126" s="257"/>
      <c r="JF126" s="257"/>
      <c r="JG126" s="257"/>
      <c r="JH126" s="257"/>
      <c r="JI126" s="257"/>
      <c r="JJ126" s="257"/>
      <c r="JK126" s="257"/>
      <c r="JL126" s="257"/>
      <c r="JM126" s="257"/>
      <c r="JN126" s="257"/>
      <c r="JO126" s="257"/>
      <c r="JP126" s="257"/>
      <c r="JQ126" s="257"/>
      <c r="JR126" s="257"/>
      <c r="JS126" s="257"/>
      <c r="JT126" s="257"/>
      <c r="JU126" s="257"/>
      <c r="JV126" s="257"/>
      <c r="JW126" s="257"/>
      <c r="JX126" s="257"/>
      <c r="JY126" s="257"/>
      <c r="JZ126" s="257"/>
      <c r="KA126" s="257"/>
      <c r="KB126" s="257"/>
      <c r="KC126" s="257"/>
      <c r="KD126" s="257"/>
      <c r="KE126" s="257"/>
      <c r="KF126" s="257"/>
      <c r="KG126" s="257"/>
      <c r="KH126" s="257"/>
      <c r="KI126" s="257"/>
      <c r="KJ126" s="257"/>
      <c r="KK126" s="257"/>
      <c r="KL126" s="257"/>
      <c r="KM126" s="257"/>
      <c r="KN126" s="257"/>
      <c r="KO126" s="257"/>
      <c r="KP126" s="257"/>
      <c r="KQ126" s="257"/>
      <c r="KR126" s="257"/>
      <c r="KS126" s="257"/>
      <c r="KT126" s="257"/>
      <c r="KU126" s="257"/>
      <c r="KV126" s="257"/>
      <c r="KW126" s="257"/>
      <c r="KX126" s="257"/>
      <c r="KY126" s="257"/>
      <c r="KZ126" s="257"/>
      <c r="LA126" s="257"/>
      <c r="LB126" s="257"/>
      <c r="LC126" s="257"/>
      <c r="LD126" s="257"/>
      <c r="LE126" s="257"/>
      <c r="LF126" s="257"/>
      <c r="LG126" s="257"/>
      <c r="LH126" s="257"/>
      <c r="LI126" s="257"/>
      <c r="LJ126" s="257"/>
      <c r="LK126" s="257"/>
      <c r="LL126" s="257"/>
      <c r="LM126" s="257"/>
      <c r="LN126" s="257"/>
      <c r="LO126" s="257"/>
      <c r="LP126" s="257"/>
      <c r="LQ126" s="257"/>
      <c r="LR126" s="257"/>
      <c r="LS126" s="257"/>
      <c r="LT126" s="257"/>
      <c r="LU126" s="257"/>
      <c r="LV126" s="257"/>
      <c r="LW126" s="257"/>
      <c r="LX126" s="257"/>
      <c r="LY126" s="257"/>
      <c r="LZ126" s="257"/>
      <c r="MA126" s="257"/>
      <c r="MB126" s="257"/>
      <c r="MC126" s="257"/>
      <c r="MD126" s="257"/>
      <c r="ME126" s="257"/>
      <c r="MF126" s="257"/>
      <c r="MG126" s="257"/>
      <c r="MH126" s="257"/>
      <c r="MI126" s="257"/>
      <c r="MJ126" s="257"/>
      <c r="MK126" s="257"/>
      <c r="ML126" s="257"/>
      <c r="MM126" s="257"/>
      <c r="MN126" s="257"/>
      <c r="MO126" s="257"/>
      <c r="MP126" s="257"/>
      <c r="MQ126" s="257"/>
      <c r="MR126" s="257"/>
      <c r="MS126" s="257"/>
      <c r="MT126" s="257"/>
      <c r="MU126" s="257"/>
      <c r="MV126" s="257"/>
      <c r="MW126" s="257"/>
      <c r="MX126" s="257"/>
      <c r="MY126" s="257"/>
      <c r="MZ126" s="257"/>
      <c r="NA126" s="257"/>
      <c r="NB126" s="257"/>
      <c r="NC126" s="257"/>
      <c r="ND126" s="257"/>
      <c r="NE126" s="257"/>
      <c r="NF126" s="257"/>
      <c r="NG126" s="257"/>
      <c r="NH126" s="257"/>
      <c r="NI126" s="257"/>
      <c r="NJ126" s="257"/>
      <c r="NK126" s="257"/>
      <c r="NL126" s="257"/>
      <c r="NM126" s="257"/>
      <c r="NN126" s="257"/>
      <c r="NO126" s="257"/>
      <c r="NP126" s="257"/>
      <c r="NQ126" s="257"/>
      <c r="NR126" s="257"/>
      <c r="NS126" s="257"/>
      <c r="NT126" s="257"/>
      <c r="NU126" s="257"/>
      <c r="NV126" s="257"/>
      <c r="NW126" s="257"/>
      <c r="NX126" s="257"/>
      <c r="NY126" s="257"/>
      <c r="NZ126" s="257"/>
      <c r="OA126" s="257"/>
      <c r="OB126" s="257"/>
      <c r="OC126" s="257"/>
      <c r="OD126" s="257"/>
      <c r="OE126" s="257"/>
      <c r="OF126" s="257"/>
      <c r="OG126" s="257"/>
      <c r="OH126" s="257"/>
      <c r="OI126" s="257"/>
      <c r="OJ126" s="257"/>
      <c r="OK126" s="257"/>
      <c r="OL126" s="257"/>
      <c r="OM126" s="257"/>
      <c r="ON126" s="257"/>
      <c r="OO126" s="257"/>
      <c r="OP126" s="257"/>
      <c r="OQ126" s="257"/>
      <c r="OR126" s="257"/>
      <c r="OS126" s="257"/>
      <c r="OT126" s="257"/>
      <c r="OU126" s="257"/>
      <c r="OV126" s="257"/>
      <c r="OW126" s="257"/>
      <c r="OX126" s="257"/>
      <c r="OY126" s="257"/>
      <c r="OZ126" s="257"/>
      <c r="PA126" s="257"/>
      <c r="PB126" s="257"/>
      <c r="PC126" s="257"/>
      <c r="PD126" s="257"/>
      <c r="PE126" s="257"/>
      <c r="PF126" s="257"/>
      <c r="PG126" s="257"/>
      <c r="PH126" s="257"/>
      <c r="PI126" s="257"/>
      <c r="PJ126" s="257"/>
      <c r="PK126" s="257"/>
      <c r="PL126" s="257"/>
      <c r="PM126" s="257"/>
      <c r="PN126" s="257"/>
      <c r="PO126" s="257"/>
      <c r="PP126" s="257"/>
      <c r="PQ126" s="257"/>
      <c r="PR126" s="257"/>
      <c r="PS126" s="257"/>
      <c r="PT126" s="257"/>
      <c r="PU126" s="257"/>
      <c r="PV126" s="257"/>
      <c r="PW126" s="257"/>
      <c r="PX126" s="257"/>
      <c r="PY126" s="257"/>
      <c r="PZ126" s="257"/>
      <c r="QA126" s="257"/>
      <c r="QB126" s="257"/>
      <c r="QC126" s="257"/>
      <c r="QD126" s="257"/>
      <c r="QE126" s="257"/>
      <c r="QF126" s="257"/>
      <c r="QG126" s="257"/>
      <c r="QH126" s="257"/>
      <c r="QI126" s="257"/>
      <c r="QJ126" s="257"/>
      <c r="QK126" s="257"/>
      <c r="QL126" s="257"/>
      <c r="QM126" s="257"/>
      <c r="QN126" s="257"/>
      <c r="QO126" s="257"/>
      <c r="QP126" s="257"/>
      <c r="QQ126" s="257"/>
      <c r="QR126" s="257"/>
      <c r="QS126" s="257"/>
      <c r="QT126" s="257"/>
      <c r="QU126" s="257"/>
      <c r="QV126" s="257"/>
      <c r="QW126" s="257"/>
      <c r="QX126" s="257"/>
      <c r="QY126" s="257"/>
      <c r="QZ126" s="257"/>
      <c r="RA126" s="257"/>
      <c r="RB126" s="257"/>
      <c r="RC126" s="257"/>
      <c r="RD126" s="257"/>
      <c r="RE126" s="257"/>
      <c r="RF126" s="257"/>
      <c r="RG126" s="257"/>
      <c r="RH126" s="257"/>
      <c r="RI126" s="257"/>
      <c r="RJ126" s="257"/>
      <c r="RK126" s="257"/>
      <c r="RL126" s="257"/>
      <c r="RM126" s="257"/>
      <c r="RN126" s="257"/>
      <c r="RO126" s="257"/>
      <c r="RP126" s="257"/>
      <c r="RQ126" s="257"/>
      <c r="RR126" s="257"/>
      <c r="RS126" s="257"/>
      <c r="RT126" s="257"/>
      <c r="RU126" s="257"/>
      <c r="RV126" s="257"/>
      <c r="RW126" s="257"/>
      <c r="RX126" s="257"/>
      <c r="RY126" s="257"/>
      <c r="RZ126" s="257"/>
      <c r="SA126" s="257"/>
      <c r="SB126" s="257"/>
      <c r="SC126" s="257"/>
      <c r="SD126" s="257"/>
      <c r="SE126" s="257"/>
      <c r="SF126" s="257"/>
      <c r="SG126" s="257"/>
      <c r="SH126" s="257"/>
      <c r="SI126" s="257"/>
      <c r="SJ126" s="257"/>
      <c r="SK126" s="257"/>
      <c r="SL126" s="257"/>
      <c r="SM126" s="257"/>
      <c r="SN126" s="257"/>
      <c r="SO126" s="257"/>
      <c r="SP126" s="257"/>
      <c r="SQ126" s="257"/>
      <c r="SR126" s="257"/>
      <c r="SS126" s="257"/>
      <c r="ST126" s="257"/>
      <c r="SU126" s="257"/>
      <c r="SV126" s="257"/>
      <c r="SW126" s="257"/>
      <c r="SX126" s="257"/>
      <c r="SY126" s="257"/>
      <c r="SZ126" s="257"/>
      <c r="TA126" s="257"/>
      <c r="TB126" s="257"/>
      <c r="TC126" s="257"/>
      <c r="TD126" s="257"/>
      <c r="TE126" s="257"/>
      <c r="TF126" s="257"/>
      <c r="TG126" s="257"/>
      <c r="TH126" s="257"/>
      <c r="TI126" s="257"/>
      <c r="TJ126" s="257"/>
      <c r="TK126" s="257"/>
      <c r="TL126" s="257"/>
      <c r="TM126" s="257"/>
      <c r="TN126" s="257"/>
      <c r="TO126" s="257"/>
      <c r="TP126" s="257"/>
      <c r="TQ126" s="257"/>
      <c r="TR126" s="257"/>
      <c r="TS126" s="257"/>
      <c r="TT126" s="257"/>
      <c r="TU126" s="257"/>
      <c r="TV126" s="257"/>
      <c r="TW126" s="257"/>
      <c r="TX126" s="257"/>
      <c r="TY126" s="257"/>
      <c r="TZ126" s="257"/>
      <c r="UA126" s="257"/>
      <c r="UB126" s="257"/>
      <c r="UC126" s="257"/>
      <c r="UD126" s="257"/>
      <c r="UE126" s="257"/>
      <c r="UF126" s="257"/>
      <c r="UG126" s="258"/>
    </row>
    <row r="127" spans="1:553" s="259" customFormat="1" ht="34.5" customHeight="1">
      <c r="A127" s="445"/>
      <c r="B127" s="418"/>
      <c r="C127" s="1561" t="s">
        <v>885</v>
      </c>
      <c r="D127" s="1389"/>
      <c r="E127" s="1389"/>
      <c r="F127" s="1390"/>
      <c r="G127" s="417" t="s">
        <v>113</v>
      </c>
      <c r="H127" s="370"/>
      <c r="I127" s="422">
        <f>6.7+2.2+4.6</f>
        <v>13.5</v>
      </c>
      <c r="J127" s="368">
        <v>815000</v>
      </c>
      <c r="K127" s="442"/>
      <c r="L127" s="443">
        <f t="shared" si="28"/>
        <v>11002500</v>
      </c>
      <c r="M127" s="472"/>
      <c r="N127" s="472"/>
      <c r="O127" s="418"/>
      <c r="P127" s="397"/>
      <c r="Q127" s="473"/>
      <c r="R127" s="604"/>
      <c r="S127" s="308"/>
      <c r="T127" s="303"/>
      <c r="U127" s="306"/>
      <c r="V127" s="307"/>
      <c r="W127" s="307"/>
      <c r="X127" s="307"/>
      <c r="Y127" s="307"/>
      <c r="Z127" s="307"/>
      <c r="AA127" s="307"/>
      <c r="AB127" s="307"/>
      <c r="AC127" s="306"/>
      <c r="AD127" s="306"/>
      <c r="AE127" s="306"/>
      <c r="AF127" s="306"/>
      <c r="AG127" s="308"/>
      <c r="AH127" s="308"/>
      <c r="AI127" s="308"/>
      <c r="AJ127" s="308"/>
      <c r="AK127" s="308"/>
      <c r="AL127" s="260"/>
      <c r="AM127" s="260"/>
      <c r="AN127" s="260"/>
      <c r="AO127" s="260"/>
      <c r="AP127" s="260"/>
      <c r="AQ127" s="261"/>
      <c r="AR127" s="261"/>
      <c r="AS127" s="261"/>
      <c r="AT127" s="261"/>
      <c r="AU127" s="261"/>
      <c r="AV127" s="261"/>
      <c r="AW127" s="261"/>
      <c r="AX127" s="261"/>
      <c r="AY127" s="261"/>
      <c r="AZ127" s="261"/>
      <c r="BA127" s="261"/>
      <c r="BB127" s="261"/>
      <c r="BC127" s="261"/>
      <c r="BD127" s="261"/>
      <c r="BE127" s="261"/>
      <c r="BF127" s="261"/>
      <c r="BG127" s="261"/>
      <c r="BH127" s="261"/>
      <c r="BI127" s="261"/>
      <c r="BJ127" s="261"/>
      <c r="BK127" s="261"/>
      <c r="BL127" s="261"/>
      <c r="BM127" s="262"/>
      <c r="BN127" s="262"/>
      <c r="BO127" s="262"/>
      <c r="BP127" s="262"/>
      <c r="BQ127" s="262"/>
      <c r="BR127" s="262"/>
      <c r="BS127" s="262"/>
      <c r="BT127" s="262"/>
      <c r="BU127" s="262"/>
      <c r="BV127" s="262"/>
      <c r="BW127" s="262"/>
      <c r="BX127" s="262"/>
      <c r="BY127" s="262"/>
      <c r="BZ127" s="262"/>
      <c r="CA127" s="262"/>
      <c r="CB127" s="262"/>
      <c r="CC127" s="262"/>
      <c r="CD127" s="262"/>
      <c r="CE127" s="262"/>
      <c r="CF127" s="262"/>
      <c r="CG127" s="262"/>
      <c r="CH127" s="262"/>
      <c r="CI127" s="262"/>
      <c r="CJ127" s="262"/>
      <c r="CK127" s="262"/>
      <c r="CL127" s="262"/>
      <c r="CM127" s="262"/>
      <c r="CN127" s="262"/>
      <c r="CO127" s="262"/>
      <c r="CP127" s="262"/>
      <c r="CQ127" s="262"/>
      <c r="CR127" s="262"/>
      <c r="CS127" s="262"/>
      <c r="CT127" s="262"/>
      <c r="CU127" s="262"/>
      <c r="CV127" s="262"/>
      <c r="CW127" s="262"/>
      <c r="CX127" s="262"/>
      <c r="CY127" s="262"/>
      <c r="CZ127" s="262"/>
      <c r="DA127" s="262"/>
      <c r="DB127" s="262"/>
      <c r="DC127" s="262"/>
      <c r="DD127" s="262"/>
      <c r="DE127" s="262"/>
      <c r="DF127" s="262"/>
      <c r="DG127" s="262"/>
      <c r="DH127" s="262"/>
      <c r="DI127" s="262"/>
      <c r="DJ127" s="262"/>
      <c r="DK127" s="262"/>
      <c r="DL127" s="262"/>
      <c r="DM127" s="262"/>
      <c r="DN127" s="262"/>
      <c r="DO127" s="262"/>
      <c r="DP127" s="262"/>
      <c r="DQ127" s="262"/>
      <c r="DR127" s="262"/>
      <c r="DS127" s="262"/>
      <c r="DT127" s="262"/>
      <c r="DU127" s="262"/>
      <c r="DV127" s="262"/>
      <c r="DW127" s="262"/>
      <c r="DX127" s="262"/>
      <c r="DY127" s="262"/>
      <c r="DZ127" s="262"/>
      <c r="EA127" s="262"/>
      <c r="EB127" s="262"/>
      <c r="EC127" s="262"/>
      <c r="ED127" s="262"/>
      <c r="EE127" s="262"/>
      <c r="EF127" s="262"/>
      <c r="EG127" s="262"/>
      <c r="EH127" s="262"/>
      <c r="EI127" s="262"/>
      <c r="EJ127" s="262"/>
      <c r="EK127" s="262"/>
      <c r="EL127" s="262"/>
      <c r="EM127" s="262"/>
      <c r="EN127" s="262"/>
      <c r="EO127" s="262"/>
      <c r="EP127" s="262"/>
      <c r="EQ127" s="262"/>
      <c r="ER127" s="262"/>
      <c r="ES127" s="262"/>
      <c r="ET127" s="262"/>
      <c r="EU127" s="262"/>
      <c r="EV127" s="262"/>
      <c r="EW127" s="262"/>
      <c r="EX127" s="262"/>
      <c r="EY127" s="262"/>
      <c r="EZ127" s="262"/>
      <c r="FA127" s="262"/>
      <c r="FB127" s="262"/>
      <c r="FC127" s="262"/>
      <c r="FD127" s="262"/>
      <c r="FE127" s="262"/>
      <c r="FF127" s="262"/>
      <c r="FG127" s="262"/>
      <c r="FH127" s="262"/>
      <c r="FI127" s="262"/>
      <c r="FJ127" s="262"/>
      <c r="FK127" s="262"/>
      <c r="FL127" s="262"/>
      <c r="FM127" s="262"/>
      <c r="FN127" s="262"/>
      <c r="FO127" s="262"/>
      <c r="FP127" s="262"/>
      <c r="FQ127" s="262"/>
      <c r="FR127" s="262"/>
      <c r="FS127" s="262"/>
      <c r="FT127" s="262"/>
      <c r="FU127" s="262"/>
      <c r="FV127" s="262"/>
      <c r="FW127" s="262"/>
      <c r="FX127" s="262"/>
      <c r="FY127" s="262"/>
      <c r="FZ127" s="262"/>
      <c r="GA127" s="262"/>
      <c r="GB127" s="262"/>
      <c r="GC127" s="262"/>
      <c r="GD127" s="262"/>
      <c r="GE127" s="262"/>
      <c r="GF127" s="262"/>
      <c r="GG127" s="262"/>
      <c r="GH127" s="262"/>
      <c r="GI127" s="262"/>
      <c r="GJ127" s="262"/>
      <c r="GK127" s="262"/>
      <c r="GL127" s="262"/>
      <c r="GM127" s="262"/>
      <c r="GN127" s="262"/>
      <c r="GO127" s="262"/>
      <c r="GP127" s="262"/>
      <c r="GQ127" s="262"/>
      <c r="GR127" s="262"/>
      <c r="GS127" s="262"/>
      <c r="GT127" s="262"/>
      <c r="GU127" s="262"/>
      <c r="GV127" s="262"/>
      <c r="GW127" s="262"/>
      <c r="GX127" s="262"/>
      <c r="GY127" s="262"/>
      <c r="GZ127" s="262"/>
      <c r="HA127" s="262"/>
      <c r="HB127" s="262"/>
      <c r="HC127" s="262"/>
      <c r="HD127" s="262"/>
      <c r="HE127" s="262"/>
      <c r="HF127" s="262"/>
      <c r="HG127" s="262"/>
      <c r="HH127" s="262"/>
      <c r="HI127" s="262"/>
      <c r="HJ127" s="262"/>
      <c r="HK127" s="262"/>
      <c r="HL127" s="262"/>
      <c r="HM127" s="262"/>
      <c r="HN127" s="262"/>
      <c r="HO127" s="262"/>
      <c r="HP127" s="262"/>
      <c r="HQ127" s="262"/>
      <c r="HR127" s="262"/>
      <c r="HS127" s="262"/>
      <c r="HT127" s="262"/>
      <c r="HU127" s="262"/>
      <c r="HV127" s="262"/>
      <c r="HW127" s="262"/>
      <c r="HX127" s="262"/>
      <c r="HY127" s="262"/>
      <c r="HZ127" s="262"/>
      <c r="IA127" s="262"/>
      <c r="IB127" s="262"/>
      <c r="IC127" s="262"/>
      <c r="ID127" s="262"/>
      <c r="IE127" s="262"/>
      <c r="IF127" s="262"/>
      <c r="IG127" s="262"/>
      <c r="IH127" s="262"/>
      <c r="II127" s="262"/>
      <c r="IJ127" s="262"/>
      <c r="IK127" s="262"/>
      <c r="IL127" s="262"/>
      <c r="IM127" s="262"/>
      <c r="IN127" s="262"/>
      <c r="IO127" s="262"/>
      <c r="IP127" s="262"/>
      <c r="IQ127" s="262"/>
      <c r="IR127" s="262"/>
      <c r="IS127" s="262"/>
      <c r="IT127" s="262"/>
      <c r="IU127" s="262"/>
      <c r="IV127" s="262"/>
      <c r="IW127" s="262"/>
      <c r="IX127" s="262"/>
      <c r="IY127" s="262"/>
      <c r="IZ127" s="262"/>
      <c r="JA127" s="262"/>
      <c r="JB127" s="262"/>
      <c r="JC127" s="262"/>
      <c r="JD127" s="262"/>
      <c r="JE127" s="262"/>
      <c r="JF127" s="262"/>
      <c r="JG127" s="262"/>
      <c r="JH127" s="262"/>
      <c r="JI127" s="262"/>
      <c r="JJ127" s="262"/>
      <c r="JK127" s="262"/>
      <c r="JL127" s="262"/>
      <c r="JM127" s="262"/>
      <c r="JN127" s="262"/>
      <c r="JO127" s="262"/>
      <c r="JP127" s="262"/>
      <c r="JQ127" s="262"/>
      <c r="JR127" s="262"/>
      <c r="JS127" s="262"/>
      <c r="JT127" s="262"/>
      <c r="JU127" s="262"/>
      <c r="JV127" s="262"/>
      <c r="JW127" s="262"/>
      <c r="JX127" s="262"/>
      <c r="JY127" s="262"/>
      <c r="JZ127" s="262"/>
      <c r="KA127" s="262"/>
      <c r="KB127" s="262"/>
      <c r="KC127" s="262"/>
      <c r="KD127" s="262"/>
      <c r="KE127" s="262"/>
      <c r="KF127" s="262"/>
      <c r="KG127" s="262"/>
      <c r="KH127" s="262"/>
      <c r="KI127" s="262"/>
      <c r="KJ127" s="262"/>
      <c r="KK127" s="262"/>
      <c r="KL127" s="262"/>
      <c r="KM127" s="262"/>
      <c r="KN127" s="262"/>
      <c r="KO127" s="262"/>
      <c r="KP127" s="262"/>
      <c r="KQ127" s="262"/>
      <c r="KR127" s="262"/>
      <c r="KS127" s="262"/>
      <c r="KT127" s="262"/>
      <c r="KU127" s="262"/>
      <c r="KV127" s="262"/>
      <c r="KW127" s="262"/>
      <c r="KX127" s="262"/>
      <c r="KY127" s="262"/>
      <c r="KZ127" s="262"/>
      <c r="LA127" s="262"/>
      <c r="LB127" s="262"/>
      <c r="LC127" s="262"/>
      <c r="LD127" s="262"/>
      <c r="LE127" s="262"/>
      <c r="LF127" s="262"/>
      <c r="LG127" s="262"/>
      <c r="LH127" s="262"/>
      <c r="LI127" s="262"/>
      <c r="LJ127" s="262"/>
      <c r="LK127" s="262"/>
      <c r="LL127" s="262"/>
      <c r="LM127" s="262"/>
      <c r="LN127" s="262"/>
      <c r="LO127" s="262"/>
      <c r="LP127" s="262"/>
      <c r="LQ127" s="262"/>
      <c r="LR127" s="262"/>
      <c r="LS127" s="262"/>
      <c r="LT127" s="262"/>
      <c r="LU127" s="262"/>
      <c r="LV127" s="262"/>
      <c r="LW127" s="262"/>
      <c r="LX127" s="262"/>
      <c r="LY127" s="262"/>
      <c r="LZ127" s="262"/>
      <c r="MA127" s="262"/>
      <c r="MB127" s="262"/>
      <c r="MC127" s="262"/>
      <c r="MD127" s="262"/>
      <c r="ME127" s="262"/>
      <c r="MF127" s="262"/>
      <c r="MG127" s="262"/>
      <c r="MH127" s="262"/>
      <c r="MI127" s="262"/>
      <c r="MJ127" s="262"/>
      <c r="MK127" s="262"/>
      <c r="ML127" s="262"/>
      <c r="MM127" s="262"/>
      <c r="MN127" s="262"/>
      <c r="MO127" s="262"/>
      <c r="MP127" s="262"/>
      <c r="MQ127" s="262"/>
      <c r="MR127" s="262"/>
      <c r="MS127" s="262"/>
      <c r="MT127" s="262"/>
      <c r="MU127" s="262"/>
      <c r="MV127" s="262"/>
      <c r="MW127" s="262"/>
      <c r="MX127" s="262"/>
      <c r="MY127" s="262"/>
      <c r="MZ127" s="262"/>
      <c r="NA127" s="262"/>
      <c r="NB127" s="262"/>
      <c r="NC127" s="262"/>
      <c r="ND127" s="262"/>
      <c r="NE127" s="262"/>
      <c r="NF127" s="262"/>
      <c r="NG127" s="262"/>
      <c r="NH127" s="262"/>
      <c r="NI127" s="262"/>
      <c r="NJ127" s="262"/>
      <c r="NK127" s="262"/>
      <c r="NL127" s="262"/>
      <c r="NM127" s="262"/>
      <c r="NN127" s="262"/>
      <c r="NO127" s="262"/>
      <c r="NP127" s="262"/>
      <c r="NQ127" s="262"/>
      <c r="NR127" s="262"/>
      <c r="NS127" s="262"/>
      <c r="NT127" s="262"/>
      <c r="NU127" s="262"/>
      <c r="NV127" s="262"/>
      <c r="NW127" s="262"/>
      <c r="NX127" s="262"/>
      <c r="NY127" s="262"/>
      <c r="NZ127" s="262"/>
      <c r="OA127" s="262"/>
      <c r="OB127" s="262"/>
      <c r="OC127" s="262"/>
      <c r="OD127" s="262"/>
      <c r="OE127" s="262"/>
      <c r="OF127" s="262"/>
      <c r="OG127" s="262"/>
      <c r="OH127" s="262"/>
      <c r="OI127" s="262"/>
      <c r="OJ127" s="262"/>
      <c r="OK127" s="262"/>
      <c r="OL127" s="262"/>
      <c r="OM127" s="262"/>
      <c r="ON127" s="262"/>
      <c r="OO127" s="262"/>
      <c r="OP127" s="262"/>
      <c r="OQ127" s="262"/>
      <c r="OR127" s="262"/>
      <c r="OS127" s="262"/>
      <c r="OT127" s="262"/>
      <c r="OU127" s="262"/>
      <c r="OV127" s="262"/>
      <c r="OW127" s="262"/>
      <c r="OX127" s="262"/>
      <c r="OY127" s="262"/>
      <c r="OZ127" s="262"/>
      <c r="PA127" s="262"/>
      <c r="PB127" s="262"/>
      <c r="PC127" s="262"/>
      <c r="PD127" s="262"/>
      <c r="PE127" s="262"/>
      <c r="PF127" s="262"/>
      <c r="PG127" s="262"/>
      <c r="PH127" s="262"/>
      <c r="PI127" s="262"/>
      <c r="PJ127" s="262"/>
      <c r="PK127" s="262"/>
      <c r="PL127" s="262"/>
      <c r="PM127" s="262"/>
      <c r="PN127" s="262"/>
      <c r="PO127" s="262"/>
      <c r="PP127" s="262"/>
      <c r="PQ127" s="262"/>
      <c r="PR127" s="262"/>
      <c r="PS127" s="262"/>
      <c r="PT127" s="262"/>
      <c r="PU127" s="262"/>
      <c r="PV127" s="262"/>
      <c r="PW127" s="262"/>
      <c r="PX127" s="262"/>
      <c r="PY127" s="262"/>
      <c r="PZ127" s="262"/>
      <c r="QA127" s="262"/>
      <c r="QB127" s="262"/>
      <c r="QC127" s="262"/>
      <c r="QD127" s="262"/>
      <c r="QE127" s="262"/>
      <c r="QF127" s="262"/>
      <c r="QG127" s="262"/>
      <c r="QH127" s="262"/>
      <c r="QI127" s="262"/>
      <c r="QJ127" s="262"/>
      <c r="QK127" s="262"/>
      <c r="QL127" s="262"/>
      <c r="QM127" s="262"/>
      <c r="QN127" s="262"/>
      <c r="QO127" s="262"/>
      <c r="QP127" s="262"/>
      <c r="QQ127" s="262"/>
      <c r="QR127" s="262"/>
      <c r="QS127" s="262"/>
      <c r="QT127" s="262"/>
      <c r="QU127" s="262"/>
      <c r="QV127" s="262"/>
      <c r="QW127" s="262"/>
      <c r="QX127" s="262"/>
      <c r="QY127" s="262"/>
      <c r="QZ127" s="262"/>
      <c r="RA127" s="262"/>
      <c r="RB127" s="262"/>
      <c r="RC127" s="262"/>
      <c r="RD127" s="262"/>
      <c r="RE127" s="262"/>
      <c r="RF127" s="262"/>
      <c r="RG127" s="262"/>
      <c r="RH127" s="262"/>
      <c r="RI127" s="262"/>
      <c r="RJ127" s="262"/>
      <c r="RK127" s="262"/>
      <c r="RL127" s="262"/>
      <c r="RM127" s="262"/>
      <c r="RN127" s="262"/>
      <c r="RO127" s="262"/>
      <c r="RP127" s="262"/>
      <c r="RQ127" s="262"/>
      <c r="RR127" s="262"/>
      <c r="RS127" s="262"/>
      <c r="RT127" s="262"/>
      <c r="RU127" s="262"/>
      <c r="RV127" s="262"/>
      <c r="RW127" s="262"/>
      <c r="RX127" s="262"/>
      <c r="RY127" s="262"/>
      <c r="RZ127" s="262"/>
      <c r="SA127" s="262"/>
      <c r="SB127" s="262"/>
      <c r="SC127" s="262"/>
      <c r="SD127" s="262"/>
      <c r="SE127" s="262"/>
      <c r="SF127" s="262"/>
      <c r="SG127" s="262"/>
      <c r="SH127" s="262"/>
      <c r="SI127" s="262"/>
      <c r="SJ127" s="262"/>
      <c r="SK127" s="262"/>
      <c r="SL127" s="262"/>
      <c r="SM127" s="262"/>
      <c r="SN127" s="262"/>
      <c r="SO127" s="262"/>
      <c r="SP127" s="262"/>
      <c r="SQ127" s="262"/>
      <c r="SR127" s="262"/>
      <c r="SS127" s="262"/>
      <c r="ST127" s="262"/>
      <c r="SU127" s="262"/>
      <c r="SV127" s="262"/>
      <c r="SW127" s="262"/>
      <c r="SX127" s="262"/>
      <c r="SY127" s="262"/>
      <c r="SZ127" s="262"/>
      <c r="TA127" s="262"/>
      <c r="TB127" s="262"/>
      <c r="TC127" s="262"/>
      <c r="TD127" s="262"/>
      <c r="TE127" s="262"/>
      <c r="TF127" s="262"/>
      <c r="TG127" s="262"/>
      <c r="TH127" s="262"/>
      <c r="TI127" s="262"/>
      <c r="TJ127" s="262"/>
      <c r="TK127" s="262"/>
      <c r="TL127" s="262"/>
      <c r="TM127" s="262"/>
      <c r="TN127" s="262"/>
      <c r="TO127" s="262"/>
      <c r="TP127" s="262"/>
      <c r="TQ127" s="262"/>
      <c r="TR127" s="262"/>
      <c r="TS127" s="262"/>
      <c r="TT127" s="262"/>
      <c r="TU127" s="262"/>
      <c r="TV127" s="262"/>
      <c r="TW127" s="262"/>
      <c r="TX127" s="262"/>
      <c r="TY127" s="262"/>
      <c r="TZ127" s="262"/>
      <c r="UA127" s="262"/>
      <c r="UB127" s="262"/>
      <c r="UC127" s="262"/>
      <c r="UD127" s="262"/>
      <c r="UE127" s="262"/>
      <c r="UF127" s="262"/>
      <c r="UG127" s="263"/>
    </row>
    <row r="128" spans="1:553" s="236" customFormat="1" ht="24.65" customHeight="1">
      <c r="A128" s="356" t="s">
        <v>30</v>
      </c>
      <c r="B128" s="385">
        <v>2</v>
      </c>
      <c r="C128" s="1451" t="s">
        <v>32</v>
      </c>
      <c r="D128" s="1389"/>
      <c r="E128" s="1389"/>
      <c r="F128" s="1390"/>
      <c r="G128" s="386" t="s">
        <v>33</v>
      </c>
      <c r="H128" s="370"/>
      <c r="I128" s="422">
        <f>-(6.7+2.2+4.6)*2*1.7</f>
        <v>-45.9</v>
      </c>
      <c r="J128" s="368">
        <v>52000</v>
      </c>
      <c r="K128" s="371"/>
      <c r="L128" s="391">
        <f t="shared" ref="L128:L129" si="29">I128*J128</f>
        <v>-2386800</v>
      </c>
      <c r="M128" s="395"/>
      <c r="N128" s="395"/>
      <c r="O128" s="366"/>
      <c r="P128" s="396"/>
      <c r="Q128" s="473"/>
      <c r="R128" s="1039"/>
      <c r="S128" s="308"/>
      <c r="T128" s="303"/>
      <c r="U128" s="306"/>
      <c r="V128" s="307"/>
      <c r="W128" s="307"/>
      <c r="X128" s="307"/>
      <c r="Y128" s="307"/>
      <c r="Z128" s="307"/>
      <c r="AA128" s="307"/>
      <c r="AB128" s="307"/>
      <c r="AC128" s="373"/>
      <c r="AD128" s="373"/>
      <c r="AE128" s="373"/>
      <c r="AF128" s="373"/>
      <c r="AG128" s="389"/>
      <c r="AH128" s="389"/>
      <c r="AI128" s="389"/>
      <c r="AJ128" s="389"/>
      <c r="AK128" s="389"/>
      <c r="AL128" s="246"/>
      <c r="AM128" s="246"/>
      <c r="AN128" s="246"/>
      <c r="AO128" s="246"/>
      <c r="AP128" s="246"/>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c r="CO128" s="247"/>
      <c r="CP128" s="247"/>
      <c r="CQ128" s="247"/>
      <c r="CR128" s="247"/>
      <c r="CS128" s="247"/>
      <c r="CT128" s="247"/>
      <c r="CU128" s="247"/>
      <c r="CV128" s="247"/>
      <c r="CW128" s="247"/>
      <c r="CX128" s="247"/>
      <c r="CY128" s="247"/>
      <c r="CZ128" s="247"/>
      <c r="DA128" s="247"/>
      <c r="DB128" s="247"/>
      <c r="DC128" s="247"/>
      <c r="DD128" s="247"/>
      <c r="DE128" s="247"/>
      <c r="DF128" s="247"/>
      <c r="DG128" s="247"/>
      <c r="DH128" s="247"/>
      <c r="DI128" s="247"/>
      <c r="DJ128" s="247"/>
      <c r="DK128" s="247"/>
      <c r="DL128" s="247"/>
      <c r="DM128" s="247"/>
      <c r="DN128" s="247"/>
      <c r="DO128" s="247"/>
      <c r="DP128" s="247"/>
      <c r="DQ128" s="247"/>
      <c r="DR128" s="247"/>
      <c r="DS128" s="247"/>
      <c r="DT128" s="247"/>
      <c r="DU128" s="247"/>
      <c r="DV128" s="247"/>
      <c r="DW128" s="247"/>
      <c r="DX128" s="247"/>
      <c r="DY128" s="247"/>
      <c r="DZ128" s="247"/>
      <c r="EA128" s="247"/>
      <c r="EB128" s="247"/>
      <c r="EC128" s="247"/>
      <c r="ED128" s="247"/>
      <c r="EE128" s="247"/>
      <c r="EF128" s="247"/>
      <c r="EG128" s="247"/>
      <c r="EH128" s="247"/>
      <c r="EI128" s="247"/>
      <c r="EJ128" s="247"/>
      <c r="EK128" s="247"/>
      <c r="EL128" s="247"/>
      <c r="EM128" s="247"/>
      <c r="EN128" s="247"/>
      <c r="EO128" s="247"/>
      <c r="EP128" s="247"/>
      <c r="EQ128" s="247"/>
      <c r="ER128" s="247"/>
      <c r="ES128" s="247"/>
      <c r="ET128" s="247"/>
      <c r="EU128" s="247"/>
      <c r="EV128" s="247"/>
      <c r="EW128" s="247"/>
      <c r="EX128" s="247"/>
      <c r="EY128" s="247"/>
      <c r="EZ128" s="247"/>
      <c r="FA128" s="247"/>
      <c r="FB128" s="247"/>
      <c r="FC128" s="247"/>
      <c r="FD128" s="247"/>
      <c r="FE128" s="247"/>
      <c r="FF128" s="247"/>
      <c r="FG128" s="247"/>
      <c r="FH128" s="247"/>
      <c r="FI128" s="247"/>
      <c r="FJ128" s="247"/>
      <c r="FK128" s="247"/>
      <c r="FL128" s="247"/>
      <c r="FM128" s="247"/>
      <c r="FN128" s="247"/>
      <c r="FO128" s="247"/>
      <c r="FP128" s="247"/>
      <c r="FQ128" s="247"/>
      <c r="FR128" s="247"/>
      <c r="FS128" s="247"/>
      <c r="FT128" s="247"/>
      <c r="FU128" s="247"/>
      <c r="FV128" s="247"/>
      <c r="FW128" s="247"/>
      <c r="FX128" s="247"/>
      <c r="FY128" s="247"/>
      <c r="FZ128" s="247"/>
      <c r="GA128" s="247"/>
      <c r="GB128" s="247"/>
      <c r="GC128" s="247"/>
      <c r="GD128" s="247"/>
      <c r="GE128" s="247"/>
      <c r="GF128" s="247"/>
      <c r="GG128" s="247"/>
      <c r="GH128" s="247"/>
      <c r="GI128" s="247"/>
      <c r="GJ128" s="247"/>
      <c r="GK128" s="247"/>
      <c r="GL128" s="247"/>
      <c r="GM128" s="247"/>
      <c r="GN128" s="247"/>
      <c r="GO128" s="247"/>
      <c r="GP128" s="247"/>
      <c r="GQ128" s="247"/>
      <c r="GR128" s="247"/>
      <c r="GS128" s="247"/>
      <c r="GT128" s="247"/>
      <c r="GU128" s="247"/>
      <c r="GV128" s="247"/>
      <c r="GW128" s="247"/>
      <c r="GX128" s="247"/>
      <c r="GY128" s="247"/>
      <c r="GZ128" s="247"/>
      <c r="HA128" s="247"/>
      <c r="HB128" s="247"/>
      <c r="HC128" s="247"/>
      <c r="HD128" s="247"/>
      <c r="HE128" s="247"/>
      <c r="HF128" s="247"/>
      <c r="HG128" s="247"/>
      <c r="HH128" s="247"/>
      <c r="HI128" s="247"/>
      <c r="HJ128" s="247"/>
      <c r="HK128" s="247"/>
      <c r="HL128" s="247"/>
      <c r="HM128" s="247"/>
      <c r="HN128" s="247"/>
      <c r="HO128" s="247"/>
      <c r="HP128" s="247"/>
      <c r="HQ128" s="247"/>
      <c r="HR128" s="247"/>
      <c r="HS128" s="247"/>
      <c r="HT128" s="247"/>
      <c r="HU128" s="247"/>
      <c r="HV128" s="247"/>
      <c r="HW128" s="247"/>
      <c r="HX128" s="247"/>
      <c r="HY128" s="247"/>
      <c r="HZ128" s="247"/>
      <c r="IA128" s="247"/>
      <c r="IB128" s="247"/>
      <c r="IC128" s="247"/>
      <c r="ID128" s="247"/>
      <c r="IE128" s="247"/>
      <c r="IF128" s="247"/>
      <c r="IG128" s="247"/>
      <c r="IH128" s="247"/>
      <c r="II128" s="247"/>
      <c r="IJ128" s="247"/>
      <c r="IK128" s="247"/>
      <c r="IL128" s="247"/>
      <c r="IM128" s="247"/>
      <c r="IN128" s="247"/>
      <c r="IO128" s="247"/>
      <c r="IP128" s="247"/>
      <c r="IQ128" s="247"/>
      <c r="IR128" s="247"/>
      <c r="IS128" s="247"/>
      <c r="IT128" s="247"/>
      <c r="IU128" s="247"/>
      <c r="IV128" s="247"/>
      <c r="IW128" s="247"/>
      <c r="IX128" s="247"/>
      <c r="IY128" s="247"/>
      <c r="IZ128" s="247"/>
      <c r="JA128" s="247"/>
      <c r="JB128" s="247"/>
      <c r="JC128" s="247"/>
      <c r="JD128" s="247"/>
      <c r="JE128" s="247"/>
      <c r="JF128" s="247"/>
      <c r="JG128" s="247"/>
      <c r="JH128" s="247"/>
      <c r="JI128" s="247"/>
      <c r="JJ128" s="247"/>
      <c r="JK128" s="247"/>
      <c r="JL128" s="247"/>
      <c r="JM128" s="247"/>
      <c r="JN128" s="247"/>
      <c r="JO128" s="247"/>
      <c r="JP128" s="247"/>
      <c r="JQ128" s="247"/>
      <c r="JR128" s="247"/>
      <c r="JS128" s="247"/>
      <c r="JT128" s="247"/>
      <c r="JU128" s="247"/>
      <c r="JV128" s="247"/>
      <c r="JW128" s="247"/>
      <c r="JX128" s="247"/>
      <c r="JY128" s="247"/>
      <c r="JZ128" s="247"/>
      <c r="KA128" s="247"/>
      <c r="KB128" s="247"/>
      <c r="KC128" s="247"/>
      <c r="KD128" s="247"/>
      <c r="KE128" s="247"/>
      <c r="KF128" s="247"/>
      <c r="KG128" s="247"/>
      <c r="KH128" s="247"/>
      <c r="KI128" s="247"/>
      <c r="KJ128" s="247"/>
      <c r="KK128" s="247"/>
      <c r="KL128" s="247"/>
      <c r="KM128" s="247"/>
      <c r="KN128" s="247"/>
      <c r="KO128" s="247"/>
      <c r="KP128" s="247"/>
      <c r="KQ128" s="247"/>
      <c r="KR128" s="247"/>
      <c r="KS128" s="247"/>
      <c r="KT128" s="247"/>
      <c r="KU128" s="247"/>
      <c r="KV128" s="247"/>
      <c r="KW128" s="247"/>
      <c r="KX128" s="247"/>
      <c r="KY128" s="247"/>
      <c r="KZ128" s="247"/>
      <c r="LA128" s="247"/>
      <c r="LB128" s="247"/>
      <c r="LC128" s="247"/>
      <c r="LD128" s="247"/>
      <c r="LE128" s="247"/>
      <c r="LF128" s="247"/>
      <c r="LG128" s="247"/>
      <c r="LH128" s="247"/>
      <c r="LI128" s="247"/>
      <c r="LJ128" s="247"/>
      <c r="LK128" s="247"/>
      <c r="LL128" s="247"/>
      <c r="LM128" s="247"/>
      <c r="LN128" s="247"/>
      <c r="LO128" s="247"/>
      <c r="LP128" s="247"/>
      <c r="LQ128" s="247"/>
      <c r="LR128" s="247"/>
      <c r="LS128" s="247"/>
      <c r="LT128" s="247"/>
      <c r="LU128" s="247"/>
      <c r="LV128" s="247"/>
      <c r="LW128" s="247"/>
      <c r="LX128" s="247"/>
      <c r="LY128" s="247"/>
      <c r="LZ128" s="247"/>
      <c r="MA128" s="247"/>
      <c r="MB128" s="247"/>
      <c r="MC128" s="247"/>
      <c r="MD128" s="247"/>
      <c r="ME128" s="247"/>
      <c r="MF128" s="247"/>
      <c r="MG128" s="247"/>
      <c r="MH128" s="247"/>
      <c r="MI128" s="247"/>
      <c r="MJ128" s="247"/>
      <c r="MK128" s="247"/>
      <c r="ML128" s="247"/>
      <c r="MM128" s="247"/>
      <c r="MN128" s="247"/>
      <c r="MO128" s="247"/>
      <c r="MP128" s="247"/>
      <c r="MQ128" s="247"/>
      <c r="MR128" s="247"/>
      <c r="MS128" s="247"/>
      <c r="MT128" s="247"/>
      <c r="MU128" s="247"/>
      <c r="MV128" s="247"/>
      <c r="MW128" s="247"/>
      <c r="MX128" s="247"/>
      <c r="MY128" s="247"/>
      <c r="MZ128" s="247"/>
      <c r="NA128" s="247"/>
      <c r="NB128" s="247"/>
      <c r="NC128" s="247"/>
      <c r="ND128" s="247"/>
      <c r="NE128" s="247"/>
      <c r="NF128" s="247"/>
      <c r="NG128" s="247"/>
      <c r="NH128" s="247"/>
      <c r="NI128" s="247"/>
      <c r="NJ128" s="247"/>
      <c r="NK128" s="247"/>
      <c r="NL128" s="247"/>
      <c r="NM128" s="247"/>
      <c r="NN128" s="247"/>
      <c r="NO128" s="247"/>
      <c r="NP128" s="247"/>
      <c r="NQ128" s="247"/>
      <c r="NR128" s="247"/>
      <c r="NS128" s="247"/>
      <c r="NT128" s="247"/>
      <c r="NU128" s="247"/>
      <c r="NV128" s="247"/>
      <c r="NW128" s="247"/>
      <c r="NX128" s="247"/>
      <c r="NY128" s="247"/>
      <c r="NZ128" s="247"/>
      <c r="OA128" s="247"/>
      <c r="OB128" s="247"/>
      <c r="OC128" s="247"/>
      <c r="OD128" s="247"/>
      <c r="OE128" s="247"/>
      <c r="OF128" s="247"/>
      <c r="OG128" s="247"/>
      <c r="OH128" s="247"/>
      <c r="OI128" s="247"/>
      <c r="OJ128" s="247"/>
      <c r="OK128" s="247"/>
      <c r="OL128" s="247"/>
      <c r="OM128" s="247"/>
      <c r="ON128" s="247"/>
      <c r="OO128" s="247"/>
      <c r="OP128" s="247"/>
      <c r="OQ128" s="247"/>
      <c r="OR128" s="247"/>
      <c r="OS128" s="247"/>
      <c r="OT128" s="247"/>
      <c r="OU128" s="247"/>
      <c r="OV128" s="247"/>
      <c r="OW128" s="247"/>
      <c r="OX128" s="247"/>
      <c r="OY128" s="247"/>
      <c r="OZ128" s="247"/>
      <c r="PA128" s="247"/>
      <c r="PB128" s="247"/>
      <c r="PC128" s="247"/>
      <c r="PD128" s="247"/>
      <c r="PE128" s="247"/>
      <c r="PF128" s="247"/>
      <c r="PG128" s="247"/>
      <c r="PH128" s="247"/>
      <c r="PI128" s="247"/>
      <c r="PJ128" s="247"/>
      <c r="PK128" s="247"/>
      <c r="PL128" s="247"/>
      <c r="PM128" s="247"/>
      <c r="PN128" s="247"/>
      <c r="PO128" s="247"/>
      <c r="PP128" s="247"/>
      <c r="PQ128" s="247"/>
      <c r="PR128" s="247"/>
      <c r="PS128" s="247"/>
      <c r="PT128" s="247"/>
      <c r="PU128" s="247"/>
      <c r="PV128" s="247"/>
      <c r="PW128" s="247"/>
      <c r="PX128" s="247"/>
      <c r="PY128" s="247"/>
      <c r="PZ128" s="247"/>
      <c r="QA128" s="247"/>
      <c r="QB128" s="247"/>
      <c r="QC128" s="247"/>
      <c r="QD128" s="247"/>
      <c r="QE128" s="247"/>
      <c r="QF128" s="247"/>
      <c r="QG128" s="247"/>
      <c r="QH128" s="247"/>
      <c r="QI128" s="247"/>
      <c r="QJ128" s="247"/>
      <c r="QK128" s="247"/>
      <c r="QL128" s="247"/>
      <c r="QM128" s="247"/>
      <c r="QN128" s="247"/>
      <c r="QO128" s="247"/>
      <c r="QP128" s="247"/>
      <c r="QQ128" s="247"/>
      <c r="QR128" s="247"/>
      <c r="QS128" s="247"/>
      <c r="QT128" s="247"/>
      <c r="QU128" s="247"/>
      <c r="QV128" s="247"/>
      <c r="QW128" s="247"/>
      <c r="QX128" s="247"/>
      <c r="QY128" s="247"/>
      <c r="QZ128" s="247"/>
      <c r="RA128" s="247"/>
      <c r="RB128" s="247"/>
      <c r="RC128" s="247"/>
      <c r="RD128" s="247"/>
      <c r="RE128" s="247"/>
      <c r="RF128" s="247"/>
      <c r="RG128" s="247"/>
      <c r="RH128" s="247"/>
      <c r="RI128" s="247"/>
      <c r="RJ128" s="247"/>
      <c r="RK128" s="247"/>
      <c r="RL128" s="247"/>
      <c r="RM128" s="247"/>
      <c r="RN128" s="247"/>
      <c r="RO128" s="247"/>
      <c r="RP128" s="247"/>
      <c r="RQ128" s="247"/>
      <c r="RR128" s="247"/>
      <c r="RS128" s="247"/>
      <c r="RT128" s="247"/>
      <c r="RU128" s="247"/>
      <c r="RV128" s="247"/>
      <c r="RW128" s="247"/>
      <c r="RX128" s="247"/>
      <c r="RY128" s="247"/>
      <c r="RZ128" s="247"/>
      <c r="SA128" s="247"/>
      <c r="SB128" s="247"/>
      <c r="SC128" s="247"/>
      <c r="SD128" s="247"/>
      <c r="SE128" s="247"/>
      <c r="SF128" s="247"/>
      <c r="SG128" s="247"/>
      <c r="SH128" s="247"/>
      <c r="SI128" s="247"/>
      <c r="SJ128" s="247"/>
      <c r="SK128" s="247"/>
      <c r="SL128" s="247"/>
      <c r="SM128" s="247"/>
      <c r="SN128" s="247"/>
      <c r="SO128" s="247"/>
      <c r="SP128" s="247"/>
      <c r="SQ128" s="247"/>
      <c r="SR128" s="247"/>
      <c r="SS128" s="247"/>
      <c r="ST128" s="247"/>
      <c r="SU128" s="247"/>
      <c r="SV128" s="247"/>
      <c r="SW128" s="247"/>
      <c r="SX128" s="247"/>
      <c r="SY128" s="247"/>
      <c r="SZ128" s="247"/>
      <c r="TA128" s="247"/>
      <c r="TB128" s="247"/>
      <c r="TC128" s="247"/>
      <c r="TD128" s="247"/>
      <c r="TE128" s="247"/>
      <c r="TF128" s="247"/>
      <c r="TG128" s="247"/>
      <c r="TH128" s="247"/>
      <c r="TI128" s="247"/>
      <c r="TJ128" s="247"/>
      <c r="TK128" s="247"/>
      <c r="TL128" s="247"/>
      <c r="TM128" s="247"/>
      <c r="TN128" s="247"/>
      <c r="TO128" s="247"/>
      <c r="TP128" s="247"/>
      <c r="TQ128" s="247"/>
      <c r="TR128" s="247"/>
      <c r="TS128" s="247"/>
      <c r="TT128" s="247"/>
      <c r="TU128" s="247"/>
      <c r="TV128" s="247"/>
      <c r="TW128" s="247"/>
      <c r="TX128" s="247"/>
      <c r="TY128" s="247"/>
      <c r="TZ128" s="247"/>
      <c r="UA128" s="247"/>
      <c r="UB128" s="247"/>
      <c r="UC128" s="247"/>
      <c r="UD128" s="247"/>
      <c r="UE128" s="247"/>
      <c r="UF128" s="247"/>
      <c r="UG128" s="235"/>
    </row>
    <row r="129" spans="1:553" s="236" customFormat="1" ht="24" customHeight="1">
      <c r="A129" s="356" t="s">
        <v>30</v>
      </c>
      <c r="B129" s="385">
        <v>5</v>
      </c>
      <c r="C129" s="1451" t="s">
        <v>864</v>
      </c>
      <c r="D129" s="1389"/>
      <c r="E129" s="1389"/>
      <c r="F129" s="1390"/>
      <c r="G129" s="386" t="s">
        <v>33</v>
      </c>
      <c r="H129" s="370"/>
      <c r="I129" s="422">
        <f>-(6.7+2.2+4.6)*2*1.7</f>
        <v>-45.9</v>
      </c>
      <c r="J129" s="368">
        <v>41700</v>
      </c>
      <c r="K129" s="371"/>
      <c r="L129" s="391">
        <f t="shared" si="29"/>
        <v>-1914030</v>
      </c>
      <c r="M129" s="395"/>
      <c r="N129" s="395"/>
      <c r="O129" s="366"/>
      <c r="P129" s="396"/>
      <c r="Q129" s="473"/>
      <c r="R129" s="1039"/>
      <c r="S129" s="308"/>
      <c r="T129" s="303"/>
      <c r="U129" s="306"/>
      <c r="V129" s="307"/>
      <c r="W129" s="307"/>
      <c r="X129" s="307"/>
      <c r="Y129" s="307"/>
      <c r="Z129" s="307"/>
      <c r="AA129" s="307"/>
      <c r="AB129" s="307"/>
      <c r="AC129" s="373"/>
      <c r="AD129" s="373"/>
      <c r="AE129" s="373"/>
      <c r="AF129" s="373"/>
      <c r="AG129" s="389"/>
      <c r="AH129" s="389"/>
      <c r="AI129" s="389"/>
      <c r="AJ129" s="389"/>
      <c r="AK129" s="389"/>
      <c r="AL129" s="246"/>
      <c r="AM129" s="246"/>
      <c r="AN129" s="246"/>
      <c r="AO129" s="246"/>
      <c r="AP129" s="246"/>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47"/>
      <c r="DQ129" s="247"/>
      <c r="DR129" s="247"/>
      <c r="DS129" s="247"/>
      <c r="DT129" s="247"/>
      <c r="DU129" s="247"/>
      <c r="DV129" s="247"/>
      <c r="DW129" s="247"/>
      <c r="DX129" s="247"/>
      <c r="DY129" s="247"/>
      <c r="DZ129" s="247"/>
      <c r="EA129" s="247"/>
      <c r="EB129" s="247"/>
      <c r="EC129" s="247"/>
      <c r="ED129" s="247"/>
      <c r="EE129" s="247"/>
      <c r="EF129" s="247"/>
      <c r="EG129" s="247"/>
      <c r="EH129" s="247"/>
      <c r="EI129" s="247"/>
      <c r="EJ129" s="247"/>
      <c r="EK129" s="247"/>
      <c r="EL129" s="247"/>
      <c r="EM129" s="247"/>
      <c r="EN129" s="247"/>
      <c r="EO129" s="247"/>
      <c r="EP129" s="247"/>
      <c r="EQ129" s="247"/>
      <c r="ER129" s="247"/>
      <c r="ES129" s="247"/>
      <c r="ET129" s="247"/>
      <c r="EU129" s="247"/>
      <c r="EV129" s="247"/>
      <c r="EW129" s="247"/>
      <c r="EX129" s="247"/>
      <c r="EY129" s="247"/>
      <c r="EZ129" s="247"/>
      <c r="FA129" s="247"/>
      <c r="FB129" s="247"/>
      <c r="FC129" s="247"/>
      <c r="FD129" s="247"/>
      <c r="FE129" s="247"/>
      <c r="FF129" s="247"/>
      <c r="FG129" s="247"/>
      <c r="FH129" s="247"/>
      <c r="FI129" s="247"/>
      <c r="FJ129" s="247"/>
      <c r="FK129" s="247"/>
      <c r="FL129" s="247"/>
      <c r="FM129" s="247"/>
      <c r="FN129" s="247"/>
      <c r="FO129" s="247"/>
      <c r="FP129" s="247"/>
      <c r="FQ129" s="247"/>
      <c r="FR129" s="247"/>
      <c r="FS129" s="247"/>
      <c r="FT129" s="247"/>
      <c r="FU129" s="247"/>
      <c r="FV129" s="247"/>
      <c r="FW129" s="247"/>
      <c r="FX129" s="247"/>
      <c r="FY129" s="247"/>
      <c r="FZ129" s="247"/>
      <c r="GA129" s="247"/>
      <c r="GB129" s="247"/>
      <c r="GC129" s="247"/>
      <c r="GD129" s="247"/>
      <c r="GE129" s="247"/>
      <c r="GF129" s="247"/>
      <c r="GG129" s="247"/>
      <c r="GH129" s="247"/>
      <c r="GI129" s="247"/>
      <c r="GJ129" s="247"/>
      <c r="GK129" s="247"/>
      <c r="GL129" s="247"/>
      <c r="GM129" s="247"/>
      <c r="GN129" s="247"/>
      <c r="GO129" s="247"/>
      <c r="GP129" s="247"/>
      <c r="GQ129" s="247"/>
      <c r="GR129" s="247"/>
      <c r="GS129" s="247"/>
      <c r="GT129" s="247"/>
      <c r="GU129" s="247"/>
      <c r="GV129" s="247"/>
      <c r="GW129" s="247"/>
      <c r="GX129" s="247"/>
      <c r="GY129" s="247"/>
      <c r="GZ129" s="247"/>
      <c r="HA129" s="247"/>
      <c r="HB129" s="247"/>
      <c r="HC129" s="247"/>
      <c r="HD129" s="247"/>
      <c r="HE129" s="247"/>
      <c r="HF129" s="247"/>
      <c r="HG129" s="247"/>
      <c r="HH129" s="247"/>
      <c r="HI129" s="247"/>
      <c r="HJ129" s="247"/>
      <c r="HK129" s="247"/>
      <c r="HL129" s="247"/>
      <c r="HM129" s="247"/>
      <c r="HN129" s="247"/>
      <c r="HO129" s="247"/>
      <c r="HP129" s="247"/>
      <c r="HQ129" s="247"/>
      <c r="HR129" s="247"/>
      <c r="HS129" s="247"/>
      <c r="HT129" s="247"/>
      <c r="HU129" s="247"/>
      <c r="HV129" s="247"/>
      <c r="HW129" s="247"/>
      <c r="HX129" s="247"/>
      <c r="HY129" s="247"/>
      <c r="HZ129" s="247"/>
      <c r="IA129" s="247"/>
      <c r="IB129" s="247"/>
      <c r="IC129" s="247"/>
      <c r="ID129" s="247"/>
      <c r="IE129" s="247"/>
      <c r="IF129" s="247"/>
      <c r="IG129" s="247"/>
      <c r="IH129" s="247"/>
      <c r="II129" s="247"/>
      <c r="IJ129" s="247"/>
      <c r="IK129" s="247"/>
      <c r="IL129" s="247"/>
      <c r="IM129" s="247"/>
      <c r="IN129" s="247"/>
      <c r="IO129" s="247"/>
      <c r="IP129" s="247"/>
      <c r="IQ129" s="247"/>
      <c r="IR129" s="247"/>
      <c r="IS129" s="247"/>
      <c r="IT129" s="247"/>
      <c r="IU129" s="247"/>
      <c r="IV129" s="247"/>
      <c r="IW129" s="247"/>
      <c r="IX129" s="247"/>
      <c r="IY129" s="247"/>
      <c r="IZ129" s="247"/>
      <c r="JA129" s="247"/>
      <c r="JB129" s="247"/>
      <c r="JC129" s="247"/>
      <c r="JD129" s="247"/>
      <c r="JE129" s="247"/>
      <c r="JF129" s="247"/>
      <c r="JG129" s="247"/>
      <c r="JH129" s="247"/>
      <c r="JI129" s="247"/>
      <c r="JJ129" s="247"/>
      <c r="JK129" s="247"/>
      <c r="JL129" s="247"/>
      <c r="JM129" s="247"/>
      <c r="JN129" s="247"/>
      <c r="JO129" s="247"/>
      <c r="JP129" s="247"/>
      <c r="JQ129" s="247"/>
      <c r="JR129" s="247"/>
      <c r="JS129" s="247"/>
      <c r="JT129" s="247"/>
      <c r="JU129" s="247"/>
      <c r="JV129" s="247"/>
      <c r="JW129" s="247"/>
      <c r="JX129" s="247"/>
      <c r="JY129" s="247"/>
      <c r="JZ129" s="247"/>
      <c r="KA129" s="247"/>
      <c r="KB129" s="247"/>
      <c r="KC129" s="247"/>
      <c r="KD129" s="247"/>
      <c r="KE129" s="247"/>
      <c r="KF129" s="247"/>
      <c r="KG129" s="247"/>
      <c r="KH129" s="247"/>
      <c r="KI129" s="247"/>
      <c r="KJ129" s="247"/>
      <c r="KK129" s="247"/>
      <c r="KL129" s="247"/>
      <c r="KM129" s="247"/>
      <c r="KN129" s="247"/>
      <c r="KO129" s="247"/>
      <c r="KP129" s="247"/>
      <c r="KQ129" s="247"/>
      <c r="KR129" s="247"/>
      <c r="KS129" s="247"/>
      <c r="KT129" s="247"/>
      <c r="KU129" s="247"/>
      <c r="KV129" s="247"/>
      <c r="KW129" s="247"/>
      <c r="KX129" s="247"/>
      <c r="KY129" s="247"/>
      <c r="KZ129" s="247"/>
      <c r="LA129" s="247"/>
      <c r="LB129" s="247"/>
      <c r="LC129" s="247"/>
      <c r="LD129" s="247"/>
      <c r="LE129" s="247"/>
      <c r="LF129" s="247"/>
      <c r="LG129" s="247"/>
      <c r="LH129" s="247"/>
      <c r="LI129" s="247"/>
      <c r="LJ129" s="247"/>
      <c r="LK129" s="247"/>
      <c r="LL129" s="247"/>
      <c r="LM129" s="247"/>
      <c r="LN129" s="247"/>
      <c r="LO129" s="247"/>
      <c r="LP129" s="247"/>
      <c r="LQ129" s="247"/>
      <c r="LR129" s="247"/>
      <c r="LS129" s="247"/>
      <c r="LT129" s="247"/>
      <c r="LU129" s="247"/>
      <c r="LV129" s="247"/>
      <c r="LW129" s="247"/>
      <c r="LX129" s="247"/>
      <c r="LY129" s="247"/>
      <c r="LZ129" s="247"/>
      <c r="MA129" s="247"/>
      <c r="MB129" s="247"/>
      <c r="MC129" s="247"/>
      <c r="MD129" s="247"/>
      <c r="ME129" s="247"/>
      <c r="MF129" s="247"/>
      <c r="MG129" s="247"/>
      <c r="MH129" s="247"/>
      <c r="MI129" s="247"/>
      <c r="MJ129" s="247"/>
      <c r="MK129" s="247"/>
      <c r="ML129" s="247"/>
      <c r="MM129" s="247"/>
      <c r="MN129" s="247"/>
      <c r="MO129" s="247"/>
      <c r="MP129" s="247"/>
      <c r="MQ129" s="247"/>
      <c r="MR129" s="247"/>
      <c r="MS129" s="247"/>
      <c r="MT129" s="247"/>
      <c r="MU129" s="247"/>
      <c r="MV129" s="247"/>
      <c r="MW129" s="247"/>
      <c r="MX129" s="247"/>
      <c r="MY129" s="247"/>
      <c r="MZ129" s="247"/>
      <c r="NA129" s="247"/>
      <c r="NB129" s="247"/>
      <c r="NC129" s="247"/>
      <c r="ND129" s="247"/>
      <c r="NE129" s="247"/>
      <c r="NF129" s="247"/>
      <c r="NG129" s="247"/>
      <c r="NH129" s="247"/>
      <c r="NI129" s="247"/>
      <c r="NJ129" s="247"/>
      <c r="NK129" s="247"/>
      <c r="NL129" s="247"/>
      <c r="NM129" s="247"/>
      <c r="NN129" s="247"/>
      <c r="NO129" s="247"/>
      <c r="NP129" s="247"/>
      <c r="NQ129" s="247"/>
      <c r="NR129" s="247"/>
      <c r="NS129" s="247"/>
      <c r="NT129" s="247"/>
      <c r="NU129" s="247"/>
      <c r="NV129" s="247"/>
      <c r="NW129" s="247"/>
      <c r="NX129" s="247"/>
      <c r="NY129" s="247"/>
      <c r="NZ129" s="247"/>
      <c r="OA129" s="247"/>
      <c r="OB129" s="247"/>
      <c r="OC129" s="247"/>
      <c r="OD129" s="247"/>
      <c r="OE129" s="247"/>
      <c r="OF129" s="247"/>
      <c r="OG129" s="247"/>
      <c r="OH129" s="247"/>
      <c r="OI129" s="247"/>
      <c r="OJ129" s="247"/>
      <c r="OK129" s="247"/>
      <c r="OL129" s="247"/>
      <c r="OM129" s="247"/>
      <c r="ON129" s="247"/>
      <c r="OO129" s="247"/>
      <c r="OP129" s="247"/>
      <c r="OQ129" s="247"/>
      <c r="OR129" s="247"/>
      <c r="OS129" s="247"/>
      <c r="OT129" s="247"/>
      <c r="OU129" s="247"/>
      <c r="OV129" s="247"/>
      <c r="OW129" s="247"/>
      <c r="OX129" s="247"/>
      <c r="OY129" s="247"/>
      <c r="OZ129" s="247"/>
      <c r="PA129" s="247"/>
      <c r="PB129" s="247"/>
      <c r="PC129" s="247"/>
      <c r="PD129" s="247"/>
      <c r="PE129" s="247"/>
      <c r="PF129" s="247"/>
      <c r="PG129" s="247"/>
      <c r="PH129" s="247"/>
      <c r="PI129" s="247"/>
      <c r="PJ129" s="247"/>
      <c r="PK129" s="247"/>
      <c r="PL129" s="247"/>
      <c r="PM129" s="247"/>
      <c r="PN129" s="247"/>
      <c r="PO129" s="247"/>
      <c r="PP129" s="247"/>
      <c r="PQ129" s="247"/>
      <c r="PR129" s="247"/>
      <c r="PS129" s="247"/>
      <c r="PT129" s="247"/>
      <c r="PU129" s="247"/>
      <c r="PV129" s="247"/>
      <c r="PW129" s="247"/>
      <c r="PX129" s="247"/>
      <c r="PY129" s="247"/>
      <c r="PZ129" s="247"/>
      <c r="QA129" s="247"/>
      <c r="QB129" s="247"/>
      <c r="QC129" s="247"/>
      <c r="QD129" s="247"/>
      <c r="QE129" s="247"/>
      <c r="QF129" s="247"/>
      <c r="QG129" s="247"/>
      <c r="QH129" s="247"/>
      <c r="QI129" s="247"/>
      <c r="QJ129" s="247"/>
      <c r="QK129" s="247"/>
      <c r="QL129" s="247"/>
      <c r="QM129" s="247"/>
      <c r="QN129" s="247"/>
      <c r="QO129" s="247"/>
      <c r="QP129" s="247"/>
      <c r="QQ129" s="247"/>
      <c r="QR129" s="247"/>
      <c r="QS129" s="247"/>
      <c r="QT129" s="247"/>
      <c r="QU129" s="247"/>
      <c r="QV129" s="247"/>
      <c r="QW129" s="247"/>
      <c r="QX129" s="247"/>
      <c r="QY129" s="247"/>
      <c r="QZ129" s="247"/>
      <c r="RA129" s="247"/>
      <c r="RB129" s="247"/>
      <c r="RC129" s="247"/>
      <c r="RD129" s="247"/>
      <c r="RE129" s="247"/>
      <c r="RF129" s="247"/>
      <c r="RG129" s="247"/>
      <c r="RH129" s="247"/>
      <c r="RI129" s="247"/>
      <c r="RJ129" s="247"/>
      <c r="RK129" s="247"/>
      <c r="RL129" s="247"/>
      <c r="RM129" s="247"/>
      <c r="RN129" s="247"/>
      <c r="RO129" s="247"/>
      <c r="RP129" s="247"/>
      <c r="RQ129" s="247"/>
      <c r="RR129" s="247"/>
      <c r="RS129" s="247"/>
      <c r="RT129" s="247"/>
      <c r="RU129" s="247"/>
      <c r="RV129" s="247"/>
      <c r="RW129" s="247"/>
      <c r="RX129" s="247"/>
      <c r="RY129" s="247"/>
      <c r="RZ129" s="247"/>
      <c r="SA129" s="247"/>
      <c r="SB129" s="247"/>
      <c r="SC129" s="247"/>
      <c r="SD129" s="247"/>
      <c r="SE129" s="247"/>
      <c r="SF129" s="247"/>
      <c r="SG129" s="247"/>
      <c r="SH129" s="247"/>
      <c r="SI129" s="247"/>
      <c r="SJ129" s="247"/>
      <c r="SK129" s="247"/>
      <c r="SL129" s="247"/>
      <c r="SM129" s="247"/>
      <c r="SN129" s="247"/>
      <c r="SO129" s="247"/>
      <c r="SP129" s="247"/>
      <c r="SQ129" s="247"/>
      <c r="SR129" s="247"/>
      <c r="SS129" s="247"/>
      <c r="ST129" s="247"/>
      <c r="SU129" s="247"/>
      <c r="SV129" s="247"/>
      <c r="SW129" s="247"/>
      <c r="SX129" s="247"/>
      <c r="SY129" s="247"/>
      <c r="SZ129" s="247"/>
      <c r="TA129" s="247"/>
      <c r="TB129" s="247"/>
      <c r="TC129" s="247"/>
      <c r="TD129" s="247"/>
      <c r="TE129" s="247"/>
      <c r="TF129" s="247"/>
      <c r="TG129" s="247"/>
      <c r="TH129" s="247"/>
      <c r="TI129" s="247"/>
      <c r="TJ129" s="247"/>
      <c r="TK129" s="247"/>
      <c r="TL129" s="247"/>
      <c r="TM129" s="247"/>
      <c r="TN129" s="247"/>
      <c r="TO129" s="247"/>
      <c r="TP129" s="247"/>
      <c r="TQ129" s="247"/>
      <c r="TR129" s="247"/>
      <c r="TS129" s="247"/>
      <c r="TT129" s="247"/>
      <c r="TU129" s="247"/>
      <c r="TV129" s="247"/>
      <c r="TW129" s="247"/>
      <c r="TX129" s="247"/>
      <c r="TY129" s="247"/>
      <c r="TZ129" s="247"/>
      <c r="UA129" s="247"/>
      <c r="UB129" s="247"/>
      <c r="UC129" s="247"/>
      <c r="UD129" s="247"/>
      <c r="UE129" s="247"/>
      <c r="UF129" s="247"/>
      <c r="UG129" s="235"/>
    </row>
    <row r="130" spans="1:553" s="236" customFormat="1" ht="34.5" customHeight="1">
      <c r="A130" s="356" t="s">
        <v>15</v>
      </c>
      <c r="B130" s="366" t="s">
        <v>180</v>
      </c>
      <c r="C130" s="1414" t="s">
        <v>181</v>
      </c>
      <c r="D130" s="1389"/>
      <c r="E130" s="1389"/>
      <c r="F130" s="1390"/>
      <c r="G130" s="386" t="s">
        <v>935</v>
      </c>
      <c r="H130" s="370"/>
      <c r="I130" s="422">
        <f>2.5*3.5+2.8*4.2</f>
        <v>20.509999999999998</v>
      </c>
      <c r="J130" s="368">
        <v>743600</v>
      </c>
      <c r="K130" s="371"/>
      <c r="L130" s="391">
        <f t="shared" si="26"/>
        <v>15251236</v>
      </c>
      <c r="M130" s="395"/>
      <c r="N130" s="395"/>
      <c r="O130" s="366"/>
      <c r="P130" s="396"/>
      <c r="Q130" s="473"/>
      <c r="R130" s="1039"/>
      <c r="S130" s="308"/>
      <c r="T130" s="303"/>
      <c r="U130" s="306"/>
      <c r="V130" s="307"/>
      <c r="W130" s="307"/>
      <c r="X130" s="307"/>
      <c r="Y130" s="307"/>
      <c r="Z130" s="307"/>
      <c r="AA130" s="307"/>
      <c r="AB130" s="307"/>
      <c r="AC130" s="449"/>
      <c r="AD130" s="449"/>
      <c r="AE130" s="449"/>
      <c r="AF130" s="449"/>
      <c r="AG130" s="452"/>
      <c r="AH130" s="452"/>
      <c r="AI130" s="452"/>
      <c r="AJ130" s="452"/>
      <c r="AK130" s="452"/>
      <c r="AL130" s="242"/>
      <c r="AM130" s="241"/>
      <c r="AN130" s="241"/>
      <c r="AO130" s="241"/>
      <c r="AP130" s="241"/>
      <c r="AQ130" s="238"/>
      <c r="AR130" s="238"/>
      <c r="AS130" s="238"/>
      <c r="AT130" s="238"/>
      <c r="AU130" s="238"/>
      <c r="AV130" s="238"/>
      <c r="AW130" s="238"/>
      <c r="AX130" s="238"/>
      <c r="AY130" s="238"/>
      <c r="AZ130" s="238"/>
      <c r="BA130" s="238"/>
      <c r="BB130" s="238"/>
      <c r="BC130" s="238"/>
      <c r="BD130" s="238"/>
      <c r="BE130" s="238"/>
      <c r="BF130" s="238"/>
      <c r="BG130" s="238"/>
      <c r="BH130" s="238"/>
      <c r="BI130" s="238"/>
      <c r="BJ130" s="238"/>
      <c r="BK130" s="238"/>
      <c r="BL130" s="238"/>
      <c r="BM130" s="239"/>
      <c r="BN130" s="239"/>
      <c r="BO130" s="239"/>
      <c r="BP130" s="239"/>
      <c r="BQ130" s="239"/>
      <c r="BR130" s="239"/>
      <c r="BS130" s="239"/>
      <c r="BT130" s="239"/>
      <c r="BU130" s="239"/>
      <c r="BV130" s="239"/>
      <c r="BW130" s="239"/>
      <c r="BX130" s="239"/>
      <c r="BY130" s="239"/>
      <c r="BZ130" s="239"/>
      <c r="CA130" s="239"/>
      <c r="CB130" s="239"/>
      <c r="CC130" s="239"/>
      <c r="CD130" s="239"/>
      <c r="CE130" s="239"/>
      <c r="CF130" s="239"/>
      <c r="CG130" s="239"/>
      <c r="CH130" s="239"/>
      <c r="CI130" s="239"/>
      <c r="CJ130" s="239"/>
      <c r="CK130" s="239"/>
      <c r="CL130" s="239"/>
      <c r="CM130" s="239"/>
      <c r="CN130" s="239"/>
      <c r="CO130" s="239"/>
      <c r="CP130" s="239"/>
      <c r="CQ130" s="239"/>
      <c r="CR130" s="239"/>
      <c r="CS130" s="239"/>
      <c r="CT130" s="239"/>
      <c r="CU130" s="239"/>
      <c r="CV130" s="239"/>
      <c r="CW130" s="239"/>
      <c r="CX130" s="239"/>
      <c r="CY130" s="239"/>
      <c r="CZ130" s="239"/>
      <c r="DA130" s="239"/>
      <c r="DB130" s="239"/>
      <c r="DC130" s="239"/>
      <c r="DD130" s="239"/>
      <c r="DE130" s="239"/>
      <c r="DF130" s="239"/>
      <c r="DG130" s="239"/>
      <c r="DH130" s="239"/>
      <c r="DI130" s="239"/>
      <c r="DJ130" s="239"/>
      <c r="DK130" s="239"/>
      <c r="DL130" s="239"/>
      <c r="DM130" s="239"/>
      <c r="DN130" s="239"/>
      <c r="DO130" s="239"/>
      <c r="DP130" s="239"/>
      <c r="DQ130" s="239"/>
      <c r="DR130" s="239"/>
      <c r="DS130" s="239"/>
      <c r="DT130" s="239"/>
      <c r="DU130" s="239"/>
      <c r="DV130" s="239"/>
      <c r="DW130" s="239"/>
      <c r="DX130" s="239"/>
      <c r="DY130" s="239"/>
      <c r="DZ130" s="239"/>
      <c r="EA130" s="239"/>
      <c r="EB130" s="239"/>
      <c r="EC130" s="239"/>
      <c r="ED130" s="239"/>
      <c r="EE130" s="239"/>
      <c r="EF130" s="239"/>
      <c r="EG130" s="239"/>
      <c r="EH130" s="239"/>
      <c r="EI130" s="239"/>
      <c r="EJ130" s="239"/>
      <c r="EK130" s="239"/>
      <c r="EL130" s="239"/>
      <c r="EM130" s="239"/>
      <c r="EN130" s="239"/>
      <c r="EO130" s="239"/>
      <c r="EP130" s="239"/>
      <c r="EQ130" s="239"/>
      <c r="ER130" s="239"/>
      <c r="ES130" s="239"/>
      <c r="ET130" s="239"/>
      <c r="EU130" s="239"/>
      <c r="EV130" s="239"/>
      <c r="EW130" s="239"/>
      <c r="EX130" s="239"/>
      <c r="EY130" s="239"/>
      <c r="EZ130" s="239"/>
      <c r="FA130" s="239"/>
      <c r="FB130" s="239"/>
      <c r="FC130" s="239"/>
      <c r="FD130" s="239"/>
      <c r="FE130" s="239"/>
      <c r="FF130" s="239"/>
      <c r="FG130" s="239"/>
      <c r="FH130" s="239"/>
      <c r="FI130" s="239"/>
      <c r="FJ130" s="239"/>
      <c r="FK130" s="239"/>
      <c r="FL130" s="239"/>
      <c r="FM130" s="239"/>
      <c r="FN130" s="239"/>
      <c r="FO130" s="239"/>
      <c r="FP130" s="239"/>
      <c r="FQ130" s="239"/>
      <c r="FR130" s="239"/>
      <c r="FS130" s="239"/>
      <c r="FT130" s="239"/>
      <c r="FU130" s="239"/>
      <c r="FV130" s="239"/>
      <c r="FW130" s="239"/>
      <c r="FX130" s="239"/>
      <c r="FY130" s="239"/>
      <c r="FZ130" s="239"/>
      <c r="GA130" s="239"/>
      <c r="GB130" s="239"/>
      <c r="GC130" s="239"/>
      <c r="GD130" s="239"/>
      <c r="GE130" s="239"/>
      <c r="GF130" s="239"/>
      <c r="GG130" s="239"/>
      <c r="GH130" s="239"/>
      <c r="GI130" s="239"/>
      <c r="GJ130" s="239"/>
      <c r="GK130" s="239"/>
      <c r="GL130" s="239"/>
      <c r="GM130" s="239"/>
      <c r="GN130" s="239"/>
      <c r="GO130" s="239"/>
      <c r="GP130" s="239"/>
      <c r="GQ130" s="239"/>
      <c r="GR130" s="239"/>
      <c r="GS130" s="239"/>
      <c r="GT130" s="239"/>
      <c r="GU130" s="239"/>
      <c r="GV130" s="239"/>
      <c r="GW130" s="239"/>
      <c r="GX130" s="239"/>
      <c r="GY130" s="239"/>
      <c r="GZ130" s="239"/>
      <c r="HA130" s="239"/>
      <c r="HB130" s="239"/>
      <c r="HC130" s="239"/>
      <c r="HD130" s="239"/>
      <c r="HE130" s="239"/>
      <c r="HF130" s="239"/>
      <c r="HG130" s="239"/>
      <c r="HH130" s="239"/>
      <c r="HI130" s="239"/>
      <c r="HJ130" s="239"/>
      <c r="HK130" s="239"/>
      <c r="HL130" s="239"/>
      <c r="HM130" s="239"/>
      <c r="HN130" s="239"/>
      <c r="HO130" s="239"/>
      <c r="HP130" s="239"/>
      <c r="HQ130" s="239"/>
      <c r="HR130" s="239"/>
      <c r="HS130" s="239"/>
      <c r="HT130" s="239"/>
      <c r="HU130" s="239"/>
      <c r="HV130" s="239"/>
      <c r="HW130" s="239"/>
      <c r="HX130" s="239"/>
      <c r="HY130" s="239"/>
      <c r="HZ130" s="239"/>
      <c r="IA130" s="239"/>
      <c r="IB130" s="239"/>
      <c r="IC130" s="239"/>
      <c r="ID130" s="239"/>
      <c r="IE130" s="239"/>
      <c r="IF130" s="239"/>
      <c r="IG130" s="239"/>
      <c r="IH130" s="239"/>
      <c r="II130" s="239"/>
      <c r="IJ130" s="239"/>
      <c r="IK130" s="239"/>
      <c r="IL130" s="239"/>
      <c r="IM130" s="239"/>
      <c r="IN130" s="239"/>
      <c r="IO130" s="239"/>
      <c r="IP130" s="239"/>
      <c r="IQ130" s="239"/>
      <c r="IR130" s="239"/>
      <c r="IS130" s="239"/>
      <c r="IT130" s="239"/>
      <c r="IU130" s="239"/>
      <c r="IV130" s="239"/>
      <c r="IW130" s="239"/>
      <c r="IX130" s="239"/>
      <c r="IY130" s="239"/>
      <c r="IZ130" s="239"/>
      <c r="JA130" s="239"/>
      <c r="JB130" s="239"/>
      <c r="JC130" s="239"/>
      <c r="JD130" s="239"/>
      <c r="JE130" s="239"/>
      <c r="JF130" s="239"/>
      <c r="JG130" s="239"/>
      <c r="JH130" s="239"/>
      <c r="JI130" s="239"/>
      <c r="JJ130" s="239"/>
      <c r="JK130" s="239"/>
      <c r="JL130" s="239"/>
      <c r="JM130" s="239"/>
      <c r="JN130" s="239"/>
      <c r="JO130" s="239"/>
      <c r="JP130" s="239"/>
      <c r="JQ130" s="239"/>
      <c r="JR130" s="239"/>
      <c r="JS130" s="239"/>
      <c r="JT130" s="239"/>
      <c r="JU130" s="239"/>
      <c r="JV130" s="239"/>
      <c r="JW130" s="239"/>
      <c r="JX130" s="239"/>
      <c r="JY130" s="239"/>
      <c r="JZ130" s="239"/>
      <c r="KA130" s="239"/>
      <c r="KB130" s="239"/>
      <c r="KC130" s="239"/>
      <c r="KD130" s="239"/>
      <c r="KE130" s="239"/>
      <c r="KF130" s="239"/>
      <c r="KG130" s="239"/>
      <c r="KH130" s="239"/>
      <c r="KI130" s="239"/>
      <c r="KJ130" s="239"/>
      <c r="KK130" s="239"/>
      <c r="KL130" s="239"/>
      <c r="KM130" s="239"/>
      <c r="KN130" s="239"/>
      <c r="KO130" s="239"/>
      <c r="KP130" s="239"/>
      <c r="KQ130" s="239"/>
      <c r="KR130" s="239"/>
      <c r="KS130" s="239"/>
      <c r="KT130" s="239"/>
      <c r="KU130" s="239"/>
      <c r="KV130" s="239"/>
      <c r="KW130" s="239"/>
      <c r="KX130" s="239"/>
      <c r="KY130" s="239"/>
      <c r="KZ130" s="239"/>
      <c r="LA130" s="239"/>
      <c r="LB130" s="239"/>
      <c r="LC130" s="239"/>
      <c r="LD130" s="239"/>
      <c r="LE130" s="239"/>
      <c r="LF130" s="239"/>
      <c r="LG130" s="239"/>
      <c r="LH130" s="239"/>
      <c r="LI130" s="239"/>
      <c r="LJ130" s="239"/>
      <c r="LK130" s="239"/>
      <c r="LL130" s="239"/>
      <c r="LM130" s="239"/>
      <c r="LN130" s="239"/>
      <c r="LO130" s="239"/>
      <c r="LP130" s="239"/>
      <c r="LQ130" s="239"/>
      <c r="LR130" s="239"/>
      <c r="LS130" s="239"/>
      <c r="LT130" s="239"/>
      <c r="LU130" s="239"/>
      <c r="LV130" s="239"/>
      <c r="LW130" s="239"/>
      <c r="LX130" s="239"/>
      <c r="LY130" s="239"/>
      <c r="LZ130" s="239"/>
      <c r="MA130" s="239"/>
      <c r="MB130" s="239"/>
      <c r="MC130" s="239"/>
      <c r="MD130" s="239"/>
      <c r="ME130" s="239"/>
      <c r="MF130" s="239"/>
      <c r="MG130" s="239"/>
      <c r="MH130" s="239"/>
      <c r="MI130" s="239"/>
      <c r="MJ130" s="239"/>
      <c r="MK130" s="239"/>
      <c r="ML130" s="239"/>
      <c r="MM130" s="239"/>
      <c r="MN130" s="239"/>
      <c r="MO130" s="239"/>
      <c r="MP130" s="239"/>
      <c r="MQ130" s="239"/>
      <c r="MR130" s="239"/>
      <c r="MS130" s="239"/>
      <c r="MT130" s="239"/>
      <c r="MU130" s="239"/>
      <c r="MV130" s="239"/>
      <c r="MW130" s="239"/>
      <c r="MX130" s="239"/>
      <c r="MY130" s="239"/>
      <c r="MZ130" s="239"/>
      <c r="NA130" s="239"/>
      <c r="NB130" s="239"/>
      <c r="NC130" s="239"/>
      <c r="ND130" s="239"/>
      <c r="NE130" s="239"/>
      <c r="NF130" s="239"/>
      <c r="NG130" s="239"/>
      <c r="NH130" s="239"/>
      <c r="NI130" s="239"/>
      <c r="NJ130" s="239"/>
      <c r="NK130" s="239"/>
      <c r="NL130" s="239"/>
      <c r="NM130" s="239"/>
      <c r="NN130" s="239"/>
      <c r="NO130" s="239"/>
      <c r="NP130" s="239"/>
      <c r="NQ130" s="239"/>
      <c r="NR130" s="239"/>
      <c r="NS130" s="239"/>
      <c r="NT130" s="239"/>
      <c r="NU130" s="239"/>
      <c r="NV130" s="239"/>
      <c r="NW130" s="239"/>
      <c r="NX130" s="239"/>
      <c r="NY130" s="239"/>
      <c r="NZ130" s="239"/>
      <c r="OA130" s="239"/>
      <c r="OB130" s="239"/>
      <c r="OC130" s="239"/>
      <c r="OD130" s="239"/>
      <c r="OE130" s="239"/>
      <c r="OF130" s="239"/>
      <c r="OG130" s="239"/>
      <c r="OH130" s="239"/>
      <c r="OI130" s="239"/>
      <c r="OJ130" s="239"/>
      <c r="OK130" s="239"/>
      <c r="OL130" s="239"/>
      <c r="OM130" s="239"/>
      <c r="ON130" s="239"/>
      <c r="OO130" s="239"/>
      <c r="OP130" s="239"/>
      <c r="OQ130" s="239"/>
      <c r="OR130" s="239"/>
      <c r="OS130" s="239"/>
      <c r="OT130" s="239"/>
      <c r="OU130" s="239"/>
      <c r="OV130" s="239"/>
      <c r="OW130" s="239"/>
      <c r="OX130" s="239"/>
      <c r="OY130" s="239"/>
      <c r="OZ130" s="239"/>
      <c r="PA130" s="239"/>
      <c r="PB130" s="239"/>
      <c r="PC130" s="239"/>
      <c r="PD130" s="239"/>
      <c r="PE130" s="239"/>
      <c r="PF130" s="239"/>
      <c r="PG130" s="239"/>
      <c r="PH130" s="239"/>
      <c r="PI130" s="239"/>
      <c r="PJ130" s="239"/>
      <c r="PK130" s="239"/>
      <c r="PL130" s="239"/>
      <c r="PM130" s="239"/>
      <c r="PN130" s="239"/>
      <c r="PO130" s="239"/>
      <c r="PP130" s="239"/>
      <c r="PQ130" s="239"/>
      <c r="PR130" s="239"/>
      <c r="PS130" s="239"/>
      <c r="PT130" s="239"/>
      <c r="PU130" s="239"/>
      <c r="PV130" s="239"/>
      <c r="PW130" s="239"/>
      <c r="PX130" s="239"/>
      <c r="PY130" s="239"/>
      <c r="PZ130" s="239"/>
      <c r="QA130" s="239"/>
      <c r="QB130" s="239"/>
      <c r="QC130" s="239"/>
      <c r="QD130" s="239"/>
      <c r="QE130" s="239"/>
      <c r="QF130" s="239"/>
      <c r="QG130" s="239"/>
      <c r="QH130" s="239"/>
      <c r="QI130" s="239"/>
      <c r="QJ130" s="239"/>
      <c r="QK130" s="239"/>
      <c r="QL130" s="239"/>
      <c r="QM130" s="239"/>
      <c r="QN130" s="239"/>
      <c r="QO130" s="239"/>
      <c r="QP130" s="239"/>
      <c r="QQ130" s="239"/>
      <c r="QR130" s="239"/>
      <c r="QS130" s="239"/>
      <c r="QT130" s="239"/>
      <c r="QU130" s="239"/>
      <c r="QV130" s="239"/>
      <c r="QW130" s="239"/>
      <c r="QX130" s="239"/>
      <c r="QY130" s="239"/>
      <c r="QZ130" s="239"/>
      <c r="RA130" s="239"/>
      <c r="RB130" s="239"/>
      <c r="RC130" s="239"/>
      <c r="RD130" s="239"/>
      <c r="RE130" s="239"/>
      <c r="RF130" s="239"/>
      <c r="RG130" s="239"/>
      <c r="RH130" s="239"/>
      <c r="RI130" s="239"/>
      <c r="RJ130" s="239"/>
      <c r="RK130" s="239"/>
      <c r="RL130" s="239"/>
      <c r="RM130" s="239"/>
      <c r="RN130" s="239"/>
      <c r="RO130" s="239"/>
      <c r="RP130" s="239"/>
      <c r="RQ130" s="239"/>
      <c r="RR130" s="239"/>
      <c r="RS130" s="239"/>
      <c r="RT130" s="239"/>
      <c r="RU130" s="239"/>
      <c r="RV130" s="239"/>
      <c r="RW130" s="239"/>
      <c r="RX130" s="239"/>
      <c r="RY130" s="239"/>
      <c r="RZ130" s="239"/>
      <c r="SA130" s="239"/>
      <c r="SB130" s="239"/>
      <c r="SC130" s="239"/>
      <c r="SD130" s="239"/>
      <c r="SE130" s="239"/>
      <c r="SF130" s="239"/>
      <c r="SG130" s="239"/>
      <c r="SH130" s="239"/>
      <c r="SI130" s="239"/>
      <c r="SJ130" s="239"/>
      <c r="SK130" s="239"/>
      <c r="SL130" s="239"/>
      <c r="SM130" s="239"/>
      <c r="SN130" s="239"/>
      <c r="SO130" s="239"/>
      <c r="SP130" s="239"/>
      <c r="SQ130" s="239"/>
      <c r="SR130" s="239"/>
      <c r="SS130" s="239"/>
      <c r="ST130" s="239"/>
      <c r="SU130" s="239"/>
      <c r="SV130" s="239"/>
      <c r="SW130" s="239"/>
      <c r="SX130" s="239"/>
      <c r="SY130" s="239"/>
      <c r="SZ130" s="239"/>
      <c r="TA130" s="239"/>
      <c r="TB130" s="239"/>
      <c r="TC130" s="239"/>
      <c r="TD130" s="239"/>
      <c r="TE130" s="239"/>
      <c r="TF130" s="239"/>
      <c r="TG130" s="239"/>
      <c r="TH130" s="239"/>
      <c r="TI130" s="239"/>
      <c r="TJ130" s="239"/>
      <c r="TK130" s="239"/>
      <c r="TL130" s="239"/>
      <c r="TM130" s="239"/>
      <c r="TN130" s="239"/>
      <c r="TO130" s="239"/>
      <c r="TP130" s="239"/>
      <c r="TQ130" s="239"/>
      <c r="TR130" s="239"/>
      <c r="TS130" s="239"/>
      <c r="TT130" s="239"/>
      <c r="TU130" s="239"/>
      <c r="TV130" s="239"/>
      <c r="TW130" s="239"/>
      <c r="TX130" s="239"/>
      <c r="TY130" s="239"/>
      <c r="TZ130" s="239"/>
      <c r="UA130" s="239"/>
      <c r="UB130" s="239"/>
      <c r="UC130" s="239"/>
      <c r="UD130" s="239"/>
      <c r="UE130" s="239"/>
      <c r="UF130" s="239"/>
      <c r="UG130" s="240"/>
    </row>
    <row r="131" spans="1:553" s="236" customFormat="1" ht="34.5" customHeight="1">
      <c r="A131" s="356" t="s">
        <v>15</v>
      </c>
      <c r="B131" s="366" t="s">
        <v>39</v>
      </c>
      <c r="C131" s="1414" t="s">
        <v>182</v>
      </c>
      <c r="D131" s="1389"/>
      <c r="E131" s="1389"/>
      <c r="F131" s="1390"/>
      <c r="G131" s="386" t="s">
        <v>1394</v>
      </c>
      <c r="H131" s="370"/>
      <c r="I131" s="422">
        <f>1.5*1.5*1.7</f>
        <v>3.8249999999999997</v>
      </c>
      <c r="J131" s="368">
        <v>2943200</v>
      </c>
      <c r="K131" s="371"/>
      <c r="L131" s="391">
        <f t="shared" si="26"/>
        <v>11257740</v>
      </c>
      <c r="M131" s="395"/>
      <c r="N131" s="395"/>
      <c r="O131" s="366"/>
      <c r="P131" s="396"/>
      <c r="Q131" s="473"/>
      <c r="R131" s="1039"/>
      <c r="S131" s="308"/>
      <c r="T131" s="303"/>
      <c r="U131" s="306"/>
      <c r="V131" s="307"/>
      <c r="W131" s="307"/>
      <c r="X131" s="307"/>
      <c r="Y131" s="307"/>
      <c r="Z131" s="307"/>
      <c r="AA131" s="307"/>
      <c r="AB131" s="307"/>
      <c r="AC131" s="449"/>
      <c r="AD131" s="449"/>
      <c r="AE131" s="449"/>
      <c r="AF131" s="449"/>
      <c r="AG131" s="452"/>
      <c r="AH131" s="452"/>
      <c r="AI131" s="452"/>
      <c r="AJ131" s="452"/>
      <c r="AK131" s="452"/>
      <c r="AL131" s="242"/>
      <c r="AM131" s="241"/>
      <c r="AN131" s="241"/>
      <c r="AO131" s="241"/>
      <c r="AP131" s="241"/>
      <c r="AQ131" s="238"/>
      <c r="AR131" s="238"/>
      <c r="AS131" s="238"/>
      <c r="AT131" s="238"/>
      <c r="AU131" s="238"/>
      <c r="AV131" s="238"/>
      <c r="AW131" s="238"/>
      <c r="AX131" s="238"/>
      <c r="AY131" s="238"/>
      <c r="AZ131" s="238"/>
      <c r="BA131" s="238"/>
      <c r="BB131" s="238"/>
      <c r="BC131" s="238"/>
      <c r="BD131" s="238"/>
      <c r="BE131" s="238"/>
      <c r="BF131" s="238"/>
      <c r="BG131" s="238"/>
      <c r="BH131" s="238"/>
      <c r="BI131" s="238"/>
      <c r="BJ131" s="238"/>
      <c r="BK131" s="238"/>
      <c r="BL131" s="238"/>
      <c r="BM131" s="239"/>
      <c r="BN131" s="239"/>
      <c r="BO131" s="239"/>
      <c r="BP131" s="239"/>
      <c r="BQ131" s="239"/>
      <c r="BR131" s="239"/>
      <c r="BS131" s="239"/>
      <c r="BT131" s="239"/>
      <c r="BU131" s="239"/>
      <c r="BV131" s="239"/>
      <c r="BW131" s="239"/>
      <c r="BX131" s="239"/>
      <c r="BY131" s="239"/>
      <c r="BZ131" s="239"/>
      <c r="CA131" s="239"/>
      <c r="CB131" s="239"/>
      <c r="CC131" s="239"/>
      <c r="CD131" s="239"/>
      <c r="CE131" s="239"/>
      <c r="CF131" s="239"/>
      <c r="CG131" s="239"/>
      <c r="CH131" s="239"/>
      <c r="CI131" s="239"/>
      <c r="CJ131" s="239"/>
      <c r="CK131" s="239"/>
      <c r="CL131" s="239"/>
      <c r="CM131" s="239"/>
      <c r="CN131" s="239"/>
      <c r="CO131" s="239"/>
      <c r="CP131" s="239"/>
      <c r="CQ131" s="239"/>
      <c r="CR131" s="239"/>
      <c r="CS131" s="239"/>
      <c r="CT131" s="239"/>
      <c r="CU131" s="239"/>
      <c r="CV131" s="239"/>
      <c r="CW131" s="239"/>
      <c r="CX131" s="239"/>
      <c r="CY131" s="239"/>
      <c r="CZ131" s="239"/>
      <c r="DA131" s="239"/>
      <c r="DB131" s="239"/>
      <c r="DC131" s="239"/>
      <c r="DD131" s="239"/>
      <c r="DE131" s="239"/>
      <c r="DF131" s="239"/>
      <c r="DG131" s="239"/>
      <c r="DH131" s="239"/>
      <c r="DI131" s="239"/>
      <c r="DJ131" s="239"/>
      <c r="DK131" s="239"/>
      <c r="DL131" s="239"/>
      <c r="DM131" s="239"/>
      <c r="DN131" s="239"/>
      <c r="DO131" s="239"/>
      <c r="DP131" s="239"/>
      <c r="DQ131" s="239"/>
      <c r="DR131" s="239"/>
      <c r="DS131" s="239"/>
      <c r="DT131" s="239"/>
      <c r="DU131" s="239"/>
      <c r="DV131" s="239"/>
      <c r="DW131" s="239"/>
      <c r="DX131" s="239"/>
      <c r="DY131" s="239"/>
      <c r="DZ131" s="239"/>
      <c r="EA131" s="239"/>
      <c r="EB131" s="239"/>
      <c r="EC131" s="239"/>
      <c r="ED131" s="239"/>
      <c r="EE131" s="239"/>
      <c r="EF131" s="239"/>
      <c r="EG131" s="239"/>
      <c r="EH131" s="239"/>
      <c r="EI131" s="239"/>
      <c r="EJ131" s="239"/>
      <c r="EK131" s="239"/>
      <c r="EL131" s="239"/>
      <c r="EM131" s="239"/>
      <c r="EN131" s="239"/>
      <c r="EO131" s="239"/>
      <c r="EP131" s="239"/>
      <c r="EQ131" s="239"/>
      <c r="ER131" s="239"/>
      <c r="ES131" s="239"/>
      <c r="ET131" s="239"/>
      <c r="EU131" s="239"/>
      <c r="EV131" s="239"/>
      <c r="EW131" s="239"/>
      <c r="EX131" s="239"/>
      <c r="EY131" s="239"/>
      <c r="EZ131" s="239"/>
      <c r="FA131" s="239"/>
      <c r="FB131" s="239"/>
      <c r="FC131" s="239"/>
      <c r="FD131" s="239"/>
      <c r="FE131" s="239"/>
      <c r="FF131" s="239"/>
      <c r="FG131" s="239"/>
      <c r="FH131" s="239"/>
      <c r="FI131" s="239"/>
      <c r="FJ131" s="239"/>
      <c r="FK131" s="239"/>
      <c r="FL131" s="239"/>
      <c r="FM131" s="239"/>
      <c r="FN131" s="239"/>
      <c r="FO131" s="239"/>
      <c r="FP131" s="239"/>
      <c r="FQ131" s="239"/>
      <c r="FR131" s="239"/>
      <c r="FS131" s="239"/>
      <c r="FT131" s="239"/>
      <c r="FU131" s="239"/>
      <c r="FV131" s="239"/>
      <c r="FW131" s="239"/>
      <c r="FX131" s="239"/>
      <c r="FY131" s="239"/>
      <c r="FZ131" s="239"/>
      <c r="GA131" s="239"/>
      <c r="GB131" s="239"/>
      <c r="GC131" s="239"/>
      <c r="GD131" s="239"/>
      <c r="GE131" s="239"/>
      <c r="GF131" s="239"/>
      <c r="GG131" s="239"/>
      <c r="GH131" s="239"/>
      <c r="GI131" s="239"/>
      <c r="GJ131" s="239"/>
      <c r="GK131" s="239"/>
      <c r="GL131" s="239"/>
      <c r="GM131" s="239"/>
      <c r="GN131" s="239"/>
      <c r="GO131" s="239"/>
      <c r="GP131" s="239"/>
      <c r="GQ131" s="239"/>
      <c r="GR131" s="239"/>
      <c r="GS131" s="239"/>
      <c r="GT131" s="239"/>
      <c r="GU131" s="239"/>
      <c r="GV131" s="239"/>
      <c r="GW131" s="239"/>
      <c r="GX131" s="239"/>
      <c r="GY131" s="239"/>
      <c r="GZ131" s="239"/>
      <c r="HA131" s="239"/>
      <c r="HB131" s="239"/>
      <c r="HC131" s="239"/>
      <c r="HD131" s="239"/>
      <c r="HE131" s="239"/>
      <c r="HF131" s="239"/>
      <c r="HG131" s="239"/>
      <c r="HH131" s="239"/>
      <c r="HI131" s="239"/>
      <c r="HJ131" s="239"/>
      <c r="HK131" s="239"/>
      <c r="HL131" s="239"/>
      <c r="HM131" s="239"/>
      <c r="HN131" s="239"/>
      <c r="HO131" s="239"/>
      <c r="HP131" s="239"/>
      <c r="HQ131" s="239"/>
      <c r="HR131" s="239"/>
      <c r="HS131" s="239"/>
      <c r="HT131" s="239"/>
      <c r="HU131" s="239"/>
      <c r="HV131" s="239"/>
      <c r="HW131" s="239"/>
      <c r="HX131" s="239"/>
      <c r="HY131" s="239"/>
      <c r="HZ131" s="239"/>
      <c r="IA131" s="239"/>
      <c r="IB131" s="239"/>
      <c r="IC131" s="239"/>
      <c r="ID131" s="239"/>
      <c r="IE131" s="239"/>
      <c r="IF131" s="239"/>
      <c r="IG131" s="239"/>
      <c r="IH131" s="239"/>
      <c r="II131" s="239"/>
      <c r="IJ131" s="239"/>
      <c r="IK131" s="239"/>
      <c r="IL131" s="239"/>
      <c r="IM131" s="239"/>
      <c r="IN131" s="239"/>
      <c r="IO131" s="239"/>
      <c r="IP131" s="239"/>
      <c r="IQ131" s="239"/>
      <c r="IR131" s="239"/>
      <c r="IS131" s="239"/>
      <c r="IT131" s="239"/>
      <c r="IU131" s="239"/>
      <c r="IV131" s="239"/>
      <c r="IW131" s="239"/>
      <c r="IX131" s="239"/>
      <c r="IY131" s="239"/>
      <c r="IZ131" s="239"/>
      <c r="JA131" s="239"/>
      <c r="JB131" s="239"/>
      <c r="JC131" s="239"/>
      <c r="JD131" s="239"/>
      <c r="JE131" s="239"/>
      <c r="JF131" s="239"/>
      <c r="JG131" s="239"/>
      <c r="JH131" s="239"/>
      <c r="JI131" s="239"/>
      <c r="JJ131" s="239"/>
      <c r="JK131" s="239"/>
      <c r="JL131" s="239"/>
      <c r="JM131" s="239"/>
      <c r="JN131" s="239"/>
      <c r="JO131" s="239"/>
      <c r="JP131" s="239"/>
      <c r="JQ131" s="239"/>
      <c r="JR131" s="239"/>
      <c r="JS131" s="239"/>
      <c r="JT131" s="239"/>
      <c r="JU131" s="239"/>
      <c r="JV131" s="239"/>
      <c r="JW131" s="239"/>
      <c r="JX131" s="239"/>
      <c r="JY131" s="239"/>
      <c r="JZ131" s="239"/>
      <c r="KA131" s="239"/>
      <c r="KB131" s="239"/>
      <c r="KC131" s="239"/>
      <c r="KD131" s="239"/>
      <c r="KE131" s="239"/>
      <c r="KF131" s="239"/>
      <c r="KG131" s="239"/>
      <c r="KH131" s="239"/>
      <c r="KI131" s="239"/>
      <c r="KJ131" s="239"/>
      <c r="KK131" s="239"/>
      <c r="KL131" s="239"/>
      <c r="KM131" s="239"/>
      <c r="KN131" s="239"/>
      <c r="KO131" s="239"/>
      <c r="KP131" s="239"/>
      <c r="KQ131" s="239"/>
      <c r="KR131" s="239"/>
      <c r="KS131" s="239"/>
      <c r="KT131" s="239"/>
      <c r="KU131" s="239"/>
      <c r="KV131" s="239"/>
      <c r="KW131" s="239"/>
      <c r="KX131" s="239"/>
      <c r="KY131" s="239"/>
      <c r="KZ131" s="239"/>
      <c r="LA131" s="239"/>
      <c r="LB131" s="239"/>
      <c r="LC131" s="239"/>
      <c r="LD131" s="239"/>
      <c r="LE131" s="239"/>
      <c r="LF131" s="239"/>
      <c r="LG131" s="239"/>
      <c r="LH131" s="239"/>
      <c r="LI131" s="239"/>
      <c r="LJ131" s="239"/>
      <c r="LK131" s="239"/>
      <c r="LL131" s="239"/>
      <c r="LM131" s="239"/>
      <c r="LN131" s="239"/>
      <c r="LO131" s="239"/>
      <c r="LP131" s="239"/>
      <c r="LQ131" s="239"/>
      <c r="LR131" s="239"/>
      <c r="LS131" s="239"/>
      <c r="LT131" s="239"/>
      <c r="LU131" s="239"/>
      <c r="LV131" s="239"/>
      <c r="LW131" s="239"/>
      <c r="LX131" s="239"/>
      <c r="LY131" s="239"/>
      <c r="LZ131" s="239"/>
      <c r="MA131" s="239"/>
      <c r="MB131" s="239"/>
      <c r="MC131" s="239"/>
      <c r="MD131" s="239"/>
      <c r="ME131" s="239"/>
      <c r="MF131" s="239"/>
      <c r="MG131" s="239"/>
      <c r="MH131" s="239"/>
      <c r="MI131" s="239"/>
      <c r="MJ131" s="239"/>
      <c r="MK131" s="239"/>
      <c r="ML131" s="239"/>
      <c r="MM131" s="239"/>
      <c r="MN131" s="239"/>
      <c r="MO131" s="239"/>
      <c r="MP131" s="239"/>
      <c r="MQ131" s="239"/>
      <c r="MR131" s="239"/>
      <c r="MS131" s="239"/>
      <c r="MT131" s="239"/>
      <c r="MU131" s="239"/>
      <c r="MV131" s="239"/>
      <c r="MW131" s="239"/>
      <c r="MX131" s="239"/>
      <c r="MY131" s="239"/>
      <c r="MZ131" s="239"/>
      <c r="NA131" s="239"/>
      <c r="NB131" s="239"/>
      <c r="NC131" s="239"/>
      <c r="ND131" s="239"/>
      <c r="NE131" s="239"/>
      <c r="NF131" s="239"/>
      <c r="NG131" s="239"/>
      <c r="NH131" s="239"/>
      <c r="NI131" s="239"/>
      <c r="NJ131" s="239"/>
      <c r="NK131" s="239"/>
      <c r="NL131" s="239"/>
      <c r="NM131" s="239"/>
      <c r="NN131" s="239"/>
      <c r="NO131" s="239"/>
      <c r="NP131" s="239"/>
      <c r="NQ131" s="239"/>
      <c r="NR131" s="239"/>
      <c r="NS131" s="239"/>
      <c r="NT131" s="239"/>
      <c r="NU131" s="239"/>
      <c r="NV131" s="239"/>
      <c r="NW131" s="239"/>
      <c r="NX131" s="239"/>
      <c r="NY131" s="239"/>
      <c r="NZ131" s="239"/>
      <c r="OA131" s="239"/>
      <c r="OB131" s="239"/>
      <c r="OC131" s="239"/>
      <c r="OD131" s="239"/>
      <c r="OE131" s="239"/>
      <c r="OF131" s="239"/>
      <c r="OG131" s="239"/>
      <c r="OH131" s="239"/>
      <c r="OI131" s="239"/>
      <c r="OJ131" s="239"/>
      <c r="OK131" s="239"/>
      <c r="OL131" s="239"/>
      <c r="OM131" s="239"/>
      <c r="ON131" s="239"/>
      <c r="OO131" s="239"/>
      <c r="OP131" s="239"/>
      <c r="OQ131" s="239"/>
      <c r="OR131" s="239"/>
      <c r="OS131" s="239"/>
      <c r="OT131" s="239"/>
      <c r="OU131" s="239"/>
      <c r="OV131" s="239"/>
      <c r="OW131" s="239"/>
      <c r="OX131" s="239"/>
      <c r="OY131" s="239"/>
      <c r="OZ131" s="239"/>
      <c r="PA131" s="239"/>
      <c r="PB131" s="239"/>
      <c r="PC131" s="239"/>
      <c r="PD131" s="239"/>
      <c r="PE131" s="239"/>
      <c r="PF131" s="239"/>
      <c r="PG131" s="239"/>
      <c r="PH131" s="239"/>
      <c r="PI131" s="239"/>
      <c r="PJ131" s="239"/>
      <c r="PK131" s="239"/>
      <c r="PL131" s="239"/>
      <c r="PM131" s="239"/>
      <c r="PN131" s="239"/>
      <c r="PO131" s="239"/>
      <c r="PP131" s="239"/>
      <c r="PQ131" s="239"/>
      <c r="PR131" s="239"/>
      <c r="PS131" s="239"/>
      <c r="PT131" s="239"/>
      <c r="PU131" s="239"/>
      <c r="PV131" s="239"/>
      <c r="PW131" s="239"/>
      <c r="PX131" s="239"/>
      <c r="PY131" s="239"/>
      <c r="PZ131" s="239"/>
      <c r="QA131" s="239"/>
      <c r="QB131" s="239"/>
      <c r="QC131" s="239"/>
      <c r="QD131" s="239"/>
      <c r="QE131" s="239"/>
      <c r="QF131" s="239"/>
      <c r="QG131" s="239"/>
      <c r="QH131" s="239"/>
      <c r="QI131" s="239"/>
      <c r="QJ131" s="239"/>
      <c r="QK131" s="239"/>
      <c r="QL131" s="239"/>
      <c r="QM131" s="239"/>
      <c r="QN131" s="239"/>
      <c r="QO131" s="239"/>
      <c r="QP131" s="239"/>
      <c r="QQ131" s="239"/>
      <c r="QR131" s="239"/>
      <c r="QS131" s="239"/>
      <c r="QT131" s="239"/>
      <c r="QU131" s="239"/>
      <c r="QV131" s="239"/>
      <c r="QW131" s="239"/>
      <c r="QX131" s="239"/>
      <c r="QY131" s="239"/>
      <c r="QZ131" s="239"/>
      <c r="RA131" s="239"/>
      <c r="RB131" s="239"/>
      <c r="RC131" s="239"/>
      <c r="RD131" s="239"/>
      <c r="RE131" s="239"/>
      <c r="RF131" s="239"/>
      <c r="RG131" s="239"/>
      <c r="RH131" s="239"/>
      <c r="RI131" s="239"/>
      <c r="RJ131" s="239"/>
      <c r="RK131" s="239"/>
      <c r="RL131" s="239"/>
      <c r="RM131" s="239"/>
      <c r="RN131" s="239"/>
      <c r="RO131" s="239"/>
      <c r="RP131" s="239"/>
      <c r="RQ131" s="239"/>
      <c r="RR131" s="239"/>
      <c r="RS131" s="239"/>
      <c r="RT131" s="239"/>
      <c r="RU131" s="239"/>
      <c r="RV131" s="239"/>
      <c r="RW131" s="239"/>
      <c r="RX131" s="239"/>
      <c r="RY131" s="239"/>
      <c r="RZ131" s="239"/>
      <c r="SA131" s="239"/>
      <c r="SB131" s="239"/>
      <c r="SC131" s="239"/>
      <c r="SD131" s="239"/>
      <c r="SE131" s="239"/>
      <c r="SF131" s="239"/>
      <c r="SG131" s="239"/>
      <c r="SH131" s="239"/>
      <c r="SI131" s="239"/>
      <c r="SJ131" s="239"/>
      <c r="SK131" s="239"/>
      <c r="SL131" s="239"/>
      <c r="SM131" s="239"/>
      <c r="SN131" s="239"/>
      <c r="SO131" s="239"/>
      <c r="SP131" s="239"/>
      <c r="SQ131" s="239"/>
      <c r="SR131" s="239"/>
      <c r="SS131" s="239"/>
      <c r="ST131" s="239"/>
      <c r="SU131" s="239"/>
      <c r="SV131" s="239"/>
      <c r="SW131" s="239"/>
      <c r="SX131" s="239"/>
      <c r="SY131" s="239"/>
      <c r="SZ131" s="239"/>
      <c r="TA131" s="239"/>
      <c r="TB131" s="239"/>
      <c r="TC131" s="239"/>
      <c r="TD131" s="239"/>
      <c r="TE131" s="239"/>
      <c r="TF131" s="239"/>
      <c r="TG131" s="239"/>
      <c r="TH131" s="239"/>
      <c r="TI131" s="239"/>
      <c r="TJ131" s="239"/>
      <c r="TK131" s="239"/>
      <c r="TL131" s="239"/>
      <c r="TM131" s="239"/>
      <c r="TN131" s="239"/>
      <c r="TO131" s="239"/>
      <c r="TP131" s="239"/>
      <c r="TQ131" s="239"/>
      <c r="TR131" s="239"/>
      <c r="TS131" s="239"/>
      <c r="TT131" s="239"/>
      <c r="TU131" s="239"/>
      <c r="TV131" s="239"/>
      <c r="TW131" s="239"/>
      <c r="TX131" s="239"/>
      <c r="TY131" s="239"/>
      <c r="TZ131" s="239"/>
      <c r="UA131" s="239"/>
      <c r="UB131" s="239"/>
      <c r="UC131" s="239"/>
      <c r="UD131" s="239"/>
      <c r="UE131" s="239"/>
      <c r="UF131" s="239"/>
      <c r="UG131" s="240"/>
    </row>
    <row r="132" spans="1:553" s="236" customFormat="1" ht="34.5" customHeight="1">
      <c r="A132" s="356" t="s">
        <v>15</v>
      </c>
      <c r="B132" s="366" t="s">
        <v>41</v>
      </c>
      <c r="C132" s="1414" t="s">
        <v>886</v>
      </c>
      <c r="D132" s="1389"/>
      <c r="E132" s="1389"/>
      <c r="F132" s="1390"/>
      <c r="G132" s="386" t="s">
        <v>935</v>
      </c>
      <c r="H132" s="370"/>
      <c r="I132" s="422">
        <f>3.9*2.8</f>
        <v>10.92</v>
      </c>
      <c r="J132" s="368">
        <v>3900000</v>
      </c>
      <c r="K132" s="371"/>
      <c r="L132" s="391">
        <f t="shared" si="26"/>
        <v>42588000</v>
      </c>
      <c r="M132" s="395"/>
      <c r="N132" s="395"/>
      <c r="O132" s="366"/>
      <c r="P132" s="396"/>
      <c r="Q132" s="473"/>
      <c r="R132" s="1039"/>
      <c r="S132" s="308"/>
      <c r="T132" s="303"/>
      <c r="U132" s="306"/>
      <c r="V132" s="307"/>
      <c r="W132" s="307"/>
      <c r="X132" s="307"/>
      <c r="Y132" s="307"/>
      <c r="Z132" s="307"/>
      <c r="AA132" s="307"/>
      <c r="AB132" s="307"/>
      <c r="AC132" s="449"/>
      <c r="AD132" s="449"/>
      <c r="AE132" s="449"/>
      <c r="AF132" s="449"/>
      <c r="AG132" s="452"/>
      <c r="AH132" s="452"/>
      <c r="AI132" s="452"/>
      <c r="AJ132" s="452"/>
      <c r="AK132" s="452"/>
      <c r="AL132" s="242"/>
      <c r="AM132" s="241"/>
      <c r="AN132" s="241"/>
      <c r="AO132" s="241"/>
      <c r="AP132" s="241"/>
      <c r="AQ132" s="238"/>
      <c r="AR132" s="238"/>
      <c r="AS132" s="238"/>
      <c r="AT132" s="238"/>
      <c r="AU132" s="238"/>
      <c r="AV132" s="238"/>
      <c r="AW132" s="238"/>
      <c r="AX132" s="238"/>
      <c r="AY132" s="238"/>
      <c r="AZ132" s="238"/>
      <c r="BA132" s="238"/>
      <c r="BB132" s="238"/>
      <c r="BC132" s="238"/>
      <c r="BD132" s="238"/>
      <c r="BE132" s="238"/>
      <c r="BF132" s="238"/>
      <c r="BG132" s="238"/>
      <c r="BH132" s="238"/>
      <c r="BI132" s="238"/>
      <c r="BJ132" s="238"/>
      <c r="BK132" s="238"/>
      <c r="BL132" s="238"/>
      <c r="BM132" s="239"/>
      <c r="BN132" s="239"/>
      <c r="BO132" s="239"/>
      <c r="BP132" s="239"/>
      <c r="BQ132" s="239"/>
      <c r="BR132" s="239"/>
      <c r="BS132" s="239"/>
      <c r="BT132" s="239"/>
      <c r="BU132" s="239"/>
      <c r="BV132" s="239"/>
      <c r="BW132" s="239"/>
      <c r="BX132" s="239"/>
      <c r="BY132" s="239"/>
      <c r="BZ132" s="239"/>
      <c r="CA132" s="239"/>
      <c r="CB132" s="239"/>
      <c r="CC132" s="239"/>
      <c r="CD132" s="239"/>
      <c r="CE132" s="239"/>
      <c r="CF132" s="239"/>
      <c r="CG132" s="239"/>
      <c r="CH132" s="239"/>
      <c r="CI132" s="239"/>
      <c r="CJ132" s="239"/>
      <c r="CK132" s="239"/>
      <c r="CL132" s="239"/>
      <c r="CM132" s="239"/>
      <c r="CN132" s="239"/>
      <c r="CO132" s="239"/>
      <c r="CP132" s="239"/>
      <c r="CQ132" s="239"/>
      <c r="CR132" s="239"/>
      <c r="CS132" s="239"/>
      <c r="CT132" s="239"/>
      <c r="CU132" s="239"/>
      <c r="CV132" s="239"/>
      <c r="CW132" s="239"/>
      <c r="CX132" s="239"/>
      <c r="CY132" s="239"/>
      <c r="CZ132" s="239"/>
      <c r="DA132" s="239"/>
      <c r="DB132" s="239"/>
      <c r="DC132" s="239"/>
      <c r="DD132" s="239"/>
      <c r="DE132" s="239"/>
      <c r="DF132" s="239"/>
      <c r="DG132" s="239"/>
      <c r="DH132" s="239"/>
      <c r="DI132" s="239"/>
      <c r="DJ132" s="239"/>
      <c r="DK132" s="239"/>
      <c r="DL132" s="239"/>
      <c r="DM132" s="239"/>
      <c r="DN132" s="239"/>
      <c r="DO132" s="239"/>
      <c r="DP132" s="239"/>
      <c r="DQ132" s="239"/>
      <c r="DR132" s="239"/>
      <c r="DS132" s="239"/>
      <c r="DT132" s="239"/>
      <c r="DU132" s="239"/>
      <c r="DV132" s="239"/>
      <c r="DW132" s="239"/>
      <c r="DX132" s="239"/>
      <c r="DY132" s="239"/>
      <c r="DZ132" s="239"/>
      <c r="EA132" s="239"/>
      <c r="EB132" s="239"/>
      <c r="EC132" s="239"/>
      <c r="ED132" s="239"/>
      <c r="EE132" s="239"/>
      <c r="EF132" s="239"/>
      <c r="EG132" s="239"/>
      <c r="EH132" s="239"/>
      <c r="EI132" s="239"/>
      <c r="EJ132" s="239"/>
      <c r="EK132" s="239"/>
      <c r="EL132" s="239"/>
      <c r="EM132" s="239"/>
      <c r="EN132" s="239"/>
      <c r="EO132" s="239"/>
      <c r="EP132" s="239"/>
      <c r="EQ132" s="239"/>
      <c r="ER132" s="239"/>
      <c r="ES132" s="239"/>
      <c r="ET132" s="239"/>
      <c r="EU132" s="239"/>
      <c r="EV132" s="239"/>
      <c r="EW132" s="239"/>
      <c r="EX132" s="239"/>
      <c r="EY132" s="239"/>
      <c r="EZ132" s="239"/>
      <c r="FA132" s="239"/>
      <c r="FB132" s="239"/>
      <c r="FC132" s="239"/>
      <c r="FD132" s="239"/>
      <c r="FE132" s="239"/>
      <c r="FF132" s="239"/>
      <c r="FG132" s="239"/>
      <c r="FH132" s="239"/>
      <c r="FI132" s="239"/>
      <c r="FJ132" s="239"/>
      <c r="FK132" s="239"/>
      <c r="FL132" s="239"/>
      <c r="FM132" s="239"/>
      <c r="FN132" s="239"/>
      <c r="FO132" s="239"/>
      <c r="FP132" s="239"/>
      <c r="FQ132" s="239"/>
      <c r="FR132" s="239"/>
      <c r="FS132" s="239"/>
      <c r="FT132" s="239"/>
      <c r="FU132" s="239"/>
      <c r="FV132" s="239"/>
      <c r="FW132" s="239"/>
      <c r="FX132" s="239"/>
      <c r="FY132" s="239"/>
      <c r="FZ132" s="239"/>
      <c r="GA132" s="239"/>
      <c r="GB132" s="239"/>
      <c r="GC132" s="239"/>
      <c r="GD132" s="239"/>
      <c r="GE132" s="239"/>
      <c r="GF132" s="239"/>
      <c r="GG132" s="239"/>
      <c r="GH132" s="239"/>
      <c r="GI132" s="239"/>
      <c r="GJ132" s="239"/>
      <c r="GK132" s="239"/>
      <c r="GL132" s="239"/>
      <c r="GM132" s="239"/>
      <c r="GN132" s="239"/>
      <c r="GO132" s="239"/>
      <c r="GP132" s="239"/>
      <c r="GQ132" s="239"/>
      <c r="GR132" s="239"/>
      <c r="GS132" s="239"/>
      <c r="GT132" s="239"/>
      <c r="GU132" s="239"/>
      <c r="GV132" s="239"/>
      <c r="GW132" s="239"/>
      <c r="GX132" s="239"/>
      <c r="GY132" s="239"/>
      <c r="GZ132" s="239"/>
      <c r="HA132" s="239"/>
      <c r="HB132" s="239"/>
      <c r="HC132" s="239"/>
      <c r="HD132" s="239"/>
      <c r="HE132" s="239"/>
      <c r="HF132" s="239"/>
      <c r="HG132" s="239"/>
      <c r="HH132" s="239"/>
      <c r="HI132" s="239"/>
      <c r="HJ132" s="239"/>
      <c r="HK132" s="239"/>
      <c r="HL132" s="239"/>
      <c r="HM132" s="239"/>
      <c r="HN132" s="239"/>
      <c r="HO132" s="239"/>
      <c r="HP132" s="239"/>
      <c r="HQ132" s="239"/>
      <c r="HR132" s="239"/>
      <c r="HS132" s="239"/>
      <c r="HT132" s="239"/>
      <c r="HU132" s="239"/>
      <c r="HV132" s="239"/>
      <c r="HW132" s="239"/>
      <c r="HX132" s="239"/>
      <c r="HY132" s="239"/>
      <c r="HZ132" s="239"/>
      <c r="IA132" s="239"/>
      <c r="IB132" s="239"/>
      <c r="IC132" s="239"/>
      <c r="ID132" s="239"/>
      <c r="IE132" s="239"/>
      <c r="IF132" s="239"/>
      <c r="IG132" s="239"/>
      <c r="IH132" s="239"/>
      <c r="II132" s="239"/>
      <c r="IJ132" s="239"/>
      <c r="IK132" s="239"/>
      <c r="IL132" s="239"/>
      <c r="IM132" s="239"/>
      <c r="IN132" s="239"/>
      <c r="IO132" s="239"/>
      <c r="IP132" s="239"/>
      <c r="IQ132" s="239"/>
      <c r="IR132" s="239"/>
      <c r="IS132" s="239"/>
      <c r="IT132" s="239"/>
      <c r="IU132" s="239"/>
      <c r="IV132" s="239"/>
      <c r="IW132" s="239"/>
      <c r="IX132" s="239"/>
      <c r="IY132" s="239"/>
      <c r="IZ132" s="239"/>
      <c r="JA132" s="239"/>
      <c r="JB132" s="239"/>
      <c r="JC132" s="239"/>
      <c r="JD132" s="239"/>
      <c r="JE132" s="239"/>
      <c r="JF132" s="239"/>
      <c r="JG132" s="239"/>
      <c r="JH132" s="239"/>
      <c r="JI132" s="239"/>
      <c r="JJ132" s="239"/>
      <c r="JK132" s="239"/>
      <c r="JL132" s="239"/>
      <c r="JM132" s="239"/>
      <c r="JN132" s="239"/>
      <c r="JO132" s="239"/>
      <c r="JP132" s="239"/>
      <c r="JQ132" s="239"/>
      <c r="JR132" s="239"/>
      <c r="JS132" s="239"/>
      <c r="JT132" s="239"/>
      <c r="JU132" s="239"/>
      <c r="JV132" s="239"/>
      <c r="JW132" s="239"/>
      <c r="JX132" s="239"/>
      <c r="JY132" s="239"/>
      <c r="JZ132" s="239"/>
      <c r="KA132" s="239"/>
      <c r="KB132" s="239"/>
      <c r="KC132" s="239"/>
      <c r="KD132" s="239"/>
      <c r="KE132" s="239"/>
      <c r="KF132" s="239"/>
      <c r="KG132" s="239"/>
      <c r="KH132" s="239"/>
      <c r="KI132" s="239"/>
      <c r="KJ132" s="239"/>
      <c r="KK132" s="239"/>
      <c r="KL132" s="239"/>
      <c r="KM132" s="239"/>
      <c r="KN132" s="239"/>
      <c r="KO132" s="239"/>
      <c r="KP132" s="239"/>
      <c r="KQ132" s="239"/>
      <c r="KR132" s="239"/>
      <c r="KS132" s="239"/>
      <c r="KT132" s="239"/>
      <c r="KU132" s="239"/>
      <c r="KV132" s="239"/>
      <c r="KW132" s="239"/>
      <c r="KX132" s="239"/>
      <c r="KY132" s="239"/>
      <c r="KZ132" s="239"/>
      <c r="LA132" s="239"/>
      <c r="LB132" s="239"/>
      <c r="LC132" s="239"/>
      <c r="LD132" s="239"/>
      <c r="LE132" s="239"/>
      <c r="LF132" s="239"/>
      <c r="LG132" s="239"/>
      <c r="LH132" s="239"/>
      <c r="LI132" s="239"/>
      <c r="LJ132" s="239"/>
      <c r="LK132" s="239"/>
      <c r="LL132" s="239"/>
      <c r="LM132" s="239"/>
      <c r="LN132" s="239"/>
      <c r="LO132" s="239"/>
      <c r="LP132" s="239"/>
      <c r="LQ132" s="239"/>
      <c r="LR132" s="239"/>
      <c r="LS132" s="239"/>
      <c r="LT132" s="239"/>
      <c r="LU132" s="239"/>
      <c r="LV132" s="239"/>
      <c r="LW132" s="239"/>
      <c r="LX132" s="239"/>
      <c r="LY132" s="239"/>
      <c r="LZ132" s="239"/>
      <c r="MA132" s="239"/>
      <c r="MB132" s="239"/>
      <c r="MC132" s="239"/>
      <c r="MD132" s="239"/>
      <c r="ME132" s="239"/>
      <c r="MF132" s="239"/>
      <c r="MG132" s="239"/>
      <c r="MH132" s="239"/>
      <c r="MI132" s="239"/>
      <c r="MJ132" s="239"/>
      <c r="MK132" s="239"/>
      <c r="ML132" s="239"/>
      <c r="MM132" s="239"/>
      <c r="MN132" s="239"/>
      <c r="MO132" s="239"/>
      <c r="MP132" s="239"/>
      <c r="MQ132" s="239"/>
      <c r="MR132" s="239"/>
      <c r="MS132" s="239"/>
      <c r="MT132" s="239"/>
      <c r="MU132" s="239"/>
      <c r="MV132" s="239"/>
      <c r="MW132" s="239"/>
      <c r="MX132" s="239"/>
      <c r="MY132" s="239"/>
      <c r="MZ132" s="239"/>
      <c r="NA132" s="239"/>
      <c r="NB132" s="239"/>
      <c r="NC132" s="239"/>
      <c r="ND132" s="239"/>
      <c r="NE132" s="239"/>
      <c r="NF132" s="239"/>
      <c r="NG132" s="239"/>
      <c r="NH132" s="239"/>
      <c r="NI132" s="239"/>
      <c r="NJ132" s="239"/>
      <c r="NK132" s="239"/>
      <c r="NL132" s="239"/>
      <c r="NM132" s="239"/>
      <c r="NN132" s="239"/>
      <c r="NO132" s="239"/>
      <c r="NP132" s="239"/>
      <c r="NQ132" s="239"/>
      <c r="NR132" s="239"/>
      <c r="NS132" s="239"/>
      <c r="NT132" s="239"/>
      <c r="NU132" s="239"/>
      <c r="NV132" s="239"/>
      <c r="NW132" s="239"/>
      <c r="NX132" s="239"/>
      <c r="NY132" s="239"/>
      <c r="NZ132" s="239"/>
      <c r="OA132" s="239"/>
      <c r="OB132" s="239"/>
      <c r="OC132" s="239"/>
      <c r="OD132" s="239"/>
      <c r="OE132" s="239"/>
      <c r="OF132" s="239"/>
      <c r="OG132" s="239"/>
      <c r="OH132" s="239"/>
      <c r="OI132" s="239"/>
      <c r="OJ132" s="239"/>
      <c r="OK132" s="239"/>
      <c r="OL132" s="239"/>
      <c r="OM132" s="239"/>
      <c r="ON132" s="239"/>
      <c r="OO132" s="239"/>
      <c r="OP132" s="239"/>
      <c r="OQ132" s="239"/>
      <c r="OR132" s="239"/>
      <c r="OS132" s="239"/>
      <c r="OT132" s="239"/>
      <c r="OU132" s="239"/>
      <c r="OV132" s="239"/>
      <c r="OW132" s="239"/>
      <c r="OX132" s="239"/>
      <c r="OY132" s="239"/>
      <c r="OZ132" s="239"/>
      <c r="PA132" s="239"/>
      <c r="PB132" s="239"/>
      <c r="PC132" s="239"/>
      <c r="PD132" s="239"/>
      <c r="PE132" s="239"/>
      <c r="PF132" s="239"/>
      <c r="PG132" s="239"/>
      <c r="PH132" s="239"/>
      <c r="PI132" s="239"/>
      <c r="PJ132" s="239"/>
      <c r="PK132" s="239"/>
      <c r="PL132" s="239"/>
      <c r="PM132" s="239"/>
      <c r="PN132" s="239"/>
      <c r="PO132" s="239"/>
      <c r="PP132" s="239"/>
      <c r="PQ132" s="239"/>
      <c r="PR132" s="239"/>
      <c r="PS132" s="239"/>
      <c r="PT132" s="239"/>
      <c r="PU132" s="239"/>
      <c r="PV132" s="239"/>
      <c r="PW132" s="239"/>
      <c r="PX132" s="239"/>
      <c r="PY132" s="239"/>
      <c r="PZ132" s="239"/>
      <c r="QA132" s="239"/>
      <c r="QB132" s="239"/>
      <c r="QC132" s="239"/>
      <c r="QD132" s="239"/>
      <c r="QE132" s="239"/>
      <c r="QF132" s="239"/>
      <c r="QG132" s="239"/>
      <c r="QH132" s="239"/>
      <c r="QI132" s="239"/>
      <c r="QJ132" s="239"/>
      <c r="QK132" s="239"/>
      <c r="QL132" s="239"/>
      <c r="QM132" s="239"/>
      <c r="QN132" s="239"/>
      <c r="QO132" s="239"/>
      <c r="QP132" s="239"/>
      <c r="QQ132" s="239"/>
      <c r="QR132" s="239"/>
      <c r="QS132" s="239"/>
      <c r="QT132" s="239"/>
      <c r="QU132" s="239"/>
      <c r="QV132" s="239"/>
      <c r="QW132" s="239"/>
      <c r="QX132" s="239"/>
      <c r="QY132" s="239"/>
      <c r="QZ132" s="239"/>
      <c r="RA132" s="239"/>
      <c r="RB132" s="239"/>
      <c r="RC132" s="239"/>
      <c r="RD132" s="239"/>
      <c r="RE132" s="239"/>
      <c r="RF132" s="239"/>
      <c r="RG132" s="239"/>
      <c r="RH132" s="239"/>
      <c r="RI132" s="239"/>
      <c r="RJ132" s="239"/>
      <c r="RK132" s="239"/>
      <c r="RL132" s="239"/>
      <c r="RM132" s="239"/>
      <c r="RN132" s="239"/>
      <c r="RO132" s="239"/>
      <c r="RP132" s="239"/>
      <c r="RQ132" s="239"/>
      <c r="RR132" s="239"/>
      <c r="RS132" s="239"/>
      <c r="RT132" s="239"/>
      <c r="RU132" s="239"/>
      <c r="RV132" s="239"/>
      <c r="RW132" s="239"/>
      <c r="RX132" s="239"/>
      <c r="RY132" s="239"/>
      <c r="RZ132" s="239"/>
      <c r="SA132" s="239"/>
      <c r="SB132" s="239"/>
      <c r="SC132" s="239"/>
      <c r="SD132" s="239"/>
      <c r="SE132" s="239"/>
      <c r="SF132" s="239"/>
      <c r="SG132" s="239"/>
      <c r="SH132" s="239"/>
      <c r="SI132" s="239"/>
      <c r="SJ132" s="239"/>
      <c r="SK132" s="239"/>
      <c r="SL132" s="239"/>
      <c r="SM132" s="239"/>
      <c r="SN132" s="239"/>
      <c r="SO132" s="239"/>
      <c r="SP132" s="239"/>
      <c r="SQ132" s="239"/>
      <c r="SR132" s="239"/>
      <c r="SS132" s="239"/>
      <c r="ST132" s="239"/>
      <c r="SU132" s="239"/>
      <c r="SV132" s="239"/>
      <c r="SW132" s="239"/>
      <c r="SX132" s="239"/>
      <c r="SY132" s="239"/>
      <c r="SZ132" s="239"/>
      <c r="TA132" s="239"/>
      <c r="TB132" s="239"/>
      <c r="TC132" s="239"/>
      <c r="TD132" s="239"/>
      <c r="TE132" s="239"/>
      <c r="TF132" s="239"/>
      <c r="TG132" s="239"/>
      <c r="TH132" s="239"/>
      <c r="TI132" s="239"/>
      <c r="TJ132" s="239"/>
      <c r="TK132" s="239"/>
      <c r="TL132" s="239"/>
      <c r="TM132" s="239"/>
      <c r="TN132" s="239"/>
      <c r="TO132" s="239"/>
      <c r="TP132" s="239"/>
      <c r="TQ132" s="239"/>
      <c r="TR132" s="239"/>
      <c r="TS132" s="239"/>
      <c r="TT132" s="239"/>
      <c r="TU132" s="239"/>
      <c r="TV132" s="239"/>
      <c r="TW132" s="239"/>
      <c r="TX132" s="239"/>
      <c r="TY132" s="239"/>
      <c r="TZ132" s="239"/>
      <c r="UA132" s="239"/>
      <c r="UB132" s="239"/>
      <c r="UC132" s="239"/>
      <c r="UD132" s="239"/>
      <c r="UE132" s="239"/>
      <c r="UF132" s="239"/>
      <c r="UG132" s="240"/>
    </row>
    <row r="133" spans="1:553" s="236" customFormat="1" ht="62.25" customHeight="1">
      <c r="A133" s="356" t="s">
        <v>15</v>
      </c>
      <c r="B133" s="366" t="s">
        <v>183</v>
      </c>
      <c r="C133" s="1414" t="s">
        <v>887</v>
      </c>
      <c r="D133" s="1389"/>
      <c r="E133" s="1389"/>
      <c r="F133" s="1390"/>
      <c r="G133" s="386" t="s">
        <v>935</v>
      </c>
      <c r="H133" s="370"/>
      <c r="I133" s="422">
        <f>3.9*2.4</f>
        <v>9.36</v>
      </c>
      <c r="J133" s="368">
        <v>3904400</v>
      </c>
      <c r="K133" s="371"/>
      <c r="L133" s="391">
        <f>ROUND(PRODUCT(I133:K133),0)</f>
        <v>36545184</v>
      </c>
      <c r="M133" s="395"/>
      <c r="N133" s="395"/>
      <c r="O133" s="366"/>
      <c r="P133" s="396"/>
      <c r="Q133" s="473"/>
      <c r="R133" s="1039"/>
      <c r="S133" s="308"/>
      <c r="T133" s="303"/>
      <c r="U133" s="306"/>
      <c r="V133" s="307"/>
      <c r="W133" s="307"/>
      <c r="X133" s="307"/>
      <c r="Y133" s="307"/>
      <c r="Z133" s="307"/>
      <c r="AA133" s="307"/>
      <c r="AB133" s="307"/>
      <c r="AC133" s="449"/>
      <c r="AD133" s="449"/>
      <c r="AE133" s="449"/>
      <c r="AF133" s="449"/>
      <c r="AG133" s="452"/>
      <c r="AH133" s="452"/>
      <c r="AI133" s="452"/>
      <c r="AJ133" s="452"/>
      <c r="AK133" s="452"/>
      <c r="AL133" s="242"/>
      <c r="AM133" s="241"/>
      <c r="AN133" s="241"/>
      <c r="AO133" s="241"/>
      <c r="AP133" s="241"/>
      <c r="AQ133" s="238"/>
      <c r="AR133" s="238"/>
      <c r="AS133" s="238"/>
      <c r="AT133" s="238"/>
      <c r="AU133" s="238"/>
      <c r="AV133" s="238"/>
      <c r="AW133" s="238"/>
      <c r="AX133" s="238"/>
      <c r="AY133" s="238"/>
      <c r="AZ133" s="238"/>
      <c r="BA133" s="238"/>
      <c r="BB133" s="238"/>
      <c r="BC133" s="238"/>
      <c r="BD133" s="238"/>
      <c r="BE133" s="238"/>
      <c r="BF133" s="238"/>
      <c r="BG133" s="238"/>
      <c r="BH133" s="238"/>
      <c r="BI133" s="238"/>
      <c r="BJ133" s="238"/>
      <c r="BK133" s="238"/>
      <c r="BL133" s="238"/>
      <c r="BM133" s="239"/>
      <c r="BN133" s="239"/>
      <c r="BO133" s="239"/>
      <c r="BP133" s="239"/>
      <c r="BQ133" s="239"/>
      <c r="BR133" s="239"/>
      <c r="BS133" s="239"/>
      <c r="BT133" s="239"/>
      <c r="BU133" s="239"/>
      <c r="BV133" s="239"/>
      <c r="BW133" s="239"/>
      <c r="BX133" s="239"/>
      <c r="BY133" s="239"/>
      <c r="BZ133" s="239"/>
      <c r="CA133" s="239"/>
      <c r="CB133" s="239"/>
      <c r="CC133" s="239"/>
      <c r="CD133" s="239"/>
      <c r="CE133" s="239"/>
      <c r="CF133" s="239"/>
      <c r="CG133" s="239"/>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39"/>
      <c r="DH133" s="239"/>
      <c r="DI133" s="239"/>
      <c r="DJ133" s="239"/>
      <c r="DK133" s="239"/>
      <c r="DL133" s="239"/>
      <c r="DM133" s="239"/>
      <c r="DN133" s="239"/>
      <c r="DO133" s="239"/>
      <c r="DP133" s="239"/>
      <c r="DQ133" s="239"/>
      <c r="DR133" s="239"/>
      <c r="DS133" s="239"/>
      <c r="DT133" s="239"/>
      <c r="DU133" s="239"/>
      <c r="DV133" s="239"/>
      <c r="DW133" s="239"/>
      <c r="DX133" s="239"/>
      <c r="DY133" s="239"/>
      <c r="DZ133" s="239"/>
      <c r="EA133" s="239"/>
      <c r="EB133" s="239"/>
      <c r="EC133" s="239"/>
      <c r="ED133" s="239"/>
      <c r="EE133" s="239"/>
      <c r="EF133" s="239"/>
      <c r="EG133" s="239"/>
      <c r="EH133" s="239"/>
      <c r="EI133" s="239"/>
      <c r="EJ133" s="239"/>
      <c r="EK133" s="239"/>
      <c r="EL133" s="239"/>
      <c r="EM133" s="239"/>
      <c r="EN133" s="239"/>
      <c r="EO133" s="239"/>
      <c r="EP133" s="239"/>
      <c r="EQ133" s="239"/>
      <c r="ER133" s="239"/>
      <c r="ES133" s="239"/>
      <c r="ET133" s="239"/>
      <c r="EU133" s="239"/>
      <c r="EV133" s="239"/>
      <c r="EW133" s="239"/>
      <c r="EX133" s="239"/>
      <c r="EY133" s="239"/>
      <c r="EZ133" s="239"/>
      <c r="FA133" s="239"/>
      <c r="FB133" s="239"/>
      <c r="FC133" s="239"/>
      <c r="FD133" s="239"/>
      <c r="FE133" s="239"/>
      <c r="FF133" s="239"/>
      <c r="FG133" s="239"/>
      <c r="FH133" s="239"/>
      <c r="FI133" s="239"/>
      <c r="FJ133" s="239"/>
      <c r="FK133" s="239"/>
      <c r="FL133" s="239"/>
      <c r="FM133" s="239"/>
      <c r="FN133" s="239"/>
      <c r="FO133" s="239"/>
      <c r="FP133" s="239"/>
      <c r="FQ133" s="239"/>
      <c r="FR133" s="239"/>
      <c r="FS133" s="239"/>
      <c r="FT133" s="239"/>
      <c r="FU133" s="239"/>
      <c r="FV133" s="239"/>
      <c r="FW133" s="239"/>
      <c r="FX133" s="239"/>
      <c r="FY133" s="239"/>
      <c r="FZ133" s="239"/>
      <c r="GA133" s="239"/>
      <c r="GB133" s="239"/>
      <c r="GC133" s="239"/>
      <c r="GD133" s="239"/>
      <c r="GE133" s="239"/>
      <c r="GF133" s="239"/>
      <c r="GG133" s="239"/>
      <c r="GH133" s="239"/>
      <c r="GI133" s="239"/>
      <c r="GJ133" s="239"/>
      <c r="GK133" s="239"/>
      <c r="GL133" s="239"/>
      <c r="GM133" s="239"/>
      <c r="GN133" s="239"/>
      <c r="GO133" s="239"/>
      <c r="GP133" s="239"/>
      <c r="GQ133" s="239"/>
      <c r="GR133" s="239"/>
      <c r="GS133" s="239"/>
      <c r="GT133" s="239"/>
      <c r="GU133" s="239"/>
      <c r="GV133" s="239"/>
      <c r="GW133" s="239"/>
      <c r="GX133" s="239"/>
      <c r="GY133" s="239"/>
      <c r="GZ133" s="239"/>
      <c r="HA133" s="239"/>
      <c r="HB133" s="239"/>
      <c r="HC133" s="239"/>
      <c r="HD133" s="239"/>
      <c r="HE133" s="239"/>
      <c r="HF133" s="239"/>
      <c r="HG133" s="239"/>
      <c r="HH133" s="239"/>
      <c r="HI133" s="239"/>
      <c r="HJ133" s="239"/>
      <c r="HK133" s="239"/>
      <c r="HL133" s="239"/>
      <c r="HM133" s="239"/>
      <c r="HN133" s="239"/>
      <c r="HO133" s="239"/>
      <c r="HP133" s="239"/>
      <c r="HQ133" s="239"/>
      <c r="HR133" s="239"/>
      <c r="HS133" s="239"/>
      <c r="HT133" s="239"/>
      <c r="HU133" s="239"/>
      <c r="HV133" s="239"/>
      <c r="HW133" s="239"/>
      <c r="HX133" s="239"/>
      <c r="HY133" s="239"/>
      <c r="HZ133" s="239"/>
      <c r="IA133" s="239"/>
      <c r="IB133" s="239"/>
      <c r="IC133" s="239"/>
      <c r="ID133" s="239"/>
      <c r="IE133" s="239"/>
      <c r="IF133" s="239"/>
      <c r="IG133" s="239"/>
      <c r="IH133" s="239"/>
      <c r="II133" s="239"/>
      <c r="IJ133" s="239"/>
      <c r="IK133" s="239"/>
      <c r="IL133" s="239"/>
      <c r="IM133" s="239"/>
      <c r="IN133" s="239"/>
      <c r="IO133" s="239"/>
      <c r="IP133" s="239"/>
      <c r="IQ133" s="239"/>
      <c r="IR133" s="239"/>
      <c r="IS133" s="239"/>
      <c r="IT133" s="239"/>
      <c r="IU133" s="239"/>
      <c r="IV133" s="239"/>
      <c r="IW133" s="239"/>
      <c r="IX133" s="239"/>
      <c r="IY133" s="239"/>
      <c r="IZ133" s="239"/>
      <c r="JA133" s="239"/>
      <c r="JB133" s="239"/>
      <c r="JC133" s="239"/>
      <c r="JD133" s="239"/>
      <c r="JE133" s="239"/>
      <c r="JF133" s="239"/>
      <c r="JG133" s="239"/>
      <c r="JH133" s="239"/>
      <c r="JI133" s="239"/>
      <c r="JJ133" s="239"/>
      <c r="JK133" s="239"/>
      <c r="JL133" s="239"/>
      <c r="JM133" s="239"/>
      <c r="JN133" s="239"/>
      <c r="JO133" s="239"/>
      <c r="JP133" s="239"/>
      <c r="JQ133" s="239"/>
      <c r="JR133" s="239"/>
      <c r="JS133" s="239"/>
      <c r="JT133" s="239"/>
      <c r="JU133" s="239"/>
      <c r="JV133" s="239"/>
      <c r="JW133" s="239"/>
      <c r="JX133" s="239"/>
      <c r="JY133" s="239"/>
      <c r="JZ133" s="239"/>
      <c r="KA133" s="239"/>
      <c r="KB133" s="239"/>
      <c r="KC133" s="239"/>
      <c r="KD133" s="239"/>
      <c r="KE133" s="239"/>
      <c r="KF133" s="239"/>
      <c r="KG133" s="239"/>
      <c r="KH133" s="239"/>
      <c r="KI133" s="239"/>
      <c r="KJ133" s="239"/>
      <c r="KK133" s="239"/>
      <c r="KL133" s="239"/>
      <c r="KM133" s="239"/>
      <c r="KN133" s="239"/>
      <c r="KO133" s="239"/>
      <c r="KP133" s="239"/>
      <c r="KQ133" s="239"/>
      <c r="KR133" s="239"/>
      <c r="KS133" s="239"/>
      <c r="KT133" s="239"/>
      <c r="KU133" s="239"/>
      <c r="KV133" s="239"/>
      <c r="KW133" s="239"/>
      <c r="KX133" s="239"/>
      <c r="KY133" s="239"/>
      <c r="KZ133" s="239"/>
      <c r="LA133" s="239"/>
      <c r="LB133" s="239"/>
      <c r="LC133" s="239"/>
      <c r="LD133" s="239"/>
      <c r="LE133" s="239"/>
      <c r="LF133" s="239"/>
      <c r="LG133" s="239"/>
      <c r="LH133" s="239"/>
      <c r="LI133" s="239"/>
      <c r="LJ133" s="239"/>
      <c r="LK133" s="239"/>
      <c r="LL133" s="239"/>
      <c r="LM133" s="239"/>
      <c r="LN133" s="239"/>
      <c r="LO133" s="239"/>
      <c r="LP133" s="239"/>
      <c r="LQ133" s="239"/>
      <c r="LR133" s="239"/>
      <c r="LS133" s="239"/>
      <c r="LT133" s="239"/>
      <c r="LU133" s="239"/>
      <c r="LV133" s="239"/>
      <c r="LW133" s="239"/>
      <c r="LX133" s="239"/>
      <c r="LY133" s="239"/>
      <c r="LZ133" s="239"/>
      <c r="MA133" s="239"/>
      <c r="MB133" s="239"/>
      <c r="MC133" s="239"/>
      <c r="MD133" s="239"/>
      <c r="ME133" s="239"/>
      <c r="MF133" s="239"/>
      <c r="MG133" s="239"/>
      <c r="MH133" s="239"/>
      <c r="MI133" s="239"/>
      <c r="MJ133" s="239"/>
      <c r="MK133" s="239"/>
      <c r="ML133" s="239"/>
      <c r="MM133" s="239"/>
      <c r="MN133" s="239"/>
      <c r="MO133" s="239"/>
      <c r="MP133" s="239"/>
      <c r="MQ133" s="239"/>
      <c r="MR133" s="239"/>
      <c r="MS133" s="239"/>
      <c r="MT133" s="239"/>
      <c r="MU133" s="239"/>
      <c r="MV133" s="239"/>
      <c r="MW133" s="239"/>
      <c r="MX133" s="239"/>
      <c r="MY133" s="239"/>
      <c r="MZ133" s="239"/>
      <c r="NA133" s="239"/>
      <c r="NB133" s="239"/>
      <c r="NC133" s="239"/>
      <c r="ND133" s="239"/>
      <c r="NE133" s="239"/>
      <c r="NF133" s="239"/>
      <c r="NG133" s="239"/>
      <c r="NH133" s="239"/>
      <c r="NI133" s="239"/>
      <c r="NJ133" s="239"/>
      <c r="NK133" s="239"/>
      <c r="NL133" s="239"/>
      <c r="NM133" s="239"/>
      <c r="NN133" s="239"/>
      <c r="NO133" s="239"/>
      <c r="NP133" s="239"/>
      <c r="NQ133" s="239"/>
      <c r="NR133" s="239"/>
      <c r="NS133" s="239"/>
      <c r="NT133" s="239"/>
      <c r="NU133" s="239"/>
      <c r="NV133" s="239"/>
      <c r="NW133" s="239"/>
      <c r="NX133" s="239"/>
      <c r="NY133" s="239"/>
      <c r="NZ133" s="239"/>
      <c r="OA133" s="239"/>
      <c r="OB133" s="239"/>
      <c r="OC133" s="239"/>
      <c r="OD133" s="239"/>
      <c r="OE133" s="239"/>
      <c r="OF133" s="239"/>
      <c r="OG133" s="239"/>
      <c r="OH133" s="239"/>
      <c r="OI133" s="239"/>
      <c r="OJ133" s="239"/>
      <c r="OK133" s="239"/>
      <c r="OL133" s="239"/>
      <c r="OM133" s="239"/>
      <c r="ON133" s="239"/>
      <c r="OO133" s="239"/>
      <c r="OP133" s="239"/>
      <c r="OQ133" s="239"/>
      <c r="OR133" s="239"/>
      <c r="OS133" s="239"/>
      <c r="OT133" s="239"/>
      <c r="OU133" s="239"/>
      <c r="OV133" s="239"/>
      <c r="OW133" s="239"/>
      <c r="OX133" s="239"/>
      <c r="OY133" s="239"/>
      <c r="OZ133" s="239"/>
      <c r="PA133" s="239"/>
      <c r="PB133" s="239"/>
      <c r="PC133" s="239"/>
      <c r="PD133" s="239"/>
      <c r="PE133" s="239"/>
      <c r="PF133" s="239"/>
      <c r="PG133" s="239"/>
      <c r="PH133" s="239"/>
      <c r="PI133" s="239"/>
      <c r="PJ133" s="239"/>
      <c r="PK133" s="239"/>
      <c r="PL133" s="239"/>
      <c r="PM133" s="239"/>
      <c r="PN133" s="239"/>
      <c r="PO133" s="239"/>
      <c r="PP133" s="239"/>
      <c r="PQ133" s="239"/>
      <c r="PR133" s="239"/>
      <c r="PS133" s="239"/>
      <c r="PT133" s="239"/>
      <c r="PU133" s="239"/>
      <c r="PV133" s="239"/>
      <c r="PW133" s="239"/>
      <c r="PX133" s="239"/>
      <c r="PY133" s="239"/>
      <c r="PZ133" s="239"/>
      <c r="QA133" s="239"/>
      <c r="QB133" s="239"/>
      <c r="QC133" s="239"/>
      <c r="QD133" s="239"/>
      <c r="QE133" s="239"/>
      <c r="QF133" s="239"/>
      <c r="QG133" s="239"/>
      <c r="QH133" s="239"/>
      <c r="QI133" s="239"/>
      <c r="QJ133" s="239"/>
      <c r="QK133" s="239"/>
      <c r="QL133" s="239"/>
      <c r="QM133" s="239"/>
      <c r="QN133" s="239"/>
      <c r="QO133" s="239"/>
      <c r="QP133" s="239"/>
      <c r="QQ133" s="239"/>
      <c r="QR133" s="239"/>
      <c r="QS133" s="239"/>
      <c r="QT133" s="239"/>
      <c r="QU133" s="239"/>
      <c r="QV133" s="239"/>
      <c r="QW133" s="239"/>
      <c r="QX133" s="239"/>
      <c r="QY133" s="239"/>
      <c r="QZ133" s="239"/>
      <c r="RA133" s="239"/>
      <c r="RB133" s="239"/>
      <c r="RC133" s="239"/>
      <c r="RD133" s="239"/>
      <c r="RE133" s="239"/>
      <c r="RF133" s="239"/>
      <c r="RG133" s="239"/>
      <c r="RH133" s="239"/>
      <c r="RI133" s="239"/>
      <c r="RJ133" s="239"/>
      <c r="RK133" s="239"/>
      <c r="RL133" s="239"/>
      <c r="RM133" s="239"/>
      <c r="RN133" s="239"/>
      <c r="RO133" s="239"/>
      <c r="RP133" s="239"/>
      <c r="RQ133" s="239"/>
      <c r="RR133" s="239"/>
      <c r="RS133" s="239"/>
      <c r="RT133" s="239"/>
      <c r="RU133" s="239"/>
      <c r="RV133" s="239"/>
      <c r="RW133" s="239"/>
      <c r="RX133" s="239"/>
      <c r="RY133" s="239"/>
      <c r="RZ133" s="239"/>
      <c r="SA133" s="239"/>
      <c r="SB133" s="239"/>
      <c r="SC133" s="239"/>
      <c r="SD133" s="239"/>
      <c r="SE133" s="239"/>
      <c r="SF133" s="239"/>
      <c r="SG133" s="239"/>
      <c r="SH133" s="239"/>
      <c r="SI133" s="239"/>
      <c r="SJ133" s="239"/>
      <c r="SK133" s="239"/>
      <c r="SL133" s="239"/>
      <c r="SM133" s="239"/>
      <c r="SN133" s="239"/>
      <c r="SO133" s="239"/>
      <c r="SP133" s="239"/>
      <c r="SQ133" s="239"/>
      <c r="SR133" s="239"/>
      <c r="SS133" s="239"/>
      <c r="ST133" s="239"/>
      <c r="SU133" s="239"/>
      <c r="SV133" s="239"/>
      <c r="SW133" s="239"/>
      <c r="SX133" s="239"/>
      <c r="SY133" s="239"/>
      <c r="SZ133" s="239"/>
      <c r="TA133" s="239"/>
      <c r="TB133" s="239"/>
      <c r="TC133" s="239"/>
      <c r="TD133" s="239"/>
      <c r="TE133" s="239"/>
      <c r="TF133" s="239"/>
      <c r="TG133" s="239"/>
      <c r="TH133" s="239"/>
      <c r="TI133" s="239"/>
      <c r="TJ133" s="239"/>
      <c r="TK133" s="239"/>
      <c r="TL133" s="239"/>
      <c r="TM133" s="239"/>
      <c r="TN133" s="239"/>
      <c r="TO133" s="239"/>
      <c r="TP133" s="239"/>
      <c r="TQ133" s="239"/>
      <c r="TR133" s="239"/>
      <c r="TS133" s="239"/>
      <c r="TT133" s="239"/>
      <c r="TU133" s="239"/>
      <c r="TV133" s="239"/>
      <c r="TW133" s="239"/>
      <c r="TX133" s="239"/>
      <c r="TY133" s="239"/>
      <c r="TZ133" s="239"/>
      <c r="UA133" s="239"/>
      <c r="UB133" s="239"/>
      <c r="UC133" s="239"/>
      <c r="UD133" s="239"/>
      <c r="UE133" s="239"/>
      <c r="UF133" s="239"/>
      <c r="UG133" s="240"/>
    </row>
    <row r="134" spans="1:553" s="236" customFormat="1" ht="34.5" customHeight="1">
      <c r="A134" s="356" t="s">
        <v>15</v>
      </c>
      <c r="B134" s="366" t="s">
        <v>79</v>
      </c>
      <c r="C134" s="1443" t="s">
        <v>184</v>
      </c>
      <c r="D134" s="1389"/>
      <c r="E134" s="1389"/>
      <c r="F134" s="1390"/>
      <c r="G134" s="386" t="s">
        <v>935</v>
      </c>
      <c r="H134" s="370"/>
      <c r="I134" s="422">
        <f t="shared" ref="I134:I135" si="30">3.8*4.7</f>
        <v>17.86</v>
      </c>
      <c r="J134" s="368">
        <v>60200</v>
      </c>
      <c r="K134" s="371"/>
      <c r="L134" s="391">
        <f t="shared" si="26"/>
        <v>1075172</v>
      </c>
      <c r="M134" s="395"/>
      <c r="N134" s="395"/>
      <c r="O134" s="366"/>
      <c r="P134" s="396"/>
      <c r="Q134" s="473"/>
      <c r="R134" s="1039"/>
      <c r="S134" s="308"/>
      <c r="T134" s="303"/>
      <c r="U134" s="306"/>
      <c r="V134" s="307"/>
      <c r="W134" s="307"/>
      <c r="X134" s="307"/>
      <c r="Y134" s="307"/>
      <c r="Z134" s="307"/>
      <c r="AA134" s="307"/>
      <c r="AB134" s="307"/>
      <c r="AC134" s="449"/>
      <c r="AD134" s="449"/>
      <c r="AE134" s="449"/>
      <c r="AF134" s="449"/>
      <c r="AG134" s="452"/>
      <c r="AH134" s="452"/>
      <c r="AI134" s="452"/>
      <c r="AJ134" s="452"/>
      <c r="AK134" s="452"/>
      <c r="AL134" s="242"/>
      <c r="AM134" s="241"/>
      <c r="AN134" s="241"/>
      <c r="AO134" s="241"/>
      <c r="AP134" s="241"/>
      <c r="AQ134" s="238"/>
      <c r="AR134" s="238"/>
      <c r="AS134" s="238"/>
      <c r="AT134" s="238"/>
      <c r="AU134" s="238"/>
      <c r="AV134" s="238"/>
      <c r="AW134" s="238"/>
      <c r="AX134" s="238"/>
      <c r="AY134" s="238"/>
      <c r="AZ134" s="238"/>
      <c r="BA134" s="238"/>
      <c r="BB134" s="238"/>
      <c r="BC134" s="238"/>
      <c r="BD134" s="238"/>
      <c r="BE134" s="238"/>
      <c r="BF134" s="238"/>
      <c r="BG134" s="238"/>
      <c r="BH134" s="238"/>
      <c r="BI134" s="238"/>
      <c r="BJ134" s="238"/>
      <c r="BK134" s="238"/>
      <c r="BL134" s="238"/>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239"/>
      <c r="EB134" s="239"/>
      <c r="EC134" s="239"/>
      <c r="ED134" s="239"/>
      <c r="EE134" s="239"/>
      <c r="EF134" s="239"/>
      <c r="EG134" s="239"/>
      <c r="EH134" s="239"/>
      <c r="EI134" s="239"/>
      <c r="EJ134" s="239"/>
      <c r="EK134" s="239"/>
      <c r="EL134" s="239"/>
      <c r="EM134" s="239"/>
      <c r="EN134" s="239"/>
      <c r="EO134" s="239"/>
      <c r="EP134" s="239"/>
      <c r="EQ134" s="239"/>
      <c r="ER134" s="239"/>
      <c r="ES134" s="239"/>
      <c r="ET134" s="239"/>
      <c r="EU134" s="239"/>
      <c r="EV134" s="239"/>
      <c r="EW134" s="239"/>
      <c r="EX134" s="239"/>
      <c r="EY134" s="239"/>
      <c r="EZ134" s="239"/>
      <c r="FA134" s="239"/>
      <c r="FB134" s="239"/>
      <c r="FC134" s="239"/>
      <c r="FD134" s="239"/>
      <c r="FE134" s="239"/>
      <c r="FF134" s="239"/>
      <c r="FG134" s="239"/>
      <c r="FH134" s="239"/>
      <c r="FI134" s="239"/>
      <c r="FJ134" s="239"/>
      <c r="FK134" s="239"/>
      <c r="FL134" s="239"/>
      <c r="FM134" s="239"/>
      <c r="FN134" s="239"/>
      <c r="FO134" s="239"/>
      <c r="FP134" s="239"/>
      <c r="FQ134" s="239"/>
      <c r="FR134" s="239"/>
      <c r="FS134" s="239"/>
      <c r="FT134" s="239"/>
      <c r="FU134" s="239"/>
      <c r="FV134" s="239"/>
      <c r="FW134" s="239"/>
      <c r="FX134" s="239"/>
      <c r="FY134" s="239"/>
      <c r="FZ134" s="239"/>
      <c r="GA134" s="239"/>
      <c r="GB134" s="239"/>
      <c r="GC134" s="239"/>
      <c r="GD134" s="239"/>
      <c r="GE134" s="239"/>
      <c r="GF134" s="239"/>
      <c r="GG134" s="239"/>
      <c r="GH134" s="239"/>
      <c r="GI134" s="239"/>
      <c r="GJ134" s="239"/>
      <c r="GK134" s="239"/>
      <c r="GL134" s="239"/>
      <c r="GM134" s="239"/>
      <c r="GN134" s="239"/>
      <c r="GO134" s="239"/>
      <c r="GP134" s="239"/>
      <c r="GQ134" s="239"/>
      <c r="GR134" s="239"/>
      <c r="GS134" s="239"/>
      <c r="GT134" s="239"/>
      <c r="GU134" s="239"/>
      <c r="GV134" s="239"/>
      <c r="GW134" s="239"/>
      <c r="GX134" s="239"/>
      <c r="GY134" s="239"/>
      <c r="GZ134" s="239"/>
      <c r="HA134" s="239"/>
      <c r="HB134" s="239"/>
      <c r="HC134" s="239"/>
      <c r="HD134" s="239"/>
      <c r="HE134" s="239"/>
      <c r="HF134" s="239"/>
      <c r="HG134" s="239"/>
      <c r="HH134" s="239"/>
      <c r="HI134" s="239"/>
      <c r="HJ134" s="239"/>
      <c r="HK134" s="239"/>
      <c r="HL134" s="239"/>
      <c r="HM134" s="239"/>
      <c r="HN134" s="239"/>
      <c r="HO134" s="239"/>
      <c r="HP134" s="239"/>
      <c r="HQ134" s="239"/>
      <c r="HR134" s="239"/>
      <c r="HS134" s="239"/>
      <c r="HT134" s="239"/>
      <c r="HU134" s="239"/>
      <c r="HV134" s="239"/>
      <c r="HW134" s="239"/>
      <c r="HX134" s="239"/>
      <c r="HY134" s="239"/>
      <c r="HZ134" s="239"/>
      <c r="IA134" s="239"/>
      <c r="IB134" s="239"/>
      <c r="IC134" s="239"/>
      <c r="ID134" s="239"/>
      <c r="IE134" s="239"/>
      <c r="IF134" s="239"/>
      <c r="IG134" s="239"/>
      <c r="IH134" s="239"/>
      <c r="II134" s="239"/>
      <c r="IJ134" s="239"/>
      <c r="IK134" s="239"/>
      <c r="IL134" s="239"/>
      <c r="IM134" s="239"/>
      <c r="IN134" s="239"/>
      <c r="IO134" s="239"/>
      <c r="IP134" s="239"/>
      <c r="IQ134" s="239"/>
      <c r="IR134" s="239"/>
      <c r="IS134" s="239"/>
      <c r="IT134" s="239"/>
      <c r="IU134" s="239"/>
      <c r="IV134" s="239"/>
      <c r="IW134" s="239"/>
      <c r="IX134" s="239"/>
      <c r="IY134" s="239"/>
      <c r="IZ134" s="239"/>
      <c r="JA134" s="239"/>
      <c r="JB134" s="239"/>
      <c r="JC134" s="239"/>
      <c r="JD134" s="239"/>
      <c r="JE134" s="239"/>
      <c r="JF134" s="239"/>
      <c r="JG134" s="239"/>
      <c r="JH134" s="239"/>
      <c r="JI134" s="239"/>
      <c r="JJ134" s="239"/>
      <c r="JK134" s="239"/>
      <c r="JL134" s="239"/>
      <c r="JM134" s="239"/>
      <c r="JN134" s="239"/>
      <c r="JO134" s="239"/>
      <c r="JP134" s="239"/>
      <c r="JQ134" s="239"/>
      <c r="JR134" s="239"/>
      <c r="JS134" s="239"/>
      <c r="JT134" s="239"/>
      <c r="JU134" s="239"/>
      <c r="JV134" s="239"/>
      <c r="JW134" s="239"/>
      <c r="JX134" s="239"/>
      <c r="JY134" s="239"/>
      <c r="JZ134" s="239"/>
      <c r="KA134" s="239"/>
      <c r="KB134" s="239"/>
      <c r="KC134" s="239"/>
      <c r="KD134" s="239"/>
      <c r="KE134" s="239"/>
      <c r="KF134" s="239"/>
      <c r="KG134" s="239"/>
      <c r="KH134" s="239"/>
      <c r="KI134" s="239"/>
      <c r="KJ134" s="239"/>
      <c r="KK134" s="239"/>
      <c r="KL134" s="239"/>
      <c r="KM134" s="239"/>
      <c r="KN134" s="239"/>
      <c r="KO134" s="239"/>
      <c r="KP134" s="239"/>
      <c r="KQ134" s="239"/>
      <c r="KR134" s="239"/>
      <c r="KS134" s="239"/>
      <c r="KT134" s="239"/>
      <c r="KU134" s="239"/>
      <c r="KV134" s="239"/>
      <c r="KW134" s="239"/>
      <c r="KX134" s="239"/>
      <c r="KY134" s="239"/>
      <c r="KZ134" s="239"/>
      <c r="LA134" s="239"/>
      <c r="LB134" s="239"/>
      <c r="LC134" s="239"/>
      <c r="LD134" s="239"/>
      <c r="LE134" s="239"/>
      <c r="LF134" s="239"/>
      <c r="LG134" s="239"/>
      <c r="LH134" s="239"/>
      <c r="LI134" s="239"/>
      <c r="LJ134" s="239"/>
      <c r="LK134" s="239"/>
      <c r="LL134" s="239"/>
      <c r="LM134" s="239"/>
      <c r="LN134" s="239"/>
      <c r="LO134" s="239"/>
      <c r="LP134" s="239"/>
      <c r="LQ134" s="239"/>
      <c r="LR134" s="239"/>
      <c r="LS134" s="239"/>
      <c r="LT134" s="239"/>
      <c r="LU134" s="239"/>
      <c r="LV134" s="239"/>
      <c r="LW134" s="239"/>
      <c r="LX134" s="239"/>
      <c r="LY134" s="239"/>
      <c r="LZ134" s="239"/>
      <c r="MA134" s="239"/>
      <c r="MB134" s="239"/>
      <c r="MC134" s="239"/>
      <c r="MD134" s="239"/>
      <c r="ME134" s="239"/>
      <c r="MF134" s="239"/>
      <c r="MG134" s="239"/>
      <c r="MH134" s="239"/>
      <c r="MI134" s="239"/>
      <c r="MJ134" s="239"/>
      <c r="MK134" s="239"/>
      <c r="ML134" s="239"/>
      <c r="MM134" s="239"/>
      <c r="MN134" s="239"/>
      <c r="MO134" s="239"/>
      <c r="MP134" s="239"/>
      <c r="MQ134" s="239"/>
      <c r="MR134" s="239"/>
      <c r="MS134" s="239"/>
      <c r="MT134" s="239"/>
      <c r="MU134" s="239"/>
      <c r="MV134" s="239"/>
      <c r="MW134" s="239"/>
      <c r="MX134" s="239"/>
      <c r="MY134" s="239"/>
      <c r="MZ134" s="239"/>
      <c r="NA134" s="239"/>
      <c r="NB134" s="239"/>
      <c r="NC134" s="239"/>
      <c r="ND134" s="239"/>
      <c r="NE134" s="239"/>
      <c r="NF134" s="239"/>
      <c r="NG134" s="239"/>
      <c r="NH134" s="239"/>
      <c r="NI134" s="239"/>
      <c r="NJ134" s="239"/>
      <c r="NK134" s="239"/>
      <c r="NL134" s="239"/>
      <c r="NM134" s="239"/>
      <c r="NN134" s="239"/>
      <c r="NO134" s="239"/>
      <c r="NP134" s="239"/>
      <c r="NQ134" s="239"/>
      <c r="NR134" s="239"/>
      <c r="NS134" s="239"/>
      <c r="NT134" s="239"/>
      <c r="NU134" s="239"/>
      <c r="NV134" s="239"/>
      <c r="NW134" s="239"/>
      <c r="NX134" s="239"/>
      <c r="NY134" s="239"/>
      <c r="NZ134" s="239"/>
      <c r="OA134" s="239"/>
      <c r="OB134" s="239"/>
      <c r="OC134" s="239"/>
      <c r="OD134" s="239"/>
      <c r="OE134" s="239"/>
      <c r="OF134" s="239"/>
      <c r="OG134" s="239"/>
      <c r="OH134" s="239"/>
      <c r="OI134" s="239"/>
      <c r="OJ134" s="239"/>
      <c r="OK134" s="239"/>
      <c r="OL134" s="239"/>
      <c r="OM134" s="239"/>
      <c r="ON134" s="239"/>
      <c r="OO134" s="239"/>
      <c r="OP134" s="239"/>
      <c r="OQ134" s="239"/>
      <c r="OR134" s="239"/>
      <c r="OS134" s="239"/>
      <c r="OT134" s="239"/>
      <c r="OU134" s="239"/>
      <c r="OV134" s="239"/>
      <c r="OW134" s="239"/>
      <c r="OX134" s="239"/>
      <c r="OY134" s="239"/>
      <c r="OZ134" s="239"/>
      <c r="PA134" s="239"/>
      <c r="PB134" s="239"/>
      <c r="PC134" s="239"/>
      <c r="PD134" s="239"/>
      <c r="PE134" s="239"/>
      <c r="PF134" s="239"/>
      <c r="PG134" s="239"/>
      <c r="PH134" s="239"/>
      <c r="PI134" s="239"/>
      <c r="PJ134" s="239"/>
      <c r="PK134" s="239"/>
      <c r="PL134" s="239"/>
      <c r="PM134" s="239"/>
      <c r="PN134" s="239"/>
      <c r="PO134" s="239"/>
      <c r="PP134" s="239"/>
      <c r="PQ134" s="239"/>
      <c r="PR134" s="239"/>
      <c r="PS134" s="239"/>
      <c r="PT134" s="239"/>
      <c r="PU134" s="239"/>
      <c r="PV134" s="239"/>
      <c r="PW134" s="239"/>
      <c r="PX134" s="239"/>
      <c r="PY134" s="239"/>
      <c r="PZ134" s="239"/>
      <c r="QA134" s="239"/>
      <c r="QB134" s="239"/>
      <c r="QC134" s="239"/>
      <c r="QD134" s="239"/>
      <c r="QE134" s="239"/>
      <c r="QF134" s="239"/>
      <c r="QG134" s="239"/>
      <c r="QH134" s="239"/>
      <c r="QI134" s="239"/>
      <c r="QJ134" s="239"/>
      <c r="QK134" s="239"/>
      <c r="QL134" s="239"/>
      <c r="QM134" s="239"/>
      <c r="QN134" s="239"/>
      <c r="QO134" s="239"/>
      <c r="QP134" s="239"/>
      <c r="QQ134" s="239"/>
      <c r="QR134" s="239"/>
      <c r="QS134" s="239"/>
      <c r="QT134" s="239"/>
      <c r="QU134" s="239"/>
      <c r="QV134" s="239"/>
      <c r="QW134" s="239"/>
      <c r="QX134" s="239"/>
      <c r="QY134" s="239"/>
      <c r="QZ134" s="239"/>
      <c r="RA134" s="239"/>
      <c r="RB134" s="239"/>
      <c r="RC134" s="239"/>
      <c r="RD134" s="239"/>
      <c r="RE134" s="239"/>
      <c r="RF134" s="239"/>
      <c r="RG134" s="239"/>
      <c r="RH134" s="239"/>
      <c r="RI134" s="239"/>
      <c r="RJ134" s="239"/>
      <c r="RK134" s="239"/>
      <c r="RL134" s="239"/>
      <c r="RM134" s="239"/>
      <c r="RN134" s="239"/>
      <c r="RO134" s="239"/>
      <c r="RP134" s="239"/>
      <c r="RQ134" s="239"/>
      <c r="RR134" s="239"/>
      <c r="RS134" s="239"/>
      <c r="RT134" s="239"/>
      <c r="RU134" s="239"/>
      <c r="RV134" s="239"/>
      <c r="RW134" s="239"/>
      <c r="RX134" s="239"/>
      <c r="RY134" s="239"/>
      <c r="RZ134" s="239"/>
      <c r="SA134" s="239"/>
      <c r="SB134" s="239"/>
      <c r="SC134" s="239"/>
      <c r="SD134" s="239"/>
      <c r="SE134" s="239"/>
      <c r="SF134" s="239"/>
      <c r="SG134" s="239"/>
      <c r="SH134" s="239"/>
      <c r="SI134" s="239"/>
      <c r="SJ134" s="239"/>
      <c r="SK134" s="239"/>
      <c r="SL134" s="239"/>
      <c r="SM134" s="239"/>
      <c r="SN134" s="239"/>
      <c r="SO134" s="239"/>
      <c r="SP134" s="239"/>
      <c r="SQ134" s="239"/>
      <c r="SR134" s="239"/>
      <c r="SS134" s="239"/>
      <c r="ST134" s="239"/>
      <c r="SU134" s="239"/>
      <c r="SV134" s="239"/>
      <c r="SW134" s="239"/>
      <c r="SX134" s="239"/>
      <c r="SY134" s="239"/>
      <c r="SZ134" s="239"/>
      <c r="TA134" s="239"/>
      <c r="TB134" s="239"/>
      <c r="TC134" s="239"/>
      <c r="TD134" s="239"/>
      <c r="TE134" s="239"/>
      <c r="TF134" s="239"/>
      <c r="TG134" s="239"/>
      <c r="TH134" s="239"/>
      <c r="TI134" s="239"/>
      <c r="TJ134" s="239"/>
      <c r="TK134" s="239"/>
      <c r="TL134" s="239"/>
      <c r="TM134" s="239"/>
      <c r="TN134" s="239"/>
      <c r="TO134" s="239"/>
      <c r="TP134" s="239"/>
      <c r="TQ134" s="239"/>
      <c r="TR134" s="239"/>
      <c r="TS134" s="239"/>
      <c r="TT134" s="239"/>
      <c r="TU134" s="239"/>
      <c r="TV134" s="239"/>
      <c r="TW134" s="239"/>
      <c r="TX134" s="239"/>
      <c r="TY134" s="239"/>
      <c r="TZ134" s="239"/>
      <c r="UA134" s="239"/>
      <c r="UB134" s="239"/>
      <c r="UC134" s="239"/>
      <c r="UD134" s="239"/>
      <c r="UE134" s="239"/>
      <c r="UF134" s="239"/>
      <c r="UG134" s="240"/>
    </row>
    <row r="135" spans="1:553" s="236" customFormat="1" ht="34.5" customHeight="1">
      <c r="A135" s="356" t="s">
        <v>15</v>
      </c>
      <c r="B135" s="366" t="s">
        <v>37</v>
      </c>
      <c r="C135" s="1414" t="s">
        <v>185</v>
      </c>
      <c r="D135" s="1389"/>
      <c r="E135" s="1389"/>
      <c r="F135" s="1390"/>
      <c r="G135" s="386" t="s">
        <v>935</v>
      </c>
      <c r="H135" s="370"/>
      <c r="I135" s="422">
        <f t="shared" si="30"/>
        <v>17.86</v>
      </c>
      <c r="J135" s="368">
        <v>137200</v>
      </c>
      <c r="K135" s="371"/>
      <c r="L135" s="391">
        <f t="shared" si="26"/>
        <v>2450392</v>
      </c>
      <c r="M135" s="395"/>
      <c r="N135" s="395"/>
      <c r="O135" s="366"/>
      <c r="P135" s="396"/>
      <c r="Q135" s="473"/>
      <c r="R135" s="1039"/>
      <c r="S135" s="308"/>
      <c r="T135" s="303"/>
      <c r="U135" s="306"/>
      <c r="V135" s="307"/>
      <c r="W135" s="307"/>
      <c r="X135" s="307"/>
      <c r="Y135" s="307"/>
      <c r="Z135" s="307"/>
      <c r="AA135" s="307"/>
      <c r="AB135" s="307"/>
      <c r="AC135" s="449"/>
      <c r="AD135" s="449"/>
      <c r="AE135" s="449"/>
      <c r="AF135" s="449"/>
      <c r="AG135" s="452"/>
      <c r="AH135" s="452"/>
      <c r="AI135" s="452"/>
      <c r="AJ135" s="452"/>
      <c r="AK135" s="452"/>
      <c r="AL135" s="242"/>
      <c r="AM135" s="241"/>
      <c r="AN135" s="241"/>
      <c r="AO135" s="241"/>
      <c r="AP135" s="241"/>
      <c r="AQ135" s="238"/>
      <c r="AR135" s="238"/>
      <c r="AS135" s="238"/>
      <c r="AT135" s="238"/>
      <c r="AU135" s="238"/>
      <c r="AV135" s="238"/>
      <c r="AW135" s="238"/>
      <c r="AX135" s="238"/>
      <c r="AY135" s="238"/>
      <c r="AZ135" s="238"/>
      <c r="BA135" s="238"/>
      <c r="BB135" s="238"/>
      <c r="BC135" s="238"/>
      <c r="BD135" s="238"/>
      <c r="BE135" s="238"/>
      <c r="BF135" s="238"/>
      <c r="BG135" s="238"/>
      <c r="BH135" s="238"/>
      <c r="BI135" s="238"/>
      <c r="BJ135" s="238"/>
      <c r="BK135" s="238"/>
      <c r="BL135" s="238"/>
      <c r="BM135" s="239"/>
      <c r="BN135" s="239"/>
      <c r="BO135" s="239"/>
      <c r="BP135" s="239"/>
      <c r="BQ135" s="239"/>
      <c r="BR135" s="239"/>
      <c r="BS135" s="239"/>
      <c r="BT135" s="239"/>
      <c r="BU135" s="239"/>
      <c r="BV135" s="239"/>
      <c r="BW135" s="239"/>
      <c r="BX135" s="239"/>
      <c r="BY135" s="239"/>
      <c r="BZ135" s="239"/>
      <c r="CA135" s="239"/>
      <c r="CB135" s="239"/>
      <c r="CC135" s="239"/>
      <c r="CD135" s="239"/>
      <c r="CE135" s="239"/>
      <c r="CF135" s="239"/>
      <c r="CG135" s="239"/>
      <c r="CH135" s="239"/>
      <c r="CI135" s="239"/>
      <c r="CJ135" s="239"/>
      <c r="CK135" s="239"/>
      <c r="CL135" s="239"/>
      <c r="CM135" s="239"/>
      <c r="CN135" s="239"/>
      <c r="CO135" s="239"/>
      <c r="CP135" s="239"/>
      <c r="CQ135" s="239"/>
      <c r="CR135" s="239"/>
      <c r="CS135" s="239"/>
      <c r="CT135" s="239"/>
      <c r="CU135" s="239"/>
      <c r="CV135" s="239"/>
      <c r="CW135" s="239"/>
      <c r="CX135" s="239"/>
      <c r="CY135" s="239"/>
      <c r="CZ135" s="239"/>
      <c r="DA135" s="239"/>
      <c r="DB135" s="239"/>
      <c r="DC135" s="239"/>
      <c r="DD135" s="239"/>
      <c r="DE135" s="239"/>
      <c r="DF135" s="239"/>
      <c r="DG135" s="239"/>
      <c r="DH135" s="239"/>
      <c r="DI135" s="239"/>
      <c r="DJ135" s="239"/>
      <c r="DK135" s="239"/>
      <c r="DL135" s="239"/>
      <c r="DM135" s="239"/>
      <c r="DN135" s="239"/>
      <c r="DO135" s="239"/>
      <c r="DP135" s="239"/>
      <c r="DQ135" s="239"/>
      <c r="DR135" s="239"/>
      <c r="DS135" s="239"/>
      <c r="DT135" s="239"/>
      <c r="DU135" s="239"/>
      <c r="DV135" s="239"/>
      <c r="DW135" s="239"/>
      <c r="DX135" s="239"/>
      <c r="DY135" s="239"/>
      <c r="DZ135" s="239"/>
      <c r="EA135" s="239"/>
      <c r="EB135" s="239"/>
      <c r="EC135" s="239"/>
      <c r="ED135" s="239"/>
      <c r="EE135" s="239"/>
      <c r="EF135" s="239"/>
      <c r="EG135" s="239"/>
      <c r="EH135" s="239"/>
      <c r="EI135" s="239"/>
      <c r="EJ135" s="239"/>
      <c r="EK135" s="239"/>
      <c r="EL135" s="239"/>
      <c r="EM135" s="239"/>
      <c r="EN135" s="239"/>
      <c r="EO135" s="239"/>
      <c r="EP135" s="239"/>
      <c r="EQ135" s="239"/>
      <c r="ER135" s="239"/>
      <c r="ES135" s="239"/>
      <c r="ET135" s="239"/>
      <c r="EU135" s="239"/>
      <c r="EV135" s="239"/>
      <c r="EW135" s="239"/>
      <c r="EX135" s="239"/>
      <c r="EY135" s="239"/>
      <c r="EZ135" s="239"/>
      <c r="FA135" s="239"/>
      <c r="FB135" s="239"/>
      <c r="FC135" s="239"/>
      <c r="FD135" s="239"/>
      <c r="FE135" s="239"/>
      <c r="FF135" s="239"/>
      <c r="FG135" s="239"/>
      <c r="FH135" s="239"/>
      <c r="FI135" s="239"/>
      <c r="FJ135" s="239"/>
      <c r="FK135" s="239"/>
      <c r="FL135" s="239"/>
      <c r="FM135" s="239"/>
      <c r="FN135" s="239"/>
      <c r="FO135" s="239"/>
      <c r="FP135" s="239"/>
      <c r="FQ135" s="239"/>
      <c r="FR135" s="239"/>
      <c r="FS135" s="239"/>
      <c r="FT135" s="239"/>
      <c r="FU135" s="239"/>
      <c r="FV135" s="239"/>
      <c r="FW135" s="239"/>
      <c r="FX135" s="239"/>
      <c r="FY135" s="239"/>
      <c r="FZ135" s="239"/>
      <c r="GA135" s="239"/>
      <c r="GB135" s="239"/>
      <c r="GC135" s="239"/>
      <c r="GD135" s="239"/>
      <c r="GE135" s="239"/>
      <c r="GF135" s="239"/>
      <c r="GG135" s="239"/>
      <c r="GH135" s="239"/>
      <c r="GI135" s="239"/>
      <c r="GJ135" s="239"/>
      <c r="GK135" s="239"/>
      <c r="GL135" s="239"/>
      <c r="GM135" s="239"/>
      <c r="GN135" s="239"/>
      <c r="GO135" s="239"/>
      <c r="GP135" s="239"/>
      <c r="GQ135" s="239"/>
      <c r="GR135" s="239"/>
      <c r="GS135" s="239"/>
      <c r="GT135" s="239"/>
      <c r="GU135" s="239"/>
      <c r="GV135" s="239"/>
      <c r="GW135" s="239"/>
      <c r="GX135" s="239"/>
      <c r="GY135" s="239"/>
      <c r="GZ135" s="239"/>
      <c r="HA135" s="239"/>
      <c r="HB135" s="239"/>
      <c r="HC135" s="239"/>
      <c r="HD135" s="239"/>
      <c r="HE135" s="239"/>
      <c r="HF135" s="239"/>
      <c r="HG135" s="239"/>
      <c r="HH135" s="239"/>
      <c r="HI135" s="239"/>
      <c r="HJ135" s="239"/>
      <c r="HK135" s="239"/>
      <c r="HL135" s="239"/>
      <c r="HM135" s="239"/>
      <c r="HN135" s="239"/>
      <c r="HO135" s="239"/>
      <c r="HP135" s="239"/>
      <c r="HQ135" s="239"/>
      <c r="HR135" s="239"/>
      <c r="HS135" s="239"/>
      <c r="HT135" s="239"/>
      <c r="HU135" s="239"/>
      <c r="HV135" s="239"/>
      <c r="HW135" s="239"/>
      <c r="HX135" s="239"/>
      <c r="HY135" s="239"/>
      <c r="HZ135" s="239"/>
      <c r="IA135" s="239"/>
      <c r="IB135" s="239"/>
      <c r="IC135" s="239"/>
      <c r="ID135" s="239"/>
      <c r="IE135" s="239"/>
      <c r="IF135" s="239"/>
      <c r="IG135" s="239"/>
      <c r="IH135" s="239"/>
      <c r="II135" s="239"/>
      <c r="IJ135" s="239"/>
      <c r="IK135" s="239"/>
      <c r="IL135" s="239"/>
      <c r="IM135" s="239"/>
      <c r="IN135" s="239"/>
      <c r="IO135" s="239"/>
      <c r="IP135" s="239"/>
      <c r="IQ135" s="239"/>
      <c r="IR135" s="239"/>
      <c r="IS135" s="239"/>
      <c r="IT135" s="239"/>
      <c r="IU135" s="239"/>
      <c r="IV135" s="239"/>
      <c r="IW135" s="239"/>
      <c r="IX135" s="239"/>
      <c r="IY135" s="239"/>
      <c r="IZ135" s="239"/>
      <c r="JA135" s="239"/>
      <c r="JB135" s="239"/>
      <c r="JC135" s="239"/>
      <c r="JD135" s="239"/>
      <c r="JE135" s="239"/>
      <c r="JF135" s="239"/>
      <c r="JG135" s="239"/>
      <c r="JH135" s="239"/>
      <c r="JI135" s="239"/>
      <c r="JJ135" s="239"/>
      <c r="JK135" s="239"/>
      <c r="JL135" s="239"/>
      <c r="JM135" s="239"/>
      <c r="JN135" s="239"/>
      <c r="JO135" s="239"/>
      <c r="JP135" s="239"/>
      <c r="JQ135" s="239"/>
      <c r="JR135" s="239"/>
      <c r="JS135" s="239"/>
      <c r="JT135" s="239"/>
      <c r="JU135" s="239"/>
      <c r="JV135" s="239"/>
      <c r="JW135" s="239"/>
      <c r="JX135" s="239"/>
      <c r="JY135" s="239"/>
      <c r="JZ135" s="239"/>
      <c r="KA135" s="239"/>
      <c r="KB135" s="239"/>
      <c r="KC135" s="239"/>
      <c r="KD135" s="239"/>
      <c r="KE135" s="239"/>
      <c r="KF135" s="239"/>
      <c r="KG135" s="239"/>
      <c r="KH135" s="239"/>
      <c r="KI135" s="239"/>
      <c r="KJ135" s="239"/>
      <c r="KK135" s="239"/>
      <c r="KL135" s="239"/>
      <c r="KM135" s="239"/>
      <c r="KN135" s="239"/>
      <c r="KO135" s="239"/>
      <c r="KP135" s="239"/>
      <c r="KQ135" s="239"/>
      <c r="KR135" s="239"/>
      <c r="KS135" s="239"/>
      <c r="KT135" s="239"/>
      <c r="KU135" s="239"/>
      <c r="KV135" s="239"/>
      <c r="KW135" s="239"/>
      <c r="KX135" s="239"/>
      <c r="KY135" s="239"/>
      <c r="KZ135" s="239"/>
      <c r="LA135" s="239"/>
      <c r="LB135" s="239"/>
      <c r="LC135" s="239"/>
      <c r="LD135" s="239"/>
      <c r="LE135" s="239"/>
      <c r="LF135" s="239"/>
      <c r="LG135" s="239"/>
      <c r="LH135" s="239"/>
      <c r="LI135" s="239"/>
      <c r="LJ135" s="239"/>
      <c r="LK135" s="239"/>
      <c r="LL135" s="239"/>
      <c r="LM135" s="239"/>
      <c r="LN135" s="239"/>
      <c r="LO135" s="239"/>
      <c r="LP135" s="239"/>
      <c r="LQ135" s="239"/>
      <c r="LR135" s="239"/>
      <c r="LS135" s="239"/>
      <c r="LT135" s="239"/>
      <c r="LU135" s="239"/>
      <c r="LV135" s="239"/>
      <c r="LW135" s="239"/>
      <c r="LX135" s="239"/>
      <c r="LY135" s="239"/>
      <c r="LZ135" s="239"/>
      <c r="MA135" s="239"/>
      <c r="MB135" s="239"/>
      <c r="MC135" s="239"/>
      <c r="MD135" s="239"/>
      <c r="ME135" s="239"/>
      <c r="MF135" s="239"/>
      <c r="MG135" s="239"/>
      <c r="MH135" s="239"/>
      <c r="MI135" s="239"/>
      <c r="MJ135" s="239"/>
      <c r="MK135" s="239"/>
      <c r="ML135" s="239"/>
      <c r="MM135" s="239"/>
      <c r="MN135" s="239"/>
      <c r="MO135" s="239"/>
      <c r="MP135" s="239"/>
      <c r="MQ135" s="239"/>
      <c r="MR135" s="239"/>
      <c r="MS135" s="239"/>
      <c r="MT135" s="239"/>
      <c r="MU135" s="239"/>
      <c r="MV135" s="239"/>
      <c r="MW135" s="239"/>
      <c r="MX135" s="239"/>
      <c r="MY135" s="239"/>
      <c r="MZ135" s="239"/>
      <c r="NA135" s="239"/>
      <c r="NB135" s="239"/>
      <c r="NC135" s="239"/>
      <c r="ND135" s="239"/>
      <c r="NE135" s="239"/>
      <c r="NF135" s="239"/>
      <c r="NG135" s="239"/>
      <c r="NH135" s="239"/>
      <c r="NI135" s="239"/>
      <c r="NJ135" s="239"/>
      <c r="NK135" s="239"/>
      <c r="NL135" s="239"/>
      <c r="NM135" s="239"/>
      <c r="NN135" s="239"/>
      <c r="NO135" s="239"/>
      <c r="NP135" s="239"/>
      <c r="NQ135" s="239"/>
      <c r="NR135" s="239"/>
      <c r="NS135" s="239"/>
      <c r="NT135" s="239"/>
      <c r="NU135" s="239"/>
      <c r="NV135" s="239"/>
      <c r="NW135" s="239"/>
      <c r="NX135" s="239"/>
      <c r="NY135" s="239"/>
      <c r="NZ135" s="239"/>
      <c r="OA135" s="239"/>
      <c r="OB135" s="239"/>
      <c r="OC135" s="239"/>
      <c r="OD135" s="239"/>
      <c r="OE135" s="239"/>
      <c r="OF135" s="239"/>
      <c r="OG135" s="239"/>
      <c r="OH135" s="239"/>
      <c r="OI135" s="239"/>
      <c r="OJ135" s="239"/>
      <c r="OK135" s="239"/>
      <c r="OL135" s="239"/>
      <c r="OM135" s="239"/>
      <c r="ON135" s="239"/>
      <c r="OO135" s="239"/>
      <c r="OP135" s="239"/>
      <c r="OQ135" s="239"/>
      <c r="OR135" s="239"/>
      <c r="OS135" s="239"/>
      <c r="OT135" s="239"/>
      <c r="OU135" s="239"/>
      <c r="OV135" s="239"/>
      <c r="OW135" s="239"/>
      <c r="OX135" s="239"/>
      <c r="OY135" s="239"/>
      <c r="OZ135" s="239"/>
      <c r="PA135" s="239"/>
      <c r="PB135" s="239"/>
      <c r="PC135" s="239"/>
      <c r="PD135" s="239"/>
      <c r="PE135" s="239"/>
      <c r="PF135" s="239"/>
      <c r="PG135" s="239"/>
      <c r="PH135" s="239"/>
      <c r="PI135" s="239"/>
      <c r="PJ135" s="239"/>
      <c r="PK135" s="239"/>
      <c r="PL135" s="239"/>
      <c r="PM135" s="239"/>
      <c r="PN135" s="239"/>
      <c r="PO135" s="239"/>
      <c r="PP135" s="239"/>
      <c r="PQ135" s="239"/>
      <c r="PR135" s="239"/>
      <c r="PS135" s="239"/>
      <c r="PT135" s="239"/>
      <c r="PU135" s="239"/>
      <c r="PV135" s="239"/>
      <c r="PW135" s="239"/>
      <c r="PX135" s="239"/>
      <c r="PY135" s="239"/>
      <c r="PZ135" s="239"/>
      <c r="QA135" s="239"/>
      <c r="QB135" s="239"/>
      <c r="QC135" s="239"/>
      <c r="QD135" s="239"/>
      <c r="QE135" s="239"/>
      <c r="QF135" s="239"/>
      <c r="QG135" s="239"/>
      <c r="QH135" s="239"/>
      <c r="QI135" s="239"/>
      <c r="QJ135" s="239"/>
      <c r="QK135" s="239"/>
      <c r="QL135" s="239"/>
      <c r="QM135" s="239"/>
      <c r="QN135" s="239"/>
      <c r="QO135" s="239"/>
      <c r="QP135" s="239"/>
      <c r="QQ135" s="239"/>
      <c r="QR135" s="239"/>
      <c r="QS135" s="239"/>
      <c r="QT135" s="239"/>
      <c r="QU135" s="239"/>
      <c r="QV135" s="239"/>
      <c r="QW135" s="239"/>
      <c r="QX135" s="239"/>
      <c r="QY135" s="239"/>
      <c r="QZ135" s="239"/>
      <c r="RA135" s="239"/>
      <c r="RB135" s="239"/>
      <c r="RC135" s="239"/>
      <c r="RD135" s="239"/>
      <c r="RE135" s="239"/>
      <c r="RF135" s="239"/>
      <c r="RG135" s="239"/>
      <c r="RH135" s="239"/>
      <c r="RI135" s="239"/>
      <c r="RJ135" s="239"/>
      <c r="RK135" s="239"/>
      <c r="RL135" s="239"/>
      <c r="RM135" s="239"/>
      <c r="RN135" s="239"/>
      <c r="RO135" s="239"/>
      <c r="RP135" s="239"/>
      <c r="RQ135" s="239"/>
      <c r="RR135" s="239"/>
      <c r="RS135" s="239"/>
      <c r="RT135" s="239"/>
      <c r="RU135" s="239"/>
      <c r="RV135" s="239"/>
      <c r="RW135" s="239"/>
      <c r="RX135" s="239"/>
      <c r="RY135" s="239"/>
      <c r="RZ135" s="239"/>
      <c r="SA135" s="239"/>
      <c r="SB135" s="239"/>
      <c r="SC135" s="239"/>
      <c r="SD135" s="239"/>
      <c r="SE135" s="239"/>
      <c r="SF135" s="239"/>
      <c r="SG135" s="239"/>
      <c r="SH135" s="239"/>
      <c r="SI135" s="239"/>
      <c r="SJ135" s="239"/>
      <c r="SK135" s="239"/>
      <c r="SL135" s="239"/>
      <c r="SM135" s="239"/>
      <c r="SN135" s="239"/>
      <c r="SO135" s="239"/>
      <c r="SP135" s="239"/>
      <c r="SQ135" s="239"/>
      <c r="SR135" s="239"/>
      <c r="SS135" s="239"/>
      <c r="ST135" s="239"/>
      <c r="SU135" s="239"/>
      <c r="SV135" s="239"/>
      <c r="SW135" s="239"/>
      <c r="SX135" s="239"/>
      <c r="SY135" s="239"/>
      <c r="SZ135" s="239"/>
      <c r="TA135" s="239"/>
      <c r="TB135" s="239"/>
      <c r="TC135" s="239"/>
      <c r="TD135" s="239"/>
      <c r="TE135" s="239"/>
      <c r="TF135" s="239"/>
      <c r="TG135" s="239"/>
      <c r="TH135" s="239"/>
      <c r="TI135" s="239"/>
      <c r="TJ135" s="239"/>
      <c r="TK135" s="239"/>
      <c r="TL135" s="239"/>
      <c r="TM135" s="239"/>
      <c r="TN135" s="239"/>
      <c r="TO135" s="239"/>
      <c r="TP135" s="239"/>
      <c r="TQ135" s="239"/>
      <c r="TR135" s="239"/>
      <c r="TS135" s="239"/>
      <c r="TT135" s="239"/>
      <c r="TU135" s="239"/>
      <c r="TV135" s="239"/>
      <c r="TW135" s="239"/>
      <c r="TX135" s="239"/>
      <c r="TY135" s="239"/>
      <c r="TZ135" s="239"/>
      <c r="UA135" s="239"/>
      <c r="UB135" s="239"/>
      <c r="UC135" s="239"/>
      <c r="UD135" s="239"/>
      <c r="UE135" s="239"/>
      <c r="UF135" s="239"/>
      <c r="UG135" s="240"/>
    </row>
    <row r="136" spans="1:553" s="236" customFormat="1" ht="34.5" customHeight="1">
      <c r="A136" s="356" t="s">
        <v>15</v>
      </c>
      <c r="B136" s="366" t="s">
        <v>31</v>
      </c>
      <c r="C136" s="1443" t="s">
        <v>888</v>
      </c>
      <c r="D136" s="1389"/>
      <c r="E136" s="1389"/>
      <c r="F136" s="1390"/>
      <c r="G136" s="386" t="s">
        <v>33</v>
      </c>
      <c r="H136" s="370"/>
      <c r="I136" s="422">
        <f>19.4*2/1.7</f>
        <v>22.823529411764707</v>
      </c>
      <c r="J136" s="368">
        <v>815000</v>
      </c>
      <c r="K136" s="371"/>
      <c r="L136" s="391">
        <f t="shared" si="26"/>
        <v>18601176</v>
      </c>
      <c r="M136" s="395"/>
      <c r="N136" s="395"/>
      <c r="O136" s="366"/>
      <c r="P136" s="396"/>
      <c r="Q136" s="473"/>
      <c r="R136" s="1039"/>
      <c r="S136" s="308"/>
      <c r="T136" s="303"/>
      <c r="U136" s="306"/>
      <c r="V136" s="307"/>
      <c r="W136" s="307"/>
      <c r="X136" s="307"/>
      <c r="Y136" s="307"/>
      <c r="Z136" s="307"/>
      <c r="AA136" s="307"/>
      <c r="AB136" s="307"/>
      <c r="AC136" s="449"/>
      <c r="AD136" s="449"/>
      <c r="AE136" s="449"/>
      <c r="AF136" s="449"/>
      <c r="AG136" s="452"/>
      <c r="AH136" s="452"/>
      <c r="AI136" s="452"/>
      <c r="AJ136" s="452"/>
      <c r="AK136" s="452"/>
      <c r="AL136" s="242"/>
      <c r="AM136" s="241"/>
      <c r="AN136" s="241"/>
      <c r="AO136" s="241"/>
      <c r="AP136" s="241"/>
      <c r="AQ136" s="238"/>
      <c r="AR136" s="238"/>
      <c r="AS136" s="238"/>
      <c r="AT136" s="238"/>
      <c r="AU136" s="238"/>
      <c r="AV136" s="238"/>
      <c r="AW136" s="238"/>
      <c r="AX136" s="238"/>
      <c r="AY136" s="238"/>
      <c r="AZ136" s="238"/>
      <c r="BA136" s="238"/>
      <c r="BB136" s="238"/>
      <c r="BC136" s="238"/>
      <c r="BD136" s="238"/>
      <c r="BE136" s="238"/>
      <c r="BF136" s="238"/>
      <c r="BG136" s="238"/>
      <c r="BH136" s="238"/>
      <c r="BI136" s="238"/>
      <c r="BJ136" s="238"/>
      <c r="BK136" s="238"/>
      <c r="BL136" s="238"/>
      <c r="BM136" s="239"/>
      <c r="BN136" s="239"/>
      <c r="BO136" s="239"/>
      <c r="BP136" s="239"/>
      <c r="BQ136" s="239"/>
      <c r="BR136" s="239"/>
      <c r="BS136" s="239"/>
      <c r="BT136" s="239"/>
      <c r="BU136" s="239"/>
      <c r="BV136" s="239"/>
      <c r="BW136" s="239"/>
      <c r="BX136" s="239"/>
      <c r="BY136" s="239"/>
      <c r="BZ136" s="239"/>
      <c r="CA136" s="239"/>
      <c r="CB136" s="239"/>
      <c r="CC136" s="239"/>
      <c r="CD136" s="239"/>
      <c r="CE136" s="239"/>
      <c r="CF136" s="239"/>
      <c r="CG136" s="239"/>
      <c r="CH136" s="239"/>
      <c r="CI136" s="239"/>
      <c r="CJ136" s="239"/>
      <c r="CK136" s="239"/>
      <c r="CL136" s="239"/>
      <c r="CM136" s="239"/>
      <c r="CN136" s="239"/>
      <c r="CO136" s="239"/>
      <c r="CP136" s="239"/>
      <c r="CQ136" s="239"/>
      <c r="CR136" s="239"/>
      <c r="CS136" s="239"/>
      <c r="CT136" s="239"/>
      <c r="CU136" s="239"/>
      <c r="CV136" s="239"/>
      <c r="CW136" s="239"/>
      <c r="CX136" s="239"/>
      <c r="CY136" s="239"/>
      <c r="CZ136" s="239"/>
      <c r="DA136" s="239"/>
      <c r="DB136" s="239"/>
      <c r="DC136" s="239"/>
      <c r="DD136" s="239"/>
      <c r="DE136" s="239"/>
      <c r="DF136" s="239"/>
      <c r="DG136" s="239"/>
      <c r="DH136" s="239"/>
      <c r="DI136" s="239"/>
      <c r="DJ136" s="239"/>
      <c r="DK136" s="239"/>
      <c r="DL136" s="239"/>
      <c r="DM136" s="239"/>
      <c r="DN136" s="239"/>
      <c r="DO136" s="239"/>
      <c r="DP136" s="239"/>
      <c r="DQ136" s="239"/>
      <c r="DR136" s="239"/>
      <c r="DS136" s="239"/>
      <c r="DT136" s="239"/>
      <c r="DU136" s="239"/>
      <c r="DV136" s="239"/>
      <c r="DW136" s="239"/>
      <c r="DX136" s="239"/>
      <c r="DY136" s="239"/>
      <c r="DZ136" s="239"/>
      <c r="EA136" s="239"/>
      <c r="EB136" s="239"/>
      <c r="EC136" s="239"/>
      <c r="ED136" s="239"/>
      <c r="EE136" s="239"/>
      <c r="EF136" s="239"/>
      <c r="EG136" s="239"/>
      <c r="EH136" s="239"/>
      <c r="EI136" s="239"/>
      <c r="EJ136" s="239"/>
      <c r="EK136" s="239"/>
      <c r="EL136" s="239"/>
      <c r="EM136" s="239"/>
      <c r="EN136" s="239"/>
      <c r="EO136" s="239"/>
      <c r="EP136" s="239"/>
      <c r="EQ136" s="239"/>
      <c r="ER136" s="239"/>
      <c r="ES136" s="239"/>
      <c r="ET136" s="239"/>
      <c r="EU136" s="239"/>
      <c r="EV136" s="239"/>
      <c r="EW136" s="239"/>
      <c r="EX136" s="239"/>
      <c r="EY136" s="239"/>
      <c r="EZ136" s="239"/>
      <c r="FA136" s="239"/>
      <c r="FB136" s="239"/>
      <c r="FC136" s="239"/>
      <c r="FD136" s="239"/>
      <c r="FE136" s="239"/>
      <c r="FF136" s="239"/>
      <c r="FG136" s="239"/>
      <c r="FH136" s="239"/>
      <c r="FI136" s="239"/>
      <c r="FJ136" s="239"/>
      <c r="FK136" s="239"/>
      <c r="FL136" s="239"/>
      <c r="FM136" s="239"/>
      <c r="FN136" s="239"/>
      <c r="FO136" s="239"/>
      <c r="FP136" s="239"/>
      <c r="FQ136" s="239"/>
      <c r="FR136" s="239"/>
      <c r="FS136" s="239"/>
      <c r="FT136" s="239"/>
      <c r="FU136" s="239"/>
      <c r="FV136" s="239"/>
      <c r="FW136" s="239"/>
      <c r="FX136" s="239"/>
      <c r="FY136" s="239"/>
      <c r="FZ136" s="239"/>
      <c r="GA136" s="239"/>
      <c r="GB136" s="239"/>
      <c r="GC136" s="239"/>
      <c r="GD136" s="239"/>
      <c r="GE136" s="239"/>
      <c r="GF136" s="239"/>
      <c r="GG136" s="239"/>
      <c r="GH136" s="239"/>
      <c r="GI136" s="239"/>
      <c r="GJ136" s="239"/>
      <c r="GK136" s="239"/>
      <c r="GL136" s="239"/>
      <c r="GM136" s="239"/>
      <c r="GN136" s="239"/>
      <c r="GO136" s="239"/>
      <c r="GP136" s="239"/>
      <c r="GQ136" s="239"/>
      <c r="GR136" s="239"/>
      <c r="GS136" s="239"/>
      <c r="GT136" s="239"/>
      <c r="GU136" s="239"/>
      <c r="GV136" s="239"/>
      <c r="GW136" s="239"/>
      <c r="GX136" s="239"/>
      <c r="GY136" s="239"/>
      <c r="GZ136" s="239"/>
      <c r="HA136" s="239"/>
      <c r="HB136" s="239"/>
      <c r="HC136" s="239"/>
      <c r="HD136" s="239"/>
      <c r="HE136" s="239"/>
      <c r="HF136" s="239"/>
      <c r="HG136" s="239"/>
      <c r="HH136" s="239"/>
      <c r="HI136" s="239"/>
      <c r="HJ136" s="239"/>
      <c r="HK136" s="239"/>
      <c r="HL136" s="239"/>
      <c r="HM136" s="239"/>
      <c r="HN136" s="239"/>
      <c r="HO136" s="239"/>
      <c r="HP136" s="239"/>
      <c r="HQ136" s="239"/>
      <c r="HR136" s="239"/>
      <c r="HS136" s="239"/>
      <c r="HT136" s="239"/>
      <c r="HU136" s="239"/>
      <c r="HV136" s="239"/>
      <c r="HW136" s="239"/>
      <c r="HX136" s="239"/>
      <c r="HY136" s="239"/>
      <c r="HZ136" s="239"/>
      <c r="IA136" s="239"/>
      <c r="IB136" s="239"/>
      <c r="IC136" s="239"/>
      <c r="ID136" s="239"/>
      <c r="IE136" s="239"/>
      <c r="IF136" s="239"/>
      <c r="IG136" s="239"/>
      <c r="IH136" s="239"/>
      <c r="II136" s="239"/>
      <c r="IJ136" s="239"/>
      <c r="IK136" s="239"/>
      <c r="IL136" s="239"/>
      <c r="IM136" s="239"/>
      <c r="IN136" s="239"/>
      <c r="IO136" s="239"/>
      <c r="IP136" s="239"/>
      <c r="IQ136" s="239"/>
      <c r="IR136" s="239"/>
      <c r="IS136" s="239"/>
      <c r="IT136" s="239"/>
      <c r="IU136" s="239"/>
      <c r="IV136" s="239"/>
      <c r="IW136" s="239"/>
      <c r="IX136" s="239"/>
      <c r="IY136" s="239"/>
      <c r="IZ136" s="239"/>
      <c r="JA136" s="239"/>
      <c r="JB136" s="239"/>
      <c r="JC136" s="239"/>
      <c r="JD136" s="239"/>
      <c r="JE136" s="239"/>
      <c r="JF136" s="239"/>
      <c r="JG136" s="239"/>
      <c r="JH136" s="239"/>
      <c r="JI136" s="239"/>
      <c r="JJ136" s="239"/>
      <c r="JK136" s="239"/>
      <c r="JL136" s="239"/>
      <c r="JM136" s="239"/>
      <c r="JN136" s="239"/>
      <c r="JO136" s="239"/>
      <c r="JP136" s="239"/>
      <c r="JQ136" s="239"/>
      <c r="JR136" s="239"/>
      <c r="JS136" s="239"/>
      <c r="JT136" s="239"/>
      <c r="JU136" s="239"/>
      <c r="JV136" s="239"/>
      <c r="JW136" s="239"/>
      <c r="JX136" s="239"/>
      <c r="JY136" s="239"/>
      <c r="JZ136" s="239"/>
      <c r="KA136" s="239"/>
      <c r="KB136" s="239"/>
      <c r="KC136" s="239"/>
      <c r="KD136" s="239"/>
      <c r="KE136" s="239"/>
      <c r="KF136" s="239"/>
      <c r="KG136" s="239"/>
      <c r="KH136" s="239"/>
      <c r="KI136" s="239"/>
      <c r="KJ136" s="239"/>
      <c r="KK136" s="239"/>
      <c r="KL136" s="239"/>
      <c r="KM136" s="239"/>
      <c r="KN136" s="239"/>
      <c r="KO136" s="239"/>
      <c r="KP136" s="239"/>
      <c r="KQ136" s="239"/>
      <c r="KR136" s="239"/>
      <c r="KS136" s="239"/>
      <c r="KT136" s="239"/>
      <c r="KU136" s="239"/>
      <c r="KV136" s="239"/>
      <c r="KW136" s="239"/>
      <c r="KX136" s="239"/>
      <c r="KY136" s="239"/>
      <c r="KZ136" s="239"/>
      <c r="LA136" s="239"/>
      <c r="LB136" s="239"/>
      <c r="LC136" s="239"/>
      <c r="LD136" s="239"/>
      <c r="LE136" s="239"/>
      <c r="LF136" s="239"/>
      <c r="LG136" s="239"/>
      <c r="LH136" s="239"/>
      <c r="LI136" s="239"/>
      <c r="LJ136" s="239"/>
      <c r="LK136" s="239"/>
      <c r="LL136" s="239"/>
      <c r="LM136" s="239"/>
      <c r="LN136" s="239"/>
      <c r="LO136" s="239"/>
      <c r="LP136" s="239"/>
      <c r="LQ136" s="239"/>
      <c r="LR136" s="239"/>
      <c r="LS136" s="239"/>
      <c r="LT136" s="239"/>
      <c r="LU136" s="239"/>
      <c r="LV136" s="239"/>
      <c r="LW136" s="239"/>
      <c r="LX136" s="239"/>
      <c r="LY136" s="239"/>
      <c r="LZ136" s="239"/>
      <c r="MA136" s="239"/>
      <c r="MB136" s="239"/>
      <c r="MC136" s="239"/>
      <c r="MD136" s="239"/>
      <c r="ME136" s="239"/>
      <c r="MF136" s="239"/>
      <c r="MG136" s="239"/>
      <c r="MH136" s="239"/>
      <c r="MI136" s="239"/>
      <c r="MJ136" s="239"/>
      <c r="MK136" s="239"/>
      <c r="ML136" s="239"/>
      <c r="MM136" s="239"/>
      <c r="MN136" s="239"/>
      <c r="MO136" s="239"/>
      <c r="MP136" s="239"/>
      <c r="MQ136" s="239"/>
      <c r="MR136" s="239"/>
      <c r="MS136" s="239"/>
      <c r="MT136" s="239"/>
      <c r="MU136" s="239"/>
      <c r="MV136" s="239"/>
      <c r="MW136" s="239"/>
      <c r="MX136" s="239"/>
      <c r="MY136" s="239"/>
      <c r="MZ136" s="239"/>
      <c r="NA136" s="239"/>
      <c r="NB136" s="239"/>
      <c r="NC136" s="239"/>
      <c r="ND136" s="239"/>
      <c r="NE136" s="239"/>
      <c r="NF136" s="239"/>
      <c r="NG136" s="239"/>
      <c r="NH136" s="239"/>
      <c r="NI136" s="239"/>
      <c r="NJ136" s="239"/>
      <c r="NK136" s="239"/>
      <c r="NL136" s="239"/>
      <c r="NM136" s="239"/>
      <c r="NN136" s="239"/>
      <c r="NO136" s="239"/>
      <c r="NP136" s="239"/>
      <c r="NQ136" s="239"/>
      <c r="NR136" s="239"/>
      <c r="NS136" s="239"/>
      <c r="NT136" s="239"/>
      <c r="NU136" s="239"/>
      <c r="NV136" s="239"/>
      <c r="NW136" s="239"/>
      <c r="NX136" s="239"/>
      <c r="NY136" s="239"/>
      <c r="NZ136" s="239"/>
      <c r="OA136" s="239"/>
      <c r="OB136" s="239"/>
      <c r="OC136" s="239"/>
      <c r="OD136" s="239"/>
      <c r="OE136" s="239"/>
      <c r="OF136" s="239"/>
      <c r="OG136" s="239"/>
      <c r="OH136" s="239"/>
      <c r="OI136" s="239"/>
      <c r="OJ136" s="239"/>
      <c r="OK136" s="239"/>
      <c r="OL136" s="239"/>
      <c r="OM136" s="239"/>
      <c r="ON136" s="239"/>
      <c r="OO136" s="239"/>
      <c r="OP136" s="239"/>
      <c r="OQ136" s="239"/>
      <c r="OR136" s="239"/>
      <c r="OS136" s="239"/>
      <c r="OT136" s="239"/>
      <c r="OU136" s="239"/>
      <c r="OV136" s="239"/>
      <c r="OW136" s="239"/>
      <c r="OX136" s="239"/>
      <c r="OY136" s="239"/>
      <c r="OZ136" s="239"/>
      <c r="PA136" s="239"/>
      <c r="PB136" s="239"/>
      <c r="PC136" s="239"/>
      <c r="PD136" s="239"/>
      <c r="PE136" s="239"/>
      <c r="PF136" s="239"/>
      <c r="PG136" s="239"/>
      <c r="PH136" s="239"/>
      <c r="PI136" s="239"/>
      <c r="PJ136" s="239"/>
      <c r="PK136" s="239"/>
      <c r="PL136" s="239"/>
      <c r="PM136" s="239"/>
      <c r="PN136" s="239"/>
      <c r="PO136" s="239"/>
      <c r="PP136" s="239"/>
      <c r="PQ136" s="239"/>
      <c r="PR136" s="239"/>
      <c r="PS136" s="239"/>
      <c r="PT136" s="239"/>
      <c r="PU136" s="239"/>
      <c r="PV136" s="239"/>
      <c r="PW136" s="239"/>
      <c r="PX136" s="239"/>
      <c r="PY136" s="239"/>
      <c r="PZ136" s="239"/>
      <c r="QA136" s="239"/>
      <c r="QB136" s="239"/>
      <c r="QC136" s="239"/>
      <c r="QD136" s="239"/>
      <c r="QE136" s="239"/>
      <c r="QF136" s="239"/>
      <c r="QG136" s="239"/>
      <c r="QH136" s="239"/>
      <c r="QI136" s="239"/>
      <c r="QJ136" s="239"/>
      <c r="QK136" s="239"/>
      <c r="QL136" s="239"/>
      <c r="QM136" s="239"/>
      <c r="QN136" s="239"/>
      <c r="QO136" s="239"/>
      <c r="QP136" s="239"/>
      <c r="QQ136" s="239"/>
      <c r="QR136" s="239"/>
      <c r="QS136" s="239"/>
      <c r="QT136" s="239"/>
      <c r="QU136" s="239"/>
      <c r="QV136" s="239"/>
      <c r="QW136" s="239"/>
      <c r="QX136" s="239"/>
      <c r="QY136" s="239"/>
      <c r="QZ136" s="239"/>
      <c r="RA136" s="239"/>
      <c r="RB136" s="239"/>
      <c r="RC136" s="239"/>
      <c r="RD136" s="239"/>
      <c r="RE136" s="239"/>
      <c r="RF136" s="239"/>
      <c r="RG136" s="239"/>
      <c r="RH136" s="239"/>
      <c r="RI136" s="239"/>
      <c r="RJ136" s="239"/>
      <c r="RK136" s="239"/>
      <c r="RL136" s="239"/>
      <c r="RM136" s="239"/>
      <c r="RN136" s="239"/>
      <c r="RO136" s="239"/>
      <c r="RP136" s="239"/>
      <c r="RQ136" s="239"/>
      <c r="RR136" s="239"/>
      <c r="RS136" s="239"/>
      <c r="RT136" s="239"/>
      <c r="RU136" s="239"/>
      <c r="RV136" s="239"/>
      <c r="RW136" s="239"/>
      <c r="RX136" s="239"/>
      <c r="RY136" s="239"/>
      <c r="RZ136" s="239"/>
      <c r="SA136" s="239"/>
      <c r="SB136" s="239"/>
      <c r="SC136" s="239"/>
      <c r="SD136" s="239"/>
      <c r="SE136" s="239"/>
      <c r="SF136" s="239"/>
      <c r="SG136" s="239"/>
      <c r="SH136" s="239"/>
      <c r="SI136" s="239"/>
      <c r="SJ136" s="239"/>
      <c r="SK136" s="239"/>
      <c r="SL136" s="239"/>
      <c r="SM136" s="239"/>
      <c r="SN136" s="239"/>
      <c r="SO136" s="239"/>
      <c r="SP136" s="239"/>
      <c r="SQ136" s="239"/>
      <c r="SR136" s="239"/>
      <c r="SS136" s="239"/>
      <c r="ST136" s="239"/>
      <c r="SU136" s="239"/>
      <c r="SV136" s="239"/>
      <c r="SW136" s="239"/>
      <c r="SX136" s="239"/>
      <c r="SY136" s="239"/>
      <c r="SZ136" s="239"/>
      <c r="TA136" s="239"/>
      <c r="TB136" s="239"/>
      <c r="TC136" s="239"/>
      <c r="TD136" s="239"/>
      <c r="TE136" s="239"/>
      <c r="TF136" s="239"/>
      <c r="TG136" s="239"/>
      <c r="TH136" s="239"/>
      <c r="TI136" s="239"/>
      <c r="TJ136" s="239"/>
      <c r="TK136" s="239"/>
      <c r="TL136" s="239"/>
      <c r="TM136" s="239"/>
      <c r="TN136" s="239"/>
      <c r="TO136" s="239"/>
      <c r="TP136" s="239"/>
      <c r="TQ136" s="239"/>
      <c r="TR136" s="239"/>
      <c r="TS136" s="239"/>
      <c r="TT136" s="239"/>
      <c r="TU136" s="239"/>
      <c r="TV136" s="239"/>
      <c r="TW136" s="239"/>
      <c r="TX136" s="239"/>
      <c r="TY136" s="239"/>
      <c r="TZ136" s="239"/>
      <c r="UA136" s="239"/>
      <c r="UB136" s="239"/>
      <c r="UC136" s="239"/>
      <c r="UD136" s="239"/>
      <c r="UE136" s="239"/>
      <c r="UF136" s="239"/>
      <c r="UG136" s="240"/>
    </row>
    <row r="137" spans="1:553" s="236" customFormat="1" ht="24.65" customHeight="1">
      <c r="A137" s="356" t="s">
        <v>30</v>
      </c>
      <c r="B137" s="385">
        <v>2</v>
      </c>
      <c r="C137" s="1451" t="s">
        <v>32</v>
      </c>
      <c r="D137" s="1389"/>
      <c r="E137" s="1389"/>
      <c r="F137" s="1390"/>
      <c r="G137" s="386" t="s">
        <v>33</v>
      </c>
      <c r="H137" s="370"/>
      <c r="I137" s="422">
        <f>-19.4*2/1.7*2</f>
        <v>-45.647058823529413</v>
      </c>
      <c r="J137" s="368">
        <v>52000</v>
      </c>
      <c r="K137" s="371"/>
      <c r="L137" s="391">
        <f t="shared" ref="L137:L138" si="31">I137*J137</f>
        <v>-2373647.0588235296</v>
      </c>
      <c r="M137" s="395"/>
      <c r="N137" s="395"/>
      <c r="O137" s="366"/>
      <c r="P137" s="396"/>
      <c r="Q137" s="473"/>
      <c r="R137" s="1039"/>
      <c r="S137" s="308"/>
      <c r="T137" s="303"/>
      <c r="U137" s="306"/>
      <c r="V137" s="307"/>
      <c r="W137" s="307"/>
      <c r="X137" s="307"/>
      <c r="Y137" s="307"/>
      <c r="Z137" s="307"/>
      <c r="AA137" s="307"/>
      <c r="AB137" s="307"/>
      <c r="AC137" s="373"/>
      <c r="AD137" s="373"/>
      <c r="AE137" s="373"/>
      <c r="AF137" s="373"/>
      <c r="AG137" s="389"/>
      <c r="AH137" s="389"/>
      <c r="AI137" s="389"/>
      <c r="AJ137" s="389"/>
      <c r="AK137" s="389"/>
      <c r="AL137" s="246"/>
      <c r="AM137" s="246"/>
      <c r="AN137" s="246"/>
      <c r="AO137" s="246"/>
      <c r="AP137" s="246"/>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c r="CO137" s="247"/>
      <c r="CP137" s="247"/>
      <c r="CQ137" s="247"/>
      <c r="CR137" s="247"/>
      <c r="CS137" s="247"/>
      <c r="CT137" s="247"/>
      <c r="CU137" s="247"/>
      <c r="CV137" s="247"/>
      <c r="CW137" s="247"/>
      <c r="CX137" s="247"/>
      <c r="CY137" s="247"/>
      <c r="CZ137" s="247"/>
      <c r="DA137" s="247"/>
      <c r="DB137" s="247"/>
      <c r="DC137" s="247"/>
      <c r="DD137" s="247"/>
      <c r="DE137" s="247"/>
      <c r="DF137" s="247"/>
      <c r="DG137" s="247"/>
      <c r="DH137" s="247"/>
      <c r="DI137" s="247"/>
      <c r="DJ137" s="247"/>
      <c r="DK137" s="247"/>
      <c r="DL137" s="247"/>
      <c r="DM137" s="247"/>
      <c r="DN137" s="247"/>
      <c r="DO137" s="247"/>
      <c r="DP137" s="247"/>
      <c r="DQ137" s="247"/>
      <c r="DR137" s="247"/>
      <c r="DS137" s="247"/>
      <c r="DT137" s="247"/>
      <c r="DU137" s="247"/>
      <c r="DV137" s="247"/>
      <c r="DW137" s="247"/>
      <c r="DX137" s="247"/>
      <c r="DY137" s="247"/>
      <c r="DZ137" s="247"/>
      <c r="EA137" s="247"/>
      <c r="EB137" s="247"/>
      <c r="EC137" s="247"/>
      <c r="ED137" s="247"/>
      <c r="EE137" s="247"/>
      <c r="EF137" s="247"/>
      <c r="EG137" s="247"/>
      <c r="EH137" s="247"/>
      <c r="EI137" s="247"/>
      <c r="EJ137" s="247"/>
      <c r="EK137" s="247"/>
      <c r="EL137" s="247"/>
      <c r="EM137" s="247"/>
      <c r="EN137" s="247"/>
      <c r="EO137" s="247"/>
      <c r="EP137" s="247"/>
      <c r="EQ137" s="247"/>
      <c r="ER137" s="247"/>
      <c r="ES137" s="247"/>
      <c r="ET137" s="247"/>
      <c r="EU137" s="247"/>
      <c r="EV137" s="247"/>
      <c r="EW137" s="247"/>
      <c r="EX137" s="247"/>
      <c r="EY137" s="247"/>
      <c r="EZ137" s="247"/>
      <c r="FA137" s="247"/>
      <c r="FB137" s="247"/>
      <c r="FC137" s="247"/>
      <c r="FD137" s="247"/>
      <c r="FE137" s="247"/>
      <c r="FF137" s="247"/>
      <c r="FG137" s="247"/>
      <c r="FH137" s="247"/>
      <c r="FI137" s="247"/>
      <c r="FJ137" s="247"/>
      <c r="FK137" s="247"/>
      <c r="FL137" s="247"/>
      <c r="FM137" s="247"/>
      <c r="FN137" s="247"/>
      <c r="FO137" s="247"/>
      <c r="FP137" s="247"/>
      <c r="FQ137" s="247"/>
      <c r="FR137" s="247"/>
      <c r="FS137" s="247"/>
      <c r="FT137" s="247"/>
      <c r="FU137" s="247"/>
      <c r="FV137" s="247"/>
      <c r="FW137" s="247"/>
      <c r="FX137" s="247"/>
      <c r="FY137" s="247"/>
      <c r="FZ137" s="247"/>
      <c r="GA137" s="247"/>
      <c r="GB137" s="247"/>
      <c r="GC137" s="247"/>
      <c r="GD137" s="247"/>
      <c r="GE137" s="247"/>
      <c r="GF137" s="247"/>
      <c r="GG137" s="247"/>
      <c r="GH137" s="247"/>
      <c r="GI137" s="247"/>
      <c r="GJ137" s="247"/>
      <c r="GK137" s="247"/>
      <c r="GL137" s="247"/>
      <c r="GM137" s="247"/>
      <c r="GN137" s="247"/>
      <c r="GO137" s="247"/>
      <c r="GP137" s="247"/>
      <c r="GQ137" s="247"/>
      <c r="GR137" s="247"/>
      <c r="GS137" s="247"/>
      <c r="GT137" s="247"/>
      <c r="GU137" s="247"/>
      <c r="GV137" s="247"/>
      <c r="GW137" s="247"/>
      <c r="GX137" s="247"/>
      <c r="GY137" s="247"/>
      <c r="GZ137" s="247"/>
      <c r="HA137" s="247"/>
      <c r="HB137" s="247"/>
      <c r="HC137" s="247"/>
      <c r="HD137" s="247"/>
      <c r="HE137" s="247"/>
      <c r="HF137" s="247"/>
      <c r="HG137" s="247"/>
      <c r="HH137" s="247"/>
      <c r="HI137" s="247"/>
      <c r="HJ137" s="247"/>
      <c r="HK137" s="247"/>
      <c r="HL137" s="247"/>
      <c r="HM137" s="247"/>
      <c r="HN137" s="247"/>
      <c r="HO137" s="247"/>
      <c r="HP137" s="247"/>
      <c r="HQ137" s="247"/>
      <c r="HR137" s="247"/>
      <c r="HS137" s="247"/>
      <c r="HT137" s="247"/>
      <c r="HU137" s="247"/>
      <c r="HV137" s="247"/>
      <c r="HW137" s="247"/>
      <c r="HX137" s="247"/>
      <c r="HY137" s="247"/>
      <c r="HZ137" s="247"/>
      <c r="IA137" s="247"/>
      <c r="IB137" s="247"/>
      <c r="IC137" s="247"/>
      <c r="ID137" s="247"/>
      <c r="IE137" s="247"/>
      <c r="IF137" s="247"/>
      <c r="IG137" s="247"/>
      <c r="IH137" s="247"/>
      <c r="II137" s="247"/>
      <c r="IJ137" s="247"/>
      <c r="IK137" s="247"/>
      <c r="IL137" s="247"/>
      <c r="IM137" s="247"/>
      <c r="IN137" s="247"/>
      <c r="IO137" s="247"/>
      <c r="IP137" s="247"/>
      <c r="IQ137" s="247"/>
      <c r="IR137" s="247"/>
      <c r="IS137" s="247"/>
      <c r="IT137" s="247"/>
      <c r="IU137" s="247"/>
      <c r="IV137" s="247"/>
      <c r="IW137" s="247"/>
      <c r="IX137" s="247"/>
      <c r="IY137" s="247"/>
      <c r="IZ137" s="247"/>
      <c r="JA137" s="247"/>
      <c r="JB137" s="247"/>
      <c r="JC137" s="247"/>
      <c r="JD137" s="247"/>
      <c r="JE137" s="247"/>
      <c r="JF137" s="247"/>
      <c r="JG137" s="247"/>
      <c r="JH137" s="247"/>
      <c r="JI137" s="247"/>
      <c r="JJ137" s="247"/>
      <c r="JK137" s="247"/>
      <c r="JL137" s="247"/>
      <c r="JM137" s="247"/>
      <c r="JN137" s="247"/>
      <c r="JO137" s="247"/>
      <c r="JP137" s="247"/>
      <c r="JQ137" s="247"/>
      <c r="JR137" s="247"/>
      <c r="JS137" s="247"/>
      <c r="JT137" s="247"/>
      <c r="JU137" s="247"/>
      <c r="JV137" s="247"/>
      <c r="JW137" s="247"/>
      <c r="JX137" s="247"/>
      <c r="JY137" s="247"/>
      <c r="JZ137" s="247"/>
      <c r="KA137" s="247"/>
      <c r="KB137" s="247"/>
      <c r="KC137" s="247"/>
      <c r="KD137" s="247"/>
      <c r="KE137" s="247"/>
      <c r="KF137" s="247"/>
      <c r="KG137" s="247"/>
      <c r="KH137" s="247"/>
      <c r="KI137" s="247"/>
      <c r="KJ137" s="247"/>
      <c r="KK137" s="247"/>
      <c r="KL137" s="247"/>
      <c r="KM137" s="247"/>
      <c r="KN137" s="247"/>
      <c r="KO137" s="247"/>
      <c r="KP137" s="247"/>
      <c r="KQ137" s="247"/>
      <c r="KR137" s="247"/>
      <c r="KS137" s="247"/>
      <c r="KT137" s="247"/>
      <c r="KU137" s="247"/>
      <c r="KV137" s="247"/>
      <c r="KW137" s="247"/>
      <c r="KX137" s="247"/>
      <c r="KY137" s="247"/>
      <c r="KZ137" s="247"/>
      <c r="LA137" s="247"/>
      <c r="LB137" s="247"/>
      <c r="LC137" s="247"/>
      <c r="LD137" s="247"/>
      <c r="LE137" s="247"/>
      <c r="LF137" s="247"/>
      <c r="LG137" s="247"/>
      <c r="LH137" s="247"/>
      <c r="LI137" s="247"/>
      <c r="LJ137" s="247"/>
      <c r="LK137" s="247"/>
      <c r="LL137" s="247"/>
      <c r="LM137" s="247"/>
      <c r="LN137" s="247"/>
      <c r="LO137" s="247"/>
      <c r="LP137" s="247"/>
      <c r="LQ137" s="247"/>
      <c r="LR137" s="247"/>
      <c r="LS137" s="247"/>
      <c r="LT137" s="247"/>
      <c r="LU137" s="247"/>
      <c r="LV137" s="247"/>
      <c r="LW137" s="247"/>
      <c r="LX137" s="247"/>
      <c r="LY137" s="247"/>
      <c r="LZ137" s="247"/>
      <c r="MA137" s="247"/>
      <c r="MB137" s="247"/>
      <c r="MC137" s="247"/>
      <c r="MD137" s="247"/>
      <c r="ME137" s="247"/>
      <c r="MF137" s="247"/>
      <c r="MG137" s="247"/>
      <c r="MH137" s="247"/>
      <c r="MI137" s="247"/>
      <c r="MJ137" s="247"/>
      <c r="MK137" s="247"/>
      <c r="ML137" s="247"/>
      <c r="MM137" s="247"/>
      <c r="MN137" s="247"/>
      <c r="MO137" s="247"/>
      <c r="MP137" s="247"/>
      <c r="MQ137" s="247"/>
      <c r="MR137" s="247"/>
      <c r="MS137" s="247"/>
      <c r="MT137" s="247"/>
      <c r="MU137" s="247"/>
      <c r="MV137" s="247"/>
      <c r="MW137" s="247"/>
      <c r="MX137" s="247"/>
      <c r="MY137" s="247"/>
      <c r="MZ137" s="247"/>
      <c r="NA137" s="247"/>
      <c r="NB137" s="247"/>
      <c r="NC137" s="247"/>
      <c r="ND137" s="247"/>
      <c r="NE137" s="247"/>
      <c r="NF137" s="247"/>
      <c r="NG137" s="247"/>
      <c r="NH137" s="247"/>
      <c r="NI137" s="247"/>
      <c r="NJ137" s="247"/>
      <c r="NK137" s="247"/>
      <c r="NL137" s="247"/>
      <c r="NM137" s="247"/>
      <c r="NN137" s="247"/>
      <c r="NO137" s="247"/>
      <c r="NP137" s="247"/>
      <c r="NQ137" s="247"/>
      <c r="NR137" s="247"/>
      <c r="NS137" s="247"/>
      <c r="NT137" s="247"/>
      <c r="NU137" s="247"/>
      <c r="NV137" s="247"/>
      <c r="NW137" s="247"/>
      <c r="NX137" s="247"/>
      <c r="NY137" s="247"/>
      <c r="NZ137" s="247"/>
      <c r="OA137" s="247"/>
      <c r="OB137" s="247"/>
      <c r="OC137" s="247"/>
      <c r="OD137" s="247"/>
      <c r="OE137" s="247"/>
      <c r="OF137" s="247"/>
      <c r="OG137" s="247"/>
      <c r="OH137" s="247"/>
      <c r="OI137" s="247"/>
      <c r="OJ137" s="247"/>
      <c r="OK137" s="247"/>
      <c r="OL137" s="247"/>
      <c r="OM137" s="247"/>
      <c r="ON137" s="247"/>
      <c r="OO137" s="247"/>
      <c r="OP137" s="247"/>
      <c r="OQ137" s="247"/>
      <c r="OR137" s="247"/>
      <c r="OS137" s="247"/>
      <c r="OT137" s="247"/>
      <c r="OU137" s="247"/>
      <c r="OV137" s="247"/>
      <c r="OW137" s="247"/>
      <c r="OX137" s="247"/>
      <c r="OY137" s="247"/>
      <c r="OZ137" s="247"/>
      <c r="PA137" s="247"/>
      <c r="PB137" s="247"/>
      <c r="PC137" s="247"/>
      <c r="PD137" s="247"/>
      <c r="PE137" s="247"/>
      <c r="PF137" s="247"/>
      <c r="PG137" s="247"/>
      <c r="PH137" s="247"/>
      <c r="PI137" s="247"/>
      <c r="PJ137" s="247"/>
      <c r="PK137" s="247"/>
      <c r="PL137" s="247"/>
      <c r="PM137" s="247"/>
      <c r="PN137" s="247"/>
      <c r="PO137" s="247"/>
      <c r="PP137" s="247"/>
      <c r="PQ137" s="247"/>
      <c r="PR137" s="247"/>
      <c r="PS137" s="247"/>
      <c r="PT137" s="247"/>
      <c r="PU137" s="247"/>
      <c r="PV137" s="247"/>
      <c r="PW137" s="247"/>
      <c r="PX137" s="247"/>
      <c r="PY137" s="247"/>
      <c r="PZ137" s="247"/>
      <c r="QA137" s="247"/>
      <c r="QB137" s="247"/>
      <c r="QC137" s="247"/>
      <c r="QD137" s="247"/>
      <c r="QE137" s="247"/>
      <c r="QF137" s="247"/>
      <c r="QG137" s="247"/>
      <c r="QH137" s="247"/>
      <c r="QI137" s="247"/>
      <c r="QJ137" s="247"/>
      <c r="QK137" s="247"/>
      <c r="QL137" s="247"/>
      <c r="QM137" s="247"/>
      <c r="QN137" s="247"/>
      <c r="QO137" s="247"/>
      <c r="QP137" s="247"/>
      <c r="QQ137" s="247"/>
      <c r="QR137" s="247"/>
      <c r="QS137" s="247"/>
      <c r="QT137" s="247"/>
      <c r="QU137" s="247"/>
      <c r="QV137" s="247"/>
      <c r="QW137" s="247"/>
      <c r="QX137" s="247"/>
      <c r="QY137" s="247"/>
      <c r="QZ137" s="247"/>
      <c r="RA137" s="247"/>
      <c r="RB137" s="247"/>
      <c r="RC137" s="247"/>
      <c r="RD137" s="247"/>
      <c r="RE137" s="247"/>
      <c r="RF137" s="247"/>
      <c r="RG137" s="247"/>
      <c r="RH137" s="247"/>
      <c r="RI137" s="247"/>
      <c r="RJ137" s="247"/>
      <c r="RK137" s="247"/>
      <c r="RL137" s="247"/>
      <c r="RM137" s="247"/>
      <c r="RN137" s="247"/>
      <c r="RO137" s="247"/>
      <c r="RP137" s="247"/>
      <c r="RQ137" s="247"/>
      <c r="RR137" s="247"/>
      <c r="RS137" s="247"/>
      <c r="RT137" s="247"/>
      <c r="RU137" s="247"/>
      <c r="RV137" s="247"/>
      <c r="RW137" s="247"/>
      <c r="RX137" s="247"/>
      <c r="RY137" s="247"/>
      <c r="RZ137" s="247"/>
      <c r="SA137" s="247"/>
      <c r="SB137" s="247"/>
      <c r="SC137" s="247"/>
      <c r="SD137" s="247"/>
      <c r="SE137" s="247"/>
      <c r="SF137" s="247"/>
      <c r="SG137" s="247"/>
      <c r="SH137" s="247"/>
      <c r="SI137" s="247"/>
      <c r="SJ137" s="247"/>
      <c r="SK137" s="247"/>
      <c r="SL137" s="247"/>
      <c r="SM137" s="247"/>
      <c r="SN137" s="247"/>
      <c r="SO137" s="247"/>
      <c r="SP137" s="247"/>
      <c r="SQ137" s="247"/>
      <c r="SR137" s="247"/>
      <c r="SS137" s="247"/>
      <c r="ST137" s="247"/>
      <c r="SU137" s="247"/>
      <c r="SV137" s="247"/>
      <c r="SW137" s="247"/>
      <c r="SX137" s="247"/>
      <c r="SY137" s="247"/>
      <c r="SZ137" s="247"/>
      <c r="TA137" s="247"/>
      <c r="TB137" s="247"/>
      <c r="TC137" s="247"/>
      <c r="TD137" s="247"/>
      <c r="TE137" s="247"/>
      <c r="TF137" s="247"/>
      <c r="TG137" s="247"/>
      <c r="TH137" s="247"/>
      <c r="TI137" s="247"/>
      <c r="TJ137" s="247"/>
      <c r="TK137" s="247"/>
      <c r="TL137" s="247"/>
      <c r="TM137" s="247"/>
      <c r="TN137" s="247"/>
      <c r="TO137" s="247"/>
      <c r="TP137" s="247"/>
      <c r="TQ137" s="247"/>
      <c r="TR137" s="247"/>
      <c r="TS137" s="247"/>
      <c r="TT137" s="247"/>
      <c r="TU137" s="247"/>
      <c r="TV137" s="247"/>
      <c r="TW137" s="247"/>
      <c r="TX137" s="247"/>
      <c r="TY137" s="247"/>
      <c r="TZ137" s="247"/>
      <c r="UA137" s="247"/>
      <c r="UB137" s="247"/>
      <c r="UC137" s="247"/>
      <c r="UD137" s="247"/>
      <c r="UE137" s="247"/>
      <c r="UF137" s="247"/>
      <c r="UG137" s="235"/>
    </row>
    <row r="138" spans="1:553" s="236" customFormat="1" ht="24" customHeight="1">
      <c r="A138" s="356" t="s">
        <v>30</v>
      </c>
      <c r="B138" s="385">
        <v>5</v>
      </c>
      <c r="C138" s="1451" t="s">
        <v>864</v>
      </c>
      <c r="D138" s="1389"/>
      <c r="E138" s="1389"/>
      <c r="F138" s="1390"/>
      <c r="G138" s="386" t="s">
        <v>33</v>
      </c>
      <c r="H138" s="370"/>
      <c r="I138" s="422">
        <f>-19.4*2/1.7*2</f>
        <v>-45.647058823529413</v>
      </c>
      <c r="J138" s="368">
        <v>41700</v>
      </c>
      <c r="K138" s="371"/>
      <c r="L138" s="391">
        <f t="shared" si="31"/>
        <v>-1903482.3529411766</v>
      </c>
      <c r="M138" s="395"/>
      <c r="N138" s="395"/>
      <c r="O138" s="366"/>
      <c r="P138" s="396"/>
      <c r="Q138" s="473"/>
      <c r="R138" s="1039"/>
      <c r="S138" s="308"/>
      <c r="T138" s="303"/>
      <c r="U138" s="306"/>
      <c r="V138" s="307"/>
      <c r="W138" s="306"/>
      <c r="X138" s="306"/>
      <c r="Y138" s="306"/>
      <c r="Z138" s="306"/>
      <c r="AA138" s="306"/>
      <c r="AB138" s="306"/>
      <c r="AC138" s="373"/>
      <c r="AD138" s="373"/>
      <c r="AE138" s="373"/>
      <c r="AF138" s="373"/>
      <c r="AG138" s="389"/>
      <c r="AH138" s="389"/>
      <c r="AI138" s="389"/>
      <c r="AJ138" s="389"/>
      <c r="AK138" s="389"/>
      <c r="AL138" s="246"/>
      <c r="AM138" s="246"/>
      <c r="AN138" s="246"/>
      <c r="AO138" s="246"/>
      <c r="AP138" s="246"/>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c r="CO138" s="247"/>
      <c r="CP138" s="247"/>
      <c r="CQ138" s="247"/>
      <c r="CR138" s="247"/>
      <c r="CS138" s="247"/>
      <c r="CT138" s="247"/>
      <c r="CU138" s="247"/>
      <c r="CV138" s="247"/>
      <c r="CW138" s="247"/>
      <c r="CX138" s="247"/>
      <c r="CY138" s="247"/>
      <c r="CZ138" s="247"/>
      <c r="DA138" s="247"/>
      <c r="DB138" s="247"/>
      <c r="DC138" s="247"/>
      <c r="DD138" s="247"/>
      <c r="DE138" s="247"/>
      <c r="DF138" s="247"/>
      <c r="DG138" s="247"/>
      <c r="DH138" s="247"/>
      <c r="DI138" s="247"/>
      <c r="DJ138" s="247"/>
      <c r="DK138" s="247"/>
      <c r="DL138" s="247"/>
      <c r="DM138" s="247"/>
      <c r="DN138" s="247"/>
      <c r="DO138" s="247"/>
      <c r="DP138" s="247"/>
      <c r="DQ138" s="247"/>
      <c r="DR138" s="247"/>
      <c r="DS138" s="247"/>
      <c r="DT138" s="247"/>
      <c r="DU138" s="247"/>
      <c r="DV138" s="247"/>
      <c r="DW138" s="247"/>
      <c r="DX138" s="247"/>
      <c r="DY138" s="247"/>
      <c r="DZ138" s="247"/>
      <c r="EA138" s="247"/>
      <c r="EB138" s="247"/>
      <c r="EC138" s="247"/>
      <c r="ED138" s="247"/>
      <c r="EE138" s="247"/>
      <c r="EF138" s="247"/>
      <c r="EG138" s="247"/>
      <c r="EH138" s="247"/>
      <c r="EI138" s="247"/>
      <c r="EJ138" s="247"/>
      <c r="EK138" s="247"/>
      <c r="EL138" s="247"/>
      <c r="EM138" s="247"/>
      <c r="EN138" s="247"/>
      <c r="EO138" s="247"/>
      <c r="EP138" s="247"/>
      <c r="EQ138" s="247"/>
      <c r="ER138" s="247"/>
      <c r="ES138" s="247"/>
      <c r="ET138" s="247"/>
      <c r="EU138" s="247"/>
      <c r="EV138" s="247"/>
      <c r="EW138" s="247"/>
      <c r="EX138" s="247"/>
      <c r="EY138" s="247"/>
      <c r="EZ138" s="247"/>
      <c r="FA138" s="247"/>
      <c r="FB138" s="247"/>
      <c r="FC138" s="247"/>
      <c r="FD138" s="247"/>
      <c r="FE138" s="247"/>
      <c r="FF138" s="247"/>
      <c r="FG138" s="247"/>
      <c r="FH138" s="247"/>
      <c r="FI138" s="247"/>
      <c r="FJ138" s="247"/>
      <c r="FK138" s="247"/>
      <c r="FL138" s="247"/>
      <c r="FM138" s="247"/>
      <c r="FN138" s="247"/>
      <c r="FO138" s="247"/>
      <c r="FP138" s="247"/>
      <c r="FQ138" s="247"/>
      <c r="FR138" s="247"/>
      <c r="FS138" s="247"/>
      <c r="FT138" s="247"/>
      <c r="FU138" s="247"/>
      <c r="FV138" s="247"/>
      <c r="FW138" s="247"/>
      <c r="FX138" s="247"/>
      <c r="FY138" s="247"/>
      <c r="FZ138" s="247"/>
      <c r="GA138" s="247"/>
      <c r="GB138" s="247"/>
      <c r="GC138" s="247"/>
      <c r="GD138" s="247"/>
      <c r="GE138" s="247"/>
      <c r="GF138" s="247"/>
      <c r="GG138" s="247"/>
      <c r="GH138" s="247"/>
      <c r="GI138" s="247"/>
      <c r="GJ138" s="247"/>
      <c r="GK138" s="247"/>
      <c r="GL138" s="247"/>
      <c r="GM138" s="247"/>
      <c r="GN138" s="247"/>
      <c r="GO138" s="247"/>
      <c r="GP138" s="247"/>
      <c r="GQ138" s="247"/>
      <c r="GR138" s="247"/>
      <c r="GS138" s="247"/>
      <c r="GT138" s="247"/>
      <c r="GU138" s="247"/>
      <c r="GV138" s="247"/>
      <c r="GW138" s="247"/>
      <c r="GX138" s="247"/>
      <c r="GY138" s="247"/>
      <c r="GZ138" s="247"/>
      <c r="HA138" s="247"/>
      <c r="HB138" s="247"/>
      <c r="HC138" s="247"/>
      <c r="HD138" s="247"/>
      <c r="HE138" s="247"/>
      <c r="HF138" s="247"/>
      <c r="HG138" s="247"/>
      <c r="HH138" s="247"/>
      <c r="HI138" s="247"/>
      <c r="HJ138" s="247"/>
      <c r="HK138" s="247"/>
      <c r="HL138" s="247"/>
      <c r="HM138" s="247"/>
      <c r="HN138" s="247"/>
      <c r="HO138" s="247"/>
      <c r="HP138" s="247"/>
      <c r="HQ138" s="247"/>
      <c r="HR138" s="247"/>
      <c r="HS138" s="247"/>
      <c r="HT138" s="247"/>
      <c r="HU138" s="247"/>
      <c r="HV138" s="247"/>
      <c r="HW138" s="247"/>
      <c r="HX138" s="247"/>
      <c r="HY138" s="247"/>
      <c r="HZ138" s="247"/>
      <c r="IA138" s="247"/>
      <c r="IB138" s="247"/>
      <c r="IC138" s="247"/>
      <c r="ID138" s="247"/>
      <c r="IE138" s="247"/>
      <c r="IF138" s="247"/>
      <c r="IG138" s="247"/>
      <c r="IH138" s="247"/>
      <c r="II138" s="247"/>
      <c r="IJ138" s="247"/>
      <c r="IK138" s="247"/>
      <c r="IL138" s="247"/>
      <c r="IM138" s="247"/>
      <c r="IN138" s="247"/>
      <c r="IO138" s="247"/>
      <c r="IP138" s="247"/>
      <c r="IQ138" s="247"/>
      <c r="IR138" s="247"/>
      <c r="IS138" s="247"/>
      <c r="IT138" s="247"/>
      <c r="IU138" s="247"/>
      <c r="IV138" s="247"/>
      <c r="IW138" s="247"/>
      <c r="IX138" s="247"/>
      <c r="IY138" s="247"/>
      <c r="IZ138" s="247"/>
      <c r="JA138" s="247"/>
      <c r="JB138" s="247"/>
      <c r="JC138" s="247"/>
      <c r="JD138" s="247"/>
      <c r="JE138" s="247"/>
      <c r="JF138" s="247"/>
      <c r="JG138" s="247"/>
      <c r="JH138" s="247"/>
      <c r="JI138" s="247"/>
      <c r="JJ138" s="247"/>
      <c r="JK138" s="247"/>
      <c r="JL138" s="247"/>
      <c r="JM138" s="247"/>
      <c r="JN138" s="247"/>
      <c r="JO138" s="247"/>
      <c r="JP138" s="247"/>
      <c r="JQ138" s="247"/>
      <c r="JR138" s="247"/>
      <c r="JS138" s="247"/>
      <c r="JT138" s="247"/>
      <c r="JU138" s="247"/>
      <c r="JV138" s="247"/>
      <c r="JW138" s="247"/>
      <c r="JX138" s="247"/>
      <c r="JY138" s="247"/>
      <c r="JZ138" s="247"/>
      <c r="KA138" s="247"/>
      <c r="KB138" s="247"/>
      <c r="KC138" s="247"/>
      <c r="KD138" s="247"/>
      <c r="KE138" s="247"/>
      <c r="KF138" s="247"/>
      <c r="KG138" s="247"/>
      <c r="KH138" s="247"/>
      <c r="KI138" s="247"/>
      <c r="KJ138" s="247"/>
      <c r="KK138" s="247"/>
      <c r="KL138" s="247"/>
      <c r="KM138" s="247"/>
      <c r="KN138" s="247"/>
      <c r="KO138" s="247"/>
      <c r="KP138" s="247"/>
      <c r="KQ138" s="247"/>
      <c r="KR138" s="247"/>
      <c r="KS138" s="247"/>
      <c r="KT138" s="247"/>
      <c r="KU138" s="247"/>
      <c r="KV138" s="247"/>
      <c r="KW138" s="247"/>
      <c r="KX138" s="247"/>
      <c r="KY138" s="247"/>
      <c r="KZ138" s="247"/>
      <c r="LA138" s="247"/>
      <c r="LB138" s="247"/>
      <c r="LC138" s="247"/>
      <c r="LD138" s="247"/>
      <c r="LE138" s="247"/>
      <c r="LF138" s="247"/>
      <c r="LG138" s="247"/>
      <c r="LH138" s="247"/>
      <c r="LI138" s="247"/>
      <c r="LJ138" s="247"/>
      <c r="LK138" s="247"/>
      <c r="LL138" s="247"/>
      <c r="LM138" s="247"/>
      <c r="LN138" s="247"/>
      <c r="LO138" s="247"/>
      <c r="LP138" s="247"/>
      <c r="LQ138" s="247"/>
      <c r="LR138" s="247"/>
      <c r="LS138" s="247"/>
      <c r="LT138" s="247"/>
      <c r="LU138" s="247"/>
      <c r="LV138" s="247"/>
      <c r="LW138" s="247"/>
      <c r="LX138" s="247"/>
      <c r="LY138" s="247"/>
      <c r="LZ138" s="247"/>
      <c r="MA138" s="247"/>
      <c r="MB138" s="247"/>
      <c r="MC138" s="247"/>
      <c r="MD138" s="247"/>
      <c r="ME138" s="247"/>
      <c r="MF138" s="247"/>
      <c r="MG138" s="247"/>
      <c r="MH138" s="247"/>
      <c r="MI138" s="247"/>
      <c r="MJ138" s="247"/>
      <c r="MK138" s="247"/>
      <c r="ML138" s="247"/>
      <c r="MM138" s="247"/>
      <c r="MN138" s="247"/>
      <c r="MO138" s="247"/>
      <c r="MP138" s="247"/>
      <c r="MQ138" s="247"/>
      <c r="MR138" s="247"/>
      <c r="MS138" s="247"/>
      <c r="MT138" s="247"/>
      <c r="MU138" s="247"/>
      <c r="MV138" s="247"/>
      <c r="MW138" s="247"/>
      <c r="MX138" s="247"/>
      <c r="MY138" s="247"/>
      <c r="MZ138" s="247"/>
      <c r="NA138" s="247"/>
      <c r="NB138" s="247"/>
      <c r="NC138" s="247"/>
      <c r="ND138" s="247"/>
      <c r="NE138" s="247"/>
      <c r="NF138" s="247"/>
      <c r="NG138" s="247"/>
      <c r="NH138" s="247"/>
      <c r="NI138" s="247"/>
      <c r="NJ138" s="247"/>
      <c r="NK138" s="247"/>
      <c r="NL138" s="247"/>
      <c r="NM138" s="247"/>
      <c r="NN138" s="247"/>
      <c r="NO138" s="247"/>
      <c r="NP138" s="247"/>
      <c r="NQ138" s="247"/>
      <c r="NR138" s="247"/>
      <c r="NS138" s="247"/>
      <c r="NT138" s="247"/>
      <c r="NU138" s="247"/>
      <c r="NV138" s="247"/>
      <c r="NW138" s="247"/>
      <c r="NX138" s="247"/>
      <c r="NY138" s="247"/>
      <c r="NZ138" s="247"/>
      <c r="OA138" s="247"/>
      <c r="OB138" s="247"/>
      <c r="OC138" s="247"/>
      <c r="OD138" s="247"/>
      <c r="OE138" s="247"/>
      <c r="OF138" s="247"/>
      <c r="OG138" s="247"/>
      <c r="OH138" s="247"/>
      <c r="OI138" s="247"/>
      <c r="OJ138" s="247"/>
      <c r="OK138" s="247"/>
      <c r="OL138" s="247"/>
      <c r="OM138" s="247"/>
      <c r="ON138" s="247"/>
      <c r="OO138" s="247"/>
      <c r="OP138" s="247"/>
      <c r="OQ138" s="247"/>
      <c r="OR138" s="247"/>
      <c r="OS138" s="247"/>
      <c r="OT138" s="247"/>
      <c r="OU138" s="247"/>
      <c r="OV138" s="247"/>
      <c r="OW138" s="247"/>
      <c r="OX138" s="247"/>
      <c r="OY138" s="247"/>
      <c r="OZ138" s="247"/>
      <c r="PA138" s="247"/>
      <c r="PB138" s="247"/>
      <c r="PC138" s="247"/>
      <c r="PD138" s="247"/>
      <c r="PE138" s="247"/>
      <c r="PF138" s="247"/>
      <c r="PG138" s="247"/>
      <c r="PH138" s="247"/>
      <c r="PI138" s="247"/>
      <c r="PJ138" s="247"/>
      <c r="PK138" s="247"/>
      <c r="PL138" s="247"/>
      <c r="PM138" s="247"/>
      <c r="PN138" s="247"/>
      <c r="PO138" s="247"/>
      <c r="PP138" s="247"/>
      <c r="PQ138" s="247"/>
      <c r="PR138" s="247"/>
      <c r="PS138" s="247"/>
      <c r="PT138" s="247"/>
      <c r="PU138" s="247"/>
      <c r="PV138" s="247"/>
      <c r="PW138" s="247"/>
      <c r="PX138" s="247"/>
      <c r="PY138" s="247"/>
      <c r="PZ138" s="247"/>
      <c r="QA138" s="247"/>
      <c r="QB138" s="247"/>
      <c r="QC138" s="247"/>
      <c r="QD138" s="247"/>
      <c r="QE138" s="247"/>
      <c r="QF138" s="247"/>
      <c r="QG138" s="247"/>
      <c r="QH138" s="247"/>
      <c r="QI138" s="247"/>
      <c r="QJ138" s="247"/>
      <c r="QK138" s="247"/>
      <c r="QL138" s="247"/>
      <c r="QM138" s="247"/>
      <c r="QN138" s="247"/>
      <c r="QO138" s="247"/>
      <c r="QP138" s="247"/>
      <c r="QQ138" s="247"/>
      <c r="QR138" s="247"/>
      <c r="QS138" s="247"/>
      <c r="QT138" s="247"/>
      <c r="QU138" s="247"/>
      <c r="QV138" s="247"/>
      <c r="QW138" s="247"/>
      <c r="QX138" s="247"/>
      <c r="QY138" s="247"/>
      <c r="QZ138" s="247"/>
      <c r="RA138" s="247"/>
      <c r="RB138" s="247"/>
      <c r="RC138" s="247"/>
      <c r="RD138" s="247"/>
      <c r="RE138" s="247"/>
      <c r="RF138" s="247"/>
      <c r="RG138" s="247"/>
      <c r="RH138" s="247"/>
      <c r="RI138" s="247"/>
      <c r="RJ138" s="247"/>
      <c r="RK138" s="247"/>
      <c r="RL138" s="247"/>
      <c r="RM138" s="247"/>
      <c r="RN138" s="247"/>
      <c r="RO138" s="247"/>
      <c r="RP138" s="247"/>
      <c r="RQ138" s="247"/>
      <c r="RR138" s="247"/>
      <c r="RS138" s="247"/>
      <c r="RT138" s="247"/>
      <c r="RU138" s="247"/>
      <c r="RV138" s="247"/>
      <c r="RW138" s="247"/>
      <c r="RX138" s="247"/>
      <c r="RY138" s="247"/>
      <c r="RZ138" s="247"/>
      <c r="SA138" s="247"/>
      <c r="SB138" s="247"/>
      <c r="SC138" s="247"/>
      <c r="SD138" s="247"/>
      <c r="SE138" s="247"/>
      <c r="SF138" s="247"/>
      <c r="SG138" s="247"/>
      <c r="SH138" s="247"/>
      <c r="SI138" s="247"/>
      <c r="SJ138" s="247"/>
      <c r="SK138" s="247"/>
      <c r="SL138" s="247"/>
      <c r="SM138" s="247"/>
      <c r="SN138" s="247"/>
      <c r="SO138" s="247"/>
      <c r="SP138" s="247"/>
      <c r="SQ138" s="247"/>
      <c r="SR138" s="247"/>
      <c r="SS138" s="247"/>
      <c r="ST138" s="247"/>
      <c r="SU138" s="247"/>
      <c r="SV138" s="247"/>
      <c r="SW138" s="247"/>
      <c r="SX138" s="247"/>
      <c r="SY138" s="247"/>
      <c r="SZ138" s="247"/>
      <c r="TA138" s="247"/>
      <c r="TB138" s="247"/>
      <c r="TC138" s="247"/>
      <c r="TD138" s="247"/>
      <c r="TE138" s="247"/>
      <c r="TF138" s="247"/>
      <c r="TG138" s="247"/>
      <c r="TH138" s="247"/>
      <c r="TI138" s="247"/>
      <c r="TJ138" s="247"/>
      <c r="TK138" s="247"/>
      <c r="TL138" s="247"/>
      <c r="TM138" s="247"/>
      <c r="TN138" s="247"/>
      <c r="TO138" s="247"/>
      <c r="TP138" s="247"/>
      <c r="TQ138" s="247"/>
      <c r="TR138" s="247"/>
      <c r="TS138" s="247"/>
      <c r="TT138" s="247"/>
      <c r="TU138" s="247"/>
      <c r="TV138" s="247"/>
      <c r="TW138" s="247"/>
      <c r="TX138" s="247"/>
      <c r="TY138" s="247"/>
      <c r="TZ138" s="247"/>
      <c r="UA138" s="247"/>
      <c r="UB138" s="247"/>
      <c r="UC138" s="247"/>
      <c r="UD138" s="247"/>
      <c r="UE138" s="247"/>
      <c r="UF138" s="247"/>
      <c r="UG138" s="235"/>
    </row>
    <row r="139" spans="1:553" s="236" customFormat="1" ht="34.5" customHeight="1">
      <c r="A139" s="356" t="s">
        <v>15</v>
      </c>
      <c r="B139" s="366" t="s">
        <v>31</v>
      </c>
      <c r="C139" s="1443" t="s">
        <v>186</v>
      </c>
      <c r="D139" s="1389"/>
      <c r="E139" s="1389"/>
      <c r="F139" s="1390"/>
      <c r="G139" s="386" t="s">
        <v>33</v>
      </c>
      <c r="H139" s="370"/>
      <c r="I139" s="422">
        <f>7.2*1.2/1.7</f>
        <v>5.0823529411764712</v>
      </c>
      <c r="J139" s="368">
        <v>815000</v>
      </c>
      <c r="K139" s="371"/>
      <c r="L139" s="391">
        <f t="shared" si="26"/>
        <v>4142118</v>
      </c>
      <c r="M139" s="395"/>
      <c r="N139" s="395"/>
      <c r="O139" s="366"/>
      <c r="P139" s="396"/>
      <c r="Q139" s="473"/>
      <c r="R139" s="1039"/>
      <c r="S139" s="308"/>
      <c r="T139" s="303"/>
      <c r="U139" s="306"/>
      <c r="V139" s="307"/>
      <c r="W139" s="306"/>
      <c r="X139" s="306"/>
      <c r="Y139" s="306"/>
      <c r="Z139" s="306"/>
      <c r="AA139" s="306"/>
      <c r="AB139" s="306"/>
      <c r="AC139" s="449"/>
      <c r="AD139" s="449"/>
      <c r="AE139" s="449"/>
      <c r="AF139" s="449"/>
      <c r="AG139" s="452"/>
      <c r="AH139" s="452"/>
      <c r="AI139" s="452"/>
      <c r="AJ139" s="452"/>
      <c r="AK139" s="452"/>
      <c r="AL139" s="242"/>
      <c r="AM139" s="241"/>
      <c r="AN139" s="241"/>
      <c r="AO139" s="241"/>
      <c r="AP139" s="241"/>
      <c r="AQ139" s="238"/>
      <c r="AR139" s="238"/>
      <c r="AS139" s="238"/>
      <c r="AT139" s="238"/>
      <c r="AU139" s="238"/>
      <c r="AV139" s="238"/>
      <c r="AW139" s="238"/>
      <c r="AX139" s="238"/>
      <c r="AY139" s="238"/>
      <c r="AZ139" s="238"/>
      <c r="BA139" s="238"/>
      <c r="BB139" s="238"/>
      <c r="BC139" s="238"/>
      <c r="BD139" s="238"/>
      <c r="BE139" s="238"/>
      <c r="BF139" s="238"/>
      <c r="BG139" s="238"/>
      <c r="BH139" s="238"/>
      <c r="BI139" s="238"/>
      <c r="BJ139" s="238"/>
      <c r="BK139" s="238"/>
      <c r="BL139" s="238"/>
      <c r="BM139" s="239"/>
      <c r="BN139" s="239"/>
      <c r="BO139" s="239"/>
      <c r="BP139" s="239"/>
      <c r="BQ139" s="239"/>
      <c r="BR139" s="239"/>
      <c r="BS139" s="239"/>
      <c r="BT139" s="239"/>
      <c r="BU139" s="239"/>
      <c r="BV139" s="239"/>
      <c r="BW139" s="239"/>
      <c r="BX139" s="239"/>
      <c r="BY139" s="239"/>
      <c r="BZ139" s="239"/>
      <c r="CA139" s="239"/>
      <c r="CB139" s="239"/>
      <c r="CC139" s="239"/>
      <c r="CD139" s="239"/>
      <c r="CE139" s="239"/>
      <c r="CF139" s="239"/>
      <c r="CG139" s="239"/>
      <c r="CH139" s="239"/>
      <c r="CI139" s="239"/>
      <c r="CJ139" s="239"/>
      <c r="CK139" s="239"/>
      <c r="CL139" s="239"/>
      <c r="CM139" s="239"/>
      <c r="CN139" s="239"/>
      <c r="CO139" s="239"/>
      <c r="CP139" s="239"/>
      <c r="CQ139" s="239"/>
      <c r="CR139" s="239"/>
      <c r="CS139" s="239"/>
      <c r="CT139" s="239"/>
      <c r="CU139" s="239"/>
      <c r="CV139" s="239"/>
      <c r="CW139" s="239"/>
      <c r="CX139" s="239"/>
      <c r="CY139" s="239"/>
      <c r="CZ139" s="239"/>
      <c r="DA139" s="239"/>
      <c r="DB139" s="239"/>
      <c r="DC139" s="239"/>
      <c r="DD139" s="239"/>
      <c r="DE139" s="239"/>
      <c r="DF139" s="239"/>
      <c r="DG139" s="239"/>
      <c r="DH139" s="239"/>
      <c r="DI139" s="239"/>
      <c r="DJ139" s="239"/>
      <c r="DK139" s="239"/>
      <c r="DL139" s="239"/>
      <c r="DM139" s="239"/>
      <c r="DN139" s="239"/>
      <c r="DO139" s="239"/>
      <c r="DP139" s="239"/>
      <c r="DQ139" s="239"/>
      <c r="DR139" s="239"/>
      <c r="DS139" s="239"/>
      <c r="DT139" s="239"/>
      <c r="DU139" s="239"/>
      <c r="DV139" s="239"/>
      <c r="DW139" s="239"/>
      <c r="DX139" s="239"/>
      <c r="DY139" s="239"/>
      <c r="DZ139" s="239"/>
      <c r="EA139" s="239"/>
      <c r="EB139" s="239"/>
      <c r="EC139" s="239"/>
      <c r="ED139" s="239"/>
      <c r="EE139" s="239"/>
      <c r="EF139" s="239"/>
      <c r="EG139" s="239"/>
      <c r="EH139" s="239"/>
      <c r="EI139" s="239"/>
      <c r="EJ139" s="239"/>
      <c r="EK139" s="239"/>
      <c r="EL139" s="239"/>
      <c r="EM139" s="239"/>
      <c r="EN139" s="239"/>
      <c r="EO139" s="239"/>
      <c r="EP139" s="239"/>
      <c r="EQ139" s="239"/>
      <c r="ER139" s="239"/>
      <c r="ES139" s="239"/>
      <c r="ET139" s="239"/>
      <c r="EU139" s="239"/>
      <c r="EV139" s="239"/>
      <c r="EW139" s="239"/>
      <c r="EX139" s="239"/>
      <c r="EY139" s="239"/>
      <c r="EZ139" s="239"/>
      <c r="FA139" s="239"/>
      <c r="FB139" s="239"/>
      <c r="FC139" s="239"/>
      <c r="FD139" s="239"/>
      <c r="FE139" s="239"/>
      <c r="FF139" s="239"/>
      <c r="FG139" s="239"/>
      <c r="FH139" s="239"/>
      <c r="FI139" s="239"/>
      <c r="FJ139" s="239"/>
      <c r="FK139" s="239"/>
      <c r="FL139" s="239"/>
      <c r="FM139" s="239"/>
      <c r="FN139" s="239"/>
      <c r="FO139" s="239"/>
      <c r="FP139" s="239"/>
      <c r="FQ139" s="239"/>
      <c r="FR139" s="239"/>
      <c r="FS139" s="239"/>
      <c r="FT139" s="239"/>
      <c r="FU139" s="239"/>
      <c r="FV139" s="239"/>
      <c r="FW139" s="239"/>
      <c r="FX139" s="239"/>
      <c r="FY139" s="239"/>
      <c r="FZ139" s="239"/>
      <c r="GA139" s="239"/>
      <c r="GB139" s="239"/>
      <c r="GC139" s="239"/>
      <c r="GD139" s="239"/>
      <c r="GE139" s="239"/>
      <c r="GF139" s="239"/>
      <c r="GG139" s="239"/>
      <c r="GH139" s="239"/>
      <c r="GI139" s="239"/>
      <c r="GJ139" s="239"/>
      <c r="GK139" s="239"/>
      <c r="GL139" s="239"/>
      <c r="GM139" s="239"/>
      <c r="GN139" s="239"/>
      <c r="GO139" s="239"/>
      <c r="GP139" s="239"/>
      <c r="GQ139" s="239"/>
      <c r="GR139" s="239"/>
      <c r="GS139" s="239"/>
      <c r="GT139" s="239"/>
      <c r="GU139" s="239"/>
      <c r="GV139" s="239"/>
      <c r="GW139" s="239"/>
      <c r="GX139" s="239"/>
      <c r="GY139" s="239"/>
      <c r="GZ139" s="239"/>
      <c r="HA139" s="239"/>
      <c r="HB139" s="239"/>
      <c r="HC139" s="239"/>
      <c r="HD139" s="239"/>
      <c r="HE139" s="239"/>
      <c r="HF139" s="239"/>
      <c r="HG139" s="239"/>
      <c r="HH139" s="239"/>
      <c r="HI139" s="239"/>
      <c r="HJ139" s="239"/>
      <c r="HK139" s="239"/>
      <c r="HL139" s="239"/>
      <c r="HM139" s="239"/>
      <c r="HN139" s="239"/>
      <c r="HO139" s="239"/>
      <c r="HP139" s="239"/>
      <c r="HQ139" s="239"/>
      <c r="HR139" s="239"/>
      <c r="HS139" s="239"/>
      <c r="HT139" s="239"/>
      <c r="HU139" s="239"/>
      <c r="HV139" s="239"/>
      <c r="HW139" s="239"/>
      <c r="HX139" s="239"/>
      <c r="HY139" s="239"/>
      <c r="HZ139" s="239"/>
      <c r="IA139" s="239"/>
      <c r="IB139" s="239"/>
      <c r="IC139" s="239"/>
      <c r="ID139" s="239"/>
      <c r="IE139" s="239"/>
      <c r="IF139" s="239"/>
      <c r="IG139" s="239"/>
      <c r="IH139" s="239"/>
      <c r="II139" s="239"/>
      <c r="IJ139" s="239"/>
      <c r="IK139" s="239"/>
      <c r="IL139" s="239"/>
      <c r="IM139" s="239"/>
      <c r="IN139" s="239"/>
      <c r="IO139" s="239"/>
      <c r="IP139" s="239"/>
      <c r="IQ139" s="239"/>
      <c r="IR139" s="239"/>
      <c r="IS139" s="239"/>
      <c r="IT139" s="239"/>
      <c r="IU139" s="239"/>
      <c r="IV139" s="239"/>
      <c r="IW139" s="239"/>
      <c r="IX139" s="239"/>
      <c r="IY139" s="239"/>
      <c r="IZ139" s="239"/>
      <c r="JA139" s="239"/>
      <c r="JB139" s="239"/>
      <c r="JC139" s="239"/>
      <c r="JD139" s="239"/>
      <c r="JE139" s="239"/>
      <c r="JF139" s="239"/>
      <c r="JG139" s="239"/>
      <c r="JH139" s="239"/>
      <c r="JI139" s="239"/>
      <c r="JJ139" s="239"/>
      <c r="JK139" s="239"/>
      <c r="JL139" s="239"/>
      <c r="JM139" s="239"/>
      <c r="JN139" s="239"/>
      <c r="JO139" s="239"/>
      <c r="JP139" s="239"/>
      <c r="JQ139" s="239"/>
      <c r="JR139" s="239"/>
      <c r="JS139" s="239"/>
      <c r="JT139" s="239"/>
      <c r="JU139" s="239"/>
      <c r="JV139" s="239"/>
      <c r="JW139" s="239"/>
      <c r="JX139" s="239"/>
      <c r="JY139" s="239"/>
      <c r="JZ139" s="239"/>
      <c r="KA139" s="239"/>
      <c r="KB139" s="239"/>
      <c r="KC139" s="239"/>
      <c r="KD139" s="239"/>
      <c r="KE139" s="239"/>
      <c r="KF139" s="239"/>
      <c r="KG139" s="239"/>
      <c r="KH139" s="239"/>
      <c r="KI139" s="239"/>
      <c r="KJ139" s="239"/>
      <c r="KK139" s="239"/>
      <c r="KL139" s="239"/>
      <c r="KM139" s="239"/>
      <c r="KN139" s="239"/>
      <c r="KO139" s="239"/>
      <c r="KP139" s="239"/>
      <c r="KQ139" s="239"/>
      <c r="KR139" s="239"/>
      <c r="KS139" s="239"/>
      <c r="KT139" s="239"/>
      <c r="KU139" s="239"/>
      <c r="KV139" s="239"/>
      <c r="KW139" s="239"/>
      <c r="KX139" s="239"/>
      <c r="KY139" s="239"/>
      <c r="KZ139" s="239"/>
      <c r="LA139" s="239"/>
      <c r="LB139" s="239"/>
      <c r="LC139" s="239"/>
      <c r="LD139" s="239"/>
      <c r="LE139" s="239"/>
      <c r="LF139" s="239"/>
      <c r="LG139" s="239"/>
      <c r="LH139" s="239"/>
      <c r="LI139" s="239"/>
      <c r="LJ139" s="239"/>
      <c r="LK139" s="239"/>
      <c r="LL139" s="239"/>
      <c r="LM139" s="239"/>
      <c r="LN139" s="239"/>
      <c r="LO139" s="239"/>
      <c r="LP139" s="239"/>
      <c r="LQ139" s="239"/>
      <c r="LR139" s="239"/>
      <c r="LS139" s="239"/>
      <c r="LT139" s="239"/>
      <c r="LU139" s="239"/>
      <c r="LV139" s="239"/>
      <c r="LW139" s="239"/>
      <c r="LX139" s="239"/>
      <c r="LY139" s="239"/>
      <c r="LZ139" s="239"/>
      <c r="MA139" s="239"/>
      <c r="MB139" s="239"/>
      <c r="MC139" s="239"/>
      <c r="MD139" s="239"/>
      <c r="ME139" s="239"/>
      <c r="MF139" s="239"/>
      <c r="MG139" s="239"/>
      <c r="MH139" s="239"/>
      <c r="MI139" s="239"/>
      <c r="MJ139" s="239"/>
      <c r="MK139" s="239"/>
      <c r="ML139" s="239"/>
      <c r="MM139" s="239"/>
      <c r="MN139" s="239"/>
      <c r="MO139" s="239"/>
      <c r="MP139" s="239"/>
      <c r="MQ139" s="239"/>
      <c r="MR139" s="239"/>
      <c r="MS139" s="239"/>
      <c r="MT139" s="239"/>
      <c r="MU139" s="239"/>
      <c r="MV139" s="239"/>
      <c r="MW139" s="239"/>
      <c r="MX139" s="239"/>
      <c r="MY139" s="239"/>
      <c r="MZ139" s="239"/>
      <c r="NA139" s="239"/>
      <c r="NB139" s="239"/>
      <c r="NC139" s="239"/>
      <c r="ND139" s="239"/>
      <c r="NE139" s="239"/>
      <c r="NF139" s="239"/>
      <c r="NG139" s="239"/>
      <c r="NH139" s="239"/>
      <c r="NI139" s="239"/>
      <c r="NJ139" s="239"/>
      <c r="NK139" s="239"/>
      <c r="NL139" s="239"/>
      <c r="NM139" s="239"/>
      <c r="NN139" s="239"/>
      <c r="NO139" s="239"/>
      <c r="NP139" s="239"/>
      <c r="NQ139" s="239"/>
      <c r="NR139" s="239"/>
      <c r="NS139" s="239"/>
      <c r="NT139" s="239"/>
      <c r="NU139" s="239"/>
      <c r="NV139" s="239"/>
      <c r="NW139" s="239"/>
      <c r="NX139" s="239"/>
      <c r="NY139" s="239"/>
      <c r="NZ139" s="239"/>
      <c r="OA139" s="239"/>
      <c r="OB139" s="239"/>
      <c r="OC139" s="239"/>
      <c r="OD139" s="239"/>
      <c r="OE139" s="239"/>
      <c r="OF139" s="239"/>
      <c r="OG139" s="239"/>
      <c r="OH139" s="239"/>
      <c r="OI139" s="239"/>
      <c r="OJ139" s="239"/>
      <c r="OK139" s="239"/>
      <c r="OL139" s="239"/>
      <c r="OM139" s="239"/>
      <c r="ON139" s="239"/>
      <c r="OO139" s="239"/>
      <c r="OP139" s="239"/>
      <c r="OQ139" s="239"/>
      <c r="OR139" s="239"/>
      <c r="OS139" s="239"/>
      <c r="OT139" s="239"/>
      <c r="OU139" s="239"/>
      <c r="OV139" s="239"/>
      <c r="OW139" s="239"/>
      <c r="OX139" s="239"/>
      <c r="OY139" s="239"/>
      <c r="OZ139" s="239"/>
      <c r="PA139" s="239"/>
      <c r="PB139" s="239"/>
      <c r="PC139" s="239"/>
      <c r="PD139" s="239"/>
      <c r="PE139" s="239"/>
      <c r="PF139" s="239"/>
      <c r="PG139" s="239"/>
      <c r="PH139" s="239"/>
      <c r="PI139" s="239"/>
      <c r="PJ139" s="239"/>
      <c r="PK139" s="239"/>
      <c r="PL139" s="239"/>
      <c r="PM139" s="239"/>
      <c r="PN139" s="239"/>
      <c r="PO139" s="239"/>
      <c r="PP139" s="239"/>
      <c r="PQ139" s="239"/>
      <c r="PR139" s="239"/>
      <c r="PS139" s="239"/>
      <c r="PT139" s="239"/>
      <c r="PU139" s="239"/>
      <c r="PV139" s="239"/>
      <c r="PW139" s="239"/>
      <c r="PX139" s="239"/>
      <c r="PY139" s="239"/>
      <c r="PZ139" s="239"/>
      <c r="QA139" s="239"/>
      <c r="QB139" s="239"/>
      <c r="QC139" s="239"/>
      <c r="QD139" s="239"/>
      <c r="QE139" s="239"/>
      <c r="QF139" s="239"/>
      <c r="QG139" s="239"/>
      <c r="QH139" s="239"/>
      <c r="QI139" s="239"/>
      <c r="QJ139" s="239"/>
      <c r="QK139" s="239"/>
      <c r="QL139" s="239"/>
      <c r="QM139" s="239"/>
      <c r="QN139" s="239"/>
      <c r="QO139" s="239"/>
      <c r="QP139" s="239"/>
      <c r="QQ139" s="239"/>
      <c r="QR139" s="239"/>
      <c r="QS139" s="239"/>
      <c r="QT139" s="239"/>
      <c r="QU139" s="239"/>
      <c r="QV139" s="239"/>
      <c r="QW139" s="239"/>
      <c r="QX139" s="239"/>
      <c r="QY139" s="239"/>
      <c r="QZ139" s="239"/>
      <c r="RA139" s="239"/>
      <c r="RB139" s="239"/>
      <c r="RC139" s="239"/>
      <c r="RD139" s="239"/>
      <c r="RE139" s="239"/>
      <c r="RF139" s="239"/>
      <c r="RG139" s="239"/>
      <c r="RH139" s="239"/>
      <c r="RI139" s="239"/>
      <c r="RJ139" s="239"/>
      <c r="RK139" s="239"/>
      <c r="RL139" s="239"/>
      <c r="RM139" s="239"/>
      <c r="RN139" s="239"/>
      <c r="RO139" s="239"/>
      <c r="RP139" s="239"/>
      <c r="RQ139" s="239"/>
      <c r="RR139" s="239"/>
      <c r="RS139" s="239"/>
      <c r="RT139" s="239"/>
      <c r="RU139" s="239"/>
      <c r="RV139" s="239"/>
      <c r="RW139" s="239"/>
      <c r="RX139" s="239"/>
      <c r="RY139" s="239"/>
      <c r="RZ139" s="239"/>
      <c r="SA139" s="239"/>
      <c r="SB139" s="239"/>
      <c r="SC139" s="239"/>
      <c r="SD139" s="239"/>
      <c r="SE139" s="239"/>
      <c r="SF139" s="239"/>
      <c r="SG139" s="239"/>
      <c r="SH139" s="239"/>
      <c r="SI139" s="239"/>
      <c r="SJ139" s="239"/>
      <c r="SK139" s="239"/>
      <c r="SL139" s="239"/>
      <c r="SM139" s="239"/>
      <c r="SN139" s="239"/>
      <c r="SO139" s="239"/>
      <c r="SP139" s="239"/>
      <c r="SQ139" s="239"/>
      <c r="SR139" s="239"/>
      <c r="SS139" s="239"/>
      <c r="ST139" s="239"/>
      <c r="SU139" s="239"/>
      <c r="SV139" s="239"/>
      <c r="SW139" s="239"/>
      <c r="SX139" s="239"/>
      <c r="SY139" s="239"/>
      <c r="SZ139" s="239"/>
      <c r="TA139" s="239"/>
      <c r="TB139" s="239"/>
      <c r="TC139" s="239"/>
      <c r="TD139" s="239"/>
      <c r="TE139" s="239"/>
      <c r="TF139" s="239"/>
      <c r="TG139" s="239"/>
      <c r="TH139" s="239"/>
      <c r="TI139" s="239"/>
      <c r="TJ139" s="239"/>
      <c r="TK139" s="239"/>
      <c r="TL139" s="239"/>
      <c r="TM139" s="239"/>
      <c r="TN139" s="239"/>
      <c r="TO139" s="239"/>
      <c r="TP139" s="239"/>
      <c r="TQ139" s="239"/>
      <c r="TR139" s="239"/>
      <c r="TS139" s="239"/>
      <c r="TT139" s="239"/>
      <c r="TU139" s="239"/>
      <c r="TV139" s="239"/>
      <c r="TW139" s="239"/>
      <c r="TX139" s="239"/>
      <c r="TY139" s="239"/>
      <c r="TZ139" s="239"/>
      <c r="UA139" s="239"/>
      <c r="UB139" s="239"/>
      <c r="UC139" s="239"/>
      <c r="UD139" s="239"/>
      <c r="UE139" s="239"/>
      <c r="UF139" s="239"/>
      <c r="UG139" s="240"/>
    </row>
    <row r="140" spans="1:553" s="236" customFormat="1" ht="24.65" customHeight="1">
      <c r="A140" s="356" t="s">
        <v>30</v>
      </c>
      <c r="B140" s="385">
        <v>2</v>
      </c>
      <c r="C140" s="1451" t="s">
        <v>32</v>
      </c>
      <c r="D140" s="1389"/>
      <c r="E140" s="1389"/>
      <c r="F140" s="1390"/>
      <c r="G140" s="386" t="s">
        <v>33</v>
      </c>
      <c r="H140" s="370"/>
      <c r="I140" s="422">
        <f>-7.2*1.2/1.7*2</f>
        <v>-10.164705882352942</v>
      </c>
      <c r="J140" s="368">
        <v>52000</v>
      </c>
      <c r="K140" s="371"/>
      <c r="L140" s="391">
        <f t="shared" ref="L140:L141" si="32">I140*J140</f>
        <v>-528564.70588235301</v>
      </c>
      <c r="M140" s="395"/>
      <c r="N140" s="395"/>
      <c r="O140" s="366"/>
      <c r="P140" s="396"/>
      <c r="Q140" s="473"/>
      <c r="R140" s="1039"/>
      <c r="S140" s="308"/>
      <c r="T140" s="303"/>
      <c r="U140" s="306"/>
      <c r="V140" s="307"/>
      <c r="W140" s="306"/>
      <c r="X140" s="306"/>
      <c r="Y140" s="306"/>
      <c r="Z140" s="306"/>
      <c r="AA140" s="306"/>
      <c r="AB140" s="306"/>
      <c r="AC140" s="373"/>
      <c r="AD140" s="373"/>
      <c r="AE140" s="373"/>
      <c r="AF140" s="373"/>
      <c r="AG140" s="389"/>
      <c r="AH140" s="389"/>
      <c r="AI140" s="389"/>
      <c r="AJ140" s="389"/>
      <c r="AK140" s="389"/>
      <c r="AL140" s="246"/>
      <c r="AM140" s="246"/>
      <c r="AN140" s="246"/>
      <c r="AO140" s="246"/>
      <c r="AP140" s="246"/>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c r="CO140" s="247"/>
      <c r="CP140" s="247"/>
      <c r="CQ140" s="247"/>
      <c r="CR140" s="247"/>
      <c r="CS140" s="247"/>
      <c r="CT140" s="247"/>
      <c r="CU140" s="247"/>
      <c r="CV140" s="247"/>
      <c r="CW140" s="247"/>
      <c r="CX140" s="247"/>
      <c r="CY140" s="247"/>
      <c r="CZ140" s="247"/>
      <c r="DA140" s="247"/>
      <c r="DB140" s="247"/>
      <c r="DC140" s="247"/>
      <c r="DD140" s="247"/>
      <c r="DE140" s="247"/>
      <c r="DF140" s="247"/>
      <c r="DG140" s="247"/>
      <c r="DH140" s="247"/>
      <c r="DI140" s="247"/>
      <c r="DJ140" s="247"/>
      <c r="DK140" s="247"/>
      <c r="DL140" s="247"/>
      <c r="DM140" s="247"/>
      <c r="DN140" s="247"/>
      <c r="DO140" s="247"/>
      <c r="DP140" s="247"/>
      <c r="DQ140" s="247"/>
      <c r="DR140" s="247"/>
      <c r="DS140" s="247"/>
      <c r="DT140" s="247"/>
      <c r="DU140" s="247"/>
      <c r="DV140" s="247"/>
      <c r="DW140" s="247"/>
      <c r="DX140" s="247"/>
      <c r="DY140" s="247"/>
      <c r="DZ140" s="247"/>
      <c r="EA140" s="247"/>
      <c r="EB140" s="247"/>
      <c r="EC140" s="247"/>
      <c r="ED140" s="247"/>
      <c r="EE140" s="247"/>
      <c r="EF140" s="247"/>
      <c r="EG140" s="247"/>
      <c r="EH140" s="247"/>
      <c r="EI140" s="247"/>
      <c r="EJ140" s="247"/>
      <c r="EK140" s="247"/>
      <c r="EL140" s="247"/>
      <c r="EM140" s="247"/>
      <c r="EN140" s="247"/>
      <c r="EO140" s="247"/>
      <c r="EP140" s="247"/>
      <c r="EQ140" s="247"/>
      <c r="ER140" s="247"/>
      <c r="ES140" s="247"/>
      <c r="ET140" s="247"/>
      <c r="EU140" s="247"/>
      <c r="EV140" s="247"/>
      <c r="EW140" s="247"/>
      <c r="EX140" s="247"/>
      <c r="EY140" s="247"/>
      <c r="EZ140" s="247"/>
      <c r="FA140" s="247"/>
      <c r="FB140" s="247"/>
      <c r="FC140" s="247"/>
      <c r="FD140" s="247"/>
      <c r="FE140" s="247"/>
      <c r="FF140" s="247"/>
      <c r="FG140" s="247"/>
      <c r="FH140" s="247"/>
      <c r="FI140" s="247"/>
      <c r="FJ140" s="247"/>
      <c r="FK140" s="247"/>
      <c r="FL140" s="247"/>
      <c r="FM140" s="247"/>
      <c r="FN140" s="247"/>
      <c r="FO140" s="247"/>
      <c r="FP140" s="247"/>
      <c r="FQ140" s="247"/>
      <c r="FR140" s="247"/>
      <c r="FS140" s="247"/>
      <c r="FT140" s="247"/>
      <c r="FU140" s="247"/>
      <c r="FV140" s="247"/>
      <c r="FW140" s="247"/>
      <c r="FX140" s="247"/>
      <c r="FY140" s="247"/>
      <c r="FZ140" s="247"/>
      <c r="GA140" s="247"/>
      <c r="GB140" s="247"/>
      <c r="GC140" s="247"/>
      <c r="GD140" s="247"/>
      <c r="GE140" s="247"/>
      <c r="GF140" s="247"/>
      <c r="GG140" s="247"/>
      <c r="GH140" s="247"/>
      <c r="GI140" s="247"/>
      <c r="GJ140" s="247"/>
      <c r="GK140" s="247"/>
      <c r="GL140" s="247"/>
      <c r="GM140" s="247"/>
      <c r="GN140" s="247"/>
      <c r="GO140" s="247"/>
      <c r="GP140" s="247"/>
      <c r="GQ140" s="247"/>
      <c r="GR140" s="247"/>
      <c r="GS140" s="247"/>
      <c r="GT140" s="247"/>
      <c r="GU140" s="247"/>
      <c r="GV140" s="247"/>
      <c r="GW140" s="247"/>
      <c r="GX140" s="247"/>
      <c r="GY140" s="247"/>
      <c r="GZ140" s="247"/>
      <c r="HA140" s="247"/>
      <c r="HB140" s="247"/>
      <c r="HC140" s="247"/>
      <c r="HD140" s="247"/>
      <c r="HE140" s="247"/>
      <c r="HF140" s="247"/>
      <c r="HG140" s="247"/>
      <c r="HH140" s="247"/>
      <c r="HI140" s="247"/>
      <c r="HJ140" s="247"/>
      <c r="HK140" s="247"/>
      <c r="HL140" s="247"/>
      <c r="HM140" s="247"/>
      <c r="HN140" s="247"/>
      <c r="HO140" s="247"/>
      <c r="HP140" s="247"/>
      <c r="HQ140" s="247"/>
      <c r="HR140" s="247"/>
      <c r="HS140" s="247"/>
      <c r="HT140" s="247"/>
      <c r="HU140" s="247"/>
      <c r="HV140" s="247"/>
      <c r="HW140" s="247"/>
      <c r="HX140" s="247"/>
      <c r="HY140" s="247"/>
      <c r="HZ140" s="247"/>
      <c r="IA140" s="247"/>
      <c r="IB140" s="247"/>
      <c r="IC140" s="247"/>
      <c r="ID140" s="247"/>
      <c r="IE140" s="247"/>
      <c r="IF140" s="247"/>
      <c r="IG140" s="247"/>
      <c r="IH140" s="247"/>
      <c r="II140" s="247"/>
      <c r="IJ140" s="247"/>
      <c r="IK140" s="247"/>
      <c r="IL140" s="247"/>
      <c r="IM140" s="247"/>
      <c r="IN140" s="247"/>
      <c r="IO140" s="247"/>
      <c r="IP140" s="247"/>
      <c r="IQ140" s="247"/>
      <c r="IR140" s="247"/>
      <c r="IS140" s="247"/>
      <c r="IT140" s="247"/>
      <c r="IU140" s="247"/>
      <c r="IV140" s="247"/>
      <c r="IW140" s="247"/>
      <c r="IX140" s="247"/>
      <c r="IY140" s="247"/>
      <c r="IZ140" s="247"/>
      <c r="JA140" s="247"/>
      <c r="JB140" s="247"/>
      <c r="JC140" s="247"/>
      <c r="JD140" s="247"/>
      <c r="JE140" s="247"/>
      <c r="JF140" s="247"/>
      <c r="JG140" s="247"/>
      <c r="JH140" s="247"/>
      <c r="JI140" s="247"/>
      <c r="JJ140" s="247"/>
      <c r="JK140" s="247"/>
      <c r="JL140" s="247"/>
      <c r="JM140" s="247"/>
      <c r="JN140" s="247"/>
      <c r="JO140" s="247"/>
      <c r="JP140" s="247"/>
      <c r="JQ140" s="247"/>
      <c r="JR140" s="247"/>
      <c r="JS140" s="247"/>
      <c r="JT140" s="247"/>
      <c r="JU140" s="247"/>
      <c r="JV140" s="247"/>
      <c r="JW140" s="247"/>
      <c r="JX140" s="247"/>
      <c r="JY140" s="247"/>
      <c r="JZ140" s="247"/>
      <c r="KA140" s="247"/>
      <c r="KB140" s="247"/>
      <c r="KC140" s="247"/>
      <c r="KD140" s="247"/>
      <c r="KE140" s="247"/>
      <c r="KF140" s="247"/>
      <c r="KG140" s="247"/>
      <c r="KH140" s="247"/>
      <c r="KI140" s="247"/>
      <c r="KJ140" s="247"/>
      <c r="KK140" s="247"/>
      <c r="KL140" s="247"/>
      <c r="KM140" s="247"/>
      <c r="KN140" s="247"/>
      <c r="KO140" s="247"/>
      <c r="KP140" s="247"/>
      <c r="KQ140" s="247"/>
      <c r="KR140" s="247"/>
      <c r="KS140" s="247"/>
      <c r="KT140" s="247"/>
      <c r="KU140" s="247"/>
      <c r="KV140" s="247"/>
      <c r="KW140" s="247"/>
      <c r="KX140" s="247"/>
      <c r="KY140" s="247"/>
      <c r="KZ140" s="247"/>
      <c r="LA140" s="247"/>
      <c r="LB140" s="247"/>
      <c r="LC140" s="247"/>
      <c r="LD140" s="247"/>
      <c r="LE140" s="247"/>
      <c r="LF140" s="247"/>
      <c r="LG140" s="247"/>
      <c r="LH140" s="247"/>
      <c r="LI140" s="247"/>
      <c r="LJ140" s="247"/>
      <c r="LK140" s="247"/>
      <c r="LL140" s="247"/>
      <c r="LM140" s="247"/>
      <c r="LN140" s="247"/>
      <c r="LO140" s="247"/>
      <c r="LP140" s="247"/>
      <c r="LQ140" s="247"/>
      <c r="LR140" s="247"/>
      <c r="LS140" s="247"/>
      <c r="LT140" s="247"/>
      <c r="LU140" s="247"/>
      <c r="LV140" s="247"/>
      <c r="LW140" s="247"/>
      <c r="LX140" s="247"/>
      <c r="LY140" s="247"/>
      <c r="LZ140" s="247"/>
      <c r="MA140" s="247"/>
      <c r="MB140" s="247"/>
      <c r="MC140" s="247"/>
      <c r="MD140" s="247"/>
      <c r="ME140" s="247"/>
      <c r="MF140" s="247"/>
      <c r="MG140" s="247"/>
      <c r="MH140" s="247"/>
      <c r="MI140" s="247"/>
      <c r="MJ140" s="247"/>
      <c r="MK140" s="247"/>
      <c r="ML140" s="247"/>
      <c r="MM140" s="247"/>
      <c r="MN140" s="247"/>
      <c r="MO140" s="247"/>
      <c r="MP140" s="247"/>
      <c r="MQ140" s="247"/>
      <c r="MR140" s="247"/>
      <c r="MS140" s="247"/>
      <c r="MT140" s="247"/>
      <c r="MU140" s="247"/>
      <c r="MV140" s="247"/>
      <c r="MW140" s="247"/>
      <c r="MX140" s="247"/>
      <c r="MY140" s="247"/>
      <c r="MZ140" s="247"/>
      <c r="NA140" s="247"/>
      <c r="NB140" s="247"/>
      <c r="NC140" s="247"/>
      <c r="ND140" s="247"/>
      <c r="NE140" s="247"/>
      <c r="NF140" s="247"/>
      <c r="NG140" s="247"/>
      <c r="NH140" s="247"/>
      <c r="NI140" s="247"/>
      <c r="NJ140" s="247"/>
      <c r="NK140" s="247"/>
      <c r="NL140" s="247"/>
      <c r="NM140" s="247"/>
      <c r="NN140" s="247"/>
      <c r="NO140" s="247"/>
      <c r="NP140" s="247"/>
      <c r="NQ140" s="247"/>
      <c r="NR140" s="247"/>
      <c r="NS140" s="247"/>
      <c r="NT140" s="247"/>
      <c r="NU140" s="247"/>
      <c r="NV140" s="247"/>
      <c r="NW140" s="247"/>
      <c r="NX140" s="247"/>
      <c r="NY140" s="247"/>
      <c r="NZ140" s="247"/>
      <c r="OA140" s="247"/>
      <c r="OB140" s="247"/>
      <c r="OC140" s="247"/>
      <c r="OD140" s="247"/>
      <c r="OE140" s="247"/>
      <c r="OF140" s="247"/>
      <c r="OG140" s="247"/>
      <c r="OH140" s="247"/>
      <c r="OI140" s="247"/>
      <c r="OJ140" s="247"/>
      <c r="OK140" s="247"/>
      <c r="OL140" s="247"/>
      <c r="OM140" s="247"/>
      <c r="ON140" s="247"/>
      <c r="OO140" s="247"/>
      <c r="OP140" s="247"/>
      <c r="OQ140" s="247"/>
      <c r="OR140" s="247"/>
      <c r="OS140" s="247"/>
      <c r="OT140" s="247"/>
      <c r="OU140" s="247"/>
      <c r="OV140" s="247"/>
      <c r="OW140" s="247"/>
      <c r="OX140" s="247"/>
      <c r="OY140" s="247"/>
      <c r="OZ140" s="247"/>
      <c r="PA140" s="247"/>
      <c r="PB140" s="247"/>
      <c r="PC140" s="247"/>
      <c r="PD140" s="247"/>
      <c r="PE140" s="247"/>
      <c r="PF140" s="247"/>
      <c r="PG140" s="247"/>
      <c r="PH140" s="247"/>
      <c r="PI140" s="247"/>
      <c r="PJ140" s="247"/>
      <c r="PK140" s="247"/>
      <c r="PL140" s="247"/>
      <c r="PM140" s="247"/>
      <c r="PN140" s="247"/>
      <c r="PO140" s="247"/>
      <c r="PP140" s="247"/>
      <c r="PQ140" s="247"/>
      <c r="PR140" s="247"/>
      <c r="PS140" s="247"/>
      <c r="PT140" s="247"/>
      <c r="PU140" s="247"/>
      <c r="PV140" s="247"/>
      <c r="PW140" s="247"/>
      <c r="PX140" s="247"/>
      <c r="PY140" s="247"/>
      <c r="PZ140" s="247"/>
      <c r="QA140" s="247"/>
      <c r="QB140" s="247"/>
      <c r="QC140" s="247"/>
      <c r="QD140" s="247"/>
      <c r="QE140" s="247"/>
      <c r="QF140" s="247"/>
      <c r="QG140" s="247"/>
      <c r="QH140" s="247"/>
      <c r="QI140" s="247"/>
      <c r="QJ140" s="247"/>
      <c r="QK140" s="247"/>
      <c r="QL140" s="247"/>
      <c r="QM140" s="247"/>
      <c r="QN140" s="247"/>
      <c r="QO140" s="247"/>
      <c r="QP140" s="247"/>
      <c r="QQ140" s="247"/>
      <c r="QR140" s="247"/>
      <c r="QS140" s="247"/>
      <c r="QT140" s="247"/>
      <c r="QU140" s="247"/>
      <c r="QV140" s="247"/>
      <c r="QW140" s="247"/>
      <c r="QX140" s="247"/>
      <c r="QY140" s="247"/>
      <c r="QZ140" s="247"/>
      <c r="RA140" s="247"/>
      <c r="RB140" s="247"/>
      <c r="RC140" s="247"/>
      <c r="RD140" s="247"/>
      <c r="RE140" s="247"/>
      <c r="RF140" s="247"/>
      <c r="RG140" s="247"/>
      <c r="RH140" s="247"/>
      <c r="RI140" s="247"/>
      <c r="RJ140" s="247"/>
      <c r="RK140" s="247"/>
      <c r="RL140" s="247"/>
      <c r="RM140" s="247"/>
      <c r="RN140" s="247"/>
      <c r="RO140" s="247"/>
      <c r="RP140" s="247"/>
      <c r="RQ140" s="247"/>
      <c r="RR140" s="247"/>
      <c r="RS140" s="247"/>
      <c r="RT140" s="247"/>
      <c r="RU140" s="247"/>
      <c r="RV140" s="247"/>
      <c r="RW140" s="247"/>
      <c r="RX140" s="247"/>
      <c r="RY140" s="247"/>
      <c r="RZ140" s="247"/>
      <c r="SA140" s="247"/>
      <c r="SB140" s="247"/>
      <c r="SC140" s="247"/>
      <c r="SD140" s="247"/>
      <c r="SE140" s="247"/>
      <c r="SF140" s="247"/>
      <c r="SG140" s="247"/>
      <c r="SH140" s="247"/>
      <c r="SI140" s="247"/>
      <c r="SJ140" s="247"/>
      <c r="SK140" s="247"/>
      <c r="SL140" s="247"/>
      <c r="SM140" s="247"/>
      <c r="SN140" s="247"/>
      <c r="SO140" s="247"/>
      <c r="SP140" s="247"/>
      <c r="SQ140" s="247"/>
      <c r="SR140" s="247"/>
      <c r="SS140" s="247"/>
      <c r="ST140" s="247"/>
      <c r="SU140" s="247"/>
      <c r="SV140" s="247"/>
      <c r="SW140" s="247"/>
      <c r="SX140" s="247"/>
      <c r="SY140" s="247"/>
      <c r="SZ140" s="247"/>
      <c r="TA140" s="247"/>
      <c r="TB140" s="247"/>
      <c r="TC140" s="247"/>
      <c r="TD140" s="247"/>
      <c r="TE140" s="247"/>
      <c r="TF140" s="247"/>
      <c r="TG140" s="247"/>
      <c r="TH140" s="247"/>
      <c r="TI140" s="247"/>
      <c r="TJ140" s="247"/>
      <c r="TK140" s="247"/>
      <c r="TL140" s="247"/>
      <c r="TM140" s="247"/>
      <c r="TN140" s="247"/>
      <c r="TO140" s="247"/>
      <c r="TP140" s="247"/>
      <c r="TQ140" s="247"/>
      <c r="TR140" s="247"/>
      <c r="TS140" s="247"/>
      <c r="TT140" s="247"/>
      <c r="TU140" s="247"/>
      <c r="TV140" s="247"/>
      <c r="TW140" s="247"/>
      <c r="TX140" s="247"/>
      <c r="TY140" s="247"/>
      <c r="TZ140" s="247"/>
      <c r="UA140" s="247"/>
      <c r="UB140" s="247"/>
      <c r="UC140" s="247"/>
      <c r="UD140" s="247"/>
      <c r="UE140" s="247"/>
      <c r="UF140" s="247"/>
      <c r="UG140" s="235"/>
    </row>
    <row r="141" spans="1:553" s="236" customFormat="1" ht="24" customHeight="1">
      <c r="A141" s="356" t="s">
        <v>30</v>
      </c>
      <c r="B141" s="385">
        <v>5</v>
      </c>
      <c r="C141" s="1451" t="s">
        <v>864</v>
      </c>
      <c r="D141" s="1389"/>
      <c r="E141" s="1389"/>
      <c r="F141" s="1390"/>
      <c r="G141" s="386" t="s">
        <v>33</v>
      </c>
      <c r="H141" s="370"/>
      <c r="I141" s="422">
        <f>-7.2*1.2/1.7*2</f>
        <v>-10.164705882352942</v>
      </c>
      <c r="J141" s="368">
        <v>41700</v>
      </c>
      <c r="K141" s="371"/>
      <c r="L141" s="391">
        <f t="shared" si="32"/>
        <v>-423868.23529411771</v>
      </c>
      <c r="M141" s="395"/>
      <c r="N141" s="395"/>
      <c r="O141" s="366"/>
      <c r="P141" s="396"/>
      <c r="Q141" s="473"/>
      <c r="R141" s="1039"/>
      <c r="S141" s="308"/>
      <c r="T141" s="303"/>
      <c r="U141" s="306"/>
      <c r="V141" s="307"/>
      <c r="W141" s="306"/>
      <c r="X141" s="306"/>
      <c r="Y141" s="306"/>
      <c r="Z141" s="306"/>
      <c r="AA141" s="306"/>
      <c r="AB141" s="306"/>
      <c r="AC141" s="373"/>
      <c r="AD141" s="373"/>
      <c r="AE141" s="373"/>
      <c r="AF141" s="373"/>
      <c r="AG141" s="389"/>
      <c r="AH141" s="389"/>
      <c r="AI141" s="389"/>
      <c r="AJ141" s="389"/>
      <c r="AK141" s="389"/>
      <c r="AL141" s="246"/>
      <c r="AM141" s="246"/>
      <c r="AN141" s="246"/>
      <c r="AO141" s="246"/>
      <c r="AP141" s="246"/>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c r="CO141" s="247"/>
      <c r="CP141" s="247"/>
      <c r="CQ141" s="247"/>
      <c r="CR141" s="247"/>
      <c r="CS141" s="247"/>
      <c r="CT141" s="247"/>
      <c r="CU141" s="247"/>
      <c r="CV141" s="247"/>
      <c r="CW141" s="247"/>
      <c r="CX141" s="247"/>
      <c r="CY141" s="247"/>
      <c r="CZ141" s="247"/>
      <c r="DA141" s="247"/>
      <c r="DB141" s="247"/>
      <c r="DC141" s="247"/>
      <c r="DD141" s="247"/>
      <c r="DE141" s="247"/>
      <c r="DF141" s="247"/>
      <c r="DG141" s="247"/>
      <c r="DH141" s="247"/>
      <c r="DI141" s="247"/>
      <c r="DJ141" s="247"/>
      <c r="DK141" s="247"/>
      <c r="DL141" s="247"/>
      <c r="DM141" s="247"/>
      <c r="DN141" s="247"/>
      <c r="DO141" s="247"/>
      <c r="DP141" s="247"/>
      <c r="DQ141" s="247"/>
      <c r="DR141" s="247"/>
      <c r="DS141" s="247"/>
      <c r="DT141" s="247"/>
      <c r="DU141" s="247"/>
      <c r="DV141" s="247"/>
      <c r="DW141" s="247"/>
      <c r="DX141" s="247"/>
      <c r="DY141" s="247"/>
      <c r="DZ141" s="247"/>
      <c r="EA141" s="247"/>
      <c r="EB141" s="247"/>
      <c r="EC141" s="247"/>
      <c r="ED141" s="247"/>
      <c r="EE141" s="247"/>
      <c r="EF141" s="247"/>
      <c r="EG141" s="247"/>
      <c r="EH141" s="247"/>
      <c r="EI141" s="247"/>
      <c r="EJ141" s="247"/>
      <c r="EK141" s="247"/>
      <c r="EL141" s="247"/>
      <c r="EM141" s="247"/>
      <c r="EN141" s="247"/>
      <c r="EO141" s="247"/>
      <c r="EP141" s="247"/>
      <c r="EQ141" s="247"/>
      <c r="ER141" s="247"/>
      <c r="ES141" s="247"/>
      <c r="ET141" s="247"/>
      <c r="EU141" s="247"/>
      <c r="EV141" s="247"/>
      <c r="EW141" s="247"/>
      <c r="EX141" s="247"/>
      <c r="EY141" s="247"/>
      <c r="EZ141" s="247"/>
      <c r="FA141" s="247"/>
      <c r="FB141" s="247"/>
      <c r="FC141" s="247"/>
      <c r="FD141" s="247"/>
      <c r="FE141" s="247"/>
      <c r="FF141" s="247"/>
      <c r="FG141" s="247"/>
      <c r="FH141" s="247"/>
      <c r="FI141" s="247"/>
      <c r="FJ141" s="247"/>
      <c r="FK141" s="247"/>
      <c r="FL141" s="247"/>
      <c r="FM141" s="247"/>
      <c r="FN141" s="247"/>
      <c r="FO141" s="247"/>
      <c r="FP141" s="247"/>
      <c r="FQ141" s="247"/>
      <c r="FR141" s="247"/>
      <c r="FS141" s="247"/>
      <c r="FT141" s="247"/>
      <c r="FU141" s="247"/>
      <c r="FV141" s="247"/>
      <c r="FW141" s="247"/>
      <c r="FX141" s="247"/>
      <c r="FY141" s="247"/>
      <c r="FZ141" s="247"/>
      <c r="GA141" s="247"/>
      <c r="GB141" s="247"/>
      <c r="GC141" s="247"/>
      <c r="GD141" s="247"/>
      <c r="GE141" s="247"/>
      <c r="GF141" s="247"/>
      <c r="GG141" s="247"/>
      <c r="GH141" s="247"/>
      <c r="GI141" s="247"/>
      <c r="GJ141" s="247"/>
      <c r="GK141" s="247"/>
      <c r="GL141" s="247"/>
      <c r="GM141" s="247"/>
      <c r="GN141" s="247"/>
      <c r="GO141" s="247"/>
      <c r="GP141" s="247"/>
      <c r="GQ141" s="247"/>
      <c r="GR141" s="247"/>
      <c r="GS141" s="247"/>
      <c r="GT141" s="247"/>
      <c r="GU141" s="247"/>
      <c r="GV141" s="247"/>
      <c r="GW141" s="247"/>
      <c r="GX141" s="247"/>
      <c r="GY141" s="247"/>
      <c r="GZ141" s="247"/>
      <c r="HA141" s="247"/>
      <c r="HB141" s="247"/>
      <c r="HC141" s="247"/>
      <c r="HD141" s="247"/>
      <c r="HE141" s="247"/>
      <c r="HF141" s="247"/>
      <c r="HG141" s="247"/>
      <c r="HH141" s="247"/>
      <c r="HI141" s="247"/>
      <c r="HJ141" s="247"/>
      <c r="HK141" s="247"/>
      <c r="HL141" s="247"/>
      <c r="HM141" s="247"/>
      <c r="HN141" s="247"/>
      <c r="HO141" s="247"/>
      <c r="HP141" s="247"/>
      <c r="HQ141" s="247"/>
      <c r="HR141" s="247"/>
      <c r="HS141" s="247"/>
      <c r="HT141" s="247"/>
      <c r="HU141" s="247"/>
      <c r="HV141" s="247"/>
      <c r="HW141" s="247"/>
      <c r="HX141" s="247"/>
      <c r="HY141" s="247"/>
      <c r="HZ141" s="247"/>
      <c r="IA141" s="247"/>
      <c r="IB141" s="247"/>
      <c r="IC141" s="247"/>
      <c r="ID141" s="247"/>
      <c r="IE141" s="247"/>
      <c r="IF141" s="247"/>
      <c r="IG141" s="247"/>
      <c r="IH141" s="247"/>
      <c r="II141" s="247"/>
      <c r="IJ141" s="247"/>
      <c r="IK141" s="247"/>
      <c r="IL141" s="247"/>
      <c r="IM141" s="247"/>
      <c r="IN141" s="247"/>
      <c r="IO141" s="247"/>
      <c r="IP141" s="247"/>
      <c r="IQ141" s="247"/>
      <c r="IR141" s="247"/>
      <c r="IS141" s="247"/>
      <c r="IT141" s="247"/>
      <c r="IU141" s="247"/>
      <c r="IV141" s="247"/>
      <c r="IW141" s="247"/>
      <c r="IX141" s="247"/>
      <c r="IY141" s="247"/>
      <c r="IZ141" s="247"/>
      <c r="JA141" s="247"/>
      <c r="JB141" s="247"/>
      <c r="JC141" s="247"/>
      <c r="JD141" s="247"/>
      <c r="JE141" s="247"/>
      <c r="JF141" s="247"/>
      <c r="JG141" s="247"/>
      <c r="JH141" s="247"/>
      <c r="JI141" s="247"/>
      <c r="JJ141" s="247"/>
      <c r="JK141" s="247"/>
      <c r="JL141" s="247"/>
      <c r="JM141" s="247"/>
      <c r="JN141" s="247"/>
      <c r="JO141" s="247"/>
      <c r="JP141" s="247"/>
      <c r="JQ141" s="247"/>
      <c r="JR141" s="247"/>
      <c r="JS141" s="247"/>
      <c r="JT141" s="247"/>
      <c r="JU141" s="247"/>
      <c r="JV141" s="247"/>
      <c r="JW141" s="247"/>
      <c r="JX141" s="247"/>
      <c r="JY141" s="247"/>
      <c r="JZ141" s="247"/>
      <c r="KA141" s="247"/>
      <c r="KB141" s="247"/>
      <c r="KC141" s="247"/>
      <c r="KD141" s="247"/>
      <c r="KE141" s="247"/>
      <c r="KF141" s="247"/>
      <c r="KG141" s="247"/>
      <c r="KH141" s="247"/>
      <c r="KI141" s="247"/>
      <c r="KJ141" s="247"/>
      <c r="KK141" s="247"/>
      <c r="KL141" s="247"/>
      <c r="KM141" s="247"/>
      <c r="KN141" s="247"/>
      <c r="KO141" s="247"/>
      <c r="KP141" s="247"/>
      <c r="KQ141" s="247"/>
      <c r="KR141" s="247"/>
      <c r="KS141" s="247"/>
      <c r="KT141" s="247"/>
      <c r="KU141" s="247"/>
      <c r="KV141" s="247"/>
      <c r="KW141" s="247"/>
      <c r="KX141" s="247"/>
      <c r="KY141" s="247"/>
      <c r="KZ141" s="247"/>
      <c r="LA141" s="247"/>
      <c r="LB141" s="247"/>
      <c r="LC141" s="247"/>
      <c r="LD141" s="247"/>
      <c r="LE141" s="247"/>
      <c r="LF141" s="247"/>
      <c r="LG141" s="247"/>
      <c r="LH141" s="247"/>
      <c r="LI141" s="247"/>
      <c r="LJ141" s="247"/>
      <c r="LK141" s="247"/>
      <c r="LL141" s="247"/>
      <c r="LM141" s="247"/>
      <c r="LN141" s="247"/>
      <c r="LO141" s="247"/>
      <c r="LP141" s="247"/>
      <c r="LQ141" s="247"/>
      <c r="LR141" s="247"/>
      <c r="LS141" s="247"/>
      <c r="LT141" s="247"/>
      <c r="LU141" s="247"/>
      <c r="LV141" s="247"/>
      <c r="LW141" s="247"/>
      <c r="LX141" s="247"/>
      <c r="LY141" s="247"/>
      <c r="LZ141" s="247"/>
      <c r="MA141" s="247"/>
      <c r="MB141" s="247"/>
      <c r="MC141" s="247"/>
      <c r="MD141" s="247"/>
      <c r="ME141" s="247"/>
      <c r="MF141" s="247"/>
      <c r="MG141" s="247"/>
      <c r="MH141" s="247"/>
      <c r="MI141" s="247"/>
      <c r="MJ141" s="247"/>
      <c r="MK141" s="247"/>
      <c r="ML141" s="247"/>
      <c r="MM141" s="247"/>
      <c r="MN141" s="247"/>
      <c r="MO141" s="247"/>
      <c r="MP141" s="247"/>
      <c r="MQ141" s="247"/>
      <c r="MR141" s="247"/>
      <c r="MS141" s="247"/>
      <c r="MT141" s="247"/>
      <c r="MU141" s="247"/>
      <c r="MV141" s="247"/>
      <c r="MW141" s="247"/>
      <c r="MX141" s="247"/>
      <c r="MY141" s="247"/>
      <c r="MZ141" s="247"/>
      <c r="NA141" s="247"/>
      <c r="NB141" s="247"/>
      <c r="NC141" s="247"/>
      <c r="ND141" s="247"/>
      <c r="NE141" s="247"/>
      <c r="NF141" s="247"/>
      <c r="NG141" s="247"/>
      <c r="NH141" s="247"/>
      <c r="NI141" s="247"/>
      <c r="NJ141" s="247"/>
      <c r="NK141" s="247"/>
      <c r="NL141" s="247"/>
      <c r="NM141" s="247"/>
      <c r="NN141" s="247"/>
      <c r="NO141" s="247"/>
      <c r="NP141" s="247"/>
      <c r="NQ141" s="247"/>
      <c r="NR141" s="247"/>
      <c r="NS141" s="247"/>
      <c r="NT141" s="247"/>
      <c r="NU141" s="247"/>
      <c r="NV141" s="247"/>
      <c r="NW141" s="247"/>
      <c r="NX141" s="247"/>
      <c r="NY141" s="247"/>
      <c r="NZ141" s="247"/>
      <c r="OA141" s="247"/>
      <c r="OB141" s="247"/>
      <c r="OC141" s="247"/>
      <c r="OD141" s="247"/>
      <c r="OE141" s="247"/>
      <c r="OF141" s="247"/>
      <c r="OG141" s="247"/>
      <c r="OH141" s="247"/>
      <c r="OI141" s="247"/>
      <c r="OJ141" s="247"/>
      <c r="OK141" s="247"/>
      <c r="OL141" s="247"/>
      <c r="OM141" s="247"/>
      <c r="ON141" s="247"/>
      <c r="OO141" s="247"/>
      <c r="OP141" s="247"/>
      <c r="OQ141" s="247"/>
      <c r="OR141" s="247"/>
      <c r="OS141" s="247"/>
      <c r="OT141" s="247"/>
      <c r="OU141" s="247"/>
      <c r="OV141" s="247"/>
      <c r="OW141" s="247"/>
      <c r="OX141" s="247"/>
      <c r="OY141" s="247"/>
      <c r="OZ141" s="247"/>
      <c r="PA141" s="247"/>
      <c r="PB141" s="247"/>
      <c r="PC141" s="247"/>
      <c r="PD141" s="247"/>
      <c r="PE141" s="247"/>
      <c r="PF141" s="247"/>
      <c r="PG141" s="247"/>
      <c r="PH141" s="247"/>
      <c r="PI141" s="247"/>
      <c r="PJ141" s="247"/>
      <c r="PK141" s="247"/>
      <c r="PL141" s="247"/>
      <c r="PM141" s="247"/>
      <c r="PN141" s="247"/>
      <c r="PO141" s="247"/>
      <c r="PP141" s="247"/>
      <c r="PQ141" s="247"/>
      <c r="PR141" s="247"/>
      <c r="PS141" s="247"/>
      <c r="PT141" s="247"/>
      <c r="PU141" s="247"/>
      <c r="PV141" s="247"/>
      <c r="PW141" s="247"/>
      <c r="PX141" s="247"/>
      <c r="PY141" s="247"/>
      <c r="PZ141" s="247"/>
      <c r="QA141" s="247"/>
      <c r="QB141" s="247"/>
      <c r="QC141" s="247"/>
      <c r="QD141" s="247"/>
      <c r="QE141" s="247"/>
      <c r="QF141" s="247"/>
      <c r="QG141" s="247"/>
      <c r="QH141" s="247"/>
      <c r="QI141" s="247"/>
      <c r="QJ141" s="247"/>
      <c r="QK141" s="247"/>
      <c r="QL141" s="247"/>
      <c r="QM141" s="247"/>
      <c r="QN141" s="247"/>
      <c r="QO141" s="247"/>
      <c r="QP141" s="247"/>
      <c r="QQ141" s="247"/>
      <c r="QR141" s="247"/>
      <c r="QS141" s="247"/>
      <c r="QT141" s="247"/>
      <c r="QU141" s="247"/>
      <c r="QV141" s="247"/>
      <c r="QW141" s="247"/>
      <c r="QX141" s="247"/>
      <c r="QY141" s="247"/>
      <c r="QZ141" s="247"/>
      <c r="RA141" s="247"/>
      <c r="RB141" s="247"/>
      <c r="RC141" s="247"/>
      <c r="RD141" s="247"/>
      <c r="RE141" s="247"/>
      <c r="RF141" s="247"/>
      <c r="RG141" s="247"/>
      <c r="RH141" s="247"/>
      <c r="RI141" s="247"/>
      <c r="RJ141" s="247"/>
      <c r="RK141" s="247"/>
      <c r="RL141" s="247"/>
      <c r="RM141" s="247"/>
      <c r="RN141" s="247"/>
      <c r="RO141" s="247"/>
      <c r="RP141" s="247"/>
      <c r="RQ141" s="247"/>
      <c r="RR141" s="247"/>
      <c r="RS141" s="247"/>
      <c r="RT141" s="247"/>
      <c r="RU141" s="247"/>
      <c r="RV141" s="247"/>
      <c r="RW141" s="247"/>
      <c r="RX141" s="247"/>
      <c r="RY141" s="247"/>
      <c r="RZ141" s="247"/>
      <c r="SA141" s="247"/>
      <c r="SB141" s="247"/>
      <c r="SC141" s="247"/>
      <c r="SD141" s="247"/>
      <c r="SE141" s="247"/>
      <c r="SF141" s="247"/>
      <c r="SG141" s="247"/>
      <c r="SH141" s="247"/>
      <c r="SI141" s="247"/>
      <c r="SJ141" s="247"/>
      <c r="SK141" s="247"/>
      <c r="SL141" s="247"/>
      <c r="SM141" s="247"/>
      <c r="SN141" s="247"/>
      <c r="SO141" s="247"/>
      <c r="SP141" s="247"/>
      <c r="SQ141" s="247"/>
      <c r="SR141" s="247"/>
      <c r="SS141" s="247"/>
      <c r="ST141" s="247"/>
      <c r="SU141" s="247"/>
      <c r="SV141" s="247"/>
      <c r="SW141" s="247"/>
      <c r="SX141" s="247"/>
      <c r="SY141" s="247"/>
      <c r="SZ141" s="247"/>
      <c r="TA141" s="247"/>
      <c r="TB141" s="247"/>
      <c r="TC141" s="247"/>
      <c r="TD141" s="247"/>
      <c r="TE141" s="247"/>
      <c r="TF141" s="247"/>
      <c r="TG141" s="247"/>
      <c r="TH141" s="247"/>
      <c r="TI141" s="247"/>
      <c r="TJ141" s="247"/>
      <c r="TK141" s="247"/>
      <c r="TL141" s="247"/>
      <c r="TM141" s="247"/>
      <c r="TN141" s="247"/>
      <c r="TO141" s="247"/>
      <c r="TP141" s="247"/>
      <c r="TQ141" s="247"/>
      <c r="TR141" s="247"/>
      <c r="TS141" s="247"/>
      <c r="TT141" s="247"/>
      <c r="TU141" s="247"/>
      <c r="TV141" s="247"/>
      <c r="TW141" s="247"/>
      <c r="TX141" s="247"/>
      <c r="TY141" s="247"/>
      <c r="TZ141" s="247"/>
      <c r="UA141" s="247"/>
      <c r="UB141" s="247"/>
      <c r="UC141" s="247"/>
      <c r="UD141" s="247"/>
      <c r="UE141" s="247"/>
      <c r="UF141" s="247"/>
      <c r="UG141" s="235"/>
    </row>
    <row r="142" spans="1:553" s="236" customFormat="1" ht="34.5" customHeight="1">
      <c r="A142" s="356" t="s">
        <v>15</v>
      </c>
      <c r="B142" s="366" t="s">
        <v>31</v>
      </c>
      <c r="C142" s="1443" t="s">
        <v>889</v>
      </c>
      <c r="D142" s="1389"/>
      <c r="E142" s="1389"/>
      <c r="F142" s="1390"/>
      <c r="G142" s="386" t="s">
        <v>34</v>
      </c>
      <c r="H142" s="370"/>
      <c r="I142" s="422">
        <f>2.5*0.4*0.11</f>
        <v>0.11</v>
      </c>
      <c r="J142" s="368">
        <v>1913917</v>
      </c>
      <c r="K142" s="371"/>
      <c r="L142" s="391">
        <f t="shared" si="26"/>
        <v>210531</v>
      </c>
      <c r="M142" s="395"/>
      <c r="N142" s="395"/>
      <c r="O142" s="366"/>
      <c r="P142" s="396"/>
      <c r="Q142" s="473"/>
      <c r="R142" s="1039"/>
      <c r="S142" s="309"/>
      <c r="T142" s="310"/>
      <c r="U142" s="311"/>
      <c r="V142" s="312"/>
      <c r="W142" s="311"/>
      <c r="X142" s="311"/>
      <c r="Y142" s="311"/>
      <c r="Z142" s="311"/>
      <c r="AA142" s="311"/>
      <c r="AB142" s="311"/>
      <c r="AC142" s="449"/>
      <c r="AD142" s="449"/>
      <c r="AE142" s="449"/>
      <c r="AF142" s="449"/>
      <c r="AG142" s="452"/>
      <c r="AH142" s="452"/>
      <c r="AI142" s="452"/>
      <c r="AJ142" s="452"/>
      <c r="AK142" s="452"/>
      <c r="AL142" s="242"/>
      <c r="AM142" s="241"/>
      <c r="AN142" s="241"/>
      <c r="AO142" s="241"/>
      <c r="AP142" s="241"/>
      <c r="AQ142" s="238"/>
      <c r="AR142" s="238"/>
      <c r="AS142" s="238"/>
      <c r="AT142" s="238"/>
      <c r="AU142" s="238"/>
      <c r="AV142" s="238"/>
      <c r="AW142" s="238"/>
      <c r="AX142" s="238"/>
      <c r="AY142" s="238"/>
      <c r="AZ142" s="238"/>
      <c r="BA142" s="238"/>
      <c r="BB142" s="238"/>
      <c r="BC142" s="238"/>
      <c r="BD142" s="238"/>
      <c r="BE142" s="238"/>
      <c r="BF142" s="238"/>
      <c r="BG142" s="238"/>
      <c r="BH142" s="238"/>
      <c r="BI142" s="238"/>
      <c r="BJ142" s="238"/>
      <c r="BK142" s="238"/>
      <c r="BL142" s="238"/>
      <c r="BM142" s="239"/>
      <c r="BN142" s="239"/>
      <c r="BO142" s="239"/>
      <c r="BP142" s="239"/>
      <c r="BQ142" s="239"/>
      <c r="BR142" s="239"/>
      <c r="BS142" s="239"/>
      <c r="BT142" s="239"/>
      <c r="BU142" s="239"/>
      <c r="BV142" s="239"/>
      <c r="BW142" s="239"/>
      <c r="BX142" s="239"/>
      <c r="BY142" s="239"/>
      <c r="BZ142" s="239"/>
      <c r="CA142" s="239"/>
      <c r="CB142" s="239"/>
      <c r="CC142" s="239"/>
      <c r="CD142" s="239"/>
      <c r="CE142" s="239"/>
      <c r="CF142" s="239"/>
      <c r="CG142" s="239"/>
      <c r="CH142" s="239"/>
      <c r="CI142" s="239"/>
      <c r="CJ142" s="239"/>
      <c r="CK142" s="239"/>
      <c r="CL142" s="239"/>
      <c r="CM142" s="239"/>
      <c r="CN142" s="239"/>
      <c r="CO142" s="239"/>
      <c r="CP142" s="239"/>
      <c r="CQ142" s="239"/>
      <c r="CR142" s="239"/>
      <c r="CS142" s="239"/>
      <c r="CT142" s="239"/>
      <c r="CU142" s="239"/>
      <c r="CV142" s="239"/>
      <c r="CW142" s="239"/>
      <c r="CX142" s="239"/>
      <c r="CY142" s="239"/>
      <c r="CZ142" s="239"/>
      <c r="DA142" s="239"/>
      <c r="DB142" s="239"/>
      <c r="DC142" s="239"/>
      <c r="DD142" s="239"/>
      <c r="DE142" s="239"/>
      <c r="DF142" s="239"/>
      <c r="DG142" s="239"/>
      <c r="DH142" s="239"/>
      <c r="DI142" s="239"/>
      <c r="DJ142" s="239"/>
      <c r="DK142" s="239"/>
      <c r="DL142" s="239"/>
      <c r="DM142" s="239"/>
      <c r="DN142" s="239"/>
      <c r="DO142" s="239"/>
      <c r="DP142" s="239"/>
      <c r="DQ142" s="239"/>
      <c r="DR142" s="239"/>
      <c r="DS142" s="239"/>
      <c r="DT142" s="239"/>
      <c r="DU142" s="239"/>
      <c r="DV142" s="239"/>
      <c r="DW142" s="239"/>
      <c r="DX142" s="239"/>
      <c r="DY142" s="239"/>
      <c r="DZ142" s="239"/>
      <c r="EA142" s="239"/>
      <c r="EB142" s="239"/>
      <c r="EC142" s="239"/>
      <c r="ED142" s="239"/>
      <c r="EE142" s="239"/>
      <c r="EF142" s="239"/>
      <c r="EG142" s="239"/>
      <c r="EH142" s="239"/>
      <c r="EI142" s="239"/>
      <c r="EJ142" s="239"/>
      <c r="EK142" s="239"/>
      <c r="EL142" s="239"/>
      <c r="EM142" s="239"/>
      <c r="EN142" s="239"/>
      <c r="EO142" s="239"/>
      <c r="EP142" s="239"/>
      <c r="EQ142" s="239"/>
      <c r="ER142" s="239"/>
      <c r="ES142" s="239"/>
      <c r="ET142" s="239"/>
      <c r="EU142" s="239"/>
      <c r="EV142" s="239"/>
      <c r="EW142" s="239"/>
      <c r="EX142" s="239"/>
      <c r="EY142" s="239"/>
      <c r="EZ142" s="239"/>
      <c r="FA142" s="239"/>
      <c r="FB142" s="239"/>
      <c r="FC142" s="239"/>
      <c r="FD142" s="239"/>
      <c r="FE142" s="239"/>
      <c r="FF142" s="239"/>
      <c r="FG142" s="239"/>
      <c r="FH142" s="239"/>
      <c r="FI142" s="239"/>
      <c r="FJ142" s="239"/>
      <c r="FK142" s="239"/>
      <c r="FL142" s="239"/>
      <c r="FM142" s="239"/>
      <c r="FN142" s="239"/>
      <c r="FO142" s="239"/>
      <c r="FP142" s="239"/>
      <c r="FQ142" s="239"/>
      <c r="FR142" s="239"/>
      <c r="FS142" s="239"/>
      <c r="FT142" s="239"/>
      <c r="FU142" s="239"/>
      <c r="FV142" s="239"/>
      <c r="FW142" s="239"/>
      <c r="FX142" s="239"/>
      <c r="FY142" s="239"/>
      <c r="FZ142" s="239"/>
      <c r="GA142" s="239"/>
      <c r="GB142" s="239"/>
      <c r="GC142" s="239"/>
      <c r="GD142" s="239"/>
      <c r="GE142" s="239"/>
      <c r="GF142" s="239"/>
      <c r="GG142" s="239"/>
      <c r="GH142" s="239"/>
      <c r="GI142" s="239"/>
      <c r="GJ142" s="239"/>
      <c r="GK142" s="239"/>
      <c r="GL142" s="239"/>
      <c r="GM142" s="239"/>
      <c r="GN142" s="239"/>
      <c r="GO142" s="239"/>
      <c r="GP142" s="239"/>
      <c r="GQ142" s="239"/>
      <c r="GR142" s="239"/>
      <c r="GS142" s="239"/>
      <c r="GT142" s="239"/>
      <c r="GU142" s="239"/>
      <c r="GV142" s="239"/>
      <c r="GW142" s="239"/>
      <c r="GX142" s="239"/>
      <c r="GY142" s="239"/>
      <c r="GZ142" s="239"/>
      <c r="HA142" s="239"/>
      <c r="HB142" s="239"/>
      <c r="HC142" s="239"/>
      <c r="HD142" s="239"/>
      <c r="HE142" s="239"/>
      <c r="HF142" s="239"/>
      <c r="HG142" s="239"/>
      <c r="HH142" s="239"/>
      <c r="HI142" s="239"/>
      <c r="HJ142" s="239"/>
      <c r="HK142" s="239"/>
      <c r="HL142" s="239"/>
      <c r="HM142" s="239"/>
      <c r="HN142" s="239"/>
      <c r="HO142" s="239"/>
      <c r="HP142" s="239"/>
      <c r="HQ142" s="239"/>
      <c r="HR142" s="239"/>
      <c r="HS142" s="239"/>
      <c r="HT142" s="239"/>
      <c r="HU142" s="239"/>
      <c r="HV142" s="239"/>
      <c r="HW142" s="239"/>
      <c r="HX142" s="239"/>
      <c r="HY142" s="239"/>
      <c r="HZ142" s="239"/>
      <c r="IA142" s="239"/>
      <c r="IB142" s="239"/>
      <c r="IC142" s="239"/>
      <c r="ID142" s="239"/>
      <c r="IE142" s="239"/>
      <c r="IF142" s="239"/>
      <c r="IG142" s="239"/>
      <c r="IH142" s="239"/>
      <c r="II142" s="239"/>
      <c r="IJ142" s="239"/>
      <c r="IK142" s="239"/>
      <c r="IL142" s="239"/>
      <c r="IM142" s="239"/>
      <c r="IN142" s="239"/>
      <c r="IO142" s="239"/>
      <c r="IP142" s="239"/>
      <c r="IQ142" s="239"/>
      <c r="IR142" s="239"/>
      <c r="IS142" s="239"/>
      <c r="IT142" s="239"/>
      <c r="IU142" s="239"/>
      <c r="IV142" s="239"/>
      <c r="IW142" s="239"/>
      <c r="IX142" s="239"/>
      <c r="IY142" s="239"/>
      <c r="IZ142" s="239"/>
      <c r="JA142" s="239"/>
      <c r="JB142" s="239"/>
      <c r="JC142" s="239"/>
      <c r="JD142" s="239"/>
      <c r="JE142" s="239"/>
      <c r="JF142" s="239"/>
      <c r="JG142" s="239"/>
      <c r="JH142" s="239"/>
      <c r="JI142" s="239"/>
      <c r="JJ142" s="239"/>
      <c r="JK142" s="239"/>
      <c r="JL142" s="239"/>
      <c r="JM142" s="239"/>
      <c r="JN142" s="239"/>
      <c r="JO142" s="239"/>
      <c r="JP142" s="239"/>
      <c r="JQ142" s="239"/>
      <c r="JR142" s="239"/>
      <c r="JS142" s="239"/>
      <c r="JT142" s="239"/>
      <c r="JU142" s="239"/>
      <c r="JV142" s="239"/>
      <c r="JW142" s="239"/>
      <c r="JX142" s="239"/>
      <c r="JY142" s="239"/>
      <c r="JZ142" s="239"/>
      <c r="KA142" s="239"/>
      <c r="KB142" s="239"/>
      <c r="KC142" s="239"/>
      <c r="KD142" s="239"/>
      <c r="KE142" s="239"/>
      <c r="KF142" s="239"/>
      <c r="KG142" s="239"/>
      <c r="KH142" s="239"/>
      <c r="KI142" s="239"/>
      <c r="KJ142" s="239"/>
      <c r="KK142" s="239"/>
      <c r="KL142" s="239"/>
      <c r="KM142" s="239"/>
      <c r="KN142" s="239"/>
      <c r="KO142" s="239"/>
      <c r="KP142" s="239"/>
      <c r="KQ142" s="239"/>
      <c r="KR142" s="239"/>
      <c r="KS142" s="239"/>
      <c r="KT142" s="239"/>
      <c r="KU142" s="239"/>
      <c r="KV142" s="239"/>
      <c r="KW142" s="239"/>
      <c r="KX142" s="239"/>
      <c r="KY142" s="239"/>
      <c r="KZ142" s="239"/>
      <c r="LA142" s="239"/>
      <c r="LB142" s="239"/>
      <c r="LC142" s="239"/>
      <c r="LD142" s="239"/>
      <c r="LE142" s="239"/>
      <c r="LF142" s="239"/>
      <c r="LG142" s="239"/>
      <c r="LH142" s="239"/>
      <c r="LI142" s="239"/>
      <c r="LJ142" s="239"/>
      <c r="LK142" s="239"/>
      <c r="LL142" s="239"/>
      <c r="LM142" s="239"/>
      <c r="LN142" s="239"/>
      <c r="LO142" s="239"/>
      <c r="LP142" s="239"/>
      <c r="LQ142" s="239"/>
      <c r="LR142" s="239"/>
      <c r="LS142" s="239"/>
      <c r="LT142" s="239"/>
      <c r="LU142" s="239"/>
      <c r="LV142" s="239"/>
      <c r="LW142" s="239"/>
      <c r="LX142" s="239"/>
      <c r="LY142" s="239"/>
      <c r="LZ142" s="239"/>
      <c r="MA142" s="239"/>
      <c r="MB142" s="239"/>
      <c r="MC142" s="239"/>
      <c r="MD142" s="239"/>
      <c r="ME142" s="239"/>
      <c r="MF142" s="239"/>
      <c r="MG142" s="239"/>
      <c r="MH142" s="239"/>
      <c r="MI142" s="239"/>
      <c r="MJ142" s="239"/>
      <c r="MK142" s="239"/>
      <c r="ML142" s="239"/>
      <c r="MM142" s="239"/>
      <c r="MN142" s="239"/>
      <c r="MO142" s="239"/>
      <c r="MP142" s="239"/>
      <c r="MQ142" s="239"/>
      <c r="MR142" s="239"/>
      <c r="MS142" s="239"/>
      <c r="MT142" s="239"/>
      <c r="MU142" s="239"/>
      <c r="MV142" s="239"/>
      <c r="MW142" s="239"/>
      <c r="MX142" s="239"/>
      <c r="MY142" s="239"/>
      <c r="MZ142" s="239"/>
      <c r="NA142" s="239"/>
      <c r="NB142" s="239"/>
      <c r="NC142" s="239"/>
      <c r="ND142" s="239"/>
      <c r="NE142" s="239"/>
      <c r="NF142" s="239"/>
      <c r="NG142" s="239"/>
      <c r="NH142" s="239"/>
      <c r="NI142" s="239"/>
      <c r="NJ142" s="239"/>
      <c r="NK142" s="239"/>
      <c r="NL142" s="239"/>
      <c r="NM142" s="239"/>
      <c r="NN142" s="239"/>
      <c r="NO142" s="239"/>
      <c r="NP142" s="239"/>
      <c r="NQ142" s="239"/>
      <c r="NR142" s="239"/>
      <c r="NS142" s="239"/>
      <c r="NT142" s="239"/>
      <c r="NU142" s="239"/>
      <c r="NV142" s="239"/>
      <c r="NW142" s="239"/>
      <c r="NX142" s="239"/>
      <c r="NY142" s="239"/>
      <c r="NZ142" s="239"/>
      <c r="OA142" s="239"/>
      <c r="OB142" s="239"/>
      <c r="OC142" s="239"/>
      <c r="OD142" s="239"/>
      <c r="OE142" s="239"/>
      <c r="OF142" s="239"/>
      <c r="OG142" s="239"/>
      <c r="OH142" s="239"/>
      <c r="OI142" s="239"/>
      <c r="OJ142" s="239"/>
      <c r="OK142" s="239"/>
      <c r="OL142" s="239"/>
      <c r="OM142" s="239"/>
      <c r="ON142" s="239"/>
      <c r="OO142" s="239"/>
      <c r="OP142" s="239"/>
      <c r="OQ142" s="239"/>
      <c r="OR142" s="239"/>
      <c r="OS142" s="239"/>
      <c r="OT142" s="239"/>
      <c r="OU142" s="239"/>
      <c r="OV142" s="239"/>
      <c r="OW142" s="239"/>
      <c r="OX142" s="239"/>
      <c r="OY142" s="239"/>
      <c r="OZ142" s="239"/>
      <c r="PA142" s="239"/>
      <c r="PB142" s="239"/>
      <c r="PC142" s="239"/>
      <c r="PD142" s="239"/>
      <c r="PE142" s="239"/>
      <c r="PF142" s="239"/>
      <c r="PG142" s="239"/>
      <c r="PH142" s="239"/>
      <c r="PI142" s="239"/>
      <c r="PJ142" s="239"/>
      <c r="PK142" s="239"/>
      <c r="PL142" s="239"/>
      <c r="PM142" s="239"/>
      <c r="PN142" s="239"/>
      <c r="PO142" s="239"/>
      <c r="PP142" s="239"/>
      <c r="PQ142" s="239"/>
      <c r="PR142" s="239"/>
      <c r="PS142" s="239"/>
      <c r="PT142" s="239"/>
      <c r="PU142" s="239"/>
      <c r="PV142" s="239"/>
      <c r="PW142" s="239"/>
      <c r="PX142" s="239"/>
      <c r="PY142" s="239"/>
      <c r="PZ142" s="239"/>
      <c r="QA142" s="239"/>
      <c r="QB142" s="239"/>
      <c r="QC142" s="239"/>
      <c r="QD142" s="239"/>
      <c r="QE142" s="239"/>
      <c r="QF142" s="239"/>
      <c r="QG142" s="239"/>
      <c r="QH142" s="239"/>
      <c r="QI142" s="239"/>
      <c r="QJ142" s="239"/>
      <c r="QK142" s="239"/>
      <c r="QL142" s="239"/>
      <c r="QM142" s="239"/>
      <c r="QN142" s="239"/>
      <c r="QO142" s="239"/>
      <c r="QP142" s="239"/>
      <c r="QQ142" s="239"/>
      <c r="QR142" s="239"/>
      <c r="QS142" s="239"/>
      <c r="QT142" s="239"/>
      <c r="QU142" s="239"/>
      <c r="QV142" s="239"/>
      <c r="QW142" s="239"/>
      <c r="QX142" s="239"/>
      <c r="QY142" s="239"/>
      <c r="QZ142" s="239"/>
      <c r="RA142" s="239"/>
      <c r="RB142" s="239"/>
      <c r="RC142" s="239"/>
      <c r="RD142" s="239"/>
      <c r="RE142" s="239"/>
      <c r="RF142" s="239"/>
      <c r="RG142" s="239"/>
      <c r="RH142" s="239"/>
      <c r="RI142" s="239"/>
      <c r="RJ142" s="239"/>
      <c r="RK142" s="239"/>
      <c r="RL142" s="239"/>
      <c r="RM142" s="239"/>
      <c r="RN142" s="239"/>
      <c r="RO142" s="239"/>
      <c r="RP142" s="239"/>
      <c r="RQ142" s="239"/>
      <c r="RR142" s="239"/>
      <c r="RS142" s="239"/>
      <c r="RT142" s="239"/>
      <c r="RU142" s="239"/>
      <c r="RV142" s="239"/>
      <c r="RW142" s="239"/>
      <c r="RX142" s="239"/>
      <c r="RY142" s="239"/>
      <c r="RZ142" s="239"/>
      <c r="SA142" s="239"/>
      <c r="SB142" s="239"/>
      <c r="SC142" s="239"/>
      <c r="SD142" s="239"/>
      <c r="SE142" s="239"/>
      <c r="SF142" s="239"/>
      <c r="SG142" s="239"/>
      <c r="SH142" s="239"/>
      <c r="SI142" s="239"/>
      <c r="SJ142" s="239"/>
      <c r="SK142" s="239"/>
      <c r="SL142" s="239"/>
      <c r="SM142" s="239"/>
      <c r="SN142" s="239"/>
      <c r="SO142" s="239"/>
      <c r="SP142" s="239"/>
      <c r="SQ142" s="239"/>
      <c r="SR142" s="239"/>
      <c r="SS142" s="239"/>
      <c r="ST142" s="239"/>
      <c r="SU142" s="239"/>
      <c r="SV142" s="239"/>
      <c r="SW142" s="239"/>
      <c r="SX142" s="239"/>
      <c r="SY142" s="239"/>
      <c r="SZ142" s="239"/>
      <c r="TA142" s="239"/>
      <c r="TB142" s="239"/>
      <c r="TC142" s="239"/>
      <c r="TD142" s="239"/>
      <c r="TE142" s="239"/>
      <c r="TF142" s="239"/>
      <c r="TG142" s="239"/>
      <c r="TH142" s="239"/>
      <c r="TI142" s="239"/>
      <c r="TJ142" s="239"/>
      <c r="TK142" s="239"/>
      <c r="TL142" s="239"/>
      <c r="TM142" s="239"/>
      <c r="TN142" s="239"/>
      <c r="TO142" s="239"/>
      <c r="TP142" s="239"/>
      <c r="TQ142" s="239"/>
      <c r="TR142" s="239"/>
      <c r="TS142" s="239"/>
      <c r="TT142" s="239"/>
      <c r="TU142" s="239"/>
      <c r="TV142" s="239"/>
      <c r="TW142" s="239"/>
      <c r="TX142" s="239"/>
      <c r="TY142" s="239"/>
      <c r="TZ142" s="239"/>
      <c r="UA142" s="239"/>
      <c r="UB142" s="239"/>
      <c r="UC142" s="239"/>
      <c r="UD142" s="239"/>
      <c r="UE142" s="239"/>
      <c r="UF142" s="239"/>
      <c r="UG142" s="240"/>
    </row>
    <row r="143" spans="1:553" s="236" customFormat="1" ht="34.5" customHeight="1">
      <c r="A143" s="356" t="s">
        <v>15</v>
      </c>
      <c r="B143" s="366" t="s">
        <v>149</v>
      </c>
      <c r="C143" s="1443" t="s">
        <v>187</v>
      </c>
      <c r="D143" s="1389"/>
      <c r="E143" s="1389"/>
      <c r="F143" s="1390"/>
      <c r="G143" s="386" t="s">
        <v>935</v>
      </c>
      <c r="H143" s="370"/>
      <c r="I143" s="422">
        <f t="shared" ref="I143:I144" si="33">1.6*2.3</f>
        <v>3.6799999999999997</v>
      </c>
      <c r="J143" s="368">
        <v>267200</v>
      </c>
      <c r="K143" s="371"/>
      <c r="L143" s="391">
        <f t="shared" si="26"/>
        <v>983296</v>
      </c>
      <c r="M143" s="395"/>
      <c r="N143" s="395"/>
      <c r="O143" s="366"/>
      <c r="P143" s="396"/>
      <c r="Q143" s="473"/>
      <c r="R143" s="1039"/>
      <c r="S143" s="308"/>
      <c r="T143" s="303"/>
      <c r="U143" s="306"/>
      <c r="V143" s="307"/>
      <c r="W143" s="306"/>
      <c r="X143" s="306"/>
      <c r="Y143" s="306"/>
      <c r="Z143" s="306"/>
      <c r="AA143" s="306"/>
      <c r="AB143" s="306"/>
      <c r="AC143" s="449"/>
      <c r="AD143" s="449"/>
      <c r="AE143" s="449"/>
      <c r="AF143" s="449"/>
      <c r="AG143" s="452"/>
      <c r="AH143" s="452"/>
      <c r="AI143" s="452"/>
      <c r="AJ143" s="452"/>
      <c r="AK143" s="452"/>
      <c r="AL143" s="242"/>
      <c r="AM143" s="241"/>
      <c r="AN143" s="241"/>
      <c r="AO143" s="241"/>
      <c r="AP143" s="241"/>
      <c r="AQ143" s="238"/>
      <c r="AR143" s="238"/>
      <c r="AS143" s="238"/>
      <c r="AT143" s="238"/>
      <c r="AU143" s="238"/>
      <c r="AV143" s="238"/>
      <c r="AW143" s="238"/>
      <c r="AX143" s="238"/>
      <c r="AY143" s="238"/>
      <c r="AZ143" s="238"/>
      <c r="BA143" s="238"/>
      <c r="BB143" s="238"/>
      <c r="BC143" s="238"/>
      <c r="BD143" s="238"/>
      <c r="BE143" s="238"/>
      <c r="BF143" s="238"/>
      <c r="BG143" s="238"/>
      <c r="BH143" s="238"/>
      <c r="BI143" s="238"/>
      <c r="BJ143" s="238"/>
      <c r="BK143" s="238"/>
      <c r="BL143" s="238"/>
      <c r="BM143" s="239"/>
      <c r="BN143" s="239"/>
      <c r="BO143" s="239"/>
      <c r="BP143" s="239"/>
      <c r="BQ143" s="239"/>
      <c r="BR143" s="239"/>
      <c r="BS143" s="239"/>
      <c r="BT143" s="239"/>
      <c r="BU143" s="239"/>
      <c r="BV143" s="239"/>
      <c r="BW143" s="239"/>
      <c r="BX143" s="239"/>
      <c r="BY143" s="239"/>
      <c r="BZ143" s="239"/>
      <c r="CA143" s="239"/>
      <c r="CB143" s="239"/>
      <c r="CC143" s="239"/>
      <c r="CD143" s="239"/>
      <c r="CE143" s="239"/>
      <c r="CF143" s="239"/>
      <c r="CG143" s="239"/>
      <c r="CH143" s="239"/>
      <c r="CI143" s="239"/>
      <c r="CJ143" s="239"/>
      <c r="CK143" s="239"/>
      <c r="CL143" s="239"/>
      <c r="CM143" s="239"/>
      <c r="CN143" s="239"/>
      <c r="CO143" s="239"/>
      <c r="CP143" s="239"/>
      <c r="CQ143" s="239"/>
      <c r="CR143" s="239"/>
      <c r="CS143" s="239"/>
      <c r="CT143" s="239"/>
      <c r="CU143" s="239"/>
      <c r="CV143" s="239"/>
      <c r="CW143" s="239"/>
      <c r="CX143" s="239"/>
      <c r="CY143" s="239"/>
      <c r="CZ143" s="239"/>
      <c r="DA143" s="239"/>
      <c r="DB143" s="239"/>
      <c r="DC143" s="239"/>
      <c r="DD143" s="239"/>
      <c r="DE143" s="239"/>
      <c r="DF143" s="239"/>
      <c r="DG143" s="239"/>
      <c r="DH143" s="239"/>
      <c r="DI143" s="239"/>
      <c r="DJ143" s="239"/>
      <c r="DK143" s="239"/>
      <c r="DL143" s="239"/>
      <c r="DM143" s="239"/>
      <c r="DN143" s="239"/>
      <c r="DO143" s="239"/>
      <c r="DP143" s="239"/>
      <c r="DQ143" s="239"/>
      <c r="DR143" s="239"/>
      <c r="DS143" s="239"/>
      <c r="DT143" s="239"/>
      <c r="DU143" s="239"/>
      <c r="DV143" s="239"/>
      <c r="DW143" s="239"/>
      <c r="DX143" s="239"/>
      <c r="DY143" s="239"/>
      <c r="DZ143" s="239"/>
      <c r="EA143" s="239"/>
      <c r="EB143" s="239"/>
      <c r="EC143" s="239"/>
      <c r="ED143" s="239"/>
      <c r="EE143" s="239"/>
      <c r="EF143" s="239"/>
      <c r="EG143" s="239"/>
      <c r="EH143" s="239"/>
      <c r="EI143" s="239"/>
      <c r="EJ143" s="239"/>
      <c r="EK143" s="239"/>
      <c r="EL143" s="239"/>
      <c r="EM143" s="239"/>
      <c r="EN143" s="239"/>
      <c r="EO143" s="239"/>
      <c r="EP143" s="239"/>
      <c r="EQ143" s="239"/>
      <c r="ER143" s="239"/>
      <c r="ES143" s="239"/>
      <c r="ET143" s="239"/>
      <c r="EU143" s="239"/>
      <c r="EV143" s="239"/>
      <c r="EW143" s="239"/>
      <c r="EX143" s="239"/>
      <c r="EY143" s="239"/>
      <c r="EZ143" s="239"/>
      <c r="FA143" s="239"/>
      <c r="FB143" s="239"/>
      <c r="FC143" s="239"/>
      <c r="FD143" s="239"/>
      <c r="FE143" s="239"/>
      <c r="FF143" s="239"/>
      <c r="FG143" s="239"/>
      <c r="FH143" s="239"/>
      <c r="FI143" s="239"/>
      <c r="FJ143" s="239"/>
      <c r="FK143" s="239"/>
      <c r="FL143" s="239"/>
      <c r="FM143" s="239"/>
      <c r="FN143" s="239"/>
      <c r="FO143" s="239"/>
      <c r="FP143" s="239"/>
      <c r="FQ143" s="239"/>
      <c r="FR143" s="239"/>
      <c r="FS143" s="239"/>
      <c r="FT143" s="239"/>
      <c r="FU143" s="239"/>
      <c r="FV143" s="239"/>
      <c r="FW143" s="239"/>
      <c r="FX143" s="239"/>
      <c r="FY143" s="239"/>
      <c r="FZ143" s="239"/>
      <c r="GA143" s="239"/>
      <c r="GB143" s="239"/>
      <c r="GC143" s="239"/>
      <c r="GD143" s="239"/>
      <c r="GE143" s="239"/>
      <c r="GF143" s="239"/>
      <c r="GG143" s="239"/>
      <c r="GH143" s="239"/>
      <c r="GI143" s="239"/>
      <c r="GJ143" s="239"/>
      <c r="GK143" s="239"/>
      <c r="GL143" s="239"/>
      <c r="GM143" s="239"/>
      <c r="GN143" s="239"/>
      <c r="GO143" s="239"/>
      <c r="GP143" s="239"/>
      <c r="GQ143" s="239"/>
      <c r="GR143" s="239"/>
      <c r="GS143" s="239"/>
      <c r="GT143" s="239"/>
      <c r="GU143" s="239"/>
      <c r="GV143" s="239"/>
      <c r="GW143" s="239"/>
      <c r="GX143" s="239"/>
      <c r="GY143" s="239"/>
      <c r="GZ143" s="239"/>
      <c r="HA143" s="239"/>
      <c r="HB143" s="239"/>
      <c r="HC143" s="239"/>
      <c r="HD143" s="239"/>
      <c r="HE143" s="239"/>
      <c r="HF143" s="239"/>
      <c r="HG143" s="239"/>
      <c r="HH143" s="239"/>
      <c r="HI143" s="239"/>
      <c r="HJ143" s="239"/>
      <c r="HK143" s="239"/>
      <c r="HL143" s="239"/>
      <c r="HM143" s="239"/>
      <c r="HN143" s="239"/>
      <c r="HO143" s="239"/>
      <c r="HP143" s="239"/>
      <c r="HQ143" s="239"/>
      <c r="HR143" s="239"/>
      <c r="HS143" s="239"/>
      <c r="HT143" s="239"/>
      <c r="HU143" s="239"/>
      <c r="HV143" s="239"/>
      <c r="HW143" s="239"/>
      <c r="HX143" s="239"/>
      <c r="HY143" s="239"/>
      <c r="HZ143" s="239"/>
      <c r="IA143" s="239"/>
      <c r="IB143" s="239"/>
      <c r="IC143" s="239"/>
      <c r="ID143" s="239"/>
      <c r="IE143" s="239"/>
      <c r="IF143" s="239"/>
      <c r="IG143" s="239"/>
      <c r="IH143" s="239"/>
      <c r="II143" s="239"/>
      <c r="IJ143" s="239"/>
      <c r="IK143" s="239"/>
      <c r="IL143" s="239"/>
      <c r="IM143" s="239"/>
      <c r="IN143" s="239"/>
      <c r="IO143" s="239"/>
      <c r="IP143" s="239"/>
      <c r="IQ143" s="239"/>
      <c r="IR143" s="239"/>
      <c r="IS143" s="239"/>
      <c r="IT143" s="239"/>
      <c r="IU143" s="239"/>
      <c r="IV143" s="239"/>
      <c r="IW143" s="239"/>
      <c r="IX143" s="239"/>
      <c r="IY143" s="239"/>
      <c r="IZ143" s="239"/>
      <c r="JA143" s="239"/>
      <c r="JB143" s="239"/>
      <c r="JC143" s="239"/>
      <c r="JD143" s="239"/>
      <c r="JE143" s="239"/>
      <c r="JF143" s="239"/>
      <c r="JG143" s="239"/>
      <c r="JH143" s="239"/>
      <c r="JI143" s="239"/>
      <c r="JJ143" s="239"/>
      <c r="JK143" s="239"/>
      <c r="JL143" s="239"/>
      <c r="JM143" s="239"/>
      <c r="JN143" s="239"/>
      <c r="JO143" s="239"/>
      <c r="JP143" s="239"/>
      <c r="JQ143" s="239"/>
      <c r="JR143" s="239"/>
      <c r="JS143" s="239"/>
      <c r="JT143" s="239"/>
      <c r="JU143" s="239"/>
      <c r="JV143" s="239"/>
      <c r="JW143" s="239"/>
      <c r="JX143" s="239"/>
      <c r="JY143" s="239"/>
      <c r="JZ143" s="239"/>
      <c r="KA143" s="239"/>
      <c r="KB143" s="239"/>
      <c r="KC143" s="239"/>
      <c r="KD143" s="239"/>
      <c r="KE143" s="239"/>
      <c r="KF143" s="239"/>
      <c r="KG143" s="239"/>
      <c r="KH143" s="239"/>
      <c r="KI143" s="239"/>
      <c r="KJ143" s="239"/>
      <c r="KK143" s="239"/>
      <c r="KL143" s="239"/>
      <c r="KM143" s="239"/>
      <c r="KN143" s="239"/>
      <c r="KO143" s="239"/>
      <c r="KP143" s="239"/>
      <c r="KQ143" s="239"/>
      <c r="KR143" s="239"/>
      <c r="KS143" s="239"/>
      <c r="KT143" s="239"/>
      <c r="KU143" s="239"/>
      <c r="KV143" s="239"/>
      <c r="KW143" s="239"/>
      <c r="KX143" s="239"/>
      <c r="KY143" s="239"/>
      <c r="KZ143" s="239"/>
      <c r="LA143" s="239"/>
      <c r="LB143" s="239"/>
      <c r="LC143" s="239"/>
      <c r="LD143" s="239"/>
      <c r="LE143" s="239"/>
      <c r="LF143" s="239"/>
      <c r="LG143" s="239"/>
      <c r="LH143" s="239"/>
      <c r="LI143" s="239"/>
      <c r="LJ143" s="239"/>
      <c r="LK143" s="239"/>
      <c r="LL143" s="239"/>
      <c r="LM143" s="239"/>
      <c r="LN143" s="239"/>
      <c r="LO143" s="239"/>
      <c r="LP143" s="239"/>
      <c r="LQ143" s="239"/>
      <c r="LR143" s="239"/>
      <c r="LS143" s="239"/>
      <c r="LT143" s="239"/>
      <c r="LU143" s="239"/>
      <c r="LV143" s="239"/>
      <c r="LW143" s="239"/>
      <c r="LX143" s="239"/>
      <c r="LY143" s="239"/>
      <c r="LZ143" s="239"/>
      <c r="MA143" s="239"/>
      <c r="MB143" s="239"/>
      <c r="MC143" s="239"/>
      <c r="MD143" s="239"/>
      <c r="ME143" s="239"/>
      <c r="MF143" s="239"/>
      <c r="MG143" s="239"/>
      <c r="MH143" s="239"/>
      <c r="MI143" s="239"/>
      <c r="MJ143" s="239"/>
      <c r="MK143" s="239"/>
      <c r="ML143" s="239"/>
      <c r="MM143" s="239"/>
      <c r="MN143" s="239"/>
      <c r="MO143" s="239"/>
      <c r="MP143" s="239"/>
      <c r="MQ143" s="239"/>
      <c r="MR143" s="239"/>
      <c r="MS143" s="239"/>
      <c r="MT143" s="239"/>
      <c r="MU143" s="239"/>
      <c r="MV143" s="239"/>
      <c r="MW143" s="239"/>
      <c r="MX143" s="239"/>
      <c r="MY143" s="239"/>
      <c r="MZ143" s="239"/>
      <c r="NA143" s="239"/>
      <c r="NB143" s="239"/>
      <c r="NC143" s="239"/>
      <c r="ND143" s="239"/>
      <c r="NE143" s="239"/>
      <c r="NF143" s="239"/>
      <c r="NG143" s="239"/>
      <c r="NH143" s="239"/>
      <c r="NI143" s="239"/>
      <c r="NJ143" s="239"/>
      <c r="NK143" s="239"/>
      <c r="NL143" s="239"/>
      <c r="NM143" s="239"/>
      <c r="NN143" s="239"/>
      <c r="NO143" s="239"/>
      <c r="NP143" s="239"/>
      <c r="NQ143" s="239"/>
      <c r="NR143" s="239"/>
      <c r="NS143" s="239"/>
      <c r="NT143" s="239"/>
      <c r="NU143" s="239"/>
      <c r="NV143" s="239"/>
      <c r="NW143" s="239"/>
      <c r="NX143" s="239"/>
      <c r="NY143" s="239"/>
      <c r="NZ143" s="239"/>
      <c r="OA143" s="239"/>
      <c r="OB143" s="239"/>
      <c r="OC143" s="239"/>
      <c r="OD143" s="239"/>
      <c r="OE143" s="239"/>
      <c r="OF143" s="239"/>
      <c r="OG143" s="239"/>
      <c r="OH143" s="239"/>
      <c r="OI143" s="239"/>
      <c r="OJ143" s="239"/>
      <c r="OK143" s="239"/>
      <c r="OL143" s="239"/>
      <c r="OM143" s="239"/>
      <c r="ON143" s="239"/>
      <c r="OO143" s="239"/>
      <c r="OP143" s="239"/>
      <c r="OQ143" s="239"/>
      <c r="OR143" s="239"/>
      <c r="OS143" s="239"/>
      <c r="OT143" s="239"/>
      <c r="OU143" s="239"/>
      <c r="OV143" s="239"/>
      <c r="OW143" s="239"/>
      <c r="OX143" s="239"/>
      <c r="OY143" s="239"/>
      <c r="OZ143" s="239"/>
      <c r="PA143" s="239"/>
      <c r="PB143" s="239"/>
      <c r="PC143" s="239"/>
      <c r="PD143" s="239"/>
      <c r="PE143" s="239"/>
      <c r="PF143" s="239"/>
      <c r="PG143" s="239"/>
      <c r="PH143" s="239"/>
      <c r="PI143" s="239"/>
      <c r="PJ143" s="239"/>
      <c r="PK143" s="239"/>
      <c r="PL143" s="239"/>
      <c r="PM143" s="239"/>
      <c r="PN143" s="239"/>
      <c r="PO143" s="239"/>
      <c r="PP143" s="239"/>
      <c r="PQ143" s="239"/>
      <c r="PR143" s="239"/>
      <c r="PS143" s="239"/>
      <c r="PT143" s="239"/>
      <c r="PU143" s="239"/>
      <c r="PV143" s="239"/>
      <c r="PW143" s="239"/>
      <c r="PX143" s="239"/>
      <c r="PY143" s="239"/>
      <c r="PZ143" s="239"/>
      <c r="QA143" s="239"/>
      <c r="QB143" s="239"/>
      <c r="QC143" s="239"/>
      <c r="QD143" s="239"/>
      <c r="QE143" s="239"/>
      <c r="QF143" s="239"/>
      <c r="QG143" s="239"/>
      <c r="QH143" s="239"/>
      <c r="QI143" s="239"/>
      <c r="QJ143" s="239"/>
      <c r="QK143" s="239"/>
      <c r="QL143" s="239"/>
      <c r="QM143" s="239"/>
      <c r="QN143" s="239"/>
      <c r="QO143" s="239"/>
      <c r="QP143" s="239"/>
      <c r="QQ143" s="239"/>
      <c r="QR143" s="239"/>
      <c r="QS143" s="239"/>
      <c r="QT143" s="239"/>
      <c r="QU143" s="239"/>
      <c r="QV143" s="239"/>
      <c r="QW143" s="239"/>
      <c r="QX143" s="239"/>
      <c r="QY143" s="239"/>
      <c r="QZ143" s="239"/>
      <c r="RA143" s="239"/>
      <c r="RB143" s="239"/>
      <c r="RC143" s="239"/>
      <c r="RD143" s="239"/>
      <c r="RE143" s="239"/>
      <c r="RF143" s="239"/>
      <c r="RG143" s="239"/>
      <c r="RH143" s="239"/>
      <c r="RI143" s="239"/>
      <c r="RJ143" s="239"/>
      <c r="RK143" s="239"/>
      <c r="RL143" s="239"/>
      <c r="RM143" s="239"/>
      <c r="RN143" s="239"/>
      <c r="RO143" s="239"/>
      <c r="RP143" s="239"/>
      <c r="RQ143" s="239"/>
      <c r="RR143" s="239"/>
      <c r="RS143" s="239"/>
      <c r="RT143" s="239"/>
      <c r="RU143" s="239"/>
      <c r="RV143" s="239"/>
      <c r="RW143" s="239"/>
      <c r="RX143" s="239"/>
      <c r="RY143" s="239"/>
      <c r="RZ143" s="239"/>
      <c r="SA143" s="239"/>
      <c r="SB143" s="239"/>
      <c r="SC143" s="239"/>
      <c r="SD143" s="239"/>
      <c r="SE143" s="239"/>
      <c r="SF143" s="239"/>
      <c r="SG143" s="239"/>
      <c r="SH143" s="239"/>
      <c r="SI143" s="239"/>
      <c r="SJ143" s="239"/>
      <c r="SK143" s="239"/>
      <c r="SL143" s="239"/>
      <c r="SM143" s="239"/>
      <c r="SN143" s="239"/>
      <c r="SO143" s="239"/>
      <c r="SP143" s="239"/>
      <c r="SQ143" s="239"/>
      <c r="SR143" s="239"/>
      <c r="SS143" s="239"/>
      <c r="ST143" s="239"/>
      <c r="SU143" s="239"/>
      <c r="SV143" s="239"/>
      <c r="SW143" s="239"/>
      <c r="SX143" s="239"/>
      <c r="SY143" s="239"/>
      <c r="SZ143" s="239"/>
      <c r="TA143" s="239"/>
      <c r="TB143" s="239"/>
      <c r="TC143" s="239"/>
      <c r="TD143" s="239"/>
      <c r="TE143" s="239"/>
      <c r="TF143" s="239"/>
      <c r="TG143" s="239"/>
      <c r="TH143" s="239"/>
      <c r="TI143" s="239"/>
      <c r="TJ143" s="239"/>
      <c r="TK143" s="239"/>
      <c r="TL143" s="239"/>
      <c r="TM143" s="239"/>
      <c r="TN143" s="239"/>
      <c r="TO143" s="239"/>
      <c r="TP143" s="239"/>
      <c r="TQ143" s="239"/>
      <c r="TR143" s="239"/>
      <c r="TS143" s="239"/>
      <c r="TT143" s="239"/>
      <c r="TU143" s="239"/>
      <c r="TV143" s="239"/>
      <c r="TW143" s="239"/>
      <c r="TX143" s="239"/>
      <c r="TY143" s="239"/>
      <c r="TZ143" s="239"/>
      <c r="UA143" s="239"/>
      <c r="UB143" s="239"/>
      <c r="UC143" s="239"/>
      <c r="UD143" s="239"/>
      <c r="UE143" s="239"/>
      <c r="UF143" s="239"/>
      <c r="UG143" s="240"/>
    </row>
    <row r="144" spans="1:553" s="236" customFormat="1" ht="34.5" customHeight="1">
      <c r="A144" s="356" t="s">
        <v>15</v>
      </c>
      <c r="B144" s="366" t="s">
        <v>188</v>
      </c>
      <c r="C144" s="1414" t="s">
        <v>189</v>
      </c>
      <c r="D144" s="1389"/>
      <c r="E144" s="1389"/>
      <c r="F144" s="1390"/>
      <c r="G144" s="386" t="s">
        <v>935</v>
      </c>
      <c r="H144" s="370"/>
      <c r="I144" s="422">
        <f t="shared" si="33"/>
        <v>3.6799999999999997</v>
      </c>
      <c r="J144" s="368">
        <v>450000</v>
      </c>
      <c r="K144" s="371"/>
      <c r="L144" s="391">
        <f t="shared" si="26"/>
        <v>1656000</v>
      </c>
      <c r="M144" s="395"/>
      <c r="N144" s="395"/>
      <c r="O144" s="366"/>
      <c r="P144" s="396"/>
      <c r="Q144" s="473"/>
      <c r="R144" s="1039"/>
      <c r="S144" s="308"/>
      <c r="T144" s="303"/>
      <c r="U144" s="306"/>
      <c r="V144" s="307"/>
      <c r="W144" s="306"/>
      <c r="X144" s="306"/>
      <c r="Y144" s="306"/>
      <c r="Z144" s="306"/>
      <c r="AA144" s="306"/>
      <c r="AB144" s="306"/>
      <c r="AC144" s="449"/>
      <c r="AD144" s="449"/>
      <c r="AE144" s="449"/>
      <c r="AF144" s="449"/>
      <c r="AG144" s="452"/>
      <c r="AH144" s="452"/>
      <c r="AI144" s="452"/>
      <c r="AJ144" s="452"/>
      <c r="AK144" s="452"/>
      <c r="AL144" s="242"/>
      <c r="AM144" s="241"/>
      <c r="AN144" s="241"/>
      <c r="AO144" s="241"/>
      <c r="AP144" s="241"/>
      <c r="AQ144" s="238"/>
      <c r="AR144" s="238"/>
      <c r="AS144" s="238"/>
      <c r="AT144" s="238"/>
      <c r="AU144" s="238"/>
      <c r="AV144" s="238"/>
      <c r="AW144" s="238"/>
      <c r="AX144" s="238"/>
      <c r="AY144" s="238"/>
      <c r="AZ144" s="238"/>
      <c r="BA144" s="238"/>
      <c r="BB144" s="238"/>
      <c r="BC144" s="238"/>
      <c r="BD144" s="238"/>
      <c r="BE144" s="238"/>
      <c r="BF144" s="238"/>
      <c r="BG144" s="238"/>
      <c r="BH144" s="238"/>
      <c r="BI144" s="238"/>
      <c r="BJ144" s="238"/>
      <c r="BK144" s="238"/>
      <c r="BL144" s="238"/>
      <c r="BM144" s="239"/>
      <c r="BN144" s="239"/>
      <c r="BO144" s="239"/>
      <c r="BP144" s="239"/>
      <c r="BQ144" s="239"/>
      <c r="BR144" s="239"/>
      <c r="BS144" s="239"/>
      <c r="BT144" s="239"/>
      <c r="BU144" s="239"/>
      <c r="BV144" s="239"/>
      <c r="BW144" s="239"/>
      <c r="BX144" s="239"/>
      <c r="BY144" s="239"/>
      <c r="BZ144" s="239"/>
      <c r="CA144" s="239"/>
      <c r="CB144" s="239"/>
      <c r="CC144" s="239"/>
      <c r="CD144" s="239"/>
      <c r="CE144" s="239"/>
      <c r="CF144" s="239"/>
      <c r="CG144" s="239"/>
      <c r="CH144" s="239"/>
      <c r="CI144" s="239"/>
      <c r="CJ144" s="239"/>
      <c r="CK144" s="239"/>
      <c r="CL144" s="239"/>
      <c r="CM144" s="239"/>
      <c r="CN144" s="239"/>
      <c r="CO144" s="239"/>
      <c r="CP144" s="239"/>
      <c r="CQ144" s="239"/>
      <c r="CR144" s="239"/>
      <c r="CS144" s="239"/>
      <c r="CT144" s="239"/>
      <c r="CU144" s="239"/>
      <c r="CV144" s="239"/>
      <c r="CW144" s="239"/>
      <c r="CX144" s="239"/>
      <c r="CY144" s="239"/>
      <c r="CZ144" s="239"/>
      <c r="DA144" s="239"/>
      <c r="DB144" s="239"/>
      <c r="DC144" s="239"/>
      <c r="DD144" s="239"/>
      <c r="DE144" s="239"/>
      <c r="DF144" s="239"/>
      <c r="DG144" s="239"/>
      <c r="DH144" s="239"/>
      <c r="DI144" s="239"/>
      <c r="DJ144" s="239"/>
      <c r="DK144" s="239"/>
      <c r="DL144" s="239"/>
      <c r="DM144" s="239"/>
      <c r="DN144" s="239"/>
      <c r="DO144" s="239"/>
      <c r="DP144" s="239"/>
      <c r="DQ144" s="239"/>
      <c r="DR144" s="239"/>
      <c r="DS144" s="239"/>
      <c r="DT144" s="239"/>
      <c r="DU144" s="239"/>
      <c r="DV144" s="239"/>
      <c r="DW144" s="239"/>
      <c r="DX144" s="239"/>
      <c r="DY144" s="239"/>
      <c r="DZ144" s="239"/>
      <c r="EA144" s="239"/>
      <c r="EB144" s="239"/>
      <c r="EC144" s="239"/>
      <c r="ED144" s="239"/>
      <c r="EE144" s="239"/>
      <c r="EF144" s="239"/>
      <c r="EG144" s="239"/>
      <c r="EH144" s="239"/>
      <c r="EI144" s="239"/>
      <c r="EJ144" s="239"/>
      <c r="EK144" s="239"/>
      <c r="EL144" s="239"/>
      <c r="EM144" s="239"/>
      <c r="EN144" s="239"/>
      <c r="EO144" s="239"/>
      <c r="EP144" s="239"/>
      <c r="EQ144" s="239"/>
      <c r="ER144" s="239"/>
      <c r="ES144" s="239"/>
      <c r="ET144" s="239"/>
      <c r="EU144" s="239"/>
      <c r="EV144" s="239"/>
      <c r="EW144" s="239"/>
      <c r="EX144" s="239"/>
      <c r="EY144" s="239"/>
      <c r="EZ144" s="239"/>
      <c r="FA144" s="239"/>
      <c r="FB144" s="239"/>
      <c r="FC144" s="239"/>
      <c r="FD144" s="239"/>
      <c r="FE144" s="239"/>
      <c r="FF144" s="239"/>
      <c r="FG144" s="239"/>
      <c r="FH144" s="239"/>
      <c r="FI144" s="239"/>
      <c r="FJ144" s="239"/>
      <c r="FK144" s="239"/>
      <c r="FL144" s="239"/>
      <c r="FM144" s="239"/>
      <c r="FN144" s="239"/>
      <c r="FO144" s="239"/>
      <c r="FP144" s="239"/>
      <c r="FQ144" s="239"/>
      <c r="FR144" s="239"/>
      <c r="FS144" s="239"/>
      <c r="FT144" s="239"/>
      <c r="FU144" s="239"/>
      <c r="FV144" s="239"/>
      <c r="FW144" s="239"/>
      <c r="FX144" s="239"/>
      <c r="FY144" s="239"/>
      <c r="FZ144" s="239"/>
      <c r="GA144" s="239"/>
      <c r="GB144" s="239"/>
      <c r="GC144" s="239"/>
      <c r="GD144" s="239"/>
      <c r="GE144" s="239"/>
      <c r="GF144" s="239"/>
      <c r="GG144" s="239"/>
      <c r="GH144" s="239"/>
      <c r="GI144" s="239"/>
      <c r="GJ144" s="239"/>
      <c r="GK144" s="239"/>
      <c r="GL144" s="239"/>
      <c r="GM144" s="239"/>
      <c r="GN144" s="239"/>
      <c r="GO144" s="239"/>
      <c r="GP144" s="239"/>
      <c r="GQ144" s="239"/>
      <c r="GR144" s="239"/>
      <c r="GS144" s="239"/>
      <c r="GT144" s="239"/>
      <c r="GU144" s="239"/>
      <c r="GV144" s="239"/>
      <c r="GW144" s="239"/>
      <c r="GX144" s="239"/>
      <c r="GY144" s="239"/>
      <c r="GZ144" s="239"/>
      <c r="HA144" s="239"/>
      <c r="HB144" s="239"/>
      <c r="HC144" s="239"/>
      <c r="HD144" s="239"/>
      <c r="HE144" s="239"/>
      <c r="HF144" s="239"/>
      <c r="HG144" s="239"/>
      <c r="HH144" s="239"/>
      <c r="HI144" s="239"/>
      <c r="HJ144" s="239"/>
      <c r="HK144" s="239"/>
      <c r="HL144" s="239"/>
      <c r="HM144" s="239"/>
      <c r="HN144" s="239"/>
      <c r="HO144" s="239"/>
      <c r="HP144" s="239"/>
      <c r="HQ144" s="239"/>
      <c r="HR144" s="239"/>
      <c r="HS144" s="239"/>
      <c r="HT144" s="239"/>
      <c r="HU144" s="239"/>
      <c r="HV144" s="239"/>
      <c r="HW144" s="239"/>
      <c r="HX144" s="239"/>
      <c r="HY144" s="239"/>
      <c r="HZ144" s="239"/>
      <c r="IA144" s="239"/>
      <c r="IB144" s="239"/>
      <c r="IC144" s="239"/>
      <c r="ID144" s="239"/>
      <c r="IE144" s="239"/>
      <c r="IF144" s="239"/>
      <c r="IG144" s="239"/>
      <c r="IH144" s="239"/>
      <c r="II144" s="239"/>
      <c r="IJ144" s="239"/>
      <c r="IK144" s="239"/>
      <c r="IL144" s="239"/>
      <c r="IM144" s="239"/>
      <c r="IN144" s="239"/>
      <c r="IO144" s="239"/>
      <c r="IP144" s="239"/>
      <c r="IQ144" s="239"/>
      <c r="IR144" s="239"/>
      <c r="IS144" s="239"/>
      <c r="IT144" s="239"/>
      <c r="IU144" s="239"/>
      <c r="IV144" s="239"/>
      <c r="IW144" s="239"/>
      <c r="IX144" s="239"/>
      <c r="IY144" s="239"/>
      <c r="IZ144" s="239"/>
      <c r="JA144" s="239"/>
      <c r="JB144" s="239"/>
      <c r="JC144" s="239"/>
      <c r="JD144" s="239"/>
      <c r="JE144" s="239"/>
      <c r="JF144" s="239"/>
      <c r="JG144" s="239"/>
      <c r="JH144" s="239"/>
      <c r="JI144" s="239"/>
      <c r="JJ144" s="239"/>
      <c r="JK144" s="239"/>
      <c r="JL144" s="239"/>
      <c r="JM144" s="239"/>
      <c r="JN144" s="239"/>
      <c r="JO144" s="239"/>
      <c r="JP144" s="239"/>
      <c r="JQ144" s="239"/>
      <c r="JR144" s="239"/>
      <c r="JS144" s="239"/>
      <c r="JT144" s="239"/>
      <c r="JU144" s="239"/>
      <c r="JV144" s="239"/>
      <c r="JW144" s="239"/>
      <c r="JX144" s="239"/>
      <c r="JY144" s="239"/>
      <c r="JZ144" s="239"/>
      <c r="KA144" s="239"/>
      <c r="KB144" s="239"/>
      <c r="KC144" s="239"/>
      <c r="KD144" s="239"/>
      <c r="KE144" s="239"/>
      <c r="KF144" s="239"/>
      <c r="KG144" s="239"/>
      <c r="KH144" s="239"/>
      <c r="KI144" s="239"/>
      <c r="KJ144" s="239"/>
      <c r="KK144" s="239"/>
      <c r="KL144" s="239"/>
      <c r="KM144" s="239"/>
      <c r="KN144" s="239"/>
      <c r="KO144" s="239"/>
      <c r="KP144" s="239"/>
      <c r="KQ144" s="239"/>
      <c r="KR144" s="239"/>
      <c r="KS144" s="239"/>
      <c r="KT144" s="239"/>
      <c r="KU144" s="239"/>
      <c r="KV144" s="239"/>
      <c r="KW144" s="239"/>
      <c r="KX144" s="239"/>
      <c r="KY144" s="239"/>
      <c r="KZ144" s="239"/>
      <c r="LA144" s="239"/>
      <c r="LB144" s="239"/>
      <c r="LC144" s="239"/>
      <c r="LD144" s="239"/>
      <c r="LE144" s="239"/>
      <c r="LF144" s="239"/>
      <c r="LG144" s="239"/>
      <c r="LH144" s="239"/>
      <c r="LI144" s="239"/>
      <c r="LJ144" s="239"/>
      <c r="LK144" s="239"/>
      <c r="LL144" s="239"/>
      <c r="LM144" s="239"/>
      <c r="LN144" s="239"/>
      <c r="LO144" s="239"/>
      <c r="LP144" s="239"/>
      <c r="LQ144" s="239"/>
      <c r="LR144" s="239"/>
      <c r="LS144" s="239"/>
      <c r="LT144" s="239"/>
      <c r="LU144" s="239"/>
      <c r="LV144" s="239"/>
      <c r="LW144" s="239"/>
      <c r="LX144" s="239"/>
      <c r="LY144" s="239"/>
      <c r="LZ144" s="239"/>
      <c r="MA144" s="239"/>
      <c r="MB144" s="239"/>
      <c r="MC144" s="239"/>
      <c r="MD144" s="239"/>
      <c r="ME144" s="239"/>
      <c r="MF144" s="239"/>
      <c r="MG144" s="239"/>
      <c r="MH144" s="239"/>
      <c r="MI144" s="239"/>
      <c r="MJ144" s="239"/>
      <c r="MK144" s="239"/>
      <c r="ML144" s="239"/>
      <c r="MM144" s="239"/>
      <c r="MN144" s="239"/>
      <c r="MO144" s="239"/>
      <c r="MP144" s="239"/>
      <c r="MQ144" s="239"/>
      <c r="MR144" s="239"/>
      <c r="MS144" s="239"/>
      <c r="MT144" s="239"/>
      <c r="MU144" s="239"/>
      <c r="MV144" s="239"/>
      <c r="MW144" s="239"/>
      <c r="MX144" s="239"/>
      <c r="MY144" s="239"/>
      <c r="MZ144" s="239"/>
      <c r="NA144" s="239"/>
      <c r="NB144" s="239"/>
      <c r="NC144" s="239"/>
      <c r="ND144" s="239"/>
      <c r="NE144" s="239"/>
      <c r="NF144" s="239"/>
      <c r="NG144" s="239"/>
      <c r="NH144" s="239"/>
      <c r="NI144" s="239"/>
      <c r="NJ144" s="239"/>
      <c r="NK144" s="239"/>
      <c r="NL144" s="239"/>
      <c r="NM144" s="239"/>
      <c r="NN144" s="239"/>
      <c r="NO144" s="239"/>
      <c r="NP144" s="239"/>
      <c r="NQ144" s="239"/>
      <c r="NR144" s="239"/>
      <c r="NS144" s="239"/>
      <c r="NT144" s="239"/>
      <c r="NU144" s="239"/>
      <c r="NV144" s="239"/>
      <c r="NW144" s="239"/>
      <c r="NX144" s="239"/>
      <c r="NY144" s="239"/>
      <c r="NZ144" s="239"/>
      <c r="OA144" s="239"/>
      <c r="OB144" s="239"/>
      <c r="OC144" s="239"/>
      <c r="OD144" s="239"/>
      <c r="OE144" s="239"/>
      <c r="OF144" s="239"/>
      <c r="OG144" s="239"/>
      <c r="OH144" s="239"/>
      <c r="OI144" s="239"/>
      <c r="OJ144" s="239"/>
      <c r="OK144" s="239"/>
      <c r="OL144" s="239"/>
      <c r="OM144" s="239"/>
      <c r="ON144" s="239"/>
      <c r="OO144" s="239"/>
      <c r="OP144" s="239"/>
      <c r="OQ144" s="239"/>
      <c r="OR144" s="239"/>
      <c r="OS144" s="239"/>
      <c r="OT144" s="239"/>
      <c r="OU144" s="239"/>
      <c r="OV144" s="239"/>
      <c r="OW144" s="239"/>
      <c r="OX144" s="239"/>
      <c r="OY144" s="239"/>
      <c r="OZ144" s="239"/>
      <c r="PA144" s="239"/>
      <c r="PB144" s="239"/>
      <c r="PC144" s="239"/>
      <c r="PD144" s="239"/>
      <c r="PE144" s="239"/>
      <c r="PF144" s="239"/>
      <c r="PG144" s="239"/>
      <c r="PH144" s="239"/>
      <c r="PI144" s="239"/>
      <c r="PJ144" s="239"/>
      <c r="PK144" s="239"/>
      <c r="PL144" s="239"/>
      <c r="PM144" s="239"/>
      <c r="PN144" s="239"/>
      <c r="PO144" s="239"/>
      <c r="PP144" s="239"/>
      <c r="PQ144" s="239"/>
      <c r="PR144" s="239"/>
      <c r="PS144" s="239"/>
      <c r="PT144" s="239"/>
      <c r="PU144" s="239"/>
      <c r="PV144" s="239"/>
      <c r="PW144" s="239"/>
      <c r="PX144" s="239"/>
      <c r="PY144" s="239"/>
      <c r="PZ144" s="239"/>
      <c r="QA144" s="239"/>
      <c r="QB144" s="239"/>
      <c r="QC144" s="239"/>
      <c r="QD144" s="239"/>
      <c r="QE144" s="239"/>
      <c r="QF144" s="239"/>
      <c r="QG144" s="239"/>
      <c r="QH144" s="239"/>
      <c r="QI144" s="239"/>
      <c r="QJ144" s="239"/>
      <c r="QK144" s="239"/>
      <c r="QL144" s="239"/>
      <c r="QM144" s="239"/>
      <c r="QN144" s="239"/>
      <c r="QO144" s="239"/>
      <c r="QP144" s="239"/>
      <c r="QQ144" s="239"/>
      <c r="QR144" s="239"/>
      <c r="QS144" s="239"/>
      <c r="QT144" s="239"/>
      <c r="QU144" s="239"/>
      <c r="QV144" s="239"/>
      <c r="QW144" s="239"/>
      <c r="QX144" s="239"/>
      <c r="QY144" s="239"/>
      <c r="QZ144" s="239"/>
      <c r="RA144" s="239"/>
      <c r="RB144" s="239"/>
      <c r="RC144" s="239"/>
      <c r="RD144" s="239"/>
      <c r="RE144" s="239"/>
      <c r="RF144" s="239"/>
      <c r="RG144" s="239"/>
      <c r="RH144" s="239"/>
      <c r="RI144" s="239"/>
      <c r="RJ144" s="239"/>
      <c r="RK144" s="239"/>
      <c r="RL144" s="239"/>
      <c r="RM144" s="239"/>
      <c r="RN144" s="239"/>
      <c r="RO144" s="239"/>
      <c r="RP144" s="239"/>
      <c r="RQ144" s="239"/>
      <c r="RR144" s="239"/>
      <c r="RS144" s="239"/>
      <c r="RT144" s="239"/>
      <c r="RU144" s="239"/>
      <c r="RV144" s="239"/>
      <c r="RW144" s="239"/>
      <c r="RX144" s="239"/>
      <c r="RY144" s="239"/>
      <c r="RZ144" s="239"/>
      <c r="SA144" s="239"/>
      <c r="SB144" s="239"/>
      <c r="SC144" s="239"/>
      <c r="SD144" s="239"/>
      <c r="SE144" s="239"/>
      <c r="SF144" s="239"/>
      <c r="SG144" s="239"/>
      <c r="SH144" s="239"/>
      <c r="SI144" s="239"/>
      <c r="SJ144" s="239"/>
      <c r="SK144" s="239"/>
      <c r="SL144" s="239"/>
      <c r="SM144" s="239"/>
      <c r="SN144" s="239"/>
      <c r="SO144" s="239"/>
      <c r="SP144" s="239"/>
      <c r="SQ144" s="239"/>
      <c r="SR144" s="239"/>
      <c r="SS144" s="239"/>
      <c r="ST144" s="239"/>
      <c r="SU144" s="239"/>
      <c r="SV144" s="239"/>
      <c r="SW144" s="239"/>
      <c r="SX144" s="239"/>
      <c r="SY144" s="239"/>
      <c r="SZ144" s="239"/>
      <c r="TA144" s="239"/>
      <c r="TB144" s="239"/>
      <c r="TC144" s="239"/>
      <c r="TD144" s="239"/>
      <c r="TE144" s="239"/>
      <c r="TF144" s="239"/>
      <c r="TG144" s="239"/>
      <c r="TH144" s="239"/>
      <c r="TI144" s="239"/>
      <c r="TJ144" s="239"/>
      <c r="TK144" s="239"/>
      <c r="TL144" s="239"/>
      <c r="TM144" s="239"/>
      <c r="TN144" s="239"/>
      <c r="TO144" s="239"/>
      <c r="TP144" s="239"/>
      <c r="TQ144" s="239"/>
      <c r="TR144" s="239"/>
      <c r="TS144" s="239"/>
      <c r="TT144" s="239"/>
      <c r="TU144" s="239"/>
      <c r="TV144" s="239"/>
      <c r="TW144" s="239"/>
      <c r="TX144" s="239"/>
      <c r="TY144" s="239"/>
      <c r="TZ144" s="239"/>
      <c r="UA144" s="239"/>
      <c r="UB144" s="239"/>
      <c r="UC144" s="239"/>
      <c r="UD144" s="239"/>
      <c r="UE144" s="239"/>
      <c r="UF144" s="239"/>
      <c r="UG144" s="240"/>
    </row>
    <row r="145" spans="1:553" s="236" customFormat="1" ht="34.5" customHeight="1">
      <c r="A145" s="356" t="s">
        <v>15</v>
      </c>
      <c r="B145" s="366" t="s">
        <v>42</v>
      </c>
      <c r="C145" s="1443" t="s">
        <v>890</v>
      </c>
      <c r="D145" s="1389"/>
      <c r="E145" s="1389"/>
      <c r="F145" s="1390"/>
      <c r="G145" s="386" t="s">
        <v>113</v>
      </c>
      <c r="H145" s="370"/>
      <c r="I145" s="422">
        <v>10.199999999999999</v>
      </c>
      <c r="J145" s="368">
        <v>358700</v>
      </c>
      <c r="K145" s="371"/>
      <c r="L145" s="391">
        <f t="shared" si="26"/>
        <v>3658740</v>
      </c>
      <c r="M145" s="395"/>
      <c r="N145" s="395"/>
      <c r="O145" s="366"/>
      <c r="P145" s="396"/>
      <c r="Q145" s="473"/>
      <c r="R145" s="1039"/>
      <c r="S145" s="308"/>
      <c r="T145" s="303"/>
      <c r="U145" s="306"/>
      <c r="V145" s="307"/>
      <c r="W145" s="306"/>
      <c r="X145" s="306"/>
      <c r="Y145" s="306"/>
      <c r="Z145" s="306"/>
      <c r="AA145" s="306"/>
      <c r="AB145" s="306"/>
      <c r="AC145" s="449"/>
      <c r="AD145" s="449"/>
      <c r="AE145" s="449"/>
      <c r="AF145" s="449"/>
      <c r="AG145" s="452"/>
      <c r="AH145" s="452"/>
      <c r="AI145" s="452"/>
      <c r="AJ145" s="452"/>
      <c r="AK145" s="452"/>
      <c r="AL145" s="242"/>
      <c r="AM145" s="241"/>
      <c r="AN145" s="241"/>
      <c r="AO145" s="241"/>
      <c r="AP145" s="241"/>
      <c r="AQ145" s="238"/>
      <c r="AR145" s="238"/>
      <c r="AS145" s="238"/>
      <c r="AT145" s="238"/>
      <c r="AU145" s="238"/>
      <c r="AV145" s="238"/>
      <c r="AW145" s="238"/>
      <c r="AX145" s="238"/>
      <c r="AY145" s="238"/>
      <c r="AZ145" s="238"/>
      <c r="BA145" s="238"/>
      <c r="BB145" s="238"/>
      <c r="BC145" s="238"/>
      <c r="BD145" s="238"/>
      <c r="BE145" s="238"/>
      <c r="BF145" s="238"/>
      <c r="BG145" s="238"/>
      <c r="BH145" s="238"/>
      <c r="BI145" s="238"/>
      <c r="BJ145" s="238"/>
      <c r="BK145" s="238"/>
      <c r="BL145" s="238"/>
      <c r="BM145" s="239"/>
      <c r="BN145" s="239"/>
      <c r="BO145" s="239"/>
      <c r="BP145" s="239"/>
      <c r="BQ145" s="239"/>
      <c r="BR145" s="239"/>
      <c r="BS145" s="239"/>
      <c r="BT145" s="239"/>
      <c r="BU145" s="239"/>
      <c r="BV145" s="239"/>
      <c r="BW145" s="239"/>
      <c r="BX145" s="239"/>
      <c r="BY145" s="239"/>
      <c r="BZ145" s="239"/>
      <c r="CA145" s="239"/>
      <c r="CB145" s="239"/>
      <c r="CC145" s="239"/>
      <c r="CD145" s="239"/>
      <c r="CE145" s="239"/>
      <c r="CF145" s="239"/>
      <c r="CG145" s="239"/>
      <c r="CH145" s="239"/>
      <c r="CI145" s="239"/>
      <c r="CJ145" s="239"/>
      <c r="CK145" s="239"/>
      <c r="CL145" s="239"/>
      <c r="CM145" s="239"/>
      <c r="CN145" s="239"/>
      <c r="CO145" s="239"/>
      <c r="CP145" s="239"/>
      <c r="CQ145" s="239"/>
      <c r="CR145" s="239"/>
      <c r="CS145" s="239"/>
      <c r="CT145" s="239"/>
      <c r="CU145" s="239"/>
      <c r="CV145" s="239"/>
      <c r="CW145" s="239"/>
      <c r="CX145" s="239"/>
      <c r="CY145" s="239"/>
      <c r="CZ145" s="239"/>
      <c r="DA145" s="239"/>
      <c r="DB145" s="239"/>
      <c r="DC145" s="239"/>
      <c r="DD145" s="239"/>
      <c r="DE145" s="239"/>
      <c r="DF145" s="239"/>
      <c r="DG145" s="239"/>
      <c r="DH145" s="239"/>
      <c r="DI145" s="239"/>
      <c r="DJ145" s="239"/>
      <c r="DK145" s="239"/>
      <c r="DL145" s="239"/>
      <c r="DM145" s="239"/>
      <c r="DN145" s="239"/>
      <c r="DO145" s="239"/>
      <c r="DP145" s="239"/>
      <c r="DQ145" s="239"/>
      <c r="DR145" s="239"/>
      <c r="DS145" s="239"/>
      <c r="DT145" s="239"/>
      <c r="DU145" s="239"/>
      <c r="DV145" s="239"/>
      <c r="DW145" s="239"/>
      <c r="DX145" s="239"/>
      <c r="DY145" s="239"/>
      <c r="DZ145" s="239"/>
      <c r="EA145" s="239"/>
      <c r="EB145" s="239"/>
      <c r="EC145" s="239"/>
      <c r="ED145" s="239"/>
      <c r="EE145" s="239"/>
      <c r="EF145" s="239"/>
      <c r="EG145" s="239"/>
      <c r="EH145" s="239"/>
      <c r="EI145" s="239"/>
      <c r="EJ145" s="239"/>
      <c r="EK145" s="239"/>
      <c r="EL145" s="239"/>
      <c r="EM145" s="239"/>
      <c r="EN145" s="239"/>
      <c r="EO145" s="239"/>
      <c r="EP145" s="239"/>
      <c r="EQ145" s="239"/>
      <c r="ER145" s="239"/>
      <c r="ES145" s="239"/>
      <c r="ET145" s="239"/>
      <c r="EU145" s="239"/>
      <c r="EV145" s="239"/>
      <c r="EW145" s="239"/>
      <c r="EX145" s="239"/>
      <c r="EY145" s="239"/>
      <c r="EZ145" s="239"/>
      <c r="FA145" s="239"/>
      <c r="FB145" s="239"/>
      <c r="FC145" s="239"/>
      <c r="FD145" s="239"/>
      <c r="FE145" s="239"/>
      <c r="FF145" s="239"/>
      <c r="FG145" s="239"/>
      <c r="FH145" s="239"/>
      <c r="FI145" s="239"/>
      <c r="FJ145" s="239"/>
      <c r="FK145" s="239"/>
      <c r="FL145" s="239"/>
      <c r="FM145" s="239"/>
      <c r="FN145" s="239"/>
      <c r="FO145" s="239"/>
      <c r="FP145" s="239"/>
      <c r="FQ145" s="239"/>
      <c r="FR145" s="239"/>
      <c r="FS145" s="239"/>
      <c r="FT145" s="239"/>
      <c r="FU145" s="239"/>
      <c r="FV145" s="239"/>
      <c r="FW145" s="239"/>
      <c r="FX145" s="239"/>
      <c r="FY145" s="239"/>
      <c r="FZ145" s="239"/>
      <c r="GA145" s="239"/>
      <c r="GB145" s="239"/>
      <c r="GC145" s="239"/>
      <c r="GD145" s="239"/>
      <c r="GE145" s="239"/>
      <c r="GF145" s="239"/>
      <c r="GG145" s="239"/>
      <c r="GH145" s="239"/>
      <c r="GI145" s="239"/>
      <c r="GJ145" s="239"/>
      <c r="GK145" s="239"/>
      <c r="GL145" s="239"/>
      <c r="GM145" s="239"/>
      <c r="GN145" s="239"/>
      <c r="GO145" s="239"/>
      <c r="GP145" s="239"/>
      <c r="GQ145" s="239"/>
      <c r="GR145" s="239"/>
      <c r="GS145" s="239"/>
      <c r="GT145" s="239"/>
      <c r="GU145" s="239"/>
      <c r="GV145" s="239"/>
      <c r="GW145" s="239"/>
      <c r="GX145" s="239"/>
      <c r="GY145" s="239"/>
      <c r="GZ145" s="239"/>
      <c r="HA145" s="239"/>
      <c r="HB145" s="239"/>
      <c r="HC145" s="239"/>
      <c r="HD145" s="239"/>
      <c r="HE145" s="239"/>
      <c r="HF145" s="239"/>
      <c r="HG145" s="239"/>
      <c r="HH145" s="239"/>
      <c r="HI145" s="239"/>
      <c r="HJ145" s="239"/>
      <c r="HK145" s="239"/>
      <c r="HL145" s="239"/>
      <c r="HM145" s="239"/>
      <c r="HN145" s="239"/>
      <c r="HO145" s="239"/>
      <c r="HP145" s="239"/>
      <c r="HQ145" s="239"/>
      <c r="HR145" s="239"/>
      <c r="HS145" s="239"/>
      <c r="HT145" s="239"/>
      <c r="HU145" s="239"/>
      <c r="HV145" s="239"/>
      <c r="HW145" s="239"/>
      <c r="HX145" s="239"/>
      <c r="HY145" s="239"/>
      <c r="HZ145" s="239"/>
      <c r="IA145" s="239"/>
      <c r="IB145" s="239"/>
      <c r="IC145" s="239"/>
      <c r="ID145" s="239"/>
      <c r="IE145" s="239"/>
      <c r="IF145" s="239"/>
      <c r="IG145" s="239"/>
      <c r="IH145" s="239"/>
      <c r="II145" s="239"/>
      <c r="IJ145" s="239"/>
      <c r="IK145" s="239"/>
      <c r="IL145" s="239"/>
      <c r="IM145" s="239"/>
      <c r="IN145" s="239"/>
      <c r="IO145" s="239"/>
      <c r="IP145" s="239"/>
      <c r="IQ145" s="239"/>
      <c r="IR145" s="239"/>
      <c r="IS145" s="239"/>
      <c r="IT145" s="239"/>
      <c r="IU145" s="239"/>
      <c r="IV145" s="239"/>
      <c r="IW145" s="239"/>
      <c r="IX145" s="239"/>
      <c r="IY145" s="239"/>
      <c r="IZ145" s="239"/>
      <c r="JA145" s="239"/>
      <c r="JB145" s="239"/>
      <c r="JC145" s="239"/>
      <c r="JD145" s="239"/>
      <c r="JE145" s="239"/>
      <c r="JF145" s="239"/>
      <c r="JG145" s="239"/>
      <c r="JH145" s="239"/>
      <c r="JI145" s="239"/>
      <c r="JJ145" s="239"/>
      <c r="JK145" s="239"/>
      <c r="JL145" s="239"/>
      <c r="JM145" s="239"/>
      <c r="JN145" s="239"/>
      <c r="JO145" s="239"/>
      <c r="JP145" s="239"/>
      <c r="JQ145" s="239"/>
      <c r="JR145" s="239"/>
      <c r="JS145" s="239"/>
      <c r="JT145" s="239"/>
      <c r="JU145" s="239"/>
      <c r="JV145" s="239"/>
      <c r="JW145" s="239"/>
      <c r="JX145" s="239"/>
      <c r="JY145" s="239"/>
      <c r="JZ145" s="239"/>
      <c r="KA145" s="239"/>
      <c r="KB145" s="239"/>
      <c r="KC145" s="239"/>
      <c r="KD145" s="239"/>
      <c r="KE145" s="239"/>
      <c r="KF145" s="239"/>
      <c r="KG145" s="239"/>
      <c r="KH145" s="239"/>
      <c r="KI145" s="239"/>
      <c r="KJ145" s="239"/>
      <c r="KK145" s="239"/>
      <c r="KL145" s="239"/>
      <c r="KM145" s="239"/>
      <c r="KN145" s="239"/>
      <c r="KO145" s="239"/>
      <c r="KP145" s="239"/>
      <c r="KQ145" s="239"/>
      <c r="KR145" s="239"/>
      <c r="KS145" s="239"/>
      <c r="KT145" s="239"/>
      <c r="KU145" s="239"/>
      <c r="KV145" s="239"/>
      <c r="KW145" s="239"/>
      <c r="KX145" s="239"/>
      <c r="KY145" s="239"/>
      <c r="KZ145" s="239"/>
      <c r="LA145" s="239"/>
      <c r="LB145" s="239"/>
      <c r="LC145" s="239"/>
      <c r="LD145" s="239"/>
      <c r="LE145" s="239"/>
      <c r="LF145" s="239"/>
      <c r="LG145" s="239"/>
      <c r="LH145" s="239"/>
      <c r="LI145" s="239"/>
      <c r="LJ145" s="239"/>
      <c r="LK145" s="239"/>
      <c r="LL145" s="239"/>
      <c r="LM145" s="239"/>
      <c r="LN145" s="239"/>
      <c r="LO145" s="239"/>
      <c r="LP145" s="239"/>
      <c r="LQ145" s="239"/>
      <c r="LR145" s="239"/>
      <c r="LS145" s="239"/>
      <c r="LT145" s="239"/>
      <c r="LU145" s="239"/>
      <c r="LV145" s="239"/>
      <c r="LW145" s="239"/>
      <c r="LX145" s="239"/>
      <c r="LY145" s="239"/>
      <c r="LZ145" s="239"/>
      <c r="MA145" s="239"/>
      <c r="MB145" s="239"/>
      <c r="MC145" s="239"/>
      <c r="MD145" s="239"/>
      <c r="ME145" s="239"/>
      <c r="MF145" s="239"/>
      <c r="MG145" s="239"/>
      <c r="MH145" s="239"/>
      <c r="MI145" s="239"/>
      <c r="MJ145" s="239"/>
      <c r="MK145" s="239"/>
      <c r="ML145" s="239"/>
      <c r="MM145" s="239"/>
      <c r="MN145" s="239"/>
      <c r="MO145" s="239"/>
      <c r="MP145" s="239"/>
      <c r="MQ145" s="239"/>
      <c r="MR145" s="239"/>
      <c r="MS145" s="239"/>
      <c r="MT145" s="239"/>
      <c r="MU145" s="239"/>
      <c r="MV145" s="239"/>
      <c r="MW145" s="239"/>
      <c r="MX145" s="239"/>
      <c r="MY145" s="239"/>
      <c r="MZ145" s="239"/>
      <c r="NA145" s="239"/>
      <c r="NB145" s="239"/>
      <c r="NC145" s="239"/>
      <c r="ND145" s="239"/>
      <c r="NE145" s="239"/>
      <c r="NF145" s="239"/>
      <c r="NG145" s="239"/>
      <c r="NH145" s="239"/>
      <c r="NI145" s="239"/>
      <c r="NJ145" s="239"/>
      <c r="NK145" s="239"/>
      <c r="NL145" s="239"/>
      <c r="NM145" s="239"/>
      <c r="NN145" s="239"/>
      <c r="NO145" s="239"/>
      <c r="NP145" s="239"/>
      <c r="NQ145" s="239"/>
      <c r="NR145" s="239"/>
      <c r="NS145" s="239"/>
      <c r="NT145" s="239"/>
      <c r="NU145" s="239"/>
      <c r="NV145" s="239"/>
      <c r="NW145" s="239"/>
      <c r="NX145" s="239"/>
      <c r="NY145" s="239"/>
      <c r="NZ145" s="239"/>
      <c r="OA145" s="239"/>
      <c r="OB145" s="239"/>
      <c r="OC145" s="239"/>
      <c r="OD145" s="239"/>
      <c r="OE145" s="239"/>
      <c r="OF145" s="239"/>
      <c r="OG145" s="239"/>
      <c r="OH145" s="239"/>
      <c r="OI145" s="239"/>
      <c r="OJ145" s="239"/>
      <c r="OK145" s="239"/>
      <c r="OL145" s="239"/>
      <c r="OM145" s="239"/>
      <c r="ON145" s="239"/>
      <c r="OO145" s="239"/>
      <c r="OP145" s="239"/>
      <c r="OQ145" s="239"/>
      <c r="OR145" s="239"/>
      <c r="OS145" s="239"/>
      <c r="OT145" s="239"/>
      <c r="OU145" s="239"/>
      <c r="OV145" s="239"/>
      <c r="OW145" s="239"/>
      <c r="OX145" s="239"/>
      <c r="OY145" s="239"/>
      <c r="OZ145" s="239"/>
      <c r="PA145" s="239"/>
      <c r="PB145" s="239"/>
      <c r="PC145" s="239"/>
      <c r="PD145" s="239"/>
      <c r="PE145" s="239"/>
      <c r="PF145" s="239"/>
      <c r="PG145" s="239"/>
      <c r="PH145" s="239"/>
      <c r="PI145" s="239"/>
      <c r="PJ145" s="239"/>
      <c r="PK145" s="239"/>
      <c r="PL145" s="239"/>
      <c r="PM145" s="239"/>
      <c r="PN145" s="239"/>
      <c r="PO145" s="239"/>
      <c r="PP145" s="239"/>
      <c r="PQ145" s="239"/>
      <c r="PR145" s="239"/>
      <c r="PS145" s="239"/>
      <c r="PT145" s="239"/>
      <c r="PU145" s="239"/>
      <c r="PV145" s="239"/>
      <c r="PW145" s="239"/>
      <c r="PX145" s="239"/>
      <c r="PY145" s="239"/>
      <c r="PZ145" s="239"/>
      <c r="QA145" s="239"/>
      <c r="QB145" s="239"/>
      <c r="QC145" s="239"/>
      <c r="QD145" s="239"/>
      <c r="QE145" s="239"/>
      <c r="QF145" s="239"/>
      <c r="QG145" s="239"/>
      <c r="QH145" s="239"/>
      <c r="QI145" s="239"/>
      <c r="QJ145" s="239"/>
      <c r="QK145" s="239"/>
      <c r="QL145" s="239"/>
      <c r="QM145" s="239"/>
      <c r="QN145" s="239"/>
      <c r="QO145" s="239"/>
      <c r="QP145" s="239"/>
      <c r="QQ145" s="239"/>
      <c r="QR145" s="239"/>
      <c r="QS145" s="239"/>
      <c r="QT145" s="239"/>
      <c r="QU145" s="239"/>
      <c r="QV145" s="239"/>
      <c r="QW145" s="239"/>
      <c r="QX145" s="239"/>
      <c r="QY145" s="239"/>
      <c r="QZ145" s="239"/>
      <c r="RA145" s="239"/>
      <c r="RB145" s="239"/>
      <c r="RC145" s="239"/>
      <c r="RD145" s="239"/>
      <c r="RE145" s="239"/>
      <c r="RF145" s="239"/>
      <c r="RG145" s="239"/>
      <c r="RH145" s="239"/>
      <c r="RI145" s="239"/>
      <c r="RJ145" s="239"/>
      <c r="RK145" s="239"/>
      <c r="RL145" s="239"/>
      <c r="RM145" s="239"/>
      <c r="RN145" s="239"/>
      <c r="RO145" s="239"/>
      <c r="RP145" s="239"/>
      <c r="RQ145" s="239"/>
      <c r="RR145" s="239"/>
      <c r="RS145" s="239"/>
      <c r="RT145" s="239"/>
      <c r="RU145" s="239"/>
      <c r="RV145" s="239"/>
      <c r="RW145" s="239"/>
      <c r="RX145" s="239"/>
      <c r="RY145" s="239"/>
      <c r="RZ145" s="239"/>
      <c r="SA145" s="239"/>
      <c r="SB145" s="239"/>
      <c r="SC145" s="239"/>
      <c r="SD145" s="239"/>
      <c r="SE145" s="239"/>
      <c r="SF145" s="239"/>
      <c r="SG145" s="239"/>
      <c r="SH145" s="239"/>
      <c r="SI145" s="239"/>
      <c r="SJ145" s="239"/>
      <c r="SK145" s="239"/>
      <c r="SL145" s="239"/>
      <c r="SM145" s="239"/>
      <c r="SN145" s="239"/>
      <c r="SO145" s="239"/>
      <c r="SP145" s="239"/>
      <c r="SQ145" s="239"/>
      <c r="SR145" s="239"/>
      <c r="SS145" s="239"/>
      <c r="ST145" s="239"/>
      <c r="SU145" s="239"/>
      <c r="SV145" s="239"/>
      <c r="SW145" s="239"/>
      <c r="SX145" s="239"/>
      <c r="SY145" s="239"/>
      <c r="SZ145" s="239"/>
      <c r="TA145" s="239"/>
      <c r="TB145" s="239"/>
      <c r="TC145" s="239"/>
      <c r="TD145" s="239"/>
      <c r="TE145" s="239"/>
      <c r="TF145" s="239"/>
      <c r="TG145" s="239"/>
      <c r="TH145" s="239"/>
      <c r="TI145" s="239"/>
      <c r="TJ145" s="239"/>
      <c r="TK145" s="239"/>
      <c r="TL145" s="239"/>
      <c r="TM145" s="239"/>
      <c r="TN145" s="239"/>
      <c r="TO145" s="239"/>
      <c r="TP145" s="239"/>
      <c r="TQ145" s="239"/>
      <c r="TR145" s="239"/>
      <c r="TS145" s="239"/>
      <c r="TT145" s="239"/>
      <c r="TU145" s="239"/>
      <c r="TV145" s="239"/>
      <c r="TW145" s="239"/>
      <c r="TX145" s="239"/>
      <c r="TY145" s="239"/>
      <c r="TZ145" s="239"/>
      <c r="UA145" s="239"/>
      <c r="UB145" s="239"/>
      <c r="UC145" s="239"/>
      <c r="UD145" s="239"/>
      <c r="UE145" s="239"/>
      <c r="UF145" s="239"/>
      <c r="UG145" s="240"/>
    </row>
    <row r="146" spans="1:553" s="236" customFormat="1" ht="34.5" customHeight="1">
      <c r="A146" s="356" t="s">
        <v>15</v>
      </c>
      <c r="B146" s="366" t="s">
        <v>31</v>
      </c>
      <c r="C146" s="1414" t="s">
        <v>1261</v>
      </c>
      <c r="D146" s="1389"/>
      <c r="E146" s="1389"/>
      <c r="F146" s="1390"/>
      <c r="G146" s="386" t="s">
        <v>1394</v>
      </c>
      <c r="H146" s="370"/>
      <c r="I146" s="422">
        <f>90*1.2*0.3</f>
        <v>32.4</v>
      </c>
      <c r="J146" s="368">
        <v>606342</v>
      </c>
      <c r="K146" s="371"/>
      <c r="L146" s="391">
        <f>ROUND(PRODUCT(I146:K146),0)</f>
        <v>19645481</v>
      </c>
      <c r="M146" s="395"/>
      <c r="N146" s="395"/>
      <c r="O146" s="366"/>
      <c r="P146" s="396"/>
      <c r="Q146" s="473"/>
      <c r="R146" s="1039"/>
      <c r="S146" s="308"/>
      <c r="T146" s="303"/>
      <c r="U146" s="306"/>
      <c r="V146" s="307"/>
      <c r="W146" s="306"/>
      <c r="X146" s="306"/>
      <c r="Y146" s="306"/>
      <c r="Z146" s="306"/>
      <c r="AA146" s="306"/>
      <c r="AB146" s="306"/>
      <c r="AC146" s="449"/>
      <c r="AD146" s="449"/>
      <c r="AE146" s="449"/>
      <c r="AF146" s="449"/>
      <c r="AG146" s="452"/>
      <c r="AH146" s="452"/>
      <c r="AI146" s="452"/>
      <c r="AJ146" s="452"/>
      <c r="AK146" s="452"/>
      <c r="AL146" s="242"/>
      <c r="AM146" s="241"/>
      <c r="AN146" s="241"/>
      <c r="AO146" s="241"/>
      <c r="AP146" s="241"/>
      <c r="AQ146" s="238"/>
      <c r="AR146" s="238"/>
      <c r="AS146" s="238"/>
      <c r="AT146" s="238"/>
      <c r="AU146" s="238"/>
      <c r="AV146" s="238"/>
      <c r="AW146" s="238"/>
      <c r="AX146" s="238"/>
      <c r="AY146" s="238"/>
      <c r="AZ146" s="238"/>
      <c r="BA146" s="238"/>
      <c r="BB146" s="238"/>
      <c r="BC146" s="238"/>
      <c r="BD146" s="238"/>
      <c r="BE146" s="238"/>
      <c r="BF146" s="238"/>
      <c r="BG146" s="238"/>
      <c r="BH146" s="238"/>
      <c r="BI146" s="238"/>
      <c r="BJ146" s="238"/>
      <c r="BK146" s="238"/>
      <c r="BL146" s="238"/>
      <c r="BM146" s="239"/>
      <c r="BN146" s="239"/>
      <c r="BO146" s="239"/>
      <c r="BP146" s="239"/>
      <c r="BQ146" s="239"/>
      <c r="BR146" s="239"/>
      <c r="BS146" s="239"/>
      <c r="BT146" s="239"/>
      <c r="BU146" s="239"/>
      <c r="BV146" s="239"/>
      <c r="BW146" s="239"/>
      <c r="BX146" s="239"/>
      <c r="BY146" s="239"/>
      <c r="BZ146" s="239"/>
      <c r="CA146" s="239"/>
      <c r="CB146" s="239"/>
      <c r="CC146" s="239"/>
      <c r="CD146" s="239"/>
      <c r="CE146" s="239"/>
      <c r="CF146" s="239"/>
      <c r="CG146" s="239"/>
      <c r="CH146" s="239"/>
      <c r="CI146" s="239"/>
      <c r="CJ146" s="239"/>
      <c r="CK146" s="239"/>
      <c r="CL146" s="239"/>
      <c r="CM146" s="239"/>
      <c r="CN146" s="239"/>
      <c r="CO146" s="239"/>
      <c r="CP146" s="239"/>
      <c r="CQ146" s="239"/>
      <c r="CR146" s="239"/>
      <c r="CS146" s="239"/>
      <c r="CT146" s="239"/>
      <c r="CU146" s="239"/>
      <c r="CV146" s="239"/>
      <c r="CW146" s="239"/>
      <c r="CX146" s="239"/>
      <c r="CY146" s="239"/>
      <c r="CZ146" s="239"/>
      <c r="DA146" s="239"/>
      <c r="DB146" s="239"/>
      <c r="DC146" s="239"/>
      <c r="DD146" s="239"/>
      <c r="DE146" s="239"/>
      <c r="DF146" s="239"/>
      <c r="DG146" s="239"/>
      <c r="DH146" s="239"/>
      <c r="DI146" s="239"/>
      <c r="DJ146" s="239"/>
      <c r="DK146" s="239"/>
      <c r="DL146" s="239"/>
      <c r="DM146" s="239"/>
      <c r="DN146" s="239"/>
      <c r="DO146" s="239"/>
      <c r="DP146" s="239"/>
      <c r="DQ146" s="239"/>
      <c r="DR146" s="239"/>
      <c r="DS146" s="239"/>
      <c r="DT146" s="239"/>
      <c r="DU146" s="239"/>
      <c r="DV146" s="239"/>
      <c r="DW146" s="239"/>
      <c r="DX146" s="239"/>
      <c r="DY146" s="239"/>
      <c r="DZ146" s="239"/>
      <c r="EA146" s="239"/>
      <c r="EB146" s="239"/>
      <c r="EC146" s="239"/>
      <c r="ED146" s="239"/>
      <c r="EE146" s="239"/>
      <c r="EF146" s="239"/>
      <c r="EG146" s="239"/>
      <c r="EH146" s="239"/>
      <c r="EI146" s="239"/>
      <c r="EJ146" s="239"/>
      <c r="EK146" s="239"/>
      <c r="EL146" s="239"/>
      <c r="EM146" s="239"/>
      <c r="EN146" s="239"/>
      <c r="EO146" s="239"/>
      <c r="EP146" s="239"/>
      <c r="EQ146" s="239"/>
      <c r="ER146" s="239"/>
      <c r="ES146" s="239"/>
      <c r="ET146" s="239"/>
      <c r="EU146" s="239"/>
      <c r="EV146" s="239"/>
      <c r="EW146" s="239"/>
      <c r="EX146" s="239"/>
      <c r="EY146" s="239"/>
      <c r="EZ146" s="239"/>
      <c r="FA146" s="239"/>
      <c r="FB146" s="239"/>
      <c r="FC146" s="239"/>
      <c r="FD146" s="239"/>
      <c r="FE146" s="239"/>
      <c r="FF146" s="239"/>
      <c r="FG146" s="239"/>
      <c r="FH146" s="239"/>
      <c r="FI146" s="239"/>
      <c r="FJ146" s="239"/>
      <c r="FK146" s="239"/>
      <c r="FL146" s="239"/>
      <c r="FM146" s="239"/>
      <c r="FN146" s="239"/>
      <c r="FO146" s="239"/>
      <c r="FP146" s="239"/>
      <c r="FQ146" s="239"/>
      <c r="FR146" s="239"/>
      <c r="FS146" s="239"/>
      <c r="FT146" s="239"/>
      <c r="FU146" s="239"/>
      <c r="FV146" s="239"/>
      <c r="FW146" s="239"/>
      <c r="FX146" s="239"/>
      <c r="FY146" s="239"/>
      <c r="FZ146" s="239"/>
      <c r="GA146" s="239"/>
      <c r="GB146" s="239"/>
      <c r="GC146" s="239"/>
      <c r="GD146" s="239"/>
      <c r="GE146" s="239"/>
      <c r="GF146" s="239"/>
      <c r="GG146" s="239"/>
      <c r="GH146" s="239"/>
      <c r="GI146" s="239"/>
      <c r="GJ146" s="239"/>
      <c r="GK146" s="239"/>
      <c r="GL146" s="239"/>
      <c r="GM146" s="239"/>
      <c r="GN146" s="239"/>
      <c r="GO146" s="239"/>
      <c r="GP146" s="239"/>
      <c r="GQ146" s="239"/>
      <c r="GR146" s="239"/>
      <c r="GS146" s="239"/>
      <c r="GT146" s="239"/>
      <c r="GU146" s="239"/>
      <c r="GV146" s="239"/>
      <c r="GW146" s="239"/>
      <c r="GX146" s="239"/>
      <c r="GY146" s="239"/>
      <c r="GZ146" s="239"/>
      <c r="HA146" s="239"/>
      <c r="HB146" s="239"/>
      <c r="HC146" s="239"/>
      <c r="HD146" s="239"/>
      <c r="HE146" s="239"/>
      <c r="HF146" s="239"/>
      <c r="HG146" s="239"/>
      <c r="HH146" s="239"/>
      <c r="HI146" s="239"/>
      <c r="HJ146" s="239"/>
      <c r="HK146" s="239"/>
      <c r="HL146" s="239"/>
      <c r="HM146" s="239"/>
      <c r="HN146" s="239"/>
      <c r="HO146" s="239"/>
      <c r="HP146" s="239"/>
      <c r="HQ146" s="239"/>
      <c r="HR146" s="239"/>
      <c r="HS146" s="239"/>
      <c r="HT146" s="239"/>
      <c r="HU146" s="239"/>
      <c r="HV146" s="239"/>
      <c r="HW146" s="239"/>
      <c r="HX146" s="239"/>
      <c r="HY146" s="239"/>
      <c r="HZ146" s="239"/>
      <c r="IA146" s="239"/>
      <c r="IB146" s="239"/>
      <c r="IC146" s="239"/>
      <c r="ID146" s="239"/>
      <c r="IE146" s="239"/>
      <c r="IF146" s="239"/>
      <c r="IG146" s="239"/>
      <c r="IH146" s="239"/>
      <c r="II146" s="239"/>
      <c r="IJ146" s="239"/>
      <c r="IK146" s="239"/>
      <c r="IL146" s="239"/>
      <c r="IM146" s="239"/>
      <c r="IN146" s="239"/>
      <c r="IO146" s="239"/>
      <c r="IP146" s="239"/>
      <c r="IQ146" s="239"/>
      <c r="IR146" s="239"/>
      <c r="IS146" s="239"/>
      <c r="IT146" s="239"/>
      <c r="IU146" s="239"/>
      <c r="IV146" s="239"/>
      <c r="IW146" s="239"/>
      <c r="IX146" s="239"/>
      <c r="IY146" s="239"/>
      <c r="IZ146" s="239"/>
      <c r="JA146" s="239"/>
      <c r="JB146" s="239"/>
      <c r="JC146" s="239"/>
      <c r="JD146" s="239"/>
      <c r="JE146" s="239"/>
      <c r="JF146" s="239"/>
      <c r="JG146" s="239"/>
      <c r="JH146" s="239"/>
      <c r="JI146" s="239"/>
      <c r="JJ146" s="239"/>
      <c r="JK146" s="239"/>
      <c r="JL146" s="239"/>
      <c r="JM146" s="239"/>
      <c r="JN146" s="239"/>
      <c r="JO146" s="239"/>
      <c r="JP146" s="239"/>
      <c r="JQ146" s="239"/>
      <c r="JR146" s="239"/>
      <c r="JS146" s="239"/>
      <c r="JT146" s="239"/>
      <c r="JU146" s="239"/>
      <c r="JV146" s="239"/>
      <c r="JW146" s="239"/>
      <c r="JX146" s="239"/>
      <c r="JY146" s="239"/>
      <c r="JZ146" s="239"/>
      <c r="KA146" s="239"/>
      <c r="KB146" s="239"/>
      <c r="KC146" s="239"/>
      <c r="KD146" s="239"/>
      <c r="KE146" s="239"/>
      <c r="KF146" s="239"/>
      <c r="KG146" s="239"/>
      <c r="KH146" s="239"/>
      <c r="KI146" s="239"/>
      <c r="KJ146" s="239"/>
      <c r="KK146" s="239"/>
      <c r="KL146" s="239"/>
      <c r="KM146" s="239"/>
      <c r="KN146" s="239"/>
      <c r="KO146" s="239"/>
      <c r="KP146" s="239"/>
      <c r="KQ146" s="239"/>
      <c r="KR146" s="239"/>
      <c r="KS146" s="239"/>
      <c r="KT146" s="239"/>
      <c r="KU146" s="239"/>
      <c r="KV146" s="239"/>
      <c r="KW146" s="239"/>
      <c r="KX146" s="239"/>
      <c r="KY146" s="239"/>
      <c r="KZ146" s="239"/>
      <c r="LA146" s="239"/>
      <c r="LB146" s="239"/>
      <c r="LC146" s="239"/>
      <c r="LD146" s="239"/>
      <c r="LE146" s="239"/>
      <c r="LF146" s="239"/>
      <c r="LG146" s="239"/>
      <c r="LH146" s="239"/>
      <c r="LI146" s="239"/>
      <c r="LJ146" s="239"/>
      <c r="LK146" s="239"/>
      <c r="LL146" s="239"/>
      <c r="LM146" s="239"/>
      <c r="LN146" s="239"/>
      <c r="LO146" s="239"/>
      <c r="LP146" s="239"/>
      <c r="LQ146" s="239"/>
      <c r="LR146" s="239"/>
      <c r="LS146" s="239"/>
      <c r="LT146" s="239"/>
      <c r="LU146" s="239"/>
      <c r="LV146" s="239"/>
      <c r="LW146" s="239"/>
      <c r="LX146" s="239"/>
      <c r="LY146" s="239"/>
      <c r="LZ146" s="239"/>
      <c r="MA146" s="239"/>
      <c r="MB146" s="239"/>
      <c r="MC146" s="239"/>
      <c r="MD146" s="239"/>
      <c r="ME146" s="239"/>
      <c r="MF146" s="239"/>
      <c r="MG146" s="239"/>
      <c r="MH146" s="239"/>
      <c r="MI146" s="239"/>
      <c r="MJ146" s="239"/>
      <c r="MK146" s="239"/>
      <c r="ML146" s="239"/>
      <c r="MM146" s="239"/>
      <c r="MN146" s="239"/>
      <c r="MO146" s="239"/>
      <c r="MP146" s="239"/>
      <c r="MQ146" s="239"/>
      <c r="MR146" s="239"/>
      <c r="MS146" s="239"/>
      <c r="MT146" s="239"/>
      <c r="MU146" s="239"/>
      <c r="MV146" s="239"/>
      <c r="MW146" s="239"/>
      <c r="MX146" s="239"/>
      <c r="MY146" s="239"/>
      <c r="MZ146" s="239"/>
      <c r="NA146" s="239"/>
      <c r="NB146" s="239"/>
      <c r="NC146" s="239"/>
      <c r="ND146" s="239"/>
      <c r="NE146" s="239"/>
      <c r="NF146" s="239"/>
      <c r="NG146" s="239"/>
      <c r="NH146" s="239"/>
      <c r="NI146" s="239"/>
      <c r="NJ146" s="239"/>
      <c r="NK146" s="239"/>
      <c r="NL146" s="239"/>
      <c r="NM146" s="239"/>
      <c r="NN146" s="239"/>
      <c r="NO146" s="239"/>
      <c r="NP146" s="239"/>
      <c r="NQ146" s="239"/>
      <c r="NR146" s="239"/>
      <c r="NS146" s="239"/>
      <c r="NT146" s="239"/>
      <c r="NU146" s="239"/>
      <c r="NV146" s="239"/>
      <c r="NW146" s="239"/>
      <c r="NX146" s="239"/>
      <c r="NY146" s="239"/>
      <c r="NZ146" s="239"/>
      <c r="OA146" s="239"/>
      <c r="OB146" s="239"/>
      <c r="OC146" s="239"/>
      <c r="OD146" s="239"/>
      <c r="OE146" s="239"/>
      <c r="OF146" s="239"/>
      <c r="OG146" s="239"/>
      <c r="OH146" s="239"/>
      <c r="OI146" s="239"/>
      <c r="OJ146" s="239"/>
      <c r="OK146" s="239"/>
      <c r="OL146" s="239"/>
      <c r="OM146" s="239"/>
      <c r="ON146" s="239"/>
      <c r="OO146" s="239"/>
      <c r="OP146" s="239"/>
      <c r="OQ146" s="239"/>
      <c r="OR146" s="239"/>
      <c r="OS146" s="239"/>
      <c r="OT146" s="239"/>
      <c r="OU146" s="239"/>
      <c r="OV146" s="239"/>
      <c r="OW146" s="239"/>
      <c r="OX146" s="239"/>
      <c r="OY146" s="239"/>
      <c r="OZ146" s="239"/>
      <c r="PA146" s="239"/>
      <c r="PB146" s="239"/>
      <c r="PC146" s="239"/>
      <c r="PD146" s="239"/>
      <c r="PE146" s="239"/>
      <c r="PF146" s="239"/>
      <c r="PG146" s="239"/>
      <c r="PH146" s="239"/>
      <c r="PI146" s="239"/>
      <c r="PJ146" s="239"/>
      <c r="PK146" s="239"/>
      <c r="PL146" s="239"/>
      <c r="PM146" s="239"/>
      <c r="PN146" s="239"/>
      <c r="PO146" s="239"/>
      <c r="PP146" s="239"/>
      <c r="PQ146" s="239"/>
      <c r="PR146" s="239"/>
      <c r="PS146" s="239"/>
      <c r="PT146" s="239"/>
      <c r="PU146" s="239"/>
      <c r="PV146" s="239"/>
      <c r="PW146" s="239"/>
      <c r="PX146" s="239"/>
      <c r="PY146" s="239"/>
      <c r="PZ146" s="239"/>
      <c r="QA146" s="239"/>
      <c r="QB146" s="239"/>
      <c r="QC146" s="239"/>
      <c r="QD146" s="239"/>
      <c r="QE146" s="239"/>
      <c r="QF146" s="239"/>
      <c r="QG146" s="239"/>
      <c r="QH146" s="239"/>
      <c r="QI146" s="239"/>
      <c r="QJ146" s="239"/>
      <c r="QK146" s="239"/>
      <c r="QL146" s="239"/>
      <c r="QM146" s="239"/>
      <c r="QN146" s="239"/>
      <c r="QO146" s="239"/>
      <c r="QP146" s="239"/>
      <c r="QQ146" s="239"/>
      <c r="QR146" s="239"/>
      <c r="QS146" s="239"/>
      <c r="QT146" s="239"/>
      <c r="QU146" s="239"/>
      <c r="QV146" s="239"/>
      <c r="QW146" s="239"/>
      <c r="QX146" s="239"/>
      <c r="QY146" s="239"/>
      <c r="QZ146" s="239"/>
      <c r="RA146" s="239"/>
      <c r="RB146" s="239"/>
      <c r="RC146" s="239"/>
      <c r="RD146" s="239"/>
      <c r="RE146" s="239"/>
      <c r="RF146" s="239"/>
      <c r="RG146" s="239"/>
      <c r="RH146" s="239"/>
      <c r="RI146" s="239"/>
      <c r="RJ146" s="239"/>
      <c r="RK146" s="239"/>
      <c r="RL146" s="239"/>
      <c r="RM146" s="239"/>
      <c r="RN146" s="239"/>
      <c r="RO146" s="239"/>
      <c r="RP146" s="239"/>
      <c r="RQ146" s="239"/>
      <c r="RR146" s="239"/>
      <c r="RS146" s="239"/>
      <c r="RT146" s="239"/>
      <c r="RU146" s="239"/>
      <c r="RV146" s="239"/>
      <c r="RW146" s="239"/>
      <c r="RX146" s="239"/>
      <c r="RY146" s="239"/>
      <c r="RZ146" s="239"/>
      <c r="SA146" s="239"/>
      <c r="SB146" s="239"/>
      <c r="SC146" s="239"/>
      <c r="SD146" s="239"/>
      <c r="SE146" s="239"/>
      <c r="SF146" s="239"/>
      <c r="SG146" s="239"/>
      <c r="SH146" s="239"/>
      <c r="SI146" s="239"/>
      <c r="SJ146" s="239"/>
      <c r="SK146" s="239"/>
      <c r="SL146" s="239"/>
      <c r="SM146" s="239"/>
      <c r="SN146" s="239"/>
      <c r="SO146" s="239"/>
      <c r="SP146" s="239"/>
      <c r="SQ146" s="239"/>
      <c r="SR146" s="239"/>
      <c r="SS146" s="239"/>
      <c r="ST146" s="239"/>
      <c r="SU146" s="239"/>
      <c r="SV146" s="239"/>
      <c r="SW146" s="239"/>
      <c r="SX146" s="239"/>
      <c r="SY146" s="239"/>
      <c r="SZ146" s="239"/>
      <c r="TA146" s="239"/>
      <c r="TB146" s="239"/>
      <c r="TC146" s="239"/>
      <c r="TD146" s="239"/>
      <c r="TE146" s="239"/>
      <c r="TF146" s="239"/>
      <c r="TG146" s="239"/>
      <c r="TH146" s="239"/>
      <c r="TI146" s="239"/>
      <c r="TJ146" s="239"/>
      <c r="TK146" s="239"/>
      <c r="TL146" s="239"/>
      <c r="TM146" s="239"/>
      <c r="TN146" s="239"/>
      <c r="TO146" s="239"/>
      <c r="TP146" s="239"/>
      <c r="TQ146" s="239"/>
      <c r="TR146" s="239"/>
      <c r="TS146" s="239"/>
      <c r="TT146" s="239"/>
      <c r="TU146" s="239"/>
      <c r="TV146" s="239"/>
      <c r="TW146" s="239"/>
      <c r="TX146" s="239"/>
      <c r="TY146" s="239"/>
      <c r="TZ146" s="239"/>
      <c r="UA146" s="239"/>
      <c r="UB146" s="239"/>
      <c r="UC146" s="239"/>
      <c r="UD146" s="239"/>
      <c r="UE146" s="239"/>
      <c r="UF146" s="239"/>
      <c r="UG146" s="240"/>
    </row>
    <row r="147" spans="1:553" s="267" customFormat="1" ht="34.5" customHeight="1">
      <c r="A147" s="356" t="s">
        <v>43</v>
      </c>
      <c r="B147" s="356"/>
      <c r="C147" s="1431" t="s">
        <v>44</v>
      </c>
      <c r="D147" s="1569"/>
      <c r="E147" s="1569"/>
      <c r="F147" s="1570"/>
      <c r="G147" s="366"/>
      <c r="H147" s="370"/>
      <c r="I147" s="370"/>
      <c r="J147" s="368"/>
      <c r="K147" s="371"/>
      <c r="L147" s="356">
        <f>SUM(L148:L163)</f>
        <v>29310223</v>
      </c>
      <c r="M147" s="356"/>
      <c r="N147" s="356"/>
      <c r="O147" s="356"/>
      <c r="P147" s="356">
        <f>L147</f>
        <v>29310223</v>
      </c>
      <c r="Q147" s="610"/>
      <c r="R147" s="1447" t="s">
        <v>45</v>
      </c>
      <c r="S147" s="308"/>
      <c r="T147" s="303"/>
      <c r="U147" s="306"/>
      <c r="V147" s="307"/>
      <c r="W147" s="306"/>
      <c r="X147" s="306"/>
      <c r="Y147" s="306"/>
      <c r="Z147" s="306"/>
      <c r="AA147" s="306"/>
      <c r="AB147" s="306"/>
      <c r="AC147" s="449"/>
      <c r="AD147" s="449"/>
      <c r="AE147" s="449"/>
      <c r="AF147" s="449"/>
      <c r="AG147" s="449"/>
      <c r="AH147" s="449"/>
      <c r="AI147" s="449"/>
      <c r="AJ147" s="449"/>
      <c r="AK147" s="452"/>
      <c r="AL147" s="346"/>
      <c r="AM147" s="264"/>
      <c r="AN147" s="264"/>
      <c r="AO147" s="264"/>
      <c r="AP147" s="264"/>
      <c r="AQ147" s="264"/>
      <c r="AR147" s="264"/>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265"/>
      <c r="CR147" s="265"/>
      <c r="CS147" s="265"/>
      <c r="CT147" s="265"/>
      <c r="CU147" s="265"/>
      <c r="CV147" s="265"/>
      <c r="CW147" s="265"/>
      <c r="CX147" s="265"/>
      <c r="CY147" s="265"/>
      <c r="CZ147" s="265"/>
      <c r="DA147" s="265"/>
      <c r="DB147" s="265"/>
      <c r="DC147" s="265"/>
      <c r="DD147" s="265"/>
      <c r="DE147" s="265"/>
      <c r="DF147" s="265"/>
      <c r="DG147" s="265"/>
      <c r="DH147" s="265"/>
      <c r="DI147" s="265"/>
      <c r="DJ147" s="265"/>
      <c r="DK147" s="265"/>
      <c r="DL147" s="265"/>
      <c r="DM147" s="265"/>
      <c r="DN147" s="265"/>
      <c r="DO147" s="265"/>
      <c r="DP147" s="265"/>
      <c r="DQ147" s="265"/>
      <c r="DR147" s="265"/>
      <c r="DS147" s="265"/>
      <c r="DT147" s="265"/>
      <c r="DU147" s="265"/>
      <c r="DV147" s="265"/>
      <c r="DW147" s="265"/>
      <c r="DX147" s="265"/>
      <c r="DY147" s="265"/>
      <c r="DZ147" s="265"/>
      <c r="EA147" s="265"/>
      <c r="EB147" s="265"/>
      <c r="EC147" s="265"/>
      <c r="ED147" s="265"/>
      <c r="EE147" s="265"/>
      <c r="EF147" s="265"/>
      <c r="EG147" s="265"/>
      <c r="EH147" s="265"/>
      <c r="EI147" s="265"/>
      <c r="EJ147" s="265"/>
      <c r="EK147" s="265"/>
      <c r="EL147" s="265"/>
      <c r="EM147" s="265"/>
      <c r="EN147" s="265"/>
      <c r="EO147" s="265"/>
      <c r="EP147" s="265"/>
      <c r="EQ147" s="265"/>
      <c r="ER147" s="265"/>
      <c r="ES147" s="265"/>
      <c r="ET147" s="265"/>
      <c r="EU147" s="265"/>
      <c r="EV147" s="265"/>
      <c r="EW147" s="265"/>
      <c r="EX147" s="265"/>
      <c r="EY147" s="265"/>
      <c r="EZ147" s="265"/>
      <c r="FA147" s="265"/>
      <c r="FB147" s="265"/>
      <c r="FC147" s="265"/>
      <c r="FD147" s="265"/>
      <c r="FE147" s="265"/>
      <c r="FF147" s="265"/>
      <c r="FG147" s="265"/>
      <c r="FH147" s="265"/>
      <c r="FI147" s="265"/>
      <c r="FJ147" s="265"/>
      <c r="FK147" s="265"/>
      <c r="FL147" s="265"/>
      <c r="FM147" s="265"/>
      <c r="FN147" s="265"/>
      <c r="FO147" s="265"/>
      <c r="FP147" s="265"/>
      <c r="FQ147" s="265"/>
      <c r="FR147" s="265"/>
      <c r="FS147" s="265"/>
      <c r="FT147" s="265"/>
      <c r="FU147" s="265"/>
      <c r="FV147" s="265"/>
      <c r="FW147" s="265"/>
      <c r="FX147" s="265"/>
      <c r="FY147" s="265"/>
      <c r="FZ147" s="265"/>
      <c r="GA147" s="265"/>
      <c r="GB147" s="265"/>
      <c r="GC147" s="265"/>
      <c r="GD147" s="265"/>
      <c r="GE147" s="265"/>
      <c r="GF147" s="265"/>
      <c r="GG147" s="265"/>
      <c r="GH147" s="265"/>
      <c r="GI147" s="265"/>
      <c r="GJ147" s="265"/>
      <c r="GK147" s="265"/>
      <c r="GL147" s="265"/>
      <c r="GM147" s="265"/>
      <c r="GN147" s="265"/>
      <c r="GO147" s="265"/>
      <c r="GP147" s="265"/>
      <c r="GQ147" s="265"/>
      <c r="GR147" s="265"/>
      <c r="GS147" s="265"/>
      <c r="GT147" s="265"/>
      <c r="GU147" s="265"/>
      <c r="GV147" s="265"/>
      <c r="GW147" s="265"/>
      <c r="GX147" s="265"/>
      <c r="GY147" s="265"/>
      <c r="GZ147" s="265"/>
      <c r="HA147" s="265"/>
      <c r="HB147" s="265"/>
      <c r="HC147" s="265"/>
      <c r="HD147" s="265"/>
      <c r="HE147" s="265"/>
      <c r="HF147" s="265"/>
      <c r="HG147" s="265"/>
      <c r="HH147" s="265"/>
      <c r="HI147" s="265"/>
      <c r="HJ147" s="265"/>
      <c r="HK147" s="265"/>
      <c r="HL147" s="265"/>
      <c r="HM147" s="265"/>
      <c r="HN147" s="265"/>
      <c r="HO147" s="265"/>
      <c r="HP147" s="265"/>
      <c r="HQ147" s="265"/>
      <c r="HR147" s="265"/>
      <c r="HS147" s="265"/>
      <c r="HT147" s="265"/>
      <c r="HU147" s="265"/>
      <c r="HV147" s="265"/>
      <c r="HW147" s="265"/>
      <c r="HX147" s="265"/>
      <c r="HY147" s="265"/>
      <c r="HZ147" s="265"/>
      <c r="IA147" s="265"/>
      <c r="IB147" s="265"/>
      <c r="IC147" s="265"/>
      <c r="ID147" s="265"/>
      <c r="IE147" s="265"/>
      <c r="IF147" s="265"/>
      <c r="IG147" s="265"/>
      <c r="IH147" s="265"/>
      <c r="II147" s="265"/>
      <c r="IJ147" s="265"/>
      <c r="IK147" s="265"/>
      <c r="IL147" s="265"/>
      <c r="IM147" s="265"/>
      <c r="IN147" s="265"/>
      <c r="IO147" s="265"/>
      <c r="IP147" s="265"/>
      <c r="IQ147" s="265"/>
      <c r="IR147" s="265"/>
      <c r="IS147" s="265"/>
      <c r="IT147" s="265"/>
      <c r="IU147" s="265"/>
      <c r="IV147" s="265"/>
      <c r="IW147" s="265"/>
      <c r="IX147" s="265"/>
      <c r="IY147" s="265"/>
      <c r="IZ147" s="265"/>
      <c r="JA147" s="265"/>
      <c r="JB147" s="265"/>
      <c r="JC147" s="265"/>
      <c r="JD147" s="265"/>
      <c r="JE147" s="265"/>
      <c r="JF147" s="265"/>
      <c r="JG147" s="265"/>
      <c r="JH147" s="265"/>
      <c r="JI147" s="265"/>
      <c r="JJ147" s="265"/>
      <c r="JK147" s="265"/>
      <c r="JL147" s="265"/>
      <c r="JM147" s="265"/>
      <c r="JN147" s="265"/>
      <c r="JO147" s="265"/>
      <c r="JP147" s="265"/>
      <c r="JQ147" s="265"/>
      <c r="JR147" s="265"/>
      <c r="JS147" s="265"/>
      <c r="JT147" s="265"/>
      <c r="JU147" s="265"/>
      <c r="JV147" s="265"/>
      <c r="JW147" s="265"/>
      <c r="JX147" s="265"/>
      <c r="JY147" s="265"/>
      <c r="JZ147" s="265"/>
      <c r="KA147" s="265"/>
      <c r="KB147" s="265"/>
      <c r="KC147" s="265"/>
      <c r="KD147" s="265"/>
      <c r="KE147" s="265"/>
      <c r="KF147" s="265"/>
      <c r="KG147" s="265"/>
      <c r="KH147" s="265"/>
      <c r="KI147" s="265"/>
      <c r="KJ147" s="265"/>
      <c r="KK147" s="265"/>
      <c r="KL147" s="265"/>
      <c r="KM147" s="265"/>
      <c r="KN147" s="265"/>
      <c r="KO147" s="265"/>
      <c r="KP147" s="265"/>
      <c r="KQ147" s="265"/>
      <c r="KR147" s="265"/>
      <c r="KS147" s="265"/>
      <c r="KT147" s="265"/>
      <c r="KU147" s="265"/>
      <c r="KV147" s="265"/>
      <c r="KW147" s="265"/>
      <c r="KX147" s="265"/>
      <c r="KY147" s="265"/>
      <c r="KZ147" s="265"/>
      <c r="LA147" s="265"/>
      <c r="LB147" s="265"/>
      <c r="LC147" s="265"/>
      <c r="LD147" s="265"/>
      <c r="LE147" s="265"/>
      <c r="LF147" s="265"/>
      <c r="LG147" s="265"/>
      <c r="LH147" s="265"/>
      <c r="LI147" s="265"/>
      <c r="LJ147" s="265"/>
      <c r="LK147" s="265"/>
      <c r="LL147" s="265"/>
      <c r="LM147" s="265"/>
      <c r="LN147" s="265"/>
      <c r="LO147" s="265"/>
      <c r="LP147" s="265"/>
      <c r="LQ147" s="265"/>
      <c r="LR147" s="265"/>
      <c r="LS147" s="265"/>
      <c r="LT147" s="265"/>
      <c r="LU147" s="265"/>
      <c r="LV147" s="265"/>
      <c r="LW147" s="265"/>
      <c r="LX147" s="265"/>
      <c r="LY147" s="265"/>
      <c r="LZ147" s="265"/>
      <c r="MA147" s="265"/>
      <c r="MB147" s="265"/>
      <c r="MC147" s="265"/>
      <c r="MD147" s="265"/>
      <c r="ME147" s="265"/>
      <c r="MF147" s="265"/>
      <c r="MG147" s="265"/>
      <c r="MH147" s="265"/>
      <c r="MI147" s="265"/>
      <c r="MJ147" s="265"/>
      <c r="MK147" s="265"/>
      <c r="ML147" s="265"/>
      <c r="MM147" s="265"/>
      <c r="MN147" s="265"/>
      <c r="MO147" s="265"/>
      <c r="MP147" s="265"/>
      <c r="MQ147" s="265"/>
      <c r="MR147" s="265"/>
      <c r="MS147" s="265"/>
      <c r="MT147" s="265"/>
      <c r="MU147" s="265"/>
      <c r="MV147" s="265"/>
      <c r="MW147" s="265"/>
      <c r="MX147" s="265"/>
      <c r="MY147" s="265"/>
      <c r="MZ147" s="265"/>
      <c r="NA147" s="265"/>
      <c r="NB147" s="265"/>
      <c r="NC147" s="265"/>
      <c r="ND147" s="265"/>
      <c r="NE147" s="265"/>
      <c r="NF147" s="265"/>
      <c r="NG147" s="265"/>
      <c r="NH147" s="265"/>
      <c r="NI147" s="265"/>
      <c r="NJ147" s="265"/>
      <c r="NK147" s="265"/>
      <c r="NL147" s="265"/>
      <c r="NM147" s="265"/>
      <c r="NN147" s="265"/>
      <c r="NO147" s="265"/>
      <c r="NP147" s="265"/>
      <c r="NQ147" s="265"/>
      <c r="NR147" s="265"/>
      <c r="NS147" s="265"/>
      <c r="NT147" s="265"/>
      <c r="NU147" s="265"/>
      <c r="NV147" s="265"/>
      <c r="NW147" s="265"/>
      <c r="NX147" s="265"/>
      <c r="NY147" s="265"/>
      <c r="NZ147" s="265"/>
      <c r="OA147" s="265"/>
      <c r="OB147" s="265"/>
      <c r="OC147" s="265"/>
      <c r="OD147" s="265"/>
      <c r="OE147" s="265"/>
      <c r="OF147" s="265"/>
      <c r="OG147" s="265"/>
      <c r="OH147" s="265"/>
      <c r="OI147" s="265"/>
      <c r="OJ147" s="265"/>
      <c r="OK147" s="265"/>
      <c r="OL147" s="265"/>
      <c r="OM147" s="265"/>
      <c r="ON147" s="265"/>
      <c r="OO147" s="265"/>
      <c r="OP147" s="265"/>
      <c r="OQ147" s="265"/>
      <c r="OR147" s="265"/>
      <c r="OS147" s="265"/>
      <c r="OT147" s="265"/>
      <c r="OU147" s="265"/>
      <c r="OV147" s="265"/>
      <c r="OW147" s="265"/>
      <c r="OX147" s="265"/>
      <c r="OY147" s="265"/>
      <c r="OZ147" s="265"/>
      <c r="PA147" s="265"/>
      <c r="PB147" s="265"/>
      <c r="PC147" s="265"/>
      <c r="PD147" s="265"/>
      <c r="PE147" s="265"/>
      <c r="PF147" s="265"/>
      <c r="PG147" s="265"/>
      <c r="PH147" s="265"/>
      <c r="PI147" s="265"/>
      <c r="PJ147" s="265"/>
      <c r="PK147" s="265"/>
      <c r="PL147" s="265"/>
      <c r="PM147" s="265"/>
      <c r="PN147" s="265"/>
      <c r="PO147" s="265"/>
      <c r="PP147" s="265"/>
      <c r="PQ147" s="265"/>
      <c r="PR147" s="265"/>
      <c r="PS147" s="265"/>
      <c r="PT147" s="265"/>
      <c r="PU147" s="265"/>
      <c r="PV147" s="265"/>
      <c r="PW147" s="265"/>
      <c r="PX147" s="265"/>
      <c r="PY147" s="265"/>
      <c r="PZ147" s="265"/>
      <c r="QA147" s="265"/>
      <c r="QB147" s="265"/>
      <c r="QC147" s="265"/>
      <c r="QD147" s="265"/>
      <c r="QE147" s="265"/>
      <c r="QF147" s="265"/>
      <c r="QG147" s="265"/>
      <c r="QH147" s="265"/>
      <c r="QI147" s="265"/>
      <c r="QJ147" s="265"/>
      <c r="QK147" s="265"/>
      <c r="QL147" s="265"/>
      <c r="QM147" s="265"/>
      <c r="QN147" s="265"/>
      <c r="QO147" s="265"/>
      <c r="QP147" s="265"/>
      <c r="QQ147" s="265"/>
      <c r="QR147" s="265"/>
      <c r="QS147" s="265"/>
      <c r="QT147" s="265"/>
      <c r="QU147" s="265"/>
      <c r="QV147" s="265"/>
      <c r="QW147" s="265"/>
      <c r="QX147" s="265"/>
      <c r="QY147" s="265"/>
      <c r="QZ147" s="265"/>
      <c r="RA147" s="265"/>
      <c r="RB147" s="265"/>
      <c r="RC147" s="265"/>
      <c r="RD147" s="265"/>
      <c r="RE147" s="265"/>
      <c r="RF147" s="265"/>
      <c r="RG147" s="265"/>
      <c r="RH147" s="265"/>
      <c r="RI147" s="265"/>
      <c r="RJ147" s="265"/>
      <c r="RK147" s="265"/>
      <c r="RL147" s="265"/>
      <c r="RM147" s="265"/>
      <c r="RN147" s="265"/>
      <c r="RO147" s="265"/>
      <c r="RP147" s="265"/>
      <c r="RQ147" s="265"/>
      <c r="RR147" s="265"/>
      <c r="RS147" s="265"/>
      <c r="RT147" s="265"/>
      <c r="RU147" s="265"/>
      <c r="RV147" s="265"/>
      <c r="RW147" s="265"/>
      <c r="RX147" s="265"/>
      <c r="RY147" s="265"/>
      <c r="RZ147" s="265"/>
      <c r="SA147" s="265"/>
      <c r="SB147" s="265"/>
      <c r="SC147" s="265"/>
      <c r="SD147" s="265"/>
      <c r="SE147" s="265"/>
      <c r="SF147" s="265"/>
      <c r="SG147" s="265"/>
      <c r="SH147" s="265"/>
      <c r="SI147" s="265"/>
      <c r="SJ147" s="265"/>
      <c r="SK147" s="265"/>
      <c r="SL147" s="265"/>
      <c r="SM147" s="265"/>
      <c r="SN147" s="265"/>
      <c r="SO147" s="265"/>
      <c r="SP147" s="265"/>
      <c r="SQ147" s="265"/>
      <c r="SR147" s="265"/>
      <c r="SS147" s="265"/>
      <c r="ST147" s="265"/>
      <c r="SU147" s="265"/>
      <c r="SV147" s="265"/>
      <c r="SW147" s="265"/>
      <c r="SX147" s="265"/>
      <c r="SY147" s="265"/>
      <c r="SZ147" s="265"/>
      <c r="TA147" s="265"/>
      <c r="TB147" s="265"/>
      <c r="TC147" s="265"/>
      <c r="TD147" s="265"/>
      <c r="TE147" s="265"/>
      <c r="TF147" s="265"/>
      <c r="TG147" s="265"/>
      <c r="TH147" s="265"/>
      <c r="TI147" s="265"/>
      <c r="TJ147" s="265"/>
      <c r="TK147" s="265"/>
      <c r="TL147" s="265"/>
      <c r="TM147" s="265"/>
      <c r="TN147" s="265"/>
      <c r="TO147" s="265"/>
      <c r="TP147" s="265"/>
      <c r="TQ147" s="265"/>
      <c r="TR147" s="265"/>
      <c r="TS147" s="265"/>
      <c r="TT147" s="265"/>
      <c r="TU147" s="265"/>
      <c r="TV147" s="265"/>
      <c r="TW147" s="265"/>
      <c r="TX147" s="265"/>
      <c r="TY147" s="265"/>
      <c r="TZ147" s="265"/>
      <c r="UA147" s="265"/>
      <c r="UB147" s="265"/>
      <c r="UC147" s="265"/>
      <c r="UD147" s="265"/>
      <c r="UE147" s="265"/>
      <c r="UF147" s="265"/>
      <c r="UG147" s="266"/>
    </row>
    <row r="148" spans="1:553" s="236" customFormat="1" ht="34.5" customHeight="1">
      <c r="A148" s="366" t="s">
        <v>15</v>
      </c>
      <c r="B148" s="366"/>
      <c r="C148" s="1443" t="s">
        <v>190</v>
      </c>
      <c r="D148" s="1389"/>
      <c r="E148" s="1389"/>
      <c r="F148" s="1390"/>
      <c r="G148" s="366"/>
      <c r="H148" s="370"/>
      <c r="I148" s="422"/>
      <c r="J148" s="368"/>
      <c r="K148" s="388"/>
      <c r="L148" s="366"/>
      <c r="M148" s="366"/>
      <c r="N148" s="366"/>
      <c r="O148" s="366"/>
      <c r="P148" s="366"/>
      <c r="Q148" s="1135"/>
      <c r="R148" s="1452"/>
      <c r="S148" s="308"/>
      <c r="T148" s="303"/>
      <c r="U148" s="306"/>
      <c r="V148" s="307"/>
      <c r="W148" s="306"/>
      <c r="X148" s="306"/>
      <c r="Y148" s="306"/>
      <c r="Z148" s="306"/>
      <c r="AA148" s="306"/>
      <c r="AB148" s="306"/>
      <c r="AC148" s="449"/>
      <c r="AD148" s="452"/>
      <c r="AE148" s="452"/>
      <c r="AF148" s="452"/>
      <c r="AG148" s="452"/>
      <c r="AH148" s="452"/>
      <c r="AI148" s="452"/>
      <c r="AJ148" s="452"/>
      <c r="AK148" s="452"/>
      <c r="AL148" s="244"/>
      <c r="AM148" s="238"/>
      <c r="AN148" s="238"/>
      <c r="AO148" s="238"/>
      <c r="AP148" s="238"/>
      <c r="AQ148" s="238"/>
      <c r="AR148" s="238"/>
      <c r="AS148" s="238"/>
      <c r="AT148" s="238"/>
      <c r="AU148" s="238"/>
      <c r="AV148" s="238"/>
      <c r="AW148" s="238"/>
      <c r="AX148" s="238"/>
      <c r="AY148" s="238"/>
      <c r="AZ148" s="238"/>
      <c r="BA148" s="238"/>
      <c r="BB148" s="238"/>
      <c r="BC148" s="238"/>
      <c r="BD148" s="238"/>
      <c r="BE148" s="238"/>
      <c r="BF148" s="238"/>
      <c r="BG148" s="238"/>
      <c r="BH148" s="238"/>
      <c r="BI148" s="238"/>
      <c r="BJ148" s="238"/>
      <c r="BK148" s="238"/>
      <c r="BL148" s="238"/>
      <c r="BM148" s="238"/>
      <c r="BN148" s="238"/>
      <c r="BO148" s="238"/>
      <c r="BP148" s="238"/>
      <c r="BQ148" s="238"/>
      <c r="BR148" s="238"/>
      <c r="BS148" s="238"/>
      <c r="BT148" s="238"/>
      <c r="BU148" s="238"/>
      <c r="BV148" s="238"/>
      <c r="BW148" s="238"/>
      <c r="BX148" s="238"/>
      <c r="BY148" s="238"/>
      <c r="BZ148" s="238"/>
      <c r="CA148" s="238"/>
      <c r="CB148" s="238"/>
      <c r="CC148" s="238"/>
      <c r="CD148" s="238"/>
      <c r="CE148" s="238"/>
      <c r="CF148" s="238"/>
      <c r="CG148" s="238"/>
      <c r="CH148" s="238"/>
      <c r="CI148" s="238"/>
      <c r="CJ148" s="238"/>
      <c r="CK148" s="238"/>
      <c r="CL148" s="238"/>
      <c r="CM148" s="238"/>
      <c r="CN148" s="238"/>
      <c r="CO148" s="238"/>
      <c r="CP148" s="238"/>
      <c r="CQ148" s="238"/>
      <c r="CR148" s="238"/>
      <c r="CS148" s="238"/>
      <c r="CT148" s="238"/>
      <c r="CU148" s="238"/>
      <c r="CV148" s="238"/>
      <c r="CW148" s="238"/>
      <c r="CX148" s="238"/>
      <c r="CY148" s="238"/>
      <c r="CZ148" s="238"/>
      <c r="DA148" s="238"/>
      <c r="DB148" s="238"/>
      <c r="DC148" s="238"/>
      <c r="DD148" s="238"/>
      <c r="DE148" s="238"/>
      <c r="DF148" s="238"/>
      <c r="DG148" s="238"/>
      <c r="DH148" s="238"/>
      <c r="DI148" s="238"/>
      <c r="DJ148" s="238"/>
      <c r="DK148" s="238"/>
      <c r="DL148" s="238"/>
      <c r="DM148" s="238"/>
      <c r="DN148" s="238"/>
      <c r="DO148" s="238"/>
      <c r="DP148" s="238"/>
      <c r="DQ148" s="238"/>
      <c r="DR148" s="238"/>
      <c r="DS148" s="238"/>
      <c r="DT148" s="238"/>
      <c r="DU148" s="238"/>
      <c r="DV148" s="238"/>
      <c r="DW148" s="238"/>
      <c r="DX148" s="238"/>
      <c r="DY148" s="238"/>
      <c r="DZ148" s="238"/>
      <c r="EA148" s="238"/>
      <c r="EB148" s="238"/>
      <c r="EC148" s="238"/>
      <c r="ED148" s="238"/>
      <c r="EE148" s="238"/>
      <c r="EF148" s="238"/>
      <c r="EG148" s="238"/>
      <c r="EH148" s="238"/>
      <c r="EI148" s="238"/>
      <c r="EJ148" s="238"/>
      <c r="EK148" s="238"/>
      <c r="EL148" s="238"/>
      <c r="EM148" s="238"/>
      <c r="EN148" s="238"/>
      <c r="EO148" s="238"/>
      <c r="EP148" s="238"/>
      <c r="EQ148" s="238"/>
      <c r="ER148" s="238"/>
      <c r="ES148" s="238"/>
      <c r="ET148" s="238"/>
      <c r="EU148" s="238"/>
      <c r="EV148" s="238"/>
      <c r="EW148" s="238"/>
      <c r="EX148" s="238"/>
      <c r="EY148" s="238"/>
      <c r="EZ148" s="238"/>
      <c r="FA148" s="238"/>
      <c r="FB148" s="238"/>
      <c r="FC148" s="238"/>
      <c r="FD148" s="238"/>
      <c r="FE148" s="238"/>
      <c r="FF148" s="238"/>
      <c r="FG148" s="238"/>
      <c r="FH148" s="238"/>
      <c r="FI148" s="238"/>
      <c r="FJ148" s="238"/>
      <c r="FK148" s="238"/>
      <c r="FL148" s="238"/>
      <c r="FM148" s="238"/>
      <c r="FN148" s="238"/>
      <c r="FO148" s="238"/>
      <c r="FP148" s="238"/>
      <c r="FQ148" s="238"/>
      <c r="FR148" s="238"/>
      <c r="FS148" s="238"/>
      <c r="FT148" s="238"/>
      <c r="FU148" s="238"/>
      <c r="FV148" s="238"/>
      <c r="FW148" s="238"/>
      <c r="FX148" s="238"/>
      <c r="FY148" s="238"/>
      <c r="FZ148" s="238"/>
      <c r="GA148" s="238"/>
      <c r="GB148" s="238"/>
      <c r="GC148" s="238"/>
      <c r="GD148" s="238"/>
      <c r="GE148" s="238"/>
      <c r="GF148" s="238"/>
      <c r="GG148" s="238"/>
      <c r="GH148" s="238"/>
      <c r="GI148" s="238"/>
      <c r="GJ148" s="238"/>
      <c r="GK148" s="238"/>
      <c r="GL148" s="238"/>
      <c r="GM148" s="238"/>
      <c r="GN148" s="238"/>
      <c r="GO148" s="238"/>
      <c r="GP148" s="238"/>
      <c r="GQ148" s="238"/>
      <c r="GR148" s="238"/>
      <c r="GS148" s="238"/>
      <c r="GT148" s="238"/>
      <c r="GU148" s="238"/>
      <c r="GV148" s="238"/>
      <c r="GW148" s="238"/>
      <c r="GX148" s="238"/>
      <c r="GY148" s="238"/>
      <c r="GZ148" s="238"/>
      <c r="HA148" s="238"/>
      <c r="HB148" s="238"/>
      <c r="HC148" s="238"/>
      <c r="HD148" s="238"/>
      <c r="HE148" s="238"/>
      <c r="HF148" s="238"/>
      <c r="HG148" s="238"/>
      <c r="HH148" s="238"/>
      <c r="HI148" s="238"/>
      <c r="HJ148" s="238"/>
      <c r="HK148" s="238"/>
      <c r="HL148" s="238"/>
      <c r="HM148" s="238"/>
      <c r="HN148" s="238"/>
      <c r="HO148" s="238"/>
      <c r="HP148" s="238"/>
      <c r="HQ148" s="238"/>
      <c r="HR148" s="238"/>
      <c r="HS148" s="238"/>
      <c r="HT148" s="238"/>
      <c r="HU148" s="238"/>
      <c r="HV148" s="238"/>
      <c r="HW148" s="238"/>
      <c r="HX148" s="238"/>
      <c r="HY148" s="238"/>
      <c r="HZ148" s="238"/>
      <c r="IA148" s="238"/>
      <c r="IB148" s="238"/>
      <c r="IC148" s="238"/>
      <c r="ID148" s="238"/>
      <c r="IE148" s="238"/>
      <c r="IF148" s="238"/>
      <c r="IG148" s="238"/>
      <c r="IH148" s="238"/>
      <c r="II148" s="238"/>
      <c r="IJ148" s="238"/>
      <c r="IK148" s="238"/>
      <c r="IL148" s="238"/>
      <c r="IM148" s="238"/>
      <c r="IN148" s="238"/>
      <c r="IO148" s="238"/>
      <c r="IP148" s="238"/>
      <c r="IQ148" s="238"/>
      <c r="IR148" s="238"/>
      <c r="IS148" s="238"/>
      <c r="IT148" s="238"/>
      <c r="IU148" s="238"/>
      <c r="IV148" s="238"/>
      <c r="IW148" s="238"/>
      <c r="IX148" s="238"/>
      <c r="IY148" s="238"/>
      <c r="IZ148" s="238"/>
      <c r="JA148" s="238"/>
      <c r="JB148" s="238"/>
      <c r="JC148" s="238"/>
      <c r="JD148" s="238"/>
      <c r="JE148" s="238"/>
      <c r="JF148" s="238"/>
      <c r="JG148" s="238"/>
      <c r="JH148" s="238"/>
      <c r="JI148" s="238"/>
      <c r="JJ148" s="238"/>
      <c r="JK148" s="238"/>
      <c r="JL148" s="238"/>
      <c r="JM148" s="238"/>
      <c r="JN148" s="238"/>
      <c r="JO148" s="238"/>
      <c r="JP148" s="238"/>
      <c r="JQ148" s="238"/>
      <c r="JR148" s="238"/>
      <c r="JS148" s="238"/>
      <c r="JT148" s="238"/>
      <c r="JU148" s="238"/>
      <c r="JV148" s="238"/>
      <c r="JW148" s="238"/>
      <c r="JX148" s="238"/>
      <c r="JY148" s="238"/>
      <c r="JZ148" s="238"/>
      <c r="KA148" s="238"/>
      <c r="KB148" s="238"/>
      <c r="KC148" s="238"/>
      <c r="KD148" s="238"/>
      <c r="KE148" s="238"/>
      <c r="KF148" s="238"/>
      <c r="KG148" s="238"/>
      <c r="KH148" s="238"/>
      <c r="KI148" s="238"/>
      <c r="KJ148" s="238"/>
      <c r="KK148" s="238"/>
      <c r="KL148" s="238"/>
      <c r="KM148" s="238"/>
      <c r="KN148" s="238"/>
      <c r="KO148" s="238"/>
      <c r="KP148" s="238"/>
      <c r="KQ148" s="238"/>
      <c r="KR148" s="238"/>
      <c r="KS148" s="238"/>
      <c r="KT148" s="238"/>
      <c r="KU148" s="238"/>
      <c r="KV148" s="238"/>
      <c r="KW148" s="238"/>
      <c r="KX148" s="238"/>
      <c r="KY148" s="238"/>
      <c r="KZ148" s="238"/>
      <c r="LA148" s="238"/>
      <c r="LB148" s="238"/>
      <c r="LC148" s="238"/>
      <c r="LD148" s="238"/>
      <c r="LE148" s="238"/>
      <c r="LF148" s="238"/>
      <c r="LG148" s="238"/>
      <c r="LH148" s="238"/>
      <c r="LI148" s="238"/>
      <c r="LJ148" s="238"/>
      <c r="LK148" s="238"/>
      <c r="LL148" s="238"/>
      <c r="LM148" s="238"/>
      <c r="LN148" s="238"/>
      <c r="LO148" s="238"/>
      <c r="LP148" s="238"/>
      <c r="LQ148" s="238"/>
      <c r="LR148" s="238"/>
      <c r="LS148" s="238"/>
      <c r="LT148" s="238"/>
      <c r="LU148" s="238"/>
      <c r="LV148" s="238"/>
      <c r="LW148" s="238"/>
      <c r="LX148" s="238"/>
      <c r="LY148" s="238"/>
      <c r="LZ148" s="238"/>
      <c r="MA148" s="238"/>
      <c r="MB148" s="238"/>
      <c r="MC148" s="238"/>
      <c r="MD148" s="238"/>
      <c r="ME148" s="238"/>
      <c r="MF148" s="238"/>
      <c r="MG148" s="238"/>
      <c r="MH148" s="238"/>
      <c r="MI148" s="238"/>
      <c r="MJ148" s="238"/>
      <c r="MK148" s="238"/>
      <c r="ML148" s="238"/>
      <c r="MM148" s="238"/>
      <c r="MN148" s="238"/>
      <c r="MO148" s="238"/>
      <c r="MP148" s="238"/>
      <c r="MQ148" s="238"/>
      <c r="MR148" s="238"/>
      <c r="MS148" s="238"/>
      <c r="MT148" s="238"/>
      <c r="MU148" s="238"/>
      <c r="MV148" s="238"/>
      <c r="MW148" s="238"/>
      <c r="MX148" s="238"/>
      <c r="MY148" s="238"/>
      <c r="MZ148" s="238"/>
      <c r="NA148" s="238"/>
      <c r="NB148" s="238"/>
      <c r="NC148" s="238"/>
      <c r="ND148" s="238"/>
      <c r="NE148" s="238"/>
      <c r="NF148" s="238"/>
      <c r="NG148" s="238"/>
      <c r="NH148" s="238"/>
      <c r="NI148" s="238"/>
      <c r="NJ148" s="238"/>
      <c r="NK148" s="238"/>
      <c r="NL148" s="238"/>
      <c r="NM148" s="238"/>
      <c r="NN148" s="238"/>
      <c r="NO148" s="238"/>
      <c r="NP148" s="238"/>
      <c r="NQ148" s="238"/>
      <c r="NR148" s="238"/>
      <c r="NS148" s="238"/>
      <c r="NT148" s="238"/>
      <c r="NU148" s="238"/>
      <c r="NV148" s="238"/>
      <c r="NW148" s="238"/>
      <c r="NX148" s="238"/>
      <c r="NY148" s="238"/>
      <c r="NZ148" s="238"/>
      <c r="OA148" s="238"/>
      <c r="OB148" s="238"/>
      <c r="OC148" s="238"/>
      <c r="OD148" s="238"/>
      <c r="OE148" s="238"/>
      <c r="OF148" s="238"/>
      <c r="OG148" s="238"/>
      <c r="OH148" s="238"/>
      <c r="OI148" s="238"/>
      <c r="OJ148" s="238"/>
      <c r="OK148" s="238"/>
      <c r="OL148" s="238"/>
      <c r="OM148" s="238"/>
      <c r="ON148" s="238"/>
      <c r="OO148" s="238"/>
      <c r="OP148" s="238"/>
      <c r="OQ148" s="238"/>
      <c r="OR148" s="238"/>
      <c r="OS148" s="238"/>
      <c r="OT148" s="238"/>
      <c r="OU148" s="238"/>
      <c r="OV148" s="238"/>
      <c r="OW148" s="238"/>
      <c r="OX148" s="238"/>
      <c r="OY148" s="238"/>
      <c r="OZ148" s="238"/>
      <c r="PA148" s="238"/>
      <c r="PB148" s="238"/>
      <c r="PC148" s="238"/>
      <c r="PD148" s="238"/>
      <c r="PE148" s="238"/>
      <c r="PF148" s="238"/>
      <c r="PG148" s="238"/>
      <c r="PH148" s="238"/>
      <c r="PI148" s="238"/>
      <c r="PJ148" s="238"/>
      <c r="PK148" s="238"/>
      <c r="PL148" s="238"/>
      <c r="PM148" s="238"/>
      <c r="PN148" s="238"/>
      <c r="PO148" s="238"/>
      <c r="PP148" s="238"/>
      <c r="PQ148" s="238"/>
      <c r="PR148" s="238"/>
      <c r="PS148" s="238"/>
      <c r="PT148" s="238"/>
      <c r="PU148" s="238"/>
      <c r="PV148" s="238"/>
      <c r="PW148" s="238"/>
      <c r="PX148" s="238"/>
      <c r="PY148" s="238"/>
      <c r="PZ148" s="238"/>
      <c r="QA148" s="238"/>
      <c r="QB148" s="238"/>
      <c r="QC148" s="238"/>
      <c r="QD148" s="238"/>
      <c r="QE148" s="238"/>
      <c r="QF148" s="238"/>
      <c r="QG148" s="238"/>
      <c r="QH148" s="238"/>
      <c r="QI148" s="238"/>
      <c r="QJ148" s="238"/>
      <c r="QK148" s="238"/>
      <c r="QL148" s="238"/>
      <c r="QM148" s="238"/>
      <c r="QN148" s="238"/>
      <c r="QO148" s="238"/>
      <c r="QP148" s="238"/>
      <c r="QQ148" s="238"/>
      <c r="QR148" s="238"/>
      <c r="QS148" s="238"/>
      <c r="QT148" s="238"/>
      <c r="QU148" s="238"/>
      <c r="QV148" s="238"/>
      <c r="QW148" s="238"/>
      <c r="QX148" s="238"/>
      <c r="QY148" s="238"/>
      <c r="QZ148" s="238"/>
      <c r="RA148" s="238"/>
      <c r="RB148" s="238"/>
      <c r="RC148" s="238"/>
      <c r="RD148" s="238"/>
      <c r="RE148" s="238"/>
      <c r="RF148" s="238"/>
      <c r="RG148" s="238"/>
      <c r="RH148" s="238"/>
      <c r="RI148" s="238"/>
      <c r="RJ148" s="238"/>
      <c r="RK148" s="238"/>
      <c r="RL148" s="238"/>
      <c r="RM148" s="238"/>
      <c r="RN148" s="238"/>
      <c r="RO148" s="238"/>
      <c r="RP148" s="238"/>
      <c r="RQ148" s="238"/>
      <c r="RR148" s="238"/>
      <c r="RS148" s="238"/>
      <c r="RT148" s="238"/>
      <c r="RU148" s="238"/>
      <c r="RV148" s="238"/>
      <c r="RW148" s="238"/>
      <c r="RX148" s="238"/>
      <c r="RY148" s="238"/>
      <c r="RZ148" s="238"/>
      <c r="SA148" s="238"/>
      <c r="SB148" s="238"/>
      <c r="SC148" s="238"/>
      <c r="SD148" s="238"/>
      <c r="SE148" s="238"/>
      <c r="SF148" s="238"/>
      <c r="SG148" s="238"/>
      <c r="SH148" s="238"/>
      <c r="SI148" s="238"/>
      <c r="SJ148" s="238"/>
      <c r="SK148" s="238"/>
      <c r="SL148" s="238"/>
      <c r="SM148" s="238"/>
      <c r="SN148" s="238"/>
      <c r="SO148" s="238"/>
      <c r="SP148" s="238"/>
      <c r="SQ148" s="238"/>
      <c r="SR148" s="238"/>
      <c r="SS148" s="238"/>
      <c r="ST148" s="238"/>
      <c r="SU148" s="238"/>
      <c r="SV148" s="238"/>
      <c r="SW148" s="238"/>
      <c r="SX148" s="238"/>
      <c r="SY148" s="238"/>
      <c r="SZ148" s="238"/>
      <c r="TA148" s="238"/>
      <c r="TB148" s="238"/>
      <c r="TC148" s="238"/>
      <c r="TD148" s="238"/>
      <c r="TE148" s="238"/>
      <c r="TF148" s="238"/>
      <c r="TG148" s="238"/>
      <c r="TH148" s="238"/>
      <c r="TI148" s="238"/>
      <c r="TJ148" s="238"/>
      <c r="TK148" s="238"/>
      <c r="TL148" s="238"/>
      <c r="TM148" s="238"/>
      <c r="TN148" s="238"/>
      <c r="TO148" s="238"/>
      <c r="TP148" s="238"/>
      <c r="TQ148" s="238"/>
      <c r="TR148" s="238"/>
      <c r="TS148" s="238"/>
      <c r="TT148" s="238"/>
      <c r="TU148" s="238"/>
      <c r="TV148" s="238"/>
      <c r="TW148" s="238"/>
      <c r="TX148" s="238"/>
      <c r="TY148" s="238"/>
      <c r="TZ148" s="238"/>
      <c r="UA148" s="238"/>
      <c r="UB148" s="238"/>
      <c r="UC148" s="238"/>
      <c r="UD148" s="238"/>
      <c r="UE148" s="238"/>
      <c r="UF148" s="238"/>
      <c r="UG148" s="248"/>
    </row>
    <row r="149" spans="1:553" s="236" customFormat="1" ht="34.5" customHeight="1">
      <c r="A149" s="366"/>
      <c r="B149" s="366"/>
      <c r="C149" s="1431" t="s">
        <v>191</v>
      </c>
      <c r="D149" s="1389"/>
      <c r="E149" s="1389"/>
      <c r="F149" s="1390"/>
      <c r="G149" s="366"/>
      <c r="H149" s="370"/>
      <c r="I149" s="422"/>
      <c r="J149" s="368"/>
      <c r="K149" s="388"/>
      <c r="L149" s="366"/>
      <c r="M149" s="366"/>
      <c r="N149" s="366"/>
      <c r="O149" s="366"/>
      <c r="P149" s="366"/>
      <c r="Q149" s="1135"/>
      <c r="R149" s="1452"/>
      <c r="S149" s="308"/>
      <c r="T149" s="303"/>
      <c r="U149" s="306"/>
      <c r="V149" s="307"/>
      <c r="W149" s="306"/>
      <c r="X149" s="306"/>
      <c r="Y149" s="306"/>
      <c r="Z149" s="306"/>
      <c r="AA149" s="306"/>
      <c r="AB149" s="306"/>
      <c r="AC149" s="449"/>
      <c r="AD149" s="452"/>
      <c r="AE149" s="452"/>
      <c r="AF149" s="452"/>
      <c r="AG149" s="452"/>
      <c r="AH149" s="452"/>
      <c r="AI149" s="452"/>
      <c r="AJ149" s="452"/>
      <c r="AK149" s="452"/>
      <c r="AL149" s="244"/>
      <c r="AM149" s="238"/>
      <c r="AN149" s="238"/>
      <c r="AO149" s="238"/>
      <c r="AP149" s="238"/>
      <c r="AQ149" s="238"/>
      <c r="AR149" s="238"/>
      <c r="AS149" s="238"/>
      <c r="AT149" s="238"/>
      <c r="AU149" s="238"/>
      <c r="AV149" s="238"/>
      <c r="AW149" s="238"/>
      <c r="AX149" s="238"/>
      <c r="AY149" s="238"/>
      <c r="AZ149" s="238"/>
      <c r="BA149" s="238"/>
      <c r="BB149" s="238"/>
      <c r="BC149" s="238"/>
      <c r="BD149" s="238"/>
      <c r="BE149" s="238"/>
      <c r="BF149" s="238"/>
      <c r="BG149" s="238"/>
      <c r="BH149" s="238"/>
      <c r="BI149" s="238"/>
      <c r="BJ149" s="238"/>
      <c r="BK149" s="238"/>
      <c r="BL149" s="238"/>
      <c r="BM149" s="238"/>
      <c r="BN149" s="238"/>
      <c r="BO149" s="238"/>
      <c r="BP149" s="238"/>
      <c r="BQ149" s="238"/>
      <c r="BR149" s="238"/>
      <c r="BS149" s="238"/>
      <c r="BT149" s="238"/>
      <c r="BU149" s="238"/>
      <c r="BV149" s="238"/>
      <c r="BW149" s="238"/>
      <c r="BX149" s="238"/>
      <c r="BY149" s="238"/>
      <c r="BZ149" s="238"/>
      <c r="CA149" s="238"/>
      <c r="CB149" s="238"/>
      <c r="CC149" s="238"/>
      <c r="CD149" s="238"/>
      <c r="CE149" s="238"/>
      <c r="CF149" s="238"/>
      <c r="CG149" s="238"/>
      <c r="CH149" s="238"/>
      <c r="CI149" s="238"/>
      <c r="CJ149" s="238"/>
      <c r="CK149" s="238"/>
      <c r="CL149" s="238"/>
      <c r="CM149" s="238"/>
      <c r="CN149" s="238"/>
      <c r="CO149" s="238"/>
      <c r="CP149" s="238"/>
      <c r="CQ149" s="238"/>
      <c r="CR149" s="238"/>
      <c r="CS149" s="238"/>
      <c r="CT149" s="238"/>
      <c r="CU149" s="238"/>
      <c r="CV149" s="238"/>
      <c r="CW149" s="238"/>
      <c r="CX149" s="238"/>
      <c r="CY149" s="238"/>
      <c r="CZ149" s="238"/>
      <c r="DA149" s="238"/>
      <c r="DB149" s="238"/>
      <c r="DC149" s="238"/>
      <c r="DD149" s="238"/>
      <c r="DE149" s="238"/>
      <c r="DF149" s="238"/>
      <c r="DG149" s="238"/>
      <c r="DH149" s="238"/>
      <c r="DI149" s="238"/>
      <c r="DJ149" s="238"/>
      <c r="DK149" s="238"/>
      <c r="DL149" s="238"/>
      <c r="DM149" s="238"/>
      <c r="DN149" s="238"/>
      <c r="DO149" s="238"/>
      <c r="DP149" s="238"/>
      <c r="DQ149" s="238"/>
      <c r="DR149" s="238"/>
      <c r="DS149" s="238"/>
      <c r="DT149" s="238"/>
      <c r="DU149" s="238"/>
      <c r="DV149" s="238"/>
      <c r="DW149" s="238"/>
      <c r="DX149" s="238"/>
      <c r="DY149" s="238"/>
      <c r="DZ149" s="238"/>
      <c r="EA149" s="238"/>
      <c r="EB149" s="238"/>
      <c r="EC149" s="238"/>
      <c r="ED149" s="238"/>
      <c r="EE149" s="238"/>
      <c r="EF149" s="238"/>
      <c r="EG149" s="238"/>
      <c r="EH149" s="238"/>
      <c r="EI149" s="238"/>
      <c r="EJ149" s="238"/>
      <c r="EK149" s="238"/>
      <c r="EL149" s="238"/>
      <c r="EM149" s="238"/>
      <c r="EN149" s="238"/>
      <c r="EO149" s="238"/>
      <c r="EP149" s="238"/>
      <c r="EQ149" s="238"/>
      <c r="ER149" s="238"/>
      <c r="ES149" s="238"/>
      <c r="ET149" s="238"/>
      <c r="EU149" s="238"/>
      <c r="EV149" s="238"/>
      <c r="EW149" s="238"/>
      <c r="EX149" s="238"/>
      <c r="EY149" s="238"/>
      <c r="EZ149" s="238"/>
      <c r="FA149" s="238"/>
      <c r="FB149" s="238"/>
      <c r="FC149" s="238"/>
      <c r="FD149" s="238"/>
      <c r="FE149" s="238"/>
      <c r="FF149" s="238"/>
      <c r="FG149" s="238"/>
      <c r="FH149" s="238"/>
      <c r="FI149" s="238"/>
      <c r="FJ149" s="238"/>
      <c r="FK149" s="238"/>
      <c r="FL149" s="238"/>
      <c r="FM149" s="238"/>
      <c r="FN149" s="238"/>
      <c r="FO149" s="238"/>
      <c r="FP149" s="238"/>
      <c r="FQ149" s="238"/>
      <c r="FR149" s="238"/>
      <c r="FS149" s="238"/>
      <c r="FT149" s="238"/>
      <c r="FU149" s="238"/>
      <c r="FV149" s="238"/>
      <c r="FW149" s="238"/>
      <c r="FX149" s="238"/>
      <c r="FY149" s="238"/>
      <c r="FZ149" s="238"/>
      <c r="GA149" s="238"/>
      <c r="GB149" s="238"/>
      <c r="GC149" s="238"/>
      <c r="GD149" s="238"/>
      <c r="GE149" s="238"/>
      <c r="GF149" s="238"/>
      <c r="GG149" s="238"/>
      <c r="GH149" s="238"/>
      <c r="GI149" s="238"/>
      <c r="GJ149" s="238"/>
      <c r="GK149" s="238"/>
      <c r="GL149" s="238"/>
      <c r="GM149" s="238"/>
      <c r="GN149" s="238"/>
      <c r="GO149" s="238"/>
      <c r="GP149" s="238"/>
      <c r="GQ149" s="238"/>
      <c r="GR149" s="238"/>
      <c r="GS149" s="238"/>
      <c r="GT149" s="238"/>
      <c r="GU149" s="238"/>
      <c r="GV149" s="238"/>
      <c r="GW149" s="238"/>
      <c r="GX149" s="238"/>
      <c r="GY149" s="238"/>
      <c r="GZ149" s="238"/>
      <c r="HA149" s="238"/>
      <c r="HB149" s="238"/>
      <c r="HC149" s="238"/>
      <c r="HD149" s="238"/>
      <c r="HE149" s="238"/>
      <c r="HF149" s="238"/>
      <c r="HG149" s="238"/>
      <c r="HH149" s="238"/>
      <c r="HI149" s="238"/>
      <c r="HJ149" s="238"/>
      <c r="HK149" s="238"/>
      <c r="HL149" s="238"/>
      <c r="HM149" s="238"/>
      <c r="HN149" s="238"/>
      <c r="HO149" s="238"/>
      <c r="HP149" s="238"/>
      <c r="HQ149" s="238"/>
      <c r="HR149" s="238"/>
      <c r="HS149" s="238"/>
      <c r="HT149" s="238"/>
      <c r="HU149" s="238"/>
      <c r="HV149" s="238"/>
      <c r="HW149" s="238"/>
      <c r="HX149" s="238"/>
      <c r="HY149" s="238"/>
      <c r="HZ149" s="238"/>
      <c r="IA149" s="238"/>
      <c r="IB149" s="238"/>
      <c r="IC149" s="238"/>
      <c r="ID149" s="238"/>
      <c r="IE149" s="238"/>
      <c r="IF149" s="238"/>
      <c r="IG149" s="238"/>
      <c r="IH149" s="238"/>
      <c r="II149" s="238"/>
      <c r="IJ149" s="238"/>
      <c r="IK149" s="238"/>
      <c r="IL149" s="238"/>
      <c r="IM149" s="238"/>
      <c r="IN149" s="238"/>
      <c r="IO149" s="238"/>
      <c r="IP149" s="238"/>
      <c r="IQ149" s="238"/>
      <c r="IR149" s="238"/>
      <c r="IS149" s="238"/>
      <c r="IT149" s="238"/>
      <c r="IU149" s="238"/>
      <c r="IV149" s="238"/>
      <c r="IW149" s="238"/>
      <c r="IX149" s="238"/>
      <c r="IY149" s="238"/>
      <c r="IZ149" s="238"/>
      <c r="JA149" s="238"/>
      <c r="JB149" s="238"/>
      <c r="JC149" s="238"/>
      <c r="JD149" s="238"/>
      <c r="JE149" s="238"/>
      <c r="JF149" s="238"/>
      <c r="JG149" s="238"/>
      <c r="JH149" s="238"/>
      <c r="JI149" s="238"/>
      <c r="JJ149" s="238"/>
      <c r="JK149" s="238"/>
      <c r="JL149" s="238"/>
      <c r="JM149" s="238"/>
      <c r="JN149" s="238"/>
      <c r="JO149" s="238"/>
      <c r="JP149" s="238"/>
      <c r="JQ149" s="238"/>
      <c r="JR149" s="238"/>
      <c r="JS149" s="238"/>
      <c r="JT149" s="238"/>
      <c r="JU149" s="238"/>
      <c r="JV149" s="238"/>
      <c r="JW149" s="238"/>
      <c r="JX149" s="238"/>
      <c r="JY149" s="238"/>
      <c r="JZ149" s="238"/>
      <c r="KA149" s="238"/>
      <c r="KB149" s="238"/>
      <c r="KC149" s="238"/>
      <c r="KD149" s="238"/>
      <c r="KE149" s="238"/>
      <c r="KF149" s="238"/>
      <c r="KG149" s="238"/>
      <c r="KH149" s="238"/>
      <c r="KI149" s="238"/>
      <c r="KJ149" s="238"/>
      <c r="KK149" s="238"/>
      <c r="KL149" s="238"/>
      <c r="KM149" s="238"/>
      <c r="KN149" s="238"/>
      <c r="KO149" s="238"/>
      <c r="KP149" s="238"/>
      <c r="KQ149" s="238"/>
      <c r="KR149" s="238"/>
      <c r="KS149" s="238"/>
      <c r="KT149" s="238"/>
      <c r="KU149" s="238"/>
      <c r="KV149" s="238"/>
      <c r="KW149" s="238"/>
      <c r="KX149" s="238"/>
      <c r="KY149" s="238"/>
      <c r="KZ149" s="238"/>
      <c r="LA149" s="238"/>
      <c r="LB149" s="238"/>
      <c r="LC149" s="238"/>
      <c r="LD149" s="238"/>
      <c r="LE149" s="238"/>
      <c r="LF149" s="238"/>
      <c r="LG149" s="238"/>
      <c r="LH149" s="238"/>
      <c r="LI149" s="238"/>
      <c r="LJ149" s="238"/>
      <c r="LK149" s="238"/>
      <c r="LL149" s="238"/>
      <c r="LM149" s="238"/>
      <c r="LN149" s="238"/>
      <c r="LO149" s="238"/>
      <c r="LP149" s="238"/>
      <c r="LQ149" s="238"/>
      <c r="LR149" s="238"/>
      <c r="LS149" s="238"/>
      <c r="LT149" s="238"/>
      <c r="LU149" s="238"/>
      <c r="LV149" s="238"/>
      <c r="LW149" s="238"/>
      <c r="LX149" s="238"/>
      <c r="LY149" s="238"/>
      <c r="LZ149" s="238"/>
      <c r="MA149" s="238"/>
      <c r="MB149" s="238"/>
      <c r="MC149" s="238"/>
      <c r="MD149" s="238"/>
      <c r="ME149" s="238"/>
      <c r="MF149" s="238"/>
      <c r="MG149" s="238"/>
      <c r="MH149" s="238"/>
      <c r="MI149" s="238"/>
      <c r="MJ149" s="238"/>
      <c r="MK149" s="238"/>
      <c r="ML149" s="238"/>
      <c r="MM149" s="238"/>
      <c r="MN149" s="238"/>
      <c r="MO149" s="238"/>
      <c r="MP149" s="238"/>
      <c r="MQ149" s="238"/>
      <c r="MR149" s="238"/>
      <c r="MS149" s="238"/>
      <c r="MT149" s="238"/>
      <c r="MU149" s="238"/>
      <c r="MV149" s="238"/>
      <c r="MW149" s="238"/>
      <c r="MX149" s="238"/>
      <c r="MY149" s="238"/>
      <c r="MZ149" s="238"/>
      <c r="NA149" s="238"/>
      <c r="NB149" s="238"/>
      <c r="NC149" s="238"/>
      <c r="ND149" s="238"/>
      <c r="NE149" s="238"/>
      <c r="NF149" s="238"/>
      <c r="NG149" s="238"/>
      <c r="NH149" s="238"/>
      <c r="NI149" s="238"/>
      <c r="NJ149" s="238"/>
      <c r="NK149" s="238"/>
      <c r="NL149" s="238"/>
      <c r="NM149" s="238"/>
      <c r="NN149" s="238"/>
      <c r="NO149" s="238"/>
      <c r="NP149" s="238"/>
      <c r="NQ149" s="238"/>
      <c r="NR149" s="238"/>
      <c r="NS149" s="238"/>
      <c r="NT149" s="238"/>
      <c r="NU149" s="238"/>
      <c r="NV149" s="238"/>
      <c r="NW149" s="238"/>
      <c r="NX149" s="238"/>
      <c r="NY149" s="238"/>
      <c r="NZ149" s="238"/>
      <c r="OA149" s="238"/>
      <c r="OB149" s="238"/>
      <c r="OC149" s="238"/>
      <c r="OD149" s="238"/>
      <c r="OE149" s="238"/>
      <c r="OF149" s="238"/>
      <c r="OG149" s="238"/>
      <c r="OH149" s="238"/>
      <c r="OI149" s="238"/>
      <c r="OJ149" s="238"/>
      <c r="OK149" s="238"/>
      <c r="OL149" s="238"/>
      <c r="OM149" s="238"/>
      <c r="ON149" s="238"/>
      <c r="OO149" s="238"/>
      <c r="OP149" s="238"/>
      <c r="OQ149" s="238"/>
      <c r="OR149" s="238"/>
      <c r="OS149" s="238"/>
      <c r="OT149" s="238"/>
      <c r="OU149" s="238"/>
      <c r="OV149" s="238"/>
      <c r="OW149" s="238"/>
      <c r="OX149" s="238"/>
      <c r="OY149" s="238"/>
      <c r="OZ149" s="238"/>
      <c r="PA149" s="238"/>
      <c r="PB149" s="238"/>
      <c r="PC149" s="238"/>
      <c r="PD149" s="238"/>
      <c r="PE149" s="238"/>
      <c r="PF149" s="238"/>
      <c r="PG149" s="238"/>
      <c r="PH149" s="238"/>
      <c r="PI149" s="238"/>
      <c r="PJ149" s="238"/>
      <c r="PK149" s="238"/>
      <c r="PL149" s="238"/>
      <c r="PM149" s="238"/>
      <c r="PN149" s="238"/>
      <c r="PO149" s="238"/>
      <c r="PP149" s="238"/>
      <c r="PQ149" s="238"/>
      <c r="PR149" s="238"/>
      <c r="PS149" s="238"/>
      <c r="PT149" s="238"/>
      <c r="PU149" s="238"/>
      <c r="PV149" s="238"/>
      <c r="PW149" s="238"/>
      <c r="PX149" s="238"/>
      <c r="PY149" s="238"/>
      <c r="PZ149" s="238"/>
      <c r="QA149" s="238"/>
      <c r="QB149" s="238"/>
      <c r="QC149" s="238"/>
      <c r="QD149" s="238"/>
      <c r="QE149" s="238"/>
      <c r="QF149" s="238"/>
      <c r="QG149" s="238"/>
      <c r="QH149" s="238"/>
      <c r="QI149" s="238"/>
      <c r="QJ149" s="238"/>
      <c r="QK149" s="238"/>
      <c r="QL149" s="238"/>
      <c r="QM149" s="238"/>
      <c r="QN149" s="238"/>
      <c r="QO149" s="238"/>
      <c r="QP149" s="238"/>
      <c r="QQ149" s="238"/>
      <c r="QR149" s="238"/>
      <c r="QS149" s="238"/>
      <c r="QT149" s="238"/>
      <c r="QU149" s="238"/>
      <c r="QV149" s="238"/>
      <c r="QW149" s="238"/>
      <c r="QX149" s="238"/>
      <c r="QY149" s="238"/>
      <c r="QZ149" s="238"/>
      <c r="RA149" s="238"/>
      <c r="RB149" s="238"/>
      <c r="RC149" s="238"/>
      <c r="RD149" s="238"/>
      <c r="RE149" s="238"/>
      <c r="RF149" s="238"/>
      <c r="RG149" s="238"/>
      <c r="RH149" s="238"/>
      <c r="RI149" s="238"/>
      <c r="RJ149" s="238"/>
      <c r="RK149" s="238"/>
      <c r="RL149" s="238"/>
      <c r="RM149" s="238"/>
      <c r="RN149" s="238"/>
      <c r="RO149" s="238"/>
      <c r="RP149" s="238"/>
      <c r="RQ149" s="238"/>
      <c r="RR149" s="238"/>
      <c r="RS149" s="238"/>
      <c r="RT149" s="238"/>
      <c r="RU149" s="238"/>
      <c r="RV149" s="238"/>
      <c r="RW149" s="238"/>
      <c r="RX149" s="238"/>
      <c r="RY149" s="238"/>
      <c r="RZ149" s="238"/>
      <c r="SA149" s="238"/>
      <c r="SB149" s="238"/>
      <c r="SC149" s="238"/>
      <c r="SD149" s="238"/>
      <c r="SE149" s="238"/>
      <c r="SF149" s="238"/>
      <c r="SG149" s="238"/>
      <c r="SH149" s="238"/>
      <c r="SI149" s="238"/>
      <c r="SJ149" s="238"/>
      <c r="SK149" s="238"/>
      <c r="SL149" s="238"/>
      <c r="SM149" s="238"/>
      <c r="SN149" s="238"/>
      <c r="SO149" s="238"/>
      <c r="SP149" s="238"/>
      <c r="SQ149" s="238"/>
      <c r="SR149" s="238"/>
      <c r="SS149" s="238"/>
      <c r="ST149" s="238"/>
      <c r="SU149" s="238"/>
      <c r="SV149" s="238"/>
      <c r="SW149" s="238"/>
      <c r="SX149" s="238"/>
      <c r="SY149" s="238"/>
      <c r="SZ149" s="238"/>
      <c r="TA149" s="238"/>
      <c r="TB149" s="238"/>
      <c r="TC149" s="238"/>
      <c r="TD149" s="238"/>
      <c r="TE149" s="238"/>
      <c r="TF149" s="238"/>
      <c r="TG149" s="238"/>
      <c r="TH149" s="238"/>
      <c r="TI149" s="238"/>
      <c r="TJ149" s="238"/>
      <c r="TK149" s="238"/>
      <c r="TL149" s="238"/>
      <c r="TM149" s="238"/>
      <c r="TN149" s="238"/>
      <c r="TO149" s="238"/>
      <c r="TP149" s="238"/>
      <c r="TQ149" s="238"/>
      <c r="TR149" s="238"/>
      <c r="TS149" s="238"/>
      <c r="TT149" s="238"/>
      <c r="TU149" s="238"/>
      <c r="TV149" s="238"/>
      <c r="TW149" s="238"/>
      <c r="TX149" s="238"/>
      <c r="TY149" s="238"/>
      <c r="TZ149" s="238"/>
      <c r="UA149" s="238"/>
      <c r="UB149" s="238"/>
      <c r="UC149" s="238"/>
      <c r="UD149" s="238"/>
      <c r="UE149" s="238"/>
      <c r="UF149" s="238"/>
      <c r="UG149" s="248"/>
    </row>
    <row r="150" spans="1:553" s="1262" customFormat="1" ht="34.5" customHeight="1">
      <c r="A150" s="366" t="s">
        <v>15</v>
      </c>
      <c r="B150" s="366"/>
      <c r="C150" s="1472" t="s">
        <v>192</v>
      </c>
      <c r="D150" s="1389"/>
      <c r="E150" s="1389"/>
      <c r="F150" s="1390"/>
      <c r="G150" s="366" t="s">
        <v>193</v>
      </c>
      <c r="H150" s="370"/>
      <c r="I150" s="443">
        <v>2</v>
      </c>
      <c r="J150" s="368">
        <v>32000</v>
      </c>
      <c r="K150" s="388"/>
      <c r="L150" s="369">
        <f>ROUND(PRODUCT(I150:K150),0)</f>
        <v>64000</v>
      </c>
      <c r="M150" s="366"/>
      <c r="N150" s="366"/>
      <c r="O150" s="366"/>
      <c r="P150" s="366"/>
      <c r="Q150" s="1136"/>
      <c r="R150" s="1452"/>
      <c r="S150" s="308"/>
      <c r="T150" s="303"/>
      <c r="U150" s="306"/>
      <c r="V150" s="307"/>
      <c r="W150" s="306"/>
      <c r="X150" s="306"/>
      <c r="Y150" s="306"/>
      <c r="Z150" s="306"/>
      <c r="AA150" s="306"/>
      <c r="AB150" s="306"/>
      <c r="AC150" s="449"/>
      <c r="AD150" s="452"/>
      <c r="AE150" s="452"/>
      <c r="AF150" s="452"/>
      <c r="AG150" s="452"/>
      <c r="AH150" s="452"/>
      <c r="AI150" s="452"/>
      <c r="AJ150" s="452"/>
      <c r="AK150" s="452"/>
      <c r="AL150" s="1259"/>
      <c r="AM150" s="1260"/>
      <c r="AN150" s="1260"/>
      <c r="AO150" s="1260"/>
      <c r="AP150" s="1260"/>
      <c r="AQ150" s="1260"/>
      <c r="AR150" s="1260"/>
      <c r="AS150" s="1260"/>
      <c r="AT150" s="1260"/>
      <c r="AU150" s="1260"/>
      <c r="AV150" s="1260"/>
      <c r="AW150" s="1260"/>
      <c r="AX150" s="1260"/>
      <c r="AY150" s="1260"/>
      <c r="AZ150" s="1260"/>
      <c r="BA150" s="1260"/>
      <c r="BB150" s="1260"/>
      <c r="BC150" s="1260"/>
      <c r="BD150" s="1260"/>
      <c r="BE150" s="1260"/>
      <c r="BF150" s="1260"/>
      <c r="BG150" s="1260"/>
      <c r="BH150" s="1260"/>
      <c r="BI150" s="1260"/>
      <c r="BJ150" s="1260"/>
      <c r="BK150" s="1260"/>
      <c r="BL150" s="1260"/>
      <c r="BM150" s="1260"/>
      <c r="BN150" s="1260"/>
      <c r="BO150" s="1260"/>
      <c r="BP150" s="1260"/>
      <c r="BQ150" s="1260"/>
      <c r="BR150" s="1260"/>
      <c r="BS150" s="1260"/>
      <c r="BT150" s="1260"/>
      <c r="BU150" s="1260"/>
      <c r="BV150" s="1260"/>
      <c r="BW150" s="1260"/>
      <c r="BX150" s="1260"/>
      <c r="BY150" s="1260"/>
      <c r="BZ150" s="1260"/>
      <c r="CA150" s="1260"/>
      <c r="CB150" s="1260"/>
      <c r="CC150" s="1260"/>
      <c r="CD150" s="1260"/>
      <c r="CE150" s="1260"/>
      <c r="CF150" s="1260"/>
      <c r="CG150" s="1260"/>
      <c r="CH150" s="1260"/>
      <c r="CI150" s="1260"/>
      <c r="CJ150" s="1260"/>
      <c r="CK150" s="1260"/>
      <c r="CL150" s="1260"/>
      <c r="CM150" s="1260"/>
      <c r="CN150" s="1260"/>
      <c r="CO150" s="1260"/>
      <c r="CP150" s="1260"/>
      <c r="CQ150" s="1260"/>
      <c r="CR150" s="1260"/>
      <c r="CS150" s="1260"/>
      <c r="CT150" s="1260"/>
      <c r="CU150" s="1260"/>
      <c r="CV150" s="1260"/>
      <c r="CW150" s="1260"/>
      <c r="CX150" s="1260"/>
      <c r="CY150" s="1260"/>
      <c r="CZ150" s="1260"/>
      <c r="DA150" s="1260"/>
      <c r="DB150" s="1260"/>
      <c r="DC150" s="1260"/>
      <c r="DD150" s="1260"/>
      <c r="DE150" s="1260"/>
      <c r="DF150" s="1260"/>
      <c r="DG150" s="1260"/>
      <c r="DH150" s="1260"/>
      <c r="DI150" s="1260"/>
      <c r="DJ150" s="1260"/>
      <c r="DK150" s="1260"/>
      <c r="DL150" s="1260"/>
      <c r="DM150" s="1260"/>
      <c r="DN150" s="1260"/>
      <c r="DO150" s="1260"/>
      <c r="DP150" s="1260"/>
      <c r="DQ150" s="1260"/>
      <c r="DR150" s="1260"/>
      <c r="DS150" s="1260"/>
      <c r="DT150" s="1260"/>
      <c r="DU150" s="1260"/>
      <c r="DV150" s="1260"/>
      <c r="DW150" s="1260"/>
      <c r="DX150" s="1260"/>
      <c r="DY150" s="1260"/>
      <c r="DZ150" s="1260"/>
      <c r="EA150" s="1260"/>
      <c r="EB150" s="1260"/>
      <c r="EC150" s="1260"/>
      <c r="ED150" s="1260"/>
      <c r="EE150" s="1260"/>
      <c r="EF150" s="1260"/>
      <c r="EG150" s="1260"/>
      <c r="EH150" s="1260"/>
      <c r="EI150" s="1260"/>
      <c r="EJ150" s="1260"/>
      <c r="EK150" s="1260"/>
      <c r="EL150" s="1260"/>
      <c r="EM150" s="1260"/>
      <c r="EN150" s="1260"/>
      <c r="EO150" s="1260"/>
      <c r="EP150" s="1260"/>
      <c r="EQ150" s="1260"/>
      <c r="ER150" s="1260"/>
      <c r="ES150" s="1260"/>
      <c r="ET150" s="1260"/>
      <c r="EU150" s="1260"/>
      <c r="EV150" s="1260"/>
      <c r="EW150" s="1260"/>
      <c r="EX150" s="1260"/>
      <c r="EY150" s="1260"/>
      <c r="EZ150" s="1260"/>
      <c r="FA150" s="1260"/>
      <c r="FB150" s="1260"/>
      <c r="FC150" s="1260"/>
      <c r="FD150" s="1260"/>
      <c r="FE150" s="1260"/>
      <c r="FF150" s="1260"/>
      <c r="FG150" s="1260"/>
      <c r="FH150" s="1260"/>
      <c r="FI150" s="1260"/>
      <c r="FJ150" s="1260"/>
      <c r="FK150" s="1260"/>
      <c r="FL150" s="1260"/>
      <c r="FM150" s="1260"/>
      <c r="FN150" s="1260"/>
      <c r="FO150" s="1260"/>
      <c r="FP150" s="1260"/>
      <c r="FQ150" s="1260"/>
      <c r="FR150" s="1260"/>
      <c r="FS150" s="1260"/>
      <c r="FT150" s="1260"/>
      <c r="FU150" s="1260"/>
      <c r="FV150" s="1260"/>
      <c r="FW150" s="1260"/>
      <c r="FX150" s="1260"/>
      <c r="FY150" s="1260"/>
      <c r="FZ150" s="1260"/>
      <c r="GA150" s="1260"/>
      <c r="GB150" s="1260"/>
      <c r="GC150" s="1260"/>
      <c r="GD150" s="1260"/>
      <c r="GE150" s="1260"/>
      <c r="GF150" s="1260"/>
      <c r="GG150" s="1260"/>
      <c r="GH150" s="1260"/>
      <c r="GI150" s="1260"/>
      <c r="GJ150" s="1260"/>
      <c r="GK150" s="1260"/>
      <c r="GL150" s="1260"/>
      <c r="GM150" s="1260"/>
      <c r="GN150" s="1260"/>
      <c r="GO150" s="1260"/>
      <c r="GP150" s="1260"/>
      <c r="GQ150" s="1260"/>
      <c r="GR150" s="1260"/>
      <c r="GS150" s="1260"/>
      <c r="GT150" s="1260"/>
      <c r="GU150" s="1260"/>
      <c r="GV150" s="1260"/>
      <c r="GW150" s="1260"/>
      <c r="GX150" s="1260"/>
      <c r="GY150" s="1260"/>
      <c r="GZ150" s="1260"/>
      <c r="HA150" s="1260"/>
      <c r="HB150" s="1260"/>
      <c r="HC150" s="1260"/>
      <c r="HD150" s="1260"/>
      <c r="HE150" s="1260"/>
      <c r="HF150" s="1260"/>
      <c r="HG150" s="1260"/>
      <c r="HH150" s="1260"/>
      <c r="HI150" s="1260"/>
      <c r="HJ150" s="1260"/>
      <c r="HK150" s="1260"/>
      <c r="HL150" s="1260"/>
      <c r="HM150" s="1260"/>
      <c r="HN150" s="1260"/>
      <c r="HO150" s="1260"/>
      <c r="HP150" s="1260"/>
      <c r="HQ150" s="1260"/>
      <c r="HR150" s="1260"/>
      <c r="HS150" s="1260"/>
      <c r="HT150" s="1260"/>
      <c r="HU150" s="1260"/>
      <c r="HV150" s="1260"/>
      <c r="HW150" s="1260"/>
      <c r="HX150" s="1260"/>
      <c r="HY150" s="1260"/>
      <c r="HZ150" s="1260"/>
      <c r="IA150" s="1260"/>
      <c r="IB150" s="1260"/>
      <c r="IC150" s="1260"/>
      <c r="ID150" s="1260"/>
      <c r="IE150" s="1260"/>
      <c r="IF150" s="1260"/>
      <c r="IG150" s="1260"/>
      <c r="IH150" s="1260"/>
      <c r="II150" s="1260"/>
      <c r="IJ150" s="1260"/>
      <c r="IK150" s="1260"/>
      <c r="IL150" s="1260"/>
      <c r="IM150" s="1260"/>
      <c r="IN150" s="1260"/>
      <c r="IO150" s="1260"/>
      <c r="IP150" s="1260"/>
      <c r="IQ150" s="1260"/>
      <c r="IR150" s="1260"/>
      <c r="IS150" s="1260"/>
      <c r="IT150" s="1260"/>
      <c r="IU150" s="1260"/>
      <c r="IV150" s="1260"/>
      <c r="IW150" s="1260"/>
      <c r="IX150" s="1260"/>
      <c r="IY150" s="1260"/>
      <c r="IZ150" s="1260"/>
      <c r="JA150" s="1260"/>
      <c r="JB150" s="1260"/>
      <c r="JC150" s="1260"/>
      <c r="JD150" s="1260"/>
      <c r="JE150" s="1260"/>
      <c r="JF150" s="1260"/>
      <c r="JG150" s="1260"/>
      <c r="JH150" s="1260"/>
      <c r="JI150" s="1260"/>
      <c r="JJ150" s="1260"/>
      <c r="JK150" s="1260"/>
      <c r="JL150" s="1260"/>
      <c r="JM150" s="1260"/>
      <c r="JN150" s="1260"/>
      <c r="JO150" s="1260"/>
      <c r="JP150" s="1260"/>
      <c r="JQ150" s="1260"/>
      <c r="JR150" s="1260"/>
      <c r="JS150" s="1260"/>
      <c r="JT150" s="1260"/>
      <c r="JU150" s="1260"/>
      <c r="JV150" s="1260"/>
      <c r="JW150" s="1260"/>
      <c r="JX150" s="1260"/>
      <c r="JY150" s="1260"/>
      <c r="JZ150" s="1260"/>
      <c r="KA150" s="1260"/>
      <c r="KB150" s="1260"/>
      <c r="KC150" s="1260"/>
      <c r="KD150" s="1260"/>
      <c r="KE150" s="1260"/>
      <c r="KF150" s="1260"/>
      <c r="KG150" s="1260"/>
      <c r="KH150" s="1260"/>
      <c r="KI150" s="1260"/>
      <c r="KJ150" s="1260"/>
      <c r="KK150" s="1260"/>
      <c r="KL150" s="1260"/>
      <c r="KM150" s="1260"/>
      <c r="KN150" s="1260"/>
      <c r="KO150" s="1260"/>
      <c r="KP150" s="1260"/>
      <c r="KQ150" s="1260"/>
      <c r="KR150" s="1260"/>
      <c r="KS150" s="1260"/>
      <c r="KT150" s="1260"/>
      <c r="KU150" s="1260"/>
      <c r="KV150" s="1260"/>
      <c r="KW150" s="1260"/>
      <c r="KX150" s="1260"/>
      <c r="KY150" s="1260"/>
      <c r="KZ150" s="1260"/>
      <c r="LA150" s="1260"/>
      <c r="LB150" s="1260"/>
      <c r="LC150" s="1260"/>
      <c r="LD150" s="1260"/>
      <c r="LE150" s="1260"/>
      <c r="LF150" s="1260"/>
      <c r="LG150" s="1260"/>
      <c r="LH150" s="1260"/>
      <c r="LI150" s="1260"/>
      <c r="LJ150" s="1260"/>
      <c r="LK150" s="1260"/>
      <c r="LL150" s="1260"/>
      <c r="LM150" s="1260"/>
      <c r="LN150" s="1260"/>
      <c r="LO150" s="1260"/>
      <c r="LP150" s="1260"/>
      <c r="LQ150" s="1260"/>
      <c r="LR150" s="1260"/>
      <c r="LS150" s="1260"/>
      <c r="LT150" s="1260"/>
      <c r="LU150" s="1260"/>
      <c r="LV150" s="1260"/>
      <c r="LW150" s="1260"/>
      <c r="LX150" s="1260"/>
      <c r="LY150" s="1260"/>
      <c r="LZ150" s="1260"/>
      <c r="MA150" s="1260"/>
      <c r="MB150" s="1260"/>
      <c r="MC150" s="1260"/>
      <c r="MD150" s="1260"/>
      <c r="ME150" s="1260"/>
      <c r="MF150" s="1260"/>
      <c r="MG150" s="1260"/>
      <c r="MH150" s="1260"/>
      <c r="MI150" s="1260"/>
      <c r="MJ150" s="1260"/>
      <c r="MK150" s="1260"/>
      <c r="ML150" s="1260"/>
      <c r="MM150" s="1260"/>
      <c r="MN150" s="1260"/>
      <c r="MO150" s="1260"/>
      <c r="MP150" s="1260"/>
      <c r="MQ150" s="1260"/>
      <c r="MR150" s="1260"/>
      <c r="MS150" s="1260"/>
      <c r="MT150" s="1260"/>
      <c r="MU150" s="1260"/>
      <c r="MV150" s="1260"/>
      <c r="MW150" s="1260"/>
      <c r="MX150" s="1260"/>
      <c r="MY150" s="1260"/>
      <c r="MZ150" s="1260"/>
      <c r="NA150" s="1260"/>
      <c r="NB150" s="1260"/>
      <c r="NC150" s="1260"/>
      <c r="ND150" s="1260"/>
      <c r="NE150" s="1260"/>
      <c r="NF150" s="1260"/>
      <c r="NG150" s="1260"/>
      <c r="NH150" s="1260"/>
      <c r="NI150" s="1260"/>
      <c r="NJ150" s="1260"/>
      <c r="NK150" s="1260"/>
      <c r="NL150" s="1260"/>
      <c r="NM150" s="1260"/>
      <c r="NN150" s="1260"/>
      <c r="NO150" s="1260"/>
      <c r="NP150" s="1260"/>
      <c r="NQ150" s="1260"/>
      <c r="NR150" s="1260"/>
      <c r="NS150" s="1260"/>
      <c r="NT150" s="1260"/>
      <c r="NU150" s="1260"/>
      <c r="NV150" s="1260"/>
      <c r="NW150" s="1260"/>
      <c r="NX150" s="1260"/>
      <c r="NY150" s="1260"/>
      <c r="NZ150" s="1260"/>
      <c r="OA150" s="1260"/>
      <c r="OB150" s="1260"/>
      <c r="OC150" s="1260"/>
      <c r="OD150" s="1260"/>
      <c r="OE150" s="1260"/>
      <c r="OF150" s="1260"/>
      <c r="OG150" s="1260"/>
      <c r="OH150" s="1260"/>
      <c r="OI150" s="1260"/>
      <c r="OJ150" s="1260"/>
      <c r="OK150" s="1260"/>
      <c r="OL150" s="1260"/>
      <c r="OM150" s="1260"/>
      <c r="ON150" s="1260"/>
      <c r="OO150" s="1260"/>
      <c r="OP150" s="1260"/>
      <c r="OQ150" s="1260"/>
      <c r="OR150" s="1260"/>
      <c r="OS150" s="1260"/>
      <c r="OT150" s="1260"/>
      <c r="OU150" s="1260"/>
      <c r="OV150" s="1260"/>
      <c r="OW150" s="1260"/>
      <c r="OX150" s="1260"/>
      <c r="OY150" s="1260"/>
      <c r="OZ150" s="1260"/>
      <c r="PA150" s="1260"/>
      <c r="PB150" s="1260"/>
      <c r="PC150" s="1260"/>
      <c r="PD150" s="1260"/>
      <c r="PE150" s="1260"/>
      <c r="PF150" s="1260"/>
      <c r="PG150" s="1260"/>
      <c r="PH150" s="1260"/>
      <c r="PI150" s="1260"/>
      <c r="PJ150" s="1260"/>
      <c r="PK150" s="1260"/>
      <c r="PL150" s="1260"/>
      <c r="PM150" s="1260"/>
      <c r="PN150" s="1260"/>
      <c r="PO150" s="1260"/>
      <c r="PP150" s="1260"/>
      <c r="PQ150" s="1260"/>
      <c r="PR150" s="1260"/>
      <c r="PS150" s="1260"/>
      <c r="PT150" s="1260"/>
      <c r="PU150" s="1260"/>
      <c r="PV150" s="1260"/>
      <c r="PW150" s="1260"/>
      <c r="PX150" s="1260"/>
      <c r="PY150" s="1260"/>
      <c r="PZ150" s="1260"/>
      <c r="QA150" s="1260"/>
      <c r="QB150" s="1260"/>
      <c r="QC150" s="1260"/>
      <c r="QD150" s="1260"/>
      <c r="QE150" s="1260"/>
      <c r="QF150" s="1260"/>
      <c r="QG150" s="1260"/>
      <c r="QH150" s="1260"/>
      <c r="QI150" s="1260"/>
      <c r="QJ150" s="1260"/>
      <c r="QK150" s="1260"/>
      <c r="QL150" s="1260"/>
      <c r="QM150" s="1260"/>
      <c r="QN150" s="1260"/>
      <c r="QO150" s="1260"/>
      <c r="QP150" s="1260"/>
      <c r="QQ150" s="1260"/>
      <c r="QR150" s="1260"/>
      <c r="QS150" s="1260"/>
      <c r="QT150" s="1260"/>
      <c r="QU150" s="1260"/>
      <c r="QV150" s="1260"/>
      <c r="QW150" s="1260"/>
      <c r="QX150" s="1260"/>
      <c r="QY150" s="1260"/>
      <c r="QZ150" s="1260"/>
      <c r="RA150" s="1260"/>
      <c r="RB150" s="1260"/>
      <c r="RC150" s="1260"/>
      <c r="RD150" s="1260"/>
      <c r="RE150" s="1260"/>
      <c r="RF150" s="1260"/>
      <c r="RG150" s="1260"/>
      <c r="RH150" s="1260"/>
      <c r="RI150" s="1260"/>
      <c r="RJ150" s="1260"/>
      <c r="RK150" s="1260"/>
      <c r="RL150" s="1260"/>
      <c r="RM150" s="1260"/>
      <c r="RN150" s="1260"/>
      <c r="RO150" s="1260"/>
      <c r="RP150" s="1260"/>
      <c r="RQ150" s="1260"/>
      <c r="RR150" s="1260"/>
      <c r="RS150" s="1260"/>
      <c r="RT150" s="1260"/>
      <c r="RU150" s="1260"/>
      <c r="RV150" s="1260"/>
      <c r="RW150" s="1260"/>
      <c r="RX150" s="1260"/>
      <c r="RY150" s="1260"/>
      <c r="RZ150" s="1260"/>
      <c r="SA150" s="1260"/>
      <c r="SB150" s="1260"/>
      <c r="SC150" s="1260"/>
      <c r="SD150" s="1260"/>
      <c r="SE150" s="1260"/>
      <c r="SF150" s="1260"/>
      <c r="SG150" s="1260"/>
      <c r="SH150" s="1260"/>
      <c r="SI150" s="1260"/>
      <c r="SJ150" s="1260"/>
      <c r="SK150" s="1260"/>
      <c r="SL150" s="1260"/>
      <c r="SM150" s="1260"/>
      <c r="SN150" s="1260"/>
      <c r="SO150" s="1260"/>
      <c r="SP150" s="1260"/>
      <c r="SQ150" s="1260"/>
      <c r="SR150" s="1260"/>
      <c r="SS150" s="1260"/>
      <c r="ST150" s="1260"/>
      <c r="SU150" s="1260"/>
      <c r="SV150" s="1260"/>
      <c r="SW150" s="1260"/>
      <c r="SX150" s="1260"/>
      <c r="SY150" s="1260"/>
      <c r="SZ150" s="1260"/>
      <c r="TA150" s="1260"/>
      <c r="TB150" s="1260"/>
      <c r="TC150" s="1260"/>
      <c r="TD150" s="1260"/>
      <c r="TE150" s="1260"/>
      <c r="TF150" s="1260"/>
      <c r="TG150" s="1260"/>
      <c r="TH150" s="1260"/>
      <c r="TI150" s="1260"/>
      <c r="TJ150" s="1260"/>
      <c r="TK150" s="1260"/>
      <c r="TL150" s="1260"/>
      <c r="TM150" s="1260"/>
      <c r="TN150" s="1260"/>
      <c r="TO150" s="1260"/>
      <c r="TP150" s="1260"/>
      <c r="TQ150" s="1260"/>
      <c r="TR150" s="1260"/>
      <c r="TS150" s="1260"/>
      <c r="TT150" s="1260"/>
      <c r="TU150" s="1260"/>
      <c r="TV150" s="1260"/>
      <c r="TW150" s="1260"/>
      <c r="TX150" s="1260"/>
      <c r="TY150" s="1260"/>
      <c r="TZ150" s="1260"/>
      <c r="UA150" s="1260"/>
      <c r="UB150" s="1260"/>
      <c r="UC150" s="1260"/>
      <c r="UD150" s="1260"/>
      <c r="UE150" s="1260"/>
      <c r="UF150" s="1260"/>
      <c r="UG150" s="1261"/>
    </row>
    <row r="151" spans="1:553" s="1262" customFormat="1" ht="34.5" customHeight="1">
      <c r="A151" s="356" t="s">
        <v>15</v>
      </c>
      <c r="B151" s="356"/>
      <c r="C151" s="1472" t="s">
        <v>194</v>
      </c>
      <c r="D151" s="1389"/>
      <c r="E151" s="1389"/>
      <c r="F151" s="1390"/>
      <c r="G151" s="366" t="s">
        <v>193</v>
      </c>
      <c r="H151" s="370"/>
      <c r="I151" s="443">
        <v>1</v>
      </c>
      <c r="J151" s="368">
        <v>125000</v>
      </c>
      <c r="K151" s="388"/>
      <c r="L151" s="480">
        <f t="shared" ref="L151:L157" si="34">ROUND(PRODUCT(I151:K151),0)</f>
        <v>125000</v>
      </c>
      <c r="M151" s="366"/>
      <c r="N151" s="366"/>
      <c r="O151" s="366"/>
      <c r="P151" s="366"/>
      <c r="Q151" s="1136"/>
      <c r="R151" s="1452"/>
      <c r="S151" s="308"/>
      <c r="T151" s="303"/>
      <c r="U151" s="306"/>
      <c r="V151" s="307"/>
      <c r="W151" s="306"/>
      <c r="X151" s="306"/>
      <c r="Y151" s="306"/>
      <c r="Z151" s="306"/>
      <c r="AA151" s="306"/>
      <c r="AB151" s="306"/>
      <c r="AC151" s="449"/>
      <c r="AD151" s="452"/>
      <c r="AE151" s="452"/>
      <c r="AF151" s="452"/>
      <c r="AG151" s="452"/>
      <c r="AH151" s="452"/>
      <c r="AI151" s="452"/>
      <c r="AJ151" s="452"/>
      <c r="AK151" s="452"/>
      <c r="AL151" s="1259"/>
      <c r="AM151" s="1260"/>
      <c r="AN151" s="1260"/>
      <c r="AO151" s="1260"/>
      <c r="AP151" s="1260"/>
      <c r="AQ151" s="1260"/>
      <c r="AR151" s="1260"/>
      <c r="AS151" s="1260"/>
      <c r="AT151" s="1260"/>
      <c r="AU151" s="1260"/>
      <c r="AV151" s="1260"/>
      <c r="AW151" s="1260"/>
      <c r="AX151" s="1260"/>
      <c r="AY151" s="1260"/>
      <c r="AZ151" s="1260"/>
      <c r="BA151" s="1260"/>
      <c r="BB151" s="1260"/>
      <c r="BC151" s="1260"/>
      <c r="BD151" s="1260"/>
      <c r="BE151" s="1260"/>
      <c r="BF151" s="1260"/>
      <c r="BG151" s="1260"/>
      <c r="BH151" s="1260"/>
      <c r="BI151" s="1260"/>
      <c r="BJ151" s="1260"/>
      <c r="BK151" s="1260"/>
      <c r="BL151" s="1260"/>
      <c r="BM151" s="1260"/>
      <c r="BN151" s="1260"/>
      <c r="BO151" s="1260"/>
      <c r="BP151" s="1260"/>
      <c r="BQ151" s="1260"/>
      <c r="BR151" s="1260"/>
      <c r="BS151" s="1260"/>
      <c r="BT151" s="1260"/>
      <c r="BU151" s="1260"/>
      <c r="BV151" s="1260"/>
      <c r="BW151" s="1260"/>
      <c r="BX151" s="1260"/>
      <c r="BY151" s="1260"/>
      <c r="BZ151" s="1260"/>
      <c r="CA151" s="1260"/>
      <c r="CB151" s="1260"/>
      <c r="CC151" s="1260"/>
      <c r="CD151" s="1260"/>
      <c r="CE151" s="1260"/>
      <c r="CF151" s="1260"/>
      <c r="CG151" s="1260"/>
      <c r="CH151" s="1260"/>
      <c r="CI151" s="1260"/>
      <c r="CJ151" s="1260"/>
      <c r="CK151" s="1260"/>
      <c r="CL151" s="1260"/>
      <c r="CM151" s="1260"/>
      <c r="CN151" s="1260"/>
      <c r="CO151" s="1260"/>
      <c r="CP151" s="1260"/>
      <c r="CQ151" s="1260"/>
      <c r="CR151" s="1260"/>
      <c r="CS151" s="1260"/>
      <c r="CT151" s="1260"/>
      <c r="CU151" s="1260"/>
      <c r="CV151" s="1260"/>
      <c r="CW151" s="1260"/>
      <c r="CX151" s="1260"/>
      <c r="CY151" s="1260"/>
      <c r="CZ151" s="1260"/>
      <c r="DA151" s="1260"/>
      <c r="DB151" s="1260"/>
      <c r="DC151" s="1260"/>
      <c r="DD151" s="1260"/>
      <c r="DE151" s="1260"/>
      <c r="DF151" s="1260"/>
      <c r="DG151" s="1260"/>
      <c r="DH151" s="1260"/>
      <c r="DI151" s="1260"/>
      <c r="DJ151" s="1260"/>
      <c r="DK151" s="1260"/>
      <c r="DL151" s="1260"/>
      <c r="DM151" s="1260"/>
      <c r="DN151" s="1260"/>
      <c r="DO151" s="1260"/>
      <c r="DP151" s="1260"/>
      <c r="DQ151" s="1260"/>
      <c r="DR151" s="1260"/>
      <c r="DS151" s="1260"/>
      <c r="DT151" s="1260"/>
      <c r="DU151" s="1260"/>
      <c r="DV151" s="1260"/>
      <c r="DW151" s="1260"/>
      <c r="DX151" s="1260"/>
      <c r="DY151" s="1260"/>
      <c r="DZ151" s="1260"/>
      <c r="EA151" s="1260"/>
      <c r="EB151" s="1260"/>
      <c r="EC151" s="1260"/>
      <c r="ED151" s="1260"/>
      <c r="EE151" s="1260"/>
      <c r="EF151" s="1260"/>
      <c r="EG151" s="1260"/>
      <c r="EH151" s="1260"/>
      <c r="EI151" s="1260"/>
      <c r="EJ151" s="1260"/>
      <c r="EK151" s="1260"/>
      <c r="EL151" s="1260"/>
      <c r="EM151" s="1260"/>
      <c r="EN151" s="1260"/>
      <c r="EO151" s="1260"/>
      <c r="EP151" s="1260"/>
      <c r="EQ151" s="1260"/>
      <c r="ER151" s="1260"/>
      <c r="ES151" s="1260"/>
      <c r="ET151" s="1260"/>
      <c r="EU151" s="1260"/>
      <c r="EV151" s="1260"/>
      <c r="EW151" s="1260"/>
      <c r="EX151" s="1260"/>
      <c r="EY151" s="1260"/>
      <c r="EZ151" s="1260"/>
      <c r="FA151" s="1260"/>
      <c r="FB151" s="1260"/>
      <c r="FC151" s="1260"/>
      <c r="FD151" s="1260"/>
      <c r="FE151" s="1260"/>
      <c r="FF151" s="1260"/>
      <c r="FG151" s="1260"/>
      <c r="FH151" s="1260"/>
      <c r="FI151" s="1260"/>
      <c r="FJ151" s="1260"/>
      <c r="FK151" s="1260"/>
      <c r="FL151" s="1260"/>
      <c r="FM151" s="1260"/>
      <c r="FN151" s="1260"/>
      <c r="FO151" s="1260"/>
      <c r="FP151" s="1260"/>
      <c r="FQ151" s="1260"/>
      <c r="FR151" s="1260"/>
      <c r="FS151" s="1260"/>
      <c r="FT151" s="1260"/>
      <c r="FU151" s="1260"/>
      <c r="FV151" s="1260"/>
      <c r="FW151" s="1260"/>
      <c r="FX151" s="1260"/>
      <c r="FY151" s="1260"/>
      <c r="FZ151" s="1260"/>
      <c r="GA151" s="1260"/>
      <c r="GB151" s="1260"/>
      <c r="GC151" s="1260"/>
      <c r="GD151" s="1260"/>
      <c r="GE151" s="1260"/>
      <c r="GF151" s="1260"/>
      <c r="GG151" s="1260"/>
      <c r="GH151" s="1260"/>
      <c r="GI151" s="1260"/>
      <c r="GJ151" s="1260"/>
      <c r="GK151" s="1260"/>
      <c r="GL151" s="1260"/>
      <c r="GM151" s="1260"/>
      <c r="GN151" s="1260"/>
      <c r="GO151" s="1260"/>
      <c r="GP151" s="1260"/>
      <c r="GQ151" s="1260"/>
      <c r="GR151" s="1260"/>
      <c r="GS151" s="1260"/>
      <c r="GT151" s="1260"/>
      <c r="GU151" s="1260"/>
      <c r="GV151" s="1260"/>
      <c r="GW151" s="1260"/>
      <c r="GX151" s="1260"/>
      <c r="GY151" s="1260"/>
      <c r="GZ151" s="1260"/>
      <c r="HA151" s="1260"/>
      <c r="HB151" s="1260"/>
      <c r="HC151" s="1260"/>
      <c r="HD151" s="1260"/>
      <c r="HE151" s="1260"/>
      <c r="HF151" s="1260"/>
      <c r="HG151" s="1260"/>
      <c r="HH151" s="1260"/>
      <c r="HI151" s="1260"/>
      <c r="HJ151" s="1260"/>
      <c r="HK151" s="1260"/>
      <c r="HL151" s="1260"/>
      <c r="HM151" s="1260"/>
      <c r="HN151" s="1260"/>
      <c r="HO151" s="1260"/>
      <c r="HP151" s="1260"/>
      <c r="HQ151" s="1260"/>
      <c r="HR151" s="1260"/>
      <c r="HS151" s="1260"/>
      <c r="HT151" s="1260"/>
      <c r="HU151" s="1260"/>
      <c r="HV151" s="1260"/>
      <c r="HW151" s="1260"/>
      <c r="HX151" s="1260"/>
      <c r="HY151" s="1260"/>
      <c r="HZ151" s="1260"/>
      <c r="IA151" s="1260"/>
      <c r="IB151" s="1260"/>
      <c r="IC151" s="1260"/>
      <c r="ID151" s="1260"/>
      <c r="IE151" s="1260"/>
      <c r="IF151" s="1260"/>
      <c r="IG151" s="1260"/>
      <c r="IH151" s="1260"/>
      <c r="II151" s="1260"/>
      <c r="IJ151" s="1260"/>
      <c r="IK151" s="1260"/>
      <c r="IL151" s="1260"/>
      <c r="IM151" s="1260"/>
      <c r="IN151" s="1260"/>
      <c r="IO151" s="1260"/>
      <c r="IP151" s="1260"/>
      <c r="IQ151" s="1260"/>
      <c r="IR151" s="1260"/>
      <c r="IS151" s="1260"/>
      <c r="IT151" s="1260"/>
      <c r="IU151" s="1260"/>
      <c r="IV151" s="1260"/>
      <c r="IW151" s="1260"/>
      <c r="IX151" s="1260"/>
      <c r="IY151" s="1260"/>
      <c r="IZ151" s="1260"/>
      <c r="JA151" s="1260"/>
      <c r="JB151" s="1260"/>
      <c r="JC151" s="1260"/>
      <c r="JD151" s="1260"/>
      <c r="JE151" s="1260"/>
      <c r="JF151" s="1260"/>
      <c r="JG151" s="1260"/>
      <c r="JH151" s="1260"/>
      <c r="JI151" s="1260"/>
      <c r="JJ151" s="1260"/>
      <c r="JK151" s="1260"/>
      <c r="JL151" s="1260"/>
      <c r="JM151" s="1260"/>
      <c r="JN151" s="1260"/>
      <c r="JO151" s="1260"/>
      <c r="JP151" s="1260"/>
      <c r="JQ151" s="1260"/>
      <c r="JR151" s="1260"/>
      <c r="JS151" s="1260"/>
      <c r="JT151" s="1260"/>
      <c r="JU151" s="1260"/>
      <c r="JV151" s="1260"/>
      <c r="JW151" s="1260"/>
      <c r="JX151" s="1260"/>
      <c r="JY151" s="1260"/>
      <c r="JZ151" s="1260"/>
      <c r="KA151" s="1260"/>
      <c r="KB151" s="1260"/>
      <c r="KC151" s="1260"/>
      <c r="KD151" s="1260"/>
      <c r="KE151" s="1260"/>
      <c r="KF151" s="1260"/>
      <c r="KG151" s="1260"/>
      <c r="KH151" s="1260"/>
      <c r="KI151" s="1260"/>
      <c r="KJ151" s="1260"/>
      <c r="KK151" s="1260"/>
      <c r="KL151" s="1260"/>
      <c r="KM151" s="1260"/>
      <c r="KN151" s="1260"/>
      <c r="KO151" s="1260"/>
      <c r="KP151" s="1260"/>
      <c r="KQ151" s="1260"/>
      <c r="KR151" s="1260"/>
      <c r="KS151" s="1260"/>
      <c r="KT151" s="1260"/>
      <c r="KU151" s="1260"/>
      <c r="KV151" s="1260"/>
      <c r="KW151" s="1260"/>
      <c r="KX151" s="1260"/>
      <c r="KY151" s="1260"/>
      <c r="KZ151" s="1260"/>
      <c r="LA151" s="1260"/>
      <c r="LB151" s="1260"/>
      <c r="LC151" s="1260"/>
      <c r="LD151" s="1260"/>
      <c r="LE151" s="1260"/>
      <c r="LF151" s="1260"/>
      <c r="LG151" s="1260"/>
      <c r="LH151" s="1260"/>
      <c r="LI151" s="1260"/>
      <c r="LJ151" s="1260"/>
      <c r="LK151" s="1260"/>
      <c r="LL151" s="1260"/>
      <c r="LM151" s="1260"/>
      <c r="LN151" s="1260"/>
      <c r="LO151" s="1260"/>
      <c r="LP151" s="1260"/>
      <c r="LQ151" s="1260"/>
      <c r="LR151" s="1260"/>
      <c r="LS151" s="1260"/>
      <c r="LT151" s="1260"/>
      <c r="LU151" s="1260"/>
      <c r="LV151" s="1260"/>
      <c r="LW151" s="1260"/>
      <c r="LX151" s="1260"/>
      <c r="LY151" s="1260"/>
      <c r="LZ151" s="1260"/>
      <c r="MA151" s="1260"/>
      <c r="MB151" s="1260"/>
      <c r="MC151" s="1260"/>
      <c r="MD151" s="1260"/>
      <c r="ME151" s="1260"/>
      <c r="MF151" s="1260"/>
      <c r="MG151" s="1260"/>
      <c r="MH151" s="1260"/>
      <c r="MI151" s="1260"/>
      <c r="MJ151" s="1260"/>
      <c r="MK151" s="1260"/>
      <c r="ML151" s="1260"/>
      <c r="MM151" s="1260"/>
      <c r="MN151" s="1260"/>
      <c r="MO151" s="1260"/>
      <c r="MP151" s="1260"/>
      <c r="MQ151" s="1260"/>
      <c r="MR151" s="1260"/>
      <c r="MS151" s="1260"/>
      <c r="MT151" s="1260"/>
      <c r="MU151" s="1260"/>
      <c r="MV151" s="1260"/>
      <c r="MW151" s="1260"/>
      <c r="MX151" s="1260"/>
      <c r="MY151" s="1260"/>
      <c r="MZ151" s="1260"/>
      <c r="NA151" s="1260"/>
      <c r="NB151" s="1260"/>
      <c r="NC151" s="1260"/>
      <c r="ND151" s="1260"/>
      <c r="NE151" s="1260"/>
      <c r="NF151" s="1260"/>
      <c r="NG151" s="1260"/>
      <c r="NH151" s="1260"/>
      <c r="NI151" s="1260"/>
      <c r="NJ151" s="1260"/>
      <c r="NK151" s="1260"/>
      <c r="NL151" s="1260"/>
      <c r="NM151" s="1260"/>
      <c r="NN151" s="1260"/>
      <c r="NO151" s="1260"/>
      <c r="NP151" s="1260"/>
      <c r="NQ151" s="1260"/>
      <c r="NR151" s="1260"/>
      <c r="NS151" s="1260"/>
      <c r="NT151" s="1260"/>
      <c r="NU151" s="1260"/>
      <c r="NV151" s="1260"/>
      <c r="NW151" s="1260"/>
      <c r="NX151" s="1260"/>
      <c r="NY151" s="1260"/>
      <c r="NZ151" s="1260"/>
      <c r="OA151" s="1260"/>
      <c r="OB151" s="1260"/>
      <c r="OC151" s="1260"/>
      <c r="OD151" s="1260"/>
      <c r="OE151" s="1260"/>
      <c r="OF151" s="1260"/>
      <c r="OG151" s="1260"/>
      <c r="OH151" s="1260"/>
      <c r="OI151" s="1260"/>
      <c r="OJ151" s="1260"/>
      <c r="OK151" s="1260"/>
      <c r="OL151" s="1260"/>
      <c r="OM151" s="1260"/>
      <c r="ON151" s="1260"/>
      <c r="OO151" s="1260"/>
      <c r="OP151" s="1260"/>
      <c r="OQ151" s="1260"/>
      <c r="OR151" s="1260"/>
      <c r="OS151" s="1260"/>
      <c r="OT151" s="1260"/>
      <c r="OU151" s="1260"/>
      <c r="OV151" s="1260"/>
      <c r="OW151" s="1260"/>
      <c r="OX151" s="1260"/>
      <c r="OY151" s="1260"/>
      <c r="OZ151" s="1260"/>
      <c r="PA151" s="1260"/>
      <c r="PB151" s="1260"/>
      <c r="PC151" s="1260"/>
      <c r="PD151" s="1260"/>
      <c r="PE151" s="1260"/>
      <c r="PF151" s="1260"/>
      <c r="PG151" s="1260"/>
      <c r="PH151" s="1260"/>
      <c r="PI151" s="1260"/>
      <c r="PJ151" s="1260"/>
      <c r="PK151" s="1260"/>
      <c r="PL151" s="1260"/>
      <c r="PM151" s="1260"/>
      <c r="PN151" s="1260"/>
      <c r="PO151" s="1260"/>
      <c r="PP151" s="1260"/>
      <c r="PQ151" s="1260"/>
      <c r="PR151" s="1260"/>
      <c r="PS151" s="1260"/>
      <c r="PT151" s="1260"/>
      <c r="PU151" s="1260"/>
      <c r="PV151" s="1260"/>
      <c r="PW151" s="1260"/>
      <c r="PX151" s="1260"/>
      <c r="PY151" s="1260"/>
      <c r="PZ151" s="1260"/>
      <c r="QA151" s="1260"/>
      <c r="QB151" s="1260"/>
      <c r="QC151" s="1260"/>
      <c r="QD151" s="1260"/>
      <c r="QE151" s="1260"/>
      <c r="QF151" s="1260"/>
      <c r="QG151" s="1260"/>
      <c r="QH151" s="1260"/>
      <c r="QI151" s="1260"/>
      <c r="QJ151" s="1260"/>
      <c r="QK151" s="1260"/>
      <c r="QL151" s="1260"/>
      <c r="QM151" s="1260"/>
      <c r="QN151" s="1260"/>
      <c r="QO151" s="1260"/>
      <c r="QP151" s="1260"/>
      <c r="QQ151" s="1260"/>
      <c r="QR151" s="1260"/>
      <c r="QS151" s="1260"/>
      <c r="QT151" s="1260"/>
      <c r="QU151" s="1260"/>
      <c r="QV151" s="1260"/>
      <c r="QW151" s="1260"/>
      <c r="QX151" s="1260"/>
      <c r="QY151" s="1260"/>
      <c r="QZ151" s="1260"/>
      <c r="RA151" s="1260"/>
      <c r="RB151" s="1260"/>
      <c r="RC151" s="1260"/>
      <c r="RD151" s="1260"/>
      <c r="RE151" s="1260"/>
      <c r="RF151" s="1260"/>
      <c r="RG151" s="1260"/>
      <c r="RH151" s="1260"/>
      <c r="RI151" s="1260"/>
      <c r="RJ151" s="1260"/>
      <c r="RK151" s="1260"/>
      <c r="RL151" s="1260"/>
      <c r="RM151" s="1260"/>
      <c r="RN151" s="1260"/>
      <c r="RO151" s="1260"/>
      <c r="RP151" s="1260"/>
      <c r="RQ151" s="1260"/>
      <c r="RR151" s="1260"/>
      <c r="RS151" s="1260"/>
      <c r="RT151" s="1260"/>
      <c r="RU151" s="1260"/>
      <c r="RV151" s="1260"/>
      <c r="RW151" s="1260"/>
      <c r="RX151" s="1260"/>
      <c r="RY151" s="1260"/>
      <c r="RZ151" s="1260"/>
      <c r="SA151" s="1260"/>
      <c r="SB151" s="1260"/>
      <c r="SC151" s="1260"/>
      <c r="SD151" s="1260"/>
      <c r="SE151" s="1260"/>
      <c r="SF151" s="1260"/>
      <c r="SG151" s="1260"/>
      <c r="SH151" s="1260"/>
      <c r="SI151" s="1260"/>
      <c r="SJ151" s="1260"/>
      <c r="SK151" s="1260"/>
      <c r="SL151" s="1260"/>
      <c r="SM151" s="1260"/>
      <c r="SN151" s="1260"/>
      <c r="SO151" s="1260"/>
      <c r="SP151" s="1260"/>
      <c r="SQ151" s="1260"/>
      <c r="SR151" s="1260"/>
      <c r="SS151" s="1260"/>
      <c r="ST151" s="1260"/>
      <c r="SU151" s="1260"/>
      <c r="SV151" s="1260"/>
      <c r="SW151" s="1260"/>
      <c r="SX151" s="1260"/>
      <c r="SY151" s="1260"/>
      <c r="SZ151" s="1260"/>
      <c r="TA151" s="1260"/>
      <c r="TB151" s="1260"/>
      <c r="TC151" s="1260"/>
      <c r="TD151" s="1260"/>
      <c r="TE151" s="1260"/>
      <c r="TF151" s="1260"/>
      <c r="TG151" s="1260"/>
      <c r="TH151" s="1260"/>
      <c r="TI151" s="1260"/>
      <c r="TJ151" s="1260"/>
      <c r="TK151" s="1260"/>
      <c r="TL151" s="1260"/>
      <c r="TM151" s="1260"/>
      <c r="TN151" s="1260"/>
      <c r="TO151" s="1260"/>
      <c r="TP151" s="1260"/>
      <c r="TQ151" s="1260"/>
      <c r="TR151" s="1260"/>
      <c r="TS151" s="1260"/>
      <c r="TT151" s="1260"/>
      <c r="TU151" s="1260"/>
      <c r="TV151" s="1260"/>
      <c r="TW151" s="1260"/>
      <c r="TX151" s="1260"/>
      <c r="TY151" s="1260"/>
      <c r="TZ151" s="1260"/>
      <c r="UA151" s="1260"/>
      <c r="UB151" s="1260"/>
      <c r="UC151" s="1260"/>
      <c r="UD151" s="1260"/>
      <c r="UE151" s="1260"/>
      <c r="UF151" s="1260"/>
      <c r="UG151" s="1261"/>
    </row>
    <row r="152" spans="1:553" s="1262" customFormat="1" ht="34.5" customHeight="1">
      <c r="A152" s="366" t="s">
        <v>15</v>
      </c>
      <c r="B152" s="366"/>
      <c r="C152" s="1472" t="s">
        <v>195</v>
      </c>
      <c r="D152" s="1389"/>
      <c r="E152" s="1389"/>
      <c r="F152" s="1390"/>
      <c r="G152" s="386" t="s">
        <v>196</v>
      </c>
      <c r="H152" s="370"/>
      <c r="I152" s="422">
        <f>(55.03*100/400)*(32-(5-3))*1</f>
        <v>412.72500000000002</v>
      </c>
      <c r="J152" s="368">
        <v>7300</v>
      </c>
      <c r="K152" s="495">
        <v>0.7</v>
      </c>
      <c r="L152" s="369">
        <f>ROUND(PRODUCT(I152:K152),0)</f>
        <v>2109025</v>
      </c>
      <c r="M152" s="366"/>
      <c r="N152" s="366"/>
      <c r="O152" s="366"/>
      <c r="P152" s="366"/>
      <c r="Q152" s="1136"/>
      <c r="R152" s="1452"/>
      <c r="S152" s="308"/>
      <c r="T152" s="303"/>
      <c r="U152" s="306"/>
      <c r="V152" s="307"/>
      <c r="W152" s="306"/>
      <c r="X152" s="306"/>
      <c r="Y152" s="306"/>
      <c r="Z152" s="306"/>
      <c r="AA152" s="306"/>
      <c r="AB152" s="306"/>
      <c r="AC152" s="449"/>
      <c r="AD152" s="452"/>
      <c r="AE152" s="452"/>
      <c r="AF152" s="452"/>
      <c r="AG152" s="452"/>
      <c r="AH152" s="452"/>
      <c r="AI152" s="452"/>
      <c r="AJ152" s="452"/>
      <c r="AK152" s="452"/>
      <c r="AL152" s="1259"/>
      <c r="AM152" s="1260"/>
      <c r="AN152" s="1260"/>
      <c r="AO152" s="1260"/>
      <c r="AP152" s="1260"/>
      <c r="AQ152" s="1260"/>
      <c r="AR152" s="1260"/>
      <c r="AS152" s="1260"/>
      <c r="AT152" s="1260"/>
      <c r="AU152" s="1260"/>
      <c r="AV152" s="1260"/>
      <c r="AW152" s="1260"/>
      <c r="AX152" s="1260"/>
      <c r="AY152" s="1260"/>
      <c r="AZ152" s="1260"/>
      <c r="BA152" s="1260"/>
      <c r="BB152" s="1260"/>
      <c r="BC152" s="1260"/>
      <c r="BD152" s="1260"/>
      <c r="BE152" s="1260"/>
      <c r="BF152" s="1260"/>
      <c r="BG152" s="1260"/>
      <c r="BH152" s="1260"/>
      <c r="BI152" s="1260"/>
      <c r="BJ152" s="1260"/>
      <c r="BK152" s="1260"/>
      <c r="BL152" s="1260"/>
      <c r="BM152" s="1260"/>
      <c r="BN152" s="1260"/>
      <c r="BO152" s="1260"/>
      <c r="BP152" s="1260"/>
      <c r="BQ152" s="1260"/>
      <c r="BR152" s="1260"/>
      <c r="BS152" s="1260"/>
      <c r="BT152" s="1260"/>
      <c r="BU152" s="1260"/>
      <c r="BV152" s="1260"/>
      <c r="BW152" s="1260"/>
      <c r="BX152" s="1260"/>
      <c r="BY152" s="1260"/>
      <c r="BZ152" s="1260"/>
      <c r="CA152" s="1260"/>
      <c r="CB152" s="1260"/>
      <c r="CC152" s="1260"/>
      <c r="CD152" s="1260"/>
      <c r="CE152" s="1260"/>
      <c r="CF152" s="1260"/>
      <c r="CG152" s="1260"/>
      <c r="CH152" s="1260"/>
      <c r="CI152" s="1260"/>
      <c r="CJ152" s="1260"/>
      <c r="CK152" s="1260"/>
      <c r="CL152" s="1260"/>
      <c r="CM152" s="1260"/>
      <c r="CN152" s="1260"/>
      <c r="CO152" s="1260"/>
      <c r="CP152" s="1260"/>
      <c r="CQ152" s="1260"/>
      <c r="CR152" s="1260"/>
      <c r="CS152" s="1260"/>
      <c r="CT152" s="1260"/>
      <c r="CU152" s="1260"/>
      <c r="CV152" s="1260"/>
      <c r="CW152" s="1260"/>
      <c r="CX152" s="1260"/>
      <c r="CY152" s="1260"/>
      <c r="CZ152" s="1260"/>
      <c r="DA152" s="1260"/>
      <c r="DB152" s="1260"/>
      <c r="DC152" s="1260"/>
      <c r="DD152" s="1260"/>
      <c r="DE152" s="1260"/>
      <c r="DF152" s="1260"/>
      <c r="DG152" s="1260"/>
      <c r="DH152" s="1260"/>
      <c r="DI152" s="1260"/>
      <c r="DJ152" s="1260"/>
      <c r="DK152" s="1260"/>
      <c r="DL152" s="1260"/>
      <c r="DM152" s="1260"/>
      <c r="DN152" s="1260"/>
      <c r="DO152" s="1260"/>
      <c r="DP152" s="1260"/>
      <c r="DQ152" s="1260"/>
      <c r="DR152" s="1260"/>
      <c r="DS152" s="1260"/>
      <c r="DT152" s="1260"/>
      <c r="DU152" s="1260"/>
      <c r="DV152" s="1260"/>
      <c r="DW152" s="1260"/>
      <c r="DX152" s="1260"/>
      <c r="DY152" s="1260"/>
      <c r="DZ152" s="1260"/>
      <c r="EA152" s="1260"/>
      <c r="EB152" s="1260"/>
      <c r="EC152" s="1260"/>
      <c r="ED152" s="1260"/>
      <c r="EE152" s="1260"/>
      <c r="EF152" s="1260"/>
      <c r="EG152" s="1260"/>
      <c r="EH152" s="1260"/>
      <c r="EI152" s="1260"/>
      <c r="EJ152" s="1260"/>
      <c r="EK152" s="1260"/>
      <c r="EL152" s="1260"/>
      <c r="EM152" s="1260"/>
      <c r="EN152" s="1260"/>
      <c r="EO152" s="1260"/>
      <c r="EP152" s="1260"/>
      <c r="EQ152" s="1260"/>
      <c r="ER152" s="1260"/>
      <c r="ES152" s="1260"/>
      <c r="ET152" s="1260"/>
      <c r="EU152" s="1260"/>
      <c r="EV152" s="1260"/>
      <c r="EW152" s="1260"/>
      <c r="EX152" s="1260"/>
      <c r="EY152" s="1260"/>
      <c r="EZ152" s="1260"/>
      <c r="FA152" s="1260"/>
      <c r="FB152" s="1260"/>
      <c r="FC152" s="1260"/>
      <c r="FD152" s="1260"/>
      <c r="FE152" s="1260"/>
      <c r="FF152" s="1260"/>
      <c r="FG152" s="1260"/>
      <c r="FH152" s="1260"/>
      <c r="FI152" s="1260"/>
      <c r="FJ152" s="1260"/>
      <c r="FK152" s="1260"/>
      <c r="FL152" s="1260"/>
      <c r="FM152" s="1260"/>
      <c r="FN152" s="1260"/>
      <c r="FO152" s="1260"/>
      <c r="FP152" s="1260"/>
      <c r="FQ152" s="1260"/>
      <c r="FR152" s="1260"/>
      <c r="FS152" s="1260"/>
      <c r="FT152" s="1260"/>
      <c r="FU152" s="1260"/>
      <c r="FV152" s="1260"/>
      <c r="FW152" s="1260"/>
      <c r="FX152" s="1260"/>
      <c r="FY152" s="1260"/>
      <c r="FZ152" s="1260"/>
      <c r="GA152" s="1260"/>
      <c r="GB152" s="1260"/>
      <c r="GC152" s="1260"/>
      <c r="GD152" s="1260"/>
      <c r="GE152" s="1260"/>
      <c r="GF152" s="1260"/>
      <c r="GG152" s="1260"/>
      <c r="GH152" s="1260"/>
      <c r="GI152" s="1260"/>
      <c r="GJ152" s="1260"/>
      <c r="GK152" s="1260"/>
      <c r="GL152" s="1260"/>
      <c r="GM152" s="1260"/>
      <c r="GN152" s="1260"/>
      <c r="GO152" s="1260"/>
      <c r="GP152" s="1260"/>
      <c r="GQ152" s="1260"/>
      <c r="GR152" s="1260"/>
      <c r="GS152" s="1260"/>
      <c r="GT152" s="1260"/>
      <c r="GU152" s="1260"/>
      <c r="GV152" s="1260"/>
      <c r="GW152" s="1260"/>
      <c r="GX152" s="1260"/>
      <c r="GY152" s="1260"/>
      <c r="GZ152" s="1260"/>
      <c r="HA152" s="1260"/>
      <c r="HB152" s="1260"/>
      <c r="HC152" s="1260"/>
      <c r="HD152" s="1260"/>
      <c r="HE152" s="1260"/>
      <c r="HF152" s="1260"/>
      <c r="HG152" s="1260"/>
      <c r="HH152" s="1260"/>
      <c r="HI152" s="1260"/>
      <c r="HJ152" s="1260"/>
      <c r="HK152" s="1260"/>
      <c r="HL152" s="1260"/>
      <c r="HM152" s="1260"/>
      <c r="HN152" s="1260"/>
      <c r="HO152" s="1260"/>
      <c r="HP152" s="1260"/>
      <c r="HQ152" s="1260"/>
      <c r="HR152" s="1260"/>
      <c r="HS152" s="1260"/>
      <c r="HT152" s="1260"/>
      <c r="HU152" s="1260"/>
      <c r="HV152" s="1260"/>
      <c r="HW152" s="1260"/>
      <c r="HX152" s="1260"/>
      <c r="HY152" s="1260"/>
      <c r="HZ152" s="1260"/>
      <c r="IA152" s="1260"/>
      <c r="IB152" s="1260"/>
      <c r="IC152" s="1260"/>
      <c r="ID152" s="1260"/>
      <c r="IE152" s="1260"/>
      <c r="IF152" s="1260"/>
      <c r="IG152" s="1260"/>
      <c r="IH152" s="1260"/>
      <c r="II152" s="1260"/>
      <c r="IJ152" s="1260"/>
      <c r="IK152" s="1260"/>
      <c r="IL152" s="1260"/>
      <c r="IM152" s="1260"/>
      <c r="IN152" s="1260"/>
      <c r="IO152" s="1260"/>
      <c r="IP152" s="1260"/>
      <c r="IQ152" s="1260"/>
      <c r="IR152" s="1260"/>
      <c r="IS152" s="1260"/>
      <c r="IT152" s="1260"/>
      <c r="IU152" s="1260"/>
      <c r="IV152" s="1260"/>
      <c r="IW152" s="1260"/>
      <c r="IX152" s="1260"/>
      <c r="IY152" s="1260"/>
      <c r="IZ152" s="1260"/>
      <c r="JA152" s="1260"/>
      <c r="JB152" s="1260"/>
      <c r="JC152" s="1260"/>
      <c r="JD152" s="1260"/>
      <c r="JE152" s="1260"/>
      <c r="JF152" s="1260"/>
      <c r="JG152" s="1260"/>
      <c r="JH152" s="1260"/>
      <c r="JI152" s="1260"/>
      <c r="JJ152" s="1260"/>
      <c r="JK152" s="1260"/>
      <c r="JL152" s="1260"/>
      <c r="JM152" s="1260"/>
      <c r="JN152" s="1260"/>
      <c r="JO152" s="1260"/>
      <c r="JP152" s="1260"/>
      <c r="JQ152" s="1260"/>
      <c r="JR152" s="1260"/>
      <c r="JS152" s="1260"/>
      <c r="JT152" s="1260"/>
      <c r="JU152" s="1260"/>
      <c r="JV152" s="1260"/>
      <c r="JW152" s="1260"/>
      <c r="JX152" s="1260"/>
      <c r="JY152" s="1260"/>
      <c r="JZ152" s="1260"/>
      <c r="KA152" s="1260"/>
      <c r="KB152" s="1260"/>
      <c r="KC152" s="1260"/>
      <c r="KD152" s="1260"/>
      <c r="KE152" s="1260"/>
      <c r="KF152" s="1260"/>
      <c r="KG152" s="1260"/>
      <c r="KH152" s="1260"/>
      <c r="KI152" s="1260"/>
      <c r="KJ152" s="1260"/>
      <c r="KK152" s="1260"/>
      <c r="KL152" s="1260"/>
      <c r="KM152" s="1260"/>
      <c r="KN152" s="1260"/>
      <c r="KO152" s="1260"/>
      <c r="KP152" s="1260"/>
      <c r="KQ152" s="1260"/>
      <c r="KR152" s="1260"/>
      <c r="KS152" s="1260"/>
      <c r="KT152" s="1260"/>
      <c r="KU152" s="1260"/>
      <c r="KV152" s="1260"/>
      <c r="KW152" s="1260"/>
      <c r="KX152" s="1260"/>
      <c r="KY152" s="1260"/>
      <c r="KZ152" s="1260"/>
      <c r="LA152" s="1260"/>
      <c r="LB152" s="1260"/>
      <c r="LC152" s="1260"/>
      <c r="LD152" s="1260"/>
      <c r="LE152" s="1260"/>
      <c r="LF152" s="1260"/>
      <c r="LG152" s="1260"/>
      <c r="LH152" s="1260"/>
      <c r="LI152" s="1260"/>
      <c r="LJ152" s="1260"/>
      <c r="LK152" s="1260"/>
      <c r="LL152" s="1260"/>
      <c r="LM152" s="1260"/>
      <c r="LN152" s="1260"/>
      <c r="LO152" s="1260"/>
      <c r="LP152" s="1260"/>
      <c r="LQ152" s="1260"/>
      <c r="LR152" s="1260"/>
      <c r="LS152" s="1260"/>
      <c r="LT152" s="1260"/>
      <c r="LU152" s="1260"/>
      <c r="LV152" s="1260"/>
      <c r="LW152" s="1260"/>
      <c r="LX152" s="1260"/>
      <c r="LY152" s="1260"/>
      <c r="LZ152" s="1260"/>
      <c r="MA152" s="1260"/>
      <c r="MB152" s="1260"/>
      <c r="MC152" s="1260"/>
      <c r="MD152" s="1260"/>
      <c r="ME152" s="1260"/>
      <c r="MF152" s="1260"/>
      <c r="MG152" s="1260"/>
      <c r="MH152" s="1260"/>
      <c r="MI152" s="1260"/>
      <c r="MJ152" s="1260"/>
      <c r="MK152" s="1260"/>
      <c r="ML152" s="1260"/>
      <c r="MM152" s="1260"/>
      <c r="MN152" s="1260"/>
      <c r="MO152" s="1260"/>
      <c r="MP152" s="1260"/>
      <c r="MQ152" s="1260"/>
      <c r="MR152" s="1260"/>
      <c r="MS152" s="1260"/>
      <c r="MT152" s="1260"/>
      <c r="MU152" s="1260"/>
      <c r="MV152" s="1260"/>
      <c r="MW152" s="1260"/>
      <c r="MX152" s="1260"/>
      <c r="MY152" s="1260"/>
      <c r="MZ152" s="1260"/>
      <c r="NA152" s="1260"/>
      <c r="NB152" s="1260"/>
      <c r="NC152" s="1260"/>
      <c r="ND152" s="1260"/>
      <c r="NE152" s="1260"/>
      <c r="NF152" s="1260"/>
      <c r="NG152" s="1260"/>
      <c r="NH152" s="1260"/>
      <c r="NI152" s="1260"/>
      <c r="NJ152" s="1260"/>
      <c r="NK152" s="1260"/>
      <c r="NL152" s="1260"/>
      <c r="NM152" s="1260"/>
      <c r="NN152" s="1260"/>
      <c r="NO152" s="1260"/>
      <c r="NP152" s="1260"/>
      <c r="NQ152" s="1260"/>
      <c r="NR152" s="1260"/>
      <c r="NS152" s="1260"/>
      <c r="NT152" s="1260"/>
      <c r="NU152" s="1260"/>
      <c r="NV152" s="1260"/>
      <c r="NW152" s="1260"/>
      <c r="NX152" s="1260"/>
      <c r="NY152" s="1260"/>
      <c r="NZ152" s="1260"/>
      <c r="OA152" s="1260"/>
      <c r="OB152" s="1260"/>
      <c r="OC152" s="1260"/>
      <c r="OD152" s="1260"/>
      <c r="OE152" s="1260"/>
      <c r="OF152" s="1260"/>
      <c r="OG152" s="1260"/>
      <c r="OH152" s="1260"/>
      <c r="OI152" s="1260"/>
      <c r="OJ152" s="1260"/>
      <c r="OK152" s="1260"/>
      <c r="OL152" s="1260"/>
      <c r="OM152" s="1260"/>
      <c r="ON152" s="1260"/>
      <c r="OO152" s="1260"/>
      <c r="OP152" s="1260"/>
      <c r="OQ152" s="1260"/>
      <c r="OR152" s="1260"/>
      <c r="OS152" s="1260"/>
      <c r="OT152" s="1260"/>
      <c r="OU152" s="1260"/>
      <c r="OV152" s="1260"/>
      <c r="OW152" s="1260"/>
      <c r="OX152" s="1260"/>
      <c r="OY152" s="1260"/>
      <c r="OZ152" s="1260"/>
      <c r="PA152" s="1260"/>
      <c r="PB152" s="1260"/>
      <c r="PC152" s="1260"/>
      <c r="PD152" s="1260"/>
      <c r="PE152" s="1260"/>
      <c r="PF152" s="1260"/>
      <c r="PG152" s="1260"/>
      <c r="PH152" s="1260"/>
      <c r="PI152" s="1260"/>
      <c r="PJ152" s="1260"/>
      <c r="PK152" s="1260"/>
      <c r="PL152" s="1260"/>
      <c r="PM152" s="1260"/>
      <c r="PN152" s="1260"/>
      <c r="PO152" s="1260"/>
      <c r="PP152" s="1260"/>
      <c r="PQ152" s="1260"/>
      <c r="PR152" s="1260"/>
      <c r="PS152" s="1260"/>
      <c r="PT152" s="1260"/>
      <c r="PU152" s="1260"/>
      <c r="PV152" s="1260"/>
      <c r="PW152" s="1260"/>
      <c r="PX152" s="1260"/>
      <c r="PY152" s="1260"/>
      <c r="PZ152" s="1260"/>
      <c r="QA152" s="1260"/>
      <c r="QB152" s="1260"/>
      <c r="QC152" s="1260"/>
      <c r="QD152" s="1260"/>
      <c r="QE152" s="1260"/>
      <c r="QF152" s="1260"/>
      <c r="QG152" s="1260"/>
      <c r="QH152" s="1260"/>
      <c r="QI152" s="1260"/>
      <c r="QJ152" s="1260"/>
      <c r="QK152" s="1260"/>
      <c r="QL152" s="1260"/>
      <c r="QM152" s="1260"/>
      <c r="QN152" s="1260"/>
      <c r="QO152" s="1260"/>
      <c r="QP152" s="1260"/>
      <c r="QQ152" s="1260"/>
      <c r="QR152" s="1260"/>
      <c r="QS152" s="1260"/>
      <c r="QT152" s="1260"/>
      <c r="QU152" s="1260"/>
      <c r="QV152" s="1260"/>
      <c r="QW152" s="1260"/>
      <c r="QX152" s="1260"/>
      <c r="QY152" s="1260"/>
      <c r="QZ152" s="1260"/>
      <c r="RA152" s="1260"/>
      <c r="RB152" s="1260"/>
      <c r="RC152" s="1260"/>
      <c r="RD152" s="1260"/>
      <c r="RE152" s="1260"/>
      <c r="RF152" s="1260"/>
      <c r="RG152" s="1260"/>
      <c r="RH152" s="1260"/>
      <c r="RI152" s="1260"/>
      <c r="RJ152" s="1260"/>
      <c r="RK152" s="1260"/>
      <c r="RL152" s="1260"/>
      <c r="RM152" s="1260"/>
      <c r="RN152" s="1260"/>
      <c r="RO152" s="1260"/>
      <c r="RP152" s="1260"/>
      <c r="RQ152" s="1260"/>
      <c r="RR152" s="1260"/>
      <c r="RS152" s="1260"/>
      <c r="RT152" s="1260"/>
      <c r="RU152" s="1260"/>
      <c r="RV152" s="1260"/>
      <c r="RW152" s="1260"/>
      <c r="RX152" s="1260"/>
      <c r="RY152" s="1260"/>
      <c r="RZ152" s="1260"/>
      <c r="SA152" s="1260"/>
      <c r="SB152" s="1260"/>
      <c r="SC152" s="1260"/>
      <c r="SD152" s="1260"/>
      <c r="SE152" s="1260"/>
      <c r="SF152" s="1260"/>
      <c r="SG152" s="1260"/>
      <c r="SH152" s="1260"/>
      <c r="SI152" s="1260"/>
      <c r="SJ152" s="1260"/>
      <c r="SK152" s="1260"/>
      <c r="SL152" s="1260"/>
      <c r="SM152" s="1260"/>
      <c r="SN152" s="1260"/>
      <c r="SO152" s="1260"/>
      <c r="SP152" s="1260"/>
      <c r="SQ152" s="1260"/>
      <c r="SR152" s="1260"/>
      <c r="SS152" s="1260"/>
      <c r="ST152" s="1260"/>
      <c r="SU152" s="1260"/>
      <c r="SV152" s="1260"/>
      <c r="SW152" s="1260"/>
      <c r="SX152" s="1260"/>
      <c r="SY152" s="1260"/>
      <c r="SZ152" s="1260"/>
      <c r="TA152" s="1260"/>
      <c r="TB152" s="1260"/>
      <c r="TC152" s="1260"/>
      <c r="TD152" s="1260"/>
      <c r="TE152" s="1260"/>
      <c r="TF152" s="1260"/>
      <c r="TG152" s="1260"/>
      <c r="TH152" s="1260"/>
      <c r="TI152" s="1260"/>
      <c r="TJ152" s="1260"/>
      <c r="TK152" s="1260"/>
      <c r="TL152" s="1260"/>
      <c r="TM152" s="1260"/>
      <c r="TN152" s="1260"/>
      <c r="TO152" s="1260"/>
      <c r="TP152" s="1260"/>
      <c r="TQ152" s="1260"/>
      <c r="TR152" s="1260"/>
      <c r="TS152" s="1260"/>
      <c r="TT152" s="1260"/>
      <c r="TU152" s="1260"/>
      <c r="TV152" s="1260"/>
      <c r="TW152" s="1260"/>
      <c r="TX152" s="1260"/>
      <c r="TY152" s="1260"/>
      <c r="TZ152" s="1260"/>
      <c r="UA152" s="1260"/>
      <c r="UB152" s="1260"/>
      <c r="UC152" s="1260"/>
      <c r="UD152" s="1260"/>
      <c r="UE152" s="1260"/>
      <c r="UF152" s="1260"/>
      <c r="UG152" s="1261"/>
    </row>
    <row r="153" spans="1:553" s="1262" customFormat="1" ht="34.5" customHeight="1">
      <c r="A153" s="366" t="s">
        <v>15</v>
      </c>
      <c r="B153" s="366"/>
      <c r="C153" s="1472" t="s">
        <v>197</v>
      </c>
      <c r="D153" s="1389"/>
      <c r="E153" s="1389"/>
      <c r="F153" s="1390"/>
      <c r="G153" s="386" t="s">
        <v>196</v>
      </c>
      <c r="H153" s="370"/>
      <c r="I153" s="422">
        <f>(45.69*100/625)*(12-(4-3))*1</f>
        <v>80.414400000000001</v>
      </c>
      <c r="J153" s="368">
        <v>10700</v>
      </c>
      <c r="K153" s="495">
        <v>0.7</v>
      </c>
      <c r="L153" s="480">
        <f t="shared" si="34"/>
        <v>602304</v>
      </c>
      <c r="M153" s="366"/>
      <c r="N153" s="366"/>
      <c r="O153" s="366"/>
      <c r="P153" s="366"/>
      <c r="Q153" s="1136"/>
      <c r="R153" s="1452"/>
      <c r="S153" s="308"/>
      <c r="T153" s="303"/>
      <c r="U153" s="306"/>
      <c r="V153" s="307"/>
      <c r="W153" s="306"/>
      <c r="X153" s="306"/>
      <c r="Y153" s="306"/>
      <c r="Z153" s="306"/>
      <c r="AA153" s="306"/>
      <c r="AB153" s="306"/>
      <c r="AC153" s="449"/>
      <c r="AD153" s="452"/>
      <c r="AE153" s="452"/>
      <c r="AF153" s="452"/>
      <c r="AG153" s="452"/>
      <c r="AH153" s="452"/>
      <c r="AI153" s="452"/>
      <c r="AJ153" s="452"/>
      <c r="AK153" s="452"/>
      <c r="AL153" s="1259"/>
      <c r="AM153" s="1260"/>
      <c r="AN153" s="1260"/>
      <c r="AO153" s="1260"/>
      <c r="AP153" s="1260"/>
      <c r="AQ153" s="1260"/>
      <c r="AR153" s="1260"/>
      <c r="AS153" s="1260"/>
      <c r="AT153" s="1260"/>
      <c r="AU153" s="1260"/>
      <c r="AV153" s="1260"/>
      <c r="AW153" s="1260"/>
      <c r="AX153" s="1260"/>
      <c r="AY153" s="1260"/>
      <c r="AZ153" s="1260"/>
      <c r="BA153" s="1260"/>
      <c r="BB153" s="1260"/>
      <c r="BC153" s="1260"/>
      <c r="BD153" s="1260"/>
      <c r="BE153" s="1260"/>
      <c r="BF153" s="1260"/>
      <c r="BG153" s="1260"/>
      <c r="BH153" s="1260"/>
      <c r="BI153" s="1260"/>
      <c r="BJ153" s="1260"/>
      <c r="BK153" s="1260"/>
      <c r="BL153" s="1260"/>
      <c r="BM153" s="1260"/>
      <c r="BN153" s="1260"/>
      <c r="BO153" s="1260"/>
      <c r="BP153" s="1260"/>
      <c r="BQ153" s="1260"/>
      <c r="BR153" s="1260"/>
      <c r="BS153" s="1260"/>
      <c r="BT153" s="1260"/>
      <c r="BU153" s="1260"/>
      <c r="BV153" s="1260"/>
      <c r="BW153" s="1260"/>
      <c r="BX153" s="1260"/>
      <c r="BY153" s="1260"/>
      <c r="BZ153" s="1260"/>
      <c r="CA153" s="1260"/>
      <c r="CB153" s="1260"/>
      <c r="CC153" s="1260"/>
      <c r="CD153" s="1260"/>
      <c r="CE153" s="1260"/>
      <c r="CF153" s="1260"/>
      <c r="CG153" s="1260"/>
      <c r="CH153" s="1260"/>
      <c r="CI153" s="1260"/>
      <c r="CJ153" s="1260"/>
      <c r="CK153" s="1260"/>
      <c r="CL153" s="1260"/>
      <c r="CM153" s="1260"/>
      <c r="CN153" s="1260"/>
      <c r="CO153" s="1260"/>
      <c r="CP153" s="1260"/>
      <c r="CQ153" s="1260"/>
      <c r="CR153" s="1260"/>
      <c r="CS153" s="1260"/>
      <c r="CT153" s="1260"/>
      <c r="CU153" s="1260"/>
      <c r="CV153" s="1260"/>
      <c r="CW153" s="1260"/>
      <c r="CX153" s="1260"/>
      <c r="CY153" s="1260"/>
      <c r="CZ153" s="1260"/>
      <c r="DA153" s="1260"/>
      <c r="DB153" s="1260"/>
      <c r="DC153" s="1260"/>
      <c r="DD153" s="1260"/>
      <c r="DE153" s="1260"/>
      <c r="DF153" s="1260"/>
      <c r="DG153" s="1260"/>
      <c r="DH153" s="1260"/>
      <c r="DI153" s="1260"/>
      <c r="DJ153" s="1260"/>
      <c r="DK153" s="1260"/>
      <c r="DL153" s="1260"/>
      <c r="DM153" s="1260"/>
      <c r="DN153" s="1260"/>
      <c r="DO153" s="1260"/>
      <c r="DP153" s="1260"/>
      <c r="DQ153" s="1260"/>
      <c r="DR153" s="1260"/>
      <c r="DS153" s="1260"/>
      <c r="DT153" s="1260"/>
      <c r="DU153" s="1260"/>
      <c r="DV153" s="1260"/>
      <c r="DW153" s="1260"/>
      <c r="DX153" s="1260"/>
      <c r="DY153" s="1260"/>
      <c r="DZ153" s="1260"/>
      <c r="EA153" s="1260"/>
      <c r="EB153" s="1260"/>
      <c r="EC153" s="1260"/>
      <c r="ED153" s="1260"/>
      <c r="EE153" s="1260"/>
      <c r="EF153" s="1260"/>
      <c r="EG153" s="1260"/>
      <c r="EH153" s="1260"/>
      <c r="EI153" s="1260"/>
      <c r="EJ153" s="1260"/>
      <c r="EK153" s="1260"/>
      <c r="EL153" s="1260"/>
      <c r="EM153" s="1260"/>
      <c r="EN153" s="1260"/>
      <c r="EO153" s="1260"/>
      <c r="EP153" s="1260"/>
      <c r="EQ153" s="1260"/>
      <c r="ER153" s="1260"/>
      <c r="ES153" s="1260"/>
      <c r="ET153" s="1260"/>
      <c r="EU153" s="1260"/>
      <c r="EV153" s="1260"/>
      <c r="EW153" s="1260"/>
      <c r="EX153" s="1260"/>
      <c r="EY153" s="1260"/>
      <c r="EZ153" s="1260"/>
      <c r="FA153" s="1260"/>
      <c r="FB153" s="1260"/>
      <c r="FC153" s="1260"/>
      <c r="FD153" s="1260"/>
      <c r="FE153" s="1260"/>
      <c r="FF153" s="1260"/>
      <c r="FG153" s="1260"/>
      <c r="FH153" s="1260"/>
      <c r="FI153" s="1260"/>
      <c r="FJ153" s="1260"/>
      <c r="FK153" s="1260"/>
      <c r="FL153" s="1260"/>
      <c r="FM153" s="1260"/>
      <c r="FN153" s="1260"/>
      <c r="FO153" s="1260"/>
      <c r="FP153" s="1260"/>
      <c r="FQ153" s="1260"/>
      <c r="FR153" s="1260"/>
      <c r="FS153" s="1260"/>
      <c r="FT153" s="1260"/>
      <c r="FU153" s="1260"/>
      <c r="FV153" s="1260"/>
      <c r="FW153" s="1260"/>
      <c r="FX153" s="1260"/>
      <c r="FY153" s="1260"/>
      <c r="FZ153" s="1260"/>
      <c r="GA153" s="1260"/>
      <c r="GB153" s="1260"/>
      <c r="GC153" s="1260"/>
      <c r="GD153" s="1260"/>
      <c r="GE153" s="1260"/>
      <c r="GF153" s="1260"/>
      <c r="GG153" s="1260"/>
      <c r="GH153" s="1260"/>
      <c r="GI153" s="1260"/>
      <c r="GJ153" s="1260"/>
      <c r="GK153" s="1260"/>
      <c r="GL153" s="1260"/>
      <c r="GM153" s="1260"/>
      <c r="GN153" s="1260"/>
      <c r="GO153" s="1260"/>
      <c r="GP153" s="1260"/>
      <c r="GQ153" s="1260"/>
      <c r="GR153" s="1260"/>
      <c r="GS153" s="1260"/>
      <c r="GT153" s="1260"/>
      <c r="GU153" s="1260"/>
      <c r="GV153" s="1260"/>
      <c r="GW153" s="1260"/>
      <c r="GX153" s="1260"/>
      <c r="GY153" s="1260"/>
      <c r="GZ153" s="1260"/>
      <c r="HA153" s="1260"/>
      <c r="HB153" s="1260"/>
      <c r="HC153" s="1260"/>
      <c r="HD153" s="1260"/>
      <c r="HE153" s="1260"/>
      <c r="HF153" s="1260"/>
      <c r="HG153" s="1260"/>
      <c r="HH153" s="1260"/>
      <c r="HI153" s="1260"/>
      <c r="HJ153" s="1260"/>
      <c r="HK153" s="1260"/>
      <c r="HL153" s="1260"/>
      <c r="HM153" s="1260"/>
      <c r="HN153" s="1260"/>
      <c r="HO153" s="1260"/>
      <c r="HP153" s="1260"/>
      <c r="HQ153" s="1260"/>
      <c r="HR153" s="1260"/>
      <c r="HS153" s="1260"/>
      <c r="HT153" s="1260"/>
      <c r="HU153" s="1260"/>
      <c r="HV153" s="1260"/>
      <c r="HW153" s="1260"/>
      <c r="HX153" s="1260"/>
      <c r="HY153" s="1260"/>
      <c r="HZ153" s="1260"/>
      <c r="IA153" s="1260"/>
      <c r="IB153" s="1260"/>
      <c r="IC153" s="1260"/>
      <c r="ID153" s="1260"/>
      <c r="IE153" s="1260"/>
      <c r="IF153" s="1260"/>
      <c r="IG153" s="1260"/>
      <c r="IH153" s="1260"/>
      <c r="II153" s="1260"/>
      <c r="IJ153" s="1260"/>
      <c r="IK153" s="1260"/>
      <c r="IL153" s="1260"/>
      <c r="IM153" s="1260"/>
      <c r="IN153" s="1260"/>
      <c r="IO153" s="1260"/>
      <c r="IP153" s="1260"/>
      <c r="IQ153" s="1260"/>
      <c r="IR153" s="1260"/>
      <c r="IS153" s="1260"/>
      <c r="IT153" s="1260"/>
      <c r="IU153" s="1260"/>
      <c r="IV153" s="1260"/>
      <c r="IW153" s="1260"/>
      <c r="IX153" s="1260"/>
      <c r="IY153" s="1260"/>
      <c r="IZ153" s="1260"/>
      <c r="JA153" s="1260"/>
      <c r="JB153" s="1260"/>
      <c r="JC153" s="1260"/>
      <c r="JD153" s="1260"/>
      <c r="JE153" s="1260"/>
      <c r="JF153" s="1260"/>
      <c r="JG153" s="1260"/>
      <c r="JH153" s="1260"/>
      <c r="JI153" s="1260"/>
      <c r="JJ153" s="1260"/>
      <c r="JK153" s="1260"/>
      <c r="JL153" s="1260"/>
      <c r="JM153" s="1260"/>
      <c r="JN153" s="1260"/>
      <c r="JO153" s="1260"/>
      <c r="JP153" s="1260"/>
      <c r="JQ153" s="1260"/>
      <c r="JR153" s="1260"/>
      <c r="JS153" s="1260"/>
      <c r="JT153" s="1260"/>
      <c r="JU153" s="1260"/>
      <c r="JV153" s="1260"/>
      <c r="JW153" s="1260"/>
      <c r="JX153" s="1260"/>
      <c r="JY153" s="1260"/>
      <c r="JZ153" s="1260"/>
      <c r="KA153" s="1260"/>
      <c r="KB153" s="1260"/>
      <c r="KC153" s="1260"/>
      <c r="KD153" s="1260"/>
      <c r="KE153" s="1260"/>
      <c r="KF153" s="1260"/>
      <c r="KG153" s="1260"/>
      <c r="KH153" s="1260"/>
      <c r="KI153" s="1260"/>
      <c r="KJ153" s="1260"/>
      <c r="KK153" s="1260"/>
      <c r="KL153" s="1260"/>
      <c r="KM153" s="1260"/>
      <c r="KN153" s="1260"/>
      <c r="KO153" s="1260"/>
      <c r="KP153" s="1260"/>
      <c r="KQ153" s="1260"/>
      <c r="KR153" s="1260"/>
      <c r="KS153" s="1260"/>
      <c r="KT153" s="1260"/>
      <c r="KU153" s="1260"/>
      <c r="KV153" s="1260"/>
      <c r="KW153" s="1260"/>
      <c r="KX153" s="1260"/>
      <c r="KY153" s="1260"/>
      <c r="KZ153" s="1260"/>
      <c r="LA153" s="1260"/>
      <c r="LB153" s="1260"/>
      <c r="LC153" s="1260"/>
      <c r="LD153" s="1260"/>
      <c r="LE153" s="1260"/>
      <c r="LF153" s="1260"/>
      <c r="LG153" s="1260"/>
      <c r="LH153" s="1260"/>
      <c r="LI153" s="1260"/>
      <c r="LJ153" s="1260"/>
      <c r="LK153" s="1260"/>
      <c r="LL153" s="1260"/>
      <c r="LM153" s="1260"/>
      <c r="LN153" s="1260"/>
      <c r="LO153" s="1260"/>
      <c r="LP153" s="1260"/>
      <c r="LQ153" s="1260"/>
      <c r="LR153" s="1260"/>
      <c r="LS153" s="1260"/>
      <c r="LT153" s="1260"/>
      <c r="LU153" s="1260"/>
      <c r="LV153" s="1260"/>
      <c r="LW153" s="1260"/>
      <c r="LX153" s="1260"/>
      <c r="LY153" s="1260"/>
      <c r="LZ153" s="1260"/>
      <c r="MA153" s="1260"/>
      <c r="MB153" s="1260"/>
      <c r="MC153" s="1260"/>
      <c r="MD153" s="1260"/>
      <c r="ME153" s="1260"/>
      <c r="MF153" s="1260"/>
      <c r="MG153" s="1260"/>
      <c r="MH153" s="1260"/>
      <c r="MI153" s="1260"/>
      <c r="MJ153" s="1260"/>
      <c r="MK153" s="1260"/>
      <c r="ML153" s="1260"/>
      <c r="MM153" s="1260"/>
      <c r="MN153" s="1260"/>
      <c r="MO153" s="1260"/>
      <c r="MP153" s="1260"/>
      <c r="MQ153" s="1260"/>
      <c r="MR153" s="1260"/>
      <c r="MS153" s="1260"/>
      <c r="MT153" s="1260"/>
      <c r="MU153" s="1260"/>
      <c r="MV153" s="1260"/>
      <c r="MW153" s="1260"/>
      <c r="MX153" s="1260"/>
      <c r="MY153" s="1260"/>
      <c r="MZ153" s="1260"/>
      <c r="NA153" s="1260"/>
      <c r="NB153" s="1260"/>
      <c r="NC153" s="1260"/>
      <c r="ND153" s="1260"/>
      <c r="NE153" s="1260"/>
      <c r="NF153" s="1260"/>
      <c r="NG153" s="1260"/>
      <c r="NH153" s="1260"/>
      <c r="NI153" s="1260"/>
      <c r="NJ153" s="1260"/>
      <c r="NK153" s="1260"/>
      <c r="NL153" s="1260"/>
      <c r="NM153" s="1260"/>
      <c r="NN153" s="1260"/>
      <c r="NO153" s="1260"/>
      <c r="NP153" s="1260"/>
      <c r="NQ153" s="1260"/>
      <c r="NR153" s="1260"/>
      <c r="NS153" s="1260"/>
      <c r="NT153" s="1260"/>
      <c r="NU153" s="1260"/>
      <c r="NV153" s="1260"/>
      <c r="NW153" s="1260"/>
      <c r="NX153" s="1260"/>
      <c r="NY153" s="1260"/>
      <c r="NZ153" s="1260"/>
      <c r="OA153" s="1260"/>
      <c r="OB153" s="1260"/>
      <c r="OC153" s="1260"/>
      <c r="OD153" s="1260"/>
      <c r="OE153" s="1260"/>
      <c r="OF153" s="1260"/>
      <c r="OG153" s="1260"/>
      <c r="OH153" s="1260"/>
      <c r="OI153" s="1260"/>
      <c r="OJ153" s="1260"/>
      <c r="OK153" s="1260"/>
      <c r="OL153" s="1260"/>
      <c r="OM153" s="1260"/>
      <c r="ON153" s="1260"/>
      <c r="OO153" s="1260"/>
      <c r="OP153" s="1260"/>
      <c r="OQ153" s="1260"/>
      <c r="OR153" s="1260"/>
      <c r="OS153" s="1260"/>
      <c r="OT153" s="1260"/>
      <c r="OU153" s="1260"/>
      <c r="OV153" s="1260"/>
      <c r="OW153" s="1260"/>
      <c r="OX153" s="1260"/>
      <c r="OY153" s="1260"/>
      <c r="OZ153" s="1260"/>
      <c r="PA153" s="1260"/>
      <c r="PB153" s="1260"/>
      <c r="PC153" s="1260"/>
      <c r="PD153" s="1260"/>
      <c r="PE153" s="1260"/>
      <c r="PF153" s="1260"/>
      <c r="PG153" s="1260"/>
      <c r="PH153" s="1260"/>
      <c r="PI153" s="1260"/>
      <c r="PJ153" s="1260"/>
      <c r="PK153" s="1260"/>
      <c r="PL153" s="1260"/>
      <c r="PM153" s="1260"/>
      <c r="PN153" s="1260"/>
      <c r="PO153" s="1260"/>
      <c r="PP153" s="1260"/>
      <c r="PQ153" s="1260"/>
      <c r="PR153" s="1260"/>
      <c r="PS153" s="1260"/>
      <c r="PT153" s="1260"/>
      <c r="PU153" s="1260"/>
      <c r="PV153" s="1260"/>
      <c r="PW153" s="1260"/>
      <c r="PX153" s="1260"/>
      <c r="PY153" s="1260"/>
      <c r="PZ153" s="1260"/>
      <c r="QA153" s="1260"/>
      <c r="QB153" s="1260"/>
      <c r="QC153" s="1260"/>
      <c r="QD153" s="1260"/>
      <c r="QE153" s="1260"/>
      <c r="QF153" s="1260"/>
      <c r="QG153" s="1260"/>
      <c r="QH153" s="1260"/>
      <c r="QI153" s="1260"/>
      <c r="QJ153" s="1260"/>
      <c r="QK153" s="1260"/>
      <c r="QL153" s="1260"/>
      <c r="QM153" s="1260"/>
      <c r="QN153" s="1260"/>
      <c r="QO153" s="1260"/>
      <c r="QP153" s="1260"/>
      <c r="QQ153" s="1260"/>
      <c r="QR153" s="1260"/>
      <c r="QS153" s="1260"/>
      <c r="QT153" s="1260"/>
      <c r="QU153" s="1260"/>
      <c r="QV153" s="1260"/>
      <c r="QW153" s="1260"/>
      <c r="QX153" s="1260"/>
      <c r="QY153" s="1260"/>
      <c r="QZ153" s="1260"/>
      <c r="RA153" s="1260"/>
      <c r="RB153" s="1260"/>
      <c r="RC153" s="1260"/>
      <c r="RD153" s="1260"/>
      <c r="RE153" s="1260"/>
      <c r="RF153" s="1260"/>
      <c r="RG153" s="1260"/>
      <c r="RH153" s="1260"/>
      <c r="RI153" s="1260"/>
      <c r="RJ153" s="1260"/>
      <c r="RK153" s="1260"/>
      <c r="RL153" s="1260"/>
      <c r="RM153" s="1260"/>
      <c r="RN153" s="1260"/>
      <c r="RO153" s="1260"/>
      <c r="RP153" s="1260"/>
      <c r="RQ153" s="1260"/>
      <c r="RR153" s="1260"/>
      <c r="RS153" s="1260"/>
      <c r="RT153" s="1260"/>
      <c r="RU153" s="1260"/>
      <c r="RV153" s="1260"/>
      <c r="RW153" s="1260"/>
      <c r="RX153" s="1260"/>
      <c r="RY153" s="1260"/>
      <c r="RZ153" s="1260"/>
      <c r="SA153" s="1260"/>
      <c r="SB153" s="1260"/>
      <c r="SC153" s="1260"/>
      <c r="SD153" s="1260"/>
      <c r="SE153" s="1260"/>
      <c r="SF153" s="1260"/>
      <c r="SG153" s="1260"/>
      <c r="SH153" s="1260"/>
      <c r="SI153" s="1260"/>
      <c r="SJ153" s="1260"/>
      <c r="SK153" s="1260"/>
      <c r="SL153" s="1260"/>
      <c r="SM153" s="1260"/>
      <c r="SN153" s="1260"/>
      <c r="SO153" s="1260"/>
      <c r="SP153" s="1260"/>
      <c r="SQ153" s="1260"/>
      <c r="SR153" s="1260"/>
      <c r="SS153" s="1260"/>
      <c r="ST153" s="1260"/>
      <c r="SU153" s="1260"/>
      <c r="SV153" s="1260"/>
      <c r="SW153" s="1260"/>
      <c r="SX153" s="1260"/>
      <c r="SY153" s="1260"/>
      <c r="SZ153" s="1260"/>
      <c r="TA153" s="1260"/>
      <c r="TB153" s="1260"/>
      <c r="TC153" s="1260"/>
      <c r="TD153" s="1260"/>
      <c r="TE153" s="1260"/>
      <c r="TF153" s="1260"/>
      <c r="TG153" s="1260"/>
      <c r="TH153" s="1260"/>
      <c r="TI153" s="1260"/>
      <c r="TJ153" s="1260"/>
      <c r="TK153" s="1260"/>
      <c r="TL153" s="1260"/>
      <c r="TM153" s="1260"/>
      <c r="TN153" s="1260"/>
      <c r="TO153" s="1260"/>
      <c r="TP153" s="1260"/>
      <c r="TQ153" s="1260"/>
      <c r="TR153" s="1260"/>
      <c r="TS153" s="1260"/>
      <c r="TT153" s="1260"/>
      <c r="TU153" s="1260"/>
      <c r="TV153" s="1260"/>
      <c r="TW153" s="1260"/>
      <c r="TX153" s="1260"/>
      <c r="TY153" s="1260"/>
      <c r="TZ153" s="1260"/>
      <c r="UA153" s="1260"/>
      <c r="UB153" s="1260"/>
      <c r="UC153" s="1260"/>
      <c r="UD153" s="1260"/>
      <c r="UE153" s="1260"/>
      <c r="UF153" s="1260"/>
      <c r="UG153" s="1261"/>
    </row>
    <row r="154" spans="1:553" s="1262" customFormat="1" ht="34.5" customHeight="1">
      <c r="A154" s="366" t="s">
        <v>15</v>
      </c>
      <c r="B154" s="366"/>
      <c r="C154" s="1472" t="s">
        <v>198</v>
      </c>
      <c r="D154" s="1389"/>
      <c r="E154" s="1389"/>
      <c r="F154" s="1390"/>
      <c r="G154" s="366" t="s">
        <v>193</v>
      </c>
      <c r="H154" s="370"/>
      <c r="I154" s="443">
        <v>3</v>
      </c>
      <c r="J154" s="368">
        <v>15100</v>
      </c>
      <c r="K154" s="495">
        <v>0.7</v>
      </c>
      <c r="L154" s="480">
        <f>ROUND(PRODUCT(I154:K154),0)</f>
        <v>31710</v>
      </c>
      <c r="M154" s="366"/>
      <c r="N154" s="366"/>
      <c r="O154" s="366"/>
      <c r="P154" s="366"/>
      <c r="Q154" s="1136"/>
      <c r="R154" s="1452"/>
      <c r="S154" s="308"/>
      <c r="T154" s="303"/>
      <c r="U154" s="306"/>
      <c r="V154" s="307"/>
      <c r="W154" s="306"/>
      <c r="X154" s="306"/>
      <c r="Y154" s="306"/>
      <c r="Z154" s="306"/>
      <c r="AA154" s="306"/>
      <c r="AB154" s="306"/>
      <c r="AC154" s="449"/>
      <c r="AD154" s="452"/>
      <c r="AE154" s="452"/>
      <c r="AF154" s="452"/>
      <c r="AG154" s="452"/>
      <c r="AH154" s="452"/>
      <c r="AI154" s="452"/>
      <c r="AJ154" s="452"/>
      <c r="AK154" s="452"/>
      <c r="AL154" s="1269"/>
      <c r="AM154" s="1270"/>
      <c r="AN154" s="1270"/>
      <c r="AO154" s="1270"/>
      <c r="AP154" s="1270"/>
      <c r="AQ154" s="1270"/>
      <c r="AR154" s="1270"/>
      <c r="AS154" s="1270"/>
      <c r="AT154" s="1270"/>
      <c r="AU154" s="1270"/>
      <c r="AV154" s="1270"/>
      <c r="AW154" s="1270"/>
      <c r="AX154" s="1270"/>
      <c r="AY154" s="1270"/>
      <c r="AZ154" s="1270"/>
      <c r="BA154" s="1270"/>
      <c r="BB154" s="1270"/>
      <c r="BC154" s="1270"/>
      <c r="BD154" s="1270"/>
      <c r="BE154" s="1270"/>
      <c r="BF154" s="1260"/>
      <c r="BG154" s="1260"/>
      <c r="BH154" s="1260"/>
      <c r="BI154" s="1260"/>
      <c r="BJ154" s="1260"/>
      <c r="BK154" s="1260"/>
      <c r="BL154" s="1260"/>
      <c r="BM154" s="1260"/>
      <c r="BN154" s="1260"/>
      <c r="BO154" s="1260"/>
      <c r="BP154" s="1260"/>
      <c r="BQ154" s="1260"/>
      <c r="BR154" s="1260"/>
      <c r="BS154" s="1260"/>
      <c r="BT154" s="1260"/>
      <c r="BU154" s="1260"/>
      <c r="BV154" s="1260"/>
      <c r="BW154" s="1260"/>
      <c r="BX154" s="1260"/>
      <c r="BY154" s="1260"/>
      <c r="BZ154" s="1260"/>
      <c r="CA154" s="1260"/>
      <c r="CB154" s="1260"/>
      <c r="CC154" s="1260"/>
      <c r="CD154" s="1260"/>
      <c r="CE154" s="1260"/>
      <c r="CF154" s="1260"/>
      <c r="CG154" s="1260"/>
      <c r="CH154" s="1260"/>
      <c r="CI154" s="1260"/>
      <c r="CJ154" s="1260"/>
      <c r="CK154" s="1260"/>
      <c r="CL154" s="1260"/>
      <c r="CM154" s="1260"/>
      <c r="CN154" s="1260"/>
      <c r="CO154" s="1260"/>
      <c r="CP154" s="1260"/>
      <c r="CQ154" s="1260"/>
      <c r="CR154" s="1260"/>
      <c r="CS154" s="1260"/>
      <c r="CT154" s="1260"/>
      <c r="CU154" s="1260"/>
      <c r="CV154" s="1260"/>
      <c r="CW154" s="1260"/>
      <c r="CX154" s="1260"/>
      <c r="CY154" s="1260"/>
      <c r="CZ154" s="1260"/>
      <c r="DA154" s="1260"/>
      <c r="DB154" s="1260"/>
      <c r="DC154" s="1260"/>
      <c r="DD154" s="1260"/>
      <c r="DE154" s="1260"/>
      <c r="DF154" s="1260"/>
      <c r="DG154" s="1260"/>
      <c r="DH154" s="1260"/>
      <c r="DI154" s="1260"/>
      <c r="DJ154" s="1260"/>
      <c r="DK154" s="1260"/>
      <c r="DL154" s="1260"/>
      <c r="DM154" s="1260"/>
      <c r="DN154" s="1260"/>
      <c r="DO154" s="1260"/>
      <c r="DP154" s="1260"/>
      <c r="DQ154" s="1260"/>
      <c r="DR154" s="1260"/>
      <c r="DS154" s="1260"/>
      <c r="DT154" s="1260"/>
      <c r="DU154" s="1260"/>
      <c r="DV154" s="1260"/>
      <c r="DW154" s="1260"/>
      <c r="DX154" s="1260"/>
      <c r="DY154" s="1260"/>
      <c r="DZ154" s="1260"/>
      <c r="EA154" s="1260"/>
      <c r="EB154" s="1260"/>
      <c r="EC154" s="1260"/>
      <c r="ED154" s="1260"/>
      <c r="EE154" s="1260"/>
      <c r="EF154" s="1260"/>
      <c r="EG154" s="1260"/>
      <c r="EH154" s="1260"/>
      <c r="EI154" s="1260"/>
      <c r="EJ154" s="1260"/>
      <c r="EK154" s="1260"/>
      <c r="EL154" s="1260"/>
      <c r="EM154" s="1260"/>
      <c r="EN154" s="1260"/>
      <c r="EO154" s="1260"/>
      <c r="EP154" s="1260"/>
      <c r="EQ154" s="1260"/>
      <c r="ER154" s="1260"/>
      <c r="ES154" s="1260"/>
      <c r="ET154" s="1260"/>
      <c r="EU154" s="1260"/>
      <c r="EV154" s="1260"/>
      <c r="EW154" s="1260"/>
      <c r="EX154" s="1260"/>
      <c r="EY154" s="1260"/>
      <c r="EZ154" s="1260"/>
      <c r="FA154" s="1260"/>
      <c r="FB154" s="1260"/>
      <c r="FC154" s="1260"/>
      <c r="FD154" s="1260"/>
      <c r="FE154" s="1260"/>
      <c r="FF154" s="1260"/>
      <c r="FG154" s="1260"/>
      <c r="FH154" s="1260"/>
      <c r="FI154" s="1260"/>
      <c r="FJ154" s="1260"/>
      <c r="FK154" s="1260"/>
      <c r="FL154" s="1260"/>
      <c r="FM154" s="1260"/>
      <c r="FN154" s="1260"/>
      <c r="FO154" s="1260"/>
      <c r="FP154" s="1260"/>
      <c r="FQ154" s="1260"/>
      <c r="FR154" s="1260"/>
      <c r="FS154" s="1260"/>
      <c r="FT154" s="1260"/>
      <c r="FU154" s="1260"/>
      <c r="FV154" s="1260"/>
      <c r="FW154" s="1260"/>
      <c r="FX154" s="1260"/>
      <c r="FY154" s="1260"/>
      <c r="FZ154" s="1260"/>
      <c r="GA154" s="1260"/>
      <c r="GB154" s="1260"/>
      <c r="GC154" s="1260"/>
      <c r="GD154" s="1260"/>
      <c r="GE154" s="1260"/>
      <c r="GF154" s="1260"/>
      <c r="GG154" s="1260"/>
      <c r="GH154" s="1260"/>
      <c r="GI154" s="1260"/>
      <c r="GJ154" s="1260"/>
      <c r="GK154" s="1260"/>
      <c r="GL154" s="1260"/>
      <c r="GM154" s="1260"/>
      <c r="GN154" s="1260"/>
      <c r="GO154" s="1260"/>
      <c r="GP154" s="1260"/>
      <c r="GQ154" s="1260"/>
      <c r="GR154" s="1260"/>
      <c r="GS154" s="1260"/>
      <c r="GT154" s="1260"/>
      <c r="GU154" s="1260"/>
      <c r="GV154" s="1260"/>
      <c r="GW154" s="1260"/>
      <c r="GX154" s="1260"/>
      <c r="GY154" s="1260"/>
      <c r="GZ154" s="1260"/>
      <c r="HA154" s="1260"/>
      <c r="HB154" s="1260"/>
      <c r="HC154" s="1260"/>
      <c r="HD154" s="1260"/>
      <c r="HE154" s="1260"/>
      <c r="HF154" s="1260"/>
      <c r="HG154" s="1260"/>
      <c r="HH154" s="1260"/>
      <c r="HI154" s="1260"/>
      <c r="HJ154" s="1260"/>
      <c r="HK154" s="1260"/>
      <c r="HL154" s="1260"/>
      <c r="HM154" s="1260"/>
      <c r="HN154" s="1260"/>
      <c r="HO154" s="1260"/>
      <c r="HP154" s="1260"/>
      <c r="HQ154" s="1260"/>
      <c r="HR154" s="1260"/>
      <c r="HS154" s="1260"/>
      <c r="HT154" s="1260"/>
      <c r="HU154" s="1260"/>
      <c r="HV154" s="1260"/>
      <c r="HW154" s="1260"/>
      <c r="HX154" s="1260"/>
      <c r="HY154" s="1260"/>
      <c r="HZ154" s="1260"/>
      <c r="IA154" s="1260"/>
      <c r="IB154" s="1260"/>
      <c r="IC154" s="1260"/>
      <c r="ID154" s="1260"/>
      <c r="IE154" s="1260"/>
      <c r="IF154" s="1260"/>
      <c r="IG154" s="1260"/>
      <c r="IH154" s="1260"/>
      <c r="II154" s="1260"/>
      <c r="IJ154" s="1260"/>
      <c r="IK154" s="1260"/>
      <c r="IL154" s="1260"/>
      <c r="IM154" s="1260"/>
      <c r="IN154" s="1260"/>
      <c r="IO154" s="1260"/>
      <c r="IP154" s="1260"/>
      <c r="IQ154" s="1260"/>
      <c r="IR154" s="1260"/>
      <c r="IS154" s="1260"/>
      <c r="IT154" s="1260"/>
      <c r="IU154" s="1260"/>
      <c r="IV154" s="1260"/>
      <c r="IW154" s="1260"/>
      <c r="IX154" s="1260"/>
      <c r="IY154" s="1260"/>
      <c r="IZ154" s="1260"/>
      <c r="JA154" s="1260"/>
      <c r="JB154" s="1260"/>
      <c r="JC154" s="1260"/>
      <c r="JD154" s="1260"/>
      <c r="JE154" s="1260"/>
      <c r="JF154" s="1260"/>
      <c r="JG154" s="1260"/>
      <c r="JH154" s="1260"/>
      <c r="JI154" s="1260"/>
      <c r="JJ154" s="1260"/>
      <c r="JK154" s="1260"/>
      <c r="JL154" s="1260"/>
      <c r="JM154" s="1260"/>
      <c r="JN154" s="1260"/>
      <c r="JO154" s="1260"/>
      <c r="JP154" s="1260"/>
      <c r="JQ154" s="1260"/>
      <c r="JR154" s="1260"/>
      <c r="JS154" s="1260"/>
      <c r="JT154" s="1260"/>
      <c r="JU154" s="1260"/>
      <c r="JV154" s="1260"/>
      <c r="JW154" s="1260"/>
      <c r="JX154" s="1260"/>
      <c r="JY154" s="1260"/>
      <c r="JZ154" s="1260"/>
      <c r="KA154" s="1260"/>
      <c r="KB154" s="1260"/>
      <c r="KC154" s="1260"/>
      <c r="KD154" s="1260"/>
      <c r="KE154" s="1260"/>
      <c r="KF154" s="1260"/>
      <c r="KG154" s="1260"/>
      <c r="KH154" s="1260"/>
      <c r="KI154" s="1260"/>
      <c r="KJ154" s="1260"/>
      <c r="KK154" s="1260"/>
      <c r="KL154" s="1260"/>
      <c r="KM154" s="1260"/>
      <c r="KN154" s="1260"/>
      <c r="KO154" s="1260"/>
      <c r="KP154" s="1260"/>
      <c r="KQ154" s="1260"/>
      <c r="KR154" s="1260"/>
      <c r="KS154" s="1260"/>
      <c r="KT154" s="1260"/>
      <c r="KU154" s="1260"/>
      <c r="KV154" s="1260"/>
      <c r="KW154" s="1260"/>
      <c r="KX154" s="1260"/>
      <c r="KY154" s="1260"/>
      <c r="KZ154" s="1260"/>
      <c r="LA154" s="1260"/>
      <c r="LB154" s="1260"/>
      <c r="LC154" s="1260"/>
      <c r="LD154" s="1260"/>
      <c r="LE154" s="1260"/>
      <c r="LF154" s="1260"/>
      <c r="LG154" s="1260"/>
      <c r="LH154" s="1260"/>
      <c r="LI154" s="1260"/>
      <c r="LJ154" s="1260"/>
      <c r="LK154" s="1260"/>
      <c r="LL154" s="1260"/>
      <c r="LM154" s="1260"/>
      <c r="LN154" s="1260"/>
      <c r="LO154" s="1260"/>
      <c r="LP154" s="1260"/>
      <c r="LQ154" s="1260"/>
      <c r="LR154" s="1260"/>
      <c r="LS154" s="1260"/>
      <c r="LT154" s="1260"/>
      <c r="LU154" s="1260"/>
      <c r="LV154" s="1260"/>
      <c r="LW154" s="1260"/>
      <c r="LX154" s="1260"/>
      <c r="LY154" s="1260"/>
      <c r="LZ154" s="1260"/>
      <c r="MA154" s="1260"/>
      <c r="MB154" s="1260"/>
      <c r="MC154" s="1260"/>
      <c r="MD154" s="1260"/>
      <c r="ME154" s="1260"/>
      <c r="MF154" s="1260"/>
      <c r="MG154" s="1260"/>
      <c r="MH154" s="1260"/>
      <c r="MI154" s="1260"/>
      <c r="MJ154" s="1260"/>
      <c r="MK154" s="1260"/>
      <c r="ML154" s="1260"/>
      <c r="MM154" s="1260"/>
      <c r="MN154" s="1260"/>
      <c r="MO154" s="1260"/>
      <c r="MP154" s="1260"/>
      <c r="MQ154" s="1260"/>
      <c r="MR154" s="1260"/>
      <c r="MS154" s="1260"/>
      <c r="MT154" s="1260"/>
      <c r="MU154" s="1260"/>
      <c r="MV154" s="1260"/>
      <c r="MW154" s="1260"/>
      <c r="MX154" s="1260"/>
      <c r="MY154" s="1260"/>
      <c r="MZ154" s="1260"/>
      <c r="NA154" s="1260"/>
      <c r="NB154" s="1260"/>
      <c r="NC154" s="1260"/>
      <c r="ND154" s="1260"/>
      <c r="NE154" s="1260"/>
      <c r="NF154" s="1260"/>
      <c r="NG154" s="1260"/>
      <c r="NH154" s="1260"/>
      <c r="NI154" s="1260"/>
      <c r="NJ154" s="1260"/>
      <c r="NK154" s="1260"/>
      <c r="NL154" s="1260"/>
      <c r="NM154" s="1260"/>
      <c r="NN154" s="1260"/>
      <c r="NO154" s="1260"/>
      <c r="NP154" s="1260"/>
      <c r="NQ154" s="1260"/>
      <c r="NR154" s="1260"/>
      <c r="NS154" s="1260"/>
      <c r="NT154" s="1260"/>
      <c r="NU154" s="1260"/>
      <c r="NV154" s="1260"/>
      <c r="NW154" s="1260"/>
      <c r="NX154" s="1260"/>
      <c r="NY154" s="1260"/>
      <c r="NZ154" s="1260"/>
      <c r="OA154" s="1260"/>
      <c r="OB154" s="1260"/>
      <c r="OC154" s="1260"/>
      <c r="OD154" s="1260"/>
      <c r="OE154" s="1260"/>
      <c r="OF154" s="1260"/>
      <c r="OG154" s="1260"/>
      <c r="OH154" s="1260"/>
      <c r="OI154" s="1260"/>
      <c r="OJ154" s="1260"/>
      <c r="OK154" s="1260"/>
      <c r="OL154" s="1260"/>
      <c r="OM154" s="1260"/>
      <c r="ON154" s="1260"/>
      <c r="OO154" s="1260"/>
      <c r="OP154" s="1260"/>
      <c r="OQ154" s="1260"/>
      <c r="OR154" s="1260"/>
      <c r="OS154" s="1260"/>
      <c r="OT154" s="1260"/>
      <c r="OU154" s="1260"/>
      <c r="OV154" s="1260"/>
      <c r="OW154" s="1260"/>
      <c r="OX154" s="1260"/>
      <c r="OY154" s="1260"/>
      <c r="OZ154" s="1260"/>
      <c r="PA154" s="1260"/>
      <c r="PB154" s="1260"/>
      <c r="PC154" s="1260"/>
      <c r="PD154" s="1260"/>
      <c r="PE154" s="1260"/>
      <c r="PF154" s="1260"/>
      <c r="PG154" s="1260"/>
      <c r="PH154" s="1260"/>
      <c r="PI154" s="1260"/>
      <c r="PJ154" s="1260"/>
      <c r="PK154" s="1260"/>
      <c r="PL154" s="1260"/>
      <c r="PM154" s="1260"/>
      <c r="PN154" s="1260"/>
      <c r="PO154" s="1260"/>
      <c r="PP154" s="1260"/>
      <c r="PQ154" s="1260"/>
      <c r="PR154" s="1260"/>
      <c r="PS154" s="1260"/>
      <c r="PT154" s="1260"/>
      <c r="PU154" s="1260"/>
      <c r="PV154" s="1260"/>
      <c r="PW154" s="1260"/>
      <c r="PX154" s="1260"/>
      <c r="PY154" s="1260"/>
      <c r="PZ154" s="1260"/>
      <c r="QA154" s="1260"/>
      <c r="QB154" s="1260"/>
      <c r="QC154" s="1260"/>
      <c r="QD154" s="1260"/>
      <c r="QE154" s="1260"/>
      <c r="QF154" s="1260"/>
      <c r="QG154" s="1260"/>
      <c r="QH154" s="1260"/>
      <c r="QI154" s="1260"/>
      <c r="QJ154" s="1260"/>
      <c r="QK154" s="1260"/>
      <c r="QL154" s="1260"/>
      <c r="QM154" s="1260"/>
      <c r="QN154" s="1260"/>
      <c r="QO154" s="1260"/>
      <c r="QP154" s="1260"/>
      <c r="QQ154" s="1260"/>
      <c r="QR154" s="1260"/>
      <c r="QS154" s="1260"/>
      <c r="QT154" s="1260"/>
      <c r="QU154" s="1260"/>
      <c r="QV154" s="1260"/>
      <c r="QW154" s="1260"/>
      <c r="QX154" s="1260"/>
      <c r="QY154" s="1260"/>
      <c r="QZ154" s="1260"/>
      <c r="RA154" s="1260"/>
      <c r="RB154" s="1260"/>
      <c r="RC154" s="1260"/>
      <c r="RD154" s="1260"/>
      <c r="RE154" s="1260"/>
      <c r="RF154" s="1260"/>
      <c r="RG154" s="1260"/>
      <c r="RH154" s="1260"/>
      <c r="RI154" s="1260"/>
      <c r="RJ154" s="1260"/>
      <c r="RK154" s="1260"/>
      <c r="RL154" s="1260"/>
      <c r="RM154" s="1260"/>
      <c r="RN154" s="1260"/>
      <c r="RO154" s="1260"/>
      <c r="RP154" s="1260"/>
      <c r="RQ154" s="1260"/>
      <c r="RR154" s="1260"/>
      <c r="RS154" s="1260"/>
      <c r="RT154" s="1260"/>
      <c r="RU154" s="1260"/>
      <c r="RV154" s="1260"/>
      <c r="RW154" s="1260"/>
      <c r="RX154" s="1260"/>
      <c r="RY154" s="1260"/>
      <c r="RZ154" s="1260"/>
      <c r="SA154" s="1260"/>
      <c r="SB154" s="1260"/>
      <c r="SC154" s="1260"/>
      <c r="SD154" s="1260"/>
      <c r="SE154" s="1260"/>
      <c r="SF154" s="1260"/>
      <c r="SG154" s="1260"/>
      <c r="SH154" s="1260"/>
      <c r="SI154" s="1260"/>
      <c r="SJ154" s="1260"/>
      <c r="SK154" s="1260"/>
      <c r="SL154" s="1260"/>
      <c r="SM154" s="1260"/>
      <c r="SN154" s="1260"/>
      <c r="SO154" s="1260"/>
      <c r="SP154" s="1260"/>
      <c r="SQ154" s="1260"/>
      <c r="SR154" s="1260"/>
      <c r="SS154" s="1260"/>
      <c r="ST154" s="1260"/>
      <c r="SU154" s="1260"/>
      <c r="SV154" s="1260"/>
      <c r="SW154" s="1260"/>
      <c r="SX154" s="1260"/>
      <c r="SY154" s="1260"/>
      <c r="SZ154" s="1260"/>
      <c r="TA154" s="1260"/>
      <c r="TB154" s="1260"/>
      <c r="TC154" s="1260"/>
      <c r="TD154" s="1260"/>
      <c r="TE154" s="1260"/>
      <c r="TF154" s="1260"/>
      <c r="TG154" s="1260"/>
      <c r="TH154" s="1260"/>
      <c r="TI154" s="1260"/>
      <c r="TJ154" s="1260"/>
      <c r="TK154" s="1260"/>
      <c r="TL154" s="1260"/>
      <c r="TM154" s="1260"/>
      <c r="TN154" s="1260"/>
      <c r="TO154" s="1260"/>
      <c r="TP154" s="1260"/>
      <c r="TQ154" s="1260"/>
      <c r="TR154" s="1260"/>
      <c r="TS154" s="1260"/>
      <c r="TT154" s="1260"/>
      <c r="TU154" s="1260"/>
      <c r="TV154" s="1260"/>
      <c r="TW154" s="1260"/>
      <c r="TX154" s="1260"/>
      <c r="TY154" s="1260"/>
      <c r="TZ154" s="1260"/>
      <c r="UA154" s="1260"/>
      <c r="UB154" s="1260"/>
      <c r="UC154" s="1260"/>
      <c r="UD154" s="1260"/>
      <c r="UE154" s="1260"/>
      <c r="UF154" s="1260"/>
      <c r="UG154" s="1261"/>
    </row>
    <row r="155" spans="1:553" s="1262" customFormat="1" ht="34.5" customHeight="1">
      <c r="A155" s="366" t="s">
        <v>15</v>
      </c>
      <c r="B155" s="366"/>
      <c r="C155" s="1472" t="s">
        <v>199</v>
      </c>
      <c r="D155" s="1389"/>
      <c r="E155" s="1389"/>
      <c r="F155" s="1390"/>
      <c r="G155" s="366" t="s">
        <v>193</v>
      </c>
      <c r="H155" s="370"/>
      <c r="I155" s="614">
        <v>5</v>
      </c>
      <c r="J155" s="368">
        <v>391100</v>
      </c>
      <c r="K155" s="495">
        <v>0.7</v>
      </c>
      <c r="L155" s="480">
        <f>ROUND(PRODUCT(I155:K155),0)</f>
        <v>1368850</v>
      </c>
      <c r="M155" s="366"/>
      <c r="N155" s="366"/>
      <c r="O155" s="366"/>
      <c r="P155" s="366"/>
      <c r="Q155" s="1136"/>
      <c r="R155" s="1452"/>
      <c r="S155" s="308"/>
      <c r="T155" s="303"/>
      <c r="U155" s="306"/>
      <c r="V155" s="307"/>
      <c r="W155" s="306"/>
      <c r="X155" s="306"/>
      <c r="Y155" s="306"/>
      <c r="Z155" s="306"/>
      <c r="AA155" s="306"/>
      <c r="AB155" s="306"/>
      <c r="AC155" s="449"/>
      <c r="AD155" s="452"/>
      <c r="AE155" s="452"/>
      <c r="AF155" s="452"/>
      <c r="AG155" s="452"/>
      <c r="AH155" s="452"/>
      <c r="AI155" s="452"/>
      <c r="AJ155" s="452"/>
      <c r="AK155" s="452"/>
      <c r="AL155" s="1259"/>
      <c r="AM155" s="1260"/>
      <c r="AN155" s="1260"/>
      <c r="AO155" s="1260"/>
      <c r="AP155" s="1260"/>
      <c r="AQ155" s="1260"/>
      <c r="AR155" s="1260"/>
      <c r="AS155" s="1260"/>
      <c r="AT155" s="1260"/>
      <c r="AU155" s="1260"/>
      <c r="AV155" s="1260"/>
      <c r="AW155" s="1260"/>
      <c r="AX155" s="1260"/>
      <c r="AY155" s="1260"/>
      <c r="AZ155" s="1260"/>
      <c r="BA155" s="1260"/>
      <c r="BB155" s="1260"/>
      <c r="BC155" s="1260"/>
      <c r="BD155" s="1260"/>
      <c r="BE155" s="1260"/>
      <c r="BF155" s="1260"/>
      <c r="BG155" s="1260"/>
      <c r="BH155" s="1260"/>
      <c r="BI155" s="1260"/>
      <c r="BJ155" s="1260"/>
      <c r="BK155" s="1260"/>
      <c r="BL155" s="1260"/>
      <c r="BM155" s="1260"/>
      <c r="BN155" s="1260"/>
      <c r="BO155" s="1260"/>
      <c r="BP155" s="1260"/>
      <c r="BQ155" s="1260"/>
      <c r="BR155" s="1260"/>
      <c r="BS155" s="1260"/>
      <c r="BT155" s="1260"/>
      <c r="BU155" s="1260"/>
      <c r="BV155" s="1260"/>
      <c r="BW155" s="1260"/>
      <c r="BX155" s="1260"/>
      <c r="BY155" s="1260"/>
      <c r="BZ155" s="1260"/>
      <c r="CA155" s="1260"/>
      <c r="CB155" s="1260"/>
      <c r="CC155" s="1260"/>
      <c r="CD155" s="1260"/>
      <c r="CE155" s="1260"/>
      <c r="CF155" s="1260"/>
      <c r="CG155" s="1260"/>
      <c r="CH155" s="1260"/>
      <c r="CI155" s="1260"/>
      <c r="CJ155" s="1260"/>
      <c r="CK155" s="1260"/>
      <c r="CL155" s="1260"/>
      <c r="CM155" s="1260"/>
      <c r="CN155" s="1260"/>
      <c r="CO155" s="1260"/>
      <c r="CP155" s="1260"/>
      <c r="CQ155" s="1260"/>
      <c r="CR155" s="1260"/>
      <c r="CS155" s="1260"/>
      <c r="CT155" s="1260"/>
      <c r="CU155" s="1260"/>
      <c r="CV155" s="1260"/>
      <c r="CW155" s="1260"/>
      <c r="CX155" s="1260"/>
      <c r="CY155" s="1260"/>
      <c r="CZ155" s="1260"/>
      <c r="DA155" s="1260"/>
      <c r="DB155" s="1260"/>
      <c r="DC155" s="1260"/>
      <c r="DD155" s="1260"/>
      <c r="DE155" s="1260"/>
      <c r="DF155" s="1260"/>
      <c r="DG155" s="1260"/>
      <c r="DH155" s="1260"/>
      <c r="DI155" s="1260"/>
      <c r="DJ155" s="1260"/>
      <c r="DK155" s="1260"/>
      <c r="DL155" s="1260"/>
      <c r="DM155" s="1260"/>
      <c r="DN155" s="1260"/>
      <c r="DO155" s="1260"/>
      <c r="DP155" s="1260"/>
      <c r="DQ155" s="1260"/>
      <c r="DR155" s="1260"/>
      <c r="DS155" s="1260"/>
      <c r="DT155" s="1260"/>
      <c r="DU155" s="1260"/>
      <c r="DV155" s="1260"/>
      <c r="DW155" s="1260"/>
      <c r="DX155" s="1260"/>
      <c r="DY155" s="1260"/>
      <c r="DZ155" s="1260"/>
      <c r="EA155" s="1260"/>
      <c r="EB155" s="1260"/>
      <c r="EC155" s="1260"/>
      <c r="ED155" s="1260"/>
      <c r="EE155" s="1260"/>
      <c r="EF155" s="1260"/>
      <c r="EG155" s="1260"/>
      <c r="EH155" s="1260"/>
      <c r="EI155" s="1260"/>
      <c r="EJ155" s="1260"/>
      <c r="EK155" s="1260"/>
      <c r="EL155" s="1260"/>
      <c r="EM155" s="1260"/>
      <c r="EN155" s="1260"/>
      <c r="EO155" s="1260"/>
      <c r="EP155" s="1260"/>
      <c r="EQ155" s="1260"/>
      <c r="ER155" s="1260"/>
      <c r="ES155" s="1260"/>
      <c r="ET155" s="1260"/>
      <c r="EU155" s="1260"/>
      <c r="EV155" s="1260"/>
      <c r="EW155" s="1260"/>
      <c r="EX155" s="1260"/>
      <c r="EY155" s="1260"/>
      <c r="EZ155" s="1260"/>
      <c r="FA155" s="1260"/>
      <c r="FB155" s="1260"/>
      <c r="FC155" s="1260"/>
      <c r="FD155" s="1260"/>
      <c r="FE155" s="1260"/>
      <c r="FF155" s="1260"/>
      <c r="FG155" s="1260"/>
      <c r="FH155" s="1260"/>
      <c r="FI155" s="1260"/>
      <c r="FJ155" s="1260"/>
      <c r="FK155" s="1260"/>
      <c r="FL155" s="1260"/>
      <c r="FM155" s="1260"/>
      <c r="FN155" s="1260"/>
      <c r="FO155" s="1260"/>
      <c r="FP155" s="1260"/>
      <c r="FQ155" s="1260"/>
      <c r="FR155" s="1260"/>
      <c r="FS155" s="1260"/>
      <c r="FT155" s="1260"/>
      <c r="FU155" s="1260"/>
      <c r="FV155" s="1260"/>
      <c r="FW155" s="1260"/>
      <c r="FX155" s="1260"/>
      <c r="FY155" s="1260"/>
      <c r="FZ155" s="1260"/>
      <c r="GA155" s="1260"/>
      <c r="GB155" s="1260"/>
      <c r="GC155" s="1260"/>
      <c r="GD155" s="1260"/>
      <c r="GE155" s="1260"/>
      <c r="GF155" s="1260"/>
      <c r="GG155" s="1260"/>
      <c r="GH155" s="1260"/>
      <c r="GI155" s="1260"/>
      <c r="GJ155" s="1260"/>
      <c r="GK155" s="1260"/>
      <c r="GL155" s="1260"/>
      <c r="GM155" s="1260"/>
      <c r="GN155" s="1260"/>
      <c r="GO155" s="1260"/>
      <c r="GP155" s="1260"/>
      <c r="GQ155" s="1260"/>
      <c r="GR155" s="1260"/>
      <c r="GS155" s="1260"/>
      <c r="GT155" s="1260"/>
      <c r="GU155" s="1260"/>
      <c r="GV155" s="1260"/>
      <c r="GW155" s="1260"/>
      <c r="GX155" s="1260"/>
      <c r="GY155" s="1260"/>
      <c r="GZ155" s="1260"/>
      <c r="HA155" s="1260"/>
      <c r="HB155" s="1260"/>
      <c r="HC155" s="1260"/>
      <c r="HD155" s="1260"/>
      <c r="HE155" s="1260"/>
      <c r="HF155" s="1260"/>
      <c r="HG155" s="1260"/>
      <c r="HH155" s="1260"/>
      <c r="HI155" s="1260"/>
      <c r="HJ155" s="1260"/>
      <c r="HK155" s="1260"/>
      <c r="HL155" s="1260"/>
      <c r="HM155" s="1260"/>
      <c r="HN155" s="1260"/>
      <c r="HO155" s="1260"/>
      <c r="HP155" s="1260"/>
      <c r="HQ155" s="1260"/>
      <c r="HR155" s="1260"/>
      <c r="HS155" s="1260"/>
      <c r="HT155" s="1260"/>
      <c r="HU155" s="1260"/>
      <c r="HV155" s="1260"/>
      <c r="HW155" s="1260"/>
      <c r="HX155" s="1260"/>
      <c r="HY155" s="1260"/>
      <c r="HZ155" s="1260"/>
      <c r="IA155" s="1260"/>
      <c r="IB155" s="1260"/>
      <c r="IC155" s="1260"/>
      <c r="ID155" s="1260"/>
      <c r="IE155" s="1260"/>
      <c r="IF155" s="1260"/>
      <c r="IG155" s="1260"/>
      <c r="IH155" s="1260"/>
      <c r="II155" s="1260"/>
      <c r="IJ155" s="1260"/>
      <c r="IK155" s="1260"/>
      <c r="IL155" s="1260"/>
      <c r="IM155" s="1260"/>
      <c r="IN155" s="1260"/>
      <c r="IO155" s="1260"/>
      <c r="IP155" s="1260"/>
      <c r="IQ155" s="1260"/>
      <c r="IR155" s="1260"/>
      <c r="IS155" s="1260"/>
      <c r="IT155" s="1260"/>
      <c r="IU155" s="1260"/>
      <c r="IV155" s="1260"/>
      <c r="IW155" s="1260"/>
      <c r="IX155" s="1260"/>
      <c r="IY155" s="1260"/>
      <c r="IZ155" s="1260"/>
      <c r="JA155" s="1260"/>
      <c r="JB155" s="1260"/>
      <c r="JC155" s="1260"/>
      <c r="JD155" s="1260"/>
      <c r="JE155" s="1260"/>
      <c r="JF155" s="1260"/>
      <c r="JG155" s="1260"/>
      <c r="JH155" s="1260"/>
      <c r="JI155" s="1260"/>
      <c r="JJ155" s="1260"/>
      <c r="JK155" s="1260"/>
      <c r="JL155" s="1260"/>
      <c r="JM155" s="1260"/>
      <c r="JN155" s="1260"/>
      <c r="JO155" s="1260"/>
      <c r="JP155" s="1260"/>
      <c r="JQ155" s="1260"/>
      <c r="JR155" s="1260"/>
      <c r="JS155" s="1260"/>
      <c r="JT155" s="1260"/>
      <c r="JU155" s="1260"/>
      <c r="JV155" s="1260"/>
      <c r="JW155" s="1260"/>
      <c r="JX155" s="1260"/>
      <c r="JY155" s="1260"/>
      <c r="JZ155" s="1260"/>
      <c r="KA155" s="1260"/>
      <c r="KB155" s="1260"/>
      <c r="KC155" s="1260"/>
      <c r="KD155" s="1260"/>
      <c r="KE155" s="1260"/>
      <c r="KF155" s="1260"/>
      <c r="KG155" s="1260"/>
      <c r="KH155" s="1260"/>
      <c r="KI155" s="1260"/>
      <c r="KJ155" s="1260"/>
      <c r="KK155" s="1260"/>
      <c r="KL155" s="1260"/>
      <c r="KM155" s="1260"/>
      <c r="KN155" s="1260"/>
      <c r="KO155" s="1260"/>
      <c r="KP155" s="1260"/>
      <c r="KQ155" s="1260"/>
      <c r="KR155" s="1260"/>
      <c r="KS155" s="1260"/>
      <c r="KT155" s="1260"/>
      <c r="KU155" s="1260"/>
      <c r="KV155" s="1260"/>
      <c r="KW155" s="1260"/>
      <c r="KX155" s="1260"/>
      <c r="KY155" s="1260"/>
      <c r="KZ155" s="1260"/>
      <c r="LA155" s="1260"/>
      <c r="LB155" s="1260"/>
      <c r="LC155" s="1260"/>
      <c r="LD155" s="1260"/>
      <c r="LE155" s="1260"/>
      <c r="LF155" s="1260"/>
      <c r="LG155" s="1260"/>
      <c r="LH155" s="1260"/>
      <c r="LI155" s="1260"/>
      <c r="LJ155" s="1260"/>
      <c r="LK155" s="1260"/>
      <c r="LL155" s="1260"/>
      <c r="LM155" s="1260"/>
      <c r="LN155" s="1260"/>
      <c r="LO155" s="1260"/>
      <c r="LP155" s="1260"/>
      <c r="LQ155" s="1260"/>
      <c r="LR155" s="1260"/>
      <c r="LS155" s="1260"/>
      <c r="LT155" s="1260"/>
      <c r="LU155" s="1260"/>
      <c r="LV155" s="1260"/>
      <c r="LW155" s="1260"/>
      <c r="LX155" s="1260"/>
      <c r="LY155" s="1260"/>
      <c r="LZ155" s="1260"/>
      <c r="MA155" s="1260"/>
      <c r="MB155" s="1260"/>
      <c r="MC155" s="1260"/>
      <c r="MD155" s="1260"/>
      <c r="ME155" s="1260"/>
      <c r="MF155" s="1260"/>
      <c r="MG155" s="1260"/>
      <c r="MH155" s="1260"/>
      <c r="MI155" s="1260"/>
      <c r="MJ155" s="1260"/>
      <c r="MK155" s="1260"/>
      <c r="ML155" s="1260"/>
      <c r="MM155" s="1260"/>
      <c r="MN155" s="1260"/>
      <c r="MO155" s="1260"/>
      <c r="MP155" s="1260"/>
      <c r="MQ155" s="1260"/>
      <c r="MR155" s="1260"/>
      <c r="MS155" s="1260"/>
      <c r="MT155" s="1260"/>
      <c r="MU155" s="1260"/>
      <c r="MV155" s="1260"/>
      <c r="MW155" s="1260"/>
      <c r="MX155" s="1260"/>
      <c r="MY155" s="1260"/>
      <c r="MZ155" s="1260"/>
      <c r="NA155" s="1260"/>
      <c r="NB155" s="1260"/>
      <c r="NC155" s="1260"/>
      <c r="ND155" s="1260"/>
      <c r="NE155" s="1260"/>
      <c r="NF155" s="1260"/>
      <c r="NG155" s="1260"/>
      <c r="NH155" s="1260"/>
      <c r="NI155" s="1260"/>
      <c r="NJ155" s="1260"/>
      <c r="NK155" s="1260"/>
      <c r="NL155" s="1260"/>
      <c r="NM155" s="1260"/>
      <c r="NN155" s="1260"/>
      <c r="NO155" s="1260"/>
      <c r="NP155" s="1260"/>
      <c r="NQ155" s="1260"/>
      <c r="NR155" s="1260"/>
      <c r="NS155" s="1260"/>
      <c r="NT155" s="1260"/>
      <c r="NU155" s="1260"/>
      <c r="NV155" s="1260"/>
      <c r="NW155" s="1260"/>
      <c r="NX155" s="1260"/>
      <c r="NY155" s="1260"/>
      <c r="NZ155" s="1260"/>
      <c r="OA155" s="1260"/>
      <c r="OB155" s="1260"/>
      <c r="OC155" s="1260"/>
      <c r="OD155" s="1260"/>
      <c r="OE155" s="1260"/>
      <c r="OF155" s="1260"/>
      <c r="OG155" s="1260"/>
      <c r="OH155" s="1260"/>
      <c r="OI155" s="1260"/>
      <c r="OJ155" s="1260"/>
      <c r="OK155" s="1260"/>
      <c r="OL155" s="1260"/>
      <c r="OM155" s="1260"/>
      <c r="ON155" s="1260"/>
      <c r="OO155" s="1260"/>
      <c r="OP155" s="1260"/>
      <c r="OQ155" s="1260"/>
      <c r="OR155" s="1260"/>
      <c r="OS155" s="1260"/>
      <c r="OT155" s="1260"/>
      <c r="OU155" s="1260"/>
      <c r="OV155" s="1260"/>
      <c r="OW155" s="1260"/>
      <c r="OX155" s="1260"/>
      <c r="OY155" s="1260"/>
      <c r="OZ155" s="1260"/>
      <c r="PA155" s="1260"/>
      <c r="PB155" s="1260"/>
      <c r="PC155" s="1260"/>
      <c r="PD155" s="1260"/>
      <c r="PE155" s="1260"/>
      <c r="PF155" s="1260"/>
      <c r="PG155" s="1260"/>
      <c r="PH155" s="1260"/>
      <c r="PI155" s="1260"/>
      <c r="PJ155" s="1260"/>
      <c r="PK155" s="1260"/>
      <c r="PL155" s="1260"/>
      <c r="PM155" s="1260"/>
      <c r="PN155" s="1260"/>
      <c r="PO155" s="1260"/>
      <c r="PP155" s="1260"/>
      <c r="PQ155" s="1260"/>
      <c r="PR155" s="1260"/>
      <c r="PS155" s="1260"/>
      <c r="PT155" s="1260"/>
      <c r="PU155" s="1260"/>
      <c r="PV155" s="1260"/>
      <c r="PW155" s="1260"/>
      <c r="PX155" s="1260"/>
      <c r="PY155" s="1260"/>
      <c r="PZ155" s="1260"/>
      <c r="QA155" s="1260"/>
      <c r="QB155" s="1260"/>
      <c r="QC155" s="1260"/>
      <c r="QD155" s="1260"/>
      <c r="QE155" s="1260"/>
      <c r="QF155" s="1260"/>
      <c r="QG155" s="1260"/>
      <c r="QH155" s="1260"/>
      <c r="QI155" s="1260"/>
      <c r="QJ155" s="1260"/>
      <c r="QK155" s="1260"/>
      <c r="QL155" s="1260"/>
      <c r="QM155" s="1260"/>
      <c r="QN155" s="1260"/>
      <c r="QO155" s="1260"/>
      <c r="QP155" s="1260"/>
      <c r="QQ155" s="1260"/>
      <c r="QR155" s="1260"/>
      <c r="QS155" s="1260"/>
      <c r="QT155" s="1260"/>
      <c r="QU155" s="1260"/>
      <c r="QV155" s="1260"/>
      <c r="QW155" s="1260"/>
      <c r="QX155" s="1260"/>
      <c r="QY155" s="1260"/>
      <c r="QZ155" s="1260"/>
      <c r="RA155" s="1260"/>
      <c r="RB155" s="1260"/>
      <c r="RC155" s="1260"/>
      <c r="RD155" s="1260"/>
      <c r="RE155" s="1260"/>
      <c r="RF155" s="1260"/>
      <c r="RG155" s="1260"/>
      <c r="RH155" s="1260"/>
      <c r="RI155" s="1260"/>
      <c r="RJ155" s="1260"/>
      <c r="RK155" s="1260"/>
      <c r="RL155" s="1260"/>
      <c r="RM155" s="1260"/>
      <c r="RN155" s="1260"/>
      <c r="RO155" s="1260"/>
      <c r="RP155" s="1260"/>
      <c r="RQ155" s="1260"/>
      <c r="RR155" s="1260"/>
      <c r="RS155" s="1260"/>
      <c r="RT155" s="1260"/>
      <c r="RU155" s="1260"/>
      <c r="RV155" s="1260"/>
      <c r="RW155" s="1260"/>
      <c r="RX155" s="1260"/>
      <c r="RY155" s="1260"/>
      <c r="RZ155" s="1260"/>
      <c r="SA155" s="1260"/>
      <c r="SB155" s="1260"/>
      <c r="SC155" s="1260"/>
      <c r="SD155" s="1260"/>
      <c r="SE155" s="1260"/>
      <c r="SF155" s="1260"/>
      <c r="SG155" s="1260"/>
      <c r="SH155" s="1260"/>
      <c r="SI155" s="1260"/>
      <c r="SJ155" s="1260"/>
      <c r="SK155" s="1260"/>
      <c r="SL155" s="1260"/>
      <c r="SM155" s="1260"/>
      <c r="SN155" s="1260"/>
      <c r="SO155" s="1260"/>
      <c r="SP155" s="1260"/>
      <c r="SQ155" s="1260"/>
      <c r="SR155" s="1260"/>
      <c r="SS155" s="1260"/>
      <c r="ST155" s="1260"/>
      <c r="SU155" s="1260"/>
      <c r="SV155" s="1260"/>
      <c r="SW155" s="1260"/>
      <c r="SX155" s="1260"/>
      <c r="SY155" s="1260"/>
      <c r="SZ155" s="1260"/>
      <c r="TA155" s="1260"/>
      <c r="TB155" s="1260"/>
      <c r="TC155" s="1260"/>
      <c r="TD155" s="1260"/>
      <c r="TE155" s="1260"/>
      <c r="TF155" s="1260"/>
      <c r="TG155" s="1260"/>
      <c r="TH155" s="1260"/>
      <c r="TI155" s="1260"/>
      <c r="TJ155" s="1260"/>
      <c r="TK155" s="1260"/>
      <c r="TL155" s="1260"/>
      <c r="TM155" s="1260"/>
      <c r="TN155" s="1260"/>
      <c r="TO155" s="1260"/>
      <c r="TP155" s="1260"/>
      <c r="TQ155" s="1260"/>
      <c r="TR155" s="1260"/>
      <c r="TS155" s="1260"/>
      <c r="TT155" s="1260"/>
      <c r="TU155" s="1260"/>
      <c r="TV155" s="1260"/>
      <c r="TW155" s="1260"/>
      <c r="TX155" s="1260"/>
      <c r="TY155" s="1260"/>
      <c r="TZ155" s="1260"/>
      <c r="UA155" s="1260"/>
      <c r="UB155" s="1260"/>
      <c r="UC155" s="1260"/>
      <c r="UD155" s="1260"/>
      <c r="UE155" s="1260"/>
      <c r="UF155" s="1260"/>
      <c r="UG155" s="1261"/>
    </row>
    <row r="156" spans="1:553" s="1262" customFormat="1" ht="34.5" customHeight="1">
      <c r="A156" s="356" t="s">
        <v>15</v>
      </c>
      <c r="B156" s="356"/>
      <c r="C156" s="1472" t="s">
        <v>200</v>
      </c>
      <c r="D156" s="1389"/>
      <c r="E156" s="1389"/>
      <c r="F156" s="1390"/>
      <c r="G156" s="366" t="s">
        <v>193</v>
      </c>
      <c r="H156" s="370"/>
      <c r="I156" s="443">
        <v>500</v>
      </c>
      <c r="J156" s="368">
        <v>30000</v>
      </c>
      <c r="K156" s="391"/>
      <c r="L156" s="369">
        <f>ROUND(PRODUCT(I156:K156),0)</f>
        <v>15000000</v>
      </c>
      <c r="M156" s="366"/>
      <c r="N156" s="366"/>
      <c r="O156" s="366"/>
      <c r="P156" s="366"/>
      <c r="Q156" s="1136"/>
      <c r="R156" s="1452"/>
      <c r="S156" s="302"/>
      <c r="T156" s="303"/>
      <c r="U156" s="304"/>
      <c r="V156" s="304"/>
      <c r="W156" s="304"/>
      <c r="X156" s="304"/>
      <c r="Y156" s="304"/>
      <c r="Z156" s="304"/>
      <c r="AA156" s="304"/>
      <c r="AB156" s="304"/>
      <c r="AC156" s="449"/>
      <c r="AD156" s="452"/>
      <c r="AE156" s="452"/>
      <c r="AF156" s="452"/>
      <c r="AG156" s="452"/>
      <c r="AH156" s="452"/>
      <c r="AI156" s="452"/>
      <c r="AJ156" s="452"/>
      <c r="AK156" s="452"/>
      <c r="AL156" s="1259"/>
      <c r="AM156" s="1260"/>
      <c r="AN156" s="1260"/>
      <c r="AO156" s="1260"/>
      <c r="AP156" s="1260"/>
      <c r="AQ156" s="1260"/>
      <c r="AR156" s="1260"/>
      <c r="AS156" s="1260"/>
      <c r="AT156" s="1260"/>
      <c r="AU156" s="1260"/>
      <c r="AV156" s="1260"/>
      <c r="AW156" s="1260"/>
      <c r="AX156" s="1260"/>
      <c r="AY156" s="1260"/>
      <c r="AZ156" s="1260"/>
      <c r="BA156" s="1260"/>
      <c r="BB156" s="1260"/>
      <c r="BC156" s="1260"/>
      <c r="BD156" s="1260"/>
      <c r="BE156" s="1260"/>
      <c r="BF156" s="1260"/>
      <c r="BG156" s="1260"/>
      <c r="BH156" s="1260"/>
      <c r="BI156" s="1260"/>
      <c r="BJ156" s="1260"/>
      <c r="BK156" s="1260"/>
      <c r="BL156" s="1260"/>
      <c r="BM156" s="1260"/>
      <c r="BN156" s="1260"/>
      <c r="BO156" s="1260"/>
      <c r="BP156" s="1260"/>
      <c r="BQ156" s="1260"/>
      <c r="BR156" s="1260"/>
      <c r="BS156" s="1260"/>
      <c r="BT156" s="1260"/>
      <c r="BU156" s="1260"/>
      <c r="BV156" s="1260"/>
      <c r="BW156" s="1260"/>
      <c r="BX156" s="1260"/>
      <c r="BY156" s="1260"/>
      <c r="BZ156" s="1260"/>
      <c r="CA156" s="1260"/>
      <c r="CB156" s="1260"/>
      <c r="CC156" s="1260"/>
      <c r="CD156" s="1260"/>
      <c r="CE156" s="1260"/>
      <c r="CF156" s="1260"/>
      <c r="CG156" s="1260"/>
      <c r="CH156" s="1260"/>
      <c r="CI156" s="1260"/>
      <c r="CJ156" s="1260"/>
      <c r="CK156" s="1260"/>
      <c r="CL156" s="1260"/>
      <c r="CM156" s="1260"/>
      <c r="CN156" s="1260"/>
      <c r="CO156" s="1260"/>
      <c r="CP156" s="1260"/>
      <c r="CQ156" s="1260"/>
      <c r="CR156" s="1260"/>
      <c r="CS156" s="1260"/>
      <c r="CT156" s="1260"/>
      <c r="CU156" s="1260"/>
      <c r="CV156" s="1260"/>
      <c r="CW156" s="1260"/>
      <c r="CX156" s="1260"/>
      <c r="CY156" s="1260"/>
      <c r="CZ156" s="1260"/>
      <c r="DA156" s="1260"/>
      <c r="DB156" s="1260"/>
      <c r="DC156" s="1260"/>
      <c r="DD156" s="1260"/>
      <c r="DE156" s="1260"/>
      <c r="DF156" s="1260"/>
      <c r="DG156" s="1260"/>
      <c r="DH156" s="1260"/>
      <c r="DI156" s="1260"/>
      <c r="DJ156" s="1260"/>
      <c r="DK156" s="1260"/>
      <c r="DL156" s="1260"/>
      <c r="DM156" s="1260"/>
      <c r="DN156" s="1260"/>
      <c r="DO156" s="1260"/>
      <c r="DP156" s="1260"/>
      <c r="DQ156" s="1260"/>
      <c r="DR156" s="1260"/>
      <c r="DS156" s="1260"/>
      <c r="DT156" s="1260"/>
      <c r="DU156" s="1260"/>
      <c r="DV156" s="1260"/>
      <c r="DW156" s="1260"/>
      <c r="DX156" s="1260"/>
      <c r="DY156" s="1260"/>
      <c r="DZ156" s="1260"/>
      <c r="EA156" s="1260"/>
      <c r="EB156" s="1260"/>
      <c r="EC156" s="1260"/>
      <c r="ED156" s="1260"/>
      <c r="EE156" s="1260"/>
      <c r="EF156" s="1260"/>
      <c r="EG156" s="1260"/>
      <c r="EH156" s="1260"/>
      <c r="EI156" s="1260"/>
      <c r="EJ156" s="1260"/>
      <c r="EK156" s="1260"/>
      <c r="EL156" s="1260"/>
      <c r="EM156" s="1260"/>
      <c r="EN156" s="1260"/>
      <c r="EO156" s="1260"/>
      <c r="EP156" s="1260"/>
      <c r="EQ156" s="1260"/>
      <c r="ER156" s="1260"/>
      <c r="ES156" s="1260"/>
      <c r="ET156" s="1260"/>
      <c r="EU156" s="1260"/>
      <c r="EV156" s="1260"/>
      <c r="EW156" s="1260"/>
      <c r="EX156" s="1260"/>
      <c r="EY156" s="1260"/>
      <c r="EZ156" s="1260"/>
      <c r="FA156" s="1260"/>
      <c r="FB156" s="1260"/>
      <c r="FC156" s="1260"/>
      <c r="FD156" s="1260"/>
      <c r="FE156" s="1260"/>
      <c r="FF156" s="1260"/>
      <c r="FG156" s="1260"/>
      <c r="FH156" s="1260"/>
      <c r="FI156" s="1260"/>
      <c r="FJ156" s="1260"/>
      <c r="FK156" s="1260"/>
      <c r="FL156" s="1260"/>
      <c r="FM156" s="1260"/>
      <c r="FN156" s="1260"/>
      <c r="FO156" s="1260"/>
      <c r="FP156" s="1260"/>
      <c r="FQ156" s="1260"/>
      <c r="FR156" s="1260"/>
      <c r="FS156" s="1260"/>
      <c r="FT156" s="1260"/>
      <c r="FU156" s="1260"/>
      <c r="FV156" s="1260"/>
      <c r="FW156" s="1260"/>
      <c r="FX156" s="1260"/>
      <c r="FY156" s="1260"/>
      <c r="FZ156" s="1260"/>
      <c r="GA156" s="1260"/>
      <c r="GB156" s="1260"/>
      <c r="GC156" s="1260"/>
      <c r="GD156" s="1260"/>
      <c r="GE156" s="1260"/>
      <c r="GF156" s="1260"/>
      <c r="GG156" s="1260"/>
      <c r="GH156" s="1260"/>
      <c r="GI156" s="1260"/>
      <c r="GJ156" s="1260"/>
      <c r="GK156" s="1260"/>
      <c r="GL156" s="1260"/>
      <c r="GM156" s="1260"/>
      <c r="GN156" s="1260"/>
      <c r="GO156" s="1260"/>
      <c r="GP156" s="1260"/>
      <c r="GQ156" s="1260"/>
      <c r="GR156" s="1260"/>
      <c r="GS156" s="1260"/>
      <c r="GT156" s="1260"/>
      <c r="GU156" s="1260"/>
      <c r="GV156" s="1260"/>
      <c r="GW156" s="1260"/>
      <c r="GX156" s="1260"/>
      <c r="GY156" s="1260"/>
      <c r="GZ156" s="1260"/>
      <c r="HA156" s="1260"/>
      <c r="HB156" s="1260"/>
      <c r="HC156" s="1260"/>
      <c r="HD156" s="1260"/>
      <c r="HE156" s="1260"/>
      <c r="HF156" s="1260"/>
      <c r="HG156" s="1260"/>
      <c r="HH156" s="1260"/>
      <c r="HI156" s="1260"/>
      <c r="HJ156" s="1260"/>
      <c r="HK156" s="1260"/>
      <c r="HL156" s="1260"/>
      <c r="HM156" s="1260"/>
      <c r="HN156" s="1260"/>
      <c r="HO156" s="1260"/>
      <c r="HP156" s="1260"/>
      <c r="HQ156" s="1260"/>
      <c r="HR156" s="1260"/>
      <c r="HS156" s="1260"/>
      <c r="HT156" s="1260"/>
      <c r="HU156" s="1260"/>
      <c r="HV156" s="1260"/>
      <c r="HW156" s="1260"/>
      <c r="HX156" s="1260"/>
      <c r="HY156" s="1260"/>
      <c r="HZ156" s="1260"/>
      <c r="IA156" s="1260"/>
      <c r="IB156" s="1260"/>
      <c r="IC156" s="1260"/>
      <c r="ID156" s="1260"/>
      <c r="IE156" s="1260"/>
      <c r="IF156" s="1260"/>
      <c r="IG156" s="1260"/>
      <c r="IH156" s="1260"/>
      <c r="II156" s="1260"/>
      <c r="IJ156" s="1260"/>
      <c r="IK156" s="1260"/>
      <c r="IL156" s="1260"/>
      <c r="IM156" s="1260"/>
      <c r="IN156" s="1260"/>
      <c r="IO156" s="1260"/>
      <c r="IP156" s="1260"/>
      <c r="IQ156" s="1260"/>
      <c r="IR156" s="1260"/>
      <c r="IS156" s="1260"/>
      <c r="IT156" s="1260"/>
      <c r="IU156" s="1260"/>
      <c r="IV156" s="1260"/>
      <c r="IW156" s="1260"/>
      <c r="IX156" s="1260"/>
      <c r="IY156" s="1260"/>
      <c r="IZ156" s="1260"/>
      <c r="JA156" s="1260"/>
      <c r="JB156" s="1260"/>
      <c r="JC156" s="1260"/>
      <c r="JD156" s="1260"/>
      <c r="JE156" s="1260"/>
      <c r="JF156" s="1260"/>
      <c r="JG156" s="1260"/>
      <c r="JH156" s="1260"/>
      <c r="JI156" s="1260"/>
      <c r="JJ156" s="1260"/>
      <c r="JK156" s="1260"/>
      <c r="JL156" s="1260"/>
      <c r="JM156" s="1260"/>
      <c r="JN156" s="1260"/>
      <c r="JO156" s="1260"/>
      <c r="JP156" s="1260"/>
      <c r="JQ156" s="1260"/>
      <c r="JR156" s="1260"/>
      <c r="JS156" s="1260"/>
      <c r="JT156" s="1260"/>
      <c r="JU156" s="1260"/>
      <c r="JV156" s="1260"/>
      <c r="JW156" s="1260"/>
      <c r="JX156" s="1260"/>
      <c r="JY156" s="1260"/>
      <c r="JZ156" s="1260"/>
      <c r="KA156" s="1260"/>
      <c r="KB156" s="1260"/>
      <c r="KC156" s="1260"/>
      <c r="KD156" s="1260"/>
      <c r="KE156" s="1260"/>
      <c r="KF156" s="1260"/>
      <c r="KG156" s="1260"/>
      <c r="KH156" s="1260"/>
      <c r="KI156" s="1260"/>
      <c r="KJ156" s="1260"/>
      <c r="KK156" s="1260"/>
      <c r="KL156" s="1260"/>
      <c r="KM156" s="1260"/>
      <c r="KN156" s="1260"/>
      <c r="KO156" s="1260"/>
      <c r="KP156" s="1260"/>
      <c r="KQ156" s="1260"/>
      <c r="KR156" s="1260"/>
      <c r="KS156" s="1260"/>
      <c r="KT156" s="1260"/>
      <c r="KU156" s="1260"/>
      <c r="KV156" s="1260"/>
      <c r="KW156" s="1260"/>
      <c r="KX156" s="1260"/>
      <c r="KY156" s="1260"/>
      <c r="KZ156" s="1260"/>
      <c r="LA156" s="1260"/>
      <c r="LB156" s="1260"/>
      <c r="LC156" s="1260"/>
      <c r="LD156" s="1260"/>
      <c r="LE156" s="1260"/>
      <c r="LF156" s="1260"/>
      <c r="LG156" s="1260"/>
      <c r="LH156" s="1260"/>
      <c r="LI156" s="1260"/>
      <c r="LJ156" s="1260"/>
      <c r="LK156" s="1260"/>
      <c r="LL156" s="1260"/>
      <c r="LM156" s="1260"/>
      <c r="LN156" s="1260"/>
      <c r="LO156" s="1260"/>
      <c r="LP156" s="1260"/>
      <c r="LQ156" s="1260"/>
      <c r="LR156" s="1260"/>
      <c r="LS156" s="1260"/>
      <c r="LT156" s="1260"/>
      <c r="LU156" s="1260"/>
      <c r="LV156" s="1260"/>
      <c r="LW156" s="1260"/>
      <c r="LX156" s="1260"/>
      <c r="LY156" s="1260"/>
      <c r="LZ156" s="1260"/>
      <c r="MA156" s="1260"/>
      <c r="MB156" s="1260"/>
      <c r="MC156" s="1260"/>
      <c r="MD156" s="1260"/>
      <c r="ME156" s="1260"/>
      <c r="MF156" s="1260"/>
      <c r="MG156" s="1260"/>
      <c r="MH156" s="1260"/>
      <c r="MI156" s="1260"/>
      <c r="MJ156" s="1260"/>
      <c r="MK156" s="1260"/>
      <c r="ML156" s="1260"/>
      <c r="MM156" s="1260"/>
      <c r="MN156" s="1260"/>
      <c r="MO156" s="1260"/>
      <c r="MP156" s="1260"/>
      <c r="MQ156" s="1260"/>
      <c r="MR156" s="1260"/>
      <c r="MS156" s="1260"/>
      <c r="MT156" s="1260"/>
      <c r="MU156" s="1260"/>
      <c r="MV156" s="1260"/>
      <c r="MW156" s="1260"/>
      <c r="MX156" s="1260"/>
      <c r="MY156" s="1260"/>
      <c r="MZ156" s="1260"/>
      <c r="NA156" s="1260"/>
      <c r="NB156" s="1260"/>
      <c r="NC156" s="1260"/>
      <c r="ND156" s="1260"/>
      <c r="NE156" s="1260"/>
      <c r="NF156" s="1260"/>
      <c r="NG156" s="1260"/>
      <c r="NH156" s="1260"/>
      <c r="NI156" s="1260"/>
      <c r="NJ156" s="1260"/>
      <c r="NK156" s="1260"/>
      <c r="NL156" s="1260"/>
      <c r="NM156" s="1260"/>
      <c r="NN156" s="1260"/>
      <c r="NO156" s="1260"/>
      <c r="NP156" s="1260"/>
      <c r="NQ156" s="1260"/>
      <c r="NR156" s="1260"/>
      <c r="NS156" s="1260"/>
      <c r="NT156" s="1260"/>
      <c r="NU156" s="1260"/>
      <c r="NV156" s="1260"/>
      <c r="NW156" s="1260"/>
      <c r="NX156" s="1260"/>
      <c r="NY156" s="1260"/>
      <c r="NZ156" s="1260"/>
      <c r="OA156" s="1260"/>
      <c r="OB156" s="1260"/>
      <c r="OC156" s="1260"/>
      <c r="OD156" s="1260"/>
      <c r="OE156" s="1260"/>
      <c r="OF156" s="1260"/>
      <c r="OG156" s="1260"/>
      <c r="OH156" s="1260"/>
      <c r="OI156" s="1260"/>
      <c r="OJ156" s="1260"/>
      <c r="OK156" s="1260"/>
      <c r="OL156" s="1260"/>
      <c r="OM156" s="1260"/>
      <c r="ON156" s="1260"/>
      <c r="OO156" s="1260"/>
      <c r="OP156" s="1260"/>
      <c r="OQ156" s="1260"/>
      <c r="OR156" s="1260"/>
      <c r="OS156" s="1260"/>
      <c r="OT156" s="1260"/>
      <c r="OU156" s="1260"/>
      <c r="OV156" s="1260"/>
      <c r="OW156" s="1260"/>
      <c r="OX156" s="1260"/>
      <c r="OY156" s="1260"/>
      <c r="OZ156" s="1260"/>
      <c r="PA156" s="1260"/>
      <c r="PB156" s="1260"/>
      <c r="PC156" s="1260"/>
      <c r="PD156" s="1260"/>
      <c r="PE156" s="1260"/>
      <c r="PF156" s="1260"/>
      <c r="PG156" s="1260"/>
      <c r="PH156" s="1260"/>
      <c r="PI156" s="1260"/>
      <c r="PJ156" s="1260"/>
      <c r="PK156" s="1260"/>
      <c r="PL156" s="1260"/>
      <c r="PM156" s="1260"/>
      <c r="PN156" s="1260"/>
      <c r="PO156" s="1260"/>
      <c r="PP156" s="1260"/>
      <c r="PQ156" s="1260"/>
      <c r="PR156" s="1260"/>
      <c r="PS156" s="1260"/>
      <c r="PT156" s="1260"/>
      <c r="PU156" s="1260"/>
      <c r="PV156" s="1260"/>
      <c r="PW156" s="1260"/>
      <c r="PX156" s="1260"/>
      <c r="PY156" s="1260"/>
      <c r="PZ156" s="1260"/>
      <c r="QA156" s="1260"/>
      <c r="QB156" s="1260"/>
      <c r="QC156" s="1260"/>
      <c r="QD156" s="1260"/>
      <c r="QE156" s="1260"/>
      <c r="QF156" s="1260"/>
      <c r="QG156" s="1260"/>
      <c r="QH156" s="1260"/>
      <c r="QI156" s="1260"/>
      <c r="QJ156" s="1260"/>
      <c r="QK156" s="1260"/>
      <c r="QL156" s="1260"/>
      <c r="QM156" s="1260"/>
      <c r="QN156" s="1260"/>
      <c r="QO156" s="1260"/>
      <c r="QP156" s="1260"/>
      <c r="QQ156" s="1260"/>
      <c r="QR156" s="1260"/>
      <c r="QS156" s="1260"/>
      <c r="QT156" s="1260"/>
      <c r="QU156" s="1260"/>
      <c r="QV156" s="1260"/>
      <c r="QW156" s="1260"/>
      <c r="QX156" s="1260"/>
      <c r="QY156" s="1260"/>
      <c r="QZ156" s="1260"/>
      <c r="RA156" s="1260"/>
      <c r="RB156" s="1260"/>
      <c r="RC156" s="1260"/>
      <c r="RD156" s="1260"/>
      <c r="RE156" s="1260"/>
      <c r="RF156" s="1260"/>
      <c r="RG156" s="1260"/>
      <c r="RH156" s="1260"/>
      <c r="RI156" s="1260"/>
      <c r="RJ156" s="1260"/>
      <c r="RK156" s="1260"/>
      <c r="RL156" s="1260"/>
      <c r="RM156" s="1260"/>
      <c r="RN156" s="1260"/>
      <c r="RO156" s="1260"/>
      <c r="RP156" s="1260"/>
      <c r="RQ156" s="1260"/>
      <c r="RR156" s="1260"/>
      <c r="RS156" s="1260"/>
      <c r="RT156" s="1260"/>
      <c r="RU156" s="1260"/>
      <c r="RV156" s="1260"/>
      <c r="RW156" s="1260"/>
      <c r="RX156" s="1260"/>
      <c r="RY156" s="1260"/>
      <c r="RZ156" s="1260"/>
      <c r="SA156" s="1260"/>
      <c r="SB156" s="1260"/>
      <c r="SC156" s="1260"/>
      <c r="SD156" s="1260"/>
      <c r="SE156" s="1260"/>
      <c r="SF156" s="1260"/>
      <c r="SG156" s="1260"/>
      <c r="SH156" s="1260"/>
      <c r="SI156" s="1260"/>
      <c r="SJ156" s="1260"/>
      <c r="SK156" s="1260"/>
      <c r="SL156" s="1260"/>
      <c r="SM156" s="1260"/>
      <c r="SN156" s="1260"/>
      <c r="SO156" s="1260"/>
      <c r="SP156" s="1260"/>
      <c r="SQ156" s="1260"/>
      <c r="SR156" s="1260"/>
      <c r="SS156" s="1260"/>
      <c r="ST156" s="1260"/>
      <c r="SU156" s="1260"/>
      <c r="SV156" s="1260"/>
      <c r="SW156" s="1260"/>
      <c r="SX156" s="1260"/>
      <c r="SY156" s="1260"/>
      <c r="SZ156" s="1260"/>
      <c r="TA156" s="1260"/>
      <c r="TB156" s="1260"/>
      <c r="TC156" s="1260"/>
      <c r="TD156" s="1260"/>
      <c r="TE156" s="1260"/>
      <c r="TF156" s="1260"/>
      <c r="TG156" s="1260"/>
      <c r="TH156" s="1260"/>
      <c r="TI156" s="1260"/>
      <c r="TJ156" s="1260"/>
      <c r="TK156" s="1260"/>
      <c r="TL156" s="1260"/>
      <c r="TM156" s="1260"/>
      <c r="TN156" s="1260"/>
      <c r="TO156" s="1260"/>
      <c r="TP156" s="1260"/>
      <c r="TQ156" s="1260"/>
      <c r="TR156" s="1260"/>
      <c r="TS156" s="1260"/>
      <c r="TT156" s="1260"/>
      <c r="TU156" s="1260"/>
      <c r="TV156" s="1260"/>
      <c r="TW156" s="1260"/>
      <c r="TX156" s="1260"/>
      <c r="TY156" s="1260"/>
      <c r="TZ156" s="1260"/>
      <c r="UA156" s="1260"/>
      <c r="UB156" s="1260"/>
      <c r="UC156" s="1260"/>
      <c r="UD156" s="1260"/>
      <c r="UE156" s="1260"/>
      <c r="UF156" s="1260"/>
      <c r="UG156" s="1261"/>
    </row>
    <row r="157" spans="1:553" s="1262" customFormat="1" ht="34.5" customHeight="1">
      <c r="A157" s="356" t="s">
        <v>15</v>
      </c>
      <c r="B157" s="356"/>
      <c r="C157" s="1472" t="s">
        <v>201</v>
      </c>
      <c r="D157" s="1389"/>
      <c r="E157" s="1389"/>
      <c r="F157" s="1390"/>
      <c r="G157" s="366" t="s">
        <v>193</v>
      </c>
      <c r="H157" s="370"/>
      <c r="I157" s="443">
        <v>61</v>
      </c>
      <c r="J157" s="368">
        <v>65000</v>
      </c>
      <c r="K157" s="391"/>
      <c r="L157" s="480">
        <f t="shared" si="34"/>
        <v>3965000</v>
      </c>
      <c r="M157" s="366"/>
      <c r="N157" s="366"/>
      <c r="O157" s="366"/>
      <c r="P157" s="366"/>
      <c r="Q157" s="1136"/>
      <c r="R157" s="1452"/>
      <c r="S157" s="305"/>
      <c r="T157" s="303"/>
      <c r="U157" s="306"/>
      <c r="V157" s="307"/>
      <c r="W157" s="306"/>
      <c r="X157" s="306"/>
      <c r="Y157" s="306"/>
      <c r="Z157" s="306"/>
      <c r="AA157" s="306"/>
      <c r="AB157" s="306"/>
      <c r="AC157" s="449"/>
      <c r="AD157" s="452"/>
      <c r="AE157" s="452"/>
      <c r="AF157" s="452"/>
      <c r="AG157" s="452"/>
      <c r="AH157" s="452"/>
      <c r="AI157" s="452"/>
      <c r="AJ157" s="452"/>
      <c r="AK157" s="452"/>
      <c r="AL157" s="1259"/>
      <c r="AM157" s="1260"/>
      <c r="AN157" s="1260"/>
      <c r="AO157" s="1260"/>
      <c r="AP157" s="1260"/>
      <c r="AQ157" s="1260"/>
      <c r="AR157" s="1260"/>
      <c r="AS157" s="1260"/>
      <c r="AT157" s="1260"/>
      <c r="AU157" s="1260"/>
      <c r="AV157" s="1260"/>
      <c r="AW157" s="1260"/>
      <c r="AX157" s="1260"/>
      <c r="AY157" s="1260"/>
      <c r="AZ157" s="1260"/>
      <c r="BA157" s="1260"/>
      <c r="BB157" s="1260"/>
      <c r="BC157" s="1260"/>
      <c r="BD157" s="1260"/>
      <c r="BE157" s="1260"/>
      <c r="BF157" s="1260"/>
      <c r="BG157" s="1260"/>
      <c r="BH157" s="1260"/>
      <c r="BI157" s="1260"/>
      <c r="BJ157" s="1260"/>
      <c r="BK157" s="1260"/>
      <c r="BL157" s="1260"/>
      <c r="BM157" s="1260"/>
      <c r="BN157" s="1260"/>
      <c r="BO157" s="1260"/>
      <c r="BP157" s="1260"/>
      <c r="BQ157" s="1260"/>
      <c r="BR157" s="1260"/>
      <c r="BS157" s="1260"/>
      <c r="BT157" s="1260"/>
      <c r="BU157" s="1260"/>
      <c r="BV157" s="1260"/>
      <c r="BW157" s="1260"/>
      <c r="BX157" s="1260"/>
      <c r="BY157" s="1260"/>
      <c r="BZ157" s="1260"/>
      <c r="CA157" s="1260"/>
      <c r="CB157" s="1260"/>
      <c r="CC157" s="1260"/>
      <c r="CD157" s="1260"/>
      <c r="CE157" s="1260"/>
      <c r="CF157" s="1260"/>
      <c r="CG157" s="1260"/>
      <c r="CH157" s="1260"/>
      <c r="CI157" s="1260"/>
      <c r="CJ157" s="1260"/>
      <c r="CK157" s="1260"/>
      <c r="CL157" s="1260"/>
      <c r="CM157" s="1260"/>
      <c r="CN157" s="1260"/>
      <c r="CO157" s="1260"/>
      <c r="CP157" s="1260"/>
      <c r="CQ157" s="1260"/>
      <c r="CR157" s="1260"/>
      <c r="CS157" s="1260"/>
      <c r="CT157" s="1260"/>
      <c r="CU157" s="1260"/>
      <c r="CV157" s="1260"/>
      <c r="CW157" s="1260"/>
      <c r="CX157" s="1260"/>
      <c r="CY157" s="1260"/>
      <c r="CZ157" s="1260"/>
      <c r="DA157" s="1260"/>
      <c r="DB157" s="1260"/>
      <c r="DC157" s="1260"/>
      <c r="DD157" s="1260"/>
      <c r="DE157" s="1260"/>
      <c r="DF157" s="1260"/>
      <c r="DG157" s="1260"/>
      <c r="DH157" s="1260"/>
      <c r="DI157" s="1260"/>
      <c r="DJ157" s="1260"/>
      <c r="DK157" s="1260"/>
      <c r="DL157" s="1260"/>
      <c r="DM157" s="1260"/>
      <c r="DN157" s="1260"/>
      <c r="DO157" s="1260"/>
      <c r="DP157" s="1260"/>
      <c r="DQ157" s="1260"/>
      <c r="DR157" s="1260"/>
      <c r="DS157" s="1260"/>
      <c r="DT157" s="1260"/>
      <c r="DU157" s="1260"/>
      <c r="DV157" s="1260"/>
      <c r="DW157" s="1260"/>
      <c r="DX157" s="1260"/>
      <c r="DY157" s="1260"/>
      <c r="DZ157" s="1260"/>
      <c r="EA157" s="1260"/>
      <c r="EB157" s="1260"/>
      <c r="EC157" s="1260"/>
      <c r="ED157" s="1260"/>
      <c r="EE157" s="1260"/>
      <c r="EF157" s="1260"/>
      <c r="EG157" s="1260"/>
      <c r="EH157" s="1260"/>
      <c r="EI157" s="1260"/>
      <c r="EJ157" s="1260"/>
      <c r="EK157" s="1260"/>
      <c r="EL157" s="1260"/>
      <c r="EM157" s="1260"/>
      <c r="EN157" s="1260"/>
      <c r="EO157" s="1260"/>
      <c r="EP157" s="1260"/>
      <c r="EQ157" s="1260"/>
      <c r="ER157" s="1260"/>
      <c r="ES157" s="1260"/>
      <c r="ET157" s="1260"/>
      <c r="EU157" s="1260"/>
      <c r="EV157" s="1260"/>
      <c r="EW157" s="1260"/>
      <c r="EX157" s="1260"/>
      <c r="EY157" s="1260"/>
      <c r="EZ157" s="1260"/>
      <c r="FA157" s="1260"/>
      <c r="FB157" s="1260"/>
      <c r="FC157" s="1260"/>
      <c r="FD157" s="1260"/>
      <c r="FE157" s="1260"/>
      <c r="FF157" s="1260"/>
      <c r="FG157" s="1260"/>
      <c r="FH157" s="1260"/>
      <c r="FI157" s="1260"/>
      <c r="FJ157" s="1260"/>
      <c r="FK157" s="1260"/>
      <c r="FL157" s="1260"/>
      <c r="FM157" s="1260"/>
      <c r="FN157" s="1260"/>
      <c r="FO157" s="1260"/>
      <c r="FP157" s="1260"/>
      <c r="FQ157" s="1260"/>
      <c r="FR157" s="1260"/>
      <c r="FS157" s="1260"/>
      <c r="FT157" s="1260"/>
      <c r="FU157" s="1260"/>
      <c r="FV157" s="1260"/>
      <c r="FW157" s="1260"/>
      <c r="FX157" s="1260"/>
      <c r="FY157" s="1260"/>
      <c r="FZ157" s="1260"/>
      <c r="GA157" s="1260"/>
      <c r="GB157" s="1260"/>
      <c r="GC157" s="1260"/>
      <c r="GD157" s="1260"/>
      <c r="GE157" s="1260"/>
      <c r="GF157" s="1260"/>
      <c r="GG157" s="1260"/>
      <c r="GH157" s="1260"/>
      <c r="GI157" s="1260"/>
      <c r="GJ157" s="1260"/>
      <c r="GK157" s="1260"/>
      <c r="GL157" s="1260"/>
      <c r="GM157" s="1260"/>
      <c r="GN157" s="1260"/>
      <c r="GO157" s="1260"/>
      <c r="GP157" s="1260"/>
      <c r="GQ157" s="1260"/>
      <c r="GR157" s="1260"/>
      <c r="GS157" s="1260"/>
      <c r="GT157" s="1260"/>
      <c r="GU157" s="1260"/>
      <c r="GV157" s="1260"/>
      <c r="GW157" s="1260"/>
      <c r="GX157" s="1260"/>
      <c r="GY157" s="1260"/>
      <c r="GZ157" s="1260"/>
      <c r="HA157" s="1260"/>
      <c r="HB157" s="1260"/>
      <c r="HC157" s="1260"/>
      <c r="HD157" s="1260"/>
      <c r="HE157" s="1260"/>
      <c r="HF157" s="1260"/>
      <c r="HG157" s="1260"/>
      <c r="HH157" s="1260"/>
      <c r="HI157" s="1260"/>
      <c r="HJ157" s="1260"/>
      <c r="HK157" s="1260"/>
      <c r="HL157" s="1260"/>
      <c r="HM157" s="1260"/>
      <c r="HN157" s="1260"/>
      <c r="HO157" s="1260"/>
      <c r="HP157" s="1260"/>
      <c r="HQ157" s="1260"/>
      <c r="HR157" s="1260"/>
      <c r="HS157" s="1260"/>
      <c r="HT157" s="1260"/>
      <c r="HU157" s="1260"/>
      <c r="HV157" s="1260"/>
      <c r="HW157" s="1260"/>
      <c r="HX157" s="1260"/>
      <c r="HY157" s="1260"/>
      <c r="HZ157" s="1260"/>
      <c r="IA157" s="1260"/>
      <c r="IB157" s="1260"/>
      <c r="IC157" s="1260"/>
      <c r="ID157" s="1260"/>
      <c r="IE157" s="1260"/>
      <c r="IF157" s="1260"/>
      <c r="IG157" s="1260"/>
      <c r="IH157" s="1260"/>
      <c r="II157" s="1260"/>
      <c r="IJ157" s="1260"/>
      <c r="IK157" s="1260"/>
      <c r="IL157" s="1260"/>
      <c r="IM157" s="1260"/>
      <c r="IN157" s="1260"/>
      <c r="IO157" s="1260"/>
      <c r="IP157" s="1260"/>
      <c r="IQ157" s="1260"/>
      <c r="IR157" s="1260"/>
      <c r="IS157" s="1260"/>
      <c r="IT157" s="1260"/>
      <c r="IU157" s="1260"/>
      <c r="IV157" s="1260"/>
      <c r="IW157" s="1260"/>
      <c r="IX157" s="1260"/>
      <c r="IY157" s="1260"/>
      <c r="IZ157" s="1260"/>
      <c r="JA157" s="1260"/>
      <c r="JB157" s="1260"/>
      <c r="JC157" s="1260"/>
      <c r="JD157" s="1260"/>
      <c r="JE157" s="1260"/>
      <c r="JF157" s="1260"/>
      <c r="JG157" s="1260"/>
      <c r="JH157" s="1260"/>
      <c r="JI157" s="1260"/>
      <c r="JJ157" s="1260"/>
      <c r="JK157" s="1260"/>
      <c r="JL157" s="1260"/>
      <c r="JM157" s="1260"/>
      <c r="JN157" s="1260"/>
      <c r="JO157" s="1260"/>
      <c r="JP157" s="1260"/>
      <c r="JQ157" s="1260"/>
      <c r="JR157" s="1260"/>
      <c r="JS157" s="1260"/>
      <c r="JT157" s="1260"/>
      <c r="JU157" s="1260"/>
      <c r="JV157" s="1260"/>
      <c r="JW157" s="1260"/>
      <c r="JX157" s="1260"/>
      <c r="JY157" s="1260"/>
      <c r="JZ157" s="1260"/>
      <c r="KA157" s="1260"/>
      <c r="KB157" s="1260"/>
      <c r="KC157" s="1260"/>
      <c r="KD157" s="1260"/>
      <c r="KE157" s="1260"/>
      <c r="KF157" s="1260"/>
      <c r="KG157" s="1260"/>
      <c r="KH157" s="1260"/>
      <c r="KI157" s="1260"/>
      <c r="KJ157" s="1260"/>
      <c r="KK157" s="1260"/>
      <c r="KL157" s="1260"/>
      <c r="KM157" s="1260"/>
      <c r="KN157" s="1260"/>
      <c r="KO157" s="1260"/>
      <c r="KP157" s="1260"/>
      <c r="KQ157" s="1260"/>
      <c r="KR157" s="1260"/>
      <c r="KS157" s="1260"/>
      <c r="KT157" s="1260"/>
      <c r="KU157" s="1260"/>
      <c r="KV157" s="1260"/>
      <c r="KW157" s="1260"/>
      <c r="KX157" s="1260"/>
      <c r="KY157" s="1260"/>
      <c r="KZ157" s="1260"/>
      <c r="LA157" s="1260"/>
      <c r="LB157" s="1260"/>
      <c r="LC157" s="1260"/>
      <c r="LD157" s="1260"/>
      <c r="LE157" s="1260"/>
      <c r="LF157" s="1260"/>
      <c r="LG157" s="1260"/>
      <c r="LH157" s="1260"/>
      <c r="LI157" s="1260"/>
      <c r="LJ157" s="1260"/>
      <c r="LK157" s="1260"/>
      <c r="LL157" s="1260"/>
      <c r="LM157" s="1260"/>
      <c r="LN157" s="1260"/>
      <c r="LO157" s="1260"/>
      <c r="LP157" s="1260"/>
      <c r="LQ157" s="1260"/>
      <c r="LR157" s="1260"/>
      <c r="LS157" s="1260"/>
      <c r="LT157" s="1260"/>
      <c r="LU157" s="1260"/>
      <c r="LV157" s="1260"/>
      <c r="LW157" s="1260"/>
      <c r="LX157" s="1260"/>
      <c r="LY157" s="1260"/>
      <c r="LZ157" s="1260"/>
      <c r="MA157" s="1260"/>
      <c r="MB157" s="1260"/>
      <c r="MC157" s="1260"/>
      <c r="MD157" s="1260"/>
      <c r="ME157" s="1260"/>
      <c r="MF157" s="1260"/>
      <c r="MG157" s="1260"/>
      <c r="MH157" s="1260"/>
      <c r="MI157" s="1260"/>
      <c r="MJ157" s="1260"/>
      <c r="MK157" s="1260"/>
      <c r="ML157" s="1260"/>
      <c r="MM157" s="1260"/>
      <c r="MN157" s="1260"/>
      <c r="MO157" s="1260"/>
      <c r="MP157" s="1260"/>
      <c r="MQ157" s="1260"/>
      <c r="MR157" s="1260"/>
      <c r="MS157" s="1260"/>
      <c r="MT157" s="1260"/>
      <c r="MU157" s="1260"/>
      <c r="MV157" s="1260"/>
      <c r="MW157" s="1260"/>
      <c r="MX157" s="1260"/>
      <c r="MY157" s="1260"/>
      <c r="MZ157" s="1260"/>
      <c r="NA157" s="1260"/>
      <c r="NB157" s="1260"/>
      <c r="NC157" s="1260"/>
      <c r="ND157" s="1260"/>
      <c r="NE157" s="1260"/>
      <c r="NF157" s="1260"/>
      <c r="NG157" s="1260"/>
      <c r="NH157" s="1260"/>
      <c r="NI157" s="1260"/>
      <c r="NJ157" s="1260"/>
      <c r="NK157" s="1260"/>
      <c r="NL157" s="1260"/>
      <c r="NM157" s="1260"/>
      <c r="NN157" s="1260"/>
      <c r="NO157" s="1260"/>
      <c r="NP157" s="1260"/>
      <c r="NQ157" s="1260"/>
      <c r="NR157" s="1260"/>
      <c r="NS157" s="1260"/>
      <c r="NT157" s="1260"/>
      <c r="NU157" s="1260"/>
      <c r="NV157" s="1260"/>
      <c r="NW157" s="1260"/>
      <c r="NX157" s="1260"/>
      <c r="NY157" s="1260"/>
      <c r="NZ157" s="1260"/>
      <c r="OA157" s="1260"/>
      <c r="OB157" s="1260"/>
      <c r="OC157" s="1260"/>
      <c r="OD157" s="1260"/>
      <c r="OE157" s="1260"/>
      <c r="OF157" s="1260"/>
      <c r="OG157" s="1260"/>
      <c r="OH157" s="1260"/>
      <c r="OI157" s="1260"/>
      <c r="OJ157" s="1260"/>
      <c r="OK157" s="1260"/>
      <c r="OL157" s="1260"/>
      <c r="OM157" s="1260"/>
      <c r="ON157" s="1260"/>
      <c r="OO157" s="1260"/>
      <c r="OP157" s="1260"/>
      <c r="OQ157" s="1260"/>
      <c r="OR157" s="1260"/>
      <c r="OS157" s="1260"/>
      <c r="OT157" s="1260"/>
      <c r="OU157" s="1260"/>
      <c r="OV157" s="1260"/>
      <c r="OW157" s="1260"/>
      <c r="OX157" s="1260"/>
      <c r="OY157" s="1260"/>
      <c r="OZ157" s="1260"/>
      <c r="PA157" s="1260"/>
      <c r="PB157" s="1260"/>
      <c r="PC157" s="1260"/>
      <c r="PD157" s="1260"/>
      <c r="PE157" s="1260"/>
      <c r="PF157" s="1260"/>
      <c r="PG157" s="1260"/>
      <c r="PH157" s="1260"/>
      <c r="PI157" s="1260"/>
      <c r="PJ157" s="1260"/>
      <c r="PK157" s="1260"/>
      <c r="PL157" s="1260"/>
      <c r="PM157" s="1260"/>
      <c r="PN157" s="1260"/>
      <c r="PO157" s="1260"/>
      <c r="PP157" s="1260"/>
      <c r="PQ157" s="1260"/>
      <c r="PR157" s="1260"/>
      <c r="PS157" s="1260"/>
      <c r="PT157" s="1260"/>
      <c r="PU157" s="1260"/>
      <c r="PV157" s="1260"/>
      <c r="PW157" s="1260"/>
      <c r="PX157" s="1260"/>
      <c r="PY157" s="1260"/>
      <c r="PZ157" s="1260"/>
      <c r="QA157" s="1260"/>
      <c r="QB157" s="1260"/>
      <c r="QC157" s="1260"/>
      <c r="QD157" s="1260"/>
      <c r="QE157" s="1260"/>
      <c r="QF157" s="1260"/>
      <c r="QG157" s="1260"/>
      <c r="QH157" s="1260"/>
      <c r="QI157" s="1260"/>
      <c r="QJ157" s="1260"/>
      <c r="QK157" s="1260"/>
      <c r="QL157" s="1260"/>
      <c r="QM157" s="1260"/>
      <c r="QN157" s="1260"/>
      <c r="QO157" s="1260"/>
      <c r="QP157" s="1260"/>
      <c r="QQ157" s="1260"/>
      <c r="QR157" s="1260"/>
      <c r="QS157" s="1260"/>
      <c r="QT157" s="1260"/>
      <c r="QU157" s="1260"/>
      <c r="QV157" s="1260"/>
      <c r="QW157" s="1260"/>
      <c r="QX157" s="1260"/>
      <c r="QY157" s="1260"/>
      <c r="QZ157" s="1260"/>
      <c r="RA157" s="1260"/>
      <c r="RB157" s="1260"/>
      <c r="RC157" s="1260"/>
      <c r="RD157" s="1260"/>
      <c r="RE157" s="1260"/>
      <c r="RF157" s="1260"/>
      <c r="RG157" s="1260"/>
      <c r="RH157" s="1260"/>
      <c r="RI157" s="1260"/>
      <c r="RJ157" s="1260"/>
      <c r="RK157" s="1260"/>
      <c r="RL157" s="1260"/>
      <c r="RM157" s="1260"/>
      <c r="RN157" s="1260"/>
      <c r="RO157" s="1260"/>
      <c r="RP157" s="1260"/>
      <c r="RQ157" s="1260"/>
      <c r="RR157" s="1260"/>
      <c r="RS157" s="1260"/>
      <c r="RT157" s="1260"/>
      <c r="RU157" s="1260"/>
      <c r="RV157" s="1260"/>
      <c r="RW157" s="1260"/>
      <c r="RX157" s="1260"/>
      <c r="RY157" s="1260"/>
      <c r="RZ157" s="1260"/>
      <c r="SA157" s="1260"/>
      <c r="SB157" s="1260"/>
      <c r="SC157" s="1260"/>
      <c r="SD157" s="1260"/>
      <c r="SE157" s="1260"/>
      <c r="SF157" s="1260"/>
      <c r="SG157" s="1260"/>
      <c r="SH157" s="1260"/>
      <c r="SI157" s="1260"/>
      <c r="SJ157" s="1260"/>
      <c r="SK157" s="1260"/>
      <c r="SL157" s="1260"/>
      <c r="SM157" s="1260"/>
      <c r="SN157" s="1260"/>
      <c r="SO157" s="1260"/>
      <c r="SP157" s="1260"/>
      <c r="SQ157" s="1260"/>
      <c r="SR157" s="1260"/>
      <c r="SS157" s="1260"/>
      <c r="ST157" s="1260"/>
      <c r="SU157" s="1260"/>
      <c r="SV157" s="1260"/>
      <c r="SW157" s="1260"/>
      <c r="SX157" s="1260"/>
      <c r="SY157" s="1260"/>
      <c r="SZ157" s="1260"/>
      <c r="TA157" s="1260"/>
      <c r="TB157" s="1260"/>
      <c r="TC157" s="1260"/>
      <c r="TD157" s="1260"/>
      <c r="TE157" s="1260"/>
      <c r="TF157" s="1260"/>
      <c r="TG157" s="1260"/>
      <c r="TH157" s="1260"/>
      <c r="TI157" s="1260"/>
      <c r="TJ157" s="1260"/>
      <c r="TK157" s="1260"/>
      <c r="TL157" s="1260"/>
      <c r="TM157" s="1260"/>
      <c r="TN157" s="1260"/>
      <c r="TO157" s="1260"/>
      <c r="TP157" s="1260"/>
      <c r="TQ157" s="1260"/>
      <c r="TR157" s="1260"/>
      <c r="TS157" s="1260"/>
      <c r="TT157" s="1260"/>
      <c r="TU157" s="1260"/>
      <c r="TV157" s="1260"/>
      <c r="TW157" s="1260"/>
      <c r="TX157" s="1260"/>
      <c r="TY157" s="1260"/>
      <c r="TZ157" s="1260"/>
      <c r="UA157" s="1260"/>
      <c r="UB157" s="1260"/>
      <c r="UC157" s="1260"/>
      <c r="UD157" s="1260"/>
      <c r="UE157" s="1260"/>
      <c r="UF157" s="1260"/>
      <c r="UG157" s="1261"/>
    </row>
    <row r="158" spans="1:553" s="1262" customFormat="1" ht="34.5" customHeight="1">
      <c r="A158" s="356" t="s">
        <v>15</v>
      </c>
      <c r="B158" s="356"/>
      <c r="C158" s="1472" t="s">
        <v>202</v>
      </c>
      <c r="D158" s="1473"/>
      <c r="E158" s="1473"/>
      <c r="F158" s="1474"/>
      <c r="G158" s="366" t="s">
        <v>193</v>
      </c>
      <c r="H158" s="370"/>
      <c r="I158" s="443">
        <v>41</v>
      </c>
      <c r="J158" s="368">
        <v>65000</v>
      </c>
      <c r="K158" s="391"/>
      <c r="L158" s="480">
        <f>ROUND(PRODUCT(I158:K158),0)</f>
        <v>2665000</v>
      </c>
      <c r="M158" s="366"/>
      <c r="N158" s="366"/>
      <c r="O158" s="366"/>
      <c r="P158" s="366"/>
      <c r="Q158" s="1136"/>
      <c r="R158" s="1452"/>
      <c r="S158" s="305"/>
      <c r="T158" s="303"/>
      <c r="U158" s="306"/>
      <c r="V158" s="307"/>
      <c r="W158" s="306"/>
      <c r="X158" s="306"/>
      <c r="Y158" s="306"/>
      <c r="Z158" s="306"/>
      <c r="AA158" s="306"/>
      <c r="AB158" s="306"/>
      <c r="AC158" s="449"/>
      <c r="AD158" s="452"/>
      <c r="AE158" s="452"/>
      <c r="AF158" s="452"/>
      <c r="AG158" s="452"/>
      <c r="AH158" s="452"/>
      <c r="AI158" s="452"/>
      <c r="AJ158" s="452"/>
      <c r="AK158" s="452"/>
      <c r="AL158" s="1259"/>
      <c r="AM158" s="1260"/>
      <c r="AN158" s="1260"/>
      <c r="AO158" s="1260"/>
      <c r="AP158" s="1260"/>
      <c r="AQ158" s="1260"/>
      <c r="AR158" s="1260"/>
      <c r="AS158" s="1260"/>
      <c r="AT158" s="1260"/>
      <c r="AU158" s="1260"/>
      <c r="AV158" s="1260"/>
      <c r="AW158" s="1260"/>
      <c r="AX158" s="1260"/>
      <c r="AY158" s="1260"/>
      <c r="AZ158" s="1260"/>
      <c r="BA158" s="1260"/>
      <c r="BB158" s="1260"/>
      <c r="BC158" s="1260"/>
      <c r="BD158" s="1260"/>
      <c r="BE158" s="1260"/>
      <c r="BF158" s="1260"/>
      <c r="BG158" s="1260"/>
      <c r="BH158" s="1260"/>
      <c r="BI158" s="1260"/>
      <c r="BJ158" s="1260"/>
      <c r="BK158" s="1260"/>
      <c r="BL158" s="1260"/>
      <c r="BM158" s="1260"/>
      <c r="BN158" s="1260"/>
      <c r="BO158" s="1260"/>
      <c r="BP158" s="1260"/>
      <c r="BQ158" s="1260"/>
      <c r="BR158" s="1260"/>
      <c r="BS158" s="1260"/>
      <c r="BT158" s="1260"/>
      <c r="BU158" s="1260"/>
      <c r="BV158" s="1260"/>
      <c r="BW158" s="1260"/>
      <c r="BX158" s="1260"/>
      <c r="BY158" s="1260"/>
      <c r="BZ158" s="1260"/>
      <c r="CA158" s="1260"/>
      <c r="CB158" s="1260"/>
      <c r="CC158" s="1260"/>
      <c r="CD158" s="1260"/>
      <c r="CE158" s="1260"/>
      <c r="CF158" s="1260"/>
      <c r="CG158" s="1260"/>
      <c r="CH158" s="1260"/>
      <c r="CI158" s="1260"/>
      <c r="CJ158" s="1260"/>
      <c r="CK158" s="1260"/>
      <c r="CL158" s="1260"/>
      <c r="CM158" s="1260"/>
      <c r="CN158" s="1260"/>
      <c r="CO158" s="1260"/>
      <c r="CP158" s="1260"/>
      <c r="CQ158" s="1260"/>
      <c r="CR158" s="1260"/>
      <c r="CS158" s="1260"/>
      <c r="CT158" s="1260"/>
      <c r="CU158" s="1260"/>
      <c r="CV158" s="1260"/>
      <c r="CW158" s="1260"/>
      <c r="CX158" s="1260"/>
      <c r="CY158" s="1260"/>
      <c r="CZ158" s="1260"/>
      <c r="DA158" s="1260"/>
      <c r="DB158" s="1260"/>
      <c r="DC158" s="1260"/>
      <c r="DD158" s="1260"/>
      <c r="DE158" s="1260"/>
      <c r="DF158" s="1260"/>
      <c r="DG158" s="1260"/>
      <c r="DH158" s="1260"/>
      <c r="DI158" s="1260"/>
      <c r="DJ158" s="1260"/>
      <c r="DK158" s="1260"/>
      <c r="DL158" s="1260"/>
      <c r="DM158" s="1260"/>
      <c r="DN158" s="1260"/>
      <c r="DO158" s="1260"/>
      <c r="DP158" s="1260"/>
      <c r="DQ158" s="1260"/>
      <c r="DR158" s="1260"/>
      <c r="DS158" s="1260"/>
      <c r="DT158" s="1260"/>
      <c r="DU158" s="1260"/>
      <c r="DV158" s="1260"/>
      <c r="DW158" s="1260"/>
      <c r="DX158" s="1260"/>
      <c r="DY158" s="1260"/>
      <c r="DZ158" s="1260"/>
      <c r="EA158" s="1260"/>
      <c r="EB158" s="1260"/>
      <c r="EC158" s="1260"/>
      <c r="ED158" s="1260"/>
      <c r="EE158" s="1260"/>
      <c r="EF158" s="1260"/>
      <c r="EG158" s="1260"/>
      <c r="EH158" s="1260"/>
      <c r="EI158" s="1260"/>
      <c r="EJ158" s="1260"/>
      <c r="EK158" s="1260"/>
      <c r="EL158" s="1260"/>
      <c r="EM158" s="1260"/>
      <c r="EN158" s="1260"/>
      <c r="EO158" s="1260"/>
      <c r="EP158" s="1260"/>
      <c r="EQ158" s="1260"/>
      <c r="ER158" s="1260"/>
      <c r="ES158" s="1260"/>
      <c r="ET158" s="1260"/>
      <c r="EU158" s="1260"/>
      <c r="EV158" s="1260"/>
      <c r="EW158" s="1260"/>
      <c r="EX158" s="1260"/>
      <c r="EY158" s="1260"/>
      <c r="EZ158" s="1260"/>
      <c r="FA158" s="1260"/>
      <c r="FB158" s="1260"/>
      <c r="FC158" s="1260"/>
      <c r="FD158" s="1260"/>
      <c r="FE158" s="1260"/>
      <c r="FF158" s="1260"/>
      <c r="FG158" s="1260"/>
      <c r="FH158" s="1260"/>
      <c r="FI158" s="1260"/>
      <c r="FJ158" s="1260"/>
      <c r="FK158" s="1260"/>
      <c r="FL158" s="1260"/>
      <c r="FM158" s="1260"/>
      <c r="FN158" s="1260"/>
      <c r="FO158" s="1260"/>
      <c r="FP158" s="1260"/>
      <c r="FQ158" s="1260"/>
      <c r="FR158" s="1260"/>
      <c r="FS158" s="1260"/>
      <c r="FT158" s="1260"/>
      <c r="FU158" s="1260"/>
      <c r="FV158" s="1260"/>
      <c r="FW158" s="1260"/>
      <c r="FX158" s="1260"/>
      <c r="FY158" s="1260"/>
      <c r="FZ158" s="1260"/>
      <c r="GA158" s="1260"/>
      <c r="GB158" s="1260"/>
      <c r="GC158" s="1260"/>
      <c r="GD158" s="1260"/>
      <c r="GE158" s="1260"/>
      <c r="GF158" s="1260"/>
      <c r="GG158" s="1260"/>
      <c r="GH158" s="1260"/>
      <c r="GI158" s="1260"/>
      <c r="GJ158" s="1260"/>
      <c r="GK158" s="1260"/>
      <c r="GL158" s="1260"/>
      <c r="GM158" s="1260"/>
      <c r="GN158" s="1260"/>
      <c r="GO158" s="1260"/>
      <c r="GP158" s="1260"/>
      <c r="GQ158" s="1260"/>
      <c r="GR158" s="1260"/>
      <c r="GS158" s="1260"/>
      <c r="GT158" s="1260"/>
      <c r="GU158" s="1260"/>
      <c r="GV158" s="1260"/>
      <c r="GW158" s="1260"/>
      <c r="GX158" s="1260"/>
      <c r="GY158" s="1260"/>
      <c r="GZ158" s="1260"/>
      <c r="HA158" s="1260"/>
      <c r="HB158" s="1260"/>
      <c r="HC158" s="1260"/>
      <c r="HD158" s="1260"/>
      <c r="HE158" s="1260"/>
      <c r="HF158" s="1260"/>
      <c r="HG158" s="1260"/>
      <c r="HH158" s="1260"/>
      <c r="HI158" s="1260"/>
      <c r="HJ158" s="1260"/>
      <c r="HK158" s="1260"/>
      <c r="HL158" s="1260"/>
      <c r="HM158" s="1260"/>
      <c r="HN158" s="1260"/>
      <c r="HO158" s="1260"/>
      <c r="HP158" s="1260"/>
      <c r="HQ158" s="1260"/>
      <c r="HR158" s="1260"/>
      <c r="HS158" s="1260"/>
      <c r="HT158" s="1260"/>
      <c r="HU158" s="1260"/>
      <c r="HV158" s="1260"/>
      <c r="HW158" s="1260"/>
      <c r="HX158" s="1260"/>
      <c r="HY158" s="1260"/>
      <c r="HZ158" s="1260"/>
      <c r="IA158" s="1260"/>
      <c r="IB158" s="1260"/>
      <c r="IC158" s="1260"/>
      <c r="ID158" s="1260"/>
      <c r="IE158" s="1260"/>
      <c r="IF158" s="1260"/>
      <c r="IG158" s="1260"/>
      <c r="IH158" s="1260"/>
      <c r="II158" s="1260"/>
      <c r="IJ158" s="1260"/>
      <c r="IK158" s="1260"/>
      <c r="IL158" s="1260"/>
      <c r="IM158" s="1260"/>
      <c r="IN158" s="1260"/>
      <c r="IO158" s="1260"/>
      <c r="IP158" s="1260"/>
      <c r="IQ158" s="1260"/>
      <c r="IR158" s="1260"/>
      <c r="IS158" s="1260"/>
      <c r="IT158" s="1260"/>
      <c r="IU158" s="1260"/>
      <c r="IV158" s="1260"/>
      <c r="IW158" s="1260"/>
      <c r="IX158" s="1260"/>
      <c r="IY158" s="1260"/>
      <c r="IZ158" s="1260"/>
      <c r="JA158" s="1260"/>
      <c r="JB158" s="1260"/>
      <c r="JC158" s="1260"/>
      <c r="JD158" s="1260"/>
      <c r="JE158" s="1260"/>
      <c r="JF158" s="1260"/>
      <c r="JG158" s="1260"/>
      <c r="JH158" s="1260"/>
      <c r="JI158" s="1260"/>
      <c r="JJ158" s="1260"/>
      <c r="JK158" s="1260"/>
      <c r="JL158" s="1260"/>
      <c r="JM158" s="1260"/>
      <c r="JN158" s="1260"/>
      <c r="JO158" s="1260"/>
      <c r="JP158" s="1260"/>
      <c r="JQ158" s="1260"/>
      <c r="JR158" s="1260"/>
      <c r="JS158" s="1260"/>
      <c r="JT158" s="1260"/>
      <c r="JU158" s="1260"/>
      <c r="JV158" s="1260"/>
      <c r="JW158" s="1260"/>
      <c r="JX158" s="1260"/>
      <c r="JY158" s="1260"/>
      <c r="JZ158" s="1260"/>
      <c r="KA158" s="1260"/>
      <c r="KB158" s="1260"/>
      <c r="KC158" s="1260"/>
      <c r="KD158" s="1260"/>
      <c r="KE158" s="1260"/>
      <c r="KF158" s="1260"/>
      <c r="KG158" s="1260"/>
      <c r="KH158" s="1260"/>
      <c r="KI158" s="1260"/>
      <c r="KJ158" s="1260"/>
      <c r="KK158" s="1260"/>
      <c r="KL158" s="1260"/>
      <c r="KM158" s="1260"/>
      <c r="KN158" s="1260"/>
      <c r="KO158" s="1260"/>
      <c r="KP158" s="1260"/>
      <c r="KQ158" s="1260"/>
      <c r="KR158" s="1260"/>
      <c r="KS158" s="1260"/>
      <c r="KT158" s="1260"/>
      <c r="KU158" s="1260"/>
      <c r="KV158" s="1260"/>
      <c r="KW158" s="1260"/>
      <c r="KX158" s="1260"/>
      <c r="KY158" s="1260"/>
      <c r="KZ158" s="1260"/>
      <c r="LA158" s="1260"/>
      <c r="LB158" s="1260"/>
      <c r="LC158" s="1260"/>
      <c r="LD158" s="1260"/>
      <c r="LE158" s="1260"/>
      <c r="LF158" s="1260"/>
      <c r="LG158" s="1260"/>
      <c r="LH158" s="1260"/>
      <c r="LI158" s="1260"/>
      <c r="LJ158" s="1260"/>
      <c r="LK158" s="1260"/>
      <c r="LL158" s="1260"/>
      <c r="LM158" s="1260"/>
      <c r="LN158" s="1260"/>
      <c r="LO158" s="1260"/>
      <c r="LP158" s="1260"/>
      <c r="LQ158" s="1260"/>
      <c r="LR158" s="1260"/>
      <c r="LS158" s="1260"/>
      <c r="LT158" s="1260"/>
      <c r="LU158" s="1260"/>
      <c r="LV158" s="1260"/>
      <c r="LW158" s="1260"/>
      <c r="LX158" s="1260"/>
      <c r="LY158" s="1260"/>
      <c r="LZ158" s="1260"/>
      <c r="MA158" s="1260"/>
      <c r="MB158" s="1260"/>
      <c r="MC158" s="1260"/>
      <c r="MD158" s="1260"/>
      <c r="ME158" s="1260"/>
      <c r="MF158" s="1260"/>
      <c r="MG158" s="1260"/>
      <c r="MH158" s="1260"/>
      <c r="MI158" s="1260"/>
      <c r="MJ158" s="1260"/>
      <c r="MK158" s="1260"/>
      <c r="ML158" s="1260"/>
      <c r="MM158" s="1260"/>
      <c r="MN158" s="1260"/>
      <c r="MO158" s="1260"/>
      <c r="MP158" s="1260"/>
      <c r="MQ158" s="1260"/>
      <c r="MR158" s="1260"/>
      <c r="MS158" s="1260"/>
      <c r="MT158" s="1260"/>
      <c r="MU158" s="1260"/>
      <c r="MV158" s="1260"/>
      <c r="MW158" s="1260"/>
      <c r="MX158" s="1260"/>
      <c r="MY158" s="1260"/>
      <c r="MZ158" s="1260"/>
      <c r="NA158" s="1260"/>
      <c r="NB158" s="1260"/>
      <c r="NC158" s="1260"/>
      <c r="ND158" s="1260"/>
      <c r="NE158" s="1260"/>
      <c r="NF158" s="1260"/>
      <c r="NG158" s="1260"/>
      <c r="NH158" s="1260"/>
      <c r="NI158" s="1260"/>
      <c r="NJ158" s="1260"/>
      <c r="NK158" s="1260"/>
      <c r="NL158" s="1260"/>
      <c r="NM158" s="1260"/>
      <c r="NN158" s="1260"/>
      <c r="NO158" s="1260"/>
      <c r="NP158" s="1260"/>
      <c r="NQ158" s="1260"/>
      <c r="NR158" s="1260"/>
      <c r="NS158" s="1260"/>
      <c r="NT158" s="1260"/>
      <c r="NU158" s="1260"/>
      <c r="NV158" s="1260"/>
      <c r="NW158" s="1260"/>
      <c r="NX158" s="1260"/>
      <c r="NY158" s="1260"/>
      <c r="NZ158" s="1260"/>
      <c r="OA158" s="1260"/>
      <c r="OB158" s="1260"/>
      <c r="OC158" s="1260"/>
      <c r="OD158" s="1260"/>
      <c r="OE158" s="1260"/>
      <c r="OF158" s="1260"/>
      <c r="OG158" s="1260"/>
      <c r="OH158" s="1260"/>
      <c r="OI158" s="1260"/>
      <c r="OJ158" s="1260"/>
      <c r="OK158" s="1260"/>
      <c r="OL158" s="1260"/>
      <c r="OM158" s="1260"/>
      <c r="ON158" s="1260"/>
      <c r="OO158" s="1260"/>
      <c r="OP158" s="1260"/>
      <c r="OQ158" s="1260"/>
      <c r="OR158" s="1260"/>
      <c r="OS158" s="1260"/>
      <c r="OT158" s="1260"/>
      <c r="OU158" s="1260"/>
      <c r="OV158" s="1260"/>
      <c r="OW158" s="1260"/>
      <c r="OX158" s="1260"/>
      <c r="OY158" s="1260"/>
      <c r="OZ158" s="1260"/>
      <c r="PA158" s="1260"/>
      <c r="PB158" s="1260"/>
      <c r="PC158" s="1260"/>
      <c r="PD158" s="1260"/>
      <c r="PE158" s="1260"/>
      <c r="PF158" s="1260"/>
      <c r="PG158" s="1260"/>
      <c r="PH158" s="1260"/>
      <c r="PI158" s="1260"/>
      <c r="PJ158" s="1260"/>
      <c r="PK158" s="1260"/>
      <c r="PL158" s="1260"/>
      <c r="PM158" s="1260"/>
      <c r="PN158" s="1260"/>
      <c r="PO158" s="1260"/>
      <c r="PP158" s="1260"/>
      <c r="PQ158" s="1260"/>
      <c r="PR158" s="1260"/>
      <c r="PS158" s="1260"/>
      <c r="PT158" s="1260"/>
      <c r="PU158" s="1260"/>
      <c r="PV158" s="1260"/>
      <c r="PW158" s="1260"/>
      <c r="PX158" s="1260"/>
      <c r="PY158" s="1260"/>
      <c r="PZ158" s="1260"/>
      <c r="QA158" s="1260"/>
      <c r="QB158" s="1260"/>
      <c r="QC158" s="1260"/>
      <c r="QD158" s="1260"/>
      <c r="QE158" s="1260"/>
      <c r="QF158" s="1260"/>
      <c r="QG158" s="1260"/>
      <c r="QH158" s="1260"/>
      <c r="QI158" s="1260"/>
      <c r="QJ158" s="1260"/>
      <c r="QK158" s="1260"/>
      <c r="QL158" s="1260"/>
      <c r="QM158" s="1260"/>
      <c r="QN158" s="1260"/>
      <c r="QO158" s="1260"/>
      <c r="QP158" s="1260"/>
      <c r="QQ158" s="1260"/>
      <c r="QR158" s="1260"/>
      <c r="QS158" s="1260"/>
      <c r="QT158" s="1260"/>
      <c r="QU158" s="1260"/>
      <c r="QV158" s="1260"/>
      <c r="QW158" s="1260"/>
      <c r="QX158" s="1260"/>
      <c r="QY158" s="1260"/>
      <c r="QZ158" s="1260"/>
      <c r="RA158" s="1260"/>
      <c r="RB158" s="1260"/>
      <c r="RC158" s="1260"/>
      <c r="RD158" s="1260"/>
      <c r="RE158" s="1260"/>
      <c r="RF158" s="1260"/>
      <c r="RG158" s="1260"/>
      <c r="RH158" s="1260"/>
      <c r="RI158" s="1260"/>
      <c r="RJ158" s="1260"/>
      <c r="RK158" s="1260"/>
      <c r="RL158" s="1260"/>
      <c r="RM158" s="1260"/>
      <c r="RN158" s="1260"/>
      <c r="RO158" s="1260"/>
      <c r="RP158" s="1260"/>
      <c r="RQ158" s="1260"/>
      <c r="RR158" s="1260"/>
      <c r="RS158" s="1260"/>
      <c r="RT158" s="1260"/>
      <c r="RU158" s="1260"/>
      <c r="RV158" s="1260"/>
      <c r="RW158" s="1260"/>
      <c r="RX158" s="1260"/>
      <c r="RY158" s="1260"/>
      <c r="RZ158" s="1260"/>
      <c r="SA158" s="1260"/>
      <c r="SB158" s="1260"/>
      <c r="SC158" s="1260"/>
      <c r="SD158" s="1260"/>
      <c r="SE158" s="1260"/>
      <c r="SF158" s="1260"/>
      <c r="SG158" s="1260"/>
      <c r="SH158" s="1260"/>
      <c r="SI158" s="1260"/>
      <c r="SJ158" s="1260"/>
      <c r="SK158" s="1260"/>
      <c r="SL158" s="1260"/>
      <c r="SM158" s="1260"/>
      <c r="SN158" s="1260"/>
      <c r="SO158" s="1260"/>
      <c r="SP158" s="1260"/>
      <c r="SQ158" s="1260"/>
      <c r="SR158" s="1260"/>
      <c r="SS158" s="1260"/>
      <c r="ST158" s="1260"/>
      <c r="SU158" s="1260"/>
      <c r="SV158" s="1260"/>
      <c r="SW158" s="1260"/>
      <c r="SX158" s="1260"/>
      <c r="SY158" s="1260"/>
      <c r="SZ158" s="1260"/>
      <c r="TA158" s="1260"/>
      <c r="TB158" s="1260"/>
      <c r="TC158" s="1260"/>
      <c r="TD158" s="1260"/>
      <c r="TE158" s="1260"/>
      <c r="TF158" s="1260"/>
      <c r="TG158" s="1260"/>
      <c r="TH158" s="1260"/>
      <c r="TI158" s="1260"/>
      <c r="TJ158" s="1260"/>
      <c r="TK158" s="1260"/>
      <c r="TL158" s="1260"/>
      <c r="TM158" s="1260"/>
      <c r="TN158" s="1260"/>
      <c r="TO158" s="1260"/>
      <c r="TP158" s="1260"/>
      <c r="TQ158" s="1260"/>
      <c r="TR158" s="1260"/>
      <c r="TS158" s="1260"/>
      <c r="TT158" s="1260"/>
      <c r="TU158" s="1260"/>
      <c r="TV158" s="1260"/>
      <c r="TW158" s="1260"/>
      <c r="TX158" s="1260"/>
      <c r="TY158" s="1260"/>
      <c r="TZ158" s="1260"/>
      <c r="UA158" s="1260"/>
      <c r="UB158" s="1260"/>
      <c r="UC158" s="1260"/>
      <c r="UD158" s="1260"/>
      <c r="UE158" s="1260"/>
      <c r="UF158" s="1260"/>
      <c r="UG158" s="1261"/>
    </row>
    <row r="159" spans="1:553" s="1262" customFormat="1" ht="34.5" customHeight="1">
      <c r="A159" s="356"/>
      <c r="B159" s="356"/>
      <c r="C159" s="1472" t="s">
        <v>1059</v>
      </c>
      <c r="D159" s="1473" t="s">
        <v>846</v>
      </c>
      <c r="E159" s="1473" t="s">
        <v>846</v>
      </c>
      <c r="F159" s="1474" t="s">
        <v>846</v>
      </c>
      <c r="G159" s="283" t="s">
        <v>193</v>
      </c>
      <c r="H159" s="370"/>
      <c r="I159" s="422">
        <v>1</v>
      </c>
      <c r="J159" s="981">
        <v>271100</v>
      </c>
      <c r="K159" s="475">
        <v>0.7</v>
      </c>
      <c r="L159" s="476">
        <f>ROUND(PRODUCT(I159:K159),0)</f>
        <v>189770</v>
      </c>
      <c r="M159" s="366"/>
      <c r="N159" s="366"/>
      <c r="O159" s="366"/>
      <c r="P159" s="366"/>
      <c r="Q159" s="1136"/>
      <c r="R159" s="1228"/>
      <c r="S159" s="305"/>
      <c r="T159" s="303"/>
      <c r="U159" s="306"/>
      <c r="V159" s="307"/>
      <c r="W159" s="306"/>
      <c r="X159" s="306"/>
      <c r="Y159" s="306"/>
      <c r="Z159" s="306"/>
      <c r="AA159" s="306"/>
      <c r="AB159" s="306"/>
      <c r="AC159" s="449"/>
      <c r="AD159" s="452"/>
      <c r="AE159" s="452"/>
      <c r="AF159" s="452"/>
      <c r="AG159" s="452"/>
      <c r="AH159" s="452"/>
      <c r="AI159" s="452"/>
      <c r="AJ159" s="452"/>
      <c r="AK159" s="452"/>
      <c r="AL159" s="1259"/>
      <c r="AM159" s="1259"/>
      <c r="AN159" s="1259"/>
      <c r="AO159" s="1259"/>
      <c r="AP159" s="1259"/>
      <c r="AQ159" s="1259"/>
      <c r="AR159" s="1259"/>
      <c r="AS159" s="1259"/>
      <c r="AT159" s="1259"/>
      <c r="AU159" s="1259"/>
      <c r="AV159" s="1259"/>
      <c r="AW159" s="1259"/>
      <c r="AX159" s="1259"/>
      <c r="AY159" s="1259"/>
      <c r="AZ159" s="1259"/>
      <c r="BA159" s="1259"/>
      <c r="BB159" s="1259"/>
      <c r="BC159" s="1259"/>
      <c r="BD159" s="1259"/>
      <c r="BE159" s="1259"/>
      <c r="BF159" s="1259"/>
      <c r="BG159" s="1259"/>
      <c r="BH159" s="1259"/>
      <c r="BI159" s="1259"/>
      <c r="BJ159" s="1259"/>
      <c r="BK159" s="1259"/>
      <c r="BL159" s="1259"/>
      <c r="BM159" s="1259"/>
      <c r="BN159" s="1259"/>
      <c r="BO159" s="1259"/>
      <c r="BP159" s="1259"/>
      <c r="BQ159" s="1259"/>
      <c r="BR159" s="1259"/>
      <c r="BS159" s="1259"/>
      <c r="BT159" s="1259"/>
      <c r="BU159" s="1259"/>
      <c r="BV159" s="1259"/>
      <c r="BW159" s="1259"/>
      <c r="BX159" s="1259"/>
      <c r="BY159" s="1259"/>
      <c r="BZ159" s="1259"/>
      <c r="CA159" s="1259"/>
      <c r="CB159" s="1259"/>
      <c r="CC159" s="1259"/>
      <c r="CD159" s="1259"/>
      <c r="CE159" s="1259"/>
      <c r="CF159" s="1259"/>
      <c r="CG159" s="1259"/>
      <c r="CH159" s="1259"/>
      <c r="CI159" s="1259"/>
      <c r="CJ159" s="1259"/>
      <c r="CK159" s="1259"/>
      <c r="CL159" s="1259"/>
      <c r="CM159" s="1259"/>
      <c r="CN159" s="1259"/>
      <c r="CO159" s="1259"/>
      <c r="CP159" s="1259"/>
      <c r="CQ159" s="1259"/>
      <c r="CR159" s="1259"/>
      <c r="CS159" s="1259"/>
      <c r="CT159" s="1259"/>
      <c r="CU159" s="1259"/>
      <c r="CV159" s="1259"/>
      <c r="CW159" s="1259"/>
      <c r="CX159" s="1259"/>
      <c r="CY159" s="1259"/>
      <c r="CZ159" s="1259"/>
      <c r="DA159" s="1259"/>
      <c r="DB159" s="1259"/>
      <c r="DC159" s="1259"/>
      <c r="DD159" s="1259"/>
      <c r="DE159" s="1259"/>
      <c r="DF159" s="1259"/>
      <c r="DG159" s="1259"/>
      <c r="DH159" s="1259"/>
      <c r="DI159" s="1259"/>
      <c r="DJ159" s="1259"/>
      <c r="DK159" s="1259"/>
      <c r="DL159" s="1259"/>
      <c r="DM159" s="1259"/>
      <c r="DN159" s="1259"/>
      <c r="DO159" s="1259"/>
      <c r="DP159" s="1259"/>
      <c r="DQ159" s="1259"/>
      <c r="DR159" s="1259"/>
      <c r="DS159" s="1259"/>
      <c r="DT159" s="1259"/>
      <c r="DU159" s="1259"/>
      <c r="DV159" s="1259"/>
      <c r="DW159" s="1259"/>
      <c r="DX159" s="1259"/>
      <c r="DY159" s="1259"/>
      <c r="DZ159" s="1259"/>
      <c r="EA159" s="1259"/>
      <c r="EB159" s="1259"/>
      <c r="EC159" s="1259"/>
      <c r="ED159" s="1259"/>
      <c r="EE159" s="1259"/>
      <c r="EF159" s="1259"/>
      <c r="EG159" s="1259"/>
      <c r="EH159" s="1259"/>
      <c r="EI159" s="1259"/>
      <c r="EJ159" s="1259"/>
      <c r="EK159" s="1259"/>
      <c r="EL159" s="1259"/>
      <c r="EM159" s="1259"/>
      <c r="EN159" s="1259"/>
      <c r="EO159" s="1259"/>
      <c r="EP159" s="1259"/>
      <c r="EQ159" s="1259"/>
      <c r="ER159" s="1259"/>
      <c r="ES159" s="1259"/>
      <c r="ET159" s="1259"/>
      <c r="EU159" s="1259"/>
      <c r="EV159" s="1259"/>
      <c r="EW159" s="1259"/>
      <c r="EX159" s="1259"/>
      <c r="EY159" s="1259"/>
      <c r="EZ159" s="1259"/>
      <c r="FA159" s="1259"/>
      <c r="FB159" s="1259"/>
      <c r="FC159" s="1259"/>
      <c r="FD159" s="1259"/>
      <c r="FE159" s="1259"/>
      <c r="FF159" s="1259"/>
      <c r="FG159" s="1259"/>
      <c r="FH159" s="1259"/>
      <c r="FI159" s="1259"/>
      <c r="FJ159" s="1259"/>
      <c r="FK159" s="1259"/>
      <c r="FL159" s="1259"/>
      <c r="FM159" s="1259"/>
      <c r="FN159" s="1259"/>
      <c r="FO159" s="1259"/>
      <c r="FP159" s="1259"/>
      <c r="FQ159" s="1259"/>
      <c r="FR159" s="1259"/>
      <c r="FS159" s="1259"/>
      <c r="FT159" s="1259"/>
      <c r="FU159" s="1259"/>
      <c r="FV159" s="1259"/>
      <c r="FW159" s="1259"/>
      <c r="FX159" s="1259"/>
      <c r="FY159" s="1259"/>
      <c r="FZ159" s="1259"/>
      <c r="GA159" s="1259"/>
      <c r="GB159" s="1259"/>
      <c r="GC159" s="1259"/>
      <c r="GD159" s="1259"/>
      <c r="GE159" s="1259"/>
      <c r="GF159" s="1259"/>
      <c r="GG159" s="1259"/>
      <c r="GH159" s="1259"/>
      <c r="GI159" s="1259"/>
      <c r="GJ159" s="1259"/>
      <c r="GK159" s="1259"/>
      <c r="GL159" s="1259"/>
      <c r="GM159" s="1259"/>
      <c r="GN159" s="1259"/>
      <c r="GO159" s="1259"/>
      <c r="GP159" s="1259"/>
      <c r="GQ159" s="1259"/>
      <c r="GR159" s="1259"/>
      <c r="GS159" s="1259"/>
      <c r="GT159" s="1259"/>
      <c r="GU159" s="1259"/>
      <c r="GV159" s="1259"/>
      <c r="GW159" s="1259"/>
      <c r="GX159" s="1259"/>
      <c r="GY159" s="1259"/>
      <c r="GZ159" s="1259"/>
      <c r="HA159" s="1259"/>
      <c r="HB159" s="1259"/>
      <c r="HC159" s="1259"/>
      <c r="HD159" s="1259"/>
      <c r="HE159" s="1259"/>
      <c r="HF159" s="1259"/>
      <c r="HG159" s="1259"/>
      <c r="HH159" s="1259"/>
      <c r="HI159" s="1259"/>
      <c r="HJ159" s="1259"/>
      <c r="HK159" s="1259"/>
      <c r="HL159" s="1259"/>
      <c r="HM159" s="1259"/>
      <c r="HN159" s="1259"/>
      <c r="HO159" s="1259"/>
      <c r="HP159" s="1259"/>
      <c r="HQ159" s="1259"/>
      <c r="HR159" s="1259"/>
      <c r="HS159" s="1259"/>
      <c r="HT159" s="1259"/>
      <c r="HU159" s="1259"/>
      <c r="HV159" s="1259"/>
      <c r="HW159" s="1259"/>
      <c r="HX159" s="1259"/>
      <c r="HY159" s="1259"/>
      <c r="HZ159" s="1259"/>
      <c r="IA159" s="1259"/>
      <c r="IB159" s="1259"/>
      <c r="IC159" s="1259"/>
      <c r="ID159" s="1259"/>
      <c r="IE159" s="1259"/>
      <c r="IF159" s="1259"/>
      <c r="IG159" s="1259"/>
      <c r="IH159" s="1259"/>
      <c r="II159" s="1259"/>
      <c r="IJ159" s="1259"/>
      <c r="IK159" s="1259"/>
      <c r="IL159" s="1259"/>
      <c r="IM159" s="1259"/>
      <c r="IN159" s="1259"/>
      <c r="IO159" s="1259"/>
      <c r="IP159" s="1259"/>
      <c r="IQ159" s="1259"/>
      <c r="IR159" s="1259"/>
      <c r="IS159" s="1259"/>
      <c r="IT159" s="1259"/>
      <c r="IU159" s="1259"/>
      <c r="IV159" s="1259"/>
      <c r="IW159" s="1259"/>
      <c r="IX159" s="1259"/>
      <c r="IY159" s="1259"/>
      <c r="IZ159" s="1259"/>
      <c r="JA159" s="1259"/>
      <c r="JB159" s="1259"/>
      <c r="JC159" s="1259"/>
      <c r="JD159" s="1259"/>
      <c r="JE159" s="1259"/>
      <c r="JF159" s="1259"/>
      <c r="JG159" s="1259"/>
      <c r="JH159" s="1259"/>
      <c r="JI159" s="1259"/>
      <c r="JJ159" s="1259"/>
      <c r="JK159" s="1259"/>
      <c r="JL159" s="1259"/>
      <c r="JM159" s="1259"/>
      <c r="JN159" s="1259"/>
      <c r="JO159" s="1259"/>
      <c r="JP159" s="1259"/>
      <c r="JQ159" s="1259"/>
      <c r="JR159" s="1259"/>
      <c r="JS159" s="1259"/>
      <c r="JT159" s="1259"/>
      <c r="JU159" s="1259"/>
      <c r="JV159" s="1259"/>
      <c r="JW159" s="1259"/>
      <c r="JX159" s="1259"/>
      <c r="JY159" s="1259"/>
      <c r="JZ159" s="1259"/>
      <c r="KA159" s="1259"/>
      <c r="KB159" s="1259"/>
      <c r="KC159" s="1259"/>
      <c r="KD159" s="1259"/>
      <c r="KE159" s="1259"/>
      <c r="KF159" s="1259"/>
      <c r="KG159" s="1259"/>
      <c r="KH159" s="1259"/>
      <c r="KI159" s="1259"/>
      <c r="KJ159" s="1259"/>
      <c r="KK159" s="1259"/>
      <c r="KL159" s="1259"/>
      <c r="KM159" s="1259"/>
      <c r="KN159" s="1259"/>
      <c r="KO159" s="1259"/>
      <c r="KP159" s="1259"/>
      <c r="KQ159" s="1259"/>
      <c r="KR159" s="1259"/>
      <c r="KS159" s="1259"/>
      <c r="KT159" s="1259"/>
      <c r="KU159" s="1259"/>
      <c r="KV159" s="1259"/>
      <c r="KW159" s="1259"/>
      <c r="KX159" s="1259"/>
      <c r="KY159" s="1259"/>
      <c r="KZ159" s="1259"/>
      <c r="LA159" s="1259"/>
      <c r="LB159" s="1259"/>
      <c r="LC159" s="1259"/>
      <c r="LD159" s="1259"/>
      <c r="LE159" s="1259"/>
      <c r="LF159" s="1259"/>
      <c r="LG159" s="1259"/>
      <c r="LH159" s="1259"/>
      <c r="LI159" s="1259"/>
      <c r="LJ159" s="1259"/>
      <c r="LK159" s="1259"/>
      <c r="LL159" s="1259"/>
      <c r="LM159" s="1259"/>
      <c r="LN159" s="1259"/>
      <c r="LO159" s="1259"/>
      <c r="LP159" s="1259"/>
      <c r="LQ159" s="1259"/>
      <c r="LR159" s="1259"/>
      <c r="LS159" s="1259"/>
      <c r="LT159" s="1259"/>
      <c r="LU159" s="1259"/>
      <c r="LV159" s="1259"/>
      <c r="LW159" s="1259"/>
      <c r="LX159" s="1259"/>
      <c r="LY159" s="1259"/>
      <c r="LZ159" s="1259"/>
      <c r="MA159" s="1259"/>
      <c r="MB159" s="1259"/>
      <c r="MC159" s="1259"/>
      <c r="MD159" s="1259"/>
      <c r="ME159" s="1259"/>
      <c r="MF159" s="1259"/>
      <c r="MG159" s="1259"/>
      <c r="MH159" s="1259"/>
      <c r="MI159" s="1259"/>
      <c r="MJ159" s="1259"/>
      <c r="MK159" s="1259"/>
      <c r="ML159" s="1259"/>
      <c r="MM159" s="1259"/>
      <c r="MN159" s="1259"/>
      <c r="MO159" s="1259"/>
      <c r="MP159" s="1259"/>
      <c r="MQ159" s="1259"/>
      <c r="MR159" s="1259"/>
      <c r="MS159" s="1259"/>
      <c r="MT159" s="1259"/>
      <c r="MU159" s="1259"/>
      <c r="MV159" s="1259"/>
      <c r="MW159" s="1259"/>
      <c r="MX159" s="1259"/>
      <c r="MY159" s="1259"/>
      <c r="MZ159" s="1259"/>
      <c r="NA159" s="1259"/>
      <c r="NB159" s="1259"/>
      <c r="NC159" s="1259"/>
      <c r="ND159" s="1259"/>
      <c r="NE159" s="1259"/>
      <c r="NF159" s="1259"/>
      <c r="NG159" s="1259"/>
      <c r="NH159" s="1259"/>
      <c r="NI159" s="1259"/>
      <c r="NJ159" s="1259"/>
      <c r="NK159" s="1259"/>
      <c r="NL159" s="1259"/>
      <c r="NM159" s="1259"/>
      <c r="NN159" s="1259"/>
      <c r="NO159" s="1259"/>
      <c r="NP159" s="1259"/>
      <c r="NQ159" s="1259"/>
      <c r="NR159" s="1259"/>
      <c r="NS159" s="1259"/>
      <c r="NT159" s="1259"/>
      <c r="NU159" s="1259"/>
      <c r="NV159" s="1259"/>
      <c r="NW159" s="1259"/>
      <c r="NX159" s="1259"/>
      <c r="NY159" s="1259"/>
      <c r="NZ159" s="1259"/>
      <c r="OA159" s="1259"/>
      <c r="OB159" s="1259"/>
      <c r="OC159" s="1259"/>
      <c r="OD159" s="1259"/>
      <c r="OE159" s="1259"/>
      <c r="OF159" s="1259"/>
      <c r="OG159" s="1259"/>
      <c r="OH159" s="1259"/>
      <c r="OI159" s="1259"/>
      <c r="OJ159" s="1259"/>
      <c r="OK159" s="1259"/>
      <c r="OL159" s="1259"/>
      <c r="OM159" s="1259"/>
      <c r="ON159" s="1259"/>
      <c r="OO159" s="1259"/>
      <c r="OP159" s="1259"/>
      <c r="OQ159" s="1259"/>
      <c r="OR159" s="1259"/>
      <c r="OS159" s="1259"/>
      <c r="OT159" s="1259"/>
      <c r="OU159" s="1259"/>
      <c r="OV159" s="1259"/>
      <c r="OW159" s="1259"/>
      <c r="OX159" s="1259"/>
      <c r="OY159" s="1259"/>
      <c r="OZ159" s="1259"/>
      <c r="PA159" s="1259"/>
      <c r="PB159" s="1259"/>
      <c r="PC159" s="1259"/>
      <c r="PD159" s="1259"/>
      <c r="PE159" s="1259"/>
      <c r="PF159" s="1259"/>
      <c r="PG159" s="1259"/>
      <c r="PH159" s="1259"/>
      <c r="PI159" s="1259"/>
      <c r="PJ159" s="1259"/>
      <c r="PK159" s="1259"/>
      <c r="PL159" s="1259"/>
      <c r="PM159" s="1259"/>
      <c r="PN159" s="1259"/>
      <c r="PO159" s="1259"/>
      <c r="PP159" s="1259"/>
      <c r="PQ159" s="1259"/>
      <c r="PR159" s="1259"/>
      <c r="PS159" s="1259"/>
      <c r="PT159" s="1259"/>
      <c r="PU159" s="1259"/>
      <c r="PV159" s="1259"/>
      <c r="PW159" s="1259"/>
      <c r="PX159" s="1259"/>
      <c r="PY159" s="1259"/>
      <c r="PZ159" s="1259"/>
      <c r="QA159" s="1259"/>
      <c r="QB159" s="1259"/>
      <c r="QC159" s="1259"/>
      <c r="QD159" s="1259"/>
      <c r="QE159" s="1259"/>
      <c r="QF159" s="1259"/>
      <c r="QG159" s="1259"/>
      <c r="QH159" s="1259"/>
      <c r="QI159" s="1259"/>
      <c r="QJ159" s="1259"/>
      <c r="QK159" s="1259"/>
      <c r="QL159" s="1259"/>
      <c r="QM159" s="1259"/>
      <c r="QN159" s="1259"/>
      <c r="QO159" s="1259"/>
      <c r="QP159" s="1259"/>
      <c r="QQ159" s="1259"/>
      <c r="QR159" s="1259"/>
      <c r="QS159" s="1259"/>
      <c r="QT159" s="1259"/>
      <c r="QU159" s="1259"/>
      <c r="QV159" s="1259"/>
      <c r="QW159" s="1259"/>
      <c r="QX159" s="1259"/>
      <c r="QY159" s="1259"/>
      <c r="QZ159" s="1259"/>
      <c r="RA159" s="1259"/>
      <c r="RB159" s="1259"/>
      <c r="RC159" s="1259"/>
      <c r="RD159" s="1259"/>
      <c r="RE159" s="1259"/>
      <c r="RF159" s="1259"/>
      <c r="RG159" s="1259"/>
      <c r="RH159" s="1259"/>
      <c r="RI159" s="1259"/>
      <c r="RJ159" s="1259"/>
      <c r="RK159" s="1259"/>
      <c r="RL159" s="1259"/>
      <c r="RM159" s="1259"/>
      <c r="RN159" s="1259"/>
      <c r="RO159" s="1259"/>
      <c r="RP159" s="1259"/>
      <c r="RQ159" s="1259"/>
      <c r="RR159" s="1259"/>
      <c r="RS159" s="1259"/>
      <c r="RT159" s="1259"/>
      <c r="RU159" s="1259"/>
      <c r="RV159" s="1259"/>
      <c r="RW159" s="1259"/>
      <c r="RX159" s="1259"/>
      <c r="RY159" s="1259"/>
      <c r="RZ159" s="1259"/>
      <c r="SA159" s="1259"/>
      <c r="SB159" s="1259"/>
      <c r="SC159" s="1259"/>
      <c r="SD159" s="1259"/>
      <c r="SE159" s="1259"/>
      <c r="SF159" s="1259"/>
      <c r="SG159" s="1259"/>
      <c r="SH159" s="1259"/>
      <c r="SI159" s="1259"/>
      <c r="SJ159" s="1259"/>
      <c r="SK159" s="1259"/>
      <c r="SL159" s="1259"/>
      <c r="SM159" s="1259"/>
      <c r="SN159" s="1259"/>
      <c r="SO159" s="1259"/>
      <c r="SP159" s="1259"/>
      <c r="SQ159" s="1259"/>
      <c r="SR159" s="1259"/>
      <c r="SS159" s="1259"/>
      <c r="ST159" s="1259"/>
      <c r="SU159" s="1259"/>
      <c r="SV159" s="1259"/>
      <c r="SW159" s="1259"/>
      <c r="SX159" s="1259"/>
      <c r="SY159" s="1259"/>
      <c r="SZ159" s="1259"/>
      <c r="TA159" s="1259"/>
      <c r="TB159" s="1259"/>
      <c r="TC159" s="1259"/>
      <c r="TD159" s="1259"/>
      <c r="TE159" s="1259"/>
      <c r="TF159" s="1259"/>
      <c r="TG159" s="1259"/>
      <c r="TH159" s="1259"/>
      <c r="TI159" s="1259"/>
      <c r="TJ159" s="1259"/>
      <c r="TK159" s="1259"/>
      <c r="TL159" s="1259"/>
      <c r="TM159" s="1259"/>
      <c r="TN159" s="1259"/>
      <c r="TO159" s="1259"/>
      <c r="TP159" s="1259"/>
      <c r="TQ159" s="1259"/>
      <c r="TR159" s="1259"/>
      <c r="TS159" s="1259"/>
      <c r="TT159" s="1259"/>
      <c r="TU159" s="1259"/>
      <c r="TV159" s="1259"/>
      <c r="TW159" s="1259"/>
      <c r="TX159" s="1259"/>
      <c r="TY159" s="1259"/>
      <c r="TZ159" s="1259"/>
      <c r="UA159" s="1259"/>
      <c r="UB159" s="1259"/>
      <c r="UC159" s="1259"/>
      <c r="UD159" s="1259"/>
      <c r="UE159" s="1259"/>
      <c r="UF159" s="1259"/>
      <c r="UG159" s="1261"/>
    </row>
    <row r="160" spans="1:553" s="1262" customFormat="1" ht="34.5" customHeight="1">
      <c r="A160" s="356"/>
      <c r="B160" s="356"/>
      <c r="C160" s="1472" t="s">
        <v>867</v>
      </c>
      <c r="D160" s="1473" t="s">
        <v>1060</v>
      </c>
      <c r="E160" s="1473" t="s">
        <v>1060</v>
      </c>
      <c r="F160" s="1474" t="s">
        <v>1060</v>
      </c>
      <c r="G160" s="366" t="s">
        <v>48</v>
      </c>
      <c r="H160" s="370"/>
      <c r="I160" s="477">
        <v>1</v>
      </c>
      <c r="J160" s="368">
        <v>271100</v>
      </c>
      <c r="K160" s="717">
        <v>0.7</v>
      </c>
      <c r="L160" s="480">
        <f>ROUND(PRODUCT(I160:K160),0)</f>
        <v>189770</v>
      </c>
      <c r="M160" s="366"/>
      <c r="N160" s="366"/>
      <c r="O160" s="366"/>
      <c r="P160" s="366"/>
      <c r="Q160" s="1136"/>
      <c r="R160" s="1228"/>
      <c r="S160" s="308"/>
      <c r="T160" s="303"/>
      <c r="U160" s="306"/>
      <c r="V160" s="307"/>
      <c r="W160" s="306"/>
      <c r="X160" s="306"/>
      <c r="Y160" s="306"/>
      <c r="Z160" s="306"/>
      <c r="AA160" s="306"/>
      <c r="AB160" s="306"/>
      <c r="AC160" s="449"/>
      <c r="AD160" s="452"/>
      <c r="AE160" s="452"/>
      <c r="AF160" s="452"/>
      <c r="AG160" s="452"/>
      <c r="AH160" s="452"/>
      <c r="AI160" s="452"/>
      <c r="AJ160" s="452"/>
      <c r="AK160" s="452"/>
      <c r="AL160" s="1259"/>
      <c r="AM160" s="1259"/>
      <c r="AN160" s="1259"/>
      <c r="AO160" s="1259"/>
      <c r="AP160" s="1259"/>
      <c r="AQ160" s="1259"/>
      <c r="AR160" s="1259"/>
      <c r="AS160" s="1259"/>
      <c r="AT160" s="1259"/>
      <c r="AU160" s="1259"/>
      <c r="AV160" s="1259"/>
      <c r="AW160" s="1259"/>
      <c r="AX160" s="1259"/>
      <c r="AY160" s="1259"/>
      <c r="AZ160" s="1259"/>
      <c r="BA160" s="1259"/>
      <c r="BB160" s="1259"/>
      <c r="BC160" s="1259"/>
      <c r="BD160" s="1259"/>
      <c r="BE160" s="1259"/>
      <c r="BF160" s="1259"/>
      <c r="BG160" s="1259"/>
      <c r="BH160" s="1259"/>
      <c r="BI160" s="1259"/>
      <c r="BJ160" s="1259"/>
      <c r="BK160" s="1259"/>
      <c r="BL160" s="1259"/>
      <c r="BM160" s="1259"/>
      <c r="BN160" s="1259"/>
      <c r="BO160" s="1259"/>
      <c r="BP160" s="1259"/>
      <c r="BQ160" s="1259"/>
      <c r="BR160" s="1259"/>
      <c r="BS160" s="1259"/>
      <c r="BT160" s="1259"/>
      <c r="BU160" s="1259"/>
      <c r="BV160" s="1259"/>
      <c r="BW160" s="1259"/>
      <c r="BX160" s="1259"/>
      <c r="BY160" s="1259"/>
      <c r="BZ160" s="1259"/>
      <c r="CA160" s="1259"/>
      <c r="CB160" s="1259"/>
      <c r="CC160" s="1259"/>
      <c r="CD160" s="1259"/>
      <c r="CE160" s="1259"/>
      <c r="CF160" s="1259"/>
      <c r="CG160" s="1259"/>
      <c r="CH160" s="1259"/>
      <c r="CI160" s="1259"/>
      <c r="CJ160" s="1259"/>
      <c r="CK160" s="1259"/>
      <c r="CL160" s="1259"/>
      <c r="CM160" s="1259"/>
      <c r="CN160" s="1259"/>
      <c r="CO160" s="1259"/>
      <c r="CP160" s="1259"/>
      <c r="CQ160" s="1259"/>
      <c r="CR160" s="1259"/>
      <c r="CS160" s="1259"/>
      <c r="CT160" s="1259"/>
      <c r="CU160" s="1259"/>
      <c r="CV160" s="1259"/>
      <c r="CW160" s="1259"/>
      <c r="CX160" s="1259"/>
      <c r="CY160" s="1259"/>
      <c r="CZ160" s="1259"/>
      <c r="DA160" s="1259"/>
      <c r="DB160" s="1259"/>
      <c r="DC160" s="1259"/>
      <c r="DD160" s="1259"/>
      <c r="DE160" s="1259"/>
      <c r="DF160" s="1259"/>
      <c r="DG160" s="1259"/>
      <c r="DH160" s="1259"/>
      <c r="DI160" s="1259"/>
      <c r="DJ160" s="1259"/>
      <c r="DK160" s="1259"/>
      <c r="DL160" s="1259"/>
      <c r="DM160" s="1259"/>
      <c r="DN160" s="1259"/>
      <c r="DO160" s="1259"/>
      <c r="DP160" s="1259"/>
      <c r="DQ160" s="1259"/>
      <c r="DR160" s="1259"/>
      <c r="DS160" s="1259"/>
      <c r="DT160" s="1259"/>
      <c r="DU160" s="1259"/>
      <c r="DV160" s="1259"/>
      <c r="DW160" s="1259"/>
      <c r="DX160" s="1259"/>
      <c r="DY160" s="1259"/>
      <c r="DZ160" s="1259"/>
      <c r="EA160" s="1259"/>
      <c r="EB160" s="1259"/>
      <c r="EC160" s="1259"/>
      <c r="ED160" s="1259"/>
      <c r="EE160" s="1259"/>
      <c r="EF160" s="1259"/>
      <c r="EG160" s="1259"/>
      <c r="EH160" s="1259"/>
      <c r="EI160" s="1259"/>
      <c r="EJ160" s="1259"/>
      <c r="EK160" s="1259"/>
      <c r="EL160" s="1259"/>
      <c r="EM160" s="1259"/>
      <c r="EN160" s="1259"/>
      <c r="EO160" s="1259"/>
      <c r="EP160" s="1259"/>
      <c r="EQ160" s="1259"/>
      <c r="ER160" s="1259"/>
      <c r="ES160" s="1259"/>
      <c r="ET160" s="1259"/>
      <c r="EU160" s="1259"/>
      <c r="EV160" s="1259"/>
      <c r="EW160" s="1259"/>
      <c r="EX160" s="1259"/>
      <c r="EY160" s="1259"/>
      <c r="EZ160" s="1259"/>
      <c r="FA160" s="1259"/>
      <c r="FB160" s="1259"/>
      <c r="FC160" s="1259"/>
      <c r="FD160" s="1259"/>
      <c r="FE160" s="1259"/>
      <c r="FF160" s="1259"/>
      <c r="FG160" s="1259"/>
      <c r="FH160" s="1259"/>
      <c r="FI160" s="1259"/>
      <c r="FJ160" s="1259"/>
      <c r="FK160" s="1259"/>
      <c r="FL160" s="1259"/>
      <c r="FM160" s="1259"/>
      <c r="FN160" s="1259"/>
      <c r="FO160" s="1259"/>
      <c r="FP160" s="1259"/>
      <c r="FQ160" s="1259"/>
      <c r="FR160" s="1259"/>
      <c r="FS160" s="1259"/>
      <c r="FT160" s="1259"/>
      <c r="FU160" s="1259"/>
      <c r="FV160" s="1259"/>
      <c r="FW160" s="1259"/>
      <c r="FX160" s="1259"/>
      <c r="FY160" s="1259"/>
      <c r="FZ160" s="1259"/>
      <c r="GA160" s="1259"/>
      <c r="GB160" s="1259"/>
      <c r="GC160" s="1259"/>
      <c r="GD160" s="1259"/>
      <c r="GE160" s="1259"/>
      <c r="GF160" s="1259"/>
      <c r="GG160" s="1259"/>
      <c r="GH160" s="1259"/>
      <c r="GI160" s="1259"/>
      <c r="GJ160" s="1259"/>
      <c r="GK160" s="1259"/>
      <c r="GL160" s="1259"/>
      <c r="GM160" s="1259"/>
      <c r="GN160" s="1259"/>
      <c r="GO160" s="1259"/>
      <c r="GP160" s="1259"/>
      <c r="GQ160" s="1259"/>
      <c r="GR160" s="1259"/>
      <c r="GS160" s="1259"/>
      <c r="GT160" s="1259"/>
      <c r="GU160" s="1259"/>
      <c r="GV160" s="1259"/>
      <c r="GW160" s="1259"/>
      <c r="GX160" s="1259"/>
      <c r="GY160" s="1259"/>
      <c r="GZ160" s="1259"/>
      <c r="HA160" s="1259"/>
      <c r="HB160" s="1259"/>
      <c r="HC160" s="1259"/>
      <c r="HD160" s="1259"/>
      <c r="HE160" s="1259"/>
      <c r="HF160" s="1259"/>
      <c r="HG160" s="1259"/>
      <c r="HH160" s="1259"/>
      <c r="HI160" s="1259"/>
      <c r="HJ160" s="1259"/>
      <c r="HK160" s="1259"/>
      <c r="HL160" s="1259"/>
      <c r="HM160" s="1259"/>
      <c r="HN160" s="1259"/>
      <c r="HO160" s="1259"/>
      <c r="HP160" s="1259"/>
      <c r="HQ160" s="1259"/>
      <c r="HR160" s="1259"/>
      <c r="HS160" s="1259"/>
      <c r="HT160" s="1259"/>
      <c r="HU160" s="1259"/>
      <c r="HV160" s="1259"/>
      <c r="HW160" s="1259"/>
      <c r="HX160" s="1259"/>
      <c r="HY160" s="1259"/>
      <c r="HZ160" s="1259"/>
      <c r="IA160" s="1259"/>
      <c r="IB160" s="1259"/>
      <c r="IC160" s="1259"/>
      <c r="ID160" s="1259"/>
      <c r="IE160" s="1259"/>
      <c r="IF160" s="1259"/>
      <c r="IG160" s="1259"/>
      <c r="IH160" s="1259"/>
      <c r="II160" s="1259"/>
      <c r="IJ160" s="1259"/>
      <c r="IK160" s="1259"/>
      <c r="IL160" s="1259"/>
      <c r="IM160" s="1259"/>
      <c r="IN160" s="1259"/>
      <c r="IO160" s="1259"/>
      <c r="IP160" s="1259"/>
      <c r="IQ160" s="1259"/>
      <c r="IR160" s="1259"/>
      <c r="IS160" s="1259"/>
      <c r="IT160" s="1259"/>
      <c r="IU160" s="1259"/>
      <c r="IV160" s="1259"/>
      <c r="IW160" s="1259"/>
      <c r="IX160" s="1259"/>
      <c r="IY160" s="1259"/>
      <c r="IZ160" s="1259"/>
      <c r="JA160" s="1259"/>
      <c r="JB160" s="1259"/>
      <c r="JC160" s="1259"/>
      <c r="JD160" s="1259"/>
      <c r="JE160" s="1259"/>
      <c r="JF160" s="1259"/>
      <c r="JG160" s="1259"/>
      <c r="JH160" s="1259"/>
      <c r="JI160" s="1259"/>
      <c r="JJ160" s="1259"/>
      <c r="JK160" s="1259"/>
      <c r="JL160" s="1259"/>
      <c r="JM160" s="1259"/>
      <c r="JN160" s="1259"/>
      <c r="JO160" s="1259"/>
      <c r="JP160" s="1259"/>
      <c r="JQ160" s="1259"/>
      <c r="JR160" s="1259"/>
      <c r="JS160" s="1259"/>
      <c r="JT160" s="1259"/>
      <c r="JU160" s="1259"/>
      <c r="JV160" s="1259"/>
      <c r="JW160" s="1259"/>
      <c r="JX160" s="1259"/>
      <c r="JY160" s="1259"/>
      <c r="JZ160" s="1259"/>
      <c r="KA160" s="1259"/>
      <c r="KB160" s="1259"/>
      <c r="KC160" s="1259"/>
      <c r="KD160" s="1259"/>
      <c r="KE160" s="1259"/>
      <c r="KF160" s="1259"/>
      <c r="KG160" s="1259"/>
      <c r="KH160" s="1259"/>
      <c r="KI160" s="1259"/>
      <c r="KJ160" s="1259"/>
      <c r="KK160" s="1259"/>
      <c r="KL160" s="1259"/>
      <c r="KM160" s="1259"/>
      <c r="KN160" s="1259"/>
      <c r="KO160" s="1259"/>
      <c r="KP160" s="1259"/>
      <c r="KQ160" s="1259"/>
      <c r="KR160" s="1259"/>
      <c r="KS160" s="1259"/>
      <c r="KT160" s="1259"/>
      <c r="KU160" s="1259"/>
      <c r="KV160" s="1259"/>
      <c r="KW160" s="1259"/>
      <c r="KX160" s="1259"/>
      <c r="KY160" s="1259"/>
      <c r="KZ160" s="1259"/>
      <c r="LA160" s="1259"/>
      <c r="LB160" s="1259"/>
      <c r="LC160" s="1259"/>
      <c r="LD160" s="1259"/>
      <c r="LE160" s="1259"/>
      <c r="LF160" s="1259"/>
      <c r="LG160" s="1259"/>
      <c r="LH160" s="1259"/>
      <c r="LI160" s="1259"/>
      <c r="LJ160" s="1259"/>
      <c r="LK160" s="1259"/>
      <c r="LL160" s="1259"/>
      <c r="LM160" s="1259"/>
      <c r="LN160" s="1259"/>
      <c r="LO160" s="1259"/>
      <c r="LP160" s="1259"/>
      <c r="LQ160" s="1259"/>
      <c r="LR160" s="1259"/>
      <c r="LS160" s="1259"/>
      <c r="LT160" s="1259"/>
      <c r="LU160" s="1259"/>
      <c r="LV160" s="1259"/>
      <c r="LW160" s="1259"/>
      <c r="LX160" s="1259"/>
      <c r="LY160" s="1259"/>
      <c r="LZ160" s="1259"/>
      <c r="MA160" s="1259"/>
      <c r="MB160" s="1259"/>
      <c r="MC160" s="1259"/>
      <c r="MD160" s="1259"/>
      <c r="ME160" s="1259"/>
      <c r="MF160" s="1259"/>
      <c r="MG160" s="1259"/>
      <c r="MH160" s="1259"/>
      <c r="MI160" s="1259"/>
      <c r="MJ160" s="1259"/>
      <c r="MK160" s="1259"/>
      <c r="ML160" s="1259"/>
      <c r="MM160" s="1259"/>
      <c r="MN160" s="1259"/>
      <c r="MO160" s="1259"/>
      <c r="MP160" s="1259"/>
      <c r="MQ160" s="1259"/>
      <c r="MR160" s="1259"/>
      <c r="MS160" s="1259"/>
      <c r="MT160" s="1259"/>
      <c r="MU160" s="1259"/>
      <c r="MV160" s="1259"/>
      <c r="MW160" s="1259"/>
      <c r="MX160" s="1259"/>
      <c r="MY160" s="1259"/>
      <c r="MZ160" s="1259"/>
      <c r="NA160" s="1259"/>
      <c r="NB160" s="1259"/>
      <c r="NC160" s="1259"/>
      <c r="ND160" s="1259"/>
      <c r="NE160" s="1259"/>
      <c r="NF160" s="1259"/>
      <c r="NG160" s="1259"/>
      <c r="NH160" s="1259"/>
      <c r="NI160" s="1259"/>
      <c r="NJ160" s="1259"/>
      <c r="NK160" s="1259"/>
      <c r="NL160" s="1259"/>
      <c r="NM160" s="1259"/>
      <c r="NN160" s="1259"/>
      <c r="NO160" s="1259"/>
      <c r="NP160" s="1259"/>
      <c r="NQ160" s="1259"/>
      <c r="NR160" s="1259"/>
      <c r="NS160" s="1259"/>
      <c r="NT160" s="1259"/>
      <c r="NU160" s="1259"/>
      <c r="NV160" s="1259"/>
      <c r="NW160" s="1259"/>
      <c r="NX160" s="1259"/>
      <c r="NY160" s="1259"/>
      <c r="NZ160" s="1259"/>
      <c r="OA160" s="1259"/>
      <c r="OB160" s="1259"/>
      <c r="OC160" s="1259"/>
      <c r="OD160" s="1259"/>
      <c r="OE160" s="1259"/>
      <c r="OF160" s="1259"/>
      <c r="OG160" s="1259"/>
      <c r="OH160" s="1259"/>
      <c r="OI160" s="1259"/>
      <c r="OJ160" s="1259"/>
      <c r="OK160" s="1259"/>
      <c r="OL160" s="1259"/>
      <c r="OM160" s="1259"/>
      <c r="ON160" s="1259"/>
      <c r="OO160" s="1259"/>
      <c r="OP160" s="1259"/>
      <c r="OQ160" s="1259"/>
      <c r="OR160" s="1259"/>
      <c r="OS160" s="1259"/>
      <c r="OT160" s="1259"/>
      <c r="OU160" s="1259"/>
      <c r="OV160" s="1259"/>
      <c r="OW160" s="1259"/>
      <c r="OX160" s="1259"/>
      <c r="OY160" s="1259"/>
      <c r="OZ160" s="1259"/>
      <c r="PA160" s="1259"/>
      <c r="PB160" s="1259"/>
      <c r="PC160" s="1259"/>
      <c r="PD160" s="1259"/>
      <c r="PE160" s="1259"/>
      <c r="PF160" s="1259"/>
      <c r="PG160" s="1259"/>
      <c r="PH160" s="1259"/>
      <c r="PI160" s="1259"/>
      <c r="PJ160" s="1259"/>
      <c r="PK160" s="1259"/>
      <c r="PL160" s="1259"/>
      <c r="PM160" s="1259"/>
      <c r="PN160" s="1259"/>
      <c r="PO160" s="1259"/>
      <c r="PP160" s="1259"/>
      <c r="PQ160" s="1259"/>
      <c r="PR160" s="1259"/>
      <c r="PS160" s="1259"/>
      <c r="PT160" s="1259"/>
      <c r="PU160" s="1259"/>
      <c r="PV160" s="1259"/>
      <c r="PW160" s="1259"/>
      <c r="PX160" s="1259"/>
      <c r="PY160" s="1259"/>
      <c r="PZ160" s="1259"/>
      <c r="QA160" s="1259"/>
      <c r="QB160" s="1259"/>
      <c r="QC160" s="1259"/>
      <c r="QD160" s="1259"/>
      <c r="QE160" s="1259"/>
      <c r="QF160" s="1259"/>
      <c r="QG160" s="1259"/>
      <c r="QH160" s="1259"/>
      <c r="QI160" s="1259"/>
      <c r="QJ160" s="1259"/>
      <c r="QK160" s="1259"/>
      <c r="QL160" s="1259"/>
      <c r="QM160" s="1259"/>
      <c r="QN160" s="1259"/>
      <c r="QO160" s="1259"/>
      <c r="QP160" s="1259"/>
      <c r="QQ160" s="1259"/>
      <c r="QR160" s="1259"/>
      <c r="QS160" s="1259"/>
      <c r="QT160" s="1259"/>
      <c r="QU160" s="1259"/>
      <c r="QV160" s="1259"/>
      <c r="QW160" s="1259"/>
      <c r="QX160" s="1259"/>
      <c r="QY160" s="1259"/>
      <c r="QZ160" s="1259"/>
      <c r="RA160" s="1259"/>
      <c r="RB160" s="1259"/>
      <c r="RC160" s="1259"/>
      <c r="RD160" s="1259"/>
      <c r="RE160" s="1259"/>
      <c r="RF160" s="1259"/>
      <c r="RG160" s="1259"/>
      <c r="RH160" s="1259"/>
      <c r="RI160" s="1259"/>
      <c r="RJ160" s="1259"/>
      <c r="RK160" s="1259"/>
      <c r="RL160" s="1259"/>
      <c r="RM160" s="1259"/>
      <c r="RN160" s="1259"/>
      <c r="RO160" s="1259"/>
      <c r="RP160" s="1259"/>
      <c r="RQ160" s="1259"/>
      <c r="RR160" s="1259"/>
      <c r="RS160" s="1259"/>
      <c r="RT160" s="1259"/>
      <c r="RU160" s="1259"/>
      <c r="RV160" s="1259"/>
      <c r="RW160" s="1259"/>
      <c r="RX160" s="1259"/>
      <c r="RY160" s="1259"/>
      <c r="RZ160" s="1259"/>
      <c r="SA160" s="1259"/>
      <c r="SB160" s="1259"/>
      <c r="SC160" s="1259"/>
      <c r="SD160" s="1259"/>
      <c r="SE160" s="1259"/>
      <c r="SF160" s="1259"/>
      <c r="SG160" s="1259"/>
      <c r="SH160" s="1259"/>
      <c r="SI160" s="1259"/>
      <c r="SJ160" s="1259"/>
      <c r="SK160" s="1259"/>
      <c r="SL160" s="1259"/>
      <c r="SM160" s="1259"/>
      <c r="SN160" s="1259"/>
      <c r="SO160" s="1259"/>
      <c r="SP160" s="1259"/>
      <c r="SQ160" s="1259"/>
      <c r="SR160" s="1259"/>
      <c r="SS160" s="1259"/>
      <c r="ST160" s="1259"/>
      <c r="SU160" s="1259"/>
      <c r="SV160" s="1259"/>
      <c r="SW160" s="1259"/>
      <c r="SX160" s="1259"/>
      <c r="SY160" s="1259"/>
      <c r="SZ160" s="1259"/>
      <c r="TA160" s="1259"/>
      <c r="TB160" s="1259"/>
      <c r="TC160" s="1259"/>
      <c r="TD160" s="1259"/>
      <c r="TE160" s="1259"/>
      <c r="TF160" s="1259"/>
      <c r="TG160" s="1259"/>
      <c r="TH160" s="1259"/>
      <c r="TI160" s="1259"/>
      <c r="TJ160" s="1259"/>
      <c r="TK160" s="1259"/>
      <c r="TL160" s="1259"/>
      <c r="TM160" s="1259"/>
      <c r="TN160" s="1259"/>
      <c r="TO160" s="1259"/>
      <c r="TP160" s="1259"/>
      <c r="TQ160" s="1259"/>
      <c r="TR160" s="1259"/>
      <c r="TS160" s="1259"/>
      <c r="TT160" s="1259"/>
      <c r="TU160" s="1259"/>
      <c r="TV160" s="1259"/>
      <c r="TW160" s="1259"/>
      <c r="TX160" s="1259"/>
      <c r="TY160" s="1259"/>
      <c r="TZ160" s="1259"/>
      <c r="UA160" s="1259"/>
      <c r="UB160" s="1259"/>
      <c r="UC160" s="1259"/>
      <c r="UD160" s="1259"/>
      <c r="UE160" s="1259"/>
      <c r="UF160" s="1259"/>
      <c r="UG160" s="1261"/>
    </row>
    <row r="161" spans="1:553" s="1262" customFormat="1" ht="34.5" customHeight="1">
      <c r="A161" s="356"/>
      <c r="B161" s="356"/>
      <c r="C161" s="1472" t="s">
        <v>1061</v>
      </c>
      <c r="D161" s="1473" t="s">
        <v>831</v>
      </c>
      <c r="E161" s="1473" t="s">
        <v>831</v>
      </c>
      <c r="F161" s="1474" t="s">
        <v>831</v>
      </c>
      <c r="G161" s="366" t="s">
        <v>46</v>
      </c>
      <c r="H161" s="370"/>
      <c r="I161" s="370">
        <f>(31.98*100/400)*(17-(4-3))*2</f>
        <v>255.84</v>
      </c>
      <c r="J161" s="368">
        <v>5800</v>
      </c>
      <c r="K161" s="717">
        <v>0.7</v>
      </c>
      <c r="L161" s="369">
        <f>ROUND(PRODUCT(I161:K161),0)</f>
        <v>1038710</v>
      </c>
      <c r="M161" s="366"/>
      <c r="N161" s="366"/>
      <c r="O161" s="366"/>
      <c r="P161" s="366"/>
      <c r="Q161" s="1136"/>
      <c r="R161" s="1228"/>
      <c r="S161" s="308"/>
      <c r="T161" s="303"/>
      <c r="U161" s="306"/>
      <c r="V161" s="307"/>
      <c r="W161" s="307"/>
      <c r="X161" s="307"/>
      <c r="Y161" s="307"/>
      <c r="Z161" s="307"/>
      <c r="AA161" s="307"/>
      <c r="AB161" s="307"/>
      <c r="AC161" s="449"/>
      <c r="AD161" s="452"/>
      <c r="AE161" s="452"/>
      <c r="AF161" s="452"/>
      <c r="AG161" s="452"/>
      <c r="AH161" s="452"/>
      <c r="AI161" s="452"/>
      <c r="AJ161" s="452"/>
      <c r="AK161" s="452"/>
      <c r="AL161" s="1259"/>
      <c r="AM161" s="1259"/>
      <c r="AN161" s="1259"/>
      <c r="AO161" s="1259"/>
      <c r="AP161" s="1259"/>
      <c r="AQ161" s="1259"/>
      <c r="AR161" s="1259"/>
      <c r="AS161" s="1259"/>
      <c r="AT161" s="1259"/>
      <c r="AU161" s="1259"/>
      <c r="AV161" s="1259"/>
      <c r="AW161" s="1259"/>
      <c r="AX161" s="1259"/>
      <c r="AY161" s="1259"/>
      <c r="AZ161" s="1259"/>
      <c r="BA161" s="1259"/>
      <c r="BB161" s="1259"/>
      <c r="BC161" s="1259"/>
      <c r="BD161" s="1259"/>
      <c r="BE161" s="1259"/>
      <c r="BF161" s="1259"/>
      <c r="BG161" s="1259"/>
      <c r="BH161" s="1259"/>
      <c r="BI161" s="1259"/>
      <c r="BJ161" s="1259"/>
      <c r="BK161" s="1259"/>
      <c r="BL161" s="1259"/>
      <c r="BM161" s="1259"/>
      <c r="BN161" s="1259"/>
      <c r="BO161" s="1259"/>
      <c r="BP161" s="1259"/>
      <c r="BQ161" s="1259"/>
      <c r="BR161" s="1259"/>
      <c r="BS161" s="1259"/>
      <c r="BT161" s="1259"/>
      <c r="BU161" s="1259"/>
      <c r="BV161" s="1259"/>
      <c r="BW161" s="1259"/>
      <c r="BX161" s="1259"/>
      <c r="BY161" s="1259"/>
      <c r="BZ161" s="1259"/>
      <c r="CA161" s="1259"/>
      <c r="CB161" s="1259"/>
      <c r="CC161" s="1259"/>
      <c r="CD161" s="1259"/>
      <c r="CE161" s="1259"/>
      <c r="CF161" s="1259"/>
      <c r="CG161" s="1259"/>
      <c r="CH161" s="1259"/>
      <c r="CI161" s="1259"/>
      <c r="CJ161" s="1259"/>
      <c r="CK161" s="1259"/>
      <c r="CL161" s="1259"/>
      <c r="CM161" s="1259"/>
      <c r="CN161" s="1259"/>
      <c r="CO161" s="1259"/>
      <c r="CP161" s="1259"/>
      <c r="CQ161" s="1259"/>
      <c r="CR161" s="1259"/>
      <c r="CS161" s="1259"/>
      <c r="CT161" s="1259"/>
      <c r="CU161" s="1259"/>
      <c r="CV161" s="1259"/>
      <c r="CW161" s="1259"/>
      <c r="CX161" s="1259"/>
      <c r="CY161" s="1259"/>
      <c r="CZ161" s="1259"/>
      <c r="DA161" s="1259"/>
      <c r="DB161" s="1259"/>
      <c r="DC161" s="1259"/>
      <c r="DD161" s="1259"/>
      <c r="DE161" s="1259"/>
      <c r="DF161" s="1259"/>
      <c r="DG161" s="1259"/>
      <c r="DH161" s="1259"/>
      <c r="DI161" s="1259"/>
      <c r="DJ161" s="1259"/>
      <c r="DK161" s="1259"/>
      <c r="DL161" s="1259"/>
      <c r="DM161" s="1259"/>
      <c r="DN161" s="1259"/>
      <c r="DO161" s="1259"/>
      <c r="DP161" s="1259"/>
      <c r="DQ161" s="1259"/>
      <c r="DR161" s="1259"/>
      <c r="DS161" s="1259"/>
      <c r="DT161" s="1259"/>
      <c r="DU161" s="1259"/>
      <c r="DV161" s="1259"/>
      <c r="DW161" s="1259"/>
      <c r="DX161" s="1259"/>
      <c r="DY161" s="1259"/>
      <c r="DZ161" s="1259"/>
      <c r="EA161" s="1259"/>
      <c r="EB161" s="1259"/>
      <c r="EC161" s="1259"/>
      <c r="ED161" s="1259"/>
      <c r="EE161" s="1259"/>
      <c r="EF161" s="1259"/>
      <c r="EG161" s="1259"/>
      <c r="EH161" s="1259"/>
      <c r="EI161" s="1259"/>
      <c r="EJ161" s="1259"/>
      <c r="EK161" s="1259"/>
      <c r="EL161" s="1259"/>
      <c r="EM161" s="1259"/>
      <c r="EN161" s="1259"/>
      <c r="EO161" s="1259"/>
      <c r="EP161" s="1259"/>
      <c r="EQ161" s="1259"/>
      <c r="ER161" s="1259"/>
      <c r="ES161" s="1259"/>
      <c r="ET161" s="1259"/>
      <c r="EU161" s="1259"/>
      <c r="EV161" s="1259"/>
      <c r="EW161" s="1259"/>
      <c r="EX161" s="1259"/>
      <c r="EY161" s="1259"/>
      <c r="EZ161" s="1259"/>
      <c r="FA161" s="1259"/>
      <c r="FB161" s="1259"/>
      <c r="FC161" s="1259"/>
      <c r="FD161" s="1259"/>
      <c r="FE161" s="1259"/>
      <c r="FF161" s="1259"/>
      <c r="FG161" s="1259"/>
      <c r="FH161" s="1259"/>
      <c r="FI161" s="1259"/>
      <c r="FJ161" s="1259"/>
      <c r="FK161" s="1259"/>
      <c r="FL161" s="1259"/>
      <c r="FM161" s="1259"/>
      <c r="FN161" s="1259"/>
      <c r="FO161" s="1259"/>
      <c r="FP161" s="1259"/>
      <c r="FQ161" s="1259"/>
      <c r="FR161" s="1259"/>
      <c r="FS161" s="1259"/>
      <c r="FT161" s="1259"/>
      <c r="FU161" s="1259"/>
      <c r="FV161" s="1259"/>
      <c r="FW161" s="1259"/>
      <c r="FX161" s="1259"/>
      <c r="FY161" s="1259"/>
      <c r="FZ161" s="1259"/>
      <c r="GA161" s="1259"/>
      <c r="GB161" s="1259"/>
      <c r="GC161" s="1259"/>
      <c r="GD161" s="1259"/>
      <c r="GE161" s="1259"/>
      <c r="GF161" s="1259"/>
      <c r="GG161" s="1259"/>
      <c r="GH161" s="1259"/>
      <c r="GI161" s="1259"/>
      <c r="GJ161" s="1259"/>
      <c r="GK161" s="1259"/>
      <c r="GL161" s="1259"/>
      <c r="GM161" s="1259"/>
      <c r="GN161" s="1259"/>
      <c r="GO161" s="1259"/>
      <c r="GP161" s="1259"/>
      <c r="GQ161" s="1259"/>
      <c r="GR161" s="1259"/>
      <c r="GS161" s="1259"/>
      <c r="GT161" s="1259"/>
      <c r="GU161" s="1259"/>
      <c r="GV161" s="1259"/>
      <c r="GW161" s="1259"/>
      <c r="GX161" s="1259"/>
      <c r="GY161" s="1259"/>
      <c r="GZ161" s="1259"/>
      <c r="HA161" s="1259"/>
      <c r="HB161" s="1259"/>
      <c r="HC161" s="1259"/>
      <c r="HD161" s="1259"/>
      <c r="HE161" s="1259"/>
      <c r="HF161" s="1259"/>
      <c r="HG161" s="1259"/>
      <c r="HH161" s="1259"/>
      <c r="HI161" s="1259"/>
      <c r="HJ161" s="1259"/>
      <c r="HK161" s="1259"/>
      <c r="HL161" s="1259"/>
      <c r="HM161" s="1259"/>
      <c r="HN161" s="1259"/>
      <c r="HO161" s="1259"/>
      <c r="HP161" s="1259"/>
      <c r="HQ161" s="1259"/>
      <c r="HR161" s="1259"/>
      <c r="HS161" s="1259"/>
      <c r="HT161" s="1259"/>
      <c r="HU161" s="1259"/>
      <c r="HV161" s="1259"/>
      <c r="HW161" s="1259"/>
      <c r="HX161" s="1259"/>
      <c r="HY161" s="1259"/>
      <c r="HZ161" s="1259"/>
      <c r="IA161" s="1259"/>
      <c r="IB161" s="1259"/>
      <c r="IC161" s="1259"/>
      <c r="ID161" s="1259"/>
      <c r="IE161" s="1259"/>
      <c r="IF161" s="1259"/>
      <c r="IG161" s="1259"/>
      <c r="IH161" s="1259"/>
      <c r="II161" s="1259"/>
      <c r="IJ161" s="1259"/>
      <c r="IK161" s="1259"/>
      <c r="IL161" s="1259"/>
      <c r="IM161" s="1259"/>
      <c r="IN161" s="1259"/>
      <c r="IO161" s="1259"/>
      <c r="IP161" s="1259"/>
      <c r="IQ161" s="1259"/>
      <c r="IR161" s="1259"/>
      <c r="IS161" s="1259"/>
      <c r="IT161" s="1259"/>
      <c r="IU161" s="1259"/>
      <c r="IV161" s="1259"/>
      <c r="IW161" s="1259"/>
      <c r="IX161" s="1259"/>
      <c r="IY161" s="1259"/>
      <c r="IZ161" s="1259"/>
      <c r="JA161" s="1259"/>
      <c r="JB161" s="1259"/>
      <c r="JC161" s="1259"/>
      <c r="JD161" s="1259"/>
      <c r="JE161" s="1259"/>
      <c r="JF161" s="1259"/>
      <c r="JG161" s="1259"/>
      <c r="JH161" s="1259"/>
      <c r="JI161" s="1259"/>
      <c r="JJ161" s="1259"/>
      <c r="JK161" s="1259"/>
      <c r="JL161" s="1259"/>
      <c r="JM161" s="1259"/>
      <c r="JN161" s="1259"/>
      <c r="JO161" s="1259"/>
      <c r="JP161" s="1259"/>
      <c r="JQ161" s="1259"/>
      <c r="JR161" s="1259"/>
      <c r="JS161" s="1259"/>
      <c r="JT161" s="1259"/>
      <c r="JU161" s="1259"/>
      <c r="JV161" s="1259"/>
      <c r="JW161" s="1259"/>
      <c r="JX161" s="1259"/>
      <c r="JY161" s="1259"/>
      <c r="JZ161" s="1259"/>
      <c r="KA161" s="1259"/>
      <c r="KB161" s="1259"/>
      <c r="KC161" s="1259"/>
      <c r="KD161" s="1259"/>
      <c r="KE161" s="1259"/>
      <c r="KF161" s="1259"/>
      <c r="KG161" s="1259"/>
      <c r="KH161" s="1259"/>
      <c r="KI161" s="1259"/>
      <c r="KJ161" s="1259"/>
      <c r="KK161" s="1259"/>
      <c r="KL161" s="1259"/>
      <c r="KM161" s="1259"/>
      <c r="KN161" s="1259"/>
      <c r="KO161" s="1259"/>
      <c r="KP161" s="1259"/>
      <c r="KQ161" s="1259"/>
      <c r="KR161" s="1259"/>
      <c r="KS161" s="1259"/>
      <c r="KT161" s="1259"/>
      <c r="KU161" s="1259"/>
      <c r="KV161" s="1259"/>
      <c r="KW161" s="1259"/>
      <c r="KX161" s="1259"/>
      <c r="KY161" s="1259"/>
      <c r="KZ161" s="1259"/>
      <c r="LA161" s="1259"/>
      <c r="LB161" s="1259"/>
      <c r="LC161" s="1259"/>
      <c r="LD161" s="1259"/>
      <c r="LE161" s="1259"/>
      <c r="LF161" s="1259"/>
      <c r="LG161" s="1259"/>
      <c r="LH161" s="1259"/>
      <c r="LI161" s="1259"/>
      <c r="LJ161" s="1259"/>
      <c r="LK161" s="1259"/>
      <c r="LL161" s="1259"/>
      <c r="LM161" s="1259"/>
      <c r="LN161" s="1259"/>
      <c r="LO161" s="1259"/>
      <c r="LP161" s="1259"/>
      <c r="LQ161" s="1259"/>
      <c r="LR161" s="1259"/>
      <c r="LS161" s="1259"/>
      <c r="LT161" s="1259"/>
      <c r="LU161" s="1259"/>
      <c r="LV161" s="1259"/>
      <c r="LW161" s="1259"/>
      <c r="LX161" s="1259"/>
      <c r="LY161" s="1259"/>
      <c r="LZ161" s="1259"/>
      <c r="MA161" s="1259"/>
      <c r="MB161" s="1259"/>
      <c r="MC161" s="1259"/>
      <c r="MD161" s="1259"/>
      <c r="ME161" s="1259"/>
      <c r="MF161" s="1259"/>
      <c r="MG161" s="1259"/>
      <c r="MH161" s="1259"/>
      <c r="MI161" s="1259"/>
      <c r="MJ161" s="1259"/>
      <c r="MK161" s="1259"/>
      <c r="ML161" s="1259"/>
      <c r="MM161" s="1259"/>
      <c r="MN161" s="1259"/>
      <c r="MO161" s="1259"/>
      <c r="MP161" s="1259"/>
      <c r="MQ161" s="1259"/>
      <c r="MR161" s="1259"/>
      <c r="MS161" s="1259"/>
      <c r="MT161" s="1259"/>
      <c r="MU161" s="1259"/>
      <c r="MV161" s="1259"/>
      <c r="MW161" s="1259"/>
      <c r="MX161" s="1259"/>
      <c r="MY161" s="1259"/>
      <c r="MZ161" s="1259"/>
      <c r="NA161" s="1259"/>
      <c r="NB161" s="1259"/>
      <c r="NC161" s="1259"/>
      <c r="ND161" s="1259"/>
      <c r="NE161" s="1259"/>
      <c r="NF161" s="1259"/>
      <c r="NG161" s="1259"/>
      <c r="NH161" s="1259"/>
      <c r="NI161" s="1259"/>
      <c r="NJ161" s="1259"/>
      <c r="NK161" s="1259"/>
      <c r="NL161" s="1259"/>
      <c r="NM161" s="1259"/>
      <c r="NN161" s="1259"/>
      <c r="NO161" s="1259"/>
      <c r="NP161" s="1259"/>
      <c r="NQ161" s="1259"/>
      <c r="NR161" s="1259"/>
      <c r="NS161" s="1259"/>
      <c r="NT161" s="1259"/>
      <c r="NU161" s="1259"/>
      <c r="NV161" s="1259"/>
      <c r="NW161" s="1259"/>
      <c r="NX161" s="1259"/>
      <c r="NY161" s="1259"/>
      <c r="NZ161" s="1259"/>
      <c r="OA161" s="1259"/>
      <c r="OB161" s="1259"/>
      <c r="OC161" s="1259"/>
      <c r="OD161" s="1259"/>
      <c r="OE161" s="1259"/>
      <c r="OF161" s="1259"/>
      <c r="OG161" s="1259"/>
      <c r="OH161" s="1259"/>
      <c r="OI161" s="1259"/>
      <c r="OJ161" s="1259"/>
      <c r="OK161" s="1259"/>
      <c r="OL161" s="1259"/>
      <c r="OM161" s="1259"/>
      <c r="ON161" s="1259"/>
      <c r="OO161" s="1259"/>
      <c r="OP161" s="1259"/>
      <c r="OQ161" s="1259"/>
      <c r="OR161" s="1259"/>
      <c r="OS161" s="1259"/>
      <c r="OT161" s="1259"/>
      <c r="OU161" s="1259"/>
      <c r="OV161" s="1259"/>
      <c r="OW161" s="1259"/>
      <c r="OX161" s="1259"/>
      <c r="OY161" s="1259"/>
      <c r="OZ161" s="1259"/>
      <c r="PA161" s="1259"/>
      <c r="PB161" s="1259"/>
      <c r="PC161" s="1259"/>
      <c r="PD161" s="1259"/>
      <c r="PE161" s="1259"/>
      <c r="PF161" s="1259"/>
      <c r="PG161" s="1259"/>
      <c r="PH161" s="1259"/>
      <c r="PI161" s="1259"/>
      <c r="PJ161" s="1259"/>
      <c r="PK161" s="1259"/>
      <c r="PL161" s="1259"/>
      <c r="PM161" s="1259"/>
      <c r="PN161" s="1259"/>
      <c r="PO161" s="1259"/>
      <c r="PP161" s="1259"/>
      <c r="PQ161" s="1259"/>
      <c r="PR161" s="1259"/>
      <c r="PS161" s="1259"/>
      <c r="PT161" s="1259"/>
      <c r="PU161" s="1259"/>
      <c r="PV161" s="1259"/>
      <c r="PW161" s="1259"/>
      <c r="PX161" s="1259"/>
      <c r="PY161" s="1259"/>
      <c r="PZ161" s="1259"/>
      <c r="QA161" s="1259"/>
      <c r="QB161" s="1259"/>
      <c r="QC161" s="1259"/>
      <c r="QD161" s="1259"/>
      <c r="QE161" s="1259"/>
      <c r="QF161" s="1259"/>
      <c r="QG161" s="1259"/>
      <c r="QH161" s="1259"/>
      <c r="QI161" s="1259"/>
      <c r="QJ161" s="1259"/>
      <c r="QK161" s="1259"/>
      <c r="QL161" s="1259"/>
      <c r="QM161" s="1259"/>
      <c r="QN161" s="1259"/>
      <c r="QO161" s="1259"/>
      <c r="QP161" s="1259"/>
      <c r="QQ161" s="1259"/>
      <c r="QR161" s="1259"/>
      <c r="QS161" s="1259"/>
      <c r="QT161" s="1259"/>
      <c r="QU161" s="1259"/>
      <c r="QV161" s="1259"/>
      <c r="QW161" s="1259"/>
      <c r="QX161" s="1259"/>
      <c r="QY161" s="1259"/>
      <c r="QZ161" s="1259"/>
      <c r="RA161" s="1259"/>
      <c r="RB161" s="1259"/>
      <c r="RC161" s="1259"/>
      <c r="RD161" s="1259"/>
      <c r="RE161" s="1259"/>
      <c r="RF161" s="1259"/>
      <c r="RG161" s="1259"/>
      <c r="RH161" s="1259"/>
      <c r="RI161" s="1259"/>
      <c r="RJ161" s="1259"/>
      <c r="RK161" s="1259"/>
      <c r="RL161" s="1259"/>
      <c r="RM161" s="1259"/>
      <c r="RN161" s="1259"/>
      <c r="RO161" s="1259"/>
      <c r="RP161" s="1259"/>
      <c r="RQ161" s="1259"/>
      <c r="RR161" s="1259"/>
      <c r="RS161" s="1259"/>
      <c r="RT161" s="1259"/>
      <c r="RU161" s="1259"/>
      <c r="RV161" s="1259"/>
      <c r="RW161" s="1259"/>
      <c r="RX161" s="1259"/>
      <c r="RY161" s="1259"/>
      <c r="RZ161" s="1259"/>
      <c r="SA161" s="1259"/>
      <c r="SB161" s="1259"/>
      <c r="SC161" s="1259"/>
      <c r="SD161" s="1259"/>
      <c r="SE161" s="1259"/>
      <c r="SF161" s="1259"/>
      <c r="SG161" s="1259"/>
      <c r="SH161" s="1259"/>
      <c r="SI161" s="1259"/>
      <c r="SJ161" s="1259"/>
      <c r="SK161" s="1259"/>
      <c r="SL161" s="1259"/>
      <c r="SM161" s="1259"/>
      <c r="SN161" s="1259"/>
      <c r="SO161" s="1259"/>
      <c r="SP161" s="1259"/>
      <c r="SQ161" s="1259"/>
      <c r="SR161" s="1259"/>
      <c r="SS161" s="1259"/>
      <c r="ST161" s="1259"/>
      <c r="SU161" s="1259"/>
      <c r="SV161" s="1259"/>
      <c r="SW161" s="1259"/>
      <c r="SX161" s="1259"/>
      <c r="SY161" s="1259"/>
      <c r="SZ161" s="1259"/>
      <c r="TA161" s="1259"/>
      <c r="TB161" s="1259"/>
      <c r="TC161" s="1259"/>
      <c r="TD161" s="1259"/>
      <c r="TE161" s="1259"/>
      <c r="TF161" s="1259"/>
      <c r="TG161" s="1259"/>
      <c r="TH161" s="1259"/>
      <c r="TI161" s="1259"/>
      <c r="TJ161" s="1259"/>
      <c r="TK161" s="1259"/>
      <c r="TL161" s="1259"/>
      <c r="TM161" s="1259"/>
      <c r="TN161" s="1259"/>
      <c r="TO161" s="1259"/>
      <c r="TP161" s="1259"/>
      <c r="TQ161" s="1259"/>
      <c r="TR161" s="1259"/>
      <c r="TS161" s="1259"/>
      <c r="TT161" s="1259"/>
      <c r="TU161" s="1259"/>
      <c r="TV161" s="1259"/>
      <c r="TW161" s="1259"/>
      <c r="TX161" s="1259"/>
      <c r="TY161" s="1259"/>
      <c r="TZ161" s="1259"/>
      <c r="UA161" s="1259"/>
      <c r="UB161" s="1259"/>
      <c r="UC161" s="1259"/>
      <c r="UD161" s="1259"/>
      <c r="UE161" s="1259"/>
      <c r="UF161" s="1259"/>
      <c r="UG161" s="1261"/>
    </row>
    <row r="162" spans="1:553" s="1262" customFormat="1" ht="58.9" customHeight="1">
      <c r="A162" s="356"/>
      <c r="B162" s="356"/>
      <c r="C162" s="1446" t="s">
        <v>839</v>
      </c>
      <c r="D162" s="1475"/>
      <c r="E162" s="1475"/>
      <c r="F162" s="1476"/>
      <c r="G162" s="366" t="s">
        <v>51</v>
      </c>
      <c r="H162" s="370"/>
      <c r="I162" s="614">
        <v>20</v>
      </c>
      <c r="J162" s="368">
        <v>45000</v>
      </c>
      <c r="K162" s="388"/>
      <c r="L162" s="480">
        <f t="shared" ref="L162" si="35">ROUND(PRODUCT(I162:K162),0)</f>
        <v>900000</v>
      </c>
      <c r="M162" s="366"/>
      <c r="N162" s="366"/>
      <c r="O162" s="366"/>
      <c r="P162" s="366"/>
      <c r="Q162" s="1136"/>
      <c r="R162" s="1228"/>
      <c r="S162" s="308"/>
      <c r="T162" s="303"/>
      <c r="U162" s="306"/>
      <c r="V162" s="307"/>
      <c r="W162" s="307"/>
      <c r="X162" s="307"/>
      <c r="Y162" s="307"/>
      <c r="Z162" s="307"/>
      <c r="AA162" s="307"/>
      <c r="AB162" s="307"/>
      <c r="AC162" s="449"/>
      <c r="AD162" s="452"/>
      <c r="AE162" s="452"/>
      <c r="AF162" s="452"/>
      <c r="AG162" s="452"/>
      <c r="AH162" s="452"/>
      <c r="AI162" s="452"/>
      <c r="AJ162" s="452"/>
      <c r="AK162" s="452"/>
      <c r="AL162" s="1259"/>
      <c r="AM162" s="1259"/>
      <c r="AN162" s="1259"/>
      <c r="AO162" s="1259"/>
      <c r="AP162" s="1259"/>
      <c r="AQ162" s="1259"/>
      <c r="AR162" s="1259"/>
      <c r="AS162" s="1259"/>
      <c r="AT162" s="1259"/>
      <c r="AU162" s="1259"/>
      <c r="AV162" s="1259"/>
      <c r="AW162" s="1259"/>
      <c r="AX162" s="1259"/>
      <c r="AY162" s="1259"/>
      <c r="AZ162" s="1259"/>
      <c r="BA162" s="1259"/>
      <c r="BB162" s="1259"/>
      <c r="BC162" s="1259"/>
      <c r="BD162" s="1259"/>
      <c r="BE162" s="1259"/>
      <c r="BF162" s="1259"/>
      <c r="BG162" s="1259"/>
      <c r="BH162" s="1259"/>
      <c r="BI162" s="1259"/>
      <c r="BJ162" s="1259"/>
      <c r="BK162" s="1259"/>
      <c r="BL162" s="1259"/>
      <c r="BM162" s="1259"/>
      <c r="BN162" s="1259"/>
      <c r="BO162" s="1259"/>
      <c r="BP162" s="1259"/>
      <c r="BQ162" s="1259"/>
      <c r="BR162" s="1259"/>
      <c r="BS162" s="1259"/>
      <c r="BT162" s="1259"/>
      <c r="BU162" s="1259"/>
      <c r="BV162" s="1259"/>
      <c r="BW162" s="1259"/>
      <c r="BX162" s="1259"/>
      <c r="BY162" s="1259"/>
      <c r="BZ162" s="1259"/>
      <c r="CA162" s="1259"/>
      <c r="CB162" s="1259"/>
      <c r="CC162" s="1259"/>
      <c r="CD162" s="1259"/>
      <c r="CE162" s="1259"/>
      <c r="CF162" s="1259"/>
      <c r="CG162" s="1259"/>
      <c r="CH162" s="1259"/>
      <c r="CI162" s="1259"/>
      <c r="CJ162" s="1259"/>
      <c r="CK162" s="1259"/>
      <c r="CL162" s="1259"/>
      <c r="CM162" s="1259"/>
      <c r="CN162" s="1259"/>
      <c r="CO162" s="1259"/>
      <c r="CP162" s="1259"/>
      <c r="CQ162" s="1259"/>
      <c r="CR162" s="1259"/>
      <c r="CS162" s="1259"/>
      <c r="CT162" s="1259"/>
      <c r="CU162" s="1259"/>
      <c r="CV162" s="1259"/>
      <c r="CW162" s="1259"/>
      <c r="CX162" s="1259"/>
      <c r="CY162" s="1259"/>
      <c r="CZ162" s="1259"/>
      <c r="DA162" s="1259"/>
      <c r="DB162" s="1259"/>
      <c r="DC162" s="1259"/>
      <c r="DD162" s="1259"/>
      <c r="DE162" s="1259"/>
      <c r="DF162" s="1259"/>
      <c r="DG162" s="1259"/>
      <c r="DH162" s="1259"/>
      <c r="DI162" s="1259"/>
      <c r="DJ162" s="1259"/>
      <c r="DK162" s="1259"/>
      <c r="DL162" s="1259"/>
      <c r="DM162" s="1259"/>
      <c r="DN162" s="1259"/>
      <c r="DO162" s="1259"/>
      <c r="DP162" s="1259"/>
      <c r="DQ162" s="1259"/>
      <c r="DR162" s="1259"/>
      <c r="DS162" s="1259"/>
      <c r="DT162" s="1259"/>
      <c r="DU162" s="1259"/>
      <c r="DV162" s="1259"/>
      <c r="DW162" s="1259"/>
      <c r="DX162" s="1259"/>
      <c r="DY162" s="1259"/>
      <c r="DZ162" s="1259"/>
      <c r="EA162" s="1259"/>
      <c r="EB162" s="1259"/>
      <c r="EC162" s="1259"/>
      <c r="ED162" s="1259"/>
      <c r="EE162" s="1259"/>
      <c r="EF162" s="1259"/>
      <c r="EG162" s="1259"/>
      <c r="EH162" s="1259"/>
      <c r="EI162" s="1259"/>
      <c r="EJ162" s="1259"/>
      <c r="EK162" s="1259"/>
      <c r="EL162" s="1259"/>
      <c r="EM162" s="1259"/>
      <c r="EN162" s="1259"/>
      <c r="EO162" s="1259"/>
      <c r="EP162" s="1259"/>
      <c r="EQ162" s="1259"/>
      <c r="ER162" s="1259"/>
      <c r="ES162" s="1259"/>
      <c r="ET162" s="1259"/>
      <c r="EU162" s="1259"/>
      <c r="EV162" s="1259"/>
      <c r="EW162" s="1259"/>
      <c r="EX162" s="1259"/>
      <c r="EY162" s="1259"/>
      <c r="EZ162" s="1259"/>
      <c r="FA162" s="1259"/>
      <c r="FB162" s="1259"/>
      <c r="FC162" s="1259"/>
      <c r="FD162" s="1259"/>
      <c r="FE162" s="1259"/>
      <c r="FF162" s="1259"/>
      <c r="FG162" s="1259"/>
      <c r="FH162" s="1259"/>
      <c r="FI162" s="1259"/>
      <c r="FJ162" s="1259"/>
      <c r="FK162" s="1259"/>
      <c r="FL162" s="1259"/>
      <c r="FM162" s="1259"/>
      <c r="FN162" s="1259"/>
      <c r="FO162" s="1259"/>
      <c r="FP162" s="1259"/>
      <c r="FQ162" s="1259"/>
      <c r="FR162" s="1259"/>
      <c r="FS162" s="1259"/>
      <c r="FT162" s="1259"/>
      <c r="FU162" s="1259"/>
      <c r="FV162" s="1259"/>
      <c r="FW162" s="1259"/>
      <c r="FX162" s="1259"/>
      <c r="FY162" s="1259"/>
      <c r="FZ162" s="1259"/>
      <c r="GA162" s="1259"/>
      <c r="GB162" s="1259"/>
      <c r="GC162" s="1259"/>
      <c r="GD162" s="1259"/>
      <c r="GE162" s="1259"/>
      <c r="GF162" s="1259"/>
      <c r="GG162" s="1259"/>
      <c r="GH162" s="1259"/>
      <c r="GI162" s="1259"/>
      <c r="GJ162" s="1259"/>
      <c r="GK162" s="1259"/>
      <c r="GL162" s="1259"/>
      <c r="GM162" s="1259"/>
      <c r="GN162" s="1259"/>
      <c r="GO162" s="1259"/>
      <c r="GP162" s="1259"/>
      <c r="GQ162" s="1259"/>
      <c r="GR162" s="1259"/>
      <c r="GS162" s="1259"/>
      <c r="GT162" s="1259"/>
      <c r="GU162" s="1259"/>
      <c r="GV162" s="1259"/>
      <c r="GW162" s="1259"/>
      <c r="GX162" s="1259"/>
      <c r="GY162" s="1259"/>
      <c r="GZ162" s="1259"/>
      <c r="HA162" s="1259"/>
      <c r="HB162" s="1259"/>
      <c r="HC162" s="1259"/>
      <c r="HD162" s="1259"/>
      <c r="HE162" s="1259"/>
      <c r="HF162" s="1259"/>
      <c r="HG162" s="1259"/>
      <c r="HH162" s="1259"/>
      <c r="HI162" s="1259"/>
      <c r="HJ162" s="1259"/>
      <c r="HK162" s="1259"/>
      <c r="HL162" s="1259"/>
      <c r="HM162" s="1259"/>
      <c r="HN162" s="1259"/>
      <c r="HO162" s="1259"/>
      <c r="HP162" s="1259"/>
      <c r="HQ162" s="1259"/>
      <c r="HR162" s="1259"/>
      <c r="HS162" s="1259"/>
      <c r="HT162" s="1259"/>
      <c r="HU162" s="1259"/>
      <c r="HV162" s="1259"/>
      <c r="HW162" s="1259"/>
      <c r="HX162" s="1259"/>
      <c r="HY162" s="1259"/>
      <c r="HZ162" s="1259"/>
      <c r="IA162" s="1259"/>
      <c r="IB162" s="1259"/>
      <c r="IC162" s="1259"/>
      <c r="ID162" s="1259"/>
      <c r="IE162" s="1259"/>
      <c r="IF162" s="1259"/>
      <c r="IG162" s="1259"/>
      <c r="IH162" s="1259"/>
      <c r="II162" s="1259"/>
      <c r="IJ162" s="1259"/>
      <c r="IK162" s="1259"/>
      <c r="IL162" s="1259"/>
      <c r="IM162" s="1259"/>
      <c r="IN162" s="1259"/>
      <c r="IO162" s="1259"/>
      <c r="IP162" s="1259"/>
      <c r="IQ162" s="1259"/>
      <c r="IR162" s="1259"/>
      <c r="IS162" s="1259"/>
      <c r="IT162" s="1259"/>
      <c r="IU162" s="1259"/>
      <c r="IV162" s="1259"/>
      <c r="IW162" s="1259"/>
      <c r="IX162" s="1259"/>
      <c r="IY162" s="1259"/>
      <c r="IZ162" s="1259"/>
      <c r="JA162" s="1259"/>
      <c r="JB162" s="1259"/>
      <c r="JC162" s="1259"/>
      <c r="JD162" s="1259"/>
      <c r="JE162" s="1259"/>
      <c r="JF162" s="1259"/>
      <c r="JG162" s="1259"/>
      <c r="JH162" s="1259"/>
      <c r="JI162" s="1259"/>
      <c r="JJ162" s="1259"/>
      <c r="JK162" s="1259"/>
      <c r="JL162" s="1259"/>
      <c r="JM162" s="1259"/>
      <c r="JN162" s="1259"/>
      <c r="JO162" s="1259"/>
      <c r="JP162" s="1259"/>
      <c r="JQ162" s="1259"/>
      <c r="JR162" s="1259"/>
      <c r="JS162" s="1259"/>
      <c r="JT162" s="1259"/>
      <c r="JU162" s="1259"/>
      <c r="JV162" s="1259"/>
      <c r="JW162" s="1259"/>
      <c r="JX162" s="1259"/>
      <c r="JY162" s="1259"/>
      <c r="JZ162" s="1259"/>
      <c r="KA162" s="1259"/>
      <c r="KB162" s="1259"/>
      <c r="KC162" s="1259"/>
      <c r="KD162" s="1259"/>
      <c r="KE162" s="1259"/>
      <c r="KF162" s="1259"/>
      <c r="KG162" s="1259"/>
      <c r="KH162" s="1259"/>
      <c r="KI162" s="1259"/>
      <c r="KJ162" s="1259"/>
      <c r="KK162" s="1259"/>
      <c r="KL162" s="1259"/>
      <c r="KM162" s="1259"/>
      <c r="KN162" s="1259"/>
      <c r="KO162" s="1259"/>
      <c r="KP162" s="1259"/>
      <c r="KQ162" s="1259"/>
      <c r="KR162" s="1259"/>
      <c r="KS162" s="1259"/>
      <c r="KT162" s="1259"/>
      <c r="KU162" s="1259"/>
      <c r="KV162" s="1259"/>
      <c r="KW162" s="1259"/>
      <c r="KX162" s="1259"/>
      <c r="KY162" s="1259"/>
      <c r="KZ162" s="1259"/>
      <c r="LA162" s="1259"/>
      <c r="LB162" s="1259"/>
      <c r="LC162" s="1259"/>
      <c r="LD162" s="1259"/>
      <c r="LE162" s="1259"/>
      <c r="LF162" s="1259"/>
      <c r="LG162" s="1259"/>
      <c r="LH162" s="1259"/>
      <c r="LI162" s="1259"/>
      <c r="LJ162" s="1259"/>
      <c r="LK162" s="1259"/>
      <c r="LL162" s="1259"/>
      <c r="LM162" s="1259"/>
      <c r="LN162" s="1259"/>
      <c r="LO162" s="1259"/>
      <c r="LP162" s="1259"/>
      <c r="LQ162" s="1259"/>
      <c r="LR162" s="1259"/>
      <c r="LS162" s="1259"/>
      <c r="LT162" s="1259"/>
      <c r="LU162" s="1259"/>
      <c r="LV162" s="1259"/>
      <c r="LW162" s="1259"/>
      <c r="LX162" s="1259"/>
      <c r="LY162" s="1259"/>
      <c r="LZ162" s="1259"/>
      <c r="MA162" s="1259"/>
      <c r="MB162" s="1259"/>
      <c r="MC162" s="1259"/>
      <c r="MD162" s="1259"/>
      <c r="ME162" s="1259"/>
      <c r="MF162" s="1259"/>
      <c r="MG162" s="1259"/>
      <c r="MH162" s="1259"/>
      <c r="MI162" s="1259"/>
      <c r="MJ162" s="1259"/>
      <c r="MK162" s="1259"/>
      <c r="ML162" s="1259"/>
      <c r="MM162" s="1259"/>
      <c r="MN162" s="1259"/>
      <c r="MO162" s="1259"/>
      <c r="MP162" s="1259"/>
      <c r="MQ162" s="1259"/>
      <c r="MR162" s="1259"/>
      <c r="MS162" s="1259"/>
      <c r="MT162" s="1259"/>
      <c r="MU162" s="1259"/>
      <c r="MV162" s="1259"/>
      <c r="MW162" s="1259"/>
      <c r="MX162" s="1259"/>
      <c r="MY162" s="1259"/>
      <c r="MZ162" s="1259"/>
      <c r="NA162" s="1259"/>
      <c r="NB162" s="1259"/>
      <c r="NC162" s="1259"/>
      <c r="ND162" s="1259"/>
      <c r="NE162" s="1259"/>
      <c r="NF162" s="1259"/>
      <c r="NG162" s="1259"/>
      <c r="NH162" s="1259"/>
      <c r="NI162" s="1259"/>
      <c r="NJ162" s="1259"/>
      <c r="NK162" s="1259"/>
      <c r="NL162" s="1259"/>
      <c r="NM162" s="1259"/>
      <c r="NN162" s="1259"/>
      <c r="NO162" s="1259"/>
      <c r="NP162" s="1259"/>
      <c r="NQ162" s="1259"/>
      <c r="NR162" s="1259"/>
      <c r="NS162" s="1259"/>
      <c r="NT162" s="1259"/>
      <c r="NU162" s="1259"/>
      <c r="NV162" s="1259"/>
      <c r="NW162" s="1259"/>
      <c r="NX162" s="1259"/>
      <c r="NY162" s="1259"/>
      <c r="NZ162" s="1259"/>
      <c r="OA162" s="1259"/>
      <c r="OB162" s="1259"/>
      <c r="OC162" s="1259"/>
      <c r="OD162" s="1259"/>
      <c r="OE162" s="1259"/>
      <c r="OF162" s="1259"/>
      <c r="OG162" s="1259"/>
      <c r="OH162" s="1259"/>
      <c r="OI162" s="1259"/>
      <c r="OJ162" s="1259"/>
      <c r="OK162" s="1259"/>
      <c r="OL162" s="1259"/>
      <c r="OM162" s="1259"/>
      <c r="ON162" s="1259"/>
      <c r="OO162" s="1259"/>
      <c r="OP162" s="1259"/>
      <c r="OQ162" s="1259"/>
      <c r="OR162" s="1259"/>
      <c r="OS162" s="1259"/>
      <c r="OT162" s="1259"/>
      <c r="OU162" s="1259"/>
      <c r="OV162" s="1259"/>
      <c r="OW162" s="1259"/>
      <c r="OX162" s="1259"/>
      <c r="OY162" s="1259"/>
      <c r="OZ162" s="1259"/>
      <c r="PA162" s="1259"/>
      <c r="PB162" s="1259"/>
      <c r="PC162" s="1259"/>
      <c r="PD162" s="1259"/>
      <c r="PE162" s="1259"/>
      <c r="PF162" s="1259"/>
      <c r="PG162" s="1259"/>
      <c r="PH162" s="1259"/>
      <c r="PI162" s="1259"/>
      <c r="PJ162" s="1259"/>
      <c r="PK162" s="1259"/>
      <c r="PL162" s="1259"/>
      <c r="PM162" s="1259"/>
      <c r="PN162" s="1259"/>
      <c r="PO162" s="1259"/>
      <c r="PP162" s="1259"/>
      <c r="PQ162" s="1259"/>
      <c r="PR162" s="1259"/>
      <c r="PS162" s="1259"/>
      <c r="PT162" s="1259"/>
      <c r="PU162" s="1259"/>
      <c r="PV162" s="1259"/>
      <c r="PW162" s="1259"/>
      <c r="PX162" s="1259"/>
      <c r="PY162" s="1259"/>
      <c r="PZ162" s="1259"/>
      <c r="QA162" s="1259"/>
      <c r="QB162" s="1259"/>
      <c r="QC162" s="1259"/>
      <c r="QD162" s="1259"/>
      <c r="QE162" s="1259"/>
      <c r="QF162" s="1259"/>
      <c r="QG162" s="1259"/>
      <c r="QH162" s="1259"/>
      <c r="QI162" s="1259"/>
      <c r="QJ162" s="1259"/>
      <c r="QK162" s="1259"/>
      <c r="QL162" s="1259"/>
      <c r="QM162" s="1259"/>
      <c r="QN162" s="1259"/>
      <c r="QO162" s="1259"/>
      <c r="QP162" s="1259"/>
      <c r="QQ162" s="1259"/>
      <c r="QR162" s="1259"/>
      <c r="QS162" s="1259"/>
      <c r="QT162" s="1259"/>
      <c r="QU162" s="1259"/>
      <c r="QV162" s="1259"/>
      <c r="QW162" s="1259"/>
      <c r="QX162" s="1259"/>
      <c r="QY162" s="1259"/>
      <c r="QZ162" s="1259"/>
      <c r="RA162" s="1259"/>
      <c r="RB162" s="1259"/>
      <c r="RC162" s="1259"/>
      <c r="RD162" s="1259"/>
      <c r="RE162" s="1259"/>
      <c r="RF162" s="1259"/>
      <c r="RG162" s="1259"/>
      <c r="RH162" s="1259"/>
      <c r="RI162" s="1259"/>
      <c r="RJ162" s="1259"/>
      <c r="RK162" s="1259"/>
      <c r="RL162" s="1259"/>
      <c r="RM162" s="1259"/>
      <c r="RN162" s="1259"/>
      <c r="RO162" s="1259"/>
      <c r="RP162" s="1259"/>
      <c r="RQ162" s="1259"/>
      <c r="RR162" s="1259"/>
      <c r="RS162" s="1259"/>
      <c r="RT162" s="1259"/>
      <c r="RU162" s="1259"/>
      <c r="RV162" s="1259"/>
      <c r="RW162" s="1259"/>
      <c r="RX162" s="1259"/>
      <c r="RY162" s="1259"/>
      <c r="RZ162" s="1259"/>
      <c r="SA162" s="1259"/>
      <c r="SB162" s="1259"/>
      <c r="SC162" s="1259"/>
      <c r="SD162" s="1259"/>
      <c r="SE162" s="1259"/>
      <c r="SF162" s="1259"/>
      <c r="SG162" s="1259"/>
      <c r="SH162" s="1259"/>
      <c r="SI162" s="1259"/>
      <c r="SJ162" s="1259"/>
      <c r="SK162" s="1259"/>
      <c r="SL162" s="1259"/>
      <c r="SM162" s="1259"/>
      <c r="SN162" s="1259"/>
      <c r="SO162" s="1259"/>
      <c r="SP162" s="1259"/>
      <c r="SQ162" s="1259"/>
      <c r="SR162" s="1259"/>
      <c r="SS162" s="1259"/>
      <c r="ST162" s="1259"/>
      <c r="SU162" s="1259"/>
      <c r="SV162" s="1259"/>
      <c r="SW162" s="1259"/>
      <c r="SX162" s="1259"/>
      <c r="SY162" s="1259"/>
      <c r="SZ162" s="1259"/>
      <c r="TA162" s="1259"/>
      <c r="TB162" s="1259"/>
      <c r="TC162" s="1259"/>
      <c r="TD162" s="1259"/>
      <c r="TE162" s="1259"/>
      <c r="TF162" s="1259"/>
      <c r="TG162" s="1259"/>
      <c r="TH162" s="1259"/>
      <c r="TI162" s="1259"/>
      <c r="TJ162" s="1259"/>
      <c r="TK162" s="1259"/>
      <c r="TL162" s="1259"/>
      <c r="TM162" s="1259"/>
      <c r="TN162" s="1259"/>
      <c r="TO162" s="1259"/>
      <c r="TP162" s="1259"/>
      <c r="TQ162" s="1259"/>
      <c r="TR162" s="1259"/>
      <c r="TS162" s="1259"/>
      <c r="TT162" s="1259"/>
      <c r="TU162" s="1259"/>
      <c r="TV162" s="1259"/>
      <c r="TW162" s="1259"/>
      <c r="TX162" s="1259"/>
      <c r="TY162" s="1259"/>
      <c r="TZ162" s="1259"/>
      <c r="UA162" s="1259"/>
      <c r="UB162" s="1259"/>
      <c r="UC162" s="1259"/>
      <c r="UD162" s="1259"/>
      <c r="UE162" s="1259"/>
      <c r="UF162" s="1259"/>
      <c r="UG162" s="1261"/>
    </row>
    <row r="163" spans="1:553" s="1262" customFormat="1" ht="34.5" customHeight="1">
      <c r="A163" s="356"/>
      <c r="B163" s="356"/>
      <c r="C163" s="1472" t="s">
        <v>1062</v>
      </c>
      <c r="D163" s="1389"/>
      <c r="E163" s="1389"/>
      <c r="F163" s="1390"/>
      <c r="G163" s="417" t="s">
        <v>196</v>
      </c>
      <c r="H163" s="370"/>
      <c r="I163" s="422">
        <f>187.14*100/10000*162</f>
        <v>303.16679999999997</v>
      </c>
      <c r="J163" s="368">
        <v>3500</v>
      </c>
      <c r="K163" s="388"/>
      <c r="L163" s="480">
        <f>ROUND(PRODUCT(I163:K163),0)</f>
        <v>1061084</v>
      </c>
      <c r="M163" s="366"/>
      <c r="N163" s="366"/>
      <c r="O163" s="366"/>
      <c r="P163" s="366"/>
      <c r="Q163" s="1136"/>
      <c r="R163" s="1228"/>
      <c r="S163" s="308"/>
      <c r="T163" s="303"/>
      <c r="U163" s="306"/>
      <c r="V163" s="307"/>
      <c r="W163" s="307"/>
      <c r="X163" s="307"/>
      <c r="Y163" s="307"/>
      <c r="Z163" s="307"/>
      <c r="AA163" s="307"/>
      <c r="AB163" s="307"/>
      <c r="AC163" s="449"/>
      <c r="AD163" s="452"/>
      <c r="AE163" s="452"/>
      <c r="AF163" s="452"/>
      <c r="AG163" s="452"/>
      <c r="AH163" s="452"/>
      <c r="AI163" s="452"/>
      <c r="AJ163" s="452"/>
      <c r="AK163" s="452"/>
      <c r="AL163" s="1259"/>
      <c r="AM163" s="1259"/>
      <c r="AN163" s="1259"/>
      <c r="AO163" s="1259"/>
      <c r="AP163" s="1259"/>
      <c r="AQ163" s="1259"/>
      <c r="AR163" s="1259"/>
      <c r="AS163" s="1259"/>
      <c r="AT163" s="1259"/>
      <c r="AU163" s="1259"/>
      <c r="AV163" s="1259"/>
      <c r="AW163" s="1259"/>
      <c r="AX163" s="1259"/>
      <c r="AY163" s="1259"/>
      <c r="AZ163" s="1259"/>
      <c r="BA163" s="1259"/>
      <c r="BB163" s="1259"/>
      <c r="BC163" s="1259"/>
      <c r="BD163" s="1259"/>
      <c r="BE163" s="1259"/>
      <c r="BF163" s="1259"/>
      <c r="BG163" s="1259"/>
      <c r="BH163" s="1259"/>
      <c r="BI163" s="1259"/>
      <c r="BJ163" s="1259"/>
      <c r="BK163" s="1259"/>
      <c r="BL163" s="1259"/>
      <c r="BM163" s="1259"/>
      <c r="BN163" s="1259"/>
      <c r="BO163" s="1259"/>
      <c r="BP163" s="1259"/>
      <c r="BQ163" s="1259"/>
      <c r="BR163" s="1259"/>
      <c r="BS163" s="1259"/>
      <c r="BT163" s="1259"/>
      <c r="BU163" s="1259"/>
      <c r="BV163" s="1259"/>
      <c r="BW163" s="1259"/>
      <c r="BX163" s="1259"/>
      <c r="BY163" s="1259"/>
      <c r="BZ163" s="1259"/>
      <c r="CA163" s="1259"/>
      <c r="CB163" s="1259"/>
      <c r="CC163" s="1259"/>
      <c r="CD163" s="1259"/>
      <c r="CE163" s="1259"/>
      <c r="CF163" s="1259"/>
      <c r="CG163" s="1259"/>
      <c r="CH163" s="1259"/>
      <c r="CI163" s="1259"/>
      <c r="CJ163" s="1259"/>
      <c r="CK163" s="1259"/>
      <c r="CL163" s="1259"/>
      <c r="CM163" s="1259"/>
      <c r="CN163" s="1259"/>
      <c r="CO163" s="1259"/>
      <c r="CP163" s="1259"/>
      <c r="CQ163" s="1259"/>
      <c r="CR163" s="1259"/>
      <c r="CS163" s="1259"/>
      <c r="CT163" s="1259"/>
      <c r="CU163" s="1259"/>
      <c r="CV163" s="1259"/>
      <c r="CW163" s="1259"/>
      <c r="CX163" s="1259"/>
      <c r="CY163" s="1259"/>
      <c r="CZ163" s="1259"/>
      <c r="DA163" s="1259"/>
      <c r="DB163" s="1259"/>
      <c r="DC163" s="1259"/>
      <c r="DD163" s="1259"/>
      <c r="DE163" s="1259"/>
      <c r="DF163" s="1259"/>
      <c r="DG163" s="1259"/>
      <c r="DH163" s="1259"/>
      <c r="DI163" s="1259"/>
      <c r="DJ163" s="1259"/>
      <c r="DK163" s="1259"/>
      <c r="DL163" s="1259"/>
      <c r="DM163" s="1259"/>
      <c r="DN163" s="1259"/>
      <c r="DO163" s="1259"/>
      <c r="DP163" s="1259"/>
      <c r="DQ163" s="1259"/>
      <c r="DR163" s="1259"/>
      <c r="DS163" s="1259"/>
      <c r="DT163" s="1259"/>
      <c r="DU163" s="1259"/>
      <c r="DV163" s="1259"/>
      <c r="DW163" s="1259"/>
      <c r="DX163" s="1259"/>
      <c r="DY163" s="1259"/>
      <c r="DZ163" s="1259"/>
      <c r="EA163" s="1259"/>
      <c r="EB163" s="1259"/>
      <c r="EC163" s="1259"/>
      <c r="ED163" s="1259"/>
      <c r="EE163" s="1259"/>
      <c r="EF163" s="1259"/>
      <c r="EG163" s="1259"/>
      <c r="EH163" s="1259"/>
      <c r="EI163" s="1259"/>
      <c r="EJ163" s="1259"/>
      <c r="EK163" s="1259"/>
      <c r="EL163" s="1259"/>
      <c r="EM163" s="1259"/>
      <c r="EN163" s="1259"/>
      <c r="EO163" s="1259"/>
      <c r="EP163" s="1259"/>
      <c r="EQ163" s="1259"/>
      <c r="ER163" s="1259"/>
      <c r="ES163" s="1259"/>
      <c r="ET163" s="1259"/>
      <c r="EU163" s="1259"/>
      <c r="EV163" s="1259"/>
      <c r="EW163" s="1259"/>
      <c r="EX163" s="1259"/>
      <c r="EY163" s="1259"/>
      <c r="EZ163" s="1259"/>
      <c r="FA163" s="1259"/>
      <c r="FB163" s="1259"/>
      <c r="FC163" s="1259"/>
      <c r="FD163" s="1259"/>
      <c r="FE163" s="1259"/>
      <c r="FF163" s="1259"/>
      <c r="FG163" s="1259"/>
      <c r="FH163" s="1259"/>
      <c r="FI163" s="1259"/>
      <c r="FJ163" s="1259"/>
      <c r="FK163" s="1259"/>
      <c r="FL163" s="1259"/>
      <c r="FM163" s="1259"/>
      <c r="FN163" s="1259"/>
      <c r="FO163" s="1259"/>
      <c r="FP163" s="1259"/>
      <c r="FQ163" s="1259"/>
      <c r="FR163" s="1259"/>
      <c r="FS163" s="1259"/>
      <c r="FT163" s="1259"/>
      <c r="FU163" s="1259"/>
      <c r="FV163" s="1259"/>
      <c r="FW163" s="1259"/>
      <c r="FX163" s="1259"/>
      <c r="FY163" s="1259"/>
      <c r="FZ163" s="1259"/>
      <c r="GA163" s="1259"/>
      <c r="GB163" s="1259"/>
      <c r="GC163" s="1259"/>
      <c r="GD163" s="1259"/>
      <c r="GE163" s="1259"/>
      <c r="GF163" s="1259"/>
      <c r="GG163" s="1259"/>
      <c r="GH163" s="1259"/>
      <c r="GI163" s="1259"/>
      <c r="GJ163" s="1259"/>
      <c r="GK163" s="1259"/>
      <c r="GL163" s="1259"/>
      <c r="GM163" s="1259"/>
      <c r="GN163" s="1259"/>
      <c r="GO163" s="1259"/>
      <c r="GP163" s="1259"/>
      <c r="GQ163" s="1259"/>
      <c r="GR163" s="1259"/>
      <c r="GS163" s="1259"/>
      <c r="GT163" s="1259"/>
      <c r="GU163" s="1259"/>
      <c r="GV163" s="1259"/>
      <c r="GW163" s="1259"/>
      <c r="GX163" s="1259"/>
      <c r="GY163" s="1259"/>
      <c r="GZ163" s="1259"/>
      <c r="HA163" s="1259"/>
      <c r="HB163" s="1259"/>
      <c r="HC163" s="1259"/>
      <c r="HD163" s="1259"/>
      <c r="HE163" s="1259"/>
      <c r="HF163" s="1259"/>
      <c r="HG163" s="1259"/>
      <c r="HH163" s="1259"/>
      <c r="HI163" s="1259"/>
      <c r="HJ163" s="1259"/>
      <c r="HK163" s="1259"/>
      <c r="HL163" s="1259"/>
      <c r="HM163" s="1259"/>
      <c r="HN163" s="1259"/>
      <c r="HO163" s="1259"/>
      <c r="HP163" s="1259"/>
      <c r="HQ163" s="1259"/>
      <c r="HR163" s="1259"/>
      <c r="HS163" s="1259"/>
      <c r="HT163" s="1259"/>
      <c r="HU163" s="1259"/>
      <c r="HV163" s="1259"/>
      <c r="HW163" s="1259"/>
      <c r="HX163" s="1259"/>
      <c r="HY163" s="1259"/>
      <c r="HZ163" s="1259"/>
      <c r="IA163" s="1259"/>
      <c r="IB163" s="1259"/>
      <c r="IC163" s="1259"/>
      <c r="ID163" s="1259"/>
      <c r="IE163" s="1259"/>
      <c r="IF163" s="1259"/>
      <c r="IG163" s="1259"/>
      <c r="IH163" s="1259"/>
      <c r="II163" s="1259"/>
      <c r="IJ163" s="1259"/>
      <c r="IK163" s="1259"/>
      <c r="IL163" s="1259"/>
      <c r="IM163" s="1259"/>
      <c r="IN163" s="1259"/>
      <c r="IO163" s="1259"/>
      <c r="IP163" s="1259"/>
      <c r="IQ163" s="1259"/>
      <c r="IR163" s="1259"/>
      <c r="IS163" s="1259"/>
      <c r="IT163" s="1259"/>
      <c r="IU163" s="1259"/>
      <c r="IV163" s="1259"/>
      <c r="IW163" s="1259"/>
      <c r="IX163" s="1259"/>
      <c r="IY163" s="1259"/>
      <c r="IZ163" s="1259"/>
      <c r="JA163" s="1259"/>
      <c r="JB163" s="1259"/>
      <c r="JC163" s="1259"/>
      <c r="JD163" s="1259"/>
      <c r="JE163" s="1259"/>
      <c r="JF163" s="1259"/>
      <c r="JG163" s="1259"/>
      <c r="JH163" s="1259"/>
      <c r="JI163" s="1259"/>
      <c r="JJ163" s="1259"/>
      <c r="JK163" s="1259"/>
      <c r="JL163" s="1259"/>
      <c r="JM163" s="1259"/>
      <c r="JN163" s="1259"/>
      <c r="JO163" s="1259"/>
      <c r="JP163" s="1259"/>
      <c r="JQ163" s="1259"/>
      <c r="JR163" s="1259"/>
      <c r="JS163" s="1259"/>
      <c r="JT163" s="1259"/>
      <c r="JU163" s="1259"/>
      <c r="JV163" s="1259"/>
      <c r="JW163" s="1259"/>
      <c r="JX163" s="1259"/>
      <c r="JY163" s="1259"/>
      <c r="JZ163" s="1259"/>
      <c r="KA163" s="1259"/>
      <c r="KB163" s="1259"/>
      <c r="KC163" s="1259"/>
      <c r="KD163" s="1259"/>
      <c r="KE163" s="1259"/>
      <c r="KF163" s="1259"/>
      <c r="KG163" s="1259"/>
      <c r="KH163" s="1259"/>
      <c r="KI163" s="1259"/>
      <c r="KJ163" s="1259"/>
      <c r="KK163" s="1259"/>
      <c r="KL163" s="1259"/>
      <c r="KM163" s="1259"/>
      <c r="KN163" s="1259"/>
      <c r="KO163" s="1259"/>
      <c r="KP163" s="1259"/>
      <c r="KQ163" s="1259"/>
      <c r="KR163" s="1259"/>
      <c r="KS163" s="1259"/>
      <c r="KT163" s="1259"/>
      <c r="KU163" s="1259"/>
      <c r="KV163" s="1259"/>
      <c r="KW163" s="1259"/>
      <c r="KX163" s="1259"/>
      <c r="KY163" s="1259"/>
      <c r="KZ163" s="1259"/>
      <c r="LA163" s="1259"/>
      <c r="LB163" s="1259"/>
      <c r="LC163" s="1259"/>
      <c r="LD163" s="1259"/>
      <c r="LE163" s="1259"/>
      <c r="LF163" s="1259"/>
      <c r="LG163" s="1259"/>
      <c r="LH163" s="1259"/>
      <c r="LI163" s="1259"/>
      <c r="LJ163" s="1259"/>
      <c r="LK163" s="1259"/>
      <c r="LL163" s="1259"/>
      <c r="LM163" s="1259"/>
      <c r="LN163" s="1259"/>
      <c r="LO163" s="1259"/>
      <c r="LP163" s="1259"/>
      <c r="LQ163" s="1259"/>
      <c r="LR163" s="1259"/>
      <c r="LS163" s="1259"/>
      <c r="LT163" s="1259"/>
      <c r="LU163" s="1259"/>
      <c r="LV163" s="1259"/>
      <c r="LW163" s="1259"/>
      <c r="LX163" s="1259"/>
      <c r="LY163" s="1259"/>
      <c r="LZ163" s="1259"/>
      <c r="MA163" s="1259"/>
      <c r="MB163" s="1259"/>
      <c r="MC163" s="1259"/>
      <c r="MD163" s="1259"/>
      <c r="ME163" s="1259"/>
      <c r="MF163" s="1259"/>
      <c r="MG163" s="1259"/>
      <c r="MH163" s="1259"/>
      <c r="MI163" s="1259"/>
      <c r="MJ163" s="1259"/>
      <c r="MK163" s="1259"/>
      <c r="ML163" s="1259"/>
      <c r="MM163" s="1259"/>
      <c r="MN163" s="1259"/>
      <c r="MO163" s="1259"/>
      <c r="MP163" s="1259"/>
      <c r="MQ163" s="1259"/>
      <c r="MR163" s="1259"/>
      <c r="MS163" s="1259"/>
      <c r="MT163" s="1259"/>
      <c r="MU163" s="1259"/>
      <c r="MV163" s="1259"/>
      <c r="MW163" s="1259"/>
      <c r="MX163" s="1259"/>
      <c r="MY163" s="1259"/>
      <c r="MZ163" s="1259"/>
      <c r="NA163" s="1259"/>
      <c r="NB163" s="1259"/>
      <c r="NC163" s="1259"/>
      <c r="ND163" s="1259"/>
      <c r="NE163" s="1259"/>
      <c r="NF163" s="1259"/>
      <c r="NG163" s="1259"/>
      <c r="NH163" s="1259"/>
      <c r="NI163" s="1259"/>
      <c r="NJ163" s="1259"/>
      <c r="NK163" s="1259"/>
      <c r="NL163" s="1259"/>
      <c r="NM163" s="1259"/>
      <c r="NN163" s="1259"/>
      <c r="NO163" s="1259"/>
      <c r="NP163" s="1259"/>
      <c r="NQ163" s="1259"/>
      <c r="NR163" s="1259"/>
      <c r="NS163" s="1259"/>
      <c r="NT163" s="1259"/>
      <c r="NU163" s="1259"/>
      <c r="NV163" s="1259"/>
      <c r="NW163" s="1259"/>
      <c r="NX163" s="1259"/>
      <c r="NY163" s="1259"/>
      <c r="NZ163" s="1259"/>
      <c r="OA163" s="1259"/>
      <c r="OB163" s="1259"/>
      <c r="OC163" s="1259"/>
      <c r="OD163" s="1259"/>
      <c r="OE163" s="1259"/>
      <c r="OF163" s="1259"/>
      <c r="OG163" s="1259"/>
      <c r="OH163" s="1259"/>
      <c r="OI163" s="1259"/>
      <c r="OJ163" s="1259"/>
      <c r="OK163" s="1259"/>
      <c r="OL163" s="1259"/>
      <c r="OM163" s="1259"/>
      <c r="ON163" s="1259"/>
      <c r="OO163" s="1259"/>
      <c r="OP163" s="1259"/>
      <c r="OQ163" s="1259"/>
      <c r="OR163" s="1259"/>
      <c r="OS163" s="1259"/>
      <c r="OT163" s="1259"/>
      <c r="OU163" s="1259"/>
      <c r="OV163" s="1259"/>
      <c r="OW163" s="1259"/>
      <c r="OX163" s="1259"/>
      <c r="OY163" s="1259"/>
      <c r="OZ163" s="1259"/>
      <c r="PA163" s="1259"/>
      <c r="PB163" s="1259"/>
      <c r="PC163" s="1259"/>
      <c r="PD163" s="1259"/>
      <c r="PE163" s="1259"/>
      <c r="PF163" s="1259"/>
      <c r="PG163" s="1259"/>
      <c r="PH163" s="1259"/>
      <c r="PI163" s="1259"/>
      <c r="PJ163" s="1259"/>
      <c r="PK163" s="1259"/>
      <c r="PL163" s="1259"/>
      <c r="PM163" s="1259"/>
      <c r="PN163" s="1259"/>
      <c r="PO163" s="1259"/>
      <c r="PP163" s="1259"/>
      <c r="PQ163" s="1259"/>
      <c r="PR163" s="1259"/>
      <c r="PS163" s="1259"/>
      <c r="PT163" s="1259"/>
      <c r="PU163" s="1259"/>
      <c r="PV163" s="1259"/>
      <c r="PW163" s="1259"/>
      <c r="PX163" s="1259"/>
      <c r="PY163" s="1259"/>
      <c r="PZ163" s="1259"/>
      <c r="QA163" s="1259"/>
      <c r="QB163" s="1259"/>
      <c r="QC163" s="1259"/>
      <c r="QD163" s="1259"/>
      <c r="QE163" s="1259"/>
      <c r="QF163" s="1259"/>
      <c r="QG163" s="1259"/>
      <c r="QH163" s="1259"/>
      <c r="QI163" s="1259"/>
      <c r="QJ163" s="1259"/>
      <c r="QK163" s="1259"/>
      <c r="QL163" s="1259"/>
      <c r="QM163" s="1259"/>
      <c r="QN163" s="1259"/>
      <c r="QO163" s="1259"/>
      <c r="QP163" s="1259"/>
      <c r="QQ163" s="1259"/>
      <c r="QR163" s="1259"/>
      <c r="QS163" s="1259"/>
      <c r="QT163" s="1259"/>
      <c r="QU163" s="1259"/>
      <c r="QV163" s="1259"/>
      <c r="QW163" s="1259"/>
      <c r="QX163" s="1259"/>
      <c r="QY163" s="1259"/>
      <c r="QZ163" s="1259"/>
      <c r="RA163" s="1259"/>
      <c r="RB163" s="1259"/>
      <c r="RC163" s="1259"/>
      <c r="RD163" s="1259"/>
      <c r="RE163" s="1259"/>
      <c r="RF163" s="1259"/>
      <c r="RG163" s="1259"/>
      <c r="RH163" s="1259"/>
      <c r="RI163" s="1259"/>
      <c r="RJ163" s="1259"/>
      <c r="RK163" s="1259"/>
      <c r="RL163" s="1259"/>
      <c r="RM163" s="1259"/>
      <c r="RN163" s="1259"/>
      <c r="RO163" s="1259"/>
      <c r="RP163" s="1259"/>
      <c r="RQ163" s="1259"/>
      <c r="RR163" s="1259"/>
      <c r="RS163" s="1259"/>
      <c r="RT163" s="1259"/>
      <c r="RU163" s="1259"/>
      <c r="RV163" s="1259"/>
      <c r="RW163" s="1259"/>
      <c r="RX163" s="1259"/>
      <c r="RY163" s="1259"/>
      <c r="RZ163" s="1259"/>
      <c r="SA163" s="1259"/>
      <c r="SB163" s="1259"/>
      <c r="SC163" s="1259"/>
      <c r="SD163" s="1259"/>
      <c r="SE163" s="1259"/>
      <c r="SF163" s="1259"/>
      <c r="SG163" s="1259"/>
      <c r="SH163" s="1259"/>
      <c r="SI163" s="1259"/>
      <c r="SJ163" s="1259"/>
      <c r="SK163" s="1259"/>
      <c r="SL163" s="1259"/>
      <c r="SM163" s="1259"/>
      <c r="SN163" s="1259"/>
      <c r="SO163" s="1259"/>
      <c r="SP163" s="1259"/>
      <c r="SQ163" s="1259"/>
      <c r="SR163" s="1259"/>
      <c r="SS163" s="1259"/>
      <c r="ST163" s="1259"/>
      <c r="SU163" s="1259"/>
      <c r="SV163" s="1259"/>
      <c r="SW163" s="1259"/>
      <c r="SX163" s="1259"/>
      <c r="SY163" s="1259"/>
      <c r="SZ163" s="1259"/>
      <c r="TA163" s="1259"/>
      <c r="TB163" s="1259"/>
      <c r="TC163" s="1259"/>
      <c r="TD163" s="1259"/>
      <c r="TE163" s="1259"/>
      <c r="TF163" s="1259"/>
      <c r="TG163" s="1259"/>
      <c r="TH163" s="1259"/>
      <c r="TI163" s="1259"/>
      <c r="TJ163" s="1259"/>
      <c r="TK163" s="1259"/>
      <c r="TL163" s="1259"/>
      <c r="TM163" s="1259"/>
      <c r="TN163" s="1259"/>
      <c r="TO163" s="1259"/>
      <c r="TP163" s="1259"/>
      <c r="TQ163" s="1259"/>
      <c r="TR163" s="1259"/>
      <c r="TS163" s="1259"/>
      <c r="TT163" s="1259"/>
      <c r="TU163" s="1259"/>
      <c r="TV163" s="1259"/>
      <c r="TW163" s="1259"/>
      <c r="TX163" s="1259"/>
      <c r="TY163" s="1259"/>
      <c r="TZ163" s="1259"/>
      <c r="UA163" s="1259"/>
      <c r="UB163" s="1259"/>
      <c r="UC163" s="1259"/>
      <c r="UD163" s="1259"/>
      <c r="UE163" s="1259"/>
      <c r="UF163" s="1259"/>
      <c r="UG163" s="1261"/>
    </row>
    <row r="164" spans="1:553" s="236" customFormat="1" ht="54" customHeight="1">
      <c r="A164" s="356" t="s">
        <v>53</v>
      </c>
      <c r="B164" s="356"/>
      <c r="C164" s="1491" t="s">
        <v>203</v>
      </c>
      <c r="D164" s="1389"/>
      <c r="E164" s="1389"/>
      <c r="F164" s="1390"/>
      <c r="G164" s="356"/>
      <c r="H164" s="424"/>
      <c r="I164" s="424"/>
      <c r="J164" s="357"/>
      <c r="K164" s="358"/>
      <c r="L164" s="356">
        <f>L165+L166</f>
        <v>6000000</v>
      </c>
      <c r="M164" s="356"/>
      <c r="N164" s="356"/>
      <c r="O164" s="356"/>
      <c r="P164" s="356">
        <f>L164</f>
        <v>6000000</v>
      </c>
      <c r="Q164" s="610"/>
      <c r="R164" s="1447" t="s">
        <v>1398</v>
      </c>
      <c r="S164" s="308"/>
      <c r="T164" s="303"/>
      <c r="U164" s="306"/>
      <c r="V164" s="307"/>
      <c r="W164" s="307"/>
      <c r="X164" s="307"/>
      <c r="Y164" s="307"/>
      <c r="Z164" s="307"/>
      <c r="AA164" s="307"/>
      <c r="AB164" s="307"/>
      <c r="AC164" s="456"/>
      <c r="AD164" s="456"/>
      <c r="AE164" s="456"/>
      <c r="AF164" s="456"/>
      <c r="AG164" s="456"/>
      <c r="AH164" s="456"/>
      <c r="AI164" s="456"/>
      <c r="AJ164" s="456"/>
      <c r="AK164" s="456"/>
      <c r="AL164" s="298"/>
      <c r="AM164" s="249"/>
      <c r="AN164" s="249"/>
      <c r="AO164" s="249"/>
      <c r="AP164" s="249"/>
      <c r="AQ164" s="249"/>
      <c r="AR164" s="249"/>
      <c r="AS164" s="249"/>
      <c r="AT164" s="250"/>
      <c r="AU164" s="250"/>
      <c r="AV164" s="250"/>
      <c r="AW164" s="250"/>
      <c r="AX164" s="250"/>
      <c r="AY164" s="250"/>
      <c r="AZ164" s="250"/>
      <c r="BA164" s="250"/>
      <c r="BB164" s="250"/>
      <c r="BC164" s="250"/>
      <c r="BD164" s="250"/>
      <c r="BE164" s="250"/>
      <c r="BF164" s="250"/>
      <c r="BG164" s="250"/>
      <c r="BH164" s="250"/>
      <c r="BI164" s="250"/>
      <c r="BJ164" s="250"/>
      <c r="BK164" s="250"/>
      <c r="BL164" s="250"/>
      <c r="BM164" s="250"/>
      <c r="BN164" s="250"/>
      <c r="BO164" s="250"/>
      <c r="BP164" s="251"/>
      <c r="BQ164" s="251"/>
      <c r="BR164" s="251"/>
      <c r="BS164" s="251"/>
      <c r="BT164" s="251"/>
      <c r="BU164" s="251"/>
      <c r="BV164" s="251"/>
      <c r="BW164" s="251"/>
      <c r="BX164" s="251"/>
      <c r="BY164" s="251"/>
      <c r="BZ164" s="251"/>
      <c r="CA164" s="251"/>
      <c r="CB164" s="251"/>
      <c r="CC164" s="251"/>
      <c r="CD164" s="251"/>
      <c r="CE164" s="251"/>
      <c r="CF164" s="251"/>
      <c r="CG164" s="251"/>
      <c r="CH164" s="251"/>
      <c r="CI164" s="251"/>
      <c r="CJ164" s="251"/>
      <c r="CK164" s="251"/>
      <c r="CL164" s="251"/>
      <c r="CM164" s="251"/>
      <c r="CN164" s="251"/>
      <c r="CO164" s="251"/>
      <c r="CP164" s="251"/>
      <c r="CQ164" s="251"/>
      <c r="CR164" s="251"/>
      <c r="CS164" s="251"/>
      <c r="CT164" s="251"/>
      <c r="CU164" s="251"/>
      <c r="CV164" s="251"/>
      <c r="CW164" s="251"/>
      <c r="CX164" s="251"/>
      <c r="CY164" s="251"/>
      <c r="CZ164" s="251"/>
      <c r="DA164" s="251"/>
      <c r="DB164" s="251"/>
      <c r="DC164" s="251"/>
      <c r="DD164" s="251"/>
      <c r="DE164" s="251"/>
      <c r="DF164" s="251"/>
      <c r="DG164" s="251"/>
      <c r="DH164" s="251"/>
      <c r="DI164" s="251"/>
      <c r="DJ164" s="251"/>
      <c r="DK164" s="251"/>
      <c r="DL164" s="251"/>
      <c r="DM164" s="251"/>
      <c r="DN164" s="251"/>
      <c r="DO164" s="251"/>
      <c r="DP164" s="251"/>
      <c r="DQ164" s="251"/>
      <c r="DR164" s="251"/>
      <c r="DS164" s="251"/>
      <c r="DT164" s="251"/>
      <c r="DU164" s="251"/>
      <c r="DV164" s="251"/>
      <c r="DW164" s="251"/>
      <c r="DX164" s="251"/>
      <c r="DY164" s="251"/>
      <c r="DZ164" s="251"/>
      <c r="EA164" s="251"/>
      <c r="EB164" s="251"/>
      <c r="EC164" s="251"/>
      <c r="ED164" s="251"/>
      <c r="EE164" s="251"/>
      <c r="EF164" s="251"/>
      <c r="EG164" s="251"/>
      <c r="EH164" s="251"/>
      <c r="EI164" s="251"/>
      <c r="EJ164" s="251"/>
      <c r="EK164" s="251"/>
      <c r="EL164" s="251"/>
      <c r="EM164" s="251"/>
      <c r="EN164" s="251"/>
      <c r="EO164" s="251"/>
      <c r="EP164" s="251"/>
      <c r="EQ164" s="251"/>
      <c r="ER164" s="251"/>
      <c r="ES164" s="251"/>
      <c r="ET164" s="251"/>
      <c r="EU164" s="251"/>
      <c r="EV164" s="251"/>
      <c r="EW164" s="251"/>
      <c r="EX164" s="251"/>
      <c r="EY164" s="251"/>
      <c r="EZ164" s="251"/>
      <c r="FA164" s="251"/>
      <c r="FB164" s="251"/>
      <c r="FC164" s="251"/>
      <c r="FD164" s="251"/>
      <c r="FE164" s="251"/>
      <c r="FF164" s="251"/>
      <c r="FG164" s="251"/>
      <c r="FH164" s="251"/>
      <c r="FI164" s="251"/>
      <c r="FJ164" s="251"/>
      <c r="FK164" s="251"/>
      <c r="FL164" s="251"/>
      <c r="FM164" s="251"/>
      <c r="FN164" s="251"/>
      <c r="FO164" s="251"/>
      <c r="FP164" s="251"/>
      <c r="FQ164" s="251"/>
      <c r="FR164" s="251"/>
      <c r="FS164" s="251"/>
      <c r="FT164" s="251"/>
      <c r="FU164" s="251"/>
      <c r="FV164" s="251"/>
      <c r="FW164" s="251"/>
      <c r="FX164" s="251"/>
      <c r="FY164" s="251"/>
      <c r="FZ164" s="251"/>
      <c r="GA164" s="251"/>
      <c r="GB164" s="251"/>
      <c r="GC164" s="251"/>
      <c r="GD164" s="251"/>
      <c r="GE164" s="251"/>
      <c r="GF164" s="251"/>
      <c r="GG164" s="251"/>
      <c r="GH164" s="251"/>
      <c r="GI164" s="251"/>
      <c r="GJ164" s="251"/>
      <c r="GK164" s="251"/>
      <c r="GL164" s="251"/>
      <c r="GM164" s="251"/>
      <c r="GN164" s="251"/>
      <c r="GO164" s="251"/>
      <c r="GP164" s="251"/>
      <c r="GQ164" s="251"/>
      <c r="GR164" s="251"/>
      <c r="GS164" s="251"/>
      <c r="GT164" s="251"/>
      <c r="GU164" s="251"/>
      <c r="GV164" s="251"/>
      <c r="GW164" s="251"/>
      <c r="GX164" s="251"/>
      <c r="GY164" s="251"/>
      <c r="GZ164" s="251"/>
      <c r="HA164" s="251"/>
      <c r="HB164" s="251"/>
      <c r="HC164" s="251"/>
      <c r="HD164" s="251"/>
      <c r="HE164" s="251"/>
      <c r="HF164" s="251"/>
      <c r="HG164" s="251"/>
      <c r="HH164" s="251"/>
      <c r="HI164" s="251"/>
      <c r="HJ164" s="251"/>
      <c r="HK164" s="251"/>
      <c r="HL164" s="251"/>
      <c r="HM164" s="251"/>
      <c r="HN164" s="251"/>
      <c r="HO164" s="251"/>
      <c r="HP164" s="251"/>
      <c r="HQ164" s="251"/>
      <c r="HR164" s="251"/>
      <c r="HS164" s="251"/>
      <c r="HT164" s="251"/>
      <c r="HU164" s="251"/>
      <c r="HV164" s="251"/>
      <c r="HW164" s="251"/>
      <c r="HX164" s="251"/>
      <c r="HY164" s="251"/>
      <c r="HZ164" s="251"/>
      <c r="IA164" s="251"/>
      <c r="IB164" s="251"/>
      <c r="IC164" s="251"/>
      <c r="ID164" s="251"/>
      <c r="IE164" s="251"/>
      <c r="IF164" s="251"/>
      <c r="IG164" s="251"/>
      <c r="IH164" s="251"/>
      <c r="II164" s="251"/>
      <c r="IJ164" s="251"/>
      <c r="IK164" s="251"/>
      <c r="IL164" s="251"/>
      <c r="IM164" s="251"/>
      <c r="IN164" s="251"/>
      <c r="IO164" s="251"/>
      <c r="IP164" s="251"/>
      <c r="IQ164" s="251"/>
      <c r="IR164" s="251"/>
      <c r="IS164" s="251"/>
      <c r="IT164" s="251"/>
      <c r="IU164" s="251"/>
      <c r="IV164" s="251"/>
      <c r="IW164" s="251"/>
      <c r="IX164" s="251"/>
      <c r="IY164" s="251"/>
      <c r="IZ164" s="251"/>
      <c r="JA164" s="251"/>
      <c r="JB164" s="251"/>
      <c r="JC164" s="251"/>
      <c r="JD164" s="251"/>
      <c r="JE164" s="251"/>
      <c r="JF164" s="251"/>
      <c r="JG164" s="251"/>
      <c r="JH164" s="251"/>
      <c r="JI164" s="251"/>
      <c r="JJ164" s="251"/>
      <c r="JK164" s="251"/>
      <c r="JL164" s="251"/>
      <c r="JM164" s="251"/>
      <c r="JN164" s="251"/>
      <c r="JO164" s="251"/>
      <c r="JP164" s="251"/>
      <c r="JQ164" s="251"/>
      <c r="JR164" s="251"/>
      <c r="JS164" s="251"/>
      <c r="JT164" s="251"/>
      <c r="JU164" s="251"/>
      <c r="JV164" s="251"/>
      <c r="JW164" s="251"/>
      <c r="JX164" s="251"/>
      <c r="JY164" s="251"/>
      <c r="JZ164" s="251"/>
      <c r="KA164" s="251"/>
      <c r="KB164" s="251"/>
      <c r="KC164" s="251"/>
      <c r="KD164" s="251"/>
      <c r="KE164" s="251"/>
      <c r="KF164" s="251"/>
      <c r="KG164" s="251"/>
      <c r="KH164" s="251"/>
      <c r="KI164" s="251"/>
      <c r="KJ164" s="251"/>
      <c r="KK164" s="251"/>
      <c r="KL164" s="251"/>
      <c r="KM164" s="251"/>
      <c r="KN164" s="251"/>
      <c r="KO164" s="251"/>
      <c r="KP164" s="251"/>
      <c r="KQ164" s="251"/>
      <c r="KR164" s="251"/>
      <c r="KS164" s="251"/>
      <c r="KT164" s="251"/>
      <c r="KU164" s="251"/>
      <c r="KV164" s="251"/>
      <c r="KW164" s="251"/>
      <c r="KX164" s="251"/>
      <c r="KY164" s="251"/>
      <c r="KZ164" s="251"/>
      <c r="LA164" s="251"/>
      <c r="LB164" s="251"/>
      <c r="LC164" s="251"/>
      <c r="LD164" s="251"/>
      <c r="LE164" s="251"/>
      <c r="LF164" s="251"/>
      <c r="LG164" s="251"/>
      <c r="LH164" s="251"/>
      <c r="LI164" s="251"/>
      <c r="LJ164" s="251"/>
      <c r="LK164" s="251"/>
      <c r="LL164" s="251"/>
      <c r="LM164" s="251"/>
      <c r="LN164" s="251"/>
      <c r="LO164" s="251"/>
      <c r="LP164" s="251"/>
      <c r="LQ164" s="251"/>
      <c r="LR164" s="251"/>
      <c r="LS164" s="251"/>
      <c r="LT164" s="251"/>
      <c r="LU164" s="251"/>
      <c r="LV164" s="251"/>
      <c r="LW164" s="251"/>
      <c r="LX164" s="251"/>
      <c r="LY164" s="251"/>
      <c r="LZ164" s="251"/>
      <c r="MA164" s="251"/>
      <c r="MB164" s="251"/>
      <c r="MC164" s="251"/>
      <c r="MD164" s="251"/>
      <c r="ME164" s="251"/>
      <c r="MF164" s="251"/>
      <c r="MG164" s="251"/>
      <c r="MH164" s="251"/>
      <c r="MI164" s="251"/>
      <c r="MJ164" s="251"/>
      <c r="MK164" s="251"/>
      <c r="ML164" s="251"/>
      <c r="MM164" s="251"/>
      <c r="MN164" s="251"/>
      <c r="MO164" s="251"/>
      <c r="MP164" s="251"/>
      <c r="MQ164" s="251"/>
      <c r="MR164" s="251"/>
      <c r="MS164" s="251"/>
      <c r="MT164" s="251"/>
      <c r="MU164" s="251"/>
      <c r="MV164" s="251"/>
      <c r="MW164" s="251"/>
      <c r="MX164" s="251"/>
      <c r="MY164" s="251"/>
      <c r="MZ164" s="251"/>
      <c r="NA164" s="251"/>
      <c r="NB164" s="251"/>
      <c r="NC164" s="251"/>
      <c r="ND164" s="251"/>
      <c r="NE164" s="251"/>
      <c r="NF164" s="251"/>
      <c r="NG164" s="251"/>
      <c r="NH164" s="251"/>
      <c r="NI164" s="251"/>
      <c r="NJ164" s="251"/>
      <c r="NK164" s="251"/>
      <c r="NL164" s="251"/>
      <c r="NM164" s="251"/>
      <c r="NN164" s="251"/>
      <c r="NO164" s="251"/>
      <c r="NP164" s="251"/>
      <c r="NQ164" s="251"/>
      <c r="NR164" s="251"/>
      <c r="NS164" s="251"/>
      <c r="NT164" s="251"/>
      <c r="NU164" s="251"/>
      <c r="NV164" s="251"/>
      <c r="NW164" s="251"/>
      <c r="NX164" s="251"/>
      <c r="NY164" s="251"/>
      <c r="NZ164" s="251"/>
      <c r="OA164" s="251"/>
      <c r="OB164" s="251"/>
      <c r="OC164" s="251"/>
      <c r="OD164" s="251"/>
      <c r="OE164" s="251"/>
      <c r="OF164" s="251"/>
      <c r="OG164" s="251"/>
      <c r="OH164" s="251"/>
      <c r="OI164" s="251"/>
      <c r="OJ164" s="251"/>
      <c r="OK164" s="251"/>
      <c r="OL164" s="251"/>
      <c r="OM164" s="251"/>
      <c r="ON164" s="251"/>
      <c r="OO164" s="251"/>
      <c r="OP164" s="251"/>
      <c r="OQ164" s="251"/>
      <c r="OR164" s="251"/>
      <c r="OS164" s="251"/>
      <c r="OT164" s="251"/>
      <c r="OU164" s="251"/>
      <c r="OV164" s="251"/>
      <c r="OW164" s="251"/>
      <c r="OX164" s="251"/>
      <c r="OY164" s="251"/>
      <c r="OZ164" s="251"/>
      <c r="PA164" s="251"/>
      <c r="PB164" s="251"/>
      <c r="PC164" s="251"/>
      <c r="PD164" s="251"/>
      <c r="PE164" s="251"/>
      <c r="PF164" s="251"/>
      <c r="PG164" s="251"/>
      <c r="PH164" s="251"/>
      <c r="PI164" s="251"/>
      <c r="PJ164" s="251"/>
      <c r="PK164" s="251"/>
      <c r="PL164" s="251"/>
      <c r="PM164" s="251"/>
      <c r="PN164" s="251"/>
      <c r="PO164" s="251"/>
      <c r="PP164" s="251"/>
      <c r="PQ164" s="251"/>
      <c r="PR164" s="251"/>
      <c r="PS164" s="251"/>
      <c r="PT164" s="251"/>
      <c r="PU164" s="251"/>
      <c r="PV164" s="251"/>
      <c r="PW164" s="251"/>
      <c r="PX164" s="251"/>
      <c r="PY164" s="251"/>
      <c r="PZ164" s="251"/>
      <c r="QA164" s="251"/>
      <c r="QB164" s="251"/>
      <c r="QC164" s="251"/>
      <c r="QD164" s="251"/>
      <c r="QE164" s="251"/>
      <c r="QF164" s="251"/>
      <c r="QG164" s="251"/>
      <c r="QH164" s="251"/>
      <c r="QI164" s="251"/>
      <c r="QJ164" s="251"/>
      <c r="QK164" s="251"/>
      <c r="QL164" s="251"/>
      <c r="QM164" s="251"/>
      <c r="QN164" s="251"/>
      <c r="QO164" s="251"/>
      <c r="QP164" s="251"/>
      <c r="QQ164" s="251"/>
      <c r="QR164" s="251"/>
      <c r="QS164" s="251"/>
      <c r="QT164" s="251"/>
      <c r="QU164" s="251"/>
      <c r="QV164" s="251"/>
      <c r="QW164" s="251"/>
      <c r="QX164" s="251"/>
      <c r="QY164" s="251"/>
      <c r="QZ164" s="251"/>
      <c r="RA164" s="251"/>
      <c r="RB164" s="251"/>
      <c r="RC164" s="251"/>
      <c r="RD164" s="251"/>
      <c r="RE164" s="251"/>
      <c r="RF164" s="251"/>
      <c r="RG164" s="251"/>
      <c r="RH164" s="251"/>
      <c r="RI164" s="251"/>
      <c r="RJ164" s="251"/>
      <c r="RK164" s="251"/>
      <c r="RL164" s="251"/>
      <c r="RM164" s="251"/>
      <c r="RN164" s="251"/>
      <c r="RO164" s="251"/>
      <c r="RP164" s="251"/>
      <c r="RQ164" s="251"/>
      <c r="RR164" s="251"/>
      <c r="RS164" s="251"/>
      <c r="RT164" s="251"/>
      <c r="RU164" s="251"/>
      <c r="RV164" s="251"/>
      <c r="RW164" s="251"/>
      <c r="RX164" s="251"/>
      <c r="RY164" s="251"/>
      <c r="RZ164" s="251"/>
      <c r="SA164" s="251"/>
      <c r="SB164" s="251"/>
      <c r="SC164" s="251"/>
      <c r="SD164" s="251"/>
      <c r="SE164" s="251"/>
      <c r="SF164" s="251"/>
      <c r="SG164" s="251"/>
      <c r="SH164" s="251"/>
      <c r="SI164" s="251"/>
      <c r="SJ164" s="251"/>
      <c r="SK164" s="251"/>
      <c r="SL164" s="251"/>
      <c r="SM164" s="251"/>
      <c r="SN164" s="251"/>
      <c r="SO164" s="251"/>
      <c r="SP164" s="251"/>
      <c r="SQ164" s="251"/>
      <c r="SR164" s="251"/>
      <c r="SS164" s="251"/>
      <c r="ST164" s="251"/>
      <c r="SU164" s="251"/>
      <c r="SV164" s="251"/>
      <c r="SW164" s="251"/>
      <c r="SX164" s="251"/>
      <c r="SY164" s="251"/>
      <c r="SZ164" s="251"/>
      <c r="TA164" s="251"/>
      <c r="TB164" s="251"/>
      <c r="TC164" s="251"/>
      <c r="TD164" s="251"/>
      <c r="TE164" s="251"/>
      <c r="TF164" s="251"/>
      <c r="TG164" s="251"/>
      <c r="TH164" s="251"/>
      <c r="TI164" s="251"/>
      <c r="TJ164" s="251"/>
      <c r="TK164" s="251"/>
      <c r="TL164" s="251"/>
      <c r="TM164" s="251"/>
      <c r="TN164" s="251"/>
      <c r="TO164" s="251"/>
      <c r="TP164" s="251"/>
      <c r="TQ164" s="251"/>
      <c r="TR164" s="251"/>
      <c r="TS164" s="251"/>
      <c r="TT164" s="251"/>
      <c r="TU164" s="251"/>
      <c r="TV164" s="251"/>
      <c r="TW164" s="251"/>
      <c r="TX164" s="251"/>
      <c r="TY164" s="251"/>
      <c r="TZ164" s="251"/>
      <c r="UA164" s="251"/>
      <c r="UB164" s="251"/>
      <c r="UC164" s="251"/>
      <c r="UD164" s="251"/>
      <c r="UE164" s="251"/>
      <c r="UF164" s="251"/>
      <c r="UG164" s="252"/>
    </row>
    <row r="165" spans="1:553" s="236" customFormat="1" ht="34.5" customHeight="1">
      <c r="A165" s="356"/>
      <c r="B165" s="356"/>
      <c r="C165" s="1538" t="s">
        <v>56</v>
      </c>
      <c r="D165" s="1389"/>
      <c r="E165" s="1389"/>
      <c r="F165" s="1390"/>
      <c r="G165" s="366" t="s">
        <v>57</v>
      </c>
      <c r="H165" s="417"/>
      <c r="I165" s="417">
        <v>1</v>
      </c>
      <c r="J165" s="368">
        <v>5000000</v>
      </c>
      <c r="K165" s="369"/>
      <c r="L165" s="366">
        <f t="shared" ref="L165:L166" si="36">I165*J165</f>
        <v>5000000</v>
      </c>
      <c r="M165" s="356"/>
      <c r="N165" s="356"/>
      <c r="O165" s="356"/>
      <c r="P165" s="356"/>
      <c r="Q165" s="610"/>
      <c r="R165" s="1452"/>
      <c r="S165" s="308"/>
      <c r="T165" s="303"/>
      <c r="U165" s="306"/>
      <c r="V165" s="307"/>
      <c r="W165" s="307"/>
      <c r="X165" s="307"/>
      <c r="Y165" s="307"/>
      <c r="Z165" s="307"/>
      <c r="AA165" s="307"/>
      <c r="AB165" s="307"/>
      <c r="AC165" s="456"/>
      <c r="AD165" s="456"/>
      <c r="AE165" s="456"/>
      <c r="AF165" s="456"/>
      <c r="AG165" s="456"/>
      <c r="AH165" s="456"/>
      <c r="AI165" s="456"/>
      <c r="AJ165" s="456"/>
      <c r="AK165" s="456"/>
      <c r="AL165" s="298"/>
      <c r="AM165" s="249"/>
      <c r="AN165" s="249"/>
      <c r="AO165" s="249"/>
      <c r="AP165" s="249"/>
      <c r="AQ165" s="249"/>
      <c r="AR165" s="249"/>
      <c r="AS165" s="249"/>
      <c r="AT165" s="250"/>
      <c r="AU165" s="250"/>
      <c r="AV165" s="250"/>
      <c r="AW165" s="250"/>
      <c r="AX165" s="250"/>
      <c r="AY165" s="250"/>
      <c r="AZ165" s="250"/>
      <c r="BA165" s="250"/>
      <c r="BB165" s="250"/>
      <c r="BC165" s="250"/>
      <c r="BD165" s="250"/>
      <c r="BE165" s="250"/>
      <c r="BF165" s="250"/>
      <c r="BG165" s="250"/>
      <c r="BH165" s="250"/>
      <c r="BI165" s="250"/>
      <c r="BJ165" s="250"/>
      <c r="BK165" s="250"/>
      <c r="BL165" s="250"/>
      <c r="BM165" s="250"/>
      <c r="BN165" s="250"/>
      <c r="BO165" s="250"/>
      <c r="BP165" s="251"/>
      <c r="BQ165" s="251"/>
      <c r="BR165" s="251"/>
      <c r="BS165" s="251"/>
      <c r="BT165" s="251"/>
      <c r="BU165" s="251"/>
      <c r="BV165" s="251"/>
      <c r="BW165" s="251"/>
      <c r="BX165" s="251"/>
      <c r="BY165" s="251"/>
      <c r="BZ165" s="251"/>
      <c r="CA165" s="251"/>
      <c r="CB165" s="251"/>
      <c r="CC165" s="251"/>
      <c r="CD165" s="251"/>
      <c r="CE165" s="251"/>
      <c r="CF165" s="251"/>
      <c r="CG165" s="251"/>
      <c r="CH165" s="251"/>
      <c r="CI165" s="251"/>
      <c r="CJ165" s="251"/>
      <c r="CK165" s="251"/>
      <c r="CL165" s="251"/>
      <c r="CM165" s="251"/>
      <c r="CN165" s="251"/>
      <c r="CO165" s="251"/>
      <c r="CP165" s="251"/>
      <c r="CQ165" s="251"/>
      <c r="CR165" s="251"/>
      <c r="CS165" s="251"/>
      <c r="CT165" s="251"/>
      <c r="CU165" s="251"/>
      <c r="CV165" s="251"/>
      <c r="CW165" s="251"/>
      <c r="CX165" s="251"/>
      <c r="CY165" s="251"/>
      <c r="CZ165" s="251"/>
      <c r="DA165" s="251"/>
      <c r="DB165" s="251"/>
      <c r="DC165" s="251"/>
      <c r="DD165" s="251"/>
      <c r="DE165" s="251"/>
      <c r="DF165" s="251"/>
      <c r="DG165" s="251"/>
      <c r="DH165" s="251"/>
      <c r="DI165" s="251"/>
      <c r="DJ165" s="251"/>
      <c r="DK165" s="251"/>
      <c r="DL165" s="251"/>
      <c r="DM165" s="251"/>
      <c r="DN165" s="251"/>
      <c r="DO165" s="251"/>
      <c r="DP165" s="251"/>
      <c r="DQ165" s="251"/>
      <c r="DR165" s="251"/>
      <c r="DS165" s="251"/>
      <c r="DT165" s="251"/>
      <c r="DU165" s="251"/>
      <c r="DV165" s="251"/>
      <c r="DW165" s="251"/>
      <c r="DX165" s="251"/>
      <c r="DY165" s="251"/>
      <c r="DZ165" s="251"/>
      <c r="EA165" s="251"/>
      <c r="EB165" s="251"/>
      <c r="EC165" s="251"/>
      <c r="ED165" s="251"/>
      <c r="EE165" s="251"/>
      <c r="EF165" s="251"/>
      <c r="EG165" s="251"/>
      <c r="EH165" s="251"/>
      <c r="EI165" s="251"/>
      <c r="EJ165" s="251"/>
      <c r="EK165" s="251"/>
      <c r="EL165" s="251"/>
      <c r="EM165" s="251"/>
      <c r="EN165" s="251"/>
      <c r="EO165" s="251"/>
      <c r="EP165" s="251"/>
      <c r="EQ165" s="251"/>
      <c r="ER165" s="251"/>
      <c r="ES165" s="251"/>
      <c r="ET165" s="251"/>
      <c r="EU165" s="251"/>
      <c r="EV165" s="251"/>
      <c r="EW165" s="251"/>
      <c r="EX165" s="251"/>
      <c r="EY165" s="251"/>
      <c r="EZ165" s="251"/>
      <c r="FA165" s="251"/>
      <c r="FB165" s="251"/>
      <c r="FC165" s="251"/>
      <c r="FD165" s="251"/>
      <c r="FE165" s="251"/>
      <c r="FF165" s="251"/>
      <c r="FG165" s="251"/>
      <c r="FH165" s="251"/>
      <c r="FI165" s="251"/>
      <c r="FJ165" s="251"/>
      <c r="FK165" s="251"/>
      <c r="FL165" s="251"/>
      <c r="FM165" s="251"/>
      <c r="FN165" s="251"/>
      <c r="FO165" s="251"/>
      <c r="FP165" s="251"/>
      <c r="FQ165" s="251"/>
      <c r="FR165" s="251"/>
      <c r="FS165" s="251"/>
      <c r="FT165" s="251"/>
      <c r="FU165" s="251"/>
      <c r="FV165" s="251"/>
      <c r="FW165" s="251"/>
      <c r="FX165" s="251"/>
      <c r="FY165" s="251"/>
      <c r="FZ165" s="251"/>
      <c r="GA165" s="251"/>
      <c r="GB165" s="251"/>
      <c r="GC165" s="251"/>
      <c r="GD165" s="251"/>
      <c r="GE165" s="251"/>
      <c r="GF165" s="251"/>
      <c r="GG165" s="251"/>
      <c r="GH165" s="251"/>
      <c r="GI165" s="251"/>
      <c r="GJ165" s="251"/>
      <c r="GK165" s="251"/>
      <c r="GL165" s="251"/>
      <c r="GM165" s="251"/>
      <c r="GN165" s="251"/>
      <c r="GO165" s="251"/>
      <c r="GP165" s="251"/>
      <c r="GQ165" s="251"/>
      <c r="GR165" s="251"/>
      <c r="GS165" s="251"/>
      <c r="GT165" s="251"/>
      <c r="GU165" s="251"/>
      <c r="GV165" s="251"/>
      <c r="GW165" s="251"/>
      <c r="GX165" s="251"/>
      <c r="GY165" s="251"/>
      <c r="GZ165" s="251"/>
      <c r="HA165" s="251"/>
      <c r="HB165" s="251"/>
      <c r="HC165" s="251"/>
      <c r="HD165" s="251"/>
      <c r="HE165" s="251"/>
      <c r="HF165" s="251"/>
      <c r="HG165" s="251"/>
      <c r="HH165" s="251"/>
      <c r="HI165" s="251"/>
      <c r="HJ165" s="251"/>
      <c r="HK165" s="251"/>
      <c r="HL165" s="251"/>
      <c r="HM165" s="251"/>
      <c r="HN165" s="251"/>
      <c r="HO165" s="251"/>
      <c r="HP165" s="251"/>
      <c r="HQ165" s="251"/>
      <c r="HR165" s="251"/>
      <c r="HS165" s="251"/>
      <c r="HT165" s="251"/>
      <c r="HU165" s="251"/>
      <c r="HV165" s="251"/>
      <c r="HW165" s="251"/>
      <c r="HX165" s="251"/>
      <c r="HY165" s="251"/>
      <c r="HZ165" s="251"/>
      <c r="IA165" s="251"/>
      <c r="IB165" s="251"/>
      <c r="IC165" s="251"/>
      <c r="ID165" s="251"/>
      <c r="IE165" s="251"/>
      <c r="IF165" s="251"/>
      <c r="IG165" s="251"/>
      <c r="IH165" s="251"/>
      <c r="II165" s="251"/>
      <c r="IJ165" s="251"/>
      <c r="IK165" s="251"/>
      <c r="IL165" s="251"/>
      <c r="IM165" s="251"/>
      <c r="IN165" s="251"/>
      <c r="IO165" s="251"/>
      <c r="IP165" s="251"/>
      <c r="IQ165" s="251"/>
      <c r="IR165" s="251"/>
      <c r="IS165" s="251"/>
      <c r="IT165" s="251"/>
      <c r="IU165" s="251"/>
      <c r="IV165" s="251"/>
      <c r="IW165" s="251"/>
      <c r="IX165" s="251"/>
      <c r="IY165" s="251"/>
      <c r="IZ165" s="251"/>
      <c r="JA165" s="251"/>
      <c r="JB165" s="251"/>
      <c r="JC165" s="251"/>
      <c r="JD165" s="251"/>
      <c r="JE165" s="251"/>
      <c r="JF165" s="251"/>
      <c r="JG165" s="251"/>
      <c r="JH165" s="251"/>
      <c r="JI165" s="251"/>
      <c r="JJ165" s="251"/>
      <c r="JK165" s="251"/>
      <c r="JL165" s="251"/>
      <c r="JM165" s="251"/>
      <c r="JN165" s="251"/>
      <c r="JO165" s="251"/>
      <c r="JP165" s="251"/>
      <c r="JQ165" s="251"/>
      <c r="JR165" s="251"/>
      <c r="JS165" s="251"/>
      <c r="JT165" s="251"/>
      <c r="JU165" s="251"/>
      <c r="JV165" s="251"/>
      <c r="JW165" s="251"/>
      <c r="JX165" s="251"/>
      <c r="JY165" s="251"/>
      <c r="JZ165" s="251"/>
      <c r="KA165" s="251"/>
      <c r="KB165" s="251"/>
      <c r="KC165" s="251"/>
      <c r="KD165" s="251"/>
      <c r="KE165" s="251"/>
      <c r="KF165" s="251"/>
      <c r="KG165" s="251"/>
      <c r="KH165" s="251"/>
      <c r="KI165" s="251"/>
      <c r="KJ165" s="251"/>
      <c r="KK165" s="251"/>
      <c r="KL165" s="251"/>
      <c r="KM165" s="251"/>
      <c r="KN165" s="251"/>
      <c r="KO165" s="251"/>
      <c r="KP165" s="251"/>
      <c r="KQ165" s="251"/>
      <c r="KR165" s="251"/>
      <c r="KS165" s="251"/>
      <c r="KT165" s="251"/>
      <c r="KU165" s="251"/>
      <c r="KV165" s="251"/>
      <c r="KW165" s="251"/>
      <c r="KX165" s="251"/>
      <c r="KY165" s="251"/>
      <c r="KZ165" s="251"/>
      <c r="LA165" s="251"/>
      <c r="LB165" s="251"/>
      <c r="LC165" s="251"/>
      <c r="LD165" s="251"/>
      <c r="LE165" s="251"/>
      <c r="LF165" s="251"/>
      <c r="LG165" s="251"/>
      <c r="LH165" s="251"/>
      <c r="LI165" s="251"/>
      <c r="LJ165" s="251"/>
      <c r="LK165" s="251"/>
      <c r="LL165" s="251"/>
      <c r="LM165" s="251"/>
      <c r="LN165" s="251"/>
      <c r="LO165" s="251"/>
      <c r="LP165" s="251"/>
      <c r="LQ165" s="251"/>
      <c r="LR165" s="251"/>
      <c r="LS165" s="251"/>
      <c r="LT165" s="251"/>
      <c r="LU165" s="251"/>
      <c r="LV165" s="251"/>
      <c r="LW165" s="251"/>
      <c r="LX165" s="251"/>
      <c r="LY165" s="251"/>
      <c r="LZ165" s="251"/>
      <c r="MA165" s="251"/>
      <c r="MB165" s="251"/>
      <c r="MC165" s="251"/>
      <c r="MD165" s="251"/>
      <c r="ME165" s="251"/>
      <c r="MF165" s="251"/>
      <c r="MG165" s="251"/>
      <c r="MH165" s="251"/>
      <c r="MI165" s="251"/>
      <c r="MJ165" s="251"/>
      <c r="MK165" s="251"/>
      <c r="ML165" s="251"/>
      <c r="MM165" s="251"/>
      <c r="MN165" s="251"/>
      <c r="MO165" s="251"/>
      <c r="MP165" s="251"/>
      <c r="MQ165" s="251"/>
      <c r="MR165" s="251"/>
      <c r="MS165" s="251"/>
      <c r="MT165" s="251"/>
      <c r="MU165" s="251"/>
      <c r="MV165" s="251"/>
      <c r="MW165" s="251"/>
      <c r="MX165" s="251"/>
      <c r="MY165" s="251"/>
      <c r="MZ165" s="251"/>
      <c r="NA165" s="251"/>
      <c r="NB165" s="251"/>
      <c r="NC165" s="251"/>
      <c r="ND165" s="251"/>
      <c r="NE165" s="251"/>
      <c r="NF165" s="251"/>
      <c r="NG165" s="251"/>
      <c r="NH165" s="251"/>
      <c r="NI165" s="251"/>
      <c r="NJ165" s="251"/>
      <c r="NK165" s="251"/>
      <c r="NL165" s="251"/>
      <c r="NM165" s="251"/>
      <c r="NN165" s="251"/>
      <c r="NO165" s="251"/>
      <c r="NP165" s="251"/>
      <c r="NQ165" s="251"/>
      <c r="NR165" s="251"/>
      <c r="NS165" s="251"/>
      <c r="NT165" s="251"/>
      <c r="NU165" s="251"/>
      <c r="NV165" s="251"/>
      <c r="NW165" s="251"/>
      <c r="NX165" s="251"/>
      <c r="NY165" s="251"/>
      <c r="NZ165" s="251"/>
      <c r="OA165" s="251"/>
      <c r="OB165" s="251"/>
      <c r="OC165" s="251"/>
      <c r="OD165" s="251"/>
      <c r="OE165" s="251"/>
      <c r="OF165" s="251"/>
      <c r="OG165" s="251"/>
      <c r="OH165" s="251"/>
      <c r="OI165" s="251"/>
      <c r="OJ165" s="251"/>
      <c r="OK165" s="251"/>
      <c r="OL165" s="251"/>
      <c r="OM165" s="251"/>
      <c r="ON165" s="251"/>
      <c r="OO165" s="251"/>
      <c r="OP165" s="251"/>
      <c r="OQ165" s="251"/>
      <c r="OR165" s="251"/>
      <c r="OS165" s="251"/>
      <c r="OT165" s="251"/>
      <c r="OU165" s="251"/>
      <c r="OV165" s="251"/>
      <c r="OW165" s="251"/>
      <c r="OX165" s="251"/>
      <c r="OY165" s="251"/>
      <c r="OZ165" s="251"/>
      <c r="PA165" s="251"/>
      <c r="PB165" s="251"/>
      <c r="PC165" s="251"/>
      <c r="PD165" s="251"/>
      <c r="PE165" s="251"/>
      <c r="PF165" s="251"/>
      <c r="PG165" s="251"/>
      <c r="PH165" s="251"/>
      <c r="PI165" s="251"/>
      <c r="PJ165" s="251"/>
      <c r="PK165" s="251"/>
      <c r="PL165" s="251"/>
      <c r="PM165" s="251"/>
      <c r="PN165" s="251"/>
      <c r="PO165" s="251"/>
      <c r="PP165" s="251"/>
      <c r="PQ165" s="251"/>
      <c r="PR165" s="251"/>
      <c r="PS165" s="251"/>
      <c r="PT165" s="251"/>
      <c r="PU165" s="251"/>
      <c r="PV165" s="251"/>
      <c r="PW165" s="251"/>
      <c r="PX165" s="251"/>
      <c r="PY165" s="251"/>
      <c r="PZ165" s="251"/>
      <c r="QA165" s="251"/>
      <c r="QB165" s="251"/>
      <c r="QC165" s="251"/>
      <c r="QD165" s="251"/>
      <c r="QE165" s="251"/>
      <c r="QF165" s="251"/>
      <c r="QG165" s="251"/>
      <c r="QH165" s="251"/>
      <c r="QI165" s="251"/>
      <c r="QJ165" s="251"/>
      <c r="QK165" s="251"/>
      <c r="QL165" s="251"/>
      <c r="QM165" s="251"/>
      <c r="QN165" s="251"/>
      <c r="QO165" s="251"/>
      <c r="QP165" s="251"/>
      <c r="QQ165" s="251"/>
      <c r="QR165" s="251"/>
      <c r="QS165" s="251"/>
      <c r="QT165" s="251"/>
      <c r="QU165" s="251"/>
      <c r="QV165" s="251"/>
      <c r="QW165" s="251"/>
      <c r="QX165" s="251"/>
      <c r="QY165" s="251"/>
      <c r="QZ165" s="251"/>
      <c r="RA165" s="251"/>
      <c r="RB165" s="251"/>
      <c r="RC165" s="251"/>
      <c r="RD165" s="251"/>
      <c r="RE165" s="251"/>
      <c r="RF165" s="251"/>
      <c r="RG165" s="251"/>
      <c r="RH165" s="251"/>
      <c r="RI165" s="251"/>
      <c r="RJ165" s="251"/>
      <c r="RK165" s="251"/>
      <c r="RL165" s="251"/>
      <c r="RM165" s="251"/>
      <c r="RN165" s="251"/>
      <c r="RO165" s="251"/>
      <c r="RP165" s="251"/>
      <c r="RQ165" s="251"/>
      <c r="RR165" s="251"/>
      <c r="RS165" s="251"/>
      <c r="RT165" s="251"/>
      <c r="RU165" s="251"/>
      <c r="RV165" s="251"/>
      <c r="RW165" s="251"/>
      <c r="RX165" s="251"/>
      <c r="RY165" s="251"/>
      <c r="RZ165" s="251"/>
      <c r="SA165" s="251"/>
      <c r="SB165" s="251"/>
      <c r="SC165" s="251"/>
      <c r="SD165" s="251"/>
      <c r="SE165" s="251"/>
      <c r="SF165" s="251"/>
      <c r="SG165" s="251"/>
      <c r="SH165" s="251"/>
      <c r="SI165" s="251"/>
      <c r="SJ165" s="251"/>
      <c r="SK165" s="251"/>
      <c r="SL165" s="251"/>
      <c r="SM165" s="251"/>
      <c r="SN165" s="251"/>
      <c r="SO165" s="251"/>
      <c r="SP165" s="251"/>
      <c r="SQ165" s="251"/>
      <c r="SR165" s="251"/>
      <c r="SS165" s="251"/>
      <c r="ST165" s="251"/>
      <c r="SU165" s="251"/>
      <c r="SV165" s="251"/>
      <c r="SW165" s="251"/>
      <c r="SX165" s="251"/>
      <c r="SY165" s="251"/>
      <c r="SZ165" s="251"/>
      <c r="TA165" s="251"/>
      <c r="TB165" s="251"/>
      <c r="TC165" s="251"/>
      <c r="TD165" s="251"/>
      <c r="TE165" s="251"/>
      <c r="TF165" s="251"/>
      <c r="TG165" s="251"/>
      <c r="TH165" s="251"/>
      <c r="TI165" s="251"/>
      <c r="TJ165" s="251"/>
      <c r="TK165" s="251"/>
      <c r="TL165" s="251"/>
      <c r="TM165" s="251"/>
      <c r="TN165" s="251"/>
      <c r="TO165" s="251"/>
      <c r="TP165" s="251"/>
      <c r="TQ165" s="251"/>
      <c r="TR165" s="251"/>
      <c r="TS165" s="251"/>
      <c r="TT165" s="251"/>
      <c r="TU165" s="251"/>
      <c r="TV165" s="251"/>
      <c r="TW165" s="251"/>
      <c r="TX165" s="251"/>
      <c r="TY165" s="251"/>
      <c r="TZ165" s="251"/>
      <c r="UA165" s="251"/>
      <c r="UB165" s="251"/>
      <c r="UC165" s="251"/>
      <c r="UD165" s="251"/>
      <c r="UE165" s="251"/>
      <c r="UF165" s="251"/>
      <c r="UG165" s="252"/>
    </row>
    <row r="166" spans="1:553" s="236" customFormat="1" ht="34.5" customHeight="1">
      <c r="A166" s="356"/>
      <c r="B166" s="356"/>
      <c r="C166" s="1538" t="s">
        <v>204</v>
      </c>
      <c r="D166" s="1389"/>
      <c r="E166" s="1389"/>
      <c r="F166" s="1390"/>
      <c r="G166" s="366" t="s">
        <v>205</v>
      </c>
      <c r="H166" s="417"/>
      <c r="I166" s="417">
        <v>2</v>
      </c>
      <c r="J166" s="368">
        <v>500000</v>
      </c>
      <c r="K166" s="369"/>
      <c r="L166" s="366">
        <f t="shared" si="36"/>
        <v>1000000</v>
      </c>
      <c r="M166" s="356"/>
      <c r="N166" s="356"/>
      <c r="O166" s="356"/>
      <c r="P166" s="356"/>
      <c r="Q166" s="610"/>
      <c r="R166" s="1452"/>
      <c r="S166" s="308"/>
      <c r="T166" s="303"/>
      <c r="U166" s="306"/>
      <c r="V166" s="307"/>
      <c r="W166" s="307"/>
      <c r="X166" s="307"/>
      <c r="Y166" s="307"/>
      <c r="Z166" s="307"/>
      <c r="AA166" s="307"/>
      <c r="AB166" s="307"/>
      <c r="AC166" s="456"/>
      <c r="AD166" s="456"/>
      <c r="AE166" s="456"/>
      <c r="AF166" s="456"/>
      <c r="AG166" s="456"/>
      <c r="AH166" s="456"/>
      <c r="AI166" s="456"/>
      <c r="AJ166" s="456"/>
      <c r="AK166" s="456"/>
      <c r="AL166" s="298"/>
      <c r="AM166" s="249"/>
      <c r="AN166" s="249"/>
      <c r="AO166" s="249"/>
      <c r="AP166" s="249"/>
      <c r="AQ166" s="249"/>
      <c r="AR166" s="249"/>
      <c r="AS166" s="249"/>
      <c r="AT166" s="250"/>
      <c r="AU166" s="250"/>
      <c r="AV166" s="250"/>
      <c r="AW166" s="250"/>
      <c r="AX166" s="250"/>
      <c r="AY166" s="250"/>
      <c r="AZ166" s="250"/>
      <c r="BA166" s="250"/>
      <c r="BB166" s="250"/>
      <c r="BC166" s="250"/>
      <c r="BD166" s="250"/>
      <c r="BE166" s="250"/>
      <c r="BF166" s="250"/>
      <c r="BG166" s="250"/>
      <c r="BH166" s="250"/>
      <c r="BI166" s="250"/>
      <c r="BJ166" s="250"/>
      <c r="BK166" s="250"/>
      <c r="BL166" s="250"/>
      <c r="BM166" s="250"/>
      <c r="BN166" s="250"/>
      <c r="BO166" s="250"/>
      <c r="BP166" s="251"/>
      <c r="BQ166" s="251"/>
      <c r="BR166" s="251"/>
      <c r="BS166" s="251"/>
      <c r="BT166" s="251"/>
      <c r="BU166" s="251"/>
      <c r="BV166" s="251"/>
      <c r="BW166" s="251"/>
      <c r="BX166" s="251"/>
      <c r="BY166" s="251"/>
      <c r="BZ166" s="251"/>
      <c r="CA166" s="251"/>
      <c r="CB166" s="251"/>
      <c r="CC166" s="251"/>
      <c r="CD166" s="251"/>
      <c r="CE166" s="251"/>
      <c r="CF166" s="251"/>
      <c r="CG166" s="251"/>
      <c r="CH166" s="251"/>
      <c r="CI166" s="251"/>
      <c r="CJ166" s="251"/>
      <c r="CK166" s="251"/>
      <c r="CL166" s="251"/>
      <c r="CM166" s="251"/>
      <c r="CN166" s="251"/>
      <c r="CO166" s="251"/>
      <c r="CP166" s="251"/>
      <c r="CQ166" s="251"/>
      <c r="CR166" s="251"/>
      <c r="CS166" s="251"/>
      <c r="CT166" s="251"/>
      <c r="CU166" s="251"/>
      <c r="CV166" s="251"/>
      <c r="CW166" s="251"/>
      <c r="CX166" s="251"/>
      <c r="CY166" s="251"/>
      <c r="CZ166" s="251"/>
      <c r="DA166" s="251"/>
      <c r="DB166" s="251"/>
      <c r="DC166" s="251"/>
      <c r="DD166" s="251"/>
      <c r="DE166" s="251"/>
      <c r="DF166" s="251"/>
      <c r="DG166" s="251"/>
      <c r="DH166" s="251"/>
      <c r="DI166" s="251"/>
      <c r="DJ166" s="251"/>
      <c r="DK166" s="251"/>
      <c r="DL166" s="251"/>
      <c r="DM166" s="251"/>
      <c r="DN166" s="251"/>
      <c r="DO166" s="251"/>
      <c r="DP166" s="251"/>
      <c r="DQ166" s="251"/>
      <c r="DR166" s="251"/>
      <c r="DS166" s="251"/>
      <c r="DT166" s="251"/>
      <c r="DU166" s="251"/>
      <c r="DV166" s="251"/>
      <c r="DW166" s="251"/>
      <c r="DX166" s="251"/>
      <c r="DY166" s="251"/>
      <c r="DZ166" s="251"/>
      <c r="EA166" s="251"/>
      <c r="EB166" s="251"/>
      <c r="EC166" s="251"/>
      <c r="ED166" s="251"/>
      <c r="EE166" s="251"/>
      <c r="EF166" s="251"/>
      <c r="EG166" s="251"/>
      <c r="EH166" s="251"/>
      <c r="EI166" s="251"/>
      <c r="EJ166" s="251"/>
      <c r="EK166" s="251"/>
      <c r="EL166" s="251"/>
      <c r="EM166" s="251"/>
      <c r="EN166" s="251"/>
      <c r="EO166" s="251"/>
      <c r="EP166" s="251"/>
      <c r="EQ166" s="251"/>
      <c r="ER166" s="251"/>
      <c r="ES166" s="251"/>
      <c r="ET166" s="251"/>
      <c r="EU166" s="251"/>
      <c r="EV166" s="251"/>
      <c r="EW166" s="251"/>
      <c r="EX166" s="251"/>
      <c r="EY166" s="251"/>
      <c r="EZ166" s="251"/>
      <c r="FA166" s="251"/>
      <c r="FB166" s="251"/>
      <c r="FC166" s="251"/>
      <c r="FD166" s="251"/>
      <c r="FE166" s="251"/>
      <c r="FF166" s="251"/>
      <c r="FG166" s="251"/>
      <c r="FH166" s="251"/>
      <c r="FI166" s="251"/>
      <c r="FJ166" s="251"/>
      <c r="FK166" s="251"/>
      <c r="FL166" s="251"/>
      <c r="FM166" s="251"/>
      <c r="FN166" s="251"/>
      <c r="FO166" s="251"/>
      <c r="FP166" s="251"/>
      <c r="FQ166" s="251"/>
      <c r="FR166" s="251"/>
      <c r="FS166" s="251"/>
      <c r="FT166" s="251"/>
      <c r="FU166" s="251"/>
      <c r="FV166" s="251"/>
      <c r="FW166" s="251"/>
      <c r="FX166" s="251"/>
      <c r="FY166" s="251"/>
      <c r="FZ166" s="251"/>
      <c r="GA166" s="251"/>
      <c r="GB166" s="251"/>
      <c r="GC166" s="251"/>
      <c r="GD166" s="251"/>
      <c r="GE166" s="251"/>
      <c r="GF166" s="251"/>
      <c r="GG166" s="251"/>
      <c r="GH166" s="251"/>
      <c r="GI166" s="251"/>
      <c r="GJ166" s="251"/>
      <c r="GK166" s="251"/>
      <c r="GL166" s="251"/>
      <c r="GM166" s="251"/>
      <c r="GN166" s="251"/>
      <c r="GO166" s="251"/>
      <c r="GP166" s="251"/>
      <c r="GQ166" s="251"/>
      <c r="GR166" s="251"/>
      <c r="GS166" s="251"/>
      <c r="GT166" s="251"/>
      <c r="GU166" s="251"/>
      <c r="GV166" s="251"/>
      <c r="GW166" s="251"/>
      <c r="GX166" s="251"/>
      <c r="GY166" s="251"/>
      <c r="GZ166" s="251"/>
      <c r="HA166" s="251"/>
      <c r="HB166" s="251"/>
      <c r="HC166" s="251"/>
      <c r="HD166" s="251"/>
      <c r="HE166" s="251"/>
      <c r="HF166" s="251"/>
      <c r="HG166" s="251"/>
      <c r="HH166" s="251"/>
      <c r="HI166" s="251"/>
      <c r="HJ166" s="251"/>
      <c r="HK166" s="251"/>
      <c r="HL166" s="251"/>
      <c r="HM166" s="251"/>
      <c r="HN166" s="251"/>
      <c r="HO166" s="251"/>
      <c r="HP166" s="251"/>
      <c r="HQ166" s="251"/>
      <c r="HR166" s="251"/>
      <c r="HS166" s="251"/>
      <c r="HT166" s="251"/>
      <c r="HU166" s="251"/>
      <c r="HV166" s="251"/>
      <c r="HW166" s="251"/>
      <c r="HX166" s="251"/>
      <c r="HY166" s="251"/>
      <c r="HZ166" s="251"/>
      <c r="IA166" s="251"/>
      <c r="IB166" s="251"/>
      <c r="IC166" s="251"/>
      <c r="ID166" s="251"/>
      <c r="IE166" s="251"/>
      <c r="IF166" s="251"/>
      <c r="IG166" s="251"/>
      <c r="IH166" s="251"/>
      <c r="II166" s="251"/>
      <c r="IJ166" s="251"/>
      <c r="IK166" s="251"/>
      <c r="IL166" s="251"/>
      <c r="IM166" s="251"/>
      <c r="IN166" s="251"/>
      <c r="IO166" s="251"/>
      <c r="IP166" s="251"/>
      <c r="IQ166" s="251"/>
      <c r="IR166" s="251"/>
      <c r="IS166" s="251"/>
      <c r="IT166" s="251"/>
      <c r="IU166" s="251"/>
      <c r="IV166" s="251"/>
      <c r="IW166" s="251"/>
      <c r="IX166" s="251"/>
      <c r="IY166" s="251"/>
      <c r="IZ166" s="251"/>
      <c r="JA166" s="251"/>
      <c r="JB166" s="251"/>
      <c r="JC166" s="251"/>
      <c r="JD166" s="251"/>
      <c r="JE166" s="251"/>
      <c r="JF166" s="251"/>
      <c r="JG166" s="251"/>
      <c r="JH166" s="251"/>
      <c r="JI166" s="251"/>
      <c r="JJ166" s="251"/>
      <c r="JK166" s="251"/>
      <c r="JL166" s="251"/>
      <c r="JM166" s="251"/>
      <c r="JN166" s="251"/>
      <c r="JO166" s="251"/>
      <c r="JP166" s="251"/>
      <c r="JQ166" s="251"/>
      <c r="JR166" s="251"/>
      <c r="JS166" s="251"/>
      <c r="JT166" s="251"/>
      <c r="JU166" s="251"/>
      <c r="JV166" s="251"/>
      <c r="JW166" s="251"/>
      <c r="JX166" s="251"/>
      <c r="JY166" s="251"/>
      <c r="JZ166" s="251"/>
      <c r="KA166" s="251"/>
      <c r="KB166" s="251"/>
      <c r="KC166" s="251"/>
      <c r="KD166" s="251"/>
      <c r="KE166" s="251"/>
      <c r="KF166" s="251"/>
      <c r="KG166" s="251"/>
      <c r="KH166" s="251"/>
      <c r="KI166" s="251"/>
      <c r="KJ166" s="251"/>
      <c r="KK166" s="251"/>
      <c r="KL166" s="251"/>
      <c r="KM166" s="251"/>
      <c r="KN166" s="251"/>
      <c r="KO166" s="251"/>
      <c r="KP166" s="251"/>
      <c r="KQ166" s="251"/>
      <c r="KR166" s="251"/>
      <c r="KS166" s="251"/>
      <c r="KT166" s="251"/>
      <c r="KU166" s="251"/>
      <c r="KV166" s="251"/>
      <c r="KW166" s="251"/>
      <c r="KX166" s="251"/>
      <c r="KY166" s="251"/>
      <c r="KZ166" s="251"/>
      <c r="LA166" s="251"/>
      <c r="LB166" s="251"/>
      <c r="LC166" s="251"/>
      <c r="LD166" s="251"/>
      <c r="LE166" s="251"/>
      <c r="LF166" s="251"/>
      <c r="LG166" s="251"/>
      <c r="LH166" s="251"/>
      <c r="LI166" s="251"/>
      <c r="LJ166" s="251"/>
      <c r="LK166" s="251"/>
      <c r="LL166" s="251"/>
      <c r="LM166" s="251"/>
      <c r="LN166" s="251"/>
      <c r="LO166" s="251"/>
      <c r="LP166" s="251"/>
      <c r="LQ166" s="251"/>
      <c r="LR166" s="251"/>
      <c r="LS166" s="251"/>
      <c r="LT166" s="251"/>
      <c r="LU166" s="251"/>
      <c r="LV166" s="251"/>
      <c r="LW166" s="251"/>
      <c r="LX166" s="251"/>
      <c r="LY166" s="251"/>
      <c r="LZ166" s="251"/>
      <c r="MA166" s="251"/>
      <c r="MB166" s="251"/>
      <c r="MC166" s="251"/>
      <c r="MD166" s="251"/>
      <c r="ME166" s="251"/>
      <c r="MF166" s="251"/>
      <c r="MG166" s="251"/>
      <c r="MH166" s="251"/>
      <c r="MI166" s="251"/>
      <c r="MJ166" s="251"/>
      <c r="MK166" s="251"/>
      <c r="ML166" s="251"/>
      <c r="MM166" s="251"/>
      <c r="MN166" s="251"/>
      <c r="MO166" s="251"/>
      <c r="MP166" s="251"/>
      <c r="MQ166" s="251"/>
      <c r="MR166" s="251"/>
      <c r="MS166" s="251"/>
      <c r="MT166" s="251"/>
      <c r="MU166" s="251"/>
      <c r="MV166" s="251"/>
      <c r="MW166" s="251"/>
      <c r="MX166" s="251"/>
      <c r="MY166" s="251"/>
      <c r="MZ166" s="251"/>
      <c r="NA166" s="251"/>
      <c r="NB166" s="251"/>
      <c r="NC166" s="251"/>
      <c r="ND166" s="251"/>
      <c r="NE166" s="251"/>
      <c r="NF166" s="251"/>
      <c r="NG166" s="251"/>
      <c r="NH166" s="251"/>
      <c r="NI166" s="251"/>
      <c r="NJ166" s="251"/>
      <c r="NK166" s="251"/>
      <c r="NL166" s="251"/>
      <c r="NM166" s="251"/>
      <c r="NN166" s="251"/>
      <c r="NO166" s="251"/>
      <c r="NP166" s="251"/>
      <c r="NQ166" s="251"/>
      <c r="NR166" s="251"/>
      <c r="NS166" s="251"/>
      <c r="NT166" s="251"/>
      <c r="NU166" s="251"/>
      <c r="NV166" s="251"/>
      <c r="NW166" s="251"/>
      <c r="NX166" s="251"/>
      <c r="NY166" s="251"/>
      <c r="NZ166" s="251"/>
      <c r="OA166" s="251"/>
      <c r="OB166" s="251"/>
      <c r="OC166" s="251"/>
      <c r="OD166" s="251"/>
      <c r="OE166" s="251"/>
      <c r="OF166" s="251"/>
      <c r="OG166" s="251"/>
      <c r="OH166" s="251"/>
      <c r="OI166" s="251"/>
      <c r="OJ166" s="251"/>
      <c r="OK166" s="251"/>
      <c r="OL166" s="251"/>
      <c r="OM166" s="251"/>
      <c r="ON166" s="251"/>
      <c r="OO166" s="251"/>
      <c r="OP166" s="251"/>
      <c r="OQ166" s="251"/>
      <c r="OR166" s="251"/>
      <c r="OS166" s="251"/>
      <c r="OT166" s="251"/>
      <c r="OU166" s="251"/>
      <c r="OV166" s="251"/>
      <c r="OW166" s="251"/>
      <c r="OX166" s="251"/>
      <c r="OY166" s="251"/>
      <c r="OZ166" s="251"/>
      <c r="PA166" s="251"/>
      <c r="PB166" s="251"/>
      <c r="PC166" s="251"/>
      <c r="PD166" s="251"/>
      <c r="PE166" s="251"/>
      <c r="PF166" s="251"/>
      <c r="PG166" s="251"/>
      <c r="PH166" s="251"/>
      <c r="PI166" s="251"/>
      <c r="PJ166" s="251"/>
      <c r="PK166" s="251"/>
      <c r="PL166" s="251"/>
      <c r="PM166" s="251"/>
      <c r="PN166" s="251"/>
      <c r="PO166" s="251"/>
      <c r="PP166" s="251"/>
      <c r="PQ166" s="251"/>
      <c r="PR166" s="251"/>
      <c r="PS166" s="251"/>
      <c r="PT166" s="251"/>
      <c r="PU166" s="251"/>
      <c r="PV166" s="251"/>
      <c r="PW166" s="251"/>
      <c r="PX166" s="251"/>
      <c r="PY166" s="251"/>
      <c r="PZ166" s="251"/>
      <c r="QA166" s="251"/>
      <c r="QB166" s="251"/>
      <c r="QC166" s="251"/>
      <c r="QD166" s="251"/>
      <c r="QE166" s="251"/>
      <c r="QF166" s="251"/>
      <c r="QG166" s="251"/>
      <c r="QH166" s="251"/>
      <c r="QI166" s="251"/>
      <c r="QJ166" s="251"/>
      <c r="QK166" s="251"/>
      <c r="QL166" s="251"/>
      <c r="QM166" s="251"/>
      <c r="QN166" s="251"/>
      <c r="QO166" s="251"/>
      <c r="QP166" s="251"/>
      <c r="QQ166" s="251"/>
      <c r="QR166" s="251"/>
      <c r="QS166" s="251"/>
      <c r="QT166" s="251"/>
      <c r="QU166" s="251"/>
      <c r="QV166" s="251"/>
      <c r="QW166" s="251"/>
      <c r="QX166" s="251"/>
      <c r="QY166" s="251"/>
      <c r="QZ166" s="251"/>
      <c r="RA166" s="251"/>
      <c r="RB166" s="251"/>
      <c r="RC166" s="251"/>
      <c r="RD166" s="251"/>
      <c r="RE166" s="251"/>
      <c r="RF166" s="251"/>
      <c r="RG166" s="251"/>
      <c r="RH166" s="251"/>
      <c r="RI166" s="251"/>
      <c r="RJ166" s="251"/>
      <c r="RK166" s="251"/>
      <c r="RL166" s="251"/>
      <c r="RM166" s="251"/>
      <c r="RN166" s="251"/>
      <c r="RO166" s="251"/>
      <c r="RP166" s="251"/>
      <c r="RQ166" s="251"/>
      <c r="RR166" s="251"/>
      <c r="RS166" s="251"/>
      <c r="RT166" s="251"/>
      <c r="RU166" s="251"/>
      <c r="RV166" s="251"/>
      <c r="RW166" s="251"/>
      <c r="RX166" s="251"/>
      <c r="RY166" s="251"/>
      <c r="RZ166" s="251"/>
      <c r="SA166" s="251"/>
      <c r="SB166" s="251"/>
      <c r="SC166" s="251"/>
      <c r="SD166" s="251"/>
      <c r="SE166" s="251"/>
      <c r="SF166" s="251"/>
      <c r="SG166" s="251"/>
      <c r="SH166" s="251"/>
      <c r="SI166" s="251"/>
      <c r="SJ166" s="251"/>
      <c r="SK166" s="251"/>
      <c r="SL166" s="251"/>
      <c r="SM166" s="251"/>
      <c r="SN166" s="251"/>
      <c r="SO166" s="251"/>
      <c r="SP166" s="251"/>
      <c r="SQ166" s="251"/>
      <c r="SR166" s="251"/>
      <c r="SS166" s="251"/>
      <c r="ST166" s="251"/>
      <c r="SU166" s="251"/>
      <c r="SV166" s="251"/>
      <c r="SW166" s="251"/>
      <c r="SX166" s="251"/>
      <c r="SY166" s="251"/>
      <c r="SZ166" s="251"/>
      <c r="TA166" s="251"/>
      <c r="TB166" s="251"/>
      <c r="TC166" s="251"/>
      <c r="TD166" s="251"/>
      <c r="TE166" s="251"/>
      <c r="TF166" s="251"/>
      <c r="TG166" s="251"/>
      <c r="TH166" s="251"/>
      <c r="TI166" s="251"/>
      <c r="TJ166" s="251"/>
      <c r="TK166" s="251"/>
      <c r="TL166" s="251"/>
      <c r="TM166" s="251"/>
      <c r="TN166" s="251"/>
      <c r="TO166" s="251"/>
      <c r="TP166" s="251"/>
      <c r="TQ166" s="251"/>
      <c r="TR166" s="251"/>
      <c r="TS166" s="251"/>
      <c r="TT166" s="251"/>
      <c r="TU166" s="251"/>
      <c r="TV166" s="251"/>
      <c r="TW166" s="251"/>
      <c r="TX166" s="251"/>
      <c r="TY166" s="251"/>
      <c r="TZ166" s="251"/>
      <c r="UA166" s="251"/>
      <c r="UB166" s="251"/>
      <c r="UC166" s="251"/>
      <c r="UD166" s="251"/>
      <c r="UE166" s="251"/>
      <c r="UF166" s="251"/>
      <c r="UG166" s="252"/>
    </row>
    <row r="167" spans="1:553" s="236" customFormat="1" ht="105" customHeight="1">
      <c r="A167" s="356" t="s">
        <v>58</v>
      </c>
      <c r="B167" s="356"/>
      <c r="C167" s="1558" t="s">
        <v>59</v>
      </c>
      <c r="D167" s="1389"/>
      <c r="E167" s="1389"/>
      <c r="F167" s="1390"/>
      <c r="G167" s="366"/>
      <c r="H167" s="370"/>
      <c r="I167" s="370"/>
      <c r="J167" s="368"/>
      <c r="K167" s="371"/>
      <c r="L167" s="356">
        <f>SUM(L168:L179)</f>
        <v>359454500</v>
      </c>
      <c r="M167" s="356"/>
      <c r="N167" s="356"/>
      <c r="O167" s="356"/>
      <c r="P167" s="356">
        <f>L167</f>
        <v>359454500</v>
      </c>
      <c r="Q167" s="1224"/>
      <c r="R167" s="1226" t="s">
        <v>928</v>
      </c>
      <c r="S167" s="308"/>
      <c r="T167" s="303"/>
      <c r="U167" s="306"/>
      <c r="V167" s="307"/>
      <c r="W167" s="307"/>
      <c r="X167" s="307"/>
      <c r="Y167" s="307"/>
      <c r="Z167" s="307"/>
      <c r="AA167" s="307"/>
      <c r="AB167" s="307"/>
      <c r="AC167" s="449"/>
      <c r="AD167" s="449"/>
      <c r="AE167" s="449"/>
      <c r="AF167" s="449"/>
      <c r="AG167" s="449"/>
      <c r="AH167" s="449"/>
      <c r="AI167" s="449"/>
      <c r="AJ167" s="449"/>
      <c r="AK167" s="452"/>
      <c r="AL167" s="242"/>
      <c r="AM167" s="241"/>
      <c r="AN167" s="241"/>
      <c r="AO167" s="241"/>
      <c r="AP167" s="241"/>
      <c r="AQ167" s="241"/>
      <c r="AR167" s="241"/>
      <c r="AS167" s="238"/>
      <c r="AT167" s="238"/>
      <c r="AU167" s="238"/>
      <c r="AV167" s="238"/>
      <c r="AW167" s="238"/>
      <c r="AX167" s="238"/>
      <c r="AY167" s="238"/>
      <c r="AZ167" s="238"/>
      <c r="BA167" s="238"/>
      <c r="BB167" s="238"/>
      <c r="BC167" s="238"/>
      <c r="BD167" s="238"/>
      <c r="BE167" s="238"/>
      <c r="BF167" s="238"/>
      <c r="BG167" s="238"/>
      <c r="BH167" s="238"/>
      <c r="BI167" s="238"/>
      <c r="BJ167" s="238"/>
      <c r="BK167" s="238"/>
      <c r="BL167" s="238"/>
      <c r="BM167" s="238"/>
      <c r="BN167" s="238"/>
      <c r="BO167" s="238"/>
      <c r="BP167" s="239"/>
      <c r="BQ167" s="239"/>
      <c r="BR167" s="239"/>
      <c r="BS167" s="239"/>
      <c r="BT167" s="239"/>
      <c r="BU167" s="239"/>
      <c r="BV167" s="239"/>
      <c r="BW167" s="239"/>
      <c r="BX167" s="239"/>
      <c r="BY167" s="239"/>
      <c r="BZ167" s="239"/>
      <c r="CA167" s="239"/>
      <c r="CB167" s="239"/>
      <c r="CC167" s="239"/>
      <c r="CD167" s="239"/>
      <c r="CE167" s="239"/>
      <c r="CF167" s="239"/>
      <c r="CG167" s="239"/>
      <c r="CH167" s="239"/>
      <c r="CI167" s="239"/>
      <c r="CJ167" s="239"/>
      <c r="CK167" s="239"/>
      <c r="CL167" s="239"/>
      <c r="CM167" s="239"/>
      <c r="CN167" s="239"/>
      <c r="CO167" s="239"/>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239"/>
      <c r="DL167" s="239"/>
      <c r="DM167" s="239"/>
      <c r="DN167" s="239"/>
      <c r="DO167" s="239"/>
      <c r="DP167" s="239"/>
      <c r="DQ167" s="239"/>
      <c r="DR167" s="239"/>
      <c r="DS167" s="239"/>
      <c r="DT167" s="239"/>
      <c r="DU167" s="239"/>
      <c r="DV167" s="239"/>
      <c r="DW167" s="239"/>
      <c r="DX167" s="239"/>
      <c r="DY167" s="239"/>
      <c r="DZ167" s="239"/>
      <c r="EA167" s="239"/>
      <c r="EB167" s="239"/>
      <c r="EC167" s="239"/>
      <c r="ED167" s="239"/>
      <c r="EE167" s="239"/>
      <c r="EF167" s="239"/>
      <c r="EG167" s="239"/>
      <c r="EH167" s="239"/>
      <c r="EI167" s="239"/>
      <c r="EJ167" s="239"/>
      <c r="EK167" s="239"/>
      <c r="EL167" s="239"/>
      <c r="EM167" s="239"/>
      <c r="EN167" s="239"/>
      <c r="EO167" s="239"/>
      <c r="EP167" s="239"/>
      <c r="EQ167" s="239"/>
      <c r="ER167" s="239"/>
      <c r="ES167" s="239"/>
      <c r="ET167" s="239"/>
      <c r="EU167" s="239"/>
      <c r="EV167" s="239"/>
      <c r="EW167" s="239"/>
      <c r="EX167" s="239"/>
      <c r="EY167" s="239"/>
      <c r="EZ167" s="239"/>
      <c r="FA167" s="239"/>
      <c r="FB167" s="239"/>
      <c r="FC167" s="239"/>
      <c r="FD167" s="239"/>
      <c r="FE167" s="239"/>
      <c r="FF167" s="239"/>
      <c r="FG167" s="239"/>
      <c r="FH167" s="239"/>
      <c r="FI167" s="239"/>
      <c r="FJ167" s="239"/>
      <c r="FK167" s="239"/>
      <c r="FL167" s="239"/>
      <c r="FM167" s="239"/>
      <c r="FN167" s="239"/>
      <c r="FO167" s="239"/>
      <c r="FP167" s="239"/>
      <c r="FQ167" s="239"/>
      <c r="FR167" s="239"/>
      <c r="FS167" s="239"/>
      <c r="FT167" s="239"/>
      <c r="FU167" s="239"/>
      <c r="FV167" s="239"/>
      <c r="FW167" s="239"/>
      <c r="FX167" s="239"/>
      <c r="FY167" s="239"/>
      <c r="FZ167" s="239"/>
      <c r="GA167" s="239"/>
      <c r="GB167" s="239"/>
      <c r="GC167" s="239"/>
      <c r="GD167" s="239"/>
      <c r="GE167" s="239"/>
      <c r="GF167" s="239"/>
      <c r="GG167" s="239"/>
      <c r="GH167" s="239"/>
      <c r="GI167" s="239"/>
      <c r="GJ167" s="239"/>
      <c r="GK167" s="239"/>
      <c r="GL167" s="239"/>
      <c r="GM167" s="239"/>
      <c r="GN167" s="239"/>
      <c r="GO167" s="239"/>
      <c r="GP167" s="239"/>
      <c r="GQ167" s="239"/>
      <c r="GR167" s="239"/>
      <c r="GS167" s="239"/>
      <c r="GT167" s="239"/>
      <c r="GU167" s="239"/>
      <c r="GV167" s="239"/>
      <c r="GW167" s="239"/>
      <c r="GX167" s="239"/>
      <c r="GY167" s="239"/>
      <c r="GZ167" s="239"/>
      <c r="HA167" s="239"/>
      <c r="HB167" s="239"/>
      <c r="HC167" s="239"/>
      <c r="HD167" s="239"/>
      <c r="HE167" s="239"/>
      <c r="HF167" s="239"/>
      <c r="HG167" s="239"/>
      <c r="HH167" s="239"/>
      <c r="HI167" s="239"/>
      <c r="HJ167" s="239"/>
      <c r="HK167" s="239"/>
      <c r="HL167" s="239"/>
      <c r="HM167" s="239"/>
      <c r="HN167" s="239"/>
      <c r="HO167" s="239"/>
      <c r="HP167" s="239"/>
      <c r="HQ167" s="239"/>
      <c r="HR167" s="239"/>
      <c r="HS167" s="239"/>
      <c r="HT167" s="239"/>
      <c r="HU167" s="239"/>
      <c r="HV167" s="239"/>
      <c r="HW167" s="239"/>
      <c r="HX167" s="239"/>
      <c r="HY167" s="239"/>
      <c r="HZ167" s="239"/>
      <c r="IA167" s="239"/>
      <c r="IB167" s="239"/>
      <c r="IC167" s="239"/>
      <c r="ID167" s="239"/>
      <c r="IE167" s="239"/>
      <c r="IF167" s="239"/>
      <c r="IG167" s="239"/>
      <c r="IH167" s="239"/>
      <c r="II167" s="239"/>
      <c r="IJ167" s="239"/>
      <c r="IK167" s="239"/>
      <c r="IL167" s="239"/>
      <c r="IM167" s="239"/>
      <c r="IN167" s="239"/>
      <c r="IO167" s="239"/>
      <c r="IP167" s="239"/>
      <c r="IQ167" s="239"/>
      <c r="IR167" s="239"/>
      <c r="IS167" s="239"/>
      <c r="IT167" s="239"/>
      <c r="IU167" s="239"/>
      <c r="IV167" s="239"/>
      <c r="IW167" s="239"/>
      <c r="IX167" s="239"/>
      <c r="IY167" s="239"/>
      <c r="IZ167" s="239"/>
      <c r="JA167" s="239"/>
      <c r="JB167" s="239"/>
      <c r="JC167" s="239"/>
      <c r="JD167" s="239"/>
      <c r="JE167" s="239"/>
      <c r="JF167" s="239"/>
      <c r="JG167" s="239"/>
      <c r="JH167" s="239"/>
      <c r="JI167" s="239"/>
      <c r="JJ167" s="239"/>
      <c r="JK167" s="239"/>
      <c r="JL167" s="239"/>
      <c r="JM167" s="239"/>
      <c r="JN167" s="239"/>
      <c r="JO167" s="239"/>
      <c r="JP167" s="239"/>
      <c r="JQ167" s="239"/>
      <c r="JR167" s="239"/>
      <c r="JS167" s="239"/>
      <c r="JT167" s="239"/>
      <c r="JU167" s="239"/>
      <c r="JV167" s="239"/>
      <c r="JW167" s="239"/>
      <c r="JX167" s="239"/>
      <c r="JY167" s="239"/>
      <c r="JZ167" s="239"/>
      <c r="KA167" s="239"/>
      <c r="KB167" s="239"/>
      <c r="KC167" s="239"/>
      <c r="KD167" s="239"/>
      <c r="KE167" s="239"/>
      <c r="KF167" s="239"/>
      <c r="KG167" s="239"/>
      <c r="KH167" s="239"/>
      <c r="KI167" s="239"/>
      <c r="KJ167" s="239"/>
      <c r="KK167" s="239"/>
      <c r="KL167" s="239"/>
      <c r="KM167" s="239"/>
      <c r="KN167" s="239"/>
      <c r="KO167" s="239"/>
      <c r="KP167" s="239"/>
      <c r="KQ167" s="239"/>
      <c r="KR167" s="239"/>
      <c r="KS167" s="239"/>
      <c r="KT167" s="239"/>
      <c r="KU167" s="239"/>
      <c r="KV167" s="239"/>
      <c r="KW167" s="239"/>
      <c r="KX167" s="239"/>
      <c r="KY167" s="239"/>
      <c r="KZ167" s="239"/>
      <c r="LA167" s="239"/>
      <c r="LB167" s="239"/>
      <c r="LC167" s="239"/>
      <c r="LD167" s="239"/>
      <c r="LE167" s="239"/>
      <c r="LF167" s="239"/>
      <c r="LG167" s="239"/>
      <c r="LH167" s="239"/>
      <c r="LI167" s="239"/>
      <c r="LJ167" s="239"/>
      <c r="LK167" s="239"/>
      <c r="LL167" s="239"/>
      <c r="LM167" s="239"/>
      <c r="LN167" s="239"/>
      <c r="LO167" s="239"/>
      <c r="LP167" s="239"/>
      <c r="LQ167" s="239"/>
      <c r="LR167" s="239"/>
      <c r="LS167" s="239"/>
      <c r="LT167" s="239"/>
      <c r="LU167" s="239"/>
      <c r="LV167" s="239"/>
      <c r="LW167" s="239"/>
      <c r="LX167" s="239"/>
      <c r="LY167" s="239"/>
      <c r="LZ167" s="239"/>
      <c r="MA167" s="239"/>
      <c r="MB167" s="239"/>
      <c r="MC167" s="239"/>
      <c r="MD167" s="239"/>
      <c r="ME167" s="239"/>
      <c r="MF167" s="239"/>
      <c r="MG167" s="239"/>
      <c r="MH167" s="239"/>
      <c r="MI167" s="239"/>
      <c r="MJ167" s="239"/>
      <c r="MK167" s="239"/>
      <c r="ML167" s="239"/>
      <c r="MM167" s="239"/>
      <c r="MN167" s="239"/>
      <c r="MO167" s="239"/>
      <c r="MP167" s="239"/>
      <c r="MQ167" s="239"/>
      <c r="MR167" s="239"/>
      <c r="MS167" s="239"/>
      <c r="MT167" s="239"/>
      <c r="MU167" s="239"/>
      <c r="MV167" s="239"/>
      <c r="MW167" s="239"/>
      <c r="MX167" s="239"/>
      <c r="MY167" s="239"/>
      <c r="MZ167" s="239"/>
      <c r="NA167" s="239"/>
      <c r="NB167" s="239"/>
      <c r="NC167" s="239"/>
      <c r="ND167" s="239"/>
      <c r="NE167" s="239"/>
      <c r="NF167" s="239"/>
      <c r="NG167" s="239"/>
      <c r="NH167" s="239"/>
      <c r="NI167" s="239"/>
      <c r="NJ167" s="239"/>
      <c r="NK167" s="239"/>
      <c r="NL167" s="239"/>
      <c r="NM167" s="239"/>
      <c r="NN167" s="239"/>
      <c r="NO167" s="239"/>
      <c r="NP167" s="239"/>
      <c r="NQ167" s="239"/>
      <c r="NR167" s="239"/>
      <c r="NS167" s="239"/>
      <c r="NT167" s="239"/>
      <c r="NU167" s="239"/>
      <c r="NV167" s="239"/>
      <c r="NW167" s="239"/>
      <c r="NX167" s="239"/>
      <c r="NY167" s="239"/>
      <c r="NZ167" s="239"/>
      <c r="OA167" s="239"/>
      <c r="OB167" s="239"/>
      <c r="OC167" s="239"/>
      <c r="OD167" s="239"/>
      <c r="OE167" s="239"/>
      <c r="OF167" s="239"/>
      <c r="OG167" s="239"/>
      <c r="OH167" s="239"/>
      <c r="OI167" s="239"/>
      <c r="OJ167" s="239"/>
      <c r="OK167" s="239"/>
      <c r="OL167" s="239"/>
      <c r="OM167" s="239"/>
      <c r="ON167" s="239"/>
      <c r="OO167" s="239"/>
      <c r="OP167" s="239"/>
      <c r="OQ167" s="239"/>
      <c r="OR167" s="239"/>
      <c r="OS167" s="239"/>
      <c r="OT167" s="239"/>
      <c r="OU167" s="239"/>
      <c r="OV167" s="239"/>
      <c r="OW167" s="239"/>
      <c r="OX167" s="239"/>
      <c r="OY167" s="239"/>
      <c r="OZ167" s="239"/>
      <c r="PA167" s="239"/>
      <c r="PB167" s="239"/>
      <c r="PC167" s="239"/>
      <c r="PD167" s="239"/>
      <c r="PE167" s="239"/>
      <c r="PF167" s="239"/>
      <c r="PG167" s="239"/>
      <c r="PH167" s="239"/>
      <c r="PI167" s="239"/>
      <c r="PJ167" s="239"/>
      <c r="PK167" s="239"/>
      <c r="PL167" s="239"/>
      <c r="PM167" s="239"/>
      <c r="PN167" s="239"/>
      <c r="PO167" s="239"/>
      <c r="PP167" s="239"/>
      <c r="PQ167" s="239"/>
      <c r="PR167" s="239"/>
      <c r="PS167" s="239"/>
      <c r="PT167" s="239"/>
      <c r="PU167" s="239"/>
      <c r="PV167" s="239"/>
      <c r="PW167" s="239"/>
      <c r="PX167" s="239"/>
      <c r="PY167" s="239"/>
      <c r="PZ167" s="239"/>
      <c r="QA167" s="239"/>
      <c r="QB167" s="239"/>
      <c r="QC167" s="239"/>
      <c r="QD167" s="239"/>
      <c r="QE167" s="239"/>
      <c r="QF167" s="239"/>
      <c r="QG167" s="239"/>
      <c r="QH167" s="239"/>
      <c r="QI167" s="239"/>
      <c r="QJ167" s="239"/>
      <c r="QK167" s="239"/>
      <c r="QL167" s="239"/>
      <c r="QM167" s="239"/>
      <c r="QN167" s="239"/>
      <c r="QO167" s="239"/>
      <c r="QP167" s="239"/>
      <c r="QQ167" s="239"/>
      <c r="QR167" s="239"/>
      <c r="QS167" s="239"/>
      <c r="QT167" s="239"/>
      <c r="QU167" s="239"/>
      <c r="QV167" s="239"/>
      <c r="QW167" s="239"/>
      <c r="QX167" s="239"/>
      <c r="QY167" s="239"/>
      <c r="QZ167" s="239"/>
      <c r="RA167" s="239"/>
      <c r="RB167" s="239"/>
      <c r="RC167" s="239"/>
      <c r="RD167" s="239"/>
      <c r="RE167" s="239"/>
      <c r="RF167" s="239"/>
      <c r="RG167" s="239"/>
      <c r="RH167" s="239"/>
      <c r="RI167" s="239"/>
      <c r="RJ167" s="239"/>
      <c r="RK167" s="239"/>
      <c r="RL167" s="239"/>
      <c r="RM167" s="239"/>
      <c r="RN167" s="239"/>
      <c r="RO167" s="239"/>
      <c r="RP167" s="239"/>
      <c r="RQ167" s="239"/>
      <c r="RR167" s="239"/>
      <c r="RS167" s="239"/>
      <c r="RT167" s="239"/>
      <c r="RU167" s="239"/>
      <c r="RV167" s="239"/>
      <c r="RW167" s="239"/>
      <c r="RX167" s="239"/>
      <c r="RY167" s="239"/>
      <c r="RZ167" s="239"/>
      <c r="SA167" s="239"/>
      <c r="SB167" s="239"/>
      <c r="SC167" s="239"/>
      <c r="SD167" s="239"/>
      <c r="SE167" s="239"/>
      <c r="SF167" s="239"/>
      <c r="SG167" s="239"/>
      <c r="SH167" s="239"/>
      <c r="SI167" s="239"/>
      <c r="SJ167" s="239"/>
      <c r="SK167" s="239"/>
      <c r="SL167" s="239"/>
      <c r="SM167" s="239"/>
      <c r="SN167" s="239"/>
      <c r="SO167" s="239"/>
      <c r="SP167" s="239"/>
      <c r="SQ167" s="239"/>
      <c r="SR167" s="239"/>
      <c r="SS167" s="239"/>
      <c r="ST167" s="239"/>
      <c r="SU167" s="239"/>
      <c r="SV167" s="239"/>
      <c r="SW167" s="239"/>
      <c r="SX167" s="239"/>
      <c r="SY167" s="239"/>
      <c r="SZ167" s="239"/>
      <c r="TA167" s="239"/>
      <c r="TB167" s="239"/>
      <c r="TC167" s="239"/>
      <c r="TD167" s="239"/>
      <c r="TE167" s="239"/>
      <c r="TF167" s="239"/>
      <c r="TG167" s="239"/>
      <c r="TH167" s="239"/>
      <c r="TI167" s="239"/>
      <c r="TJ167" s="239"/>
      <c r="TK167" s="239"/>
      <c r="TL167" s="239"/>
      <c r="TM167" s="239"/>
      <c r="TN167" s="239"/>
      <c r="TO167" s="239"/>
      <c r="TP167" s="239"/>
      <c r="TQ167" s="239"/>
      <c r="TR167" s="239"/>
      <c r="TS167" s="239"/>
      <c r="TT167" s="239"/>
      <c r="TU167" s="239"/>
      <c r="TV167" s="239"/>
      <c r="TW167" s="239"/>
      <c r="TX167" s="239"/>
      <c r="TY167" s="239"/>
      <c r="TZ167" s="239"/>
      <c r="UA167" s="239"/>
      <c r="UB167" s="239"/>
      <c r="UC167" s="239"/>
      <c r="UD167" s="239"/>
      <c r="UE167" s="239"/>
      <c r="UF167" s="239"/>
      <c r="UG167" s="240"/>
    </row>
    <row r="168" spans="1:553" s="236" customFormat="1" ht="27.75" customHeight="1">
      <c r="A168" s="445" t="s">
        <v>15</v>
      </c>
      <c r="B168" s="445"/>
      <c r="C168" s="384" t="s">
        <v>69</v>
      </c>
      <c r="D168" s="376" t="s">
        <v>20</v>
      </c>
      <c r="E168" s="376" t="s">
        <v>129</v>
      </c>
      <c r="F168" s="379">
        <v>1</v>
      </c>
      <c r="G168" s="386" t="s">
        <v>935</v>
      </c>
      <c r="H168" s="478"/>
      <c r="I168" s="417">
        <v>15.9</v>
      </c>
      <c r="J168" s="477">
        <v>62000</v>
      </c>
      <c r="K168" s="479">
        <v>2.5</v>
      </c>
      <c r="L168" s="480">
        <f t="shared" ref="L168:L179" si="37">PRODUCT(I168:K168)</f>
        <v>2464500</v>
      </c>
      <c r="M168" s="480"/>
      <c r="N168" s="480"/>
      <c r="O168" s="480"/>
      <c r="P168" s="1127"/>
      <c r="Q168" s="1137"/>
      <c r="R168" s="1139"/>
      <c r="S168" s="308"/>
      <c r="T168" s="303"/>
      <c r="U168" s="306"/>
      <c r="V168" s="307"/>
      <c r="W168" s="307"/>
      <c r="X168" s="307"/>
      <c r="Y168" s="307"/>
      <c r="Z168" s="307"/>
      <c r="AA168" s="307"/>
      <c r="AB168" s="307"/>
      <c r="AC168" s="306"/>
      <c r="AD168" s="308"/>
      <c r="AE168" s="308"/>
      <c r="AF168" s="308"/>
      <c r="AG168" s="308"/>
      <c r="AH168" s="308"/>
      <c r="AI168" s="308"/>
      <c r="AJ168" s="308"/>
      <c r="AK168" s="308"/>
      <c r="AL168" s="347"/>
      <c r="AM168" s="268"/>
      <c r="AN168" s="268"/>
      <c r="AO168" s="268"/>
      <c r="AP168" s="268"/>
      <c r="AQ168" s="268"/>
      <c r="AR168" s="268"/>
      <c r="AS168" s="268"/>
      <c r="AT168" s="268"/>
      <c r="AU168" s="268"/>
      <c r="AV168" s="268"/>
      <c r="AW168" s="268"/>
      <c r="AX168" s="268"/>
      <c r="AY168" s="268"/>
      <c r="AZ168" s="268"/>
      <c r="BA168" s="268"/>
      <c r="BB168" s="268"/>
      <c r="BC168" s="268"/>
      <c r="BD168" s="268"/>
      <c r="BE168" s="268"/>
      <c r="BF168" s="268"/>
      <c r="BG168" s="268"/>
      <c r="BH168" s="268"/>
      <c r="BI168" s="268"/>
      <c r="BJ168" s="268"/>
      <c r="BK168" s="268"/>
      <c r="BL168" s="268"/>
      <c r="BM168" s="268"/>
      <c r="BN168" s="268"/>
      <c r="BO168" s="268"/>
      <c r="BP168" s="268"/>
      <c r="BQ168" s="268"/>
      <c r="BR168" s="268"/>
      <c r="BS168" s="268"/>
      <c r="BT168" s="268"/>
      <c r="BU168" s="268"/>
      <c r="BV168" s="268"/>
      <c r="BW168" s="268"/>
      <c r="BX168" s="268"/>
      <c r="BY168" s="268"/>
      <c r="BZ168" s="268"/>
      <c r="CA168" s="268"/>
      <c r="CB168" s="268"/>
      <c r="CC168" s="268"/>
      <c r="CD168" s="268"/>
      <c r="CE168" s="268"/>
      <c r="CF168" s="268"/>
      <c r="CG168" s="268"/>
      <c r="CH168" s="268"/>
      <c r="CI168" s="268"/>
      <c r="CJ168" s="268"/>
      <c r="CK168" s="268"/>
      <c r="CL168" s="268"/>
      <c r="CM168" s="268"/>
      <c r="CN168" s="268"/>
      <c r="CO168" s="268"/>
      <c r="CP168" s="268"/>
      <c r="CQ168" s="268"/>
      <c r="CR168" s="268"/>
      <c r="CS168" s="268"/>
      <c r="CT168" s="268"/>
      <c r="CU168" s="268"/>
      <c r="CV168" s="268"/>
      <c r="CW168" s="268"/>
      <c r="CX168" s="268"/>
      <c r="CY168" s="268"/>
      <c r="CZ168" s="268"/>
      <c r="DA168" s="268"/>
      <c r="DB168" s="268"/>
      <c r="DC168" s="268"/>
      <c r="DD168" s="268"/>
      <c r="DE168" s="268"/>
      <c r="DF168" s="268"/>
      <c r="DG168" s="268"/>
      <c r="DH168" s="268"/>
      <c r="DI168" s="268"/>
      <c r="DJ168" s="268"/>
      <c r="DK168" s="268"/>
      <c r="DL168" s="268"/>
      <c r="DM168" s="268"/>
      <c r="DN168" s="268"/>
      <c r="DO168" s="268"/>
      <c r="DP168" s="268"/>
      <c r="DQ168" s="268"/>
      <c r="DR168" s="268"/>
      <c r="DS168" s="268"/>
      <c r="DT168" s="268"/>
      <c r="DU168" s="268"/>
      <c r="DV168" s="268"/>
      <c r="DW168" s="268"/>
      <c r="DX168" s="268"/>
      <c r="DY168" s="268"/>
      <c r="DZ168" s="268"/>
      <c r="EA168" s="268"/>
      <c r="EB168" s="268"/>
      <c r="EC168" s="268"/>
      <c r="ED168" s="268"/>
      <c r="EE168" s="268"/>
      <c r="EF168" s="268"/>
      <c r="EG168" s="268"/>
      <c r="EH168" s="268"/>
      <c r="EI168" s="268"/>
      <c r="EJ168" s="268"/>
      <c r="EK168" s="268"/>
      <c r="EL168" s="268"/>
      <c r="EM168" s="268"/>
      <c r="EN168" s="268"/>
      <c r="EO168" s="268"/>
      <c r="EP168" s="268"/>
      <c r="EQ168" s="268"/>
      <c r="ER168" s="268"/>
      <c r="ES168" s="268"/>
      <c r="ET168" s="268"/>
      <c r="EU168" s="268"/>
      <c r="EV168" s="268"/>
      <c r="EW168" s="268"/>
      <c r="EX168" s="268"/>
      <c r="EY168" s="268"/>
      <c r="EZ168" s="268"/>
      <c r="FA168" s="268"/>
      <c r="FB168" s="268"/>
      <c r="FC168" s="268"/>
      <c r="FD168" s="268"/>
      <c r="FE168" s="268"/>
      <c r="FF168" s="268"/>
      <c r="FG168" s="268"/>
      <c r="FH168" s="268"/>
      <c r="FI168" s="268"/>
      <c r="FJ168" s="268"/>
      <c r="FK168" s="268"/>
      <c r="FL168" s="268"/>
      <c r="FM168" s="268"/>
      <c r="FN168" s="268"/>
      <c r="FO168" s="268"/>
      <c r="FP168" s="268"/>
      <c r="FQ168" s="268"/>
      <c r="FR168" s="268"/>
      <c r="FS168" s="268"/>
      <c r="FT168" s="268"/>
      <c r="FU168" s="268"/>
      <c r="FV168" s="268"/>
      <c r="FW168" s="268"/>
      <c r="FX168" s="268"/>
      <c r="FY168" s="268"/>
      <c r="FZ168" s="268"/>
      <c r="GA168" s="268"/>
      <c r="GB168" s="268"/>
      <c r="GC168" s="268"/>
      <c r="GD168" s="268"/>
      <c r="GE168" s="268"/>
      <c r="GF168" s="268"/>
      <c r="GG168" s="268"/>
      <c r="GH168" s="268"/>
      <c r="GI168" s="268"/>
      <c r="GJ168" s="268"/>
      <c r="GK168" s="268"/>
      <c r="GL168" s="268"/>
      <c r="GM168" s="268"/>
      <c r="GN168" s="268"/>
      <c r="GO168" s="268"/>
      <c r="GP168" s="268"/>
      <c r="GQ168" s="268"/>
      <c r="GR168" s="268"/>
      <c r="GS168" s="268"/>
      <c r="GT168" s="268"/>
      <c r="GU168" s="268"/>
      <c r="GV168" s="268"/>
      <c r="GW168" s="268"/>
      <c r="GX168" s="268"/>
      <c r="GY168" s="268"/>
      <c r="GZ168" s="268"/>
      <c r="HA168" s="268"/>
      <c r="HB168" s="268"/>
      <c r="HC168" s="268"/>
      <c r="HD168" s="268"/>
      <c r="HE168" s="268"/>
      <c r="HF168" s="268"/>
      <c r="HG168" s="268"/>
      <c r="HH168" s="268"/>
      <c r="HI168" s="268"/>
      <c r="HJ168" s="268"/>
      <c r="HK168" s="268"/>
      <c r="HL168" s="268"/>
      <c r="HM168" s="268"/>
      <c r="HN168" s="268"/>
      <c r="HO168" s="268"/>
      <c r="HP168" s="268"/>
      <c r="HQ168" s="268"/>
      <c r="HR168" s="268"/>
      <c r="HS168" s="268"/>
      <c r="HT168" s="268"/>
      <c r="HU168" s="268"/>
      <c r="HV168" s="268"/>
      <c r="HW168" s="268"/>
      <c r="HX168" s="268"/>
      <c r="HY168" s="268"/>
      <c r="HZ168" s="268"/>
      <c r="IA168" s="268"/>
      <c r="IB168" s="268"/>
      <c r="IC168" s="268"/>
      <c r="ID168" s="268"/>
      <c r="IE168" s="268"/>
      <c r="IF168" s="268"/>
      <c r="IG168" s="268"/>
      <c r="IH168" s="268"/>
      <c r="II168" s="268"/>
      <c r="IJ168" s="268"/>
      <c r="IK168" s="268"/>
      <c r="IL168" s="268"/>
      <c r="IM168" s="268"/>
      <c r="IN168" s="268"/>
      <c r="IO168" s="268"/>
      <c r="IP168" s="268"/>
      <c r="IQ168" s="268"/>
      <c r="IR168" s="268"/>
      <c r="IS168" s="268"/>
      <c r="IT168" s="268"/>
      <c r="IU168" s="268"/>
      <c r="IV168" s="268"/>
      <c r="IW168" s="268"/>
      <c r="IX168" s="268"/>
      <c r="IY168" s="268"/>
      <c r="IZ168" s="268"/>
      <c r="JA168" s="268"/>
      <c r="JB168" s="268"/>
      <c r="JC168" s="268"/>
      <c r="JD168" s="268"/>
      <c r="JE168" s="268"/>
      <c r="JF168" s="268"/>
      <c r="JG168" s="268"/>
      <c r="JH168" s="268"/>
      <c r="JI168" s="268"/>
      <c r="JJ168" s="268"/>
      <c r="JK168" s="268"/>
      <c r="JL168" s="268"/>
      <c r="JM168" s="268"/>
      <c r="JN168" s="268"/>
      <c r="JO168" s="268"/>
      <c r="JP168" s="268"/>
      <c r="JQ168" s="268"/>
      <c r="JR168" s="268"/>
      <c r="JS168" s="268"/>
      <c r="JT168" s="268"/>
      <c r="JU168" s="268"/>
      <c r="JV168" s="268"/>
      <c r="JW168" s="268"/>
      <c r="JX168" s="268"/>
      <c r="JY168" s="268"/>
      <c r="JZ168" s="268"/>
      <c r="KA168" s="268"/>
      <c r="KB168" s="268"/>
      <c r="KC168" s="268"/>
      <c r="KD168" s="268"/>
      <c r="KE168" s="268"/>
      <c r="KF168" s="268"/>
      <c r="KG168" s="268"/>
      <c r="KH168" s="268"/>
      <c r="KI168" s="268"/>
      <c r="KJ168" s="268"/>
      <c r="KK168" s="268"/>
      <c r="KL168" s="268"/>
      <c r="KM168" s="268"/>
      <c r="KN168" s="268"/>
      <c r="KO168" s="268"/>
      <c r="KP168" s="268"/>
      <c r="KQ168" s="268"/>
      <c r="KR168" s="268"/>
      <c r="KS168" s="268"/>
      <c r="KT168" s="268"/>
      <c r="KU168" s="268"/>
      <c r="KV168" s="268"/>
      <c r="KW168" s="268"/>
      <c r="KX168" s="268"/>
      <c r="KY168" s="268"/>
      <c r="KZ168" s="268"/>
      <c r="LA168" s="268"/>
      <c r="LB168" s="268"/>
      <c r="LC168" s="268"/>
      <c r="LD168" s="268"/>
      <c r="LE168" s="268"/>
      <c r="LF168" s="268"/>
      <c r="LG168" s="268"/>
      <c r="LH168" s="268"/>
      <c r="LI168" s="268"/>
      <c r="LJ168" s="268"/>
      <c r="LK168" s="268"/>
      <c r="LL168" s="268"/>
      <c r="LM168" s="268"/>
      <c r="LN168" s="268"/>
      <c r="LO168" s="268"/>
      <c r="LP168" s="268"/>
      <c r="LQ168" s="268"/>
      <c r="LR168" s="268"/>
      <c r="LS168" s="268"/>
      <c r="LT168" s="268"/>
      <c r="LU168" s="268"/>
      <c r="LV168" s="268"/>
      <c r="LW168" s="268"/>
      <c r="LX168" s="268"/>
      <c r="LY168" s="268"/>
      <c r="LZ168" s="268"/>
      <c r="MA168" s="268"/>
      <c r="MB168" s="268"/>
      <c r="MC168" s="268"/>
      <c r="MD168" s="268"/>
      <c r="ME168" s="268"/>
      <c r="MF168" s="268"/>
      <c r="MG168" s="268"/>
      <c r="MH168" s="268"/>
      <c r="MI168" s="268"/>
      <c r="MJ168" s="268"/>
      <c r="MK168" s="268"/>
      <c r="ML168" s="268"/>
      <c r="MM168" s="268"/>
      <c r="MN168" s="268"/>
      <c r="MO168" s="268"/>
      <c r="MP168" s="268"/>
      <c r="MQ168" s="268"/>
      <c r="MR168" s="268"/>
      <c r="MS168" s="268"/>
      <c r="MT168" s="268"/>
      <c r="MU168" s="268"/>
      <c r="MV168" s="268"/>
      <c r="MW168" s="268"/>
      <c r="MX168" s="268"/>
      <c r="MY168" s="268"/>
      <c r="MZ168" s="268"/>
      <c r="NA168" s="268"/>
      <c r="NB168" s="268"/>
      <c r="NC168" s="268"/>
      <c r="ND168" s="268"/>
      <c r="NE168" s="268"/>
      <c r="NF168" s="268"/>
      <c r="NG168" s="268"/>
      <c r="NH168" s="268"/>
      <c r="NI168" s="268"/>
      <c r="NJ168" s="268"/>
      <c r="NK168" s="268"/>
      <c r="NL168" s="268"/>
      <c r="NM168" s="268"/>
      <c r="NN168" s="268"/>
      <c r="NO168" s="268"/>
      <c r="NP168" s="268"/>
      <c r="NQ168" s="268"/>
      <c r="NR168" s="268"/>
      <c r="NS168" s="268"/>
      <c r="NT168" s="268"/>
      <c r="NU168" s="268"/>
      <c r="NV168" s="268"/>
      <c r="NW168" s="268"/>
      <c r="NX168" s="268"/>
      <c r="NY168" s="268"/>
      <c r="NZ168" s="268"/>
      <c r="OA168" s="268"/>
      <c r="OB168" s="268"/>
      <c r="OC168" s="268"/>
      <c r="OD168" s="268"/>
      <c r="OE168" s="268"/>
      <c r="OF168" s="268"/>
      <c r="OG168" s="268"/>
      <c r="OH168" s="268"/>
      <c r="OI168" s="268"/>
      <c r="OJ168" s="268"/>
      <c r="OK168" s="268"/>
      <c r="OL168" s="268"/>
      <c r="OM168" s="268"/>
      <c r="ON168" s="268"/>
      <c r="OO168" s="268"/>
      <c r="OP168" s="268"/>
      <c r="OQ168" s="268"/>
      <c r="OR168" s="268"/>
      <c r="OS168" s="268"/>
      <c r="OT168" s="268"/>
      <c r="OU168" s="268"/>
      <c r="OV168" s="268"/>
      <c r="OW168" s="268"/>
      <c r="OX168" s="268"/>
      <c r="OY168" s="268"/>
      <c r="OZ168" s="268"/>
      <c r="PA168" s="268"/>
      <c r="PB168" s="268"/>
      <c r="PC168" s="268"/>
      <c r="PD168" s="268"/>
      <c r="PE168" s="268"/>
      <c r="PF168" s="268"/>
      <c r="PG168" s="268"/>
      <c r="PH168" s="268"/>
      <c r="PI168" s="268"/>
      <c r="PJ168" s="268"/>
      <c r="PK168" s="268"/>
      <c r="PL168" s="268"/>
      <c r="PM168" s="268"/>
      <c r="PN168" s="268"/>
      <c r="PO168" s="268"/>
      <c r="PP168" s="268"/>
      <c r="PQ168" s="268"/>
      <c r="PR168" s="268"/>
      <c r="PS168" s="268"/>
      <c r="PT168" s="268"/>
      <c r="PU168" s="268"/>
      <c r="PV168" s="268"/>
      <c r="PW168" s="268"/>
      <c r="PX168" s="268"/>
      <c r="PY168" s="268"/>
      <c r="PZ168" s="268"/>
      <c r="QA168" s="268"/>
      <c r="QB168" s="268"/>
      <c r="QC168" s="268"/>
      <c r="QD168" s="268"/>
      <c r="QE168" s="268"/>
      <c r="QF168" s="268"/>
      <c r="QG168" s="268"/>
      <c r="QH168" s="268"/>
      <c r="QI168" s="268"/>
      <c r="QJ168" s="268"/>
      <c r="QK168" s="268"/>
      <c r="QL168" s="268"/>
      <c r="QM168" s="268"/>
      <c r="QN168" s="268"/>
      <c r="QO168" s="268"/>
      <c r="QP168" s="268"/>
      <c r="QQ168" s="268"/>
      <c r="QR168" s="268"/>
      <c r="QS168" s="268"/>
      <c r="QT168" s="268"/>
      <c r="QU168" s="268"/>
      <c r="QV168" s="268"/>
      <c r="QW168" s="268"/>
      <c r="QX168" s="268"/>
      <c r="QY168" s="268"/>
      <c r="QZ168" s="268"/>
      <c r="RA168" s="268"/>
      <c r="RB168" s="268"/>
      <c r="RC168" s="268"/>
      <c r="RD168" s="268"/>
      <c r="RE168" s="268"/>
      <c r="RF168" s="268"/>
      <c r="RG168" s="268"/>
      <c r="RH168" s="268"/>
      <c r="RI168" s="268"/>
      <c r="RJ168" s="268"/>
      <c r="RK168" s="268"/>
      <c r="RL168" s="268"/>
      <c r="RM168" s="268"/>
      <c r="RN168" s="268"/>
      <c r="RO168" s="268"/>
      <c r="RP168" s="268"/>
      <c r="RQ168" s="268"/>
      <c r="RR168" s="268"/>
      <c r="RS168" s="268"/>
      <c r="RT168" s="268"/>
      <c r="RU168" s="268"/>
      <c r="RV168" s="268"/>
      <c r="RW168" s="268"/>
      <c r="RX168" s="268"/>
      <c r="RY168" s="268"/>
      <c r="RZ168" s="268"/>
      <c r="SA168" s="268"/>
      <c r="SB168" s="268"/>
      <c r="SC168" s="268"/>
      <c r="SD168" s="268"/>
      <c r="SE168" s="268"/>
      <c r="SF168" s="268"/>
      <c r="SG168" s="268"/>
      <c r="SH168" s="268"/>
      <c r="SI168" s="268"/>
      <c r="SJ168" s="268"/>
      <c r="SK168" s="268"/>
      <c r="SL168" s="268"/>
      <c r="SM168" s="268"/>
      <c r="SN168" s="268"/>
      <c r="SO168" s="268"/>
      <c r="SP168" s="268"/>
      <c r="SQ168" s="268"/>
      <c r="SR168" s="268"/>
      <c r="SS168" s="268"/>
      <c r="ST168" s="268"/>
      <c r="SU168" s="268"/>
      <c r="SV168" s="268"/>
      <c r="SW168" s="268"/>
      <c r="SX168" s="268"/>
      <c r="SY168" s="268"/>
      <c r="SZ168" s="268"/>
      <c r="TA168" s="268"/>
      <c r="TB168" s="268"/>
      <c r="TC168" s="268"/>
      <c r="TD168" s="268"/>
      <c r="TE168" s="268"/>
      <c r="TF168" s="268"/>
      <c r="TG168" s="268"/>
      <c r="TH168" s="268"/>
      <c r="TI168" s="268"/>
      <c r="TJ168" s="268"/>
      <c r="TK168" s="268"/>
      <c r="TL168" s="268"/>
      <c r="TM168" s="268"/>
      <c r="TN168" s="268"/>
      <c r="TO168" s="268"/>
      <c r="TP168" s="268"/>
      <c r="TQ168" s="268"/>
      <c r="TR168" s="268"/>
      <c r="TS168" s="268"/>
      <c r="TT168" s="268"/>
      <c r="TU168" s="268"/>
      <c r="TV168" s="268"/>
      <c r="TW168" s="268"/>
      <c r="TX168" s="268"/>
      <c r="TY168" s="268"/>
      <c r="TZ168" s="268"/>
      <c r="UA168" s="268"/>
      <c r="UB168" s="268"/>
      <c r="UC168" s="268"/>
      <c r="UD168" s="268"/>
      <c r="UE168" s="268"/>
      <c r="UF168" s="268"/>
      <c r="UG168" s="269"/>
    </row>
    <row r="169" spans="1:553" s="236" customFormat="1" ht="27.75" customHeight="1">
      <c r="A169" s="445"/>
      <c r="B169" s="445"/>
      <c r="C169" s="384" t="s">
        <v>69</v>
      </c>
      <c r="D169" s="376" t="s">
        <v>20</v>
      </c>
      <c r="E169" s="376" t="s">
        <v>131</v>
      </c>
      <c r="F169" s="379">
        <v>1</v>
      </c>
      <c r="G169" s="386" t="s">
        <v>935</v>
      </c>
      <c r="H169" s="478"/>
      <c r="I169" s="417">
        <v>91.8</v>
      </c>
      <c r="J169" s="477">
        <v>62000</v>
      </c>
      <c r="K169" s="479">
        <v>2.5</v>
      </c>
      <c r="L169" s="480">
        <f t="shared" si="37"/>
        <v>14229000</v>
      </c>
      <c r="M169" s="480"/>
      <c r="N169" s="480"/>
      <c r="O169" s="480"/>
      <c r="P169" s="1127"/>
      <c r="Q169" s="1229"/>
      <c r="R169" s="1139"/>
      <c r="S169" s="308"/>
      <c r="T169" s="303"/>
      <c r="U169" s="306"/>
      <c r="V169" s="307"/>
      <c r="W169" s="307"/>
      <c r="X169" s="307"/>
      <c r="Y169" s="307"/>
      <c r="Z169" s="307"/>
      <c r="AA169" s="307"/>
      <c r="AB169" s="307"/>
      <c r="AC169" s="306"/>
      <c r="AD169" s="308"/>
      <c r="AE169" s="308"/>
      <c r="AF169" s="308"/>
      <c r="AG169" s="308"/>
      <c r="AH169" s="308"/>
      <c r="AI169" s="308"/>
      <c r="AJ169" s="308"/>
      <c r="AK169" s="308"/>
      <c r="AL169" s="347"/>
      <c r="AM169" s="268"/>
      <c r="AN169" s="268"/>
      <c r="AO169" s="268"/>
      <c r="AP169" s="268"/>
      <c r="AQ169" s="268"/>
      <c r="AR169" s="268"/>
      <c r="AS169" s="268"/>
      <c r="AT169" s="268"/>
      <c r="AU169" s="268"/>
      <c r="AV169" s="268"/>
      <c r="AW169" s="268"/>
      <c r="AX169" s="268"/>
      <c r="AY169" s="268"/>
      <c r="AZ169" s="268"/>
      <c r="BA169" s="268"/>
      <c r="BB169" s="268"/>
      <c r="BC169" s="268"/>
      <c r="BD169" s="268"/>
      <c r="BE169" s="268"/>
      <c r="BF169" s="268"/>
      <c r="BG169" s="268"/>
      <c r="BH169" s="268"/>
      <c r="BI169" s="268"/>
      <c r="BJ169" s="268"/>
      <c r="BK169" s="268"/>
      <c r="BL169" s="268"/>
      <c r="BM169" s="268"/>
      <c r="BN169" s="268"/>
      <c r="BO169" s="268"/>
      <c r="BP169" s="268"/>
      <c r="BQ169" s="268"/>
      <c r="BR169" s="268"/>
      <c r="BS169" s="268"/>
      <c r="BT169" s="268"/>
      <c r="BU169" s="268"/>
      <c r="BV169" s="268"/>
      <c r="BW169" s="268"/>
      <c r="BX169" s="268"/>
      <c r="BY169" s="268"/>
      <c r="BZ169" s="268"/>
      <c r="CA169" s="268"/>
      <c r="CB169" s="268"/>
      <c r="CC169" s="268"/>
      <c r="CD169" s="268"/>
      <c r="CE169" s="268"/>
      <c r="CF169" s="268"/>
      <c r="CG169" s="268"/>
      <c r="CH169" s="268"/>
      <c r="CI169" s="268"/>
      <c r="CJ169" s="268"/>
      <c r="CK169" s="268"/>
      <c r="CL169" s="268"/>
      <c r="CM169" s="268"/>
      <c r="CN169" s="268"/>
      <c r="CO169" s="268"/>
      <c r="CP169" s="268"/>
      <c r="CQ169" s="268"/>
      <c r="CR169" s="268"/>
      <c r="CS169" s="268"/>
      <c r="CT169" s="268"/>
      <c r="CU169" s="268"/>
      <c r="CV169" s="268"/>
      <c r="CW169" s="268"/>
      <c r="CX169" s="268"/>
      <c r="CY169" s="268"/>
      <c r="CZ169" s="268"/>
      <c r="DA169" s="268"/>
      <c r="DB169" s="268"/>
      <c r="DC169" s="268"/>
      <c r="DD169" s="268"/>
      <c r="DE169" s="268"/>
      <c r="DF169" s="268"/>
      <c r="DG169" s="268"/>
      <c r="DH169" s="268"/>
      <c r="DI169" s="268"/>
      <c r="DJ169" s="268"/>
      <c r="DK169" s="268"/>
      <c r="DL169" s="268"/>
      <c r="DM169" s="268"/>
      <c r="DN169" s="268"/>
      <c r="DO169" s="268"/>
      <c r="DP169" s="268"/>
      <c r="DQ169" s="268"/>
      <c r="DR169" s="268"/>
      <c r="DS169" s="268"/>
      <c r="DT169" s="268"/>
      <c r="DU169" s="268"/>
      <c r="DV169" s="268"/>
      <c r="DW169" s="268"/>
      <c r="DX169" s="268"/>
      <c r="DY169" s="268"/>
      <c r="DZ169" s="268"/>
      <c r="EA169" s="268"/>
      <c r="EB169" s="268"/>
      <c r="EC169" s="268"/>
      <c r="ED169" s="268"/>
      <c r="EE169" s="268"/>
      <c r="EF169" s="268"/>
      <c r="EG169" s="268"/>
      <c r="EH169" s="268"/>
      <c r="EI169" s="268"/>
      <c r="EJ169" s="268"/>
      <c r="EK169" s="268"/>
      <c r="EL169" s="268"/>
      <c r="EM169" s="268"/>
      <c r="EN169" s="268"/>
      <c r="EO169" s="268"/>
      <c r="EP169" s="268"/>
      <c r="EQ169" s="268"/>
      <c r="ER169" s="268"/>
      <c r="ES169" s="268"/>
      <c r="ET169" s="268"/>
      <c r="EU169" s="268"/>
      <c r="EV169" s="268"/>
      <c r="EW169" s="268"/>
      <c r="EX169" s="268"/>
      <c r="EY169" s="268"/>
      <c r="EZ169" s="268"/>
      <c r="FA169" s="268"/>
      <c r="FB169" s="268"/>
      <c r="FC169" s="268"/>
      <c r="FD169" s="268"/>
      <c r="FE169" s="268"/>
      <c r="FF169" s="268"/>
      <c r="FG169" s="268"/>
      <c r="FH169" s="268"/>
      <c r="FI169" s="268"/>
      <c r="FJ169" s="268"/>
      <c r="FK169" s="268"/>
      <c r="FL169" s="268"/>
      <c r="FM169" s="268"/>
      <c r="FN169" s="268"/>
      <c r="FO169" s="268"/>
      <c r="FP169" s="268"/>
      <c r="FQ169" s="268"/>
      <c r="FR169" s="268"/>
      <c r="FS169" s="268"/>
      <c r="FT169" s="268"/>
      <c r="FU169" s="268"/>
      <c r="FV169" s="268"/>
      <c r="FW169" s="268"/>
      <c r="FX169" s="268"/>
      <c r="FY169" s="268"/>
      <c r="FZ169" s="268"/>
      <c r="GA169" s="268"/>
      <c r="GB169" s="268"/>
      <c r="GC169" s="268"/>
      <c r="GD169" s="268"/>
      <c r="GE169" s="268"/>
      <c r="GF169" s="268"/>
      <c r="GG169" s="268"/>
      <c r="GH169" s="268"/>
      <c r="GI169" s="268"/>
      <c r="GJ169" s="268"/>
      <c r="GK169" s="268"/>
      <c r="GL169" s="268"/>
      <c r="GM169" s="268"/>
      <c r="GN169" s="268"/>
      <c r="GO169" s="268"/>
      <c r="GP169" s="268"/>
      <c r="GQ169" s="268"/>
      <c r="GR169" s="268"/>
      <c r="GS169" s="268"/>
      <c r="GT169" s="268"/>
      <c r="GU169" s="268"/>
      <c r="GV169" s="268"/>
      <c r="GW169" s="268"/>
      <c r="GX169" s="268"/>
      <c r="GY169" s="268"/>
      <c r="GZ169" s="268"/>
      <c r="HA169" s="268"/>
      <c r="HB169" s="268"/>
      <c r="HC169" s="268"/>
      <c r="HD169" s="268"/>
      <c r="HE169" s="268"/>
      <c r="HF169" s="268"/>
      <c r="HG169" s="268"/>
      <c r="HH169" s="268"/>
      <c r="HI169" s="268"/>
      <c r="HJ169" s="268"/>
      <c r="HK169" s="268"/>
      <c r="HL169" s="268"/>
      <c r="HM169" s="268"/>
      <c r="HN169" s="268"/>
      <c r="HO169" s="268"/>
      <c r="HP169" s="268"/>
      <c r="HQ169" s="268"/>
      <c r="HR169" s="268"/>
      <c r="HS169" s="268"/>
      <c r="HT169" s="268"/>
      <c r="HU169" s="268"/>
      <c r="HV169" s="268"/>
      <c r="HW169" s="268"/>
      <c r="HX169" s="268"/>
      <c r="HY169" s="268"/>
      <c r="HZ169" s="268"/>
      <c r="IA169" s="268"/>
      <c r="IB169" s="268"/>
      <c r="IC169" s="268"/>
      <c r="ID169" s="268"/>
      <c r="IE169" s="268"/>
      <c r="IF169" s="268"/>
      <c r="IG169" s="268"/>
      <c r="IH169" s="268"/>
      <c r="II169" s="268"/>
      <c r="IJ169" s="268"/>
      <c r="IK169" s="268"/>
      <c r="IL169" s="268"/>
      <c r="IM169" s="268"/>
      <c r="IN169" s="268"/>
      <c r="IO169" s="268"/>
      <c r="IP169" s="268"/>
      <c r="IQ169" s="268"/>
      <c r="IR169" s="268"/>
      <c r="IS169" s="268"/>
      <c r="IT169" s="268"/>
      <c r="IU169" s="268"/>
      <c r="IV169" s="268"/>
      <c r="IW169" s="268"/>
      <c r="IX169" s="268"/>
      <c r="IY169" s="268"/>
      <c r="IZ169" s="268"/>
      <c r="JA169" s="268"/>
      <c r="JB169" s="268"/>
      <c r="JC169" s="268"/>
      <c r="JD169" s="268"/>
      <c r="JE169" s="268"/>
      <c r="JF169" s="268"/>
      <c r="JG169" s="268"/>
      <c r="JH169" s="268"/>
      <c r="JI169" s="268"/>
      <c r="JJ169" s="268"/>
      <c r="JK169" s="268"/>
      <c r="JL169" s="268"/>
      <c r="JM169" s="268"/>
      <c r="JN169" s="268"/>
      <c r="JO169" s="268"/>
      <c r="JP169" s="268"/>
      <c r="JQ169" s="268"/>
      <c r="JR169" s="268"/>
      <c r="JS169" s="268"/>
      <c r="JT169" s="268"/>
      <c r="JU169" s="268"/>
      <c r="JV169" s="268"/>
      <c r="JW169" s="268"/>
      <c r="JX169" s="268"/>
      <c r="JY169" s="268"/>
      <c r="JZ169" s="268"/>
      <c r="KA169" s="268"/>
      <c r="KB169" s="268"/>
      <c r="KC169" s="268"/>
      <c r="KD169" s="268"/>
      <c r="KE169" s="268"/>
      <c r="KF169" s="268"/>
      <c r="KG169" s="268"/>
      <c r="KH169" s="268"/>
      <c r="KI169" s="268"/>
      <c r="KJ169" s="268"/>
      <c r="KK169" s="268"/>
      <c r="KL169" s="268"/>
      <c r="KM169" s="268"/>
      <c r="KN169" s="268"/>
      <c r="KO169" s="268"/>
      <c r="KP169" s="268"/>
      <c r="KQ169" s="268"/>
      <c r="KR169" s="268"/>
      <c r="KS169" s="268"/>
      <c r="KT169" s="268"/>
      <c r="KU169" s="268"/>
      <c r="KV169" s="268"/>
      <c r="KW169" s="268"/>
      <c r="KX169" s="268"/>
      <c r="KY169" s="268"/>
      <c r="KZ169" s="268"/>
      <c r="LA169" s="268"/>
      <c r="LB169" s="268"/>
      <c r="LC169" s="268"/>
      <c r="LD169" s="268"/>
      <c r="LE169" s="268"/>
      <c r="LF169" s="268"/>
      <c r="LG169" s="268"/>
      <c r="LH169" s="268"/>
      <c r="LI169" s="268"/>
      <c r="LJ169" s="268"/>
      <c r="LK169" s="268"/>
      <c r="LL169" s="268"/>
      <c r="LM169" s="268"/>
      <c r="LN169" s="268"/>
      <c r="LO169" s="268"/>
      <c r="LP169" s="268"/>
      <c r="LQ169" s="268"/>
      <c r="LR169" s="268"/>
      <c r="LS169" s="268"/>
      <c r="LT169" s="268"/>
      <c r="LU169" s="268"/>
      <c r="LV169" s="268"/>
      <c r="LW169" s="268"/>
      <c r="LX169" s="268"/>
      <c r="LY169" s="268"/>
      <c r="LZ169" s="268"/>
      <c r="MA169" s="268"/>
      <c r="MB169" s="268"/>
      <c r="MC169" s="268"/>
      <c r="MD169" s="268"/>
      <c r="ME169" s="268"/>
      <c r="MF169" s="268"/>
      <c r="MG169" s="268"/>
      <c r="MH169" s="268"/>
      <c r="MI169" s="268"/>
      <c r="MJ169" s="268"/>
      <c r="MK169" s="268"/>
      <c r="ML169" s="268"/>
      <c r="MM169" s="268"/>
      <c r="MN169" s="268"/>
      <c r="MO169" s="268"/>
      <c r="MP169" s="268"/>
      <c r="MQ169" s="268"/>
      <c r="MR169" s="268"/>
      <c r="MS169" s="268"/>
      <c r="MT169" s="268"/>
      <c r="MU169" s="268"/>
      <c r="MV169" s="268"/>
      <c r="MW169" s="268"/>
      <c r="MX169" s="268"/>
      <c r="MY169" s="268"/>
      <c r="MZ169" s="268"/>
      <c r="NA169" s="268"/>
      <c r="NB169" s="268"/>
      <c r="NC169" s="268"/>
      <c r="ND169" s="268"/>
      <c r="NE169" s="268"/>
      <c r="NF169" s="268"/>
      <c r="NG169" s="268"/>
      <c r="NH169" s="268"/>
      <c r="NI169" s="268"/>
      <c r="NJ169" s="268"/>
      <c r="NK169" s="268"/>
      <c r="NL169" s="268"/>
      <c r="NM169" s="268"/>
      <c r="NN169" s="268"/>
      <c r="NO169" s="268"/>
      <c r="NP169" s="268"/>
      <c r="NQ169" s="268"/>
      <c r="NR169" s="268"/>
      <c r="NS169" s="268"/>
      <c r="NT169" s="268"/>
      <c r="NU169" s="268"/>
      <c r="NV169" s="268"/>
      <c r="NW169" s="268"/>
      <c r="NX169" s="268"/>
      <c r="NY169" s="268"/>
      <c r="NZ169" s="268"/>
      <c r="OA169" s="268"/>
      <c r="OB169" s="268"/>
      <c r="OC169" s="268"/>
      <c r="OD169" s="268"/>
      <c r="OE169" s="268"/>
      <c r="OF169" s="268"/>
      <c r="OG169" s="268"/>
      <c r="OH169" s="268"/>
      <c r="OI169" s="268"/>
      <c r="OJ169" s="268"/>
      <c r="OK169" s="268"/>
      <c r="OL169" s="268"/>
      <c r="OM169" s="268"/>
      <c r="ON169" s="268"/>
      <c r="OO169" s="268"/>
      <c r="OP169" s="268"/>
      <c r="OQ169" s="268"/>
      <c r="OR169" s="268"/>
      <c r="OS169" s="268"/>
      <c r="OT169" s="268"/>
      <c r="OU169" s="268"/>
      <c r="OV169" s="268"/>
      <c r="OW169" s="268"/>
      <c r="OX169" s="268"/>
      <c r="OY169" s="268"/>
      <c r="OZ169" s="268"/>
      <c r="PA169" s="268"/>
      <c r="PB169" s="268"/>
      <c r="PC169" s="268"/>
      <c r="PD169" s="268"/>
      <c r="PE169" s="268"/>
      <c r="PF169" s="268"/>
      <c r="PG169" s="268"/>
      <c r="PH169" s="268"/>
      <c r="PI169" s="268"/>
      <c r="PJ169" s="268"/>
      <c r="PK169" s="268"/>
      <c r="PL169" s="268"/>
      <c r="PM169" s="268"/>
      <c r="PN169" s="268"/>
      <c r="PO169" s="268"/>
      <c r="PP169" s="268"/>
      <c r="PQ169" s="268"/>
      <c r="PR169" s="268"/>
      <c r="PS169" s="268"/>
      <c r="PT169" s="268"/>
      <c r="PU169" s="268"/>
      <c r="PV169" s="268"/>
      <c r="PW169" s="268"/>
      <c r="PX169" s="268"/>
      <c r="PY169" s="268"/>
      <c r="PZ169" s="268"/>
      <c r="QA169" s="268"/>
      <c r="QB169" s="268"/>
      <c r="QC169" s="268"/>
      <c r="QD169" s="268"/>
      <c r="QE169" s="268"/>
      <c r="QF169" s="268"/>
      <c r="QG169" s="268"/>
      <c r="QH169" s="268"/>
      <c r="QI169" s="268"/>
      <c r="QJ169" s="268"/>
      <c r="QK169" s="268"/>
      <c r="QL169" s="268"/>
      <c r="QM169" s="268"/>
      <c r="QN169" s="268"/>
      <c r="QO169" s="268"/>
      <c r="QP169" s="268"/>
      <c r="QQ169" s="268"/>
      <c r="QR169" s="268"/>
      <c r="QS169" s="268"/>
      <c r="QT169" s="268"/>
      <c r="QU169" s="268"/>
      <c r="QV169" s="268"/>
      <c r="QW169" s="268"/>
      <c r="QX169" s="268"/>
      <c r="QY169" s="268"/>
      <c r="QZ169" s="268"/>
      <c r="RA169" s="268"/>
      <c r="RB169" s="268"/>
      <c r="RC169" s="268"/>
      <c r="RD169" s="268"/>
      <c r="RE169" s="268"/>
      <c r="RF169" s="268"/>
      <c r="RG169" s="268"/>
      <c r="RH169" s="268"/>
      <c r="RI169" s="268"/>
      <c r="RJ169" s="268"/>
      <c r="RK169" s="268"/>
      <c r="RL169" s="268"/>
      <c r="RM169" s="268"/>
      <c r="RN169" s="268"/>
      <c r="RO169" s="268"/>
      <c r="RP169" s="268"/>
      <c r="RQ169" s="268"/>
      <c r="RR169" s="268"/>
      <c r="RS169" s="268"/>
      <c r="RT169" s="268"/>
      <c r="RU169" s="268"/>
      <c r="RV169" s="268"/>
      <c r="RW169" s="268"/>
      <c r="RX169" s="268"/>
      <c r="RY169" s="268"/>
      <c r="RZ169" s="268"/>
      <c r="SA169" s="268"/>
      <c r="SB169" s="268"/>
      <c r="SC169" s="268"/>
      <c r="SD169" s="268"/>
      <c r="SE169" s="268"/>
      <c r="SF169" s="268"/>
      <c r="SG169" s="268"/>
      <c r="SH169" s="268"/>
      <c r="SI169" s="268"/>
      <c r="SJ169" s="268"/>
      <c r="SK169" s="268"/>
      <c r="SL169" s="268"/>
      <c r="SM169" s="268"/>
      <c r="SN169" s="268"/>
      <c r="SO169" s="268"/>
      <c r="SP169" s="268"/>
      <c r="SQ169" s="268"/>
      <c r="SR169" s="268"/>
      <c r="SS169" s="268"/>
      <c r="ST169" s="268"/>
      <c r="SU169" s="268"/>
      <c r="SV169" s="268"/>
      <c r="SW169" s="268"/>
      <c r="SX169" s="268"/>
      <c r="SY169" s="268"/>
      <c r="SZ169" s="268"/>
      <c r="TA169" s="268"/>
      <c r="TB169" s="268"/>
      <c r="TC169" s="268"/>
      <c r="TD169" s="268"/>
      <c r="TE169" s="268"/>
      <c r="TF169" s="268"/>
      <c r="TG169" s="268"/>
      <c r="TH169" s="268"/>
      <c r="TI169" s="268"/>
      <c r="TJ169" s="268"/>
      <c r="TK169" s="268"/>
      <c r="TL169" s="268"/>
      <c r="TM169" s="268"/>
      <c r="TN169" s="268"/>
      <c r="TO169" s="268"/>
      <c r="TP169" s="268"/>
      <c r="TQ169" s="268"/>
      <c r="TR169" s="268"/>
      <c r="TS169" s="268"/>
      <c r="TT169" s="268"/>
      <c r="TU169" s="268"/>
      <c r="TV169" s="268"/>
      <c r="TW169" s="268"/>
      <c r="TX169" s="268"/>
      <c r="TY169" s="268"/>
      <c r="TZ169" s="268"/>
      <c r="UA169" s="268"/>
      <c r="UB169" s="268"/>
      <c r="UC169" s="268"/>
      <c r="UD169" s="268"/>
      <c r="UE169" s="268"/>
      <c r="UF169" s="268"/>
      <c r="UG169" s="269"/>
    </row>
    <row r="170" spans="1:553" s="236" customFormat="1" ht="27.75" customHeight="1">
      <c r="A170" s="445"/>
      <c r="B170" s="445"/>
      <c r="C170" s="384" t="s">
        <v>69</v>
      </c>
      <c r="D170" s="376" t="s">
        <v>20</v>
      </c>
      <c r="E170" s="376" t="s">
        <v>132</v>
      </c>
      <c r="F170" s="379">
        <v>1</v>
      </c>
      <c r="G170" s="386" t="s">
        <v>935</v>
      </c>
      <c r="H170" s="478"/>
      <c r="I170" s="417">
        <v>386.2</v>
      </c>
      <c r="J170" s="477">
        <v>62000</v>
      </c>
      <c r="K170" s="479">
        <v>2.5</v>
      </c>
      <c r="L170" s="480">
        <f t="shared" si="37"/>
        <v>59861000</v>
      </c>
      <c r="M170" s="480"/>
      <c r="N170" s="480"/>
      <c r="O170" s="480"/>
      <c r="P170" s="1127"/>
      <c r="Q170" s="1229"/>
      <c r="R170" s="1139"/>
      <c r="S170" s="308"/>
      <c r="T170" s="303"/>
      <c r="U170" s="306"/>
      <c r="V170" s="307"/>
      <c r="W170" s="307"/>
      <c r="X170" s="307"/>
      <c r="Y170" s="307"/>
      <c r="Z170" s="307"/>
      <c r="AA170" s="307"/>
      <c r="AB170" s="307"/>
      <c r="AC170" s="306"/>
      <c r="AD170" s="308"/>
      <c r="AE170" s="308"/>
      <c r="AF170" s="308"/>
      <c r="AG170" s="308"/>
      <c r="AH170" s="308"/>
      <c r="AI170" s="308"/>
      <c r="AJ170" s="308"/>
      <c r="AK170" s="308"/>
      <c r="AL170" s="347"/>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T170" s="268"/>
      <c r="BU170" s="268"/>
      <c r="BV170" s="268"/>
      <c r="BW170" s="268"/>
      <c r="BX170" s="268"/>
      <c r="BY170" s="268"/>
      <c r="BZ170" s="268"/>
      <c r="CA170" s="268"/>
      <c r="CB170" s="268"/>
      <c r="CC170" s="268"/>
      <c r="CD170" s="268"/>
      <c r="CE170" s="268"/>
      <c r="CF170" s="268"/>
      <c r="CG170" s="268"/>
      <c r="CH170" s="268"/>
      <c r="CI170" s="268"/>
      <c r="CJ170" s="268"/>
      <c r="CK170" s="268"/>
      <c r="CL170" s="268"/>
      <c r="CM170" s="268"/>
      <c r="CN170" s="268"/>
      <c r="CO170" s="268"/>
      <c r="CP170" s="268"/>
      <c r="CQ170" s="268"/>
      <c r="CR170" s="268"/>
      <c r="CS170" s="268"/>
      <c r="CT170" s="268"/>
      <c r="CU170" s="268"/>
      <c r="CV170" s="268"/>
      <c r="CW170" s="268"/>
      <c r="CX170" s="268"/>
      <c r="CY170" s="268"/>
      <c r="CZ170" s="268"/>
      <c r="DA170" s="268"/>
      <c r="DB170" s="268"/>
      <c r="DC170" s="268"/>
      <c r="DD170" s="268"/>
      <c r="DE170" s="268"/>
      <c r="DF170" s="268"/>
      <c r="DG170" s="268"/>
      <c r="DH170" s="268"/>
      <c r="DI170" s="268"/>
      <c r="DJ170" s="268"/>
      <c r="DK170" s="268"/>
      <c r="DL170" s="268"/>
      <c r="DM170" s="268"/>
      <c r="DN170" s="268"/>
      <c r="DO170" s="268"/>
      <c r="DP170" s="268"/>
      <c r="DQ170" s="268"/>
      <c r="DR170" s="268"/>
      <c r="DS170" s="268"/>
      <c r="DT170" s="268"/>
      <c r="DU170" s="268"/>
      <c r="DV170" s="268"/>
      <c r="DW170" s="268"/>
      <c r="DX170" s="268"/>
      <c r="DY170" s="268"/>
      <c r="DZ170" s="268"/>
      <c r="EA170" s="268"/>
      <c r="EB170" s="268"/>
      <c r="EC170" s="268"/>
      <c r="ED170" s="268"/>
      <c r="EE170" s="268"/>
      <c r="EF170" s="268"/>
      <c r="EG170" s="268"/>
      <c r="EH170" s="268"/>
      <c r="EI170" s="268"/>
      <c r="EJ170" s="268"/>
      <c r="EK170" s="268"/>
      <c r="EL170" s="268"/>
      <c r="EM170" s="268"/>
      <c r="EN170" s="268"/>
      <c r="EO170" s="268"/>
      <c r="EP170" s="268"/>
      <c r="EQ170" s="268"/>
      <c r="ER170" s="268"/>
      <c r="ES170" s="268"/>
      <c r="ET170" s="268"/>
      <c r="EU170" s="268"/>
      <c r="EV170" s="268"/>
      <c r="EW170" s="268"/>
      <c r="EX170" s="268"/>
      <c r="EY170" s="268"/>
      <c r="EZ170" s="268"/>
      <c r="FA170" s="268"/>
      <c r="FB170" s="268"/>
      <c r="FC170" s="268"/>
      <c r="FD170" s="268"/>
      <c r="FE170" s="268"/>
      <c r="FF170" s="268"/>
      <c r="FG170" s="268"/>
      <c r="FH170" s="268"/>
      <c r="FI170" s="268"/>
      <c r="FJ170" s="268"/>
      <c r="FK170" s="268"/>
      <c r="FL170" s="268"/>
      <c r="FM170" s="268"/>
      <c r="FN170" s="268"/>
      <c r="FO170" s="268"/>
      <c r="FP170" s="268"/>
      <c r="FQ170" s="268"/>
      <c r="FR170" s="268"/>
      <c r="FS170" s="268"/>
      <c r="FT170" s="268"/>
      <c r="FU170" s="268"/>
      <c r="FV170" s="268"/>
      <c r="FW170" s="268"/>
      <c r="FX170" s="268"/>
      <c r="FY170" s="268"/>
      <c r="FZ170" s="268"/>
      <c r="GA170" s="268"/>
      <c r="GB170" s="268"/>
      <c r="GC170" s="268"/>
      <c r="GD170" s="268"/>
      <c r="GE170" s="268"/>
      <c r="GF170" s="268"/>
      <c r="GG170" s="268"/>
      <c r="GH170" s="268"/>
      <c r="GI170" s="268"/>
      <c r="GJ170" s="268"/>
      <c r="GK170" s="268"/>
      <c r="GL170" s="268"/>
      <c r="GM170" s="268"/>
      <c r="GN170" s="268"/>
      <c r="GO170" s="268"/>
      <c r="GP170" s="268"/>
      <c r="GQ170" s="268"/>
      <c r="GR170" s="268"/>
      <c r="GS170" s="268"/>
      <c r="GT170" s="268"/>
      <c r="GU170" s="268"/>
      <c r="GV170" s="268"/>
      <c r="GW170" s="268"/>
      <c r="GX170" s="268"/>
      <c r="GY170" s="268"/>
      <c r="GZ170" s="268"/>
      <c r="HA170" s="268"/>
      <c r="HB170" s="268"/>
      <c r="HC170" s="268"/>
      <c r="HD170" s="268"/>
      <c r="HE170" s="268"/>
      <c r="HF170" s="268"/>
      <c r="HG170" s="268"/>
      <c r="HH170" s="268"/>
      <c r="HI170" s="268"/>
      <c r="HJ170" s="268"/>
      <c r="HK170" s="268"/>
      <c r="HL170" s="268"/>
      <c r="HM170" s="268"/>
      <c r="HN170" s="268"/>
      <c r="HO170" s="268"/>
      <c r="HP170" s="268"/>
      <c r="HQ170" s="268"/>
      <c r="HR170" s="268"/>
      <c r="HS170" s="268"/>
      <c r="HT170" s="268"/>
      <c r="HU170" s="268"/>
      <c r="HV170" s="268"/>
      <c r="HW170" s="268"/>
      <c r="HX170" s="268"/>
      <c r="HY170" s="268"/>
      <c r="HZ170" s="268"/>
      <c r="IA170" s="268"/>
      <c r="IB170" s="268"/>
      <c r="IC170" s="268"/>
      <c r="ID170" s="268"/>
      <c r="IE170" s="268"/>
      <c r="IF170" s="268"/>
      <c r="IG170" s="268"/>
      <c r="IH170" s="268"/>
      <c r="II170" s="268"/>
      <c r="IJ170" s="268"/>
      <c r="IK170" s="268"/>
      <c r="IL170" s="268"/>
      <c r="IM170" s="268"/>
      <c r="IN170" s="268"/>
      <c r="IO170" s="268"/>
      <c r="IP170" s="268"/>
      <c r="IQ170" s="268"/>
      <c r="IR170" s="268"/>
      <c r="IS170" s="268"/>
      <c r="IT170" s="268"/>
      <c r="IU170" s="268"/>
      <c r="IV170" s="268"/>
      <c r="IW170" s="268"/>
      <c r="IX170" s="268"/>
      <c r="IY170" s="268"/>
      <c r="IZ170" s="268"/>
      <c r="JA170" s="268"/>
      <c r="JB170" s="268"/>
      <c r="JC170" s="268"/>
      <c r="JD170" s="268"/>
      <c r="JE170" s="268"/>
      <c r="JF170" s="268"/>
      <c r="JG170" s="268"/>
      <c r="JH170" s="268"/>
      <c r="JI170" s="268"/>
      <c r="JJ170" s="268"/>
      <c r="JK170" s="268"/>
      <c r="JL170" s="268"/>
      <c r="JM170" s="268"/>
      <c r="JN170" s="268"/>
      <c r="JO170" s="268"/>
      <c r="JP170" s="268"/>
      <c r="JQ170" s="268"/>
      <c r="JR170" s="268"/>
      <c r="JS170" s="268"/>
      <c r="JT170" s="268"/>
      <c r="JU170" s="268"/>
      <c r="JV170" s="268"/>
      <c r="JW170" s="268"/>
      <c r="JX170" s="268"/>
      <c r="JY170" s="268"/>
      <c r="JZ170" s="268"/>
      <c r="KA170" s="268"/>
      <c r="KB170" s="268"/>
      <c r="KC170" s="268"/>
      <c r="KD170" s="268"/>
      <c r="KE170" s="268"/>
      <c r="KF170" s="268"/>
      <c r="KG170" s="268"/>
      <c r="KH170" s="268"/>
      <c r="KI170" s="268"/>
      <c r="KJ170" s="268"/>
      <c r="KK170" s="268"/>
      <c r="KL170" s="268"/>
      <c r="KM170" s="268"/>
      <c r="KN170" s="268"/>
      <c r="KO170" s="268"/>
      <c r="KP170" s="268"/>
      <c r="KQ170" s="268"/>
      <c r="KR170" s="268"/>
      <c r="KS170" s="268"/>
      <c r="KT170" s="268"/>
      <c r="KU170" s="268"/>
      <c r="KV170" s="268"/>
      <c r="KW170" s="268"/>
      <c r="KX170" s="268"/>
      <c r="KY170" s="268"/>
      <c r="KZ170" s="268"/>
      <c r="LA170" s="268"/>
      <c r="LB170" s="268"/>
      <c r="LC170" s="268"/>
      <c r="LD170" s="268"/>
      <c r="LE170" s="268"/>
      <c r="LF170" s="268"/>
      <c r="LG170" s="268"/>
      <c r="LH170" s="268"/>
      <c r="LI170" s="268"/>
      <c r="LJ170" s="268"/>
      <c r="LK170" s="268"/>
      <c r="LL170" s="268"/>
      <c r="LM170" s="268"/>
      <c r="LN170" s="268"/>
      <c r="LO170" s="268"/>
      <c r="LP170" s="268"/>
      <c r="LQ170" s="268"/>
      <c r="LR170" s="268"/>
      <c r="LS170" s="268"/>
      <c r="LT170" s="268"/>
      <c r="LU170" s="268"/>
      <c r="LV170" s="268"/>
      <c r="LW170" s="268"/>
      <c r="LX170" s="268"/>
      <c r="LY170" s="268"/>
      <c r="LZ170" s="268"/>
      <c r="MA170" s="268"/>
      <c r="MB170" s="268"/>
      <c r="MC170" s="268"/>
      <c r="MD170" s="268"/>
      <c r="ME170" s="268"/>
      <c r="MF170" s="268"/>
      <c r="MG170" s="268"/>
      <c r="MH170" s="268"/>
      <c r="MI170" s="268"/>
      <c r="MJ170" s="268"/>
      <c r="MK170" s="268"/>
      <c r="ML170" s="268"/>
      <c r="MM170" s="268"/>
      <c r="MN170" s="268"/>
      <c r="MO170" s="268"/>
      <c r="MP170" s="268"/>
      <c r="MQ170" s="268"/>
      <c r="MR170" s="268"/>
      <c r="MS170" s="268"/>
      <c r="MT170" s="268"/>
      <c r="MU170" s="268"/>
      <c r="MV170" s="268"/>
      <c r="MW170" s="268"/>
      <c r="MX170" s="268"/>
      <c r="MY170" s="268"/>
      <c r="MZ170" s="268"/>
      <c r="NA170" s="268"/>
      <c r="NB170" s="268"/>
      <c r="NC170" s="268"/>
      <c r="ND170" s="268"/>
      <c r="NE170" s="268"/>
      <c r="NF170" s="268"/>
      <c r="NG170" s="268"/>
      <c r="NH170" s="268"/>
      <c r="NI170" s="268"/>
      <c r="NJ170" s="268"/>
      <c r="NK170" s="268"/>
      <c r="NL170" s="268"/>
      <c r="NM170" s="268"/>
      <c r="NN170" s="268"/>
      <c r="NO170" s="268"/>
      <c r="NP170" s="268"/>
      <c r="NQ170" s="268"/>
      <c r="NR170" s="268"/>
      <c r="NS170" s="268"/>
      <c r="NT170" s="268"/>
      <c r="NU170" s="268"/>
      <c r="NV170" s="268"/>
      <c r="NW170" s="268"/>
      <c r="NX170" s="268"/>
      <c r="NY170" s="268"/>
      <c r="NZ170" s="268"/>
      <c r="OA170" s="268"/>
      <c r="OB170" s="268"/>
      <c r="OC170" s="268"/>
      <c r="OD170" s="268"/>
      <c r="OE170" s="268"/>
      <c r="OF170" s="268"/>
      <c r="OG170" s="268"/>
      <c r="OH170" s="268"/>
      <c r="OI170" s="268"/>
      <c r="OJ170" s="268"/>
      <c r="OK170" s="268"/>
      <c r="OL170" s="268"/>
      <c r="OM170" s="268"/>
      <c r="ON170" s="268"/>
      <c r="OO170" s="268"/>
      <c r="OP170" s="268"/>
      <c r="OQ170" s="268"/>
      <c r="OR170" s="268"/>
      <c r="OS170" s="268"/>
      <c r="OT170" s="268"/>
      <c r="OU170" s="268"/>
      <c r="OV170" s="268"/>
      <c r="OW170" s="268"/>
      <c r="OX170" s="268"/>
      <c r="OY170" s="268"/>
      <c r="OZ170" s="268"/>
      <c r="PA170" s="268"/>
      <c r="PB170" s="268"/>
      <c r="PC170" s="268"/>
      <c r="PD170" s="268"/>
      <c r="PE170" s="268"/>
      <c r="PF170" s="268"/>
      <c r="PG170" s="268"/>
      <c r="PH170" s="268"/>
      <c r="PI170" s="268"/>
      <c r="PJ170" s="268"/>
      <c r="PK170" s="268"/>
      <c r="PL170" s="268"/>
      <c r="PM170" s="268"/>
      <c r="PN170" s="268"/>
      <c r="PO170" s="268"/>
      <c r="PP170" s="268"/>
      <c r="PQ170" s="268"/>
      <c r="PR170" s="268"/>
      <c r="PS170" s="268"/>
      <c r="PT170" s="268"/>
      <c r="PU170" s="268"/>
      <c r="PV170" s="268"/>
      <c r="PW170" s="268"/>
      <c r="PX170" s="268"/>
      <c r="PY170" s="268"/>
      <c r="PZ170" s="268"/>
      <c r="QA170" s="268"/>
      <c r="QB170" s="268"/>
      <c r="QC170" s="268"/>
      <c r="QD170" s="268"/>
      <c r="QE170" s="268"/>
      <c r="QF170" s="268"/>
      <c r="QG170" s="268"/>
      <c r="QH170" s="268"/>
      <c r="QI170" s="268"/>
      <c r="QJ170" s="268"/>
      <c r="QK170" s="268"/>
      <c r="QL170" s="268"/>
      <c r="QM170" s="268"/>
      <c r="QN170" s="268"/>
      <c r="QO170" s="268"/>
      <c r="QP170" s="268"/>
      <c r="QQ170" s="268"/>
      <c r="QR170" s="268"/>
      <c r="QS170" s="268"/>
      <c r="QT170" s="268"/>
      <c r="QU170" s="268"/>
      <c r="QV170" s="268"/>
      <c r="QW170" s="268"/>
      <c r="QX170" s="268"/>
      <c r="QY170" s="268"/>
      <c r="QZ170" s="268"/>
      <c r="RA170" s="268"/>
      <c r="RB170" s="268"/>
      <c r="RC170" s="268"/>
      <c r="RD170" s="268"/>
      <c r="RE170" s="268"/>
      <c r="RF170" s="268"/>
      <c r="RG170" s="268"/>
      <c r="RH170" s="268"/>
      <c r="RI170" s="268"/>
      <c r="RJ170" s="268"/>
      <c r="RK170" s="268"/>
      <c r="RL170" s="268"/>
      <c r="RM170" s="268"/>
      <c r="RN170" s="268"/>
      <c r="RO170" s="268"/>
      <c r="RP170" s="268"/>
      <c r="RQ170" s="268"/>
      <c r="RR170" s="268"/>
      <c r="RS170" s="268"/>
      <c r="RT170" s="268"/>
      <c r="RU170" s="268"/>
      <c r="RV170" s="268"/>
      <c r="RW170" s="268"/>
      <c r="RX170" s="268"/>
      <c r="RY170" s="268"/>
      <c r="RZ170" s="268"/>
      <c r="SA170" s="268"/>
      <c r="SB170" s="268"/>
      <c r="SC170" s="268"/>
      <c r="SD170" s="268"/>
      <c r="SE170" s="268"/>
      <c r="SF170" s="268"/>
      <c r="SG170" s="268"/>
      <c r="SH170" s="268"/>
      <c r="SI170" s="268"/>
      <c r="SJ170" s="268"/>
      <c r="SK170" s="268"/>
      <c r="SL170" s="268"/>
      <c r="SM170" s="268"/>
      <c r="SN170" s="268"/>
      <c r="SO170" s="268"/>
      <c r="SP170" s="268"/>
      <c r="SQ170" s="268"/>
      <c r="SR170" s="268"/>
      <c r="SS170" s="268"/>
      <c r="ST170" s="268"/>
      <c r="SU170" s="268"/>
      <c r="SV170" s="268"/>
      <c r="SW170" s="268"/>
      <c r="SX170" s="268"/>
      <c r="SY170" s="268"/>
      <c r="SZ170" s="268"/>
      <c r="TA170" s="268"/>
      <c r="TB170" s="268"/>
      <c r="TC170" s="268"/>
      <c r="TD170" s="268"/>
      <c r="TE170" s="268"/>
      <c r="TF170" s="268"/>
      <c r="TG170" s="268"/>
      <c r="TH170" s="268"/>
      <c r="TI170" s="268"/>
      <c r="TJ170" s="268"/>
      <c r="TK170" s="268"/>
      <c r="TL170" s="268"/>
      <c r="TM170" s="268"/>
      <c r="TN170" s="268"/>
      <c r="TO170" s="268"/>
      <c r="TP170" s="268"/>
      <c r="TQ170" s="268"/>
      <c r="TR170" s="268"/>
      <c r="TS170" s="268"/>
      <c r="TT170" s="268"/>
      <c r="TU170" s="268"/>
      <c r="TV170" s="268"/>
      <c r="TW170" s="268"/>
      <c r="TX170" s="268"/>
      <c r="TY170" s="268"/>
      <c r="TZ170" s="268"/>
      <c r="UA170" s="268"/>
      <c r="UB170" s="268"/>
      <c r="UC170" s="268"/>
      <c r="UD170" s="268"/>
      <c r="UE170" s="268"/>
      <c r="UF170" s="268"/>
      <c r="UG170" s="269"/>
    </row>
    <row r="171" spans="1:553" s="236" customFormat="1" ht="27.75" customHeight="1">
      <c r="A171" s="445"/>
      <c r="B171" s="445"/>
      <c r="C171" s="384" t="s">
        <v>69</v>
      </c>
      <c r="D171" s="376" t="s">
        <v>20</v>
      </c>
      <c r="E171" s="376" t="s">
        <v>133</v>
      </c>
      <c r="F171" s="379">
        <v>1</v>
      </c>
      <c r="G171" s="386" t="s">
        <v>935</v>
      </c>
      <c r="H171" s="478"/>
      <c r="I171" s="417">
        <v>40.200000000000003</v>
      </c>
      <c r="J171" s="477">
        <v>62000</v>
      </c>
      <c r="K171" s="479">
        <v>2.5</v>
      </c>
      <c r="L171" s="480">
        <f t="shared" si="37"/>
        <v>6231000</v>
      </c>
      <c r="M171" s="480"/>
      <c r="N171" s="480"/>
      <c r="O171" s="480"/>
      <c r="P171" s="1127"/>
      <c r="Q171" s="1229"/>
      <c r="R171" s="1139"/>
      <c r="S171" s="308"/>
      <c r="T171" s="303"/>
      <c r="U171" s="306"/>
      <c r="V171" s="307"/>
      <c r="W171" s="307"/>
      <c r="X171" s="307"/>
      <c r="Y171" s="307"/>
      <c r="Z171" s="307"/>
      <c r="AA171" s="307"/>
      <c r="AB171" s="307"/>
      <c r="AC171" s="306"/>
      <c r="AD171" s="308"/>
      <c r="AE171" s="308"/>
      <c r="AF171" s="308"/>
      <c r="AG171" s="308"/>
      <c r="AH171" s="308"/>
      <c r="AI171" s="308"/>
      <c r="AJ171" s="308"/>
      <c r="AK171" s="308"/>
      <c r="AL171" s="347"/>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T171" s="268"/>
      <c r="BU171" s="268"/>
      <c r="BV171" s="268"/>
      <c r="BW171" s="268"/>
      <c r="BX171" s="268"/>
      <c r="BY171" s="268"/>
      <c r="BZ171" s="268"/>
      <c r="CA171" s="268"/>
      <c r="CB171" s="268"/>
      <c r="CC171" s="268"/>
      <c r="CD171" s="268"/>
      <c r="CE171" s="268"/>
      <c r="CF171" s="268"/>
      <c r="CG171" s="268"/>
      <c r="CH171" s="268"/>
      <c r="CI171" s="268"/>
      <c r="CJ171" s="268"/>
      <c r="CK171" s="268"/>
      <c r="CL171" s="268"/>
      <c r="CM171" s="268"/>
      <c r="CN171" s="268"/>
      <c r="CO171" s="268"/>
      <c r="CP171" s="268"/>
      <c r="CQ171" s="268"/>
      <c r="CR171" s="268"/>
      <c r="CS171" s="268"/>
      <c r="CT171" s="268"/>
      <c r="CU171" s="268"/>
      <c r="CV171" s="268"/>
      <c r="CW171" s="268"/>
      <c r="CX171" s="268"/>
      <c r="CY171" s="268"/>
      <c r="CZ171" s="268"/>
      <c r="DA171" s="268"/>
      <c r="DB171" s="268"/>
      <c r="DC171" s="268"/>
      <c r="DD171" s="268"/>
      <c r="DE171" s="268"/>
      <c r="DF171" s="268"/>
      <c r="DG171" s="268"/>
      <c r="DH171" s="268"/>
      <c r="DI171" s="268"/>
      <c r="DJ171" s="268"/>
      <c r="DK171" s="268"/>
      <c r="DL171" s="268"/>
      <c r="DM171" s="268"/>
      <c r="DN171" s="268"/>
      <c r="DO171" s="268"/>
      <c r="DP171" s="268"/>
      <c r="DQ171" s="268"/>
      <c r="DR171" s="268"/>
      <c r="DS171" s="268"/>
      <c r="DT171" s="268"/>
      <c r="DU171" s="268"/>
      <c r="DV171" s="268"/>
      <c r="DW171" s="268"/>
      <c r="DX171" s="268"/>
      <c r="DY171" s="268"/>
      <c r="DZ171" s="268"/>
      <c r="EA171" s="268"/>
      <c r="EB171" s="268"/>
      <c r="EC171" s="268"/>
      <c r="ED171" s="268"/>
      <c r="EE171" s="268"/>
      <c r="EF171" s="268"/>
      <c r="EG171" s="268"/>
      <c r="EH171" s="268"/>
      <c r="EI171" s="268"/>
      <c r="EJ171" s="268"/>
      <c r="EK171" s="268"/>
      <c r="EL171" s="268"/>
      <c r="EM171" s="268"/>
      <c r="EN171" s="268"/>
      <c r="EO171" s="268"/>
      <c r="EP171" s="268"/>
      <c r="EQ171" s="268"/>
      <c r="ER171" s="268"/>
      <c r="ES171" s="268"/>
      <c r="ET171" s="268"/>
      <c r="EU171" s="268"/>
      <c r="EV171" s="268"/>
      <c r="EW171" s="268"/>
      <c r="EX171" s="268"/>
      <c r="EY171" s="268"/>
      <c r="EZ171" s="268"/>
      <c r="FA171" s="268"/>
      <c r="FB171" s="268"/>
      <c r="FC171" s="268"/>
      <c r="FD171" s="268"/>
      <c r="FE171" s="268"/>
      <c r="FF171" s="268"/>
      <c r="FG171" s="268"/>
      <c r="FH171" s="268"/>
      <c r="FI171" s="268"/>
      <c r="FJ171" s="268"/>
      <c r="FK171" s="268"/>
      <c r="FL171" s="268"/>
      <c r="FM171" s="268"/>
      <c r="FN171" s="268"/>
      <c r="FO171" s="268"/>
      <c r="FP171" s="268"/>
      <c r="FQ171" s="268"/>
      <c r="FR171" s="268"/>
      <c r="FS171" s="268"/>
      <c r="FT171" s="268"/>
      <c r="FU171" s="268"/>
      <c r="FV171" s="268"/>
      <c r="FW171" s="268"/>
      <c r="FX171" s="268"/>
      <c r="FY171" s="268"/>
      <c r="FZ171" s="268"/>
      <c r="GA171" s="268"/>
      <c r="GB171" s="268"/>
      <c r="GC171" s="268"/>
      <c r="GD171" s="268"/>
      <c r="GE171" s="268"/>
      <c r="GF171" s="268"/>
      <c r="GG171" s="268"/>
      <c r="GH171" s="268"/>
      <c r="GI171" s="268"/>
      <c r="GJ171" s="268"/>
      <c r="GK171" s="268"/>
      <c r="GL171" s="268"/>
      <c r="GM171" s="268"/>
      <c r="GN171" s="268"/>
      <c r="GO171" s="268"/>
      <c r="GP171" s="268"/>
      <c r="GQ171" s="268"/>
      <c r="GR171" s="268"/>
      <c r="GS171" s="268"/>
      <c r="GT171" s="268"/>
      <c r="GU171" s="268"/>
      <c r="GV171" s="268"/>
      <c r="GW171" s="268"/>
      <c r="GX171" s="268"/>
      <c r="GY171" s="268"/>
      <c r="GZ171" s="268"/>
      <c r="HA171" s="268"/>
      <c r="HB171" s="268"/>
      <c r="HC171" s="268"/>
      <c r="HD171" s="268"/>
      <c r="HE171" s="268"/>
      <c r="HF171" s="268"/>
      <c r="HG171" s="268"/>
      <c r="HH171" s="268"/>
      <c r="HI171" s="268"/>
      <c r="HJ171" s="268"/>
      <c r="HK171" s="268"/>
      <c r="HL171" s="268"/>
      <c r="HM171" s="268"/>
      <c r="HN171" s="268"/>
      <c r="HO171" s="268"/>
      <c r="HP171" s="268"/>
      <c r="HQ171" s="268"/>
      <c r="HR171" s="268"/>
      <c r="HS171" s="268"/>
      <c r="HT171" s="268"/>
      <c r="HU171" s="268"/>
      <c r="HV171" s="268"/>
      <c r="HW171" s="268"/>
      <c r="HX171" s="268"/>
      <c r="HY171" s="268"/>
      <c r="HZ171" s="268"/>
      <c r="IA171" s="268"/>
      <c r="IB171" s="268"/>
      <c r="IC171" s="268"/>
      <c r="ID171" s="268"/>
      <c r="IE171" s="268"/>
      <c r="IF171" s="268"/>
      <c r="IG171" s="268"/>
      <c r="IH171" s="268"/>
      <c r="II171" s="268"/>
      <c r="IJ171" s="268"/>
      <c r="IK171" s="268"/>
      <c r="IL171" s="268"/>
      <c r="IM171" s="268"/>
      <c r="IN171" s="268"/>
      <c r="IO171" s="268"/>
      <c r="IP171" s="268"/>
      <c r="IQ171" s="268"/>
      <c r="IR171" s="268"/>
      <c r="IS171" s="268"/>
      <c r="IT171" s="268"/>
      <c r="IU171" s="268"/>
      <c r="IV171" s="268"/>
      <c r="IW171" s="268"/>
      <c r="IX171" s="268"/>
      <c r="IY171" s="268"/>
      <c r="IZ171" s="268"/>
      <c r="JA171" s="268"/>
      <c r="JB171" s="268"/>
      <c r="JC171" s="268"/>
      <c r="JD171" s="268"/>
      <c r="JE171" s="268"/>
      <c r="JF171" s="268"/>
      <c r="JG171" s="268"/>
      <c r="JH171" s="268"/>
      <c r="JI171" s="268"/>
      <c r="JJ171" s="268"/>
      <c r="JK171" s="268"/>
      <c r="JL171" s="268"/>
      <c r="JM171" s="268"/>
      <c r="JN171" s="268"/>
      <c r="JO171" s="268"/>
      <c r="JP171" s="268"/>
      <c r="JQ171" s="268"/>
      <c r="JR171" s="268"/>
      <c r="JS171" s="268"/>
      <c r="JT171" s="268"/>
      <c r="JU171" s="268"/>
      <c r="JV171" s="268"/>
      <c r="JW171" s="268"/>
      <c r="JX171" s="268"/>
      <c r="JY171" s="268"/>
      <c r="JZ171" s="268"/>
      <c r="KA171" s="268"/>
      <c r="KB171" s="268"/>
      <c r="KC171" s="268"/>
      <c r="KD171" s="268"/>
      <c r="KE171" s="268"/>
      <c r="KF171" s="268"/>
      <c r="KG171" s="268"/>
      <c r="KH171" s="268"/>
      <c r="KI171" s="268"/>
      <c r="KJ171" s="268"/>
      <c r="KK171" s="268"/>
      <c r="KL171" s="268"/>
      <c r="KM171" s="268"/>
      <c r="KN171" s="268"/>
      <c r="KO171" s="268"/>
      <c r="KP171" s="268"/>
      <c r="KQ171" s="268"/>
      <c r="KR171" s="268"/>
      <c r="KS171" s="268"/>
      <c r="KT171" s="268"/>
      <c r="KU171" s="268"/>
      <c r="KV171" s="268"/>
      <c r="KW171" s="268"/>
      <c r="KX171" s="268"/>
      <c r="KY171" s="268"/>
      <c r="KZ171" s="268"/>
      <c r="LA171" s="268"/>
      <c r="LB171" s="268"/>
      <c r="LC171" s="268"/>
      <c r="LD171" s="268"/>
      <c r="LE171" s="268"/>
      <c r="LF171" s="268"/>
      <c r="LG171" s="268"/>
      <c r="LH171" s="268"/>
      <c r="LI171" s="268"/>
      <c r="LJ171" s="268"/>
      <c r="LK171" s="268"/>
      <c r="LL171" s="268"/>
      <c r="LM171" s="268"/>
      <c r="LN171" s="268"/>
      <c r="LO171" s="268"/>
      <c r="LP171" s="268"/>
      <c r="LQ171" s="268"/>
      <c r="LR171" s="268"/>
      <c r="LS171" s="268"/>
      <c r="LT171" s="268"/>
      <c r="LU171" s="268"/>
      <c r="LV171" s="268"/>
      <c r="LW171" s="268"/>
      <c r="LX171" s="268"/>
      <c r="LY171" s="268"/>
      <c r="LZ171" s="268"/>
      <c r="MA171" s="268"/>
      <c r="MB171" s="268"/>
      <c r="MC171" s="268"/>
      <c r="MD171" s="268"/>
      <c r="ME171" s="268"/>
      <c r="MF171" s="268"/>
      <c r="MG171" s="268"/>
      <c r="MH171" s="268"/>
      <c r="MI171" s="268"/>
      <c r="MJ171" s="268"/>
      <c r="MK171" s="268"/>
      <c r="ML171" s="268"/>
      <c r="MM171" s="268"/>
      <c r="MN171" s="268"/>
      <c r="MO171" s="268"/>
      <c r="MP171" s="268"/>
      <c r="MQ171" s="268"/>
      <c r="MR171" s="268"/>
      <c r="MS171" s="268"/>
      <c r="MT171" s="268"/>
      <c r="MU171" s="268"/>
      <c r="MV171" s="268"/>
      <c r="MW171" s="268"/>
      <c r="MX171" s="268"/>
      <c r="MY171" s="268"/>
      <c r="MZ171" s="268"/>
      <c r="NA171" s="268"/>
      <c r="NB171" s="268"/>
      <c r="NC171" s="268"/>
      <c r="ND171" s="268"/>
      <c r="NE171" s="268"/>
      <c r="NF171" s="268"/>
      <c r="NG171" s="268"/>
      <c r="NH171" s="268"/>
      <c r="NI171" s="268"/>
      <c r="NJ171" s="268"/>
      <c r="NK171" s="268"/>
      <c r="NL171" s="268"/>
      <c r="NM171" s="268"/>
      <c r="NN171" s="268"/>
      <c r="NO171" s="268"/>
      <c r="NP171" s="268"/>
      <c r="NQ171" s="268"/>
      <c r="NR171" s="268"/>
      <c r="NS171" s="268"/>
      <c r="NT171" s="268"/>
      <c r="NU171" s="268"/>
      <c r="NV171" s="268"/>
      <c r="NW171" s="268"/>
      <c r="NX171" s="268"/>
      <c r="NY171" s="268"/>
      <c r="NZ171" s="268"/>
      <c r="OA171" s="268"/>
      <c r="OB171" s="268"/>
      <c r="OC171" s="268"/>
      <c r="OD171" s="268"/>
      <c r="OE171" s="268"/>
      <c r="OF171" s="268"/>
      <c r="OG171" s="268"/>
      <c r="OH171" s="268"/>
      <c r="OI171" s="268"/>
      <c r="OJ171" s="268"/>
      <c r="OK171" s="268"/>
      <c r="OL171" s="268"/>
      <c r="OM171" s="268"/>
      <c r="ON171" s="268"/>
      <c r="OO171" s="268"/>
      <c r="OP171" s="268"/>
      <c r="OQ171" s="268"/>
      <c r="OR171" s="268"/>
      <c r="OS171" s="268"/>
      <c r="OT171" s="268"/>
      <c r="OU171" s="268"/>
      <c r="OV171" s="268"/>
      <c r="OW171" s="268"/>
      <c r="OX171" s="268"/>
      <c r="OY171" s="268"/>
      <c r="OZ171" s="268"/>
      <c r="PA171" s="268"/>
      <c r="PB171" s="268"/>
      <c r="PC171" s="268"/>
      <c r="PD171" s="268"/>
      <c r="PE171" s="268"/>
      <c r="PF171" s="268"/>
      <c r="PG171" s="268"/>
      <c r="PH171" s="268"/>
      <c r="PI171" s="268"/>
      <c r="PJ171" s="268"/>
      <c r="PK171" s="268"/>
      <c r="PL171" s="268"/>
      <c r="PM171" s="268"/>
      <c r="PN171" s="268"/>
      <c r="PO171" s="268"/>
      <c r="PP171" s="268"/>
      <c r="PQ171" s="268"/>
      <c r="PR171" s="268"/>
      <c r="PS171" s="268"/>
      <c r="PT171" s="268"/>
      <c r="PU171" s="268"/>
      <c r="PV171" s="268"/>
      <c r="PW171" s="268"/>
      <c r="PX171" s="268"/>
      <c r="PY171" s="268"/>
      <c r="PZ171" s="268"/>
      <c r="QA171" s="268"/>
      <c r="QB171" s="268"/>
      <c r="QC171" s="268"/>
      <c r="QD171" s="268"/>
      <c r="QE171" s="268"/>
      <c r="QF171" s="268"/>
      <c r="QG171" s="268"/>
      <c r="QH171" s="268"/>
      <c r="QI171" s="268"/>
      <c r="QJ171" s="268"/>
      <c r="QK171" s="268"/>
      <c r="QL171" s="268"/>
      <c r="QM171" s="268"/>
      <c r="QN171" s="268"/>
      <c r="QO171" s="268"/>
      <c r="QP171" s="268"/>
      <c r="QQ171" s="268"/>
      <c r="QR171" s="268"/>
      <c r="QS171" s="268"/>
      <c r="QT171" s="268"/>
      <c r="QU171" s="268"/>
      <c r="QV171" s="268"/>
      <c r="QW171" s="268"/>
      <c r="QX171" s="268"/>
      <c r="QY171" s="268"/>
      <c r="QZ171" s="268"/>
      <c r="RA171" s="268"/>
      <c r="RB171" s="268"/>
      <c r="RC171" s="268"/>
      <c r="RD171" s="268"/>
      <c r="RE171" s="268"/>
      <c r="RF171" s="268"/>
      <c r="RG171" s="268"/>
      <c r="RH171" s="268"/>
      <c r="RI171" s="268"/>
      <c r="RJ171" s="268"/>
      <c r="RK171" s="268"/>
      <c r="RL171" s="268"/>
      <c r="RM171" s="268"/>
      <c r="RN171" s="268"/>
      <c r="RO171" s="268"/>
      <c r="RP171" s="268"/>
      <c r="RQ171" s="268"/>
      <c r="RR171" s="268"/>
      <c r="RS171" s="268"/>
      <c r="RT171" s="268"/>
      <c r="RU171" s="268"/>
      <c r="RV171" s="268"/>
      <c r="RW171" s="268"/>
      <c r="RX171" s="268"/>
      <c r="RY171" s="268"/>
      <c r="RZ171" s="268"/>
      <c r="SA171" s="268"/>
      <c r="SB171" s="268"/>
      <c r="SC171" s="268"/>
      <c r="SD171" s="268"/>
      <c r="SE171" s="268"/>
      <c r="SF171" s="268"/>
      <c r="SG171" s="268"/>
      <c r="SH171" s="268"/>
      <c r="SI171" s="268"/>
      <c r="SJ171" s="268"/>
      <c r="SK171" s="268"/>
      <c r="SL171" s="268"/>
      <c r="SM171" s="268"/>
      <c r="SN171" s="268"/>
      <c r="SO171" s="268"/>
      <c r="SP171" s="268"/>
      <c r="SQ171" s="268"/>
      <c r="SR171" s="268"/>
      <c r="SS171" s="268"/>
      <c r="ST171" s="268"/>
      <c r="SU171" s="268"/>
      <c r="SV171" s="268"/>
      <c r="SW171" s="268"/>
      <c r="SX171" s="268"/>
      <c r="SY171" s="268"/>
      <c r="SZ171" s="268"/>
      <c r="TA171" s="268"/>
      <c r="TB171" s="268"/>
      <c r="TC171" s="268"/>
      <c r="TD171" s="268"/>
      <c r="TE171" s="268"/>
      <c r="TF171" s="268"/>
      <c r="TG171" s="268"/>
      <c r="TH171" s="268"/>
      <c r="TI171" s="268"/>
      <c r="TJ171" s="268"/>
      <c r="TK171" s="268"/>
      <c r="TL171" s="268"/>
      <c r="TM171" s="268"/>
      <c r="TN171" s="268"/>
      <c r="TO171" s="268"/>
      <c r="TP171" s="268"/>
      <c r="TQ171" s="268"/>
      <c r="TR171" s="268"/>
      <c r="TS171" s="268"/>
      <c r="TT171" s="268"/>
      <c r="TU171" s="268"/>
      <c r="TV171" s="268"/>
      <c r="TW171" s="268"/>
      <c r="TX171" s="268"/>
      <c r="TY171" s="268"/>
      <c r="TZ171" s="268"/>
      <c r="UA171" s="268"/>
      <c r="UB171" s="268"/>
      <c r="UC171" s="268"/>
      <c r="UD171" s="268"/>
      <c r="UE171" s="268"/>
      <c r="UF171" s="268"/>
      <c r="UG171" s="269"/>
    </row>
    <row r="172" spans="1:553" s="236" customFormat="1" ht="27.75" customHeight="1">
      <c r="A172" s="445"/>
      <c r="B172" s="445"/>
      <c r="C172" s="384" t="s">
        <v>22</v>
      </c>
      <c r="D172" s="376">
        <v>2</v>
      </c>
      <c r="E172" s="376">
        <v>48</v>
      </c>
      <c r="F172" s="379">
        <v>1</v>
      </c>
      <c r="G172" s="386" t="s">
        <v>935</v>
      </c>
      <c r="H172" s="478"/>
      <c r="I172" s="417">
        <v>830.2</v>
      </c>
      <c r="J172" s="477">
        <v>62000</v>
      </c>
      <c r="K172" s="849">
        <v>1</v>
      </c>
      <c r="L172" s="480">
        <f t="shared" si="37"/>
        <v>51472400</v>
      </c>
      <c r="M172" s="480"/>
      <c r="N172" s="480"/>
      <c r="O172" s="480"/>
      <c r="P172" s="1127"/>
      <c r="Q172" s="1229"/>
      <c r="R172" s="1139"/>
      <c r="S172" s="308"/>
      <c r="T172" s="303"/>
      <c r="U172" s="306"/>
      <c r="V172" s="307"/>
      <c r="W172" s="307"/>
      <c r="X172" s="307"/>
      <c r="Y172" s="307"/>
      <c r="Z172" s="307"/>
      <c r="AA172" s="307"/>
      <c r="AB172" s="307"/>
      <c r="AC172" s="306"/>
      <c r="AD172" s="308"/>
      <c r="AE172" s="308"/>
      <c r="AF172" s="308"/>
      <c r="AG172" s="308"/>
      <c r="AH172" s="308"/>
      <c r="AI172" s="308"/>
      <c r="AJ172" s="308"/>
      <c r="AK172" s="308"/>
      <c r="AL172" s="347"/>
      <c r="AM172" s="268"/>
      <c r="AN172" s="268"/>
      <c r="AO172" s="268"/>
      <c r="AP172" s="268"/>
      <c r="AQ172" s="268"/>
      <c r="AR172" s="268"/>
      <c r="AS172" s="268"/>
      <c r="AT172" s="268"/>
      <c r="AU172" s="268"/>
      <c r="AV172" s="268"/>
      <c r="AW172" s="268"/>
      <c r="AX172" s="268"/>
      <c r="AY172" s="268"/>
      <c r="AZ172" s="268"/>
      <c r="BA172" s="268"/>
      <c r="BB172" s="268"/>
      <c r="BC172" s="268"/>
      <c r="BD172" s="268"/>
      <c r="BE172" s="268"/>
      <c r="BF172" s="268"/>
      <c r="BG172" s="268"/>
      <c r="BH172" s="268"/>
      <c r="BI172" s="268"/>
      <c r="BJ172" s="268"/>
      <c r="BK172" s="268"/>
      <c r="BL172" s="268"/>
      <c r="BM172" s="268"/>
      <c r="BN172" s="268"/>
      <c r="BO172" s="268"/>
      <c r="BP172" s="268"/>
      <c r="BQ172" s="268"/>
      <c r="BR172" s="268"/>
      <c r="BS172" s="268"/>
      <c r="BT172" s="268"/>
      <c r="BU172" s="268"/>
      <c r="BV172" s="268"/>
      <c r="BW172" s="268"/>
      <c r="BX172" s="268"/>
      <c r="BY172" s="268"/>
      <c r="BZ172" s="268"/>
      <c r="CA172" s="268"/>
      <c r="CB172" s="268"/>
      <c r="CC172" s="268"/>
      <c r="CD172" s="268"/>
      <c r="CE172" s="268"/>
      <c r="CF172" s="268"/>
      <c r="CG172" s="268"/>
      <c r="CH172" s="268"/>
      <c r="CI172" s="268"/>
      <c r="CJ172" s="268"/>
      <c r="CK172" s="268"/>
      <c r="CL172" s="268"/>
      <c r="CM172" s="268"/>
      <c r="CN172" s="268"/>
      <c r="CO172" s="268"/>
      <c r="CP172" s="268"/>
      <c r="CQ172" s="268"/>
      <c r="CR172" s="268"/>
      <c r="CS172" s="268"/>
      <c r="CT172" s="268"/>
      <c r="CU172" s="268"/>
      <c r="CV172" s="268"/>
      <c r="CW172" s="268"/>
      <c r="CX172" s="268"/>
      <c r="CY172" s="268"/>
      <c r="CZ172" s="268"/>
      <c r="DA172" s="268"/>
      <c r="DB172" s="268"/>
      <c r="DC172" s="268"/>
      <c r="DD172" s="268"/>
      <c r="DE172" s="268"/>
      <c r="DF172" s="268"/>
      <c r="DG172" s="268"/>
      <c r="DH172" s="268"/>
      <c r="DI172" s="268"/>
      <c r="DJ172" s="268"/>
      <c r="DK172" s="268"/>
      <c r="DL172" s="268"/>
      <c r="DM172" s="268"/>
      <c r="DN172" s="268"/>
      <c r="DO172" s="268"/>
      <c r="DP172" s="268"/>
      <c r="DQ172" s="268"/>
      <c r="DR172" s="268"/>
      <c r="DS172" s="268"/>
      <c r="DT172" s="268"/>
      <c r="DU172" s="268"/>
      <c r="DV172" s="268"/>
      <c r="DW172" s="268"/>
      <c r="DX172" s="268"/>
      <c r="DY172" s="268"/>
      <c r="DZ172" s="268"/>
      <c r="EA172" s="268"/>
      <c r="EB172" s="268"/>
      <c r="EC172" s="268"/>
      <c r="ED172" s="268"/>
      <c r="EE172" s="268"/>
      <c r="EF172" s="268"/>
      <c r="EG172" s="268"/>
      <c r="EH172" s="268"/>
      <c r="EI172" s="268"/>
      <c r="EJ172" s="268"/>
      <c r="EK172" s="268"/>
      <c r="EL172" s="268"/>
      <c r="EM172" s="268"/>
      <c r="EN172" s="268"/>
      <c r="EO172" s="268"/>
      <c r="EP172" s="268"/>
      <c r="EQ172" s="268"/>
      <c r="ER172" s="268"/>
      <c r="ES172" s="268"/>
      <c r="ET172" s="268"/>
      <c r="EU172" s="268"/>
      <c r="EV172" s="268"/>
      <c r="EW172" s="268"/>
      <c r="EX172" s="268"/>
      <c r="EY172" s="268"/>
      <c r="EZ172" s="268"/>
      <c r="FA172" s="268"/>
      <c r="FB172" s="268"/>
      <c r="FC172" s="268"/>
      <c r="FD172" s="268"/>
      <c r="FE172" s="268"/>
      <c r="FF172" s="268"/>
      <c r="FG172" s="268"/>
      <c r="FH172" s="268"/>
      <c r="FI172" s="268"/>
      <c r="FJ172" s="268"/>
      <c r="FK172" s="268"/>
      <c r="FL172" s="268"/>
      <c r="FM172" s="268"/>
      <c r="FN172" s="268"/>
      <c r="FO172" s="268"/>
      <c r="FP172" s="268"/>
      <c r="FQ172" s="268"/>
      <c r="FR172" s="268"/>
      <c r="FS172" s="268"/>
      <c r="FT172" s="268"/>
      <c r="FU172" s="268"/>
      <c r="FV172" s="268"/>
      <c r="FW172" s="268"/>
      <c r="FX172" s="268"/>
      <c r="FY172" s="268"/>
      <c r="FZ172" s="268"/>
      <c r="GA172" s="268"/>
      <c r="GB172" s="268"/>
      <c r="GC172" s="268"/>
      <c r="GD172" s="268"/>
      <c r="GE172" s="268"/>
      <c r="GF172" s="268"/>
      <c r="GG172" s="268"/>
      <c r="GH172" s="268"/>
      <c r="GI172" s="268"/>
      <c r="GJ172" s="268"/>
      <c r="GK172" s="268"/>
      <c r="GL172" s="268"/>
      <c r="GM172" s="268"/>
      <c r="GN172" s="268"/>
      <c r="GO172" s="268"/>
      <c r="GP172" s="268"/>
      <c r="GQ172" s="268"/>
      <c r="GR172" s="268"/>
      <c r="GS172" s="268"/>
      <c r="GT172" s="268"/>
      <c r="GU172" s="268"/>
      <c r="GV172" s="268"/>
      <c r="GW172" s="268"/>
      <c r="GX172" s="268"/>
      <c r="GY172" s="268"/>
      <c r="GZ172" s="268"/>
      <c r="HA172" s="268"/>
      <c r="HB172" s="268"/>
      <c r="HC172" s="268"/>
      <c r="HD172" s="268"/>
      <c r="HE172" s="268"/>
      <c r="HF172" s="268"/>
      <c r="HG172" s="268"/>
      <c r="HH172" s="268"/>
      <c r="HI172" s="268"/>
      <c r="HJ172" s="268"/>
      <c r="HK172" s="268"/>
      <c r="HL172" s="268"/>
      <c r="HM172" s="268"/>
      <c r="HN172" s="268"/>
      <c r="HO172" s="268"/>
      <c r="HP172" s="268"/>
      <c r="HQ172" s="268"/>
      <c r="HR172" s="268"/>
      <c r="HS172" s="268"/>
      <c r="HT172" s="268"/>
      <c r="HU172" s="268"/>
      <c r="HV172" s="268"/>
      <c r="HW172" s="268"/>
      <c r="HX172" s="268"/>
      <c r="HY172" s="268"/>
      <c r="HZ172" s="268"/>
      <c r="IA172" s="268"/>
      <c r="IB172" s="268"/>
      <c r="IC172" s="268"/>
      <c r="ID172" s="268"/>
      <c r="IE172" s="268"/>
      <c r="IF172" s="268"/>
      <c r="IG172" s="268"/>
      <c r="IH172" s="268"/>
      <c r="II172" s="268"/>
      <c r="IJ172" s="268"/>
      <c r="IK172" s="268"/>
      <c r="IL172" s="268"/>
      <c r="IM172" s="268"/>
      <c r="IN172" s="268"/>
      <c r="IO172" s="268"/>
      <c r="IP172" s="268"/>
      <c r="IQ172" s="268"/>
      <c r="IR172" s="268"/>
      <c r="IS172" s="268"/>
      <c r="IT172" s="268"/>
      <c r="IU172" s="268"/>
      <c r="IV172" s="268"/>
      <c r="IW172" s="268"/>
      <c r="IX172" s="268"/>
      <c r="IY172" s="268"/>
      <c r="IZ172" s="268"/>
      <c r="JA172" s="268"/>
      <c r="JB172" s="268"/>
      <c r="JC172" s="268"/>
      <c r="JD172" s="268"/>
      <c r="JE172" s="268"/>
      <c r="JF172" s="268"/>
      <c r="JG172" s="268"/>
      <c r="JH172" s="268"/>
      <c r="JI172" s="268"/>
      <c r="JJ172" s="268"/>
      <c r="JK172" s="268"/>
      <c r="JL172" s="268"/>
      <c r="JM172" s="268"/>
      <c r="JN172" s="268"/>
      <c r="JO172" s="268"/>
      <c r="JP172" s="268"/>
      <c r="JQ172" s="268"/>
      <c r="JR172" s="268"/>
      <c r="JS172" s="268"/>
      <c r="JT172" s="268"/>
      <c r="JU172" s="268"/>
      <c r="JV172" s="268"/>
      <c r="JW172" s="268"/>
      <c r="JX172" s="268"/>
      <c r="JY172" s="268"/>
      <c r="JZ172" s="268"/>
      <c r="KA172" s="268"/>
      <c r="KB172" s="268"/>
      <c r="KC172" s="268"/>
      <c r="KD172" s="268"/>
      <c r="KE172" s="268"/>
      <c r="KF172" s="268"/>
      <c r="KG172" s="268"/>
      <c r="KH172" s="268"/>
      <c r="KI172" s="268"/>
      <c r="KJ172" s="268"/>
      <c r="KK172" s="268"/>
      <c r="KL172" s="268"/>
      <c r="KM172" s="268"/>
      <c r="KN172" s="268"/>
      <c r="KO172" s="268"/>
      <c r="KP172" s="268"/>
      <c r="KQ172" s="268"/>
      <c r="KR172" s="268"/>
      <c r="KS172" s="268"/>
      <c r="KT172" s="268"/>
      <c r="KU172" s="268"/>
      <c r="KV172" s="268"/>
      <c r="KW172" s="268"/>
      <c r="KX172" s="268"/>
      <c r="KY172" s="268"/>
      <c r="KZ172" s="268"/>
      <c r="LA172" s="268"/>
      <c r="LB172" s="268"/>
      <c r="LC172" s="268"/>
      <c r="LD172" s="268"/>
      <c r="LE172" s="268"/>
      <c r="LF172" s="268"/>
      <c r="LG172" s="268"/>
      <c r="LH172" s="268"/>
      <c r="LI172" s="268"/>
      <c r="LJ172" s="268"/>
      <c r="LK172" s="268"/>
      <c r="LL172" s="268"/>
      <c r="LM172" s="268"/>
      <c r="LN172" s="268"/>
      <c r="LO172" s="268"/>
      <c r="LP172" s="268"/>
      <c r="LQ172" s="268"/>
      <c r="LR172" s="268"/>
      <c r="LS172" s="268"/>
      <c r="LT172" s="268"/>
      <c r="LU172" s="268"/>
      <c r="LV172" s="268"/>
      <c r="LW172" s="268"/>
      <c r="LX172" s="268"/>
      <c r="LY172" s="268"/>
      <c r="LZ172" s="268"/>
      <c r="MA172" s="268"/>
      <c r="MB172" s="268"/>
      <c r="MC172" s="268"/>
      <c r="MD172" s="268"/>
      <c r="ME172" s="268"/>
      <c r="MF172" s="268"/>
      <c r="MG172" s="268"/>
      <c r="MH172" s="268"/>
      <c r="MI172" s="268"/>
      <c r="MJ172" s="268"/>
      <c r="MK172" s="268"/>
      <c r="ML172" s="268"/>
      <c r="MM172" s="268"/>
      <c r="MN172" s="268"/>
      <c r="MO172" s="268"/>
      <c r="MP172" s="268"/>
      <c r="MQ172" s="268"/>
      <c r="MR172" s="268"/>
      <c r="MS172" s="268"/>
      <c r="MT172" s="268"/>
      <c r="MU172" s="268"/>
      <c r="MV172" s="268"/>
      <c r="MW172" s="268"/>
      <c r="MX172" s="268"/>
      <c r="MY172" s="268"/>
      <c r="MZ172" s="268"/>
      <c r="NA172" s="268"/>
      <c r="NB172" s="268"/>
      <c r="NC172" s="268"/>
      <c r="ND172" s="268"/>
      <c r="NE172" s="268"/>
      <c r="NF172" s="268"/>
      <c r="NG172" s="268"/>
      <c r="NH172" s="268"/>
      <c r="NI172" s="268"/>
      <c r="NJ172" s="268"/>
      <c r="NK172" s="268"/>
      <c r="NL172" s="268"/>
      <c r="NM172" s="268"/>
      <c r="NN172" s="268"/>
      <c r="NO172" s="268"/>
      <c r="NP172" s="268"/>
      <c r="NQ172" s="268"/>
      <c r="NR172" s="268"/>
      <c r="NS172" s="268"/>
      <c r="NT172" s="268"/>
      <c r="NU172" s="268"/>
      <c r="NV172" s="268"/>
      <c r="NW172" s="268"/>
      <c r="NX172" s="268"/>
      <c r="NY172" s="268"/>
      <c r="NZ172" s="268"/>
      <c r="OA172" s="268"/>
      <c r="OB172" s="268"/>
      <c r="OC172" s="268"/>
      <c r="OD172" s="268"/>
      <c r="OE172" s="268"/>
      <c r="OF172" s="268"/>
      <c r="OG172" s="268"/>
      <c r="OH172" s="268"/>
      <c r="OI172" s="268"/>
      <c r="OJ172" s="268"/>
      <c r="OK172" s="268"/>
      <c r="OL172" s="268"/>
      <c r="OM172" s="268"/>
      <c r="ON172" s="268"/>
      <c r="OO172" s="268"/>
      <c r="OP172" s="268"/>
      <c r="OQ172" s="268"/>
      <c r="OR172" s="268"/>
      <c r="OS172" s="268"/>
      <c r="OT172" s="268"/>
      <c r="OU172" s="268"/>
      <c r="OV172" s="268"/>
      <c r="OW172" s="268"/>
      <c r="OX172" s="268"/>
      <c r="OY172" s="268"/>
      <c r="OZ172" s="268"/>
      <c r="PA172" s="268"/>
      <c r="PB172" s="268"/>
      <c r="PC172" s="268"/>
      <c r="PD172" s="268"/>
      <c r="PE172" s="268"/>
      <c r="PF172" s="268"/>
      <c r="PG172" s="268"/>
      <c r="PH172" s="268"/>
      <c r="PI172" s="268"/>
      <c r="PJ172" s="268"/>
      <c r="PK172" s="268"/>
      <c r="PL172" s="268"/>
      <c r="PM172" s="268"/>
      <c r="PN172" s="268"/>
      <c r="PO172" s="268"/>
      <c r="PP172" s="268"/>
      <c r="PQ172" s="268"/>
      <c r="PR172" s="268"/>
      <c r="PS172" s="268"/>
      <c r="PT172" s="268"/>
      <c r="PU172" s="268"/>
      <c r="PV172" s="268"/>
      <c r="PW172" s="268"/>
      <c r="PX172" s="268"/>
      <c r="PY172" s="268"/>
      <c r="PZ172" s="268"/>
      <c r="QA172" s="268"/>
      <c r="QB172" s="268"/>
      <c r="QC172" s="268"/>
      <c r="QD172" s="268"/>
      <c r="QE172" s="268"/>
      <c r="QF172" s="268"/>
      <c r="QG172" s="268"/>
      <c r="QH172" s="268"/>
      <c r="QI172" s="268"/>
      <c r="QJ172" s="268"/>
      <c r="QK172" s="268"/>
      <c r="QL172" s="268"/>
      <c r="QM172" s="268"/>
      <c r="QN172" s="268"/>
      <c r="QO172" s="268"/>
      <c r="QP172" s="268"/>
      <c r="QQ172" s="268"/>
      <c r="QR172" s="268"/>
      <c r="QS172" s="268"/>
      <c r="QT172" s="268"/>
      <c r="QU172" s="268"/>
      <c r="QV172" s="268"/>
      <c r="QW172" s="268"/>
      <c r="QX172" s="268"/>
      <c r="QY172" s="268"/>
      <c r="QZ172" s="268"/>
      <c r="RA172" s="268"/>
      <c r="RB172" s="268"/>
      <c r="RC172" s="268"/>
      <c r="RD172" s="268"/>
      <c r="RE172" s="268"/>
      <c r="RF172" s="268"/>
      <c r="RG172" s="268"/>
      <c r="RH172" s="268"/>
      <c r="RI172" s="268"/>
      <c r="RJ172" s="268"/>
      <c r="RK172" s="268"/>
      <c r="RL172" s="268"/>
      <c r="RM172" s="268"/>
      <c r="RN172" s="268"/>
      <c r="RO172" s="268"/>
      <c r="RP172" s="268"/>
      <c r="RQ172" s="268"/>
      <c r="RR172" s="268"/>
      <c r="RS172" s="268"/>
      <c r="RT172" s="268"/>
      <c r="RU172" s="268"/>
      <c r="RV172" s="268"/>
      <c r="RW172" s="268"/>
      <c r="RX172" s="268"/>
      <c r="RY172" s="268"/>
      <c r="RZ172" s="268"/>
      <c r="SA172" s="268"/>
      <c r="SB172" s="268"/>
      <c r="SC172" s="268"/>
      <c r="SD172" s="268"/>
      <c r="SE172" s="268"/>
      <c r="SF172" s="268"/>
      <c r="SG172" s="268"/>
      <c r="SH172" s="268"/>
      <c r="SI172" s="268"/>
      <c r="SJ172" s="268"/>
      <c r="SK172" s="268"/>
      <c r="SL172" s="268"/>
      <c r="SM172" s="268"/>
      <c r="SN172" s="268"/>
      <c r="SO172" s="268"/>
      <c r="SP172" s="268"/>
      <c r="SQ172" s="268"/>
      <c r="SR172" s="268"/>
      <c r="SS172" s="268"/>
      <c r="ST172" s="268"/>
      <c r="SU172" s="268"/>
      <c r="SV172" s="268"/>
      <c r="SW172" s="268"/>
      <c r="SX172" s="268"/>
      <c r="SY172" s="268"/>
      <c r="SZ172" s="268"/>
      <c r="TA172" s="268"/>
      <c r="TB172" s="268"/>
      <c r="TC172" s="268"/>
      <c r="TD172" s="268"/>
      <c r="TE172" s="268"/>
      <c r="TF172" s="268"/>
      <c r="TG172" s="268"/>
      <c r="TH172" s="268"/>
      <c r="TI172" s="268"/>
      <c r="TJ172" s="268"/>
      <c r="TK172" s="268"/>
      <c r="TL172" s="268"/>
      <c r="TM172" s="268"/>
      <c r="TN172" s="268"/>
      <c r="TO172" s="268"/>
      <c r="TP172" s="268"/>
      <c r="TQ172" s="268"/>
      <c r="TR172" s="268"/>
      <c r="TS172" s="268"/>
      <c r="TT172" s="268"/>
      <c r="TU172" s="268"/>
      <c r="TV172" s="268"/>
      <c r="TW172" s="268"/>
      <c r="TX172" s="268"/>
      <c r="TY172" s="268"/>
      <c r="TZ172" s="268"/>
      <c r="UA172" s="268"/>
      <c r="UB172" s="268"/>
      <c r="UC172" s="268"/>
      <c r="UD172" s="268"/>
      <c r="UE172" s="268"/>
      <c r="UF172" s="268"/>
      <c r="UG172" s="269"/>
    </row>
    <row r="173" spans="1:553" s="236" customFormat="1" ht="27.75" customHeight="1">
      <c r="A173" s="482"/>
      <c r="B173" s="482"/>
      <c r="C173" s="380" t="s">
        <v>72</v>
      </c>
      <c r="D173" s="464" t="s">
        <v>20</v>
      </c>
      <c r="E173" s="464" t="s">
        <v>135</v>
      </c>
      <c r="F173" s="379">
        <v>1</v>
      </c>
      <c r="G173" s="465" t="s">
        <v>1395</v>
      </c>
      <c r="H173" s="483"/>
      <c r="I173" s="1058">
        <v>675.3</v>
      </c>
      <c r="J173" s="1060">
        <v>10000</v>
      </c>
      <c r="K173" s="847">
        <v>1</v>
      </c>
      <c r="L173" s="484">
        <f t="shared" si="37"/>
        <v>6753000</v>
      </c>
      <c r="M173" s="484"/>
      <c r="N173" s="484"/>
      <c r="O173" s="484"/>
      <c r="P173" s="1128"/>
      <c r="Q173" s="1229"/>
      <c r="R173" s="1140"/>
      <c r="S173" s="308"/>
      <c r="T173" s="303"/>
      <c r="U173" s="306"/>
      <c r="V173" s="307"/>
      <c r="W173" s="307"/>
      <c r="X173" s="307"/>
      <c r="Y173" s="307"/>
      <c r="Z173" s="307"/>
      <c r="AA173" s="307"/>
      <c r="AB173" s="307"/>
      <c r="AC173" s="485"/>
      <c r="AD173" s="486"/>
      <c r="AE173" s="486"/>
      <c r="AF173" s="486"/>
      <c r="AG173" s="486"/>
      <c r="AH173" s="486"/>
      <c r="AI173" s="486"/>
      <c r="AJ173" s="486"/>
      <c r="AK173" s="486"/>
      <c r="AL173" s="348"/>
      <c r="AM173" s="270"/>
      <c r="AN173" s="270"/>
      <c r="AO173" s="270"/>
      <c r="AP173" s="270"/>
      <c r="AQ173" s="270"/>
      <c r="AR173" s="270"/>
      <c r="AS173" s="270"/>
      <c r="AT173" s="270"/>
      <c r="AU173" s="270"/>
      <c r="AV173" s="270"/>
      <c r="AW173" s="270"/>
      <c r="AX173" s="270"/>
      <c r="AY173" s="270"/>
      <c r="AZ173" s="270"/>
      <c r="BA173" s="270"/>
      <c r="BB173" s="270"/>
      <c r="BC173" s="270"/>
      <c r="BD173" s="270"/>
      <c r="BE173" s="270"/>
      <c r="BF173" s="270"/>
      <c r="BG173" s="270"/>
      <c r="BH173" s="270"/>
      <c r="BI173" s="270"/>
      <c r="BJ173" s="270"/>
      <c r="BK173" s="270"/>
      <c r="BL173" s="270"/>
      <c r="BM173" s="270"/>
      <c r="BN173" s="270"/>
      <c r="BO173" s="270"/>
      <c r="BP173" s="270"/>
      <c r="BQ173" s="270"/>
      <c r="BR173" s="270"/>
      <c r="BS173" s="270"/>
      <c r="BT173" s="270"/>
      <c r="BU173" s="270"/>
      <c r="BV173" s="270"/>
      <c r="BW173" s="270"/>
      <c r="BX173" s="270"/>
      <c r="BY173" s="270"/>
      <c r="BZ173" s="270"/>
      <c r="CA173" s="270"/>
      <c r="CB173" s="270"/>
      <c r="CC173" s="270"/>
      <c r="CD173" s="270"/>
      <c r="CE173" s="270"/>
      <c r="CF173" s="270"/>
      <c r="CG173" s="270"/>
      <c r="CH173" s="270"/>
      <c r="CI173" s="270"/>
      <c r="CJ173" s="270"/>
      <c r="CK173" s="270"/>
      <c r="CL173" s="270"/>
      <c r="CM173" s="270"/>
      <c r="CN173" s="270"/>
      <c r="CO173" s="270"/>
      <c r="CP173" s="270"/>
      <c r="CQ173" s="270"/>
      <c r="CR173" s="270"/>
      <c r="CS173" s="270"/>
      <c r="CT173" s="270"/>
      <c r="CU173" s="270"/>
      <c r="CV173" s="270"/>
      <c r="CW173" s="270"/>
      <c r="CX173" s="270"/>
      <c r="CY173" s="270"/>
      <c r="CZ173" s="270"/>
      <c r="DA173" s="270"/>
      <c r="DB173" s="270"/>
      <c r="DC173" s="270"/>
      <c r="DD173" s="270"/>
      <c r="DE173" s="270"/>
      <c r="DF173" s="270"/>
      <c r="DG173" s="270"/>
      <c r="DH173" s="270"/>
      <c r="DI173" s="270"/>
      <c r="DJ173" s="270"/>
      <c r="DK173" s="270"/>
      <c r="DL173" s="270"/>
      <c r="DM173" s="270"/>
      <c r="DN173" s="270"/>
      <c r="DO173" s="270"/>
      <c r="DP173" s="270"/>
      <c r="DQ173" s="270"/>
      <c r="DR173" s="270"/>
      <c r="DS173" s="270"/>
      <c r="DT173" s="270"/>
      <c r="DU173" s="270"/>
      <c r="DV173" s="270"/>
      <c r="DW173" s="270"/>
      <c r="DX173" s="270"/>
      <c r="DY173" s="270"/>
      <c r="DZ173" s="270"/>
      <c r="EA173" s="270"/>
      <c r="EB173" s="270"/>
      <c r="EC173" s="270"/>
      <c r="ED173" s="270"/>
      <c r="EE173" s="270"/>
      <c r="EF173" s="270"/>
      <c r="EG173" s="270"/>
      <c r="EH173" s="270"/>
      <c r="EI173" s="270"/>
      <c r="EJ173" s="270"/>
      <c r="EK173" s="270"/>
      <c r="EL173" s="270"/>
      <c r="EM173" s="270"/>
      <c r="EN173" s="270"/>
      <c r="EO173" s="270"/>
      <c r="EP173" s="270"/>
      <c r="EQ173" s="270"/>
      <c r="ER173" s="270"/>
      <c r="ES173" s="270"/>
      <c r="ET173" s="270"/>
      <c r="EU173" s="270"/>
      <c r="EV173" s="270"/>
      <c r="EW173" s="270"/>
      <c r="EX173" s="270"/>
      <c r="EY173" s="270"/>
      <c r="EZ173" s="270"/>
      <c r="FA173" s="270"/>
      <c r="FB173" s="270"/>
      <c r="FC173" s="270"/>
      <c r="FD173" s="270"/>
      <c r="FE173" s="270"/>
      <c r="FF173" s="270"/>
      <c r="FG173" s="270"/>
      <c r="FH173" s="270"/>
      <c r="FI173" s="270"/>
      <c r="FJ173" s="270"/>
      <c r="FK173" s="270"/>
      <c r="FL173" s="270"/>
      <c r="FM173" s="270"/>
      <c r="FN173" s="270"/>
      <c r="FO173" s="270"/>
      <c r="FP173" s="270"/>
      <c r="FQ173" s="270"/>
      <c r="FR173" s="270"/>
      <c r="FS173" s="270"/>
      <c r="FT173" s="270"/>
      <c r="FU173" s="270"/>
      <c r="FV173" s="270"/>
      <c r="FW173" s="270"/>
      <c r="FX173" s="270"/>
      <c r="FY173" s="270"/>
      <c r="FZ173" s="270"/>
      <c r="GA173" s="270"/>
      <c r="GB173" s="270"/>
      <c r="GC173" s="270"/>
      <c r="GD173" s="270"/>
      <c r="GE173" s="270"/>
      <c r="GF173" s="270"/>
      <c r="GG173" s="270"/>
      <c r="GH173" s="270"/>
      <c r="GI173" s="270"/>
      <c r="GJ173" s="270"/>
      <c r="GK173" s="270"/>
      <c r="GL173" s="270"/>
      <c r="GM173" s="270"/>
      <c r="GN173" s="270"/>
      <c r="GO173" s="270"/>
      <c r="GP173" s="270"/>
      <c r="GQ173" s="270"/>
      <c r="GR173" s="270"/>
      <c r="GS173" s="270"/>
      <c r="GT173" s="270"/>
      <c r="GU173" s="270"/>
      <c r="GV173" s="270"/>
      <c r="GW173" s="270"/>
      <c r="GX173" s="270"/>
      <c r="GY173" s="270"/>
      <c r="GZ173" s="270"/>
      <c r="HA173" s="270"/>
      <c r="HB173" s="270"/>
      <c r="HC173" s="270"/>
      <c r="HD173" s="270"/>
      <c r="HE173" s="270"/>
      <c r="HF173" s="270"/>
      <c r="HG173" s="270"/>
      <c r="HH173" s="270"/>
      <c r="HI173" s="270"/>
      <c r="HJ173" s="270"/>
      <c r="HK173" s="270"/>
      <c r="HL173" s="270"/>
      <c r="HM173" s="270"/>
      <c r="HN173" s="270"/>
      <c r="HO173" s="270"/>
      <c r="HP173" s="270"/>
      <c r="HQ173" s="270"/>
      <c r="HR173" s="270"/>
      <c r="HS173" s="270"/>
      <c r="HT173" s="270"/>
      <c r="HU173" s="270"/>
      <c r="HV173" s="270"/>
      <c r="HW173" s="270"/>
      <c r="HX173" s="270"/>
      <c r="HY173" s="270"/>
      <c r="HZ173" s="270"/>
      <c r="IA173" s="270"/>
      <c r="IB173" s="270"/>
      <c r="IC173" s="270"/>
      <c r="ID173" s="270"/>
      <c r="IE173" s="270"/>
      <c r="IF173" s="270"/>
      <c r="IG173" s="270"/>
      <c r="IH173" s="270"/>
      <c r="II173" s="270"/>
      <c r="IJ173" s="270"/>
      <c r="IK173" s="270"/>
      <c r="IL173" s="270"/>
      <c r="IM173" s="270"/>
      <c r="IN173" s="270"/>
      <c r="IO173" s="270"/>
      <c r="IP173" s="270"/>
      <c r="IQ173" s="270"/>
      <c r="IR173" s="270"/>
      <c r="IS173" s="270"/>
      <c r="IT173" s="270"/>
      <c r="IU173" s="270"/>
      <c r="IV173" s="270"/>
      <c r="IW173" s="270"/>
      <c r="IX173" s="270"/>
      <c r="IY173" s="270"/>
      <c r="IZ173" s="270"/>
      <c r="JA173" s="270"/>
      <c r="JB173" s="270"/>
      <c r="JC173" s="270"/>
      <c r="JD173" s="270"/>
      <c r="JE173" s="270"/>
      <c r="JF173" s="270"/>
      <c r="JG173" s="270"/>
      <c r="JH173" s="270"/>
      <c r="JI173" s="270"/>
      <c r="JJ173" s="270"/>
      <c r="JK173" s="270"/>
      <c r="JL173" s="270"/>
      <c r="JM173" s="270"/>
      <c r="JN173" s="270"/>
      <c r="JO173" s="270"/>
      <c r="JP173" s="270"/>
      <c r="JQ173" s="270"/>
      <c r="JR173" s="270"/>
      <c r="JS173" s="270"/>
      <c r="JT173" s="270"/>
      <c r="JU173" s="270"/>
      <c r="JV173" s="270"/>
      <c r="JW173" s="270"/>
      <c r="JX173" s="270"/>
      <c r="JY173" s="270"/>
      <c r="JZ173" s="270"/>
      <c r="KA173" s="270"/>
      <c r="KB173" s="270"/>
      <c r="KC173" s="270"/>
      <c r="KD173" s="270"/>
      <c r="KE173" s="270"/>
      <c r="KF173" s="270"/>
      <c r="KG173" s="270"/>
      <c r="KH173" s="270"/>
      <c r="KI173" s="270"/>
      <c r="KJ173" s="270"/>
      <c r="KK173" s="270"/>
      <c r="KL173" s="270"/>
      <c r="KM173" s="270"/>
      <c r="KN173" s="270"/>
      <c r="KO173" s="270"/>
      <c r="KP173" s="270"/>
      <c r="KQ173" s="270"/>
      <c r="KR173" s="270"/>
      <c r="KS173" s="270"/>
      <c r="KT173" s="270"/>
      <c r="KU173" s="270"/>
      <c r="KV173" s="270"/>
      <c r="KW173" s="270"/>
      <c r="KX173" s="270"/>
      <c r="KY173" s="270"/>
      <c r="KZ173" s="270"/>
      <c r="LA173" s="270"/>
      <c r="LB173" s="270"/>
      <c r="LC173" s="270"/>
      <c r="LD173" s="270"/>
      <c r="LE173" s="270"/>
      <c r="LF173" s="270"/>
      <c r="LG173" s="270"/>
      <c r="LH173" s="270"/>
      <c r="LI173" s="270"/>
      <c r="LJ173" s="270"/>
      <c r="LK173" s="270"/>
      <c r="LL173" s="270"/>
      <c r="LM173" s="270"/>
      <c r="LN173" s="270"/>
      <c r="LO173" s="270"/>
      <c r="LP173" s="270"/>
      <c r="LQ173" s="270"/>
      <c r="LR173" s="270"/>
      <c r="LS173" s="270"/>
      <c r="LT173" s="270"/>
      <c r="LU173" s="270"/>
      <c r="LV173" s="270"/>
      <c r="LW173" s="270"/>
      <c r="LX173" s="270"/>
      <c r="LY173" s="270"/>
      <c r="LZ173" s="270"/>
      <c r="MA173" s="270"/>
      <c r="MB173" s="270"/>
      <c r="MC173" s="270"/>
      <c r="MD173" s="270"/>
      <c r="ME173" s="270"/>
      <c r="MF173" s="270"/>
      <c r="MG173" s="270"/>
      <c r="MH173" s="270"/>
      <c r="MI173" s="270"/>
      <c r="MJ173" s="270"/>
      <c r="MK173" s="270"/>
      <c r="ML173" s="270"/>
      <c r="MM173" s="270"/>
      <c r="MN173" s="270"/>
      <c r="MO173" s="270"/>
      <c r="MP173" s="270"/>
      <c r="MQ173" s="270"/>
      <c r="MR173" s="270"/>
      <c r="MS173" s="270"/>
      <c r="MT173" s="270"/>
      <c r="MU173" s="270"/>
      <c r="MV173" s="270"/>
      <c r="MW173" s="270"/>
      <c r="MX173" s="270"/>
      <c r="MY173" s="270"/>
      <c r="MZ173" s="270"/>
      <c r="NA173" s="270"/>
      <c r="NB173" s="270"/>
      <c r="NC173" s="270"/>
      <c r="ND173" s="270"/>
      <c r="NE173" s="270"/>
      <c r="NF173" s="270"/>
      <c r="NG173" s="270"/>
      <c r="NH173" s="270"/>
      <c r="NI173" s="270"/>
      <c r="NJ173" s="270"/>
      <c r="NK173" s="270"/>
      <c r="NL173" s="270"/>
      <c r="NM173" s="270"/>
      <c r="NN173" s="270"/>
      <c r="NO173" s="270"/>
      <c r="NP173" s="270"/>
      <c r="NQ173" s="270"/>
      <c r="NR173" s="270"/>
      <c r="NS173" s="270"/>
      <c r="NT173" s="270"/>
      <c r="NU173" s="270"/>
      <c r="NV173" s="270"/>
      <c r="NW173" s="270"/>
      <c r="NX173" s="270"/>
      <c r="NY173" s="270"/>
      <c r="NZ173" s="270"/>
      <c r="OA173" s="270"/>
      <c r="OB173" s="270"/>
      <c r="OC173" s="270"/>
      <c r="OD173" s="270"/>
      <c r="OE173" s="270"/>
      <c r="OF173" s="270"/>
      <c r="OG173" s="270"/>
      <c r="OH173" s="270"/>
      <c r="OI173" s="270"/>
      <c r="OJ173" s="270"/>
      <c r="OK173" s="270"/>
      <c r="OL173" s="270"/>
      <c r="OM173" s="270"/>
      <c r="ON173" s="270"/>
      <c r="OO173" s="270"/>
      <c r="OP173" s="270"/>
      <c r="OQ173" s="270"/>
      <c r="OR173" s="270"/>
      <c r="OS173" s="270"/>
      <c r="OT173" s="270"/>
      <c r="OU173" s="270"/>
      <c r="OV173" s="270"/>
      <c r="OW173" s="270"/>
      <c r="OX173" s="270"/>
      <c r="OY173" s="270"/>
      <c r="OZ173" s="270"/>
      <c r="PA173" s="270"/>
      <c r="PB173" s="270"/>
      <c r="PC173" s="270"/>
      <c r="PD173" s="270"/>
      <c r="PE173" s="270"/>
      <c r="PF173" s="270"/>
      <c r="PG173" s="270"/>
      <c r="PH173" s="270"/>
      <c r="PI173" s="270"/>
      <c r="PJ173" s="270"/>
      <c r="PK173" s="270"/>
      <c r="PL173" s="270"/>
      <c r="PM173" s="270"/>
      <c r="PN173" s="270"/>
      <c r="PO173" s="270"/>
      <c r="PP173" s="270"/>
      <c r="PQ173" s="270"/>
      <c r="PR173" s="270"/>
      <c r="PS173" s="270"/>
      <c r="PT173" s="270"/>
      <c r="PU173" s="270"/>
      <c r="PV173" s="270"/>
      <c r="PW173" s="270"/>
      <c r="PX173" s="270"/>
      <c r="PY173" s="270"/>
      <c r="PZ173" s="270"/>
      <c r="QA173" s="270"/>
      <c r="QB173" s="270"/>
      <c r="QC173" s="270"/>
      <c r="QD173" s="270"/>
      <c r="QE173" s="270"/>
      <c r="QF173" s="270"/>
      <c r="QG173" s="270"/>
      <c r="QH173" s="270"/>
      <c r="QI173" s="270"/>
      <c r="QJ173" s="270"/>
      <c r="QK173" s="270"/>
      <c r="QL173" s="270"/>
      <c r="QM173" s="270"/>
      <c r="QN173" s="270"/>
      <c r="QO173" s="270"/>
      <c r="QP173" s="270"/>
      <c r="QQ173" s="270"/>
      <c r="QR173" s="270"/>
      <c r="QS173" s="270"/>
      <c r="QT173" s="270"/>
      <c r="QU173" s="270"/>
      <c r="QV173" s="270"/>
      <c r="QW173" s="270"/>
      <c r="QX173" s="270"/>
      <c r="QY173" s="270"/>
      <c r="QZ173" s="270"/>
      <c r="RA173" s="270"/>
      <c r="RB173" s="270"/>
      <c r="RC173" s="270"/>
      <c r="RD173" s="270"/>
      <c r="RE173" s="270"/>
      <c r="RF173" s="270"/>
      <c r="RG173" s="270"/>
      <c r="RH173" s="270"/>
      <c r="RI173" s="270"/>
      <c r="RJ173" s="270"/>
      <c r="RK173" s="270"/>
      <c r="RL173" s="270"/>
      <c r="RM173" s="270"/>
      <c r="RN173" s="270"/>
      <c r="RO173" s="270"/>
      <c r="RP173" s="270"/>
      <c r="RQ173" s="270"/>
      <c r="RR173" s="270"/>
      <c r="RS173" s="270"/>
      <c r="RT173" s="270"/>
      <c r="RU173" s="270"/>
      <c r="RV173" s="270"/>
      <c r="RW173" s="270"/>
      <c r="RX173" s="270"/>
      <c r="RY173" s="270"/>
      <c r="RZ173" s="270"/>
      <c r="SA173" s="270"/>
      <c r="SB173" s="270"/>
      <c r="SC173" s="270"/>
      <c r="SD173" s="270"/>
      <c r="SE173" s="270"/>
      <c r="SF173" s="270"/>
      <c r="SG173" s="270"/>
      <c r="SH173" s="270"/>
      <c r="SI173" s="270"/>
      <c r="SJ173" s="270"/>
      <c r="SK173" s="270"/>
      <c r="SL173" s="270"/>
      <c r="SM173" s="270"/>
      <c r="SN173" s="270"/>
      <c r="SO173" s="270"/>
      <c r="SP173" s="270"/>
      <c r="SQ173" s="270"/>
      <c r="SR173" s="270"/>
      <c r="SS173" s="270"/>
      <c r="ST173" s="270"/>
      <c r="SU173" s="270"/>
      <c r="SV173" s="270"/>
      <c r="SW173" s="270"/>
      <c r="SX173" s="270"/>
      <c r="SY173" s="270"/>
      <c r="SZ173" s="270"/>
      <c r="TA173" s="270"/>
      <c r="TB173" s="270"/>
      <c r="TC173" s="270"/>
      <c r="TD173" s="270"/>
      <c r="TE173" s="270"/>
      <c r="TF173" s="270"/>
      <c r="TG173" s="270"/>
      <c r="TH173" s="270"/>
      <c r="TI173" s="270"/>
      <c r="TJ173" s="270"/>
      <c r="TK173" s="270"/>
      <c r="TL173" s="270"/>
      <c r="TM173" s="270"/>
      <c r="TN173" s="270"/>
      <c r="TO173" s="270"/>
      <c r="TP173" s="270"/>
      <c r="TQ173" s="270"/>
      <c r="TR173" s="270"/>
      <c r="TS173" s="270"/>
      <c r="TT173" s="270"/>
      <c r="TU173" s="270"/>
      <c r="TV173" s="270"/>
      <c r="TW173" s="270"/>
      <c r="TX173" s="270"/>
      <c r="TY173" s="270"/>
      <c r="TZ173" s="270"/>
      <c r="UA173" s="270"/>
      <c r="UB173" s="270"/>
      <c r="UC173" s="270"/>
      <c r="UD173" s="270"/>
      <c r="UE173" s="270"/>
      <c r="UF173" s="270"/>
      <c r="UG173" s="263"/>
    </row>
    <row r="174" spans="1:553" s="236" customFormat="1" ht="27.75" customHeight="1">
      <c r="A174" s="445"/>
      <c r="B174" s="445"/>
      <c r="C174" s="384" t="s">
        <v>69</v>
      </c>
      <c r="D174" s="376" t="s">
        <v>20</v>
      </c>
      <c r="E174" s="376" t="s">
        <v>137</v>
      </c>
      <c r="F174" s="379">
        <v>1</v>
      </c>
      <c r="G174" s="386" t="s">
        <v>935</v>
      </c>
      <c r="H174" s="478"/>
      <c r="I174" s="417">
        <v>116.9</v>
      </c>
      <c r="J174" s="477">
        <v>62000</v>
      </c>
      <c r="K174" s="848">
        <v>2.5</v>
      </c>
      <c r="L174" s="480">
        <f t="shared" si="37"/>
        <v>18119500</v>
      </c>
      <c r="M174" s="480"/>
      <c r="N174" s="480"/>
      <c r="O174" s="480"/>
      <c r="P174" s="1127"/>
      <c r="Q174" s="1229"/>
      <c r="R174" s="1139"/>
      <c r="S174" s="308"/>
      <c r="T174" s="303"/>
      <c r="U174" s="306"/>
      <c r="V174" s="307"/>
      <c r="W174" s="307"/>
      <c r="X174" s="307"/>
      <c r="Y174" s="307"/>
      <c r="Z174" s="307"/>
      <c r="AA174" s="307"/>
      <c r="AB174" s="307"/>
      <c r="AC174" s="306"/>
      <c r="AD174" s="308"/>
      <c r="AE174" s="308"/>
      <c r="AF174" s="308"/>
      <c r="AG174" s="308"/>
      <c r="AH174" s="308"/>
      <c r="AI174" s="308"/>
      <c r="AJ174" s="308"/>
      <c r="AK174" s="308"/>
      <c r="AL174" s="347"/>
      <c r="AM174" s="268"/>
      <c r="AN174" s="268"/>
      <c r="AO174" s="268"/>
      <c r="AP174" s="268"/>
      <c r="AQ174" s="268"/>
      <c r="AR174" s="268"/>
      <c r="AS174" s="268"/>
      <c r="AT174" s="268"/>
      <c r="AU174" s="268"/>
      <c r="AV174" s="268"/>
      <c r="AW174" s="268"/>
      <c r="AX174" s="268"/>
      <c r="AY174" s="268"/>
      <c r="AZ174" s="268"/>
      <c r="BA174" s="268"/>
      <c r="BB174" s="268"/>
      <c r="BC174" s="268"/>
      <c r="BD174" s="268"/>
      <c r="BE174" s="268"/>
      <c r="BF174" s="268"/>
      <c r="BG174" s="268"/>
      <c r="BH174" s="268"/>
      <c r="BI174" s="268"/>
      <c r="BJ174" s="268"/>
      <c r="BK174" s="268"/>
      <c r="BL174" s="268"/>
      <c r="BM174" s="268"/>
      <c r="BN174" s="268"/>
      <c r="BO174" s="268"/>
      <c r="BP174" s="268"/>
      <c r="BQ174" s="268"/>
      <c r="BR174" s="268"/>
      <c r="BS174" s="268"/>
      <c r="BT174" s="268"/>
      <c r="BU174" s="268"/>
      <c r="BV174" s="268"/>
      <c r="BW174" s="268"/>
      <c r="BX174" s="268"/>
      <c r="BY174" s="268"/>
      <c r="BZ174" s="268"/>
      <c r="CA174" s="268"/>
      <c r="CB174" s="268"/>
      <c r="CC174" s="268"/>
      <c r="CD174" s="268"/>
      <c r="CE174" s="268"/>
      <c r="CF174" s="268"/>
      <c r="CG174" s="268"/>
      <c r="CH174" s="268"/>
      <c r="CI174" s="268"/>
      <c r="CJ174" s="268"/>
      <c r="CK174" s="268"/>
      <c r="CL174" s="268"/>
      <c r="CM174" s="268"/>
      <c r="CN174" s="268"/>
      <c r="CO174" s="268"/>
      <c r="CP174" s="268"/>
      <c r="CQ174" s="268"/>
      <c r="CR174" s="268"/>
      <c r="CS174" s="268"/>
      <c r="CT174" s="268"/>
      <c r="CU174" s="268"/>
      <c r="CV174" s="268"/>
      <c r="CW174" s="268"/>
      <c r="CX174" s="268"/>
      <c r="CY174" s="268"/>
      <c r="CZ174" s="268"/>
      <c r="DA174" s="268"/>
      <c r="DB174" s="268"/>
      <c r="DC174" s="268"/>
      <c r="DD174" s="268"/>
      <c r="DE174" s="268"/>
      <c r="DF174" s="268"/>
      <c r="DG174" s="268"/>
      <c r="DH174" s="268"/>
      <c r="DI174" s="268"/>
      <c r="DJ174" s="268"/>
      <c r="DK174" s="268"/>
      <c r="DL174" s="268"/>
      <c r="DM174" s="268"/>
      <c r="DN174" s="268"/>
      <c r="DO174" s="268"/>
      <c r="DP174" s="268"/>
      <c r="DQ174" s="268"/>
      <c r="DR174" s="268"/>
      <c r="DS174" s="268"/>
      <c r="DT174" s="268"/>
      <c r="DU174" s="268"/>
      <c r="DV174" s="268"/>
      <c r="DW174" s="268"/>
      <c r="DX174" s="268"/>
      <c r="DY174" s="268"/>
      <c r="DZ174" s="268"/>
      <c r="EA174" s="268"/>
      <c r="EB174" s="268"/>
      <c r="EC174" s="268"/>
      <c r="ED174" s="268"/>
      <c r="EE174" s="268"/>
      <c r="EF174" s="268"/>
      <c r="EG174" s="268"/>
      <c r="EH174" s="268"/>
      <c r="EI174" s="268"/>
      <c r="EJ174" s="268"/>
      <c r="EK174" s="268"/>
      <c r="EL174" s="268"/>
      <c r="EM174" s="268"/>
      <c r="EN174" s="268"/>
      <c r="EO174" s="268"/>
      <c r="EP174" s="268"/>
      <c r="EQ174" s="268"/>
      <c r="ER174" s="268"/>
      <c r="ES174" s="268"/>
      <c r="ET174" s="268"/>
      <c r="EU174" s="268"/>
      <c r="EV174" s="268"/>
      <c r="EW174" s="268"/>
      <c r="EX174" s="268"/>
      <c r="EY174" s="268"/>
      <c r="EZ174" s="268"/>
      <c r="FA174" s="268"/>
      <c r="FB174" s="268"/>
      <c r="FC174" s="268"/>
      <c r="FD174" s="268"/>
      <c r="FE174" s="268"/>
      <c r="FF174" s="268"/>
      <c r="FG174" s="268"/>
      <c r="FH174" s="268"/>
      <c r="FI174" s="268"/>
      <c r="FJ174" s="268"/>
      <c r="FK174" s="268"/>
      <c r="FL174" s="268"/>
      <c r="FM174" s="268"/>
      <c r="FN174" s="268"/>
      <c r="FO174" s="268"/>
      <c r="FP174" s="268"/>
      <c r="FQ174" s="268"/>
      <c r="FR174" s="268"/>
      <c r="FS174" s="268"/>
      <c r="FT174" s="268"/>
      <c r="FU174" s="268"/>
      <c r="FV174" s="268"/>
      <c r="FW174" s="268"/>
      <c r="FX174" s="268"/>
      <c r="FY174" s="268"/>
      <c r="FZ174" s="268"/>
      <c r="GA174" s="268"/>
      <c r="GB174" s="268"/>
      <c r="GC174" s="268"/>
      <c r="GD174" s="268"/>
      <c r="GE174" s="268"/>
      <c r="GF174" s="268"/>
      <c r="GG174" s="268"/>
      <c r="GH174" s="268"/>
      <c r="GI174" s="268"/>
      <c r="GJ174" s="268"/>
      <c r="GK174" s="268"/>
      <c r="GL174" s="268"/>
      <c r="GM174" s="268"/>
      <c r="GN174" s="268"/>
      <c r="GO174" s="268"/>
      <c r="GP174" s="268"/>
      <c r="GQ174" s="268"/>
      <c r="GR174" s="268"/>
      <c r="GS174" s="268"/>
      <c r="GT174" s="268"/>
      <c r="GU174" s="268"/>
      <c r="GV174" s="268"/>
      <c r="GW174" s="268"/>
      <c r="GX174" s="268"/>
      <c r="GY174" s="268"/>
      <c r="GZ174" s="268"/>
      <c r="HA174" s="268"/>
      <c r="HB174" s="268"/>
      <c r="HC174" s="268"/>
      <c r="HD174" s="268"/>
      <c r="HE174" s="268"/>
      <c r="HF174" s="268"/>
      <c r="HG174" s="268"/>
      <c r="HH174" s="268"/>
      <c r="HI174" s="268"/>
      <c r="HJ174" s="268"/>
      <c r="HK174" s="268"/>
      <c r="HL174" s="268"/>
      <c r="HM174" s="268"/>
      <c r="HN174" s="268"/>
      <c r="HO174" s="268"/>
      <c r="HP174" s="268"/>
      <c r="HQ174" s="268"/>
      <c r="HR174" s="268"/>
      <c r="HS174" s="268"/>
      <c r="HT174" s="268"/>
      <c r="HU174" s="268"/>
      <c r="HV174" s="268"/>
      <c r="HW174" s="268"/>
      <c r="HX174" s="268"/>
      <c r="HY174" s="268"/>
      <c r="HZ174" s="268"/>
      <c r="IA174" s="268"/>
      <c r="IB174" s="268"/>
      <c r="IC174" s="268"/>
      <c r="ID174" s="268"/>
      <c r="IE174" s="268"/>
      <c r="IF174" s="268"/>
      <c r="IG174" s="268"/>
      <c r="IH174" s="268"/>
      <c r="II174" s="268"/>
      <c r="IJ174" s="268"/>
      <c r="IK174" s="268"/>
      <c r="IL174" s="268"/>
      <c r="IM174" s="268"/>
      <c r="IN174" s="268"/>
      <c r="IO174" s="268"/>
      <c r="IP174" s="268"/>
      <c r="IQ174" s="268"/>
      <c r="IR174" s="268"/>
      <c r="IS174" s="268"/>
      <c r="IT174" s="268"/>
      <c r="IU174" s="268"/>
      <c r="IV174" s="268"/>
      <c r="IW174" s="268"/>
      <c r="IX174" s="268"/>
      <c r="IY174" s="268"/>
      <c r="IZ174" s="268"/>
      <c r="JA174" s="268"/>
      <c r="JB174" s="268"/>
      <c r="JC174" s="268"/>
      <c r="JD174" s="268"/>
      <c r="JE174" s="268"/>
      <c r="JF174" s="268"/>
      <c r="JG174" s="268"/>
      <c r="JH174" s="268"/>
      <c r="JI174" s="268"/>
      <c r="JJ174" s="268"/>
      <c r="JK174" s="268"/>
      <c r="JL174" s="268"/>
      <c r="JM174" s="268"/>
      <c r="JN174" s="268"/>
      <c r="JO174" s="268"/>
      <c r="JP174" s="268"/>
      <c r="JQ174" s="268"/>
      <c r="JR174" s="268"/>
      <c r="JS174" s="268"/>
      <c r="JT174" s="268"/>
      <c r="JU174" s="268"/>
      <c r="JV174" s="268"/>
      <c r="JW174" s="268"/>
      <c r="JX174" s="268"/>
      <c r="JY174" s="268"/>
      <c r="JZ174" s="268"/>
      <c r="KA174" s="268"/>
      <c r="KB174" s="268"/>
      <c r="KC174" s="268"/>
      <c r="KD174" s="268"/>
      <c r="KE174" s="268"/>
      <c r="KF174" s="268"/>
      <c r="KG174" s="268"/>
      <c r="KH174" s="268"/>
      <c r="KI174" s="268"/>
      <c r="KJ174" s="268"/>
      <c r="KK174" s="268"/>
      <c r="KL174" s="268"/>
      <c r="KM174" s="268"/>
      <c r="KN174" s="268"/>
      <c r="KO174" s="268"/>
      <c r="KP174" s="268"/>
      <c r="KQ174" s="268"/>
      <c r="KR174" s="268"/>
      <c r="KS174" s="268"/>
      <c r="KT174" s="268"/>
      <c r="KU174" s="268"/>
      <c r="KV174" s="268"/>
      <c r="KW174" s="268"/>
      <c r="KX174" s="268"/>
      <c r="KY174" s="268"/>
      <c r="KZ174" s="268"/>
      <c r="LA174" s="268"/>
      <c r="LB174" s="268"/>
      <c r="LC174" s="268"/>
      <c r="LD174" s="268"/>
      <c r="LE174" s="268"/>
      <c r="LF174" s="268"/>
      <c r="LG174" s="268"/>
      <c r="LH174" s="268"/>
      <c r="LI174" s="268"/>
      <c r="LJ174" s="268"/>
      <c r="LK174" s="268"/>
      <c r="LL174" s="268"/>
      <c r="LM174" s="268"/>
      <c r="LN174" s="268"/>
      <c r="LO174" s="268"/>
      <c r="LP174" s="268"/>
      <c r="LQ174" s="268"/>
      <c r="LR174" s="268"/>
      <c r="LS174" s="268"/>
      <c r="LT174" s="268"/>
      <c r="LU174" s="268"/>
      <c r="LV174" s="268"/>
      <c r="LW174" s="268"/>
      <c r="LX174" s="268"/>
      <c r="LY174" s="268"/>
      <c r="LZ174" s="268"/>
      <c r="MA174" s="268"/>
      <c r="MB174" s="268"/>
      <c r="MC174" s="268"/>
      <c r="MD174" s="268"/>
      <c r="ME174" s="268"/>
      <c r="MF174" s="268"/>
      <c r="MG174" s="268"/>
      <c r="MH174" s="268"/>
      <c r="MI174" s="268"/>
      <c r="MJ174" s="268"/>
      <c r="MK174" s="268"/>
      <c r="ML174" s="268"/>
      <c r="MM174" s="268"/>
      <c r="MN174" s="268"/>
      <c r="MO174" s="268"/>
      <c r="MP174" s="268"/>
      <c r="MQ174" s="268"/>
      <c r="MR174" s="268"/>
      <c r="MS174" s="268"/>
      <c r="MT174" s="268"/>
      <c r="MU174" s="268"/>
      <c r="MV174" s="268"/>
      <c r="MW174" s="268"/>
      <c r="MX174" s="268"/>
      <c r="MY174" s="268"/>
      <c r="MZ174" s="268"/>
      <c r="NA174" s="268"/>
      <c r="NB174" s="268"/>
      <c r="NC174" s="268"/>
      <c r="ND174" s="268"/>
      <c r="NE174" s="268"/>
      <c r="NF174" s="268"/>
      <c r="NG174" s="268"/>
      <c r="NH174" s="268"/>
      <c r="NI174" s="268"/>
      <c r="NJ174" s="268"/>
      <c r="NK174" s="268"/>
      <c r="NL174" s="268"/>
      <c r="NM174" s="268"/>
      <c r="NN174" s="268"/>
      <c r="NO174" s="268"/>
      <c r="NP174" s="268"/>
      <c r="NQ174" s="268"/>
      <c r="NR174" s="268"/>
      <c r="NS174" s="268"/>
      <c r="NT174" s="268"/>
      <c r="NU174" s="268"/>
      <c r="NV174" s="268"/>
      <c r="NW174" s="268"/>
      <c r="NX174" s="268"/>
      <c r="NY174" s="268"/>
      <c r="NZ174" s="268"/>
      <c r="OA174" s="268"/>
      <c r="OB174" s="268"/>
      <c r="OC174" s="268"/>
      <c r="OD174" s="268"/>
      <c r="OE174" s="268"/>
      <c r="OF174" s="268"/>
      <c r="OG174" s="268"/>
      <c r="OH174" s="268"/>
      <c r="OI174" s="268"/>
      <c r="OJ174" s="268"/>
      <c r="OK174" s="268"/>
      <c r="OL174" s="268"/>
      <c r="OM174" s="268"/>
      <c r="ON174" s="268"/>
      <c r="OO174" s="268"/>
      <c r="OP174" s="268"/>
      <c r="OQ174" s="268"/>
      <c r="OR174" s="268"/>
      <c r="OS174" s="268"/>
      <c r="OT174" s="268"/>
      <c r="OU174" s="268"/>
      <c r="OV174" s="268"/>
      <c r="OW174" s="268"/>
      <c r="OX174" s="268"/>
      <c r="OY174" s="268"/>
      <c r="OZ174" s="268"/>
      <c r="PA174" s="268"/>
      <c r="PB174" s="268"/>
      <c r="PC174" s="268"/>
      <c r="PD174" s="268"/>
      <c r="PE174" s="268"/>
      <c r="PF174" s="268"/>
      <c r="PG174" s="268"/>
      <c r="PH174" s="268"/>
      <c r="PI174" s="268"/>
      <c r="PJ174" s="268"/>
      <c r="PK174" s="268"/>
      <c r="PL174" s="268"/>
      <c r="PM174" s="268"/>
      <c r="PN174" s="268"/>
      <c r="PO174" s="268"/>
      <c r="PP174" s="268"/>
      <c r="PQ174" s="268"/>
      <c r="PR174" s="268"/>
      <c r="PS174" s="268"/>
      <c r="PT174" s="268"/>
      <c r="PU174" s="268"/>
      <c r="PV174" s="268"/>
      <c r="PW174" s="268"/>
      <c r="PX174" s="268"/>
      <c r="PY174" s="268"/>
      <c r="PZ174" s="268"/>
      <c r="QA174" s="268"/>
      <c r="QB174" s="268"/>
      <c r="QC174" s="268"/>
      <c r="QD174" s="268"/>
      <c r="QE174" s="268"/>
      <c r="QF174" s="268"/>
      <c r="QG174" s="268"/>
      <c r="QH174" s="268"/>
      <c r="QI174" s="268"/>
      <c r="QJ174" s="268"/>
      <c r="QK174" s="268"/>
      <c r="QL174" s="268"/>
      <c r="QM174" s="268"/>
      <c r="QN174" s="268"/>
      <c r="QO174" s="268"/>
      <c r="QP174" s="268"/>
      <c r="QQ174" s="268"/>
      <c r="QR174" s="268"/>
      <c r="QS174" s="268"/>
      <c r="QT174" s="268"/>
      <c r="QU174" s="268"/>
      <c r="QV174" s="268"/>
      <c r="QW174" s="268"/>
      <c r="QX174" s="268"/>
      <c r="QY174" s="268"/>
      <c r="QZ174" s="268"/>
      <c r="RA174" s="268"/>
      <c r="RB174" s="268"/>
      <c r="RC174" s="268"/>
      <c r="RD174" s="268"/>
      <c r="RE174" s="268"/>
      <c r="RF174" s="268"/>
      <c r="RG174" s="268"/>
      <c r="RH174" s="268"/>
      <c r="RI174" s="268"/>
      <c r="RJ174" s="268"/>
      <c r="RK174" s="268"/>
      <c r="RL174" s="268"/>
      <c r="RM174" s="268"/>
      <c r="RN174" s="268"/>
      <c r="RO174" s="268"/>
      <c r="RP174" s="268"/>
      <c r="RQ174" s="268"/>
      <c r="RR174" s="268"/>
      <c r="RS174" s="268"/>
      <c r="RT174" s="268"/>
      <c r="RU174" s="268"/>
      <c r="RV174" s="268"/>
      <c r="RW174" s="268"/>
      <c r="RX174" s="268"/>
      <c r="RY174" s="268"/>
      <c r="RZ174" s="268"/>
      <c r="SA174" s="268"/>
      <c r="SB174" s="268"/>
      <c r="SC174" s="268"/>
      <c r="SD174" s="268"/>
      <c r="SE174" s="268"/>
      <c r="SF174" s="268"/>
      <c r="SG174" s="268"/>
      <c r="SH174" s="268"/>
      <c r="SI174" s="268"/>
      <c r="SJ174" s="268"/>
      <c r="SK174" s="268"/>
      <c r="SL174" s="268"/>
      <c r="SM174" s="268"/>
      <c r="SN174" s="268"/>
      <c r="SO174" s="268"/>
      <c r="SP174" s="268"/>
      <c r="SQ174" s="268"/>
      <c r="SR174" s="268"/>
      <c r="SS174" s="268"/>
      <c r="ST174" s="268"/>
      <c r="SU174" s="268"/>
      <c r="SV174" s="268"/>
      <c r="SW174" s="268"/>
      <c r="SX174" s="268"/>
      <c r="SY174" s="268"/>
      <c r="SZ174" s="268"/>
      <c r="TA174" s="268"/>
      <c r="TB174" s="268"/>
      <c r="TC174" s="268"/>
      <c r="TD174" s="268"/>
      <c r="TE174" s="268"/>
      <c r="TF174" s="268"/>
      <c r="TG174" s="268"/>
      <c r="TH174" s="268"/>
      <c r="TI174" s="268"/>
      <c r="TJ174" s="268"/>
      <c r="TK174" s="268"/>
      <c r="TL174" s="268"/>
      <c r="TM174" s="268"/>
      <c r="TN174" s="268"/>
      <c r="TO174" s="268"/>
      <c r="TP174" s="268"/>
      <c r="TQ174" s="268"/>
      <c r="TR174" s="268"/>
      <c r="TS174" s="268"/>
      <c r="TT174" s="268"/>
      <c r="TU174" s="268"/>
      <c r="TV174" s="268"/>
      <c r="TW174" s="268"/>
      <c r="TX174" s="268"/>
      <c r="TY174" s="268"/>
      <c r="TZ174" s="268"/>
      <c r="UA174" s="268"/>
      <c r="UB174" s="268"/>
      <c r="UC174" s="268"/>
      <c r="UD174" s="268"/>
      <c r="UE174" s="268"/>
      <c r="UF174" s="268"/>
      <c r="UG174" s="269"/>
    </row>
    <row r="175" spans="1:553" s="236" customFormat="1" ht="27.75" customHeight="1">
      <c r="A175" s="445"/>
      <c r="B175" s="445"/>
      <c r="C175" s="384" t="s">
        <v>69</v>
      </c>
      <c r="D175" s="376" t="s">
        <v>20</v>
      </c>
      <c r="E175" s="376" t="s">
        <v>138</v>
      </c>
      <c r="F175" s="379">
        <v>1</v>
      </c>
      <c r="G175" s="386" t="s">
        <v>935</v>
      </c>
      <c r="H175" s="478"/>
      <c r="I175" s="417">
        <v>98.7</v>
      </c>
      <c r="J175" s="477">
        <v>62000</v>
      </c>
      <c r="K175" s="848">
        <v>2.5</v>
      </c>
      <c r="L175" s="480">
        <f t="shared" si="37"/>
        <v>15298500</v>
      </c>
      <c r="M175" s="480"/>
      <c r="N175" s="480"/>
      <c r="O175" s="480"/>
      <c r="P175" s="1127"/>
      <c r="Q175" s="1229"/>
      <c r="R175" s="1139"/>
      <c r="S175" s="308"/>
      <c r="T175" s="303"/>
      <c r="U175" s="306"/>
      <c r="V175" s="307"/>
      <c r="W175" s="307"/>
      <c r="X175" s="307"/>
      <c r="Y175" s="307"/>
      <c r="Z175" s="307"/>
      <c r="AA175" s="307"/>
      <c r="AB175" s="307"/>
      <c r="AC175" s="306"/>
      <c r="AD175" s="308"/>
      <c r="AE175" s="308"/>
      <c r="AF175" s="308"/>
      <c r="AG175" s="308"/>
      <c r="AH175" s="308"/>
      <c r="AI175" s="308"/>
      <c r="AJ175" s="308"/>
      <c r="AK175" s="308"/>
      <c r="AL175" s="347"/>
      <c r="AM175" s="268"/>
      <c r="AN175" s="268"/>
      <c r="AO175" s="268"/>
      <c r="AP175" s="268"/>
      <c r="AQ175" s="268"/>
      <c r="AR175" s="268"/>
      <c r="AS175" s="268"/>
      <c r="AT175" s="268"/>
      <c r="AU175" s="268"/>
      <c r="AV175" s="268"/>
      <c r="AW175" s="268"/>
      <c r="AX175" s="268"/>
      <c r="AY175" s="268"/>
      <c r="AZ175" s="268"/>
      <c r="BA175" s="268"/>
      <c r="BB175" s="268"/>
      <c r="BC175" s="268"/>
      <c r="BD175" s="268"/>
      <c r="BE175" s="268"/>
      <c r="BF175" s="268"/>
      <c r="BG175" s="268"/>
      <c r="BH175" s="268"/>
      <c r="BI175" s="268"/>
      <c r="BJ175" s="268"/>
      <c r="BK175" s="268"/>
      <c r="BL175" s="268"/>
      <c r="BM175" s="268"/>
      <c r="BN175" s="268"/>
      <c r="BO175" s="268"/>
      <c r="BP175" s="268"/>
      <c r="BQ175" s="268"/>
      <c r="BR175" s="268"/>
      <c r="BS175" s="268"/>
      <c r="BT175" s="268"/>
      <c r="BU175" s="268"/>
      <c r="BV175" s="268"/>
      <c r="BW175" s="268"/>
      <c r="BX175" s="268"/>
      <c r="BY175" s="268"/>
      <c r="BZ175" s="268"/>
      <c r="CA175" s="268"/>
      <c r="CB175" s="268"/>
      <c r="CC175" s="268"/>
      <c r="CD175" s="268"/>
      <c r="CE175" s="268"/>
      <c r="CF175" s="268"/>
      <c r="CG175" s="268"/>
      <c r="CH175" s="268"/>
      <c r="CI175" s="268"/>
      <c r="CJ175" s="268"/>
      <c r="CK175" s="268"/>
      <c r="CL175" s="268"/>
      <c r="CM175" s="268"/>
      <c r="CN175" s="268"/>
      <c r="CO175" s="268"/>
      <c r="CP175" s="268"/>
      <c r="CQ175" s="268"/>
      <c r="CR175" s="268"/>
      <c r="CS175" s="268"/>
      <c r="CT175" s="268"/>
      <c r="CU175" s="268"/>
      <c r="CV175" s="268"/>
      <c r="CW175" s="268"/>
      <c r="CX175" s="268"/>
      <c r="CY175" s="268"/>
      <c r="CZ175" s="268"/>
      <c r="DA175" s="268"/>
      <c r="DB175" s="268"/>
      <c r="DC175" s="268"/>
      <c r="DD175" s="268"/>
      <c r="DE175" s="268"/>
      <c r="DF175" s="268"/>
      <c r="DG175" s="268"/>
      <c r="DH175" s="268"/>
      <c r="DI175" s="268"/>
      <c r="DJ175" s="268"/>
      <c r="DK175" s="268"/>
      <c r="DL175" s="268"/>
      <c r="DM175" s="268"/>
      <c r="DN175" s="268"/>
      <c r="DO175" s="268"/>
      <c r="DP175" s="268"/>
      <c r="DQ175" s="268"/>
      <c r="DR175" s="268"/>
      <c r="DS175" s="268"/>
      <c r="DT175" s="268"/>
      <c r="DU175" s="268"/>
      <c r="DV175" s="268"/>
      <c r="DW175" s="268"/>
      <c r="DX175" s="268"/>
      <c r="DY175" s="268"/>
      <c r="DZ175" s="268"/>
      <c r="EA175" s="268"/>
      <c r="EB175" s="268"/>
      <c r="EC175" s="268"/>
      <c r="ED175" s="268"/>
      <c r="EE175" s="268"/>
      <c r="EF175" s="268"/>
      <c r="EG175" s="268"/>
      <c r="EH175" s="268"/>
      <c r="EI175" s="268"/>
      <c r="EJ175" s="268"/>
      <c r="EK175" s="268"/>
      <c r="EL175" s="268"/>
      <c r="EM175" s="268"/>
      <c r="EN175" s="268"/>
      <c r="EO175" s="268"/>
      <c r="EP175" s="268"/>
      <c r="EQ175" s="268"/>
      <c r="ER175" s="268"/>
      <c r="ES175" s="268"/>
      <c r="ET175" s="268"/>
      <c r="EU175" s="268"/>
      <c r="EV175" s="268"/>
      <c r="EW175" s="268"/>
      <c r="EX175" s="268"/>
      <c r="EY175" s="268"/>
      <c r="EZ175" s="268"/>
      <c r="FA175" s="268"/>
      <c r="FB175" s="268"/>
      <c r="FC175" s="268"/>
      <c r="FD175" s="268"/>
      <c r="FE175" s="268"/>
      <c r="FF175" s="268"/>
      <c r="FG175" s="268"/>
      <c r="FH175" s="268"/>
      <c r="FI175" s="268"/>
      <c r="FJ175" s="268"/>
      <c r="FK175" s="268"/>
      <c r="FL175" s="268"/>
      <c r="FM175" s="268"/>
      <c r="FN175" s="268"/>
      <c r="FO175" s="268"/>
      <c r="FP175" s="268"/>
      <c r="FQ175" s="268"/>
      <c r="FR175" s="268"/>
      <c r="FS175" s="268"/>
      <c r="FT175" s="268"/>
      <c r="FU175" s="268"/>
      <c r="FV175" s="268"/>
      <c r="FW175" s="268"/>
      <c r="FX175" s="268"/>
      <c r="FY175" s="268"/>
      <c r="FZ175" s="268"/>
      <c r="GA175" s="268"/>
      <c r="GB175" s="268"/>
      <c r="GC175" s="268"/>
      <c r="GD175" s="268"/>
      <c r="GE175" s="268"/>
      <c r="GF175" s="268"/>
      <c r="GG175" s="268"/>
      <c r="GH175" s="268"/>
      <c r="GI175" s="268"/>
      <c r="GJ175" s="268"/>
      <c r="GK175" s="268"/>
      <c r="GL175" s="268"/>
      <c r="GM175" s="268"/>
      <c r="GN175" s="268"/>
      <c r="GO175" s="268"/>
      <c r="GP175" s="268"/>
      <c r="GQ175" s="268"/>
      <c r="GR175" s="268"/>
      <c r="GS175" s="268"/>
      <c r="GT175" s="268"/>
      <c r="GU175" s="268"/>
      <c r="GV175" s="268"/>
      <c r="GW175" s="268"/>
      <c r="GX175" s="268"/>
      <c r="GY175" s="268"/>
      <c r="GZ175" s="268"/>
      <c r="HA175" s="268"/>
      <c r="HB175" s="268"/>
      <c r="HC175" s="268"/>
      <c r="HD175" s="268"/>
      <c r="HE175" s="268"/>
      <c r="HF175" s="268"/>
      <c r="HG175" s="268"/>
      <c r="HH175" s="268"/>
      <c r="HI175" s="268"/>
      <c r="HJ175" s="268"/>
      <c r="HK175" s="268"/>
      <c r="HL175" s="268"/>
      <c r="HM175" s="268"/>
      <c r="HN175" s="268"/>
      <c r="HO175" s="268"/>
      <c r="HP175" s="268"/>
      <c r="HQ175" s="268"/>
      <c r="HR175" s="268"/>
      <c r="HS175" s="268"/>
      <c r="HT175" s="268"/>
      <c r="HU175" s="268"/>
      <c r="HV175" s="268"/>
      <c r="HW175" s="268"/>
      <c r="HX175" s="268"/>
      <c r="HY175" s="268"/>
      <c r="HZ175" s="268"/>
      <c r="IA175" s="268"/>
      <c r="IB175" s="268"/>
      <c r="IC175" s="268"/>
      <c r="ID175" s="268"/>
      <c r="IE175" s="268"/>
      <c r="IF175" s="268"/>
      <c r="IG175" s="268"/>
      <c r="IH175" s="268"/>
      <c r="II175" s="268"/>
      <c r="IJ175" s="268"/>
      <c r="IK175" s="268"/>
      <c r="IL175" s="268"/>
      <c r="IM175" s="268"/>
      <c r="IN175" s="268"/>
      <c r="IO175" s="268"/>
      <c r="IP175" s="268"/>
      <c r="IQ175" s="268"/>
      <c r="IR175" s="268"/>
      <c r="IS175" s="268"/>
      <c r="IT175" s="268"/>
      <c r="IU175" s="268"/>
      <c r="IV175" s="268"/>
      <c r="IW175" s="268"/>
      <c r="IX175" s="268"/>
      <c r="IY175" s="268"/>
      <c r="IZ175" s="268"/>
      <c r="JA175" s="268"/>
      <c r="JB175" s="268"/>
      <c r="JC175" s="268"/>
      <c r="JD175" s="268"/>
      <c r="JE175" s="268"/>
      <c r="JF175" s="268"/>
      <c r="JG175" s="268"/>
      <c r="JH175" s="268"/>
      <c r="JI175" s="268"/>
      <c r="JJ175" s="268"/>
      <c r="JK175" s="268"/>
      <c r="JL175" s="268"/>
      <c r="JM175" s="268"/>
      <c r="JN175" s="268"/>
      <c r="JO175" s="268"/>
      <c r="JP175" s="268"/>
      <c r="JQ175" s="268"/>
      <c r="JR175" s="268"/>
      <c r="JS175" s="268"/>
      <c r="JT175" s="268"/>
      <c r="JU175" s="268"/>
      <c r="JV175" s="268"/>
      <c r="JW175" s="268"/>
      <c r="JX175" s="268"/>
      <c r="JY175" s="268"/>
      <c r="JZ175" s="268"/>
      <c r="KA175" s="268"/>
      <c r="KB175" s="268"/>
      <c r="KC175" s="268"/>
      <c r="KD175" s="268"/>
      <c r="KE175" s="268"/>
      <c r="KF175" s="268"/>
      <c r="KG175" s="268"/>
      <c r="KH175" s="268"/>
      <c r="KI175" s="268"/>
      <c r="KJ175" s="268"/>
      <c r="KK175" s="268"/>
      <c r="KL175" s="268"/>
      <c r="KM175" s="268"/>
      <c r="KN175" s="268"/>
      <c r="KO175" s="268"/>
      <c r="KP175" s="268"/>
      <c r="KQ175" s="268"/>
      <c r="KR175" s="268"/>
      <c r="KS175" s="268"/>
      <c r="KT175" s="268"/>
      <c r="KU175" s="268"/>
      <c r="KV175" s="268"/>
      <c r="KW175" s="268"/>
      <c r="KX175" s="268"/>
      <c r="KY175" s="268"/>
      <c r="KZ175" s="268"/>
      <c r="LA175" s="268"/>
      <c r="LB175" s="268"/>
      <c r="LC175" s="268"/>
      <c r="LD175" s="268"/>
      <c r="LE175" s="268"/>
      <c r="LF175" s="268"/>
      <c r="LG175" s="268"/>
      <c r="LH175" s="268"/>
      <c r="LI175" s="268"/>
      <c r="LJ175" s="268"/>
      <c r="LK175" s="268"/>
      <c r="LL175" s="268"/>
      <c r="LM175" s="268"/>
      <c r="LN175" s="268"/>
      <c r="LO175" s="268"/>
      <c r="LP175" s="268"/>
      <c r="LQ175" s="268"/>
      <c r="LR175" s="268"/>
      <c r="LS175" s="268"/>
      <c r="LT175" s="268"/>
      <c r="LU175" s="268"/>
      <c r="LV175" s="268"/>
      <c r="LW175" s="268"/>
      <c r="LX175" s="268"/>
      <c r="LY175" s="268"/>
      <c r="LZ175" s="268"/>
      <c r="MA175" s="268"/>
      <c r="MB175" s="268"/>
      <c r="MC175" s="268"/>
      <c r="MD175" s="268"/>
      <c r="ME175" s="268"/>
      <c r="MF175" s="268"/>
      <c r="MG175" s="268"/>
      <c r="MH175" s="268"/>
      <c r="MI175" s="268"/>
      <c r="MJ175" s="268"/>
      <c r="MK175" s="268"/>
      <c r="ML175" s="268"/>
      <c r="MM175" s="268"/>
      <c r="MN175" s="268"/>
      <c r="MO175" s="268"/>
      <c r="MP175" s="268"/>
      <c r="MQ175" s="268"/>
      <c r="MR175" s="268"/>
      <c r="MS175" s="268"/>
      <c r="MT175" s="268"/>
      <c r="MU175" s="268"/>
      <c r="MV175" s="268"/>
      <c r="MW175" s="268"/>
      <c r="MX175" s="268"/>
      <c r="MY175" s="268"/>
      <c r="MZ175" s="268"/>
      <c r="NA175" s="268"/>
      <c r="NB175" s="268"/>
      <c r="NC175" s="268"/>
      <c r="ND175" s="268"/>
      <c r="NE175" s="268"/>
      <c r="NF175" s="268"/>
      <c r="NG175" s="268"/>
      <c r="NH175" s="268"/>
      <c r="NI175" s="268"/>
      <c r="NJ175" s="268"/>
      <c r="NK175" s="268"/>
      <c r="NL175" s="268"/>
      <c r="NM175" s="268"/>
      <c r="NN175" s="268"/>
      <c r="NO175" s="268"/>
      <c r="NP175" s="268"/>
      <c r="NQ175" s="268"/>
      <c r="NR175" s="268"/>
      <c r="NS175" s="268"/>
      <c r="NT175" s="268"/>
      <c r="NU175" s="268"/>
      <c r="NV175" s="268"/>
      <c r="NW175" s="268"/>
      <c r="NX175" s="268"/>
      <c r="NY175" s="268"/>
      <c r="NZ175" s="268"/>
      <c r="OA175" s="268"/>
      <c r="OB175" s="268"/>
      <c r="OC175" s="268"/>
      <c r="OD175" s="268"/>
      <c r="OE175" s="268"/>
      <c r="OF175" s="268"/>
      <c r="OG175" s="268"/>
      <c r="OH175" s="268"/>
      <c r="OI175" s="268"/>
      <c r="OJ175" s="268"/>
      <c r="OK175" s="268"/>
      <c r="OL175" s="268"/>
      <c r="OM175" s="268"/>
      <c r="ON175" s="268"/>
      <c r="OO175" s="268"/>
      <c r="OP175" s="268"/>
      <c r="OQ175" s="268"/>
      <c r="OR175" s="268"/>
      <c r="OS175" s="268"/>
      <c r="OT175" s="268"/>
      <c r="OU175" s="268"/>
      <c r="OV175" s="268"/>
      <c r="OW175" s="268"/>
      <c r="OX175" s="268"/>
      <c r="OY175" s="268"/>
      <c r="OZ175" s="268"/>
      <c r="PA175" s="268"/>
      <c r="PB175" s="268"/>
      <c r="PC175" s="268"/>
      <c r="PD175" s="268"/>
      <c r="PE175" s="268"/>
      <c r="PF175" s="268"/>
      <c r="PG175" s="268"/>
      <c r="PH175" s="268"/>
      <c r="PI175" s="268"/>
      <c r="PJ175" s="268"/>
      <c r="PK175" s="268"/>
      <c r="PL175" s="268"/>
      <c r="PM175" s="268"/>
      <c r="PN175" s="268"/>
      <c r="PO175" s="268"/>
      <c r="PP175" s="268"/>
      <c r="PQ175" s="268"/>
      <c r="PR175" s="268"/>
      <c r="PS175" s="268"/>
      <c r="PT175" s="268"/>
      <c r="PU175" s="268"/>
      <c r="PV175" s="268"/>
      <c r="PW175" s="268"/>
      <c r="PX175" s="268"/>
      <c r="PY175" s="268"/>
      <c r="PZ175" s="268"/>
      <c r="QA175" s="268"/>
      <c r="QB175" s="268"/>
      <c r="QC175" s="268"/>
      <c r="QD175" s="268"/>
      <c r="QE175" s="268"/>
      <c r="QF175" s="268"/>
      <c r="QG175" s="268"/>
      <c r="QH175" s="268"/>
      <c r="QI175" s="268"/>
      <c r="QJ175" s="268"/>
      <c r="QK175" s="268"/>
      <c r="QL175" s="268"/>
      <c r="QM175" s="268"/>
      <c r="QN175" s="268"/>
      <c r="QO175" s="268"/>
      <c r="QP175" s="268"/>
      <c r="QQ175" s="268"/>
      <c r="QR175" s="268"/>
      <c r="QS175" s="268"/>
      <c r="QT175" s="268"/>
      <c r="QU175" s="268"/>
      <c r="QV175" s="268"/>
      <c r="QW175" s="268"/>
      <c r="QX175" s="268"/>
      <c r="QY175" s="268"/>
      <c r="QZ175" s="268"/>
      <c r="RA175" s="268"/>
      <c r="RB175" s="268"/>
      <c r="RC175" s="268"/>
      <c r="RD175" s="268"/>
      <c r="RE175" s="268"/>
      <c r="RF175" s="268"/>
      <c r="RG175" s="268"/>
      <c r="RH175" s="268"/>
      <c r="RI175" s="268"/>
      <c r="RJ175" s="268"/>
      <c r="RK175" s="268"/>
      <c r="RL175" s="268"/>
      <c r="RM175" s="268"/>
      <c r="RN175" s="268"/>
      <c r="RO175" s="268"/>
      <c r="RP175" s="268"/>
      <c r="RQ175" s="268"/>
      <c r="RR175" s="268"/>
      <c r="RS175" s="268"/>
      <c r="RT175" s="268"/>
      <c r="RU175" s="268"/>
      <c r="RV175" s="268"/>
      <c r="RW175" s="268"/>
      <c r="RX175" s="268"/>
      <c r="RY175" s="268"/>
      <c r="RZ175" s="268"/>
      <c r="SA175" s="268"/>
      <c r="SB175" s="268"/>
      <c r="SC175" s="268"/>
      <c r="SD175" s="268"/>
      <c r="SE175" s="268"/>
      <c r="SF175" s="268"/>
      <c r="SG175" s="268"/>
      <c r="SH175" s="268"/>
      <c r="SI175" s="268"/>
      <c r="SJ175" s="268"/>
      <c r="SK175" s="268"/>
      <c r="SL175" s="268"/>
      <c r="SM175" s="268"/>
      <c r="SN175" s="268"/>
      <c r="SO175" s="268"/>
      <c r="SP175" s="268"/>
      <c r="SQ175" s="268"/>
      <c r="SR175" s="268"/>
      <c r="SS175" s="268"/>
      <c r="ST175" s="268"/>
      <c r="SU175" s="268"/>
      <c r="SV175" s="268"/>
      <c r="SW175" s="268"/>
      <c r="SX175" s="268"/>
      <c r="SY175" s="268"/>
      <c r="SZ175" s="268"/>
      <c r="TA175" s="268"/>
      <c r="TB175" s="268"/>
      <c r="TC175" s="268"/>
      <c r="TD175" s="268"/>
      <c r="TE175" s="268"/>
      <c r="TF175" s="268"/>
      <c r="TG175" s="268"/>
      <c r="TH175" s="268"/>
      <c r="TI175" s="268"/>
      <c r="TJ175" s="268"/>
      <c r="TK175" s="268"/>
      <c r="TL175" s="268"/>
      <c r="TM175" s="268"/>
      <c r="TN175" s="268"/>
      <c r="TO175" s="268"/>
      <c r="TP175" s="268"/>
      <c r="TQ175" s="268"/>
      <c r="TR175" s="268"/>
      <c r="TS175" s="268"/>
      <c r="TT175" s="268"/>
      <c r="TU175" s="268"/>
      <c r="TV175" s="268"/>
      <c r="TW175" s="268"/>
      <c r="TX175" s="268"/>
      <c r="TY175" s="268"/>
      <c r="TZ175" s="268"/>
      <c r="UA175" s="268"/>
      <c r="UB175" s="268"/>
      <c r="UC175" s="268"/>
      <c r="UD175" s="268"/>
      <c r="UE175" s="268"/>
      <c r="UF175" s="268"/>
      <c r="UG175" s="269"/>
    </row>
    <row r="176" spans="1:553" s="236" customFormat="1" ht="27.75" customHeight="1">
      <c r="A176" s="445"/>
      <c r="B176" s="445"/>
      <c r="C176" s="384" t="s">
        <v>23</v>
      </c>
      <c r="D176" s="376" t="s">
        <v>20</v>
      </c>
      <c r="E176" s="376" t="s">
        <v>139</v>
      </c>
      <c r="F176" s="379">
        <v>1</v>
      </c>
      <c r="G176" s="386" t="s">
        <v>935</v>
      </c>
      <c r="H176" s="478"/>
      <c r="I176" s="417">
        <v>571.5</v>
      </c>
      <c r="J176" s="477">
        <v>72000</v>
      </c>
      <c r="K176" s="849">
        <v>3</v>
      </c>
      <c r="L176" s="480">
        <f>PRODUCT(I176:K176)</f>
        <v>123444000</v>
      </c>
      <c r="M176" s="480"/>
      <c r="N176" s="480"/>
      <c r="O176" s="480"/>
      <c r="P176" s="1127"/>
      <c r="Q176" s="1229"/>
      <c r="R176" s="1139"/>
      <c r="S176" s="308"/>
      <c r="T176" s="303"/>
      <c r="U176" s="306"/>
      <c r="V176" s="307"/>
      <c r="W176" s="307"/>
      <c r="X176" s="307"/>
      <c r="Y176" s="307"/>
      <c r="Z176" s="307"/>
      <c r="AA176" s="307"/>
      <c r="AB176" s="307"/>
      <c r="AC176" s="306"/>
      <c r="AD176" s="308"/>
      <c r="AE176" s="308"/>
      <c r="AF176" s="308"/>
      <c r="AG176" s="308"/>
      <c r="AH176" s="308"/>
      <c r="AI176" s="308"/>
      <c r="AJ176" s="308"/>
      <c r="AK176" s="308"/>
      <c r="AL176" s="347"/>
      <c r="AM176" s="268"/>
      <c r="AN176" s="268"/>
      <c r="AO176" s="268"/>
      <c r="AP176" s="268"/>
      <c r="AQ176" s="268"/>
      <c r="AR176" s="268"/>
      <c r="AS176" s="268"/>
      <c r="AT176" s="268"/>
      <c r="AU176" s="268"/>
      <c r="AV176" s="268"/>
      <c r="AW176" s="268"/>
      <c r="AX176" s="268"/>
      <c r="AY176" s="268"/>
      <c r="AZ176" s="268"/>
      <c r="BA176" s="268"/>
      <c r="BB176" s="268"/>
      <c r="BC176" s="268"/>
      <c r="BD176" s="268"/>
      <c r="BE176" s="268"/>
      <c r="BF176" s="268"/>
      <c r="BG176" s="268"/>
      <c r="BH176" s="268"/>
      <c r="BI176" s="268"/>
      <c r="BJ176" s="268"/>
      <c r="BK176" s="268"/>
      <c r="BL176" s="268"/>
      <c r="BM176" s="268"/>
      <c r="BN176" s="268"/>
      <c r="BO176" s="268"/>
      <c r="BP176" s="268"/>
      <c r="BQ176" s="268"/>
      <c r="BR176" s="268"/>
      <c r="BS176" s="268"/>
      <c r="BT176" s="268"/>
      <c r="BU176" s="268"/>
      <c r="BV176" s="268"/>
      <c r="BW176" s="268"/>
      <c r="BX176" s="268"/>
      <c r="BY176" s="268"/>
      <c r="BZ176" s="268"/>
      <c r="CA176" s="268"/>
      <c r="CB176" s="268"/>
      <c r="CC176" s="268"/>
      <c r="CD176" s="268"/>
      <c r="CE176" s="268"/>
      <c r="CF176" s="268"/>
      <c r="CG176" s="268"/>
      <c r="CH176" s="268"/>
      <c r="CI176" s="268"/>
      <c r="CJ176" s="268"/>
      <c r="CK176" s="268"/>
      <c r="CL176" s="268"/>
      <c r="CM176" s="268"/>
      <c r="CN176" s="268"/>
      <c r="CO176" s="268"/>
      <c r="CP176" s="268"/>
      <c r="CQ176" s="268"/>
      <c r="CR176" s="268"/>
      <c r="CS176" s="268"/>
      <c r="CT176" s="268"/>
      <c r="CU176" s="268"/>
      <c r="CV176" s="268"/>
      <c r="CW176" s="268"/>
      <c r="CX176" s="268"/>
      <c r="CY176" s="268"/>
      <c r="CZ176" s="268"/>
      <c r="DA176" s="268"/>
      <c r="DB176" s="268"/>
      <c r="DC176" s="268"/>
      <c r="DD176" s="268"/>
      <c r="DE176" s="268"/>
      <c r="DF176" s="268"/>
      <c r="DG176" s="268"/>
      <c r="DH176" s="268"/>
      <c r="DI176" s="268"/>
      <c r="DJ176" s="268"/>
      <c r="DK176" s="268"/>
      <c r="DL176" s="268"/>
      <c r="DM176" s="268"/>
      <c r="DN176" s="268"/>
      <c r="DO176" s="268"/>
      <c r="DP176" s="268"/>
      <c r="DQ176" s="268"/>
      <c r="DR176" s="268"/>
      <c r="DS176" s="268"/>
      <c r="DT176" s="268"/>
      <c r="DU176" s="268"/>
      <c r="DV176" s="268"/>
      <c r="DW176" s="268"/>
      <c r="DX176" s="268"/>
      <c r="DY176" s="268"/>
      <c r="DZ176" s="268"/>
      <c r="EA176" s="268"/>
      <c r="EB176" s="268"/>
      <c r="EC176" s="268"/>
      <c r="ED176" s="268"/>
      <c r="EE176" s="268"/>
      <c r="EF176" s="268"/>
      <c r="EG176" s="268"/>
      <c r="EH176" s="268"/>
      <c r="EI176" s="268"/>
      <c r="EJ176" s="268"/>
      <c r="EK176" s="268"/>
      <c r="EL176" s="268"/>
      <c r="EM176" s="268"/>
      <c r="EN176" s="268"/>
      <c r="EO176" s="268"/>
      <c r="EP176" s="268"/>
      <c r="EQ176" s="268"/>
      <c r="ER176" s="268"/>
      <c r="ES176" s="268"/>
      <c r="ET176" s="268"/>
      <c r="EU176" s="268"/>
      <c r="EV176" s="268"/>
      <c r="EW176" s="268"/>
      <c r="EX176" s="268"/>
      <c r="EY176" s="268"/>
      <c r="EZ176" s="268"/>
      <c r="FA176" s="268"/>
      <c r="FB176" s="268"/>
      <c r="FC176" s="268"/>
      <c r="FD176" s="268"/>
      <c r="FE176" s="268"/>
      <c r="FF176" s="268"/>
      <c r="FG176" s="268"/>
      <c r="FH176" s="268"/>
      <c r="FI176" s="268"/>
      <c r="FJ176" s="268"/>
      <c r="FK176" s="268"/>
      <c r="FL176" s="268"/>
      <c r="FM176" s="268"/>
      <c r="FN176" s="268"/>
      <c r="FO176" s="268"/>
      <c r="FP176" s="268"/>
      <c r="FQ176" s="268"/>
      <c r="FR176" s="268"/>
      <c r="FS176" s="268"/>
      <c r="FT176" s="268"/>
      <c r="FU176" s="268"/>
      <c r="FV176" s="268"/>
      <c r="FW176" s="268"/>
      <c r="FX176" s="268"/>
      <c r="FY176" s="268"/>
      <c r="FZ176" s="268"/>
      <c r="GA176" s="268"/>
      <c r="GB176" s="268"/>
      <c r="GC176" s="268"/>
      <c r="GD176" s="268"/>
      <c r="GE176" s="268"/>
      <c r="GF176" s="268"/>
      <c r="GG176" s="268"/>
      <c r="GH176" s="268"/>
      <c r="GI176" s="268"/>
      <c r="GJ176" s="268"/>
      <c r="GK176" s="268"/>
      <c r="GL176" s="268"/>
      <c r="GM176" s="268"/>
      <c r="GN176" s="268"/>
      <c r="GO176" s="268"/>
      <c r="GP176" s="268"/>
      <c r="GQ176" s="268"/>
      <c r="GR176" s="268"/>
      <c r="GS176" s="268"/>
      <c r="GT176" s="268"/>
      <c r="GU176" s="268"/>
      <c r="GV176" s="268"/>
      <c r="GW176" s="268"/>
      <c r="GX176" s="268"/>
      <c r="GY176" s="268"/>
      <c r="GZ176" s="268"/>
      <c r="HA176" s="268"/>
      <c r="HB176" s="268"/>
      <c r="HC176" s="268"/>
      <c r="HD176" s="268"/>
      <c r="HE176" s="268"/>
      <c r="HF176" s="268"/>
      <c r="HG176" s="268"/>
      <c r="HH176" s="268"/>
      <c r="HI176" s="268"/>
      <c r="HJ176" s="268"/>
      <c r="HK176" s="268"/>
      <c r="HL176" s="268"/>
      <c r="HM176" s="268"/>
      <c r="HN176" s="268"/>
      <c r="HO176" s="268"/>
      <c r="HP176" s="268"/>
      <c r="HQ176" s="268"/>
      <c r="HR176" s="268"/>
      <c r="HS176" s="268"/>
      <c r="HT176" s="268"/>
      <c r="HU176" s="268"/>
      <c r="HV176" s="268"/>
      <c r="HW176" s="268"/>
      <c r="HX176" s="268"/>
      <c r="HY176" s="268"/>
      <c r="HZ176" s="268"/>
      <c r="IA176" s="268"/>
      <c r="IB176" s="268"/>
      <c r="IC176" s="268"/>
      <c r="ID176" s="268"/>
      <c r="IE176" s="268"/>
      <c r="IF176" s="268"/>
      <c r="IG176" s="268"/>
      <c r="IH176" s="268"/>
      <c r="II176" s="268"/>
      <c r="IJ176" s="268"/>
      <c r="IK176" s="268"/>
      <c r="IL176" s="268"/>
      <c r="IM176" s="268"/>
      <c r="IN176" s="268"/>
      <c r="IO176" s="268"/>
      <c r="IP176" s="268"/>
      <c r="IQ176" s="268"/>
      <c r="IR176" s="268"/>
      <c r="IS176" s="268"/>
      <c r="IT176" s="268"/>
      <c r="IU176" s="268"/>
      <c r="IV176" s="268"/>
      <c r="IW176" s="268"/>
      <c r="IX176" s="268"/>
      <c r="IY176" s="268"/>
      <c r="IZ176" s="268"/>
      <c r="JA176" s="268"/>
      <c r="JB176" s="268"/>
      <c r="JC176" s="268"/>
      <c r="JD176" s="268"/>
      <c r="JE176" s="268"/>
      <c r="JF176" s="268"/>
      <c r="JG176" s="268"/>
      <c r="JH176" s="268"/>
      <c r="JI176" s="268"/>
      <c r="JJ176" s="268"/>
      <c r="JK176" s="268"/>
      <c r="JL176" s="268"/>
      <c r="JM176" s="268"/>
      <c r="JN176" s="268"/>
      <c r="JO176" s="268"/>
      <c r="JP176" s="268"/>
      <c r="JQ176" s="268"/>
      <c r="JR176" s="268"/>
      <c r="JS176" s="268"/>
      <c r="JT176" s="268"/>
      <c r="JU176" s="268"/>
      <c r="JV176" s="268"/>
      <c r="JW176" s="268"/>
      <c r="JX176" s="268"/>
      <c r="JY176" s="268"/>
      <c r="JZ176" s="268"/>
      <c r="KA176" s="268"/>
      <c r="KB176" s="268"/>
      <c r="KC176" s="268"/>
      <c r="KD176" s="268"/>
      <c r="KE176" s="268"/>
      <c r="KF176" s="268"/>
      <c r="KG176" s="268"/>
      <c r="KH176" s="268"/>
      <c r="KI176" s="268"/>
      <c r="KJ176" s="268"/>
      <c r="KK176" s="268"/>
      <c r="KL176" s="268"/>
      <c r="KM176" s="268"/>
      <c r="KN176" s="268"/>
      <c r="KO176" s="268"/>
      <c r="KP176" s="268"/>
      <c r="KQ176" s="268"/>
      <c r="KR176" s="268"/>
      <c r="KS176" s="268"/>
      <c r="KT176" s="268"/>
      <c r="KU176" s="268"/>
      <c r="KV176" s="268"/>
      <c r="KW176" s="268"/>
      <c r="KX176" s="268"/>
      <c r="KY176" s="268"/>
      <c r="KZ176" s="268"/>
      <c r="LA176" s="268"/>
      <c r="LB176" s="268"/>
      <c r="LC176" s="268"/>
      <c r="LD176" s="268"/>
      <c r="LE176" s="268"/>
      <c r="LF176" s="268"/>
      <c r="LG176" s="268"/>
      <c r="LH176" s="268"/>
      <c r="LI176" s="268"/>
      <c r="LJ176" s="268"/>
      <c r="LK176" s="268"/>
      <c r="LL176" s="268"/>
      <c r="LM176" s="268"/>
      <c r="LN176" s="268"/>
      <c r="LO176" s="268"/>
      <c r="LP176" s="268"/>
      <c r="LQ176" s="268"/>
      <c r="LR176" s="268"/>
      <c r="LS176" s="268"/>
      <c r="LT176" s="268"/>
      <c r="LU176" s="268"/>
      <c r="LV176" s="268"/>
      <c r="LW176" s="268"/>
      <c r="LX176" s="268"/>
      <c r="LY176" s="268"/>
      <c r="LZ176" s="268"/>
      <c r="MA176" s="268"/>
      <c r="MB176" s="268"/>
      <c r="MC176" s="268"/>
      <c r="MD176" s="268"/>
      <c r="ME176" s="268"/>
      <c r="MF176" s="268"/>
      <c r="MG176" s="268"/>
      <c r="MH176" s="268"/>
      <c r="MI176" s="268"/>
      <c r="MJ176" s="268"/>
      <c r="MK176" s="268"/>
      <c r="ML176" s="268"/>
      <c r="MM176" s="268"/>
      <c r="MN176" s="268"/>
      <c r="MO176" s="268"/>
      <c r="MP176" s="268"/>
      <c r="MQ176" s="268"/>
      <c r="MR176" s="268"/>
      <c r="MS176" s="268"/>
      <c r="MT176" s="268"/>
      <c r="MU176" s="268"/>
      <c r="MV176" s="268"/>
      <c r="MW176" s="268"/>
      <c r="MX176" s="268"/>
      <c r="MY176" s="268"/>
      <c r="MZ176" s="268"/>
      <c r="NA176" s="268"/>
      <c r="NB176" s="268"/>
      <c r="NC176" s="268"/>
      <c r="ND176" s="268"/>
      <c r="NE176" s="268"/>
      <c r="NF176" s="268"/>
      <c r="NG176" s="268"/>
      <c r="NH176" s="268"/>
      <c r="NI176" s="268"/>
      <c r="NJ176" s="268"/>
      <c r="NK176" s="268"/>
      <c r="NL176" s="268"/>
      <c r="NM176" s="268"/>
      <c r="NN176" s="268"/>
      <c r="NO176" s="268"/>
      <c r="NP176" s="268"/>
      <c r="NQ176" s="268"/>
      <c r="NR176" s="268"/>
      <c r="NS176" s="268"/>
      <c r="NT176" s="268"/>
      <c r="NU176" s="268"/>
      <c r="NV176" s="268"/>
      <c r="NW176" s="268"/>
      <c r="NX176" s="268"/>
      <c r="NY176" s="268"/>
      <c r="NZ176" s="268"/>
      <c r="OA176" s="268"/>
      <c r="OB176" s="268"/>
      <c r="OC176" s="268"/>
      <c r="OD176" s="268"/>
      <c r="OE176" s="268"/>
      <c r="OF176" s="268"/>
      <c r="OG176" s="268"/>
      <c r="OH176" s="268"/>
      <c r="OI176" s="268"/>
      <c r="OJ176" s="268"/>
      <c r="OK176" s="268"/>
      <c r="OL176" s="268"/>
      <c r="OM176" s="268"/>
      <c r="ON176" s="268"/>
      <c r="OO176" s="268"/>
      <c r="OP176" s="268"/>
      <c r="OQ176" s="268"/>
      <c r="OR176" s="268"/>
      <c r="OS176" s="268"/>
      <c r="OT176" s="268"/>
      <c r="OU176" s="268"/>
      <c r="OV176" s="268"/>
      <c r="OW176" s="268"/>
      <c r="OX176" s="268"/>
      <c r="OY176" s="268"/>
      <c r="OZ176" s="268"/>
      <c r="PA176" s="268"/>
      <c r="PB176" s="268"/>
      <c r="PC176" s="268"/>
      <c r="PD176" s="268"/>
      <c r="PE176" s="268"/>
      <c r="PF176" s="268"/>
      <c r="PG176" s="268"/>
      <c r="PH176" s="268"/>
      <c r="PI176" s="268"/>
      <c r="PJ176" s="268"/>
      <c r="PK176" s="268"/>
      <c r="PL176" s="268"/>
      <c r="PM176" s="268"/>
      <c r="PN176" s="268"/>
      <c r="PO176" s="268"/>
      <c r="PP176" s="268"/>
      <c r="PQ176" s="268"/>
      <c r="PR176" s="268"/>
      <c r="PS176" s="268"/>
      <c r="PT176" s="268"/>
      <c r="PU176" s="268"/>
      <c r="PV176" s="268"/>
      <c r="PW176" s="268"/>
      <c r="PX176" s="268"/>
      <c r="PY176" s="268"/>
      <c r="PZ176" s="268"/>
      <c r="QA176" s="268"/>
      <c r="QB176" s="268"/>
      <c r="QC176" s="268"/>
      <c r="QD176" s="268"/>
      <c r="QE176" s="268"/>
      <c r="QF176" s="268"/>
      <c r="QG176" s="268"/>
      <c r="QH176" s="268"/>
      <c r="QI176" s="268"/>
      <c r="QJ176" s="268"/>
      <c r="QK176" s="268"/>
      <c r="QL176" s="268"/>
      <c r="QM176" s="268"/>
      <c r="QN176" s="268"/>
      <c r="QO176" s="268"/>
      <c r="QP176" s="268"/>
      <c r="QQ176" s="268"/>
      <c r="QR176" s="268"/>
      <c r="QS176" s="268"/>
      <c r="QT176" s="268"/>
      <c r="QU176" s="268"/>
      <c r="QV176" s="268"/>
      <c r="QW176" s="268"/>
      <c r="QX176" s="268"/>
      <c r="QY176" s="268"/>
      <c r="QZ176" s="268"/>
      <c r="RA176" s="268"/>
      <c r="RB176" s="268"/>
      <c r="RC176" s="268"/>
      <c r="RD176" s="268"/>
      <c r="RE176" s="268"/>
      <c r="RF176" s="268"/>
      <c r="RG176" s="268"/>
      <c r="RH176" s="268"/>
      <c r="RI176" s="268"/>
      <c r="RJ176" s="268"/>
      <c r="RK176" s="268"/>
      <c r="RL176" s="268"/>
      <c r="RM176" s="268"/>
      <c r="RN176" s="268"/>
      <c r="RO176" s="268"/>
      <c r="RP176" s="268"/>
      <c r="RQ176" s="268"/>
      <c r="RR176" s="268"/>
      <c r="RS176" s="268"/>
      <c r="RT176" s="268"/>
      <c r="RU176" s="268"/>
      <c r="RV176" s="268"/>
      <c r="RW176" s="268"/>
      <c r="RX176" s="268"/>
      <c r="RY176" s="268"/>
      <c r="RZ176" s="268"/>
      <c r="SA176" s="268"/>
      <c r="SB176" s="268"/>
      <c r="SC176" s="268"/>
      <c r="SD176" s="268"/>
      <c r="SE176" s="268"/>
      <c r="SF176" s="268"/>
      <c r="SG176" s="268"/>
      <c r="SH176" s="268"/>
      <c r="SI176" s="268"/>
      <c r="SJ176" s="268"/>
      <c r="SK176" s="268"/>
      <c r="SL176" s="268"/>
      <c r="SM176" s="268"/>
      <c r="SN176" s="268"/>
      <c r="SO176" s="268"/>
      <c r="SP176" s="268"/>
      <c r="SQ176" s="268"/>
      <c r="SR176" s="268"/>
      <c r="SS176" s="268"/>
      <c r="ST176" s="268"/>
      <c r="SU176" s="268"/>
      <c r="SV176" s="268"/>
      <c r="SW176" s="268"/>
      <c r="SX176" s="268"/>
      <c r="SY176" s="268"/>
      <c r="SZ176" s="268"/>
      <c r="TA176" s="268"/>
      <c r="TB176" s="268"/>
      <c r="TC176" s="268"/>
      <c r="TD176" s="268"/>
      <c r="TE176" s="268"/>
      <c r="TF176" s="268"/>
      <c r="TG176" s="268"/>
      <c r="TH176" s="268"/>
      <c r="TI176" s="268"/>
      <c r="TJ176" s="268"/>
      <c r="TK176" s="268"/>
      <c r="TL176" s="268"/>
      <c r="TM176" s="268"/>
      <c r="TN176" s="268"/>
      <c r="TO176" s="268"/>
      <c r="TP176" s="268"/>
      <c r="TQ176" s="268"/>
      <c r="TR176" s="268"/>
      <c r="TS176" s="268"/>
      <c r="TT176" s="268"/>
      <c r="TU176" s="268"/>
      <c r="TV176" s="268"/>
      <c r="TW176" s="268"/>
      <c r="TX176" s="268"/>
      <c r="TY176" s="268"/>
      <c r="TZ176" s="268"/>
      <c r="UA176" s="268"/>
      <c r="UB176" s="268"/>
      <c r="UC176" s="268"/>
      <c r="UD176" s="268"/>
      <c r="UE176" s="268"/>
      <c r="UF176" s="268"/>
      <c r="UG176" s="269"/>
    </row>
    <row r="177" spans="1:553" s="236" customFormat="1" ht="27.75" customHeight="1">
      <c r="A177" s="445"/>
      <c r="B177" s="445"/>
      <c r="C177" s="384" t="s">
        <v>23</v>
      </c>
      <c r="D177" s="376" t="s">
        <v>20</v>
      </c>
      <c r="E177" s="376" t="s">
        <v>141</v>
      </c>
      <c r="F177" s="379">
        <v>1</v>
      </c>
      <c r="G177" s="386" t="s">
        <v>935</v>
      </c>
      <c r="H177" s="478"/>
      <c r="I177" s="417">
        <v>59.4</v>
      </c>
      <c r="J177" s="477">
        <v>72000</v>
      </c>
      <c r="K177" s="849">
        <v>3</v>
      </c>
      <c r="L177" s="480">
        <f t="shared" si="37"/>
        <v>12830400</v>
      </c>
      <c r="M177" s="480"/>
      <c r="N177" s="480"/>
      <c r="O177" s="480"/>
      <c r="P177" s="1127"/>
      <c r="Q177" s="1229"/>
      <c r="R177" s="1139"/>
      <c r="S177" s="308"/>
      <c r="T177" s="303"/>
      <c r="U177" s="306"/>
      <c r="V177" s="307"/>
      <c r="W177" s="307"/>
      <c r="X177" s="307"/>
      <c r="Y177" s="307"/>
      <c r="Z177" s="307"/>
      <c r="AA177" s="307"/>
      <c r="AB177" s="307"/>
      <c r="AC177" s="306"/>
      <c r="AD177" s="308"/>
      <c r="AE177" s="308"/>
      <c r="AF177" s="308"/>
      <c r="AG177" s="308"/>
      <c r="AH177" s="308"/>
      <c r="AI177" s="308"/>
      <c r="AJ177" s="308"/>
      <c r="AK177" s="308"/>
      <c r="AL177" s="347"/>
      <c r="AM177" s="268"/>
      <c r="AN177" s="268"/>
      <c r="AO177" s="268"/>
      <c r="AP177" s="268"/>
      <c r="AQ177" s="268"/>
      <c r="AR177" s="268"/>
      <c r="AS177" s="268"/>
      <c r="AT177" s="268"/>
      <c r="AU177" s="268"/>
      <c r="AV177" s="268"/>
      <c r="AW177" s="268"/>
      <c r="AX177" s="268"/>
      <c r="AY177" s="268"/>
      <c r="AZ177" s="268"/>
      <c r="BA177" s="268"/>
      <c r="BB177" s="268"/>
      <c r="BC177" s="268"/>
      <c r="BD177" s="268"/>
      <c r="BE177" s="268"/>
      <c r="BF177" s="268"/>
      <c r="BG177" s="268"/>
      <c r="BH177" s="268"/>
      <c r="BI177" s="268"/>
      <c r="BJ177" s="268"/>
      <c r="BK177" s="268"/>
      <c r="BL177" s="268"/>
      <c r="BM177" s="268"/>
      <c r="BN177" s="268"/>
      <c r="BO177" s="268"/>
      <c r="BP177" s="268"/>
      <c r="BQ177" s="268"/>
      <c r="BR177" s="268"/>
      <c r="BS177" s="268"/>
      <c r="BT177" s="268"/>
      <c r="BU177" s="268"/>
      <c r="BV177" s="268"/>
      <c r="BW177" s="268"/>
      <c r="BX177" s="268"/>
      <c r="BY177" s="268"/>
      <c r="BZ177" s="268"/>
      <c r="CA177" s="268"/>
      <c r="CB177" s="268"/>
      <c r="CC177" s="268"/>
      <c r="CD177" s="268"/>
      <c r="CE177" s="268"/>
      <c r="CF177" s="268"/>
      <c r="CG177" s="268"/>
      <c r="CH177" s="268"/>
      <c r="CI177" s="268"/>
      <c r="CJ177" s="268"/>
      <c r="CK177" s="268"/>
      <c r="CL177" s="268"/>
      <c r="CM177" s="268"/>
      <c r="CN177" s="268"/>
      <c r="CO177" s="268"/>
      <c r="CP177" s="268"/>
      <c r="CQ177" s="268"/>
      <c r="CR177" s="268"/>
      <c r="CS177" s="268"/>
      <c r="CT177" s="268"/>
      <c r="CU177" s="268"/>
      <c r="CV177" s="268"/>
      <c r="CW177" s="268"/>
      <c r="CX177" s="268"/>
      <c r="CY177" s="268"/>
      <c r="CZ177" s="268"/>
      <c r="DA177" s="268"/>
      <c r="DB177" s="268"/>
      <c r="DC177" s="268"/>
      <c r="DD177" s="268"/>
      <c r="DE177" s="268"/>
      <c r="DF177" s="268"/>
      <c r="DG177" s="268"/>
      <c r="DH177" s="268"/>
      <c r="DI177" s="268"/>
      <c r="DJ177" s="268"/>
      <c r="DK177" s="268"/>
      <c r="DL177" s="268"/>
      <c r="DM177" s="268"/>
      <c r="DN177" s="268"/>
      <c r="DO177" s="268"/>
      <c r="DP177" s="268"/>
      <c r="DQ177" s="268"/>
      <c r="DR177" s="268"/>
      <c r="DS177" s="268"/>
      <c r="DT177" s="268"/>
      <c r="DU177" s="268"/>
      <c r="DV177" s="268"/>
      <c r="DW177" s="268"/>
      <c r="DX177" s="268"/>
      <c r="DY177" s="268"/>
      <c r="DZ177" s="268"/>
      <c r="EA177" s="268"/>
      <c r="EB177" s="268"/>
      <c r="EC177" s="268"/>
      <c r="ED177" s="268"/>
      <c r="EE177" s="268"/>
      <c r="EF177" s="268"/>
      <c r="EG177" s="268"/>
      <c r="EH177" s="268"/>
      <c r="EI177" s="268"/>
      <c r="EJ177" s="268"/>
      <c r="EK177" s="268"/>
      <c r="EL177" s="268"/>
      <c r="EM177" s="268"/>
      <c r="EN177" s="268"/>
      <c r="EO177" s="268"/>
      <c r="EP177" s="268"/>
      <c r="EQ177" s="268"/>
      <c r="ER177" s="268"/>
      <c r="ES177" s="268"/>
      <c r="ET177" s="268"/>
      <c r="EU177" s="268"/>
      <c r="EV177" s="268"/>
      <c r="EW177" s="268"/>
      <c r="EX177" s="268"/>
      <c r="EY177" s="268"/>
      <c r="EZ177" s="268"/>
      <c r="FA177" s="268"/>
      <c r="FB177" s="268"/>
      <c r="FC177" s="268"/>
      <c r="FD177" s="268"/>
      <c r="FE177" s="268"/>
      <c r="FF177" s="268"/>
      <c r="FG177" s="268"/>
      <c r="FH177" s="268"/>
      <c r="FI177" s="268"/>
      <c r="FJ177" s="268"/>
      <c r="FK177" s="268"/>
      <c r="FL177" s="268"/>
      <c r="FM177" s="268"/>
      <c r="FN177" s="268"/>
      <c r="FO177" s="268"/>
      <c r="FP177" s="268"/>
      <c r="FQ177" s="268"/>
      <c r="FR177" s="268"/>
      <c r="FS177" s="268"/>
      <c r="FT177" s="268"/>
      <c r="FU177" s="268"/>
      <c r="FV177" s="268"/>
      <c r="FW177" s="268"/>
      <c r="FX177" s="268"/>
      <c r="FY177" s="268"/>
      <c r="FZ177" s="268"/>
      <c r="GA177" s="268"/>
      <c r="GB177" s="268"/>
      <c r="GC177" s="268"/>
      <c r="GD177" s="268"/>
      <c r="GE177" s="268"/>
      <c r="GF177" s="268"/>
      <c r="GG177" s="268"/>
      <c r="GH177" s="268"/>
      <c r="GI177" s="268"/>
      <c r="GJ177" s="268"/>
      <c r="GK177" s="268"/>
      <c r="GL177" s="268"/>
      <c r="GM177" s="268"/>
      <c r="GN177" s="268"/>
      <c r="GO177" s="268"/>
      <c r="GP177" s="268"/>
      <c r="GQ177" s="268"/>
      <c r="GR177" s="268"/>
      <c r="GS177" s="268"/>
      <c r="GT177" s="268"/>
      <c r="GU177" s="268"/>
      <c r="GV177" s="268"/>
      <c r="GW177" s="268"/>
      <c r="GX177" s="268"/>
      <c r="GY177" s="268"/>
      <c r="GZ177" s="268"/>
      <c r="HA177" s="268"/>
      <c r="HB177" s="268"/>
      <c r="HC177" s="268"/>
      <c r="HD177" s="268"/>
      <c r="HE177" s="268"/>
      <c r="HF177" s="268"/>
      <c r="HG177" s="268"/>
      <c r="HH177" s="268"/>
      <c r="HI177" s="268"/>
      <c r="HJ177" s="268"/>
      <c r="HK177" s="268"/>
      <c r="HL177" s="268"/>
      <c r="HM177" s="268"/>
      <c r="HN177" s="268"/>
      <c r="HO177" s="268"/>
      <c r="HP177" s="268"/>
      <c r="HQ177" s="268"/>
      <c r="HR177" s="268"/>
      <c r="HS177" s="268"/>
      <c r="HT177" s="268"/>
      <c r="HU177" s="268"/>
      <c r="HV177" s="268"/>
      <c r="HW177" s="268"/>
      <c r="HX177" s="268"/>
      <c r="HY177" s="268"/>
      <c r="HZ177" s="268"/>
      <c r="IA177" s="268"/>
      <c r="IB177" s="268"/>
      <c r="IC177" s="268"/>
      <c r="ID177" s="268"/>
      <c r="IE177" s="268"/>
      <c r="IF177" s="268"/>
      <c r="IG177" s="268"/>
      <c r="IH177" s="268"/>
      <c r="II177" s="268"/>
      <c r="IJ177" s="268"/>
      <c r="IK177" s="268"/>
      <c r="IL177" s="268"/>
      <c r="IM177" s="268"/>
      <c r="IN177" s="268"/>
      <c r="IO177" s="268"/>
      <c r="IP177" s="268"/>
      <c r="IQ177" s="268"/>
      <c r="IR177" s="268"/>
      <c r="IS177" s="268"/>
      <c r="IT177" s="268"/>
      <c r="IU177" s="268"/>
      <c r="IV177" s="268"/>
      <c r="IW177" s="268"/>
      <c r="IX177" s="268"/>
      <c r="IY177" s="268"/>
      <c r="IZ177" s="268"/>
      <c r="JA177" s="268"/>
      <c r="JB177" s="268"/>
      <c r="JC177" s="268"/>
      <c r="JD177" s="268"/>
      <c r="JE177" s="268"/>
      <c r="JF177" s="268"/>
      <c r="JG177" s="268"/>
      <c r="JH177" s="268"/>
      <c r="JI177" s="268"/>
      <c r="JJ177" s="268"/>
      <c r="JK177" s="268"/>
      <c r="JL177" s="268"/>
      <c r="JM177" s="268"/>
      <c r="JN177" s="268"/>
      <c r="JO177" s="268"/>
      <c r="JP177" s="268"/>
      <c r="JQ177" s="268"/>
      <c r="JR177" s="268"/>
      <c r="JS177" s="268"/>
      <c r="JT177" s="268"/>
      <c r="JU177" s="268"/>
      <c r="JV177" s="268"/>
      <c r="JW177" s="268"/>
      <c r="JX177" s="268"/>
      <c r="JY177" s="268"/>
      <c r="JZ177" s="268"/>
      <c r="KA177" s="268"/>
      <c r="KB177" s="268"/>
      <c r="KC177" s="268"/>
      <c r="KD177" s="268"/>
      <c r="KE177" s="268"/>
      <c r="KF177" s="268"/>
      <c r="KG177" s="268"/>
      <c r="KH177" s="268"/>
      <c r="KI177" s="268"/>
      <c r="KJ177" s="268"/>
      <c r="KK177" s="268"/>
      <c r="KL177" s="268"/>
      <c r="KM177" s="268"/>
      <c r="KN177" s="268"/>
      <c r="KO177" s="268"/>
      <c r="KP177" s="268"/>
      <c r="KQ177" s="268"/>
      <c r="KR177" s="268"/>
      <c r="KS177" s="268"/>
      <c r="KT177" s="268"/>
      <c r="KU177" s="268"/>
      <c r="KV177" s="268"/>
      <c r="KW177" s="268"/>
      <c r="KX177" s="268"/>
      <c r="KY177" s="268"/>
      <c r="KZ177" s="268"/>
      <c r="LA177" s="268"/>
      <c r="LB177" s="268"/>
      <c r="LC177" s="268"/>
      <c r="LD177" s="268"/>
      <c r="LE177" s="268"/>
      <c r="LF177" s="268"/>
      <c r="LG177" s="268"/>
      <c r="LH177" s="268"/>
      <c r="LI177" s="268"/>
      <c r="LJ177" s="268"/>
      <c r="LK177" s="268"/>
      <c r="LL177" s="268"/>
      <c r="LM177" s="268"/>
      <c r="LN177" s="268"/>
      <c r="LO177" s="268"/>
      <c r="LP177" s="268"/>
      <c r="LQ177" s="268"/>
      <c r="LR177" s="268"/>
      <c r="LS177" s="268"/>
      <c r="LT177" s="268"/>
      <c r="LU177" s="268"/>
      <c r="LV177" s="268"/>
      <c r="LW177" s="268"/>
      <c r="LX177" s="268"/>
      <c r="LY177" s="268"/>
      <c r="LZ177" s="268"/>
      <c r="MA177" s="268"/>
      <c r="MB177" s="268"/>
      <c r="MC177" s="268"/>
      <c r="MD177" s="268"/>
      <c r="ME177" s="268"/>
      <c r="MF177" s="268"/>
      <c r="MG177" s="268"/>
      <c r="MH177" s="268"/>
      <c r="MI177" s="268"/>
      <c r="MJ177" s="268"/>
      <c r="MK177" s="268"/>
      <c r="ML177" s="268"/>
      <c r="MM177" s="268"/>
      <c r="MN177" s="268"/>
      <c r="MO177" s="268"/>
      <c r="MP177" s="268"/>
      <c r="MQ177" s="268"/>
      <c r="MR177" s="268"/>
      <c r="MS177" s="268"/>
      <c r="MT177" s="268"/>
      <c r="MU177" s="268"/>
      <c r="MV177" s="268"/>
      <c r="MW177" s="268"/>
      <c r="MX177" s="268"/>
      <c r="MY177" s="268"/>
      <c r="MZ177" s="268"/>
      <c r="NA177" s="268"/>
      <c r="NB177" s="268"/>
      <c r="NC177" s="268"/>
      <c r="ND177" s="268"/>
      <c r="NE177" s="268"/>
      <c r="NF177" s="268"/>
      <c r="NG177" s="268"/>
      <c r="NH177" s="268"/>
      <c r="NI177" s="268"/>
      <c r="NJ177" s="268"/>
      <c r="NK177" s="268"/>
      <c r="NL177" s="268"/>
      <c r="NM177" s="268"/>
      <c r="NN177" s="268"/>
      <c r="NO177" s="268"/>
      <c r="NP177" s="268"/>
      <c r="NQ177" s="268"/>
      <c r="NR177" s="268"/>
      <c r="NS177" s="268"/>
      <c r="NT177" s="268"/>
      <c r="NU177" s="268"/>
      <c r="NV177" s="268"/>
      <c r="NW177" s="268"/>
      <c r="NX177" s="268"/>
      <c r="NY177" s="268"/>
      <c r="NZ177" s="268"/>
      <c r="OA177" s="268"/>
      <c r="OB177" s="268"/>
      <c r="OC177" s="268"/>
      <c r="OD177" s="268"/>
      <c r="OE177" s="268"/>
      <c r="OF177" s="268"/>
      <c r="OG177" s="268"/>
      <c r="OH177" s="268"/>
      <c r="OI177" s="268"/>
      <c r="OJ177" s="268"/>
      <c r="OK177" s="268"/>
      <c r="OL177" s="268"/>
      <c r="OM177" s="268"/>
      <c r="ON177" s="268"/>
      <c r="OO177" s="268"/>
      <c r="OP177" s="268"/>
      <c r="OQ177" s="268"/>
      <c r="OR177" s="268"/>
      <c r="OS177" s="268"/>
      <c r="OT177" s="268"/>
      <c r="OU177" s="268"/>
      <c r="OV177" s="268"/>
      <c r="OW177" s="268"/>
      <c r="OX177" s="268"/>
      <c r="OY177" s="268"/>
      <c r="OZ177" s="268"/>
      <c r="PA177" s="268"/>
      <c r="PB177" s="268"/>
      <c r="PC177" s="268"/>
      <c r="PD177" s="268"/>
      <c r="PE177" s="268"/>
      <c r="PF177" s="268"/>
      <c r="PG177" s="268"/>
      <c r="PH177" s="268"/>
      <c r="PI177" s="268"/>
      <c r="PJ177" s="268"/>
      <c r="PK177" s="268"/>
      <c r="PL177" s="268"/>
      <c r="PM177" s="268"/>
      <c r="PN177" s="268"/>
      <c r="PO177" s="268"/>
      <c r="PP177" s="268"/>
      <c r="PQ177" s="268"/>
      <c r="PR177" s="268"/>
      <c r="PS177" s="268"/>
      <c r="PT177" s="268"/>
      <c r="PU177" s="268"/>
      <c r="PV177" s="268"/>
      <c r="PW177" s="268"/>
      <c r="PX177" s="268"/>
      <c r="PY177" s="268"/>
      <c r="PZ177" s="268"/>
      <c r="QA177" s="268"/>
      <c r="QB177" s="268"/>
      <c r="QC177" s="268"/>
      <c r="QD177" s="268"/>
      <c r="QE177" s="268"/>
      <c r="QF177" s="268"/>
      <c r="QG177" s="268"/>
      <c r="QH177" s="268"/>
      <c r="QI177" s="268"/>
      <c r="QJ177" s="268"/>
      <c r="QK177" s="268"/>
      <c r="QL177" s="268"/>
      <c r="QM177" s="268"/>
      <c r="QN177" s="268"/>
      <c r="QO177" s="268"/>
      <c r="QP177" s="268"/>
      <c r="QQ177" s="268"/>
      <c r="QR177" s="268"/>
      <c r="QS177" s="268"/>
      <c r="QT177" s="268"/>
      <c r="QU177" s="268"/>
      <c r="QV177" s="268"/>
      <c r="QW177" s="268"/>
      <c r="QX177" s="268"/>
      <c r="QY177" s="268"/>
      <c r="QZ177" s="268"/>
      <c r="RA177" s="268"/>
      <c r="RB177" s="268"/>
      <c r="RC177" s="268"/>
      <c r="RD177" s="268"/>
      <c r="RE177" s="268"/>
      <c r="RF177" s="268"/>
      <c r="RG177" s="268"/>
      <c r="RH177" s="268"/>
      <c r="RI177" s="268"/>
      <c r="RJ177" s="268"/>
      <c r="RK177" s="268"/>
      <c r="RL177" s="268"/>
      <c r="RM177" s="268"/>
      <c r="RN177" s="268"/>
      <c r="RO177" s="268"/>
      <c r="RP177" s="268"/>
      <c r="RQ177" s="268"/>
      <c r="RR177" s="268"/>
      <c r="RS177" s="268"/>
      <c r="RT177" s="268"/>
      <c r="RU177" s="268"/>
      <c r="RV177" s="268"/>
      <c r="RW177" s="268"/>
      <c r="RX177" s="268"/>
      <c r="RY177" s="268"/>
      <c r="RZ177" s="268"/>
      <c r="SA177" s="268"/>
      <c r="SB177" s="268"/>
      <c r="SC177" s="268"/>
      <c r="SD177" s="268"/>
      <c r="SE177" s="268"/>
      <c r="SF177" s="268"/>
      <c r="SG177" s="268"/>
      <c r="SH177" s="268"/>
      <c r="SI177" s="268"/>
      <c r="SJ177" s="268"/>
      <c r="SK177" s="268"/>
      <c r="SL177" s="268"/>
      <c r="SM177" s="268"/>
      <c r="SN177" s="268"/>
      <c r="SO177" s="268"/>
      <c r="SP177" s="268"/>
      <c r="SQ177" s="268"/>
      <c r="SR177" s="268"/>
      <c r="SS177" s="268"/>
      <c r="ST177" s="268"/>
      <c r="SU177" s="268"/>
      <c r="SV177" s="268"/>
      <c r="SW177" s="268"/>
      <c r="SX177" s="268"/>
      <c r="SY177" s="268"/>
      <c r="SZ177" s="268"/>
      <c r="TA177" s="268"/>
      <c r="TB177" s="268"/>
      <c r="TC177" s="268"/>
      <c r="TD177" s="268"/>
      <c r="TE177" s="268"/>
      <c r="TF177" s="268"/>
      <c r="TG177" s="268"/>
      <c r="TH177" s="268"/>
      <c r="TI177" s="268"/>
      <c r="TJ177" s="268"/>
      <c r="TK177" s="268"/>
      <c r="TL177" s="268"/>
      <c r="TM177" s="268"/>
      <c r="TN177" s="268"/>
      <c r="TO177" s="268"/>
      <c r="TP177" s="268"/>
      <c r="TQ177" s="268"/>
      <c r="TR177" s="268"/>
      <c r="TS177" s="268"/>
      <c r="TT177" s="268"/>
      <c r="TU177" s="268"/>
      <c r="TV177" s="268"/>
      <c r="TW177" s="268"/>
      <c r="TX177" s="268"/>
      <c r="TY177" s="268"/>
      <c r="TZ177" s="268"/>
      <c r="UA177" s="268"/>
      <c r="UB177" s="268"/>
      <c r="UC177" s="268"/>
      <c r="UD177" s="268"/>
      <c r="UE177" s="268"/>
      <c r="UF177" s="268"/>
      <c r="UG177" s="269"/>
    </row>
    <row r="178" spans="1:553" s="236" customFormat="1" ht="27.75" customHeight="1">
      <c r="A178" s="445"/>
      <c r="B178" s="445"/>
      <c r="C178" s="384" t="s">
        <v>23</v>
      </c>
      <c r="D178" s="376" t="s">
        <v>20</v>
      </c>
      <c r="E178" s="376" t="s">
        <v>142</v>
      </c>
      <c r="F178" s="379">
        <v>1</v>
      </c>
      <c r="G178" s="386" t="s">
        <v>935</v>
      </c>
      <c r="H178" s="478"/>
      <c r="I178" s="417">
        <v>17.399999999999999</v>
      </c>
      <c r="J178" s="477">
        <v>72000</v>
      </c>
      <c r="K178" s="849">
        <v>3</v>
      </c>
      <c r="L178" s="480">
        <f t="shared" si="37"/>
        <v>3758400</v>
      </c>
      <c r="M178" s="480"/>
      <c r="N178" s="480"/>
      <c r="O178" s="480"/>
      <c r="P178" s="1127"/>
      <c r="Q178" s="1229"/>
      <c r="R178" s="1139"/>
      <c r="S178" s="308"/>
      <c r="T178" s="303"/>
      <c r="U178" s="306"/>
      <c r="V178" s="307"/>
      <c r="W178" s="307"/>
      <c r="X178" s="307"/>
      <c r="Y178" s="307"/>
      <c r="Z178" s="307"/>
      <c r="AA178" s="307"/>
      <c r="AB178" s="307"/>
      <c r="AC178" s="306"/>
      <c r="AD178" s="308"/>
      <c r="AE178" s="308"/>
      <c r="AF178" s="308"/>
      <c r="AG178" s="308"/>
      <c r="AH178" s="308"/>
      <c r="AI178" s="308"/>
      <c r="AJ178" s="308"/>
      <c r="AK178" s="308"/>
      <c r="AL178" s="347"/>
      <c r="AM178" s="268"/>
      <c r="AN178" s="268"/>
      <c r="AO178" s="268"/>
      <c r="AP178" s="268"/>
      <c r="AQ178" s="268"/>
      <c r="AR178" s="268"/>
      <c r="AS178" s="268"/>
      <c r="AT178" s="268"/>
      <c r="AU178" s="268"/>
      <c r="AV178" s="268"/>
      <c r="AW178" s="268"/>
      <c r="AX178" s="268"/>
      <c r="AY178" s="268"/>
      <c r="AZ178" s="268"/>
      <c r="BA178" s="268"/>
      <c r="BB178" s="268"/>
      <c r="BC178" s="268"/>
      <c r="BD178" s="268"/>
      <c r="BE178" s="268"/>
      <c r="BF178" s="268"/>
      <c r="BG178" s="268"/>
      <c r="BH178" s="268"/>
      <c r="BI178" s="268"/>
      <c r="BJ178" s="268"/>
      <c r="BK178" s="268"/>
      <c r="BL178" s="268"/>
      <c r="BM178" s="268"/>
      <c r="BN178" s="268"/>
      <c r="BO178" s="268"/>
      <c r="BP178" s="268"/>
      <c r="BQ178" s="268"/>
      <c r="BR178" s="268"/>
      <c r="BS178" s="268"/>
      <c r="BT178" s="268"/>
      <c r="BU178" s="268"/>
      <c r="BV178" s="268"/>
      <c r="BW178" s="268"/>
      <c r="BX178" s="268"/>
      <c r="BY178" s="268"/>
      <c r="BZ178" s="268"/>
      <c r="CA178" s="268"/>
      <c r="CB178" s="268"/>
      <c r="CC178" s="268"/>
      <c r="CD178" s="268"/>
      <c r="CE178" s="268"/>
      <c r="CF178" s="268"/>
      <c r="CG178" s="268"/>
      <c r="CH178" s="268"/>
      <c r="CI178" s="268"/>
      <c r="CJ178" s="268"/>
      <c r="CK178" s="268"/>
      <c r="CL178" s="268"/>
      <c r="CM178" s="268"/>
      <c r="CN178" s="268"/>
      <c r="CO178" s="268"/>
      <c r="CP178" s="268"/>
      <c r="CQ178" s="268"/>
      <c r="CR178" s="268"/>
      <c r="CS178" s="268"/>
      <c r="CT178" s="268"/>
      <c r="CU178" s="268"/>
      <c r="CV178" s="268"/>
      <c r="CW178" s="268"/>
      <c r="CX178" s="268"/>
      <c r="CY178" s="268"/>
      <c r="CZ178" s="268"/>
      <c r="DA178" s="268"/>
      <c r="DB178" s="268"/>
      <c r="DC178" s="268"/>
      <c r="DD178" s="268"/>
      <c r="DE178" s="268"/>
      <c r="DF178" s="268"/>
      <c r="DG178" s="268"/>
      <c r="DH178" s="268"/>
      <c r="DI178" s="268"/>
      <c r="DJ178" s="268"/>
      <c r="DK178" s="268"/>
      <c r="DL178" s="268"/>
      <c r="DM178" s="268"/>
      <c r="DN178" s="268"/>
      <c r="DO178" s="268"/>
      <c r="DP178" s="268"/>
      <c r="DQ178" s="268"/>
      <c r="DR178" s="268"/>
      <c r="DS178" s="268"/>
      <c r="DT178" s="268"/>
      <c r="DU178" s="268"/>
      <c r="DV178" s="268"/>
      <c r="DW178" s="268"/>
      <c r="DX178" s="268"/>
      <c r="DY178" s="268"/>
      <c r="DZ178" s="268"/>
      <c r="EA178" s="268"/>
      <c r="EB178" s="268"/>
      <c r="EC178" s="268"/>
      <c r="ED178" s="268"/>
      <c r="EE178" s="268"/>
      <c r="EF178" s="268"/>
      <c r="EG178" s="268"/>
      <c r="EH178" s="268"/>
      <c r="EI178" s="268"/>
      <c r="EJ178" s="268"/>
      <c r="EK178" s="268"/>
      <c r="EL178" s="268"/>
      <c r="EM178" s="268"/>
      <c r="EN178" s="268"/>
      <c r="EO178" s="268"/>
      <c r="EP178" s="268"/>
      <c r="EQ178" s="268"/>
      <c r="ER178" s="268"/>
      <c r="ES178" s="268"/>
      <c r="ET178" s="268"/>
      <c r="EU178" s="268"/>
      <c r="EV178" s="268"/>
      <c r="EW178" s="268"/>
      <c r="EX178" s="268"/>
      <c r="EY178" s="268"/>
      <c r="EZ178" s="268"/>
      <c r="FA178" s="268"/>
      <c r="FB178" s="268"/>
      <c r="FC178" s="268"/>
      <c r="FD178" s="268"/>
      <c r="FE178" s="268"/>
      <c r="FF178" s="268"/>
      <c r="FG178" s="268"/>
      <c r="FH178" s="268"/>
      <c r="FI178" s="268"/>
      <c r="FJ178" s="268"/>
      <c r="FK178" s="268"/>
      <c r="FL178" s="268"/>
      <c r="FM178" s="268"/>
      <c r="FN178" s="268"/>
      <c r="FO178" s="268"/>
      <c r="FP178" s="268"/>
      <c r="FQ178" s="268"/>
      <c r="FR178" s="268"/>
      <c r="FS178" s="268"/>
      <c r="FT178" s="268"/>
      <c r="FU178" s="268"/>
      <c r="FV178" s="268"/>
      <c r="FW178" s="268"/>
      <c r="FX178" s="268"/>
      <c r="FY178" s="268"/>
      <c r="FZ178" s="268"/>
      <c r="GA178" s="268"/>
      <c r="GB178" s="268"/>
      <c r="GC178" s="268"/>
      <c r="GD178" s="268"/>
      <c r="GE178" s="268"/>
      <c r="GF178" s="268"/>
      <c r="GG178" s="268"/>
      <c r="GH178" s="268"/>
      <c r="GI178" s="268"/>
      <c r="GJ178" s="268"/>
      <c r="GK178" s="268"/>
      <c r="GL178" s="268"/>
      <c r="GM178" s="268"/>
      <c r="GN178" s="268"/>
      <c r="GO178" s="268"/>
      <c r="GP178" s="268"/>
      <c r="GQ178" s="268"/>
      <c r="GR178" s="268"/>
      <c r="GS178" s="268"/>
      <c r="GT178" s="268"/>
      <c r="GU178" s="268"/>
      <c r="GV178" s="268"/>
      <c r="GW178" s="268"/>
      <c r="GX178" s="268"/>
      <c r="GY178" s="268"/>
      <c r="GZ178" s="268"/>
      <c r="HA178" s="268"/>
      <c r="HB178" s="268"/>
      <c r="HC178" s="268"/>
      <c r="HD178" s="268"/>
      <c r="HE178" s="268"/>
      <c r="HF178" s="268"/>
      <c r="HG178" s="268"/>
      <c r="HH178" s="268"/>
      <c r="HI178" s="268"/>
      <c r="HJ178" s="268"/>
      <c r="HK178" s="268"/>
      <c r="HL178" s="268"/>
      <c r="HM178" s="268"/>
      <c r="HN178" s="268"/>
      <c r="HO178" s="268"/>
      <c r="HP178" s="268"/>
      <c r="HQ178" s="268"/>
      <c r="HR178" s="268"/>
      <c r="HS178" s="268"/>
      <c r="HT178" s="268"/>
      <c r="HU178" s="268"/>
      <c r="HV178" s="268"/>
      <c r="HW178" s="268"/>
      <c r="HX178" s="268"/>
      <c r="HY178" s="268"/>
      <c r="HZ178" s="268"/>
      <c r="IA178" s="268"/>
      <c r="IB178" s="268"/>
      <c r="IC178" s="268"/>
      <c r="ID178" s="268"/>
      <c r="IE178" s="268"/>
      <c r="IF178" s="268"/>
      <c r="IG178" s="268"/>
      <c r="IH178" s="268"/>
      <c r="II178" s="268"/>
      <c r="IJ178" s="268"/>
      <c r="IK178" s="268"/>
      <c r="IL178" s="268"/>
      <c r="IM178" s="268"/>
      <c r="IN178" s="268"/>
      <c r="IO178" s="268"/>
      <c r="IP178" s="268"/>
      <c r="IQ178" s="268"/>
      <c r="IR178" s="268"/>
      <c r="IS178" s="268"/>
      <c r="IT178" s="268"/>
      <c r="IU178" s="268"/>
      <c r="IV178" s="268"/>
      <c r="IW178" s="268"/>
      <c r="IX178" s="268"/>
      <c r="IY178" s="268"/>
      <c r="IZ178" s="268"/>
      <c r="JA178" s="268"/>
      <c r="JB178" s="268"/>
      <c r="JC178" s="268"/>
      <c r="JD178" s="268"/>
      <c r="JE178" s="268"/>
      <c r="JF178" s="268"/>
      <c r="JG178" s="268"/>
      <c r="JH178" s="268"/>
      <c r="JI178" s="268"/>
      <c r="JJ178" s="268"/>
      <c r="JK178" s="268"/>
      <c r="JL178" s="268"/>
      <c r="JM178" s="268"/>
      <c r="JN178" s="268"/>
      <c r="JO178" s="268"/>
      <c r="JP178" s="268"/>
      <c r="JQ178" s="268"/>
      <c r="JR178" s="268"/>
      <c r="JS178" s="268"/>
      <c r="JT178" s="268"/>
      <c r="JU178" s="268"/>
      <c r="JV178" s="268"/>
      <c r="JW178" s="268"/>
      <c r="JX178" s="268"/>
      <c r="JY178" s="268"/>
      <c r="JZ178" s="268"/>
      <c r="KA178" s="268"/>
      <c r="KB178" s="268"/>
      <c r="KC178" s="268"/>
      <c r="KD178" s="268"/>
      <c r="KE178" s="268"/>
      <c r="KF178" s="268"/>
      <c r="KG178" s="268"/>
      <c r="KH178" s="268"/>
      <c r="KI178" s="268"/>
      <c r="KJ178" s="268"/>
      <c r="KK178" s="268"/>
      <c r="KL178" s="268"/>
      <c r="KM178" s="268"/>
      <c r="KN178" s="268"/>
      <c r="KO178" s="268"/>
      <c r="KP178" s="268"/>
      <c r="KQ178" s="268"/>
      <c r="KR178" s="268"/>
      <c r="KS178" s="268"/>
      <c r="KT178" s="268"/>
      <c r="KU178" s="268"/>
      <c r="KV178" s="268"/>
      <c r="KW178" s="268"/>
      <c r="KX178" s="268"/>
      <c r="KY178" s="268"/>
      <c r="KZ178" s="268"/>
      <c r="LA178" s="268"/>
      <c r="LB178" s="268"/>
      <c r="LC178" s="268"/>
      <c r="LD178" s="268"/>
      <c r="LE178" s="268"/>
      <c r="LF178" s="268"/>
      <c r="LG178" s="268"/>
      <c r="LH178" s="268"/>
      <c r="LI178" s="268"/>
      <c r="LJ178" s="268"/>
      <c r="LK178" s="268"/>
      <c r="LL178" s="268"/>
      <c r="LM178" s="268"/>
      <c r="LN178" s="268"/>
      <c r="LO178" s="268"/>
      <c r="LP178" s="268"/>
      <c r="LQ178" s="268"/>
      <c r="LR178" s="268"/>
      <c r="LS178" s="268"/>
      <c r="LT178" s="268"/>
      <c r="LU178" s="268"/>
      <c r="LV178" s="268"/>
      <c r="LW178" s="268"/>
      <c r="LX178" s="268"/>
      <c r="LY178" s="268"/>
      <c r="LZ178" s="268"/>
      <c r="MA178" s="268"/>
      <c r="MB178" s="268"/>
      <c r="MC178" s="268"/>
      <c r="MD178" s="268"/>
      <c r="ME178" s="268"/>
      <c r="MF178" s="268"/>
      <c r="MG178" s="268"/>
      <c r="MH178" s="268"/>
      <c r="MI178" s="268"/>
      <c r="MJ178" s="268"/>
      <c r="MK178" s="268"/>
      <c r="ML178" s="268"/>
      <c r="MM178" s="268"/>
      <c r="MN178" s="268"/>
      <c r="MO178" s="268"/>
      <c r="MP178" s="268"/>
      <c r="MQ178" s="268"/>
      <c r="MR178" s="268"/>
      <c r="MS178" s="268"/>
      <c r="MT178" s="268"/>
      <c r="MU178" s="268"/>
      <c r="MV178" s="268"/>
      <c r="MW178" s="268"/>
      <c r="MX178" s="268"/>
      <c r="MY178" s="268"/>
      <c r="MZ178" s="268"/>
      <c r="NA178" s="268"/>
      <c r="NB178" s="268"/>
      <c r="NC178" s="268"/>
      <c r="ND178" s="268"/>
      <c r="NE178" s="268"/>
      <c r="NF178" s="268"/>
      <c r="NG178" s="268"/>
      <c r="NH178" s="268"/>
      <c r="NI178" s="268"/>
      <c r="NJ178" s="268"/>
      <c r="NK178" s="268"/>
      <c r="NL178" s="268"/>
      <c r="NM178" s="268"/>
      <c r="NN178" s="268"/>
      <c r="NO178" s="268"/>
      <c r="NP178" s="268"/>
      <c r="NQ178" s="268"/>
      <c r="NR178" s="268"/>
      <c r="NS178" s="268"/>
      <c r="NT178" s="268"/>
      <c r="NU178" s="268"/>
      <c r="NV178" s="268"/>
      <c r="NW178" s="268"/>
      <c r="NX178" s="268"/>
      <c r="NY178" s="268"/>
      <c r="NZ178" s="268"/>
      <c r="OA178" s="268"/>
      <c r="OB178" s="268"/>
      <c r="OC178" s="268"/>
      <c r="OD178" s="268"/>
      <c r="OE178" s="268"/>
      <c r="OF178" s="268"/>
      <c r="OG178" s="268"/>
      <c r="OH178" s="268"/>
      <c r="OI178" s="268"/>
      <c r="OJ178" s="268"/>
      <c r="OK178" s="268"/>
      <c r="OL178" s="268"/>
      <c r="OM178" s="268"/>
      <c r="ON178" s="268"/>
      <c r="OO178" s="268"/>
      <c r="OP178" s="268"/>
      <c r="OQ178" s="268"/>
      <c r="OR178" s="268"/>
      <c r="OS178" s="268"/>
      <c r="OT178" s="268"/>
      <c r="OU178" s="268"/>
      <c r="OV178" s="268"/>
      <c r="OW178" s="268"/>
      <c r="OX178" s="268"/>
      <c r="OY178" s="268"/>
      <c r="OZ178" s="268"/>
      <c r="PA178" s="268"/>
      <c r="PB178" s="268"/>
      <c r="PC178" s="268"/>
      <c r="PD178" s="268"/>
      <c r="PE178" s="268"/>
      <c r="PF178" s="268"/>
      <c r="PG178" s="268"/>
      <c r="PH178" s="268"/>
      <c r="PI178" s="268"/>
      <c r="PJ178" s="268"/>
      <c r="PK178" s="268"/>
      <c r="PL178" s="268"/>
      <c r="PM178" s="268"/>
      <c r="PN178" s="268"/>
      <c r="PO178" s="268"/>
      <c r="PP178" s="268"/>
      <c r="PQ178" s="268"/>
      <c r="PR178" s="268"/>
      <c r="PS178" s="268"/>
      <c r="PT178" s="268"/>
      <c r="PU178" s="268"/>
      <c r="PV178" s="268"/>
      <c r="PW178" s="268"/>
      <c r="PX178" s="268"/>
      <c r="PY178" s="268"/>
      <c r="PZ178" s="268"/>
      <c r="QA178" s="268"/>
      <c r="QB178" s="268"/>
      <c r="QC178" s="268"/>
      <c r="QD178" s="268"/>
      <c r="QE178" s="268"/>
      <c r="QF178" s="268"/>
      <c r="QG178" s="268"/>
      <c r="QH178" s="268"/>
      <c r="QI178" s="268"/>
      <c r="QJ178" s="268"/>
      <c r="QK178" s="268"/>
      <c r="QL178" s="268"/>
      <c r="QM178" s="268"/>
      <c r="QN178" s="268"/>
      <c r="QO178" s="268"/>
      <c r="QP178" s="268"/>
      <c r="QQ178" s="268"/>
      <c r="QR178" s="268"/>
      <c r="QS178" s="268"/>
      <c r="QT178" s="268"/>
      <c r="QU178" s="268"/>
      <c r="QV178" s="268"/>
      <c r="QW178" s="268"/>
      <c r="QX178" s="268"/>
      <c r="QY178" s="268"/>
      <c r="QZ178" s="268"/>
      <c r="RA178" s="268"/>
      <c r="RB178" s="268"/>
      <c r="RC178" s="268"/>
      <c r="RD178" s="268"/>
      <c r="RE178" s="268"/>
      <c r="RF178" s="268"/>
      <c r="RG178" s="268"/>
      <c r="RH178" s="268"/>
      <c r="RI178" s="268"/>
      <c r="RJ178" s="268"/>
      <c r="RK178" s="268"/>
      <c r="RL178" s="268"/>
      <c r="RM178" s="268"/>
      <c r="RN178" s="268"/>
      <c r="RO178" s="268"/>
      <c r="RP178" s="268"/>
      <c r="RQ178" s="268"/>
      <c r="RR178" s="268"/>
      <c r="RS178" s="268"/>
      <c r="RT178" s="268"/>
      <c r="RU178" s="268"/>
      <c r="RV178" s="268"/>
      <c r="RW178" s="268"/>
      <c r="RX178" s="268"/>
      <c r="RY178" s="268"/>
      <c r="RZ178" s="268"/>
      <c r="SA178" s="268"/>
      <c r="SB178" s="268"/>
      <c r="SC178" s="268"/>
      <c r="SD178" s="268"/>
      <c r="SE178" s="268"/>
      <c r="SF178" s="268"/>
      <c r="SG178" s="268"/>
      <c r="SH178" s="268"/>
      <c r="SI178" s="268"/>
      <c r="SJ178" s="268"/>
      <c r="SK178" s="268"/>
      <c r="SL178" s="268"/>
      <c r="SM178" s="268"/>
      <c r="SN178" s="268"/>
      <c r="SO178" s="268"/>
      <c r="SP178" s="268"/>
      <c r="SQ178" s="268"/>
      <c r="SR178" s="268"/>
      <c r="SS178" s="268"/>
      <c r="ST178" s="268"/>
      <c r="SU178" s="268"/>
      <c r="SV178" s="268"/>
      <c r="SW178" s="268"/>
      <c r="SX178" s="268"/>
      <c r="SY178" s="268"/>
      <c r="SZ178" s="268"/>
      <c r="TA178" s="268"/>
      <c r="TB178" s="268"/>
      <c r="TC178" s="268"/>
      <c r="TD178" s="268"/>
      <c r="TE178" s="268"/>
      <c r="TF178" s="268"/>
      <c r="TG178" s="268"/>
      <c r="TH178" s="268"/>
      <c r="TI178" s="268"/>
      <c r="TJ178" s="268"/>
      <c r="TK178" s="268"/>
      <c r="TL178" s="268"/>
      <c r="TM178" s="268"/>
      <c r="TN178" s="268"/>
      <c r="TO178" s="268"/>
      <c r="TP178" s="268"/>
      <c r="TQ178" s="268"/>
      <c r="TR178" s="268"/>
      <c r="TS178" s="268"/>
      <c r="TT178" s="268"/>
      <c r="TU178" s="268"/>
      <c r="TV178" s="268"/>
      <c r="TW178" s="268"/>
      <c r="TX178" s="268"/>
      <c r="TY178" s="268"/>
      <c r="TZ178" s="268"/>
      <c r="UA178" s="268"/>
      <c r="UB178" s="268"/>
      <c r="UC178" s="268"/>
      <c r="UD178" s="268"/>
      <c r="UE178" s="268"/>
      <c r="UF178" s="268"/>
      <c r="UG178" s="269"/>
    </row>
    <row r="179" spans="1:553" s="236" customFormat="1" ht="27.75" customHeight="1">
      <c r="A179" s="445"/>
      <c r="B179" s="445"/>
      <c r="C179" s="384" t="s">
        <v>23</v>
      </c>
      <c r="D179" s="376" t="s">
        <v>20</v>
      </c>
      <c r="E179" s="376" t="s">
        <v>143</v>
      </c>
      <c r="F179" s="379">
        <v>1</v>
      </c>
      <c r="G179" s="386" t="s">
        <v>935</v>
      </c>
      <c r="H179" s="478"/>
      <c r="I179" s="417">
        <v>208.3</v>
      </c>
      <c r="J179" s="477">
        <v>72000</v>
      </c>
      <c r="K179" s="849">
        <v>3</v>
      </c>
      <c r="L179" s="480">
        <f t="shared" si="37"/>
        <v>44992800</v>
      </c>
      <c r="M179" s="480"/>
      <c r="N179" s="480"/>
      <c r="O179" s="480"/>
      <c r="P179" s="1127"/>
      <c r="Q179" s="1229"/>
      <c r="R179" s="1139"/>
      <c r="S179" s="308"/>
      <c r="T179" s="303"/>
      <c r="U179" s="306"/>
      <c r="V179" s="307"/>
      <c r="W179" s="307"/>
      <c r="X179" s="307"/>
      <c r="Y179" s="307"/>
      <c r="Z179" s="307"/>
      <c r="AA179" s="307"/>
      <c r="AB179" s="307"/>
      <c r="AC179" s="306"/>
      <c r="AD179" s="308"/>
      <c r="AE179" s="308"/>
      <c r="AF179" s="308"/>
      <c r="AG179" s="308"/>
      <c r="AH179" s="308"/>
      <c r="AI179" s="308"/>
      <c r="AJ179" s="308"/>
      <c r="AK179" s="308"/>
      <c r="AL179" s="347"/>
      <c r="AM179" s="268"/>
      <c r="AN179" s="268"/>
      <c r="AO179" s="268"/>
      <c r="AP179" s="268"/>
      <c r="AQ179" s="268"/>
      <c r="AR179" s="268"/>
      <c r="AS179" s="268"/>
      <c r="AT179" s="268"/>
      <c r="AU179" s="268"/>
      <c r="AV179" s="268"/>
      <c r="AW179" s="268"/>
      <c r="AX179" s="268"/>
      <c r="AY179" s="268"/>
      <c r="AZ179" s="268"/>
      <c r="BA179" s="268"/>
      <c r="BB179" s="268"/>
      <c r="BC179" s="268"/>
      <c r="BD179" s="268"/>
      <c r="BE179" s="268"/>
      <c r="BF179" s="268"/>
      <c r="BG179" s="268"/>
      <c r="BH179" s="268"/>
      <c r="BI179" s="268"/>
      <c r="BJ179" s="268"/>
      <c r="BK179" s="268"/>
      <c r="BL179" s="268"/>
      <c r="BM179" s="268"/>
      <c r="BN179" s="268"/>
      <c r="BO179" s="268"/>
      <c r="BP179" s="268"/>
      <c r="BQ179" s="268"/>
      <c r="BR179" s="268"/>
      <c r="BS179" s="268"/>
      <c r="BT179" s="268"/>
      <c r="BU179" s="268"/>
      <c r="BV179" s="268"/>
      <c r="BW179" s="268"/>
      <c r="BX179" s="268"/>
      <c r="BY179" s="268"/>
      <c r="BZ179" s="268"/>
      <c r="CA179" s="268"/>
      <c r="CB179" s="268"/>
      <c r="CC179" s="268"/>
      <c r="CD179" s="268"/>
      <c r="CE179" s="268"/>
      <c r="CF179" s="268"/>
      <c r="CG179" s="268"/>
      <c r="CH179" s="268"/>
      <c r="CI179" s="268"/>
      <c r="CJ179" s="268"/>
      <c r="CK179" s="268"/>
      <c r="CL179" s="268"/>
      <c r="CM179" s="268"/>
      <c r="CN179" s="268"/>
      <c r="CO179" s="268"/>
      <c r="CP179" s="268"/>
      <c r="CQ179" s="268"/>
      <c r="CR179" s="268"/>
      <c r="CS179" s="268"/>
      <c r="CT179" s="268"/>
      <c r="CU179" s="268"/>
      <c r="CV179" s="268"/>
      <c r="CW179" s="268"/>
      <c r="CX179" s="268"/>
      <c r="CY179" s="268"/>
      <c r="CZ179" s="268"/>
      <c r="DA179" s="268"/>
      <c r="DB179" s="268"/>
      <c r="DC179" s="268"/>
      <c r="DD179" s="268"/>
      <c r="DE179" s="268"/>
      <c r="DF179" s="268"/>
      <c r="DG179" s="268"/>
      <c r="DH179" s="268"/>
      <c r="DI179" s="268"/>
      <c r="DJ179" s="268"/>
      <c r="DK179" s="268"/>
      <c r="DL179" s="268"/>
      <c r="DM179" s="268"/>
      <c r="DN179" s="268"/>
      <c r="DO179" s="268"/>
      <c r="DP179" s="268"/>
      <c r="DQ179" s="268"/>
      <c r="DR179" s="268"/>
      <c r="DS179" s="268"/>
      <c r="DT179" s="268"/>
      <c r="DU179" s="268"/>
      <c r="DV179" s="268"/>
      <c r="DW179" s="268"/>
      <c r="DX179" s="268"/>
      <c r="DY179" s="268"/>
      <c r="DZ179" s="268"/>
      <c r="EA179" s="268"/>
      <c r="EB179" s="268"/>
      <c r="EC179" s="268"/>
      <c r="ED179" s="268"/>
      <c r="EE179" s="268"/>
      <c r="EF179" s="268"/>
      <c r="EG179" s="268"/>
      <c r="EH179" s="268"/>
      <c r="EI179" s="268"/>
      <c r="EJ179" s="268"/>
      <c r="EK179" s="268"/>
      <c r="EL179" s="268"/>
      <c r="EM179" s="268"/>
      <c r="EN179" s="268"/>
      <c r="EO179" s="268"/>
      <c r="EP179" s="268"/>
      <c r="EQ179" s="268"/>
      <c r="ER179" s="268"/>
      <c r="ES179" s="268"/>
      <c r="ET179" s="268"/>
      <c r="EU179" s="268"/>
      <c r="EV179" s="268"/>
      <c r="EW179" s="268"/>
      <c r="EX179" s="268"/>
      <c r="EY179" s="268"/>
      <c r="EZ179" s="268"/>
      <c r="FA179" s="268"/>
      <c r="FB179" s="268"/>
      <c r="FC179" s="268"/>
      <c r="FD179" s="268"/>
      <c r="FE179" s="268"/>
      <c r="FF179" s="268"/>
      <c r="FG179" s="268"/>
      <c r="FH179" s="268"/>
      <c r="FI179" s="268"/>
      <c r="FJ179" s="268"/>
      <c r="FK179" s="268"/>
      <c r="FL179" s="268"/>
      <c r="FM179" s="268"/>
      <c r="FN179" s="268"/>
      <c r="FO179" s="268"/>
      <c r="FP179" s="268"/>
      <c r="FQ179" s="268"/>
      <c r="FR179" s="268"/>
      <c r="FS179" s="268"/>
      <c r="FT179" s="268"/>
      <c r="FU179" s="268"/>
      <c r="FV179" s="268"/>
      <c r="FW179" s="268"/>
      <c r="FX179" s="268"/>
      <c r="FY179" s="268"/>
      <c r="FZ179" s="268"/>
      <c r="GA179" s="268"/>
      <c r="GB179" s="268"/>
      <c r="GC179" s="268"/>
      <c r="GD179" s="268"/>
      <c r="GE179" s="268"/>
      <c r="GF179" s="268"/>
      <c r="GG179" s="268"/>
      <c r="GH179" s="268"/>
      <c r="GI179" s="268"/>
      <c r="GJ179" s="268"/>
      <c r="GK179" s="268"/>
      <c r="GL179" s="268"/>
      <c r="GM179" s="268"/>
      <c r="GN179" s="268"/>
      <c r="GO179" s="268"/>
      <c r="GP179" s="268"/>
      <c r="GQ179" s="268"/>
      <c r="GR179" s="268"/>
      <c r="GS179" s="268"/>
      <c r="GT179" s="268"/>
      <c r="GU179" s="268"/>
      <c r="GV179" s="268"/>
      <c r="GW179" s="268"/>
      <c r="GX179" s="268"/>
      <c r="GY179" s="268"/>
      <c r="GZ179" s="268"/>
      <c r="HA179" s="268"/>
      <c r="HB179" s="268"/>
      <c r="HC179" s="268"/>
      <c r="HD179" s="268"/>
      <c r="HE179" s="268"/>
      <c r="HF179" s="268"/>
      <c r="HG179" s="268"/>
      <c r="HH179" s="268"/>
      <c r="HI179" s="268"/>
      <c r="HJ179" s="268"/>
      <c r="HK179" s="268"/>
      <c r="HL179" s="268"/>
      <c r="HM179" s="268"/>
      <c r="HN179" s="268"/>
      <c r="HO179" s="268"/>
      <c r="HP179" s="268"/>
      <c r="HQ179" s="268"/>
      <c r="HR179" s="268"/>
      <c r="HS179" s="268"/>
      <c r="HT179" s="268"/>
      <c r="HU179" s="268"/>
      <c r="HV179" s="268"/>
      <c r="HW179" s="268"/>
      <c r="HX179" s="268"/>
      <c r="HY179" s="268"/>
      <c r="HZ179" s="268"/>
      <c r="IA179" s="268"/>
      <c r="IB179" s="268"/>
      <c r="IC179" s="268"/>
      <c r="ID179" s="268"/>
      <c r="IE179" s="268"/>
      <c r="IF179" s="268"/>
      <c r="IG179" s="268"/>
      <c r="IH179" s="268"/>
      <c r="II179" s="268"/>
      <c r="IJ179" s="268"/>
      <c r="IK179" s="268"/>
      <c r="IL179" s="268"/>
      <c r="IM179" s="268"/>
      <c r="IN179" s="268"/>
      <c r="IO179" s="268"/>
      <c r="IP179" s="268"/>
      <c r="IQ179" s="268"/>
      <c r="IR179" s="268"/>
      <c r="IS179" s="268"/>
      <c r="IT179" s="268"/>
      <c r="IU179" s="268"/>
      <c r="IV179" s="268"/>
      <c r="IW179" s="268"/>
      <c r="IX179" s="268"/>
      <c r="IY179" s="268"/>
      <c r="IZ179" s="268"/>
      <c r="JA179" s="268"/>
      <c r="JB179" s="268"/>
      <c r="JC179" s="268"/>
      <c r="JD179" s="268"/>
      <c r="JE179" s="268"/>
      <c r="JF179" s="268"/>
      <c r="JG179" s="268"/>
      <c r="JH179" s="268"/>
      <c r="JI179" s="268"/>
      <c r="JJ179" s="268"/>
      <c r="JK179" s="268"/>
      <c r="JL179" s="268"/>
      <c r="JM179" s="268"/>
      <c r="JN179" s="268"/>
      <c r="JO179" s="268"/>
      <c r="JP179" s="268"/>
      <c r="JQ179" s="268"/>
      <c r="JR179" s="268"/>
      <c r="JS179" s="268"/>
      <c r="JT179" s="268"/>
      <c r="JU179" s="268"/>
      <c r="JV179" s="268"/>
      <c r="JW179" s="268"/>
      <c r="JX179" s="268"/>
      <c r="JY179" s="268"/>
      <c r="JZ179" s="268"/>
      <c r="KA179" s="268"/>
      <c r="KB179" s="268"/>
      <c r="KC179" s="268"/>
      <c r="KD179" s="268"/>
      <c r="KE179" s="268"/>
      <c r="KF179" s="268"/>
      <c r="KG179" s="268"/>
      <c r="KH179" s="268"/>
      <c r="KI179" s="268"/>
      <c r="KJ179" s="268"/>
      <c r="KK179" s="268"/>
      <c r="KL179" s="268"/>
      <c r="KM179" s="268"/>
      <c r="KN179" s="268"/>
      <c r="KO179" s="268"/>
      <c r="KP179" s="268"/>
      <c r="KQ179" s="268"/>
      <c r="KR179" s="268"/>
      <c r="KS179" s="268"/>
      <c r="KT179" s="268"/>
      <c r="KU179" s="268"/>
      <c r="KV179" s="268"/>
      <c r="KW179" s="268"/>
      <c r="KX179" s="268"/>
      <c r="KY179" s="268"/>
      <c r="KZ179" s="268"/>
      <c r="LA179" s="268"/>
      <c r="LB179" s="268"/>
      <c r="LC179" s="268"/>
      <c r="LD179" s="268"/>
      <c r="LE179" s="268"/>
      <c r="LF179" s="268"/>
      <c r="LG179" s="268"/>
      <c r="LH179" s="268"/>
      <c r="LI179" s="268"/>
      <c r="LJ179" s="268"/>
      <c r="LK179" s="268"/>
      <c r="LL179" s="268"/>
      <c r="LM179" s="268"/>
      <c r="LN179" s="268"/>
      <c r="LO179" s="268"/>
      <c r="LP179" s="268"/>
      <c r="LQ179" s="268"/>
      <c r="LR179" s="268"/>
      <c r="LS179" s="268"/>
      <c r="LT179" s="268"/>
      <c r="LU179" s="268"/>
      <c r="LV179" s="268"/>
      <c r="LW179" s="268"/>
      <c r="LX179" s="268"/>
      <c r="LY179" s="268"/>
      <c r="LZ179" s="268"/>
      <c r="MA179" s="268"/>
      <c r="MB179" s="268"/>
      <c r="MC179" s="268"/>
      <c r="MD179" s="268"/>
      <c r="ME179" s="268"/>
      <c r="MF179" s="268"/>
      <c r="MG179" s="268"/>
      <c r="MH179" s="268"/>
      <c r="MI179" s="268"/>
      <c r="MJ179" s="268"/>
      <c r="MK179" s="268"/>
      <c r="ML179" s="268"/>
      <c r="MM179" s="268"/>
      <c r="MN179" s="268"/>
      <c r="MO179" s="268"/>
      <c r="MP179" s="268"/>
      <c r="MQ179" s="268"/>
      <c r="MR179" s="268"/>
      <c r="MS179" s="268"/>
      <c r="MT179" s="268"/>
      <c r="MU179" s="268"/>
      <c r="MV179" s="268"/>
      <c r="MW179" s="268"/>
      <c r="MX179" s="268"/>
      <c r="MY179" s="268"/>
      <c r="MZ179" s="268"/>
      <c r="NA179" s="268"/>
      <c r="NB179" s="268"/>
      <c r="NC179" s="268"/>
      <c r="ND179" s="268"/>
      <c r="NE179" s="268"/>
      <c r="NF179" s="268"/>
      <c r="NG179" s="268"/>
      <c r="NH179" s="268"/>
      <c r="NI179" s="268"/>
      <c r="NJ179" s="268"/>
      <c r="NK179" s="268"/>
      <c r="NL179" s="268"/>
      <c r="NM179" s="268"/>
      <c r="NN179" s="268"/>
      <c r="NO179" s="268"/>
      <c r="NP179" s="268"/>
      <c r="NQ179" s="268"/>
      <c r="NR179" s="268"/>
      <c r="NS179" s="268"/>
      <c r="NT179" s="268"/>
      <c r="NU179" s="268"/>
      <c r="NV179" s="268"/>
      <c r="NW179" s="268"/>
      <c r="NX179" s="268"/>
      <c r="NY179" s="268"/>
      <c r="NZ179" s="268"/>
      <c r="OA179" s="268"/>
      <c r="OB179" s="268"/>
      <c r="OC179" s="268"/>
      <c r="OD179" s="268"/>
      <c r="OE179" s="268"/>
      <c r="OF179" s="268"/>
      <c r="OG179" s="268"/>
      <c r="OH179" s="268"/>
      <c r="OI179" s="268"/>
      <c r="OJ179" s="268"/>
      <c r="OK179" s="268"/>
      <c r="OL179" s="268"/>
      <c r="OM179" s="268"/>
      <c r="ON179" s="268"/>
      <c r="OO179" s="268"/>
      <c r="OP179" s="268"/>
      <c r="OQ179" s="268"/>
      <c r="OR179" s="268"/>
      <c r="OS179" s="268"/>
      <c r="OT179" s="268"/>
      <c r="OU179" s="268"/>
      <c r="OV179" s="268"/>
      <c r="OW179" s="268"/>
      <c r="OX179" s="268"/>
      <c r="OY179" s="268"/>
      <c r="OZ179" s="268"/>
      <c r="PA179" s="268"/>
      <c r="PB179" s="268"/>
      <c r="PC179" s="268"/>
      <c r="PD179" s="268"/>
      <c r="PE179" s="268"/>
      <c r="PF179" s="268"/>
      <c r="PG179" s="268"/>
      <c r="PH179" s="268"/>
      <c r="PI179" s="268"/>
      <c r="PJ179" s="268"/>
      <c r="PK179" s="268"/>
      <c r="PL179" s="268"/>
      <c r="PM179" s="268"/>
      <c r="PN179" s="268"/>
      <c r="PO179" s="268"/>
      <c r="PP179" s="268"/>
      <c r="PQ179" s="268"/>
      <c r="PR179" s="268"/>
      <c r="PS179" s="268"/>
      <c r="PT179" s="268"/>
      <c r="PU179" s="268"/>
      <c r="PV179" s="268"/>
      <c r="PW179" s="268"/>
      <c r="PX179" s="268"/>
      <c r="PY179" s="268"/>
      <c r="PZ179" s="268"/>
      <c r="QA179" s="268"/>
      <c r="QB179" s="268"/>
      <c r="QC179" s="268"/>
      <c r="QD179" s="268"/>
      <c r="QE179" s="268"/>
      <c r="QF179" s="268"/>
      <c r="QG179" s="268"/>
      <c r="QH179" s="268"/>
      <c r="QI179" s="268"/>
      <c r="QJ179" s="268"/>
      <c r="QK179" s="268"/>
      <c r="QL179" s="268"/>
      <c r="QM179" s="268"/>
      <c r="QN179" s="268"/>
      <c r="QO179" s="268"/>
      <c r="QP179" s="268"/>
      <c r="QQ179" s="268"/>
      <c r="QR179" s="268"/>
      <c r="QS179" s="268"/>
      <c r="QT179" s="268"/>
      <c r="QU179" s="268"/>
      <c r="QV179" s="268"/>
      <c r="QW179" s="268"/>
      <c r="QX179" s="268"/>
      <c r="QY179" s="268"/>
      <c r="QZ179" s="268"/>
      <c r="RA179" s="268"/>
      <c r="RB179" s="268"/>
      <c r="RC179" s="268"/>
      <c r="RD179" s="268"/>
      <c r="RE179" s="268"/>
      <c r="RF179" s="268"/>
      <c r="RG179" s="268"/>
      <c r="RH179" s="268"/>
      <c r="RI179" s="268"/>
      <c r="RJ179" s="268"/>
      <c r="RK179" s="268"/>
      <c r="RL179" s="268"/>
      <c r="RM179" s="268"/>
      <c r="RN179" s="268"/>
      <c r="RO179" s="268"/>
      <c r="RP179" s="268"/>
      <c r="RQ179" s="268"/>
      <c r="RR179" s="268"/>
      <c r="RS179" s="268"/>
      <c r="RT179" s="268"/>
      <c r="RU179" s="268"/>
      <c r="RV179" s="268"/>
      <c r="RW179" s="268"/>
      <c r="RX179" s="268"/>
      <c r="RY179" s="268"/>
      <c r="RZ179" s="268"/>
      <c r="SA179" s="268"/>
      <c r="SB179" s="268"/>
      <c r="SC179" s="268"/>
      <c r="SD179" s="268"/>
      <c r="SE179" s="268"/>
      <c r="SF179" s="268"/>
      <c r="SG179" s="268"/>
      <c r="SH179" s="268"/>
      <c r="SI179" s="268"/>
      <c r="SJ179" s="268"/>
      <c r="SK179" s="268"/>
      <c r="SL179" s="268"/>
      <c r="SM179" s="268"/>
      <c r="SN179" s="268"/>
      <c r="SO179" s="268"/>
      <c r="SP179" s="268"/>
      <c r="SQ179" s="268"/>
      <c r="SR179" s="268"/>
      <c r="SS179" s="268"/>
      <c r="ST179" s="268"/>
      <c r="SU179" s="268"/>
      <c r="SV179" s="268"/>
      <c r="SW179" s="268"/>
      <c r="SX179" s="268"/>
      <c r="SY179" s="268"/>
      <c r="SZ179" s="268"/>
      <c r="TA179" s="268"/>
      <c r="TB179" s="268"/>
      <c r="TC179" s="268"/>
      <c r="TD179" s="268"/>
      <c r="TE179" s="268"/>
      <c r="TF179" s="268"/>
      <c r="TG179" s="268"/>
      <c r="TH179" s="268"/>
      <c r="TI179" s="268"/>
      <c r="TJ179" s="268"/>
      <c r="TK179" s="268"/>
      <c r="TL179" s="268"/>
      <c r="TM179" s="268"/>
      <c r="TN179" s="268"/>
      <c r="TO179" s="268"/>
      <c r="TP179" s="268"/>
      <c r="TQ179" s="268"/>
      <c r="TR179" s="268"/>
      <c r="TS179" s="268"/>
      <c r="TT179" s="268"/>
      <c r="TU179" s="268"/>
      <c r="TV179" s="268"/>
      <c r="TW179" s="268"/>
      <c r="TX179" s="268"/>
      <c r="TY179" s="268"/>
      <c r="TZ179" s="268"/>
      <c r="UA179" s="268"/>
      <c r="UB179" s="268"/>
      <c r="UC179" s="268"/>
      <c r="UD179" s="268"/>
      <c r="UE179" s="268"/>
      <c r="UF179" s="268"/>
      <c r="UG179" s="269"/>
    </row>
    <row r="180" spans="1:553" s="236" customFormat="1" ht="63.75" customHeight="1">
      <c r="A180" s="356" t="s">
        <v>61</v>
      </c>
      <c r="B180" s="428"/>
      <c r="C180" s="1506" t="s">
        <v>62</v>
      </c>
      <c r="D180" s="1475"/>
      <c r="E180" s="1475"/>
      <c r="F180" s="1476"/>
      <c r="G180" s="429"/>
      <c r="H180" s="359"/>
      <c r="I180" s="359"/>
      <c r="J180" s="357"/>
      <c r="K180" s="364"/>
      <c r="L180" s="356">
        <f>L181+L182</f>
        <v>0</v>
      </c>
      <c r="M180" s="356"/>
      <c r="N180" s="356"/>
      <c r="O180" s="356"/>
      <c r="P180" s="358">
        <f>L180</f>
        <v>0</v>
      </c>
      <c r="Q180" s="1138"/>
      <c r="R180" s="1226"/>
      <c r="S180" s="308"/>
      <c r="T180" s="303"/>
      <c r="U180" s="306"/>
      <c r="V180" s="307"/>
      <c r="W180" s="307"/>
      <c r="X180" s="307"/>
      <c r="Y180" s="307"/>
      <c r="Z180" s="307"/>
      <c r="AA180" s="307"/>
      <c r="AB180" s="307"/>
      <c r="AC180" s="454"/>
      <c r="AD180" s="454"/>
      <c r="AE180" s="454"/>
      <c r="AF180" s="454"/>
      <c r="AG180" s="454"/>
      <c r="AH180" s="454"/>
      <c r="AI180" s="454"/>
      <c r="AJ180" s="454"/>
      <c r="AK180" s="455"/>
      <c r="AL180" s="345"/>
      <c r="AM180" s="249"/>
      <c r="AN180" s="249"/>
      <c r="AO180" s="249"/>
      <c r="AP180" s="249"/>
      <c r="AQ180" s="249"/>
      <c r="AR180" s="249"/>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250"/>
      <c r="BO180" s="250"/>
      <c r="BP180" s="251"/>
      <c r="BQ180" s="251"/>
      <c r="BR180" s="251"/>
      <c r="BS180" s="251"/>
      <c r="BT180" s="251"/>
      <c r="BU180" s="251"/>
      <c r="BV180" s="251"/>
      <c r="BW180" s="251"/>
      <c r="BX180" s="251"/>
      <c r="BY180" s="251"/>
      <c r="BZ180" s="251"/>
      <c r="CA180" s="251"/>
      <c r="CB180" s="251"/>
      <c r="CC180" s="251"/>
      <c r="CD180" s="251"/>
      <c r="CE180" s="251"/>
      <c r="CF180" s="251"/>
      <c r="CG180" s="251"/>
      <c r="CH180" s="251"/>
      <c r="CI180" s="251"/>
      <c r="CJ180" s="251"/>
      <c r="CK180" s="251"/>
      <c r="CL180" s="251"/>
      <c r="CM180" s="251"/>
      <c r="CN180" s="251"/>
      <c r="CO180" s="251"/>
      <c r="CP180" s="251"/>
      <c r="CQ180" s="251"/>
      <c r="CR180" s="251"/>
      <c r="CS180" s="251"/>
      <c r="CT180" s="251"/>
      <c r="CU180" s="251"/>
      <c r="CV180" s="251"/>
      <c r="CW180" s="251"/>
      <c r="CX180" s="251"/>
      <c r="CY180" s="251"/>
      <c r="CZ180" s="251"/>
      <c r="DA180" s="251"/>
      <c r="DB180" s="251"/>
      <c r="DC180" s="251"/>
      <c r="DD180" s="251"/>
      <c r="DE180" s="251"/>
      <c r="DF180" s="251"/>
      <c r="DG180" s="251"/>
      <c r="DH180" s="251"/>
      <c r="DI180" s="251"/>
      <c r="DJ180" s="251"/>
      <c r="DK180" s="251"/>
      <c r="DL180" s="251"/>
      <c r="DM180" s="251"/>
      <c r="DN180" s="251"/>
      <c r="DO180" s="251"/>
      <c r="DP180" s="251"/>
      <c r="DQ180" s="251"/>
      <c r="DR180" s="251"/>
      <c r="DS180" s="251"/>
      <c r="DT180" s="251"/>
      <c r="DU180" s="251"/>
      <c r="DV180" s="251"/>
      <c r="DW180" s="251"/>
      <c r="DX180" s="251"/>
      <c r="DY180" s="251"/>
      <c r="DZ180" s="251"/>
      <c r="EA180" s="251"/>
      <c r="EB180" s="251"/>
      <c r="EC180" s="251"/>
      <c r="ED180" s="251"/>
      <c r="EE180" s="251"/>
      <c r="EF180" s="251"/>
      <c r="EG180" s="251"/>
      <c r="EH180" s="251"/>
      <c r="EI180" s="251"/>
      <c r="EJ180" s="251"/>
      <c r="EK180" s="251"/>
      <c r="EL180" s="251"/>
      <c r="EM180" s="251"/>
      <c r="EN180" s="251"/>
      <c r="EO180" s="251"/>
      <c r="EP180" s="251"/>
      <c r="EQ180" s="251"/>
      <c r="ER180" s="251"/>
      <c r="ES180" s="251"/>
      <c r="ET180" s="251"/>
      <c r="EU180" s="251"/>
      <c r="EV180" s="251"/>
      <c r="EW180" s="251"/>
      <c r="EX180" s="251"/>
      <c r="EY180" s="251"/>
      <c r="EZ180" s="251"/>
      <c r="FA180" s="251"/>
      <c r="FB180" s="251"/>
      <c r="FC180" s="251"/>
      <c r="FD180" s="251"/>
      <c r="FE180" s="251"/>
      <c r="FF180" s="251"/>
      <c r="FG180" s="251"/>
      <c r="FH180" s="251"/>
      <c r="FI180" s="251"/>
      <c r="FJ180" s="251"/>
      <c r="FK180" s="251"/>
      <c r="FL180" s="251"/>
      <c r="FM180" s="251"/>
      <c r="FN180" s="251"/>
      <c r="FO180" s="251"/>
      <c r="FP180" s="251"/>
      <c r="FQ180" s="251"/>
      <c r="FR180" s="251"/>
      <c r="FS180" s="251"/>
      <c r="FT180" s="251"/>
      <c r="FU180" s="251"/>
      <c r="FV180" s="251"/>
      <c r="FW180" s="251"/>
      <c r="FX180" s="251"/>
      <c r="FY180" s="251"/>
      <c r="FZ180" s="251"/>
      <c r="GA180" s="251"/>
      <c r="GB180" s="251"/>
      <c r="GC180" s="251"/>
      <c r="GD180" s="251"/>
      <c r="GE180" s="251"/>
      <c r="GF180" s="251"/>
      <c r="GG180" s="251"/>
      <c r="GH180" s="251"/>
      <c r="GI180" s="251"/>
      <c r="GJ180" s="251"/>
      <c r="GK180" s="251"/>
      <c r="GL180" s="251"/>
      <c r="GM180" s="251"/>
      <c r="GN180" s="251"/>
      <c r="GO180" s="251"/>
      <c r="GP180" s="251"/>
      <c r="GQ180" s="251"/>
      <c r="GR180" s="251"/>
      <c r="GS180" s="251"/>
      <c r="GT180" s="251"/>
      <c r="GU180" s="251"/>
      <c r="GV180" s="251"/>
      <c r="GW180" s="251"/>
      <c r="GX180" s="251"/>
      <c r="GY180" s="251"/>
      <c r="GZ180" s="251"/>
      <c r="HA180" s="251"/>
      <c r="HB180" s="251"/>
      <c r="HC180" s="251"/>
      <c r="HD180" s="251"/>
      <c r="HE180" s="251"/>
      <c r="HF180" s="251"/>
      <c r="HG180" s="251"/>
      <c r="HH180" s="251"/>
      <c r="HI180" s="251"/>
      <c r="HJ180" s="251"/>
      <c r="HK180" s="251"/>
      <c r="HL180" s="251"/>
      <c r="HM180" s="251"/>
      <c r="HN180" s="251"/>
      <c r="HO180" s="251"/>
      <c r="HP180" s="251"/>
      <c r="HQ180" s="251"/>
      <c r="HR180" s="251"/>
      <c r="HS180" s="251"/>
      <c r="HT180" s="251"/>
      <c r="HU180" s="251"/>
      <c r="HV180" s="251"/>
      <c r="HW180" s="251"/>
      <c r="HX180" s="251"/>
      <c r="HY180" s="251"/>
      <c r="HZ180" s="251"/>
      <c r="IA180" s="251"/>
      <c r="IB180" s="251"/>
      <c r="IC180" s="251"/>
      <c r="ID180" s="251"/>
      <c r="IE180" s="251"/>
      <c r="IF180" s="251"/>
      <c r="IG180" s="251"/>
      <c r="IH180" s="251"/>
      <c r="II180" s="251"/>
      <c r="IJ180" s="251"/>
      <c r="IK180" s="251"/>
      <c r="IL180" s="251"/>
      <c r="IM180" s="251"/>
      <c r="IN180" s="251"/>
      <c r="IO180" s="251"/>
      <c r="IP180" s="251"/>
      <c r="IQ180" s="251"/>
      <c r="IR180" s="251"/>
      <c r="IS180" s="251"/>
      <c r="IT180" s="251"/>
      <c r="IU180" s="251"/>
      <c r="IV180" s="251"/>
      <c r="IW180" s="251"/>
      <c r="IX180" s="251"/>
      <c r="IY180" s="251"/>
      <c r="IZ180" s="251"/>
      <c r="JA180" s="251"/>
      <c r="JB180" s="251"/>
      <c r="JC180" s="251"/>
      <c r="JD180" s="251"/>
      <c r="JE180" s="251"/>
      <c r="JF180" s="251"/>
      <c r="JG180" s="251"/>
      <c r="JH180" s="251"/>
      <c r="JI180" s="251"/>
      <c r="JJ180" s="251"/>
      <c r="JK180" s="251"/>
      <c r="JL180" s="251"/>
      <c r="JM180" s="251"/>
      <c r="JN180" s="251"/>
      <c r="JO180" s="251"/>
      <c r="JP180" s="251"/>
      <c r="JQ180" s="251"/>
      <c r="JR180" s="251"/>
      <c r="JS180" s="251"/>
      <c r="JT180" s="251"/>
      <c r="JU180" s="251"/>
      <c r="JV180" s="251"/>
      <c r="JW180" s="251"/>
      <c r="JX180" s="251"/>
      <c r="JY180" s="251"/>
      <c r="JZ180" s="251"/>
      <c r="KA180" s="251"/>
      <c r="KB180" s="251"/>
      <c r="KC180" s="251"/>
      <c r="KD180" s="251"/>
      <c r="KE180" s="251"/>
      <c r="KF180" s="251"/>
      <c r="KG180" s="251"/>
      <c r="KH180" s="251"/>
      <c r="KI180" s="251"/>
      <c r="KJ180" s="251"/>
      <c r="KK180" s="251"/>
      <c r="KL180" s="251"/>
      <c r="KM180" s="251"/>
      <c r="KN180" s="251"/>
      <c r="KO180" s="251"/>
      <c r="KP180" s="251"/>
      <c r="KQ180" s="251"/>
      <c r="KR180" s="251"/>
      <c r="KS180" s="251"/>
      <c r="KT180" s="251"/>
      <c r="KU180" s="251"/>
      <c r="KV180" s="251"/>
      <c r="KW180" s="251"/>
      <c r="KX180" s="251"/>
      <c r="KY180" s="251"/>
      <c r="KZ180" s="251"/>
      <c r="LA180" s="251"/>
      <c r="LB180" s="251"/>
      <c r="LC180" s="251"/>
      <c r="LD180" s="251"/>
      <c r="LE180" s="251"/>
      <c r="LF180" s="251"/>
      <c r="LG180" s="251"/>
      <c r="LH180" s="251"/>
      <c r="LI180" s="251"/>
      <c r="LJ180" s="251"/>
      <c r="LK180" s="251"/>
      <c r="LL180" s="251"/>
      <c r="LM180" s="251"/>
      <c r="LN180" s="251"/>
      <c r="LO180" s="251"/>
      <c r="LP180" s="251"/>
      <c r="LQ180" s="251"/>
      <c r="LR180" s="251"/>
      <c r="LS180" s="251"/>
      <c r="LT180" s="251"/>
      <c r="LU180" s="251"/>
      <c r="LV180" s="251"/>
      <c r="LW180" s="251"/>
      <c r="LX180" s="251"/>
      <c r="LY180" s="251"/>
      <c r="LZ180" s="251"/>
      <c r="MA180" s="251"/>
      <c r="MB180" s="251"/>
      <c r="MC180" s="251"/>
      <c r="MD180" s="251"/>
      <c r="ME180" s="251"/>
      <c r="MF180" s="251"/>
      <c r="MG180" s="251"/>
      <c r="MH180" s="251"/>
      <c r="MI180" s="251"/>
      <c r="MJ180" s="251"/>
      <c r="MK180" s="251"/>
      <c r="ML180" s="251"/>
      <c r="MM180" s="251"/>
      <c r="MN180" s="251"/>
      <c r="MO180" s="251"/>
      <c r="MP180" s="251"/>
      <c r="MQ180" s="251"/>
      <c r="MR180" s="251"/>
      <c r="MS180" s="251"/>
      <c r="MT180" s="251"/>
      <c r="MU180" s="251"/>
      <c r="MV180" s="251"/>
      <c r="MW180" s="251"/>
      <c r="MX180" s="251"/>
      <c r="MY180" s="251"/>
      <c r="MZ180" s="251"/>
      <c r="NA180" s="251"/>
      <c r="NB180" s="251"/>
      <c r="NC180" s="251"/>
      <c r="ND180" s="251"/>
      <c r="NE180" s="251"/>
      <c r="NF180" s="251"/>
      <c r="NG180" s="251"/>
      <c r="NH180" s="251"/>
      <c r="NI180" s="251"/>
      <c r="NJ180" s="251"/>
      <c r="NK180" s="251"/>
      <c r="NL180" s="251"/>
      <c r="NM180" s="251"/>
      <c r="NN180" s="251"/>
      <c r="NO180" s="251"/>
      <c r="NP180" s="251"/>
      <c r="NQ180" s="251"/>
      <c r="NR180" s="251"/>
      <c r="NS180" s="251"/>
      <c r="NT180" s="251"/>
      <c r="NU180" s="251"/>
      <c r="NV180" s="251"/>
      <c r="NW180" s="251"/>
      <c r="NX180" s="251"/>
      <c r="NY180" s="251"/>
      <c r="NZ180" s="251"/>
      <c r="OA180" s="251"/>
      <c r="OB180" s="251"/>
      <c r="OC180" s="251"/>
      <c r="OD180" s="251"/>
      <c r="OE180" s="251"/>
      <c r="OF180" s="251"/>
      <c r="OG180" s="251"/>
      <c r="OH180" s="251"/>
      <c r="OI180" s="251"/>
      <c r="OJ180" s="251"/>
      <c r="OK180" s="251"/>
      <c r="OL180" s="251"/>
      <c r="OM180" s="251"/>
      <c r="ON180" s="251"/>
      <c r="OO180" s="251"/>
      <c r="OP180" s="251"/>
      <c r="OQ180" s="251"/>
      <c r="OR180" s="251"/>
      <c r="OS180" s="251"/>
      <c r="OT180" s="251"/>
      <c r="OU180" s="251"/>
      <c r="OV180" s="251"/>
      <c r="OW180" s="251"/>
      <c r="OX180" s="251"/>
      <c r="OY180" s="251"/>
      <c r="OZ180" s="251"/>
      <c r="PA180" s="251"/>
      <c r="PB180" s="251"/>
      <c r="PC180" s="251"/>
      <c r="PD180" s="251"/>
      <c r="PE180" s="251"/>
      <c r="PF180" s="251"/>
      <c r="PG180" s="251"/>
      <c r="PH180" s="251"/>
      <c r="PI180" s="251"/>
      <c r="PJ180" s="251"/>
      <c r="PK180" s="251"/>
      <c r="PL180" s="251"/>
      <c r="PM180" s="251"/>
      <c r="PN180" s="251"/>
      <c r="PO180" s="251"/>
      <c r="PP180" s="251"/>
      <c r="PQ180" s="251"/>
      <c r="PR180" s="251"/>
      <c r="PS180" s="251"/>
      <c r="PT180" s="251"/>
      <c r="PU180" s="251"/>
      <c r="PV180" s="251"/>
      <c r="PW180" s="251"/>
      <c r="PX180" s="251"/>
      <c r="PY180" s="251"/>
      <c r="PZ180" s="251"/>
      <c r="QA180" s="251"/>
      <c r="QB180" s="251"/>
      <c r="QC180" s="251"/>
      <c r="QD180" s="251"/>
      <c r="QE180" s="251"/>
      <c r="QF180" s="251"/>
      <c r="QG180" s="251"/>
      <c r="QH180" s="251"/>
      <c r="QI180" s="251"/>
      <c r="QJ180" s="251"/>
      <c r="QK180" s="251"/>
      <c r="QL180" s="251"/>
      <c r="QM180" s="251"/>
      <c r="QN180" s="251"/>
      <c r="QO180" s="251"/>
      <c r="QP180" s="251"/>
      <c r="QQ180" s="251"/>
      <c r="QR180" s="251"/>
      <c r="QS180" s="251"/>
      <c r="QT180" s="251"/>
      <c r="QU180" s="251"/>
      <c r="QV180" s="251"/>
      <c r="QW180" s="251"/>
      <c r="QX180" s="251"/>
      <c r="QY180" s="251"/>
      <c r="QZ180" s="251"/>
      <c r="RA180" s="251"/>
      <c r="RB180" s="251"/>
      <c r="RC180" s="251"/>
      <c r="RD180" s="251"/>
      <c r="RE180" s="251"/>
      <c r="RF180" s="251"/>
      <c r="RG180" s="251"/>
      <c r="RH180" s="251"/>
      <c r="RI180" s="251"/>
      <c r="RJ180" s="251"/>
      <c r="RK180" s="251"/>
      <c r="RL180" s="251"/>
      <c r="RM180" s="251"/>
      <c r="RN180" s="251"/>
      <c r="RO180" s="251"/>
      <c r="RP180" s="251"/>
      <c r="RQ180" s="251"/>
      <c r="RR180" s="251"/>
      <c r="RS180" s="251"/>
      <c r="RT180" s="251"/>
      <c r="RU180" s="251"/>
      <c r="RV180" s="251"/>
      <c r="RW180" s="251"/>
      <c r="RX180" s="251"/>
      <c r="RY180" s="251"/>
      <c r="RZ180" s="251"/>
      <c r="SA180" s="251"/>
      <c r="SB180" s="251"/>
      <c r="SC180" s="251"/>
      <c r="SD180" s="251"/>
      <c r="SE180" s="251"/>
      <c r="SF180" s="251"/>
      <c r="SG180" s="251"/>
      <c r="SH180" s="251"/>
      <c r="SI180" s="251"/>
      <c r="SJ180" s="251"/>
      <c r="SK180" s="251"/>
      <c r="SL180" s="251"/>
      <c r="SM180" s="251"/>
      <c r="SN180" s="251"/>
      <c r="SO180" s="251"/>
      <c r="SP180" s="251"/>
      <c r="SQ180" s="251"/>
      <c r="SR180" s="251"/>
      <c r="SS180" s="251"/>
      <c r="ST180" s="251"/>
      <c r="SU180" s="251"/>
      <c r="SV180" s="251"/>
      <c r="SW180" s="251"/>
      <c r="SX180" s="251"/>
      <c r="SY180" s="251"/>
      <c r="SZ180" s="251"/>
      <c r="TA180" s="251"/>
      <c r="TB180" s="251"/>
      <c r="TC180" s="251"/>
      <c r="TD180" s="251"/>
      <c r="TE180" s="251"/>
      <c r="TF180" s="251"/>
      <c r="TG180" s="251"/>
      <c r="TH180" s="251"/>
      <c r="TI180" s="251"/>
      <c r="TJ180" s="251"/>
      <c r="TK180" s="251"/>
      <c r="TL180" s="251"/>
      <c r="TM180" s="251"/>
      <c r="TN180" s="251"/>
      <c r="TO180" s="251"/>
      <c r="TP180" s="251"/>
      <c r="TQ180" s="251"/>
      <c r="TR180" s="251"/>
      <c r="TS180" s="251"/>
      <c r="TT180" s="251"/>
      <c r="TU180" s="251"/>
      <c r="TV180" s="251"/>
      <c r="TW180" s="251"/>
      <c r="TX180" s="251"/>
      <c r="TY180" s="251"/>
      <c r="TZ180" s="251"/>
      <c r="UA180" s="251"/>
      <c r="UB180" s="251"/>
      <c r="UC180" s="251"/>
      <c r="UD180" s="251"/>
      <c r="UE180" s="251"/>
      <c r="UF180" s="251"/>
      <c r="UG180" s="252"/>
    </row>
    <row r="181" spans="1:553" s="236" customFormat="1" ht="34.5" customHeight="1">
      <c r="A181" s="356"/>
      <c r="B181" s="428"/>
      <c r="C181" s="1538" t="s">
        <v>207</v>
      </c>
      <c r="D181" s="1389"/>
      <c r="E181" s="1389"/>
      <c r="F181" s="1390"/>
      <c r="G181" s="386"/>
      <c r="H181" s="370"/>
      <c r="I181" s="1056"/>
      <c r="J181" s="368"/>
      <c r="K181" s="371"/>
      <c r="L181" s="366"/>
      <c r="M181" s="356"/>
      <c r="N181" s="356"/>
      <c r="O181" s="356"/>
      <c r="P181" s="356"/>
      <c r="Q181" s="610"/>
      <c r="R181" s="1226"/>
      <c r="S181" s="308"/>
      <c r="T181" s="303"/>
      <c r="U181" s="306"/>
      <c r="V181" s="307"/>
      <c r="W181" s="307"/>
      <c r="X181" s="307"/>
      <c r="Y181" s="307"/>
      <c r="Z181" s="307"/>
      <c r="AA181" s="307"/>
      <c r="AB181" s="307"/>
      <c r="AC181" s="454"/>
      <c r="AD181" s="454"/>
      <c r="AE181" s="454"/>
      <c r="AF181" s="454"/>
      <c r="AG181" s="454"/>
      <c r="AH181" s="454"/>
      <c r="AI181" s="454"/>
      <c r="AJ181" s="454"/>
      <c r="AK181" s="455"/>
      <c r="AL181" s="345"/>
      <c r="AM181" s="249"/>
      <c r="AN181" s="249"/>
      <c r="AO181" s="249"/>
      <c r="AP181" s="249"/>
      <c r="AQ181" s="249"/>
      <c r="AR181" s="249"/>
      <c r="AS181" s="250"/>
      <c r="AT181" s="250"/>
      <c r="AU181" s="250"/>
      <c r="AV181" s="250"/>
      <c r="AW181" s="250"/>
      <c r="AX181" s="250"/>
      <c r="AY181" s="250"/>
      <c r="AZ181" s="250"/>
      <c r="BA181" s="250"/>
      <c r="BB181" s="250"/>
      <c r="BC181" s="250"/>
      <c r="BD181" s="250"/>
      <c r="BE181" s="250"/>
      <c r="BF181" s="250"/>
      <c r="BG181" s="250"/>
      <c r="BH181" s="250"/>
      <c r="BI181" s="250"/>
      <c r="BJ181" s="250"/>
      <c r="BK181" s="250"/>
      <c r="BL181" s="250"/>
      <c r="BM181" s="250"/>
      <c r="BN181" s="250"/>
      <c r="BO181" s="250"/>
      <c r="BP181" s="251"/>
      <c r="BQ181" s="251"/>
      <c r="BR181" s="251"/>
      <c r="BS181" s="251"/>
      <c r="BT181" s="251"/>
      <c r="BU181" s="251"/>
      <c r="BV181" s="251"/>
      <c r="BW181" s="251"/>
      <c r="BX181" s="251"/>
      <c r="BY181" s="251"/>
      <c r="BZ181" s="251"/>
      <c r="CA181" s="251"/>
      <c r="CB181" s="251"/>
      <c r="CC181" s="251"/>
      <c r="CD181" s="251"/>
      <c r="CE181" s="251"/>
      <c r="CF181" s="251"/>
      <c r="CG181" s="251"/>
      <c r="CH181" s="251"/>
      <c r="CI181" s="251"/>
      <c r="CJ181" s="251"/>
      <c r="CK181" s="251"/>
      <c r="CL181" s="251"/>
      <c r="CM181" s="251"/>
      <c r="CN181" s="251"/>
      <c r="CO181" s="251"/>
      <c r="CP181" s="251"/>
      <c r="CQ181" s="251"/>
      <c r="CR181" s="251"/>
      <c r="CS181" s="251"/>
      <c r="CT181" s="251"/>
      <c r="CU181" s="251"/>
      <c r="CV181" s="251"/>
      <c r="CW181" s="251"/>
      <c r="CX181" s="251"/>
      <c r="CY181" s="251"/>
      <c r="CZ181" s="251"/>
      <c r="DA181" s="251"/>
      <c r="DB181" s="251"/>
      <c r="DC181" s="251"/>
      <c r="DD181" s="251"/>
      <c r="DE181" s="251"/>
      <c r="DF181" s="251"/>
      <c r="DG181" s="251"/>
      <c r="DH181" s="251"/>
      <c r="DI181" s="251"/>
      <c r="DJ181" s="251"/>
      <c r="DK181" s="251"/>
      <c r="DL181" s="251"/>
      <c r="DM181" s="251"/>
      <c r="DN181" s="251"/>
      <c r="DO181" s="251"/>
      <c r="DP181" s="251"/>
      <c r="DQ181" s="251"/>
      <c r="DR181" s="251"/>
      <c r="DS181" s="251"/>
      <c r="DT181" s="251"/>
      <c r="DU181" s="251"/>
      <c r="DV181" s="251"/>
      <c r="DW181" s="251"/>
      <c r="DX181" s="251"/>
      <c r="DY181" s="251"/>
      <c r="DZ181" s="251"/>
      <c r="EA181" s="251"/>
      <c r="EB181" s="251"/>
      <c r="EC181" s="251"/>
      <c r="ED181" s="251"/>
      <c r="EE181" s="251"/>
      <c r="EF181" s="251"/>
      <c r="EG181" s="251"/>
      <c r="EH181" s="251"/>
      <c r="EI181" s="251"/>
      <c r="EJ181" s="251"/>
      <c r="EK181" s="251"/>
      <c r="EL181" s="251"/>
      <c r="EM181" s="251"/>
      <c r="EN181" s="251"/>
      <c r="EO181" s="251"/>
      <c r="EP181" s="251"/>
      <c r="EQ181" s="251"/>
      <c r="ER181" s="251"/>
      <c r="ES181" s="251"/>
      <c r="ET181" s="251"/>
      <c r="EU181" s="251"/>
      <c r="EV181" s="251"/>
      <c r="EW181" s="251"/>
      <c r="EX181" s="251"/>
      <c r="EY181" s="251"/>
      <c r="EZ181" s="251"/>
      <c r="FA181" s="251"/>
      <c r="FB181" s="251"/>
      <c r="FC181" s="251"/>
      <c r="FD181" s="251"/>
      <c r="FE181" s="251"/>
      <c r="FF181" s="251"/>
      <c r="FG181" s="251"/>
      <c r="FH181" s="251"/>
      <c r="FI181" s="251"/>
      <c r="FJ181" s="251"/>
      <c r="FK181" s="251"/>
      <c r="FL181" s="251"/>
      <c r="FM181" s="251"/>
      <c r="FN181" s="251"/>
      <c r="FO181" s="251"/>
      <c r="FP181" s="251"/>
      <c r="FQ181" s="251"/>
      <c r="FR181" s="251"/>
      <c r="FS181" s="251"/>
      <c r="FT181" s="251"/>
      <c r="FU181" s="251"/>
      <c r="FV181" s="251"/>
      <c r="FW181" s="251"/>
      <c r="FX181" s="251"/>
      <c r="FY181" s="251"/>
      <c r="FZ181" s="251"/>
      <c r="GA181" s="251"/>
      <c r="GB181" s="251"/>
      <c r="GC181" s="251"/>
      <c r="GD181" s="251"/>
      <c r="GE181" s="251"/>
      <c r="GF181" s="251"/>
      <c r="GG181" s="251"/>
      <c r="GH181" s="251"/>
      <c r="GI181" s="251"/>
      <c r="GJ181" s="251"/>
      <c r="GK181" s="251"/>
      <c r="GL181" s="251"/>
      <c r="GM181" s="251"/>
      <c r="GN181" s="251"/>
      <c r="GO181" s="251"/>
      <c r="GP181" s="251"/>
      <c r="GQ181" s="251"/>
      <c r="GR181" s="251"/>
      <c r="GS181" s="251"/>
      <c r="GT181" s="251"/>
      <c r="GU181" s="251"/>
      <c r="GV181" s="251"/>
      <c r="GW181" s="251"/>
      <c r="GX181" s="251"/>
      <c r="GY181" s="251"/>
      <c r="GZ181" s="251"/>
      <c r="HA181" s="251"/>
      <c r="HB181" s="251"/>
      <c r="HC181" s="251"/>
      <c r="HD181" s="251"/>
      <c r="HE181" s="251"/>
      <c r="HF181" s="251"/>
      <c r="HG181" s="251"/>
      <c r="HH181" s="251"/>
      <c r="HI181" s="251"/>
      <c r="HJ181" s="251"/>
      <c r="HK181" s="251"/>
      <c r="HL181" s="251"/>
      <c r="HM181" s="251"/>
      <c r="HN181" s="251"/>
      <c r="HO181" s="251"/>
      <c r="HP181" s="251"/>
      <c r="HQ181" s="251"/>
      <c r="HR181" s="251"/>
      <c r="HS181" s="251"/>
      <c r="HT181" s="251"/>
      <c r="HU181" s="251"/>
      <c r="HV181" s="251"/>
      <c r="HW181" s="251"/>
      <c r="HX181" s="251"/>
      <c r="HY181" s="251"/>
      <c r="HZ181" s="251"/>
      <c r="IA181" s="251"/>
      <c r="IB181" s="251"/>
      <c r="IC181" s="251"/>
      <c r="ID181" s="251"/>
      <c r="IE181" s="251"/>
      <c r="IF181" s="251"/>
      <c r="IG181" s="251"/>
      <c r="IH181" s="251"/>
      <c r="II181" s="251"/>
      <c r="IJ181" s="251"/>
      <c r="IK181" s="251"/>
      <c r="IL181" s="251"/>
      <c r="IM181" s="251"/>
      <c r="IN181" s="251"/>
      <c r="IO181" s="251"/>
      <c r="IP181" s="251"/>
      <c r="IQ181" s="251"/>
      <c r="IR181" s="251"/>
      <c r="IS181" s="251"/>
      <c r="IT181" s="251"/>
      <c r="IU181" s="251"/>
      <c r="IV181" s="251"/>
      <c r="IW181" s="251"/>
      <c r="IX181" s="251"/>
      <c r="IY181" s="251"/>
      <c r="IZ181" s="251"/>
      <c r="JA181" s="251"/>
      <c r="JB181" s="251"/>
      <c r="JC181" s="251"/>
      <c r="JD181" s="251"/>
      <c r="JE181" s="251"/>
      <c r="JF181" s="251"/>
      <c r="JG181" s="251"/>
      <c r="JH181" s="251"/>
      <c r="JI181" s="251"/>
      <c r="JJ181" s="251"/>
      <c r="JK181" s="251"/>
      <c r="JL181" s="251"/>
      <c r="JM181" s="251"/>
      <c r="JN181" s="251"/>
      <c r="JO181" s="251"/>
      <c r="JP181" s="251"/>
      <c r="JQ181" s="251"/>
      <c r="JR181" s="251"/>
      <c r="JS181" s="251"/>
      <c r="JT181" s="251"/>
      <c r="JU181" s="251"/>
      <c r="JV181" s="251"/>
      <c r="JW181" s="251"/>
      <c r="JX181" s="251"/>
      <c r="JY181" s="251"/>
      <c r="JZ181" s="251"/>
      <c r="KA181" s="251"/>
      <c r="KB181" s="251"/>
      <c r="KC181" s="251"/>
      <c r="KD181" s="251"/>
      <c r="KE181" s="251"/>
      <c r="KF181" s="251"/>
      <c r="KG181" s="251"/>
      <c r="KH181" s="251"/>
      <c r="KI181" s="251"/>
      <c r="KJ181" s="251"/>
      <c r="KK181" s="251"/>
      <c r="KL181" s="251"/>
      <c r="KM181" s="251"/>
      <c r="KN181" s="251"/>
      <c r="KO181" s="251"/>
      <c r="KP181" s="251"/>
      <c r="KQ181" s="251"/>
      <c r="KR181" s="251"/>
      <c r="KS181" s="251"/>
      <c r="KT181" s="251"/>
      <c r="KU181" s="251"/>
      <c r="KV181" s="251"/>
      <c r="KW181" s="251"/>
      <c r="KX181" s="251"/>
      <c r="KY181" s="251"/>
      <c r="KZ181" s="251"/>
      <c r="LA181" s="251"/>
      <c r="LB181" s="251"/>
      <c r="LC181" s="251"/>
      <c r="LD181" s="251"/>
      <c r="LE181" s="251"/>
      <c r="LF181" s="251"/>
      <c r="LG181" s="251"/>
      <c r="LH181" s="251"/>
      <c r="LI181" s="251"/>
      <c r="LJ181" s="251"/>
      <c r="LK181" s="251"/>
      <c r="LL181" s="251"/>
      <c r="LM181" s="251"/>
      <c r="LN181" s="251"/>
      <c r="LO181" s="251"/>
      <c r="LP181" s="251"/>
      <c r="LQ181" s="251"/>
      <c r="LR181" s="251"/>
      <c r="LS181" s="251"/>
      <c r="LT181" s="251"/>
      <c r="LU181" s="251"/>
      <c r="LV181" s="251"/>
      <c r="LW181" s="251"/>
      <c r="LX181" s="251"/>
      <c r="LY181" s="251"/>
      <c r="LZ181" s="251"/>
      <c r="MA181" s="251"/>
      <c r="MB181" s="251"/>
      <c r="MC181" s="251"/>
      <c r="MD181" s="251"/>
      <c r="ME181" s="251"/>
      <c r="MF181" s="251"/>
      <c r="MG181" s="251"/>
      <c r="MH181" s="251"/>
      <c r="MI181" s="251"/>
      <c r="MJ181" s="251"/>
      <c r="MK181" s="251"/>
      <c r="ML181" s="251"/>
      <c r="MM181" s="251"/>
      <c r="MN181" s="251"/>
      <c r="MO181" s="251"/>
      <c r="MP181" s="251"/>
      <c r="MQ181" s="251"/>
      <c r="MR181" s="251"/>
      <c r="MS181" s="251"/>
      <c r="MT181" s="251"/>
      <c r="MU181" s="251"/>
      <c r="MV181" s="251"/>
      <c r="MW181" s="251"/>
      <c r="MX181" s="251"/>
      <c r="MY181" s="251"/>
      <c r="MZ181" s="251"/>
      <c r="NA181" s="251"/>
      <c r="NB181" s="251"/>
      <c r="NC181" s="251"/>
      <c r="ND181" s="251"/>
      <c r="NE181" s="251"/>
      <c r="NF181" s="251"/>
      <c r="NG181" s="251"/>
      <c r="NH181" s="251"/>
      <c r="NI181" s="251"/>
      <c r="NJ181" s="251"/>
      <c r="NK181" s="251"/>
      <c r="NL181" s="251"/>
      <c r="NM181" s="251"/>
      <c r="NN181" s="251"/>
      <c r="NO181" s="251"/>
      <c r="NP181" s="251"/>
      <c r="NQ181" s="251"/>
      <c r="NR181" s="251"/>
      <c r="NS181" s="251"/>
      <c r="NT181" s="251"/>
      <c r="NU181" s="251"/>
      <c r="NV181" s="251"/>
      <c r="NW181" s="251"/>
      <c r="NX181" s="251"/>
      <c r="NY181" s="251"/>
      <c r="NZ181" s="251"/>
      <c r="OA181" s="251"/>
      <c r="OB181" s="251"/>
      <c r="OC181" s="251"/>
      <c r="OD181" s="251"/>
      <c r="OE181" s="251"/>
      <c r="OF181" s="251"/>
      <c r="OG181" s="251"/>
      <c r="OH181" s="251"/>
      <c r="OI181" s="251"/>
      <c r="OJ181" s="251"/>
      <c r="OK181" s="251"/>
      <c r="OL181" s="251"/>
      <c r="OM181" s="251"/>
      <c r="ON181" s="251"/>
      <c r="OO181" s="251"/>
      <c r="OP181" s="251"/>
      <c r="OQ181" s="251"/>
      <c r="OR181" s="251"/>
      <c r="OS181" s="251"/>
      <c r="OT181" s="251"/>
      <c r="OU181" s="251"/>
      <c r="OV181" s="251"/>
      <c r="OW181" s="251"/>
      <c r="OX181" s="251"/>
      <c r="OY181" s="251"/>
      <c r="OZ181" s="251"/>
      <c r="PA181" s="251"/>
      <c r="PB181" s="251"/>
      <c r="PC181" s="251"/>
      <c r="PD181" s="251"/>
      <c r="PE181" s="251"/>
      <c r="PF181" s="251"/>
      <c r="PG181" s="251"/>
      <c r="PH181" s="251"/>
      <c r="PI181" s="251"/>
      <c r="PJ181" s="251"/>
      <c r="PK181" s="251"/>
      <c r="PL181" s="251"/>
      <c r="PM181" s="251"/>
      <c r="PN181" s="251"/>
      <c r="PO181" s="251"/>
      <c r="PP181" s="251"/>
      <c r="PQ181" s="251"/>
      <c r="PR181" s="251"/>
      <c r="PS181" s="251"/>
      <c r="PT181" s="251"/>
      <c r="PU181" s="251"/>
      <c r="PV181" s="251"/>
      <c r="PW181" s="251"/>
      <c r="PX181" s="251"/>
      <c r="PY181" s="251"/>
      <c r="PZ181" s="251"/>
      <c r="QA181" s="251"/>
      <c r="QB181" s="251"/>
      <c r="QC181" s="251"/>
      <c r="QD181" s="251"/>
      <c r="QE181" s="251"/>
      <c r="QF181" s="251"/>
      <c r="QG181" s="251"/>
      <c r="QH181" s="251"/>
      <c r="QI181" s="251"/>
      <c r="QJ181" s="251"/>
      <c r="QK181" s="251"/>
      <c r="QL181" s="251"/>
      <c r="QM181" s="251"/>
      <c r="QN181" s="251"/>
      <c r="QO181" s="251"/>
      <c r="QP181" s="251"/>
      <c r="QQ181" s="251"/>
      <c r="QR181" s="251"/>
      <c r="QS181" s="251"/>
      <c r="QT181" s="251"/>
      <c r="QU181" s="251"/>
      <c r="QV181" s="251"/>
      <c r="QW181" s="251"/>
      <c r="QX181" s="251"/>
      <c r="QY181" s="251"/>
      <c r="QZ181" s="251"/>
      <c r="RA181" s="251"/>
      <c r="RB181" s="251"/>
      <c r="RC181" s="251"/>
      <c r="RD181" s="251"/>
      <c r="RE181" s="251"/>
      <c r="RF181" s="251"/>
      <c r="RG181" s="251"/>
      <c r="RH181" s="251"/>
      <c r="RI181" s="251"/>
      <c r="RJ181" s="251"/>
      <c r="RK181" s="251"/>
      <c r="RL181" s="251"/>
      <c r="RM181" s="251"/>
      <c r="RN181" s="251"/>
      <c r="RO181" s="251"/>
      <c r="RP181" s="251"/>
      <c r="RQ181" s="251"/>
      <c r="RR181" s="251"/>
      <c r="RS181" s="251"/>
      <c r="RT181" s="251"/>
      <c r="RU181" s="251"/>
      <c r="RV181" s="251"/>
      <c r="RW181" s="251"/>
      <c r="RX181" s="251"/>
      <c r="RY181" s="251"/>
      <c r="RZ181" s="251"/>
      <c r="SA181" s="251"/>
      <c r="SB181" s="251"/>
      <c r="SC181" s="251"/>
      <c r="SD181" s="251"/>
      <c r="SE181" s="251"/>
      <c r="SF181" s="251"/>
      <c r="SG181" s="251"/>
      <c r="SH181" s="251"/>
      <c r="SI181" s="251"/>
      <c r="SJ181" s="251"/>
      <c r="SK181" s="251"/>
      <c r="SL181" s="251"/>
      <c r="SM181" s="251"/>
      <c r="SN181" s="251"/>
      <c r="SO181" s="251"/>
      <c r="SP181" s="251"/>
      <c r="SQ181" s="251"/>
      <c r="SR181" s="251"/>
      <c r="SS181" s="251"/>
      <c r="ST181" s="251"/>
      <c r="SU181" s="251"/>
      <c r="SV181" s="251"/>
      <c r="SW181" s="251"/>
      <c r="SX181" s="251"/>
      <c r="SY181" s="251"/>
      <c r="SZ181" s="251"/>
      <c r="TA181" s="251"/>
      <c r="TB181" s="251"/>
      <c r="TC181" s="251"/>
      <c r="TD181" s="251"/>
      <c r="TE181" s="251"/>
      <c r="TF181" s="251"/>
      <c r="TG181" s="251"/>
      <c r="TH181" s="251"/>
      <c r="TI181" s="251"/>
      <c r="TJ181" s="251"/>
      <c r="TK181" s="251"/>
      <c r="TL181" s="251"/>
      <c r="TM181" s="251"/>
      <c r="TN181" s="251"/>
      <c r="TO181" s="251"/>
      <c r="TP181" s="251"/>
      <c r="TQ181" s="251"/>
      <c r="TR181" s="251"/>
      <c r="TS181" s="251"/>
      <c r="TT181" s="251"/>
      <c r="TU181" s="251"/>
      <c r="TV181" s="251"/>
      <c r="TW181" s="251"/>
      <c r="TX181" s="251"/>
      <c r="TY181" s="251"/>
      <c r="TZ181" s="251"/>
      <c r="UA181" s="251"/>
      <c r="UB181" s="251"/>
      <c r="UC181" s="251"/>
      <c r="UD181" s="251"/>
      <c r="UE181" s="251"/>
      <c r="UF181" s="251"/>
      <c r="UG181" s="252"/>
    </row>
    <row r="182" spans="1:553" s="236" customFormat="1" ht="34.5" customHeight="1">
      <c r="A182" s="356"/>
      <c r="B182" s="428"/>
      <c r="C182" s="1538" t="s">
        <v>208</v>
      </c>
      <c r="D182" s="1389"/>
      <c r="E182" s="1389"/>
      <c r="F182" s="1390"/>
      <c r="G182" s="366"/>
      <c r="H182" s="417"/>
      <c r="I182" s="417"/>
      <c r="J182" s="368"/>
      <c r="K182" s="369"/>
      <c r="L182" s="366"/>
      <c r="M182" s="356"/>
      <c r="N182" s="356"/>
      <c r="O182" s="356"/>
      <c r="P182" s="356"/>
      <c r="Q182" s="610"/>
      <c r="R182" s="1226"/>
      <c r="S182" s="308"/>
      <c r="T182" s="303"/>
      <c r="U182" s="306"/>
      <c r="V182" s="307"/>
      <c r="W182" s="307"/>
      <c r="X182" s="307"/>
      <c r="Y182" s="307"/>
      <c r="Z182" s="307"/>
      <c r="AA182" s="307"/>
      <c r="AB182" s="307"/>
      <c r="AC182" s="454"/>
      <c r="AD182" s="454"/>
      <c r="AE182" s="454"/>
      <c r="AF182" s="454"/>
      <c r="AG182" s="454"/>
      <c r="AH182" s="454"/>
      <c r="AI182" s="454"/>
      <c r="AJ182" s="454"/>
      <c r="AK182" s="455"/>
      <c r="AL182" s="345"/>
      <c r="AM182" s="249"/>
      <c r="AN182" s="249"/>
      <c r="AO182" s="249"/>
      <c r="AP182" s="249"/>
      <c r="AQ182" s="249"/>
      <c r="AR182" s="249"/>
      <c r="AS182" s="250"/>
      <c r="AT182" s="250"/>
      <c r="AU182" s="250"/>
      <c r="AV182" s="250"/>
      <c r="AW182" s="250"/>
      <c r="AX182" s="250"/>
      <c r="AY182" s="250"/>
      <c r="AZ182" s="250"/>
      <c r="BA182" s="250"/>
      <c r="BB182" s="250"/>
      <c r="BC182" s="250"/>
      <c r="BD182" s="250"/>
      <c r="BE182" s="250"/>
      <c r="BF182" s="250"/>
      <c r="BG182" s="250"/>
      <c r="BH182" s="250"/>
      <c r="BI182" s="250"/>
      <c r="BJ182" s="250"/>
      <c r="BK182" s="250"/>
      <c r="BL182" s="250"/>
      <c r="BM182" s="250"/>
      <c r="BN182" s="250"/>
      <c r="BO182" s="250"/>
      <c r="BP182" s="251"/>
      <c r="BQ182" s="251"/>
      <c r="BR182" s="251"/>
      <c r="BS182" s="251"/>
      <c r="BT182" s="251"/>
      <c r="BU182" s="251"/>
      <c r="BV182" s="251"/>
      <c r="BW182" s="251"/>
      <c r="BX182" s="251"/>
      <c r="BY182" s="251"/>
      <c r="BZ182" s="251"/>
      <c r="CA182" s="251"/>
      <c r="CB182" s="251"/>
      <c r="CC182" s="251"/>
      <c r="CD182" s="251"/>
      <c r="CE182" s="251"/>
      <c r="CF182" s="251"/>
      <c r="CG182" s="251"/>
      <c r="CH182" s="251"/>
      <c r="CI182" s="251"/>
      <c r="CJ182" s="251"/>
      <c r="CK182" s="251"/>
      <c r="CL182" s="251"/>
      <c r="CM182" s="251"/>
      <c r="CN182" s="251"/>
      <c r="CO182" s="251"/>
      <c r="CP182" s="251"/>
      <c r="CQ182" s="251"/>
      <c r="CR182" s="251"/>
      <c r="CS182" s="251"/>
      <c r="CT182" s="251"/>
      <c r="CU182" s="251"/>
      <c r="CV182" s="251"/>
      <c r="CW182" s="251"/>
      <c r="CX182" s="251"/>
      <c r="CY182" s="251"/>
      <c r="CZ182" s="251"/>
      <c r="DA182" s="251"/>
      <c r="DB182" s="251"/>
      <c r="DC182" s="251"/>
      <c r="DD182" s="251"/>
      <c r="DE182" s="251"/>
      <c r="DF182" s="251"/>
      <c r="DG182" s="251"/>
      <c r="DH182" s="251"/>
      <c r="DI182" s="251"/>
      <c r="DJ182" s="251"/>
      <c r="DK182" s="251"/>
      <c r="DL182" s="251"/>
      <c r="DM182" s="251"/>
      <c r="DN182" s="251"/>
      <c r="DO182" s="251"/>
      <c r="DP182" s="251"/>
      <c r="DQ182" s="251"/>
      <c r="DR182" s="251"/>
      <c r="DS182" s="251"/>
      <c r="DT182" s="251"/>
      <c r="DU182" s="251"/>
      <c r="DV182" s="251"/>
      <c r="DW182" s="251"/>
      <c r="DX182" s="251"/>
      <c r="DY182" s="251"/>
      <c r="DZ182" s="251"/>
      <c r="EA182" s="251"/>
      <c r="EB182" s="251"/>
      <c r="EC182" s="251"/>
      <c r="ED182" s="251"/>
      <c r="EE182" s="251"/>
      <c r="EF182" s="251"/>
      <c r="EG182" s="251"/>
      <c r="EH182" s="251"/>
      <c r="EI182" s="251"/>
      <c r="EJ182" s="251"/>
      <c r="EK182" s="251"/>
      <c r="EL182" s="251"/>
      <c r="EM182" s="251"/>
      <c r="EN182" s="251"/>
      <c r="EO182" s="251"/>
      <c r="EP182" s="251"/>
      <c r="EQ182" s="251"/>
      <c r="ER182" s="251"/>
      <c r="ES182" s="251"/>
      <c r="ET182" s="251"/>
      <c r="EU182" s="251"/>
      <c r="EV182" s="251"/>
      <c r="EW182" s="251"/>
      <c r="EX182" s="251"/>
      <c r="EY182" s="251"/>
      <c r="EZ182" s="251"/>
      <c r="FA182" s="251"/>
      <c r="FB182" s="251"/>
      <c r="FC182" s="251"/>
      <c r="FD182" s="251"/>
      <c r="FE182" s="251"/>
      <c r="FF182" s="251"/>
      <c r="FG182" s="251"/>
      <c r="FH182" s="251"/>
      <c r="FI182" s="251"/>
      <c r="FJ182" s="251"/>
      <c r="FK182" s="251"/>
      <c r="FL182" s="251"/>
      <c r="FM182" s="251"/>
      <c r="FN182" s="251"/>
      <c r="FO182" s="251"/>
      <c r="FP182" s="251"/>
      <c r="FQ182" s="251"/>
      <c r="FR182" s="251"/>
      <c r="FS182" s="251"/>
      <c r="FT182" s="251"/>
      <c r="FU182" s="251"/>
      <c r="FV182" s="251"/>
      <c r="FW182" s="251"/>
      <c r="FX182" s="251"/>
      <c r="FY182" s="251"/>
      <c r="FZ182" s="251"/>
      <c r="GA182" s="251"/>
      <c r="GB182" s="251"/>
      <c r="GC182" s="251"/>
      <c r="GD182" s="251"/>
      <c r="GE182" s="251"/>
      <c r="GF182" s="251"/>
      <c r="GG182" s="251"/>
      <c r="GH182" s="251"/>
      <c r="GI182" s="251"/>
      <c r="GJ182" s="251"/>
      <c r="GK182" s="251"/>
      <c r="GL182" s="251"/>
      <c r="GM182" s="251"/>
      <c r="GN182" s="251"/>
      <c r="GO182" s="251"/>
      <c r="GP182" s="251"/>
      <c r="GQ182" s="251"/>
      <c r="GR182" s="251"/>
      <c r="GS182" s="251"/>
      <c r="GT182" s="251"/>
      <c r="GU182" s="251"/>
      <c r="GV182" s="251"/>
      <c r="GW182" s="251"/>
      <c r="GX182" s="251"/>
      <c r="GY182" s="251"/>
      <c r="GZ182" s="251"/>
      <c r="HA182" s="251"/>
      <c r="HB182" s="251"/>
      <c r="HC182" s="251"/>
      <c r="HD182" s="251"/>
      <c r="HE182" s="251"/>
      <c r="HF182" s="251"/>
      <c r="HG182" s="251"/>
      <c r="HH182" s="251"/>
      <c r="HI182" s="251"/>
      <c r="HJ182" s="251"/>
      <c r="HK182" s="251"/>
      <c r="HL182" s="251"/>
      <c r="HM182" s="251"/>
      <c r="HN182" s="251"/>
      <c r="HO182" s="251"/>
      <c r="HP182" s="251"/>
      <c r="HQ182" s="251"/>
      <c r="HR182" s="251"/>
      <c r="HS182" s="251"/>
      <c r="HT182" s="251"/>
      <c r="HU182" s="251"/>
      <c r="HV182" s="251"/>
      <c r="HW182" s="251"/>
      <c r="HX182" s="251"/>
      <c r="HY182" s="251"/>
      <c r="HZ182" s="251"/>
      <c r="IA182" s="251"/>
      <c r="IB182" s="251"/>
      <c r="IC182" s="251"/>
      <c r="ID182" s="251"/>
      <c r="IE182" s="251"/>
      <c r="IF182" s="251"/>
      <c r="IG182" s="251"/>
      <c r="IH182" s="251"/>
      <c r="II182" s="251"/>
      <c r="IJ182" s="251"/>
      <c r="IK182" s="251"/>
      <c r="IL182" s="251"/>
      <c r="IM182" s="251"/>
      <c r="IN182" s="251"/>
      <c r="IO182" s="251"/>
      <c r="IP182" s="251"/>
      <c r="IQ182" s="251"/>
      <c r="IR182" s="251"/>
      <c r="IS182" s="251"/>
      <c r="IT182" s="251"/>
      <c r="IU182" s="251"/>
      <c r="IV182" s="251"/>
      <c r="IW182" s="251"/>
      <c r="IX182" s="251"/>
      <c r="IY182" s="251"/>
      <c r="IZ182" s="251"/>
      <c r="JA182" s="251"/>
      <c r="JB182" s="251"/>
      <c r="JC182" s="251"/>
      <c r="JD182" s="251"/>
      <c r="JE182" s="251"/>
      <c r="JF182" s="251"/>
      <c r="JG182" s="251"/>
      <c r="JH182" s="251"/>
      <c r="JI182" s="251"/>
      <c r="JJ182" s="251"/>
      <c r="JK182" s="251"/>
      <c r="JL182" s="251"/>
      <c r="JM182" s="251"/>
      <c r="JN182" s="251"/>
      <c r="JO182" s="251"/>
      <c r="JP182" s="251"/>
      <c r="JQ182" s="251"/>
      <c r="JR182" s="251"/>
      <c r="JS182" s="251"/>
      <c r="JT182" s="251"/>
      <c r="JU182" s="251"/>
      <c r="JV182" s="251"/>
      <c r="JW182" s="251"/>
      <c r="JX182" s="251"/>
      <c r="JY182" s="251"/>
      <c r="JZ182" s="251"/>
      <c r="KA182" s="251"/>
      <c r="KB182" s="251"/>
      <c r="KC182" s="251"/>
      <c r="KD182" s="251"/>
      <c r="KE182" s="251"/>
      <c r="KF182" s="251"/>
      <c r="KG182" s="251"/>
      <c r="KH182" s="251"/>
      <c r="KI182" s="251"/>
      <c r="KJ182" s="251"/>
      <c r="KK182" s="251"/>
      <c r="KL182" s="251"/>
      <c r="KM182" s="251"/>
      <c r="KN182" s="251"/>
      <c r="KO182" s="251"/>
      <c r="KP182" s="251"/>
      <c r="KQ182" s="251"/>
      <c r="KR182" s="251"/>
      <c r="KS182" s="251"/>
      <c r="KT182" s="251"/>
      <c r="KU182" s="251"/>
      <c r="KV182" s="251"/>
      <c r="KW182" s="251"/>
      <c r="KX182" s="251"/>
      <c r="KY182" s="251"/>
      <c r="KZ182" s="251"/>
      <c r="LA182" s="251"/>
      <c r="LB182" s="251"/>
      <c r="LC182" s="251"/>
      <c r="LD182" s="251"/>
      <c r="LE182" s="251"/>
      <c r="LF182" s="251"/>
      <c r="LG182" s="251"/>
      <c r="LH182" s="251"/>
      <c r="LI182" s="251"/>
      <c r="LJ182" s="251"/>
      <c r="LK182" s="251"/>
      <c r="LL182" s="251"/>
      <c r="LM182" s="251"/>
      <c r="LN182" s="251"/>
      <c r="LO182" s="251"/>
      <c r="LP182" s="251"/>
      <c r="LQ182" s="251"/>
      <c r="LR182" s="251"/>
      <c r="LS182" s="251"/>
      <c r="LT182" s="251"/>
      <c r="LU182" s="251"/>
      <c r="LV182" s="251"/>
      <c r="LW182" s="251"/>
      <c r="LX182" s="251"/>
      <c r="LY182" s="251"/>
      <c r="LZ182" s="251"/>
      <c r="MA182" s="251"/>
      <c r="MB182" s="251"/>
      <c r="MC182" s="251"/>
      <c r="MD182" s="251"/>
      <c r="ME182" s="251"/>
      <c r="MF182" s="251"/>
      <c r="MG182" s="251"/>
      <c r="MH182" s="251"/>
      <c r="MI182" s="251"/>
      <c r="MJ182" s="251"/>
      <c r="MK182" s="251"/>
      <c r="ML182" s="251"/>
      <c r="MM182" s="251"/>
      <c r="MN182" s="251"/>
      <c r="MO182" s="251"/>
      <c r="MP182" s="251"/>
      <c r="MQ182" s="251"/>
      <c r="MR182" s="251"/>
      <c r="MS182" s="251"/>
      <c r="MT182" s="251"/>
      <c r="MU182" s="251"/>
      <c r="MV182" s="251"/>
      <c r="MW182" s="251"/>
      <c r="MX182" s="251"/>
      <c r="MY182" s="251"/>
      <c r="MZ182" s="251"/>
      <c r="NA182" s="251"/>
      <c r="NB182" s="251"/>
      <c r="NC182" s="251"/>
      <c r="ND182" s="251"/>
      <c r="NE182" s="251"/>
      <c r="NF182" s="251"/>
      <c r="NG182" s="251"/>
      <c r="NH182" s="251"/>
      <c r="NI182" s="251"/>
      <c r="NJ182" s="251"/>
      <c r="NK182" s="251"/>
      <c r="NL182" s="251"/>
      <c r="NM182" s="251"/>
      <c r="NN182" s="251"/>
      <c r="NO182" s="251"/>
      <c r="NP182" s="251"/>
      <c r="NQ182" s="251"/>
      <c r="NR182" s="251"/>
      <c r="NS182" s="251"/>
      <c r="NT182" s="251"/>
      <c r="NU182" s="251"/>
      <c r="NV182" s="251"/>
      <c r="NW182" s="251"/>
      <c r="NX182" s="251"/>
      <c r="NY182" s="251"/>
      <c r="NZ182" s="251"/>
      <c r="OA182" s="251"/>
      <c r="OB182" s="251"/>
      <c r="OC182" s="251"/>
      <c r="OD182" s="251"/>
      <c r="OE182" s="251"/>
      <c r="OF182" s="251"/>
      <c r="OG182" s="251"/>
      <c r="OH182" s="251"/>
      <c r="OI182" s="251"/>
      <c r="OJ182" s="251"/>
      <c r="OK182" s="251"/>
      <c r="OL182" s="251"/>
      <c r="OM182" s="251"/>
      <c r="ON182" s="251"/>
      <c r="OO182" s="251"/>
      <c r="OP182" s="251"/>
      <c r="OQ182" s="251"/>
      <c r="OR182" s="251"/>
      <c r="OS182" s="251"/>
      <c r="OT182" s="251"/>
      <c r="OU182" s="251"/>
      <c r="OV182" s="251"/>
      <c r="OW182" s="251"/>
      <c r="OX182" s="251"/>
      <c r="OY182" s="251"/>
      <c r="OZ182" s="251"/>
      <c r="PA182" s="251"/>
      <c r="PB182" s="251"/>
      <c r="PC182" s="251"/>
      <c r="PD182" s="251"/>
      <c r="PE182" s="251"/>
      <c r="PF182" s="251"/>
      <c r="PG182" s="251"/>
      <c r="PH182" s="251"/>
      <c r="PI182" s="251"/>
      <c r="PJ182" s="251"/>
      <c r="PK182" s="251"/>
      <c r="PL182" s="251"/>
      <c r="PM182" s="251"/>
      <c r="PN182" s="251"/>
      <c r="PO182" s="251"/>
      <c r="PP182" s="251"/>
      <c r="PQ182" s="251"/>
      <c r="PR182" s="251"/>
      <c r="PS182" s="251"/>
      <c r="PT182" s="251"/>
      <c r="PU182" s="251"/>
      <c r="PV182" s="251"/>
      <c r="PW182" s="251"/>
      <c r="PX182" s="251"/>
      <c r="PY182" s="251"/>
      <c r="PZ182" s="251"/>
      <c r="QA182" s="251"/>
      <c r="QB182" s="251"/>
      <c r="QC182" s="251"/>
      <c r="QD182" s="251"/>
      <c r="QE182" s="251"/>
      <c r="QF182" s="251"/>
      <c r="QG182" s="251"/>
      <c r="QH182" s="251"/>
      <c r="QI182" s="251"/>
      <c r="QJ182" s="251"/>
      <c r="QK182" s="251"/>
      <c r="QL182" s="251"/>
      <c r="QM182" s="251"/>
      <c r="QN182" s="251"/>
      <c r="QO182" s="251"/>
      <c r="QP182" s="251"/>
      <c r="QQ182" s="251"/>
      <c r="QR182" s="251"/>
      <c r="QS182" s="251"/>
      <c r="QT182" s="251"/>
      <c r="QU182" s="251"/>
      <c r="QV182" s="251"/>
      <c r="QW182" s="251"/>
      <c r="QX182" s="251"/>
      <c r="QY182" s="251"/>
      <c r="QZ182" s="251"/>
      <c r="RA182" s="251"/>
      <c r="RB182" s="251"/>
      <c r="RC182" s="251"/>
      <c r="RD182" s="251"/>
      <c r="RE182" s="251"/>
      <c r="RF182" s="251"/>
      <c r="RG182" s="251"/>
      <c r="RH182" s="251"/>
      <c r="RI182" s="251"/>
      <c r="RJ182" s="251"/>
      <c r="RK182" s="251"/>
      <c r="RL182" s="251"/>
      <c r="RM182" s="251"/>
      <c r="RN182" s="251"/>
      <c r="RO182" s="251"/>
      <c r="RP182" s="251"/>
      <c r="RQ182" s="251"/>
      <c r="RR182" s="251"/>
      <c r="RS182" s="251"/>
      <c r="RT182" s="251"/>
      <c r="RU182" s="251"/>
      <c r="RV182" s="251"/>
      <c r="RW182" s="251"/>
      <c r="RX182" s="251"/>
      <c r="RY182" s="251"/>
      <c r="RZ182" s="251"/>
      <c r="SA182" s="251"/>
      <c r="SB182" s="251"/>
      <c r="SC182" s="251"/>
      <c r="SD182" s="251"/>
      <c r="SE182" s="251"/>
      <c r="SF182" s="251"/>
      <c r="SG182" s="251"/>
      <c r="SH182" s="251"/>
      <c r="SI182" s="251"/>
      <c r="SJ182" s="251"/>
      <c r="SK182" s="251"/>
      <c r="SL182" s="251"/>
      <c r="SM182" s="251"/>
      <c r="SN182" s="251"/>
      <c r="SO182" s="251"/>
      <c r="SP182" s="251"/>
      <c r="SQ182" s="251"/>
      <c r="SR182" s="251"/>
      <c r="SS182" s="251"/>
      <c r="ST182" s="251"/>
      <c r="SU182" s="251"/>
      <c r="SV182" s="251"/>
      <c r="SW182" s="251"/>
      <c r="SX182" s="251"/>
      <c r="SY182" s="251"/>
      <c r="SZ182" s="251"/>
      <c r="TA182" s="251"/>
      <c r="TB182" s="251"/>
      <c r="TC182" s="251"/>
      <c r="TD182" s="251"/>
      <c r="TE182" s="251"/>
      <c r="TF182" s="251"/>
      <c r="TG182" s="251"/>
      <c r="TH182" s="251"/>
      <c r="TI182" s="251"/>
      <c r="TJ182" s="251"/>
      <c r="TK182" s="251"/>
      <c r="TL182" s="251"/>
      <c r="TM182" s="251"/>
      <c r="TN182" s="251"/>
      <c r="TO182" s="251"/>
      <c r="TP182" s="251"/>
      <c r="TQ182" s="251"/>
      <c r="TR182" s="251"/>
      <c r="TS182" s="251"/>
      <c r="TT182" s="251"/>
      <c r="TU182" s="251"/>
      <c r="TV182" s="251"/>
      <c r="TW182" s="251"/>
      <c r="TX182" s="251"/>
      <c r="TY182" s="251"/>
      <c r="TZ182" s="251"/>
      <c r="UA182" s="251"/>
      <c r="UB182" s="251"/>
      <c r="UC182" s="251"/>
      <c r="UD182" s="251"/>
      <c r="UE182" s="251"/>
      <c r="UF182" s="251"/>
      <c r="UG182" s="252"/>
    </row>
    <row r="183" spans="1:553" s="236" customFormat="1" ht="34.5" customHeight="1">
      <c r="A183" s="356" t="s">
        <v>66</v>
      </c>
      <c r="B183" s="356"/>
      <c r="C183" s="1558" t="s">
        <v>67</v>
      </c>
      <c r="D183" s="1389"/>
      <c r="E183" s="1389"/>
      <c r="F183" s="1390"/>
      <c r="G183" s="356"/>
      <c r="H183" s="359"/>
      <c r="I183" s="359"/>
      <c r="J183" s="357"/>
      <c r="K183" s="364"/>
      <c r="L183" s="356"/>
      <c r="M183" s="356"/>
      <c r="N183" s="356"/>
      <c r="O183" s="356"/>
      <c r="P183" s="356"/>
      <c r="Q183" s="610"/>
      <c r="R183" s="455"/>
      <c r="S183" s="308"/>
      <c r="T183" s="303"/>
      <c r="U183" s="306"/>
      <c r="V183" s="307"/>
      <c r="W183" s="307"/>
      <c r="X183" s="307"/>
      <c r="Y183" s="307"/>
      <c r="Z183" s="307"/>
      <c r="AA183" s="307"/>
      <c r="AB183" s="307"/>
      <c r="AC183" s="454"/>
      <c r="AD183" s="454"/>
      <c r="AE183" s="454"/>
      <c r="AF183" s="454"/>
      <c r="AG183" s="454"/>
      <c r="AH183" s="454"/>
      <c r="AI183" s="454"/>
      <c r="AJ183" s="454"/>
      <c r="AK183" s="455"/>
      <c r="AL183" s="345"/>
      <c r="AM183" s="249"/>
      <c r="AN183" s="249"/>
      <c r="AO183" s="249"/>
      <c r="AP183" s="249"/>
      <c r="AQ183" s="249"/>
      <c r="AR183" s="249"/>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250"/>
      <c r="BO183" s="250"/>
      <c r="BP183" s="251"/>
      <c r="BQ183" s="251"/>
      <c r="BR183" s="251"/>
      <c r="BS183" s="251"/>
      <c r="BT183" s="251"/>
      <c r="BU183" s="251"/>
      <c r="BV183" s="251"/>
      <c r="BW183" s="251"/>
      <c r="BX183" s="251"/>
      <c r="BY183" s="251"/>
      <c r="BZ183" s="251"/>
      <c r="CA183" s="251"/>
      <c r="CB183" s="251"/>
      <c r="CC183" s="251"/>
      <c r="CD183" s="251"/>
      <c r="CE183" s="251"/>
      <c r="CF183" s="251"/>
      <c r="CG183" s="251"/>
      <c r="CH183" s="251"/>
      <c r="CI183" s="251"/>
      <c r="CJ183" s="251"/>
      <c r="CK183" s="251"/>
      <c r="CL183" s="251"/>
      <c r="CM183" s="251"/>
      <c r="CN183" s="251"/>
      <c r="CO183" s="251"/>
      <c r="CP183" s="251"/>
      <c r="CQ183" s="251"/>
      <c r="CR183" s="251"/>
      <c r="CS183" s="251"/>
      <c r="CT183" s="251"/>
      <c r="CU183" s="251"/>
      <c r="CV183" s="251"/>
      <c r="CW183" s="251"/>
      <c r="CX183" s="251"/>
      <c r="CY183" s="251"/>
      <c r="CZ183" s="251"/>
      <c r="DA183" s="251"/>
      <c r="DB183" s="251"/>
      <c r="DC183" s="251"/>
      <c r="DD183" s="251"/>
      <c r="DE183" s="251"/>
      <c r="DF183" s="251"/>
      <c r="DG183" s="251"/>
      <c r="DH183" s="251"/>
      <c r="DI183" s="251"/>
      <c r="DJ183" s="251"/>
      <c r="DK183" s="251"/>
      <c r="DL183" s="251"/>
      <c r="DM183" s="251"/>
      <c r="DN183" s="251"/>
      <c r="DO183" s="251"/>
      <c r="DP183" s="251"/>
      <c r="DQ183" s="251"/>
      <c r="DR183" s="251"/>
      <c r="DS183" s="251"/>
      <c r="DT183" s="251"/>
      <c r="DU183" s="251"/>
      <c r="DV183" s="251"/>
      <c r="DW183" s="251"/>
      <c r="DX183" s="251"/>
      <c r="DY183" s="251"/>
      <c r="DZ183" s="251"/>
      <c r="EA183" s="251"/>
      <c r="EB183" s="251"/>
      <c r="EC183" s="251"/>
      <c r="ED183" s="251"/>
      <c r="EE183" s="251"/>
      <c r="EF183" s="251"/>
      <c r="EG183" s="251"/>
      <c r="EH183" s="251"/>
      <c r="EI183" s="251"/>
      <c r="EJ183" s="251"/>
      <c r="EK183" s="251"/>
      <c r="EL183" s="251"/>
      <c r="EM183" s="251"/>
      <c r="EN183" s="251"/>
      <c r="EO183" s="251"/>
      <c r="EP183" s="251"/>
      <c r="EQ183" s="251"/>
      <c r="ER183" s="251"/>
      <c r="ES183" s="251"/>
      <c r="ET183" s="251"/>
      <c r="EU183" s="251"/>
      <c r="EV183" s="251"/>
      <c r="EW183" s="251"/>
      <c r="EX183" s="251"/>
      <c r="EY183" s="251"/>
      <c r="EZ183" s="251"/>
      <c r="FA183" s="251"/>
      <c r="FB183" s="251"/>
      <c r="FC183" s="251"/>
      <c r="FD183" s="251"/>
      <c r="FE183" s="251"/>
      <c r="FF183" s="251"/>
      <c r="FG183" s="251"/>
      <c r="FH183" s="251"/>
      <c r="FI183" s="251"/>
      <c r="FJ183" s="251"/>
      <c r="FK183" s="251"/>
      <c r="FL183" s="251"/>
      <c r="FM183" s="251"/>
      <c r="FN183" s="251"/>
      <c r="FO183" s="251"/>
      <c r="FP183" s="251"/>
      <c r="FQ183" s="251"/>
      <c r="FR183" s="251"/>
      <c r="FS183" s="251"/>
      <c r="FT183" s="251"/>
      <c r="FU183" s="251"/>
      <c r="FV183" s="251"/>
      <c r="FW183" s="251"/>
      <c r="FX183" s="251"/>
      <c r="FY183" s="251"/>
      <c r="FZ183" s="251"/>
      <c r="GA183" s="251"/>
      <c r="GB183" s="251"/>
      <c r="GC183" s="251"/>
      <c r="GD183" s="251"/>
      <c r="GE183" s="251"/>
      <c r="GF183" s="251"/>
      <c r="GG183" s="251"/>
      <c r="GH183" s="251"/>
      <c r="GI183" s="251"/>
      <c r="GJ183" s="251"/>
      <c r="GK183" s="251"/>
      <c r="GL183" s="251"/>
      <c r="GM183" s="251"/>
      <c r="GN183" s="251"/>
      <c r="GO183" s="251"/>
      <c r="GP183" s="251"/>
      <c r="GQ183" s="251"/>
      <c r="GR183" s="251"/>
      <c r="GS183" s="251"/>
      <c r="GT183" s="251"/>
      <c r="GU183" s="251"/>
      <c r="GV183" s="251"/>
      <c r="GW183" s="251"/>
      <c r="GX183" s="251"/>
      <c r="GY183" s="251"/>
      <c r="GZ183" s="251"/>
      <c r="HA183" s="251"/>
      <c r="HB183" s="251"/>
      <c r="HC183" s="251"/>
      <c r="HD183" s="251"/>
      <c r="HE183" s="251"/>
      <c r="HF183" s="251"/>
      <c r="HG183" s="251"/>
      <c r="HH183" s="251"/>
      <c r="HI183" s="251"/>
      <c r="HJ183" s="251"/>
      <c r="HK183" s="251"/>
      <c r="HL183" s="251"/>
      <c r="HM183" s="251"/>
      <c r="HN183" s="251"/>
      <c r="HO183" s="251"/>
      <c r="HP183" s="251"/>
      <c r="HQ183" s="251"/>
      <c r="HR183" s="251"/>
      <c r="HS183" s="251"/>
      <c r="HT183" s="251"/>
      <c r="HU183" s="251"/>
      <c r="HV183" s="251"/>
      <c r="HW183" s="251"/>
      <c r="HX183" s="251"/>
      <c r="HY183" s="251"/>
      <c r="HZ183" s="251"/>
      <c r="IA183" s="251"/>
      <c r="IB183" s="251"/>
      <c r="IC183" s="251"/>
      <c r="ID183" s="251"/>
      <c r="IE183" s="251"/>
      <c r="IF183" s="251"/>
      <c r="IG183" s="251"/>
      <c r="IH183" s="251"/>
      <c r="II183" s="251"/>
      <c r="IJ183" s="251"/>
      <c r="IK183" s="251"/>
      <c r="IL183" s="251"/>
      <c r="IM183" s="251"/>
      <c r="IN183" s="251"/>
      <c r="IO183" s="251"/>
      <c r="IP183" s="251"/>
      <c r="IQ183" s="251"/>
      <c r="IR183" s="251"/>
      <c r="IS183" s="251"/>
      <c r="IT183" s="251"/>
      <c r="IU183" s="251"/>
      <c r="IV183" s="251"/>
      <c r="IW183" s="251"/>
      <c r="IX183" s="251"/>
      <c r="IY183" s="251"/>
      <c r="IZ183" s="251"/>
      <c r="JA183" s="251"/>
      <c r="JB183" s="251"/>
      <c r="JC183" s="251"/>
      <c r="JD183" s="251"/>
      <c r="JE183" s="251"/>
      <c r="JF183" s="251"/>
      <c r="JG183" s="251"/>
      <c r="JH183" s="251"/>
      <c r="JI183" s="251"/>
      <c r="JJ183" s="251"/>
      <c r="JK183" s="251"/>
      <c r="JL183" s="251"/>
      <c r="JM183" s="251"/>
      <c r="JN183" s="251"/>
      <c r="JO183" s="251"/>
      <c r="JP183" s="251"/>
      <c r="JQ183" s="251"/>
      <c r="JR183" s="251"/>
      <c r="JS183" s="251"/>
      <c r="JT183" s="251"/>
      <c r="JU183" s="251"/>
      <c r="JV183" s="251"/>
      <c r="JW183" s="251"/>
      <c r="JX183" s="251"/>
      <c r="JY183" s="251"/>
      <c r="JZ183" s="251"/>
      <c r="KA183" s="251"/>
      <c r="KB183" s="251"/>
      <c r="KC183" s="251"/>
      <c r="KD183" s="251"/>
      <c r="KE183" s="251"/>
      <c r="KF183" s="251"/>
      <c r="KG183" s="251"/>
      <c r="KH183" s="251"/>
      <c r="KI183" s="251"/>
      <c r="KJ183" s="251"/>
      <c r="KK183" s="251"/>
      <c r="KL183" s="251"/>
      <c r="KM183" s="251"/>
      <c r="KN183" s="251"/>
      <c r="KO183" s="251"/>
      <c r="KP183" s="251"/>
      <c r="KQ183" s="251"/>
      <c r="KR183" s="251"/>
      <c r="KS183" s="251"/>
      <c r="KT183" s="251"/>
      <c r="KU183" s="251"/>
      <c r="KV183" s="251"/>
      <c r="KW183" s="251"/>
      <c r="KX183" s="251"/>
      <c r="KY183" s="251"/>
      <c r="KZ183" s="251"/>
      <c r="LA183" s="251"/>
      <c r="LB183" s="251"/>
      <c r="LC183" s="251"/>
      <c r="LD183" s="251"/>
      <c r="LE183" s="251"/>
      <c r="LF183" s="251"/>
      <c r="LG183" s="251"/>
      <c r="LH183" s="251"/>
      <c r="LI183" s="251"/>
      <c r="LJ183" s="251"/>
      <c r="LK183" s="251"/>
      <c r="LL183" s="251"/>
      <c r="LM183" s="251"/>
      <c r="LN183" s="251"/>
      <c r="LO183" s="251"/>
      <c r="LP183" s="251"/>
      <c r="LQ183" s="251"/>
      <c r="LR183" s="251"/>
      <c r="LS183" s="251"/>
      <c r="LT183" s="251"/>
      <c r="LU183" s="251"/>
      <c r="LV183" s="251"/>
      <c r="LW183" s="251"/>
      <c r="LX183" s="251"/>
      <c r="LY183" s="251"/>
      <c r="LZ183" s="251"/>
      <c r="MA183" s="251"/>
      <c r="MB183" s="251"/>
      <c r="MC183" s="251"/>
      <c r="MD183" s="251"/>
      <c r="ME183" s="251"/>
      <c r="MF183" s="251"/>
      <c r="MG183" s="251"/>
      <c r="MH183" s="251"/>
      <c r="MI183" s="251"/>
      <c r="MJ183" s="251"/>
      <c r="MK183" s="251"/>
      <c r="ML183" s="251"/>
      <c r="MM183" s="251"/>
      <c r="MN183" s="251"/>
      <c r="MO183" s="251"/>
      <c r="MP183" s="251"/>
      <c r="MQ183" s="251"/>
      <c r="MR183" s="251"/>
      <c r="MS183" s="251"/>
      <c r="MT183" s="251"/>
      <c r="MU183" s="251"/>
      <c r="MV183" s="251"/>
      <c r="MW183" s="251"/>
      <c r="MX183" s="251"/>
      <c r="MY183" s="251"/>
      <c r="MZ183" s="251"/>
      <c r="NA183" s="251"/>
      <c r="NB183" s="251"/>
      <c r="NC183" s="251"/>
      <c r="ND183" s="251"/>
      <c r="NE183" s="251"/>
      <c r="NF183" s="251"/>
      <c r="NG183" s="251"/>
      <c r="NH183" s="251"/>
      <c r="NI183" s="251"/>
      <c r="NJ183" s="251"/>
      <c r="NK183" s="251"/>
      <c r="NL183" s="251"/>
      <c r="NM183" s="251"/>
      <c r="NN183" s="251"/>
      <c r="NO183" s="251"/>
      <c r="NP183" s="251"/>
      <c r="NQ183" s="251"/>
      <c r="NR183" s="251"/>
      <c r="NS183" s="251"/>
      <c r="NT183" s="251"/>
      <c r="NU183" s="251"/>
      <c r="NV183" s="251"/>
      <c r="NW183" s="251"/>
      <c r="NX183" s="251"/>
      <c r="NY183" s="251"/>
      <c r="NZ183" s="251"/>
      <c r="OA183" s="251"/>
      <c r="OB183" s="251"/>
      <c r="OC183" s="251"/>
      <c r="OD183" s="251"/>
      <c r="OE183" s="251"/>
      <c r="OF183" s="251"/>
      <c r="OG183" s="251"/>
      <c r="OH183" s="251"/>
      <c r="OI183" s="251"/>
      <c r="OJ183" s="251"/>
      <c r="OK183" s="251"/>
      <c r="OL183" s="251"/>
      <c r="OM183" s="251"/>
      <c r="ON183" s="251"/>
      <c r="OO183" s="251"/>
      <c r="OP183" s="251"/>
      <c r="OQ183" s="251"/>
      <c r="OR183" s="251"/>
      <c r="OS183" s="251"/>
      <c r="OT183" s="251"/>
      <c r="OU183" s="251"/>
      <c r="OV183" s="251"/>
      <c r="OW183" s="251"/>
      <c r="OX183" s="251"/>
      <c r="OY183" s="251"/>
      <c r="OZ183" s="251"/>
      <c r="PA183" s="251"/>
      <c r="PB183" s="251"/>
      <c r="PC183" s="251"/>
      <c r="PD183" s="251"/>
      <c r="PE183" s="251"/>
      <c r="PF183" s="251"/>
      <c r="PG183" s="251"/>
      <c r="PH183" s="251"/>
      <c r="PI183" s="251"/>
      <c r="PJ183" s="251"/>
      <c r="PK183" s="251"/>
      <c r="PL183" s="251"/>
      <c r="PM183" s="251"/>
      <c r="PN183" s="251"/>
      <c r="PO183" s="251"/>
      <c r="PP183" s="251"/>
      <c r="PQ183" s="251"/>
      <c r="PR183" s="251"/>
      <c r="PS183" s="251"/>
      <c r="PT183" s="251"/>
      <c r="PU183" s="251"/>
      <c r="PV183" s="251"/>
      <c r="PW183" s="251"/>
      <c r="PX183" s="251"/>
      <c r="PY183" s="251"/>
      <c r="PZ183" s="251"/>
      <c r="QA183" s="251"/>
      <c r="QB183" s="251"/>
      <c r="QC183" s="251"/>
      <c r="QD183" s="251"/>
      <c r="QE183" s="251"/>
      <c r="QF183" s="251"/>
      <c r="QG183" s="251"/>
      <c r="QH183" s="251"/>
      <c r="QI183" s="251"/>
      <c r="QJ183" s="251"/>
      <c r="QK183" s="251"/>
      <c r="QL183" s="251"/>
      <c r="QM183" s="251"/>
      <c r="QN183" s="251"/>
      <c r="QO183" s="251"/>
      <c r="QP183" s="251"/>
      <c r="QQ183" s="251"/>
      <c r="QR183" s="251"/>
      <c r="QS183" s="251"/>
      <c r="QT183" s="251"/>
      <c r="QU183" s="251"/>
      <c r="QV183" s="251"/>
      <c r="QW183" s="251"/>
      <c r="QX183" s="251"/>
      <c r="QY183" s="251"/>
      <c r="QZ183" s="251"/>
      <c r="RA183" s="251"/>
      <c r="RB183" s="251"/>
      <c r="RC183" s="251"/>
      <c r="RD183" s="251"/>
      <c r="RE183" s="251"/>
      <c r="RF183" s="251"/>
      <c r="RG183" s="251"/>
      <c r="RH183" s="251"/>
      <c r="RI183" s="251"/>
      <c r="RJ183" s="251"/>
      <c r="RK183" s="251"/>
      <c r="RL183" s="251"/>
      <c r="RM183" s="251"/>
      <c r="RN183" s="251"/>
      <c r="RO183" s="251"/>
      <c r="RP183" s="251"/>
      <c r="RQ183" s="251"/>
      <c r="RR183" s="251"/>
      <c r="RS183" s="251"/>
      <c r="RT183" s="251"/>
      <c r="RU183" s="251"/>
      <c r="RV183" s="251"/>
      <c r="RW183" s="251"/>
      <c r="RX183" s="251"/>
      <c r="RY183" s="251"/>
      <c r="RZ183" s="251"/>
      <c r="SA183" s="251"/>
      <c r="SB183" s="251"/>
      <c r="SC183" s="251"/>
      <c r="SD183" s="251"/>
      <c r="SE183" s="251"/>
      <c r="SF183" s="251"/>
      <c r="SG183" s="251"/>
      <c r="SH183" s="251"/>
      <c r="SI183" s="251"/>
      <c r="SJ183" s="251"/>
      <c r="SK183" s="251"/>
      <c r="SL183" s="251"/>
      <c r="SM183" s="251"/>
      <c r="SN183" s="251"/>
      <c r="SO183" s="251"/>
      <c r="SP183" s="251"/>
      <c r="SQ183" s="251"/>
      <c r="SR183" s="251"/>
      <c r="SS183" s="251"/>
      <c r="ST183" s="251"/>
      <c r="SU183" s="251"/>
      <c r="SV183" s="251"/>
      <c r="SW183" s="251"/>
      <c r="SX183" s="251"/>
      <c r="SY183" s="251"/>
      <c r="SZ183" s="251"/>
      <c r="TA183" s="251"/>
      <c r="TB183" s="251"/>
      <c r="TC183" s="251"/>
      <c r="TD183" s="251"/>
      <c r="TE183" s="251"/>
      <c r="TF183" s="251"/>
      <c r="TG183" s="251"/>
      <c r="TH183" s="251"/>
      <c r="TI183" s="251"/>
      <c r="TJ183" s="251"/>
      <c r="TK183" s="251"/>
      <c r="TL183" s="251"/>
      <c r="TM183" s="251"/>
      <c r="TN183" s="251"/>
      <c r="TO183" s="251"/>
      <c r="TP183" s="251"/>
      <c r="TQ183" s="251"/>
      <c r="TR183" s="251"/>
      <c r="TS183" s="251"/>
      <c r="TT183" s="251"/>
      <c r="TU183" s="251"/>
      <c r="TV183" s="251"/>
      <c r="TW183" s="251"/>
      <c r="TX183" s="251"/>
      <c r="TY183" s="251"/>
      <c r="TZ183" s="251"/>
      <c r="UA183" s="251"/>
      <c r="UB183" s="251"/>
      <c r="UC183" s="251"/>
      <c r="UD183" s="251"/>
      <c r="UE183" s="251"/>
      <c r="UF183" s="251"/>
      <c r="UG183" s="252"/>
    </row>
    <row r="184" spans="1:553" s="236" customFormat="1" ht="129.75" customHeight="1">
      <c r="A184" s="356" t="s">
        <v>15</v>
      </c>
      <c r="B184" s="366"/>
      <c r="C184" s="1414" t="s">
        <v>818</v>
      </c>
      <c r="D184" s="1389"/>
      <c r="E184" s="1389"/>
      <c r="F184" s="1390"/>
      <c r="G184" s="366" t="s">
        <v>68</v>
      </c>
      <c r="H184" s="370"/>
      <c r="I184" s="370">
        <v>1</v>
      </c>
      <c r="J184" s="368"/>
      <c r="K184" s="371"/>
      <c r="L184" s="366"/>
      <c r="M184" s="366"/>
      <c r="N184" s="366"/>
      <c r="O184" s="366"/>
      <c r="P184" s="366"/>
      <c r="Q184" s="812"/>
      <c r="R184" s="421" t="s">
        <v>1042</v>
      </c>
      <c r="S184" s="308"/>
      <c r="T184" s="303"/>
      <c r="U184" s="306"/>
      <c r="V184" s="307"/>
      <c r="W184" s="307"/>
      <c r="X184" s="307"/>
      <c r="Y184" s="307"/>
      <c r="Z184" s="307"/>
      <c r="AA184" s="307"/>
      <c r="AB184" s="307"/>
      <c r="AC184" s="449"/>
      <c r="AD184" s="449"/>
      <c r="AE184" s="449"/>
      <c r="AF184" s="449"/>
      <c r="AG184" s="449"/>
      <c r="AH184" s="449"/>
      <c r="AI184" s="449"/>
      <c r="AJ184" s="449"/>
      <c r="AK184" s="452"/>
      <c r="AL184" s="242"/>
      <c r="AM184" s="241"/>
      <c r="AN184" s="241"/>
      <c r="AO184" s="241"/>
      <c r="AP184" s="241"/>
      <c r="AQ184" s="241"/>
      <c r="AR184" s="241"/>
      <c r="AS184" s="238"/>
      <c r="AT184" s="238"/>
      <c r="AU184" s="238"/>
      <c r="AV184" s="238"/>
      <c r="AW184" s="238"/>
      <c r="AX184" s="238"/>
      <c r="AY184" s="238"/>
      <c r="AZ184" s="238"/>
      <c r="BA184" s="238"/>
      <c r="BB184" s="238"/>
      <c r="BC184" s="238"/>
      <c r="BD184" s="238"/>
      <c r="BE184" s="238"/>
      <c r="BF184" s="238"/>
      <c r="BG184" s="238"/>
      <c r="BH184" s="238"/>
      <c r="BI184" s="238"/>
      <c r="BJ184" s="238"/>
      <c r="BK184" s="238"/>
      <c r="BL184" s="238"/>
      <c r="BM184" s="238"/>
      <c r="BN184" s="238"/>
      <c r="BO184" s="238"/>
      <c r="BP184" s="239"/>
      <c r="BQ184" s="239"/>
      <c r="BR184" s="239"/>
      <c r="BS184" s="239"/>
      <c r="BT184" s="239"/>
      <c r="BU184" s="239"/>
      <c r="BV184" s="239"/>
      <c r="BW184" s="239"/>
      <c r="BX184" s="239"/>
      <c r="BY184" s="239"/>
      <c r="BZ184" s="239"/>
      <c r="CA184" s="239"/>
      <c r="CB184" s="239"/>
      <c r="CC184" s="239"/>
      <c r="CD184" s="239"/>
      <c r="CE184" s="239"/>
      <c r="CF184" s="239"/>
      <c r="CG184" s="239"/>
      <c r="CH184" s="239"/>
      <c r="CI184" s="239"/>
      <c r="CJ184" s="239"/>
      <c r="CK184" s="239"/>
      <c r="CL184" s="239"/>
      <c r="CM184" s="239"/>
      <c r="CN184" s="239"/>
      <c r="CO184" s="239"/>
      <c r="CP184" s="239"/>
      <c r="CQ184" s="239"/>
      <c r="CR184" s="239"/>
      <c r="CS184" s="239"/>
      <c r="CT184" s="239"/>
      <c r="CU184" s="239"/>
      <c r="CV184" s="239"/>
      <c r="CW184" s="239"/>
      <c r="CX184" s="239"/>
      <c r="CY184" s="239"/>
      <c r="CZ184" s="239"/>
      <c r="DA184" s="239"/>
      <c r="DB184" s="239"/>
      <c r="DC184" s="239"/>
      <c r="DD184" s="239"/>
      <c r="DE184" s="239"/>
      <c r="DF184" s="239"/>
      <c r="DG184" s="239"/>
      <c r="DH184" s="239"/>
      <c r="DI184" s="239"/>
      <c r="DJ184" s="239"/>
      <c r="DK184" s="239"/>
      <c r="DL184" s="239"/>
      <c r="DM184" s="239"/>
      <c r="DN184" s="239"/>
      <c r="DO184" s="239"/>
      <c r="DP184" s="239"/>
      <c r="DQ184" s="239"/>
      <c r="DR184" s="239"/>
      <c r="DS184" s="239"/>
      <c r="DT184" s="239"/>
      <c r="DU184" s="239"/>
      <c r="DV184" s="239"/>
      <c r="DW184" s="239"/>
      <c r="DX184" s="239"/>
      <c r="DY184" s="239"/>
      <c r="DZ184" s="239"/>
      <c r="EA184" s="239"/>
      <c r="EB184" s="239"/>
      <c r="EC184" s="239"/>
      <c r="ED184" s="239"/>
      <c r="EE184" s="239"/>
      <c r="EF184" s="239"/>
      <c r="EG184" s="239"/>
      <c r="EH184" s="239"/>
      <c r="EI184" s="239"/>
      <c r="EJ184" s="239"/>
      <c r="EK184" s="239"/>
      <c r="EL184" s="239"/>
      <c r="EM184" s="239"/>
      <c r="EN184" s="239"/>
      <c r="EO184" s="239"/>
      <c r="EP184" s="239"/>
      <c r="EQ184" s="239"/>
      <c r="ER184" s="239"/>
      <c r="ES184" s="239"/>
      <c r="ET184" s="239"/>
      <c r="EU184" s="239"/>
      <c r="EV184" s="239"/>
      <c r="EW184" s="239"/>
      <c r="EX184" s="239"/>
      <c r="EY184" s="239"/>
      <c r="EZ184" s="239"/>
      <c r="FA184" s="239"/>
      <c r="FB184" s="239"/>
      <c r="FC184" s="239"/>
      <c r="FD184" s="239"/>
      <c r="FE184" s="239"/>
      <c r="FF184" s="239"/>
      <c r="FG184" s="239"/>
      <c r="FH184" s="239"/>
      <c r="FI184" s="239"/>
      <c r="FJ184" s="239"/>
      <c r="FK184" s="239"/>
      <c r="FL184" s="239"/>
      <c r="FM184" s="239"/>
      <c r="FN184" s="239"/>
      <c r="FO184" s="239"/>
      <c r="FP184" s="239"/>
      <c r="FQ184" s="239"/>
      <c r="FR184" s="239"/>
      <c r="FS184" s="239"/>
      <c r="FT184" s="239"/>
      <c r="FU184" s="239"/>
      <c r="FV184" s="239"/>
      <c r="FW184" s="239"/>
      <c r="FX184" s="239"/>
      <c r="FY184" s="239"/>
      <c r="FZ184" s="239"/>
      <c r="GA184" s="239"/>
      <c r="GB184" s="239"/>
      <c r="GC184" s="239"/>
      <c r="GD184" s="239"/>
      <c r="GE184" s="239"/>
      <c r="GF184" s="239"/>
      <c r="GG184" s="239"/>
      <c r="GH184" s="239"/>
      <c r="GI184" s="239"/>
      <c r="GJ184" s="239"/>
      <c r="GK184" s="239"/>
      <c r="GL184" s="239"/>
      <c r="GM184" s="239"/>
      <c r="GN184" s="239"/>
      <c r="GO184" s="239"/>
      <c r="GP184" s="239"/>
      <c r="GQ184" s="239"/>
      <c r="GR184" s="239"/>
      <c r="GS184" s="239"/>
      <c r="GT184" s="239"/>
      <c r="GU184" s="239"/>
      <c r="GV184" s="239"/>
      <c r="GW184" s="239"/>
      <c r="GX184" s="239"/>
      <c r="GY184" s="239"/>
      <c r="GZ184" s="239"/>
      <c r="HA184" s="239"/>
      <c r="HB184" s="239"/>
      <c r="HC184" s="239"/>
      <c r="HD184" s="239"/>
      <c r="HE184" s="239"/>
      <c r="HF184" s="239"/>
      <c r="HG184" s="239"/>
      <c r="HH184" s="239"/>
      <c r="HI184" s="239"/>
      <c r="HJ184" s="239"/>
      <c r="HK184" s="239"/>
      <c r="HL184" s="239"/>
      <c r="HM184" s="239"/>
      <c r="HN184" s="239"/>
      <c r="HO184" s="239"/>
      <c r="HP184" s="239"/>
      <c r="HQ184" s="239"/>
      <c r="HR184" s="239"/>
      <c r="HS184" s="239"/>
      <c r="HT184" s="239"/>
      <c r="HU184" s="239"/>
      <c r="HV184" s="239"/>
      <c r="HW184" s="239"/>
      <c r="HX184" s="239"/>
      <c r="HY184" s="239"/>
      <c r="HZ184" s="239"/>
      <c r="IA184" s="239"/>
      <c r="IB184" s="239"/>
      <c r="IC184" s="239"/>
      <c r="ID184" s="239"/>
      <c r="IE184" s="239"/>
      <c r="IF184" s="239"/>
      <c r="IG184" s="239"/>
      <c r="IH184" s="239"/>
      <c r="II184" s="239"/>
      <c r="IJ184" s="239"/>
      <c r="IK184" s="239"/>
      <c r="IL184" s="239"/>
      <c r="IM184" s="239"/>
      <c r="IN184" s="239"/>
      <c r="IO184" s="239"/>
      <c r="IP184" s="239"/>
      <c r="IQ184" s="239"/>
      <c r="IR184" s="239"/>
      <c r="IS184" s="239"/>
      <c r="IT184" s="239"/>
      <c r="IU184" s="239"/>
      <c r="IV184" s="239"/>
      <c r="IW184" s="239"/>
      <c r="IX184" s="239"/>
      <c r="IY184" s="239"/>
      <c r="IZ184" s="239"/>
      <c r="JA184" s="239"/>
      <c r="JB184" s="239"/>
      <c r="JC184" s="239"/>
      <c r="JD184" s="239"/>
      <c r="JE184" s="239"/>
      <c r="JF184" s="239"/>
      <c r="JG184" s="239"/>
      <c r="JH184" s="239"/>
      <c r="JI184" s="239"/>
      <c r="JJ184" s="239"/>
      <c r="JK184" s="239"/>
      <c r="JL184" s="239"/>
      <c r="JM184" s="239"/>
      <c r="JN184" s="239"/>
      <c r="JO184" s="239"/>
      <c r="JP184" s="239"/>
      <c r="JQ184" s="239"/>
      <c r="JR184" s="239"/>
      <c r="JS184" s="239"/>
      <c r="JT184" s="239"/>
      <c r="JU184" s="239"/>
      <c r="JV184" s="239"/>
      <c r="JW184" s="239"/>
      <c r="JX184" s="239"/>
      <c r="JY184" s="239"/>
      <c r="JZ184" s="239"/>
      <c r="KA184" s="239"/>
      <c r="KB184" s="239"/>
      <c r="KC184" s="239"/>
      <c r="KD184" s="239"/>
      <c r="KE184" s="239"/>
      <c r="KF184" s="239"/>
      <c r="KG184" s="239"/>
      <c r="KH184" s="239"/>
      <c r="KI184" s="239"/>
      <c r="KJ184" s="239"/>
      <c r="KK184" s="239"/>
      <c r="KL184" s="239"/>
      <c r="KM184" s="239"/>
      <c r="KN184" s="239"/>
      <c r="KO184" s="239"/>
      <c r="KP184" s="239"/>
      <c r="KQ184" s="239"/>
      <c r="KR184" s="239"/>
      <c r="KS184" s="239"/>
      <c r="KT184" s="239"/>
      <c r="KU184" s="239"/>
      <c r="KV184" s="239"/>
      <c r="KW184" s="239"/>
      <c r="KX184" s="239"/>
      <c r="KY184" s="239"/>
      <c r="KZ184" s="239"/>
      <c r="LA184" s="239"/>
      <c r="LB184" s="239"/>
      <c r="LC184" s="239"/>
      <c r="LD184" s="239"/>
      <c r="LE184" s="239"/>
      <c r="LF184" s="239"/>
      <c r="LG184" s="239"/>
      <c r="LH184" s="239"/>
      <c r="LI184" s="239"/>
      <c r="LJ184" s="239"/>
      <c r="LK184" s="239"/>
      <c r="LL184" s="239"/>
      <c r="LM184" s="239"/>
      <c r="LN184" s="239"/>
      <c r="LO184" s="239"/>
      <c r="LP184" s="239"/>
      <c r="LQ184" s="239"/>
      <c r="LR184" s="239"/>
      <c r="LS184" s="239"/>
      <c r="LT184" s="239"/>
      <c r="LU184" s="239"/>
      <c r="LV184" s="239"/>
      <c r="LW184" s="239"/>
      <c r="LX184" s="239"/>
      <c r="LY184" s="239"/>
      <c r="LZ184" s="239"/>
      <c r="MA184" s="239"/>
      <c r="MB184" s="239"/>
      <c r="MC184" s="239"/>
      <c r="MD184" s="239"/>
      <c r="ME184" s="239"/>
      <c r="MF184" s="239"/>
      <c r="MG184" s="239"/>
      <c r="MH184" s="239"/>
      <c r="MI184" s="239"/>
      <c r="MJ184" s="239"/>
      <c r="MK184" s="239"/>
      <c r="ML184" s="239"/>
      <c r="MM184" s="239"/>
      <c r="MN184" s="239"/>
      <c r="MO184" s="239"/>
      <c r="MP184" s="239"/>
      <c r="MQ184" s="239"/>
      <c r="MR184" s="239"/>
      <c r="MS184" s="239"/>
      <c r="MT184" s="239"/>
      <c r="MU184" s="239"/>
      <c r="MV184" s="239"/>
      <c r="MW184" s="239"/>
      <c r="MX184" s="239"/>
      <c r="MY184" s="239"/>
      <c r="MZ184" s="239"/>
      <c r="NA184" s="239"/>
      <c r="NB184" s="239"/>
      <c r="NC184" s="239"/>
      <c r="ND184" s="239"/>
      <c r="NE184" s="239"/>
      <c r="NF184" s="239"/>
      <c r="NG184" s="239"/>
      <c r="NH184" s="239"/>
      <c r="NI184" s="239"/>
      <c r="NJ184" s="239"/>
      <c r="NK184" s="239"/>
      <c r="NL184" s="239"/>
      <c r="NM184" s="239"/>
      <c r="NN184" s="239"/>
      <c r="NO184" s="239"/>
      <c r="NP184" s="239"/>
      <c r="NQ184" s="239"/>
      <c r="NR184" s="239"/>
      <c r="NS184" s="239"/>
      <c r="NT184" s="239"/>
      <c r="NU184" s="239"/>
      <c r="NV184" s="239"/>
      <c r="NW184" s="239"/>
      <c r="NX184" s="239"/>
      <c r="NY184" s="239"/>
      <c r="NZ184" s="239"/>
      <c r="OA184" s="239"/>
      <c r="OB184" s="239"/>
      <c r="OC184" s="239"/>
      <c r="OD184" s="239"/>
      <c r="OE184" s="239"/>
      <c r="OF184" s="239"/>
      <c r="OG184" s="239"/>
      <c r="OH184" s="239"/>
      <c r="OI184" s="239"/>
      <c r="OJ184" s="239"/>
      <c r="OK184" s="239"/>
      <c r="OL184" s="239"/>
      <c r="OM184" s="239"/>
      <c r="ON184" s="239"/>
      <c r="OO184" s="239"/>
      <c r="OP184" s="239"/>
      <c r="OQ184" s="239"/>
      <c r="OR184" s="239"/>
      <c r="OS184" s="239"/>
      <c r="OT184" s="239"/>
      <c r="OU184" s="239"/>
      <c r="OV184" s="239"/>
      <c r="OW184" s="239"/>
      <c r="OX184" s="239"/>
      <c r="OY184" s="239"/>
      <c r="OZ184" s="239"/>
      <c r="PA184" s="239"/>
      <c r="PB184" s="239"/>
      <c r="PC184" s="239"/>
      <c r="PD184" s="239"/>
      <c r="PE184" s="239"/>
      <c r="PF184" s="239"/>
      <c r="PG184" s="239"/>
      <c r="PH184" s="239"/>
      <c r="PI184" s="239"/>
      <c r="PJ184" s="239"/>
      <c r="PK184" s="239"/>
      <c r="PL184" s="239"/>
      <c r="PM184" s="239"/>
      <c r="PN184" s="239"/>
      <c r="PO184" s="239"/>
      <c r="PP184" s="239"/>
      <c r="PQ184" s="239"/>
      <c r="PR184" s="239"/>
      <c r="PS184" s="239"/>
      <c r="PT184" s="239"/>
      <c r="PU184" s="239"/>
      <c r="PV184" s="239"/>
      <c r="PW184" s="239"/>
      <c r="PX184" s="239"/>
      <c r="PY184" s="239"/>
      <c r="PZ184" s="239"/>
      <c r="QA184" s="239"/>
      <c r="QB184" s="239"/>
      <c r="QC184" s="239"/>
      <c r="QD184" s="239"/>
      <c r="QE184" s="239"/>
      <c r="QF184" s="239"/>
      <c r="QG184" s="239"/>
      <c r="QH184" s="239"/>
      <c r="QI184" s="239"/>
      <c r="QJ184" s="239"/>
      <c r="QK184" s="239"/>
      <c r="QL184" s="239"/>
      <c r="QM184" s="239"/>
      <c r="QN184" s="239"/>
      <c r="QO184" s="239"/>
      <c r="QP184" s="239"/>
      <c r="QQ184" s="239"/>
      <c r="QR184" s="239"/>
      <c r="QS184" s="239"/>
      <c r="QT184" s="239"/>
      <c r="QU184" s="239"/>
      <c r="QV184" s="239"/>
      <c r="QW184" s="239"/>
      <c r="QX184" s="239"/>
      <c r="QY184" s="239"/>
      <c r="QZ184" s="239"/>
      <c r="RA184" s="239"/>
      <c r="RB184" s="239"/>
      <c r="RC184" s="239"/>
      <c r="RD184" s="239"/>
      <c r="RE184" s="239"/>
      <c r="RF184" s="239"/>
      <c r="RG184" s="239"/>
      <c r="RH184" s="239"/>
      <c r="RI184" s="239"/>
      <c r="RJ184" s="239"/>
      <c r="RK184" s="239"/>
      <c r="RL184" s="239"/>
      <c r="RM184" s="239"/>
      <c r="RN184" s="239"/>
      <c r="RO184" s="239"/>
      <c r="RP184" s="239"/>
      <c r="RQ184" s="239"/>
      <c r="RR184" s="239"/>
      <c r="RS184" s="239"/>
      <c r="RT184" s="239"/>
      <c r="RU184" s="239"/>
      <c r="RV184" s="239"/>
      <c r="RW184" s="239"/>
      <c r="RX184" s="239"/>
      <c r="RY184" s="239"/>
      <c r="RZ184" s="239"/>
      <c r="SA184" s="239"/>
      <c r="SB184" s="239"/>
      <c r="SC184" s="239"/>
      <c r="SD184" s="239"/>
      <c r="SE184" s="239"/>
      <c r="SF184" s="239"/>
      <c r="SG184" s="239"/>
      <c r="SH184" s="239"/>
      <c r="SI184" s="239"/>
      <c r="SJ184" s="239"/>
      <c r="SK184" s="239"/>
      <c r="SL184" s="239"/>
      <c r="SM184" s="239"/>
      <c r="SN184" s="239"/>
      <c r="SO184" s="239"/>
      <c r="SP184" s="239"/>
      <c r="SQ184" s="239"/>
      <c r="SR184" s="239"/>
      <c r="SS184" s="239"/>
      <c r="ST184" s="239"/>
      <c r="SU184" s="239"/>
      <c r="SV184" s="239"/>
      <c r="SW184" s="239"/>
      <c r="SX184" s="239"/>
      <c r="SY184" s="239"/>
      <c r="SZ184" s="239"/>
      <c r="TA184" s="239"/>
      <c r="TB184" s="239"/>
      <c r="TC184" s="239"/>
      <c r="TD184" s="239"/>
      <c r="TE184" s="239"/>
      <c r="TF184" s="239"/>
      <c r="TG184" s="239"/>
      <c r="TH184" s="239"/>
      <c r="TI184" s="239"/>
      <c r="TJ184" s="239"/>
      <c r="TK184" s="239"/>
      <c r="TL184" s="239"/>
      <c r="TM184" s="239"/>
      <c r="TN184" s="239"/>
      <c r="TO184" s="239"/>
      <c r="TP184" s="239"/>
      <c r="TQ184" s="239"/>
      <c r="TR184" s="239"/>
      <c r="TS184" s="239"/>
      <c r="TT184" s="239"/>
      <c r="TU184" s="239"/>
      <c r="TV184" s="239"/>
      <c r="TW184" s="239"/>
      <c r="TX184" s="239"/>
      <c r="TY184" s="239"/>
      <c r="TZ184" s="239"/>
      <c r="UA184" s="239"/>
      <c r="UB184" s="239"/>
      <c r="UC184" s="239"/>
      <c r="UD184" s="239"/>
      <c r="UE184" s="239"/>
      <c r="UF184" s="239"/>
      <c r="UG184" s="240"/>
    </row>
    <row r="185" spans="1:553" s="162" customFormat="1" ht="110.25" customHeight="1">
      <c r="A185" s="431">
        <v>3</v>
      </c>
      <c r="B185" s="431"/>
      <c r="C185" s="1131" t="s">
        <v>209</v>
      </c>
      <c r="D185" s="1211"/>
      <c r="E185" s="1211"/>
      <c r="F185" s="1212"/>
      <c r="G185" s="431"/>
      <c r="H185" s="432"/>
      <c r="I185" s="432"/>
      <c r="J185" s="983"/>
      <c r="K185" s="433"/>
      <c r="L185" s="488">
        <f>SUM(L186:L307)/2</f>
        <v>1662167178.9291</v>
      </c>
      <c r="M185" s="431"/>
      <c r="N185" s="431"/>
      <c r="O185" s="431"/>
      <c r="P185" s="431">
        <f>P189+P212+P243+P275+P278+P300+P303</f>
        <v>1662167178.9291</v>
      </c>
      <c r="Q185" s="815"/>
      <c r="R185" s="1241"/>
      <c r="S185" s="308" t="s">
        <v>845</v>
      </c>
      <c r="T185" s="303" t="s">
        <v>1316</v>
      </c>
      <c r="U185" s="306">
        <f>H189</f>
        <v>5094.9000000000005</v>
      </c>
      <c r="V185" s="307">
        <f>I189</f>
        <v>5094.9000000000005</v>
      </c>
      <c r="W185" s="307">
        <f>SUM(W187:W211)</f>
        <v>1566.5</v>
      </c>
      <c r="X185" s="307">
        <f t="shared" ref="X185:AA185" si="38">SUM(X187:X211)</f>
        <v>1946.9999999999998</v>
      </c>
      <c r="Y185" s="307">
        <f t="shared" si="38"/>
        <v>47.6</v>
      </c>
      <c r="Z185" s="307">
        <f t="shared" si="38"/>
        <v>0</v>
      </c>
      <c r="AA185" s="307">
        <f t="shared" si="38"/>
        <v>238.39999999999998</v>
      </c>
      <c r="AB185" s="307">
        <f>SUM(AB187:AB211)</f>
        <v>895.4</v>
      </c>
      <c r="AC185" s="307">
        <f>SUM(AC187:AC211)</f>
        <v>400</v>
      </c>
      <c r="AD185" s="437">
        <f>L189</f>
        <v>430616800</v>
      </c>
      <c r="AE185" s="437">
        <f>L212</f>
        <v>424793164.44909996</v>
      </c>
      <c r="AF185" s="437">
        <f>L243</f>
        <v>57172614.479999997</v>
      </c>
      <c r="AG185" s="437">
        <f>L275</f>
        <v>5500000</v>
      </c>
      <c r="AH185" s="437">
        <f>L278</f>
        <v>737522600</v>
      </c>
      <c r="AI185" s="437">
        <f>L303</f>
        <v>0</v>
      </c>
      <c r="AJ185" s="437">
        <f>L300</f>
        <v>6562000</v>
      </c>
      <c r="AK185" s="438">
        <f>SUM(AD185:AJ185)</f>
        <v>1662167178.9291</v>
      </c>
      <c r="AL185" s="296"/>
      <c r="AM185" s="158"/>
      <c r="AN185" s="158"/>
      <c r="AO185" s="159"/>
      <c r="AP185" s="159"/>
      <c r="AQ185" s="159"/>
      <c r="AR185" s="159"/>
      <c r="AS185" s="170"/>
      <c r="AT185" s="170"/>
      <c r="AU185" s="170"/>
      <c r="AV185" s="170"/>
      <c r="AW185" s="170"/>
      <c r="AX185" s="170"/>
      <c r="AY185" s="170"/>
      <c r="AZ185" s="170"/>
      <c r="BA185" s="170"/>
      <c r="BB185" s="170"/>
      <c r="BC185" s="170"/>
      <c r="BD185" s="170"/>
      <c r="BE185" s="170"/>
      <c r="BF185" s="170"/>
      <c r="BG185" s="170"/>
      <c r="BH185" s="170"/>
      <c r="BI185" s="170"/>
      <c r="BJ185" s="170"/>
      <c r="BK185" s="170"/>
      <c r="BL185" s="170"/>
      <c r="BM185" s="170"/>
      <c r="BN185" s="170"/>
      <c r="BO185" s="170"/>
      <c r="BP185" s="170"/>
      <c r="BQ185" s="170"/>
      <c r="BR185" s="170"/>
      <c r="BS185" s="170"/>
      <c r="BT185" s="170"/>
      <c r="BU185" s="170"/>
      <c r="BV185" s="170"/>
      <c r="BW185" s="170"/>
      <c r="BX185" s="170"/>
      <c r="BY185" s="170"/>
      <c r="BZ185" s="170"/>
      <c r="CA185" s="170"/>
      <c r="CB185" s="170"/>
      <c r="CC185" s="170"/>
      <c r="CD185" s="170"/>
      <c r="CE185" s="170"/>
      <c r="CF185" s="170"/>
      <c r="CG185" s="170"/>
      <c r="CH185" s="170"/>
      <c r="CI185" s="170"/>
      <c r="CJ185" s="170"/>
      <c r="CK185" s="170"/>
      <c r="CL185" s="170"/>
      <c r="CM185" s="170"/>
      <c r="CN185" s="170"/>
      <c r="CO185" s="170"/>
      <c r="CP185" s="170"/>
      <c r="CQ185" s="170"/>
      <c r="CR185" s="170"/>
      <c r="CS185" s="170"/>
      <c r="CT185" s="170"/>
      <c r="CU185" s="170"/>
      <c r="CV185" s="170"/>
      <c r="CW185" s="170"/>
      <c r="CX185" s="170"/>
      <c r="CY185" s="170"/>
      <c r="CZ185" s="170"/>
      <c r="DA185" s="170"/>
      <c r="DB185" s="170"/>
      <c r="DC185" s="170"/>
      <c r="DD185" s="170"/>
      <c r="DE185" s="170"/>
      <c r="DF185" s="170"/>
      <c r="DG185" s="170"/>
      <c r="DH185" s="170"/>
      <c r="DI185" s="170"/>
      <c r="DJ185" s="170"/>
      <c r="DK185" s="170"/>
      <c r="DL185" s="170"/>
      <c r="DM185" s="170"/>
      <c r="DN185" s="170"/>
      <c r="DO185" s="170"/>
      <c r="DP185" s="170"/>
      <c r="DQ185" s="170"/>
      <c r="DR185" s="170"/>
      <c r="DS185" s="170"/>
      <c r="DT185" s="170"/>
      <c r="DU185" s="170"/>
      <c r="DV185" s="170"/>
      <c r="DW185" s="170"/>
      <c r="DX185" s="170"/>
      <c r="DY185" s="170"/>
      <c r="DZ185" s="170"/>
      <c r="EA185" s="170"/>
      <c r="EB185" s="170"/>
      <c r="EC185" s="170"/>
      <c r="ED185" s="170"/>
      <c r="EE185" s="170"/>
      <c r="EF185" s="170"/>
      <c r="EG185" s="170"/>
      <c r="EH185" s="170"/>
      <c r="EI185" s="170"/>
      <c r="EJ185" s="170"/>
      <c r="EK185" s="170"/>
      <c r="EL185" s="170"/>
      <c r="EM185" s="170"/>
      <c r="EN185" s="170"/>
      <c r="EO185" s="170"/>
      <c r="EP185" s="170"/>
      <c r="EQ185" s="170"/>
      <c r="ER185" s="170"/>
      <c r="ES185" s="170"/>
      <c r="ET185" s="170"/>
      <c r="EU185" s="170"/>
      <c r="EV185" s="170"/>
      <c r="EW185" s="170"/>
      <c r="EX185" s="170"/>
      <c r="EY185" s="170"/>
      <c r="EZ185" s="170"/>
      <c r="FA185" s="170"/>
      <c r="FB185" s="170"/>
      <c r="FC185" s="170"/>
      <c r="FD185" s="170"/>
      <c r="FE185" s="170"/>
      <c r="FF185" s="170"/>
      <c r="FG185" s="170"/>
      <c r="FH185" s="170"/>
      <c r="FI185" s="170"/>
      <c r="FJ185" s="170"/>
      <c r="FK185" s="170"/>
      <c r="FL185" s="170"/>
      <c r="FM185" s="170"/>
      <c r="FN185" s="170"/>
      <c r="FO185" s="170"/>
      <c r="FP185" s="170"/>
      <c r="FQ185" s="170"/>
      <c r="FR185" s="170"/>
      <c r="FS185" s="170"/>
      <c r="FT185" s="170"/>
      <c r="FU185" s="170"/>
      <c r="FV185" s="170"/>
      <c r="FW185" s="170"/>
      <c r="FX185" s="170"/>
      <c r="FY185" s="170"/>
      <c r="FZ185" s="170"/>
      <c r="GA185" s="170"/>
      <c r="GB185" s="170"/>
      <c r="GC185" s="170"/>
      <c r="GD185" s="170"/>
      <c r="GE185" s="170"/>
      <c r="GF185" s="170"/>
      <c r="GG185" s="170"/>
      <c r="GH185" s="170"/>
      <c r="GI185" s="170"/>
      <c r="GJ185" s="170"/>
      <c r="GK185" s="170"/>
      <c r="GL185" s="170"/>
      <c r="GM185" s="170"/>
      <c r="GN185" s="170"/>
      <c r="GO185" s="170"/>
      <c r="GP185" s="170"/>
      <c r="GQ185" s="170"/>
      <c r="GR185" s="170"/>
      <c r="GS185" s="170"/>
      <c r="GT185" s="170"/>
      <c r="GU185" s="170"/>
      <c r="GV185" s="170"/>
      <c r="GW185" s="170"/>
      <c r="GX185" s="170"/>
      <c r="GY185" s="170"/>
      <c r="GZ185" s="170"/>
      <c r="HA185" s="170"/>
      <c r="HB185" s="170"/>
      <c r="HC185" s="170"/>
      <c r="HD185" s="170"/>
      <c r="HE185" s="170"/>
      <c r="HF185" s="170"/>
      <c r="HG185" s="170"/>
      <c r="HH185" s="170"/>
      <c r="HI185" s="170"/>
      <c r="HJ185" s="170"/>
      <c r="HK185" s="170"/>
      <c r="HL185" s="170"/>
      <c r="HM185" s="170"/>
      <c r="HN185" s="170"/>
      <c r="HO185" s="170"/>
      <c r="HP185" s="170"/>
      <c r="HQ185" s="170"/>
      <c r="HR185" s="170"/>
      <c r="HS185" s="170"/>
      <c r="HT185" s="170"/>
      <c r="HU185" s="170"/>
      <c r="HV185" s="170"/>
      <c r="HW185" s="170"/>
      <c r="HX185" s="170"/>
      <c r="HY185" s="170"/>
      <c r="HZ185" s="170"/>
      <c r="IA185" s="170"/>
      <c r="IB185" s="170"/>
      <c r="IC185" s="170"/>
      <c r="ID185" s="170"/>
      <c r="IE185" s="170"/>
      <c r="IF185" s="170"/>
      <c r="IG185" s="170"/>
      <c r="IH185" s="170"/>
      <c r="II185" s="170"/>
      <c r="IJ185" s="170"/>
      <c r="IK185" s="170"/>
      <c r="IL185" s="170"/>
      <c r="IM185" s="170"/>
      <c r="IN185" s="170"/>
      <c r="IO185" s="170"/>
      <c r="IP185" s="170"/>
      <c r="IQ185" s="170"/>
      <c r="IR185" s="170"/>
      <c r="IS185" s="170"/>
      <c r="IT185" s="170"/>
      <c r="IU185" s="170"/>
      <c r="IV185" s="170"/>
      <c r="IW185" s="170"/>
      <c r="IX185" s="170"/>
      <c r="IY185" s="170"/>
      <c r="IZ185" s="170"/>
      <c r="JA185" s="170"/>
      <c r="JB185" s="170"/>
      <c r="JC185" s="170"/>
      <c r="JD185" s="170"/>
      <c r="JE185" s="170"/>
      <c r="JF185" s="170"/>
      <c r="JG185" s="170"/>
      <c r="JH185" s="170"/>
      <c r="JI185" s="170"/>
      <c r="JJ185" s="170"/>
      <c r="JK185" s="170"/>
      <c r="JL185" s="170"/>
      <c r="JM185" s="170"/>
      <c r="JN185" s="170"/>
      <c r="JO185" s="170"/>
      <c r="JP185" s="170"/>
      <c r="JQ185" s="170"/>
      <c r="JR185" s="170"/>
      <c r="JS185" s="170"/>
      <c r="JT185" s="170"/>
      <c r="JU185" s="170"/>
      <c r="JV185" s="170"/>
      <c r="JW185" s="170"/>
      <c r="JX185" s="170"/>
      <c r="JY185" s="170"/>
      <c r="JZ185" s="170"/>
      <c r="KA185" s="170"/>
      <c r="KB185" s="170"/>
      <c r="KC185" s="170"/>
      <c r="KD185" s="170"/>
      <c r="KE185" s="170"/>
      <c r="KF185" s="170"/>
      <c r="KG185" s="170"/>
      <c r="KH185" s="170"/>
      <c r="KI185" s="170"/>
      <c r="KJ185" s="170"/>
      <c r="KK185" s="170"/>
      <c r="KL185" s="170"/>
      <c r="KM185" s="170"/>
      <c r="KN185" s="170"/>
      <c r="KO185" s="170"/>
      <c r="KP185" s="170"/>
      <c r="KQ185" s="170"/>
      <c r="KR185" s="170"/>
      <c r="KS185" s="170"/>
      <c r="KT185" s="170"/>
      <c r="KU185" s="170"/>
      <c r="KV185" s="170"/>
      <c r="KW185" s="170"/>
      <c r="KX185" s="170"/>
      <c r="KY185" s="170"/>
      <c r="KZ185" s="170"/>
      <c r="LA185" s="170"/>
      <c r="LB185" s="170"/>
      <c r="LC185" s="170"/>
      <c r="LD185" s="170"/>
      <c r="LE185" s="170"/>
      <c r="LF185" s="170"/>
      <c r="LG185" s="170"/>
      <c r="LH185" s="170"/>
      <c r="LI185" s="170"/>
      <c r="LJ185" s="170"/>
      <c r="LK185" s="170"/>
      <c r="LL185" s="170"/>
      <c r="LM185" s="170"/>
      <c r="LN185" s="170"/>
      <c r="LO185" s="170"/>
      <c r="LP185" s="170"/>
      <c r="LQ185" s="170"/>
      <c r="LR185" s="170"/>
      <c r="LS185" s="170"/>
      <c r="LT185" s="170"/>
      <c r="LU185" s="170"/>
      <c r="LV185" s="170"/>
      <c r="LW185" s="170"/>
      <c r="LX185" s="170"/>
      <c r="LY185" s="170"/>
      <c r="LZ185" s="170"/>
      <c r="MA185" s="170"/>
      <c r="MB185" s="170"/>
      <c r="MC185" s="170"/>
      <c r="MD185" s="170"/>
      <c r="ME185" s="170"/>
      <c r="MF185" s="170"/>
      <c r="MG185" s="170"/>
      <c r="MH185" s="170"/>
      <c r="MI185" s="170"/>
      <c r="MJ185" s="170"/>
      <c r="MK185" s="170"/>
      <c r="ML185" s="170"/>
      <c r="MM185" s="170"/>
      <c r="MN185" s="170"/>
      <c r="MO185" s="170"/>
      <c r="MP185" s="170"/>
      <c r="MQ185" s="170"/>
      <c r="MR185" s="170"/>
      <c r="MS185" s="170"/>
      <c r="MT185" s="170"/>
      <c r="MU185" s="170"/>
      <c r="MV185" s="170"/>
      <c r="MW185" s="170"/>
      <c r="MX185" s="170"/>
      <c r="MY185" s="170"/>
      <c r="MZ185" s="170"/>
      <c r="NA185" s="170"/>
      <c r="NB185" s="170"/>
      <c r="NC185" s="170"/>
      <c r="ND185" s="170"/>
      <c r="NE185" s="170"/>
      <c r="NF185" s="170"/>
      <c r="NG185" s="170"/>
      <c r="NH185" s="170"/>
      <c r="NI185" s="170"/>
      <c r="NJ185" s="170"/>
      <c r="NK185" s="170"/>
      <c r="NL185" s="170"/>
      <c r="NM185" s="170"/>
      <c r="NN185" s="170"/>
      <c r="NO185" s="170"/>
      <c r="NP185" s="170"/>
      <c r="NQ185" s="170"/>
      <c r="NR185" s="170"/>
      <c r="NS185" s="170"/>
      <c r="NT185" s="170"/>
      <c r="NU185" s="170"/>
      <c r="NV185" s="170"/>
      <c r="NW185" s="170"/>
      <c r="NX185" s="170"/>
      <c r="NY185" s="170"/>
      <c r="NZ185" s="170"/>
      <c r="OA185" s="170"/>
      <c r="OB185" s="170"/>
      <c r="OC185" s="170"/>
      <c r="OD185" s="170"/>
      <c r="OE185" s="170"/>
      <c r="OF185" s="170"/>
      <c r="OG185" s="170"/>
      <c r="OH185" s="170"/>
      <c r="OI185" s="170"/>
      <c r="OJ185" s="170"/>
      <c r="OK185" s="170"/>
      <c r="OL185" s="170"/>
      <c r="OM185" s="170"/>
      <c r="ON185" s="170"/>
      <c r="OO185" s="170"/>
      <c r="OP185" s="170"/>
      <c r="OQ185" s="170"/>
      <c r="OR185" s="170"/>
      <c r="OS185" s="170"/>
      <c r="OT185" s="170"/>
      <c r="OU185" s="170"/>
      <c r="OV185" s="170"/>
      <c r="OW185" s="170"/>
      <c r="OX185" s="170"/>
      <c r="OY185" s="170"/>
      <c r="OZ185" s="170"/>
      <c r="PA185" s="170"/>
      <c r="PB185" s="170"/>
      <c r="PC185" s="170"/>
      <c r="PD185" s="170"/>
      <c r="PE185" s="170"/>
      <c r="PF185" s="170"/>
      <c r="PG185" s="170"/>
      <c r="PH185" s="170"/>
      <c r="PI185" s="170"/>
      <c r="PJ185" s="170"/>
      <c r="PK185" s="170"/>
      <c r="PL185" s="170"/>
      <c r="PM185" s="170"/>
      <c r="PN185" s="170"/>
      <c r="PO185" s="170"/>
      <c r="PP185" s="170"/>
      <c r="PQ185" s="170"/>
      <c r="PR185" s="170"/>
      <c r="PS185" s="170"/>
      <c r="PT185" s="170"/>
      <c r="PU185" s="170"/>
      <c r="PV185" s="170"/>
      <c r="PW185" s="170"/>
      <c r="PX185" s="170"/>
      <c r="PY185" s="170"/>
      <c r="PZ185" s="170"/>
      <c r="QA185" s="170"/>
      <c r="QB185" s="170"/>
      <c r="QC185" s="170"/>
      <c r="QD185" s="170"/>
      <c r="QE185" s="170"/>
      <c r="QF185" s="170"/>
      <c r="QG185" s="170"/>
      <c r="QH185" s="170"/>
      <c r="QI185" s="170"/>
      <c r="QJ185" s="170"/>
      <c r="QK185" s="170"/>
      <c r="QL185" s="170"/>
      <c r="QM185" s="170"/>
      <c r="QN185" s="170"/>
      <c r="QO185" s="170"/>
      <c r="QP185" s="170"/>
      <c r="QQ185" s="170"/>
      <c r="QR185" s="170"/>
      <c r="QS185" s="170"/>
      <c r="QT185" s="170"/>
      <c r="QU185" s="170"/>
      <c r="QV185" s="170"/>
      <c r="QW185" s="170"/>
      <c r="QX185" s="170"/>
      <c r="QY185" s="170"/>
      <c r="QZ185" s="170"/>
      <c r="RA185" s="170"/>
      <c r="RB185" s="170"/>
      <c r="RC185" s="170"/>
      <c r="RD185" s="170"/>
      <c r="RE185" s="170"/>
      <c r="RF185" s="170"/>
      <c r="RG185" s="170"/>
      <c r="RH185" s="170"/>
      <c r="RI185" s="170"/>
      <c r="RJ185" s="170"/>
      <c r="RK185" s="170"/>
      <c r="RL185" s="170"/>
      <c r="RM185" s="170"/>
      <c r="RN185" s="170"/>
      <c r="RO185" s="170"/>
      <c r="RP185" s="170"/>
      <c r="RQ185" s="170"/>
      <c r="RR185" s="170"/>
      <c r="RS185" s="170"/>
      <c r="RT185" s="170"/>
      <c r="RU185" s="170"/>
      <c r="RV185" s="170"/>
      <c r="RW185" s="170"/>
      <c r="RX185" s="170"/>
      <c r="RY185" s="170"/>
      <c r="RZ185" s="170"/>
      <c r="SA185" s="170"/>
      <c r="SB185" s="170"/>
      <c r="SC185" s="170"/>
      <c r="SD185" s="170"/>
      <c r="SE185" s="170"/>
      <c r="SF185" s="170"/>
      <c r="SG185" s="170"/>
      <c r="SH185" s="170"/>
      <c r="SI185" s="170"/>
      <c r="SJ185" s="170"/>
      <c r="SK185" s="170"/>
      <c r="SL185" s="170"/>
      <c r="SM185" s="170"/>
      <c r="SN185" s="170"/>
      <c r="SO185" s="170"/>
      <c r="SP185" s="170"/>
      <c r="SQ185" s="170"/>
      <c r="SR185" s="170"/>
      <c r="SS185" s="170"/>
      <c r="ST185" s="170"/>
      <c r="SU185" s="170"/>
      <c r="SV185" s="170"/>
      <c r="SW185" s="170"/>
      <c r="SX185" s="170"/>
      <c r="SY185" s="170"/>
      <c r="SZ185" s="170"/>
      <c r="TA185" s="170"/>
      <c r="TB185" s="170"/>
      <c r="TC185" s="170"/>
      <c r="TD185" s="170"/>
      <c r="TE185" s="170"/>
      <c r="TF185" s="170"/>
      <c r="TG185" s="170"/>
      <c r="TH185" s="170"/>
      <c r="TI185" s="170"/>
      <c r="TJ185" s="170"/>
      <c r="TK185" s="170"/>
      <c r="TL185" s="170"/>
      <c r="TM185" s="170"/>
      <c r="TN185" s="170"/>
      <c r="TO185" s="170"/>
      <c r="TP185" s="170"/>
      <c r="TQ185" s="170"/>
      <c r="TR185" s="170"/>
      <c r="TS185" s="170"/>
      <c r="TT185" s="170"/>
      <c r="TU185" s="170"/>
      <c r="TV185" s="170"/>
      <c r="TW185" s="170"/>
      <c r="TX185" s="170"/>
      <c r="TY185" s="170"/>
      <c r="TZ185" s="170"/>
      <c r="UA185" s="170"/>
      <c r="UB185" s="170"/>
      <c r="UC185" s="170"/>
      <c r="UD185" s="170"/>
      <c r="UE185" s="170"/>
      <c r="UF185" s="170"/>
      <c r="UG185" s="171"/>
    </row>
    <row r="186" spans="1:553" ht="21.75" customHeight="1">
      <c r="A186" s="356" t="s">
        <v>15</v>
      </c>
      <c r="B186" s="366"/>
      <c r="C186" s="1404" t="s">
        <v>210</v>
      </c>
      <c r="D186" s="1389"/>
      <c r="E186" s="1389"/>
      <c r="F186" s="1390"/>
      <c r="G186" s="366"/>
      <c r="H186" s="370"/>
      <c r="I186" s="439"/>
      <c r="J186" s="368"/>
      <c r="K186" s="371"/>
      <c r="L186" s="366"/>
      <c r="M186" s="366"/>
      <c r="N186" s="366"/>
      <c r="O186" s="366"/>
      <c r="P186" s="366"/>
      <c r="Q186" s="812"/>
      <c r="R186" s="1226"/>
      <c r="S186" s="308"/>
      <c r="T186" s="303"/>
      <c r="U186" s="306"/>
      <c r="V186" s="307"/>
      <c r="W186" s="307"/>
      <c r="X186" s="307"/>
      <c r="Y186" s="307"/>
      <c r="Z186" s="307"/>
      <c r="AA186" s="307"/>
      <c r="AB186" s="307"/>
      <c r="AC186" s="449"/>
      <c r="AD186" s="449"/>
      <c r="AE186" s="449"/>
      <c r="AF186" s="449"/>
      <c r="AG186" s="449"/>
      <c r="AH186" s="449"/>
      <c r="AI186" s="449"/>
      <c r="AJ186" s="449"/>
      <c r="AK186" s="450"/>
      <c r="AL186" s="105"/>
      <c r="AM186" s="30"/>
      <c r="AN186" s="30"/>
      <c r="AO186" s="30"/>
      <c r="AP186" s="30"/>
      <c r="AQ186" s="30"/>
      <c r="AR186" s="30"/>
      <c r="AS186" s="31"/>
      <c r="AT186" s="31"/>
      <c r="AU186" s="31"/>
      <c r="AV186" s="31"/>
      <c r="AW186" s="31"/>
      <c r="AX186" s="31"/>
      <c r="AY186" s="31"/>
      <c r="AZ186" s="31"/>
      <c r="BA186" s="31"/>
      <c r="BB186" s="31"/>
      <c r="BC186" s="31"/>
      <c r="BD186" s="31"/>
      <c r="BE186" s="31"/>
      <c r="BF186" s="31"/>
      <c r="BG186" s="31"/>
      <c r="BH186" s="31"/>
      <c r="BI186" s="31"/>
      <c r="BJ186" s="31"/>
      <c r="BK186" s="31"/>
      <c r="BL186" s="31"/>
      <c r="BM186" s="31"/>
      <c r="BN186" s="31"/>
      <c r="BO186" s="31"/>
      <c r="BP186" s="25"/>
      <c r="BQ186" s="25"/>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25"/>
      <c r="DX186" s="25"/>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c r="EU186" s="25"/>
      <c r="EV186" s="25"/>
      <c r="EW186" s="25"/>
      <c r="EX186" s="25"/>
      <c r="EY186" s="25"/>
      <c r="EZ186" s="25"/>
      <c r="FA186" s="25"/>
      <c r="FB186" s="25"/>
      <c r="FC186" s="25"/>
      <c r="FD186" s="25"/>
      <c r="FE186" s="25"/>
      <c r="FF186" s="25"/>
      <c r="FG186" s="25"/>
      <c r="FH186" s="25"/>
      <c r="FI186" s="25"/>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c r="HH186" s="25"/>
      <c r="HI186" s="25"/>
      <c r="HJ186" s="25"/>
      <c r="HK186" s="25"/>
      <c r="HL186" s="25"/>
      <c r="HM186" s="25"/>
      <c r="HN186" s="25"/>
      <c r="HO186" s="25"/>
      <c r="HP186" s="25"/>
      <c r="HQ186" s="25"/>
      <c r="HR186" s="25"/>
      <c r="HS186" s="25"/>
      <c r="HT186" s="25"/>
      <c r="HU186" s="25"/>
      <c r="HV186" s="25"/>
      <c r="HW186" s="25"/>
      <c r="HX186" s="25"/>
      <c r="HY186" s="25"/>
      <c r="HZ186" s="25"/>
      <c r="IA186" s="25"/>
      <c r="IB186" s="25"/>
      <c r="IC186" s="25"/>
      <c r="ID186" s="25"/>
      <c r="IE186" s="25"/>
      <c r="IF186" s="25"/>
      <c r="IG186" s="25"/>
      <c r="IH186" s="25"/>
      <c r="II186" s="25"/>
      <c r="IJ186" s="25"/>
      <c r="IK186" s="25"/>
      <c r="IL186" s="25"/>
      <c r="IM186" s="25"/>
      <c r="IN186" s="25"/>
      <c r="IO186" s="25"/>
      <c r="IP186" s="25"/>
      <c r="IQ186" s="25"/>
      <c r="IR186" s="25"/>
      <c r="IS186" s="25"/>
      <c r="IT186" s="25"/>
      <c r="IU186" s="25"/>
      <c r="IV186" s="25"/>
      <c r="IW186" s="25"/>
      <c r="IX186" s="25"/>
      <c r="IY186" s="25"/>
      <c r="IZ186" s="25"/>
      <c r="JA186" s="25"/>
      <c r="JB186" s="25"/>
      <c r="JC186" s="25"/>
      <c r="JD186" s="25"/>
      <c r="JE186" s="25"/>
      <c r="JF186" s="25"/>
      <c r="JG186" s="25"/>
      <c r="JH186" s="25"/>
      <c r="JI186" s="25"/>
      <c r="JJ186" s="25"/>
      <c r="JK186" s="25"/>
      <c r="JL186" s="25"/>
      <c r="JM186" s="25"/>
      <c r="JN186" s="25"/>
      <c r="JO186" s="25"/>
      <c r="JP186" s="25"/>
      <c r="JQ186" s="25"/>
      <c r="JR186" s="25"/>
      <c r="JS186" s="25"/>
      <c r="JT186" s="25"/>
      <c r="JU186" s="25"/>
      <c r="JV186" s="25"/>
      <c r="JW186" s="25"/>
      <c r="JX186" s="25"/>
      <c r="JY186" s="25"/>
      <c r="JZ186" s="25"/>
      <c r="KA186" s="25"/>
      <c r="KB186" s="25"/>
      <c r="KC186" s="25"/>
      <c r="KD186" s="25"/>
      <c r="KE186" s="25"/>
      <c r="KF186" s="25"/>
      <c r="KG186" s="25"/>
      <c r="KH186" s="25"/>
      <c r="KI186" s="25"/>
      <c r="KJ186" s="25"/>
      <c r="KK186" s="25"/>
      <c r="KL186" s="25"/>
      <c r="KM186" s="25"/>
      <c r="KN186" s="25"/>
      <c r="KO186" s="25"/>
      <c r="KP186" s="25"/>
      <c r="KQ186" s="25"/>
      <c r="KR186" s="25"/>
      <c r="KS186" s="25"/>
      <c r="KT186" s="25"/>
      <c r="KU186" s="25"/>
      <c r="KV186" s="25"/>
      <c r="KW186" s="25"/>
      <c r="KX186" s="25"/>
      <c r="KY186" s="25"/>
      <c r="KZ186" s="25"/>
      <c r="LA186" s="25"/>
      <c r="LB186" s="25"/>
      <c r="LC186" s="25"/>
      <c r="LD186" s="25"/>
      <c r="LE186" s="25"/>
      <c r="LF186" s="25"/>
      <c r="LG186" s="25"/>
      <c r="LH186" s="25"/>
      <c r="LI186" s="25"/>
      <c r="LJ186" s="25"/>
      <c r="LK186" s="25"/>
      <c r="LL186" s="25"/>
      <c r="LM186" s="25"/>
      <c r="LN186" s="25"/>
      <c r="LO186" s="25"/>
      <c r="LP186" s="25"/>
      <c r="LQ186" s="25"/>
      <c r="LR186" s="25"/>
      <c r="LS186" s="25"/>
      <c r="LT186" s="25"/>
      <c r="LU186" s="25"/>
      <c r="LV186" s="25"/>
      <c r="LW186" s="25"/>
      <c r="LX186" s="25"/>
      <c r="LY186" s="25"/>
      <c r="LZ186" s="25"/>
      <c r="MA186" s="25"/>
      <c r="MB186" s="25"/>
      <c r="MC186" s="25"/>
      <c r="MD186" s="25"/>
      <c r="ME186" s="25"/>
      <c r="MF186" s="25"/>
      <c r="MG186" s="25"/>
      <c r="MH186" s="25"/>
      <c r="MI186" s="25"/>
      <c r="MJ186" s="25"/>
      <c r="MK186" s="25"/>
      <c r="ML186" s="25"/>
      <c r="MM186" s="25"/>
      <c r="MN186" s="25"/>
      <c r="MO186" s="25"/>
      <c r="MP186" s="25"/>
      <c r="MQ186" s="25"/>
      <c r="MR186" s="25"/>
      <c r="MS186" s="25"/>
      <c r="MT186" s="25"/>
      <c r="MU186" s="25"/>
      <c r="MV186" s="25"/>
      <c r="MW186" s="25"/>
      <c r="MX186" s="25"/>
      <c r="MY186" s="25"/>
      <c r="MZ186" s="25"/>
      <c r="NA186" s="25"/>
      <c r="NB186" s="25"/>
      <c r="NC186" s="25"/>
      <c r="ND186" s="25"/>
      <c r="NE186" s="25"/>
      <c r="NF186" s="25"/>
      <c r="NG186" s="25"/>
      <c r="NH186" s="25"/>
      <c r="NI186" s="25"/>
      <c r="NJ186" s="25"/>
      <c r="NK186" s="25"/>
      <c r="NL186" s="25"/>
      <c r="NM186" s="25"/>
      <c r="NN186" s="25"/>
      <c r="NO186" s="25"/>
      <c r="NP186" s="25"/>
      <c r="NQ186" s="25"/>
      <c r="NR186" s="25"/>
      <c r="NS186" s="25"/>
      <c r="NT186" s="25"/>
      <c r="NU186" s="25"/>
      <c r="NV186" s="25"/>
      <c r="NW186" s="25"/>
      <c r="NX186" s="25"/>
      <c r="NY186" s="25"/>
      <c r="NZ186" s="25"/>
      <c r="OA186" s="25"/>
      <c r="OB186" s="25"/>
      <c r="OC186" s="25"/>
      <c r="OD186" s="25"/>
      <c r="OE186" s="25"/>
      <c r="OF186" s="25"/>
      <c r="OG186" s="25"/>
      <c r="OH186" s="25"/>
      <c r="OI186" s="25"/>
      <c r="OJ186" s="25"/>
      <c r="OK186" s="25"/>
      <c r="OL186" s="25"/>
      <c r="OM186" s="25"/>
      <c r="ON186" s="25"/>
      <c r="OO186" s="25"/>
      <c r="OP186" s="25"/>
      <c r="OQ186" s="25"/>
      <c r="OR186" s="25"/>
      <c r="OS186" s="25"/>
      <c r="OT186" s="25"/>
      <c r="OU186" s="25"/>
      <c r="OV186" s="25"/>
      <c r="OW186" s="25"/>
      <c r="OX186" s="25"/>
      <c r="OY186" s="25"/>
      <c r="OZ186" s="25"/>
      <c r="PA186" s="25"/>
      <c r="PB186" s="25"/>
      <c r="PC186" s="25"/>
      <c r="PD186" s="25"/>
      <c r="PE186" s="25"/>
      <c r="PF186" s="25"/>
      <c r="PG186" s="25"/>
      <c r="PH186" s="25"/>
      <c r="PI186" s="25"/>
      <c r="PJ186" s="25"/>
      <c r="PK186" s="25"/>
      <c r="PL186" s="25"/>
      <c r="PM186" s="25"/>
      <c r="PN186" s="25"/>
      <c r="PO186" s="25"/>
      <c r="PP186" s="25"/>
      <c r="PQ186" s="25"/>
      <c r="PR186" s="25"/>
      <c r="PS186" s="25"/>
      <c r="PT186" s="25"/>
      <c r="PU186" s="25"/>
      <c r="PV186" s="25"/>
      <c r="PW186" s="25"/>
      <c r="PX186" s="25"/>
      <c r="PY186" s="25"/>
      <c r="PZ186" s="25"/>
      <c r="QA186" s="25"/>
      <c r="QB186" s="25"/>
      <c r="QC186" s="25"/>
      <c r="QD186" s="25"/>
      <c r="QE186" s="25"/>
      <c r="QF186" s="25"/>
      <c r="QG186" s="25"/>
      <c r="QH186" s="25"/>
      <c r="QI186" s="25"/>
      <c r="QJ186" s="25"/>
      <c r="QK186" s="25"/>
      <c r="QL186" s="25"/>
      <c r="QM186" s="25"/>
      <c r="QN186" s="25"/>
      <c r="QO186" s="25"/>
      <c r="QP186" s="25"/>
      <c r="QQ186" s="25"/>
      <c r="QR186" s="25"/>
      <c r="QS186" s="25"/>
      <c r="QT186" s="25"/>
      <c r="QU186" s="25"/>
      <c r="QV186" s="25"/>
      <c r="QW186" s="25"/>
      <c r="QX186" s="25"/>
      <c r="QY186" s="25"/>
      <c r="QZ186" s="25"/>
      <c r="RA186" s="25"/>
      <c r="RB186" s="25"/>
      <c r="RC186" s="25"/>
      <c r="RD186" s="25"/>
      <c r="RE186" s="25"/>
      <c r="RF186" s="25"/>
      <c r="RG186" s="25"/>
      <c r="RH186" s="25"/>
      <c r="RI186" s="25"/>
      <c r="RJ186" s="25"/>
      <c r="RK186" s="25"/>
      <c r="RL186" s="25"/>
      <c r="RM186" s="25"/>
      <c r="RN186" s="25"/>
      <c r="RO186" s="25"/>
      <c r="RP186" s="25"/>
      <c r="RQ186" s="25"/>
      <c r="RR186" s="25"/>
      <c r="RS186" s="25"/>
      <c r="RT186" s="25"/>
      <c r="RU186" s="25"/>
      <c r="RV186" s="25"/>
      <c r="RW186" s="25"/>
      <c r="RX186" s="25"/>
      <c r="RY186" s="25"/>
      <c r="RZ186" s="25"/>
      <c r="SA186" s="25"/>
      <c r="SB186" s="25"/>
      <c r="SC186" s="25"/>
      <c r="SD186" s="25"/>
      <c r="SE186" s="25"/>
      <c r="SF186" s="25"/>
      <c r="SG186" s="25"/>
      <c r="SH186" s="25"/>
      <c r="SI186" s="25"/>
      <c r="SJ186" s="25"/>
      <c r="SK186" s="25"/>
      <c r="SL186" s="25"/>
      <c r="SM186" s="25"/>
      <c r="SN186" s="25"/>
      <c r="SO186" s="25"/>
      <c r="SP186" s="25"/>
      <c r="SQ186" s="25"/>
      <c r="SR186" s="25"/>
      <c r="SS186" s="25"/>
      <c r="ST186" s="25"/>
      <c r="SU186" s="25"/>
      <c r="SV186" s="25"/>
      <c r="SW186" s="25"/>
      <c r="SX186" s="25"/>
      <c r="SY186" s="25"/>
      <c r="SZ186" s="25"/>
      <c r="TA186" s="25"/>
      <c r="TB186" s="25"/>
      <c r="TC186" s="25"/>
      <c r="TD186" s="25"/>
      <c r="TE186" s="25"/>
      <c r="TF186" s="25"/>
      <c r="TG186" s="25"/>
      <c r="TH186" s="25"/>
      <c r="TI186" s="25"/>
      <c r="TJ186" s="25"/>
      <c r="TK186" s="25"/>
      <c r="TL186" s="25"/>
      <c r="TM186" s="25"/>
      <c r="TN186" s="25"/>
      <c r="TO186" s="25"/>
      <c r="TP186" s="25"/>
      <c r="TQ186" s="25"/>
      <c r="TR186" s="25"/>
      <c r="TS186" s="25"/>
      <c r="TT186" s="25"/>
      <c r="TU186" s="25"/>
      <c r="TV186" s="25"/>
      <c r="TW186" s="25"/>
      <c r="TX186" s="25"/>
      <c r="TY186" s="25"/>
      <c r="TZ186" s="25"/>
      <c r="UA186" s="25"/>
      <c r="UB186" s="25"/>
      <c r="UC186" s="25"/>
      <c r="UD186" s="25"/>
      <c r="UE186" s="25"/>
      <c r="UF186" s="25"/>
      <c r="UG186" s="26"/>
    </row>
    <row r="187" spans="1:553" ht="21.75" customHeight="1">
      <c r="A187" s="356" t="s">
        <v>15</v>
      </c>
      <c r="B187" s="366"/>
      <c r="C187" s="1404" t="s">
        <v>16</v>
      </c>
      <c r="D187" s="1389"/>
      <c r="E187" s="1389"/>
      <c r="F187" s="1390"/>
      <c r="G187" s="366"/>
      <c r="H187" s="439"/>
      <c r="I187" s="370"/>
      <c r="J187" s="368"/>
      <c r="K187" s="371"/>
      <c r="L187" s="366"/>
      <c r="M187" s="366"/>
      <c r="N187" s="366"/>
      <c r="O187" s="366"/>
      <c r="P187" s="366"/>
      <c r="Q187" s="1036"/>
      <c r="R187" s="1226"/>
      <c r="S187" s="308"/>
      <c r="T187" s="303"/>
      <c r="U187" s="306"/>
      <c r="V187" s="307"/>
      <c r="W187" s="307"/>
      <c r="X187" s="307"/>
      <c r="Y187" s="307"/>
      <c r="Z187" s="307"/>
      <c r="AA187" s="307"/>
      <c r="AB187" s="307"/>
      <c r="AC187" s="449"/>
      <c r="AD187" s="449"/>
      <c r="AE187" s="449"/>
      <c r="AF187" s="449"/>
      <c r="AG187" s="449"/>
      <c r="AH187" s="449"/>
      <c r="AI187" s="449"/>
      <c r="AJ187" s="449"/>
      <c r="AK187" s="450"/>
      <c r="AL187" s="105"/>
      <c r="AM187" s="30"/>
      <c r="AN187" s="30"/>
      <c r="AO187" s="30"/>
      <c r="AP187" s="30"/>
      <c r="AQ187" s="30"/>
      <c r="AR187" s="30"/>
      <c r="AS187" s="31"/>
      <c r="AT187" s="31"/>
      <c r="AU187" s="31"/>
      <c r="AV187" s="31"/>
      <c r="AW187" s="31"/>
      <c r="AX187" s="31"/>
      <c r="AY187" s="31"/>
      <c r="AZ187" s="31"/>
      <c r="BA187" s="31"/>
      <c r="BB187" s="31"/>
      <c r="BC187" s="31"/>
      <c r="BD187" s="31"/>
      <c r="BE187" s="31"/>
      <c r="BF187" s="31"/>
      <c r="BG187" s="31"/>
      <c r="BH187" s="31"/>
      <c r="BI187" s="31"/>
      <c r="BJ187" s="31"/>
      <c r="BK187" s="31"/>
      <c r="BL187" s="31"/>
      <c r="BM187" s="31"/>
      <c r="BN187" s="31"/>
      <c r="BO187" s="31"/>
      <c r="BP187" s="25"/>
      <c r="BQ187" s="25"/>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25"/>
      <c r="DX187" s="25"/>
      <c r="DY187" s="25"/>
      <c r="DZ187" s="25"/>
      <c r="EA187" s="25"/>
      <c r="EB187" s="25"/>
      <c r="EC187" s="25"/>
      <c r="ED187" s="25"/>
      <c r="EE187" s="25"/>
      <c r="EF187" s="25"/>
      <c r="EG187" s="25"/>
      <c r="EH187" s="25"/>
      <c r="EI187" s="25"/>
      <c r="EJ187" s="25"/>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25"/>
      <c r="IK187" s="25"/>
      <c r="IL187" s="25"/>
      <c r="IM187" s="25"/>
      <c r="IN187" s="25"/>
      <c r="IO187" s="25"/>
      <c r="IP187" s="25"/>
      <c r="IQ187" s="25"/>
      <c r="IR187" s="25"/>
      <c r="IS187" s="25"/>
      <c r="IT187" s="25"/>
      <c r="IU187" s="25"/>
      <c r="IV187" s="25"/>
      <c r="IW187" s="25"/>
      <c r="IX187" s="25"/>
      <c r="IY187" s="25"/>
      <c r="IZ187" s="25"/>
      <c r="JA187" s="25"/>
      <c r="JB187" s="25"/>
      <c r="JC187" s="25"/>
      <c r="JD187" s="25"/>
      <c r="JE187" s="25"/>
      <c r="JF187" s="25"/>
      <c r="JG187" s="25"/>
      <c r="JH187" s="25"/>
      <c r="JI187" s="25"/>
      <c r="JJ187" s="25"/>
      <c r="JK187" s="25"/>
      <c r="JL187" s="25"/>
      <c r="JM187" s="25"/>
      <c r="JN187" s="25"/>
      <c r="JO187" s="25"/>
      <c r="JP187" s="25"/>
      <c r="JQ187" s="25"/>
      <c r="JR187" s="25"/>
      <c r="JS187" s="25"/>
      <c r="JT187" s="25"/>
      <c r="JU187" s="25"/>
      <c r="JV187" s="25"/>
      <c r="JW187" s="25"/>
      <c r="JX187" s="25"/>
      <c r="JY187" s="25"/>
      <c r="JZ187" s="25"/>
      <c r="KA187" s="25"/>
      <c r="KB187" s="25"/>
      <c r="KC187" s="25"/>
      <c r="KD187" s="25"/>
      <c r="KE187" s="25"/>
      <c r="KF187" s="25"/>
      <c r="KG187" s="25"/>
      <c r="KH187" s="25"/>
      <c r="KI187" s="25"/>
      <c r="KJ187" s="25"/>
      <c r="KK187" s="25"/>
      <c r="KL187" s="25"/>
      <c r="KM187" s="25"/>
      <c r="KN187" s="25"/>
      <c r="KO187" s="25"/>
      <c r="KP187" s="25"/>
      <c r="KQ187" s="25"/>
      <c r="KR187" s="25"/>
      <c r="KS187" s="25"/>
      <c r="KT187" s="25"/>
      <c r="KU187" s="25"/>
      <c r="KV187" s="25"/>
      <c r="KW187" s="25"/>
      <c r="KX187" s="25"/>
      <c r="KY187" s="25"/>
      <c r="KZ187" s="25"/>
      <c r="LA187" s="25"/>
      <c r="LB187" s="25"/>
      <c r="LC187" s="25"/>
      <c r="LD187" s="25"/>
      <c r="LE187" s="25"/>
      <c r="LF187" s="25"/>
      <c r="LG187" s="25"/>
      <c r="LH187" s="25"/>
      <c r="LI187" s="25"/>
      <c r="LJ187" s="25"/>
      <c r="LK187" s="25"/>
      <c r="LL187" s="25"/>
      <c r="LM187" s="25"/>
      <c r="LN187" s="25"/>
      <c r="LO187" s="25"/>
      <c r="LP187" s="25"/>
      <c r="LQ187" s="25"/>
      <c r="LR187" s="25"/>
      <c r="LS187" s="25"/>
      <c r="LT187" s="25"/>
      <c r="LU187" s="25"/>
      <c r="LV187" s="25"/>
      <c r="LW187" s="25"/>
      <c r="LX187" s="25"/>
      <c r="LY187" s="25"/>
      <c r="LZ187" s="25"/>
      <c r="MA187" s="25"/>
      <c r="MB187" s="25"/>
      <c r="MC187" s="25"/>
      <c r="MD187" s="25"/>
      <c r="ME187" s="25"/>
      <c r="MF187" s="25"/>
      <c r="MG187" s="25"/>
      <c r="MH187" s="25"/>
      <c r="MI187" s="25"/>
      <c r="MJ187" s="25"/>
      <c r="MK187" s="25"/>
      <c r="ML187" s="25"/>
      <c r="MM187" s="25"/>
      <c r="MN187" s="25"/>
      <c r="MO187" s="25"/>
      <c r="MP187" s="25"/>
      <c r="MQ187" s="25"/>
      <c r="MR187" s="25"/>
      <c r="MS187" s="25"/>
      <c r="MT187" s="25"/>
      <c r="MU187" s="25"/>
      <c r="MV187" s="25"/>
      <c r="MW187" s="25"/>
      <c r="MX187" s="25"/>
      <c r="MY187" s="25"/>
      <c r="MZ187" s="25"/>
      <c r="NA187" s="25"/>
      <c r="NB187" s="25"/>
      <c r="NC187" s="25"/>
      <c r="ND187" s="25"/>
      <c r="NE187" s="25"/>
      <c r="NF187" s="25"/>
      <c r="NG187" s="25"/>
      <c r="NH187" s="25"/>
      <c r="NI187" s="25"/>
      <c r="NJ187" s="25"/>
      <c r="NK187" s="25"/>
      <c r="NL187" s="25"/>
      <c r="NM187" s="25"/>
      <c r="NN187" s="25"/>
      <c r="NO187" s="25"/>
      <c r="NP187" s="25"/>
      <c r="NQ187" s="25"/>
      <c r="NR187" s="25"/>
      <c r="NS187" s="25"/>
      <c r="NT187" s="25"/>
      <c r="NU187" s="25"/>
      <c r="NV187" s="25"/>
      <c r="NW187" s="25"/>
      <c r="NX187" s="25"/>
      <c r="NY187" s="25"/>
      <c r="NZ187" s="25"/>
      <c r="OA187" s="25"/>
      <c r="OB187" s="25"/>
      <c r="OC187" s="25"/>
      <c r="OD187" s="25"/>
      <c r="OE187" s="25"/>
      <c r="OF187" s="25"/>
      <c r="OG187" s="25"/>
      <c r="OH187" s="25"/>
      <c r="OI187" s="25"/>
      <c r="OJ187" s="25"/>
      <c r="OK187" s="25"/>
      <c r="OL187" s="25"/>
      <c r="OM187" s="25"/>
      <c r="ON187" s="25"/>
      <c r="OO187" s="25"/>
      <c r="OP187" s="25"/>
      <c r="OQ187" s="25"/>
      <c r="OR187" s="25"/>
      <c r="OS187" s="25"/>
      <c r="OT187" s="25"/>
      <c r="OU187" s="25"/>
      <c r="OV187" s="25"/>
      <c r="OW187" s="25"/>
      <c r="OX187" s="25"/>
      <c r="OY187" s="25"/>
      <c r="OZ187" s="25"/>
      <c r="PA187" s="25"/>
      <c r="PB187" s="25"/>
      <c r="PC187" s="25"/>
      <c r="PD187" s="25"/>
      <c r="PE187" s="25"/>
      <c r="PF187" s="25"/>
      <c r="PG187" s="25"/>
      <c r="PH187" s="25"/>
      <c r="PI187" s="25"/>
      <c r="PJ187" s="25"/>
      <c r="PK187" s="25"/>
      <c r="PL187" s="25"/>
      <c r="PM187" s="25"/>
      <c r="PN187" s="25"/>
      <c r="PO187" s="25"/>
      <c r="PP187" s="25"/>
      <c r="PQ187" s="25"/>
      <c r="PR187" s="25"/>
      <c r="PS187" s="25"/>
      <c r="PT187" s="25"/>
      <c r="PU187" s="25"/>
      <c r="PV187" s="25"/>
      <c r="PW187" s="25"/>
      <c r="PX187" s="25"/>
      <c r="PY187" s="25"/>
      <c r="PZ187" s="25"/>
      <c r="QA187" s="25"/>
      <c r="QB187" s="25"/>
      <c r="QC187" s="25"/>
      <c r="QD187" s="25"/>
      <c r="QE187" s="25"/>
      <c r="QF187" s="25"/>
      <c r="QG187" s="25"/>
      <c r="QH187" s="25"/>
      <c r="QI187" s="25"/>
      <c r="QJ187" s="25"/>
      <c r="QK187" s="25"/>
      <c r="QL187" s="25"/>
      <c r="QM187" s="25"/>
      <c r="QN187" s="25"/>
      <c r="QO187" s="25"/>
      <c r="QP187" s="25"/>
      <c r="QQ187" s="25"/>
      <c r="QR187" s="25"/>
      <c r="QS187" s="25"/>
      <c r="QT187" s="25"/>
      <c r="QU187" s="25"/>
      <c r="QV187" s="25"/>
      <c r="QW187" s="25"/>
      <c r="QX187" s="25"/>
      <c r="QY187" s="25"/>
      <c r="QZ187" s="25"/>
      <c r="RA187" s="25"/>
      <c r="RB187" s="25"/>
      <c r="RC187" s="25"/>
      <c r="RD187" s="25"/>
      <c r="RE187" s="25"/>
      <c r="RF187" s="25"/>
      <c r="RG187" s="25"/>
      <c r="RH187" s="25"/>
      <c r="RI187" s="25"/>
      <c r="RJ187" s="25"/>
      <c r="RK187" s="25"/>
      <c r="RL187" s="25"/>
      <c r="RM187" s="25"/>
      <c r="RN187" s="25"/>
      <c r="RO187" s="25"/>
      <c r="RP187" s="25"/>
      <c r="RQ187" s="25"/>
      <c r="RR187" s="25"/>
      <c r="RS187" s="25"/>
      <c r="RT187" s="25"/>
      <c r="RU187" s="25"/>
      <c r="RV187" s="25"/>
      <c r="RW187" s="25"/>
      <c r="RX187" s="25"/>
      <c r="RY187" s="25"/>
      <c r="RZ187" s="25"/>
      <c r="SA187" s="25"/>
      <c r="SB187" s="25"/>
      <c r="SC187" s="25"/>
      <c r="SD187" s="25"/>
      <c r="SE187" s="25"/>
      <c r="SF187" s="25"/>
      <c r="SG187" s="25"/>
      <c r="SH187" s="25"/>
      <c r="SI187" s="25"/>
      <c r="SJ187" s="25"/>
      <c r="SK187" s="25"/>
      <c r="SL187" s="25"/>
      <c r="SM187" s="25"/>
      <c r="SN187" s="25"/>
      <c r="SO187" s="25"/>
      <c r="SP187" s="25"/>
      <c r="SQ187" s="25"/>
      <c r="SR187" s="25"/>
      <c r="SS187" s="25"/>
      <c r="ST187" s="25"/>
      <c r="SU187" s="25"/>
      <c r="SV187" s="25"/>
      <c r="SW187" s="25"/>
      <c r="SX187" s="25"/>
      <c r="SY187" s="25"/>
      <c r="SZ187" s="25"/>
      <c r="TA187" s="25"/>
      <c r="TB187" s="25"/>
      <c r="TC187" s="25"/>
      <c r="TD187" s="25"/>
      <c r="TE187" s="25"/>
      <c r="TF187" s="25"/>
      <c r="TG187" s="25"/>
      <c r="TH187" s="25"/>
      <c r="TI187" s="25"/>
      <c r="TJ187" s="25"/>
      <c r="TK187" s="25"/>
      <c r="TL187" s="25"/>
      <c r="TM187" s="25"/>
      <c r="TN187" s="25"/>
      <c r="TO187" s="25"/>
      <c r="TP187" s="25"/>
      <c r="TQ187" s="25"/>
      <c r="TR187" s="25"/>
      <c r="TS187" s="25"/>
      <c r="TT187" s="25"/>
      <c r="TU187" s="25"/>
      <c r="TV187" s="25"/>
      <c r="TW187" s="25"/>
      <c r="TX187" s="25"/>
      <c r="TY187" s="25"/>
      <c r="TZ187" s="25"/>
      <c r="UA187" s="25"/>
      <c r="UB187" s="25"/>
      <c r="UC187" s="25"/>
      <c r="UD187" s="25"/>
      <c r="UE187" s="25"/>
      <c r="UF187" s="25"/>
      <c r="UG187" s="26"/>
    </row>
    <row r="188" spans="1:553" ht="21.75" customHeight="1">
      <c r="A188" s="356" t="s">
        <v>15</v>
      </c>
      <c r="B188" s="366"/>
      <c r="C188" s="1404" t="s">
        <v>83</v>
      </c>
      <c r="D188" s="1389"/>
      <c r="E188" s="1389"/>
      <c r="F188" s="1390"/>
      <c r="G188" s="366"/>
      <c r="H188" s="370"/>
      <c r="I188" s="370"/>
      <c r="J188" s="368"/>
      <c r="K188" s="371"/>
      <c r="L188" s="366"/>
      <c r="M188" s="366"/>
      <c r="N188" s="366"/>
      <c r="O188" s="366"/>
      <c r="P188" s="366"/>
      <c r="Q188" s="1036"/>
      <c r="R188" s="1226"/>
      <c r="S188" s="308"/>
      <c r="T188" s="303"/>
      <c r="U188" s="306"/>
      <c r="V188" s="307"/>
      <c r="W188" s="306"/>
      <c r="X188" s="306"/>
      <c r="Y188" s="306"/>
      <c r="Z188" s="306"/>
      <c r="AA188" s="306"/>
      <c r="AB188" s="306"/>
      <c r="AC188" s="449"/>
      <c r="AD188" s="449"/>
      <c r="AE188" s="449"/>
      <c r="AF188" s="449"/>
      <c r="AG188" s="449"/>
      <c r="AH188" s="449"/>
      <c r="AI188" s="449"/>
      <c r="AJ188" s="449"/>
      <c r="AK188" s="450"/>
      <c r="AL188" s="105"/>
      <c r="AM188" s="30"/>
      <c r="AN188" s="30"/>
      <c r="AO188" s="30"/>
      <c r="AP188" s="30"/>
      <c r="AQ188" s="30"/>
      <c r="AR188" s="30"/>
      <c r="AS188" s="31"/>
      <c r="AT188" s="31"/>
      <c r="AU188" s="31"/>
      <c r="AV188" s="31"/>
      <c r="AW188" s="31"/>
      <c r="AX188" s="31"/>
      <c r="AY188" s="31"/>
      <c r="AZ188" s="31"/>
      <c r="BA188" s="31"/>
      <c r="BB188" s="31"/>
      <c r="BC188" s="31"/>
      <c r="BD188" s="31"/>
      <c r="BE188" s="31"/>
      <c r="BF188" s="31"/>
      <c r="BG188" s="31"/>
      <c r="BH188" s="31"/>
      <c r="BI188" s="31"/>
      <c r="BJ188" s="31"/>
      <c r="BK188" s="31"/>
      <c r="BL188" s="31"/>
      <c r="BM188" s="31"/>
      <c r="BN188" s="31"/>
      <c r="BO188" s="31"/>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25"/>
      <c r="DX188" s="25"/>
      <c r="DY188" s="25"/>
      <c r="DZ188" s="25"/>
      <c r="EA188" s="25"/>
      <c r="EB188" s="25"/>
      <c r="EC188" s="25"/>
      <c r="ED188" s="25"/>
      <c r="EE188" s="25"/>
      <c r="EF188" s="25"/>
      <c r="EG188" s="25"/>
      <c r="EH188" s="25"/>
      <c r="EI188" s="25"/>
      <c r="EJ188" s="25"/>
      <c r="EK188" s="25"/>
      <c r="EL188" s="25"/>
      <c r="EM188" s="25"/>
      <c r="EN188" s="25"/>
      <c r="EO188" s="25"/>
      <c r="EP188" s="25"/>
      <c r="EQ188" s="25"/>
      <c r="ER188" s="25"/>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c r="GO188" s="25"/>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25"/>
      <c r="IK188" s="25"/>
      <c r="IL188" s="25"/>
      <c r="IM188" s="25"/>
      <c r="IN188" s="25"/>
      <c r="IO188" s="25"/>
      <c r="IP188" s="25"/>
      <c r="IQ188" s="25"/>
      <c r="IR188" s="25"/>
      <c r="IS188" s="25"/>
      <c r="IT188" s="25"/>
      <c r="IU188" s="25"/>
      <c r="IV188" s="25"/>
      <c r="IW188" s="25"/>
      <c r="IX188" s="25"/>
      <c r="IY188" s="25"/>
      <c r="IZ188" s="25"/>
      <c r="JA188" s="25"/>
      <c r="JB188" s="25"/>
      <c r="JC188" s="25"/>
      <c r="JD188" s="25"/>
      <c r="JE188" s="25"/>
      <c r="JF188" s="25"/>
      <c r="JG188" s="25"/>
      <c r="JH188" s="25"/>
      <c r="JI188" s="25"/>
      <c r="JJ188" s="25"/>
      <c r="JK188" s="25"/>
      <c r="JL188" s="25"/>
      <c r="JM188" s="25"/>
      <c r="JN188" s="25"/>
      <c r="JO188" s="25"/>
      <c r="JP188" s="25"/>
      <c r="JQ188" s="25"/>
      <c r="JR188" s="25"/>
      <c r="JS188" s="25"/>
      <c r="JT188" s="25"/>
      <c r="JU188" s="25"/>
      <c r="JV188" s="25"/>
      <c r="JW188" s="25"/>
      <c r="JX188" s="25"/>
      <c r="JY188" s="25"/>
      <c r="JZ188" s="25"/>
      <c r="KA188" s="25"/>
      <c r="KB188" s="25"/>
      <c r="KC188" s="25"/>
      <c r="KD188" s="25"/>
      <c r="KE188" s="25"/>
      <c r="KF188" s="25"/>
      <c r="KG188" s="25"/>
      <c r="KH188" s="25"/>
      <c r="KI188" s="25"/>
      <c r="KJ188" s="25"/>
      <c r="KK188" s="25"/>
      <c r="KL188" s="25"/>
      <c r="KM188" s="25"/>
      <c r="KN188" s="25"/>
      <c r="KO188" s="25"/>
      <c r="KP188" s="25"/>
      <c r="KQ188" s="25"/>
      <c r="KR188" s="25"/>
      <c r="KS188" s="25"/>
      <c r="KT188" s="25"/>
      <c r="KU188" s="25"/>
      <c r="KV188" s="25"/>
      <c r="KW188" s="25"/>
      <c r="KX188" s="25"/>
      <c r="KY188" s="25"/>
      <c r="KZ188" s="25"/>
      <c r="LA188" s="25"/>
      <c r="LB188" s="25"/>
      <c r="LC188" s="25"/>
      <c r="LD188" s="25"/>
      <c r="LE188" s="25"/>
      <c r="LF188" s="25"/>
      <c r="LG188" s="25"/>
      <c r="LH188" s="25"/>
      <c r="LI188" s="25"/>
      <c r="LJ188" s="25"/>
      <c r="LK188" s="25"/>
      <c r="LL188" s="25"/>
      <c r="LM188" s="25"/>
      <c r="LN188" s="25"/>
      <c r="LO188" s="25"/>
      <c r="LP188" s="25"/>
      <c r="LQ188" s="25"/>
      <c r="LR188" s="25"/>
      <c r="LS188" s="25"/>
      <c r="LT188" s="25"/>
      <c r="LU188" s="25"/>
      <c r="LV188" s="25"/>
      <c r="LW188" s="25"/>
      <c r="LX188" s="25"/>
      <c r="LY188" s="25"/>
      <c r="LZ188" s="25"/>
      <c r="MA188" s="25"/>
      <c r="MB188" s="25"/>
      <c r="MC188" s="25"/>
      <c r="MD188" s="25"/>
      <c r="ME188" s="25"/>
      <c r="MF188" s="25"/>
      <c r="MG188" s="25"/>
      <c r="MH188" s="25"/>
      <c r="MI188" s="25"/>
      <c r="MJ188" s="25"/>
      <c r="MK188" s="25"/>
      <c r="ML188" s="25"/>
      <c r="MM188" s="25"/>
      <c r="MN188" s="25"/>
      <c r="MO188" s="25"/>
      <c r="MP188" s="25"/>
      <c r="MQ188" s="25"/>
      <c r="MR188" s="25"/>
      <c r="MS188" s="25"/>
      <c r="MT188" s="25"/>
      <c r="MU188" s="25"/>
      <c r="MV188" s="25"/>
      <c r="MW188" s="25"/>
      <c r="MX188" s="25"/>
      <c r="MY188" s="25"/>
      <c r="MZ188" s="25"/>
      <c r="NA188" s="25"/>
      <c r="NB188" s="25"/>
      <c r="NC188" s="25"/>
      <c r="ND188" s="25"/>
      <c r="NE188" s="25"/>
      <c r="NF188" s="25"/>
      <c r="NG188" s="25"/>
      <c r="NH188" s="25"/>
      <c r="NI188" s="25"/>
      <c r="NJ188" s="25"/>
      <c r="NK188" s="25"/>
      <c r="NL188" s="25"/>
      <c r="NM188" s="25"/>
      <c r="NN188" s="25"/>
      <c r="NO188" s="25"/>
      <c r="NP188" s="25"/>
      <c r="NQ188" s="25"/>
      <c r="NR188" s="25"/>
      <c r="NS188" s="25"/>
      <c r="NT188" s="25"/>
      <c r="NU188" s="25"/>
      <c r="NV188" s="25"/>
      <c r="NW188" s="25"/>
      <c r="NX188" s="25"/>
      <c r="NY188" s="25"/>
      <c r="NZ188" s="25"/>
      <c r="OA188" s="25"/>
      <c r="OB188" s="25"/>
      <c r="OC188" s="25"/>
      <c r="OD188" s="25"/>
      <c r="OE188" s="25"/>
      <c r="OF188" s="25"/>
      <c r="OG188" s="25"/>
      <c r="OH188" s="25"/>
      <c r="OI188" s="25"/>
      <c r="OJ188" s="25"/>
      <c r="OK188" s="25"/>
      <c r="OL188" s="25"/>
      <c r="OM188" s="25"/>
      <c r="ON188" s="25"/>
      <c r="OO188" s="25"/>
      <c r="OP188" s="25"/>
      <c r="OQ188" s="25"/>
      <c r="OR188" s="25"/>
      <c r="OS188" s="25"/>
      <c r="OT188" s="25"/>
      <c r="OU188" s="25"/>
      <c r="OV188" s="25"/>
      <c r="OW188" s="25"/>
      <c r="OX188" s="25"/>
      <c r="OY188" s="25"/>
      <c r="OZ188" s="25"/>
      <c r="PA188" s="25"/>
      <c r="PB188" s="25"/>
      <c r="PC188" s="25"/>
      <c r="PD188" s="25"/>
      <c r="PE188" s="25"/>
      <c r="PF188" s="25"/>
      <c r="PG188" s="25"/>
      <c r="PH188" s="25"/>
      <c r="PI188" s="25"/>
      <c r="PJ188" s="25"/>
      <c r="PK188" s="25"/>
      <c r="PL188" s="25"/>
      <c r="PM188" s="25"/>
      <c r="PN188" s="25"/>
      <c r="PO188" s="25"/>
      <c r="PP188" s="25"/>
      <c r="PQ188" s="25"/>
      <c r="PR188" s="25"/>
      <c r="PS188" s="25"/>
      <c r="PT188" s="25"/>
      <c r="PU188" s="25"/>
      <c r="PV188" s="25"/>
      <c r="PW188" s="25"/>
      <c r="PX188" s="25"/>
      <c r="PY188" s="25"/>
      <c r="PZ188" s="25"/>
      <c r="QA188" s="25"/>
      <c r="QB188" s="25"/>
      <c r="QC188" s="25"/>
      <c r="QD188" s="25"/>
      <c r="QE188" s="25"/>
      <c r="QF188" s="25"/>
      <c r="QG188" s="25"/>
      <c r="QH188" s="25"/>
      <c r="QI188" s="25"/>
      <c r="QJ188" s="25"/>
      <c r="QK188" s="25"/>
      <c r="QL188" s="25"/>
      <c r="QM188" s="25"/>
      <c r="QN188" s="25"/>
      <c r="QO188" s="25"/>
      <c r="QP188" s="25"/>
      <c r="QQ188" s="25"/>
      <c r="QR188" s="25"/>
      <c r="QS188" s="25"/>
      <c r="QT188" s="25"/>
      <c r="QU188" s="25"/>
      <c r="QV188" s="25"/>
      <c r="QW188" s="25"/>
      <c r="QX188" s="25"/>
      <c r="QY188" s="25"/>
      <c r="QZ188" s="25"/>
      <c r="RA188" s="25"/>
      <c r="RB188" s="25"/>
      <c r="RC188" s="25"/>
      <c r="RD188" s="25"/>
      <c r="RE188" s="25"/>
      <c r="RF188" s="25"/>
      <c r="RG188" s="25"/>
      <c r="RH188" s="25"/>
      <c r="RI188" s="25"/>
      <c r="RJ188" s="25"/>
      <c r="RK188" s="25"/>
      <c r="RL188" s="25"/>
      <c r="RM188" s="25"/>
      <c r="RN188" s="25"/>
      <c r="RO188" s="25"/>
      <c r="RP188" s="25"/>
      <c r="RQ188" s="25"/>
      <c r="RR188" s="25"/>
      <c r="RS188" s="25"/>
      <c r="RT188" s="25"/>
      <c r="RU188" s="25"/>
      <c r="RV188" s="25"/>
      <c r="RW188" s="25"/>
      <c r="RX188" s="25"/>
      <c r="RY188" s="25"/>
      <c r="RZ188" s="25"/>
      <c r="SA188" s="25"/>
      <c r="SB188" s="25"/>
      <c r="SC188" s="25"/>
      <c r="SD188" s="25"/>
      <c r="SE188" s="25"/>
      <c r="SF188" s="25"/>
      <c r="SG188" s="25"/>
      <c r="SH188" s="25"/>
      <c r="SI188" s="25"/>
      <c r="SJ188" s="25"/>
      <c r="SK188" s="25"/>
      <c r="SL188" s="25"/>
      <c r="SM188" s="25"/>
      <c r="SN188" s="25"/>
      <c r="SO188" s="25"/>
      <c r="SP188" s="25"/>
      <c r="SQ188" s="25"/>
      <c r="SR188" s="25"/>
      <c r="SS188" s="25"/>
      <c r="ST188" s="25"/>
      <c r="SU188" s="25"/>
      <c r="SV188" s="25"/>
      <c r="SW188" s="25"/>
      <c r="SX188" s="25"/>
      <c r="SY188" s="25"/>
      <c r="SZ188" s="25"/>
      <c r="TA188" s="25"/>
      <c r="TB188" s="25"/>
      <c r="TC188" s="25"/>
      <c r="TD188" s="25"/>
      <c r="TE188" s="25"/>
      <c r="TF188" s="25"/>
      <c r="TG188" s="25"/>
      <c r="TH188" s="25"/>
      <c r="TI188" s="25"/>
      <c r="TJ188" s="25"/>
      <c r="TK188" s="25"/>
      <c r="TL188" s="25"/>
      <c r="TM188" s="25"/>
      <c r="TN188" s="25"/>
      <c r="TO188" s="25"/>
      <c r="TP188" s="25"/>
      <c r="TQ188" s="25"/>
      <c r="TR188" s="25"/>
      <c r="TS188" s="25"/>
      <c r="TT188" s="25"/>
      <c r="TU188" s="25"/>
      <c r="TV188" s="25"/>
      <c r="TW188" s="25"/>
      <c r="TX188" s="25"/>
      <c r="TY188" s="25"/>
      <c r="TZ188" s="25"/>
      <c r="UA188" s="25"/>
      <c r="UB188" s="25"/>
      <c r="UC188" s="25"/>
      <c r="UD188" s="25"/>
      <c r="UE188" s="25"/>
      <c r="UF188" s="25"/>
      <c r="UG188" s="26"/>
    </row>
    <row r="189" spans="1:553" ht="21.75" customHeight="1">
      <c r="A189" s="356" t="s">
        <v>17</v>
      </c>
      <c r="B189" s="356"/>
      <c r="C189" s="1404" t="s">
        <v>18</v>
      </c>
      <c r="D189" s="1389"/>
      <c r="E189" s="1389"/>
      <c r="F189" s="1390"/>
      <c r="G189" s="356" t="s">
        <v>1393</v>
      </c>
      <c r="H189" s="359">
        <f>SUM(H190:H211)</f>
        <v>5094.9000000000005</v>
      </c>
      <c r="I189" s="359">
        <f>SUM(I190:I211)</f>
        <v>5094.9000000000005</v>
      </c>
      <c r="J189" s="368"/>
      <c r="K189" s="371"/>
      <c r="L189" s="461">
        <f t="shared" ref="L189" si="39">SUM(L190:L211)</f>
        <v>430616800</v>
      </c>
      <c r="M189" s="440"/>
      <c r="N189" s="440"/>
      <c r="O189" s="461"/>
      <c r="P189" s="461">
        <f>L189</f>
        <v>430616800</v>
      </c>
      <c r="Q189" s="1084"/>
      <c r="R189" s="486"/>
      <c r="S189" s="308"/>
      <c r="T189" s="303"/>
      <c r="U189" s="306"/>
      <c r="V189" s="307"/>
      <c r="W189" s="306"/>
      <c r="X189" s="306"/>
      <c r="Y189" s="306"/>
      <c r="Z189" s="306"/>
      <c r="AA189" s="306"/>
      <c r="AB189" s="306"/>
      <c r="AC189" s="449"/>
      <c r="AD189" s="449"/>
      <c r="AE189" s="449"/>
      <c r="AF189" s="449"/>
      <c r="AG189" s="449"/>
      <c r="AH189" s="449"/>
      <c r="AI189" s="449"/>
      <c r="AJ189" s="449"/>
      <c r="AK189" s="452"/>
      <c r="AL189" s="104"/>
      <c r="AM189" s="32"/>
      <c r="AN189" s="32"/>
      <c r="AO189" s="30"/>
      <c r="AP189" s="32"/>
      <c r="AQ189" s="32"/>
      <c r="AR189" s="32"/>
      <c r="AS189" s="31"/>
      <c r="AT189" s="31"/>
      <c r="AU189" s="31"/>
      <c r="AV189" s="31"/>
      <c r="AW189" s="31"/>
      <c r="AX189" s="31"/>
      <c r="AY189" s="31"/>
      <c r="AZ189" s="31"/>
      <c r="BA189" s="31"/>
      <c r="BB189" s="31"/>
      <c r="BC189" s="31"/>
      <c r="BD189" s="31"/>
      <c r="BE189" s="31"/>
      <c r="BF189" s="31"/>
      <c r="BG189" s="31"/>
      <c r="BH189" s="31"/>
      <c r="BI189" s="31"/>
      <c r="BJ189" s="31"/>
      <c r="BK189" s="31"/>
      <c r="BL189" s="31"/>
      <c r="BM189" s="31"/>
      <c r="BN189" s="31"/>
      <c r="BO189" s="31"/>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25"/>
      <c r="IK189" s="25"/>
      <c r="IL189" s="25"/>
      <c r="IM189" s="25"/>
      <c r="IN189" s="25"/>
      <c r="IO189" s="25"/>
      <c r="IP189" s="25"/>
      <c r="IQ189" s="25"/>
      <c r="IR189" s="25"/>
      <c r="IS189" s="25"/>
      <c r="IT189" s="25"/>
      <c r="IU189" s="25"/>
      <c r="IV189" s="25"/>
      <c r="IW189" s="25"/>
      <c r="IX189" s="25"/>
      <c r="IY189" s="25"/>
      <c r="IZ189" s="25"/>
      <c r="JA189" s="25"/>
      <c r="JB189" s="25"/>
      <c r="JC189" s="25"/>
      <c r="JD189" s="25"/>
      <c r="JE189" s="25"/>
      <c r="JF189" s="25"/>
      <c r="JG189" s="25"/>
      <c r="JH189" s="25"/>
      <c r="JI189" s="25"/>
      <c r="JJ189" s="25"/>
      <c r="JK189" s="25"/>
      <c r="JL189" s="25"/>
      <c r="JM189" s="25"/>
      <c r="JN189" s="25"/>
      <c r="JO189" s="25"/>
      <c r="JP189" s="25"/>
      <c r="JQ189" s="25"/>
      <c r="JR189" s="25"/>
      <c r="JS189" s="25"/>
      <c r="JT189" s="25"/>
      <c r="JU189" s="25"/>
      <c r="JV189" s="25"/>
      <c r="JW189" s="25"/>
      <c r="JX189" s="25"/>
      <c r="JY189" s="25"/>
      <c r="JZ189" s="25"/>
      <c r="KA189" s="25"/>
      <c r="KB189" s="25"/>
      <c r="KC189" s="25"/>
      <c r="KD189" s="25"/>
      <c r="KE189" s="25"/>
      <c r="KF189" s="25"/>
      <c r="KG189" s="25"/>
      <c r="KH189" s="25"/>
      <c r="KI189" s="25"/>
      <c r="KJ189" s="25"/>
      <c r="KK189" s="25"/>
      <c r="KL189" s="25"/>
      <c r="KM189" s="25"/>
      <c r="KN189" s="25"/>
      <c r="KO189" s="25"/>
      <c r="KP189" s="25"/>
      <c r="KQ189" s="25"/>
      <c r="KR189" s="25"/>
      <c r="KS189" s="25"/>
      <c r="KT189" s="25"/>
      <c r="KU189" s="25"/>
      <c r="KV189" s="25"/>
      <c r="KW189" s="25"/>
      <c r="KX189" s="25"/>
      <c r="KY189" s="25"/>
      <c r="KZ189" s="25"/>
      <c r="LA189" s="25"/>
      <c r="LB189" s="25"/>
      <c r="LC189" s="25"/>
      <c r="LD189" s="25"/>
      <c r="LE189" s="25"/>
      <c r="LF189" s="25"/>
      <c r="LG189" s="25"/>
      <c r="LH189" s="25"/>
      <c r="LI189" s="25"/>
      <c r="LJ189" s="25"/>
      <c r="LK189" s="25"/>
      <c r="LL189" s="25"/>
      <c r="LM189" s="25"/>
      <c r="LN189" s="25"/>
      <c r="LO189" s="25"/>
      <c r="LP189" s="25"/>
      <c r="LQ189" s="25"/>
      <c r="LR189" s="25"/>
      <c r="LS189" s="25"/>
      <c r="LT189" s="25"/>
      <c r="LU189" s="25"/>
      <c r="LV189" s="25"/>
      <c r="LW189" s="25"/>
      <c r="LX189" s="25"/>
      <c r="LY189" s="25"/>
      <c r="LZ189" s="25"/>
      <c r="MA189" s="25"/>
      <c r="MB189" s="25"/>
      <c r="MC189" s="25"/>
      <c r="MD189" s="25"/>
      <c r="ME189" s="25"/>
      <c r="MF189" s="25"/>
      <c r="MG189" s="25"/>
      <c r="MH189" s="25"/>
      <c r="MI189" s="25"/>
      <c r="MJ189" s="25"/>
      <c r="MK189" s="25"/>
      <c r="ML189" s="25"/>
      <c r="MM189" s="25"/>
      <c r="MN189" s="25"/>
      <c r="MO189" s="25"/>
      <c r="MP189" s="25"/>
      <c r="MQ189" s="25"/>
      <c r="MR189" s="25"/>
      <c r="MS189" s="25"/>
      <c r="MT189" s="25"/>
      <c r="MU189" s="25"/>
      <c r="MV189" s="25"/>
      <c r="MW189" s="25"/>
      <c r="MX189" s="25"/>
      <c r="MY189" s="25"/>
      <c r="MZ189" s="25"/>
      <c r="NA189" s="25"/>
      <c r="NB189" s="25"/>
      <c r="NC189" s="25"/>
      <c r="ND189" s="25"/>
      <c r="NE189" s="25"/>
      <c r="NF189" s="25"/>
      <c r="NG189" s="25"/>
      <c r="NH189" s="25"/>
      <c r="NI189" s="25"/>
      <c r="NJ189" s="25"/>
      <c r="NK189" s="25"/>
      <c r="NL189" s="25"/>
      <c r="NM189" s="25"/>
      <c r="NN189" s="25"/>
      <c r="NO189" s="25"/>
      <c r="NP189" s="25"/>
      <c r="NQ189" s="25"/>
      <c r="NR189" s="25"/>
      <c r="NS189" s="25"/>
      <c r="NT189" s="25"/>
      <c r="NU189" s="25"/>
      <c r="NV189" s="25"/>
      <c r="NW189" s="25"/>
      <c r="NX189" s="25"/>
      <c r="NY189" s="25"/>
      <c r="NZ189" s="25"/>
      <c r="OA189" s="25"/>
      <c r="OB189" s="25"/>
      <c r="OC189" s="25"/>
      <c r="OD189" s="25"/>
      <c r="OE189" s="25"/>
      <c r="OF189" s="25"/>
      <c r="OG189" s="25"/>
      <c r="OH189" s="25"/>
      <c r="OI189" s="25"/>
      <c r="OJ189" s="25"/>
      <c r="OK189" s="25"/>
      <c r="OL189" s="25"/>
      <c r="OM189" s="25"/>
      <c r="ON189" s="25"/>
      <c r="OO189" s="25"/>
      <c r="OP189" s="25"/>
      <c r="OQ189" s="25"/>
      <c r="OR189" s="25"/>
      <c r="OS189" s="25"/>
      <c r="OT189" s="25"/>
      <c r="OU189" s="25"/>
      <c r="OV189" s="25"/>
      <c r="OW189" s="25"/>
      <c r="OX189" s="25"/>
      <c r="OY189" s="25"/>
      <c r="OZ189" s="25"/>
      <c r="PA189" s="25"/>
      <c r="PB189" s="25"/>
      <c r="PC189" s="25"/>
      <c r="PD189" s="25"/>
      <c r="PE189" s="25"/>
      <c r="PF189" s="25"/>
      <c r="PG189" s="25"/>
      <c r="PH189" s="25"/>
      <c r="PI189" s="25"/>
      <c r="PJ189" s="25"/>
      <c r="PK189" s="25"/>
      <c r="PL189" s="25"/>
      <c r="PM189" s="25"/>
      <c r="PN189" s="25"/>
      <c r="PO189" s="25"/>
      <c r="PP189" s="25"/>
      <c r="PQ189" s="25"/>
      <c r="PR189" s="25"/>
      <c r="PS189" s="25"/>
      <c r="PT189" s="25"/>
      <c r="PU189" s="25"/>
      <c r="PV189" s="25"/>
      <c r="PW189" s="25"/>
      <c r="PX189" s="25"/>
      <c r="PY189" s="25"/>
      <c r="PZ189" s="25"/>
      <c r="QA189" s="25"/>
      <c r="QB189" s="25"/>
      <c r="QC189" s="25"/>
      <c r="QD189" s="25"/>
      <c r="QE189" s="25"/>
      <c r="QF189" s="25"/>
      <c r="QG189" s="25"/>
      <c r="QH189" s="25"/>
      <c r="QI189" s="25"/>
      <c r="QJ189" s="25"/>
      <c r="QK189" s="25"/>
      <c r="QL189" s="25"/>
      <c r="QM189" s="25"/>
      <c r="QN189" s="25"/>
      <c r="QO189" s="25"/>
      <c r="QP189" s="25"/>
      <c r="QQ189" s="25"/>
      <c r="QR189" s="25"/>
      <c r="QS189" s="25"/>
      <c r="QT189" s="25"/>
      <c r="QU189" s="25"/>
      <c r="QV189" s="25"/>
      <c r="QW189" s="25"/>
      <c r="QX189" s="25"/>
      <c r="QY189" s="25"/>
      <c r="QZ189" s="25"/>
      <c r="RA189" s="25"/>
      <c r="RB189" s="25"/>
      <c r="RC189" s="25"/>
      <c r="RD189" s="25"/>
      <c r="RE189" s="25"/>
      <c r="RF189" s="25"/>
      <c r="RG189" s="25"/>
      <c r="RH189" s="25"/>
      <c r="RI189" s="25"/>
      <c r="RJ189" s="25"/>
      <c r="RK189" s="25"/>
      <c r="RL189" s="25"/>
      <c r="RM189" s="25"/>
      <c r="RN189" s="25"/>
      <c r="RO189" s="25"/>
      <c r="RP189" s="25"/>
      <c r="RQ189" s="25"/>
      <c r="RR189" s="25"/>
      <c r="RS189" s="25"/>
      <c r="RT189" s="25"/>
      <c r="RU189" s="25"/>
      <c r="RV189" s="25"/>
      <c r="RW189" s="25"/>
      <c r="RX189" s="25"/>
      <c r="RY189" s="25"/>
      <c r="RZ189" s="25"/>
      <c r="SA189" s="25"/>
      <c r="SB189" s="25"/>
      <c r="SC189" s="25"/>
      <c r="SD189" s="25"/>
      <c r="SE189" s="25"/>
      <c r="SF189" s="25"/>
      <c r="SG189" s="25"/>
      <c r="SH189" s="25"/>
      <c r="SI189" s="25"/>
      <c r="SJ189" s="25"/>
      <c r="SK189" s="25"/>
      <c r="SL189" s="25"/>
      <c r="SM189" s="25"/>
      <c r="SN189" s="25"/>
      <c r="SO189" s="25"/>
      <c r="SP189" s="25"/>
      <c r="SQ189" s="25"/>
      <c r="SR189" s="25"/>
      <c r="SS189" s="25"/>
      <c r="ST189" s="25"/>
      <c r="SU189" s="25"/>
      <c r="SV189" s="25"/>
      <c r="SW189" s="25"/>
      <c r="SX189" s="25"/>
      <c r="SY189" s="25"/>
      <c r="SZ189" s="25"/>
      <c r="TA189" s="25"/>
      <c r="TB189" s="25"/>
      <c r="TC189" s="25"/>
      <c r="TD189" s="25"/>
      <c r="TE189" s="25"/>
      <c r="TF189" s="25"/>
      <c r="TG189" s="25"/>
      <c r="TH189" s="25"/>
      <c r="TI189" s="25"/>
      <c r="TJ189" s="25"/>
      <c r="TK189" s="25"/>
      <c r="TL189" s="25"/>
      <c r="TM189" s="25"/>
      <c r="TN189" s="25"/>
      <c r="TO189" s="25"/>
      <c r="TP189" s="25"/>
      <c r="TQ189" s="25"/>
      <c r="TR189" s="25"/>
      <c r="TS189" s="25"/>
      <c r="TT189" s="25"/>
      <c r="TU189" s="25"/>
      <c r="TV189" s="25"/>
      <c r="TW189" s="25"/>
      <c r="TX189" s="25"/>
      <c r="TY189" s="25"/>
      <c r="TZ189" s="25"/>
      <c r="UA189" s="25"/>
      <c r="UB189" s="25"/>
      <c r="UC189" s="25"/>
      <c r="UD189" s="25"/>
      <c r="UE189" s="25"/>
      <c r="UF189" s="25"/>
      <c r="UG189" s="26"/>
    </row>
    <row r="190" spans="1:553" ht="55.5" customHeight="1">
      <c r="A190" s="356" t="s">
        <v>15</v>
      </c>
      <c r="B190" s="385"/>
      <c r="C190" s="384" t="s">
        <v>19</v>
      </c>
      <c r="D190" s="1432" t="s">
        <v>20</v>
      </c>
      <c r="E190" s="1432" t="s">
        <v>212</v>
      </c>
      <c r="F190" s="385">
        <v>1</v>
      </c>
      <c r="G190" s="386" t="s">
        <v>935</v>
      </c>
      <c r="H190" s="1470">
        <v>431.9</v>
      </c>
      <c r="I190" s="1055">
        <v>400</v>
      </c>
      <c r="J190" s="368">
        <v>390000</v>
      </c>
      <c r="K190" s="371"/>
      <c r="L190" s="391">
        <f>ROUND(PRODUCT(I190:K190),0)</f>
        <v>156000000</v>
      </c>
      <c r="M190" s="392"/>
      <c r="N190" s="392"/>
      <c r="O190" s="366"/>
      <c r="P190" s="366"/>
      <c r="Q190" s="1415" t="s">
        <v>211</v>
      </c>
      <c r="R190" s="1447" t="s">
        <v>865</v>
      </c>
      <c r="S190" s="308"/>
      <c r="T190" s="303"/>
      <c r="U190" s="306"/>
      <c r="V190" s="307"/>
      <c r="W190" s="306"/>
      <c r="X190" s="306"/>
      <c r="Y190" s="306"/>
      <c r="Z190" s="306"/>
      <c r="AA190" s="306"/>
      <c r="AB190" s="306"/>
      <c r="AC190" s="449">
        <f>I190</f>
        <v>400</v>
      </c>
      <c r="AD190" s="449"/>
      <c r="AE190" s="449"/>
      <c r="AF190" s="449"/>
      <c r="AG190" s="449"/>
      <c r="AH190" s="449"/>
      <c r="AI190" s="449"/>
      <c r="AJ190" s="449"/>
      <c r="AK190" s="452"/>
      <c r="AL190" s="104"/>
      <c r="AM190" s="32"/>
      <c r="AN190" s="32"/>
      <c r="AO190" s="32"/>
      <c r="AP190" s="32"/>
      <c r="AQ190" s="32"/>
      <c r="AR190" s="32"/>
      <c r="AS190" s="31"/>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25"/>
      <c r="IK190" s="25"/>
      <c r="IL190" s="25"/>
      <c r="IM190" s="25"/>
      <c r="IN190" s="25"/>
      <c r="IO190" s="25"/>
      <c r="IP190" s="25"/>
      <c r="IQ190" s="25"/>
      <c r="IR190" s="25"/>
      <c r="IS190" s="25"/>
      <c r="IT190" s="25"/>
      <c r="IU190" s="25"/>
      <c r="IV190" s="25"/>
      <c r="IW190" s="25"/>
      <c r="IX190" s="25"/>
      <c r="IY190" s="25"/>
      <c r="IZ190" s="25"/>
      <c r="JA190" s="25"/>
      <c r="JB190" s="25"/>
      <c r="JC190" s="25"/>
      <c r="JD190" s="25"/>
      <c r="JE190" s="25"/>
      <c r="JF190" s="25"/>
      <c r="JG190" s="25"/>
      <c r="JH190" s="25"/>
      <c r="JI190" s="25"/>
      <c r="JJ190" s="25"/>
      <c r="JK190" s="25"/>
      <c r="JL190" s="25"/>
      <c r="JM190" s="25"/>
      <c r="JN190" s="25"/>
      <c r="JO190" s="25"/>
      <c r="JP190" s="25"/>
      <c r="JQ190" s="25"/>
      <c r="JR190" s="25"/>
      <c r="JS190" s="25"/>
      <c r="JT190" s="25"/>
      <c r="JU190" s="25"/>
      <c r="JV190" s="25"/>
      <c r="JW190" s="25"/>
      <c r="JX190" s="25"/>
      <c r="JY190" s="25"/>
      <c r="JZ190" s="25"/>
      <c r="KA190" s="25"/>
      <c r="KB190" s="25"/>
      <c r="KC190" s="25"/>
      <c r="KD190" s="25"/>
      <c r="KE190" s="25"/>
      <c r="KF190" s="25"/>
      <c r="KG190" s="25"/>
      <c r="KH190" s="25"/>
      <c r="KI190" s="25"/>
      <c r="KJ190" s="25"/>
      <c r="KK190" s="25"/>
      <c r="KL190" s="25"/>
      <c r="KM190" s="25"/>
      <c r="KN190" s="25"/>
      <c r="KO190" s="25"/>
      <c r="KP190" s="25"/>
      <c r="KQ190" s="25"/>
      <c r="KR190" s="25"/>
      <c r="KS190" s="25"/>
      <c r="KT190" s="25"/>
      <c r="KU190" s="25"/>
      <c r="KV190" s="25"/>
      <c r="KW190" s="25"/>
      <c r="KX190" s="25"/>
      <c r="KY190" s="25"/>
      <c r="KZ190" s="25"/>
      <c r="LA190" s="25"/>
      <c r="LB190" s="25"/>
      <c r="LC190" s="25"/>
      <c r="LD190" s="25"/>
      <c r="LE190" s="25"/>
      <c r="LF190" s="25"/>
      <c r="LG190" s="25"/>
      <c r="LH190" s="25"/>
      <c r="LI190" s="25"/>
      <c r="LJ190" s="25"/>
      <c r="LK190" s="25"/>
      <c r="LL190" s="25"/>
      <c r="LM190" s="25"/>
      <c r="LN190" s="25"/>
      <c r="LO190" s="25"/>
      <c r="LP190" s="25"/>
      <c r="LQ190" s="25"/>
      <c r="LR190" s="25"/>
      <c r="LS190" s="25"/>
      <c r="LT190" s="25"/>
      <c r="LU190" s="25"/>
      <c r="LV190" s="25"/>
      <c r="LW190" s="25"/>
      <c r="LX190" s="25"/>
      <c r="LY190" s="25"/>
      <c r="LZ190" s="25"/>
      <c r="MA190" s="25"/>
      <c r="MB190" s="25"/>
      <c r="MC190" s="25"/>
      <c r="MD190" s="25"/>
      <c r="ME190" s="25"/>
      <c r="MF190" s="25"/>
      <c r="MG190" s="25"/>
      <c r="MH190" s="25"/>
      <c r="MI190" s="25"/>
      <c r="MJ190" s="25"/>
      <c r="MK190" s="25"/>
      <c r="ML190" s="25"/>
      <c r="MM190" s="25"/>
      <c r="MN190" s="25"/>
      <c r="MO190" s="25"/>
      <c r="MP190" s="25"/>
      <c r="MQ190" s="25"/>
      <c r="MR190" s="25"/>
      <c r="MS190" s="25"/>
      <c r="MT190" s="25"/>
      <c r="MU190" s="25"/>
      <c r="MV190" s="25"/>
      <c r="MW190" s="25"/>
      <c r="MX190" s="25"/>
      <c r="MY190" s="25"/>
      <c r="MZ190" s="25"/>
      <c r="NA190" s="25"/>
      <c r="NB190" s="25"/>
      <c r="NC190" s="25"/>
      <c r="ND190" s="25"/>
      <c r="NE190" s="25"/>
      <c r="NF190" s="25"/>
      <c r="NG190" s="25"/>
      <c r="NH190" s="25"/>
      <c r="NI190" s="25"/>
      <c r="NJ190" s="25"/>
      <c r="NK190" s="25"/>
      <c r="NL190" s="25"/>
      <c r="NM190" s="25"/>
      <c r="NN190" s="25"/>
      <c r="NO190" s="25"/>
      <c r="NP190" s="25"/>
      <c r="NQ190" s="25"/>
      <c r="NR190" s="25"/>
      <c r="NS190" s="25"/>
      <c r="NT190" s="25"/>
      <c r="NU190" s="25"/>
      <c r="NV190" s="25"/>
      <c r="NW190" s="25"/>
      <c r="NX190" s="25"/>
      <c r="NY190" s="25"/>
      <c r="NZ190" s="25"/>
      <c r="OA190" s="25"/>
      <c r="OB190" s="25"/>
      <c r="OC190" s="25"/>
      <c r="OD190" s="25"/>
      <c r="OE190" s="25"/>
      <c r="OF190" s="25"/>
      <c r="OG190" s="25"/>
      <c r="OH190" s="25"/>
      <c r="OI190" s="25"/>
      <c r="OJ190" s="25"/>
      <c r="OK190" s="25"/>
      <c r="OL190" s="25"/>
      <c r="OM190" s="25"/>
      <c r="ON190" s="25"/>
      <c r="OO190" s="25"/>
      <c r="OP190" s="25"/>
      <c r="OQ190" s="25"/>
      <c r="OR190" s="25"/>
      <c r="OS190" s="25"/>
      <c r="OT190" s="25"/>
      <c r="OU190" s="25"/>
      <c r="OV190" s="25"/>
      <c r="OW190" s="25"/>
      <c r="OX190" s="25"/>
      <c r="OY190" s="25"/>
      <c r="OZ190" s="25"/>
      <c r="PA190" s="25"/>
      <c r="PB190" s="25"/>
      <c r="PC190" s="25"/>
      <c r="PD190" s="25"/>
      <c r="PE190" s="25"/>
      <c r="PF190" s="25"/>
      <c r="PG190" s="25"/>
      <c r="PH190" s="25"/>
      <c r="PI190" s="25"/>
      <c r="PJ190" s="25"/>
      <c r="PK190" s="25"/>
      <c r="PL190" s="25"/>
      <c r="PM190" s="25"/>
      <c r="PN190" s="25"/>
      <c r="PO190" s="25"/>
      <c r="PP190" s="25"/>
      <c r="PQ190" s="25"/>
      <c r="PR190" s="25"/>
      <c r="PS190" s="25"/>
      <c r="PT190" s="25"/>
      <c r="PU190" s="25"/>
      <c r="PV190" s="25"/>
      <c r="PW190" s="25"/>
      <c r="PX190" s="25"/>
      <c r="PY190" s="25"/>
      <c r="PZ190" s="25"/>
      <c r="QA190" s="25"/>
      <c r="QB190" s="25"/>
      <c r="QC190" s="25"/>
      <c r="QD190" s="25"/>
      <c r="QE190" s="25"/>
      <c r="QF190" s="25"/>
      <c r="QG190" s="25"/>
      <c r="QH190" s="25"/>
      <c r="QI190" s="25"/>
      <c r="QJ190" s="25"/>
      <c r="QK190" s="25"/>
      <c r="QL190" s="25"/>
      <c r="QM190" s="25"/>
      <c r="QN190" s="25"/>
      <c r="QO190" s="25"/>
      <c r="QP190" s="25"/>
      <c r="QQ190" s="25"/>
      <c r="QR190" s="25"/>
      <c r="QS190" s="25"/>
      <c r="QT190" s="25"/>
      <c r="QU190" s="25"/>
      <c r="QV190" s="25"/>
      <c r="QW190" s="25"/>
      <c r="QX190" s="25"/>
      <c r="QY190" s="25"/>
      <c r="QZ190" s="25"/>
      <c r="RA190" s="25"/>
      <c r="RB190" s="25"/>
      <c r="RC190" s="25"/>
      <c r="RD190" s="25"/>
      <c r="RE190" s="25"/>
      <c r="RF190" s="25"/>
      <c r="RG190" s="25"/>
      <c r="RH190" s="25"/>
      <c r="RI190" s="25"/>
      <c r="RJ190" s="25"/>
      <c r="RK190" s="25"/>
      <c r="RL190" s="25"/>
      <c r="RM190" s="25"/>
      <c r="RN190" s="25"/>
      <c r="RO190" s="25"/>
      <c r="RP190" s="25"/>
      <c r="RQ190" s="25"/>
      <c r="RR190" s="25"/>
      <c r="RS190" s="25"/>
      <c r="RT190" s="25"/>
      <c r="RU190" s="25"/>
      <c r="RV190" s="25"/>
      <c r="RW190" s="25"/>
      <c r="RX190" s="25"/>
      <c r="RY190" s="25"/>
      <c r="RZ190" s="25"/>
      <c r="SA190" s="25"/>
      <c r="SB190" s="25"/>
      <c r="SC190" s="25"/>
      <c r="SD190" s="25"/>
      <c r="SE190" s="25"/>
      <c r="SF190" s="25"/>
      <c r="SG190" s="25"/>
      <c r="SH190" s="25"/>
      <c r="SI190" s="25"/>
      <c r="SJ190" s="25"/>
      <c r="SK190" s="25"/>
      <c r="SL190" s="25"/>
      <c r="SM190" s="25"/>
      <c r="SN190" s="25"/>
      <c r="SO190" s="25"/>
      <c r="SP190" s="25"/>
      <c r="SQ190" s="25"/>
      <c r="SR190" s="25"/>
      <c r="SS190" s="25"/>
      <c r="ST190" s="25"/>
      <c r="SU190" s="25"/>
      <c r="SV190" s="25"/>
      <c r="SW190" s="25"/>
      <c r="SX190" s="25"/>
      <c r="SY190" s="25"/>
      <c r="SZ190" s="25"/>
      <c r="TA190" s="25"/>
      <c r="TB190" s="25"/>
      <c r="TC190" s="25"/>
      <c r="TD190" s="25"/>
      <c r="TE190" s="25"/>
      <c r="TF190" s="25"/>
      <c r="TG190" s="25"/>
      <c r="TH190" s="25"/>
      <c r="TI190" s="25"/>
      <c r="TJ190" s="25"/>
      <c r="TK190" s="25"/>
      <c r="TL190" s="25"/>
      <c r="TM190" s="25"/>
      <c r="TN190" s="25"/>
      <c r="TO190" s="25"/>
      <c r="TP190" s="25"/>
      <c r="TQ190" s="25"/>
      <c r="TR190" s="25"/>
      <c r="TS190" s="25"/>
      <c r="TT190" s="25"/>
      <c r="TU190" s="25"/>
      <c r="TV190" s="25"/>
      <c r="TW190" s="25"/>
      <c r="TX190" s="25"/>
      <c r="TY190" s="25"/>
      <c r="TZ190" s="25"/>
      <c r="UA190" s="25"/>
      <c r="UB190" s="25"/>
      <c r="UC190" s="25"/>
      <c r="UD190" s="25"/>
      <c r="UE190" s="25"/>
      <c r="UF190" s="25"/>
      <c r="UG190" s="26"/>
    </row>
    <row r="191" spans="1:553" s="169" customFormat="1" ht="68.25" customHeight="1">
      <c r="A191" s="356" t="s">
        <v>15</v>
      </c>
      <c r="B191" s="385"/>
      <c r="C191" s="384" t="s">
        <v>22</v>
      </c>
      <c r="D191" s="1433"/>
      <c r="E191" s="1434"/>
      <c r="F191" s="385">
        <v>1</v>
      </c>
      <c r="G191" s="386" t="s">
        <v>935</v>
      </c>
      <c r="H191" s="1433"/>
      <c r="I191" s="1055">
        <v>31.9</v>
      </c>
      <c r="J191" s="368">
        <v>60000</v>
      </c>
      <c r="K191" s="371"/>
      <c r="L191" s="391">
        <f t="shared" ref="L191" si="40">ROUND(PRODUCT(I191:K191),0)</f>
        <v>1914000</v>
      </c>
      <c r="M191" s="392"/>
      <c r="N191" s="392"/>
      <c r="O191" s="366"/>
      <c r="P191" s="366"/>
      <c r="Q191" s="1416"/>
      <c r="R191" s="1447"/>
      <c r="S191" s="308"/>
      <c r="T191" s="303"/>
      <c r="U191" s="306"/>
      <c r="V191" s="307"/>
      <c r="W191" s="306"/>
      <c r="X191" s="306"/>
      <c r="Y191" s="306"/>
      <c r="Z191" s="306"/>
      <c r="AA191" s="306"/>
      <c r="AB191" s="306">
        <f>I191</f>
        <v>31.9</v>
      </c>
      <c r="AC191" s="449"/>
      <c r="AD191" s="449"/>
      <c r="AE191" s="449"/>
      <c r="AF191" s="449"/>
      <c r="AG191" s="449"/>
      <c r="AH191" s="449"/>
      <c r="AI191" s="449"/>
      <c r="AJ191" s="449"/>
      <c r="AK191" s="452"/>
      <c r="AL191" s="869"/>
      <c r="AM191" s="870"/>
      <c r="AN191" s="870"/>
      <c r="AO191" s="870"/>
      <c r="AP191" s="870"/>
      <c r="AQ191" s="870"/>
      <c r="AR191" s="870"/>
      <c r="AS191" s="165"/>
      <c r="AT191" s="166"/>
      <c r="AU191" s="166"/>
      <c r="AV191" s="166"/>
      <c r="AW191" s="166"/>
      <c r="AX191" s="166"/>
      <c r="AY191" s="166"/>
      <c r="AZ191" s="166"/>
      <c r="BA191" s="166"/>
      <c r="BB191" s="166"/>
      <c r="BC191" s="166"/>
      <c r="BD191" s="166"/>
      <c r="BE191" s="166"/>
      <c r="BF191" s="166"/>
      <c r="BG191" s="166"/>
      <c r="BH191" s="166"/>
      <c r="BI191" s="166"/>
      <c r="BJ191" s="166"/>
      <c r="BK191" s="166"/>
      <c r="BL191" s="166"/>
      <c r="BM191" s="166"/>
      <c r="BN191" s="166"/>
      <c r="BO191" s="166"/>
      <c r="BP191" s="167"/>
      <c r="BQ191" s="167"/>
      <c r="BR191" s="167"/>
      <c r="BS191" s="167"/>
      <c r="BT191" s="167"/>
      <c r="BU191" s="167"/>
      <c r="BV191" s="167"/>
      <c r="BW191" s="167"/>
      <c r="BX191" s="167"/>
      <c r="BY191" s="167"/>
      <c r="BZ191" s="167"/>
      <c r="CA191" s="167"/>
      <c r="CB191" s="167"/>
      <c r="CC191" s="167"/>
      <c r="CD191" s="167"/>
      <c r="CE191" s="167"/>
      <c r="CF191" s="167"/>
      <c r="CG191" s="167"/>
      <c r="CH191" s="167"/>
      <c r="CI191" s="167"/>
      <c r="CJ191" s="167"/>
      <c r="CK191" s="167"/>
      <c r="CL191" s="167"/>
      <c r="CM191" s="167"/>
      <c r="CN191" s="167"/>
      <c r="CO191" s="167"/>
      <c r="CP191" s="167"/>
      <c r="CQ191" s="167"/>
      <c r="CR191" s="167"/>
      <c r="CS191" s="167"/>
      <c r="CT191" s="167"/>
      <c r="CU191" s="167"/>
      <c r="CV191" s="167"/>
      <c r="CW191" s="167"/>
      <c r="CX191" s="167"/>
      <c r="CY191" s="167"/>
      <c r="CZ191" s="167"/>
      <c r="DA191" s="167"/>
      <c r="DB191" s="167"/>
      <c r="DC191" s="167"/>
      <c r="DD191" s="167"/>
      <c r="DE191" s="167"/>
      <c r="DF191" s="167"/>
      <c r="DG191" s="167"/>
      <c r="DH191" s="167"/>
      <c r="DI191" s="167"/>
      <c r="DJ191" s="167"/>
      <c r="DK191" s="167"/>
      <c r="DL191" s="167"/>
      <c r="DM191" s="167"/>
      <c r="DN191" s="167"/>
      <c r="DO191" s="167"/>
      <c r="DP191" s="167"/>
      <c r="DQ191" s="167"/>
      <c r="DR191" s="167"/>
      <c r="DS191" s="167"/>
      <c r="DT191" s="167"/>
      <c r="DU191" s="167"/>
      <c r="DV191" s="167"/>
      <c r="DW191" s="167"/>
      <c r="DX191" s="167"/>
      <c r="DY191" s="167"/>
      <c r="DZ191" s="167"/>
      <c r="EA191" s="167"/>
      <c r="EB191" s="167"/>
      <c r="EC191" s="167"/>
      <c r="ED191" s="167"/>
      <c r="EE191" s="167"/>
      <c r="EF191" s="167"/>
      <c r="EG191" s="167"/>
      <c r="EH191" s="167"/>
      <c r="EI191" s="167"/>
      <c r="EJ191" s="167"/>
      <c r="EK191" s="167"/>
      <c r="EL191" s="167"/>
      <c r="EM191" s="167"/>
      <c r="EN191" s="167"/>
      <c r="EO191" s="167"/>
      <c r="EP191" s="167"/>
      <c r="EQ191" s="167"/>
      <c r="ER191" s="167"/>
      <c r="ES191" s="167"/>
      <c r="ET191" s="167"/>
      <c r="EU191" s="167"/>
      <c r="EV191" s="167"/>
      <c r="EW191" s="167"/>
      <c r="EX191" s="167"/>
      <c r="EY191" s="167"/>
      <c r="EZ191" s="167"/>
      <c r="FA191" s="167"/>
      <c r="FB191" s="167"/>
      <c r="FC191" s="167"/>
      <c r="FD191" s="167"/>
      <c r="FE191" s="167"/>
      <c r="FF191" s="167"/>
      <c r="FG191" s="167"/>
      <c r="FH191" s="167"/>
      <c r="FI191" s="167"/>
      <c r="FJ191" s="167"/>
      <c r="FK191" s="167"/>
      <c r="FL191" s="167"/>
      <c r="FM191" s="167"/>
      <c r="FN191" s="167"/>
      <c r="FO191" s="167"/>
      <c r="FP191" s="167"/>
      <c r="FQ191" s="167"/>
      <c r="FR191" s="167"/>
      <c r="FS191" s="167"/>
      <c r="FT191" s="167"/>
      <c r="FU191" s="167"/>
      <c r="FV191" s="167"/>
      <c r="FW191" s="167"/>
      <c r="FX191" s="167"/>
      <c r="FY191" s="167"/>
      <c r="FZ191" s="167"/>
      <c r="GA191" s="167"/>
      <c r="GB191" s="167"/>
      <c r="GC191" s="167"/>
      <c r="GD191" s="167"/>
      <c r="GE191" s="167"/>
      <c r="GF191" s="167"/>
      <c r="GG191" s="167"/>
      <c r="GH191" s="167"/>
      <c r="GI191" s="167"/>
      <c r="GJ191" s="167"/>
      <c r="GK191" s="167"/>
      <c r="GL191" s="167"/>
      <c r="GM191" s="167"/>
      <c r="GN191" s="167"/>
      <c r="GO191" s="167"/>
      <c r="GP191" s="167"/>
      <c r="GQ191" s="167"/>
      <c r="GR191" s="167"/>
      <c r="GS191" s="167"/>
      <c r="GT191" s="167"/>
      <c r="GU191" s="167"/>
      <c r="GV191" s="167"/>
      <c r="GW191" s="167"/>
      <c r="GX191" s="167"/>
      <c r="GY191" s="167"/>
      <c r="GZ191" s="167"/>
      <c r="HA191" s="167"/>
      <c r="HB191" s="167"/>
      <c r="HC191" s="167"/>
      <c r="HD191" s="167"/>
      <c r="HE191" s="167"/>
      <c r="HF191" s="167"/>
      <c r="HG191" s="167"/>
      <c r="HH191" s="167"/>
      <c r="HI191" s="167"/>
      <c r="HJ191" s="167"/>
      <c r="HK191" s="167"/>
      <c r="HL191" s="167"/>
      <c r="HM191" s="167"/>
      <c r="HN191" s="167"/>
      <c r="HO191" s="167"/>
      <c r="HP191" s="167"/>
      <c r="HQ191" s="167"/>
      <c r="HR191" s="167"/>
      <c r="HS191" s="167"/>
      <c r="HT191" s="167"/>
      <c r="HU191" s="167"/>
      <c r="HV191" s="167"/>
      <c r="HW191" s="167"/>
      <c r="HX191" s="167"/>
      <c r="HY191" s="167"/>
      <c r="HZ191" s="167"/>
      <c r="IA191" s="167"/>
      <c r="IB191" s="167"/>
      <c r="IC191" s="167"/>
      <c r="ID191" s="167"/>
      <c r="IE191" s="167"/>
      <c r="IF191" s="167"/>
      <c r="IG191" s="167"/>
      <c r="IH191" s="167"/>
      <c r="II191" s="167"/>
      <c r="IJ191" s="167"/>
      <c r="IK191" s="167"/>
      <c r="IL191" s="167"/>
      <c r="IM191" s="167"/>
      <c r="IN191" s="167"/>
      <c r="IO191" s="167"/>
      <c r="IP191" s="167"/>
      <c r="IQ191" s="167"/>
      <c r="IR191" s="167"/>
      <c r="IS191" s="167"/>
      <c r="IT191" s="167"/>
      <c r="IU191" s="167"/>
      <c r="IV191" s="167"/>
      <c r="IW191" s="167"/>
      <c r="IX191" s="167"/>
      <c r="IY191" s="167"/>
      <c r="IZ191" s="167"/>
      <c r="JA191" s="167"/>
      <c r="JB191" s="167"/>
      <c r="JC191" s="167"/>
      <c r="JD191" s="167"/>
      <c r="JE191" s="167"/>
      <c r="JF191" s="167"/>
      <c r="JG191" s="167"/>
      <c r="JH191" s="167"/>
      <c r="JI191" s="167"/>
      <c r="JJ191" s="167"/>
      <c r="JK191" s="167"/>
      <c r="JL191" s="167"/>
      <c r="JM191" s="167"/>
      <c r="JN191" s="167"/>
      <c r="JO191" s="167"/>
      <c r="JP191" s="167"/>
      <c r="JQ191" s="167"/>
      <c r="JR191" s="167"/>
      <c r="JS191" s="167"/>
      <c r="JT191" s="167"/>
      <c r="JU191" s="167"/>
      <c r="JV191" s="167"/>
      <c r="JW191" s="167"/>
      <c r="JX191" s="167"/>
      <c r="JY191" s="167"/>
      <c r="JZ191" s="167"/>
      <c r="KA191" s="167"/>
      <c r="KB191" s="167"/>
      <c r="KC191" s="167"/>
      <c r="KD191" s="167"/>
      <c r="KE191" s="167"/>
      <c r="KF191" s="167"/>
      <c r="KG191" s="167"/>
      <c r="KH191" s="167"/>
      <c r="KI191" s="167"/>
      <c r="KJ191" s="167"/>
      <c r="KK191" s="167"/>
      <c r="KL191" s="167"/>
      <c r="KM191" s="167"/>
      <c r="KN191" s="167"/>
      <c r="KO191" s="167"/>
      <c r="KP191" s="167"/>
      <c r="KQ191" s="167"/>
      <c r="KR191" s="167"/>
      <c r="KS191" s="167"/>
      <c r="KT191" s="167"/>
      <c r="KU191" s="167"/>
      <c r="KV191" s="167"/>
      <c r="KW191" s="167"/>
      <c r="KX191" s="167"/>
      <c r="KY191" s="167"/>
      <c r="KZ191" s="167"/>
      <c r="LA191" s="167"/>
      <c r="LB191" s="167"/>
      <c r="LC191" s="167"/>
      <c r="LD191" s="167"/>
      <c r="LE191" s="167"/>
      <c r="LF191" s="167"/>
      <c r="LG191" s="167"/>
      <c r="LH191" s="167"/>
      <c r="LI191" s="167"/>
      <c r="LJ191" s="167"/>
      <c r="LK191" s="167"/>
      <c r="LL191" s="167"/>
      <c r="LM191" s="167"/>
      <c r="LN191" s="167"/>
      <c r="LO191" s="167"/>
      <c r="LP191" s="167"/>
      <c r="LQ191" s="167"/>
      <c r="LR191" s="167"/>
      <c r="LS191" s="167"/>
      <c r="LT191" s="167"/>
      <c r="LU191" s="167"/>
      <c r="LV191" s="167"/>
      <c r="LW191" s="167"/>
      <c r="LX191" s="167"/>
      <c r="LY191" s="167"/>
      <c r="LZ191" s="167"/>
      <c r="MA191" s="167"/>
      <c r="MB191" s="167"/>
      <c r="MC191" s="167"/>
      <c r="MD191" s="167"/>
      <c r="ME191" s="167"/>
      <c r="MF191" s="167"/>
      <c r="MG191" s="167"/>
      <c r="MH191" s="167"/>
      <c r="MI191" s="167"/>
      <c r="MJ191" s="167"/>
      <c r="MK191" s="167"/>
      <c r="ML191" s="167"/>
      <c r="MM191" s="167"/>
      <c r="MN191" s="167"/>
      <c r="MO191" s="167"/>
      <c r="MP191" s="167"/>
      <c r="MQ191" s="167"/>
      <c r="MR191" s="167"/>
      <c r="MS191" s="167"/>
      <c r="MT191" s="167"/>
      <c r="MU191" s="167"/>
      <c r="MV191" s="167"/>
      <c r="MW191" s="167"/>
      <c r="MX191" s="167"/>
      <c r="MY191" s="167"/>
      <c r="MZ191" s="167"/>
      <c r="NA191" s="167"/>
      <c r="NB191" s="167"/>
      <c r="NC191" s="167"/>
      <c r="ND191" s="167"/>
      <c r="NE191" s="167"/>
      <c r="NF191" s="167"/>
      <c r="NG191" s="167"/>
      <c r="NH191" s="167"/>
      <c r="NI191" s="167"/>
      <c r="NJ191" s="167"/>
      <c r="NK191" s="167"/>
      <c r="NL191" s="167"/>
      <c r="NM191" s="167"/>
      <c r="NN191" s="167"/>
      <c r="NO191" s="167"/>
      <c r="NP191" s="167"/>
      <c r="NQ191" s="167"/>
      <c r="NR191" s="167"/>
      <c r="NS191" s="167"/>
      <c r="NT191" s="167"/>
      <c r="NU191" s="167"/>
      <c r="NV191" s="167"/>
      <c r="NW191" s="167"/>
      <c r="NX191" s="167"/>
      <c r="NY191" s="167"/>
      <c r="NZ191" s="167"/>
      <c r="OA191" s="167"/>
      <c r="OB191" s="167"/>
      <c r="OC191" s="167"/>
      <c r="OD191" s="167"/>
      <c r="OE191" s="167"/>
      <c r="OF191" s="167"/>
      <c r="OG191" s="167"/>
      <c r="OH191" s="167"/>
      <c r="OI191" s="167"/>
      <c r="OJ191" s="167"/>
      <c r="OK191" s="167"/>
      <c r="OL191" s="167"/>
      <c r="OM191" s="167"/>
      <c r="ON191" s="167"/>
      <c r="OO191" s="167"/>
      <c r="OP191" s="167"/>
      <c r="OQ191" s="167"/>
      <c r="OR191" s="167"/>
      <c r="OS191" s="167"/>
      <c r="OT191" s="167"/>
      <c r="OU191" s="167"/>
      <c r="OV191" s="167"/>
      <c r="OW191" s="167"/>
      <c r="OX191" s="167"/>
      <c r="OY191" s="167"/>
      <c r="OZ191" s="167"/>
      <c r="PA191" s="167"/>
      <c r="PB191" s="167"/>
      <c r="PC191" s="167"/>
      <c r="PD191" s="167"/>
      <c r="PE191" s="167"/>
      <c r="PF191" s="167"/>
      <c r="PG191" s="167"/>
      <c r="PH191" s="167"/>
      <c r="PI191" s="167"/>
      <c r="PJ191" s="167"/>
      <c r="PK191" s="167"/>
      <c r="PL191" s="167"/>
      <c r="PM191" s="167"/>
      <c r="PN191" s="167"/>
      <c r="PO191" s="167"/>
      <c r="PP191" s="167"/>
      <c r="PQ191" s="167"/>
      <c r="PR191" s="167"/>
      <c r="PS191" s="167"/>
      <c r="PT191" s="167"/>
      <c r="PU191" s="167"/>
      <c r="PV191" s="167"/>
      <c r="PW191" s="167"/>
      <c r="PX191" s="167"/>
      <c r="PY191" s="167"/>
      <c r="PZ191" s="167"/>
      <c r="QA191" s="167"/>
      <c r="QB191" s="167"/>
      <c r="QC191" s="167"/>
      <c r="QD191" s="167"/>
      <c r="QE191" s="167"/>
      <c r="QF191" s="167"/>
      <c r="QG191" s="167"/>
      <c r="QH191" s="167"/>
      <c r="QI191" s="167"/>
      <c r="QJ191" s="167"/>
      <c r="QK191" s="167"/>
      <c r="QL191" s="167"/>
      <c r="QM191" s="167"/>
      <c r="QN191" s="167"/>
      <c r="QO191" s="167"/>
      <c r="QP191" s="167"/>
      <c r="QQ191" s="167"/>
      <c r="QR191" s="167"/>
      <c r="QS191" s="167"/>
      <c r="QT191" s="167"/>
      <c r="QU191" s="167"/>
      <c r="QV191" s="167"/>
      <c r="QW191" s="167"/>
      <c r="QX191" s="167"/>
      <c r="QY191" s="167"/>
      <c r="QZ191" s="167"/>
      <c r="RA191" s="167"/>
      <c r="RB191" s="167"/>
      <c r="RC191" s="167"/>
      <c r="RD191" s="167"/>
      <c r="RE191" s="167"/>
      <c r="RF191" s="167"/>
      <c r="RG191" s="167"/>
      <c r="RH191" s="167"/>
      <c r="RI191" s="167"/>
      <c r="RJ191" s="167"/>
      <c r="RK191" s="167"/>
      <c r="RL191" s="167"/>
      <c r="RM191" s="167"/>
      <c r="RN191" s="167"/>
      <c r="RO191" s="167"/>
      <c r="RP191" s="167"/>
      <c r="RQ191" s="167"/>
      <c r="RR191" s="167"/>
      <c r="RS191" s="167"/>
      <c r="RT191" s="167"/>
      <c r="RU191" s="167"/>
      <c r="RV191" s="167"/>
      <c r="RW191" s="167"/>
      <c r="RX191" s="167"/>
      <c r="RY191" s="167"/>
      <c r="RZ191" s="167"/>
      <c r="SA191" s="167"/>
      <c r="SB191" s="167"/>
      <c r="SC191" s="167"/>
      <c r="SD191" s="167"/>
      <c r="SE191" s="167"/>
      <c r="SF191" s="167"/>
      <c r="SG191" s="167"/>
      <c r="SH191" s="167"/>
      <c r="SI191" s="167"/>
      <c r="SJ191" s="167"/>
      <c r="SK191" s="167"/>
      <c r="SL191" s="167"/>
      <c r="SM191" s="167"/>
      <c r="SN191" s="167"/>
      <c r="SO191" s="167"/>
      <c r="SP191" s="167"/>
      <c r="SQ191" s="167"/>
      <c r="SR191" s="167"/>
      <c r="SS191" s="167"/>
      <c r="ST191" s="167"/>
      <c r="SU191" s="167"/>
      <c r="SV191" s="167"/>
      <c r="SW191" s="167"/>
      <c r="SX191" s="167"/>
      <c r="SY191" s="167"/>
      <c r="SZ191" s="167"/>
      <c r="TA191" s="167"/>
      <c r="TB191" s="167"/>
      <c r="TC191" s="167"/>
      <c r="TD191" s="167"/>
      <c r="TE191" s="167"/>
      <c r="TF191" s="167"/>
      <c r="TG191" s="167"/>
      <c r="TH191" s="167"/>
      <c r="TI191" s="167"/>
      <c r="TJ191" s="167"/>
      <c r="TK191" s="167"/>
      <c r="TL191" s="167"/>
      <c r="TM191" s="167"/>
      <c r="TN191" s="167"/>
      <c r="TO191" s="167"/>
      <c r="TP191" s="167"/>
      <c r="TQ191" s="167"/>
      <c r="TR191" s="167"/>
      <c r="TS191" s="167"/>
      <c r="TT191" s="167"/>
      <c r="TU191" s="167"/>
      <c r="TV191" s="167"/>
      <c r="TW191" s="167"/>
      <c r="TX191" s="167"/>
      <c r="TY191" s="167"/>
      <c r="TZ191" s="167"/>
      <c r="UA191" s="167"/>
      <c r="UB191" s="167"/>
      <c r="UC191" s="167"/>
      <c r="UD191" s="167"/>
      <c r="UE191" s="167"/>
      <c r="UF191" s="167"/>
      <c r="UG191" s="168"/>
    </row>
    <row r="192" spans="1:553" ht="337.5" customHeight="1">
      <c r="A192" s="356" t="s">
        <v>15</v>
      </c>
      <c r="B192" s="356"/>
      <c r="C192" s="384" t="s">
        <v>213</v>
      </c>
      <c r="D192" s="489" t="s">
        <v>20</v>
      </c>
      <c r="E192" s="489" t="s">
        <v>214</v>
      </c>
      <c r="F192" s="376">
        <v>1</v>
      </c>
      <c r="G192" s="417" t="s">
        <v>1303</v>
      </c>
      <c r="H192" s="387">
        <v>161.6</v>
      </c>
      <c r="I192" s="441">
        <v>161.6</v>
      </c>
      <c r="J192" s="368">
        <v>62000</v>
      </c>
      <c r="K192" s="388"/>
      <c r="L192" s="366">
        <f>PRODUCT(I192:K192)</f>
        <v>10019200</v>
      </c>
      <c r="M192" s="366"/>
      <c r="N192" s="366"/>
      <c r="O192" s="366"/>
      <c r="P192" s="366"/>
      <c r="Q192" s="1036" t="s">
        <v>215</v>
      </c>
      <c r="R192" s="1447" t="s">
        <v>947</v>
      </c>
      <c r="S192" s="309"/>
      <c r="T192" s="310"/>
      <c r="U192" s="311"/>
      <c r="V192" s="312"/>
      <c r="W192" s="311"/>
      <c r="X192" s="311"/>
      <c r="Y192" s="311"/>
      <c r="Z192" s="311"/>
      <c r="AA192" s="311">
        <f>I192</f>
        <v>161.6</v>
      </c>
      <c r="AB192" s="311"/>
      <c r="AC192" s="463"/>
      <c r="AD192" s="452"/>
      <c r="AE192" s="452"/>
      <c r="AF192" s="452"/>
      <c r="AG192" s="452"/>
      <c r="AH192" s="452"/>
      <c r="AI192" s="452"/>
      <c r="AJ192" s="452"/>
      <c r="AK192" s="452"/>
      <c r="AL192" s="106"/>
      <c r="AM192" s="31"/>
      <c r="AN192" s="31"/>
      <c r="AO192" s="31"/>
      <c r="AP192" s="31"/>
      <c r="AQ192" s="31"/>
      <c r="AR192" s="31"/>
      <c r="AS192" s="31"/>
      <c r="AT192" s="31"/>
      <c r="AU192" s="31"/>
      <c r="AV192" s="31"/>
      <c r="AW192" s="31"/>
      <c r="AX192" s="31"/>
      <c r="AY192" s="31"/>
      <c r="AZ192" s="31"/>
      <c r="BA192" s="31"/>
      <c r="BB192" s="31"/>
      <c r="BC192" s="31"/>
      <c r="BD192" s="31"/>
      <c r="BE192" s="31"/>
      <c r="BF192" s="31"/>
      <c r="BG192" s="31"/>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c r="CH192" s="31"/>
      <c r="CI192" s="31"/>
      <c r="CJ192" s="31"/>
      <c r="CK192" s="31"/>
      <c r="CL192" s="31"/>
      <c r="CM192" s="31"/>
      <c r="CN192" s="31"/>
      <c r="CO192" s="31"/>
      <c r="CP192" s="31"/>
      <c r="CQ192" s="31"/>
      <c r="CR192" s="31"/>
      <c r="CS192" s="31"/>
      <c r="CT192" s="31"/>
      <c r="CU192" s="31"/>
      <c r="CV192" s="31"/>
      <c r="CW192" s="31"/>
      <c r="CX192" s="31"/>
      <c r="CY192" s="31"/>
      <c r="CZ192" s="31"/>
      <c r="DA192" s="31"/>
      <c r="DB192" s="31"/>
      <c r="DC192" s="31"/>
      <c r="DD192" s="31"/>
      <c r="DE192" s="31"/>
      <c r="DF192" s="31"/>
      <c r="DG192" s="31"/>
      <c r="DH192" s="31"/>
      <c r="DI192" s="31"/>
      <c r="DJ192" s="31"/>
      <c r="DK192" s="31"/>
      <c r="DL192" s="31"/>
      <c r="DM192" s="31"/>
      <c r="DN192" s="31"/>
      <c r="DO192" s="31"/>
      <c r="DP192" s="31"/>
      <c r="DQ192" s="31"/>
      <c r="DR192" s="31"/>
      <c r="DS192" s="31"/>
      <c r="DT192" s="31"/>
      <c r="DU192" s="31"/>
      <c r="DV192" s="31"/>
      <c r="DW192" s="31"/>
      <c r="DX192" s="31"/>
      <c r="DY192" s="31"/>
      <c r="DZ192" s="31"/>
      <c r="EA192" s="31"/>
      <c r="EB192" s="31"/>
      <c r="EC192" s="31"/>
      <c r="ED192" s="31"/>
      <c r="EE192" s="31"/>
      <c r="EF192" s="31"/>
      <c r="EG192" s="31"/>
      <c r="EH192" s="31"/>
      <c r="EI192" s="31"/>
      <c r="EJ192" s="31"/>
      <c r="EK192" s="31"/>
      <c r="EL192" s="31"/>
      <c r="EM192" s="31"/>
      <c r="EN192" s="31"/>
      <c r="EO192" s="31"/>
      <c r="EP192" s="31"/>
      <c r="EQ192" s="31"/>
      <c r="ER192" s="31"/>
      <c r="ES192" s="31"/>
      <c r="ET192" s="31"/>
      <c r="EU192" s="31"/>
      <c r="EV192" s="31"/>
      <c r="EW192" s="31"/>
      <c r="EX192" s="31"/>
      <c r="EY192" s="31"/>
      <c r="EZ192" s="31"/>
      <c r="FA192" s="31"/>
      <c r="FB192" s="31"/>
      <c r="FC192" s="31"/>
      <c r="FD192" s="31"/>
      <c r="FE192" s="31"/>
      <c r="FF192" s="31"/>
      <c r="FG192" s="31"/>
      <c r="FH192" s="31"/>
      <c r="FI192" s="31"/>
      <c r="FJ192" s="31"/>
      <c r="FK192" s="31"/>
      <c r="FL192" s="31"/>
      <c r="FM192" s="31"/>
      <c r="FN192" s="31"/>
      <c r="FO192" s="31"/>
      <c r="FP192" s="31"/>
      <c r="FQ192" s="31"/>
      <c r="FR192" s="31"/>
      <c r="FS192" s="31"/>
      <c r="FT192" s="31"/>
      <c r="FU192" s="31"/>
      <c r="FV192" s="31"/>
      <c r="FW192" s="31"/>
      <c r="FX192" s="31"/>
      <c r="FY192" s="31"/>
      <c r="FZ192" s="31"/>
      <c r="GA192" s="31"/>
      <c r="GB192" s="31"/>
      <c r="GC192" s="31"/>
      <c r="GD192" s="31"/>
      <c r="GE192" s="31"/>
      <c r="GF192" s="31"/>
      <c r="GG192" s="31"/>
      <c r="GH192" s="31"/>
      <c r="GI192" s="31"/>
      <c r="GJ192" s="31"/>
      <c r="GK192" s="31"/>
      <c r="GL192" s="31"/>
      <c r="GM192" s="31"/>
      <c r="GN192" s="31"/>
      <c r="GO192" s="31"/>
      <c r="GP192" s="31"/>
      <c r="GQ192" s="31"/>
      <c r="GR192" s="31"/>
      <c r="GS192" s="31"/>
      <c r="GT192" s="31"/>
      <c r="GU192" s="31"/>
      <c r="GV192" s="31"/>
      <c r="GW192" s="31"/>
      <c r="GX192" s="31"/>
      <c r="GY192" s="31"/>
      <c r="GZ192" s="31"/>
      <c r="HA192" s="31"/>
      <c r="HB192" s="31"/>
      <c r="HC192" s="31"/>
      <c r="HD192" s="31"/>
      <c r="HE192" s="31"/>
      <c r="HF192" s="31"/>
      <c r="HG192" s="31"/>
      <c r="HH192" s="31"/>
      <c r="HI192" s="31"/>
      <c r="HJ192" s="31"/>
      <c r="HK192" s="31"/>
      <c r="HL192" s="31"/>
      <c r="HM192" s="31"/>
      <c r="HN192" s="31"/>
      <c r="HO192" s="31"/>
      <c r="HP192" s="31"/>
      <c r="HQ192" s="31"/>
      <c r="HR192" s="31"/>
      <c r="HS192" s="31"/>
      <c r="HT192" s="31"/>
      <c r="HU192" s="31"/>
      <c r="HV192" s="31"/>
      <c r="HW192" s="31"/>
      <c r="HX192" s="31"/>
      <c r="HY192" s="31"/>
      <c r="HZ192" s="31"/>
      <c r="IA192" s="31"/>
      <c r="IB192" s="31"/>
      <c r="IC192" s="31"/>
      <c r="ID192" s="31"/>
      <c r="IE192" s="31"/>
      <c r="IF192" s="31"/>
      <c r="IG192" s="31"/>
      <c r="IH192" s="31"/>
      <c r="II192" s="31"/>
      <c r="IJ192" s="31"/>
      <c r="IK192" s="31"/>
      <c r="IL192" s="31"/>
      <c r="IM192" s="31"/>
      <c r="IN192" s="31"/>
      <c r="IO192" s="31"/>
      <c r="IP192" s="31"/>
      <c r="IQ192" s="31"/>
      <c r="IR192" s="31"/>
      <c r="IS192" s="31"/>
      <c r="IT192" s="31"/>
      <c r="IU192" s="31"/>
      <c r="IV192" s="31"/>
      <c r="IW192" s="31"/>
      <c r="IX192" s="31"/>
      <c r="IY192" s="31"/>
      <c r="IZ192" s="31"/>
      <c r="JA192" s="31"/>
      <c r="JB192" s="31"/>
      <c r="JC192" s="31"/>
      <c r="JD192" s="31"/>
      <c r="JE192" s="31"/>
      <c r="JF192" s="31"/>
      <c r="JG192" s="31"/>
      <c r="JH192" s="31"/>
      <c r="JI192" s="31"/>
      <c r="JJ192" s="31"/>
      <c r="JK192" s="31"/>
      <c r="JL192" s="31"/>
      <c r="JM192" s="31"/>
      <c r="JN192" s="31"/>
      <c r="JO192" s="31"/>
      <c r="JP192" s="31"/>
      <c r="JQ192" s="31"/>
      <c r="JR192" s="31"/>
      <c r="JS192" s="31"/>
      <c r="JT192" s="31"/>
      <c r="JU192" s="31"/>
      <c r="JV192" s="31"/>
      <c r="JW192" s="31"/>
      <c r="JX192" s="31"/>
      <c r="JY192" s="31"/>
      <c r="JZ192" s="31"/>
      <c r="KA192" s="31"/>
      <c r="KB192" s="31"/>
      <c r="KC192" s="31"/>
      <c r="KD192" s="31"/>
      <c r="KE192" s="31"/>
      <c r="KF192" s="31"/>
      <c r="KG192" s="31"/>
      <c r="KH192" s="31"/>
      <c r="KI192" s="31"/>
      <c r="KJ192" s="31"/>
      <c r="KK192" s="31"/>
      <c r="KL192" s="31"/>
      <c r="KM192" s="31"/>
      <c r="KN192" s="31"/>
      <c r="KO192" s="31"/>
      <c r="KP192" s="31"/>
      <c r="KQ192" s="31"/>
      <c r="KR192" s="31"/>
      <c r="KS192" s="31"/>
      <c r="KT192" s="31"/>
      <c r="KU192" s="31"/>
      <c r="KV192" s="31"/>
      <c r="KW192" s="31"/>
      <c r="KX192" s="31"/>
      <c r="KY192" s="31"/>
      <c r="KZ192" s="31"/>
      <c r="LA192" s="31"/>
      <c r="LB192" s="31"/>
      <c r="LC192" s="31"/>
      <c r="LD192" s="31"/>
      <c r="LE192" s="31"/>
      <c r="LF192" s="31"/>
      <c r="LG192" s="31"/>
      <c r="LH192" s="31"/>
      <c r="LI192" s="31"/>
      <c r="LJ192" s="31"/>
      <c r="LK192" s="31"/>
      <c r="LL192" s="31"/>
      <c r="LM192" s="31"/>
      <c r="LN192" s="31"/>
      <c r="LO192" s="31"/>
      <c r="LP192" s="31"/>
      <c r="LQ192" s="31"/>
      <c r="LR192" s="31"/>
      <c r="LS192" s="31"/>
      <c r="LT192" s="31"/>
      <c r="LU192" s="31"/>
      <c r="LV192" s="31"/>
      <c r="LW192" s="31"/>
      <c r="LX192" s="31"/>
      <c r="LY192" s="31"/>
      <c r="LZ192" s="31"/>
      <c r="MA192" s="31"/>
      <c r="MB192" s="31"/>
      <c r="MC192" s="31"/>
      <c r="MD192" s="31"/>
      <c r="ME192" s="31"/>
      <c r="MF192" s="31"/>
      <c r="MG192" s="31"/>
      <c r="MH192" s="31"/>
      <c r="MI192" s="31"/>
      <c r="MJ192" s="31"/>
      <c r="MK192" s="31"/>
      <c r="ML192" s="31"/>
      <c r="MM192" s="31"/>
      <c r="MN192" s="31"/>
      <c r="MO192" s="31"/>
      <c r="MP192" s="31"/>
      <c r="MQ192" s="31"/>
      <c r="MR192" s="31"/>
      <c r="MS192" s="31"/>
      <c r="MT192" s="31"/>
      <c r="MU192" s="31"/>
      <c r="MV192" s="31"/>
      <c r="MW192" s="31"/>
      <c r="MX192" s="31"/>
      <c r="MY192" s="31"/>
      <c r="MZ192" s="31"/>
      <c r="NA192" s="31"/>
      <c r="NB192" s="31"/>
      <c r="NC192" s="31"/>
      <c r="ND192" s="31"/>
      <c r="NE192" s="31"/>
      <c r="NF192" s="31"/>
      <c r="NG192" s="31"/>
      <c r="NH192" s="31"/>
      <c r="NI192" s="31"/>
      <c r="NJ192" s="31"/>
      <c r="NK192" s="31"/>
      <c r="NL192" s="31"/>
      <c r="NM192" s="31"/>
      <c r="NN192" s="31"/>
      <c r="NO192" s="31"/>
      <c r="NP192" s="31"/>
      <c r="NQ192" s="31"/>
      <c r="NR192" s="31"/>
      <c r="NS192" s="31"/>
      <c r="NT192" s="31"/>
      <c r="NU192" s="31"/>
      <c r="NV192" s="31"/>
      <c r="NW192" s="31"/>
      <c r="NX192" s="31"/>
      <c r="NY192" s="31"/>
      <c r="NZ192" s="31"/>
      <c r="OA192" s="31"/>
      <c r="OB192" s="31"/>
      <c r="OC192" s="31"/>
      <c r="OD192" s="31"/>
      <c r="OE192" s="31"/>
      <c r="OF192" s="31"/>
      <c r="OG192" s="31"/>
      <c r="OH192" s="31"/>
      <c r="OI192" s="31"/>
      <c r="OJ192" s="31"/>
      <c r="OK192" s="31"/>
      <c r="OL192" s="31"/>
      <c r="OM192" s="31"/>
      <c r="ON192" s="31"/>
      <c r="OO192" s="31"/>
      <c r="OP192" s="31"/>
      <c r="OQ192" s="31"/>
      <c r="OR192" s="31"/>
      <c r="OS192" s="31"/>
      <c r="OT192" s="31"/>
      <c r="OU192" s="31"/>
      <c r="OV192" s="31"/>
      <c r="OW192" s="31"/>
      <c r="OX192" s="31"/>
      <c r="OY192" s="31"/>
      <c r="OZ192" s="31"/>
      <c r="PA192" s="31"/>
      <c r="PB192" s="31"/>
      <c r="PC192" s="31"/>
      <c r="PD192" s="31"/>
      <c r="PE192" s="31"/>
      <c r="PF192" s="31"/>
      <c r="PG192" s="31"/>
      <c r="PH192" s="31"/>
      <c r="PI192" s="31"/>
      <c r="PJ192" s="31"/>
      <c r="PK192" s="31"/>
      <c r="PL192" s="31"/>
      <c r="PM192" s="31"/>
      <c r="PN192" s="31"/>
      <c r="PO192" s="31"/>
      <c r="PP192" s="31"/>
      <c r="PQ192" s="31"/>
      <c r="PR192" s="31"/>
      <c r="PS192" s="31"/>
      <c r="PT192" s="31"/>
      <c r="PU192" s="31"/>
      <c r="PV192" s="31"/>
      <c r="PW192" s="31"/>
      <c r="PX192" s="31"/>
      <c r="PY192" s="31"/>
      <c r="PZ192" s="31"/>
      <c r="QA192" s="31"/>
      <c r="QB192" s="31"/>
      <c r="QC192" s="31"/>
      <c r="QD192" s="31"/>
      <c r="QE192" s="31"/>
      <c r="QF192" s="31"/>
      <c r="QG192" s="31"/>
      <c r="QH192" s="31"/>
      <c r="QI192" s="31"/>
      <c r="QJ192" s="31"/>
      <c r="QK192" s="31"/>
      <c r="QL192" s="31"/>
      <c r="QM192" s="31"/>
      <c r="QN192" s="31"/>
      <c r="QO192" s="31"/>
      <c r="QP192" s="31"/>
      <c r="QQ192" s="31"/>
      <c r="QR192" s="31"/>
      <c r="QS192" s="31"/>
      <c r="QT192" s="31"/>
      <c r="QU192" s="31"/>
      <c r="QV192" s="31"/>
      <c r="QW192" s="31"/>
      <c r="QX192" s="31"/>
      <c r="QY192" s="31"/>
      <c r="QZ192" s="31"/>
      <c r="RA192" s="31"/>
      <c r="RB192" s="31"/>
      <c r="RC192" s="31"/>
      <c r="RD192" s="31"/>
      <c r="RE192" s="31"/>
      <c r="RF192" s="31"/>
      <c r="RG192" s="31"/>
      <c r="RH192" s="31"/>
      <c r="RI192" s="31"/>
      <c r="RJ192" s="31"/>
      <c r="RK192" s="31"/>
      <c r="RL192" s="31"/>
      <c r="RM192" s="31"/>
      <c r="RN192" s="31"/>
      <c r="RO192" s="31"/>
      <c r="RP192" s="31"/>
      <c r="RQ192" s="31"/>
      <c r="RR192" s="31"/>
      <c r="RS192" s="31"/>
      <c r="RT192" s="31"/>
      <c r="RU192" s="31"/>
      <c r="RV192" s="31"/>
      <c r="RW192" s="31"/>
      <c r="RX192" s="31"/>
      <c r="RY192" s="31"/>
      <c r="RZ192" s="31"/>
      <c r="SA192" s="31"/>
      <c r="SB192" s="31"/>
      <c r="SC192" s="31"/>
      <c r="SD192" s="31"/>
      <c r="SE192" s="31"/>
      <c r="SF192" s="31"/>
      <c r="SG192" s="31"/>
      <c r="SH192" s="31"/>
      <c r="SI192" s="31"/>
      <c r="SJ192" s="31"/>
      <c r="SK192" s="31"/>
      <c r="SL192" s="31"/>
      <c r="SM192" s="31"/>
      <c r="SN192" s="31"/>
      <c r="SO192" s="31"/>
      <c r="SP192" s="31"/>
      <c r="SQ192" s="31"/>
      <c r="SR192" s="31"/>
      <c r="SS192" s="31"/>
      <c r="ST192" s="31"/>
      <c r="SU192" s="31"/>
      <c r="SV192" s="31"/>
      <c r="SW192" s="31"/>
      <c r="SX192" s="31"/>
      <c r="SY192" s="31"/>
      <c r="SZ192" s="31"/>
      <c r="TA192" s="31"/>
      <c r="TB192" s="31"/>
      <c r="TC192" s="31"/>
      <c r="TD192" s="31"/>
      <c r="TE192" s="31"/>
      <c r="TF192" s="31"/>
      <c r="TG192" s="31"/>
      <c r="TH192" s="31"/>
      <c r="TI192" s="31"/>
      <c r="TJ192" s="31"/>
      <c r="TK192" s="31"/>
      <c r="TL192" s="31"/>
      <c r="TM192" s="31"/>
      <c r="TN192" s="31"/>
      <c r="TO192" s="31"/>
      <c r="TP192" s="31"/>
      <c r="TQ192" s="31"/>
      <c r="TR192" s="31"/>
      <c r="TS192" s="31"/>
      <c r="TT192" s="31"/>
      <c r="TU192" s="31"/>
      <c r="TV192" s="31"/>
      <c r="TW192" s="31"/>
      <c r="TX192" s="31"/>
      <c r="TY192" s="31"/>
      <c r="TZ192" s="31"/>
      <c r="UA192" s="31"/>
      <c r="UB192" s="31"/>
      <c r="UC192" s="31"/>
      <c r="UD192" s="31"/>
      <c r="UE192" s="31"/>
      <c r="UF192" s="31"/>
      <c r="UG192" s="33"/>
    </row>
    <row r="193" spans="1:553" ht="337.5" customHeight="1">
      <c r="A193" s="356" t="s">
        <v>15</v>
      </c>
      <c r="B193" s="356"/>
      <c r="C193" s="384" t="s">
        <v>23</v>
      </c>
      <c r="D193" s="376" t="s">
        <v>70</v>
      </c>
      <c r="E193" s="376" t="s">
        <v>216</v>
      </c>
      <c r="F193" s="385">
        <v>1</v>
      </c>
      <c r="G193" s="386" t="s">
        <v>935</v>
      </c>
      <c r="H193" s="490">
        <v>1037.9000000000001</v>
      </c>
      <c r="I193" s="490">
        <v>1037.9000000000001</v>
      </c>
      <c r="J193" s="368">
        <v>62000</v>
      </c>
      <c r="K193" s="388"/>
      <c r="L193" s="366">
        <f>PRODUCT(I193:K193)</f>
        <v>64349800.000000007</v>
      </c>
      <c r="M193" s="366"/>
      <c r="N193" s="366"/>
      <c r="O193" s="366"/>
      <c r="P193" s="366"/>
      <c r="Q193" s="1036" t="s">
        <v>217</v>
      </c>
      <c r="R193" s="1452"/>
      <c r="S193" s="308"/>
      <c r="T193" s="303"/>
      <c r="U193" s="306"/>
      <c r="V193" s="307"/>
      <c r="W193" s="306">
        <f>I193</f>
        <v>1037.9000000000001</v>
      </c>
      <c r="X193" s="306"/>
      <c r="Y193" s="306"/>
      <c r="Z193" s="306"/>
      <c r="AA193" s="306"/>
      <c r="AB193" s="306"/>
      <c r="AC193" s="463"/>
      <c r="AD193" s="452"/>
      <c r="AE193" s="452"/>
      <c r="AF193" s="452"/>
      <c r="AG193" s="452"/>
      <c r="AH193" s="452"/>
      <c r="AI193" s="452"/>
      <c r="AJ193" s="452"/>
      <c r="AK193" s="452"/>
      <c r="AL193" s="106"/>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c r="CH193" s="31"/>
      <c r="CI193" s="31"/>
      <c r="CJ193" s="31"/>
      <c r="CK193" s="31"/>
      <c r="CL193" s="31"/>
      <c r="CM193" s="31"/>
      <c r="CN193" s="31"/>
      <c r="CO193" s="31"/>
      <c r="CP193" s="31"/>
      <c r="CQ193" s="31"/>
      <c r="CR193" s="31"/>
      <c r="CS193" s="31"/>
      <c r="CT193" s="31"/>
      <c r="CU193" s="31"/>
      <c r="CV193" s="31"/>
      <c r="CW193" s="31"/>
      <c r="CX193" s="31"/>
      <c r="CY193" s="31"/>
      <c r="CZ193" s="31"/>
      <c r="DA193" s="31"/>
      <c r="DB193" s="31"/>
      <c r="DC193" s="31"/>
      <c r="DD193" s="31"/>
      <c r="DE193" s="31"/>
      <c r="DF193" s="31"/>
      <c r="DG193" s="31"/>
      <c r="DH193" s="31"/>
      <c r="DI193" s="31"/>
      <c r="DJ193" s="31"/>
      <c r="DK193" s="31"/>
      <c r="DL193" s="31"/>
      <c r="DM193" s="31"/>
      <c r="DN193" s="31"/>
      <c r="DO193" s="31"/>
      <c r="DP193" s="31"/>
      <c r="DQ193" s="31"/>
      <c r="DR193" s="31"/>
      <c r="DS193" s="31"/>
      <c r="DT193" s="31"/>
      <c r="DU193" s="31"/>
      <c r="DV193" s="31"/>
      <c r="DW193" s="31"/>
      <c r="DX193" s="31"/>
      <c r="DY193" s="31"/>
      <c r="DZ193" s="31"/>
      <c r="EA193" s="31"/>
      <c r="EB193" s="31"/>
      <c r="EC193" s="31"/>
      <c r="ED193" s="31"/>
      <c r="EE193" s="31"/>
      <c r="EF193" s="31"/>
      <c r="EG193" s="31"/>
      <c r="EH193" s="31"/>
      <c r="EI193" s="31"/>
      <c r="EJ193" s="31"/>
      <c r="EK193" s="31"/>
      <c r="EL193" s="31"/>
      <c r="EM193" s="31"/>
      <c r="EN193" s="31"/>
      <c r="EO193" s="31"/>
      <c r="EP193" s="31"/>
      <c r="EQ193" s="31"/>
      <c r="ER193" s="31"/>
      <c r="ES193" s="31"/>
      <c r="ET193" s="31"/>
      <c r="EU193" s="31"/>
      <c r="EV193" s="31"/>
      <c r="EW193" s="31"/>
      <c r="EX193" s="31"/>
      <c r="EY193" s="31"/>
      <c r="EZ193" s="31"/>
      <c r="FA193" s="31"/>
      <c r="FB193" s="31"/>
      <c r="FC193" s="31"/>
      <c r="FD193" s="31"/>
      <c r="FE193" s="31"/>
      <c r="FF193" s="31"/>
      <c r="FG193" s="31"/>
      <c r="FH193" s="31"/>
      <c r="FI193" s="31"/>
      <c r="FJ193" s="31"/>
      <c r="FK193" s="31"/>
      <c r="FL193" s="31"/>
      <c r="FM193" s="31"/>
      <c r="FN193" s="31"/>
      <c r="FO193" s="31"/>
      <c r="FP193" s="31"/>
      <c r="FQ193" s="31"/>
      <c r="FR193" s="31"/>
      <c r="FS193" s="31"/>
      <c r="FT193" s="31"/>
      <c r="FU193" s="31"/>
      <c r="FV193" s="31"/>
      <c r="FW193" s="31"/>
      <c r="FX193" s="31"/>
      <c r="FY193" s="31"/>
      <c r="FZ193" s="31"/>
      <c r="GA193" s="31"/>
      <c r="GB193" s="31"/>
      <c r="GC193" s="31"/>
      <c r="GD193" s="31"/>
      <c r="GE193" s="31"/>
      <c r="GF193" s="31"/>
      <c r="GG193" s="31"/>
      <c r="GH193" s="31"/>
      <c r="GI193" s="31"/>
      <c r="GJ193" s="31"/>
      <c r="GK193" s="31"/>
      <c r="GL193" s="31"/>
      <c r="GM193" s="31"/>
      <c r="GN193" s="31"/>
      <c r="GO193" s="31"/>
      <c r="GP193" s="31"/>
      <c r="GQ193" s="31"/>
      <c r="GR193" s="31"/>
      <c r="GS193" s="31"/>
      <c r="GT193" s="31"/>
      <c r="GU193" s="31"/>
      <c r="GV193" s="31"/>
      <c r="GW193" s="31"/>
      <c r="GX193" s="31"/>
      <c r="GY193" s="31"/>
      <c r="GZ193" s="31"/>
      <c r="HA193" s="31"/>
      <c r="HB193" s="31"/>
      <c r="HC193" s="31"/>
      <c r="HD193" s="31"/>
      <c r="HE193" s="31"/>
      <c r="HF193" s="31"/>
      <c r="HG193" s="31"/>
      <c r="HH193" s="31"/>
      <c r="HI193" s="31"/>
      <c r="HJ193" s="31"/>
      <c r="HK193" s="31"/>
      <c r="HL193" s="31"/>
      <c r="HM193" s="31"/>
      <c r="HN193" s="31"/>
      <c r="HO193" s="31"/>
      <c r="HP193" s="31"/>
      <c r="HQ193" s="31"/>
      <c r="HR193" s="31"/>
      <c r="HS193" s="31"/>
      <c r="HT193" s="31"/>
      <c r="HU193" s="31"/>
      <c r="HV193" s="31"/>
      <c r="HW193" s="31"/>
      <c r="HX193" s="31"/>
      <c r="HY193" s="31"/>
      <c r="HZ193" s="31"/>
      <c r="IA193" s="31"/>
      <c r="IB193" s="31"/>
      <c r="IC193" s="31"/>
      <c r="ID193" s="31"/>
      <c r="IE193" s="31"/>
      <c r="IF193" s="31"/>
      <c r="IG193" s="31"/>
      <c r="IH193" s="31"/>
      <c r="II193" s="31"/>
      <c r="IJ193" s="31"/>
      <c r="IK193" s="31"/>
      <c r="IL193" s="31"/>
      <c r="IM193" s="31"/>
      <c r="IN193" s="31"/>
      <c r="IO193" s="31"/>
      <c r="IP193" s="31"/>
      <c r="IQ193" s="31"/>
      <c r="IR193" s="31"/>
      <c r="IS193" s="31"/>
      <c r="IT193" s="31"/>
      <c r="IU193" s="31"/>
      <c r="IV193" s="31"/>
      <c r="IW193" s="31"/>
      <c r="IX193" s="31"/>
      <c r="IY193" s="31"/>
      <c r="IZ193" s="31"/>
      <c r="JA193" s="31"/>
      <c r="JB193" s="31"/>
      <c r="JC193" s="31"/>
      <c r="JD193" s="31"/>
      <c r="JE193" s="31"/>
      <c r="JF193" s="31"/>
      <c r="JG193" s="31"/>
      <c r="JH193" s="31"/>
      <c r="JI193" s="31"/>
      <c r="JJ193" s="31"/>
      <c r="JK193" s="31"/>
      <c r="JL193" s="31"/>
      <c r="JM193" s="31"/>
      <c r="JN193" s="31"/>
      <c r="JO193" s="31"/>
      <c r="JP193" s="31"/>
      <c r="JQ193" s="31"/>
      <c r="JR193" s="31"/>
      <c r="JS193" s="31"/>
      <c r="JT193" s="31"/>
      <c r="JU193" s="31"/>
      <c r="JV193" s="31"/>
      <c r="JW193" s="31"/>
      <c r="JX193" s="31"/>
      <c r="JY193" s="31"/>
      <c r="JZ193" s="31"/>
      <c r="KA193" s="31"/>
      <c r="KB193" s="31"/>
      <c r="KC193" s="31"/>
      <c r="KD193" s="31"/>
      <c r="KE193" s="31"/>
      <c r="KF193" s="31"/>
      <c r="KG193" s="31"/>
      <c r="KH193" s="31"/>
      <c r="KI193" s="31"/>
      <c r="KJ193" s="31"/>
      <c r="KK193" s="31"/>
      <c r="KL193" s="31"/>
      <c r="KM193" s="31"/>
      <c r="KN193" s="31"/>
      <c r="KO193" s="31"/>
      <c r="KP193" s="31"/>
      <c r="KQ193" s="31"/>
      <c r="KR193" s="31"/>
      <c r="KS193" s="31"/>
      <c r="KT193" s="31"/>
      <c r="KU193" s="31"/>
      <c r="KV193" s="31"/>
      <c r="KW193" s="31"/>
      <c r="KX193" s="31"/>
      <c r="KY193" s="31"/>
      <c r="KZ193" s="31"/>
      <c r="LA193" s="31"/>
      <c r="LB193" s="31"/>
      <c r="LC193" s="31"/>
      <c r="LD193" s="31"/>
      <c r="LE193" s="31"/>
      <c r="LF193" s="31"/>
      <c r="LG193" s="31"/>
      <c r="LH193" s="31"/>
      <c r="LI193" s="31"/>
      <c r="LJ193" s="31"/>
      <c r="LK193" s="31"/>
      <c r="LL193" s="31"/>
      <c r="LM193" s="31"/>
      <c r="LN193" s="31"/>
      <c r="LO193" s="31"/>
      <c r="LP193" s="31"/>
      <c r="LQ193" s="31"/>
      <c r="LR193" s="31"/>
      <c r="LS193" s="31"/>
      <c r="LT193" s="31"/>
      <c r="LU193" s="31"/>
      <c r="LV193" s="31"/>
      <c r="LW193" s="31"/>
      <c r="LX193" s="31"/>
      <c r="LY193" s="31"/>
      <c r="LZ193" s="31"/>
      <c r="MA193" s="31"/>
      <c r="MB193" s="31"/>
      <c r="MC193" s="31"/>
      <c r="MD193" s="31"/>
      <c r="ME193" s="31"/>
      <c r="MF193" s="31"/>
      <c r="MG193" s="31"/>
      <c r="MH193" s="31"/>
      <c r="MI193" s="31"/>
      <c r="MJ193" s="31"/>
      <c r="MK193" s="31"/>
      <c r="ML193" s="31"/>
      <c r="MM193" s="31"/>
      <c r="MN193" s="31"/>
      <c r="MO193" s="31"/>
      <c r="MP193" s="31"/>
      <c r="MQ193" s="31"/>
      <c r="MR193" s="31"/>
      <c r="MS193" s="31"/>
      <c r="MT193" s="31"/>
      <c r="MU193" s="31"/>
      <c r="MV193" s="31"/>
      <c r="MW193" s="31"/>
      <c r="MX193" s="31"/>
      <c r="MY193" s="31"/>
      <c r="MZ193" s="31"/>
      <c r="NA193" s="31"/>
      <c r="NB193" s="31"/>
      <c r="NC193" s="31"/>
      <c r="ND193" s="31"/>
      <c r="NE193" s="31"/>
      <c r="NF193" s="31"/>
      <c r="NG193" s="31"/>
      <c r="NH193" s="31"/>
      <c r="NI193" s="31"/>
      <c r="NJ193" s="31"/>
      <c r="NK193" s="31"/>
      <c r="NL193" s="31"/>
      <c r="NM193" s="31"/>
      <c r="NN193" s="31"/>
      <c r="NO193" s="31"/>
      <c r="NP193" s="31"/>
      <c r="NQ193" s="31"/>
      <c r="NR193" s="31"/>
      <c r="NS193" s="31"/>
      <c r="NT193" s="31"/>
      <c r="NU193" s="31"/>
      <c r="NV193" s="31"/>
      <c r="NW193" s="31"/>
      <c r="NX193" s="31"/>
      <c r="NY193" s="31"/>
      <c r="NZ193" s="31"/>
      <c r="OA193" s="31"/>
      <c r="OB193" s="31"/>
      <c r="OC193" s="31"/>
      <c r="OD193" s="31"/>
      <c r="OE193" s="31"/>
      <c r="OF193" s="31"/>
      <c r="OG193" s="31"/>
      <c r="OH193" s="31"/>
      <c r="OI193" s="31"/>
      <c r="OJ193" s="31"/>
      <c r="OK193" s="31"/>
      <c r="OL193" s="31"/>
      <c r="OM193" s="31"/>
      <c r="ON193" s="31"/>
      <c r="OO193" s="31"/>
      <c r="OP193" s="31"/>
      <c r="OQ193" s="31"/>
      <c r="OR193" s="31"/>
      <c r="OS193" s="31"/>
      <c r="OT193" s="31"/>
      <c r="OU193" s="31"/>
      <c r="OV193" s="31"/>
      <c r="OW193" s="31"/>
      <c r="OX193" s="31"/>
      <c r="OY193" s="31"/>
      <c r="OZ193" s="31"/>
      <c r="PA193" s="31"/>
      <c r="PB193" s="31"/>
      <c r="PC193" s="31"/>
      <c r="PD193" s="31"/>
      <c r="PE193" s="31"/>
      <c r="PF193" s="31"/>
      <c r="PG193" s="31"/>
      <c r="PH193" s="31"/>
      <c r="PI193" s="31"/>
      <c r="PJ193" s="31"/>
      <c r="PK193" s="31"/>
      <c r="PL193" s="31"/>
      <c r="PM193" s="31"/>
      <c r="PN193" s="31"/>
      <c r="PO193" s="31"/>
      <c r="PP193" s="31"/>
      <c r="PQ193" s="31"/>
      <c r="PR193" s="31"/>
      <c r="PS193" s="31"/>
      <c r="PT193" s="31"/>
      <c r="PU193" s="31"/>
      <c r="PV193" s="31"/>
      <c r="PW193" s="31"/>
      <c r="PX193" s="31"/>
      <c r="PY193" s="31"/>
      <c r="PZ193" s="31"/>
      <c r="QA193" s="31"/>
      <c r="QB193" s="31"/>
      <c r="QC193" s="31"/>
      <c r="QD193" s="31"/>
      <c r="QE193" s="31"/>
      <c r="QF193" s="31"/>
      <c r="QG193" s="31"/>
      <c r="QH193" s="31"/>
      <c r="QI193" s="31"/>
      <c r="QJ193" s="31"/>
      <c r="QK193" s="31"/>
      <c r="QL193" s="31"/>
      <c r="QM193" s="31"/>
      <c r="QN193" s="31"/>
      <c r="QO193" s="31"/>
      <c r="QP193" s="31"/>
      <c r="QQ193" s="31"/>
      <c r="QR193" s="31"/>
      <c r="QS193" s="31"/>
      <c r="QT193" s="31"/>
      <c r="QU193" s="31"/>
      <c r="QV193" s="31"/>
      <c r="QW193" s="31"/>
      <c r="QX193" s="31"/>
      <c r="QY193" s="31"/>
      <c r="QZ193" s="31"/>
      <c r="RA193" s="31"/>
      <c r="RB193" s="31"/>
      <c r="RC193" s="31"/>
      <c r="RD193" s="31"/>
      <c r="RE193" s="31"/>
      <c r="RF193" s="31"/>
      <c r="RG193" s="31"/>
      <c r="RH193" s="31"/>
      <c r="RI193" s="31"/>
      <c r="RJ193" s="31"/>
      <c r="RK193" s="31"/>
      <c r="RL193" s="31"/>
      <c r="RM193" s="31"/>
      <c r="RN193" s="31"/>
      <c r="RO193" s="31"/>
      <c r="RP193" s="31"/>
      <c r="RQ193" s="31"/>
      <c r="RR193" s="31"/>
      <c r="RS193" s="31"/>
      <c r="RT193" s="31"/>
      <c r="RU193" s="31"/>
      <c r="RV193" s="31"/>
      <c r="RW193" s="31"/>
      <c r="RX193" s="31"/>
      <c r="RY193" s="31"/>
      <c r="RZ193" s="31"/>
      <c r="SA193" s="31"/>
      <c r="SB193" s="31"/>
      <c r="SC193" s="31"/>
      <c r="SD193" s="31"/>
      <c r="SE193" s="31"/>
      <c r="SF193" s="31"/>
      <c r="SG193" s="31"/>
      <c r="SH193" s="31"/>
      <c r="SI193" s="31"/>
      <c r="SJ193" s="31"/>
      <c r="SK193" s="31"/>
      <c r="SL193" s="31"/>
      <c r="SM193" s="31"/>
      <c r="SN193" s="31"/>
      <c r="SO193" s="31"/>
      <c r="SP193" s="31"/>
      <c r="SQ193" s="31"/>
      <c r="SR193" s="31"/>
      <c r="SS193" s="31"/>
      <c r="ST193" s="31"/>
      <c r="SU193" s="31"/>
      <c r="SV193" s="31"/>
      <c r="SW193" s="31"/>
      <c r="SX193" s="31"/>
      <c r="SY193" s="31"/>
      <c r="SZ193" s="31"/>
      <c r="TA193" s="31"/>
      <c r="TB193" s="31"/>
      <c r="TC193" s="31"/>
      <c r="TD193" s="31"/>
      <c r="TE193" s="31"/>
      <c r="TF193" s="31"/>
      <c r="TG193" s="31"/>
      <c r="TH193" s="31"/>
      <c r="TI193" s="31"/>
      <c r="TJ193" s="31"/>
      <c r="TK193" s="31"/>
      <c r="TL193" s="31"/>
      <c r="TM193" s="31"/>
      <c r="TN193" s="31"/>
      <c r="TO193" s="31"/>
      <c r="TP193" s="31"/>
      <c r="TQ193" s="31"/>
      <c r="TR193" s="31"/>
      <c r="TS193" s="31"/>
      <c r="TT193" s="31"/>
      <c r="TU193" s="31"/>
      <c r="TV193" s="31"/>
      <c r="TW193" s="31"/>
      <c r="TX193" s="31"/>
      <c r="TY193" s="31"/>
      <c r="TZ193" s="31"/>
      <c r="UA193" s="31"/>
      <c r="UB193" s="31"/>
      <c r="UC193" s="31"/>
      <c r="UD193" s="31"/>
      <c r="UE193" s="31"/>
      <c r="UF193" s="31"/>
      <c r="UG193" s="33"/>
    </row>
    <row r="194" spans="1:553" ht="337.5" customHeight="1">
      <c r="A194" s="356" t="s">
        <v>15</v>
      </c>
      <c r="B194" s="356"/>
      <c r="C194" s="384" t="s">
        <v>69</v>
      </c>
      <c r="D194" s="376" t="s">
        <v>70</v>
      </c>
      <c r="E194" s="376" t="s">
        <v>218</v>
      </c>
      <c r="F194" s="385">
        <v>1</v>
      </c>
      <c r="G194" s="386" t="s">
        <v>935</v>
      </c>
      <c r="H194" s="441">
        <v>653.79999999999995</v>
      </c>
      <c r="I194" s="490">
        <v>653.79999999999995</v>
      </c>
      <c r="J194" s="477">
        <v>55000</v>
      </c>
      <c r="K194" s="388"/>
      <c r="L194" s="366">
        <f>PRODUCT(I194:K194)</f>
        <v>35959000</v>
      </c>
      <c r="M194" s="366"/>
      <c r="N194" s="366"/>
      <c r="O194" s="366"/>
      <c r="P194" s="366"/>
      <c r="Q194" s="1036" t="s">
        <v>219</v>
      </c>
      <c r="R194" s="1452"/>
      <c r="S194" s="308"/>
      <c r="T194" s="303"/>
      <c r="U194" s="306"/>
      <c r="V194" s="307"/>
      <c r="W194" s="306"/>
      <c r="X194" s="306">
        <f>I194</f>
        <v>653.79999999999995</v>
      </c>
      <c r="Y194" s="306"/>
      <c r="Z194" s="306"/>
      <c r="AA194" s="306"/>
      <c r="AB194" s="306"/>
      <c r="AC194" s="463"/>
      <c r="AD194" s="452"/>
      <c r="AE194" s="452"/>
      <c r="AF194" s="452"/>
      <c r="AG194" s="452"/>
      <c r="AH194" s="452"/>
      <c r="AI194" s="452"/>
      <c r="AJ194" s="452"/>
      <c r="AK194" s="452"/>
      <c r="AL194" s="106"/>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c r="CJ194" s="31"/>
      <c r="CK194" s="31"/>
      <c r="CL194" s="31"/>
      <c r="CM194" s="31"/>
      <c r="CN194" s="31"/>
      <c r="CO194" s="31"/>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31"/>
      <c r="DQ194" s="31"/>
      <c r="DR194" s="31"/>
      <c r="DS194" s="31"/>
      <c r="DT194" s="31"/>
      <c r="DU194" s="31"/>
      <c r="DV194" s="31"/>
      <c r="DW194" s="31"/>
      <c r="DX194" s="31"/>
      <c r="DY194" s="31"/>
      <c r="DZ194" s="31"/>
      <c r="EA194" s="31"/>
      <c r="EB194" s="31"/>
      <c r="EC194" s="31"/>
      <c r="ED194" s="31"/>
      <c r="EE194" s="31"/>
      <c r="EF194" s="31"/>
      <c r="EG194" s="31"/>
      <c r="EH194" s="31"/>
      <c r="EI194" s="31"/>
      <c r="EJ194" s="31"/>
      <c r="EK194" s="31"/>
      <c r="EL194" s="31"/>
      <c r="EM194" s="31"/>
      <c r="EN194" s="31"/>
      <c r="EO194" s="31"/>
      <c r="EP194" s="31"/>
      <c r="EQ194" s="31"/>
      <c r="ER194" s="31"/>
      <c r="ES194" s="31"/>
      <c r="ET194" s="31"/>
      <c r="EU194" s="31"/>
      <c r="EV194" s="31"/>
      <c r="EW194" s="31"/>
      <c r="EX194" s="31"/>
      <c r="EY194" s="31"/>
      <c r="EZ194" s="31"/>
      <c r="FA194" s="31"/>
      <c r="FB194" s="31"/>
      <c r="FC194" s="31"/>
      <c r="FD194" s="31"/>
      <c r="FE194" s="31"/>
      <c r="FF194" s="31"/>
      <c r="FG194" s="31"/>
      <c r="FH194" s="31"/>
      <c r="FI194" s="31"/>
      <c r="FJ194" s="31"/>
      <c r="FK194" s="31"/>
      <c r="FL194" s="31"/>
      <c r="FM194" s="31"/>
      <c r="FN194" s="31"/>
      <c r="FO194" s="31"/>
      <c r="FP194" s="31"/>
      <c r="FQ194" s="31"/>
      <c r="FR194" s="31"/>
      <c r="FS194" s="31"/>
      <c r="FT194" s="31"/>
      <c r="FU194" s="31"/>
      <c r="FV194" s="31"/>
      <c r="FW194" s="31"/>
      <c r="FX194" s="31"/>
      <c r="FY194" s="31"/>
      <c r="FZ194" s="31"/>
      <c r="GA194" s="31"/>
      <c r="GB194" s="31"/>
      <c r="GC194" s="31"/>
      <c r="GD194" s="31"/>
      <c r="GE194" s="31"/>
      <c r="GF194" s="31"/>
      <c r="GG194" s="31"/>
      <c r="GH194" s="31"/>
      <c r="GI194" s="31"/>
      <c r="GJ194" s="31"/>
      <c r="GK194" s="31"/>
      <c r="GL194" s="31"/>
      <c r="GM194" s="31"/>
      <c r="GN194" s="31"/>
      <c r="GO194" s="31"/>
      <c r="GP194" s="31"/>
      <c r="GQ194" s="31"/>
      <c r="GR194" s="31"/>
      <c r="GS194" s="31"/>
      <c r="GT194" s="31"/>
      <c r="GU194" s="31"/>
      <c r="GV194" s="31"/>
      <c r="GW194" s="31"/>
      <c r="GX194" s="31"/>
      <c r="GY194" s="31"/>
      <c r="GZ194" s="31"/>
      <c r="HA194" s="31"/>
      <c r="HB194" s="31"/>
      <c r="HC194" s="31"/>
      <c r="HD194" s="31"/>
      <c r="HE194" s="31"/>
      <c r="HF194" s="31"/>
      <c r="HG194" s="31"/>
      <c r="HH194" s="31"/>
      <c r="HI194" s="31"/>
      <c r="HJ194" s="31"/>
      <c r="HK194" s="31"/>
      <c r="HL194" s="31"/>
      <c r="HM194" s="31"/>
      <c r="HN194" s="31"/>
      <c r="HO194" s="31"/>
      <c r="HP194" s="31"/>
      <c r="HQ194" s="31"/>
      <c r="HR194" s="31"/>
      <c r="HS194" s="31"/>
      <c r="HT194" s="31"/>
      <c r="HU194" s="31"/>
      <c r="HV194" s="31"/>
      <c r="HW194" s="31"/>
      <c r="HX194" s="31"/>
      <c r="HY194" s="31"/>
      <c r="HZ194" s="31"/>
      <c r="IA194" s="31"/>
      <c r="IB194" s="31"/>
      <c r="IC194" s="31"/>
      <c r="ID194" s="31"/>
      <c r="IE194" s="31"/>
      <c r="IF194" s="31"/>
      <c r="IG194" s="31"/>
      <c r="IH194" s="31"/>
      <c r="II194" s="31"/>
      <c r="IJ194" s="31"/>
      <c r="IK194" s="31"/>
      <c r="IL194" s="31"/>
      <c r="IM194" s="31"/>
      <c r="IN194" s="31"/>
      <c r="IO194" s="31"/>
      <c r="IP194" s="31"/>
      <c r="IQ194" s="31"/>
      <c r="IR194" s="31"/>
      <c r="IS194" s="31"/>
      <c r="IT194" s="31"/>
      <c r="IU194" s="31"/>
      <c r="IV194" s="31"/>
      <c r="IW194" s="31"/>
      <c r="IX194" s="31"/>
      <c r="IY194" s="31"/>
      <c r="IZ194" s="31"/>
      <c r="JA194" s="31"/>
      <c r="JB194" s="31"/>
      <c r="JC194" s="31"/>
      <c r="JD194" s="31"/>
      <c r="JE194" s="31"/>
      <c r="JF194" s="31"/>
      <c r="JG194" s="31"/>
      <c r="JH194" s="31"/>
      <c r="JI194" s="31"/>
      <c r="JJ194" s="31"/>
      <c r="JK194" s="31"/>
      <c r="JL194" s="31"/>
      <c r="JM194" s="31"/>
      <c r="JN194" s="31"/>
      <c r="JO194" s="31"/>
      <c r="JP194" s="31"/>
      <c r="JQ194" s="31"/>
      <c r="JR194" s="31"/>
      <c r="JS194" s="31"/>
      <c r="JT194" s="31"/>
      <c r="JU194" s="31"/>
      <c r="JV194" s="31"/>
      <c r="JW194" s="31"/>
      <c r="JX194" s="31"/>
      <c r="JY194" s="31"/>
      <c r="JZ194" s="31"/>
      <c r="KA194" s="31"/>
      <c r="KB194" s="31"/>
      <c r="KC194" s="31"/>
      <c r="KD194" s="31"/>
      <c r="KE194" s="31"/>
      <c r="KF194" s="31"/>
      <c r="KG194" s="31"/>
      <c r="KH194" s="31"/>
      <c r="KI194" s="31"/>
      <c r="KJ194" s="31"/>
      <c r="KK194" s="31"/>
      <c r="KL194" s="31"/>
      <c r="KM194" s="31"/>
      <c r="KN194" s="31"/>
      <c r="KO194" s="31"/>
      <c r="KP194" s="31"/>
      <c r="KQ194" s="31"/>
      <c r="KR194" s="31"/>
      <c r="KS194" s="31"/>
      <c r="KT194" s="31"/>
      <c r="KU194" s="31"/>
      <c r="KV194" s="31"/>
      <c r="KW194" s="31"/>
      <c r="KX194" s="31"/>
      <c r="KY194" s="31"/>
      <c r="KZ194" s="31"/>
      <c r="LA194" s="31"/>
      <c r="LB194" s="31"/>
      <c r="LC194" s="31"/>
      <c r="LD194" s="31"/>
      <c r="LE194" s="31"/>
      <c r="LF194" s="31"/>
      <c r="LG194" s="31"/>
      <c r="LH194" s="31"/>
      <c r="LI194" s="31"/>
      <c r="LJ194" s="31"/>
      <c r="LK194" s="31"/>
      <c r="LL194" s="31"/>
      <c r="LM194" s="31"/>
      <c r="LN194" s="31"/>
      <c r="LO194" s="31"/>
      <c r="LP194" s="31"/>
      <c r="LQ194" s="31"/>
      <c r="LR194" s="31"/>
      <c r="LS194" s="31"/>
      <c r="LT194" s="31"/>
      <c r="LU194" s="31"/>
      <c r="LV194" s="31"/>
      <c r="LW194" s="31"/>
      <c r="LX194" s="31"/>
      <c r="LY194" s="31"/>
      <c r="LZ194" s="31"/>
      <c r="MA194" s="31"/>
      <c r="MB194" s="31"/>
      <c r="MC194" s="31"/>
      <c r="MD194" s="31"/>
      <c r="ME194" s="31"/>
      <c r="MF194" s="31"/>
      <c r="MG194" s="31"/>
      <c r="MH194" s="31"/>
      <c r="MI194" s="31"/>
      <c r="MJ194" s="31"/>
      <c r="MK194" s="31"/>
      <c r="ML194" s="31"/>
      <c r="MM194" s="31"/>
      <c r="MN194" s="31"/>
      <c r="MO194" s="31"/>
      <c r="MP194" s="31"/>
      <c r="MQ194" s="31"/>
      <c r="MR194" s="31"/>
      <c r="MS194" s="31"/>
      <c r="MT194" s="31"/>
      <c r="MU194" s="31"/>
      <c r="MV194" s="31"/>
      <c r="MW194" s="31"/>
      <c r="MX194" s="31"/>
      <c r="MY194" s="31"/>
      <c r="MZ194" s="31"/>
      <c r="NA194" s="31"/>
      <c r="NB194" s="31"/>
      <c r="NC194" s="31"/>
      <c r="ND194" s="31"/>
      <c r="NE194" s="31"/>
      <c r="NF194" s="31"/>
      <c r="NG194" s="31"/>
      <c r="NH194" s="31"/>
      <c r="NI194" s="31"/>
      <c r="NJ194" s="31"/>
      <c r="NK194" s="31"/>
      <c r="NL194" s="31"/>
      <c r="NM194" s="31"/>
      <c r="NN194" s="31"/>
      <c r="NO194" s="31"/>
      <c r="NP194" s="31"/>
      <c r="NQ194" s="31"/>
      <c r="NR194" s="31"/>
      <c r="NS194" s="31"/>
      <c r="NT194" s="31"/>
      <c r="NU194" s="31"/>
      <c r="NV194" s="31"/>
      <c r="NW194" s="31"/>
      <c r="NX194" s="31"/>
      <c r="NY194" s="31"/>
      <c r="NZ194" s="31"/>
      <c r="OA194" s="31"/>
      <c r="OB194" s="31"/>
      <c r="OC194" s="31"/>
      <c r="OD194" s="31"/>
      <c r="OE194" s="31"/>
      <c r="OF194" s="31"/>
      <c r="OG194" s="31"/>
      <c r="OH194" s="31"/>
      <c r="OI194" s="31"/>
      <c r="OJ194" s="31"/>
      <c r="OK194" s="31"/>
      <c r="OL194" s="31"/>
      <c r="OM194" s="31"/>
      <c r="ON194" s="31"/>
      <c r="OO194" s="31"/>
      <c r="OP194" s="31"/>
      <c r="OQ194" s="31"/>
      <c r="OR194" s="31"/>
      <c r="OS194" s="31"/>
      <c r="OT194" s="31"/>
      <c r="OU194" s="31"/>
      <c r="OV194" s="31"/>
      <c r="OW194" s="31"/>
      <c r="OX194" s="31"/>
      <c r="OY194" s="31"/>
      <c r="OZ194" s="31"/>
      <c r="PA194" s="31"/>
      <c r="PB194" s="31"/>
      <c r="PC194" s="31"/>
      <c r="PD194" s="31"/>
      <c r="PE194" s="31"/>
      <c r="PF194" s="31"/>
      <c r="PG194" s="31"/>
      <c r="PH194" s="31"/>
      <c r="PI194" s="31"/>
      <c r="PJ194" s="31"/>
      <c r="PK194" s="31"/>
      <c r="PL194" s="31"/>
      <c r="PM194" s="31"/>
      <c r="PN194" s="31"/>
      <c r="PO194" s="31"/>
      <c r="PP194" s="31"/>
      <c r="PQ194" s="31"/>
      <c r="PR194" s="31"/>
      <c r="PS194" s="31"/>
      <c r="PT194" s="31"/>
      <c r="PU194" s="31"/>
      <c r="PV194" s="31"/>
      <c r="PW194" s="31"/>
      <c r="PX194" s="31"/>
      <c r="PY194" s="31"/>
      <c r="PZ194" s="31"/>
      <c r="QA194" s="31"/>
      <c r="QB194" s="31"/>
      <c r="QC194" s="31"/>
      <c r="QD194" s="31"/>
      <c r="QE194" s="31"/>
      <c r="QF194" s="31"/>
      <c r="QG194" s="31"/>
      <c r="QH194" s="31"/>
      <c r="QI194" s="31"/>
      <c r="QJ194" s="31"/>
      <c r="QK194" s="31"/>
      <c r="QL194" s="31"/>
      <c r="QM194" s="31"/>
      <c r="QN194" s="31"/>
      <c r="QO194" s="31"/>
      <c r="QP194" s="31"/>
      <c r="QQ194" s="31"/>
      <c r="QR194" s="31"/>
      <c r="QS194" s="31"/>
      <c r="QT194" s="31"/>
      <c r="QU194" s="31"/>
      <c r="QV194" s="31"/>
      <c r="QW194" s="31"/>
      <c r="QX194" s="31"/>
      <c r="QY194" s="31"/>
      <c r="QZ194" s="31"/>
      <c r="RA194" s="31"/>
      <c r="RB194" s="31"/>
      <c r="RC194" s="31"/>
      <c r="RD194" s="31"/>
      <c r="RE194" s="31"/>
      <c r="RF194" s="31"/>
      <c r="RG194" s="31"/>
      <c r="RH194" s="31"/>
      <c r="RI194" s="31"/>
      <c r="RJ194" s="31"/>
      <c r="RK194" s="31"/>
      <c r="RL194" s="31"/>
      <c r="RM194" s="31"/>
      <c r="RN194" s="31"/>
      <c r="RO194" s="31"/>
      <c r="RP194" s="31"/>
      <c r="RQ194" s="31"/>
      <c r="RR194" s="31"/>
      <c r="RS194" s="31"/>
      <c r="RT194" s="31"/>
      <c r="RU194" s="31"/>
      <c r="RV194" s="31"/>
      <c r="RW194" s="31"/>
      <c r="RX194" s="31"/>
      <c r="RY194" s="31"/>
      <c r="RZ194" s="31"/>
      <c r="SA194" s="31"/>
      <c r="SB194" s="31"/>
      <c r="SC194" s="31"/>
      <c r="SD194" s="31"/>
      <c r="SE194" s="31"/>
      <c r="SF194" s="31"/>
      <c r="SG194" s="31"/>
      <c r="SH194" s="31"/>
      <c r="SI194" s="31"/>
      <c r="SJ194" s="31"/>
      <c r="SK194" s="31"/>
      <c r="SL194" s="31"/>
      <c r="SM194" s="31"/>
      <c r="SN194" s="31"/>
      <c r="SO194" s="31"/>
      <c r="SP194" s="31"/>
      <c r="SQ194" s="31"/>
      <c r="SR194" s="31"/>
      <c r="SS194" s="31"/>
      <c r="ST194" s="31"/>
      <c r="SU194" s="31"/>
      <c r="SV194" s="31"/>
      <c r="SW194" s="31"/>
      <c r="SX194" s="31"/>
      <c r="SY194" s="31"/>
      <c r="SZ194" s="31"/>
      <c r="TA194" s="31"/>
      <c r="TB194" s="31"/>
      <c r="TC194" s="31"/>
      <c r="TD194" s="31"/>
      <c r="TE194" s="31"/>
      <c r="TF194" s="31"/>
      <c r="TG194" s="31"/>
      <c r="TH194" s="31"/>
      <c r="TI194" s="31"/>
      <c r="TJ194" s="31"/>
      <c r="TK194" s="31"/>
      <c r="TL194" s="31"/>
      <c r="TM194" s="31"/>
      <c r="TN194" s="31"/>
      <c r="TO194" s="31"/>
      <c r="TP194" s="31"/>
      <c r="TQ194" s="31"/>
      <c r="TR194" s="31"/>
      <c r="TS194" s="31"/>
      <c r="TT194" s="31"/>
      <c r="TU194" s="31"/>
      <c r="TV194" s="31"/>
      <c r="TW194" s="31"/>
      <c r="TX194" s="31"/>
      <c r="TY194" s="31"/>
      <c r="TZ194" s="31"/>
      <c r="UA194" s="31"/>
      <c r="UB194" s="31"/>
      <c r="UC194" s="31"/>
      <c r="UD194" s="31"/>
      <c r="UE194" s="31"/>
      <c r="UF194" s="31"/>
      <c r="UG194" s="33"/>
    </row>
    <row r="195" spans="1:553" s="236" customFormat="1" ht="337.5" customHeight="1">
      <c r="A195" s="356" t="s">
        <v>15</v>
      </c>
      <c r="B195" s="356"/>
      <c r="C195" s="384" t="s">
        <v>69</v>
      </c>
      <c r="D195" s="376" t="s">
        <v>20</v>
      </c>
      <c r="E195" s="376" t="s">
        <v>220</v>
      </c>
      <c r="F195" s="385">
        <v>1</v>
      </c>
      <c r="G195" s="386" t="s">
        <v>935</v>
      </c>
      <c r="H195" s="387">
        <v>386</v>
      </c>
      <c r="I195" s="441">
        <v>386</v>
      </c>
      <c r="J195" s="477">
        <v>55000</v>
      </c>
      <c r="K195" s="388"/>
      <c r="L195" s="366">
        <f t="shared" ref="L195:L211" si="41">PRODUCT(I195:K195)</f>
        <v>21230000</v>
      </c>
      <c r="M195" s="366"/>
      <c r="N195" s="366"/>
      <c r="O195" s="366"/>
      <c r="P195" s="366"/>
      <c r="Q195" s="1036" t="s">
        <v>221</v>
      </c>
      <c r="R195" s="1452"/>
      <c r="S195" s="308"/>
      <c r="T195" s="303"/>
      <c r="U195" s="306"/>
      <c r="V195" s="307"/>
      <c r="W195" s="306"/>
      <c r="X195" s="306">
        <f>I195</f>
        <v>386</v>
      </c>
      <c r="Y195" s="306"/>
      <c r="Z195" s="306"/>
      <c r="AA195" s="306"/>
      <c r="AB195" s="306"/>
      <c r="AC195" s="463"/>
      <c r="AD195" s="452"/>
      <c r="AE195" s="452"/>
      <c r="AF195" s="452"/>
      <c r="AG195" s="452"/>
      <c r="AH195" s="452"/>
      <c r="AI195" s="452"/>
      <c r="AJ195" s="452"/>
      <c r="AK195" s="452"/>
      <c r="AL195" s="244"/>
      <c r="AM195" s="238"/>
      <c r="AN195" s="238"/>
      <c r="AO195" s="238"/>
      <c r="AP195" s="238"/>
      <c r="AQ195" s="238"/>
      <c r="AR195" s="238"/>
      <c r="AS195" s="238"/>
      <c r="AT195" s="238"/>
      <c r="AU195" s="238"/>
      <c r="AV195" s="238"/>
      <c r="AW195" s="238"/>
      <c r="AX195" s="238"/>
      <c r="AY195" s="238"/>
      <c r="AZ195" s="238"/>
      <c r="BA195" s="238"/>
      <c r="BB195" s="238"/>
      <c r="BC195" s="238"/>
      <c r="BD195" s="238"/>
      <c r="BE195" s="238"/>
      <c r="BF195" s="238"/>
      <c r="BG195" s="238"/>
      <c r="BH195" s="238"/>
      <c r="BI195" s="238"/>
      <c r="BJ195" s="238"/>
      <c r="BK195" s="238"/>
      <c r="BL195" s="238"/>
      <c r="BM195" s="238"/>
      <c r="BN195" s="238"/>
      <c r="BO195" s="238"/>
      <c r="BP195" s="238"/>
      <c r="BQ195" s="238"/>
      <c r="BR195" s="238"/>
      <c r="BS195" s="238"/>
      <c r="BT195" s="238"/>
      <c r="BU195" s="238"/>
      <c r="BV195" s="238"/>
      <c r="BW195" s="238"/>
      <c r="BX195" s="238"/>
      <c r="BY195" s="238"/>
      <c r="BZ195" s="238"/>
      <c r="CA195" s="238"/>
      <c r="CB195" s="238"/>
      <c r="CC195" s="238"/>
      <c r="CD195" s="238"/>
      <c r="CE195" s="238"/>
      <c r="CF195" s="238"/>
      <c r="CG195" s="238"/>
      <c r="CH195" s="238"/>
      <c r="CI195" s="238"/>
      <c r="CJ195" s="238"/>
      <c r="CK195" s="238"/>
      <c r="CL195" s="238"/>
      <c r="CM195" s="238"/>
      <c r="CN195" s="238"/>
      <c r="CO195" s="238"/>
      <c r="CP195" s="238"/>
      <c r="CQ195" s="238"/>
      <c r="CR195" s="238"/>
      <c r="CS195" s="238"/>
      <c r="CT195" s="238"/>
      <c r="CU195" s="238"/>
      <c r="CV195" s="238"/>
      <c r="CW195" s="238"/>
      <c r="CX195" s="238"/>
      <c r="CY195" s="238"/>
      <c r="CZ195" s="238"/>
      <c r="DA195" s="238"/>
      <c r="DB195" s="238"/>
      <c r="DC195" s="238"/>
      <c r="DD195" s="238"/>
      <c r="DE195" s="238"/>
      <c r="DF195" s="238"/>
      <c r="DG195" s="238"/>
      <c r="DH195" s="238"/>
      <c r="DI195" s="238"/>
      <c r="DJ195" s="238"/>
      <c r="DK195" s="238"/>
      <c r="DL195" s="238"/>
      <c r="DM195" s="238"/>
      <c r="DN195" s="238"/>
      <c r="DO195" s="238"/>
      <c r="DP195" s="238"/>
      <c r="DQ195" s="238"/>
      <c r="DR195" s="238"/>
      <c r="DS195" s="238"/>
      <c r="DT195" s="238"/>
      <c r="DU195" s="238"/>
      <c r="DV195" s="238"/>
      <c r="DW195" s="238"/>
      <c r="DX195" s="238"/>
      <c r="DY195" s="238"/>
      <c r="DZ195" s="238"/>
      <c r="EA195" s="238"/>
      <c r="EB195" s="238"/>
      <c r="EC195" s="238"/>
      <c r="ED195" s="238"/>
      <c r="EE195" s="238"/>
      <c r="EF195" s="238"/>
      <c r="EG195" s="238"/>
      <c r="EH195" s="238"/>
      <c r="EI195" s="238"/>
      <c r="EJ195" s="238"/>
      <c r="EK195" s="238"/>
      <c r="EL195" s="238"/>
      <c r="EM195" s="238"/>
      <c r="EN195" s="238"/>
      <c r="EO195" s="238"/>
      <c r="EP195" s="238"/>
      <c r="EQ195" s="238"/>
      <c r="ER195" s="238"/>
      <c r="ES195" s="238"/>
      <c r="ET195" s="238"/>
      <c r="EU195" s="238"/>
      <c r="EV195" s="238"/>
      <c r="EW195" s="238"/>
      <c r="EX195" s="238"/>
      <c r="EY195" s="238"/>
      <c r="EZ195" s="238"/>
      <c r="FA195" s="238"/>
      <c r="FB195" s="238"/>
      <c r="FC195" s="238"/>
      <c r="FD195" s="238"/>
      <c r="FE195" s="238"/>
      <c r="FF195" s="238"/>
      <c r="FG195" s="238"/>
      <c r="FH195" s="238"/>
      <c r="FI195" s="238"/>
      <c r="FJ195" s="238"/>
      <c r="FK195" s="238"/>
      <c r="FL195" s="238"/>
      <c r="FM195" s="238"/>
      <c r="FN195" s="238"/>
      <c r="FO195" s="238"/>
      <c r="FP195" s="238"/>
      <c r="FQ195" s="238"/>
      <c r="FR195" s="238"/>
      <c r="FS195" s="238"/>
      <c r="FT195" s="238"/>
      <c r="FU195" s="238"/>
      <c r="FV195" s="238"/>
      <c r="FW195" s="238"/>
      <c r="FX195" s="238"/>
      <c r="FY195" s="238"/>
      <c r="FZ195" s="238"/>
      <c r="GA195" s="238"/>
      <c r="GB195" s="238"/>
      <c r="GC195" s="238"/>
      <c r="GD195" s="238"/>
      <c r="GE195" s="238"/>
      <c r="GF195" s="238"/>
      <c r="GG195" s="238"/>
      <c r="GH195" s="238"/>
      <c r="GI195" s="238"/>
      <c r="GJ195" s="238"/>
      <c r="GK195" s="238"/>
      <c r="GL195" s="238"/>
      <c r="GM195" s="238"/>
      <c r="GN195" s="238"/>
      <c r="GO195" s="238"/>
      <c r="GP195" s="238"/>
      <c r="GQ195" s="238"/>
      <c r="GR195" s="238"/>
      <c r="GS195" s="238"/>
      <c r="GT195" s="238"/>
      <c r="GU195" s="238"/>
      <c r="GV195" s="238"/>
      <c r="GW195" s="238"/>
      <c r="GX195" s="238"/>
      <c r="GY195" s="238"/>
      <c r="GZ195" s="238"/>
      <c r="HA195" s="238"/>
      <c r="HB195" s="238"/>
      <c r="HC195" s="238"/>
      <c r="HD195" s="238"/>
      <c r="HE195" s="238"/>
      <c r="HF195" s="238"/>
      <c r="HG195" s="238"/>
      <c r="HH195" s="238"/>
      <c r="HI195" s="238"/>
      <c r="HJ195" s="238"/>
      <c r="HK195" s="238"/>
      <c r="HL195" s="238"/>
      <c r="HM195" s="238"/>
      <c r="HN195" s="238"/>
      <c r="HO195" s="238"/>
      <c r="HP195" s="238"/>
      <c r="HQ195" s="238"/>
      <c r="HR195" s="238"/>
      <c r="HS195" s="238"/>
      <c r="HT195" s="238"/>
      <c r="HU195" s="238"/>
      <c r="HV195" s="238"/>
      <c r="HW195" s="238"/>
      <c r="HX195" s="238"/>
      <c r="HY195" s="238"/>
      <c r="HZ195" s="238"/>
      <c r="IA195" s="238"/>
      <c r="IB195" s="238"/>
      <c r="IC195" s="238"/>
      <c r="ID195" s="238"/>
      <c r="IE195" s="238"/>
      <c r="IF195" s="238"/>
      <c r="IG195" s="238"/>
      <c r="IH195" s="238"/>
      <c r="II195" s="238"/>
      <c r="IJ195" s="238"/>
      <c r="IK195" s="238"/>
      <c r="IL195" s="238"/>
      <c r="IM195" s="238"/>
      <c r="IN195" s="238"/>
      <c r="IO195" s="238"/>
      <c r="IP195" s="238"/>
      <c r="IQ195" s="238"/>
      <c r="IR195" s="238"/>
      <c r="IS195" s="238"/>
      <c r="IT195" s="238"/>
      <c r="IU195" s="238"/>
      <c r="IV195" s="238"/>
      <c r="IW195" s="238"/>
      <c r="IX195" s="238"/>
      <c r="IY195" s="238"/>
      <c r="IZ195" s="238"/>
      <c r="JA195" s="238"/>
      <c r="JB195" s="238"/>
      <c r="JC195" s="238"/>
      <c r="JD195" s="238"/>
      <c r="JE195" s="238"/>
      <c r="JF195" s="238"/>
      <c r="JG195" s="238"/>
      <c r="JH195" s="238"/>
      <c r="JI195" s="238"/>
      <c r="JJ195" s="238"/>
      <c r="JK195" s="238"/>
      <c r="JL195" s="238"/>
      <c r="JM195" s="238"/>
      <c r="JN195" s="238"/>
      <c r="JO195" s="238"/>
      <c r="JP195" s="238"/>
      <c r="JQ195" s="238"/>
      <c r="JR195" s="238"/>
      <c r="JS195" s="238"/>
      <c r="JT195" s="238"/>
      <c r="JU195" s="238"/>
      <c r="JV195" s="238"/>
      <c r="JW195" s="238"/>
      <c r="JX195" s="238"/>
      <c r="JY195" s="238"/>
      <c r="JZ195" s="238"/>
      <c r="KA195" s="238"/>
      <c r="KB195" s="238"/>
      <c r="KC195" s="238"/>
      <c r="KD195" s="238"/>
      <c r="KE195" s="238"/>
      <c r="KF195" s="238"/>
      <c r="KG195" s="238"/>
      <c r="KH195" s="238"/>
      <c r="KI195" s="238"/>
      <c r="KJ195" s="238"/>
      <c r="KK195" s="238"/>
      <c r="KL195" s="238"/>
      <c r="KM195" s="238"/>
      <c r="KN195" s="238"/>
      <c r="KO195" s="238"/>
      <c r="KP195" s="238"/>
      <c r="KQ195" s="238"/>
      <c r="KR195" s="238"/>
      <c r="KS195" s="238"/>
      <c r="KT195" s="238"/>
      <c r="KU195" s="238"/>
      <c r="KV195" s="238"/>
      <c r="KW195" s="238"/>
      <c r="KX195" s="238"/>
      <c r="KY195" s="238"/>
      <c r="KZ195" s="238"/>
      <c r="LA195" s="238"/>
      <c r="LB195" s="238"/>
      <c r="LC195" s="238"/>
      <c r="LD195" s="238"/>
      <c r="LE195" s="238"/>
      <c r="LF195" s="238"/>
      <c r="LG195" s="238"/>
      <c r="LH195" s="238"/>
      <c r="LI195" s="238"/>
      <c r="LJ195" s="238"/>
      <c r="LK195" s="238"/>
      <c r="LL195" s="238"/>
      <c r="LM195" s="238"/>
      <c r="LN195" s="238"/>
      <c r="LO195" s="238"/>
      <c r="LP195" s="238"/>
      <c r="LQ195" s="238"/>
      <c r="LR195" s="238"/>
      <c r="LS195" s="238"/>
      <c r="LT195" s="238"/>
      <c r="LU195" s="238"/>
      <c r="LV195" s="238"/>
      <c r="LW195" s="238"/>
      <c r="LX195" s="238"/>
      <c r="LY195" s="238"/>
      <c r="LZ195" s="238"/>
      <c r="MA195" s="238"/>
      <c r="MB195" s="238"/>
      <c r="MC195" s="238"/>
      <c r="MD195" s="238"/>
      <c r="ME195" s="238"/>
      <c r="MF195" s="238"/>
      <c r="MG195" s="238"/>
      <c r="MH195" s="238"/>
      <c r="MI195" s="238"/>
      <c r="MJ195" s="238"/>
      <c r="MK195" s="238"/>
      <c r="ML195" s="238"/>
      <c r="MM195" s="238"/>
      <c r="MN195" s="238"/>
      <c r="MO195" s="238"/>
      <c r="MP195" s="238"/>
      <c r="MQ195" s="238"/>
      <c r="MR195" s="238"/>
      <c r="MS195" s="238"/>
      <c r="MT195" s="238"/>
      <c r="MU195" s="238"/>
      <c r="MV195" s="238"/>
      <c r="MW195" s="238"/>
      <c r="MX195" s="238"/>
      <c r="MY195" s="238"/>
      <c r="MZ195" s="238"/>
      <c r="NA195" s="238"/>
      <c r="NB195" s="238"/>
      <c r="NC195" s="238"/>
      <c r="ND195" s="238"/>
      <c r="NE195" s="238"/>
      <c r="NF195" s="238"/>
      <c r="NG195" s="238"/>
      <c r="NH195" s="238"/>
      <c r="NI195" s="238"/>
      <c r="NJ195" s="238"/>
      <c r="NK195" s="238"/>
      <c r="NL195" s="238"/>
      <c r="NM195" s="238"/>
      <c r="NN195" s="238"/>
      <c r="NO195" s="238"/>
      <c r="NP195" s="238"/>
      <c r="NQ195" s="238"/>
      <c r="NR195" s="238"/>
      <c r="NS195" s="238"/>
      <c r="NT195" s="238"/>
      <c r="NU195" s="238"/>
      <c r="NV195" s="238"/>
      <c r="NW195" s="238"/>
      <c r="NX195" s="238"/>
      <c r="NY195" s="238"/>
      <c r="NZ195" s="238"/>
      <c r="OA195" s="238"/>
      <c r="OB195" s="238"/>
      <c r="OC195" s="238"/>
      <c r="OD195" s="238"/>
      <c r="OE195" s="238"/>
      <c r="OF195" s="238"/>
      <c r="OG195" s="238"/>
      <c r="OH195" s="238"/>
      <c r="OI195" s="238"/>
      <c r="OJ195" s="238"/>
      <c r="OK195" s="238"/>
      <c r="OL195" s="238"/>
      <c r="OM195" s="238"/>
      <c r="ON195" s="238"/>
      <c r="OO195" s="238"/>
      <c r="OP195" s="238"/>
      <c r="OQ195" s="238"/>
      <c r="OR195" s="238"/>
      <c r="OS195" s="238"/>
      <c r="OT195" s="238"/>
      <c r="OU195" s="238"/>
      <c r="OV195" s="238"/>
      <c r="OW195" s="238"/>
      <c r="OX195" s="238"/>
      <c r="OY195" s="238"/>
      <c r="OZ195" s="238"/>
      <c r="PA195" s="238"/>
      <c r="PB195" s="238"/>
      <c r="PC195" s="238"/>
      <c r="PD195" s="238"/>
      <c r="PE195" s="238"/>
      <c r="PF195" s="238"/>
      <c r="PG195" s="238"/>
      <c r="PH195" s="238"/>
      <c r="PI195" s="238"/>
      <c r="PJ195" s="238"/>
      <c r="PK195" s="238"/>
      <c r="PL195" s="238"/>
      <c r="PM195" s="238"/>
      <c r="PN195" s="238"/>
      <c r="PO195" s="238"/>
      <c r="PP195" s="238"/>
      <c r="PQ195" s="238"/>
      <c r="PR195" s="238"/>
      <c r="PS195" s="238"/>
      <c r="PT195" s="238"/>
      <c r="PU195" s="238"/>
      <c r="PV195" s="238"/>
      <c r="PW195" s="238"/>
      <c r="PX195" s="238"/>
      <c r="PY195" s="238"/>
      <c r="PZ195" s="238"/>
      <c r="QA195" s="238"/>
      <c r="QB195" s="238"/>
      <c r="QC195" s="238"/>
      <c r="QD195" s="238"/>
      <c r="QE195" s="238"/>
      <c r="QF195" s="238"/>
      <c r="QG195" s="238"/>
      <c r="QH195" s="238"/>
      <c r="QI195" s="238"/>
      <c r="QJ195" s="238"/>
      <c r="QK195" s="238"/>
      <c r="QL195" s="238"/>
      <c r="QM195" s="238"/>
      <c r="QN195" s="238"/>
      <c r="QO195" s="238"/>
      <c r="QP195" s="238"/>
      <c r="QQ195" s="238"/>
      <c r="QR195" s="238"/>
      <c r="QS195" s="238"/>
      <c r="QT195" s="238"/>
      <c r="QU195" s="238"/>
      <c r="QV195" s="238"/>
      <c r="QW195" s="238"/>
      <c r="QX195" s="238"/>
      <c r="QY195" s="238"/>
      <c r="QZ195" s="238"/>
      <c r="RA195" s="238"/>
      <c r="RB195" s="238"/>
      <c r="RC195" s="238"/>
      <c r="RD195" s="238"/>
      <c r="RE195" s="238"/>
      <c r="RF195" s="238"/>
      <c r="RG195" s="238"/>
      <c r="RH195" s="238"/>
      <c r="RI195" s="238"/>
      <c r="RJ195" s="238"/>
      <c r="RK195" s="238"/>
      <c r="RL195" s="238"/>
      <c r="RM195" s="238"/>
      <c r="RN195" s="238"/>
      <c r="RO195" s="238"/>
      <c r="RP195" s="238"/>
      <c r="RQ195" s="238"/>
      <c r="RR195" s="238"/>
      <c r="RS195" s="238"/>
      <c r="RT195" s="238"/>
      <c r="RU195" s="238"/>
      <c r="RV195" s="238"/>
      <c r="RW195" s="238"/>
      <c r="RX195" s="238"/>
      <c r="RY195" s="238"/>
      <c r="RZ195" s="238"/>
      <c r="SA195" s="238"/>
      <c r="SB195" s="238"/>
      <c r="SC195" s="238"/>
      <c r="SD195" s="238"/>
      <c r="SE195" s="238"/>
      <c r="SF195" s="238"/>
      <c r="SG195" s="238"/>
      <c r="SH195" s="238"/>
      <c r="SI195" s="238"/>
      <c r="SJ195" s="238"/>
      <c r="SK195" s="238"/>
      <c r="SL195" s="238"/>
      <c r="SM195" s="238"/>
      <c r="SN195" s="238"/>
      <c r="SO195" s="238"/>
      <c r="SP195" s="238"/>
      <c r="SQ195" s="238"/>
      <c r="SR195" s="238"/>
      <c r="SS195" s="238"/>
      <c r="ST195" s="238"/>
      <c r="SU195" s="238"/>
      <c r="SV195" s="238"/>
      <c r="SW195" s="238"/>
      <c r="SX195" s="238"/>
      <c r="SY195" s="238"/>
      <c r="SZ195" s="238"/>
      <c r="TA195" s="238"/>
      <c r="TB195" s="238"/>
      <c r="TC195" s="238"/>
      <c r="TD195" s="238"/>
      <c r="TE195" s="238"/>
      <c r="TF195" s="238"/>
      <c r="TG195" s="238"/>
      <c r="TH195" s="238"/>
      <c r="TI195" s="238"/>
      <c r="TJ195" s="238"/>
      <c r="TK195" s="238"/>
      <c r="TL195" s="238"/>
      <c r="TM195" s="238"/>
      <c r="TN195" s="238"/>
      <c r="TO195" s="238"/>
      <c r="TP195" s="238"/>
      <c r="TQ195" s="238"/>
      <c r="TR195" s="238"/>
      <c r="TS195" s="238"/>
      <c r="TT195" s="238"/>
      <c r="TU195" s="238"/>
      <c r="TV195" s="238"/>
      <c r="TW195" s="238"/>
      <c r="TX195" s="238"/>
      <c r="TY195" s="238"/>
      <c r="TZ195" s="238"/>
      <c r="UA195" s="238"/>
      <c r="UB195" s="238"/>
      <c r="UC195" s="238"/>
      <c r="UD195" s="238"/>
      <c r="UE195" s="238"/>
      <c r="UF195" s="238"/>
      <c r="UG195" s="248"/>
    </row>
    <row r="196" spans="1:553" s="169" customFormat="1" ht="108.5">
      <c r="A196" s="356" t="s">
        <v>15</v>
      </c>
      <c r="B196" s="356"/>
      <c r="C196" s="384" t="s">
        <v>22</v>
      </c>
      <c r="D196" s="376">
        <v>2</v>
      </c>
      <c r="E196" s="376">
        <v>284</v>
      </c>
      <c r="F196" s="385">
        <v>1</v>
      </c>
      <c r="G196" s="386" t="s">
        <v>935</v>
      </c>
      <c r="H196" s="376">
        <v>67.7</v>
      </c>
      <c r="I196" s="422">
        <v>67.7</v>
      </c>
      <c r="J196" s="1061">
        <v>60000</v>
      </c>
      <c r="K196" s="388"/>
      <c r="L196" s="366">
        <f t="shared" si="41"/>
        <v>4062000</v>
      </c>
      <c r="M196" s="366"/>
      <c r="N196" s="366"/>
      <c r="O196" s="366"/>
      <c r="P196" s="366"/>
      <c r="Q196" s="1036" t="s">
        <v>222</v>
      </c>
      <c r="R196" s="1447" t="s">
        <v>931</v>
      </c>
      <c r="S196" s="308"/>
      <c r="T196" s="303"/>
      <c r="U196" s="306"/>
      <c r="V196" s="307"/>
      <c r="W196" s="306"/>
      <c r="X196" s="306"/>
      <c r="Y196" s="306"/>
      <c r="Z196" s="306"/>
      <c r="AA196" s="306"/>
      <c r="AB196" s="306">
        <f>I196</f>
        <v>67.7</v>
      </c>
      <c r="AC196" s="449"/>
      <c r="AD196" s="452"/>
      <c r="AE196" s="452"/>
      <c r="AF196" s="452"/>
      <c r="AG196" s="452"/>
      <c r="AH196" s="452"/>
      <c r="AI196" s="452"/>
      <c r="AJ196" s="452"/>
      <c r="AK196" s="452"/>
      <c r="AL196" s="890"/>
      <c r="AM196" s="165"/>
      <c r="AN196" s="165"/>
      <c r="AO196" s="165"/>
      <c r="AP196" s="165"/>
      <c r="AQ196" s="165"/>
      <c r="AR196" s="165"/>
      <c r="AS196" s="165"/>
      <c r="AT196" s="165"/>
      <c r="AU196" s="165"/>
      <c r="AV196" s="165"/>
      <c r="AW196" s="165"/>
      <c r="AX196" s="165"/>
      <c r="AY196" s="165"/>
      <c r="AZ196" s="165"/>
      <c r="BA196" s="165"/>
      <c r="BB196" s="165"/>
      <c r="BC196" s="165"/>
      <c r="BD196" s="165"/>
      <c r="BE196" s="165"/>
      <c r="BF196" s="165"/>
      <c r="BG196" s="165"/>
      <c r="BH196" s="165"/>
      <c r="BI196" s="165"/>
      <c r="BJ196" s="165"/>
      <c r="BK196" s="165"/>
      <c r="BL196" s="165"/>
      <c r="BM196" s="165"/>
      <c r="BN196" s="165"/>
      <c r="BO196" s="165"/>
      <c r="BP196" s="165"/>
      <c r="BQ196" s="165"/>
      <c r="BR196" s="165"/>
      <c r="BS196" s="165"/>
      <c r="BT196" s="165"/>
      <c r="BU196" s="165"/>
      <c r="BV196" s="165"/>
      <c r="BW196" s="165"/>
      <c r="BX196" s="165"/>
      <c r="BY196" s="165"/>
      <c r="BZ196" s="165"/>
      <c r="CA196" s="165"/>
      <c r="CB196" s="165"/>
      <c r="CC196" s="165"/>
      <c r="CD196" s="165"/>
      <c r="CE196" s="165"/>
      <c r="CF196" s="165"/>
      <c r="CG196" s="165"/>
      <c r="CH196" s="165"/>
      <c r="CI196" s="165"/>
      <c r="CJ196" s="165"/>
      <c r="CK196" s="165"/>
      <c r="CL196" s="165"/>
      <c r="CM196" s="165"/>
      <c r="CN196" s="165"/>
      <c r="CO196" s="165"/>
      <c r="CP196" s="165"/>
      <c r="CQ196" s="165"/>
      <c r="CR196" s="165"/>
      <c r="CS196" s="165"/>
      <c r="CT196" s="165"/>
      <c r="CU196" s="165"/>
      <c r="CV196" s="165"/>
      <c r="CW196" s="165"/>
      <c r="CX196" s="165"/>
      <c r="CY196" s="165"/>
      <c r="CZ196" s="165"/>
      <c r="DA196" s="165"/>
      <c r="DB196" s="165"/>
      <c r="DC196" s="165"/>
      <c r="DD196" s="165"/>
      <c r="DE196" s="165"/>
      <c r="DF196" s="165"/>
      <c r="DG196" s="165"/>
      <c r="DH196" s="165"/>
      <c r="DI196" s="165"/>
      <c r="DJ196" s="165"/>
      <c r="DK196" s="165"/>
      <c r="DL196" s="165"/>
      <c r="DM196" s="165"/>
      <c r="DN196" s="165"/>
      <c r="DO196" s="165"/>
      <c r="DP196" s="165"/>
      <c r="DQ196" s="165"/>
      <c r="DR196" s="165"/>
      <c r="DS196" s="165"/>
      <c r="DT196" s="165"/>
      <c r="DU196" s="165"/>
      <c r="DV196" s="165"/>
      <c r="DW196" s="165"/>
      <c r="DX196" s="165"/>
      <c r="DY196" s="165"/>
      <c r="DZ196" s="165"/>
      <c r="EA196" s="165"/>
      <c r="EB196" s="165"/>
      <c r="EC196" s="165"/>
      <c r="ED196" s="165"/>
      <c r="EE196" s="165"/>
      <c r="EF196" s="165"/>
      <c r="EG196" s="165"/>
      <c r="EH196" s="165"/>
      <c r="EI196" s="165"/>
      <c r="EJ196" s="165"/>
      <c r="EK196" s="165"/>
      <c r="EL196" s="165"/>
      <c r="EM196" s="165"/>
      <c r="EN196" s="165"/>
      <c r="EO196" s="165"/>
      <c r="EP196" s="165"/>
      <c r="EQ196" s="165"/>
      <c r="ER196" s="165"/>
      <c r="ES196" s="165"/>
      <c r="ET196" s="165"/>
      <c r="EU196" s="165"/>
      <c r="EV196" s="165"/>
      <c r="EW196" s="165"/>
      <c r="EX196" s="165"/>
      <c r="EY196" s="165"/>
      <c r="EZ196" s="165"/>
      <c r="FA196" s="165"/>
      <c r="FB196" s="165"/>
      <c r="FC196" s="165"/>
      <c r="FD196" s="165"/>
      <c r="FE196" s="165"/>
      <c r="FF196" s="165"/>
      <c r="FG196" s="165"/>
      <c r="FH196" s="165"/>
      <c r="FI196" s="165"/>
      <c r="FJ196" s="165"/>
      <c r="FK196" s="165"/>
      <c r="FL196" s="165"/>
      <c r="FM196" s="165"/>
      <c r="FN196" s="165"/>
      <c r="FO196" s="165"/>
      <c r="FP196" s="165"/>
      <c r="FQ196" s="165"/>
      <c r="FR196" s="165"/>
      <c r="FS196" s="165"/>
      <c r="FT196" s="165"/>
      <c r="FU196" s="165"/>
      <c r="FV196" s="165"/>
      <c r="FW196" s="165"/>
      <c r="FX196" s="165"/>
      <c r="FY196" s="165"/>
      <c r="FZ196" s="165"/>
      <c r="GA196" s="165"/>
      <c r="GB196" s="165"/>
      <c r="GC196" s="165"/>
      <c r="GD196" s="165"/>
      <c r="GE196" s="165"/>
      <c r="GF196" s="165"/>
      <c r="GG196" s="165"/>
      <c r="GH196" s="165"/>
      <c r="GI196" s="165"/>
      <c r="GJ196" s="165"/>
      <c r="GK196" s="165"/>
      <c r="GL196" s="165"/>
      <c r="GM196" s="165"/>
      <c r="GN196" s="165"/>
      <c r="GO196" s="165"/>
      <c r="GP196" s="165"/>
      <c r="GQ196" s="165"/>
      <c r="GR196" s="165"/>
      <c r="GS196" s="165"/>
      <c r="GT196" s="165"/>
      <c r="GU196" s="165"/>
      <c r="GV196" s="165"/>
      <c r="GW196" s="165"/>
      <c r="GX196" s="165"/>
      <c r="GY196" s="165"/>
      <c r="GZ196" s="165"/>
      <c r="HA196" s="165"/>
      <c r="HB196" s="165"/>
      <c r="HC196" s="165"/>
      <c r="HD196" s="165"/>
      <c r="HE196" s="165"/>
      <c r="HF196" s="165"/>
      <c r="HG196" s="165"/>
      <c r="HH196" s="165"/>
      <c r="HI196" s="165"/>
      <c r="HJ196" s="165"/>
      <c r="HK196" s="165"/>
      <c r="HL196" s="165"/>
      <c r="HM196" s="165"/>
      <c r="HN196" s="165"/>
      <c r="HO196" s="165"/>
      <c r="HP196" s="165"/>
      <c r="HQ196" s="165"/>
      <c r="HR196" s="165"/>
      <c r="HS196" s="165"/>
      <c r="HT196" s="165"/>
      <c r="HU196" s="165"/>
      <c r="HV196" s="165"/>
      <c r="HW196" s="165"/>
      <c r="HX196" s="165"/>
      <c r="HY196" s="165"/>
      <c r="HZ196" s="165"/>
      <c r="IA196" s="165"/>
      <c r="IB196" s="165"/>
      <c r="IC196" s="165"/>
      <c r="ID196" s="165"/>
      <c r="IE196" s="165"/>
      <c r="IF196" s="165"/>
      <c r="IG196" s="165"/>
      <c r="IH196" s="165"/>
      <c r="II196" s="165"/>
      <c r="IJ196" s="165"/>
      <c r="IK196" s="165"/>
      <c r="IL196" s="165"/>
      <c r="IM196" s="165"/>
      <c r="IN196" s="165"/>
      <c r="IO196" s="165"/>
      <c r="IP196" s="165"/>
      <c r="IQ196" s="165"/>
      <c r="IR196" s="165"/>
      <c r="IS196" s="165"/>
      <c r="IT196" s="165"/>
      <c r="IU196" s="165"/>
      <c r="IV196" s="165"/>
      <c r="IW196" s="165"/>
      <c r="IX196" s="165"/>
      <c r="IY196" s="165"/>
      <c r="IZ196" s="165"/>
      <c r="JA196" s="165"/>
      <c r="JB196" s="165"/>
      <c r="JC196" s="165"/>
      <c r="JD196" s="165"/>
      <c r="JE196" s="165"/>
      <c r="JF196" s="165"/>
      <c r="JG196" s="165"/>
      <c r="JH196" s="165"/>
      <c r="JI196" s="165"/>
      <c r="JJ196" s="165"/>
      <c r="JK196" s="165"/>
      <c r="JL196" s="165"/>
      <c r="JM196" s="165"/>
      <c r="JN196" s="165"/>
      <c r="JO196" s="165"/>
      <c r="JP196" s="165"/>
      <c r="JQ196" s="165"/>
      <c r="JR196" s="165"/>
      <c r="JS196" s="165"/>
      <c r="JT196" s="165"/>
      <c r="JU196" s="165"/>
      <c r="JV196" s="165"/>
      <c r="JW196" s="165"/>
      <c r="JX196" s="165"/>
      <c r="JY196" s="165"/>
      <c r="JZ196" s="165"/>
      <c r="KA196" s="165"/>
      <c r="KB196" s="165"/>
      <c r="KC196" s="165"/>
      <c r="KD196" s="165"/>
      <c r="KE196" s="165"/>
      <c r="KF196" s="165"/>
      <c r="KG196" s="165"/>
      <c r="KH196" s="165"/>
      <c r="KI196" s="165"/>
      <c r="KJ196" s="165"/>
      <c r="KK196" s="165"/>
      <c r="KL196" s="165"/>
      <c r="KM196" s="165"/>
      <c r="KN196" s="165"/>
      <c r="KO196" s="165"/>
      <c r="KP196" s="165"/>
      <c r="KQ196" s="165"/>
      <c r="KR196" s="165"/>
      <c r="KS196" s="165"/>
      <c r="KT196" s="165"/>
      <c r="KU196" s="165"/>
      <c r="KV196" s="165"/>
      <c r="KW196" s="165"/>
      <c r="KX196" s="165"/>
      <c r="KY196" s="165"/>
      <c r="KZ196" s="165"/>
      <c r="LA196" s="165"/>
      <c r="LB196" s="165"/>
      <c r="LC196" s="165"/>
      <c r="LD196" s="165"/>
      <c r="LE196" s="165"/>
      <c r="LF196" s="165"/>
      <c r="LG196" s="165"/>
      <c r="LH196" s="165"/>
      <c r="LI196" s="165"/>
      <c r="LJ196" s="165"/>
      <c r="LK196" s="165"/>
      <c r="LL196" s="165"/>
      <c r="LM196" s="165"/>
      <c r="LN196" s="165"/>
      <c r="LO196" s="165"/>
      <c r="LP196" s="165"/>
      <c r="LQ196" s="165"/>
      <c r="LR196" s="165"/>
      <c r="LS196" s="165"/>
      <c r="LT196" s="165"/>
      <c r="LU196" s="165"/>
      <c r="LV196" s="165"/>
      <c r="LW196" s="165"/>
      <c r="LX196" s="165"/>
      <c r="LY196" s="165"/>
      <c r="LZ196" s="165"/>
      <c r="MA196" s="165"/>
      <c r="MB196" s="165"/>
      <c r="MC196" s="165"/>
      <c r="MD196" s="165"/>
      <c r="ME196" s="165"/>
      <c r="MF196" s="165"/>
      <c r="MG196" s="165"/>
      <c r="MH196" s="165"/>
      <c r="MI196" s="165"/>
      <c r="MJ196" s="165"/>
      <c r="MK196" s="165"/>
      <c r="ML196" s="165"/>
      <c r="MM196" s="165"/>
      <c r="MN196" s="165"/>
      <c r="MO196" s="165"/>
      <c r="MP196" s="165"/>
      <c r="MQ196" s="165"/>
      <c r="MR196" s="165"/>
      <c r="MS196" s="165"/>
      <c r="MT196" s="165"/>
      <c r="MU196" s="165"/>
      <c r="MV196" s="165"/>
      <c r="MW196" s="165"/>
      <c r="MX196" s="165"/>
      <c r="MY196" s="165"/>
      <c r="MZ196" s="165"/>
      <c r="NA196" s="165"/>
      <c r="NB196" s="165"/>
      <c r="NC196" s="165"/>
      <c r="ND196" s="165"/>
      <c r="NE196" s="165"/>
      <c r="NF196" s="165"/>
      <c r="NG196" s="165"/>
      <c r="NH196" s="165"/>
      <c r="NI196" s="165"/>
      <c r="NJ196" s="165"/>
      <c r="NK196" s="165"/>
      <c r="NL196" s="165"/>
      <c r="NM196" s="165"/>
      <c r="NN196" s="165"/>
      <c r="NO196" s="165"/>
      <c r="NP196" s="165"/>
      <c r="NQ196" s="165"/>
      <c r="NR196" s="165"/>
      <c r="NS196" s="165"/>
      <c r="NT196" s="165"/>
      <c r="NU196" s="165"/>
      <c r="NV196" s="165"/>
      <c r="NW196" s="165"/>
      <c r="NX196" s="165"/>
      <c r="NY196" s="165"/>
      <c r="NZ196" s="165"/>
      <c r="OA196" s="165"/>
      <c r="OB196" s="165"/>
      <c r="OC196" s="165"/>
      <c r="OD196" s="165"/>
      <c r="OE196" s="165"/>
      <c r="OF196" s="165"/>
      <c r="OG196" s="165"/>
      <c r="OH196" s="165"/>
      <c r="OI196" s="165"/>
      <c r="OJ196" s="165"/>
      <c r="OK196" s="165"/>
      <c r="OL196" s="165"/>
      <c r="OM196" s="165"/>
      <c r="ON196" s="165"/>
      <c r="OO196" s="165"/>
      <c r="OP196" s="165"/>
      <c r="OQ196" s="165"/>
      <c r="OR196" s="165"/>
      <c r="OS196" s="165"/>
      <c r="OT196" s="165"/>
      <c r="OU196" s="165"/>
      <c r="OV196" s="165"/>
      <c r="OW196" s="165"/>
      <c r="OX196" s="165"/>
      <c r="OY196" s="165"/>
      <c r="OZ196" s="165"/>
      <c r="PA196" s="165"/>
      <c r="PB196" s="165"/>
      <c r="PC196" s="165"/>
      <c r="PD196" s="165"/>
      <c r="PE196" s="165"/>
      <c r="PF196" s="165"/>
      <c r="PG196" s="165"/>
      <c r="PH196" s="165"/>
      <c r="PI196" s="165"/>
      <c r="PJ196" s="165"/>
      <c r="PK196" s="165"/>
      <c r="PL196" s="165"/>
      <c r="PM196" s="165"/>
      <c r="PN196" s="165"/>
      <c r="PO196" s="165"/>
      <c r="PP196" s="165"/>
      <c r="PQ196" s="165"/>
      <c r="PR196" s="165"/>
      <c r="PS196" s="165"/>
      <c r="PT196" s="165"/>
      <c r="PU196" s="165"/>
      <c r="PV196" s="165"/>
      <c r="PW196" s="165"/>
      <c r="PX196" s="165"/>
      <c r="PY196" s="165"/>
      <c r="PZ196" s="165"/>
      <c r="QA196" s="165"/>
      <c r="QB196" s="165"/>
      <c r="QC196" s="165"/>
      <c r="QD196" s="165"/>
      <c r="QE196" s="165"/>
      <c r="QF196" s="165"/>
      <c r="QG196" s="165"/>
      <c r="QH196" s="165"/>
      <c r="QI196" s="165"/>
      <c r="QJ196" s="165"/>
      <c r="QK196" s="165"/>
      <c r="QL196" s="165"/>
      <c r="QM196" s="165"/>
      <c r="QN196" s="165"/>
      <c r="QO196" s="165"/>
      <c r="QP196" s="165"/>
      <c r="QQ196" s="165"/>
      <c r="QR196" s="165"/>
      <c r="QS196" s="165"/>
      <c r="QT196" s="165"/>
      <c r="QU196" s="165"/>
      <c r="QV196" s="165"/>
      <c r="QW196" s="165"/>
      <c r="QX196" s="165"/>
      <c r="QY196" s="165"/>
      <c r="QZ196" s="165"/>
      <c r="RA196" s="165"/>
      <c r="RB196" s="165"/>
      <c r="RC196" s="165"/>
      <c r="RD196" s="165"/>
      <c r="RE196" s="165"/>
      <c r="RF196" s="165"/>
      <c r="RG196" s="165"/>
      <c r="RH196" s="165"/>
      <c r="RI196" s="165"/>
      <c r="RJ196" s="165"/>
      <c r="RK196" s="165"/>
      <c r="RL196" s="165"/>
      <c r="RM196" s="165"/>
      <c r="RN196" s="165"/>
      <c r="RO196" s="165"/>
      <c r="RP196" s="165"/>
      <c r="RQ196" s="165"/>
      <c r="RR196" s="165"/>
      <c r="RS196" s="165"/>
      <c r="RT196" s="165"/>
      <c r="RU196" s="165"/>
      <c r="RV196" s="165"/>
      <c r="RW196" s="165"/>
      <c r="RX196" s="165"/>
      <c r="RY196" s="165"/>
      <c r="RZ196" s="165"/>
      <c r="SA196" s="165"/>
      <c r="SB196" s="165"/>
      <c r="SC196" s="165"/>
      <c r="SD196" s="165"/>
      <c r="SE196" s="165"/>
      <c r="SF196" s="165"/>
      <c r="SG196" s="165"/>
      <c r="SH196" s="165"/>
      <c r="SI196" s="165"/>
      <c r="SJ196" s="165"/>
      <c r="SK196" s="165"/>
      <c r="SL196" s="165"/>
      <c r="SM196" s="165"/>
      <c r="SN196" s="165"/>
      <c r="SO196" s="165"/>
      <c r="SP196" s="165"/>
      <c r="SQ196" s="165"/>
      <c r="SR196" s="165"/>
      <c r="SS196" s="165"/>
      <c r="ST196" s="165"/>
      <c r="SU196" s="165"/>
      <c r="SV196" s="165"/>
      <c r="SW196" s="165"/>
      <c r="SX196" s="165"/>
      <c r="SY196" s="165"/>
      <c r="SZ196" s="165"/>
      <c r="TA196" s="165"/>
      <c r="TB196" s="165"/>
      <c r="TC196" s="165"/>
      <c r="TD196" s="165"/>
      <c r="TE196" s="165"/>
      <c r="TF196" s="165"/>
      <c r="TG196" s="165"/>
      <c r="TH196" s="165"/>
      <c r="TI196" s="165"/>
      <c r="TJ196" s="165"/>
      <c r="TK196" s="165"/>
      <c r="TL196" s="165"/>
      <c r="TM196" s="165"/>
      <c r="TN196" s="165"/>
      <c r="TO196" s="165"/>
      <c r="TP196" s="165"/>
      <c r="TQ196" s="165"/>
      <c r="TR196" s="165"/>
      <c r="TS196" s="165"/>
      <c r="TT196" s="165"/>
      <c r="TU196" s="165"/>
      <c r="TV196" s="165"/>
      <c r="TW196" s="165"/>
      <c r="TX196" s="165"/>
      <c r="TY196" s="165"/>
      <c r="TZ196" s="165"/>
      <c r="UA196" s="165"/>
      <c r="UB196" s="165"/>
      <c r="UC196" s="165"/>
      <c r="UD196" s="165"/>
      <c r="UE196" s="165"/>
      <c r="UF196" s="165"/>
      <c r="UG196" s="891"/>
    </row>
    <row r="197" spans="1:553" ht="126" customHeight="1">
      <c r="A197" s="356" t="s">
        <v>15</v>
      </c>
      <c r="B197" s="356"/>
      <c r="C197" s="384" t="s">
        <v>69</v>
      </c>
      <c r="D197" s="376" t="s">
        <v>20</v>
      </c>
      <c r="E197" s="376" t="s">
        <v>223</v>
      </c>
      <c r="F197" s="385">
        <v>1</v>
      </c>
      <c r="G197" s="386" t="s">
        <v>935</v>
      </c>
      <c r="H197" s="441">
        <v>78.599999999999994</v>
      </c>
      <c r="I197" s="490">
        <v>78.599999999999994</v>
      </c>
      <c r="J197" s="477">
        <v>55000</v>
      </c>
      <c r="K197" s="388"/>
      <c r="L197" s="366">
        <f t="shared" si="41"/>
        <v>4323000</v>
      </c>
      <c r="M197" s="366"/>
      <c r="N197" s="366"/>
      <c r="O197" s="366"/>
      <c r="P197" s="366"/>
      <c r="Q197" s="1036" t="s">
        <v>224</v>
      </c>
      <c r="R197" s="1452"/>
      <c r="S197" s="308"/>
      <c r="T197" s="303"/>
      <c r="U197" s="306"/>
      <c r="V197" s="307"/>
      <c r="W197" s="306"/>
      <c r="X197" s="306">
        <f t="shared" ref="X197:X204" si="42">I197</f>
        <v>78.599999999999994</v>
      </c>
      <c r="Y197" s="306"/>
      <c r="Z197" s="306"/>
      <c r="AA197" s="306"/>
      <c r="AB197" s="306"/>
      <c r="AC197" s="463"/>
      <c r="AD197" s="452"/>
      <c r="AE197" s="452"/>
      <c r="AF197" s="452"/>
      <c r="AG197" s="452"/>
      <c r="AH197" s="452"/>
      <c r="AI197" s="452"/>
      <c r="AJ197" s="452"/>
      <c r="AK197" s="452"/>
      <c r="AL197" s="106"/>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1"/>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c r="CH197" s="31"/>
      <c r="CI197" s="31"/>
      <c r="CJ197" s="31"/>
      <c r="CK197" s="31"/>
      <c r="CL197" s="31"/>
      <c r="CM197" s="31"/>
      <c r="CN197" s="31"/>
      <c r="CO197" s="31"/>
      <c r="CP197" s="31"/>
      <c r="CQ197" s="31"/>
      <c r="CR197" s="31"/>
      <c r="CS197" s="31"/>
      <c r="CT197" s="31"/>
      <c r="CU197" s="31"/>
      <c r="CV197" s="31"/>
      <c r="CW197" s="31"/>
      <c r="CX197" s="31"/>
      <c r="CY197" s="31"/>
      <c r="CZ197" s="31"/>
      <c r="DA197" s="31"/>
      <c r="DB197" s="31"/>
      <c r="DC197" s="31"/>
      <c r="DD197" s="31"/>
      <c r="DE197" s="31"/>
      <c r="DF197" s="31"/>
      <c r="DG197" s="31"/>
      <c r="DH197" s="31"/>
      <c r="DI197" s="31"/>
      <c r="DJ197" s="31"/>
      <c r="DK197" s="31"/>
      <c r="DL197" s="31"/>
      <c r="DM197" s="31"/>
      <c r="DN197" s="31"/>
      <c r="DO197" s="31"/>
      <c r="DP197" s="31"/>
      <c r="DQ197" s="31"/>
      <c r="DR197" s="31"/>
      <c r="DS197" s="31"/>
      <c r="DT197" s="31"/>
      <c r="DU197" s="31"/>
      <c r="DV197" s="31"/>
      <c r="DW197" s="31"/>
      <c r="DX197" s="31"/>
      <c r="DY197" s="31"/>
      <c r="DZ197" s="31"/>
      <c r="EA197" s="31"/>
      <c r="EB197" s="31"/>
      <c r="EC197" s="31"/>
      <c r="ED197" s="31"/>
      <c r="EE197" s="31"/>
      <c r="EF197" s="31"/>
      <c r="EG197" s="31"/>
      <c r="EH197" s="31"/>
      <c r="EI197" s="31"/>
      <c r="EJ197" s="31"/>
      <c r="EK197" s="31"/>
      <c r="EL197" s="31"/>
      <c r="EM197" s="31"/>
      <c r="EN197" s="31"/>
      <c r="EO197" s="31"/>
      <c r="EP197" s="31"/>
      <c r="EQ197" s="31"/>
      <c r="ER197" s="31"/>
      <c r="ES197" s="31"/>
      <c r="ET197" s="31"/>
      <c r="EU197" s="31"/>
      <c r="EV197" s="31"/>
      <c r="EW197" s="31"/>
      <c r="EX197" s="31"/>
      <c r="EY197" s="31"/>
      <c r="EZ197" s="31"/>
      <c r="FA197" s="31"/>
      <c r="FB197" s="31"/>
      <c r="FC197" s="31"/>
      <c r="FD197" s="31"/>
      <c r="FE197" s="31"/>
      <c r="FF197" s="31"/>
      <c r="FG197" s="31"/>
      <c r="FH197" s="31"/>
      <c r="FI197" s="31"/>
      <c r="FJ197" s="31"/>
      <c r="FK197" s="31"/>
      <c r="FL197" s="31"/>
      <c r="FM197" s="31"/>
      <c r="FN197" s="31"/>
      <c r="FO197" s="31"/>
      <c r="FP197" s="31"/>
      <c r="FQ197" s="31"/>
      <c r="FR197" s="31"/>
      <c r="FS197" s="31"/>
      <c r="FT197" s="31"/>
      <c r="FU197" s="31"/>
      <c r="FV197" s="31"/>
      <c r="FW197" s="31"/>
      <c r="FX197" s="31"/>
      <c r="FY197" s="31"/>
      <c r="FZ197" s="31"/>
      <c r="GA197" s="31"/>
      <c r="GB197" s="31"/>
      <c r="GC197" s="31"/>
      <c r="GD197" s="31"/>
      <c r="GE197" s="31"/>
      <c r="GF197" s="31"/>
      <c r="GG197" s="31"/>
      <c r="GH197" s="31"/>
      <c r="GI197" s="31"/>
      <c r="GJ197" s="31"/>
      <c r="GK197" s="31"/>
      <c r="GL197" s="31"/>
      <c r="GM197" s="31"/>
      <c r="GN197" s="31"/>
      <c r="GO197" s="31"/>
      <c r="GP197" s="31"/>
      <c r="GQ197" s="31"/>
      <c r="GR197" s="31"/>
      <c r="GS197" s="31"/>
      <c r="GT197" s="31"/>
      <c r="GU197" s="31"/>
      <c r="GV197" s="31"/>
      <c r="GW197" s="31"/>
      <c r="GX197" s="31"/>
      <c r="GY197" s="31"/>
      <c r="GZ197" s="31"/>
      <c r="HA197" s="31"/>
      <c r="HB197" s="31"/>
      <c r="HC197" s="31"/>
      <c r="HD197" s="31"/>
      <c r="HE197" s="31"/>
      <c r="HF197" s="31"/>
      <c r="HG197" s="31"/>
      <c r="HH197" s="31"/>
      <c r="HI197" s="31"/>
      <c r="HJ197" s="31"/>
      <c r="HK197" s="31"/>
      <c r="HL197" s="31"/>
      <c r="HM197" s="31"/>
      <c r="HN197" s="31"/>
      <c r="HO197" s="31"/>
      <c r="HP197" s="31"/>
      <c r="HQ197" s="31"/>
      <c r="HR197" s="31"/>
      <c r="HS197" s="31"/>
      <c r="HT197" s="31"/>
      <c r="HU197" s="31"/>
      <c r="HV197" s="31"/>
      <c r="HW197" s="31"/>
      <c r="HX197" s="31"/>
      <c r="HY197" s="31"/>
      <c r="HZ197" s="31"/>
      <c r="IA197" s="31"/>
      <c r="IB197" s="31"/>
      <c r="IC197" s="31"/>
      <c r="ID197" s="31"/>
      <c r="IE197" s="31"/>
      <c r="IF197" s="31"/>
      <c r="IG197" s="31"/>
      <c r="IH197" s="31"/>
      <c r="II197" s="31"/>
      <c r="IJ197" s="31"/>
      <c r="IK197" s="31"/>
      <c r="IL197" s="31"/>
      <c r="IM197" s="31"/>
      <c r="IN197" s="31"/>
      <c r="IO197" s="31"/>
      <c r="IP197" s="31"/>
      <c r="IQ197" s="31"/>
      <c r="IR197" s="31"/>
      <c r="IS197" s="31"/>
      <c r="IT197" s="31"/>
      <c r="IU197" s="31"/>
      <c r="IV197" s="31"/>
      <c r="IW197" s="31"/>
      <c r="IX197" s="31"/>
      <c r="IY197" s="31"/>
      <c r="IZ197" s="31"/>
      <c r="JA197" s="31"/>
      <c r="JB197" s="31"/>
      <c r="JC197" s="31"/>
      <c r="JD197" s="31"/>
      <c r="JE197" s="31"/>
      <c r="JF197" s="31"/>
      <c r="JG197" s="31"/>
      <c r="JH197" s="31"/>
      <c r="JI197" s="31"/>
      <c r="JJ197" s="31"/>
      <c r="JK197" s="31"/>
      <c r="JL197" s="31"/>
      <c r="JM197" s="31"/>
      <c r="JN197" s="31"/>
      <c r="JO197" s="31"/>
      <c r="JP197" s="31"/>
      <c r="JQ197" s="31"/>
      <c r="JR197" s="31"/>
      <c r="JS197" s="31"/>
      <c r="JT197" s="31"/>
      <c r="JU197" s="31"/>
      <c r="JV197" s="31"/>
      <c r="JW197" s="31"/>
      <c r="JX197" s="31"/>
      <c r="JY197" s="31"/>
      <c r="JZ197" s="31"/>
      <c r="KA197" s="31"/>
      <c r="KB197" s="31"/>
      <c r="KC197" s="31"/>
      <c r="KD197" s="31"/>
      <c r="KE197" s="31"/>
      <c r="KF197" s="31"/>
      <c r="KG197" s="31"/>
      <c r="KH197" s="31"/>
      <c r="KI197" s="31"/>
      <c r="KJ197" s="31"/>
      <c r="KK197" s="31"/>
      <c r="KL197" s="31"/>
      <c r="KM197" s="31"/>
      <c r="KN197" s="31"/>
      <c r="KO197" s="31"/>
      <c r="KP197" s="31"/>
      <c r="KQ197" s="31"/>
      <c r="KR197" s="31"/>
      <c r="KS197" s="31"/>
      <c r="KT197" s="31"/>
      <c r="KU197" s="31"/>
      <c r="KV197" s="31"/>
      <c r="KW197" s="31"/>
      <c r="KX197" s="31"/>
      <c r="KY197" s="31"/>
      <c r="KZ197" s="31"/>
      <c r="LA197" s="31"/>
      <c r="LB197" s="31"/>
      <c r="LC197" s="31"/>
      <c r="LD197" s="31"/>
      <c r="LE197" s="31"/>
      <c r="LF197" s="31"/>
      <c r="LG197" s="31"/>
      <c r="LH197" s="31"/>
      <c r="LI197" s="31"/>
      <c r="LJ197" s="31"/>
      <c r="LK197" s="31"/>
      <c r="LL197" s="31"/>
      <c r="LM197" s="31"/>
      <c r="LN197" s="31"/>
      <c r="LO197" s="31"/>
      <c r="LP197" s="31"/>
      <c r="LQ197" s="31"/>
      <c r="LR197" s="31"/>
      <c r="LS197" s="31"/>
      <c r="LT197" s="31"/>
      <c r="LU197" s="31"/>
      <c r="LV197" s="31"/>
      <c r="LW197" s="31"/>
      <c r="LX197" s="31"/>
      <c r="LY197" s="31"/>
      <c r="LZ197" s="31"/>
      <c r="MA197" s="31"/>
      <c r="MB197" s="31"/>
      <c r="MC197" s="31"/>
      <c r="MD197" s="31"/>
      <c r="ME197" s="31"/>
      <c r="MF197" s="31"/>
      <c r="MG197" s="31"/>
      <c r="MH197" s="31"/>
      <c r="MI197" s="31"/>
      <c r="MJ197" s="31"/>
      <c r="MK197" s="31"/>
      <c r="ML197" s="31"/>
      <c r="MM197" s="31"/>
      <c r="MN197" s="31"/>
      <c r="MO197" s="31"/>
      <c r="MP197" s="31"/>
      <c r="MQ197" s="31"/>
      <c r="MR197" s="31"/>
      <c r="MS197" s="31"/>
      <c r="MT197" s="31"/>
      <c r="MU197" s="31"/>
      <c r="MV197" s="31"/>
      <c r="MW197" s="31"/>
      <c r="MX197" s="31"/>
      <c r="MY197" s="31"/>
      <c r="MZ197" s="31"/>
      <c r="NA197" s="31"/>
      <c r="NB197" s="31"/>
      <c r="NC197" s="31"/>
      <c r="ND197" s="31"/>
      <c r="NE197" s="31"/>
      <c r="NF197" s="31"/>
      <c r="NG197" s="31"/>
      <c r="NH197" s="31"/>
      <c r="NI197" s="31"/>
      <c r="NJ197" s="31"/>
      <c r="NK197" s="31"/>
      <c r="NL197" s="31"/>
      <c r="NM197" s="31"/>
      <c r="NN197" s="31"/>
      <c r="NO197" s="31"/>
      <c r="NP197" s="31"/>
      <c r="NQ197" s="31"/>
      <c r="NR197" s="31"/>
      <c r="NS197" s="31"/>
      <c r="NT197" s="31"/>
      <c r="NU197" s="31"/>
      <c r="NV197" s="31"/>
      <c r="NW197" s="31"/>
      <c r="NX197" s="31"/>
      <c r="NY197" s="31"/>
      <c r="NZ197" s="31"/>
      <c r="OA197" s="31"/>
      <c r="OB197" s="31"/>
      <c r="OC197" s="31"/>
      <c r="OD197" s="31"/>
      <c r="OE197" s="31"/>
      <c r="OF197" s="31"/>
      <c r="OG197" s="31"/>
      <c r="OH197" s="31"/>
      <c r="OI197" s="31"/>
      <c r="OJ197" s="31"/>
      <c r="OK197" s="31"/>
      <c r="OL197" s="31"/>
      <c r="OM197" s="31"/>
      <c r="ON197" s="31"/>
      <c r="OO197" s="31"/>
      <c r="OP197" s="31"/>
      <c r="OQ197" s="31"/>
      <c r="OR197" s="31"/>
      <c r="OS197" s="31"/>
      <c r="OT197" s="31"/>
      <c r="OU197" s="31"/>
      <c r="OV197" s="31"/>
      <c r="OW197" s="31"/>
      <c r="OX197" s="31"/>
      <c r="OY197" s="31"/>
      <c r="OZ197" s="31"/>
      <c r="PA197" s="31"/>
      <c r="PB197" s="31"/>
      <c r="PC197" s="31"/>
      <c r="PD197" s="31"/>
      <c r="PE197" s="31"/>
      <c r="PF197" s="31"/>
      <c r="PG197" s="31"/>
      <c r="PH197" s="31"/>
      <c r="PI197" s="31"/>
      <c r="PJ197" s="31"/>
      <c r="PK197" s="31"/>
      <c r="PL197" s="31"/>
      <c r="PM197" s="31"/>
      <c r="PN197" s="31"/>
      <c r="PO197" s="31"/>
      <c r="PP197" s="31"/>
      <c r="PQ197" s="31"/>
      <c r="PR197" s="31"/>
      <c r="PS197" s="31"/>
      <c r="PT197" s="31"/>
      <c r="PU197" s="31"/>
      <c r="PV197" s="31"/>
      <c r="PW197" s="31"/>
      <c r="PX197" s="31"/>
      <c r="PY197" s="31"/>
      <c r="PZ197" s="31"/>
      <c r="QA197" s="31"/>
      <c r="QB197" s="31"/>
      <c r="QC197" s="31"/>
      <c r="QD197" s="31"/>
      <c r="QE197" s="31"/>
      <c r="QF197" s="31"/>
      <c r="QG197" s="31"/>
      <c r="QH197" s="31"/>
      <c r="QI197" s="31"/>
      <c r="QJ197" s="31"/>
      <c r="QK197" s="31"/>
      <c r="QL197" s="31"/>
      <c r="QM197" s="31"/>
      <c r="QN197" s="31"/>
      <c r="QO197" s="31"/>
      <c r="QP197" s="31"/>
      <c r="QQ197" s="31"/>
      <c r="QR197" s="31"/>
      <c r="QS197" s="31"/>
      <c r="QT197" s="31"/>
      <c r="QU197" s="31"/>
      <c r="QV197" s="31"/>
      <c r="QW197" s="31"/>
      <c r="QX197" s="31"/>
      <c r="QY197" s="31"/>
      <c r="QZ197" s="31"/>
      <c r="RA197" s="31"/>
      <c r="RB197" s="31"/>
      <c r="RC197" s="31"/>
      <c r="RD197" s="31"/>
      <c r="RE197" s="31"/>
      <c r="RF197" s="31"/>
      <c r="RG197" s="31"/>
      <c r="RH197" s="31"/>
      <c r="RI197" s="31"/>
      <c r="RJ197" s="31"/>
      <c r="RK197" s="31"/>
      <c r="RL197" s="31"/>
      <c r="RM197" s="31"/>
      <c r="RN197" s="31"/>
      <c r="RO197" s="31"/>
      <c r="RP197" s="31"/>
      <c r="RQ197" s="31"/>
      <c r="RR197" s="31"/>
      <c r="RS197" s="31"/>
      <c r="RT197" s="31"/>
      <c r="RU197" s="31"/>
      <c r="RV197" s="31"/>
      <c r="RW197" s="31"/>
      <c r="RX197" s="31"/>
      <c r="RY197" s="31"/>
      <c r="RZ197" s="31"/>
      <c r="SA197" s="31"/>
      <c r="SB197" s="31"/>
      <c r="SC197" s="31"/>
      <c r="SD197" s="31"/>
      <c r="SE197" s="31"/>
      <c r="SF197" s="31"/>
      <c r="SG197" s="31"/>
      <c r="SH197" s="31"/>
      <c r="SI197" s="31"/>
      <c r="SJ197" s="31"/>
      <c r="SK197" s="31"/>
      <c r="SL197" s="31"/>
      <c r="SM197" s="31"/>
      <c r="SN197" s="31"/>
      <c r="SO197" s="31"/>
      <c r="SP197" s="31"/>
      <c r="SQ197" s="31"/>
      <c r="SR197" s="31"/>
      <c r="SS197" s="31"/>
      <c r="ST197" s="31"/>
      <c r="SU197" s="31"/>
      <c r="SV197" s="31"/>
      <c r="SW197" s="31"/>
      <c r="SX197" s="31"/>
      <c r="SY197" s="31"/>
      <c r="SZ197" s="31"/>
      <c r="TA197" s="31"/>
      <c r="TB197" s="31"/>
      <c r="TC197" s="31"/>
      <c r="TD197" s="31"/>
      <c r="TE197" s="31"/>
      <c r="TF197" s="31"/>
      <c r="TG197" s="31"/>
      <c r="TH197" s="31"/>
      <c r="TI197" s="31"/>
      <c r="TJ197" s="31"/>
      <c r="TK197" s="31"/>
      <c r="TL197" s="31"/>
      <c r="TM197" s="31"/>
      <c r="TN197" s="31"/>
      <c r="TO197" s="31"/>
      <c r="TP197" s="31"/>
      <c r="TQ197" s="31"/>
      <c r="TR197" s="31"/>
      <c r="TS197" s="31"/>
      <c r="TT197" s="31"/>
      <c r="TU197" s="31"/>
      <c r="TV197" s="31"/>
      <c r="TW197" s="31"/>
      <c r="TX197" s="31"/>
      <c r="TY197" s="31"/>
      <c r="TZ197" s="31"/>
      <c r="UA197" s="31"/>
      <c r="UB197" s="31"/>
      <c r="UC197" s="31"/>
      <c r="UD197" s="31"/>
      <c r="UE197" s="31"/>
      <c r="UF197" s="31"/>
      <c r="UG197" s="33"/>
    </row>
    <row r="198" spans="1:553" ht="126" customHeight="1">
      <c r="A198" s="356" t="s">
        <v>15</v>
      </c>
      <c r="B198" s="356"/>
      <c r="C198" s="384" t="s">
        <v>69</v>
      </c>
      <c r="D198" s="376" t="s">
        <v>20</v>
      </c>
      <c r="E198" s="376" t="s">
        <v>225</v>
      </c>
      <c r="F198" s="385">
        <v>1</v>
      </c>
      <c r="G198" s="386" t="s">
        <v>935</v>
      </c>
      <c r="H198" s="441">
        <v>300.89999999999998</v>
      </c>
      <c r="I198" s="490">
        <v>300.89999999999998</v>
      </c>
      <c r="J198" s="477">
        <v>55000</v>
      </c>
      <c r="K198" s="388"/>
      <c r="L198" s="366">
        <f t="shared" si="41"/>
        <v>16549499.999999998</v>
      </c>
      <c r="M198" s="366"/>
      <c r="N198" s="366"/>
      <c r="O198" s="366"/>
      <c r="P198" s="366"/>
      <c r="Q198" s="1036" t="s">
        <v>224</v>
      </c>
      <c r="R198" s="1452"/>
      <c r="S198" s="308"/>
      <c r="T198" s="303"/>
      <c r="U198" s="306"/>
      <c r="V198" s="307"/>
      <c r="W198" s="306"/>
      <c r="X198" s="306">
        <f t="shared" si="42"/>
        <v>300.89999999999998</v>
      </c>
      <c r="Y198" s="306"/>
      <c r="Z198" s="306"/>
      <c r="AA198" s="306"/>
      <c r="AB198" s="306"/>
      <c r="AC198" s="463"/>
      <c r="AD198" s="452"/>
      <c r="AE198" s="452"/>
      <c r="AF198" s="452"/>
      <c r="AG198" s="452"/>
      <c r="AH198" s="452"/>
      <c r="AI198" s="452"/>
      <c r="AJ198" s="452"/>
      <c r="AK198" s="452"/>
      <c r="AL198" s="106"/>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c r="CH198" s="31"/>
      <c r="CI198" s="31"/>
      <c r="CJ198" s="31"/>
      <c r="CK198" s="31"/>
      <c r="CL198" s="31"/>
      <c r="CM198" s="31"/>
      <c r="CN198" s="31"/>
      <c r="CO198" s="31"/>
      <c r="CP198" s="31"/>
      <c r="CQ198" s="31"/>
      <c r="CR198" s="31"/>
      <c r="CS198" s="31"/>
      <c r="CT198" s="31"/>
      <c r="CU198" s="31"/>
      <c r="CV198" s="31"/>
      <c r="CW198" s="31"/>
      <c r="CX198" s="31"/>
      <c r="CY198" s="31"/>
      <c r="CZ198" s="31"/>
      <c r="DA198" s="31"/>
      <c r="DB198" s="31"/>
      <c r="DC198" s="31"/>
      <c r="DD198" s="31"/>
      <c r="DE198" s="31"/>
      <c r="DF198" s="31"/>
      <c r="DG198" s="31"/>
      <c r="DH198" s="31"/>
      <c r="DI198" s="31"/>
      <c r="DJ198" s="31"/>
      <c r="DK198" s="31"/>
      <c r="DL198" s="31"/>
      <c r="DM198" s="31"/>
      <c r="DN198" s="31"/>
      <c r="DO198" s="31"/>
      <c r="DP198" s="31"/>
      <c r="DQ198" s="31"/>
      <c r="DR198" s="31"/>
      <c r="DS198" s="31"/>
      <c r="DT198" s="31"/>
      <c r="DU198" s="31"/>
      <c r="DV198" s="31"/>
      <c r="DW198" s="31"/>
      <c r="DX198" s="31"/>
      <c r="DY198" s="31"/>
      <c r="DZ198" s="31"/>
      <c r="EA198" s="31"/>
      <c r="EB198" s="31"/>
      <c r="EC198" s="31"/>
      <c r="ED198" s="31"/>
      <c r="EE198" s="31"/>
      <c r="EF198" s="31"/>
      <c r="EG198" s="31"/>
      <c r="EH198" s="31"/>
      <c r="EI198" s="31"/>
      <c r="EJ198" s="31"/>
      <c r="EK198" s="31"/>
      <c r="EL198" s="31"/>
      <c r="EM198" s="31"/>
      <c r="EN198" s="31"/>
      <c r="EO198" s="31"/>
      <c r="EP198" s="31"/>
      <c r="EQ198" s="31"/>
      <c r="ER198" s="31"/>
      <c r="ES198" s="31"/>
      <c r="ET198" s="31"/>
      <c r="EU198" s="31"/>
      <c r="EV198" s="31"/>
      <c r="EW198" s="31"/>
      <c r="EX198" s="31"/>
      <c r="EY198" s="31"/>
      <c r="EZ198" s="31"/>
      <c r="FA198" s="31"/>
      <c r="FB198" s="31"/>
      <c r="FC198" s="31"/>
      <c r="FD198" s="31"/>
      <c r="FE198" s="31"/>
      <c r="FF198" s="31"/>
      <c r="FG198" s="31"/>
      <c r="FH198" s="31"/>
      <c r="FI198" s="31"/>
      <c r="FJ198" s="31"/>
      <c r="FK198" s="31"/>
      <c r="FL198" s="31"/>
      <c r="FM198" s="31"/>
      <c r="FN198" s="31"/>
      <c r="FO198" s="31"/>
      <c r="FP198" s="31"/>
      <c r="FQ198" s="31"/>
      <c r="FR198" s="31"/>
      <c r="FS198" s="31"/>
      <c r="FT198" s="31"/>
      <c r="FU198" s="31"/>
      <c r="FV198" s="31"/>
      <c r="FW198" s="31"/>
      <c r="FX198" s="31"/>
      <c r="FY198" s="31"/>
      <c r="FZ198" s="31"/>
      <c r="GA198" s="31"/>
      <c r="GB198" s="31"/>
      <c r="GC198" s="31"/>
      <c r="GD198" s="31"/>
      <c r="GE198" s="31"/>
      <c r="GF198" s="31"/>
      <c r="GG198" s="31"/>
      <c r="GH198" s="31"/>
      <c r="GI198" s="31"/>
      <c r="GJ198" s="31"/>
      <c r="GK198" s="31"/>
      <c r="GL198" s="31"/>
      <c r="GM198" s="31"/>
      <c r="GN198" s="31"/>
      <c r="GO198" s="31"/>
      <c r="GP198" s="31"/>
      <c r="GQ198" s="31"/>
      <c r="GR198" s="31"/>
      <c r="GS198" s="31"/>
      <c r="GT198" s="31"/>
      <c r="GU198" s="31"/>
      <c r="GV198" s="31"/>
      <c r="GW198" s="31"/>
      <c r="GX198" s="31"/>
      <c r="GY198" s="31"/>
      <c r="GZ198" s="31"/>
      <c r="HA198" s="31"/>
      <c r="HB198" s="31"/>
      <c r="HC198" s="31"/>
      <c r="HD198" s="31"/>
      <c r="HE198" s="31"/>
      <c r="HF198" s="31"/>
      <c r="HG198" s="31"/>
      <c r="HH198" s="31"/>
      <c r="HI198" s="31"/>
      <c r="HJ198" s="31"/>
      <c r="HK198" s="31"/>
      <c r="HL198" s="31"/>
      <c r="HM198" s="31"/>
      <c r="HN198" s="31"/>
      <c r="HO198" s="31"/>
      <c r="HP198" s="31"/>
      <c r="HQ198" s="31"/>
      <c r="HR198" s="31"/>
      <c r="HS198" s="31"/>
      <c r="HT198" s="31"/>
      <c r="HU198" s="31"/>
      <c r="HV198" s="31"/>
      <c r="HW198" s="31"/>
      <c r="HX198" s="31"/>
      <c r="HY198" s="31"/>
      <c r="HZ198" s="31"/>
      <c r="IA198" s="31"/>
      <c r="IB198" s="31"/>
      <c r="IC198" s="31"/>
      <c r="ID198" s="31"/>
      <c r="IE198" s="31"/>
      <c r="IF198" s="31"/>
      <c r="IG198" s="31"/>
      <c r="IH198" s="31"/>
      <c r="II198" s="31"/>
      <c r="IJ198" s="31"/>
      <c r="IK198" s="31"/>
      <c r="IL198" s="31"/>
      <c r="IM198" s="31"/>
      <c r="IN198" s="31"/>
      <c r="IO198" s="31"/>
      <c r="IP198" s="31"/>
      <c r="IQ198" s="31"/>
      <c r="IR198" s="31"/>
      <c r="IS198" s="31"/>
      <c r="IT198" s="31"/>
      <c r="IU198" s="31"/>
      <c r="IV198" s="31"/>
      <c r="IW198" s="31"/>
      <c r="IX198" s="31"/>
      <c r="IY198" s="31"/>
      <c r="IZ198" s="31"/>
      <c r="JA198" s="31"/>
      <c r="JB198" s="31"/>
      <c r="JC198" s="31"/>
      <c r="JD198" s="31"/>
      <c r="JE198" s="31"/>
      <c r="JF198" s="31"/>
      <c r="JG198" s="31"/>
      <c r="JH198" s="31"/>
      <c r="JI198" s="31"/>
      <c r="JJ198" s="31"/>
      <c r="JK198" s="31"/>
      <c r="JL198" s="31"/>
      <c r="JM198" s="31"/>
      <c r="JN198" s="31"/>
      <c r="JO198" s="31"/>
      <c r="JP198" s="31"/>
      <c r="JQ198" s="31"/>
      <c r="JR198" s="31"/>
      <c r="JS198" s="31"/>
      <c r="JT198" s="31"/>
      <c r="JU198" s="31"/>
      <c r="JV198" s="31"/>
      <c r="JW198" s="31"/>
      <c r="JX198" s="31"/>
      <c r="JY198" s="31"/>
      <c r="JZ198" s="31"/>
      <c r="KA198" s="31"/>
      <c r="KB198" s="31"/>
      <c r="KC198" s="31"/>
      <c r="KD198" s="31"/>
      <c r="KE198" s="31"/>
      <c r="KF198" s="31"/>
      <c r="KG198" s="31"/>
      <c r="KH198" s="31"/>
      <c r="KI198" s="31"/>
      <c r="KJ198" s="31"/>
      <c r="KK198" s="31"/>
      <c r="KL198" s="31"/>
      <c r="KM198" s="31"/>
      <c r="KN198" s="31"/>
      <c r="KO198" s="31"/>
      <c r="KP198" s="31"/>
      <c r="KQ198" s="31"/>
      <c r="KR198" s="31"/>
      <c r="KS198" s="31"/>
      <c r="KT198" s="31"/>
      <c r="KU198" s="31"/>
      <c r="KV198" s="31"/>
      <c r="KW198" s="31"/>
      <c r="KX198" s="31"/>
      <c r="KY198" s="31"/>
      <c r="KZ198" s="31"/>
      <c r="LA198" s="31"/>
      <c r="LB198" s="31"/>
      <c r="LC198" s="31"/>
      <c r="LD198" s="31"/>
      <c r="LE198" s="31"/>
      <c r="LF198" s="31"/>
      <c r="LG198" s="31"/>
      <c r="LH198" s="31"/>
      <c r="LI198" s="31"/>
      <c r="LJ198" s="31"/>
      <c r="LK198" s="31"/>
      <c r="LL198" s="31"/>
      <c r="LM198" s="31"/>
      <c r="LN198" s="31"/>
      <c r="LO198" s="31"/>
      <c r="LP198" s="31"/>
      <c r="LQ198" s="31"/>
      <c r="LR198" s="31"/>
      <c r="LS198" s="31"/>
      <c r="LT198" s="31"/>
      <c r="LU198" s="31"/>
      <c r="LV198" s="31"/>
      <c r="LW198" s="31"/>
      <c r="LX198" s="31"/>
      <c r="LY198" s="31"/>
      <c r="LZ198" s="31"/>
      <c r="MA198" s="31"/>
      <c r="MB198" s="31"/>
      <c r="MC198" s="31"/>
      <c r="MD198" s="31"/>
      <c r="ME198" s="31"/>
      <c r="MF198" s="31"/>
      <c r="MG198" s="31"/>
      <c r="MH198" s="31"/>
      <c r="MI198" s="31"/>
      <c r="MJ198" s="31"/>
      <c r="MK198" s="31"/>
      <c r="ML198" s="31"/>
      <c r="MM198" s="31"/>
      <c r="MN198" s="31"/>
      <c r="MO198" s="31"/>
      <c r="MP198" s="31"/>
      <c r="MQ198" s="31"/>
      <c r="MR198" s="31"/>
      <c r="MS198" s="31"/>
      <c r="MT198" s="31"/>
      <c r="MU198" s="31"/>
      <c r="MV198" s="31"/>
      <c r="MW198" s="31"/>
      <c r="MX198" s="31"/>
      <c r="MY198" s="31"/>
      <c r="MZ198" s="31"/>
      <c r="NA198" s="31"/>
      <c r="NB198" s="31"/>
      <c r="NC198" s="31"/>
      <c r="ND198" s="31"/>
      <c r="NE198" s="31"/>
      <c r="NF198" s="31"/>
      <c r="NG198" s="31"/>
      <c r="NH198" s="31"/>
      <c r="NI198" s="31"/>
      <c r="NJ198" s="31"/>
      <c r="NK198" s="31"/>
      <c r="NL198" s="31"/>
      <c r="NM198" s="31"/>
      <c r="NN198" s="31"/>
      <c r="NO198" s="31"/>
      <c r="NP198" s="31"/>
      <c r="NQ198" s="31"/>
      <c r="NR198" s="31"/>
      <c r="NS198" s="31"/>
      <c r="NT198" s="31"/>
      <c r="NU198" s="31"/>
      <c r="NV198" s="31"/>
      <c r="NW198" s="31"/>
      <c r="NX198" s="31"/>
      <c r="NY198" s="31"/>
      <c r="NZ198" s="31"/>
      <c r="OA198" s="31"/>
      <c r="OB198" s="31"/>
      <c r="OC198" s="31"/>
      <c r="OD198" s="31"/>
      <c r="OE198" s="31"/>
      <c r="OF198" s="31"/>
      <c r="OG198" s="31"/>
      <c r="OH198" s="31"/>
      <c r="OI198" s="31"/>
      <c r="OJ198" s="31"/>
      <c r="OK198" s="31"/>
      <c r="OL198" s="31"/>
      <c r="OM198" s="31"/>
      <c r="ON198" s="31"/>
      <c r="OO198" s="31"/>
      <c r="OP198" s="31"/>
      <c r="OQ198" s="31"/>
      <c r="OR198" s="31"/>
      <c r="OS198" s="31"/>
      <c r="OT198" s="31"/>
      <c r="OU198" s="31"/>
      <c r="OV198" s="31"/>
      <c r="OW198" s="31"/>
      <c r="OX198" s="31"/>
      <c r="OY198" s="31"/>
      <c r="OZ198" s="31"/>
      <c r="PA198" s="31"/>
      <c r="PB198" s="31"/>
      <c r="PC198" s="31"/>
      <c r="PD198" s="31"/>
      <c r="PE198" s="31"/>
      <c r="PF198" s="31"/>
      <c r="PG198" s="31"/>
      <c r="PH198" s="31"/>
      <c r="PI198" s="31"/>
      <c r="PJ198" s="31"/>
      <c r="PK198" s="31"/>
      <c r="PL198" s="31"/>
      <c r="PM198" s="31"/>
      <c r="PN198" s="31"/>
      <c r="PO198" s="31"/>
      <c r="PP198" s="31"/>
      <c r="PQ198" s="31"/>
      <c r="PR198" s="31"/>
      <c r="PS198" s="31"/>
      <c r="PT198" s="31"/>
      <c r="PU198" s="31"/>
      <c r="PV198" s="31"/>
      <c r="PW198" s="31"/>
      <c r="PX198" s="31"/>
      <c r="PY198" s="31"/>
      <c r="PZ198" s="31"/>
      <c r="QA198" s="31"/>
      <c r="QB198" s="31"/>
      <c r="QC198" s="31"/>
      <c r="QD198" s="31"/>
      <c r="QE198" s="31"/>
      <c r="QF198" s="31"/>
      <c r="QG198" s="31"/>
      <c r="QH198" s="31"/>
      <c r="QI198" s="31"/>
      <c r="QJ198" s="31"/>
      <c r="QK198" s="31"/>
      <c r="QL198" s="31"/>
      <c r="QM198" s="31"/>
      <c r="QN198" s="31"/>
      <c r="QO198" s="31"/>
      <c r="QP198" s="31"/>
      <c r="QQ198" s="31"/>
      <c r="QR198" s="31"/>
      <c r="QS198" s="31"/>
      <c r="QT198" s="31"/>
      <c r="QU198" s="31"/>
      <c r="QV198" s="31"/>
      <c r="QW198" s="31"/>
      <c r="QX198" s="31"/>
      <c r="QY198" s="31"/>
      <c r="QZ198" s="31"/>
      <c r="RA198" s="31"/>
      <c r="RB198" s="31"/>
      <c r="RC198" s="31"/>
      <c r="RD198" s="31"/>
      <c r="RE198" s="31"/>
      <c r="RF198" s="31"/>
      <c r="RG198" s="31"/>
      <c r="RH198" s="31"/>
      <c r="RI198" s="31"/>
      <c r="RJ198" s="31"/>
      <c r="RK198" s="31"/>
      <c r="RL198" s="31"/>
      <c r="RM198" s="31"/>
      <c r="RN198" s="31"/>
      <c r="RO198" s="31"/>
      <c r="RP198" s="31"/>
      <c r="RQ198" s="31"/>
      <c r="RR198" s="31"/>
      <c r="RS198" s="31"/>
      <c r="RT198" s="31"/>
      <c r="RU198" s="31"/>
      <c r="RV198" s="31"/>
      <c r="RW198" s="31"/>
      <c r="RX198" s="31"/>
      <c r="RY198" s="31"/>
      <c r="RZ198" s="31"/>
      <c r="SA198" s="31"/>
      <c r="SB198" s="31"/>
      <c r="SC198" s="31"/>
      <c r="SD198" s="31"/>
      <c r="SE198" s="31"/>
      <c r="SF198" s="31"/>
      <c r="SG198" s="31"/>
      <c r="SH198" s="31"/>
      <c r="SI198" s="31"/>
      <c r="SJ198" s="31"/>
      <c r="SK198" s="31"/>
      <c r="SL198" s="31"/>
      <c r="SM198" s="31"/>
      <c r="SN198" s="31"/>
      <c r="SO198" s="31"/>
      <c r="SP198" s="31"/>
      <c r="SQ198" s="31"/>
      <c r="SR198" s="31"/>
      <c r="SS198" s="31"/>
      <c r="ST198" s="31"/>
      <c r="SU198" s="31"/>
      <c r="SV198" s="31"/>
      <c r="SW198" s="31"/>
      <c r="SX198" s="31"/>
      <c r="SY198" s="31"/>
      <c r="SZ198" s="31"/>
      <c r="TA198" s="31"/>
      <c r="TB198" s="31"/>
      <c r="TC198" s="31"/>
      <c r="TD198" s="31"/>
      <c r="TE198" s="31"/>
      <c r="TF198" s="31"/>
      <c r="TG198" s="31"/>
      <c r="TH198" s="31"/>
      <c r="TI198" s="31"/>
      <c r="TJ198" s="31"/>
      <c r="TK198" s="31"/>
      <c r="TL198" s="31"/>
      <c r="TM198" s="31"/>
      <c r="TN198" s="31"/>
      <c r="TO198" s="31"/>
      <c r="TP198" s="31"/>
      <c r="TQ198" s="31"/>
      <c r="TR198" s="31"/>
      <c r="TS198" s="31"/>
      <c r="TT198" s="31"/>
      <c r="TU198" s="31"/>
      <c r="TV198" s="31"/>
      <c r="TW198" s="31"/>
      <c r="TX198" s="31"/>
      <c r="TY198" s="31"/>
      <c r="TZ198" s="31"/>
      <c r="UA198" s="31"/>
      <c r="UB198" s="31"/>
      <c r="UC198" s="31"/>
      <c r="UD198" s="31"/>
      <c r="UE198" s="31"/>
      <c r="UF198" s="31"/>
      <c r="UG198" s="33"/>
    </row>
    <row r="199" spans="1:553" ht="126" customHeight="1">
      <c r="A199" s="356" t="s">
        <v>15</v>
      </c>
      <c r="B199" s="356"/>
      <c r="C199" s="384" t="s">
        <v>69</v>
      </c>
      <c r="D199" s="376" t="s">
        <v>20</v>
      </c>
      <c r="E199" s="376" t="s">
        <v>226</v>
      </c>
      <c r="F199" s="385">
        <v>1</v>
      </c>
      <c r="G199" s="386" t="s">
        <v>935</v>
      </c>
      <c r="H199" s="441">
        <v>24.3</v>
      </c>
      <c r="I199" s="490">
        <v>24.3</v>
      </c>
      <c r="J199" s="477">
        <v>55000</v>
      </c>
      <c r="K199" s="388"/>
      <c r="L199" s="366">
        <f t="shared" si="41"/>
        <v>1336500</v>
      </c>
      <c r="M199" s="366"/>
      <c r="N199" s="366"/>
      <c r="O199" s="366"/>
      <c r="P199" s="366"/>
      <c r="Q199" s="1036" t="s">
        <v>224</v>
      </c>
      <c r="R199" s="1452"/>
      <c r="S199" s="308"/>
      <c r="T199" s="303"/>
      <c r="U199" s="306"/>
      <c r="V199" s="307"/>
      <c r="W199" s="306"/>
      <c r="X199" s="306">
        <f t="shared" si="42"/>
        <v>24.3</v>
      </c>
      <c r="Y199" s="306"/>
      <c r="Z199" s="306"/>
      <c r="AA199" s="306"/>
      <c r="AB199" s="306"/>
      <c r="AC199" s="463"/>
      <c r="AD199" s="452"/>
      <c r="AE199" s="452"/>
      <c r="AF199" s="452"/>
      <c r="AG199" s="452"/>
      <c r="AH199" s="452"/>
      <c r="AI199" s="452"/>
      <c r="AJ199" s="452"/>
      <c r="AK199" s="452"/>
      <c r="AL199" s="106"/>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c r="CJ199" s="31"/>
      <c r="CK199" s="31"/>
      <c r="CL199" s="31"/>
      <c r="CM199" s="31"/>
      <c r="CN199" s="31"/>
      <c r="CO199" s="31"/>
      <c r="CP199" s="31"/>
      <c r="CQ199" s="31"/>
      <c r="CR199" s="31"/>
      <c r="CS199" s="31"/>
      <c r="CT199" s="31"/>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31"/>
      <c r="DQ199" s="31"/>
      <c r="DR199" s="31"/>
      <c r="DS199" s="31"/>
      <c r="DT199" s="31"/>
      <c r="DU199" s="31"/>
      <c r="DV199" s="31"/>
      <c r="DW199" s="31"/>
      <c r="DX199" s="31"/>
      <c r="DY199" s="31"/>
      <c r="DZ199" s="31"/>
      <c r="EA199" s="31"/>
      <c r="EB199" s="31"/>
      <c r="EC199" s="31"/>
      <c r="ED199" s="31"/>
      <c r="EE199" s="31"/>
      <c r="EF199" s="31"/>
      <c r="EG199" s="31"/>
      <c r="EH199" s="31"/>
      <c r="EI199" s="31"/>
      <c r="EJ199" s="31"/>
      <c r="EK199" s="31"/>
      <c r="EL199" s="31"/>
      <c r="EM199" s="31"/>
      <c r="EN199" s="31"/>
      <c r="EO199" s="31"/>
      <c r="EP199" s="31"/>
      <c r="EQ199" s="31"/>
      <c r="ER199" s="31"/>
      <c r="ES199" s="31"/>
      <c r="ET199" s="31"/>
      <c r="EU199" s="31"/>
      <c r="EV199" s="31"/>
      <c r="EW199" s="31"/>
      <c r="EX199" s="31"/>
      <c r="EY199" s="31"/>
      <c r="EZ199" s="31"/>
      <c r="FA199" s="31"/>
      <c r="FB199" s="31"/>
      <c r="FC199" s="31"/>
      <c r="FD199" s="31"/>
      <c r="FE199" s="31"/>
      <c r="FF199" s="31"/>
      <c r="FG199" s="31"/>
      <c r="FH199" s="31"/>
      <c r="FI199" s="31"/>
      <c r="FJ199" s="31"/>
      <c r="FK199" s="31"/>
      <c r="FL199" s="31"/>
      <c r="FM199" s="31"/>
      <c r="FN199" s="31"/>
      <c r="FO199" s="31"/>
      <c r="FP199" s="31"/>
      <c r="FQ199" s="31"/>
      <c r="FR199" s="31"/>
      <c r="FS199" s="31"/>
      <c r="FT199" s="31"/>
      <c r="FU199" s="31"/>
      <c r="FV199" s="31"/>
      <c r="FW199" s="31"/>
      <c r="FX199" s="31"/>
      <c r="FY199" s="31"/>
      <c r="FZ199" s="31"/>
      <c r="GA199" s="31"/>
      <c r="GB199" s="31"/>
      <c r="GC199" s="31"/>
      <c r="GD199" s="31"/>
      <c r="GE199" s="31"/>
      <c r="GF199" s="31"/>
      <c r="GG199" s="31"/>
      <c r="GH199" s="31"/>
      <c r="GI199" s="31"/>
      <c r="GJ199" s="31"/>
      <c r="GK199" s="31"/>
      <c r="GL199" s="31"/>
      <c r="GM199" s="31"/>
      <c r="GN199" s="31"/>
      <c r="GO199" s="31"/>
      <c r="GP199" s="31"/>
      <c r="GQ199" s="31"/>
      <c r="GR199" s="31"/>
      <c r="GS199" s="31"/>
      <c r="GT199" s="31"/>
      <c r="GU199" s="31"/>
      <c r="GV199" s="31"/>
      <c r="GW199" s="31"/>
      <c r="GX199" s="31"/>
      <c r="GY199" s="31"/>
      <c r="GZ199" s="31"/>
      <c r="HA199" s="31"/>
      <c r="HB199" s="31"/>
      <c r="HC199" s="31"/>
      <c r="HD199" s="31"/>
      <c r="HE199" s="31"/>
      <c r="HF199" s="31"/>
      <c r="HG199" s="31"/>
      <c r="HH199" s="31"/>
      <c r="HI199" s="31"/>
      <c r="HJ199" s="31"/>
      <c r="HK199" s="31"/>
      <c r="HL199" s="31"/>
      <c r="HM199" s="31"/>
      <c r="HN199" s="31"/>
      <c r="HO199" s="31"/>
      <c r="HP199" s="31"/>
      <c r="HQ199" s="31"/>
      <c r="HR199" s="31"/>
      <c r="HS199" s="31"/>
      <c r="HT199" s="31"/>
      <c r="HU199" s="31"/>
      <c r="HV199" s="31"/>
      <c r="HW199" s="31"/>
      <c r="HX199" s="31"/>
      <c r="HY199" s="31"/>
      <c r="HZ199" s="31"/>
      <c r="IA199" s="31"/>
      <c r="IB199" s="31"/>
      <c r="IC199" s="31"/>
      <c r="ID199" s="31"/>
      <c r="IE199" s="31"/>
      <c r="IF199" s="31"/>
      <c r="IG199" s="31"/>
      <c r="IH199" s="31"/>
      <c r="II199" s="31"/>
      <c r="IJ199" s="31"/>
      <c r="IK199" s="31"/>
      <c r="IL199" s="31"/>
      <c r="IM199" s="31"/>
      <c r="IN199" s="31"/>
      <c r="IO199" s="31"/>
      <c r="IP199" s="31"/>
      <c r="IQ199" s="31"/>
      <c r="IR199" s="31"/>
      <c r="IS199" s="31"/>
      <c r="IT199" s="31"/>
      <c r="IU199" s="31"/>
      <c r="IV199" s="31"/>
      <c r="IW199" s="31"/>
      <c r="IX199" s="31"/>
      <c r="IY199" s="31"/>
      <c r="IZ199" s="31"/>
      <c r="JA199" s="31"/>
      <c r="JB199" s="31"/>
      <c r="JC199" s="31"/>
      <c r="JD199" s="31"/>
      <c r="JE199" s="31"/>
      <c r="JF199" s="31"/>
      <c r="JG199" s="31"/>
      <c r="JH199" s="31"/>
      <c r="JI199" s="31"/>
      <c r="JJ199" s="31"/>
      <c r="JK199" s="31"/>
      <c r="JL199" s="31"/>
      <c r="JM199" s="31"/>
      <c r="JN199" s="31"/>
      <c r="JO199" s="31"/>
      <c r="JP199" s="31"/>
      <c r="JQ199" s="31"/>
      <c r="JR199" s="31"/>
      <c r="JS199" s="31"/>
      <c r="JT199" s="31"/>
      <c r="JU199" s="31"/>
      <c r="JV199" s="31"/>
      <c r="JW199" s="31"/>
      <c r="JX199" s="31"/>
      <c r="JY199" s="31"/>
      <c r="JZ199" s="31"/>
      <c r="KA199" s="31"/>
      <c r="KB199" s="31"/>
      <c r="KC199" s="31"/>
      <c r="KD199" s="31"/>
      <c r="KE199" s="31"/>
      <c r="KF199" s="31"/>
      <c r="KG199" s="31"/>
      <c r="KH199" s="31"/>
      <c r="KI199" s="31"/>
      <c r="KJ199" s="31"/>
      <c r="KK199" s="31"/>
      <c r="KL199" s="31"/>
      <c r="KM199" s="31"/>
      <c r="KN199" s="31"/>
      <c r="KO199" s="31"/>
      <c r="KP199" s="31"/>
      <c r="KQ199" s="31"/>
      <c r="KR199" s="31"/>
      <c r="KS199" s="31"/>
      <c r="KT199" s="31"/>
      <c r="KU199" s="31"/>
      <c r="KV199" s="31"/>
      <c r="KW199" s="31"/>
      <c r="KX199" s="31"/>
      <c r="KY199" s="31"/>
      <c r="KZ199" s="31"/>
      <c r="LA199" s="31"/>
      <c r="LB199" s="31"/>
      <c r="LC199" s="31"/>
      <c r="LD199" s="31"/>
      <c r="LE199" s="31"/>
      <c r="LF199" s="31"/>
      <c r="LG199" s="31"/>
      <c r="LH199" s="31"/>
      <c r="LI199" s="31"/>
      <c r="LJ199" s="31"/>
      <c r="LK199" s="31"/>
      <c r="LL199" s="31"/>
      <c r="LM199" s="31"/>
      <c r="LN199" s="31"/>
      <c r="LO199" s="31"/>
      <c r="LP199" s="31"/>
      <c r="LQ199" s="31"/>
      <c r="LR199" s="31"/>
      <c r="LS199" s="31"/>
      <c r="LT199" s="31"/>
      <c r="LU199" s="31"/>
      <c r="LV199" s="31"/>
      <c r="LW199" s="31"/>
      <c r="LX199" s="31"/>
      <c r="LY199" s="31"/>
      <c r="LZ199" s="31"/>
      <c r="MA199" s="31"/>
      <c r="MB199" s="31"/>
      <c r="MC199" s="31"/>
      <c r="MD199" s="31"/>
      <c r="ME199" s="31"/>
      <c r="MF199" s="31"/>
      <c r="MG199" s="31"/>
      <c r="MH199" s="31"/>
      <c r="MI199" s="31"/>
      <c r="MJ199" s="31"/>
      <c r="MK199" s="31"/>
      <c r="ML199" s="31"/>
      <c r="MM199" s="31"/>
      <c r="MN199" s="31"/>
      <c r="MO199" s="31"/>
      <c r="MP199" s="31"/>
      <c r="MQ199" s="31"/>
      <c r="MR199" s="31"/>
      <c r="MS199" s="31"/>
      <c r="MT199" s="31"/>
      <c r="MU199" s="31"/>
      <c r="MV199" s="31"/>
      <c r="MW199" s="31"/>
      <c r="MX199" s="31"/>
      <c r="MY199" s="31"/>
      <c r="MZ199" s="31"/>
      <c r="NA199" s="31"/>
      <c r="NB199" s="31"/>
      <c r="NC199" s="31"/>
      <c r="ND199" s="31"/>
      <c r="NE199" s="31"/>
      <c r="NF199" s="31"/>
      <c r="NG199" s="31"/>
      <c r="NH199" s="31"/>
      <c r="NI199" s="31"/>
      <c r="NJ199" s="31"/>
      <c r="NK199" s="31"/>
      <c r="NL199" s="31"/>
      <c r="NM199" s="31"/>
      <c r="NN199" s="31"/>
      <c r="NO199" s="31"/>
      <c r="NP199" s="31"/>
      <c r="NQ199" s="31"/>
      <c r="NR199" s="31"/>
      <c r="NS199" s="31"/>
      <c r="NT199" s="31"/>
      <c r="NU199" s="31"/>
      <c r="NV199" s="31"/>
      <c r="NW199" s="31"/>
      <c r="NX199" s="31"/>
      <c r="NY199" s="31"/>
      <c r="NZ199" s="31"/>
      <c r="OA199" s="31"/>
      <c r="OB199" s="31"/>
      <c r="OC199" s="31"/>
      <c r="OD199" s="31"/>
      <c r="OE199" s="31"/>
      <c r="OF199" s="31"/>
      <c r="OG199" s="31"/>
      <c r="OH199" s="31"/>
      <c r="OI199" s="31"/>
      <c r="OJ199" s="31"/>
      <c r="OK199" s="31"/>
      <c r="OL199" s="31"/>
      <c r="OM199" s="31"/>
      <c r="ON199" s="31"/>
      <c r="OO199" s="31"/>
      <c r="OP199" s="31"/>
      <c r="OQ199" s="31"/>
      <c r="OR199" s="31"/>
      <c r="OS199" s="31"/>
      <c r="OT199" s="31"/>
      <c r="OU199" s="31"/>
      <c r="OV199" s="31"/>
      <c r="OW199" s="31"/>
      <c r="OX199" s="31"/>
      <c r="OY199" s="31"/>
      <c r="OZ199" s="31"/>
      <c r="PA199" s="31"/>
      <c r="PB199" s="31"/>
      <c r="PC199" s="31"/>
      <c r="PD199" s="31"/>
      <c r="PE199" s="31"/>
      <c r="PF199" s="31"/>
      <c r="PG199" s="31"/>
      <c r="PH199" s="31"/>
      <c r="PI199" s="31"/>
      <c r="PJ199" s="31"/>
      <c r="PK199" s="31"/>
      <c r="PL199" s="31"/>
      <c r="PM199" s="31"/>
      <c r="PN199" s="31"/>
      <c r="PO199" s="31"/>
      <c r="PP199" s="31"/>
      <c r="PQ199" s="31"/>
      <c r="PR199" s="31"/>
      <c r="PS199" s="31"/>
      <c r="PT199" s="31"/>
      <c r="PU199" s="31"/>
      <c r="PV199" s="31"/>
      <c r="PW199" s="31"/>
      <c r="PX199" s="31"/>
      <c r="PY199" s="31"/>
      <c r="PZ199" s="31"/>
      <c r="QA199" s="31"/>
      <c r="QB199" s="31"/>
      <c r="QC199" s="31"/>
      <c r="QD199" s="31"/>
      <c r="QE199" s="31"/>
      <c r="QF199" s="31"/>
      <c r="QG199" s="31"/>
      <c r="QH199" s="31"/>
      <c r="QI199" s="31"/>
      <c r="QJ199" s="31"/>
      <c r="QK199" s="31"/>
      <c r="QL199" s="31"/>
      <c r="QM199" s="31"/>
      <c r="QN199" s="31"/>
      <c r="QO199" s="31"/>
      <c r="QP199" s="31"/>
      <c r="QQ199" s="31"/>
      <c r="QR199" s="31"/>
      <c r="QS199" s="31"/>
      <c r="QT199" s="31"/>
      <c r="QU199" s="31"/>
      <c r="QV199" s="31"/>
      <c r="QW199" s="31"/>
      <c r="QX199" s="31"/>
      <c r="QY199" s="31"/>
      <c r="QZ199" s="31"/>
      <c r="RA199" s="31"/>
      <c r="RB199" s="31"/>
      <c r="RC199" s="31"/>
      <c r="RD199" s="31"/>
      <c r="RE199" s="31"/>
      <c r="RF199" s="31"/>
      <c r="RG199" s="31"/>
      <c r="RH199" s="31"/>
      <c r="RI199" s="31"/>
      <c r="RJ199" s="31"/>
      <c r="RK199" s="31"/>
      <c r="RL199" s="31"/>
      <c r="RM199" s="31"/>
      <c r="RN199" s="31"/>
      <c r="RO199" s="31"/>
      <c r="RP199" s="31"/>
      <c r="RQ199" s="31"/>
      <c r="RR199" s="31"/>
      <c r="RS199" s="31"/>
      <c r="RT199" s="31"/>
      <c r="RU199" s="31"/>
      <c r="RV199" s="31"/>
      <c r="RW199" s="31"/>
      <c r="RX199" s="31"/>
      <c r="RY199" s="31"/>
      <c r="RZ199" s="31"/>
      <c r="SA199" s="31"/>
      <c r="SB199" s="31"/>
      <c r="SC199" s="31"/>
      <c r="SD199" s="31"/>
      <c r="SE199" s="31"/>
      <c r="SF199" s="31"/>
      <c r="SG199" s="31"/>
      <c r="SH199" s="31"/>
      <c r="SI199" s="31"/>
      <c r="SJ199" s="31"/>
      <c r="SK199" s="31"/>
      <c r="SL199" s="31"/>
      <c r="SM199" s="31"/>
      <c r="SN199" s="31"/>
      <c r="SO199" s="31"/>
      <c r="SP199" s="31"/>
      <c r="SQ199" s="31"/>
      <c r="SR199" s="31"/>
      <c r="SS199" s="31"/>
      <c r="ST199" s="31"/>
      <c r="SU199" s="31"/>
      <c r="SV199" s="31"/>
      <c r="SW199" s="31"/>
      <c r="SX199" s="31"/>
      <c r="SY199" s="31"/>
      <c r="SZ199" s="31"/>
      <c r="TA199" s="31"/>
      <c r="TB199" s="31"/>
      <c r="TC199" s="31"/>
      <c r="TD199" s="31"/>
      <c r="TE199" s="31"/>
      <c r="TF199" s="31"/>
      <c r="TG199" s="31"/>
      <c r="TH199" s="31"/>
      <c r="TI199" s="31"/>
      <c r="TJ199" s="31"/>
      <c r="TK199" s="31"/>
      <c r="TL199" s="31"/>
      <c r="TM199" s="31"/>
      <c r="TN199" s="31"/>
      <c r="TO199" s="31"/>
      <c r="TP199" s="31"/>
      <c r="TQ199" s="31"/>
      <c r="TR199" s="31"/>
      <c r="TS199" s="31"/>
      <c r="TT199" s="31"/>
      <c r="TU199" s="31"/>
      <c r="TV199" s="31"/>
      <c r="TW199" s="31"/>
      <c r="TX199" s="31"/>
      <c r="TY199" s="31"/>
      <c r="TZ199" s="31"/>
      <c r="UA199" s="31"/>
      <c r="UB199" s="31"/>
      <c r="UC199" s="31"/>
      <c r="UD199" s="31"/>
      <c r="UE199" s="31"/>
      <c r="UF199" s="31"/>
      <c r="UG199" s="33"/>
    </row>
    <row r="200" spans="1:553" ht="126" customHeight="1">
      <c r="A200" s="356" t="s">
        <v>15</v>
      </c>
      <c r="B200" s="356"/>
      <c r="C200" s="384" t="s">
        <v>69</v>
      </c>
      <c r="D200" s="376" t="s">
        <v>20</v>
      </c>
      <c r="E200" s="376" t="s">
        <v>227</v>
      </c>
      <c r="F200" s="385">
        <v>1</v>
      </c>
      <c r="G200" s="386" t="s">
        <v>935</v>
      </c>
      <c r="H200" s="441">
        <v>18.8</v>
      </c>
      <c r="I200" s="490">
        <v>18.8</v>
      </c>
      <c r="J200" s="477">
        <v>55000</v>
      </c>
      <c r="K200" s="388"/>
      <c r="L200" s="366">
        <f t="shared" si="41"/>
        <v>1034000</v>
      </c>
      <c r="M200" s="366"/>
      <c r="N200" s="366"/>
      <c r="O200" s="366"/>
      <c r="P200" s="366"/>
      <c r="Q200" s="1036" t="s">
        <v>224</v>
      </c>
      <c r="R200" s="1452"/>
      <c r="S200" s="308"/>
      <c r="T200" s="303"/>
      <c r="U200" s="306"/>
      <c r="V200" s="307"/>
      <c r="W200" s="306"/>
      <c r="X200" s="306">
        <f t="shared" si="42"/>
        <v>18.8</v>
      </c>
      <c r="Y200" s="306"/>
      <c r="Z200" s="306"/>
      <c r="AA200" s="306"/>
      <c r="AB200" s="306"/>
      <c r="AC200" s="463"/>
      <c r="AD200" s="452"/>
      <c r="AE200" s="452"/>
      <c r="AF200" s="452"/>
      <c r="AG200" s="452"/>
      <c r="AH200" s="452"/>
      <c r="AI200" s="452"/>
      <c r="AJ200" s="452"/>
      <c r="AK200" s="452"/>
      <c r="AL200" s="106"/>
      <c r="AM200" s="31"/>
      <c r="AN200" s="31"/>
      <c r="AO200" s="31"/>
      <c r="AP200" s="31"/>
      <c r="AQ200" s="31"/>
      <c r="AR200" s="31"/>
      <c r="AS200" s="31"/>
      <c r="AT200" s="31"/>
      <c r="AU200" s="31"/>
      <c r="AV200" s="31"/>
      <c r="AW200" s="31"/>
      <c r="AX200" s="31"/>
      <c r="AY200" s="31"/>
      <c r="AZ200" s="31"/>
      <c r="BA200" s="31"/>
      <c r="BB200" s="31"/>
      <c r="BC200" s="31"/>
      <c r="BD200" s="31"/>
      <c r="BE200" s="31"/>
      <c r="BF200" s="31"/>
      <c r="BG200" s="31"/>
      <c r="BH200" s="31"/>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c r="CH200" s="31"/>
      <c r="CI200" s="31"/>
      <c r="CJ200" s="31"/>
      <c r="CK200" s="31"/>
      <c r="CL200" s="31"/>
      <c r="CM200" s="31"/>
      <c r="CN200" s="31"/>
      <c r="CO200" s="31"/>
      <c r="CP200" s="31"/>
      <c r="CQ200" s="31"/>
      <c r="CR200" s="31"/>
      <c r="CS200" s="31"/>
      <c r="CT200" s="31"/>
      <c r="CU200" s="31"/>
      <c r="CV200" s="31"/>
      <c r="CW200" s="31"/>
      <c r="CX200" s="31"/>
      <c r="CY200" s="31"/>
      <c r="CZ200" s="31"/>
      <c r="DA200" s="31"/>
      <c r="DB200" s="31"/>
      <c r="DC200" s="31"/>
      <c r="DD200" s="31"/>
      <c r="DE200" s="31"/>
      <c r="DF200" s="31"/>
      <c r="DG200" s="31"/>
      <c r="DH200" s="31"/>
      <c r="DI200" s="31"/>
      <c r="DJ200" s="31"/>
      <c r="DK200" s="31"/>
      <c r="DL200" s="31"/>
      <c r="DM200" s="31"/>
      <c r="DN200" s="31"/>
      <c r="DO200" s="31"/>
      <c r="DP200" s="31"/>
      <c r="DQ200" s="31"/>
      <c r="DR200" s="31"/>
      <c r="DS200" s="31"/>
      <c r="DT200" s="31"/>
      <c r="DU200" s="31"/>
      <c r="DV200" s="31"/>
      <c r="DW200" s="31"/>
      <c r="DX200" s="31"/>
      <c r="DY200" s="31"/>
      <c r="DZ200" s="31"/>
      <c r="EA200" s="31"/>
      <c r="EB200" s="31"/>
      <c r="EC200" s="31"/>
      <c r="ED200" s="31"/>
      <c r="EE200" s="31"/>
      <c r="EF200" s="31"/>
      <c r="EG200" s="31"/>
      <c r="EH200" s="31"/>
      <c r="EI200" s="31"/>
      <c r="EJ200" s="31"/>
      <c r="EK200" s="31"/>
      <c r="EL200" s="31"/>
      <c r="EM200" s="31"/>
      <c r="EN200" s="31"/>
      <c r="EO200" s="31"/>
      <c r="EP200" s="31"/>
      <c r="EQ200" s="31"/>
      <c r="ER200" s="31"/>
      <c r="ES200" s="31"/>
      <c r="ET200" s="31"/>
      <c r="EU200" s="31"/>
      <c r="EV200" s="31"/>
      <c r="EW200" s="31"/>
      <c r="EX200" s="31"/>
      <c r="EY200" s="31"/>
      <c r="EZ200" s="31"/>
      <c r="FA200" s="31"/>
      <c r="FB200" s="31"/>
      <c r="FC200" s="31"/>
      <c r="FD200" s="31"/>
      <c r="FE200" s="31"/>
      <c r="FF200" s="31"/>
      <c r="FG200" s="31"/>
      <c r="FH200" s="31"/>
      <c r="FI200" s="31"/>
      <c r="FJ200" s="31"/>
      <c r="FK200" s="31"/>
      <c r="FL200" s="31"/>
      <c r="FM200" s="31"/>
      <c r="FN200" s="31"/>
      <c r="FO200" s="31"/>
      <c r="FP200" s="31"/>
      <c r="FQ200" s="31"/>
      <c r="FR200" s="31"/>
      <c r="FS200" s="31"/>
      <c r="FT200" s="31"/>
      <c r="FU200" s="31"/>
      <c r="FV200" s="31"/>
      <c r="FW200" s="31"/>
      <c r="FX200" s="31"/>
      <c r="FY200" s="31"/>
      <c r="FZ200" s="31"/>
      <c r="GA200" s="31"/>
      <c r="GB200" s="31"/>
      <c r="GC200" s="31"/>
      <c r="GD200" s="31"/>
      <c r="GE200" s="31"/>
      <c r="GF200" s="31"/>
      <c r="GG200" s="31"/>
      <c r="GH200" s="31"/>
      <c r="GI200" s="31"/>
      <c r="GJ200" s="31"/>
      <c r="GK200" s="31"/>
      <c r="GL200" s="31"/>
      <c r="GM200" s="31"/>
      <c r="GN200" s="31"/>
      <c r="GO200" s="31"/>
      <c r="GP200" s="31"/>
      <c r="GQ200" s="31"/>
      <c r="GR200" s="31"/>
      <c r="GS200" s="31"/>
      <c r="GT200" s="31"/>
      <c r="GU200" s="31"/>
      <c r="GV200" s="31"/>
      <c r="GW200" s="31"/>
      <c r="GX200" s="31"/>
      <c r="GY200" s="31"/>
      <c r="GZ200" s="31"/>
      <c r="HA200" s="31"/>
      <c r="HB200" s="31"/>
      <c r="HC200" s="31"/>
      <c r="HD200" s="31"/>
      <c r="HE200" s="31"/>
      <c r="HF200" s="31"/>
      <c r="HG200" s="31"/>
      <c r="HH200" s="31"/>
      <c r="HI200" s="31"/>
      <c r="HJ200" s="31"/>
      <c r="HK200" s="31"/>
      <c r="HL200" s="31"/>
      <c r="HM200" s="31"/>
      <c r="HN200" s="31"/>
      <c r="HO200" s="31"/>
      <c r="HP200" s="31"/>
      <c r="HQ200" s="31"/>
      <c r="HR200" s="31"/>
      <c r="HS200" s="31"/>
      <c r="HT200" s="31"/>
      <c r="HU200" s="31"/>
      <c r="HV200" s="31"/>
      <c r="HW200" s="31"/>
      <c r="HX200" s="31"/>
      <c r="HY200" s="31"/>
      <c r="HZ200" s="31"/>
      <c r="IA200" s="31"/>
      <c r="IB200" s="31"/>
      <c r="IC200" s="31"/>
      <c r="ID200" s="31"/>
      <c r="IE200" s="31"/>
      <c r="IF200" s="31"/>
      <c r="IG200" s="31"/>
      <c r="IH200" s="31"/>
      <c r="II200" s="31"/>
      <c r="IJ200" s="31"/>
      <c r="IK200" s="31"/>
      <c r="IL200" s="31"/>
      <c r="IM200" s="31"/>
      <c r="IN200" s="31"/>
      <c r="IO200" s="31"/>
      <c r="IP200" s="31"/>
      <c r="IQ200" s="31"/>
      <c r="IR200" s="31"/>
      <c r="IS200" s="31"/>
      <c r="IT200" s="31"/>
      <c r="IU200" s="31"/>
      <c r="IV200" s="31"/>
      <c r="IW200" s="31"/>
      <c r="IX200" s="31"/>
      <c r="IY200" s="31"/>
      <c r="IZ200" s="31"/>
      <c r="JA200" s="31"/>
      <c r="JB200" s="31"/>
      <c r="JC200" s="31"/>
      <c r="JD200" s="31"/>
      <c r="JE200" s="31"/>
      <c r="JF200" s="31"/>
      <c r="JG200" s="31"/>
      <c r="JH200" s="31"/>
      <c r="JI200" s="31"/>
      <c r="JJ200" s="31"/>
      <c r="JK200" s="31"/>
      <c r="JL200" s="31"/>
      <c r="JM200" s="31"/>
      <c r="JN200" s="31"/>
      <c r="JO200" s="31"/>
      <c r="JP200" s="31"/>
      <c r="JQ200" s="31"/>
      <c r="JR200" s="31"/>
      <c r="JS200" s="31"/>
      <c r="JT200" s="31"/>
      <c r="JU200" s="31"/>
      <c r="JV200" s="31"/>
      <c r="JW200" s="31"/>
      <c r="JX200" s="31"/>
      <c r="JY200" s="31"/>
      <c r="JZ200" s="31"/>
      <c r="KA200" s="31"/>
      <c r="KB200" s="31"/>
      <c r="KC200" s="31"/>
      <c r="KD200" s="31"/>
      <c r="KE200" s="31"/>
      <c r="KF200" s="31"/>
      <c r="KG200" s="31"/>
      <c r="KH200" s="31"/>
      <c r="KI200" s="31"/>
      <c r="KJ200" s="31"/>
      <c r="KK200" s="31"/>
      <c r="KL200" s="31"/>
      <c r="KM200" s="31"/>
      <c r="KN200" s="31"/>
      <c r="KO200" s="31"/>
      <c r="KP200" s="31"/>
      <c r="KQ200" s="31"/>
      <c r="KR200" s="31"/>
      <c r="KS200" s="31"/>
      <c r="KT200" s="31"/>
      <c r="KU200" s="31"/>
      <c r="KV200" s="31"/>
      <c r="KW200" s="31"/>
      <c r="KX200" s="31"/>
      <c r="KY200" s="31"/>
      <c r="KZ200" s="31"/>
      <c r="LA200" s="31"/>
      <c r="LB200" s="31"/>
      <c r="LC200" s="31"/>
      <c r="LD200" s="31"/>
      <c r="LE200" s="31"/>
      <c r="LF200" s="31"/>
      <c r="LG200" s="31"/>
      <c r="LH200" s="31"/>
      <c r="LI200" s="31"/>
      <c r="LJ200" s="31"/>
      <c r="LK200" s="31"/>
      <c r="LL200" s="31"/>
      <c r="LM200" s="31"/>
      <c r="LN200" s="31"/>
      <c r="LO200" s="31"/>
      <c r="LP200" s="31"/>
      <c r="LQ200" s="31"/>
      <c r="LR200" s="31"/>
      <c r="LS200" s="31"/>
      <c r="LT200" s="31"/>
      <c r="LU200" s="31"/>
      <c r="LV200" s="31"/>
      <c r="LW200" s="31"/>
      <c r="LX200" s="31"/>
      <c r="LY200" s="31"/>
      <c r="LZ200" s="31"/>
      <c r="MA200" s="31"/>
      <c r="MB200" s="31"/>
      <c r="MC200" s="31"/>
      <c r="MD200" s="31"/>
      <c r="ME200" s="31"/>
      <c r="MF200" s="31"/>
      <c r="MG200" s="31"/>
      <c r="MH200" s="31"/>
      <c r="MI200" s="31"/>
      <c r="MJ200" s="31"/>
      <c r="MK200" s="31"/>
      <c r="ML200" s="31"/>
      <c r="MM200" s="31"/>
      <c r="MN200" s="31"/>
      <c r="MO200" s="31"/>
      <c r="MP200" s="31"/>
      <c r="MQ200" s="31"/>
      <c r="MR200" s="31"/>
      <c r="MS200" s="31"/>
      <c r="MT200" s="31"/>
      <c r="MU200" s="31"/>
      <c r="MV200" s="31"/>
      <c r="MW200" s="31"/>
      <c r="MX200" s="31"/>
      <c r="MY200" s="31"/>
      <c r="MZ200" s="31"/>
      <c r="NA200" s="31"/>
      <c r="NB200" s="31"/>
      <c r="NC200" s="31"/>
      <c r="ND200" s="31"/>
      <c r="NE200" s="31"/>
      <c r="NF200" s="31"/>
      <c r="NG200" s="31"/>
      <c r="NH200" s="31"/>
      <c r="NI200" s="31"/>
      <c r="NJ200" s="31"/>
      <c r="NK200" s="31"/>
      <c r="NL200" s="31"/>
      <c r="NM200" s="31"/>
      <c r="NN200" s="31"/>
      <c r="NO200" s="31"/>
      <c r="NP200" s="31"/>
      <c r="NQ200" s="31"/>
      <c r="NR200" s="31"/>
      <c r="NS200" s="31"/>
      <c r="NT200" s="31"/>
      <c r="NU200" s="31"/>
      <c r="NV200" s="31"/>
      <c r="NW200" s="31"/>
      <c r="NX200" s="31"/>
      <c r="NY200" s="31"/>
      <c r="NZ200" s="31"/>
      <c r="OA200" s="31"/>
      <c r="OB200" s="31"/>
      <c r="OC200" s="31"/>
      <c r="OD200" s="31"/>
      <c r="OE200" s="31"/>
      <c r="OF200" s="31"/>
      <c r="OG200" s="31"/>
      <c r="OH200" s="31"/>
      <c r="OI200" s="31"/>
      <c r="OJ200" s="31"/>
      <c r="OK200" s="31"/>
      <c r="OL200" s="31"/>
      <c r="OM200" s="31"/>
      <c r="ON200" s="31"/>
      <c r="OO200" s="31"/>
      <c r="OP200" s="31"/>
      <c r="OQ200" s="31"/>
      <c r="OR200" s="31"/>
      <c r="OS200" s="31"/>
      <c r="OT200" s="31"/>
      <c r="OU200" s="31"/>
      <c r="OV200" s="31"/>
      <c r="OW200" s="31"/>
      <c r="OX200" s="31"/>
      <c r="OY200" s="31"/>
      <c r="OZ200" s="31"/>
      <c r="PA200" s="31"/>
      <c r="PB200" s="31"/>
      <c r="PC200" s="31"/>
      <c r="PD200" s="31"/>
      <c r="PE200" s="31"/>
      <c r="PF200" s="31"/>
      <c r="PG200" s="31"/>
      <c r="PH200" s="31"/>
      <c r="PI200" s="31"/>
      <c r="PJ200" s="31"/>
      <c r="PK200" s="31"/>
      <c r="PL200" s="31"/>
      <c r="PM200" s="31"/>
      <c r="PN200" s="31"/>
      <c r="PO200" s="31"/>
      <c r="PP200" s="31"/>
      <c r="PQ200" s="31"/>
      <c r="PR200" s="31"/>
      <c r="PS200" s="31"/>
      <c r="PT200" s="31"/>
      <c r="PU200" s="31"/>
      <c r="PV200" s="31"/>
      <c r="PW200" s="31"/>
      <c r="PX200" s="31"/>
      <c r="PY200" s="31"/>
      <c r="PZ200" s="31"/>
      <c r="QA200" s="31"/>
      <c r="QB200" s="31"/>
      <c r="QC200" s="31"/>
      <c r="QD200" s="31"/>
      <c r="QE200" s="31"/>
      <c r="QF200" s="31"/>
      <c r="QG200" s="31"/>
      <c r="QH200" s="31"/>
      <c r="QI200" s="31"/>
      <c r="QJ200" s="31"/>
      <c r="QK200" s="31"/>
      <c r="QL200" s="31"/>
      <c r="QM200" s="31"/>
      <c r="QN200" s="31"/>
      <c r="QO200" s="31"/>
      <c r="QP200" s="31"/>
      <c r="QQ200" s="31"/>
      <c r="QR200" s="31"/>
      <c r="QS200" s="31"/>
      <c r="QT200" s="31"/>
      <c r="QU200" s="31"/>
      <c r="QV200" s="31"/>
      <c r="QW200" s="31"/>
      <c r="QX200" s="31"/>
      <c r="QY200" s="31"/>
      <c r="QZ200" s="31"/>
      <c r="RA200" s="31"/>
      <c r="RB200" s="31"/>
      <c r="RC200" s="31"/>
      <c r="RD200" s="31"/>
      <c r="RE200" s="31"/>
      <c r="RF200" s="31"/>
      <c r="RG200" s="31"/>
      <c r="RH200" s="31"/>
      <c r="RI200" s="31"/>
      <c r="RJ200" s="31"/>
      <c r="RK200" s="31"/>
      <c r="RL200" s="31"/>
      <c r="RM200" s="31"/>
      <c r="RN200" s="31"/>
      <c r="RO200" s="31"/>
      <c r="RP200" s="31"/>
      <c r="RQ200" s="31"/>
      <c r="RR200" s="31"/>
      <c r="RS200" s="31"/>
      <c r="RT200" s="31"/>
      <c r="RU200" s="31"/>
      <c r="RV200" s="31"/>
      <c r="RW200" s="31"/>
      <c r="RX200" s="31"/>
      <c r="RY200" s="31"/>
      <c r="RZ200" s="31"/>
      <c r="SA200" s="31"/>
      <c r="SB200" s="31"/>
      <c r="SC200" s="31"/>
      <c r="SD200" s="31"/>
      <c r="SE200" s="31"/>
      <c r="SF200" s="31"/>
      <c r="SG200" s="31"/>
      <c r="SH200" s="31"/>
      <c r="SI200" s="31"/>
      <c r="SJ200" s="31"/>
      <c r="SK200" s="31"/>
      <c r="SL200" s="31"/>
      <c r="SM200" s="31"/>
      <c r="SN200" s="31"/>
      <c r="SO200" s="31"/>
      <c r="SP200" s="31"/>
      <c r="SQ200" s="31"/>
      <c r="SR200" s="31"/>
      <c r="SS200" s="31"/>
      <c r="ST200" s="31"/>
      <c r="SU200" s="31"/>
      <c r="SV200" s="31"/>
      <c r="SW200" s="31"/>
      <c r="SX200" s="31"/>
      <c r="SY200" s="31"/>
      <c r="SZ200" s="31"/>
      <c r="TA200" s="31"/>
      <c r="TB200" s="31"/>
      <c r="TC200" s="31"/>
      <c r="TD200" s="31"/>
      <c r="TE200" s="31"/>
      <c r="TF200" s="31"/>
      <c r="TG200" s="31"/>
      <c r="TH200" s="31"/>
      <c r="TI200" s="31"/>
      <c r="TJ200" s="31"/>
      <c r="TK200" s="31"/>
      <c r="TL200" s="31"/>
      <c r="TM200" s="31"/>
      <c r="TN200" s="31"/>
      <c r="TO200" s="31"/>
      <c r="TP200" s="31"/>
      <c r="TQ200" s="31"/>
      <c r="TR200" s="31"/>
      <c r="TS200" s="31"/>
      <c r="TT200" s="31"/>
      <c r="TU200" s="31"/>
      <c r="TV200" s="31"/>
      <c r="TW200" s="31"/>
      <c r="TX200" s="31"/>
      <c r="TY200" s="31"/>
      <c r="TZ200" s="31"/>
      <c r="UA200" s="31"/>
      <c r="UB200" s="31"/>
      <c r="UC200" s="31"/>
      <c r="UD200" s="31"/>
      <c r="UE200" s="31"/>
      <c r="UF200" s="31"/>
      <c r="UG200" s="33"/>
    </row>
    <row r="201" spans="1:553" ht="126" customHeight="1">
      <c r="A201" s="356" t="s">
        <v>15</v>
      </c>
      <c r="B201" s="356"/>
      <c r="C201" s="384" t="s">
        <v>69</v>
      </c>
      <c r="D201" s="376" t="s">
        <v>20</v>
      </c>
      <c r="E201" s="376" t="s">
        <v>228</v>
      </c>
      <c r="F201" s="385">
        <v>1</v>
      </c>
      <c r="G201" s="386" t="s">
        <v>935</v>
      </c>
      <c r="H201" s="441">
        <v>43.4</v>
      </c>
      <c r="I201" s="490">
        <v>43.4</v>
      </c>
      <c r="J201" s="477">
        <v>55000</v>
      </c>
      <c r="K201" s="388"/>
      <c r="L201" s="366">
        <f t="shared" si="41"/>
        <v>2387000</v>
      </c>
      <c r="M201" s="366"/>
      <c r="N201" s="366"/>
      <c r="O201" s="366"/>
      <c r="P201" s="366"/>
      <c r="Q201" s="1036" t="s">
        <v>224</v>
      </c>
      <c r="R201" s="1452"/>
      <c r="S201" s="308"/>
      <c r="T201" s="303"/>
      <c r="U201" s="306"/>
      <c r="V201" s="307"/>
      <c r="W201" s="306"/>
      <c r="X201" s="306">
        <f t="shared" si="42"/>
        <v>43.4</v>
      </c>
      <c r="Y201" s="306"/>
      <c r="Z201" s="306"/>
      <c r="AA201" s="306"/>
      <c r="AB201" s="306"/>
      <c r="AC201" s="463"/>
      <c r="AD201" s="452"/>
      <c r="AE201" s="452"/>
      <c r="AF201" s="452"/>
      <c r="AG201" s="452"/>
      <c r="AH201" s="452"/>
      <c r="AI201" s="452"/>
      <c r="AJ201" s="452"/>
      <c r="AK201" s="452"/>
      <c r="AL201" s="106"/>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c r="CJ201" s="31"/>
      <c r="CK201" s="31"/>
      <c r="CL201" s="31"/>
      <c r="CM201" s="31"/>
      <c r="CN201" s="31"/>
      <c r="CO201" s="31"/>
      <c r="CP201" s="31"/>
      <c r="CQ201" s="31"/>
      <c r="CR201" s="31"/>
      <c r="CS201" s="31"/>
      <c r="CT201" s="31"/>
      <c r="CU201" s="31"/>
      <c r="CV201" s="31"/>
      <c r="CW201" s="31"/>
      <c r="CX201" s="31"/>
      <c r="CY201" s="31"/>
      <c r="CZ201" s="31"/>
      <c r="DA201" s="31"/>
      <c r="DB201" s="31"/>
      <c r="DC201" s="31"/>
      <c r="DD201" s="31"/>
      <c r="DE201" s="31"/>
      <c r="DF201" s="31"/>
      <c r="DG201" s="31"/>
      <c r="DH201" s="31"/>
      <c r="DI201" s="31"/>
      <c r="DJ201" s="31"/>
      <c r="DK201" s="31"/>
      <c r="DL201" s="31"/>
      <c r="DM201" s="31"/>
      <c r="DN201" s="31"/>
      <c r="DO201" s="31"/>
      <c r="DP201" s="31"/>
      <c r="DQ201" s="31"/>
      <c r="DR201" s="31"/>
      <c r="DS201" s="31"/>
      <c r="DT201" s="31"/>
      <c r="DU201" s="31"/>
      <c r="DV201" s="31"/>
      <c r="DW201" s="31"/>
      <c r="DX201" s="31"/>
      <c r="DY201" s="31"/>
      <c r="DZ201" s="31"/>
      <c r="EA201" s="31"/>
      <c r="EB201" s="31"/>
      <c r="EC201" s="31"/>
      <c r="ED201" s="31"/>
      <c r="EE201" s="31"/>
      <c r="EF201" s="31"/>
      <c r="EG201" s="31"/>
      <c r="EH201" s="31"/>
      <c r="EI201" s="31"/>
      <c r="EJ201" s="31"/>
      <c r="EK201" s="31"/>
      <c r="EL201" s="31"/>
      <c r="EM201" s="31"/>
      <c r="EN201" s="31"/>
      <c r="EO201" s="31"/>
      <c r="EP201" s="31"/>
      <c r="EQ201" s="31"/>
      <c r="ER201" s="31"/>
      <c r="ES201" s="31"/>
      <c r="ET201" s="31"/>
      <c r="EU201" s="31"/>
      <c r="EV201" s="31"/>
      <c r="EW201" s="31"/>
      <c r="EX201" s="31"/>
      <c r="EY201" s="31"/>
      <c r="EZ201" s="31"/>
      <c r="FA201" s="31"/>
      <c r="FB201" s="31"/>
      <c r="FC201" s="31"/>
      <c r="FD201" s="31"/>
      <c r="FE201" s="31"/>
      <c r="FF201" s="31"/>
      <c r="FG201" s="31"/>
      <c r="FH201" s="31"/>
      <c r="FI201" s="31"/>
      <c r="FJ201" s="31"/>
      <c r="FK201" s="31"/>
      <c r="FL201" s="31"/>
      <c r="FM201" s="31"/>
      <c r="FN201" s="31"/>
      <c r="FO201" s="31"/>
      <c r="FP201" s="31"/>
      <c r="FQ201" s="31"/>
      <c r="FR201" s="31"/>
      <c r="FS201" s="31"/>
      <c r="FT201" s="31"/>
      <c r="FU201" s="31"/>
      <c r="FV201" s="31"/>
      <c r="FW201" s="31"/>
      <c r="FX201" s="31"/>
      <c r="FY201" s="31"/>
      <c r="FZ201" s="31"/>
      <c r="GA201" s="31"/>
      <c r="GB201" s="31"/>
      <c r="GC201" s="31"/>
      <c r="GD201" s="31"/>
      <c r="GE201" s="31"/>
      <c r="GF201" s="31"/>
      <c r="GG201" s="31"/>
      <c r="GH201" s="31"/>
      <c r="GI201" s="31"/>
      <c r="GJ201" s="31"/>
      <c r="GK201" s="31"/>
      <c r="GL201" s="31"/>
      <c r="GM201" s="31"/>
      <c r="GN201" s="31"/>
      <c r="GO201" s="31"/>
      <c r="GP201" s="31"/>
      <c r="GQ201" s="31"/>
      <c r="GR201" s="31"/>
      <c r="GS201" s="31"/>
      <c r="GT201" s="31"/>
      <c r="GU201" s="31"/>
      <c r="GV201" s="31"/>
      <c r="GW201" s="31"/>
      <c r="GX201" s="31"/>
      <c r="GY201" s="31"/>
      <c r="GZ201" s="31"/>
      <c r="HA201" s="31"/>
      <c r="HB201" s="31"/>
      <c r="HC201" s="31"/>
      <c r="HD201" s="31"/>
      <c r="HE201" s="31"/>
      <c r="HF201" s="31"/>
      <c r="HG201" s="31"/>
      <c r="HH201" s="31"/>
      <c r="HI201" s="31"/>
      <c r="HJ201" s="31"/>
      <c r="HK201" s="31"/>
      <c r="HL201" s="31"/>
      <c r="HM201" s="31"/>
      <c r="HN201" s="31"/>
      <c r="HO201" s="31"/>
      <c r="HP201" s="31"/>
      <c r="HQ201" s="31"/>
      <c r="HR201" s="31"/>
      <c r="HS201" s="31"/>
      <c r="HT201" s="31"/>
      <c r="HU201" s="31"/>
      <c r="HV201" s="31"/>
      <c r="HW201" s="31"/>
      <c r="HX201" s="31"/>
      <c r="HY201" s="31"/>
      <c r="HZ201" s="31"/>
      <c r="IA201" s="31"/>
      <c r="IB201" s="31"/>
      <c r="IC201" s="31"/>
      <c r="ID201" s="31"/>
      <c r="IE201" s="31"/>
      <c r="IF201" s="31"/>
      <c r="IG201" s="31"/>
      <c r="IH201" s="31"/>
      <c r="II201" s="31"/>
      <c r="IJ201" s="31"/>
      <c r="IK201" s="31"/>
      <c r="IL201" s="31"/>
      <c r="IM201" s="31"/>
      <c r="IN201" s="31"/>
      <c r="IO201" s="31"/>
      <c r="IP201" s="31"/>
      <c r="IQ201" s="31"/>
      <c r="IR201" s="31"/>
      <c r="IS201" s="31"/>
      <c r="IT201" s="31"/>
      <c r="IU201" s="31"/>
      <c r="IV201" s="31"/>
      <c r="IW201" s="31"/>
      <c r="IX201" s="31"/>
      <c r="IY201" s="31"/>
      <c r="IZ201" s="31"/>
      <c r="JA201" s="31"/>
      <c r="JB201" s="31"/>
      <c r="JC201" s="31"/>
      <c r="JD201" s="31"/>
      <c r="JE201" s="31"/>
      <c r="JF201" s="31"/>
      <c r="JG201" s="31"/>
      <c r="JH201" s="31"/>
      <c r="JI201" s="31"/>
      <c r="JJ201" s="31"/>
      <c r="JK201" s="31"/>
      <c r="JL201" s="31"/>
      <c r="JM201" s="31"/>
      <c r="JN201" s="31"/>
      <c r="JO201" s="31"/>
      <c r="JP201" s="31"/>
      <c r="JQ201" s="31"/>
      <c r="JR201" s="31"/>
      <c r="JS201" s="31"/>
      <c r="JT201" s="31"/>
      <c r="JU201" s="31"/>
      <c r="JV201" s="31"/>
      <c r="JW201" s="31"/>
      <c r="JX201" s="31"/>
      <c r="JY201" s="31"/>
      <c r="JZ201" s="31"/>
      <c r="KA201" s="31"/>
      <c r="KB201" s="31"/>
      <c r="KC201" s="31"/>
      <c r="KD201" s="31"/>
      <c r="KE201" s="31"/>
      <c r="KF201" s="31"/>
      <c r="KG201" s="31"/>
      <c r="KH201" s="31"/>
      <c r="KI201" s="31"/>
      <c r="KJ201" s="31"/>
      <c r="KK201" s="31"/>
      <c r="KL201" s="31"/>
      <c r="KM201" s="31"/>
      <c r="KN201" s="31"/>
      <c r="KO201" s="31"/>
      <c r="KP201" s="31"/>
      <c r="KQ201" s="31"/>
      <c r="KR201" s="31"/>
      <c r="KS201" s="31"/>
      <c r="KT201" s="31"/>
      <c r="KU201" s="31"/>
      <c r="KV201" s="31"/>
      <c r="KW201" s="31"/>
      <c r="KX201" s="31"/>
      <c r="KY201" s="31"/>
      <c r="KZ201" s="31"/>
      <c r="LA201" s="31"/>
      <c r="LB201" s="31"/>
      <c r="LC201" s="31"/>
      <c r="LD201" s="31"/>
      <c r="LE201" s="31"/>
      <c r="LF201" s="31"/>
      <c r="LG201" s="31"/>
      <c r="LH201" s="31"/>
      <c r="LI201" s="31"/>
      <c r="LJ201" s="31"/>
      <c r="LK201" s="31"/>
      <c r="LL201" s="31"/>
      <c r="LM201" s="31"/>
      <c r="LN201" s="31"/>
      <c r="LO201" s="31"/>
      <c r="LP201" s="31"/>
      <c r="LQ201" s="31"/>
      <c r="LR201" s="31"/>
      <c r="LS201" s="31"/>
      <c r="LT201" s="31"/>
      <c r="LU201" s="31"/>
      <c r="LV201" s="31"/>
      <c r="LW201" s="31"/>
      <c r="LX201" s="31"/>
      <c r="LY201" s="31"/>
      <c r="LZ201" s="31"/>
      <c r="MA201" s="31"/>
      <c r="MB201" s="31"/>
      <c r="MC201" s="31"/>
      <c r="MD201" s="31"/>
      <c r="ME201" s="31"/>
      <c r="MF201" s="31"/>
      <c r="MG201" s="31"/>
      <c r="MH201" s="31"/>
      <c r="MI201" s="31"/>
      <c r="MJ201" s="31"/>
      <c r="MK201" s="31"/>
      <c r="ML201" s="31"/>
      <c r="MM201" s="31"/>
      <c r="MN201" s="31"/>
      <c r="MO201" s="31"/>
      <c r="MP201" s="31"/>
      <c r="MQ201" s="31"/>
      <c r="MR201" s="31"/>
      <c r="MS201" s="31"/>
      <c r="MT201" s="31"/>
      <c r="MU201" s="31"/>
      <c r="MV201" s="31"/>
      <c r="MW201" s="31"/>
      <c r="MX201" s="31"/>
      <c r="MY201" s="31"/>
      <c r="MZ201" s="31"/>
      <c r="NA201" s="31"/>
      <c r="NB201" s="31"/>
      <c r="NC201" s="31"/>
      <c r="ND201" s="31"/>
      <c r="NE201" s="31"/>
      <c r="NF201" s="31"/>
      <c r="NG201" s="31"/>
      <c r="NH201" s="31"/>
      <c r="NI201" s="31"/>
      <c r="NJ201" s="31"/>
      <c r="NK201" s="31"/>
      <c r="NL201" s="31"/>
      <c r="NM201" s="31"/>
      <c r="NN201" s="31"/>
      <c r="NO201" s="31"/>
      <c r="NP201" s="31"/>
      <c r="NQ201" s="31"/>
      <c r="NR201" s="31"/>
      <c r="NS201" s="31"/>
      <c r="NT201" s="31"/>
      <c r="NU201" s="31"/>
      <c r="NV201" s="31"/>
      <c r="NW201" s="31"/>
      <c r="NX201" s="31"/>
      <c r="NY201" s="31"/>
      <c r="NZ201" s="31"/>
      <c r="OA201" s="31"/>
      <c r="OB201" s="31"/>
      <c r="OC201" s="31"/>
      <c r="OD201" s="31"/>
      <c r="OE201" s="31"/>
      <c r="OF201" s="31"/>
      <c r="OG201" s="31"/>
      <c r="OH201" s="31"/>
      <c r="OI201" s="31"/>
      <c r="OJ201" s="31"/>
      <c r="OK201" s="31"/>
      <c r="OL201" s="31"/>
      <c r="OM201" s="31"/>
      <c r="ON201" s="31"/>
      <c r="OO201" s="31"/>
      <c r="OP201" s="31"/>
      <c r="OQ201" s="31"/>
      <c r="OR201" s="31"/>
      <c r="OS201" s="31"/>
      <c r="OT201" s="31"/>
      <c r="OU201" s="31"/>
      <c r="OV201" s="31"/>
      <c r="OW201" s="31"/>
      <c r="OX201" s="31"/>
      <c r="OY201" s="31"/>
      <c r="OZ201" s="31"/>
      <c r="PA201" s="31"/>
      <c r="PB201" s="31"/>
      <c r="PC201" s="31"/>
      <c r="PD201" s="31"/>
      <c r="PE201" s="31"/>
      <c r="PF201" s="31"/>
      <c r="PG201" s="31"/>
      <c r="PH201" s="31"/>
      <c r="PI201" s="31"/>
      <c r="PJ201" s="31"/>
      <c r="PK201" s="31"/>
      <c r="PL201" s="31"/>
      <c r="PM201" s="31"/>
      <c r="PN201" s="31"/>
      <c r="PO201" s="31"/>
      <c r="PP201" s="31"/>
      <c r="PQ201" s="31"/>
      <c r="PR201" s="31"/>
      <c r="PS201" s="31"/>
      <c r="PT201" s="31"/>
      <c r="PU201" s="31"/>
      <c r="PV201" s="31"/>
      <c r="PW201" s="31"/>
      <c r="PX201" s="31"/>
      <c r="PY201" s="31"/>
      <c r="PZ201" s="31"/>
      <c r="QA201" s="31"/>
      <c r="QB201" s="31"/>
      <c r="QC201" s="31"/>
      <c r="QD201" s="31"/>
      <c r="QE201" s="31"/>
      <c r="QF201" s="31"/>
      <c r="QG201" s="31"/>
      <c r="QH201" s="31"/>
      <c r="QI201" s="31"/>
      <c r="QJ201" s="31"/>
      <c r="QK201" s="31"/>
      <c r="QL201" s="31"/>
      <c r="QM201" s="31"/>
      <c r="QN201" s="31"/>
      <c r="QO201" s="31"/>
      <c r="QP201" s="31"/>
      <c r="QQ201" s="31"/>
      <c r="QR201" s="31"/>
      <c r="QS201" s="31"/>
      <c r="QT201" s="31"/>
      <c r="QU201" s="31"/>
      <c r="QV201" s="31"/>
      <c r="QW201" s="31"/>
      <c r="QX201" s="31"/>
      <c r="QY201" s="31"/>
      <c r="QZ201" s="31"/>
      <c r="RA201" s="31"/>
      <c r="RB201" s="31"/>
      <c r="RC201" s="31"/>
      <c r="RD201" s="31"/>
      <c r="RE201" s="31"/>
      <c r="RF201" s="31"/>
      <c r="RG201" s="31"/>
      <c r="RH201" s="31"/>
      <c r="RI201" s="31"/>
      <c r="RJ201" s="31"/>
      <c r="RK201" s="31"/>
      <c r="RL201" s="31"/>
      <c r="RM201" s="31"/>
      <c r="RN201" s="31"/>
      <c r="RO201" s="31"/>
      <c r="RP201" s="31"/>
      <c r="RQ201" s="31"/>
      <c r="RR201" s="31"/>
      <c r="RS201" s="31"/>
      <c r="RT201" s="31"/>
      <c r="RU201" s="31"/>
      <c r="RV201" s="31"/>
      <c r="RW201" s="31"/>
      <c r="RX201" s="31"/>
      <c r="RY201" s="31"/>
      <c r="RZ201" s="31"/>
      <c r="SA201" s="31"/>
      <c r="SB201" s="31"/>
      <c r="SC201" s="31"/>
      <c r="SD201" s="31"/>
      <c r="SE201" s="31"/>
      <c r="SF201" s="31"/>
      <c r="SG201" s="31"/>
      <c r="SH201" s="31"/>
      <c r="SI201" s="31"/>
      <c r="SJ201" s="31"/>
      <c r="SK201" s="31"/>
      <c r="SL201" s="31"/>
      <c r="SM201" s="31"/>
      <c r="SN201" s="31"/>
      <c r="SO201" s="31"/>
      <c r="SP201" s="31"/>
      <c r="SQ201" s="31"/>
      <c r="SR201" s="31"/>
      <c r="SS201" s="31"/>
      <c r="ST201" s="31"/>
      <c r="SU201" s="31"/>
      <c r="SV201" s="31"/>
      <c r="SW201" s="31"/>
      <c r="SX201" s="31"/>
      <c r="SY201" s="31"/>
      <c r="SZ201" s="31"/>
      <c r="TA201" s="31"/>
      <c r="TB201" s="31"/>
      <c r="TC201" s="31"/>
      <c r="TD201" s="31"/>
      <c r="TE201" s="31"/>
      <c r="TF201" s="31"/>
      <c r="TG201" s="31"/>
      <c r="TH201" s="31"/>
      <c r="TI201" s="31"/>
      <c r="TJ201" s="31"/>
      <c r="TK201" s="31"/>
      <c r="TL201" s="31"/>
      <c r="TM201" s="31"/>
      <c r="TN201" s="31"/>
      <c r="TO201" s="31"/>
      <c r="TP201" s="31"/>
      <c r="TQ201" s="31"/>
      <c r="TR201" s="31"/>
      <c r="TS201" s="31"/>
      <c r="TT201" s="31"/>
      <c r="TU201" s="31"/>
      <c r="TV201" s="31"/>
      <c r="TW201" s="31"/>
      <c r="TX201" s="31"/>
      <c r="TY201" s="31"/>
      <c r="TZ201" s="31"/>
      <c r="UA201" s="31"/>
      <c r="UB201" s="31"/>
      <c r="UC201" s="31"/>
      <c r="UD201" s="31"/>
      <c r="UE201" s="31"/>
      <c r="UF201" s="31"/>
      <c r="UG201" s="33"/>
    </row>
    <row r="202" spans="1:553" ht="126" customHeight="1">
      <c r="A202" s="356" t="s">
        <v>15</v>
      </c>
      <c r="B202" s="356"/>
      <c r="C202" s="384" t="s">
        <v>69</v>
      </c>
      <c r="D202" s="376" t="s">
        <v>20</v>
      </c>
      <c r="E202" s="376" t="s">
        <v>229</v>
      </c>
      <c r="F202" s="385">
        <v>1</v>
      </c>
      <c r="G202" s="386" t="s">
        <v>935</v>
      </c>
      <c r="H202" s="441">
        <v>25.5</v>
      </c>
      <c r="I202" s="490">
        <v>25.5</v>
      </c>
      <c r="J202" s="477">
        <v>55000</v>
      </c>
      <c r="K202" s="388"/>
      <c r="L202" s="366">
        <f t="shared" si="41"/>
        <v>1402500</v>
      </c>
      <c r="M202" s="366"/>
      <c r="N202" s="366"/>
      <c r="O202" s="366"/>
      <c r="P202" s="366"/>
      <c r="Q202" s="1036" t="s">
        <v>224</v>
      </c>
      <c r="R202" s="1452"/>
      <c r="S202" s="308"/>
      <c r="T202" s="303"/>
      <c r="U202" s="306"/>
      <c r="V202" s="307"/>
      <c r="W202" s="306"/>
      <c r="X202" s="306">
        <f t="shared" si="42"/>
        <v>25.5</v>
      </c>
      <c r="Y202" s="306"/>
      <c r="Z202" s="306"/>
      <c r="AA202" s="306"/>
      <c r="AB202" s="306"/>
      <c r="AC202" s="463"/>
      <c r="AD202" s="452"/>
      <c r="AE202" s="452"/>
      <c r="AF202" s="452"/>
      <c r="AG202" s="452"/>
      <c r="AH202" s="452"/>
      <c r="AI202" s="452"/>
      <c r="AJ202" s="452"/>
      <c r="AK202" s="452"/>
      <c r="AL202" s="106"/>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c r="CJ202" s="31"/>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31"/>
      <c r="DQ202" s="31"/>
      <c r="DR202" s="31"/>
      <c r="DS202" s="31"/>
      <c r="DT202" s="31"/>
      <c r="DU202" s="31"/>
      <c r="DV202" s="31"/>
      <c r="DW202" s="31"/>
      <c r="DX202" s="31"/>
      <c r="DY202" s="31"/>
      <c r="DZ202" s="31"/>
      <c r="EA202" s="31"/>
      <c r="EB202" s="31"/>
      <c r="EC202" s="31"/>
      <c r="ED202" s="31"/>
      <c r="EE202" s="31"/>
      <c r="EF202" s="31"/>
      <c r="EG202" s="31"/>
      <c r="EH202" s="31"/>
      <c r="EI202" s="31"/>
      <c r="EJ202" s="31"/>
      <c r="EK202" s="31"/>
      <c r="EL202" s="31"/>
      <c r="EM202" s="31"/>
      <c r="EN202" s="31"/>
      <c r="EO202" s="31"/>
      <c r="EP202" s="31"/>
      <c r="EQ202" s="31"/>
      <c r="ER202" s="31"/>
      <c r="ES202" s="31"/>
      <c r="ET202" s="31"/>
      <c r="EU202" s="31"/>
      <c r="EV202" s="31"/>
      <c r="EW202" s="31"/>
      <c r="EX202" s="31"/>
      <c r="EY202" s="31"/>
      <c r="EZ202" s="31"/>
      <c r="FA202" s="31"/>
      <c r="FB202" s="31"/>
      <c r="FC202" s="31"/>
      <c r="FD202" s="31"/>
      <c r="FE202" s="31"/>
      <c r="FF202" s="31"/>
      <c r="FG202" s="31"/>
      <c r="FH202" s="31"/>
      <c r="FI202" s="31"/>
      <c r="FJ202" s="31"/>
      <c r="FK202" s="31"/>
      <c r="FL202" s="31"/>
      <c r="FM202" s="31"/>
      <c r="FN202" s="31"/>
      <c r="FO202" s="31"/>
      <c r="FP202" s="31"/>
      <c r="FQ202" s="31"/>
      <c r="FR202" s="31"/>
      <c r="FS202" s="31"/>
      <c r="FT202" s="31"/>
      <c r="FU202" s="31"/>
      <c r="FV202" s="31"/>
      <c r="FW202" s="31"/>
      <c r="FX202" s="31"/>
      <c r="FY202" s="31"/>
      <c r="FZ202" s="31"/>
      <c r="GA202" s="31"/>
      <c r="GB202" s="31"/>
      <c r="GC202" s="31"/>
      <c r="GD202" s="31"/>
      <c r="GE202" s="31"/>
      <c r="GF202" s="31"/>
      <c r="GG202" s="31"/>
      <c r="GH202" s="31"/>
      <c r="GI202" s="31"/>
      <c r="GJ202" s="31"/>
      <c r="GK202" s="31"/>
      <c r="GL202" s="31"/>
      <c r="GM202" s="31"/>
      <c r="GN202" s="31"/>
      <c r="GO202" s="31"/>
      <c r="GP202" s="31"/>
      <c r="GQ202" s="31"/>
      <c r="GR202" s="31"/>
      <c r="GS202" s="31"/>
      <c r="GT202" s="31"/>
      <c r="GU202" s="31"/>
      <c r="GV202" s="31"/>
      <c r="GW202" s="31"/>
      <c r="GX202" s="31"/>
      <c r="GY202" s="31"/>
      <c r="GZ202" s="31"/>
      <c r="HA202" s="31"/>
      <c r="HB202" s="31"/>
      <c r="HC202" s="31"/>
      <c r="HD202" s="31"/>
      <c r="HE202" s="31"/>
      <c r="HF202" s="31"/>
      <c r="HG202" s="31"/>
      <c r="HH202" s="31"/>
      <c r="HI202" s="31"/>
      <c r="HJ202" s="31"/>
      <c r="HK202" s="31"/>
      <c r="HL202" s="31"/>
      <c r="HM202" s="31"/>
      <c r="HN202" s="31"/>
      <c r="HO202" s="31"/>
      <c r="HP202" s="31"/>
      <c r="HQ202" s="31"/>
      <c r="HR202" s="31"/>
      <c r="HS202" s="31"/>
      <c r="HT202" s="31"/>
      <c r="HU202" s="31"/>
      <c r="HV202" s="31"/>
      <c r="HW202" s="31"/>
      <c r="HX202" s="31"/>
      <c r="HY202" s="31"/>
      <c r="HZ202" s="31"/>
      <c r="IA202" s="31"/>
      <c r="IB202" s="31"/>
      <c r="IC202" s="31"/>
      <c r="ID202" s="31"/>
      <c r="IE202" s="31"/>
      <c r="IF202" s="31"/>
      <c r="IG202" s="31"/>
      <c r="IH202" s="31"/>
      <c r="II202" s="31"/>
      <c r="IJ202" s="31"/>
      <c r="IK202" s="31"/>
      <c r="IL202" s="31"/>
      <c r="IM202" s="31"/>
      <c r="IN202" s="31"/>
      <c r="IO202" s="31"/>
      <c r="IP202" s="31"/>
      <c r="IQ202" s="31"/>
      <c r="IR202" s="31"/>
      <c r="IS202" s="31"/>
      <c r="IT202" s="31"/>
      <c r="IU202" s="31"/>
      <c r="IV202" s="31"/>
      <c r="IW202" s="31"/>
      <c r="IX202" s="31"/>
      <c r="IY202" s="31"/>
      <c r="IZ202" s="31"/>
      <c r="JA202" s="31"/>
      <c r="JB202" s="31"/>
      <c r="JC202" s="31"/>
      <c r="JD202" s="31"/>
      <c r="JE202" s="31"/>
      <c r="JF202" s="31"/>
      <c r="JG202" s="31"/>
      <c r="JH202" s="31"/>
      <c r="JI202" s="31"/>
      <c r="JJ202" s="31"/>
      <c r="JK202" s="31"/>
      <c r="JL202" s="31"/>
      <c r="JM202" s="31"/>
      <c r="JN202" s="31"/>
      <c r="JO202" s="31"/>
      <c r="JP202" s="31"/>
      <c r="JQ202" s="31"/>
      <c r="JR202" s="31"/>
      <c r="JS202" s="31"/>
      <c r="JT202" s="31"/>
      <c r="JU202" s="31"/>
      <c r="JV202" s="31"/>
      <c r="JW202" s="31"/>
      <c r="JX202" s="31"/>
      <c r="JY202" s="31"/>
      <c r="JZ202" s="31"/>
      <c r="KA202" s="31"/>
      <c r="KB202" s="31"/>
      <c r="KC202" s="31"/>
      <c r="KD202" s="31"/>
      <c r="KE202" s="31"/>
      <c r="KF202" s="31"/>
      <c r="KG202" s="31"/>
      <c r="KH202" s="31"/>
      <c r="KI202" s="31"/>
      <c r="KJ202" s="31"/>
      <c r="KK202" s="31"/>
      <c r="KL202" s="31"/>
      <c r="KM202" s="31"/>
      <c r="KN202" s="31"/>
      <c r="KO202" s="31"/>
      <c r="KP202" s="31"/>
      <c r="KQ202" s="31"/>
      <c r="KR202" s="31"/>
      <c r="KS202" s="31"/>
      <c r="KT202" s="31"/>
      <c r="KU202" s="31"/>
      <c r="KV202" s="31"/>
      <c r="KW202" s="31"/>
      <c r="KX202" s="31"/>
      <c r="KY202" s="31"/>
      <c r="KZ202" s="31"/>
      <c r="LA202" s="31"/>
      <c r="LB202" s="31"/>
      <c r="LC202" s="31"/>
      <c r="LD202" s="31"/>
      <c r="LE202" s="31"/>
      <c r="LF202" s="31"/>
      <c r="LG202" s="31"/>
      <c r="LH202" s="31"/>
      <c r="LI202" s="31"/>
      <c r="LJ202" s="31"/>
      <c r="LK202" s="31"/>
      <c r="LL202" s="31"/>
      <c r="LM202" s="31"/>
      <c r="LN202" s="31"/>
      <c r="LO202" s="31"/>
      <c r="LP202" s="31"/>
      <c r="LQ202" s="31"/>
      <c r="LR202" s="31"/>
      <c r="LS202" s="31"/>
      <c r="LT202" s="31"/>
      <c r="LU202" s="31"/>
      <c r="LV202" s="31"/>
      <c r="LW202" s="31"/>
      <c r="LX202" s="31"/>
      <c r="LY202" s="31"/>
      <c r="LZ202" s="31"/>
      <c r="MA202" s="31"/>
      <c r="MB202" s="31"/>
      <c r="MC202" s="31"/>
      <c r="MD202" s="31"/>
      <c r="ME202" s="31"/>
      <c r="MF202" s="31"/>
      <c r="MG202" s="31"/>
      <c r="MH202" s="31"/>
      <c r="MI202" s="31"/>
      <c r="MJ202" s="31"/>
      <c r="MK202" s="31"/>
      <c r="ML202" s="31"/>
      <c r="MM202" s="31"/>
      <c r="MN202" s="31"/>
      <c r="MO202" s="31"/>
      <c r="MP202" s="31"/>
      <c r="MQ202" s="31"/>
      <c r="MR202" s="31"/>
      <c r="MS202" s="31"/>
      <c r="MT202" s="31"/>
      <c r="MU202" s="31"/>
      <c r="MV202" s="31"/>
      <c r="MW202" s="31"/>
      <c r="MX202" s="31"/>
      <c r="MY202" s="31"/>
      <c r="MZ202" s="31"/>
      <c r="NA202" s="31"/>
      <c r="NB202" s="31"/>
      <c r="NC202" s="31"/>
      <c r="ND202" s="31"/>
      <c r="NE202" s="31"/>
      <c r="NF202" s="31"/>
      <c r="NG202" s="31"/>
      <c r="NH202" s="31"/>
      <c r="NI202" s="31"/>
      <c r="NJ202" s="31"/>
      <c r="NK202" s="31"/>
      <c r="NL202" s="31"/>
      <c r="NM202" s="31"/>
      <c r="NN202" s="31"/>
      <c r="NO202" s="31"/>
      <c r="NP202" s="31"/>
      <c r="NQ202" s="31"/>
      <c r="NR202" s="31"/>
      <c r="NS202" s="31"/>
      <c r="NT202" s="31"/>
      <c r="NU202" s="31"/>
      <c r="NV202" s="31"/>
      <c r="NW202" s="31"/>
      <c r="NX202" s="31"/>
      <c r="NY202" s="31"/>
      <c r="NZ202" s="31"/>
      <c r="OA202" s="31"/>
      <c r="OB202" s="31"/>
      <c r="OC202" s="31"/>
      <c r="OD202" s="31"/>
      <c r="OE202" s="31"/>
      <c r="OF202" s="31"/>
      <c r="OG202" s="31"/>
      <c r="OH202" s="31"/>
      <c r="OI202" s="31"/>
      <c r="OJ202" s="31"/>
      <c r="OK202" s="31"/>
      <c r="OL202" s="31"/>
      <c r="OM202" s="31"/>
      <c r="ON202" s="31"/>
      <c r="OO202" s="31"/>
      <c r="OP202" s="31"/>
      <c r="OQ202" s="31"/>
      <c r="OR202" s="31"/>
      <c r="OS202" s="31"/>
      <c r="OT202" s="31"/>
      <c r="OU202" s="31"/>
      <c r="OV202" s="31"/>
      <c r="OW202" s="31"/>
      <c r="OX202" s="31"/>
      <c r="OY202" s="31"/>
      <c r="OZ202" s="31"/>
      <c r="PA202" s="31"/>
      <c r="PB202" s="31"/>
      <c r="PC202" s="31"/>
      <c r="PD202" s="31"/>
      <c r="PE202" s="31"/>
      <c r="PF202" s="31"/>
      <c r="PG202" s="31"/>
      <c r="PH202" s="31"/>
      <c r="PI202" s="31"/>
      <c r="PJ202" s="31"/>
      <c r="PK202" s="31"/>
      <c r="PL202" s="31"/>
      <c r="PM202" s="31"/>
      <c r="PN202" s="31"/>
      <c r="PO202" s="31"/>
      <c r="PP202" s="31"/>
      <c r="PQ202" s="31"/>
      <c r="PR202" s="31"/>
      <c r="PS202" s="31"/>
      <c r="PT202" s="31"/>
      <c r="PU202" s="31"/>
      <c r="PV202" s="31"/>
      <c r="PW202" s="31"/>
      <c r="PX202" s="31"/>
      <c r="PY202" s="31"/>
      <c r="PZ202" s="31"/>
      <c r="QA202" s="31"/>
      <c r="QB202" s="31"/>
      <c r="QC202" s="31"/>
      <c r="QD202" s="31"/>
      <c r="QE202" s="31"/>
      <c r="QF202" s="31"/>
      <c r="QG202" s="31"/>
      <c r="QH202" s="31"/>
      <c r="QI202" s="31"/>
      <c r="QJ202" s="31"/>
      <c r="QK202" s="31"/>
      <c r="QL202" s="31"/>
      <c r="QM202" s="31"/>
      <c r="QN202" s="31"/>
      <c r="QO202" s="31"/>
      <c r="QP202" s="31"/>
      <c r="QQ202" s="31"/>
      <c r="QR202" s="31"/>
      <c r="QS202" s="31"/>
      <c r="QT202" s="31"/>
      <c r="QU202" s="31"/>
      <c r="QV202" s="31"/>
      <c r="QW202" s="31"/>
      <c r="QX202" s="31"/>
      <c r="QY202" s="31"/>
      <c r="QZ202" s="31"/>
      <c r="RA202" s="31"/>
      <c r="RB202" s="31"/>
      <c r="RC202" s="31"/>
      <c r="RD202" s="31"/>
      <c r="RE202" s="31"/>
      <c r="RF202" s="31"/>
      <c r="RG202" s="31"/>
      <c r="RH202" s="31"/>
      <c r="RI202" s="31"/>
      <c r="RJ202" s="31"/>
      <c r="RK202" s="31"/>
      <c r="RL202" s="31"/>
      <c r="RM202" s="31"/>
      <c r="RN202" s="31"/>
      <c r="RO202" s="31"/>
      <c r="RP202" s="31"/>
      <c r="RQ202" s="31"/>
      <c r="RR202" s="31"/>
      <c r="RS202" s="31"/>
      <c r="RT202" s="31"/>
      <c r="RU202" s="31"/>
      <c r="RV202" s="31"/>
      <c r="RW202" s="31"/>
      <c r="RX202" s="31"/>
      <c r="RY202" s="31"/>
      <c r="RZ202" s="31"/>
      <c r="SA202" s="31"/>
      <c r="SB202" s="31"/>
      <c r="SC202" s="31"/>
      <c r="SD202" s="31"/>
      <c r="SE202" s="31"/>
      <c r="SF202" s="31"/>
      <c r="SG202" s="31"/>
      <c r="SH202" s="31"/>
      <c r="SI202" s="31"/>
      <c r="SJ202" s="31"/>
      <c r="SK202" s="31"/>
      <c r="SL202" s="31"/>
      <c r="SM202" s="31"/>
      <c r="SN202" s="31"/>
      <c r="SO202" s="31"/>
      <c r="SP202" s="31"/>
      <c r="SQ202" s="31"/>
      <c r="SR202" s="31"/>
      <c r="SS202" s="31"/>
      <c r="ST202" s="31"/>
      <c r="SU202" s="31"/>
      <c r="SV202" s="31"/>
      <c r="SW202" s="31"/>
      <c r="SX202" s="31"/>
      <c r="SY202" s="31"/>
      <c r="SZ202" s="31"/>
      <c r="TA202" s="31"/>
      <c r="TB202" s="31"/>
      <c r="TC202" s="31"/>
      <c r="TD202" s="31"/>
      <c r="TE202" s="31"/>
      <c r="TF202" s="31"/>
      <c r="TG202" s="31"/>
      <c r="TH202" s="31"/>
      <c r="TI202" s="31"/>
      <c r="TJ202" s="31"/>
      <c r="TK202" s="31"/>
      <c r="TL202" s="31"/>
      <c r="TM202" s="31"/>
      <c r="TN202" s="31"/>
      <c r="TO202" s="31"/>
      <c r="TP202" s="31"/>
      <c r="TQ202" s="31"/>
      <c r="TR202" s="31"/>
      <c r="TS202" s="31"/>
      <c r="TT202" s="31"/>
      <c r="TU202" s="31"/>
      <c r="TV202" s="31"/>
      <c r="TW202" s="31"/>
      <c r="TX202" s="31"/>
      <c r="TY202" s="31"/>
      <c r="TZ202" s="31"/>
      <c r="UA202" s="31"/>
      <c r="UB202" s="31"/>
      <c r="UC202" s="31"/>
      <c r="UD202" s="31"/>
      <c r="UE202" s="31"/>
      <c r="UF202" s="31"/>
      <c r="UG202" s="33"/>
    </row>
    <row r="203" spans="1:553" ht="126" customHeight="1">
      <c r="A203" s="356" t="s">
        <v>15</v>
      </c>
      <c r="B203" s="356"/>
      <c r="C203" s="384" t="s">
        <v>69</v>
      </c>
      <c r="D203" s="376" t="s">
        <v>20</v>
      </c>
      <c r="E203" s="376" t="s">
        <v>230</v>
      </c>
      <c r="F203" s="385">
        <v>1</v>
      </c>
      <c r="G203" s="386" t="s">
        <v>935</v>
      </c>
      <c r="H203" s="441">
        <v>52.8</v>
      </c>
      <c r="I203" s="490">
        <v>52.8</v>
      </c>
      <c r="J203" s="477">
        <v>55000</v>
      </c>
      <c r="K203" s="388"/>
      <c r="L203" s="366">
        <f t="shared" si="41"/>
        <v>2904000</v>
      </c>
      <c r="M203" s="366"/>
      <c r="N203" s="366"/>
      <c r="O203" s="366"/>
      <c r="P203" s="366"/>
      <c r="Q203" s="1036" t="s">
        <v>224</v>
      </c>
      <c r="R203" s="1452"/>
      <c r="S203" s="308"/>
      <c r="T203" s="303"/>
      <c r="U203" s="306"/>
      <c r="V203" s="307"/>
      <c r="W203" s="306"/>
      <c r="X203" s="306">
        <f t="shared" si="42"/>
        <v>52.8</v>
      </c>
      <c r="Y203" s="306"/>
      <c r="Z203" s="306"/>
      <c r="AA203" s="306"/>
      <c r="AB203" s="306"/>
      <c r="AC203" s="463"/>
      <c r="AD203" s="452"/>
      <c r="AE203" s="452"/>
      <c r="AF203" s="452"/>
      <c r="AG203" s="452"/>
      <c r="AH203" s="452"/>
      <c r="AI203" s="452"/>
      <c r="AJ203" s="452"/>
      <c r="AK203" s="452"/>
      <c r="AL203" s="106"/>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c r="CH203" s="31"/>
      <c r="CI203" s="31"/>
      <c r="CJ203" s="31"/>
      <c r="CK203" s="31"/>
      <c r="CL203" s="31"/>
      <c r="CM203" s="31"/>
      <c r="CN203" s="31"/>
      <c r="CO203" s="31"/>
      <c r="CP203" s="31"/>
      <c r="CQ203" s="31"/>
      <c r="CR203" s="31"/>
      <c r="CS203" s="31"/>
      <c r="CT203" s="3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31"/>
      <c r="DQ203" s="31"/>
      <c r="DR203" s="31"/>
      <c r="DS203" s="31"/>
      <c r="DT203" s="31"/>
      <c r="DU203" s="31"/>
      <c r="DV203" s="31"/>
      <c r="DW203" s="31"/>
      <c r="DX203" s="31"/>
      <c r="DY203" s="31"/>
      <c r="DZ203" s="31"/>
      <c r="EA203" s="31"/>
      <c r="EB203" s="31"/>
      <c r="EC203" s="31"/>
      <c r="ED203" s="31"/>
      <c r="EE203" s="31"/>
      <c r="EF203" s="31"/>
      <c r="EG203" s="31"/>
      <c r="EH203" s="31"/>
      <c r="EI203" s="31"/>
      <c r="EJ203" s="31"/>
      <c r="EK203" s="31"/>
      <c r="EL203" s="31"/>
      <c r="EM203" s="31"/>
      <c r="EN203" s="31"/>
      <c r="EO203" s="31"/>
      <c r="EP203" s="31"/>
      <c r="EQ203" s="31"/>
      <c r="ER203" s="31"/>
      <c r="ES203" s="31"/>
      <c r="ET203" s="31"/>
      <c r="EU203" s="31"/>
      <c r="EV203" s="31"/>
      <c r="EW203" s="31"/>
      <c r="EX203" s="31"/>
      <c r="EY203" s="31"/>
      <c r="EZ203" s="31"/>
      <c r="FA203" s="31"/>
      <c r="FB203" s="31"/>
      <c r="FC203" s="31"/>
      <c r="FD203" s="31"/>
      <c r="FE203" s="31"/>
      <c r="FF203" s="31"/>
      <c r="FG203" s="31"/>
      <c r="FH203" s="31"/>
      <c r="FI203" s="31"/>
      <c r="FJ203" s="31"/>
      <c r="FK203" s="31"/>
      <c r="FL203" s="31"/>
      <c r="FM203" s="31"/>
      <c r="FN203" s="31"/>
      <c r="FO203" s="31"/>
      <c r="FP203" s="31"/>
      <c r="FQ203" s="31"/>
      <c r="FR203" s="31"/>
      <c r="FS203" s="31"/>
      <c r="FT203" s="31"/>
      <c r="FU203" s="31"/>
      <c r="FV203" s="31"/>
      <c r="FW203" s="31"/>
      <c r="FX203" s="31"/>
      <c r="FY203" s="31"/>
      <c r="FZ203" s="31"/>
      <c r="GA203" s="31"/>
      <c r="GB203" s="31"/>
      <c r="GC203" s="31"/>
      <c r="GD203" s="31"/>
      <c r="GE203" s="31"/>
      <c r="GF203" s="31"/>
      <c r="GG203" s="31"/>
      <c r="GH203" s="31"/>
      <c r="GI203" s="31"/>
      <c r="GJ203" s="31"/>
      <c r="GK203" s="31"/>
      <c r="GL203" s="31"/>
      <c r="GM203" s="31"/>
      <c r="GN203" s="31"/>
      <c r="GO203" s="31"/>
      <c r="GP203" s="31"/>
      <c r="GQ203" s="31"/>
      <c r="GR203" s="31"/>
      <c r="GS203" s="31"/>
      <c r="GT203" s="31"/>
      <c r="GU203" s="31"/>
      <c r="GV203" s="31"/>
      <c r="GW203" s="31"/>
      <c r="GX203" s="31"/>
      <c r="GY203" s="31"/>
      <c r="GZ203" s="31"/>
      <c r="HA203" s="31"/>
      <c r="HB203" s="31"/>
      <c r="HC203" s="31"/>
      <c r="HD203" s="31"/>
      <c r="HE203" s="31"/>
      <c r="HF203" s="31"/>
      <c r="HG203" s="31"/>
      <c r="HH203" s="31"/>
      <c r="HI203" s="31"/>
      <c r="HJ203" s="31"/>
      <c r="HK203" s="31"/>
      <c r="HL203" s="31"/>
      <c r="HM203" s="31"/>
      <c r="HN203" s="31"/>
      <c r="HO203" s="31"/>
      <c r="HP203" s="31"/>
      <c r="HQ203" s="31"/>
      <c r="HR203" s="31"/>
      <c r="HS203" s="31"/>
      <c r="HT203" s="31"/>
      <c r="HU203" s="31"/>
      <c r="HV203" s="31"/>
      <c r="HW203" s="31"/>
      <c r="HX203" s="31"/>
      <c r="HY203" s="31"/>
      <c r="HZ203" s="31"/>
      <c r="IA203" s="31"/>
      <c r="IB203" s="31"/>
      <c r="IC203" s="31"/>
      <c r="ID203" s="31"/>
      <c r="IE203" s="31"/>
      <c r="IF203" s="31"/>
      <c r="IG203" s="31"/>
      <c r="IH203" s="31"/>
      <c r="II203" s="31"/>
      <c r="IJ203" s="31"/>
      <c r="IK203" s="31"/>
      <c r="IL203" s="31"/>
      <c r="IM203" s="31"/>
      <c r="IN203" s="31"/>
      <c r="IO203" s="31"/>
      <c r="IP203" s="31"/>
      <c r="IQ203" s="31"/>
      <c r="IR203" s="31"/>
      <c r="IS203" s="31"/>
      <c r="IT203" s="31"/>
      <c r="IU203" s="31"/>
      <c r="IV203" s="31"/>
      <c r="IW203" s="31"/>
      <c r="IX203" s="31"/>
      <c r="IY203" s="31"/>
      <c r="IZ203" s="31"/>
      <c r="JA203" s="31"/>
      <c r="JB203" s="31"/>
      <c r="JC203" s="31"/>
      <c r="JD203" s="31"/>
      <c r="JE203" s="31"/>
      <c r="JF203" s="31"/>
      <c r="JG203" s="31"/>
      <c r="JH203" s="31"/>
      <c r="JI203" s="31"/>
      <c r="JJ203" s="31"/>
      <c r="JK203" s="31"/>
      <c r="JL203" s="31"/>
      <c r="JM203" s="31"/>
      <c r="JN203" s="31"/>
      <c r="JO203" s="31"/>
      <c r="JP203" s="31"/>
      <c r="JQ203" s="31"/>
      <c r="JR203" s="31"/>
      <c r="JS203" s="31"/>
      <c r="JT203" s="31"/>
      <c r="JU203" s="31"/>
      <c r="JV203" s="31"/>
      <c r="JW203" s="31"/>
      <c r="JX203" s="31"/>
      <c r="JY203" s="31"/>
      <c r="JZ203" s="31"/>
      <c r="KA203" s="31"/>
      <c r="KB203" s="31"/>
      <c r="KC203" s="31"/>
      <c r="KD203" s="31"/>
      <c r="KE203" s="31"/>
      <c r="KF203" s="31"/>
      <c r="KG203" s="31"/>
      <c r="KH203" s="31"/>
      <c r="KI203" s="31"/>
      <c r="KJ203" s="31"/>
      <c r="KK203" s="31"/>
      <c r="KL203" s="31"/>
      <c r="KM203" s="31"/>
      <c r="KN203" s="31"/>
      <c r="KO203" s="31"/>
      <c r="KP203" s="31"/>
      <c r="KQ203" s="31"/>
      <c r="KR203" s="31"/>
      <c r="KS203" s="31"/>
      <c r="KT203" s="31"/>
      <c r="KU203" s="31"/>
      <c r="KV203" s="31"/>
      <c r="KW203" s="31"/>
      <c r="KX203" s="31"/>
      <c r="KY203" s="31"/>
      <c r="KZ203" s="31"/>
      <c r="LA203" s="31"/>
      <c r="LB203" s="31"/>
      <c r="LC203" s="31"/>
      <c r="LD203" s="31"/>
      <c r="LE203" s="31"/>
      <c r="LF203" s="31"/>
      <c r="LG203" s="31"/>
      <c r="LH203" s="31"/>
      <c r="LI203" s="31"/>
      <c r="LJ203" s="31"/>
      <c r="LK203" s="31"/>
      <c r="LL203" s="31"/>
      <c r="LM203" s="31"/>
      <c r="LN203" s="31"/>
      <c r="LO203" s="31"/>
      <c r="LP203" s="31"/>
      <c r="LQ203" s="31"/>
      <c r="LR203" s="31"/>
      <c r="LS203" s="31"/>
      <c r="LT203" s="31"/>
      <c r="LU203" s="31"/>
      <c r="LV203" s="31"/>
      <c r="LW203" s="31"/>
      <c r="LX203" s="31"/>
      <c r="LY203" s="31"/>
      <c r="LZ203" s="31"/>
      <c r="MA203" s="31"/>
      <c r="MB203" s="31"/>
      <c r="MC203" s="31"/>
      <c r="MD203" s="31"/>
      <c r="ME203" s="31"/>
      <c r="MF203" s="31"/>
      <c r="MG203" s="31"/>
      <c r="MH203" s="31"/>
      <c r="MI203" s="31"/>
      <c r="MJ203" s="31"/>
      <c r="MK203" s="31"/>
      <c r="ML203" s="31"/>
      <c r="MM203" s="31"/>
      <c r="MN203" s="31"/>
      <c r="MO203" s="31"/>
      <c r="MP203" s="31"/>
      <c r="MQ203" s="31"/>
      <c r="MR203" s="31"/>
      <c r="MS203" s="31"/>
      <c r="MT203" s="31"/>
      <c r="MU203" s="31"/>
      <c r="MV203" s="31"/>
      <c r="MW203" s="31"/>
      <c r="MX203" s="31"/>
      <c r="MY203" s="31"/>
      <c r="MZ203" s="31"/>
      <c r="NA203" s="31"/>
      <c r="NB203" s="31"/>
      <c r="NC203" s="31"/>
      <c r="ND203" s="31"/>
      <c r="NE203" s="31"/>
      <c r="NF203" s="31"/>
      <c r="NG203" s="31"/>
      <c r="NH203" s="31"/>
      <c r="NI203" s="31"/>
      <c r="NJ203" s="31"/>
      <c r="NK203" s="31"/>
      <c r="NL203" s="31"/>
      <c r="NM203" s="31"/>
      <c r="NN203" s="31"/>
      <c r="NO203" s="31"/>
      <c r="NP203" s="31"/>
      <c r="NQ203" s="31"/>
      <c r="NR203" s="31"/>
      <c r="NS203" s="31"/>
      <c r="NT203" s="31"/>
      <c r="NU203" s="31"/>
      <c r="NV203" s="31"/>
      <c r="NW203" s="31"/>
      <c r="NX203" s="31"/>
      <c r="NY203" s="31"/>
      <c r="NZ203" s="31"/>
      <c r="OA203" s="31"/>
      <c r="OB203" s="31"/>
      <c r="OC203" s="31"/>
      <c r="OD203" s="31"/>
      <c r="OE203" s="31"/>
      <c r="OF203" s="31"/>
      <c r="OG203" s="31"/>
      <c r="OH203" s="31"/>
      <c r="OI203" s="31"/>
      <c r="OJ203" s="31"/>
      <c r="OK203" s="31"/>
      <c r="OL203" s="31"/>
      <c r="OM203" s="31"/>
      <c r="ON203" s="31"/>
      <c r="OO203" s="31"/>
      <c r="OP203" s="31"/>
      <c r="OQ203" s="31"/>
      <c r="OR203" s="31"/>
      <c r="OS203" s="31"/>
      <c r="OT203" s="31"/>
      <c r="OU203" s="31"/>
      <c r="OV203" s="31"/>
      <c r="OW203" s="31"/>
      <c r="OX203" s="31"/>
      <c r="OY203" s="31"/>
      <c r="OZ203" s="31"/>
      <c r="PA203" s="31"/>
      <c r="PB203" s="31"/>
      <c r="PC203" s="31"/>
      <c r="PD203" s="31"/>
      <c r="PE203" s="31"/>
      <c r="PF203" s="31"/>
      <c r="PG203" s="31"/>
      <c r="PH203" s="31"/>
      <c r="PI203" s="31"/>
      <c r="PJ203" s="31"/>
      <c r="PK203" s="31"/>
      <c r="PL203" s="31"/>
      <c r="PM203" s="31"/>
      <c r="PN203" s="31"/>
      <c r="PO203" s="31"/>
      <c r="PP203" s="31"/>
      <c r="PQ203" s="31"/>
      <c r="PR203" s="31"/>
      <c r="PS203" s="31"/>
      <c r="PT203" s="31"/>
      <c r="PU203" s="31"/>
      <c r="PV203" s="31"/>
      <c r="PW203" s="31"/>
      <c r="PX203" s="31"/>
      <c r="PY203" s="31"/>
      <c r="PZ203" s="31"/>
      <c r="QA203" s="31"/>
      <c r="QB203" s="31"/>
      <c r="QC203" s="31"/>
      <c r="QD203" s="31"/>
      <c r="QE203" s="31"/>
      <c r="QF203" s="31"/>
      <c r="QG203" s="31"/>
      <c r="QH203" s="31"/>
      <c r="QI203" s="31"/>
      <c r="QJ203" s="31"/>
      <c r="QK203" s="31"/>
      <c r="QL203" s="31"/>
      <c r="QM203" s="31"/>
      <c r="QN203" s="31"/>
      <c r="QO203" s="31"/>
      <c r="QP203" s="31"/>
      <c r="QQ203" s="31"/>
      <c r="QR203" s="31"/>
      <c r="QS203" s="31"/>
      <c r="QT203" s="31"/>
      <c r="QU203" s="31"/>
      <c r="QV203" s="31"/>
      <c r="QW203" s="31"/>
      <c r="QX203" s="31"/>
      <c r="QY203" s="31"/>
      <c r="QZ203" s="31"/>
      <c r="RA203" s="31"/>
      <c r="RB203" s="31"/>
      <c r="RC203" s="31"/>
      <c r="RD203" s="31"/>
      <c r="RE203" s="31"/>
      <c r="RF203" s="31"/>
      <c r="RG203" s="31"/>
      <c r="RH203" s="31"/>
      <c r="RI203" s="31"/>
      <c r="RJ203" s="31"/>
      <c r="RK203" s="31"/>
      <c r="RL203" s="31"/>
      <c r="RM203" s="31"/>
      <c r="RN203" s="31"/>
      <c r="RO203" s="31"/>
      <c r="RP203" s="31"/>
      <c r="RQ203" s="31"/>
      <c r="RR203" s="31"/>
      <c r="RS203" s="31"/>
      <c r="RT203" s="31"/>
      <c r="RU203" s="31"/>
      <c r="RV203" s="31"/>
      <c r="RW203" s="31"/>
      <c r="RX203" s="31"/>
      <c r="RY203" s="31"/>
      <c r="RZ203" s="31"/>
      <c r="SA203" s="31"/>
      <c r="SB203" s="31"/>
      <c r="SC203" s="31"/>
      <c r="SD203" s="31"/>
      <c r="SE203" s="31"/>
      <c r="SF203" s="31"/>
      <c r="SG203" s="31"/>
      <c r="SH203" s="31"/>
      <c r="SI203" s="31"/>
      <c r="SJ203" s="31"/>
      <c r="SK203" s="31"/>
      <c r="SL203" s="31"/>
      <c r="SM203" s="31"/>
      <c r="SN203" s="31"/>
      <c r="SO203" s="31"/>
      <c r="SP203" s="31"/>
      <c r="SQ203" s="31"/>
      <c r="SR203" s="31"/>
      <c r="SS203" s="31"/>
      <c r="ST203" s="31"/>
      <c r="SU203" s="31"/>
      <c r="SV203" s="31"/>
      <c r="SW203" s="31"/>
      <c r="SX203" s="31"/>
      <c r="SY203" s="31"/>
      <c r="SZ203" s="31"/>
      <c r="TA203" s="31"/>
      <c r="TB203" s="31"/>
      <c r="TC203" s="31"/>
      <c r="TD203" s="31"/>
      <c r="TE203" s="31"/>
      <c r="TF203" s="31"/>
      <c r="TG203" s="31"/>
      <c r="TH203" s="31"/>
      <c r="TI203" s="31"/>
      <c r="TJ203" s="31"/>
      <c r="TK203" s="31"/>
      <c r="TL203" s="31"/>
      <c r="TM203" s="31"/>
      <c r="TN203" s="31"/>
      <c r="TO203" s="31"/>
      <c r="TP203" s="31"/>
      <c r="TQ203" s="31"/>
      <c r="TR203" s="31"/>
      <c r="TS203" s="31"/>
      <c r="TT203" s="31"/>
      <c r="TU203" s="31"/>
      <c r="TV203" s="31"/>
      <c r="TW203" s="31"/>
      <c r="TX203" s="31"/>
      <c r="TY203" s="31"/>
      <c r="TZ203" s="31"/>
      <c r="UA203" s="31"/>
      <c r="UB203" s="31"/>
      <c r="UC203" s="31"/>
      <c r="UD203" s="31"/>
      <c r="UE203" s="31"/>
      <c r="UF203" s="31"/>
      <c r="UG203" s="33"/>
    </row>
    <row r="204" spans="1:553" s="852" customFormat="1" ht="210.75" customHeight="1">
      <c r="A204" s="356" t="s">
        <v>15</v>
      </c>
      <c r="B204" s="356"/>
      <c r="C204" s="384" t="s">
        <v>69</v>
      </c>
      <c r="D204" s="376" t="s">
        <v>20</v>
      </c>
      <c r="E204" s="376" t="s">
        <v>231</v>
      </c>
      <c r="F204" s="385">
        <v>1</v>
      </c>
      <c r="G204" s="386" t="s">
        <v>935</v>
      </c>
      <c r="H204" s="441">
        <v>41.7</v>
      </c>
      <c r="I204" s="490">
        <v>41.7</v>
      </c>
      <c r="J204" s="477">
        <v>55000</v>
      </c>
      <c r="K204" s="388"/>
      <c r="L204" s="366">
        <f t="shared" si="41"/>
        <v>2293500</v>
      </c>
      <c r="M204" s="366"/>
      <c r="N204" s="366"/>
      <c r="O204" s="366"/>
      <c r="P204" s="366"/>
      <c r="Q204" s="1036" t="s">
        <v>224</v>
      </c>
      <c r="R204" s="1452"/>
      <c r="S204" s="308"/>
      <c r="T204" s="303"/>
      <c r="U204" s="306"/>
      <c r="V204" s="307"/>
      <c r="W204" s="306"/>
      <c r="X204" s="306">
        <f t="shared" si="42"/>
        <v>41.7</v>
      </c>
      <c r="Y204" s="306"/>
      <c r="Z204" s="306"/>
      <c r="AA204" s="306"/>
      <c r="AB204" s="306"/>
      <c r="AC204" s="463"/>
      <c r="AD204" s="452"/>
      <c r="AE204" s="452"/>
      <c r="AF204" s="452"/>
      <c r="AG204" s="452"/>
      <c r="AH204" s="452"/>
      <c r="AI204" s="452"/>
      <c r="AJ204" s="452"/>
      <c r="AK204" s="452"/>
      <c r="AL204" s="104"/>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c r="CP204" s="32"/>
      <c r="CQ204" s="32"/>
      <c r="CR204" s="32"/>
      <c r="CS204" s="32"/>
      <c r="CT204" s="32"/>
      <c r="CU204" s="32"/>
      <c r="CV204" s="32"/>
      <c r="CW204" s="32"/>
      <c r="CX204" s="32"/>
      <c r="CY204" s="32"/>
      <c r="CZ204" s="32"/>
      <c r="DA204" s="32"/>
      <c r="DB204" s="32"/>
      <c r="DC204" s="32"/>
      <c r="DD204" s="32"/>
      <c r="DE204" s="32"/>
      <c r="DF204" s="32"/>
      <c r="DG204" s="32"/>
      <c r="DH204" s="32"/>
      <c r="DI204" s="32"/>
      <c r="DJ204" s="32"/>
      <c r="DK204" s="32"/>
      <c r="DL204" s="32"/>
      <c r="DM204" s="32"/>
      <c r="DN204" s="32"/>
      <c r="DO204" s="32"/>
      <c r="DP204" s="32"/>
      <c r="DQ204" s="32"/>
      <c r="DR204" s="32"/>
      <c r="DS204" s="32"/>
      <c r="DT204" s="32"/>
      <c r="DU204" s="32"/>
      <c r="DV204" s="32"/>
      <c r="DW204" s="32"/>
      <c r="DX204" s="32"/>
      <c r="DY204" s="32"/>
      <c r="DZ204" s="32"/>
      <c r="EA204" s="32"/>
      <c r="EB204" s="32"/>
      <c r="EC204" s="32"/>
      <c r="ED204" s="32"/>
      <c r="EE204" s="32"/>
      <c r="EF204" s="32"/>
      <c r="EG204" s="32"/>
      <c r="EH204" s="32"/>
      <c r="EI204" s="32"/>
      <c r="EJ204" s="32"/>
      <c r="EK204" s="32"/>
      <c r="EL204" s="32"/>
      <c r="EM204" s="32"/>
      <c r="EN204" s="32"/>
      <c r="EO204" s="32"/>
      <c r="EP204" s="32"/>
      <c r="EQ204" s="32"/>
      <c r="ER204" s="32"/>
      <c r="ES204" s="32"/>
      <c r="ET204" s="32"/>
      <c r="EU204" s="32"/>
      <c r="EV204" s="32"/>
      <c r="EW204" s="32"/>
      <c r="EX204" s="32"/>
      <c r="EY204" s="32"/>
      <c r="EZ204" s="32"/>
      <c r="FA204" s="32"/>
      <c r="FB204" s="32"/>
      <c r="FC204" s="32"/>
      <c r="FD204" s="32"/>
      <c r="FE204" s="32"/>
      <c r="FF204" s="32"/>
      <c r="FG204" s="32"/>
      <c r="FH204" s="32"/>
      <c r="FI204" s="32"/>
      <c r="FJ204" s="32"/>
      <c r="FK204" s="32"/>
      <c r="FL204" s="32"/>
      <c r="FM204" s="32"/>
      <c r="FN204" s="32"/>
      <c r="FO204" s="32"/>
      <c r="FP204" s="32"/>
      <c r="FQ204" s="32"/>
      <c r="FR204" s="32"/>
      <c r="FS204" s="32"/>
      <c r="FT204" s="32"/>
      <c r="FU204" s="32"/>
      <c r="FV204" s="32"/>
      <c r="FW204" s="32"/>
      <c r="FX204" s="32"/>
      <c r="FY204" s="32"/>
      <c r="FZ204" s="32"/>
      <c r="GA204" s="32"/>
      <c r="GB204" s="32"/>
      <c r="GC204" s="32"/>
      <c r="GD204" s="32"/>
      <c r="GE204" s="32"/>
      <c r="GF204" s="32"/>
      <c r="GG204" s="32"/>
      <c r="GH204" s="32"/>
      <c r="GI204" s="32"/>
      <c r="GJ204" s="32"/>
      <c r="GK204" s="32"/>
      <c r="GL204" s="32"/>
      <c r="GM204" s="32"/>
      <c r="GN204" s="32"/>
      <c r="GO204" s="32"/>
      <c r="GP204" s="32"/>
      <c r="GQ204" s="32"/>
      <c r="GR204" s="32"/>
      <c r="GS204" s="32"/>
      <c r="GT204" s="32"/>
      <c r="GU204" s="32"/>
      <c r="GV204" s="32"/>
      <c r="GW204" s="32"/>
      <c r="GX204" s="32"/>
      <c r="GY204" s="32"/>
      <c r="GZ204" s="32"/>
      <c r="HA204" s="32"/>
      <c r="HB204" s="32"/>
      <c r="HC204" s="32"/>
      <c r="HD204" s="32"/>
      <c r="HE204" s="32"/>
      <c r="HF204" s="32"/>
      <c r="HG204" s="32"/>
      <c r="HH204" s="32"/>
      <c r="HI204" s="32"/>
      <c r="HJ204" s="32"/>
      <c r="HK204" s="32"/>
      <c r="HL204" s="32"/>
      <c r="HM204" s="32"/>
      <c r="HN204" s="32"/>
      <c r="HO204" s="32"/>
      <c r="HP204" s="32"/>
      <c r="HQ204" s="32"/>
      <c r="HR204" s="32"/>
      <c r="HS204" s="32"/>
      <c r="HT204" s="32"/>
      <c r="HU204" s="32"/>
      <c r="HV204" s="32"/>
      <c r="HW204" s="32"/>
      <c r="HX204" s="32"/>
      <c r="HY204" s="32"/>
      <c r="HZ204" s="32"/>
      <c r="IA204" s="32"/>
      <c r="IB204" s="32"/>
      <c r="IC204" s="32"/>
      <c r="ID204" s="32"/>
      <c r="IE204" s="32"/>
      <c r="IF204" s="32"/>
      <c r="IG204" s="32"/>
      <c r="IH204" s="32"/>
      <c r="II204" s="32"/>
      <c r="IJ204" s="32"/>
      <c r="IK204" s="32"/>
      <c r="IL204" s="32"/>
      <c r="IM204" s="32"/>
      <c r="IN204" s="32"/>
      <c r="IO204" s="32"/>
      <c r="IP204" s="32"/>
      <c r="IQ204" s="32"/>
      <c r="IR204" s="32"/>
      <c r="IS204" s="32"/>
      <c r="IT204" s="32"/>
      <c r="IU204" s="32"/>
      <c r="IV204" s="32"/>
      <c r="IW204" s="32"/>
      <c r="IX204" s="32"/>
      <c r="IY204" s="32"/>
      <c r="IZ204" s="32"/>
      <c r="JA204" s="32"/>
      <c r="JB204" s="32"/>
      <c r="JC204" s="32"/>
      <c r="JD204" s="32"/>
      <c r="JE204" s="32"/>
      <c r="JF204" s="32"/>
      <c r="JG204" s="32"/>
      <c r="JH204" s="32"/>
      <c r="JI204" s="32"/>
      <c r="JJ204" s="32"/>
      <c r="JK204" s="32"/>
      <c r="JL204" s="32"/>
      <c r="JM204" s="32"/>
      <c r="JN204" s="32"/>
      <c r="JO204" s="32"/>
      <c r="JP204" s="32"/>
      <c r="JQ204" s="32"/>
      <c r="JR204" s="32"/>
      <c r="JS204" s="32"/>
      <c r="JT204" s="32"/>
      <c r="JU204" s="32"/>
      <c r="JV204" s="32"/>
      <c r="JW204" s="32"/>
      <c r="JX204" s="32"/>
      <c r="JY204" s="32"/>
      <c r="JZ204" s="32"/>
      <c r="KA204" s="32"/>
      <c r="KB204" s="32"/>
      <c r="KC204" s="32"/>
      <c r="KD204" s="32"/>
      <c r="KE204" s="32"/>
      <c r="KF204" s="32"/>
      <c r="KG204" s="32"/>
      <c r="KH204" s="32"/>
      <c r="KI204" s="32"/>
      <c r="KJ204" s="32"/>
      <c r="KK204" s="32"/>
      <c r="KL204" s="32"/>
      <c r="KM204" s="32"/>
      <c r="KN204" s="32"/>
      <c r="KO204" s="32"/>
      <c r="KP204" s="32"/>
      <c r="KQ204" s="32"/>
      <c r="KR204" s="32"/>
      <c r="KS204" s="32"/>
      <c r="KT204" s="32"/>
      <c r="KU204" s="32"/>
      <c r="KV204" s="32"/>
      <c r="KW204" s="32"/>
      <c r="KX204" s="32"/>
      <c r="KY204" s="32"/>
      <c r="KZ204" s="32"/>
      <c r="LA204" s="32"/>
      <c r="LB204" s="32"/>
      <c r="LC204" s="32"/>
      <c r="LD204" s="32"/>
      <c r="LE204" s="32"/>
      <c r="LF204" s="32"/>
      <c r="LG204" s="32"/>
      <c r="LH204" s="32"/>
      <c r="LI204" s="32"/>
      <c r="LJ204" s="32"/>
      <c r="LK204" s="32"/>
      <c r="LL204" s="32"/>
      <c r="LM204" s="32"/>
      <c r="LN204" s="32"/>
      <c r="LO204" s="32"/>
      <c r="LP204" s="32"/>
      <c r="LQ204" s="32"/>
      <c r="LR204" s="32"/>
      <c r="LS204" s="32"/>
      <c r="LT204" s="32"/>
      <c r="LU204" s="32"/>
      <c r="LV204" s="32"/>
      <c r="LW204" s="32"/>
      <c r="LX204" s="32"/>
      <c r="LY204" s="32"/>
      <c r="LZ204" s="32"/>
      <c r="MA204" s="32"/>
      <c r="MB204" s="32"/>
      <c r="MC204" s="32"/>
      <c r="MD204" s="32"/>
      <c r="ME204" s="32"/>
      <c r="MF204" s="32"/>
      <c r="MG204" s="32"/>
      <c r="MH204" s="32"/>
      <c r="MI204" s="32"/>
      <c r="MJ204" s="32"/>
      <c r="MK204" s="32"/>
      <c r="ML204" s="32"/>
      <c r="MM204" s="32"/>
      <c r="MN204" s="32"/>
      <c r="MO204" s="32"/>
      <c r="MP204" s="32"/>
      <c r="MQ204" s="32"/>
      <c r="MR204" s="32"/>
      <c r="MS204" s="32"/>
      <c r="MT204" s="32"/>
      <c r="MU204" s="32"/>
      <c r="MV204" s="32"/>
      <c r="MW204" s="32"/>
      <c r="MX204" s="32"/>
      <c r="MY204" s="32"/>
      <c r="MZ204" s="32"/>
      <c r="NA204" s="32"/>
      <c r="NB204" s="32"/>
      <c r="NC204" s="32"/>
      <c r="ND204" s="32"/>
      <c r="NE204" s="32"/>
      <c r="NF204" s="32"/>
      <c r="NG204" s="32"/>
      <c r="NH204" s="32"/>
      <c r="NI204" s="32"/>
      <c r="NJ204" s="32"/>
      <c r="NK204" s="32"/>
      <c r="NL204" s="32"/>
      <c r="NM204" s="32"/>
      <c r="NN204" s="32"/>
      <c r="NO204" s="32"/>
      <c r="NP204" s="32"/>
      <c r="NQ204" s="32"/>
      <c r="NR204" s="32"/>
      <c r="NS204" s="32"/>
      <c r="NT204" s="32"/>
      <c r="NU204" s="32"/>
      <c r="NV204" s="32"/>
      <c r="NW204" s="32"/>
      <c r="NX204" s="32"/>
      <c r="NY204" s="32"/>
      <c r="NZ204" s="32"/>
      <c r="OA204" s="32"/>
      <c r="OB204" s="32"/>
      <c r="OC204" s="32"/>
      <c r="OD204" s="32"/>
      <c r="OE204" s="32"/>
      <c r="OF204" s="32"/>
      <c r="OG204" s="32"/>
      <c r="OH204" s="32"/>
      <c r="OI204" s="32"/>
      <c r="OJ204" s="32"/>
      <c r="OK204" s="32"/>
      <c r="OL204" s="32"/>
      <c r="OM204" s="32"/>
      <c r="ON204" s="32"/>
      <c r="OO204" s="32"/>
      <c r="OP204" s="32"/>
      <c r="OQ204" s="32"/>
      <c r="OR204" s="32"/>
      <c r="OS204" s="32"/>
      <c r="OT204" s="32"/>
      <c r="OU204" s="32"/>
      <c r="OV204" s="32"/>
      <c r="OW204" s="32"/>
      <c r="OX204" s="32"/>
      <c r="OY204" s="32"/>
      <c r="OZ204" s="32"/>
      <c r="PA204" s="32"/>
      <c r="PB204" s="32"/>
      <c r="PC204" s="32"/>
      <c r="PD204" s="32"/>
      <c r="PE204" s="32"/>
      <c r="PF204" s="32"/>
      <c r="PG204" s="32"/>
      <c r="PH204" s="32"/>
      <c r="PI204" s="32"/>
      <c r="PJ204" s="32"/>
      <c r="PK204" s="32"/>
      <c r="PL204" s="32"/>
      <c r="PM204" s="32"/>
      <c r="PN204" s="32"/>
      <c r="PO204" s="32"/>
      <c r="PP204" s="32"/>
      <c r="PQ204" s="32"/>
      <c r="PR204" s="32"/>
      <c r="PS204" s="32"/>
      <c r="PT204" s="32"/>
      <c r="PU204" s="32"/>
      <c r="PV204" s="32"/>
      <c r="PW204" s="32"/>
      <c r="PX204" s="32"/>
      <c r="PY204" s="32"/>
      <c r="PZ204" s="32"/>
      <c r="QA204" s="32"/>
      <c r="QB204" s="32"/>
      <c r="QC204" s="32"/>
      <c r="QD204" s="32"/>
      <c r="QE204" s="32"/>
      <c r="QF204" s="32"/>
      <c r="QG204" s="32"/>
      <c r="QH204" s="32"/>
      <c r="QI204" s="32"/>
      <c r="QJ204" s="32"/>
      <c r="QK204" s="32"/>
      <c r="QL204" s="32"/>
      <c r="QM204" s="32"/>
      <c r="QN204" s="32"/>
      <c r="QO204" s="32"/>
      <c r="QP204" s="32"/>
      <c r="QQ204" s="32"/>
      <c r="QR204" s="32"/>
      <c r="QS204" s="32"/>
      <c r="QT204" s="32"/>
      <c r="QU204" s="32"/>
      <c r="QV204" s="32"/>
      <c r="QW204" s="32"/>
      <c r="QX204" s="32"/>
      <c r="QY204" s="32"/>
      <c r="QZ204" s="32"/>
      <c r="RA204" s="32"/>
      <c r="RB204" s="32"/>
      <c r="RC204" s="32"/>
      <c r="RD204" s="32"/>
      <c r="RE204" s="32"/>
      <c r="RF204" s="32"/>
      <c r="RG204" s="32"/>
      <c r="RH204" s="32"/>
      <c r="RI204" s="32"/>
      <c r="RJ204" s="32"/>
      <c r="RK204" s="32"/>
      <c r="RL204" s="32"/>
      <c r="RM204" s="32"/>
      <c r="RN204" s="32"/>
      <c r="RO204" s="32"/>
      <c r="RP204" s="32"/>
      <c r="RQ204" s="32"/>
      <c r="RR204" s="32"/>
      <c r="RS204" s="32"/>
      <c r="RT204" s="32"/>
      <c r="RU204" s="32"/>
      <c r="RV204" s="32"/>
      <c r="RW204" s="32"/>
      <c r="RX204" s="32"/>
      <c r="RY204" s="32"/>
      <c r="RZ204" s="32"/>
      <c r="SA204" s="32"/>
      <c r="SB204" s="32"/>
      <c r="SC204" s="32"/>
      <c r="SD204" s="32"/>
      <c r="SE204" s="32"/>
      <c r="SF204" s="32"/>
      <c r="SG204" s="32"/>
      <c r="SH204" s="32"/>
      <c r="SI204" s="32"/>
      <c r="SJ204" s="32"/>
      <c r="SK204" s="32"/>
      <c r="SL204" s="32"/>
      <c r="SM204" s="32"/>
      <c r="SN204" s="32"/>
      <c r="SO204" s="32"/>
      <c r="SP204" s="32"/>
      <c r="SQ204" s="32"/>
      <c r="SR204" s="32"/>
      <c r="SS204" s="32"/>
      <c r="ST204" s="32"/>
      <c r="SU204" s="32"/>
      <c r="SV204" s="32"/>
      <c r="SW204" s="32"/>
      <c r="SX204" s="32"/>
      <c r="SY204" s="32"/>
      <c r="SZ204" s="32"/>
      <c r="TA204" s="32"/>
      <c r="TB204" s="32"/>
      <c r="TC204" s="32"/>
      <c r="TD204" s="32"/>
      <c r="TE204" s="32"/>
      <c r="TF204" s="32"/>
      <c r="TG204" s="32"/>
      <c r="TH204" s="32"/>
      <c r="TI204" s="32"/>
      <c r="TJ204" s="32"/>
      <c r="TK204" s="32"/>
      <c r="TL204" s="32"/>
      <c r="TM204" s="32"/>
      <c r="TN204" s="32"/>
      <c r="TO204" s="32"/>
      <c r="TP204" s="32"/>
      <c r="TQ204" s="32"/>
      <c r="TR204" s="32"/>
      <c r="TS204" s="32"/>
      <c r="TT204" s="32"/>
      <c r="TU204" s="32"/>
      <c r="TV204" s="32"/>
      <c r="TW204" s="32"/>
      <c r="TX204" s="32"/>
      <c r="TY204" s="32"/>
      <c r="TZ204" s="32"/>
      <c r="UA204" s="32"/>
      <c r="UB204" s="32"/>
      <c r="UC204" s="32"/>
      <c r="UD204" s="32"/>
      <c r="UE204" s="32"/>
      <c r="UF204" s="32"/>
      <c r="UG204" s="851"/>
    </row>
    <row r="205" spans="1:553" s="1130" customFormat="1" ht="210.75" customHeight="1">
      <c r="A205" s="356" t="s">
        <v>15</v>
      </c>
      <c r="B205" s="356"/>
      <c r="C205" s="384" t="s">
        <v>22</v>
      </c>
      <c r="D205" s="376">
        <v>2</v>
      </c>
      <c r="E205" s="376">
        <v>424</v>
      </c>
      <c r="F205" s="385">
        <v>1</v>
      </c>
      <c r="G205" s="386" t="s">
        <v>935</v>
      </c>
      <c r="H205" s="376">
        <v>592.4</v>
      </c>
      <c r="I205" s="422">
        <v>592.4</v>
      </c>
      <c r="J205" s="1061">
        <v>60000</v>
      </c>
      <c r="K205" s="388"/>
      <c r="L205" s="366">
        <f t="shared" si="41"/>
        <v>35544000</v>
      </c>
      <c r="M205" s="366"/>
      <c r="N205" s="366"/>
      <c r="O205" s="366"/>
      <c r="P205" s="366"/>
      <c r="Q205" s="1036" t="s">
        <v>222</v>
      </c>
      <c r="R205" s="1452"/>
      <c r="S205" s="308"/>
      <c r="T205" s="303"/>
      <c r="U205" s="306"/>
      <c r="V205" s="307"/>
      <c r="W205" s="306"/>
      <c r="X205" s="306"/>
      <c r="Y205" s="306"/>
      <c r="Z205" s="306"/>
      <c r="AA205" s="306"/>
      <c r="AB205" s="306">
        <f>I205</f>
        <v>592.4</v>
      </c>
      <c r="AC205" s="449"/>
      <c r="AD205" s="452"/>
      <c r="AE205" s="452"/>
      <c r="AF205" s="452"/>
      <c r="AG205" s="452"/>
      <c r="AH205" s="452"/>
      <c r="AI205" s="452"/>
      <c r="AJ205" s="452"/>
      <c r="AK205" s="452"/>
      <c r="AL205" s="869"/>
      <c r="AM205" s="870"/>
      <c r="AN205" s="870"/>
      <c r="AO205" s="870"/>
      <c r="AP205" s="870"/>
      <c r="AQ205" s="870"/>
      <c r="AR205" s="870"/>
      <c r="AS205" s="870"/>
      <c r="AT205" s="870"/>
      <c r="AU205" s="870"/>
      <c r="AV205" s="870"/>
      <c r="AW205" s="870"/>
      <c r="AX205" s="870"/>
      <c r="AY205" s="870"/>
      <c r="AZ205" s="870"/>
      <c r="BA205" s="870"/>
      <c r="BB205" s="870"/>
      <c r="BC205" s="870"/>
      <c r="BD205" s="870"/>
      <c r="BE205" s="870"/>
      <c r="BF205" s="870"/>
      <c r="BG205" s="870"/>
      <c r="BH205" s="870"/>
      <c r="BI205" s="870"/>
      <c r="BJ205" s="870"/>
      <c r="BK205" s="870"/>
      <c r="BL205" s="870"/>
      <c r="BM205" s="870"/>
      <c r="BN205" s="870"/>
      <c r="BO205" s="870"/>
      <c r="BP205" s="870"/>
      <c r="BQ205" s="870"/>
      <c r="BR205" s="870"/>
      <c r="BS205" s="870"/>
      <c r="BT205" s="870"/>
      <c r="BU205" s="870"/>
      <c r="BV205" s="870"/>
      <c r="BW205" s="870"/>
      <c r="BX205" s="870"/>
      <c r="BY205" s="870"/>
      <c r="BZ205" s="870"/>
      <c r="CA205" s="870"/>
      <c r="CB205" s="870"/>
      <c r="CC205" s="870"/>
      <c r="CD205" s="870"/>
      <c r="CE205" s="870"/>
      <c r="CF205" s="870"/>
      <c r="CG205" s="870"/>
      <c r="CH205" s="870"/>
      <c r="CI205" s="870"/>
      <c r="CJ205" s="870"/>
      <c r="CK205" s="870"/>
      <c r="CL205" s="870"/>
      <c r="CM205" s="870"/>
      <c r="CN205" s="870"/>
      <c r="CO205" s="870"/>
      <c r="CP205" s="870"/>
      <c r="CQ205" s="870"/>
      <c r="CR205" s="870"/>
      <c r="CS205" s="870"/>
      <c r="CT205" s="870"/>
      <c r="CU205" s="870"/>
      <c r="CV205" s="870"/>
      <c r="CW205" s="870"/>
      <c r="CX205" s="870"/>
      <c r="CY205" s="870"/>
      <c r="CZ205" s="870"/>
      <c r="DA205" s="870"/>
      <c r="DB205" s="870"/>
      <c r="DC205" s="870"/>
      <c r="DD205" s="870"/>
      <c r="DE205" s="870"/>
      <c r="DF205" s="870"/>
      <c r="DG205" s="870"/>
      <c r="DH205" s="870"/>
      <c r="DI205" s="870"/>
      <c r="DJ205" s="870"/>
      <c r="DK205" s="870"/>
      <c r="DL205" s="870"/>
      <c r="DM205" s="870"/>
      <c r="DN205" s="870"/>
      <c r="DO205" s="870"/>
      <c r="DP205" s="870"/>
      <c r="DQ205" s="870"/>
      <c r="DR205" s="870"/>
      <c r="DS205" s="870"/>
      <c r="DT205" s="870"/>
      <c r="DU205" s="870"/>
      <c r="DV205" s="870"/>
      <c r="DW205" s="870"/>
      <c r="DX205" s="870"/>
      <c r="DY205" s="870"/>
      <c r="DZ205" s="870"/>
      <c r="EA205" s="870"/>
      <c r="EB205" s="870"/>
      <c r="EC205" s="870"/>
      <c r="ED205" s="870"/>
      <c r="EE205" s="870"/>
      <c r="EF205" s="870"/>
      <c r="EG205" s="870"/>
      <c r="EH205" s="870"/>
      <c r="EI205" s="870"/>
      <c r="EJ205" s="870"/>
      <c r="EK205" s="870"/>
      <c r="EL205" s="870"/>
      <c r="EM205" s="870"/>
      <c r="EN205" s="870"/>
      <c r="EO205" s="870"/>
      <c r="EP205" s="870"/>
      <c r="EQ205" s="870"/>
      <c r="ER205" s="870"/>
      <c r="ES205" s="870"/>
      <c r="ET205" s="870"/>
      <c r="EU205" s="870"/>
      <c r="EV205" s="870"/>
      <c r="EW205" s="870"/>
      <c r="EX205" s="870"/>
      <c r="EY205" s="870"/>
      <c r="EZ205" s="870"/>
      <c r="FA205" s="870"/>
      <c r="FB205" s="870"/>
      <c r="FC205" s="870"/>
      <c r="FD205" s="870"/>
      <c r="FE205" s="870"/>
      <c r="FF205" s="870"/>
      <c r="FG205" s="870"/>
      <c r="FH205" s="870"/>
      <c r="FI205" s="870"/>
      <c r="FJ205" s="870"/>
      <c r="FK205" s="870"/>
      <c r="FL205" s="870"/>
      <c r="FM205" s="870"/>
      <c r="FN205" s="870"/>
      <c r="FO205" s="870"/>
      <c r="FP205" s="870"/>
      <c r="FQ205" s="870"/>
      <c r="FR205" s="870"/>
      <c r="FS205" s="870"/>
      <c r="FT205" s="870"/>
      <c r="FU205" s="870"/>
      <c r="FV205" s="870"/>
      <c r="FW205" s="870"/>
      <c r="FX205" s="870"/>
      <c r="FY205" s="870"/>
      <c r="FZ205" s="870"/>
      <c r="GA205" s="870"/>
      <c r="GB205" s="870"/>
      <c r="GC205" s="870"/>
      <c r="GD205" s="870"/>
      <c r="GE205" s="870"/>
      <c r="GF205" s="870"/>
      <c r="GG205" s="870"/>
      <c r="GH205" s="870"/>
      <c r="GI205" s="870"/>
      <c r="GJ205" s="870"/>
      <c r="GK205" s="870"/>
      <c r="GL205" s="870"/>
      <c r="GM205" s="870"/>
      <c r="GN205" s="870"/>
      <c r="GO205" s="870"/>
      <c r="GP205" s="870"/>
      <c r="GQ205" s="870"/>
      <c r="GR205" s="870"/>
      <c r="GS205" s="870"/>
      <c r="GT205" s="870"/>
      <c r="GU205" s="870"/>
      <c r="GV205" s="870"/>
      <c r="GW205" s="870"/>
      <c r="GX205" s="870"/>
      <c r="GY205" s="870"/>
      <c r="GZ205" s="870"/>
      <c r="HA205" s="870"/>
      <c r="HB205" s="870"/>
      <c r="HC205" s="870"/>
      <c r="HD205" s="870"/>
      <c r="HE205" s="870"/>
      <c r="HF205" s="870"/>
      <c r="HG205" s="870"/>
      <c r="HH205" s="870"/>
      <c r="HI205" s="870"/>
      <c r="HJ205" s="870"/>
      <c r="HK205" s="870"/>
      <c r="HL205" s="870"/>
      <c r="HM205" s="870"/>
      <c r="HN205" s="870"/>
      <c r="HO205" s="870"/>
      <c r="HP205" s="870"/>
      <c r="HQ205" s="870"/>
      <c r="HR205" s="870"/>
      <c r="HS205" s="870"/>
      <c r="HT205" s="870"/>
      <c r="HU205" s="870"/>
      <c r="HV205" s="870"/>
      <c r="HW205" s="870"/>
      <c r="HX205" s="870"/>
      <c r="HY205" s="870"/>
      <c r="HZ205" s="870"/>
      <c r="IA205" s="870"/>
      <c r="IB205" s="870"/>
      <c r="IC205" s="870"/>
      <c r="ID205" s="870"/>
      <c r="IE205" s="870"/>
      <c r="IF205" s="870"/>
      <c r="IG205" s="870"/>
      <c r="IH205" s="870"/>
      <c r="II205" s="870"/>
      <c r="IJ205" s="870"/>
      <c r="IK205" s="870"/>
      <c r="IL205" s="870"/>
      <c r="IM205" s="870"/>
      <c r="IN205" s="870"/>
      <c r="IO205" s="870"/>
      <c r="IP205" s="870"/>
      <c r="IQ205" s="870"/>
      <c r="IR205" s="870"/>
      <c r="IS205" s="870"/>
      <c r="IT205" s="870"/>
      <c r="IU205" s="870"/>
      <c r="IV205" s="870"/>
      <c r="IW205" s="870"/>
      <c r="IX205" s="870"/>
      <c r="IY205" s="870"/>
      <c r="IZ205" s="870"/>
      <c r="JA205" s="870"/>
      <c r="JB205" s="870"/>
      <c r="JC205" s="870"/>
      <c r="JD205" s="870"/>
      <c r="JE205" s="870"/>
      <c r="JF205" s="870"/>
      <c r="JG205" s="870"/>
      <c r="JH205" s="870"/>
      <c r="JI205" s="870"/>
      <c r="JJ205" s="870"/>
      <c r="JK205" s="870"/>
      <c r="JL205" s="870"/>
      <c r="JM205" s="870"/>
      <c r="JN205" s="870"/>
      <c r="JO205" s="870"/>
      <c r="JP205" s="870"/>
      <c r="JQ205" s="870"/>
      <c r="JR205" s="870"/>
      <c r="JS205" s="870"/>
      <c r="JT205" s="870"/>
      <c r="JU205" s="870"/>
      <c r="JV205" s="870"/>
      <c r="JW205" s="870"/>
      <c r="JX205" s="870"/>
      <c r="JY205" s="870"/>
      <c r="JZ205" s="870"/>
      <c r="KA205" s="870"/>
      <c r="KB205" s="870"/>
      <c r="KC205" s="870"/>
      <c r="KD205" s="870"/>
      <c r="KE205" s="870"/>
      <c r="KF205" s="870"/>
      <c r="KG205" s="870"/>
      <c r="KH205" s="870"/>
      <c r="KI205" s="870"/>
      <c r="KJ205" s="870"/>
      <c r="KK205" s="870"/>
      <c r="KL205" s="870"/>
      <c r="KM205" s="870"/>
      <c r="KN205" s="870"/>
      <c r="KO205" s="870"/>
      <c r="KP205" s="870"/>
      <c r="KQ205" s="870"/>
      <c r="KR205" s="870"/>
      <c r="KS205" s="870"/>
      <c r="KT205" s="870"/>
      <c r="KU205" s="870"/>
      <c r="KV205" s="870"/>
      <c r="KW205" s="870"/>
      <c r="KX205" s="870"/>
      <c r="KY205" s="870"/>
      <c r="KZ205" s="870"/>
      <c r="LA205" s="870"/>
      <c r="LB205" s="870"/>
      <c r="LC205" s="870"/>
      <c r="LD205" s="870"/>
      <c r="LE205" s="870"/>
      <c r="LF205" s="870"/>
      <c r="LG205" s="870"/>
      <c r="LH205" s="870"/>
      <c r="LI205" s="870"/>
      <c r="LJ205" s="870"/>
      <c r="LK205" s="870"/>
      <c r="LL205" s="870"/>
      <c r="LM205" s="870"/>
      <c r="LN205" s="870"/>
      <c r="LO205" s="870"/>
      <c r="LP205" s="870"/>
      <c r="LQ205" s="870"/>
      <c r="LR205" s="870"/>
      <c r="LS205" s="870"/>
      <c r="LT205" s="870"/>
      <c r="LU205" s="870"/>
      <c r="LV205" s="870"/>
      <c r="LW205" s="870"/>
      <c r="LX205" s="870"/>
      <c r="LY205" s="870"/>
      <c r="LZ205" s="870"/>
      <c r="MA205" s="870"/>
      <c r="MB205" s="870"/>
      <c r="MC205" s="870"/>
      <c r="MD205" s="870"/>
      <c r="ME205" s="870"/>
      <c r="MF205" s="870"/>
      <c r="MG205" s="870"/>
      <c r="MH205" s="870"/>
      <c r="MI205" s="870"/>
      <c r="MJ205" s="870"/>
      <c r="MK205" s="870"/>
      <c r="ML205" s="870"/>
      <c r="MM205" s="870"/>
      <c r="MN205" s="870"/>
      <c r="MO205" s="870"/>
      <c r="MP205" s="870"/>
      <c r="MQ205" s="870"/>
      <c r="MR205" s="870"/>
      <c r="MS205" s="870"/>
      <c r="MT205" s="870"/>
      <c r="MU205" s="870"/>
      <c r="MV205" s="870"/>
      <c r="MW205" s="870"/>
      <c r="MX205" s="870"/>
      <c r="MY205" s="870"/>
      <c r="MZ205" s="870"/>
      <c r="NA205" s="870"/>
      <c r="NB205" s="870"/>
      <c r="NC205" s="870"/>
      <c r="ND205" s="870"/>
      <c r="NE205" s="870"/>
      <c r="NF205" s="870"/>
      <c r="NG205" s="870"/>
      <c r="NH205" s="870"/>
      <c r="NI205" s="870"/>
      <c r="NJ205" s="870"/>
      <c r="NK205" s="870"/>
      <c r="NL205" s="870"/>
      <c r="NM205" s="870"/>
      <c r="NN205" s="870"/>
      <c r="NO205" s="870"/>
      <c r="NP205" s="870"/>
      <c r="NQ205" s="870"/>
      <c r="NR205" s="870"/>
      <c r="NS205" s="870"/>
      <c r="NT205" s="870"/>
      <c r="NU205" s="870"/>
      <c r="NV205" s="870"/>
      <c r="NW205" s="870"/>
      <c r="NX205" s="870"/>
      <c r="NY205" s="870"/>
      <c r="NZ205" s="870"/>
      <c r="OA205" s="870"/>
      <c r="OB205" s="870"/>
      <c r="OC205" s="870"/>
      <c r="OD205" s="870"/>
      <c r="OE205" s="870"/>
      <c r="OF205" s="870"/>
      <c r="OG205" s="870"/>
      <c r="OH205" s="870"/>
      <c r="OI205" s="870"/>
      <c r="OJ205" s="870"/>
      <c r="OK205" s="870"/>
      <c r="OL205" s="870"/>
      <c r="OM205" s="870"/>
      <c r="ON205" s="870"/>
      <c r="OO205" s="870"/>
      <c r="OP205" s="870"/>
      <c r="OQ205" s="870"/>
      <c r="OR205" s="870"/>
      <c r="OS205" s="870"/>
      <c r="OT205" s="870"/>
      <c r="OU205" s="870"/>
      <c r="OV205" s="870"/>
      <c r="OW205" s="870"/>
      <c r="OX205" s="870"/>
      <c r="OY205" s="870"/>
      <c r="OZ205" s="870"/>
      <c r="PA205" s="870"/>
      <c r="PB205" s="870"/>
      <c r="PC205" s="870"/>
      <c r="PD205" s="870"/>
      <c r="PE205" s="870"/>
      <c r="PF205" s="870"/>
      <c r="PG205" s="870"/>
      <c r="PH205" s="870"/>
      <c r="PI205" s="870"/>
      <c r="PJ205" s="870"/>
      <c r="PK205" s="870"/>
      <c r="PL205" s="870"/>
      <c r="PM205" s="870"/>
      <c r="PN205" s="870"/>
      <c r="PO205" s="870"/>
      <c r="PP205" s="870"/>
      <c r="PQ205" s="870"/>
      <c r="PR205" s="870"/>
      <c r="PS205" s="870"/>
      <c r="PT205" s="870"/>
      <c r="PU205" s="870"/>
      <c r="PV205" s="870"/>
      <c r="PW205" s="870"/>
      <c r="PX205" s="870"/>
      <c r="PY205" s="870"/>
      <c r="PZ205" s="870"/>
      <c r="QA205" s="870"/>
      <c r="QB205" s="870"/>
      <c r="QC205" s="870"/>
      <c r="QD205" s="870"/>
      <c r="QE205" s="870"/>
      <c r="QF205" s="870"/>
      <c r="QG205" s="870"/>
      <c r="QH205" s="870"/>
      <c r="QI205" s="870"/>
      <c r="QJ205" s="870"/>
      <c r="QK205" s="870"/>
      <c r="QL205" s="870"/>
      <c r="QM205" s="870"/>
      <c r="QN205" s="870"/>
      <c r="QO205" s="870"/>
      <c r="QP205" s="870"/>
      <c r="QQ205" s="870"/>
      <c r="QR205" s="870"/>
      <c r="QS205" s="870"/>
      <c r="QT205" s="870"/>
      <c r="QU205" s="870"/>
      <c r="QV205" s="870"/>
      <c r="QW205" s="870"/>
      <c r="QX205" s="870"/>
      <c r="QY205" s="870"/>
      <c r="QZ205" s="870"/>
      <c r="RA205" s="870"/>
      <c r="RB205" s="870"/>
      <c r="RC205" s="870"/>
      <c r="RD205" s="870"/>
      <c r="RE205" s="870"/>
      <c r="RF205" s="870"/>
      <c r="RG205" s="870"/>
      <c r="RH205" s="870"/>
      <c r="RI205" s="870"/>
      <c r="RJ205" s="870"/>
      <c r="RK205" s="870"/>
      <c r="RL205" s="870"/>
      <c r="RM205" s="870"/>
      <c r="RN205" s="870"/>
      <c r="RO205" s="870"/>
      <c r="RP205" s="870"/>
      <c r="RQ205" s="870"/>
      <c r="RR205" s="870"/>
      <c r="RS205" s="870"/>
      <c r="RT205" s="870"/>
      <c r="RU205" s="870"/>
      <c r="RV205" s="870"/>
      <c r="RW205" s="870"/>
      <c r="RX205" s="870"/>
      <c r="RY205" s="870"/>
      <c r="RZ205" s="870"/>
      <c r="SA205" s="870"/>
      <c r="SB205" s="870"/>
      <c r="SC205" s="870"/>
      <c r="SD205" s="870"/>
      <c r="SE205" s="870"/>
      <c r="SF205" s="870"/>
      <c r="SG205" s="870"/>
      <c r="SH205" s="870"/>
      <c r="SI205" s="870"/>
      <c r="SJ205" s="870"/>
      <c r="SK205" s="870"/>
      <c r="SL205" s="870"/>
      <c r="SM205" s="870"/>
      <c r="SN205" s="870"/>
      <c r="SO205" s="870"/>
      <c r="SP205" s="870"/>
      <c r="SQ205" s="870"/>
      <c r="SR205" s="870"/>
      <c r="SS205" s="870"/>
      <c r="ST205" s="870"/>
      <c r="SU205" s="870"/>
      <c r="SV205" s="870"/>
      <c r="SW205" s="870"/>
      <c r="SX205" s="870"/>
      <c r="SY205" s="870"/>
      <c r="SZ205" s="870"/>
      <c r="TA205" s="870"/>
      <c r="TB205" s="870"/>
      <c r="TC205" s="870"/>
      <c r="TD205" s="870"/>
      <c r="TE205" s="870"/>
      <c r="TF205" s="870"/>
      <c r="TG205" s="870"/>
      <c r="TH205" s="870"/>
      <c r="TI205" s="870"/>
      <c r="TJ205" s="870"/>
      <c r="TK205" s="870"/>
      <c r="TL205" s="870"/>
      <c r="TM205" s="870"/>
      <c r="TN205" s="870"/>
      <c r="TO205" s="870"/>
      <c r="TP205" s="870"/>
      <c r="TQ205" s="870"/>
      <c r="TR205" s="870"/>
      <c r="TS205" s="870"/>
      <c r="TT205" s="870"/>
      <c r="TU205" s="870"/>
      <c r="TV205" s="870"/>
      <c r="TW205" s="870"/>
      <c r="TX205" s="870"/>
      <c r="TY205" s="870"/>
      <c r="TZ205" s="870"/>
      <c r="UA205" s="870"/>
      <c r="UB205" s="870"/>
      <c r="UC205" s="870"/>
      <c r="UD205" s="870"/>
      <c r="UE205" s="870"/>
      <c r="UF205" s="870"/>
      <c r="UG205" s="1129"/>
    </row>
    <row r="206" spans="1:553" s="852" customFormat="1" ht="276" customHeight="1">
      <c r="A206" s="356" t="s">
        <v>15</v>
      </c>
      <c r="B206" s="356"/>
      <c r="C206" s="384" t="s">
        <v>23</v>
      </c>
      <c r="D206" s="376" t="s">
        <v>70</v>
      </c>
      <c r="E206" s="376">
        <v>334</v>
      </c>
      <c r="F206" s="385">
        <v>1</v>
      </c>
      <c r="G206" s="386" t="s">
        <v>935</v>
      </c>
      <c r="H206" s="441">
        <v>528.6</v>
      </c>
      <c r="I206" s="490">
        <v>528.6</v>
      </c>
      <c r="J206" s="368">
        <v>62000</v>
      </c>
      <c r="K206" s="388"/>
      <c r="L206" s="366">
        <f t="shared" si="41"/>
        <v>32773200</v>
      </c>
      <c r="M206" s="366"/>
      <c r="N206" s="366"/>
      <c r="O206" s="366"/>
      <c r="P206" s="366"/>
      <c r="Q206" s="1036" t="s">
        <v>232</v>
      </c>
      <c r="R206" s="1447" t="s">
        <v>866</v>
      </c>
      <c r="S206" s="308"/>
      <c r="T206" s="303"/>
      <c r="U206" s="306"/>
      <c r="V206" s="307"/>
      <c r="W206" s="306">
        <f>I206</f>
        <v>528.6</v>
      </c>
      <c r="X206" s="306"/>
      <c r="Y206" s="306"/>
      <c r="Z206" s="306"/>
      <c r="AA206" s="306"/>
      <c r="AB206" s="306"/>
      <c r="AC206" s="463"/>
      <c r="AD206" s="452"/>
      <c r="AE206" s="452"/>
      <c r="AF206" s="452"/>
      <c r="AG206" s="452"/>
      <c r="AH206" s="452"/>
      <c r="AI206" s="452"/>
      <c r="AJ206" s="452"/>
      <c r="AK206" s="452"/>
      <c r="AL206" s="104"/>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c r="DQ206" s="32"/>
      <c r="DR206" s="32"/>
      <c r="DS206" s="32"/>
      <c r="DT206" s="32"/>
      <c r="DU206" s="32"/>
      <c r="DV206" s="32"/>
      <c r="DW206" s="32"/>
      <c r="DX206" s="32"/>
      <c r="DY206" s="32"/>
      <c r="DZ206" s="32"/>
      <c r="EA206" s="32"/>
      <c r="EB206" s="32"/>
      <c r="EC206" s="32"/>
      <c r="ED206" s="32"/>
      <c r="EE206" s="32"/>
      <c r="EF206" s="32"/>
      <c r="EG206" s="32"/>
      <c r="EH206" s="32"/>
      <c r="EI206" s="32"/>
      <c r="EJ206" s="32"/>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c r="HO206" s="32"/>
      <c r="HP206" s="32"/>
      <c r="HQ206" s="32"/>
      <c r="HR206" s="32"/>
      <c r="HS206" s="32"/>
      <c r="HT206" s="32"/>
      <c r="HU206" s="32"/>
      <c r="HV206" s="32"/>
      <c r="HW206" s="32"/>
      <c r="HX206" s="32"/>
      <c r="HY206" s="32"/>
      <c r="HZ206" s="32"/>
      <c r="IA206" s="32"/>
      <c r="IB206" s="32"/>
      <c r="IC206" s="32"/>
      <c r="ID206" s="32"/>
      <c r="IE206" s="32"/>
      <c r="IF206" s="32"/>
      <c r="IG206" s="32"/>
      <c r="IH206" s="32"/>
      <c r="II206" s="32"/>
      <c r="IJ206" s="32"/>
      <c r="IK206" s="32"/>
      <c r="IL206" s="32"/>
      <c r="IM206" s="32"/>
      <c r="IN206" s="32"/>
      <c r="IO206" s="32"/>
      <c r="IP206" s="32"/>
      <c r="IQ206" s="32"/>
      <c r="IR206" s="32"/>
      <c r="IS206" s="32"/>
      <c r="IT206" s="32"/>
      <c r="IU206" s="32"/>
      <c r="IV206" s="32"/>
      <c r="IW206" s="32"/>
      <c r="IX206" s="32"/>
      <c r="IY206" s="32"/>
      <c r="IZ206" s="32"/>
      <c r="JA206" s="32"/>
      <c r="JB206" s="32"/>
      <c r="JC206" s="32"/>
      <c r="JD206" s="32"/>
      <c r="JE206" s="32"/>
      <c r="JF206" s="32"/>
      <c r="JG206" s="32"/>
      <c r="JH206" s="32"/>
      <c r="JI206" s="32"/>
      <c r="JJ206" s="32"/>
      <c r="JK206" s="32"/>
      <c r="JL206" s="32"/>
      <c r="JM206" s="32"/>
      <c r="JN206" s="32"/>
      <c r="JO206" s="32"/>
      <c r="JP206" s="32"/>
      <c r="JQ206" s="32"/>
      <c r="JR206" s="32"/>
      <c r="JS206" s="32"/>
      <c r="JT206" s="32"/>
      <c r="JU206" s="32"/>
      <c r="JV206" s="32"/>
      <c r="JW206" s="32"/>
      <c r="JX206" s="32"/>
      <c r="JY206" s="32"/>
      <c r="JZ206" s="32"/>
      <c r="KA206" s="32"/>
      <c r="KB206" s="32"/>
      <c r="KC206" s="32"/>
      <c r="KD206" s="32"/>
      <c r="KE206" s="32"/>
      <c r="KF206" s="32"/>
      <c r="KG206" s="32"/>
      <c r="KH206" s="32"/>
      <c r="KI206" s="32"/>
      <c r="KJ206" s="32"/>
      <c r="KK206" s="32"/>
      <c r="KL206" s="32"/>
      <c r="KM206" s="32"/>
      <c r="KN206" s="32"/>
      <c r="KO206" s="32"/>
      <c r="KP206" s="32"/>
      <c r="KQ206" s="32"/>
      <c r="KR206" s="32"/>
      <c r="KS206" s="32"/>
      <c r="KT206" s="32"/>
      <c r="KU206" s="32"/>
      <c r="KV206" s="32"/>
      <c r="KW206" s="32"/>
      <c r="KX206" s="32"/>
      <c r="KY206" s="32"/>
      <c r="KZ206" s="32"/>
      <c r="LA206" s="32"/>
      <c r="LB206" s="32"/>
      <c r="LC206" s="32"/>
      <c r="LD206" s="32"/>
      <c r="LE206" s="32"/>
      <c r="LF206" s="32"/>
      <c r="LG206" s="32"/>
      <c r="LH206" s="32"/>
      <c r="LI206" s="32"/>
      <c r="LJ206" s="32"/>
      <c r="LK206" s="32"/>
      <c r="LL206" s="32"/>
      <c r="LM206" s="32"/>
      <c r="LN206" s="32"/>
      <c r="LO206" s="32"/>
      <c r="LP206" s="32"/>
      <c r="LQ206" s="32"/>
      <c r="LR206" s="32"/>
      <c r="LS206" s="32"/>
      <c r="LT206" s="32"/>
      <c r="LU206" s="32"/>
      <c r="LV206" s="32"/>
      <c r="LW206" s="32"/>
      <c r="LX206" s="32"/>
      <c r="LY206" s="32"/>
      <c r="LZ206" s="32"/>
      <c r="MA206" s="32"/>
      <c r="MB206" s="32"/>
      <c r="MC206" s="32"/>
      <c r="MD206" s="32"/>
      <c r="ME206" s="32"/>
      <c r="MF206" s="32"/>
      <c r="MG206" s="32"/>
      <c r="MH206" s="32"/>
      <c r="MI206" s="32"/>
      <c r="MJ206" s="32"/>
      <c r="MK206" s="32"/>
      <c r="ML206" s="32"/>
      <c r="MM206" s="32"/>
      <c r="MN206" s="32"/>
      <c r="MO206" s="32"/>
      <c r="MP206" s="32"/>
      <c r="MQ206" s="32"/>
      <c r="MR206" s="32"/>
      <c r="MS206" s="32"/>
      <c r="MT206" s="32"/>
      <c r="MU206" s="32"/>
      <c r="MV206" s="32"/>
      <c r="MW206" s="32"/>
      <c r="MX206" s="32"/>
      <c r="MY206" s="32"/>
      <c r="MZ206" s="32"/>
      <c r="NA206" s="32"/>
      <c r="NB206" s="32"/>
      <c r="NC206" s="32"/>
      <c r="ND206" s="32"/>
      <c r="NE206" s="32"/>
      <c r="NF206" s="32"/>
      <c r="NG206" s="32"/>
      <c r="NH206" s="32"/>
      <c r="NI206" s="32"/>
      <c r="NJ206" s="32"/>
      <c r="NK206" s="32"/>
      <c r="NL206" s="32"/>
      <c r="NM206" s="32"/>
      <c r="NN206" s="32"/>
      <c r="NO206" s="32"/>
      <c r="NP206" s="32"/>
      <c r="NQ206" s="32"/>
      <c r="NR206" s="32"/>
      <c r="NS206" s="32"/>
      <c r="NT206" s="32"/>
      <c r="NU206" s="32"/>
      <c r="NV206" s="32"/>
      <c r="NW206" s="32"/>
      <c r="NX206" s="32"/>
      <c r="NY206" s="32"/>
      <c r="NZ206" s="32"/>
      <c r="OA206" s="32"/>
      <c r="OB206" s="32"/>
      <c r="OC206" s="32"/>
      <c r="OD206" s="32"/>
      <c r="OE206" s="32"/>
      <c r="OF206" s="32"/>
      <c r="OG206" s="32"/>
      <c r="OH206" s="32"/>
      <c r="OI206" s="32"/>
      <c r="OJ206" s="32"/>
      <c r="OK206" s="32"/>
      <c r="OL206" s="32"/>
      <c r="OM206" s="32"/>
      <c r="ON206" s="32"/>
      <c r="OO206" s="32"/>
      <c r="OP206" s="32"/>
      <c r="OQ206" s="32"/>
      <c r="OR206" s="32"/>
      <c r="OS206" s="32"/>
      <c r="OT206" s="32"/>
      <c r="OU206" s="32"/>
      <c r="OV206" s="32"/>
      <c r="OW206" s="32"/>
      <c r="OX206" s="32"/>
      <c r="OY206" s="32"/>
      <c r="OZ206" s="32"/>
      <c r="PA206" s="32"/>
      <c r="PB206" s="32"/>
      <c r="PC206" s="32"/>
      <c r="PD206" s="32"/>
      <c r="PE206" s="32"/>
      <c r="PF206" s="32"/>
      <c r="PG206" s="32"/>
      <c r="PH206" s="32"/>
      <c r="PI206" s="32"/>
      <c r="PJ206" s="32"/>
      <c r="PK206" s="32"/>
      <c r="PL206" s="32"/>
      <c r="PM206" s="32"/>
      <c r="PN206" s="32"/>
      <c r="PO206" s="32"/>
      <c r="PP206" s="32"/>
      <c r="PQ206" s="32"/>
      <c r="PR206" s="32"/>
      <c r="PS206" s="32"/>
      <c r="PT206" s="32"/>
      <c r="PU206" s="32"/>
      <c r="PV206" s="32"/>
      <c r="PW206" s="32"/>
      <c r="PX206" s="32"/>
      <c r="PY206" s="32"/>
      <c r="PZ206" s="32"/>
      <c r="QA206" s="32"/>
      <c r="QB206" s="32"/>
      <c r="QC206" s="32"/>
      <c r="QD206" s="32"/>
      <c r="QE206" s="32"/>
      <c r="QF206" s="32"/>
      <c r="QG206" s="32"/>
      <c r="QH206" s="32"/>
      <c r="QI206" s="32"/>
      <c r="QJ206" s="32"/>
      <c r="QK206" s="32"/>
      <c r="QL206" s="32"/>
      <c r="QM206" s="32"/>
      <c r="QN206" s="32"/>
      <c r="QO206" s="32"/>
      <c r="QP206" s="32"/>
      <c r="QQ206" s="32"/>
      <c r="QR206" s="32"/>
      <c r="QS206" s="32"/>
      <c r="QT206" s="32"/>
      <c r="QU206" s="32"/>
      <c r="QV206" s="32"/>
      <c r="QW206" s="32"/>
      <c r="QX206" s="32"/>
      <c r="QY206" s="32"/>
      <c r="QZ206" s="32"/>
      <c r="RA206" s="32"/>
      <c r="RB206" s="32"/>
      <c r="RC206" s="32"/>
      <c r="RD206" s="32"/>
      <c r="RE206" s="32"/>
      <c r="RF206" s="32"/>
      <c r="RG206" s="32"/>
      <c r="RH206" s="32"/>
      <c r="RI206" s="32"/>
      <c r="RJ206" s="32"/>
      <c r="RK206" s="32"/>
      <c r="RL206" s="32"/>
      <c r="RM206" s="32"/>
      <c r="RN206" s="32"/>
      <c r="RO206" s="32"/>
      <c r="RP206" s="32"/>
      <c r="RQ206" s="32"/>
      <c r="RR206" s="32"/>
      <c r="RS206" s="32"/>
      <c r="RT206" s="32"/>
      <c r="RU206" s="32"/>
      <c r="RV206" s="32"/>
      <c r="RW206" s="32"/>
      <c r="RX206" s="32"/>
      <c r="RY206" s="32"/>
      <c r="RZ206" s="32"/>
      <c r="SA206" s="32"/>
      <c r="SB206" s="32"/>
      <c r="SC206" s="32"/>
      <c r="SD206" s="32"/>
      <c r="SE206" s="32"/>
      <c r="SF206" s="32"/>
      <c r="SG206" s="32"/>
      <c r="SH206" s="32"/>
      <c r="SI206" s="32"/>
      <c r="SJ206" s="32"/>
      <c r="SK206" s="32"/>
      <c r="SL206" s="32"/>
      <c r="SM206" s="32"/>
      <c r="SN206" s="32"/>
      <c r="SO206" s="32"/>
      <c r="SP206" s="32"/>
      <c r="SQ206" s="32"/>
      <c r="SR206" s="32"/>
      <c r="SS206" s="32"/>
      <c r="ST206" s="32"/>
      <c r="SU206" s="32"/>
      <c r="SV206" s="32"/>
      <c r="SW206" s="32"/>
      <c r="SX206" s="32"/>
      <c r="SY206" s="32"/>
      <c r="SZ206" s="32"/>
      <c r="TA206" s="32"/>
      <c r="TB206" s="32"/>
      <c r="TC206" s="32"/>
      <c r="TD206" s="32"/>
      <c r="TE206" s="32"/>
      <c r="TF206" s="32"/>
      <c r="TG206" s="32"/>
      <c r="TH206" s="32"/>
      <c r="TI206" s="32"/>
      <c r="TJ206" s="32"/>
      <c r="TK206" s="32"/>
      <c r="TL206" s="32"/>
      <c r="TM206" s="32"/>
      <c r="TN206" s="32"/>
      <c r="TO206" s="32"/>
      <c r="TP206" s="32"/>
      <c r="TQ206" s="32"/>
      <c r="TR206" s="32"/>
      <c r="TS206" s="32"/>
      <c r="TT206" s="32"/>
      <c r="TU206" s="32"/>
      <c r="TV206" s="32"/>
      <c r="TW206" s="32"/>
      <c r="TX206" s="32"/>
      <c r="TY206" s="32"/>
      <c r="TZ206" s="32"/>
      <c r="UA206" s="32"/>
      <c r="UB206" s="32"/>
      <c r="UC206" s="32"/>
      <c r="UD206" s="32"/>
      <c r="UE206" s="32"/>
      <c r="UF206" s="32"/>
      <c r="UG206" s="851"/>
    </row>
    <row r="207" spans="1:553" s="852" customFormat="1" ht="276" customHeight="1">
      <c r="A207" s="356" t="s">
        <v>15</v>
      </c>
      <c r="B207" s="356"/>
      <c r="C207" s="384" t="s">
        <v>69</v>
      </c>
      <c r="D207" s="376">
        <v>1</v>
      </c>
      <c r="E207" s="376">
        <v>464</v>
      </c>
      <c r="F207" s="385">
        <v>1</v>
      </c>
      <c r="G207" s="386" t="s">
        <v>935</v>
      </c>
      <c r="H207" s="441">
        <v>244.7</v>
      </c>
      <c r="I207" s="490">
        <v>244.7</v>
      </c>
      <c r="J207" s="477">
        <v>55000</v>
      </c>
      <c r="K207" s="388"/>
      <c r="L207" s="366">
        <f t="shared" si="41"/>
        <v>13458500</v>
      </c>
      <c r="M207" s="366"/>
      <c r="N207" s="366"/>
      <c r="O207" s="366"/>
      <c r="P207" s="366"/>
      <c r="Q207" s="1036" t="s">
        <v>233</v>
      </c>
      <c r="R207" s="1452"/>
      <c r="S207" s="308"/>
      <c r="T207" s="303"/>
      <c r="U207" s="306"/>
      <c r="V207" s="307"/>
      <c r="W207" s="306"/>
      <c r="X207" s="306">
        <f>I207</f>
        <v>244.7</v>
      </c>
      <c r="Y207" s="306"/>
      <c r="Z207" s="306"/>
      <c r="AA207" s="306"/>
      <c r="AB207" s="306"/>
      <c r="AC207" s="463"/>
      <c r="AD207" s="452"/>
      <c r="AE207" s="452"/>
      <c r="AF207" s="452"/>
      <c r="AG207" s="452"/>
      <c r="AH207" s="452"/>
      <c r="AI207" s="452"/>
      <c r="AJ207" s="452"/>
      <c r="AK207" s="452"/>
      <c r="AL207" s="104"/>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32"/>
      <c r="CQ207" s="32"/>
      <c r="CR207" s="32"/>
      <c r="CS207" s="32"/>
      <c r="CT207" s="32"/>
      <c r="CU207" s="32"/>
      <c r="CV207" s="32"/>
      <c r="CW207" s="32"/>
      <c r="CX207" s="32"/>
      <c r="CY207" s="32"/>
      <c r="CZ207" s="32"/>
      <c r="DA207" s="32"/>
      <c r="DB207" s="32"/>
      <c r="DC207" s="32"/>
      <c r="DD207" s="32"/>
      <c r="DE207" s="32"/>
      <c r="DF207" s="32"/>
      <c r="DG207" s="32"/>
      <c r="DH207" s="32"/>
      <c r="DI207" s="32"/>
      <c r="DJ207" s="32"/>
      <c r="DK207" s="32"/>
      <c r="DL207" s="32"/>
      <c r="DM207" s="32"/>
      <c r="DN207" s="32"/>
      <c r="DO207" s="32"/>
      <c r="DP207" s="32"/>
      <c r="DQ207" s="32"/>
      <c r="DR207" s="32"/>
      <c r="DS207" s="32"/>
      <c r="DT207" s="32"/>
      <c r="DU207" s="32"/>
      <c r="DV207" s="32"/>
      <c r="DW207" s="32"/>
      <c r="DX207" s="32"/>
      <c r="DY207" s="32"/>
      <c r="DZ207" s="32"/>
      <c r="EA207" s="32"/>
      <c r="EB207" s="32"/>
      <c r="EC207" s="32"/>
      <c r="ED207" s="32"/>
      <c r="EE207" s="32"/>
      <c r="EF207" s="32"/>
      <c r="EG207" s="32"/>
      <c r="EH207" s="32"/>
      <c r="EI207" s="32"/>
      <c r="EJ207" s="32"/>
      <c r="EK207" s="32"/>
      <c r="EL207" s="32"/>
      <c r="EM207" s="32"/>
      <c r="EN207" s="32"/>
      <c r="EO207" s="32"/>
      <c r="EP207" s="32"/>
      <c r="EQ207" s="32"/>
      <c r="ER207" s="32"/>
      <c r="ES207" s="32"/>
      <c r="ET207" s="32"/>
      <c r="EU207" s="32"/>
      <c r="EV207" s="32"/>
      <c r="EW207" s="32"/>
      <c r="EX207" s="32"/>
      <c r="EY207" s="32"/>
      <c r="EZ207" s="32"/>
      <c r="FA207" s="32"/>
      <c r="FB207" s="32"/>
      <c r="FC207" s="32"/>
      <c r="FD207" s="32"/>
      <c r="FE207" s="32"/>
      <c r="FF207" s="32"/>
      <c r="FG207" s="32"/>
      <c r="FH207" s="32"/>
      <c r="FI207" s="32"/>
      <c r="FJ207" s="32"/>
      <c r="FK207" s="32"/>
      <c r="FL207" s="32"/>
      <c r="FM207" s="32"/>
      <c r="FN207" s="32"/>
      <c r="FO207" s="32"/>
      <c r="FP207" s="32"/>
      <c r="FQ207" s="32"/>
      <c r="FR207" s="32"/>
      <c r="FS207" s="32"/>
      <c r="FT207" s="32"/>
      <c r="FU207" s="32"/>
      <c r="FV207" s="32"/>
      <c r="FW207" s="32"/>
      <c r="FX207" s="32"/>
      <c r="FY207" s="32"/>
      <c r="FZ207" s="32"/>
      <c r="GA207" s="32"/>
      <c r="GB207" s="32"/>
      <c r="GC207" s="32"/>
      <c r="GD207" s="32"/>
      <c r="GE207" s="32"/>
      <c r="GF207" s="32"/>
      <c r="GG207" s="32"/>
      <c r="GH207" s="32"/>
      <c r="GI207" s="32"/>
      <c r="GJ207" s="32"/>
      <c r="GK207" s="32"/>
      <c r="GL207" s="32"/>
      <c r="GM207" s="32"/>
      <c r="GN207" s="32"/>
      <c r="GO207" s="32"/>
      <c r="GP207" s="32"/>
      <c r="GQ207" s="32"/>
      <c r="GR207" s="32"/>
      <c r="GS207" s="32"/>
      <c r="GT207" s="32"/>
      <c r="GU207" s="32"/>
      <c r="GV207" s="32"/>
      <c r="GW207" s="32"/>
      <c r="GX207" s="32"/>
      <c r="GY207" s="32"/>
      <c r="GZ207" s="32"/>
      <c r="HA207" s="32"/>
      <c r="HB207" s="32"/>
      <c r="HC207" s="32"/>
      <c r="HD207" s="32"/>
      <c r="HE207" s="32"/>
      <c r="HF207" s="32"/>
      <c r="HG207" s="32"/>
      <c r="HH207" s="32"/>
      <c r="HI207" s="32"/>
      <c r="HJ207" s="32"/>
      <c r="HK207" s="32"/>
      <c r="HL207" s="32"/>
      <c r="HM207" s="32"/>
      <c r="HN207" s="32"/>
      <c r="HO207" s="32"/>
      <c r="HP207" s="32"/>
      <c r="HQ207" s="32"/>
      <c r="HR207" s="32"/>
      <c r="HS207" s="32"/>
      <c r="HT207" s="32"/>
      <c r="HU207" s="32"/>
      <c r="HV207" s="32"/>
      <c r="HW207" s="32"/>
      <c r="HX207" s="32"/>
      <c r="HY207" s="32"/>
      <c r="HZ207" s="32"/>
      <c r="IA207" s="32"/>
      <c r="IB207" s="32"/>
      <c r="IC207" s="32"/>
      <c r="ID207" s="32"/>
      <c r="IE207" s="32"/>
      <c r="IF207" s="32"/>
      <c r="IG207" s="32"/>
      <c r="IH207" s="32"/>
      <c r="II207" s="32"/>
      <c r="IJ207" s="32"/>
      <c r="IK207" s="32"/>
      <c r="IL207" s="32"/>
      <c r="IM207" s="32"/>
      <c r="IN207" s="32"/>
      <c r="IO207" s="32"/>
      <c r="IP207" s="32"/>
      <c r="IQ207" s="32"/>
      <c r="IR207" s="32"/>
      <c r="IS207" s="32"/>
      <c r="IT207" s="32"/>
      <c r="IU207" s="32"/>
      <c r="IV207" s="32"/>
      <c r="IW207" s="32"/>
      <c r="IX207" s="32"/>
      <c r="IY207" s="32"/>
      <c r="IZ207" s="32"/>
      <c r="JA207" s="32"/>
      <c r="JB207" s="32"/>
      <c r="JC207" s="32"/>
      <c r="JD207" s="32"/>
      <c r="JE207" s="32"/>
      <c r="JF207" s="32"/>
      <c r="JG207" s="32"/>
      <c r="JH207" s="32"/>
      <c r="JI207" s="32"/>
      <c r="JJ207" s="32"/>
      <c r="JK207" s="32"/>
      <c r="JL207" s="32"/>
      <c r="JM207" s="32"/>
      <c r="JN207" s="32"/>
      <c r="JO207" s="32"/>
      <c r="JP207" s="32"/>
      <c r="JQ207" s="32"/>
      <c r="JR207" s="32"/>
      <c r="JS207" s="32"/>
      <c r="JT207" s="32"/>
      <c r="JU207" s="32"/>
      <c r="JV207" s="32"/>
      <c r="JW207" s="32"/>
      <c r="JX207" s="32"/>
      <c r="JY207" s="32"/>
      <c r="JZ207" s="32"/>
      <c r="KA207" s="32"/>
      <c r="KB207" s="32"/>
      <c r="KC207" s="32"/>
      <c r="KD207" s="32"/>
      <c r="KE207" s="32"/>
      <c r="KF207" s="32"/>
      <c r="KG207" s="32"/>
      <c r="KH207" s="32"/>
      <c r="KI207" s="32"/>
      <c r="KJ207" s="32"/>
      <c r="KK207" s="32"/>
      <c r="KL207" s="32"/>
      <c r="KM207" s="32"/>
      <c r="KN207" s="32"/>
      <c r="KO207" s="32"/>
      <c r="KP207" s="32"/>
      <c r="KQ207" s="32"/>
      <c r="KR207" s="32"/>
      <c r="KS207" s="32"/>
      <c r="KT207" s="32"/>
      <c r="KU207" s="32"/>
      <c r="KV207" s="32"/>
      <c r="KW207" s="32"/>
      <c r="KX207" s="32"/>
      <c r="KY207" s="32"/>
      <c r="KZ207" s="32"/>
      <c r="LA207" s="32"/>
      <c r="LB207" s="32"/>
      <c r="LC207" s="32"/>
      <c r="LD207" s="32"/>
      <c r="LE207" s="32"/>
      <c r="LF207" s="32"/>
      <c r="LG207" s="32"/>
      <c r="LH207" s="32"/>
      <c r="LI207" s="32"/>
      <c r="LJ207" s="32"/>
      <c r="LK207" s="32"/>
      <c r="LL207" s="32"/>
      <c r="LM207" s="32"/>
      <c r="LN207" s="32"/>
      <c r="LO207" s="32"/>
      <c r="LP207" s="32"/>
      <c r="LQ207" s="32"/>
      <c r="LR207" s="32"/>
      <c r="LS207" s="32"/>
      <c r="LT207" s="32"/>
      <c r="LU207" s="32"/>
      <c r="LV207" s="32"/>
      <c r="LW207" s="32"/>
      <c r="LX207" s="32"/>
      <c r="LY207" s="32"/>
      <c r="LZ207" s="32"/>
      <c r="MA207" s="32"/>
      <c r="MB207" s="32"/>
      <c r="MC207" s="32"/>
      <c r="MD207" s="32"/>
      <c r="ME207" s="32"/>
      <c r="MF207" s="32"/>
      <c r="MG207" s="32"/>
      <c r="MH207" s="32"/>
      <c r="MI207" s="32"/>
      <c r="MJ207" s="32"/>
      <c r="MK207" s="32"/>
      <c r="ML207" s="32"/>
      <c r="MM207" s="32"/>
      <c r="MN207" s="32"/>
      <c r="MO207" s="32"/>
      <c r="MP207" s="32"/>
      <c r="MQ207" s="32"/>
      <c r="MR207" s="32"/>
      <c r="MS207" s="32"/>
      <c r="MT207" s="32"/>
      <c r="MU207" s="32"/>
      <c r="MV207" s="32"/>
      <c r="MW207" s="32"/>
      <c r="MX207" s="32"/>
      <c r="MY207" s="32"/>
      <c r="MZ207" s="32"/>
      <c r="NA207" s="32"/>
      <c r="NB207" s="32"/>
      <c r="NC207" s="32"/>
      <c r="ND207" s="32"/>
      <c r="NE207" s="32"/>
      <c r="NF207" s="32"/>
      <c r="NG207" s="32"/>
      <c r="NH207" s="32"/>
      <c r="NI207" s="32"/>
      <c r="NJ207" s="32"/>
      <c r="NK207" s="32"/>
      <c r="NL207" s="32"/>
      <c r="NM207" s="32"/>
      <c r="NN207" s="32"/>
      <c r="NO207" s="32"/>
      <c r="NP207" s="32"/>
      <c r="NQ207" s="32"/>
      <c r="NR207" s="32"/>
      <c r="NS207" s="32"/>
      <c r="NT207" s="32"/>
      <c r="NU207" s="32"/>
      <c r="NV207" s="32"/>
      <c r="NW207" s="32"/>
      <c r="NX207" s="32"/>
      <c r="NY207" s="32"/>
      <c r="NZ207" s="32"/>
      <c r="OA207" s="32"/>
      <c r="OB207" s="32"/>
      <c r="OC207" s="32"/>
      <c r="OD207" s="32"/>
      <c r="OE207" s="32"/>
      <c r="OF207" s="32"/>
      <c r="OG207" s="32"/>
      <c r="OH207" s="32"/>
      <c r="OI207" s="32"/>
      <c r="OJ207" s="32"/>
      <c r="OK207" s="32"/>
      <c r="OL207" s="32"/>
      <c r="OM207" s="32"/>
      <c r="ON207" s="32"/>
      <c r="OO207" s="32"/>
      <c r="OP207" s="32"/>
      <c r="OQ207" s="32"/>
      <c r="OR207" s="32"/>
      <c r="OS207" s="32"/>
      <c r="OT207" s="32"/>
      <c r="OU207" s="32"/>
      <c r="OV207" s="32"/>
      <c r="OW207" s="32"/>
      <c r="OX207" s="32"/>
      <c r="OY207" s="32"/>
      <c r="OZ207" s="32"/>
      <c r="PA207" s="32"/>
      <c r="PB207" s="32"/>
      <c r="PC207" s="32"/>
      <c r="PD207" s="32"/>
      <c r="PE207" s="32"/>
      <c r="PF207" s="32"/>
      <c r="PG207" s="32"/>
      <c r="PH207" s="32"/>
      <c r="PI207" s="32"/>
      <c r="PJ207" s="32"/>
      <c r="PK207" s="32"/>
      <c r="PL207" s="32"/>
      <c r="PM207" s="32"/>
      <c r="PN207" s="32"/>
      <c r="PO207" s="32"/>
      <c r="PP207" s="32"/>
      <c r="PQ207" s="32"/>
      <c r="PR207" s="32"/>
      <c r="PS207" s="32"/>
      <c r="PT207" s="32"/>
      <c r="PU207" s="32"/>
      <c r="PV207" s="32"/>
      <c r="PW207" s="32"/>
      <c r="PX207" s="32"/>
      <c r="PY207" s="32"/>
      <c r="PZ207" s="32"/>
      <c r="QA207" s="32"/>
      <c r="QB207" s="32"/>
      <c r="QC207" s="32"/>
      <c r="QD207" s="32"/>
      <c r="QE207" s="32"/>
      <c r="QF207" s="32"/>
      <c r="QG207" s="32"/>
      <c r="QH207" s="32"/>
      <c r="QI207" s="32"/>
      <c r="QJ207" s="32"/>
      <c r="QK207" s="32"/>
      <c r="QL207" s="32"/>
      <c r="QM207" s="32"/>
      <c r="QN207" s="32"/>
      <c r="QO207" s="32"/>
      <c r="QP207" s="32"/>
      <c r="QQ207" s="32"/>
      <c r="QR207" s="32"/>
      <c r="QS207" s="32"/>
      <c r="QT207" s="32"/>
      <c r="QU207" s="32"/>
      <c r="QV207" s="32"/>
      <c r="QW207" s="32"/>
      <c r="QX207" s="32"/>
      <c r="QY207" s="32"/>
      <c r="QZ207" s="32"/>
      <c r="RA207" s="32"/>
      <c r="RB207" s="32"/>
      <c r="RC207" s="32"/>
      <c r="RD207" s="32"/>
      <c r="RE207" s="32"/>
      <c r="RF207" s="32"/>
      <c r="RG207" s="32"/>
      <c r="RH207" s="32"/>
      <c r="RI207" s="32"/>
      <c r="RJ207" s="32"/>
      <c r="RK207" s="32"/>
      <c r="RL207" s="32"/>
      <c r="RM207" s="32"/>
      <c r="RN207" s="32"/>
      <c r="RO207" s="32"/>
      <c r="RP207" s="32"/>
      <c r="RQ207" s="32"/>
      <c r="RR207" s="32"/>
      <c r="RS207" s="32"/>
      <c r="RT207" s="32"/>
      <c r="RU207" s="32"/>
      <c r="RV207" s="32"/>
      <c r="RW207" s="32"/>
      <c r="RX207" s="32"/>
      <c r="RY207" s="32"/>
      <c r="RZ207" s="32"/>
      <c r="SA207" s="32"/>
      <c r="SB207" s="32"/>
      <c r="SC207" s="32"/>
      <c r="SD207" s="32"/>
      <c r="SE207" s="32"/>
      <c r="SF207" s="32"/>
      <c r="SG207" s="32"/>
      <c r="SH207" s="32"/>
      <c r="SI207" s="32"/>
      <c r="SJ207" s="32"/>
      <c r="SK207" s="32"/>
      <c r="SL207" s="32"/>
      <c r="SM207" s="32"/>
      <c r="SN207" s="32"/>
      <c r="SO207" s="32"/>
      <c r="SP207" s="32"/>
      <c r="SQ207" s="32"/>
      <c r="SR207" s="32"/>
      <c r="SS207" s="32"/>
      <c r="ST207" s="32"/>
      <c r="SU207" s="32"/>
      <c r="SV207" s="32"/>
      <c r="SW207" s="32"/>
      <c r="SX207" s="32"/>
      <c r="SY207" s="32"/>
      <c r="SZ207" s="32"/>
      <c r="TA207" s="32"/>
      <c r="TB207" s="32"/>
      <c r="TC207" s="32"/>
      <c r="TD207" s="32"/>
      <c r="TE207" s="32"/>
      <c r="TF207" s="32"/>
      <c r="TG207" s="32"/>
      <c r="TH207" s="32"/>
      <c r="TI207" s="32"/>
      <c r="TJ207" s="32"/>
      <c r="TK207" s="32"/>
      <c r="TL207" s="32"/>
      <c r="TM207" s="32"/>
      <c r="TN207" s="32"/>
      <c r="TO207" s="32"/>
      <c r="TP207" s="32"/>
      <c r="TQ207" s="32"/>
      <c r="TR207" s="32"/>
      <c r="TS207" s="32"/>
      <c r="TT207" s="32"/>
      <c r="TU207" s="32"/>
      <c r="TV207" s="32"/>
      <c r="TW207" s="32"/>
      <c r="TX207" s="32"/>
      <c r="TY207" s="32"/>
      <c r="TZ207" s="32"/>
      <c r="UA207" s="32"/>
      <c r="UB207" s="32"/>
      <c r="UC207" s="32"/>
      <c r="UD207" s="32"/>
      <c r="UE207" s="32"/>
      <c r="UF207" s="32"/>
      <c r="UG207" s="851"/>
    </row>
    <row r="208" spans="1:553" s="852" customFormat="1" ht="273.75" customHeight="1">
      <c r="A208" s="356" t="s">
        <v>15</v>
      </c>
      <c r="B208" s="356"/>
      <c r="C208" s="384" t="s">
        <v>69</v>
      </c>
      <c r="D208" s="376" t="s">
        <v>20</v>
      </c>
      <c r="E208" s="376">
        <v>479</v>
      </c>
      <c r="F208" s="385">
        <v>1</v>
      </c>
      <c r="G208" s="386" t="s">
        <v>935</v>
      </c>
      <c r="H208" s="441">
        <v>76.5</v>
      </c>
      <c r="I208" s="490">
        <v>76.5</v>
      </c>
      <c r="J208" s="477">
        <v>55000</v>
      </c>
      <c r="K208" s="388"/>
      <c r="L208" s="366">
        <f t="shared" si="41"/>
        <v>4207500</v>
      </c>
      <c r="M208" s="366"/>
      <c r="N208" s="366"/>
      <c r="O208" s="366"/>
      <c r="P208" s="366"/>
      <c r="Q208" s="1036" t="s">
        <v>234</v>
      </c>
      <c r="R208" s="1452"/>
      <c r="S208" s="308"/>
      <c r="T208" s="303"/>
      <c r="U208" s="306"/>
      <c r="V208" s="307"/>
      <c r="W208" s="306"/>
      <c r="X208" s="306">
        <f>I208</f>
        <v>76.5</v>
      </c>
      <c r="Y208" s="306"/>
      <c r="Z208" s="306"/>
      <c r="AA208" s="306"/>
      <c r="AB208" s="306"/>
      <c r="AC208" s="463"/>
      <c r="AD208" s="452"/>
      <c r="AE208" s="452"/>
      <c r="AF208" s="452"/>
      <c r="AG208" s="452"/>
      <c r="AH208" s="452"/>
      <c r="AI208" s="452"/>
      <c r="AJ208" s="452"/>
      <c r="AK208" s="452"/>
      <c r="AL208" s="104"/>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c r="CP208" s="32"/>
      <c r="CQ208" s="32"/>
      <c r="CR208" s="32"/>
      <c r="CS208" s="32"/>
      <c r="CT208" s="32"/>
      <c r="CU208" s="32"/>
      <c r="CV208" s="32"/>
      <c r="CW208" s="32"/>
      <c r="CX208" s="32"/>
      <c r="CY208" s="32"/>
      <c r="CZ208" s="32"/>
      <c r="DA208" s="32"/>
      <c r="DB208" s="32"/>
      <c r="DC208" s="32"/>
      <c r="DD208" s="32"/>
      <c r="DE208" s="32"/>
      <c r="DF208" s="32"/>
      <c r="DG208" s="32"/>
      <c r="DH208" s="32"/>
      <c r="DI208" s="32"/>
      <c r="DJ208" s="32"/>
      <c r="DK208" s="32"/>
      <c r="DL208" s="32"/>
      <c r="DM208" s="32"/>
      <c r="DN208" s="32"/>
      <c r="DO208" s="32"/>
      <c r="DP208" s="32"/>
      <c r="DQ208" s="32"/>
      <c r="DR208" s="32"/>
      <c r="DS208" s="32"/>
      <c r="DT208" s="32"/>
      <c r="DU208" s="32"/>
      <c r="DV208" s="32"/>
      <c r="DW208" s="32"/>
      <c r="DX208" s="32"/>
      <c r="DY208" s="32"/>
      <c r="DZ208" s="32"/>
      <c r="EA208" s="32"/>
      <c r="EB208" s="32"/>
      <c r="EC208" s="32"/>
      <c r="ED208" s="32"/>
      <c r="EE208" s="32"/>
      <c r="EF208" s="32"/>
      <c r="EG208" s="32"/>
      <c r="EH208" s="32"/>
      <c r="EI208" s="32"/>
      <c r="EJ208" s="32"/>
      <c r="EK208" s="32"/>
      <c r="EL208" s="32"/>
      <c r="EM208" s="32"/>
      <c r="EN208" s="32"/>
      <c r="EO208" s="32"/>
      <c r="EP208" s="32"/>
      <c r="EQ208" s="32"/>
      <c r="ER208" s="32"/>
      <c r="ES208" s="32"/>
      <c r="ET208" s="32"/>
      <c r="EU208" s="32"/>
      <c r="EV208" s="32"/>
      <c r="EW208" s="32"/>
      <c r="EX208" s="32"/>
      <c r="EY208" s="32"/>
      <c r="EZ208" s="32"/>
      <c r="FA208" s="32"/>
      <c r="FB208" s="32"/>
      <c r="FC208" s="32"/>
      <c r="FD208" s="32"/>
      <c r="FE208" s="32"/>
      <c r="FF208" s="32"/>
      <c r="FG208" s="32"/>
      <c r="FH208" s="32"/>
      <c r="FI208" s="32"/>
      <c r="FJ208" s="32"/>
      <c r="FK208" s="32"/>
      <c r="FL208" s="32"/>
      <c r="FM208" s="32"/>
      <c r="FN208" s="32"/>
      <c r="FO208" s="32"/>
      <c r="FP208" s="32"/>
      <c r="FQ208" s="32"/>
      <c r="FR208" s="32"/>
      <c r="FS208" s="32"/>
      <c r="FT208" s="32"/>
      <c r="FU208" s="32"/>
      <c r="FV208" s="32"/>
      <c r="FW208" s="32"/>
      <c r="FX208" s="32"/>
      <c r="FY208" s="32"/>
      <c r="FZ208" s="32"/>
      <c r="GA208" s="32"/>
      <c r="GB208" s="32"/>
      <c r="GC208" s="32"/>
      <c r="GD208" s="32"/>
      <c r="GE208" s="32"/>
      <c r="GF208" s="32"/>
      <c r="GG208" s="32"/>
      <c r="GH208" s="32"/>
      <c r="GI208" s="32"/>
      <c r="GJ208" s="32"/>
      <c r="GK208" s="32"/>
      <c r="GL208" s="32"/>
      <c r="GM208" s="32"/>
      <c r="GN208" s="32"/>
      <c r="GO208" s="32"/>
      <c r="GP208" s="32"/>
      <c r="GQ208" s="32"/>
      <c r="GR208" s="32"/>
      <c r="GS208" s="32"/>
      <c r="GT208" s="32"/>
      <c r="GU208" s="32"/>
      <c r="GV208" s="32"/>
      <c r="GW208" s="32"/>
      <c r="GX208" s="32"/>
      <c r="GY208" s="32"/>
      <c r="GZ208" s="32"/>
      <c r="HA208" s="32"/>
      <c r="HB208" s="32"/>
      <c r="HC208" s="32"/>
      <c r="HD208" s="32"/>
      <c r="HE208" s="32"/>
      <c r="HF208" s="32"/>
      <c r="HG208" s="32"/>
      <c r="HH208" s="32"/>
      <c r="HI208" s="32"/>
      <c r="HJ208" s="32"/>
      <c r="HK208" s="32"/>
      <c r="HL208" s="32"/>
      <c r="HM208" s="32"/>
      <c r="HN208" s="32"/>
      <c r="HO208" s="32"/>
      <c r="HP208" s="32"/>
      <c r="HQ208" s="32"/>
      <c r="HR208" s="32"/>
      <c r="HS208" s="32"/>
      <c r="HT208" s="32"/>
      <c r="HU208" s="32"/>
      <c r="HV208" s="32"/>
      <c r="HW208" s="32"/>
      <c r="HX208" s="32"/>
      <c r="HY208" s="32"/>
      <c r="HZ208" s="32"/>
      <c r="IA208" s="32"/>
      <c r="IB208" s="32"/>
      <c r="IC208" s="32"/>
      <c r="ID208" s="32"/>
      <c r="IE208" s="32"/>
      <c r="IF208" s="32"/>
      <c r="IG208" s="32"/>
      <c r="IH208" s="32"/>
      <c r="II208" s="32"/>
      <c r="IJ208" s="32"/>
      <c r="IK208" s="32"/>
      <c r="IL208" s="32"/>
      <c r="IM208" s="32"/>
      <c r="IN208" s="32"/>
      <c r="IO208" s="32"/>
      <c r="IP208" s="32"/>
      <c r="IQ208" s="32"/>
      <c r="IR208" s="32"/>
      <c r="IS208" s="32"/>
      <c r="IT208" s="32"/>
      <c r="IU208" s="32"/>
      <c r="IV208" s="32"/>
      <c r="IW208" s="32"/>
      <c r="IX208" s="32"/>
      <c r="IY208" s="32"/>
      <c r="IZ208" s="32"/>
      <c r="JA208" s="32"/>
      <c r="JB208" s="32"/>
      <c r="JC208" s="32"/>
      <c r="JD208" s="32"/>
      <c r="JE208" s="32"/>
      <c r="JF208" s="32"/>
      <c r="JG208" s="32"/>
      <c r="JH208" s="32"/>
      <c r="JI208" s="32"/>
      <c r="JJ208" s="32"/>
      <c r="JK208" s="32"/>
      <c r="JL208" s="32"/>
      <c r="JM208" s="32"/>
      <c r="JN208" s="32"/>
      <c r="JO208" s="32"/>
      <c r="JP208" s="32"/>
      <c r="JQ208" s="32"/>
      <c r="JR208" s="32"/>
      <c r="JS208" s="32"/>
      <c r="JT208" s="32"/>
      <c r="JU208" s="32"/>
      <c r="JV208" s="32"/>
      <c r="JW208" s="32"/>
      <c r="JX208" s="32"/>
      <c r="JY208" s="32"/>
      <c r="JZ208" s="32"/>
      <c r="KA208" s="32"/>
      <c r="KB208" s="32"/>
      <c r="KC208" s="32"/>
      <c r="KD208" s="32"/>
      <c r="KE208" s="32"/>
      <c r="KF208" s="32"/>
      <c r="KG208" s="32"/>
      <c r="KH208" s="32"/>
      <c r="KI208" s="32"/>
      <c r="KJ208" s="32"/>
      <c r="KK208" s="32"/>
      <c r="KL208" s="32"/>
      <c r="KM208" s="32"/>
      <c r="KN208" s="32"/>
      <c r="KO208" s="32"/>
      <c r="KP208" s="32"/>
      <c r="KQ208" s="32"/>
      <c r="KR208" s="32"/>
      <c r="KS208" s="32"/>
      <c r="KT208" s="32"/>
      <c r="KU208" s="32"/>
      <c r="KV208" s="32"/>
      <c r="KW208" s="32"/>
      <c r="KX208" s="32"/>
      <c r="KY208" s="32"/>
      <c r="KZ208" s="32"/>
      <c r="LA208" s="32"/>
      <c r="LB208" s="32"/>
      <c r="LC208" s="32"/>
      <c r="LD208" s="32"/>
      <c r="LE208" s="32"/>
      <c r="LF208" s="32"/>
      <c r="LG208" s="32"/>
      <c r="LH208" s="32"/>
      <c r="LI208" s="32"/>
      <c r="LJ208" s="32"/>
      <c r="LK208" s="32"/>
      <c r="LL208" s="32"/>
      <c r="LM208" s="32"/>
      <c r="LN208" s="32"/>
      <c r="LO208" s="32"/>
      <c r="LP208" s="32"/>
      <c r="LQ208" s="32"/>
      <c r="LR208" s="32"/>
      <c r="LS208" s="32"/>
      <c r="LT208" s="32"/>
      <c r="LU208" s="32"/>
      <c r="LV208" s="32"/>
      <c r="LW208" s="32"/>
      <c r="LX208" s="32"/>
      <c r="LY208" s="32"/>
      <c r="LZ208" s="32"/>
      <c r="MA208" s="32"/>
      <c r="MB208" s="32"/>
      <c r="MC208" s="32"/>
      <c r="MD208" s="32"/>
      <c r="ME208" s="32"/>
      <c r="MF208" s="32"/>
      <c r="MG208" s="32"/>
      <c r="MH208" s="32"/>
      <c r="MI208" s="32"/>
      <c r="MJ208" s="32"/>
      <c r="MK208" s="32"/>
      <c r="ML208" s="32"/>
      <c r="MM208" s="32"/>
      <c r="MN208" s="32"/>
      <c r="MO208" s="32"/>
      <c r="MP208" s="32"/>
      <c r="MQ208" s="32"/>
      <c r="MR208" s="32"/>
      <c r="MS208" s="32"/>
      <c r="MT208" s="32"/>
      <c r="MU208" s="32"/>
      <c r="MV208" s="32"/>
      <c r="MW208" s="32"/>
      <c r="MX208" s="32"/>
      <c r="MY208" s="32"/>
      <c r="MZ208" s="32"/>
      <c r="NA208" s="32"/>
      <c r="NB208" s="32"/>
      <c r="NC208" s="32"/>
      <c r="ND208" s="32"/>
      <c r="NE208" s="32"/>
      <c r="NF208" s="32"/>
      <c r="NG208" s="32"/>
      <c r="NH208" s="32"/>
      <c r="NI208" s="32"/>
      <c r="NJ208" s="32"/>
      <c r="NK208" s="32"/>
      <c r="NL208" s="32"/>
      <c r="NM208" s="32"/>
      <c r="NN208" s="32"/>
      <c r="NO208" s="32"/>
      <c r="NP208" s="32"/>
      <c r="NQ208" s="32"/>
      <c r="NR208" s="32"/>
      <c r="NS208" s="32"/>
      <c r="NT208" s="32"/>
      <c r="NU208" s="32"/>
      <c r="NV208" s="32"/>
      <c r="NW208" s="32"/>
      <c r="NX208" s="32"/>
      <c r="NY208" s="32"/>
      <c r="NZ208" s="32"/>
      <c r="OA208" s="32"/>
      <c r="OB208" s="32"/>
      <c r="OC208" s="32"/>
      <c r="OD208" s="32"/>
      <c r="OE208" s="32"/>
      <c r="OF208" s="32"/>
      <c r="OG208" s="32"/>
      <c r="OH208" s="32"/>
      <c r="OI208" s="32"/>
      <c r="OJ208" s="32"/>
      <c r="OK208" s="32"/>
      <c r="OL208" s="32"/>
      <c r="OM208" s="32"/>
      <c r="ON208" s="32"/>
      <c r="OO208" s="32"/>
      <c r="OP208" s="32"/>
      <c r="OQ208" s="32"/>
      <c r="OR208" s="32"/>
      <c r="OS208" s="32"/>
      <c r="OT208" s="32"/>
      <c r="OU208" s="32"/>
      <c r="OV208" s="32"/>
      <c r="OW208" s="32"/>
      <c r="OX208" s="32"/>
      <c r="OY208" s="32"/>
      <c r="OZ208" s="32"/>
      <c r="PA208" s="32"/>
      <c r="PB208" s="32"/>
      <c r="PC208" s="32"/>
      <c r="PD208" s="32"/>
      <c r="PE208" s="32"/>
      <c r="PF208" s="32"/>
      <c r="PG208" s="32"/>
      <c r="PH208" s="32"/>
      <c r="PI208" s="32"/>
      <c r="PJ208" s="32"/>
      <c r="PK208" s="32"/>
      <c r="PL208" s="32"/>
      <c r="PM208" s="32"/>
      <c r="PN208" s="32"/>
      <c r="PO208" s="32"/>
      <c r="PP208" s="32"/>
      <c r="PQ208" s="32"/>
      <c r="PR208" s="32"/>
      <c r="PS208" s="32"/>
      <c r="PT208" s="32"/>
      <c r="PU208" s="32"/>
      <c r="PV208" s="32"/>
      <c r="PW208" s="32"/>
      <c r="PX208" s="32"/>
      <c r="PY208" s="32"/>
      <c r="PZ208" s="32"/>
      <c r="QA208" s="32"/>
      <c r="QB208" s="32"/>
      <c r="QC208" s="32"/>
      <c r="QD208" s="32"/>
      <c r="QE208" s="32"/>
      <c r="QF208" s="32"/>
      <c r="QG208" s="32"/>
      <c r="QH208" s="32"/>
      <c r="QI208" s="32"/>
      <c r="QJ208" s="32"/>
      <c r="QK208" s="32"/>
      <c r="QL208" s="32"/>
      <c r="QM208" s="32"/>
      <c r="QN208" s="32"/>
      <c r="QO208" s="32"/>
      <c r="QP208" s="32"/>
      <c r="QQ208" s="32"/>
      <c r="QR208" s="32"/>
      <c r="QS208" s="32"/>
      <c r="QT208" s="32"/>
      <c r="QU208" s="32"/>
      <c r="QV208" s="32"/>
      <c r="QW208" s="32"/>
      <c r="QX208" s="32"/>
      <c r="QY208" s="32"/>
      <c r="QZ208" s="32"/>
      <c r="RA208" s="32"/>
      <c r="RB208" s="32"/>
      <c r="RC208" s="32"/>
      <c r="RD208" s="32"/>
      <c r="RE208" s="32"/>
      <c r="RF208" s="32"/>
      <c r="RG208" s="32"/>
      <c r="RH208" s="32"/>
      <c r="RI208" s="32"/>
      <c r="RJ208" s="32"/>
      <c r="RK208" s="32"/>
      <c r="RL208" s="32"/>
      <c r="RM208" s="32"/>
      <c r="RN208" s="32"/>
      <c r="RO208" s="32"/>
      <c r="RP208" s="32"/>
      <c r="RQ208" s="32"/>
      <c r="RR208" s="32"/>
      <c r="RS208" s="32"/>
      <c r="RT208" s="32"/>
      <c r="RU208" s="32"/>
      <c r="RV208" s="32"/>
      <c r="RW208" s="32"/>
      <c r="RX208" s="32"/>
      <c r="RY208" s="32"/>
      <c r="RZ208" s="32"/>
      <c r="SA208" s="32"/>
      <c r="SB208" s="32"/>
      <c r="SC208" s="32"/>
      <c r="SD208" s="32"/>
      <c r="SE208" s="32"/>
      <c r="SF208" s="32"/>
      <c r="SG208" s="32"/>
      <c r="SH208" s="32"/>
      <c r="SI208" s="32"/>
      <c r="SJ208" s="32"/>
      <c r="SK208" s="32"/>
      <c r="SL208" s="32"/>
      <c r="SM208" s="32"/>
      <c r="SN208" s="32"/>
      <c r="SO208" s="32"/>
      <c r="SP208" s="32"/>
      <c r="SQ208" s="32"/>
      <c r="SR208" s="32"/>
      <c r="SS208" s="32"/>
      <c r="ST208" s="32"/>
      <c r="SU208" s="32"/>
      <c r="SV208" s="32"/>
      <c r="SW208" s="32"/>
      <c r="SX208" s="32"/>
      <c r="SY208" s="32"/>
      <c r="SZ208" s="32"/>
      <c r="TA208" s="32"/>
      <c r="TB208" s="32"/>
      <c r="TC208" s="32"/>
      <c r="TD208" s="32"/>
      <c r="TE208" s="32"/>
      <c r="TF208" s="32"/>
      <c r="TG208" s="32"/>
      <c r="TH208" s="32"/>
      <c r="TI208" s="32"/>
      <c r="TJ208" s="32"/>
      <c r="TK208" s="32"/>
      <c r="TL208" s="32"/>
      <c r="TM208" s="32"/>
      <c r="TN208" s="32"/>
      <c r="TO208" s="32"/>
      <c r="TP208" s="32"/>
      <c r="TQ208" s="32"/>
      <c r="TR208" s="32"/>
      <c r="TS208" s="32"/>
      <c r="TT208" s="32"/>
      <c r="TU208" s="32"/>
      <c r="TV208" s="32"/>
      <c r="TW208" s="32"/>
      <c r="TX208" s="32"/>
      <c r="TY208" s="32"/>
      <c r="TZ208" s="32"/>
      <c r="UA208" s="32"/>
      <c r="UB208" s="32"/>
      <c r="UC208" s="32"/>
      <c r="UD208" s="32"/>
      <c r="UE208" s="32"/>
      <c r="UF208" s="32"/>
      <c r="UG208" s="851"/>
    </row>
    <row r="209" spans="1:553" ht="154.5" customHeight="1">
      <c r="A209" s="356" t="s">
        <v>15</v>
      </c>
      <c r="B209" s="356"/>
      <c r="C209" s="384" t="s">
        <v>213</v>
      </c>
      <c r="D209" s="376">
        <v>2</v>
      </c>
      <c r="E209" s="376">
        <v>292</v>
      </c>
      <c r="F209" s="385">
        <v>1</v>
      </c>
      <c r="G209" s="386" t="s">
        <v>935</v>
      </c>
      <c r="H209" s="441">
        <v>76.8</v>
      </c>
      <c r="I209" s="490">
        <v>76.8</v>
      </c>
      <c r="J209" s="368">
        <v>62000</v>
      </c>
      <c r="K209" s="388"/>
      <c r="L209" s="366">
        <f t="shared" si="41"/>
        <v>4761600</v>
      </c>
      <c r="M209" s="366"/>
      <c r="N209" s="366"/>
      <c r="O209" s="366"/>
      <c r="P209" s="366"/>
      <c r="Q209" s="1036" t="s">
        <v>235</v>
      </c>
      <c r="R209" s="1447" t="s">
        <v>127</v>
      </c>
      <c r="S209" s="308"/>
      <c r="T209" s="303"/>
      <c r="U209" s="306"/>
      <c r="V209" s="307"/>
      <c r="W209" s="306"/>
      <c r="X209" s="306"/>
      <c r="Y209" s="306"/>
      <c r="Z209" s="306"/>
      <c r="AA209" s="306">
        <f>I209</f>
        <v>76.8</v>
      </c>
      <c r="AB209" s="306"/>
      <c r="AC209" s="373"/>
      <c r="AD209" s="389"/>
      <c r="AE209" s="389"/>
      <c r="AF209" s="389"/>
      <c r="AG209" s="389"/>
      <c r="AH209" s="389"/>
      <c r="AI209" s="389"/>
      <c r="AJ209" s="389"/>
      <c r="AK209" s="389"/>
      <c r="AL209" s="101"/>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c r="EZ209" s="22"/>
      <c r="FA209" s="22"/>
      <c r="FB209" s="22"/>
      <c r="FC209" s="22"/>
      <c r="FD209" s="22"/>
      <c r="FE209" s="22"/>
      <c r="FF209" s="22"/>
      <c r="FG209" s="22"/>
      <c r="FH209" s="22"/>
      <c r="FI209" s="22"/>
      <c r="FJ209" s="22"/>
      <c r="FK209" s="22"/>
      <c r="FL209" s="22"/>
      <c r="FM209" s="22"/>
      <c r="FN209" s="22"/>
      <c r="FO209" s="22"/>
      <c r="FP209" s="22"/>
      <c r="FQ209" s="22"/>
      <c r="FR209" s="22"/>
      <c r="FS209" s="22"/>
      <c r="FT209" s="22"/>
      <c r="FU209" s="22"/>
      <c r="FV209" s="22"/>
      <c r="FW209" s="22"/>
      <c r="FX209" s="22"/>
      <c r="FY209" s="22"/>
      <c r="FZ209" s="22"/>
      <c r="GA209" s="22"/>
      <c r="GB209" s="22"/>
      <c r="GC209" s="22"/>
      <c r="GD209" s="22"/>
      <c r="GE209" s="22"/>
      <c r="GF209" s="22"/>
      <c r="GG209" s="22"/>
      <c r="GH209" s="22"/>
      <c r="GI209" s="22"/>
      <c r="GJ209" s="22"/>
      <c r="GK209" s="22"/>
      <c r="GL209" s="22"/>
      <c r="GM209" s="22"/>
      <c r="GN209" s="22"/>
      <c r="GO209" s="22"/>
      <c r="GP209" s="22"/>
      <c r="GQ209" s="22"/>
      <c r="GR209" s="22"/>
      <c r="GS209" s="22"/>
      <c r="GT209" s="22"/>
      <c r="GU209" s="22"/>
      <c r="GV209" s="22"/>
      <c r="GW209" s="22"/>
      <c r="GX209" s="22"/>
      <c r="GY209" s="22"/>
      <c r="GZ209" s="22"/>
      <c r="HA209" s="22"/>
      <c r="HB209" s="22"/>
      <c r="HC209" s="22"/>
      <c r="HD209" s="22"/>
      <c r="HE209" s="22"/>
      <c r="HF209" s="22"/>
      <c r="HG209" s="22"/>
      <c r="HH209" s="22"/>
      <c r="HI209" s="22"/>
      <c r="HJ209" s="22"/>
      <c r="HK209" s="22"/>
      <c r="HL209" s="22"/>
      <c r="HM209" s="22"/>
      <c r="HN209" s="22"/>
      <c r="HO209" s="22"/>
      <c r="HP209" s="22"/>
      <c r="HQ209" s="22"/>
      <c r="HR209" s="22"/>
      <c r="HS209" s="22"/>
      <c r="HT209" s="22"/>
      <c r="HU209" s="22"/>
      <c r="HV209" s="22"/>
      <c r="HW209" s="22"/>
      <c r="HX209" s="22"/>
      <c r="HY209" s="22"/>
      <c r="HZ209" s="22"/>
      <c r="IA209" s="22"/>
      <c r="IB209" s="22"/>
      <c r="IC209" s="22"/>
      <c r="ID209" s="22"/>
      <c r="IE209" s="22"/>
      <c r="IF209" s="22"/>
      <c r="IG209" s="22"/>
      <c r="IH209" s="22"/>
      <c r="II209" s="22"/>
      <c r="IJ209" s="22"/>
      <c r="IK209" s="22"/>
      <c r="IL209" s="22"/>
      <c r="IM209" s="22"/>
      <c r="IN209" s="22"/>
      <c r="IO209" s="22"/>
      <c r="IP209" s="22"/>
      <c r="IQ209" s="22"/>
      <c r="IR209" s="22"/>
      <c r="IS209" s="22"/>
      <c r="IT209" s="22"/>
      <c r="IU209" s="22"/>
      <c r="IV209" s="22"/>
      <c r="IW209" s="22"/>
      <c r="IX209" s="22"/>
      <c r="IY209" s="22"/>
      <c r="IZ209" s="22"/>
      <c r="JA209" s="22"/>
      <c r="JB209" s="22"/>
      <c r="JC209" s="22"/>
      <c r="JD209" s="22"/>
      <c r="JE209" s="22"/>
      <c r="JF209" s="22"/>
      <c r="JG209" s="22"/>
      <c r="JH209" s="22"/>
      <c r="JI209" s="22"/>
      <c r="JJ209" s="22"/>
      <c r="JK209" s="22"/>
      <c r="JL209" s="22"/>
      <c r="JM209" s="22"/>
      <c r="JN209" s="22"/>
      <c r="JO209" s="22"/>
      <c r="JP209" s="22"/>
      <c r="JQ209" s="22"/>
      <c r="JR209" s="22"/>
      <c r="JS209" s="22"/>
      <c r="JT209" s="22"/>
      <c r="JU209" s="22"/>
      <c r="JV209" s="22"/>
      <c r="JW209" s="22"/>
      <c r="JX209" s="22"/>
      <c r="JY209" s="22"/>
      <c r="JZ209" s="22"/>
      <c r="KA209" s="22"/>
      <c r="KB209" s="22"/>
      <c r="KC209" s="22"/>
      <c r="KD209" s="22"/>
      <c r="KE209" s="22"/>
      <c r="KF209" s="22"/>
      <c r="KG209" s="22"/>
      <c r="KH209" s="22"/>
      <c r="KI209" s="22"/>
      <c r="KJ209" s="22"/>
      <c r="KK209" s="22"/>
      <c r="KL209" s="22"/>
      <c r="KM209" s="22"/>
      <c r="KN209" s="22"/>
      <c r="KO209" s="22"/>
      <c r="KP209" s="22"/>
      <c r="KQ209" s="22"/>
      <c r="KR209" s="22"/>
      <c r="KS209" s="22"/>
      <c r="KT209" s="22"/>
      <c r="KU209" s="22"/>
      <c r="KV209" s="22"/>
      <c r="KW209" s="22"/>
      <c r="KX209" s="22"/>
      <c r="KY209" s="22"/>
      <c r="KZ209" s="22"/>
      <c r="LA209" s="22"/>
      <c r="LB209" s="22"/>
      <c r="LC209" s="22"/>
      <c r="LD209" s="22"/>
      <c r="LE209" s="22"/>
      <c r="LF209" s="22"/>
      <c r="LG209" s="22"/>
      <c r="LH209" s="22"/>
      <c r="LI209" s="22"/>
      <c r="LJ209" s="22"/>
      <c r="LK209" s="22"/>
      <c r="LL209" s="22"/>
      <c r="LM209" s="22"/>
      <c r="LN209" s="22"/>
      <c r="LO209" s="22"/>
      <c r="LP209" s="22"/>
      <c r="LQ209" s="22"/>
      <c r="LR209" s="22"/>
      <c r="LS209" s="22"/>
      <c r="LT209" s="22"/>
      <c r="LU209" s="22"/>
      <c r="LV209" s="22"/>
      <c r="LW209" s="22"/>
      <c r="LX209" s="22"/>
      <c r="LY209" s="22"/>
      <c r="LZ209" s="22"/>
      <c r="MA209" s="22"/>
      <c r="MB209" s="22"/>
      <c r="MC209" s="22"/>
      <c r="MD209" s="22"/>
      <c r="ME209" s="22"/>
      <c r="MF209" s="22"/>
      <c r="MG209" s="22"/>
      <c r="MH209" s="22"/>
      <c r="MI209" s="22"/>
      <c r="MJ209" s="22"/>
      <c r="MK209" s="22"/>
      <c r="ML209" s="22"/>
      <c r="MM209" s="22"/>
      <c r="MN209" s="22"/>
      <c r="MO209" s="22"/>
      <c r="MP209" s="22"/>
      <c r="MQ209" s="22"/>
      <c r="MR209" s="22"/>
      <c r="MS209" s="22"/>
      <c r="MT209" s="22"/>
      <c r="MU209" s="22"/>
      <c r="MV209" s="22"/>
      <c r="MW209" s="22"/>
      <c r="MX209" s="22"/>
      <c r="MY209" s="22"/>
      <c r="MZ209" s="22"/>
      <c r="NA209" s="22"/>
      <c r="NB209" s="22"/>
      <c r="NC209" s="22"/>
      <c r="ND209" s="22"/>
      <c r="NE209" s="22"/>
      <c r="NF209" s="22"/>
      <c r="NG209" s="22"/>
      <c r="NH209" s="22"/>
      <c r="NI209" s="22"/>
      <c r="NJ209" s="22"/>
      <c r="NK209" s="22"/>
      <c r="NL209" s="22"/>
      <c r="NM209" s="22"/>
      <c r="NN209" s="22"/>
      <c r="NO209" s="22"/>
      <c r="NP209" s="22"/>
      <c r="NQ209" s="22"/>
      <c r="NR209" s="22"/>
      <c r="NS209" s="22"/>
      <c r="NT209" s="22"/>
      <c r="NU209" s="22"/>
      <c r="NV209" s="22"/>
      <c r="NW209" s="22"/>
      <c r="NX209" s="22"/>
      <c r="NY209" s="22"/>
      <c r="NZ209" s="22"/>
      <c r="OA209" s="22"/>
      <c r="OB209" s="22"/>
      <c r="OC209" s="22"/>
      <c r="OD209" s="22"/>
      <c r="OE209" s="22"/>
      <c r="OF209" s="22"/>
      <c r="OG209" s="22"/>
      <c r="OH209" s="22"/>
      <c r="OI209" s="22"/>
      <c r="OJ209" s="22"/>
      <c r="OK209" s="22"/>
      <c r="OL209" s="22"/>
      <c r="OM209" s="22"/>
      <c r="ON209" s="22"/>
      <c r="OO209" s="22"/>
      <c r="OP209" s="22"/>
      <c r="OQ209" s="22"/>
      <c r="OR209" s="22"/>
      <c r="OS209" s="22"/>
      <c r="OT209" s="22"/>
      <c r="OU209" s="22"/>
      <c r="OV209" s="22"/>
      <c r="OW209" s="22"/>
      <c r="OX209" s="22"/>
      <c r="OY209" s="22"/>
      <c r="OZ209" s="22"/>
      <c r="PA209" s="22"/>
      <c r="PB209" s="22"/>
      <c r="PC209" s="22"/>
      <c r="PD209" s="22"/>
      <c r="PE209" s="22"/>
      <c r="PF209" s="22"/>
      <c r="PG209" s="22"/>
      <c r="PH209" s="22"/>
      <c r="PI209" s="22"/>
      <c r="PJ209" s="22"/>
      <c r="PK209" s="22"/>
      <c r="PL209" s="22"/>
      <c r="PM209" s="22"/>
      <c r="PN209" s="22"/>
      <c r="PO209" s="22"/>
      <c r="PP209" s="22"/>
      <c r="PQ209" s="22"/>
      <c r="PR209" s="22"/>
      <c r="PS209" s="22"/>
      <c r="PT209" s="22"/>
      <c r="PU209" s="22"/>
      <c r="PV209" s="22"/>
      <c r="PW209" s="22"/>
      <c r="PX209" s="22"/>
      <c r="PY209" s="22"/>
      <c r="PZ209" s="22"/>
      <c r="QA209" s="22"/>
      <c r="QB209" s="22"/>
      <c r="QC209" s="22"/>
      <c r="QD209" s="22"/>
      <c r="QE209" s="22"/>
      <c r="QF209" s="22"/>
      <c r="QG209" s="22"/>
      <c r="QH209" s="22"/>
      <c r="QI209" s="22"/>
      <c r="QJ209" s="22"/>
      <c r="QK209" s="22"/>
      <c r="QL209" s="22"/>
      <c r="QM209" s="22"/>
      <c r="QN209" s="22"/>
      <c r="QO209" s="22"/>
      <c r="QP209" s="22"/>
      <c r="QQ209" s="22"/>
      <c r="QR209" s="22"/>
      <c r="QS209" s="22"/>
      <c r="QT209" s="22"/>
      <c r="QU209" s="22"/>
      <c r="QV209" s="22"/>
      <c r="QW209" s="22"/>
      <c r="QX209" s="22"/>
      <c r="QY209" s="22"/>
      <c r="QZ209" s="22"/>
      <c r="RA209" s="22"/>
      <c r="RB209" s="22"/>
      <c r="RC209" s="22"/>
      <c r="RD209" s="22"/>
      <c r="RE209" s="22"/>
      <c r="RF209" s="22"/>
      <c r="RG209" s="22"/>
      <c r="RH209" s="22"/>
      <c r="RI209" s="22"/>
      <c r="RJ209" s="22"/>
      <c r="RK209" s="22"/>
      <c r="RL209" s="22"/>
      <c r="RM209" s="22"/>
      <c r="RN209" s="22"/>
      <c r="RO209" s="22"/>
      <c r="RP209" s="22"/>
      <c r="RQ209" s="22"/>
      <c r="RR209" s="22"/>
      <c r="RS209" s="22"/>
      <c r="RT209" s="22"/>
      <c r="RU209" s="22"/>
      <c r="RV209" s="22"/>
      <c r="RW209" s="22"/>
      <c r="RX209" s="22"/>
      <c r="RY209" s="22"/>
      <c r="RZ209" s="22"/>
      <c r="SA209" s="22"/>
      <c r="SB209" s="22"/>
      <c r="SC209" s="22"/>
      <c r="SD209" s="22"/>
      <c r="SE209" s="22"/>
      <c r="SF209" s="22"/>
      <c r="SG209" s="22"/>
      <c r="SH209" s="22"/>
      <c r="SI209" s="22"/>
      <c r="SJ209" s="22"/>
      <c r="SK209" s="22"/>
      <c r="SL209" s="22"/>
      <c r="SM209" s="22"/>
      <c r="SN209" s="22"/>
      <c r="SO209" s="22"/>
      <c r="SP209" s="22"/>
      <c r="SQ209" s="22"/>
      <c r="SR209" s="22"/>
      <c r="SS209" s="22"/>
      <c r="ST209" s="22"/>
      <c r="SU209" s="22"/>
      <c r="SV209" s="22"/>
      <c r="SW209" s="22"/>
      <c r="SX209" s="22"/>
      <c r="SY209" s="22"/>
      <c r="SZ209" s="22"/>
      <c r="TA209" s="22"/>
      <c r="TB209" s="22"/>
      <c r="TC209" s="22"/>
      <c r="TD209" s="22"/>
      <c r="TE209" s="22"/>
      <c r="TF209" s="22"/>
      <c r="TG209" s="22"/>
      <c r="TH209" s="22"/>
      <c r="TI209" s="22"/>
      <c r="TJ209" s="22"/>
      <c r="TK209" s="22"/>
      <c r="TL209" s="22"/>
      <c r="TM209" s="22"/>
      <c r="TN209" s="22"/>
      <c r="TO209" s="22"/>
      <c r="TP209" s="22"/>
      <c r="TQ209" s="22"/>
      <c r="TR209" s="22"/>
      <c r="TS209" s="22"/>
      <c r="TT209" s="22"/>
      <c r="TU209" s="22"/>
      <c r="TV209" s="22"/>
      <c r="TW209" s="22"/>
      <c r="TX209" s="22"/>
      <c r="TY209" s="22"/>
      <c r="TZ209" s="22"/>
      <c r="UA209" s="22"/>
      <c r="UB209" s="22"/>
      <c r="UC209" s="22"/>
      <c r="UD209" s="22"/>
      <c r="UE209" s="22"/>
      <c r="UF209" s="22"/>
      <c r="UG209" s="23"/>
    </row>
    <row r="210" spans="1:553" s="169" customFormat="1" ht="154.5" customHeight="1">
      <c r="A210" s="356" t="s">
        <v>15</v>
      </c>
      <c r="B210" s="356"/>
      <c r="C210" s="384" t="s">
        <v>22</v>
      </c>
      <c r="D210" s="376">
        <v>2</v>
      </c>
      <c r="E210" s="376">
        <v>69</v>
      </c>
      <c r="F210" s="385">
        <v>1</v>
      </c>
      <c r="G210" s="386" t="s">
        <v>935</v>
      </c>
      <c r="H210" s="376">
        <v>203.4</v>
      </c>
      <c r="I210" s="422">
        <v>203.4</v>
      </c>
      <c r="J210" s="1061">
        <v>60000</v>
      </c>
      <c r="K210" s="388"/>
      <c r="L210" s="366">
        <f t="shared" si="41"/>
        <v>12204000</v>
      </c>
      <c r="M210" s="366"/>
      <c r="N210" s="366"/>
      <c r="O210" s="366"/>
      <c r="P210" s="366"/>
      <c r="Q210" s="1036" t="s">
        <v>222</v>
      </c>
      <c r="R210" s="1452"/>
      <c r="S210" s="308"/>
      <c r="T210" s="303"/>
      <c r="U210" s="306"/>
      <c r="V210" s="307"/>
      <c r="W210" s="306"/>
      <c r="X210" s="306"/>
      <c r="Y210" s="306"/>
      <c r="Z210" s="306"/>
      <c r="AA210" s="306"/>
      <c r="AB210" s="306">
        <f>I210</f>
        <v>203.4</v>
      </c>
      <c r="AC210" s="449"/>
      <c r="AD210" s="452"/>
      <c r="AE210" s="452"/>
      <c r="AF210" s="452"/>
      <c r="AG210" s="452"/>
      <c r="AH210" s="452"/>
      <c r="AI210" s="452"/>
      <c r="AJ210" s="452"/>
      <c r="AK210" s="452"/>
      <c r="AL210" s="890"/>
      <c r="AM210" s="165"/>
      <c r="AN210" s="165"/>
      <c r="AO210" s="165"/>
      <c r="AP210" s="165"/>
      <c r="AQ210" s="165"/>
      <c r="AR210" s="165"/>
      <c r="AS210" s="165"/>
      <c r="AT210" s="165"/>
      <c r="AU210" s="165"/>
      <c r="AV210" s="165"/>
      <c r="AW210" s="165"/>
      <c r="AX210" s="165"/>
      <c r="AY210" s="165"/>
      <c r="AZ210" s="165"/>
      <c r="BA210" s="165"/>
      <c r="BB210" s="165"/>
      <c r="BC210" s="165"/>
      <c r="BD210" s="165"/>
      <c r="BE210" s="165"/>
      <c r="BF210" s="165"/>
      <c r="BG210" s="165"/>
      <c r="BH210" s="165"/>
      <c r="BI210" s="165"/>
      <c r="BJ210" s="165"/>
      <c r="BK210" s="165"/>
      <c r="BL210" s="165"/>
      <c r="BM210" s="165"/>
      <c r="BN210" s="165"/>
      <c r="BO210" s="165"/>
      <c r="BP210" s="165"/>
      <c r="BQ210" s="165"/>
      <c r="BR210" s="165"/>
      <c r="BS210" s="165"/>
      <c r="BT210" s="165"/>
      <c r="BU210" s="165"/>
      <c r="BV210" s="165"/>
      <c r="BW210" s="165"/>
      <c r="BX210" s="165"/>
      <c r="BY210" s="165"/>
      <c r="BZ210" s="165"/>
      <c r="CA210" s="165"/>
      <c r="CB210" s="165"/>
      <c r="CC210" s="165"/>
      <c r="CD210" s="165"/>
      <c r="CE210" s="165"/>
      <c r="CF210" s="165"/>
      <c r="CG210" s="165"/>
      <c r="CH210" s="165"/>
      <c r="CI210" s="165"/>
      <c r="CJ210" s="165"/>
      <c r="CK210" s="165"/>
      <c r="CL210" s="165"/>
      <c r="CM210" s="165"/>
      <c r="CN210" s="165"/>
      <c r="CO210" s="165"/>
      <c r="CP210" s="165"/>
      <c r="CQ210" s="165"/>
      <c r="CR210" s="165"/>
      <c r="CS210" s="165"/>
      <c r="CT210" s="165"/>
      <c r="CU210" s="165"/>
      <c r="CV210" s="165"/>
      <c r="CW210" s="165"/>
      <c r="CX210" s="165"/>
      <c r="CY210" s="165"/>
      <c r="CZ210" s="165"/>
      <c r="DA210" s="165"/>
      <c r="DB210" s="165"/>
      <c r="DC210" s="165"/>
      <c r="DD210" s="165"/>
      <c r="DE210" s="165"/>
      <c r="DF210" s="165"/>
      <c r="DG210" s="165"/>
      <c r="DH210" s="165"/>
      <c r="DI210" s="165"/>
      <c r="DJ210" s="165"/>
      <c r="DK210" s="165"/>
      <c r="DL210" s="165"/>
      <c r="DM210" s="165"/>
      <c r="DN210" s="165"/>
      <c r="DO210" s="165"/>
      <c r="DP210" s="165"/>
      <c r="DQ210" s="165"/>
      <c r="DR210" s="165"/>
      <c r="DS210" s="165"/>
      <c r="DT210" s="165"/>
      <c r="DU210" s="165"/>
      <c r="DV210" s="165"/>
      <c r="DW210" s="165"/>
      <c r="DX210" s="165"/>
      <c r="DY210" s="165"/>
      <c r="DZ210" s="165"/>
      <c r="EA210" s="165"/>
      <c r="EB210" s="165"/>
      <c r="EC210" s="165"/>
      <c r="ED210" s="165"/>
      <c r="EE210" s="165"/>
      <c r="EF210" s="165"/>
      <c r="EG210" s="165"/>
      <c r="EH210" s="165"/>
      <c r="EI210" s="165"/>
      <c r="EJ210" s="165"/>
      <c r="EK210" s="165"/>
      <c r="EL210" s="165"/>
      <c r="EM210" s="165"/>
      <c r="EN210" s="165"/>
      <c r="EO210" s="165"/>
      <c r="EP210" s="165"/>
      <c r="EQ210" s="165"/>
      <c r="ER210" s="165"/>
      <c r="ES210" s="165"/>
      <c r="ET210" s="165"/>
      <c r="EU210" s="165"/>
      <c r="EV210" s="165"/>
      <c r="EW210" s="165"/>
      <c r="EX210" s="165"/>
      <c r="EY210" s="165"/>
      <c r="EZ210" s="165"/>
      <c r="FA210" s="165"/>
      <c r="FB210" s="165"/>
      <c r="FC210" s="165"/>
      <c r="FD210" s="165"/>
      <c r="FE210" s="165"/>
      <c r="FF210" s="165"/>
      <c r="FG210" s="165"/>
      <c r="FH210" s="165"/>
      <c r="FI210" s="165"/>
      <c r="FJ210" s="165"/>
      <c r="FK210" s="165"/>
      <c r="FL210" s="165"/>
      <c r="FM210" s="165"/>
      <c r="FN210" s="165"/>
      <c r="FO210" s="165"/>
      <c r="FP210" s="165"/>
      <c r="FQ210" s="165"/>
      <c r="FR210" s="165"/>
      <c r="FS210" s="165"/>
      <c r="FT210" s="165"/>
      <c r="FU210" s="165"/>
      <c r="FV210" s="165"/>
      <c r="FW210" s="165"/>
      <c r="FX210" s="165"/>
      <c r="FY210" s="165"/>
      <c r="FZ210" s="165"/>
      <c r="GA210" s="165"/>
      <c r="GB210" s="165"/>
      <c r="GC210" s="165"/>
      <c r="GD210" s="165"/>
      <c r="GE210" s="165"/>
      <c r="GF210" s="165"/>
      <c r="GG210" s="165"/>
      <c r="GH210" s="165"/>
      <c r="GI210" s="165"/>
      <c r="GJ210" s="165"/>
      <c r="GK210" s="165"/>
      <c r="GL210" s="165"/>
      <c r="GM210" s="165"/>
      <c r="GN210" s="165"/>
      <c r="GO210" s="165"/>
      <c r="GP210" s="165"/>
      <c r="GQ210" s="165"/>
      <c r="GR210" s="165"/>
      <c r="GS210" s="165"/>
      <c r="GT210" s="165"/>
      <c r="GU210" s="165"/>
      <c r="GV210" s="165"/>
      <c r="GW210" s="165"/>
      <c r="GX210" s="165"/>
      <c r="GY210" s="165"/>
      <c r="GZ210" s="165"/>
      <c r="HA210" s="165"/>
      <c r="HB210" s="165"/>
      <c r="HC210" s="165"/>
      <c r="HD210" s="165"/>
      <c r="HE210" s="165"/>
      <c r="HF210" s="165"/>
      <c r="HG210" s="165"/>
      <c r="HH210" s="165"/>
      <c r="HI210" s="165"/>
      <c r="HJ210" s="165"/>
      <c r="HK210" s="165"/>
      <c r="HL210" s="165"/>
      <c r="HM210" s="165"/>
      <c r="HN210" s="165"/>
      <c r="HO210" s="165"/>
      <c r="HP210" s="165"/>
      <c r="HQ210" s="165"/>
      <c r="HR210" s="165"/>
      <c r="HS210" s="165"/>
      <c r="HT210" s="165"/>
      <c r="HU210" s="165"/>
      <c r="HV210" s="165"/>
      <c r="HW210" s="165"/>
      <c r="HX210" s="165"/>
      <c r="HY210" s="165"/>
      <c r="HZ210" s="165"/>
      <c r="IA210" s="165"/>
      <c r="IB210" s="165"/>
      <c r="IC210" s="165"/>
      <c r="ID210" s="165"/>
      <c r="IE210" s="165"/>
      <c r="IF210" s="165"/>
      <c r="IG210" s="165"/>
      <c r="IH210" s="165"/>
      <c r="II210" s="165"/>
      <c r="IJ210" s="165"/>
      <c r="IK210" s="165"/>
      <c r="IL210" s="165"/>
      <c r="IM210" s="165"/>
      <c r="IN210" s="165"/>
      <c r="IO210" s="165"/>
      <c r="IP210" s="165"/>
      <c r="IQ210" s="165"/>
      <c r="IR210" s="165"/>
      <c r="IS210" s="165"/>
      <c r="IT210" s="165"/>
      <c r="IU210" s="165"/>
      <c r="IV210" s="165"/>
      <c r="IW210" s="165"/>
      <c r="IX210" s="165"/>
      <c r="IY210" s="165"/>
      <c r="IZ210" s="165"/>
      <c r="JA210" s="165"/>
      <c r="JB210" s="165"/>
      <c r="JC210" s="165"/>
      <c r="JD210" s="165"/>
      <c r="JE210" s="165"/>
      <c r="JF210" s="165"/>
      <c r="JG210" s="165"/>
      <c r="JH210" s="165"/>
      <c r="JI210" s="165"/>
      <c r="JJ210" s="165"/>
      <c r="JK210" s="165"/>
      <c r="JL210" s="165"/>
      <c r="JM210" s="165"/>
      <c r="JN210" s="165"/>
      <c r="JO210" s="165"/>
      <c r="JP210" s="165"/>
      <c r="JQ210" s="165"/>
      <c r="JR210" s="165"/>
      <c r="JS210" s="165"/>
      <c r="JT210" s="165"/>
      <c r="JU210" s="165"/>
      <c r="JV210" s="165"/>
      <c r="JW210" s="165"/>
      <c r="JX210" s="165"/>
      <c r="JY210" s="165"/>
      <c r="JZ210" s="165"/>
      <c r="KA210" s="165"/>
      <c r="KB210" s="165"/>
      <c r="KC210" s="165"/>
      <c r="KD210" s="165"/>
      <c r="KE210" s="165"/>
      <c r="KF210" s="165"/>
      <c r="KG210" s="165"/>
      <c r="KH210" s="165"/>
      <c r="KI210" s="165"/>
      <c r="KJ210" s="165"/>
      <c r="KK210" s="165"/>
      <c r="KL210" s="165"/>
      <c r="KM210" s="165"/>
      <c r="KN210" s="165"/>
      <c r="KO210" s="165"/>
      <c r="KP210" s="165"/>
      <c r="KQ210" s="165"/>
      <c r="KR210" s="165"/>
      <c r="KS210" s="165"/>
      <c r="KT210" s="165"/>
      <c r="KU210" s="165"/>
      <c r="KV210" s="165"/>
      <c r="KW210" s="165"/>
      <c r="KX210" s="165"/>
      <c r="KY210" s="165"/>
      <c r="KZ210" s="165"/>
      <c r="LA210" s="165"/>
      <c r="LB210" s="165"/>
      <c r="LC210" s="165"/>
      <c r="LD210" s="165"/>
      <c r="LE210" s="165"/>
      <c r="LF210" s="165"/>
      <c r="LG210" s="165"/>
      <c r="LH210" s="165"/>
      <c r="LI210" s="165"/>
      <c r="LJ210" s="165"/>
      <c r="LK210" s="165"/>
      <c r="LL210" s="165"/>
      <c r="LM210" s="165"/>
      <c r="LN210" s="165"/>
      <c r="LO210" s="165"/>
      <c r="LP210" s="165"/>
      <c r="LQ210" s="165"/>
      <c r="LR210" s="165"/>
      <c r="LS210" s="165"/>
      <c r="LT210" s="165"/>
      <c r="LU210" s="165"/>
      <c r="LV210" s="165"/>
      <c r="LW210" s="165"/>
      <c r="LX210" s="165"/>
      <c r="LY210" s="165"/>
      <c r="LZ210" s="165"/>
      <c r="MA210" s="165"/>
      <c r="MB210" s="165"/>
      <c r="MC210" s="165"/>
      <c r="MD210" s="165"/>
      <c r="ME210" s="165"/>
      <c r="MF210" s="165"/>
      <c r="MG210" s="165"/>
      <c r="MH210" s="165"/>
      <c r="MI210" s="165"/>
      <c r="MJ210" s="165"/>
      <c r="MK210" s="165"/>
      <c r="ML210" s="165"/>
      <c r="MM210" s="165"/>
      <c r="MN210" s="165"/>
      <c r="MO210" s="165"/>
      <c r="MP210" s="165"/>
      <c r="MQ210" s="165"/>
      <c r="MR210" s="165"/>
      <c r="MS210" s="165"/>
      <c r="MT210" s="165"/>
      <c r="MU210" s="165"/>
      <c r="MV210" s="165"/>
      <c r="MW210" s="165"/>
      <c r="MX210" s="165"/>
      <c r="MY210" s="165"/>
      <c r="MZ210" s="165"/>
      <c r="NA210" s="165"/>
      <c r="NB210" s="165"/>
      <c r="NC210" s="165"/>
      <c r="ND210" s="165"/>
      <c r="NE210" s="165"/>
      <c r="NF210" s="165"/>
      <c r="NG210" s="165"/>
      <c r="NH210" s="165"/>
      <c r="NI210" s="165"/>
      <c r="NJ210" s="165"/>
      <c r="NK210" s="165"/>
      <c r="NL210" s="165"/>
      <c r="NM210" s="165"/>
      <c r="NN210" s="165"/>
      <c r="NO210" s="165"/>
      <c r="NP210" s="165"/>
      <c r="NQ210" s="165"/>
      <c r="NR210" s="165"/>
      <c r="NS210" s="165"/>
      <c r="NT210" s="165"/>
      <c r="NU210" s="165"/>
      <c r="NV210" s="165"/>
      <c r="NW210" s="165"/>
      <c r="NX210" s="165"/>
      <c r="NY210" s="165"/>
      <c r="NZ210" s="165"/>
      <c r="OA210" s="165"/>
      <c r="OB210" s="165"/>
      <c r="OC210" s="165"/>
      <c r="OD210" s="165"/>
      <c r="OE210" s="165"/>
      <c r="OF210" s="165"/>
      <c r="OG210" s="165"/>
      <c r="OH210" s="165"/>
      <c r="OI210" s="165"/>
      <c r="OJ210" s="165"/>
      <c r="OK210" s="165"/>
      <c r="OL210" s="165"/>
      <c r="OM210" s="165"/>
      <c r="ON210" s="165"/>
      <c r="OO210" s="165"/>
      <c r="OP210" s="165"/>
      <c r="OQ210" s="165"/>
      <c r="OR210" s="165"/>
      <c r="OS210" s="165"/>
      <c r="OT210" s="165"/>
      <c r="OU210" s="165"/>
      <c r="OV210" s="165"/>
      <c r="OW210" s="165"/>
      <c r="OX210" s="165"/>
      <c r="OY210" s="165"/>
      <c r="OZ210" s="165"/>
      <c r="PA210" s="165"/>
      <c r="PB210" s="165"/>
      <c r="PC210" s="165"/>
      <c r="PD210" s="165"/>
      <c r="PE210" s="165"/>
      <c r="PF210" s="165"/>
      <c r="PG210" s="165"/>
      <c r="PH210" s="165"/>
      <c r="PI210" s="165"/>
      <c r="PJ210" s="165"/>
      <c r="PK210" s="165"/>
      <c r="PL210" s="165"/>
      <c r="PM210" s="165"/>
      <c r="PN210" s="165"/>
      <c r="PO210" s="165"/>
      <c r="PP210" s="165"/>
      <c r="PQ210" s="165"/>
      <c r="PR210" s="165"/>
      <c r="PS210" s="165"/>
      <c r="PT210" s="165"/>
      <c r="PU210" s="165"/>
      <c r="PV210" s="165"/>
      <c r="PW210" s="165"/>
      <c r="PX210" s="165"/>
      <c r="PY210" s="165"/>
      <c r="PZ210" s="165"/>
      <c r="QA210" s="165"/>
      <c r="QB210" s="165"/>
      <c r="QC210" s="165"/>
      <c r="QD210" s="165"/>
      <c r="QE210" s="165"/>
      <c r="QF210" s="165"/>
      <c r="QG210" s="165"/>
      <c r="QH210" s="165"/>
      <c r="QI210" s="165"/>
      <c r="QJ210" s="165"/>
      <c r="QK210" s="165"/>
      <c r="QL210" s="165"/>
      <c r="QM210" s="165"/>
      <c r="QN210" s="165"/>
      <c r="QO210" s="165"/>
      <c r="QP210" s="165"/>
      <c r="QQ210" s="165"/>
      <c r="QR210" s="165"/>
      <c r="QS210" s="165"/>
      <c r="QT210" s="165"/>
      <c r="QU210" s="165"/>
      <c r="QV210" s="165"/>
      <c r="QW210" s="165"/>
      <c r="QX210" s="165"/>
      <c r="QY210" s="165"/>
      <c r="QZ210" s="165"/>
      <c r="RA210" s="165"/>
      <c r="RB210" s="165"/>
      <c r="RC210" s="165"/>
      <c r="RD210" s="165"/>
      <c r="RE210" s="165"/>
      <c r="RF210" s="165"/>
      <c r="RG210" s="165"/>
      <c r="RH210" s="165"/>
      <c r="RI210" s="165"/>
      <c r="RJ210" s="165"/>
      <c r="RK210" s="165"/>
      <c r="RL210" s="165"/>
      <c r="RM210" s="165"/>
      <c r="RN210" s="165"/>
      <c r="RO210" s="165"/>
      <c r="RP210" s="165"/>
      <c r="RQ210" s="165"/>
      <c r="RR210" s="165"/>
      <c r="RS210" s="165"/>
      <c r="RT210" s="165"/>
      <c r="RU210" s="165"/>
      <c r="RV210" s="165"/>
      <c r="RW210" s="165"/>
      <c r="RX210" s="165"/>
      <c r="RY210" s="165"/>
      <c r="RZ210" s="165"/>
      <c r="SA210" s="165"/>
      <c r="SB210" s="165"/>
      <c r="SC210" s="165"/>
      <c r="SD210" s="165"/>
      <c r="SE210" s="165"/>
      <c r="SF210" s="165"/>
      <c r="SG210" s="165"/>
      <c r="SH210" s="165"/>
      <c r="SI210" s="165"/>
      <c r="SJ210" s="165"/>
      <c r="SK210" s="165"/>
      <c r="SL210" s="165"/>
      <c r="SM210" s="165"/>
      <c r="SN210" s="165"/>
      <c r="SO210" s="165"/>
      <c r="SP210" s="165"/>
      <c r="SQ210" s="165"/>
      <c r="SR210" s="165"/>
      <c r="SS210" s="165"/>
      <c r="ST210" s="165"/>
      <c r="SU210" s="165"/>
      <c r="SV210" s="165"/>
      <c r="SW210" s="165"/>
      <c r="SX210" s="165"/>
      <c r="SY210" s="165"/>
      <c r="SZ210" s="165"/>
      <c r="TA210" s="165"/>
      <c r="TB210" s="165"/>
      <c r="TC210" s="165"/>
      <c r="TD210" s="165"/>
      <c r="TE210" s="165"/>
      <c r="TF210" s="165"/>
      <c r="TG210" s="165"/>
      <c r="TH210" s="165"/>
      <c r="TI210" s="165"/>
      <c r="TJ210" s="165"/>
      <c r="TK210" s="165"/>
      <c r="TL210" s="165"/>
      <c r="TM210" s="165"/>
      <c r="TN210" s="165"/>
      <c r="TO210" s="165"/>
      <c r="TP210" s="165"/>
      <c r="TQ210" s="165"/>
      <c r="TR210" s="165"/>
      <c r="TS210" s="165"/>
      <c r="TT210" s="165"/>
      <c r="TU210" s="165"/>
      <c r="TV210" s="165"/>
      <c r="TW210" s="165"/>
      <c r="TX210" s="165"/>
      <c r="TY210" s="165"/>
      <c r="TZ210" s="165"/>
      <c r="UA210" s="165"/>
      <c r="UB210" s="165"/>
      <c r="UC210" s="165"/>
      <c r="UD210" s="165"/>
      <c r="UE210" s="165"/>
      <c r="UF210" s="165"/>
      <c r="UG210" s="891"/>
    </row>
    <row r="211" spans="1:553" ht="154.5" customHeight="1">
      <c r="A211" s="356" t="s">
        <v>15</v>
      </c>
      <c r="B211" s="356"/>
      <c r="C211" s="384" t="s">
        <v>26</v>
      </c>
      <c r="D211" s="376">
        <v>2</v>
      </c>
      <c r="E211" s="376">
        <v>493</v>
      </c>
      <c r="F211" s="385">
        <v>1</v>
      </c>
      <c r="G211" s="386" t="s">
        <v>935</v>
      </c>
      <c r="H211" s="441">
        <v>47.6</v>
      </c>
      <c r="I211" s="490">
        <v>47.6</v>
      </c>
      <c r="J211" s="368">
        <v>40000</v>
      </c>
      <c r="K211" s="388"/>
      <c r="L211" s="366">
        <f t="shared" si="41"/>
        <v>1904000</v>
      </c>
      <c r="M211" s="366"/>
      <c r="N211" s="366"/>
      <c r="O211" s="366"/>
      <c r="P211" s="366"/>
      <c r="Q211" s="1133" t="s">
        <v>236</v>
      </c>
      <c r="R211" s="1452"/>
      <c r="S211" s="308"/>
      <c r="T211" s="303"/>
      <c r="U211" s="306"/>
      <c r="V211" s="307"/>
      <c r="W211" s="306"/>
      <c r="X211" s="306"/>
      <c r="Y211" s="306">
        <f>I211</f>
        <v>47.6</v>
      </c>
      <c r="Z211" s="306"/>
      <c r="AA211" s="306"/>
      <c r="AB211" s="306"/>
      <c r="AC211" s="449"/>
      <c r="AD211" s="452"/>
      <c r="AE211" s="452"/>
      <c r="AF211" s="452"/>
      <c r="AG211" s="452"/>
      <c r="AH211" s="452"/>
      <c r="AI211" s="452"/>
      <c r="AJ211" s="452"/>
      <c r="AK211" s="452"/>
      <c r="AL211" s="106"/>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c r="BJ211" s="31"/>
      <c r="BK211" s="31"/>
      <c r="BL211" s="31"/>
      <c r="BM211" s="31"/>
      <c r="BN211" s="31"/>
      <c r="BO211" s="31"/>
      <c r="BP211" s="31"/>
      <c r="BQ211" s="31"/>
      <c r="BR211" s="31"/>
      <c r="BS211" s="31"/>
      <c r="BT211" s="31"/>
      <c r="BU211" s="31"/>
      <c r="BV211" s="31"/>
      <c r="BW211" s="31"/>
      <c r="BX211" s="31"/>
      <c r="BY211" s="31"/>
      <c r="BZ211" s="31"/>
      <c r="CA211" s="31"/>
      <c r="CB211" s="31"/>
      <c r="CC211" s="31"/>
      <c r="CD211" s="31"/>
      <c r="CE211" s="31"/>
      <c r="CF211" s="31"/>
      <c r="CG211" s="31"/>
      <c r="CH211" s="31"/>
      <c r="CI211" s="31"/>
      <c r="CJ211" s="31"/>
      <c r="CK211" s="31"/>
      <c r="CL211" s="31"/>
      <c r="CM211" s="31"/>
      <c r="CN211" s="31"/>
      <c r="CO211" s="31"/>
      <c r="CP211" s="31"/>
      <c r="CQ211" s="31"/>
      <c r="CR211" s="31"/>
      <c r="CS211" s="31"/>
      <c r="CT211" s="31"/>
      <c r="CU211" s="31"/>
      <c r="CV211" s="31"/>
      <c r="CW211" s="31"/>
      <c r="CX211" s="31"/>
      <c r="CY211" s="31"/>
      <c r="CZ211" s="31"/>
      <c r="DA211" s="31"/>
      <c r="DB211" s="31"/>
      <c r="DC211" s="31"/>
      <c r="DD211" s="31"/>
      <c r="DE211" s="31"/>
      <c r="DF211" s="31"/>
      <c r="DG211" s="31"/>
      <c r="DH211" s="31"/>
      <c r="DI211" s="31"/>
      <c r="DJ211" s="31"/>
      <c r="DK211" s="31"/>
      <c r="DL211" s="31"/>
      <c r="DM211" s="31"/>
      <c r="DN211" s="31"/>
      <c r="DO211" s="31"/>
      <c r="DP211" s="31"/>
      <c r="DQ211" s="31"/>
      <c r="DR211" s="31"/>
      <c r="DS211" s="31"/>
      <c r="DT211" s="31"/>
      <c r="DU211" s="31"/>
      <c r="DV211" s="31"/>
      <c r="DW211" s="31"/>
      <c r="DX211" s="31"/>
      <c r="DY211" s="31"/>
      <c r="DZ211" s="31"/>
      <c r="EA211" s="31"/>
      <c r="EB211" s="31"/>
      <c r="EC211" s="31"/>
      <c r="ED211" s="31"/>
      <c r="EE211" s="31"/>
      <c r="EF211" s="31"/>
      <c r="EG211" s="31"/>
      <c r="EH211" s="31"/>
      <c r="EI211" s="31"/>
      <c r="EJ211" s="31"/>
      <c r="EK211" s="31"/>
      <c r="EL211" s="31"/>
      <c r="EM211" s="31"/>
      <c r="EN211" s="31"/>
      <c r="EO211" s="31"/>
      <c r="EP211" s="31"/>
      <c r="EQ211" s="31"/>
      <c r="ER211" s="31"/>
      <c r="ES211" s="31"/>
      <c r="ET211" s="31"/>
      <c r="EU211" s="31"/>
      <c r="EV211" s="31"/>
      <c r="EW211" s="31"/>
      <c r="EX211" s="31"/>
      <c r="EY211" s="31"/>
      <c r="EZ211" s="31"/>
      <c r="FA211" s="31"/>
      <c r="FB211" s="31"/>
      <c r="FC211" s="31"/>
      <c r="FD211" s="31"/>
      <c r="FE211" s="31"/>
      <c r="FF211" s="31"/>
      <c r="FG211" s="31"/>
      <c r="FH211" s="31"/>
      <c r="FI211" s="31"/>
      <c r="FJ211" s="31"/>
      <c r="FK211" s="31"/>
      <c r="FL211" s="31"/>
      <c r="FM211" s="31"/>
      <c r="FN211" s="31"/>
      <c r="FO211" s="31"/>
      <c r="FP211" s="31"/>
      <c r="FQ211" s="31"/>
      <c r="FR211" s="31"/>
      <c r="FS211" s="31"/>
      <c r="FT211" s="31"/>
      <c r="FU211" s="31"/>
      <c r="FV211" s="31"/>
      <c r="FW211" s="31"/>
      <c r="FX211" s="31"/>
      <c r="FY211" s="31"/>
      <c r="FZ211" s="31"/>
      <c r="GA211" s="31"/>
      <c r="GB211" s="31"/>
      <c r="GC211" s="31"/>
      <c r="GD211" s="31"/>
      <c r="GE211" s="31"/>
      <c r="GF211" s="31"/>
      <c r="GG211" s="31"/>
      <c r="GH211" s="31"/>
      <c r="GI211" s="31"/>
      <c r="GJ211" s="31"/>
      <c r="GK211" s="31"/>
      <c r="GL211" s="31"/>
      <c r="GM211" s="31"/>
      <c r="GN211" s="31"/>
      <c r="GO211" s="31"/>
      <c r="GP211" s="31"/>
      <c r="GQ211" s="31"/>
      <c r="GR211" s="31"/>
      <c r="GS211" s="31"/>
      <c r="GT211" s="31"/>
      <c r="GU211" s="31"/>
      <c r="GV211" s="31"/>
      <c r="GW211" s="31"/>
      <c r="GX211" s="31"/>
      <c r="GY211" s="31"/>
      <c r="GZ211" s="31"/>
      <c r="HA211" s="31"/>
      <c r="HB211" s="31"/>
      <c r="HC211" s="31"/>
      <c r="HD211" s="31"/>
      <c r="HE211" s="31"/>
      <c r="HF211" s="31"/>
      <c r="HG211" s="31"/>
      <c r="HH211" s="31"/>
      <c r="HI211" s="31"/>
      <c r="HJ211" s="31"/>
      <c r="HK211" s="31"/>
      <c r="HL211" s="31"/>
      <c r="HM211" s="31"/>
      <c r="HN211" s="31"/>
      <c r="HO211" s="31"/>
      <c r="HP211" s="31"/>
      <c r="HQ211" s="31"/>
      <c r="HR211" s="31"/>
      <c r="HS211" s="31"/>
      <c r="HT211" s="31"/>
      <c r="HU211" s="31"/>
      <c r="HV211" s="31"/>
      <c r="HW211" s="31"/>
      <c r="HX211" s="31"/>
      <c r="HY211" s="31"/>
      <c r="HZ211" s="31"/>
      <c r="IA211" s="31"/>
      <c r="IB211" s="31"/>
      <c r="IC211" s="31"/>
      <c r="ID211" s="31"/>
      <c r="IE211" s="31"/>
      <c r="IF211" s="31"/>
      <c r="IG211" s="31"/>
      <c r="IH211" s="31"/>
      <c r="II211" s="31"/>
      <c r="IJ211" s="31"/>
      <c r="IK211" s="31"/>
      <c r="IL211" s="31"/>
      <c r="IM211" s="31"/>
      <c r="IN211" s="31"/>
      <c r="IO211" s="31"/>
      <c r="IP211" s="31"/>
      <c r="IQ211" s="31"/>
      <c r="IR211" s="31"/>
      <c r="IS211" s="31"/>
      <c r="IT211" s="31"/>
      <c r="IU211" s="31"/>
      <c r="IV211" s="31"/>
      <c r="IW211" s="31"/>
      <c r="IX211" s="31"/>
      <c r="IY211" s="31"/>
      <c r="IZ211" s="31"/>
      <c r="JA211" s="31"/>
      <c r="JB211" s="31"/>
      <c r="JC211" s="31"/>
      <c r="JD211" s="31"/>
      <c r="JE211" s="31"/>
      <c r="JF211" s="31"/>
      <c r="JG211" s="31"/>
      <c r="JH211" s="31"/>
      <c r="JI211" s="31"/>
      <c r="JJ211" s="31"/>
      <c r="JK211" s="31"/>
      <c r="JL211" s="31"/>
      <c r="JM211" s="31"/>
      <c r="JN211" s="31"/>
      <c r="JO211" s="31"/>
      <c r="JP211" s="31"/>
      <c r="JQ211" s="31"/>
      <c r="JR211" s="31"/>
      <c r="JS211" s="31"/>
      <c r="JT211" s="31"/>
      <c r="JU211" s="31"/>
      <c r="JV211" s="31"/>
      <c r="JW211" s="31"/>
      <c r="JX211" s="31"/>
      <c r="JY211" s="31"/>
      <c r="JZ211" s="31"/>
      <c r="KA211" s="31"/>
      <c r="KB211" s="31"/>
      <c r="KC211" s="31"/>
      <c r="KD211" s="31"/>
      <c r="KE211" s="31"/>
      <c r="KF211" s="31"/>
      <c r="KG211" s="31"/>
      <c r="KH211" s="31"/>
      <c r="KI211" s="31"/>
      <c r="KJ211" s="31"/>
      <c r="KK211" s="31"/>
      <c r="KL211" s="31"/>
      <c r="KM211" s="31"/>
      <c r="KN211" s="31"/>
      <c r="KO211" s="31"/>
      <c r="KP211" s="31"/>
      <c r="KQ211" s="31"/>
      <c r="KR211" s="31"/>
      <c r="KS211" s="31"/>
      <c r="KT211" s="31"/>
      <c r="KU211" s="31"/>
      <c r="KV211" s="31"/>
      <c r="KW211" s="31"/>
      <c r="KX211" s="31"/>
      <c r="KY211" s="31"/>
      <c r="KZ211" s="31"/>
      <c r="LA211" s="31"/>
      <c r="LB211" s="31"/>
      <c r="LC211" s="31"/>
      <c r="LD211" s="31"/>
      <c r="LE211" s="31"/>
      <c r="LF211" s="31"/>
      <c r="LG211" s="31"/>
      <c r="LH211" s="31"/>
      <c r="LI211" s="31"/>
      <c r="LJ211" s="31"/>
      <c r="LK211" s="31"/>
      <c r="LL211" s="31"/>
      <c r="LM211" s="31"/>
      <c r="LN211" s="31"/>
      <c r="LO211" s="31"/>
      <c r="LP211" s="31"/>
      <c r="LQ211" s="31"/>
      <c r="LR211" s="31"/>
      <c r="LS211" s="31"/>
      <c r="LT211" s="31"/>
      <c r="LU211" s="31"/>
      <c r="LV211" s="31"/>
      <c r="LW211" s="31"/>
      <c r="LX211" s="31"/>
      <c r="LY211" s="31"/>
      <c r="LZ211" s="31"/>
      <c r="MA211" s="31"/>
      <c r="MB211" s="31"/>
      <c r="MC211" s="31"/>
      <c r="MD211" s="31"/>
      <c r="ME211" s="31"/>
      <c r="MF211" s="31"/>
      <c r="MG211" s="31"/>
      <c r="MH211" s="31"/>
      <c r="MI211" s="31"/>
      <c r="MJ211" s="31"/>
      <c r="MK211" s="31"/>
      <c r="ML211" s="31"/>
      <c r="MM211" s="31"/>
      <c r="MN211" s="31"/>
      <c r="MO211" s="31"/>
      <c r="MP211" s="31"/>
      <c r="MQ211" s="31"/>
      <c r="MR211" s="31"/>
      <c r="MS211" s="31"/>
      <c r="MT211" s="31"/>
      <c r="MU211" s="31"/>
      <c r="MV211" s="31"/>
      <c r="MW211" s="31"/>
      <c r="MX211" s="31"/>
      <c r="MY211" s="31"/>
      <c r="MZ211" s="31"/>
      <c r="NA211" s="31"/>
      <c r="NB211" s="31"/>
      <c r="NC211" s="31"/>
      <c r="ND211" s="31"/>
      <c r="NE211" s="31"/>
      <c r="NF211" s="31"/>
      <c r="NG211" s="31"/>
      <c r="NH211" s="31"/>
      <c r="NI211" s="31"/>
      <c r="NJ211" s="31"/>
      <c r="NK211" s="31"/>
      <c r="NL211" s="31"/>
      <c r="NM211" s="31"/>
      <c r="NN211" s="31"/>
      <c r="NO211" s="31"/>
      <c r="NP211" s="31"/>
      <c r="NQ211" s="31"/>
      <c r="NR211" s="31"/>
      <c r="NS211" s="31"/>
      <c r="NT211" s="31"/>
      <c r="NU211" s="31"/>
      <c r="NV211" s="31"/>
      <c r="NW211" s="31"/>
      <c r="NX211" s="31"/>
      <c r="NY211" s="31"/>
      <c r="NZ211" s="31"/>
      <c r="OA211" s="31"/>
      <c r="OB211" s="31"/>
      <c r="OC211" s="31"/>
      <c r="OD211" s="31"/>
      <c r="OE211" s="31"/>
      <c r="OF211" s="31"/>
      <c r="OG211" s="31"/>
      <c r="OH211" s="31"/>
      <c r="OI211" s="31"/>
      <c r="OJ211" s="31"/>
      <c r="OK211" s="31"/>
      <c r="OL211" s="31"/>
      <c r="OM211" s="31"/>
      <c r="ON211" s="31"/>
      <c r="OO211" s="31"/>
      <c r="OP211" s="31"/>
      <c r="OQ211" s="31"/>
      <c r="OR211" s="31"/>
      <c r="OS211" s="31"/>
      <c r="OT211" s="31"/>
      <c r="OU211" s="31"/>
      <c r="OV211" s="31"/>
      <c r="OW211" s="31"/>
      <c r="OX211" s="31"/>
      <c r="OY211" s="31"/>
      <c r="OZ211" s="31"/>
      <c r="PA211" s="31"/>
      <c r="PB211" s="31"/>
      <c r="PC211" s="31"/>
      <c r="PD211" s="31"/>
      <c r="PE211" s="31"/>
      <c r="PF211" s="31"/>
      <c r="PG211" s="31"/>
      <c r="PH211" s="31"/>
      <c r="PI211" s="31"/>
      <c r="PJ211" s="31"/>
      <c r="PK211" s="31"/>
      <c r="PL211" s="31"/>
      <c r="PM211" s="31"/>
      <c r="PN211" s="31"/>
      <c r="PO211" s="31"/>
      <c r="PP211" s="31"/>
      <c r="PQ211" s="31"/>
      <c r="PR211" s="31"/>
      <c r="PS211" s="31"/>
      <c r="PT211" s="31"/>
      <c r="PU211" s="31"/>
      <c r="PV211" s="31"/>
      <c r="PW211" s="31"/>
      <c r="PX211" s="31"/>
      <c r="PY211" s="31"/>
      <c r="PZ211" s="31"/>
      <c r="QA211" s="31"/>
      <c r="QB211" s="31"/>
      <c r="QC211" s="31"/>
      <c r="QD211" s="31"/>
      <c r="QE211" s="31"/>
      <c r="QF211" s="31"/>
      <c r="QG211" s="31"/>
      <c r="QH211" s="31"/>
      <c r="QI211" s="31"/>
      <c r="QJ211" s="31"/>
      <c r="QK211" s="31"/>
      <c r="QL211" s="31"/>
      <c r="QM211" s="31"/>
      <c r="QN211" s="31"/>
      <c r="QO211" s="31"/>
      <c r="QP211" s="31"/>
      <c r="QQ211" s="31"/>
      <c r="QR211" s="31"/>
      <c r="QS211" s="31"/>
      <c r="QT211" s="31"/>
      <c r="QU211" s="31"/>
      <c r="QV211" s="31"/>
      <c r="QW211" s="31"/>
      <c r="QX211" s="31"/>
      <c r="QY211" s="31"/>
      <c r="QZ211" s="31"/>
      <c r="RA211" s="31"/>
      <c r="RB211" s="31"/>
      <c r="RC211" s="31"/>
      <c r="RD211" s="31"/>
      <c r="RE211" s="31"/>
      <c r="RF211" s="31"/>
      <c r="RG211" s="31"/>
      <c r="RH211" s="31"/>
      <c r="RI211" s="31"/>
      <c r="RJ211" s="31"/>
      <c r="RK211" s="31"/>
      <c r="RL211" s="31"/>
      <c r="RM211" s="31"/>
      <c r="RN211" s="31"/>
      <c r="RO211" s="31"/>
      <c r="RP211" s="31"/>
      <c r="RQ211" s="31"/>
      <c r="RR211" s="31"/>
      <c r="RS211" s="31"/>
      <c r="RT211" s="31"/>
      <c r="RU211" s="31"/>
      <c r="RV211" s="31"/>
      <c r="RW211" s="31"/>
      <c r="RX211" s="31"/>
      <c r="RY211" s="31"/>
      <c r="RZ211" s="31"/>
      <c r="SA211" s="31"/>
      <c r="SB211" s="31"/>
      <c r="SC211" s="31"/>
      <c r="SD211" s="31"/>
      <c r="SE211" s="31"/>
      <c r="SF211" s="31"/>
      <c r="SG211" s="31"/>
      <c r="SH211" s="31"/>
      <c r="SI211" s="31"/>
      <c r="SJ211" s="31"/>
      <c r="SK211" s="31"/>
      <c r="SL211" s="31"/>
      <c r="SM211" s="31"/>
      <c r="SN211" s="31"/>
      <c r="SO211" s="31"/>
      <c r="SP211" s="31"/>
      <c r="SQ211" s="31"/>
      <c r="SR211" s="31"/>
      <c r="SS211" s="31"/>
      <c r="ST211" s="31"/>
      <c r="SU211" s="31"/>
      <c r="SV211" s="31"/>
      <c r="SW211" s="31"/>
      <c r="SX211" s="31"/>
      <c r="SY211" s="31"/>
      <c r="SZ211" s="31"/>
      <c r="TA211" s="31"/>
      <c r="TB211" s="31"/>
      <c r="TC211" s="31"/>
      <c r="TD211" s="31"/>
      <c r="TE211" s="31"/>
      <c r="TF211" s="31"/>
      <c r="TG211" s="31"/>
      <c r="TH211" s="31"/>
      <c r="TI211" s="31"/>
      <c r="TJ211" s="31"/>
      <c r="TK211" s="31"/>
      <c r="TL211" s="31"/>
      <c r="TM211" s="31"/>
      <c r="TN211" s="31"/>
      <c r="TO211" s="31"/>
      <c r="TP211" s="31"/>
      <c r="TQ211" s="31"/>
      <c r="TR211" s="31"/>
      <c r="TS211" s="31"/>
      <c r="TT211" s="31"/>
      <c r="TU211" s="31"/>
      <c r="TV211" s="31"/>
      <c r="TW211" s="31"/>
      <c r="TX211" s="31"/>
      <c r="TY211" s="31"/>
      <c r="TZ211" s="31"/>
      <c r="UA211" s="31"/>
      <c r="UB211" s="31"/>
      <c r="UC211" s="31"/>
      <c r="UD211" s="31"/>
      <c r="UE211" s="31"/>
      <c r="UF211" s="31"/>
      <c r="UG211" s="33"/>
    </row>
    <row r="212" spans="1:553" ht="89.25" customHeight="1">
      <c r="A212" s="356" t="s">
        <v>27</v>
      </c>
      <c r="B212" s="356"/>
      <c r="C212" s="1413" t="s">
        <v>28</v>
      </c>
      <c r="D212" s="1389"/>
      <c r="E212" s="1389"/>
      <c r="F212" s="1390"/>
      <c r="G212" s="356"/>
      <c r="H212" s="359"/>
      <c r="I212" s="359"/>
      <c r="J212" s="357"/>
      <c r="K212" s="364"/>
      <c r="L212" s="356">
        <f>SUM(L214:L242)</f>
        <v>424793164.44909996</v>
      </c>
      <c r="M212" s="356"/>
      <c r="N212" s="356"/>
      <c r="O212" s="356"/>
      <c r="P212" s="356">
        <f>L212</f>
        <v>424793164.44909996</v>
      </c>
      <c r="Q212" s="610"/>
      <c r="R212" s="1226" t="s">
        <v>1399</v>
      </c>
      <c r="S212" s="308"/>
      <c r="T212" s="303"/>
      <c r="U212" s="306"/>
      <c r="V212" s="307"/>
      <c r="W212" s="306"/>
      <c r="X212" s="306"/>
      <c r="Y212" s="306"/>
      <c r="Z212" s="306"/>
      <c r="AA212" s="306"/>
      <c r="AB212" s="306"/>
      <c r="AC212" s="454"/>
      <c r="AD212" s="454"/>
      <c r="AE212" s="454"/>
      <c r="AF212" s="454"/>
      <c r="AG212" s="454"/>
      <c r="AH212" s="454"/>
      <c r="AI212" s="454"/>
      <c r="AJ212" s="454"/>
      <c r="AK212" s="455"/>
      <c r="AL212" s="110"/>
      <c r="AM212" s="34"/>
      <c r="AN212" s="34"/>
      <c r="AO212" s="34"/>
      <c r="AP212" s="34"/>
      <c r="AQ212" s="34"/>
      <c r="AR212" s="34"/>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c r="CY212" s="36"/>
      <c r="CZ212" s="36"/>
      <c r="DA212" s="36"/>
      <c r="DB212" s="36"/>
      <c r="DC212" s="36"/>
      <c r="DD212" s="36"/>
      <c r="DE212" s="36"/>
      <c r="DF212" s="36"/>
      <c r="DG212" s="36"/>
      <c r="DH212" s="36"/>
      <c r="DI212" s="36"/>
      <c r="DJ212" s="36"/>
      <c r="DK212" s="36"/>
      <c r="DL212" s="36"/>
      <c r="DM212" s="36"/>
      <c r="DN212" s="36"/>
      <c r="DO212" s="36"/>
      <c r="DP212" s="36"/>
      <c r="DQ212" s="36"/>
      <c r="DR212" s="36"/>
      <c r="DS212" s="36"/>
      <c r="DT212" s="36"/>
      <c r="DU212" s="36"/>
      <c r="DV212" s="36"/>
      <c r="DW212" s="36"/>
      <c r="DX212" s="36"/>
      <c r="DY212" s="36"/>
      <c r="DZ212" s="36"/>
      <c r="EA212" s="36"/>
      <c r="EB212" s="36"/>
      <c r="EC212" s="36"/>
      <c r="ED212" s="36"/>
      <c r="EE212" s="36"/>
      <c r="EF212" s="36"/>
      <c r="EG212" s="36"/>
      <c r="EH212" s="36"/>
      <c r="EI212" s="36"/>
      <c r="EJ212" s="36"/>
      <c r="EK212" s="36"/>
      <c r="EL212" s="36"/>
      <c r="EM212" s="36"/>
      <c r="EN212" s="36"/>
      <c r="EO212" s="36"/>
      <c r="EP212" s="36"/>
      <c r="EQ212" s="36"/>
      <c r="ER212" s="36"/>
      <c r="ES212" s="36"/>
      <c r="ET212" s="36"/>
      <c r="EU212" s="36"/>
      <c r="EV212" s="36"/>
      <c r="EW212" s="36"/>
      <c r="EX212" s="36"/>
      <c r="EY212" s="36"/>
      <c r="EZ212" s="36"/>
      <c r="FA212" s="36"/>
      <c r="FB212" s="36"/>
      <c r="FC212" s="36"/>
      <c r="FD212" s="36"/>
      <c r="FE212" s="36"/>
      <c r="FF212" s="36"/>
      <c r="FG212" s="36"/>
      <c r="FH212" s="36"/>
      <c r="FI212" s="36"/>
      <c r="FJ212" s="36"/>
      <c r="FK212" s="36"/>
      <c r="FL212" s="36"/>
      <c r="FM212" s="36"/>
      <c r="FN212" s="36"/>
      <c r="FO212" s="36"/>
      <c r="FP212" s="36"/>
      <c r="FQ212" s="36"/>
      <c r="FR212" s="36"/>
      <c r="FS212" s="36"/>
      <c r="FT212" s="36"/>
      <c r="FU212" s="36"/>
      <c r="FV212" s="36"/>
      <c r="FW212" s="36"/>
      <c r="FX212" s="36"/>
      <c r="FY212" s="36"/>
      <c r="FZ212" s="36"/>
      <c r="GA212" s="36"/>
      <c r="GB212" s="36"/>
      <c r="GC212" s="36"/>
      <c r="GD212" s="36"/>
      <c r="GE212" s="36"/>
      <c r="GF212" s="36"/>
      <c r="GG212" s="36"/>
      <c r="GH212" s="36"/>
      <c r="GI212" s="36"/>
      <c r="GJ212" s="36"/>
      <c r="GK212" s="36"/>
      <c r="GL212" s="36"/>
      <c r="GM212" s="36"/>
      <c r="GN212" s="36"/>
      <c r="GO212" s="36"/>
      <c r="GP212" s="36"/>
      <c r="GQ212" s="36"/>
      <c r="GR212" s="36"/>
      <c r="GS212" s="36"/>
      <c r="GT212" s="36"/>
      <c r="GU212" s="36"/>
      <c r="GV212" s="36"/>
      <c r="GW212" s="36"/>
      <c r="GX212" s="36"/>
      <c r="GY212" s="36"/>
      <c r="GZ212" s="36"/>
      <c r="HA212" s="36"/>
      <c r="HB212" s="36"/>
      <c r="HC212" s="36"/>
      <c r="HD212" s="36"/>
      <c r="HE212" s="36"/>
      <c r="HF212" s="36"/>
      <c r="HG212" s="36"/>
      <c r="HH212" s="36"/>
      <c r="HI212" s="36"/>
      <c r="HJ212" s="36"/>
      <c r="HK212" s="36"/>
      <c r="HL212" s="36"/>
      <c r="HM212" s="36"/>
      <c r="HN212" s="36"/>
      <c r="HO212" s="36"/>
      <c r="HP212" s="36"/>
      <c r="HQ212" s="36"/>
      <c r="HR212" s="36"/>
      <c r="HS212" s="36"/>
      <c r="HT212" s="36"/>
      <c r="HU212" s="36"/>
      <c r="HV212" s="36"/>
      <c r="HW212" s="36"/>
      <c r="HX212" s="36"/>
      <c r="HY212" s="36"/>
      <c r="HZ212" s="36"/>
      <c r="IA212" s="36"/>
      <c r="IB212" s="36"/>
      <c r="IC212" s="36"/>
      <c r="ID212" s="36"/>
      <c r="IE212" s="36"/>
      <c r="IF212" s="36"/>
      <c r="IG212" s="36"/>
      <c r="IH212" s="36"/>
      <c r="II212" s="36"/>
      <c r="IJ212" s="36"/>
      <c r="IK212" s="36"/>
      <c r="IL212" s="36"/>
      <c r="IM212" s="36"/>
      <c r="IN212" s="36"/>
      <c r="IO212" s="36"/>
      <c r="IP212" s="36"/>
      <c r="IQ212" s="36"/>
      <c r="IR212" s="36"/>
      <c r="IS212" s="36"/>
      <c r="IT212" s="36"/>
      <c r="IU212" s="36"/>
      <c r="IV212" s="36"/>
      <c r="IW212" s="36"/>
      <c r="IX212" s="36"/>
      <c r="IY212" s="36"/>
      <c r="IZ212" s="36"/>
      <c r="JA212" s="36"/>
      <c r="JB212" s="36"/>
      <c r="JC212" s="36"/>
      <c r="JD212" s="36"/>
      <c r="JE212" s="36"/>
      <c r="JF212" s="36"/>
      <c r="JG212" s="36"/>
      <c r="JH212" s="36"/>
      <c r="JI212" s="36"/>
      <c r="JJ212" s="36"/>
      <c r="JK212" s="36"/>
      <c r="JL212" s="36"/>
      <c r="JM212" s="36"/>
      <c r="JN212" s="36"/>
      <c r="JO212" s="36"/>
      <c r="JP212" s="36"/>
      <c r="JQ212" s="36"/>
      <c r="JR212" s="36"/>
      <c r="JS212" s="36"/>
      <c r="JT212" s="36"/>
      <c r="JU212" s="36"/>
      <c r="JV212" s="36"/>
      <c r="JW212" s="36"/>
      <c r="JX212" s="36"/>
      <c r="JY212" s="36"/>
      <c r="JZ212" s="36"/>
      <c r="KA212" s="36"/>
      <c r="KB212" s="36"/>
      <c r="KC212" s="36"/>
      <c r="KD212" s="36"/>
      <c r="KE212" s="36"/>
      <c r="KF212" s="36"/>
      <c r="KG212" s="36"/>
      <c r="KH212" s="36"/>
      <c r="KI212" s="36"/>
      <c r="KJ212" s="36"/>
      <c r="KK212" s="36"/>
      <c r="KL212" s="36"/>
      <c r="KM212" s="36"/>
      <c r="KN212" s="36"/>
      <c r="KO212" s="36"/>
      <c r="KP212" s="36"/>
      <c r="KQ212" s="36"/>
      <c r="KR212" s="36"/>
      <c r="KS212" s="36"/>
      <c r="KT212" s="36"/>
      <c r="KU212" s="36"/>
      <c r="KV212" s="36"/>
      <c r="KW212" s="36"/>
      <c r="KX212" s="36"/>
      <c r="KY212" s="36"/>
      <c r="KZ212" s="36"/>
      <c r="LA212" s="36"/>
      <c r="LB212" s="36"/>
      <c r="LC212" s="36"/>
      <c r="LD212" s="36"/>
      <c r="LE212" s="36"/>
      <c r="LF212" s="36"/>
      <c r="LG212" s="36"/>
      <c r="LH212" s="36"/>
      <c r="LI212" s="36"/>
      <c r="LJ212" s="36"/>
      <c r="LK212" s="36"/>
      <c r="LL212" s="36"/>
      <c r="LM212" s="36"/>
      <c r="LN212" s="36"/>
      <c r="LO212" s="36"/>
      <c r="LP212" s="36"/>
      <c r="LQ212" s="36"/>
      <c r="LR212" s="36"/>
      <c r="LS212" s="36"/>
      <c r="LT212" s="36"/>
      <c r="LU212" s="36"/>
      <c r="LV212" s="36"/>
      <c r="LW212" s="36"/>
      <c r="LX212" s="36"/>
      <c r="LY212" s="36"/>
      <c r="LZ212" s="36"/>
      <c r="MA212" s="36"/>
      <c r="MB212" s="36"/>
      <c r="MC212" s="36"/>
      <c r="MD212" s="36"/>
      <c r="ME212" s="36"/>
      <c r="MF212" s="36"/>
      <c r="MG212" s="36"/>
      <c r="MH212" s="36"/>
      <c r="MI212" s="36"/>
      <c r="MJ212" s="36"/>
      <c r="MK212" s="36"/>
      <c r="ML212" s="36"/>
      <c r="MM212" s="36"/>
      <c r="MN212" s="36"/>
      <c r="MO212" s="36"/>
      <c r="MP212" s="36"/>
      <c r="MQ212" s="36"/>
      <c r="MR212" s="36"/>
      <c r="MS212" s="36"/>
      <c r="MT212" s="36"/>
      <c r="MU212" s="36"/>
      <c r="MV212" s="36"/>
      <c r="MW212" s="36"/>
      <c r="MX212" s="36"/>
      <c r="MY212" s="36"/>
      <c r="MZ212" s="36"/>
      <c r="NA212" s="36"/>
      <c r="NB212" s="36"/>
      <c r="NC212" s="36"/>
      <c r="ND212" s="36"/>
      <c r="NE212" s="36"/>
      <c r="NF212" s="36"/>
      <c r="NG212" s="36"/>
      <c r="NH212" s="36"/>
      <c r="NI212" s="36"/>
      <c r="NJ212" s="36"/>
      <c r="NK212" s="36"/>
      <c r="NL212" s="36"/>
      <c r="NM212" s="36"/>
      <c r="NN212" s="36"/>
      <c r="NO212" s="36"/>
      <c r="NP212" s="36"/>
      <c r="NQ212" s="36"/>
      <c r="NR212" s="36"/>
      <c r="NS212" s="36"/>
      <c r="NT212" s="36"/>
      <c r="NU212" s="36"/>
      <c r="NV212" s="36"/>
      <c r="NW212" s="36"/>
      <c r="NX212" s="36"/>
      <c r="NY212" s="36"/>
      <c r="NZ212" s="36"/>
      <c r="OA212" s="36"/>
      <c r="OB212" s="36"/>
      <c r="OC212" s="36"/>
      <c r="OD212" s="36"/>
      <c r="OE212" s="36"/>
      <c r="OF212" s="36"/>
      <c r="OG212" s="36"/>
      <c r="OH212" s="36"/>
      <c r="OI212" s="36"/>
      <c r="OJ212" s="36"/>
      <c r="OK212" s="36"/>
      <c r="OL212" s="36"/>
      <c r="OM212" s="36"/>
      <c r="ON212" s="36"/>
      <c r="OO212" s="36"/>
      <c r="OP212" s="36"/>
      <c r="OQ212" s="36"/>
      <c r="OR212" s="36"/>
      <c r="OS212" s="36"/>
      <c r="OT212" s="36"/>
      <c r="OU212" s="36"/>
      <c r="OV212" s="36"/>
      <c r="OW212" s="36"/>
      <c r="OX212" s="36"/>
      <c r="OY212" s="36"/>
      <c r="OZ212" s="36"/>
      <c r="PA212" s="36"/>
      <c r="PB212" s="36"/>
      <c r="PC212" s="36"/>
      <c r="PD212" s="36"/>
      <c r="PE212" s="36"/>
      <c r="PF212" s="36"/>
      <c r="PG212" s="36"/>
      <c r="PH212" s="36"/>
      <c r="PI212" s="36"/>
      <c r="PJ212" s="36"/>
      <c r="PK212" s="36"/>
      <c r="PL212" s="36"/>
      <c r="PM212" s="36"/>
      <c r="PN212" s="36"/>
      <c r="PO212" s="36"/>
      <c r="PP212" s="36"/>
      <c r="PQ212" s="36"/>
      <c r="PR212" s="36"/>
      <c r="PS212" s="36"/>
      <c r="PT212" s="36"/>
      <c r="PU212" s="36"/>
      <c r="PV212" s="36"/>
      <c r="PW212" s="36"/>
      <c r="PX212" s="36"/>
      <c r="PY212" s="36"/>
      <c r="PZ212" s="36"/>
      <c r="QA212" s="36"/>
      <c r="QB212" s="36"/>
      <c r="QC212" s="36"/>
      <c r="QD212" s="36"/>
      <c r="QE212" s="36"/>
      <c r="QF212" s="36"/>
      <c r="QG212" s="36"/>
      <c r="QH212" s="36"/>
      <c r="QI212" s="36"/>
      <c r="QJ212" s="36"/>
      <c r="QK212" s="36"/>
      <c r="QL212" s="36"/>
      <c r="QM212" s="36"/>
      <c r="QN212" s="36"/>
      <c r="QO212" s="36"/>
      <c r="QP212" s="36"/>
      <c r="QQ212" s="36"/>
      <c r="QR212" s="36"/>
      <c r="QS212" s="36"/>
      <c r="QT212" s="36"/>
      <c r="QU212" s="36"/>
      <c r="QV212" s="36"/>
      <c r="QW212" s="36"/>
      <c r="QX212" s="36"/>
      <c r="QY212" s="36"/>
      <c r="QZ212" s="36"/>
      <c r="RA212" s="36"/>
      <c r="RB212" s="36"/>
      <c r="RC212" s="36"/>
      <c r="RD212" s="36"/>
      <c r="RE212" s="36"/>
      <c r="RF212" s="36"/>
      <c r="RG212" s="36"/>
      <c r="RH212" s="36"/>
      <c r="RI212" s="36"/>
      <c r="RJ212" s="36"/>
      <c r="RK212" s="36"/>
      <c r="RL212" s="36"/>
      <c r="RM212" s="36"/>
      <c r="RN212" s="36"/>
      <c r="RO212" s="36"/>
      <c r="RP212" s="36"/>
      <c r="RQ212" s="36"/>
      <c r="RR212" s="36"/>
      <c r="RS212" s="36"/>
      <c r="RT212" s="36"/>
      <c r="RU212" s="36"/>
      <c r="RV212" s="36"/>
      <c r="RW212" s="36"/>
      <c r="RX212" s="36"/>
      <c r="RY212" s="36"/>
      <c r="RZ212" s="36"/>
      <c r="SA212" s="36"/>
      <c r="SB212" s="36"/>
      <c r="SC212" s="36"/>
      <c r="SD212" s="36"/>
      <c r="SE212" s="36"/>
      <c r="SF212" s="36"/>
      <c r="SG212" s="36"/>
      <c r="SH212" s="36"/>
      <c r="SI212" s="36"/>
      <c r="SJ212" s="36"/>
      <c r="SK212" s="36"/>
      <c r="SL212" s="36"/>
      <c r="SM212" s="36"/>
      <c r="SN212" s="36"/>
      <c r="SO212" s="36"/>
      <c r="SP212" s="36"/>
      <c r="SQ212" s="36"/>
      <c r="SR212" s="36"/>
      <c r="SS212" s="36"/>
      <c r="ST212" s="36"/>
      <c r="SU212" s="36"/>
      <c r="SV212" s="36"/>
      <c r="SW212" s="36"/>
      <c r="SX212" s="36"/>
      <c r="SY212" s="36"/>
      <c r="SZ212" s="36"/>
      <c r="TA212" s="36"/>
      <c r="TB212" s="36"/>
      <c r="TC212" s="36"/>
      <c r="TD212" s="36"/>
      <c r="TE212" s="36"/>
      <c r="TF212" s="36"/>
      <c r="TG212" s="36"/>
      <c r="TH212" s="36"/>
      <c r="TI212" s="36"/>
      <c r="TJ212" s="36"/>
      <c r="TK212" s="36"/>
      <c r="TL212" s="36"/>
      <c r="TM212" s="36"/>
      <c r="TN212" s="36"/>
      <c r="TO212" s="36"/>
      <c r="TP212" s="36"/>
      <c r="TQ212" s="36"/>
      <c r="TR212" s="36"/>
      <c r="TS212" s="36"/>
      <c r="TT212" s="36"/>
      <c r="TU212" s="36"/>
      <c r="TV212" s="36"/>
      <c r="TW212" s="36"/>
      <c r="TX212" s="36"/>
      <c r="TY212" s="36"/>
      <c r="TZ212" s="36"/>
      <c r="UA212" s="36"/>
      <c r="UB212" s="36"/>
      <c r="UC212" s="36"/>
      <c r="UD212" s="36"/>
      <c r="UE212" s="36"/>
      <c r="UF212" s="36"/>
      <c r="UG212" s="37"/>
    </row>
    <row r="213" spans="1:553" ht="30" customHeight="1">
      <c r="A213" s="356"/>
      <c r="B213" s="356"/>
      <c r="C213" s="1413" t="s">
        <v>237</v>
      </c>
      <c r="D213" s="1389"/>
      <c r="E213" s="1389"/>
      <c r="F213" s="1390"/>
      <c r="G213" s="356"/>
      <c r="H213" s="370"/>
      <c r="I213" s="359"/>
      <c r="J213" s="368"/>
      <c r="K213" s="371"/>
      <c r="L213" s="356"/>
      <c r="M213" s="356"/>
      <c r="N213" s="356"/>
      <c r="O213" s="356"/>
      <c r="P213" s="356"/>
      <c r="Q213" s="610"/>
      <c r="R213" s="1226"/>
      <c r="S213" s="308"/>
      <c r="T213" s="303"/>
      <c r="U213" s="306"/>
      <c r="V213" s="307"/>
      <c r="W213" s="306"/>
      <c r="X213" s="306"/>
      <c r="Y213" s="306"/>
      <c r="Z213" s="306"/>
      <c r="AA213" s="306"/>
      <c r="AB213" s="306"/>
      <c r="AC213" s="449"/>
      <c r="AD213" s="449"/>
      <c r="AE213" s="449"/>
      <c r="AF213" s="449"/>
      <c r="AG213" s="449"/>
      <c r="AH213" s="449"/>
      <c r="AI213" s="449"/>
      <c r="AJ213" s="449"/>
      <c r="AK213" s="452"/>
      <c r="AL213" s="104"/>
      <c r="AM213" s="32"/>
      <c r="AN213" s="32"/>
      <c r="AO213" s="32"/>
      <c r="AP213" s="32"/>
      <c r="AQ213" s="32"/>
      <c r="AR213" s="32"/>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25"/>
      <c r="BQ213" s="25"/>
      <c r="BR213" s="25"/>
      <c r="BS213" s="25"/>
      <c r="BT213" s="25"/>
      <c r="BU213" s="25"/>
      <c r="BV213" s="25"/>
      <c r="BW213" s="25"/>
      <c r="BX213" s="25"/>
      <c r="BY213" s="25"/>
      <c r="BZ213" s="25"/>
      <c r="CA213" s="25"/>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c r="CZ213" s="25"/>
      <c r="DA213" s="25"/>
      <c r="DB213" s="25"/>
      <c r="DC213" s="25"/>
      <c r="DD213" s="25"/>
      <c r="DE213" s="25"/>
      <c r="DF213" s="25"/>
      <c r="DG213" s="25"/>
      <c r="DH213" s="25"/>
      <c r="DI213" s="25"/>
      <c r="DJ213" s="25"/>
      <c r="DK213" s="25"/>
      <c r="DL213" s="25"/>
      <c r="DM213" s="25"/>
      <c r="DN213" s="25"/>
      <c r="DO213" s="25"/>
      <c r="DP213" s="25"/>
      <c r="DQ213" s="25"/>
      <c r="DR213" s="25"/>
      <c r="DS213" s="25"/>
      <c r="DT213" s="25"/>
      <c r="DU213" s="25"/>
      <c r="DV213" s="25"/>
      <c r="DW213" s="25"/>
      <c r="DX213" s="25"/>
      <c r="DY213" s="25"/>
      <c r="DZ213" s="25"/>
      <c r="EA213" s="25"/>
      <c r="EB213" s="25"/>
      <c r="EC213" s="25"/>
      <c r="ED213" s="25"/>
      <c r="EE213" s="25"/>
      <c r="EF213" s="25"/>
      <c r="EG213" s="25"/>
      <c r="EH213" s="25"/>
      <c r="EI213" s="25"/>
      <c r="EJ213" s="25"/>
      <c r="EK213" s="25"/>
      <c r="EL213" s="25"/>
      <c r="EM213" s="25"/>
      <c r="EN213" s="25"/>
      <c r="EO213" s="25"/>
      <c r="EP213" s="25"/>
      <c r="EQ213" s="25"/>
      <c r="ER213" s="25"/>
      <c r="ES213" s="25"/>
      <c r="ET213" s="25"/>
      <c r="EU213" s="25"/>
      <c r="EV213" s="25"/>
      <c r="EW213" s="25"/>
      <c r="EX213" s="25"/>
      <c r="EY213" s="25"/>
      <c r="EZ213" s="25"/>
      <c r="FA213" s="25"/>
      <c r="FB213" s="25"/>
      <c r="FC213" s="25"/>
      <c r="FD213" s="25"/>
      <c r="FE213" s="25"/>
      <c r="FF213" s="25"/>
      <c r="FG213" s="25"/>
      <c r="FH213" s="25"/>
      <c r="FI213" s="25"/>
      <c r="FJ213" s="25"/>
      <c r="FK213" s="25"/>
      <c r="FL213" s="25"/>
      <c r="FM213" s="25"/>
      <c r="FN213" s="25"/>
      <c r="FO213" s="25"/>
      <c r="FP213" s="25"/>
      <c r="FQ213" s="25"/>
      <c r="FR213" s="25"/>
      <c r="FS213" s="25"/>
      <c r="FT213" s="25"/>
      <c r="FU213" s="25"/>
      <c r="FV213" s="25"/>
      <c r="FW213" s="25"/>
      <c r="FX213" s="25"/>
      <c r="FY213" s="25"/>
      <c r="FZ213" s="25"/>
      <c r="GA213" s="25"/>
      <c r="GB213" s="25"/>
      <c r="GC213" s="25"/>
      <c r="GD213" s="25"/>
      <c r="GE213" s="25"/>
      <c r="GF213" s="25"/>
      <c r="GG213" s="25"/>
      <c r="GH213" s="25"/>
      <c r="GI213" s="25"/>
      <c r="GJ213" s="25"/>
      <c r="GK213" s="25"/>
      <c r="GL213" s="25"/>
      <c r="GM213" s="25"/>
      <c r="GN213" s="25"/>
      <c r="GO213" s="25"/>
      <c r="GP213" s="25"/>
      <c r="GQ213" s="25"/>
      <c r="GR213" s="25"/>
      <c r="GS213" s="25"/>
      <c r="GT213" s="25"/>
      <c r="GU213" s="25"/>
      <c r="GV213" s="25"/>
      <c r="GW213" s="25"/>
      <c r="GX213" s="25"/>
      <c r="GY213" s="25"/>
      <c r="GZ213" s="25"/>
      <c r="HA213" s="25"/>
      <c r="HB213" s="25"/>
      <c r="HC213" s="25"/>
      <c r="HD213" s="25"/>
      <c r="HE213" s="25"/>
      <c r="HF213" s="25"/>
      <c r="HG213" s="25"/>
      <c r="HH213" s="25"/>
      <c r="HI213" s="25"/>
      <c r="HJ213" s="25"/>
      <c r="HK213" s="25"/>
      <c r="HL213" s="25"/>
      <c r="HM213" s="25"/>
      <c r="HN213" s="25"/>
      <c r="HO213" s="25"/>
      <c r="HP213" s="25"/>
      <c r="HQ213" s="25"/>
      <c r="HR213" s="25"/>
      <c r="HS213" s="25"/>
      <c r="HT213" s="25"/>
      <c r="HU213" s="25"/>
      <c r="HV213" s="25"/>
      <c r="HW213" s="25"/>
      <c r="HX213" s="25"/>
      <c r="HY213" s="25"/>
      <c r="HZ213" s="25"/>
      <c r="IA213" s="25"/>
      <c r="IB213" s="25"/>
      <c r="IC213" s="25"/>
      <c r="ID213" s="25"/>
      <c r="IE213" s="25"/>
      <c r="IF213" s="25"/>
      <c r="IG213" s="25"/>
      <c r="IH213" s="25"/>
      <c r="II213" s="25"/>
      <c r="IJ213" s="25"/>
      <c r="IK213" s="25"/>
      <c r="IL213" s="25"/>
      <c r="IM213" s="25"/>
      <c r="IN213" s="25"/>
      <c r="IO213" s="25"/>
      <c r="IP213" s="25"/>
      <c r="IQ213" s="25"/>
      <c r="IR213" s="25"/>
      <c r="IS213" s="25"/>
      <c r="IT213" s="25"/>
      <c r="IU213" s="25"/>
      <c r="IV213" s="25"/>
      <c r="IW213" s="25"/>
      <c r="IX213" s="25"/>
      <c r="IY213" s="25"/>
      <c r="IZ213" s="25"/>
      <c r="JA213" s="25"/>
      <c r="JB213" s="25"/>
      <c r="JC213" s="25"/>
      <c r="JD213" s="25"/>
      <c r="JE213" s="25"/>
      <c r="JF213" s="25"/>
      <c r="JG213" s="25"/>
      <c r="JH213" s="25"/>
      <c r="JI213" s="25"/>
      <c r="JJ213" s="25"/>
      <c r="JK213" s="25"/>
      <c r="JL213" s="25"/>
      <c r="JM213" s="25"/>
      <c r="JN213" s="25"/>
      <c r="JO213" s="25"/>
      <c r="JP213" s="25"/>
      <c r="JQ213" s="25"/>
      <c r="JR213" s="25"/>
      <c r="JS213" s="25"/>
      <c r="JT213" s="25"/>
      <c r="JU213" s="25"/>
      <c r="JV213" s="25"/>
      <c r="JW213" s="25"/>
      <c r="JX213" s="25"/>
      <c r="JY213" s="25"/>
      <c r="JZ213" s="25"/>
      <c r="KA213" s="25"/>
      <c r="KB213" s="25"/>
      <c r="KC213" s="25"/>
      <c r="KD213" s="25"/>
      <c r="KE213" s="25"/>
      <c r="KF213" s="25"/>
      <c r="KG213" s="25"/>
      <c r="KH213" s="25"/>
      <c r="KI213" s="25"/>
      <c r="KJ213" s="25"/>
      <c r="KK213" s="25"/>
      <c r="KL213" s="25"/>
      <c r="KM213" s="25"/>
      <c r="KN213" s="25"/>
      <c r="KO213" s="25"/>
      <c r="KP213" s="25"/>
      <c r="KQ213" s="25"/>
      <c r="KR213" s="25"/>
      <c r="KS213" s="25"/>
      <c r="KT213" s="25"/>
      <c r="KU213" s="25"/>
      <c r="KV213" s="25"/>
      <c r="KW213" s="25"/>
      <c r="KX213" s="25"/>
      <c r="KY213" s="25"/>
      <c r="KZ213" s="25"/>
      <c r="LA213" s="25"/>
      <c r="LB213" s="25"/>
      <c r="LC213" s="25"/>
      <c r="LD213" s="25"/>
      <c r="LE213" s="25"/>
      <c r="LF213" s="25"/>
      <c r="LG213" s="25"/>
      <c r="LH213" s="25"/>
      <c r="LI213" s="25"/>
      <c r="LJ213" s="25"/>
      <c r="LK213" s="25"/>
      <c r="LL213" s="25"/>
      <c r="LM213" s="25"/>
      <c r="LN213" s="25"/>
      <c r="LO213" s="25"/>
      <c r="LP213" s="25"/>
      <c r="LQ213" s="25"/>
      <c r="LR213" s="25"/>
      <c r="LS213" s="25"/>
      <c r="LT213" s="25"/>
      <c r="LU213" s="25"/>
      <c r="LV213" s="25"/>
      <c r="LW213" s="25"/>
      <c r="LX213" s="25"/>
      <c r="LY213" s="25"/>
      <c r="LZ213" s="25"/>
      <c r="MA213" s="25"/>
      <c r="MB213" s="25"/>
      <c r="MC213" s="25"/>
      <c r="MD213" s="25"/>
      <c r="ME213" s="25"/>
      <c r="MF213" s="25"/>
      <c r="MG213" s="25"/>
      <c r="MH213" s="25"/>
      <c r="MI213" s="25"/>
      <c r="MJ213" s="25"/>
      <c r="MK213" s="25"/>
      <c r="ML213" s="25"/>
      <c r="MM213" s="25"/>
      <c r="MN213" s="25"/>
      <c r="MO213" s="25"/>
      <c r="MP213" s="25"/>
      <c r="MQ213" s="25"/>
      <c r="MR213" s="25"/>
      <c r="MS213" s="25"/>
      <c r="MT213" s="25"/>
      <c r="MU213" s="25"/>
      <c r="MV213" s="25"/>
      <c r="MW213" s="25"/>
      <c r="MX213" s="25"/>
      <c r="MY213" s="25"/>
      <c r="MZ213" s="25"/>
      <c r="NA213" s="25"/>
      <c r="NB213" s="25"/>
      <c r="NC213" s="25"/>
      <c r="ND213" s="25"/>
      <c r="NE213" s="25"/>
      <c r="NF213" s="25"/>
      <c r="NG213" s="25"/>
      <c r="NH213" s="25"/>
      <c r="NI213" s="25"/>
      <c r="NJ213" s="25"/>
      <c r="NK213" s="25"/>
      <c r="NL213" s="25"/>
      <c r="NM213" s="25"/>
      <c r="NN213" s="25"/>
      <c r="NO213" s="25"/>
      <c r="NP213" s="25"/>
      <c r="NQ213" s="25"/>
      <c r="NR213" s="25"/>
      <c r="NS213" s="25"/>
      <c r="NT213" s="25"/>
      <c r="NU213" s="25"/>
      <c r="NV213" s="25"/>
      <c r="NW213" s="25"/>
      <c r="NX213" s="25"/>
      <c r="NY213" s="25"/>
      <c r="NZ213" s="25"/>
      <c r="OA213" s="25"/>
      <c r="OB213" s="25"/>
      <c r="OC213" s="25"/>
      <c r="OD213" s="25"/>
      <c r="OE213" s="25"/>
      <c r="OF213" s="25"/>
      <c r="OG213" s="25"/>
      <c r="OH213" s="25"/>
      <c r="OI213" s="25"/>
      <c r="OJ213" s="25"/>
      <c r="OK213" s="25"/>
      <c r="OL213" s="25"/>
      <c r="OM213" s="25"/>
      <c r="ON213" s="25"/>
      <c r="OO213" s="25"/>
      <c r="OP213" s="25"/>
      <c r="OQ213" s="25"/>
      <c r="OR213" s="25"/>
      <c r="OS213" s="25"/>
      <c r="OT213" s="25"/>
      <c r="OU213" s="25"/>
      <c r="OV213" s="25"/>
      <c r="OW213" s="25"/>
      <c r="OX213" s="25"/>
      <c r="OY213" s="25"/>
      <c r="OZ213" s="25"/>
      <c r="PA213" s="25"/>
      <c r="PB213" s="25"/>
      <c r="PC213" s="25"/>
      <c r="PD213" s="25"/>
      <c r="PE213" s="25"/>
      <c r="PF213" s="25"/>
      <c r="PG213" s="25"/>
      <c r="PH213" s="25"/>
      <c r="PI213" s="25"/>
      <c r="PJ213" s="25"/>
      <c r="PK213" s="25"/>
      <c r="PL213" s="25"/>
      <c r="PM213" s="25"/>
      <c r="PN213" s="25"/>
      <c r="PO213" s="25"/>
      <c r="PP213" s="25"/>
      <c r="PQ213" s="25"/>
      <c r="PR213" s="25"/>
      <c r="PS213" s="25"/>
      <c r="PT213" s="25"/>
      <c r="PU213" s="25"/>
      <c r="PV213" s="25"/>
      <c r="PW213" s="25"/>
      <c r="PX213" s="25"/>
      <c r="PY213" s="25"/>
      <c r="PZ213" s="25"/>
      <c r="QA213" s="25"/>
      <c r="QB213" s="25"/>
      <c r="QC213" s="25"/>
      <c r="QD213" s="25"/>
      <c r="QE213" s="25"/>
      <c r="QF213" s="25"/>
      <c r="QG213" s="25"/>
      <c r="QH213" s="25"/>
      <c r="QI213" s="25"/>
      <c r="QJ213" s="25"/>
      <c r="QK213" s="25"/>
      <c r="QL213" s="25"/>
      <c r="QM213" s="25"/>
      <c r="QN213" s="25"/>
      <c r="QO213" s="25"/>
      <c r="QP213" s="25"/>
      <c r="QQ213" s="25"/>
      <c r="QR213" s="25"/>
      <c r="QS213" s="25"/>
      <c r="QT213" s="25"/>
      <c r="QU213" s="25"/>
      <c r="QV213" s="25"/>
      <c r="QW213" s="25"/>
      <c r="QX213" s="25"/>
      <c r="QY213" s="25"/>
      <c r="QZ213" s="25"/>
      <c r="RA213" s="25"/>
      <c r="RB213" s="25"/>
      <c r="RC213" s="25"/>
      <c r="RD213" s="25"/>
      <c r="RE213" s="25"/>
      <c r="RF213" s="25"/>
      <c r="RG213" s="25"/>
      <c r="RH213" s="25"/>
      <c r="RI213" s="25"/>
      <c r="RJ213" s="25"/>
      <c r="RK213" s="25"/>
      <c r="RL213" s="25"/>
      <c r="RM213" s="25"/>
      <c r="RN213" s="25"/>
      <c r="RO213" s="25"/>
      <c r="RP213" s="25"/>
      <c r="RQ213" s="25"/>
      <c r="RR213" s="25"/>
      <c r="RS213" s="25"/>
      <c r="RT213" s="25"/>
      <c r="RU213" s="25"/>
      <c r="RV213" s="25"/>
      <c r="RW213" s="25"/>
      <c r="RX213" s="25"/>
      <c r="RY213" s="25"/>
      <c r="RZ213" s="25"/>
      <c r="SA213" s="25"/>
      <c r="SB213" s="25"/>
      <c r="SC213" s="25"/>
      <c r="SD213" s="25"/>
      <c r="SE213" s="25"/>
      <c r="SF213" s="25"/>
      <c r="SG213" s="25"/>
      <c r="SH213" s="25"/>
      <c r="SI213" s="25"/>
      <c r="SJ213" s="25"/>
      <c r="SK213" s="25"/>
      <c r="SL213" s="25"/>
      <c r="SM213" s="25"/>
      <c r="SN213" s="25"/>
      <c r="SO213" s="25"/>
      <c r="SP213" s="25"/>
      <c r="SQ213" s="25"/>
      <c r="SR213" s="25"/>
      <c r="SS213" s="25"/>
      <c r="ST213" s="25"/>
      <c r="SU213" s="25"/>
      <c r="SV213" s="25"/>
      <c r="SW213" s="25"/>
      <c r="SX213" s="25"/>
      <c r="SY213" s="25"/>
      <c r="SZ213" s="25"/>
      <c r="TA213" s="25"/>
      <c r="TB213" s="25"/>
      <c r="TC213" s="25"/>
      <c r="TD213" s="25"/>
      <c r="TE213" s="25"/>
      <c r="TF213" s="25"/>
      <c r="TG213" s="25"/>
      <c r="TH213" s="25"/>
      <c r="TI213" s="25"/>
      <c r="TJ213" s="25"/>
      <c r="TK213" s="25"/>
      <c r="TL213" s="25"/>
      <c r="TM213" s="25"/>
      <c r="TN213" s="25"/>
      <c r="TO213" s="25"/>
      <c r="TP213" s="25"/>
      <c r="TQ213" s="25"/>
      <c r="TR213" s="25"/>
      <c r="TS213" s="25"/>
      <c r="TT213" s="25"/>
      <c r="TU213" s="25"/>
      <c r="TV213" s="25"/>
      <c r="TW213" s="25"/>
      <c r="TX213" s="25"/>
      <c r="TY213" s="25"/>
      <c r="TZ213" s="25"/>
      <c r="UA213" s="25"/>
      <c r="UB213" s="25"/>
      <c r="UC213" s="25"/>
      <c r="UD213" s="25"/>
      <c r="UE213" s="25"/>
      <c r="UF213" s="25"/>
      <c r="UG213" s="26"/>
    </row>
    <row r="214" spans="1:553" ht="60" customHeight="1">
      <c r="A214" s="356" t="s">
        <v>15</v>
      </c>
      <c r="B214" s="385" t="s">
        <v>29</v>
      </c>
      <c r="C214" s="1404" t="s">
        <v>238</v>
      </c>
      <c r="D214" s="1389"/>
      <c r="E214" s="1389"/>
      <c r="F214" s="1390"/>
      <c r="G214" s="386" t="s">
        <v>935</v>
      </c>
      <c r="H214" s="370"/>
      <c r="I214" s="417">
        <f>13*9.6</f>
        <v>124.8</v>
      </c>
      <c r="J214" s="368">
        <v>2204600</v>
      </c>
      <c r="K214" s="371"/>
      <c r="L214" s="391">
        <f t="shared" ref="L214:L219" si="43">ROUND(PRODUCT(I214:K214),0)</f>
        <v>275134080</v>
      </c>
      <c r="M214" s="395"/>
      <c r="N214" s="395"/>
      <c r="O214" s="366"/>
      <c r="P214" s="396"/>
      <c r="Q214" s="473"/>
      <c r="R214" s="1039"/>
      <c r="S214" s="308"/>
      <c r="T214" s="303"/>
      <c r="U214" s="306"/>
      <c r="V214" s="307"/>
      <c r="W214" s="306"/>
      <c r="X214" s="306"/>
      <c r="Y214" s="306"/>
      <c r="Z214" s="306"/>
      <c r="AA214" s="306"/>
      <c r="AB214" s="306"/>
      <c r="AC214" s="449"/>
      <c r="AD214" s="449"/>
      <c r="AE214" s="449"/>
      <c r="AF214" s="449"/>
      <c r="AG214" s="452"/>
      <c r="AH214" s="452"/>
      <c r="AI214" s="452"/>
      <c r="AJ214" s="452"/>
      <c r="AK214" s="452"/>
      <c r="AL214" s="104"/>
      <c r="AM214" s="32"/>
      <c r="AN214" s="32"/>
      <c r="AO214" s="32"/>
      <c r="AP214" s="32"/>
      <c r="AQ214" s="31"/>
      <c r="AR214" s="31"/>
      <c r="AS214" s="31"/>
      <c r="AT214" s="31"/>
      <c r="AU214" s="31"/>
      <c r="AV214" s="31"/>
      <c r="AW214" s="31"/>
      <c r="AX214" s="31"/>
      <c r="AY214" s="31"/>
      <c r="AZ214" s="31"/>
      <c r="BA214" s="31"/>
      <c r="BB214" s="31"/>
      <c r="BC214" s="31"/>
      <c r="BD214" s="31"/>
      <c r="BE214" s="31"/>
      <c r="BF214" s="31"/>
      <c r="BG214" s="31"/>
      <c r="BH214" s="31"/>
      <c r="BI214" s="31"/>
      <c r="BJ214" s="31"/>
      <c r="BK214" s="31"/>
      <c r="BL214" s="31"/>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K214" s="25"/>
      <c r="DL214" s="25"/>
      <c r="DM214" s="25"/>
      <c r="DN214" s="25"/>
      <c r="DO214" s="25"/>
      <c r="DP214" s="25"/>
      <c r="DQ214" s="25"/>
      <c r="DR214" s="25"/>
      <c r="DS214" s="25"/>
      <c r="DT214" s="25"/>
      <c r="DU214" s="25"/>
      <c r="DV214" s="25"/>
      <c r="DW214" s="25"/>
      <c r="DX214" s="25"/>
      <c r="DY214" s="25"/>
      <c r="DZ214" s="25"/>
      <c r="EA214" s="25"/>
      <c r="EB214" s="25"/>
      <c r="EC214" s="25"/>
      <c r="ED214" s="25"/>
      <c r="EE214" s="25"/>
      <c r="EF214" s="25"/>
      <c r="EG214" s="25"/>
      <c r="EH214" s="25"/>
      <c r="EI214" s="25"/>
      <c r="EJ214" s="25"/>
      <c r="EK214" s="25"/>
      <c r="EL214" s="25"/>
      <c r="EM214" s="25"/>
      <c r="EN214" s="25"/>
      <c r="EO214" s="25"/>
      <c r="EP214" s="25"/>
      <c r="EQ214" s="25"/>
      <c r="ER214" s="25"/>
      <c r="ES214" s="25"/>
      <c r="ET214" s="25"/>
      <c r="EU214" s="25"/>
      <c r="EV214" s="25"/>
      <c r="EW214" s="25"/>
      <c r="EX214" s="25"/>
      <c r="EY214" s="25"/>
      <c r="EZ214" s="25"/>
      <c r="FA214" s="25"/>
      <c r="FB214" s="25"/>
      <c r="FC214" s="25"/>
      <c r="FD214" s="25"/>
      <c r="FE214" s="25"/>
      <c r="FF214" s="25"/>
      <c r="FG214" s="25"/>
      <c r="FH214" s="25"/>
      <c r="FI214" s="25"/>
      <c r="FJ214" s="25"/>
      <c r="FK214" s="25"/>
      <c r="FL214" s="25"/>
      <c r="FM214" s="25"/>
      <c r="FN214" s="25"/>
      <c r="FO214" s="25"/>
      <c r="FP214" s="25"/>
      <c r="FQ214" s="25"/>
      <c r="FR214" s="25"/>
      <c r="FS214" s="25"/>
      <c r="FT214" s="25"/>
      <c r="FU214" s="25"/>
      <c r="FV214" s="25"/>
      <c r="FW214" s="25"/>
      <c r="FX214" s="25"/>
      <c r="FY214" s="25"/>
      <c r="FZ214" s="25"/>
      <c r="GA214" s="25"/>
      <c r="GB214" s="25"/>
      <c r="GC214" s="25"/>
      <c r="GD214" s="25"/>
      <c r="GE214" s="25"/>
      <c r="GF214" s="25"/>
      <c r="GG214" s="25"/>
      <c r="GH214" s="25"/>
      <c r="GI214" s="25"/>
      <c r="GJ214" s="25"/>
      <c r="GK214" s="25"/>
      <c r="GL214" s="25"/>
      <c r="GM214" s="25"/>
      <c r="GN214" s="25"/>
      <c r="GO214" s="25"/>
      <c r="GP214" s="25"/>
      <c r="GQ214" s="25"/>
      <c r="GR214" s="25"/>
      <c r="GS214" s="25"/>
      <c r="GT214" s="25"/>
      <c r="GU214" s="25"/>
      <c r="GV214" s="25"/>
      <c r="GW214" s="25"/>
      <c r="GX214" s="25"/>
      <c r="GY214" s="25"/>
      <c r="GZ214" s="25"/>
      <c r="HA214" s="25"/>
      <c r="HB214" s="25"/>
      <c r="HC214" s="25"/>
      <c r="HD214" s="25"/>
      <c r="HE214" s="25"/>
      <c r="HF214" s="25"/>
      <c r="HG214" s="25"/>
      <c r="HH214" s="25"/>
      <c r="HI214" s="25"/>
      <c r="HJ214" s="25"/>
      <c r="HK214" s="25"/>
      <c r="HL214" s="25"/>
      <c r="HM214" s="25"/>
      <c r="HN214" s="25"/>
      <c r="HO214" s="25"/>
      <c r="HP214" s="25"/>
      <c r="HQ214" s="25"/>
      <c r="HR214" s="25"/>
      <c r="HS214" s="25"/>
      <c r="HT214" s="25"/>
      <c r="HU214" s="25"/>
      <c r="HV214" s="25"/>
      <c r="HW214" s="25"/>
      <c r="HX214" s="25"/>
      <c r="HY214" s="25"/>
      <c r="HZ214" s="25"/>
      <c r="IA214" s="25"/>
      <c r="IB214" s="25"/>
      <c r="IC214" s="25"/>
      <c r="ID214" s="25"/>
      <c r="IE214" s="25"/>
      <c r="IF214" s="25"/>
      <c r="IG214" s="25"/>
      <c r="IH214" s="25"/>
      <c r="II214" s="25"/>
      <c r="IJ214" s="25"/>
      <c r="IK214" s="25"/>
      <c r="IL214" s="25"/>
      <c r="IM214" s="25"/>
      <c r="IN214" s="25"/>
      <c r="IO214" s="25"/>
      <c r="IP214" s="25"/>
      <c r="IQ214" s="25"/>
      <c r="IR214" s="25"/>
      <c r="IS214" s="25"/>
      <c r="IT214" s="25"/>
      <c r="IU214" s="25"/>
      <c r="IV214" s="25"/>
      <c r="IW214" s="25"/>
      <c r="IX214" s="25"/>
      <c r="IY214" s="25"/>
      <c r="IZ214" s="25"/>
      <c r="JA214" s="25"/>
      <c r="JB214" s="25"/>
      <c r="JC214" s="25"/>
      <c r="JD214" s="25"/>
      <c r="JE214" s="25"/>
      <c r="JF214" s="25"/>
      <c r="JG214" s="25"/>
      <c r="JH214" s="25"/>
      <c r="JI214" s="25"/>
      <c r="JJ214" s="25"/>
      <c r="JK214" s="25"/>
      <c r="JL214" s="25"/>
      <c r="JM214" s="25"/>
      <c r="JN214" s="25"/>
      <c r="JO214" s="25"/>
      <c r="JP214" s="25"/>
      <c r="JQ214" s="25"/>
      <c r="JR214" s="25"/>
      <c r="JS214" s="25"/>
      <c r="JT214" s="25"/>
      <c r="JU214" s="25"/>
      <c r="JV214" s="25"/>
      <c r="JW214" s="25"/>
      <c r="JX214" s="25"/>
      <c r="JY214" s="25"/>
      <c r="JZ214" s="25"/>
      <c r="KA214" s="25"/>
      <c r="KB214" s="25"/>
      <c r="KC214" s="25"/>
      <c r="KD214" s="25"/>
      <c r="KE214" s="25"/>
      <c r="KF214" s="25"/>
      <c r="KG214" s="25"/>
      <c r="KH214" s="25"/>
      <c r="KI214" s="25"/>
      <c r="KJ214" s="25"/>
      <c r="KK214" s="25"/>
      <c r="KL214" s="25"/>
      <c r="KM214" s="25"/>
      <c r="KN214" s="25"/>
      <c r="KO214" s="25"/>
      <c r="KP214" s="25"/>
      <c r="KQ214" s="25"/>
      <c r="KR214" s="25"/>
      <c r="KS214" s="25"/>
      <c r="KT214" s="25"/>
      <c r="KU214" s="25"/>
      <c r="KV214" s="25"/>
      <c r="KW214" s="25"/>
      <c r="KX214" s="25"/>
      <c r="KY214" s="25"/>
      <c r="KZ214" s="25"/>
      <c r="LA214" s="25"/>
      <c r="LB214" s="25"/>
      <c r="LC214" s="25"/>
      <c r="LD214" s="25"/>
      <c r="LE214" s="25"/>
      <c r="LF214" s="25"/>
      <c r="LG214" s="25"/>
      <c r="LH214" s="25"/>
      <c r="LI214" s="25"/>
      <c r="LJ214" s="25"/>
      <c r="LK214" s="25"/>
      <c r="LL214" s="25"/>
      <c r="LM214" s="25"/>
      <c r="LN214" s="25"/>
      <c r="LO214" s="25"/>
      <c r="LP214" s="25"/>
      <c r="LQ214" s="25"/>
      <c r="LR214" s="25"/>
      <c r="LS214" s="25"/>
      <c r="LT214" s="25"/>
      <c r="LU214" s="25"/>
      <c r="LV214" s="25"/>
      <c r="LW214" s="25"/>
      <c r="LX214" s="25"/>
      <c r="LY214" s="25"/>
      <c r="LZ214" s="25"/>
      <c r="MA214" s="25"/>
      <c r="MB214" s="25"/>
      <c r="MC214" s="25"/>
      <c r="MD214" s="25"/>
      <c r="ME214" s="25"/>
      <c r="MF214" s="25"/>
      <c r="MG214" s="25"/>
      <c r="MH214" s="25"/>
      <c r="MI214" s="25"/>
      <c r="MJ214" s="25"/>
      <c r="MK214" s="25"/>
      <c r="ML214" s="25"/>
      <c r="MM214" s="25"/>
      <c r="MN214" s="25"/>
      <c r="MO214" s="25"/>
      <c r="MP214" s="25"/>
      <c r="MQ214" s="25"/>
      <c r="MR214" s="25"/>
      <c r="MS214" s="25"/>
      <c r="MT214" s="25"/>
      <c r="MU214" s="25"/>
      <c r="MV214" s="25"/>
      <c r="MW214" s="25"/>
      <c r="MX214" s="25"/>
      <c r="MY214" s="25"/>
      <c r="MZ214" s="25"/>
      <c r="NA214" s="25"/>
      <c r="NB214" s="25"/>
      <c r="NC214" s="25"/>
      <c r="ND214" s="25"/>
      <c r="NE214" s="25"/>
      <c r="NF214" s="25"/>
      <c r="NG214" s="25"/>
      <c r="NH214" s="25"/>
      <c r="NI214" s="25"/>
      <c r="NJ214" s="25"/>
      <c r="NK214" s="25"/>
      <c r="NL214" s="25"/>
      <c r="NM214" s="25"/>
      <c r="NN214" s="25"/>
      <c r="NO214" s="25"/>
      <c r="NP214" s="25"/>
      <c r="NQ214" s="25"/>
      <c r="NR214" s="25"/>
      <c r="NS214" s="25"/>
      <c r="NT214" s="25"/>
      <c r="NU214" s="25"/>
      <c r="NV214" s="25"/>
      <c r="NW214" s="25"/>
      <c r="NX214" s="25"/>
      <c r="NY214" s="25"/>
      <c r="NZ214" s="25"/>
      <c r="OA214" s="25"/>
      <c r="OB214" s="25"/>
      <c r="OC214" s="25"/>
      <c r="OD214" s="25"/>
      <c r="OE214" s="25"/>
      <c r="OF214" s="25"/>
      <c r="OG214" s="25"/>
      <c r="OH214" s="25"/>
      <c r="OI214" s="25"/>
      <c r="OJ214" s="25"/>
      <c r="OK214" s="25"/>
      <c r="OL214" s="25"/>
      <c r="OM214" s="25"/>
      <c r="ON214" s="25"/>
      <c r="OO214" s="25"/>
      <c r="OP214" s="25"/>
      <c r="OQ214" s="25"/>
      <c r="OR214" s="25"/>
      <c r="OS214" s="25"/>
      <c r="OT214" s="25"/>
      <c r="OU214" s="25"/>
      <c r="OV214" s="25"/>
      <c r="OW214" s="25"/>
      <c r="OX214" s="25"/>
      <c r="OY214" s="25"/>
      <c r="OZ214" s="25"/>
      <c r="PA214" s="25"/>
      <c r="PB214" s="25"/>
      <c r="PC214" s="25"/>
      <c r="PD214" s="25"/>
      <c r="PE214" s="25"/>
      <c r="PF214" s="25"/>
      <c r="PG214" s="25"/>
      <c r="PH214" s="25"/>
      <c r="PI214" s="25"/>
      <c r="PJ214" s="25"/>
      <c r="PK214" s="25"/>
      <c r="PL214" s="25"/>
      <c r="PM214" s="25"/>
      <c r="PN214" s="25"/>
      <c r="PO214" s="25"/>
      <c r="PP214" s="25"/>
      <c r="PQ214" s="25"/>
      <c r="PR214" s="25"/>
      <c r="PS214" s="25"/>
      <c r="PT214" s="25"/>
      <c r="PU214" s="25"/>
      <c r="PV214" s="25"/>
      <c r="PW214" s="25"/>
      <c r="PX214" s="25"/>
      <c r="PY214" s="25"/>
      <c r="PZ214" s="25"/>
      <c r="QA214" s="25"/>
      <c r="QB214" s="25"/>
      <c r="QC214" s="25"/>
      <c r="QD214" s="25"/>
      <c r="QE214" s="25"/>
      <c r="QF214" s="25"/>
      <c r="QG214" s="25"/>
      <c r="QH214" s="25"/>
      <c r="QI214" s="25"/>
      <c r="QJ214" s="25"/>
      <c r="QK214" s="25"/>
      <c r="QL214" s="25"/>
      <c r="QM214" s="25"/>
      <c r="QN214" s="25"/>
      <c r="QO214" s="25"/>
      <c r="QP214" s="25"/>
      <c r="QQ214" s="25"/>
      <c r="QR214" s="25"/>
      <c r="QS214" s="25"/>
      <c r="QT214" s="25"/>
      <c r="QU214" s="25"/>
      <c r="QV214" s="25"/>
      <c r="QW214" s="25"/>
      <c r="QX214" s="25"/>
      <c r="QY214" s="25"/>
      <c r="QZ214" s="25"/>
      <c r="RA214" s="25"/>
      <c r="RB214" s="25"/>
      <c r="RC214" s="25"/>
      <c r="RD214" s="25"/>
      <c r="RE214" s="25"/>
      <c r="RF214" s="25"/>
      <c r="RG214" s="25"/>
      <c r="RH214" s="25"/>
      <c r="RI214" s="25"/>
      <c r="RJ214" s="25"/>
      <c r="RK214" s="25"/>
      <c r="RL214" s="25"/>
      <c r="RM214" s="25"/>
      <c r="RN214" s="25"/>
      <c r="RO214" s="25"/>
      <c r="RP214" s="25"/>
      <c r="RQ214" s="25"/>
      <c r="RR214" s="25"/>
      <c r="RS214" s="25"/>
      <c r="RT214" s="25"/>
      <c r="RU214" s="25"/>
      <c r="RV214" s="25"/>
      <c r="RW214" s="25"/>
      <c r="RX214" s="25"/>
      <c r="RY214" s="25"/>
      <c r="RZ214" s="25"/>
      <c r="SA214" s="25"/>
      <c r="SB214" s="25"/>
      <c r="SC214" s="25"/>
      <c r="SD214" s="25"/>
      <c r="SE214" s="25"/>
      <c r="SF214" s="25"/>
      <c r="SG214" s="25"/>
      <c r="SH214" s="25"/>
      <c r="SI214" s="25"/>
      <c r="SJ214" s="25"/>
      <c r="SK214" s="25"/>
      <c r="SL214" s="25"/>
      <c r="SM214" s="25"/>
      <c r="SN214" s="25"/>
      <c r="SO214" s="25"/>
      <c r="SP214" s="25"/>
      <c r="SQ214" s="25"/>
      <c r="SR214" s="25"/>
      <c r="SS214" s="25"/>
      <c r="ST214" s="25"/>
      <c r="SU214" s="25"/>
      <c r="SV214" s="25"/>
      <c r="SW214" s="25"/>
      <c r="SX214" s="25"/>
      <c r="SY214" s="25"/>
      <c r="SZ214" s="25"/>
      <c r="TA214" s="25"/>
      <c r="TB214" s="25"/>
      <c r="TC214" s="25"/>
      <c r="TD214" s="25"/>
      <c r="TE214" s="25"/>
      <c r="TF214" s="25"/>
      <c r="TG214" s="25"/>
      <c r="TH214" s="25"/>
      <c r="TI214" s="25"/>
      <c r="TJ214" s="25"/>
      <c r="TK214" s="25"/>
      <c r="TL214" s="25"/>
      <c r="TM214" s="25"/>
      <c r="TN214" s="25"/>
      <c r="TO214" s="25"/>
      <c r="TP214" s="25"/>
      <c r="TQ214" s="25"/>
      <c r="TR214" s="25"/>
      <c r="TS214" s="25"/>
      <c r="TT214" s="25"/>
      <c r="TU214" s="25"/>
      <c r="TV214" s="25"/>
      <c r="TW214" s="25"/>
      <c r="TX214" s="25"/>
      <c r="TY214" s="25"/>
      <c r="TZ214" s="25"/>
      <c r="UA214" s="25"/>
      <c r="UB214" s="25"/>
      <c r="UC214" s="25"/>
      <c r="UD214" s="25"/>
      <c r="UE214" s="25"/>
      <c r="UF214" s="25"/>
      <c r="UG214" s="26"/>
    </row>
    <row r="215" spans="1:553" ht="30" customHeight="1">
      <c r="A215" s="356" t="s">
        <v>30</v>
      </c>
      <c r="B215" s="385" t="s">
        <v>31</v>
      </c>
      <c r="C215" s="1404" t="s">
        <v>239</v>
      </c>
      <c r="D215" s="1389"/>
      <c r="E215" s="1389"/>
      <c r="F215" s="1390"/>
      <c r="G215" s="386" t="s">
        <v>34</v>
      </c>
      <c r="H215" s="370"/>
      <c r="I215" s="834">
        <f>-(10.8+7.2)*2*1.5*0.22</f>
        <v>-11.88</v>
      </c>
      <c r="J215" s="368">
        <v>1748702</v>
      </c>
      <c r="K215" s="371"/>
      <c r="L215" s="391">
        <f t="shared" si="43"/>
        <v>-20774580</v>
      </c>
      <c r="M215" s="395"/>
      <c r="N215" s="395"/>
      <c r="O215" s="366"/>
      <c r="P215" s="396"/>
      <c r="Q215" s="473"/>
      <c r="R215" s="1039"/>
      <c r="S215" s="308"/>
      <c r="T215" s="303"/>
      <c r="U215" s="306"/>
      <c r="V215" s="307"/>
      <c r="W215" s="306"/>
      <c r="X215" s="306"/>
      <c r="Y215" s="306"/>
      <c r="Z215" s="306"/>
      <c r="AA215" s="306"/>
      <c r="AB215" s="306"/>
      <c r="AC215" s="449"/>
      <c r="AD215" s="449"/>
      <c r="AE215" s="449"/>
      <c r="AF215" s="449"/>
      <c r="AG215" s="452"/>
      <c r="AH215" s="452"/>
      <c r="AI215" s="452"/>
      <c r="AJ215" s="452"/>
      <c r="AK215" s="452"/>
      <c r="AL215" s="104"/>
      <c r="AM215" s="32"/>
      <c r="AN215" s="32"/>
      <c r="AO215" s="32"/>
      <c r="AP215" s="32"/>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K215" s="25"/>
      <c r="DL215" s="25"/>
      <c r="DM215" s="25"/>
      <c r="DN215" s="25"/>
      <c r="DO215" s="25"/>
      <c r="DP215" s="25"/>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c r="GF215" s="25"/>
      <c r="GG215" s="25"/>
      <c r="GH215" s="25"/>
      <c r="GI215" s="25"/>
      <c r="GJ215" s="25"/>
      <c r="GK215" s="25"/>
      <c r="GL215" s="25"/>
      <c r="GM215" s="25"/>
      <c r="GN215" s="25"/>
      <c r="GO215" s="25"/>
      <c r="GP215" s="25"/>
      <c r="GQ215" s="25"/>
      <c r="GR215" s="25"/>
      <c r="GS215" s="25"/>
      <c r="GT215" s="25"/>
      <c r="GU215" s="25"/>
      <c r="GV215" s="25"/>
      <c r="GW215" s="25"/>
      <c r="GX215" s="25"/>
      <c r="GY215" s="25"/>
      <c r="GZ215" s="25"/>
      <c r="HA215" s="25"/>
      <c r="HB215" s="25"/>
      <c r="HC215" s="25"/>
      <c r="HD215" s="25"/>
      <c r="HE215" s="25"/>
      <c r="HF215" s="25"/>
      <c r="HG215" s="25"/>
      <c r="HH215" s="25"/>
      <c r="HI215" s="25"/>
      <c r="HJ215" s="25"/>
      <c r="HK215" s="25"/>
      <c r="HL215" s="25"/>
      <c r="HM215" s="25"/>
      <c r="HN215" s="25"/>
      <c r="HO215" s="25"/>
      <c r="HP215" s="25"/>
      <c r="HQ215" s="25"/>
      <c r="HR215" s="25"/>
      <c r="HS215" s="25"/>
      <c r="HT215" s="25"/>
      <c r="HU215" s="25"/>
      <c r="HV215" s="25"/>
      <c r="HW215" s="25"/>
      <c r="HX215" s="25"/>
      <c r="HY215" s="25"/>
      <c r="HZ215" s="25"/>
      <c r="IA215" s="25"/>
      <c r="IB215" s="25"/>
      <c r="IC215" s="25"/>
      <c r="ID215" s="25"/>
      <c r="IE215" s="25"/>
      <c r="IF215" s="25"/>
      <c r="IG215" s="25"/>
      <c r="IH215" s="25"/>
      <c r="II215" s="25"/>
      <c r="IJ215" s="25"/>
      <c r="IK215" s="25"/>
      <c r="IL215" s="25"/>
      <c r="IM215" s="25"/>
      <c r="IN215" s="25"/>
      <c r="IO215" s="25"/>
      <c r="IP215" s="25"/>
      <c r="IQ215" s="25"/>
      <c r="IR215" s="25"/>
      <c r="IS215" s="25"/>
      <c r="IT215" s="25"/>
      <c r="IU215" s="25"/>
      <c r="IV215" s="25"/>
      <c r="IW215" s="25"/>
      <c r="IX215" s="25"/>
      <c r="IY215" s="25"/>
      <c r="IZ215" s="25"/>
      <c r="JA215" s="25"/>
      <c r="JB215" s="25"/>
      <c r="JC215" s="25"/>
      <c r="JD215" s="25"/>
      <c r="JE215" s="25"/>
      <c r="JF215" s="25"/>
      <c r="JG215" s="25"/>
      <c r="JH215" s="25"/>
      <c r="JI215" s="25"/>
      <c r="JJ215" s="25"/>
      <c r="JK215" s="25"/>
      <c r="JL215" s="25"/>
      <c r="JM215" s="25"/>
      <c r="JN215" s="25"/>
      <c r="JO215" s="25"/>
      <c r="JP215" s="25"/>
      <c r="JQ215" s="25"/>
      <c r="JR215" s="25"/>
      <c r="JS215" s="25"/>
      <c r="JT215" s="25"/>
      <c r="JU215" s="25"/>
      <c r="JV215" s="25"/>
      <c r="JW215" s="25"/>
      <c r="JX215" s="25"/>
      <c r="JY215" s="25"/>
      <c r="JZ215" s="25"/>
      <c r="KA215" s="25"/>
      <c r="KB215" s="25"/>
      <c r="KC215" s="25"/>
      <c r="KD215" s="25"/>
      <c r="KE215" s="25"/>
      <c r="KF215" s="25"/>
      <c r="KG215" s="25"/>
      <c r="KH215" s="25"/>
      <c r="KI215" s="25"/>
      <c r="KJ215" s="25"/>
      <c r="KK215" s="25"/>
      <c r="KL215" s="25"/>
      <c r="KM215" s="25"/>
      <c r="KN215" s="25"/>
      <c r="KO215" s="25"/>
      <c r="KP215" s="25"/>
      <c r="KQ215" s="25"/>
      <c r="KR215" s="25"/>
      <c r="KS215" s="25"/>
      <c r="KT215" s="25"/>
      <c r="KU215" s="25"/>
      <c r="KV215" s="25"/>
      <c r="KW215" s="25"/>
      <c r="KX215" s="25"/>
      <c r="KY215" s="25"/>
      <c r="KZ215" s="25"/>
      <c r="LA215" s="25"/>
      <c r="LB215" s="25"/>
      <c r="LC215" s="25"/>
      <c r="LD215" s="25"/>
      <c r="LE215" s="25"/>
      <c r="LF215" s="25"/>
      <c r="LG215" s="25"/>
      <c r="LH215" s="25"/>
      <c r="LI215" s="25"/>
      <c r="LJ215" s="25"/>
      <c r="LK215" s="25"/>
      <c r="LL215" s="25"/>
      <c r="LM215" s="25"/>
      <c r="LN215" s="25"/>
      <c r="LO215" s="25"/>
      <c r="LP215" s="25"/>
      <c r="LQ215" s="25"/>
      <c r="LR215" s="25"/>
      <c r="LS215" s="25"/>
      <c r="LT215" s="25"/>
      <c r="LU215" s="25"/>
      <c r="LV215" s="25"/>
      <c r="LW215" s="25"/>
      <c r="LX215" s="25"/>
      <c r="LY215" s="25"/>
      <c r="LZ215" s="25"/>
      <c r="MA215" s="25"/>
      <c r="MB215" s="25"/>
      <c r="MC215" s="25"/>
      <c r="MD215" s="25"/>
      <c r="ME215" s="25"/>
      <c r="MF215" s="25"/>
      <c r="MG215" s="25"/>
      <c r="MH215" s="25"/>
      <c r="MI215" s="25"/>
      <c r="MJ215" s="25"/>
      <c r="MK215" s="25"/>
      <c r="ML215" s="25"/>
      <c r="MM215" s="25"/>
      <c r="MN215" s="25"/>
      <c r="MO215" s="25"/>
      <c r="MP215" s="25"/>
      <c r="MQ215" s="25"/>
      <c r="MR215" s="25"/>
      <c r="MS215" s="25"/>
      <c r="MT215" s="25"/>
      <c r="MU215" s="25"/>
      <c r="MV215" s="25"/>
      <c r="MW215" s="25"/>
      <c r="MX215" s="25"/>
      <c r="MY215" s="25"/>
      <c r="MZ215" s="25"/>
      <c r="NA215" s="25"/>
      <c r="NB215" s="25"/>
      <c r="NC215" s="25"/>
      <c r="ND215" s="25"/>
      <c r="NE215" s="25"/>
      <c r="NF215" s="25"/>
      <c r="NG215" s="25"/>
      <c r="NH215" s="25"/>
      <c r="NI215" s="25"/>
      <c r="NJ215" s="25"/>
      <c r="NK215" s="25"/>
      <c r="NL215" s="25"/>
      <c r="NM215" s="25"/>
      <c r="NN215" s="25"/>
      <c r="NO215" s="25"/>
      <c r="NP215" s="25"/>
      <c r="NQ215" s="25"/>
      <c r="NR215" s="25"/>
      <c r="NS215" s="25"/>
      <c r="NT215" s="25"/>
      <c r="NU215" s="25"/>
      <c r="NV215" s="25"/>
      <c r="NW215" s="25"/>
      <c r="NX215" s="25"/>
      <c r="NY215" s="25"/>
      <c r="NZ215" s="25"/>
      <c r="OA215" s="25"/>
      <c r="OB215" s="25"/>
      <c r="OC215" s="25"/>
      <c r="OD215" s="25"/>
      <c r="OE215" s="25"/>
      <c r="OF215" s="25"/>
      <c r="OG215" s="25"/>
      <c r="OH215" s="25"/>
      <c r="OI215" s="25"/>
      <c r="OJ215" s="25"/>
      <c r="OK215" s="25"/>
      <c r="OL215" s="25"/>
      <c r="OM215" s="25"/>
      <c r="ON215" s="25"/>
      <c r="OO215" s="25"/>
      <c r="OP215" s="25"/>
      <c r="OQ215" s="25"/>
      <c r="OR215" s="25"/>
      <c r="OS215" s="25"/>
      <c r="OT215" s="25"/>
      <c r="OU215" s="25"/>
      <c r="OV215" s="25"/>
      <c r="OW215" s="25"/>
      <c r="OX215" s="25"/>
      <c r="OY215" s="25"/>
      <c r="OZ215" s="25"/>
      <c r="PA215" s="25"/>
      <c r="PB215" s="25"/>
      <c r="PC215" s="25"/>
      <c r="PD215" s="25"/>
      <c r="PE215" s="25"/>
      <c r="PF215" s="25"/>
      <c r="PG215" s="25"/>
      <c r="PH215" s="25"/>
      <c r="PI215" s="25"/>
      <c r="PJ215" s="25"/>
      <c r="PK215" s="25"/>
      <c r="PL215" s="25"/>
      <c r="PM215" s="25"/>
      <c r="PN215" s="25"/>
      <c r="PO215" s="25"/>
      <c r="PP215" s="25"/>
      <c r="PQ215" s="25"/>
      <c r="PR215" s="25"/>
      <c r="PS215" s="25"/>
      <c r="PT215" s="25"/>
      <c r="PU215" s="25"/>
      <c r="PV215" s="25"/>
      <c r="PW215" s="25"/>
      <c r="PX215" s="25"/>
      <c r="PY215" s="25"/>
      <c r="PZ215" s="25"/>
      <c r="QA215" s="25"/>
      <c r="QB215" s="25"/>
      <c r="QC215" s="25"/>
      <c r="QD215" s="25"/>
      <c r="QE215" s="25"/>
      <c r="QF215" s="25"/>
      <c r="QG215" s="25"/>
      <c r="QH215" s="25"/>
      <c r="QI215" s="25"/>
      <c r="QJ215" s="25"/>
      <c r="QK215" s="25"/>
      <c r="QL215" s="25"/>
      <c r="QM215" s="25"/>
      <c r="QN215" s="25"/>
      <c r="QO215" s="25"/>
      <c r="QP215" s="25"/>
      <c r="QQ215" s="25"/>
      <c r="QR215" s="25"/>
      <c r="QS215" s="25"/>
      <c r="QT215" s="25"/>
      <c r="QU215" s="25"/>
      <c r="QV215" s="25"/>
      <c r="QW215" s="25"/>
      <c r="QX215" s="25"/>
      <c r="QY215" s="25"/>
      <c r="QZ215" s="25"/>
      <c r="RA215" s="25"/>
      <c r="RB215" s="25"/>
      <c r="RC215" s="25"/>
      <c r="RD215" s="25"/>
      <c r="RE215" s="25"/>
      <c r="RF215" s="25"/>
      <c r="RG215" s="25"/>
      <c r="RH215" s="25"/>
      <c r="RI215" s="25"/>
      <c r="RJ215" s="25"/>
      <c r="RK215" s="25"/>
      <c r="RL215" s="25"/>
      <c r="RM215" s="25"/>
      <c r="RN215" s="25"/>
      <c r="RO215" s="25"/>
      <c r="RP215" s="25"/>
      <c r="RQ215" s="25"/>
      <c r="RR215" s="25"/>
      <c r="RS215" s="25"/>
      <c r="RT215" s="25"/>
      <c r="RU215" s="25"/>
      <c r="RV215" s="25"/>
      <c r="RW215" s="25"/>
      <c r="RX215" s="25"/>
      <c r="RY215" s="25"/>
      <c r="RZ215" s="25"/>
      <c r="SA215" s="25"/>
      <c r="SB215" s="25"/>
      <c r="SC215" s="25"/>
      <c r="SD215" s="25"/>
      <c r="SE215" s="25"/>
      <c r="SF215" s="25"/>
      <c r="SG215" s="25"/>
      <c r="SH215" s="25"/>
      <c r="SI215" s="25"/>
      <c r="SJ215" s="25"/>
      <c r="SK215" s="25"/>
      <c r="SL215" s="25"/>
      <c r="SM215" s="25"/>
      <c r="SN215" s="25"/>
      <c r="SO215" s="25"/>
      <c r="SP215" s="25"/>
      <c r="SQ215" s="25"/>
      <c r="SR215" s="25"/>
      <c r="SS215" s="25"/>
      <c r="ST215" s="25"/>
      <c r="SU215" s="25"/>
      <c r="SV215" s="25"/>
      <c r="SW215" s="25"/>
      <c r="SX215" s="25"/>
      <c r="SY215" s="25"/>
      <c r="SZ215" s="25"/>
      <c r="TA215" s="25"/>
      <c r="TB215" s="25"/>
      <c r="TC215" s="25"/>
      <c r="TD215" s="25"/>
      <c r="TE215" s="25"/>
      <c r="TF215" s="25"/>
      <c r="TG215" s="25"/>
      <c r="TH215" s="25"/>
      <c r="TI215" s="25"/>
      <c r="TJ215" s="25"/>
      <c r="TK215" s="25"/>
      <c r="TL215" s="25"/>
      <c r="TM215" s="25"/>
      <c r="TN215" s="25"/>
      <c r="TO215" s="25"/>
      <c r="TP215" s="25"/>
      <c r="TQ215" s="25"/>
      <c r="TR215" s="25"/>
      <c r="TS215" s="25"/>
      <c r="TT215" s="25"/>
      <c r="TU215" s="25"/>
      <c r="TV215" s="25"/>
      <c r="TW215" s="25"/>
      <c r="TX215" s="25"/>
      <c r="TY215" s="25"/>
      <c r="TZ215" s="25"/>
      <c r="UA215" s="25"/>
      <c r="UB215" s="25"/>
      <c r="UC215" s="25"/>
      <c r="UD215" s="25"/>
      <c r="UE215" s="25"/>
      <c r="UF215" s="25"/>
      <c r="UG215" s="26"/>
    </row>
    <row r="216" spans="1:553" ht="38.25" customHeight="1">
      <c r="A216" s="356" t="s">
        <v>30</v>
      </c>
      <c r="B216" s="385">
        <v>2</v>
      </c>
      <c r="C216" s="1451" t="s">
        <v>891</v>
      </c>
      <c r="D216" s="1389"/>
      <c r="E216" s="1389"/>
      <c r="F216" s="1390"/>
      <c r="G216" s="386" t="s">
        <v>33</v>
      </c>
      <c r="H216" s="370"/>
      <c r="I216" s="834">
        <f>-(10.8+7.2)*2*1.5*2</f>
        <v>-108</v>
      </c>
      <c r="J216" s="368">
        <v>52000</v>
      </c>
      <c r="K216" s="371"/>
      <c r="L216" s="391">
        <f t="shared" ref="L216:L217" si="44">I216*J216</f>
        <v>-5616000</v>
      </c>
      <c r="M216" s="395"/>
      <c r="N216" s="395"/>
      <c r="O216" s="366"/>
      <c r="P216" s="396"/>
      <c r="Q216" s="473"/>
      <c r="R216" s="1039"/>
      <c r="S216" s="308"/>
      <c r="T216" s="303"/>
      <c r="U216" s="306"/>
      <c r="V216" s="307"/>
      <c r="W216" s="306"/>
      <c r="X216" s="306"/>
      <c r="Y216" s="306"/>
      <c r="Z216" s="306"/>
      <c r="AA216" s="306"/>
      <c r="AB216" s="306"/>
      <c r="AC216" s="449"/>
      <c r="AD216" s="449"/>
      <c r="AE216" s="449"/>
      <c r="AF216" s="449"/>
      <c r="AG216" s="452"/>
      <c r="AH216" s="452"/>
      <c r="AI216" s="452"/>
      <c r="AJ216" s="452"/>
      <c r="AK216" s="452"/>
      <c r="AL216" s="104"/>
      <c r="AM216" s="104"/>
      <c r="AN216" s="104"/>
      <c r="AO216" s="104"/>
      <c r="AP216" s="104"/>
      <c r="AQ216" s="106"/>
      <c r="AR216" s="106"/>
      <c r="AS216" s="106"/>
      <c r="AT216" s="106"/>
      <c r="AU216" s="106"/>
      <c r="AV216" s="106"/>
      <c r="AW216" s="106"/>
      <c r="AX216" s="106"/>
      <c r="AY216" s="106"/>
      <c r="AZ216" s="106"/>
      <c r="BA216" s="106"/>
      <c r="BB216" s="106"/>
      <c r="BC216" s="106"/>
      <c r="BD216" s="106"/>
      <c r="BE216" s="106"/>
      <c r="BF216" s="106"/>
      <c r="BG216" s="106"/>
      <c r="BH216" s="106"/>
      <c r="BI216" s="106"/>
      <c r="BJ216" s="106"/>
      <c r="BK216" s="106"/>
      <c r="BL216" s="106"/>
      <c r="BM216" s="107"/>
      <c r="BN216" s="107"/>
      <c r="BO216" s="107"/>
      <c r="BP216" s="107"/>
      <c r="BQ216" s="107"/>
      <c r="BR216" s="107"/>
      <c r="BS216" s="107"/>
      <c r="BT216" s="107"/>
      <c r="BU216" s="107"/>
      <c r="BV216" s="107"/>
      <c r="BW216" s="107"/>
      <c r="BX216" s="107"/>
      <c r="BY216" s="107"/>
      <c r="BZ216" s="107"/>
      <c r="CA216" s="107"/>
      <c r="CB216" s="107"/>
      <c r="CC216" s="107"/>
      <c r="CD216" s="107"/>
      <c r="CE216" s="107"/>
      <c r="CF216" s="107"/>
      <c r="CG216" s="107"/>
      <c r="CH216" s="107"/>
      <c r="CI216" s="107"/>
      <c r="CJ216" s="107"/>
      <c r="CK216" s="107"/>
      <c r="CL216" s="107"/>
      <c r="CM216" s="107"/>
      <c r="CN216" s="107"/>
      <c r="CO216" s="107"/>
      <c r="CP216" s="107"/>
      <c r="CQ216" s="107"/>
      <c r="CR216" s="107"/>
      <c r="CS216" s="107"/>
      <c r="CT216" s="107"/>
      <c r="CU216" s="107"/>
      <c r="CV216" s="107"/>
      <c r="CW216" s="107"/>
      <c r="CX216" s="107"/>
      <c r="CY216" s="107"/>
      <c r="CZ216" s="107"/>
      <c r="DA216" s="107"/>
      <c r="DB216" s="107"/>
      <c r="DC216" s="107"/>
      <c r="DD216" s="107"/>
      <c r="DE216" s="107"/>
      <c r="DF216" s="107"/>
      <c r="DG216" s="107"/>
      <c r="DH216" s="107"/>
      <c r="DI216" s="107"/>
      <c r="DJ216" s="107"/>
      <c r="DK216" s="107"/>
      <c r="DL216" s="107"/>
      <c r="DM216" s="107"/>
      <c r="DN216" s="107"/>
      <c r="DO216" s="107"/>
      <c r="DP216" s="107"/>
      <c r="DQ216" s="107"/>
      <c r="DR216" s="107"/>
      <c r="DS216" s="107"/>
      <c r="DT216" s="107"/>
      <c r="DU216" s="107"/>
      <c r="DV216" s="107"/>
      <c r="DW216" s="107"/>
      <c r="DX216" s="107"/>
      <c r="DY216" s="107"/>
      <c r="DZ216" s="107"/>
      <c r="EA216" s="107"/>
      <c r="EB216" s="107"/>
      <c r="EC216" s="107"/>
      <c r="ED216" s="107"/>
      <c r="EE216" s="107"/>
      <c r="EF216" s="107"/>
      <c r="EG216" s="107"/>
      <c r="EH216" s="107"/>
      <c r="EI216" s="107"/>
      <c r="EJ216" s="107"/>
      <c r="EK216" s="107"/>
      <c r="EL216" s="107"/>
      <c r="EM216" s="107"/>
      <c r="EN216" s="107"/>
      <c r="EO216" s="107"/>
      <c r="EP216" s="107"/>
      <c r="EQ216" s="107"/>
      <c r="ER216" s="107"/>
      <c r="ES216" s="107"/>
      <c r="ET216" s="107"/>
      <c r="EU216" s="107"/>
      <c r="EV216" s="107"/>
      <c r="EW216" s="107"/>
      <c r="EX216" s="107"/>
      <c r="EY216" s="107"/>
      <c r="EZ216" s="107"/>
      <c r="FA216" s="107"/>
      <c r="FB216" s="107"/>
      <c r="FC216" s="107"/>
      <c r="FD216" s="107"/>
      <c r="FE216" s="107"/>
      <c r="FF216" s="107"/>
      <c r="FG216" s="107"/>
      <c r="FH216" s="107"/>
      <c r="FI216" s="107"/>
      <c r="FJ216" s="107"/>
      <c r="FK216" s="107"/>
      <c r="FL216" s="107"/>
      <c r="FM216" s="107"/>
      <c r="FN216" s="107"/>
      <c r="FO216" s="107"/>
      <c r="FP216" s="107"/>
      <c r="FQ216" s="107"/>
      <c r="FR216" s="107"/>
      <c r="FS216" s="107"/>
      <c r="FT216" s="107"/>
      <c r="FU216" s="107"/>
      <c r="FV216" s="107"/>
      <c r="FW216" s="107"/>
      <c r="FX216" s="107"/>
      <c r="FY216" s="107"/>
      <c r="FZ216" s="107"/>
      <c r="GA216" s="107"/>
      <c r="GB216" s="107"/>
      <c r="GC216" s="107"/>
      <c r="GD216" s="107"/>
      <c r="GE216" s="107"/>
      <c r="GF216" s="107"/>
      <c r="GG216" s="107"/>
      <c r="GH216" s="107"/>
      <c r="GI216" s="107"/>
      <c r="GJ216" s="107"/>
      <c r="GK216" s="107"/>
      <c r="GL216" s="107"/>
      <c r="GM216" s="107"/>
      <c r="GN216" s="107"/>
      <c r="GO216" s="107"/>
      <c r="GP216" s="107"/>
      <c r="GQ216" s="107"/>
      <c r="GR216" s="107"/>
      <c r="GS216" s="107"/>
      <c r="GT216" s="107"/>
      <c r="GU216" s="107"/>
      <c r="GV216" s="107"/>
      <c r="GW216" s="107"/>
      <c r="GX216" s="107"/>
      <c r="GY216" s="107"/>
      <c r="GZ216" s="107"/>
      <c r="HA216" s="107"/>
      <c r="HB216" s="107"/>
      <c r="HC216" s="107"/>
      <c r="HD216" s="107"/>
      <c r="HE216" s="107"/>
      <c r="HF216" s="107"/>
      <c r="HG216" s="107"/>
      <c r="HH216" s="107"/>
      <c r="HI216" s="107"/>
      <c r="HJ216" s="107"/>
      <c r="HK216" s="107"/>
      <c r="HL216" s="107"/>
      <c r="HM216" s="107"/>
      <c r="HN216" s="107"/>
      <c r="HO216" s="107"/>
      <c r="HP216" s="107"/>
      <c r="HQ216" s="107"/>
      <c r="HR216" s="107"/>
      <c r="HS216" s="107"/>
      <c r="HT216" s="107"/>
      <c r="HU216" s="107"/>
      <c r="HV216" s="107"/>
      <c r="HW216" s="107"/>
      <c r="HX216" s="107"/>
      <c r="HY216" s="107"/>
      <c r="HZ216" s="107"/>
      <c r="IA216" s="107"/>
      <c r="IB216" s="107"/>
      <c r="IC216" s="107"/>
      <c r="ID216" s="107"/>
      <c r="IE216" s="107"/>
      <c r="IF216" s="107"/>
      <c r="IG216" s="107"/>
      <c r="IH216" s="107"/>
      <c r="II216" s="107"/>
      <c r="IJ216" s="107"/>
      <c r="IK216" s="107"/>
      <c r="IL216" s="107"/>
      <c r="IM216" s="107"/>
      <c r="IN216" s="107"/>
      <c r="IO216" s="107"/>
      <c r="IP216" s="107"/>
      <c r="IQ216" s="107"/>
      <c r="IR216" s="107"/>
      <c r="IS216" s="107"/>
      <c r="IT216" s="107"/>
      <c r="IU216" s="107"/>
      <c r="IV216" s="107"/>
      <c r="IW216" s="107"/>
      <c r="IX216" s="107"/>
      <c r="IY216" s="107"/>
      <c r="IZ216" s="107"/>
      <c r="JA216" s="107"/>
      <c r="JB216" s="107"/>
      <c r="JC216" s="107"/>
      <c r="JD216" s="107"/>
      <c r="JE216" s="107"/>
      <c r="JF216" s="107"/>
      <c r="JG216" s="107"/>
      <c r="JH216" s="107"/>
      <c r="JI216" s="107"/>
      <c r="JJ216" s="107"/>
      <c r="JK216" s="107"/>
      <c r="JL216" s="107"/>
      <c r="JM216" s="107"/>
      <c r="JN216" s="107"/>
      <c r="JO216" s="107"/>
      <c r="JP216" s="107"/>
      <c r="JQ216" s="107"/>
      <c r="JR216" s="107"/>
      <c r="JS216" s="107"/>
      <c r="JT216" s="107"/>
      <c r="JU216" s="107"/>
      <c r="JV216" s="107"/>
      <c r="JW216" s="107"/>
      <c r="JX216" s="107"/>
      <c r="JY216" s="107"/>
      <c r="JZ216" s="107"/>
      <c r="KA216" s="107"/>
      <c r="KB216" s="107"/>
      <c r="KC216" s="107"/>
      <c r="KD216" s="107"/>
      <c r="KE216" s="107"/>
      <c r="KF216" s="107"/>
      <c r="KG216" s="107"/>
      <c r="KH216" s="107"/>
      <c r="KI216" s="107"/>
      <c r="KJ216" s="107"/>
      <c r="KK216" s="107"/>
      <c r="KL216" s="107"/>
      <c r="KM216" s="107"/>
      <c r="KN216" s="107"/>
      <c r="KO216" s="107"/>
      <c r="KP216" s="107"/>
      <c r="KQ216" s="107"/>
      <c r="KR216" s="107"/>
      <c r="KS216" s="107"/>
      <c r="KT216" s="107"/>
      <c r="KU216" s="107"/>
      <c r="KV216" s="107"/>
      <c r="KW216" s="107"/>
      <c r="KX216" s="107"/>
      <c r="KY216" s="107"/>
      <c r="KZ216" s="107"/>
      <c r="LA216" s="107"/>
      <c r="LB216" s="107"/>
      <c r="LC216" s="107"/>
      <c r="LD216" s="107"/>
      <c r="LE216" s="107"/>
      <c r="LF216" s="107"/>
      <c r="LG216" s="107"/>
      <c r="LH216" s="107"/>
      <c r="LI216" s="107"/>
      <c r="LJ216" s="107"/>
      <c r="LK216" s="107"/>
      <c r="LL216" s="107"/>
      <c r="LM216" s="107"/>
      <c r="LN216" s="107"/>
      <c r="LO216" s="107"/>
      <c r="LP216" s="107"/>
      <c r="LQ216" s="107"/>
      <c r="LR216" s="107"/>
      <c r="LS216" s="107"/>
      <c r="LT216" s="107"/>
      <c r="LU216" s="107"/>
      <c r="LV216" s="107"/>
      <c r="LW216" s="107"/>
      <c r="LX216" s="107"/>
      <c r="LY216" s="107"/>
      <c r="LZ216" s="107"/>
      <c r="MA216" s="107"/>
      <c r="MB216" s="107"/>
      <c r="MC216" s="107"/>
      <c r="MD216" s="107"/>
      <c r="ME216" s="107"/>
      <c r="MF216" s="107"/>
      <c r="MG216" s="107"/>
      <c r="MH216" s="107"/>
      <c r="MI216" s="107"/>
      <c r="MJ216" s="107"/>
      <c r="MK216" s="107"/>
      <c r="ML216" s="107"/>
      <c r="MM216" s="107"/>
      <c r="MN216" s="107"/>
      <c r="MO216" s="107"/>
      <c r="MP216" s="107"/>
      <c r="MQ216" s="107"/>
      <c r="MR216" s="107"/>
      <c r="MS216" s="107"/>
      <c r="MT216" s="107"/>
      <c r="MU216" s="107"/>
      <c r="MV216" s="107"/>
      <c r="MW216" s="107"/>
      <c r="MX216" s="107"/>
      <c r="MY216" s="107"/>
      <c r="MZ216" s="107"/>
      <c r="NA216" s="107"/>
      <c r="NB216" s="107"/>
      <c r="NC216" s="107"/>
      <c r="ND216" s="107"/>
      <c r="NE216" s="107"/>
      <c r="NF216" s="107"/>
      <c r="NG216" s="107"/>
      <c r="NH216" s="107"/>
      <c r="NI216" s="107"/>
      <c r="NJ216" s="107"/>
      <c r="NK216" s="107"/>
      <c r="NL216" s="107"/>
      <c r="NM216" s="107"/>
      <c r="NN216" s="107"/>
      <c r="NO216" s="107"/>
      <c r="NP216" s="107"/>
      <c r="NQ216" s="107"/>
      <c r="NR216" s="107"/>
      <c r="NS216" s="107"/>
      <c r="NT216" s="107"/>
      <c r="NU216" s="107"/>
      <c r="NV216" s="107"/>
      <c r="NW216" s="107"/>
      <c r="NX216" s="107"/>
      <c r="NY216" s="107"/>
      <c r="NZ216" s="107"/>
      <c r="OA216" s="107"/>
      <c r="OB216" s="107"/>
      <c r="OC216" s="107"/>
      <c r="OD216" s="107"/>
      <c r="OE216" s="107"/>
      <c r="OF216" s="107"/>
      <c r="OG216" s="107"/>
      <c r="OH216" s="107"/>
      <c r="OI216" s="107"/>
      <c r="OJ216" s="107"/>
      <c r="OK216" s="107"/>
      <c r="OL216" s="107"/>
      <c r="OM216" s="107"/>
      <c r="ON216" s="107"/>
      <c r="OO216" s="107"/>
      <c r="OP216" s="107"/>
      <c r="OQ216" s="107"/>
      <c r="OR216" s="107"/>
      <c r="OS216" s="107"/>
      <c r="OT216" s="107"/>
      <c r="OU216" s="107"/>
      <c r="OV216" s="107"/>
      <c r="OW216" s="107"/>
      <c r="OX216" s="107"/>
      <c r="OY216" s="107"/>
      <c r="OZ216" s="107"/>
      <c r="PA216" s="107"/>
      <c r="PB216" s="107"/>
      <c r="PC216" s="107"/>
      <c r="PD216" s="107"/>
      <c r="PE216" s="107"/>
      <c r="PF216" s="107"/>
      <c r="PG216" s="107"/>
      <c r="PH216" s="107"/>
      <c r="PI216" s="107"/>
      <c r="PJ216" s="107"/>
      <c r="PK216" s="107"/>
      <c r="PL216" s="107"/>
      <c r="PM216" s="107"/>
      <c r="PN216" s="107"/>
      <c r="PO216" s="107"/>
      <c r="PP216" s="107"/>
      <c r="PQ216" s="107"/>
      <c r="PR216" s="107"/>
      <c r="PS216" s="107"/>
      <c r="PT216" s="107"/>
      <c r="PU216" s="107"/>
      <c r="PV216" s="107"/>
      <c r="PW216" s="107"/>
      <c r="PX216" s="107"/>
      <c r="PY216" s="107"/>
      <c r="PZ216" s="107"/>
      <c r="QA216" s="107"/>
      <c r="QB216" s="107"/>
      <c r="QC216" s="107"/>
      <c r="QD216" s="107"/>
      <c r="QE216" s="107"/>
      <c r="QF216" s="107"/>
      <c r="QG216" s="107"/>
      <c r="QH216" s="107"/>
      <c r="QI216" s="107"/>
      <c r="QJ216" s="107"/>
      <c r="QK216" s="107"/>
      <c r="QL216" s="107"/>
      <c r="QM216" s="107"/>
      <c r="QN216" s="107"/>
      <c r="QO216" s="107"/>
      <c r="QP216" s="107"/>
      <c r="QQ216" s="107"/>
      <c r="QR216" s="107"/>
      <c r="QS216" s="107"/>
      <c r="QT216" s="107"/>
      <c r="QU216" s="107"/>
      <c r="QV216" s="107"/>
      <c r="QW216" s="107"/>
      <c r="QX216" s="107"/>
      <c r="QY216" s="107"/>
      <c r="QZ216" s="107"/>
      <c r="RA216" s="107"/>
      <c r="RB216" s="107"/>
      <c r="RC216" s="107"/>
      <c r="RD216" s="107"/>
      <c r="RE216" s="107"/>
      <c r="RF216" s="107"/>
      <c r="RG216" s="107"/>
      <c r="RH216" s="107"/>
      <c r="RI216" s="107"/>
      <c r="RJ216" s="107"/>
      <c r="RK216" s="107"/>
      <c r="RL216" s="107"/>
      <c r="RM216" s="107"/>
      <c r="RN216" s="107"/>
      <c r="RO216" s="107"/>
      <c r="RP216" s="107"/>
      <c r="RQ216" s="107"/>
      <c r="RR216" s="107"/>
      <c r="RS216" s="107"/>
      <c r="RT216" s="107"/>
      <c r="RU216" s="107"/>
      <c r="RV216" s="107"/>
      <c r="RW216" s="107"/>
      <c r="RX216" s="107"/>
      <c r="RY216" s="107"/>
      <c r="RZ216" s="107"/>
      <c r="SA216" s="107"/>
      <c r="SB216" s="107"/>
      <c r="SC216" s="107"/>
      <c r="SD216" s="107"/>
      <c r="SE216" s="107"/>
      <c r="SF216" s="107"/>
      <c r="SG216" s="107"/>
      <c r="SH216" s="107"/>
      <c r="SI216" s="107"/>
      <c r="SJ216" s="107"/>
      <c r="SK216" s="107"/>
      <c r="SL216" s="107"/>
      <c r="SM216" s="107"/>
      <c r="SN216" s="107"/>
      <c r="SO216" s="107"/>
      <c r="SP216" s="107"/>
      <c r="SQ216" s="107"/>
      <c r="SR216" s="107"/>
      <c r="SS216" s="107"/>
      <c r="ST216" s="107"/>
      <c r="SU216" s="107"/>
      <c r="SV216" s="107"/>
      <c r="SW216" s="107"/>
      <c r="SX216" s="107"/>
      <c r="SY216" s="107"/>
      <c r="SZ216" s="107"/>
      <c r="TA216" s="107"/>
      <c r="TB216" s="107"/>
      <c r="TC216" s="107"/>
      <c r="TD216" s="107"/>
      <c r="TE216" s="107"/>
      <c r="TF216" s="107"/>
      <c r="TG216" s="107"/>
      <c r="TH216" s="107"/>
      <c r="TI216" s="107"/>
      <c r="TJ216" s="107"/>
      <c r="TK216" s="107"/>
      <c r="TL216" s="107"/>
      <c r="TM216" s="107"/>
      <c r="TN216" s="107"/>
      <c r="TO216" s="107"/>
      <c r="TP216" s="107"/>
      <c r="TQ216" s="107"/>
      <c r="TR216" s="107"/>
      <c r="TS216" s="107"/>
      <c r="TT216" s="107"/>
      <c r="TU216" s="107"/>
      <c r="TV216" s="107"/>
      <c r="TW216" s="107"/>
      <c r="TX216" s="107"/>
      <c r="TY216" s="107"/>
      <c r="TZ216" s="107"/>
      <c r="UA216" s="107"/>
      <c r="UB216" s="107"/>
      <c r="UC216" s="107"/>
      <c r="UD216" s="107"/>
      <c r="UE216" s="107"/>
      <c r="UF216" s="107"/>
      <c r="UG216" s="26"/>
    </row>
    <row r="217" spans="1:553" ht="38.25" customHeight="1">
      <c r="A217" s="356" t="s">
        <v>30</v>
      </c>
      <c r="B217" s="385">
        <v>5</v>
      </c>
      <c r="C217" s="1451" t="s">
        <v>892</v>
      </c>
      <c r="D217" s="1389"/>
      <c r="E217" s="1389"/>
      <c r="F217" s="1390"/>
      <c r="G217" s="386" t="s">
        <v>33</v>
      </c>
      <c r="H217" s="370"/>
      <c r="I217" s="834">
        <f>-(10.8+7.2)*2*1.5*2</f>
        <v>-108</v>
      </c>
      <c r="J217" s="368">
        <v>41700</v>
      </c>
      <c r="K217" s="371"/>
      <c r="L217" s="391">
        <f t="shared" si="44"/>
        <v>-4503600</v>
      </c>
      <c r="M217" s="395"/>
      <c r="N217" s="395"/>
      <c r="O217" s="366"/>
      <c r="P217" s="396"/>
      <c r="Q217" s="473"/>
      <c r="R217" s="1039"/>
      <c r="S217" s="308"/>
      <c r="T217" s="303"/>
      <c r="U217" s="306"/>
      <c r="V217" s="307"/>
      <c r="W217" s="306"/>
      <c r="X217" s="306"/>
      <c r="Y217" s="306"/>
      <c r="Z217" s="306"/>
      <c r="AA217" s="306"/>
      <c r="AB217" s="306"/>
      <c r="AC217" s="449"/>
      <c r="AD217" s="449"/>
      <c r="AE217" s="449"/>
      <c r="AF217" s="449"/>
      <c r="AG217" s="452"/>
      <c r="AH217" s="452"/>
      <c r="AI217" s="452"/>
      <c r="AJ217" s="452"/>
      <c r="AK217" s="452"/>
      <c r="AL217" s="104"/>
      <c r="AM217" s="104"/>
      <c r="AN217" s="104"/>
      <c r="AO217" s="104"/>
      <c r="AP217" s="104"/>
      <c r="AQ217" s="106"/>
      <c r="AR217" s="106"/>
      <c r="AS217" s="106"/>
      <c r="AT217" s="106"/>
      <c r="AU217" s="106"/>
      <c r="AV217" s="106"/>
      <c r="AW217" s="106"/>
      <c r="AX217" s="106"/>
      <c r="AY217" s="106"/>
      <c r="AZ217" s="106"/>
      <c r="BA217" s="106"/>
      <c r="BB217" s="106"/>
      <c r="BC217" s="106"/>
      <c r="BD217" s="106"/>
      <c r="BE217" s="106"/>
      <c r="BF217" s="106"/>
      <c r="BG217" s="106"/>
      <c r="BH217" s="106"/>
      <c r="BI217" s="106"/>
      <c r="BJ217" s="106"/>
      <c r="BK217" s="106"/>
      <c r="BL217" s="106"/>
      <c r="BM217" s="107"/>
      <c r="BN217" s="107"/>
      <c r="BO217" s="107"/>
      <c r="BP217" s="107"/>
      <c r="BQ217" s="107"/>
      <c r="BR217" s="107"/>
      <c r="BS217" s="107"/>
      <c r="BT217" s="107"/>
      <c r="BU217" s="107"/>
      <c r="BV217" s="107"/>
      <c r="BW217" s="107"/>
      <c r="BX217" s="107"/>
      <c r="BY217" s="107"/>
      <c r="BZ217" s="107"/>
      <c r="CA217" s="107"/>
      <c r="CB217" s="107"/>
      <c r="CC217" s="107"/>
      <c r="CD217" s="107"/>
      <c r="CE217" s="107"/>
      <c r="CF217" s="107"/>
      <c r="CG217" s="107"/>
      <c r="CH217" s="107"/>
      <c r="CI217" s="107"/>
      <c r="CJ217" s="107"/>
      <c r="CK217" s="107"/>
      <c r="CL217" s="107"/>
      <c r="CM217" s="107"/>
      <c r="CN217" s="107"/>
      <c r="CO217" s="107"/>
      <c r="CP217" s="107"/>
      <c r="CQ217" s="107"/>
      <c r="CR217" s="107"/>
      <c r="CS217" s="107"/>
      <c r="CT217" s="107"/>
      <c r="CU217" s="107"/>
      <c r="CV217" s="107"/>
      <c r="CW217" s="107"/>
      <c r="CX217" s="107"/>
      <c r="CY217" s="107"/>
      <c r="CZ217" s="107"/>
      <c r="DA217" s="107"/>
      <c r="DB217" s="107"/>
      <c r="DC217" s="107"/>
      <c r="DD217" s="107"/>
      <c r="DE217" s="107"/>
      <c r="DF217" s="107"/>
      <c r="DG217" s="107"/>
      <c r="DH217" s="107"/>
      <c r="DI217" s="107"/>
      <c r="DJ217" s="107"/>
      <c r="DK217" s="107"/>
      <c r="DL217" s="107"/>
      <c r="DM217" s="107"/>
      <c r="DN217" s="107"/>
      <c r="DO217" s="107"/>
      <c r="DP217" s="107"/>
      <c r="DQ217" s="107"/>
      <c r="DR217" s="107"/>
      <c r="DS217" s="107"/>
      <c r="DT217" s="107"/>
      <c r="DU217" s="107"/>
      <c r="DV217" s="107"/>
      <c r="DW217" s="107"/>
      <c r="DX217" s="107"/>
      <c r="DY217" s="107"/>
      <c r="DZ217" s="107"/>
      <c r="EA217" s="107"/>
      <c r="EB217" s="107"/>
      <c r="EC217" s="107"/>
      <c r="ED217" s="107"/>
      <c r="EE217" s="107"/>
      <c r="EF217" s="107"/>
      <c r="EG217" s="107"/>
      <c r="EH217" s="107"/>
      <c r="EI217" s="107"/>
      <c r="EJ217" s="107"/>
      <c r="EK217" s="107"/>
      <c r="EL217" s="107"/>
      <c r="EM217" s="107"/>
      <c r="EN217" s="107"/>
      <c r="EO217" s="107"/>
      <c r="EP217" s="107"/>
      <c r="EQ217" s="107"/>
      <c r="ER217" s="107"/>
      <c r="ES217" s="107"/>
      <c r="ET217" s="107"/>
      <c r="EU217" s="107"/>
      <c r="EV217" s="107"/>
      <c r="EW217" s="107"/>
      <c r="EX217" s="107"/>
      <c r="EY217" s="107"/>
      <c r="EZ217" s="107"/>
      <c r="FA217" s="107"/>
      <c r="FB217" s="107"/>
      <c r="FC217" s="107"/>
      <c r="FD217" s="107"/>
      <c r="FE217" s="107"/>
      <c r="FF217" s="107"/>
      <c r="FG217" s="107"/>
      <c r="FH217" s="107"/>
      <c r="FI217" s="107"/>
      <c r="FJ217" s="107"/>
      <c r="FK217" s="107"/>
      <c r="FL217" s="107"/>
      <c r="FM217" s="107"/>
      <c r="FN217" s="107"/>
      <c r="FO217" s="107"/>
      <c r="FP217" s="107"/>
      <c r="FQ217" s="107"/>
      <c r="FR217" s="107"/>
      <c r="FS217" s="107"/>
      <c r="FT217" s="107"/>
      <c r="FU217" s="107"/>
      <c r="FV217" s="107"/>
      <c r="FW217" s="107"/>
      <c r="FX217" s="107"/>
      <c r="FY217" s="107"/>
      <c r="FZ217" s="107"/>
      <c r="GA217" s="107"/>
      <c r="GB217" s="107"/>
      <c r="GC217" s="107"/>
      <c r="GD217" s="107"/>
      <c r="GE217" s="107"/>
      <c r="GF217" s="107"/>
      <c r="GG217" s="107"/>
      <c r="GH217" s="107"/>
      <c r="GI217" s="107"/>
      <c r="GJ217" s="107"/>
      <c r="GK217" s="107"/>
      <c r="GL217" s="107"/>
      <c r="GM217" s="107"/>
      <c r="GN217" s="107"/>
      <c r="GO217" s="107"/>
      <c r="GP217" s="107"/>
      <c r="GQ217" s="107"/>
      <c r="GR217" s="107"/>
      <c r="GS217" s="107"/>
      <c r="GT217" s="107"/>
      <c r="GU217" s="107"/>
      <c r="GV217" s="107"/>
      <c r="GW217" s="107"/>
      <c r="GX217" s="107"/>
      <c r="GY217" s="107"/>
      <c r="GZ217" s="107"/>
      <c r="HA217" s="107"/>
      <c r="HB217" s="107"/>
      <c r="HC217" s="107"/>
      <c r="HD217" s="107"/>
      <c r="HE217" s="107"/>
      <c r="HF217" s="107"/>
      <c r="HG217" s="107"/>
      <c r="HH217" s="107"/>
      <c r="HI217" s="107"/>
      <c r="HJ217" s="107"/>
      <c r="HK217" s="107"/>
      <c r="HL217" s="107"/>
      <c r="HM217" s="107"/>
      <c r="HN217" s="107"/>
      <c r="HO217" s="107"/>
      <c r="HP217" s="107"/>
      <c r="HQ217" s="107"/>
      <c r="HR217" s="107"/>
      <c r="HS217" s="107"/>
      <c r="HT217" s="107"/>
      <c r="HU217" s="107"/>
      <c r="HV217" s="107"/>
      <c r="HW217" s="107"/>
      <c r="HX217" s="107"/>
      <c r="HY217" s="107"/>
      <c r="HZ217" s="107"/>
      <c r="IA217" s="107"/>
      <c r="IB217" s="107"/>
      <c r="IC217" s="107"/>
      <c r="ID217" s="107"/>
      <c r="IE217" s="107"/>
      <c r="IF217" s="107"/>
      <c r="IG217" s="107"/>
      <c r="IH217" s="107"/>
      <c r="II217" s="107"/>
      <c r="IJ217" s="107"/>
      <c r="IK217" s="107"/>
      <c r="IL217" s="107"/>
      <c r="IM217" s="107"/>
      <c r="IN217" s="107"/>
      <c r="IO217" s="107"/>
      <c r="IP217" s="107"/>
      <c r="IQ217" s="107"/>
      <c r="IR217" s="107"/>
      <c r="IS217" s="107"/>
      <c r="IT217" s="107"/>
      <c r="IU217" s="107"/>
      <c r="IV217" s="107"/>
      <c r="IW217" s="107"/>
      <c r="IX217" s="107"/>
      <c r="IY217" s="107"/>
      <c r="IZ217" s="107"/>
      <c r="JA217" s="107"/>
      <c r="JB217" s="107"/>
      <c r="JC217" s="107"/>
      <c r="JD217" s="107"/>
      <c r="JE217" s="107"/>
      <c r="JF217" s="107"/>
      <c r="JG217" s="107"/>
      <c r="JH217" s="107"/>
      <c r="JI217" s="107"/>
      <c r="JJ217" s="107"/>
      <c r="JK217" s="107"/>
      <c r="JL217" s="107"/>
      <c r="JM217" s="107"/>
      <c r="JN217" s="107"/>
      <c r="JO217" s="107"/>
      <c r="JP217" s="107"/>
      <c r="JQ217" s="107"/>
      <c r="JR217" s="107"/>
      <c r="JS217" s="107"/>
      <c r="JT217" s="107"/>
      <c r="JU217" s="107"/>
      <c r="JV217" s="107"/>
      <c r="JW217" s="107"/>
      <c r="JX217" s="107"/>
      <c r="JY217" s="107"/>
      <c r="JZ217" s="107"/>
      <c r="KA217" s="107"/>
      <c r="KB217" s="107"/>
      <c r="KC217" s="107"/>
      <c r="KD217" s="107"/>
      <c r="KE217" s="107"/>
      <c r="KF217" s="107"/>
      <c r="KG217" s="107"/>
      <c r="KH217" s="107"/>
      <c r="KI217" s="107"/>
      <c r="KJ217" s="107"/>
      <c r="KK217" s="107"/>
      <c r="KL217" s="107"/>
      <c r="KM217" s="107"/>
      <c r="KN217" s="107"/>
      <c r="KO217" s="107"/>
      <c r="KP217" s="107"/>
      <c r="KQ217" s="107"/>
      <c r="KR217" s="107"/>
      <c r="KS217" s="107"/>
      <c r="KT217" s="107"/>
      <c r="KU217" s="107"/>
      <c r="KV217" s="107"/>
      <c r="KW217" s="107"/>
      <c r="KX217" s="107"/>
      <c r="KY217" s="107"/>
      <c r="KZ217" s="107"/>
      <c r="LA217" s="107"/>
      <c r="LB217" s="107"/>
      <c r="LC217" s="107"/>
      <c r="LD217" s="107"/>
      <c r="LE217" s="107"/>
      <c r="LF217" s="107"/>
      <c r="LG217" s="107"/>
      <c r="LH217" s="107"/>
      <c r="LI217" s="107"/>
      <c r="LJ217" s="107"/>
      <c r="LK217" s="107"/>
      <c r="LL217" s="107"/>
      <c r="LM217" s="107"/>
      <c r="LN217" s="107"/>
      <c r="LO217" s="107"/>
      <c r="LP217" s="107"/>
      <c r="LQ217" s="107"/>
      <c r="LR217" s="107"/>
      <c r="LS217" s="107"/>
      <c r="LT217" s="107"/>
      <c r="LU217" s="107"/>
      <c r="LV217" s="107"/>
      <c r="LW217" s="107"/>
      <c r="LX217" s="107"/>
      <c r="LY217" s="107"/>
      <c r="LZ217" s="107"/>
      <c r="MA217" s="107"/>
      <c r="MB217" s="107"/>
      <c r="MC217" s="107"/>
      <c r="MD217" s="107"/>
      <c r="ME217" s="107"/>
      <c r="MF217" s="107"/>
      <c r="MG217" s="107"/>
      <c r="MH217" s="107"/>
      <c r="MI217" s="107"/>
      <c r="MJ217" s="107"/>
      <c r="MK217" s="107"/>
      <c r="ML217" s="107"/>
      <c r="MM217" s="107"/>
      <c r="MN217" s="107"/>
      <c r="MO217" s="107"/>
      <c r="MP217" s="107"/>
      <c r="MQ217" s="107"/>
      <c r="MR217" s="107"/>
      <c r="MS217" s="107"/>
      <c r="MT217" s="107"/>
      <c r="MU217" s="107"/>
      <c r="MV217" s="107"/>
      <c r="MW217" s="107"/>
      <c r="MX217" s="107"/>
      <c r="MY217" s="107"/>
      <c r="MZ217" s="107"/>
      <c r="NA217" s="107"/>
      <c r="NB217" s="107"/>
      <c r="NC217" s="107"/>
      <c r="ND217" s="107"/>
      <c r="NE217" s="107"/>
      <c r="NF217" s="107"/>
      <c r="NG217" s="107"/>
      <c r="NH217" s="107"/>
      <c r="NI217" s="107"/>
      <c r="NJ217" s="107"/>
      <c r="NK217" s="107"/>
      <c r="NL217" s="107"/>
      <c r="NM217" s="107"/>
      <c r="NN217" s="107"/>
      <c r="NO217" s="107"/>
      <c r="NP217" s="107"/>
      <c r="NQ217" s="107"/>
      <c r="NR217" s="107"/>
      <c r="NS217" s="107"/>
      <c r="NT217" s="107"/>
      <c r="NU217" s="107"/>
      <c r="NV217" s="107"/>
      <c r="NW217" s="107"/>
      <c r="NX217" s="107"/>
      <c r="NY217" s="107"/>
      <c r="NZ217" s="107"/>
      <c r="OA217" s="107"/>
      <c r="OB217" s="107"/>
      <c r="OC217" s="107"/>
      <c r="OD217" s="107"/>
      <c r="OE217" s="107"/>
      <c r="OF217" s="107"/>
      <c r="OG217" s="107"/>
      <c r="OH217" s="107"/>
      <c r="OI217" s="107"/>
      <c r="OJ217" s="107"/>
      <c r="OK217" s="107"/>
      <c r="OL217" s="107"/>
      <c r="OM217" s="107"/>
      <c r="ON217" s="107"/>
      <c r="OO217" s="107"/>
      <c r="OP217" s="107"/>
      <c r="OQ217" s="107"/>
      <c r="OR217" s="107"/>
      <c r="OS217" s="107"/>
      <c r="OT217" s="107"/>
      <c r="OU217" s="107"/>
      <c r="OV217" s="107"/>
      <c r="OW217" s="107"/>
      <c r="OX217" s="107"/>
      <c r="OY217" s="107"/>
      <c r="OZ217" s="107"/>
      <c r="PA217" s="107"/>
      <c r="PB217" s="107"/>
      <c r="PC217" s="107"/>
      <c r="PD217" s="107"/>
      <c r="PE217" s="107"/>
      <c r="PF217" s="107"/>
      <c r="PG217" s="107"/>
      <c r="PH217" s="107"/>
      <c r="PI217" s="107"/>
      <c r="PJ217" s="107"/>
      <c r="PK217" s="107"/>
      <c r="PL217" s="107"/>
      <c r="PM217" s="107"/>
      <c r="PN217" s="107"/>
      <c r="PO217" s="107"/>
      <c r="PP217" s="107"/>
      <c r="PQ217" s="107"/>
      <c r="PR217" s="107"/>
      <c r="PS217" s="107"/>
      <c r="PT217" s="107"/>
      <c r="PU217" s="107"/>
      <c r="PV217" s="107"/>
      <c r="PW217" s="107"/>
      <c r="PX217" s="107"/>
      <c r="PY217" s="107"/>
      <c r="PZ217" s="107"/>
      <c r="QA217" s="107"/>
      <c r="QB217" s="107"/>
      <c r="QC217" s="107"/>
      <c r="QD217" s="107"/>
      <c r="QE217" s="107"/>
      <c r="QF217" s="107"/>
      <c r="QG217" s="107"/>
      <c r="QH217" s="107"/>
      <c r="QI217" s="107"/>
      <c r="QJ217" s="107"/>
      <c r="QK217" s="107"/>
      <c r="QL217" s="107"/>
      <c r="QM217" s="107"/>
      <c r="QN217" s="107"/>
      <c r="QO217" s="107"/>
      <c r="QP217" s="107"/>
      <c r="QQ217" s="107"/>
      <c r="QR217" s="107"/>
      <c r="QS217" s="107"/>
      <c r="QT217" s="107"/>
      <c r="QU217" s="107"/>
      <c r="QV217" s="107"/>
      <c r="QW217" s="107"/>
      <c r="QX217" s="107"/>
      <c r="QY217" s="107"/>
      <c r="QZ217" s="107"/>
      <c r="RA217" s="107"/>
      <c r="RB217" s="107"/>
      <c r="RC217" s="107"/>
      <c r="RD217" s="107"/>
      <c r="RE217" s="107"/>
      <c r="RF217" s="107"/>
      <c r="RG217" s="107"/>
      <c r="RH217" s="107"/>
      <c r="RI217" s="107"/>
      <c r="RJ217" s="107"/>
      <c r="RK217" s="107"/>
      <c r="RL217" s="107"/>
      <c r="RM217" s="107"/>
      <c r="RN217" s="107"/>
      <c r="RO217" s="107"/>
      <c r="RP217" s="107"/>
      <c r="RQ217" s="107"/>
      <c r="RR217" s="107"/>
      <c r="RS217" s="107"/>
      <c r="RT217" s="107"/>
      <c r="RU217" s="107"/>
      <c r="RV217" s="107"/>
      <c r="RW217" s="107"/>
      <c r="RX217" s="107"/>
      <c r="RY217" s="107"/>
      <c r="RZ217" s="107"/>
      <c r="SA217" s="107"/>
      <c r="SB217" s="107"/>
      <c r="SC217" s="107"/>
      <c r="SD217" s="107"/>
      <c r="SE217" s="107"/>
      <c r="SF217" s="107"/>
      <c r="SG217" s="107"/>
      <c r="SH217" s="107"/>
      <c r="SI217" s="107"/>
      <c r="SJ217" s="107"/>
      <c r="SK217" s="107"/>
      <c r="SL217" s="107"/>
      <c r="SM217" s="107"/>
      <c r="SN217" s="107"/>
      <c r="SO217" s="107"/>
      <c r="SP217" s="107"/>
      <c r="SQ217" s="107"/>
      <c r="SR217" s="107"/>
      <c r="SS217" s="107"/>
      <c r="ST217" s="107"/>
      <c r="SU217" s="107"/>
      <c r="SV217" s="107"/>
      <c r="SW217" s="107"/>
      <c r="SX217" s="107"/>
      <c r="SY217" s="107"/>
      <c r="SZ217" s="107"/>
      <c r="TA217" s="107"/>
      <c r="TB217" s="107"/>
      <c r="TC217" s="107"/>
      <c r="TD217" s="107"/>
      <c r="TE217" s="107"/>
      <c r="TF217" s="107"/>
      <c r="TG217" s="107"/>
      <c r="TH217" s="107"/>
      <c r="TI217" s="107"/>
      <c r="TJ217" s="107"/>
      <c r="TK217" s="107"/>
      <c r="TL217" s="107"/>
      <c r="TM217" s="107"/>
      <c r="TN217" s="107"/>
      <c r="TO217" s="107"/>
      <c r="TP217" s="107"/>
      <c r="TQ217" s="107"/>
      <c r="TR217" s="107"/>
      <c r="TS217" s="107"/>
      <c r="TT217" s="107"/>
      <c r="TU217" s="107"/>
      <c r="TV217" s="107"/>
      <c r="TW217" s="107"/>
      <c r="TX217" s="107"/>
      <c r="TY217" s="107"/>
      <c r="TZ217" s="107"/>
      <c r="UA217" s="107"/>
      <c r="UB217" s="107"/>
      <c r="UC217" s="107"/>
      <c r="UD217" s="107"/>
      <c r="UE217" s="107"/>
      <c r="UF217" s="107"/>
      <c r="UG217" s="26"/>
    </row>
    <row r="218" spans="1:553" ht="38.25" customHeight="1">
      <c r="A218" s="356" t="s">
        <v>30</v>
      </c>
      <c r="B218" s="385" t="s">
        <v>240</v>
      </c>
      <c r="C218" s="1404" t="s">
        <v>241</v>
      </c>
      <c r="D218" s="1389"/>
      <c r="E218" s="1389"/>
      <c r="F218" s="1390"/>
      <c r="G218" s="386" t="s">
        <v>935</v>
      </c>
      <c r="H218" s="370"/>
      <c r="I218" s="834">
        <f>-13*9</f>
        <v>-117</v>
      </c>
      <c r="J218" s="368">
        <v>185700</v>
      </c>
      <c r="K218" s="371"/>
      <c r="L218" s="391">
        <f t="shared" si="43"/>
        <v>-21726900</v>
      </c>
      <c r="M218" s="395"/>
      <c r="N218" s="395"/>
      <c r="O218" s="366"/>
      <c r="P218" s="396"/>
      <c r="Q218" s="473"/>
      <c r="R218" s="1039"/>
      <c r="S218" s="308"/>
      <c r="T218" s="303"/>
      <c r="U218" s="306"/>
      <c r="V218" s="307"/>
      <c r="W218" s="306"/>
      <c r="X218" s="306"/>
      <c r="Y218" s="306"/>
      <c r="Z218" s="306"/>
      <c r="AA218" s="306"/>
      <c r="AB218" s="306"/>
      <c r="AC218" s="449"/>
      <c r="AD218" s="449"/>
      <c r="AE218" s="449"/>
      <c r="AF218" s="449"/>
      <c r="AG218" s="452"/>
      <c r="AH218" s="452"/>
      <c r="AI218" s="452"/>
      <c r="AJ218" s="452"/>
      <c r="AK218" s="452"/>
      <c r="AL218" s="104"/>
      <c r="AM218" s="32"/>
      <c r="AN218" s="32"/>
      <c r="AO218" s="32"/>
      <c r="AP218" s="32"/>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K218" s="25"/>
      <c r="DL218" s="25"/>
      <c r="DM218" s="25"/>
      <c r="DN218" s="25"/>
      <c r="DO218" s="25"/>
      <c r="DP218" s="25"/>
      <c r="DQ218" s="25"/>
      <c r="DR218" s="25"/>
      <c r="DS218" s="25"/>
      <c r="DT218" s="25"/>
      <c r="DU218" s="25"/>
      <c r="DV218" s="25"/>
      <c r="DW218" s="25"/>
      <c r="DX218" s="25"/>
      <c r="DY218" s="25"/>
      <c r="DZ218" s="25"/>
      <c r="EA218" s="25"/>
      <c r="EB218" s="25"/>
      <c r="EC218" s="25"/>
      <c r="ED218" s="25"/>
      <c r="EE218" s="25"/>
      <c r="EF218" s="25"/>
      <c r="EG218" s="25"/>
      <c r="EH218" s="25"/>
      <c r="EI218" s="25"/>
      <c r="EJ218" s="25"/>
      <c r="EK218" s="25"/>
      <c r="EL218" s="25"/>
      <c r="EM218" s="25"/>
      <c r="EN218" s="25"/>
      <c r="EO218" s="25"/>
      <c r="EP218" s="25"/>
      <c r="EQ218" s="25"/>
      <c r="ER218" s="25"/>
      <c r="ES218" s="25"/>
      <c r="ET218" s="25"/>
      <c r="EU218" s="25"/>
      <c r="EV218" s="25"/>
      <c r="EW218" s="25"/>
      <c r="EX218" s="25"/>
      <c r="EY218" s="25"/>
      <c r="EZ218" s="25"/>
      <c r="FA218" s="25"/>
      <c r="FB218" s="25"/>
      <c r="FC218" s="25"/>
      <c r="FD218" s="25"/>
      <c r="FE218" s="25"/>
      <c r="FF218" s="25"/>
      <c r="FG218" s="25"/>
      <c r="FH218" s="25"/>
      <c r="FI218" s="25"/>
      <c r="FJ218" s="25"/>
      <c r="FK218" s="25"/>
      <c r="FL218" s="25"/>
      <c r="FM218" s="25"/>
      <c r="FN218" s="25"/>
      <c r="FO218" s="25"/>
      <c r="FP218" s="25"/>
      <c r="FQ218" s="25"/>
      <c r="FR218" s="25"/>
      <c r="FS218" s="25"/>
      <c r="FT218" s="25"/>
      <c r="FU218" s="25"/>
      <c r="FV218" s="25"/>
      <c r="FW218" s="25"/>
      <c r="FX218" s="25"/>
      <c r="FY218" s="25"/>
      <c r="FZ218" s="25"/>
      <c r="GA218" s="25"/>
      <c r="GB218" s="25"/>
      <c r="GC218" s="25"/>
      <c r="GD218" s="25"/>
      <c r="GE218" s="25"/>
      <c r="GF218" s="25"/>
      <c r="GG218" s="25"/>
      <c r="GH218" s="25"/>
      <c r="GI218" s="25"/>
      <c r="GJ218" s="25"/>
      <c r="GK218" s="25"/>
      <c r="GL218" s="25"/>
      <c r="GM218" s="25"/>
      <c r="GN218" s="25"/>
      <c r="GO218" s="25"/>
      <c r="GP218" s="25"/>
      <c r="GQ218" s="25"/>
      <c r="GR218" s="25"/>
      <c r="GS218" s="25"/>
      <c r="GT218" s="25"/>
      <c r="GU218" s="25"/>
      <c r="GV218" s="25"/>
      <c r="GW218" s="25"/>
      <c r="GX218" s="25"/>
      <c r="GY218" s="25"/>
      <c r="GZ218" s="25"/>
      <c r="HA218" s="25"/>
      <c r="HB218" s="25"/>
      <c r="HC218" s="25"/>
      <c r="HD218" s="25"/>
      <c r="HE218" s="25"/>
      <c r="HF218" s="25"/>
      <c r="HG218" s="25"/>
      <c r="HH218" s="25"/>
      <c r="HI218" s="25"/>
      <c r="HJ218" s="25"/>
      <c r="HK218" s="25"/>
      <c r="HL218" s="25"/>
      <c r="HM218" s="25"/>
      <c r="HN218" s="25"/>
      <c r="HO218" s="25"/>
      <c r="HP218" s="25"/>
      <c r="HQ218" s="25"/>
      <c r="HR218" s="25"/>
      <c r="HS218" s="25"/>
      <c r="HT218" s="25"/>
      <c r="HU218" s="25"/>
      <c r="HV218" s="25"/>
      <c r="HW218" s="25"/>
      <c r="HX218" s="25"/>
      <c r="HY218" s="25"/>
      <c r="HZ218" s="25"/>
      <c r="IA218" s="25"/>
      <c r="IB218" s="25"/>
      <c r="IC218" s="25"/>
      <c r="ID218" s="25"/>
      <c r="IE218" s="25"/>
      <c r="IF218" s="25"/>
      <c r="IG218" s="25"/>
      <c r="IH218" s="25"/>
      <c r="II218" s="25"/>
      <c r="IJ218" s="25"/>
      <c r="IK218" s="25"/>
      <c r="IL218" s="25"/>
      <c r="IM218" s="25"/>
      <c r="IN218" s="25"/>
      <c r="IO218" s="25"/>
      <c r="IP218" s="25"/>
      <c r="IQ218" s="25"/>
      <c r="IR218" s="25"/>
      <c r="IS218" s="25"/>
      <c r="IT218" s="25"/>
      <c r="IU218" s="25"/>
      <c r="IV218" s="25"/>
      <c r="IW218" s="25"/>
      <c r="IX218" s="25"/>
      <c r="IY218" s="25"/>
      <c r="IZ218" s="25"/>
      <c r="JA218" s="25"/>
      <c r="JB218" s="25"/>
      <c r="JC218" s="25"/>
      <c r="JD218" s="25"/>
      <c r="JE218" s="25"/>
      <c r="JF218" s="25"/>
      <c r="JG218" s="25"/>
      <c r="JH218" s="25"/>
      <c r="JI218" s="25"/>
      <c r="JJ218" s="25"/>
      <c r="JK218" s="25"/>
      <c r="JL218" s="25"/>
      <c r="JM218" s="25"/>
      <c r="JN218" s="25"/>
      <c r="JO218" s="25"/>
      <c r="JP218" s="25"/>
      <c r="JQ218" s="25"/>
      <c r="JR218" s="25"/>
      <c r="JS218" s="25"/>
      <c r="JT218" s="25"/>
      <c r="JU218" s="25"/>
      <c r="JV218" s="25"/>
      <c r="JW218" s="25"/>
      <c r="JX218" s="25"/>
      <c r="JY218" s="25"/>
      <c r="JZ218" s="25"/>
      <c r="KA218" s="25"/>
      <c r="KB218" s="25"/>
      <c r="KC218" s="25"/>
      <c r="KD218" s="25"/>
      <c r="KE218" s="25"/>
      <c r="KF218" s="25"/>
      <c r="KG218" s="25"/>
      <c r="KH218" s="25"/>
      <c r="KI218" s="25"/>
      <c r="KJ218" s="25"/>
      <c r="KK218" s="25"/>
      <c r="KL218" s="25"/>
      <c r="KM218" s="25"/>
      <c r="KN218" s="25"/>
      <c r="KO218" s="25"/>
      <c r="KP218" s="25"/>
      <c r="KQ218" s="25"/>
      <c r="KR218" s="25"/>
      <c r="KS218" s="25"/>
      <c r="KT218" s="25"/>
      <c r="KU218" s="25"/>
      <c r="KV218" s="25"/>
      <c r="KW218" s="25"/>
      <c r="KX218" s="25"/>
      <c r="KY218" s="25"/>
      <c r="KZ218" s="25"/>
      <c r="LA218" s="25"/>
      <c r="LB218" s="25"/>
      <c r="LC218" s="25"/>
      <c r="LD218" s="25"/>
      <c r="LE218" s="25"/>
      <c r="LF218" s="25"/>
      <c r="LG218" s="25"/>
      <c r="LH218" s="25"/>
      <c r="LI218" s="25"/>
      <c r="LJ218" s="25"/>
      <c r="LK218" s="25"/>
      <c r="LL218" s="25"/>
      <c r="LM218" s="25"/>
      <c r="LN218" s="25"/>
      <c r="LO218" s="25"/>
      <c r="LP218" s="25"/>
      <c r="LQ218" s="25"/>
      <c r="LR218" s="25"/>
      <c r="LS218" s="25"/>
      <c r="LT218" s="25"/>
      <c r="LU218" s="25"/>
      <c r="LV218" s="25"/>
      <c r="LW218" s="25"/>
      <c r="LX218" s="25"/>
      <c r="LY218" s="25"/>
      <c r="LZ218" s="25"/>
      <c r="MA218" s="25"/>
      <c r="MB218" s="25"/>
      <c r="MC218" s="25"/>
      <c r="MD218" s="25"/>
      <c r="ME218" s="25"/>
      <c r="MF218" s="25"/>
      <c r="MG218" s="25"/>
      <c r="MH218" s="25"/>
      <c r="MI218" s="25"/>
      <c r="MJ218" s="25"/>
      <c r="MK218" s="25"/>
      <c r="ML218" s="25"/>
      <c r="MM218" s="25"/>
      <c r="MN218" s="25"/>
      <c r="MO218" s="25"/>
      <c r="MP218" s="25"/>
      <c r="MQ218" s="25"/>
      <c r="MR218" s="25"/>
      <c r="MS218" s="25"/>
      <c r="MT218" s="25"/>
      <c r="MU218" s="25"/>
      <c r="MV218" s="25"/>
      <c r="MW218" s="25"/>
      <c r="MX218" s="25"/>
      <c r="MY218" s="25"/>
      <c r="MZ218" s="25"/>
      <c r="NA218" s="25"/>
      <c r="NB218" s="25"/>
      <c r="NC218" s="25"/>
      <c r="ND218" s="25"/>
      <c r="NE218" s="25"/>
      <c r="NF218" s="25"/>
      <c r="NG218" s="25"/>
      <c r="NH218" s="25"/>
      <c r="NI218" s="25"/>
      <c r="NJ218" s="25"/>
      <c r="NK218" s="25"/>
      <c r="NL218" s="25"/>
      <c r="NM218" s="25"/>
      <c r="NN218" s="25"/>
      <c r="NO218" s="25"/>
      <c r="NP218" s="25"/>
      <c r="NQ218" s="25"/>
      <c r="NR218" s="25"/>
      <c r="NS218" s="25"/>
      <c r="NT218" s="25"/>
      <c r="NU218" s="25"/>
      <c r="NV218" s="25"/>
      <c r="NW218" s="25"/>
      <c r="NX218" s="25"/>
      <c r="NY218" s="25"/>
      <c r="NZ218" s="25"/>
      <c r="OA218" s="25"/>
      <c r="OB218" s="25"/>
      <c r="OC218" s="25"/>
      <c r="OD218" s="25"/>
      <c r="OE218" s="25"/>
      <c r="OF218" s="25"/>
      <c r="OG218" s="25"/>
      <c r="OH218" s="25"/>
      <c r="OI218" s="25"/>
      <c r="OJ218" s="25"/>
      <c r="OK218" s="25"/>
      <c r="OL218" s="25"/>
      <c r="OM218" s="25"/>
      <c r="ON218" s="25"/>
      <c r="OO218" s="25"/>
      <c r="OP218" s="25"/>
      <c r="OQ218" s="25"/>
      <c r="OR218" s="25"/>
      <c r="OS218" s="25"/>
      <c r="OT218" s="25"/>
      <c r="OU218" s="25"/>
      <c r="OV218" s="25"/>
      <c r="OW218" s="25"/>
      <c r="OX218" s="25"/>
      <c r="OY218" s="25"/>
      <c r="OZ218" s="25"/>
      <c r="PA218" s="25"/>
      <c r="PB218" s="25"/>
      <c r="PC218" s="25"/>
      <c r="PD218" s="25"/>
      <c r="PE218" s="25"/>
      <c r="PF218" s="25"/>
      <c r="PG218" s="25"/>
      <c r="PH218" s="25"/>
      <c r="PI218" s="25"/>
      <c r="PJ218" s="25"/>
      <c r="PK218" s="25"/>
      <c r="PL218" s="25"/>
      <c r="PM218" s="25"/>
      <c r="PN218" s="25"/>
      <c r="PO218" s="25"/>
      <c r="PP218" s="25"/>
      <c r="PQ218" s="25"/>
      <c r="PR218" s="25"/>
      <c r="PS218" s="25"/>
      <c r="PT218" s="25"/>
      <c r="PU218" s="25"/>
      <c r="PV218" s="25"/>
      <c r="PW218" s="25"/>
      <c r="PX218" s="25"/>
      <c r="PY218" s="25"/>
      <c r="PZ218" s="25"/>
      <c r="QA218" s="25"/>
      <c r="QB218" s="25"/>
      <c r="QC218" s="25"/>
      <c r="QD218" s="25"/>
      <c r="QE218" s="25"/>
      <c r="QF218" s="25"/>
      <c r="QG218" s="25"/>
      <c r="QH218" s="25"/>
      <c r="QI218" s="25"/>
      <c r="QJ218" s="25"/>
      <c r="QK218" s="25"/>
      <c r="QL218" s="25"/>
      <c r="QM218" s="25"/>
      <c r="QN218" s="25"/>
      <c r="QO218" s="25"/>
      <c r="QP218" s="25"/>
      <c r="QQ218" s="25"/>
      <c r="QR218" s="25"/>
      <c r="QS218" s="25"/>
      <c r="QT218" s="25"/>
      <c r="QU218" s="25"/>
      <c r="QV218" s="25"/>
      <c r="QW218" s="25"/>
      <c r="QX218" s="25"/>
      <c r="QY218" s="25"/>
      <c r="QZ218" s="25"/>
      <c r="RA218" s="25"/>
      <c r="RB218" s="25"/>
      <c r="RC218" s="25"/>
      <c r="RD218" s="25"/>
      <c r="RE218" s="25"/>
      <c r="RF218" s="25"/>
      <c r="RG218" s="25"/>
      <c r="RH218" s="25"/>
      <c r="RI218" s="25"/>
      <c r="RJ218" s="25"/>
      <c r="RK218" s="25"/>
      <c r="RL218" s="25"/>
      <c r="RM218" s="25"/>
      <c r="RN218" s="25"/>
      <c r="RO218" s="25"/>
      <c r="RP218" s="25"/>
      <c r="RQ218" s="25"/>
      <c r="RR218" s="25"/>
      <c r="RS218" s="25"/>
      <c r="RT218" s="25"/>
      <c r="RU218" s="25"/>
      <c r="RV218" s="25"/>
      <c r="RW218" s="25"/>
      <c r="RX218" s="25"/>
      <c r="RY218" s="25"/>
      <c r="RZ218" s="25"/>
      <c r="SA218" s="25"/>
      <c r="SB218" s="25"/>
      <c r="SC218" s="25"/>
      <c r="SD218" s="25"/>
      <c r="SE218" s="25"/>
      <c r="SF218" s="25"/>
      <c r="SG218" s="25"/>
      <c r="SH218" s="25"/>
      <c r="SI218" s="25"/>
      <c r="SJ218" s="25"/>
      <c r="SK218" s="25"/>
      <c r="SL218" s="25"/>
      <c r="SM218" s="25"/>
      <c r="SN218" s="25"/>
      <c r="SO218" s="25"/>
      <c r="SP218" s="25"/>
      <c r="SQ218" s="25"/>
      <c r="SR218" s="25"/>
      <c r="SS218" s="25"/>
      <c r="ST218" s="25"/>
      <c r="SU218" s="25"/>
      <c r="SV218" s="25"/>
      <c r="SW218" s="25"/>
      <c r="SX218" s="25"/>
      <c r="SY218" s="25"/>
      <c r="SZ218" s="25"/>
      <c r="TA218" s="25"/>
      <c r="TB218" s="25"/>
      <c r="TC218" s="25"/>
      <c r="TD218" s="25"/>
      <c r="TE218" s="25"/>
      <c r="TF218" s="25"/>
      <c r="TG218" s="25"/>
      <c r="TH218" s="25"/>
      <c r="TI218" s="25"/>
      <c r="TJ218" s="25"/>
      <c r="TK218" s="25"/>
      <c r="TL218" s="25"/>
      <c r="TM218" s="25"/>
      <c r="TN218" s="25"/>
      <c r="TO218" s="25"/>
      <c r="TP218" s="25"/>
      <c r="TQ218" s="25"/>
      <c r="TR218" s="25"/>
      <c r="TS218" s="25"/>
      <c r="TT218" s="25"/>
      <c r="TU218" s="25"/>
      <c r="TV218" s="25"/>
      <c r="TW218" s="25"/>
      <c r="TX218" s="25"/>
      <c r="TY218" s="25"/>
      <c r="TZ218" s="25"/>
      <c r="UA218" s="25"/>
      <c r="UB218" s="25"/>
      <c r="UC218" s="25"/>
      <c r="UD218" s="25"/>
      <c r="UE218" s="25"/>
      <c r="UF218" s="25"/>
      <c r="UG218" s="26"/>
    </row>
    <row r="219" spans="1:553" ht="38.25" customHeight="1">
      <c r="A219" s="356" t="s">
        <v>30</v>
      </c>
      <c r="B219" s="398" t="s">
        <v>242</v>
      </c>
      <c r="C219" s="1404" t="s">
        <v>243</v>
      </c>
      <c r="D219" s="1389"/>
      <c r="E219" s="1389"/>
      <c r="F219" s="1390"/>
      <c r="G219" s="386" t="s">
        <v>935</v>
      </c>
      <c r="H219" s="370"/>
      <c r="I219" s="834">
        <f>-10.9*2.4</f>
        <v>-26.16</v>
      </c>
      <c r="J219" s="368">
        <f>215000-130000</f>
        <v>85000</v>
      </c>
      <c r="K219" s="371"/>
      <c r="L219" s="391">
        <f t="shared" si="43"/>
        <v>-2223600</v>
      </c>
      <c r="M219" s="395"/>
      <c r="N219" s="395"/>
      <c r="O219" s="366"/>
      <c r="P219" s="396"/>
      <c r="Q219" s="473"/>
      <c r="R219" s="1039"/>
      <c r="S219" s="308"/>
      <c r="T219" s="303"/>
      <c r="U219" s="306"/>
      <c r="V219" s="307"/>
      <c r="W219" s="306"/>
      <c r="X219" s="306"/>
      <c r="Y219" s="306"/>
      <c r="Z219" s="306"/>
      <c r="AA219" s="306"/>
      <c r="AB219" s="306"/>
      <c r="AC219" s="449"/>
      <c r="AD219" s="449"/>
      <c r="AE219" s="449"/>
      <c r="AF219" s="449"/>
      <c r="AG219" s="452"/>
      <c r="AH219" s="452"/>
      <c r="AI219" s="452"/>
      <c r="AJ219" s="452"/>
      <c r="AK219" s="452"/>
      <c r="AL219" s="104"/>
      <c r="AM219" s="32"/>
      <c r="AN219" s="32"/>
      <c r="AO219" s="32"/>
      <c r="AP219" s="32"/>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5"/>
      <c r="CU219" s="25"/>
      <c r="CV219" s="25"/>
      <c r="CW219" s="25"/>
      <c r="CX219" s="25"/>
      <c r="CY219" s="25"/>
      <c r="CZ219" s="25"/>
      <c r="DA219" s="25"/>
      <c r="DB219" s="25"/>
      <c r="DC219" s="25"/>
      <c r="DD219" s="25"/>
      <c r="DE219" s="25"/>
      <c r="DF219" s="25"/>
      <c r="DG219" s="25"/>
      <c r="DH219" s="25"/>
      <c r="DI219" s="25"/>
      <c r="DJ219" s="25"/>
      <c r="DK219" s="25"/>
      <c r="DL219" s="25"/>
      <c r="DM219" s="25"/>
      <c r="DN219" s="25"/>
      <c r="DO219" s="25"/>
      <c r="DP219" s="25"/>
      <c r="DQ219" s="25"/>
      <c r="DR219" s="25"/>
      <c r="DS219" s="25"/>
      <c r="DT219" s="25"/>
      <c r="DU219" s="25"/>
      <c r="DV219" s="25"/>
      <c r="DW219" s="25"/>
      <c r="DX219" s="25"/>
      <c r="DY219" s="25"/>
      <c r="DZ219" s="25"/>
      <c r="EA219" s="25"/>
      <c r="EB219" s="25"/>
      <c r="EC219" s="25"/>
      <c r="ED219" s="25"/>
      <c r="EE219" s="25"/>
      <c r="EF219" s="25"/>
      <c r="EG219" s="25"/>
      <c r="EH219" s="25"/>
      <c r="EI219" s="25"/>
      <c r="EJ219" s="25"/>
      <c r="EK219" s="25"/>
      <c r="EL219" s="25"/>
      <c r="EM219" s="25"/>
      <c r="EN219" s="25"/>
      <c r="EO219" s="25"/>
      <c r="EP219" s="25"/>
      <c r="EQ219" s="25"/>
      <c r="ER219" s="25"/>
      <c r="ES219" s="25"/>
      <c r="ET219" s="25"/>
      <c r="EU219" s="25"/>
      <c r="EV219" s="25"/>
      <c r="EW219" s="25"/>
      <c r="EX219" s="25"/>
      <c r="EY219" s="25"/>
      <c r="EZ219" s="25"/>
      <c r="FA219" s="25"/>
      <c r="FB219" s="25"/>
      <c r="FC219" s="25"/>
      <c r="FD219" s="25"/>
      <c r="FE219" s="25"/>
      <c r="FF219" s="25"/>
      <c r="FG219" s="25"/>
      <c r="FH219" s="25"/>
      <c r="FI219" s="25"/>
      <c r="FJ219" s="25"/>
      <c r="FK219" s="25"/>
      <c r="FL219" s="25"/>
      <c r="FM219" s="25"/>
      <c r="FN219" s="25"/>
      <c r="FO219" s="25"/>
      <c r="FP219" s="25"/>
      <c r="FQ219" s="25"/>
      <c r="FR219" s="25"/>
      <c r="FS219" s="25"/>
      <c r="FT219" s="25"/>
      <c r="FU219" s="25"/>
      <c r="FV219" s="25"/>
      <c r="FW219" s="25"/>
      <c r="FX219" s="25"/>
      <c r="FY219" s="25"/>
      <c r="FZ219" s="25"/>
      <c r="GA219" s="25"/>
      <c r="GB219" s="25"/>
      <c r="GC219" s="25"/>
      <c r="GD219" s="25"/>
      <c r="GE219" s="25"/>
      <c r="GF219" s="25"/>
      <c r="GG219" s="25"/>
      <c r="GH219" s="25"/>
      <c r="GI219" s="25"/>
      <c r="GJ219" s="25"/>
      <c r="GK219" s="25"/>
      <c r="GL219" s="25"/>
      <c r="GM219" s="25"/>
      <c r="GN219" s="25"/>
      <c r="GO219" s="25"/>
      <c r="GP219" s="25"/>
      <c r="GQ219" s="25"/>
      <c r="GR219" s="25"/>
      <c r="GS219" s="25"/>
      <c r="GT219" s="25"/>
      <c r="GU219" s="25"/>
      <c r="GV219" s="25"/>
      <c r="GW219" s="25"/>
      <c r="GX219" s="25"/>
      <c r="GY219" s="25"/>
      <c r="GZ219" s="25"/>
      <c r="HA219" s="25"/>
      <c r="HB219" s="25"/>
      <c r="HC219" s="25"/>
      <c r="HD219" s="25"/>
      <c r="HE219" s="25"/>
      <c r="HF219" s="25"/>
      <c r="HG219" s="25"/>
      <c r="HH219" s="25"/>
      <c r="HI219" s="25"/>
      <c r="HJ219" s="25"/>
      <c r="HK219" s="25"/>
      <c r="HL219" s="25"/>
      <c r="HM219" s="25"/>
      <c r="HN219" s="25"/>
      <c r="HO219" s="25"/>
      <c r="HP219" s="25"/>
      <c r="HQ219" s="25"/>
      <c r="HR219" s="25"/>
      <c r="HS219" s="25"/>
      <c r="HT219" s="25"/>
      <c r="HU219" s="25"/>
      <c r="HV219" s="25"/>
      <c r="HW219" s="25"/>
      <c r="HX219" s="25"/>
      <c r="HY219" s="25"/>
      <c r="HZ219" s="25"/>
      <c r="IA219" s="25"/>
      <c r="IB219" s="25"/>
      <c r="IC219" s="25"/>
      <c r="ID219" s="25"/>
      <c r="IE219" s="25"/>
      <c r="IF219" s="25"/>
      <c r="IG219" s="25"/>
      <c r="IH219" s="25"/>
      <c r="II219" s="25"/>
      <c r="IJ219" s="25"/>
      <c r="IK219" s="25"/>
      <c r="IL219" s="25"/>
      <c r="IM219" s="25"/>
      <c r="IN219" s="25"/>
      <c r="IO219" s="25"/>
      <c r="IP219" s="25"/>
      <c r="IQ219" s="25"/>
      <c r="IR219" s="25"/>
      <c r="IS219" s="25"/>
      <c r="IT219" s="25"/>
      <c r="IU219" s="25"/>
      <c r="IV219" s="25"/>
      <c r="IW219" s="25"/>
      <c r="IX219" s="25"/>
      <c r="IY219" s="25"/>
      <c r="IZ219" s="25"/>
      <c r="JA219" s="25"/>
      <c r="JB219" s="25"/>
      <c r="JC219" s="25"/>
      <c r="JD219" s="25"/>
      <c r="JE219" s="25"/>
      <c r="JF219" s="25"/>
      <c r="JG219" s="25"/>
      <c r="JH219" s="25"/>
      <c r="JI219" s="25"/>
      <c r="JJ219" s="25"/>
      <c r="JK219" s="25"/>
      <c r="JL219" s="25"/>
      <c r="JM219" s="25"/>
      <c r="JN219" s="25"/>
      <c r="JO219" s="25"/>
      <c r="JP219" s="25"/>
      <c r="JQ219" s="25"/>
      <c r="JR219" s="25"/>
      <c r="JS219" s="25"/>
      <c r="JT219" s="25"/>
      <c r="JU219" s="25"/>
      <c r="JV219" s="25"/>
      <c r="JW219" s="25"/>
      <c r="JX219" s="25"/>
      <c r="JY219" s="25"/>
      <c r="JZ219" s="25"/>
      <c r="KA219" s="25"/>
      <c r="KB219" s="25"/>
      <c r="KC219" s="25"/>
      <c r="KD219" s="25"/>
      <c r="KE219" s="25"/>
      <c r="KF219" s="25"/>
      <c r="KG219" s="25"/>
      <c r="KH219" s="25"/>
      <c r="KI219" s="25"/>
      <c r="KJ219" s="25"/>
      <c r="KK219" s="25"/>
      <c r="KL219" s="25"/>
      <c r="KM219" s="25"/>
      <c r="KN219" s="25"/>
      <c r="KO219" s="25"/>
      <c r="KP219" s="25"/>
      <c r="KQ219" s="25"/>
      <c r="KR219" s="25"/>
      <c r="KS219" s="25"/>
      <c r="KT219" s="25"/>
      <c r="KU219" s="25"/>
      <c r="KV219" s="25"/>
      <c r="KW219" s="25"/>
      <c r="KX219" s="25"/>
      <c r="KY219" s="25"/>
      <c r="KZ219" s="25"/>
      <c r="LA219" s="25"/>
      <c r="LB219" s="25"/>
      <c r="LC219" s="25"/>
      <c r="LD219" s="25"/>
      <c r="LE219" s="25"/>
      <c r="LF219" s="25"/>
      <c r="LG219" s="25"/>
      <c r="LH219" s="25"/>
      <c r="LI219" s="25"/>
      <c r="LJ219" s="25"/>
      <c r="LK219" s="25"/>
      <c r="LL219" s="25"/>
      <c r="LM219" s="25"/>
      <c r="LN219" s="25"/>
      <c r="LO219" s="25"/>
      <c r="LP219" s="25"/>
      <c r="LQ219" s="25"/>
      <c r="LR219" s="25"/>
      <c r="LS219" s="25"/>
      <c r="LT219" s="25"/>
      <c r="LU219" s="25"/>
      <c r="LV219" s="25"/>
      <c r="LW219" s="25"/>
      <c r="LX219" s="25"/>
      <c r="LY219" s="25"/>
      <c r="LZ219" s="25"/>
      <c r="MA219" s="25"/>
      <c r="MB219" s="25"/>
      <c r="MC219" s="25"/>
      <c r="MD219" s="25"/>
      <c r="ME219" s="25"/>
      <c r="MF219" s="25"/>
      <c r="MG219" s="25"/>
      <c r="MH219" s="25"/>
      <c r="MI219" s="25"/>
      <c r="MJ219" s="25"/>
      <c r="MK219" s="25"/>
      <c r="ML219" s="25"/>
      <c r="MM219" s="25"/>
      <c r="MN219" s="25"/>
      <c r="MO219" s="25"/>
      <c r="MP219" s="25"/>
      <c r="MQ219" s="25"/>
      <c r="MR219" s="25"/>
      <c r="MS219" s="25"/>
      <c r="MT219" s="25"/>
      <c r="MU219" s="25"/>
      <c r="MV219" s="25"/>
      <c r="MW219" s="25"/>
      <c r="MX219" s="25"/>
      <c r="MY219" s="25"/>
      <c r="MZ219" s="25"/>
      <c r="NA219" s="25"/>
      <c r="NB219" s="25"/>
      <c r="NC219" s="25"/>
      <c r="ND219" s="25"/>
      <c r="NE219" s="25"/>
      <c r="NF219" s="25"/>
      <c r="NG219" s="25"/>
      <c r="NH219" s="25"/>
      <c r="NI219" s="25"/>
      <c r="NJ219" s="25"/>
      <c r="NK219" s="25"/>
      <c r="NL219" s="25"/>
      <c r="NM219" s="25"/>
      <c r="NN219" s="25"/>
      <c r="NO219" s="25"/>
      <c r="NP219" s="25"/>
      <c r="NQ219" s="25"/>
      <c r="NR219" s="25"/>
      <c r="NS219" s="25"/>
      <c r="NT219" s="25"/>
      <c r="NU219" s="25"/>
      <c r="NV219" s="25"/>
      <c r="NW219" s="25"/>
      <c r="NX219" s="25"/>
      <c r="NY219" s="25"/>
      <c r="NZ219" s="25"/>
      <c r="OA219" s="25"/>
      <c r="OB219" s="25"/>
      <c r="OC219" s="25"/>
      <c r="OD219" s="25"/>
      <c r="OE219" s="25"/>
      <c r="OF219" s="25"/>
      <c r="OG219" s="25"/>
      <c r="OH219" s="25"/>
      <c r="OI219" s="25"/>
      <c r="OJ219" s="25"/>
      <c r="OK219" s="25"/>
      <c r="OL219" s="25"/>
      <c r="OM219" s="25"/>
      <c r="ON219" s="25"/>
      <c r="OO219" s="25"/>
      <c r="OP219" s="25"/>
      <c r="OQ219" s="25"/>
      <c r="OR219" s="25"/>
      <c r="OS219" s="25"/>
      <c r="OT219" s="25"/>
      <c r="OU219" s="25"/>
      <c r="OV219" s="25"/>
      <c r="OW219" s="25"/>
      <c r="OX219" s="25"/>
      <c r="OY219" s="25"/>
      <c r="OZ219" s="25"/>
      <c r="PA219" s="25"/>
      <c r="PB219" s="25"/>
      <c r="PC219" s="25"/>
      <c r="PD219" s="25"/>
      <c r="PE219" s="25"/>
      <c r="PF219" s="25"/>
      <c r="PG219" s="25"/>
      <c r="PH219" s="25"/>
      <c r="PI219" s="25"/>
      <c r="PJ219" s="25"/>
      <c r="PK219" s="25"/>
      <c r="PL219" s="25"/>
      <c r="PM219" s="25"/>
      <c r="PN219" s="25"/>
      <c r="PO219" s="25"/>
      <c r="PP219" s="25"/>
      <c r="PQ219" s="25"/>
      <c r="PR219" s="25"/>
      <c r="PS219" s="25"/>
      <c r="PT219" s="25"/>
      <c r="PU219" s="25"/>
      <c r="PV219" s="25"/>
      <c r="PW219" s="25"/>
      <c r="PX219" s="25"/>
      <c r="PY219" s="25"/>
      <c r="PZ219" s="25"/>
      <c r="QA219" s="25"/>
      <c r="QB219" s="25"/>
      <c r="QC219" s="25"/>
      <c r="QD219" s="25"/>
      <c r="QE219" s="25"/>
      <c r="QF219" s="25"/>
      <c r="QG219" s="25"/>
      <c r="QH219" s="25"/>
      <c r="QI219" s="25"/>
      <c r="QJ219" s="25"/>
      <c r="QK219" s="25"/>
      <c r="QL219" s="25"/>
      <c r="QM219" s="25"/>
      <c r="QN219" s="25"/>
      <c r="QO219" s="25"/>
      <c r="QP219" s="25"/>
      <c r="QQ219" s="25"/>
      <c r="QR219" s="25"/>
      <c r="QS219" s="25"/>
      <c r="QT219" s="25"/>
      <c r="QU219" s="25"/>
      <c r="QV219" s="25"/>
      <c r="QW219" s="25"/>
      <c r="QX219" s="25"/>
      <c r="QY219" s="25"/>
      <c r="QZ219" s="25"/>
      <c r="RA219" s="25"/>
      <c r="RB219" s="25"/>
      <c r="RC219" s="25"/>
      <c r="RD219" s="25"/>
      <c r="RE219" s="25"/>
      <c r="RF219" s="25"/>
      <c r="RG219" s="25"/>
      <c r="RH219" s="25"/>
      <c r="RI219" s="25"/>
      <c r="RJ219" s="25"/>
      <c r="RK219" s="25"/>
      <c r="RL219" s="25"/>
      <c r="RM219" s="25"/>
      <c r="RN219" s="25"/>
      <c r="RO219" s="25"/>
      <c r="RP219" s="25"/>
      <c r="RQ219" s="25"/>
      <c r="RR219" s="25"/>
      <c r="RS219" s="25"/>
      <c r="RT219" s="25"/>
      <c r="RU219" s="25"/>
      <c r="RV219" s="25"/>
      <c r="RW219" s="25"/>
      <c r="RX219" s="25"/>
      <c r="RY219" s="25"/>
      <c r="RZ219" s="25"/>
      <c r="SA219" s="25"/>
      <c r="SB219" s="25"/>
      <c r="SC219" s="25"/>
      <c r="SD219" s="25"/>
      <c r="SE219" s="25"/>
      <c r="SF219" s="25"/>
      <c r="SG219" s="25"/>
      <c r="SH219" s="25"/>
      <c r="SI219" s="25"/>
      <c r="SJ219" s="25"/>
      <c r="SK219" s="25"/>
      <c r="SL219" s="25"/>
      <c r="SM219" s="25"/>
      <c r="SN219" s="25"/>
      <c r="SO219" s="25"/>
      <c r="SP219" s="25"/>
      <c r="SQ219" s="25"/>
      <c r="SR219" s="25"/>
      <c r="SS219" s="25"/>
      <c r="ST219" s="25"/>
      <c r="SU219" s="25"/>
      <c r="SV219" s="25"/>
      <c r="SW219" s="25"/>
      <c r="SX219" s="25"/>
      <c r="SY219" s="25"/>
      <c r="SZ219" s="25"/>
      <c r="TA219" s="25"/>
      <c r="TB219" s="25"/>
      <c r="TC219" s="25"/>
      <c r="TD219" s="25"/>
      <c r="TE219" s="25"/>
      <c r="TF219" s="25"/>
      <c r="TG219" s="25"/>
      <c r="TH219" s="25"/>
      <c r="TI219" s="25"/>
      <c r="TJ219" s="25"/>
      <c r="TK219" s="25"/>
      <c r="TL219" s="25"/>
      <c r="TM219" s="25"/>
      <c r="TN219" s="25"/>
      <c r="TO219" s="25"/>
      <c r="TP219" s="25"/>
      <c r="TQ219" s="25"/>
      <c r="TR219" s="25"/>
      <c r="TS219" s="25"/>
      <c r="TT219" s="25"/>
      <c r="TU219" s="25"/>
      <c r="TV219" s="25"/>
      <c r="TW219" s="25"/>
      <c r="TX219" s="25"/>
      <c r="TY219" s="25"/>
      <c r="TZ219" s="25"/>
      <c r="UA219" s="25"/>
      <c r="UB219" s="25"/>
      <c r="UC219" s="25"/>
      <c r="UD219" s="25"/>
      <c r="UE219" s="25"/>
      <c r="UF219" s="25"/>
      <c r="UG219" s="26"/>
    </row>
    <row r="220" spans="1:553" ht="38.25" customHeight="1">
      <c r="A220" s="356" t="s">
        <v>30</v>
      </c>
      <c r="B220" s="385" t="s">
        <v>37</v>
      </c>
      <c r="C220" s="1404" t="s">
        <v>244</v>
      </c>
      <c r="D220" s="1389"/>
      <c r="E220" s="1389"/>
      <c r="F220" s="1390"/>
      <c r="G220" s="386" t="s">
        <v>935</v>
      </c>
      <c r="H220" s="370"/>
      <c r="I220" s="422">
        <f>4.3*4</f>
        <v>17.2</v>
      </c>
      <c r="J220" s="368">
        <v>137200</v>
      </c>
      <c r="K220" s="371"/>
      <c r="L220" s="391">
        <f t="shared" ref="L220:L221" si="45">I220*J220</f>
        <v>2359840</v>
      </c>
      <c r="M220" s="391"/>
      <c r="N220" s="391"/>
      <c r="O220" s="391"/>
      <c r="P220" s="391"/>
      <c r="Q220" s="1444"/>
      <c r="R220" s="1226"/>
      <c r="S220" s="308"/>
      <c r="T220" s="303"/>
      <c r="U220" s="306"/>
      <c r="V220" s="307"/>
      <c r="W220" s="306"/>
      <c r="X220" s="306"/>
      <c r="Y220" s="306"/>
      <c r="Z220" s="306"/>
      <c r="AA220" s="306"/>
      <c r="AB220" s="306"/>
      <c r="AC220" s="449"/>
      <c r="AD220" s="449"/>
      <c r="AE220" s="449"/>
      <c r="AF220" s="449"/>
      <c r="AG220" s="449"/>
      <c r="AH220" s="449"/>
      <c r="AI220" s="449"/>
      <c r="AJ220" s="449"/>
      <c r="AK220" s="452"/>
      <c r="AL220" s="104"/>
      <c r="AM220" s="32"/>
      <c r="AN220" s="32"/>
      <c r="AO220" s="32"/>
      <c r="AP220" s="32"/>
      <c r="AQ220" s="32"/>
      <c r="AR220" s="32"/>
      <c r="AS220" s="31"/>
      <c r="AT220" s="31"/>
      <c r="AU220" s="31"/>
      <c r="AV220" s="31"/>
      <c r="AW220" s="31"/>
      <c r="AX220" s="31"/>
      <c r="AY220" s="31"/>
      <c r="AZ220" s="31"/>
      <c r="BA220" s="31"/>
      <c r="BB220" s="31"/>
      <c r="BC220" s="31"/>
      <c r="BD220" s="31"/>
      <c r="BE220" s="31"/>
      <c r="BF220" s="31"/>
      <c r="BG220" s="31"/>
      <c r="BH220" s="31"/>
      <c r="BI220" s="31"/>
      <c r="BJ220" s="31"/>
      <c r="BK220" s="31"/>
      <c r="BL220" s="31"/>
      <c r="BM220" s="31"/>
      <c r="BN220" s="31"/>
      <c r="BO220" s="31"/>
      <c r="BP220" s="31"/>
      <c r="BQ220" s="31"/>
      <c r="BR220" s="31"/>
      <c r="BS220" s="31"/>
      <c r="BT220" s="31"/>
      <c r="BU220" s="31"/>
      <c r="BV220" s="31"/>
      <c r="BW220" s="31"/>
      <c r="BX220" s="31"/>
      <c r="BY220" s="31"/>
      <c r="BZ220" s="31"/>
      <c r="CA220" s="31"/>
      <c r="CB220" s="31"/>
      <c r="CC220" s="31"/>
      <c r="CD220" s="31"/>
      <c r="CE220" s="31"/>
      <c r="CF220" s="31"/>
      <c r="CG220" s="31"/>
      <c r="CH220" s="31"/>
      <c r="CI220" s="31"/>
      <c r="CJ220" s="31"/>
      <c r="CK220" s="31"/>
      <c r="CL220" s="31"/>
      <c r="CM220" s="31"/>
      <c r="CN220" s="31"/>
      <c r="CO220" s="31"/>
      <c r="CP220" s="31"/>
      <c r="CQ220" s="31"/>
      <c r="CR220" s="31"/>
      <c r="CS220" s="31"/>
      <c r="CT220" s="31"/>
      <c r="CU220" s="31"/>
      <c r="CV220" s="31"/>
      <c r="CW220" s="31"/>
      <c r="CX220" s="31"/>
      <c r="CY220" s="31"/>
      <c r="CZ220" s="31"/>
      <c r="DA220" s="31"/>
      <c r="DB220" s="31"/>
      <c r="DC220" s="31"/>
      <c r="DD220" s="31"/>
      <c r="DE220" s="31"/>
      <c r="DF220" s="31"/>
      <c r="DG220" s="31"/>
      <c r="DH220" s="31"/>
      <c r="DI220" s="31"/>
      <c r="DJ220" s="31"/>
      <c r="DK220" s="31"/>
      <c r="DL220" s="31"/>
      <c r="DM220" s="31"/>
      <c r="DN220" s="31"/>
      <c r="DO220" s="31"/>
      <c r="DP220" s="31"/>
      <c r="DQ220" s="31"/>
      <c r="DR220" s="31"/>
      <c r="DS220" s="31"/>
      <c r="DT220" s="31"/>
      <c r="DU220" s="31"/>
      <c r="DV220" s="31"/>
      <c r="DW220" s="31"/>
      <c r="DX220" s="31"/>
      <c r="DY220" s="31"/>
      <c r="DZ220" s="31"/>
      <c r="EA220" s="31"/>
      <c r="EB220" s="31"/>
      <c r="EC220" s="31"/>
      <c r="ED220" s="31"/>
      <c r="EE220" s="31"/>
      <c r="EF220" s="31"/>
      <c r="EG220" s="31"/>
      <c r="EH220" s="31"/>
      <c r="EI220" s="31"/>
      <c r="EJ220" s="31"/>
      <c r="EK220" s="31"/>
      <c r="EL220" s="31"/>
      <c r="EM220" s="31"/>
      <c r="EN220" s="31"/>
      <c r="EO220" s="31"/>
      <c r="EP220" s="31"/>
      <c r="EQ220" s="31"/>
      <c r="ER220" s="31"/>
      <c r="ES220" s="31"/>
      <c r="ET220" s="31"/>
      <c r="EU220" s="31"/>
      <c r="EV220" s="31"/>
      <c r="EW220" s="31"/>
      <c r="EX220" s="31"/>
      <c r="EY220" s="31"/>
      <c r="EZ220" s="31"/>
      <c r="FA220" s="31"/>
      <c r="FB220" s="31"/>
      <c r="FC220" s="31"/>
      <c r="FD220" s="31"/>
      <c r="FE220" s="31"/>
      <c r="FF220" s="31"/>
      <c r="FG220" s="31"/>
      <c r="FH220" s="31"/>
      <c r="FI220" s="31"/>
      <c r="FJ220" s="31"/>
      <c r="FK220" s="31"/>
      <c r="FL220" s="31"/>
      <c r="FM220" s="31"/>
      <c r="FN220" s="31"/>
      <c r="FO220" s="31"/>
      <c r="FP220" s="31"/>
      <c r="FQ220" s="31"/>
      <c r="FR220" s="31"/>
      <c r="FS220" s="31"/>
      <c r="FT220" s="31"/>
      <c r="FU220" s="31"/>
      <c r="FV220" s="31"/>
      <c r="FW220" s="31"/>
      <c r="FX220" s="31"/>
      <c r="FY220" s="31"/>
      <c r="FZ220" s="31"/>
      <c r="GA220" s="31"/>
      <c r="GB220" s="31"/>
      <c r="GC220" s="31"/>
      <c r="GD220" s="31"/>
      <c r="GE220" s="31"/>
      <c r="GF220" s="31"/>
      <c r="GG220" s="31"/>
      <c r="GH220" s="31"/>
      <c r="GI220" s="31"/>
      <c r="GJ220" s="31"/>
      <c r="GK220" s="31"/>
      <c r="GL220" s="31"/>
      <c r="GM220" s="31"/>
      <c r="GN220" s="31"/>
      <c r="GO220" s="31"/>
      <c r="GP220" s="31"/>
      <c r="GQ220" s="31"/>
      <c r="GR220" s="31"/>
      <c r="GS220" s="31"/>
      <c r="GT220" s="31"/>
      <c r="GU220" s="31"/>
      <c r="GV220" s="31"/>
      <c r="GW220" s="31"/>
      <c r="GX220" s="31"/>
      <c r="GY220" s="31"/>
      <c r="GZ220" s="31"/>
      <c r="HA220" s="31"/>
      <c r="HB220" s="31"/>
      <c r="HC220" s="31"/>
      <c r="HD220" s="31"/>
      <c r="HE220" s="31"/>
      <c r="HF220" s="31"/>
      <c r="HG220" s="31"/>
      <c r="HH220" s="31"/>
      <c r="HI220" s="31"/>
      <c r="HJ220" s="31"/>
      <c r="HK220" s="31"/>
      <c r="HL220" s="31"/>
      <c r="HM220" s="31"/>
      <c r="HN220" s="31"/>
      <c r="HO220" s="31"/>
      <c r="HP220" s="31"/>
      <c r="HQ220" s="31"/>
      <c r="HR220" s="31"/>
      <c r="HS220" s="31"/>
      <c r="HT220" s="31"/>
      <c r="HU220" s="31"/>
      <c r="HV220" s="31"/>
      <c r="HW220" s="31"/>
      <c r="HX220" s="31"/>
      <c r="HY220" s="31"/>
      <c r="HZ220" s="31"/>
      <c r="IA220" s="31"/>
      <c r="IB220" s="31"/>
      <c r="IC220" s="31"/>
      <c r="ID220" s="31"/>
      <c r="IE220" s="31"/>
      <c r="IF220" s="31"/>
      <c r="IG220" s="31"/>
      <c r="IH220" s="31"/>
      <c r="II220" s="31"/>
      <c r="IJ220" s="31"/>
      <c r="IK220" s="31"/>
      <c r="IL220" s="31"/>
      <c r="IM220" s="31"/>
      <c r="IN220" s="31"/>
      <c r="IO220" s="31"/>
      <c r="IP220" s="31"/>
      <c r="IQ220" s="31"/>
      <c r="IR220" s="31"/>
      <c r="IS220" s="31"/>
      <c r="IT220" s="31"/>
      <c r="IU220" s="31"/>
      <c r="IV220" s="31"/>
      <c r="IW220" s="31"/>
      <c r="IX220" s="31"/>
      <c r="IY220" s="31"/>
      <c r="IZ220" s="31"/>
      <c r="JA220" s="31"/>
      <c r="JB220" s="31"/>
      <c r="JC220" s="31"/>
      <c r="JD220" s="31"/>
      <c r="JE220" s="31"/>
      <c r="JF220" s="31"/>
      <c r="JG220" s="31"/>
      <c r="JH220" s="31"/>
      <c r="JI220" s="31"/>
      <c r="JJ220" s="31"/>
      <c r="JK220" s="31"/>
      <c r="JL220" s="31"/>
      <c r="JM220" s="31"/>
      <c r="JN220" s="31"/>
      <c r="JO220" s="31"/>
      <c r="JP220" s="31"/>
      <c r="JQ220" s="31"/>
      <c r="JR220" s="31"/>
      <c r="JS220" s="31"/>
      <c r="JT220" s="31"/>
      <c r="JU220" s="31"/>
      <c r="JV220" s="31"/>
      <c r="JW220" s="31"/>
      <c r="JX220" s="31"/>
      <c r="JY220" s="31"/>
      <c r="JZ220" s="31"/>
      <c r="KA220" s="31"/>
      <c r="KB220" s="31"/>
      <c r="KC220" s="31"/>
      <c r="KD220" s="31"/>
      <c r="KE220" s="31"/>
      <c r="KF220" s="31"/>
      <c r="KG220" s="31"/>
      <c r="KH220" s="31"/>
      <c r="KI220" s="31"/>
      <c r="KJ220" s="31"/>
      <c r="KK220" s="31"/>
      <c r="KL220" s="31"/>
      <c r="KM220" s="31"/>
      <c r="KN220" s="31"/>
      <c r="KO220" s="31"/>
      <c r="KP220" s="31"/>
      <c r="KQ220" s="31"/>
      <c r="KR220" s="31"/>
      <c r="KS220" s="31"/>
      <c r="KT220" s="31"/>
      <c r="KU220" s="31"/>
      <c r="KV220" s="31"/>
      <c r="KW220" s="31"/>
      <c r="KX220" s="31"/>
      <c r="KY220" s="31"/>
      <c r="KZ220" s="31"/>
      <c r="LA220" s="31"/>
      <c r="LB220" s="31"/>
      <c r="LC220" s="31"/>
      <c r="LD220" s="31"/>
      <c r="LE220" s="31"/>
      <c r="LF220" s="31"/>
      <c r="LG220" s="31"/>
      <c r="LH220" s="31"/>
      <c r="LI220" s="31"/>
      <c r="LJ220" s="31"/>
      <c r="LK220" s="31"/>
      <c r="LL220" s="31"/>
      <c r="LM220" s="31"/>
      <c r="LN220" s="31"/>
      <c r="LO220" s="31"/>
      <c r="LP220" s="31"/>
      <c r="LQ220" s="31"/>
      <c r="LR220" s="31"/>
      <c r="LS220" s="31"/>
      <c r="LT220" s="31"/>
      <c r="LU220" s="31"/>
      <c r="LV220" s="31"/>
      <c r="LW220" s="31"/>
      <c r="LX220" s="31"/>
      <c r="LY220" s="31"/>
      <c r="LZ220" s="31"/>
      <c r="MA220" s="31"/>
      <c r="MB220" s="31"/>
      <c r="MC220" s="31"/>
      <c r="MD220" s="31"/>
      <c r="ME220" s="31"/>
      <c r="MF220" s="31"/>
      <c r="MG220" s="31"/>
      <c r="MH220" s="31"/>
      <c r="MI220" s="31"/>
      <c r="MJ220" s="31"/>
      <c r="MK220" s="31"/>
      <c r="ML220" s="31"/>
      <c r="MM220" s="31"/>
      <c r="MN220" s="31"/>
      <c r="MO220" s="31"/>
      <c r="MP220" s="31"/>
      <c r="MQ220" s="31"/>
      <c r="MR220" s="31"/>
      <c r="MS220" s="31"/>
      <c r="MT220" s="31"/>
      <c r="MU220" s="31"/>
      <c r="MV220" s="31"/>
      <c r="MW220" s="31"/>
      <c r="MX220" s="31"/>
      <c r="MY220" s="31"/>
      <c r="MZ220" s="31"/>
      <c r="NA220" s="31"/>
      <c r="NB220" s="31"/>
      <c r="NC220" s="31"/>
      <c r="ND220" s="31"/>
      <c r="NE220" s="31"/>
      <c r="NF220" s="31"/>
      <c r="NG220" s="31"/>
      <c r="NH220" s="31"/>
      <c r="NI220" s="31"/>
      <c r="NJ220" s="31"/>
      <c r="NK220" s="31"/>
      <c r="NL220" s="31"/>
      <c r="NM220" s="31"/>
      <c r="NN220" s="31"/>
      <c r="NO220" s="31"/>
      <c r="NP220" s="31"/>
      <c r="NQ220" s="31"/>
      <c r="NR220" s="31"/>
      <c r="NS220" s="31"/>
      <c r="NT220" s="31"/>
      <c r="NU220" s="31"/>
      <c r="NV220" s="31"/>
      <c r="NW220" s="31"/>
      <c r="NX220" s="31"/>
      <c r="NY220" s="31"/>
      <c r="NZ220" s="31"/>
      <c r="OA220" s="31"/>
      <c r="OB220" s="31"/>
      <c r="OC220" s="31"/>
      <c r="OD220" s="31"/>
      <c r="OE220" s="31"/>
      <c r="OF220" s="31"/>
      <c r="OG220" s="31"/>
      <c r="OH220" s="31"/>
      <c r="OI220" s="31"/>
      <c r="OJ220" s="31"/>
      <c r="OK220" s="31"/>
      <c r="OL220" s="31"/>
      <c r="OM220" s="31"/>
      <c r="ON220" s="31"/>
      <c r="OO220" s="31"/>
      <c r="OP220" s="31"/>
      <c r="OQ220" s="31"/>
      <c r="OR220" s="31"/>
      <c r="OS220" s="31"/>
      <c r="OT220" s="31"/>
      <c r="OU220" s="31"/>
      <c r="OV220" s="31"/>
      <c r="OW220" s="31"/>
      <c r="OX220" s="31"/>
      <c r="OY220" s="31"/>
      <c r="OZ220" s="31"/>
      <c r="PA220" s="31"/>
      <c r="PB220" s="31"/>
      <c r="PC220" s="31"/>
      <c r="PD220" s="31"/>
      <c r="PE220" s="31"/>
      <c r="PF220" s="31"/>
      <c r="PG220" s="31"/>
      <c r="PH220" s="31"/>
      <c r="PI220" s="31"/>
      <c r="PJ220" s="31"/>
      <c r="PK220" s="31"/>
      <c r="PL220" s="31"/>
      <c r="PM220" s="31"/>
      <c r="PN220" s="31"/>
      <c r="PO220" s="31"/>
      <c r="PP220" s="31"/>
      <c r="PQ220" s="31"/>
      <c r="PR220" s="31"/>
      <c r="PS220" s="31"/>
      <c r="PT220" s="31"/>
      <c r="PU220" s="31"/>
      <c r="PV220" s="31"/>
      <c r="PW220" s="31"/>
      <c r="PX220" s="31"/>
      <c r="PY220" s="31"/>
      <c r="PZ220" s="31"/>
      <c r="QA220" s="31"/>
      <c r="QB220" s="31"/>
      <c r="QC220" s="31"/>
      <c r="QD220" s="31"/>
      <c r="QE220" s="31"/>
      <c r="QF220" s="31"/>
      <c r="QG220" s="31"/>
      <c r="QH220" s="31"/>
      <c r="QI220" s="31"/>
      <c r="QJ220" s="31"/>
      <c r="QK220" s="31"/>
      <c r="QL220" s="31"/>
      <c r="QM220" s="31"/>
      <c r="QN220" s="31"/>
      <c r="QO220" s="31"/>
      <c r="QP220" s="31"/>
      <c r="QQ220" s="31"/>
      <c r="QR220" s="31"/>
      <c r="QS220" s="31"/>
      <c r="QT220" s="31"/>
      <c r="QU220" s="31"/>
      <c r="QV220" s="31"/>
      <c r="QW220" s="31"/>
      <c r="QX220" s="31"/>
      <c r="QY220" s="31"/>
      <c r="QZ220" s="31"/>
      <c r="RA220" s="31"/>
      <c r="RB220" s="31"/>
      <c r="RC220" s="31"/>
      <c r="RD220" s="31"/>
      <c r="RE220" s="31"/>
      <c r="RF220" s="31"/>
      <c r="RG220" s="31"/>
      <c r="RH220" s="31"/>
      <c r="RI220" s="31"/>
      <c r="RJ220" s="31"/>
      <c r="RK220" s="31"/>
      <c r="RL220" s="31"/>
      <c r="RM220" s="31"/>
      <c r="RN220" s="31"/>
      <c r="RO220" s="31"/>
      <c r="RP220" s="31"/>
      <c r="RQ220" s="31"/>
      <c r="RR220" s="31"/>
      <c r="RS220" s="31"/>
      <c r="RT220" s="31"/>
      <c r="RU220" s="31"/>
      <c r="RV220" s="31"/>
      <c r="RW220" s="31"/>
      <c r="RX220" s="31"/>
      <c r="RY220" s="31"/>
      <c r="RZ220" s="31"/>
      <c r="SA220" s="31"/>
      <c r="SB220" s="31"/>
      <c r="SC220" s="31"/>
      <c r="SD220" s="31"/>
      <c r="SE220" s="31"/>
      <c r="SF220" s="31"/>
      <c r="SG220" s="31"/>
      <c r="SH220" s="31"/>
      <c r="SI220" s="31"/>
      <c r="SJ220" s="31"/>
      <c r="SK220" s="31"/>
      <c r="SL220" s="31"/>
      <c r="SM220" s="31"/>
      <c r="SN220" s="31"/>
      <c r="SO220" s="31"/>
      <c r="SP220" s="31"/>
      <c r="SQ220" s="31"/>
      <c r="SR220" s="31"/>
      <c r="SS220" s="31"/>
      <c r="ST220" s="31"/>
      <c r="SU220" s="31"/>
      <c r="SV220" s="31"/>
      <c r="SW220" s="31"/>
      <c r="SX220" s="31"/>
      <c r="SY220" s="31"/>
      <c r="SZ220" s="31"/>
      <c r="TA220" s="31"/>
      <c r="TB220" s="31"/>
      <c r="TC220" s="31"/>
      <c r="TD220" s="31"/>
      <c r="TE220" s="31"/>
      <c r="TF220" s="31"/>
      <c r="TG220" s="31"/>
      <c r="TH220" s="31"/>
      <c r="TI220" s="31"/>
      <c r="TJ220" s="31"/>
      <c r="TK220" s="31"/>
      <c r="TL220" s="31"/>
      <c r="TM220" s="31"/>
      <c r="TN220" s="31"/>
      <c r="TO220" s="31"/>
      <c r="TP220" s="31"/>
      <c r="TQ220" s="31"/>
      <c r="TR220" s="31"/>
      <c r="TS220" s="31"/>
      <c r="TT220" s="31"/>
      <c r="TU220" s="31"/>
      <c r="TV220" s="31"/>
      <c r="TW220" s="31"/>
      <c r="TX220" s="31"/>
      <c r="TY220" s="31"/>
      <c r="TZ220" s="31"/>
      <c r="UA220" s="31"/>
      <c r="UB220" s="31"/>
      <c r="UC220" s="31"/>
      <c r="UD220" s="31"/>
      <c r="UE220" s="31"/>
      <c r="UF220" s="31"/>
      <c r="UG220" s="33"/>
    </row>
    <row r="221" spans="1:553" ht="38.25" customHeight="1">
      <c r="A221" s="356" t="s">
        <v>30</v>
      </c>
      <c r="B221" s="366" t="s">
        <v>31</v>
      </c>
      <c r="C221" s="1404" t="s">
        <v>1262</v>
      </c>
      <c r="D221" s="1389"/>
      <c r="E221" s="1389"/>
      <c r="F221" s="1390"/>
      <c r="G221" s="386" t="s">
        <v>34</v>
      </c>
      <c r="H221" s="370"/>
      <c r="I221" s="422">
        <f>(4+4.3)*2*0.3</f>
        <v>4.9800000000000004</v>
      </c>
      <c r="J221" s="368">
        <v>606342</v>
      </c>
      <c r="K221" s="371"/>
      <c r="L221" s="391">
        <f t="shared" si="45"/>
        <v>3019583.16</v>
      </c>
      <c r="M221" s="391"/>
      <c r="N221" s="391"/>
      <c r="O221" s="391"/>
      <c r="P221" s="391"/>
      <c r="Q221" s="1445"/>
      <c r="R221" s="1226"/>
      <c r="S221" s="302"/>
      <c r="T221" s="303"/>
      <c r="U221" s="304"/>
      <c r="V221" s="304"/>
      <c r="W221" s="304"/>
      <c r="X221" s="304"/>
      <c r="Y221" s="304"/>
      <c r="Z221" s="304"/>
      <c r="AA221" s="304"/>
      <c r="AB221" s="304"/>
      <c r="AC221" s="449"/>
      <c r="AD221" s="449"/>
      <c r="AE221" s="449"/>
      <c r="AF221" s="449"/>
      <c r="AG221" s="449"/>
      <c r="AH221" s="449"/>
      <c r="AI221" s="449"/>
      <c r="AJ221" s="449"/>
      <c r="AK221" s="452"/>
      <c r="AL221" s="104"/>
      <c r="AM221" s="32"/>
      <c r="AN221" s="32"/>
      <c r="AO221" s="32"/>
      <c r="AP221" s="32"/>
      <c r="AQ221" s="32"/>
      <c r="AR221" s="32"/>
      <c r="AS221" s="31"/>
      <c r="AT221" s="31"/>
      <c r="AU221" s="31"/>
      <c r="AV221" s="31"/>
      <c r="AW221" s="31"/>
      <c r="AX221" s="31"/>
      <c r="AY221" s="31"/>
      <c r="AZ221" s="31"/>
      <c r="BA221" s="31"/>
      <c r="BB221" s="31"/>
      <c r="BC221" s="31"/>
      <c r="BD221" s="31"/>
      <c r="BE221" s="31"/>
      <c r="BF221" s="31"/>
      <c r="BG221" s="31"/>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c r="CH221" s="31"/>
      <c r="CI221" s="31"/>
      <c r="CJ221" s="31"/>
      <c r="CK221" s="31"/>
      <c r="CL221" s="31"/>
      <c r="CM221" s="31"/>
      <c r="CN221" s="31"/>
      <c r="CO221" s="31"/>
      <c r="CP221" s="31"/>
      <c r="CQ221" s="31"/>
      <c r="CR221" s="31"/>
      <c r="CS221" s="31"/>
      <c r="CT221" s="3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31"/>
      <c r="DQ221" s="31"/>
      <c r="DR221" s="31"/>
      <c r="DS221" s="31"/>
      <c r="DT221" s="31"/>
      <c r="DU221" s="31"/>
      <c r="DV221" s="31"/>
      <c r="DW221" s="31"/>
      <c r="DX221" s="31"/>
      <c r="DY221" s="31"/>
      <c r="DZ221" s="31"/>
      <c r="EA221" s="31"/>
      <c r="EB221" s="31"/>
      <c r="EC221" s="31"/>
      <c r="ED221" s="31"/>
      <c r="EE221" s="31"/>
      <c r="EF221" s="31"/>
      <c r="EG221" s="31"/>
      <c r="EH221" s="31"/>
      <c r="EI221" s="31"/>
      <c r="EJ221" s="31"/>
      <c r="EK221" s="31"/>
      <c r="EL221" s="31"/>
      <c r="EM221" s="31"/>
      <c r="EN221" s="31"/>
      <c r="EO221" s="31"/>
      <c r="EP221" s="31"/>
      <c r="EQ221" s="31"/>
      <c r="ER221" s="31"/>
      <c r="ES221" s="31"/>
      <c r="ET221" s="31"/>
      <c r="EU221" s="31"/>
      <c r="EV221" s="31"/>
      <c r="EW221" s="31"/>
      <c r="EX221" s="31"/>
      <c r="EY221" s="31"/>
      <c r="EZ221" s="31"/>
      <c r="FA221" s="31"/>
      <c r="FB221" s="31"/>
      <c r="FC221" s="31"/>
      <c r="FD221" s="31"/>
      <c r="FE221" s="31"/>
      <c r="FF221" s="31"/>
      <c r="FG221" s="31"/>
      <c r="FH221" s="31"/>
      <c r="FI221" s="31"/>
      <c r="FJ221" s="31"/>
      <c r="FK221" s="31"/>
      <c r="FL221" s="31"/>
      <c r="FM221" s="31"/>
      <c r="FN221" s="31"/>
      <c r="FO221" s="31"/>
      <c r="FP221" s="31"/>
      <c r="FQ221" s="31"/>
      <c r="FR221" s="31"/>
      <c r="FS221" s="31"/>
      <c r="FT221" s="31"/>
      <c r="FU221" s="31"/>
      <c r="FV221" s="31"/>
      <c r="FW221" s="31"/>
      <c r="FX221" s="31"/>
      <c r="FY221" s="31"/>
      <c r="FZ221" s="31"/>
      <c r="GA221" s="31"/>
      <c r="GB221" s="31"/>
      <c r="GC221" s="31"/>
      <c r="GD221" s="31"/>
      <c r="GE221" s="31"/>
      <c r="GF221" s="31"/>
      <c r="GG221" s="31"/>
      <c r="GH221" s="31"/>
      <c r="GI221" s="31"/>
      <c r="GJ221" s="31"/>
      <c r="GK221" s="31"/>
      <c r="GL221" s="31"/>
      <c r="GM221" s="31"/>
      <c r="GN221" s="31"/>
      <c r="GO221" s="31"/>
      <c r="GP221" s="31"/>
      <c r="GQ221" s="31"/>
      <c r="GR221" s="31"/>
      <c r="GS221" s="31"/>
      <c r="GT221" s="31"/>
      <c r="GU221" s="31"/>
      <c r="GV221" s="31"/>
      <c r="GW221" s="31"/>
      <c r="GX221" s="31"/>
      <c r="GY221" s="31"/>
      <c r="GZ221" s="31"/>
      <c r="HA221" s="31"/>
      <c r="HB221" s="31"/>
      <c r="HC221" s="31"/>
      <c r="HD221" s="31"/>
      <c r="HE221" s="31"/>
      <c r="HF221" s="31"/>
      <c r="HG221" s="31"/>
      <c r="HH221" s="31"/>
      <c r="HI221" s="31"/>
      <c r="HJ221" s="31"/>
      <c r="HK221" s="31"/>
      <c r="HL221" s="31"/>
      <c r="HM221" s="31"/>
      <c r="HN221" s="31"/>
      <c r="HO221" s="31"/>
      <c r="HP221" s="31"/>
      <c r="HQ221" s="31"/>
      <c r="HR221" s="31"/>
      <c r="HS221" s="31"/>
      <c r="HT221" s="31"/>
      <c r="HU221" s="31"/>
      <c r="HV221" s="31"/>
      <c r="HW221" s="31"/>
      <c r="HX221" s="31"/>
      <c r="HY221" s="31"/>
      <c r="HZ221" s="31"/>
      <c r="IA221" s="31"/>
      <c r="IB221" s="31"/>
      <c r="IC221" s="31"/>
      <c r="ID221" s="31"/>
      <c r="IE221" s="31"/>
      <c r="IF221" s="31"/>
      <c r="IG221" s="31"/>
      <c r="IH221" s="31"/>
      <c r="II221" s="31"/>
      <c r="IJ221" s="31"/>
      <c r="IK221" s="31"/>
      <c r="IL221" s="31"/>
      <c r="IM221" s="31"/>
      <c r="IN221" s="31"/>
      <c r="IO221" s="31"/>
      <c r="IP221" s="31"/>
      <c r="IQ221" s="31"/>
      <c r="IR221" s="31"/>
      <c r="IS221" s="31"/>
      <c r="IT221" s="31"/>
      <c r="IU221" s="31"/>
      <c r="IV221" s="31"/>
      <c r="IW221" s="31"/>
      <c r="IX221" s="31"/>
      <c r="IY221" s="31"/>
      <c r="IZ221" s="31"/>
      <c r="JA221" s="31"/>
      <c r="JB221" s="31"/>
      <c r="JC221" s="31"/>
      <c r="JD221" s="31"/>
      <c r="JE221" s="31"/>
      <c r="JF221" s="31"/>
      <c r="JG221" s="31"/>
      <c r="JH221" s="31"/>
      <c r="JI221" s="31"/>
      <c r="JJ221" s="31"/>
      <c r="JK221" s="31"/>
      <c r="JL221" s="31"/>
      <c r="JM221" s="31"/>
      <c r="JN221" s="31"/>
      <c r="JO221" s="31"/>
      <c r="JP221" s="31"/>
      <c r="JQ221" s="31"/>
      <c r="JR221" s="31"/>
      <c r="JS221" s="31"/>
      <c r="JT221" s="31"/>
      <c r="JU221" s="31"/>
      <c r="JV221" s="31"/>
      <c r="JW221" s="31"/>
      <c r="JX221" s="31"/>
      <c r="JY221" s="31"/>
      <c r="JZ221" s="31"/>
      <c r="KA221" s="31"/>
      <c r="KB221" s="31"/>
      <c r="KC221" s="31"/>
      <c r="KD221" s="31"/>
      <c r="KE221" s="31"/>
      <c r="KF221" s="31"/>
      <c r="KG221" s="31"/>
      <c r="KH221" s="31"/>
      <c r="KI221" s="31"/>
      <c r="KJ221" s="31"/>
      <c r="KK221" s="31"/>
      <c r="KL221" s="31"/>
      <c r="KM221" s="31"/>
      <c r="KN221" s="31"/>
      <c r="KO221" s="31"/>
      <c r="KP221" s="31"/>
      <c r="KQ221" s="31"/>
      <c r="KR221" s="31"/>
      <c r="KS221" s="31"/>
      <c r="KT221" s="31"/>
      <c r="KU221" s="31"/>
      <c r="KV221" s="31"/>
      <c r="KW221" s="31"/>
      <c r="KX221" s="31"/>
      <c r="KY221" s="31"/>
      <c r="KZ221" s="31"/>
      <c r="LA221" s="31"/>
      <c r="LB221" s="31"/>
      <c r="LC221" s="31"/>
      <c r="LD221" s="31"/>
      <c r="LE221" s="31"/>
      <c r="LF221" s="31"/>
      <c r="LG221" s="31"/>
      <c r="LH221" s="31"/>
      <c r="LI221" s="31"/>
      <c r="LJ221" s="31"/>
      <c r="LK221" s="31"/>
      <c r="LL221" s="31"/>
      <c r="LM221" s="31"/>
      <c r="LN221" s="31"/>
      <c r="LO221" s="31"/>
      <c r="LP221" s="31"/>
      <c r="LQ221" s="31"/>
      <c r="LR221" s="31"/>
      <c r="LS221" s="31"/>
      <c r="LT221" s="31"/>
      <c r="LU221" s="31"/>
      <c r="LV221" s="31"/>
      <c r="LW221" s="31"/>
      <c r="LX221" s="31"/>
      <c r="LY221" s="31"/>
      <c r="LZ221" s="31"/>
      <c r="MA221" s="31"/>
      <c r="MB221" s="31"/>
      <c r="MC221" s="31"/>
      <c r="MD221" s="31"/>
      <c r="ME221" s="31"/>
      <c r="MF221" s="31"/>
      <c r="MG221" s="31"/>
      <c r="MH221" s="31"/>
      <c r="MI221" s="31"/>
      <c r="MJ221" s="31"/>
      <c r="MK221" s="31"/>
      <c r="ML221" s="31"/>
      <c r="MM221" s="31"/>
      <c r="MN221" s="31"/>
      <c r="MO221" s="31"/>
      <c r="MP221" s="31"/>
      <c r="MQ221" s="31"/>
      <c r="MR221" s="31"/>
      <c r="MS221" s="31"/>
      <c r="MT221" s="31"/>
      <c r="MU221" s="31"/>
      <c r="MV221" s="31"/>
      <c r="MW221" s="31"/>
      <c r="MX221" s="31"/>
      <c r="MY221" s="31"/>
      <c r="MZ221" s="31"/>
      <c r="NA221" s="31"/>
      <c r="NB221" s="31"/>
      <c r="NC221" s="31"/>
      <c r="ND221" s="31"/>
      <c r="NE221" s="31"/>
      <c r="NF221" s="31"/>
      <c r="NG221" s="31"/>
      <c r="NH221" s="31"/>
      <c r="NI221" s="31"/>
      <c r="NJ221" s="31"/>
      <c r="NK221" s="31"/>
      <c r="NL221" s="31"/>
      <c r="NM221" s="31"/>
      <c r="NN221" s="31"/>
      <c r="NO221" s="31"/>
      <c r="NP221" s="31"/>
      <c r="NQ221" s="31"/>
      <c r="NR221" s="31"/>
      <c r="NS221" s="31"/>
      <c r="NT221" s="31"/>
      <c r="NU221" s="31"/>
      <c r="NV221" s="31"/>
      <c r="NW221" s="31"/>
      <c r="NX221" s="31"/>
      <c r="NY221" s="31"/>
      <c r="NZ221" s="31"/>
      <c r="OA221" s="31"/>
      <c r="OB221" s="31"/>
      <c r="OC221" s="31"/>
      <c r="OD221" s="31"/>
      <c r="OE221" s="31"/>
      <c r="OF221" s="31"/>
      <c r="OG221" s="31"/>
      <c r="OH221" s="31"/>
      <c r="OI221" s="31"/>
      <c r="OJ221" s="31"/>
      <c r="OK221" s="31"/>
      <c r="OL221" s="31"/>
      <c r="OM221" s="31"/>
      <c r="ON221" s="31"/>
      <c r="OO221" s="31"/>
      <c r="OP221" s="31"/>
      <c r="OQ221" s="31"/>
      <c r="OR221" s="31"/>
      <c r="OS221" s="31"/>
      <c r="OT221" s="31"/>
      <c r="OU221" s="31"/>
      <c r="OV221" s="31"/>
      <c r="OW221" s="31"/>
      <c r="OX221" s="31"/>
      <c r="OY221" s="31"/>
      <c r="OZ221" s="31"/>
      <c r="PA221" s="31"/>
      <c r="PB221" s="31"/>
      <c r="PC221" s="31"/>
      <c r="PD221" s="31"/>
      <c r="PE221" s="31"/>
      <c r="PF221" s="31"/>
      <c r="PG221" s="31"/>
      <c r="PH221" s="31"/>
      <c r="PI221" s="31"/>
      <c r="PJ221" s="31"/>
      <c r="PK221" s="31"/>
      <c r="PL221" s="31"/>
      <c r="PM221" s="31"/>
      <c r="PN221" s="31"/>
      <c r="PO221" s="31"/>
      <c r="PP221" s="31"/>
      <c r="PQ221" s="31"/>
      <c r="PR221" s="31"/>
      <c r="PS221" s="31"/>
      <c r="PT221" s="31"/>
      <c r="PU221" s="31"/>
      <c r="PV221" s="31"/>
      <c r="PW221" s="31"/>
      <c r="PX221" s="31"/>
      <c r="PY221" s="31"/>
      <c r="PZ221" s="31"/>
      <c r="QA221" s="31"/>
      <c r="QB221" s="31"/>
      <c r="QC221" s="31"/>
      <c r="QD221" s="31"/>
      <c r="QE221" s="31"/>
      <c r="QF221" s="31"/>
      <c r="QG221" s="31"/>
      <c r="QH221" s="31"/>
      <c r="QI221" s="31"/>
      <c r="QJ221" s="31"/>
      <c r="QK221" s="31"/>
      <c r="QL221" s="31"/>
      <c r="QM221" s="31"/>
      <c r="QN221" s="31"/>
      <c r="QO221" s="31"/>
      <c r="QP221" s="31"/>
      <c r="QQ221" s="31"/>
      <c r="QR221" s="31"/>
      <c r="QS221" s="31"/>
      <c r="QT221" s="31"/>
      <c r="QU221" s="31"/>
      <c r="QV221" s="31"/>
      <c r="QW221" s="31"/>
      <c r="QX221" s="31"/>
      <c r="QY221" s="31"/>
      <c r="QZ221" s="31"/>
      <c r="RA221" s="31"/>
      <c r="RB221" s="31"/>
      <c r="RC221" s="31"/>
      <c r="RD221" s="31"/>
      <c r="RE221" s="31"/>
      <c r="RF221" s="31"/>
      <c r="RG221" s="31"/>
      <c r="RH221" s="31"/>
      <c r="RI221" s="31"/>
      <c r="RJ221" s="31"/>
      <c r="RK221" s="31"/>
      <c r="RL221" s="31"/>
      <c r="RM221" s="31"/>
      <c r="RN221" s="31"/>
      <c r="RO221" s="31"/>
      <c r="RP221" s="31"/>
      <c r="RQ221" s="31"/>
      <c r="RR221" s="31"/>
      <c r="RS221" s="31"/>
      <c r="RT221" s="31"/>
      <c r="RU221" s="31"/>
      <c r="RV221" s="31"/>
      <c r="RW221" s="31"/>
      <c r="RX221" s="31"/>
      <c r="RY221" s="31"/>
      <c r="RZ221" s="31"/>
      <c r="SA221" s="31"/>
      <c r="SB221" s="31"/>
      <c r="SC221" s="31"/>
      <c r="SD221" s="31"/>
      <c r="SE221" s="31"/>
      <c r="SF221" s="31"/>
      <c r="SG221" s="31"/>
      <c r="SH221" s="31"/>
      <c r="SI221" s="31"/>
      <c r="SJ221" s="31"/>
      <c r="SK221" s="31"/>
      <c r="SL221" s="31"/>
      <c r="SM221" s="31"/>
      <c r="SN221" s="31"/>
      <c r="SO221" s="31"/>
      <c r="SP221" s="31"/>
      <c r="SQ221" s="31"/>
      <c r="SR221" s="31"/>
      <c r="SS221" s="31"/>
      <c r="ST221" s="31"/>
      <c r="SU221" s="31"/>
      <c r="SV221" s="31"/>
      <c r="SW221" s="31"/>
      <c r="SX221" s="31"/>
      <c r="SY221" s="31"/>
      <c r="SZ221" s="31"/>
      <c r="TA221" s="31"/>
      <c r="TB221" s="31"/>
      <c r="TC221" s="31"/>
      <c r="TD221" s="31"/>
      <c r="TE221" s="31"/>
      <c r="TF221" s="31"/>
      <c r="TG221" s="31"/>
      <c r="TH221" s="31"/>
      <c r="TI221" s="31"/>
      <c r="TJ221" s="31"/>
      <c r="TK221" s="31"/>
      <c r="TL221" s="31"/>
      <c r="TM221" s="31"/>
      <c r="TN221" s="31"/>
      <c r="TO221" s="31"/>
      <c r="TP221" s="31"/>
      <c r="TQ221" s="31"/>
      <c r="TR221" s="31"/>
      <c r="TS221" s="31"/>
      <c r="TT221" s="31"/>
      <c r="TU221" s="31"/>
      <c r="TV221" s="31"/>
      <c r="TW221" s="31"/>
      <c r="TX221" s="31"/>
      <c r="TY221" s="31"/>
      <c r="TZ221" s="31"/>
      <c r="UA221" s="31"/>
      <c r="UB221" s="31"/>
      <c r="UC221" s="31"/>
      <c r="UD221" s="31"/>
      <c r="UE221" s="31"/>
      <c r="UF221" s="31"/>
      <c r="UG221" s="33"/>
    </row>
    <row r="222" spans="1:553" ht="38.25" customHeight="1">
      <c r="A222" s="356" t="s">
        <v>30</v>
      </c>
      <c r="B222" s="385" t="s">
        <v>245</v>
      </c>
      <c r="C222" s="1404" t="s">
        <v>1263</v>
      </c>
      <c r="D222" s="1389"/>
      <c r="E222" s="1389"/>
      <c r="F222" s="1390"/>
      <c r="G222" s="386" t="s">
        <v>34</v>
      </c>
      <c r="H222" s="370"/>
      <c r="I222" s="834">
        <f>1.55*1.75*0.8+1.2*1.2*1.2</f>
        <v>3.8979999999999997</v>
      </c>
      <c r="J222" s="368">
        <v>1080400</v>
      </c>
      <c r="K222" s="371"/>
      <c r="L222" s="391">
        <f t="shared" ref="L222:L226" si="46">ROUND(PRODUCT(I222:K222),0)</f>
        <v>4211399</v>
      </c>
      <c r="M222" s="395"/>
      <c r="N222" s="395"/>
      <c r="O222" s="366"/>
      <c r="P222" s="396"/>
      <c r="Q222" s="473"/>
      <c r="R222" s="1039"/>
      <c r="S222" s="305"/>
      <c r="T222" s="303"/>
      <c r="U222" s="306"/>
      <c r="V222" s="307"/>
      <c r="W222" s="306"/>
      <c r="X222" s="306"/>
      <c r="Y222" s="306"/>
      <c r="Z222" s="306"/>
      <c r="AA222" s="306"/>
      <c r="AB222" s="306"/>
      <c r="AC222" s="449"/>
      <c r="AD222" s="449"/>
      <c r="AE222" s="449"/>
      <c r="AF222" s="449"/>
      <c r="AG222" s="452"/>
      <c r="AH222" s="452"/>
      <c r="AI222" s="452"/>
      <c r="AJ222" s="452"/>
      <c r="AK222" s="452"/>
      <c r="AL222" s="104"/>
      <c r="AM222" s="32"/>
      <c r="AN222" s="32"/>
      <c r="AO222" s="32"/>
      <c r="AP222" s="32"/>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5"/>
      <c r="CT222" s="25"/>
      <c r="CU222" s="25"/>
      <c r="CV222" s="25"/>
      <c r="CW222" s="25"/>
      <c r="CX222" s="25"/>
      <c r="CY222" s="25"/>
      <c r="CZ222" s="25"/>
      <c r="DA222" s="25"/>
      <c r="DB222" s="25"/>
      <c r="DC222" s="25"/>
      <c r="DD222" s="25"/>
      <c r="DE222" s="25"/>
      <c r="DF222" s="25"/>
      <c r="DG222" s="25"/>
      <c r="DH222" s="25"/>
      <c r="DI222" s="25"/>
      <c r="DJ222" s="25"/>
      <c r="DK222" s="25"/>
      <c r="DL222" s="25"/>
      <c r="DM222" s="25"/>
      <c r="DN222" s="25"/>
      <c r="DO222" s="25"/>
      <c r="DP222" s="25"/>
      <c r="DQ222" s="25"/>
      <c r="DR222" s="25"/>
      <c r="DS222" s="25"/>
      <c r="DT222" s="25"/>
      <c r="DU222" s="25"/>
      <c r="DV222" s="25"/>
      <c r="DW222" s="25"/>
      <c r="DX222" s="25"/>
      <c r="DY222" s="25"/>
      <c r="DZ222" s="25"/>
      <c r="EA222" s="25"/>
      <c r="EB222" s="25"/>
      <c r="EC222" s="25"/>
      <c r="ED222" s="25"/>
      <c r="EE222" s="25"/>
      <c r="EF222" s="25"/>
      <c r="EG222" s="25"/>
      <c r="EH222" s="25"/>
      <c r="EI222" s="25"/>
      <c r="EJ222" s="25"/>
      <c r="EK222" s="25"/>
      <c r="EL222" s="25"/>
      <c r="EM222" s="2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5"/>
      <c r="FP222" s="25"/>
      <c r="FQ222" s="25"/>
      <c r="FR222" s="25"/>
      <c r="FS222" s="25"/>
      <c r="FT222" s="25"/>
      <c r="FU222" s="25"/>
      <c r="FV222" s="25"/>
      <c r="FW222" s="25"/>
      <c r="FX222" s="25"/>
      <c r="FY222" s="25"/>
      <c r="FZ222" s="25"/>
      <c r="GA222" s="25"/>
      <c r="GB222" s="25"/>
      <c r="GC222" s="25"/>
      <c r="GD222" s="25"/>
      <c r="GE222" s="25"/>
      <c r="GF222" s="25"/>
      <c r="GG222" s="25"/>
      <c r="GH222" s="25"/>
      <c r="GI222" s="25"/>
      <c r="GJ222" s="25"/>
      <c r="GK222" s="25"/>
      <c r="GL222" s="25"/>
      <c r="GM222" s="25"/>
      <c r="GN222" s="25"/>
      <c r="GO222" s="25"/>
      <c r="GP222" s="25"/>
      <c r="GQ222" s="25"/>
      <c r="GR222" s="25"/>
      <c r="GS222" s="25"/>
      <c r="GT222" s="25"/>
      <c r="GU222" s="25"/>
      <c r="GV222" s="25"/>
      <c r="GW222" s="25"/>
      <c r="GX222" s="25"/>
      <c r="GY222" s="25"/>
      <c r="GZ222" s="25"/>
      <c r="HA222" s="25"/>
      <c r="HB222" s="25"/>
      <c r="HC222" s="25"/>
      <c r="HD222" s="25"/>
      <c r="HE222" s="25"/>
      <c r="HF222" s="25"/>
      <c r="HG222" s="25"/>
      <c r="HH222" s="25"/>
      <c r="HI222" s="25"/>
      <c r="HJ222" s="25"/>
      <c r="HK222" s="25"/>
      <c r="HL222" s="25"/>
      <c r="HM222" s="25"/>
      <c r="HN222" s="25"/>
      <c r="HO222" s="25"/>
      <c r="HP222" s="25"/>
      <c r="HQ222" s="25"/>
      <c r="HR222" s="25"/>
      <c r="HS222" s="25"/>
      <c r="HT222" s="25"/>
      <c r="HU222" s="25"/>
      <c r="HV222" s="25"/>
      <c r="HW222" s="25"/>
      <c r="HX222" s="25"/>
      <c r="HY222" s="25"/>
      <c r="HZ222" s="25"/>
      <c r="IA222" s="25"/>
      <c r="IB222" s="25"/>
      <c r="IC222" s="25"/>
      <c r="ID222" s="25"/>
      <c r="IE222" s="25"/>
      <c r="IF222" s="25"/>
      <c r="IG222" s="25"/>
      <c r="IH222" s="25"/>
      <c r="II222" s="25"/>
      <c r="IJ222" s="25"/>
      <c r="IK222" s="25"/>
      <c r="IL222" s="25"/>
      <c r="IM222" s="25"/>
      <c r="IN222" s="25"/>
      <c r="IO222" s="25"/>
      <c r="IP222" s="25"/>
      <c r="IQ222" s="25"/>
      <c r="IR222" s="25"/>
      <c r="IS222" s="25"/>
      <c r="IT222" s="25"/>
      <c r="IU222" s="25"/>
      <c r="IV222" s="25"/>
      <c r="IW222" s="25"/>
      <c r="IX222" s="25"/>
      <c r="IY222" s="25"/>
      <c r="IZ222" s="25"/>
      <c r="JA222" s="25"/>
      <c r="JB222" s="25"/>
      <c r="JC222" s="25"/>
      <c r="JD222" s="25"/>
      <c r="JE222" s="25"/>
      <c r="JF222" s="25"/>
      <c r="JG222" s="25"/>
      <c r="JH222" s="25"/>
      <c r="JI222" s="25"/>
      <c r="JJ222" s="25"/>
      <c r="JK222" s="25"/>
      <c r="JL222" s="25"/>
      <c r="JM222" s="25"/>
      <c r="JN222" s="25"/>
      <c r="JO222" s="25"/>
      <c r="JP222" s="25"/>
      <c r="JQ222" s="25"/>
      <c r="JR222" s="25"/>
      <c r="JS222" s="25"/>
      <c r="JT222" s="25"/>
      <c r="JU222" s="25"/>
      <c r="JV222" s="25"/>
      <c r="JW222" s="25"/>
      <c r="JX222" s="25"/>
      <c r="JY222" s="25"/>
      <c r="JZ222" s="25"/>
      <c r="KA222" s="25"/>
      <c r="KB222" s="25"/>
      <c r="KC222" s="25"/>
      <c r="KD222" s="25"/>
      <c r="KE222" s="25"/>
      <c r="KF222" s="25"/>
      <c r="KG222" s="25"/>
      <c r="KH222" s="25"/>
      <c r="KI222" s="25"/>
      <c r="KJ222" s="25"/>
      <c r="KK222" s="25"/>
      <c r="KL222" s="25"/>
      <c r="KM222" s="25"/>
      <c r="KN222" s="25"/>
      <c r="KO222" s="25"/>
      <c r="KP222" s="25"/>
      <c r="KQ222" s="25"/>
      <c r="KR222" s="25"/>
      <c r="KS222" s="25"/>
      <c r="KT222" s="25"/>
      <c r="KU222" s="25"/>
      <c r="KV222" s="25"/>
      <c r="KW222" s="25"/>
      <c r="KX222" s="25"/>
      <c r="KY222" s="25"/>
      <c r="KZ222" s="25"/>
      <c r="LA222" s="25"/>
      <c r="LB222" s="25"/>
      <c r="LC222" s="25"/>
      <c r="LD222" s="25"/>
      <c r="LE222" s="25"/>
      <c r="LF222" s="25"/>
      <c r="LG222" s="25"/>
      <c r="LH222" s="25"/>
      <c r="LI222" s="25"/>
      <c r="LJ222" s="25"/>
      <c r="LK222" s="25"/>
      <c r="LL222" s="25"/>
      <c r="LM222" s="25"/>
      <c r="LN222" s="25"/>
      <c r="LO222" s="25"/>
      <c r="LP222" s="25"/>
      <c r="LQ222" s="25"/>
      <c r="LR222" s="25"/>
      <c r="LS222" s="25"/>
      <c r="LT222" s="25"/>
      <c r="LU222" s="25"/>
      <c r="LV222" s="25"/>
      <c r="LW222" s="25"/>
      <c r="LX222" s="25"/>
      <c r="LY222" s="25"/>
      <c r="LZ222" s="25"/>
      <c r="MA222" s="25"/>
      <c r="MB222" s="25"/>
      <c r="MC222" s="25"/>
      <c r="MD222" s="25"/>
      <c r="ME222" s="25"/>
      <c r="MF222" s="25"/>
      <c r="MG222" s="25"/>
      <c r="MH222" s="25"/>
      <c r="MI222" s="25"/>
      <c r="MJ222" s="25"/>
      <c r="MK222" s="25"/>
      <c r="ML222" s="25"/>
      <c r="MM222" s="25"/>
      <c r="MN222" s="25"/>
      <c r="MO222" s="25"/>
      <c r="MP222" s="25"/>
      <c r="MQ222" s="25"/>
      <c r="MR222" s="25"/>
      <c r="MS222" s="25"/>
      <c r="MT222" s="25"/>
      <c r="MU222" s="25"/>
      <c r="MV222" s="25"/>
      <c r="MW222" s="25"/>
      <c r="MX222" s="25"/>
      <c r="MY222" s="25"/>
      <c r="MZ222" s="25"/>
      <c r="NA222" s="25"/>
      <c r="NB222" s="25"/>
      <c r="NC222" s="25"/>
      <c r="ND222" s="25"/>
      <c r="NE222" s="25"/>
      <c r="NF222" s="25"/>
      <c r="NG222" s="25"/>
      <c r="NH222" s="25"/>
      <c r="NI222" s="25"/>
      <c r="NJ222" s="25"/>
      <c r="NK222" s="25"/>
      <c r="NL222" s="25"/>
      <c r="NM222" s="25"/>
      <c r="NN222" s="25"/>
      <c r="NO222" s="25"/>
      <c r="NP222" s="25"/>
      <c r="NQ222" s="25"/>
      <c r="NR222" s="25"/>
      <c r="NS222" s="25"/>
      <c r="NT222" s="25"/>
      <c r="NU222" s="25"/>
      <c r="NV222" s="25"/>
      <c r="NW222" s="25"/>
      <c r="NX222" s="25"/>
      <c r="NY222" s="25"/>
      <c r="NZ222" s="25"/>
      <c r="OA222" s="25"/>
      <c r="OB222" s="25"/>
      <c r="OC222" s="25"/>
      <c r="OD222" s="25"/>
      <c r="OE222" s="25"/>
      <c r="OF222" s="25"/>
      <c r="OG222" s="25"/>
      <c r="OH222" s="25"/>
      <c r="OI222" s="25"/>
      <c r="OJ222" s="25"/>
      <c r="OK222" s="25"/>
      <c r="OL222" s="25"/>
      <c r="OM222" s="25"/>
      <c r="ON222" s="25"/>
      <c r="OO222" s="25"/>
      <c r="OP222" s="25"/>
      <c r="OQ222" s="25"/>
      <c r="OR222" s="25"/>
      <c r="OS222" s="25"/>
      <c r="OT222" s="25"/>
      <c r="OU222" s="25"/>
      <c r="OV222" s="25"/>
      <c r="OW222" s="25"/>
      <c r="OX222" s="25"/>
      <c r="OY222" s="25"/>
      <c r="OZ222" s="25"/>
      <c r="PA222" s="25"/>
      <c r="PB222" s="25"/>
      <c r="PC222" s="25"/>
      <c r="PD222" s="25"/>
      <c r="PE222" s="25"/>
      <c r="PF222" s="25"/>
      <c r="PG222" s="25"/>
      <c r="PH222" s="25"/>
      <c r="PI222" s="25"/>
      <c r="PJ222" s="25"/>
      <c r="PK222" s="25"/>
      <c r="PL222" s="25"/>
      <c r="PM222" s="25"/>
      <c r="PN222" s="25"/>
      <c r="PO222" s="25"/>
      <c r="PP222" s="25"/>
      <c r="PQ222" s="25"/>
      <c r="PR222" s="25"/>
      <c r="PS222" s="25"/>
      <c r="PT222" s="25"/>
      <c r="PU222" s="25"/>
      <c r="PV222" s="25"/>
      <c r="PW222" s="25"/>
      <c r="PX222" s="25"/>
      <c r="PY222" s="25"/>
      <c r="PZ222" s="25"/>
      <c r="QA222" s="25"/>
      <c r="QB222" s="25"/>
      <c r="QC222" s="25"/>
      <c r="QD222" s="25"/>
      <c r="QE222" s="25"/>
      <c r="QF222" s="25"/>
      <c r="QG222" s="25"/>
      <c r="QH222" s="25"/>
      <c r="QI222" s="25"/>
      <c r="QJ222" s="25"/>
      <c r="QK222" s="25"/>
      <c r="QL222" s="25"/>
      <c r="QM222" s="25"/>
      <c r="QN222" s="25"/>
      <c r="QO222" s="25"/>
      <c r="QP222" s="25"/>
      <c r="QQ222" s="25"/>
      <c r="QR222" s="25"/>
      <c r="QS222" s="25"/>
      <c r="QT222" s="25"/>
      <c r="QU222" s="25"/>
      <c r="QV222" s="25"/>
      <c r="QW222" s="25"/>
      <c r="QX222" s="25"/>
      <c r="QY222" s="25"/>
      <c r="QZ222" s="25"/>
      <c r="RA222" s="25"/>
      <c r="RB222" s="25"/>
      <c r="RC222" s="25"/>
      <c r="RD222" s="25"/>
      <c r="RE222" s="25"/>
      <c r="RF222" s="25"/>
      <c r="RG222" s="25"/>
      <c r="RH222" s="25"/>
      <c r="RI222" s="25"/>
      <c r="RJ222" s="25"/>
      <c r="RK222" s="25"/>
      <c r="RL222" s="25"/>
      <c r="RM222" s="25"/>
      <c r="RN222" s="25"/>
      <c r="RO222" s="25"/>
      <c r="RP222" s="25"/>
      <c r="RQ222" s="25"/>
      <c r="RR222" s="25"/>
      <c r="RS222" s="25"/>
      <c r="RT222" s="25"/>
      <c r="RU222" s="25"/>
      <c r="RV222" s="25"/>
      <c r="RW222" s="25"/>
      <c r="RX222" s="25"/>
      <c r="RY222" s="25"/>
      <c r="RZ222" s="25"/>
      <c r="SA222" s="25"/>
      <c r="SB222" s="25"/>
      <c r="SC222" s="25"/>
      <c r="SD222" s="25"/>
      <c r="SE222" s="25"/>
      <c r="SF222" s="25"/>
      <c r="SG222" s="25"/>
      <c r="SH222" s="25"/>
      <c r="SI222" s="25"/>
      <c r="SJ222" s="25"/>
      <c r="SK222" s="25"/>
      <c r="SL222" s="25"/>
      <c r="SM222" s="25"/>
      <c r="SN222" s="25"/>
      <c r="SO222" s="25"/>
      <c r="SP222" s="25"/>
      <c r="SQ222" s="25"/>
      <c r="SR222" s="25"/>
      <c r="SS222" s="25"/>
      <c r="ST222" s="25"/>
      <c r="SU222" s="25"/>
      <c r="SV222" s="25"/>
      <c r="SW222" s="25"/>
      <c r="SX222" s="25"/>
      <c r="SY222" s="25"/>
      <c r="SZ222" s="25"/>
      <c r="TA222" s="25"/>
      <c r="TB222" s="25"/>
      <c r="TC222" s="25"/>
      <c r="TD222" s="25"/>
      <c r="TE222" s="25"/>
      <c r="TF222" s="25"/>
      <c r="TG222" s="25"/>
      <c r="TH222" s="25"/>
      <c r="TI222" s="25"/>
      <c r="TJ222" s="25"/>
      <c r="TK222" s="25"/>
      <c r="TL222" s="25"/>
      <c r="TM222" s="25"/>
      <c r="TN222" s="25"/>
      <c r="TO222" s="25"/>
      <c r="TP222" s="25"/>
      <c r="TQ222" s="25"/>
      <c r="TR222" s="25"/>
      <c r="TS222" s="25"/>
      <c r="TT222" s="25"/>
      <c r="TU222" s="25"/>
      <c r="TV222" s="25"/>
      <c r="TW222" s="25"/>
      <c r="TX222" s="25"/>
      <c r="TY222" s="25"/>
      <c r="TZ222" s="25"/>
      <c r="UA222" s="25"/>
      <c r="UB222" s="25"/>
      <c r="UC222" s="25"/>
      <c r="UD222" s="25"/>
      <c r="UE222" s="25"/>
      <c r="UF222" s="25"/>
      <c r="UG222" s="26"/>
    </row>
    <row r="223" spans="1:553" ht="38.25" customHeight="1">
      <c r="A223" s="356" t="s">
        <v>15</v>
      </c>
      <c r="B223" s="385" t="s">
        <v>246</v>
      </c>
      <c r="C223" s="1404" t="s">
        <v>893</v>
      </c>
      <c r="D223" s="1389"/>
      <c r="E223" s="1389"/>
      <c r="F223" s="1390"/>
      <c r="G223" s="386" t="s">
        <v>935</v>
      </c>
      <c r="H223" s="370"/>
      <c r="I223" s="834">
        <f>3.4*2.2</f>
        <v>7.48</v>
      </c>
      <c r="J223" s="368">
        <v>1700000</v>
      </c>
      <c r="K223" s="371"/>
      <c r="L223" s="391">
        <f t="shared" si="46"/>
        <v>12716000</v>
      </c>
      <c r="M223" s="395"/>
      <c r="N223" s="395"/>
      <c r="O223" s="366"/>
      <c r="P223" s="396"/>
      <c r="Q223" s="473"/>
      <c r="R223" s="1039"/>
      <c r="S223" s="305"/>
      <c r="T223" s="303"/>
      <c r="U223" s="306"/>
      <c r="V223" s="307"/>
      <c r="W223" s="306"/>
      <c r="X223" s="306"/>
      <c r="Y223" s="306"/>
      <c r="Z223" s="306"/>
      <c r="AA223" s="306"/>
      <c r="AB223" s="306"/>
      <c r="AC223" s="449"/>
      <c r="AD223" s="449"/>
      <c r="AE223" s="449"/>
      <c r="AF223" s="449"/>
      <c r="AG223" s="452"/>
      <c r="AH223" s="452"/>
      <c r="AI223" s="452"/>
      <c r="AJ223" s="452"/>
      <c r="AK223" s="452"/>
      <c r="AL223" s="104"/>
      <c r="AM223" s="32"/>
      <c r="AN223" s="32"/>
      <c r="AO223" s="32"/>
      <c r="AP223" s="32"/>
      <c r="AQ223" s="31"/>
      <c r="AR223" s="31"/>
      <c r="AS223" s="31"/>
      <c r="AT223" s="31"/>
      <c r="AU223" s="31"/>
      <c r="AV223" s="31"/>
      <c r="AW223" s="31"/>
      <c r="AX223" s="31"/>
      <c r="AY223" s="31"/>
      <c r="AZ223" s="31"/>
      <c r="BA223" s="31"/>
      <c r="BB223" s="31"/>
      <c r="BC223" s="31"/>
      <c r="BD223" s="31"/>
      <c r="BE223" s="31"/>
      <c r="BF223" s="31"/>
      <c r="BG223" s="31"/>
      <c r="BH223" s="31"/>
      <c r="BI223" s="31"/>
      <c r="BJ223" s="31"/>
      <c r="BK223" s="31"/>
      <c r="BL223" s="31"/>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I223" s="25"/>
      <c r="CJ223" s="25"/>
      <c r="CK223" s="25"/>
      <c r="CL223" s="25"/>
      <c r="CM223" s="25"/>
      <c r="CN223" s="25"/>
      <c r="CO223" s="25"/>
      <c r="CP223" s="25"/>
      <c r="CQ223" s="25"/>
      <c r="CR223" s="25"/>
      <c r="CS223" s="25"/>
      <c r="CT223" s="25"/>
      <c r="CU223" s="25"/>
      <c r="CV223" s="25"/>
      <c r="CW223" s="25"/>
      <c r="CX223" s="25"/>
      <c r="CY223" s="25"/>
      <c r="CZ223" s="25"/>
      <c r="DA223" s="25"/>
      <c r="DB223" s="25"/>
      <c r="DC223" s="25"/>
      <c r="DD223" s="25"/>
      <c r="DE223" s="25"/>
      <c r="DF223" s="25"/>
      <c r="DG223" s="25"/>
      <c r="DH223" s="25"/>
      <c r="DI223" s="25"/>
      <c r="DJ223" s="25"/>
      <c r="DK223" s="25"/>
      <c r="DL223" s="25"/>
      <c r="DM223" s="25"/>
      <c r="DN223" s="25"/>
      <c r="DO223" s="25"/>
      <c r="DP223" s="25"/>
      <c r="DQ223" s="25"/>
      <c r="DR223" s="25"/>
      <c r="DS223" s="25"/>
      <c r="DT223" s="25"/>
      <c r="DU223" s="25"/>
      <c r="DV223" s="25"/>
      <c r="DW223" s="25"/>
      <c r="DX223" s="25"/>
      <c r="DY223" s="25"/>
      <c r="DZ223" s="25"/>
      <c r="EA223" s="25"/>
      <c r="EB223" s="25"/>
      <c r="EC223" s="25"/>
      <c r="ED223" s="25"/>
      <c r="EE223" s="25"/>
      <c r="EF223" s="25"/>
      <c r="EG223" s="25"/>
      <c r="EH223" s="25"/>
      <c r="EI223" s="25"/>
      <c r="EJ223" s="25"/>
      <c r="EK223" s="25"/>
      <c r="EL223" s="25"/>
      <c r="EM223" s="25"/>
      <c r="EN223" s="25"/>
      <c r="EO223" s="25"/>
      <c r="EP223" s="25"/>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5"/>
      <c r="FP223" s="25"/>
      <c r="FQ223" s="25"/>
      <c r="FR223" s="25"/>
      <c r="FS223" s="25"/>
      <c r="FT223" s="25"/>
      <c r="FU223" s="25"/>
      <c r="FV223" s="25"/>
      <c r="FW223" s="25"/>
      <c r="FX223" s="25"/>
      <c r="FY223" s="25"/>
      <c r="FZ223" s="25"/>
      <c r="GA223" s="25"/>
      <c r="GB223" s="25"/>
      <c r="GC223" s="25"/>
      <c r="GD223" s="25"/>
      <c r="GE223" s="25"/>
      <c r="GF223" s="25"/>
      <c r="GG223" s="25"/>
      <c r="GH223" s="25"/>
      <c r="GI223" s="25"/>
      <c r="GJ223" s="25"/>
      <c r="GK223" s="25"/>
      <c r="GL223" s="25"/>
      <c r="GM223" s="25"/>
      <c r="GN223" s="25"/>
      <c r="GO223" s="25"/>
      <c r="GP223" s="25"/>
      <c r="GQ223" s="25"/>
      <c r="GR223" s="25"/>
      <c r="GS223" s="25"/>
      <c r="GT223" s="25"/>
      <c r="GU223" s="25"/>
      <c r="GV223" s="25"/>
      <c r="GW223" s="25"/>
      <c r="GX223" s="25"/>
      <c r="GY223" s="25"/>
      <c r="GZ223" s="25"/>
      <c r="HA223" s="25"/>
      <c r="HB223" s="25"/>
      <c r="HC223" s="25"/>
      <c r="HD223" s="25"/>
      <c r="HE223" s="25"/>
      <c r="HF223" s="25"/>
      <c r="HG223" s="25"/>
      <c r="HH223" s="25"/>
      <c r="HI223" s="25"/>
      <c r="HJ223" s="25"/>
      <c r="HK223" s="25"/>
      <c r="HL223" s="25"/>
      <c r="HM223" s="25"/>
      <c r="HN223" s="25"/>
      <c r="HO223" s="25"/>
      <c r="HP223" s="25"/>
      <c r="HQ223" s="25"/>
      <c r="HR223" s="25"/>
      <c r="HS223" s="25"/>
      <c r="HT223" s="25"/>
      <c r="HU223" s="25"/>
      <c r="HV223" s="25"/>
      <c r="HW223" s="25"/>
      <c r="HX223" s="25"/>
      <c r="HY223" s="25"/>
      <c r="HZ223" s="25"/>
      <c r="IA223" s="25"/>
      <c r="IB223" s="25"/>
      <c r="IC223" s="25"/>
      <c r="ID223" s="25"/>
      <c r="IE223" s="25"/>
      <c r="IF223" s="25"/>
      <c r="IG223" s="25"/>
      <c r="IH223" s="25"/>
      <c r="II223" s="25"/>
      <c r="IJ223" s="25"/>
      <c r="IK223" s="25"/>
      <c r="IL223" s="25"/>
      <c r="IM223" s="25"/>
      <c r="IN223" s="25"/>
      <c r="IO223" s="25"/>
      <c r="IP223" s="25"/>
      <c r="IQ223" s="25"/>
      <c r="IR223" s="25"/>
      <c r="IS223" s="25"/>
      <c r="IT223" s="25"/>
      <c r="IU223" s="25"/>
      <c r="IV223" s="25"/>
      <c r="IW223" s="25"/>
      <c r="IX223" s="25"/>
      <c r="IY223" s="25"/>
      <c r="IZ223" s="25"/>
      <c r="JA223" s="25"/>
      <c r="JB223" s="25"/>
      <c r="JC223" s="25"/>
      <c r="JD223" s="25"/>
      <c r="JE223" s="25"/>
      <c r="JF223" s="25"/>
      <c r="JG223" s="25"/>
      <c r="JH223" s="25"/>
      <c r="JI223" s="25"/>
      <c r="JJ223" s="25"/>
      <c r="JK223" s="25"/>
      <c r="JL223" s="25"/>
      <c r="JM223" s="25"/>
      <c r="JN223" s="25"/>
      <c r="JO223" s="25"/>
      <c r="JP223" s="25"/>
      <c r="JQ223" s="25"/>
      <c r="JR223" s="25"/>
      <c r="JS223" s="25"/>
      <c r="JT223" s="25"/>
      <c r="JU223" s="25"/>
      <c r="JV223" s="25"/>
      <c r="JW223" s="25"/>
      <c r="JX223" s="25"/>
      <c r="JY223" s="25"/>
      <c r="JZ223" s="25"/>
      <c r="KA223" s="25"/>
      <c r="KB223" s="25"/>
      <c r="KC223" s="25"/>
      <c r="KD223" s="25"/>
      <c r="KE223" s="25"/>
      <c r="KF223" s="25"/>
      <c r="KG223" s="25"/>
      <c r="KH223" s="25"/>
      <c r="KI223" s="25"/>
      <c r="KJ223" s="25"/>
      <c r="KK223" s="25"/>
      <c r="KL223" s="25"/>
      <c r="KM223" s="25"/>
      <c r="KN223" s="25"/>
      <c r="KO223" s="25"/>
      <c r="KP223" s="25"/>
      <c r="KQ223" s="25"/>
      <c r="KR223" s="25"/>
      <c r="KS223" s="25"/>
      <c r="KT223" s="25"/>
      <c r="KU223" s="25"/>
      <c r="KV223" s="25"/>
      <c r="KW223" s="25"/>
      <c r="KX223" s="25"/>
      <c r="KY223" s="25"/>
      <c r="KZ223" s="25"/>
      <c r="LA223" s="25"/>
      <c r="LB223" s="25"/>
      <c r="LC223" s="25"/>
      <c r="LD223" s="25"/>
      <c r="LE223" s="25"/>
      <c r="LF223" s="25"/>
      <c r="LG223" s="25"/>
      <c r="LH223" s="25"/>
      <c r="LI223" s="25"/>
      <c r="LJ223" s="25"/>
      <c r="LK223" s="25"/>
      <c r="LL223" s="25"/>
      <c r="LM223" s="25"/>
      <c r="LN223" s="25"/>
      <c r="LO223" s="25"/>
      <c r="LP223" s="25"/>
      <c r="LQ223" s="25"/>
      <c r="LR223" s="25"/>
      <c r="LS223" s="25"/>
      <c r="LT223" s="25"/>
      <c r="LU223" s="25"/>
      <c r="LV223" s="25"/>
      <c r="LW223" s="25"/>
      <c r="LX223" s="25"/>
      <c r="LY223" s="25"/>
      <c r="LZ223" s="25"/>
      <c r="MA223" s="25"/>
      <c r="MB223" s="25"/>
      <c r="MC223" s="25"/>
      <c r="MD223" s="25"/>
      <c r="ME223" s="25"/>
      <c r="MF223" s="25"/>
      <c r="MG223" s="25"/>
      <c r="MH223" s="25"/>
      <c r="MI223" s="25"/>
      <c r="MJ223" s="25"/>
      <c r="MK223" s="25"/>
      <c r="ML223" s="25"/>
      <c r="MM223" s="25"/>
      <c r="MN223" s="25"/>
      <c r="MO223" s="25"/>
      <c r="MP223" s="25"/>
      <c r="MQ223" s="25"/>
      <c r="MR223" s="25"/>
      <c r="MS223" s="25"/>
      <c r="MT223" s="25"/>
      <c r="MU223" s="25"/>
      <c r="MV223" s="25"/>
      <c r="MW223" s="25"/>
      <c r="MX223" s="25"/>
      <c r="MY223" s="25"/>
      <c r="MZ223" s="25"/>
      <c r="NA223" s="25"/>
      <c r="NB223" s="25"/>
      <c r="NC223" s="25"/>
      <c r="ND223" s="25"/>
      <c r="NE223" s="25"/>
      <c r="NF223" s="25"/>
      <c r="NG223" s="25"/>
      <c r="NH223" s="25"/>
      <c r="NI223" s="25"/>
      <c r="NJ223" s="25"/>
      <c r="NK223" s="25"/>
      <c r="NL223" s="25"/>
      <c r="NM223" s="25"/>
      <c r="NN223" s="25"/>
      <c r="NO223" s="25"/>
      <c r="NP223" s="25"/>
      <c r="NQ223" s="25"/>
      <c r="NR223" s="25"/>
      <c r="NS223" s="25"/>
      <c r="NT223" s="25"/>
      <c r="NU223" s="25"/>
      <c r="NV223" s="25"/>
      <c r="NW223" s="25"/>
      <c r="NX223" s="25"/>
      <c r="NY223" s="25"/>
      <c r="NZ223" s="25"/>
      <c r="OA223" s="25"/>
      <c r="OB223" s="25"/>
      <c r="OC223" s="25"/>
      <c r="OD223" s="25"/>
      <c r="OE223" s="25"/>
      <c r="OF223" s="25"/>
      <c r="OG223" s="25"/>
      <c r="OH223" s="25"/>
      <c r="OI223" s="25"/>
      <c r="OJ223" s="25"/>
      <c r="OK223" s="25"/>
      <c r="OL223" s="25"/>
      <c r="OM223" s="25"/>
      <c r="ON223" s="25"/>
      <c r="OO223" s="25"/>
      <c r="OP223" s="25"/>
      <c r="OQ223" s="25"/>
      <c r="OR223" s="25"/>
      <c r="OS223" s="25"/>
      <c r="OT223" s="25"/>
      <c r="OU223" s="25"/>
      <c r="OV223" s="25"/>
      <c r="OW223" s="25"/>
      <c r="OX223" s="25"/>
      <c r="OY223" s="25"/>
      <c r="OZ223" s="25"/>
      <c r="PA223" s="25"/>
      <c r="PB223" s="25"/>
      <c r="PC223" s="25"/>
      <c r="PD223" s="25"/>
      <c r="PE223" s="25"/>
      <c r="PF223" s="25"/>
      <c r="PG223" s="25"/>
      <c r="PH223" s="25"/>
      <c r="PI223" s="25"/>
      <c r="PJ223" s="25"/>
      <c r="PK223" s="25"/>
      <c r="PL223" s="25"/>
      <c r="PM223" s="25"/>
      <c r="PN223" s="25"/>
      <c r="PO223" s="25"/>
      <c r="PP223" s="25"/>
      <c r="PQ223" s="25"/>
      <c r="PR223" s="25"/>
      <c r="PS223" s="25"/>
      <c r="PT223" s="25"/>
      <c r="PU223" s="25"/>
      <c r="PV223" s="25"/>
      <c r="PW223" s="25"/>
      <c r="PX223" s="25"/>
      <c r="PY223" s="25"/>
      <c r="PZ223" s="25"/>
      <c r="QA223" s="25"/>
      <c r="QB223" s="25"/>
      <c r="QC223" s="25"/>
      <c r="QD223" s="25"/>
      <c r="QE223" s="25"/>
      <c r="QF223" s="25"/>
      <c r="QG223" s="25"/>
      <c r="QH223" s="25"/>
      <c r="QI223" s="25"/>
      <c r="QJ223" s="25"/>
      <c r="QK223" s="25"/>
      <c r="QL223" s="25"/>
      <c r="QM223" s="25"/>
      <c r="QN223" s="25"/>
      <c r="QO223" s="25"/>
      <c r="QP223" s="25"/>
      <c r="QQ223" s="25"/>
      <c r="QR223" s="25"/>
      <c r="QS223" s="25"/>
      <c r="QT223" s="25"/>
      <c r="QU223" s="25"/>
      <c r="QV223" s="25"/>
      <c r="QW223" s="25"/>
      <c r="QX223" s="25"/>
      <c r="QY223" s="25"/>
      <c r="QZ223" s="25"/>
      <c r="RA223" s="25"/>
      <c r="RB223" s="25"/>
      <c r="RC223" s="25"/>
      <c r="RD223" s="25"/>
      <c r="RE223" s="25"/>
      <c r="RF223" s="25"/>
      <c r="RG223" s="25"/>
      <c r="RH223" s="25"/>
      <c r="RI223" s="25"/>
      <c r="RJ223" s="25"/>
      <c r="RK223" s="25"/>
      <c r="RL223" s="25"/>
      <c r="RM223" s="25"/>
      <c r="RN223" s="25"/>
      <c r="RO223" s="25"/>
      <c r="RP223" s="25"/>
      <c r="RQ223" s="25"/>
      <c r="RR223" s="25"/>
      <c r="RS223" s="25"/>
      <c r="RT223" s="25"/>
      <c r="RU223" s="25"/>
      <c r="RV223" s="25"/>
      <c r="RW223" s="25"/>
      <c r="RX223" s="25"/>
      <c r="RY223" s="25"/>
      <c r="RZ223" s="25"/>
      <c r="SA223" s="25"/>
      <c r="SB223" s="25"/>
      <c r="SC223" s="25"/>
      <c r="SD223" s="25"/>
      <c r="SE223" s="25"/>
      <c r="SF223" s="25"/>
      <c r="SG223" s="25"/>
      <c r="SH223" s="25"/>
      <c r="SI223" s="25"/>
      <c r="SJ223" s="25"/>
      <c r="SK223" s="25"/>
      <c r="SL223" s="25"/>
      <c r="SM223" s="25"/>
      <c r="SN223" s="25"/>
      <c r="SO223" s="25"/>
      <c r="SP223" s="25"/>
      <c r="SQ223" s="25"/>
      <c r="SR223" s="25"/>
      <c r="SS223" s="25"/>
      <c r="ST223" s="25"/>
      <c r="SU223" s="25"/>
      <c r="SV223" s="25"/>
      <c r="SW223" s="25"/>
      <c r="SX223" s="25"/>
      <c r="SY223" s="25"/>
      <c r="SZ223" s="25"/>
      <c r="TA223" s="25"/>
      <c r="TB223" s="25"/>
      <c r="TC223" s="25"/>
      <c r="TD223" s="25"/>
      <c r="TE223" s="25"/>
      <c r="TF223" s="25"/>
      <c r="TG223" s="25"/>
      <c r="TH223" s="25"/>
      <c r="TI223" s="25"/>
      <c r="TJ223" s="25"/>
      <c r="TK223" s="25"/>
      <c r="TL223" s="25"/>
      <c r="TM223" s="25"/>
      <c r="TN223" s="25"/>
      <c r="TO223" s="25"/>
      <c r="TP223" s="25"/>
      <c r="TQ223" s="25"/>
      <c r="TR223" s="25"/>
      <c r="TS223" s="25"/>
      <c r="TT223" s="25"/>
      <c r="TU223" s="25"/>
      <c r="TV223" s="25"/>
      <c r="TW223" s="25"/>
      <c r="TX223" s="25"/>
      <c r="TY223" s="25"/>
      <c r="TZ223" s="25"/>
      <c r="UA223" s="25"/>
      <c r="UB223" s="25"/>
      <c r="UC223" s="25"/>
      <c r="UD223" s="25"/>
      <c r="UE223" s="25"/>
      <c r="UF223" s="25"/>
      <c r="UG223" s="26"/>
    </row>
    <row r="224" spans="1:553" ht="38.25" customHeight="1">
      <c r="A224" s="356" t="s">
        <v>30</v>
      </c>
      <c r="B224" s="398" t="s">
        <v>895</v>
      </c>
      <c r="C224" s="1404" t="s">
        <v>894</v>
      </c>
      <c r="D224" s="1389"/>
      <c r="E224" s="1389"/>
      <c r="F224" s="1390"/>
      <c r="G224" s="386" t="s">
        <v>935</v>
      </c>
      <c r="H224" s="370"/>
      <c r="I224" s="834">
        <f>-2.6*1.7</f>
        <v>-4.42</v>
      </c>
      <c r="J224" s="368">
        <f>185700-137200</f>
        <v>48500</v>
      </c>
      <c r="K224" s="371"/>
      <c r="L224" s="391">
        <f t="shared" si="46"/>
        <v>-214370</v>
      </c>
      <c r="M224" s="395"/>
      <c r="N224" s="395"/>
      <c r="O224" s="366"/>
      <c r="P224" s="396"/>
      <c r="Q224" s="473"/>
      <c r="R224" s="1039"/>
      <c r="S224" s="305"/>
      <c r="T224" s="303"/>
      <c r="U224" s="306"/>
      <c r="V224" s="307"/>
      <c r="W224" s="306"/>
      <c r="X224" s="306"/>
      <c r="Y224" s="306"/>
      <c r="Z224" s="306"/>
      <c r="AA224" s="306"/>
      <c r="AB224" s="306"/>
      <c r="AC224" s="449"/>
      <c r="AD224" s="449"/>
      <c r="AE224" s="449"/>
      <c r="AF224" s="449"/>
      <c r="AG224" s="452"/>
      <c r="AH224" s="452"/>
      <c r="AI224" s="452"/>
      <c r="AJ224" s="452"/>
      <c r="AK224" s="452"/>
      <c r="AL224" s="104"/>
      <c r="AM224" s="32"/>
      <c r="AN224" s="32"/>
      <c r="AO224" s="32"/>
      <c r="AP224" s="32"/>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5"/>
      <c r="CT224" s="25"/>
      <c r="CU224" s="25"/>
      <c r="CV224" s="25"/>
      <c r="CW224" s="25"/>
      <c r="CX224" s="25"/>
      <c r="CY224" s="25"/>
      <c r="CZ224" s="25"/>
      <c r="DA224" s="25"/>
      <c r="DB224" s="25"/>
      <c r="DC224" s="25"/>
      <c r="DD224" s="25"/>
      <c r="DE224" s="25"/>
      <c r="DF224" s="25"/>
      <c r="DG224" s="25"/>
      <c r="DH224" s="25"/>
      <c r="DI224" s="25"/>
      <c r="DJ224" s="25"/>
      <c r="DK224" s="25"/>
      <c r="DL224" s="25"/>
      <c r="DM224" s="25"/>
      <c r="DN224" s="25"/>
      <c r="DO224" s="25"/>
      <c r="DP224" s="25"/>
      <c r="DQ224" s="25"/>
      <c r="DR224" s="25"/>
      <c r="DS224" s="25"/>
      <c r="DT224" s="25"/>
      <c r="DU224" s="25"/>
      <c r="DV224" s="25"/>
      <c r="DW224" s="25"/>
      <c r="DX224" s="25"/>
      <c r="DY224" s="25"/>
      <c r="DZ224" s="25"/>
      <c r="EA224" s="25"/>
      <c r="EB224" s="25"/>
      <c r="EC224" s="25"/>
      <c r="ED224" s="25"/>
      <c r="EE224" s="25"/>
      <c r="EF224" s="25"/>
      <c r="EG224" s="25"/>
      <c r="EH224" s="25"/>
      <c r="EI224" s="25"/>
      <c r="EJ224" s="25"/>
      <c r="EK224" s="25"/>
      <c r="EL224" s="25"/>
      <c r="EM224" s="25"/>
      <c r="EN224" s="25"/>
      <c r="EO224" s="25"/>
      <c r="EP224" s="25"/>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c r="FO224" s="25"/>
      <c r="FP224" s="25"/>
      <c r="FQ224" s="25"/>
      <c r="FR224" s="25"/>
      <c r="FS224" s="25"/>
      <c r="FT224" s="25"/>
      <c r="FU224" s="25"/>
      <c r="FV224" s="25"/>
      <c r="FW224" s="25"/>
      <c r="FX224" s="25"/>
      <c r="FY224" s="25"/>
      <c r="FZ224" s="25"/>
      <c r="GA224" s="25"/>
      <c r="GB224" s="25"/>
      <c r="GC224" s="25"/>
      <c r="GD224" s="25"/>
      <c r="GE224" s="25"/>
      <c r="GF224" s="25"/>
      <c r="GG224" s="25"/>
      <c r="GH224" s="25"/>
      <c r="GI224" s="25"/>
      <c r="GJ224" s="25"/>
      <c r="GK224" s="25"/>
      <c r="GL224" s="25"/>
      <c r="GM224" s="25"/>
      <c r="GN224" s="25"/>
      <c r="GO224" s="25"/>
      <c r="GP224" s="25"/>
      <c r="GQ224" s="25"/>
      <c r="GR224" s="25"/>
      <c r="GS224" s="25"/>
      <c r="GT224" s="25"/>
      <c r="GU224" s="25"/>
      <c r="GV224" s="25"/>
      <c r="GW224" s="25"/>
      <c r="GX224" s="25"/>
      <c r="GY224" s="25"/>
      <c r="GZ224" s="25"/>
      <c r="HA224" s="25"/>
      <c r="HB224" s="25"/>
      <c r="HC224" s="25"/>
      <c r="HD224" s="25"/>
      <c r="HE224" s="25"/>
      <c r="HF224" s="25"/>
      <c r="HG224" s="25"/>
      <c r="HH224" s="25"/>
      <c r="HI224" s="25"/>
      <c r="HJ224" s="25"/>
      <c r="HK224" s="25"/>
      <c r="HL224" s="25"/>
      <c r="HM224" s="25"/>
      <c r="HN224" s="25"/>
      <c r="HO224" s="25"/>
      <c r="HP224" s="25"/>
      <c r="HQ224" s="25"/>
      <c r="HR224" s="25"/>
      <c r="HS224" s="25"/>
      <c r="HT224" s="25"/>
      <c r="HU224" s="25"/>
      <c r="HV224" s="25"/>
      <c r="HW224" s="25"/>
      <c r="HX224" s="25"/>
      <c r="HY224" s="25"/>
      <c r="HZ224" s="25"/>
      <c r="IA224" s="25"/>
      <c r="IB224" s="25"/>
      <c r="IC224" s="25"/>
      <c r="ID224" s="25"/>
      <c r="IE224" s="25"/>
      <c r="IF224" s="25"/>
      <c r="IG224" s="25"/>
      <c r="IH224" s="25"/>
      <c r="II224" s="25"/>
      <c r="IJ224" s="25"/>
      <c r="IK224" s="25"/>
      <c r="IL224" s="25"/>
      <c r="IM224" s="25"/>
      <c r="IN224" s="25"/>
      <c r="IO224" s="25"/>
      <c r="IP224" s="25"/>
      <c r="IQ224" s="25"/>
      <c r="IR224" s="25"/>
      <c r="IS224" s="25"/>
      <c r="IT224" s="25"/>
      <c r="IU224" s="25"/>
      <c r="IV224" s="25"/>
      <c r="IW224" s="25"/>
      <c r="IX224" s="25"/>
      <c r="IY224" s="25"/>
      <c r="IZ224" s="25"/>
      <c r="JA224" s="25"/>
      <c r="JB224" s="25"/>
      <c r="JC224" s="25"/>
      <c r="JD224" s="25"/>
      <c r="JE224" s="25"/>
      <c r="JF224" s="25"/>
      <c r="JG224" s="25"/>
      <c r="JH224" s="25"/>
      <c r="JI224" s="25"/>
      <c r="JJ224" s="25"/>
      <c r="JK224" s="25"/>
      <c r="JL224" s="25"/>
      <c r="JM224" s="25"/>
      <c r="JN224" s="25"/>
      <c r="JO224" s="25"/>
      <c r="JP224" s="25"/>
      <c r="JQ224" s="25"/>
      <c r="JR224" s="25"/>
      <c r="JS224" s="25"/>
      <c r="JT224" s="25"/>
      <c r="JU224" s="25"/>
      <c r="JV224" s="25"/>
      <c r="JW224" s="25"/>
      <c r="JX224" s="25"/>
      <c r="JY224" s="25"/>
      <c r="JZ224" s="25"/>
      <c r="KA224" s="25"/>
      <c r="KB224" s="25"/>
      <c r="KC224" s="25"/>
      <c r="KD224" s="25"/>
      <c r="KE224" s="25"/>
      <c r="KF224" s="25"/>
      <c r="KG224" s="25"/>
      <c r="KH224" s="25"/>
      <c r="KI224" s="25"/>
      <c r="KJ224" s="25"/>
      <c r="KK224" s="25"/>
      <c r="KL224" s="25"/>
      <c r="KM224" s="25"/>
      <c r="KN224" s="25"/>
      <c r="KO224" s="25"/>
      <c r="KP224" s="25"/>
      <c r="KQ224" s="25"/>
      <c r="KR224" s="25"/>
      <c r="KS224" s="25"/>
      <c r="KT224" s="25"/>
      <c r="KU224" s="25"/>
      <c r="KV224" s="25"/>
      <c r="KW224" s="25"/>
      <c r="KX224" s="25"/>
      <c r="KY224" s="25"/>
      <c r="KZ224" s="25"/>
      <c r="LA224" s="25"/>
      <c r="LB224" s="25"/>
      <c r="LC224" s="25"/>
      <c r="LD224" s="25"/>
      <c r="LE224" s="25"/>
      <c r="LF224" s="25"/>
      <c r="LG224" s="25"/>
      <c r="LH224" s="25"/>
      <c r="LI224" s="25"/>
      <c r="LJ224" s="25"/>
      <c r="LK224" s="25"/>
      <c r="LL224" s="25"/>
      <c r="LM224" s="25"/>
      <c r="LN224" s="25"/>
      <c r="LO224" s="25"/>
      <c r="LP224" s="25"/>
      <c r="LQ224" s="25"/>
      <c r="LR224" s="25"/>
      <c r="LS224" s="25"/>
      <c r="LT224" s="25"/>
      <c r="LU224" s="25"/>
      <c r="LV224" s="25"/>
      <c r="LW224" s="25"/>
      <c r="LX224" s="25"/>
      <c r="LY224" s="25"/>
      <c r="LZ224" s="25"/>
      <c r="MA224" s="25"/>
      <c r="MB224" s="25"/>
      <c r="MC224" s="25"/>
      <c r="MD224" s="25"/>
      <c r="ME224" s="25"/>
      <c r="MF224" s="25"/>
      <c r="MG224" s="25"/>
      <c r="MH224" s="25"/>
      <c r="MI224" s="25"/>
      <c r="MJ224" s="25"/>
      <c r="MK224" s="25"/>
      <c r="ML224" s="25"/>
      <c r="MM224" s="25"/>
      <c r="MN224" s="25"/>
      <c r="MO224" s="25"/>
      <c r="MP224" s="25"/>
      <c r="MQ224" s="25"/>
      <c r="MR224" s="25"/>
      <c r="MS224" s="25"/>
      <c r="MT224" s="25"/>
      <c r="MU224" s="25"/>
      <c r="MV224" s="25"/>
      <c r="MW224" s="25"/>
      <c r="MX224" s="25"/>
      <c r="MY224" s="25"/>
      <c r="MZ224" s="25"/>
      <c r="NA224" s="25"/>
      <c r="NB224" s="25"/>
      <c r="NC224" s="25"/>
      <c r="ND224" s="25"/>
      <c r="NE224" s="25"/>
      <c r="NF224" s="25"/>
      <c r="NG224" s="25"/>
      <c r="NH224" s="25"/>
      <c r="NI224" s="25"/>
      <c r="NJ224" s="25"/>
      <c r="NK224" s="25"/>
      <c r="NL224" s="25"/>
      <c r="NM224" s="25"/>
      <c r="NN224" s="25"/>
      <c r="NO224" s="25"/>
      <c r="NP224" s="25"/>
      <c r="NQ224" s="25"/>
      <c r="NR224" s="25"/>
      <c r="NS224" s="25"/>
      <c r="NT224" s="25"/>
      <c r="NU224" s="25"/>
      <c r="NV224" s="25"/>
      <c r="NW224" s="25"/>
      <c r="NX224" s="25"/>
      <c r="NY224" s="25"/>
      <c r="NZ224" s="25"/>
      <c r="OA224" s="25"/>
      <c r="OB224" s="25"/>
      <c r="OC224" s="25"/>
      <c r="OD224" s="25"/>
      <c r="OE224" s="25"/>
      <c r="OF224" s="25"/>
      <c r="OG224" s="25"/>
      <c r="OH224" s="25"/>
      <c r="OI224" s="25"/>
      <c r="OJ224" s="25"/>
      <c r="OK224" s="25"/>
      <c r="OL224" s="25"/>
      <c r="OM224" s="25"/>
      <c r="ON224" s="25"/>
      <c r="OO224" s="25"/>
      <c r="OP224" s="25"/>
      <c r="OQ224" s="25"/>
      <c r="OR224" s="25"/>
      <c r="OS224" s="25"/>
      <c r="OT224" s="25"/>
      <c r="OU224" s="25"/>
      <c r="OV224" s="25"/>
      <c r="OW224" s="25"/>
      <c r="OX224" s="25"/>
      <c r="OY224" s="25"/>
      <c r="OZ224" s="25"/>
      <c r="PA224" s="25"/>
      <c r="PB224" s="25"/>
      <c r="PC224" s="25"/>
      <c r="PD224" s="25"/>
      <c r="PE224" s="25"/>
      <c r="PF224" s="25"/>
      <c r="PG224" s="25"/>
      <c r="PH224" s="25"/>
      <c r="PI224" s="25"/>
      <c r="PJ224" s="25"/>
      <c r="PK224" s="25"/>
      <c r="PL224" s="25"/>
      <c r="PM224" s="25"/>
      <c r="PN224" s="25"/>
      <c r="PO224" s="25"/>
      <c r="PP224" s="25"/>
      <c r="PQ224" s="25"/>
      <c r="PR224" s="25"/>
      <c r="PS224" s="25"/>
      <c r="PT224" s="25"/>
      <c r="PU224" s="25"/>
      <c r="PV224" s="25"/>
      <c r="PW224" s="25"/>
      <c r="PX224" s="25"/>
      <c r="PY224" s="25"/>
      <c r="PZ224" s="25"/>
      <c r="QA224" s="25"/>
      <c r="QB224" s="25"/>
      <c r="QC224" s="25"/>
      <c r="QD224" s="25"/>
      <c r="QE224" s="25"/>
      <c r="QF224" s="25"/>
      <c r="QG224" s="25"/>
      <c r="QH224" s="25"/>
      <c r="QI224" s="25"/>
      <c r="QJ224" s="25"/>
      <c r="QK224" s="25"/>
      <c r="QL224" s="25"/>
      <c r="QM224" s="25"/>
      <c r="QN224" s="25"/>
      <c r="QO224" s="25"/>
      <c r="QP224" s="25"/>
      <c r="QQ224" s="25"/>
      <c r="QR224" s="25"/>
      <c r="QS224" s="25"/>
      <c r="QT224" s="25"/>
      <c r="QU224" s="25"/>
      <c r="QV224" s="25"/>
      <c r="QW224" s="25"/>
      <c r="QX224" s="25"/>
      <c r="QY224" s="25"/>
      <c r="QZ224" s="25"/>
      <c r="RA224" s="25"/>
      <c r="RB224" s="25"/>
      <c r="RC224" s="25"/>
      <c r="RD224" s="25"/>
      <c r="RE224" s="25"/>
      <c r="RF224" s="25"/>
      <c r="RG224" s="25"/>
      <c r="RH224" s="25"/>
      <c r="RI224" s="25"/>
      <c r="RJ224" s="25"/>
      <c r="RK224" s="25"/>
      <c r="RL224" s="25"/>
      <c r="RM224" s="25"/>
      <c r="RN224" s="25"/>
      <c r="RO224" s="25"/>
      <c r="RP224" s="25"/>
      <c r="RQ224" s="25"/>
      <c r="RR224" s="25"/>
      <c r="RS224" s="25"/>
      <c r="RT224" s="25"/>
      <c r="RU224" s="25"/>
      <c r="RV224" s="25"/>
      <c r="RW224" s="25"/>
      <c r="RX224" s="25"/>
      <c r="RY224" s="25"/>
      <c r="RZ224" s="25"/>
      <c r="SA224" s="25"/>
      <c r="SB224" s="25"/>
      <c r="SC224" s="25"/>
      <c r="SD224" s="25"/>
      <c r="SE224" s="25"/>
      <c r="SF224" s="25"/>
      <c r="SG224" s="25"/>
      <c r="SH224" s="25"/>
      <c r="SI224" s="25"/>
      <c r="SJ224" s="25"/>
      <c r="SK224" s="25"/>
      <c r="SL224" s="25"/>
      <c r="SM224" s="25"/>
      <c r="SN224" s="25"/>
      <c r="SO224" s="25"/>
      <c r="SP224" s="25"/>
      <c r="SQ224" s="25"/>
      <c r="SR224" s="25"/>
      <c r="SS224" s="25"/>
      <c r="ST224" s="25"/>
      <c r="SU224" s="25"/>
      <c r="SV224" s="25"/>
      <c r="SW224" s="25"/>
      <c r="SX224" s="25"/>
      <c r="SY224" s="25"/>
      <c r="SZ224" s="25"/>
      <c r="TA224" s="25"/>
      <c r="TB224" s="25"/>
      <c r="TC224" s="25"/>
      <c r="TD224" s="25"/>
      <c r="TE224" s="25"/>
      <c r="TF224" s="25"/>
      <c r="TG224" s="25"/>
      <c r="TH224" s="25"/>
      <c r="TI224" s="25"/>
      <c r="TJ224" s="25"/>
      <c r="TK224" s="25"/>
      <c r="TL224" s="25"/>
      <c r="TM224" s="25"/>
      <c r="TN224" s="25"/>
      <c r="TO224" s="25"/>
      <c r="TP224" s="25"/>
      <c r="TQ224" s="25"/>
      <c r="TR224" s="25"/>
      <c r="TS224" s="25"/>
      <c r="TT224" s="25"/>
      <c r="TU224" s="25"/>
      <c r="TV224" s="25"/>
      <c r="TW224" s="25"/>
      <c r="TX224" s="25"/>
      <c r="TY224" s="25"/>
      <c r="TZ224" s="25"/>
      <c r="UA224" s="25"/>
      <c r="UB224" s="25"/>
      <c r="UC224" s="25"/>
      <c r="UD224" s="25"/>
      <c r="UE224" s="25"/>
      <c r="UF224" s="25"/>
      <c r="UG224" s="26"/>
    </row>
    <row r="225" spans="1:553" ht="38.25" customHeight="1">
      <c r="A225" s="356" t="s">
        <v>15</v>
      </c>
      <c r="B225" s="366" t="s">
        <v>39</v>
      </c>
      <c r="C225" s="1404" t="s">
        <v>896</v>
      </c>
      <c r="D225" s="1389"/>
      <c r="E225" s="1389"/>
      <c r="F225" s="1390"/>
      <c r="G225" s="386" t="s">
        <v>34</v>
      </c>
      <c r="H225" s="370"/>
      <c r="I225" s="834">
        <f>1.5*2*1.6</f>
        <v>4.8000000000000007</v>
      </c>
      <c r="J225" s="368">
        <v>2943200</v>
      </c>
      <c r="K225" s="371"/>
      <c r="L225" s="391">
        <f t="shared" si="46"/>
        <v>14127360</v>
      </c>
      <c r="M225" s="395"/>
      <c r="N225" s="395"/>
      <c r="O225" s="366"/>
      <c r="P225" s="396"/>
      <c r="Q225" s="473"/>
      <c r="R225" s="1039"/>
      <c r="S225" s="308"/>
      <c r="T225" s="303"/>
      <c r="U225" s="306"/>
      <c r="V225" s="307"/>
      <c r="W225" s="306"/>
      <c r="X225" s="306"/>
      <c r="Y225" s="306"/>
      <c r="Z225" s="306"/>
      <c r="AA225" s="306"/>
      <c r="AB225" s="306"/>
      <c r="AC225" s="449"/>
      <c r="AD225" s="449"/>
      <c r="AE225" s="449"/>
      <c r="AF225" s="449"/>
      <c r="AG225" s="452"/>
      <c r="AH225" s="452"/>
      <c r="AI225" s="452"/>
      <c r="AJ225" s="452"/>
      <c r="AK225" s="452"/>
      <c r="AL225" s="104"/>
      <c r="AM225" s="32"/>
      <c r="AN225" s="32"/>
      <c r="AO225" s="32"/>
      <c r="AP225" s="32"/>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K225" s="25"/>
      <c r="DL225" s="25"/>
      <c r="DM225" s="25"/>
      <c r="DN225" s="25"/>
      <c r="DO225" s="25"/>
      <c r="DP225" s="25"/>
      <c r="DQ225" s="25"/>
      <c r="DR225" s="25"/>
      <c r="DS225" s="25"/>
      <c r="DT225" s="25"/>
      <c r="DU225" s="25"/>
      <c r="DV225" s="25"/>
      <c r="DW225" s="25"/>
      <c r="DX225" s="25"/>
      <c r="DY225" s="25"/>
      <c r="DZ225" s="25"/>
      <c r="EA225" s="25"/>
      <c r="EB225" s="25"/>
      <c r="EC225" s="25"/>
      <c r="ED225" s="25"/>
      <c r="EE225" s="25"/>
      <c r="EF225" s="25"/>
      <c r="EG225" s="25"/>
      <c r="EH225" s="25"/>
      <c r="EI225" s="25"/>
      <c r="EJ225" s="25"/>
      <c r="EK225" s="25"/>
      <c r="EL225" s="25"/>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5"/>
      <c r="FP225" s="25"/>
      <c r="FQ225" s="25"/>
      <c r="FR225" s="25"/>
      <c r="FS225" s="25"/>
      <c r="FT225" s="25"/>
      <c r="FU225" s="25"/>
      <c r="FV225" s="25"/>
      <c r="FW225" s="25"/>
      <c r="FX225" s="25"/>
      <c r="FY225" s="25"/>
      <c r="FZ225" s="25"/>
      <c r="GA225" s="25"/>
      <c r="GB225" s="25"/>
      <c r="GC225" s="25"/>
      <c r="GD225" s="25"/>
      <c r="GE225" s="25"/>
      <c r="GF225" s="25"/>
      <c r="GG225" s="25"/>
      <c r="GH225" s="25"/>
      <c r="GI225" s="25"/>
      <c r="GJ225" s="25"/>
      <c r="GK225" s="25"/>
      <c r="GL225" s="25"/>
      <c r="GM225" s="25"/>
      <c r="GN225" s="25"/>
      <c r="GO225" s="25"/>
      <c r="GP225" s="25"/>
      <c r="GQ225" s="25"/>
      <c r="GR225" s="25"/>
      <c r="GS225" s="25"/>
      <c r="GT225" s="25"/>
      <c r="GU225" s="25"/>
      <c r="GV225" s="25"/>
      <c r="GW225" s="25"/>
      <c r="GX225" s="25"/>
      <c r="GY225" s="25"/>
      <c r="GZ225" s="25"/>
      <c r="HA225" s="25"/>
      <c r="HB225" s="25"/>
      <c r="HC225" s="25"/>
      <c r="HD225" s="25"/>
      <c r="HE225" s="25"/>
      <c r="HF225" s="25"/>
      <c r="HG225" s="25"/>
      <c r="HH225" s="25"/>
      <c r="HI225" s="25"/>
      <c r="HJ225" s="25"/>
      <c r="HK225" s="25"/>
      <c r="HL225" s="25"/>
      <c r="HM225" s="25"/>
      <c r="HN225" s="25"/>
      <c r="HO225" s="25"/>
      <c r="HP225" s="25"/>
      <c r="HQ225" s="25"/>
      <c r="HR225" s="25"/>
      <c r="HS225" s="25"/>
      <c r="HT225" s="25"/>
      <c r="HU225" s="25"/>
      <c r="HV225" s="25"/>
      <c r="HW225" s="25"/>
      <c r="HX225" s="25"/>
      <c r="HY225" s="25"/>
      <c r="HZ225" s="25"/>
      <c r="IA225" s="25"/>
      <c r="IB225" s="25"/>
      <c r="IC225" s="25"/>
      <c r="ID225" s="25"/>
      <c r="IE225" s="25"/>
      <c r="IF225" s="25"/>
      <c r="IG225" s="25"/>
      <c r="IH225" s="25"/>
      <c r="II225" s="25"/>
      <c r="IJ225" s="25"/>
      <c r="IK225" s="25"/>
      <c r="IL225" s="25"/>
      <c r="IM225" s="25"/>
      <c r="IN225" s="25"/>
      <c r="IO225" s="25"/>
      <c r="IP225" s="25"/>
      <c r="IQ225" s="25"/>
      <c r="IR225" s="25"/>
      <c r="IS225" s="25"/>
      <c r="IT225" s="25"/>
      <c r="IU225" s="25"/>
      <c r="IV225" s="25"/>
      <c r="IW225" s="25"/>
      <c r="IX225" s="25"/>
      <c r="IY225" s="25"/>
      <c r="IZ225" s="25"/>
      <c r="JA225" s="25"/>
      <c r="JB225" s="25"/>
      <c r="JC225" s="25"/>
      <c r="JD225" s="25"/>
      <c r="JE225" s="25"/>
      <c r="JF225" s="25"/>
      <c r="JG225" s="25"/>
      <c r="JH225" s="25"/>
      <c r="JI225" s="25"/>
      <c r="JJ225" s="25"/>
      <c r="JK225" s="25"/>
      <c r="JL225" s="25"/>
      <c r="JM225" s="25"/>
      <c r="JN225" s="25"/>
      <c r="JO225" s="25"/>
      <c r="JP225" s="25"/>
      <c r="JQ225" s="25"/>
      <c r="JR225" s="25"/>
      <c r="JS225" s="25"/>
      <c r="JT225" s="25"/>
      <c r="JU225" s="25"/>
      <c r="JV225" s="25"/>
      <c r="JW225" s="25"/>
      <c r="JX225" s="25"/>
      <c r="JY225" s="25"/>
      <c r="JZ225" s="25"/>
      <c r="KA225" s="25"/>
      <c r="KB225" s="25"/>
      <c r="KC225" s="25"/>
      <c r="KD225" s="25"/>
      <c r="KE225" s="25"/>
      <c r="KF225" s="25"/>
      <c r="KG225" s="25"/>
      <c r="KH225" s="25"/>
      <c r="KI225" s="25"/>
      <c r="KJ225" s="25"/>
      <c r="KK225" s="25"/>
      <c r="KL225" s="25"/>
      <c r="KM225" s="25"/>
      <c r="KN225" s="25"/>
      <c r="KO225" s="25"/>
      <c r="KP225" s="25"/>
      <c r="KQ225" s="25"/>
      <c r="KR225" s="25"/>
      <c r="KS225" s="25"/>
      <c r="KT225" s="25"/>
      <c r="KU225" s="25"/>
      <c r="KV225" s="25"/>
      <c r="KW225" s="25"/>
      <c r="KX225" s="25"/>
      <c r="KY225" s="25"/>
      <c r="KZ225" s="25"/>
      <c r="LA225" s="25"/>
      <c r="LB225" s="25"/>
      <c r="LC225" s="25"/>
      <c r="LD225" s="25"/>
      <c r="LE225" s="25"/>
      <c r="LF225" s="25"/>
      <c r="LG225" s="25"/>
      <c r="LH225" s="25"/>
      <c r="LI225" s="25"/>
      <c r="LJ225" s="25"/>
      <c r="LK225" s="25"/>
      <c r="LL225" s="25"/>
      <c r="LM225" s="25"/>
      <c r="LN225" s="25"/>
      <c r="LO225" s="25"/>
      <c r="LP225" s="25"/>
      <c r="LQ225" s="25"/>
      <c r="LR225" s="25"/>
      <c r="LS225" s="25"/>
      <c r="LT225" s="25"/>
      <c r="LU225" s="25"/>
      <c r="LV225" s="25"/>
      <c r="LW225" s="25"/>
      <c r="LX225" s="25"/>
      <c r="LY225" s="25"/>
      <c r="LZ225" s="25"/>
      <c r="MA225" s="25"/>
      <c r="MB225" s="25"/>
      <c r="MC225" s="25"/>
      <c r="MD225" s="25"/>
      <c r="ME225" s="25"/>
      <c r="MF225" s="25"/>
      <c r="MG225" s="25"/>
      <c r="MH225" s="25"/>
      <c r="MI225" s="25"/>
      <c r="MJ225" s="25"/>
      <c r="MK225" s="25"/>
      <c r="ML225" s="25"/>
      <c r="MM225" s="25"/>
      <c r="MN225" s="25"/>
      <c r="MO225" s="25"/>
      <c r="MP225" s="25"/>
      <c r="MQ225" s="25"/>
      <c r="MR225" s="25"/>
      <c r="MS225" s="25"/>
      <c r="MT225" s="25"/>
      <c r="MU225" s="25"/>
      <c r="MV225" s="25"/>
      <c r="MW225" s="25"/>
      <c r="MX225" s="25"/>
      <c r="MY225" s="25"/>
      <c r="MZ225" s="25"/>
      <c r="NA225" s="25"/>
      <c r="NB225" s="25"/>
      <c r="NC225" s="25"/>
      <c r="ND225" s="25"/>
      <c r="NE225" s="25"/>
      <c r="NF225" s="25"/>
      <c r="NG225" s="25"/>
      <c r="NH225" s="25"/>
      <c r="NI225" s="25"/>
      <c r="NJ225" s="25"/>
      <c r="NK225" s="25"/>
      <c r="NL225" s="25"/>
      <c r="NM225" s="25"/>
      <c r="NN225" s="25"/>
      <c r="NO225" s="25"/>
      <c r="NP225" s="25"/>
      <c r="NQ225" s="25"/>
      <c r="NR225" s="25"/>
      <c r="NS225" s="25"/>
      <c r="NT225" s="25"/>
      <c r="NU225" s="25"/>
      <c r="NV225" s="25"/>
      <c r="NW225" s="25"/>
      <c r="NX225" s="25"/>
      <c r="NY225" s="25"/>
      <c r="NZ225" s="25"/>
      <c r="OA225" s="25"/>
      <c r="OB225" s="25"/>
      <c r="OC225" s="25"/>
      <c r="OD225" s="25"/>
      <c r="OE225" s="25"/>
      <c r="OF225" s="25"/>
      <c r="OG225" s="25"/>
      <c r="OH225" s="25"/>
      <c r="OI225" s="25"/>
      <c r="OJ225" s="25"/>
      <c r="OK225" s="25"/>
      <c r="OL225" s="25"/>
      <c r="OM225" s="25"/>
      <c r="ON225" s="25"/>
      <c r="OO225" s="25"/>
      <c r="OP225" s="25"/>
      <c r="OQ225" s="25"/>
      <c r="OR225" s="25"/>
      <c r="OS225" s="25"/>
      <c r="OT225" s="25"/>
      <c r="OU225" s="25"/>
      <c r="OV225" s="25"/>
      <c r="OW225" s="25"/>
      <c r="OX225" s="25"/>
      <c r="OY225" s="25"/>
      <c r="OZ225" s="25"/>
      <c r="PA225" s="25"/>
      <c r="PB225" s="25"/>
      <c r="PC225" s="25"/>
      <c r="PD225" s="25"/>
      <c r="PE225" s="25"/>
      <c r="PF225" s="25"/>
      <c r="PG225" s="25"/>
      <c r="PH225" s="25"/>
      <c r="PI225" s="25"/>
      <c r="PJ225" s="25"/>
      <c r="PK225" s="25"/>
      <c r="PL225" s="25"/>
      <c r="PM225" s="25"/>
      <c r="PN225" s="25"/>
      <c r="PO225" s="25"/>
      <c r="PP225" s="25"/>
      <c r="PQ225" s="25"/>
      <c r="PR225" s="25"/>
      <c r="PS225" s="25"/>
      <c r="PT225" s="25"/>
      <c r="PU225" s="25"/>
      <c r="PV225" s="25"/>
      <c r="PW225" s="25"/>
      <c r="PX225" s="25"/>
      <c r="PY225" s="25"/>
      <c r="PZ225" s="25"/>
      <c r="QA225" s="25"/>
      <c r="QB225" s="25"/>
      <c r="QC225" s="25"/>
      <c r="QD225" s="25"/>
      <c r="QE225" s="25"/>
      <c r="QF225" s="25"/>
      <c r="QG225" s="25"/>
      <c r="QH225" s="25"/>
      <c r="QI225" s="25"/>
      <c r="QJ225" s="25"/>
      <c r="QK225" s="25"/>
      <c r="QL225" s="25"/>
      <c r="QM225" s="25"/>
      <c r="QN225" s="25"/>
      <c r="QO225" s="25"/>
      <c r="QP225" s="25"/>
      <c r="QQ225" s="25"/>
      <c r="QR225" s="25"/>
      <c r="QS225" s="25"/>
      <c r="QT225" s="25"/>
      <c r="QU225" s="25"/>
      <c r="QV225" s="25"/>
      <c r="QW225" s="25"/>
      <c r="QX225" s="25"/>
      <c r="QY225" s="25"/>
      <c r="QZ225" s="25"/>
      <c r="RA225" s="25"/>
      <c r="RB225" s="25"/>
      <c r="RC225" s="25"/>
      <c r="RD225" s="25"/>
      <c r="RE225" s="25"/>
      <c r="RF225" s="25"/>
      <c r="RG225" s="25"/>
      <c r="RH225" s="25"/>
      <c r="RI225" s="25"/>
      <c r="RJ225" s="25"/>
      <c r="RK225" s="25"/>
      <c r="RL225" s="25"/>
      <c r="RM225" s="25"/>
      <c r="RN225" s="25"/>
      <c r="RO225" s="25"/>
      <c r="RP225" s="25"/>
      <c r="RQ225" s="25"/>
      <c r="RR225" s="25"/>
      <c r="RS225" s="25"/>
      <c r="RT225" s="25"/>
      <c r="RU225" s="25"/>
      <c r="RV225" s="25"/>
      <c r="RW225" s="25"/>
      <c r="RX225" s="25"/>
      <c r="RY225" s="25"/>
      <c r="RZ225" s="25"/>
      <c r="SA225" s="25"/>
      <c r="SB225" s="25"/>
      <c r="SC225" s="25"/>
      <c r="SD225" s="25"/>
      <c r="SE225" s="25"/>
      <c r="SF225" s="25"/>
      <c r="SG225" s="25"/>
      <c r="SH225" s="25"/>
      <c r="SI225" s="25"/>
      <c r="SJ225" s="25"/>
      <c r="SK225" s="25"/>
      <c r="SL225" s="25"/>
      <c r="SM225" s="25"/>
      <c r="SN225" s="25"/>
      <c r="SO225" s="25"/>
      <c r="SP225" s="25"/>
      <c r="SQ225" s="25"/>
      <c r="SR225" s="25"/>
      <c r="SS225" s="25"/>
      <c r="ST225" s="25"/>
      <c r="SU225" s="25"/>
      <c r="SV225" s="25"/>
      <c r="SW225" s="25"/>
      <c r="SX225" s="25"/>
      <c r="SY225" s="25"/>
      <c r="SZ225" s="25"/>
      <c r="TA225" s="25"/>
      <c r="TB225" s="25"/>
      <c r="TC225" s="25"/>
      <c r="TD225" s="25"/>
      <c r="TE225" s="25"/>
      <c r="TF225" s="25"/>
      <c r="TG225" s="25"/>
      <c r="TH225" s="25"/>
      <c r="TI225" s="25"/>
      <c r="TJ225" s="25"/>
      <c r="TK225" s="25"/>
      <c r="TL225" s="25"/>
      <c r="TM225" s="25"/>
      <c r="TN225" s="25"/>
      <c r="TO225" s="25"/>
      <c r="TP225" s="25"/>
      <c r="TQ225" s="25"/>
      <c r="TR225" s="25"/>
      <c r="TS225" s="25"/>
      <c r="TT225" s="25"/>
      <c r="TU225" s="25"/>
      <c r="TV225" s="25"/>
      <c r="TW225" s="25"/>
      <c r="TX225" s="25"/>
      <c r="TY225" s="25"/>
      <c r="TZ225" s="25"/>
      <c r="UA225" s="25"/>
      <c r="UB225" s="25"/>
      <c r="UC225" s="25"/>
      <c r="UD225" s="25"/>
      <c r="UE225" s="25"/>
      <c r="UF225" s="25"/>
      <c r="UG225" s="26"/>
    </row>
    <row r="226" spans="1:553" ht="38.25" customHeight="1">
      <c r="A226" s="356" t="s">
        <v>30</v>
      </c>
      <c r="B226" s="366"/>
      <c r="C226" s="1401" t="s">
        <v>897</v>
      </c>
      <c r="D226" s="1455"/>
      <c r="E226" s="1455"/>
      <c r="F226" s="1456"/>
      <c r="G226" s="386" t="s">
        <v>34</v>
      </c>
      <c r="H226" s="370"/>
      <c r="I226" s="834">
        <f>-7*0.11*1.6</f>
        <v>-1.2320000000000002</v>
      </c>
      <c r="J226" s="368">
        <v>1917913</v>
      </c>
      <c r="K226" s="371"/>
      <c r="L226" s="391">
        <f t="shared" si="46"/>
        <v>-2362869</v>
      </c>
      <c r="M226" s="395"/>
      <c r="N226" s="395"/>
      <c r="O226" s="366"/>
      <c r="P226" s="396"/>
      <c r="Q226" s="1141"/>
      <c r="R226" s="1039"/>
      <c r="S226" s="308"/>
      <c r="T226" s="303"/>
      <c r="U226" s="306"/>
      <c r="V226" s="307"/>
      <c r="W226" s="307"/>
      <c r="X226" s="307"/>
      <c r="Y226" s="307"/>
      <c r="Z226" s="307"/>
      <c r="AA226" s="307"/>
      <c r="AB226" s="307"/>
      <c r="AC226" s="449"/>
      <c r="AD226" s="449"/>
      <c r="AE226" s="449"/>
      <c r="AF226" s="449"/>
      <c r="AG226" s="452"/>
      <c r="AH226" s="452"/>
      <c r="AI226" s="452"/>
      <c r="AJ226" s="452"/>
      <c r="AK226" s="452"/>
      <c r="AL226" s="104"/>
      <c r="AM226" s="104"/>
      <c r="AN226" s="104"/>
      <c r="AO226" s="104"/>
      <c r="AP226" s="104"/>
      <c r="AQ226" s="106"/>
      <c r="AR226" s="106"/>
      <c r="AS226" s="106"/>
      <c r="AT226" s="106"/>
      <c r="AU226" s="106"/>
      <c r="AV226" s="106"/>
      <c r="AW226" s="106"/>
      <c r="AX226" s="106"/>
      <c r="AY226" s="106"/>
      <c r="AZ226" s="106"/>
      <c r="BA226" s="106"/>
      <c r="BB226" s="106"/>
      <c r="BC226" s="106"/>
      <c r="BD226" s="106"/>
      <c r="BE226" s="106"/>
      <c r="BF226" s="106"/>
      <c r="BG226" s="106"/>
      <c r="BH226" s="106"/>
      <c r="BI226" s="106"/>
      <c r="BJ226" s="106"/>
      <c r="BK226" s="106"/>
      <c r="BL226" s="106"/>
      <c r="BM226" s="107"/>
      <c r="BN226" s="107"/>
      <c r="BO226" s="107"/>
      <c r="BP226" s="107"/>
      <c r="BQ226" s="107"/>
      <c r="BR226" s="107"/>
      <c r="BS226" s="107"/>
      <c r="BT226" s="107"/>
      <c r="BU226" s="107"/>
      <c r="BV226" s="107"/>
      <c r="BW226" s="107"/>
      <c r="BX226" s="107"/>
      <c r="BY226" s="107"/>
      <c r="BZ226" s="107"/>
      <c r="CA226" s="107"/>
      <c r="CB226" s="107"/>
      <c r="CC226" s="107"/>
      <c r="CD226" s="107"/>
      <c r="CE226" s="107"/>
      <c r="CF226" s="107"/>
      <c r="CG226" s="107"/>
      <c r="CH226" s="107"/>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c r="DL226" s="107"/>
      <c r="DM226" s="107"/>
      <c r="DN226" s="107"/>
      <c r="DO226" s="107"/>
      <c r="DP226" s="107"/>
      <c r="DQ226" s="107"/>
      <c r="DR226" s="107"/>
      <c r="DS226" s="107"/>
      <c r="DT226" s="107"/>
      <c r="DU226" s="107"/>
      <c r="DV226" s="107"/>
      <c r="DW226" s="107"/>
      <c r="DX226" s="107"/>
      <c r="DY226" s="107"/>
      <c r="DZ226" s="107"/>
      <c r="EA226" s="107"/>
      <c r="EB226" s="107"/>
      <c r="EC226" s="107"/>
      <c r="ED226" s="107"/>
      <c r="EE226" s="107"/>
      <c r="EF226" s="107"/>
      <c r="EG226" s="107"/>
      <c r="EH226" s="107"/>
      <c r="EI226" s="107"/>
      <c r="EJ226" s="107"/>
      <c r="EK226" s="107"/>
      <c r="EL226" s="107"/>
      <c r="EM226" s="107"/>
      <c r="EN226" s="107"/>
      <c r="EO226" s="107"/>
      <c r="EP226" s="107"/>
      <c r="EQ226" s="107"/>
      <c r="ER226" s="107"/>
      <c r="ES226" s="107"/>
      <c r="ET226" s="107"/>
      <c r="EU226" s="107"/>
      <c r="EV226" s="107"/>
      <c r="EW226" s="107"/>
      <c r="EX226" s="107"/>
      <c r="EY226" s="107"/>
      <c r="EZ226" s="107"/>
      <c r="FA226" s="107"/>
      <c r="FB226" s="107"/>
      <c r="FC226" s="107"/>
      <c r="FD226" s="107"/>
      <c r="FE226" s="107"/>
      <c r="FF226" s="107"/>
      <c r="FG226" s="107"/>
      <c r="FH226" s="107"/>
      <c r="FI226" s="107"/>
      <c r="FJ226" s="107"/>
      <c r="FK226" s="107"/>
      <c r="FL226" s="107"/>
      <c r="FM226" s="107"/>
      <c r="FN226" s="107"/>
      <c r="FO226" s="107"/>
      <c r="FP226" s="107"/>
      <c r="FQ226" s="107"/>
      <c r="FR226" s="107"/>
      <c r="FS226" s="107"/>
      <c r="FT226" s="107"/>
      <c r="FU226" s="107"/>
      <c r="FV226" s="107"/>
      <c r="FW226" s="107"/>
      <c r="FX226" s="107"/>
      <c r="FY226" s="107"/>
      <c r="FZ226" s="107"/>
      <c r="GA226" s="107"/>
      <c r="GB226" s="107"/>
      <c r="GC226" s="107"/>
      <c r="GD226" s="107"/>
      <c r="GE226" s="107"/>
      <c r="GF226" s="107"/>
      <c r="GG226" s="107"/>
      <c r="GH226" s="107"/>
      <c r="GI226" s="107"/>
      <c r="GJ226" s="107"/>
      <c r="GK226" s="107"/>
      <c r="GL226" s="107"/>
      <c r="GM226" s="107"/>
      <c r="GN226" s="107"/>
      <c r="GO226" s="107"/>
      <c r="GP226" s="107"/>
      <c r="GQ226" s="107"/>
      <c r="GR226" s="107"/>
      <c r="GS226" s="107"/>
      <c r="GT226" s="107"/>
      <c r="GU226" s="107"/>
      <c r="GV226" s="107"/>
      <c r="GW226" s="107"/>
      <c r="GX226" s="107"/>
      <c r="GY226" s="107"/>
      <c r="GZ226" s="107"/>
      <c r="HA226" s="107"/>
      <c r="HB226" s="107"/>
      <c r="HC226" s="107"/>
      <c r="HD226" s="107"/>
      <c r="HE226" s="107"/>
      <c r="HF226" s="107"/>
      <c r="HG226" s="107"/>
      <c r="HH226" s="107"/>
      <c r="HI226" s="107"/>
      <c r="HJ226" s="107"/>
      <c r="HK226" s="107"/>
      <c r="HL226" s="107"/>
      <c r="HM226" s="107"/>
      <c r="HN226" s="107"/>
      <c r="HO226" s="107"/>
      <c r="HP226" s="107"/>
      <c r="HQ226" s="107"/>
      <c r="HR226" s="107"/>
      <c r="HS226" s="107"/>
      <c r="HT226" s="107"/>
      <c r="HU226" s="107"/>
      <c r="HV226" s="107"/>
      <c r="HW226" s="107"/>
      <c r="HX226" s="107"/>
      <c r="HY226" s="107"/>
      <c r="HZ226" s="107"/>
      <c r="IA226" s="107"/>
      <c r="IB226" s="107"/>
      <c r="IC226" s="107"/>
      <c r="ID226" s="107"/>
      <c r="IE226" s="107"/>
      <c r="IF226" s="107"/>
      <c r="IG226" s="107"/>
      <c r="IH226" s="107"/>
      <c r="II226" s="107"/>
      <c r="IJ226" s="107"/>
      <c r="IK226" s="107"/>
      <c r="IL226" s="107"/>
      <c r="IM226" s="107"/>
      <c r="IN226" s="107"/>
      <c r="IO226" s="107"/>
      <c r="IP226" s="107"/>
      <c r="IQ226" s="107"/>
      <c r="IR226" s="107"/>
      <c r="IS226" s="107"/>
      <c r="IT226" s="107"/>
      <c r="IU226" s="107"/>
      <c r="IV226" s="107"/>
      <c r="IW226" s="107"/>
      <c r="IX226" s="107"/>
      <c r="IY226" s="107"/>
      <c r="IZ226" s="107"/>
      <c r="JA226" s="107"/>
      <c r="JB226" s="107"/>
      <c r="JC226" s="107"/>
      <c r="JD226" s="107"/>
      <c r="JE226" s="107"/>
      <c r="JF226" s="107"/>
      <c r="JG226" s="107"/>
      <c r="JH226" s="107"/>
      <c r="JI226" s="107"/>
      <c r="JJ226" s="107"/>
      <c r="JK226" s="107"/>
      <c r="JL226" s="107"/>
      <c r="JM226" s="107"/>
      <c r="JN226" s="107"/>
      <c r="JO226" s="107"/>
      <c r="JP226" s="107"/>
      <c r="JQ226" s="107"/>
      <c r="JR226" s="107"/>
      <c r="JS226" s="107"/>
      <c r="JT226" s="107"/>
      <c r="JU226" s="107"/>
      <c r="JV226" s="107"/>
      <c r="JW226" s="107"/>
      <c r="JX226" s="107"/>
      <c r="JY226" s="107"/>
      <c r="JZ226" s="107"/>
      <c r="KA226" s="107"/>
      <c r="KB226" s="107"/>
      <c r="KC226" s="107"/>
      <c r="KD226" s="107"/>
      <c r="KE226" s="107"/>
      <c r="KF226" s="107"/>
      <c r="KG226" s="107"/>
      <c r="KH226" s="107"/>
      <c r="KI226" s="107"/>
      <c r="KJ226" s="107"/>
      <c r="KK226" s="107"/>
      <c r="KL226" s="107"/>
      <c r="KM226" s="107"/>
      <c r="KN226" s="107"/>
      <c r="KO226" s="107"/>
      <c r="KP226" s="107"/>
      <c r="KQ226" s="107"/>
      <c r="KR226" s="107"/>
      <c r="KS226" s="107"/>
      <c r="KT226" s="107"/>
      <c r="KU226" s="107"/>
      <c r="KV226" s="107"/>
      <c r="KW226" s="107"/>
      <c r="KX226" s="107"/>
      <c r="KY226" s="107"/>
      <c r="KZ226" s="107"/>
      <c r="LA226" s="107"/>
      <c r="LB226" s="107"/>
      <c r="LC226" s="107"/>
      <c r="LD226" s="107"/>
      <c r="LE226" s="107"/>
      <c r="LF226" s="107"/>
      <c r="LG226" s="107"/>
      <c r="LH226" s="107"/>
      <c r="LI226" s="107"/>
      <c r="LJ226" s="107"/>
      <c r="LK226" s="107"/>
      <c r="LL226" s="107"/>
      <c r="LM226" s="107"/>
      <c r="LN226" s="107"/>
      <c r="LO226" s="107"/>
      <c r="LP226" s="107"/>
      <c r="LQ226" s="107"/>
      <c r="LR226" s="107"/>
      <c r="LS226" s="107"/>
      <c r="LT226" s="107"/>
      <c r="LU226" s="107"/>
      <c r="LV226" s="107"/>
      <c r="LW226" s="107"/>
      <c r="LX226" s="107"/>
      <c r="LY226" s="107"/>
      <c r="LZ226" s="107"/>
      <c r="MA226" s="107"/>
      <c r="MB226" s="107"/>
      <c r="MC226" s="107"/>
      <c r="MD226" s="107"/>
      <c r="ME226" s="107"/>
      <c r="MF226" s="107"/>
      <c r="MG226" s="107"/>
      <c r="MH226" s="107"/>
      <c r="MI226" s="107"/>
      <c r="MJ226" s="107"/>
      <c r="MK226" s="107"/>
      <c r="ML226" s="107"/>
      <c r="MM226" s="107"/>
      <c r="MN226" s="107"/>
      <c r="MO226" s="107"/>
      <c r="MP226" s="107"/>
      <c r="MQ226" s="107"/>
      <c r="MR226" s="107"/>
      <c r="MS226" s="107"/>
      <c r="MT226" s="107"/>
      <c r="MU226" s="107"/>
      <c r="MV226" s="107"/>
      <c r="MW226" s="107"/>
      <c r="MX226" s="107"/>
      <c r="MY226" s="107"/>
      <c r="MZ226" s="107"/>
      <c r="NA226" s="107"/>
      <c r="NB226" s="107"/>
      <c r="NC226" s="107"/>
      <c r="ND226" s="107"/>
      <c r="NE226" s="107"/>
      <c r="NF226" s="107"/>
      <c r="NG226" s="107"/>
      <c r="NH226" s="107"/>
      <c r="NI226" s="107"/>
      <c r="NJ226" s="107"/>
      <c r="NK226" s="107"/>
      <c r="NL226" s="107"/>
      <c r="NM226" s="107"/>
      <c r="NN226" s="107"/>
      <c r="NO226" s="107"/>
      <c r="NP226" s="107"/>
      <c r="NQ226" s="107"/>
      <c r="NR226" s="107"/>
      <c r="NS226" s="107"/>
      <c r="NT226" s="107"/>
      <c r="NU226" s="107"/>
      <c r="NV226" s="107"/>
      <c r="NW226" s="107"/>
      <c r="NX226" s="107"/>
      <c r="NY226" s="107"/>
      <c r="NZ226" s="107"/>
      <c r="OA226" s="107"/>
      <c r="OB226" s="107"/>
      <c r="OC226" s="107"/>
      <c r="OD226" s="107"/>
      <c r="OE226" s="107"/>
      <c r="OF226" s="107"/>
      <c r="OG226" s="107"/>
      <c r="OH226" s="107"/>
      <c r="OI226" s="107"/>
      <c r="OJ226" s="107"/>
      <c r="OK226" s="107"/>
      <c r="OL226" s="107"/>
      <c r="OM226" s="107"/>
      <c r="ON226" s="107"/>
      <c r="OO226" s="107"/>
      <c r="OP226" s="107"/>
      <c r="OQ226" s="107"/>
      <c r="OR226" s="107"/>
      <c r="OS226" s="107"/>
      <c r="OT226" s="107"/>
      <c r="OU226" s="107"/>
      <c r="OV226" s="107"/>
      <c r="OW226" s="107"/>
      <c r="OX226" s="107"/>
      <c r="OY226" s="107"/>
      <c r="OZ226" s="107"/>
      <c r="PA226" s="107"/>
      <c r="PB226" s="107"/>
      <c r="PC226" s="107"/>
      <c r="PD226" s="107"/>
      <c r="PE226" s="107"/>
      <c r="PF226" s="107"/>
      <c r="PG226" s="107"/>
      <c r="PH226" s="107"/>
      <c r="PI226" s="107"/>
      <c r="PJ226" s="107"/>
      <c r="PK226" s="107"/>
      <c r="PL226" s="107"/>
      <c r="PM226" s="107"/>
      <c r="PN226" s="107"/>
      <c r="PO226" s="107"/>
      <c r="PP226" s="107"/>
      <c r="PQ226" s="107"/>
      <c r="PR226" s="107"/>
      <c r="PS226" s="107"/>
      <c r="PT226" s="107"/>
      <c r="PU226" s="107"/>
      <c r="PV226" s="107"/>
      <c r="PW226" s="107"/>
      <c r="PX226" s="107"/>
      <c r="PY226" s="107"/>
      <c r="PZ226" s="107"/>
      <c r="QA226" s="107"/>
      <c r="QB226" s="107"/>
      <c r="QC226" s="107"/>
      <c r="QD226" s="107"/>
      <c r="QE226" s="107"/>
      <c r="QF226" s="107"/>
      <c r="QG226" s="107"/>
      <c r="QH226" s="107"/>
      <c r="QI226" s="107"/>
      <c r="QJ226" s="107"/>
      <c r="QK226" s="107"/>
      <c r="QL226" s="107"/>
      <c r="QM226" s="107"/>
      <c r="QN226" s="107"/>
      <c r="QO226" s="107"/>
      <c r="QP226" s="107"/>
      <c r="QQ226" s="107"/>
      <c r="QR226" s="107"/>
      <c r="QS226" s="107"/>
      <c r="QT226" s="107"/>
      <c r="QU226" s="107"/>
      <c r="QV226" s="107"/>
      <c r="QW226" s="107"/>
      <c r="QX226" s="107"/>
      <c r="QY226" s="107"/>
      <c r="QZ226" s="107"/>
      <c r="RA226" s="107"/>
      <c r="RB226" s="107"/>
      <c r="RC226" s="107"/>
      <c r="RD226" s="107"/>
      <c r="RE226" s="107"/>
      <c r="RF226" s="107"/>
      <c r="RG226" s="107"/>
      <c r="RH226" s="107"/>
      <c r="RI226" s="107"/>
      <c r="RJ226" s="107"/>
      <c r="RK226" s="107"/>
      <c r="RL226" s="107"/>
      <c r="RM226" s="107"/>
      <c r="RN226" s="107"/>
      <c r="RO226" s="107"/>
      <c r="RP226" s="107"/>
      <c r="RQ226" s="107"/>
      <c r="RR226" s="107"/>
      <c r="RS226" s="107"/>
      <c r="RT226" s="107"/>
      <c r="RU226" s="107"/>
      <c r="RV226" s="107"/>
      <c r="RW226" s="107"/>
      <c r="RX226" s="107"/>
      <c r="RY226" s="107"/>
      <c r="RZ226" s="107"/>
      <c r="SA226" s="107"/>
      <c r="SB226" s="107"/>
      <c r="SC226" s="107"/>
      <c r="SD226" s="107"/>
      <c r="SE226" s="107"/>
      <c r="SF226" s="107"/>
      <c r="SG226" s="107"/>
      <c r="SH226" s="107"/>
      <c r="SI226" s="107"/>
      <c r="SJ226" s="107"/>
      <c r="SK226" s="107"/>
      <c r="SL226" s="107"/>
      <c r="SM226" s="107"/>
      <c r="SN226" s="107"/>
      <c r="SO226" s="107"/>
      <c r="SP226" s="107"/>
      <c r="SQ226" s="107"/>
      <c r="SR226" s="107"/>
      <c r="SS226" s="107"/>
      <c r="ST226" s="107"/>
      <c r="SU226" s="107"/>
      <c r="SV226" s="107"/>
      <c r="SW226" s="107"/>
      <c r="SX226" s="107"/>
      <c r="SY226" s="107"/>
      <c r="SZ226" s="107"/>
      <c r="TA226" s="107"/>
      <c r="TB226" s="107"/>
      <c r="TC226" s="107"/>
      <c r="TD226" s="107"/>
      <c r="TE226" s="107"/>
      <c r="TF226" s="107"/>
      <c r="TG226" s="107"/>
      <c r="TH226" s="107"/>
      <c r="TI226" s="107"/>
      <c r="TJ226" s="107"/>
      <c r="TK226" s="107"/>
      <c r="TL226" s="107"/>
      <c r="TM226" s="107"/>
      <c r="TN226" s="107"/>
      <c r="TO226" s="107"/>
      <c r="TP226" s="107"/>
      <c r="TQ226" s="107"/>
      <c r="TR226" s="107"/>
      <c r="TS226" s="107"/>
      <c r="TT226" s="107"/>
      <c r="TU226" s="107"/>
      <c r="TV226" s="107"/>
      <c r="TW226" s="107"/>
      <c r="TX226" s="107"/>
      <c r="TY226" s="107"/>
      <c r="TZ226" s="107"/>
      <c r="UA226" s="107"/>
      <c r="UB226" s="107"/>
      <c r="UC226" s="107"/>
      <c r="UD226" s="107"/>
      <c r="UE226" s="107"/>
      <c r="UF226" s="107"/>
      <c r="UG226" s="26"/>
    </row>
    <row r="227" spans="1:553" ht="60.75" customHeight="1">
      <c r="A227" s="356" t="s">
        <v>15</v>
      </c>
      <c r="B227" s="366" t="s">
        <v>247</v>
      </c>
      <c r="C227" s="1404" t="s">
        <v>248</v>
      </c>
      <c r="D227" s="1389"/>
      <c r="E227" s="1389"/>
      <c r="F227" s="1390"/>
      <c r="G227" s="386" t="s">
        <v>935</v>
      </c>
      <c r="H227" s="370"/>
      <c r="I227" s="422">
        <f>8.5*5.5</f>
        <v>46.75</v>
      </c>
      <c r="J227" s="368">
        <v>173400</v>
      </c>
      <c r="K227" s="371"/>
      <c r="L227" s="391">
        <f t="shared" ref="L227:L228" si="47">I227*J227</f>
        <v>8106450</v>
      </c>
      <c r="M227" s="391"/>
      <c r="N227" s="391"/>
      <c r="O227" s="391"/>
      <c r="P227" s="391"/>
      <c r="Q227" s="1444"/>
      <c r="R227" s="1226"/>
      <c r="S227" s="308"/>
      <c r="T227" s="303"/>
      <c r="U227" s="306"/>
      <c r="V227" s="307"/>
      <c r="W227" s="307"/>
      <c r="X227" s="307"/>
      <c r="Y227" s="307"/>
      <c r="Z227" s="307"/>
      <c r="AA227" s="307"/>
      <c r="AB227" s="307"/>
      <c r="AC227" s="449"/>
      <c r="AD227" s="449"/>
      <c r="AE227" s="449"/>
      <c r="AF227" s="449"/>
      <c r="AG227" s="449"/>
      <c r="AH227" s="449"/>
      <c r="AI227" s="449"/>
      <c r="AJ227" s="449"/>
      <c r="AK227" s="452"/>
      <c r="AL227" s="104"/>
      <c r="AM227" s="32"/>
      <c r="AN227" s="32"/>
      <c r="AO227" s="32"/>
      <c r="AP227" s="32"/>
      <c r="AQ227" s="32"/>
      <c r="AR227" s="32"/>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1"/>
      <c r="DU227" s="31"/>
      <c r="DV227" s="31"/>
      <c r="DW227" s="31"/>
      <c r="DX227" s="31"/>
      <c r="DY227" s="31"/>
      <c r="DZ227" s="31"/>
      <c r="EA227" s="31"/>
      <c r="EB227" s="31"/>
      <c r="EC227" s="31"/>
      <c r="ED227" s="31"/>
      <c r="EE227" s="31"/>
      <c r="EF227" s="31"/>
      <c r="EG227" s="31"/>
      <c r="EH227" s="31"/>
      <c r="EI227" s="31"/>
      <c r="EJ227" s="31"/>
      <c r="EK227" s="31"/>
      <c r="EL227" s="31"/>
      <c r="EM227" s="31"/>
      <c r="EN227" s="31"/>
      <c r="EO227" s="31"/>
      <c r="EP227" s="31"/>
      <c r="EQ227" s="31"/>
      <c r="ER227" s="31"/>
      <c r="ES227" s="31"/>
      <c r="ET227" s="31"/>
      <c r="EU227" s="31"/>
      <c r="EV227" s="31"/>
      <c r="EW227" s="31"/>
      <c r="EX227" s="31"/>
      <c r="EY227" s="31"/>
      <c r="EZ227" s="31"/>
      <c r="FA227" s="31"/>
      <c r="FB227" s="31"/>
      <c r="FC227" s="31"/>
      <c r="FD227" s="31"/>
      <c r="FE227" s="31"/>
      <c r="FF227" s="31"/>
      <c r="FG227" s="31"/>
      <c r="FH227" s="31"/>
      <c r="FI227" s="31"/>
      <c r="FJ227" s="31"/>
      <c r="FK227" s="31"/>
      <c r="FL227" s="31"/>
      <c r="FM227" s="31"/>
      <c r="FN227" s="31"/>
      <c r="FO227" s="31"/>
      <c r="FP227" s="31"/>
      <c r="FQ227" s="31"/>
      <c r="FR227" s="31"/>
      <c r="FS227" s="31"/>
      <c r="FT227" s="31"/>
      <c r="FU227" s="31"/>
      <c r="FV227" s="31"/>
      <c r="FW227" s="31"/>
      <c r="FX227" s="31"/>
      <c r="FY227" s="31"/>
      <c r="FZ227" s="31"/>
      <c r="GA227" s="31"/>
      <c r="GB227" s="31"/>
      <c r="GC227" s="31"/>
      <c r="GD227" s="31"/>
      <c r="GE227" s="31"/>
      <c r="GF227" s="31"/>
      <c r="GG227" s="31"/>
      <c r="GH227" s="31"/>
      <c r="GI227" s="31"/>
      <c r="GJ227" s="31"/>
      <c r="GK227" s="31"/>
      <c r="GL227" s="31"/>
      <c r="GM227" s="31"/>
      <c r="GN227" s="31"/>
      <c r="GO227" s="31"/>
      <c r="GP227" s="31"/>
      <c r="GQ227" s="31"/>
      <c r="GR227" s="31"/>
      <c r="GS227" s="31"/>
      <c r="GT227" s="31"/>
      <c r="GU227" s="31"/>
      <c r="GV227" s="31"/>
      <c r="GW227" s="31"/>
      <c r="GX227" s="31"/>
      <c r="GY227" s="31"/>
      <c r="GZ227" s="31"/>
      <c r="HA227" s="31"/>
      <c r="HB227" s="31"/>
      <c r="HC227" s="31"/>
      <c r="HD227" s="31"/>
      <c r="HE227" s="31"/>
      <c r="HF227" s="31"/>
      <c r="HG227" s="31"/>
      <c r="HH227" s="31"/>
      <c r="HI227" s="31"/>
      <c r="HJ227" s="31"/>
      <c r="HK227" s="31"/>
      <c r="HL227" s="31"/>
      <c r="HM227" s="31"/>
      <c r="HN227" s="31"/>
      <c r="HO227" s="31"/>
      <c r="HP227" s="31"/>
      <c r="HQ227" s="31"/>
      <c r="HR227" s="31"/>
      <c r="HS227" s="31"/>
      <c r="HT227" s="31"/>
      <c r="HU227" s="31"/>
      <c r="HV227" s="31"/>
      <c r="HW227" s="31"/>
      <c r="HX227" s="31"/>
      <c r="HY227" s="31"/>
      <c r="HZ227" s="31"/>
      <c r="IA227" s="31"/>
      <c r="IB227" s="31"/>
      <c r="IC227" s="31"/>
      <c r="ID227" s="31"/>
      <c r="IE227" s="31"/>
      <c r="IF227" s="31"/>
      <c r="IG227" s="31"/>
      <c r="IH227" s="31"/>
      <c r="II227" s="31"/>
      <c r="IJ227" s="31"/>
      <c r="IK227" s="31"/>
      <c r="IL227" s="31"/>
      <c r="IM227" s="31"/>
      <c r="IN227" s="31"/>
      <c r="IO227" s="31"/>
      <c r="IP227" s="31"/>
      <c r="IQ227" s="31"/>
      <c r="IR227" s="31"/>
      <c r="IS227" s="31"/>
      <c r="IT227" s="31"/>
      <c r="IU227" s="31"/>
      <c r="IV227" s="31"/>
      <c r="IW227" s="31"/>
      <c r="IX227" s="31"/>
      <c r="IY227" s="31"/>
      <c r="IZ227" s="31"/>
      <c r="JA227" s="31"/>
      <c r="JB227" s="31"/>
      <c r="JC227" s="31"/>
      <c r="JD227" s="31"/>
      <c r="JE227" s="31"/>
      <c r="JF227" s="31"/>
      <c r="JG227" s="31"/>
      <c r="JH227" s="31"/>
      <c r="JI227" s="31"/>
      <c r="JJ227" s="31"/>
      <c r="JK227" s="31"/>
      <c r="JL227" s="31"/>
      <c r="JM227" s="31"/>
      <c r="JN227" s="31"/>
      <c r="JO227" s="31"/>
      <c r="JP227" s="31"/>
      <c r="JQ227" s="31"/>
      <c r="JR227" s="31"/>
      <c r="JS227" s="31"/>
      <c r="JT227" s="31"/>
      <c r="JU227" s="31"/>
      <c r="JV227" s="31"/>
      <c r="JW227" s="31"/>
      <c r="JX227" s="31"/>
      <c r="JY227" s="31"/>
      <c r="JZ227" s="31"/>
      <c r="KA227" s="31"/>
      <c r="KB227" s="31"/>
      <c r="KC227" s="31"/>
      <c r="KD227" s="31"/>
      <c r="KE227" s="31"/>
      <c r="KF227" s="31"/>
      <c r="KG227" s="31"/>
      <c r="KH227" s="31"/>
      <c r="KI227" s="31"/>
      <c r="KJ227" s="31"/>
      <c r="KK227" s="31"/>
      <c r="KL227" s="31"/>
      <c r="KM227" s="31"/>
      <c r="KN227" s="31"/>
      <c r="KO227" s="31"/>
      <c r="KP227" s="31"/>
      <c r="KQ227" s="31"/>
      <c r="KR227" s="31"/>
      <c r="KS227" s="31"/>
      <c r="KT227" s="31"/>
      <c r="KU227" s="31"/>
      <c r="KV227" s="31"/>
      <c r="KW227" s="31"/>
      <c r="KX227" s="31"/>
      <c r="KY227" s="31"/>
      <c r="KZ227" s="31"/>
      <c r="LA227" s="31"/>
      <c r="LB227" s="31"/>
      <c r="LC227" s="31"/>
      <c r="LD227" s="31"/>
      <c r="LE227" s="31"/>
      <c r="LF227" s="31"/>
      <c r="LG227" s="31"/>
      <c r="LH227" s="31"/>
      <c r="LI227" s="31"/>
      <c r="LJ227" s="31"/>
      <c r="LK227" s="31"/>
      <c r="LL227" s="31"/>
      <c r="LM227" s="31"/>
      <c r="LN227" s="31"/>
      <c r="LO227" s="31"/>
      <c r="LP227" s="31"/>
      <c r="LQ227" s="31"/>
      <c r="LR227" s="31"/>
      <c r="LS227" s="31"/>
      <c r="LT227" s="31"/>
      <c r="LU227" s="31"/>
      <c r="LV227" s="31"/>
      <c r="LW227" s="31"/>
      <c r="LX227" s="31"/>
      <c r="LY227" s="31"/>
      <c r="LZ227" s="31"/>
      <c r="MA227" s="31"/>
      <c r="MB227" s="31"/>
      <c r="MC227" s="31"/>
      <c r="MD227" s="31"/>
      <c r="ME227" s="31"/>
      <c r="MF227" s="31"/>
      <c r="MG227" s="31"/>
      <c r="MH227" s="31"/>
      <c r="MI227" s="31"/>
      <c r="MJ227" s="31"/>
      <c r="MK227" s="31"/>
      <c r="ML227" s="31"/>
      <c r="MM227" s="31"/>
      <c r="MN227" s="31"/>
      <c r="MO227" s="31"/>
      <c r="MP227" s="31"/>
      <c r="MQ227" s="31"/>
      <c r="MR227" s="31"/>
      <c r="MS227" s="31"/>
      <c r="MT227" s="31"/>
      <c r="MU227" s="31"/>
      <c r="MV227" s="31"/>
      <c r="MW227" s="31"/>
      <c r="MX227" s="31"/>
      <c r="MY227" s="31"/>
      <c r="MZ227" s="31"/>
      <c r="NA227" s="31"/>
      <c r="NB227" s="31"/>
      <c r="NC227" s="31"/>
      <c r="ND227" s="31"/>
      <c r="NE227" s="31"/>
      <c r="NF227" s="31"/>
      <c r="NG227" s="31"/>
      <c r="NH227" s="31"/>
      <c r="NI227" s="31"/>
      <c r="NJ227" s="31"/>
      <c r="NK227" s="31"/>
      <c r="NL227" s="31"/>
      <c r="NM227" s="31"/>
      <c r="NN227" s="31"/>
      <c r="NO227" s="31"/>
      <c r="NP227" s="31"/>
      <c r="NQ227" s="31"/>
      <c r="NR227" s="31"/>
      <c r="NS227" s="31"/>
      <c r="NT227" s="31"/>
      <c r="NU227" s="31"/>
      <c r="NV227" s="31"/>
      <c r="NW227" s="31"/>
      <c r="NX227" s="31"/>
      <c r="NY227" s="31"/>
      <c r="NZ227" s="31"/>
      <c r="OA227" s="31"/>
      <c r="OB227" s="31"/>
      <c r="OC227" s="31"/>
      <c r="OD227" s="31"/>
      <c r="OE227" s="31"/>
      <c r="OF227" s="31"/>
      <c r="OG227" s="31"/>
      <c r="OH227" s="31"/>
      <c r="OI227" s="31"/>
      <c r="OJ227" s="31"/>
      <c r="OK227" s="31"/>
      <c r="OL227" s="31"/>
      <c r="OM227" s="31"/>
      <c r="ON227" s="31"/>
      <c r="OO227" s="31"/>
      <c r="OP227" s="31"/>
      <c r="OQ227" s="31"/>
      <c r="OR227" s="31"/>
      <c r="OS227" s="31"/>
      <c r="OT227" s="31"/>
      <c r="OU227" s="31"/>
      <c r="OV227" s="31"/>
      <c r="OW227" s="31"/>
      <c r="OX227" s="31"/>
      <c r="OY227" s="31"/>
      <c r="OZ227" s="31"/>
      <c r="PA227" s="31"/>
      <c r="PB227" s="31"/>
      <c r="PC227" s="31"/>
      <c r="PD227" s="31"/>
      <c r="PE227" s="31"/>
      <c r="PF227" s="31"/>
      <c r="PG227" s="31"/>
      <c r="PH227" s="31"/>
      <c r="PI227" s="31"/>
      <c r="PJ227" s="31"/>
      <c r="PK227" s="31"/>
      <c r="PL227" s="31"/>
      <c r="PM227" s="31"/>
      <c r="PN227" s="31"/>
      <c r="PO227" s="31"/>
      <c r="PP227" s="31"/>
      <c r="PQ227" s="31"/>
      <c r="PR227" s="31"/>
      <c r="PS227" s="31"/>
      <c r="PT227" s="31"/>
      <c r="PU227" s="31"/>
      <c r="PV227" s="31"/>
      <c r="PW227" s="31"/>
      <c r="PX227" s="31"/>
      <c r="PY227" s="31"/>
      <c r="PZ227" s="31"/>
      <c r="QA227" s="31"/>
      <c r="QB227" s="31"/>
      <c r="QC227" s="31"/>
      <c r="QD227" s="31"/>
      <c r="QE227" s="31"/>
      <c r="QF227" s="31"/>
      <c r="QG227" s="31"/>
      <c r="QH227" s="31"/>
      <c r="QI227" s="31"/>
      <c r="QJ227" s="31"/>
      <c r="QK227" s="31"/>
      <c r="QL227" s="31"/>
      <c r="QM227" s="31"/>
      <c r="QN227" s="31"/>
      <c r="QO227" s="31"/>
      <c r="QP227" s="31"/>
      <c r="QQ227" s="31"/>
      <c r="QR227" s="31"/>
      <c r="QS227" s="31"/>
      <c r="QT227" s="31"/>
      <c r="QU227" s="31"/>
      <c r="QV227" s="31"/>
      <c r="QW227" s="31"/>
      <c r="QX227" s="31"/>
      <c r="QY227" s="31"/>
      <c r="QZ227" s="31"/>
      <c r="RA227" s="31"/>
      <c r="RB227" s="31"/>
      <c r="RC227" s="31"/>
      <c r="RD227" s="31"/>
      <c r="RE227" s="31"/>
      <c r="RF227" s="31"/>
      <c r="RG227" s="31"/>
      <c r="RH227" s="31"/>
      <c r="RI227" s="31"/>
      <c r="RJ227" s="31"/>
      <c r="RK227" s="31"/>
      <c r="RL227" s="31"/>
      <c r="RM227" s="31"/>
      <c r="RN227" s="31"/>
      <c r="RO227" s="31"/>
      <c r="RP227" s="31"/>
      <c r="RQ227" s="31"/>
      <c r="RR227" s="31"/>
      <c r="RS227" s="31"/>
      <c r="RT227" s="31"/>
      <c r="RU227" s="31"/>
      <c r="RV227" s="31"/>
      <c r="RW227" s="31"/>
      <c r="RX227" s="31"/>
      <c r="RY227" s="31"/>
      <c r="RZ227" s="31"/>
      <c r="SA227" s="31"/>
      <c r="SB227" s="31"/>
      <c r="SC227" s="31"/>
      <c r="SD227" s="31"/>
      <c r="SE227" s="31"/>
      <c r="SF227" s="31"/>
      <c r="SG227" s="31"/>
      <c r="SH227" s="31"/>
      <c r="SI227" s="31"/>
      <c r="SJ227" s="31"/>
      <c r="SK227" s="31"/>
      <c r="SL227" s="31"/>
      <c r="SM227" s="31"/>
      <c r="SN227" s="31"/>
      <c r="SO227" s="31"/>
      <c r="SP227" s="31"/>
      <c r="SQ227" s="31"/>
      <c r="SR227" s="31"/>
      <c r="SS227" s="31"/>
      <c r="ST227" s="31"/>
      <c r="SU227" s="31"/>
      <c r="SV227" s="31"/>
      <c r="SW227" s="31"/>
      <c r="SX227" s="31"/>
      <c r="SY227" s="31"/>
      <c r="SZ227" s="31"/>
      <c r="TA227" s="31"/>
      <c r="TB227" s="31"/>
      <c r="TC227" s="31"/>
      <c r="TD227" s="31"/>
      <c r="TE227" s="31"/>
      <c r="TF227" s="31"/>
      <c r="TG227" s="31"/>
      <c r="TH227" s="31"/>
      <c r="TI227" s="31"/>
      <c r="TJ227" s="31"/>
      <c r="TK227" s="31"/>
      <c r="TL227" s="31"/>
      <c r="TM227" s="31"/>
      <c r="TN227" s="31"/>
      <c r="TO227" s="31"/>
      <c r="TP227" s="31"/>
      <c r="TQ227" s="31"/>
      <c r="TR227" s="31"/>
      <c r="TS227" s="31"/>
      <c r="TT227" s="31"/>
      <c r="TU227" s="31"/>
      <c r="TV227" s="31"/>
      <c r="TW227" s="31"/>
      <c r="TX227" s="31"/>
      <c r="TY227" s="31"/>
      <c r="TZ227" s="31"/>
      <c r="UA227" s="31"/>
      <c r="UB227" s="31"/>
      <c r="UC227" s="31"/>
      <c r="UD227" s="31"/>
      <c r="UE227" s="31"/>
      <c r="UF227" s="31"/>
      <c r="UG227" s="33"/>
    </row>
    <row r="228" spans="1:553" ht="60.75" customHeight="1">
      <c r="A228" s="356" t="s">
        <v>15</v>
      </c>
      <c r="B228" s="366" t="s">
        <v>247</v>
      </c>
      <c r="C228" s="1404" t="s">
        <v>249</v>
      </c>
      <c r="D228" s="1389"/>
      <c r="E228" s="1389"/>
      <c r="F228" s="1390"/>
      <c r="G228" s="386" t="s">
        <v>935</v>
      </c>
      <c r="H228" s="370"/>
      <c r="I228" s="422">
        <f>8.1*4.3</f>
        <v>34.83</v>
      </c>
      <c r="J228" s="368">
        <v>1088500</v>
      </c>
      <c r="K228" s="371"/>
      <c r="L228" s="391">
        <f t="shared" si="47"/>
        <v>37912455</v>
      </c>
      <c r="M228" s="391"/>
      <c r="N228" s="391"/>
      <c r="O228" s="391"/>
      <c r="P228" s="391"/>
      <c r="Q228" s="1445"/>
      <c r="R228" s="1226"/>
      <c r="S228" s="308"/>
      <c r="T228" s="303"/>
      <c r="U228" s="306"/>
      <c r="V228" s="307"/>
      <c r="W228" s="307"/>
      <c r="X228" s="307"/>
      <c r="Y228" s="307"/>
      <c r="Z228" s="307"/>
      <c r="AA228" s="307"/>
      <c r="AB228" s="307"/>
      <c r="AC228" s="449"/>
      <c r="AD228" s="449"/>
      <c r="AE228" s="449"/>
      <c r="AF228" s="449"/>
      <c r="AG228" s="449"/>
      <c r="AH228" s="449"/>
      <c r="AI228" s="449"/>
      <c r="AJ228" s="449"/>
      <c r="AK228" s="452"/>
      <c r="AL228" s="104"/>
      <c r="AM228" s="32"/>
      <c r="AN228" s="32"/>
      <c r="AO228" s="32"/>
      <c r="AP228" s="32"/>
      <c r="AQ228" s="32"/>
      <c r="AR228" s="32"/>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1"/>
      <c r="DU228" s="31"/>
      <c r="DV228" s="31"/>
      <c r="DW228" s="31"/>
      <c r="DX228" s="31"/>
      <c r="DY228" s="31"/>
      <c r="DZ228" s="31"/>
      <c r="EA228" s="31"/>
      <c r="EB228" s="31"/>
      <c r="EC228" s="31"/>
      <c r="ED228" s="31"/>
      <c r="EE228" s="31"/>
      <c r="EF228" s="31"/>
      <c r="EG228" s="31"/>
      <c r="EH228" s="31"/>
      <c r="EI228" s="31"/>
      <c r="EJ228" s="31"/>
      <c r="EK228" s="31"/>
      <c r="EL228" s="31"/>
      <c r="EM228" s="31"/>
      <c r="EN228" s="31"/>
      <c r="EO228" s="31"/>
      <c r="EP228" s="31"/>
      <c r="EQ228" s="31"/>
      <c r="ER228" s="31"/>
      <c r="ES228" s="31"/>
      <c r="ET228" s="31"/>
      <c r="EU228" s="31"/>
      <c r="EV228" s="31"/>
      <c r="EW228" s="31"/>
      <c r="EX228" s="31"/>
      <c r="EY228" s="31"/>
      <c r="EZ228" s="31"/>
      <c r="FA228" s="31"/>
      <c r="FB228" s="31"/>
      <c r="FC228" s="31"/>
      <c r="FD228" s="31"/>
      <c r="FE228" s="31"/>
      <c r="FF228" s="31"/>
      <c r="FG228" s="31"/>
      <c r="FH228" s="31"/>
      <c r="FI228" s="31"/>
      <c r="FJ228" s="31"/>
      <c r="FK228" s="31"/>
      <c r="FL228" s="31"/>
      <c r="FM228" s="31"/>
      <c r="FN228" s="31"/>
      <c r="FO228" s="31"/>
      <c r="FP228" s="31"/>
      <c r="FQ228" s="31"/>
      <c r="FR228" s="31"/>
      <c r="FS228" s="31"/>
      <c r="FT228" s="31"/>
      <c r="FU228" s="31"/>
      <c r="FV228" s="31"/>
      <c r="FW228" s="31"/>
      <c r="FX228" s="31"/>
      <c r="FY228" s="31"/>
      <c r="FZ228" s="31"/>
      <c r="GA228" s="31"/>
      <c r="GB228" s="31"/>
      <c r="GC228" s="31"/>
      <c r="GD228" s="31"/>
      <c r="GE228" s="31"/>
      <c r="GF228" s="31"/>
      <c r="GG228" s="31"/>
      <c r="GH228" s="31"/>
      <c r="GI228" s="31"/>
      <c r="GJ228" s="31"/>
      <c r="GK228" s="31"/>
      <c r="GL228" s="31"/>
      <c r="GM228" s="31"/>
      <c r="GN228" s="31"/>
      <c r="GO228" s="31"/>
      <c r="GP228" s="31"/>
      <c r="GQ228" s="31"/>
      <c r="GR228" s="31"/>
      <c r="GS228" s="31"/>
      <c r="GT228" s="31"/>
      <c r="GU228" s="31"/>
      <c r="GV228" s="31"/>
      <c r="GW228" s="31"/>
      <c r="GX228" s="31"/>
      <c r="GY228" s="31"/>
      <c r="GZ228" s="31"/>
      <c r="HA228" s="31"/>
      <c r="HB228" s="31"/>
      <c r="HC228" s="31"/>
      <c r="HD228" s="31"/>
      <c r="HE228" s="31"/>
      <c r="HF228" s="31"/>
      <c r="HG228" s="31"/>
      <c r="HH228" s="31"/>
      <c r="HI228" s="31"/>
      <c r="HJ228" s="31"/>
      <c r="HK228" s="31"/>
      <c r="HL228" s="31"/>
      <c r="HM228" s="31"/>
      <c r="HN228" s="31"/>
      <c r="HO228" s="31"/>
      <c r="HP228" s="31"/>
      <c r="HQ228" s="31"/>
      <c r="HR228" s="31"/>
      <c r="HS228" s="31"/>
      <c r="HT228" s="31"/>
      <c r="HU228" s="31"/>
      <c r="HV228" s="31"/>
      <c r="HW228" s="31"/>
      <c r="HX228" s="31"/>
      <c r="HY228" s="31"/>
      <c r="HZ228" s="31"/>
      <c r="IA228" s="31"/>
      <c r="IB228" s="31"/>
      <c r="IC228" s="31"/>
      <c r="ID228" s="31"/>
      <c r="IE228" s="31"/>
      <c r="IF228" s="31"/>
      <c r="IG228" s="31"/>
      <c r="IH228" s="31"/>
      <c r="II228" s="31"/>
      <c r="IJ228" s="31"/>
      <c r="IK228" s="31"/>
      <c r="IL228" s="31"/>
      <c r="IM228" s="31"/>
      <c r="IN228" s="31"/>
      <c r="IO228" s="31"/>
      <c r="IP228" s="31"/>
      <c r="IQ228" s="31"/>
      <c r="IR228" s="31"/>
      <c r="IS228" s="31"/>
      <c r="IT228" s="31"/>
      <c r="IU228" s="31"/>
      <c r="IV228" s="31"/>
      <c r="IW228" s="31"/>
      <c r="IX228" s="31"/>
      <c r="IY228" s="31"/>
      <c r="IZ228" s="31"/>
      <c r="JA228" s="31"/>
      <c r="JB228" s="31"/>
      <c r="JC228" s="31"/>
      <c r="JD228" s="31"/>
      <c r="JE228" s="31"/>
      <c r="JF228" s="31"/>
      <c r="JG228" s="31"/>
      <c r="JH228" s="31"/>
      <c r="JI228" s="31"/>
      <c r="JJ228" s="31"/>
      <c r="JK228" s="31"/>
      <c r="JL228" s="31"/>
      <c r="JM228" s="31"/>
      <c r="JN228" s="31"/>
      <c r="JO228" s="31"/>
      <c r="JP228" s="31"/>
      <c r="JQ228" s="31"/>
      <c r="JR228" s="31"/>
      <c r="JS228" s="31"/>
      <c r="JT228" s="31"/>
      <c r="JU228" s="31"/>
      <c r="JV228" s="31"/>
      <c r="JW228" s="31"/>
      <c r="JX228" s="31"/>
      <c r="JY228" s="31"/>
      <c r="JZ228" s="31"/>
      <c r="KA228" s="31"/>
      <c r="KB228" s="31"/>
      <c r="KC228" s="31"/>
      <c r="KD228" s="31"/>
      <c r="KE228" s="31"/>
      <c r="KF228" s="31"/>
      <c r="KG228" s="31"/>
      <c r="KH228" s="31"/>
      <c r="KI228" s="31"/>
      <c r="KJ228" s="31"/>
      <c r="KK228" s="31"/>
      <c r="KL228" s="31"/>
      <c r="KM228" s="31"/>
      <c r="KN228" s="31"/>
      <c r="KO228" s="31"/>
      <c r="KP228" s="31"/>
      <c r="KQ228" s="31"/>
      <c r="KR228" s="31"/>
      <c r="KS228" s="31"/>
      <c r="KT228" s="31"/>
      <c r="KU228" s="31"/>
      <c r="KV228" s="31"/>
      <c r="KW228" s="31"/>
      <c r="KX228" s="31"/>
      <c r="KY228" s="31"/>
      <c r="KZ228" s="31"/>
      <c r="LA228" s="31"/>
      <c r="LB228" s="31"/>
      <c r="LC228" s="31"/>
      <c r="LD228" s="31"/>
      <c r="LE228" s="31"/>
      <c r="LF228" s="31"/>
      <c r="LG228" s="31"/>
      <c r="LH228" s="31"/>
      <c r="LI228" s="31"/>
      <c r="LJ228" s="31"/>
      <c r="LK228" s="31"/>
      <c r="LL228" s="31"/>
      <c r="LM228" s="31"/>
      <c r="LN228" s="31"/>
      <c r="LO228" s="31"/>
      <c r="LP228" s="31"/>
      <c r="LQ228" s="31"/>
      <c r="LR228" s="31"/>
      <c r="LS228" s="31"/>
      <c r="LT228" s="31"/>
      <c r="LU228" s="31"/>
      <c r="LV228" s="31"/>
      <c r="LW228" s="31"/>
      <c r="LX228" s="31"/>
      <c r="LY228" s="31"/>
      <c r="LZ228" s="31"/>
      <c r="MA228" s="31"/>
      <c r="MB228" s="31"/>
      <c r="MC228" s="31"/>
      <c r="MD228" s="31"/>
      <c r="ME228" s="31"/>
      <c r="MF228" s="31"/>
      <c r="MG228" s="31"/>
      <c r="MH228" s="31"/>
      <c r="MI228" s="31"/>
      <c r="MJ228" s="31"/>
      <c r="MK228" s="31"/>
      <c r="ML228" s="31"/>
      <c r="MM228" s="31"/>
      <c r="MN228" s="31"/>
      <c r="MO228" s="31"/>
      <c r="MP228" s="31"/>
      <c r="MQ228" s="31"/>
      <c r="MR228" s="31"/>
      <c r="MS228" s="31"/>
      <c r="MT228" s="31"/>
      <c r="MU228" s="31"/>
      <c r="MV228" s="31"/>
      <c r="MW228" s="31"/>
      <c r="MX228" s="31"/>
      <c r="MY228" s="31"/>
      <c r="MZ228" s="31"/>
      <c r="NA228" s="31"/>
      <c r="NB228" s="31"/>
      <c r="NC228" s="31"/>
      <c r="ND228" s="31"/>
      <c r="NE228" s="31"/>
      <c r="NF228" s="31"/>
      <c r="NG228" s="31"/>
      <c r="NH228" s="31"/>
      <c r="NI228" s="31"/>
      <c r="NJ228" s="31"/>
      <c r="NK228" s="31"/>
      <c r="NL228" s="31"/>
      <c r="NM228" s="31"/>
      <c r="NN228" s="31"/>
      <c r="NO228" s="31"/>
      <c r="NP228" s="31"/>
      <c r="NQ228" s="31"/>
      <c r="NR228" s="31"/>
      <c r="NS228" s="31"/>
      <c r="NT228" s="31"/>
      <c r="NU228" s="31"/>
      <c r="NV228" s="31"/>
      <c r="NW228" s="31"/>
      <c r="NX228" s="31"/>
      <c r="NY228" s="31"/>
      <c r="NZ228" s="31"/>
      <c r="OA228" s="31"/>
      <c r="OB228" s="31"/>
      <c r="OC228" s="31"/>
      <c r="OD228" s="31"/>
      <c r="OE228" s="31"/>
      <c r="OF228" s="31"/>
      <c r="OG228" s="31"/>
      <c r="OH228" s="31"/>
      <c r="OI228" s="31"/>
      <c r="OJ228" s="31"/>
      <c r="OK228" s="31"/>
      <c r="OL228" s="31"/>
      <c r="OM228" s="31"/>
      <c r="ON228" s="31"/>
      <c r="OO228" s="31"/>
      <c r="OP228" s="31"/>
      <c r="OQ228" s="31"/>
      <c r="OR228" s="31"/>
      <c r="OS228" s="31"/>
      <c r="OT228" s="31"/>
      <c r="OU228" s="31"/>
      <c r="OV228" s="31"/>
      <c r="OW228" s="31"/>
      <c r="OX228" s="31"/>
      <c r="OY228" s="31"/>
      <c r="OZ228" s="31"/>
      <c r="PA228" s="31"/>
      <c r="PB228" s="31"/>
      <c r="PC228" s="31"/>
      <c r="PD228" s="31"/>
      <c r="PE228" s="31"/>
      <c r="PF228" s="31"/>
      <c r="PG228" s="31"/>
      <c r="PH228" s="31"/>
      <c r="PI228" s="31"/>
      <c r="PJ228" s="31"/>
      <c r="PK228" s="31"/>
      <c r="PL228" s="31"/>
      <c r="PM228" s="31"/>
      <c r="PN228" s="31"/>
      <c r="PO228" s="31"/>
      <c r="PP228" s="31"/>
      <c r="PQ228" s="31"/>
      <c r="PR228" s="31"/>
      <c r="PS228" s="31"/>
      <c r="PT228" s="31"/>
      <c r="PU228" s="31"/>
      <c r="PV228" s="31"/>
      <c r="PW228" s="31"/>
      <c r="PX228" s="31"/>
      <c r="PY228" s="31"/>
      <c r="PZ228" s="31"/>
      <c r="QA228" s="31"/>
      <c r="QB228" s="31"/>
      <c r="QC228" s="31"/>
      <c r="QD228" s="31"/>
      <c r="QE228" s="31"/>
      <c r="QF228" s="31"/>
      <c r="QG228" s="31"/>
      <c r="QH228" s="31"/>
      <c r="QI228" s="31"/>
      <c r="QJ228" s="31"/>
      <c r="QK228" s="31"/>
      <c r="QL228" s="31"/>
      <c r="QM228" s="31"/>
      <c r="QN228" s="31"/>
      <c r="QO228" s="31"/>
      <c r="QP228" s="31"/>
      <c r="QQ228" s="31"/>
      <c r="QR228" s="31"/>
      <c r="QS228" s="31"/>
      <c r="QT228" s="31"/>
      <c r="QU228" s="31"/>
      <c r="QV228" s="31"/>
      <c r="QW228" s="31"/>
      <c r="QX228" s="31"/>
      <c r="QY228" s="31"/>
      <c r="QZ228" s="31"/>
      <c r="RA228" s="31"/>
      <c r="RB228" s="31"/>
      <c r="RC228" s="31"/>
      <c r="RD228" s="31"/>
      <c r="RE228" s="31"/>
      <c r="RF228" s="31"/>
      <c r="RG228" s="31"/>
      <c r="RH228" s="31"/>
      <c r="RI228" s="31"/>
      <c r="RJ228" s="31"/>
      <c r="RK228" s="31"/>
      <c r="RL228" s="31"/>
      <c r="RM228" s="31"/>
      <c r="RN228" s="31"/>
      <c r="RO228" s="31"/>
      <c r="RP228" s="31"/>
      <c r="RQ228" s="31"/>
      <c r="RR228" s="31"/>
      <c r="RS228" s="31"/>
      <c r="RT228" s="31"/>
      <c r="RU228" s="31"/>
      <c r="RV228" s="31"/>
      <c r="RW228" s="31"/>
      <c r="RX228" s="31"/>
      <c r="RY228" s="31"/>
      <c r="RZ228" s="31"/>
      <c r="SA228" s="31"/>
      <c r="SB228" s="31"/>
      <c r="SC228" s="31"/>
      <c r="SD228" s="31"/>
      <c r="SE228" s="31"/>
      <c r="SF228" s="31"/>
      <c r="SG228" s="31"/>
      <c r="SH228" s="31"/>
      <c r="SI228" s="31"/>
      <c r="SJ228" s="31"/>
      <c r="SK228" s="31"/>
      <c r="SL228" s="31"/>
      <c r="SM228" s="31"/>
      <c r="SN228" s="31"/>
      <c r="SO228" s="31"/>
      <c r="SP228" s="31"/>
      <c r="SQ228" s="31"/>
      <c r="SR228" s="31"/>
      <c r="SS228" s="31"/>
      <c r="ST228" s="31"/>
      <c r="SU228" s="31"/>
      <c r="SV228" s="31"/>
      <c r="SW228" s="31"/>
      <c r="SX228" s="31"/>
      <c r="SY228" s="31"/>
      <c r="SZ228" s="31"/>
      <c r="TA228" s="31"/>
      <c r="TB228" s="31"/>
      <c r="TC228" s="31"/>
      <c r="TD228" s="31"/>
      <c r="TE228" s="31"/>
      <c r="TF228" s="31"/>
      <c r="TG228" s="31"/>
      <c r="TH228" s="31"/>
      <c r="TI228" s="31"/>
      <c r="TJ228" s="31"/>
      <c r="TK228" s="31"/>
      <c r="TL228" s="31"/>
      <c r="TM228" s="31"/>
      <c r="TN228" s="31"/>
      <c r="TO228" s="31"/>
      <c r="TP228" s="31"/>
      <c r="TQ228" s="31"/>
      <c r="TR228" s="31"/>
      <c r="TS228" s="31"/>
      <c r="TT228" s="31"/>
      <c r="TU228" s="31"/>
      <c r="TV228" s="31"/>
      <c r="TW228" s="31"/>
      <c r="TX228" s="31"/>
      <c r="TY228" s="31"/>
      <c r="TZ228" s="31"/>
      <c r="UA228" s="31"/>
      <c r="UB228" s="31"/>
      <c r="UC228" s="31"/>
      <c r="UD228" s="31"/>
      <c r="UE228" s="31"/>
      <c r="UF228" s="31"/>
      <c r="UG228" s="33"/>
    </row>
    <row r="229" spans="1:553" ht="30" customHeight="1">
      <c r="A229" s="356" t="s">
        <v>15</v>
      </c>
      <c r="B229" s="366" t="s">
        <v>79</v>
      </c>
      <c r="C229" s="1404" t="s">
        <v>250</v>
      </c>
      <c r="D229" s="1389"/>
      <c r="E229" s="1389"/>
      <c r="F229" s="1390"/>
      <c r="G229" s="386" t="s">
        <v>935</v>
      </c>
      <c r="H229" s="370"/>
      <c r="I229" s="834">
        <f>(3*4)+(1.6*1.3)</f>
        <v>14.08</v>
      </c>
      <c r="J229" s="368">
        <v>60200</v>
      </c>
      <c r="K229" s="371"/>
      <c r="L229" s="391">
        <f>ROUND(PRODUCT(I229:K229),0)</f>
        <v>847616</v>
      </c>
      <c r="M229" s="395"/>
      <c r="N229" s="395"/>
      <c r="O229" s="366"/>
      <c r="P229" s="396"/>
      <c r="Q229" s="473"/>
      <c r="R229" s="1039"/>
      <c r="S229" s="308"/>
      <c r="T229" s="303"/>
      <c r="U229" s="306"/>
      <c r="V229" s="307"/>
      <c r="W229" s="307"/>
      <c r="X229" s="307"/>
      <c r="Y229" s="307"/>
      <c r="Z229" s="307"/>
      <c r="AA229" s="307"/>
      <c r="AB229" s="307"/>
      <c r="AC229" s="449"/>
      <c r="AD229" s="449"/>
      <c r="AE229" s="449"/>
      <c r="AF229" s="449"/>
      <c r="AG229" s="452"/>
      <c r="AH229" s="452"/>
      <c r="AI229" s="452"/>
      <c r="AJ229" s="452"/>
      <c r="AK229" s="452"/>
      <c r="AL229" s="104"/>
      <c r="AM229" s="32"/>
      <c r="AN229" s="32"/>
      <c r="AO229" s="32"/>
      <c r="AP229" s="32"/>
      <c r="AQ229" s="31"/>
      <c r="AR229" s="31"/>
      <c r="AS229" s="31"/>
      <c r="AT229" s="31"/>
      <c r="AU229" s="31"/>
      <c r="AV229" s="31"/>
      <c r="AW229" s="31"/>
      <c r="AX229" s="31"/>
      <c r="AY229" s="31"/>
      <c r="AZ229" s="31"/>
      <c r="BA229" s="31"/>
      <c r="BB229" s="31"/>
      <c r="BC229" s="31"/>
      <c r="BD229" s="31"/>
      <c r="BE229" s="31"/>
      <c r="BF229" s="31"/>
      <c r="BG229" s="31"/>
      <c r="BH229" s="31"/>
      <c r="BI229" s="31"/>
      <c r="BJ229" s="31"/>
      <c r="BK229" s="31"/>
      <c r="BL229" s="31"/>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c r="FP229" s="25"/>
      <c r="FQ229" s="25"/>
      <c r="FR229" s="25"/>
      <c r="FS229" s="25"/>
      <c r="FT229" s="25"/>
      <c r="FU229" s="25"/>
      <c r="FV229" s="25"/>
      <c r="FW229" s="25"/>
      <c r="FX229" s="25"/>
      <c r="FY229" s="25"/>
      <c r="FZ229" s="25"/>
      <c r="GA229" s="25"/>
      <c r="GB229" s="25"/>
      <c r="GC229" s="25"/>
      <c r="GD229" s="25"/>
      <c r="GE229" s="25"/>
      <c r="GF229" s="25"/>
      <c r="GG229" s="25"/>
      <c r="GH229" s="25"/>
      <c r="GI229" s="25"/>
      <c r="GJ229" s="25"/>
      <c r="GK229" s="25"/>
      <c r="GL229" s="25"/>
      <c r="GM229" s="25"/>
      <c r="GN229" s="25"/>
      <c r="GO229" s="25"/>
      <c r="GP229" s="25"/>
      <c r="GQ229" s="25"/>
      <c r="GR229" s="25"/>
      <c r="GS229" s="25"/>
      <c r="GT229" s="25"/>
      <c r="GU229" s="25"/>
      <c r="GV229" s="25"/>
      <c r="GW229" s="25"/>
      <c r="GX229" s="25"/>
      <c r="GY229" s="25"/>
      <c r="GZ229" s="25"/>
      <c r="HA229" s="25"/>
      <c r="HB229" s="25"/>
      <c r="HC229" s="25"/>
      <c r="HD229" s="25"/>
      <c r="HE229" s="25"/>
      <c r="HF229" s="25"/>
      <c r="HG229" s="25"/>
      <c r="HH229" s="25"/>
      <c r="HI229" s="25"/>
      <c r="HJ229" s="25"/>
      <c r="HK229" s="25"/>
      <c r="HL229" s="25"/>
      <c r="HM229" s="25"/>
      <c r="HN229" s="25"/>
      <c r="HO229" s="25"/>
      <c r="HP229" s="25"/>
      <c r="HQ229" s="25"/>
      <c r="HR229" s="25"/>
      <c r="HS229" s="25"/>
      <c r="HT229" s="25"/>
      <c r="HU229" s="25"/>
      <c r="HV229" s="25"/>
      <c r="HW229" s="25"/>
      <c r="HX229" s="25"/>
      <c r="HY229" s="25"/>
      <c r="HZ229" s="25"/>
      <c r="IA229" s="25"/>
      <c r="IB229" s="25"/>
      <c r="IC229" s="25"/>
      <c r="ID229" s="25"/>
      <c r="IE229" s="25"/>
      <c r="IF229" s="25"/>
      <c r="IG229" s="25"/>
      <c r="IH229" s="25"/>
      <c r="II229" s="25"/>
      <c r="IJ229" s="25"/>
      <c r="IK229" s="25"/>
      <c r="IL229" s="25"/>
      <c r="IM229" s="25"/>
      <c r="IN229" s="25"/>
      <c r="IO229" s="25"/>
      <c r="IP229" s="25"/>
      <c r="IQ229" s="25"/>
      <c r="IR229" s="25"/>
      <c r="IS229" s="25"/>
      <c r="IT229" s="25"/>
      <c r="IU229" s="25"/>
      <c r="IV229" s="25"/>
      <c r="IW229" s="25"/>
      <c r="IX229" s="25"/>
      <c r="IY229" s="25"/>
      <c r="IZ229" s="25"/>
      <c r="JA229" s="25"/>
      <c r="JB229" s="25"/>
      <c r="JC229" s="25"/>
      <c r="JD229" s="25"/>
      <c r="JE229" s="25"/>
      <c r="JF229" s="25"/>
      <c r="JG229" s="25"/>
      <c r="JH229" s="25"/>
      <c r="JI229" s="25"/>
      <c r="JJ229" s="25"/>
      <c r="JK229" s="25"/>
      <c r="JL229" s="25"/>
      <c r="JM229" s="25"/>
      <c r="JN229" s="25"/>
      <c r="JO229" s="25"/>
      <c r="JP229" s="25"/>
      <c r="JQ229" s="25"/>
      <c r="JR229" s="25"/>
      <c r="JS229" s="25"/>
      <c r="JT229" s="25"/>
      <c r="JU229" s="25"/>
      <c r="JV229" s="25"/>
      <c r="JW229" s="25"/>
      <c r="JX229" s="25"/>
      <c r="JY229" s="25"/>
      <c r="JZ229" s="25"/>
      <c r="KA229" s="25"/>
      <c r="KB229" s="25"/>
      <c r="KC229" s="25"/>
      <c r="KD229" s="25"/>
      <c r="KE229" s="25"/>
      <c r="KF229" s="25"/>
      <c r="KG229" s="25"/>
      <c r="KH229" s="25"/>
      <c r="KI229" s="25"/>
      <c r="KJ229" s="25"/>
      <c r="KK229" s="25"/>
      <c r="KL229" s="25"/>
      <c r="KM229" s="25"/>
      <c r="KN229" s="25"/>
      <c r="KO229" s="25"/>
      <c r="KP229" s="25"/>
      <c r="KQ229" s="25"/>
      <c r="KR229" s="25"/>
      <c r="KS229" s="25"/>
      <c r="KT229" s="25"/>
      <c r="KU229" s="25"/>
      <c r="KV229" s="25"/>
      <c r="KW229" s="25"/>
      <c r="KX229" s="25"/>
      <c r="KY229" s="25"/>
      <c r="KZ229" s="25"/>
      <c r="LA229" s="25"/>
      <c r="LB229" s="25"/>
      <c r="LC229" s="25"/>
      <c r="LD229" s="25"/>
      <c r="LE229" s="25"/>
      <c r="LF229" s="25"/>
      <c r="LG229" s="25"/>
      <c r="LH229" s="25"/>
      <c r="LI229" s="25"/>
      <c r="LJ229" s="25"/>
      <c r="LK229" s="25"/>
      <c r="LL229" s="25"/>
      <c r="LM229" s="25"/>
      <c r="LN229" s="25"/>
      <c r="LO229" s="25"/>
      <c r="LP229" s="25"/>
      <c r="LQ229" s="25"/>
      <c r="LR229" s="25"/>
      <c r="LS229" s="25"/>
      <c r="LT229" s="25"/>
      <c r="LU229" s="25"/>
      <c r="LV229" s="25"/>
      <c r="LW229" s="25"/>
      <c r="LX229" s="25"/>
      <c r="LY229" s="25"/>
      <c r="LZ229" s="25"/>
      <c r="MA229" s="25"/>
      <c r="MB229" s="25"/>
      <c r="MC229" s="25"/>
      <c r="MD229" s="25"/>
      <c r="ME229" s="25"/>
      <c r="MF229" s="25"/>
      <c r="MG229" s="25"/>
      <c r="MH229" s="25"/>
      <c r="MI229" s="25"/>
      <c r="MJ229" s="25"/>
      <c r="MK229" s="25"/>
      <c r="ML229" s="25"/>
      <c r="MM229" s="25"/>
      <c r="MN229" s="25"/>
      <c r="MO229" s="25"/>
      <c r="MP229" s="25"/>
      <c r="MQ229" s="25"/>
      <c r="MR229" s="25"/>
      <c r="MS229" s="25"/>
      <c r="MT229" s="25"/>
      <c r="MU229" s="25"/>
      <c r="MV229" s="25"/>
      <c r="MW229" s="25"/>
      <c r="MX229" s="25"/>
      <c r="MY229" s="25"/>
      <c r="MZ229" s="25"/>
      <c r="NA229" s="25"/>
      <c r="NB229" s="25"/>
      <c r="NC229" s="25"/>
      <c r="ND229" s="25"/>
      <c r="NE229" s="25"/>
      <c r="NF229" s="25"/>
      <c r="NG229" s="25"/>
      <c r="NH229" s="25"/>
      <c r="NI229" s="25"/>
      <c r="NJ229" s="25"/>
      <c r="NK229" s="25"/>
      <c r="NL229" s="25"/>
      <c r="NM229" s="25"/>
      <c r="NN229" s="25"/>
      <c r="NO229" s="25"/>
      <c r="NP229" s="25"/>
      <c r="NQ229" s="25"/>
      <c r="NR229" s="25"/>
      <c r="NS229" s="25"/>
      <c r="NT229" s="25"/>
      <c r="NU229" s="25"/>
      <c r="NV229" s="25"/>
      <c r="NW229" s="25"/>
      <c r="NX229" s="25"/>
      <c r="NY229" s="25"/>
      <c r="NZ229" s="25"/>
      <c r="OA229" s="25"/>
      <c r="OB229" s="25"/>
      <c r="OC229" s="25"/>
      <c r="OD229" s="25"/>
      <c r="OE229" s="25"/>
      <c r="OF229" s="25"/>
      <c r="OG229" s="25"/>
      <c r="OH229" s="25"/>
      <c r="OI229" s="25"/>
      <c r="OJ229" s="25"/>
      <c r="OK229" s="25"/>
      <c r="OL229" s="25"/>
      <c r="OM229" s="25"/>
      <c r="ON229" s="25"/>
      <c r="OO229" s="25"/>
      <c r="OP229" s="25"/>
      <c r="OQ229" s="25"/>
      <c r="OR229" s="25"/>
      <c r="OS229" s="25"/>
      <c r="OT229" s="25"/>
      <c r="OU229" s="25"/>
      <c r="OV229" s="25"/>
      <c r="OW229" s="25"/>
      <c r="OX229" s="25"/>
      <c r="OY229" s="25"/>
      <c r="OZ229" s="25"/>
      <c r="PA229" s="25"/>
      <c r="PB229" s="25"/>
      <c r="PC229" s="25"/>
      <c r="PD229" s="25"/>
      <c r="PE229" s="25"/>
      <c r="PF229" s="25"/>
      <c r="PG229" s="25"/>
      <c r="PH229" s="25"/>
      <c r="PI229" s="25"/>
      <c r="PJ229" s="25"/>
      <c r="PK229" s="25"/>
      <c r="PL229" s="25"/>
      <c r="PM229" s="25"/>
      <c r="PN229" s="25"/>
      <c r="PO229" s="25"/>
      <c r="PP229" s="25"/>
      <c r="PQ229" s="25"/>
      <c r="PR229" s="25"/>
      <c r="PS229" s="25"/>
      <c r="PT229" s="25"/>
      <c r="PU229" s="25"/>
      <c r="PV229" s="25"/>
      <c r="PW229" s="25"/>
      <c r="PX229" s="25"/>
      <c r="PY229" s="25"/>
      <c r="PZ229" s="25"/>
      <c r="QA229" s="25"/>
      <c r="QB229" s="25"/>
      <c r="QC229" s="25"/>
      <c r="QD229" s="25"/>
      <c r="QE229" s="25"/>
      <c r="QF229" s="25"/>
      <c r="QG229" s="25"/>
      <c r="QH229" s="25"/>
      <c r="QI229" s="25"/>
      <c r="QJ229" s="25"/>
      <c r="QK229" s="25"/>
      <c r="QL229" s="25"/>
      <c r="QM229" s="25"/>
      <c r="QN229" s="25"/>
      <c r="QO229" s="25"/>
      <c r="QP229" s="25"/>
      <c r="QQ229" s="25"/>
      <c r="QR229" s="25"/>
      <c r="QS229" s="25"/>
      <c r="QT229" s="25"/>
      <c r="QU229" s="25"/>
      <c r="QV229" s="25"/>
      <c r="QW229" s="25"/>
      <c r="QX229" s="25"/>
      <c r="QY229" s="25"/>
      <c r="QZ229" s="25"/>
      <c r="RA229" s="25"/>
      <c r="RB229" s="25"/>
      <c r="RC229" s="25"/>
      <c r="RD229" s="25"/>
      <c r="RE229" s="25"/>
      <c r="RF229" s="25"/>
      <c r="RG229" s="25"/>
      <c r="RH229" s="25"/>
      <c r="RI229" s="25"/>
      <c r="RJ229" s="25"/>
      <c r="RK229" s="25"/>
      <c r="RL229" s="25"/>
      <c r="RM229" s="25"/>
      <c r="RN229" s="25"/>
      <c r="RO229" s="25"/>
      <c r="RP229" s="25"/>
      <c r="RQ229" s="25"/>
      <c r="RR229" s="25"/>
      <c r="RS229" s="25"/>
      <c r="RT229" s="25"/>
      <c r="RU229" s="25"/>
      <c r="RV229" s="25"/>
      <c r="RW229" s="25"/>
      <c r="RX229" s="25"/>
      <c r="RY229" s="25"/>
      <c r="RZ229" s="25"/>
      <c r="SA229" s="25"/>
      <c r="SB229" s="25"/>
      <c r="SC229" s="25"/>
      <c r="SD229" s="25"/>
      <c r="SE229" s="25"/>
      <c r="SF229" s="25"/>
      <c r="SG229" s="25"/>
      <c r="SH229" s="25"/>
      <c r="SI229" s="25"/>
      <c r="SJ229" s="25"/>
      <c r="SK229" s="25"/>
      <c r="SL229" s="25"/>
      <c r="SM229" s="25"/>
      <c r="SN229" s="25"/>
      <c r="SO229" s="25"/>
      <c r="SP229" s="25"/>
      <c r="SQ229" s="25"/>
      <c r="SR229" s="25"/>
      <c r="SS229" s="25"/>
      <c r="ST229" s="25"/>
      <c r="SU229" s="25"/>
      <c r="SV229" s="25"/>
      <c r="SW229" s="25"/>
      <c r="SX229" s="25"/>
      <c r="SY229" s="25"/>
      <c r="SZ229" s="25"/>
      <c r="TA229" s="25"/>
      <c r="TB229" s="25"/>
      <c r="TC229" s="25"/>
      <c r="TD229" s="25"/>
      <c r="TE229" s="25"/>
      <c r="TF229" s="25"/>
      <c r="TG229" s="25"/>
      <c r="TH229" s="25"/>
      <c r="TI229" s="25"/>
      <c r="TJ229" s="25"/>
      <c r="TK229" s="25"/>
      <c r="TL229" s="25"/>
      <c r="TM229" s="25"/>
      <c r="TN229" s="25"/>
      <c r="TO229" s="25"/>
      <c r="TP229" s="25"/>
      <c r="TQ229" s="25"/>
      <c r="TR229" s="25"/>
      <c r="TS229" s="25"/>
      <c r="TT229" s="25"/>
      <c r="TU229" s="25"/>
      <c r="TV229" s="25"/>
      <c r="TW229" s="25"/>
      <c r="TX229" s="25"/>
      <c r="TY229" s="25"/>
      <c r="TZ229" s="25"/>
      <c r="UA229" s="25"/>
      <c r="UB229" s="25"/>
      <c r="UC229" s="25"/>
      <c r="UD229" s="25"/>
      <c r="UE229" s="25"/>
      <c r="UF229" s="25"/>
      <c r="UG229" s="26"/>
    </row>
    <row r="230" spans="1:553" ht="30" customHeight="1">
      <c r="A230" s="356" t="s">
        <v>15</v>
      </c>
      <c r="B230" s="366" t="s">
        <v>251</v>
      </c>
      <c r="C230" s="1404" t="s">
        <v>898</v>
      </c>
      <c r="D230" s="1389"/>
      <c r="E230" s="1389"/>
      <c r="F230" s="1390"/>
      <c r="G230" s="386" t="s">
        <v>34</v>
      </c>
      <c r="H230" s="370"/>
      <c r="I230" s="422">
        <f>(1.6+1.3)*1.7*0.11</f>
        <v>0.54230000000000012</v>
      </c>
      <c r="J230" s="368">
        <v>1913917</v>
      </c>
      <c r="K230" s="371"/>
      <c r="L230" s="391">
        <f t="shared" ref="L230:L231" si="48">I230*J230</f>
        <v>1037917.1891000002</v>
      </c>
      <c r="M230" s="391"/>
      <c r="N230" s="391"/>
      <c r="O230" s="391"/>
      <c r="P230" s="391"/>
      <c r="Q230" s="1444"/>
      <c r="R230" s="1226"/>
      <c r="S230" s="308"/>
      <c r="T230" s="303"/>
      <c r="U230" s="306"/>
      <c r="V230" s="307"/>
      <c r="W230" s="307"/>
      <c r="X230" s="307"/>
      <c r="Y230" s="307"/>
      <c r="Z230" s="307"/>
      <c r="AA230" s="307"/>
      <c r="AB230" s="307"/>
      <c r="AC230" s="449"/>
      <c r="AD230" s="449"/>
      <c r="AE230" s="449"/>
      <c r="AF230" s="449"/>
      <c r="AG230" s="449"/>
      <c r="AH230" s="449"/>
      <c r="AI230" s="449"/>
      <c r="AJ230" s="449"/>
      <c r="AK230" s="452"/>
      <c r="AL230" s="104"/>
      <c r="AM230" s="32"/>
      <c r="AN230" s="32"/>
      <c r="AO230" s="32"/>
      <c r="AP230" s="32"/>
      <c r="AQ230" s="32"/>
      <c r="AR230" s="32"/>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31"/>
      <c r="EF230" s="31"/>
      <c r="EG230" s="31"/>
      <c r="EH230" s="31"/>
      <c r="EI230" s="31"/>
      <c r="EJ230" s="31"/>
      <c r="EK230" s="31"/>
      <c r="EL230" s="31"/>
      <c r="EM230" s="31"/>
      <c r="EN230" s="31"/>
      <c r="EO230" s="31"/>
      <c r="EP230" s="31"/>
      <c r="EQ230" s="31"/>
      <c r="ER230" s="31"/>
      <c r="ES230" s="31"/>
      <c r="ET230" s="31"/>
      <c r="EU230" s="31"/>
      <c r="EV230" s="31"/>
      <c r="EW230" s="31"/>
      <c r="EX230" s="31"/>
      <c r="EY230" s="31"/>
      <c r="EZ230" s="31"/>
      <c r="FA230" s="31"/>
      <c r="FB230" s="31"/>
      <c r="FC230" s="31"/>
      <c r="FD230" s="31"/>
      <c r="FE230" s="31"/>
      <c r="FF230" s="31"/>
      <c r="FG230" s="31"/>
      <c r="FH230" s="31"/>
      <c r="FI230" s="31"/>
      <c r="FJ230" s="31"/>
      <c r="FK230" s="31"/>
      <c r="FL230" s="31"/>
      <c r="FM230" s="31"/>
      <c r="FN230" s="31"/>
      <c r="FO230" s="31"/>
      <c r="FP230" s="31"/>
      <c r="FQ230" s="31"/>
      <c r="FR230" s="31"/>
      <c r="FS230" s="31"/>
      <c r="FT230" s="31"/>
      <c r="FU230" s="31"/>
      <c r="FV230" s="31"/>
      <c r="FW230" s="31"/>
      <c r="FX230" s="31"/>
      <c r="FY230" s="31"/>
      <c r="FZ230" s="31"/>
      <c r="GA230" s="31"/>
      <c r="GB230" s="31"/>
      <c r="GC230" s="31"/>
      <c r="GD230" s="31"/>
      <c r="GE230" s="31"/>
      <c r="GF230" s="31"/>
      <c r="GG230" s="31"/>
      <c r="GH230" s="31"/>
      <c r="GI230" s="31"/>
      <c r="GJ230" s="31"/>
      <c r="GK230" s="31"/>
      <c r="GL230" s="31"/>
      <c r="GM230" s="31"/>
      <c r="GN230" s="31"/>
      <c r="GO230" s="31"/>
      <c r="GP230" s="31"/>
      <c r="GQ230" s="31"/>
      <c r="GR230" s="31"/>
      <c r="GS230" s="31"/>
      <c r="GT230" s="31"/>
      <c r="GU230" s="31"/>
      <c r="GV230" s="31"/>
      <c r="GW230" s="31"/>
      <c r="GX230" s="31"/>
      <c r="GY230" s="31"/>
      <c r="GZ230" s="31"/>
      <c r="HA230" s="31"/>
      <c r="HB230" s="31"/>
      <c r="HC230" s="31"/>
      <c r="HD230" s="31"/>
      <c r="HE230" s="31"/>
      <c r="HF230" s="31"/>
      <c r="HG230" s="31"/>
      <c r="HH230" s="31"/>
      <c r="HI230" s="31"/>
      <c r="HJ230" s="31"/>
      <c r="HK230" s="31"/>
      <c r="HL230" s="31"/>
      <c r="HM230" s="31"/>
      <c r="HN230" s="31"/>
      <c r="HO230" s="31"/>
      <c r="HP230" s="31"/>
      <c r="HQ230" s="31"/>
      <c r="HR230" s="31"/>
      <c r="HS230" s="31"/>
      <c r="HT230" s="31"/>
      <c r="HU230" s="31"/>
      <c r="HV230" s="31"/>
      <c r="HW230" s="31"/>
      <c r="HX230" s="31"/>
      <c r="HY230" s="31"/>
      <c r="HZ230" s="31"/>
      <c r="IA230" s="31"/>
      <c r="IB230" s="31"/>
      <c r="IC230" s="31"/>
      <c r="ID230" s="31"/>
      <c r="IE230" s="31"/>
      <c r="IF230" s="31"/>
      <c r="IG230" s="31"/>
      <c r="IH230" s="31"/>
      <c r="II230" s="31"/>
      <c r="IJ230" s="31"/>
      <c r="IK230" s="31"/>
      <c r="IL230" s="31"/>
      <c r="IM230" s="31"/>
      <c r="IN230" s="31"/>
      <c r="IO230" s="31"/>
      <c r="IP230" s="31"/>
      <c r="IQ230" s="31"/>
      <c r="IR230" s="31"/>
      <c r="IS230" s="31"/>
      <c r="IT230" s="31"/>
      <c r="IU230" s="31"/>
      <c r="IV230" s="31"/>
      <c r="IW230" s="31"/>
      <c r="IX230" s="31"/>
      <c r="IY230" s="31"/>
      <c r="IZ230" s="31"/>
      <c r="JA230" s="31"/>
      <c r="JB230" s="31"/>
      <c r="JC230" s="31"/>
      <c r="JD230" s="31"/>
      <c r="JE230" s="31"/>
      <c r="JF230" s="31"/>
      <c r="JG230" s="31"/>
      <c r="JH230" s="31"/>
      <c r="JI230" s="31"/>
      <c r="JJ230" s="31"/>
      <c r="JK230" s="31"/>
      <c r="JL230" s="31"/>
      <c r="JM230" s="31"/>
      <c r="JN230" s="31"/>
      <c r="JO230" s="31"/>
      <c r="JP230" s="31"/>
      <c r="JQ230" s="31"/>
      <c r="JR230" s="31"/>
      <c r="JS230" s="31"/>
      <c r="JT230" s="31"/>
      <c r="JU230" s="31"/>
      <c r="JV230" s="31"/>
      <c r="JW230" s="31"/>
      <c r="JX230" s="31"/>
      <c r="JY230" s="31"/>
      <c r="JZ230" s="31"/>
      <c r="KA230" s="31"/>
      <c r="KB230" s="31"/>
      <c r="KC230" s="31"/>
      <c r="KD230" s="31"/>
      <c r="KE230" s="31"/>
      <c r="KF230" s="31"/>
      <c r="KG230" s="31"/>
      <c r="KH230" s="31"/>
      <c r="KI230" s="31"/>
      <c r="KJ230" s="31"/>
      <c r="KK230" s="31"/>
      <c r="KL230" s="31"/>
      <c r="KM230" s="31"/>
      <c r="KN230" s="31"/>
      <c r="KO230" s="31"/>
      <c r="KP230" s="31"/>
      <c r="KQ230" s="31"/>
      <c r="KR230" s="31"/>
      <c r="KS230" s="31"/>
      <c r="KT230" s="31"/>
      <c r="KU230" s="31"/>
      <c r="KV230" s="31"/>
      <c r="KW230" s="31"/>
      <c r="KX230" s="31"/>
      <c r="KY230" s="31"/>
      <c r="KZ230" s="31"/>
      <c r="LA230" s="31"/>
      <c r="LB230" s="31"/>
      <c r="LC230" s="31"/>
      <c r="LD230" s="31"/>
      <c r="LE230" s="31"/>
      <c r="LF230" s="31"/>
      <c r="LG230" s="31"/>
      <c r="LH230" s="31"/>
      <c r="LI230" s="31"/>
      <c r="LJ230" s="31"/>
      <c r="LK230" s="31"/>
      <c r="LL230" s="31"/>
      <c r="LM230" s="31"/>
      <c r="LN230" s="31"/>
      <c r="LO230" s="31"/>
      <c r="LP230" s="31"/>
      <c r="LQ230" s="31"/>
      <c r="LR230" s="31"/>
      <c r="LS230" s="31"/>
      <c r="LT230" s="31"/>
      <c r="LU230" s="31"/>
      <c r="LV230" s="31"/>
      <c r="LW230" s="31"/>
      <c r="LX230" s="31"/>
      <c r="LY230" s="31"/>
      <c r="LZ230" s="31"/>
      <c r="MA230" s="31"/>
      <c r="MB230" s="31"/>
      <c r="MC230" s="31"/>
      <c r="MD230" s="31"/>
      <c r="ME230" s="31"/>
      <c r="MF230" s="31"/>
      <c r="MG230" s="31"/>
      <c r="MH230" s="31"/>
      <c r="MI230" s="31"/>
      <c r="MJ230" s="31"/>
      <c r="MK230" s="31"/>
      <c r="ML230" s="31"/>
      <c r="MM230" s="31"/>
      <c r="MN230" s="31"/>
      <c r="MO230" s="31"/>
      <c r="MP230" s="31"/>
      <c r="MQ230" s="31"/>
      <c r="MR230" s="31"/>
      <c r="MS230" s="31"/>
      <c r="MT230" s="31"/>
      <c r="MU230" s="31"/>
      <c r="MV230" s="31"/>
      <c r="MW230" s="31"/>
      <c r="MX230" s="31"/>
      <c r="MY230" s="31"/>
      <c r="MZ230" s="31"/>
      <c r="NA230" s="31"/>
      <c r="NB230" s="31"/>
      <c r="NC230" s="31"/>
      <c r="ND230" s="31"/>
      <c r="NE230" s="31"/>
      <c r="NF230" s="31"/>
      <c r="NG230" s="31"/>
      <c r="NH230" s="31"/>
      <c r="NI230" s="31"/>
      <c r="NJ230" s="31"/>
      <c r="NK230" s="31"/>
      <c r="NL230" s="31"/>
      <c r="NM230" s="31"/>
      <c r="NN230" s="31"/>
      <c r="NO230" s="31"/>
      <c r="NP230" s="31"/>
      <c r="NQ230" s="31"/>
      <c r="NR230" s="31"/>
      <c r="NS230" s="31"/>
      <c r="NT230" s="31"/>
      <c r="NU230" s="31"/>
      <c r="NV230" s="31"/>
      <c r="NW230" s="31"/>
      <c r="NX230" s="31"/>
      <c r="NY230" s="31"/>
      <c r="NZ230" s="31"/>
      <c r="OA230" s="31"/>
      <c r="OB230" s="31"/>
      <c r="OC230" s="31"/>
      <c r="OD230" s="31"/>
      <c r="OE230" s="31"/>
      <c r="OF230" s="31"/>
      <c r="OG230" s="31"/>
      <c r="OH230" s="31"/>
      <c r="OI230" s="31"/>
      <c r="OJ230" s="31"/>
      <c r="OK230" s="31"/>
      <c r="OL230" s="31"/>
      <c r="OM230" s="31"/>
      <c r="ON230" s="31"/>
      <c r="OO230" s="31"/>
      <c r="OP230" s="31"/>
      <c r="OQ230" s="31"/>
      <c r="OR230" s="31"/>
      <c r="OS230" s="31"/>
      <c r="OT230" s="31"/>
      <c r="OU230" s="31"/>
      <c r="OV230" s="31"/>
      <c r="OW230" s="31"/>
      <c r="OX230" s="31"/>
      <c r="OY230" s="31"/>
      <c r="OZ230" s="31"/>
      <c r="PA230" s="31"/>
      <c r="PB230" s="31"/>
      <c r="PC230" s="31"/>
      <c r="PD230" s="31"/>
      <c r="PE230" s="31"/>
      <c r="PF230" s="31"/>
      <c r="PG230" s="31"/>
      <c r="PH230" s="31"/>
      <c r="PI230" s="31"/>
      <c r="PJ230" s="31"/>
      <c r="PK230" s="31"/>
      <c r="PL230" s="31"/>
      <c r="PM230" s="31"/>
      <c r="PN230" s="31"/>
      <c r="PO230" s="31"/>
      <c r="PP230" s="31"/>
      <c r="PQ230" s="31"/>
      <c r="PR230" s="31"/>
      <c r="PS230" s="31"/>
      <c r="PT230" s="31"/>
      <c r="PU230" s="31"/>
      <c r="PV230" s="31"/>
      <c r="PW230" s="31"/>
      <c r="PX230" s="31"/>
      <c r="PY230" s="31"/>
      <c r="PZ230" s="31"/>
      <c r="QA230" s="31"/>
      <c r="QB230" s="31"/>
      <c r="QC230" s="31"/>
      <c r="QD230" s="31"/>
      <c r="QE230" s="31"/>
      <c r="QF230" s="31"/>
      <c r="QG230" s="31"/>
      <c r="QH230" s="31"/>
      <c r="QI230" s="31"/>
      <c r="QJ230" s="31"/>
      <c r="QK230" s="31"/>
      <c r="QL230" s="31"/>
      <c r="QM230" s="31"/>
      <c r="QN230" s="31"/>
      <c r="QO230" s="31"/>
      <c r="QP230" s="31"/>
      <c r="QQ230" s="31"/>
      <c r="QR230" s="31"/>
      <c r="QS230" s="31"/>
      <c r="QT230" s="31"/>
      <c r="QU230" s="31"/>
      <c r="QV230" s="31"/>
      <c r="QW230" s="31"/>
      <c r="QX230" s="31"/>
      <c r="QY230" s="31"/>
      <c r="QZ230" s="31"/>
      <c r="RA230" s="31"/>
      <c r="RB230" s="31"/>
      <c r="RC230" s="31"/>
      <c r="RD230" s="31"/>
      <c r="RE230" s="31"/>
      <c r="RF230" s="31"/>
      <c r="RG230" s="31"/>
      <c r="RH230" s="31"/>
      <c r="RI230" s="31"/>
      <c r="RJ230" s="31"/>
      <c r="RK230" s="31"/>
      <c r="RL230" s="31"/>
      <c r="RM230" s="31"/>
      <c r="RN230" s="31"/>
      <c r="RO230" s="31"/>
      <c r="RP230" s="31"/>
      <c r="RQ230" s="31"/>
      <c r="RR230" s="31"/>
      <c r="RS230" s="31"/>
      <c r="RT230" s="31"/>
      <c r="RU230" s="31"/>
      <c r="RV230" s="31"/>
      <c r="RW230" s="31"/>
      <c r="RX230" s="31"/>
      <c r="RY230" s="31"/>
      <c r="RZ230" s="31"/>
      <c r="SA230" s="31"/>
      <c r="SB230" s="31"/>
      <c r="SC230" s="31"/>
      <c r="SD230" s="31"/>
      <c r="SE230" s="31"/>
      <c r="SF230" s="31"/>
      <c r="SG230" s="31"/>
      <c r="SH230" s="31"/>
      <c r="SI230" s="31"/>
      <c r="SJ230" s="31"/>
      <c r="SK230" s="31"/>
      <c r="SL230" s="31"/>
      <c r="SM230" s="31"/>
      <c r="SN230" s="31"/>
      <c r="SO230" s="31"/>
      <c r="SP230" s="31"/>
      <c r="SQ230" s="31"/>
      <c r="SR230" s="31"/>
      <c r="SS230" s="31"/>
      <c r="ST230" s="31"/>
      <c r="SU230" s="31"/>
      <c r="SV230" s="31"/>
      <c r="SW230" s="31"/>
      <c r="SX230" s="31"/>
      <c r="SY230" s="31"/>
      <c r="SZ230" s="31"/>
      <c r="TA230" s="31"/>
      <c r="TB230" s="31"/>
      <c r="TC230" s="31"/>
      <c r="TD230" s="31"/>
      <c r="TE230" s="31"/>
      <c r="TF230" s="31"/>
      <c r="TG230" s="31"/>
      <c r="TH230" s="31"/>
      <c r="TI230" s="31"/>
      <c r="TJ230" s="31"/>
      <c r="TK230" s="31"/>
      <c r="TL230" s="31"/>
      <c r="TM230" s="31"/>
      <c r="TN230" s="31"/>
      <c r="TO230" s="31"/>
      <c r="TP230" s="31"/>
      <c r="TQ230" s="31"/>
      <c r="TR230" s="31"/>
      <c r="TS230" s="31"/>
      <c r="TT230" s="31"/>
      <c r="TU230" s="31"/>
      <c r="TV230" s="31"/>
      <c r="TW230" s="31"/>
      <c r="TX230" s="31"/>
      <c r="TY230" s="31"/>
      <c r="TZ230" s="31"/>
      <c r="UA230" s="31"/>
      <c r="UB230" s="31"/>
      <c r="UC230" s="31"/>
      <c r="UD230" s="31"/>
      <c r="UE230" s="31"/>
      <c r="UF230" s="31"/>
      <c r="UG230" s="33"/>
    </row>
    <row r="231" spans="1:553" ht="30" customHeight="1">
      <c r="A231" s="356" t="s">
        <v>15</v>
      </c>
      <c r="B231" s="366" t="s">
        <v>252</v>
      </c>
      <c r="C231" s="1404" t="s">
        <v>253</v>
      </c>
      <c r="D231" s="1389"/>
      <c r="E231" s="1389"/>
      <c r="F231" s="1390"/>
      <c r="G231" s="386" t="s">
        <v>113</v>
      </c>
      <c r="H231" s="370"/>
      <c r="I231" s="422">
        <f>80+120+80+20</f>
        <v>300</v>
      </c>
      <c r="J231" s="368">
        <v>114600</v>
      </c>
      <c r="K231" s="371"/>
      <c r="L231" s="391">
        <f t="shared" si="48"/>
        <v>34380000</v>
      </c>
      <c r="M231" s="391"/>
      <c r="N231" s="391"/>
      <c r="O231" s="391"/>
      <c r="P231" s="391"/>
      <c r="Q231" s="1445"/>
      <c r="R231" s="1226"/>
      <c r="S231" s="308"/>
      <c r="T231" s="303"/>
      <c r="U231" s="306"/>
      <c r="V231" s="307"/>
      <c r="W231" s="307"/>
      <c r="X231" s="307"/>
      <c r="Y231" s="307"/>
      <c r="Z231" s="307"/>
      <c r="AA231" s="307"/>
      <c r="AB231" s="307"/>
      <c r="AC231" s="449"/>
      <c r="AD231" s="449"/>
      <c r="AE231" s="449"/>
      <c r="AF231" s="449"/>
      <c r="AG231" s="449"/>
      <c r="AH231" s="449"/>
      <c r="AI231" s="449"/>
      <c r="AJ231" s="449"/>
      <c r="AK231" s="452"/>
      <c r="AL231" s="104"/>
      <c r="AM231" s="32"/>
      <c r="AN231" s="32"/>
      <c r="AO231" s="32"/>
      <c r="AP231" s="32"/>
      <c r="AQ231" s="32"/>
      <c r="AR231" s="32"/>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31"/>
      <c r="EF231" s="31"/>
      <c r="EG231" s="31"/>
      <c r="EH231" s="31"/>
      <c r="EI231" s="31"/>
      <c r="EJ231" s="31"/>
      <c r="EK231" s="31"/>
      <c r="EL231" s="31"/>
      <c r="EM231" s="31"/>
      <c r="EN231" s="31"/>
      <c r="EO231" s="31"/>
      <c r="EP231" s="31"/>
      <c r="EQ231" s="31"/>
      <c r="ER231" s="31"/>
      <c r="ES231" s="31"/>
      <c r="ET231" s="31"/>
      <c r="EU231" s="31"/>
      <c r="EV231" s="31"/>
      <c r="EW231" s="31"/>
      <c r="EX231" s="31"/>
      <c r="EY231" s="31"/>
      <c r="EZ231" s="31"/>
      <c r="FA231" s="31"/>
      <c r="FB231" s="31"/>
      <c r="FC231" s="31"/>
      <c r="FD231" s="31"/>
      <c r="FE231" s="31"/>
      <c r="FF231" s="31"/>
      <c r="FG231" s="31"/>
      <c r="FH231" s="31"/>
      <c r="FI231" s="31"/>
      <c r="FJ231" s="31"/>
      <c r="FK231" s="31"/>
      <c r="FL231" s="31"/>
      <c r="FM231" s="31"/>
      <c r="FN231" s="31"/>
      <c r="FO231" s="31"/>
      <c r="FP231" s="31"/>
      <c r="FQ231" s="31"/>
      <c r="FR231" s="31"/>
      <c r="FS231" s="31"/>
      <c r="FT231" s="31"/>
      <c r="FU231" s="31"/>
      <c r="FV231" s="31"/>
      <c r="FW231" s="31"/>
      <c r="FX231" s="31"/>
      <c r="FY231" s="31"/>
      <c r="FZ231" s="31"/>
      <c r="GA231" s="31"/>
      <c r="GB231" s="31"/>
      <c r="GC231" s="31"/>
      <c r="GD231" s="31"/>
      <c r="GE231" s="31"/>
      <c r="GF231" s="31"/>
      <c r="GG231" s="31"/>
      <c r="GH231" s="31"/>
      <c r="GI231" s="31"/>
      <c r="GJ231" s="31"/>
      <c r="GK231" s="31"/>
      <c r="GL231" s="31"/>
      <c r="GM231" s="31"/>
      <c r="GN231" s="31"/>
      <c r="GO231" s="31"/>
      <c r="GP231" s="31"/>
      <c r="GQ231" s="31"/>
      <c r="GR231" s="31"/>
      <c r="GS231" s="31"/>
      <c r="GT231" s="31"/>
      <c r="GU231" s="31"/>
      <c r="GV231" s="31"/>
      <c r="GW231" s="31"/>
      <c r="GX231" s="31"/>
      <c r="GY231" s="31"/>
      <c r="GZ231" s="31"/>
      <c r="HA231" s="31"/>
      <c r="HB231" s="31"/>
      <c r="HC231" s="31"/>
      <c r="HD231" s="31"/>
      <c r="HE231" s="31"/>
      <c r="HF231" s="31"/>
      <c r="HG231" s="31"/>
      <c r="HH231" s="31"/>
      <c r="HI231" s="31"/>
      <c r="HJ231" s="31"/>
      <c r="HK231" s="31"/>
      <c r="HL231" s="31"/>
      <c r="HM231" s="31"/>
      <c r="HN231" s="31"/>
      <c r="HO231" s="31"/>
      <c r="HP231" s="31"/>
      <c r="HQ231" s="31"/>
      <c r="HR231" s="31"/>
      <c r="HS231" s="31"/>
      <c r="HT231" s="31"/>
      <c r="HU231" s="31"/>
      <c r="HV231" s="31"/>
      <c r="HW231" s="31"/>
      <c r="HX231" s="31"/>
      <c r="HY231" s="31"/>
      <c r="HZ231" s="31"/>
      <c r="IA231" s="31"/>
      <c r="IB231" s="31"/>
      <c r="IC231" s="31"/>
      <c r="ID231" s="31"/>
      <c r="IE231" s="31"/>
      <c r="IF231" s="31"/>
      <c r="IG231" s="31"/>
      <c r="IH231" s="31"/>
      <c r="II231" s="31"/>
      <c r="IJ231" s="31"/>
      <c r="IK231" s="31"/>
      <c r="IL231" s="31"/>
      <c r="IM231" s="31"/>
      <c r="IN231" s="31"/>
      <c r="IO231" s="31"/>
      <c r="IP231" s="31"/>
      <c r="IQ231" s="31"/>
      <c r="IR231" s="31"/>
      <c r="IS231" s="31"/>
      <c r="IT231" s="31"/>
      <c r="IU231" s="31"/>
      <c r="IV231" s="31"/>
      <c r="IW231" s="31"/>
      <c r="IX231" s="31"/>
      <c r="IY231" s="31"/>
      <c r="IZ231" s="31"/>
      <c r="JA231" s="31"/>
      <c r="JB231" s="31"/>
      <c r="JC231" s="31"/>
      <c r="JD231" s="31"/>
      <c r="JE231" s="31"/>
      <c r="JF231" s="31"/>
      <c r="JG231" s="31"/>
      <c r="JH231" s="31"/>
      <c r="JI231" s="31"/>
      <c r="JJ231" s="31"/>
      <c r="JK231" s="31"/>
      <c r="JL231" s="31"/>
      <c r="JM231" s="31"/>
      <c r="JN231" s="31"/>
      <c r="JO231" s="31"/>
      <c r="JP231" s="31"/>
      <c r="JQ231" s="31"/>
      <c r="JR231" s="31"/>
      <c r="JS231" s="31"/>
      <c r="JT231" s="31"/>
      <c r="JU231" s="31"/>
      <c r="JV231" s="31"/>
      <c r="JW231" s="31"/>
      <c r="JX231" s="31"/>
      <c r="JY231" s="31"/>
      <c r="JZ231" s="31"/>
      <c r="KA231" s="31"/>
      <c r="KB231" s="31"/>
      <c r="KC231" s="31"/>
      <c r="KD231" s="31"/>
      <c r="KE231" s="31"/>
      <c r="KF231" s="31"/>
      <c r="KG231" s="31"/>
      <c r="KH231" s="31"/>
      <c r="KI231" s="31"/>
      <c r="KJ231" s="31"/>
      <c r="KK231" s="31"/>
      <c r="KL231" s="31"/>
      <c r="KM231" s="31"/>
      <c r="KN231" s="31"/>
      <c r="KO231" s="31"/>
      <c r="KP231" s="31"/>
      <c r="KQ231" s="31"/>
      <c r="KR231" s="31"/>
      <c r="KS231" s="31"/>
      <c r="KT231" s="31"/>
      <c r="KU231" s="31"/>
      <c r="KV231" s="31"/>
      <c r="KW231" s="31"/>
      <c r="KX231" s="31"/>
      <c r="KY231" s="31"/>
      <c r="KZ231" s="31"/>
      <c r="LA231" s="31"/>
      <c r="LB231" s="31"/>
      <c r="LC231" s="31"/>
      <c r="LD231" s="31"/>
      <c r="LE231" s="31"/>
      <c r="LF231" s="31"/>
      <c r="LG231" s="31"/>
      <c r="LH231" s="31"/>
      <c r="LI231" s="31"/>
      <c r="LJ231" s="31"/>
      <c r="LK231" s="31"/>
      <c r="LL231" s="31"/>
      <c r="LM231" s="31"/>
      <c r="LN231" s="31"/>
      <c r="LO231" s="31"/>
      <c r="LP231" s="31"/>
      <c r="LQ231" s="31"/>
      <c r="LR231" s="31"/>
      <c r="LS231" s="31"/>
      <c r="LT231" s="31"/>
      <c r="LU231" s="31"/>
      <c r="LV231" s="31"/>
      <c r="LW231" s="31"/>
      <c r="LX231" s="31"/>
      <c r="LY231" s="31"/>
      <c r="LZ231" s="31"/>
      <c r="MA231" s="31"/>
      <c r="MB231" s="31"/>
      <c r="MC231" s="31"/>
      <c r="MD231" s="31"/>
      <c r="ME231" s="31"/>
      <c r="MF231" s="31"/>
      <c r="MG231" s="31"/>
      <c r="MH231" s="31"/>
      <c r="MI231" s="31"/>
      <c r="MJ231" s="31"/>
      <c r="MK231" s="31"/>
      <c r="ML231" s="31"/>
      <c r="MM231" s="31"/>
      <c r="MN231" s="31"/>
      <c r="MO231" s="31"/>
      <c r="MP231" s="31"/>
      <c r="MQ231" s="31"/>
      <c r="MR231" s="31"/>
      <c r="MS231" s="31"/>
      <c r="MT231" s="31"/>
      <c r="MU231" s="31"/>
      <c r="MV231" s="31"/>
      <c r="MW231" s="31"/>
      <c r="MX231" s="31"/>
      <c r="MY231" s="31"/>
      <c r="MZ231" s="31"/>
      <c r="NA231" s="31"/>
      <c r="NB231" s="31"/>
      <c r="NC231" s="31"/>
      <c r="ND231" s="31"/>
      <c r="NE231" s="31"/>
      <c r="NF231" s="31"/>
      <c r="NG231" s="31"/>
      <c r="NH231" s="31"/>
      <c r="NI231" s="31"/>
      <c r="NJ231" s="31"/>
      <c r="NK231" s="31"/>
      <c r="NL231" s="31"/>
      <c r="NM231" s="31"/>
      <c r="NN231" s="31"/>
      <c r="NO231" s="31"/>
      <c r="NP231" s="31"/>
      <c r="NQ231" s="31"/>
      <c r="NR231" s="31"/>
      <c r="NS231" s="31"/>
      <c r="NT231" s="31"/>
      <c r="NU231" s="31"/>
      <c r="NV231" s="31"/>
      <c r="NW231" s="31"/>
      <c r="NX231" s="31"/>
      <c r="NY231" s="31"/>
      <c r="NZ231" s="31"/>
      <c r="OA231" s="31"/>
      <c r="OB231" s="31"/>
      <c r="OC231" s="31"/>
      <c r="OD231" s="31"/>
      <c r="OE231" s="31"/>
      <c r="OF231" s="31"/>
      <c r="OG231" s="31"/>
      <c r="OH231" s="31"/>
      <c r="OI231" s="31"/>
      <c r="OJ231" s="31"/>
      <c r="OK231" s="31"/>
      <c r="OL231" s="31"/>
      <c r="OM231" s="31"/>
      <c r="ON231" s="31"/>
      <c r="OO231" s="31"/>
      <c r="OP231" s="31"/>
      <c r="OQ231" s="31"/>
      <c r="OR231" s="31"/>
      <c r="OS231" s="31"/>
      <c r="OT231" s="31"/>
      <c r="OU231" s="31"/>
      <c r="OV231" s="31"/>
      <c r="OW231" s="31"/>
      <c r="OX231" s="31"/>
      <c r="OY231" s="31"/>
      <c r="OZ231" s="31"/>
      <c r="PA231" s="31"/>
      <c r="PB231" s="31"/>
      <c r="PC231" s="31"/>
      <c r="PD231" s="31"/>
      <c r="PE231" s="31"/>
      <c r="PF231" s="31"/>
      <c r="PG231" s="31"/>
      <c r="PH231" s="31"/>
      <c r="PI231" s="31"/>
      <c r="PJ231" s="31"/>
      <c r="PK231" s="31"/>
      <c r="PL231" s="31"/>
      <c r="PM231" s="31"/>
      <c r="PN231" s="31"/>
      <c r="PO231" s="31"/>
      <c r="PP231" s="31"/>
      <c r="PQ231" s="31"/>
      <c r="PR231" s="31"/>
      <c r="PS231" s="31"/>
      <c r="PT231" s="31"/>
      <c r="PU231" s="31"/>
      <c r="PV231" s="31"/>
      <c r="PW231" s="31"/>
      <c r="PX231" s="31"/>
      <c r="PY231" s="31"/>
      <c r="PZ231" s="31"/>
      <c r="QA231" s="31"/>
      <c r="QB231" s="31"/>
      <c r="QC231" s="31"/>
      <c r="QD231" s="31"/>
      <c r="QE231" s="31"/>
      <c r="QF231" s="31"/>
      <c r="QG231" s="31"/>
      <c r="QH231" s="31"/>
      <c r="QI231" s="31"/>
      <c r="QJ231" s="31"/>
      <c r="QK231" s="31"/>
      <c r="QL231" s="31"/>
      <c r="QM231" s="31"/>
      <c r="QN231" s="31"/>
      <c r="QO231" s="31"/>
      <c r="QP231" s="31"/>
      <c r="QQ231" s="31"/>
      <c r="QR231" s="31"/>
      <c r="QS231" s="31"/>
      <c r="QT231" s="31"/>
      <c r="QU231" s="31"/>
      <c r="QV231" s="31"/>
      <c r="QW231" s="31"/>
      <c r="QX231" s="31"/>
      <c r="QY231" s="31"/>
      <c r="QZ231" s="31"/>
      <c r="RA231" s="31"/>
      <c r="RB231" s="31"/>
      <c r="RC231" s="31"/>
      <c r="RD231" s="31"/>
      <c r="RE231" s="31"/>
      <c r="RF231" s="31"/>
      <c r="RG231" s="31"/>
      <c r="RH231" s="31"/>
      <c r="RI231" s="31"/>
      <c r="RJ231" s="31"/>
      <c r="RK231" s="31"/>
      <c r="RL231" s="31"/>
      <c r="RM231" s="31"/>
      <c r="RN231" s="31"/>
      <c r="RO231" s="31"/>
      <c r="RP231" s="31"/>
      <c r="RQ231" s="31"/>
      <c r="RR231" s="31"/>
      <c r="RS231" s="31"/>
      <c r="RT231" s="31"/>
      <c r="RU231" s="31"/>
      <c r="RV231" s="31"/>
      <c r="RW231" s="31"/>
      <c r="RX231" s="31"/>
      <c r="RY231" s="31"/>
      <c r="RZ231" s="31"/>
      <c r="SA231" s="31"/>
      <c r="SB231" s="31"/>
      <c r="SC231" s="31"/>
      <c r="SD231" s="31"/>
      <c r="SE231" s="31"/>
      <c r="SF231" s="31"/>
      <c r="SG231" s="31"/>
      <c r="SH231" s="31"/>
      <c r="SI231" s="31"/>
      <c r="SJ231" s="31"/>
      <c r="SK231" s="31"/>
      <c r="SL231" s="31"/>
      <c r="SM231" s="31"/>
      <c r="SN231" s="31"/>
      <c r="SO231" s="31"/>
      <c r="SP231" s="31"/>
      <c r="SQ231" s="31"/>
      <c r="SR231" s="31"/>
      <c r="SS231" s="31"/>
      <c r="ST231" s="31"/>
      <c r="SU231" s="31"/>
      <c r="SV231" s="31"/>
      <c r="SW231" s="31"/>
      <c r="SX231" s="31"/>
      <c r="SY231" s="31"/>
      <c r="SZ231" s="31"/>
      <c r="TA231" s="31"/>
      <c r="TB231" s="31"/>
      <c r="TC231" s="31"/>
      <c r="TD231" s="31"/>
      <c r="TE231" s="31"/>
      <c r="TF231" s="31"/>
      <c r="TG231" s="31"/>
      <c r="TH231" s="31"/>
      <c r="TI231" s="31"/>
      <c r="TJ231" s="31"/>
      <c r="TK231" s="31"/>
      <c r="TL231" s="31"/>
      <c r="TM231" s="31"/>
      <c r="TN231" s="31"/>
      <c r="TO231" s="31"/>
      <c r="TP231" s="31"/>
      <c r="TQ231" s="31"/>
      <c r="TR231" s="31"/>
      <c r="TS231" s="31"/>
      <c r="TT231" s="31"/>
      <c r="TU231" s="31"/>
      <c r="TV231" s="31"/>
      <c r="TW231" s="31"/>
      <c r="TX231" s="31"/>
      <c r="TY231" s="31"/>
      <c r="TZ231" s="31"/>
      <c r="UA231" s="31"/>
      <c r="UB231" s="31"/>
      <c r="UC231" s="31"/>
      <c r="UD231" s="31"/>
      <c r="UE231" s="31"/>
      <c r="UF231" s="31"/>
      <c r="UG231" s="33"/>
    </row>
    <row r="232" spans="1:553" ht="30" customHeight="1">
      <c r="A232" s="366" t="s">
        <v>15</v>
      </c>
      <c r="B232" s="366" t="s">
        <v>252</v>
      </c>
      <c r="C232" s="427" t="s">
        <v>254</v>
      </c>
      <c r="D232" s="376">
        <v>2</v>
      </c>
      <c r="E232" s="376">
        <v>424</v>
      </c>
      <c r="F232" s="385"/>
      <c r="G232" s="386" t="s">
        <v>113</v>
      </c>
      <c r="H232" s="370"/>
      <c r="I232" s="422">
        <v>120</v>
      </c>
      <c r="J232" s="368">
        <v>114600</v>
      </c>
      <c r="K232" s="388"/>
      <c r="L232" s="366">
        <f t="shared" ref="L232:L242" si="49">PRODUCT(I232:K232)</f>
        <v>13752000</v>
      </c>
      <c r="M232" s="366"/>
      <c r="N232" s="366"/>
      <c r="O232" s="366"/>
      <c r="P232" s="366"/>
      <c r="Q232" s="813"/>
      <c r="R232" s="411"/>
      <c r="S232" s="308"/>
      <c r="T232" s="303"/>
      <c r="U232" s="306"/>
      <c r="V232" s="307"/>
      <c r="W232" s="307"/>
      <c r="X232" s="307"/>
      <c r="Y232" s="307"/>
      <c r="Z232" s="307"/>
      <c r="AA232" s="307"/>
      <c r="AB232" s="307"/>
      <c r="AC232" s="454"/>
      <c r="AD232" s="455"/>
      <c r="AE232" s="455"/>
      <c r="AF232" s="455"/>
      <c r="AG232" s="455"/>
      <c r="AH232" s="455"/>
      <c r="AI232" s="455"/>
      <c r="AJ232" s="455"/>
      <c r="AK232" s="455"/>
      <c r="AL232" s="111"/>
      <c r="AM232" s="35"/>
      <c r="AN232" s="35"/>
      <c r="AO232" s="35"/>
      <c r="AP232" s="35"/>
      <c r="AQ232" s="35"/>
      <c r="AR232" s="35"/>
      <c r="AS232" s="35"/>
      <c r="AT232" s="35"/>
      <c r="AU232" s="35"/>
      <c r="AV232" s="35"/>
      <c r="AW232" s="35"/>
      <c r="AX232" s="35"/>
      <c r="AY232" s="35"/>
      <c r="AZ232" s="35"/>
      <c r="BA232" s="35"/>
      <c r="BB232" s="35"/>
      <c r="BC232" s="35"/>
      <c r="BD232" s="35"/>
      <c r="BE232" s="35"/>
      <c r="BF232" s="31"/>
      <c r="BG232" s="31"/>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1"/>
      <c r="DU232" s="31"/>
      <c r="DV232" s="31"/>
      <c r="DW232" s="31"/>
      <c r="DX232" s="31"/>
      <c r="DY232" s="31"/>
      <c r="DZ232" s="31"/>
      <c r="EA232" s="31"/>
      <c r="EB232" s="31"/>
      <c r="EC232" s="31"/>
      <c r="ED232" s="31"/>
      <c r="EE232" s="31"/>
      <c r="EF232" s="31"/>
      <c r="EG232" s="31"/>
      <c r="EH232" s="31"/>
      <c r="EI232" s="31"/>
      <c r="EJ232" s="31"/>
      <c r="EK232" s="31"/>
      <c r="EL232" s="31"/>
      <c r="EM232" s="31"/>
      <c r="EN232" s="31"/>
      <c r="EO232" s="31"/>
      <c r="EP232" s="31"/>
      <c r="EQ232" s="31"/>
      <c r="ER232" s="31"/>
      <c r="ES232" s="31"/>
      <c r="ET232" s="31"/>
      <c r="EU232" s="31"/>
      <c r="EV232" s="31"/>
      <c r="EW232" s="31"/>
      <c r="EX232" s="31"/>
      <c r="EY232" s="31"/>
      <c r="EZ232" s="31"/>
      <c r="FA232" s="31"/>
      <c r="FB232" s="31"/>
      <c r="FC232" s="31"/>
      <c r="FD232" s="31"/>
      <c r="FE232" s="31"/>
      <c r="FF232" s="31"/>
      <c r="FG232" s="31"/>
      <c r="FH232" s="31"/>
      <c r="FI232" s="31"/>
      <c r="FJ232" s="31"/>
      <c r="FK232" s="31"/>
      <c r="FL232" s="31"/>
      <c r="FM232" s="31"/>
      <c r="FN232" s="31"/>
      <c r="FO232" s="31"/>
      <c r="FP232" s="31"/>
      <c r="FQ232" s="31"/>
      <c r="FR232" s="31"/>
      <c r="FS232" s="31"/>
      <c r="FT232" s="31"/>
      <c r="FU232" s="31"/>
      <c r="FV232" s="31"/>
      <c r="FW232" s="31"/>
      <c r="FX232" s="31"/>
      <c r="FY232" s="31"/>
      <c r="FZ232" s="31"/>
      <c r="GA232" s="31"/>
      <c r="GB232" s="31"/>
      <c r="GC232" s="31"/>
      <c r="GD232" s="31"/>
      <c r="GE232" s="31"/>
      <c r="GF232" s="31"/>
      <c r="GG232" s="31"/>
      <c r="GH232" s="31"/>
      <c r="GI232" s="31"/>
      <c r="GJ232" s="31"/>
      <c r="GK232" s="31"/>
      <c r="GL232" s="31"/>
      <c r="GM232" s="31"/>
      <c r="GN232" s="31"/>
      <c r="GO232" s="31"/>
      <c r="GP232" s="31"/>
      <c r="GQ232" s="31"/>
      <c r="GR232" s="31"/>
      <c r="GS232" s="31"/>
      <c r="GT232" s="31"/>
      <c r="GU232" s="31"/>
      <c r="GV232" s="31"/>
      <c r="GW232" s="31"/>
      <c r="GX232" s="31"/>
      <c r="GY232" s="31"/>
      <c r="GZ232" s="31"/>
      <c r="HA232" s="31"/>
      <c r="HB232" s="31"/>
      <c r="HC232" s="31"/>
      <c r="HD232" s="31"/>
      <c r="HE232" s="31"/>
      <c r="HF232" s="31"/>
      <c r="HG232" s="31"/>
      <c r="HH232" s="31"/>
      <c r="HI232" s="31"/>
      <c r="HJ232" s="31"/>
      <c r="HK232" s="31"/>
      <c r="HL232" s="31"/>
      <c r="HM232" s="31"/>
      <c r="HN232" s="31"/>
      <c r="HO232" s="31"/>
      <c r="HP232" s="31"/>
      <c r="HQ232" s="31"/>
      <c r="HR232" s="31"/>
      <c r="HS232" s="31"/>
      <c r="HT232" s="31"/>
      <c r="HU232" s="31"/>
      <c r="HV232" s="31"/>
      <c r="HW232" s="31"/>
      <c r="HX232" s="31"/>
      <c r="HY232" s="31"/>
      <c r="HZ232" s="31"/>
      <c r="IA232" s="31"/>
      <c r="IB232" s="31"/>
      <c r="IC232" s="31"/>
      <c r="ID232" s="31"/>
      <c r="IE232" s="31"/>
      <c r="IF232" s="31"/>
      <c r="IG232" s="31"/>
      <c r="IH232" s="31"/>
      <c r="II232" s="31"/>
      <c r="IJ232" s="31"/>
      <c r="IK232" s="31"/>
      <c r="IL232" s="31"/>
      <c r="IM232" s="31"/>
      <c r="IN232" s="31"/>
      <c r="IO232" s="31"/>
      <c r="IP232" s="31"/>
      <c r="IQ232" s="31"/>
      <c r="IR232" s="31"/>
      <c r="IS232" s="31"/>
      <c r="IT232" s="31"/>
      <c r="IU232" s="31"/>
      <c r="IV232" s="31"/>
      <c r="IW232" s="31"/>
      <c r="IX232" s="31"/>
      <c r="IY232" s="31"/>
      <c r="IZ232" s="31"/>
      <c r="JA232" s="31"/>
      <c r="JB232" s="31"/>
      <c r="JC232" s="31"/>
      <c r="JD232" s="31"/>
      <c r="JE232" s="31"/>
      <c r="JF232" s="31"/>
      <c r="JG232" s="31"/>
      <c r="JH232" s="31"/>
      <c r="JI232" s="31"/>
      <c r="JJ232" s="31"/>
      <c r="JK232" s="31"/>
      <c r="JL232" s="31"/>
      <c r="JM232" s="31"/>
      <c r="JN232" s="31"/>
      <c r="JO232" s="31"/>
      <c r="JP232" s="31"/>
      <c r="JQ232" s="31"/>
      <c r="JR232" s="31"/>
      <c r="JS232" s="31"/>
      <c r="JT232" s="31"/>
      <c r="JU232" s="31"/>
      <c r="JV232" s="31"/>
      <c r="JW232" s="31"/>
      <c r="JX232" s="31"/>
      <c r="JY232" s="31"/>
      <c r="JZ232" s="31"/>
      <c r="KA232" s="31"/>
      <c r="KB232" s="31"/>
      <c r="KC232" s="31"/>
      <c r="KD232" s="31"/>
      <c r="KE232" s="31"/>
      <c r="KF232" s="31"/>
      <c r="KG232" s="31"/>
      <c r="KH232" s="31"/>
      <c r="KI232" s="31"/>
      <c r="KJ232" s="31"/>
      <c r="KK232" s="31"/>
      <c r="KL232" s="31"/>
      <c r="KM232" s="31"/>
      <c r="KN232" s="31"/>
      <c r="KO232" s="31"/>
      <c r="KP232" s="31"/>
      <c r="KQ232" s="31"/>
      <c r="KR232" s="31"/>
      <c r="KS232" s="31"/>
      <c r="KT232" s="31"/>
      <c r="KU232" s="31"/>
      <c r="KV232" s="31"/>
      <c r="KW232" s="31"/>
      <c r="KX232" s="31"/>
      <c r="KY232" s="31"/>
      <c r="KZ232" s="31"/>
      <c r="LA232" s="31"/>
      <c r="LB232" s="31"/>
      <c r="LC232" s="31"/>
      <c r="LD232" s="31"/>
      <c r="LE232" s="31"/>
      <c r="LF232" s="31"/>
      <c r="LG232" s="31"/>
      <c r="LH232" s="31"/>
      <c r="LI232" s="31"/>
      <c r="LJ232" s="31"/>
      <c r="LK232" s="31"/>
      <c r="LL232" s="31"/>
      <c r="LM232" s="31"/>
      <c r="LN232" s="31"/>
      <c r="LO232" s="31"/>
      <c r="LP232" s="31"/>
      <c r="LQ232" s="31"/>
      <c r="LR232" s="31"/>
      <c r="LS232" s="31"/>
      <c r="LT232" s="31"/>
      <c r="LU232" s="31"/>
      <c r="LV232" s="31"/>
      <c r="LW232" s="31"/>
      <c r="LX232" s="31"/>
      <c r="LY232" s="31"/>
      <c r="LZ232" s="31"/>
      <c r="MA232" s="31"/>
      <c r="MB232" s="31"/>
      <c r="MC232" s="31"/>
      <c r="MD232" s="31"/>
      <c r="ME232" s="31"/>
      <c r="MF232" s="31"/>
      <c r="MG232" s="31"/>
      <c r="MH232" s="31"/>
      <c r="MI232" s="31"/>
      <c r="MJ232" s="31"/>
      <c r="MK232" s="31"/>
      <c r="ML232" s="31"/>
      <c r="MM232" s="31"/>
      <c r="MN232" s="31"/>
      <c r="MO232" s="31"/>
      <c r="MP232" s="31"/>
      <c r="MQ232" s="31"/>
      <c r="MR232" s="31"/>
      <c r="MS232" s="31"/>
      <c r="MT232" s="31"/>
      <c r="MU232" s="31"/>
      <c r="MV232" s="31"/>
      <c r="MW232" s="31"/>
      <c r="MX232" s="31"/>
      <c r="MY232" s="31"/>
      <c r="MZ232" s="31"/>
      <c r="NA232" s="31"/>
      <c r="NB232" s="31"/>
      <c r="NC232" s="31"/>
      <c r="ND232" s="31"/>
      <c r="NE232" s="31"/>
      <c r="NF232" s="31"/>
      <c r="NG232" s="31"/>
      <c r="NH232" s="31"/>
      <c r="NI232" s="31"/>
      <c r="NJ232" s="31"/>
      <c r="NK232" s="31"/>
      <c r="NL232" s="31"/>
      <c r="NM232" s="31"/>
      <c r="NN232" s="31"/>
      <c r="NO232" s="31"/>
      <c r="NP232" s="31"/>
      <c r="NQ232" s="31"/>
      <c r="NR232" s="31"/>
      <c r="NS232" s="31"/>
      <c r="NT232" s="31"/>
      <c r="NU232" s="31"/>
      <c r="NV232" s="31"/>
      <c r="NW232" s="31"/>
      <c r="NX232" s="31"/>
      <c r="NY232" s="31"/>
      <c r="NZ232" s="31"/>
      <c r="OA232" s="31"/>
      <c r="OB232" s="31"/>
      <c r="OC232" s="31"/>
      <c r="OD232" s="31"/>
      <c r="OE232" s="31"/>
      <c r="OF232" s="31"/>
      <c r="OG232" s="31"/>
      <c r="OH232" s="31"/>
      <c r="OI232" s="31"/>
      <c r="OJ232" s="31"/>
      <c r="OK232" s="31"/>
      <c r="OL232" s="31"/>
      <c r="OM232" s="31"/>
      <c r="ON232" s="31"/>
      <c r="OO232" s="31"/>
      <c r="OP232" s="31"/>
      <c r="OQ232" s="31"/>
      <c r="OR232" s="31"/>
      <c r="OS232" s="31"/>
      <c r="OT232" s="31"/>
      <c r="OU232" s="31"/>
      <c r="OV232" s="31"/>
      <c r="OW232" s="31"/>
      <c r="OX232" s="31"/>
      <c r="OY232" s="31"/>
      <c r="OZ232" s="31"/>
      <c r="PA232" s="31"/>
      <c r="PB232" s="31"/>
      <c r="PC232" s="31"/>
      <c r="PD232" s="31"/>
      <c r="PE232" s="31"/>
      <c r="PF232" s="31"/>
      <c r="PG232" s="31"/>
      <c r="PH232" s="31"/>
      <c r="PI232" s="31"/>
      <c r="PJ232" s="31"/>
      <c r="PK232" s="31"/>
      <c r="PL232" s="31"/>
      <c r="PM232" s="31"/>
      <c r="PN232" s="31"/>
      <c r="PO232" s="31"/>
      <c r="PP232" s="31"/>
      <c r="PQ232" s="31"/>
      <c r="PR232" s="31"/>
      <c r="PS232" s="31"/>
      <c r="PT232" s="31"/>
      <c r="PU232" s="31"/>
      <c r="PV232" s="31"/>
      <c r="PW232" s="31"/>
      <c r="PX232" s="31"/>
      <c r="PY232" s="31"/>
      <c r="PZ232" s="31"/>
      <c r="QA232" s="31"/>
      <c r="QB232" s="31"/>
      <c r="QC232" s="31"/>
      <c r="QD232" s="31"/>
      <c r="QE232" s="31"/>
      <c r="QF232" s="31"/>
      <c r="QG232" s="31"/>
      <c r="QH232" s="31"/>
      <c r="QI232" s="31"/>
      <c r="QJ232" s="31"/>
      <c r="QK232" s="31"/>
      <c r="QL232" s="31"/>
      <c r="QM232" s="31"/>
      <c r="QN232" s="31"/>
      <c r="QO232" s="31"/>
      <c r="QP232" s="31"/>
      <c r="QQ232" s="31"/>
      <c r="QR232" s="31"/>
      <c r="QS232" s="31"/>
      <c r="QT232" s="31"/>
      <c r="QU232" s="31"/>
      <c r="QV232" s="31"/>
      <c r="QW232" s="31"/>
      <c r="QX232" s="31"/>
      <c r="QY232" s="31"/>
      <c r="QZ232" s="31"/>
      <c r="RA232" s="31"/>
      <c r="RB232" s="31"/>
      <c r="RC232" s="31"/>
      <c r="RD232" s="31"/>
      <c r="RE232" s="31"/>
      <c r="RF232" s="31"/>
      <c r="RG232" s="31"/>
      <c r="RH232" s="31"/>
      <c r="RI232" s="31"/>
      <c r="RJ232" s="31"/>
      <c r="RK232" s="31"/>
      <c r="RL232" s="31"/>
      <c r="RM232" s="31"/>
      <c r="RN232" s="31"/>
      <c r="RO232" s="31"/>
      <c r="RP232" s="31"/>
      <c r="RQ232" s="31"/>
      <c r="RR232" s="31"/>
      <c r="RS232" s="31"/>
      <c r="RT232" s="31"/>
      <c r="RU232" s="31"/>
      <c r="RV232" s="31"/>
      <c r="RW232" s="31"/>
      <c r="RX232" s="31"/>
      <c r="RY232" s="31"/>
      <c r="RZ232" s="31"/>
      <c r="SA232" s="31"/>
      <c r="SB232" s="31"/>
      <c r="SC232" s="31"/>
      <c r="SD232" s="31"/>
      <c r="SE232" s="31"/>
      <c r="SF232" s="31"/>
      <c r="SG232" s="31"/>
      <c r="SH232" s="31"/>
      <c r="SI232" s="31"/>
      <c r="SJ232" s="31"/>
      <c r="SK232" s="31"/>
      <c r="SL232" s="31"/>
      <c r="SM232" s="31"/>
      <c r="SN232" s="31"/>
      <c r="SO232" s="31"/>
      <c r="SP232" s="31"/>
      <c r="SQ232" s="31"/>
      <c r="SR232" s="31"/>
      <c r="SS232" s="31"/>
      <c r="ST232" s="31"/>
      <c r="SU232" s="31"/>
      <c r="SV232" s="31"/>
      <c r="SW232" s="31"/>
      <c r="SX232" s="31"/>
      <c r="SY232" s="31"/>
      <c r="SZ232" s="31"/>
      <c r="TA232" s="31"/>
      <c r="TB232" s="31"/>
      <c r="TC232" s="31"/>
      <c r="TD232" s="31"/>
      <c r="TE232" s="31"/>
      <c r="TF232" s="31"/>
      <c r="TG232" s="31"/>
      <c r="TH232" s="31"/>
      <c r="TI232" s="31"/>
      <c r="TJ232" s="31"/>
      <c r="TK232" s="31"/>
      <c r="TL232" s="31"/>
      <c r="TM232" s="31"/>
      <c r="TN232" s="31"/>
      <c r="TO232" s="31"/>
      <c r="TP232" s="31"/>
      <c r="TQ232" s="31"/>
      <c r="TR232" s="31"/>
      <c r="TS232" s="31"/>
      <c r="TT232" s="31"/>
      <c r="TU232" s="31"/>
      <c r="TV232" s="31"/>
      <c r="TW232" s="31"/>
      <c r="TX232" s="31"/>
      <c r="TY232" s="31"/>
      <c r="TZ232" s="31"/>
      <c r="UA232" s="31"/>
      <c r="UB232" s="31"/>
      <c r="UC232" s="31"/>
      <c r="UD232" s="31"/>
      <c r="UE232" s="31"/>
      <c r="UF232" s="31"/>
      <c r="UG232" s="33"/>
    </row>
    <row r="233" spans="1:553" ht="30" customHeight="1">
      <c r="A233" s="366" t="s">
        <v>15</v>
      </c>
      <c r="B233" s="366" t="s">
        <v>31</v>
      </c>
      <c r="C233" s="427" t="s">
        <v>1264</v>
      </c>
      <c r="D233" s="418">
        <v>2</v>
      </c>
      <c r="E233" s="418">
        <v>292</v>
      </c>
      <c r="F233" s="366"/>
      <c r="G233" s="386" t="s">
        <v>34</v>
      </c>
      <c r="H233" s="370"/>
      <c r="I233" s="422">
        <f>0.5*1.2*15</f>
        <v>9</v>
      </c>
      <c r="J233" s="368">
        <v>606342</v>
      </c>
      <c r="K233" s="388"/>
      <c r="L233" s="366">
        <f t="shared" si="49"/>
        <v>5457078</v>
      </c>
      <c r="M233" s="366"/>
      <c r="N233" s="366"/>
      <c r="O233" s="366"/>
      <c r="P233" s="366"/>
      <c r="Q233" s="1135"/>
      <c r="R233" s="411"/>
      <c r="S233" s="308"/>
      <c r="T233" s="303"/>
      <c r="U233" s="306"/>
      <c r="V233" s="307"/>
      <c r="W233" s="306"/>
      <c r="X233" s="306"/>
      <c r="Y233" s="306"/>
      <c r="Z233" s="306"/>
      <c r="AA233" s="306"/>
      <c r="AB233" s="306"/>
      <c r="AC233" s="449"/>
      <c r="AD233" s="452"/>
      <c r="AE233" s="452"/>
      <c r="AF233" s="452"/>
      <c r="AG233" s="452"/>
      <c r="AH233" s="452"/>
      <c r="AI233" s="452"/>
      <c r="AJ233" s="452"/>
      <c r="AK233" s="452"/>
      <c r="AL233" s="106"/>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c r="CH233" s="31"/>
      <c r="CI233" s="31"/>
      <c r="CJ233" s="31"/>
      <c r="CK233" s="31"/>
      <c r="CL233" s="31"/>
      <c r="CM233" s="31"/>
      <c r="CN233" s="31"/>
      <c r="CO233" s="31"/>
      <c r="CP233" s="31"/>
      <c r="CQ233" s="31"/>
      <c r="CR233" s="31"/>
      <c r="CS233" s="31"/>
      <c r="CT233" s="31"/>
      <c r="CU233" s="31"/>
      <c r="CV233" s="31"/>
      <c r="CW233" s="31"/>
      <c r="CX233" s="31"/>
      <c r="CY233" s="31"/>
      <c r="CZ233" s="31"/>
      <c r="DA233" s="31"/>
      <c r="DB233" s="31"/>
      <c r="DC233" s="31"/>
      <c r="DD233" s="31"/>
      <c r="DE233" s="31"/>
      <c r="DF233" s="31"/>
      <c r="DG233" s="31"/>
      <c r="DH233" s="31"/>
      <c r="DI233" s="31"/>
      <c r="DJ233" s="31"/>
      <c r="DK233" s="31"/>
      <c r="DL233" s="31"/>
      <c r="DM233" s="31"/>
      <c r="DN233" s="31"/>
      <c r="DO233" s="31"/>
      <c r="DP233" s="31"/>
      <c r="DQ233" s="31"/>
      <c r="DR233" s="31"/>
      <c r="DS233" s="31"/>
      <c r="DT233" s="31"/>
      <c r="DU233" s="31"/>
      <c r="DV233" s="31"/>
      <c r="DW233" s="31"/>
      <c r="DX233" s="31"/>
      <c r="DY233" s="31"/>
      <c r="DZ233" s="31"/>
      <c r="EA233" s="31"/>
      <c r="EB233" s="31"/>
      <c r="EC233" s="31"/>
      <c r="ED233" s="31"/>
      <c r="EE233" s="31"/>
      <c r="EF233" s="31"/>
      <c r="EG233" s="31"/>
      <c r="EH233" s="31"/>
      <c r="EI233" s="31"/>
      <c r="EJ233" s="31"/>
      <c r="EK233" s="31"/>
      <c r="EL233" s="31"/>
      <c r="EM233" s="31"/>
      <c r="EN233" s="31"/>
      <c r="EO233" s="31"/>
      <c r="EP233" s="31"/>
      <c r="EQ233" s="31"/>
      <c r="ER233" s="31"/>
      <c r="ES233" s="31"/>
      <c r="ET233" s="31"/>
      <c r="EU233" s="31"/>
      <c r="EV233" s="31"/>
      <c r="EW233" s="31"/>
      <c r="EX233" s="31"/>
      <c r="EY233" s="31"/>
      <c r="EZ233" s="31"/>
      <c r="FA233" s="31"/>
      <c r="FB233" s="31"/>
      <c r="FC233" s="31"/>
      <c r="FD233" s="31"/>
      <c r="FE233" s="31"/>
      <c r="FF233" s="31"/>
      <c r="FG233" s="31"/>
      <c r="FH233" s="31"/>
      <c r="FI233" s="31"/>
      <c r="FJ233" s="31"/>
      <c r="FK233" s="31"/>
      <c r="FL233" s="31"/>
      <c r="FM233" s="31"/>
      <c r="FN233" s="31"/>
      <c r="FO233" s="31"/>
      <c r="FP233" s="31"/>
      <c r="FQ233" s="31"/>
      <c r="FR233" s="31"/>
      <c r="FS233" s="31"/>
      <c r="FT233" s="31"/>
      <c r="FU233" s="31"/>
      <c r="FV233" s="31"/>
      <c r="FW233" s="31"/>
      <c r="FX233" s="31"/>
      <c r="FY233" s="31"/>
      <c r="FZ233" s="31"/>
      <c r="GA233" s="31"/>
      <c r="GB233" s="31"/>
      <c r="GC233" s="31"/>
      <c r="GD233" s="31"/>
      <c r="GE233" s="31"/>
      <c r="GF233" s="31"/>
      <c r="GG233" s="31"/>
      <c r="GH233" s="31"/>
      <c r="GI233" s="31"/>
      <c r="GJ233" s="31"/>
      <c r="GK233" s="31"/>
      <c r="GL233" s="31"/>
      <c r="GM233" s="31"/>
      <c r="GN233" s="31"/>
      <c r="GO233" s="31"/>
      <c r="GP233" s="31"/>
      <c r="GQ233" s="31"/>
      <c r="GR233" s="31"/>
      <c r="GS233" s="31"/>
      <c r="GT233" s="31"/>
      <c r="GU233" s="31"/>
      <c r="GV233" s="31"/>
      <c r="GW233" s="31"/>
      <c r="GX233" s="31"/>
      <c r="GY233" s="31"/>
      <c r="GZ233" s="31"/>
      <c r="HA233" s="31"/>
      <c r="HB233" s="31"/>
      <c r="HC233" s="31"/>
      <c r="HD233" s="31"/>
      <c r="HE233" s="31"/>
      <c r="HF233" s="31"/>
      <c r="HG233" s="31"/>
      <c r="HH233" s="31"/>
      <c r="HI233" s="31"/>
      <c r="HJ233" s="31"/>
      <c r="HK233" s="31"/>
      <c r="HL233" s="31"/>
      <c r="HM233" s="31"/>
      <c r="HN233" s="31"/>
      <c r="HO233" s="31"/>
      <c r="HP233" s="31"/>
      <c r="HQ233" s="31"/>
      <c r="HR233" s="31"/>
      <c r="HS233" s="31"/>
      <c r="HT233" s="31"/>
      <c r="HU233" s="31"/>
      <c r="HV233" s="31"/>
      <c r="HW233" s="31"/>
      <c r="HX233" s="31"/>
      <c r="HY233" s="31"/>
      <c r="HZ233" s="31"/>
      <c r="IA233" s="31"/>
      <c r="IB233" s="31"/>
      <c r="IC233" s="31"/>
      <c r="ID233" s="31"/>
      <c r="IE233" s="31"/>
      <c r="IF233" s="31"/>
      <c r="IG233" s="31"/>
      <c r="IH233" s="31"/>
      <c r="II233" s="31"/>
      <c r="IJ233" s="31"/>
      <c r="IK233" s="31"/>
      <c r="IL233" s="31"/>
      <c r="IM233" s="31"/>
      <c r="IN233" s="31"/>
      <c r="IO233" s="31"/>
      <c r="IP233" s="31"/>
      <c r="IQ233" s="31"/>
      <c r="IR233" s="31"/>
      <c r="IS233" s="31"/>
      <c r="IT233" s="31"/>
      <c r="IU233" s="31"/>
      <c r="IV233" s="31"/>
      <c r="IW233" s="31"/>
      <c r="IX233" s="31"/>
      <c r="IY233" s="31"/>
      <c r="IZ233" s="31"/>
      <c r="JA233" s="31"/>
      <c r="JB233" s="31"/>
      <c r="JC233" s="31"/>
      <c r="JD233" s="31"/>
      <c r="JE233" s="31"/>
      <c r="JF233" s="31"/>
      <c r="JG233" s="31"/>
      <c r="JH233" s="31"/>
      <c r="JI233" s="31"/>
      <c r="JJ233" s="31"/>
      <c r="JK233" s="31"/>
      <c r="JL233" s="31"/>
      <c r="JM233" s="31"/>
      <c r="JN233" s="31"/>
      <c r="JO233" s="31"/>
      <c r="JP233" s="31"/>
      <c r="JQ233" s="31"/>
      <c r="JR233" s="31"/>
      <c r="JS233" s="31"/>
      <c r="JT233" s="31"/>
      <c r="JU233" s="31"/>
      <c r="JV233" s="31"/>
      <c r="JW233" s="31"/>
      <c r="JX233" s="31"/>
      <c r="JY233" s="31"/>
      <c r="JZ233" s="31"/>
      <c r="KA233" s="31"/>
      <c r="KB233" s="31"/>
      <c r="KC233" s="31"/>
      <c r="KD233" s="31"/>
      <c r="KE233" s="31"/>
      <c r="KF233" s="31"/>
      <c r="KG233" s="31"/>
      <c r="KH233" s="31"/>
      <c r="KI233" s="31"/>
      <c r="KJ233" s="31"/>
      <c r="KK233" s="31"/>
      <c r="KL233" s="31"/>
      <c r="KM233" s="31"/>
      <c r="KN233" s="31"/>
      <c r="KO233" s="31"/>
      <c r="KP233" s="31"/>
      <c r="KQ233" s="31"/>
      <c r="KR233" s="31"/>
      <c r="KS233" s="31"/>
      <c r="KT233" s="31"/>
      <c r="KU233" s="31"/>
      <c r="KV233" s="31"/>
      <c r="KW233" s="31"/>
      <c r="KX233" s="31"/>
      <c r="KY233" s="31"/>
      <c r="KZ233" s="31"/>
      <c r="LA233" s="31"/>
      <c r="LB233" s="31"/>
      <c r="LC233" s="31"/>
      <c r="LD233" s="31"/>
      <c r="LE233" s="31"/>
      <c r="LF233" s="31"/>
      <c r="LG233" s="31"/>
      <c r="LH233" s="31"/>
      <c r="LI233" s="31"/>
      <c r="LJ233" s="31"/>
      <c r="LK233" s="31"/>
      <c r="LL233" s="31"/>
      <c r="LM233" s="31"/>
      <c r="LN233" s="31"/>
      <c r="LO233" s="31"/>
      <c r="LP233" s="31"/>
      <c r="LQ233" s="31"/>
      <c r="LR233" s="31"/>
      <c r="LS233" s="31"/>
      <c r="LT233" s="31"/>
      <c r="LU233" s="31"/>
      <c r="LV233" s="31"/>
      <c r="LW233" s="31"/>
      <c r="LX233" s="31"/>
      <c r="LY233" s="31"/>
      <c r="LZ233" s="31"/>
      <c r="MA233" s="31"/>
      <c r="MB233" s="31"/>
      <c r="MC233" s="31"/>
      <c r="MD233" s="31"/>
      <c r="ME233" s="31"/>
      <c r="MF233" s="31"/>
      <c r="MG233" s="31"/>
      <c r="MH233" s="31"/>
      <c r="MI233" s="31"/>
      <c r="MJ233" s="31"/>
      <c r="MK233" s="31"/>
      <c r="ML233" s="31"/>
      <c r="MM233" s="31"/>
      <c r="MN233" s="31"/>
      <c r="MO233" s="31"/>
      <c r="MP233" s="31"/>
      <c r="MQ233" s="31"/>
      <c r="MR233" s="31"/>
      <c r="MS233" s="31"/>
      <c r="MT233" s="31"/>
      <c r="MU233" s="31"/>
      <c r="MV233" s="31"/>
      <c r="MW233" s="31"/>
      <c r="MX233" s="31"/>
      <c r="MY233" s="31"/>
      <c r="MZ233" s="31"/>
      <c r="NA233" s="31"/>
      <c r="NB233" s="31"/>
      <c r="NC233" s="31"/>
      <c r="ND233" s="31"/>
      <c r="NE233" s="31"/>
      <c r="NF233" s="31"/>
      <c r="NG233" s="31"/>
      <c r="NH233" s="31"/>
      <c r="NI233" s="31"/>
      <c r="NJ233" s="31"/>
      <c r="NK233" s="31"/>
      <c r="NL233" s="31"/>
      <c r="NM233" s="31"/>
      <c r="NN233" s="31"/>
      <c r="NO233" s="31"/>
      <c r="NP233" s="31"/>
      <c r="NQ233" s="31"/>
      <c r="NR233" s="31"/>
      <c r="NS233" s="31"/>
      <c r="NT233" s="31"/>
      <c r="NU233" s="31"/>
      <c r="NV233" s="31"/>
      <c r="NW233" s="31"/>
      <c r="NX233" s="31"/>
      <c r="NY233" s="31"/>
      <c r="NZ233" s="31"/>
      <c r="OA233" s="31"/>
      <c r="OB233" s="31"/>
      <c r="OC233" s="31"/>
      <c r="OD233" s="31"/>
      <c r="OE233" s="31"/>
      <c r="OF233" s="31"/>
      <c r="OG233" s="31"/>
      <c r="OH233" s="31"/>
      <c r="OI233" s="31"/>
      <c r="OJ233" s="31"/>
      <c r="OK233" s="31"/>
      <c r="OL233" s="31"/>
      <c r="OM233" s="31"/>
      <c r="ON233" s="31"/>
      <c r="OO233" s="31"/>
      <c r="OP233" s="31"/>
      <c r="OQ233" s="31"/>
      <c r="OR233" s="31"/>
      <c r="OS233" s="31"/>
      <c r="OT233" s="31"/>
      <c r="OU233" s="31"/>
      <c r="OV233" s="31"/>
      <c r="OW233" s="31"/>
      <c r="OX233" s="31"/>
      <c r="OY233" s="31"/>
      <c r="OZ233" s="31"/>
      <c r="PA233" s="31"/>
      <c r="PB233" s="31"/>
      <c r="PC233" s="31"/>
      <c r="PD233" s="31"/>
      <c r="PE233" s="31"/>
      <c r="PF233" s="31"/>
      <c r="PG233" s="31"/>
      <c r="PH233" s="31"/>
      <c r="PI233" s="31"/>
      <c r="PJ233" s="31"/>
      <c r="PK233" s="31"/>
      <c r="PL233" s="31"/>
      <c r="PM233" s="31"/>
      <c r="PN233" s="31"/>
      <c r="PO233" s="31"/>
      <c r="PP233" s="31"/>
      <c r="PQ233" s="31"/>
      <c r="PR233" s="31"/>
      <c r="PS233" s="31"/>
      <c r="PT233" s="31"/>
      <c r="PU233" s="31"/>
      <c r="PV233" s="31"/>
      <c r="PW233" s="31"/>
      <c r="PX233" s="31"/>
      <c r="PY233" s="31"/>
      <c r="PZ233" s="31"/>
      <c r="QA233" s="31"/>
      <c r="QB233" s="31"/>
      <c r="QC233" s="31"/>
      <c r="QD233" s="31"/>
      <c r="QE233" s="31"/>
      <c r="QF233" s="31"/>
      <c r="QG233" s="31"/>
      <c r="QH233" s="31"/>
      <c r="QI233" s="31"/>
      <c r="QJ233" s="31"/>
      <c r="QK233" s="31"/>
      <c r="QL233" s="31"/>
      <c r="QM233" s="31"/>
      <c r="QN233" s="31"/>
      <c r="QO233" s="31"/>
      <c r="QP233" s="31"/>
      <c r="QQ233" s="31"/>
      <c r="QR233" s="31"/>
      <c r="QS233" s="31"/>
      <c r="QT233" s="31"/>
      <c r="QU233" s="31"/>
      <c r="QV233" s="31"/>
      <c r="QW233" s="31"/>
      <c r="QX233" s="31"/>
      <c r="QY233" s="31"/>
      <c r="QZ233" s="31"/>
      <c r="RA233" s="31"/>
      <c r="RB233" s="31"/>
      <c r="RC233" s="31"/>
      <c r="RD233" s="31"/>
      <c r="RE233" s="31"/>
      <c r="RF233" s="31"/>
      <c r="RG233" s="31"/>
      <c r="RH233" s="31"/>
      <c r="RI233" s="31"/>
      <c r="RJ233" s="31"/>
      <c r="RK233" s="31"/>
      <c r="RL233" s="31"/>
      <c r="RM233" s="31"/>
      <c r="RN233" s="31"/>
      <c r="RO233" s="31"/>
      <c r="RP233" s="31"/>
      <c r="RQ233" s="31"/>
      <c r="RR233" s="31"/>
      <c r="RS233" s="31"/>
      <c r="RT233" s="31"/>
      <c r="RU233" s="31"/>
      <c r="RV233" s="31"/>
      <c r="RW233" s="31"/>
      <c r="RX233" s="31"/>
      <c r="RY233" s="31"/>
      <c r="RZ233" s="31"/>
      <c r="SA233" s="31"/>
      <c r="SB233" s="31"/>
      <c r="SC233" s="31"/>
      <c r="SD233" s="31"/>
      <c r="SE233" s="31"/>
      <c r="SF233" s="31"/>
      <c r="SG233" s="31"/>
      <c r="SH233" s="31"/>
      <c r="SI233" s="31"/>
      <c r="SJ233" s="31"/>
      <c r="SK233" s="31"/>
      <c r="SL233" s="31"/>
      <c r="SM233" s="31"/>
      <c r="SN233" s="31"/>
      <c r="SO233" s="31"/>
      <c r="SP233" s="31"/>
      <c r="SQ233" s="31"/>
      <c r="SR233" s="31"/>
      <c r="SS233" s="31"/>
      <c r="ST233" s="31"/>
      <c r="SU233" s="31"/>
      <c r="SV233" s="31"/>
      <c r="SW233" s="31"/>
      <c r="SX233" s="31"/>
      <c r="SY233" s="31"/>
      <c r="SZ233" s="31"/>
      <c r="TA233" s="31"/>
      <c r="TB233" s="31"/>
      <c r="TC233" s="31"/>
      <c r="TD233" s="31"/>
      <c r="TE233" s="31"/>
      <c r="TF233" s="31"/>
      <c r="TG233" s="31"/>
      <c r="TH233" s="31"/>
      <c r="TI233" s="31"/>
      <c r="TJ233" s="31"/>
      <c r="TK233" s="31"/>
      <c r="TL233" s="31"/>
      <c r="TM233" s="31"/>
      <c r="TN233" s="31"/>
      <c r="TO233" s="31"/>
      <c r="TP233" s="31"/>
      <c r="TQ233" s="31"/>
      <c r="TR233" s="31"/>
      <c r="TS233" s="31"/>
      <c r="TT233" s="31"/>
      <c r="TU233" s="31"/>
      <c r="TV233" s="31"/>
      <c r="TW233" s="31"/>
      <c r="TX233" s="31"/>
      <c r="TY233" s="31"/>
      <c r="TZ233" s="31"/>
      <c r="UA233" s="31"/>
      <c r="UB233" s="31"/>
      <c r="UC233" s="31"/>
      <c r="UD233" s="31"/>
      <c r="UE233" s="31"/>
      <c r="UF233" s="31"/>
      <c r="UG233" s="33"/>
    </row>
    <row r="234" spans="1:553" ht="30" customHeight="1">
      <c r="A234" s="366" t="s">
        <v>15</v>
      </c>
      <c r="B234" s="366" t="s">
        <v>31</v>
      </c>
      <c r="C234" s="427" t="s">
        <v>1265</v>
      </c>
      <c r="D234" s="376" t="s">
        <v>70</v>
      </c>
      <c r="E234" s="376" t="s">
        <v>216</v>
      </c>
      <c r="F234" s="385"/>
      <c r="G234" s="386" t="s">
        <v>34</v>
      </c>
      <c r="H234" s="370"/>
      <c r="I234" s="422">
        <f>0.5*1.2*12</f>
        <v>7.1999999999999993</v>
      </c>
      <c r="J234" s="368">
        <v>606342</v>
      </c>
      <c r="K234" s="388"/>
      <c r="L234" s="366">
        <f t="shared" si="49"/>
        <v>4365662.3999999994</v>
      </c>
      <c r="M234" s="366"/>
      <c r="N234" s="366"/>
      <c r="O234" s="366"/>
      <c r="P234" s="366"/>
      <c r="Q234" s="1135"/>
      <c r="R234" s="411"/>
      <c r="S234" s="308"/>
      <c r="T234" s="303"/>
      <c r="U234" s="306"/>
      <c r="V234" s="307"/>
      <c r="W234" s="306"/>
      <c r="X234" s="306"/>
      <c r="Y234" s="306"/>
      <c r="Z234" s="306"/>
      <c r="AA234" s="306"/>
      <c r="AB234" s="306"/>
      <c r="AC234" s="449"/>
      <c r="AD234" s="452"/>
      <c r="AE234" s="452"/>
      <c r="AF234" s="452"/>
      <c r="AG234" s="452"/>
      <c r="AH234" s="452"/>
      <c r="AI234" s="452"/>
      <c r="AJ234" s="452"/>
      <c r="AK234" s="452"/>
      <c r="AL234" s="106"/>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31"/>
      <c r="FC234" s="31"/>
      <c r="FD234" s="31"/>
      <c r="FE234" s="31"/>
      <c r="FF234" s="31"/>
      <c r="FG234" s="31"/>
      <c r="FH234" s="31"/>
      <c r="FI234" s="31"/>
      <c r="FJ234" s="31"/>
      <c r="FK234" s="31"/>
      <c r="FL234" s="31"/>
      <c r="FM234" s="31"/>
      <c r="FN234" s="31"/>
      <c r="FO234" s="31"/>
      <c r="FP234" s="31"/>
      <c r="FQ234" s="31"/>
      <c r="FR234" s="31"/>
      <c r="FS234" s="31"/>
      <c r="FT234" s="31"/>
      <c r="FU234" s="31"/>
      <c r="FV234" s="31"/>
      <c r="FW234" s="31"/>
      <c r="FX234" s="31"/>
      <c r="FY234" s="31"/>
      <c r="FZ234" s="31"/>
      <c r="GA234" s="31"/>
      <c r="GB234" s="31"/>
      <c r="GC234" s="31"/>
      <c r="GD234" s="31"/>
      <c r="GE234" s="31"/>
      <c r="GF234" s="31"/>
      <c r="GG234" s="31"/>
      <c r="GH234" s="31"/>
      <c r="GI234" s="31"/>
      <c r="GJ234" s="31"/>
      <c r="GK234" s="31"/>
      <c r="GL234" s="31"/>
      <c r="GM234" s="31"/>
      <c r="GN234" s="31"/>
      <c r="GO234" s="31"/>
      <c r="GP234" s="31"/>
      <c r="GQ234" s="31"/>
      <c r="GR234" s="31"/>
      <c r="GS234" s="31"/>
      <c r="GT234" s="31"/>
      <c r="GU234" s="31"/>
      <c r="GV234" s="31"/>
      <c r="GW234" s="31"/>
      <c r="GX234" s="31"/>
      <c r="GY234" s="31"/>
      <c r="GZ234" s="31"/>
      <c r="HA234" s="31"/>
      <c r="HB234" s="31"/>
      <c r="HC234" s="31"/>
      <c r="HD234" s="31"/>
      <c r="HE234" s="31"/>
      <c r="HF234" s="31"/>
      <c r="HG234" s="31"/>
      <c r="HH234" s="31"/>
      <c r="HI234" s="31"/>
      <c r="HJ234" s="31"/>
      <c r="HK234" s="31"/>
      <c r="HL234" s="31"/>
      <c r="HM234" s="31"/>
      <c r="HN234" s="31"/>
      <c r="HO234" s="31"/>
      <c r="HP234" s="31"/>
      <c r="HQ234" s="31"/>
      <c r="HR234" s="31"/>
      <c r="HS234" s="31"/>
      <c r="HT234" s="31"/>
      <c r="HU234" s="31"/>
      <c r="HV234" s="31"/>
      <c r="HW234" s="31"/>
      <c r="HX234" s="31"/>
      <c r="HY234" s="31"/>
      <c r="HZ234" s="31"/>
      <c r="IA234" s="31"/>
      <c r="IB234" s="31"/>
      <c r="IC234" s="31"/>
      <c r="ID234" s="31"/>
      <c r="IE234" s="31"/>
      <c r="IF234" s="31"/>
      <c r="IG234" s="31"/>
      <c r="IH234" s="31"/>
      <c r="II234" s="31"/>
      <c r="IJ234" s="31"/>
      <c r="IK234" s="31"/>
      <c r="IL234" s="31"/>
      <c r="IM234" s="31"/>
      <c r="IN234" s="31"/>
      <c r="IO234" s="31"/>
      <c r="IP234" s="31"/>
      <c r="IQ234" s="31"/>
      <c r="IR234" s="31"/>
      <c r="IS234" s="31"/>
      <c r="IT234" s="31"/>
      <c r="IU234" s="31"/>
      <c r="IV234" s="31"/>
      <c r="IW234" s="31"/>
      <c r="IX234" s="31"/>
      <c r="IY234" s="31"/>
      <c r="IZ234" s="31"/>
      <c r="JA234" s="31"/>
      <c r="JB234" s="31"/>
      <c r="JC234" s="31"/>
      <c r="JD234" s="31"/>
      <c r="JE234" s="31"/>
      <c r="JF234" s="31"/>
      <c r="JG234" s="31"/>
      <c r="JH234" s="31"/>
      <c r="JI234" s="31"/>
      <c r="JJ234" s="31"/>
      <c r="JK234" s="31"/>
      <c r="JL234" s="31"/>
      <c r="JM234" s="31"/>
      <c r="JN234" s="31"/>
      <c r="JO234" s="31"/>
      <c r="JP234" s="31"/>
      <c r="JQ234" s="31"/>
      <c r="JR234" s="31"/>
      <c r="JS234" s="31"/>
      <c r="JT234" s="31"/>
      <c r="JU234" s="31"/>
      <c r="JV234" s="31"/>
      <c r="JW234" s="31"/>
      <c r="JX234" s="31"/>
      <c r="JY234" s="31"/>
      <c r="JZ234" s="31"/>
      <c r="KA234" s="31"/>
      <c r="KB234" s="31"/>
      <c r="KC234" s="31"/>
      <c r="KD234" s="31"/>
      <c r="KE234" s="31"/>
      <c r="KF234" s="31"/>
      <c r="KG234" s="31"/>
      <c r="KH234" s="31"/>
      <c r="KI234" s="31"/>
      <c r="KJ234" s="31"/>
      <c r="KK234" s="31"/>
      <c r="KL234" s="31"/>
      <c r="KM234" s="31"/>
      <c r="KN234" s="31"/>
      <c r="KO234" s="31"/>
      <c r="KP234" s="31"/>
      <c r="KQ234" s="31"/>
      <c r="KR234" s="31"/>
      <c r="KS234" s="31"/>
      <c r="KT234" s="31"/>
      <c r="KU234" s="31"/>
      <c r="KV234" s="31"/>
      <c r="KW234" s="31"/>
      <c r="KX234" s="31"/>
      <c r="KY234" s="31"/>
      <c r="KZ234" s="31"/>
      <c r="LA234" s="31"/>
      <c r="LB234" s="31"/>
      <c r="LC234" s="31"/>
      <c r="LD234" s="31"/>
      <c r="LE234" s="31"/>
      <c r="LF234" s="31"/>
      <c r="LG234" s="31"/>
      <c r="LH234" s="31"/>
      <c r="LI234" s="31"/>
      <c r="LJ234" s="31"/>
      <c r="LK234" s="31"/>
      <c r="LL234" s="31"/>
      <c r="LM234" s="31"/>
      <c r="LN234" s="31"/>
      <c r="LO234" s="31"/>
      <c r="LP234" s="31"/>
      <c r="LQ234" s="31"/>
      <c r="LR234" s="31"/>
      <c r="LS234" s="31"/>
      <c r="LT234" s="31"/>
      <c r="LU234" s="31"/>
      <c r="LV234" s="31"/>
      <c r="LW234" s="31"/>
      <c r="LX234" s="31"/>
      <c r="LY234" s="31"/>
      <c r="LZ234" s="31"/>
      <c r="MA234" s="31"/>
      <c r="MB234" s="31"/>
      <c r="MC234" s="31"/>
      <c r="MD234" s="31"/>
      <c r="ME234" s="31"/>
      <c r="MF234" s="31"/>
      <c r="MG234" s="31"/>
      <c r="MH234" s="31"/>
      <c r="MI234" s="31"/>
      <c r="MJ234" s="31"/>
      <c r="MK234" s="31"/>
      <c r="ML234" s="31"/>
      <c r="MM234" s="31"/>
      <c r="MN234" s="31"/>
      <c r="MO234" s="31"/>
      <c r="MP234" s="31"/>
      <c r="MQ234" s="31"/>
      <c r="MR234" s="31"/>
      <c r="MS234" s="31"/>
      <c r="MT234" s="31"/>
      <c r="MU234" s="31"/>
      <c r="MV234" s="31"/>
      <c r="MW234" s="31"/>
      <c r="MX234" s="31"/>
      <c r="MY234" s="31"/>
      <c r="MZ234" s="31"/>
      <c r="NA234" s="31"/>
      <c r="NB234" s="31"/>
      <c r="NC234" s="31"/>
      <c r="ND234" s="31"/>
      <c r="NE234" s="31"/>
      <c r="NF234" s="31"/>
      <c r="NG234" s="31"/>
      <c r="NH234" s="31"/>
      <c r="NI234" s="31"/>
      <c r="NJ234" s="31"/>
      <c r="NK234" s="31"/>
      <c r="NL234" s="31"/>
      <c r="NM234" s="31"/>
      <c r="NN234" s="31"/>
      <c r="NO234" s="31"/>
      <c r="NP234" s="31"/>
      <c r="NQ234" s="31"/>
      <c r="NR234" s="31"/>
      <c r="NS234" s="31"/>
      <c r="NT234" s="31"/>
      <c r="NU234" s="31"/>
      <c r="NV234" s="31"/>
      <c r="NW234" s="31"/>
      <c r="NX234" s="31"/>
      <c r="NY234" s="31"/>
      <c r="NZ234" s="31"/>
      <c r="OA234" s="31"/>
      <c r="OB234" s="31"/>
      <c r="OC234" s="31"/>
      <c r="OD234" s="31"/>
      <c r="OE234" s="31"/>
      <c r="OF234" s="31"/>
      <c r="OG234" s="31"/>
      <c r="OH234" s="31"/>
      <c r="OI234" s="31"/>
      <c r="OJ234" s="31"/>
      <c r="OK234" s="31"/>
      <c r="OL234" s="31"/>
      <c r="OM234" s="31"/>
      <c r="ON234" s="31"/>
      <c r="OO234" s="31"/>
      <c r="OP234" s="31"/>
      <c r="OQ234" s="31"/>
      <c r="OR234" s="31"/>
      <c r="OS234" s="31"/>
      <c r="OT234" s="31"/>
      <c r="OU234" s="31"/>
      <c r="OV234" s="31"/>
      <c r="OW234" s="31"/>
      <c r="OX234" s="31"/>
      <c r="OY234" s="31"/>
      <c r="OZ234" s="31"/>
      <c r="PA234" s="31"/>
      <c r="PB234" s="31"/>
      <c r="PC234" s="31"/>
      <c r="PD234" s="31"/>
      <c r="PE234" s="31"/>
      <c r="PF234" s="31"/>
      <c r="PG234" s="31"/>
      <c r="PH234" s="31"/>
      <c r="PI234" s="31"/>
      <c r="PJ234" s="31"/>
      <c r="PK234" s="31"/>
      <c r="PL234" s="31"/>
      <c r="PM234" s="31"/>
      <c r="PN234" s="31"/>
      <c r="PO234" s="31"/>
      <c r="PP234" s="31"/>
      <c r="PQ234" s="31"/>
      <c r="PR234" s="31"/>
      <c r="PS234" s="31"/>
      <c r="PT234" s="31"/>
      <c r="PU234" s="31"/>
      <c r="PV234" s="31"/>
      <c r="PW234" s="31"/>
      <c r="PX234" s="31"/>
      <c r="PY234" s="31"/>
      <c r="PZ234" s="31"/>
      <c r="QA234" s="31"/>
      <c r="QB234" s="31"/>
      <c r="QC234" s="31"/>
      <c r="QD234" s="31"/>
      <c r="QE234" s="31"/>
      <c r="QF234" s="31"/>
      <c r="QG234" s="31"/>
      <c r="QH234" s="31"/>
      <c r="QI234" s="31"/>
      <c r="QJ234" s="31"/>
      <c r="QK234" s="31"/>
      <c r="QL234" s="31"/>
      <c r="QM234" s="31"/>
      <c r="QN234" s="31"/>
      <c r="QO234" s="31"/>
      <c r="QP234" s="31"/>
      <c r="QQ234" s="31"/>
      <c r="QR234" s="31"/>
      <c r="QS234" s="31"/>
      <c r="QT234" s="31"/>
      <c r="QU234" s="31"/>
      <c r="QV234" s="31"/>
      <c r="QW234" s="31"/>
      <c r="QX234" s="31"/>
      <c r="QY234" s="31"/>
      <c r="QZ234" s="31"/>
      <c r="RA234" s="31"/>
      <c r="RB234" s="31"/>
      <c r="RC234" s="31"/>
      <c r="RD234" s="31"/>
      <c r="RE234" s="31"/>
      <c r="RF234" s="31"/>
      <c r="RG234" s="31"/>
      <c r="RH234" s="31"/>
      <c r="RI234" s="31"/>
      <c r="RJ234" s="31"/>
      <c r="RK234" s="31"/>
      <c r="RL234" s="31"/>
      <c r="RM234" s="31"/>
      <c r="RN234" s="31"/>
      <c r="RO234" s="31"/>
      <c r="RP234" s="31"/>
      <c r="RQ234" s="31"/>
      <c r="RR234" s="31"/>
      <c r="RS234" s="31"/>
      <c r="RT234" s="31"/>
      <c r="RU234" s="31"/>
      <c r="RV234" s="31"/>
      <c r="RW234" s="31"/>
      <c r="RX234" s="31"/>
      <c r="RY234" s="31"/>
      <c r="RZ234" s="31"/>
      <c r="SA234" s="31"/>
      <c r="SB234" s="31"/>
      <c r="SC234" s="31"/>
      <c r="SD234" s="31"/>
      <c r="SE234" s="31"/>
      <c r="SF234" s="31"/>
      <c r="SG234" s="31"/>
      <c r="SH234" s="31"/>
      <c r="SI234" s="31"/>
      <c r="SJ234" s="31"/>
      <c r="SK234" s="31"/>
      <c r="SL234" s="31"/>
      <c r="SM234" s="31"/>
      <c r="SN234" s="31"/>
      <c r="SO234" s="31"/>
      <c r="SP234" s="31"/>
      <c r="SQ234" s="31"/>
      <c r="SR234" s="31"/>
      <c r="SS234" s="31"/>
      <c r="ST234" s="31"/>
      <c r="SU234" s="31"/>
      <c r="SV234" s="31"/>
      <c r="SW234" s="31"/>
      <c r="SX234" s="31"/>
      <c r="SY234" s="31"/>
      <c r="SZ234" s="31"/>
      <c r="TA234" s="31"/>
      <c r="TB234" s="31"/>
      <c r="TC234" s="31"/>
      <c r="TD234" s="31"/>
      <c r="TE234" s="31"/>
      <c r="TF234" s="31"/>
      <c r="TG234" s="31"/>
      <c r="TH234" s="31"/>
      <c r="TI234" s="31"/>
      <c r="TJ234" s="31"/>
      <c r="TK234" s="31"/>
      <c r="TL234" s="31"/>
      <c r="TM234" s="31"/>
      <c r="TN234" s="31"/>
      <c r="TO234" s="31"/>
      <c r="TP234" s="31"/>
      <c r="TQ234" s="31"/>
      <c r="TR234" s="31"/>
      <c r="TS234" s="31"/>
      <c r="TT234" s="31"/>
      <c r="TU234" s="31"/>
      <c r="TV234" s="31"/>
      <c r="TW234" s="31"/>
      <c r="TX234" s="31"/>
      <c r="TY234" s="31"/>
      <c r="TZ234" s="31"/>
      <c r="UA234" s="31"/>
      <c r="UB234" s="31"/>
      <c r="UC234" s="31"/>
      <c r="UD234" s="31"/>
      <c r="UE234" s="31"/>
      <c r="UF234" s="31"/>
      <c r="UG234" s="33"/>
    </row>
    <row r="235" spans="1:553" ht="30" customHeight="1">
      <c r="A235" s="366" t="s">
        <v>15</v>
      </c>
      <c r="B235" s="366" t="s">
        <v>31</v>
      </c>
      <c r="C235" s="427" t="s">
        <v>1266</v>
      </c>
      <c r="D235" s="376" t="s">
        <v>20</v>
      </c>
      <c r="E235" s="376" t="s">
        <v>225</v>
      </c>
      <c r="F235" s="385"/>
      <c r="G235" s="386" t="s">
        <v>34</v>
      </c>
      <c r="H235" s="359"/>
      <c r="I235" s="422">
        <f>0.5*1.2*6</f>
        <v>3.5999999999999996</v>
      </c>
      <c r="J235" s="368">
        <v>606342</v>
      </c>
      <c r="K235" s="491"/>
      <c r="L235" s="366">
        <f t="shared" si="49"/>
        <v>2182831.1999999997</v>
      </c>
      <c r="M235" s="366"/>
      <c r="N235" s="366"/>
      <c r="O235" s="366"/>
      <c r="P235" s="366"/>
      <c r="Q235" s="813"/>
      <c r="R235" s="411"/>
      <c r="S235" s="308"/>
      <c r="T235" s="303"/>
      <c r="U235" s="306"/>
      <c r="V235" s="307"/>
      <c r="W235" s="306"/>
      <c r="X235" s="306"/>
      <c r="Y235" s="306"/>
      <c r="Z235" s="306"/>
      <c r="AA235" s="306"/>
      <c r="AB235" s="306"/>
      <c r="AC235" s="454"/>
      <c r="AD235" s="455"/>
      <c r="AE235" s="455"/>
      <c r="AF235" s="455"/>
      <c r="AG235" s="455"/>
      <c r="AH235" s="455"/>
      <c r="AI235" s="455"/>
      <c r="AJ235" s="455"/>
      <c r="AK235" s="455"/>
      <c r="AL235" s="111"/>
      <c r="AM235" s="35"/>
      <c r="AN235" s="35"/>
      <c r="AO235" s="35"/>
      <c r="AP235" s="35"/>
      <c r="AQ235" s="35"/>
      <c r="AR235" s="35"/>
      <c r="AS235" s="35"/>
      <c r="AT235" s="35"/>
      <c r="AU235" s="35"/>
      <c r="AV235" s="35"/>
      <c r="AW235" s="35"/>
      <c r="AX235" s="35"/>
      <c r="AY235" s="35"/>
      <c r="AZ235" s="35"/>
      <c r="BA235" s="35"/>
      <c r="BB235" s="35"/>
      <c r="BC235" s="35"/>
      <c r="BD235" s="35"/>
      <c r="BE235" s="35"/>
      <c r="BF235" s="31"/>
      <c r="BG235" s="31"/>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c r="CH235" s="31"/>
      <c r="CI235" s="31"/>
      <c r="CJ235" s="31"/>
      <c r="CK235" s="31"/>
      <c r="CL235" s="31"/>
      <c r="CM235" s="31"/>
      <c r="CN235" s="31"/>
      <c r="CO235" s="31"/>
      <c r="CP235" s="31"/>
      <c r="CQ235" s="31"/>
      <c r="CR235" s="31"/>
      <c r="CS235" s="31"/>
      <c r="CT235" s="31"/>
      <c r="CU235" s="31"/>
      <c r="CV235" s="31"/>
      <c r="CW235" s="31"/>
      <c r="CX235" s="31"/>
      <c r="CY235" s="31"/>
      <c r="CZ235" s="31"/>
      <c r="DA235" s="31"/>
      <c r="DB235" s="31"/>
      <c r="DC235" s="31"/>
      <c r="DD235" s="31"/>
      <c r="DE235" s="31"/>
      <c r="DF235" s="31"/>
      <c r="DG235" s="31"/>
      <c r="DH235" s="31"/>
      <c r="DI235" s="31"/>
      <c r="DJ235" s="31"/>
      <c r="DK235" s="31"/>
      <c r="DL235" s="31"/>
      <c r="DM235" s="31"/>
      <c r="DN235" s="31"/>
      <c r="DO235" s="31"/>
      <c r="DP235" s="31"/>
      <c r="DQ235" s="31"/>
      <c r="DR235" s="31"/>
      <c r="DS235" s="31"/>
      <c r="DT235" s="31"/>
      <c r="DU235" s="31"/>
      <c r="DV235" s="31"/>
      <c r="DW235" s="31"/>
      <c r="DX235" s="31"/>
      <c r="DY235" s="31"/>
      <c r="DZ235" s="31"/>
      <c r="EA235" s="31"/>
      <c r="EB235" s="31"/>
      <c r="EC235" s="31"/>
      <c r="ED235" s="31"/>
      <c r="EE235" s="31"/>
      <c r="EF235" s="31"/>
      <c r="EG235" s="31"/>
      <c r="EH235" s="31"/>
      <c r="EI235" s="31"/>
      <c r="EJ235" s="31"/>
      <c r="EK235" s="31"/>
      <c r="EL235" s="31"/>
      <c r="EM235" s="31"/>
      <c r="EN235" s="31"/>
      <c r="EO235" s="31"/>
      <c r="EP235" s="31"/>
      <c r="EQ235" s="31"/>
      <c r="ER235" s="31"/>
      <c r="ES235" s="31"/>
      <c r="ET235" s="31"/>
      <c r="EU235" s="31"/>
      <c r="EV235" s="31"/>
      <c r="EW235" s="31"/>
      <c r="EX235" s="31"/>
      <c r="EY235" s="31"/>
      <c r="EZ235" s="31"/>
      <c r="FA235" s="31"/>
      <c r="FB235" s="31"/>
      <c r="FC235" s="31"/>
      <c r="FD235" s="31"/>
      <c r="FE235" s="31"/>
      <c r="FF235" s="31"/>
      <c r="FG235" s="31"/>
      <c r="FH235" s="31"/>
      <c r="FI235" s="31"/>
      <c r="FJ235" s="31"/>
      <c r="FK235" s="31"/>
      <c r="FL235" s="31"/>
      <c r="FM235" s="31"/>
      <c r="FN235" s="31"/>
      <c r="FO235" s="31"/>
      <c r="FP235" s="31"/>
      <c r="FQ235" s="31"/>
      <c r="FR235" s="31"/>
      <c r="FS235" s="31"/>
      <c r="FT235" s="31"/>
      <c r="FU235" s="31"/>
      <c r="FV235" s="31"/>
      <c r="FW235" s="31"/>
      <c r="FX235" s="31"/>
      <c r="FY235" s="31"/>
      <c r="FZ235" s="31"/>
      <c r="GA235" s="31"/>
      <c r="GB235" s="31"/>
      <c r="GC235" s="31"/>
      <c r="GD235" s="31"/>
      <c r="GE235" s="31"/>
      <c r="GF235" s="31"/>
      <c r="GG235" s="31"/>
      <c r="GH235" s="31"/>
      <c r="GI235" s="31"/>
      <c r="GJ235" s="31"/>
      <c r="GK235" s="31"/>
      <c r="GL235" s="31"/>
      <c r="GM235" s="31"/>
      <c r="GN235" s="31"/>
      <c r="GO235" s="31"/>
      <c r="GP235" s="31"/>
      <c r="GQ235" s="31"/>
      <c r="GR235" s="31"/>
      <c r="GS235" s="31"/>
      <c r="GT235" s="31"/>
      <c r="GU235" s="31"/>
      <c r="GV235" s="31"/>
      <c r="GW235" s="31"/>
      <c r="GX235" s="31"/>
      <c r="GY235" s="31"/>
      <c r="GZ235" s="31"/>
      <c r="HA235" s="31"/>
      <c r="HB235" s="31"/>
      <c r="HC235" s="31"/>
      <c r="HD235" s="31"/>
      <c r="HE235" s="31"/>
      <c r="HF235" s="31"/>
      <c r="HG235" s="31"/>
      <c r="HH235" s="31"/>
      <c r="HI235" s="31"/>
      <c r="HJ235" s="31"/>
      <c r="HK235" s="31"/>
      <c r="HL235" s="31"/>
      <c r="HM235" s="31"/>
      <c r="HN235" s="31"/>
      <c r="HO235" s="31"/>
      <c r="HP235" s="31"/>
      <c r="HQ235" s="31"/>
      <c r="HR235" s="31"/>
      <c r="HS235" s="31"/>
      <c r="HT235" s="31"/>
      <c r="HU235" s="31"/>
      <c r="HV235" s="31"/>
      <c r="HW235" s="31"/>
      <c r="HX235" s="31"/>
      <c r="HY235" s="31"/>
      <c r="HZ235" s="31"/>
      <c r="IA235" s="31"/>
      <c r="IB235" s="31"/>
      <c r="IC235" s="31"/>
      <c r="ID235" s="31"/>
      <c r="IE235" s="31"/>
      <c r="IF235" s="31"/>
      <c r="IG235" s="31"/>
      <c r="IH235" s="31"/>
      <c r="II235" s="31"/>
      <c r="IJ235" s="31"/>
      <c r="IK235" s="31"/>
      <c r="IL235" s="31"/>
      <c r="IM235" s="31"/>
      <c r="IN235" s="31"/>
      <c r="IO235" s="31"/>
      <c r="IP235" s="31"/>
      <c r="IQ235" s="31"/>
      <c r="IR235" s="31"/>
      <c r="IS235" s="31"/>
      <c r="IT235" s="31"/>
      <c r="IU235" s="31"/>
      <c r="IV235" s="31"/>
      <c r="IW235" s="31"/>
      <c r="IX235" s="31"/>
      <c r="IY235" s="31"/>
      <c r="IZ235" s="31"/>
      <c r="JA235" s="31"/>
      <c r="JB235" s="31"/>
      <c r="JC235" s="31"/>
      <c r="JD235" s="31"/>
      <c r="JE235" s="31"/>
      <c r="JF235" s="31"/>
      <c r="JG235" s="31"/>
      <c r="JH235" s="31"/>
      <c r="JI235" s="31"/>
      <c r="JJ235" s="31"/>
      <c r="JK235" s="31"/>
      <c r="JL235" s="31"/>
      <c r="JM235" s="31"/>
      <c r="JN235" s="31"/>
      <c r="JO235" s="31"/>
      <c r="JP235" s="31"/>
      <c r="JQ235" s="31"/>
      <c r="JR235" s="31"/>
      <c r="JS235" s="31"/>
      <c r="JT235" s="31"/>
      <c r="JU235" s="31"/>
      <c r="JV235" s="31"/>
      <c r="JW235" s="31"/>
      <c r="JX235" s="31"/>
      <c r="JY235" s="31"/>
      <c r="JZ235" s="31"/>
      <c r="KA235" s="31"/>
      <c r="KB235" s="31"/>
      <c r="KC235" s="31"/>
      <c r="KD235" s="31"/>
      <c r="KE235" s="31"/>
      <c r="KF235" s="31"/>
      <c r="KG235" s="31"/>
      <c r="KH235" s="31"/>
      <c r="KI235" s="31"/>
      <c r="KJ235" s="31"/>
      <c r="KK235" s="31"/>
      <c r="KL235" s="31"/>
      <c r="KM235" s="31"/>
      <c r="KN235" s="31"/>
      <c r="KO235" s="31"/>
      <c r="KP235" s="31"/>
      <c r="KQ235" s="31"/>
      <c r="KR235" s="31"/>
      <c r="KS235" s="31"/>
      <c r="KT235" s="31"/>
      <c r="KU235" s="31"/>
      <c r="KV235" s="31"/>
      <c r="KW235" s="31"/>
      <c r="KX235" s="31"/>
      <c r="KY235" s="31"/>
      <c r="KZ235" s="31"/>
      <c r="LA235" s="31"/>
      <c r="LB235" s="31"/>
      <c r="LC235" s="31"/>
      <c r="LD235" s="31"/>
      <c r="LE235" s="31"/>
      <c r="LF235" s="31"/>
      <c r="LG235" s="31"/>
      <c r="LH235" s="31"/>
      <c r="LI235" s="31"/>
      <c r="LJ235" s="31"/>
      <c r="LK235" s="31"/>
      <c r="LL235" s="31"/>
      <c r="LM235" s="31"/>
      <c r="LN235" s="31"/>
      <c r="LO235" s="31"/>
      <c r="LP235" s="31"/>
      <c r="LQ235" s="31"/>
      <c r="LR235" s="31"/>
      <c r="LS235" s="31"/>
      <c r="LT235" s="31"/>
      <c r="LU235" s="31"/>
      <c r="LV235" s="31"/>
      <c r="LW235" s="31"/>
      <c r="LX235" s="31"/>
      <c r="LY235" s="31"/>
      <c r="LZ235" s="31"/>
      <c r="MA235" s="31"/>
      <c r="MB235" s="31"/>
      <c r="MC235" s="31"/>
      <c r="MD235" s="31"/>
      <c r="ME235" s="31"/>
      <c r="MF235" s="31"/>
      <c r="MG235" s="31"/>
      <c r="MH235" s="31"/>
      <c r="MI235" s="31"/>
      <c r="MJ235" s="31"/>
      <c r="MK235" s="31"/>
      <c r="ML235" s="31"/>
      <c r="MM235" s="31"/>
      <c r="MN235" s="31"/>
      <c r="MO235" s="31"/>
      <c r="MP235" s="31"/>
      <c r="MQ235" s="31"/>
      <c r="MR235" s="31"/>
      <c r="MS235" s="31"/>
      <c r="MT235" s="31"/>
      <c r="MU235" s="31"/>
      <c r="MV235" s="31"/>
      <c r="MW235" s="31"/>
      <c r="MX235" s="31"/>
      <c r="MY235" s="31"/>
      <c r="MZ235" s="31"/>
      <c r="NA235" s="31"/>
      <c r="NB235" s="31"/>
      <c r="NC235" s="31"/>
      <c r="ND235" s="31"/>
      <c r="NE235" s="31"/>
      <c r="NF235" s="31"/>
      <c r="NG235" s="31"/>
      <c r="NH235" s="31"/>
      <c r="NI235" s="31"/>
      <c r="NJ235" s="31"/>
      <c r="NK235" s="31"/>
      <c r="NL235" s="31"/>
      <c r="NM235" s="31"/>
      <c r="NN235" s="31"/>
      <c r="NO235" s="31"/>
      <c r="NP235" s="31"/>
      <c r="NQ235" s="31"/>
      <c r="NR235" s="31"/>
      <c r="NS235" s="31"/>
      <c r="NT235" s="31"/>
      <c r="NU235" s="31"/>
      <c r="NV235" s="31"/>
      <c r="NW235" s="31"/>
      <c r="NX235" s="31"/>
      <c r="NY235" s="31"/>
      <c r="NZ235" s="31"/>
      <c r="OA235" s="31"/>
      <c r="OB235" s="31"/>
      <c r="OC235" s="31"/>
      <c r="OD235" s="31"/>
      <c r="OE235" s="31"/>
      <c r="OF235" s="31"/>
      <c r="OG235" s="31"/>
      <c r="OH235" s="31"/>
      <c r="OI235" s="31"/>
      <c r="OJ235" s="31"/>
      <c r="OK235" s="31"/>
      <c r="OL235" s="31"/>
      <c r="OM235" s="31"/>
      <c r="ON235" s="31"/>
      <c r="OO235" s="31"/>
      <c r="OP235" s="31"/>
      <c r="OQ235" s="31"/>
      <c r="OR235" s="31"/>
      <c r="OS235" s="31"/>
      <c r="OT235" s="31"/>
      <c r="OU235" s="31"/>
      <c r="OV235" s="31"/>
      <c r="OW235" s="31"/>
      <c r="OX235" s="31"/>
      <c r="OY235" s="31"/>
      <c r="OZ235" s="31"/>
      <c r="PA235" s="31"/>
      <c r="PB235" s="31"/>
      <c r="PC235" s="31"/>
      <c r="PD235" s="31"/>
      <c r="PE235" s="31"/>
      <c r="PF235" s="31"/>
      <c r="PG235" s="31"/>
      <c r="PH235" s="31"/>
      <c r="PI235" s="31"/>
      <c r="PJ235" s="31"/>
      <c r="PK235" s="31"/>
      <c r="PL235" s="31"/>
      <c r="PM235" s="31"/>
      <c r="PN235" s="31"/>
      <c r="PO235" s="31"/>
      <c r="PP235" s="31"/>
      <c r="PQ235" s="31"/>
      <c r="PR235" s="31"/>
      <c r="PS235" s="31"/>
      <c r="PT235" s="31"/>
      <c r="PU235" s="31"/>
      <c r="PV235" s="31"/>
      <c r="PW235" s="31"/>
      <c r="PX235" s="31"/>
      <c r="PY235" s="31"/>
      <c r="PZ235" s="31"/>
      <c r="QA235" s="31"/>
      <c r="QB235" s="31"/>
      <c r="QC235" s="31"/>
      <c r="QD235" s="31"/>
      <c r="QE235" s="31"/>
      <c r="QF235" s="31"/>
      <c r="QG235" s="31"/>
      <c r="QH235" s="31"/>
      <c r="QI235" s="31"/>
      <c r="QJ235" s="31"/>
      <c r="QK235" s="31"/>
      <c r="QL235" s="31"/>
      <c r="QM235" s="31"/>
      <c r="QN235" s="31"/>
      <c r="QO235" s="31"/>
      <c r="QP235" s="31"/>
      <c r="QQ235" s="31"/>
      <c r="QR235" s="31"/>
      <c r="QS235" s="31"/>
      <c r="QT235" s="31"/>
      <c r="QU235" s="31"/>
      <c r="QV235" s="31"/>
      <c r="QW235" s="31"/>
      <c r="QX235" s="31"/>
      <c r="QY235" s="31"/>
      <c r="QZ235" s="31"/>
      <c r="RA235" s="31"/>
      <c r="RB235" s="31"/>
      <c r="RC235" s="31"/>
      <c r="RD235" s="31"/>
      <c r="RE235" s="31"/>
      <c r="RF235" s="31"/>
      <c r="RG235" s="31"/>
      <c r="RH235" s="31"/>
      <c r="RI235" s="31"/>
      <c r="RJ235" s="31"/>
      <c r="RK235" s="31"/>
      <c r="RL235" s="31"/>
      <c r="RM235" s="31"/>
      <c r="RN235" s="31"/>
      <c r="RO235" s="31"/>
      <c r="RP235" s="31"/>
      <c r="RQ235" s="31"/>
      <c r="RR235" s="31"/>
      <c r="RS235" s="31"/>
      <c r="RT235" s="31"/>
      <c r="RU235" s="31"/>
      <c r="RV235" s="31"/>
      <c r="RW235" s="31"/>
      <c r="RX235" s="31"/>
      <c r="RY235" s="31"/>
      <c r="RZ235" s="31"/>
      <c r="SA235" s="31"/>
      <c r="SB235" s="31"/>
      <c r="SC235" s="31"/>
      <c r="SD235" s="31"/>
      <c r="SE235" s="31"/>
      <c r="SF235" s="31"/>
      <c r="SG235" s="31"/>
      <c r="SH235" s="31"/>
      <c r="SI235" s="31"/>
      <c r="SJ235" s="31"/>
      <c r="SK235" s="31"/>
      <c r="SL235" s="31"/>
      <c r="SM235" s="31"/>
      <c r="SN235" s="31"/>
      <c r="SO235" s="31"/>
      <c r="SP235" s="31"/>
      <c r="SQ235" s="31"/>
      <c r="SR235" s="31"/>
      <c r="SS235" s="31"/>
      <c r="ST235" s="31"/>
      <c r="SU235" s="31"/>
      <c r="SV235" s="31"/>
      <c r="SW235" s="31"/>
      <c r="SX235" s="31"/>
      <c r="SY235" s="31"/>
      <c r="SZ235" s="31"/>
      <c r="TA235" s="31"/>
      <c r="TB235" s="31"/>
      <c r="TC235" s="31"/>
      <c r="TD235" s="31"/>
      <c r="TE235" s="31"/>
      <c r="TF235" s="31"/>
      <c r="TG235" s="31"/>
      <c r="TH235" s="31"/>
      <c r="TI235" s="31"/>
      <c r="TJ235" s="31"/>
      <c r="TK235" s="31"/>
      <c r="TL235" s="31"/>
      <c r="TM235" s="31"/>
      <c r="TN235" s="31"/>
      <c r="TO235" s="31"/>
      <c r="TP235" s="31"/>
      <c r="TQ235" s="31"/>
      <c r="TR235" s="31"/>
      <c r="TS235" s="31"/>
      <c r="TT235" s="31"/>
      <c r="TU235" s="31"/>
      <c r="TV235" s="31"/>
      <c r="TW235" s="31"/>
      <c r="TX235" s="31"/>
      <c r="TY235" s="31"/>
      <c r="TZ235" s="31"/>
      <c r="UA235" s="31"/>
      <c r="UB235" s="31"/>
      <c r="UC235" s="31"/>
      <c r="UD235" s="31"/>
      <c r="UE235" s="31"/>
      <c r="UF235" s="31"/>
      <c r="UG235" s="33"/>
    </row>
    <row r="236" spans="1:553" ht="30" customHeight="1">
      <c r="A236" s="366" t="s">
        <v>15</v>
      </c>
      <c r="B236" s="366" t="s">
        <v>31</v>
      </c>
      <c r="C236" s="427" t="s">
        <v>1267</v>
      </c>
      <c r="D236" s="376" t="s">
        <v>20</v>
      </c>
      <c r="E236" s="376">
        <v>339</v>
      </c>
      <c r="F236" s="385"/>
      <c r="G236" s="386" t="s">
        <v>34</v>
      </c>
      <c r="H236" s="370"/>
      <c r="I236" s="422">
        <f>0.5*1.2*8</f>
        <v>4.8</v>
      </c>
      <c r="J236" s="368">
        <v>606342</v>
      </c>
      <c r="K236" s="388"/>
      <c r="L236" s="366">
        <f t="shared" si="49"/>
        <v>2910441.6</v>
      </c>
      <c r="M236" s="366"/>
      <c r="N236" s="366"/>
      <c r="O236" s="366"/>
      <c r="P236" s="366"/>
      <c r="Q236" s="1135"/>
      <c r="R236" s="411"/>
      <c r="S236" s="309"/>
      <c r="T236" s="310"/>
      <c r="U236" s="311"/>
      <c r="V236" s="312"/>
      <c r="W236" s="311"/>
      <c r="X236" s="311"/>
      <c r="Y236" s="311"/>
      <c r="Z236" s="311"/>
      <c r="AA236" s="311"/>
      <c r="AB236" s="311"/>
      <c r="AC236" s="449"/>
      <c r="AD236" s="452"/>
      <c r="AE236" s="452"/>
      <c r="AF236" s="452"/>
      <c r="AG236" s="452"/>
      <c r="AH236" s="452"/>
      <c r="AI236" s="452"/>
      <c r="AJ236" s="452"/>
      <c r="AK236" s="452"/>
      <c r="AL236" s="106"/>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c r="CH236" s="31"/>
      <c r="CI236" s="31"/>
      <c r="CJ236" s="31"/>
      <c r="CK236" s="31"/>
      <c r="CL236" s="31"/>
      <c r="CM236" s="31"/>
      <c r="CN236" s="31"/>
      <c r="CO236" s="31"/>
      <c r="CP236" s="31"/>
      <c r="CQ236" s="31"/>
      <c r="CR236" s="31"/>
      <c r="CS236" s="31"/>
      <c r="CT236" s="31"/>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31"/>
      <c r="DQ236" s="31"/>
      <c r="DR236" s="31"/>
      <c r="DS236" s="31"/>
      <c r="DT236" s="31"/>
      <c r="DU236" s="31"/>
      <c r="DV236" s="31"/>
      <c r="DW236" s="31"/>
      <c r="DX236" s="31"/>
      <c r="DY236" s="31"/>
      <c r="DZ236" s="31"/>
      <c r="EA236" s="31"/>
      <c r="EB236" s="31"/>
      <c r="EC236" s="31"/>
      <c r="ED236" s="31"/>
      <c r="EE236" s="31"/>
      <c r="EF236" s="31"/>
      <c r="EG236" s="31"/>
      <c r="EH236" s="31"/>
      <c r="EI236" s="31"/>
      <c r="EJ236" s="31"/>
      <c r="EK236" s="31"/>
      <c r="EL236" s="31"/>
      <c r="EM236" s="31"/>
      <c r="EN236" s="31"/>
      <c r="EO236" s="31"/>
      <c r="EP236" s="31"/>
      <c r="EQ236" s="31"/>
      <c r="ER236" s="31"/>
      <c r="ES236" s="31"/>
      <c r="ET236" s="31"/>
      <c r="EU236" s="31"/>
      <c r="EV236" s="31"/>
      <c r="EW236" s="31"/>
      <c r="EX236" s="31"/>
      <c r="EY236" s="31"/>
      <c r="EZ236" s="31"/>
      <c r="FA236" s="31"/>
      <c r="FB236" s="31"/>
      <c r="FC236" s="31"/>
      <c r="FD236" s="31"/>
      <c r="FE236" s="31"/>
      <c r="FF236" s="31"/>
      <c r="FG236" s="31"/>
      <c r="FH236" s="31"/>
      <c r="FI236" s="31"/>
      <c r="FJ236" s="31"/>
      <c r="FK236" s="31"/>
      <c r="FL236" s="31"/>
      <c r="FM236" s="31"/>
      <c r="FN236" s="31"/>
      <c r="FO236" s="31"/>
      <c r="FP236" s="31"/>
      <c r="FQ236" s="31"/>
      <c r="FR236" s="31"/>
      <c r="FS236" s="31"/>
      <c r="FT236" s="31"/>
      <c r="FU236" s="31"/>
      <c r="FV236" s="31"/>
      <c r="FW236" s="31"/>
      <c r="FX236" s="31"/>
      <c r="FY236" s="31"/>
      <c r="FZ236" s="31"/>
      <c r="GA236" s="31"/>
      <c r="GB236" s="31"/>
      <c r="GC236" s="31"/>
      <c r="GD236" s="31"/>
      <c r="GE236" s="31"/>
      <c r="GF236" s="31"/>
      <c r="GG236" s="31"/>
      <c r="GH236" s="31"/>
      <c r="GI236" s="31"/>
      <c r="GJ236" s="31"/>
      <c r="GK236" s="31"/>
      <c r="GL236" s="31"/>
      <c r="GM236" s="31"/>
      <c r="GN236" s="31"/>
      <c r="GO236" s="31"/>
      <c r="GP236" s="31"/>
      <c r="GQ236" s="31"/>
      <c r="GR236" s="31"/>
      <c r="GS236" s="31"/>
      <c r="GT236" s="31"/>
      <c r="GU236" s="31"/>
      <c r="GV236" s="31"/>
      <c r="GW236" s="31"/>
      <c r="GX236" s="31"/>
      <c r="GY236" s="31"/>
      <c r="GZ236" s="31"/>
      <c r="HA236" s="31"/>
      <c r="HB236" s="31"/>
      <c r="HC236" s="31"/>
      <c r="HD236" s="31"/>
      <c r="HE236" s="31"/>
      <c r="HF236" s="31"/>
      <c r="HG236" s="31"/>
      <c r="HH236" s="31"/>
      <c r="HI236" s="31"/>
      <c r="HJ236" s="31"/>
      <c r="HK236" s="31"/>
      <c r="HL236" s="31"/>
      <c r="HM236" s="31"/>
      <c r="HN236" s="31"/>
      <c r="HO236" s="31"/>
      <c r="HP236" s="31"/>
      <c r="HQ236" s="31"/>
      <c r="HR236" s="31"/>
      <c r="HS236" s="31"/>
      <c r="HT236" s="31"/>
      <c r="HU236" s="31"/>
      <c r="HV236" s="31"/>
      <c r="HW236" s="31"/>
      <c r="HX236" s="31"/>
      <c r="HY236" s="31"/>
      <c r="HZ236" s="31"/>
      <c r="IA236" s="31"/>
      <c r="IB236" s="31"/>
      <c r="IC236" s="31"/>
      <c r="ID236" s="31"/>
      <c r="IE236" s="31"/>
      <c r="IF236" s="31"/>
      <c r="IG236" s="31"/>
      <c r="IH236" s="31"/>
      <c r="II236" s="31"/>
      <c r="IJ236" s="31"/>
      <c r="IK236" s="31"/>
      <c r="IL236" s="31"/>
      <c r="IM236" s="31"/>
      <c r="IN236" s="31"/>
      <c r="IO236" s="31"/>
      <c r="IP236" s="31"/>
      <c r="IQ236" s="31"/>
      <c r="IR236" s="31"/>
      <c r="IS236" s="31"/>
      <c r="IT236" s="31"/>
      <c r="IU236" s="31"/>
      <c r="IV236" s="31"/>
      <c r="IW236" s="31"/>
      <c r="IX236" s="31"/>
      <c r="IY236" s="31"/>
      <c r="IZ236" s="31"/>
      <c r="JA236" s="31"/>
      <c r="JB236" s="31"/>
      <c r="JC236" s="31"/>
      <c r="JD236" s="31"/>
      <c r="JE236" s="31"/>
      <c r="JF236" s="31"/>
      <c r="JG236" s="31"/>
      <c r="JH236" s="31"/>
      <c r="JI236" s="31"/>
      <c r="JJ236" s="31"/>
      <c r="JK236" s="31"/>
      <c r="JL236" s="31"/>
      <c r="JM236" s="31"/>
      <c r="JN236" s="31"/>
      <c r="JO236" s="31"/>
      <c r="JP236" s="31"/>
      <c r="JQ236" s="31"/>
      <c r="JR236" s="31"/>
      <c r="JS236" s="31"/>
      <c r="JT236" s="31"/>
      <c r="JU236" s="31"/>
      <c r="JV236" s="31"/>
      <c r="JW236" s="31"/>
      <c r="JX236" s="31"/>
      <c r="JY236" s="31"/>
      <c r="JZ236" s="31"/>
      <c r="KA236" s="31"/>
      <c r="KB236" s="31"/>
      <c r="KC236" s="31"/>
      <c r="KD236" s="31"/>
      <c r="KE236" s="31"/>
      <c r="KF236" s="31"/>
      <c r="KG236" s="31"/>
      <c r="KH236" s="31"/>
      <c r="KI236" s="31"/>
      <c r="KJ236" s="31"/>
      <c r="KK236" s="31"/>
      <c r="KL236" s="31"/>
      <c r="KM236" s="31"/>
      <c r="KN236" s="31"/>
      <c r="KO236" s="31"/>
      <c r="KP236" s="31"/>
      <c r="KQ236" s="31"/>
      <c r="KR236" s="31"/>
      <c r="KS236" s="31"/>
      <c r="KT236" s="31"/>
      <c r="KU236" s="31"/>
      <c r="KV236" s="31"/>
      <c r="KW236" s="31"/>
      <c r="KX236" s="31"/>
      <c r="KY236" s="31"/>
      <c r="KZ236" s="31"/>
      <c r="LA236" s="31"/>
      <c r="LB236" s="31"/>
      <c r="LC236" s="31"/>
      <c r="LD236" s="31"/>
      <c r="LE236" s="31"/>
      <c r="LF236" s="31"/>
      <c r="LG236" s="31"/>
      <c r="LH236" s="31"/>
      <c r="LI236" s="31"/>
      <c r="LJ236" s="31"/>
      <c r="LK236" s="31"/>
      <c r="LL236" s="31"/>
      <c r="LM236" s="31"/>
      <c r="LN236" s="31"/>
      <c r="LO236" s="31"/>
      <c r="LP236" s="31"/>
      <c r="LQ236" s="31"/>
      <c r="LR236" s="31"/>
      <c r="LS236" s="31"/>
      <c r="LT236" s="31"/>
      <c r="LU236" s="31"/>
      <c r="LV236" s="31"/>
      <c r="LW236" s="31"/>
      <c r="LX236" s="31"/>
      <c r="LY236" s="31"/>
      <c r="LZ236" s="31"/>
      <c r="MA236" s="31"/>
      <c r="MB236" s="31"/>
      <c r="MC236" s="31"/>
      <c r="MD236" s="31"/>
      <c r="ME236" s="31"/>
      <c r="MF236" s="31"/>
      <c r="MG236" s="31"/>
      <c r="MH236" s="31"/>
      <c r="MI236" s="31"/>
      <c r="MJ236" s="31"/>
      <c r="MK236" s="31"/>
      <c r="ML236" s="31"/>
      <c r="MM236" s="31"/>
      <c r="MN236" s="31"/>
      <c r="MO236" s="31"/>
      <c r="MP236" s="31"/>
      <c r="MQ236" s="31"/>
      <c r="MR236" s="31"/>
      <c r="MS236" s="31"/>
      <c r="MT236" s="31"/>
      <c r="MU236" s="31"/>
      <c r="MV236" s="31"/>
      <c r="MW236" s="31"/>
      <c r="MX236" s="31"/>
      <c r="MY236" s="31"/>
      <c r="MZ236" s="31"/>
      <c r="NA236" s="31"/>
      <c r="NB236" s="31"/>
      <c r="NC236" s="31"/>
      <c r="ND236" s="31"/>
      <c r="NE236" s="31"/>
      <c r="NF236" s="31"/>
      <c r="NG236" s="31"/>
      <c r="NH236" s="31"/>
      <c r="NI236" s="31"/>
      <c r="NJ236" s="31"/>
      <c r="NK236" s="31"/>
      <c r="NL236" s="31"/>
      <c r="NM236" s="31"/>
      <c r="NN236" s="31"/>
      <c r="NO236" s="31"/>
      <c r="NP236" s="31"/>
      <c r="NQ236" s="31"/>
      <c r="NR236" s="31"/>
      <c r="NS236" s="31"/>
      <c r="NT236" s="31"/>
      <c r="NU236" s="31"/>
      <c r="NV236" s="31"/>
      <c r="NW236" s="31"/>
      <c r="NX236" s="31"/>
      <c r="NY236" s="31"/>
      <c r="NZ236" s="31"/>
      <c r="OA236" s="31"/>
      <c r="OB236" s="31"/>
      <c r="OC236" s="31"/>
      <c r="OD236" s="31"/>
      <c r="OE236" s="31"/>
      <c r="OF236" s="31"/>
      <c r="OG236" s="31"/>
      <c r="OH236" s="31"/>
      <c r="OI236" s="31"/>
      <c r="OJ236" s="31"/>
      <c r="OK236" s="31"/>
      <c r="OL236" s="31"/>
      <c r="OM236" s="31"/>
      <c r="ON236" s="31"/>
      <c r="OO236" s="31"/>
      <c r="OP236" s="31"/>
      <c r="OQ236" s="31"/>
      <c r="OR236" s="31"/>
      <c r="OS236" s="31"/>
      <c r="OT236" s="31"/>
      <c r="OU236" s="31"/>
      <c r="OV236" s="31"/>
      <c r="OW236" s="31"/>
      <c r="OX236" s="31"/>
      <c r="OY236" s="31"/>
      <c r="OZ236" s="31"/>
      <c r="PA236" s="31"/>
      <c r="PB236" s="31"/>
      <c r="PC236" s="31"/>
      <c r="PD236" s="31"/>
      <c r="PE236" s="31"/>
      <c r="PF236" s="31"/>
      <c r="PG236" s="31"/>
      <c r="PH236" s="31"/>
      <c r="PI236" s="31"/>
      <c r="PJ236" s="31"/>
      <c r="PK236" s="31"/>
      <c r="PL236" s="31"/>
      <c r="PM236" s="31"/>
      <c r="PN236" s="31"/>
      <c r="PO236" s="31"/>
      <c r="PP236" s="31"/>
      <c r="PQ236" s="31"/>
      <c r="PR236" s="31"/>
      <c r="PS236" s="31"/>
      <c r="PT236" s="31"/>
      <c r="PU236" s="31"/>
      <c r="PV236" s="31"/>
      <c r="PW236" s="31"/>
      <c r="PX236" s="31"/>
      <c r="PY236" s="31"/>
      <c r="PZ236" s="31"/>
      <c r="QA236" s="31"/>
      <c r="QB236" s="31"/>
      <c r="QC236" s="31"/>
      <c r="QD236" s="31"/>
      <c r="QE236" s="31"/>
      <c r="QF236" s="31"/>
      <c r="QG236" s="31"/>
      <c r="QH236" s="31"/>
      <c r="QI236" s="31"/>
      <c r="QJ236" s="31"/>
      <c r="QK236" s="31"/>
      <c r="QL236" s="31"/>
      <c r="QM236" s="31"/>
      <c r="QN236" s="31"/>
      <c r="QO236" s="31"/>
      <c r="QP236" s="31"/>
      <c r="QQ236" s="31"/>
      <c r="QR236" s="31"/>
      <c r="QS236" s="31"/>
      <c r="QT236" s="31"/>
      <c r="QU236" s="31"/>
      <c r="QV236" s="31"/>
      <c r="QW236" s="31"/>
      <c r="QX236" s="31"/>
      <c r="QY236" s="31"/>
      <c r="QZ236" s="31"/>
      <c r="RA236" s="31"/>
      <c r="RB236" s="31"/>
      <c r="RC236" s="31"/>
      <c r="RD236" s="31"/>
      <c r="RE236" s="31"/>
      <c r="RF236" s="31"/>
      <c r="RG236" s="31"/>
      <c r="RH236" s="31"/>
      <c r="RI236" s="31"/>
      <c r="RJ236" s="31"/>
      <c r="RK236" s="31"/>
      <c r="RL236" s="31"/>
      <c r="RM236" s="31"/>
      <c r="RN236" s="31"/>
      <c r="RO236" s="31"/>
      <c r="RP236" s="31"/>
      <c r="RQ236" s="31"/>
      <c r="RR236" s="31"/>
      <c r="RS236" s="31"/>
      <c r="RT236" s="31"/>
      <c r="RU236" s="31"/>
      <c r="RV236" s="31"/>
      <c r="RW236" s="31"/>
      <c r="RX236" s="31"/>
      <c r="RY236" s="31"/>
      <c r="RZ236" s="31"/>
      <c r="SA236" s="31"/>
      <c r="SB236" s="31"/>
      <c r="SC236" s="31"/>
      <c r="SD236" s="31"/>
      <c r="SE236" s="31"/>
      <c r="SF236" s="31"/>
      <c r="SG236" s="31"/>
      <c r="SH236" s="31"/>
      <c r="SI236" s="31"/>
      <c r="SJ236" s="31"/>
      <c r="SK236" s="31"/>
      <c r="SL236" s="31"/>
      <c r="SM236" s="31"/>
      <c r="SN236" s="31"/>
      <c r="SO236" s="31"/>
      <c r="SP236" s="31"/>
      <c r="SQ236" s="31"/>
      <c r="SR236" s="31"/>
      <c r="SS236" s="31"/>
      <c r="ST236" s="31"/>
      <c r="SU236" s="31"/>
      <c r="SV236" s="31"/>
      <c r="SW236" s="31"/>
      <c r="SX236" s="31"/>
      <c r="SY236" s="31"/>
      <c r="SZ236" s="31"/>
      <c r="TA236" s="31"/>
      <c r="TB236" s="31"/>
      <c r="TC236" s="31"/>
      <c r="TD236" s="31"/>
      <c r="TE236" s="31"/>
      <c r="TF236" s="31"/>
      <c r="TG236" s="31"/>
      <c r="TH236" s="31"/>
      <c r="TI236" s="31"/>
      <c r="TJ236" s="31"/>
      <c r="TK236" s="31"/>
      <c r="TL236" s="31"/>
      <c r="TM236" s="31"/>
      <c r="TN236" s="31"/>
      <c r="TO236" s="31"/>
      <c r="TP236" s="31"/>
      <c r="TQ236" s="31"/>
      <c r="TR236" s="31"/>
      <c r="TS236" s="31"/>
      <c r="TT236" s="31"/>
      <c r="TU236" s="31"/>
      <c r="TV236" s="31"/>
      <c r="TW236" s="31"/>
      <c r="TX236" s="31"/>
      <c r="TY236" s="31"/>
      <c r="TZ236" s="31"/>
      <c r="UA236" s="31"/>
      <c r="UB236" s="31"/>
      <c r="UC236" s="31"/>
      <c r="UD236" s="31"/>
      <c r="UE236" s="31"/>
      <c r="UF236" s="31"/>
      <c r="UG236" s="33"/>
    </row>
    <row r="237" spans="1:553" ht="30" customHeight="1">
      <c r="A237" s="366" t="s">
        <v>15</v>
      </c>
      <c r="B237" s="366" t="s">
        <v>31</v>
      </c>
      <c r="C237" s="427" t="s">
        <v>1268</v>
      </c>
      <c r="D237" s="376" t="s">
        <v>20</v>
      </c>
      <c r="E237" s="376" t="s">
        <v>227</v>
      </c>
      <c r="F237" s="385"/>
      <c r="G237" s="386" t="s">
        <v>34</v>
      </c>
      <c r="H237" s="359"/>
      <c r="I237" s="422">
        <f>0.5*1.2*5</f>
        <v>3</v>
      </c>
      <c r="J237" s="368">
        <v>606342</v>
      </c>
      <c r="K237" s="491"/>
      <c r="L237" s="366">
        <f t="shared" si="49"/>
        <v>1819026</v>
      </c>
      <c r="M237" s="366"/>
      <c r="N237" s="366"/>
      <c r="O237" s="366"/>
      <c r="P237" s="366"/>
      <c r="Q237" s="813"/>
      <c r="R237" s="411"/>
      <c r="S237" s="308"/>
      <c r="T237" s="303"/>
      <c r="U237" s="306"/>
      <c r="V237" s="307"/>
      <c r="W237" s="306"/>
      <c r="X237" s="306"/>
      <c r="Y237" s="306"/>
      <c r="Z237" s="306"/>
      <c r="AA237" s="306"/>
      <c r="AB237" s="306"/>
      <c r="AC237" s="454"/>
      <c r="AD237" s="455"/>
      <c r="AE237" s="455"/>
      <c r="AF237" s="455"/>
      <c r="AG237" s="455"/>
      <c r="AH237" s="455"/>
      <c r="AI237" s="455"/>
      <c r="AJ237" s="455"/>
      <c r="AK237" s="455"/>
      <c r="AL237" s="111"/>
      <c r="AM237" s="35"/>
      <c r="AN237" s="35"/>
      <c r="AO237" s="35"/>
      <c r="AP237" s="35"/>
      <c r="AQ237" s="35"/>
      <c r="AR237" s="35"/>
      <c r="AS237" s="35"/>
      <c r="AT237" s="35"/>
      <c r="AU237" s="35"/>
      <c r="AV237" s="35"/>
      <c r="AW237" s="35"/>
      <c r="AX237" s="35"/>
      <c r="AY237" s="35"/>
      <c r="AZ237" s="35"/>
      <c r="BA237" s="35"/>
      <c r="BB237" s="35"/>
      <c r="BC237" s="35"/>
      <c r="BD237" s="35"/>
      <c r="BE237" s="35"/>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31"/>
      <c r="EF237" s="31"/>
      <c r="EG237" s="31"/>
      <c r="EH237" s="31"/>
      <c r="EI237" s="31"/>
      <c r="EJ237" s="31"/>
      <c r="EK237" s="31"/>
      <c r="EL237" s="31"/>
      <c r="EM237" s="31"/>
      <c r="EN237" s="31"/>
      <c r="EO237" s="31"/>
      <c r="EP237" s="31"/>
      <c r="EQ237" s="31"/>
      <c r="ER237" s="31"/>
      <c r="ES237" s="31"/>
      <c r="ET237" s="31"/>
      <c r="EU237" s="31"/>
      <c r="EV237" s="31"/>
      <c r="EW237" s="31"/>
      <c r="EX237" s="31"/>
      <c r="EY237" s="31"/>
      <c r="EZ237" s="31"/>
      <c r="FA237" s="31"/>
      <c r="FB237" s="31"/>
      <c r="FC237" s="31"/>
      <c r="FD237" s="31"/>
      <c r="FE237" s="31"/>
      <c r="FF237" s="31"/>
      <c r="FG237" s="31"/>
      <c r="FH237" s="31"/>
      <c r="FI237" s="31"/>
      <c r="FJ237" s="31"/>
      <c r="FK237" s="31"/>
      <c r="FL237" s="31"/>
      <c r="FM237" s="31"/>
      <c r="FN237" s="31"/>
      <c r="FO237" s="31"/>
      <c r="FP237" s="31"/>
      <c r="FQ237" s="31"/>
      <c r="FR237" s="31"/>
      <c r="FS237" s="31"/>
      <c r="FT237" s="31"/>
      <c r="FU237" s="31"/>
      <c r="FV237" s="31"/>
      <c r="FW237" s="31"/>
      <c r="FX237" s="31"/>
      <c r="FY237" s="31"/>
      <c r="FZ237" s="31"/>
      <c r="GA237" s="31"/>
      <c r="GB237" s="31"/>
      <c r="GC237" s="31"/>
      <c r="GD237" s="31"/>
      <c r="GE237" s="31"/>
      <c r="GF237" s="31"/>
      <c r="GG237" s="31"/>
      <c r="GH237" s="31"/>
      <c r="GI237" s="31"/>
      <c r="GJ237" s="31"/>
      <c r="GK237" s="31"/>
      <c r="GL237" s="31"/>
      <c r="GM237" s="31"/>
      <c r="GN237" s="31"/>
      <c r="GO237" s="31"/>
      <c r="GP237" s="31"/>
      <c r="GQ237" s="31"/>
      <c r="GR237" s="31"/>
      <c r="GS237" s="31"/>
      <c r="GT237" s="31"/>
      <c r="GU237" s="31"/>
      <c r="GV237" s="31"/>
      <c r="GW237" s="31"/>
      <c r="GX237" s="31"/>
      <c r="GY237" s="31"/>
      <c r="GZ237" s="31"/>
      <c r="HA237" s="31"/>
      <c r="HB237" s="31"/>
      <c r="HC237" s="31"/>
      <c r="HD237" s="31"/>
      <c r="HE237" s="31"/>
      <c r="HF237" s="31"/>
      <c r="HG237" s="31"/>
      <c r="HH237" s="31"/>
      <c r="HI237" s="31"/>
      <c r="HJ237" s="31"/>
      <c r="HK237" s="31"/>
      <c r="HL237" s="31"/>
      <c r="HM237" s="31"/>
      <c r="HN237" s="31"/>
      <c r="HO237" s="31"/>
      <c r="HP237" s="31"/>
      <c r="HQ237" s="31"/>
      <c r="HR237" s="31"/>
      <c r="HS237" s="31"/>
      <c r="HT237" s="31"/>
      <c r="HU237" s="31"/>
      <c r="HV237" s="31"/>
      <c r="HW237" s="31"/>
      <c r="HX237" s="31"/>
      <c r="HY237" s="31"/>
      <c r="HZ237" s="31"/>
      <c r="IA237" s="31"/>
      <c r="IB237" s="31"/>
      <c r="IC237" s="31"/>
      <c r="ID237" s="31"/>
      <c r="IE237" s="31"/>
      <c r="IF237" s="31"/>
      <c r="IG237" s="31"/>
      <c r="IH237" s="31"/>
      <c r="II237" s="31"/>
      <c r="IJ237" s="31"/>
      <c r="IK237" s="31"/>
      <c r="IL237" s="31"/>
      <c r="IM237" s="31"/>
      <c r="IN237" s="31"/>
      <c r="IO237" s="31"/>
      <c r="IP237" s="31"/>
      <c r="IQ237" s="31"/>
      <c r="IR237" s="31"/>
      <c r="IS237" s="31"/>
      <c r="IT237" s="31"/>
      <c r="IU237" s="31"/>
      <c r="IV237" s="31"/>
      <c r="IW237" s="31"/>
      <c r="IX237" s="31"/>
      <c r="IY237" s="31"/>
      <c r="IZ237" s="31"/>
      <c r="JA237" s="31"/>
      <c r="JB237" s="31"/>
      <c r="JC237" s="31"/>
      <c r="JD237" s="31"/>
      <c r="JE237" s="31"/>
      <c r="JF237" s="31"/>
      <c r="JG237" s="31"/>
      <c r="JH237" s="31"/>
      <c r="JI237" s="31"/>
      <c r="JJ237" s="31"/>
      <c r="JK237" s="31"/>
      <c r="JL237" s="31"/>
      <c r="JM237" s="31"/>
      <c r="JN237" s="31"/>
      <c r="JO237" s="31"/>
      <c r="JP237" s="31"/>
      <c r="JQ237" s="31"/>
      <c r="JR237" s="31"/>
      <c r="JS237" s="31"/>
      <c r="JT237" s="31"/>
      <c r="JU237" s="31"/>
      <c r="JV237" s="31"/>
      <c r="JW237" s="31"/>
      <c r="JX237" s="31"/>
      <c r="JY237" s="31"/>
      <c r="JZ237" s="31"/>
      <c r="KA237" s="31"/>
      <c r="KB237" s="31"/>
      <c r="KC237" s="31"/>
      <c r="KD237" s="31"/>
      <c r="KE237" s="31"/>
      <c r="KF237" s="31"/>
      <c r="KG237" s="31"/>
      <c r="KH237" s="31"/>
      <c r="KI237" s="31"/>
      <c r="KJ237" s="31"/>
      <c r="KK237" s="31"/>
      <c r="KL237" s="31"/>
      <c r="KM237" s="31"/>
      <c r="KN237" s="31"/>
      <c r="KO237" s="31"/>
      <c r="KP237" s="31"/>
      <c r="KQ237" s="31"/>
      <c r="KR237" s="31"/>
      <c r="KS237" s="31"/>
      <c r="KT237" s="31"/>
      <c r="KU237" s="31"/>
      <c r="KV237" s="31"/>
      <c r="KW237" s="31"/>
      <c r="KX237" s="31"/>
      <c r="KY237" s="31"/>
      <c r="KZ237" s="31"/>
      <c r="LA237" s="31"/>
      <c r="LB237" s="31"/>
      <c r="LC237" s="31"/>
      <c r="LD237" s="31"/>
      <c r="LE237" s="31"/>
      <c r="LF237" s="31"/>
      <c r="LG237" s="31"/>
      <c r="LH237" s="31"/>
      <c r="LI237" s="31"/>
      <c r="LJ237" s="31"/>
      <c r="LK237" s="31"/>
      <c r="LL237" s="31"/>
      <c r="LM237" s="31"/>
      <c r="LN237" s="31"/>
      <c r="LO237" s="31"/>
      <c r="LP237" s="31"/>
      <c r="LQ237" s="31"/>
      <c r="LR237" s="31"/>
      <c r="LS237" s="31"/>
      <c r="LT237" s="31"/>
      <c r="LU237" s="31"/>
      <c r="LV237" s="31"/>
      <c r="LW237" s="31"/>
      <c r="LX237" s="31"/>
      <c r="LY237" s="31"/>
      <c r="LZ237" s="31"/>
      <c r="MA237" s="31"/>
      <c r="MB237" s="31"/>
      <c r="MC237" s="31"/>
      <c r="MD237" s="31"/>
      <c r="ME237" s="31"/>
      <c r="MF237" s="31"/>
      <c r="MG237" s="31"/>
      <c r="MH237" s="31"/>
      <c r="MI237" s="31"/>
      <c r="MJ237" s="31"/>
      <c r="MK237" s="31"/>
      <c r="ML237" s="31"/>
      <c r="MM237" s="31"/>
      <c r="MN237" s="31"/>
      <c r="MO237" s="31"/>
      <c r="MP237" s="31"/>
      <c r="MQ237" s="31"/>
      <c r="MR237" s="31"/>
      <c r="MS237" s="31"/>
      <c r="MT237" s="31"/>
      <c r="MU237" s="31"/>
      <c r="MV237" s="31"/>
      <c r="MW237" s="31"/>
      <c r="MX237" s="31"/>
      <c r="MY237" s="31"/>
      <c r="MZ237" s="31"/>
      <c r="NA237" s="31"/>
      <c r="NB237" s="31"/>
      <c r="NC237" s="31"/>
      <c r="ND237" s="31"/>
      <c r="NE237" s="31"/>
      <c r="NF237" s="31"/>
      <c r="NG237" s="31"/>
      <c r="NH237" s="31"/>
      <c r="NI237" s="31"/>
      <c r="NJ237" s="31"/>
      <c r="NK237" s="31"/>
      <c r="NL237" s="31"/>
      <c r="NM237" s="31"/>
      <c r="NN237" s="31"/>
      <c r="NO237" s="31"/>
      <c r="NP237" s="31"/>
      <c r="NQ237" s="31"/>
      <c r="NR237" s="31"/>
      <c r="NS237" s="31"/>
      <c r="NT237" s="31"/>
      <c r="NU237" s="31"/>
      <c r="NV237" s="31"/>
      <c r="NW237" s="31"/>
      <c r="NX237" s="31"/>
      <c r="NY237" s="31"/>
      <c r="NZ237" s="31"/>
      <c r="OA237" s="31"/>
      <c r="OB237" s="31"/>
      <c r="OC237" s="31"/>
      <c r="OD237" s="31"/>
      <c r="OE237" s="31"/>
      <c r="OF237" s="31"/>
      <c r="OG237" s="31"/>
      <c r="OH237" s="31"/>
      <c r="OI237" s="31"/>
      <c r="OJ237" s="31"/>
      <c r="OK237" s="31"/>
      <c r="OL237" s="31"/>
      <c r="OM237" s="31"/>
      <c r="ON237" s="31"/>
      <c r="OO237" s="31"/>
      <c r="OP237" s="31"/>
      <c r="OQ237" s="31"/>
      <c r="OR237" s="31"/>
      <c r="OS237" s="31"/>
      <c r="OT237" s="31"/>
      <c r="OU237" s="31"/>
      <c r="OV237" s="31"/>
      <c r="OW237" s="31"/>
      <c r="OX237" s="31"/>
      <c r="OY237" s="31"/>
      <c r="OZ237" s="31"/>
      <c r="PA237" s="31"/>
      <c r="PB237" s="31"/>
      <c r="PC237" s="31"/>
      <c r="PD237" s="31"/>
      <c r="PE237" s="31"/>
      <c r="PF237" s="31"/>
      <c r="PG237" s="31"/>
      <c r="PH237" s="31"/>
      <c r="PI237" s="31"/>
      <c r="PJ237" s="31"/>
      <c r="PK237" s="31"/>
      <c r="PL237" s="31"/>
      <c r="PM237" s="31"/>
      <c r="PN237" s="31"/>
      <c r="PO237" s="31"/>
      <c r="PP237" s="31"/>
      <c r="PQ237" s="31"/>
      <c r="PR237" s="31"/>
      <c r="PS237" s="31"/>
      <c r="PT237" s="31"/>
      <c r="PU237" s="31"/>
      <c r="PV237" s="31"/>
      <c r="PW237" s="31"/>
      <c r="PX237" s="31"/>
      <c r="PY237" s="31"/>
      <c r="PZ237" s="31"/>
      <c r="QA237" s="31"/>
      <c r="QB237" s="31"/>
      <c r="QC237" s="31"/>
      <c r="QD237" s="31"/>
      <c r="QE237" s="31"/>
      <c r="QF237" s="31"/>
      <c r="QG237" s="31"/>
      <c r="QH237" s="31"/>
      <c r="QI237" s="31"/>
      <c r="QJ237" s="31"/>
      <c r="QK237" s="31"/>
      <c r="QL237" s="31"/>
      <c r="QM237" s="31"/>
      <c r="QN237" s="31"/>
      <c r="QO237" s="31"/>
      <c r="QP237" s="31"/>
      <c r="QQ237" s="31"/>
      <c r="QR237" s="31"/>
      <c r="QS237" s="31"/>
      <c r="QT237" s="31"/>
      <c r="QU237" s="31"/>
      <c r="QV237" s="31"/>
      <c r="QW237" s="31"/>
      <c r="QX237" s="31"/>
      <c r="QY237" s="31"/>
      <c r="QZ237" s="31"/>
      <c r="RA237" s="31"/>
      <c r="RB237" s="31"/>
      <c r="RC237" s="31"/>
      <c r="RD237" s="31"/>
      <c r="RE237" s="31"/>
      <c r="RF237" s="31"/>
      <c r="RG237" s="31"/>
      <c r="RH237" s="31"/>
      <c r="RI237" s="31"/>
      <c r="RJ237" s="31"/>
      <c r="RK237" s="31"/>
      <c r="RL237" s="31"/>
      <c r="RM237" s="31"/>
      <c r="RN237" s="31"/>
      <c r="RO237" s="31"/>
      <c r="RP237" s="31"/>
      <c r="RQ237" s="31"/>
      <c r="RR237" s="31"/>
      <c r="RS237" s="31"/>
      <c r="RT237" s="31"/>
      <c r="RU237" s="31"/>
      <c r="RV237" s="31"/>
      <c r="RW237" s="31"/>
      <c r="RX237" s="31"/>
      <c r="RY237" s="31"/>
      <c r="RZ237" s="31"/>
      <c r="SA237" s="31"/>
      <c r="SB237" s="31"/>
      <c r="SC237" s="31"/>
      <c r="SD237" s="31"/>
      <c r="SE237" s="31"/>
      <c r="SF237" s="31"/>
      <c r="SG237" s="31"/>
      <c r="SH237" s="31"/>
      <c r="SI237" s="31"/>
      <c r="SJ237" s="31"/>
      <c r="SK237" s="31"/>
      <c r="SL237" s="31"/>
      <c r="SM237" s="31"/>
      <c r="SN237" s="31"/>
      <c r="SO237" s="31"/>
      <c r="SP237" s="31"/>
      <c r="SQ237" s="31"/>
      <c r="SR237" s="31"/>
      <c r="SS237" s="31"/>
      <c r="ST237" s="31"/>
      <c r="SU237" s="31"/>
      <c r="SV237" s="31"/>
      <c r="SW237" s="31"/>
      <c r="SX237" s="31"/>
      <c r="SY237" s="31"/>
      <c r="SZ237" s="31"/>
      <c r="TA237" s="31"/>
      <c r="TB237" s="31"/>
      <c r="TC237" s="31"/>
      <c r="TD237" s="31"/>
      <c r="TE237" s="31"/>
      <c r="TF237" s="31"/>
      <c r="TG237" s="31"/>
      <c r="TH237" s="31"/>
      <c r="TI237" s="31"/>
      <c r="TJ237" s="31"/>
      <c r="TK237" s="31"/>
      <c r="TL237" s="31"/>
      <c r="TM237" s="31"/>
      <c r="TN237" s="31"/>
      <c r="TO237" s="31"/>
      <c r="TP237" s="31"/>
      <c r="TQ237" s="31"/>
      <c r="TR237" s="31"/>
      <c r="TS237" s="31"/>
      <c r="TT237" s="31"/>
      <c r="TU237" s="31"/>
      <c r="TV237" s="31"/>
      <c r="TW237" s="31"/>
      <c r="TX237" s="31"/>
      <c r="TY237" s="31"/>
      <c r="TZ237" s="31"/>
      <c r="UA237" s="31"/>
      <c r="UB237" s="31"/>
      <c r="UC237" s="31"/>
      <c r="UD237" s="31"/>
      <c r="UE237" s="31"/>
      <c r="UF237" s="31"/>
      <c r="UG237" s="33"/>
    </row>
    <row r="238" spans="1:553" ht="30" customHeight="1">
      <c r="A238" s="366" t="s">
        <v>15</v>
      </c>
      <c r="B238" s="366" t="s">
        <v>31</v>
      </c>
      <c r="C238" s="427" t="s">
        <v>1269</v>
      </c>
      <c r="D238" s="376" t="s">
        <v>20</v>
      </c>
      <c r="E238" s="376" t="s">
        <v>228</v>
      </c>
      <c r="F238" s="385"/>
      <c r="G238" s="386" t="s">
        <v>34</v>
      </c>
      <c r="H238" s="370"/>
      <c r="I238" s="422">
        <f>0.5*1.2*11</f>
        <v>6.6</v>
      </c>
      <c r="J238" s="368">
        <v>606342</v>
      </c>
      <c r="K238" s="388"/>
      <c r="L238" s="366">
        <f t="shared" si="49"/>
        <v>4001857.1999999997</v>
      </c>
      <c r="M238" s="366"/>
      <c r="N238" s="366"/>
      <c r="O238" s="366"/>
      <c r="P238" s="366"/>
      <c r="Q238" s="1135"/>
      <c r="R238" s="411"/>
      <c r="S238" s="308"/>
      <c r="T238" s="303"/>
      <c r="U238" s="306"/>
      <c r="V238" s="307"/>
      <c r="W238" s="306"/>
      <c r="X238" s="306"/>
      <c r="Y238" s="306"/>
      <c r="Z238" s="306"/>
      <c r="AA238" s="306"/>
      <c r="AB238" s="306"/>
      <c r="AC238" s="449"/>
      <c r="AD238" s="452"/>
      <c r="AE238" s="452"/>
      <c r="AF238" s="452"/>
      <c r="AG238" s="452"/>
      <c r="AH238" s="452"/>
      <c r="AI238" s="452"/>
      <c r="AJ238" s="452"/>
      <c r="AK238" s="452"/>
      <c r="AL238" s="106"/>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c r="CH238" s="31"/>
      <c r="CI238" s="31"/>
      <c r="CJ238" s="31"/>
      <c r="CK238" s="31"/>
      <c r="CL238" s="31"/>
      <c r="CM238" s="31"/>
      <c r="CN238" s="31"/>
      <c r="CO238" s="31"/>
      <c r="CP238" s="31"/>
      <c r="CQ238" s="31"/>
      <c r="CR238" s="31"/>
      <c r="CS238" s="31"/>
      <c r="CT238" s="31"/>
      <c r="CU238" s="31"/>
      <c r="CV238" s="31"/>
      <c r="CW238" s="31"/>
      <c r="CX238" s="31"/>
      <c r="CY238" s="31"/>
      <c r="CZ238" s="31"/>
      <c r="DA238" s="31"/>
      <c r="DB238" s="31"/>
      <c r="DC238" s="31"/>
      <c r="DD238" s="31"/>
      <c r="DE238" s="31"/>
      <c r="DF238" s="31"/>
      <c r="DG238" s="31"/>
      <c r="DH238" s="31"/>
      <c r="DI238" s="31"/>
      <c r="DJ238" s="31"/>
      <c r="DK238" s="31"/>
      <c r="DL238" s="31"/>
      <c r="DM238" s="31"/>
      <c r="DN238" s="31"/>
      <c r="DO238" s="31"/>
      <c r="DP238" s="31"/>
      <c r="DQ238" s="31"/>
      <c r="DR238" s="31"/>
      <c r="DS238" s="31"/>
      <c r="DT238" s="31"/>
      <c r="DU238" s="31"/>
      <c r="DV238" s="31"/>
      <c r="DW238" s="31"/>
      <c r="DX238" s="31"/>
      <c r="DY238" s="31"/>
      <c r="DZ238" s="31"/>
      <c r="EA238" s="31"/>
      <c r="EB238" s="31"/>
      <c r="EC238" s="31"/>
      <c r="ED238" s="31"/>
      <c r="EE238" s="31"/>
      <c r="EF238" s="31"/>
      <c r="EG238" s="31"/>
      <c r="EH238" s="31"/>
      <c r="EI238" s="31"/>
      <c r="EJ238" s="31"/>
      <c r="EK238" s="31"/>
      <c r="EL238" s="31"/>
      <c r="EM238" s="31"/>
      <c r="EN238" s="31"/>
      <c r="EO238" s="31"/>
      <c r="EP238" s="31"/>
      <c r="EQ238" s="31"/>
      <c r="ER238" s="31"/>
      <c r="ES238" s="31"/>
      <c r="ET238" s="31"/>
      <c r="EU238" s="31"/>
      <c r="EV238" s="31"/>
      <c r="EW238" s="31"/>
      <c r="EX238" s="31"/>
      <c r="EY238" s="31"/>
      <c r="EZ238" s="31"/>
      <c r="FA238" s="31"/>
      <c r="FB238" s="31"/>
      <c r="FC238" s="31"/>
      <c r="FD238" s="31"/>
      <c r="FE238" s="31"/>
      <c r="FF238" s="31"/>
      <c r="FG238" s="31"/>
      <c r="FH238" s="31"/>
      <c r="FI238" s="31"/>
      <c r="FJ238" s="31"/>
      <c r="FK238" s="31"/>
      <c r="FL238" s="31"/>
      <c r="FM238" s="31"/>
      <c r="FN238" s="31"/>
      <c r="FO238" s="31"/>
      <c r="FP238" s="31"/>
      <c r="FQ238" s="31"/>
      <c r="FR238" s="31"/>
      <c r="FS238" s="31"/>
      <c r="FT238" s="31"/>
      <c r="FU238" s="31"/>
      <c r="FV238" s="31"/>
      <c r="FW238" s="31"/>
      <c r="FX238" s="31"/>
      <c r="FY238" s="31"/>
      <c r="FZ238" s="31"/>
      <c r="GA238" s="31"/>
      <c r="GB238" s="31"/>
      <c r="GC238" s="31"/>
      <c r="GD238" s="31"/>
      <c r="GE238" s="31"/>
      <c r="GF238" s="31"/>
      <c r="GG238" s="31"/>
      <c r="GH238" s="31"/>
      <c r="GI238" s="31"/>
      <c r="GJ238" s="31"/>
      <c r="GK238" s="31"/>
      <c r="GL238" s="31"/>
      <c r="GM238" s="31"/>
      <c r="GN238" s="31"/>
      <c r="GO238" s="31"/>
      <c r="GP238" s="31"/>
      <c r="GQ238" s="31"/>
      <c r="GR238" s="31"/>
      <c r="GS238" s="31"/>
      <c r="GT238" s="31"/>
      <c r="GU238" s="31"/>
      <c r="GV238" s="31"/>
      <c r="GW238" s="31"/>
      <c r="GX238" s="31"/>
      <c r="GY238" s="31"/>
      <c r="GZ238" s="31"/>
      <c r="HA238" s="31"/>
      <c r="HB238" s="31"/>
      <c r="HC238" s="31"/>
      <c r="HD238" s="31"/>
      <c r="HE238" s="31"/>
      <c r="HF238" s="31"/>
      <c r="HG238" s="31"/>
      <c r="HH238" s="31"/>
      <c r="HI238" s="31"/>
      <c r="HJ238" s="31"/>
      <c r="HK238" s="31"/>
      <c r="HL238" s="31"/>
      <c r="HM238" s="31"/>
      <c r="HN238" s="31"/>
      <c r="HO238" s="31"/>
      <c r="HP238" s="31"/>
      <c r="HQ238" s="31"/>
      <c r="HR238" s="31"/>
      <c r="HS238" s="31"/>
      <c r="HT238" s="31"/>
      <c r="HU238" s="31"/>
      <c r="HV238" s="31"/>
      <c r="HW238" s="31"/>
      <c r="HX238" s="31"/>
      <c r="HY238" s="31"/>
      <c r="HZ238" s="31"/>
      <c r="IA238" s="31"/>
      <c r="IB238" s="31"/>
      <c r="IC238" s="31"/>
      <c r="ID238" s="31"/>
      <c r="IE238" s="31"/>
      <c r="IF238" s="31"/>
      <c r="IG238" s="31"/>
      <c r="IH238" s="31"/>
      <c r="II238" s="31"/>
      <c r="IJ238" s="31"/>
      <c r="IK238" s="31"/>
      <c r="IL238" s="31"/>
      <c r="IM238" s="31"/>
      <c r="IN238" s="31"/>
      <c r="IO238" s="31"/>
      <c r="IP238" s="31"/>
      <c r="IQ238" s="31"/>
      <c r="IR238" s="31"/>
      <c r="IS238" s="31"/>
      <c r="IT238" s="31"/>
      <c r="IU238" s="31"/>
      <c r="IV238" s="31"/>
      <c r="IW238" s="31"/>
      <c r="IX238" s="31"/>
      <c r="IY238" s="31"/>
      <c r="IZ238" s="31"/>
      <c r="JA238" s="31"/>
      <c r="JB238" s="31"/>
      <c r="JC238" s="31"/>
      <c r="JD238" s="31"/>
      <c r="JE238" s="31"/>
      <c r="JF238" s="31"/>
      <c r="JG238" s="31"/>
      <c r="JH238" s="31"/>
      <c r="JI238" s="31"/>
      <c r="JJ238" s="31"/>
      <c r="JK238" s="31"/>
      <c r="JL238" s="31"/>
      <c r="JM238" s="31"/>
      <c r="JN238" s="31"/>
      <c r="JO238" s="31"/>
      <c r="JP238" s="31"/>
      <c r="JQ238" s="31"/>
      <c r="JR238" s="31"/>
      <c r="JS238" s="31"/>
      <c r="JT238" s="31"/>
      <c r="JU238" s="31"/>
      <c r="JV238" s="31"/>
      <c r="JW238" s="31"/>
      <c r="JX238" s="31"/>
      <c r="JY238" s="31"/>
      <c r="JZ238" s="31"/>
      <c r="KA238" s="31"/>
      <c r="KB238" s="31"/>
      <c r="KC238" s="31"/>
      <c r="KD238" s="31"/>
      <c r="KE238" s="31"/>
      <c r="KF238" s="31"/>
      <c r="KG238" s="31"/>
      <c r="KH238" s="31"/>
      <c r="KI238" s="31"/>
      <c r="KJ238" s="31"/>
      <c r="KK238" s="31"/>
      <c r="KL238" s="31"/>
      <c r="KM238" s="31"/>
      <c r="KN238" s="31"/>
      <c r="KO238" s="31"/>
      <c r="KP238" s="31"/>
      <c r="KQ238" s="31"/>
      <c r="KR238" s="31"/>
      <c r="KS238" s="31"/>
      <c r="KT238" s="31"/>
      <c r="KU238" s="31"/>
      <c r="KV238" s="31"/>
      <c r="KW238" s="31"/>
      <c r="KX238" s="31"/>
      <c r="KY238" s="31"/>
      <c r="KZ238" s="31"/>
      <c r="LA238" s="31"/>
      <c r="LB238" s="31"/>
      <c r="LC238" s="31"/>
      <c r="LD238" s="31"/>
      <c r="LE238" s="31"/>
      <c r="LF238" s="31"/>
      <c r="LG238" s="31"/>
      <c r="LH238" s="31"/>
      <c r="LI238" s="31"/>
      <c r="LJ238" s="31"/>
      <c r="LK238" s="31"/>
      <c r="LL238" s="31"/>
      <c r="LM238" s="31"/>
      <c r="LN238" s="31"/>
      <c r="LO238" s="31"/>
      <c r="LP238" s="31"/>
      <c r="LQ238" s="31"/>
      <c r="LR238" s="31"/>
      <c r="LS238" s="31"/>
      <c r="LT238" s="31"/>
      <c r="LU238" s="31"/>
      <c r="LV238" s="31"/>
      <c r="LW238" s="31"/>
      <c r="LX238" s="31"/>
      <c r="LY238" s="31"/>
      <c r="LZ238" s="31"/>
      <c r="MA238" s="31"/>
      <c r="MB238" s="31"/>
      <c r="MC238" s="31"/>
      <c r="MD238" s="31"/>
      <c r="ME238" s="31"/>
      <c r="MF238" s="31"/>
      <c r="MG238" s="31"/>
      <c r="MH238" s="31"/>
      <c r="MI238" s="31"/>
      <c r="MJ238" s="31"/>
      <c r="MK238" s="31"/>
      <c r="ML238" s="31"/>
      <c r="MM238" s="31"/>
      <c r="MN238" s="31"/>
      <c r="MO238" s="31"/>
      <c r="MP238" s="31"/>
      <c r="MQ238" s="31"/>
      <c r="MR238" s="31"/>
      <c r="MS238" s="31"/>
      <c r="MT238" s="31"/>
      <c r="MU238" s="31"/>
      <c r="MV238" s="31"/>
      <c r="MW238" s="31"/>
      <c r="MX238" s="31"/>
      <c r="MY238" s="31"/>
      <c r="MZ238" s="31"/>
      <c r="NA238" s="31"/>
      <c r="NB238" s="31"/>
      <c r="NC238" s="31"/>
      <c r="ND238" s="31"/>
      <c r="NE238" s="31"/>
      <c r="NF238" s="31"/>
      <c r="NG238" s="31"/>
      <c r="NH238" s="31"/>
      <c r="NI238" s="31"/>
      <c r="NJ238" s="31"/>
      <c r="NK238" s="31"/>
      <c r="NL238" s="31"/>
      <c r="NM238" s="31"/>
      <c r="NN238" s="31"/>
      <c r="NO238" s="31"/>
      <c r="NP238" s="31"/>
      <c r="NQ238" s="31"/>
      <c r="NR238" s="31"/>
      <c r="NS238" s="31"/>
      <c r="NT238" s="31"/>
      <c r="NU238" s="31"/>
      <c r="NV238" s="31"/>
      <c r="NW238" s="31"/>
      <c r="NX238" s="31"/>
      <c r="NY238" s="31"/>
      <c r="NZ238" s="31"/>
      <c r="OA238" s="31"/>
      <c r="OB238" s="31"/>
      <c r="OC238" s="31"/>
      <c r="OD238" s="31"/>
      <c r="OE238" s="31"/>
      <c r="OF238" s="31"/>
      <c r="OG238" s="31"/>
      <c r="OH238" s="31"/>
      <c r="OI238" s="31"/>
      <c r="OJ238" s="31"/>
      <c r="OK238" s="31"/>
      <c r="OL238" s="31"/>
      <c r="OM238" s="31"/>
      <c r="ON238" s="31"/>
      <c r="OO238" s="31"/>
      <c r="OP238" s="31"/>
      <c r="OQ238" s="31"/>
      <c r="OR238" s="31"/>
      <c r="OS238" s="31"/>
      <c r="OT238" s="31"/>
      <c r="OU238" s="31"/>
      <c r="OV238" s="31"/>
      <c r="OW238" s="31"/>
      <c r="OX238" s="31"/>
      <c r="OY238" s="31"/>
      <c r="OZ238" s="31"/>
      <c r="PA238" s="31"/>
      <c r="PB238" s="31"/>
      <c r="PC238" s="31"/>
      <c r="PD238" s="31"/>
      <c r="PE238" s="31"/>
      <c r="PF238" s="31"/>
      <c r="PG238" s="31"/>
      <c r="PH238" s="31"/>
      <c r="PI238" s="31"/>
      <c r="PJ238" s="31"/>
      <c r="PK238" s="31"/>
      <c r="PL238" s="31"/>
      <c r="PM238" s="31"/>
      <c r="PN238" s="31"/>
      <c r="PO238" s="31"/>
      <c r="PP238" s="31"/>
      <c r="PQ238" s="31"/>
      <c r="PR238" s="31"/>
      <c r="PS238" s="31"/>
      <c r="PT238" s="31"/>
      <c r="PU238" s="31"/>
      <c r="PV238" s="31"/>
      <c r="PW238" s="31"/>
      <c r="PX238" s="31"/>
      <c r="PY238" s="31"/>
      <c r="PZ238" s="31"/>
      <c r="QA238" s="31"/>
      <c r="QB238" s="31"/>
      <c r="QC238" s="31"/>
      <c r="QD238" s="31"/>
      <c r="QE238" s="31"/>
      <c r="QF238" s="31"/>
      <c r="QG238" s="31"/>
      <c r="QH238" s="31"/>
      <c r="QI238" s="31"/>
      <c r="QJ238" s="31"/>
      <c r="QK238" s="31"/>
      <c r="QL238" s="31"/>
      <c r="QM238" s="31"/>
      <c r="QN238" s="31"/>
      <c r="QO238" s="31"/>
      <c r="QP238" s="31"/>
      <c r="QQ238" s="31"/>
      <c r="QR238" s="31"/>
      <c r="QS238" s="31"/>
      <c r="QT238" s="31"/>
      <c r="QU238" s="31"/>
      <c r="QV238" s="31"/>
      <c r="QW238" s="31"/>
      <c r="QX238" s="31"/>
      <c r="QY238" s="31"/>
      <c r="QZ238" s="31"/>
      <c r="RA238" s="31"/>
      <c r="RB238" s="31"/>
      <c r="RC238" s="31"/>
      <c r="RD238" s="31"/>
      <c r="RE238" s="31"/>
      <c r="RF238" s="31"/>
      <c r="RG238" s="31"/>
      <c r="RH238" s="31"/>
      <c r="RI238" s="31"/>
      <c r="RJ238" s="31"/>
      <c r="RK238" s="31"/>
      <c r="RL238" s="31"/>
      <c r="RM238" s="31"/>
      <c r="RN238" s="31"/>
      <c r="RO238" s="31"/>
      <c r="RP238" s="31"/>
      <c r="RQ238" s="31"/>
      <c r="RR238" s="31"/>
      <c r="RS238" s="31"/>
      <c r="RT238" s="31"/>
      <c r="RU238" s="31"/>
      <c r="RV238" s="31"/>
      <c r="RW238" s="31"/>
      <c r="RX238" s="31"/>
      <c r="RY238" s="31"/>
      <c r="RZ238" s="31"/>
      <c r="SA238" s="31"/>
      <c r="SB238" s="31"/>
      <c r="SC238" s="31"/>
      <c r="SD238" s="31"/>
      <c r="SE238" s="31"/>
      <c r="SF238" s="31"/>
      <c r="SG238" s="31"/>
      <c r="SH238" s="31"/>
      <c r="SI238" s="31"/>
      <c r="SJ238" s="31"/>
      <c r="SK238" s="31"/>
      <c r="SL238" s="31"/>
      <c r="SM238" s="31"/>
      <c r="SN238" s="31"/>
      <c r="SO238" s="31"/>
      <c r="SP238" s="31"/>
      <c r="SQ238" s="31"/>
      <c r="SR238" s="31"/>
      <c r="SS238" s="31"/>
      <c r="ST238" s="31"/>
      <c r="SU238" s="31"/>
      <c r="SV238" s="31"/>
      <c r="SW238" s="31"/>
      <c r="SX238" s="31"/>
      <c r="SY238" s="31"/>
      <c r="SZ238" s="31"/>
      <c r="TA238" s="31"/>
      <c r="TB238" s="31"/>
      <c r="TC238" s="31"/>
      <c r="TD238" s="31"/>
      <c r="TE238" s="31"/>
      <c r="TF238" s="31"/>
      <c r="TG238" s="31"/>
      <c r="TH238" s="31"/>
      <c r="TI238" s="31"/>
      <c r="TJ238" s="31"/>
      <c r="TK238" s="31"/>
      <c r="TL238" s="31"/>
      <c r="TM238" s="31"/>
      <c r="TN238" s="31"/>
      <c r="TO238" s="31"/>
      <c r="TP238" s="31"/>
      <c r="TQ238" s="31"/>
      <c r="TR238" s="31"/>
      <c r="TS238" s="31"/>
      <c r="TT238" s="31"/>
      <c r="TU238" s="31"/>
      <c r="TV238" s="31"/>
      <c r="TW238" s="31"/>
      <c r="TX238" s="31"/>
      <c r="TY238" s="31"/>
      <c r="TZ238" s="31"/>
      <c r="UA238" s="31"/>
      <c r="UB238" s="31"/>
      <c r="UC238" s="31"/>
      <c r="UD238" s="31"/>
      <c r="UE238" s="31"/>
      <c r="UF238" s="31"/>
      <c r="UG238" s="33"/>
    </row>
    <row r="239" spans="1:553" ht="30" customHeight="1">
      <c r="A239" s="366" t="s">
        <v>15</v>
      </c>
      <c r="B239" s="366" t="s">
        <v>31</v>
      </c>
      <c r="C239" s="427" t="s">
        <v>1267</v>
      </c>
      <c r="D239" s="376" t="s">
        <v>20</v>
      </c>
      <c r="E239" s="376" t="s">
        <v>229</v>
      </c>
      <c r="F239" s="385"/>
      <c r="G239" s="386" t="s">
        <v>34</v>
      </c>
      <c r="H239" s="359"/>
      <c r="I239" s="422">
        <f>5*1.2*8</f>
        <v>48</v>
      </c>
      <c r="J239" s="368">
        <v>606342</v>
      </c>
      <c r="K239" s="491"/>
      <c r="L239" s="366">
        <f t="shared" si="49"/>
        <v>29104416</v>
      </c>
      <c r="M239" s="366"/>
      <c r="N239" s="366"/>
      <c r="O239" s="366"/>
      <c r="P239" s="366"/>
      <c r="Q239" s="813"/>
      <c r="R239" s="411"/>
      <c r="S239" s="308"/>
      <c r="T239" s="303"/>
      <c r="U239" s="306"/>
      <c r="V239" s="307"/>
      <c r="W239" s="306"/>
      <c r="X239" s="306"/>
      <c r="Y239" s="306"/>
      <c r="Z239" s="306"/>
      <c r="AA239" s="306"/>
      <c r="AB239" s="306"/>
      <c r="AC239" s="454"/>
      <c r="AD239" s="455"/>
      <c r="AE239" s="455"/>
      <c r="AF239" s="455"/>
      <c r="AG239" s="455"/>
      <c r="AH239" s="455"/>
      <c r="AI239" s="455"/>
      <c r="AJ239" s="455"/>
      <c r="AK239" s="455"/>
      <c r="AL239" s="111"/>
      <c r="AM239" s="35"/>
      <c r="AN239" s="35"/>
      <c r="AO239" s="35"/>
      <c r="AP239" s="35"/>
      <c r="AQ239" s="35"/>
      <c r="AR239" s="35"/>
      <c r="AS239" s="35"/>
      <c r="AT239" s="35"/>
      <c r="AU239" s="35"/>
      <c r="AV239" s="35"/>
      <c r="AW239" s="35"/>
      <c r="AX239" s="35"/>
      <c r="AY239" s="35"/>
      <c r="AZ239" s="35"/>
      <c r="BA239" s="35"/>
      <c r="BB239" s="35"/>
      <c r="BC239" s="35"/>
      <c r="BD239" s="35"/>
      <c r="BE239" s="35"/>
      <c r="BF239" s="31"/>
      <c r="BG239" s="31"/>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c r="CH239" s="31"/>
      <c r="CI239" s="31"/>
      <c r="CJ239" s="31"/>
      <c r="CK239" s="31"/>
      <c r="CL239" s="31"/>
      <c r="CM239" s="31"/>
      <c r="CN239" s="31"/>
      <c r="CO239" s="31"/>
      <c r="CP239" s="31"/>
      <c r="CQ239" s="31"/>
      <c r="CR239" s="31"/>
      <c r="CS239" s="31"/>
      <c r="CT239" s="31"/>
      <c r="CU239" s="31"/>
      <c r="CV239" s="31"/>
      <c r="CW239" s="31"/>
      <c r="CX239" s="31"/>
      <c r="CY239" s="31"/>
      <c r="CZ239" s="31"/>
      <c r="DA239" s="31"/>
      <c r="DB239" s="31"/>
      <c r="DC239" s="31"/>
      <c r="DD239" s="31"/>
      <c r="DE239" s="31"/>
      <c r="DF239" s="31"/>
      <c r="DG239" s="31"/>
      <c r="DH239" s="31"/>
      <c r="DI239" s="31"/>
      <c r="DJ239" s="31"/>
      <c r="DK239" s="31"/>
      <c r="DL239" s="31"/>
      <c r="DM239" s="31"/>
      <c r="DN239" s="31"/>
      <c r="DO239" s="31"/>
      <c r="DP239" s="31"/>
      <c r="DQ239" s="31"/>
      <c r="DR239" s="31"/>
      <c r="DS239" s="31"/>
      <c r="DT239" s="31"/>
      <c r="DU239" s="31"/>
      <c r="DV239" s="31"/>
      <c r="DW239" s="31"/>
      <c r="DX239" s="31"/>
      <c r="DY239" s="31"/>
      <c r="DZ239" s="31"/>
      <c r="EA239" s="31"/>
      <c r="EB239" s="31"/>
      <c r="EC239" s="31"/>
      <c r="ED239" s="31"/>
      <c r="EE239" s="31"/>
      <c r="EF239" s="31"/>
      <c r="EG239" s="31"/>
      <c r="EH239" s="31"/>
      <c r="EI239" s="31"/>
      <c r="EJ239" s="31"/>
      <c r="EK239" s="31"/>
      <c r="EL239" s="31"/>
      <c r="EM239" s="31"/>
      <c r="EN239" s="31"/>
      <c r="EO239" s="31"/>
      <c r="EP239" s="31"/>
      <c r="EQ239" s="31"/>
      <c r="ER239" s="31"/>
      <c r="ES239" s="31"/>
      <c r="ET239" s="31"/>
      <c r="EU239" s="31"/>
      <c r="EV239" s="31"/>
      <c r="EW239" s="31"/>
      <c r="EX239" s="31"/>
      <c r="EY239" s="31"/>
      <c r="EZ239" s="31"/>
      <c r="FA239" s="31"/>
      <c r="FB239" s="31"/>
      <c r="FC239" s="31"/>
      <c r="FD239" s="31"/>
      <c r="FE239" s="31"/>
      <c r="FF239" s="31"/>
      <c r="FG239" s="31"/>
      <c r="FH239" s="31"/>
      <c r="FI239" s="31"/>
      <c r="FJ239" s="31"/>
      <c r="FK239" s="31"/>
      <c r="FL239" s="31"/>
      <c r="FM239" s="31"/>
      <c r="FN239" s="31"/>
      <c r="FO239" s="31"/>
      <c r="FP239" s="31"/>
      <c r="FQ239" s="31"/>
      <c r="FR239" s="31"/>
      <c r="FS239" s="31"/>
      <c r="FT239" s="31"/>
      <c r="FU239" s="31"/>
      <c r="FV239" s="31"/>
      <c r="FW239" s="31"/>
      <c r="FX239" s="31"/>
      <c r="FY239" s="31"/>
      <c r="FZ239" s="31"/>
      <c r="GA239" s="31"/>
      <c r="GB239" s="31"/>
      <c r="GC239" s="31"/>
      <c r="GD239" s="31"/>
      <c r="GE239" s="31"/>
      <c r="GF239" s="31"/>
      <c r="GG239" s="31"/>
      <c r="GH239" s="31"/>
      <c r="GI239" s="31"/>
      <c r="GJ239" s="31"/>
      <c r="GK239" s="31"/>
      <c r="GL239" s="31"/>
      <c r="GM239" s="31"/>
      <c r="GN239" s="31"/>
      <c r="GO239" s="31"/>
      <c r="GP239" s="31"/>
      <c r="GQ239" s="31"/>
      <c r="GR239" s="31"/>
      <c r="GS239" s="31"/>
      <c r="GT239" s="31"/>
      <c r="GU239" s="31"/>
      <c r="GV239" s="31"/>
      <c r="GW239" s="31"/>
      <c r="GX239" s="31"/>
      <c r="GY239" s="31"/>
      <c r="GZ239" s="31"/>
      <c r="HA239" s="31"/>
      <c r="HB239" s="31"/>
      <c r="HC239" s="31"/>
      <c r="HD239" s="31"/>
      <c r="HE239" s="31"/>
      <c r="HF239" s="31"/>
      <c r="HG239" s="31"/>
      <c r="HH239" s="31"/>
      <c r="HI239" s="31"/>
      <c r="HJ239" s="31"/>
      <c r="HK239" s="31"/>
      <c r="HL239" s="31"/>
      <c r="HM239" s="31"/>
      <c r="HN239" s="31"/>
      <c r="HO239" s="31"/>
      <c r="HP239" s="31"/>
      <c r="HQ239" s="31"/>
      <c r="HR239" s="31"/>
      <c r="HS239" s="31"/>
      <c r="HT239" s="31"/>
      <c r="HU239" s="31"/>
      <c r="HV239" s="31"/>
      <c r="HW239" s="31"/>
      <c r="HX239" s="31"/>
      <c r="HY239" s="31"/>
      <c r="HZ239" s="31"/>
      <c r="IA239" s="31"/>
      <c r="IB239" s="31"/>
      <c r="IC239" s="31"/>
      <c r="ID239" s="31"/>
      <c r="IE239" s="31"/>
      <c r="IF239" s="31"/>
      <c r="IG239" s="31"/>
      <c r="IH239" s="31"/>
      <c r="II239" s="31"/>
      <c r="IJ239" s="31"/>
      <c r="IK239" s="31"/>
      <c r="IL239" s="31"/>
      <c r="IM239" s="31"/>
      <c r="IN239" s="31"/>
      <c r="IO239" s="31"/>
      <c r="IP239" s="31"/>
      <c r="IQ239" s="31"/>
      <c r="IR239" s="31"/>
      <c r="IS239" s="31"/>
      <c r="IT239" s="31"/>
      <c r="IU239" s="31"/>
      <c r="IV239" s="31"/>
      <c r="IW239" s="31"/>
      <c r="IX239" s="31"/>
      <c r="IY239" s="31"/>
      <c r="IZ239" s="31"/>
      <c r="JA239" s="31"/>
      <c r="JB239" s="31"/>
      <c r="JC239" s="31"/>
      <c r="JD239" s="31"/>
      <c r="JE239" s="31"/>
      <c r="JF239" s="31"/>
      <c r="JG239" s="31"/>
      <c r="JH239" s="31"/>
      <c r="JI239" s="31"/>
      <c r="JJ239" s="31"/>
      <c r="JK239" s="31"/>
      <c r="JL239" s="31"/>
      <c r="JM239" s="31"/>
      <c r="JN239" s="31"/>
      <c r="JO239" s="31"/>
      <c r="JP239" s="31"/>
      <c r="JQ239" s="31"/>
      <c r="JR239" s="31"/>
      <c r="JS239" s="31"/>
      <c r="JT239" s="31"/>
      <c r="JU239" s="31"/>
      <c r="JV239" s="31"/>
      <c r="JW239" s="31"/>
      <c r="JX239" s="31"/>
      <c r="JY239" s="31"/>
      <c r="JZ239" s="31"/>
      <c r="KA239" s="31"/>
      <c r="KB239" s="31"/>
      <c r="KC239" s="31"/>
      <c r="KD239" s="31"/>
      <c r="KE239" s="31"/>
      <c r="KF239" s="31"/>
      <c r="KG239" s="31"/>
      <c r="KH239" s="31"/>
      <c r="KI239" s="31"/>
      <c r="KJ239" s="31"/>
      <c r="KK239" s="31"/>
      <c r="KL239" s="31"/>
      <c r="KM239" s="31"/>
      <c r="KN239" s="31"/>
      <c r="KO239" s="31"/>
      <c r="KP239" s="31"/>
      <c r="KQ239" s="31"/>
      <c r="KR239" s="31"/>
      <c r="KS239" s="31"/>
      <c r="KT239" s="31"/>
      <c r="KU239" s="31"/>
      <c r="KV239" s="31"/>
      <c r="KW239" s="31"/>
      <c r="KX239" s="31"/>
      <c r="KY239" s="31"/>
      <c r="KZ239" s="31"/>
      <c r="LA239" s="31"/>
      <c r="LB239" s="31"/>
      <c r="LC239" s="31"/>
      <c r="LD239" s="31"/>
      <c r="LE239" s="31"/>
      <c r="LF239" s="31"/>
      <c r="LG239" s="31"/>
      <c r="LH239" s="31"/>
      <c r="LI239" s="31"/>
      <c r="LJ239" s="31"/>
      <c r="LK239" s="31"/>
      <c r="LL239" s="31"/>
      <c r="LM239" s="31"/>
      <c r="LN239" s="31"/>
      <c r="LO239" s="31"/>
      <c r="LP239" s="31"/>
      <c r="LQ239" s="31"/>
      <c r="LR239" s="31"/>
      <c r="LS239" s="31"/>
      <c r="LT239" s="31"/>
      <c r="LU239" s="31"/>
      <c r="LV239" s="31"/>
      <c r="LW239" s="31"/>
      <c r="LX239" s="31"/>
      <c r="LY239" s="31"/>
      <c r="LZ239" s="31"/>
      <c r="MA239" s="31"/>
      <c r="MB239" s="31"/>
      <c r="MC239" s="31"/>
      <c r="MD239" s="31"/>
      <c r="ME239" s="31"/>
      <c r="MF239" s="31"/>
      <c r="MG239" s="31"/>
      <c r="MH239" s="31"/>
      <c r="MI239" s="31"/>
      <c r="MJ239" s="31"/>
      <c r="MK239" s="31"/>
      <c r="ML239" s="31"/>
      <c r="MM239" s="31"/>
      <c r="MN239" s="31"/>
      <c r="MO239" s="31"/>
      <c r="MP239" s="31"/>
      <c r="MQ239" s="31"/>
      <c r="MR239" s="31"/>
      <c r="MS239" s="31"/>
      <c r="MT239" s="31"/>
      <c r="MU239" s="31"/>
      <c r="MV239" s="31"/>
      <c r="MW239" s="31"/>
      <c r="MX239" s="31"/>
      <c r="MY239" s="31"/>
      <c r="MZ239" s="31"/>
      <c r="NA239" s="31"/>
      <c r="NB239" s="31"/>
      <c r="NC239" s="31"/>
      <c r="ND239" s="31"/>
      <c r="NE239" s="31"/>
      <c r="NF239" s="31"/>
      <c r="NG239" s="31"/>
      <c r="NH239" s="31"/>
      <c r="NI239" s="31"/>
      <c r="NJ239" s="31"/>
      <c r="NK239" s="31"/>
      <c r="NL239" s="31"/>
      <c r="NM239" s="31"/>
      <c r="NN239" s="31"/>
      <c r="NO239" s="31"/>
      <c r="NP239" s="31"/>
      <c r="NQ239" s="31"/>
      <c r="NR239" s="31"/>
      <c r="NS239" s="31"/>
      <c r="NT239" s="31"/>
      <c r="NU239" s="31"/>
      <c r="NV239" s="31"/>
      <c r="NW239" s="31"/>
      <c r="NX239" s="31"/>
      <c r="NY239" s="31"/>
      <c r="NZ239" s="31"/>
      <c r="OA239" s="31"/>
      <c r="OB239" s="31"/>
      <c r="OC239" s="31"/>
      <c r="OD239" s="31"/>
      <c r="OE239" s="31"/>
      <c r="OF239" s="31"/>
      <c r="OG239" s="31"/>
      <c r="OH239" s="31"/>
      <c r="OI239" s="31"/>
      <c r="OJ239" s="31"/>
      <c r="OK239" s="31"/>
      <c r="OL239" s="31"/>
      <c r="OM239" s="31"/>
      <c r="ON239" s="31"/>
      <c r="OO239" s="31"/>
      <c r="OP239" s="31"/>
      <c r="OQ239" s="31"/>
      <c r="OR239" s="31"/>
      <c r="OS239" s="31"/>
      <c r="OT239" s="31"/>
      <c r="OU239" s="31"/>
      <c r="OV239" s="31"/>
      <c r="OW239" s="31"/>
      <c r="OX239" s="31"/>
      <c r="OY239" s="31"/>
      <c r="OZ239" s="31"/>
      <c r="PA239" s="31"/>
      <c r="PB239" s="31"/>
      <c r="PC239" s="31"/>
      <c r="PD239" s="31"/>
      <c r="PE239" s="31"/>
      <c r="PF239" s="31"/>
      <c r="PG239" s="31"/>
      <c r="PH239" s="31"/>
      <c r="PI239" s="31"/>
      <c r="PJ239" s="31"/>
      <c r="PK239" s="31"/>
      <c r="PL239" s="31"/>
      <c r="PM239" s="31"/>
      <c r="PN239" s="31"/>
      <c r="PO239" s="31"/>
      <c r="PP239" s="31"/>
      <c r="PQ239" s="31"/>
      <c r="PR239" s="31"/>
      <c r="PS239" s="31"/>
      <c r="PT239" s="31"/>
      <c r="PU239" s="31"/>
      <c r="PV239" s="31"/>
      <c r="PW239" s="31"/>
      <c r="PX239" s="31"/>
      <c r="PY239" s="31"/>
      <c r="PZ239" s="31"/>
      <c r="QA239" s="31"/>
      <c r="QB239" s="31"/>
      <c r="QC239" s="31"/>
      <c r="QD239" s="31"/>
      <c r="QE239" s="31"/>
      <c r="QF239" s="31"/>
      <c r="QG239" s="31"/>
      <c r="QH239" s="31"/>
      <c r="QI239" s="31"/>
      <c r="QJ239" s="31"/>
      <c r="QK239" s="31"/>
      <c r="QL239" s="31"/>
      <c r="QM239" s="31"/>
      <c r="QN239" s="31"/>
      <c r="QO239" s="31"/>
      <c r="QP239" s="31"/>
      <c r="QQ239" s="31"/>
      <c r="QR239" s="31"/>
      <c r="QS239" s="31"/>
      <c r="QT239" s="31"/>
      <c r="QU239" s="31"/>
      <c r="QV239" s="31"/>
      <c r="QW239" s="31"/>
      <c r="QX239" s="31"/>
      <c r="QY239" s="31"/>
      <c r="QZ239" s="31"/>
      <c r="RA239" s="31"/>
      <c r="RB239" s="31"/>
      <c r="RC239" s="31"/>
      <c r="RD239" s="31"/>
      <c r="RE239" s="31"/>
      <c r="RF239" s="31"/>
      <c r="RG239" s="31"/>
      <c r="RH239" s="31"/>
      <c r="RI239" s="31"/>
      <c r="RJ239" s="31"/>
      <c r="RK239" s="31"/>
      <c r="RL239" s="31"/>
      <c r="RM239" s="31"/>
      <c r="RN239" s="31"/>
      <c r="RO239" s="31"/>
      <c r="RP239" s="31"/>
      <c r="RQ239" s="31"/>
      <c r="RR239" s="31"/>
      <c r="RS239" s="31"/>
      <c r="RT239" s="31"/>
      <c r="RU239" s="31"/>
      <c r="RV239" s="31"/>
      <c r="RW239" s="31"/>
      <c r="RX239" s="31"/>
      <c r="RY239" s="31"/>
      <c r="RZ239" s="31"/>
      <c r="SA239" s="31"/>
      <c r="SB239" s="31"/>
      <c r="SC239" s="31"/>
      <c r="SD239" s="31"/>
      <c r="SE239" s="31"/>
      <c r="SF239" s="31"/>
      <c r="SG239" s="31"/>
      <c r="SH239" s="31"/>
      <c r="SI239" s="31"/>
      <c r="SJ239" s="31"/>
      <c r="SK239" s="31"/>
      <c r="SL239" s="31"/>
      <c r="SM239" s="31"/>
      <c r="SN239" s="31"/>
      <c r="SO239" s="31"/>
      <c r="SP239" s="31"/>
      <c r="SQ239" s="31"/>
      <c r="SR239" s="31"/>
      <c r="SS239" s="31"/>
      <c r="ST239" s="31"/>
      <c r="SU239" s="31"/>
      <c r="SV239" s="31"/>
      <c r="SW239" s="31"/>
      <c r="SX239" s="31"/>
      <c r="SY239" s="31"/>
      <c r="SZ239" s="31"/>
      <c r="TA239" s="31"/>
      <c r="TB239" s="31"/>
      <c r="TC239" s="31"/>
      <c r="TD239" s="31"/>
      <c r="TE239" s="31"/>
      <c r="TF239" s="31"/>
      <c r="TG239" s="31"/>
      <c r="TH239" s="31"/>
      <c r="TI239" s="31"/>
      <c r="TJ239" s="31"/>
      <c r="TK239" s="31"/>
      <c r="TL239" s="31"/>
      <c r="TM239" s="31"/>
      <c r="TN239" s="31"/>
      <c r="TO239" s="31"/>
      <c r="TP239" s="31"/>
      <c r="TQ239" s="31"/>
      <c r="TR239" s="31"/>
      <c r="TS239" s="31"/>
      <c r="TT239" s="31"/>
      <c r="TU239" s="31"/>
      <c r="TV239" s="31"/>
      <c r="TW239" s="31"/>
      <c r="TX239" s="31"/>
      <c r="TY239" s="31"/>
      <c r="TZ239" s="31"/>
      <c r="UA239" s="31"/>
      <c r="UB239" s="31"/>
      <c r="UC239" s="31"/>
      <c r="UD239" s="31"/>
      <c r="UE239" s="31"/>
      <c r="UF239" s="31"/>
      <c r="UG239" s="33"/>
    </row>
    <row r="240" spans="1:553" ht="30" customHeight="1">
      <c r="A240" s="366" t="s">
        <v>15</v>
      </c>
      <c r="B240" s="366" t="s">
        <v>31</v>
      </c>
      <c r="C240" s="427" t="s">
        <v>1269</v>
      </c>
      <c r="D240" s="376" t="s">
        <v>20</v>
      </c>
      <c r="E240" s="376" t="s">
        <v>230</v>
      </c>
      <c r="F240" s="385"/>
      <c r="G240" s="386" t="s">
        <v>34</v>
      </c>
      <c r="H240" s="370"/>
      <c r="I240" s="422">
        <f>0.5*1.2*11</f>
        <v>6.6</v>
      </c>
      <c r="J240" s="368">
        <v>606342</v>
      </c>
      <c r="K240" s="388"/>
      <c r="L240" s="366">
        <f t="shared" si="49"/>
        <v>4001857.1999999997</v>
      </c>
      <c r="M240" s="366"/>
      <c r="N240" s="366"/>
      <c r="O240" s="366"/>
      <c r="P240" s="366"/>
      <c r="Q240" s="1135"/>
      <c r="R240" s="411"/>
      <c r="S240" s="308"/>
      <c r="T240" s="303"/>
      <c r="U240" s="306"/>
      <c r="V240" s="307"/>
      <c r="W240" s="306"/>
      <c r="X240" s="306"/>
      <c r="Y240" s="306"/>
      <c r="Z240" s="306"/>
      <c r="AA240" s="306"/>
      <c r="AB240" s="306"/>
      <c r="AC240" s="449"/>
      <c r="AD240" s="452"/>
      <c r="AE240" s="452"/>
      <c r="AF240" s="452"/>
      <c r="AG240" s="452"/>
      <c r="AH240" s="452"/>
      <c r="AI240" s="452"/>
      <c r="AJ240" s="452"/>
      <c r="AK240" s="452"/>
      <c r="AL240" s="106"/>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c r="CH240" s="31"/>
      <c r="CI240" s="31"/>
      <c r="CJ240" s="31"/>
      <c r="CK240" s="31"/>
      <c r="CL240" s="31"/>
      <c r="CM240" s="31"/>
      <c r="CN240" s="31"/>
      <c r="CO240" s="31"/>
      <c r="CP240" s="31"/>
      <c r="CQ240" s="31"/>
      <c r="CR240" s="31"/>
      <c r="CS240" s="31"/>
      <c r="CT240" s="31"/>
      <c r="CU240" s="31"/>
      <c r="CV240" s="31"/>
      <c r="CW240" s="31"/>
      <c r="CX240" s="31"/>
      <c r="CY240" s="31"/>
      <c r="CZ240" s="31"/>
      <c r="DA240" s="31"/>
      <c r="DB240" s="31"/>
      <c r="DC240" s="31"/>
      <c r="DD240" s="31"/>
      <c r="DE240" s="31"/>
      <c r="DF240" s="31"/>
      <c r="DG240" s="31"/>
      <c r="DH240" s="31"/>
      <c r="DI240" s="31"/>
      <c r="DJ240" s="31"/>
      <c r="DK240" s="31"/>
      <c r="DL240" s="31"/>
      <c r="DM240" s="31"/>
      <c r="DN240" s="31"/>
      <c r="DO240" s="31"/>
      <c r="DP240" s="31"/>
      <c r="DQ240" s="31"/>
      <c r="DR240" s="31"/>
      <c r="DS240" s="31"/>
      <c r="DT240" s="31"/>
      <c r="DU240" s="31"/>
      <c r="DV240" s="31"/>
      <c r="DW240" s="31"/>
      <c r="DX240" s="31"/>
      <c r="DY240" s="31"/>
      <c r="DZ240" s="31"/>
      <c r="EA240" s="31"/>
      <c r="EB240" s="31"/>
      <c r="EC240" s="31"/>
      <c r="ED240" s="31"/>
      <c r="EE240" s="31"/>
      <c r="EF240" s="31"/>
      <c r="EG240" s="31"/>
      <c r="EH240" s="31"/>
      <c r="EI240" s="31"/>
      <c r="EJ240" s="31"/>
      <c r="EK240" s="31"/>
      <c r="EL240" s="31"/>
      <c r="EM240" s="31"/>
      <c r="EN240" s="31"/>
      <c r="EO240" s="31"/>
      <c r="EP240" s="31"/>
      <c r="EQ240" s="31"/>
      <c r="ER240" s="31"/>
      <c r="ES240" s="31"/>
      <c r="ET240" s="31"/>
      <c r="EU240" s="31"/>
      <c r="EV240" s="31"/>
      <c r="EW240" s="31"/>
      <c r="EX240" s="31"/>
      <c r="EY240" s="31"/>
      <c r="EZ240" s="31"/>
      <c r="FA240" s="31"/>
      <c r="FB240" s="31"/>
      <c r="FC240" s="31"/>
      <c r="FD240" s="31"/>
      <c r="FE240" s="31"/>
      <c r="FF240" s="31"/>
      <c r="FG240" s="31"/>
      <c r="FH240" s="31"/>
      <c r="FI240" s="31"/>
      <c r="FJ240" s="31"/>
      <c r="FK240" s="31"/>
      <c r="FL240" s="31"/>
      <c r="FM240" s="31"/>
      <c r="FN240" s="31"/>
      <c r="FO240" s="31"/>
      <c r="FP240" s="31"/>
      <c r="FQ240" s="31"/>
      <c r="FR240" s="31"/>
      <c r="FS240" s="31"/>
      <c r="FT240" s="31"/>
      <c r="FU240" s="31"/>
      <c r="FV240" s="31"/>
      <c r="FW240" s="31"/>
      <c r="FX240" s="31"/>
      <c r="FY240" s="31"/>
      <c r="FZ240" s="31"/>
      <c r="GA240" s="31"/>
      <c r="GB240" s="31"/>
      <c r="GC240" s="31"/>
      <c r="GD240" s="31"/>
      <c r="GE240" s="31"/>
      <c r="GF240" s="31"/>
      <c r="GG240" s="31"/>
      <c r="GH240" s="31"/>
      <c r="GI240" s="31"/>
      <c r="GJ240" s="31"/>
      <c r="GK240" s="31"/>
      <c r="GL240" s="31"/>
      <c r="GM240" s="31"/>
      <c r="GN240" s="31"/>
      <c r="GO240" s="31"/>
      <c r="GP240" s="31"/>
      <c r="GQ240" s="31"/>
      <c r="GR240" s="31"/>
      <c r="GS240" s="31"/>
      <c r="GT240" s="31"/>
      <c r="GU240" s="31"/>
      <c r="GV240" s="31"/>
      <c r="GW240" s="31"/>
      <c r="GX240" s="31"/>
      <c r="GY240" s="31"/>
      <c r="GZ240" s="31"/>
      <c r="HA240" s="31"/>
      <c r="HB240" s="31"/>
      <c r="HC240" s="31"/>
      <c r="HD240" s="31"/>
      <c r="HE240" s="31"/>
      <c r="HF240" s="31"/>
      <c r="HG240" s="31"/>
      <c r="HH240" s="31"/>
      <c r="HI240" s="31"/>
      <c r="HJ240" s="31"/>
      <c r="HK240" s="31"/>
      <c r="HL240" s="31"/>
      <c r="HM240" s="31"/>
      <c r="HN240" s="31"/>
      <c r="HO240" s="31"/>
      <c r="HP240" s="31"/>
      <c r="HQ240" s="31"/>
      <c r="HR240" s="31"/>
      <c r="HS240" s="31"/>
      <c r="HT240" s="31"/>
      <c r="HU240" s="31"/>
      <c r="HV240" s="31"/>
      <c r="HW240" s="31"/>
      <c r="HX240" s="31"/>
      <c r="HY240" s="31"/>
      <c r="HZ240" s="31"/>
      <c r="IA240" s="31"/>
      <c r="IB240" s="31"/>
      <c r="IC240" s="31"/>
      <c r="ID240" s="31"/>
      <c r="IE240" s="31"/>
      <c r="IF240" s="31"/>
      <c r="IG240" s="31"/>
      <c r="IH240" s="31"/>
      <c r="II240" s="31"/>
      <c r="IJ240" s="31"/>
      <c r="IK240" s="31"/>
      <c r="IL240" s="31"/>
      <c r="IM240" s="31"/>
      <c r="IN240" s="31"/>
      <c r="IO240" s="31"/>
      <c r="IP240" s="31"/>
      <c r="IQ240" s="31"/>
      <c r="IR240" s="31"/>
      <c r="IS240" s="31"/>
      <c r="IT240" s="31"/>
      <c r="IU240" s="31"/>
      <c r="IV240" s="31"/>
      <c r="IW240" s="31"/>
      <c r="IX240" s="31"/>
      <c r="IY240" s="31"/>
      <c r="IZ240" s="31"/>
      <c r="JA240" s="31"/>
      <c r="JB240" s="31"/>
      <c r="JC240" s="31"/>
      <c r="JD240" s="31"/>
      <c r="JE240" s="31"/>
      <c r="JF240" s="31"/>
      <c r="JG240" s="31"/>
      <c r="JH240" s="31"/>
      <c r="JI240" s="31"/>
      <c r="JJ240" s="31"/>
      <c r="JK240" s="31"/>
      <c r="JL240" s="31"/>
      <c r="JM240" s="31"/>
      <c r="JN240" s="31"/>
      <c r="JO240" s="31"/>
      <c r="JP240" s="31"/>
      <c r="JQ240" s="31"/>
      <c r="JR240" s="31"/>
      <c r="JS240" s="31"/>
      <c r="JT240" s="31"/>
      <c r="JU240" s="31"/>
      <c r="JV240" s="31"/>
      <c r="JW240" s="31"/>
      <c r="JX240" s="31"/>
      <c r="JY240" s="31"/>
      <c r="JZ240" s="31"/>
      <c r="KA240" s="31"/>
      <c r="KB240" s="31"/>
      <c r="KC240" s="31"/>
      <c r="KD240" s="31"/>
      <c r="KE240" s="31"/>
      <c r="KF240" s="31"/>
      <c r="KG240" s="31"/>
      <c r="KH240" s="31"/>
      <c r="KI240" s="31"/>
      <c r="KJ240" s="31"/>
      <c r="KK240" s="31"/>
      <c r="KL240" s="31"/>
      <c r="KM240" s="31"/>
      <c r="KN240" s="31"/>
      <c r="KO240" s="31"/>
      <c r="KP240" s="31"/>
      <c r="KQ240" s="31"/>
      <c r="KR240" s="31"/>
      <c r="KS240" s="31"/>
      <c r="KT240" s="31"/>
      <c r="KU240" s="31"/>
      <c r="KV240" s="31"/>
      <c r="KW240" s="31"/>
      <c r="KX240" s="31"/>
      <c r="KY240" s="31"/>
      <c r="KZ240" s="31"/>
      <c r="LA240" s="31"/>
      <c r="LB240" s="31"/>
      <c r="LC240" s="31"/>
      <c r="LD240" s="31"/>
      <c r="LE240" s="31"/>
      <c r="LF240" s="31"/>
      <c r="LG240" s="31"/>
      <c r="LH240" s="31"/>
      <c r="LI240" s="31"/>
      <c r="LJ240" s="31"/>
      <c r="LK240" s="31"/>
      <c r="LL240" s="31"/>
      <c r="LM240" s="31"/>
      <c r="LN240" s="31"/>
      <c r="LO240" s="31"/>
      <c r="LP240" s="31"/>
      <c r="LQ240" s="31"/>
      <c r="LR240" s="31"/>
      <c r="LS240" s="31"/>
      <c r="LT240" s="31"/>
      <c r="LU240" s="31"/>
      <c r="LV240" s="31"/>
      <c r="LW240" s="31"/>
      <c r="LX240" s="31"/>
      <c r="LY240" s="31"/>
      <c r="LZ240" s="31"/>
      <c r="MA240" s="31"/>
      <c r="MB240" s="31"/>
      <c r="MC240" s="31"/>
      <c r="MD240" s="31"/>
      <c r="ME240" s="31"/>
      <c r="MF240" s="31"/>
      <c r="MG240" s="31"/>
      <c r="MH240" s="31"/>
      <c r="MI240" s="31"/>
      <c r="MJ240" s="31"/>
      <c r="MK240" s="31"/>
      <c r="ML240" s="31"/>
      <c r="MM240" s="31"/>
      <c r="MN240" s="31"/>
      <c r="MO240" s="31"/>
      <c r="MP240" s="31"/>
      <c r="MQ240" s="31"/>
      <c r="MR240" s="31"/>
      <c r="MS240" s="31"/>
      <c r="MT240" s="31"/>
      <c r="MU240" s="31"/>
      <c r="MV240" s="31"/>
      <c r="MW240" s="31"/>
      <c r="MX240" s="31"/>
      <c r="MY240" s="31"/>
      <c r="MZ240" s="31"/>
      <c r="NA240" s="31"/>
      <c r="NB240" s="31"/>
      <c r="NC240" s="31"/>
      <c r="ND240" s="31"/>
      <c r="NE240" s="31"/>
      <c r="NF240" s="31"/>
      <c r="NG240" s="31"/>
      <c r="NH240" s="31"/>
      <c r="NI240" s="31"/>
      <c r="NJ240" s="31"/>
      <c r="NK240" s="31"/>
      <c r="NL240" s="31"/>
      <c r="NM240" s="31"/>
      <c r="NN240" s="31"/>
      <c r="NO240" s="31"/>
      <c r="NP240" s="31"/>
      <c r="NQ240" s="31"/>
      <c r="NR240" s="31"/>
      <c r="NS240" s="31"/>
      <c r="NT240" s="31"/>
      <c r="NU240" s="31"/>
      <c r="NV240" s="31"/>
      <c r="NW240" s="31"/>
      <c r="NX240" s="31"/>
      <c r="NY240" s="31"/>
      <c r="NZ240" s="31"/>
      <c r="OA240" s="31"/>
      <c r="OB240" s="31"/>
      <c r="OC240" s="31"/>
      <c r="OD240" s="31"/>
      <c r="OE240" s="31"/>
      <c r="OF240" s="31"/>
      <c r="OG240" s="31"/>
      <c r="OH240" s="31"/>
      <c r="OI240" s="31"/>
      <c r="OJ240" s="31"/>
      <c r="OK240" s="31"/>
      <c r="OL240" s="31"/>
      <c r="OM240" s="31"/>
      <c r="ON240" s="31"/>
      <c r="OO240" s="31"/>
      <c r="OP240" s="31"/>
      <c r="OQ240" s="31"/>
      <c r="OR240" s="31"/>
      <c r="OS240" s="31"/>
      <c r="OT240" s="31"/>
      <c r="OU240" s="31"/>
      <c r="OV240" s="31"/>
      <c r="OW240" s="31"/>
      <c r="OX240" s="31"/>
      <c r="OY240" s="31"/>
      <c r="OZ240" s="31"/>
      <c r="PA240" s="31"/>
      <c r="PB240" s="31"/>
      <c r="PC240" s="31"/>
      <c r="PD240" s="31"/>
      <c r="PE240" s="31"/>
      <c r="PF240" s="31"/>
      <c r="PG240" s="31"/>
      <c r="PH240" s="31"/>
      <c r="PI240" s="31"/>
      <c r="PJ240" s="31"/>
      <c r="PK240" s="31"/>
      <c r="PL240" s="31"/>
      <c r="PM240" s="31"/>
      <c r="PN240" s="31"/>
      <c r="PO240" s="31"/>
      <c r="PP240" s="31"/>
      <c r="PQ240" s="31"/>
      <c r="PR240" s="31"/>
      <c r="PS240" s="31"/>
      <c r="PT240" s="31"/>
      <c r="PU240" s="31"/>
      <c r="PV240" s="31"/>
      <c r="PW240" s="31"/>
      <c r="PX240" s="31"/>
      <c r="PY240" s="31"/>
      <c r="PZ240" s="31"/>
      <c r="QA240" s="31"/>
      <c r="QB240" s="31"/>
      <c r="QC240" s="31"/>
      <c r="QD240" s="31"/>
      <c r="QE240" s="31"/>
      <c r="QF240" s="31"/>
      <c r="QG240" s="31"/>
      <c r="QH240" s="31"/>
      <c r="QI240" s="31"/>
      <c r="QJ240" s="31"/>
      <c r="QK240" s="31"/>
      <c r="QL240" s="31"/>
      <c r="QM240" s="31"/>
      <c r="QN240" s="31"/>
      <c r="QO240" s="31"/>
      <c r="QP240" s="31"/>
      <c r="QQ240" s="31"/>
      <c r="QR240" s="31"/>
      <c r="QS240" s="31"/>
      <c r="QT240" s="31"/>
      <c r="QU240" s="31"/>
      <c r="QV240" s="31"/>
      <c r="QW240" s="31"/>
      <c r="QX240" s="31"/>
      <c r="QY240" s="31"/>
      <c r="QZ240" s="31"/>
      <c r="RA240" s="31"/>
      <c r="RB240" s="31"/>
      <c r="RC240" s="31"/>
      <c r="RD240" s="31"/>
      <c r="RE240" s="31"/>
      <c r="RF240" s="31"/>
      <c r="RG240" s="31"/>
      <c r="RH240" s="31"/>
      <c r="RI240" s="31"/>
      <c r="RJ240" s="31"/>
      <c r="RK240" s="31"/>
      <c r="RL240" s="31"/>
      <c r="RM240" s="31"/>
      <c r="RN240" s="31"/>
      <c r="RO240" s="31"/>
      <c r="RP240" s="31"/>
      <c r="RQ240" s="31"/>
      <c r="RR240" s="31"/>
      <c r="RS240" s="31"/>
      <c r="RT240" s="31"/>
      <c r="RU240" s="31"/>
      <c r="RV240" s="31"/>
      <c r="RW240" s="31"/>
      <c r="RX240" s="31"/>
      <c r="RY240" s="31"/>
      <c r="RZ240" s="31"/>
      <c r="SA240" s="31"/>
      <c r="SB240" s="31"/>
      <c r="SC240" s="31"/>
      <c r="SD240" s="31"/>
      <c r="SE240" s="31"/>
      <c r="SF240" s="31"/>
      <c r="SG240" s="31"/>
      <c r="SH240" s="31"/>
      <c r="SI240" s="31"/>
      <c r="SJ240" s="31"/>
      <c r="SK240" s="31"/>
      <c r="SL240" s="31"/>
      <c r="SM240" s="31"/>
      <c r="SN240" s="31"/>
      <c r="SO240" s="31"/>
      <c r="SP240" s="31"/>
      <c r="SQ240" s="31"/>
      <c r="SR240" s="31"/>
      <c r="SS240" s="31"/>
      <c r="ST240" s="31"/>
      <c r="SU240" s="31"/>
      <c r="SV240" s="31"/>
      <c r="SW240" s="31"/>
      <c r="SX240" s="31"/>
      <c r="SY240" s="31"/>
      <c r="SZ240" s="31"/>
      <c r="TA240" s="31"/>
      <c r="TB240" s="31"/>
      <c r="TC240" s="31"/>
      <c r="TD240" s="31"/>
      <c r="TE240" s="31"/>
      <c r="TF240" s="31"/>
      <c r="TG240" s="31"/>
      <c r="TH240" s="31"/>
      <c r="TI240" s="31"/>
      <c r="TJ240" s="31"/>
      <c r="TK240" s="31"/>
      <c r="TL240" s="31"/>
      <c r="TM240" s="31"/>
      <c r="TN240" s="31"/>
      <c r="TO240" s="31"/>
      <c r="TP240" s="31"/>
      <c r="TQ240" s="31"/>
      <c r="TR240" s="31"/>
      <c r="TS240" s="31"/>
      <c r="TT240" s="31"/>
      <c r="TU240" s="31"/>
      <c r="TV240" s="31"/>
      <c r="TW240" s="31"/>
      <c r="TX240" s="31"/>
      <c r="TY240" s="31"/>
      <c r="TZ240" s="31"/>
      <c r="UA240" s="31"/>
      <c r="UB240" s="31"/>
      <c r="UC240" s="31"/>
      <c r="UD240" s="31"/>
      <c r="UE240" s="31"/>
      <c r="UF240" s="31"/>
      <c r="UG240" s="33"/>
    </row>
    <row r="241" spans="1:553" ht="30" customHeight="1">
      <c r="A241" s="366" t="s">
        <v>15</v>
      </c>
      <c r="B241" s="366" t="s">
        <v>31</v>
      </c>
      <c r="C241" s="427" t="s">
        <v>1270</v>
      </c>
      <c r="D241" s="376">
        <v>1</v>
      </c>
      <c r="E241" s="376">
        <v>334</v>
      </c>
      <c r="F241" s="385"/>
      <c r="G241" s="386" t="s">
        <v>34</v>
      </c>
      <c r="H241" s="376"/>
      <c r="I241" s="422">
        <f>0.5*1.2*14</f>
        <v>8.4</v>
      </c>
      <c r="J241" s="368">
        <v>606342</v>
      </c>
      <c r="K241" s="491"/>
      <c r="L241" s="366">
        <f t="shared" si="49"/>
        <v>5093272.8</v>
      </c>
      <c r="M241" s="366"/>
      <c r="N241" s="366"/>
      <c r="O241" s="366"/>
      <c r="P241" s="366"/>
      <c r="Q241" s="813"/>
      <c r="R241" s="411"/>
      <c r="S241" s="308"/>
      <c r="T241" s="303"/>
      <c r="U241" s="306"/>
      <c r="V241" s="307"/>
      <c r="W241" s="306"/>
      <c r="X241" s="306"/>
      <c r="Y241" s="306"/>
      <c r="Z241" s="306"/>
      <c r="AA241" s="306"/>
      <c r="AB241" s="306"/>
      <c r="AC241" s="454"/>
      <c r="AD241" s="455"/>
      <c r="AE241" s="455"/>
      <c r="AF241" s="455"/>
      <c r="AG241" s="455"/>
      <c r="AH241" s="455"/>
      <c r="AI241" s="455"/>
      <c r="AJ241" s="455"/>
      <c r="AK241" s="455"/>
      <c r="AL241" s="111"/>
      <c r="AM241" s="35"/>
      <c r="AN241" s="35"/>
      <c r="AO241" s="35"/>
      <c r="AP241" s="35"/>
      <c r="AQ241" s="35"/>
      <c r="AR241" s="35"/>
      <c r="AS241" s="35"/>
      <c r="AT241" s="35"/>
      <c r="AU241" s="35"/>
      <c r="AV241" s="35"/>
      <c r="AW241" s="35"/>
      <c r="AX241" s="35"/>
      <c r="AY241" s="35"/>
      <c r="AZ241" s="35"/>
      <c r="BA241" s="35"/>
      <c r="BB241" s="35"/>
      <c r="BC241" s="35"/>
      <c r="BD241" s="35"/>
      <c r="BE241" s="35"/>
      <c r="BF241" s="31"/>
      <c r="BG241" s="31"/>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c r="CH241" s="31"/>
      <c r="CI241" s="31"/>
      <c r="CJ241" s="31"/>
      <c r="CK241" s="31"/>
      <c r="CL241" s="31"/>
      <c r="CM241" s="31"/>
      <c r="CN241" s="31"/>
      <c r="CO241" s="31"/>
      <c r="CP241" s="31"/>
      <c r="CQ241" s="31"/>
      <c r="CR241" s="31"/>
      <c r="CS241" s="31"/>
      <c r="CT241" s="31"/>
      <c r="CU241" s="31"/>
      <c r="CV241" s="31"/>
      <c r="CW241" s="31"/>
      <c r="CX241" s="31"/>
      <c r="CY241" s="31"/>
      <c r="CZ241" s="31"/>
      <c r="DA241" s="31"/>
      <c r="DB241" s="31"/>
      <c r="DC241" s="31"/>
      <c r="DD241" s="31"/>
      <c r="DE241" s="31"/>
      <c r="DF241" s="31"/>
      <c r="DG241" s="31"/>
      <c r="DH241" s="31"/>
      <c r="DI241" s="31"/>
      <c r="DJ241" s="31"/>
      <c r="DK241" s="31"/>
      <c r="DL241" s="31"/>
      <c r="DM241" s="31"/>
      <c r="DN241" s="31"/>
      <c r="DO241" s="31"/>
      <c r="DP241" s="31"/>
      <c r="DQ241" s="31"/>
      <c r="DR241" s="31"/>
      <c r="DS241" s="31"/>
      <c r="DT241" s="31"/>
      <c r="DU241" s="31"/>
      <c r="DV241" s="31"/>
      <c r="DW241" s="31"/>
      <c r="DX241" s="31"/>
      <c r="DY241" s="31"/>
      <c r="DZ241" s="31"/>
      <c r="EA241" s="31"/>
      <c r="EB241" s="31"/>
      <c r="EC241" s="31"/>
      <c r="ED241" s="31"/>
      <c r="EE241" s="31"/>
      <c r="EF241" s="31"/>
      <c r="EG241" s="31"/>
      <c r="EH241" s="31"/>
      <c r="EI241" s="31"/>
      <c r="EJ241" s="31"/>
      <c r="EK241" s="31"/>
      <c r="EL241" s="31"/>
      <c r="EM241" s="31"/>
      <c r="EN241" s="31"/>
      <c r="EO241" s="31"/>
      <c r="EP241" s="31"/>
      <c r="EQ241" s="31"/>
      <c r="ER241" s="31"/>
      <c r="ES241" s="31"/>
      <c r="ET241" s="31"/>
      <c r="EU241" s="31"/>
      <c r="EV241" s="31"/>
      <c r="EW241" s="31"/>
      <c r="EX241" s="31"/>
      <c r="EY241" s="31"/>
      <c r="EZ241" s="31"/>
      <c r="FA241" s="31"/>
      <c r="FB241" s="31"/>
      <c r="FC241" s="31"/>
      <c r="FD241" s="31"/>
      <c r="FE241" s="31"/>
      <c r="FF241" s="31"/>
      <c r="FG241" s="31"/>
      <c r="FH241" s="31"/>
      <c r="FI241" s="31"/>
      <c r="FJ241" s="31"/>
      <c r="FK241" s="31"/>
      <c r="FL241" s="31"/>
      <c r="FM241" s="31"/>
      <c r="FN241" s="31"/>
      <c r="FO241" s="31"/>
      <c r="FP241" s="31"/>
      <c r="FQ241" s="31"/>
      <c r="FR241" s="31"/>
      <c r="FS241" s="31"/>
      <c r="FT241" s="31"/>
      <c r="FU241" s="31"/>
      <c r="FV241" s="31"/>
      <c r="FW241" s="31"/>
      <c r="FX241" s="31"/>
      <c r="FY241" s="31"/>
      <c r="FZ241" s="31"/>
      <c r="GA241" s="31"/>
      <c r="GB241" s="31"/>
      <c r="GC241" s="31"/>
      <c r="GD241" s="31"/>
      <c r="GE241" s="31"/>
      <c r="GF241" s="31"/>
      <c r="GG241" s="31"/>
      <c r="GH241" s="31"/>
      <c r="GI241" s="31"/>
      <c r="GJ241" s="31"/>
      <c r="GK241" s="31"/>
      <c r="GL241" s="31"/>
      <c r="GM241" s="31"/>
      <c r="GN241" s="31"/>
      <c r="GO241" s="31"/>
      <c r="GP241" s="31"/>
      <c r="GQ241" s="31"/>
      <c r="GR241" s="31"/>
      <c r="GS241" s="31"/>
      <c r="GT241" s="31"/>
      <c r="GU241" s="31"/>
      <c r="GV241" s="31"/>
      <c r="GW241" s="31"/>
      <c r="GX241" s="31"/>
      <c r="GY241" s="31"/>
      <c r="GZ241" s="31"/>
      <c r="HA241" s="31"/>
      <c r="HB241" s="31"/>
      <c r="HC241" s="31"/>
      <c r="HD241" s="31"/>
      <c r="HE241" s="31"/>
      <c r="HF241" s="31"/>
      <c r="HG241" s="31"/>
      <c r="HH241" s="31"/>
      <c r="HI241" s="31"/>
      <c r="HJ241" s="31"/>
      <c r="HK241" s="31"/>
      <c r="HL241" s="31"/>
      <c r="HM241" s="31"/>
      <c r="HN241" s="31"/>
      <c r="HO241" s="31"/>
      <c r="HP241" s="31"/>
      <c r="HQ241" s="31"/>
      <c r="HR241" s="31"/>
      <c r="HS241" s="31"/>
      <c r="HT241" s="31"/>
      <c r="HU241" s="31"/>
      <c r="HV241" s="31"/>
      <c r="HW241" s="31"/>
      <c r="HX241" s="31"/>
      <c r="HY241" s="31"/>
      <c r="HZ241" s="31"/>
      <c r="IA241" s="31"/>
      <c r="IB241" s="31"/>
      <c r="IC241" s="31"/>
      <c r="ID241" s="31"/>
      <c r="IE241" s="31"/>
      <c r="IF241" s="31"/>
      <c r="IG241" s="31"/>
      <c r="IH241" s="31"/>
      <c r="II241" s="31"/>
      <c r="IJ241" s="31"/>
      <c r="IK241" s="31"/>
      <c r="IL241" s="31"/>
      <c r="IM241" s="31"/>
      <c r="IN241" s="31"/>
      <c r="IO241" s="31"/>
      <c r="IP241" s="31"/>
      <c r="IQ241" s="31"/>
      <c r="IR241" s="31"/>
      <c r="IS241" s="31"/>
      <c r="IT241" s="31"/>
      <c r="IU241" s="31"/>
      <c r="IV241" s="31"/>
      <c r="IW241" s="31"/>
      <c r="IX241" s="31"/>
      <c r="IY241" s="31"/>
      <c r="IZ241" s="31"/>
      <c r="JA241" s="31"/>
      <c r="JB241" s="31"/>
      <c r="JC241" s="31"/>
      <c r="JD241" s="31"/>
      <c r="JE241" s="31"/>
      <c r="JF241" s="31"/>
      <c r="JG241" s="31"/>
      <c r="JH241" s="31"/>
      <c r="JI241" s="31"/>
      <c r="JJ241" s="31"/>
      <c r="JK241" s="31"/>
      <c r="JL241" s="31"/>
      <c r="JM241" s="31"/>
      <c r="JN241" s="31"/>
      <c r="JO241" s="31"/>
      <c r="JP241" s="31"/>
      <c r="JQ241" s="31"/>
      <c r="JR241" s="31"/>
      <c r="JS241" s="31"/>
      <c r="JT241" s="31"/>
      <c r="JU241" s="31"/>
      <c r="JV241" s="31"/>
      <c r="JW241" s="31"/>
      <c r="JX241" s="31"/>
      <c r="JY241" s="31"/>
      <c r="JZ241" s="31"/>
      <c r="KA241" s="31"/>
      <c r="KB241" s="31"/>
      <c r="KC241" s="31"/>
      <c r="KD241" s="31"/>
      <c r="KE241" s="31"/>
      <c r="KF241" s="31"/>
      <c r="KG241" s="31"/>
      <c r="KH241" s="31"/>
      <c r="KI241" s="31"/>
      <c r="KJ241" s="31"/>
      <c r="KK241" s="31"/>
      <c r="KL241" s="31"/>
      <c r="KM241" s="31"/>
      <c r="KN241" s="31"/>
      <c r="KO241" s="31"/>
      <c r="KP241" s="31"/>
      <c r="KQ241" s="31"/>
      <c r="KR241" s="31"/>
      <c r="KS241" s="31"/>
      <c r="KT241" s="31"/>
      <c r="KU241" s="31"/>
      <c r="KV241" s="31"/>
      <c r="KW241" s="31"/>
      <c r="KX241" s="31"/>
      <c r="KY241" s="31"/>
      <c r="KZ241" s="31"/>
      <c r="LA241" s="31"/>
      <c r="LB241" s="31"/>
      <c r="LC241" s="31"/>
      <c r="LD241" s="31"/>
      <c r="LE241" s="31"/>
      <c r="LF241" s="31"/>
      <c r="LG241" s="31"/>
      <c r="LH241" s="31"/>
      <c r="LI241" s="31"/>
      <c r="LJ241" s="31"/>
      <c r="LK241" s="31"/>
      <c r="LL241" s="31"/>
      <c r="LM241" s="31"/>
      <c r="LN241" s="31"/>
      <c r="LO241" s="31"/>
      <c r="LP241" s="31"/>
      <c r="LQ241" s="31"/>
      <c r="LR241" s="31"/>
      <c r="LS241" s="31"/>
      <c r="LT241" s="31"/>
      <c r="LU241" s="31"/>
      <c r="LV241" s="31"/>
      <c r="LW241" s="31"/>
      <c r="LX241" s="31"/>
      <c r="LY241" s="31"/>
      <c r="LZ241" s="31"/>
      <c r="MA241" s="31"/>
      <c r="MB241" s="31"/>
      <c r="MC241" s="31"/>
      <c r="MD241" s="31"/>
      <c r="ME241" s="31"/>
      <c r="MF241" s="31"/>
      <c r="MG241" s="31"/>
      <c r="MH241" s="31"/>
      <c r="MI241" s="31"/>
      <c r="MJ241" s="31"/>
      <c r="MK241" s="31"/>
      <c r="ML241" s="31"/>
      <c r="MM241" s="31"/>
      <c r="MN241" s="31"/>
      <c r="MO241" s="31"/>
      <c r="MP241" s="31"/>
      <c r="MQ241" s="31"/>
      <c r="MR241" s="31"/>
      <c r="MS241" s="31"/>
      <c r="MT241" s="31"/>
      <c r="MU241" s="31"/>
      <c r="MV241" s="31"/>
      <c r="MW241" s="31"/>
      <c r="MX241" s="31"/>
      <c r="MY241" s="31"/>
      <c r="MZ241" s="31"/>
      <c r="NA241" s="31"/>
      <c r="NB241" s="31"/>
      <c r="NC241" s="31"/>
      <c r="ND241" s="31"/>
      <c r="NE241" s="31"/>
      <c r="NF241" s="31"/>
      <c r="NG241" s="31"/>
      <c r="NH241" s="31"/>
      <c r="NI241" s="31"/>
      <c r="NJ241" s="31"/>
      <c r="NK241" s="31"/>
      <c r="NL241" s="31"/>
      <c r="NM241" s="31"/>
      <c r="NN241" s="31"/>
      <c r="NO241" s="31"/>
      <c r="NP241" s="31"/>
      <c r="NQ241" s="31"/>
      <c r="NR241" s="31"/>
      <c r="NS241" s="31"/>
      <c r="NT241" s="31"/>
      <c r="NU241" s="31"/>
      <c r="NV241" s="31"/>
      <c r="NW241" s="31"/>
      <c r="NX241" s="31"/>
      <c r="NY241" s="31"/>
      <c r="NZ241" s="31"/>
      <c r="OA241" s="31"/>
      <c r="OB241" s="31"/>
      <c r="OC241" s="31"/>
      <c r="OD241" s="31"/>
      <c r="OE241" s="31"/>
      <c r="OF241" s="31"/>
      <c r="OG241" s="31"/>
      <c r="OH241" s="31"/>
      <c r="OI241" s="31"/>
      <c r="OJ241" s="31"/>
      <c r="OK241" s="31"/>
      <c r="OL241" s="31"/>
      <c r="OM241" s="31"/>
      <c r="ON241" s="31"/>
      <c r="OO241" s="31"/>
      <c r="OP241" s="31"/>
      <c r="OQ241" s="31"/>
      <c r="OR241" s="31"/>
      <c r="OS241" s="31"/>
      <c r="OT241" s="31"/>
      <c r="OU241" s="31"/>
      <c r="OV241" s="31"/>
      <c r="OW241" s="31"/>
      <c r="OX241" s="31"/>
      <c r="OY241" s="31"/>
      <c r="OZ241" s="31"/>
      <c r="PA241" s="31"/>
      <c r="PB241" s="31"/>
      <c r="PC241" s="31"/>
      <c r="PD241" s="31"/>
      <c r="PE241" s="31"/>
      <c r="PF241" s="31"/>
      <c r="PG241" s="31"/>
      <c r="PH241" s="31"/>
      <c r="PI241" s="31"/>
      <c r="PJ241" s="31"/>
      <c r="PK241" s="31"/>
      <c r="PL241" s="31"/>
      <c r="PM241" s="31"/>
      <c r="PN241" s="31"/>
      <c r="PO241" s="31"/>
      <c r="PP241" s="31"/>
      <c r="PQ241" s="31"/>
      <c r="PR241" s="31"/>
      <c r="PS241" s="31"/>
      <c r="PT241" s="31"/>
      <c r="PU241" s="31"/>
      <c r="PV241" s="31"/>
      <c r="PW241" s="31"/>
      <c r="PX241" s="31"/>
      <c r="PY241" s="31"/>
      <c r="PZ241" s="31"/>
      <c r="QA241" s="31"/>
      <c r="QB241" s="31"/>
      <c r="QC241" s="31"/>
      <c r="QD241" s="31"/>
      <c r="QE241" s="31"/>
      <c r="QF241" s="31"/>
      <c r="QG241" s="31"/>
      <c r="QH241" s="31"/>
      <c r="QI241" s="31"/>
      <c r="QJ241" s="31"/>
      <c r="QK241" s="31"/>
      <c r="QL241" s="31"/>
      <c r="QM241" s="31"/>
      <c r="QN241" s="31"/>
      <c r="QO241" s="31"/>
      <c r="QP241" s="31"/>
      <c r="QQ241" s="31"/>
      <c r="QR241" s="31"/>
      <c r="QS241" s="31"/>
      <c r="QT241" s="31"/>
      <c r="QU241" s="31"/>
      <c r="QV241" s="31"/>
      <c r="QW241" s="31"/>
      <c r="QX241" s="31"/>
      <c r="QY241" s="31"/>
      <c r="QZ241" s="31"/>
      <c r="RA241" s="31"/>
      <c r="RB241" s="31"/>
      <c r="RC241" s="31"/>
      <c r="RD241" s="31"/>
      <c r="RE241" s="31"/>
      <c r="RF241" s="31"/>
      <c r="RG241" s="31"/>
      <c r="RH241" s="31"/>
      <c r="RI241" s="31"/>
      <c r="RJ241" s="31"/>
      <c r="RK241" s="31"/>
      <c r="RL241" s="31"/>
      <c r="RM241" s="31"/>
      <c r="RN241" s="31"/>
      <c r="RO241" s="31"/>
      <c r="RP241" s="31"/>
      <c r="RQ241" s="31"/>
      <c r="RR241" s="31"/>
      <c r="RS241" s="31"/>
      <c r="RT241" s="31"/>
      <c r="RU241" s="31"/>
      <c r="RV241" s="31"/>
      <c r="RW241" s="31"/>
      <c r="RX241" s="31"/>
      <c r="RY241" s="31"/>
      <c r="RZ241" s="31"/>
      <c r="SA241" s="31"/>
      <c r="SB241" s="31"/>
      <c r="SC241" s="31"/>
      <c r="SD241" s="31"/>
      <c r="SE241" s="31"/>
      <c r="SF241" s="31"/>
      <c r="SG241" s="31"/>
      <c r="SH241" s="31"/>
      <c r="SI241" s="31"/>
      <c r="SJ241" s="31"/>
      <c r="SK241" s="31"/>
      <c r="SL241" s="31"/>
      <c r="SM241" s="31"/>
      <c r="SN241" s="31"/>
      <c r="SO241" s="31"/>
      <c r="SP241" s="31"/>
      <c r="SQ241" s="31"/>
      <c r="SR241" s="31"/>
      <c r="SS241" s="31"/>
      <c r="ST241" s="31"/>
      <c r="SU241" s="31"/>
      <c r="SV241" s="31"/>
      <c r="SW241" s="31"/>
      <c r="SX241" s="31"/>
      <c r="SY241" s="31"/>
      <c r="SZ241" s="31"/>
      <c r="TA241" s="31"/>
      <c r="TB241" s="31"/>
      <c r="TC241" s="31"/>
      <c r="TD241" s="31"/>
      <c r="TE241" s="31"/>
      <c r="TF241" s="31"/>
      <c r="TG241" s="31"/>
      <c r="TH241" s="31"/>
      <c r="TI241" s="31"/>
      <c r="TJ241" s="31"/>
      <c r="TK241" s="31"/>
      <c r="TL241" s="31"/>
      <c r="TM241" s="31"/>
      <c r="TN241" s="31"/>
      <c r="TO241" s="31"/>
      <c r="TP241" s="31"/>
      <c r="TQ241" s="31"/>
      <c r="TR241" s="31"/>
      <c r="TS241" s="31"/>
      <c r="TT241" s="31"/>
      <c r="TU241" s="31"/>
      <c r="TV241" s="31"/>
      <c r="TW241" s="31"/>
      <c r="TX241" s="31"/>
      <c r="TY241" s="31"/>
      <c r="TZ241" s="31"/>
      <c r="UA241" s="31"/>
      <c r="UB241" s="31"/>
      <c r="UC241" s="31"/>
      <c r="UD241" s="31"/>
      <c r="UE241" s="31"/>
      <c r="UF241" s="31"/>
      <c r="UG241" s="33"/>
    </row>
    <row r="242" spans="1:553" ht="30" customHeight="1">
      <c r="A242" s="366" t="s">
        <v>15</v>
      </c>
      <c r="B242" s="366" t="s">
        <v>31</v>
      </c>
      <c r="C242" s="427" t="s">
        <v>1271</v>
      </c>
      <c r="D242" s="376">
        <v>2</v>
      </c>
      <c r="E242" s="376">
        <v>414</v>
      </c>
      <c r="F242" s="385"/>
      <c r="G242" s="386" t="s">
        <v>34</v>
      </c>
      <c r="H242" s="376"/>
      <c r="I242" s="422">
        <f>0.5*1.1*47</f>
        <v>25.85</v>
      </c>
      <c r="J242" s="368">
        <v>606342</v>
      </c>
      <c r="K242" s="491"/>
      <c r="L242" s="366">
        <f t="shared" si="49"/>
        <v>15673940.700000001</v>
      </c>
      <c r="M242" s="366"/>
      <c r="N242" s="366"/>
      <c r="O242" s="366"/>
      <c r="P242" s="366"/>
      <c r="Q242" s="813"/>
      <c r="R242" s="411"/>
      <c r="S242" s="308"/>
      <c r="T242" s="303"/>
      <c r="U242" s="306"/>
      <c r="V242" s="307"/>
      <c r="W242" s="306"/>
      <c r="X242" s="306"/>
      <c r="Y242" s="306"/>
      <c r="Z242" s="306"/>
      <c r="AA242" s="306"/>
      <c r="AB242" s="306"/>
      <c r="AC242" s="454"/>
      <c r="AD242" s="455"/>
      <c r="AE242" s="455"/>
      <c r="AF242" s="455"/>
      <c r="AG242" s="455"/>
      <c r="AH242" s="455"/>
      <c r="AI242" s="455"/>
      <c r="AJ242" s="455"/>
      <c r="AK242" s="455"/>
      <c r="AL242" s="111"/>
      <c r="AM242" s="111"/>
      <c r="AN242" s="111"/>
      <c r="AO242" s="111"/>
      <c r="AP242" s="111"/>
      <c r="AQ242" s="111"/>
      <c r="AR242" s="111"/>
      <c r="AS242" s="111"/>
      <c r="AT242" s="111"/>
      <c r="AU242" s="111"/>
      <c r="AV242" s="111"/>
      <c r="AW242" s="111"/>
      <c r="AX242" s="111"/>
      <c r="AY242" s="111"/>
      <c r="AZ242" s="111"/>
      <c r="BA242" s="111"/>
      <c r="BB242" s="111"/>
      <c r="BC242" s="111"/>
      <c r="BD242" s="111"/>
      <c r="BE242" s="111"/>
      <c r="BF242" s="106"/>
      <c r="BG242" s="106"/>
      <c r="BH242" s="106"/>
      <c r="BI242" s="106"/>
      <c r="BJ242" s="106"/>
      <c r="BK242" s="106"/>
      <c r="BL242" s="106"/>
      <c r="BM242" s="106"/>
      <c r="BN242" s="106"/>
      <c r="BO242" s="106"/>
      <c r="BP242" s="106"/>
      <c r="BQ242" s="106"/>
      <c r="BR242" s="106"/>
      <c r="BS242" s="106"/>
      <c r="BT242" s="106"/>
      <c r="BU242" s="106"/>
      <c r="BV242" s="106"/>
      <c r="BW242" s="106"/>
      <c r="BX242" s="106"/>
      <c r="BY242" s="106"/>
      <c r="BZ242" s="106"/>
      <c r="CA242" s="106"/>
      <c r="CB242" s="106"/>
      <c r="CC242" s="106"/>
      <c r="CD242" s="106"/>
      <c r="CE242" s="106"/>
      <c r="CF242" s="106"/>
      <c r="CG242" s="106"/>
      <c r="CH242" s="106"/>
      <c r="CI242" s="106"/>
      <c r="CJ242" s="106"/>
      <c r="CK242" s="106"/>
      <c r="CL242" s="106"/>
      <c r="CM242" s="106"/>
      <c r="CN242" s="106"/>
      <c r="CO242" s="106"/>
      <c r="CP242" s="106"/>
      <c r="CQ242" s="106"/>
      <c r="CR242" s="106"/>
      <c r="CS242" s="106"/>
      <c r="CT242" s="106"/>
      <c r="CU242" s="106"/>
      <c r="CV242" s="106"/>
      <c r="CW242" s="106"/>
      <c r="CX242" s="106"/>
      <c r="CY242" s="106"/>
      <c r="CZ242" s="106"/>
      <c r="DA242" s="106"/>
      <c r="DB242" s="106"/>
      <c r="DC242" s="106"/>
      <c r="DD242" s="106"/>
      <c r="DE242" s="106"/>
      <c r="DF242" s="106"/>
      <c r="DG242" s="106"/>
      <c r="DH242" s="106"/>
      <c r="DI242" s="106"/>
      <c r="DJ242" s="106"/>
      <c r="DK242" s="106"/>
      <c r="DL242" s="106"/>
      <c r="DM242" s="106"/>
      <c r="DN242" s="106"/>
      <c r="DO242" s="106"/>
      <c r="DP242" s="106"/>
      <c r="DQ242" s="106"/>
      <c r="DR242" s="106"/>
      <c r="DS242" s="106"/>
      <c r="DT242" s="106"/>
      <c r="DU242" s="106"/>
      <c r="DV242" s="106"/>
      <c r="DW242" s="106"/>
      <c r="DX242" s="106"/>
      <c r="DY242" s="106"/>
      <c r="DZ242" s="106"/>
      <c r="EA242" s="106"/>
      <c r="EB242" s="106"/>
      <c r="EC242" s="106"/>
      <c r="ED242" s="106"/>
      <c r="EE242" s="106"/>
      <c r="EF242" s="106"/>
      <c r="EG242" s="106"/>
      <c r="EH242" s="106"/>
      <c r="EI242" s="106"/>
      <c r="EJ242" s="106"/>
      <c r="EK242" s="106"/>
      <c r="EL242" s="106"/>
      <c r="EM242" s="106"/>
      <c r="EN242" s="106"/>
      <c r="EO242" s="106"/>
      <c r="EP242" s="106"/>
      <c r="EQ242" s="106"/>
      <c r="ER242" s="106"/>
      <c r="ES242" s="106"/>
      <c r="ET242" s="106"/>
      <c r="EU242" s="106"/>
      <c r="EV242" s="106"/>
      <c r="EW242" s="106"/>
      <c r="EX242" s="106"/>
      <c r="EY242" s="106"/>
      <c r="EZ242" s="106"/>
      <c r="FA242" s="106"/>
      <c r="FB242" s="106"/>
      <c r="FC242" s="106"/>
      <c r="FD242" s="106"/>
      <c r="FE242" s="106"/>
      <c r="FF242" s="106"/>
      <c r="FG242" s="106"/>
      <c r="FH242" s="106"/>
      <c r="FI242" s="106"/>
      <c r="FJ242" s="106"/>
      <c r="FK242" s="106"/>
      <c r="FL242" s="106"/>
      <c r="FM242" s="106"/>
      <c r="FN242" s="106"/>
      <c r="FO242" s="106"/>
      <c r="FP242" s="106"/>
      <c r="FQ242" s="106"/>
      <c r="FR242" s="106"/>
      <c r="FS242" s="106"/>
      <c r="FT242" s="106"/>
      <c r="FU242" s="106"/>
      <c r="FV242" s="106"/>
      <c r="FW242" s="106"/>
      <c r="FX242" s="106"/>
      <c r="FY242" s="106"/>
      <c r="FZ242" s="106"/>
      <c r="GA242" s="106"/>
      <c r="GB242" s="106"/>
      <c r="GC242" s="106"/>
      <c r="GD242" s="106"/>
      <c r="GE242" s="106"/>
      <c r="GF242" s="106"/>
      <c r="GG242" s="106"/>
      <c r="GH242" s="106"/>
      <c r="GI242" s="106"/>
      <c r="GJ242" s="106"/>
      <c r="GK242" s="106"/>
      <c r="GL242" s="106"/>
      <c r="GM242" s="106"/>
      <c r="GN242" s="106"/>
      <c r="GO242" s="106"/>
      <c r="GP242" s="106"/>
      <c r="GQ242" s="106"/>
      <c r="GR242" s="106"/>
      <c r="GS242" s="106"/>
      <c r="GT242" s="106"/>
      <c r="GU242" s="106"/>
      <c r="GV242" s="106"/>
      <c r="GW242" s="106"/>
      <c r="GX242" s="106"/>
      <c r="GY242" s="106"/>
      <c r="GZ242" s="106"/>
      <c r="HA242" s="106"/>
      <c r="HB242" s="106"/>
      <c r="HC242" s="106"/>
      <c r="HD242" s="106"/>
      <c r="HE242" s="106"/>
      <c r="HF242" s="106"/>
      <c r="HG242" s="106"/>
      <c r="HH242" s="106"/>
      <c r="HI242" s="106"/>
      <c r="HJ242" s="106"/>
      <c r="HK242" s="106"/>
      <c r="HL242" s="106"/>
      <c r="HM242" s="106"/>
      <c r="HN242" s="106"/>
      <c r="HO242" s="106"/>
      <c r="HP242" s="106"/>
      <c r="HQ242" s="106"/>
      <c r="HR242" s="106"/>
      <c r="HS242" s="106"/>
      <c r="HT242" s="106"/>
      <c r="HU242" s="106"/>
      <c r="HV242" s="106"/>
      <c r="HW242" s="106"/>
      <c r="HX242" s="106"/>
      <c r="HY242" s="106"/>
      <c r="HZ242" s="106"/>
      <c r="IA242" s="106"/>
      <c r="IB242" s="106"/>
      <c r="IC242" s="106"/>
      <c r="ID242" s="106"/>
      <c r="IE242" s="106"/>
      <c r="IF242" s="106"/>
      <c r="IG242" s="106"/>
      <c r="IH242" s="106"/>
      <c r="II242" s="106"/>
      <c r="IJ242" s="106"/>
      <c r="IK242" s="106"/>
      <c r="IL242" s="106"/>
      <c r="IM242" s="106"/>
      <c r="IN242" s="106"/>
      <c r="IO242" s="106"/>
      <c r="IP242" s="106"/>
      <c r="IQ242" s="106"/>
      <c r="IR242" s="106"/>
      <c r="IS242" s="106"/>
      <c r="IT242" s="106"/>
      <c r="IU242" s="106"/>
      <c r="IV242" s="106"/>
      <c r="IW242" s="106"/>
      <c r="IX242" s="106"/>
      <c r="IY242" s="106"/>
      <c r="IZ242" s="106"/>
      <c r="JA242" s="106"/>
      <c r="JB242" s="106"/>
      <c r="JC242" s="106"/>
      <c r="JD242" s="106"/>
      <c r="JE242" s="106"/>
      <c r="JF242" s="106"/>
      <c r="JG242" s="106"/>
      <c r="JH242" s="106"/>
      <c r="JI242" s="106"/>
      <c r="JJ242" s="106"/>
      <c r="JK242" s="106"/>
      <c r="JL242" s="106"/>
      <c r="JM242" s="106"/>
      <c r="JN242" s="106"/>
      <c r="JO242" s="106"/>
      <c r="JP242" s="106"/>
      <c r="JQ242" s="106"/>
      <c r="JR242" s="106"/>
      <c r="JS242" s="106"/>
      <c r="JT242" s="106"/>
      <c r="JU242" s="106"/>
      <c r="JV242" s="106"/>
      <c r="JW242" s="106"/>
      <c r="JX242" s="106"/>
      <c r="JY242" s="106"/>
      <c r="JZ242" s="106"/>
      <c r="KA242" s="106"/>
      <c r="KB242" s="106"/>
      <c r="KC242" s="106"/>
      <c r="KD242" s="106"/>
      <c r="KE242" s="106"/>
      <c r="KF242" s="106"/>
      <c r="KG242" s="106"/>
      <c r="KH242" s="106"/>
      <c r="KI242" s="106"/>
      <c r="KJ242" s="106"/>
      <c r="KK242" s="106"/>
      <c r="KL242" s="106"/>
      <c r="KM242" s="106"/>
      <c r="KN242" s="106"/>
      <c r="KO242" s="106"/>
      <c r="KP242" s="106"/>
      <c r="KQ242" s="106"/>
      <c r="KR242" s="106"/>
      <c r="KS242" s="106"/>
      <c r="KT242" s="106"/>
      <c r="KU242" s="106"/>
      <c r="KV242" s="106"/>
      <c r="KW242" s="106"/>
      <c r="KX242" s="106"/>
      <c r="KY242" s="106"/>
      <c r="KZ242" s="106"/>
      <c r="LA242" s="106"/>
      <c r="LB242" s="106"/>
      <c r="LC242" s="106"/>
      <c r="LD242" s="106"/>
      <c r="LE242" s="106"/>
      <c r="LF242" s="106"/>
      <c r="LG242" s="106"/>
      <c r="LH242" s="106"/>
      <c r="LI242" s="106"/>
      <c r="LJ242" s="106"/>
      <c r="LK242" s="106"/>
      <c r="LL242" s="106"/>
      <c r="LM242" s="106"/>
      <c r="LN242" s="106"/>
      <c r="LO242" s="106"/>
      <c r="LP242" s="106"/>
      <c r="LQ242" s="106"/>
      <c r="LR242" s="106"/>
      <c r="LS242" s="106"/>
      <c r="LT242" s="106"/>
      <c r="LU242" s="106"/>
      <c r="LV242" s="106"/>
      <c r="LW242" s="106"/>
      <c r="LX242" s="106"/>
      <c r="LY242" s="106"/>
      <c r="LZ242" s="106"/>
      <c r="MA242" s="106"/>
      <c r="MB242" s="106"/>
      <c r="MC242" s="106"/>
      <c r="MD242" s="106"/>
      <c r="ME242" s="106"/>
      <c r="MF242" s="106"/>
      <c r="MG242" s="106"/>
      <c r="MH242" s="106"/>
      <c r="MI242" s="106"/>
      <c r="MJ242" s="106"/>
      <c r="MK242" s="106"/>
      <c r="ML242" s="106"/>
      <c r="MM242" s="106"/>
      <c r="MN242" s="106"/>
      <c r="MO242" s="106"/>
      <c r="MP242" s="106"/>
      <c r="MQ242" s="106"/>
      <c r="MR242" s="106"/>
      <c r="MS242" s="106"/>
      <c r="MT242" s="106"/>
      <c r="MU242" s="106"/>
      <c r="MV242" s="106"/>
      <c r="MW242" s="106"/>
      <c r="MX242" s="106"/>
      <c r="MY242" s="106"/>
      <c r="MZ242" s="106"/>
      <c r="NA242" s="106"/>
      <c r="NB242" s="106"/>
      <c r="NC242" s="106"/>
      <c r="ND242" s="106"/>
      <c r="NE242" s="106"/>
      <c r="NF242" s="106"/>
      <c r="NG242" s="106"/>
      <c r="NH242" s="106"/>
      <c r="NI242" s="106"/>
      <c r="NJ242" s="106"/>
      <c r="NK242" s="106"/>
      <c r="NL242" s="106"/>
      <c r="NM242" s="106"/>
      <c r="NN242" s="106"/>
      <c r="NO242" s="106"/>
      <c r="NP242" s="106"/>
      <c r="NQ242" s="106"/>
      <c r="NR242" s="106"/>
      <c r="NS242" s="106"/>
      <c r="NT242" s="106"/>
      <c r="NU242" s="106"/>
      <c r="NV242" s="106"/>
      <c r="NW242" s="106"/>
      <c r="NX242" s="106"/>
      <c r="NY242" s="106"/>
      <c r="NZ242" s="106"/>
      <c r="OA242" s="106"/>
      <c r="OB242" s="106"/>
      <c r="OC242" s="106"/>
      <c r="OD242" s="106"/>
      <c r="OE242" s="106"/>
      <c r="OF242" s="106"/>
      <c r="OG242" s="106"/>
      <c r="OH242" s="106"/>
      <c r="OI242" s="106"/>
      <c r="OJ242" s="106"/>
      <c r="OK242" s="106"/>
      <c r="OL242" s="106"/>
      <c r="OM242" s="106"/>
      <c r="ON242" s="106"/>
      <c r="OO242" s="106"/>
      <c r="OP242" s="106"/>
      <c r="OQ242" s="106"/>
      <c r="OR242" s="106"/>
      <c r="OS242" s="106"/>
      <c r="OT242" s="106"/>
      <c r="OU242" s="106"/>
      <c r="OV242" s="106"/>
      <c r="OW242" s="106"/>
      <c r="OX242" s="106"/>
      <c r="OY242" s="106"/>
      <c r="OZ242" s="106"/>
      <c r="PA242" s="106"/>
      <c r="PB242" s="106"/>
      <c r="PC242" s="106"/>
      <c r="PD242" s="106"/>
      <c r="PE242" s="106"/>
      <c r="PF242" s="106"/>
      <c r="PG242" s="106"/>
      <c r="PH242" s="106"/>
      <c r="PI242" s="106"/>
      <c r="PJ242" s="106"/>
      <c r="PK242" s="106"/>
      <c r="PL242" s="106"/>
      <c r="PM242" s="106"/>
      <c r="PN242" s="106"/>
      <c r="PO242" s="106"/>
      <c r="PP242" s="106"/>
      <c r="PQ242" s="106"/>
      <c r="PR242" s="106"/>
      <c r="PS242" s="106"/>
      <c r="PT242" s="106"/>
      <c r="PU242" s="106"/>
      <c r="PV242" s="106"/>
      <c r="PW242" s="106"/>
      <c r="PX242" s="106"/>
      <c r="PY242" s="106"/>
      <c r="PZ242" s="106"/>
      <c r="QA242" s="106"/>
      <c r="QB242" s="106"/>
      <c r="QC242" s="106"/>
      <c r="QD242" s="106"/>
      <c r="QE242" s="106"/>
      <c r="QF242" s="106"/>
      <c r="QG242" s="106"/>
      <c r="QH242" s="106"/>
      <c r="QI242" s="106"/>
      <c r="QJ242" s="106"/>
      <c r="QK242" s="106"/>
      <c r="QL242" s="106"/>
      <c r="QM242" s="106"/>
      <c r="QN242" s="106"/>
      <c r="QO242" s="106"/>
      <c r="QP242" s="106"/>
      <c r="QQ242" s="106"/>
      <c r="QR242" s="106"/>
      <c r="QS242" s="106"/>
      <c r="QT242" s="106"/>
      <c r="QU242" s="106"/>
      <c r="QV242" s="106"/>
      <c r="QW242" s="106"/>
      <c r="QX242" s="106"/>
      <c r="QY242" s="106"/>
      <c r="QZ242" s="106"/>
      <c r="RA242" s="106"/>
      <c r="RB242" s="106"/>
      <c r="RC242" s="106"/>
      <c r="RD242" s="106"/>
      <c r="RE242" s="106"/>
      <c r="RF242" s="106"/>
      <c r="RG242" s="106"/>
      <c r="RH242" s="106"/>
      <c r="RI242" s="106"/>
      <c r="RJ242" s="106"/>
      <c r="RK242" s="106"/>
      <c r="RL242" s="106"/>
      <c r="RM242" s="106"/>
      <c r="RN242" s="106"/>
      <c r="RO242" s="106"/>
      <c r="RP242" s="106"/>
      <c r="RQ242" s="106"/>
      <c r="RR242" s="106"/>
      <c r="RS242" s="106"/>
      <c r="RT242" s="106"/>
      <c r="RU242" s="106"/>
      <c r="RV242" s="106"/>
      <c r="RW242" s="106"/>
      <c r="RX242" s="106"/>
      <c r="RY242" s="106"/>
      <c r="RZ242" s="106"/>
      <c r="SA242" s="106"/>
      <c r="SB242" s="106"/>
      <c r="SC242" s="106"/>
      <c r="SD242" s="106"/>
      <c r="SE242" s="106"/>
      <c r="SF242" s="106"/>
      <c r="SG242" s="106"/>
      <c r="SH242" s="106"/>
      <c r="SI242" s="106"/>
      <c r="SJ242" s="106"/>
      <c r="SK242" s="106"/>
      <c r="SL242" s="106"/>
      <c r="SM242" s="106"/>
      <c r="SN242" s="106"/>
      <c r="SO242" s="106"/>
      <c r="SP242" s="106"/>
      <c r="SQ242" s="106"/>
      <c r="SR242" s="106"/>
      <c r="SS242" s="106"/>
      <c r="ST242" s="106"/>
      <c r="SU242" s="106"/>
      <c r="SV242" s="106"/>
      <c r="SW242" s="106"/>
      <c r="SX242" s="106"/>
      <c r="SY242" s="106"/>
      <c r="SZ242" s="106"/>
      <c r="TA242" s="106"/>
      <c r="TB242" s="106"/>
      <c r="TC242" s="106"/>
      <c r="TD242" s="106"/>
      <c r="TE242" s="106"/>
      <c r="TF242" s="106"/>
      <c r="TG242" s="106"/>
      <c r="TH242" s="106"/>
      <c r="TI242" s="106"/>
      <c r="TJ242" s="106"/>
      <c r="TK242" s="106"/>
      <c r="TL242" s="106"/>
      <c r="TM242" s="106"/>
      <c r="TN242" s="106"/>
      <c r="TO242" s="106"/>
      <c r="TP242" s="106"/>
      <c r="TQ242" s="106"/>
      <c r="TR242" s="106"/>
      <c r="TS242" s="106"/>
      <c r="TT242" s="106"/>
      <c r="TU242" s="106"/>
      <c r="TV242" s="106"/>
      <c r="TW242" s="106"/>
      <c r="TX242" s="106"/>
      <c r="TY242" s="106"/>
      <c r="TZ242" s="106"/>
      <c r="UA242" s="106"/>
      <c r="UB242" s="106"/>
      <c r="UC242" s="106"/>
      <c r="UD242" s="106"/>
      <c r="UE242" s="106"/>
      <c r="UF242" s="106"/>
      <c r="UG242" s="33"/>
    </row>
    <row r="243" spans="1:553" ht="41.5" customHeight="1">
      <c r="A243" s="356" t="s">
        <v>43</v>
      </c>
      <c r="B243" s="356"/>
      <c r="C243" s="444" t="s">
        <v>44</v>
      </c>
      <c r="D243" s="492"/>
      <c r="E243" s="445"/>
      <c r="F243" s="444"/>
      <c r="G243" s="366"/>
      <c r="H243" s="370"/>
      <c r="I243" s="370"/>
      <c r="J243" s="368"/>
      <c r="K243" s="371"/>
      <c r="L243" s="356">
        <f>SUM(L245:L274)</f>
        <v>57172614.479999997</v>
      </c>
      <c r="M243" s="356"/>
      <c r="N243" s="356"/>
      <c r="O243" s="356"/>
      <c r="P243" s="356">
        <f>L243</f>
        <v>57172614.479999997</v>
      </c>
      <c r="Q243" s="610"/>
      <c r="R243" s="1447" t="s">
        <v>45</v>
      </c>
      <c r="S243" s="308"/>
      <c r="T243" s="303"/>
      <c r="U243" s="306"/>
      <c r="V243" s="307"/>
      <c r="W243" s="306"/>
      <c r="X243" s="306"/>
      <c r="Y243" s="306"/>
      <c r="Z243" s="306"/>
      <c r="AA243" s="306"/>
      <c r="AB243" s="306"/>
      <c r="AC243" s="449"/>
      <c r="AD243" s="449"/>
      <c r="AE243" s="449"/>
      <c r="AF243" s="449"/>
      <c r="AG243" s="449"/>
      <c r="AH243" s="449"/>
      <c r="AI243" s="449"/>
      <c r="AJ243" s="449"/>
      <c r="AK243" s="452"/>
      <c r="AL243" s="104"/>
      <c r="AM243" s="32"/>
      <c r="AN243" s="32"/>
      <c r="AO243" s="32"/>
      <c r="AP243" s="32"/>
      <c r="AQ243" s="32"/>
      <c r="AR243" s="32"/>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c r="HH243" s="25"/>
      <c r="HI243" s="25"/>
      <c r="HJ243" s="25"/>
      <c r="HK243" s="25"/>
      <c r="HL243" s="25"/>
      <c r="HM243" s="25"/>
      <c r="HN243" s="25"/>
      <c r="HO243" s="25"/>
      <c r="HP243" s="25"/>
      <c r="HQ243" s="25"/>
      <c r="HR243" s="25"/>
      <c r="HS243" s="25"/>
      <c r="HT243" s="25"/>
      <c r="HU243" s="25"/>
      <c r="HV243" s="25"/>
      <c r="HW243" s="25"/>
      <c r="HX243" s="25"/>
      <c r="HY243" s="25"/>
      <c r="HZ243" s="25"/>
      <c r="IA243" s="25"/>
      <c r="IB243" s="25"/>
      <c r="IC243" s="25"/>
      <c r="ID243" s="25"/>
      <c r="IE243" s="25"/>
      <c r="IF243" s="25"/>
      <c r="IG243" s="25"/>
      <c r="IH243" s="25"/>
      <c r="II243" s="25"/>
      <c r="IJ243" s="25"/>
      <c r="IK243" s="25"/>
      <c r="IL243" s="25"/>
      <c r="IM243" s="25"/>
      <c r="IN243" s="25"/>
      <c r="IO243" s="25"/>
      <c r="IP243" s="25"/>
      <c r="IQ243" s="25"/>
      <c r="IR243" s="25"/>
      <c r="IS243" s="25"/>
      <c r="IT243" s="25"/>
      <c r="IU243" s="25"/>
      <c r="IV243" s="25"/>
      <c r="IW243" s="25"/>
      <c r="IX243" s="25"/>
      <c r="IY243" s="25"/>
      <c r="IZ243" s="25"/>
      <c r="JA243" s="25"/>
      <c r="JB243" s="25"/>
      <c r="JC243" s="25"/>
      <c r="JD243" s="25"/>
      <c r="JE243" s="25"/>
      <c r="JF243" s="25"/>
      <c r="JG243" s="25"/>
      <c r="JH243" s="25"/>
      <c r="JI243" s="25"/>
      <c r="JJ243" s="25"/>
      <c r="JK243" s="25"/>
      <c r="JL243" s="25"/>
      <c r="JM243" s="25"/>
      <c r="JN243" s="25"/>
      <c r="JO243" s="25"/>
      <c r="JP243" s="25"/>
      <c r="JQ243" s="25"/>
      <c r="JR243" s="25"/>
      <c r="JS243" s="25"/>
      <c r="JT243" s="25"/>
      <c r="JU243" s="25"/>
      <c r="JV243" s="25"/>
      <c r="JW243" s="25"/>
      <c r="JX243" s="25"/>
      <c r="JY243" s="25"/>
      <c r="JZ243" s="25"/>
      <c r="KA243" s="25"/>
      <c r="KB243" s="25"/>
      <c r="KC243" s="25"/>
      <c r="KD243" s="25"/>
      <c r="KE243" s="25"/>
      <c r="KF243" s="25"/>
      <c r="KG243" s="25"/>
      <c r="KH243" s="25"/>
      <c r="KI243" s="25"/>
      <c r="KJ243" s="25"/>
      <c r="KK243" s="25"/>
      <c r="KL243" s="25"/>
      <c r="KM243" s="25"/>
      <c r="KN243" s="25"/>
      <c r="KO243" s="25"/>
      <c r="KP243" s="25"/>
      <c r="KQ243" s="25"/>
      <c r="KR243" s="25"/>
      <c r="KS243" s="25"/>
      <c r="KT243" s="25"/>
      <c r="KU243" s="25"/>
      <c r="KV243" s="25"/>
      <c r="KW243" s="25"/>
      <c r="KX243" s="25"/>
      <c r="KY243" s="25"/>
      <c r="KZ243" s="25"/>
      <c r="LA243" s="25"/>
      <c r="LB243" s="25"/>
      <c r="LC243" s="25"/>
      <c r="LD243" s="25"/>
      <c r="LE243" s="25"/>
      <c r="LF243" s="25"/>
      <c r="LG243" s="25"/>
      <c r="LH243" s="25"/>
      <c r="LI243" s="25"/>
      <c r="LJ243" s="25"/>
      <c r="LK243" s="25"/>
      <c r="LL243" s="25"/>
      <c r="LM243" s="25"/>
      <c r="LN243" s="25"/>
      <c r="LO243" s="25"/>
      <c r="LP243" s="25"/>
      <c r="LQ243" s="25"/>
      <c r="LR243" s="25"/>
      <c r="LS243" s="25"/>
      <c r="LT243" s="25"/>
      <c r="LU243" s="25"/>
      <c r="LV243" s="25"/>
      <c r="LW243" s="25"/>
      <c r="LX243" s="25"/>
      <c r="LY243" s="25"/>
      <c r="LZ243" s="25"/>
      <c r="MA243" s="25"/>
      <c r="MB243" s="25"/>
      <c r="MC243" s="25"/>
      <c r="MD243" s="25"/>
      <c r="ME243" s="25"/>
      <c r="MF243" s="25"/>
      <c r="MG243" s="25"/>
      <c r="MH243" s="25"/>
      <c r="MI243" s="25"/>
      <c r="MJ243" s="25"/>
      <c r="MK243" s="25"/>
      <c r="ML243" s="25"/>
      <c r="MM243" s="25"/>
      <c r="MN243" s="25"/>
      <c r="MO243" s="25"/>
      <c r="MP243" s="25"/>
      <c r="MQ243" s="25"/>
      <c r="MR243" s="25"/>
      <c r="MS243" s="25"/>
      <c r="MT243" s="25"/>
      <c r="MU243" s="25"/>
      <c r="MV243" s="25"/>
      <c r="MW243" s="25"/>
      <c r="MX243" s="25"/>
      <c r="MY243" s="25"/>
      <c r="MZ243" s="25"/>
      <c r="NA243" s="25"/>
      <c r="NB243" s="25"/>
      <c r="NC243" s="25"/>
      <c r="ND243" s="25"/>
      <c r="NE243" s="25"/>
      <c r="NF243" s="25"/>
      <c r="NG243" s="25"/>
      <c r="NH243" s="25"/>
      <c r="NI243" s="25"/>
      <c r="NJ243" s="25"/>
      <c r="NK243" s="25"/>
      <c r="NL243" s="25"/>
      <c r="NM243" s="25"/>
      <c r="NN243" s="25"/>
      <c r="NO243" s="25"/>
      <c r="NP243" s="25"/>
      <c r="NQ243" s="25"/>
      <c r="NR243" s="25"/>
      <c r="NS243" s="25"/>
      <c r="NT243" s="25"/>
      <c r="NU243" s="25"/>
      <c r="NV243" s="25"/>
      <c r="NW243" s="25"/>
      <c r="NX243" s="25"/>
      <c r="NY243" s="25"/>
      <c r="NZ243" s="25"/>
      <c r="OA243" s="25"/>
      <c r="OB243" s="25"/>
      <c r="OC243" s="25"/>
      <c r="OD243" s="25"/>
      <c r="OE243" s="25"/>
      <c r="OF243" s="25"/>
      <c r="OG243" s="25"/>
      <c r="OH243" s="25"/>
      <c r="OI243" s="25"/>
      <c r="OJ243" s="25"/>
      <c r="OK243" s="25"/>
      <c r="OL243" s="25"/>
      <c r="OM243" s="25"/>
      <c r="ON243" s="25"/>
      <c r="OO243" s="25"/>
      <c r="OP243" s="25"/>
      <c r="OQ243" s="25"/>
      <c r="OR243" s="25"/>
      <c r="OS243" s="25"/>
      <c r="OT243" s="25"/>
      <c r="OU243" s="25"/>
      <c r="OV243" s="25"/>
      <c r="OW243" s="25"/>
      <c r="OX243" s="25"/>
      <c r="OY243" s="25"/>
      <c r="OZ243" s="25"/>
      <c r="PA243" s="25"/>
      <c r="PB243" s="25"/>
      <c r="PC243" s="25"/>
      <c r="PD243" s="25"/>
      <c r="PE243" s="25"/>
      <c r="PF243" s="25"/>
      <c r="PG243" s="25"/>
      <c r="PH243" s="25"/>
      <c r="PI243" s="25"/>
      <c r="PJ243" s="25"/>
      <c r="PK243" s="25"/>
      <c r="PL243" s="25"/>
      <c r="PM243" s="25"/>
      <c r="PN243" s="25"/>
      <c r="PO243" s="25"/>
      <c r="PP243" s="25"/>
      <c r="PQ243" s="25"/>
      <c r="PR243" s="25"/>
      <c r="PS243" s="25"/>
      <c r="PT243" s="25"/>
      <c r="PU243" s="25"/>
      <c r="PV243" s="25"/>
      <c r="PW243" s="25"/>
      <c r="PX243" s="25"/>
      <c r="PY243" s="25"/>
      <c r="PZ243" s="25"/>
      <c r="QA243" s="25"/>
      <c r="QB243" s="25"/>
      <c r="QC243" s="25"/>
      <c r="QD243" s="25"/>
      <c r="QE243" s="25"/>
      <c r="QF243" s="25"/>
      <c r="QG243" s="25"/>
      <c r="QH243" s="25"/>
      <c r="QI243" s="25"/>
      <c r="QJ243" s="25"/>
      <c r="QK243" s="25"/>
      <c r="QL243" s="25"/>
      <c r="QM243" s="25"/>
      <c r="QN243" s="25"/>
      <c r="QO243" s="25"/>
      <c r="QP243" s="25"/>
      <c r="QQ243" s="25"/>
      <c r="QR243" s="25"/>
      <c r="QS243" s="25"/>
      <c r="QT243" s="25"/>
      <c r="QU243" s="25"/>
      <c r="QV243" s="25"/>
      <c r="QW243" s="25"/>
      <c r="QX243" s="25"/>
      <c r="QY243" s="25"/>
      <c r="QZ243" s="25"/>
      <c r="RA243" s="25"/>
      <c r="RB243" s="25"/>
      <c r="RC243" s="25"/>
      <c r="RD243" s="25"/>
      <c r="RE243" s="25"/>
      <c r="RF243" s="25"/>
      <c r="RG243" s="25"/>
      <c r="RH243" s="25"/>
      <c r="RI243" s="25"/>
      <c r="RJ243" s="25"/>
      <c r="RK243" s="25"/>
      <c r="RL243" s="25"/>
      <c r="RM243" s="25"/>
      <c r="RN243" s="25"/>
      <c r="RO243" s="25"/>
      <c r="RP243" s="25"/>
      <c r="RQ243" s="25"/>
      <c r="RR243" s="25"/>
      <c r="RS243" s="25"/>
      <c r="RT243" s="25"/>
      <c r="RU243" s="25"/>
      <c r="RV243" s="25"/>
      <c r="RW243" s="25"/>
      <c r="RX243" s="25"/>
      <c r="RY243" s="25"/>
      <c r="RZ243" s="25"/>
      <c r="SA243" s="25"/>
      <c r="SB243" s="25"/>
      <c r="SC243" s="25"/>
      <c r="SD243" s="25"/>
      <c r="SE243" s="25"/>
      <c r="SF243" s="25"/>
      <c r="SG243" s="25"/>
      <c r="SH243" s="25"/>
      <c r="SI243" s="25"/>
      <c r="SJ243" s="25"/>
      <c r="SK243" s="25"/>
      <c r="SL243" s="25"/>
      <c r="SM243" s="25"/>
      <c r="SN243" s="25"/>
      <c r="SO243" s="25"/>
      <c r="SP243" s="25"/>
      <c r="SQ243" s="25"/>
      <c r="SR243" s="25"/>
      <c r="SS243" s="25"/>
      <c r="ST243" s="25"/>
      <c r="SU243" s="25"/>
      <c r="SV243" s="25"/>
      <c r="SW243" s="25"/>
      <c r="SX243" s="25"/>
      <c r="SY243" s="25"/>
      <c r="SZ243" s="25"/>
      <c r="TA243" s="25"/>
      <c r="TB243" s="25"/>
      <c r="TC243" s="25"/>
      <c r="TD243" s="25"/>
      <c r="TE243" s="25"/>
      <c r="TF243" s="25"/>
      <c r="TG243" s="25"/>
      <c r="TH243" s="25"/>
      <c r="TI243" s="25"/>
      <c r="TJ243" s="25"/>
      <c r="TK243" s="25"/>
      <c r="TL243" s="25"/>
      <c r="TM243" s="25"/>
      <c r="TN243" s="25"/>
      <c r="TO243" s="25"/>
      <c r="TP243" s="25"/>
      <c r="TQ243" s="25"/>
      <c r="TR243" s="25"/>
      <c r="TS243" s="25"/>
      <c r="TT243" s="25"/>
      <c r="TU243" s="25"/>
      <c r="TV243" s="25"/>
      <c r="TW243" s="25"/>
      <c r="TX243" s="25"/>
      <c r="TY243" s="25"/>
      <c r="TZ243" s="25"/>
      <c r="UA243" s="25"/>
      <c r="UB243" s="25"/>
      <c r="UC243" s="25"/>
      <c r="UD243" s="25"/>
      <c r="UE243" s="25"/>
      <c r="UF243" s="25"/>
      <c r="UG243" s="26"/>
    </row>
    <row r="244" spans="1:553" ht="37.5" customHeight="1">
      <c r="A244" s="366" t="s">
        <v>15</v>
      </c>
      <c r="B244" s="366"/>
      <c r="C244" s="427" t="s">
        <v>190</v>
      </c>
      <c r="D244" s="493"/>
      <c r="E244" s="418"/>
      <c r="F244" s="427"/>
      <c r="G244" s="366"/>
      <c r="H244" s="370"/>
      <c r="I244" s="422"/>
      <c r="J244" s="368"/>
      <c r="K244" s="388"/>
      <c r="L244" s="366"/>
      <c r="M244" s="366"/>
      <c r="N244" s="366"/>
      <c r="O244" s="366"/>
      <c r="P244" s="366"/>
      <c r="Q244" s="1135"/>
      <c r="R244" s="1447"/>
      <c r="S244" s="302"/>
      <c r="T244" s="399"/>
      <c r="U244" s="304"/>
      <c r="V244" s="304"/>
      <c r="W244" s="304"/>
      <c r="X244" s="304"/>
      <c r="Y244" s="304"/>
      <c r="Z244" s="304"/>
      <c r="AA244" s="304"/>
      <c r="AB244" s="304"/>
      <c r="AC244" s="449"/>
      <c r="AD244" s="452"/>
      <c r="AE244" s="452"/>
      <c r="AF244" s="452"/>
      <c r="AG244" s="452"/>
      <c r="AH244" s="452"/>
      <c r="AI244" s="452"/>
      <c r="AJ244" s="452"/>
      <c r="AK244" s="452"/>
      <c r="AL244" s="106"/>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c r="CH244" s="31"/>
      <c r="CI244" s="31"/>
      <c r="CJ244" s="31"/>
      <c r="CK244" s="31"/>
      <c r="CL244" s="31"/>
      <c r="CM244" s="31"/>
      <c r="CN244" s="31"/>
      <c r="CO244" s="31"/>
      <c r="CP244" s="31"/>
      <c r="CQ244" s="31"/>
      <c r="CR244" s="31"/>
      <c r="CS244" s="31"/>
      <c r="CT244" s="31"/>
      <c r="CU244" s="31"/>
      <c r="CV244" s="31"/>
      <c r="CW244" s="31"/>
      <c r="CX244" s="31"/>
      <c r="CY244" s="31"/>
      <c r="CZ244" s="31"/>
      <c r="DA244" s="31"/>
      <c r="DB244" s="31"/>
      <c r="DC244" s="31"/>
      <c r="DD244" s="31"/>
      <c r="DE244" s="31"/>
      <c r="DF244" s="31"/>
      <c r="DG244" s="31"/>
      <c r="DH244" s="31"/>
      <c r="DI244" s="31"/>
      <c r="DJ244" s="31"/>
      <c r="DK244" s="31"/>
      <c r="DL244" s="31"/>
      <c r="DM244" s="31"/>
      <c r="DN244" s="31"/>
      <c r="DO244" s="31"/>
      <c r="DP244" s="31"/>
      <c r="DQ244" s="31"/>
      <c r="DR244" s="31"/>
      <c r="DS244" s="31"/>
      <c r="DT244" s="31"/>
      <c r="DU244" s="31"/>
      <c r="DV244" s="31"/>
      <c r="DW244" s="31"/>
      <c r="DX244" s="31"/>
      <c r="DY244" s="31"/>
      <c r="DZ244" s="31"/>
      <c r="EA244" s="31"/>
      <c r="EB244" s="31"/>
      <c r="EC244" s="31"/>
      <c r="ED244" s="31"/>
      <c r="EE244" s="31"/>
      <c r="EF244" s="31"/>
      <c r="EG244" s="31"/>
      <c r="EH244" s="31"/>
      <c r="EI244" s="31"/>
      <c r="EJ244" s="31"/>
      <c r="EK244" s="31"/>
      <c r="EL244" s="31"/>
      <c r="EM244" s="31"/>
      <c r="EN244" s="31"/>
      <c r="EO244" s="31"/>
      <c r="EP244" s="31"/>
      <c r="EQ244" s="31"/>
      <c r="ER244" s="31"/>
      <c r="ES244" s="31"/>
      <c r="ET244" s="31"/>
      <c r="EU244" s="31"/>
      <c r="EV244" s="31"/>
      <c r="EW244" s="31"/>
      <c r="EX244" s="31"/>
      <c r="EY244" s="31"/>
      <c r="EZ244" s="31"/>
      <c r="FA244" s="31"/>
      <c r="FB244" s="31"/>
      <c r="FC244" s="31"/>
      <c r="FD244" s="31"/>
      <c r="FE244" s="31"/>
      <c r="FF244" s="31"/>
      <c r="FG244" s="31"/>
      <c r="FH244" s="31"/>
      <c r="FI244" s="31"/>
      <c r="FJ244" s="31"/>
      <c r="FK244" s="31"/>
      <c r="FL244" s="31"/>
      <c r="FM244" s="31"/>
      <c r="FN244" s="31"/>
      <c r="FO244" s="31"/>
      <c r="FP244" s="31"/>
      <c r="FQ244" s="31"/>
      <c r="FR244" s="31"/>
      <c r="FS244" s="31"/>
      <c r="FT244" s="31"/>
      <c r="FU244" s="31"/>
      <c r="FV244" s="31"/>
      <c r="FW244" s="31"/>
      <c r="FX244" s="31"/>
      <c r="FY244" s="31"/>
      <c r="FZ244" s="31"/>
      <c r="GA244" s="31"/>
      <c r="GB244" s="31"/>
      <c r="GC244" s="31"/>
      <c r="GD244" s="31"/>
      <c r="GE244" s="31"/>
      <c r="GF244" s="31"/>
      <c r="GG244" s="31"/>
      <c r="GH244" s="31"/>
      <c r="GI244" s="31"/>
      <c r="GJ244" s="31"/>
      <c r="GK244" s="31"/>
      <c r="GL244" s="31"/>
      <c r="GM244" s="31"/>
      <c r="GN244" s="31"/>
      <c r="GO244" s="31"/>
      <c r="GP244" s="31"/>
      <c r="GQ244" s="31"/>
      <c r="GR244" s="31"/>
      <c r="GS244" s="31"/>
      <c r="GT244" s="31"/>
      <c r="GU244" s="31"/>
      <c r="GV244" s="31"/>
      <c r="GW244" s="31"/>
      <c r="GX244" s="31"/>
      <c r="GY244" s="31"/>
      <c r="GZ244" s="31"/>
      <c r="HA244" s="31"/>
      <c r="HB244" s="31"/>
      <c r="HC244" s="31"/>
      <c r="HD244" s="31"/>
      <c r="HE244" s="31"/>
      <c r="HF244" s="31"/>
      <c r="HG244" s="31"/>
      <c r="HH244" s="31"/>
      <c r="HI244" s="31"/>
      <c r="HJ244" s="31"/>
      <c r="HK244" s="31"/>
      <c r="HL244" s="31"/>
      <c r="HM244" s="31"/>
      <c r="HN244" s="31"/>
      <c r="HO244" s="31"/>
      <c r="HP244" s="31"/>
      <c r="HQ244" s="31"/>
      <c r="HR244" s="31"/>
      <c r="HS244" s="31"/>
      <c r="HT244" s="31"/>
      <c r="HU244" s="31"/>
      <c r="HV244" s="31"/>
      <c r="HW244" s="31"/>
      <c r="HX244" s="31"/>
      <c r="HY244" s="31"/>
      <c r="HZ244" s="31"/>
      <c r="IA244" s="31"/>
      <c r="IB244" s="31"/>
      <c r="IC244" s="31"/>
      <c r="ID244" s="31"/>
      <c r="IE244" s="31"/>
      <c r="IF244" s="31"/>
      <c r="IG244" s="31"/>
      <c r="IH244" s="31"/>
      <c r="II244" s="31"/>
      <c r="IJ244" s="31"/>
      <c r="IK244" s="31"/>
      <c r="IL244" s="31"/>
      <c r="IM244" s="31"/>
      <c r="IN244" s="31"/>
      <c r="IO244" s="31"/>
      <c r="IP244" s="31"/>
      <c r="IQ244" s="31"/>
      <c r="IR244" s="31"/>
      <c r="IS244" s="31"/>
      <c r="IT244" s="31"/>
      <c r="IU244" s="31"/>
      <c r="IV244" s="31"/>
      <c r="IW244" s="31"/>
      <c r="IX244" s="31"/>
      <c r="IY244" s="31"/>
      <c r="IZ244" s="31"/>
      <c r="JA244" s="31"/>
      <c r="JB244" s="31"/>
      <c r="JC244" s="31"/>
      <c r="JD244" s="31"/>
      <c r="JE244" s="31"/>
      <c r="JF244" s="31"/>
      <c r="JG244" s="31"/>
      <c r="JH244" s="31"/>
      <c r="JI244" s="31"/>
      <c r="JJ244" s="31"/>
      <c r="JK244" s="31"/>
      <c r="JL244" s="31"/>
      <c r="JM244" s="31"/>
      <c r="JN244" s="31"/>
      <c r="JO244" s="31"/>
      <c r="JP244" s="31"/>
      <c r="JQ244" s="31"/>
      <c r="JR244" s="31"/>
      <c r="JS244" s="31"/>
      <c r="JT244" s="31"/>
      <c r="JU244" s="31"/>
      <c r="JV244" s="31"/>
      <c r="JW244" s="31"/>
      <c r="JX244" s="31"/>
      <c r="JY244" s="31"/>
      <c r="JZ244" s="31"/>
      <c r="KA244" s="31"/>
      <c r="KB244" s="31"/>
      <c r="KC244" s="31"/>
      <c r="KD244" s="31"/>
      <c r="KE244" s="31"/>
      <c r="KF244" s="31"/>
      <c r="KG244" s="31"/>
      <c r="KH244" s="31"/>
      <c r="KI244" s="31"/>
      <c r="KJ244" s="31"/>
      <c r="KK244" s="31"/>
      <c r="KL244" s="31"/>
      <c r="KM244" s="31"/>
      <c r="KN244" s="31"/>
      <c r="KO244" s="31"/>
      <c r="KP244" s="31"/>
      <c r="KQ244" s="31"/>
      <c r="KR244" s="31"/>
      <c r="KS244" s="31"/>
      <c r="KT244" s="31"/>
      <c r="KU244" s="31"/>
      <c r="KV244" s="31"/>
      <c r="KW244" s="31"/>
      <c r="KX244" s="31"/>
      <c r="KY244" s="31"/>
      <c r="KZ244" s="31"/>
      <c r="LA244" s="31"/>
      <c r="LB244" s="31"/>
      <c r="LC244" s="31"/>
      <c r="LD244" s="31"/>
      <c r="LE244" s="31"/>
      <c r="LF244" s="31"/>
      <c r="LG244" s="31"/>
      <c r="LH244" s="31"/>
      <c r="LI244" s="31"/>
      <c r="LJ244" s="31"/>
      <c r="LK244" s="31"/>
      <c r="LL244" s="31"/>
      <c r="LM244" s="31"/>
      <c r="LN244" s="31"/>
      <c r="LO244" s="31"/>
      <c r="LP244" s="31"/>
      <c r="LQ244" s="31"/>
      <c r="LR244" s="31"/>
      <c r="LS244" s="31"/>
      <c r="LT244" s="31"/>
      <c r="LU244" s="31"/>
      <c r="LV244" s="31"/>
      <c r="LW244" s="31"/>
      <c r="LX244" s="31"/>
      <c r="LY244" s="31"/>
      <c r="LZ244" s="31"/>
      <c r="MA244" s="31"/>
      <c r="MB244" s="31"/>
      <c r="MC244" s="31"/>
      <c r="MD244" s="31"/>
      <c r="ME244" s="31"/>
      <c r="MF244" s="31"/>
      <c r="MG244" s="31"/>
      <c r="MH244" s="31"/>
      <c r="MI244" s="31"/>
      <c r="MJ244" s="31"/>
      <c r="MK244" s="31"/>
      <c r="ML244" s="31"/>
      <c r="MM244" s="31"/>
      <c r="MN244" s="31"/>
      <c r="MO244" s="31"/>
      <c r="MP244" s="31"/>
      <c r="MQ244" s="31"/>
      <c r="MR244" s="31"/>
      <c r="MS244" s="31"/>
      <c r="MT244" s="31"/>
      <c r="MU244" s="31"/>
      <c r="MV244" s="31"/>
      <c r="MW244" s="31"/>
      <c r="MX244" s="31"/>
      <c r="MY244" s="31"/>
      <c r="MZ244" s="31"/>
      <c r="NA244" s="31"/>
      <c r="NB244" s="31"/>
      <c r="NC244" s="31"/>
      <c r="ND244" s="31"/>
      <c r="NE244" s="31"/>
      <c r="NF244" s="31"/>
      <c r="NG244" s="31"/>
      <c r="NH244" s="31"/>
      <c r="NI244" s="31"/>
      <c r="NJ244" s="31"/>
      <c r="NK244" s="31"/>
      <c r="NL244" s="31"/>
      <c r="NM244" s="31"/>
      <c r="NN244" s="31"/>
      <c r="NO244" s="31"/>
      <c r="NP244" s="31"/>
      <c r="NQ244" s="31"/>
      <c r="NR244" s="31"/>
      <c r="NS244" s="31"/>
      <c r="NT244" s="31"/>
      <c r="NU244" s="31"/>
      <c r="NV244" s="31"/>
      <c r="NW244" s="31"/>
      <c r="NX244" s="31"/>
      <c r="NY244" s="31"/>
      <c r="NZ244" s="31"/>
      <c r="OA244" s="31"/>
      <c r="OB244" s="31"/>
      <c r="OC244" s="31"/>
      <c r="OD244" s="31"/>
      <c r="OE244" s="31"/>
      <c r="OF244" s="31"/>
      <c r="OG244" s="31"/>
      <c r="OH244" s="31"/>
      <c r="OI244" s="31"/>
      <c r="OJ244" s="31"/>
      <c r="OK244" s="31"/>
      <c r="OL244" s="31"/>
      <c r="OM244" s="31"/>
      <c r="ON244" s="31"/>
      <c r="OO244" s="31"/>
      <c r="OP244" s="31"/>
      <c r="OQ244" s="31"/>
      <c r="OR244" s="31"/>
      <c r="OS244" s="31"/>
      <c r="OT244" s="31"/>
      <c r="OU244" s="31"/>
      <c r="OV244" s="31"/>
      <c r="OW244" s="31"/>
      <c r="OX244" s="31"/>
      <c r="OY244" s="31"/>
      <c r="OZ244" s="31"/>
      <c r="PA244" s="31"/>
      <c r="PB244" s="31"/>
      <c r="PC244" s="31"/>
      <c r="PD244" s="31"/>
      <c r="PE244" s="31"/>
      <c r="PF244" s="31"/>
      <c r="PG244" s="31"/>
      <c r="PH244" s="31"/>
      <c r="PI244" s="31"/>
      <c r="PJ244" s="31"/>
      <c r="PK244" s="31"/>
      <c r="PL244" s="31"/>
      <c r="PM244" s="31"/>
      <c r="PN244" s="31"/>
      <c r="PO244" s="31"/>
      <c r="PP244" s="31"/>
      <c r="PQ244" s="31"/>
      <c r="PR244" s="31"/>
      <c r="PS244" s="31"/>
      <c r="PT244" s="31"/>
      <c r="PU244" s="31"/>
      <c r="PV244" s="31"/>
      <c r="PW244" s="31"/>
      <c r="PX244" s="31"/>
      <c r="PY244" s="31"/>
      <c r="PZ244" s="31"/>
      <c r="QA244" s="31"/>
      <c r="QB244" s="31"/>
      <c r="QC244" s="31"/>
      <c r="QD244" s="31"/>
      <c r="QE244" s="31"/>
      <c r="QF244" s="31"/>
      <c r="QG244" s="31"/>
      <c r="QH244" s="31"/>
      <c r="QI244" s="31"/>
      <c r="QJ244" s="31"/>
      <c r="QK244" s="31"/>
      <c r="QL244" s="31"/>
      <c r="QM244" s="31"/>
      <c r="QN244" s="31"/>
      <c r="QO244" s="31"/>
      <c r="QP244" s="31"/>
      <c r="QQ244" s="31"/>
      <c r="QR244" s="31"/>
      <c r="QS244" s="31"/>
      <c r="QT244" s="31"/>
      <c r="QU244" s="31"/>
      <c r="QV244" s="31"/>
      <c r="QW244" s="31"/>
      <c r="QX244" s="31"/>
      <c r="QY244" s="31"/>
      <c r="QZ244" s="31"/>
      <c r="RA244" s="31"/>
      <c r="RB244" s="31"/>
      <c r="RC244" s="31"/>
      <c r="RD244" s="31"/>
      <c r="RE244" s="31"/>
      <c r="RF244" s="31"/>
      <c r="RG244" s="31"/>
      <c r="RH244" s="31"/>
      <c r="RI244" s="31"/>
      <c r="RJ244" s="31"/>
      <c r="RK244" s="31"/>
      <c r="RL244" s="31"/>
      <c r="RM244" s="31"/>
      <c r="RN244" s="31"/>
      <c r="RO244" s="31"/>
      <c r="RP244" s="31"/>
      <c r="RQ244" s="31"/>
      <c r="RR244" s="31"/>
      <c r="RS244" s="31"/>
      <c r="RT244" s="31"/>
      <c r="RU244" s="31"/>
      <c r="RV244" s="31"/>
      <c r="RW244" s="31"/>
      <c r="RX244" s="31"/>
      <c r="RY244" s="31"/>
      <c r="RZ244" s="31"/>
      <c r="SA244" s="31"/>
      <c r="SB244" s="31"/>
      <c r="SC244" s="31"/>
      <c r="SD244" s="31"/>
      <c r="SE244" s="31"/>
      <c r="SF244" s="31"/>
      <c r="SG244" s="31"/>
      <c r="SH244" s="31"/>
      <c r="SI244" s="31"/>
      <c r="SJ244" s="31"/>
      <c r="SK244" s="31"/>
      <c r="SL244" s="31"/>
      <c r="SM244" s="31"/>
      <c r="SN244" s="31"/>
      <c r="SO244" s="31"/>
      <c r="SP244" s="31"/>
      <c r="SQ244" s="31"/>
      <c r="SR244" s="31"/>
      <c r="SS244" s="31"/>
      <c r="ST244" s="31"/>
      <c r="SU244" s="31"/>
      <c r="SV244" s="31"/>
      <c r="SW244" s="31"/>
      <c r="SX244" s="31"/>
      <c r="SY244" s="31"/>
      <c r="SZ244" s="31"/>
      <c r="TA244" s="31"/>
      <c r="TB244" s="31"/>
      <c r="TC244" s="31"/>
      <c r="TD244" s="31"/>
      <c r="TE244" s="31"/>
      <c r="TF244" s="31"/>
      <c r="TG244" s="31"/>
      <c r="TH244" s="31"/>
      <c r="TI244" s="31"/>
      <c r="TJ244" s="31"/>
      <c r="TK244" s="31"/>
      <c r="TL244" s="31"/>
      <c r="TM244" s="31"/>
      <c r="TN244" s="31"/>
      <c r="TO244" s="31"/>
      <c r="TP244" s="31"/>
      <c r="TQ244" s="31"/>
      <c r="TR244" s="31"/>
      <c r="TS244" s="31"/>
      <c r="TT244" s="31"/>
      <c r="TU244" s="31"/>
      <c r="TV244" s="31"/>
      <c r="TW244" s="31"/>
      <c r="TX244" s="31"/>
      <c r="TY244" s="31"/>
      <c r="TZ244" s="31"/>
      <c r="UA244" s="31"/>
      <c r="UB244" s="31"/>
      <c r="UC244" s="31"/>
      <c r="UD244" s="31"/>
      <c r="UE244" s="31"/>
      <c r="UF244" s="31"/>
      <c r="UG244" s="33"/>
    </row>
    <row r="245" spans="1:553" ht="37.5" customHeight="1">
      <c r="A245" s="366" t="s">
        <v>15</v>
      </c>
      <c r="B245" s="366"/>
      <c r="C245" s="427" t="s">
        <v>52</v>
      </c>
      <c r="D245" s="418">
        <v>2</v>
      </c>
      <c r="E245" s="418">
        <f>E209</f>
        <v>292</v>
      </c>
      <c r="F245" s="366"/>
      <c r="G245" s="366" t="s">
        <v>255</v>
      </c>
      <c r="H245" s="370"/>
      <c r="I245" s="422">
        <f>I209</f>
        <v>76.8</v>
      </c>
      <c r="J245" s="368">
        <v>16000</v>
      </c>
      <c r="K245" s="388"/>
      <c r="L245" s="369">
        <f>ROUND(PRODUCT(I245:K245),0)</f>
        <v>1228800</v>
      </c>
      <c r="M245" s="366"/>
      <c r="N245" s="366"/>
      <c r="O245" s="366"/>
      <c r="P245" s="366"/>
      <c r="Q245" s="1146"/>
      <c r="R245" s="1447"/>
      <c r="S245" s="305"/>
      <c r="T245" s="303"/>
      <c r="U245" s="306"/>
      <c r="V245" s="307"/>
      <c r="W245" s="306"/>
      <c r="X245" s="306"/>
      <c r="Y245" s="306"/>
      <c r="Z245" s="306"/>
      <c r="AA245" s="306"/>
      <c r="AB245" s="306"/>
      <c r="AC245" s="449"/>
      <c r="AD245" s="452"/>
      <c r="AE245" s="452"/>
      <c r="AF245" s="452"/>
      <c r="AG245" s="452"/>
      <c r="AH245" s="452"/>
      <c r="AI245" s="452"/>
      <c r="AJ245" s="452"/>
      <c r="AK245" s="452"/>
      <c r="AL245" s="106"/>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c r="CH245" s="31"/>
      <c r="CI245" s="31"/>
      <c r="CJ245" s="31"/>
      <c r="CK245" s="31"/>
      <c r="CL245" s="31"/>
      <c r="CM245" s="31"/>
      <c r="CN245" s="31"/>
      <c r="CO245" s="31"/>
      <c r="CP245" s="31"/>
      <c r="CQ245" s="31"/>
      <c r="CR245" s="31"/>
      <c r="CS245" s="31"/>
      <c r="CT245" s="31"/>
      <c r="CU245" s="31"/>
      <c r="CV245" s="31"/>
      <c r="CW245" s="31"/>
      <c r="CX245" s="31"/>
      <c r="CY245" s="31"/>
      <c r="CZ245" s="31"/>
      <c r="DA245" s="31"/>
      <c r="DB245" s="31"/>
      <c r="DC245" s="31"/>
      <c r="DD245" s="31"/>
      <c r="DE245" s="31"/>
      <c r="DF245" s="31"/>
      <c r="DG245" s="31"/>
      <c r="DH245" s="31"/>
      <c r="DI245" s="31"/>
      <c r="DJ245" s="31"/>
      <c r="DK245" s="31"/>
      <c r="DL245" s="31"/>
      <c r="DM245" s="31"/>
      <c r="DN245" s="31"/>
      <c r="DO245" s="31"/>
      <c r="DP245" s="31"/>
      <c r="DQ245" s="31"/>
      <c r="DR245" s="31"/>
      <c r="DS245" s="31"/>
      <c r="DT245" s="31"/>
      <c r="DU245" s="31"/>
      <c r="DV245" s="31"/>
      <c r="DW245" s="31"/>
      <c r="DX245" s="31"/>
      <c r="DY245" s="31"/>
      <c r="DZ245" s="31"/>
      <c r="EA245" s="31"/>
      <c r="EB245" s="31"/>
      <c r="EC245" s="31"/>
      <c r="ED245" s="31"/>
      <c r="EE245" s="31"/>
      <c r="EF245" s="31"/>
      <c r="EG245" s="31"/>
      <c r="EH245" s="31"/>
      <c r="EI245" s="31"/>
      <c r="EJ245" s="31"/>
      <c r="EK245" s="31"/>
      <c r="EL245" s="31"/>
      <c r="EM245" s="31"/>
      <c r="EN245" s="31"/>
      <c r="EO245" s="31"/>
      <c r="EP245" s="31"/>
      <c r="EQ245" s="31"/>
      <c r="ER245" s="31"/>
      <c r="ES245" s="31"/>
      <c r="ET245" s="31"/>
      <c r="EU245" s="31"/>
      <c r="EV245" s="31"/>
      <c r="EW245" s="31"/>
      <c r="EX245" s="31"/>
      <c r="EY245" s="31"/>
      <c r="EZ245" s="31"/>
      <c r="FA245" s="31"/>
      <c r="FB245" s="31"/>
      <c r="FC245" s="31"/>
      <c r="FD245" s="31"/>
      <c r="FE245" s="31"/>
      <c r="FF245" s="31"/>
      <c r="FG245" s="31"/>
      <c r="FH245" s="31"/>
      <c r="FI245" s="31"/>
      <c r="FJ245" s="31"/>
      <c r="FK245" s="31"/>
      <c r="FL245" s="31"/>
      <c r="FM245" s="31"/>
      <c r="FN245" s="31"/>
      <c r="FO245" s="31"/>
      <c r="FP245" s="31"/>
      <c r="FQ245" s="31"/>
      <c r="FR245" s="31"/>
      <c r="FS245" s="31"/>
      <c r="FT245" s="31"/>
      <c r="FU245" s="31"/>
      <c r="FV245" s="31"/>
      <c r="FW245" s="31"/>
      <c r="FX245" s="31"/>
      <c r="FY245" s="31"/>
      <c r="FZ245" s="31"/>
      <c r="GA245" s="31"/>
      <c r="GB245" s="31"/>
      <c r="GC245" s="31"/>
      <c r="GD245" s="31"/>
      <c r="GE245" s="31"/>
      <c r="GF245" s="31"/>
      <c r="GG245" s="31"/>
      <c r="GH245" s="31"/>
      <c r="GI245" s="31"/>
      <c r="GJ245" s="31"/>
      <c r="GK245" s="31"/>
      <c r="GL245" s="31"/>
      <c r="GM245" s="31"/>
      <c r="GN245" s="31"/>
      <c r="GO245" s="31"/>
      <c r="GP245" s="31"/>
      <c r="GQ245" s="31"/>
      <c r="GR245" s="31"/>
      <c r="GS245" s="31"/>
      <c r="GT245" s="31"/>
      <c r="GU245" s="31"/>
      <c r="GV245" s="31"/>
      <c r="GW245" s="31"/>
      <c r="GX245" s="31"/>
      <c r="GY245" s="31"/>
      <c r="GZ245" s="31"/>
      <c r="HA245" s="31"/>
      <c r="HB245" s="31"/>
      <c r="HC245" s="31"/>
      <c r="HD245" s="31"/>
      <c r="HE245" s="31"/>
      <c r="HF245" s="31"/>
      <c r="HG245" s="31"/>
      <c r="HH245" s="31"/>
      <c r="HI245" s="31"/>
      <c r="HJ245" s="31"/>
      <c r="HK245" s="31"/>
      <c r="HL245" s="31"/>
      <c r="HM245" s="31"/>
      <c r="HN245" s="31"/>
      <c r="HO245" s="31"/>
      <c r="HP245" s="31"/>
      <c r="HQ245" s="31"/>
      <c r="HR245" s="31"/>
      <c r="HS245" s="31"/>
      <c r="HT245" s="31"/>
      <c r="HU245" s="31"/>
      <c r="HV245" s="31"/>
      <c r="HW245" s="31"/>
      <c r="HX245" s="31"/>
      <c r="HY245" s="31"/>
      <c r="HZ245" s="31"/>
      <c r="IA245" s="31"/>
      <c r="IB245" s="31"/>
      <c r="IC245" s="31"/>
      <c r="ID245" s="31"/>
      <c r="IE245" s="31"/>
      <c r="IF245" s="31"/>
      <c r="IG245" s="31"/>
      <c r="IH245" s="31"/>
      <c r="II245" s="31"/>
      <c r="IJ245" s="31"/>
      <c r="IK245" s="31"/>
      <c r="IL245" s="31"/>
      <c r="IM245" s="31"/>
      <c r="IN245" s="31"/>
      <c r="IO245" s="31"/>
      <c r="IP245" s="31"/>
      <c r="IQ245" s="31"/>
      <c r="IR245" s="31"/>
      <c r="IS245" s="31"/>
      <c r="IT245" s="31"/>
      <c r="IU245" s="31"/>
      <c r="IV245" s="31"/>
      <c r="IW245" s="31"/>
      <c r="IX245" s="31"/>
      <c r="IY245" s="31"/>
      <c r="IZ245" s="31"/>
      <c r="JA245" s="31"/>
      <c r="JB245" s="31"/>
      <c r="JC245" s="31"/>
      <c r="JD245" s="31"/>
      <c r="JE245" s="31"/>
      <c r="JF245" s="31"/>
      <c r="JG245" s="31"/>
      <c r="JH245" s="31"/>
      <c r="JI245" s="31"/>
      <c r="JJ245" s="31"/>
      <c r="JK245" s="31"/>
      <c r="JL245" s="31"/>
      <c r="JM245" s="31"/>
      <c r="JN245" s="31"/>
      <c r="JO245" s="31"/>
      <c r="JP245" s="31"/>
      <c r="JQ245" s="31"/>
      <c r="JR245" s="31"/>
      <c r="JS245" s="31"/>
      <c r="JT245" s="31"/>
      <c r="JU245" s="31"/>
      <c r="JV245" s="31"/>
      <c r="JW245" s="31"/>
      <c r="JX245" s="31"/>
      <c r="JY245" s="31"/>
      <c r="JZ245" s="31"/>
      <c r="KA245" s="31"/>
      <c r="KB245" s="31"/>
      <c r="KC245" s="31"/>
      <c r="KD245" s="31"/>
      <c r="KE245" s="31"/>
      <c r="KF245" s="31"/>
      <c r="KG245" s="31"/>
      <c r="KH245" s="31"/>
      <c r="KI245" s="31"/>
      <c r="KJ245" s="31"/>
      <c r="KK245" s="31"/>
      <c r="KL245" s="31"/>
      <c r="KM245" s="31"/>
      <c r="KN245" s="31"/>
      <c r="KO245" s="31"/>
      <c r="KP245" s="31"/>
      <c r="KQ245" s="31"/>
      <c r="KR245" s="31"/>
      <c r="KS245" s="31"/>
      <c r="KT245" s="31"/>
      <c r="KU245" s="31"/>
      <c r="KV245" s="31"/>
      <c r="KW245" s="31"/>
      <c r="KX245" s="31"/>
      <c r="KY245" s="31"/>
      <c r="KZ245" s="31"/>
      <c r="LA245" s="31"/>
      <c r="LB245" s="31"/>
      <c r="LC245" s="31"/>
      <c r="LD245" s="31"/>
      <c r="LE245" s="31"/>
      <c r="LF245" s="31"/>
      <c r="LG245" s="31"/>
      <c r="LH245" s="31"/>
      <c r="LI245" s="31"/>
      <c r="LJ245" s="31"/>
      <c r="LK245" s="31"/>
      <c r="LL245" s="31"/>
      <c r="LM245" s="31"/>
      <c r="LN245" s="31"/>
      <c r="LO245" s="31"/>
      <c r="LP245" s="31"/>
      <c r="LQ245" s="31"/>
      <c r="LR245" s="31"/>
      <c r="LS245" s="31"/>
      <c r="LT245" s="31"/>
      <c r="LU245" s="31"/>
      <c r="LV245" s="31"/>
      <c r="LW245" s="31"/>
      <c r="LX245" s="31"/>
      <c r="LY245" s="31"/>
      <c r="LZ245" s="31"/>
      <c r="MA245" s="31"/>
      <c r="MB245" s="31"/>
      <c r="MC245" s="31"/>
      <c r="MD245" s="31"/>
      <c r="ME245" s="31"/>
      <c r="MF245" s="31"/>
      <c r="MG245" s="31"/>
      <c r="MH245" s="31"/>
      <c r="MI245" s="31"/>
      <c r="MJ245" s="31"/>
      <c r="MK245" s="31"/>
      <c r="ML245" s="31"/>
      <c r="MM245" s="31"/>
      <c r="MN245" s="31"/>
      <c r="MO245" s="31"/>
      <c r="MP245" s="31"/>
      <c r="MQ245" s="31"/>
      <c r="MR245" s="31"/>
      <c r="MS245" s="31"/>
      <c r="MT245" s="31"/>
      <c r="MU245" s="31"/>
      <c r="MV245" s="31"/>
      <c r="MW245" s="31"/>
      <c r="MX245" s="31"/>
      <c r="MY245" s="31"/>
      <c r="MZ245" s="31"/>
      <c r="NA245" s="31"/>
      <c r="NB245" s="31"/>
      <c r="NC245" s="31"/>
      <c r="ND245" s="31"/>
      <c r="NE245" s="31"/>
      <c r="NF245" s="31"/>
      <c r="NG245" s="31"/>
      <c r="NH245" s="31"/>
      <c r="NI245" s="31"/>
      <c r="NJ245" s="31"/>
      <c r="NK245" s="31"/>
      <c r="NL245" s="31"/>
      <c r="NM245" s="31"/>
      <c r="NN245" s="31"/>
      <c r="NO245" s="31"/>
      <c r="NP245" s="31"/>
      <c r="NQ245" s="31"/>
      <c r="NR245" s="31"/>
      <c r="NS245" s="31"/>
      <c r="NT245" s="31"/>
      <c r="NU245" s="31"/>
      <c r="NV245" s="31"/>
      <c r="NW245" s="31"/>
      <c r="NX245" s="31"/>
      <c r="NY245" s="31"/>
      <c r="NZ245" s="31"/>
      <c r="OA245" s="31"/>
      <c r="OB245" s="31"/>
      <c r="OC245" s="31"/>
      <c r="OD245" s="31"/>
      <c r="OE245" s="31"/>
      <c r="OF245" s="31"/>
      <c r="OG245" s="31"/>
      <c r="OH245" s="31"/>
      <c r="OI245" s="31"/>
      <c r="OJ245" s="31"/>
      <c r="OK245" s="31"/>
      <c r="OL245" s="31"/>
      <c r="OM245" s="31"/>
      <c r="ON245" s="31"/>
      <c r="OO245" s="31"/>
      <c r="OP245" s="31"/>
      <c r="OQ245" s="31"/>
      <c r="OR245" s="31"/>
      <c r="OS245" s="31"/>
      <c r="OT245" s="31"/>
      <c r="OU245" s="31"/>
      <c r="OV245" s="31"/>
      <c r="OW245" s="31"/>
      <c r="OX245" s="31"/>
      <c r="OY245" s="31"/>
      <c r="OZ245" s="31"/>
      <c r="PA245" s="31"/>
      <c r="PB245" s="31"/>
      <c r="PC245" s="31"/>
      <c r="PD245" s="31"/>
      <c r="PE245" s="31"/>
      <c r="PF245" s="31"/>
      <c r="PG245" s="31"/>
      <c r="PH245" s="31"/>
      <c r="PI245" s="31"/>
      <c r="PJ245" s="31"/>
      <c r="PK245" s="31"/>
      <c r="PL245" s="31"/>
      <c r="PM245" s="31"/>
      <c r="PN245" s="31"/>
      <c r="PO245" s="31"/>
      <c r="PP245" s="31"/>
      <c r="PQ245" s="31"/>
      <c r="PR245" s="31"/>
      <c r="PS245" s="31"/>
      <c r="PT245" s="31"/>
      <c r="PU245" s="31"/>
      <c r="PV245" s="31"/>
      <c r="PW245" s="31"/>
      <c r="PX245" s="31"/>
      <c r="PY245" s="31"/>
      <c r="PZ245" s="31"/>
      <c r="QA245" s="31"/>
      <c r="QB245" s="31"/>
      <c r="QC245" s="31"/>
      <c r="QD245" s="31"/>
      <c r="QE245" s="31"/>
      <c r="QF245" s="31"/>
      <c r="QG245" s="31"/>
      <c r="QH245" s="31"/>
      <c r="QI245" s="31"/>
      <c r="QJ245" s="31"/>
      <c r="QK245" s="31"/>
      <c r="QL245" s="31"/>
      <c r="QM245" s="31"/>
      <c r="QN245" s="31"/>
      <c r="QO245" s="31"/>
      <c r="QP245" s="31"/>
      <c r="QQ245" s="31"/>
      <c r="QR245" s="31"/>
      <c r="QS245" s="31"/>
      <c r="QT245" s="31"/>
      <c r="QU245" s="31"/>
      <c r="QV245" s="31"/>
      <c r="QW245" s="31"/>
      <c r="QX245" s="31"/>
      <c r="QY245" s="31"/>
      <c r="QZ245" s="31"/>
      <c r="RA245" s="31"/>
      <c r="RB245" s="31"/>
      <c r="RC245" s="31"/>
      <c r="RD245" s="31"/>
      <c r="RE245" s="31"/>
      <c r="RF245" s="31"/>
      <c r="RG245" s="31"/>
      <c r="RH245" s="31"/>
      <c r="RI245" s="31"/>
      <c r="RJ245" s="31"/>
      <c r="RK245" s="31"/>
      <c r="RL245" s="31"/>
      <c r="RM245" s="31"/>
      <c r="RN245" s="31"/>
      <c r="RO245" s="31"/>
      <c r="RP245" s="31"/>
      <c r="RQ245" s="31"/>
      <c r="RR245" s="31"/>
      <c r="RS245" s="31"/>
      <c r="RT245" s="31"/>
      <c r="RU245" s="31"/>
      <c r="RV245" s="31"/>
      <c r="RW245" s="31"/>
      <c r="RX245" s="31"/>
      <c r="RY245" s="31"/>
      <c r="RZ245" s="31"/>
      <c r="SA245" s="31"/>
      <c r="SB245" s="31"/>
      <c r="SC245" s="31"/>
      <c r="SD245" s="31"/>
      <c r="SE245" s="31"/>
      <c r="SF245" s="31"/>
      <c r="SG245" s="31"/>
      <c r="SH245" s="31"/>
      <c r="SI245" s="31"/>
      <c r="SJ245" s="31"/>
      <c r="SK245" s="31"/>
      <c r="SL245" s="31"/>
      <c r="SM245" s="31"/>
      <c r="SN245" s="31"/>
      <c r="SO245" s="31"/>
      <c r="SP245" s="31"/>
      <c r="SQ245" s="31"/>
      <c r="SR245" s="31"/>
      <c r="SS245" s="31"/>
      <c r="ST245" s="31"/>
      <c r="SU245" s="31"/>
      <c r="SV245" s="31"/>
      <c r="SW245" s="31"/>
      <c r="SX245" s="31"/>
      <c r="SY245" s="31"/>
      <c r="SZ245" s="31"/>
      <c r="TA245" s="31"/>
      <c r="TB245" s="31"/>
      <c r="TC245" s="31"/>
      <c r="TD245" s="31"/>
      <c r="TE245" s="31"/>
      <c r="TF245" s="31"/>
      <c r="TG245" s="31"/>
      <c r="TH245" s="31"/>
      <c r="TI245" s="31"/>
      <c r="TJ245" s="31"/>
      <c r="TK245" s="31"/>
      <c r="TL245" s="31"/>
      <c r="TM245" s="31"/>
      <c r="TN245" s="31"/>
      <c r="TO245" s="31"/>
      <c r="TP245" s="31"/>
      <c r="TQ245" s="31"/>
      <c r="TR245" s="31"/>
      <c r="TS245" s="31"/>
      <c r="TT245" s="31"/>
      <c r="TU245" s="31"/>
      <c r="TV245" s="31"/>
      <c r="TW245" s="31"/>
      <c r="TX245" s="31"/>
      <c r="TY245" s="31"/>
      <c r="TZ245" s="31"/>
      <c r="UA245" s="31"/>
      <c r="UB245" s="31"/>
      <c r="UC245" s="31"/>
      <c r="UD245" s="31"/>
      <c r="UE245" s="31"/>
      <c r="UF245" s="38" t="s">
        <v>256</v>
      </c>
      <c r="UG245" s="39"/>
    </row>
    <row r="246" spans="1:553" ht="37.5" customHeight="1">
      <c r="A246" s="366" t="s">
        <v>15</v>
      </c>
      <c r="B246" s="366"/>
      <c r="C246" s="427" t="s">
        <v>52</v>
      </c>
      <c r="D246" s="376" t="str">
        <f t="shared" ref="D246:E247" si="50">D192</f>
        <v>2</v>
      </c>
      <c r="E246" s="376" t="str">
        <f t="shared" si="50"/>
        <v>307</v>
      </c>
      <c r="F246" s="384"/>
      <c r="G246" s="386" t="str">
        <f>G192</f>
        <v>m2</v>
      </c>
      <c r="H246" s="370"/>
      <c r="I246" s="422">
        <f>I192</f>
        <v>161.6</v>
      </c>
      <c r="J246" s="368">
        <v>16000</v>
      </c>
      <c r="K246" s="474"/>
      <c r="L246" s="369">
        <f>I246*J246</f>
        <v>2585600</v>
      </c>
      <c r="M246" s="366"/>
      <c r="N246" s="366"/>
      <c r="O246" s="366"/>
      <c r="P246" s="366"/>
      <c r="Q246" s="1136"/>
      <c r="R246" s="1447"/>
      <c r="S246" s="305"/>
      <c r="T246" s="303"/>
      <c r="U246" s="306"/>
      <c r="V246" s="307"/>
      <c r="W246" s="306"/>
      <c r="X246" s="306"/>
      <c r="Y246" s="306"/>
      <c r="Z246" s="306"/>
      <c r="AA246" s="306"/>
      <c r="AB246" s="306"/>
      <c r="AC246" s="449"/>
      <c r="AD246" s="452"/>
      <c r="AE246" s="452"/>
      <c r="AF246" s="452"/>
      <c r="AG246" s="452"/>
      <c r="AH246" s="452"/>
      <c r="AI246" s="452"/>
      <c r="AJ246" s="452"/>
      <c r="AK246" s="452"/>
      <c r="AL246" s="106"/>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c r="CH246" s="31"/>
      <c r="CI246" s="31"/>
      <c r="CJ246" s="31"/>
      <c r="CK246" s="31"/>
      <c r="CL246" s="31"/>
      <c r="CM246" s="31"/>
      <c r="CN246" s="31"/>
      <c r="CO246" s="31"/>
      <c r="CP246" s="31"/>
      <c r="CQ246" s="31"/>
      <c r="CR246" s="31"/>
      <c r="CS246" s="31"/>
      <c r="CT246" s="31"/>
      <c r="CU246" s="31"/>
      <c r="CV246" s="31"/>
      <c r="CW246" s="31"/>
      <c r="CX246" s="31"/>
      <c r="CY246" s="31"/>
      <c r="CZ246" s="31"/>
      <c r="DA246" s="31"/>
      <c r="DB246" s="31"/>
      <c r="DC246" s="31"/>
      <c r="DD246" s="31"/>
      <c r="DE246" s="31"/>
      <c r="DF246" s="31"/>
      <c r="DG246" s="31"/>
      <c r="DH246" s="31"/>
      <c r="DI246" s="31"/>
      <c r="DJ246" s="31"/>
      <c r="DK246" s="31"/>
      <c r="DL246" s="31"/>
      <c r="DM246" s="31"/>
      <c r="DN246" s="31"/>
      <c r="DO246" s="31"/>
      <c r="DP246" s="31"/>
      <c r="DQ246" s="31"/>
      <c r="DR246" s="31"/>
      <c r="DS246" s="31"/>
      <c r="DT246" s="31"/>
      <c r="DU246" s="31"/>
      <c r="DV246" s="31"/>
      <c r="DW246" s="31"/>
      <c r="DX246" s="31"/>
      <c r="DY246" s="31"/>
      <c r="DZ246" s="31"/>
      <c r="EA246" s="31"/>
      <c r="EB246" s="31"/>
      <c r="EC246" s="31"/>
      <c r="ED246" s="31"/>
      <c r="EE246" s="31"/>
      <c r="EF246" s="31"/>
      <c r="EG246" s="31"/>
      <c r="EH246" s="31"/>
      <c r="EI246" s="31"/>
      <c r="EJ246" s="31"/>
      <c r="EK246" s="31"/>
      <c r="EL246" s="31"/>
      <c r="EM246" s="31"/>
      <c r="EN246" s="31"/>
      <c r="EO246" s="31"/>
      <c r="EP246" s="31"/>
      <c r="EQ246" s="31"/>
      <c r="ER246" s="31"/>
      <c r="ES246" s="31"/>
      <c r="ET246" s="31"/>
      <c r="EU246" s="31"/>
      <c r="EV246" s="31"/>
      <c r="EW246" s="31"/>
      <c r="EX246" s="31"/>
      <c r="EY246" s="31"/>
      <c r="EZ246" s="31"/>
      <c r="FA246" s="31"/>
      <c r="FB246" s="31"/>
      <c r="FC246" s="31"/>
      <c r="FD246" s="31"/>
      <c r="FE246" s="31"/>
      <c r="FF246" s="31"/>
      <c r="FG246" s="31"/>
      <c r="FH246" s="31"/>
      <c r="FI246" s="31"/>
      <c r="FJ246" s="31"/>
      <c r="FK246" s="31"/>
      <c r="FL246" s="31"/>
      <c r="FM246" s="31"/>
      <c r="FN246" s="31"/>
      <c r="FO246" s="31"/>
      <c r="FP246" s="31"/>
      <c r="FQ246" s="31"/>
      <c r="FR246" s="31"/>
      <c r="FS246" s="31"/>
      <c r="FT246" s="31"/>
      <c r="FU246" s="31"/>
      <c r="FV246" s="31"/>
      <c r="FW246" s="31"/>
      <c r="FX246" s="31"/>
      <c r="FY246" s="31"/>
      <c r="FZ246" s="31"/>
      <c r="GA246" s="31"/>
      <c r="GB246" s="31"/>
      <c r="GC246" s="31"/>
      <c r="GD246" s="31"/>
      <c r="GE246" s="31"/>
      <c r="GF246" s="31"/>
      <c r="GG246" s="31"/>
      <c r="GH246" s="31"/>
      <c r="GI246" s="31"/>
      <c r="GJ246" s="31"/>
      <c r="GK246" s="31"/>
      <c r="GL246" s="31"/>
      <c r="GM246" s="31"/>
      <c r="GN246" s="31"/>
      <c r="GO246" s="31"/>
      <c r="GP246" s="31"/>
      <c r="GQ246" s="31"/>
      <c r="GR246" s="31"/>
      <c r="GS246" s="31"/>
      <c r="GT246" s="31"/>
      <c r="GU246" s="31"/>
      <c r="GV246" s="31"/>
      <c r="GW246" s="31"/>
      <c r="GX246" s="31"/>
      <c r="GY246" s="31"/>
      <c r="GZ246" s="31"/>
      <c r="HA246" s="31"/>
      <c r="HB246" s="31"/>
      <c r="HC246" s="31"/>
      <c r="HD246" s="31"/>
      <c r="HE246" s="31"/>
      <c r="HF246" s="31"/>
      <c r="HG246" s="31"/>
      <c r="HH246" s="31"/>
      <c r="HI246" s="31"/>
      <c r="HJ246" s="31"/>
      <c r="HK246" s="31"/>
      <c r="HL246" s="31"/>
      <c r="HM246" s="31"/>
      <c r="HN246" s="31"/>
      <c r="HO246" s="31"/>
      <c r="HP246" s="31"/>
      <c r="HQ246" s="31"/>
      <c r="HR246" s="31"/>
      <c r="HS246" s="31"/>
      <c r="HT246" s="31"/>
      <c r="HU246" s="31"/>
      <c r="HV246" s="31"/>
      <c r="HW246" s="31"/>
      <c r="HX246" s="31"/>
      <c r="HY246" s="31"/>
      <c r="HZ246" s="31"/>
      <c r="IA246" s="31"/>
      <c r="IB246" s="31"/>
      <c r="IC246" s="31"/>
      <c r="ID246" s="31"/>
      <c r="IE246" s="31"/>
      <c r="IF246" s="31"/>
      <c r="IG246" s="31"/>
      <c r="IH246" s="31"/>
      <c r="II246" s="31"/>
      <c r="IJ246" s="31"/>
      <c r="IK246" s="31"/>
      <c r="IL246" s="31"/>
      <c r="IM246" s="31"/>
      <c r="IN246" s="31"/>
      <c r="IO246" s="31"/>
      <c r="IP246" s="31"/>
      <c r="IQ246" s="31"/>
      <c r="IR246" s="31"/>
      <c r="IS246" s="31"/>
      <c r="IT246" s="31"/>
      <c r="IU246" s="31"/>
      <c r="IV246" s="31"/>
      <c r="IW246" s="31"/>
      <c r="IX246" s="31"/>
      <c r="IY246" s="31"/>
      <c r="IZ246" s="31"/>
      <c r="JA246" s="31"/>
      <c r="JB246" s="31"/>
      <c r="JC246" s="31"/>
      <c r="JD246" s="31"/>
      <c r="JE246" s="31"/>
      <c r="JF246" s="31"/>
      <c r="JG246" s="31"/>
      <c r="JH246" s="31"/>
      <c r="JI246" s="31"/>
      <c r="JJ246" s="31"/>
      <c r="JK246" s="31"/>
      <c r="JL246" s="31"/>
      <c r="JM246" s="31"/>
      <c r="JN246" s="31"/>
      <c r="JO246" s="31"/>
      <c r="JP246" s="31"/>
      <c r="JQ246" s="31"/>
      <c r="JR246" s="31"/>
      <c r="JS246" s="31"/>
      <c r="JT246" s="31"/>
      <c r="JU246" s="31"/>
      <c r="JV246" s="31"/>
      <c r="JW246" s="31"/>
      <c r="JX246" s="31"/>
      <c r="JY246" s="31"/>
      <c r="JZ246" s="31"/>
      <c r="KA246" s="31"/>
      <c r="KB246" s="31"/>
      <c r="KC246" s="31"/>
      <c r="KD246" s="31"/>
      <c r="KE246" s="31"/>
      <c r="KF246" s="31"/>
      <c r="KG246" s="31"/>
      <c r="KH246" s="31"/>
      <c r="KI246" s="31"/>
      <c r="KJ246" s="31"/>
      <c r="KK246" s="31"/>
      <c r="KL246" s="31"/>
      <c r="KM246" s="31"/>
      <c r="KN246" s="31"/>
      <c r="KO246" s="31"/>
      <c r="KP246" s="31"/>
      <c r="KQ246" s="31"/>
      <c r="KR246" s="31"/>
      <c r="KS246" s="31"/>
      <c r="KT246" s="31"/>
      <c r="KU246" s="31"/>
      <c r="KV246" s="31"/>
      <c r="KW246" s="31"/>
      <c r="KX246" s="31"/>
      <c r="KY246" s="31"/>
      <c r="KZ246" s="31"/>
      <c r="LA246" s="31"/>
      <c r="LB246" s="31"/>
      <c r="LC246" s="31"/>
      <c r="LD246" s="31"/>
      <c r="LE246" s="31"/>
      <c r="LF246" s="31"/>
      <c r="LG246" s="31"/>
      <c r="LH246" s="31"/>
      <c r="LI246" s="31"/>
      <c r="LJ246" s="31"/>
      <c r="LK246" s="31"/>
      <c r="LL246" s="31"/>
      <c r="LM246" s="31"/>
      <c r="LN246" s="31"/>
      <c r="LO246" s="31"/>
      <c r="LP246" s="31"/>
      <c r="LQ246" s="31"/>
      <c r="LR246" s="31"/>
      <c r="LS246" s="31"/>
      <c r="LT246" s="31"/>
      <c r="LU246" s="31"/>
      <c r="LV246" s="31"/>
      <c r="LW246" s="31"/>
      <c r="LX246" s="31"/>
      <c r="LY246" s="31"/>
      <c r="LZ246" s="31"/>
      <c r="MA246" s="31"/>
      <c r="MB246" s="31"/>
      <c r="MC246" s="31"/>
      <c r="MD246" s="31"/>
      <c r="ME246" s="31"/>
      <c r="MF246" s="31"/>
      <c r="MG246" s="31"/>
      <c r="MH246" s="31"/>
      <c r="MI246" s="31"/>
      <c r="MJ246" s="31"/>
      <c r="MK246" s="31"/>
      <c r="ML246" s="31"/>
      <c r="MM246" s="31"/>
      <c r="MN246" s="31"/>
      <c r="MO246" s="31"/>
      <c r="MP246" s="31"/>
      <c r="MQ246" s="31"/>
      <c r="MR246" s="31"/>
      <c r="MS246" s="31"/>
      <c r="MT246" s="31"/>
      <c r="MU246" s="31"/>
      <c r="MV246" s="31"/>
      <c r="MW246" s="31"/>
      <c r="MX246" s="31"/>
      <c r="MY246" s="31"/>
      <c r="MZ246" s="31"/>
      <c r="NA246" s="31"/>
      <c r="NB246" s="31"/>
      <c r="NC246" s="31"/>
      <c r="ND246" s="31"/>
      <c r="NE246" s="31"/>
      <c r="NF246" s="31"/>
      <c r="NG246" s="31"/>
      <c r="NH246" s="31"/>
      <c r="NI246" s="31"/>
      <c r="NJ246" s="31"/>
      <c r="NK246" s="31"/>
      <c r="NL246" s="31"/>
      <c r="NM246" s="31"/>
      <c r="NN246" s="31"/>
      <c r="NO246" s="31"/>
      <c r="NP246" s="31"/>
      <c r="NQ246" s="31"/>
      <c r="NR246" s="31"/>
      <c r="NS246" s="31"/>
      <c r="NT246" s="31"/>
      <c r="NU246" s="31"/>
      <c r="NV246" s="31"/>
      <c r="NW246" s="31"/>
      <c r="NX246" s="31"/>
      <c r="NY246" s="31"/>
      <c r="NZ246" s="31"/>
      <c r="OA246" s="31"/>
      <c r="OB246" s="31"/>
      <c r="OC246" s="31"/>
      <c r="OD246" s="31"/>
      <c r="OE246" s="31"/>
      <c r="OF246" s="31"/>
      <c r="OG246" s="31"/>
      <c r="OH246" s="31"/>
      <c r="OI246" s="31"/>
      <c r="OJ246" s="31"/>
      <c r="OK246" s="31"/>
      <c r="OL246" s="31"/>
      <c r="OM246" s="31"/>
      <c r="ON246" s="31"/>
      <c r="OO246" s="31"/>
      <c r="OP246" s="31"/>
      <c r="OQ246" s="31"/>
      <c r="OR246" s="31"/>
      <c r="OS246" s="31"/>
      <c r="OT246" s="31"/>
      <c r="OU246" s="31"/>
      <c r="OV246" s="31"/>
      <c r="OW246" s="31"/>
      <c r="OX246" s="31"/>
      <c r="OY246" s="31"/>
      <c r="OZ246" s="31"/>
      <c r="PA246" s="31"/>
      <c r="PB246" s="31"/>
      <c r="PC246" s="31"/>
      <c r="PD246" s="31"/>
      <c r="PE246" s="31"/>
      <c r="PF246" s="31"/>
      <c r="PG246" s="31"/>
      <c r="PH246" s="31"/>
      <c r="PI246" s="31"/>
      <c r="PJ246" s="31"/>
      <c r="PK246" s="31"/>
      <c r="PL246" s="31"/>
      <c r="PM246" s="31"/>
      <c r="PN246" s="31"/>
      <c r="PO246" s="31"/>
      <c r="PP246" s="31"/>
      <c r="PQ246" s="31"/>
      <c r="PR246" s="31"/>
      <c r="PS246" s="31"/>
      <c r="PT246" s="31"/>
      <c r="PU246" s="31"/>
      <c r="PV246" s="31"/>
      <c r="PW246" s="31"/>
      <c r="PX246" s="31"/>
      <c r="PY246" s="31"/>
      <c r="PZ246" s="31"/>
      <c r="QA246" s="31"/>
      <c r="QB246" s="31"/>
      <c r="QC246" s="31"/>
      <c r="QD246" s="31"/>
      <c r="QE246" s="31"/>
      <c r="QF246" s="31"/>
      <c r="QG246" s="31"/>
      <c r="QH246" s="31"/>
      <c r="QI246" s="31"/>
      <c r="QJ246" s="31"/>
      <c r="QK246" s="31"/>
      <c r="QL246" s="31"/>
      <c r="QM246" s="31"/>
      <c r="QN246" s="31"/>
      <c r="QO246" s="31"/>
      <c r="QP246" s="31"/>
      <c r="QQ246" s="31"/>
      <c r="QR246" s="31"/>
      <c r="QS246" s="31"/>
      <c r="QT246" s="31"/>
      <c r="QU246" s="31"/>
      <c r="QV246" s="31"/>
      <c r="QW246" s="31"/>
      <c r="QX246" s="31"/>
      <c r="QY246" s="31"/>
      <c r="QZ246" s="31"/>
      <c r="RA246" s="31"/>
      <c r="RB246" s="31"/>
      <c r="RC246" s="31"/>
      <c r="RD246" s="31"/>
      <c r="RE246" s="31"/>
      <c r="RF246" s="31"/>
      <c r="RG246" s="31"/>
      <c r="RH246" s="31"/>
      <c r="RI246" s="31"/>
      <c r="RJ246" s="31"/>
      <c r="RK246" s="31"/>
      <c r="RL246" s="31"/>
      <c r="RM246" s="31"/>
      <c r="RN246" s="31"/>
      <c r="RO246" s="31"/>
      <c r="RP246" s="31"/>
      <c r="RQ246" s="31"/>
      <c r="RR246" s="31"/>
      <c r="RS246" s="31"/>
      <c r="RT246" s="31"/>
      <c r="RU246" s="31"/>
      <c r="RV246" s="31"/>
      <c r="RW246" s="31"/>
      <c r="RX246" s="31"/>
      <c r="RY246" s="31"/>
      <c r="RZ246" s="31"/>
      <c r="SA246" s="31"/>
      <c r="SB246" s="31"/>
      <c r="SC246" s="31"/>
      <c r="SD246" s="31"/>
      <c r="SE246" s="31"/>
      <c r="SF246" s="31"/>
      <c r="SG246" s="31"/>
      <c r="SH246" s="31"/>
      <c r="SI246" s="31"/>
      <c r="SJ246" s="31"/>
      <c r="SK246" s="31"/>
      <c r="SL246" s="31"/>
      <c r="SM246" s="31"/>
      <c r="SN246" s="31"/>
      <c r="SO246" s="31"/>
      <c r="SP246" s="31"/>
      <c r="SQ246" s="31"/>
      <c r="SR246" s="31"/>
      <c r="SS246" s="31"/>
      <c r="ST246" s="31"/>
      <c r="SU246" s="31"/>
      <c r="SV246" s="31"/>
      <c r="SW246" s="31"/>
      <c r="SX246" s="31"/>
      <c r="SY246" s="31"/>
      <c r="SZ246" s="31"/>
      <c r="TA246" s="31"/>
      <c r="TB246" s="31"/>
      <c r="TC246" s="31"/>
      <c r="TD246" s="31"/>
      <c r="TE246" s="31"/>
      <c r="TF246" s="31"/>
      <c r="TG246" s="31"/>
      <c r="TH246" s="31"/>
      <c r="TI246" s="31"/>
      <c r="TJ246" s="31"/>
      <c r="TK246" s="31"/>
      <c r="TL246" s="31"/>
      <c r="TM246" s="31"/>
      <c r="TN246" s="31"/>
      <c r="TO246" s="31"/>
      <c r="TP246" s="31"/>
      <c r="TQ246" s="31"/>
      <c r="TR246" s="31"/>
      <c r="TS246" s="31"/>
      <c r="TT246" s="31"/>
      <c r="TU246" s="31"/>
      <c r="TV246" s="31"/>
      <c r="TW246" s="31"/>
      <c r="TX246" s="31"/>
      <c r="TY246" s="31"/>
      <c r="TZ246" s="31"/>
      <c r="UA246" s="31"/>
      <c r="UB246" s="31"/>
      <c r="UC246" s="31"/>
      <c r="UD246" s="31"/>
      <c r="UE246" s="31"/>
      <c r="UF246" s="31"/>
      <c r="UG246" s="33"/>
    </row>
    <row r="247" spans="1:553" ht="37.5" customHeight="1">
      <c r="A247" s="366" t="s">
        <v>15</v>
      </c>
      <c r="B247" s="366"/>
      <c r="C247" s="427" t="s">
        <v>52</v>
      </c>
      <c r="D247" s="376" t="str">
        <f t="shared" si="50"/>
        <v>1</v>
      </c>
      <c r="E247" s="376">
        <v>274</v>
      </c>
      <c r="F247" s="384"/>
      <c r="G247" s="386" t="str">
        <f>G193</f>
        <v>m2</v>
      </c>
      <c r="H247" s="370"/>
      <c r="I247" s="422">
        <v>386</v>
      </c>
      <c r="J247" s="368">
        <v>16000</v>
      </c>
      <c r="K247" s="474"/>
      <c r="L247" s="369">
        <f>I247*J247</f>
        <v>6176000</v>
      </c>
      <c r="M247" s="366"/>
      <c r="N247" s="366"/>
      <c r="O247" s="366"/>
      <c r="P247" s="366"/>
      <c r="Q247" s="1136"/>
      <c r="R247" s="1447"/>
      <c r="S247" s="305"/>
      <c r="T247" s="303"/>
      <c r="U247" s="306"/>
      <c r="V247" s="307"/>
      <c r="W247" s="306"/>
      <c r="X247" s="306"/>
      <c r="Y247" s="306"/>
      <c r="Z247" s="306"/>
      <c r="AA247" s="306"/>
      <c r="AB247" s="306"/>
      <c r="AC247" s="449"/>
      <c r="AD247" s="452"/>
      <c r="AE247" s="452"/>
      <c r="AF247" s="452"/>
      <c r="AG247" s="452"/>
      <c r="AH247" s="452"/>
      <c r="AI247" s="452"/>
      <c r="AJ247" s="452"/>
      <c r="AK247" s="452"/>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106"/>
      <c r="CT247" s="106"/>
      <c r="CU247" s="106"/>
      <c r="CV247" s="106"/>
      <c r="CW247" s="106"/>
      <c r="CX247" s="106"/>
      <c r="CY247" s="106"/>
      <c r="CZ247" s="106"/>
      <c r="DA247" s="106"/>
      <c r="DB247" s="106"/>
      <c r="DC247" s="106"/>
      <c r="DD247" s="106"/>
      <c r="DE247" s="106"/>
      <c r="DF247" s="106"/>
      <c r="DG247" s="106"/>
      <c r="DH247" s="106"/>
      <c r="DI247" s="106"/>
      <c r="DJ247" s="106"/>
      <c r="DK247" s="106"/>
      <c r="DL247" s="106"/>
      <c r="DM247" s="106"/>
      <c r="DN247" s="106"/>
      <c r="DO247" s="106"/>
      <c r="DP247" s="106"/>
      <c r="DQ247" s="106"/>
      <c r="DR247" s="106"/>
      <c r="DS247" s="106"/>
      <c r="DT247" s="106"/>
      <c r="DU247" s="106"/>
      <c r="DV247" s="106"/>
      <c r="DW247" s="106"/>
      <c r="DX247" s="106"/>
      <c r="DY247" s="106"/>
      <c r="DZ247" s="106"/>
      <c r="EA247" s="106"/>
      <c r="EB247" s="106"/>
      <c r="EC247" s="106"/>
      <c r="ED247" s="106"/>
      <c r="EE247" s="106"/>
      <c r="EF247" s="106"/>
      <c r="EG247" s="106"/>
      <c r="EH247" s="106"/>
      <c r="EI247" s="106"/>
      <c r="EJ247" s="106"/>
      <c r="EK247" s="106"/>
      <c r="EL247" s="106"/>
      <c r="EM247" s="106"/>
      <c r="EN247" s="106"/>
      <c r="EO247" s="106"/>
      <c r="EP247" s="106"/>
      <c r="EQ247" s="106"/>
      <c r="ER247" s="106"/>
      <c r="ES247" s="106"/>
      <c r="ET247" s="106"/>
      <c r="EU247" s="106"/>
      <c r="EV247" s="106"/>
      <c r="EW247" s="106"/>
      <c r="EX247" s="106"/>
      <c r="EY247" s="106"/>
      <c r="EZ247" s="106"/>
      <c r="FA247" s="106"/>
      <c r="FB247" s="106"/>
      <c r="FC247" s="106"/>
      <c r="FD247" s="106"/>
      <c r="FE247" s="106"/>
      <c r="FF247" s="106"/>
      <c r="FG247" s="106"/>
      <c r="FH247" s="106"/>
      <c r="FI247" s="106"/>
      <c r="FJ247" s="106"/>
      <c r="FK247" s="106"/>
      <c r="FL247" s="106"/>
      <c r="FM247" s="106"/>
      <c r="FN247" s="106"/>
      <c r="FO247" s="106"/>
      <c r="FP247" s="106"/>
      <c r="FQ247" s="106"/>
      <c r="FR247" s="106"/>
      <c r="FS247" s="106"/>
      <c r="FT247" s="106"/>
      <c r="FU247" s="106"/>
      <c r="FV247" s="106"/>
      <c r="FW247" s="106"/>
      <c r="FX247" s="106"/>
      <c r="FY247" s="106"/>
      <c r="FZ247" s="106"/>
      <c r="GA247" s="106"/>
      <c r="GB247" s="106"/>
      <c r="GC247" s="106"/>
      <c r="GD247" s="106"/>
      <c r="GE247" s="106"/>
      <c r="GF247" s="106"/>
      <c r="GG247" s="106"/>
      <c r="GH247" s="106"/>
      <c r="GI247" s="106"/>
      <c r="GJ247" s="106"/>
      <c r="GK247" s="106"/>
      <c r="GL247" s="106"/>
      <c r="GM247" s="106"/>
      <c r="GN247" s="106"/>
      <c r="GO247" s="106"/>
      <c r="GP247" s="106"/>
      <c r="GQ247" s="106"/>
      <c r="GR247" s="106"/>
      <c r="GS247" s="106"/>
      <c r="GT247" s="106"/>
      <c r="GU247" s="106"/>
      <c r="GV247" s="106"/>
      <c r="GW247" s="106"/>
      <c r="GX247" s="106"/>
      <c r="GY247" s="106"/>
      <c r="GZ247" s="106"/>
      <c r="HA247" s="106"/>
      <c r="HB247" s="106"/>
      <c r="HC247" s="106"/>
      <c r="HD247" s="106"/>
      <c r="HE247" s="106"/>
      <c r="HF247" s="106"/>
      <c r="HG247" s="106"/>
      <c r="HH247" s="106"/>
      <c r="HI247" s="106"/>
      <c r="HJ247" s="106"/>
      <c r="HK247" s="106"/>
      <c r="HL247" s="106"/>
      <c r="HM247" s="106"/>
      <c r="HN247" s="106"/>
      <c r="HO247" s="106"/>
      <c r="HP247" s="106"/>
      <c r="HQ247" s="106"/>
      <c r="HR247" s="106"/>
      <c r="HS247" s="106"/>
      <c r="HT247" s="106"/>
      <c r="HU247" s="106"/>
      <c r="HV247" s="106"/>
      <c r="HW247" s="106"/>
      <c r="HX247" s="106"/>
      <c r="HY247" s="106"/>
      <c r="HZ247" s="106"/>
      <c r="IA247" s="106"/>
      <c r="IB247" s="106"/>
      <c r="IC247" s="106"/>
      <c r="ID247" s="106"/>
      <c r="IE247" s="106"/>
      <c r="IF247" s="106"/>
      <c r="IG247" s="106"/>
      <c r="IH247" s="106"/>
      <c r="II247" s="106"/>
      <c r="IJ247" s="106"/>
      <c r="IK247" s="106"/>
      <c r="IL247" s="106"/>
      <c r="IM247" s="106"/>
      <c r="IN247" s="106"/>
      <c r="IO247" s="106"/>
      <c r="IP247" s="106"/>
      <c r="IQ247" s="106"/>
      <c r="IR247" s="106"/>
      <c r="IS247" s="106"/>
      <c r="IT247" s="106"/>
      <c r="IU247" s="106"/>
      <c r="IV247" s="106"/>
      <c r="IW247" s="106"/>
      <c r="IX247" s="106"/>
      <c r="IY247" s="106"/>
      <c r="IZ247" s="106"/>
      <c r="JA247" s="106"/>
      <c r="JB247" s="106"/>
      <c r="JC247" s="106"/>
      <c r="JD247" s="106"/>
      <c r="JE247" s="106"/>
      <c r="JF247" s="106"/>
      <c r="JG247" s="106"/>
      <c r="JH247" s="106"/>
      <c r="JI247" s="106"/>
      <c r="JJ247" s="106"/>
      <c r="JK247" s="106"/>
      <c r="JL247" s="106"/>
      <c r="JM247" s="106"/>
      <c r="JN247" s="106"/>
      <c r="JO247" s="106"/>
      <c r="JP247" s="106"/>
      <c r="JQ247" s="106"/>
      <c r="JR247" s="106"/>
      <c r="JS247" s="106"/>
      <c r="JT247" s="106"/>
      <c r="JU247" s="106"/>
      <c r="JV247" s="106"/>
      <c r="JW247" s="106"/>
      <c r="JX247" s="106"/>
      <c r="JY247" s="106"/>
      <c r="JZ247" s="106"/>
      <c r="KA247" s="106"/>
      <c r="KB247" s="106"/>
      <c r="KC247" s="106"/>
      <c r="KD247" s="106"/>
      <c r="KE247" s="106"/>
      <c r="KF247" s="106"/>
      <c r="KG247" s="106"/>
      <c r="KH247" s="106"/>
      <c r="KI247" s="106"/>
      <c r="KJ247" s="106"/>
      <c r="KK247" s="106"/>
      <c r="KL247" s="106"/>
      <c r="KM247" s="106"/>
      <c r="KN247" s="106"/>
      <c r="KO247" s="106"/>
      <c r="KP247" s="106"/>
      <c r="KQ247" s="106"/>
      <c r="KR247" s="106"/>
      <c r="KS247" s="106"/>
      <c r="KT247" s="106"/>
      <c r="KU247" s="106"/>
      <c r="KV247" s="106"/>
      <c r="KW247" s="106"/>
      <c r="KX247" s="106"/>
      <c r="KY247" s="106"/>
      <c r="KZ247" s="106"/>
      <c r="LA247" s="106"/>
      <c r="LB247" s="106"/>
      <c r="LC247" s="106"/>
      <c r="LD247" s="106"/>
      <c r="LE247" s="106"/>
      <c r="LF247" s="106"/>
      <c r="LG247" s="106"/>
      <c r="LH247" s="106"/>
      <c r="LI247" s="106"/>
      <c r="LJ247" s="106"/>
      <c r="LK247" s="106"/>
      <c r="LL247" s="106"/>
      <c r="LM247" s="106"/>
      <c r="LN247" s="106"/>
      <c r="LO247" s="106"/>
      <c r="LP247" s="106"/>
      <c r="LQ247" s="106"/>
      <c r="LR247" s="106"/>
      <c r="LS247" s="106"/>
      <c r="LT247" s="106"/>
      <c r="LU247" s="106"/>
      <c r="LV247" s="106"/>
      <c r="LW247" s="106"/>
      <c r="LX247" s="106"/>
      <c r="LY247" s="106"/>
      <c r="LZ247" s="106"/>
      <c r="MA247" s="106"/>
      <c r="MB247" s="106"/>
      <c r="MC247" s="106"/>
      <c r="MD247" s="106"/>
      <c r="ME247" s="106"/>
      <c r="MF247" s="106"/>
      <c r="MG247" s="106"/>
      <c r="MH247" s="106"/>
      <c r="MI247" s="106"/>
      <c r="MJ247" s="106"/>
      <c r="MK247" s="106"/>
      <c r="ML247" s="106"/>
      <c r="MM247" s="106"/>
      <c r="MN247" s="106"/>
      <c r="MO247" s="106"/>
      <c r="MP247" s="106"/>
      <c r="MQ247" s="106"/>
      <c r="MR247" s="106"/>
      <c r="MS247" s="106"/>
      <c r="MT247" s="106"/>
      <c r="MU247" s="106"/>
      <c r="MV247" s="106"/>
      <c r="MW247" s="106"/>
      <c r="MX247" s="106"/>
      <c r="MY247" s="106"/>
      <c r="MZ247" s="106"/>
      <c r="NA247" s="106"/>
      <c r="NB247" s="106"/>
      <c r="NC247" s="106"/>
      <c r="ND247" s="106"/>
      <c r="NE247" s="106"/>
      <c r="NF247" s="106"/>
      <c r="NG247" s="106"/>
      <c r="NH247" s="106"/>
      <c r="NI247" s="106"/>
      <c r="NJ247" s="106"/>
      <c r="NK247" s="106"/>
      <c r="NL247" s="106"/>
      <c r="NM247" s="106"/>
      <c r="NN247" s="106"/>
      <c r="NO247" s="106"/>
      <c r="NP247" s="106"/>
      <c r="NQ247" s="106"/>
      <c r="NR247" s="106"/>
      <c r="NS247" s="106"/>
      <c r="NT247" s="106"/>
      <c r="NU247" s="106"/>
      <c r="NV247" s="106"/>
      <c r="NW247" s="106"/>
      <c r="NX247" s="106"/>
      <c r="NY247" s="106"/>
      <c r="NZ247" s="106"/>
      <c r="OA247" s="106"/>
      <c r="OB247" s="106"/>
      <c r="OC247" s="106"/>
      <c r="OD247" s="106"/>
      <c r="OE247" s="106"/>
      <c r="OF247" s="106"/>
      <c r="OG247" s="106"/>
      <c r="OH247" s="106"/>
      <c r="OI247" s="106"/>
      <c r="OJ247" s="106"/>
      <c r="OK247" s="106"/>
      <c r="OL247" s="106"/>
      <c r="OM247" s="106"/>
      <c r="ON247" s="106"/>
      <c r="OO247" s="106"/>
      <c r="OP247" s="106"/>
      <c r="OQ247" s="106"/>
      <c r="OR247" s="106"/>
      <c r="OS247" s="106"/>
      <c r="OT247" s="106"/>
      <c r="OU247" s="106"/>
      <c r="OV247" s="106"/>
      <c r="OW247" s="106"/>
      <c r="OX247" s="106"/>
      <c r="OY247" s="106"/>
      <c r="OZ247" s="106"/>
      <c r="PA247" s="106"/>
      <c r="PB247" s="106"/>
      <c r="PC247" s="106"/>
      <c r="PD247" s="106"/>
      <c r="PE247" s="106"/>
      <c r="PF247" s="106"/>
      <c r="PG247" s="106"/>
      <c r="PH247" s="106"/>
      <c r="PI247" s="106"/>
      <c r="PJ247" s="106"/>
      <c r="PK247" s="106"/>
      <c r="PL247" s="106"/>
      <c r="PM247" s="106"/>
      <c r="PN247" s="106"/>
      <c r="PO247" s="106"/>
      <c r="PP247" s="106"/>
      <c r="PQ247" s="106"/>
      <c r="PR247" s="106"/>
      <c r="PS247" s="106"/>
      <c r="PT247" s="106"/>
      <c r="PU247" s="106"/>
      <c r="PV247" s="106"/>
      <c r="PW247" s="106"/>
      <c r="PX247" s="106"/>
      <c r="PY247" s="106"/>
      <c r="PZ247" s="106"/>
      <c r="QA247" s="106"/>
      <c r="QB247" s="106"/>
      <c r="QC247" s="106"/>
      <c r="QD247" s="106"/>
      <c r="QE247" s="106"/>
      <c r="QF247" s="106"/>
      <c r="QG247" s="106"/>
      <c r="QH247" s="106"/>
      <c r="QI247" s="106"/>
      <c r="QJ247" s="106"/>
      <c r="QK247" s="106"/>
      <c r="QL247" s="106"/>
      <c r="QM247" s="106"/>
      <c r="QN247" s="106"/>
      <c r="QO247" s="106"/>
      <c r="QP247" s="106"/>
      <c r="QQ247" s="106"/>
      <c r="QR247" s="106"/>
      <c r="QS247" s="106"/>
      <c r="QT247" s="106"/>
      <c r="QU247" s="106"/>
      <c r="QV247" s="106"/>
      <c r="QW247" s="106"/>
      <c r="QX247" s="106"/>
      <c r="QY247" s="106"/>
      <c r="QZ247" s="106"/>
      <c r="RA247" s="106"/>
      <c r="RB247" s="106"/>
      <c r="RC247" s="106"/>
      <c r="RD247" s="106"/>
      <c r="RE247" s="106"/>
      <c r="RF247" s="106"/>
      <c r="RG247" s="106"/>
      <c r="RH247" s="106"/>
      <c r="RI247" s="106"/>
      <c r="RJ247" s="106"/>
      <c r="RK247" s="106"/>
      <c r="RL247" s="106"/>
      <c r="RM247" s="106"/>
      <c r="RN247" s="106"/>
      <c r="RO247" s="106"/>
      <c r="RP247" s="106"/>
      <c r="RQ247" s="106"/>
      <c r="RR247" s="106"/>
      <c r="RS247" s="106"/>
      <c r="RT247" s="106"/>
      <c r="RU247" s="106"/>
      <c r="RV247" s="106"/>
      <c r="RW247" s="106"/>
      <c r="RX247" s="106"/>
      <c r="RY247" s="106"/>
      <c r="RZ247" s="106"/>
      <c r="SA247" s="106"/>
      <c r="SB247" s="106"/>
      <c r="SC247" s="106"/>
      <c r="SD247" s="106"/>
      <c r="SE247" s="106"/>
      <c r="SF247" s="106"/>
      <c r="SG247" s="106"/>
      <c r="SH247" s="106"/>
      <c r="SI247" s="106"/>
      <c r="SJ247" s="106"/>
      <c r="SK247" s="106"/>
      <c r="SL247" s="106"/>
      <c r="SM247" s="106"/>
      <c r="SN247" s="106"/>
      <c r="SO247" s="106"/>
      <c r="SP247" s="106"/>
      <c r="SQ247" s="106"/>
      <c r="SR247" s="106"/>
      <c r="SS247" s="106"/>
      <c r="ST247" s="106"/>
      <c r="SU247" s="106"/>
      <c r="SV247" s="106"/>
      <c r="SW247" s="106"/>
      <c r="SX247" s="106"/>
      <c r="SY247" s="106"/>
      <c r="SZ247" s="106"/>
      <c r="TA247" s="106"/>
      <c r="TB247" s="106"/>
      <c r="TC247" s="106"/>
      <c r="TD247" s="106"/>
      <c r="TE247" s="106"/>
      <c r="TF247" s="106"/>
      <c r="TG247" s="106"/>
      <c r="TH247" s="106"/>
      <c r="TI247" s="106"/>
      <c r="TJ247" s="106"/>
      <c r="TK247" s="106"/>
      <c r="TL247" s="106"/>
      <c r="TM247" s="106"/>
      <c r="TN247" s="106"/>
      <c r="TO247" s="106"/>
      <c r="TP247" s="106"/>
      <c r="TQ247" s="106"/>
      <c r="TR247" s="106"/>
      <c r="TS247" s="106"/>
      <c r="TT247" s="106"/>
      <c r="TU247" s="106"/>
      <c r="TV247" s="106"/>
      <c r="TW247" s="106"/>
      <c r="TX247" s="106"/>
      <c r="TY247" s="106"/>
      <c r="TZ247" s="106"/>
      <c r="UA247" s="106"/>
      <c r="UB247" s="106"/>
      <c r="UC247" s="106"/>
      <c r="UD247" s="106"/>
      <c r="UE247" s="106"/>
      <c r="UF247" s="106"/>
      <c r="UG247" s="33"/>
    </row>
    <row r="248" spans="1:553" ht="30" customHeight="1">
      <c r="A248" s="366"/>
      <c r="B248" s="356"/>
      <c r="C248" s="444" t="s">
        <v>257</v>
      </c>
      <c r="D248" s="492"/>
      <c r="E248" s="445"/>
      <c r="F248" s="444"/>
      <c r="G248" s="366"/>
      <c r="H248" s="370"/>
      <c r="I248" s="422"/>
      <c r="J248" s="368"/>
      <c r="K248" s="388"/>
      <c r="L248" s="369"/>
      <c r="M248" s="366"/>
      <c r="N248" s="366"/>
      <c r="O248" s="366"/>
      <c r="P248" s="366"/>
      <c r="Q248" s="1146"/>
      <c r="R248" s="1447"/>
      <c r="S248" s="435"/>
      <c r="T248" s="436"/>
      <c r="U248" s="304"/>
      <c r="V248" s="393"/>
      <c r="W248" s="304"/>
      <c r="X248" s="304"/>
      <c r="Y248" s="304"/>
      <c r="Z248" s="304"/>
      <c r="AA248" s="304"/>
      <c r="AB248" s="304"/>
      <c r="AC248" s="449"/>
      <c r="AD248" s="452"/>
      <c r="AE248" s="452"/>
      <c r="AF248" s="452"/>
      <c r="AG248" s="452"/>
      <c r="AH248" s="452"/>
      <c r="AI248" s="452"/>
      <c r="AJ248" s="452"/>
      <c r="AK248" s="452"/>
      <c r="AL248" s="106"/>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c r="BJ248" s="31"/>
      <c r="BK248" s="31"/>
      <c r="BL248" s="31"/>
      <c r="BM248" s="31"/>
      <c r="BN248" s="31"/>
      <c r="BO248" s="31"/>
      <c r="BP248" s="31"/>
      <c r="BQ248" s="31"/>
      <c r="BR248" s="31"/>
      <c r="BS248" s="31"/>
      <c r="BT248" s="31"/>
      <c r="BU248" s="31"/>
      <c r="BV248" s="31"/>
      <c r="BW248" s="31"/>
      <c r="BX248" s="31"/>
      <c r="BY248" s="31"/>
      <c r="BZ248" s="31"/>
      <c r="CA248" s="31"/>
      <c r="CB248" s="31"/>
      <c r="CC248" s="31"/>
      <c r="CD248" s="31"/>
      <c r="CE248" s="31"/>
      <c r="CF248" s="31"/>
      <c r="CG248" s="31"/>
      <c r="CH248" s="31"/>
      <c r="CI248" s="31"/>
      <c r="CJ248" s="31"/>
      <c r="CK248" s="31"/>
      <c r="CL248" s="31"/>
      <c r="CM248" s="31"/>
      <c r="CN248" s="31"/>
      <c r="CO248" s="31"/>
      <c r="CP248" s="31"/>
      <c r="CQ248" s="31"/>
      <c r="CR248" s="31"/>
      <c r="CS248" s="31"/>
      <c r="CT248" s="31"/>
      <c r="CU248" s="31"/>
      <c r="CV248" s="31"/>
      <c r="CW248" s="31"/>
      <c r="CX248" s="31"/>
      <c r="CY248" s="31"/>
      <c r="CZ248" s="31"/>
      <c r="DA248" s="31"/>
      <c r="DB248" s="31"/>
      <c r="DC248" s="31"/>
      <c r="DD248" s="31"/>
      <c r="DE248" s="31"/>
      <c r="DF248" s="31"/>
      <c r="DG248" s="31"/>
      <c r="DH248" s="31"/>
      <c r="DI248" s="31"/>
      <c r="DJ248" s="31"/>
      <c r="DK248" s="31"/>
      <c r="DL248" s="31"/>
      <c r="DM248" s="31"/>
      <c r="DN248" s="31"/>
      <c r="DO248" s="31"/>
      <c r="DP248" s="31"/>
      <c r="DQ248" s="31"/>
      <c r="DR248" s="31"/>
      <c r="DS248" s="31"/>
      <c r="DT248" s="31"/>
      <c r="DU248" s="31"/>
      <c r="DV248" s="31"/>
      <c r="DW248" s="31"/>
      <c r="DX248" s="31"/>
      <c r="DY248" s="31"/>
      <c r="DZ248" s="31"/>
      <c r="EA248" s="31"/>
      <c r="EB248" s="31"/>
      <c r="EC248" s="31"/>
      <c r="ED248" s="31"/>
      <c r="EE248" s="31"/>
      <c r="EF248" s="31"/>
      <c r="EG248" s="31"/>
      <c r="EH248" s="31"/>
      <c r="EI248" s="31"/>
      <c r="EJ248" s="31"/>
      <c r="EK248" s="31"/>
      <c r="EL248" s="31"/>
      <c r="EM248" s="31"/>
      <c r="EN248" s="31"/>
      <c r="EO248" s="31"/>
      <c r="EP248" s="31"/>
      <c r="EQ248" s="31"/>
      <c r="ER248" s="31"/>
      <c r="ES248" s="31"/>
      <c r="ET248" s="31"/>
      <c r="EU248" s="31"/>
      <c r="EV248" s="31"/>
      <c r="EW248" s="31"/>
      <c r="EX248" s="31"/>
      <c r="EY248" s="31"/>
      <c r="EZ248" s="31"/>
      <c r="FA248" s="31"/>
      <c r="FB248" s="31"/>
      <c r="FC248" s="31"/>
      <c r="FD248" s="31"/>
      <c r="FE248" s="31"/>
      <c r="FF248" s="31"/>
      <c r="FG248" s="31"/>
      <c r="FH248" s="31"/>
      <c r="FI248" s="31"/>
      <c r="FJ248" s="31"/>
      <c r="FK248" s="31"/>
      <c r="FL248" s="31"/>
      <c r="FM248" s="31"/>
      <c r="FN248" s="31"/>
      <c r="FO248" s="31"/>
      <c r="FP248" s="31"/>
      <c r="FQ248" s="31"/>
      <c r="FR248" s="31"/>
      <c r="FS248" s="31"/>
      <c r="FT248" s="31"/>
      <c r="FU248" s="31"/>
      <c r="FV248" s="31"/>
      <c r="FW248" s="31"/>
      <c r="FX248" s="31"/>
      <c r="FY248" s="31"/>
      <c r="FZ248" s="31"/>
      <c r="GA248" s="31"/>
      <c r="GB248" s="31"/>
      <c r="GC248" s="31"/>
      <c r="GD248" s="31"/>
      <c r="GE248" s="31"/>
      <c r="GF248" s="31"/>
      <c r="GG248" s="31"/>
      <c r="GH248" s="31"/>
      <c r="GI248" s="31"/>
      <c r="GJ248" s="31"/>
      <c r="GK248" s="31"/>
      <c r="GL248" s="31"/>
      <c r="GM248" s="31"/>
      <c r="GN248" s="31"/>
      <c r="GO248" s="31"/>
      <c r="GP248" s="31"/>
      <c r="GQ248" s="31"/>
      <c r="GR248" s="31"/>
      <c r="GS248" s="31"/>
      <c r="GT248" s="31"/>
      <c r="GU248" s="31"/>
      <c r="GV248" s="31"/>
      <c r="GW248" s="31"/>
      <c r="GX248" s="31"/>
      <c r="GY248" s="31"/>
      <c r="GZ248" s="31"/>
      <c r="HA248" s="31"/>
      <c r="HB248" s="31"/>
      <c r="HC248" s="31"/>
      <c r="HD248" s="31"/>
      <c r="HE248" s="31"/>
      <c r="HF248" s="31"/>
      <c r="HG248" s="31"/>
      <c r="HH248" s="31"/>
      <c r="HI248" s="31"/>
      <c r="HJ248" s="31"/>
      <c r="HK248" s="31"/>
      <c r="HL248" s="31"/>
      <c r="HM248" s="31"/>
      <c r="HN248" s="31"/>
      <c r="HO248" s="31"/>
      <c r="HP248" s="31"/>
      <c r="HQ248" s="31"/>
      <c r="HR248" s="31"/>
      <c r="HS248" s="31"/>
      <c r="HT248" s="31"/>
      <c r="HU248" s="31"/>
      <c r="HV248" s="31"/>
      <c r="HW248" s="31"/>
      <c r="HX248" s="31"/>
      <c r="HY248" s="31"/>
      <c r="HZ248" s="31"/>
      <c r="IA248" s="31"/>
      <c r="IB248" s="31"/>
      <c r="IC248" s="31"/>
      <c r="ID248" s="31"/>
      <c r="IE248" s="31"/>
      <c r="IF248" s="31"/>
      <c r="IG248" s="31"/>
      <c r="IH248" s="31"/>
      <c r="II248" s="31"/>
      <c r="IJ248" s="31"/>
      <c r="IK248" s="31"/>
      <c r="IL248" s="31"/>
      <c r="IM248" s="31"/>
      <c r="IN248" s="31"/>
      <c r="IO248" s="31"/>
      <c r="IP248" s="31"/>
      <c r="IQ248" s="31"/>
      <c r="IR248" s="31"/>
      <c r="IS248" s="31"/>
      <c r="IT248" s="31"/>
      <c r="IU248" s="31"/>
      <c r="IV248" s="31"/>
      <c r="IW248" s="31"/>
      <c r="IX248" s="31"/>
      <c r="IY248" s="31"/>
      <c r="IZ248" s="31"/>
      <c r="JA248" s="31"/>
      <c r="JB248" s="31"/>
      <c r="JC248" s="31"/>
      <c r="JD248" s="31"/>
      <c r="JE248" s="31"/>
      <c r="JF248" s="31"/>
      <c r="JG248" s="31"/>
      <c r="JH248" s="31"/>
      <c r="JI248" s="31"/>
      <c r="JJ248" s="31"/>
      <c r="JK248" s="31"/>
      <c r="JL248" s="31"/>
      <c r="JM248" s="31"/>
      <c r="JN248" s="31"/>
      <c r="JO248" s="31"/>
      <c r="JP248" s="31"/>
      <c r="JQ248" s="31"/>
      <c r="JR248" s="31"/>
      <c r="JS248" s="31"/>
      <c r="JT248" s="31"/>
      <c r="JU248" s="31"/>
      <c r="JV248" s="31"/>
      <c r="JW248" s="31"/>
      <c r="JX248" s="31"/>
      <c r="JY248" s="31"/>
      <c r="JZ248" s="31"/>
      <c r="KA248" s="31"/>
      <c r="KB248" s="31"/>
      <c r="KC248" s="31"/>
      <c r="KD248" s="31"/>
      <c r="KE248" s="31"/>
      <c r="KF248" s="31"/>
      <c r="KG248" s="31"/>
      <c r="KH248" s="31"/>
      <c r="KI248" s="31"/>
      <c r="KJ248" s="31"/>
      <c r="KK248" s="31"/>
      <c r="KL248" s="31"/>
      <c r="KM248" s="31"/>
      <c r="KN248" s="31"/>
      <c r="KO248" s="31"/>
      <c r="KP248" s="31"/>
      <c r="KQ248" s="31"/>
      <c r="KR248" s="31"/>
      <c r="KS248" s="31"/>
      <c r="KT248" s="31"/>
      <c r="KU248" s="31"/>
      <c r="KV248" s="31"/>
      <c r="KW248" s="31"/>
      <c r="KX248" s="31"/>
      <c r="KY248" s="31"/>
      <c r="KZ248" s="31"/>
      <c r="LA248" s="31"/>
      <c r="LB248" s="31"/>
      <c r="LC248" s="31"/>
      <c r="LD248" s="31"/>
      <c r="LE248" s="31"/>
      <c r="LF248" s="31"/>
      <c r="LG248" s="31"/>
      <c r="LH248" s="31"/>
      <c r="LI248" s="31"/>
      <c r="LJ248" s="31"/>
      <c r="LK248" s="31"/>
      <c r="LL248" s="31"/>
      <c r="LM248" s="31"/>
      <c r="LN248" s="31"/>
      <c r="LO248" s="31"/>
      <c r="LP248" s="31"/>
      <c r="LQ248" s="31"/>
      <c r="LR248" s="31"/>
      <c r="LS248" s="31"/>
      <c r="LT248" s="31"/>
      <c r="LU248" s="31"/>
      <c r="LV248" s="31"/>
      <c r="LW248" s="31"/>
      <c r="LX248" s="31"/>
      <c r="LY248" s="31"/>
      <c r="LZ248" s="31"/>
      <c r="MA248" s="31"/>
      <c r="MB248" s="31"/>
      <c r="MC248" s="31"/>
      <c r="MD248" s="31"/>
      <c r="ME248" s="31"/>
      <c r="MF248" s="31"/>
      <c r="MG248" s="31"/>
      <c r="MH248" s="31"/>
      <c r="MI248" s="31"/>
      <c r="MJ248" s="31"/>
      <c r="MK248" s="31"/>
      <c r="ML248" s="31"/>
      <c r="MM248" s="31"/>
      <c r="MN248" s="31"/>
      <c r="MO248" s="31"/>
      <c r="MP248" s="31"/>
      <c r="MQ248" s="31"/>
      <c r="MR248" s="31"/>
      <c r="MS248" s="31"/>
      <c r="MT248" s="31"/>
      <c r="MU248" s="31"/>
      <c r="MV248" s="31"/>
      <c r="MW248" s="31"/>
      <c r="MX248" s="31"/>
      <c r="MY248" s="31"/>
      <c r="MZ248" s="31"/>
      <c r="NA248" s="31"/>
      <c r="NB248" s="31"/>
      <c r="NC248" s="31"/>
      <c r="ND248" s="31"/>
      <c r="NE248" s="31"/>
      <c r="NF248" s="31"/>
      <c r="NG248" s="31"/>
      <c r="NH248" s="31"/>
      <c r="NI248" s="31"/>
      <c r="NJ248" s="31"/>
      <c r="NK248" s="31"/>
      <c r="NL248" s="31"/>
      <c r="NM248" s="31"/>
      <c r="NN248" s="31"/>
      <c r="NO248" s="31"/>
      <c r="NP248" s="31"/>
      <c r="NQ248" s="31"/>
      <c r="NR248" s="31"/>
      <c r="NS248" s="31"/>
      <c r="NT248" s="31"/>
      <c r="NU248" s="31"/>
      <c r="NV248" s="31"/>
      <c r="NW248" s="31"/>
      <c r="NX248" s="31"/>
      <c r="NY248" s="31"/>
      <c r="NZ248" s="31"/>
      <c r="OA248" s="31"/>
      <c r="OB248" s="31"/>
      <c r="OC248" s="31"/>
      <c r="OD248" s="31"/>
      <c r="OE248" s="31"/>
      <c r="OF248" s="31"/>
      <c r="OG248" s="31"/>
      <c r="OH248" s="31"/>
      <c r="OI248" s="31"/>
      <c r="OJ248" s="31"/>
      <c r="OK248" s="31"/>
      <c r="OL248" s="31"/>
      <c r="OM248" s="31"/>
      <c r="ON248" s="31"/>
      <c r="OO248" s="31"/>
      <c r="OP248" s="31"/>
      <c r="OQ248" s="31"/>
      <c r="OR248" s="31"/>
      <c r="OS248" s="31"/>
      <c r="OT248" s="31"/>
      <c r="OU248" s="31"/>
      <c r="OV248" s="31"/>
      <c r="OW248" s="31"/>
      <c r="OX248" s="31"/>
      <c r="OY248" s="31"/>
      <c r="OZ248" s="31"/>
      <c r="PA248" s="31"/>
      <c r="PB248" s="31"/>
      <c r="PC248" s="31"/>
      <c r="PD248" s="31"/>
      <c r="PE248" s="31"/>
      <c r="PF248" s="31"/>
      <c r="PG248" s="31"/>
      <c r="PH248" s="31"/>
      <c r="PI248" s="31"/>
      <c r="PJ248" s="31"/>
      <c r="PK248" s="31"/>
      <c r="PL248" s="31"/>
      <c r="PM248" s="31"/>
      <c r="PN248" s="31"/>
      <c r="PO248" s="31"/>
      <c r="PP248" s="31"/>
      <c r="PQ248" s="31"/>
      <c r="PR248" s="31"/>
      <c r="PS248" s="31"/>
      <c r="PT248" s="31"/>
      <c r="PU248" s="31"/>
      <c r="PV248" s="31"/>
      <c r="PW248" s="31"/>
      <c r="PX248" s="31"/>
      <c r="PY248" s="31"/>
      <c r="PZ248" s="31"/>
      <c r="QA248" s="31"/>
      <c r="QB248" s="31"/>
      <c r="QC248" s="31"/>
      <c r="QD248" s="31"/>
      <c r="QE248" s="31"/>
      <c r="QF248" s="31"/>
      <c r="QG248" s="31"/>
      <c r="QH248" s="31"/>
      <c r="QI248" s="31"/>
      <c r="QJ248" s="31"/>
      <c r="QK248" s="31"/>
      <c r="QL248" s="31"/>
      <c r="QM248" s="31"/>
      <c r="QN248" s="31"/>
      <c r="QO248" s="31"/>
      <c r="QP248" s="31"/>
      <c r="QQ248" s="31"/>
      <c r="QR248" s="31"/>
      <c r="QS248" s="31"/>
      <c r="QT248" s="31"/>
      <c r="QU248" s="31"/>
      <c r="QV248" s="31"/>
      <c r="QW248" s="31"/>
      <c r="QX248" s="31"/>
      <c r="QY248" s="31"/>
      <c r="QZ248" s="31"/>
      <c r="RA248" s="31"/>
      <c r="RB248" s="31"/>
      <c r="RC248" s="31"/>
      <c r="RD248" s="31"/>
      <c r="RE248" s="31"/>
      <c r="RF248" s="31"/>
      <c r="RG248" s="31"/>
      <c r="RH248" s="31"/>
      <c r="RI248" s="31"/>
      <c r="RJ248" s="31"/>
      <c r="RK248" s="31"/>
      <c r="RL248" s="31"/>
      <c r="RM248" s="31"/>
      <c r="RN248" s="31"/>
      <c r="RO248" s="31"/>
      <c r="RP248" s="31"/>
      <c r="RQ248" s="31"/>
      <c r="RR248" s="31"/>
      <c r="RS248" s="31"/>
      <c r="RT248" s="31"/>
      <c r="RU248" s="31"/>
      <c r="RV248" s="31"/>
      <c r="RW248" s="31"/>
      <c r="RX248" s="31"/>
      <c r="RY248" s="31"/>
      <c r="RZ248" s="31"/>
      <c r="SA248" s="31"/>
      <c r="SB248" s="31"/>
      <c r="SC248" s="31"/>
      <c r="SD248" s="31"/>
      <c r="SE248" s="31"/>
      <c r="SF248" s="31"/>
      <c r="SG248" s="31"/>
      <c r="SH248" s="31"/>
      <c r="SI248" s="31"/>
      <c r="SJ248" s="31"/>
      <c r="SK248" s="31"/>
      <c r="SL248" s="31"/>
      <c r="SM248" s="31"/>
      <c r="SN248" s="31"/>
      <c r="SO248" s="31"/>
      <c r="SP248" s="31"/>
      <c r="SQ248" s="31"/>
      <c r="SR248" s="31"/>
      <c r="SS248" s="31"/>
      <c r="ST248" s="31"/>
      <c r="SU248" s="31"/>
      <c r="SV248" s="31"/>
      <c r="SW248" s="31"/>
      <c r="SX248" s="31"/>
      <c r="SY248" s="31"/>
      <c r="SZ248" s="31"/>
      <c r="TA248" s="31"/>
      <c r="TB248" s="31"/>
      <c r="TC248" s="31"/>
      <c r="TD248" s="31"/>
      <c r="TE248" s="31"/>
      <c r="TF248" s="31"/>
      <c r="TG248" s="31"/>
      <c r="TH248" s="31"/>
      <c r="TI248" s="31"/>
      <c r="TJ248" s="31"/>
      <c r="TK248" s="31"/>
      <c r="TL248" s="31"/>
      <c r="TM248" s="31"/>
      <c r="TN248" s="31"/>
      <c r="TO248" s="31"/>
      <c r="TP248" s="31"/>
      <c r="TQ248" s="31"/>
      <c r="TR248" s="31"/>
      <c r="TS248" s="31"/>
      <c r="TT248" s="31"/>
      <c r="TU248" s="31"/>
      <c r="TV248" s="31"/>
      <c r="TW248" s="31"/>
      <c r="TX248" s="31"/>
      <c r="TY248" s="31"/>
      <c r="TZ248" s="31"/>
      <c r="UA248" s="31"/>
      <c r="UB248" s="31"/>
      <c r="UC248" s="31"/>
      <c r="UD248" s="31"/>
      <c r="UE248" s="31"/>
      <c r="UF248" s="40"/>
      <c r="UG248" s="39"/>
    </row>
    <row r="249" spans="1:553" s="1262" customFormat="1" ht="48" customHeight="1">
      <c r="A249" s="366" t="s">
        <v>15</v>
      </c>
      <c r="B249" s="366"/>
      <c r="C249" s="427" t="s">
        <v>258</v>
      </c>
      <c r="D249" s="493"/>
      <c r="E249" s="493"/>
      <c r="F249" s="427"/>
      <c r="G249" s="366" t="s">
        <v>46</v>
      </c>
      <c r="H249" s="370"/>
      <c r="I249" s="794">
        <f>(95.03*100/500)*(23-(5-3))*1</f>
        <v>399.12599999999998</v>
      </c>
      <c r="J249" s="368">
        <v>11000</v>
      </c>
      <c r="K249" s="717">
        <v>0.7</v>
      </c>
      <c r="L249" s="369">
        <f t="shared" ref="L249:L260" si="51">ROUND(PRODUCT(I249:K249),0)</f>
        <v>3073270</v>
      </c>
      <c r="M249" s="366"/>
      <c r="N249" s="366"/>
      <c r="O249" s="366"/>
      <c r="P249" s="366"/>
      <c r="Q249" s="1136"/>
      <c r="R249" s="1447"/>
      <c r="S249" s="308"/>
      <c r="T249" s="303"/>
      <c r="U249" s="306"/>
      <c r="V249" s="307"/>
      <c r="W249" s="306"/>
      <c r="X249" s="306"/>
      <c r="Y249" s="306"/>
      <c r="Z249" s="306"/>
      <c r="AA249" s="306"/>
      <c r="AB249" s="306"/>
      <c r="AC249" s="449"/>
      <c r="AD249" s="452"/>
      <c r="AE249" s="452"/>
      <c r="AF249" s="452"/>
      <c r="AG249" s="452"/>
      <c r="AH249" s="452"/>
      <c r="AI249" s="452"/>
      <c r="AJ249" s="452"/>
      <c r="AK249" s="452"/>
      <c r="AL249" s="1259"/>
      <c r="AM249" s="1260"/>
      <c r="AN249" s="1260"/>
      <c r="AO249" s="1260"/>
      <c r="AP249" s="1260"/>
      <c r="AQ249" s="1260"/>
      <c r="AR249" s="1260"/>
      <c r="AS249" s="1260"/>
      <c r="AT249" s="1260"/>
      <c r="AU249" s="1260"/>
      <c r="AV249" s="1260"/>
      <c r="AW249" s="1260"/>
      <c r="AX249" s="1260"/>
      <c r="AY249" s="1260"/>
      <c r="AZ249" s="1260"/>
      <c r="BA249" s="1260"/>
      <c r="BB249" s="1260"/>
      <c r="BC249" s="1260"/>
      <c r="BD249" s="1260"/>
      <c r="BE249" s="1260"/>
      <c r="BF249" s="1260"/>
      <c r="BG249" s="1260"/>
      <c r="BH249" s="1260"/>
      <c r="BI249" s="1260"/>
      <c r="BJ249" s="1260"/>
      <c r="BK249" s="1260"/>
      <c r="BL249" s="1260"/>
      <c r="BM249" s="1260"/>
      <c r="BN249" s="1260"/>
      <c r="BO249" s="1260"/>
      <c r="BP249" s="1260"/>
      <c r="BQ249" s="1260"/>
      <c r="BR249" s="1260"/>
      <c r="BS249" s="1260"/>
      <c r="BT249" s="1260"/>
      <c r="BU249" s="1260"/>
      <c r="BV249" s="1260"/>
      <c r="BW249" s="1260"/>
      <c r="BX249" s="1260"/>
      <c r="BY249" s="1260"/>
      <c r="BZ249" s="1260"/>
      <c r="CA249" s="1260"/>
      <c r="CB249" s="1260"/>
      <c r="CC249" s="1260"/>
      <c r="CD249" s="1260"/>
      <c r="CE249" s="1260"/>
      <c r="CF249" s="1260"/>
      <c r="CG249" s="1260"/>
      <c r="CH249" s="1260"/>
      <c r="CI249" s="1260"/>
      <c r="CJ249" s="1260"/>
      <c r="CK249" s="1260"/>
      <c r="CL249" s="1260"/>
      <c r="CM249" s="1260"/>
      <c r="CN249" s="1260"/>
      <c r="CO249" s="1260"/>
      <c r="CP249" s="1260"/>
      <c r="CQ249" s="1260"/>
      <c r="CR249" s="1260"/>
      <c r="CS249" s="1260"/>
      <c r="CT249" s="1260"/>
      <c r="CU249" s="1260"/>
      <c r="CV249" s="1260"/>
      <c r="CW249" s="1260"/>
      <c r="CX249" s="1260"/>
      <c r="CY249" s="1260"/>
      <c r="CZ249" s="1260"/>
      <c r="DA249" s="1260"/>
      <c r="DB249" s="1260"/>
      <c r="DC249" s="1260"/>
      <c r="DD249" s="1260"/>
      <c r="DE249" s="1260"/>
      <c r="DF249" s="1260"/>
      <c r="DG249" s="1260"/>
      <c r="DH249" s="1260"/>
      <c r="DI249" s="1260"/>
      <c r="DJ249" s="1260"/>
      <c r="DK249" s="1260"/>
      <c r="DL249" s="1260"/>
      <c r="DM249" s="1260"/>
      <c r="DN249" s="1260"/>
      <c r="DO249" s="1260"/>
      <c r="DP249" s="1260"/>
      <c r="DQ249" s="1260"/>
      <c r="DR249" s="1260"/>
      <c r="DS249" s="1260"/>
      <c r="DT249" s="1260"/>
      <c r="DU249" s="1260"/>
      <c r="DV249" s="1260"/>
      <c r="DW249" s="1260"/>
      <c r="DX249" s="1260"/>
      <c r="DY249" s="1260"/>
      <c r="DZ249" s="1260"/>
      <c r="EA249" s="1260"/>
      <c r="EB249" s="1260"/>
      <c r="EC249" s="1260"/>
      <c r="ED249" s="1260"/>
      <c r="EE249" s="1260"/>
      <c r="EF249" s="1260"/>
      <c r="EG249" s="1260"/>
      <c r="EH249" s="1260"/>
      <c r="EI249" s="1260"/>
      <c r="EJ249" s="1260"/>
      <c r="EK249" s="1260"/>
      <c r="EL249" s="1260"/>
      <c r="EM249" s="1260"/>
      <c r="EN249" s="1260"/>
      <c r="EO249" s="1260"/>
      <c r="EP249" s="1260"/>
      <c r="EQ249" s="1260"/>
      <c r="ER249" s="1260"/>
      <c r="ES249" s="1260"/>
      <c r="ET249" s="1260"/>
      <c r="EU249" s="1260"/>
      <c r="EV249" s="1260"/>
      <c r="EW249" s="1260"/>
      <c r="EX249" s="1260"/>
      <c r="EY249" s="1260"/>
      <c r="EZ249" s="1260"/>
      <c r="FA249" s="1260"/>
      <c r="FB249" s="1260"/>
      <c r="FC249" s="1260"/>
      <c r="FD249" s="1260"/>
      <c r="FE249" s="1260"/>
      <c r="FF249" s="1260"/>
      <c r="FG249" s="1260"/>
      <c r="FH249" s="1260"/>
      <c r="FI249" s="1260"/>
      <c r="FJ249" s="1260"/>
      <c r="FK249" s="1260"/>
      <c r="FL249" s="1260"/>
      <c r="FM249" s="1260"/>
      <c r="FN249" s="1260"/>
      <c r="FO249" s="1260"/>
      <c r="FP249" s="1260"/>
      <c r="FQ249" s="1260"/>
      <c r="FR249" s="1260"/>
      <c r="FS249" s="1260"/>
      <c r="FT249" s="1260"/>
      <c r="FU249" s="1260"/>
      <c r="FV249" s="1260"/>
      <c r="FW249" s="1260"/>
      <c r="FX249" s="1260"/>
      <c r="FY249" s="1260"/>
      <c r="FZ249" s="1260"/>
      <c r="GA249" s="1260"/>
      <c r="GB249" s="1260"/>
      <c r="GC249" s="1260"/>
      <c r="GD249" s="1260"/>
      <c r="GE249" s="1260"/>
      <c r="GF249" s="1260"/>
      <c r="GG249" s="1260"/>
      <c r="GH249" s="1260"/>
      <c r="GI249" s="1260"/>
      <c r="GJ249" s="1260"/>
      <c r="GK249" s="1260"/>
      <c r="GL249" s="1260"/>
      <c r="GM249" s="1260"/>
      <c r="GN249" s="1260"/>
      <c r="GO249" s="1260"/>
      <c r="GP249" s="1260"/>
      <c r="GQ249" s="1260"/>
      <c r="GR249" s="1260"/>
      <c r="GS249" s="1260"/>
      <c r="GT249" s="1260"/>
      <c r="GU249" s="1260"/>
      <c r="GV249" s="1260"/>
      <c r="GW249" s="1260"/>
      <c r="GX249" s="1260"/>
      <c r="GY249" s="1260"/>
      <c r="GZ249" s="1260"/>
      <c r="HA249" s="1260"/>
      <c r="HB249" s="1260"/>
      <c r="HC249" s="1260"/>
      <c r="HD249" s="1260"/>
      <c r="HE249" s="1260"/>
      <c r="HF249" s="1260"/>
      <c r="HG249" s="1260"/>
      <c r="HH249" s="1260"/>
      <c r="HI249" s="1260"/>
      <c r="HJ249" s="1260"/>
      <c r="HK249" s="1260"/>
      <c r="HL249" s="1260"/>
      <c r="HM249" s="1260"/>
      <c r="HN249" s="1260"/>
      <c r="HO249" s="1260"/>
      <c r="HP249" s="1260"/>
      <c r="HQ249" s="1260"/>
      <c r="HR249" s="1260"/>
      <c r="HS249" s="1260"/>
      <c r="HT249" s="1260"/>
      <c r="HU249" s="1260"/>
      <c r="HV249" s="1260"/>
      <c r="HW249" s="1260"/>
      <c r="HX249" s="1260"/>
      <c r="HY249" s="1260"/>
      <c r="HZ249" s="1260"/>
      <c r="IA249" s="1260"/>
      <c r="IB249" s="1260"/>
      <c r="IC249" s="1260"/>
      <c r="ID249" s="1260"/>
      <c r="IE249" s="1260"/>
      <c r="IF249" s="1260"/>
      <c r="IG249" s="1260"/>
      <c r="IH249" s="1260"/>
      <c r="II249" s="1260"/>
      <c r="IJ249" s="1260"/>
      <c r="IK249" s="1260"/>
      <c r="IL249" s="1260"/>
      <c r="IM249" s="1260"/>
      <c r="IN249" s="1260"/>
      <c r="IO249" s="1260"/>
      <c r="IP249" s="1260"/>
      <c r="IQ249" s="1260"/>
      <c r="IR249" s="1260"/>
      <c r="IS249" s="1260"/>
      <c r="IT249" s="1260"/>
      <c r="IU249" s="1260"/>
      <c r="IV249" s="1260"/>
      <c r="IW249" s="1260"/>
      <c r="IX249" s="1260"/>
      <c r="IY249" s="1260"/>
      <c r="IZ249" s="1260"/>
      <c r="JA249" s="1260"/>
      <c r="JB249" s="1260"/>
      <c r="JC249" s="1260"/>
      <c r="JD249" s="1260"/>
      <c r="JE249" s="1260"/>
      <c r="JF249" s="1260"/>
      <c r="JG249" s="1260"/>
      <c r="JH249" s="1260"/>
      <c r="JI249" s="1260"/>
      <c r="JJ249" s="1260"/>
      <c r="JK249" s="1260"/>
      <c r="JL249" s="1260"/>
      <c r="JM249" s="1260"/>
      <c r="JN249" s="1260"/>
      <c r="JO249" s="1260"/>
      <c r="JP249" s="1260"/>
      <c r="JQ249" s="1260"/>
      <c r="JR249" s="1260"/>
      <c r="JS249" s="1260"/>
      <c r="JT249" s="1260"/>
      <c r="JU249" s="1260"/>
      <c r="JV249" s="1260"/>
      <c r="JW249" s="1260"/>
      <c r="JX249" s="1260"/>
      <c r="JY249" s="1260"/>
      <c r="JZ249" s="1260"/>
      <c r="KA249" s="1260"/>
      <c r="KB249" s="1260"/>
      <c r="KC249" s="1260"/>
      <c r="KD249" s="1260"/>
      <c r="KE249" s="1260"/>
      <c r="KF249" s="1260"/>
      <c r="KG249" s="1260"/>
      <c r="KH249" s="1260"/>
      <c r="KI249" s="1260"/>
      <c r="KJ249" s="1260"/>
      <c r="KK249" s="1260"/>
      <c r="KL249" s="1260"/>
      <c r="KM249" s="1260"/>
      <c r="KN249" s="1260"/>
      <c r="KO249" s="1260"/>
      <c r="KP249" s="1260"/>
      <c r="KQ249" s="1260"/>
      <c r="KR249" s="1260"/>
      <c r="KS249" s="1260"/>
      <c r="KT249" s="1260"/>
      <c r="KU249" s="1260"/>
      <c r="KV249" s="1260"/>
      <c r="KW249" s="1260"/>
      <c r="KX249" s="1260"/>
      <c r="KY249" s="1260"/>
      <c r="KZ249" s="1260"/>
      <c r="LA249" s="1260"/>
      <c r="LB249" s="1260"/>
      <c r="LC249" s="1260"/>
      <c r="LD249" s="1260"/>
      <c r="LE249" s="1260"/>
      <c r="LF249" s="1260"/>
      <c r="LG249" s="1260"/>
      <c r="LH249" s="1260"/>
      <c r="LI249" s="1260"/>
      <c r="LJ249" s="1260"/>
      <c r="LK249" s="1260"/>
      <c r="LL249" s="1260"/>
      <c r="LM249" s="1260"/>
      <c r="LN249" s="1260"/>
      <c r="LO249" s="1260"/>
      <c r="LP249" s="1260"/>
      <c r="LQ249" s="1260"/>
      <c r="LR249" s="1260"/>
      <c r="LS249" s="1260"/>
      <c r="LT249" s="1260"/>
      <c r="LU249" s="1260"/>
      <c r="LV249" s="1260"/>
      <c r="LW249" s="1260"/>
      <c r="LX249" s="1260"/>
      <c r="LY249" s="1260"/>
      <c r="LZ249" s="1260"/>
      <c r="MA249" s="1260"/>
      <c r="MB249" s="1260"/>
      <c r="MC249" s="1260"/>
      <c r="MD249" s="1260"/>
      <c r="ME249" s="1260"/>
      <c r="MF249" s="1260"/>
      <c r="MG249" s="1260"/>
      <c r="MH249" s="1260"/>
      <c r="MI249" s="1260"/>
      <c r="MJ249" s="1260"/>
      <c r="MK249" s="1260"/>
      <c r="ML249" s="1260"/>
      <c r="MM249" s="1260"/>
      <c r="MN249" s="1260"/>
      <c r="MO249" s="1260"/>
      <c r="MP249" s="1260"/>
      <c r="MQ249" s="1260"/>
      <c r="MR249" s="1260"/>
      <c r="MS249" s="1260"/>
      <c r="MT249" s="1260"/>
      <c r="MU249" s="1260"/>
      <c r="MV249" s="1260"/>
      <c r="MW249" s="1260"/>
      <c r="MX249" s="1260"/>
      <c r="MY249" s="1260"/>
      <c r="MZ249" s="1260"/>
      <c r="NA249" s="1260"/>
      <c r="NB249" s="1260"/>
      <c r="NC249" s="1260"/>
      <c r="ND249" s="1260"/>
      <c r="NE249" s="1260"/>
      <c r="NF249" s="1260"/>
      <c r="NG249" s="1260"/>
      <c r="NH249" s="1260"/>
      <c r="NI249" s="1260"/>
      <c r="NJ249" s="1260"/>
      <c r="NK249" s="1260"/>
      <c r="NL249" s="1260"/>
      <c r="NM249" s="1260"/>
      <c r="NN249" s="1260"/>
      <c r="NO249" s="1260"/>
      <c r="NP249" s="1260"/>
      <c r="NQ249" s="1260"/>
      <c r="NR249" s="1260"/>
      <c r="NS249" s="1260"/>
      <c r="NT249" s="1260"/>
      <c r="NU249" s="1260"/>
      <c r="NV249" s="1260"/>
      <c r="NW249" s="1260"/>
      <c r="NX249" s="1260"/>
      <c r="NY249" s="1260"/>
      <c r="NZ249" s="1260"/>
      <c r="OA249" s="1260"/>
      <c r="OB249" s="1260"/>
      <c r="OC249" s="1260"/>
      <c r="OD249" s="1260"/>
      <c r="OE249" s="1260"/>
      <c r="OF249" s="1260"/>
      <c r="OG249" s="1260"/>
      <c r="OH249" s="1260"/>
      <c r="OI249" s="1260"/>
      <c r="OJ249" s="1260"/>
      <c r="OK249" s="1260"/>
      <c r="OL249" s="1260"/>
      <c r="OM249" s="1260"/>
      <c r="ON249" s="1260"/>
      <c r="OO249" s="1260"/>
      <c r="OP249" s="1260"/>
      <c r="OQ249" s="1260"/>
      <c r="OR249" s="1260"/>
      <c r="OS249" s="1260"/>
      <c r="OT249" s="1260"/>
      <c r="OU249" s="1260"/>
      <c r="OV249" s="1260"/>
      <c r="OW249" s="1260"/>
      <c r="OX249" s="1260"/>
      <c r="OY249" s="1260"/>
      <c r="OZ249" s="1260"/>
      <c r="PA249" s="1260"/>
      <c r="PB249" s="1260"/>
      <c r="PC249" s="1260"/>
      <c r="PD249" s="1260"/>
      <c r="PE249" s="1260"/>
      <c r="PF249" s="1260"/>
      <c r="PG249" s="1260"/>
      <c r="PH249" s="1260"/>
      <c r="PI249" s="1260"/>
      <c r="PJ249" s="1260"/>
      <c r="PK249" s="1260"/>
      <c r="PL249" s="1260"/>
      <c r="PM249" s="1260"/>
      <c r="PN249" s="1260"/>
      <c r="PO249" s="1260"/>
      <c r="PP249" s="1260"/>
      <c r="PQ249" s="1260"/>
      <c r="PR249" s="1260"/>
      <c r="PS249" s="1260"/>
      <c r="PT249" s="1260"/>
      <c r="PU249" s="1260"/>
      <c r="PV249" s="1260"/>
      <c r="PW249" s="1260"/>
      <c r="PX249" s="1260"/>
      <c r="PY249" s="1260"/>
      <c r="PZ249" s="1260"/>
      <c r="QA249" s="1260"/>
      <c r="QB249" s="1260"/>
      <c r="QC249" s="1260"/>
      <c r="QD249" s="1260"/>
      <c r="QE249" s="1260"/>
      <c r="QF249" s="1260"/>
      <c r="QG249" s="1260"/>
      <c r="QH249" s="1260"/>
      <c r="QI249" s="1260"/>
      <c r="QJ249" s="1260"/>
      <c r="QK249" s="1260"/>
      <c r="QL249" s="1260"/>
      <c r="QM249" s="1260"/>
      <c r="QN249" s="1260"/>
      <c r="QO249" s="1260"/>
      <c r="QP249" s="1260"/>
      <c r="QQ249" s="1260"/>
      <c r="QR249" s="1260"/>
      <c r="QS249" s="1260"/>
      <c r="QT249" s="1260"/>
      <c r="QU249" s="1260"/>
      <c r="QV249" s="1260"/>
      <c r="QW249" s="1260"/>
      <c r="QX249" s="1260"/>
      <c r="QY249" s="1260"/>
      <c r="QZ249" s="1260"/>
      <c r="RA249" s="1260"/>
      <c r="RB249" s="1260"/>
      <c r="RC249" s="1260"/>
      <c r="RD249" s="1260"/>
      <c r="RE249" s="1260"/>
      <c r="RF249" s="1260"/>
      <c r="RG249" s="1260"/>
      <c r="RH249" s="1260"/>
      <c r="RI249" s="1260"/>
      <c r="RJ249" s="1260"/>
      <c r="RK249" s="1260"/>
      <c r="RL249" s="1260"/>
      <c r="RM249" s="1260"/>
      <c r="RN249" s="1260"/>
      <c r="RO249" s="1260"/>
      <c r="RP249" s="1260"/>
      <c r="RQ249" s="1260"/>
      <c r="RR249" s="1260"/>
      <c r="RS249" s="1260"/>
      <c r="RT249" s="1260"/>
      <c r="RU249" s="1260"/>
      <c r="RV249" s="1260"/>
      <c r="RW249" s="1260"/>
      <c r="RX249" s="1260"/>
      <c r="RY249" s="1260"/>
      <c r="RZ249" s="1260"/>
      <c r="SA249" s="1260"/>
      <c r="SB249" s="1260"/>
      <c r="SC249" s="1260"/>
      <c r="SD249" s="1260"/>
      <c r="SE249" s="1260"/>
      <c r="SF249" s="1260"/>
      <c r="SG249" s="1260"/>
      <c r="SH249" s="1260"/>
      <c r="SI249" s="1260"/>
      <c r="SJ249" s="1260"/>
      <c r="SK249" s="1260"/>
      <c r="SL249" s="1260"/>
      <c r="SM249" s="1260"/>
      <c r="SN249" s="1260"/>
      <c r="SO249" s="1260"/>
      <c r="SP249" s="1260"/>
      <c r="SQ249" s="1260"/>
      <c r="SR249" s="1260"/>
      <c r="SS249" s="1260"/>
      <c r="ST249" s="1260"/>
      <c r="SU249" s="1260"/>
      <c r="SV249" s="1260"/>
      <c r="SW249" s="1260"/>
      <c r="SX249" s="1260"/>
      <c r="SY249" s="1260"/>
      <c r="SZ249" s="1260"/>
      <c r="TA249" s="1260"/>
      <c r="TB249" s="1260"/>
      <c r="TC249" s="1260"/>
      <c r="TD249" s="1260"/>
      <c r="TE249" s="1260"/>
      <c r="TF249" s="1260"/>
      <c r="TG249" s="1260"/>
      <c r="TH249" s="1260"/>
      <c r="TI249" s="1260"/>
      <c r="TJ249" s="1260"/>
      <c r="TK249" s="1260"/>
      <c r="TL249" s="1260"/>
      <c r="TM249" s="1260"/>
      <c r="TN249" s="1260"/>
      <c r="TO249" s="1260"/>
      <c r="TP249" s="1260"/>
      <c r="TQ249" s="1260"/>
      <c r="TR249" s="1260"/>
      <c r="TS249" s="1260"/>
      <c r="TT249" s="1260"/>
      <c r="TU249" s="1260"/>
      <c r="TV249" s="1260"/>
      <c r="TW249" s="1260"/>
      <c r="TX249" s="1260"/>
      <c r="TY249" s="1260"/>
      <c r="TZ249" s="1260"/>
      <c r="UA249" s="1260"/>
      <c r="UB249" s="1260"/>
      <c r="UC249" s="1260"/>
      <c r="UD249" s="1260"/>
      <c r="UE249" s="1260"/>
      <c r="UF249" s="1260"/>
      <c r="UG249" s="1261"/>
    </row>
    <row r="250" spans="1:553" s="1262" customFormat="1" ht="48" customHeight="1">
      <c r="A250" s="366" t="s">
        <v>15</v>
      </c>
      <c r="B250" s="366"/>
      <c r="C250" s="427" t="s">
        <v>259</v>
      </c>
      <c r="D250" s="493"/>
      <c r="E250" s="493"/>
      <c r="F250" s="427"/>
      <c r="G250" s="366" t="s">
        <v>196</v>
      </c>
      <c r="H250" s="370"/>
      <c r="I250" s="422">
        <f>(31.98*100/400)*(17-(5-3))*1</f>
        <v>119.925</v>
      </c>
      <c r="J250" s="368">
        <v>5800</v>
      </c>
      <c r="K250" s="495">
        <v>0.7</v>
      </c>
      <c r="L250" s="369">
        <f t="shared" ref="L250:L255" si="52">ROUND(PRODUCT(I250:K250),0)</f>
        <v>486896</v>
      </c>
      <c r="M250" s="366"/>
      <c r="N250" s="366"/>
      <c r="O250" s="366"/>
      <c r="P250" s="366"/>
      <c r="Q250" s="1136"/>
      <c r="R250" s="1447"/>
      <c r="S250" s="308"/>
      <c r="T250" s="303"/>
      <c r="U250" s="306"/>
      <c r="V250" s="307"/>
      <c r="W250" s="306"/>
      <c r="X250" s="306"/>
      <c r="Y250" s="306"/>
      <c r="Z250" s="306"/>
      <c r="AA250" s="306"/>
      <c r="AB250" s="306"/>
      <c r="AC250" s="449"/>
      <c r="AD250" s="452"/>
      <c r="AE250" s="452"/>
      <c r="AF250" s="452"/>
      <c r="AG250" s="452"/>
      <c r="AH250" s="452"/>
      <c r="AI250" s="452"/>
      <c r="AJ250" s="452"/>
      <c r="AK250" s="452"/>
      <c r="AL250" s="1259"/>
      <c r="AM250" s="1260"/>
      <c r="AN250" s="1260"/>
      <c r="AO250" s="1260"/>
      <c r="AP250" s="1260"/>
      <c r="AQ250" s="1260"/>
      <c r="AR250" s="1260"/>
      <c r="AS250" s="1260"/>
      <c r="AT250" s="1260"/>
      <c r="AU250" s="1260"/>
      <c r="AV250" s="1260"/>
      <c r="AW250" s="1260"/>
      <c r="AX250" s="1260"/>
      <c r="AY250" s="1260"/>
      <c r="AZ250" s="1260"/>
      <c r="BA250" s="1260"/>
      <c r="BB250" s="1260"/>
      <c r="BC250" s="1260"/>
      <c r="BD250" s="1260"/>
      <c r="BE250" s="1260"/>
      <c r="BF250" s="1260"/>
      <c r="BG250" s="1260"/>
      <c r="BH250" s="1260"/>
      <c r="BI250" s="1260"/>
      <c r="BJ250" s="1260"/>
      <c r="BK250" s="1260"/>
      <c r="BL250" s="1260"/>
      <c r="BM250" s="1260"/>
      <c r="BN250" s="1260"/>
      <c r="BO250" s="1260"/>
      <c r="BP250" s="1260"/>
      <c r="BQ250" s="1260"/>
      <c r="BR250" s="1260"/>
      <c r="BS250" s="1260"/>
      <c r="BT250" s="1260"/>
      <c r="BU250" s="1260"/>
      <c r="BV250" s="1260"/>
      <c r="BW250" s="1260"/>
      <c r="BX250" s="1260"/>
      <c r="BY250" s="1260"/>
      <c r="BZ250" s="1260"/>
      <c r="CA250" s="1260"/>
      <c r="CB250" s="1260"/>
      <c r="CC250" s="1260"/>
      <c r="CD250" s="1260"/>
      <c r="CE250" s="1260"/>
      <c r="CF250" s="1260"/>
      <c r="CG250" s="1260"/>
      <c r="CH250" s="1260"/>
      <c r="CI250" s="1260"/>
      <c r="CJ250" s="1260"/>
      <c r="CK250" s="1260"/>
      <c r="CL250" s="1260"/>
      <c r="CM250" s="1260"/>
      <c r="CN250" s="1260"/>
      <c r="CO250" s="1260"/>
      <c r="CP250" s="1260"/>
      <c r="CQ250" s="1260"/>
      <c r="CR250" s="1260"/>
      <c r="CS250" s="1260"/>
      <c r="CT250" s="1260"/>
      <c r="CU250" s="1260"/>
      <c r="CV250" s="1260"/>
      <c r="CW250" s="1260"/>
      <c r="CX250" s="1260"/>
      <c r="CY250" s="1260"/>
      <c r="CZ250" s="1260"/>
      <c r="DA250" s="1260"/>
      <c r="DB250" s="1260"/>
      <c r="DC250" s="1260"/>
      <c r="DD250" s="1260"/>
      <c r="DE250" s="1260"/>
      <c r="DF250" s="1260"/>
      <c r="DG250" s="1260"/>
      <c r="DH250" s="1260"/>
      <c r="DI250" s="1260"/>
      <c r="DJ250" s="1260"/>
      <c r="DK250" s="1260"/>
      <c r="DL250" s="1260"/>
      <c r="DM250" s="1260"/>
      <c r="DN250" s="1260"/>
      <c r="DO250" s="1260"/>
      <c r="DP250" s="1260"/>
      <c r="DQ250" s="1260"/>
      <c r="DR250" s="1260"/>
      <c r="DS250" s="1260"/>
      <c r="DT250" s="1260"/>
      <c r="DU250" s="1260"/>
      <c r="DV250" s="1260"/>
      <c r="DW250" s="1260"/>
      <c r="DX250" s="1260"/>
      <c r="DY250" s="1260"/>
      <c r="DZ250" s="1260"/>
      <c r="EA250" s="1260"/>
      <c r="EB250" s="1260"/>
      <c r="EC250" s="1260"/>
      <c r="ED250" s="1260"/>
      <c r="EE250" s="1260"/>
      <c r="EF250" s="1260"/>
      <c r="EG250" s="1260"/>
      <c r="EH250" s="1260"/>
      <c r="EI250" s="1260"/>
      <c r="EJ250" s="1260"/>
      <c r="EK250" s="1260"/>
      <c r="EL250" s="1260"/>
      <c r="EM250" s="1260"/>
      <c r="EN250" s="1260"/>
      <c r="EO250" s="1260"/>
      <c r="EP250" s="1260"/>
      <c r="EQ250" s="1260"/>
      <c r="ER250" s="1260"/>
      <c r="ES250" s="1260"/>
      <c r="ET250" s="1260"/>
      <c r="EU250" s="1260"/>
      <c r="EV250" s="1260"/>
      <c r="EW250" s="1260"/>
      <c r="EX250" s="1260"/>
      <c r="EY250" s="1260"/>
      <c r="EZ250" s="1260"/>
      <c r="FA250" s="1260"/>
      <c r="FB250" s="1260"/>
      <c r="FC250" s="1260"/>
      <c r="FD250" s="1260"/>
      <c r="FE250" s="1260"/>
      <c r="FF250" s="1260"/>
      <c r="FG250" s="1260"/>
      <c r="FH250" s="1260"/>
      <c r="FI250" s="1260"/>
      <c r="FJ250" s="1260"/>
      <c r="FK250" s="1260"/>
      <c r="FL250" s="1260"/>
      <c r="FM250" s="1260"/>
      <c r="FN250" s="1260"/>
      <c r="FO250" s="1260"/>
      <c r="FP250" s="1260"/>
      <c r="FQ250" s="1260"/>
      <c r="FR250" s="1260"/>
      <c r="FS250" s="1260"/>
      <c r="FT250" s="1260"/>
      <c r="FU250" s="1260"/>
      <c r="FV250" s="1260"/>
      <c r="FW250" s="1260"/>
      <c r="FX250" s="1260"/>
      <c r="FY250" s="1260"/>
      <c r="FZ250" s="1260"/>
      <c r="GA250" s="1260"/>
      <c r="GB250" s="1260"/>
      <c r="GC250" s="1260"/>
      <c r="GD250" s="1260"/>
      <c r="GE250" s="1260"/>
      <c r="GF250" s="1260"/>
      <c r="GG250" s="1260"/>
      <c r="GH250" s="1260"/>
      <c r="GI250" s="1260"/>
      <c r="GJ250" s="1260"/>
      <c r="GK250" s="1260"/>
      <c r="GL250" s="1260"/>
      <c r="GM250" s="1260"/>
      <c r="GN250" s="1260"/>
      <c r="GO250" s="1260"/>
      <c r="GP250" s="1260"/>
      <c r="GQ250" s="1260"/>
      <c r="GR250" s="1260"/>
      <c r="GS250" s="1260"/>
      <c r="GT250" s="1260"/>
      <c r="GU250" s="1260"/>
      <c r="GV250" s="1260"/>
      <c r="GW250" s="1260"/>
      <c r="GX250" s="1260"/>
      <c r="GY250" s="1260"/>
      <c r="GZ250" s="1260"/>
      <c r="HA250" s="1260"/>
      <c r="HB250" s="1260"/>
      <c r="HC250" s="1260"/>
      <c r="HD250" s="1260"/>
      <c r="HE250" s="1260"/>
      <c r="HF250" s="1260"/>
      <c r="HG250" s="1260"/>
      <c r="HH250" s="1260"/>
      <c r="HI250" s="1260"/>
      <c r="HJ250" s="1260"/>
      <c r="HK250" s="1260"/>
      <c r="HL250" s="1260"/>
      <c r="HM250" s="1260"/>
      <c r="HN250" s="1260"/>
      <c r="HO250" s="1260"/>
      <c r="HP250" s="1260"/>
      <c r="HQ250" s="1260"/>
      <c r="HR250" s="1260"/>
      <c r="HS250" s="1260"/>
      <c r="HT250" s="1260"/>
      <c r="HU250" s="1260"/>
      <c r="HV250" s="1260"/>
      <c r="HW250" s="1260"/>
      <c r="HX250" s="1260"/>
      <c r="HY250" s="1260"/>
      <c r="HZ250" s="1260"/>
      <c r="IA250" s="1260"/>
      <c r="IB250" s="1260"/>
      <c r="IC250" s="1260"/>
      <c r="ID250" s="1260"/>
      <c r="IE250" s="1260"/>
      <c r="IF250" s="1260"/>
      <c r="IG250" s="1260"/>
      <c r="IH250" s="1260"/>
      <c r="II250" s="1260"/>
      <c r="IJ250" s="1260"/>
      <c r="IK250" s="1260"/>
      <c r="IL250" s="1260"/>
      <c r="IM250" s="1260"/>
      <c r="IN250" s="1260"/>
      <c r="IO250" s="1260"/>
      <c r="IP250" s="1260"/>
      <c r="IQ250" s="1260"/>
      <c r="IR250" s="1260"/>
      <c r="IS250" s="1260"/>
      <c r="IT250" s="1260"/>
      <c r="IU250" s="1260"/>
      <c r="IV250" s="1260"/>
      <c r="IW250" s="1260"/>
      <c r="IX250" s="1260"/>
      <c r="IY250" s="1260"/>
      <c r="IZ250" s="1260"/>
      <c r="JA250" s="1260"/>
      <c r="JB250" s="1260"/>
      <c r="JC250" s="1260"/>
      <c r="JD250" s="1260"/>
      <c r="JE250" s="1260"/>
      <c r="JF250" s="1260"/>
      <c r="JG250" s="1260"/>
      <c r="JH250" s="1260"/>
      <c r="JI250" s="1260"/>
      <c r="JJ250" s="1260"/>
      <c r="JK250" s="1260"/>
      <c r="JL250" s="1260"/>
      <c r="JM250" s="1260"/>
      <c r="JN250" s="1260"/>
      <c r="JO250" s="1260"/>
      <c r="JP250" s="1260"/>
      <c r="JQ250" s="1260"/>
      <c r="JR250" s="1260"/>
      <c r="JS250" s="1260"/>
      <c r="JT250" s="1260"/>
      <c r="JU250" s="1260"/>
      <c r="JV250" s="1260"/>
      <c r="JW250" s="1260"/>
      <c r="JX250" s="1260"/>
      <c r="JY250" s="1260"/>
      <c r="JZ250" s="1260"/>
      <c r="KA250" s="1260"/>
      <c r="KB250" s="1260"/>
      <c r="KC250" s="1260"/>
      <c r="KD250" s="1260"/>
      <c r="KE250" s="1260"/>
      <c r="KF250" s="1260"/>
      <c r="KG250" s="1260"/>
      <c r="KH250" s="1260"/>
      <c r="KI250" s="1260"/>
      <c r="KJ250" s="1260"/>
      <c r="KK250" s="1260"/>
      <c r="KL250" s="1260"/>
      <c r="KM250" s="1260"/>
      <c r="KN250" s="1260"/>
      <c r="KO250" s="1260"/>
      <c r="KP250" s="1260"/>
      <c r="KQ250" s="1260"/>
      <c r="KR250" s="1260"/>
      <c r="KS250" s="1260"/>
      <c r="KT250" s="1260"/>
      <c r="KU250" s="1260"/>
      <c r="KV250" s="1260"/>
      <c r="KW250" s="1260"/>
      <c r="KX250" s="1260"/>
      <c r="KY250" s="1260"/>
      <c r="KZ250" s="1260"/>
      <c r="LA250" s="1260"/>
      <c r="LB250" s="1260"/>
      <c r="LC250" s="1260"/>
      <c r="LD250" s="1260"/>
      <c r="LE250" s="1260"/>
      <c r="LF250" s="1260"/>
      <c r="LG250" s="1260"/>
      <c r="LH250" s="1260"/>
      <c r="LI250" s="1260"/>
      <c r="LJ250" s="1260"/>
      <c r="LK250" s="1260"/>
      <c r="LL250" s="1260"/>
      <c r="LM250" s="1260"/>
      <c r="LN250" s="1260"/>
      <c r="LO250" s="1260"/>
      <c r="LP250" s="1260"/>
      <c r="LQ250" s="1260"/>
      <c r="LR250" s="1260"/>
      <c r="LS250" s="1260"/>
      <c r="LT250" s="1260"/>
      <c r="LU250" s="1260"/>
      <c r="LV250" s="1260"/>
      <c r="LW250" s="1260"/>
      <c r="LX250" s="1260"/>
      <c r="LY250" s="1260"/>
      <c r="LZ250" s="1260"/>
      <c r="MA250" s="1260"/>
      <c r="MB250" s="1260"/>
      <c r="MC250" s="1260"/>
      <c r="MD250" s="1260"/>
      <c r="ME250" s="1260"/>
      <c r="MF250" s="1260"/>
      <c r="MG250" s="1260"/>
      <c r="MH250" s="1260"/>
      <c r="MI250" s="1260"/>
      <c r="MJ250" s="1260"/>
      <c r="MK250" s="1260"/>
      <c r="ML250" s="1260"/>
      <c r="MM250" s="1260"/>
      <c r="MN250" s="1260"/>
      <c r="MO250" s="1260"/>
      <c r="MP250" s="1260"/>
      <c r="MQ250" s="1260"/>
      <c r="MR250" s="1260"/>
      <c r="MS250" s="1260"/>
      <c r="MT250" s="1260"/>
      <c r="MU250" s="1260"/>
      <c r="MV250" s="1260"/>
      <c r="MW250" s="1260"/>
      <c r="MX250" s="1260"/>
      <c r="MY250" s="1260"/>
      <c r="MZ250" s="1260"/>
      <c r="NA250" s="1260"/>
      <c r="NB250" s="1260"/>
      <c r="NC250" s="1260"/>
      <c r="ND250" s="1260"/>
      <c r="NE250" s="1260"/>
      <c r="NF250" s="1260"/>
      <c r="NG250" s="1260"/>
      <c r="NH250" s="1260"/>
      <c r="NI250" s="1260"/>
      <c r="NJ250" s="1260"/>
      <c r="NK250" s="1260"/>
      <c r="NL250" s="1260"/>
      <c r="NM250" s="1260"/>
      <c r="NN250" s="1260"/>
      <c r="NO250" s="1260"/>
      <c r="NP250" s="1260"/>
      <c r="NQ250" s="1260"/>
      <c r="NR250" s="1260"/>
      <c r="NS250" s="1260"/>
      <c r="NT250" s="1260"/>
      <c r="NU250" s="1260"/>
      <c r="NV250" s="1260"/>
      <c r="NW250" s="1260"/>
      <c r="NX250" s="1260"/>
      <c r="NY250" s="1260"/>
      <c r="NZ250" s="1260"/>
      <c r="OA250" s="1260"/>
      <c r="OB250" s="1260"/>
      <c r="OC250" s="1260"/>
      <c r="OD250" s="1260"/>
      <c r="OE250" s="1260"/>
      <c r="OF250" s="1260"/>
      <c r="OG250" s="1260"/>
      <c r="OH250" s="1260"/>
      <c r="OI250" s="1260"/>
      <c r="OJ250" s="1260"/>
      <c r="OK250" s="1260"/>
      <c r="OL250" s="1260"/>
      <c r="OM250" s="1260"/>
      <c r="ON250" s="1260"/>
      <c r="OO250" s="1260"/>
      <c r="OP250" s="1260"/>
      <c r="OQ250" s="1260"/>
      <c r="OR250" s="1260"/>
      <c r="OS250" s="1260"/>
      <c r="OT250" s="1260"/>
      <c r="OU250" s="1260"/>
      <c r="OV250" s="1260"/>
      <c r="OW250" s="1260"/>
      <c r="OX250" s="1260"/>
      <c r="OY250" s="1260"/>
      <c r="OZ250" s="1260"/>
      <c r="PA250" s="1260"/>
      <c r="PB250" s="1260"/>
      <c r="PC250" s="1260"/>
      <c r="PD250" s="1260"/>
      <c r="PE250" s="1260"/>
      <c r="PF250" s="1260"/>
      <c r="PG250" s="1260"/>
      <c r="PH250" s="1260"/>
      <c r="PI250" s="1260"/>
      <c r="PJ250" s="1260"/>
      <c r="PK250" s="1260"/>
      <c r="PL250" s="1260"/>
      <c r="PM250" s="1260"/>
      <c r="PN250" s="1260"/>
      <c r="PO250" s="1260"/>
      <c r="PP250" s="1260"/>
      <c r="PQ250" s="1260"/>
      <c r="PR250" s="1260"/>
      <c r="PS250" s="1260"/>
      <c r="PT250" s="1260"/>
      <c r="PU250" s="1260"/>
      <c r="PV250" s="1260"/>
      <c r="PW250" s="1260"/>
      <c r="PX250" s="1260"/>
      <c r="PY250" s="1260"/>
      <c r="PZ250" s="1260"/>
      <c r="QA250" s="1260"/>
      <c r="QB250" s="1260"/>
      <c r="QC250" s="1260"/>
      <c r="QD250" s="1260"/>
      <c r="QE250" s="1260"/>
      <c r="QF250" s="1260"/>
      <c r="QG250" s="1260"/>
      <c r="QH250" s="1260"/>
      <c r="QI250" s="1260"/>
      <c r="QJ250" s="1260"/>
      <c r="QK250" s="1260"/>
      <c r="QL250" s="1260"/>
      <c r="QM250" s="1260"/>
      <c r="QN250" s="1260"/>
      <c r="QO250" s="1260"/>
      <c r="QP250" s="1260"/>
      <c r="QQ250" s="1260"/>
      <c r="QR250" s="1260"/>
      <c r="QS250" s="1260"/>
      <c r="QT250" s="1260"/>
      <c r="QU250" s="1260"/>
      <c r="QV250" s="1260"/>
      <c r="QW250" s="1260"/>
      <c r="QX250" s="1260"/>
      <c r="QY250" s="1260"/>
      <c r="QZ250" s="1260"/>
      <c r="RA250" s="1260"/>
      <c r="RB250" s="1260"/>
      <c r="RC250" s="1260"/>
      <c r="RD250" s="1260"/>
      <c r="RE250" s="1260"/>
      <c r="RF250" s="1260"/>
      <c r="RG250" s="1260"/>
      <c r="RH250" s="1260"/>
      <c r="RI250" s="1260"/>
      <c r="RJ250" s="1260"/>
      <c r="RK250" s="1260"/>
      <c r="RL250" s="1260"/>
      <c r="RM250" s="1260"/>
      <c r="RN250" s="1260"/>
      <c r="RO250" s="1260"/>
      <c r="RP250" s="1260"/>
      <c r="RQ250" s="1260"/>
      <c r="RR250" s="1260"/>
      <c r="RS250" s="1260"/>
      <c r="RT250" s="1260"/>
      <c r="RU250" s="1260"/>
      <c r="RV250" s="1260"/>
      <c r="RW250" s="1260"/>
      <c r="RX250" s="1260"/>
      <c r="RY250" s="1260"/>
      <c r="RZ250" s="1260"/>
      <c r="SA250" s="1260"/>
      <c r="SB250" s="1260"/>
      <c r="SC250" s="1260"/>
      <c r="SD250" s="1260"/>
      <c r="SE250" s="1260"/>
      <c r="SF250" s="1260"/>
      <c r="SG250" s="1260"/>
      <c r="SH250" s="1260"/>
      <c r="SI250" s="1260"/>
      <c r="SJ250" s="1260"/>
      <c r="SK250" s="1260"/>
      <c r="SL250" s="1260"/>
      <c r="SM250" s="1260"/>
      <c r="SN250" s="1260"/>
      <c r="SO250" s="1260"/>
      <c r="SP250" s="1260"/>
      <c r="SQ250" s="1260"/>
      <c r="SR250" s="1260"/>
      <c r="SS250" s="1260"/>
      <c r="ST250" s="1260"/>
      <c r="SU250" s="1260"/>
      <c r="SV250" s="1260"/>
      <c r="SW250" s="1260"/>
      <c r="SX250" s="1260"/>
      <c r="SY250" s="1260"/>
      <c r="SZ250" s="1260"/>
      <c r="TA250" s="1260"/>
      <c r="TB250" s="1260"/>
      <c r="TC250" s="1260"/>
      <c r="TD250" s="1260"/>
      <c r="TE250" s="1260"/>
      <c r="TF250" s="1260"/>
      <c r="TG250" s="1260"/>
      <c r="TH250" s="1260"/>
      <c r="TI250" s="1260"/>
      <c r="TJ250" s="1260"/>
      <c r="TK250" s="1260"/>
      <c r="TL250" s="1260"/>
      <c r="TM250" s="1260"/>
      <c r="TN250" s="1260"/>
      <c r="TO250" s="1260"/>
      <c r="TP250" s="1260"/>
      <c r="TQ250" s="1260"/>
      <c r="TR250" s="1260"/>
      <c r="TS250" s="1260"/>
      <c r="TT250" s="1260"/>
      <c r="TU250" s="1260"/>
      <c r="TV250" s="1260"/>
      <c r="TW250" s="1260"/>
      <c r="TX250" s="1260"/>
      <c r="TY250" s="1260"/>
      <c r="TZ250" s="1260"/>
      <c r="UA250" s="1260"/>
      <c r="UB250" s="1260"/>
      <c r="UC250" s="1260"/>
      <c r="UD250" s="1260"/>
      <c r="UE250" s="1260"/>
      <c r="UF250" s="1260"/>
      <c r="UG250" s="1261"/>
    </row>
    <row r="251" spans="1:553" s="1262" customFormat="1" ht="48" customHeight="1">
      <c r="A251" s="496" t="s">
        <v>15</v>
      </c>
      <c r="B251" s="366"/>
      <c r="C251" s="427" t="s">
        <v>260</v>
      </c>
      <c r="D251" s="493"/>
      <c r="E251" s="493"/>
      <c r="F251" s="427"/>
      <c r="G251" s="386" t="s">
        <v>196</v>
      </c>
      <c r="H251" s="370"/>
      <c r="I251" s="422">
        <f>(75.22*100/500)*(17-(5-3))*1</f>
        <v>225.66</v>
      </c>
      <c r="J251" s="368">
        <v>10800</v>
      </c>
      <c r="K251" s="474">
        <v>0.7</v>
      </c>
      <c r="L251" s="369">
        <f t="shared" si="52"/>
        <v>1705990</v>
      </c>
      <c r="M251" s="366"/>
      <c r="N251" s="366"/>
      <c r="O251" s="366"/>
      <c r="P251" s="366"/>
      <c r="Q251" s="1136"/>
      <c r="R251" s="1447"/>
      <c r="S251" s="308"/>
      <c r="T251" s="303"/>
      <c r="U251" s="306"/>
      <c r="V251" s="307"/>
      <c r="W251" s="306"/>
      <c r="X251" s="306"/>
      <c r="Y251" s="306"/>
      <c r="Z251" s="306"/>
      <c r="AA251" s="306"/>
      <c r="AB251" s="306"/>
      <c r="AC251" s="449"/>
      <c r="AD251" s="452"/>
      <c r="AE251" s="452"/>
      <c r="AF251" s="452"/>
      <c r="AG251" s="452"/>
      <c r="AH251" s="452"/>
      <c r="AI251" s="452"/>
      <c r="AJ251" s="452"/>
      <c r="AK251" s="452"/>
      <c r="AL251" s="1259"/>
      <c r="AM251" s="1260"/>
      <c r="AN251" s="1260"/>
      <c r="AO251" s="1260"/>
      <c r="AP251" s="1260"/>
      <c r="AQ251" s="1260"/>
      <c r="AR251" s="1260"/>
      <c r="AS251" s="1260"/>
      <c r="AT251" s="1260"/>
      <c r="AU251" s="1260"/>
      <c r="AV251" s="1260"/>
      <c r="AW251" s="1260"/>
      <c r="AX251" s="1260"/>
      <c r="AY251" s="1260"/>
      <c r="AZ251" s="1260"/>
      <c r="BA251" s="1260"/>
      <c r="BB251" s="1260"/>
      <c r="BC251" s="1260"/>
      <c r="BD251" s="1260"/>
      <c r="BE251" s="1260"/>
      <c r="BF251" s="1260"/>
      <c r="BG251" s="1260"/>
      <c r="BH251" s="1260"/>
      <c r="BI251" s="1260"/>
      <c r="BJ251" s="1260"/>
      <c r="BK251" s="1260"/>
      <c r="BL251" s="1260"/>
      <c r="BM251" s="1260"/>
      <c r="BN251" s="1260"/>
      <c r="BO251" s="1260"/>
      <c r="BP251" s="1260"/>
      <c r="BQ251" s="1260"/>
      <c r="BR251" s="1260"/>
      <c r="BS251" s="1260"/>
      <c r="BT251" s="1260"/>
      <c r="BU251" s="1260"/>
      <c r="BV251" s="1260"/>
      <c r="BW251" s="1260"/>
      <c r="BX251" s="1260"/>
      <c r="BY251" s="1260"/>
      <c r="BZ251" s="1260"/>
      <c r="CA251" s="1260"/>
      <c r="CB251" s="1260"/>
      <c r="CC251" s="1260"/>
      <c r="CD251" s="1260"/>
      <c r="CE251" s="1260"/>
      <c r="CF251" s="1260"/>
      <c r="CG251" s="1260"/>
      <c r="CH251" s="1260"/>
      <c r="CI251" s="1260"/>
      <c r="CJ251" s="1260"/>
      <c r="CK251" s="1260"/>
      <c r="CL251" s="1260"/>
      <c r="CM251" s="1260"/>
      <c r="CN251" s="1260"/>
      <c r="CO251" s="1260"/>
      <c r="CP251" s="1260"/>
      <c r="CQ251" s="1260"/>
      <c r="CR251" s="1260"/>
      <c r="CS251" s="1260"/>
      <c r="CT251" s="1260"/>
      <c r="CU251" s="1260"/>
      <c r="CV251" s="1260"/>
      <c r="CW251" s="1260"/>
      <c r="CX251" s="1260"/>
      <c r="CY251" s="1260"/>
      <c r="CZ251" s="1260"/>
      <c r="DA251" s="1260"/>
      <c r="DB251" s="1260"/>
      <c r="DC251" s="1260"/>
      <c r="DD251" s="1260"/>
      <c r="DE251" s="1260"/>
      <c r="DF251" s="1260"/>
      <c r="DG251" s="1260"/>
      <c r="DH251" s="1260"/>
      <c r="DI251" s="1260"/>
      <c r="DJ251" s="1260"/>
      <c r="DK251" s="1260"/>
      <c r="DL251" s="1260"/>
      <c r="DM251" s="1260"/>
      <c r="DN251" s="1260"/>
      <c r="DO251" s="1260"/>
      <c r="DP251" s="1260"/>
      <c r="DQ251" s="1260"/>
      <c r="DR251" s="1260"/>
      <c r="DS251" s="1260"/>
      <c r="DT251" s="1260"/>
      <c r="DU251" s="1260"/>
      <c r="DV251" s="1260"/>
      <c r="DW251" s="1260"/>
      <c r="DX251" s="1260"/>
      <c r="DY251" s="1260"/>
      <c r="DZ251" s="1260"/>
      <c r="EA251" s="1260"/>
      <c r="EB251" s="1260"/>
      <c r="EC251" s="1260"/>
      <c r="ED251" s="1260"/>
      <c r="EE251" s="1260"/>
      <c r="EF251" s="1260"/>
      <c r="EG251" s="1260"/>
      <c r="EH251" s="1260"/>
      <c r="EI251" s="1260"/>
      <c r="EJ251" s="1260"/>
      <c r="EK251" s="1260"/>
      <c r="EL251" s="1260"/>
      <c r="EM251" s="1260"/>
      <c r="EN251" s="1260"/>
      <c r="EO251" s="1260"/>
      <c r="EP251" s="1260"/>
      <c r="EQ251" s="1260"/>
      <c r="ER251" s="1260"/>
      <c r="ES251" s="1260"/>
      <c r="ET251" s="1260"/>
      <c r="EU251" s="1260"/>
      <c r="EV251" s="1260"/>
      <c r="EW251" s="1260"/>
      <c r="EX251" s="1260"/>
      <c r="EY251" s="1260"/>
      <c r="EZ251" s="1260"/>
      <c r="FA251" s="1260"/>
      <c r="FB251" s="1260"/>
      <c r="FC251" s="1260"/>
      <c r="FD251" s="1260"/>
      <c r="FE251" s="1260"/>
      <c r="FF251" s="1260"/>
      <c r="FG251" s="1260"/>
      <c r="FH251" s="1260"/>
      <c r="FI251" s="1260"/>
      <c r="FJ251" s="1260"/>
      <c r="FK251" s="1260"/>
      <c r="FL251" s="1260"/>
      <c r="FM251" s="1260"/>
      <c r="FN251" s="1260"/>
      <c r="FO251" s="1260"/>
      <c r="FP251" s="1260"/>
      <c r="FQ251" s="1260"/>
      <c r="FR251" s="1260"/>
      <c r="FS251" s="1260"/>
      <c r="FT251" s="1260"/>
      <c r="FU251" s="1260"/>
      <c r="FV251" s="1260"/>
      <c r="FW251" s="1260"/>
      <c r="FX251" s="1260"/>
      <c r="FY251" s="1260"/>
      <c r="FZ251" s="1260"/>
      <c r="GA251" s="1260"/>
      <c r="GB251" s="1260"/>
      <c r="GC251" s="1260"/>
      <c r="GD251" s="1260"/>
      <c r="GE251" s="1260"/>
      <c r="GF251" s="1260"/>
      <c r="GG251" s="1260"/>
      <c r="GH251" s="1260"/>
      <c r="GI251" s="1260"/>
      <c r="GJ251" s="1260"/>
      <c r="GK251" s="1260"/>
      <c r="GL251" s="1260"/>
      <c r="GM251" s="1260"/>
      <c r="GN251" s="1260"/>
      <c r="GO251" s="1260"/>
      <c r="GP251" s="1260"/>
      <c r="GQ251" s="1260"/>
      <c r="GR251" s="1260"/>
      <c r="GS251" s="1260"/>
      <c r="GT251" s="1260"/>
      <c r="GU251" s="1260"/>
      <c r="GV251" s="1260"/>
      <c r="GW251" s="1260"/>
      <c r="GX251" s="1260"/>
      <c r="GY251" s="1260"/>
      <c r="GZ251" s="1260"/>
      <c r="HA251" s="1260"/>
      <c r="HB251" s="1260"/>
      <c r="HC251" s="1260"/>
      <c r="HD251" s="1260"/>
      <c r="HE251" s="1260"/>
      <c r="HF251" s="1260"/>
      <c r="HG251" s="1260"/>
      <c r="HH251" s="1260"/>
      <c r="HI251" s="1260"/>
      <c r="HJ251" s="1260"/>
      <c r="HK251" s="1260"/>
      <c r="HL251" s="1260"/>
      <c r="HM251" s="1260"/>
      <c r="HN251" s="1260"/>
      <c r="HO251" s="1260"/>
      <c r="HP251" s="1260"/>
      <c r="HQ251" s="1260"/>
      <c r="HR251" s="1260"/>
      <c r="HS251" s="1260"/>
      <c r="HT251" s="1260"/>
      <c r="HU251" s="1260"/>
      <c r="HV251" s="1260"/>
      <c r="HW251" s="1260"/>
      <c r="HX251" s="1260"/>
      <c r="HY251" s="1260"/>
      <c r="HZ251" s="1260"/>
      <c r="IA251" s="1260"/>
      <c r="IB251" s="1260"/>
      <c r="IC251" s="1260"/>
      <c r="ID251" s="1260"/>
      <c r="IE251" s="1260"/>
      <c r="IF251" s="1260"/>
      <c r="IG251" s="1260"/>
      <c r="IH251" s="1260"/>
      <c r="II251" s="1260"/>
      <c r="IJ251" s="1260"/>
      <c r="IK251" s="1260"/>
      <c r="IL251" s="1260"/>
      <c r="IM251" s="1260"/>
      <c r="IN251" s="1260"/>
      <c r="IO251" s="1260"/>
      <c r="IP251" s="1260"/>
      <c r="IQ251" s="1260"/>
      <c r="IR251" s="1260"/>
      <c r="IS251" s="1260"/>
      <c r="IT251" s="1260"/>
      <c r="IU251" s="1260"/>
      <c r="IV251" s="1260"/>
      <c r="IW251" s="1260"/>
      <c r="IX251" s="1260"/>
      <c r="IY251" s="1260"/>
      <c r="IZ251" s="1260"/>
      <c r="JA251" s="1260"/>
      <c r="JB251" s="1260"/>
      <c r="JC251" s="1260"/>
      <c r="JD251" s="1260"/>
      <c r="JE251" s="1260"/>
      <c r="JF251" s="1260"/>
      <c r="JG251" s="1260"/>
      <c r="JH251" s="1260"/>
      <c r="JI251" s="1260"/>
      <c r="JJ251" s="1260"/>
      <c r="JK251" s="1260"/>
      <c r="JL251" s="1260"/>
      <c r="JM251" s="1260"/>
      <c r="JN251" s="1260"/>
      <c r="JO251" s="1260"/>
      <c r="JP251" s="1260"/>
      <c r="JQ251" s="1260"/>
      <c r="JR251" s="1260"/>
      <c r="JS251" s="1260"/>
      <c r="JT251" s="1260"/>
      <c r="JU251" s="1260"/>
      <c r="JV251" s="1260"/>
      <c r="JW251" s="1260"/>
      <c r="JX251" s="1260"/>
      <c r="JY251" s="1260"/>
      <c r="JZ251" s="1260"/>
      <c r="KA251" s="1260"/>
      <c r="KB251" s="1260"/>
      <c r="KC251" s="1260"/>
      <c r="KD251" s="1260"/>
      <c r="KE251" s="1260"/>
      <c r="KF251" s="1260"/>
      <c r="KG251" s="1260"/>
      <c r="KH251" s="1260"/>
      <c r="KI251" s="1260"/>
      <c r="KJ251" s="1260"/>
      <c r="KK251" s="1260"/>
      <c r="KL251" s="1260"/>
      <c r="KM251" s="1260"/>
      <c r="KN251" s="1260"/>
      <c r="KO251" s="1260"/>
      <c r="KP251" s="1260"/>
      <c r="KQ251" s="1260"/>
      <c r="KR251" s="1260"/>
      <c r="KS251" s="1260"/>
      <c r="KT251" s="1260"/>
      <c r="KU251" s="1260"/>
      <c r="KV251" s="1260"/>
      <c r="KW251" s="1260"/>
      <c r="KX251" s="1260"/>
      <c r="KY251" s="1260"/>
      <c r="KZ251" s="1260"/>
      <c r="LA251" s="1260"/>
      <c r="LB251" s="1260"/>
      <c r="LC251" s="1260"/>
      <c r="LD251" s="1260"/>
      <c r="LE251" s="1260"/>
      <c r="LF251" s="1260"/>
      <c r="LG251" s="1260"/>
      <c r="LH251" s="1260"/>
      <c r="LI251" s="1260"/>
      <c r="LJ251" s="1260"/>
      <c r="LK251" s="1260"/>
      <c r="LL251" s="1260"/>
      <c r="LM251" s="1260"/>
      <c r="LN251" s="1260"/>
      <c r="LO251" s="1260"/>
      <c r="LP251" s="1260"/>
      <c r="LQ251" s="1260"/>
      <c r="LR251" s="1260"/>
      <c r="LS251" s="1260"/>
      <c r="LT251" s="1260"/>
      <c r="LU251" s="1260"/>
      <c r="LV251" s="1260"/>
      <c r="LW251" s="1260"/>
      <c r="LX251" s="1260"/>
      <c r="LY251" s="1260"/>
      <c r="LZ251" s="1260"/>
      <c r="MA251" s="1260"/>
      <c r="MB251" s="1260"/>
      <c r="MC251" s="1260"/>
      <c r="MD251" s="1260"/>
      <c r="ME251" s="1260"/>
      <c r="MF251" s="1260"/>
      <c r="MG251" s="1260"/>
      <c r="MH251" s="1260"/>
      <c r="MI251" s="1260"/>
      <c r="MJ251" s="1260"/>
      <c r="MK251" s="1260"/>
      <c r="ML251" s="1260"/>
      <c r="MM251" s="1260"/>
      <c r="MN251" s="1260"/>
      <c r="MO251" s="1260"/>
      <c r="MP251" s="1260"/>
      <c r="MQ251" s="1260"/>
      <c r="MR251" s="1260"/>
      <c r="MS251" s="1260"/>
      <c r="MT251" s="1260"/>
      <c r="MU251" s="1260"/>
      <c r="MV251" s="1260"/>
      <c r="MW251" s="1260"/>
      <c r="MX251" s="1260"/>
      <c r="MY251" s="1260"/>
      <c r="MZ251" s="1260"/>
      <c r="NA251" s="1260"/>
      <c r="NB251" s="1260"/>
      <c r="NC251" s="1260"/>
      <c r="ND251" s="1260"/>
      <c r="NE251" s="1260"/>
      <c r="NF251" s="1260"/>
      <c r="NG251" s="1260"/>
      <c r="NH251" s="1260"/>
      <c r="NI251" s="1260"/>
      <c r="NJ251" s="1260"/>
      <c r="NK251" s="1260"/>
      <c r="NL251" s="1260"/>
      <c r="NM251" s="1260"/>
      <c r="NN251" s="1260"/>
      <c r="NO251" s="1260"/>
      <c r="NP251" s="1260"/>
      <c r="NQ251" s="1260"/>
      <c r="NR251" s="1260"/>
      <c r="NS251" s="1260"/>
      <c r="NT251" s="1260"/>
      <c r="NU251" s="1260"/>
      <c r="NV251" s="1260"/>
      <c r="NW251" s="1260"/>
      <c r="NX251" s="1260"/>
      <c r="NY251" s="1260"/>
      <c r="NZ251" s="1260"/>
      <c r="OA251" s="1260"/>
      <c r="OB251" s="1260"/>
      <c r="OC251" s="1260"/>
      <c r="OD251" s="1260"/>
      <c r="OE251" s="1260"/>
      <c r="OF251" s="1260"/>
      <c r="OG251" s="1260"/>
      <c r="OH251" s="1260"/>
      <c r="OI251" s="1260"/>
      <c r="OJ251" s="1260"/>
      <c r="OK251" s="1260"/>
      <c r="OL251" s="1260"/>
      <c r="OM251" s="1260"/>
      <c r="ON251" s="1260"/>
      <c r="OO251" s="1260"/>
      <c r="OP251" s="1260"/>
      <c r="OQ251" s="1260"/>
      <c r="OR251" s="1260"/>
      <c r="OS251" s="1260"/>
      <c r="OT251" s="1260"/>
      <c r="OU251" s="1260"/>
      <c r="OV251" s="1260"/>
      <c r="OW251" s="1260"/>
      <c r="OX251" s="1260"/>
      <c r="OY251" s="1260"/>
      <c r="OZ251" s="1260"/>
      <c r="PA251" s="1260"/>
      <c r="PB251" s="1260"/>
      <c r="PC251" s="1260"/>
      <c r="PD251" s="1260"/>
      <c r="PE251" s="1260"/>
      <c r="PF251" s="1260"/>
      <c r="PG251" s="1260"/>
      <c r="PH251" s="1260"/>
      <c r="PI251" s="1260"/>
      <c r="PJ251" s="1260"/>
      <c r="PK251" s="1260"/>
      <c r="PL251" s="1260"/>
      <c r="PM251" s="1260"/>
      <c r="PN251" s="1260"/>
      <c r="PO251" s="1260"/>
      <c r="PP251" s="1260"/>
      <c r="PQ251" s="1260"/>
      <c r="PR251" s="1260"/>
      <c r="PS251" s="1260"/>
      <c r="PT251" s="1260"/>
      <c r="PU251" s="1260"/>
      <c r="PV251" s="1260"/>
      <c r="PW251" s="1260"/>
      <c r="PX251" s="1260"/>
      <c r="PY251" s="1260"/>
      <c r="PZ251" s="1260"/>
      <c r="QA251" s="1260"/>
      <c r="QB251" s="1260"/>
      <c r="QC251" s="1260"/>
      <c r="QD251" s="1260"/>
      <c r="QE251" s="1260"/>
      <c r="QF251" s="1260"/>
      <c r="QG251" s="1260"/>
      <c r="QH251" s="1260"/>
      <c r="QI251" s="1260"/>
      <c r="QJ251" s="1260"/>
      <c r="QK251" s="1260"/>
      <c r="QL251" s="1260"/>
      <c r="QM251" s="1260"/>
      <c r="QN251" s="1260"/>
      <c r="QO251" s="1260"/>
      <c r="QP251" s="1260"/>
      <c r="QQ251" s="1260"/>
      <c r="QR251" s="1260"/>
      <c r="QS251" s="1260"/>
      <c r="QT251" s="1260"/>
      <c r="QU251" s="1260"/>
      <c r="QV251" s="1260"/>
      <c r="QW251" s="1260"/>
      <c r="QX251" s="1260"/>
      <c r="QY251" s="1260"/>
      <c r="QZ251" s="1260"/>
      <c r="RA251" s="1260"/>
      <c r="RB251" s="1260"/>
      <c r="RC251" s="1260"/>
      <c r="RD251" s="1260"/>
      <c r="RE251" s="1260"/>
      <c r="RF251" s="1260"/>
      <c r="RG251" s="1260"/>
      <c r="RH251" s="1260"/>
      <c r="RI251" s="1260"/>
      <c r="RJ251" s="1260"/>
      <c r="RK251" s="1260"/>
      <c r="RL251" s="1260"/>
      <c r="RM251" s="1260"/>
      <c r="RN251" s="1260"/>
      <c r="RO251" s="1260"/>
      <c r="RP251" s="1260"/>
      <c r="RQ251" s="1260"/>
      <c r="RR251" s="1260"/>
      <c r="RS251" s="1260"/>
      <c r="RT251" s="1260"/>
      <c r="RU251" s="1260"/>
      <c r="RV251" s="1260"/>
      <c r="RW251" s="1260"/>
      <c r="RX251" s="1260"/>
      <c r="RY251" s="1260"/>
      <c r="RZ251" s="1260"/>
      <c r="SA251" s="1260"/>
      <c r="SB251" s="1260"/>
      <c r="SC251" s="1260"/>
      <c r="SD251" s="1260"/>
      <c r="SE251" s="1260"/>
      <c r="SF251" s="1260"/>
      <c r="SG251" s="1260"/>
      <c r="SH251" s="1260"/>
      <c r="SI251" s="1260"/>
      <c r="SJ251" s="1260"/>
      <c r="SK251" s="1260"/>
      <c r="SL251" s="1260"/>
      <c r="SM251" s="1260"/>
      <c r="SN251" s="1260"/>
      <c r="SO251" s="1260"/>
      <c r="SP251" s="1260"/>
      <c r="SQ251" s="1260"/>
      <c r="SR251" s="1260"/>
      <c r="SS251" s="1260"/>
      <c r="ST251" s="1260"/>
      <c r="SU251" s="1260"/>
      <c r="SV251" s="1260"/>
      <c r="SW251" s="1260"/>
      <c r="SX251" s="1260"/>
      <c r="SY251" s="1260"/>
      <c r="SZ251" s="1260"/>
      <c r="TA251" s="1260"/>
      <c r="TB251" s="1260"/>
      <c r="TC251" s="1260"/>
      <c r="TD251" s="1260"/>
      <c r="TE251" s="1260"/>
      <c r="TF251" s="1260"/>
      <c r="TG251" s="1260"/>
      <c r="TH251" s="1260"/>
      <c r="TI251" s="1260"/>
      <c r="TJ251" s="1260"/>
      <c r="TK251" s="1260"/>
      <c r="TL251" s="1260"/>
      <c r="TM251" s="1260"/>
      <c r="TN251" s="1260"/>
      <c r="TO251" s="1260"/>
      <c r="TP251" s="1260"/>
      <c r="TQ251" s="1260"/>
      <c r="TR251" s="1260"/>
      <c r="TS251" s="1260"/>
      <c r="TT251" s="1260"/>
      <c r="TU251" s="1260"/>
      <c r="TV251" s="1260"/>
      <c r="TW251" s="1260"/>
      <c r="TX251" s="1260"/>
      <c r="TY251" s="1260"/>
      <c r="TZ251" s="1260"/>
      <c r="UA251" s="1260"/>
      <c r="UB251" s="1260"/>
      <c r="UC251" s="1260"/>
      <c r="UD251" s="1260"/>
      <c r="UE251" s="1260"/>
      <c r="UF251" s="1260"/>
      <c r="UG251" s="1261"/>
    </row>
    <row r="252" spans="1:553" s="1262" customFormat="1" ht="48" customHeight="1">
      <c r="A252" s="366" t="s">
        <v>15</v>
      </c>
      <c r="B252" s="366"/>
      <c r="C252" s="427" t="s">
        <v>261</v>
      </c>
      <c r="D252" s="493"/>
      <c r="E252" s="493"/>
      <c r="F252" s="427"/>
      <c r="G252" s="386" t="s">
        <v>196</v>
      </c>
      <c r="H252" s="370"/>
      <c r="I252" s="422">
        <f>(45.69*100/625)*(12-(4-3))*2</f>
        <v>160.8288</v>
      </c>
      <c r="J252" s="368">
        <v>10700</v>
      </c>
      <c r="K252" s="474">
        <v>0.7</v>
      </c>
      <c r="L252" s="369">
        <f t="shared" si="52"/>
        <v>1204608</v>
      </c>
      <c r="M252" s="366"/>
      <c r="N252" s="366"/>
      <c r="O252" s="366"/>
      <c r="P252" s="366"/>
      <c r="Q252" s="1136"/>
      <c r="R252" s="1447"/>
      <c r="S252" s="308"/>
      <c r="T252" s="303"/>
      <c r="U252" s="306"/>
      <c r="V252" s="307"/>
      <c r="W252" s="306"/>
      <c r="X252" s="306"/>
      <c r="Y252" s="306"/>
      <c r="Z252" s="306"/>
      <c r="AA252" s="306"/>
      <c r="AB252" s="306"/>
      <c r="AC252" s="449"/>
      <c r="AD252" s="452"/>
      <c r="AE252" s="452"/>
      <c r="AF252" s="452"/>
      <c r="AG252" s="452"/>
      <c r="AH252" s="452"/>
      <c r="AI252" s="452"/>
      <c r="AJ252" s="452"/>
      <c r="AK252" s="452"/>
      <c r="AL252" s="1259"/>
      <c r="AM252" s="1260"/>
      <c r="AN252" s="1260"/>
      <c r="AO252" s="1260"/>
      <c r="AP252" s="1260"/>
      <c r="AQ252" s="1260"/>
      <c r="AR252" s="1260"/>
      <c r="AS252" s="1260"/>
      <c r="AT252" s="1260"/>
      <c r="AU252" s="1260"/>
      <c r="AV252" s="1260"/>
      <c r="AW252" s="1260"/>
      <c r="AX252" s="1260"/>
      <c r="AY252" s="1260"/>
      <c r="AZ252" s="1260"/>
      <c r="BA252" s="1260"/>
      <c r="BB252" s="1260"/>
      <c r="BC252" s="1260"/>
      <c r="BD252" s="1260"/>
      <c r="BE252" s="1260"/>
      <c r="BF252" s="1260"/>
      <c r="BG252" s="1260"/>
      <c r="BH252" s="1260"/>
      <c r="BI252" s="1260"/>
      <c r="BJ252" s="1260"/>
      <c r="BK252" s="1260"/>
      <c r="BL252" s="1260"/>
      <c r="BM252" s="1260"/>
      <c r="BN252" s="1260"/>
      <c r="BO252" s="1260"/>
      <c r="BP252" s="1260"/>
      <c r="BQ252" s="1260"/>
      <c r="BR252" s="1260"/>
      <c r="BS252" s="1260"/>
      <c r="BT252" s="1260"/>
      <c r="BU252" s="1260"/>
      <c r="BV252" s="1260"/>
      <c r="BW252" s="1260"/>
      <c r="BX252" s="1260"/>
      <c r="BY252" s="1260"/>
      <c r="BZ252" s="1260"/>
      <c r="CA252" s="1260"/>
      <c r="CB252" s="1260"/>
      <c r="CC252" s="1260"/>
      <c r="CD252" s="1260"/>
      <c r="CE252" s="1260"/>
      <c r="CF252" s="1260"/>
      <c r="CG252" s="1260"/>
      <c r="CH252" s="1260"/>
      <c r="CI252" s="1260"/>
      <c r="CJ252" s="1260"/>
      <c r="CK252" s="1260"/>
      <c r="CL252" s="1260"/>
      <c r="CM252" s="1260"/>
      <c r="CN252" s="1260"/>
      <c r="CO252" s="1260"/>
      <c r="CP252" s="1260"/>
      <c r="CQ252" s="1260"/>
      <c r="CR252" s="1260"/>
      <c r="CS252" s="1260"/>
      <c r="CT252" s="1260"/>
      <c r="CU252" s="1260"/>
      <c r="CV252" s="1260"/>
      <c r="CW252" s="1260"/>
      <c r="CX252" s="1260"/>
      <c r="CY252" s="1260"/>
      <c r="CZ252" s="1260"/>
      <c r="DA252" s="1260"/>
      <c r="DB252" s="1260"/>
      <c r="DC252" s="1260"/>
      <c r="DD252" s="1260"/>
      <c r="DE252" s="1260"/>
      <c r="DF252" s="1260"/>
      <c r="DG252" s="1260"/>
      <c r="DH252" s="1260"/>
      <c r="DI252" s="1260"/>
      <c r="DJ252" s="1260"/>
      <c r="DK252" s="1260"/>
      <c r="DL252" s="1260"/>
      <c r="DM252" s="1260"/>
      <c r="DN252" s="1260"/>
      <c r="DO252" s="1260"/>
      <c r="DP252" s="1260"/>
      <c r="DQ252" s="1260"/>
      <c r="DR252" s="1260"/>
      <c r="DS252" s="1260"/>
      <c r="DT252" s="1260"/>
      <c r="DU252" s="1260"/>
      <c r="DV252" s="1260"/>
      <c r="DW252" s="1260"/>
      <c r="DX252" s="1260"/>
      <c r="DY252" s="1260"/>
      <c r="DZ252" s="1260"/>
      <c r="EA252" s="1260"/>
      <c r="EB252" s="1260"/>
      <c r="EC252" s="1260"/>
      <c r="ED252" s="1260"/>
      <c r="EE252" s="1260"/>
      <c r="EF252" s="1260"/>
      <c r="EG252" s="1260"/>
      <c r="EH252" s="1260"/>
      <c r="EI252" s="1260"/>
      <c r="EJ252" s="1260"/>
      <c r="EK252" s="1260"/>
      <c r="EL252" s="1260"/>
      <c r="EM252" s="1260"/>
      <c r="EN252" s="1260"/>
      <c r="EO252" s="1260"/>
      <c r="EP252" s="1260"/>
      <c r="EQ252" s="1260"/>
      <c r="ER252" s="1260"/>
      <c r="ES252" s="1260"/>
      <c r="ET252" s="1260"/>
      <c r="EU252" s="1260"/>
      <c r="EV252" s="1260"/>
      <c r="EW252" s="1260"/>
      <c r="EX252" s="1260"/>
      <c r="EY252" s="1260"/>
      <c r="EZ252" s="1260"/>
      <c r="FA252" s="1260"/>
      <c r="FB252" s="1260"/>
      <c r="FC252" s="1260"/>
      <c r="FD252" s="1260"/>
      <c r="FE252" s="1260"/>
      <c r="FF252" s="1260"/>
      <c r="FG252" s="1260"/>
      <c r="FH252" s="1260"/>
      <c r="FI252" s="1260"/>
      <c r="FJ252" s="1260"/>
      <c r="FK252" s="1260"/>
      <c r="FL252" s="1260"/>
      <c r="FM252" s="1260"/>
      <c r="FN252" s="1260"/>
      <c r="FO252" s="1260"/>
      <c r="FP252" s="1260"/>
      <c r="FQ252" s="1260"/>
      <c r="FR252" s="1260"/>
      <c r="FS252" s="1260"/>
      <c r="FT252" s="1260"/>
      <c r="FU252" s="1260"/>
      <c r="FV252" s="1260"/>
      <c r="FW252" s="1260"/>
      <c r="FX252" s="1260"/>
      <c r="FY252" s="1260"/>
      <c r="FZ252" s="1260"/>
      <c r="GA252" s="1260"/>
      <c r="GB252" s="1260"/>
      <c r="GC252" s="1260"/>
      <c r="GD252" s="1260"/>
      <c r="GE252" s="1260"/>
      <c r="GF252" s="1260"/>
      <c r="GG252" s="1260"/>
      <c r="GH252" s="1260"/>
      <c r="GI252" s="1260"/>
      <c r="GJ252" s="1260"/>
      <c r="GK252" s="1260"/>
      <c r="GL252" s="1260"/>
      <c r="GM252" s="1260"/>
      <c r="GN252" s="1260"/>
      <c r="GO252" s="1260"/>
      <c r="GP252" s="1260"/>
      <c r="GQ252" s="1260"/>
      <c r="GR252" s="1260"/>
      <c r="GS252" s="1260"/>
      <c r="GT252" s="1260"/>
      <c r="GU252" s="1260"/>
      <c r="GV252" s="1260"/>
      <c r="GW252" s="1260"/>
      <c r="GX252" s="1260"/>
      <c r="GY252" s="1260"/>
      <c r="GZ252" s="1260"/>
      <c r="HA252" s="1260"/>
      <c r="HB252" s="1260"/>
      <c r="HC252" s="1260"/>
      <c r="HD252" s="1260"/>
      <c r="HE252" s="1260"/>
      <c r="HF252" s="1260"/>
      <c r="HG252" s="1260"/>
      <c r="HH252" s="1260"/>
      <c r="HI252" s="1260"/>
      <c r="HJ252" s="1260"/>
      <c r="HK252" s="1260"/>
      <c r="HL252" s="1260"/>
      <c r="HM252" s="1260"/>
      <c r="HN252" s="1260"/>
      <c r="HO252" s="1260"/>
      <c r="HP252" s="1260"/>
      <c r="HQ252" s="1260"/>
      <c r="HR252" s="1260"/>
      <c r="HS252" s="1260"/>
      <c r="HT252" s="1260"/>
      <c r="HU252" s="1260"/>
      <c r="HV252" s="1260"/>
      <c r="HW252" s="1260"/>
      <c r="HX252" s="1260"/>
      <c r="HY252" s="1260"/>
      <c r="HZ252" s="1260"/>
      <c r="IA252" s="1260"/>
      <c r="IB252" s="1260"/>
      <c r="IC252" s="1260"/>
      <c r="ID252" s="1260"/>
      <c r="IE252" s="1260"/>
      <c r="IF252" s="1260"/>
      <c r="IG252" s="1260"/>
      <c r="IH252" s="1260"/>
      <c r="II252" s="1260"/>
      <c r="IJ252" s="1260"/>
      <c r="IK252" s="1260"/>
      <c r="IL252" s="1260"/>
      <c r="IM252" s="1260"/>
      <c r="IN252" s="1260"/>
      <c r="IO252" s="1260"/>
      <c r="IP252" s="1260"/>
      <c r="IQ252" s="1260"/>
      <c r="IR252" s="1260"/>
      <c r="IS252" s="1260"/>
      <c r="IT252" s="1260"/>
      <c r="IU252" s="1260"/>
      <c r="IV252" s="1260"/>
      <c r="IW252" s="1260"/>
      <c r="IX252" s="1260"/>
      <c r="IY252" s="1260"/>
      <c r="IZ252" s="1260"/>
      <c r="JA252" s="1260"/>
      <c r="JB252" s="1260"/>
      <c r="JC252" s="1260"/>
      <c r="JD252" s="1260"/>
      <c r="JE252" s="1260"/>
      <c r="JF252" s="1260"/>
      <c r="JG252" s="1260"/>
      <c r="JH252" s="1260"/>
      <c r="JI252" s="1260"/>
      <c r="JJ252" s="1260"/>
      <c r="JK252" s="1260"/>
      <c r="JL252" s="1260"/>
      <c r="JM252" s="1260"/>
      <c r="JN252" s="1260"/>
      <c r="JO252" s="1260"/>
      <c r="JP252" s="1260"/>
      <c r="JQ252" s="1260"/>
      <c r="JR252" s="1260"/>
      <c r="JS252" s="1260"/>
      <c r="JT252" s="1260"/>
      <c r="JU252" s="1260"/>
      <c r="JV252" s="1260"/>
      <c r="JW252" s="1260"/>
      <c r="JX252" s="1260"/>
      <c r="JY252" s="1260"/>
      <c r="JZ252" s="1260"/>
      <c r="KA252" s="1260"/>
      <c r="KB252" s="1260"/>
      <c r="KC252" s="1260"/>
      <c r="KD252" s="1260"/>
      <c r="KE252" s="1260"/>
      <c r="KF252" s="1260"/>
      <c r="KG252" s="1260"/>
      <c r="KH252" s="1260"/>
      <c r="KI252" s="1260"/>
      <c r="KJ252" s="1260"/>
      <c r="KK252" s="1260"/>
      <c r="KL252" s="1260"/>
      <c r="KM252" s="1260"/>
      <c r="KN252" s="1260"/>
      <c r="KO252" s="1260"/>
      <c r="KP252" s="1260"/>
      <c r="KQ252" s="1260"/>
      <c r="KR252" s="1260"/>
      <c r="KS252" s="1260"/>
      <c r="KT252" s="1260"/>
      <c r="KU252" s="1260"/>
      <c r="KV252" s="1260"/>
      <c r="KW252" s="1260"/>
      <c r="KX252" s="1260"/>
      <c r="KY252" s="1260"/>
      <c r="KZ252" s="1260"/>
      <c r="LA252" s="1260"/>
      <c r="LB252" s="1260"/>
      <c r="LC252" s="1260"/>
      <c r="LD252" s="1260"/>
      <c r="LE252" s="1260"/>
      <c r="LF252" s="1260"/>
      <c r="LG252" s="1260"/>
      <c r="LH252" s="1260"/>
      <c r="LI252" s="1260"/>
      <c r="LJ252" s="1260"/>
      <c r="LK252" s="1260"/>
      <c r="LL252" s="1260"/>
      <c r="LM252" s="1260"/>
      <c r="LN252" s="1260"/>
      <c r="LO252" s="1260"/>
      <c r="LP252" s="1260"/>
      <c r="LQ252" s="1260"/>
      <c r="LR252" s="1260"/>
      <c r="LS252" s="1260"/>
      <c r="LT252" s="1260"/>
      <c r="LU252" s="1260"/>
      <c r="LV252" s="1260"/>
      <c r="LW252" s="1260"/>
      <c r="LX252" s="1260"/>
      <c r="LY252" s="1260"/>
      <c r="LZ252" s="1260"/>
      <c r="MA252" s="1260"/>
      <c r="MB252" s="1260"/>
      <c r="MC252" s="1260"/>
      <c r="MD252" s="1260"/>
      <c r="ME252" s="1260"/>
      <c r="MF252" s="1260"/>
      <c r="MG252" s="1260"/>
      <c r="MH252" s="1260"/>
      <c r="MI252" s="1260"/>
      <c r="MJ252" s="1260"/>
      <c r="MK252" s="1260"/>
      <c r="ML252" s="1260"/>
      <c r="MM252" s="1260"/>
      <c r="MN252" s="1260"/>
      <c r="MO252" s="1260"/>
      <c r="MP252" s="1260"/>
      <c r="MQ252" s="1260"/>
      <c r="MR252" s="1260"/>
      <c r="MS252" s="1260"/>
      <c r="MT252" s="1260"/>
      <c r="MU252" s="1260"/>
      <c r="MV252" s="1260"/>
      <c r="MW252" s="1260"/>
      <c r="MX252" s="1260"/>
      <c r="MY252" s="1260"/>
      <c r="MZ252" s="1260"/>
      <c r="NA252" s="1260"/>
      <c r="NB252" s="1260"/>
      <c r="NC252" s="1260"/>
      <c r="ND252" s="1260"/>
      <c r="NE252" s="1260"/>
      <c r="NF252" s="1260"/>
      <c r="NG252" s="1260"/>
      <c r="NH252" s="1260"/>
      <c r="NI252" s="1260"/>
      <c r="NJ252" s="1260"/>
      <c r="NK252" s="1260"/>
      <c r="NL252" s="1260"/>
      <c r="NM252" s="1260"/>
      <c r="NN252" s="1260"/>
      <c r="NO252" s="1260"/>
      <c r="NP252" s="1260"/>
      <c r="NQ252" s="1260"/>
      <c r="NR252" s="1260"/>
      <c r="NS252" s="1260"/>
      <c r="NT252" s="1260"/>
      <c r="NU252" s="1260"/>
      <c r="NV252" s="1260"/>
      <c r="NW252" s="1260"/>
      <c r="NX252" s="1260"/>
      <c r="NY252" s="1260"/>
      <c r="NZ252" s="1260"/>
      <c r="OA252" s="1260"/>
      <c r="OB252" s="1260"/>
      <c r="OC252" s="1260"/>
      <c r="OD252" s="1260"/>
      <c r="OE252" s="1260"/>
      <c r="OF252" s="1260"/>
      <c r="OG252" s="1260"/>
      <c r="OH252" s="1260"/>
      <c r="OI252" s="1260"/>
      <c r="OJ252" s="1260"/>
      <c r="OK252" s="1260"/>
      <c r="OL252" s="1260"/>
      <c r="OM252" s="1260"/>
      <c r="ON252" s="1260"/>
      <c r="OO252" s="1260"/>
      <c r="OP252" s="1260"/>
      <c r="OQ252" s="1260"/>
      <c r="OR252" s="1260"/>
      <c r="OS252" s="1260"/>
      <c r="OT252" s="1260"/>
      <c r="OU252" s="1260"/>
      <c r="OV252" s="1260"/>
      <c r="OW252" s="1260"/>
      <c r="OX252" s="1260"/>
      <c r="OY252" s="1260"/>
      <c r="OZ252" s="1260"/>
      <c r="PA252" s="1260"/>
      <c r="PB252" s="1260"/>
      <c r="PC252" s="1260"/>
      <c r="PD252" s="1260"/>
      <c r="PE252" s="1260"/>
      <c r="PF252" s="1260"/>
      <c r="PG252" s="1260"/>
      <c r="PH252" s="1260"/>
      <c r="PI252" s="1260"/>
      <c r="PJ252" s="1260"/>
      <c r="PK252" s="1260"/>
      <c r="PL252" s="1260"/>
      <c r="PM252" s="1260"/>
      <c r="PN252" s="1260"/>
      <c r="PO252" s="1260"/>
      <c r="PP252" s="1260"/>
      <c r="PQ252" s="1260"/>
      <c r="PR252" s="1260"/>
      <c r="PS252" s="1260"/>
      <c r="PT252" s="1260"/>
      <c r="PU252" s="1260"/>
      <c r="PV252" s="1260"/>
      <c r="PW252" s="1260"/>
      <c r="PX252" s="1260"/>
      <c r="PY252" s="1260"/>
      <c r="PZ252" s="1260"/>
      <c r="QA252" s="1260"/>
      <c r="QB252" s="1260"/>
      <c r="QC252" s="1260"/>
      <c r="QD252" s="1260"/>
      <c r="QE252" s="1260"/>
      <c r="QF252" s="1260"/>
      <c r="QG252" s="1260"/>
      <c r="QH252" s="1260"/>
      <c r="QI252" s="1260"/>
      <c r="QJ252" s="1260"/>
      <c r="QK252" s="1260"/>
      <c r="QL252" s="1260"/>
      <c r="QM252" s="1260"/>
      <c r="QN252" s="1260"/>
      <c r="QO252" s="1260"/>
      <c r="QP252" s="1260"/>
      <c r="QQ252" s="1260"/>
      <c r="QR252" s="1260"/>
      <c r="QS252" s="1260"/>
      <c r="QT252" s="1260"/>
      <c r="QU252" s="1260"/>
      <c r="QV252" s="1260"/>
      <c r="QW252" s="1260"/>
      <c r="QX252" s="1260"/>
      <c r="QY252" s="1260"/>
      <c r="QZ252" s="1260"/>
      <c r="RA252" s="1260"/>
      <c r="RB252" s="1260"/>
      <c r="RC252" s="1260"/>
      <c r="RD252" s="1260"/>
      <c r="RE252" s="1260"/>
      <c r="RF252" s="1260"/>
      <c r="RG252" s="1260"/>
      <c r="RH252" s="1260"/>
      <c r="RI252" s="1260"/>
      <c r="RJ252" s="1260"/>
      <c r="RK252" s="1260"/>
      <c r="RL252" s="1260"/>
      <c r="RM252" s="1260"/>
      <c r="RN252" s="1260"/>
      <c r="RO252" s="1260"/>
      <c r="RP252" s="1260"/>
      <c r="RQ252" s="1260"/>
      <c r="RR252" s="1260"/>
      <c r="RS252" s="1260"/>
      <c r="RT252" s="1260"/>
      <c r="RU252" s="1260"/>
      <c r="RV252" s="1260"/>
      <c r="RW252" s="1260"/>
      <c r="RX252" s="1260"/>
      <c r="RY252" s="1260"/>
      <c r="RZ252" s="1260"/>
      <c r="SA252" s="1260"/>
      <c r="SB252" s="1260"/>
      <c r="SC252" s="1260"/>
      <c r="SD252" s="1260"/>
      <c r="SE252" s="1260"/>
      <c r="SF252" s="1260"/>
      <c r="SG252" s="1260"/>
      <c r="SH252" s="1260"/>
      <c r="SI252" s="1260"/>
      <c r="SJ252" s="1260"/>
      <c r="SK252" s="1260"/>
      <c r="SL252" s="1260"/>
      <c r="SM252" s="1260"/>
      <c r="SN252" s="1260"/>
      <c r="SO252" s="1260"/>
      <c r="SP252" s="1260"/>
      <c r="SQ252" s="1260"/>
      <c r="SR252" s="1260"/>
      <c r="SS252" s="1260"/>
      <c r="ST252" s="1260"/>
      <c r="SU252" s="1260"/>
      <c r="SV252" s="1260"/>
      <c r="SW252" s="1260"/>
      <c r="SX252" s="1260"/>
      <c r="SY252" s="1260"/>
      <c r="SZ252" s="1260"/>
      <c r="TA252" s="1260"/>
      <c r="TB252" s="1260"/>
      <c r="TC252" s="1260"/>
      <c r="TD252" s="1260"/>
      <c r="TE252" s="1260"/>
      <c r="TF252" s="1260"/>
      <c r="TG252" s="1260"/>
      <c r="TH252" s="1260"/>
      <c r="TI252" s="1260"/>
      <c r="TJ252" s="1260"/>
      <c r="TK252" s="1260"/>
      <c r="TL252" s="1260"/>
      <c r="TM252" s="1260"/>
      <c r="TN252" s="1260"/>
      <c r="TO252" s="1260"/>
      <c r="TP252" s="1260"/>
      <c r="TQ252" s="1260"/>
      <c r="TR252" s="1260"/>
      <c r="TS252" s="1260"/>
      <c r="TT252" s="1260"/>
      <c r="TU252" s="1260"/>
      <c r="TV252" s="1260"/>
      <c r="TW252" s="1260"/>
      <c r="TX252" s="1260"/>
      <c r="TY252" s="1260"/>
      <c r="TZ252" s="1260"/>
      <c r="UA252" s="1260"/>
      <c r="UB252" s="1260"/>
      <c r="UC252" s="1260"/>
      <c r="UD252" s="1260"/>
      <c r="UE252" s="1260"/>
      <c r="UF252" s="1260"/>
      <c r="UG252" s="1261"/>
    </row>
    <row r="253" spans="1:553" s="1262" customFormat="1" ht="48" customHeight="1">
      <c r="A253" s="366" t="s">
        <v>15</v>
      </c>
      <c r="B253" s="366"/>
      <c r="C253" s="427" t="s">
        <v>262</v>
      </c>
      <c r="D253" s="493"/>
      <c r="E253" s="493"/>
      <c r="F253" s="427"/>
      <c r="G253" s="366" t="s">
        <v>196</v>
      </c>
      <c r="H253" s="370"/>
      <c r="I253" s="422">
        <f>(31.98*100/400)*(17-(5-3))*3</f>
        <v>359.77499999999998</v>
      </c>
      <c r="J253" s="368">
        <v>5800</v>
      </c>
      <c r="K253" s="495">
        <v>0.7</v>
      </c>
      <c r="L253" s="369">
        <f t="shared" si="52"/>
        <v>1460687</v>
      </c>
      <c r="M253" s="366"/>
      <c r="N253" s="366"/>
      <c r="O253" s="366"/>
      <c r="P253" s="366"/>
      <c r="Q253" s="1136"/>
      <c r="R253" s="1447"/>
      <c r="S253" s="308"/>
      <c r="T253" s="303"/>
      <c r="U253" s="306"/>
      <c r="V253" s="307"/>
      <c r="W253" s="306"/>
      <c r="X253" s="306"/>
      <c r="Y253" s="306"/>
      <c r="Z253" s="306"/>
      <c r="AA253" s="306"/>
      <c r="AB253" s="306"/>
      <c r="AC253" s="449"/>
      <c r="AD253" s="452"/>
      <c r="AE253" s="452"/>
      <c r="AF253" s="452"/>
      <c r="AG253" s="452"/>
      <c r="AH253" s="452"/>
      <c r="AI253" s="452"/>
      <c r="AJ253" s="452"/>
      <c r="AK253" s="452"/>
      <c r="AL253" s="1259"/>
      <c r="AM253" s="1260"/>
      <c r="AN253" s="1260"/>
      <c r="AO253" s="1260"/>
      <c r="AP253" s="1260"/>
      <c r="AQ253" s="1260"/>
      <c r="AR253" s="1260"/>
      <c r="AS253" s="1260"/>
      <c r="AT253" s="1260"/>
      <c r="AU253" s="1260"/>
      <c r="AV253" s="1260"/>
      <c r="AW253" s="1260"/>
      <c r="AX253" s="1260"/>
      <c r="AY253" s="1260"/>
      <c r="AZ253" s="1260"/>
      <c r="BA253" s="1260"/>
      <c r="BB253" s="1260"/>
      <c r="BC253" s="1260"/>
      <c r="BD253" s="1260"/>
      <c r="BE253" s="1260"/>
      <c r="BF253" s="1260"/>
      <c r="BG253" s="1260"/>
      <c r="BH253" s="1260"/>
      <c r="BI253" s="1260"/>
      <c r="BJ253" s="1260"/>
      <c r="BK253" s="1260"/>
      <c r="BL253" s="1260"/>
      <c r="BM253" s="1260"/>
      <c r="BN253" s="1260"/>
      <c r="BO253" s="1260"/>
      <c r="BP253" s="1260"/>
      <c r="BQ253" s="1260"/>
      <c r="BR253" s="1260"/>
      <c r="BS253" s="1260"/>
      <c r="BT253" s="1260"/>
      <c r="BU253" s="1260"/>
      <c r="BV253" s="1260"/>
      <c r="BW253" s="1260"/>
      <c r="BX253" s="1260"/>
      <c r="BY253" s="1260"/>
      <c r="BZ253" s="1260"/>
      <c r="CA253" s="1260"/>
      <c r="CB253" s="1260"/>
      <c r="CC253" s="1260"/>
      <c r="CD253" s="1260"/>
      <c r="CE253" s="1260"/>
      <c r="CF253" s="1260"/>
      <c r="CG253" s="1260"/>
      <c r="CH253" s="1260"/>
      <c r="CI253" s="1260"/>
      <c r="CJ253" s="1260"/>
      <c r="CK253" s="1260"/>
      <c r="CL253" s="1260"/>
      <c r="CM253" s="1260"/>
      <c r="CN253" s="1260"/>
      <c r="CO253" s="1260"/>
      <c r="CP253" s="1260"/>
      <c r="CQ253" s="1260"/>
      <c r="CR253" s="1260"/>
      <c r="CS253" s="1260"/>
      <c r="CT253" s="1260"/>
      <c r="CU253" s="1260"/>
      <c r="CV253" s="1260"/>
      <c r="CW253" s="1260"/>
      <c r="CX253" s="1260"/>
      <c r="CY253" s="1260"/>
      <c r="CZ253" s="1260"/>
      <c r="DA253" s="1260"/>
      <c r="DB253" s="1260"/>
      <c r="DC253" s="1260"/>
      <c r="DD253" s="1260"/>
      <c r="DE253" s="1260"/>
      <c r="DF253" s="1260"/>
      <c r="DG253" s="1260"/>
      <c r="DH253" s="1260"/>
      <c r="DI253" s="1260"/>
      <c r="DJ253" s="1260"/>
      <c r="DK253" s="1260"/>
      <c r="DL253" s="1260"/>
      <c r="DM253" s="1260"/>
      <c r="DN253" s="1260"/>
      <c r="DO253" s="1260"/>
      <c r="DP253" s="1260"/>
      <c r="DQ253" s="1260"/>
      <c r="DR253" s="1260"/>
      <c r="DS253" s="1260"/>
      <c r="DT253" s="1260"/>
      <c r="DU253" s="1260"/>
      <c r="DV253" s="1260"/>
      <c r="DW253" s="1260"/>
      <c r="DX253" s="1260"/>
      <c r="DY253" s="1260"/>
      <c r="DZ253" s="1260"/>
      <c r="EA253" s="1260"/>
      <c r="EB253" s="1260"/>
      <c r="EC253" s="1260"/>
      <c r="ED253" s="1260"/>
      <c r="EE253" s="1260"/>
      <c r="EF253" s="1260"/>
      <c r="EG253" s="1260"/>
      <c r="EH253" s="1260"/>
      <c r="EI253" s="1260"/>
      <c r="EJ253" s="1260"/>
      <c r="EK253" s="1260"/>
      <c r="EL253" s="1260"/>
      <c r="EM253" s="1260"/>
      <c r="EN253" s="1260"/>
      <c r="EO253" s="1260"/>
      <c r="EP253" s="1260"/>
      <c r="EQ253" s="1260"/>
      <c r="ER253" s="1260"/>
      <c r="ES253" s="1260"/>
      <c r="ET253" s="1260"/>
      <c r="EU253" s="1260"/>
      <c r="EV253" s="1260"/>
      <c r="EW253" s="1260"/>
      <c r="EX253" s="1260"/>
      <c r="EY253" s="1260"/>
      <c r="EZ253" s="1260"/>
      <c r="FA253" s="1260"/>
      <c r="FB253" s="1260"/>
      <c r="FC253" s="1260"/>
      <c r="FD253" s="1260"/>
      <c r="FE253" s="1260"/>
      <c r="FF253" s="1260"/>
      <c r="FG253" s="1260"/>
      <c r="FH253" s="1260"/>
      <c r="FI253" s="1260"/>
      <c r="FJ253" s="1260"/>
      <c r="FK253" s="1260"/>
      <c r="FL253" s="1260"/>
      <c r="FM253" s="1260"/>
      <c r="FN253" s="1260"/>
      <c r="FO253" s="1260"/>
      <c r="FP253" s="1260"/>
      <c r="FQ253" s="1260"/>
      <c r="FR253" s="1260"/>
      <c r="FS253" s="1260"/>
      <c r="FT253" s="1260"/>
      <c r="FU253" s="1260"/>
      <c r="FV253" s="1260"/>
      <c r="FW253" s="1260"/>
      <c r="FX253" s="1260"/>
      <c r="FY253" s="1260"/>
      <c r="FZ253" s="1260"/>
      <c r="GA253" s="1260"/>
      <c r="GB253" s="1260"/>
      <c r="GC253" s="1260"/>
      <c r="GD253" s="1260"/>
      <c r="GE253" s="1260"/>
      <c r="GF253" s="1260"/>
      <c r="GG253" s="1260"/>
      <c r="GH253" s="1260"/>
      <c r="GI253" s="1260"/>
      <c r="GJ253" s="1260"/>
      <c r="GK253" s="1260"/>
      <c r="GL253" s="1260"/>
      <c r="GM253" s="1260"/>
      <c r="GN253" s="1260"/>
      <c r="GO253" s="1260"/>
      <c r="GP253" s="1260"/>
      <c r="GQ253" s="1260"/>
      <c r="GR253" s="1260"/>
      <c r="GS253" s="1260"/>
      <c r="GT253" s="1260"/>
      <c r="GU253" s="1260"/>
      <c r="GV253" s="1260"/>
      <c r="GW253" s="1260"/>
      <c r="GX253" s="1260"/>
      <c r="GY253" s="1260"/>
      <c r="GZ253" s="1260"/>
      <c r="HA253" s="1260"/>
      <c r="HB253" s="1260"/>
      <c r="HC253" s="1260"/>
      <c r="HD253" s="1260"/>
      <c r="HE253" s="1260"/>
      <c r="HF253" s="1260"/>
      <c r="HG253" s="1260"/>
      <c r="HH253" s="1260"/>
      <c r="HI253" s="1260"/>
      <c r="HJ253" s="1260"/>
      <c r="HK253" s="1260"/>
      <c r="HL253" s="1260"/>
      <c r="HM253" s="1260"/>
      <c r="HN253" s="1260"/>
      <c r="HO253" s="1260"/>
      <c r="HP253" s="1260"/>
      <c r="HQ253" s="1260"/>
      <c r="HR253" s="1260"/>
      <c r="HS253" s="1260"/>
      <c r="HT253" s="1260"/>
      <c r="HU253" s="1260"/>
      <c r="HV253" s="1260"/>
      <c r="HW253" s="1260"/>
      <c r="HX253" s="1260"/>
      <c r="HY253" s="1260"/>
      <c r="HZ253" s="1260"/>
      <c r="IA253" s="1260"/>
      <c r="IB253" s="1260"/>
      <c r="IC253" s="1260"/>
      <c r="ID253" s="1260"/>
      <c r="IE253" s="1260"/>
      <c r="IF253" s="1260"/>
      <c r="IG253" s="1260"/>
      <c r="IH253" s="1260"/>
      <c r="II253" s="1260"/>
      <c r="IJ253" s="1260"/>
      <c r="IK253" s="1260"/>
      <c r="IL253" s="1260"/>
      <c r="IM253" s="1260"/>
      <c r="IN253" s="1260"/>
      <c r="IO253" s="1260"/>
      <c r="IP253" s="1260"/>
      <c r="IQ253" s="1260"/>
      <c r="IR253" s="1260"/>
      <c r="IS253" s="1260"/>
      <c r="IT253" s="1260"/>
      <c r="IU253" s="1260"/>
      <c r="IV253" s="1260"/>
      <c r="IW253" s="1260"/>
      <c r="IX253" s="1260"/>
      <c r="IY253" s="1260"/>
      <c r="IZ253" s="1260"/>
      <c r="JA253" s="1260"/>
      <c r="JB253" s="1260"/>
      <c r="JC253" s="1260"/>
      <c r="JD253" s="1260"/>
      <c r="JE253" s="1260"/>
      <c r="JF253" s="1260"/>
      <c r="JG253" s="1260"/>
      <c r="JH253" s="1260"/>
      <c r="JI253" s="1260"/>
      <c r="JJ253" s="1260"/>
      <c r="JK253" s="1260"/>
      <c r="JL253" s="1260"/>
      <c r="JM253" s="1260"/>
      <c r="JN253" s="1260"/>
      <c r="JO253" s="1260"/>
      <c r="JP253" s="1260"/>
      <c r="JQ253" s="1260"/>
      <c r="JR253" s="1260"/>
      <c r="JS253" s="1260"/>
      <c r="JT253" s="1260"/>
      <c r="JU253" s="1260"/>
      <c r="JV253" s="1260"/>
      <c r="JW253" s="1260"/>
      <c r="JX253" s="1260"/>
      <c r="JY253" s="1260"/>
      <c r="JZ253" s="1260"/>
      <c r="KA253" s="1260"/>
      <c r="KB253" s="1260"/>
      <c r="KC253" s="1260"/>
      <c r="KD253" s="1260"/>
      <c r="KE253" s="1260"/>
      <c r="KF253" s="1260"/>
      <c r="KG253" s="1260"/>
      <c r="KH253" s="1260"/>
      <c r="KI253" s="1260"/>
      <c r="KJ253" s="1260"/>
      <c r="KK253" s="1260"/>
      <c r="KL253" s="1260"/>
      <c r="KM253" s="1260"/>
      <c r="KN253" s="1260"/>
      <c r="KO253" s="1260"/>
      <c r="KP253" s="1260"/>
      <c r="KQ253" s="1260"/>
      <c r="KR253" s="1260"/>
      <c r="KS253" s="1260"/>
      <c r="KT253" s="1260"/>
      <c r="KU253" s="1260"/>
      <c r="KV253" s="1260"/>
      <c r="KW253" s="1260"/>
      <c r="KX253" s="1260"/>
      <c r="KY253" s="1260"/>
      <c r="KZ253" s="1260"/>
      <c r="LA253" s="1260"/>
      <c r="LB253" s="1260"/>
      <c r="LC253" s="1260"/>
      <c r="LD253" s="1260"/>
      <c r="LE253" s="1260"/>
      <c r="LF253" s="1260"/>
      <c r="LG253" s="1260"/>
      <c r="LH253" s="1260"/>
      <c r="LI253" s="1260"/>
      <c r="LJ253" s="1260"/>
      <c r="LK253" s="1260"/>
      <c r="LL253" s="1260"/>
      <c r="LM253" s="1260"/>
      <c r="LN253" s="1260"/>
      <c r="LO253" s="1260"/>
      <c r="LP253" s="1260"/>
      <c r="LQ253" s="1260"/>
      <c r="LR253" s="1260"/>
      <c r="LS253" s="1260"/>
      <c r="LT253" s="1260"/>
      <c r="LU253" s="1260"/>
      <c r="LV253" s="1260"/>
      <c r="LW253" s="1260"/>
      <c r="LX253" s="1260"/>
      <c r="LY253" s="1260"/>
      <c r="LZ253" s="1260"/>
      <c r="MA253" s="1260"/>
      <c r="MB253" s="1260"/>
      <c r="MC253" s="1260"/>
      <c r="MD253" s="1260"/>
      <c r="ME253" s="1260"/>
      <c r="MF253" s="1260"/>
      <c r="MG253" s="1260"/>
      <c r="MH253" s="1260"/>
      <c r="MI253" s="1260"/>
      <c r="MJ253" s="1260"/>
      <c r="MK253" s="1260"/>
      <c r="ML253" s="1260"/>
      <c r="MM253" s="1260"/>
      <c r="MN253" s="1260"/>
      <c r="MO253" s="1260"/>
      <c r="MP253" s="1260"/>
      <c r="MQ253" s="1260"/>
      <c r="MR253" s="1260"/>
      <c r="MS253" s="1260"/>
      <c r="MT253" s="1260"/>
      <c r="MU253" s="1260"/>
      <c r="MV253" s="1260"/>
      <c r="MW253" s="1260"/>
      <c r="MX253" s="1260"/>
      <c r="MY253" s="1260"/>
      <c r="MZ253" s="1260"/>
      <c r="NA253" s="1260"/>
      <c r="NB253" s="1260"/>
      <c r="NC253" s="1260"/>
      <c r="ND253" s="1260"/>
      <c r="NE253" s="1260"/>
      <c r="NF253" s="1260"/>
      <c r="NG253" s="1260"/>
      <c r="NH253" s="1260"/>
      <c r="NI253" s="1260"/>
      <c r="NJ253" s="1260"/>
      <c r="NK253" s="1260"/>
      <c r="NL253" s="1260"/>
      <c r="NM253" s="1260"/>
      <c r="NN253" s="1260"/>
      <c r="NO253" s="1260"/>
      <c r="NP253" s="1260"/>
      <c r="NQ253" s="1260"/>
      <c r="NR253" s="1260"/>
      <c r="NS253" s="1260"/>
      <c r="NT253" s="1260"/>
      <c r="NU253" s="1260"/>
      <c r="NV253" s="1260"/>
      <c r="NW253" s="1260"/>
      <c r="NX253" s="1260"/>
      <c r="NY253" s="1260"/>
      <c r="NZ253" s="1260"/>
      <c r="OA253" s="1260"/>
      <c r="OB253" s="1260"/>
      <c r="OC253" s="1260"/>
      <c r="OD253" s="1260"/>
      <c r="OE253" s="1260"/>
      <c r="OF253" s="1260"/>
      <c r="OG253" s="1260"/>
      <c r="OH253" s="1260"/>
      <c r="OI253" s="1260"/>
      <c r="OJ253" s="1260"/>
      <c r="OK253" s="1260"/>
      <c r="OL253" s="1260"/>
      <c r="OM253" s="1260"/>
      <c r="ON253" s="1260"/>
      <c r="OO253" s="1260"/>
      <c r="OP253" s="1260"/>
      <c r="OQ253" s="1260"/>
      <c r="OR253" s="1260"/>
      <c r="OS253" s="1260"/>
      <c r="OT253" s="1260"/>
      <c r="OU253" s="1260"/>
      <c r="OV253" s="1260"/>
      <c r="OW253" s="1260"/>
      <c r="OX253" s="1260"/>
      <c r="OY253" s="1260"/>
      <c r="OZ253" s="1260"/>
      <c r="PA253" s="1260"/>
      <c r="PB253" s="1260"/>
      <c r="PC253" s="1260"/>
      <c r="PD253" s="1260"/>
      <c r="PE253" s="1260"/>
      <c r="PF253" s="1260"/>
      <c r="PG253" s="1260"/>
      <c r="PH253" s="1260"/>
      <c r="PI253" s="1260"/>
      <c r="PJ253" s="1260"/>
      <c r="PK253" s="1260"/>
      <c r="PL253" s="1260"/>
      <c r="PM253" s="1260"/>
      <c r="PN253" s="1260"/>
      <c r="PO253" s="1260"/>
      <c r="PP253" s="1260"/>
      <c r="PQ253" s="1260"/>
      <c r="PR253" s="1260"/>
      <c r="PS253" s="1260"/>
      <c r="PT253" s="1260"/>
      <c r="PU253" s="1260"/>
      <c r="PV253" s="1260"/>
      <c r="PW253" s="1260"/>
      <c r="PX253" s="1260"/>
      <c r="PY253" s="1260"/>
      <c r="PZ253" s="1260"/>
      <c r="QA253" s="1260"/>
      <c r="QB253" s="1260"/>
      <c r="QC253" s="1260"/>
      <c r="QD253" s="1260"/>
      <c r="QE253" s="1260"/>
      <c r="QF253" s="1260"/>
      <c r="QG253" s="1260"/>
      <c r="QH253" s="1260"/>
      <c r="QI253" s="1260"/>
      <c r="QJ253" s="1260"/>
      <c r="QK253" s="1260"/>
      <c r="QL253" s="1260"/>
      <c r="QM253" s="1260"/>
      <c r="QN253" s="1260"/>
      <c r="QO253" s="1260"/>
      <c r="QP253" s="1260"/>
      <c r="QQ253" s="1260"/>
      <c r="QR253" s="1260"/>
      <c r="QS253" s="1260"/>
      <c r="QT253" s="1260"/>
      <c r="QU253" s="1260"/>
      <c r="QV253" s="1260"/>
      <c r="QW253" s="1260"/>
      <c r="QX253" s="1260"/>
      <c r="QY253" s="1260"/>
      <c r="QZ253" s="1260"/>
      <c r="RA253" s="1260"/>
      <c r="RB253" s="1260"/>
      <c r="RC253" s="1260"/>
      <c r="RD253" s="1260"/>
      <c r="RE253" s="1260"/>
      <c r="RF253" s="1260"/>
      <c r="RG253" s="1260"/>
      <c r="RH253" s="1260"/>
      <c r="RI253" s="1260"/>
      <c r="RJ253" s="1260"/>
      <c r="RK253" s="1260"/>
      <c r="RL253" s="1260"/>
      <c r="RM253" s="1260"/>
      <c r="RN253" s="1260"/>
      <c r="RO253" s="1260"/>
      <c r="RP253" s="1260"/>
      <c r="RQ253" s="1260"/>
      <c r="RR253" s="1260"/>
      <c r="RS253" s="1260"/>
      <c r="RT253" s="1260"/>
      <c r="RU253" s="1260"/>
      <c r="RV253" s="1260"/>
      <c r="RW253" s="1260"/>
      <c r="RX253" s="1260"/>
      <c r="RY253" s="1260"/>
      <c r="RZ253" s="1260"/>
      <c r="SA253" s="1260"/>
      <c r="SB253" s="1260"/>
      <c r="SC253" s="1260"/>
      <c r="SD253" s="1260"/>
      <c r="SE253" s="1260"/>
      <c r="SF253" s="1260"/>
      <c r="SG253" s="1260"/>
      <c r="SH253" s="1260"/>
      <c r="SI253" s="1260"/>
      <c r="SJ253" s="1260"/>
      <c r="SK253" s="1260"/>
      <c r="SL253" s="1260"/>
      <c r="SM253" s="1260"/>
      <c r="SN253" s="1260"/>
      <c r="SO253" s="1260"/>
      <c r="SP253" s="1260"/>
      <c r="SQ253" s="1260"/>
      <c r="SR253" s="1260"/>
      <c r="SS253" s="1260"/>
      <c r="ST253" s="1260"/>
      <c r="SU253" s="1260"/>
      <c r="SV253" s="1260"/>
      <c r="SW253" s="1260"/>
      <c r="SX253" s="1260"/>
      <c r="SY253" s="1260"/>
      <c r="SZ253" s="1260"/>
      <c r="TA253" s="1260"/>
      <c r="TB253" s="1260"/>
      <c r="TC253" s="1260"/>
      <c r="TD253" s="1260"/>
      <c r="TE253" s="1260"/>
      <c r="TF253" s="1260"/>
      <c r="TG253" s="1260"/>
      <c r="TH253" s="1260"/>
      <c r="TI253" s="1260"/>
      <c r="TJ253" s="1260"/>
      <c r="TK253" s="1260"/>
      <c r="TL253" s="1260"/>
      <c r="TM253" s="1260"/>
      <c r="TN253" s="1260"/>
      <c r="TO253" s="1260"/>
      <c r="TP253" s="1260"/>
      <c r="TQ253" s="1260"/>
      <c r="TR253" s="1260"/>
      <c r="TS253" s="1260"/>
      <c r="TT253" s="1260"/>
      <c r="TU253" s="1260"/>
      <c r="TV253" s="1260"/>
      <c r="TW253" s="1260"/>
      <c r="TX253" s="1260"/>
      <c r="TY253" s="1260"/>
      <c r="TZ253" s="1260"/>
      <c r="UA253" s="1260"/>
      <c r="UB253" s="1260"/>
      <c r="UC253" s="1260"/>
      <c r="UD253" s="1260"/>
      <c r="UE253" s="1260"/>
      <c r="UF253" s="1260"/>
      <c r="UG253" s="1261"/>
    </row>
    <row r="254" spans="1:553" s="1262" customFormat="1" ht="48" customHeight="1">
      <c r="A254" s="402" t="s">
        <v>15</v>
      </c>
      <c r="B254" s="402"/>
      <c r="C254" s="497" t="s">
        <v>263</v>
      </c>
      <c r="D254" s="498"/>
      <c r="E254" s="498"/>
      <c r="F254" s="497"/>
      <c r="G254" s="402" t="s">
        <v>196</v>
      </c>
      <c r="H254" s="499"/>
      <c r="I254" s="1015">
        <f>(95.03*100/500)*(23-(7-3))*1</f>
        <v>361.11400000000003</v>
      </c>
      <c r="J254" s="985">
        <v>11000</v>
      </c>
      <c r="K254" s="1021">
        <v>0.7</v>
      </c>
      <c r="L254" s="1281">
        <f t="shared" si="52"/>
        <v>2780578</v>
      </c>
      <c r="M254" s="366"/>
      <c r="N254" s="366"/>
      <c r="O254" s="366"/>
      <c r="P254" s="366"/>
      <c r="Q254" s="1136"/>
      <c r="R254" s="1447"/>
      <c r="S254" s="308"/>
      <c r="T254" s="303"/>
      <c r="U254" s="306"/>
      <c r="V254" s="307"/>
      <c r="W254" s="306"/>
      <c r="X254" s="306"/>
      <c r="Y254" s="306"/>
      <c r="Z254" s="306"/>
      <c r="AA254" s="306"/>
      <c r="AB254" s="306"/>
      <c r="AC254" s="449"/>
      <c r="AD254" s="452"/>
      <c r="AE254" s="452"/>
      <c r="AF254" s="452"/>
      <c r="AG254" s="452"/>
      <c r="AH254" s="452"/>
      <c r="AI254" s="452"/>
      <c r="AJ254" s="452"/>
      <c r="AK254" s="452"/>
      <c r="AL254" s="1259"/>
      <c r="AM254" s="1260"/>
      <c r="AN254" s="1260"/>
      <c r="AO254" s="1260"/>
      <c r="AP254" s="1260"/>
      <c r="AQ254" s="1260"/>
      <c r="AR254" s="1260"/>
      <c r="AS254" s="1260"/>
      <c r="AT254" s="1260"/>
      <c r="AU254" s="1260"/>
      <c r="AV254" s="1260"/>
      <c r="AW254" s="1260"/>
      <c r="AX254" s="1260"/>
      <c r="AY254" s="1260"/>
      <c r="AZ254" s="1260"/>
      <c r="BA254" s="1260"/>
      <c r="BB254" s="1260"/>
      <c r="BC254" s="1260"/>
      <c r="BD254" s="1260"/>
      <c r="BE254" s="1260"/>
      <c r="BF254" s="1260"/>
      <c r="BG254" s="1260"/>
      <c r="BH254" s="1260"/>
      <c r="BI254" s="1260"/>
      <c r="BJ254" s="1260"/>
      <c r="BK254" s="1260"/>
      <c r="BL254" s="1260"/>
      <c r="BM254" s="1260"/>
      <c r="BN254" s="1260"/>
      <c r="BO254" s="1260"/>
      <c r="BP254" s="1260"/>
      <c r="BQ254" s="1260"/>
      <c r="BR254" s="1260"/>
      <c r="BS254" s="1260"/>
      <c r="BT254" s="1260"/>
      <c r="BU254" s="1260"/>
      <c r="BV254" s="1260"/>
      <c r="BW254" s="1260"/>
      <c r="BX254" s="1260"/>
      <c r="BY254" s="1260"/>
      <c r="BZ254" s="1260"/>
      <c r="CA254" s="1260"/>
      <c r="CB254" s="1260"/>
      <c r="CC254" s="1260"/>
      <c r="CD254" s="1260"/>
      <c r="CE254" s="1260"/>
      <c r="CF254" s="1260"/>
      <c r="CG254" s="1260"/>
      <c r="CH254" s="1260"/>
      <c r="CI254" s="1260"/>
      <c r="CJ254" s="1260"/>
      <c r="CK254" s="1260"/>
      <c r="CL254" s="1260"/>
      <c r="CM254" s="1260"/>
      <c r="CN254" s="1260"/>
      <c r="CO254" s="1260"/>
      <c r="CP254" s="1260"/>
      <c r="CQ254" s="1260"/>
      <c r="CR254" s="1260"/>
      <c r="CS254" s="1260"/>
      <c r="CT254" s="1260"/>
      <c r="CU254" s="1260"/>
      <c r="CV254" s="1260"/>
      <c r="CW254" s="1260"/>
      <c r="CX254" s="1260"/>
      <c r="CY254" s="1260"/>
      <c r="CZ254" s="1260"/>
      <c r="DA254" s="1260"/>
      <c r="DB254" s="1260"/>
      <c r="DC254" s="1260"/>
      <c r="DD254" s="1260"/>
      <c r="DE254" s="1260"/>
      <c r="DF254" s="1260"/>
      <c r="DG254" s="1260"/>
      <c r="DH254" s="1260"/>
      <c r="DI254" s="1260"/>
      <c r="DJ254" s="1260"/>
      <c r="DK254" s="1260"/>
      <c r="DL254" s="1260"/>
      <c r="DM254" s="1260"/>
      <c r="DN254" s="1260"/>
      <c r="DO254" s="1260"/>
      <c r="DP254" s="1260"/>
      <c r="DQ254" s="1260"/>
      <c r="DR254" s="1260"/>
      <c r="DS254" s="1260"/>
      <c r="DT254" s="1260"/>
      <c r="DU254" s="1260"/>
      <c r="DV254" s="1260"/>
      <c r="DW254" s="1260"/>
      <c r="DX254" s="1260"/>
      <c r="DY254" s="1260"/>
      <c r="DZ254" s="1260"/>
      <c r="EA254" s="1260"/>
      <c r="EB254" s="1260"/>
      <c r="EC254" s="1260"/>
      <c r="ED254" s="1260"/>
      <c r="EE254" s="1260"/>
      <c r="EF254" s="1260"/>
      <c r="EG254" s="1260"/>
      <c r="EH254" s="1260"/>
      <c r="EI254" s="1260"/>
      <c r="EJ254" s="1260"/>
      <c r="EK254" s="1260"/>
      <c r="EL254" s="1260"/>
      <c r="EM254" s="1260"/>
      <c r="EN254" s="1260"/>
      <c r="EO254" s="1260"/>
      <c r="EP254" s="1260"/>
      <c r="EQ254" s="1260"/>
      <c r="ER254" s="1260"/>
      <c r="ES254" s="1260"/>
      <c r="ET254" s="1260"/>
      <c r="EU254" s="1260"/>
      <c r="EV254" s="1260"/>
      <c r="EW254" s="1260"/>
      <c r="EX254" s="1260"/>
      <c r="EY254" s="1260"/>
      <c r="EZ254" s="1260"/>
      <c r="FA254" s="1260"/>
      <c r="FB254" s="1260"/>
      <c r="FC254" s="1260"/>
      <c r="FD254" s="1260"/>
      <c r="FE254" s="1260"/>
      <c r="FF254" s="1260"/>
      <c r="FG254" s="1260"/>
      <c r="FH254" s="1260"/>
      <c r="FI254" s="1260"/>
      <c r="FJ254" s="1260"/>
      <c r="FK254" s="1260"/>
      <c r="FL254" s="1260"/>
      <c r="FM254" s="1260"/>
      <c r="FN254" s="1260"/>
      <c r="FO254" s="1260"/>
      <c r="FP254" s="1260"/>
      <c r="FQ254" s="1260"/>
      <c r="FR254" s="1260"/>
      <c r="FS254" s="1260"/>
      <c r="FT254" s="1260"/>
      <c r="FU254" s="1260"/>
      <c r="FV254" s="1260"/>
      <c r="FW254" s="1260"/>
      <c r="FX254" s="1260"/>
      <c r="FY254" s="1260"/>
      <c r="FZ254" s="1260"/>
      <c r="GA254" s="1260"/>
      <c r="GB254" s="1260"/>
      <c r="GC254" s="1260"/>
      <c r="GD254" s="1260"/>
      <c r="GE254" s="1260"/>
      <c r="GF254" s="1260"/>
      <c r="GG254" s="1260"/>
      <c r="GH254" s="1260"/>
      <c r="GI254" s="1260"/>
      <c r="GJ254" s="1260"/>
      <c r="GK254" s="1260"/>
      <c r="GL254" s="1260"/>
      <c r="GM254" s="1260"/>
      <c r="GN254" s="1260"/>
      <c r="GO254" s="1260"/>
      <c r="GP254" s="1260"/>
      <c r="GQ254" s="1260"/>
      <c r="GR254" s="1260"/>
      <c r="GS254" s="1260"/>
      <c r="GT254" s="1260"/>
      <c r="GU254" s="1260"/>
      <c r="GV254" s="1260"/>
      <c r="GW254" s="1260"/>
      <c r="GX254" s="1260"/>
      <c r="GY254" s="1260"/>
      <c r="GZ254" s="1260"/>
      <c r="HA254" s="1260"/>
      <c r="HB254" s="1260"/>
      <c r="HC254" s="1260"/>
      <c r="HD254" s="1260"/>
      <c r="HE254" s="1260"/>
      <c r="HF254" s="1260"/>
      <c r="HG254" s="1260"/>
      <c r="HH254" s="1260"/>
      <c r="HI254" s="1260"/>
      <c r="HJ254" s="1260"/>
      <c r="HK254" s="1260"/>
      <c r="HL254" s="1260"/>
      <c r="HM254" s="1260"/>
      <c r="HN254" s="1260"/>
      <c r="HO254" s="1260"/>
      <c r="HP254" s="1260"/>
      <c r="HQ254" s="1260"/>
      <c r="HR254" s="1260"/>
      <c r="HS254" s="1260"/>
      <c r="HT254" s="1260"/>
      <c r="HU254" s="1260"/>
      <c r="HV254" s="1260"/>
      <c r="HW254" s="1260"/>
      <c r="HX254" s="1260"/>
      <c r="HY254" s="1260"/>
      <c r="HZ254" s="1260"/>
      <c r="IA254" s="1260"/>
      <c r="IB254" s="1260"/>
      <c r="IC254" s="1260"/>
      <c r="ID254" s="1260"/>
      <c r="IE254" s="1260"/>
      <c r="IF254" s="1260"/>
      <c r="IG254" s="1260"/>
      <c r="IH254" s="1260"/>
      <c r="II254" s="1260"/>
      <c r="IJ254" s="1260"/>
      <c r="IK254" s="1260"/>
      <c r="IL254" s="1260"/>
      <c r="IM254" s="1260"/>
      <c r="IN254" s="1260"/>
      <c r="IO254" s="1260"/>
      <c r="IP254" s="1260"/>
      <c r="IQ254" s="1260"/>
      <c r="IR254" s="1260"/>
      <c r="IS254" s="1260"/>
      <c r="IT254" s="1260"/>
      <c r="IU254" s="1260"/>
      <c r="IV254" s="1260"/>
      <c r="IW254" s="1260"/>
      <c r="IX254" s="1260"/>
      <c r="IY254" s="1260"/>
      <c r="IZ254" s="1260"/>
      <c r="JA254" s="1260"/>
      <c r="JB254" s="1260"/>
      <c r="JC254" s="1260"/>
      <c r="JD254" s="1260"/>
      <c r="JE254" s="1260"/>
      <c r="JF254" s="1260"/>
      <c r="JG254" s="1260"/>
      <c r="JH254" s="1260"/>
      <c r="JI254" s="1260"/>
      <c r="JJ254" s="1260"/>
      <c r="JK254" s="1260"/>
      <c r="JL254" s="1260"/>
      <c r="JM254" s="1260"/>
      <c r="JN254" s="1260"/>
      <c r="JO254" s="1260"/>
      <c r="JP254" s="1260"/>
      <c r="JQ254" s="1260"/>
      <c r="JR254" s="1260"/>
      <c r="JS254" s="1260"/>
      <c r="JT254" s="1260"/>
      <c r="JU254" s="1260"/>
      <c r="JV254" s="1260"/>
      <c r="JW254" s="1260"/>
      <c r="JX254" s="1260"/>
      <c r="JY254" s="1260"/>
      <c r="JZ254" s="1260"/>
      <c r="KA254" s="1260"/>
      <c r="KB254" s="1260"/>
      <c r="KC254" s="1260"/>
      <c r="KD254" s="1260"/>
      <c r="KE254" s="1260"/>
      <c r="KF254" s="1260"/>
      <c r="KG254" s="1260"/>
      <c r="KH254" s="1260"/>
      <c r="KI254" s="1260"/>
      <c r="KJ254" s="1260"/>
      <c r="KK254" s="1260"/>
      <c r="KL254" s="1260"/>
      <c r="KM254" s="1260"/>
      <c r="KN254" s="1260"/>
      <c r="KO254" s="1260"/>
      <c r="KP254" s="1260"/>
      <c r="KQ254" s="1260"/>
      <c r="KR254" s="1260"/>
      <c r="KS254" s="1260"/>
      <c r="KT254" s="1260"/>
      <c r="KU254" s="1260"/>
      <c r="KV254" s="1260"/>
      <c r="KW254" s="1260"/>
      <c r="KX254" s="1260"/>
      <c r="KY254" s="1260"/>
      <c r="KZ254" s="1260"/>
      <c r="LA254" s="1260"/>
      <c r="LB254" s="1260"/>
      <c r="LC254" s="1260"/>
      <c r="LD254" s="1260"/>
      <c r="LE254" s="1260"/>
      <c r="LF254" s="1260"/>
      <c r="LG254" s="1260"/>
      <c r="LH254" s="1260"/>
      <c r="LI254" s="1260"/>
      <c r="LJ254" s="1260"/>
      <c r="LK254" s="1260"/>
      <c r="LL254" s="1260"/>
      <c r="LM254" s="1260"/>
      <c r="LN254" s="1260"/>
      <c r="LO254" s="1260"/>
      <c r="LP254" s="1260"/>
      <c r="LQ254" s="1260"/>
      <c r="LR254" s="1260"/>
      <c r="LS254" s="1260"/>
      <c r="LT254" s="1260"/>
      <c r="LU254" s="1260"/>
      <c r="LV254" s="1260"/>
      <c r="LW254" s="1260"/>
      <c r="LX254" s="1260"/>
      <c r="LY254" s="1260"/>
      <c r="LZ254" s="1260"/>
      <c r="MA254" s="1260"/>
      <c r="MB254" s="1260"/>
      <c r="MC254" s="1260"/>
      <c r="MD254" s="1260"/>
      <c r="ME254" s="1260"/>
      <c r="MF254" s="1260"/>
      <c r="MG254" s="1260"/>
      <c r="MH254" s="1260"/>
      <c r="MI254" s="1260"/>
      <c r="MJ254" s="1260"/>
      <c r="MK254" s="1260"/>
      <c r="ML254" s="1260"/>
      <c r="MM254" s="1260"/>
      <c r="MN254" s="1260"/>
      <c r="MO254" s="1260"/>
      <c r="MP254" s="1260"/>
      <c r="MQ254" s="1260"/>
      <c r="MR254" s="1260"/>
      <c r="MS254" s="1260"/>
      <c r="MT254" s="1260"/>
      <c r="MU254" s="1260"/>
      <c r="MV254" s="1260"/>
      <c r="MW254" s="1260"/>
      <c r="MX254" s="1260"/>
      <c r="MY254" s="1260"/>
      <c r="MZ254" s="1260"/>
      <c r="NA254" s="1260"/>
      <c r="NB254" s="1260"/>
      <c r="NC254" s="1260"/>
      <c r="ND254" s="1260"/>
      <c r="NE254" s="1260"/>
      <c r="NF254" s="1260"/>
      <c r="NG254" s="1260"/>
      <c r="NH254" s="1260"/>
      <c r="NI254" s="1260"/>
      <c r="NJ254" s="1260"/>
      <c r="NK254" s="1260"/>
      <c r="NL254" s="1260"/>
      <c r="NM254" s="1260"/>
      <c r="NN254" s="1260"/>
      <c r="NO254" s="1260"/>
      <c r="NP254" s="1260"/>
      <c r="NQ254" s="1260"/>
      <c r="NR254" s="1260"/>
      <c r="NS254" s="1260"/>
      <c r="NT254" s="1260"/>
      <c r="NU254" s="1260"/>
      <c r="NV254" s="1260"/>
      <c r="NW254" s="1260"/>
      <c r="NX254" s="1260"/>
      <c r="NY254" s="1260"/>
      <c r="NZ254" s="1260"/>
      <c r="OA254" s="1260"/>
      <c r="OB254" s="1260"/>
      <c r="OC254" s="1260"/>
      <c r="OD254" s="1260"/>
      <c r="OE254" s="1260"/>
      <c r="OF254" s="1260"/>
      <c r="OG254" s="1260"/>
      <c r="OH254" s="1260"/>
      <c r="OI254" s="1260"/>
      <c r="OJ254" s="1260"/>
      <c r="OK254" s="1260"/>
      <c r="OL254" s="1260"/>
      <c r="OM254" s="1260"/>
      <c r="ON254" s="1260"/>
      <c r="OO254" s="1260"/>
      <c r="OP254" s="1260"/>
      <c r="OQ254" s="1260"/>
      <c r="OR254" s="1260"/>
      <c r="OS254" s="1260"/>
      <c r="OT254" s="1260"/>
      <c r="OU254" s="1260"/>
      <c r="OV254" s="1260"/>
      <c r="OW254" s="1260"/>
      <c r="OX254" s="1260"/>
      <c r="OY254" s="1260"/>
      <c r="OZ254" s="1260"/>
      <c r="PA254" s="1260"/>
      <c r="PB254" s="1260"/>
      <c r="PC254" s="1260"/>
      <c r="PD254" s="1260"/>
      <c r="PE254" s="1260"/>
      <c r="PF254" s="1260"/>
      <c r="PG254" s="1260"/>
      <c r="PH254" s="1260"/>
      <c r="PI254" s="1260"/>
      <c r="PJ254" s="1260"/>
      <c r="PK254" s="1260"/>
      <c r="PL254" s="1260"/>
      <c r="PM254" s="1260"/>
      <c r="PN254" s="1260"/>
      <c r="PO254" s="1260"/>
      <c r="PP254" s="1260"/>
      <c r="PQ254" s="1260"/>
      <c r="PR254" s="1260"/>
      <c r="PS254" s="1260"/>
      <c r="PT254" s="1260"/>
      <c r="PU254" s="1260"/>
      <c r="PV254" s="1260"/>
      <c r="PW254" s="1260"/>
      <c r="PX254" s="1260"/>
      <c r="PY254" s="1260"/>
      <c r="PZ254" s="1260"/>
      <c r="QA254" s="1260"/>
      <c r="QB254" s="1260"/>
      <c r="QC254" s="1260"/>
      <c r="QD254" s="1260"/>
      <c r="QE254" s="1260"/>
      <c r="QF254" s="1260"/>
      <c r="QG254" s="1260"/>
      <c r="QH254" s="1260"/>
      <c r="QI254" s="1260"/>
      <c r="QJ254" s="1260"/>
      <c r="QK254" s="1260"/>
      <c r="QL254" s="1260"/>
      <c r="QM254" s="1260"/>
      <c r="QN254" s="1260"/>
      <c r="QO254" s="1260"/>
      <c r="QP254" s="1260"/>
      <c r="QQ254" s="1260"/>
      <c r="QR254" s="1260"/>
      <c r="QS254" s="1260"/>
      <c r="QT254" s="1260"/>
      <c r="QU254" s="1260"/>
      <c r="QV254" s="1260"/>
      <c r="QW254" s="1260"/>
      <c r="QX254" s="1260"/>
      <c r="QY254" s="1260"/>
      <c r="QZ254" s="1260"/>
      <c r="RA254" s="1260"/>
      <c r="RB254" s="1260"/>
      <c r="RC254" s="1260"/>
      <c r="RD254" s="1260"/>
      <c r="RE254" s="1260"/>
      <c r="RF254" s="1260"/>
      <c r="RG254" s="1260"/>
      <c r="RH254" s="1260"/>
      <c r="RI254" s="1260"/>
      <c r="RJ254" s="1260"/>
      <c r="RK254" s="1260"/>
      <c r="RL254" s="1260"/>
      <c r="RM254" s="1260"/>
      <c r="RN254" s="1260"/>
      <c r="RO254" s="1260"/>
      <c r="RP254" s="1260"/>
      <c r="RQ254" s="1260"/>
      <c r="RR254" s="1260"/>
      <c r="RS254" s="1260"/>
      <c r="RT254" s="1260"/>
      <c r="RU254" s="1260"/>
      <c r="RV254" s="1260"/>
      <c r="RW254" s="1260"/>
      <c r="RX254" s="1260"/>
      <c r="RY254" s="1260"/>
      <c r="RZ254" s="1260"/>
      <c r="SA254" s="1260"/>
      <c r="SB254" s="1260"/>
      <c r="SC254" s="1260"/>
      <c r="SD254" s="1260"/>
      <c r="SE254" s="1260"/>
      <c r="SF254" s="1260"/>
      <c r="SG254" s="1260"/>
      <c r="SH254" s="1260"/>
      <c r="SI254" s="1260"/>
      <c r="SJ254" s="1260"/>
      <c r="SK254" s="1260"/>
      <c r="SL254" s="1260"/>
      <c r="SM254" s="1260"/>
      <c r="SN254" s="1260"/>
      <c r="SO254" s="1260"/>
      <c r="SP254" s="1260"/>
      <c r="SQ254" s="1260"/>
      <c r="SR254" s="1260"/>
      <c r="SS254" s="1260"/>
      <c r="ST254" s="1260"/>
      <c r="SU254" s="1260"/>
      <c r="SV254" s="1260"/>
      <c r="SW254" s="1260"/>
      <c r="SX254" s="1260"/>
      <c r="SY254" s="1260"/>
      <c r="SZ254" s="1260"/>
      <c r="TA254" s="1260"/>
      <c r="TB254" s="1260"/>
      <c r="TC254" s="1260"/>
      <c r="TD254" s="1260"/>
      <c r="TE254" s="1260"/>
      <c r="TF254" s="1260"/>
      <c r="TG254" s="1260"/>
      <c r="TH254" s="1260"/>
      <c r="TI254" s="1260"/>
      <c r="TJ254" s="1260"/>
      <c r="TK254" s="1260"/>
      <c r="TL254" s="1260"/>
      <c r="TM254" s="1260"/>
      <c r="TN254" s="1260"/>
      <c r="TO254" s="1260"/>
      <c r="TP254" s="1260"/>
      <c r="TQ254" s="1260"/>
      <c r="TR254" s="1260"/>
      <c r="TS254" s="1260"/>
      <c r="TT254" s="1260"/>
      <c r="TU254" s="1260"/>
      <c r="TV254" s="1260"/>
      <c r="TW254" s="1260"/>
      <c r="TX254" s="1260"/>
      <c r="TY254" s="1260"/>
      <c r="TZ254" s="1260"/>
      <c r="UA254" s="1260"/>
      <c r="UB254" s="1260"/>
      <c r="UC254" s="1260"/>
      <c r="UD254" s="1260"/>
      <c r="UE254" s="1260"/>
      <c r="UF254" s="1260"/>
      <c r="UG254" s="1261"/>
    </row>
    <row r="255" spans="1:553" s="1262" customFormat="1" ht="48" customHeight="1">
      <c r="A255" s="1226" t="s">
        <v>15</v>
      </c>
      <c r="B255" s="1226"/>
      <c r="C255" s="1253" t="s">
        <v>264</v>
      </c>
      <c r="D255" s="1219"/>
      <c r="E255" s="1219"/>
      <c r="F255" s="1253"/>
      <c r="G255" s="501" t="s">
        <v>196</v>
      </c>
      <c r="H255" s="502"/>
      <c r="I255" s="423">
        <f>(206.62*100/2000)*183</f>
        <v>1890.5729999999999</v>
      </c>
      <c r="J255" s="1243">
        <v>6200</v>
      </c>
      <c r="K255" s="413"/>
      <c r="L255" s="421">
        <f t="shared" si="52"/>
        <v>11721553</v>
      </c>
      <c r="M255" s="366"/>
      <c r="N255" s="366"/>
      <c r="O255" s="366"/>
      <c r="P255" s="366"/>
      <c r="Q255" s="1136"/>
      <c r="R255" s="1447"/>
      <c r="S255" s="308"/>
      <c r="T255" s="303"/>
      <c r="U255" s="306"/>
      <c r="V255" s="307"/>
      <c r="W255" s="306"/>
      <c r="X255" s="306"/>
      <c r="Y255" s="306"/>
      <c r="Z255" s="306"/>
      <c r="AA255" s="306"/>
      <c r="AB255" s="306"/>
      <c r="AC255" s="449"/>
      <c r="AD255" s="452"/>
      <c r="AE255" s="452"/>
      <c r="AF255" s="452"/>
      <c r="AG255" s="452"/>
      <c r="AH255" s="452"/>
      <c r="AI255" s="452"/>
      <c r="AJ255" s="452"/>
      <c r="AK255" s="452"/>
      <c r="AL255" s="1259"/>
      <c r="AM255" s="1260"/>
      <c r="AN255" s="1260"/>
      <c r="AO255" s="1260"/>
      <c r="AP255" s="1260"/>
      <c r="AQ255" s="1260"/>
      <c r="AR255" s="1260"/>
      <c r="AS255" s="1260"/>
      <c r="AT255" s="1260"/>
      <c r="AU255" s="1260"/>
      <c r="AV255" s="1260"/>
      <c r="AW255" s="1260"/>
      <c r="AX255" s="1260"/>
      <c r="AY255" s="1260"/>
      <c r="AZ255" s="1260"/>
      <c r="BA255" s="1260"/>
      <c r="BB255" s="1260"/>
      <c r="BC255" s="1260"/>
      <c r="BD255" s="1260"/>
      <c r="BE255" s="1260"/>
      <c r="BF255" s="1260"/>
      <c r="BG255" s="1260"/>
      <c r="BH255" s="1260"/>
      <c r="BI255" s="1260"/>
      <c r="BJ255" s="1260"/>
      <c r="BK255" s="1260"/>
      <c r="BL255" s="1260"/>
      <c r="BM255" s="1260"/>
      <c r="BN255" s="1260"/>
      <c r="BO255" s="1260"/>
      <c r="BP255" s="1260"/>
      <c r="BQ255" s="1260"/>
      <c r="BR255" s="1260"/>
      <c r="BS255" s="1260"/>
      <c r="BT255" s="1260"/>
      <c r="BU255" s="1260"/>
      <c r="BV255" s="1260"/>
      <c r="BW255" s="1260"/>
      <c r="BX255" s="1260"/>
      <c r="BY255" s="1260"/>
      <c r="BZ255" s="1260"/>
      <c r="CA255" s="1260"/>
      <c r="CB255" s="1260"/>
      <c r="CC255" s="1260"/>
      <c r="CD255" s="1260"/>
      <c r="CE255" s="1260"/>
      <c r="CF255" s="1260"/>
      <c r="CG255" s="1260"/>
      <c r="CH255" s="1260"/>
      <c r="CI255" s="1260"/>
      <c r="CJ255" s="1260"/>
      <c r="CK255" s="1260"/>
      <c r="CL255" s="1260"/>
      <c r="CM255" s="1260"/>
      <c r="CN255" s="1260"/>
      <c r="CO255" s="1260"/>
      <c r="CP255" s="1260"/>
      <c r="CQ255" s="1260"/>
      <c r="CR255" s="1260"/>
      <c r="CS255" s="1260"/>
      <c r="CT255" s="1260"/>
      <c r="CU255" s="1260"/>
      <c r="CV255" s="1260"/>
      <c r="CW255" s="1260"/>
      <c r="CX255" s="1260"/>
      <c r="CY255" s="1260"/>
      <c r="CZ255" s="1260"/>
      <c r="DA255" s="1260"/>
      <c r="DB255" s="1260"/>
      <c r="DC255" s="1260"/>
      <c r="DD255" s="1260"/>
      <c r="DE255" s="1260"/>
      <c r="DF255" s="1260"/>
      <c r="DG255" s="1260"/>
      <c r="DH255" s="1260"/>
      <c r="DI255" s="1260"/>
      <c r="DJ255" s="1260"/>
      <c r="DK255" s="1260"/>
      <c r="DL255" s="1260"/>
      <c r="DM255" s="1260"/>
      <c r="DN255" s="1260"/>
      <c r="DO255" s="1260"/>
      <c r="DP255" s="1260"/>
      <c r="DQ255" s="1260"/>
      <c r="DR255" s="1260"/>
      <c r="DS255" s="1260"/>
      <c r="DT255" s="1260"/>
      <c r="DU255" s="1260"/>
      <c r="DV255" s="1260"/>
      <c r="DW255" s="1260"/>
      <c r="DX255" s="1260"/>
      <c r="DY255" s="1260"/>
      <c r="DZ255" s="1260"/>
      <c r="EA255" s="1260"/>
      <c r="EB255" s="1260"/>
      <c r="EC255" s="1260"/>
      <c r="ED255" s="1260"/>
      <c r="EE255" s="1260"/>
      <c r="EF255" s="1260"/>
      <c r="EG255" s="1260"/>
      <c r="EH255" s="1260"/>
      <c r="EI255" s="1260"/>
      <c r="EJ255" s="1260"/>
      <c r="EK255" s="1260"/>
      <c r="EL255" s="1260"/>
      <c r="EM255" s="1260"/>
      <c r="EN255" s="1260"/>
      <c r="EO255" s="1260"/>
      <c r="EP255" s="1260"/>
      <c r="EQ255" s="1260"/>
      <c r="ER255" s="1260"/>
      <c r="ES255" s="1260"/>
      <c r="ET255" s="1260"/>
      <c r="EU255" s="1260"/>
      <c r="EV255" s="1260"/>
      <c r="EW255" s="1260"/>
      <c r="EX255" s="1260"/>
      <c r="EY255" s="1260"/>
      <c r="EZ255" s="1260"/>
      <c r="FA255" s="1260"/>
      <c r="FB255" s="1260"/>
      <c r="FC255" s="1260"/>
      <c r="FD255" s="1260"/>
      <c r="FE255" s="1260"/>
      <c r="FF255" s="1260"/>
      <c r="FG255" s="1260"/>
      <c r="FH255" s="1260"/>
      <c r="FI255" s="1260"/>
      <c r="FJ255" s="1260"/>
      <c r="FK255" s="1260"/>
      <c r="FL255" s="1260"/>
      <c r="FM255" s="1260"/>
      <c r="FN255" s="1260"/>
      <c r="FO255" s="1260"/>
      <c r="FP255" s="1260"/>
      <c r="FQ255" s="1260"/>
      <c r="FR255" s="1260"/>
      <c r="FS255" s="1260"/>
      <c r="FT255" s="1260"/>
      <c r="FU255" s="1260"/>
      <c r="FV255" s="1260"/>
      <c r="FW255" s="1260"/>
      <c r="FX255" s="1260"/>
      <c r="FY255" s="1260"/>
      <c r="FZ255" s="1260"/>
      <c r="GA255" s="1260"/>
      <c r="GB255" s="1260"/>
      <c r="GC255" s="1260"/>
      <c r="GD255" s="1260"/>
      <c r="GE255" s="1260"/>
      <c r="GF255" s="1260"/>
      <c r="GG255" s="1260"/>
      <c r="GH255" s="1260"/>
      <c r="GI255" s="1260"/>
      <c r="GJ255" s="1260"/>
      <c r="GK255" s="1260"/>
      <c r="GL255" s="1260"/>
      <c r="GM255" s="1260"/>
      <c r="GN255" s="1260"/>
      <c r="GO255" s="1260"/>
      <c r="GP255" s="1260"/>
      <c r="GQ255" s="1260"/>
      <c r="GR255" s="1260"/>
      <c r="GS255" s="1260"/>
      <c r="GT255" s="1260"/>
      <c r="GU255" s="1260"/>
      <c r="GV255" s="1260"/>
      <c r="GW255" s="1260"/>
      <c r="GX255" s="1260"/>
      <c r="GY255" s="1260"/>
      <c r="GZ255" s="1260"/>
      <c r="HA255" s="1260"/>
      <c r="HB255" s="1260"/>
      <c r="HC255" s="1260"/>
      <c r="HD255" s="1260"/>
      <c r="HE255" s="1260"/>
      <c r="HF255" s="1260"/>
      <c r="HG255" s="1260"/>
      <c r="HH255" s="1260"/>
      <c r="HI255" s="1260"/>
      <c r="HJ255" s="1260"/>
      <c r="HK255" s="1260"/>
      <c r="HL255" s="1260"/>
      <c r="HM255" s="1260"/>
      <c r="HN255" s="1260"/>
      <c r="HO255" s="1260"/>
      <c r="HP255" s="1260"/>
      <c r="HQ255" s="1260"/>
      <c r="HR255" s="1260"/>
      <c r="HS255" s="1260"/>
      <c r="HT255" s="1260"/>
      <c r="HU255" s="1260"/>
      <c r="HV255" s="1260"/>
      <c r="HW255" s="1260"/>
      <c r="HX255" s="1260"/>
      <c r="HY255" s="1260"/>
      <c r="HZ255" s="1260"/>
      <c r="IA255" s="1260"/>
      <c r="IB255" s="1260"/>
      <c r="IC255" s="1260"/>
      <c r="ID255" s="1260"/>
      <c r="IE255" s="1260"/>
      <c r="IF255" s="1260"/>
      <c r="IG255" s="1260"/>
      <c r="IH255" s="1260"/>
      <c r="II255" s="1260"/>
      <c r="IJ255" s="1260"/>
      <c r="IK255" s="1260"/>
      <c r="IL255" s="1260"/>
      <c r="IM255" s="1260"/>
      <c r="IN255" s="1260"/>
      <c r="IO255" s="1260"/>
      <c r="IP255" s="1260"/>
      <c r="IQ255" s="1260"/>
      <c r="IR255" s="1260"/>
      <c r="IS255" s="1260"/>
      <c r="IT255" s="1260"/>
      <c r="IU255" s="1260"/>
      <c r="IV255" s="1260"/>
      <c r="IW255" s="1260"/>
      <c r="IX255" s="1260"/>
      <c r="IY255" s="1260"/>
      <c r="IZ255" s="1260"/>
      <c r="JA255" s="1260"/>
      <c r="JB255" s="1260"/>
      <c r="JC255" s="1260"/>
      <c r="JD255" s="1260"/>
      <c r="JE255" s="1260"/>
      <c r="JF255" s="1260"/>
      <c r="JG255" s="1260"/>
      <c r="JH255" s="1260"/>
      <c r="JI255" s="1260"/>
      <c r="JJ255" s="1260"/>
      <c r="JK255" s="1260"/>
      <c r="JL255" s="1260"/>
      <c r="JM255" s="1260"/>
      <c r="JN255" s="1260"/>
      <c r="JO255" s="1260"/>
      <c r="JP255" s="1260"/>
      <c r="JQ255" s="1260"/>
      <c r="JR255" s="1260"/>
      <c r="JS255" s="1260"/>
      <c r="JT255" s="1260"/>
      <c r="JU255" s="1260"/>
      <c r="JV255" s="1260"/>
      <c r="JW255" s="1260"/>
      <c r="JX255" s="1260"/>
      <c r="JY255" s="1260"/>
      <c r="JZ255" s="1260"/>
      <c r="KA255" s="1260"/>
      <c r="KB255" s="1260"/>
      <c r="KC255" s="1260"/>
      <c r="KD255" s="1260"/>
      <c r="KE255" s="1260"/>
      <c r="KF255" s="1260"/>
      <c r="KG255" s="1260"/>
      <c r="KH255" s="1260"/>
      <c r="KI255" s="1260"/>
      <c r="KJ255" s="1260"/>
      <c r="KK255" s="1260"/>
      <c r="KL255" s="1260"/>
      <c r="KM255" s="1260"/>
      <c r="KN255" s="1260"/>
      <c r="KO255" s="1260"/>
      <c r="KP255" s="1260"/>
      <c r="KQ255" s="1260"/>
      <c r="KR255" s="1260"/>
      <c r="KS255" s="1260"/>
      <c r="KT255" s="1260"/>
      <c r="KU255" s="1260"/>
      <c r="KV255" s="1260"/>
      <c r="KW255" s="1260"/>
      <c r="KX255" s="1260"/>
      <c r="KY255" s="1260"/>
      <c r="KZ255" s="1260"/>
      <c r="LA255" s="1260"/>
      <c r="LB255" s="1260"/>
      <c r="LC255" s="1260"/>
      <c r="LD255" s="1260"/>
      <c r="LE255" s="1260"/>
      <c r="LF255" s="1260"/>
      <c r="LG255" s="1260"/>
      <c r="LH255" s="1260"/>
      <c r="LI255" s="1260"/>
      <c r="LJ255" s="1260"/>
      <c r="LK255" s="1260"/>
      <c r="LL255" s="1260"/>
      <c r="LM255" s="1260"/>
      <c r="LN255" s="1260"/>
      <c r="LO255" s="1260"/>
      <c r="LP255" s="1260"/>
      <c r="LQ255" s="1260"/>
      <c r="LR255" s="1260"/>
      <c r="LS255" s="1260"/>
      <c r="LT255" s="1260"/>
      <c r="LU255" s="1260"/>
      <c r="LV255" s="1260"/>
      <c r="LW255" s="1260"/>
      <c r="LX255" s="1260"/>
      <c r="LY255" s="1260"/>
      <c r="LZ255" s="1260"/>
      <c r="MA255" s="1260"/>
      <c r="MB255" s="1260"/>
      <c r="MC255" s="1260"/>
      <c r="MD255" s="1260"/>
      <c r="ME255" s="1260"/>
      <c r="MF255" s="1260"/>
      <c r="MG255" s="1260"/>
      <c r="MH255" s="1260"/>
      <c r="MI255" s="1260"/>
      <c r="MJ255" s="1260"/>
      <c r="MK255" s="1260"/>
      <c r="ML255" s="1260"/>
      <c r="MM255" s="1260"/>
      <c r="MN255" s="1260"/>
      <c r="MO255" s="1260"/>
      <c r="MP255" s="1260"/>
      <c r="MQ255" s="1260"/>
      <c r="MR255" s="1260"/>
      <c r="MS255" s="1260"/>
      <c r="MT255" s="1260"/>
      <c r="MU255" s="1260"/>
      <c r="MV255" s="1260"/>
      <c r="MW255" s="1260"/>
      <c r="MX255" s="1260"/>
      <c r="MY255" s="1260"/>
      <c r="MZ255" s="1260"/>
      <c r="NA255" s="1260"/>
      <c r="NB255" s="1260"/>
      <c r="NC255" s="1260"/>
      <c r="ND255" s="1260"/>
      <c r="NE255" s="1260"/>
      <c r="NF255" s="1260"/>
      <c r="NG255" s="1260"/>
      <c r="NH255" s="1260"/>
      <c r="NI255" s="1260"/>
      <c r="NJ255" s="1260"/>
      <c r="NK255" s="1260"/>
      <c r="NL255" s="1260"/>
      <c r="NM255" s="1260"/>
      <c r="NN255" s="1260"/>
      <c r="NO255" s="1260"/>
      <c r="NP255" s="1260"/>
      <c r="NQ255" s="1260"/>
      <c r="NR255" s="1260"/>
      <c r="NS255" s="1260"/>
      <c r="NT255" s="1260"/>
      <c r="NU255" s="1260"/>
      <c r="NV255" s="1260"/>
      <c r="NW255" s="1260"/>
      <c r="NX255" s="1260"/>
      <c r="NY255" s="1260"/>
      <c r="NZ255" s="1260"/>
      <c r="OA255" s="1260"/>
      <c r="OB255" s="1260"/>
      <c r="OC255" s="1260"/>
      <c r="OD255" s="1260"/>
      <c r="OE255" s="1260"/>
      <c r="OF255" s="1260"/>
      <c r="OG255" s="1260"/>
      <c r="OH255" s="1260"/>
      <c r="OI255" s="1260"/>
      <c r="OJ255" s="1260"/>
      <c r="OK255" s="1260"/>
      <c r="OL255" s="1260"/>
      <c r="OM255" s="1260"/>
      <c r="ON255" s="1260"/>
      <c r="OO255" s="1260"/>
      <c r="OP255" s="1260"/>
      <c r="OQ255" s="1260"/>
      <c r="OR255" s="1260"/>
      <c r="OS255" s="1260"/>
      <c r="OT255" s="1260"/>
      <c r="OU255" s="1260"/>
      <c r="OV255" s="1260"/>
      <c r="OW255" s="1260"/>
      <c r="OX255" s="1260"/>
      <c r="OY255" s="1260"/>
      <c r="OZ255" s="1260"/>
      <c r="PA255" s="1260"/>
      <c r="PB255" s="1260"/>
      <c r="PC255" s="1260"/>
      <c r="PD255" s="1260"/>
      <c r="PE255" s="1260"/>
      <c r="PF255" s="1260"/>
      <c r="PG255" s="1260"/>
      <c r="PH255" s="1260"/>
      <c r="PI255" s="1260"/>
      <c r="PJ255" s="1260"/>
      <c r="PK255" s="1260"/>
      <c r="PL255" s="1260"/>
      <c r="PM255" s="1260"/>
      <c r="PN255" s="1260"/>
      <c r="PO255" s="1260"/>
      <c r="PP255" s="1260"/>
      <c r="PQ255" s="1260"/>
      <c r="PR255" s="1260"/>
      <c r="PS255" s="1260"/>
      <c r="PT255" s="1260"/>
      <c r="PU255" s="1260"/>
      <c r="PV255" s="1260"/>
      <c r="PW255" s="1260"/>
      <c r="PX255" s="1260"/>
      <c r="PY255" s="1260"/>
      <c r="PZ255" s="1260"/>
      <c r="QA255" s="1260"/>
      <c r="QB255" s="1260"/>
      <c r="QC255" s="1260"/>
      <c r="QD255" s="1260"/>
      <c r="QE255" s="1260"/>
      <c r="QF255" s="1260"/>
      <c r="QG255" s="1260"/>
      <c r="QH255" s="1260"/>
      <c r="QI255" s="1260"/>
      <c r="QJ255" s="1260"/>
      <c r="QK255" s="1260"/>
      <c r="QL255" s="1260"/>
      <c r="QM255" s="1260"/>
      <c r="QN255" s="1260"/>
      <c r="QO255" s="1260"/>
      <c r="QP255" s="1260"/>
      <c r="QQ255" s="1260"/>
      <c r="QR255" s="1260"/>
      <c r="QS255" s="1260"/>
      <c r="QT255" s="1260"/>
      <c r="QU255" s="1260"/>
      <c r="QV255" s="1260"/>
      <c r="QW255" s="1260"/>
      <c r="QX255" s="1260"/>
      <c r="QY255" s="1260"/>
      <c r="QZ255" s="1260"/>
      <c r="RA255" s="1260"/>
      <c r="RB255" s="1260"/>
      <c r="RC255" s="1260"/>
      <c r="RD255" s="1260"/>
      <c r="RE255" s="1260"/>
      <c r="RF255" s="1260"/>
      <c r="RG255" s="1260"/>
      <c r="RH255" s="1260"/>
      <c r="RI255" s="1260"/>
      <c r="RJ255" s="1260"/>
      <c r="RK255" s="1260"/>
      <c r="RL255" s="1260"/>
      <c r="RM255" s="1260"/>
      <c r="RN255" s="1260"/>
      <c r="RO255" s="1260"/>
      <c r="RP255" s="1260"/>
      <c r="RQ255" s="1260"/>
      <c r="RR255" s="1260"/>
      <c r="RS255" s="1260"/>
      <c r="RT255" s="1260"/>
      <c r="RU255" s="1260"/>
      <c r="RV255" s="1260"/>
      <c r="RW255" s="1260"/>
      <c r="RX255" s="1260"/>
      <c r="RY255" s="1260"/>
      <c r="RZ255" s="1260"/>
      <c r="SA255" s="1260"/>
      <c r="SB255" s="1260"/>
      <c r="SC255" s="1260"/>
      <c r="SD255" s="1260"/>
      <c r="SE255" s="1260"/>
      <c r="SF255" s="1260"/>
      <c r="SG255" s="1260"/>
      <c r="SH255" s="1260"/>
      <c r="SI255" s="1260"/>
      <c r="SJ255" s="1260"/>
      <c r="SK255" s="1260"/>
      <c r="SL255" s="1260"/>
      <c r="SM255" s="1260"/>
      <c r="SN255" s="1260"/>
      <c r="SO255" s="1260"/>
      <c r="SP255" s="1260"/>
      <c r="SQ255" s="1260"/>
      <c r="SR255" s="1260"/>
      <c r="SS255" s="1260"/>
      <c r="ST255" s="1260"/>
      <c r="SU255" s="1260"/>
      <c r="SV255" s="1260"/>
      <c r="SW255" s="1260"/>
      <c r="SX255" s="1260"/>
      <c r="SY255" s="1260"/>
      <c r="SZ255" s="1260"/>
      <c r="TA255" s="1260"/>
      <c r="TB255" s="1260"/>
      <c r="TC255" s="1260"/>
      <c r="TD255" s="1260"/>
      <c r="TE255" s="1260"/>
      <c r="TF255" s="1260"/>
      <c r="TG255" s="1260"/>
      <c r="TH255" s="1260"/>
      <c r="TI255" s="1260"/>
      <c r="TJ255" s="1260"/>
      <c r="TK255" s="1260"/>
      <c r="TL255" s="1260"/>
      <c r="TM255" s="1260"/>
      <c r="TN255" s="1260"/>
      <c r="TO255" s="1260"/>
      <c r="TP255" s="1260"/>
      <c r="TQ255" s="1260"/>
      <c r="TR255" s="1260"/>
      <c r="TS255" s="1260"/>
      <c r="TT255" s="1260"/>
      <c r="TU255" s="1260"/>
      <c r="TV255" s="1260"/>
      <c r="TW255" s="1260"/>
      <c r="TX255" s="1260"/>
      <c r="TY255" s="1260"/>
      <c r="TZ255" s="1260"/>
      <c r="UA255" s="1260"/>
      <c r="UB255" s="1260"/>
      <c r="UC255" s="1260"/>
      <c r="UD255" s="1260"/>
      <c r="UE255" s="1260"/>
      <c r="UF255" s="1260"/>
      <c r="UG255" s="1261"/>
    </row>
    <row r="256" spans="1:553" s="1262" customFormat="1" ht="48" customHeight="1">
      <c r="A256" s="414" t="s">
        <v>15</v>
      </c>
      <c r="B256" s="414"/>
      <c r="C256" s="446" t="s">
        <v>265</v>
      </c>
      <c r="D256" s="503"/>
      <c r="E256" s="503"/>
      <c r="F256" s="446"/>
      <c r="G256" s="415" t="s">
        <v>193</v>
      </c>
      <c r="H256" s="504"/>
      <c r="I256" s="505">
        <v>1</v>
      </c>
      <c r="J256" s="572">
        <v>125000</v>
      </c>
      <c r="K256" s="506"/>
      <c r="L256" s="1290">
        <f t="shared" si="51"/>
        <v>125000</v>
      </c>
      <c r="M256" s="366"/>
      <c r="N256" s="366"/>
      <c r="O256" s="366"/>
      <c r="P256" s="366"/>
      <c r="Q256" s="1136"/>
      <c r="R256" s="1447"/>
      <c r="S256" s="308"/>
      <c r="T256" s="303"/>
      <c r="U256" s="306"/>
      <c r="V256" s="307"/>
      <c r="W256" s="306"/>
      <c r="X256" s="306"/>
      <c r="Y256" s="306"/>
      <c r="Z256" s="306"/>
      <c r="AA256" s="306"/>
      <c r="AB256" s="306"/>
      <c r="AC256" s="449"/>
      <c r="AD256" s="452"/>
      <c r="AE256" s="452"/>
      <c r="AF256" s="452"/>
      <c r="AG256" s="452"/>
      <c r="AH256" s="452"/>
      <c r="AI256" s="452"/>
      <c r="AJ256" s="452"/>
      <c r="AK256" s="452"/>
      <c r="AL256" s="1259"/>
      <c r="AM256" s="1260"/>
      <c r="AN256" s="1260"/>
      <c r="AO256" s="1260"/>
      <c r="AP256" s="1260"/>
      <c r="AQ256" s="1260"/>
      <c r="AR256" s="1260"/>
      <c r="AS256" s="1260"/>
      <c r="AT256" s="1260"/>
      <c r="AU256" s="1260"/>
      <c r="AV256" s="1260"/>
      <c r="AW256" s="1260"/>
      <c r="AX256" s="1260"/>
      <c r="AY256" s="1260"/>
      <c r="AZ256" s="1260"/>
      <c r="BA256" s="1260"/>
      <c r="BB256" s="1260"/>
      <c r="BC256" s="1260"/>
      <c r="BD256" s="1260"/>
      <c r="BE256" s="1260"/>
      <c r="BF256" s="1260"/>
      <c r="BG256" s="1260"/>
      <c r="BH256" s="1260"/>
      <c r="BI256" s="1260"/>
      <c r="BJ256" s="1260"/>
      <c r="BK256" s="1260"/>
      <c r="BL256" s="1260"/>
      <c r="BM256" s="1260"/>
      <c r="BN256" s="1260"/>
      <c r="BO256" s="1260"/>
      <c r="BP256" s="1260"/>
      <c r="BQ256" s="1260"/>
      <c r="BR256" s="1260"/>
      <c r="BS256" s="1260"/>
      <c r="BT256" s="1260"/>
      <c r="BU256" s="1260"/>
      <c r="BV256" s="1260"/>
      <c r="BW256" s="1260"/>
      <c r="BX256" s="1260"/>
      <c r="BY256" s="1260"/>
      <c r="BZ256" s="1260"/>
      <c r="CA256" s="1260"/>
      <c r="CB256" s="1260"/>
      <c r="CC256" s="1260"/>
      <c r="CD256" s="1260"/>
      <c r="CE256" s="1260"/>
      <c r="CF256" s="1260"/>
      <c r="CG256" s="1260"/>
      <c r="CH256" s="1260"/>
      <c r="CI256" s="1260"/>
      <c r="CJ256" s="1260"/>
      <c r="CK256" s="1260"/>
      <c r="CL256" s="1260"/>
      <c r="CM256" s="1260"/>
      <c r="CN256" s="1260"/>
      <c r="CO256" s="1260"/>
      <c r="CP256" s="1260"/>
      <c r="CQ256" s="1260"/>
      <c r="CR256" s="1260"/>
      <c r="CS256" s="1260"/>
      <c r="CT256" s="1260"/>
      <c r="CU256" s="1260"/>
      <c r="CV256" s="1260"/>
      <c r="CW256" s="1260"/>
      <c r="CX256" s="1260"/>
      <c r="CY256" s="1260"/>
      <c r="CZ256" s="1260"/>
      <c r="DA256" s="1260"/>
      <c r="DB256" s="1260"/>
      <c r="DC256" s="1260"/>
      <c r="DD256" s="1260"/>
      <c r="DE256" s="1260"/>
      <c r="DF256" s="1260"/>
      <c r="DG256" s="1260"/>
      <c r="DH256" s="1260"/>
      <c r="DI256" s="1260"/>
      <c r="DJ256" s="1260"/>
      <c r="DK256" s="1260"/>
      <c r="DL256" s="1260"/>
      <c r="DM256" s="1260"/>
      <c r="DN256" s="1260"/>
      <c r="DO256" s="1260"/>
      <c r="DP256" s="1260"/>
      <c r="DQ256" s="1260"/>
      <c r="DR256" s="1260"/>
      <c r="DS256" s="1260"/>
      <c r="DT256" s="1260"/>
      <c r="DU256" s="1260"/>
      <c r="DV256" s="1260"/>
      <c r="DW256" s="1260"/>
      <c r="DX256" s="1260"/>
      <c r="DY256" s="1260"/>
      <c r="DZ256" s="1260"/>
      <c r="EA256" s="1260"/>
      <c r="EB256" s="1260"/>
      <c r="EC256" s="1260"/>
      <c r="ED256" s="1260"/>
      <c r="EE256" s="1260"/>
      <c r="EF256" s="1260"/>
      <c r="EG256" s="1260"/>
      <c r="EH256" s="1260"/>
      <c r="EI256" s="1260"/>
      <c r="EJ256" s="1260"/>
      <c r="EK256" s="1260"/>
      <c r="EL256" s="1260"/>
      <c r="EM256" s="1260"/>
      <c r="EN256" s="1260"/>
      <c r="EO256" s="1260"/>
      <c r="EP256" s="1260"/>
      <c r="EQ256" s="1260"/>
      <c r="ER256" s="1260"/>
      <c r="ES256" s="1260"/>
      <c r="ET256" s="1260"/>
      <c r="EU256" s="1260"/>
      <c r="EV256" s="1260"/>
      <c r="EW256" s="1260"/>
      <c r="EX256" s="1260"/>
      <c r="EY256" s="1260"/>
      <c r="EZ256" s="1260"/>
      <c r="FA256" s="1260"/>
      <c r="FB256" s="1260"/>
      <c r="FC256" s="1260"/>
      <c r="FD256" s="1260"/>
      <c r="FE256" s="1260"/>
      <c r="FF256" s="1260"/>
      <c r="FG256" s="1260"/>
      <c r="FH256" s="1260"/>
      <c r="FI256" s="1260"/>
      <c r="FJ256" s="1260"/>
      <c r="FK256" s="1260"/>
      <c r="FL256" s="1260"/>
      <c r="FM256" s="1260"/>
      <c r="FN256" s="1260"/>
      <c r="FO256" s="1260"/>
      <c r="FP256" s="1260"/>
      <c r="FQ256" s="1260"/>
      <c r="FR256" s="1260"/>
      <c r="FS256" s="1260"/>
      <c r="FT256" s="1260"/>
      <c r="FU256" s="1260"/>
      <c r="FV256" s="1260"/>
      <c r="FW256" s="1260"/>
      <c r="FX256" s="1260"/>
      <c r="FY256" s="1260"/>
      <c r="FZ256" s="1260"/>
      <c r="GA256" s="1260"/>
      <c r="GB256" s="1260"/>
      <c r="GC256" s="1260"/>
      <c r="GD256" s="1260"/>
      <c r="GE256" s="1260"/>
      <c r="GF256" s="1260"/>
      <c r="GG256" s="1260"/>
      <c r="GH256" s="1260"/>
      <c r="GI256" s="1260"/>
      <c r="GJ256" s="1260"/>
      <c r="GK256" s="1260"/>
      <c r="GL256" s="1260"/>
      <c r="GM256" s="1260"/>
      <c r="GN256" s="1260"/>
      <c r="GO256" s="1260"/>
      <c r="GP256" s="1260"/>
      <c r="GQ256" s="1260"/>
      <c r="GR256" s="1260"/>
      <c r="GS256" s="1260"/>
      <c r="GT256" s="1260"/>
      <c r="GU256" s="1260"/>
      <c r="GV256" s="1260"/>
      <c r="GW256" s="1260"/>
      <c r="GX256" s="1260"/>
      <c r="GY256" s="1260"/>
      <c r="GZ256" s="1260"/>
      <c r="HA256" s="1260"/>
      <c r="HB256" s="1260"/>
      <c r="HC256" s="1260"/>
      <c r="HD256" s="1260"/>
      <c r="HE256" s="1260"/>
      <c r="HF256" s="1260"/>
      <c r="HG256" s="1260"/>
      <c r="HH256" s="1260"/>
      <c r="HI256" s="1260"/>
      <c r="HJ256" s="1260"/>
      <c r="HK256" s="1260"/>
      <c r="HL256" s="1260"/>
      <c r="HM256" s="1260"/>
      <c r="HN256" s="1260"/>
      <c r="HO256" s="1260"/>
      <c r="HP256" s="1260"/>
      <c r="HQ256" s="1260"/>
      <c r="HR256" s="1260"/>
      <c r="HS256" s="1260"/>
      <c r="HT256" s="1260"/>
      <c r="HU256" s="1260"/>
      <c r="HV256" s="1260"/>
      <c r="HW256" s="1260"/>
      <c r="HX256" s="1260"/>
      <c r="HY256" s="1260"/>
      <c r="HZ256" s="1260"/>
      <c r="IA256" s="1260"/>
      <c r="IB256" s="1260"/>
      <c r="IC256" s="1260"/>
      <c r="ID256" s="1260"/>
      <c r="IE256" s="1260"/>
      <c r="IF256" s="1260"/>
      <c r="IG256" s="1260"/>
      <c r="IH256" s="1260"/>
      <c r="II256" s="1260"/>
      <c r="IJ256" s="1260"/>
      <c r="IK256" s="1260"/>
      <c r="IL256" s="1260"/>
      <c r="IM256" s="1260"/>
      <c r="IN256" s="1260"/>
      <c r="IO256" s="1260"/>
      <c r="IP256" s="1260"/>
      <c r="IQ256" s="1260"/>
      <c r="IR256" s="1260"/>
      <c r="IS256" s="1260"/>
      <c r="IT256" s="1260"/>
      <c r="IU256" s="1260"/>
      <c r="IV256" s="1260"/>
      <c r="IW256" s="1260"/>
      <c r="IX256" s="1260"/>
      <c r="IY256" s="1260"/>
      <c r="IZ256" s="1260"/>
      <c r="JA256" s="1260"/>
      <c r="JB256" s="1260"/>
      <c r="JC256" s="1260"/>
      <c r="JD256" s="1260"/>
      <c r="JE256" s="1260"/>
      <c r="JF256" s="1260"/>
      <c r="JG256" s="1260"/>
      <c r="JH256" s="1260"/>
      <c r="JI256" s="1260"/>
      <c r="JJ256" s="1260"/>
      <c r="JK256" s="1260"/>
      <c r="JL256" s="1260"/>
      <c r="JM256" s="1260"/>
      <c r="JN256" s="1260"/>
      <c r="JO256" s="1260"/>
      <c r="JP256" s="1260"/>
      <c r="JQ256" s="1260"/>
      <c r="JR256" s="1260"/>
      <c r="JS256" s="1260"/>
      <c r="JT256" s="1260"/>
      <c r="JU256" s="1260"/>
      <c r="JV256" s="1260"/>
      <c r="JW256" s="1260"/>
      <c r="JX256" s="1260"/>
      <c r="JY256" s="1260"/>
      <c r="JZ256" s="1260"/>
      <c r="KA256" s="1260"/>
      <c r="KB256" s="1260"/>
      <c r="KC256" s="1260"/>
      <c r="KD256" s="1260"/>
      <c r="KE256" s="1260"/>
      <c r="KF256" s="1260"/>
      <c r="KG256" s="1260"/>
      <c r="KH256" s="1260"/>
      <c r="KI256" s="1260"/>
      <c r="KJ256" s="1260"/>
      <c r="KK256" s="1260"/>
      <c r="KL256" s="1260"/>
      <c r="KM256" s="1260"/>
      <c r="KN256" s="1260"/>
      <c r="KO256" s="1260"/>
      <c r="KP256" s="1260"/>
      <c r="KQ256" s="1260"/>
      <c r="KR256" s="1260"/>
      <c r="KS256" s="1260"/>
      <c r="KT256" s="1260"/>
      <c r="KU256" s="1260"/>
      <c r="KV256" s="1260"/>
      <c r="KW256" s="1260"/>
      <c r="KX256" s="1260"/>
      <c r="KY256" s="1260"/>
      <c r="KZ256" s="1260"/>
      <c r="LA256" s="1260"/>
      <c r="LB256" s="1260"/>
      <c r="LC256" s="1260"/>
      <c r="LD256" s="1260"/>
      <c r="LE256" s="1260"/>
      <c r="LF256" s="1260"/>
      <c r="LG256" s="1260"/>
      <c r="LH256" s="1260"/>
      <c r="LI256" s="1260"/>
      <c r="LJ256" s="1260"/>
      <c r="LK256" s="1260"/>
      <c r="LL256" s="1260"/>
      <c r="LM256" s="1260"/>
      <c r="LN256" s="1260"/>
      <c r="LO256" s="1260"/>
      <c r="LP256" s="1260"/>
      <c r="LQ256" s="1260"/>
      <c r="LR256" s="1260"/>
      <c r="LS256" s="1260"/>
      <c r="LT256" s="1260"/>
      <c r="LU256" s="1260"/>
      <c r="LV256" s="1260"/>
      <c r="LW256" s="1260"/>
      <c r="LX256" s="1260"/>
      <c r="LY256" s="1260"/>
      <c r="LZ256" s="1260"/>
      <c r="MA256" s="1260"/>
      <c r="MB256" s="1260"/>
      <c r="MC256" s="1260"/>
      <c r="MD256" s="1260"/>
      <c r="ME256" s="1260"/>
      <c r="MF256" s="1260"/>
      <c r="MG256" s="1260"/>
      <c r="MH256" s="1260"/>
      <c r="MI256" s="1260"/>
      <c r="MJ256" s="1260"/>
      <c r="MK256" s="1260"/>
      <c r="ML256" s="1260"/>
      <c r="MM256" s="1260"/>
      <c r="MN256" s="1260"/>
      <c r="MO256" s="1260"/>
      <c r="MP256" s="1260"/>
      <c r="MQ256" s="1260"/>
      <c r="MR256" s="1260"/>
      <c r="MS256" s="1260"/>
      <c r="MT256" s="1260"/>
      <c r="MU256" s="1260"/>
      <c r="MV256" s="1260"/>
      <c r="MW256" s="1260"/>
      <c r="MX256" s="1260"/>
      <c r="MY256" s="1260"/>
      <c r="MZ256" s="1260"/>
      <c r="NA256" s="1260"/>
      <c r="NB256" s="1260"/>
      <c r="NC256" s="1260"/>
      <c r="ND256" s="1260"/>
      <c r="NE256" s="1260"/>
      <c r="NF256" s="1260"/>
      <c r="NG256" s="1260"/>
      <c r="NH256" s="1260"/>
      <c r="NI256" s="1260"/>
      <c r="NJ256" s="1260"/>
      <c r="NK256" s="1260"/>
      <c r="NL256" s="1260"/>
      <c r="NM256" s="1260"/>
      <c r="NN256" s="1260"/>
      <c r="NO256" s="1260"/>
      <c r="NP256" s="1260"/>
      <c r="NQ256" s="1260"/>
      <c r="NR256" s="1260"/>
      <c r="NS256" s="1260"/>
      <c r="NT256" s="1260"/>
      <c r="NU256" s="1260"/>
      <c r="NV256" s="1260"/>
      <c r="NW256" s="1260"/>
      <c r="NX256" s="1260"/>
      <c r="NY256" s="1260"/>
      <c r="NZ256" s="1260"/>
      <c r="OA256" s="1260"/>
      <c r="OB256" s="1260"/>
      <c r="OC256" s="1260"/>
      <c r="OD256" s="1260"/>
      <c r="OE256" s="1260"/>
      <c r="OF256" s="1260"/>
      <c r="OG256" s="1260"/>
      <c r="OH256" s="1260"/>
      <c r="OI256" s="1260"/>
      <c r="OJ256" s="1260"/>
      <c r="OK256" s="1260"/>
      <c r="OL256" s="1260"/>
      <c r="OM256" s="1260"/>
      <c r="ON256" s="1260"/>
      <c r="OO256" s="1260"/>
      <c r="OP256" s="1260"/>
      <c r="OQ256" s="1260"/>
      <c r="OR256" s="1260"/>
      <c r="OS256" s="1260"/>
      <c r="OT256" s="1260"/>
      <c r="OU256" s="1260"/>
      <c r="OV256" s="1260"/>
      <c r="OW256" s="1260"/>
      <c r="OX256" s="1260"/>
      <c r="OY256" s="1260"/>
      <c r="OZ256" s="1260"/>
      <c r="PA256" s="1260"/>
      <c r="PB256" s="1260"/>
      <c r="PC256" s="1260"/>
      <c r="PD256" s="1260"/>
      <c r="PE256" s="1260"/>
      <c r="PF256" s="1260"/>
      <c r="PG256" s="1260"/>
      <c r="PH256" s="1260"/>
      <c r="PI256" s="1260"/>
      <c r="PJ256" s="1260"/>
      <c r="PK256" s="1260"/>
      <c r="PL256" s="1260"/>
      <c r="PM256" s="1260"/>
      <c r="PN256" s="1260"/>
      <c r="PO256" s="1260"/>
      <c r="PP256" s="1260"/>
      <c r="PQ256" s="1260"/>
      <c r="PR256" s="1260"/>
      <c r="PS256" s="1260"/>
      <c r="PT256" s="1260"/>
      <c r="PU256" s="1260"/>
      <c r="PV256" s="1260"/>
      <c r="PW256" s="1260"/>
      <c r="PX256" s="1260"/>
      <c r="PY256" s="1260"/>
      <c r="PZ256" s="1260"/>
      <c r="QA256" s="1260"/>
      <c r="QB256" s="1260"/>
      <c r="QC256" s="1260"/>
      <c r="QD256" s="1260"/>
      <c r="QE256" s="1260"/>
      <c r="QF256" s="1260"/>
      <c r="QG256" s="1260"/>
      <c r="QH256" s="1260"/>
      <c r="QI256" s="1260"/>
      <c r="QJ256" s="1260"/>
      <c r="QK256" s="1260"/>
      <c r="QL256" s="1260"/>
      <c r="QM256" s="1260"/>
      <c r="QN256" s="1260"/>
      <c r="QO256" s="1260"/>
      <c r="QP256" s="1260"/>
      <c r="QQ256" s="1260"/>
      <c r="QR256" s="1260"/>
      <c r="QS256" s="1260"/>
      <c r="QT256" s="1260"/>
      <c r="QU256" s="1260"/>
      <c r="QV256" s="1260"/>
      <c r="QW256" s="1260"/>
      <c r="QX256" s="1260"/>
      <c r="QY256" s="1260"/>
      <c r="QZ256" s="1260"/>
      <c r="RA256" s="1260"/>
      <c r="RB256" s="1260"/>
      <c r="RC256" s="1260"/>
      <c r="RD256" s="1260"/>
      <c r="RE256" s="1260"/>
      <c r="RF256" s="1260"/>
      <c r="RG256" s="1260"/>
      <c r="RH256" s="1260"/>
      <c r="RI256" s="1260"/>
      <c r="RJ256" s="1260"/>
      <c r="RK256" s="1260"/>
      <c r="RL256" s="1260"/>
      <c r="RM256" s="1260"/>
      <c r="RN256" s="1260"/>
      <c r="RO256" s="1260"/>
      <c r="RP256" s="1260"/>
      <c r="RQ256" s="1260"/>
      <c r="RR256" s="1260"/>
      <c r="RS256" s="1260"/>
      <c r="RT256" s="1260"/>
      <c r="RU256" s="1260"/>
      <c r="RV256" s="1260"/>
      <c r="RW256" s="1260"/>
      <c r="RX256" s="1260"/>
      <c r="RY256" s="1260"/>
      <c r="RZ256" s="1260"/>
      <c r="SA256" s="1260"/>
      <c r="SB256" s="1260"/>
      <c r="SC256" s="1260"/>
      <c r="SD256" s="1260"/>
      <c r="SE256" s="1260"/>
      <c r="SF256" s="1260"/>
      <c r="SG256" s="1260"/>
      <c r="SH256" s="1260"/>
      <c r="SI256" s="1260"/>
      <c r="SJ256" s="1260"/>
      <c r="SK256" s="1260"/>
      <c r="SL256" s="1260"/>
      <c r="SM256" s="1260"/>
      <c r="SN256" s="1260"/>
      <c r="SO256" s="1260"/>
      <c r="SP256" s="1260"/>
      <c r="SQ256" s="1260"/>
      <c r="SR256" s="1260"/>
      <c r="SS256" s="1260"/>
      <c r="ST256" s="1260"/>
      <c r="SU256" s="1260"/>
      <c r="SV256" s="1260"/>
      <c r="SW256" s="1260"/>
      <c r="SX256" s="1260"/>
      <c r="SY256" s="1260"/>
      <c r="SZ256" s="1260"/>
      <c r="TA256" s="1260"/>
      <c r="TB256" s="1260"/>
      <c r="TC256" s="1260"/>
      <c r="TD256" s="1260"/>
      <c r="TE256" s="1260"/>
      <c r="TF256" s="1260"/>
      <c r="TG256" s="1260"/>
      <c r="TH256" s="1260"/>
      <c r="TI256" s="1260"/>
      <c r="TJ256" s="1260"/>
      <c r="TK256" s="1260"/>
      <c r="TL256" s="1260"/>
      <c r="TM256" s="1260"/>
      <c r="TN256" s="1260"/>
      <c r="TO256" s="1260"/>
      <c r="TP256" s="1260"/>
      <c r="TQ256" s="1260"/>
      <c r="TR256" s="1260"/>
      <c r="TS256" s="1260"/>
      <c r="TT256" s="1260"/>
      <c r="TU256" s="1260"/>
      <c r="TV256" s="1260"/>
      <c r="TW256" s="1260"/>
      <c r="TX256" s="1260"/>
      <c r="TY256" s="1260"/>
      <c r="TZ256" s="1260"/>
      <c r="UA256" s="1260"/>
      <c r="UB256" s="1260"/>
      <c r="UC256" s="1260"/>
      <c r="UD256" s="1260"/>
      <c r="UE256" s="1260"/>
      <c r="UF256" s="1260"/>
      <c r="UG256" s="1261"/>
    </row>
    <row r="257" spans="1:553" s="1262" customFormat="1" ht="48" customHeight="1">
      <c r="A257" s="356" t="s">
        <v>15</v>
      </c>
      <c r="B257" s="356"/>
      <c r="C257" s="427" t="s">
        <v>266</v>
      </c>
      <c r="D257" s="493"/>
      <c r="E257" s="493"/>
      <c r="F257" s="427"/>
      <c r="G257" s="366" t="s">
        <v>193</v>
      </c>
      <c r="H257" s="370"/>
      <c r="I257" s="443">
        <v>40</v>
      </c>
      <c r="J257" s="797">
        <v>30000</v>
      </c>
      <c r="K257" s="388"/>
      <c r="L257" s="369">
        <f>ROUND(PRODUCT(I257:K257),0)</f>
        <v>1200000</v>
      </c>
      <c r="M257" s="366"/>
      <c r="N257" s="366"/>
      <c r="O257" s="366"/>
      <c r="P257" s="366"/>
      <c r="Q257" s="1136"/>
      <c r="R257" s="1447"/>
      <c r="S257" s="308"/>
      <c r="T257" s="303"/>
      <c r="U257" s="306"/>
      <c r="V257" s="307"/>
      <c r="W257" s="306"/>
      <c r="X257" s="306"/>
      <c r="Y257" s="306"/>
      <c r="Z257" s="306"/>
      <c r="AA257" s="306"/>
      <c r="AB257" s="306"/>
      <c r="AC257" s="449"/>
      <c r="AD257" s="452"/>
      <c r="AE257" s="452"/>
      <c r="AF257" s="452"/>
      <c r="AG257" s="452"/>
      <c r="AH257" s="452"/>
      <c r="AI257" s="452"/>
      <c r="AJ257" s="452"/>
      <c r="AK257" s="452"/>
      <c r="AL257" s="1259"/>
      <c r="AM257" s="1260"/>
      <c r="AN257" s="1260"/>
      <c r="AO257" s="1260"/>
      <c r="AP257" s="1260"/>
      <c r="AQ257" s="1260"/>
      <c r="AR257" s="1260"/>
      <c r="AS257" s="1260"/>
      <c r="AT257" s="1260"/>
      <c r="AU257" s="1260"/>
      <c r="AV257" s="1260"/>
      <c r="AW257" s="1260"/>
      <c r="AX257" s="1260"/>
      <c r="AY257" s="1260"/>
      <c r="AZ257" s="1260"/>
      <c r="BA257" s="1260"/>
      <c r="BB257" s="1260"/>
      <c r="BC257" s="1260"/>
      <c r="BD257" s="1260"/>
      <c r="BE257" s="1260"/>
      <c r="BF257" s="1260"/>
      <c r="BG257" s="1260"/>
      <c r="BH257" s="1260"/>
      <c r="BI257" s="1260"/>
      <c r="BJ257" s="1260"/>
      <c r="BK257" s="1260"/>
      <c r="BL257" s="1260"/>
      <c r="BM257" s="1260"/>
      <c r="BN257" s="1260"/>
      <c r="BO257" s="1260"/>
      <c r="BP257" s="1260"/>
      <c r="BQ257" s="1260"/>
      <c r="BR257" s="1260"/>
      <c r="BS257" s="1260"/>
      <c r="BT257" s="1260"/>
      <c r="BU257" s="1260"/>
      <c r="BV257" s="1260"/>
      <c r="BW257" s="1260"/>
      <c r="BX257" s="1260"/>
      <c r="BY257" s="1260"/>
      <c r="BZ257" s="1260"/>
      <c r="CA257" s="1260"/>
      <c r="CB257" s="1260"/>
      <c r="CC257" s="1260"/>
      <c r="CD257" s="1260"/>
      <c r="CE257" s="1260"/>
      <c r="CF257" s="1260"/>
      <c r="CG257" s="1260"/>
      <c r="CH257" s="1260"/>
      <c r="CI257" s="1260"/>
      <c r="CJ257" s="1260"/>
      <c r="CK257" s="1260"/>
      <c r="CL257" s="1260"/>
      <c r="CM257" s="1260"/>
      <c r="CN257" s="1260"/>
      <c r="CO257" s="1260"/>
      <c r="CP257" s="1260"/>
      <c r="CQ257" s="1260"/>
      <c r="CR257" s="1260"/>
      <c r="CS257" s="1260"/>
      <c r="CT257" s="1260"/>
      <c r="CU257" s="1260"/>
      <c r="CV257" s="1260"/>
      <c r="CW257" s="1260"/>
      <c r="CX257" s="1260"/>
      <c r="CY257" s="1260"/>
      <c r="CZ257" s="1260"/>
      <c r="DA257" s="1260"/>
      <c r="DB257" s="1260"/>
      <c r="DC257" s="1260"/>
      <c r="DD257" s="1260"/>
      <c r="DE257" s="1260"/>
      <c r="DF257" s="1260"/>
      <c r="DG257" s="1260"/>
      <c r="DH257" s="1260"/>
      <c r="DI257" s="1260"/>
      <c r="DJ257" s="1260"/>
      <c r="DK257" s="1260"/>
      <c r="DL257" s="1260"/>
      <c r="DM257" s="1260"/>
      <c r="DN257" s="1260"/>
      <c r="DO257" s="1260"/>
      <c r="DP257" s="1260"/>
      <c r="DQ257" s="1260"/>
      <c r="DR257" s="1260"/>
      <c r="DS257" s="1260"/>
      <c r="DT257" s="1260"/>
      <c r="DU257" s="1260"/>
      <c r="DV257" s="1260"/>
      <c r="DW257" s="1260"/>
      <c r="DX257" s="1260"/>
      <c r="DY257" s="1260"/>
      <c r="DZ257" s="1260"/>
      <c r="EA257" s="1260"/>
      <c r="EB257" s="1260"/>
      <c r="EC257" s="1260"/>
      <c r="ED257" s="1260"/>
      <c r="EE257" s="1260"/>
      <c r="EF257" s="1260"/>
      <c r="EG257" s="1260"/>
      <c r="EH257" s="1260"/>
      <c r="EI257" s="1260"/>
      <c r="EJ257" s="1260"/>
      <c r="EK257" s="1260"/>
      <c r="EL257" s="1260"/>
      <c r="EM257" s="1260"/>
      <c r="EN257" s="1260"/>
      <c r="EO257" s="1260"/>
      <c r="EP257" s="1260"/>
      <c r="EQ257" s="1260"/>
      <c r="ER257" s="1260"/>
      <c r="ES257" s="1260"/>
      <c r="ET257" s="1260"/>
      <c r="EU257" s="1260"/>
      <c r="EV257" s="1260"/>
      <c r="EW257" s="1260"/>
      <c r="EX257" s="1260"/>
      <c r="EY257" s="1260"/>
      <c r="EZ257" s="1260"/>
      <c r="FA257" s="1260"/>
      <c r="FB257" s="1260"/>
      <c r="FC257" s="1260"/>
      <c r="FD257" s="1260"/>
      <c r="FE257" s="1260"/>
      <c r="FF257" s="1260"/>
      <c r="FG257" s="1260"/>
      <c r="FH257" s="1260"/>
      <c r="FI257" s="1260"/>
      <c r="FJ257" s="1260"/>
      <c r="FK257" s="1260"/>
      <c r="FL257" s="1260"/>
      <c r="FM257" s="1260"/>
      <c r="FN257" s="1260"/>
      <c r="FO257" s="1260"/>
      <c r="FP257" s="1260"/>
      <c r="FQ257" s="1260"/>
      <c r="FR257" s="1260"/>
      <c r="FS257" s="1260"/>
      <c r="FT257" s="1260"/>
      <c r="FU257" s="1260"/>
      <c r="FV257" s="1260"/>
      <c r="FW257" s="1260"/>
      <c r="FX257" s="1260"/>
      <c r="FY257" s="1260"/>
      <c r="FZ257" s="1260"/>
      <c r="GA257" s="1260"/>
      <c r="GB257" s="1260"/>
      <c r="GC257" s="1260"/>
      <c r="GD257" s="1260"/>
      <c r="GE257" s="1260"/>
      <c r="GF257" s="1260"/>
      <c r="GG257" s="1260"/>
      <c r="GH257" s="1260"/>
      <c r="GI257" s="1260"/>
      <c r="GJ257" s="1260"/>
      <c r="GK257" s="1260"/>
      <c r="GL257" s="1260"/>
      <c r="GM257" s="1260"/>
      <c r="GN257" s="1260"/>
      <c r="GO257" s="1260"/>
      <c r="GP257" s="1260"/>
      <c r="GQ257" s="1260"/>
      <c r="GR257" s="1260"/>
      <c r="GS257" s="1260"/>
      <c r="GT257" s="1260"/>
      <c r="GU257" s="1260"/>
      <c r="GV257" s="1260"/>
      <c r="GW257" s="1260"/>
      <c r="GX257" s="1260"/>
      <c r="GY257" s="1260"/>
      <c r="GZ257" s="1260"/>
      <c r="HA257" s="1260"/>
      <c r="HB257" s="1260"/>
      <c r="HC257" s="1260"/>
      <c r="HD257" s="1260"/>
      <c r="HE257" s="1260"/>
      <c r="HF257" s="1260"/>
      <c r="HG257" s="1260"/>
      <c r="HH257" s="1260"/>
      <c r="HI257" s="1260"/>
      <c r="HJ257" s="1260"/>
      <c r="HK257" s="1260"/>
      <c r="HL257" s="1260"/>
      <c r="HM257" s="1260"/>
      <c r="HN257" s="1260"/>
      <c r="HO257" s="1260"/>
      <c r="HP257" s="1260"/>
      <c r="HQ257" s="1260"/>
      <c r="HR257" s="1260"/>
      <c r="HS257" s="1260"/>
      <c r="HT257" s="1260"/>
      <c r="HU257" s="1260"/>
      <c r="HV257" s="1260"/>
      <c r="HW257" s="1260"/>
      <c r="HX257" s="1260"/>
      <c r="HY257" s="1260"/>
      <c r="HZ257" s="1260"/>
      <c r="IA257" s="1260"/>
      <c r="IB257" s="1260"/>
      <c r="IC257" s="1260"/>
      <c r="ID257" s="1260"/>
      <c r="IE257" s="1260"/>
      <c r="IF257" s="1260"/>
      <c r="IG257" s="1260"/>
      <c r="IH257" s="1260"/>
      <c r="II257" s="1260"/>
      <c r="IJ257" s="1260"/>
      <c r="IK257" s="1260"/>
      <c r="IL257" s="1260"/>
      <c r="IM257" s="1260"/>
      <c r="IN257" s="1260"/>
      <c r="IO257" s="1260"/>
      <c r="IP257" s="1260"/>
      <c r="IQ257" s="1260"/>
      <c r="IR257" s="1260"/>
      <c r="IS257" s="1260"/>
      <c r="IT257" s="1260"/>
      <c r="IU257" s="1260"/>
      <c r="IV257" s="1260"/>
      <c r="IW257" s="1260"/>
      <c r="IX257" s="1260"/>
      <c r="IY257" s="1260"/>
      <c r="IZ257" s="1260"/>
      <c r="JA257" s="1260"/>
      <c r="JB257" s="1260"/>
      <c r="JC257" s="1260"/>
      <c r="JD257" s="1260"/>
      <c r="JE257" s="1260"/>
      <c r="JF257" s="1260"/>
      <c r="JG257" s="1260"/>
      <c r="JH257" s="1260"/>
      <c r="JI257" s="1260"/>
      <c r="JJ257" s="1260"/>
      <c r="JK257" s="1260"/>
      <c r="JL257" s="1260"/>
      <c r="JM257" s="1260"/>
      <c r="JN257" s="1260"/>
      <c r="JO257" s="1260"/>
      <c r="JP257" s="1260"/>
      <c r="JQ257" s="1260"/>
      <c r="JR257" s="1260"/>
      <c r="JS257" s="1260"/>
      <c r="JT257" s="1260"/>
      <c r="JU257" s="1260"/>
      <c r="JV257" s="1260"/>
      <c r="JW257" s="1260"/>
      <c r="JX257" s="1260"/>
      <c r="JY257" s="1260"/>
      <c r="JZ257" s="1260"/>
      <c r="KA257" s="1260"/>
      <c r="KB257" s="1260"/>
      <c r="KC257" s="1260"/>
      <c r="KD257" s="1260"/>
      <c r="KE257" s="1260"/>
      <c r="KF257" s="1260"/>
      <c r="KG257" s="1260"/>
      <c r="KH257" s="1260"/>
      <c r="KI257" s="1260"/>
      <c r="KJ257" s="1260"/>
      <c r="KK257" s="1260"/>
      <c r="KL257" s="1260"/>
      <c r="KM257" s="1260"/>
      <c r="KN257" s="1260"/>
      <c r="KO257" s="1260"/>
      <c r="KP257" s="1260"/>
      <c r="KQ257" s="1260"/>
      <c r="KR257" s="1260"/>
      <c r="KS257" s="1260"/>
      <c r="KT257" s="1260"/>
      <c r="KU257" s="1260"/>
      <c r="KV257" s="1260"/>
      <c r="KW257" s="1260"/>
      <c r="KX257" s="1260"/>
      <c r="KY257" s="1260"/>
      <c r="KZ257" s="1260"/>
      <c r="LA257" s="1260"/>
      <c r="LB257" s="1260"/>
      <c r="LC257" s="1260"/>
      <c r="LD257" s="1260"/>
      <c r="LE257" s="1260"/>
      <c r="LF257" s="1260"/>
      <c r="LG257" s="1260"/>
      <c r="LH257" s="1260"/>
      <c r="LI257" s="1260"/>
      <c r="LJ257" s="1260"/>
      <c r="LK257" s="1260"/>
      <c r="LL257" s="1260"/>
      <c r="LM257" s="1260"/>
      <c r="LN257" s="1260"/>
      <c r="LO257" s="1260"/>
      <c r="LP257" s="1260"/>
      <c r="LQ257" s="1260"/>
      <c r="LR257" s="1260"/>
      <c r="LS257" s="1260"/>
      <c r="LT257" s="1260"/>
      <c r="LU257" s="1260"/>
      <c r="LV257" s="1260"/>
      <c r="LW257" s="1260"/>
      <c r="LX257" s="1260"/>
      <c r="LY257" s="1260"/>
      <c r="LZ257" s="1260"/>
      <c r="MA257" s="1260"/>
      <c r="MB257" s="1260"/>
      <c r="MC257" s="1260"/>
      <c r="MD257" s="1260"/>
      <c r="ME257" s="1260"/>
      <c r="MF257" s="1260"/>
      <c r="MG257" s="1260"/>
      <c r="MH257" s="1260"/>
      <c r="MI257" s="1260"/>
      <c r="MJ257" s="1260"/>
      <c r="MK257" s="1260"/>
      <c r="ML257" s="1260"/>
      <c r="MM257" s="1260"/>
      <c r="MN257" s="1260"/>
      <c r="MO257" s="1260"/>
      <c r="MP257" s="1260"/>
      <c r="MQ257" s="1260"/>
      <c r="MR257" s="1260"/>
      <c r="MS257" s="1260"/>
      <c r="MT257" s="1260"/>
      <c r="MU257" s="1260"/>
      <c r="MV257" s="1260"/>
      <c r="MW257" s="1260"/>
      <c r="MX257" s="1260"/>
      <c r="MY257" s="1260"/>
      <c r="MZ257" s="1260"/>
      <c r="NA257" s="1260"/>
      <c r="NB257" s="1260"/>
      <c r="NC257" s="1260"/>
      <c r="ND257" s="1260"/>
      <c r="NE257" s="1260"/>
      <c r="NF257" s="1260"/>
      <c r="NG257" s="1260"/>
      <c r="NH257" s="1260"/>
      <c r="NI257" s="1260"/>
      <c r="NJ257" s="1260"/>
      <c r="NK257" s="1260"/>
      <c r="NL257" s="1260"/>
      <c r="NM257" s="1260"/>
      <c r="NN257" s="1260"/>
      <c r="NO257" s="1260"/>
      <c r="NP257" s="1260"/>
      <c r="NQ257" s="1260"/>
      <c r="NR257" s="1260"/>
      <c r="NS257" s="1260"/>
      <c r="NT257" s="1260"/>
      <c r="NU257" s="1260"/>
      <c r="NV257" s="1260"/>
      <c r="NW257" s="1260"/>
      <c r="NX257" s="1260"/>
      <c r="NY257" s="1260"/>
      <c r="NZ257" s="1260"/>
      <c r="OA257" s="1260"/>
      <c r="OB257" s="1260"/>
      <c r="OC257" s="1260"/>
      <c r="OD257" s="1260"/>
      <c r="OE257" s="1260"/>
      <c r="OF257" s="1260"/>
      <c r="OG257" s="1260"/>
      <c r="OH257" s="1260"/>
      <c r="OI257" s="1260"/>
      <c r="OJ257" s="1260"/>
      <c r="OK257" s="1260"/>
      <c r="OL257" s="1260"/>
      <c r="OM257" s="1260"/>
      <c r="ON257" s="1260"/>
      <c r="OO257" s="1260"/>
      <c r="OP257" s="1260"/>
      <c r="OQ257" s="1260"/>
      <c r="OR257" s="1260"/>
      <c r="OS257" s="1260"/>
      <c r="OT257" s="1260"/>
      <c r="OU257" s="1260"/>
      <c r="OV257" s="1260"/>
      <c r="OW257" s="1260"/>
      <c r="OX257" s="1260"/>
      <c r="OY257" s="1260"/>
      <c r="OZ257" s="1260"/>
      <c r="PA257" s="1260"/>
      <c r="PB257" s="1260"/>
      <c r="PC257" s="1260"/>
      <c r="PD257" s="1260"/>
      <c r="PE257" s="1260"/>
      <c r="PF257" s="1260"/>
      <c r="PG257" s="1260"/>
      <c r="PH257" s="1260"/>
      <c r="PI257" s="1260"/>
      <c r="PJ257" s="1260"/>
      <c r="PK257" s="1260"/>
      <c r="PL257" s="1260"/>
      <c r="PM257" s="1260"/>
      <c r="PN257" s="1260"/>
      <c r="PO257" s="1260"/>
      <c r="PP257" s="1260"/>
      <c r="PQ257" s="1260"/>
      <c r="PR257" s="1260"/>
      <c r="PS257" s="1260"/>
      <c r="PT257" s="1260"/>
      <c r="PU257" s="1260"/>
      <c r="PV257" s="1260"/>
      <c r="PW257" s="1260"/>
      <c r="PX257" s="1260"/>
      <c r="PY257" s="1260"/>
      <c r="PZ257" s="1260"/>
      <c r="QA257" s="1260"/>
      <c r="QB257" s="1260"/>
      <c r="QC257" s="1260"/>
      <c r="QD257" s="1260"/>
      <c r="QE257" s="1260"/>
      <c r="QF257" s="1260"/>
      <c r="QG257" s="1260"/>
      <c r="QH257" s="1260"/>
      <c r="QI257" s="1260"/>
      <c r="QJ257" s="1260"/>
      <c r="QK257" s="1260"/>
      <c r="QL257" s="1260"/>
      <c r="QM257" s="1260"/>
      <c r="QN257" s="1260"/>
      <c r="QO257" s="1260"/>
      <c r="QP257" s="1260"/>
      <c r="QQ257" s="1260"/>
      <c r="QR257" s="1260"/>
      <c r="QS257" s="1260"/>
      <c r="QT257" s="1260"/>
      <c r="QU257" s="1260"/>
      <c r="QV257" s="1260"/>
      <c r="QW257" s="1260"/>
      <c r="QX257" s="1260"/>
      <c r="QY257" s="1260"/>
      <c r="QZ257" s="1260"/>
      <c r="RA257" s="1260"/>
      <c r="RB257" s="1260"/>
      <c r="RC257" s="1260"/>
      <c r="RD257" s="1260"/>
      <c r="RE257" s="1260"/>
      <c r="RF257" s="1260"/>
      <c r="RG257" s="1260"/>
      <c r="RH257" s="1260"/>
      <c r="RI257" s="1260"/>
      <c r="RJ257" s="1260"/>
      <c r="RK257" s="1260"/>
      <c r="RL257" s="1260"/>
      <c r="RM257" s="1260"/>
      <c r="RN257" s="1260"/>
      <c r="RO257" s="1260"/>
      <c r="RP257" s="1260"/>
      <c r="RQ257" s="1260"/>
      <c r="RR257" s="1260"/>
      <c r="RS257" s="1260"/>
      <c r="RT257" s="1260"/>
      <c r="RU257" s="1260"/>
      <c r="RV257" s="1260"/>
      <c r="RW257" s="1260"/>
      <c r="RX257" s="1260"/>
      <c r="RY257" s="1260"/>
      <c r="RZ257" s="1260"/>
      <c r="SA257" s="1260"/>
      <c r="SB257" s="1260"/>
      <c r="SC257" s="1260"/>
      <c r="SD257" s="1260"/>
      <c r="SE257" s="1260"/>
      <c r="SF257" s="1260"/>
      <c r="SG257" s="1260"/>
      <c r="SH257" s="1260"/>
      <c r="SI257" s="1260"/>
      <c r="SJ257" s="1260"/>
      <c r="SK257" s="1260"/>
      <c r="SL257" s="1260"/>
      <c r="SM257" s="1260"/>
      <c r="SN257" s="1260"/>
      <c r="SO257" s="1260"/>
      <c r="SP257" s="1260"/>
      <c r="SQ257" s="1260"/>
      <c r="SR257" s="1260"/>
      <c r="SS257" s="1260"/>
      <c r="ST257" s="1260"/>
      <c r="SU257" s="1260"/>
      <c r="SV257" s="1260"/>
      <c r="SW257" s="1260"/>
      <c r="SX257" s="1260"/>
      <c r="SY257" s="1260"/>
      <c r="SZ257" s="1260"/>
      <c r="TA257" s="1260"/>
      <c r="TB257" s="1260"/>
      <c r="TC257" s="1260"/>
      <c r="TD257" s="1260"/>
      <c r="TE257" s="1260"/>
      <c r="TF257" s="1260"/>
      <c r="TG257" s="1260"/>
      <c r="TH257" s="1260"/>
      <c r="TI257" s="1260"/>
      <c r="TJ257" s="1260"/>
      <c r="TK257" s="1260"/>
      <c r="TL257" s="1260"/>
      <c r="TM257" s="1260"/>
      <c r="TN257" s="1260"/>
      <c r="TO257" s="1260"/>
      <c r="TP257" s="1260"/>
      <c r="TQ257" s="1260"/>
      <c r="TR257" s="1260"/>
      <c r="TS257" s="1260"/>
      <c r="TT257" s="1260"/>
      <c r="TU257" s="1260"/>
      <c r="TV257" s="1260"/>
      <c r="TW257" s="1260"/>
      <c r="TX257" s="1260"/>
      <c r="TY257" s="1260"/>
      <c r="TZ257" s="1260"/>
      <c r="UA257" s="1260"/>
      <c r="UB257" s="1260"/>
      <c r="UC257" s="1260"/>
      <c r="UD257" s="1260"/>
      <c r="UE257" s="1260"/>
      <c r="UF257" s="1260"/>
      <c r="UG257" s="1261"/>
    </row>
    <row r="258" spans="1:553" s="1262" customFormat="1" ht="48" customHeight="1">
      <c r="A258" s="366" t="s">
        <v>15</v>
      </c>
      <c r="B258" s="366"/>
      <c r="C258" s="427" t="s">
        <v>267</v>
      </c>
      <c r="D258" s="493"/>
      <c r="E258" s="493"/>
      <c r="F258" s="427"/>
      <c r="G258" s="366" t="s">
        <v>193</v>
      </c>
      <c r="H258" s="370"/>
      <c r="I258" s="443">
        <v>3</v>
      </c>
      <c r="J258" s="368">
        <v>831000</v>
      </c>
      <c r="K258" s="388"/>
      <c r="L258" s="369">
        <f t="shared" si="51"/>
        <v>2493000</v>
      </c>
      <c r="M258" s="366"/>
      <c r="N258" s="366"/>
      <c r="O258" s="366"/>
      <c r="P258" s="366"/>
      <c r="Q258" s="1136"/>
      <c r="R258" s="1447"/>
      <c r="S258" s="308"/>
      <c r="T258" s="303"/>
      <c r="U258" s="306"/>
      <c r="V258" s="307"/>
      <c r="W258" s="306"/>
      <c r="X258" s="306"/>
      <c r="Y258" s="306"/>
      <c r="Z258" s="306"/>
      <c r="AA258" s="306"/>
      <c r="AB258" s="306"/>
      <c r="AC258" s="449"/>
      <c r="AD258" s="452"/>
      <c r="AE258" s="452"/>
      <c r="AF258" s="452"/>
      <c r="AG258" s="452"/>
      <c r="AH258" s="452"/>
      <c r="AI258" s="452"/>
      <c r="AJ258" s="452"/>
      <c r="AK258" s="452"/>
      <c r="AL258" s="1259"/>
      <c r="AM258" s="1260"/>
      <c r="AN258" s="1260"/>
      <c r="AO258" s="1260"/>
      <c r="AP258" s="1260"/>
      <c r="AQ258" s="1260"/>
      <c r="AR258" s="1260"/>
      <c r="AS258" s="1260"/>
      <c r="AT258" s="1260"/>
      <c r="AU258" s="1260"/>
      <c r="AV258" s="1260"/>
      <c r="AW258" s="1260"/>
      <c r="AX258" s="1260"/>
      <c r="AY258" s="1260"/>
      <c r="AZ258" s="1260"/>
      <c r="BA258" s="1260"/>
      <c r="BB258" s="1260"/>
      <c r="BC258" s="1260"/>
      <c r="BD258" s="1260"/>
      <c r="BE258" s="1260"/>
      <c r="BF258" s="1260"/>
      <c r="BG258" s="1260"/>
      <c r="BH258" s="1260"/>
      <c r="BI258" s="1260"/>
      <c r="BJ258" s="1260"/>
      <c r="BK258" s="1260"/>
      <c r="BL258" s="1260"/>
      <c r="BM258" s="1260"/>
      <c r="BN258" s="1260"/>
      <c r="BO258" s="1260"/>
      <c r="BP258" s="1260"/>
      <c r="BQ258" s="1260"/>
      <c r="BR258" s="1260"/>
      <c r="BS258" s="1260"/>
      <c r="BT258" s="1260"/>
      <c r="BU258" s="1260"/>
      <c r="BV258" s="1260"/>
      <c r="BW258" s="1260"/>
      <c r="BX258" s="1260"/>
      <c r="BY258" s="1260"/>
      <c r="BZ258" s="1260"/>
      <c r="CA258" s="1260"/>
      <c r="CB258" s="1260"/>
      <c r="CC258" s="1260"/>
      <c r="CD258" s="1260"/>
      <c r="CE258" s="1260"/>
      <c r="CF258" s="1260"/>
      <c r="CG258" s="1260"/>
      <c r="CH258" s="1260"/>
      <c r="CI258" s="1260"/>
      <c r="CJ258" s="1260"/>
      <c r="CK258" s="1260"/>
      <c r="CL258" s="1260"/>
      <c r="CM258" s="1260"/>
      <c r="CN258" s="1260"/>
      <c r="CO258" s="1260"/>
      <c r="CP258" s="1260"/>
      <c r="CQ258" s="1260"/>
      <c r="CR258" s="1260"/>
      <c r="CS258" s="1260"/>
      <c r="CT258" s="1260"/>
      <c r="CU258" s="1260"/>
      <c r="CV258" s="1260"/>
      <c r="CW258" s="1260"/>
      <c r="CX258" s="1260"/>
      <c r="CY258" s="1260"/>
      <c r="CZ258" s="1260"/>
      <c r="DA258" s="1260"/>
      <c r="DB258" s="1260"/>
      <c r="DC258" s="1260"/>
      <c r="DD258" s="1260"/>
      <c r="DE258" s="1260"/>
      <c r="DF258" s="1260"/>
      <c r="DG258" s="1260"/>
      <c r="DH258" s="1260"/>
      <c r="DI258" s="1260"/>
      <c r="DJ258" s="1260"/>
      <c r="DK258" s="1260"/>
      <c r="DL258" s="1260"/>
      <c r="DM258" s="1260"/>
      <c r="DN258" s="1260"/>
      <c r="DO258" s="1260"/>
      <c r="DP258" s="1260"/>
      <c r="DQ258" s="1260"/>
      <c r="DR258" s="1260"/>
      <c r="DS258" s="1260"/>
      <c r="DT258" s="1260"/>
      <c r="DU258" s="1260"/>
      <c r="DV258" s="1260"/>
      <c r="DW258" s="1260"/>
      <c r="DX258" s="1260"/>
      <c r="DY258" s="1260"/>
      <c r="DZ258" s="1260"/>
      <c r="EA258" s="1260"/>
      <c r="EB258" s="1260"/>
      <c r="EC258" s="1260"/>
      <c r="ED258" s="1260"/>
      <c r="EE258" s="1260"/>
      <c r="EF258" s="1260"/>
      <c r="EG258" s="1260"/>
      <c r="EH258" s="1260"/>
      <c r="EI258" s="1260"/>
      <c r="EJ258" s="1260"/>
      <c r="EK258" s="1260"/>
      <c r="EL258" s="1260"/>
      <c r="EM258" s="1260"/>
      <c r="EN258" s="1260"/>
      <c r="EO258" s="1260"/>
      <c r="EP258" s="1260"/>
      <c r="EQ258" s="1260"/>
      <c r="ER258" s="1260"/>
      <c r="ES258" s="1260"/>
      <c r="ET258" s="1260"/>
      <c r="EU258" s="1260"/>
      <c r="EV258" s="1260"/>
      <c r="EW258" s="1260"/>
      <c r="EX258" s="1260"/>
      <c r="EY258" s="1260"/>
      <c r="EZ258" s="1260"/>
      <c r="FA258" s="1260"/>
      <c r="FB258" s="1260"/>
      <c r="FC258" s="1260"/>
      <c r="FD258" s="1260"/>
      <c r="FE258" s="1260"/>
      <c r="FF258" s="1260"/>
      <c r="FG258" s="1260"/>
      <c r="FH258" s="1260"/>
      <c r="FI258" s="1260"/>
      <c r="FJ258" s="1260"/>
      <c r="FK258" s="1260"/>
      <c r="FL258" s="1260"/>
      <c r="FM258" s="1260"/>
      <c r="FN258" s="1260"/>
      <c r="FO258" s="1260"/>
      <c r="FP258" s="1260"/>
      <c r="FQ258" s="1260"/>
      <c r="FR258" s="1260"/>
      <c r="FS258" s="1260"/>
      <c r="FT258" s="1260"/>
      <c r="FU258" s="1260"/>
      <c r="FV258" s="1260"/>
      <c r="FW258" s="1260"/>
      <c r="FX258" s="1260"/>
      <c r="FY258" s="1260"/>
      <c r="FZ258" s="1260"/>
      <c r="GA258" s="1260"/>
      <c r="GB258" s="1260"/>
      <c r="GC258" s="1260"/>
      <c r="GD258" s="1260"/>
      <c r="GE258" s="1260"/>
      <c r="GF258" s="1260"/>
      <c r="GG258" s="1260"/>
      <c r="GH258" s="1260"/>
      <c r="GI258" s="1260"/>
      <c r="GJ258" s="1260"/>
      <c r="GK258" s="1260"/>
      <c r="GL258" s="1260"/>
      <c r="GM258" s="1260"/>
      <c r="GN258" s="1260"/>
      <c r="GO258" s="1260"/>
      <c r="GP258" s="1260"/>
      <c r="GQ258" s="1260"/>
      <c r="GR258" s="1260"/>
      <c r="GS258" s="1260"/>
      <c r="GT258" s="1260"/>
      <c r="GU258" s="1260"/>
      <c r="GV258" s="1260"/>
      <c r="GW258" s="1260"/>
      <c r="GX258" s="1260"/>
      <c r="GY258" s="1260"/>
      <c r="GZ258" s="1260"/>
      <c r="HA258" s="1260"/>
      <c r="HB258" s="1260"/>
      <c r="HC258" s="1260"/>
      <c r="HD258" s="1260"/>
      <c r="HE258" s="1260"/>
      <c r="HF258" s="1260"/>
      <c r="HG258" s="1260"/>
      <c r="HH258" s="1260"/>
      <c r="HI258" s="1260"/>
      <c r="HJ258" s="1260"/>
      <c r="HK258" s="1260"/>
      <c r="HL258" s="1260"/>
      <c r="HM258" s="1260"/>
      <c r="HN258" s="1260"/>
      <c r="HO258" s="1260"/>
      <c r="HP258" s="1260"/>
      <c r="HQ258" s="1260"/>
      <c r="HR258" s="1260"/>
      <c r="HS258" s="1260"/>
      <c r="HT258" s="1260"/>
      <c r="HU258" s="1260"/>
      <c r="HV258" s="1260"/>
      <c r="HW258" s="1260"/>
      <c r="HX258" s="1260"/>
      <c r="HY258" s="1260"/>
      <c r="HZ258" s="1260"/>
      <c r="IA258" s="1260"/>
      <c r="IB258" s="1260"/>
      <c r="IC258" s="1260"/>
      <c r="ID258" s="1260"/>
      <c r="IE258" s="1260"/>
      <c r="IF258" s="1260"/>
      <c r="IG258" s="1260"/>
      <c r="IH258" s="1260"/>
      <c r="II258" s="1260"/>
      <c r="IJ258" s="1260"/>
      <c r="IK258" s="1260"/>
      <c r="IL258" s="1260"/>
      <c r="IM258" s="1260"/>
      <c r="IN258" s="1260"/>
      <c r="IO258" s="1260"/>
      <c r="IP258" s="1260"/>
      <c r="IQ258" s="1260"/>
      <c r="IR258" s="1260"/>
      <c r="IS258" s="1260"/>
      <c r="IT258" s="1260"/>
      <c r="IU258" s="1260"/>
      <c r="IV258" s="1260"/>
      <c r="IW258" s="1260"/>
      <c r="IX258" s="1260"/>
      <c r="IY258" s="1260"/>
      <c r="IZ258" s="1260"/>
      <c r="JA258" s="1260"/>
      <c r="JB258" s="1260"/>
      <c r="JC258" s="1260"/>
      <c r="JD258" s="1260"/>
      <c r="JE258" s="1260"/>
      <c r="JF258" s="1260"/>
      <c r="JG258" s="1260"/>
      <c r="JH258" s="1260"/>
      <c r="JI258" s="1260"/>
      <c r="JJ258" s="1260"/>
      <c r="JK258" s="1260"/>
      <c r="JL258" s="1260"/>
      <c r="JM258" s="1260"/>
      <c r="JN258" s="1260"/>
      <c r="JO258" s="1260"/>
      <c r="JP258" s="1260"/>
      <c r="JQ258" s="1260"/>
      <c r="JR258" s="1260"/>
      <c r="JS258" s="1260"/>
      <c r="JT258" s="1260"/>
      <c r="JU258" s="1260"/>
      <c r="JV258" s="1260"/>
      <c r="JW258" s="1260"/>
      <c r="JX258" s="1260"/>
      <c r="JY258" s="1260"/>
      <c r="JZ258" s="1260"/>
      <c r="KA258" s="1260"/>
      <c r="KB258" s="1260"/>
      <c r="KC258" s="1260"/>
      <c r="KD258" s="1260"/>
      <c r="KE258" s="1260"/>
      <c r="KF258" s="1260"/>
      <c r="KG258" s="1260"/>
      <c r="KH258" s="1260"/>
      <c r="KI258" s="1260"/>
      <c r="KJ258" s="1260"/>
      <c r="KK258" s="1260"/>
      <c r="KL258" s="1260"/>
      <c r="KM258" s="1260"/>
      <c r="KN258" s="1260"/>
      <c r="KO258" s="1260"/>
      <c r="KP258" s="1260"/>
      <c r="KQ258" s="1260"/>
      <c r="KR258" s="1260"/>
      <c r="KS258" s="1260"/>
      <c r="KT258" s="1260"/>
      <c r="KU258" s="1260"/>
      <c r="KV258" s="1260"/>
      <c r="KW258" s="1260"/>
      <c r="KX258" s="1260"/>
      <c r="KY258" s="1260"/>
      <c r="KZ258" s="1260"/>
      <c r="LA258" s="1260"/>
      <c r="LB258" s="1260"/>
      <c r="LC258" s="1260"/>
      <c r="LD258" s="1260"/>
      <c r="LE258" s="1260"/>
      <c r="LF258" s="1260"/>
      <c r="LG258" s="1260"/>
      <c r="LH258" s="1260"/>
      <c r="LI258" s="1260"/>
      <c r="LJ258" s="1260"/>
      <c r="LK258" s="1260"/>
      <c r="LL258" s="1260"/>
      <c r="LM258" s="1260"/>
      <c r="LN258" s="1260"/>
      <c r="LO258" s="1260"/>
      <c r="LP258" s="1260"/>
      <c r="LQ258" s="1260"/>
      <c r="LR258" s="1260"/>
      <c r="LS258" s="1260"/>
      <c r="LT258" s="1260"/>
      <c r="LU258" s="1260"/>
      <c r="LV258" s="1260"/>
      <c r="LW258" s="1260"/>
      <c r="LX258" s="1260"/>
      <c r="LY258" s="1260"/>
      <c r="LZ258" s="1260"/>
      <c r="MA258" s="1260"/>
      <c r="MB258" s="1260"/>
      <c r="MC258" s="1260"/>
      <c r="MD258" s="1260"/>
      <c r="ME258" s="1260"/>
      <c r="MF258" s="1260"/>
      <c r="MG258" s="1260"/>
      <c r="MH258" s="1260"/>
      <c r="MI258" s="1260"/>
      <c r="MJ258" s="1260"/>
      <c r="MK258" s="1260"/>
      <c r="ML258" s="1260"/>
      <c r="MM258" s="1260"/>
      <c r="MN258" s="1260"/>
      <c r="MO258" s="1260"/>
      <c r="MP258" s="1260"/>
      <c r="MQ258" s="1260"/>
      <c r="MR258" s="1260"/>
      <c r="MS258" s="1260"/>
      <c r="MT258" s="1260"/>
      <c r="MU258" s="1260"/>
      <c r="MV258" s="1260"/>
      <c r="MW258" s="1260"/>
      <c r="MX258" s="1260"/>
      <c r="MY258" s="1260"/>
      <c r="MZ258" s="1260"/>
      <c r="NA258" s="1260"/>
      <c r="NB258" s="1260"/>
      <c r="NC258" s="1260"/>
      <c r="ND258" s="1260"/>
      <c r="NE258" s="1260"/>
      <c r="NF258" s="1260"/>
      <c r="NG258" s="1260"/>
      <c r="NH258" s="1260"/>
      <c r="NI258" s="1260"/>
      <c r="NJ258" s="1260"/>
      <c r="NK258" s="1260"/>
      <c r="NL258" s="1260"/>
      <c r="NM258" s="1260"/>
      <c r="NN258" s="1260"/>
      <c r="NO258" s="1260"/>
      <c r="NP258" s="1260"/>
      <c r="NQ258" s="1260"/>
      <c r="NR258" s="1260"/>
      <c r="NS258" s="1260"/>
      <c r="NT258" s="1260"/>
      <c r="NU258" s="1260"/>
      <c r="NV258" s="1260"/>
      <c r="NW258" s="1260"/>
      <c r="NX258" s="1260"/>
      <c r="NY258" s="1260"/>
      <c r="NZ258" s="1260"/>
      <c r="OA258" s="1260"/>
      <c r="OB258" s="1260"/>
      <c r="OC258" s="1260"/>
      <c r="OD258" s="1260"/>
      <c r="OE258" s="1260"/>
      <c r="OF258" s="1260"/>
      <c r="OG258" s="1260"/>
      <c r="OH258" s="1260"/>
      <c r="OI258" s="1260"/>
      <c r="OJ258" s="1260"/>
      <c r="OK258" s="1260"/>
      <c r="OL258" s="1260"/>
      <c r="OM258" s="1260"/>
      <c r="ON258" s="1260"/>
      <c r="OO258" s="1260"/>
      <c r="OP258" s="1260"/>
      <c r="OQ258" s="1260"/>
      <c r="OR258" s="1260"/>
      <c r="OS258" s="1260"/>
      <c r="OT258" s="1260"/>
      <c r="OU258" s="1260"/>
      <c r="OV258" s="1260"/>
      <c r="OW258" s="1260"/>
      <c r="OX258" s="1260"/>
      <c r="OY258" s="1260"/>
      <c r="OZ258" s="1260"/>
      <c r="PA258" s="1260"/>
      <c r="PB258" s="1260"/>
      <c r="PC258" s="1260"/>
      <c r="PD258" s="1260"/>
      <c r="PE258" s="1260"/>
      <c r="PF258" s="1260"/>
      <c r="PG258" s="1260"/>
      <c r="PH258" s="1260"/>
      <c r="PI258" s="1260"/>
      <c r="PJ258" s="1260"/>
      <c r="PK258" s="1260"/>
      <c r="PL258" s="1260"/>
      <c r="PM258" s="1260"/>
      <c r="PN258" s="1260"/>
      <c r="PO258" s="1260"/>
      <c r="PP258" s="1260"/>
      <c r="PQ258" s="1260"/>
      <c r="PR258" s="1260"/>
      <c r="PS258" s="1260"/>
      <c r="PT258" s="1260"/>
      <c r="PU258" s="1260"/>
      <c r="PV258" s="1260"/>
      <c r="PW258" s="1260"/>
      <c r="PX258" s="1260"/>
      <c r="PY258" s="1260"/>
      <c r="PZ258" s="1260"/>
      <c r="QA258" s="1260"/>
      <c r="QB258" s="1260"/>
      <c r="QC258" s="1260"/>
      <c r="QD258" s="1260"/>
      <c r="QE258" s="1260"/>
      <c r="QF258" s="1260"/>
      <c r="QG258" s="1260"/>
      <c r="QH258" s="1260"/>
      <c r="QI258" s="1260"/>
      <c r="QJ258" s="1260"/>
      <c r="QK258" s="1260"/>
      <c r="QL258" s="1260"/>
      <c r="QM258" s="1260"/>
      <c r="QN258" s="1260"/>
      <c r="QO258" s="1260"/>
      <c r="QP258" s="1260"/>
      <c r="QQ258" s="1260"/>
      <c r="QR258" s="1260"/>
      <c r="QS258" s="1260"/>
      <c r="QT258" s="1260"/>
      <c r="QU258" s="1260"/>
      <c r="QV258" s="1260"/>
      <c r="QW258" s="1260"/>
      <c r="QX258" s="1260"/>
      <c r="QY258" s="1260"/>
      <c r="QZ258" s="1260"/>
      <c r="RA258" s="1260"/>
      <c r="RB258" s="1260"/>
      <c r="RC258" s="1260"/>
      <c r="RD258" s="1260"/>
      <c r="RE258" s="1260"/>
      <c r="RF258" s="1260"/>
      <c r="RG258" s="1260"/>
      <c r="RH258" s="1260"/>
      <c r="RI258" s="1260"/>
      <c r="RJ258" s="1260"/>
      <c r="RK258" s="1260"/>
      <c r="RL258" s="1260"/>
      <c r="RM258" s="1260"/>
      <c r="RN258" s="1260"/>
      <c r="RO258" s="1260"/>
      <c r="RP258" s="1260"/>
      <c r="RQ258" s="1260"/>
      <c r="RR258" s="1260"/>
      <c r="RS258" s="1260"/>
      <c r="RT258" s="1260"/>
      <c r="RU258" s="1260"/>
      <c r="RV258" s="1260"/>
      <c r="RW258" s="1260"/>
      <c r="RX258" s="1260"/>
      <c r="RY258" s="1260"/>
      <c r="RZ258" s="1260"/>
      <c r="SA258" s="1260"/>
      <c r="SB258" s="1260"/>
      <c r="SC258" s="1260"/>
      <c r="SD258" s="1260"/>
      <c r="SE258" s="1260"/>
      <c r="SF258" s="1260"/>
      <c r="SG258" s="1260"/>
      <c r="SH258" s="1260"/>
      <c r="SI258" s="1260"/>
      <c r="SJ258" s="1260"/>
      <c r="SK258" s="1260"/>
      <c r="SL258" s="1260"/>
      <c r="SM258" s="1260"/>
      <c r="SN258" s="1260"/>
      <c r="SO258" s="1260"/>
      <c r="SP258" s="1260"/>
      <c r="SQ258" s="1260"/>
      <c r="SR258" s="1260"/>
      <c r="SS258" s="1260"/>
      <c r="ST258" s="1260"/>
      <c r="SU258" s="1260"/>
      <c r="SV258" s="1260"/>
      <c r="SW258" s="1260"/>
      <c r="SX258" s="1260"/>
      <c r="SY258" s="1260"/>
      <c r="SZ258" s="1260"/>
      <c r="TA258" s="1260"/>
      <c r="TB258" s="1260"/>
      <c r="TC258" s="1260"/>
      <c r="TD258" s="1260"/>
      <c r="TE258" s="1260"/>
      <c r="TF258" s="1260"/>
      <c r="TG258" s="1260"/>
      <c r="TH258" s="1260"/>
      <c r="TI258" s="1260"/>
      <c r="TJ258" s="1260"/>
      <c r="TK258" s="1260"/>
      <c r="TL258" s="1260"/>
      <c r="TM258" s="1260"/>
      <c r="TN258" s="1260"/>
      <c r="TO258" s="1260"/>
      <c r="TP258" s="1260"/>
      <c r="TQ258" s="1260"/>
      <c r="TR258" s="1260"/>
      <c r="TS258" s="1260"/>
      <c r="TT258" s="1260"/>
      <c r="TU258" s="1260"/>
      <c r="TV258" s="1260"/>
      <c r="TW258" s="1260"/>
      <c r="TX258" s="1260"/>
      <c r="TY258" s="1260"/>
      <c r="TZ258" s="1260"/>
      <c r="UA258" s="1260"/>
      <c r="UB258" s="1260"/>
      <c r="UC258" s="1260"/>
      <c r="UD258" s="1260"/>
      <c r="UE258" s="1260"/>
      <c r="UF258" s="1260"/>
      <c r="UG258" s="1261"/>
    </row>
    <row r="259" spans="1:553" s="1262" customFormat="1" ht="48" customHeight="1">
      <c r="A259" s="366" t="s">
        <v>15</v>
      </c>
      <c r="B259" s="366"/>
      <c r="C259" s="427" t="s">
        <v>268</v>
      </c>
      <c r="D259" s="493"/>
      <c r="E259" s="493"/>
      <c r="F259" s="427"/>
      <c r="G259" s="366" t="s">
        <v>193</v>
      </c>
      <c r="H259" s="370"/>
      <c r="I259" s="443">
        <v>10</v>
      </c>
      <c r="J259" s="368">
        <v>472000</v>
      </c>
      <c r="K259" s="388"/>
      <c r="L259" s="369">
        <f t="shared" si="51"/>
        <v>4720000</v>
      </c>
      <c r="M259" s="366"/>
      <c r="N259" s="366"/>
      <c r="O259" s="366"/>
      <c r="P259" s="366"/>
      <c r="Q259" s="1136"/>
      <c r="R259" s="1447"/>
      <c r="S259" s="308"/>
      <c r="T259" s="303"/>
      <c r="U259" s="306"/>
      <c r="V259" s="307"/>
      <c r="W259" s="306"/>
      <c r="X259" s="306"/>
      <c r="Y259" s="306"/>
      <c r="Z259" s="306"/>
      <c r="AA259" s="306"/>
      <c r="AB259" s="306"/>
      <c r="AC259" s="449"/>
      <c r="AD259" s="452"/>
      <c r="AE259" s="452"/>
      <c r="AF259" s="452"/>
      <c r="AG259" s="452"/>
      <c r="AH259" s="452"/>
      <c r="AI259" s="452"/>
      <c r="AJ259" s="452"/>
      <c r="AK259" s="452"/>
      <c r="AL259" s="1259"/>
      <c r="AM259" s="1260"/>
      <c r="AN259" s="1260"/>
      <c r="AO259" s="1260"/>
      <c r="AP259" s="1260"/>
      <c r="AQ259" s="1260"/>
      <c r="AR259" s="1260"/>
      <c r="AS259" s="1260"/>
      <c r="AT259" s="1260"/>
      <c r="AU259" s="1260"/>
      <c r="AV259" s="1260"/>
      <c r="AW259" s="1260"/>
      <c r="AX259" s="1260"/>
      <c r="AY259" s="1260"/>
      <c r="AZ259" s="1260"/>
      <c r="BA259" s="1260"/>
      <c r="BB259" s="1260"/>
      <c r="BC259" s="1260"/>
      <c r="BD259" s="1260"/>
      <c r="BE259" s="1260"/>
      <c r="BF259" s="1260"/>
      <c r="BG259" s="1260"/>
      <c r="BH259" s="1260"/>
      <c r="BI259" s="1260"/>
      <c r="BJ259" s="1260"/>
      <c r="BK259" s="1260"/>
      <c r="BL259" s="1260"/>
      <c r="BM259" s="1260"/>
      <c r="BN259" s="1260"/>
      <c r="BO259" s="1260"/>
      <c r="BP259" s="1260"/>
      <c r="BQ259" s="1260"/>
      <c r="BR259" s="1260"/>
      <c r="BS259" s="1260"/>
      <c r="BT259" s="1260"/>
      <c r="BU259" s="1260"/>
      <c r="BV259" s="1260"/>
      <c r="BW259" s="1260"/>
      <c r="BX259" s="1260"/>
      <c r="BY259" s="1260"/>
      <c r="BZ259" s="1260"/>
      <c r="CA259" s="1260"/>
      <c r="CB259" s="1260"/>
      <c r="CC259" s="1260"/>
      <c r="CD259" s="1260"/>
      <c r="CE259" s="1260"/>
      <c r="CF259" s="1260"/>
      <c r="CG259" s="1260"/>
      <c r="CH259" s="1260"/>
      <c r="CI259" s="1260"/>
      <c r="CJ259" s="1260"/>
      <c r="CK259" s="1260"/>
      <c r="CL259" s="1260"/>
      <c r="CM259" s="1260"/>
      <c r="CN259" s="1260"/>
      <c r="CO259" s="1260"/>
      <c r="CP259" s="1260"/>
      <c r="CQ259" s="1260"/>
      <c r="CR259" s="1260"/>
      <c r="CS259" s="1260"/>
      <c r="CT259" s="1260"/>
      <c r="CU259" s="1260"/>
      <c r="CV259" s="1260"/>
      <c r="CW259" s="1260"/>
      <c r="CX259" s="1260"/>
      <c r="CY259" s="1260"/>
      <c r="CZ259" s="1260"/>
      <c r="DA259" s="1260"/>
      <c r="DB259" s="1260"/>
      <c r="DC259" s="1260"/>
      <c r="DD259" s="1260"/>
      <c r="DE259" s="1260"/>
      <c r="DF259" s="1260"/>
      <c r="DG259" s="1260"/>
      <c r="DH259" s="1260"/>
      <c r="DI259" s="1260"/>
      <c r="DJ259" s="1260"/>
      <c r="DK259" s="1260"/>
      <c r="DL259" s="1260"/>
      <c r="DM259" s="1260"/>
      <c r="DN259" s="1260"/>
      <c r="DO259" s="1260"/>
      <c r="DP259" s="1260"/>
      <c r="DQ259" s="1260"/>
      <c r="DR259" s="1260"/>
      <c r="DS259" s="1260"/>
      <c r="DT259" s="1260"/>
      <c r="DU259" s="1260"/>
      <c r="DV259" s="1260"/>
      <c r="DW259" s="1260"/>
      <c r="DX259" s="1260"/>
      <c r="DY259" s="1260"/>
      <c r="DZ259" s="1260"/>
      <c r="EA259" s="1260"/>
      <c r="EB259" s="1260"/>
      <c r="EC259" s="1260"/>
      <c r="ED259" s="1260"/>
      <c r="EE259" s="1260"/>
      <c r="EF259" s="1260"/>
      <c r="EG259" s="1260"/>
      <c r="EH259" s="1260"/>
      <c r="EI259" s="1260"/>
      <c r="EJ259" s="1260"/>
      <c r="EK259" s="1260"/>
      <c r="EL259" s="1260"/>
      <c r="EM259" s="1260"/>
      <c r="EN259" s="1260"/>
      <c r="EO259" s="1260"/>
      <c r="EP259" s="1260"/>
      <c r="EQ259" s="1260"/>
      <c r="ER259" s="1260"/>
      <c r="ES259" s="1260"/>
      <c r="ET259" s="1260"/>
      <c r="EU259" s="1260"/>
      <c r="EV259" s="1260"/>
      <c r="EW259" s="1260"/>
      <c r="EX259" s="1260"/>
      <c r="EY259" s="1260"/>
      <c r="EZ259" s="1260"/>
      <c r="FA259" s="1260"/>
      <c r="FB259" s="1260"/>
      <c r="FC259" s="1260"/>
      <c r="FD259" s="1260"/>
      <c r="FE259" s="1260"/>
      <c r="FF259" s="1260"/>
      <c r="FG259" s="1260"/>
      <c r="FH259" s="1260"/>
      <c r="FI259" s="1260"/>
      <c r="FJ259" s="1260"/>
      <c r="FK259" s="1260"/>
      <c r="FL259" s="1260"/>
      <c r="FM259" s="1260"/>
      <c r="FN259" s="1260"/>
      <c r="FO259" s="1260"/>
      <c r="FP259" s="1260"/>
      <c r="FQ259" s="1260"/>
      <c r="FR259" s="1260"/>
      <c r="FS259" s="1260"/>
      <c r="FT259" s="1260"/>
      <c r="FU259" s="1260"/>
      <c r="FV259" s="1260"/>
      <c r="FW259" s="1260"/>
      <c r="FX259" s="1260"/>
      <c r="FY259" s="1260"/>
      <c r="FZ259" s="1260"/>
      <c r="GA259" s="1260"/>
      <c r="GB259" s="1260"/>
      <c r="GC259" s="1260"/>
      <c r="GD259" s="1260"/>
      <c r="GE259" s="1260"/>
      <c r="GF259" s="1260"/>
      <c r="GG259" s="1260"/>
      <c r="GH259" s="1260"/>
      <c r="GI259" s="1260"/>
      <c r="GJ259" s="1260"/>
      <c r="GK259" s="1260"/>
      <c r="GL259" s="1260"/>
      <c r="GM259" s="1260"/>
      <c r="GN259" s="1260"/>
      <c r="GO259" s="1260"/>
      <c r="GP259" s="1260"/>
      <c r="GQ259" s="1260"/>
      <c r="GR259" s="1260"/>
      <c r="GS259" s="1260"/>
      <c r="GT259" s="1260"/>
      <c r="GU259" s="1260"/>
      <c r="GV259" s="1260"/>
      <c r="GW259" s="1260"/>
      <c r="GX259" s="1260"/>
      <c r="GY259" s="1260"/>
      <c r="GZ259" s="1260"/>
      <c r="HA259" s="1260"/>
      <c r="HB259" s="1260"/>
      <c r="HC259" s="1260"/>
      <c r="HD259" s="1260"/>
      <c r="HE259" s="1260"/>
      <c r="HF259" s="1260"/>
      <c r="HG259" s="1260"/>
      <c r="HH259" s="1260"/>
      <c r="HI259" s="1260"/>
      <c r="HJ259" s="1260"/>
      <c r="HK259" s="1260"/>
      <c r="HL259" s="1260"/>
      <c r="HM259" s="1260"/>
      <c r="HN259" s="1260"/>
      <c r="HO259" s="1260"/>
      <c r="HP259" s="1260"/>
      <c r="HQ259" s="1260"/>
      <c r="HR259" s="1260"/>
      <c r="HS259" s="1260"/>
      <c r="HT259" s="1260"/>
      <c r="HU259" s="1260"/>
      <c r="HV259" s="1260"/>
      <c r="HW259" s="1260"/>
      <c r="HX259" s="1260"/>
      <c r="HY259" s="1260"/>
      <c r="HZ259" s="1260"/>
      <c r="IA259" s="1260"/>
      <c r="IB259" s="1260"/>
      <c r="IC259" s="1260"/>
      <c r="ID259" s="1260"/>
      <c r="IE259" s="1260"/>
      <c r="IF259" s="1260"/>
      <c r="IG259" s="1260"/>
      <c r="IH259" s="1260"/>
      <c r="II259" s="1260"/>
      <c r="IJ259" s="1260"/>
      <c r="IK259" s="1260"/>
      <c r="IL259" s="1260"/>
      <c r="IM259" s="1260"/>
      <c r="IN259" s="1260"/>
      <c r="IO259" s="1260"/>
      <c r="IP259" s="1260"/>
      <c r="IQ259" s="1260"/>
      <c r="IR259" s="1260"/>
      <c r="IS259" s="1260"/>
      <c r="IT259" s="1260"/>
      <c r="IU259" s="1260"/>
      <c r="IV259" s="1260"/>
      <c r="IW259" s="1260"/>
      <c r="IX259" s="1260"/>
      <c r="IY259" s="1260"/>
      <c r="IZ259" s="1260"/>
      <c r="JA259" s="1260"/>
      <c r="JB259" s="1260"/>
      <c r="JC259" s="1260"/>
      <c r="JD259" s="1260"/>
      <c r="JE259" s="1260"/>
      <c r="JF259" s="1260"/>
      <c r="JG259" s="1260"/>
      <c r="JH259" s="1260"/>
      <c r="JI259" s="1260"/>
      <c r="JJ259" s="1260"/>
      <c r="JK259" s="1260"/>
      <c r="JL259" s="1260"/>
      <c r="JM259" s="1260"/>
      <c r="JN259" s="1260"/>
      <c r="JO259" s="1260"/>
      <c r="JP259" s="1260"/>
      <c r="JQ259" s="1260"/>
      <c r="JR259" s="1260"/>
      <c r="JS259" s="1260"/>
      <c r="JT259" s="1260"/>
      <c r="JU259" s="1260"/>
      <c r="JV259" s="1260"/>
      <c r="JW259" s="1260"/>
      <c r="JX259" s="1260"/>
      <c r="JY259" s="1260"/>
      <c r="JZ259" s="1260"/>
      <c r="KA259" s="1260"/>
      <c r="KB259" s="1260"/>
      <c r="KC259" s="1260"/>
      <c r="KD259" s="1260"/>
      <c r="KE259" s="1260"/>
      <c r="KF259" s="1260"/>
      <c r="KG259" s="1260"/>
      <c r="KH259" s="1260"/>
      <c r="KI259" s="1260"/>
      <c r="KJ259" s="1260"/>
      <c r="KK259" s="1260"/>
      <c r="KL259" s="1260"/>
      <c r="KM259" s="1260"/>
      <c r="KN259" s="1260"/>
      <c r="KO259" s="1260"/>
      <c r="KP259" s="1260"/>
      <c r="KQ259" s="1260"/>
      <c r="KR259" s="1260"/>
      <c r="KS259" s="1260"/>
      <c r="KT259" s="1260"/>
      <c r="KU259" s="1260"/>
      <c r="KV259" s="1260"/>
      <c r="KW259" s="1260"/>
      <c r="KX259" s="1260"/>
      <c r="KY259" s="1260"/>
      <c r="KZ259" s="1260"/>
      <c r="LA259" s="1260"/>
      <c r="LB259" s="1260"/>
      <c r="LC259" s="1260"/>
      <c r="LD259" s="1260"/>
      <c r="LE259" s="1260"/>
      <c r="LF259" s="1260"/>
      <c r="LG259" s="1260"/>
      <c r="LH259" s="1260"/>
      <c r="LI259" s="1260"/>
      <c r="LJ259" s="1260"/>
      <c r="LK259" s="1260"/>
      <c r="LL259" s="1260"/>
      <c r="LM259" s="1260"/>
      <c r="LN259" s="1260"/>
      <c r="LO259" s="1260"/>
      <c r="LP259" s="1260"/>
      <c r="LQ259" s="1260"/>
      <c r="LR259" s="1260"/>
      <c r="LS259" s="1260"/>
      <c r="LT259" s="1260"/>
      <c r="LU259" s="1260"/>
      <c r="LV259" s="1260"/>
      <c r="LW259" s="1260"/>
      <c r="LX259" s="1260"/>
      <c r="LY259" s="1260"/>
      <c r="LZ259" s="1260"/>
      <c r="MA259" s="1260"/>
      <c r="MB259" s="1260"/>
      <c r="MC259" s="1260"/>
      <c r="MD259" s="1260"/>
      <c r="ME259" s="1260"/>
      <c r="MF259" s="1260"/>
      <c r="MG259" s="1260"/>
      <c r="MH259" s="1260"/>
      <c r="MI259" s="1260"/>
      <c r="MJ259" s="1260"/>
      <c r="MK259" s="1260"/>
      <c r="ML259" s="1260"/>
      <c r="MM259" s="1260"/>
      <c r="MN259" s="1260"/>
      <c r="MO259" s="1260"/>
      <c r="MP259" s="1260"/>
      <c r="MQ259" s="1260"/>
      <c r="MR259" s="1260"/>
      <c r="MS259" s="1260"/>
      <c r="MT259" s="1260"/>
      <c r="MU259" s="1260"/>
      <c r="MV259" s="1260"/>
      <c r="MW259" s="1260"/>
      <c r="MX259" s="1260"/>
      <c r="MY259" s="1260"/>
      <c r="MZ259" s="1260"/>
      <c r="NA259" s="1260"/>
      <c r="NB259" s="1260"/>
      <c r="NC259" s="1260"/>
      <c r="ND259" s="1260"/>
      <c r="NE259" s="1260"/>
      <c r="NF259" s="1260"/>
      <c r="NG259" s="1260"/>
      <c r="NH259" s="1260"/>
      <c r="NI259" s="1260"/>
      <c r="NJ259" s="1260"/>
      <c r="NK259" s="1260"/>
      <c r="NL259" s="1260"/>
      <c r="NM259" s="1260"/>
      <c r="NN259" s="1260"/>
      <c r="NO259" s="1260"/>
      <c r="NP259" s="1260"/>
      <c r="NQ259" s="1260"/>
      <c r="NR259" s="1260"/>
      <c r="NS259" s="1260"/>
      <c r="NT259" s="1260"/>
      <c r="NU259" s="1260"/>
      <c r="NV259" s="1260"/>
      <c r="NW259" s="1260"/>
      <c r="NX259" s="1260"/>
      <c r="NY259" s="1260"/>
      <c r="NZ259" s="1260"/>
      <c r="OA259" s="1260"/>
      <c r="OB259" s="1260"/>
      <c r="OC259" s="1260"/>
      <c r="OD259" s="1260"/>
      <c r="OE259" s="1260"/>
      <c r="OF259" s="1260"/>
      <c r="OG259" s="1260"/>
      <c r="OH259" s="1260"/>
      <c r="OI259" s="1260"/>
      <c r="OJ259" s="1260"/>
      <c r="OK259" s="1260"/>
      <c r="OL259" s="1260"/>
      <c r="OM259" s="1260"/>
      <c r="ON259" s="1260"/>
      <c r="OO259" s="1260"/>
      <c r="OP259" s="1260"/>
      <c r="OQ259" s="1260"/>
      <c r="OR259" s="1260"/>
      <c r="OS259" s="1260"/>
      <c r="OT259" s="1260"/>
      <c r="OU259" s="1260"/>
      <c r="OV259" s="1260"/>
      <c r="OW259" s="1260"/>
      <c r="OX259" s="1260"/>
      <c r="OY259" s="1260"/>
      <c r="OZ259" s="1260"/>
      <c r="PA259" s="1260"/>
      <c r="PB259" s="1260"/>
      <c r="PC259" s="1260"/>
      <c r="PD259" s="1260"/>
      <c r="PE259" s="1260"/>
      <c r="PF259" s="1260"/>
      <c r="PG259" s="1260"/>
      <c r="PH259" s="1260"/>
      <c r="PI259" s="1260"/>
      <c r="PJ259" s="1260"/>
      <c r="PK259" s="1260"/>
      <c r="PL259" s="1260"/>
      <c r="PM259" s="1260"/>
      <c r="PN259" s="1260"/>
      <c r="PO259" s="1260"/>
      <c r="PP259" s="1260"/>
      <c r="PQ259" s="1260"/>
      <c r="PR259" s="1260"/>
      <c r="PS259" s="1260"/>
      <c r="PT259" s="1260"/>
      <c r="PU259" s="1260"/>
      <c r="PV259" s="1260"/>
      <c r="PW259" s="1260"/>
      <c r="PX259" s="1260"/>
      <c r="PY259" s="1260"/>
      <c r="PZ259" s="1260"/>
      <c r="QA259" s="1260"/>
      <c r="QB259" s="1260"/>
      <c r="QC259" s="1260"/>
      <c r="QD259" s="1260"/>
      <c r="QE259" s="1260"/>
      <c r="QF259" s="1260"/>
      <c r="QG259" s="1260"/>
      <c r="QH259" s="1260"/>
      <c r="QI259" s="1260"/>
      <c r="QJ259" s="1260"/>
      <c r="QK259" s="1260"/>
      <c r="QL259" s="1260"/>
      <c r="QM259" s="1260"/>
      <c r="QN259" s="1260"/>
      <c r="QO259" s="1260"/>
      <c r="QP259" s="1260"/>
      <c r="QQ259" s="1260"/>
      <c r="QR259" s="1260"/>
      <c r="QS259" s="1260"/>
      <c r="QT259" s="1260"/>
      <c r="QU259" s="1260"/>
      <c r="QV259" s="1260"/>
      <c r="QW259" s="1260"/>
      <c r="QX259" s="1260"/>
      <c r="QY259" s="1260"/>
      <c r="QZ259" s="1260"/>
      <c r="RA259" s="1260"/>
      <c r="RB259" s="1260"/>
      <c r="RC259" s="1260"/>
      <c r="RD259" s="1260"/>
      <c r="RE259" s="1260"/>
      <c r="RF259" s="1260"/>
      <c r="RG259" s="1260"/>
      <c r="RH259" s="1260"/>
      <c r="RI259" s="1260"/>
      <c r="RJ259" s="1260"/>
      <c r="RK259" s="1260"/>
      <c r="RL259" s="1260"/>
      <c r="RM259" s="1260"/>
      <c r="RN259" s="1260"/>
      <c r="RO259" s="1260"/>
      <c r="RP259" s="1260"/>
      <c r="RQ259" s="1260"/>
      <c r="RR259" s="1260"/>
      <c r="RS259" s="1260"/>
      <c r="RT259" s="1260"/>
      <c r="RU259" s="1260"/>
      <c r="RV259" s="1260"/>
      <c r="RW259" s="1260"/>
      <c r="RX259" s="1260"/>
      <c r="RY259" s="1260"/>
      <c r="RZ259" s="1260"/>
      <c r="SA259" s="1260"/>
      <c r="SB259" s="1260"/>
      <c r="SC259" s="1260"/>
      <c r="SD259" s="1260"/>
      <c r="SE259" s="1260"/>
      <c r="SF259" s="1260"/>
      <c r="SG259" s="1260"/>
      <c r="SH259" s="1260"/>
      <c r="SI259" s="1260"/>
      <c r="SJ259" s="1260"/>
      <c r="SK259" s="1260"/>
      <c r="SL259" s="1260"/>
      <c r="SM259" s="1260"/>
      <c r="SN259" s="1260"/>
      <c r="SO259" s="1260"/>
      <c r="SP259" s="1260"/>
      <c r="SQ259" s="1260"/>
      <c r="SR259" s="1260"/>
      <c r="SS259" s="1260"/>
      <c r="ST259" s="1260"/>
      <c r="SU259" s="1260"/>
      <c r="SV259" s="1260"/>
      <c r="SW259" s="1260"/>
      <c r="SX259" s="1260"/>
      <c r="SY259" s="1260"/>
      <c r="SZ259" s="1260"/>
      <c r="TA259" s="1260"/>
      <c r="TB259" s="1260"/>
      <c r="TC259" s="1260"/>
      <c r="TD259" s="1260"/>
      <c r="TE259" s="1260"/>
      <c r="TF259" s="1260"/>
      <c r="TG259" s="1260"/>
      <c r="TH259" s="1260"/>
      <c r="TI259" s="1260"/>
      <c r="TJ259" s="1260"/>
      <c r="TK259" s="1260"/>
      <c r="TL259" s="1260"/>
      <c r="TM259" s="1260"/>
      <c r="TN259" s="1260"/>
      <c r="TO259" s="1260"/>
      <c r="TP259" s="1260"/>
      <c r="TQ259" s="1260"/>
      <c r="TR259" s="1260"/>
      <c r="TS259" s="1260"/>
      <c r="TT259" s="1260"/>
      <c r="TU259" s="1260"/>
      <c r="TV259" s="1260"/>
      <c r="TW259" s="1260"/>
      <c r="TX259" s="1260"/>
      <c r="TY259" s="1260"/>
      <c r="TZ259" s="1260"/>
      <c r="UA259" s="1260"/>
      <c r="UB259" s="1260"/>
      <c r="UC259" s="1260"/>
      <c r="UD259" s="1260"/>
      <c r="UE259" s="1260"/>
      <c r="UF259" s="1260"/>
      <c r="UG259" s="1261"/>
    </row>
    <row r="260" spans="1:553" s="1262" customFormat="1" ht="48" customHeight="1">
      <c r="A260" s="401" t="s">
        <v>15</v>
      </c>
      <c r="B260" s="401"/>
      <c r="C260" s="497" t="s">
        <v>1063</v>
      </c>
      <c r="D260" s="498"/>
      <c r="E260" s="498"/>
      <c r="F260" s="497"/>
      <c r="G260" s="402" t="s">
        <v>193</v>
      </c>
      <c r="H260" s="499"/>
      <c r="I260" s="507">
        <v>5</v>
      </c>
      <c r="J260" s="986">
        <v>125000</v>
      </c>
      <c r="K260" s="508"/>
      <c r="L260" s="1281">
        <f t="shared" si="51"/>
        <v>625000</v>
      </c>
      <c r="M260" s="366"/>
      <c r="N260" s="366"/>
      <c r="O260" s="366"/>
      <c r="P260" s="366"/>
      <c r="Q260" s="1136"/>
      <c r="R260" s="1447"/>
      <c r="S260" s="308"/>
      <c r="T260" s="303"/>
      <c r="U260" s="306"/>
      <c r="V260" s="307"/>
      <c r="W260" s="306"/>
      <c r="X260" s="306"/>
      <c r="Y260" s="306"/>
      <c r="Z260" s="306"/>
      <c r="AA260" s="306"/>
      <c r="AB260" s="306"/>
      <c r="AC260" s="449"/>
      <c r="AD260" s="452"/>
      <c r="AE260" s="452"/>
      <c r="AF260" s="452"/>
      <c r="AG260" s="452"/>
      <c r="AH260" s="452"/>
      <c r="AI260" s="452"/>
      <c r="AJ260" s="452"/>
      <c r="AK260" s="452"/>
      <c r="AL260" s="1259"/>
      <c r="AM260" s="1260"/>
      <c r="AN260" s="1260"/>
      <c r="AO260" s="1260"/>
      <c r="AP260" s="1260"/>
      <c r="AQ260" s="1260"/>
      <c r="AR260" s="1260"/>
      <c r="AS260" s="1260"/>
      <c r="AT260" s="1260"/>
      <c r="AU260" s="1260"/>
      <c r="AV260" s="1260"/>
      <c r="AW260" s="1260"/>
      <c r="AX260" s="1260"/>
      <c r="AY260" s="1260"/>
      <c r="AZ260" s="1260"/>
      <c r="BA260" s="1260"/>
      <c r="BB260" s="1260"/>
      <c r="BC260" s="1260"/>
      <c r="BD260" s="1260"/>
      <c r="BE260" s="1260"/>
      <c r="BF260" s="1260"/>
      <c r="BG260" s="1260"/>
      <c r="BH260" s="1260"/>
      <c r="BI260" s="1260"/>
      <c r="BJ260" s="1260"/>
      <c r="BK260" s="1260"/>
      <c r="BL260" s="1260"/>
      <c r="BM260" s="1260"/>
      <c r="BN260" s="1260"/>
      <c r="BO260" s="1260"/>
      <c r="BP260" s="1260"/>
      <c r="BQ260" s="1260"/>
      <c r="BR260" s="1260"/>
      <c r="BS260" s="1260"/>
      <c r="BT260" s="1260"/>
      <c r="BU260" s="1260"/>
      <c r="BV260" s="1260"/>
      <c r="BW260" s="1260"/>
      <c r="BX260" s="1260"/>
      <c r="BY260" s="1260"/>
      <c r="BZ260" s="1260"/>
      <c r="CA260" s="1260"/>
      <c r="CB260" s="1260"/>
      <c r="CC260" s="1260"/>
      <c r="CD260" s="1260"/>
      <c r="CE260" s="1260"/>
      <c r="CF260" s="1260"/>
      <c r="CG260" s="1260"/>
      <c r="CH260" s="1260"/>
      <c r="CI260" s="1260"/>
      <c r="CJ260" s="1260"/>
      <c r="CK260" s="1260"/>
      <c r="CL260" s="1260"/>
      <c r="CM260" s="1260"/>
      <c r="CN260" s="1260"/>
      <c r="CO260" s="1260"/>
      <c r="CP260" s="1260"/>
      <c r="CQ260" s="1260"/>
      <c r="CR260" s="1260"/>
      <c r="CS260" s="1260"/>
      <c r="CT260" s="1260"/>
      <c r="CU260" s="1260"/>
      <c r="CV260" s="1260"/>
      <c r="CW260" s="1260"/>
      <c r="CX260" s="1260"/>
      <c r="CY260" s="1260"/>
      <c r="CZ260" s="1260"/>
      <c r="DA260" s="1260"/>
      <c r="DB260" s="1260"/>
      <c r="DC260" s="1260"/>
      <c r="DD260" s="1260"/>
      <c r="DE260" s="1260"/>
      <c r="DF260" s="1260"/>
      <c r="DG260" s="1260"/>
      <c r="DH260" s="1260"/>
      <c r="DI260" s="1260"/>
      <c r="DJ260" s="1260"/>
      <c r="DK260" s="1260"/>
      <c r="DL260" s="1260"/>
      <c r="DM260" s="1260"/>
      <c r="DN260" s="1260"/>
      <c r="DO260" s="1260"/>
      <c r="DP260" s="1260"/>
      <c r="DQ260" s="1260"/>
      <c r="DR260" s="1260"/>
      <c r="DS260" s="1260"/>
      <c r="DT260" s="1260"/>
      <c r="DU260" s="1260"/>
      <c r="DV260" s="1260"/>
      <c r="DW260" s="1260"/>
      <c r="DX260" s="1260"/>
      <c r="DY260" s="1260"/>
      <c r="DZ260" s="1260"/>
      <c r="EA260" s="1260"/>
      <c r="EB260" s="1260"/>
      <c r="EC260" s="1260"/>
      <c r="ED260" s="1260"/>
      <c r="EE260" s="1260"/>
      <c r="EF260" s="1260"/>
      <c r="EG260" s="1260"/>
      <c r="EH260" s="1260"/>
      <c r="EI260" s="1260"/>
      <c r="EJ260" s="1260"/>
      <c r="EK260" s="1260"/>
      <c r="EL260" s="1260"/>
      <c r="EM260" s="1260"/>
      <c r="EN260" s="1260"/>
      <c r="EO260" s="1260"/>
      <c r="EP260" s="1260"/>
      <c r="EQ260" s="1260"/>
      <c r="ER260" s="1260"/>
      <c r="ES260" s="1260"/>
      <c r="ET260" s="1260"/>
      <c r="EU260" s="1260"/>
      <c r="EV260" s="1260"/>
      <c r="EW260" s="1260"/>
      <c r="EX260" s="1260"/>
      <c r="EY260" s="1260"/>
      <c r="EZ260" s="1260"/>
      <c r="FA260" s="1260"/>
      <c r="FB260" s="1260"/>
      <c r="FC260" s="1260"/>
      <c r="FD260" s="1260"/>
      <c r="FE260" s="1260"/>
      <c r="FF260" s="1260"/>
      <c r="FG260" s="1260"/>
      <c r="FH260" s="1260"/>
      <c r="FI260" s="1260"/>
      <c r="FJ260" s="1260"/>
      <c r="FK260" s="1260"/>
      <c r="FL260" s="1260"/>
      <c r="FM260" s="1260"/>
      <c r="FN260" s="1260"/>
      <c r="FO260" s="1260"/>
      <c r="FP260" s="1260"/>
      <c r="FQ260" s="1260"/>
      <c r="FR260" s="1260"/>
      <c r="FS260" s="1260"/>
      <c r="FT260" s="1260"/>
      <c r="FU260" s="1260"/>
      <c r="FV260" s="1260"/>
      <c r="FW260" s="1260"/>
      <c r="FX260" s="1260"/>
      <c r="FY260" s="1260"/>
      <c r="FZ260" s="1260"/>
      <c r="GA260" s="1260"/>
      <c r="GB260" s="1260"/>
      <c r="GC260" s="1260"/>
      <c r="GD260" s="1260"/>
      <c r="GE260" s="1260"/>
      <c r="GF260" s="1260"/>
      <c r="GG260" s="1260"/>
      <c r="GH260" s="1260"/>
      <c r="GI260" s="1260"/>
      <c r="GJ260" s="1260"/>
      <c r="GK260" s="1260"/>
      <c r="GL260" s="1260"/>
      <c r="GM260" s="1260"/>
      <c r="GN260" s="1260"/>
      <c r="GO260" s="1260"/>
      <c r="GP260" s="1260"/>
      <c r="GQ260" s="1260"/>
      <c r="GR260" s="1260"/>
      <c r="GS260" s="1260"/>
      <c r="GT260" s="1260"/>
      <c r="GU260" s="1260"/>
      <c r="GV260" s="1260"/>
      <c r="GW260" s="1260"/>
      <c r="GX260" s="1260"/>
      <c r="GY260" s="1260"/>
      <c r="GZ260" s="1260"/>
      <c r="HA260" s="1260"/>
      <c r="HB260" s="1260"/>
      <c r="HC260" s="1260"/>
      <c r="HD260" s="1260"/>
      <c r="HE260" s="1260"/>
      <c r="HF260" s="1260"/>
      <c r="HG260" s="1260"/>
      <c r="HH260" s="1260"/>
      <c r="HI260" s="1260"/>
      <c r="HJ260" s="1260"/>
      <c r="HK260" s="1260"/>
      <c r="HL260" s="1260"/>
      <c r="HM260" s="1260"/>
      <c r="HN260" s="1260"/>
      <c r="HO260" s="1260"/>
      <c r="HP260" s="1260"/>
      <c r="HQ260" s="1260"/>
      <c r="HR260" s="1260"/>
      <c r="HS260" s="1260"/>
      <c r="HT260" s="1260"/>
      <c r="HU260" s="1260"/>
      <c r="HV260" s="1260"/>
      <c r="HW260" s="1260"/>
      <c r="HX260" s="1260"/>
      <c r="HY260" s="1260"/>
      <c r="HZ260" s="1260"/>
      <c r="IA260" s="1260"/>
      <c r="IB260" s="1260"/>
      <c r="IC260" s="1260"/>
      <c r="ID260" s="1260"/>
      <c r="IE260" s="1260"/>
      <c r="IF260" s="1260"/>
      <c r="IG260" s="1260"/>
      <c r="IH260" s="1260"/>
      <c r="II260" s="1260"/>
      <c r="IJ260" s="1260"/>
      <c r="IK260" s="1260"/>
      <c r="IL260" s="1260"/>
      <c r="IM260" s="1260"/>
      <c r="IN260" s="1260"/>
      <c r="IO260" s="1260"/>
      <c r="IP260" s="1260"/>
      <c r="IQ260" s="1260"/>
      <c r="IR260" s="1260"/>
      <c r="IS260" s="1260"/>
      <c r="IT260" s="1260"/>
      <c r="IU260" s="1260"/>
      <c r="IV260" s="1260"/>
      <c r="IW260" s="1260"/>
      <c r="IX260" s="1260"/>
      <c r="IY260" s="1260"/>
      <c r="IZ260" s="1260"/>
      <c r="JA260" s="1260"/>
      <c r="JB260" s="1260"/>
      <c r="JC260" s="1260"/>
      <c r="JD260" s="1260"/>
      <c r="JE260" s="1260"/>
      <c r="JF260" s="1260"/>
      <c r="JG260" s="1260"/>
      <c r="JH260" s="1260"/>
      <c r="JI260" s="1260"/>
      <c r="JJ260" s="1260"/>
      <c r="JK260" s="1260"/>
      <c r="JL260" s="1260"/>
      <c r="JM260" s="1260"/>
      <c r="JN260" s="1260"/>
      <c r="JO260" s="1260"/>
      <c r="JP260" s="1260"/>
      <c r="JQ260" s="1260"/>
      <c r="JR260" s="1260"/>
      <c r="JS260" s="1260"/>
      <c r="JT260" s="1260"/>
      <c r="JU260" s="1260"/>
      <c r="JV260" s="1260"/>
      <c r="JW260" s="1260"/>
      <c r="JX260" s="1260"/>
      <c r="JY260" s="1260"/>
      <c r="JZ260" s="1260"/>
      <c r="KA260" s="1260"/>
      <c r="KB260" s="1260"/>
      <c r="KC260" s="1260"/>
      <c r="KD260" s="1260"/>
      <c r="KE260" s="1260"/>
      <c r="KF260" s="1260"/>
      <c r="KG260" s="1260"/>
      <c r="KH260" s="1260"/>
      <c r="KI260" s="1260"/>
      <c r="KJ260" s="1260"/>
      <c r="KK260" s="1260"/>
      <c r="KL260" s="1260"/>
      <c r="KM260" s="1260"/>
      <c r="KN260" s="1260"/>
      <c r="KO260" s="1260"/>
      <c r="KP260" s="1260"/>
      <c r="KQ260" s="1260"/>
      <c r="KR260" s="1260"/>
      <c r="KS260" s="1260"/>
      <c r="KT260" s="1260"/>
      <c r="KU260" s="1260"/>
      <c r="KV260" s="1260"/>
      <c r="KW260" s="1260"/>
      <c r="KX260" s="1260"/>
      <c r="KY260" s="1260"/>
      <c r="KZ260" s="1260"/>
      <c r="LA260" s="1260"/>
      <c r="LB260" s="1260"/>
      <c r="LC260" s="1260"/>
      <c r="LD260" s="1260"/>
      <c r="LE260" s="1260"/>
      <c r="LF260" s="1260"/>
      <c r="LG260" s="1260"/>
      <c r="LH260" s="1260"/>
      <c r="LI260" s="1260"/>
      <c r="LJ260" s="1260"/>
      <c r="LK260" s="1260"/>
      <c r="LL260" s="1260"/>
      <c r="LM260" s="1260"/>
      <c r="LN260" s="1260"/>
      <c r="LO260" s="1260"/>
      <c r="LP260" s="1260"/>
      <c r="LQ260" s="1260"/>
      <c r="LR260" s="1260"/>
      <c r="LS260" s="1260"/>
      <c r="LT260" s="1260"/>
      <c r="LU260" s="1260"/>
      <c r="LV260" s="1260"/>
      <c r="LW260" s="1260"/>
      <c r="LX260" s="1260"/>
      <c r="LY260" s="1260"/>
      <c r="LZ260" s="1260"/>
      <c r="MA260" s="1260"/>
      <c r="MB260" s="1260"/>
      <c r="MC260" s="1260"/>
      <c r="MD260" s="1260"/>
      <c r="ME260" s="1260"/>
      <c r="MF260" s="1260"/>
      <c r="MG260" s="1260"/>
      <c r="MH260" s="1260"/>
      <c r="MI260" s="1260"/>
      <c r="MJ260" s="1260"/>
      <c r="MK260" s="1260"/>
      <c r="ML260" s="1260"/>
      <c r="MM260" s="1260"/>
      <c r="MN260" s="1260"/>
      <c r="MO260" s="1260"/>
      <c r="MP260" s="1260"/>
      <c r="MQ260" s="1260"/>
      <c r="MR260" s="1260"/>
      <c r="MS260" s="1260"/>
      <c r="MT260" s="1260"/>
      <c r="MU260" s="1260"/>
      <c r="MV260" s="1260"/>
      <c r="MW260" s="1260"/>
      <c r="MX260" s="1260"/>
      <c r="MY260" s="1260"/>
      <c r="MZ260" s="1260"/>
      <c r="NA260" s="1260"/>
      <c r="NB260" s="1260"/>
      <c r="NC260" s="1260"/>
      <c r="ND260" s="1260"/>
      <c r="NE260" s="1260"/>
      <c r="NF260" s="1260"/>
      <c r="NG260" s="1260"/>
      <c r="NH260" s="1260"/>
      <c r="NI260" s="1260"/>
      <c r="NJ260" s="1260"/>
      <c r="NK260" s="1260"/>
      <c r="NL260" s="1260"/>
      <c r="NM260" s="1260"/>
      <c r="NN260" s="1260"/>
      <c r="NO260" s="1260"/>
      <c r="NP260" s="1260"/>
      <c r="NQ260" s="1260"/>
      <c r="NR260" s="1260"/>
      <c r="NS260" s="1260"/>
      <c r="NT260" s="1260"/>
      <c r="NU260" s="1260"/>
      <c r="NV260" s="1260"/>
      <c r="NW260" s="1260"/>
      <c r="NX260" s="1260"/>
      <c r="NY260" s="1260"/>
      <c r="NZ260" s="1260"/>
      <c r="OA260" s="1260"/>
      <c r="OB260" s="1260"/>
      <c r="OC260" s="1260"/>
      <c r="OD260" s="1260"/>
      <c r="OE260" s="1260"/>
      <c r="OF260" s="1260"/>
      <c r="OG260" s="1260"/>
      <c r="OH260" s="1260"/>
      <c r="OI260" s="1260"/>
      <c r="OJ260" s="1260"/>
      <c r="OK260" s="1260"/>
      <c r="OL260" s="1260"/>
      <c r="OM260" s="1260"/>
      <c r="ON260" s="1260"/>
      <c r="OO260" s="1260"/>
      <c r="OP260" s="1260"/>
      <c r="OQ260" s="1260"/>
      <c r="OR260" s="1260"/>
      <c r="OS260" s="1260"/>
      <c r="OT260" s="1260"/>
      <c r="OU260" s="1260"/>
      <c r="OV260" s="1260"/>
      <c r="OW260" s="1260"/>
      <c r="OX260" s="1260"/>
      <c r="OY260" s="1260"/>
      <c r="OZ260" s="1260"/>
      <c r="PA260" s="1260"/>
      <c r="PB260" s="1260"/>
      <c r="PC260" s="1260"/>
      <c r="PD260" s="1260"/>
      <c r="PE260" s="1260"/>
      <c r="PF260" s="1260"/>
      <c r="PG260" s="1260"/>
      <c r="PH260" s="1260"/>
      <c r="PI260" s="1260"/>
      <c r="PJ260" s="1260"/>
      <c r="PK260" s="1260"/>
      <c r="PL260" s="1260"/>
      <c r="PM260" s="1260"/>
      <c r="PN260" s="1260"/>
      <c r="PO260" s="1260"/>
      <c r="PP260" s="1260"/>
      <c r="PQ260" s="1260"/>
      <c r="PR260" s="1260"/>
      <c r="PS260" s="1260"/>
      <c r="PT260" s="1260"/>
      <c r="PU260" s="1260"/>
      <c r="PV260" s="1260"/>
      <c r="PW260" s="1260"/>
      <c r="PX260" s="1260"/>
      <c r="PY260" s="1260"/>
      <c r="PZ260" s="1260"/>
      <c r="QA260" s="1260"/>
      <c r="QB260" s="1260"/>
      <c r="QC260" s="1260"/>
      <c r="QD260" s="1260"/>
      <c r="QE260" s="1260"/>
      <c r="QF260" s="1260"/>
      <c r="QG260" s="1260"/>
      <c r="QH260" s="1260"/>
      <c r="QI260" s="1260"/>
      <c r="QJ260" s="1260"/>
      <c r="QK260" s="1260"/>
      <c r="QL260" s="1260"/>
      <c r="QM260" s="1260"/>
      <c r="QN260" s="1260"/>
      <c r="QO260" s="1260"/>
      <c r="QP260" s="1260"/>
      <c r="QQ260" s="1260"/>
      <c r="QR260" s="1260"/>
      <c r="QS260" s="1260"/>
      <c r="QT260" s="1260"/>
      <c r="QU260" s="1260"/>
      <c r="QV260" s="1260"/>
      <c r="QW260" s="1260"/>
      <c r="QX260" s="1260"/>
      <c r="QY260" s="1260"/>
      <c r="QZ260" s="1260"/>
      <c r="RA260" s="1260"/>
      <c r="RB260" s="1260"/>
      <c r="RC260" s="1260"/>
      <c r="RD260" s="1260"/>
      <c r="RE260" s="1260"/>
      <c r="RF260" s="1260"/>
      <c r="RG260" s="1260"/>
      <c r="RH260" s="1260"/>
      <c r="RI260" s="1260"/>
      <c r="RJ260" s="1260"/>
      <c r="RK260" s="1260"/>
      <c r="RL260" s="1260"/>
      <c r="RM260" s="1260"/>
      <c r="RN260" s="1260"/>
      <c r="RO260" s="1260"/>
      <c r="RP260" s="1260"/>
      <c r="RQ260" s="1260"/>
      <c r="RR260" s="1260"/>
      <c r="RS260" s="1260"/>
      <c r="RT260" s="1260"/>
      <c r="RU260" s="1260"/>
      <c r="RV260" s="1260"/>
      <c r="RW260" s="1260"/>
      <c r="RX260" s="1260"/>
      <c r="RY260" s="1260"/>
      <c r="RZ260" s="1260"/>
      <c r="SA260" s="1260"/>
      <c r="SB260" s="1260"/>
      <c r="SC260" s="1260"/>
      <c r="SD260" s="1260"/>
      <c r="SE260" s="1260"/>
      <c r="SF260" s="1260"/>
      <c r="SG260" s="1260"/>
      <c r="SH260" s="1260"/>
      <c r="SI260" s="1260"/>
      <c r="SJ260" s="1260"/>
      <c r="SK260" s="1260"/>
      <c r="SL260" s="1260"/>
      <c r="SM260" s="1260"/>
      <c r="SN260" s="1260"/>
      <c r="SO260" s="1260"/>
      <c r="SP260" s="1260"/>
      <c r="SQ260" s="1260"/>
      <c r="SR260" s="1260"/>
      <c r="SS260" s="1260"/>
      <c r="ST260" s="1260"/>
      <c r="SU260" s="1260"/>
      <c r="SV260" s="1260"/>
      <c r="SW260" s="1260"/>
      <c r="SX260" s="1260"/>
      <c r="SY260" s="1260"/>
      <c r="SZ260" s="1260"/>
      <c r="TA260" s="1260"/>
      <c r="TB260" s="1260"/>
      <c r="TC260" s="1260"/>
      <c r="TD260" s="1260"/>
      <c r="TE260" s="1260"/>
      <c r="TF260" s="1260"/>
      <c r="TG260" s="1260"/>
      <c r="TH260" s="1260"/>
      <c r="TI260" s="1260"/>
      <c r="TJ260" s="1260"/>
      <c r="TK260" s="1260"/>
      <c r="TL260" s="1260"/>
      <c r="TM260" s="1260"/>
      <c r="TN260" s="1260"/>
      <c r="TO260" s="1260"/>
      <c r="TP260" s="1260"/>
      <c r="TQ260" s="1260"/>
      <c r="TR260" s="1260"/>
      <c r="TS260" s="1260"/>
      <c r="TT260" s="1260"/>
      <c r="TU260" s="1260"/>
      <c r="TV260" s="1260"/>
      <c r="TW260" s="1260"/>
      <c r="TX260" s="1260"/>
      <c r="TY260" s="1260"/>
      <c r="TZ260" s="1260"/>
      <c r="UA260" s="1260"/>
      <c r="UB260" s="1260"/>
      <c r="UC260" s="1260"/>
      <c r="UD260" s="1260"/>
      <c r="UE260" s="1260"/>
      <c r="UF260" s="1260"/>
      <c r="UG260" s="1261"/>
    </row>
    <row r="261" spans="1:553" s="1262" customFormat="1" ht="48" customHeight="1">
      <c r="A261" s="1226" t="s">
        <v>15</v>
      </c>
      <c r="B261" s="1226"/>
      <c r="C261" s="1227" t="s">
        <v>269</v>
      </c>
      <c r="D261" s="1216"/>
      <c r="E261" s="1216"/>
      <c r="F261" s="1227"/>
      <c r="G261" s="1226" t="s">
        <v>196</v>
      </c>
      <c r="H261" s="502"/>
      <c r="I261" s="423">
        <f>(132.2*100/1200)*1</f>
        <v>11.016666666666666</v>
      </c>
      <c r="J261" s="1243">
        <v>6600</v>
      </c>
      <c r="K261" s="509"/>
      <c r="L261" s="421">
        <f>J261*I261</f>
        <v>72710</v>
      </c>
      <c r="M261" s="366"/>
      <c r="N261" s="366"/>
      <c r="O261" s="366"/>
      <c r="P261" s="366"/>
      <c r="Q261" s="1136"/>
      <c r="R261" s="1447"/>
      <c r="S261" s="308"/>
      <c r="T261" s="303"/>
      <c r="U261" s="306"/>
      <c r="V261" s="307"/>
      <c r="W261" s="306"/>
      <c r="X261" s="306"/>
      <c r="Y261" s="306"/>
      <c r="Z261" s="306"/>
      <c r="AA261" s="306"/>
      <c r="AB261" s="306"/>
      <c r="AC261" s="449"/>
      <c r="AD261" s="452"/>
      <c r="AE261" s="452"/>
      <c r="AF261" s="452"/>
      <c r="AG261" s="452"/>
      <c r="AH261" s="452"/>
      <c r="AI261" s="452"/>
      <c r="AJ261" s="452"/>
      <c r="AK261" s="452"/>
      <c r="AL261" s="1259"/>
      <c r="AM261" s="1260"/>
      <c r="AN261" s="1260"/>
      <c r="AO261" s="1260"/>
      <c r="AP261" s="1260"/>
      <c r="AQ261" s="1260"/>
      <c r="AR261" s="1260"/>
      <c r="AS261" s="1260"/>
      <c r="AT261" s="1260"/>
      <c r="AU261" s="1260"/>
      <c r="AV261" s="1260"/>
      <c r="AW261" s="1260"/>
      <c r="AX261" s="1260"/>
      <c r="AY261" s="1260"/>
      <c r="AZ261" s="1260"/>
      <c r="BA261" s="1260"/>
      <c r="BB261" s="1260"/>
      <c r="BC261" s="1260"/>
      <c r="BD261" s="1260"/>
      <c r="BE261" s="1260"/>
      <c r="BF261" s="1260"/>
      <c r="BG261" s="1260"/>
      <c r="BH261" s="1260"/>
      <c r="BI261" s="1260"/>
      <c r="BJ261" s="1260"/>
      <c r="BK261" s="1260"/>
      <c r="BL261" s="1260"/>
      <c r="BM261" s="1260"/>
      <c r="BN261" s="1260"/>
      <c r="BO261" s="1260"/>
      <c r="BP261" s="1260"/>
      <c r="BQ261" s="1260"/>
      <c r="BR261" s="1260"/>
      <c r="BS261" s="1260"/>
      <c r="BT261" s="1260"/>
      <c r="BU261" s="1260"/>
      <c r="BV261" s="1260"/>
      <c r="BW261" s="1260"/>
      <c r="BX261" s="1260"/>
      <c r="BY261" s="1260"/>
      <c r="BZ261" s="1260"/>
      <c r="CA261" s="1260"/>
      <c r="CB261" s="1260"/>
      <c r="CC261" s="1260"/>
      <c r="CD261" s="1260"/>
      <c r="CE261" s="1260"/>
      <c r="CF261" s="1260"/>
      <c r="CG261" s="1260"/>
      <c r="CH261" s="1260"/>
      <c r="CI261" s="1260"/>
      <c r="CJ261" s="1260"/>
      <c r="CK261" s="1260"/>
      <c r="CL261" s="1260"/>
      <c r="CM261" s="1260"/>
      <c r="CN261" s="1260"/>
      <c r="CO261" s="1260"/>
      <c r="CP261" s="1260"/>
      <c r="CQ261" s="1260"/>
      <c r="CR261" s="1260"/>
      <c r="CS261" s="1260"/>
      <c r="CT261" s="1260"/>
      <c r="CU261" s="1260"/>
      <c r="CV261" s="1260"/>
      <c r="CW261" s="1260"/>
      <c r="CX261" s="1260"/>
      <c r="CY261" s="1260"/>
      <c r="CZ261" s="1260"/>
      <c r="DA261" s="1260"/>
      <c r="DB261" s="1260"/>
      <c r="DC261" s="1260"/>
      <c r="DD261" s="1260"/>
      <c r="DE261" s="1260"/>
      <c r="DF261" s="1260"/>
      <c r="DG261" s="1260"/>
      <c r="DH261" s="1260"/>
      <c r="DI261" s="1260"/>
      <c r="DJ261" s="1260"/>
      <c r="DK261" s="1260"/>
      <c r="DL261" s="1260"/>
      <c r="DM261" s="1260"/>
      <c r="DN261" s="1260"/>
      <c r="DO261" s="1260"/>
      <c r="DP261" s="1260"/>
      <c r="DQ261" s="1260"/>
      <c r="DR261" s="1260"/>
      <c r="DS261" s="1260"/>
      <c r="DT261" s="1260"/>
      <c r="DU261" s="1260"/>
      <c r="DV261" s="1260"/>
      <c r="DW261" s="1260"/>
      <c r="DX261" s="1260"/>
      <c r="DY261" s="1260"/>
      <c r="DZ261" s="1260"/>
      <c r="EA261" s="1260"/>
      <c r="EB261" s="1260"/>
      <c r="EC261" s="1260"/>
      <c r="ED261" s="1260"/>
      <c r="EE261" s="1260"/>
      <c r="EF261" s="1260"/>
      <c r="EG261" s="1260"/>
      <c r="EH261" s="1260"/>
      <c r="EI261" s="1260"/>
      <c r="EJ261" s="1260"/>
      <c r="EK261" s="1260"/>
      <c r="EL261" s="1260"/>
      <c r="EM261" s="1260"/>
      <c r="EN261" s="1260"/>
      <c r="EO261" s="1260"/>
      <c r="EP261" s="1260"/>
      <c r="EQ261" s="1260"/>
      <c r="ER261" s="1260"/>
      <c r="ES261" s="1260"/>
      <c r="ET261" s="1260"/>
      <c r="EU261" s="1260"/>
      <c r="EV261" s="1260"/>
      <c r="EW261" s="1260"/>
      <c r="EX261" s="1260"/>
      <c r="EY261" s="1260"/>
      <c r="EZ261" s="1260"/>
      <c r="FA261" s="1260"/>
      <c r="FB261" s="1260"/>
      <c r="FC261" s="1260"/>
      <c r="FD261" s="1260"/>
      <c r="FE261" s="1260"/>
      <c r="FF261" s="1260"/>
      <c r="FG261" s="1260"/>
      <c r="FH261" s="1260"/>
      <c r="FI261" s="1260"/>
      <c r="FJ261" s="1260"/>
      <c r="FK261" s="1260"/>
      <c r="FL261" s="1260"/>
      <c r="FM261" s="1260"/>
      <c r="FN261" s="1260"/>
      <c r="FO261" s="1260"/>
      <c r="FP261" s="1260"/>
      <c r="FQ261" s="1260"/>
      <c r="FR261" s="1260"/>
      <c r="FS261" s="1260"/>
      <c r="FT261" s="1260"/>
      <c r="FU261" s="1260"/>
      <c r="FV261" s="1260"/>
      <c r="FW261" s="1260"/>
      <c r="FX261" s="1260"/>
      <c r="FY261" s="1260"/>
      <c r="FZ261" s="1260"/>
      <c r="GA261" s="1260"/>
      <c r="GB261" s="1260"/>
      <c r="GC261" s="1260"/>
      <c r="GD261" s="1260"/>
      <c r="GE261" s="1260"/>
      <c r="GF261" s="1260"/>
      <c r="GG261" s="1260"/>
      <c r="GH261" s="1260"/>
      <c r="GI261" s="1260"/>
      <c r="GJ261" s="1260"/>
      <c r="GK261" s="1260"/>
      <c r="GL261" s="1260"/>
      <c r="GM261" s="1260"/>
      <c r="GN261" s="1260"/>
      <c r="GO261" s="1260"/>
      <c r="GP261" s="1260"/>
      <c r="GQ261" s="1260"/>
      <c r="GR261" s="1260"/>
      <c r="GS261" s="1260"/>
      <c r="GT261" s="1260"/>
      <c r="GU261" s="1260"/>
      <c r="GV261" s="1260"/>
      <c r="GW261" s="1260"/>
      <c r="GX261" s="1260"/>
      <c r="GY261" s="1260"/>
      <c r="GZ261" s="1260"/>
      <c r="HA261" s="1260"/>
      <c r="HB261" s="1260"/>
      <c r="HC261" s="1260"/>
      <c r="HD261" s="1260"/>
      <c r="HE261" s="1260"/>
      <c r="HF261" s="1260"/>
      <c r="HG261" s="1260"/>
      <c r="HH261" s="1260"/>
      <c r="HI261" s="1260"/>
      <c r="HJ261" s="1260"/>
      <c r="HK261" s="1260"/>
      <c r="HL261" s="1260"/>
      <c r="HM261" s="1260"/>
      <c r="HN261" s="1260"/>
      <c r="HO261" s="1260"/>
      <c r="HP261" s="1260"/>
      <c r="HQ261" s="1260"/>
      <c r="HR261" s="1260"/>
      <c r="HS261" s="1260"/>
      <c r="HT261" s="1260"/>
      <c r="HU261" s="1260"/>
      <c r="HV261" s="1260"/>
      <c r="HW261" s="1260"/>
      <c r="HX261" s="1260"/>
      <c r="HY261" s="1260"/>
      <c r="HZ261" s="1260"/>
      <c r="IA261" s="1260"/>
      <c r="IB261" s="1260"/>
      <c r="IC261" s="1260"/>
      <c r="ID261" s="1260"/>
      <c r="IE261" s="1260"/>
      <c r="IF261" s="1260"/>
      <c r="IG261" s="1260"/>
      <c r="IH261" s="1260"/>
      <c r="II261" s="1260"/>
      <c r="IJ261" s="1260"/>
      <c r="IK261" s="1260"/>
      <c r="IL261" s="1260"/>
      <c r="IM261" s="1260"/>
      <c r="IN261" s="1260"/>
      <c r="IO261" s="1260"/>
      <c r="IP261" s="1260"/>
      <c r="IQ261" s="1260"/>
      <c r="IR261" s="1260"/>
      <c r="IS261" s="1260"/>
      <c r="IT261" s="1260"/>
      <c r="IU261" s="1260"/>
      <c r="IV261" s="1260"/>
      <c r="IW261" s="1260"/>
      <c r="IX261" s="1260"/>
      <c r="IY261" s="1260"/>
      <c r="IZ261" s="1260"/>
      <c r="JA261" s="1260"/>
      <c r="JB261" s="1260"/>
      <c r="JC261" s="1260"/>
      <c r="JD261" s="1260"/>
      <c r="JE261" s="1260"/>
      <c r="JF261" s="1260"/>
      <c r="JG261" s="1260"/>
      <c r="JH261" s="1260"/>
      <c r="JI261" s="1260"/>
      <c r="JJ261" s="1260"/>
      <c r="JK261" s="1260"/>
      <c r="JL261" s="1260"/>
      <c r="JM261" s="1260"/>
      <c r="JN261" s="1260"/>
      <c r="JO261" s="1260"/>
      <c r="JP261" s="1260"/>
      <c r="JQ261" s="1260"/>
      <c r="JR261" s="1260"/>
      <c r="JS261" s="1260"/>
      <c r="JT261" s="1260"/>
      <c r="JU261" s="1260"/>
      <c r="JV261" s="1260"/>
      <c r="JW261" s="1260"/>
      <c r="JX261" s="1260"/>
      <c r="JY261" s="1260"/>
      <c r="JZ261" s="1260"/>
      <c r="KA261" s="1260"/>
      <c r="KB261" s="1260"/>
      <c r="KC261" s="1260"/>
      <c r="KD261" s="1260"/>
      <c r="KE261" s="1260"/>
      <c r="KF261" s="1260"/>
      <c r="KG261" s="1260"/>
      <c r="KH261" s="1260"/>
      <c r="KI261" s="1260"/>
      <c r="KJ261" s="1260"/>
      <c r="KK261" s="1260"/>
      <c r="KL261" s="1260"/>
      <c r="KM261" s="1260"/>
      <c r="KN261" s="1260"/>
      <c r="KO261" s="1260"/>
      <c r="KP261" s="1260"/>
      <c r="KQ261" s="1260"/>
      <c r="KR261" s="1260"/>
      <c r="KS261" s="1260"/>
      <c r="KT261" s="1260"/>
      <c r="KU261" s="1260"/>
      <c r="KV261" s="1260"/>
      <c r="KW261" s="1260"/>
      <c r="KX261" s="1260"/>
      <c r="KY261" s="1260"/>
      <c r="KZ261" s="1260"/>
      <c r="LA261" s="1260"/>
      <c r="LB261" s="1260"/>
      <c r="LC261" s="1260"/>
      <c r="LD261" s="1260"/>
      <c r="LE261" s="1260"/>
      <c r="LF261" s="1260"/>
      <c r="LG261" s="1260"/>
      <c r="LH261" s="1260"/>
      <c r="LI261" s="1260"/>
      <c r="LJ261" s="1260"/>
      <c r="LK261" s="1260"/>
      <c r="LL261" s="1260"/>
      <c r="LM261" s="1260"/>
      <c r="LN261" s="1260"/>
      <c r="LO261" s="1260"/>
      <c r="LP261" s="1260"/>
      <c r="LQ261" s="1260"/>
      <c r="LR261" s="1260"/>
      <c r="LS261" s="1260"/>
      <c r="LT261" s="1260"/>
      <c r="LU261" s="1260"/>
      <c r="LV261" s="1260"/>
      <c r="LW261" s="1260"/>
      <c r="LX261" s="1260"/>
      <c r="LY261" s="1260"/>
      <c r="LZ261" s="1260"/>
      <c r="MA261" s="1260"/>
      <c r="MB261" s="1260"/>
      <c r="MC261" s="1260"/>
      <c r="MD261" s="1260"/>
      <c r="ME261" s="1260"/>
      <c r="MF261" s="1260"/>
      <c r="MG261" s="1260"/>
      <c r="MH261" s="1260"/>
      <c r="MI261" s="1260"/>
      <c r="MJ261" s="1260"/>
      <c r="MK261" s="1260"/>
      <c r="ML261" s="1260"/>
      <c r="MM261" s="1260"/>
      <c r="MN261" s="1260"/>
      <c r="MO261" s="1260"/>
      <c r="MP261" s="1260"/>
      <c r="MQ261" s="1260"/>
      <c r="MR261" s="1260"/>
      <c r="MS261" s="1260"/>
      <c r="MT261" s="1260"/>
      <c r="MU261" s="1260"/>
      <c r="MV261" s="1260"/>
      <c r="MW261" s="1260"/>
      <c r="MX261" s="1260"/>
      <c r="MY261" s="1260"/>
      <c r="MZ261" s="1260"/>
      <c r="NA261" s="1260"/>
      <c r="NB261" s="1260"/>
      <c r="NC261" s="1260"/>
      <c r="ND261" s="1260"/>
      <c r="NE261" s="1260"/>
      <c r="NF261" s="1260"/>
      <c r="NG261" s="1260"/>
      <c r="NH261" s="1260"/>
      <c r="NI261" s="1260"/>
      <c r="NJ261" s="1260"/>
      <c r="NK261" s="1260"/>
      <c r="NL261" s="1260"/>
      <c r="NM261" s="1260"/>
      <c r="NN261" s="1260"/>
      <c r="NO261" s="1260"/>
      <c r="NP261" s="1260"/>
      <c r="NQ261" s="1260"/>
      <c r="NR261" s="1260"/>
      <c r="NS261" s="1260"/>
      <c r="NT261" s="1260"/>
      <c r="NU261" s="1260"/>
      <c r="NV261" s="1260"/>
      <c r="NW261" s="1260"/>
      <c r="NX261" s="1260"/>
      <c r="NY261" s="1260"/>
      <c r="NZ261" s="1260"/>
      <c r="OA261" s="1260"/>
      <c r="OB261" s="1260"/>
      <c r="OC261" s="1260"/>
      <c r="OD261" s="1260"/>
      <c r="OE261" s="1260"/>
      <c r="OF261" s="1260"/>
      <c r="OG261" s="1260"/>
      <c r="OH261" s="1260"/>
      <c r="OI261" s="1260"/>
      <c r="OJ261" s="1260"/>
      <c r="OK261" s="1260"/>
      <c r="OL261" s="1260"/>
      <c r="OM261" s="1260"/>
      <c r="ON261" s="1260"/>
      <c r="OO261" s="1260"/>
      <c r="OP261" s="1260"/>
      <c r="OQ261" s="1260"/>
      <c r="OR261" s="1260"/>
      <c r="OS261" s="1260"/>
      <c r="OT261" s="1260"/>
      <c r="OU261" s="1260"/>
      <c r="OV261" s="1260"/>
      <c r="OW261" s="1260"/>
      <c r="OX261" s="1260"/>
      <c r="OY261" s="1260"/>
      <c r="OZ261" s="1260"/>
      <c r="PA261" s="1260"/>
      <c r="PB261" s="1260"/>
      <c r="PC261" s="1260"/>
      <c r="PD261" s="1260"/>
      <c r="PE261" s="1260"/>
      <c r="PF261" s="1260"/>
      <c r="PG261" s="1260"/>
      <c r="PH261" s="1260"/>
      <c r="PI261" s="1260"/>
      <c r="PJ261" s="1260"/>
      <c r="PK261" s="1260"/>
      <c r="PL261" s="1260"/>
      <c r="PM261" s="1260"/>
      <c r="PN261" s="1260"/>
      <c r="PO261" s="1260"/>
      <c r="PP261" s="1260"/>
      <c r="PQ261" s="1260"/>
      <c r="PR261" s="1260"/>
      <c r="PS261" s="1260"/>
      <c r="PT261" s="1260"/>
      <c r="PU261" s="1260"/>
      <c r="PV261" s="1260"/>
      <c r="PW261" s="1260"/>
      <c r="PX261" s="1260"/>
      <c r="PY261" s="1260"/>
      <c r="PZ261" s="1260"/>
      <c r="QA261" s="1260"/>
      <c r="QB261" s="1260"/>
      <c r="QC261" s="1260"/>
      <c r="QD261" s="1260"/>
      <c r="QE261" s="1260"/>
      <c r="QF261" s="1260"/>
      <c r="QG261" s="1260"/>
      <c r="QH261" s="1260"/>
      <c r="QI261" s="1260"/>
      <c r="QJ261" s="1260"/>
      <c r="QK261" s="1260"/>
      <c r="QL261" s="1260"/>
      <c r="QM261" s="1260"/>
      <c r="QN261" s="1260"/>
      <c r="QO261" s="1260"/>
      <c r="QP261" s="1260"/>
      <c r="QQ261" s="1260"/>
      <c r="QR261" s="1260"/>
      <c r="QS261" s="1260"/>
      <c r="QT261" s="1260"/>
      <c r="QU261" s="1260"/>
      <c r="QV261" s="1260"/>
      <c r="QW261" s="1260"/>
      <c r="QX261" s="1260"/>
      <c r="QY261" s="1260"/>
      <c r="QZ261" s="1260"/>
      <c r="RA261" s="1260"/>
      <c r="RB261" s="1260"/>
      <c r="RC261" s="1260"/>
      <c r="RD261" s="1260"/>
      <c r="RE261" s="1260"/>
      <c r="RF261" s="1260"/>
      <c r="RG261" s="1260"/>
      <c r="RH261" s="1260"/>
      <c r="RI261" s="1260"/>
      <c r="RJ261" s="1260"/>
      <c r="RK261" s="1260"/>
      <c r="RL261" s="1260"/>
      <c r="RM261" s="1260"/>
      <c r="RN261" s="1260"/>
      <c r="RO261" s="1260"/>
      <c r="RP261" s="1260"/>
      <c r="RQ261" s="1260"/>
      <c r="RR261" s="1260"/>
      <c r="RS261" s="1260"/>
      <c r="RT261" s="1260"/>
      <c r="RU261" s="1260"/>
      <c r="RV261" s="1260"/>
      <c r="RW261" s="1260"/>
      <c r="RX261" s="1260"/>
      <c r="RY261" s="1260"/>
      <c r="RZ261" s="1260"/>
      <c r="SA261" s="1260"/>
      <c r="SB261" s="1260"/>
      <c r="SC261" s="1260"/>
      <c r="SD261" s="1260"/>
      <c r="SE261" s="1260"/>
      <c r="SF261" s="1260"/>
      <c r="SG261" s="1260"/>
      <c r="SH261" s="1260"/>
      <c r="SI261" s="1260"/>
      <c r="SJ261" s="1260"/>
      <c r="SK261" s="1260"/>
      <c r="SL261" s="1260"/>
      <c r="SM261" s="1260"/>
      <c r="SN261" s="1260"/>
      <c r="SO261" s="1260"/>
      <c r="SP261" s="1260"/>
      <c r="SQ261" s="1260"/>
      <c r="SR261" s="1260"/>
      <c r="SS261" s="1260"/>
      <c r="ST261" s="1260"/>
      <c r="SU261" s="1260"/>
      <c r="SV261" s="1260"/>
      <c r="SW261" s="1260"/>
      <c r="SX261" s="1260"/>
      <c r="SY261" s="1260"/>
      <c r="SZ261" s="1260"/>
      <c r="TA261" s="1260"/>
      <c r="TB261" s="1260"/>
      <c r="TC261" s="1260"/>
      <c r="TD261" s="1260"/>
      <c r="TE261" s="1260"/>
      <c r="TF261" s="1260"/>
      <c r="TG261" s="1260"/>
      <c r="TH261" s="1260"/>
      <c r="TI261" s="1260"/>
      <c r="TJ261" s="1260"/>
      <c r="TK261" s="1260"/>
      <c r="TL261" s="1260"/>
      <c r="TM261" s="1260"/>
      <c r="TN261" s="1260"/>
      <c r="TO261" s="1260"/>
      <c r="TP261" s="1260"/>
      <c r="TQ261" s="1260"/>
      <c r="TR261" s="1260"/>
      <c r="TS261" s="1260"/>
      <c r="TT261" s="1260"/>
      <c r="TU261" s="1260"/>
      <c r="TV261" s="1260"/>
      <c r="TW261" s="1260"/>
      <c r="TX261" s="1260"/>
      <c r="TY261" s="1260"/>
      <c r="TZ261" s="1260"/>
      <c r="UA261" s="1260"/>
      <c r="UB261" s="1260"/>
      <c r="UC261" s="1260"/>
      <c r="UD261" s="1260"/>
      <c r="UE261" s="1260"/>
      <c r="UF261" s="1260"/>
      <c r="UG261" s="1261"/>
    </row>
    <row r="262" spans="1:553" s="1262" customFormat="1" ht="48" customHeight="1">
      <c r="A262" s="415"/>
      <c r="B262" s="1010"/>
      <c r="C262" s="1240" t="s">
        <v>1064</v>
      </c>
      <c r="D262" s="1221"/>
      <c r="E262" s="510"/>
      <c r="F262" s="426"/>
      <c r="G262" s="511" t="s">
        <v>46</v>
      </c>
      <c r="H262" s="504"/>
      <c r="I262" s="794">
        <f>(42.76*100/400)*(32-(5-3))*2</f>
        <v>641.4</v>
      </c>
      <c r="J262" s="512">
        <v>7300</v>
      </c>
      <c r="K262" s="513">
        <v>0.7</v>
      </c>
      <c r="L262" s="512">
        <f>I262*J262*K262</f>
        <v>3277554</v>
      </c>
      <c r="M262" s="366"/>
      <c r="N262" s="366"/>
      <c r="O262" s="366"/>
      <c r="P262" s="366"/>
      <c r="Q262" s="1136"/>
      <c r="R262" s="1447"/>
      <c r="S262" s="308"/>
      <c r="T262" s="303"/>
      <c r="U262" s="306"/>
      <c r="V262" s="307"/>
      <c r="W262" s="306"/>
      <c r="X262" s="306"/>
      <c r="Y262" s="306"/>
      <c r="Z262" s="306"/>
      <c r="AA262" s="306"/>
      <c r="AB262" s="306"/>
      <c r="AC262" s="449"/>
      <c r="AD262" s="452"/>
      <c r="AE262" s="452"/>
      <c r="AF262" s="452"/>
      <c r="AG262" s="452"/>
      <c r="AH262" s="452"/>
      <c r="AI262" s="452"/>
      <c r="AJ262" s="452"/>
      <c r="AK262" s="452"/>
      <c r="AL262" s="1259"/>
      <c r="AM262" s="1259"/>
      <c r="AN262" s="1259"/>
      <c r="AO262" s="1259"/>
      <c r="AP262" s="1259"/>
      <c r="AQ262" s="1259"/>
      <c r="AR262" s="1259"/>
      <c r="AS262" s="1259"/>
      <c r="AT262" s="1259"/>
      <c r="AU262" s="1259"/>
      <c r="AV262" s="1259"/>
      <c r="AW262" s="1259"/>
      <c r="AX262" s="1259"/>
      <c r="AY262" s="1259"/>
      <c r="AZ262" s="1259"/>
      <c r="BA262" s="1259"/>
      <c r="BB262" s="1259"/>
      <c r="BC262" s="1259"/>
      <c r="BD262" s="1259"/>
      <c r="BE262" s="1259"/>
      <c r="BF262" s="1259"/>
      <c r="BG262" s="1259"/>
      <c r="BH262" s="1259"/>
      <c r="BI262" s="1259"/>
      <c r="BJ262" s="1259"/>
      <c r="BK262" s="1259"/>
      <c r="BL262" s="1259"/>
      <c r="BM262" s="1259"/>
      <c r="BN262" s="1259"/>
      <c r="BO262" s="1259"/>
      <c r="BP262" s="1259"/>
      <c r="BQ262" s="1259"/>
      <c r="BR262" s="1259"/>
      <c r="BS262" s="1259"/>
      <c r="BT262" s="1259"/>
      <c r="BU262" s="1259"/>
      <c r="BV262" s="1259"/>
      <c r="BW262" s="1259"/>
      <c r="BX262" s="1259"/>
      <c r="BY262" s="1259"/>
      <c r="BZ262" s="1259"/>
      <c r="CA262" s="1259"/>
      <c r="CB262" s="1259"/>
      <c r="CC262" s="1259"/>
      <c r="CD262" s="1259"/>
      <c r="CE262" s="1259"/>
      <c r="CF262" s="1259"/>
      <c r="CG262" s="1259"/>
      <c r="CH262" s="1259"/>
      <c r="CI262" s="1259"/>
      <c r="CJ262" s="1259"/>
      <c r="CK262" s="1259"/>
      <c r="CL262" s="1259"/>
      <c r="CM262" s="1259"/>
      <c r="CN262" s="1259"/>
      <c r="CO262" s="1259"/>
      <c r="CP262" s="1259"/>
      <c r="CQ262" s="1259"/>
      <c r="CR262" s="1259"/>
      <c r="CS262" s="1259"/>
      <c r="CT262" s="1259"/>
      <c r="CU262" s="1259"/>
      <c r="CV262" s="1259"/>
      <c r="CW262" s="1259"/>
      <c r="CX262" s="1259"/>
      <c r="CY262" s="1259"/>
      <c r="CZ262" s="1259"/>
      <c r="DA262" s="1259"/>
      <c r="DB262" s="1259"/>
      <c r="DC262" s="1259"/>
      <c r="DD262" s="1259"/>
      <c r="DE262" s="1259"/>
      <c r="DF262" s="1259"/>
      <c r="DG262" s="1259"/>
      <c r="DH262" s="1259"/>
      <c r="DI262" s="1259"/>
      <c r="DJ262" s="1259"/>
      <c r="DK262" s="1259"/>
      <c r="DL262" s="1259"/>
      <c r="DM262" s="1259"/>
      <c r="DN262" s="1259"/>
      <c r="DO262" s="1259"/>
      <c r="DP262" s="1259"/>
      <c r="DQ262" s="1259"/>
      <c r="DR262" s="1259"/>
      <c r="DS262" s="1259"/>
      <c r="DT262" s="1259"/>
      <c r="DU262" s="1259"/>
      <c r="DV262" s="1259"/>
      <c r="DW262" s="1259"/>
      <c r="DX262" s="1259"/>
      <c r="DY262" s="1259"/>
      <c r="DZ262" s="1259"/>
      <c r="EA262" s="1259"/>
      <c r="EB262" s="1259"/>
      <c r="EC262" s="1259"/>
      <c r="ED262" s="1259"/>
      <c r="EE262" s="1259"/>
      <c r="EF262" s="1259"/>
      <c r="EG262" s="1259"/>
      <c r="EH262" s="1259"/>
      <c r="EI262" s="1259"/>
      <c r="EJ262" s="1259"/>
      <c r="EK262" s="1259"/>
      <c r="EL262" s="1259"/>
      <c r="EM262" s="1259"/>
      <c r="EN262" s="1259"/>
      <c r="EO262" s="1259"/>
      <c r="EP262" s="1259"/>
      <c r="EQ262" s="1259"/>
      <c r="ER262" s="1259"/>
      <c r="ES262" s="1259"/>
      <c r="ET262" s="1259"/>
      <c r="EU262" s="1259"/>
      <c r="EV262" s="1259"/>
      <c r="EW262" s="1259"/>
      <c r="EX262" s="1259"/>
      <c r="EY262" s="1259"/>
      <c r="EZ262" s="1259"/>
      <c r="FA262" s="1259"/>
      <c r="FB262" s="1259"/>
      <c r="FC262" s="1259"/>
      <c r="FD262" s="1259"/>
      <c r="FE262" s="1259"/>
      <c r="FF262" s="1259"/>
      <c r="FG262" s="1259"/>
      <c r="FH262" s="1259"/>
      <c r="FI262" s="1259"/>
      <c r="FJ262" s="1259"/>
      <c r="FK262" s="1259"/>
      <c r="FL262" s="1259"/>
      <c r="FM262" s="1259"/>
      <c r="FN262" s="1259"/>
      <c r="FO262" s="1259"/>
      <c r="FP262" s="1259"/>
      <c r="FQ262" s="1259"/>
      <c r="FR262" s="1259"/>
      <c r="FS262" s="1259"/>
      <c r="FT262" s="1259"/>
      <c r="FU262" s="1259"/>
      <c r="FV262" s="1259"/>
      <c r="FW262" s="1259"/>
      <c r="FX262" s="1259"/>
      <c r="FY262" s="1259"/>
      <c r="FZ262" s="1259"/>
      <c r="GA262" s="1259"/>
      <c r="GB262" s="1259"/>
      <c r="GC262" s="1259"/>
      <c r="GD262" s="1259"/>
      <c r="GE262" s="1259"/>
      <c r="GF262" s="1259"/>
      <c r="GG262" s="1259"/>
      <c r="GH262" s="1259"/>
      <c r="GI262" s="1259"/>
      <c r="GJ262" s="1259"/>
      <c r="GK262" s="1259"/>
      <c r="GL262" s="1259"/>
      <c r="GM262" s="1259"/>
      <c r="GN262" s="1259"/>
      <c r="GO262" s="1259"/>
      <c r="GP262" s="1259"/>
      <c r="GQ262" s="1259"/>
      <c r="GR262" s="1259"/>
      <c r="GS262" s="1259"/>
      <c r="GT262" s="1259"/>
      <c r="GU262" s="1259"/>
      <c r="GV262" s="1259"/>
      <c r="GW262" s="1259"/>
      <c r="GX262" s="1259"/>
      <c r="GY262" s="1259"/>
      <c r="GZ262" s="1259"/>
      <c r="HA262" s="1259"/>
      <c r="HB262" s="1259"/>
      <c r="HC262" s="1259"/>
      <c r="HD262" s="1259"/>
      <c r="HE262" s="1259"/>
      <c r="HF262" s="1259"/>
      <c r="HG262" s="1259"/>
      <c r="HH262" s="1259"/>
      <c r="HI262" s="1259"/>
      <c r="HJ262" s="1259"/>
      <c r="HK262" s="1259"/>
      <c r="HL262" s="1259"/>
      <c r="HM262" s="1259"/>
      <c r="HN262" s="1259"/>
      <c r="HO262" s="1259"/>
      <c r="HP262" s="1259"/>
      <c r="HQ262" s="1259"/>
      <c r="HR262" s="1259"/>
      <c r="HS262" s="1259"/>
      <c r="HT262" s="1259"/>
      <c r="HU262" s="1259"/>
      <c r="HV262" s="1259"/>
      <c r="HW262" s="1259"/>
      <c r="HX262" s="1259"/>
      <c r="HY262" s="1259"/>
      <c r="HZ262" s="1259"/>
      <c r="IA262" s="1259"/>
      <c r="IB262" s="1259"/>
      <c r="IC262" s="1259"/>
      <c r="ID262" s="1259"/>
      <c r="IE262" s="1259"/>
      <c r="IF262" s="1259"/>
      <c r="IG262" s="1259"/>
      <c r="IH262" s="1259"/>
      <c r="II262" s="1259"/>
      <c r="IJ262" s="1259"/>
      <c r="IK262" s="1259"/>
      <c r="IL262" s="1259"/>
      <c r="IM262" s="1259"/>
      <c r="IN262" s="1259"/>
      <c r="IO262" s="1259"/>
      <c r="IP262" s="1259"/>
      <c r="IQ262" s="1259"/>
      <c r="IR262" s="1259"/>
      <c r="IS262" s="1259"/>
      <c r="IT262" s="1259"/>
      <c r="IU262" s="1259"/>
      <c r="IV262" s="1259"/>
      <c r="IW262" s="1259"/>
      <c r="IX262" s="1259"/>
      <c r="IY262" s="1259"/>
      <c r="IZ262" s="1259"/>
      <c r="JA262" s="1259"/>
      <c r="JB262" s="1259"/>
      <c r="JC262" s="1259"/>
      <c r="JD262" s="1259"/>
      <c r="JE262" s="1259"/>
      <c r="JF262" s="1259"/>
      <c r="JG262" s="1259"/>
      <c r="JH262" s="1259"/>
      <c r="JI262" s="1259"/>
      <c r="JJ262" s="1259"/>
      <c r="JK262" s="1259"/>
      <c r="JL262" s="1259"/>
      <c r="JM262" s="1259"/>
      <c r="JN262" s="1259"/>
      <c r="JO262" s="1259"/>
      <c r="JP262" s="1259"/>
      <c r="JQ262" s="1259"/>
      <c r="JR262" s="1259"/>
      <c r="JS262" s="1259"/>
      <c r="JT262" s="1259"/>
      <c r="JU262" s="1259"/>
      <c r="JV262" s="1259"/>
      <c r="JW262" s="1259"/>
      <c r="JX262" s="1259"/>
      <c r="JY262" s="1259"/>
      <c r="JZ262" s="1259"/>
      <c r="KA262" s="1259"/>
      <c r="KB262" s="1259"/>
      <c r="KC262" s="1259"/>
      <c r="KD262" s="1259"/>
      <c r="KE262" s="1259"/>
      <c r="KF262" s="1259"/>
      <c r="KG262" s="1259"/>
      <c r="KH262" s="1259"/>
      <c r="KI262" s="1259"/>
      <c r="KJ262" s="1259"/>
      <c r="KK262" s="1259"/>
      <c r="KL262" s="1259"/>
      <c r="KM262" s="1259"/>
      <c r="KN262" s="1259"/>
      <c r="KO262" s="1259"/>
      <c r="KP262" s="1259"/>
      <c r="KQ262" s="1259"/>
      <c r="KR262" s="1259"/>
      <c r="KS262" s="1259"/>
      <c r="KT262" s="1259"/>
      <c r="KU262" s="1259"/>
      <c r="KV262" s="1259"/>
      <c r="KW262" s="1259"/>
      <c r="KX262" s="1259"/>
      <c r="KY262" s="1259"/>
      <c r="KZ262" s="1259"/>
      <c r="LA262" s="1259"/>
      <c r="LB262" s="1259"/>
      <c r="LC262" s="1259"/>
      <c r="LD262" s="1259"/>
      <c r="LE262" s="1259"/>
      <c r="LF262" s="1259"/>
      <c r="LG262" s="1259"/>
      <c r="LH262" s="1259"/>
      <c r="LI262" s="1259"/>
      <c r="LJ262" s="1259"/>
      <c r="LK262" s="1259"/>
      <c r="LL262" s="1259"/>
      <c r="LM262" s="1259"/>
      <c r="LN262" s="1259"/>
      <c r="LO262" s="1259"/>
      <c r="LP262" s="1259"/>
      <c r="LQ262" s="1259"/>
      <c r="LR262" s="1259"/>
      <c r="LS262" s="1259"/>
      <c r="LT262" s="1259"/>
      <c r="LU262" s="1259"/>
      <c r="LV262" s="1259"/>
      <c r="LW262" s="1259"/>
      <c r="LX262" s="1259"/>
      <c r="LY262" s="1259"/>
      <c r="LZ262" s="1259"/>
      <c r="MA262" s="1259"/>
      <c r="MB262" s="1259"/>
      <c r="MC262" s="1259"/>
      <c r="MD262" s="1259"/>
      <c r="ME262" s="1259"/>
      <c r="MF262" s="1259"/>
      <c r="MG262" s="1259"/>
      <c r="MH262" s="1259"/>
      <c r="MI262" s="1259"/>
      <c r="MJ262" s="1259"/>
      <c r="MK262" s="1259"/>
      <c r="ML262" s="1259"/>
      <c r="MM262" s="1259"/>
      <c r="MN262" s="1259"/>
      <c r="MO262" s="1259"/>
      <c r="MP262" s="1259"/>
      <c r="MQ262" s="1259"/>
      <c r="MR262" s="1259"/>
      <c r="MS262" s="1259"/>
      <c r="MT262" s="1259"/>
      <c r="MU262" s="1259"/>
      <c r="MV262" s="1259"/>
      <c r="MW262" s="1259"/>
      <c r="MX262" s="1259"/>
      <c r="MY262" s="1259"/>
      <c r="MZ262" s="1259"/>
      <c r="NA262" s="1259"/>
      <c r="NB262" s="1259"/>
      <c r="NC262" s="1259"/>
      <c r="ND262" s="1259"/>
      <c r="NE262" s="1259"/>
      <c r="NF262" s="1259"/>
      <c r="NG262" s="1259"/>
      <c r="NH262" s="1259"/>
      <c r="NI262" s="1259"/>
      <c r="NJ262" s="1259"/>
      <c r="NK262" s="1259"/>
      <c r="NL262" s="1259"/>
      <c r="NM262" s="1259"/>
      <c r="NN262" s="1259"/>
      <c r="NO262" s="1259"/>
      <c r="NP262" s="1259"/>
      <c r="NQ262" s="1259"/>
      <c r="NR262" s="1259"/>
      <c r="NS262" s="1259"/>
      <c r="NT262" s="1259"/>
      <c r="NU262" s="1259"/>
      <c r="NV262" s="1259"/>
      <c r="NW262" s="1259"/>
      <c r="NX262" s="1259"/>
      <c r="NY262" s="1259"/>
      <c r="NZ262" s="1259"/>
      <c r="OA262" s="1259"/>
      <c r="OB262" s="1259"/>
      <c r="OC262" s="1259"/>
      <c r="OD262" s="1259"/>
      <c r="OE262" s="1259"/>
      <c r="OF262" s="1259"/>
      <c r="OG262" s="1259"/>
      <c r="OH262" s="1259"/>
      <c r="OI262" s="1259"/>
      <c r="OJ262" s="1259"/>
      <c r="OK262" s="1259"/>
      <c r="OL262" s="1259"/>
      <c r="OM262" s="1259"/>
      <c r="ON262" s="1259"/>
      <c r="OO262" s="1259"/>
      <c r="OP262" s="1259"/>
      <c r="OQ262" s="1259"/>
      <c r="OR262" s="1259"/>
      <c r="OS262" s="1259"/>
      <c r="OT262" s="1259"/>
      <c r="OU262" s="1259"/>
      <c r="OV262" s="1259"/>
      <c r="OW262" s="1259"/>
      <c r="OX262" s="1259"/>
      <c r="OY262" s="1259"/>
      <c r="OZ262" s="1259"/>
      <c r="PA262" s="1259"/>
      <c r="PB262" s="1259"/>
      <c r="PC262" s="1259"/>
      <c r="PD262" s="1259"/>
      <c r="PE262" s="1259"/>
      <c r="PF262" s="1259"/>
      <c r="PG262" s="1259"/>
      <c r="PH262" s="1259"/>
      <c r="PI262" s="1259"/>
      <c r="PJ262" s="1259"/>
      <c r="PK262" s="1259"/>
      <c r="PL262" s="1259"/>
      <c r="PM262" s="1259"/>
      <c r="PN262" s="1259"/>
      <c r="PO262" s="1259"/>
      <c r="PP262" s="1259"/>
      <c r="PQ262" s="1259"/>
      <c r="PR262" s="1259"/>
      <c r="PS262" s="1259"/>
      <c r="PT262" s="1259"/>
      <c r="PU262" s="1259"/>
      <c r="PV262" s="1259"/>
      <c r="PW262" s="1259"/>
      <c r="PX262" s="1259"/>
      <c r="PY262" s="1259"/>
      <c r="PZ262" s="1259"/>
      <c r="QA262" s="1259"/>
      <c r="QB262" s="1259"/>
      <c r="QC262" s="1259"/>
      <c r="QD262" s="1259"/>
      <c r="QE262" s="1259"/>
      <c r="QF262" s="1259"/>
      <c r="QG262" s="1259"/>
      <c r="QH262" s="1259"/>
      <c r="QI262" s="1259"/>
      <c r="QJ262" s="1259"/>
      <c r="QK262" s="1259"/>
      <c r="QL262" s="1259"/>
      <c r="QM262" s="1259"/>
      <c r="QN262" s="1259"/>
      <c r="QO262" s="1259"/>
      <c r="QP262" s="1259"/>
      <c r="QQ262" s="1259"/>
      <c r="QR262" s="1259"/>
      <c r="QS262" s="1259"/>
      <c r="QT262" s="1259"/>
      <c r="QU262" s="1259"/>
      <c r="QV262" s="1259"/>
      <c r="QW262" s="1259"/>
      <c r="QX262" s="1259"/>
      <c r="QY262" s="1259"/>
      <c r="QZ262" s="1259"/>
      <c r="RA262" s="1259"/>
      <c r="RB262" s="1259"/>
      <c r="RC262" s="1259"/>
      <c r="RD262" s="1259"/>
      <c r="RE262" s="1259"/>
      <c r="RF262" s="1259"/>
      <c r="RG262" s="1259"/>
      <c r="RH262" s="1259"/>
      <c r="RI262" s="1259"/>
      <c r="RJ262" s="1259"/>
      <c r="RK262" s="1259"/>
      <c r="RL262" s="1259"/>
      <c r="RM262" s="1259"/>
      <c r="RN262" s="1259"/>
      <c r="RO262" s="1259"/>
      <c r="RP262" s="1259"/>
      <c r="RQ262" s="1259"/>
      <c r="RR262" s="1259"/>
      <c r="RS262" s="1259"/>
      <c r="RT262" s="1259"/>
      <c r="RU262" s="1259"/>
      <c r="RV262" s="1259"/>
      <c r="RW262" s="1259"/>
      <c r="RX262" s="1259"/>
      <c r="RY262" s="1259"/>
      <c r="RZ262" s="1259"/>
      <c r="SA262" s="1259"/>
      <c r="SB262" s="1259"/>
      <c r="SC262" s="1259"/>
      <c r="SD262" s="1259"/>
      <c r="SE262" s="1259"/>
      <c r="SF262" s="1259"/>
      <c r="SG262" s="1259"/>
      <c r="SH262" s="1259"/>
      <c r="SI262" s="1259"/>
      <c r="SJ262" s="1259"/>
      <c r="SK262" s="1259"/>
      <c r="SL262" s="1259"/>
      <c r="SM262" s="1259"/>
      <c r="SN262" s="1259"/>
      <c r="SO262" s="1259"/>
      <c r="SP262" s="1259"/>
      <c r="SQ262" s="1259"/>
      <c r="SR262" s="1259"/>
      <c r="SS262" s="1259"/>
      <c r="ST262" s="1259"/>
      <c r="SU262" s="1259"/>
      <c r="SV262" s="1259"/>
      <c r="SW262" s="1259"/>
      <c r="SX262" s="1259"/>
      <c r="SY262" s="1259"/>
      <c r="SZ262" s="1259"/>
      <c r="TA262" s="1259"/>
      <c r="TB262" s="1259"/>
      <c r="TC262" s="1259"/>
      <c r="TD262" s="1259"/>
      <c r="TE262" s="1259"/>
      <c r="TF262" s="1259"/>
      <c r="TG262" s="1259"/>
      <c r="TH262" s="1259"/>
      <c r="TI262" s="1259"/>
      <c r="TJ262" s="1259"/>
      <c r="TK262" s="1259"/>
      <c r="TL262" s="1259"/>
      <c r="TM262" s="1259"/>
      <c r="TN262" s="1259"/>
      <c r="TO262" s="1259"/>
      <c r="TP262" s="1259"/>
      <c r="TQ262" s="1259"/>
      <c r="TR262" s="1259"/>
      <c r="TS262" s="1259"/>
      <c r="TT262" s="1259"/>
      <c r="TU262" s="1259"/>
      <c r="TV262" s="1259"/>
      <c r="TW262" s="1259"/>
      <c r="TX262" s="1259"/>
      <c r="TY262" s="1259"/>
      <c r="TZ262" s="1259"/>
      <c r="UA262" s="1259"/>
      <c r="UB262" s="1259"/>
      <c r="UC262" s="1259"/>
      <c r="UD262" s="1259"/>
      <c r="UE262" s="1259"/>
      <c r="UF262" s="1259"/>
      <c r="UG262" s="1261"/>
    </row>
    <row r="263" spans="1:553" s="1262" customFormat="1" ht="48" customHeight="1">
      <c r="A263" s="366"/>
      <c r="B263" s="372"/>
      <c r="C263" s="1240" t="s">
        <v>455</v>
      </c>
      <c r="D263" s="1214"/>
      <c r="E263" s="1085"/>
      <c r="F263" s="390"/>
      <c r="G263" s="366" t="s">
        <v>46</v>
      </c>
      <c r="H263" s="370"/>
      <c r="I263" s="794">
        <f>(95.03*100/500)*(23-(4-3))*1</f>
        <v>418.13200000000001</v>
      </c>
      <c r="J263" s="368">
        <v>11000</v>
      </c>
      <c r="K263" s="717">
        <v>0.7</v>
      </c>
      <c r="L263" s="369">
        <f>ROUND(PRODUCT(I263:K263),0)</f>
        <v>3219616</v>
      </c>
      <c r="M263" s="366"/>
      <c r="N263" s="366"/>
      <c r="O263" s="366"/>
      <c r="P263" s="366"/>
      <c r="Q263" s="1136"/>
      <c r="R263" s="1447"/>
      <c r="S263" s="435"/>
      <c r="T263" s="436"/>
      <c r="U263" s="304"/>
      <c r="V263" s="393"/>
      <c r="W263" s="304"/>
      <c r="X263" s="304"/>
      <c r="Y263" s="304"/>
      <c r="Z263" s="304"/>
      <c r="AA263" s="304"/>
      <c r="AB263" s="304"/>
      <c r="AC263" s="449"/>
      <c r="AD263" s="452"/>
      <c r="AE263" s="452"/>
      <c r="AF263" s="452"/>
      <c r="AG263" s="452"/>
      <c r="AH263" s="452"/>
      <c r="AI263" s="452"/>
      <c r="AJ263" s="452"/>
      <c r="AK263" s="452"/>
      <c r="AL263" s="1259"/>
      <c r="AM263" s="1259"/>
      <c r="AN263" s="1259"/>
      <c r="AO263" s="1259"/>
      <c r="AP263" s="1259"/>
      <c r="AQ263" s="1259"/>
      <c r="AR263" s="1259"/>
      <c r="AS263" s="1259"/>
      <c r="AT263" s="1259"/>
      <c r="AU263" s="1259"/>
      <c r="AV263" s="1259"/>
      <c r="AW263" s="1259"/>
      <c r="AX263" s="1259"/>
      <c r="AY263" s="1259"/>
      <c r="AZ263" s="1259"/>
      <c r="BA263" s="1259"/>
      <c r="BB263" s="1259"/>
      <c r="BC263" s="1259"/>
      <c r="BD263" s="1259"/>
      <c r="BE263" s="1259"/>
      <c r="BF263" s="1259"/>
      <c r="BG263" s="1259"/>
      <c r="BH263" s="1259"/>
      <c r="BI263" s="1259"/>
      <c r="BJ263" s="1259"/>
      <c r="BK263" s="1259"/>
      <c r="BL263" s="1259"/>
      <c r="BM263" s="1259"/>
      <c r="BN263" s="1259"/>
      <c r="BO263" s="1259"/>
      <c r="BP263" s="1259"/>
      <c r="BQ263" s="1259"/>
      <c r="BR263" s="1259"/>
      <c r="BS263" s="1259"/>
      <c r="BT263" s="1259"/>
      <c r="BU263" s="1259"/>
      <c r="BV263" s="1259"/>
      <c r="BW263" s="1259"/>
      <c r="BX263" s="1259"/>
      <c r="BY263" s="1259"/>
      <c r="BZ263" s="1259"/>
      <c r="CA263" s="1259"/>
      <c r="CB263" s="1259"/>
      <c r="CC263" s="1259"/>
      <c r="CD263" s="1259"/>
      <c r="CE263" s="1259"/>
      <c r="CF263" s="1259"/>
      <c r="CG263" s="1259"/>
      <c r="CH263" s="1259"/>
      <c r="CI263" s="1259"/>
      <c r="CJ263" s="1259"/>
      <c r="CK263" s="1259"/>
      <c r="CL263" s="1259"/>
      <c r="CM263" s="1259"/>
      <c r="CN263" s="1259"/>
      <c r="CO263" s="1259"/>
      <c r="CP263" s="1259"/>
      <c r="CQ263" s="1259"/>
      <c r="CR263" s="1259"/>
      <c r="CS263" s="1259"/>
      <c r="CT263" s="1259"/>
      <c r="CU263" s="1259"/>
      <c r="CV263" s="1259"/>
      <c r="CW263" s="1259"/>
      <c r="CX263" s="1259"/>
      <c r="CY263" s="1259"/>
      <c r="CZ263" s="1259"/>
      <c r="DA263" s="1259"/>
      <c r="DB263" s="1259"/>
      <c r="DC263" s="1259"/>
      <c r="DD263" s="1259"/>
      <c r="DE263" s="1259"/>
      <c r="DF263" s="1259"/>
      <c r="DG263" s="1259"/>
      <c r="DH263" s="1259"/>
      <c r="DI263" s="1259"/>
      <c r="DJ263" s="1259"/>
      <c r="DK263" s="1259"/>
      <c r="DL263" s="1259"/>
      <c r="DM263" s="1259"/>
      <c r="DN263" s="1259"/>
      <c r="DO263" s="1259"/>
      <c r="DP263" s="1259"/>
      <c r="DQ263" s="1259"/>
      <c r="DR263" s="1259"/>
      <c r="DS263" s="1259"/>
      <c r="DT263" s="1259"/>
      <c r="DU263" s="1259"/>
      <c r="DV263" s="1259"/>
      <c r="DW263" s="1259"/>
      <c r="DX263" s="1259"/>
      <c r="DY263" s="1259"/>
      <c r="DZ263" s="1259"/>
      <c r="EA263" s="1259"/>
      <c r="EB263" s="1259"/>
      <c r="EC263" s="1259"/>
      <c r="ED263" s="1259"/>
      <c r="EE263" s="1259"/>
      <c r="EF263" s="1259"/>
      <c r="EG263" s="1259"/>
      <c r="EH263" s="1259"/>
      <c r="EI263" s="1259"/>
      <c r="EJ263" s="1259"/>
      <c r="EK263" s="1259"/>
      <c r="EL263" s="1259"/>
      <c r="EM263" s="1259"/>
      <c r="EN263" s="1259"/>
      <c r="EO263" s="1259"/>
      <c r="EP263" s="1259"/>
      <c r="EQ263" s="1259"/>
      <c r="ER263" s="1259"/>
      <c r="ES263" s="1259"/>
      <c r="ET263" s="1259"/>
      <c r="EU263" s="1259"/>
      <c r="EV263" s="1259"/>
      <c r="EW263" s="1259"/>
      <c r="EX263" s="1259"/>
      <c r="EY263" s="1259"/>
      <c r="EZ263" s="1259"/>
      <c r="FA263" s="1259"/>
      <c r="FB263" s="1259"/>
      <c r="FC263" s="1259"/>
      <c r="FD263" s="1259"/>
      <c r="FE263" s="1259"/>
      <c r="FF263" s="1259"/>
      <c r="FG263" s="1259"/>
      <c r="FH263" s="1259"/>
      <c r="FI263" s="1259"/>
      <c r="FJ263" s="1259"/>
      <c r="FK263" s="1259"/>
      <c r="FL263" s="1259"/>
      <c r="FM263" s="1259"/>
      <c r="FN263" s="1259"/>
      <c r="FO263" s="1259"/>
      <c r="FP263" s="1259"/>
      <c r="FQ263" s="1259"/>
      <c r="FR263" s="1259"/>
      <c r="FS263" s="1259"/>
      <c r="FT263" s="1259"/>
      <c r="FU263" s="1259"/>
      <c r="FV263" s="1259"/>
      <c r="FW263" s="1259"/>
      <c r="FX263" s="1259"/>
      <c r="FY263" s="1259"/>
      <c r="FZ263" s="1259"/>
      <c r="GA263" s="1259"/>
      <c r="GB263" s="1259"/>
      <c r="GC263" s="1259"/>
      <c r="GD263" s="1259"/>
      <c r="GE263" s="1259"/>
      <c r="GF263" s="1259"/>
      <c r="GG263" s="1259"/>
      <c r="GH263" s="1259"/>
      <c r="GI263" s="1259"/>
      <c r="GJ263" s="1259"/>
      <c r="GK263" s="1259"/>
      <c r="GL263" s="1259"/>
      <c r="GM263" s="1259"/>
      <c r="GN263" s="1259"/>
      <c r="GO263" s="1259"/>
      <c r="GP263" s="1259"/>
      <c r="GQ263" s="1259"/>
      <c r="GR263" s="1259"/>
      <c r="GS263" s="1259"/>
      <c r="GT263" s="1259"/>
      <c r="GU263" s="1259"/>
      <c r="GV263" s="1259"/>
      <c r="GW263" s="1259"/>
      <c r="GX263" s="1259"/>
      <c r="GY263" s="1259"/>
      <c r="GZ263" s="1259"/>
      <c r="HA263" s="1259"/>
      <c r="HB263" s="1259"/>
      <c r="HC263" s="1259"/>
      <c r="HD263" s="1259"/>
      <c r="HE263" s="1259"/>
      <c r="HF263" s="1259"/>
      <c r="HG263" s="1259"/>
      <c r="HH263" s="1259"/>
      <c r="HI263" s="1259"/>
      <c r="HJ263" s="1259"/>
      <c r="HK263" s="1259"/>
      <c r="HL263" s="1259"/>
      <c r="HM263" s="1259"/>
      <c r="HN263" s="1259"/>
      <c r="HO263" s="1259"/>
      <c r="HP263" s="1259"/>
      <c r="HQ263" s="1259"/>
      <c r="HR263" s="1259"/>
      <c r="HS263" s="1259"/>
      <c r="HT263" s="1259"/>
      <c r="HU263" s="1259"/>
      <c r="HV263" s="1259"/>
      <c r="HW263" s="1259"/>
      <c r="HX263" s="1259"/>
      <c r="HY263" s="1259"/>
      <c r="HZ263" s="1259"/>
      <c r="IA263" s="1259"/>
      <c r="IB263" s="1259"/>
      <c r="IC263" s="1259"/>
      <c r="ID263" s="1259"/>
      <c r="IE263" s="1259"/>
      <c r="IF263" s="1259"/>
      <c r="IG263" s="1259"/>
      <c r="IH263" s="1259"/>
      <c r="II263" s="1259"/>
      <c r="IJ263" s="1259"/>
      <c r="IK263" s="1259"/>
      <c r="IL263" s="1259"/>
      <c r="IM263" s="1259"/>
      <c r="IN263" s="1259"/>
      <c r="IO263" s="1259"/>
      <c r="IP263" s="1259"/>
      <c r="IQ263" s="1259"/>
      <c r="IR263" s="1259"/>
      <c r="IS263" s="1259"/>
      <c r="IT263" s="1259"/>
      <c r="IU263" s="1259"/>
      <c r="IV263" s="1259"/>
      <c r="IW263" s="1259"/>
      <c r="IX263" s="1259"/>
      <c r="IY263" s="1259"/>
      <c r="IZ263" s="1259"/>
      <c r="JA263" s="1259"/>
      <c r="JB263" s="1259"/>
      <c r="JC263" s="1259"/>
      <c r="JD263" s="1259"/>
      <c r="JE263" s="1259"/>
      <c r="JF263" s="1259"/>
      <c r="JG263" s="1259"/>
      <c r="JH263" s="1259"/>
      <c r="JI263" s="1259"/>
      <c r="JJ263" s="1259"/>
      <c r="JK263" s="1259"/>
      <c r="JL263" s="1259"/>
      <c r="JM263" s="1259"/>
      <c r="JN263" s="1259"/>
      <c r="JO263" s="1259"/>
      <c r="JP263" s="1259"/>
      <c r="JQ263" s="1259"/>
      <c r="JR263" s="1259"/>
      <c r="JS263" s="1259"/>
      <c r="JT263" s="1259"/>
      <c r="JU263" s="1259"/>
      <c r="JV263" s="1259"/>
      <c r="JW263" s="1259"/>
      <c r="JX263" s="1259"/>
      <c r="JY263" s="1259"/>
      <c r="JZ263" s="1259"/>
      <c r="KA263" s="1259"/>
      <c r="KB263" s="1259"/>
      <c r="KC263" s="1259"/>
      <c r="KD263" s="1259"/>
      <c r="KE263" s="1259"/>
      <c r="KF263" s="1259"/>
      <c r="KG263" s="1259"/>
      <c r="KH263" s="1259"/>
      <c r="KI263" s="1259"/>
      <c r="KJ263" s="1259"/>
      <c r="KK263" s="1259"/>
      <c r="KL263" s="1259"/>
      <c r="KM263" s="1259"/>
      <c r="KN263" s="1259"/>
      <c r="KO263" s="1259"/>
      <c r="KP263" s="1259"/>
      <c r="KQ263" s="1259"/>
      <c r="KR263" s="1259"/>
      <c r="KS263" s="1259"/>
      <c r="KT263" s="1259"/>
      <c r="KU263" s="1259"/>
      <c r="KV263" s="1259"/>
      <c r="KW263" s="1259"/>
      <c r="KX263" s="1259"/>
      <c r="KY263" s="1259"/>
      <c r="KZ263" s="1259"/>
      <c r="LA263" s="1259"/>
      <c r="LB263" s="1259"/>
      <c r="LC263" s="1259"/>
      <c r="LD263" s="1259"/>
      <c r="LE263" s="1259"/>
      <c r="LF263" s="1259"/>
      <c r="LG263" s="1259"/>
      <c r="LH263" s="1259"/>
      <c r="LI263" s="1259"/>
      <c r="LJ263" s="1259"/>
      <c r="LK263" s="1259"/>
      <c r="LL263" s="1259"/>
      <c r="LM263" s="1259"/>
      <c r="LN263" s="1259"/>
      <c r="LO263" s="1259"/>
      <c r="LP263" s="1259"/>
      <c r="LQ263" s="1259"/>
      <c r="LR263" s="1259"/>
      <c r="LS263" s="1259"/>
      <c r="LT263" s="1259"/>
      <c r="LU263" s="1259"/>
      <c r="LV263" s="1259"/>
      <c r="LW263" s="1259"/>
      <c r="LX263" s="1259"/>
      <c r="LY263" s="1259"/>
      <c r="LZ263" s="1259"/>
      <c r="MA263" s="1259"/>
      <c r="MB263" s="1259"/>
      <c r="MC263" s="1259"/>
      <c r="MD263" s="1259"/>
      <c r="ME263" s="1259"/>
      <c r="MF263" s="1259"/>
      <c r="MG263" s="1259"/>
      <c r="MH263" s="1259"/>
      <c r="MI263" s="1259"/>
      <c r="MJ263" s="1259"/>
      <c r="MK263" s="1259"/>
      <c r="ML263" s="1259"/>
      <c r="MM263" s="1259"/>
      <c r="MN263" s="1259"/>
      <c r="MO263" s="1259"/>
      <c r="MP263" s="1259"/>
      <c r="MQ263" s="1259"/>
      <c r="MR263" s="1259"/>
      <c r="MS263" s="1259"/>
      <c r="MT263" s="1259"/>
      <c r="MU263" s="1259"/>
      <c r="MV263" s="1259"/>
      <c r="MW263" s="1259"/>
      <c r="MX263" s="1259"/>
      <c r="MY263" s="1259"/>
      <c r="MZ263" s="1259"/>
      <c r="NA263" s="1259"/>
      <c r="NB263" s="1259"/>
      <c r="NC263" s="1259"/>
      <c r="ND263" s="1259"/>
      <c r="NE263" s="1259"/>
      <c r="NF263" s="1259"/>
      <c r="NG263" s="1259"/>
      <c r="NH263" s="1259"/>
      <c r="NI263" s="1259"/>
      <c r="NJ263" s="1259"/>
      <c r="NK263" s="1259"/>
      <c r="NL263" s="1259"/>
      <c r="NM263" s="1259"/>
      <c r="NN263" s="1259"/>
      <c r="NO263" s="1259"/>
      <c r="NP263" s="1259"/>
      <c r="NQ263" s="1259"/>
      <c r="NR263" s="1259"/>
      <c r="NS263" s="1259"/>
      <c r="NT263" s="1259"/>
      <c r="NU263" s="1259"/>
      <c r="NV263" s="1259"/>
      <c r="NW263" s="1259"/>
      <c r="NX263" s="1259"/>
      <c r="NY263" s="1259"/>
      <c r="NZ263" s="1259"/>
      <c r="OA263" s="1259"/>
      <c r="OB263" s="1259"/>
      <c r="OC263" s="1259"/>
      <c r="OD263" s="1259"/>
      <c r="OE263" s="1259"/>
      <c r="OF263" s="1259"/>
      <c r="OG263" s="1259"/>
      <c r="OH263" s="1259"/>
      <c r="OI263" s="1259"/>
      <c r="OJ263" s="1259"/>
      <c r="OK263" s="1259"/>
      <c r="OL263" s="1259"/>
      <c r="OM263" s="1259"/>
      <c r="ON263" s="1259"/>
      <c r="OO263" s="1259"/>
      <c r="OP263" s="1259"/>
      <c r="OQ263" s="1259"/>
      <c r="OR263" s="1259"/>
      <c r="OS263" s="1259"/>
      <c r="OT263" s="1259"/>
      <c r="OU263" s="1259"/>
      <c r="OV263" s="1259"/>
      <c r="OW263" s="1259"/>
      <c r="OX263" s="1259"/>
      <c r="OY263" s="1259"/>
      <c r="OZ263" s="1259"/>
      <c r="PA263" s="1259"/>
      <c r="PB263" s="1259"/>
      <c r="PC263" s="1259"/>
      <c r="PD263" s="1259"/>
      <c r="PE263" s="1259"/>
      <c r="PF263" s="1259"/>
      <c r="PG263" s="1259"/>
      <c r="PH263" s="1259"/>
      <c r="PI263" s="1259"/>
      <c r="PJ263" s="1259"/>
      <c r="PK263" s="1259"/>
      <c r="PL263" s="1259"/>
      <c r="PM263" s="1259"/>
      <c r="PN263" s="1259"/>
      <c r="PO263" s="1259"/>
      <c r="PP263" s="1259"/>
      <c r="PQ263" s="1259"/>
      <c r="PR263" s="1259"/>
      <c r="PS263" s="1259"/>
      <c r="PT263" s="1259"/>
      <c r="PU263" s="1259"/>
      <c r="PV263" s="1259"/>
      <c r="PW263" s="1259"/>
      <c r="PX263" s="1259"/>
      <c r="PY263" s="1259"/>
      <c r="PZ263" s="1259"/>
      <c r="QA263" s="1259"/>
      <c r="QB263" s="1259"/>
      <c r="QC263" s="1259"/>
      <c r="QD263" s="1259"/>
      <c r="QE263" s="1259"/>
      <c r="QF263" s="1259"/>
      <c r="QG263" s="1259"/>
      <c r="QH263" s="1259"/>
      <c r="QI263" s="1259"/>
      <c r="QJ263" s="1259"/>
      <c r="QK263" s="1259"/>
      <c r="QL263" s="1259"/>
      <c r="QM263" s="1259"/>
      <c r="QN263" s="1259"/>
      <c r="QO263" s="1259"/>
      <c r="QP263" s="1259"/>
      <c r="QQ263" s="1259"/>
      <c r="QR263" s="1259"/>
      <c r="QS263" s="1259"/>
      <c r="QT263" s="1259"/>
      <c r="QU263" s="1259"/>
      <c r="QV263" s="1259"/>
      <c r="QW263" s="1259"/>
      <c r="QX263" s="1259"/>
      <c r="QY263" s="1259"/>
      <c r="QZ263" s="1259"/>
      <c r="RA263" s="1259"/>
      <c r="RB263" s="1259"/>
      <c r="RC263" s="1259"/>
      <c r="RD263" s="1259"/>
      <c r="RE263" s="1259"/>
      <c r="RF263" s="1259"/>
      <c r="RG263" s="1259"/>
      <c r="RH263" s="1259"/>
      <c r="RI263" s="1259"/>
      <c r="RJ263" s="1259"/>
      <c r="RK263" s="1259"/>
      <c r="RL263" s="1259"/>
      <c r="RM263" s="1259"/>
      <c r="RN263" s="1259"/>
      <c r="RO263" s="1259"/>
      <c r="RP263" s="1259"/>
      <c r="RQ263" s="1259"/>
      <c r="RR263" s="1259"/>
      <c r="RS263" s="1259"/>
      <c r="RT263" s="1259"/>
      <c r="RU263" s="1259"/>
      <c r="RV263" s="1259"/>
      <c r="RW263" s="1259"/>
      <c r="RX263" s="1259"/>
      <c r="RY263" s="1259"/>
      <c r="RZ263" s="1259"/>
      <c r="SA263" s="1259"/>
      <c r="SB263" s="1259"/>
      <c r="SC263" s="1259"/>
      <c r="SD263" s="1259"/>
      <c r="SE263" s="1259"/>
      <c r="SF263" s="1259"/>
      <c r="SG263" s="1259"/>
      <c r="SH263" s="1259"/>
      <c r="SI263" s="1259"/>
      <c r="SJ263" s="1259"/>
      <c r="SK263" s="1259"/>
      <c r="SL263" s="1259"/>
      <c r="SM263" s="1259"/>
      <c r="SN263" s="1259"/>
      <c r="SO263" s="1259"/>
      <c r="SP263" s="1259"/>
      <c r="SQ263" s="1259"/>
      <c r="SR263" s="1259"/>
      <c r="SS263" s="1259"/>
      <c r="ST263" s="1259"/>
      <c r="SU263" s="1259"/>
      <c r="SV263" s="1259"/>
      <c r="SW263" s="1259"/>
      <c r="SX263" s="1259"/>
      <c r="SY263" s="1259"/>
      <c r="SZ263" s="1259"/>
      <c r="TA263" s="1259"/>
      <c r="TB263" s="1259"/>
      <c r="TC263" s="1259"/>
      <c r="TD263" s="1259"/>
      <c r="TE263" s="1259"/>
      <c r="TF263" s="1259"/>
      <c r="TG263" s="1259"/>
      <c r="TH263" s="1259"/>
      <c r="TI263" s="1259"/>
      <c r="TJ263" s="1259"/>
      <c r="TK263" s="1259"/>
      <c r="TL263" s="1259"/>
      <c r="TM263" s="1259"/>
      <c r="TN263" s="1259"/>
      <c r="TO263" s="1259"/>
      <c r="TP263" s="1259"/>
      <c r="TQ263" s="1259"/>
      <c r="TR263" s="1259"/>
      <c r="TS263" s="1259"/>
      <c r="TT263" s="1259"/>
      <c r="TU263" s="1259"/>
      <c r="TV263" s="1259"/>
      <c r="TW263" s="1259"/>
      <c r="TX263" s="1259"/>
      <c r="TY263" s="1259"/>
      <c r="TZ263" s="1259"/>
      <c r="UA263" s="1259"/>
      <c r="UB263" s="1259"/>
      <c r="UC263" s="1259"/>
      <c r="UD263" s="1259"/>
      <c r="UE263" s="1259"/>
      <c r="UF263" s="1259"/>
      <c r="UG263" s="1261"/>
    </row>
    <row r="264" spans="1:553" s="1262" customFormat="1" ht="48" customHeight="1">
      <c r="A264" s="366"/>
      <c r="B264" s="372"/>
      <c r="C264" s="1240" t="s">
        <v>813</v>
      </c>
      <c r="D264" s="1214"/>
      <c r="E264" s="390"/>
      <c r="F264" s="384"/>
      <c r="G264" s="386" t="s">
        <v>196</v>
      </c>
      <c r="H264" s="370"/>
      <c r="I264" s="422">
        <f>(45.69*100/625)*(12-(4-3))*3</f>
        <v>241.2432</v>
      </c>
      <c r="J264" s="368">
        <v>10700</v>
      </c>
      <c r="K264" s="474">
        <v>0.7</v>
      </c>
      <c r="L264" s="369">
        <f>ROUND(PRODUCT(I264:K264),0)</f>
        <v>1806912</v>
      </c>
      <c r="M264" s="366"/>
      <c r="N264" s="366"/>
      <c r="O264" s="366"/>
      <c r="P264" s="366"/>
      <c r="Q264" s="1136"/>
      <c r="R264" s="1447"/>
      <c r="S264" s="435"/>
      <c r="T264" s="436"/>
      <c r="U264" s="304"/>
      <c r="V264" s="393"/>
      <c r="W264" s="304"/>
      <c r="X264" s="304"/>
      <c r="Y264" s="304"/>
      <c r="Z264" s="304"/>
      <c r="AA264" s="304"/>
      <c r="AB264" s="304"/>
      <c r="AC264" s="449"/>
      <c r="AD264" s="452"/>
      <c r="AE264" s="452"/>
      <c r="AF264" s="452"/>
      <c r="AG264" s="452"/>
      <c r="AH264" s="452"/>
      <c r="AI264" s="452"/>
      <c r="AJ264" s="452"/>
      <c r="AK264" s="452"/>
      <c r="AL264" s="1259"/>
      <c r="AM264" s="1259"/>
      <c r="AN264" s="1259"/>
      <c r="AO264" s="1259"/>
      <c r="AP264" s="1259"/>
      <c r="AQ264" s="1259"/>
      <c r="AR264" s="1259"/>
      <c r="AS264" s="1259"/>
      <c r="AT264" s="1259"/>
      <c r="AU264" s="1259"/>
      <c r="AV264" s="1259"/>
      <c r="AW264" s="1259"/>
      <c r="AX264" s="1259"/>
      <c r="AY264" s="1259"/>
      <c r="AZ264" s="1259"/>
      <c r="BA264" s="1259"/>
      <c r="BB264" s="1259"/>
      <c r="BC264" s="1259"/>
      <c r="BD264" s="1259"/>
      <c r="BE264" s="1259"/>
      <c r="BF264" s="1259"/>
      <c r="BG264" s="1259"/>
      <c r="BH264" s="1259"/>
      <c r="BI264" s="1259"/>
      <c r="BJ264" s="1259"/>
      <c r="BK264" s="1259"/>
      <c r="BL264" s="1259"/>
      <c r="BM264" s="1259"/>
      <c r="BN264" s="1259"/>
      <c r="BO264" s="1259"/>
      <c r="BP264" s="1259"/>
      <c r="BQ264" s="1259"/>
      <c r="BR264" s="1259"/>
      <c r="BS264" s="1259"/>
      <c r="BT264" s="1259"/>
      <c r="BU264" s="1259"/>
      <c r="BV264" s="1259"/>
      <c r="BW264" s="1259"/>
      <c r="BX264" s="1259"/>
      <c r="BY264" s="1259"/>
      <c r="BZ264" s="1259"/>
      <c r="CA264" s="1259"/>
      <c r="CB264" s="1259"/>
      <c r="CC264" s="1259"/>
      <c r="CD264" s="1259"/>
      <c r="CE264" s="1259"/>
      <c r="CF264" s="1259"/>
      <c r="CG264" s="1259"/>
      <c r="CH264" s="1259"/>
      <c r="CI264" s="1259"/>
      <c r="CJ264" s="1259"/>
      <c r="CK264" s="1259"/>
      <c r="CL264" s="1259"/>
      <c r="CM264" s="1259"/>
      <c r="CN264" s="1259"/>
      <c r="CO264" s="1259"/>
      <c r="CP264" s="1259"/>
      <c r="CQ264" s="1259"/>
      <c r="CR264" s="1259"/>
      <c r="CS264" s="1259"/>
      <c r="CT264" s="1259"/>
      <c r="CU264" s="1259"/>
      <c r="CV264" s="1259"/>
      <c r="CW264" s="1259"/>
      <c r="CX264" s="1259"/>
      <c r="CY264" s="1259"/>
      <c r="CZ264" s="1259"/>
      <c r="DA264" s="1259"/>
      <c r="DB264" s="1259"/>
      <c r="DC264" s="1259"/>
      <c r="DD264" s="1259"/>
      <c r="DE264" s="1259"/>
      <c r="DF264" s="1259"/>
      <c r="DG264" s="1259"/>
      <c r="DH264" s="1259"/>
      <c r="DI264" s="1259"/>
      <c r="DJ264" s="1259"/>
      <c r="DK264" s="1259"/>
      <c r="DL264" s="1259"/>
      <c r="DM264" s="1259"/>
      <c r="DN264" s="1259"/>
      <c r="DO264" s="1259"/>
      <c r="DP264" s="1259"/>
      <c r="DQ264" s="1259"/>
      <c r="DR264" s="1259"/>
      <c r="DS264" s="1259"/>
      <c r="DT264" s="1259"/>
      <c r="DU264" s="1259"/>
      <c r="DV264" s="1259"/>
      <c r="DW264" s="1259"/>
      <c r="DX264" s="1259"/>
      <c r="DY264" s="1259"/>
      <c r="DZ264" s="1259"/>
      <c r="EA264" s="1259"/>
      <c r="EB264" s="1259"/>
      <c r="EC264" s="1259"/>
      <c r="ED264" s="1259"/>
      <c r="EE264" s="1259"/>
      <c r="EF264" s="1259"/>
      <c r="EG264" s="1259"/>
      <c r="EH264" s="1259"/>
      <c r="EI264" s="1259"/>
      <c r="EJ264" s="1259"/>
      <c r="EK264" s="1259"/>
      <c r="EL264" s="1259"/>
      <c r="EM264" s="1259"/>
      <c r="EN264" s="1259"/>
      <c r="EO264" s="1259"/>
      <c r="EP264" s="1259"/>
      <c r="EQ264" s="1259"/>
      <c r="ER264" s="1259"/>
      <c r="ES264" s="1259"/>
      <c r="ET264" s="1259"/>
      <c r="EU264" s="1259"/>
      <c r="EV264" s="1259"/>
      <c r="EW264" s="1259"/>
      <c r="EX264" s="1259"/>
      <c r="EY264" s="1259"/>
      <c r="EZ264" s="1259"/>
      <c r="FA264" s="1259"/>
      <c r="FB264" s="1259"/>
      <c r="FC264" s="1259"/>
      <c r="FD264" s="1259"/>
      <c r="FE264" s="1259"/>
      <c r="FF264" s="1259"/>
      <c r="FG264" s="1259"/>
      <c r="FH264" s="1259"/>
      <c r="FI264" s="1259"/>
      <c r="FJ264" s="1259"/>
      <c r="FK264" s="1259"/>
      <c r="FL264" s="1259"/>
      <c r="FM264" s="1259"/>
      <c r="FN264" s="1259"/>
      <c r="FO264" s="1259"/>
      <c r="FP264" s="1259"/>
      <c r="FQ264" s="1259"/>
      <c r="FR264" s="1259"/>
      <c r="FS264" s="1259"/>
      <c r="FT264" s="1259"/>
      <c r="FU264" s="1259"/>
      <c r="FV264" s="1259"/>
      <c r="FW264" s="1259"/>
      <c r="FX264" s="1259"/>
      <c r="FY264" s="1259"/>
      <c r="FZ264" s="1259"/>
      <c r="GA264" s="1259"/>
      <c r="GB264" s="1259"/>
      <c r="GC264" s="1259"/>
      <c r="GD264" s="1259"/>
      <c r="GE264" s="1259"/>
      <c r="GF264" s="1259"/>
      <c r="GG264" s="1259"/>
      <c r="GH264" s="1259"/>
      <c r="GI264" s="1259"/>
      <c r="GJ264" s="1259"/>
      <c r="GK264" s="1259"/>
      <c r="GL264" s="1259"/>
      <c r="GM264" s="1259"/>
      <c r="GN264" s="1259"/>
      <c r="GO264" s="1259"/>
      <c r="GP264" s="1259"/>
      <c r="GQ264" s="1259"/>
      <c r="GR264" s="1259"/>
      <c r="GS264" s="1259"/>
      <c r="GT264" s="1259"/>
      <c r="GU264" s="1259"/>
      <c r="GV264" s="1259"/>
      <c r="GW264" s="1259"/>
      <c r="GX264" s="1259"/>
      <c r="GY264" s="1259"/>
      <c r="GZ264" s="1259"/>
      <c r="HA264" s="1259"/>
      <c r="HB264" s="1259"/>
      <c r="HC264" s="1259"/>
      <c r="HD264" s="1259"/>
      <c r="HE264" s="1259"/>
      <c r="HF264" s="1259"/>
      <c r="HG264" s="1259"/>
      <c r="HH264" s="1259"/>
      <c r="HI264" s="1259"/>
      <c r="HJ264" s="1259"/>
      <c r="HK264" s="1259"/>
      <c r="HL264" s="1259"/>
      <c r="HM264" s="1259"/>
      <c r="HN264" s="1259"/>
      <c r="HO264" s="1259"/>
      <c r="HP264" s="1259"/>
      <c r="HQ264" s="1259"/>
      <c r="HR264" s="1259"/>
      <c r="HS264" s="1259"/>
      <c r="HT264" s="1259"/>
      <c r="HU264" s="1259"/>
      <c r="HV264" s="1259"/>
      <c r="HW264" s="1259"/>
      <c r="HX264" s="1259"/>
      <c r="HY264" s="1259"/>
      <c r="HZ264" s="1259"/>
      <c r="IA264" s="1259"/>
      <c r="IB264" s="1259"/>
      <c r="IC264" s="1259"/>
      <c r="ID264" s="1259"/>
      <c r="IE264" s="1259"/>
      <c r="IF264" s="1259"/>
      <c r="IG264" s="1259"/>
      <c r="IH264" s="1259"/>
      <c r="II264" s="1259"/>
      <c r="IJ264" s="1259"/>
      <c r="IK264" s="1259"/>
      <c r="IL264" s="1259"/>
      <c r="IM264" s="1259"/>
      <c r="IN264" s="1259"/>
      <c r="IO264" s="1259"/>
      <c r="IP264" s="1259"/>
      <c r="IQ264" s="1259"/>
      <c r="IR264" s="1259"/>
      <c r="IS264" s="1259"/>
      <c r="IT264" s="1259"/>
      <c r="IU264" s="1259"/>
      <c r="IV264" s="1259"/>
      <c r="IW264" s="1259"/>
      <c r="IX264" s="1259"/>
      <c r="IY264" s="1259"/>
      <c r="IZ264" s="1259"/>
      <c r="JA264" s="1259"/>
      <c r="JB264" s="1259"/>
      <c r="JC264" s="1259"/>
      <c r="JD264" s="1259"/>
      <c r="JE264" s="1259"/>
      <c r="JF264" s="1259"/>
      <c r="JG264" s="1259"/>
      <c r="JH264" s="1259"/>
      <c r="JI264" s="1259"/>
      <c r="JJ264" s="1259"/>
      <c r="JK264" s="1259"/>
      <c r="JL264" s="1259"/>
      <c r="JM264" s="1259"/>
      <c r="JN264" s="1259"/>
      <c r="JO264" s="1259"/>
      <c r="JP264" s="1259"/>
      <c r="JQ264" s="1259"/>
      <c r="JR264" s="1259"/>
      <c r="JS264" s="1259"/>
      <c r="JT264" s="1259"/>
      <c r="JU264" s="1259"/>
      <c r="JV264" s="1259"/>
      <c r="JW264" s="1259"/>
      <c r="JX264" s="1259"/>
      <c r="JY264" s="1259"/>
      <c r="JZ264" s="1259"/>
      <c r="KA264" s="1259"/>
      <c r="KB264" s="1259"/>
      <c r="KC264" s="1259"/>
      <c r="KD264" s="1259"/>
      <c r="KE264" s="1259"/>
      <c r="KF264" s="1259"/>
      <c r="KG264" s="1259"/>
      <c r="KH264" s="1259"/>
      <c r="KI264" s="1259"/>
      <c r="KJ264" s="1259"/>
      <c r="KK264" s="1259"/>
      <c r="KL264" s="1259"/>
      <c r="KM264" s="1259"/>
      <c r="KN264" s="1259"/>
      <c r="KO264" s="1259"/>
      <c r="KP264" s="1259"/>
      <c r="KQ264" s="1259"/>
      <c r="KR264" s="1259"/>
      <c r="KS264" s="1259"/>
      <c r="KT264" s="1259"/>
      <c r="KU264" s="1259"/>
      <c r="KV264" s="1259"/>
      <c r="KW264" s="1259"/>
      <c r="KX264" s="1259"/>
      <c r="KY264" s="1259"/>
      <c r="KZ264" s="1259"/>
      <c r="LA264" s="1259"/>
      <c r="LB264" s="1259"/>
      <c r="LC264" s="1259"/>
      <c r="LD264" s="1259"/>
      <c r="LE264" s="1259"/>
      <c r="LF264" s="1259"/>
      <c r="LG264" s="1259"/>
      <c r="LH264" s="1259"/>
      <c r="LI264" s="1259"/>
      <c r="LJ264" s="1259"/>
      <c r="LK264" s="1259"/>
      <c r="LL264" s="1259"/>
      <c r="LM264" s="1259"/>
      <c r="LN264" s="1259"/>
      <c r="LO264" s="1259"/>
      <c r="LP264" s="1259"/>
      <c r="LQ264" s="1259"/>
      <c r="LR264" s="1259"/>
      <c r="LS264" s="1259"/>
      <c r="LT264" s="1259"/>
      <c r="LU264" s="1259"/>
      <c r="LV264" s="1259"/>
      <c r="LW264" s="1259"/>
      <c r="LX264" s="1259"/>
      <c r="LY264" s="1259"/>
      <c r="LZ264" s="1259"/>
      <c r="MA264" s="1259"/>
      <c r="MB264" s="1259"/>
      <c r="MC264" s="1259"/>
      <c r="MD264" s="1259"/>
      <c r="ME264" s="1259"/>
      <c r="MF264" s="1259"/>
      <c r="MG264" s="1259"/>
      <c r="MH264" s="1259"/>
      <c r="MI264" s="1259"/>
      <c r="MJ264" s="1259"/>
      <c r="MK264" s="1259"/>
      <c r="ML264" s="1259"/>
      <c r="MM264" s="1259"/>
      <c r="MN264" s="1259"/>
      <c r="MO264" s="1259"/>
      <c r="MP264" s="1259"/>
      <c r="MQ264" s="1259"/>
      <c r="MR264" s="1259"/>
      <c r="MS264" s="1259"/>
      <c r="MT264" s="1259"/>
      <c r="MU264" s="1259"/>
      <c r="MV264" s="1259"/>
      <c r="MW264" s="1259"/>
      <c r="MX264" s="1259"/>
      <c r="MY264" s="1259"/>
      <c r="MZ264" s="1259"/>
      <c r="NA264" s="1259"/>
      <c r="NB264" s="1259"/>
      <c r="NC264" s="1259"/>
      <c r="ND264" s="1259"/>
      <c r="NE264" s="1259"/>
      <c r="NF264" s="1259"/>
      <c r="NG264" s="1259"/>
      <c r="NH264" s="1259"/>
      <c r="NI264" s="1259"/>
      <c r="NJ264" s="1259"/>
      <c r="NK264" s="1259"/>
      <c r="NL264" s="1259"/>
      <c r="NM264" s="1259"/>
      <c r="NN264" s="1259"/>
      <c r="NO264" s="1259"/>
      <c r="NP264" s="1259"/>
      <c r="NQ264" s="1259"/>
      <c r="NR264" s="1259"/>
      <c r="NS264" s="1259"/>
      <c r="NT264" s="1259"/>
      <c r="NU264" s="1259"/>
      <c r="NV264" s="1259"/>
      <c r="NW264" s="1259"/>
      <c r="NX264" s="1259"/>
      <c r="NY264" s="1259"/>
      <c r="NZ264" s="1259"/>
      <c r="OA264" s="1259"/>
      <c r="OB264" s="1259"/>
      <c r="OC264" s="1259"/>
      <c r="OD264" s="1259"/>
      <c r="OE264" s="1259"/>
      <c r="OF264" s="1259"/>
      <c r="OG264" s="1259"/>
      <c r="OH264" s="1259"/>
      <c r="OI264" s="1259"/>
      <c r="OJ264" s="1259"/>
      <c r="OK264" s="1259"/>
      <c r="OL264" s="1259"/>
      <c r="OM264" s="1259"/>
      <c r="ON264" s="1259"/>
      <c r="OO264" s="1259"/>
      <c r="OP264" s="1259"/>
      <c r="OQ264" s="1259"/>
      <c r="OR264" s="1259"/>
      <c r="OS264" s="1259"/>
      <c r="OT264" s="1259"/>
      <c r="OU264" s="1259"/>
      <c r="OV264" s="1259"/>
      <c r="OW264" s="1259"/>
      <c r="OX264" s="1259"/>
      <c r="OY264" s="1259"/>
      <c r="OZ264" s="1259"/>
      <c r="PA264" s="1259"/>
      <c r="PB264" s="1259"/>
      <c r="PC264" s="1259"/>
      <c r="PD264" s="1259"/>
      <c r="PE264" s="1259"/>
      <c r="PF264" s="1259"/>
      <c r="PG264" s="1259"/>
      <c r="PH264" s="1259"/>
      <c r="PI264" s="1259"/>
      <c r="PJ264" s="1259"/>
      <c r="PK264" s="1259"/>
      <c r="PL264" s="1259"/>
      <c r="PM264" s="1259"/>
      <c r="PN264" s="1259"/>
      <c r="PO264" s="1259"/>
      <c r="PP264" s="1259"/>
      <c r="PQ264" s="1259"/>
      <c r="PR264" s="1259"/>
      <c r="PS264" s="1259"/>
      <c r="PT264" s="1259"/>
      <c r="PU264" s="1259"/>
      <c r="PV264" s="1259"/>
      <c r="PW264" s="1259"/>
      <c r="PX264" s="1259"/>
      <c r="PY264" s="1259"/>
      <c r="PZ264" s="1259"/>
      <c r="QA264" s="1259"/>
      <c r="QB264" s="1259"/>
      <c r="QC264" s="1259"/>
      <c r="QD264" s="1259"/>
      <c r="QE264" s="1259"/>
      <c r="QF264" s="1259"/>
      <c r="QG264" s="1259"/>
      <c r="QH264" s="1259"/>
      <c r="QI264" s="1259"/>
      <c r="QJ264" s="1259"/>
      <c r="QK264" s="1259"/>
      <c r="QL264" s="1259"/>
      <c r="QM264" s="1259"/>
      <c r="QN264" s="1259"/>
      <c r="QO264" s="1259"/>
      <c r="QP264" s="1259"/>
      <c r="QQ264" s="1259"/>
      <c r="QR264" s="1259"/>
      <c r="QS264" s="1259"/>
      <c r="QT264" s="1259"/>
      <c r="QU264" s="1259"/>
      <c r="QV264" s="1259"/>
      <c r="QW264" s="1259"/>
      <c r="QX264" s="1259"/>
      <c r="QY264" s="1259"/>
      <c r="QZ264" s="1259"/>
      <c r="RA264" s="1259"/>
      <c r="RB264" s="1259"/>
      <c r="RC264" s="1259"/>
      <c r="RD264" s="1259"/>
      <c r="RE264" s="1259"/>
      <c r="RF264" s="1259"/>
      <c r="RG264" s="1259"/>
      <c r="RH264" s="1259"/>
      <c r="RI264" s="1259"/>
      <c r="RJ264" s="1259"/>
      <c r="RK264" s="1259"/>
      <c r="RL264" s="1259"/>
      <c r="RM264" s="1259"/>
      <c r="RN264" s="1259"/>
      <c r="RO264" s="1259"/>
      <c r="RP264" s="1259"/>
      <c r="RQ264" s="1259"/>
      <c r="RR264" s="1259"/>
      <c r="RS264" s="1259"/>
      <c r="RT264" s="1259"/>
      <c r="RU264" s="1259"/>
      <c r="RV264" s="1259"/>
      <c r="RW264" s="1259"/>
      <c r="RX264" s="1259"/>
      <c r="RY264" s="1259"/>
      <c r="RZ264" s="1259"/>
      <c r="SA264" s="1259"/>
      <c r="SB264" s="1259"/>
      <c r="SC264" s="1259"/>
      <c r="SD264" s="1259"/>
      <c r="SE264" s="1259"/>
      <c r="SF264" s="1259"/>
      <c r="SG264" s="1259"/>
      <c r="SH264" s="1259"/>
      <c r="SI264" s="1259"/>
      <c r="SJ264" s="1259"/>
      <c r="SK264" s="1259"/>
      <c r="SL264" s="1259"/>
      <c r="SM264" s="1259"/>
      <c r="SN264" s="1259"/>
      <c r="SO264" s="1259"/>
      <c r="SP264" s="1259"/>
      <c r="SQ264" s="1259"/>
      <c r="SR264" s="1259"/>
      <c r="SS264" s="1259"/>
      <c r="ST264" s="1259"/>
      <c r="SU264" s="1259"/>
      <c r="SV264" s="1259"/>
      <c r="SW264" s="1259"/>
      <c r="SX264" s="1259"/>
      <c r="SY264" s="1259"/>
      <c r="SZ264" s="1259"/>
      <c r="TA264" s="1259"/>
      <c r="TB264" s="1259"/>
      <c r="TC264" s="1259"/>
      <c r="TD264" s="1259"/>
      <c r="TE264" s="1259"/>
      <c r="TF264" s="1259"/>
      <c r="TG264" s="1259"/>
      <c r="TH264" s="1259"/>
      <c r="TI264" s="1259"/>
      <c r="TJ264" s="1259"/>
      <c r="TK264" s="1259"/>
      <c r="TL264" s="1259"/>
      <c r="TM264" s="1259"/>
      <c r="TN264" s="1259"/>
      <c r="TO264" s="1259"/>
      <c r="TP264" s="1259"/>
      <c r="TQ264" s="1259"/>
      <c r="TR264" s="1259"/>
      <c r="TS264" s="1259"/>
      <c r="TT264" s="1259"/>
      <c r="TU264" s="1259"/>
      <c r="TV264" s="1259"/>
      <c r="TW264" s="1259"/>
      <c r="TX264" s="1259"/>
      <c r="TY264" s="1259"/>
      <c r="TZ264" s="1259"/>
      <c r="UA264" s="1259"/>
      <c r="UB264" s="1259"/>
      <c r="UC264" s="1259"/>
      <c r="UD264" s="1259"/>
      <c r="UE264" s="1259"/>
      <c r="UF264" s="1259"/>
      <c r="UG264" s="1261"/>
    </row>
    <row r="265" spans="1:553" s="1262" customFormat="1" ht="48" customHeight="1">
      <c r="A265" s="366"/>
      <c r="B265" s="372"/>
      <c r="C265" s="1240" t="s">
        <v>1065</v>
      </c>
      <c r="D265" s="1214"/>
      <c r="E265" s="390"/>
      <c r="F265" s="384"/>
      <c r="G265" s="366" t="s">
        <v>196</v>
      </c>
      <c r="H265" s="370"/>
      <c r="I265" s="370">
        <f>(75.22*100/500)*(17-(4-3))*2</f>
        <v>481.40800000000002</v>
      </c>
      <c r="J265" s="368">
        <v>10800</v>
      </c>
      <c r="K265" s="495">
        <v>0.7</v>
      </c>
      <c r="L265" s="369">
        <f t="shared" ref="L265" si="53">I265*J265*K265</f>
        <v>3639444.48</v>
      </c>
      <c r="M265" s="366"/>
      <c r="N265" s="366"/>
      <c r="O265" s="366"/>
      <c r="P265" s="366"/>
      <c r="Q265" s="1136"/>
      <c r="R265" s="1447"/>
      <c r="S265" s="308"/>
      <c r="T265" s="303"/>
      <c r="U265" s="306"/>
      <c r="V265" s="307"/>
      <c r="W265" s="306"/>
      <c r="X265" s="306"/>
      <c r="Y265" s="306"/>
      <c r="Z265" s="306"/>
      <c r="AA265" s="306"/>
      <c r="AB265" s="306"/>
      <c r="AC265" s="449"/>
      <c r="AD265" s="452"/>
      <c r="AE265" s="452"/>
      <c r="AF265" s="452"/>
      <c r="AG265" s="452"/>
      <c r="AH265" s="452"/>
      <c r="AI265" s="452"/>
      <c r="AJ265" s="452"/>
      <c r="AK265" s="452"/>
      <c r="AL265" s="1259"/>
      <c r="AM265" s="1259"/>
      <c r="AN265" s="1259"/>
      <c r="AO265" s="1259"/>
      <c r="AP265" s="1259"/>
      <c r="AQ265" s="1259"/>
      <c r="AR265" s="1259"/>
      <c r="AS265" s="1259"/>
      <c r="AT265" s="1259"/>
      <c r="AU265" s="1259"/>
      <c r="AV265" s="1259"/>
      <c r="AW265" s="1259"/>
      <c r="AX265" s="1259"/>
      <c r="AY265" s="1259"/>
      <c r="AZ265" s="1259"/>
      <c r="BA265" s="1259"/>
      <c r="BB265" s="1259"/>
      <c r="BC265" s="1259"/>
      <c r="BD265" s="1259"/>
      <c r="BE265" s="1259"/>
      <c r="BF265" s="1259"/>
      <c r="BG265" s="1259"/>
      <c r="BH265" s="1259"/>
      <c r="BI265" s="1259"/>
      <c r="BJ265" s="1259"/>
      <c r="BK265" s="1259"/>
      <c r="BL265" s="1259"/>
      <c r="BM265" s="1259"/>
      <c r="BN265" s="1259"/>
      <c r="BO265" s="1259"/>
      <c r="BP265" s="1259"/>
      <c r="BQ265" s="1259"/>
      <c r="BR265" s="1259"/>
      <c r="BS265" s="1259"/>
      <c r="BT265" s="1259"/>
      <c r="BU265" s="1259"/>
      <c r="BV265" s="1259"/>
      <c r="BW265" s="1259"/>
      <c r="BX265" s="1259"/>
      <c r="BY265" s="1259"/>
      <c r="BZ265" s="1259"/>
      <c r="CA265" s="1259"/>
      <c r="CB265" s="1259"/>
      <c r="CC265" s="1259"/>
      <c r="CD265" s="1259"/>
      <c r="CE265" s="1259"/>
      <c r="CF265" s="1259"/>
      <c r="CG265" s="1259"/>
      <c r="CH265" s="1259"/>
      <c r="CI265" s="1259"/>
      <c r="CJ265" s="1259"/>
      <c r="CK265" s="1259"/>
      <c r="CL265" s="1259"/>
      <c r="CM265" s="1259"/>
      <c r="CN265" s="1259"/>
      <c r="CO265" s="1259"/>
      <c r="CP265" s="1259"/>
      <c r="CQ265" s="1259"/>
      <c r="CR265" s="1259"/>
      <c r="CS265" s="1259"/>
      <c r="CT265" s="1259"/>
      <c r="CU265" s="1259"/>
      <c r="CV265" s="1259"/>
      <c r="CW265" s="1259"/>
      <c r="CX265" s="1259"/>
      <c r="CY265" s="1259"/>
      <c r="CZ265" s="1259"/>
      <c r="DA265" s="1259"/>
      <c r="DB265" s="1259"/>
      <c r="DC265" s="1259"/>
      <c r="DD265" s="1259"/>
      <c r="DE265" s="1259"/>
      <c r="DF265" s="1259"/>
      <c r="DG265" s="1259"/>
      <c r="DH265" s="1259"/>
      <c r="DI265" s="1259"/>
      <c r="DJ265" s="1259"/>
      <c r="DK265" s="1259"/>
      <c r="DL265" s="1259"/>
      <c r="DM265" s="1259"/>
      <c r="DN265" s="1259"/>
      <c r="DO265" s="1259"/>
      <c r="DP265" s="1259"/>
      <c r="DQ265" s="1259"/>
      <c r="DR265" s="1259"/>
      <c r="DS265" s="1259"/>
      <c r="DT265" s="1259"/>
      <c r="DU265" s="1259"/>
      <c r="DV265" s="1259"/>
      <c r="DW265" s="1259"/>
      <c r="DX265" s="1259"/>
      <c r="DY265" s="1259"/>
      <c r="DZ265" s="1259"/>
      <c r="EA265" s="1259"/>
      <c r="EB265" s="1259"/>
      <c r="EC265" s="1259"/>
      <c r="ED265" s="1259"/>
      <c r="EE265" s="1259"/>
      <c r="EF265" s="1259"/>
      <c r="EG265" s="1259"/>
      <c r="EH265" s="1259"/>
      <c r="EI265" s="1259"/>
      <c r="EJ265" s="1259"/>
      <c r="EK265" s="1259"/>
      <c r="EL265" s="1259"/>
      <c r="EM265" s="1259"/>
      <c r="EN265" s="1259"/>
      <c r="EO265" s="1259"/>
      <c r="EP265" s="1259"/>
      <c r="EQ265" s="1259"/>
      <c r="ER265" s="1259"/>
      <c r="ES265" s="1259"/>
      <c r="ET265" s="1259"/>
      <c r="EU265" s="1259"/>
      <c r="EV265" s="1259"/>
      <c r="EW265" s="1259"/>
      <c r="EX265" s="1259"/>
      <c r="EY265" s="1259"/>
      <c r="EZ265" s="1259"/>
      <c r="FA265" s="1259"/>
      <c r="FB265" s="1259"/>
      <c r="FC265" s="1259"/>
      <c r="FD265" s="1259"/>
      <c r="FE265" s="1259"/>
      <c r="FF265" s="1259"/>
      <c r="FG265" s="1259"/>
      <c r="FH265" s="1259"/>
      <c r="FI265" s="1259"/>
      <c r="FJ265" s="1259"/>
      <c r="FK265" s="1259"/>
      <c r="FL265" s="1259"/>
      <c r="FM265" s="1259"/>
      <c r="FN265" s="1259"/>
      <c r="FO265" s="1259"/>
      <c r="FP265" s="1259"/>
      <c r="FQ265" s="1259"/>
      <c r="FR265" s="1259"/>
      <c r="FS265" s="1259"/>
      <c r="FT265" s="1259"/>
      <c r="FU265" s="1259"/>
      <c r="FV265" s="1259"/>
      <c r="FW265" s="1259"/>
      <c r="FX265" s="1259"/>
      <c r="FY265" s="1259"/>
      <c r="FZ265" s="1259"/>
      <c r="GA265" s="1259"/>
      <c r="GB265" s="1259"/>
      <c r="GC265" s="1259"/>
      <c r="GD265" s="1259"/>
      <c r="GE265" s="1259"/>
      <c r="GF265" s="1259"/>
      <c r="GG265" s="1259"/>
      <c r="GH265" s="1259"/>
      <c r="GI265" s="1259"/>
      <c r="GJ265" s="1259"/>
      <c r="GK265" s="1259"/>
      <c r="GL265" s="1259"/>
      <c r="GM265" s="1259"/>
      <c r="GN265" s="1259"/>
      <c r="GO265" s="1259"/>
      <c r="GP265" s="1259"/>
      <c r="GQ265" s="1259"/>
      <c r="GR265" s="1259"/>
      <c r="GS265" s="1259"/>
      <c r="GT265" s="1259"/>
      <c r="GU265" s="1259"/>
      <c r="GV265" s="1259"/>
      <c r="GW265" s="1259"/>
      <c r="GX265" s="1259"/>
      <c r="GY265" s="1259"/>
      <c r="GZ265" s="1259"/>
      <c r="HA265" s="1259"/>
      <c r="HB265" s="1259"/>
      <c r="HC265" s="1259"/>
      <c r="HD265" s="1259"/>
      <c r="HE265" s="1259"/>
      <c r="HF265" s="1259"/>
      <c r="HG265" s="1259"/>
      <c r="HH265" s="1259"/>
      <c r="HI265" s="1259"/>
      <c r="HJ265" s="1259"/>
      <c r="HK265" s="1259"/>
      <c r="HL265" s="1259"/>
      <c r="HM265" s="1259"/>
      <c r="HN265" s="1259"/>
      <c r="HO265" s="1259"/>
      <c r="HP265" s="1259"/>
      <c r="HQ265" s="1259"/>
      <c r="HR265" s="1259"/>
      <c r="HS265" s="1259"/>
      <c r="HT265" s="1259"/>
      <c r="HU265" s="1259"/>
      <c r="HV265" s="1259"/>
      <c r="HW265" s="1259"/>
      <c r="HX265" s="1259"/>
      <c r="HY265" s="1259"/>
      <c r="HZ265" s="1259"/>
      <c r="IA265" s="1259"/>
      <c r="IB265" s="1259"/>
      <c r="IC265" s="1259"/>
      <c r="ID265" s="1259"/>
      <c r="IE265" s="1259"/>
      <c r="IF265" s="1259"/>
      <c r="IG265" s="1259"/>
      <c r="IH265" s="1259"/>
      <c r="II265" s="1259"/>
      <c r="IJ265" s="1259"/>
      <c r="IK265" s="1259"/>
      <c r="IL265" s="1259"/>
      <c r="IM265" s="1259"/>
      <c r="IN265" s="1259"/>
      <c r="IO265" s="1259"/>
      <c r="IP265" s="1259"/>
      <c r="IQ265" s="1259"/>
      <c r="IR265" s="1259"/>
      <c r="IS265" s="1259"/>
      <c r="IT265" s="1259"/>
      <c r="IU265" s="1259"/>
      <c r="IV265" s="1259"/>
      <c r="IW265" s="1259"/>
      <c r="IX265" s="1259"/>
      <c r="IY265" s="1259"/>
      <c r="IZ265" s="1259"/>
      <c r="JA265" s="1259"/>
      <c r="JB265" s="1259"/>
      <c r="JC265" s="1259"/>
      <c r="JD265" s="1259"/>
      <c r="JE265" s="1259"/>
      <c r="JF265" s="1259"/>
      <c r="JG265" s="1259"/>
      <c r="JH265" s="1259"/>
      <c r="JI265" s="1259"/>
      <c r="JJ265" s="1259"/>
      <c r="JK265" s="1259"/>
      <c r="JL265" s="1259"/>
      <c r="JM265" s="1259"/>
      <c r="JN265" s="1259"/>
      <c r="JO265" s="1259"/>
      <c r="JP265" s="1259"/>
      <c r="JQ265" s="1259"/>
      <c r="JR265" s="1259"/>
      <c r="JS265" s="1259"/>
      <c r="JT265" s="1259"/>
      <c r="JU265" s="1259"/>
      <c r="JV265" s="1259"/>
      <c r="JW265" s="1259"/>
      <c r="JX265" s="1259"/>
      <c r="JY265" s="1259"/>
      <c r="JZ265" s="1259"/>
      <c r="KA265" s="1259"/>
      <c r="KB265" s="1259"/>
      <c r="KC265" s="1259"/>
      <c r="KD265" s="1259"/>
      <c r="KE265" s="1259"/>
      <c r="KF265" s="1259"/>
      <c r="KG265" s="1259"/>
      <c r="KH265" s="1259"/>
      <c r="KI265" s="1259"/>
      <c r="KJ265" s="1259"/>
      <c r="KK265" s="1259"/>
      <c r="KL265" s="1259"/>
      <c r="KM265" s="1259"/>
      <c r="KN265" s="1259"/>
      <c r="KO265" s="1259"/>
      <c r="KP265" s="1259"/>
      <c r="KQ265" s="1259"/>
      <c r="KR265" s="1259"/>
      <c r="KS265" s="1259"/>
      <c r="KT265" s="1259"/>
      <c r="KU265" s="1259"/>
      <c r="KV265" s="1259"/>
      <c r="KW265" s="1259"/>
      <c r="KX265" s="1259"/>
      <c r="KY265" s="1259"/>
      <c r="KZ265" s="1259"/>
      <c r="LA265" s="1259"/>
      <c r="LB265" s="1259"/>
      <c r="LC265" s="1259"/>
      <c r="LD265" s="1259"/>
      <c r="LE265" s="1259"/>
      <c r="LF265" s="1259"/>
      <c r="LG265" s="1259"/>
      <c r="LH265" s="1259"/>
      <c r="LI265" s="1259"/>
      <c r="LJ265" s="1259"/>
      <c r="LK265" s="1259"/>
      <c r="LL265" s="1259"/>
      <c r="LM265" s="1259"/>
      <c r="LN265" s="1259"/>
      <c r="LO265" s="1259"/>
      <c r="LP265" s="1259"/>
      <c r="LQ265" s="1259"/>
      <c r="LR265" s="1259"/>
      <c r="LS265" s="1259"/>
      <c r="LT265" s="1259"/>
      <c r="LU265" s="1259"/>
      <c r="LV265" s="1259"/>
      <c r="LW265" s="1259"/>
      <c r="LX265" s="1259"/>
      <c r="LY265" s="1259"/>
      <c r="LZ265" s="1259"/>
      <c r="MA265" s="1259"/>
      <c r="MB265" s="1259"/>
      <c r="MC265" s="1259"/>
      <c r="MD265" s="1259"/>
      <c r="ME265" s="1259"/>
      <c r="MF265" s="1259"/>
      <c r="MG265" s="1259"/>
      <c r="MH265" s="1259"/>
      <c r="MI265" s="1259"/>
      <c r="MJ265" s="1259"/>
      <c r="MK265" s="1259"/>
      <c r="ML265" s="1259"/>
      <c r="MM265" s="1259"/>
      <c r="MN265" s="1259"/>
      <c r="MO265" s="1259"/>
      <c r="MP265" s="1259"/>
      <c r="MQ265" s="1259"/>
      <c r="MR265" s="1259"/>
      <c r="MS265" s="1259"/>
      <c r="MT265" s="1259"/>
      <c r="MU265" s="1259"/>
      <c r="MV265" s="1259"/>
      <c r="MW265" s="1259"/>
      <c r="MX265" s="1259"/>
      <c r="MY265" s="1259"/>
      <c r="MZ265" s="1259"/>
      <c r="NA265" s="1259"/>
      <c r="NB265" s="1259"/>
      <c r="NC265" s="1259"/>
      <c r="ND265" s="1259"/>
      <c r="NE265" s="1259"/>
      <c r="NF265" s="1259"/>
      <c r="NG265" s="1259"/>
      <c r="NH265" s="1259"/>
      <c r="NI265" s="1259"/>
      <c r="NJ265" s="1259"/>
      <c r="NK265" s="1259"/>
      <c r="NL265" s="1259"/>
      <c r="NM265" s="1259"/>
      <c r="NN265" s="1259"/>
      <c r="NO265" s="1259"/>
      <c r="NP265" s="1259"/>
      <c r="NQ265" s="1259"/>
      <c r="NR265" s="1259"/>
      <c r="NS265" s="1259"/>
      <c r="NT265" s="1259"/>
      <c r="NU265" s="1259"/>
      <c r="NV265" s="1259"/>
      <c r="NW265" s="1259"/>
      <c r="NX265" s="1259"/>
      <c r="NY265" s="1259"/>
      <c r="NZ265" s="1259"/>
      <c r="OA265" s="1259"/>
      <c r="OB265" s="1259"/>
      <c r="OC265" s="1259"/>
      <c r="OD265" s="1259"/>
      <c r="OE265" s="1259"/>
      <c r="OF265" s="1259"/>
      <c r="OG265" s="1259"/>
      <c r="OH265" s="1259"/>
      <c r="OI265" s="1259"/>
      <c r="OJ265" s="1259"/>
      <c r="OK265" s="1259"/>
      <c r="OL265" s="1259"/>
      <c r="OM265" s="1259"/>
      <c r="ON265" s="1259"/>
      <c r="OO265" s="1259"/>
      <c r="OP265" s="1259"/>
      <c r="OQ265" s="1259"/>
      <c r="OR265" s="1259"/>
      <c r="OS265" s="1259"/>
      <c r="OT265" s="1259"/>
      <c r="OU265" s="1259"/>
      <c r="OV265" s="1259"/>
      <c r="OW265" s="1259"/>
      <c r="OX265" s="1259"/>
      <c r="OY265" s="1259"/>
      <c r="OZ265" s="1259"/>
      <c r="PA265" s="1259"/>
      <c r="PB265" s="1259"/>
      <c r="PC265" s="1259"/>
      <c r="PD265" s="1259"/>
      <c r="PE265" s="1259"/>
      <c r="PF265" s="1259"/>
      <c r="PG265" s="1259"/>
      <c r="PH265" s="1259"/>
      <c r="PI265" s="1259"/>
      <c r="PJ265" s="1259"/>
      <c r="PK265" s="1259"/>
      <c r="PL265" s="1259"/>
      <c r="PM265" s="1259"/>
      <c r="PN265" s="1259"/>
      <c r="PO265" s="1259"/>
      <c r="PP265" s="1259"/>
      <c r="PQ265" s="1259"/>
      <c r="PR265" s="1259"/>
      <c r="PS265" s="1259"/>
      <c r="PT265" s="1259"/>
      <c r="PU265" s="1259"/>
      <c r="PV265" s="1259"/>
      <c r="PW265" s="1259"/>
      <c r="PX265" s="1259"/>
      <c r="PY265" s="1259"/>
      <c r="PZ265" s="1259"/>
      <c r="QA265" s="1259"/>
      <c r="QB265" s="1259"/>
      <c r="QC265" s="1259"/>
      <c r="QD265" s="1259"/>
      <c r="QE265" s="1259"/>
      <c r="QF265" s="1259"/>
      <c r="QG265" s="1259"/>
      <c r="QH265" s="1259"/>
      <c r="QI265" s="1259"/>
      <c r="QJ265" s="1259"/>
      <c r="QK265" s="1259"/>
      <c r="QL265" s="1259"/>
      <c r="QM265" s="1259"/>
      <c r="QN265" s="1259"/>
      <c r="QO265" s="1259"/>
      <c r="QP265" s="1259"/>
      <c r="QQ265" s="1259"/>
      <c r="QR265" s="1259"/>
      <c r="QS265" s="1259"/>
      <c r="QT265" s="1259"/>
      <c r="QU265" s="1259"/>
      <c r="QV265" s="1259"/>
      <c r="QW265" s="1259"/>
      <c r="QX265" s="1259"/>
      <c r="QY265" s="1259"/>
      <c r="QZ265" s="1259"/>
      <c r="RA265" s="1259"/>
      <c r="RB265" s="1259"/>
      <c r="RC265" s="1259"/>
      <c r="RD265" s="1259"/>
      <c r="RE265" s="1259"/>
      <c r="RF265" s="1259"/>
      <c r="RG265" s="1259"/>
      <c r="RH265" s="1259"/>
      <c r="RI265" s="1259"/>
      <c r="RJ265" s="1259"/>
      <c r="RK265" s="1259"/>
      <c r="RL265" s="1259"/>
      <c r="RM265" s="1259"/>
      <c r="RN265" s="1259"/>
      <c r="RO265" s="1259"/>
      <c r="RP265" s="1259"/>
      <c r="RQ265" s="1259"/>
      <c r="RR265" s="1259"/>
      <c r="RS265" s="1259"/>
      <c r="RT265" s="1259"/>
      <c r="RU265" s="1259"/>
      <c r="RV265" s="1259"/>
      <c r="RW265" s="1259"/>
      <c r="RX265" s="1259"/>
      <c r="RY265" s="1259"/>
      <c r="RZ265" s="1259"/>
      <c r="SA265" s="1259"/>
      <c r="SB265" s="1259"/>
      <c r="SC265" s="1259"/>
      <c r="SD265" s="1259"/>
      <c r="SE265" s="1259"/>
      <c r="SF265" s="1259"/>
      <c r="SG265" s="1259"/>
      <c r="SH265" s="1259"/>
      <c r="SI265" s="1259"/>
      <c r="SJ265" s="1259"/>
      <c r="SK265" s="1259"/>
      <c r="SL265" s="1259"/>
      <c r="SM265" s="1259"/>
      <c r="SN265" s="1259"/>
      <c r="SO265" s="1259"/>
      <c r="SP265" s="1259"/>
      <c r="SQ265" s="1259"/>
      <c r="SR265" s="1259"/>
      <c r="SS265" s="1259"/>
      <c r="ST265" s="1259"/>
      <c r="SU265" s="1259"/>
      <c r="SV265" s="1259"/>
      <c r="SW265" s="1259"/>
      <c r="SX265" s="1259"/>
      <c r="SY265" s="1259"/>
      <c r="SZ265" s="1259"/>
      <c r="TA265" s="1259"/>
      <c r="TB265" s="1259"/>
      <c r="TC265" s="1259"/>
      <c r="TD265" s="1259"/>
      <c r="TE265" s="1259"/>
      <c r="TF265" s="1259"/>
      <c r="TG265" s="1259"/>
      <c r="TH265" s="1259"/>
      <c r="TI265" s="1259"/>
      <c r="TJ265" s="1259"/>
      <c r="TK265" s="1259"/>
      <c r="TL265" s="1259"/>
      <c r="TM265" s="1259"/>
      <c r="TN265" s="1259"/>
      <c r="TO265" s="1259"/>
      <c r="TP265" s="1259"/>
      <c r="TQ265" s="1259"/>
      <c r="TR265" s="1259"/>
      <c r="TS265" s="1259"/>
      <c r="TT265" s="1259"/>
      <c r="TU265" s="1259"/>
      <c r="TV265" s="1259"/>
      <c r="TW265" s="1259"/>
      <c r="TX265" s="1259"/>
      <c r="TY265" s="1259"/>
      <c r="TZ265" s="1259"/>
      <c r="UA265" s="1259"/>
      <c r="UB265" s="1259"/>
      <c r="UC265" s="1259"/>
      <c r="UD265" s="1259"/>
      <c r="UE265" s="1259"/>
      <c r="UF265" s="1259"/>
      <c r="UG265" s="1261"/>
    </row>
    <row r="266" spans="1:553" s="1262" customFormat="1" ht="48" customHeight="1">
      <c r="A266" s="402"/>
      <c r="B266" s="1009"/>
      <c r="C266" s="1240" t="s">
        <v>1066</v>
      </c>
      <c r="D266" s="1215"/>
      <c r="E266" s="514"/>
      <c r="F266" s="468"/>
      <c r="G266" s="515" t="s">
        <v>196</v>
      </c>
      <c r="H266" s="499"/>
      <c r="I266" s="516">
        <f>(83.43*100/600)*((5-(4-2))*1)</f>
        <v>41.714999999999996</v>
      </c>
      <c r="J266" s="987">
        <v>3100</v>
      </c>
      <c r="K266" s="475">
        <v>0.7</v>
      </c>
      <c r="L266" s="981">
        <f>ROUND(PRODUCT(I266:K266),0)</f>
        <v>90522</v>
      </c>
      <c r="M266" s="366"/>
      <c r="N266" s="366"/>
      <c r="O266" s="366"/>
      <c r="P266" s="366"/>
      <c r="Q266" s="1136"/>
      <c r="R266" s="1447"/>
      <c r="S266" s="435"/>
      <c r="T266" s="436"/>
      <c r="U266" s="304"/>
      <c r="V266" s="393"/>
      <c r="W266" s="304"/>
      <c r="X266" s="304"/>
      <c r="Y266" s="304"/>
      <c r="Z266" s="304"/>
      <c r="AA266" s="304"/>
      <c r="AB266" s="304"/>
      <c r="AC266" s="449"/>
      <c r="AD266" s="452"/>
      <c r="AE266" s="452"/>
      <c r="AF266" s="452"/>
      <c r="AG266" s="452"/>
      <c r="AH266" s="452"/>
      <c r="AI266" s="452"/>
      <c r="AJ266" s="452"/>
      <c r="AK266" s="452"/>
      <c r="AL266" s="1259"/>
      <c r="AM266" s="1259"/>
      <c r="AN266" s="1259"/>
      <c r="AO266" s="1259"/>
      <c r="AP266" s="1259"/>
      <c r="AQ266" s="1259"/>
      <c r="AR266" s="1259"/>
      <c r="AS266" s="1259"/>
      <c r="AT266" s="1259"/>
      <c r="AU266" s="1259"/>
      <c r="AV266" s="1259"/>
      <c r="AW266" s="1259"/>
      <c r="AX266" s="1259"/>
      <c r="AY266" s="1259"/>
      <c r="AZ266" s="1259"/>
      <c r="BA266" s="1259"/>
      <c r="BB266" s="1259"/>
      <c r="BC266" s="1259"/>
      <c r="BD266" s="1259"/>
      <c r="BE266" s="1259"/>
      <c r="BF266" s="1259"/>
      <c r="BG266" s="1259"/>
      <c r="BH266" s="1259"/>
      <c r="BI266" s="1259"/>
      <c r="BJ266" s="1259"/>
      <c r="BK266" s="1259"/>
      <c r="BL266" s="1259"/>
      <c r="BM266" s="1259"/>
      <c r="BN266" s="1259"/>
      <c r="BO266" s="1259"/>
      <c r="BP266" s="1259"/>
      <c r="BQ266" s="1259"/>
      <c r="BR266" s="1259"/>
      <c r="BS266" s="1259"/>
      <c r="BT266" s="1259"/>
      <c r="BU266" s="1259"/>
      <c r="BV266" s="1259"/>
      <c r="BW266" s="1259"/>
      <c r="BX266" s="1259"/>
      <c r="BY266" s="1259"/>
      <c r="BZ266" s="1259"/>
      <c r="CA266" s="1259"/>
      <c r="CB266" s="1259"/>
      <c r="CC266" s="1259"/>
      <c r="CD266" s="1259"/>
      <c r="CE266" s="1259"/>
      <c r="CF266" s="1259"/>
      <c r="CG266" s="1259"/>
      <c r="CH266" s="1259"/>
      <c r="CI266" s="1259"/>
      <c r="CJ266" s="1259"/>
      <c r="CK266" s="1259"/>
      <c r="CL266" s="1259"/>
      <c r="CM266" s="1259"/>
      <c r="CN266" s="1259"/>
      <c r="CO266" s="1259"/>
      <c r="CP266" s="1259"/>
      <c r="CQ266" s="1259"/>
      <c r="CR266" s="1259"/>
      <c r="CS266" s="1259"/>
      <c r="CT266" s="1259"/>
      <c r="CU266" s="1259"/>
      <c r="CV266" s="1259"/>
      <c r="CW266" s="1259"/>
      <c r="CX266" s="1259"/>
      <c r="CY266" s="1259"/>
      <c r="CZ266" s="1259"/>
      <c r="DA266" s="1259"/>
      <c r="DB266" s="1259"/>
      <c r="DC266" s="1259"/>
      <c r="DD266" s="1259"/>
      <c r="DE266" s="1259"/>
      <c r="DF266" s="1259"/>
      <c r="DG266" s="1259"/>
      <c r="DH266" s="1259"/>
      <c r="DI266" s="1259"/>
      <c r="DJ266" s="1259"/>
      <c r="DK266" s="1259"/>
      <c r="DL266" s="1259"/>
      <c r="DM266" s="1259"/>
      <c r="DN266" s="1259"/>
      <c r="DO266" s="1259"/>
      <c r="DP266" s="1259"/>
      <c r="DQ266" s="1259"/>
      <c r="DR266" s="1259"/>
      <c r="DS266" s="1259"/>
      <c r="DT266" s="1259"/>
      <c r="DU266" s="1259"/>
      <c r="DV266" s="1259"/>
      <c r="DW266" s="1259"/>
      <c r="DX266" s="1259"/>
      <c r="DY266" s="1259"/>
      <c r="DZ266" s="1259"/>
      <c r="EA266" s="1259"/>
      <c r="EB266" s="1259"/>
      <c r="EC266" s="1259"/>
      <c r="ED266" s="1259"/>
      <c r="EE266" s="1259"/>
      <c r="EF266" s="1259"/>
      <c r="EG266" s="1259"/>
      <c r="EH266" s="1259"/>
      <c r="EI266" s="1259"/>
      <c r="EJ266" s="1259"/>
      <c r="EK266" s="1259"/>
      <c r="EL266" s="1259"/>
      <c r="EM266" s="1259"/>
      <c r="EN266" s="1259"/>
      <c r="EO266" s="1259"/>
      <c r="EP266" s="1259"/>
      <c r="EQ266" s="1259"/>
      <c r="ER266" s="1259"/>
      <c r="ES266" s="1259"/>
      <c r="ET266" s="1259"/>
      <c r="EU266" s="1259"/>
      <c r="EV266" s="1259"/>
      <c r="EW266" s="1259"/>
      <c r="EX266" s="1259"/>
      <c r="EY266" s="1259"/>
      <c r="EZ266" s="1259"/>
      <c r="FA266" s="1259"/>
      <c r="FB266" s="1259"/>
      <c r="FC266" s="1259"/>
      <c r="FD266" s="1259"/>
      <c r="FE266" s="1259"/>
      <c r="FF266" s="1259"/>
      <c r="FG266" s="1259"/>
      <c r="FH266" s="1259"/>
      <c r="FI266" s="1259"/>
      <c r="FJ266" s="1259"/>
      <c r="FK266" s="1259"/>
      <c r="FL266" s="1259"/>
      <c r="FM266" s="1259"/>
      <c r="FN266" s="1259"/>
      <c r="FO266" s="1259"/>
      <c r="FP266" s="1259"/>
      <c r="FQ266" s="1259"/>
      <c r="FR266" s="1259"/>
      <c r="FS266" s="1259"/>
      <c r="FT266" s="1259"/>
      <c r="FU266" s="1259"/>
      <c r="FV266" s="1259"/>
      <c r="FW266" s="1259"/>
      <c r="FX266" s="1259"/>
      <c r="FY266" s="1259"/>
      <c r="FZ266" s="1259"/>
      <c r="GA266" s="1259"/>
      <c r="GB266" s="1259"/>
      <c r="GC266" s="1259"/>
      <c r="GD266" s="1259"/>
      <c r="GE266" s="1259"/>
      <c r="GF266" s="1259"/>
      <c r="GG266" s="1259"/>
      <c r="GH266" s="1259"/>
      <c r="GI266" s="1259"/>
      <c r="GJ266" s="1259"/>
      <c r="GK266" s="1259"/>
      <c r="GL266" s="1259"/>
      <c r="GM266" s="1259"/>
      <c r="GN266" s="1259"/>
      <c r="GO266" s="1259"/>
      <c r="GP266" s="1259"/>
      <c r="GQ266" s="1259"/>
      <c r="GR266" s="1259"/>
      <c r="GS266" s="1259"/>
      <c r="GT266" s="1259"/>
      <c r="GU266" s="1259"/>
      <c r="GV266" s="1259"/>
      <c r="GW266" s="1259"/>
      <c r="GX266" s="1259"/>
      <c r="GY266" s="1259"/>
      <c r="GZ266" s="1259"/>
      <c r="HA266" s="1259"/>
      <c r="HB266" s="1259"/>
      <c r="HC266" s="1259"/>
      <c r="HD266" s="1259"/>
      <c r="HE266" s="1259"/>
      <c r="HF266" s="1259"/>
      <c r="HG266" s="1259"/>
      <c r="HH266" s="1259"/>
      <c r="HI266" s="1259"/>
      <c r="HJ266" s="1259"/>
      <c r="HK266" s="1259"/>
      <c r="HL266" s="1259"/>
      <c r="HM266" s="1259"/>
      <c r="HN266" s="1259"/>
      <c r="HO266" s="1259"/>
      <c r="HP266" s="1259"/>
      <c r="HQ266" s="1259"/>
      <c r="HR266" s="1259"/>
      <c r="HS266" s="1259"/>
      <c r="HT266" s="1259"/>
      <c r="HU266" s="1259"/>
      <c r="HV266" s="1259"/>
      <c r="HW266" s="1259"/>
      <c r="HX266" s="1259"/>
      <c r="HY266" s="1259"/>
      <c r="HZ266" s="1259"/>
      <c r="IA266" s="1259"/>
      <c r="IB266" s="1259"/>
      <c r="IC266" s="1259"/>
      <c r="ID266" s="1259"/>
      <c r="IE266" s="1259"/>
      <c r="IF266" s="1259"/>
      <c r="IG266" s="1259"/>
      <c r="IH266" s="1259"/>
      <c r="II266" s="1259"/>
      <c r="IJ266" s="1259"/>
      <c r="IK266" s="1259"/>
      <c r="IL266" s="1259"/>
      <c r="IM266" s="1259"/>
      <c r="IN266" s="1259"/>
      <c r="IO266" s="1259"/>
      <c r="IP266" s="1259"/>
      <c r="IQ266" s="1259"/>
      <c r="IR266" s="1259"/>
      <c r="IS266" s="1259"/>
      <c r="IT266" s="1259"/>
      <c r="IU266" s="1259"/>
      <c r="IV266" s="1259"/>
      <c r="IW266" s="1259"/>
      <c r="IX266" s="1259"/>
      <c r="IY266" s="1259"/>
      <c r="IZ266" s="1259"/>
      <c r="JA266" s="1259"/>
      <c r="JB266" s="1259"/>
      <c r="JC266" s="1259"/>
      <c r="JD266" s="1259"/>
      <c r="JE266" s="1259"/>
      <c r="JF266" s="1259"/>
      <c r="JG266" s="1259"/>
      <c r="JH266" s="1259"/>
      <c r="JI266" s="1259"/>
      <c r="JJ266" s="1259"/>
      <c r="JK266" s="1259"/>
      <c r="JL266" s="1259"/>
      <c r="JM266" s="1259"/>
      <c r="JN266" s="1259"/>
      <c r="JO266" s="1259"/>
      <c r="JP266" s="1259"/>
      <c r="JQ266" s="1259"/>
      <c r="JR266" s="1259"/>
      <c r="JS266" s="1259"/>
      <c r="JT266" s="1259"/>
      <c r="JU266" s="1259"/>
      <c r="JV266" s="1259"/>
      <c r="JW266" s="1259"/>
      <c r="JX266" s="1259"/>
      <c r="JY266" s="1259"/>
      <c r="JZ266" s="1259"/>
      <c r="KA266" s="1259"/>
      <c r="KB266" s="1259"/>
      <c r="KC266" s="1259"/>
      <c r="KD266" s="1259"/>
      <c r="KE266" s="1259"/>
      <c r="KF266" s="1259"/>
      <c r="KG266" s="1259"/>
      <c r="KH266" s="1259"/>
      <c r="KI266" s="1259"/>
      <c r="KJ266" s="1259"/>
      <c r="KK266" s="1259"/>
      <c r="KL266" s="1259"/>
      <c r="KM266" s="1259"/>
      <c r="KN266" s="1259"/>
      <c r="KO266" s="1259"/>
      <c r="KP266" s="1259"/>
      <c r="KQ266" s="1259"/>
      <c r="KR266" s="1259"/>
      <c r="KS266" s="1259"/>
      <c r="KT266" s="1259"/>
      <c r="KU266" s="1259"/>
      <c r="KV266" s="1259"/>
      <c r="KW266" s="1259"/>
      <c r="KX266" s="1259"/>
      <c r="KY266" s="1259"/>
      <c r="KZ266" s="1259"/>
      <c r="LA266" s="1259"/>
      <c r="LB266" s="1259"/>
      <c r="LC266" s="1259"/>
      <c r="LD266" s="1259"/>
      <c r="LE266" s="1259"/>
      <c r="LF266" s="1259"/>
      <c r="LG266" s="1259"/>
      <c r="LH266" s="1259"/>
      <c r="LI266" s="1259"/>
      <c r="LJ266" s="1259"/>
      <c r="LK266" s="1259"/>
      <c r="LL266" s="1259"/>
      <c r="LM266" s="1259"/>
      <c r="LN266" s="1259"/>
      <c r="LO266" s="1259"/>
      <c r="LP266" s="1259"/>
      <c r="LQ266" s="1259"/>
      <c r="LR266" s="1259"/>
      <c r="LS266" s="1259"/>
      <c r="LT266" s="1259"/>
      <c r="LU266" s="1259"/>
      <c r="LV266" s="1259"/>
      <c r="LW266" s="1259"/>
      <c r="LX266" s="1259"/>
      <c r="LY266" s="1259"/>
      <c r="LZ266" s="1259"/>
      <c r="MA266" s="1259"/>
      <c r="MB266" s="1259"/>
      <c r="MC266" s="1259"/>
      <c r="MD266" s="1259"/>
      <c r="ME266" s="1259"/>
      <c r="MF266" s="1259"/>
      <c r="MG266" s="1259"/>
      <c r="MH266" s="1259"/>
      <c r="MI266" s="1259"/>
      <c r="MJ266" s="1259"/>
      <c r="MK266" s="1259"/>
      <c r="ML266" s="1259"/>
      <c r="MM266" s="1259"/>
      <c r="MN266" s="1259"/>
      <c r="MO266" s="1259"/>
      <c r="MP266" s="1259"/>
      <c r="MQ266" s="1259"/>
      <c r="MR266" s="1259"/>
      <c r="MS266" s="1259"/>
      <c r="MT266" s="1259"/>
      <c r="MU266" s="1259"/>
      <c r="MV266" s="1259"/>
      <c r="MW266" s="1259"/>
      <c r="MX266" s="1259"/>
      <c r="MY266" s="1259"/>
      <c r="MZ266" s="1259"/>
      <c r="NA266" s="1259"/>
      <c r="NB266" s="1259"/>
      <c r="NC266" s="1259"/>
      <c r="ND266" s="1259"/>
      <c r="NE266" s="1259"/>
      <c r="NF266" s="1259"/>
      <c r="NG266" s="1259"/>
      <c r="NH266" s="1259"/>
      <c r="NI266" s="1259"/>
      <c r="NJ266" s="1259"/>
      <c r="NK266" s="1259"/>
      <c r="NL266" s="1259"/>
      <c r="NM266" s="1259"/>
      <c r="NN266" s="1259"/>
      <c r="NO266" s="1259"/>
      <c r="NP266" s="1259"/>
      <c r="NQ266" s="1259"/>
      <c r="NR266" s="1259"/>
      <c r="NS266" s="1259"/>
      <c r="NT266" s="1259"/>
      <c r="NU266" s="1259"/>
      <c r="NV266" s="1259"/>
      <c r="NW266" s="1259"/>
      <c r="NX266" s="1259"/>
      <c r="NY266" s="1259"/>
      <c r="NZ266" s="1259"/>
      <c r="OA266" s="1259"/>
      <c r="OB266" s="1259"/>
      <c r="OC266" s="1259"/>
      <c r="OD266" s="1259"/>
      <c r="OE266" s="1259"/>
      <c r="OF266" s="1259"/>
      <c r="OG266" s="1259"/>
      <c r="OH266" s="1259"/>
      <c r="OI266" s="1259"/>
      <c r="OJ266" s="1259"/>
      <c r="OK266" s="1259"/>
      <c r="OL266" s="1259"/>
      <c r="OM266" s="1259"/>
      <c r="ON266" s="1259"/>
      <c r="OO266" s="1259"/>
      <c r="OP266" s="1259"/>
      <c r="OQ266" s="1259"/>
      <c r="OR266" s="1259"/>
      <c r="OS266" s="1259"/>
      <c r="OT266" s="1259"/>
      <c r="OU266" s="1259"/>
      <c r="OV266" s="1259"/>
      <c r="OW266" s="1259"/>
      <c r="OX266" s="1259"/>
      <c r="OY266" s="1259"/>
      <c r="OZ266" s="1259"/>
      <c r="PA266" s="1259"/>
      <c r="PB266" s="1259"/>
      <c r="PC266" s="1259"/>
      <c r="PD266" s="1259"/>
      <c r="PE266" s="1259"/>
      <c r="PF266" s="1259"/>
      <c r="PG266" s="1259"/>
      <c r="PH266" s="1259"/>
      <c r="PI266" s="1259"/>
      <c r="PJ266" s="1259"/>
      <c r="PK266" s="1259"/>
      <c r="PL266" s="1259"/>
      <c r="PM266" s="1259"/>
      <c r="PN266" s="1259"/>
      <c r="PO266" s="1259"/>
      <c r="PP266" s="1259"/>
      <c r="PQ266" s="1259"/>
      <c r="PR266" s="1259"/>
      <c r="PS266" s="1259"/>
      <c r="PT266" s="1259"/>
      <c r="PU266" s="1259"/>
      <c r="PV266" s="1259"/>
      <c r="PW266" s="1259"/>
      <c r="PX266" s="1259"/>
      <c r="PY266" s="1259"/>
      <c r="PZ266" s="1259"/>
      <c r="QA266" s="1259"/>
      <c r="QB266" s="1259"/>
      <c r="QC266" s="1259"/>
      <c r="QD266" s="1259"/>
      <c r="QE266" s="1259"/>
      <c r="QF266" s="1259"/>
      <c r="QG266" s="1259"/>
      <c r="QH266" s="1259"/>
      <c r="QI266" s="1259"/>
      <c r="QJ266" s="1259"/>
      <c r="QK266" s="1259"/>
      <c r="QL266" s="1259"/>
      <c r="QM266" s="1259"/>
      <c r="QN266" s="1259"/>
      <c r="QO266" s="1259"/>
      <c r="QP266" s="1259"/>
      <c r="QQ266" s="1259"/>
      <c r="QR266" s="1259"/>
      <c r="QS266" s="1259"/>
      <c r="QT266" s="1259"/>
      <c r="QU266" s="1259"/>
      <c r="QV266" s="1259"/>
      <c r="QW266" s="1259"/>
      <c r="QX266" s="1259"/>
      <c r="QY266" s="1259"/>
      <c r="QZ266" s="1259"/>
      <c r="RA266" s="1259"/>
      <c r="RB266" s="1259"/>
      <c r="RC266" s="1259"/>
      <c r="RD266" s="1259"/>
      <c r="RE266" s="1259"/>
      <c r="RF266" s="1259"/>
      <c r="RG266" s="1259"/>
      <c r="RH266" s="1259"/>
      <c r="RI266" s="1259"/>
      <c r="RJ266" s="1259"/>
      <c r="RK266" s="1259"/>
      <c r="RL266" s="1259"/>
      <c r="RM266" s="1259"/>
      <c r="RN266" s="1259"/>
      <c r="RO266" s="1259"/>
      <c r="RP266" s="1259"/>
      <c r="RQ266" s="1259"/>
      <c r="RR266" s="1259"/>
      <c r="RS266" s="1259"/>
      <c r="RT266" s="1259"/>
      <c r="RU266" s="1259"/>
      <c r="RV266" s="1259"/>
      <c r="RW266" s="1259"/>
      <c r="RX266" s="1259"/>
      <c r="RY266" s="1259"/>
      <c r="RZ266" s="1259"/>
      <c r="SA266" s="1259"/>
      <c r="SB266" s="1259"/>
      <c r="SC266" s="1259"/>
      <c r="SD266" s="1259"/>
      <c r="SE266" s="1259"/>
      <c r="SF266" s="1259"/>
      <c r="SG266" s="1259"/>
      <c r="SH266" s="1259"/>
      <c r="SI266" s="1259"/>
      <c r="SJ266" s="1259"/>
      <c r="SK266" s="1259"/>
      <c r="SL266" s="1259"/>
      <c r="SM266" s="1259"/>
      <c r="SN266" s="1259"/>
      <c r="SO266" s="1259"/>
      <c r="SP266" s="1259"/>
      <c r="SQ266" s="1259"/>
      <c r="SR266" s="1259"/>
      <c r="SS266" s="1259"/>
      <c r="ST266" s="1259"/>
      <c r="SU266" s="1259"/>
      <c r="SV266" s="1259"/>
      <c r="SW266" s="1259"/>
      <c r="SX266" s="1259"/>
      <c r="SY266" s="1259"/>
      <c r="SZ266" s="1259"/>
      <c r="TA266" s="1259"/>
      <c r="TB266" s="1259"/>
      <c r="TC266" s="1259"/>
      <c r="TD266" s="1259"/>
      <c r="TE266" s="1259"/>
      <c r="TF266" s="1259"/>
      <c r="TG266" s="1259"/>
      <c r="TH266" s="1259"/>
      <c r="TI266" s="1259"/>
      <c r="TJ266" s="1259"/>
      <c r="TK266" s="1259"/>
      <c r="TL266" s="1259"/>
      <c r="TM266" s="1259"/>
      <c r="TN266" s="1259"/>
      <c r="TO266" s="1259"/>
      <c r="TP266" s="1259"/>
      <c r="TQ266" s="1259"/>
      <c r="TR266" s="1259"/>
      <c r="TS266" s="1259"/>
      <c r="TT266" s="1259"/>
      <c r="TU266" s="1259"/>
      <c r="TV266" s="1259"/>
      <c r="TW266" s="1259"/>
      <c r="TX266" s="1259"/>
      <c r="TY266" s="1259"/>
      <c r="TZ266" s="1259"/>
      <c r="UA266" s="1259"/>
      <c r="UB266" s="1259"/>
      <c r="UC266" s="1259"/>
      <c r="UD266" s="1259"/>
      <c r="UE266" s="1259"/>
      <c r="UF266" s="1259"/>
      <c r="UG266" s="1261"/>
    </row>
    <row r="267" spans="1:553" s="1262" customFormat="1" ht="48" customHeight="1">
      <c r="A267" s="406"/>
      <c r="B267" s="974"/>
      <c r="C267" s="1240" t="s">
        <v>1067</v>
      </c>
      <c r="D267" s="975"/>
      <c r="E267" s="518"/>
      <c r="F267" s="1232"/>
      <c r="G267" s="406" t="s">
        <v>46</v>
      </c>
      <c r="H267" s="519"/>
      <c r="I267" s="1291">
        <f>(157.21*100/1100)*(12-(4-2))*1</f>
        <v>142.91818181818181</v>
      </c>
      <c r="J267" s="521">
        <v>15400</v>
      </c>
      <c r="K267" s="719">
        <v>0.7</v>
      </c>
      <c r="L267" s="520">
        <f>ROUND(PRODUCT(I267:K267),0)</f>
        <v>1540658</v>
      </c>
      <c r="M267" s="366"/>
      <c r="N267" s="366"/>
      <c r="O267" s="366"/>
      <c r="P267" s="366"/>
      <c r="Q267" s="1136"/>
      <c r="R267" s="1447"/>
      <c r="S267" s="309"/>
      <c r="T267" s="310"/>
      <c r="U267" s="311"/>
      <c r="V267" s="312"/>
      <c r="W267" s="311"/>
      <c r="X267" s="311"/>
      <c r="Y267" s="311"/>
      <c r="Z267" s="311"/>
      <c r="AA267" s="311"/>
      <c r="AB267" s="311"/>
      <c r="AC267" s="449"/>
      <c r="AD267" s="452"/>
      <c r="AE267" s="452"/>
      <c r="AF267" s="452"/>
      <c r="AG267" s="452"/>
      <c r="AH267" s="452"/>
      <c r="AI267" s="452"/>
      <c r="AJ267" s="452"/>
      <c r="AK267" s="452"/>
      <c r="AL267" s="1259"/>
      <c r="AM267" s="1259"/>
      <c r="AN267" s="1259"/>
      <c r="AO267" s="1259"/>
      <c r="AP267" s="1259"/>
      <c r="AQ267" s="1259"/>
      <c r="AR267" s="1259"/>
      <c r="AS267" s="1259"/>
      <c r="AT267" s="1259"/>
      <c r="AU267" s="1259"/>
      <c r="AV267" s="1259"/>
      <c r="AW267" s="1259"/>
      <c r="AX267" s="1259"/>
      <c r="AY267" s="1259"/>
      <c r="AZ267" s="1259"/>
      <c r="BA267" s="1259"/>
      <c r="BB267" s="1259"/>
      <c r="BC267" s="1259"/>
      <c r="BD267" s="1259"/>
      <c r="BE267" s="1259"/>
      <c r="BF267" s="1259"/>
      <c r="BG267" s="1259"/>
      <c r="BH267" s="1259"/>
      <c r="BI267" s="1259"/>
      <c r="BJ267" s="1259"/>
      <c r="BK267" s="1259"/>
      <c r="BL267" s="1259"/>
      <c r="BM267" s="1259"/>
      <c r="BN267" s="1259"/>
      <c r="BO267" s="1259"/>
      <c r="BP267" s="1259"/>
      <c r="BQ267" s="1259"/>
      <c r="BR267" s="1259"/>
      <c r="BS267" s="1259"/>
      <c r="BT267" s="1259"/>
      <c r="BU267" s="1259"/>
      <c r="BV267" s="1259"/>
      <c r="BW267" s="1259"/>
      <c r="BX267" s="1259"/>
      <c r="BY267" s="1259"/>
      <c r="BZ267" s="1259"/>
      <c r="CA267" s="1259"/>
      <c r="CB267" s="1259"/>
      <c r="CC267" s="1259"/>
      <c r="CD267" s="1259"/>
      <c r="CE267" s="1259"/>
      <c r="CF267" s="1259"/>
      <c r="CG267" s="1259"/>
      <c r="CH267" s="1259"/>
      <c r="CI267" s="1259"/>
      <c r="CJ267" s="1259"/>
      <c r="CK267" s="1259"/>
      <c r="CL267" s="1259"/>
      <c r="CM267" s="1259"/>
      <c r="CN267" s="1259"/>
      <c r="CO267" s="1259"/>
      <c r="CP267" s="1259"/>
      <c r="CQ267" s="1259"/>
      <c r="CR267" s="1259"/>
      <c r="CS267" s="1259"/>
      <c r="CT267" s="1259"/>
      <c r="CU267" s="1259"/>
      <c r="CV267" s="1259"/>
      <c r="CW267" s="1259"/>
      <c r="CX267" s="1259"/>
      <c r="CY267" s="1259"/>
      <c r="CZ267" s="1259"/>
      <c r="DA267" s="1259"/>
      <c r="DB267" s="1259"/>
      <c r="DC267" s="1259"/>
      <c r="DD267" s="1259"/>
      <c r="DE267" s="1259"/>
      <c r="DF267" s="1259"/>
      <c r="DG267" s="1259"/>
      <c r="DH267" s="1259"/>
      <c r="DI267" s="1259"/>
      <c r="DJ267" s="1259"/>
      <c r="DK267" s="1259"/>
      <c r="DL267" s="1259"/>
      <c r="DM267" s="1259"/>
      <c r="DN267" s="1259"/>
      <c r="DO267" s="1259"/>
      <c r="DP267" s="1259"/>
      <c r="DQ267" s="1259"/>
      <c r="DR267" s="1259"/>
      <c r="DS267" s="1259"/>
      <c r="DT267" s="1259"/>
      <c r="DU267" s="1259"/>
      <c r="DV267" s="1259"/>
      <c r="DW267" s="1259"/>
      <c r="DX267" s="1259"/>
      <c r="DY267" s="1259"/>
      <c r="DZ267" s="1259"/>
      <c r="EA267" s="1259"/>
      <c r="EB267" s="1259"/>
      <c r="EC267" s="1259"/>
      <c r="ED267" s="1259"/>
      <c r="EE267" s="1259"/>
      <c r="EF267" s="1259"/>
      <c r="EG267" s="1259"/>
      <c r="EH267" s="1259"/>
      <c r="EI267" s="1259"/>
      <c r="EJ267" s="1259"/>
      <c r="EK267" s="1259"/>
      <c r="EL267" s="1259"/>
      <c r="EM267" s="1259"/>
      <c r="EN267" s="1259"/>
      <c r="EO267" s="1259"/>
      <c r="EP267" s="1259"/>
      <c r="EQ267" s="1259"/>
      <c r="ER267" s="1259"/>
      <c r="ES267" s="1259"/>
      <c r="ET267" s="1259"/>
      <c r="EU267" s="1259"/>
      <c r="EV267" s="1259"/>
      <c r="EW267" s="1259"/>
      <c r="EX267" s="1259"/>
      <c r="EY267" s="1259"/>
      <c r="EZ267" s="1259"/>
      <c r="FA267" s="1259"/>
      <c r="FB267" s="1259"/>
      <c r="FC267" s="1259"/>
      <c r="FD267" s="1259"/>
      <c r="FE267" s="1259"/>
      <c r="FF267" s="1259"/>
      <c r="FG267" s="1259"/>
      <c r="FH267" s="1259"/>
      <c r="FI267" s="1259"/>
      <c r="FJ267" s="1259"/>
      <c r="FK267" s="1259"/>
      <c r="FL267" s="1259"/>
      <c r="FM267" s="1259"/>
      <c r="FN267" s="1259"/>
      <c r="FO267" s="1259"/>
      <c r="FP267" s="1259"/>
      <c r="FQ267" s="1259"/>
      <c r="FR267" s="1259"/>
      <c r="FS267" s="1259"/>
      <c r="FT267" s="1259"/>
      <c r="FU267" s="1259"/>
      <c r="FV267" s="1259"/>
      <c r="FW267" s="1259"/>
      <c r="FX267" s="1259"/>
      <c r="FY267" s="1259"/>
      <c r="FZ267" s="1259"/>
      <c r="GA267" s="1259"/>
      <c r="GB267" s="1259"/>
      <c r="GC267" s="1259"/>
      <c r="GD267" s="1259"/>
      <c r="GE267" s="1259"/>
      <c r="GF267" s="1259"/>
      <c r="GG267" s="1259"/>
      <c r="GH267" s="1259"/>
      <c r="GI267" s="1259"/>
      <c r="GJ267" s="1259"/>
      <c r="GK267" s="1259"/>
      <c r="GL267" s="1259"/>
      <c r="GM267" s="1259"/>
      <c r="GN267" s="1259"/>
      <c r="GO267" s="1259"/>
      <c r="GP267" s="1259"/>
      <c r="GQ267" s="1259"/>
      <c r="GR267" s="1259"/>
      <c r="GS267" s="1259"/>
      <c r="GT267" s="1259"/>
      <c r="GU267" s="1259"/>
      <c r="GV267" s="1259"/>
      <c r="GW267" s="1259"/>
      <c r="GX267" s="1259"/>
      <c r="GY267" s="1259"/>
      <c r="GZ267" s="1259"/>
      <c r="HA267" s="1259"/>
      <c r="HB267" s="1259"/>
      <c r="HC267" s="1259"/>
      <c r="HD267" s="1259"/>
      <c r="HE267" s="1259"/>
      <c r="HF267" s="1259"/>
      <c r="HG267" s="1259"/>
      <c r="HH267" s="1259"/>
      <c r="HI267" s="1259"/>
      <c r="HJ267" s="1259"/>
      <c r="HK267" s="1259"/>
      <c r="HL267" s="1259"/>
      <c r="HM267" s="1259"/>
      <c r="HN267" s="1259"/>
      <c r="HO267" s="1259"/>
      <c r="HP267" s="1259"/>
      <c r="HQ267" s="1259"/>
      <c r="HR267" s="1259"/>
      <c r="HS267" s="1259"/>
      <c r="HT267" s="1259"/>
      <c r="HU267" s="1259"/>
      <c r="HV267" s="1259"/>
      <c r="HW267" s="1259"/>
      <c r="HX267" s="1259"/>
      <c r="HY267" s="1259"/>
      <c r="HZ267" s="1259"/>
      <c r="IA267" s="1259"/>
      <c r="IB267" s="1259"/>
      <c r="IC267" s="1259"/>
      <c r="ID267" s="1259"/>
      <c r="IE267" s="1259"/>
      <c r="IF267" s="1259"/>
      <c r="IG267" s="1259"/>
      <c r="IH267" s="1259"/>
      <c r="II267" s="1259"/>
      <c r="IJ267" s="1259"/>
      <c r="IK267" s="1259"/>
      <c r="IL267" s="1259"/>
      <c r="IM267" s="1259"/>
      <c r="IN267" s="1259"/>
      <c r="IO267" s="1259"/>
      <c r="IP267" s="1259"/>
      <c r="IQ267" s="1259"/>
      <c r="IR267" s="1259"/>
      <c r="IS267" s="1259"/>
      <c r="IT267" s="1259"/>
      <c r="IU267" s="1259"/>
      <c r="IV267" s="1259"/>
      <c r="IW267" s="1259"/>
      <c r="IX267" s="1259"/>
      <c r="IY267" s="1259"/>
      <c r="IZ267" s="1259"/>
      <c r="JA267" s="1259"/>
      <c r="JB267" s="1259"/>
      <c r="JC267" s="1259"/>
      <c r="JD267" s="1259"/>
      <c r="JE267" s="1259"/>
      <c r="JF267" s="1259"/>
      <c r="JG267" s="1259"/>
      <c r="JH267" s="1259"/>
      <c r="JI267" s="1259"/>
      <c r="JJ267" s="1259"/>
      <c r="JK267" s="1259"/>
      <c r="JL267" s="1259"/>
      <c r="JM267" s="1259"/>
      <c r="JN267" s="1259"/>
      <c r="JO267" s="1259"/>
      <c r="JP267" s="1259"/>
      <c r="JQ267" s="1259"/>
      <c r="JR267" s="1259"/>
      <c r="JS267" s="1259"/>
      <c r="JT267" s="1259"/>
      <c r="JU267" s="1259"/>
      <c r="JV267" s="1259"/>
      <c r="JW267" s="1259"/>
      <c r="JX267" s="1259"/>
      <c r="JY267" s="1259"/>
      <c r="JZ267" s="1259"/>
      <c r="KA267" s="1259"/>
      <c r="KB267" s="1259"/>
      <c r="KC267" s="1259"/>
      <c r="KD267" s="1259"/>
      <c r="KE267" s="1259"/>
      <c r="KF267" s="1259"/>
      <c r="KG267" s="1259"/>
      <c r="KH267" s="1259"/>
      <c r="KI267" s="1259"/>
      <c r="KJ267" s="1259"/>
      <c r="KK267" s="1259"/>
      <c r="KL267" s="1259"/>
      <c r="KM267" s="1259"/>
      <c r="KN267" s="1259"/>
      <c r="KO267" s="1259"/>
      <c r="KP267" s="1259"/>
      <c r="KQ267" s="1259"/>
      <c r="KR267" s="1259"/>
      <c r="KS267" s="1259"/>
      <c r="KT267" s="1259"/>
      <c r="KU267" s="1259"/>
      <c r="KV267" s="1259"/>
      <c r="KW267" s="1259"/>
      <c r="KX267" s="1259"/>
      <c r="KY267" s="1259"/>
      <c r="KZ267" s="1259"/>
      <c r="LA267" s="1259"/>
      <c r="LB267" s="1259"/>
      <c r="LC267" s="1259"/>
      <c r="LD267" s="1259"/>
      <c r="LE267" s="1259"/>
      <c r="LF267" s="1259"/>
      <c r="LG267" s="1259"/>
      <c r="LH267" s="1259"/>
      <c r="LI267" s="1259"/>
      <c r="LJ267" s="1259"/>
      <c r="LK267" s="1259"/>
      <c r="LL267" s="1259"/>
      <c r="LM267" s="1259"/>
      <c r="LN267" s="1259"/>
      <c r="LO267" s="1259"/>
      <c r="LP267" s="1259"/>
      <c r="LQ267" s="1259"/>
      <c r="LR267" s="1259"/>
      <c r="LS267" s="1259"/>
      <c r="LT267" s="1259"/>
      <c r="LU267" s="1259"/>
      <c r="LV267" s="1259"/>
      <c r="LW267" s="1259"/>
      <c r="LX267" s="1259"/>
      <c r="LY267" s="1259"/>
      <c r="LZ267" s="1259"/>
      <c r="MA267" s="1259"/>
      <c r="MB267" s="1259"/>
      <c r="MC267" s="1259"/>
      <c r="MD267" s="1259"/>
      <c r="ME267" s="1259"/>
      <c r="MF267" s="1259"/>
      <c r="MG267" s="1259"/>
      <c r="MH267" s="1259"/>
      <c r="MI267" s="1259"/>
      <c r="MJ267" s="1259"/>
      <c r="MK267" s="1259"/>
      <c r="ML267" s="1259"/>
      <c r="MM267" s="1259"/>
      <c r="MN267" s="1259"/>
      <c r="MO267" s="1259"/>
      <c r="MP267" s="1259"/>
      <c r="MQ267" s="1259"/>
      <c r="MR267" s="1259"/>
      <c r="MS267" s="1259"/>
      <c r="MT267" s="1259"/>
      <c r="MU267" s="1259"/>
      <c r="MV267" s="1259"/>
      <c r="MW267" s="1259"/>
      <c r="MX267" s="1259"/>
      <c r="MY267" s="1259"/>
      <c r="MZ267" s="1259"/>
      <c r="NA267" s="1259"/>
      <c r="NB267" s="1259"/>
      <c r="NC267" s="1259"/>
      <c r="ND267" s="1259"/>
      <c r="NE267" s="1259"/>
      <c r="NF267" s="1259"/>
      <c r="NG267" s="1259"/>
      <c r="NH267" s="1259"/>
      <c r="NI267" s="1259"/>
      <c r="NJ267" s="1259"/>
      <c r="NK267" s="1259"/>
      <c r="NL267" s="1259"/>
      <c r="NM267" s="1259"/>
      <c r="NN267" s="1259"/>
      <c r="NO267" s="1259"/>
      <c r="NP267" s="1259"/>
      <c r="NQ267" s="1259"/>
      <c r="NR267" s="1259"/>
      <c r="NS267" s="1259"/>
      <c r="NT267" s="1259"/>
      <c r="NU267" s="1259"/>
      <c r="NV267" s="1259"/>
      <c r="NW267" s="1259"/>
      <c r="NX267" s="1259"/>
      <c r="NY267" s="1259"/>
      <c r="NZ267" s="1259"/>
      <c r="OA267" s="1259"/>
      <c r="OB267" s="1259"/>
      <c r="OC267" s="1259"/>
      <c r="OD267" s="1259"/>
      <c r="OE267" s="1259"/>
      <c r="OF267" s="1259"/>
      <c r="OG267" s="1259"/>
      <c r="OH267" s="1259"/>
      <c r="OI267" s="1259"/>
      <c r="OJ267" s="1259"/>
      <c r="OK267" s="1259"/>
      <c r="OL267" s="1259"/>
      <c r="OM267" s="1259"/>
      <c r="ON267" s="1259"/>
      <c r="OO267" s="1259"/>
      <c r="OP267" s="1259"/>
      <c r="OQ267" s="1259"/>
      <c r="OR267" s="1259"/>
      <c r="OS267" s="1259"/>
      <c r="OT267" s="1259"/>
      <c r="OU267" s="1259"/>
      <c r="OV267" s="1259"/>
      <c r="OW267" s="1259"/>
      <c r="OX267" s="1259"/>
      <c r="OY267" s="1259"/>
      <c r="OZ267" s="1259"/>
      <c r="PA267" s="1259"/>
      <c r="PB267" s="1259"/>
      <c r="PC267" s="1259"/>
      <c r="PD267" s="1259"/>
      <c r="PE267" s="1259"/>
      <c r="PF267" s="1259"/>
      <c r="PG267" s="1259"/>
      <c r="PH267" s="1259"/>
      <c r="PI267" s="1259"/>
      <c r="PJ267" s="1259"/>
      <c r="PK267" s="1259"/>
      <c r="PL267" s="1259"/>
      <c r="PM267" s="1259"/>
      <c r="PN267" s="1259"/>
      <c r="PO267" s="1259"/>
      <c r="PP267" s="1259"/>
      <c r="PQ267" s="1259"/>
      <c r="PR267" s="1259"/>
      <c r="PS267" s="1259"/>
      <c r="PT267" s="1259"/>
      <c r="PU267" s="1259"/>
      <c r="PV267" s="1259"/>
      <c r="PW267" s="1259"/>
      <c r="PX267" s="1259"/>
      <c r="PY267" s="1259"/>
      <c r="PZ267" s="1259"/>
      <c r="QA267" s="1259"/>
      <c r="QB267" s="1259"/>
      <c r="QC267" s="1259"/>
      <c r="QD267" s="1259"/>
      <c r="QE267" s="1259"/>
      <c r="QF267" s="1259"/>
      <c r="QG267" s="1259"/>
      <c r="QH267" s="1259"/>
      <c r="QI267" s="1259"/>
      <c r="QJ267" s="1259"/>
      <c r="QK267" s="1259"/>
      <c r="QL267" s="1259"/>
      <c r="QM267" s="1259"/>
      <c r="QN267" s="1259"/>
      <c r="QO267" s="1259"/>
      <c r="QP267" s="1259"/>
      <c r="QQ267" s="1259"/>
      <c r="QR267" s="1259"/>
      <c r="QS267" s="1259"/>
      <c r="QT267" s="1259"/>
      <c r="QU267" s="1259"/>
      <c r="QV267" s="1259"/>
      <c r="QW267" s="1259"/>
      <c r="QX267" s="1259"/>
      <c r="QY267" s="1259"/>
      <c r="QZ267" s="1259"/>
      <c r="RA267" s="1259"/>
      <c r="RB267" s="1259"/>
      <c r="RC267" s="1259"/>
      <c r="RD267" s="1259"/>
      <c r="RE267" s="1259"/>
      <c r="RF267" s="1259"/>
      <c r="RG267" s="1259"/>
      <c r="RH267" s="1259"/>
      <c r="RI267" s="1259"/>
      <c r="RJ267" s="1259"/>
      <c r="RK267" s="1259"/>
      <c r="RL267" s="1259"/>
      <c r="RM267" s="1259"/>
      <c r="RN267" s="1259"/>
      <c r="RO267" s="1259"/>
      <c r="RP267" s="1259"/>
      <c r="RQ267" s="1259"/>
      <c r="RR267" s="1259"/>
      <c r="RS267" s="1259"/>
      <c r="RT267" s="1259"/>
      <c r="RU267" s="1259"/>
      <c r="RV267" s="1259"/>
      <c r="RW267" s="1259"/>
      <c r="RX267" s="1259"/>
      <c r="RY267" s="1259"/>
      <c r="RZ267" s="1259"/>
      <c r="SA267" s="1259"/>
      <c r="SB267" s="1259"/>
      <c r="SC267" s="1259"/>
      <c r="SD267" s="1259"/>
      <c r="SE267" s="1259"/>
      <c r="SF267" s="1259"/>
      <c r="SG267" s="1259"/>
      <c r="SH267" s="1259"/>
      <c r="SI267" s="1259"/>
      <c r="SJ267" s="1259"/>
      <c r="SK267" s="1259"/>
      <c r="SL267" s="1259"/>
      <c r="SM267" s="1259"/>
      <c r="SN267" s="1259"/>
      <c r="SO267" s="1259"/>
      <c r="SP267" s="1259"/>
      <c r="SQ267" s="1259"/>
      <c r="SR267" s="1259"/>
      <c r="SS267" s="1259"/>
      <c r="ST267" s="1259"/>
      <c r="SU267" s="1259"/>
      <c r="SV267" s="1259"/>
      <c r="SW267" s="1259"/>
      <c r="SX267" s="1259"/>
      <c r="SY267" s="1259"/>
      <c r="SZ267" s="1259"/>
      <c r="TA267" s="1259"/>
      <c r="TB267" s="1259"/>
      <c r="TC267" s="1259"/>
      <c r="TD267" s="1259"/>
      <c r="TE267" s="1259"/>
      <c r="TF267" s="1259"/>
      <c r="TG267" s="1259"/>
      <c r="TH267" s="1259"/>
      <c r="TI267" s="1259"/>
      <c r="TJ267" s="1259"/>
      <c r="TK267" s="1259"/>
      <c r="TL267" s="1259"/>
      <c r="TM267" s="1259"/>
      <c r="TN267" s="1259"/>
      <c r="TO267" s="1259"/>
      <c r="TP267" s="1259"/>
      <c r="TQ267" s="1259"/>
      <c r="TR267" s="1259"/>
      <c r="TS267" s="1259"/>
      <c r="TT267" s="1259"/>
      <c r="TU267" s="1259"/>
      <c r="TV267" s="1259"/>
      <c r="TW267" s="1259"/>
      <c r="TX267" s="1259"/>
      <c r="TY267" s="1259"/>
      <c r="TZ267" s="1259"/>
      <c r="UA267" s="1259"/>
      <c r="UB267" s="1259"/>
      <c r="UC267" s="1259"/>
      <c r="UD267" s="1259"/>
      <c r="UE267" s="1259"/>
      <c r="UF267" s="1259"/>
      <c r="UG267" s="1261"/>
    </row>
    <row r="268" spans="1:553" s="1262" customFormat="1" ht="48" customHeight="1">
      <c r="A268" s="406"/>
      <c r="B268" s="406"/>
      <c r="C268" s="517" t="s">
        <v>1068</v>
      </c>
      <c r="D268" s="518"/>
      <c r="E268" s="518"/>
      <c r="F268" s="1232"/>
      <c r="G268" s="407" t="s">
        <v>196</v>
      </c>
      <c r="H268" s="519"/>
      <c r="I268" s="409">
        <f>(94.81*100/10000)*8</f>
        <v>7.5848000000000004</v>
      </c>
      <c r="J268" s="521">
        <v>7100</v>
      </c>
      <c r="K268" s="522"/>
      <c r="L268" s="520">
        <f>ROUND(PRODUCT(I268:K268),0)</f>
        <v>53852</v>
      </c>
      <c r="M268" s="366"/>
      <c r="N268" s="366"/>
      <c r="O268" s="366"/>
      <c r="P268" s="366"/>
      <c r="Q268" s="1136"/>
      <c r="R268" s="1447"/>
      <c r="S268" s="308"/>
      <c r="T268" s="303"/>
      <c r="U268" s="306"/>
      <c r="V268" s="307"/>
      <c r="W268" s="306"/>
      <c r="X268" s="306"/>
      <c r="Y268" s="306"/>
      <c r="Z268" s="306"/>
      <c r="AA268" s="306"/>
      <c r="AB268" s="306"/>
      <c r="AC268" s="449"/>
      <c r="AD268" s="452"/>
      <c r="AE268" s="452"/>
      <c r="AF268" s="452"/>
      <c r="AG268" s="452"/>
      <c r="AH268" s="452"/>
      <c r="AI268" s="452"/>
      <c r="AJ268" s="452"/>
      <c r="AK268" s="452"/>
      <c r="AL268" s="1259"/>
      <c r="AM268" s="1259"/>
      <c r="AN268" s="1259"/>
      <c r="AO268" s="1259"/>
      <c r="AP268" s="1259"/>
      <c r="AQ268" s="1259"/>
      <c r="AR268" s="1259"/>
      <c r="AS268" s="1259"/>
      <c r="AT268" s="1259"/>
      <c r="AU268" s="1259"/>
      <c r="AV268" s="1259"/>
      <c r="AW268" s="1259"/>
      <c r="AX268" s="1259"/>
      <c r="AY268" s="1259"/>
      <c r="AZ268" s="1259"/>
      <c r="BA268" s="1259"/>
      <c r="BB268" s="1259"/>
      <c r="BC268" s="1259"/>
      <c r="BD268" s="1259"/>
      <c r="BE268" s="1259"/>
      <c r="BF268" s="1259"/>
      <c r="BG268" s="1259"/>
      <c r="BH268" s="1259"/>
      <c r="BI268" s="1259"/>
      <c r="BJ268" s="1259"/>
      <c r="BK268" s="1259"/>
      <c r="BL268" s="1259"/>
      <c r="BM268" s="1259"/>
      <c r="BN268" s="1259"/>
      <c r="BO268" s="1259"/>
      <c r="BP268" s="1259"/>
      <c r="BQ268" s="1259"/>
      <c r="BR268" s="1259"/>
      <c r="BS268" s="1259"/>
      <c r="BT268" s="1259"/>
      <c r="BU268" s="1259"/>
      <c r="BV268" s="1259"/>
      <c r="BW268" s="1259"/>
      <c r="BX268" s="1259"/>
      <c r="BY268" s="1259"/>
      <c r="BZ268" s="1259"/>
      <c r="CA268" s="1259"/>
      <c r="CB268" s="1259"/>
      <c r="CC268" s="1259"/>
      <c r="CD268" s="1259"/>
      <c r="CE268" s="1259"/>
      <c r="CF268" s="1259"/>
      <c r="CG268" s="1259"/>
      <c r="CH268" s="1259"/>
      <c r="CI268" s="1259"/>
      <c r="CJ268" s="1259"/>
      <c r="CK268" s="1259"/>
      <c r="CL268" s="1259"/>
      <c r="CM268" s="1259"/>
      <c r="CN268" s="1259"/>
      <c r="CO268" s="1259"/>
      <c r="CP268" s="1259"/>
      <c r="CQ268" s="1259"/>
      <c r="CR268" s="1259"/>
      <c r="CS268" s="1259"/>
      <c r="CT268" s="1259"/>
      <c r="CU268" s="1259"/>
      <c r="CV268" s="1259"/>
      <c r="CW268" s="1259"/>
      <c r="CX268" s="1259"/>
      <c r="CY268" s="1259"/>
      <c r="CZ268" s="1259"/>
      <c r="DA268" s="1259"/>
      <c r="DB268" s="1259"/>
      <c r="DC268" s="1259"/>
      <c r="DD268" s="1259"/>
      <c r="DE268" s="1259"/>
      <c r="DF268" s="1259"/>
      <c r="DG268" s="1259"/>
      <c r="DH268" s="1259"/>
      <c r="DI268" s="1259"/>
      <c r="DJ268" s="1259"/>
      <c r="DK268" s="1259"/>
      <c r="DL268" s="1259"/>
      <c r="DM268" s="1259"/>
      <c r="DN268" s="1259"/>
      <c r="DO268" s="1259"/>
      <c r="DP268" s="1259"/>
      <c r="DQ268" s="1259"/>
      <c r="DR268" s="1259"/>
      <c r="DS268" s="1259"/>
      <c r="DT268" s="1259"/>
      <c r="DU268" s="1259"/>
      <c r="DV268" s="1259"/>
      <c r="DW268" s="1259"/>
      <c r="DX268" s="1259"/>
      <c r="DY268" s="1259"/>
      <c r="DZ268" s="1259"/>
      <c r="EA268" s="1259"/>
      <c r="EB268" s="1259"/>
      <c r="EC268" s="1259"/>
      <c r="ED268" s="1259"/>
      <c r="EE268" s="1259"/>
      <c r="EF268" s="1259"/>
      <c r="EG268" s="1259"/>
      <c r="EH268" s="1259"/>
      <c r="EI268" s="1259"/>
      <c r="EJ268" s="1259"/>
      <c r="EK268" s="1259"/>
      <c r="EL268" s="1259"/>
      <c r="EM268" s="1259"/>
      <c r="EN268" s="1259"/>
      <c r="EO268" s="1259"/>
      <c r="EP268" s="1259"/>
      <c r="EQ268" s="1259"/>
      <c r="ER268" s="1259"/>
      <c r="ES268" s="1259"/>
      <c r="ET268" s="1259"/>
      <c r="EU268" s="1259"/>
      <c r="EV268" s="1259"/>
      <c r="EW268" s="1259"/>
      <c r="EX268" s="1259"/>
      <c r="EY268" s="1259"/>
      <c r="EZ268" s="1259"/>
      <c r="FA268" s="1259"/>
      <c r="FB268" s="1259"/>
      <c r="FC268" s="1259"/>
      <c r="FD268" s="1259"/>
      <c r="FE268" s="1259"/>
      <c r="FF268" s="1259"/>
      <c r="FG268" s="1259"/>
      <c r="FH268" s="1259"/>
      <c r="FI268" s="1259"/>
      <c r="FJ268" s="1259"/>
      <c r="FK268" s="1259"/>
      <c r="FL268" s="1259"/>
      <c r="FM268" s="1259"/>
      <c r="FN268" s="1259"/>
      <c r="FO268" s="1259"/>
      <c r="FP268" s="1259"/>
      <c r="FQ268" s="1259"/>
      <c r="FR268" s="1259"/>
      <c r="FS268" s="1259"/>
      <c r="FT268" s="1259"/>
      <c r="FU268" s="1259"/>
      <c r="FV268" s="1259"/>
      <c r="FW268" s="1259"/>
      <c r="FX268" s="1259"/>
      <c r="FY268" s="1259"/>
      <c r="FZ268" s="1259"/>
      <c r="GA268" s="1259"/>
      <c r="GB268" s="1259"/>
      <c r="GC268" s="1259"/>
      <c r="GD268" s="1259"/>
      <c r="GE268" s="1259"/>
      <c r="GF268" s="1259"/>
      <c r="GG268" s="1259"/>
      <c r="GH268" s="1259"/>
      <c r="GI268" s="1259"/>
      <c r="GJ268" s="1259"/>
      <c r="GK268" s="1259"/>
      <c r="GL268" s="1259"/>
      <c r="GM268" s="1259"/>
      <c r="GN268" s="1259"/>
      <c r="GO268" s="1259"/>
      <c r="GP268" s="1259"/>
      <c r="GQ268" s="1259"/>
      <c r="GR268" s="1259"/>
      <c r="GS268" s="1259"/>
      <c r="GT268" s="1259"/>
      <c r="GU268" s="1259"/>
      <c r="GV268" s="1259"/>
      <c r="GW268" s="1259"/>
      <c r="GX268" s="1259"/>
      <c r="GY268" s="1259"/>
      <c r="GZ268" s="1259"/>
      <c r="HA268" s="1259"/>
      <c r="HB268" s="1259"/>
      <c r="HC268" s="1259"/>
      <c r="HD268" s="1259"/>
      <c r="HE268" s="1259"/>
      <c r="HF268" s="1259"/>
      <c r="HG268" s="1259"/>
      <c r="HH268" s="1259"/>
      <c r="HI268" s="1259"/>
      <c r="HJ268" s="1259"/>
      <c r="HK268" s="1259"/>
      <c r="HL268" s="1259"/>
      <c r="HM268" s="1259"/>
      <c r="HN268" s="1259"/>
      <c r="HO268" s="1259"/>
      <c r="HP268" s="1259"/>
      <c r="HQ268" s="1259"/>
      <c r="HR268" s="1259"/>
      <c r="HS268" s="1259"/>
      <c r="HT268" s="1259"/>
      <c r="HU268" s="1259"/>
      <c r="HV268" s="1259"/>
      <c r="HW268" s="1259"/>
      <c r="HX268" s="1259"/>
      <c r="HY268" s="1259"/>
      <c r="HZ268" s="1259"/>
      <c r="IA268" s="1259"/>
      <c r="IB268" s="1259"/>
      <c r="IC268" s="1259"/>
      <c r="ID268" s="1259"/>
      <c r="IE268" s="1259"/>
      <c r="IF268" s="1259"/>
      <c r="IG268" s="1259"/>
      <c r="IH268" s="1259"/>
      <c r="II268" s="1259"/>
      <c r="IJ268" s="1259"/>
      <c r="IK268" s="1259"/>
      <c r="IL268" s="1259"/>
      <c r="IM268" s="1259"/>
      <c r="IN268" s="1259"/>
      <c r="IO268" s="1259"/>
      <c r="IP268" s="1259"/>
      <c r="IQ268" s="1259"/>
      <c r="IR268" s="1259"/>
      <c r="IS268" s="1259"/>
      <c r="IT268" s="1259"/>
      <c r="IU268" s="1259"/>
      <c r="IV268" s="1259"/>
      <c r="IW268" s="1259"/>
      <c r="IX268" s="1259"/>
      <c r="IY268" s="1259"/>
      <c r="IZ268" s="1259"/>
      <c r="JA268" s="1259"/>
      <c r="JB268" s="1259"/>
      <c r="JC268" s="1259"/>
      <c r="JD268" s="1259"/>
      <c r="JE268" s="1259"/>
      <c r="JF268" s="1259"/>
      <c r="JG268" s="1259"/>
      <c r="JH268" s="1259"/>
      <c r="JI268" s="1259"/>
      <c r="JJ268" s="1259"/>
      <c r="JK268" s="1259"/>
      <c r="JL268" s="1259"/>
      <c r="JM268" s="1259"/>
      <c r="JN268" s="1259"/>
      <c r="JO268" s="1259"/>
      <c r="JP268" s="1259"/>
      <c r="JQ268" s="1259"/>
      <c r="JR268" s="1259"/>
      <c r="JS268" s="1259"/>
      <c r="JT268" s="1259"/>
      <c r="JU268" s="1259"/>
      <c r="JV268" s="1259"/>
      <c r="JW268" s="1259"/>
      <c r="JX268" s="1259"/>
      <c r="JY268" s="1259"/>
      <c r="JZ268" s="1259"/>
      <c r="KA268" s="1259"/>
      <c r="KB268" s="1259"/>
      <c r="KC268" s="1259"/>
      <c r="KD268" s="1259"/>
      <c r="KE268" s="1259"/>
      <c r="KF268" s="1259"/>
      <c r="KG268" s="1259"/>
      <c r="KH268" s="1259"/>
      <c r="KI268" s="1259"/>
      <c r="KJ268" s="1259"/>
      <c r="KK268" s="1259"/>
      <c r="KL268" s="1259"/>
      <c r="KM268" s="1259"/>
      <c r="KN268" s="1259"/>
      <c r="KO268" s="1259"/>
      <c r="KP268" s="1259"/>
      <c r="KQ268" s="1259"/>
      <c r="KR268" s="1259"/>
      <c r="KS268" s="1259"/>
      <c r="KT268" s="1259"/>
      <c r="KU268" s="1259"/>
      <c r="KV268" s="1259"/>
      <c r="KW268" s="1259"/>
      <c r="KX268" s="1259"/>
      <c r="KY268" s="1259"/>
      <c r="KZ268" s="1259"/>
      <c r="LA268" s="1259"/>
      <c r="LB268" s="1259"/>
      <c r="LC268" s="1259"/>
      <c r="LD268" s="1259"/>
      <c r="LE268" s="1259"/>
      <c r="LF268" s="1259"/>
      <c r="LG268" s="1259"/>
      <c r="LH268" s="1259"/>
      <c r="LI268" s="1259"/>
      <c r="LJ268" s="1259"/>
      <c r="LK268" s="1259"/>
      <c r="LL268" s="1259"/>
      <c r="LM268" s="1259"/>
      <c r="LN268" s="1259"/>
      <c r="LO268" s="1259"/>
      <c r="LP268" s="1259"/>
      <c r="LQ268" s="1259"/>
      <c r="LR268" s="1259"/>
      <c r="LS268" s="1259"/>
      <c r="LT268" s="1259"/>
      <c r="LU268" s="1259"/>
      <c r="LV268" s="1259"/>
      <c r="LW268" s="1259"/>
      <c r="LX268" s="1259"/>
      <c r="LY268" s="1259"/>
      <c r="LZ268" s="1259"/>
      <c r="MA268" s="1259"/>
      <c r="MB268" s="1259"/>
      <c r="MC268" s="1259"/>
      <c r="MD268" s="1259"/>
      <c r="ME268" s="1259"/>
      <c r="MF268" s="1259"/>
      <c r="MG268" s="1259"/>
      <c r="MH268" s="1259"/>
      <c r="MI268" s="1259"/>
      <c r="MJ268" s="1259"/>
      <c r="MK268" s="1259"/>
      <c r="ML268" s="1259"/>
      <c r="MM268" s="1259"/>
      <c r="MN268" s="1259"/>
      <c r="MO268" s="1259"/>
      <c r="MP268" s="1259"/>
      <c r="MQ268" s="1259"/>
      <c r="MR268" s="1259"/>
      <c r="MS268" s="1259"/>
      <c r="MT268" s="1259"/>
      <c r="MU268" s="1259"/>
      <c r="MV268" s="1259"/>
      <c r="MW268" s="1259"/>
      <c r="MX268" s="1259"/>
      <c r="MY268" s="1259"/>
      <c r="MZ268" s="1259"/>
      <c r="NA268" s="1259"/>
      <c r="NB268" s="1259"/>
      <c r="NC268" s="1259"/>
      <c r="ND268" s="1259"/>
      <c r="NE268" s="1259"/>
      <c r="NF268" s="1259"/>
      <c r="NG268" s="1259"/>
      <c r="NH268" s="1259"/>
      <c r="NI268" s="1259"/>
      <c r="NJ268" s="1259"/>
      <c r="NK268" s="1259"/>
      <c r="NL268" s="1259"/>
      <c r="NM268" s="1259"/>
      <c r="NN268" s="1259"/>
      <c r="NO268" s="1259"/>
      <c r="NP268" s="1259"/>
      <c r="NQ268" s="1259"/>
      <c r="NR268" s="1259"/>
      <c r="NS268" s="1259"/>
      <c r="NT268" s="1259"/>
      <c r="NU268" s="1259"/>
      <c r="NV268" s="1259"/>
      <c r="NW268" s="1259"/>
      <c r="NX268" s="1259"/>
      <c r="NY268" s="1259"/>
      <c r="NZ268" s="1259"/>
      <c r="OA268" s="1259"/>
      <c r="OB268" s="1259"/>
      <c r="OC268" s="1259"/>
      <c r="OD268" s="1259"/>
      <c r="OE268" s="1259"/>
      <c r="OF268" s="1259"/>
      <c r="OG268" s="1259"/>
      <c r="OH268" s="1259"/>
      <c r="OI268" s="1259"/>
      <c r="OJ268" s="1259"/>
      <c r="OK268" s="1259"/>
      <c r="OL268" s="1259"/>
      <c r="OM268" s="1259"/>
      <c r="ON268" s="1259"/>
      <c r="OO268" s="1259"/>
      <c r="OP268" s="1259"/>
      <c r="OQ268" s="1259"/>
      <c r="OR268" s="1259"/>
      <c r="OS268" s="1259"/>
      <c r="OT268" s="1259"/>
      <c r="OU268" s="1259"/>
      <c r="OV268" s="1259"/>
      <c r="OW268" s="1259"/>
      <c r="OX268" s="1259"/>
      <c r="OY268" s="1259"/>
      <c r="OZ268" s="1259"/>
      <c r="PA268" s="1259"/>
      <c r="PB268" s="1259"/>
      <c r="PC268" s="1259"/>
      <c r="PD268" s="1259"/>
      <c r="PE268" s="1259"/>
      <c r="PF268" s="1259"/>
      <c r="PG268" s="1259"/>
      <c r="PH268" s="1259"/>
      <c r="PI268" s="1259"/>
      <c r="PJ268" s="1259"/>
      <c r="PK268" s="1259"/>
      <c r="PL268" s="1259"/>
      <c r="PM268" s="1259"/>
      <c r="PN268" s="1259"/>
      <c r="PO268" s="1259"/>
      <c r="PP268" s="1259"/>
      <c r="PQ268" s="1259"/>
      <c r="PR268" s="1259"/>
      <c r="PS268" s="1259"/>
      <c r="PT268" s="1259"/>
      <c r="PU268" s="1259"/>
      <c r="PV268" s="1259"/>
      <c r="PW268" s="1259"/>
      <c r="PX268" s="1259"/>
      <c r="PY268" s="1259"/>
      <c r="PZ268" s="1259"/>
      <c r="QA268" s="1259"/>
      <c r="QB268" s="1259"/>
      <c r="QC268" s="1259"/>
      <c r="QD268" s="1259"/>
      <c r="QE268" s="1259"/>
      <c r="QF268" s="1259"/>
      <c r="QG268" s="1259"/>
      <c r="QH268" s="1259"/>
      <c r="QI268" s="1259"/>
      <c r="QJ268" s="1259"/>
      <c r="QK268" s="1259"/>
      <c r="QL268" s="1259"/>
      <c r="QM268" s="1259"/>
      <c r="QN268" s="1259"/>
      <c r="QO268" s="1259"/>
      <c r="QP268" s="1259"/>
      <c r="QQ268" s="1259"/>
      <c r="QR268" s="1259"/>
      <c r="QS268" s="1259"/>
      <c r="QT268" s="1259"/>
      <c r="QU268" s="1259"/>
      <c r="QV268" s="1259"/>
      <c r="QW268" s="1259"/>
      <c r="QX268" s="1259"/>
      <c r="QY268" s="1259"/>
      <c r="QZ268" s="1259"/>
      <c r="RA268" s="1259"/>
      <c r="RB268" s="1259"/>
      <c r="RC268" s="1259"/>
      <c r="RD268" s="1259"/>
      <c r="RE268" s="1259"/>
      <c r="RF268" s="1259"/>
      <c r="RG268" s="1259"/>
      <c r="RH268" s="1259"/>
      <c r="RI268" s="1259"/>
      <c r="RJ268" s="1259"/>
      <c r="RK268" s="1259"/>
      <c r="RL268" s="1259"/>
      <c r="RM268" s="1259"/>
      <c r="RN268" s="1259"/>
      <c r="RO268" s="1259"/>
      <c r="RP268" s="1259"/>
      <c r="RQ268" s="1259"/>
      <c r="RR268" s="1259"/>
      <c r="RS268" s="1259"/>
      <c r="RT268" s="1259"/>
      <c r="RU268" s="1259"/>
      <c r="RV268" s="1259"/>
      <c r="RW268" s="1259"/>
      <c r="RX268" s="1259"/>
      <c r="RY268" s="1259"/>
      <c r="RZ268" s="1259"/>
      <c r="SA268" s="1259"/>
      <c r="SB268" s="1259"/>
      <c r="SC268" s="1259"/>
      <c r="SD268" s="1259"/>
      <c r="SE268" s="1259"/>
      <c r="SF268" s="1259"/>
      <c r="SG268" s="1259"/>
      <c r="SH268" s="1259"/>
      <c r="SI268" s="1259"/>
      <c r="SJ268" s="1259"/>
      <c r="SK268" s="1259"/>
      <c r="SL268" s="1259"/>
      <c r="SM268" s="1259"/>
      <c r="SN268" s="1259"/>
      <c r="SO268" s="1259"/>
      <c r="SP268" s="1259"/>
      <c r="SQ268" s="1259"/>
      <c r="SR268" s="1259"/>
      <c r="SS268" s="1259"/>
      <c r="ST268" s="1259"/>
      <c r="SU268" s="1259"/>
      <c r="SV268" s="1259"/>
      <c r="SW268" s="1259"/>
      <c r="SX268" s="1259"/>
      <c r="SY268" s="1259"/>
      <c r="SZ268" s="1259"/>
      <c r="TA268" s="1259"/>
      <c r="TB268" s="1259"/>
      <c r="TC268" s="1259"/>
      <c r="TD268" s="1259"/>
      <c r="TE268" s="1259"/>
      <c r="TF268" s="1259"/>
      <c r="TG268" s="1259"/>
      <c r="TH268" s="1259"/>
      <c r="TI268" s="1259"/>
      <c r="TJ268" s="1259"/>
      <c r="TK268" s="1259"/>
      <c r="TL268" s="1259"/>
      <c r="TM268" s="1259"/>
      <c r="TN268" s="1259"/>
      <c r="TO268" s="1259"/>
      <c r="TP268" s="1259"/>
      <c r="TQ268" s="1259"/>
      <c r="TR268" s="1259"/>
      <c r="TS268" s="1259"/>
      <c r="TT268" s="1259"/>
      <c r="TU268" s="1259"/>
      <c r="TV268" s="1259"/>
      <c r="TW268" s="1259"/>
      <c r="TX268" s="1259"/>
      <c r="TY268" s="1259"/>
      <c r="TZ268" s="1259"/>
      <c r="UA268" s="1259"/>
      <c r="UB268" s="1259"/>
      <c r="UC268" s="1259"/>
      <c r="UD268" s="1259"/>
      <c r="UE268" s="1259"/>
      <c r="UF268" s="1259"/>
      <c r="UG268" s="1261"/>
    </row>
    <row r="269" spans="1:553" s="1262" customFormat="1" ht="48" customHeight="1">
      <c r="A269" s="1226"/>
      <c r="B269" s="1226"/>
      <c r="C269" s="1240" t="s">
        <v>1069</v>
      </c>
      <c r="D269" s="1216"/>
      <c r="E269" s="1216"/>
      <c r="F269" s="1227"/>
      <c r="G269" s="303" t="s">
        <v>196</v>
      </c>
      <c r="H269" s="502"/>
      <c r="I269" s="423">
        <f>178.69*100/10000*4</f>
        <v>7.1475999999999997</v>
      </c>
      <c r="J269" s="1243">
        <v>19200</v>
      </c>
      <c r="K269" s="509"/>
      <c r="L269" s="421">
        <f>ROUND(PRODUCT(I269:K269),0)</f>
        <v>137234</v>
      </c>
      <c r="M269" s="366"/>
      <c r="N269" s="366"/>
      <c r="O269" s="366"/>
      <c r="P269" s="366"/>
      <c r="Q269" s="1136"/>
      <c r="R269" s="1447"/>
      <c r="S269" s="308"/>
      <c r="T269" s="303"/>
      <c r="U269" s="306"/>
      <c r="V269" s="307"/>
      <c r="W269" s="306"/>
      <c r="X269" s="306"/>
      <c r="Y269" s="306"/>
      <c r="Z269" s="306"/>
      <c r="AA269" s="306"/>
      <c r="AB269" s="306"/>
      <c r="AC269" s="449"/>
      <c r="AD269" s="452"/>
      <c r="AE269" s="452"/>
      <c r="AF269" s="452"/>
      <c r="AG269" s="452"/>
      <c r="AH269" s="452"/>
      <c r="AI269" s="452"/>
      <c r="AJ269" s="452"/>
      <c r="AK269" s="452"/>
      <c r="AL269" s="1259"/>
      <c r="AM269" s="1259"/>
      <c r="AN269" s="1259"/>
      <c r="AO269" s="1259"/>
      <c r="AP269" s="1259"/>
      <c r="AQ269" s="1259"/>
      <c r="AR269" s="1259"/>
      <c r="AS269" s="1259"/>
      <c r="AT269" s="1259"/>
      <c r="AU269" s="1259"/>
      <c r="AV269" s="1259"/>
      <c r="AW269" s="1259"/>
      <c r="AX269" s="1259"/>
      <c r="AY269" s="1259"/>
      <c r="AZ269" s="1259"/>
      <c r="BA269" s="1259"/>
      <c r="BB269" s="1259"/>
      <c r="BC269" s="1259"/>
      <c r="BD269" s="1259"/>
      <c r="BE269" s="1259"/>
      <c r="BF269" s="1259"/>
      <c r="BG269" s="1259"/>
      <c r="BH269" s="1259"/>
      <c r="BI269" s="1259"/>
      <c r="BJ269" s="1259"/>
      <c r="BK269" s="1259"/>
      <c r="BL269" s="1259"/>
      <c r="BM269" s="1259"/>
      <c r="BN269" s="1259"/>
      <c r="BO269" s="1259"/>
      <c r="BP269" s="1259"/>
      <c r="BQ269" s="1259"/>
      <c r="BR269" s="1259"/>
      <c r="BS269" s="1259"/>
      <c r="BT269" s="1259"/>
      <c r="BU269" s="1259"/>
      <c r="BV269" s="1259"/>
      <c r="BW269" s="1259"/>
      <c r="BX269" s="1259"/>
      <c r="BY269" s="1259"/>
      <c r="BZ269" s="1259"/>
      <c r="CA269" s="1259"/>
      <c r="CB269" s="1259"/>
      <c r="CC269" s="1259"/>
      <c r="CD269" s="1259"/>
      <c r="CE269" s="1259"/>
      <c r="CF269" s="1259"/>
      <c r="CG269" s="1259"/>
      <c r="CH269" s="1259"/>
      <c r="CI269" s="1259"/>
      <c r="CJ269" s="1259"/>
      <c r="CK269" s="1259"/>
      <c r="CL269" s="1259"/>
      <c r="CM269" s="1259"/>
      <c r="CN269" s="1259"/>
      <c r="CO269" s="1259"/>
      <c r="CP269" s="1259"/>
      <c r="CQ269" s="1259"/>
      <c r="CR269" s="1259"/>
      <c r="CS269" s="1259"/>
      <c r="CT269" s="1259"/>
      <c r="CU269" s="1259"/>
      <c r="CV269" s="1259"/>
      <c r="CW269" s="1259"/>
      <c r="CX269" s="1259"/>
      <c r="CY269" s="1259"/>
      <c r="CZ269" s="1259"/>
      <c r="DA269" s="1259"/>
      <c r="DB269" s="1259"/>
      <c r="DC269" s="1259"/>
      <c r="DD269" s="1259"/>
      <c r="DE269" s="1259"/>
      <c r="DF269" s="1259"/>
      <c r="DG269" s="1259"/>
      <c r="DH269" s="1259"/>
      <c r="DI269" s="1259"/>
      <c r="DJ269" s="1259"/>
      <c r="DK269" s="1259"/>
      <c r="DL269" s="1259"/>
      <c r="DM269" s="1259"/>
      <c r="DN269" s="1259"/>
      <c r="DO269" s="1259"/>
      <c r="DP269" s="1259"/>
      <c r="DQ269" s="1259"/>
      <c r="DR269" s="1259"/>
      <c r="DS269" s="1259"/>
      <c r="DT269" s="1259"/>
      <c r="DU269" s="1259"/>
      <c r="DV269" s="1259"/>
      <c r="DW269" s="1259"/>
      <c r="DX269" s="1259"/>
      <c r="DY269" s="1259"/>
      <c r="DZ269" s="1259"/>
      <c r="EA269" s="1259"/>
      <c r="EB269" s="1259"/>
      <c r="EC269" s="1259"/>
      <c r="ED269" s="1259"/>
      <c r="EE269" s="1259"/>
      <c r="EF269" s="1259"/>
      <c r="EG269" s="1259"/>
      <c r="EH269" s="1259"/>
      <c r="EI269" s="1259"/>
      <c r="EJ269" s="1259"/>
      <c r="EK269" s="1259"/>
      <c r="EL269" s="1259"/>
      <c r="EM269" s="1259"/>
      <c r="EN269" s="1259"/>
      <c r="EO269" s="1259"/>
      <c r="EP269" s="1259"/>
      <c r="EQ269" s="1259"/>
      <c r="ER269" s="1259"/>
      <c r="ES269" s="1259"/>
      <c r="ET269" s="1259"/>
      <c r="EU269" s="1259"/>
      <c r="EV269" s="1259"/>
      <c r="EW269" s="1259"/>
      <c r="EX269" s="1259"/>
      <c r="EY269" s="1259"/>
      <c r="EZ269" s="1259"/>
      <c r="FA269" s="1259"/>
      <c r="FB269" s="1259"/>
      <c r="FC269" s="1259"/>
      <c r="FD269" s="1259"/>
      <c r="FE269" s="1259"/>
      <c r="FF269" s="1259"/>
      <c r="FG269" s="1259"/>
      <c r="FH269" s="1259"/>
      <c r="FI269" s="1259"/>
      <c r="FJ269" s="1259"/>
      <c r="FK269" s="1259"/>
      <c r="FL269" s="1259"/>
      <c r="FM269" s="1259"/>
      <c r="FN269" s="1259"/>
      <c r="FO269" s="1259"/>
      <c r="FP269" s="1259"/>
      <c r="FQ269" s="1259"/>
      <c r="FR269" s="1259"/>
      <c r="FS269" s="1259"/>
      <c r="FT269" s="1259"/>
      <c r="FU269" s="1259"/>
      <c r="FV269" s="1259"/>
      <c r="FW269" s="1259"/>
      <c r="FX269" s="1259"/>
      <c r="FY269" s="1259"/>
      <c r="FZ269" s="1259"/>
      <c r="GA269" s="1259"/>
      <c r="GB269" s="1259"/>
      <c r="GC269" s="1259"/>
      <c r="GD269" s="1259"/>
      <c r="GE269" s="1259"/>
      <c r="GF269" s="1259"/>
      <c r="GG269" s="1259"/>
      <c r="GH269" s="1259"/>
      <c r="GI269" s="1259"/>
      <c r="GJ269" s="1259"/>
      <c r="GK269" s="1259"/>
      <c r="GL269" s="1259"/>
      <c r="GM269" s="1259"/>
      <c r="GN269" s="1259"/>
      <c r="GO269" s="1259"/>
      <c r="GP269" s="1259"/>
      <c r="GQ269" s="1259"/>
      <c r="GR269" s="1259"/>
      <c r="GS269" s="1259"/>
      <c r="GT269" s="1259"/>
      <c r="GU269" s="1259"/>
      <c r="GV269" s="1259"/>
      <c r="GW269" s="1259"/>
      <c r="GX269" s="1259"/>
      <c r="GY269" s="1259"/>
      <c r="GZ269" s="1259"/>
      <c r="HA269" s="1259"/>
      <c r="HB269" s="1259"/>
      <c r="HC269" s="1259"/>
      <c r="HD269" s="1259"/>
      <c r="HE269" s="1259"/>
      <c r="HF269" s="1259"/>
      <c r="HG269" s="1259"/>
      <c r="HH269" s="1259"/>
      <c r="HI269" s="1259"/>
      <c r="HJ269" s="1259"/>
      <c r="HK269" s="1259"/>
      <c r="HL269" s="1259"/>
      <c r="HM269" s="1259"/>
      <c r="HN269" s="1259"/>
      <c r="HO269" s="1259"/>
      <c r="HP269" s="1259"/>
      <c r="HQ269" s="1259"/>
      <c r="HR269" s="1259"/>
      <c r="HS269" s="1259"/>
      <c r="HT269" s="1259"/>
      <c r="HU269" s="1259"/>
      <c r="HV269" s="1259"/>
      <c r="HW269" s="1259"/>
      <c r="HX269" s="1259"/>
      <c r="HY269" s="1259"/>
      <c r="HZ269" s="1259"/>
      <c r="IA269" s="1259"/>
      <c r="IB269" s="1259"/>
      <c r="IC269" s="1259"/>
      <c r="ID269" s="1259"/>
      <c r="IE269" s="1259"/>
      <c r="IF269" s="1259"/>
      <c r="IG269" s="1259"/>
      <c r="IH269" s="1259"/>
      <c r="II269" s="1259"/>
      <c r="IJ269" s="1259"/>
      <c r="IK269" s="1259"/>
      <c r="IL269" s="1259"/>
      <c r="IM269" s="1259"/>
      <c r="IN269" s="1259"/>
      <c r="IO269" s="1259"/>
      <c r="IP269" s="1259"/>
      <c r="IQ269" s="1259"/>
      <c r="IR269" s="1259"/>
      <c r="IS269" s="1259"/>
      <c r="IT269" s="1259"/>
      <c r="IU269" s="1259"/>
      <c r="IV269" s="1259"/>
      <c r="IW269" s="1259"/>
      <c r="IX269" s="1259"/>
      <c r="IY269" s="1259"/>
      <c r="IZ269" s="1259"/>
      <c r="JA269" s="1259"/>
      <c r="JB269" s="1259"/>
      <c r="JC269" s="1259"/>
      <c r="JD269" s="1259"/>
      <c r="JE269" s="1259"/>
      <c r="JF269" s="1259"/>
      <c r="JG269" s="1259"/>
      <c r="JH269" s="1259"/>
      <c r="JI269" s="1259"/>
      <c r="JJ269" s="1259"/>
      <c r="JK269" s="1259"/>
      <c r="JL269" s="1259"/>
      <c r="JM269" s="1259"/>
      <c r="JN269" s="1259"/>
      <c r="JO269" s="1259"/>
      <c r="JP269" s="1259"/>
      <c r="JQ269" s="1259"/>
      <c r="JR269" s="1259"/>
      <c r="JS269" s="1259"/>
      <c r="JT269" s="1259"/>
      <c r="JU269" s="1259"/>
      <c r="JV269" s="1259"/>
      <c r="JW269" s="1259"/>
      <c r="JX269" s="1259"/>
      <c r="JY269" s="1259"/>
      <c r="JZ269" s="1259"/>
      <c r="KA269" s="1259"/>
      <c r="KB269" s="1259"/>
      <c r="KC269" s="1259"/>
      <c r="KD269" s="1259"/>
      <c r="KE269" s="1259"/>
      <c r="KF269" s="1259"/>
      <c r="KG269" s="1259"/>
      <c r="KH269" s="1259"/>
      <c r="KI269" s="1259"/>
      <c r="KJ269" s="1259"/>
      <c r="KK269" s="1259"/>
      <c r="KL269" s="1259"/>
      <c r="KM269" s="1259"/>
      <c r="KN269" s="1259"/>
      <c r="KO269" s="1259"/>
      <c r="KP269" s="1259"/>
      <c r="KQ269" s="1259"/>
      <c r="KR269" s="1259"/>
      <c r="KS269" s="1259"/>
      <c r="KT269" s="1259"/>
      <c r="KU269" s="1259"/>
      <c r="KV269" s="1259"/>
      <c r="KW269" s="1259"/>
      <c r="KX269" s="1259"/>
      <c r="KY269" s="1259"/>
      <c r="KZ269" s="1259"/>
      <c r="LA269" s="1259"/>
      <c r="LB269" s="1259"/>
      <c r="LC269" s="1259"/>
      <c r="LD269" s="1259"/>
      <c r="LE269" s="1259"/>
      <c r="LF269" s="1259"/>
      <c r="LG269" s="1259"/>
      <c r="LH269" s="1259"/>
      <c r="LI269" s="1259"/>
      <c r="LJ269" s="1259"/>
      <c r="LK269" s="1259"/>
      <c r="LL269" s="1259"/>
      <c r="LM269" s="1259"/>
      <c r="LN269" s="1259"/>
      <c r="LO269" s="1259"/>
      <c r="LP269" s="1259"/>
      <c r="LQ269" s="1259"/>
      <c r="LR269" s="1259"/>
      <c r="LS269" s="1259"/>
      <c r="LT269" s="1259"/>
      <c r="LU269" s="1259"/>
      <c r="LV269" s="1259"/>
      <c r="LW269" s="1259"/>
      <c r="LX269" s="1259"/>
      <c r="LY269" s="1259"/>
      <c r="LZ269" s="1259"/>
      <c r="MA269" s="1259"/>
      <c r="MB269" s="1259"/>
      <c r="MC269" s="1259"/>
      <c r="MD269" s="1259"/>
      <c r="ME269" s="1259"/>
      <c r="MF269" s="1259"/>
      <c r="MG269" s="1259"/>
      <c r="MH269" s="1259"/>
      <c r="MI269" s="1259"/>
      <c r="MJ269" s="1259"/>
      <c r="MK269" s="1259"/>
      <c r="ML269" s="1259"/>
      <c r="MM269" s="1259"/>
      <c r="MN269" s="1259"/>
      <c r="MO269" s="1259"/>
      <c r="MP269" s="1259"/>
      <c r="MQ269" s="1259"/>
      <c r="MR269" s="1259"/>
      <c r="MS269" s="1259"/>
      <c r="MT269" s="1259"/>
      <c r="MU269" s="1259"/>
      <c r="MV269" s="1259"/>
      <c r="MW269" s="1259"/>
      <c r="MX269" s="1259"/>
      <c r="MY269" s="1259"/>
      <c r="MZ269" s="1259"/>
      <c r="NA269" s="1259"/>
      <c r="NB269" s="1259"/>
      <c r="NC269" s="1259"/>
      <c r="ND269" s="1259"/>
      <c r="NE269" s="1259"/>
      <c r="NF269" s="1259"/>
      <c r="NG269" s="1259"/>
      <c r="NH269" s="1259"/>
      <c r="NI269" s="1259"/>
      <c r="NJ269" s="1259"/>
      <c r="NK269" s="1259"/>
      <c r="NL269" s="1259"/>
      <c r="NM269" s="1259"/>
      <c r="NN269" s="1259"/>
      <c r="NO269" s="1259"/>
      <c r="NP269" s="1259"/>
      <c r="NQ269" s="1259"/>
      <c r="NR269" s="1259"/>
      <c r="NS269" s="1259"/>
      <c r="NT269" s="1259"/>
      <c r="NU269" s="1259"/>
      <c r="NV269" s="1259"/>
      <c r="NW269" s="1259"/>
      <c r="NX269" s="1259"/>
      <c r="NY269" s="1259"/>
      <c r="NZ269" s="1259"/>
      <c r="OA269" s="1259"/>
      <c r="OB269" s="1259"/>
      <c r="OC269" s="1259"/>
      <c r="OD269" s="1259"/>
      <c r="OE269" s="1259"/>
      <c r="OF269" s="1259"/>
      <c r="OG269" s="1259"/>
      <c r="OH269" s="1259"/>
      <c r="OI269" s="1259"/>
      <c r="OJ269" s="1259"/>
      <c r="OK269" s="1259"/>
      <c r="OL269" s="1259"/>
      <c r="OM269" s="1259"/>
      <c r="ON269" s="1259"/>
      <c r="OO269" s="1259"/>
      <c r="OP269" s="1259"/>
      <c r="OQ269" s="1259"/>
      <c r="OR269" s="1259"/>
      <c r="OS269" s="1259"/>
      <c r="OT269" s="1259"/>
      <c r="OU269" s="1259"/>
      <c r="OV269" s="1259"/>
      <c r="OW269" s="1259"/>
      <c r="OX269" s="1259"/>
      <c r="OY269" s="1259"/>
      <c r="OZ269" s="1259"/>
      <c r="PA269" s="1259"/>
      <c r="PB269" s="1259"/>
      <c r="PC269" s="1259"/>
      <c r="PD269" s="1259"/>
      <c r="PE269" s="1259"/>
      <c r="PF269" s="1259"/>
      <c r="PG269" s="1259"/>
      <c r="PH269" s="1259"/>
      <c r="PI269" s="1259"/>
      <c r="PJ269" s="1259"/>
      <c r="PK269" s="1259"/>
      <c r="PL269" s="1259"/>
      <c r="PM269" s="1259"/>
      <c r="PN269" s="1259"/>
      <c r="PO269" s="1259"/>
      <c r="PP269" s="1259"/>
      <c r="PQ269" s="1259"/>
      <c r="PR269" s="1259"/>
      <c r="PS269" s="1259"/>
      <c r="PT269" s="1259"/>
      <c r="PU269" s="1259"/>
      <c r="PV269" s="1259"/>
      <c r="PW269" s="1259"/>
      <c r="PX269" s="1259"/>
      <c r="PY269" s="1259"/>
      <c r="PZ269" s="1259"/>
      <c r="QA269" s="1259"/>
      <c r="QB269" s="1259"/>
      <c r="QC269" s="1259"/>
      <c r="QD269" s="1259"/>
      <c r="QE269" s="1259"/>
      <c r="QF269" s="1259"/>
      <c r="QG269" s="1259"/>
      <c r="QH269" s="1259"/>
      <c r="QI269" s="1259"/>
      <c r="QJ269" s="1259"/>
      <c r="QK269" s="1259"/>
      <c r="QL269" s="1259"/>
      <c r="QM269" s="1259"/>
      <c r="QN269" s="1259"/>
      <c r="QO269" s="1259"/>
      <c r="QP269" s="1259"/>
      <c r="QQ269" s="1259"/>
      <c r="QR269" s="1259"/>
      <c r="QS269" s="1259"/>
      <c r="QT269" s="1259"/>
      <c r="QU269" s="1259"/>
      <c r="QV269" s="1259"/>
      <c r="QW269" s="1259"/>
      <c r="QX269" s="1259"/>
      <c r="QY269" s="1259"/>
      <c r="QZ269" s="1259"/>
      <c r="RA269" s="1259"/>
      <c r="RB269" s="1259"/>
      <c r="RC269" s="1259"/>
      <c r="RD269" s="1259"/>
      <c r="RE269" s="1259"/>
      <c r="RF269" s="1259"/>
      <c r="RG269" s="1259"/>
      <c r="RH269" s="1259"/>
      <c r="RI269" s="1259"/>
      <c r="RJ269" s="1259"/>
      <c r="RK269" s="1259"/>
      <c r="RL269" s="1259"/>
      <c r="RM269" s="1259"/>
      <c r="RN269" s="1259"/>
      <c r="RO269" s="1259"/>
      <c r="RP269" s="1259"/>
      <c r="RQ269" s="1259"/>
      <c r="RR269" s="1259"/>
      <c r="RS269" s="1259"/>
      <c r="RT269" s="1259"/>
      <c r="RU269" s="1259"/>
      <c r="RV269" s="1259"/>
      <c r="RW269" s="1259"/>
      <c r="RX269" s="1259"/>
      <c r="RY269" s="1259"/>
      <c r="RZ269" s="1259"/>
      <c r="SA269" s="1259"/>
      <c r="SB269" s="1259"/>
      <c r="SC269" s="1259"/>
      <c r="SD269" s="1259"/>
      <c r="SE269" s="1259"/>
      <c r="SF269" s="1259"/>
      <c r="SG269" s="1259"/>
      <c r="SH269" s="1259"/>
      <c r="SI269" s="1259"/>
      <c r="SJ269" s="1259"/>
      <c r="SK269" s="1259"/>
      <c r="SL269" s="1259"/>
      <c r="SM269" s="1259"/>
      <c r="SN269" s="1259"/>
      <c r="SO269" s="1259"/>
      <c r="SP269" s="1259"/>
      <c r="SQ269" s="1259"/>
      <c r="SR269" s="1259"/>
      <c r="SS269" s="1259"/>
      <c r="ST269" s="1259"/>
      <c r="SU269" s="1259"/>
      <c r="SV269" s="1259"/>
      <c r="SW269" s="1259"/>
      <c r="SX269" s="1259"/>
      <c r="SY269" s="1259"/>
      <c r="SZ269" s="1259"/>
      <c r="TA269" s="1259"/>
      <c r="TB269" s="1259"/>
      <c r="TC269" s="1259"/>
      <c r="TD269" s="1259"/>
      <c r="TE269" s="1259"/>
      <c r="TF269" s="1259"/>
      <c r="TG269" s="1259"/>
      <c r="TH269" s="1259"/>
      <c r="TI269" s="1259"/>
      <c r="TJ269" s="1259"/>
      <c r="TK269" s="1259"/>
      <c r="TL269" s="1259"/>
      <c r="TM269" s="1259"/>
      <c r="TN269" s="1259"/>
      <c r="TO269" s="1259"/>
      <c r="TP269" s="1259"/>
      <c r="TQ269" s="1259"/>
      <c r="TR269" s="1259"/>
      <c r="TS269" s="1259"/>
      <c r="TT269" s="1259"/>
      <c r="TU269" s="1259"/>
      <c r="TV269" s="1259"/>
      <c r="TW269" s="1259"/>
      <c r="TX269" s="1259"/>
      <c r="TY269" s="1259"/>
      <c r="TZ269" s="1259"/>
      <c r="UA269" s="1259"/>
      <c r="UB269" s="1259"/>
      <c r="UC269" s="1259"/>
      <c r="UD269" s="1259"/>
      <c r="UE269" s="1259"/>
      <c r="UF269" s="1259"/>
      <c r="UG269" s="1261"/>
    </row>
    <row r="270" spans="1:553" s="1262" customFormat="1" ht="48" customHeight="1">
      <c r="A270" s="524" t="s">
        <v>863</v>
      </c>
      <c r="B270" s="524"/>
      <c r="C270" s="525" t="s">
        <v>1070</v>
      </c>
      <c r="D270" s="1217"/>
      <c r="E270" s="1217"/>
      <c r="F270" s="526"/>
      <c r="G270" s="527" t="s">
        <v>196</v>
      </c>
      <c r="H270" s="528"/>
      <c r="I270" s="529">
        <f>(206.62*100/2000)*17</f>
        <v>175.62699999999998</v>
      </c>
      <c r="J270" s="1248">
        <v>6200</v>
      </c>
      <c r="K270" s="531"/>
      <c r="L270" s="421">
        <f>ROUND(PRODUCT(I270:K270),0)</f>
        <v>1088887</v>
      </c>
      <c r="M270" s="366"/>
      <c r="N270" s="366"/>
      <c r="O270" s="366"/>
      <c r="P270" s="366"/>
      <c r="Q270" s="1136"/>
      <c r="R270" s="1447"/>
      <c r="S270" s="308"/>
      <c r="T270" s="303"/>
      <c r="U270" s="306"/>
      <c r="V270" s="307"/>
      <c r="W270" s="306"/>
      <c r="X270" s="306"/>
      <c r="Y270" s="306"/>
      <c r="Z270" s="306"/>
      <c r="AA270" s="306"/>
      <c r="AB270" s="306"/>
      <c r="AC270" s="449"/>
      <c r="AD270" s="452"/>
      <c r="AE270" s="452"/>
      <c r="AF270" s="452"/>
      <c r="AG270" s="452"/>
      <c r="AH270" s="452"/>
      <c r="AI270" s="452"/>
      <c r="AJ270" s="452"/>
      <c r="AK270" s="452"/>
      <c r="AL270" s="1259"/>
      <c r="AM270" s="1259"/>
      <c r="AN270" s="1259"/>
      <c r="AO270" s="1259"/>
      <c r="AP270" s="1259"/>
      <c r="AQ270" s="1259"/>
      <c r="AR270" s="1259"/>
      <c r="AS270" s="1259"/>
      <c r="AT270" s="1259"/>
      <c r="AU270" s="1259"/>
      <c r="AV270" s="1259"/>
      <c r="AW270" s="1259"/>
      <c r="AX270" s="1259"/>
      <c r="AY270" s="1259"/>
      <c r="AZ270" s="1259"/>
      <c r="BA270" s="1259"/>
      <c r="BB270" s="1259"/>
      <c r="BC270" s="1259"/>
      <c r="BD270" s="1259"/>
      <c r="BE270" s="1259"/>
      <c r="BF270" s="1259"/>
      <c r="BG270" s="1259"/>
      <c r="BH270" s="1259"/>
      <c r="BI270" s="1259"/>
      <c r="BJ270" s="1259"/>
      <c r="BK270" s="1259"/>
      <c r="BL270" s="1259"/>
      <c r="BM270" s="1259"/>
      <c r="BN270" s="1259"/>
      <c r="BO270" s="1259"/>
      <c r="BP270" s="1259"/>
      <c r="BQ270" s="1259"/>
      <c r="BR270" s="1259"/>
      <c r="BS270" s="1259"/>
      <c r="BT270" s="1259"/>
      <c r="BU270" s="1259"/>
      <c r="BV270" s="1259"/>
      <c r="BW270" s="1259"/>
      <c r="BX270" s="1259"/>
      <c r="BY270" s="1259"/>
      <c r="BZ270" s="1259"/>
      <c r="CA270" s="1259"/>
      <c r="CB270" s="1259"/>
      <c r="CC270" s="1259"/>
      <c r="CD270" s="1259"/>
      <c r="CE270" s="1259"/>
      <c r="CF270" s="1259"/>
      <c r="CG270" s="1259"/>
      <c r="CH270" s="1259"/>
      <c r="CI270" s="1259"/>
      <c r="CJ270" s="1259"/>
      <c r="CK270" s="1259"/>
      <c r="CL270" s="1259"/>
      <c r="CM270" s="1259"/>
      <c r="CN270" s="1259"/>
      <c r="CO270" s="1259"/>
      <c r="CP270" s="1259"/>
      <c r="CQ270" s="1259"/>
      <c r="CR270" s="1259"/>
      <c r="CS270" s="1259"/>
      <c r="CT270" s="1259"/>
      <c r="CU270" s="1259"/>
      <c r="CV270" s="1259"/>
      <c r="CW270" s="1259"/>
      <c r="CX270" s="1259"/>
      <c r="CY270" s="1259"/>
      <c r="CZ270" s="1259"/>
      <c r="DA270" s="1259"/>
      <c r="DB270" s="1259"/>
      <c r="DC270" s="1259"/>
      <c r="DD270" s="1259"/>
      <c r="DE270" s="1259"/>
      <c r="DF270" s="1259"/>
      <c r="DG270" s="1259"/>
      <c r="DH270" s="1259"/>
      <c r="DI270" s="1259"/>
      <c r="DJ270" s="1259"/>
      <c r="DK270" s="1259"/>
      <c r="DL270" s="1259"/>
      <c r="DM270" s="1259"/>
      <c r="DN270" s="1259"/>
      <c r="DO270" s="1259"/>
      <c r="DP270" s="1259"/>
      <c r="DQ270" s="1259"/>
      <c r="DR270" s="1259"/>
      <c r="DS270" s="1259"/>
      <c r="DT270" s="1259"/>
      <c r="DU270" s="1259"/>
      <c r="DV270" s="1259"/>
      <c r="DW270" s="1259"/>
      <c r="DX270" s="1259"/>
      <c r="DY270" s="1259"/>
      <c r="DZ270" s="1259"/>
      <c r="EA270" s="1259"/>
      <c r="EB270" s="1259"/>
      <c r="EC270" s="1259"/>
      <c r="ED270" s="1259"/>
      <c r="EE270" s="1259"/>
      <c r="EF270" s="1259"/>
      <c r="EG270" s="1259"/>
      <c r="EH270" s="1259"/>
      <c r="EI270" s="1259"/>
      <c r="EJ270" s="1259"/>
      <c r="EK270" s="1259"/>
      <c r="EL270" s="1259"/>
      <c r="EM270" s="1259"/>
      <c r="EN270" s="1259"/>
      <c r="EO270" s="1259"/>
      <c r="EP270" s="1259"/>
      <c r="EQ270" s="1259"/>
      <c r="ER270" s="1259"/>
      <c r="ES270" s="1259"/>
      <c r="ET270" s="1259"/>
      <c r="EU270" s="1259"/>
      <c r="EV270" s="1259"/>
      <c r="EW270" s="1259"/>
      <c r="EX270" s="1259"/>
      <c r="EY270" s="1259"/>
      <c r="EZ270" s="1259"/>
      <c r="FA270" s="1259"/>
      <c r="FB270" s="1259"/>
      <c r="FC270" s="1259"/>
      <c r="FD270" s="1259"/>
      <c r="FE270" s="1259"/>
      <c r="FF270" s="1259"/>
      <c r="FG270" s="1259"/>
      <c r="FH270" s="1259"/>
      <c r="FI270" s="1259"/>
      <c r="FJ270" s="1259"/>
      <c r="FK270" s="1259"/>
      <c r="FL270" s="1259"/>
      <c r="FM270" s="1259"/>
      <c r="FN270" s="1259"/>
      <c r="FO270" s="1259"/>
      <c r="FP270" s="1259"/>
      <c r="FQ270" s="1259"/>
      <c r="FR270" s="1259"/>
      <c r="FS270" s="1259"/>
      <c r="FT270" s="1259"/>
      <c r="FU270" s="1259"/>
      <c r="FV270" s="1259"/>
      <c r="FW270" s="1259"/>
      <c r="FX270" s="1259"/>
      <c r="FY270" s="1259"/>
      <c r="FZ270" s="1259"/>
      <c r="GA270" s="1259"/>
      <c r="GB270" s="1259"/>
      <c r="GC270" s="1259"/>
      <c r="GD270" s="1259"/>
      <c r="GE270" s="1259"/>
      <c r="GF270" s="1259"/>
      <c r="GG270" s="1259"/>
      <c r="GH270" s="1259"/>
      <c r="GI270" s="1259"/>
      <c r="GJ270" s="1259"/>
      <c r="GK270" s="1259"/>
      <c r="GL270" s="1259"/>
      <c r="GM270" s="1259"/>
      <c r="GN270" s="1259"/>
      <c r="GO270" s="1259"/>
      <c r="GP270" s="1259"/>
      <c r="GQ270" s="1259"/>
      <c r="GR270" s="1259"/>
      <c r="GS270" s="1259"/>
      <c r="GT270" s="1259"/>
      <c r="GU270" s="1259"/>
      <c r="GV270" s="1259"/>
      <c r="GW270" s="1259"/>
      <c r="GX270" s="1259"/>
      <c r="GY270" s="1259"/>
      <c r="GZ270" s="1259"/>
      <c r="HA270" s="1259"/>
      <c r="HB270" s="1259"/>
      <c r="HC270" s="1259"/>
      <c r="HD270" s="1259"/>
      <c r="HE270" s="1259"/>
      <c r="HF270" s="1259"/>
      <c r="HG270" s="1259"/>
      <c r="HH270" s="1259"/>
      <c r="HI270" s="1259"/>
      <c r="HJ270" s="1259"/>
      <c r="HK270" s="1259"/>
      <c r="HL270" s="1259"/>
      <c r="HM270" s="1259"/>
      <c r="HN270" s="1259"/>
      <c r="HO270" s="1259"/>
      <c r="HP270" s="1259"/>
      <c r="HQ270" s="1259"/>
      <c r="HR270" s="1259"/>
      <c r="HS270" s="1259"/>
      <c r="HT270" s="1259"/>
      <c r="HU270" s="1259"/>
      <c r="HV270" s="1259"/>
      <c r="HW270" s="1259"/>
      <c r="HX270" s="1259"/>
      <c r="HY270" s="1259"/>
      <c r="HZ270" s="1259"/>
      <c r="IA270" s="1259"/>
      <c r="IB270" s="1259"/>
      <c r="IC270" s="1259"/>
      <c r="ID270" s="1259"/>
      <c r="IE270" s="1259"/>
      <c r="IF270" s="1259"/>
      <c r="IG270" s="1259"/>
      <c r="IH270" s="1259"/>
      <c r="II270" s="1259"/>
      <c r="IJ270" s="1259"/>
      <c r="IK270" s="1259"/>
      <c r="IL270" s="1259"/>
      <c r="IM270" s="1259"/>
      <c r="IN270" s="1259"/>
      <c r="IO270" s="1259"/>
      <c r="IP270" s="1259"/>
      <c r="IQ270" s="1259"/>
      <c r="IR270" s="1259"/>
      <c r="IS270" s="1259"/>
      <c r="IT270" s="1259"/>
      <c r="IU270" s="1259"/>
      <c r="IV270" s="1259"/>
      <c r="IW270" s="1259"/>
      <c r="IX270" s="1259"/>
      <c r="IY270" s="1259"/>
      <c r="IZ270" s="1259"/>
      <c r="JA270" s="1259"/>
      <c r="JB270" s="1259"/>
      <c r="JC270" s="1259"/>
      <c r="JD270" s="1259"/>
      <c r="JE270" s="1259"/>
      <c r="JF270" s="1259"/>
      <c r="JG270" s="1259"/>
      <c r="JH270" s="1259"/>
      <c r="JI270" s="1259"/>
      <c r="JJ270" s="1259"/>
      <c r="JK270" s="1259"/>
      <c r="JL270" s="1259"/>
      <c r="JM270" s="1259"/>
      <c r="JN270" s="1259"/>
      <c r="JO270" s="1259"/>
      <c r="JP270" s="1259"/>
      <c r="JQ270" s="1259"/>
      <c r="JR270" s="1259"/>
      <c r="JS270" s="1259"/>
      <c r="JT270" s="1259"/>
      <c r="JU270" s="1259"/>
      <c r="JV270" s="1259"/>
      <c r="JW270" s="1259"/>
      <c r="JX270" s="1259"/>
      <c r="JY270" s="1259"/>
      <c r="JZ270" s="1259"/>
      <c r="KA270" s="1259"/>
      <c r="KB270" s="1259"/>
      <c r="KC270" s="1259"/>
      <c r="KD270" s="1259"/>
      <c r="KE270" s="1259"/>
      <c r="KF270" s="1259"/>
      <c r="KG270" s="1259"/>
      <c r="KH270" s="1259"/>
      <c r="KI270" s="1259"/>
      <c r="KJ270" s="1259"/>
      <c r="KK270" s="1259"/>
      <c r="KL270" s="1259"/>
      <c r="KM270" s="1259"/>
      <c r="KN270" s="1259"/>
      <c r="KO270" s="1259"/>
      <c r="KP270" s="1259"/>
      <c r="KQ270" s="1259"/>
      <c r="KR270" s="1259"/>
      <c r="KS270" s="1259"/>
      <c r="KT270" s="1259"/>
      <c r="KU270" s="1259"/>
      <c r="KV270" s="1259"/>
      <c r="KW270" s="1259"/>
      <c r="KX270" s="1259"/>
      <c r="KY270" s="1259"/>
      <c r="KZ270" s="1259"/>
      <c r="LA270" s="1259"/>
      <c r="LB270" s="1259"/>
      <c r="LC270" s="1259"/>
      <c r="LD270" s="1259"/>
      <c r="LE270" s="1259"/>
      <c r="LF270" s="1259"/>
      <c r="LG270" s="1259"/>
      <c r="LH270" s="1259"/>
      <c r="LI270" s="1259"/>
      <c r="LJ270" s="1259"/>
      <c r="LK270" s="1259"/>
      <c r="LL270" s="1259"/>
      <c r="LM270" s="1259"/>
      <c r="LN270" s="1259"/>
      <c r="LO270" s="1259"/>
      <c r="LP270" s="1259"/>
      <c r="LQ270" s="1259"/>
      <c r="LR270" s="1259"/>
      <c r="LS270" s="1259"/>
      <c r="LT270" s="1259"/>
      <c r="LU270" s="1259"/>
      <c r="LV270" s="1259"/>
      <c r="LW270" s="1259"/>
      <c r="LX270" s="1259"/>
      <c r="LY270" s="1259"/>
      <c r="LZ270" s="1259"/>
      <c r="MA270" s="1259"/>
      <c r="MB270" s="1259"/>
      <c r="MC270" s="1259"/>
      <c r="MD270" s="1259"/>
      <c r="ME270" s="1259"/>
      <c r="MF270" s="1259"/>
      <c r="MG270" s="1259"/>
      <c r="MH270" s="1259"/>
      <c r="MI270" s="1259"/>
      <c r="MJ270" s="1259"/>
      <c r="MK270" s="1259"/>
      <c r="ML270" s="1259"/>
      <c r="MM270" s="1259"/>
      <c r="MN270" s="1259"/>
      <c r="MO270" s="1259"/>
      <c r="MP270" s="1259"/>
      <c r="MQ270" s="1259"/>
      <c r="MR270" s="1259"/>
      <c r="MS270" s="1259"/>
      <c r="MT270" s="1259"/>
      <c r="MU270" s="1259"/>
      <c r="MV270" s="1259"/>
      <c r="MW270" s="1259"/>
      <c r="MX270" s="1259"/>
      <c r="MY270" s="1259"/>
      <c r="MZ270" s="1259"/>
      <c r="NA270" s="1259"/>
      <c r="NB270" s="1259"/>
      <c r="NC270" s="1259"/>
      <c r="ND270" s="1259"/>
      <c r="NE270" s="1259"/>
      <c r="NF270" s="1259"/>
      <c r="NG270" s="1259"/>
      <c r="NH270" s="1259"/>
      <c r="NI270" s="1259"/>
      <c r="NJ270" s="1259"/>
      <c r="NK270" s="1259"/>
      <c r="NL270" s="1259"/>
      <c r="NM270" s="1259"/>
      <c r="NN270" s="1259"/>
      <c r="NO270" s="1259"/>
      <c r="NP270" s="1259"/>
      <c r="NQ270" s="1259"/>
      <c r="NR270" s="1259"/>
      <c r="NS270" s="1259"/>
      <c r="NT270" s="1259"/>
      <c r="NU270" s="1259"/>
      <c r="NV270" s="1259"/>
      <c r="NW270" s="1259"/>
      <c r="NX270" s="1259"/>
      <c r="NY270" s="1259"/>
      <c r="NZ270" s="1259"/>
      <c r="OA270" s="1259"/>
      <c r="OB270" s="1259"/>
      <c r="OC270" s="1259"/>
      <c r="OD270" s="1259"/>
      <c r="OE270" s="1259"/>
      <c r="OF270" s="1259"/>
      <c r="OG270" s="1259"/>
      <c r="OH270" s="1259"/>
      <c r="OI270" s="1259"/>
      <c r="OJ270" s="1259"/>
      <c r="OK270" s="1259"/>
      <c r="OL270" s="1259"/>
      <c r="OM270" s="1259"/>
      <c r="ON270" s="1259"/>
      <c r="OO270" s="1259"/>
      <c r="OP270" s="1259"/>
      <c r="OQ270" s="1259"/>
      <c r="OR270" s="1259"/>
      <c r="OS270" s="1259"/>
      <c r="OT270" s="1259"/>
      <c r="OU270" s="1259"/>
      <c r="OV270" s="1259"/>
      <c r="OW270" s="1259"/>
      <c r="OX270" s="1259"/>
      <c r="OY270" s="1259"/>
      <c r="OZ270" s="1259"/>
      <c r="PA270" s="1259"/>
      <c r="PB270" s="1259"/>
      <c r="PC270" s="1259"/>
      <c r="PD270" s="1259"/>
      <c r="PE270" s="1259"/>
      <c r="PF270" s="1259"/>
      <c r="PG270" s="1259"/>
      <c r="PH270" s="1259"/>
      <c r="PI270" s="1259"/>
      <c r="PJ270" s="1259"/>
      <c r="PK270" s="1259"/>
      <c r="PL270" s="1259"/>
      <c r="PM270" s="1259"/>
      <c r="PN270" s="1259"/>
      <c r="PO270" s="1259"/>
      <c r="PP270" s="1259"/>
      <c r="PQ270" s="1259"/>
      <c r="PR270" s="1259"/>
      <c r="PS270" s="1259"/>
      <c r="PT270" s="1259"/>
      <c r="PU270" s="1259"/>
      <c r="PV270" s="1259"/>
      <c r="PW270" s="1259"/>
      <c r="PX270" s="1259"/>
      <c r="PY270" s="1259"/>
      <c r="PZ270" s="1259"/>
      <c r="QA270" s="1259"/>
      <c r="QB270" s="1259"/>
      <c r="QC270" s="1259"/>
      <c r="QD270" s="1259"/>
      <c r="QE270" s="1259"/>
      <c r="QF270" s="1259"/>
      <c r="QG270" s="1259"/>
      <c r="QH270" s="1259"/>
      <c r="QI270" s="1259"/>
      <c r="QJ270" s="1259"/>
      <c r="QK270" s="1259"/>
      <c r="QL270" s="1259"/>
      <c r="QM270" s="1259"/>
      <c r="QN270" s="1259"/>
      <c r="QO270" s="1259"/>
      <c r="QP270" s="1259"/>
      <c r="QQ270" s="1259"/>
      <c r="QR270" s="1259"/>
      <c r="QS270" s="1259"/>
      <c r="QT270" s="1259"/>
      <c r="QU270" s="1259"/>
      <c r="QV270" s="1259"/>
      <c r="QW270" s="1259"/>
      <c r="QX270" s="1259"/>
      <c r="QY270" s="1259"/>
      <c r="QZ270" s="1259"/>
      <c r="RA270" s="1259"/>
      <c r="RB270" s="1259"/>
      <c r="RC270" s="1259"/>
      <c r="RD270" s="1259"/>
      <c r="RE270" s="1259"/>
      <c r="RF270" s="1259"/>
      <c r="RG270" s="1259"/>
      <c r="RH270" s="1259"/>
      <c r="RI270" s="1259"/>
      <c r="RJ270" s="1259"/>
      <c r="RK270" s="1259"/>
      <c r="RL270" s="1259"/>
      <c r="RM270" s="1259"/>
      <c r="RN270" s="1259"/>
      <c r="RO270" s="1259"/>
      <c r="RP270" s="1259"/>
      <c r="RQ270" s="1259"/>
      <c r="RR270" s="1259"/>
      <c r="RS270" s="1259"/>
      <c r="RT270" s="1259"/>
      <c r="RU270" s="1259"/>
      <c r="RV270" s="1259"/>
      <c r="RW270" s="1259"/>
      <c r="RX270" s="1259"/>
      <c r="RY270" s="1259"/>
      <c r="RZ270" s="1259"/>
      <c r="SA270" s="1259"/>
      <c r="SB270" s="1259"/>
      <c r="SC270" s="1259"/>
      <c r="SD270" s="1259"/>
      <c r="SE270" s="1259"/>
      <c r="SF270" s="1259"/>
      <c r="SG270" s="1259"/>
      <c r="SH270" s="1259"/>
      <c r="SI270" s="1259"/>
      <c r="SJ270" s="1259"/>
      <c r="SK270" s="1259"/>
      <c r="SL270" s="1259"/>
      <c r="SM270" s="1259"/>
      <c r="SN270" s="1259"/>
      <c r="SO270" s="1259"/>
      <c r="SP270" s="1259"/>
      <c r="SQ270" s="1259"/>
      <c r="SR270" s="1259"/>
      <c r="SS270" s="1259"/>
      <c r="ST270" s="1259"/>
      <c r="SU270" s="1259"/>
      <c r="SV270" s="1259"/>
      <c r="SW270" s="1259"/>
      <c r="SX270" s="1259"/>
      <c r="SY270" s="1259"/>
      <c r="SZ270" s="1259"/>
      <c r="TA270" s="1259"/>
      <c r="TB270" s="1259"/>
      <c r="TC270" s="1259"/>
      <c r="TD270" s="1259"/>
      <c r="TE270" s="1259"/>
      <c r="TF270" s="1259"/>
      <c r="TG270" s="1259"/>
      <c r="TH270" s="1259"/>
      <c r="TI270" s="1259"/>
      <c r="TJ270" s="1259"/>
      <c r="TK270" s="1259"/>
      <c r="TL270" s="1259"/>
      <c r="TM270" s="1259"/>
      <c r="TN270" s="1259"/>
      <c r="TO270" s="1259"/>
      <c r="TP270" s="1259"/>
      <c r="TQ270" s="1259"/>
      <c r="TR270" s="1259"/>
      <c r="TS270" s="1259"/>
      <c r="TT270" s="1259"/>
      <c r="TU270" s="1259"/>
      <c r="TV270" s="1259"/>
      <c r="TW270" s="1259"/>
      <c r="TX270" s="1259"/>
      <c r="TY270" s="1259"/>
      <c r="TZ270" s="1259"/>
      <c r="UA270" s="1259"/>
      <c r="UB270" s="1259"/>
      <c r="UC270" s="1259"/>
      <c r="UD270" s="1259"/>
      <c r="UE270" s="1259"/>
      <c r="UF270" s="1259"/>
      <c r="UG270" s="1261"/>
    </row>
    <row r="271" spans="1:553" ht="48" customHeight="1">
      <c r="A271" s="366"/>
      <c r="B271" s="356"/>
      <c r="C271" s="532" t="s">
        <v>270</v>
      </c>
      <c r="D271" s="533"/>
      <c r="E271" s="537"/>
      <c r="F271" s="532"/>
      <c r="G271" s="366"/>
      <c r="H271" s="370"/>
      <c r="I271" s="422"/>
      <c r="J271" s="368"/>
      <c r="K271" s="388"/>
      <c r="L271" s="369"/>
      <c r="M271" s="366"/>
      <c r="N271" s="366"/>
      <c r="O271" s="366"/>
      <c r="P271" s="366"/>
      <c r="Q271" s="1136"/>
      <c r="R271" s="1447"/>
      <c r="S271" s="308"/>
      <c r="T271" s="303"/>
      <c r="U271" s="306"/>
      <c r="V271" s="307"/>
      <c r="W271" s="306"/>
      <c r="X271" s="306"/>
      <c r="Y271" s="306"/>
      <c r="Z271" s="306"/>
      <c r="AA271" s="306"/>
      <c r="AB271" s="306"/>
      <c r="AC271" s="449"/>
      <c r="AD271" s="452"/>
      <c r="AE271" s="452"/>
      <c r="AF271" s="452"/>
      <c r="AG271" s="452"/>
      <c r="AH271" s="452"/>
      <c r="AI271" s="452"/>
      <c r="AJ271" s="452"/>
      <c r="AK271" s="452"/>
      <c r="AL271" s="106"/>
      <c r="AM271" s="31"/>
      <c r="AN271" s="31"/>
      <c r="AO271" s="31"/>
      <c r="AP271" s="31"/>
      <c r="AQ271" s="31"/>
      <c r="AR271" s="31"/>
      <c r="AS271" s="31"/>
      <c r="AT271" s="31"/>
      <c r="AU271" s="31"/>
      <c r="AV271" s="31"/>
      <c r="AW271" s="31"/>
      <c r="AX271" s="31"/>
      <c r="AY271" s="31"/>
      <c r="AZ271" s="31"/>
      <c r="BA271" s="31"/>
      <c r="BB271" s="31"/>
      <c r="BC271" s="31"/>
      <c r="BD271" s="31"/>
      <c r="BE271" s="31"/>
      <c r="BF271" s="31"/>
      <c r="BG271" s="31"/>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c r="CH271" s="31"/>
      <c r="CI271" s="31"/>
      <c r="CJ271" s="31"/>
      <c r="CK271" s="31"/>
      <c r="CL271" s="31"/>
      <c r="CM271" s="31"/>
      <c r="CN271" s="31"/>
      <c r="CO271" s="31"/>
      <c r="CP271" s="31"/>
      <c r="CQ271" s="31"/>
      <c r="CR271" s="31"/>
      <c r="CS271" s="31"/>
      <c r="CT271" s="31"/>
      <c r="CU271" s="31"/>
      <c r="CV271" s="31"/>
      <c r="CW271" s="31"/>
      <c r="CX271" s="31"/>
      <c r="CY271" s="31"/>
      <c r="CZ271" s="31"/>
      <c r="DA271" s="31"/>
      <c r="DB271" s="31"/>
      <c r="DC271" s="31"/>
      <c r="DD271" s="31"/>
      <c r="DE271" s="31"/>
      <c r="DF271" s="31"/>
      <c r="DG271" s="31"/>
      <c r="DH271" s="31"/>
      <c r="DI271" s="31"/>
      <c r="DJ271" s="31"/>
      <c r="DK271" s="31"/>
      <c r="DL271" s="31"/>
      <c r="DM271" s="31"/>
      <c r="DN271" s="31"/>
      <c r="DO271" s="31"/>
      <c r="DP271" s="31"/>
      <c r="DQ271" s="31"/>
      <c r="DR271" s="31"/>
      <c r="DS271" s="31"/>
      <c r="DT271" s="31"/>
      <c r="DU271" s="31"/>
      <c r="DV271" s="31"/>
      <c r="DW271" s="31"/>
      <c r="DX271" s="31"/>
      <c r="DY271" s="31"/>
      <c r="DZ271" s="31"/>
      <c r="EA271" s="31"/>
      <c r="EB271" s="31"/>
      <c r="EC271" s="31"/>
      <c r="ED271" s="31"/>
      <c r="EE271" s="31"/>
      <c r="EF271" s="31"/>
      <c r="EG271" s="31"/>
      <c r="EH271" s="31"/>
      <c r="EI271" s="31"/>
      <c r="EJ271" s="31"/>
      <c r="EK271" s="31"/>
      <c r="EL271" s="31"/>
      <c r="EM271" s="31"/>
      <c r="EN271" s="31"/>
      <c r="EO271" s="31"/>
      <c r="EP271" s="31"/>
      <c r="EQ271" s="31"/>
      <c r="ER271" s="31"/>
      <c r="ES271" s="31"/>
      <c r="ET271" s="31"/>
      <c r="EU271" s="31"/>
      <c r="EV271" s="31"/>
      <c r="EW271" s="31"/>
      <c r="EX271" s="31"/>
      <c r="EY271" s="31"/>
      <c r="EZ271" s="31"/>
      <c r="FA271" s="31"/>
      <c r="FB271" s="31"/>
      <c r="FC271" s="31"/>
      <c r="FD271" s="31"/>
      <c r="FE271" s="31"/>
      <c r="FF271" s="31"/>
      <c r="FG271" s="31"/>
      <c r="FH271" s="31"/>
      <c r="FI271" s="31"/>
      <c r="FJ271" s="31"/>
      <c r="FK271" s="31"/>
      <c r="FL271" s="31"/>
      <c r="FM271" s="31"/>
      <c r="FN271" s="31"/>
      <c r="FO271" s="31"/>
      <c r="FP271" s="31"/>
      <c r="FQ271" s="31"/>
      <c r="FR271" s="31"/>
      <c r="FS271" s="31"/>
      <c r="FT271" s="31"/>
      <c r="FU271" s="31"/>
      <c r="FV271" s="31"/>
      <c r="FW271" s="31"/>
      <c r="FX271" s="31"/>
      <c r="FY271" s="31"/>
      <c r="FZ271" s="31"/>
      <c r="GA271" s="31"/>
      <c r="GB271" s="31"/>
      <c r="GC271" s="31"/>
      <c r="GD271" s="31"/>
      <c r="GE271" s="31"/>
      <c r="GF271" s="31"/>
      <c r="GG271" s="31"/>
      <c r="GH271" s="31"/>
      <c r="GI271" s="31"/>
      <c r="GJ271" s="31"/>
      <c r="GK271" s="31"/>
      <c r="GL271" s="31"/>
      <c r="GM271" s="31"/>
      <c r="GN271" s="31"/>
      <c r="GO271" s="31"/>
      <c r="GP271" s="31"/>
      <c r="GQ271" s="31"/>
      <c r="GR271" s="31"/>
      <c r="GS271" s="31"/>
      <c r="GT271" s="31"/>
      <c r="GU271" s="31"/>
      <c r="GV271" s="31"/>
      <c r="GW271" s="31"/>
      <c r="GX271" s="31"/>
      <c r="GY271" s="31"/>
      <c r="GZ271" s="31"/>
      <c r="HA271" s="31"/>
      <c r="HB271" s="31"/>
      <c r="HC271" s="31"/>
      <c r="HD271" s="31"/>
      <c r="HE271" s="31"/>
      <c r="HF271" s="31"/>
      <c r="HG271" s="31"/>
      <c r="HH271" s="31"/>
      <c r="HI271" s="31"/>
      <c r="HJ271" s="31"/>
      <c r="HK271" s="31"/>
      <c r="HL271" s="31"/>
      <c r="HM271" s="31"/>
      <c r="HN271" s="31"/>
      <c r="HO271" s="31"/>
      <c r="HP271" s="31"/>
      <c r="HQ271" s="31"/>
      <c r="HR271" s="31"/>
      <c r="HS271" s="31"/>
      <c r="HT271" s="31"/>
      <c r="HU271" s="31"/>
      <c r="HV271" s="31"/>
      <c r="HW271" s="31"/>
      <c r="HX271" s="31"/>
      <c r="HY271" s="31"/>
      <c r="HZ271" s="31"/>
      <c r="IA271" s="31"/>
      <c r="IB271" s="31"/>
      <c r="IC271" s="31"/>
      <c r="ID271" s="31"/>
      <c r="IE271" s="31"/>
      <c r="IF271" s="31"/>
      <c r="IG271" s="31"/>
      <c r="IH271" s="31"/>
      <c r="II271" s="31"/>
      <c r="IJ271" s="31"/>
      <c r="IK271" s="31"/>
      <c r="IL271" s="31"/>
      <c r="IM271" s="31"/>
      <c r="IN271" s="31"/>
      <c r="IO271" s="31"/>
      <c r="IP271" s="31"/>
      <c r="IQ271" s="31"/>
      <c r="IR271" s="31"/>
      <c r="IS271" s="31"/>
      <c r="IT271" s="31"/>
      <c r="IU271" s="31"/>
      <c r="IV271" s="31"/>
      <c r="IW271" s="31"/>
      <c r="IX271" s="31"/>
      <c r="IY271" s="31"/>
      <c r="IZ271" s="31"/>
      <c r="JA271" s="31"/>
      <c r="JB271" s="31"/>
      <c r="JC271" s="31"/>
      <c r="JD271" s="31"/>
      <c r="JE271" s="31"/>
      <c r="JF271" s="31"/>
      <c r="JG271" s="31"/>
      <c r="JH271" s="31"/>
      <c r="JI271" s="31"/>
      <c r="JJ271" s="31"/>
      <c r="JK271" s="31"/>
      <c r="JL271" s="31"/>
      <c r="JM271" s="31"/>
      <c r="JN271" s="31"/>
      <c r="JO271" s="31"/>
      <c r="JP271" s="31"/>
      <c r="JQ271" s="31"/>
      <c r="JR271" s="31"/>
      <c r="JS271" s="31"/>
      <c r="JT271" s="31"/>
      <c r="JU271" s="31"/>
      <c r="JV271" s="31"/>
      <c r="JW271" s="31"/>
      <c r="JX271" s="31"/>
      <c r="JY271" s="31"/>
      <c r="JZ271" s="31"/>
      <c r="KA271" s="31"/>
      <c r="KB271" s="31"/>
      <c r="KC271" s="31"/>
      <c r="KD271" s="31"/>
      <c r="KE271" s="31"/>
      <c r="KF271" s="31"/>
      <c r="KG271" s="31"/>
      <c r="KH271" s="31"/>
      <c r="KI271" s="31"/>
      <c r="KJ271" s="31"/>
      <c r="KK271" s="31"/>
      <c r="KL271" s="31"/>
      <c r="KM271" s="31"/>
      <c r="KN271" s="31"/>
      <c r="KO271" s="31"/>
      <c r="KP271" s="31"/>
      <c r="KQ271" s="31"/>
      <c r="KR271" s="31"/>
      <c r="KS271" s="31"/>
      <c r="KT271" s="31"/>
      <c r="KU271" s="31"/>
      <c r="KV271" s="31"/>
      <c r="KW271" s="31"/>
      <c r="KX271" s="31"/>
      <c r="KY271" s="31"/>
      <c r="KZ271" s="31"/>
      <c r="LA271" s="31"/>
      <c r="LB271" s="31"/>
      <c r="LC271" s="31"/>
      <c r="LD271" s="31"/>
      <c r="LE271" s="31"/>
      <c r="LF271" s="31"/>
      <c r="LG271" s="31"/>
      <c r="LH271" s="31"/>
      <c r="LI271" s="31"/>
      <c r="LJ271" s="31"/>
      <c r="LK271" s="31"/>
      <c r="LL271" s="31"/>
      <c r="LM271" s="31"/>
      <c r="LN271" s="31"/>
      <c r="LO271" s="31"/>
      <c r="LP271" s="31"/>
      <c r="LQ271" s="31"/>
      <c r="LR271" s="31"/>
      <c r="LS271" s="31"/>
      <c r="LT271" s="31"/>
      <c r="LU271" s="31"/>
      <c r="LV271" s="31"/>
      <c r="LW271" s="31"/>
      <c r="LX271" s="31"/>
      <c r="LY271" s="31"/>
      <c r="LZ271" s="31"/>
      <c r="MA271" s="31"/>
      <c r="MB271" s="31"/>
      <c r="MC271" s="31"/>
      <c r="MD271" s="31"/>
      <c r="ME271" s="31"/>
      <c r="MF271" s="31"/>
      <c r="MG271" s="31"/>
      <c r="MH271" s="31"/>
      <c r="MI271" s="31"/>
      <c r="MJ271" s="31"/>
      <c r="MK271" s="31"/>
      <c r="ML271" s="31"/>
      <c r="MM271" s="31"/>
      <c r="MN271" s="31"/>
      <c r="MO271" s="31"/>
      <c r="MP271" s="31"/>
      <c r="MQ271" s="31"/>
      <c r="MR271" s="31"/>
      <c r="MS271" s="31"/>
      <c r="MT271" s="31"/>
      <c r="MU271" s="31"/>
      <c r="MV271" s="31"/>
      <c r="MW271" s="31"/>
      <c r="MX271" s="31"/>
      <c r="MY271" s="31"/>
      <c r="MZ271" s="31"/>
      <c r="NA271" s="31"/>
      <c r="NB271" s="31"/>
      <c r="NC271" s="31"/>
      <c r="ND271" s="31"/>
      <c r="NE271" s="31"/>
      <c r="NF271" s="31"/>
      <c r="NG271" s="31"/>
      <c r="NH271" s="31"/>
      <c r="NI271" s="31"/>
      <c r="NJ271" s="31"/>
      <c r="NK271" s="31"/>
      <c r="NL271" s="31"/>
      <c r="NM271" s="31"/>
      <c r="NN271" s="31"/>
      <c r="NO271" s="31"/>
      <c r="NP271" s="31"/>
      <c r="NQ271" s="31"/>
      <c r="NR271" s="31"/>
      <c r="NS271" s="31"/>
      <c r="NT271" s="31"/>
      <c r="NU271" s="31"/>
      <c r="NV271" s="31"/>
      <c r="NW271" s="31"/>
      <c r="NX271" s="31"/>
      <c r="NY271" s="31"/>
      <c r="NZ271" s="31"/>
      <c r="OA271" s="31"/>
      <c r="OB271" s="31"/>
      <c r="OC271" s="31"/>
      <c r="OD271" s="31"/>
      <c r="OE271" s="31"/>
      <c r="OF271" s="31"/>
      <c r="OG271" s="31"/>
      <c r="OH271" s="31"/>
      <c r="OI271" s="31"/>
      <c r="OJ271" s="31"/>
      <c r="OK271" s="31"/>
      <c r="OL271" s="31"/>
      <c r="OM271" s="31"/>
      <c r="ON271" s="31"/>
      <c r="OO271" s="31"/>
      <c r="OP271" s="31"/>
      <c r="OQ271" s="31"/>
      <c r="OR271" s="31"/>
      <c r="OS271" s="31"/>
      <c r="OT271" s="31"/>
      <c r="OU271" s="31"/>
      <c r="OV271" s="31"/>
      <c r="OW271" s="31"/>
      <c r="OX271" s="31"/>
      <c r="OY271" s="31"/>
      <c r="OZ271" s="31"/>
      <c r="PA271" s="31"/>
      <c r="PB271" s="31"/>
      <c r="PC271" s="31"/>
      <c r="PD271" s="31"/>
      <c r="PE271" s="31"/>
      <c r="PF271" s="31"/>
      <c r="PG271" s="31"/>
      <c r="PH271" s="31"/>
      <c r="PI271" s="31"/>
      <c r="PJ271" s="31"/>
      <c r="PK271" s="31"/>
      <c r="PL271" s="31"/>
      <c r="PM271" s="31"/>
      <c r="PN271" s="31"/>
      <c r="PO271" s="31"/>
      <c r="PP271" s="31"/>
      <c r="PQ271" s="31"/>
      <c r="PR271" s="31"/>
      <c r="PS271" s="31"/>
      <c r="PT271" s="31"/>
      <c r="PU271" s="31"/>
      <c r="PV271" s="31"/>
      <c r="PW271" s="31"/>
      <c r="PX271" s="31"/>
      <c r="PY271" s="31"/>
      <c r="PZ271" s="31"/>
      <c r="QA271" s="31"/>
      <c r="QB271" s="31"/>
      <c r="QC271" s="31"/>
      <c r="QD271" s="31"/>
      <c r="QE271" s="31"/>
      <c r="QF271" s="31"/>
      <c r="QG271" s="31"/>
      <c r="QH271" s="31"/>
      <c r="QI271" s="31"/>
      <c r="QJ271" s="31"/>
      <c r="QK271" s="31"/>
      <c r="QL271" s="31"/>
      <c r="QM271" s="31"/>
      <c r="QN271" s="31"/>
      <c r="QO271" s="31"/>
      <c r="QP271" s="31"/>
      <c r="QQ271" s="31"/>
      <c r="QR271" s="31"/>
      <c r="QS271" s="31"/>
      <c r="QT271" s="31"/>
      <c r="QU271" s="31"/>
      <c r="QV271" s="31"/>
      <c r="QW271" s="31"/>
      <c r="QX271" s="31"/>
      <c r="QY271" s="31"/>
      <c r="QZ271" s="31"/>
      <c r="RA271" s="31"/>
      <c r="RB271" s="31"/>
      <c r="RC271" s="31"/>
      <c r="RD271" s="31"/>
      <c r="RE271" s="31"/>
      <c r="RF271" s="31"/>
      <c r="RG271" s="31"/>
      <c r="RH271" s="31"/>
      <c r="RI271" s="31"/>
      <c r="RJ271" s="31"/>
      <c r="RK271" s="31"/>
      <c r="RL271" s="31"/>
      <c r="RM271" s="31"/>
      <c r="RN271" s="31"/>
      <c r="RO271" s="31"/>
      <c r="RP271" s="31"/>
      <c r="RQ271" s="31"/>
      <c r="RR271" s="31"/>
      <c r="RS271" s="31"/>
      <c r="RT271" s="31"/>
      <c r="RU271" s="31"/>
      <c r="RV271" s="31"/>
      <c r="RW271" s="31"/>
      <c r="RX271" s="31"/>
      <c r="RY271" s="31"/>
      <c r="RZ271" s="31"/>
      <c r="SA271" s="31"/>
      <c r="SB271" s="31"/>
      <c r="SC271" s="31"/>
      <c r="SD271" s="31"/>
      <c r="SE271" s="31"/>
      <c r="SF271" s="31"/>
      <c r="SG271" s="31"/>
      <c r="SH271" s="31"/>
      <c r="SI271" s="31"/>
      <c r="SJ271" s="31"/>
      <c r="SK271" s="31"/>
      <c r="SL271" s="31"/>
      <c r="SM271" s="31"/>
      <c r="SN271" s="31"/>
      <c r="SO271" s="31"/>
      <c r="SP271" s="31"/>
      <c r="SQ271" s="31"/>
      <c r="SR271" s="31"/>
      <c r="SS271" s="31"/>
      <c r="ST271" s="31"/>
      <c r="SU271" s="31"/>
      <c r="SV271" s="31"/>
      <c r="SW271" s="31"/>
      <c r="SX271" s="31"/>
      <c r="SY271" s="31"/>
      <c r="SZ271" s="31"/>
      <c r="TA271" s="31"/>
      <c r="TB271" s="31"/>
      <c r="TC271" s="31"/>
      <c r="TD271" s="31"/>
      <c r="TE271" s="31"/>
      <c r="TF271" s="31"/>
      <c r="TG271" s="31"/>
      <c r="TH271" s="31"/>
      <c r="TI271" s="31"/>
      <c r="TJ271" s="31"/>
      <c r="TK271" s="31"/>
      <c r="TL271" s="31"/>
      <c r="TM271" s="31"/>
      <c r="TN271" s="31"/>
      <c r="TO271" s="31"/>
      <c r="TP271" s="31"/>
      <c r="TQ271" s="31"/>
      <c r="TR271" s="31"/>
      <c r="TS271" s="31"/>
      <c r="TT271" s="31"/>
      <c r="TU271" s="31"/>
      <c r="TV271" s="31"/>
      <c r="TW271" s="31"/>
      <c r="TX271" s="31"/>
      <c r="TY271" s="31"/>
      <c r="TZ271" s="31"/>
      <c r="UA271" s="31"/>
      <c r="UB271" s="31"/>
      <c r="UC271" s="31"/>
      <c r="UD271" s="31"/>
      <c r="UE271" s="31"/>
      <c r="UF271" s="31"/>
      <c r="UG271" s="33"/>
    </row>
    <row r="272" spans="1:553" s="1262" customFormat="1" ht="47.25" customHeight="1">
      <c r="A272" s="356" t="s">
        <v>15</v>
      </c>
      <c r="B272" s="356"/>
      <c r="C272" s="384" t="s">
        <v>265</v>
      </c>
      <c r="D272" s="390"/>
      <c r="E272" s="376"/>
      <c r="F272" s="384"/>
      <c r="G272" s="366" t="s">
        <v>193</v>
      </c>
      <c r="H272" s="370"/>
      <c r="I272" s="443">
        <v>1</v>
      </c>
      <c r="J272" s="368">
        <v>125000</v>
      </c>
      <c r="K272" s="388"/>
      <c r="L272" s="369">
        <f t="shared" ref="L272:L274" si="54">ROUND(PRODUCT(I272:K272),0)</f>
        <v>125000</v>
      </c>
      <c r="M272" s="366"/>
      <c r="N272" s="366"/>
      <c r="O272" s="366"/>
      <c r="P272" s="366"/>
      <c r="Q272" s="1136"/>
      <c r="R272" s="1447"/>
      <c r="S272" s="308"/>
      <c r="T272" s="303"/>
      <c r="U272" s="306"/>
      <c r="V272" s="307"/>
      <c r="W272" s="306"/>
      <c r="X272" s="306"/>
      <c r="Y272" s="306"/>
      <c r="Z272" s="306"/>
      <c r="AA272" s="306"/>
      <c r="AB272" s="306"/>
      <c r="AC272" s="449"/>
      <c r="AD272" s="452"/>
      <c r="AE272" s="452"/>
      <c r="AF272" s="452"/>
      <c r="AG272" s="452"/>
      <c r="AH272" s="452"/>
      <c r="AI272" s="452"/>
      <c r="AJ272" s="452"/>
      <c r="AK272" s="452"/>
      <c r="AL272" s="1259"/>
      <c r="AM272" s="1260"/>
      <c r="AN272" s="1260"/>
      <c r="AO272" s="1260"/>
      <c r="AP272" s="1260"/>
      <c r="AQ272" s="1260"/>
      <c r="AR272" s="1260"/>
      <c r="AS272" s="1260"/>
      <c r="AT272" s="1260"/>
      <c r="AU272" s="1260"/>
      <c r="AV272" s="1260"/>
      <c r="AW272" s="1260"/>
      <c r="AX272" s="1260"/>
      <c r="AY272" s="1260"/>
      <c r="AZ272" s="1260"/>
      <c r="BA272" s="1260"/>
      <c r="BB272" s="1260"/>
      <c r="BC272" s="1260"/>
      <c r="BD272" s="1260"/>
      <c r="BE272" s="1260"/>
      <c r="BF272" s="1260"/>
      <c r="BG272" s="1260"/>
      <c r="BH272" s="1260"/>
      <c r="BI272" s="1260"/>
      <c r="BJ272" s="1260"/>
      <c r="BK272" s="1260"/>
      <c r="BL272" s="1260"/>
      <c r="BM272" s="1260"/>
      <c r="BN272" s="1260"/>
      <c r="BO272" s="1260"/>
      <c r="BP272" s="1260"/>
      <c r="BQ272" s="1260"/>
      <c r="BR272" s="1260"/>
      <c r="BS272" s="1260"/>
      <c r="BT272" s="1260"/>
      <c r="BU272" s="1260"/>
      <c r="BV272" s="1260"/>
      <c r="BW272" s="1260"/>
      <c r="BX272" s="1260"/>
      <c r="BY272" s="1260"/>
      <c r="BZ272" s="1260"/>
      <c r="CA272" s="1260"/>
      <c r="CB272" s="1260"/>
      <c r="CC272" s="1260"/>
      <c r="CD272" s="1260"/>
      <c r="CE272" s="1260"/>
      <c r="CF272" s="1260"/>
      <c r="CG272" s="1260"/>
      <c r="CH272" s="1260"/>
      <c r="CI272" s="1260"/>
      <c r="CJ272" s="1260"/>
      <c r="CK272" s="1260"/>
      <c r="CL272" s="1260"/>
      <c r="CM272" s="1260"/>
      <c r="CN272" s="1260"/>
      <c r="CO272" s="1260"/>
      <c r="CP272" s="1260"/>
      <c r="CQ272" s="1260"/>
      <c r="CR272" s="1260"/>
      <c r="CS272" s="1260"/>
      <c r="CT272" s="1260"/>
      <c r="CU272" s="1260"/>
      <c r="CV272" s="1260"/>
      <c r="CW272" s="1260"/>
      <c r="CX272" s="1260"/>
      <c r="CY272" s="1260"/>
      <c r="CZ272" s="1260"/>
      <c r="DA272" s="1260"/>
      <c r="DB272" s="1260"/>
      <c r="DC272" s="1260"/>
      <c r="DD272" s="1260"/>
      <c r="DE272" s="1260"/>
      <c r="DF272" s="1260"/>
      <c r="DG272" s="1260"/>
      <c r="DH272" s="1260"/>
      <c r="DI272" s="1260"/>
      <c r="DJ272" s="1260"/>
      <c r="DK272" s="1260"/>
      <c r="DL272" s="1260"/>
      <c r="DM272" s="1260"/>
      <c r="DN272" s="1260"/>
      <c r="DO272" s="1260"/>
      <c r="DP272" s="1260"/>
      <c r="DQ272" s="1260"/>
      <c r="DR272" s="1260"/>
      <c r="DS272" s="1260"/>
      <c r="DT272" s="1260"/>
      <c r="DU272" s="1260"/>
      <c r="DV272" s="1260"/>
      <c r="DW272" s="1260"/>
      <c r="DX272" s="1260"/>
      <c r="DY272" s="1260"/>
      <c r="DZ272" s="1260"/>
      <c r="EA272" s="1260"/>
      <c r="EB272" s="1260"/>
      <c r="EC272" s="1260"/>
      <c r="ED272" s="1260"/>
      <c r="EE272" s="1260"/>
      <c r="EF272" s="1260"/>
      <c r="EG272" s="1260"/>
      <c r="EH272" s="1260"/>
      <c r="EI272" s="1260"/>
      <c r="EJ272" s="1260"/>
      <c r="EK272" s="1260"/>
      <c r="EL272" s="1260"/>
      <c r="EM272" s="1260"/>
      <c r="EN272" s="1260"/>
      <c r="EO272" s="1260"/>
      <c r="EP272" s="1260"/>
      <c r="EQ272" s="1260"/>
      <c r="ER272" s="1260"/>
      <c r="ES272" s="1260"/>
      <c r="ET272" s="1260"/>
      <c r="EU272" s="1260"/>
      <c r="EV272" s="1260"/>
      <c r="EW272" s="1260"/>
      <c r="EX272" s="1260"/>
      <c r="EY272" s="1260"/>
      <c r="EZ272" s="1260"/>
      <c r="FA272" s="1260"/>
      <c r="FB272" s="1260"/>
      <c r="FC272" s="1260"/>
      <c r="FD272" s="1260"/>
      <c r="FE272" s="1260"/>
      <c r="FF272" s="1260"/>
      <c r="FG272" s="1260"/>
      <c r="FH272" s="1260"/>
      <c r="FI272" s="1260"/>
      <c r="FJ272" s="1260"/>
      <c r="FK272" s="1260"/>
      <c r="FL272" s="1260"/>
      <c r="FM272" s="1260"/>
      <c r="FN272" s="1260"/>
      <c r="FO272" s="1260"/>
      <c r="FP272" s="1260"/>
      <c r="FQ272" s="1260"/>
      <c r="FR272" s="1260"/>
      <c r="FS272" s="1260"/>
      <c r="FT272" s="1260"/>
      <c r="FU272" s="1260"/>
      <c r="FV272" s="1260"/>
      <c r="FW272" s="1260"/>
      <c r="FX272" s="1260"/>
      <c r="FY272" s="1260"/>
      <c r="FZ272" s="1260"/>
      <c r="GA272" s="1260"/>
      <c r="GB272" s="1260"/>
      <c r="GC272" s="1260"/>
      <c r="GD272" s="1260"/>
      <c r="GE272" s="1260"/>
      <c r="GF272" s="1260"/>
      <c r="GG272" s="1260"/>
      <c r="GH272" s="1260"/>
      <c r="GI272" s="1260"/>
      <c r="GJ272" s="1260"/>
      <c r="GK272" s="1260"/>
      <c r="GL272" s="1260"/>
      <c r="GM272" s="1260"/>
      <c r="GN272" s="1260"/>
      <c r="GO272" s="1260"/>
      <c r="GP272" s="1260"/>
      <c r="GQ272" s="1260"/>
      <c r="GR272" s="1260"/>
      <c r="GS272" s="1260"/>
      <c r="GT272" s="1260"/>
      <c r="GU272" s="1260"/>
      <c r="GV272" s="1260"/>
      <c r="GW272" s="1260"/>
      <c r="GX272" s="1260"/>
      <c r="GY272" s="1260"/>
      <c r="GZ272" s="1260"/>
      <c r="HA272" s="1260"/>
      <c r="HB272" s="1260"/>
      <c r="HC272" s="1260"/>
      <c r="HD272" s="1260"/>
      <c r="HE272" s="1260"/>
      <c r="HF272" s="1260"/>
      <c r="HG272" s="1260"/>
      <c r="HH272" s="1260"/>
      <c r="HI272" s="1260"/>
      <c r="HJ272" s="1260"/>
      <c r="HK272" s="1260"/>
      <c r="HL272" s="1260"/>
      <c r="HM272" s="1260"/>
      <c r="HN272" s="1260"/>
      <c r="HO272" s="1260"/>
      <c r="HP272" s="1260"/>
      <c r="HQ272" s="1260"/>
      <c r="HR272" s="1260"/>
      <c r="HS272" s="1260"/>
      <c r="HT272" s="1260"/>
      <c r="HU272" s="1260"/>
      <c r="HV272" s="1260"/>
      <c r="HW272" s="1260"/>
      <c r="HX272" s="1260"/>
      <c r="HY272" s="1260"/>
      <c r="HZ272" s="1260"/>
      <c r="IA272" s="1260"/>
      <c r="IB272" s="1260"/>
      <c r="IC272" s="1260"/>
      <c r="ID272" s="1260"/>
      <c r="IE272" s="1260"/>
      <c r="IF272" s="1260"/>
      <c r="IG272" s="1260"/>
      <c r="IH272" s="1260"/>
      <c r="II272" s="1260"/>
      <c r="IJ272" s="1260"/>
      <c r="IK272" s="1260"/>
      <c r="IL272" s="1260"/>
      <c r="IM272" s="1260"/>
      <c r="IN272" s="1260"/>
      <c r="IO272" s="1260"/>
      <c r="IP272" s="1260"/>
      <c r="IQ272" s="1260"/>
      <c r="IR272" s="1260"/>
      <c r="IS272" s="1260"/>
      <c r="IT272" s="1260"/>
      <c r="IU272" s="1260"/>
      <c r="IV272" s="1260"/>
      <c r="IW272" s="1260"/>
      <c r="IX272" s="1260"/>
      <c r="IY272" s="1260"/>
      <c r="IZ272" s="1260"/>
      <c r="JA272" s="1260"/>
      <c r="JB272" s="1260"/>
      <c r="JC272" s="1260"/>
      <c r="JD272" s="1260"/>
      <c r="JE272" s="1260"/>
      <c r="JF272" s="1260"/>
      <c r="JG272" s="1260"/>
      <c r="JH272" s="1260"/>
      <c r="JI272" s="1260"/>
      <c r="JJ272" s="1260"/>
      <c r="JK272" s="1260"/>
      <c r="JL272" s="1260"/>
      <c r="JM272" s="1260"/>
      <c r="JN272" s="1260"/>
      <c r="JO272" s="1260"/>
      <c r="JP272" s="1260"/>
      <c r="JQ272" s="1260"/>
      <c r="JR272" s="1260"/>
      <c r="JS272" s="1260"/>
      <c r="JT272" s="1260"/>
      <c r="JU272" s="1260"/>
      <c r="JV272" s="1260"/>
      <c r="JW272" s="1260"/>
      <c r="JX272" s="1260"/>
      <c r="JY272" s="1260"/>
      <c r="JZ272" s="1260"/>
      <c r="KA272" s="1260"/>
      <c r="KB272" s="1260"/>
      <c r="KC272" s="1260"/>
      <c r="KD272" s="1260"/>
      <c r="KE272" s="1260"/>
      <c r="KF272" s="1260"/>
      <c r="KG272" s="1260"/>
      <c r="KH272" s="1260"/>
      <c r="KI272" s="1260"/>
      <c r="KJ272" s="1260"/>
      <c r="KK272" s="1260"/>
      <c r="KL272" s="1260"/>
      <c r="KM272" s="1260"/>
      <c r="KN272" s="1260"/>
      <c r="KO272" s="1260"/>
      <c r="KP272" s="1260"/>
      <c r="KQ272" s="1260"/>
      <c r="KR272" s="1260"/>
      <c r="KS272" s="1260"/>
      <c r="KT272" s="1260"/>
      <c r="KU272" s="1260"/>
      <c r="KV272" s="1260"/>
      <c r="KW272" s="1260"/>
      <c r="KX272" s="1260"/>
      <c r="KY272" s="1260"/>
      <c r="KZ272" s="1260"/>
      <c r="LA272" s="1260"/>
      <c r="LB272" s="1260"/>
      <c r="LC272" s="1260"/>
      <c r="LD272" s="1260"/>
      <c r="LE272" s="1260"/>
      <c r="LF272" s="1260"/>
      <c r="LG272" s="1260"/>
      <c r="LH272" s="1260"/>
      <c r="LI272" s="1260"/>
      <c r="LJ272" s="1260"/>
      <c r="LK272" s="1260"/>
      <c r="LL272" s="1260"/>
      <c r="LM272" s="1260"/>
      <c r="LN272" s="1260"/>
      <c r="LO272" s="1260"/>
      <c r="LP272" s="1260"/>
      <c r="LQ272" s="1260"/>
      <c r="LR272" s="1260"/>
      <c r="LS272" s="1260"/>
      <c r="LT272" s="1260"/>
      <c r="LU272" s="1260"/>
      <c r="LV272" s="1260"/>
      <c r="LW272" s="1260"/>
      <c r="LX272" s="1260"/>
      <c r="LY272" s="1260"/>
      <c r="LZ272" s="1260"/>
      <c r="MA272" s="1260"/>
      <c r="MB272" s="1260"/>
      <c r="MC272" s="1260"/>
      <c r="MD272" s="1260"/>
      <c r="ME272" s="1260"/>
      <c r="MF272" s="1260"/>
      <c r="MG272" s="1260"/>
      <c r="MH272" s="1260"/>
      <c r="MI272" s="1260"/>
      <c r="MJ272" s="1260"/>
      <c r="MK272" s="1260"/>
      <c r="ML272" s="1260"/>
      <c r="MM272" s="1260"/>
      <c r="MN272" s="1260"/>
      <c r="MO272" s="1260"/>
      <c r="MP272" s="1260"/>
      <c r="MQ272" s="1260"/>
      <c r="MR272" s="1260"/>
      <c r="MS272" s="1260"/>
      <c r="MT272" s="1260"/>
      <c r="MU272" s="1260"/>
      <c r="MV272" s="1260"/>
      <c r="MW272" s="1260"/>
      <c r="MX272" s="1260"/>
      <c r="MY272" s="1260"/>
      <c r="MZ272" s="1260"/>
      <c r="NA272" s="1260"/>
      <c r="NB272" s="1260"/>
      <c r="NC272" s="1260"/>
      <c r="ND272" s="1260"/>
      <c r="NE272" s="1260"/>
      <c r="NF272" s="1260"/>
      <c r="NG272" s="1260"/>
      <c r="NH272" s="1260"/>
      <c r="NI272" s="1260"/>
      <c r="NJ272" s="1260"/>
      <c r="NK272" s="1260"/>
      <c r="NL272" s="1260"/>
      <c r="NM272" s="1260"/>
      <c r="NN272" s="1260"/>
      <c r="NO272" s="1260"/>
      <c r="NP272" s="1260"/>
      <c r="NQ272" s="1260"/>
      <c r="NR272" s="1260"/>
      <c r="NS272" s="1260"/>
      <c r="NT272" s="1260"/>
      <c r="NU272" s="1260"/>
      <c r="NV272" s="1260"/>
      <c r="NW272" s="1260"/>
      <c r="NX272" s="1260"/>
      <c r="NY272" s="1260"/>
      <c r="NZ272" s="1260"/>
      <c r="OA272" s="1260"/>
      <c r="OB272" s="1260"/>
      <c r="OC272" s="1260"/>
      <c r="OD272" s="1260"/>
      <c r="OE272" s="1260"/>
      <c r="OF272" s="1260"/>
      <c r="OG272" s="1260"/>
      <c r="OH272" s="1260"/>
      <c r="OI272" s="1260"/>
      <c r="OJ272" s="1260"/>
      <c r="OK272" s="1260"/>
      <c r="OL272" s="1260"/>
      <c r="OM272" s="1260"/>
      <c r="ON272" s="1260"/>
      <c r="OO272" s="1260"/>
      <c r="OP272" s="1260"/>
      <c r="OQ272" s="1260"/>
      <c r="OR272" s="1260"/>
      <c r="OS272" s="1260"/>
      <c r="OT272" s="1260"/>
      <c r="OU272" s="1260"/>
      <c r="OV272" s="1260"/>
      <c r="OW272" s="1260"/>
      <c r="OX272" s="1260"/>
      <c r="OY272" s="1260"/>
      <c r="OZ272" s="1260"/>
      <c r="PA272" s="1260"/>
      <c r="PB272" s="1260"/>
      <c r="PC272" s="1260"/>
      <c r="PD272" s="1260"/>
      <c r="PE272" s="1260"/>
      <c r="PF272" s="1260"/>
      <c r="PG272" s="1260"/>
      <c r="PH272" s="1260"/>
      <c r="PI272" s="1260"/>
      <c r="PJ272" s="1260"/>
      <c r="PK272" s="1260"/>
      <c r="PL272" s="1260"/>
      <c r="PM272" s="1260"/>
      <c r="PN272" s="1260"/>
      <c r="PO272" s="1260"/>
      <c r="PP272" s="1260"/>
      <c r="PQ272" s="1260"/>
      <c r="PR272" s="1260"/>
      <c r="PS272" s="1260"/>
      <c r="PT272" s="1260"/>
      <c r="PU272" s="1260"/>
      <c r="PV272" s="1260"/>
      <c r="PW272" s="1260"/>
      <c r="PX272" s="1260"/>
      <c r="PY272" s="1260"/>
      <c r="PZ272" s="1260"/>
      <c r="QA272" s="1260"/>
      <c r="QB272" s="1260"/>
      <c r="QC272" s="1260"/>
      <c r="QD272" s="1260"/>
      <c r="QE272" s="1260"/>
      <c r="QF272" s="1260"/>
      <c r="QG272" s="1260"/>
      <c r="QH272" s="1260"/>
      <c r="QI272" s="1260"/>
      <c r="QJ272" s="1260"/>
      <c r="QK272" s="1260"/>
      <c r="QL272" s="1260"/>
      <c r="QM272" s="1260"/>
      <c r="QN272" s="1260"/>
      <c r="QO272" s="1260"/>
      <c r="QP272" s="1260"/>
      <c r="QQ272" s="1260"/>
      <c r="QR272" s="1260"/>
      <c r="QS272" s="1260"/>
      <c r="QT272" s="1260"/>
      <c r="QU272" s="1260"/>
      <c r="QV272" s="1260"/>
      <c r="QW272" s="1260"/>
      <c r="QX272" s="1260"/>
      <c r="QY272" s="1260"/>
      <c r="QZ272" s="1260"/>
      <c r="RA272" s="1260"/>
      <c r="RB272" s="1260"/>
      <c r="RC272" s="1260"/>
      <c r="RD272" s="1260"/>
      <c r="RE272" s="1260"/>
      <c r="RF272" s="1260"/>
      <c r="RG272" s="1260"/>
      <c r="RH272" s="1260"/>
      <c r="RI272" s="1260"/>
      <c r="RJ272" s="1260"/>
      <c r="RK272" s="1260"/>
      <c r="RL272" s="1260"/>
      <c r="RM272" s="1260"/>
      <c r="RN272" s="1260"/>
      <c r="RO272" s="1260"/>
      <c r="RP272" s="1260"/>
      <c r="RQ272" s="1260"/>
      <c r="RR272" s="1260"/>
      <c r="RS272" s="1260"/>
      <c r="RT272" s="1260"/>
      <c r="RU272" s="1260"/>
      <c r="RV272" s="1260"/>
      <c r="RW272" s="1260"/>
      <c r="RX272" s="1260"/>
      <c r="RY272" s="1260"/>
      <c r="RZ272" s="1260"/>
      <c r="SA272" s="1260"/>
      <c r="SB272" s="1260"/>
      <c r="SC272" s="1260"/>
      <c r="SD272" s="1260"/>
      <c r="SE272" s="1260"/>
      <c r="SF272" s="1260"/>
      <c r="SG272" s="1260"/>
      <c r="SH272" s="1260"/>
      <c r="SI272" s="1260"/>
      <c r="SJ272" s="1260"/>
      <c r="SK272" s="1260"/>
      <c r="SL272" s="1260"/>
      <c r="SM272" s="1260"/>
      <c r="SN272" s="1260"/>
      <c r="SO272" s="1260"/>
      <c r="SP272" s="1260"/>
      <c r="SQ272" s="1260"/>
      <c r="SR272" s="1260"/>
      <c r="SS272" s="1260"/>
      <c r="ST272" s="1260"/>
      <c r="SU272" s="1260"/>
      <c r="SV272" s="1260"/>
      <c r="SW272" s="1260"/>
      <c r="SX272" s="1260"/>
      <c r="SY272" s="1260"/>
      <c r="SZ272" s="1260"/>
      <c r="TA272" s="1260"/>
      <c r="TB272" s="1260"/>
      <c r="TC272" s="1260"/>
      <c r="TD272" s="1260"/>
      <c r="TE272" s="1260"/>
      <c r="TF272" s="1260"/>
      <c r="TG272" s="1260"/>
      <c r="TH272" s="1260"/>
      <c r="TI272" s="1260"/>
      <c r="TJ272" s="1260"/>
      <c r="TK272" s="1260"/>
      <c r="TL272" s="1260"/>
      <c r="TM272" s="1260"/>
      <c r="TN272" s="1260"/>
      <c r="TO272" s="1260"/>
      <c r="TP272" s="1260"/>
      <c r="TQ272" s="1260"/>
      <c r="TR272" s="1260"/>
      <c r="TS272" s="1260"/>
      <c r="TT272" s="1260"/>
      <c r="TU272" s="1260"/>
      <c r="TV272" s="1260"/>
      <c r="TW272" s="1260"/>
      <c r="TX272" s="1260"/>
      <c r="TY272" s="1260"/>
      <c r="TZ272" s="1260"/>
      <c r="UA272" s="1260"/>
      <c r="UB272" s="1260"/>
      <c r="UC272" s="1260"/>
      <c r="UD272" s="1260"/>
      <c r="UE272" s="1260"/>
      <c r="UF272" s="1260"/>
      <c r="UG272" s="1261"/>
    </row>
    <row r="273" spans="1:553" s="1262" customFormat="1" ht="47.25" customHeight="1">
      <c r="A273" s="366" t="s">
        <v>15</v>
      </c>
      <c r="B273" s="366"/>
      <c r="C273" s="384" t="s">
        <v>271</v>
      </c>
      <c r="D273" s="390"/>
      <c r="E273" s="376"/>
      <c r="F273" s="384"/>
      <c r="G273" s="366" t="s">
        <v>196</v>
      </c>
      <c r="H273" s="370"/>
      <c r="I273" s="422">
        <f>(31.98*100/400)*(17-(7-3))*1</f>
        <v>103.935</v>
      </c>
      <c r="J273" s="368">
        <v>5800</v>
      </c>
      <c r="K273" s="495">
        <v>0.7</v>
      </c>
      <c r="L273" s="369">
        <f>ROUND(PRODUCT(I273:K273),0)</f>
        <v>421976</v>
      </c>
      <c r="M273" s="366"/>
      <c r="N273" s="366"/>
      <c r="O273" s="366"/>
      <c r="P273" s="366"/>
      <c r="Q273" s="1136"/>
      <c r="R273" s="1447"/>
      <c r="S273" s="308"/>
      <c r="T273" s="303"/>
      <c r="U273" s="306"/>
      <c r="V273" s="307"/>
      <c r="W273" s="306"/>
      <c r="X273" s="306"/>
      <c r="Y273" s="306"/>
      <c r="Z273" s="306"/>
      <c r="AA273" s="306"/>
      <c r="AB273" s="306"/>
      <c r="AC273" s="449"/>
      <c r="AD273" s="452"/>
      <c r="AE273" s="452"/>
      <c r="AF273" s="452"/>
      <c r="AG273" s="452"/>
      <c r="AH273" s="452"/>
      <c r="AI273" s="452"/>
      <c r="AJ273" s="452"/>
      <c r="AK273" s="452"/>
      <c r="AL273" s="1259"/>
      <c r="AM273" s="1260"/>
      <c r="AN273" s="1260"/>
      <c r="AO273" s="1260"/>
      <c r="AP273" s="1260"/>
      <c r="AQ273" s="1260"/>
      <c r="AR273" s="1260"/>
      <c r="AS273" s="1260"/>
      <c r="AT273" s="1260"/>
      <c r="AU273" s="1260"/>
      <c r="AV273" s="1260"/>
      <c r="AW273" s="1260"/>
      <c r="AX273" s="1260"/>
      <c r="AY273" s="1260"/>
      <c r="AZ273" s="1260"/>
      <c r="BA273" s="1260"/>
      <c r="BB273" s="1260"/>
      <c r="BC273" s="1260"/>
      <c r="BD273" s="1260"/>
      <c r="BE273" s="1260"/>
      <c r="BF273" s="1260"/>
      <c r="BG273" s="1260"/>
      <c r="BH273" s="1260"/>
      <c r="BI273" s="1260"/>
      <c r="BJ273" s="1260"/>
      <c r="BK273" s="1260"/>
      <c r="BL273" s="1260"/>
      <c r="BM273" s="1260"/>
      <c r="BN273" s="1260"/>
      <c r="BO273" s="1260"/>
      <c r="BP273" s="1260"/>
      <c r="BQ273" s="1260"/>
      <c r="BR273" s="1260"/>
      <c r="BS273" s="1260"/>
      <c r="BT273" s="1260"/>
      <c r="BU273" s="1260"/>
      <c r="BV273" s="1260"/>
      <c r="BW273" s="1260"/>
      <c r="BX273" s="1260"/>
      <c r="BY273" s="1260"/>
      <c r="BZ273" s="1260"/>
      <c r="CA273" s="1260"/>
      <c r="CB273" s="1260"/>
      <c r="CC273" s="1260"/>
      <c r="CD273" s="1260"/>
      <c r="CE273" s="1260"/>
      <c r="CF273" s="1260"/>
      <c r="CG273" s="1260"/>
      <c r="CH273" s="1260"/>
      <c r="CI273" s="1260"/>
      <c r="CJ273" s="1260"/>
      <c r="CK273" s="1260"/>
      <c r="CL273" s="1260"/>
      <c r="CM273" s="1260"/>
      <c r="CN273" s="1260"/>
      <c r="CO273" s="1260"/>
      <c r="CP273" s="1260"/>
      <c r="CQ273" s="1260"/>
      <c r="CR273" s="1260"/>
      <c r="CS273" s="1260"/>
      <c r="CT273" s="1260"/>
      <c r="CU273" s="1260"/>
      <c r="CV273" s="1260"/>
      <c r="CW273" s="1260"/>
      <c r="CX273" s="1260"/>
      <c r="CY273" s="1260"/>
      <c r="CZ273" s="1260"/>
      <c r="DA273" s="1260"/>
      <c r="DB273" s="1260"/>
      <c r="DC273" s="1260"/>
      <c r="DD273" s="1260"/>
      <c r="DE273" s="1260"/>
      <c r="DF273" s="1260"/>
      <c r="DG273" s="1260"/>
      <c r="DH273" s="1260"/>
      <c r="DI273" s="1260"/>
      <c r="DJ273" s="1260"/>
      <c r="DK273" s="1260"/>
      <c r="DL273" s="1260"/>
      <c r="DM273" s="1260"/>
      <c r="DN273" s="1260"/>
      <c r="DO273" s="1260"/>
      <c r="DP273" s="1260"/>
      <c r="DQ273" s="1260"/>
      <c r="DR273" s="1260"/>
      <c r="DS273" s="1260"/>
      <c r="DT273" s="1260"/>
      <c r="DU273" s="1260"/>
      <c r="DV273" s="1260"/>
      <c r="DW273" s="1260"/>
      <c r="DX273" s="1260"/>
      <c r="DY273" s="1260"/>
      <c r="DZ273" s="1260"/>
      <c r="EA273" s="1260"/>
      <c r="EB273" s="1260"/>
      <c r="EC273" s="1260"/>
      <c r="ED273" s="1260"/>
      <c r="EE273" s="1260"/>
      <c r="EF273" s="1260"/>
      <c r="EG273" s="1260"/>
      <c r="EH273" s="1260"/>
      <c r="EI273" s="1260"/>
      <c r="EJ273" s="1260"/>
      <c r="EK273" s="1260"/>
      <c r="EL273" s="1260"/>
      <c r="EM273" s="1260"/>
      <c r="EN273" s="1260"/>
      <c r="EO273" s="1260"/>
      <c r="EP273" s="1260"/>
      <c r="EQ273" s="1260"/>
      <c r="ER273" s="1260"/>
      <c r="ES273" s="1260"/>
      <c r="ET273" s="1260"/>
      <c r="EU273" s="1260"/>
      <c r="EV273" s="1260"/>
      <c r="EW273" s="1260"/>
      <c r="EX273" s="1260"/>
      <c r="EY273" s="1260"/>
      <c r="EZ273" s="1260"/>
      <c r="FA273" s="1260"/>
      <c r="FB273" s="1260"/>
      <c r="FC273" s="1260"/>
      <c r="FD273" s="1260"/>
      <c r="FE273" s="1260"/>
      <c r="FF273" s="1260"/>
      <c r="FG273" s="1260"/>
      <c r="FH273" s="1260"/>
      <c r="FI273" s="1260"/>
      <c r="FJ273" s="1260"/>
      <c r="FK273" s="1260"/>
      <c r="FL273" s="1260"/>
      <c r="FM273" s="1260"/>
      <c r="FN273" s="1260"/>
      <c r="FO273" s="1260"/>
      <c r="FP273" s="1260"/>
      <c r="FQ273" s="1260"/>
      <c r="FR273" s="1260"/>
      <c r="FS273" s="1260"/>
      <c r="FT273" s="1260"/>
      <c r="FU273" s="1260"/>
      <c r="FV273" s="1260"/>
      <c r="FW273" s="1260"/>
      <c r="FX273" s="1260"/>
      <c r="FY273" s="1260"/>
      <c r="FZ273" s="1260"/>
      <c r="GA273" s="1260"/>
      <c r="GB273" s="1260"/>
      <c r="GC273" s="1260"/>
      <c r="GD273" s="1260"/>
      <c r="GE273" s="1260"/>
      <c r="GF273" s="1260"/>
      <c r="GG273" s="1260"/>
      <c r="GH273" s="1260"/>
      <c r="GI273" s="1260"/>
      <c r="GJ273" s="1260"/>
      <c r="GK273" s="1260"/>
      <c r="GL273" s="1260"/>
      <c r="GM273" s="1260"/>
      <c r="GN273" s="1260"/>
      <c r="GO273" s="1260"/>
      <c r="GP273" s="1260"/>
      <c r="GQ273" s="1260"/>
      <c r="GR273" s="1260"/>
      <c r="GS273" s="1260"/>
      <c r="GT273" s="1260"/>
      <c r="GU273" s="1260"/>
      <c r="GV273" s="1260"/>
      <c r="GW273" s="1260"/>
      <c r="GX273" s="1260"/>
      <c r="GY273" s="1260"/>
      <c r="GZ273" s="1260"/>
      <c r="HA273" s="1260"/>
      <c r="HB273" s="1260"/>
      <c r="HC273" s="1260"/>
      <c r="HD273" s="1260"/>
      <c r="HE273" s="1260"/>
      <c r="HF273" s="1260"/>
      <c r="HG273" s="1260"/>
      <c r="HH273" s="1260"/>
      <c r="HI273" s="1260"/>
      <c r="HJ273" s="1260"/>
      <c r="HK273" s="1260"/>
      <c r="HL273" s="1260"/>
      <c r="HM273" s="1260"/>
      <c r="HN273" s="1260"/>
      <c r="HO273" s="1260"/>
      <c r="HP273" s="1260"/>
      <c r="HQ273" s="1260"/>
      <c r="HR273" s="1260"/>
      <c r="HS273" s="1260"/>
      <c r="HT273" s="1260"/>
      <c r="HU273" s="1260"/>
      <c r="HV273" s="1260"/>
      <c r="HW273" s="1260"/>
      <c r="HX273" s="1260"/>
      <c r="HY273" s="1260"/>
      <c r="HZ273" s="1260"/>
      <c r="IA273" s="1260"/>
      <c r="IB273" s="1260"/>
      <c r="IC273" s="1260"/>
      <c r="ID273" s="1260"/>
      <c r="IE273" s="1260"/>
      <c r="IF273" s="1260"/>
      <c r="IG273" s="1260"/>
      <c r="IH273" s="1260"/>
      <c r="II273" s="1260"/>
      <c r="IJ273" s="1260"/>
      <c r="IK273" s="1260"/>
      <c r="IL273" s="1260"/>
      <c r="IM273" s="1260"/>
      <c r="IN273" s="1260"/>
      <c r="IO273" s="1260"/>
      <c r="IP273" s="1260"/>
      <c r="IQ273" s="1260"/>
      <c r="IR273" s="1260"/>
      <c r="IS273" s="1260"/>
      <c r="IT273" s="1260"/>
      <c r="IU273" s="1260"/>
      <c r="IV273" s="1260"/>
      <c r="IW273" s="1260"/>
      <c r="IX273" s="1260"/>
      <c r="IY273" s="1260"/>
      <c r="IZ273" s="1260"/>
      <c r="JA273" s="1260"/>
      <c r="JB273" s="1260"/>
      <c r="JC273" s="1260"/>
      <c r="JD273" s="1260"/>
      <c r="JE273" s="1260"/>
      <c r="JF273" s="1260"/>
      <c r="JG273" s="1260"/>
      <c r="JH273" s="1260"/>
      <c r="JI273" s="1260"/>
      <c r="JJ273" s="1260"/>
      <c r="JK273" s="1260"/>
      <c r="JL273" s="1260"/>
      <c r="JM273" s="1260"/>
      <c r="JN273" s="1260"/>
      <c r="JO273" s="1260"/>
      <c r="JP273" s="1260"/>
      <c r="JQ273" s="1260"/>
      <c r="JR273" s="1260"/>
      <c r="JS273" s="1260"/>
      <c r="JT273" s="1260"/>
      <c r="JU273" s="1260"/>
      <c r="JV273" s="1260"/>
      <c r="JW273" s="1260"/>
      <c r="JX273" s="1260"/>
      <c r="JY273" s="1260"/>
      <c r="JZ273" s="1260"/>
      <c r="KA273" s="1260"/>
      <c r="KB273" s="1260"/>
      <c r="KC273" s="1260"/>
      <c r="KD273" s="1260"/>
      <c r="KE273" s="1260"/>
      <c r="KF273" s="1260"/>
      <c r="KG273" s="1260"/>
      <c r="KH273" s="1260"/>
      <c r="KI273" s="1260"/>
      <c r="KJ273" s="1260"/>
      <c r="KK273" s="1260"/>
      <c r="KL273" s="1260"/>
      <c r="KM273" s="1260"/>
      <c r="KN273" s="1260"/>
      <c r="KO273" s="1260"/>
      <c r="KP273" s="1260"/>
      <c r="KQ273" s="1260"/>
      <c r="KR273" s="1260"/>
      <c r="KS273" s="1260"/>
      <c r="KT273" s="1260"/>
      <c r="KU273" s="1260"/>
      <c r="KV273" s="1260"/>
      <c r="KW273" s="1260"/>
      <c r="KX273" s="1260"/>
      <c r="KY273" s="1260"/>
      <c r="KZ273" s="1260"/>
      <c r="LA273" s="1260"/>
      <c r="LB273" s="1260"/>
      <c r="LC273" s="1260"/>
      <c r="LD273" s="1260"/>
      <c r="LE273" s="1260"/>
      <c r="LF273" s="1260"/>
      <c r="LG273" s="1260"/>
      <c r="LH273" s="1260"/>
      <c r="LI273" s="1260"/>
      <c r="LJ273" s="1260"/>
      <c r="LK273" s="1260"/>
      <c r="LL273" s="1260"/>
      <c r="LM273" s="1260"/>
      <c r="LN273" s="1260"/>
      <c r="LO273" s="1260"/>
      <c r="LP273" s="1260"/>
      <c r="LQ273" s="1260"/>
      <c r="LR273" s="1260"/>
      <c r="LS273" s="1260"/>
      <c r="LT273" s="1260"/>
      <c r="LU273" s="1260"/>
      <c r="LV273" s="1260"/>
      <c r="LW273" s="1260"/>
      <c r="LX273" s="1260"/>
      <c r="LY273" s="1260"/>
      <c r="LZ273" s="1260"/>
      <c r="MA273" s="1260"/>
      <c r="MB273" s="1260"/>
      <c r="MC273" s="1260"/>
      <c r="MD273" s="1260"/>
      <c r="ME273" s="1260"/>
      <c r="MF273" s="1260"/>
      <c r="MG273" s="1260"/>
      <c r="MH273" s="1260"/>
      <c r="MI273" s="1260"/>
      <c r="MJ273" s="1260"/>
      <c r="MK273" s="1260"/>
      <c r="ML273" s="1260"/>
      <c r="MM273" s="1260"/>
      <c r="MN273" s="1260"/>
      <c r="MO273" s="1260"/>
      <c r="MP273" s="1260"/>
      <c r="MQ273" s="1260"/>
      <c r="MR273" s="1260"/>
      <c r="MS273" s="1260"/>
      <c r="MT273" s="1260"/>
      <c r="MU273" s="1260"/>
      <c r="MV273" s="1260"/>
      <c r="MW273" s="1260"/>
      <c r="MX273" s="1260"/>
      <c r="MY273" s="1260"/>
      <c r="MZ273" s="1260"/>
      <c r="NA273" s="1260"/>
      <c r="NB273" s="1260"/>
      <c r="NC273" s="1260"/>
      <c r="ND273" s="1260"/>
      <c r="NE273" s="1260"/>
      <c r="NF273" s="1260"/>
      <c r="NG273" s="1260"/>
      <c r="NH273" s="1260"/>
      <c r="NI273" s="1260"/>
      <c r="NJ273" s="1260"/>
      <c r="NK273" s="1260"/>
      <c r="NL273" s="1260"/>
      <c r="NM273" s="1260"/>
      <c r="NN273" s="1260"/>
      <c r="NO273" s="1260"/>
      <c r="NP273" s="1260"/>
      <c r="NQ273" s="1260"/>
      <c r="NR273" s="1260"/>
      <c r="NS273" s="1260"/>
      <c r="NT273" s="1260"/>
      <c r="NU273" s="1260"/>
      <c r="NV273" s="1260"/>
      <c r="NW273" s="1260"/>
      <c r="NX273" s="1260"/>
      <c r="NY273" s="1260"/>
      <c r="NZ273" s="1260"/>
      <c r="OA273" s="1260"/>
      <c r="OB273" s="1260"/>
      <c r="OC273" s="1260"/>
      <c r="OD273" s="1260"/>
      <c r="OE273" s="1260"/>
      <c r="OF273" s="1260"/>
      <c r="OG273" s="1260"/>
      <c r="OH273" s="1260"/>
      <c r="OI273" s="1260"/>
      <c r="OJ273" s="1260"/>
      <c r="OK273" s="1260"/>
      <c r="OL273" s="1260"/>
      <c r="OM273" s="1260"/>
      <c r="ON273" s="1260"/>
      <c r="OO273" s="1260"/>
      <c r="OP273" s="1260"/>
      <c r="OQ273" s="1260"/>
      <c r="OR273" s="1260"/>
      <c r="OS273" s="1260"/>
      <c r="OT273" s="1260"/>
      <c r="OU273" s="1260"/>
      <c r="OV273" s="1260"/>
      <c r="OW273" s="1260"/>
      <c r="OX273" s="1260"/>
      <c r="OY273" s="1260"/>
      <c r="OZ273" s="1260"/>
      <c r="PA273" s="1260"/>
      <c r="PB273" s="1260"/>
      <c r="PC273" s="1260"/>
      <c r="PD273" s="1260"/>
      <c r="PE273" s="1260"/>
      <c r="PF273" s="1260"/>
      <c r="PG273" s="1260"/>
      <c r="PH273" s="1260"/>
      <c r="PI273" s="1260"/>
      <c r="PJ273" s="1260"/>
      <c r="PK273" s="1260"/>
      <c r="PL273" s="1260"/>
      <c r="PM273" s="1260"/>
      <c r="PN273" s="1260"/>
      <c r="PO273" s="1260"/>
      <c r="PP273" s="1260"/>
      <c r="PQ273" s="1260"/>
      <c r="PR273" s="1260"/>
      <c r="PS273" s="1260"/>
      <c r="PT273" s="1260"/>
      <c r="PU273" s="1260"/>
      <c r="PV273" s="1260"/>
      <c r="PW273" s="1260"/>
      <c r="PX273" s="1260"/>
      <c r="PY273" s="1260"/>
      <c r="PZ273" s="1260"/>
      <c r="QA273" s="1260"/>
      <c r="QB273" s="1260"/>
      <c r="QC273" s="1260"/>
      <c r="QD273" s="1260"/>
      <c r="QE273" s="1260"/>
      <c r="QF273" s="1260"/>
      <c r="QG273" s="1260"/>
      <c r="QH273" s="1260"/>
      <c r="QI273" s="1260"/>
      <c r="QJ273" s="1260"/>
      <c r="QK273" s="1260"/>
      <c r="QL273" s="1260"/>
      <c r="QM273" s="1260"/>
      <c r="QN273" s="1260"/>
      <c r="QO273" s="1260"/>
      <c r="QP273" s="1260"/>
      <c r="QQ273" s="1260"/>
      <c r="QR273" s="1260"/>
      <c r="QS273" s="1260"/>
      <c r="QT273" s="1260"/>
      <c r="QU273" s="1260"/>
      <c r="QV273" s="1260"/>
      <c r="QW273" s="1260"/>
      <c r="QX273" s="1260"/>
      <c r="QY273" s="1260"/>
      <c r="QZ273" s="1260"/>
      <c r="RA273" s="1260"/>
      <c r="RB273" s="1260"/>
      <c r="RC273" s="1260"/>
      <c r="RD273" s="1260"/>
      <c r="RE273" s="1260"/>
      <c r="RF273" s="1260"/>
      <c r="RG273" s="1260"/>
      <c r="RH273" s="1260"/>
      <c r="RI273" s="1260"/>
      <c r="RJ273" s="1260"/>
      <c r="RK273" s="1260"/>
      <c r="RL273" s="1260"/>
      <c r="RM273" s="1260"/>
      <c r="RN273" s="1260"/>
      <c r="RO273" s="1260"/>
      <c r="RP273" s="1260"/>
      <c r="RQ273" s="1260"/>
      <c r="RR273" s="1260"/>
      <c r="RS273" s="1260"/>
      <c r="RT273" s="1260"/>
      <c r="RU273" s="1260"/>
      <c r="RV273" s="1260"/>
      <c r="RW273" s="1260"/>
      <c r="RX273" s="1260"/>
      <c r="RY273" s="1260"/>
      <c r="RZ273" s="1260"/>
      <c r="SA273" s="1260"/>
      <c r="SB273" s="1260"/>
      <c r="SC273" s="1260"/>
      <c r="SD273" s="1260"/>
      <c r="SE273" s="1260"/>
      <c r="SF273" s="1260"/>
      <c r="SG273" s="1260"/>
      <c r="SH273" s="1260"/>
      <c r="SI273" s="1260"/>
      <c r="SJ273" s="1260"/>
      <c r="SK273" s="1260"/>
      <c r="SL273" s="1260"/>
      <c r="SM273" s="1260"/>
      <c r="SN273" s="1260"/>
      <c r="SO273" s="1260"/>
      <c r="SP273" s="1260"/>
      <c r="SQ273" s="1260"/>
      <c r="SR273" s="1260"/>
      <c r="SS273" s="1260"/>
      <c r="ST273" s="1260"/>
      <c r="SU273" s="1260"/>
      <c r="SV273" s="1260"/>
      <c r="SW273" s="1260"/>
      <c r="SX273" s="1260"/>
      <c r="SY273" s="1260"/>
      <c r="SZ273" s="1260"/>
      <c r="TA273" s="1260"/>
      <c r="TB273" s="1260"/>
      <c r="TC273" s="1260"/>
      <c r="TD273" s="1260"/>
      <c r="TE273" s="1260"/>
      <c r="TF273" s="1260"/>
      <c r="TG273" s="1260"/>
      <c r="TH273" s="1260"/>
      <c r="TI273" s="1260"/>
      <c r="TJ273" s="1260"/>
      <c r="TK273" s="1260"/>
      <c r="TL273" s="1260"/>
      <c r="TM273" s="1260"/>
      <c r="TN273" s="1260"/>
      <c r="TO273" s="1260"/>
      <c r="TP273" s="1260"/>
      <c r="TQ273" s="1260"/>
      <c r="TR273" s="1260"/>
      <c r="TS273" s="1260"/>
      <c r="TT273" s="1260"/>
      <c r="TU273" s="1260"/>
      <c r="TV273" s="1260"/>
      <c r="TW273" s="1260"/>
      <c r="TX273" s="1260"/>
      <c r="TY273" s="1260"/>
      <c r="TZ273" s="1260"/>
      <c r="UA273" s="1260"/>
      <c r="UB273" s="1260"/>
      <c r="UC273" s="1260"/>
      <c r="UD273" s="1260"/>
      <c r="UE273" s="1260"/>
      <c r="UF273" s="1260"/>
      <c r="UG273" s="1261"/>
    </row>
    <row r="274" spans="1:553" s="1262" customFormat="1" ht="47.25" customHeight="1">
      <c r="A274" s="366" t="s">
        <v>15</v>
      </c>
      <c r="B274" s="366"/>
      <c r="C274" s="384" t="s">
        <v>272</v>
      </c>
      <c r="D274" s="390"/>
      <c r="E274" s="376"/>
      <c r="F274" s="384"/>
      <c r="G274" s="386" t="s">
        <v>196</v>
      </c>
      <c r="H274" s="370"/>
      <c r="I274" s="422">
        <f>(20.51*100/400)*(12-(5-3))*1</f>
        <v>51.275000000000006</v>
      </c>
      <c r="J274" s="368">
        <v>3100</v>
      </c>
      <c r="K274" s="495">
        <v>0.7</v>
      </c>
      <c r="L274" s="368">
        <f t="shared" si="54"/>
        <v>111267</v>
      </c>
      <c r="M274" s="366"/>
      <c r="N274" s="366"/>
      <c r="O274" s="366"/>
      <c r="P274" s="366"/>
      <c r="Q274" s="1136"/>
      <c r="R274" s="1447"/>
      <c r="S274" s="308"/>
      <c r="T274" s="303"/>
      <c r="U274" s="306"/>
      <c r="V274" s="307"/>
      <c r="W274" s="306"/>
      <c r="X274" s="306"/>
      <c r="Y274" s="306"/>
      <c r="Z274" s="306"/>
      <c r="AA274" s="306"/>
      <c r="AB274" s="306"/>
      <c r="AC274" s="449"/>
      <c r="AD274" s="452"/>
      <c r="AE274" s="452"/>
      <c r="AF274" s="452"/>
      <c r="AG274" s="452"/>
      <c r="AH274" s="452"/>
      <c r="AI274" s="452"/>
      <c r="AJ274" s="452"/>
      <c r="AK274" s="452"/>
      <c r="AL274" s="1259"/>
      <c r="AM274" s="1260"/>
      <c r="AN274" s="1260"/>
      <c r="AO274" s="1260"/>
      <c r="AP274" s="1260"/>
      <c r="AQ274" s="1260"/>
      <c r="AR274" s="1260"/>
      <c r="AS274" s="1260"/>
      <c r="AT274" s="1260"/>
      <c r="AU274" s="1260"/>
      <c r="AV274" s="1260"/>
      <c r="AW274" s="1260"/>
      <c r="AX274" s="1260"/>
      <c r="AY274" s="1260"/>
      <c r="AZ274" s="1260"/>
      <c r="BA274" s="1260"/>
      <c r="BB274" s="1260"/>
      <c r="BC274" s="1260"/>
      <c r="BD274" s="1260"/>
      <c r="BE274" s="1260"/>
      <c r="BF274" s="1260"/>
      <c r="BG274" s="1260"/>
      <c r="BH274" s="1260"/>
      <c r="BI274" s="1260"/>
      <c r="BJ274" s="1260"/>
      <c r="BK274" s="1260"/>
      <c r="BL274" s="1260"/>
      <c r="BM274" s="1260"/>
      <c r="BN274" s="1260"/>
      <c r="BO274" s="1260"/>
      <c r="BP274" s="1260"/>
      <c r="BQ274" s="1260"/>
      <c r="BR274" s="1260"/>
      <c r="BS274" s="1260"/>
      <c r="BT274" s="1260"/>
      <c r="BU274" s="1260"/>
      <c r="BV274" s="1260"/>
      <c r="BW274" s="1260"/>
      <c r="BX274" s="1260"/>
      <c r="BY274" s="1260"/>
      <c r="BZ274" s="1260"/>
      <c r="CA274" s="1260"/>
      <c r="CB274" s="1260"/>
      <c r="CC274" s="1260"/>
      <c r="CD274" s="1260"/>
      <c r="CE274" s="1260"/>
      <c r="CF274" s="1260"/>
      <c r="CG274" s="1260"/>
      <c r="CH274" s="1260"/>
      <c r="CI274" s="1260"/>
      <c r="CJ274" s="1260"/>
      <c r="CK274" s="1260"/>
      <c r="CL274" s="1260"/>
      <c r="CM274" s="1260"/>
      <c r="CN274" s="1260"/>
      <c r="CO274" s="1260"/>
      <c r="CP274" s="1260"/>
      <c r="CQ274" s="1260"/>
      <c r="CR274" s="1260"/>
      <c r="CS274" s="1260"/>
      <c r="CT274" s="1260"/>
      <c r="CU274" s="1260"/>
      <c r="CV274" s="1260"/>
      <c r="CW274" s="1260"/>
      <c r="CX274" s="1260"/>
      <c r="CY274" s="1260"/>
      <c r="CZ274" s="1260"/>
      <c r="DA274" s="1260"/>
      <c r="DB274" s="1260"/>
      <c r="DC274" s="1260"/>
      <c r="DD274" s="1260"/>
      <c r="DE274" s="1260"/>
      <c r="DF274" s="1260"/>
      <c r="DG274" s="1260"/>
      <c r="DH274" s="1260"/>
      <c r="DI274" s="1260"/>
      <c r="DJ274" s="1260"/>
      <c r="DK274" s="1260"/>
      <c r="DL274" s="1260"/>
      <c r="DM274" s="1260"/>
      <c r="DN274" s="1260"/>
      <c r="DO274" s="1260"/>
      <c r="DP274" s="1260"/>
      <c r="DQ274" s="1260"/>
      <c r="DR274" s="1260"/>
      <c r="DS274" s="1260"/>
      <c r="DT274" s="1260"/>
      <c r="DU274" s="1260"/>
      <c r="DV274" s="1260"/>
      <c r="DW274" s="1260"/>
      <c r="DX274" s="1260"/>
      <c r="DY274" s="1260"/>
      <c r="DZ274" s="1260"/>
      <c r="EA274" s="1260"/>
      <c r="EB274" s="1260"/>
      <c r="EC274" s="1260"/>
      <c r="ED274" s="1260"/>
      <c r="EE274" s="1260"/>
      <c r="EF274" s="1260"/>
      <c r="EG274" s="1260"/>
      <c r="EH274" s="1260"/>
      <c r="EI274" s="1260"/>
      <c r="EJ274" s="1260"/>
      <c r="EK274" s="1260"/>
      <c r="EL274" s="1260"/>
      <c r="EM274" s="1260"/>
      <c r="EN274" s="1260"/>
      <c r="EO274" s="1260"/>
      <c r="EP274" s="1260"/>
      <c r="EQ274" s="1260"/>
      <c r="ER274" s="1260"/>
      <c r="ES274" s="1260"/>
      <c r="ET274" s="1260"/>
      <c r="EU274" s="1260"/>
      <c r="EV274" s="1260"/>
      <c r="EW274" s="1260"/>
      <c r="EX274" s="1260"/>
      <c r="EY274" s="1260"/>
      <c r="EZ274" s="1260"/>
      <c r="FA274" s="1260"/>
      <c r="FB274" s="1260"/>
      <c r="FC274" s="1260"/>
      <c r="FD274" s="1260"/>
      <c r="FE274" s="1260"/>
      <c r="FF274" s="1260"/>
      <c r="FG274" s="1260"/>
      <c r="FH274" s="1260"/>
      <c r="FI274" s="1260"/>
      <c r="FJ274" s="1260"/>
      <c r="FK274" s="1260"/>
      <c r="FL274" s="1260"/>
      <c r="FM274" s="1260"/>
      <c r="FN274" s="1260"/>
      <c r="FO274" s="1260"/>
      <c r="FP274" s="1260"/>
      <c r="FQ274" s="1260"/>
      <c r="FR274" s="1260"/>
      <c r="FS274" s="1260"/>
      <c r="FT274" s="1260"/>
      <c r="FU274" s="1260"/>
      <c r="FV274" s="1260"/>
      <c r="FW274" s="1260"/>
      <c r="FX274" s="1260"/>
      <c r="FY274" s="1260"/>
      <c r="FZ274" s="1260"/>
      <c r="GA274" s="1260"/>
      <c r="GB274" s="1260"/>
      <c r="GC274" s="1260"/>
      <c r="GD274" s="1260"/>
      <c r="GE274" s="1260"/>
      <c r="GF274" s="1260"/>
      <c r="GG274" s="1260"/>
      <c r="GH274" s="1260"/>
      <c r="GI274" s="1260"/>
      <c r="GJ274" s="1260"/>
      <c r="GK274" s="1260"/>
      <c r="GL274" s="1260"/>
      <c r="GM274" s="1260"/>
      <c r="GN274" s="1260"/>
      <c r="GO274" s="1260"/>
      <c r="GP274" s="1260"/>
      <c r="GQ274" s="1260"/>
      <c r="GR274" s="1260"/>
      <c r="GS274" s="1260"/>
      <c r="GT274" s="1260"/>
      <c r="GU274" s="1260"/>
      <c r="GV274" s="1260"/>
      <c r="GW274" s="1260"/>
      <c r="GX274" s="1260"/>
      <c r="GY274" s="1260"/>
      <c r="GZ274" s="1260"/>
      <c r="HA274" s="1260"/>
      <c r="HB274" s="1260"/>
      <c r="HC274" s="1260"/>
      <c r="HD274" s="1260"/>
      <c r="HE274" s="1260"/>
      <c r="HF274" s="1260"/>
      <c r="HG274" s="1260"/>
      <c r="HH274" s="1260"/>
      <c r="HI274" s="1260"/>
      <c r="HJ274" s="1260"/>
      <c r="HK274" s="1260"/>
      <c r="HL274" s="1260"/>
      <c r="HM274" s="1260"/>
      <c r="HN274" s="1260"/>
      <c r="HO274" s="1260"/>
      <c r="HP274" s="1260"/>
      <c r="HQ274" s="1260"/>
      <c r="HR274" s="1260"/>
      <c r="HS274" s="1260"/>
      <c r="HT274" s="1260"/>
      <c r="HU274" s="1260"/>
      <c r="HV274" s="1260"/>
      <c r="HW274" s="1260"/>
      <c r="HX274" s="1260"/>
      <c r="HY274" s="1260"/>
      <c r="HZ274" s="1260"/>
      <c r="IA274" s="1260"/>
      <c r="IB274" s="1260"/>
      <c r="IC274" s="1260"/>
      <c r="ID274" s="1260"/>
      <c r="IE274" s="1260"/>
      <c r="IF274" s="1260"/>
      <c r="IG274" s="1260"/>
      <c r="IH274" s="1260"/>
      <c r="II274" s="1260"/>
      <c r="IJ274" s="1260"/>
      <c r="IK274" s="1260"/>
      <c r="IL274" s="1260"/>
      <c r="IM274" s="1260"/>
      <c r="IN274" s="1260"/>
      <c r="IO274" s="1260"/>
      <c r="IP274" s="1260"/>
      <c r="IQ274" s="1260"/>
      <c r="IR274" s="1260"/>
      <c r="IS274" s="1260"/>
      <c r="IT274" s="1260"/>
      <c r="IU274" s="1260"/>
      <c r="IV274" s="1260"/>
      <c r="IW274" s="1260"/>
      <c r="IX274" s="1260"/>
      <c r="IY274" s="1260"/>
      <c r="IZ274" s="1260"/>
      <c r="JA274" s="1260"/>
      <c r="JB274" s="1260"/>
      <c r="JC274" s="1260"/>
      <c r="JD274" s="1260"/>
      <c r="JE274" s="1260"/>
      <c r="JF274" s="1260"/>
      <c r="JG274" s="1260"/>
      <c r="JH274" s="1260"/>
      <c r="JI274" s="1260"/>
      <c r="JJ274" s="1260"/>
      <c r="JK274" s="1260"/>
      <c r="JL274" s="1260"/>
      <c r="JM274" s="1260"/>
      <c r="JN274" s="1260"/>
      <c r="JO274" s="1260"/>
      <c r="JP274" s="1260"/>
      <c r="JQ274" s="1260"/>
      <c r="JR274" s="1260"/>
      <c r="JS274" s="1260"/>
      <c r="JT274" s="1260"/>
      <c r="JU274" s="1260"/>
      <c r="JV274" s="1260"/>
      <c r="JW274" s="1260"/>
      <c r="JX274" s="1260"/>
      <c r="JY274" s="1260"/>
      <c r="JZ274" s="1260"/>
      <c r="KA274" s="1260"/>
      <c r="KB274" s="1260"/>
      <c r="KC274" s="1260"/>
      <c r="KD274" s="1260"/>
      <c r="KE274" s="1260"/>
      <c r="KF274" s="1260"/>
      <c r="KG274" s="1260"/>
      <c r="KH274" s="1260"/>
      <c r="KI274" s="1260"/>
      <c r="KJ274" s="1260"/>
      <c r="KK274" s="1260"/>
      <c r="KL274" s="1260"/>
      <c r="KM274" s="1260"/>
      <c r="KN274" s="1260"/>
      <c r="KO274" s="1260"/>
      <c r="KP274" s="1260"/>
      <c r="KQ274" s="1260"/>
      <c r="KR274" s="1260"/>
      <c r="KS274" s="1260"/>
      <c r="KT274" s="1260"/>
      <c r="KU274" s="1260"/>
      <c r="KV274" s="1260"/>
      <c r="KW274" s="1260"/>
      <c r="KX274" s="1260"/>
      <c r="KY274" s="1260"/>
      <c r="KZ274" s="1260"/>
      <c r="LA274" s="1260"/>
      <c r="LB274" s="1260"/>
      <c r="LC274" s="1260"/>
      <c r="LD274" s="1260"/>
      <c r="LE274" s="1260"/>
      <c r="LF274" s="1260"/>
      <c r="LG274" s="1260"/>
      <c r="LH274" s="1260"/>
      <c r="LI274" s="1260"/>
      <c r="LJ274" s="1260"/>
      <c r="LK274" s="1260"/>
      <c r="LL274" s="1260"/>
      <c r="LM274" s="1260"/>
      <c r="LN274" s="1260"/>
      <c r="LO274" s="1260"/>
      <c r="LP274" s="1260"/>
      <c r="LQ274" s="1260"/>
      <c r="LR274" s="1260"/>
      <c r="LS274" s="1260"/>
      <c r="LT274" s="1260"/>
      <c r="LU274" s="1260"/>
      <c r="LV274" s="1260"/>
      <c r="LW274" s="1260"/>
      <c r="LX274" s="1260"/>
      <c r="LY274" s="1260"/>
      <c r="LZ274" s="1260"/>
      <c r="MA274" s="1260"/>
      <c r="MB274" s="1260"/>
      <c r="MC274" s="1260"/>
      <c r="MD274" s="1260"/>
      <c r="ME274" s="1260"/>
      <c r="MF274" s="1260"/>
      <c r="MG274" s="1260"/>
      <c r="MH274" s="1260"/>
      <c r="MI274" s="1260"/>
      <c r="MJ274" s="1260"/>
      <c r="MK274" s="1260"/>
      <c r="ML274" s="1260"/>
      <c r="MM274" s="1260"/>
      <c r="MN274" s="1260"/>
      <c r="MO274" s="1260"/>
      <c r="MP274" s="1260"/>
      <c r="MQ274" s="1260"/>
      <c r="MR274" s="1260"/>
      <c r="MS274" s="1260"/>
      <c r="MT274" s="1260"/>
      <c r="MU274" s="1260"/>
      <c r="MV274" s="1260"/>
      <c r="MW274" s="1260"/>
      <c r="MX274" s="1260"/>
      <c r="MY274" s="1260"/>
      <c r="MZ274" s="1260"/>
      <c r="NA274" s="1260"/>
      <c r="NB274" s="1260"/>
      <c r="NC274" s="1260"/>
      <c r="ND274" s="1260"/>
      <c r="NE274" s="1260"/>
      <c r="NF274" s="1260"/>
      <c r="NG274" s="1260"/>
      <c r="NH274" s="1260"/>
      <c r="NI274" s="1260"/>
      <c r="NJ274" s="1260"/>
      <c r="NK274" s="1260"/>
      <c r="NL274" s="1260"/>
      <c r="NM274" s="1260"/>
      <c r="NN274" s="1260"/>
      <c r="NO274" s="1260"/>
      <c r="NP274" s="1260"/>
      <c r="NQ274" s="1260"/>
      <c r="NR274" s="1260"/>
      <c r="NS274" s="1260"/>
      <c r="NT274" s="1260"/>
      <c r="NU274" s="1260"/>
      <c r="NV274" s="1260"/>
      <c r="NW274" s="1260"/>
      <c r="NX274" s="1260"/>
      <c r="NY274" s="1260"/>
      <c r="NZ274" s="1260"/>
      <c r="OA274" s="1260"/>
      <c r="OB274" s="1260"/>
      <c r="OC274" s="1260"/>
      <c r="OD274" s="1260"/>
      <c r="OE274" s="1260"/>
      <c r="OF274" s="1260"/>
      <c r="OG274" s="1260"/>
      <c r="OH274" s="1260"/>
      <c r="OI274" s="1260"/>
      <c r="OJ274" s="1260"/>
      <c r="OK274" s="1260"/>
      <c r="OL274" s="1260"/>
      <c r="OM274" s="1260"/>
      <c r="ON274" s="1260"/>
      <c r="OO274" s="1260"/>
      <c r="OP274" s="1260"/>
      <c r="OQ274" s="1260"/>
      <c r="OR274" s="1260"/>
      <c r="OS274" s="1260"/>
      <c r="OT274" s="1260"/>
      <c r="OU274" s="1260"/>
      <c r="OV274" s="1260"/>
      <c r="OW274" s="1260"/>
      <c r="OX274" s="1260"/>
      <c r="OY274" s="1260"/>
      <c r="OZ274" s="1260"/>
      <c r="PA274" s="1260"/>
      <c r="PB274" s="1260"/>
      <c r="PC274" s="1260"/>
      <c r="PD274" s="1260"/>
      <c r="PE274" s="1260"/>
      <c r="PF274" s="1260"/>
      <c r="PG274" s="1260"/>
      <c r="PH274" s="1260"/>
      <c r="PI274" s="1260"/>
      <c r="PJ274" s="1260"/>
      <c r="PK274" s="1260"/>
      <c r="PL274" s="1260"/>
      <c r="PM274" s="1260"/>
      <c r="PN274" s="1260"/>
      <c r="PO274" s="1260"/>
      <c r="PP274" s="1260"/>
      <c r="PQ274" s="1260"/>
      <c r="PR274" s="1260"/>
      <c r="PS274" s="1260"/>
      <c r="PT274" s="1260"/>
      <c r="PU274" s="1260"/>
      <c r="PV274" s="1260"/>
      <c r="PW274" s="1260"/>
      <c r="PX274" s="1260"/>
      <c r="PY274" s="1260"/>
      <c r="PZ274" s="1260"/>
      <c r="QA274" s="1260"/>
      <c r="QB274" s="1260"/>
      <c r="QC274" s="1260"/>
      <c r="QD274" s="1260"/>
      <c r="QE274" s="1260"/>
      <c r="QF274" s="1260"/>
      <c r="QG274" s="1260"/>
      <c r="QH274" s="1260"/>
      <c r="QI274" s="1260"/>
      <c r="QJ274" s="1260"/>
      <c r="QK274" s="1260"/>
      <c r="QL274" s="1260"/>
      <c r="QM274" s="1260"/>
      <c r="QN274" s="1260"/>
      <c r="QO274" s="1260"/>
      <c r="QP274" s="1260"/>
      <c r="QQ274" s="1260"/>
      <c r="QR274" s="1260"/>
      <c r="QS274" s="1260"/>
      <c r="QT274" s="1260"/>
      <c r="QU274" s="1260"/>
      <c r="QV274" s="1260"/>
      <c r="QW274" s="1260"/>
      <c r="QX274" s="1260"/>
      <c r="QY274" s="1260"/>
      <c r="QZ274" s="1260"/>
      <c r="RA274" s="1260"/>
      <c r="RB274" s="1260"/>
      <c r="RC274" s="1260"/>
      <c r="RD274" s="1260"/>
      <c r="RE274" s="1260"/>
      <c r="RF274" s="1260"/>
      <c r="RG274" s="1260"/>
      <c r="RH274" s="1260"/>
      <c r="RI274" s="1260"/>
      <c r="RJ274" s="1260"/>
      <c r="RK274" s="1260"/>
      <c r="RL274" s="1260"/>
      <c r="RM274" s="1260"/>
      <c r="RN274" s="1260"/>
      <c r="RO274" s="1260"/>
      <c r="RP274" s="1260"/>
      <c r="RQ274" s="1260"/>
      <c r="RR274" s="1260"/>
      <c r="RS274" s="1260"/>
      <c r="RT274" s="1260"/>
      <c r="RU274" s="1260"/>
      <c r="RV274" s="1260"/>
      <c r="RW274" s="1260"/>
      <c r="RX274" s="1260"/>
      <c r="RY274" s="1260"/>
      <c r="RZ274" s="1260"/>
      <c r="SA274" s="1260"/>
      <c r="SB274" s="1260"/>
      <c r="SC274" s="1260"/>
      <c r="SD274" s="1260"/>
      <c r="SE274" s="1260"/>
      <c r="SF274" s="1260"/>
      <c r="SG274" s="1260"/>
      <c r="SH274" s="1260"/>
      <c r="SI274" s="1260"/>
      <c r="SJ274" s="1260"/>
      <c r="SK274" s="1260"/>
      <c r="SL274" s="1260"/>
      <c r="SM274" s="1260"/>
      <c r="SN274" s="1260"/>
      <c r="SO274" s="1260"/>
      <c r="SP274" s="1260"/>
      <c r="SQ274" s="1260"/>
      <c r="SR274" s="1260"/>
      <c r="SS274" s="1260"/>
      <c r="ST274" s="1260"/>
      <c r="SU274" s="1260"/>
      <c r="SV274" s="1260"/>
      <c r="SW274" s="1260"/>
      <c r="SX274" s="1260"/>
      <c r="SY274" s="1260"/>
      <c r="SZ274" s="1260"/>
      <c r="TA274" s="1260"/>
      <c r="TB274" s="1260"/>
      <c r="TC274" s="1260"/>
      <c r="TD274" s="1260"/>
      <c r="TE274" s="1260"/>
      <c r="TF274" s="1260"/>
      <c r="TG274" s="1260"/>
      <c r="TH274" s="1260"/>
      <c r="TI274" s="1260"/>
      <c r="TJ274" s="1260"/>
      <c r="TK274" s="1260"/>
      <c r="TL274" s="1260"/>
      <c r="TM274" s="1260"/>
      <c r="TN274" s="1260"/>
      <c r="TO274" s="1260"/>
      <c r="TP274" s="1260"/>
      <c r="TQ274" s="1260"/>
      <c r="TR274" s="1260"/>
      <c r="TS274" s="1260"/>
      <c r="TT274" s="1260"/>
      <c r="TU274" s="1260"/>
      <c r="TV274" s="1260"/>
      <c r="TW274" s="1260"/>
      <c r="TX274" s="1260"/>
      <c r="TY274" s="1260"/>
      <c r="TZ274" s="1260"/>
      <c r="UA274" s="1260"/>
      <c r="UB274" s="1260"/>
      <c r="UC274" s="1260"/>
      <c r="UD274" s="1260"/>
      <c r="UE274" s="1260"/>
      <c r="UF274" s="1260"/>
      <c r="UG274" s="1261"/>
    </row>
    <row r="275" spans="1:553" ht="57" customHeight="1">
      <c r="A275" s="356" t="s">
        <v>53</v>
      </c>
      <c r="B275" s="356"/>
      <c r="C275" s="1413" t="s">
        <v>273</v>
      </c>
      <c r="D275" s="1389"/>
      <c r="E275" s="1389"/>
      <c r="F275" s="1390"/>
      <c r="G275" s="356"/>
      <c r="H275" s="424"/>
      <c r="I275" s="424"/>
      <c r="J275" s="357"/>
      <c r="K275" s="358"/>
      <c r="L275" s="356">
        <f>L276+L277</f>
        <v>5500000</v>
      </c>
      <c r="M275" s="356"/>
      <c r="N275" s="356"/>
      <c r="O275" s="356"/>
      <c r="P275" s="356">
        <f>L275</f>
        <v>5500000</v>
      </c>
      <c r="Q275" s="610"/>
      <c r="R275" s="1447" t="s">
        <v>55</v>
      </c>
      <c r="S275" s="308"/>
      <c r="T275" s="303"/>
      <c r="U275" s="306"/>
      <c r="V275" s="307"/>
      <c r="W275" s="306"/>
      <c r="X275" s="306"/>
      <c r="Y275" s="306"/>
      <c r="Z275" s="306"/>
      <c r="AA275" s="306"/>
      <c r="AB275" s="306"/>
      <c r="AC275" s="456"/>
      <c r="AD275" s="456"/>
      <c r="AE275" s="456"/>
      <c r="AF275" s="456"/>
      <c r="AG275" s="456"/>
      <c r="AH275" s="456"/>
      <c r="AI275" s="456"/>
      <c r="AJ275" s="456"/>
      <c r="AK275" s="456"/>
      <c r="AL275" s="184"/>
      <c r="AM275" s="34"/>
      <c r="AN275" s="34"/>
      <c r="AO275" s="34"/>
      <c r="AP275" s="34"/>
      <c r="AQ275" s="34"/>
      <c r="AR275" s="34"/>
      <c r="AS275" s="34"/>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c r="CY275" s="36"/>
      <c r="CZ275" s="36"/>
      <c r="DA275" s="36"/>
      <c r="DB275" s="36"/>
      <c r="DC275" s="36"/>
      <c r="DD275" s="36"/>
      <c r="DE275" s="36"/>
      <c r="DF275" s="36"/>
      <c r="DG275" s="36"/>
      <c r="DH275" s="36"/>
      <c r="DI275" s="36"/>
      <c r="DJ275" s="36"/>
      <c r="DK275" s="36"/>
      <c r="DL275" s="36"/>
      <c r="DM275" s="36"/>
      <c r="DN275" s="36"/>
      <c r="DO275" s="36"/>
      <c r="DP275" s="36"/>
      <c r="DQ275" s="36"/>
      <c r="DR275" s="36"/>
      <c r="DS275" s="36"/>
      <c r="DT275" s="36"/>
      <c r="DU275" s="36"/>
      <c r="DV275" s="36"/>
      <c r="DW275" s="36"/>
      <c r="DX275" s="36"/>
      <c r="DY275" s="36"/>
      <c r="DZ275" s="36"/>
      <c r="EA275" s="36"/>
      <c r="EB275" s="36"/>
      <c r="EC275" s="36"/>
      <c r="ED275" s="36"/>
      <c r="EE275" s="36"/>
      <c r="EF275" s="36"/>
      <c r="EG275" s="36"/>
      <c r="EH275" s="36"/>
      <c r="EI275" s="36"/>
      <c r="EJ275" s="36"/>
      <c r="EK275" s="36"/>
      <c r="EL275" s="36"/>
      <c r="EM275" s="36"/>
      <c r="EN275" s="36"/>
      <c r="EO275" s="36"/>
      <c r="EP275" s="36"/>
      <c r="EQ275" s="36"/>
      <c r="ER275" s="36"/>
      <c r="ES275" s="36"/>
      <c r="ET275" s="36"/>
      <c r="EU275" s="36"/>
      <c r="EV275" s="36"/>
      <c r="EW275" s="36"/>
      <c r="EX275" s="36"/>
      <c r="EY275" s="36"/>
      <c r="EZ275" s="36"/>
      <c r="FA275" s="36"/>
      <c r="FB275" s="36"/>
      <c r="FC275" s="36"/>
      <c r="FD275" s="36"/>
      <c r="FE275" s="36"/>
      <c r="FF275" s="36"/>
      <c r="FG275" s="36"/>
      <c r="FH275" s="36"/>
      <c r="FI275" s="36"/>
      <c r="FJ275" s="36"/>
      <c r="FK275" s="36"/>
      <c r="FL275" s="36"/>
      <c r="FM275" s="36"/>
      <c r="FN275" s="36"/>
      <c r="FO275" s="36"/>
      <c r="FP275" s="36"/>
      <c r="FQ275" s="36"/>
      <c r="FR275" s="36"/>
      <c r="FS275" s="36"/>
      <c r="FT275" s="36"/>
      <c r="FU275" s="36"/>
      <c r="FV275" s="36"/>
      <c r="FW275" s="36"/>
      <c r="FX275" s="36"/>
      <c r="FY275" s="36"/>
      <c r="FZ275" s="36"/>
      <c r="GA275" s="36"/>
      <c r="GB275" s="36"/>
      <c r="GC275" s="36"/>
      <c r="GD275" s="36"/>
      <c r="GE275" s="36"/>
      <c r="GF275" s="36"/>
      <c r="GG275" s="36"/>
      <c r="GH275" s="36"/>
      <c r="GI275" s="36"/>
      <c r="GJ275" s="36"/>
      <c r="GK275" s="36"/>
      <c r="GL275" s="36"/>
      <c r="GM275" s="36"/>
      <c r="GN275" s="36"/>
      <c r="GO275" s="36"/>
      <c r="GP275" s="36"/>
      <c r="GQ275" s="36"/>
      <c r="GR275" s="36"/>
      <c r="GS275" s="36"/>
      <c r="GT275" s="36"/>
      <c r="GU275" s="36"/>
      <c r="GV275" s="36"/>
      <c r="GW275" s="36"/>
      <c r="GX275" s="36"/>
      <c r="GY275" s="36"/>
      <c r="GZ275" s="36"/>
      <c r="HA275" s="36"/>
      <c r="HB275" s="36"/>
      <c r="HC275" s="36"/>
      <c r="HD275" s="36"/>
      <c r="HE275" s="36"/>
      <c r="HF275" s="36"/>
      <c r="HG275" s="36"/>
      <c r="HH275" s="36"/>
      <c r="HI275" s="36"/>
      <c r="HJ275" s="36"/>
      <c r="HK275" s="36"/>
      <c r="HL275" s="36"/>
      <c r="HM275" s="36"/>
      <c r="HN275" s="36"/>
      <c r="HO275" s="36"/>
      <c r="HP275" s="36"/>
      <c r="HQ275" s="36"/>
      <c r="HR275" s="36"/>
      <c r="HS275" s="36"/>
      <c r="HT275" s="36"/>
      <c r="HU275" s="36"/>
      <c r="HV275" s="36"/>
      <c r="HW275" s="36"/>
      <c r="HX275" s="36"/>
      <c r="HY275" s="36"/>
      <c r="HZ275" s="36"/>
      <c r="IA275" s="36"/>
      <c r="IB275" s="36"/>
      <c r="IC275" s="36"/>
      <c r="ID275" s="36"/>
      <c r="IE275" s="36"/>
      <c r="IF275" s="36"/>
      <c r="IG275" s="36"/>
      <c r="IH275" s="36"/>
      <c r="II275" s="36"/>
      <c r="IJ275" s="36"/>
      <c r="IK275" s="36"/>
      <c r="IL275" s="36"/>
      <c r="IM275" s="36"/>
      <c r="IN275" s="36"/>
      <c r="IO275" s="36"/>
      <c r="IP275" s="36"/>
      <c r="IQ275" s="36"/>
      <c r="IR275" s="36"/>
      <c r="IS275" s="36"/>
      <c r="IT275" s="36"/>
      <c r="IU275" s="36"/>
      <c r="IV275" s="36"/>
      <c r="IW275" s="36"/>
      <c r="IX275" s="36"/>
      <c r="IY275" s="36"/>
      <c r="IZ275" s="36"/>
      <c r="JA275" s="36"/>
      <c r="JB275" s="36"/>
      <c r="JC275" s="36"/>
      <c r="JD275" s="36"/>
      <c r="JE275" s="36"/>
      <c r="JF275" s="36"/>
      <c r="JG275" s="36"/>
      <c r="JH275" s="36"/>
      <c r="JI275" s="36"/>
      <c r="JJ275" s="36"/>
      <c r="JK275" s="36"/>
      <c r="JL275" s="36"/>
      <c r="JM275" s="36"/>
      <c r="JN275" s="36"/>
      <c r="JO275" s="36"/>
      <c r="JP275" s="36"/>
      <c r="JQ275" s="36"/>
      <c r="JR275" s="36"/>
      <c r="JS275" s="36"/>
      <c r="JT275" s="36"/>
      <c r="JU275" s="36"/>
      <c r="JV275" s="36"/>
      <c r="JW275" s="36"/>
      <c r="JX275" s="36"/>
      <c r="JY275" s="36"/>
      <c r="JZ275" s="36"/>
      <c r="KA275" s="36"/>
      <c r="KB275" s="36"/>
      <c r="KC275" s="36"/>
      <c r="KD275" s="36"/>
      <c r="KE275" s="36"/>
      <c r="KF275" s="36"/>
      <c r="KG275" s="36"/>
      <c r="KH275" s="36"/>
      <c r="KI275" s="36"/>
      <c r="KJ275" s="36"/>
      <c r="KK275" s="36"/>
      <c r="KL275" s="36"/>
      <c r="KM275" s="36"/>
      <c r="KN275" s="36"/>
      <c r="KO275" s="36"/>
      <c r="KP275" s="36"/>
      <c r="KQ275" s="36"/>
      <c r="KR275" s="36"/>
      <c r="KS275" s="36"/>
      <c r="KT275" s="36"/>
      <c r="KU275" s="36"/>
      <c r="KV275" s="36"/>
      <c r="KW275" s="36"/>
      <c r="KX275" s="36"/>
      <c r="KY275" s="36"/>
      <c r="KZ275" s="36"/>
      <c r="LA275" s="36"/>
      <c r="LB275" s="36"/>
      <c r="LC275" s="36"/>
      <c r="LD275" s="36"/>
      <c r="LE275" s="36"/>
      <c r="LF275" s="36"/>
      <c r="LG275" s="36"/>
      <c r="LH275" s="36"/>
      <c r="LI275" s="36"/>
      <c r="LJ275" s="36"/>
      <c r="LK275" s="36"/>
      <c r="LL275" s="36"/>
      <c r="LM275" s="36"/>
      <c r="LN275" s="36"/>
      <c r="LO275" s="36"/>
      <c r="LP275" s="36"/>
      <c r="LQ275" s="36"/>
      <c r="LR275" s="36"/>
      <c r="LS275" s="36"/>
      <c r="LT275" s="36"/>
      <c r="LU275" s="36"/>
      <c r="LV275" s="36"/>
      <c r="LW275" s="36"/>
      <c r="LX275" s="36"/>
      <c r="LY275" s="36"/>
      <c r="LZ275" s="36"/>
      <c r="MA275" s="36"/>
      <c r="MB275" s="36"/>
      <c r="MC275" s="36"/>
      <c r="MD275" s="36"/>
      <c r="ME275" s="36"/>
      <c r="MF275" s="36"/>
      <c r="MG275" s="36"/>
      <c r="MH275" s="36"/>
      <c r="MI275" s="36"/>
      <c r="MJ275" s="36"/>
      <c r="MK275" s="36"/>
      <c r="ML275" s="36"/>
      <c r="MM275" s="36"/>
      <c r="MN275" s="36"/>
      <c r="MO275" s="36"/>
      <c r="MP275" s="36"/>
      <c r="MQ275" s="36"/>
      <c r="MR275" s="36"/>
      <c r="MS275" s="36"/>
      <c r="MT275" s="36"/>
      <c r="MU275" s="36"/>
      <c r="MV275" s="36"/>
      <c r="MW275" s="36"/>
      <c r="MX275" s="36"/>
      <c r="MY275" s="36"/>
      <c r="MZ275" s="36"/>
      <c r="NA275" s="36"/>
      <c r="NB275" s="36"/>
      <c r="NC275" s="36"/>
      <c r="ND275" s="36"/>
      <c r="NE275" s="36"/>
      <c r="NF275" s="36"/>
      <c r="NG275" s="36"/>
      <c r="NH275" s="36"/>
      <c r="NI275" s="36"/>
      <c r="NJ275" s="36"/>
      <c r="NK275" s="36"/>
      <c r="NL275" s="36"/>
      <c r="NM275" s="36"/>
      <c r="NN275" s="36"/>
      <c r="NO275" s="36"/>
      <c r="NP275" s="36"/>
      <c r="NQ275" s="36"/>
      <c r="NR275" s="36"/>
      <c r="NS275" s="36"/>
      <c r="NT275" s="36"/>
      <c r="NU275" s="36"/>
      <c r="NV275" s="36"/>
      <c r="NW275" s="36"/>
      <c r="NX275" s="36"/>
      <c r="NY275" s="36"/>
      <c r="NZ275" s="36"/>
      <c r="OA275" s="36"/>
      <c r="OB275" s="36"/>
      <c r="OC275" s="36"/>
      <c r="OD275" s="36"/>
      <c r="OE275" s="36"/>
      <c r="OF275" s="36"/>
      <c r="OG275" s="36"/>
      <c r="OH275" s="36"/>
      <c r="OI275" s="36"/>
      <c r="OJ275" s="36"/>
      <c r="OK275" s="36"/>
      <c r="OL275" s="36"/>
      <c r="OM275" s="36"/>
      <c r="ON275" s="36"/>
      <c r="OO275" s="36"/>
      <c r="OP275" s="36"/>
      <c r="OQ275" s="36"/>
      <c r="OR275" s="36"/>
      <c r="OS275" s="36"/>
      <c r="OT275" s="36"/>
      <c r="OU275" s="36"/>
      <c r="OV275" s="36"/>
      <c r="OW275" s="36"/>
      <c r="OX275" s="36"/>
      <c r="OY275" s="36"/>
      <c r="OZ275" s="36"/>
      <c r="PA275" s="36"/>
      <c r="PB275" s="36"/>
      <c r="PC275" s="36"/>
      <c r="PD275" s="36"/>
      <c r="PE275" s="36"/>
      <c r="PF275" s="36"/>
      <c r="PG275" s="36"/>
      <c r="PH275" s="36"/>
      <c r="PI275" s="36"/>
      <c r="PJ275" s="36"/>
      <c r="PK275" s="36"/>
      <c r="PL275" s="36"/>
      <c r="PM275" s="36"/>
      <c r="PN275" s="36"/>
      <c r="PO275" s="36"/>
      <c r="PP275" s="36"/>
      <c r="PQ275" s="36"/>
      <c r="PR275" s="36"/>
      <c r="PS275" s="36"/>
      <c r="PT275" s="36"/>
      <c r="PU275" s="36"/>
      <c r="PV275" s="36"/>
      <c r="PW275" s="36"/>
      <c r="PX275" s="36"/>
      <c r="PY275" s="36"/>
      <c r="PZ275" s="36"/>
      <c r="QA275" s="36"/>
      <c r="QB275" s="36"/>
      <c r="QC275" s="36"/>
      <c r="QD275" s="36"/>
      <c r="QE275" s="36"/>
      <c r="QF275" s="36"/>
      <c r="QG275" s="36"/>
      <c r="QH275" s="36"/>
      <c r="QI275" s="36"/>
      <c r="QJ275" s="36"/>
      <c r="QK275" s="36"/>
      <c r="QL275" s="36"/>
      <c r="QM275" s="36"/>
      <c r="QN275" s="36"/>
      <c r="QO275" s="36"/>
      <c r="QP275" s="36"/>
      <c r="QQ275" s="36"/>
      <c r="QR275" s="36"/>
      <c r="QS275" s="36"/>
      <c r="QT275" s="36"/>
      <c r="QU275" s="36"/>
      <c r="QV275" s="36"/>
      <c r="QW275" s="36"/>
      <c r="QX275" s="36"/>
      <c r="QY275" s="36"/>
      <c r="QZ275" s="36"/>
      <c r="RA275" s="36"/>
      <c r="RB275" s="36"/>
      <c r="RC275" s="36"/>
      <c r="RD275" s="36"/>
      <c r="RE275" s="36"/>
      <c r="RF275" s="36"/>
      <c r="RG275" s="36"/>
      <c r="RH275" s="36"/>
      <c r="RI275" s="36"/>
      <c r="RJ275" s="36"/>
      <c r="RK275" s="36"/>
      <c r="RL275" s="36"/>
      <c r="RM275" s="36"/>
      <c r="RN275" s="36"/>
      <c r="RO275" s="36"/>
      <c r="RP275" s="36"/>
      <c r="RQ275" s="36"/>
      <c r="RR275" s="36"/>
      <c r="RS275" s="36"/>
      <c r="RT275" s="36"/>
      <c r="RU275" s="36"/>
      <c r="RV275" s="36"/>
      <c r="RW275" s="36"/>
      <c r="RX275" s="36"/>
      <c r="RY275" s="36"/>
      <c r="RZ275" s="36"/>
      <c r="SA275" s="36"/>
      <c r="SB275" s="36"/>
      <c r="SC275" s="36"/>
      <c r="SD275" s="36"/>
      <c r="SE275" s="36"/>
      <c r="SF275" s="36"/>
      <c r="SG275" s="36"/>
      <c r="SH275" s="36"/>
      <c r="SI275" s="36"/>
      <c r="SJ275" s="36"/>
      <c r="SK275" s="36"/>
      <c r="SL275" s="36"/>
      <c r="SM275" s="36"/>
      <c r="SN275" s="36"/>
      <c r="SO275" s="36"/>
      <c r="SP275" s="36"/>
      <c r="SQ275" s="36"/>
      <c r="SR275" s="36"/>
      <c r="SS275" s="36"/>
      <c r="ST275" s="36"/>
      <c r="SU275" s="36"/>
      <c r="SV275" s="36"/>
      <c r="SW275" s="36"/>
      <c r="SX275" s="36"/>
      <c r="SY275" s="36"/>
      <c r="SZ275" s="36"/>
      <c r="TA275" s="36"/>
      <c r="TB275" s="36"/>
      <c r="TC275" s="36"/>
      <c r="TD275" s="36"/>
      <c r="TE275" s="36"/>
      <c r="TF275" s="36"/>
      <c r="TG275" s="36"/>
      <c r="TH275" s="36"/>
      <c r="TI275" s="36"/>
      <c r="TJ275" s="36"/>
      <c r="TK275" s="36"/>
      <c r="TL275" s="36"/>
      <c r="TM275" s="36"/>
      <c r="TN275" s="36"/>
      <c r="TO275" s="36"/>
      <c r="TP275" s="36"/>
      <c r="TQ275" s="36"/>
      <c r="TR275" s="36"/>
      <c r="TS275" s="36"/>
      <c r="TT275" s="36"/>
      <c r="TU275" s="36"/>
      <c r="TV275" s="36"/>
      <c r="TW275" s="36"/>
      <c r="TX275" s="36"/>
      <c r="TY275" s="36"/>
      <c r="TZ275" s="36"/>
      <c r="UA275" s="36"/>
      <c r="UB275" s="36"/>
      <c r="UC275" s="36"/>
      <c r="UD275" s="36"/>
      <c r="UE275" s="36"/>
      <c r="UF275" s="36"/>
      <c r="UG275" s="37"/>
    </row>
    <row r="276" spans="1:553" ht="30" customHeight="1">
      <c r="A276" s="356"/>
      <c r="B276" s="356"/>
      <c r="C276" s="1404" t="s">
        <v>56</v>
      </c>
      <c r="D276" s="1389"/>
      <c r="E276" s="1389"/>
      <c r="F276" s="1390"/>
      <c r="G276" s="366" t="s">
        <v>57</v>
      </c>
      <c r="H276" s="417"/>
      <c r="I276" s="417">
        <v>1</v>
      </c>
      <c r="J276" s="368">
        <v>5000000</v>
      </c>
      <c r="K276" s="369"/>
      <c r="L276" s="366">
        <f t="shared" ref="L276:L277" si="55">I276*J276</f>
        <v>5000000</v>
      </c>
      <c r="M276" s="356"/>
      <c r="N276" s="356"/>
      <c r="O276" s="356"/>
      <c r="P276" s="356"/>
      <c r="Q276" s="610"/>
      <c r="R276" s="1452"/>
      <c r="S276" s="308"/>
      <c r="T276" s="303"/>
      <c r="U276" s="306"/>
      <c r="V276" s="307"/>
      <c r="W276" s="306"/>
      <c r="X276" s="306"/>
      <c r="Y276" s="306"/>
      <c r="Z276" s="306"/>
      <c r="AA276" s="306"/>
      <c r="AB276" s="306"/>
      <c r="AC276" s="456"/>
      <c r="AD276" s="456"/>
      <c r="AE276" s="456"/>
      <c r="AF276" s="456"/>
      <c r="AG276" s="456"/>
      <c r="AH276" s="456"/>
      <c r="AI276" s="456"/>
      <c r="AJ276" s="456"/>
      <c r="AK276" s="456"/>
      <c r="AL276" s="184"/>
      <c r="AM276" s="34"/>
      <c r="AN276" s="34"/>
      <c r="AO276" s="34"/>
      <c r="AP276" s="34"/>
      <c r="AQ276" s="34"/>
      <c r="AR276" s="34"/>
      <c r="AS276" s="34"/>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c r="CP276" s="36"/>
      <c r="CQ276" s="36"/>
      <c r="CR276" s="36"/>
      <c r="CS276" s="36"/>
      <c r="CT276" s="36"/>
      <c r="CU276" s="36"/>
      <c r="CV276" s="36"/>
      <c r="CW276" s="36"/>
      <c r="CX276" s="36"/>
      <c r="CY276" s="36"/>
      <c r="CZ276" s="36"/>
      <c r="DA276" s="36"/>
      <c r="DB276" s="36"/>
      <c r="DC276" s="36"/>
      <c r="DD276" s="36"/>
      <c r="DE276" s="36"/>
      <c r="DF276" s="36"/>
      <c r="DG276" s="36"/>
      <c r="DH276" s="36"/>
      <c r="DI276" s="36"/>
      <c r="DJ276" s="36"/>
      <c r="DK276" s="36"/>
      <c r="DL276" s="36"/>
      <c r="DM276" s="36"/>
      <c r="DN276" s="36"/>
      <c r="DO276" s="36"/>
      <c r="DP276" s="36"/>
      <c r="DQ276" s="36"/>
      <c r="DR276" s="36"/>
      <c r="DS276" s="36"/>
      <c r="DT276" s="36"/>
      <c r="DU276" s="36"/>
      <c r="DV276" s="36"/>
      <c r="DW276" s="36"/>
      <c r="DX276" s="36"/>
      <c r="DY276" s="36"/>
      <c r="DZ276" s="36"/>
      <c r="EA276" s="36"/>
      <c r="EB276" s="36"/>
      <c r="EC276" s="36"/>
      <c r="ED276" s="36"/>
      <c r="EE276" s="36"/>
      <c r="EF276" s="36"/>
      <c r="EG276" s="36"/>
      <c r="EH276" s="36"/>
      <c r="EI276" s="36"/>
      <c r="EJ276" s="36"/>
      <c r="EK276" s="36"/>
      <c r="EL276" s="36"/>
      <c r="EM276" s="36"/>
      <c r="EN276" s="36"/>
      <c r="EO276" s="36"/>
      <c r="EP276" s="36"/>
      <c r="EQ276" s="36"/>
      <c r="ER276" s="36"/>
      <c r="ES276" s="36"/>
      <c r="ET276" s="36"/>
      <c r="EU276" s="36"/>
      <c r="EV276" s="36"/>
      <c r="EW276" s="36"/>
      <c r="EX276" s="36"/>
      <c r="EY276" s="36"/>
      <c r="EZ276" s="36"/>
      <c r="FA276" s="36"/>
      <c r="FB276" s="36"/>
      <c r="FC276" s="36"/>
      <c r="FD276" s="36"/>
      <c r="FE276" s="36"/>
      <c r="FF276" s="36"/>
      <c r="FG276" s="36"/>
      <c r="FH276" s="36"/>
      <c r="FI276" s="36"/>
      <c r="FJ276" s="36"/>
      <c r="FK276" s="36"/>
      <c r="FL276" s="36"/>
      <c r="FM276" s="36"/>
      <c r="FN276" s="36"/>
      <c r="FO276" s="36"/>
      <c r="FP276" s="36"/>
      <c r="FQ276" s="36"/>
      <c r="FR276" s="36"/>
      <c r="FS276" s="36"/>
      <c r="FT276" s="36"/>
      <c r="FU276" s="36"/>
      <c r="FV276" s="36"/>
      <c r="FW276" s="36"/>
      <c r="FX276" s="36"/>
      <c r="FY276" s="36"/>
      <c r="FZ276" s="36"/>
      <c r="GA276" s="36"/>
      <c r="GB276" s="36"/>
      <c r="GC276" s="36"/>
      <c r="GD276" s="36"/>
      <c r="GE276" s="36"/>
      <c r="GF276" s="36"/>
      <c r="GG276" s="36"/>
      <c r="GH276" s="36"/>
      <c r="GI276" s="36"/>
      <c r="GJ276" s="36"/>
      <c r="GK276" s="36"/>
      <c r="GL276" s="36"/>
      <c r="GM276" s="36"/>
      <c r="GN276" s="36"/>
      <c r="GO276" s="36"/>
      <c r="GP276" s="36"/>
      <c r="GQ276" s="36"/>
      <c r="GR276" s="36"/>
      <c r="GS276" s="36"/>
      <c r="GT276" s="36"/>
      <c r="GU276" s="36"/>
      <c r="GV276" s="36"/>
      <c r="GW276" s="36"/>
      <c r="GX276" s="36"/>
      <c r="GY276" s="36"/>
      <c r="GZ276" s="36"/>
      <c r="HA276" s="36"/>
      <c r="HB276" s="36"/>
      <c r="HC276" s="36"/>
      <c r="HD276" s="36"/>
      <c r="HE276" s="36"/>
      <c r="HF276" s="36"/>
      <c r="HG276" s="36"/>
      <c r="HH276" s="36"/>
      <c r="HI276" s="36"/>
      <c r="HJ276" s="36"/>
      <c r="HK276" s="36"/>
      <c r="HL276" s="36"/>
      <c r="HM276" s="36"/>
      <c r="HN276" s="36"/>
      <c r="HO276" s="36"/>
      <c r="HP276" s="36"/>
      <c r="HQ276" s="36"/>
      <c r="HR276" s="36"/>
      <c r="HS276" s="36"/>
      <c r="HT276" s="36"/>
      <c r="HU276" s="36"/>
      <c r="HV276" s="36"/>
      <c r="HW276" s="36"/>
      <c r="HX276" s="36"/>
      <c r="HY276" s="36"/>
      <c r="HZ276" s="36"/>
      <c r="IA276" s="36"/>
      <c r="IB276" s="36"/>
      <c r="IC276" s="36"/>
      <c r="ID276" s="36"/>
      <c r="IE276" s="36"/>
      <c r="IF276" s="36"/>
      <c r="IG276" s="36"/>
      <c r="IH276" s="36"/>
      <c r="II276" s="36"/>
      <c r="IJ276" s="36"/>
      <c r="IK276" s="36"/>
      <c r="IL276" s="36"/>
      <c r="IM276" s="36"/>
      <c r="IN276" s="36"/>
      <c r="IO276" s="36"/>
      <c r="IP276" s="36"/>
      <c r="IQ276" s="36"/>
      <c r="IR276" s="36"/>
      <c r="IS276" s="36"/>
      <c r="IT276" s="36"/>
      <c r="IU276" s="36"/>
      <c r="IV276" s="36"/>
      <c r="IW276" s="36"/>
      <c r="IX276" s="36"/>
      <c r="IY276" s="36"/>
      <c r="IZ276" s="36"/>
      <c r="JA276" s="36"/>
      <c r="JB276" s="36"/>
      <c r="JC276" s="36"/>
      <c r="JD276" s="36"/>
      <c r="JE276" s="36"/>
      <c r="JF276" s="36"/>
      <c r="JG276" s="36"/>
      <c r="JH276" s="36"/>
      <c r="JI276" s="36"/>
      <c r="JJ276" s="36"/>
      <c r="JK276" s="36"/>
      <c r="JL276" s="36"/>
      <c r="JM276" s="36"/>
      <c r="JN276" s="36"/>
      <c r="JO276" s="36"/>
      <c r="JP276" s="36"/>
      <c r="JQ276" s="36"/>
      <c r="JR276" s="36"/>
      <c r="JS276" s="36"/>
      <c r="JT276" s="36"/>
      <c r="JU276" s="36"/>
      <c r="JV276" s="36"/>
      <c r="JW276" s="36"/>
      <c r="JX276" s="36"/>
      <c r="JY276" s="36"/>
      <c r="JZ276" s="36"/>
      <c r="KA276" s="36"/>
      <c r="KB276" s="36"/>
      <c r="KC276" s="36"/>
      <c r="KD276" s="36"/>
      <c r="KE276" s="36"/>
      <c r="KF276" s="36"/>
      <c r="KG276" s="36"/>
      <c r="KH276" s="36"/>
      <c r="KI276" s="36"/>
      <c r="KJ276" s="36"/>
      <c r="KK276" s="36"/>
      <c r="KL276" s="36"/>
      <c r="KM276" s="36"/>
      <c r="KN276" s="36"/>
      <c r="KO276" s="36"/>
      <c r="KP276" s="36"/>
      <c r="KQ276" s="36"/>
      <c r="KR276" s="36"/>
      <c r="KS276" s="36"/>
      <c r="KT276" s="36"/>
      <c r="KU276" s="36"/>
      <c r="KV276" s="36"/>
      <c r="KW276" s="36"/>
      <c r="KX276" s="36"/>
      <c r="KY276" s="36"/>
      <c r="KZ276" s="36"/>
      <c r="LA276" s="36"/>
      <c r="LB276" s="36"/>
      <c r="LC276" s="36"/>
      <c r="LD276" s="36"/>
      <c r="LE276" s="36"/>
      <c r="LF276" s="36"/>
      <c r="LG276" s="36"/>
      <c r="LH276" s="36"/>
      <c r="LI276" s="36"/>
      <c r="LJ276" s="36"/>
      <c r="LK276" s="36"/>
      <c r="LL276" s="36"/>
      <c r="LM276" s="36"/>
      <c r="LN276" s="36"/>
      <c r="LO276" s="36"/>
      <c r="LP276" s="36"/>
      <c r="LQ276" s="36"/>
      <c r="LR276" s="36"/>
      <c r="LS276" s="36"/>
      <c r="LT276" s="36"/>
      <c r="LU276" s="36"/>
      <c r="LV276" s="36"/>
      <c r="LW276" s="36"/>
      <c r="LX276" s="36"/>
      <c r="LY276" s="36"/>
      <c r="LZ276" s="36"/>
      <c r="MA276" s="36"/>
      <c r="MB276" s="36"/>
      <c r="MC276" s="36"/>
      <c r="MD276" s="36"/>
      <c r="ME276" s="36"/>
      <c r="MF276" s="36"/>
      <c r="MG276" s="36"/>
      <c r="MH276" s="36"/>
      <c r="MI276" s="36"/>
      <c r="MJ276" s="36"/>
      <c r="MK276" s="36"/>
      <c r="ML276" s="36"/>
      <c r="MM276" s="36"/>
      <c r="MN276" s="36"/>
      <c r="MO276" s="36"/>
      <c r="MP276" s="36"/>
      <c r="MQ276" s="36"/>
      <c r="MR276" s="36"/>
      <c r="MS276" s="36"/>
      <c r="MT276" s="36"/>
      <c r="MU276" s="36"/>
      <c r="MV276" s="36"/>
      <c r="MW276" s="36"/>
      <c r="MX276" s="36"/>
      <c r="MY276" s="36"/>
      <c r="MZ276" s="36"/>
      <c r="NA276" s="36"/>
      <c r="NB276" s="36"/>
      <c r="NC276" s="36"/>
      <c r="ND276" s="36"/>
      <c r="NE276" s="36"/>
      <c r="NF276" s="36"/>
      <c r="NG276" s="36"/>
      <c r="NH276" s="36"/>
      <c r="NI276" s="36"/>
      <c r="NJ276" s="36"/>
      <c r="NK276" s="36"/>
      <c r="NL276" s="36"/>
      <c r="NM276" s="36"/>
      <c r="NN276" s="36"/>
      <c r="NO276" s="36"/>
      <c r="NP276" s="36"/>
      <c r="NQ276" s="36"/>
      <c r="NR276" s="36"/>
      <c r="NS276" s="36"/>
      <c r="NT276" s="36"/>
      <c r="NU276" s="36"/>
      <c r="NV276" s="36"/>
      <c r="NW276" s="36"/>
      <c r="NX276" s="36"/>
      <c r="NY276" s="36"/>
      <c r="NZ276" s="36"/>
      <c r="OA276" s="36"/>
      <c r="OB276" s="36"/>
      <c r="OC276" s="36"/>
      <c r="OD276" s="36"/>
      <c r="OE276" s="36"/>
      <c r="OF276" s="36"/>
      <c r="OG276" s="36"/>
      <c r="OH276" s="36"/>
      <c r="OI276" s="36"/>
      <c r="OJ276" s="36"/>
      <c r="OK276" s="36"/>
      <c r="OL276" s="36"/>
      <c r="OM276" s="36"/>
      <c r="ON276" s="36"/>
      <c r="OO276" s="36"/>
      <c r="OP276" s="36"/>
      <c r="OQ276" s="36"/>
      <c r="OR276" s="36"/>
      <c r="OS276" s="36"/>
      <c r="OT276" s="36"/>
      <c r="OU276" s="36"/>
      <c r="OV276" s="36"/>
      <c r="OW276" s="36"/>
      <c r="OX276" s="36"/>
      <c r="OY276" s="36"/>
      <c r="OZ276" s="36"/>
      <c r="PA276" s="36"/>
      <c r="PB276" s="36"/>
      <c r="PC276" s="36"/>
      <c r="PD276" s="36"/>
      <c r="PE276" s="36"/>
      <c r="PF276" s="36"/>
      <c r="PG276" s="36"/>
      <c r="PH276" s="36"/>
      <c r="PI276" s="36"/>
      <c r="PJ276" s="36"/>
      <c r="PK276" s="36"/>
      <c r="PL276" s="36"/>
      <c r="PM276" s="36"/>
      <c r="PN276" s="36"/>
      <c r="PO276" s="36"/>
      <c r="PP276" s="36"/>
      <c r="PQ276" s="36"/>
      <c r="PR276" s="36"/>
      <c r="PS276" s="36"/>
      <c r="PT276" s="36"/>
      <c r="PU276" s="36"/>
      <c r="PV276" s="36"/>
      <c r="PW276" s="36"/>
      <c r="PX276" s="36"/>
      <c r="PY276" s="36"/>
      <c r="PZ276" s="36"/>
      <c r="QA276" s="36"/>
      <c r="QB276" s="36"/>
      <c r="QC276" s="36"/>
      <c r="QD276" s="36"/>
      <c r="QE276" s="36"/>
      <c r="QF276" s="36"/>
      <c r="QG276" s="36"/>
      <c r="QH276" s="36"/>
      <c r="QI276" s="36"/>
      <c r="QJ276" s="36"/>
      <c r="QK276" s="36"/>
      <c r="QL276" s="36"/>
      <c r="QM276" s="36"/>
      <c r="QN276" s="36"/>
      <c r="QO276" s="36"/>
      <c r="QP276" s="36"/>
      <c r="QQ276" s="36"/>
      <c r="QR276" s="36"/>
      <c r="QS276" s="36"/>
      <c r="QT276" s="36"/>
      <c r="QU276" s="36"/>
      <c r="QV276" s="36"/>
      <c r="QW276" s="36"/>
      <c r="QX276" s="36"/>
      <c r="QY276" s="36"/>
      <c r="QZ276" s="36"/>
      <c r="RA276" s="36"/>
      <c r="RB276" s="36"/>
      <c r="RC276" s="36"/>
      <c r="RD276" s="36"/>
      <c r="RE276" s="36"/>
      <c r="RF276" s="36"/>
      <c r="RG276" s="36"/>
      <c r="RH276" s="36"/>
      <c r="RI276" s="36"/>
      <c r="RJ276" s="36"/>
      <c r="RK276" s="36"/>
      <c r="RL276" s="36"/>
      <c r="RM276" s="36"/>
      <c r="RN276" s="36"/>
      <c r="RO276" s="36"/>
      <c r="RP276" s="36"/>
      <c r="RQ276" s="36"/>
      <c r="RR276" s="36"/>
      <c r="RS276" s="36"/>
      <c r="RT276" s="36"/>
      <c r="RU276" s="36"/>
      <c r="RV276" s="36"/>
      <c r="RW276" s="36"/>
      <c r="RX276" s="36"/>
      <c r="RY276" s="36"/>
      <c r="RZ276" s="36"/>
      <c r="SA276" s="36"/>
      <c r="SB276" s="36"/>
      <c r="SC276" s="36"/>
      <c r="SD276" s="36"/>
      <c r="SE276" s="36"/>
      <c r="SF276" s="36"/>
      <c r="SG276" s="36"/>
      <c r="SH276" s="36"/>
      <c r="SI276" s="36"/>
      <c r="SJ276" s="36"/>
      <c r="SK276" s="36"/>
      <c r="SL276" s="36"/>
      <c r="SM276" s="36"/>
      <c r="SN276" s="36"/>
      <c r="SO276" s="36"/>
      <c r="SP276" s="36"/>
      <c r="SQ276" s="36"/>
      <c r="SR276" s="36"/>
      <c r="SS276" s="36"/>
      <c r="ST276" s="36"/>
      <c r="SU276" s="36"/>
      <c r="SV276" s="36"/>
      <c r="SW276" s="36"/>
      <c r="SX276" s="36"/>
      <c r="SY276" s="36"/>
      <c r="SZ276" s="36"/>
      <c r="TA276" s="36"/>
      <c r="TB276" s="36"/>
      <c r="TC276" s="36"/>
      <c r="TD276" s="36"/>
      <c r="TE276" s="36"/>
      <c r="TF276" s="36"/>
      <c r="TG276" s="36"/>
      <c r="TH276" s="36"/>
      <c r="TI276" s="36"/>
      <c r="TJ276" s="36"/>
      <c r="TK276" s="36"/>
      <c r="TL276" s="36"/>
      <c r="TM276" s="36"/>
      <c r="TN276" s="36"/>
      <c r="TO276" s="36"/>
      <c r="TP276" s="36"/>
      <c r="TQ276" s="36"/>
      <c r="TR276" s="36"/>
      <c r="TS276" s="36"/>
      <c r="TT276" s="36"/>
      <c r="TU276" s="36"/>
      <c r="TV276" s="36"/>
      <c r="TW276" s="36"/>
      <c r="TX276" s="36"/>
      <c r="TY276" s="36"/>
      <c r="TZ276" s="36"/>
      <c r="UA276" s="36"/>
      <c r="UB276" s="36"/>
      <c r="UC276" s="36"/>
      <c r="UD276" s="36"/>
      <c r="UE276" s="36"/>
      <c r="UF276" s="36"/>
      <c r="UG276" s="37"/>
    </row>
    <row r="277" spans="1:553" ht="30" customHeight="1">
      <c r="A277" s="356"/>
      <c r="B277" s="356"/>
      <c r="C277" s="1404" t="s">
        <v>204</v>
      </c>
      <c r="D277" s="1389"/>
      <c r="E277" s="1389"/>
      <c r="F277" s="1390"/>
      <c r="G277" s="366" t="s">
        <v>205</v>
      </c>
      <c r="H277" s="417"/>
      <c r="I277" s="417">
        <v>1</v>
      </c>
      <c r="J277" s="368">
        <v>500000</v>
      </c>
      <c r="K277" s="369"/>
      <c r="L277" s="366">
        <f t="shared" si="55"/>
        <v>500000</v>
      </c>
      <c r="M277" s="356"/>
      <c r="N277" s="356"/>
      <c r="O277" s="356"/>
      <c r="P277" s="356"/>
      <c r="Q277" s="610"/>
      <c r="R277" s="1452"/>
      <c r="S277" s="308"/>
      <c r="T277" s="303"/>
      <c r="U277" s="306"/>
      <c r="V277" s="307"/>
      <c r="W277" s="306"/>
      <c r="X277" s="306"/>
      <c r="Y277" s="306"/>
      <c r="Z277" s="306"/>
      <c r="AA277" s="306"/>
      <c r="AB277" s="306"/>
      <c r="AC277" s="456"/>
      <c r="AD277" s="456"/>
      <c r="AE277" s="456"/>
      <c r="AF277" s="456"/>
      <c r="AG277" s="456"/>
      <c r="AH277" s="456"/>
      <c r="AI277" s="456"/>
      <c r="AJ277" s="456"/>
      <c r="AK277" s="456"/>
      <c r="AL277" s="184"/>
      <c r="AM277" s="34"/>
      <c r="AN277" s="34"/>
      <c r="AO277" s="34"/>
      <c r="AP277" s="34"/>
      <c r="AQ277" s="34"/>
      <c r="AR277" s="34"/>
      <c r="AS277" s="34"/>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6"/>
      <c r="BQ277" s="36"/>
      <c r="BR277" s="36"/>
      <c r="BS277" s="36"/>
      <c r="BT277" s="36"/>
      <c r="BU277" s="36"/>
      <c r="BV277" s="36"/>
      <c r="BW277" s="36"/>
      <c r="BX277" s="36"/>
      <c r="BY277" s="36"/>
      <c r="BZ277" s="36"/>
      <c r="CA277" s="36"/>
      <c r="CB277" s="36"/>
      <c r="CC277" s="36"/>
      <c r="CD277" s="36"/>
      <c r="CE277" s="36"/>
      <c r="CF277" s="36"/>
      <c r="CG277" s="36"/>
      <c r="CH277" s="36"/>
      <c r="CI277" s="36"/>
      <c r="CJ277" s="36"/>
      <c r="CK277" s="36"/>
      <c r="CL277" s="36"/>
      <c r="CM277" s="36"/>
      <c r="CN277" s="36"/>
      <c r="CO277" s="36"/>
      <c r="CP277" s="36"/>
      <c r="CQ277" s="36"/>
      <c r="CR277" s="36"/>
      <c r="CS277" s="36"/>
      <c r="CT277" s="36"/>
      <c r="CU277" s="36"/>
      <c r="CV277" s="36"/>
      <c r="CW277" s="36"/>
      <c r="CX277" s="36"/>
      <c r="CY277" s="36"/>
      <c r="CZ277" s="36"/>
      <c r="DA277" s="36"/>
      <c r="DB277" s="36"/>
      <c r="DC277" s="36"/>
      <c r="DD277" s="36"/>
      <c r="DE277" s="36"/>
      <c r="DF277" s="36"/>
      <c r="DG277" s="36"/>
      <c r="DH277" s="36"/>
      <c r="DI277" s="36"/>
      <c r="DJ277" s="36"/>
      <c r="DK277" s="36"/>
      <c r="DL277" s="36"/>
      <c r="DM277" s="36"/>
      <c r="DN277" s="36"/>
      <c r="DO277" s="36"/>
      <c r="DP277" s="36"/>
      <c r="DQ277" s="36"/>
      <c r="DR277" s="36"/>
      <c r="DS277" s="36"/>
      <c r="DT277" s="36"/>
      <c r="DU277" s="36"/>
      <c r="DV277" s="36"/>
      <c r="DW277" s="36"/>
      <c r="DX277" s="36"/>
      <c r="DY277" s="36"/>
      <c r="DZ277" s="36"/>
      <c r="EA277" s="36"/>
      <c r="EB277" s="36"/>
      <c r="EC277" s="36"/>
      <c r="ED277" s="36"/>
      <c r="EE277" s="36"/>
      <c r="EF277" s="36"/>
      <c r="EG277" s="36"/>
      <c r="EH277" s="36"/>
      <c r="EI277" s="36"/>
      <c r="EJ277" s="36"/>
      <c r="EK277" s="36"/>
      <c r="EL277" s="36"/>
      <c r="EM277" s="36"/>
      <c r="EN277" s="36"/>
      <c r="EO277" s="36"/>
      <c r="EP277" s="36"/>
      <c r="EQ277" s="36"/>
      <c r="ER277" s="36"/>
      <c r="ES277" s="36"/>
      <c r="ET277" s="36"/>
      <c r="EU277" s="36"/>
      <c r="EV277" s="36"/>
      <c r="EW277" s="36"/>
      <c r="EX277" s="36"/>
      <c r="EY277" s="36"/>
      <c r="EZ277" s="36"/>
      <c r="FA277" s="36"/>
      <c r="FB277" s="36"/>
      <c r="FC277" s="36"/>
      <c r="FD277" s="36"/>
      <c r="FE277" s="36"/>
      <c r="FF277" s="36"/>
      <c r="FG277" s="36"/>
      <c r="FH277" s="36"/>
      <c r="FI277" s="36"/>
      <c r="FJ277" s="36"/>
      <c r="FK277" s="36"/>
      <c r="FL277" s="36"/>
      <c r="FM277" s="36"/>
      <c r="FN277" s="36"/>
      <c r="FO277" s="36"/>
      <c r="FP277" s="36"/>
      <c r="FQ277" s="36"/>
      <c r="FR277" s="36"/>
      <c r="FS277" s="36"/>
      <c r="FT277" s="36"/>
      <c r="FU277" s="36"/>
      <c r="FV277" s="36"/>
      <c r="FW277" s="36"/>
      <c r="FX277" s="36"/>
      <c r="FY277" s="36"/>
      <c r="FZ277" s="36"/>
      <c r="GA277" s="36"/>
      <c r="GB277" s="36"/>
      <c r="GC277" s="36"/>
      <c r="GD277" s="36"/>
      <c r="GE277" s="36"/>
      <c r="GF277" s="36"/>
      <c r="GG277" s="36"/>
      <c r="GH277" s="36"/>
      <c r="GI277" s="36"/>
      <c r="GJ277" s="36"/>
      <c r="GK277" s="36"/>
      <c r="GL277" s="36"/>
      <c r="GM277" s="36"/>
      <c r="GN277" s="36"/>
      <c r="GO277" s="36"/>
      <c r="GP277" s="36"/>
      <c r="GQ277" s="36"/>
      <c r="GR277" s="36"/>
      <c r="GS277" s="36"/>
      <c r="GT277" s="36"/>
      <c r="GU277" s="36"/>
      <c r="GV277" s="36"/>
      <c r="GW277" s="36"/>
      <c r="GX277" s="36"/>
      <c r="GY277" s="36"/>
      <c r="GZ277" s="36"/>
      <c r="HA277" s="36"/>
      <c r="HB277" s="36"/>
      <c r="HC277" s="36"/>
      <c r="HD277" s="36"/>
      <c r="HE277" s="36"/>
      <c r="HF277" s="36"/>
      <c r="HG277" s="36"/>
      <c r="HH277" s="36"/>
      <c r="HI277" s="36"/>
      <c r="HJ277" s="36"/>
      <c r="HK277" s="36"/>
      <c r="HL277" s="36"/>
      <c r="HM277" s="36"/>
      <c r="HN277" s="36"/>
      <c r="HO277" s="36"/>
      <c r="HP277" s="36"/>
      <c r="HQ277" s="36"/>
      <c r="HR277" s="36"/>
      <c r="HS277" s="36"/>
      <c r="HT277" s="36"/>
      <c r="HU277" s="36"/>
      <c r="HV277" s="36"/>
      <c r="HW277" s="36"/>
      <c r="HX277" s="36"/>
      <c r="HY277" s="36"/>
      <c r="HZ277" s="36"/>
      <c r="IA277" s="36"/>
      <c r="IB277" s="36"/>
      <c r="IC277" s="36"/>
      <c r="ID277" s="36"/>
      <c r="IE277" s="36"/>
      <c r="IF277" s="36"/>
      <c r="IG277" s="36"/>
      <c r="IH277" s="36"/>
      <c r="II277" s="36"/>
      <c r="IJ277" s="36"/>
      <c r="IK277" s="36"/>
      <c r="IL277" s="36"/>
      <c r="IM277" s="36"/>
      <c r="IN277" s="36"/>
      <c r="IO277" s="36"/>
      <c r="IP277" s="36"/>
      <c r="IQ277" s="36"/>
      <c r="IR277" s="36"/>
      <c r="IS277" s="36"/>
      <c r="IT277" s="36"/>
      <c r="IU277" s="36"/>
      <c r="IV277" s="36"/>
      <c r="IW277" s="36"/>
      <c r="IX277" s="36"/>
      <c r="IY277" s="36"/>
      <c r="IZ277" s="36"/>
      <c r="JA277" s="36"/>
      <c r="JB277" s="36"/>
      <c r="JC277" s="36"/>
      <c r="JD277" s="36"/>
      <c r="JE277" s="36"/>
      <c r="JF277" s="36"/>
      <c r="JG277" s="36"/>
      <c r="JH277" s="36"/>
      <c r="JI277" s="36"/>
      <c r="JJ277" s="36"/>
      <c r="JK277" s="36"/>
      <c r="JL277" s="36"/>
      <c r="JM277" s="36"/>
      <c r="JN277" s="36"/>
      <c r="JO277" s="36"/>
      <c r="JP277" s="36"/>
      <c r="JQ277" s="36"/>
      <c r="JR277" s="36"/>
      <c r="JS277" s="36"/>
      <c r="JT277" s="36"/>
      <c r="JU277" s="36"/>
      <c r="JV277" s="36"/>
      <c r="JW277" s="36"/>
      <c r="JX277" s="36"/>
      <c r="JY277" s="36"/>
      <c r="JZ277" s="36"/>
      <c r="KA277" s="36"/>
      <c r="KB277" s="36"/>
      <c r="KC277" s="36"/>
      <c r="KD277" s="36"/>
      <c r="KE277" s="36"/>
      <c r="KF277" s="36"/>
      <c r="KG277" s="36"/>
      <c r="KH277" s="36"/>
      <c r="KI277" s="36"/>
      <c r="KJ277" s="36"/>
      <c r="KK277" s="36"/>
      <c r="KL277" s="36"/>
      <c r="KM277" s="36"/>
      <c r="KN277" s="36"/>
      <c r="KO277" s="36"/>
      <c r="KP277" s="36"/>
      <c r="KQ277" s="36"/>
      <c r="KR277" s="36"/>
      <c r="KS277" s="36"/>
      <c r="KT277" s="36"/>
      <c r="KU277" s="36"/>
      <c r="KV277" s="36"/>
      <c r="KW277" s="36"/>
      <c r="KX277" s="36"/>
      <c r="KY277" s="36"/>
      <c r="KZ277" s="36"/>
      <c r="LA277" s="36"/>
      <c r="LB277" s="36"/>
      <c r="LC277" s="36"/>
      <c r="LD277" s="36"/>
      <c r="LE277" s="36"/>
      <c r="LF277" s="36"/>
      <c r="LG277" s="36"/>
      <c r="LH277" s="36"/>
      <c r="LI277" s="36"/>
      <c r="LJ277" s="36"/>
      <c r="LK277" s="36"/>
      <c r="LL277" s="36"/>
      <c r="LM277" s="36"/>
      <c r="LN277" s="36"/>
      <c r="LO277" s="36"/>
      <c r="LP277" s="36"/>
      <c r="LQ277" s="36"/>
      <c r="LR277" s="36"/>
      <c r="LS277" s="36"/>
      <c r="LT277" s="36"/>
      <c r="LU277" s="36"/>
      <c r="LV277" s="36"/>
      <c r="LW277" s="36"/>
      <c r="LX277" s="36"/>
      <c r="LY277" s="36"/>
      <c r="LZ277" s="36"/>
      <c r="MA277" s="36"/>
      <c r="MB277" s="36"/>
      <c r="MC277" s="36"/>
      <c r="MD277" s="36"/>
      <c r="ME277" s="36"/>
      <c r="MF277" s="36"/>
      <c r="MG277" s="36"/>
      <c r="MH277" s="36"/>
      <c r="MI277" s="36"/>
      <c r="MJ277" s="36"/>
      <c r="MK277" s="36"/>
      <c r="ML277" s="36"/>
      <c r="MM277" s="36"/>
      <c r="MN277" s="36"/>
      <c r="MO277" s="36"/>
      <c r="MP277" s="36"/>
      <c r="MQ277" s="36"/>
      <c r="MR277" s="36"/>
      <c r="MS277" s="36"/>
      <c r="MT277" s="36"/>
      <c r="MU277" s="36"/>
      <c r="MV277" s="36"/>
      <c r="MW277" s="36"/>
      <c r="MX277" s="36"/>
      <c r="MY277" s="36"/>
      <c r="MZ277" s="36"/>
      <c r="NA277" s="36"/>
      <c r="NB277" s="36"/>
      <c r="NC277" s="36"/>
      <c r="ND277" s="36"/>
      <c r="NE277" s="36"/>
      <c r="NF277" s="36"/>
      <c r="NG277" s="36"/>
      <c r="NH277" s="36"/>
      <c r="NI277" s="36"/>
      <c r="NJ277" s="36"/>
      <c r="NK277" s="36"/>
      <c r="NL277" s="36"/>
      <c r="NM277" s="36"/>
      <c r="NN277" s="36"/>
      <c r="NO277" s="36"/>
      <c r="NP277" s="36"/>
      <c r="NQ277" s="36"/>
      <c r="NR277" s="36"/>
      <c r="NS277" s="36"/>
      <c r="NT277" s="36"/>
      <c r="NU277" s="36"/>
      <c r="NV277" s="36"/>
      <c r="NW277" s="36"/>
      <c r="NX277" s="36"/>
      <c r="NY277" s="36"/>
      <c r="NZ277" s="36"/>
      <c r="OA277" s="36"/>
      <c r="OB277" s="36"/>
      <c r="OC277" s="36"/>
      <c r="OD277" s="36"/>
      <c r="OE277" s="36"/>
      <c r="OF277" s="36"/>
      <c r="OG277" s="36"/>
      <c r="OH277" s="36"/>
      <c r="OI277" s="36"/>
      <c r="OJ277" s="36"/>
      <c r="OK277" s="36"/>
      <c r="OL277" s="36"/>
      <c r="OM277" s="36"/>
      <c r="ON277" s="36"/>
      <c r="OO277" s="36"/>
      <c r="OP277" s="36"/>
      <c r="OQ277" s="36"/>
      <c r="OR277" s="36"/>
      <c r="OS277" s="36"/>
      <c r="OT277" s="36"/>
      <c r="OU277" s="36"/>
      <c r="OV277" s="36"/>
      <c r="OW277" s="36"/>
      <c r="OX277" s="36"/>
      <c r="OY277" s="36"/>
      <c r="OZ277" s="36"/>
      <c r="PA277" s="36"/>
      <c r="PB277" s="36"/>
      <c r="PC277" s="36"/>
      <c r="PD277" s="36"/>
      <c r="PE277" s="36"/>
      <c r="PF277" s="36"/>
      <c r="PG277" s="36"/>
      <c r="PH277" s="36"/>
      <c r="PI277" s="36"/>
      <c r="PJ277" s="36"/>
      <c r="PK277" s="36"/>
      <c r="PL277" s="36"/>
      <c r="PM277" s="36"/>
      <c r="PN277" s="36"/>
      <c r="PO277" s="36"/>
      <c r="PP277" s="36"/>
      <c r="PQ277" s="36"/>
      <c r="PR277" s="36"/>
      <c r="PS277" s="36"/>
      <c r="PT277" s="36"/>
      <c r="PU277" s="36"/>
      <c r="PV277" s="36"/>
      <c r="PW277" s="36"/>
      <c r="PX277" s="36"/>
      <c r="PY277" s="36"/>
      <c r="PZ277" s="36"/>
      <c r="QA277" s="36"/>
      <c r="QB277" s="36"/>
      <c r="QC277" s="36"/>
      <c r="QD277" s="36"/>
      <c r="QE277" s="36"/>
      <c r="QF277" s="36"/>
      <c r="QG277" s="36"/>
      <c r="QH277" s="36"/>
      <c r="QI277" s="36"/>
      <c r="QJ277" s="36"/>
      <c r="QK277" s="36"/>
      <c r="QL277" s="36"/>
      <c r="QM277" s="36"/>
      <c r="QN277" s="36"/>
      <c r="QO277" s="36"/>
      <c r="QP277" s="36"/>
      <c r="QQ277" s="36"/>
      <c r="QR277" s="36"/>
      <c r="QS277" s="36"/>
      <c r="QT277" s="36"/>
      <c r="QU277" s="36"/>
      <c r="QV277" s="36"/>
      <c r="QW277" s="36"/>
      <c r="QX277" s="36"/>
      <c r="QY277" s="36"/>
      <c r="QZ277" s="36"/>
      <c r="RA277" s="36"/>
      <c r="RB277" s="36"/>
      <c r="RC277" s="36"/>
      <c r="RD277" s="36"/>
      <c r="RE277" s="36"/>
      <c r="RF277" s="36"/>
      <c r="RG277" s="36"/>
      <c r="RH277" s="36"/>
      <c r="RI277" s="36"/>
      <c r="RJ277" s="36"/>
      <c r="RK277" s="36"/>
      <c r="RL277" s="36"/>
      <c r="RM277" s="36"/>
      <c r="RN277" s="36"/>
      <c r="RO277" s="36"/>
      <c r="RP277" s="36"/>
      <c r="RQ277" s="36"/>
      <c r="RR277" s="36"/>
      <c r="RS277" s="36"/>
      <c r="RT277" s="36"/>
      <c r="RU277" s="36"/>
      <c r="RV277" s="36"/>
      <c r="RW277" s="36"/>
      <c r="RX277" s="36"/>
      <c r="RY277" s="36"/>
      <c r="RZ277" s="36"/>
      <c r="SA277" s="36"/>
      <c r="SB277" s="36"/>
      <c r="SC277" s="36"/>
      <c r="SD277" s="36"/>
      <c r="SE277" s="36"/>
      <c r="SF277" s="36"/>
      <c r="SG277" s="36"/>
      <c r="SH277" s="36"/>
      <c r="SI277" s="36"/>
      <c r="SJ277" s="36"/>
      <c r="SK277" s="36"/>
      <c r="SL277" s="36"/>
      <c r="SM277" s="36"/>
      <c r="SN277" s="36"/>
      <c r="SO277" s="36"/>
      <c r="SP277" s="36"/>
      <c r="SQ277" s="36"/>
      <c r="SR277" s="36"/>
      <c r="SS277" s="36"/>
      <c r="ST277" s="36"/>
      <c r="SU277" s="36"/>
      <c r="SV277" s="36"/>
      <c r="SW277" s="36"/>
      <c r="SX277" s="36"/>
      <c r="SY277" s="36"/>
      <c r="SZ277" s="36"/>
      <c r="TA277" s="36"/>
      <c r="TB277" s="36"/>
      <c r="TC277" s="36"/>
      <c r="TD277" s="36"/>
      <c r="TE277" s="36"/>
      <c r="TF277" s="36"/>
      <c r="TG277" s="36"/>
      <c r="TH277" s="36"/>
      <c r="TI277" s="36"/>
      <c r="TJ277" s="36"/>
      <c r="TK277" s="36"/>
      <c r="TL277" s="36"/>
      <c r="TM277" s="36"/>
      <c r="TN277" s="36"/>
      <c r="TO277" s="36"/>
      <c r="TP277" s="36"/>
      <c r="TQ277" s="36"/>
      <c r="TR277" s="36"/>
      <c r="TS277" s="36"/>
      <c r="TT277" s="36"/>
      <c r="TU277" s="36"/>
      <c r="TV277" s="36"/>
      <c r="TW277" s="36"/>
      <c r="TX277" s="36"/>
      <c r="TY277" s="36"/>
      <c r="TZ277" s="36"/>
      <c r="UA277" s="36"/>
      <c r="UB277" s="36"/>
      <c r="UC277" s="36"/>
      <c r="UD277" s="36"/>
      <c r="UE277" s="36"/>
      <c r="UF277" s="36"/>
      <c r="UG277" s="37"/>
    </row>
    <row r="278" spans="1:553" ht="45" customHeight="1">
      <c r="A278" s="356" t="s">
        <v>58</v>
      </c>
      <c r="B278" s="356"/>
      <c r="C278" s="1413" t="s">
        <v>59</v>
      </c>
      <c r="D278" s="1389"/>
      <c r="E278" s="1389"/>
      <c r="F278" s="1390"/>
      <c r="G278" s="366"/>
      <c r="H278" s="370"/>
      <c r="I278" s="370"/>
      <c r="J278" s="368"/>
      <c r="K278" s="371"/>
      <c r="L278" s="356">
        <f>SUM(L279:L299)</f>
        <v>737522600</v>
      </c>
      <c r="M278" s="356"/>
      <c r="N278" s="356"/>
      <c r="O278" s="356"/>
      <c r="P278" s="356">
        <f>L278</f>
        <v>737522600</v>
      </c>
      <c r="Q278" s="610"/>
      <c r="R278" s="1447" t="s">
        <v>903</v>
      </c>
      <c r="S278" s="308"/>
      <c r="T278" s="303"/>
      <c r="U278" s="306"/>
      <c r="V278" s="307"/>
      <c r="W278" s="306"/>
      <c r="X278" s="306"/>
      <c r="Y278" s="306"/>
      <c r="Z278" s="306"/>
      <c r="AA278" s="306"/>
      <c r="AB278" s="306"/>
      <c r="AC278" s="449"/>
      <c r="AD278" s="449"/>
      <c r="AE278" s="449"/>
      <c r="AF278" s="449"/>
      <c r="AG278" s="449"/>
      <c r="AH278" s="449"/>
      <c r="AI278" s="449"/>
      <c r="AJ278" s="449"/>
      <c r="AK278" s="452"/>
      <c r="AL278" s="104"/>
      <c r="AM278" s="32"/>
      <c r="AN278" s="32"/>
      <c r="AO278" s="32"/>
      <c r="AP278" s="32"/>
      <c r="AQ278" s="32"/>
      <c r="AR278" s="32"/>
      <c r="AS278" s="31"/>
      <c r="AT278" s="31"/>
      <c r="AU278" s="31"/>
      <c r="AV278" s="31"/>
      <c r="AW278" s="31"/>
      <c r="AX278" s="31"/>
      <c r="AY278" s="31"/>
      <c r="AZ278" s="31"/>
      <c r="BA278" s="31"/>
      <c r="BB278" s="31"/>
      <c r="BC278" s="31"/>
      <c r="BD278" s="31"/>
      <c r="BE278" s="31"/>
      <c r="BF278" s="31"/>
      <c r="BG278" s="31"/>
      <c r="BH278" s="31"/>
      <c r="BI278" s="31"/>
      <c r="BJ278" s="31"/>
      <c r="BK278" s="31"/>
      <c r="BL278" s="31"/>
      <c r="BM278" s="31"/>
      <c r="BN278" s="31"/>
      <c r="BO278" s="31"/>
      <c r="BP278" s="25"/>
      <c r="BQ278" s="25"/>
      <c r="BR278" s="25"/>
      <c r="BS278" s="25"/>
      <c r="BT278" s="25"/>
      <c r="BU278" s="25"/>
      <c r="BV278" s="25"/>
      <c r="BW278" s="25"/>
      <c r="BX278" s="25"/>
      <c r="BY278" s="25"/>
      <c r="BZ278" s="25"/>
      <c r="CA278" s="25"/>
      <c r="CB278" s="25"/>
      <c r="CC278" s="25"/>
      <c r="CD278" s="25"/>
      <c r="CE278" s="25"/>
      <c r="CF278" s="25"/>
      <c r="CG278" s="25"/>
      <c r="CH278" s="25"/>
      <c r="CI278" s="25"/>
      <c r="CJ278" s="25"/>
      <c r="CK278" s="25"/>
      <c r="CL278" s="25"/>
      <c r="CM278" s="25"/>
      <c r="CN278" s="25"/>
      <c r="CO278" s="25"/>
      <c r="CP278" s="25"/>
      <c r="CQ278" s="25"/>
      <c r="CR278" s="25"/>
      <c r="CS278" s="25"/>
      <c r="CT278" s="25"/>
      <c r="CU278" s="25"/>
      <c r="CV278" s="25"/>
      <c r="CW278" s="25"/>
      <c r="CX278" s="25"/>
      <c r="CY278" s="25"/>
      <c r="CZ278" s="25"/>
      <c r="DA278" s="25"/>
      <c r="DB278" s="25"/>
      <c r="DC278" s="25"/>
      <c r="DD278" s="25"/>
      <c r="DE278" s="25"/>
      <c r="DF278" s="25"/>
      <c r="DG278" s="25"/>
      <c r="DH278" s="25"/>
      <c r="DI278" s="25"/>
      <c r="DJ278" s="25"/>
      <c r="DK278" s="25"/>
      <c r="DL278" s="25"/>
      <c r="DM278" s="25"/>
      <c r="DN278" s="25"/>
      <c r="DO278" s="25"/>
      <c r="DP278" s="25"/>
      <c r="DQ278" s="25"/>
      <c r="DR278" s="25"/>
      <c r="DS278" s="25"/>
      <c r="DT278" s="25"/>
      <c r="DU278" s="25"/>
      <c r="DV278" s="25"/>
      <c r="DW278" s="25"/>
      <c r="DX278" s="25"/>
      <c r="DY278" s="25"/>
      <c r="DZ278" s="25"/>
      <c r="EA278" s="25"/>
      <c r="EB278" s="25"/>
      <c r="EC278" s="25"/>
      <c r="ED278" s="25"/>
      <c r="EE278" s="25"/>
      <c r="EF278" s="25"/>
      <c r="EG278" s="25"/>
      <c r="EH278" s="25"/>
      <c r="EI278" s="25"/>
      <c r="EJ278" s="25"/>
      <c r="EK278" s="25"/>
      <c r="EL278" s="25"/>
      <c r="EM278" s="25"/>
      <c r="EN278" s="25"/>
      <c r="EO278" s="25"/>
      <c r="EP278" s="25"/>
      <c r="EQ278" s="25"/>
      <c r="ER278" s="25"/>
      <c r="ES278" s="25"/>
      <c r="ET278" s="25"/>
      <c r="EU278" s="25"/>
      <c r="EV278" s="25"/>
      <c r="EW278" s="25"/>
      <c r="EX278" s="25"/>
      <c r="EY278" s="25"/>
      <c r="EZ278" s="25"/>
      <c r="FA278" s="25"/>
      <c r="FB278" s="25"/>
      <c r="FC278" s="25"/>
      <c r="FD278" s="25"/>
      <c r="FE278" s="25"/>
      <c r="FF278" s="25"/>
      <c r="FG278" s="25"/>
      <c r="FH278" s="25"/>
      <c r="FI278" s="25"/>
      <c r="FJ278" s="25"/>
      <c r="FK278" s="25"/>
      <c r="FL278" s="25"/>
      <c r="FM278" s="25"/>
      <c r="FN278" s="25"/>
      <c r="FO278" s="25"/>
      <c r="FP278" s="25"/>
      <c r="FQ278" s="25"/>
      <c r="FR278" s="25"/>
      <c r="FS278" s="25"/>
      <c r="FT278" s="25"/>
      <c r="FU278" s="25"/>
      <c r="FV278" s="25"/>
      <c r="FW278" s="25"/>
      <c r="FX278" s="25"/>
      <c r="FY278" s="25"/>
      <c r="FZ278" s="25"/>
      <c r="GA278" s="25"/>
      <c r="GB278" s="25"/>
      <c r="GC278" s="25"/>
      <c r="GD278" s="25"/>
      <c r="GE278" s="25"/>
      <c r="GF278" s="25"/>
      <c r="GG278" s="25"/>
      <c r="GH278" s="25"/>
      <c r="GI278" s="25"/>
      <c r="GJ278" s="25"/>
      <c r="GK278" s="25"/>
      <c r="GL278" s="25"/>
      <c r="GM278" s="25"/>
      <c r="GN278" s="25"/>
      <c r="GO278" s="25"/>
      <c r="GP278" s="25"/>
      <c r="GQ278" s="25"/>
      <c r="GR278" s="25"/>
      <c r="GS278" s="25"/>
      <c r="GT278" s="25"/>
      <c r="GU278" s="25"/>
      <c r="GV278" s="25"/>
      <c r="GW278" s="25"/>
      <c r="GX278" s="25"/>
      <c r="GY278" s="25"/>
      <c r="GZ278" s="25"/>
      <c r="HA278" s="25"/>
      <c r="HB278" s="25"/>
      <c r="HC278" s="25"/>
      <c r="HD278" s="25"/>
      <c r="HE278" s="25"/>
      <c r="HF278" s="25"/>
      <c r="HG278" s="25"/>
      <c r="HH278" s="25"/>
      <c r="HI278" s="25"/>
      <c r="HJ278" s="25"/>
      <c r="HK278" s="25"/>
      <c r="HL278" s="25"/>
      <c r="HM278" s="25"/>
      <c r="HN278" s="25"/>
      <c r="HO278" s="25"/>
      <c r="HP278" s="25"/>
      <c r="HQ278" s="25"/>
      <c r="HR278" s="25"/>
      <c r="HS278" s="25"/>
      <c r="HT278" s="25"/>
      <c r="HU278" s="25"/>
      <c r="HV278" s="25"/>
      <c r="HW278" s="25"/>
      <c r="HX278" s="25"/>
      <c r="HY278" s="25"/>
      <c r="HZ278" s="25"/>
      <c r="IA278" s="25"/>
      <c r="IB278" s="25"/>
      <c r="IC278" s="25"/>
      <c r="ID278" s="25"/>
      <c r="IE278" s="25"/>
      <c r="IF278" s="25"/>
      <c r="IG278" s="25"/>
      <c r="IH278" s="25"/>
      <c r="II278" s="25"/>
      <c r="IJ278" s="25"/>
      <c r="IK278" s="25"/>
      <c r="IL278" s="25"/>
      <c r="IM278" s="25"/>
      <c r="IN278" s="25"/>
      <c r="IO278" s="25"/>
      <c r="IP278" s="25"/>
      <c r="IQ278" s="25"/>
      <c r="IR278" s="25"/>
      <c r="IS278" s="25"/>
      <c r="IT278" s="25"/>
      <c r="IU278" s="25"/>
      <c r="IV278" s="25"/>
      <c r="IW278" s="25"/>
      <c r="IX278" s="25"/>
      <c r="IY278" s="25"/>
      <c r="IZ278" s="25"/>
      <c r="JA278" s="25"/>
      <c r="JB278" s="25"/>
      <c r="JC278" s="25"/>
      <c r="JD278" s="25"/>
      <c r="JE278" s="25"/>
      <c r="JF278" s="25"/>
      <c r="JG278" s="25"/>
      <c r="JH278" s="25"/>
      <c r="JI278" s="25"/>
      <c r="JJ278" s="25"/>
      <c r="JK278" s="25"/>
      <c r="JL278" s="25"/>
      <c r="JM278" s="25"/>
      <c r="JN278" s="25"/>
      <c r="JO278" s="25"/>
      <c r="JP278" s="25"/>
      <c r="JQ278" s="25"/>
      <c r="JR278" s="25"/>
      <c r="JS278" s="25"/>
      <c r="JT278" s="25"/>
      <c r="JU278" s="25"/>
      <c r="JV278" s="25"/>
      <c r="JW278" s="25"/>
      <c r="JX278" s="25"/>
      <c r="JY278" s="25"/>
      <c r="JZ278" s="25"/>
      <c r="KA278" s="25"/>
      <c r="KB278" s="25"/>
      <c r="KC278" s="25"/>
      <c r="KD278" s="25"/>
      <c r="KE278" s="25"/>
      <c r="KF278" s="25"/>
      <c r="KG278" s="25"/>
      <c r="KH278" s="25"/>
      <c r="KI278" s="25"/>
      <c r="KJ278" s="25"/>
      <c r="KK278" s="25"/>
      <c r="KL278" s="25"/>
      <c r="KM278" s="25"/>
      <c r="KN278" s="25"/>
      <c r="KO278" s="25"/>
      <c r="KP278" s="25"/>
      <c r="KQ278" s="25"/>
      <c r="KR278" s="25"/>
      <c r="KS278" s="25"/>
      <c r="KT278" s="25"/>
      <c r="KU278" s="25"/>
      <c r="KV278" s="25"/>
      <c r="KW278" s="25"/>
      <c r="KX278" s="25"/>
      <c r="KY278" s="25"/>
      <c r="KZ278" s="25"/>
      <c r="LA278" s="25"/>
      <c r="LB278" s="25"/>
      <c r="LC278" s="25"/>
      <c r="LD278" s="25"/>
      <c r="LE278" s="25"/>
      <c r="LF278" s="25"/>
      <c r="LG278" s="25"/>
      <c r="LH278" s="25"/>
      <c r="LI278" s="25"/>
      <c r="LJ278" s="25"/>
      <c r="LK278" s="25"/>
      <c r="LL278" s="25"/>
      <c r="LM278" s="25"/>
      <c r="LN278" s="25"/>
      <c r="LO278" s="25"/>
      <c r="LP278" s="25"/>
      <c r="LQ278" s="25"/>
      <c r="LR278" s="25"/>
      <c r="LS278" s="25"/>
      <c r="LT278" s="25"/>
      <c r="LU278" s="25"/>
      <c r="LV278" s="25"/>
      <c r="LW278" s="25"/>
      <c r="LX278" s="25"/>
      <c r="LY278" s="25"/>
      <c r="LZ278" s="25"/>
      <c r="MA278" s="25"/>
      <c r="MB278" s="25"/>
      <c r="MC278" s="25"/>
      <c r="MD278" s="25"/>
      <c r="ME278" s="25"/>
      <c r="MF278" s="25"/>
      <c r="MG278" s="25"/>
      <c r="MH278" s="25"/>
      <c r="MI278" s="25"/>
      <c r="MJ278" s="25"/>
      <c r="MK278" s="25"/>
      <c r="ML278" s="25"/>
      <c r="MM278" s="25"/>
      <c r="MN278" s="25"/>
      <c r="MO278" s="25"/>
      <c r="MP278" s="25"/>
      <c r="MQ278" s="25"/>
      <c r="MR278" s="25"/>
      <c r="MS278" s="25"/>
      <c r="MT278" s="25"/>
      <c r="MU278" s="25"/>
      <c r="MV278" s="25"/>
      <c r="MW278" s="25"/>
      <c r="MX278" s="25"/>
      <c r="MY278" s="25"/>
      <c r="MZ278" s="25"/>
      <c r="NA278" s="25"/>
      <c r="NB278" s="25"/>
      <c r="NC278" s="25"/>
      <c r="ND278" s="25"/>
      <c r="NE278" s="25"/>
      <c r="NF278" s="25"/>
      <c r="NG278" s="25"/>
      <c r="NH278" s="25"/>
      <c r="NI278" s="25"/>
      <c r="NJ278" s="25"/>
      <c r="NK278" s="25"/>
      <c r="NL278" s="25"/>
      <c r="NM278" s="25"/>
      <c r="NN278" s="25"/>
      <c r="NO278" s="25"/>
      <c r="NP278" s="25"/>
      <c r="NQ278" s="25"/>
      <c r="NR278" s="25"/>
      <c r="NS278" s="25"/>
      <c r="NT278" s="25"/>
      <c r="NU278" s="25"/>
      <c r="NV278" s="25"/>
      <c r="NW278" s="25"/>
      <c r="NX278" s="25"/>
      <c r="NY278" s="25"/>
      <c r="NZ278" s="25"/>
      <c r="OA278" s="25"/>
      <c r="OB278" s="25"/>
      <c r="OC278" s="25"/>
      <c r="OD278" s="25"/>
      <c r="OE278" s="25"/>
      <c r="OF278" s="25"/>
      <c r="OG278" s="25"/>
      <c r="OH278" s="25"/>
      <c r="OI278" s="25"/>
      <c r="OJ278" s="25"/>
      <c r="OK278" s="25"/>
      <c r="OL278" s="25"/>
      <c r="OM278" s="25"/>
      <c r="ON278" s="25"/>
      <c r="OO278" s="25"/>
      <c r="OP278" s="25"/>
      <c r="OQ278" s="25"/>
      <c r="OR278" s="25"/>
      <c r="OS278" s="25"/>
      <c r="OT278" s="25"/>
      <c r="OU278" s="25"/>
      <c r="OV278" s="25"/>
      <c r="OW278" s="25"/>
      <c r="OX278" s="25"/>
      <c r="OY278" s="25"/>
      <c r="OZ278" s="25"/>
      <c r="PA278" s="25"/>
      <c r="PB278" s="25"/>
      <c r="PC278" s="25"/>
      <c r="PD278" s="25"/>
      <c r="PE278" s="25"/>
      <c r="PF278" s="25"/>
      <c r="PG278" s="25"/>
      <c r="PH278" s="25"/>
      <c r="PI278" s="25"/>
      <c r="PJ278" s="25"/>
      <c r="PK278" s="25"/>
      <c r="PL278" s="25"/>
      <c r="PM278" s="25"/>
      <c r="PN278" s="25"/>
      <c r="PO278" s="25"/>
      <c r="PP278" s="25"/>
      <c r="PQ278" s="25"/>
      <c r="PR278" s="25"/>
      <c r="PS278" s="25"/>
      <c r="PT278" s="25"/>
      <c r="PU278" s="25"/>
      <c r="PV278" s="25"/>
      <c r="PW278" s="25"/>
      <c r="PX278" s="25"/>
      <c r="PY278" s="25"/>
      <c r="PZ278" s="25"/>
      <c r="QA278" s="25"/>
      <c r="QB278" s="25"/>
      <c r="QC278" s="25"/>
      <c r="QD278" s="25"/>
      <c r="QE278" s="25"/>
      <c r="QF278" s="25"/>
      <c r="QG278" s="25"/>
      <c r="QH278" s="25"/>
      <c r="QI278" s="25"/>
      <c r="QJ278" s="25"/>
      <c r="QK278" s="25"/>
      <c r="QL278" s="25"/>
      <c r="QM278" s="25"/>
      <c r="QN278" s="25"/>
      <c r="QO278" s="25"/>
      <c r="QP278" s="25"/>
      <c r="QQ278" s="25"/>
      <c r="QR278" s="25"/>
      <c r="QS278" s="25"/>
      <c r="QT278" s="25"/>
      <c r="QU278" s="25"/>
      <c r="QV278" s="25"/>
      <c r="QW278" s="25"/>
      <c r="QX278" s="25"/>
      <c r="QY278" s="25"/>
      <c r="QZ278" s="25"/>
      <c r="RA278" s="25"/>
      <c r="RB278" s="25"/>
      <c r="RC278" s="25"/>
      <c r="RD278" s="25"/>
      <c r="RE278" s="25"/>
      <c r="RF278" s="25"/>
      <c r="RG278" s="25"/>
      <c r="RH278" s="25"/>
      <c r="RI278" s="25"/>
      <c r="RJ278" s="25"/>
      <c r="RK278" s="25"/>
      <c r="RL278" s="25"/>
      <c r="RM278" s="25"/>
      <c r="RN278" s="25"/>
      <c r="RO278" s="25"/>
      <c r="RP278" s="25"/>
      <c r="RQ278" s="25"/>
      <c r="RR278" s="25"/>
      <c r="RS278" s="25"/>
      <c r="RT278" s="25"/>
      <c r="RU278" s="25"/>
      <c r="RV278" s="25"/>
      <c r="RW278" s="25"/>
      <c r="RX278" s="25"/>
      <c r="RY278" s="25"/>
      <c r="RZ278" s="25"/>
      <c r="SA278" s="25"/>
      <c r="SB278" s="25"/>
      <c r="SC278" s="25"/>
      <c r="SD278" s="25"/>
      <c r="SE278" s="25"/>
      <c r="SF278" s="25"/>
      <c r="SG278" s="25"/>
      <c r="SH278" s="25"/>
      <c r="SI278" s="25"/>
      <c r="SJ278" s="25"/>
      <c r="SK278" s="25"/>
      <c r="SL278" s="25"/>
      <c r="SM278" s="25"/>
      <c r="SN278" s="25"/>
      <c r="SO278" s="25"/>
      <c r="SP278" s="25"/>
      <c r="SQ278" s="25"/>
      <c r="SR278" s="25"/>
      <c r="SS278" s="25"/>
      <c r="ST278" s="25"/>
      <c r="SU278" s="25"/>
      <c r="SV278" s="25"/>
      <c r="SW278" s="25"/>
      <c r="SX278" s="25"/>
      <c r="SY278" s="25"/>
      <c r="SZ278" s="25"/>
      <c r="TA278" s="25"/>
      <c r="TB278" s="25"/>
      <c r="TC278" s="25"/>
      <c r="TD278" s="25"/>
      <c r="TE278" s="25"/>
      <c r="TF278" s="25"/>
      <c r="TG278" s="25"/>
      <c r="TH278" s="25"/>
      <c r="TI278" s="25"/>
      <c r="TJ278" s="25"/>
      <c r="TK278" s="25"/>
      <c r="TL278" s="25"/>
      <c r="TM278" s="25"/>
      <c r="TN278" s="25"/>
      <c r="TO278" s="25"/>
      <c r="TP278" s="25"/>
      <c r="TQ278" s="25"/>
      <c r="TR278" s="25"/>
      <c r="TS278" s="25"/>
      <c r="TT278" s="25"/>
      <c r="TU278" s="25"/>
      <c r="TV278" s="25"/>
      <c r="TW278" s="25"/>
      <c r="TX278" s="25"/>
      <c r="TY278" s="25"/>
      <c r="TZ278" s="25"/>
      <c r="UA278" s="25"/>
      <c r="UB278" s="25"/>
      <c r="UC278" s="25"/>
      <c r="UD278" s="25"/>
      <c r="UE278" s="25"/>
      <c r="UF278" s="25"/>
      <c r="UG278" s="26"/>
    </row>
    <row r="279" spans="1:553" ht="45" customHeight="1">
      <c r="A279" s="356" t="s">
        <v>15</v>
      </c>
      <c r="B279" s="385"/>
      <c r="C279" s="384" t="s">
        <v>22</v>
      </c>
      <c r="D279" s="418">
        <v>2</v>
      </c>
      <c r="E279" s="376" t="str">
        <f>E190</f>
        <v>414</v>
      </c>
      <c r="F279" s="385"/>
      <c r="G279" s="386" t="s">
        <v>935</v>
      </c>
      <c r="H279" s="370"/>
      <c r="I279" s="370">
        <f>I191</f>
        <v>31.9</v>
      </c>
      <c r="J279" s="368">
        <v>62000</v>
      </c>
      <c r="K279" s="850">
        <v>1</v>
      </c>
      <c r="L279" s="366">
        <f>I279*J279*K279</f>
        <v>1977800</v>
      </c>
      <c r="M279" s="366"/>
      <c r="N279" s="366"/>
      <c r="O279" s="366"/>
      <c r="P279" s="366"/>
      <c r="Q279" s="812"/>
      <c r="R279" s="1447"/>
      <c r="S279" s="308"/>
      <c r="T279" s="303"/>
      <c r="U279" s="306"/>
      <c r="V279" s="307"/>
      <c r="W279" s="306"/>
      <c r="X279" s="306"/>
      <c r="Y279" s="306"/>
      <c r="Z279" s="306"/>
      <c r="AA279" s="306"/>
      <c r="AB279" s="306"/>
      <c r="AC279" s="449"/>
      <c r="AD279" s="449"/>
      <c r="AE279" s="449"/>
      <c r="AF279" s="449"/>
      <c r="AG279" s="449"/>
      <c r="AH279" s="449"/>
      <c r="AI279" s="449"/>
      <c r="AJ279" s="449"/>
      <c r="AK279" s="452"/>
      <c r="AL279" s="104"/>
      <c r="AM279" s="32"/>
      <c r="AN279" s="32"/>
      <c r="AO279" s="32"/>
      <c r="AP279" s="32"/>
      <c r="AQ279" s="32"/>
      <c r="AR279" s="32"/>
      <c r="AS279" s="31"/>
      <c r="AT279" s="31"/>
      <c r="AU279" s="31"/>
      <c r="AV279" s="31"/>
      <c r="AW279" s="31"/>
      <c r="AX279" s="31"/>
      <c r="AY279" s="31"/>
      <c r="AZ279" s="31"/>
      <c r="BA279" s="31"/>
      <c r="BB279" s="31"/>
      <c r="BC279" s="31"/>
      <c r="BD279" s="31"/>
      <c r="BE279" s="31"/>
      <c r="BF279" s="31"/>
      <c r="BG279" s="31"/>
      <c r="BH279" s="31"/>
      <c r="BI279" s="31"/>
      <c r="BJ279" s="31"/>
      <c r="BK279" s="31"/>
      <c r="BL279" s="31"/>
      <c r="BM279" s="31"/>
      <c r="BN279" s="31"/>
      <c r="BO279" s="31"/>
      <c r="BP279" s="25"/>
      <c r="BQ279" s="25"/>
      <c r="BR279" s="25"/>
      <c r="BS279" s="25"/>
      <c r="BT279" s="25"/>
      <c r="BU279" s="25"/>
      <c r="BV279" s="25"/>
      <c r="BW279" s="25"/>
      <c r="BX279" s="25"/>
      <c r="BY279" s="25"/>
      <c r="BZ279" s="25"/>
      <c r="CA279" s="25"/>
      <c r="CB279" s="25"/>
      <c r="CC279" s="25"/>
      <c r="CD279" s="25"/>
      <c r="CE279" s="25"/>
      <c r="CF279" s="25"/>
      <c r="CG279" s="25"/>
      <c r="CH279" s="25"/>
      <c r="CI279" s="25"/>
      <c r="CJ279" s="25"/>
      <c r="CK279" s="25"/>
      <c r="CL279" s="25"/>
      <c r="CM279" s="25"/>
      <c r="CN279" s="25"/>
      <c r="CO279" s="25"/>
      <c r="CP279" s="25"/>
      <c r="CQ279" s="25"/>
      <c r="CR279" s="25"/>
      <c r="CS279" s="25"/>
      <c r="CT279" s="25"/>
      <c r="CU279" s="25"/>
      <c r="CV279" s="25"/>
      <c r="CW279" s="25"/>
      <c r="CX279" s="25"/>
      <c r="CY279" s="25"/>
      <c r="CZ279" s="25"/>
      <c r="DA279" s="25"/>
      <c r="DB279" s="25"/>
      <c r="DC279" s="25"/>
      <c r="DD279" s="25"/>
      <c r="DE279" s="25"/>
      <c r="DF279" s="25"/>
      <c r="DG279" s="25"/>
      <c r="DH279" s="25"/>
      <c r="DI279" s="25"/>
      <c r="DJ279" s="25"/>
      <c r="DK279" s="25"/>
      <c r="DL279" s="25"/>
      <c r="DM279" s="25"/>
      <c r="DN279" s="25"/>
      <c r="DO279" s="25"/>
      <c r="DP279" s="25"/>
      <c r="DQ279" s="25"/>
      <c r="DR279" s="25"/>
      <c r="DS279" s="25"/>
      <c r="DT279" s="25"/>
      <c r="DU279" s="25"/>
      <c r="DV279" s="25"/>
      <c r="DW279" s="25"/>
      <c r="DX279" s="25"/>
      <c r="DY279" s="25"/>
      <c r="DZ279" s="25"/>
      <c r="EA279" s="25"/>
      <c r="EB279" s="25"/>
      <c r="EC279" s="25"/>
      <c r="ED279" s="25"/>
      <c r="EE279" s="25"/>
      <c r="EF279" s="25"/>
      <c r="EG279" s="25"/>
      <c r="EH279" s="25"/>
      <c r="EI279" s="25"/>
      <c r="EJ279" s="25"/>
      <c r="EK279" s="25"/>
      <c r="EL279" s="25"/>
      <c r="EM279" s="25"/>
      <c r="EN279" s="25"/>
      <c r="EO279" s="25"/>
      <c r="EP279" s="25"/>
      <c r="EQ279" s="25"/>
      <c r="ER279" s="25"/>
      <c r="ES279" s="25"/>
      <c r="ET279" s="25"/>
      <c r="EU279" s="25"/>
      <c r="EV279" s="25"/>
      <c r="EW279" s="25"/>
      <c r="EX279" s="25"/>
      <c r="EY279" s="25"/>
      <c r="EZ279" s="25"/>
      <c r="FA279" s="25"/>
      <c r="FB279" s="25"/>
      <c r="FC279" s="25"/>
      <c r="FD279" s="25"/>
      <c r="FE279" s="25"/>
      <c r="FF279" s="25"/>
      <c r="FG279" s="25"/>
      <c r="FH279" s="25"/>
      <c r="FI279" s="25"/>
      <c r="FJ279" s="25"/>
      <c r="FK279" s="25"/>
      <c r="FL279" s="25"/>
      <c r="FM279" s="25"/>
      <c r="FN279" s="25"/>
      <c r="FO279" s="25"/>
      <c r="FP279" s="25"/>
      <c r="FQ279" s="25"/>
      <c r="FR279" s="25"/>
      <c r="FS279" s="25"/>
      <c r="FT279" s="25"/>
      <c r="FU279" s="25"/>
      <c r="FV279" s="25"/>
      <c r="FW279" s="25"/>
      <c r="FX279" s="25"/>
      <c r="FY279" s="25"/>
      <c r="FZ279" s="25"/>
      <c r="GA279" s="25"/>
      <c r="GB279" s="25"/>
      <c r="GC279" s="25"/>
      <c r="GD279" s="25"/>
      <c r="GE279" s="25"/>
      <c r="GF279" s="25"/>
      <c r="GG279" s="25"/>
      <c r="GH279" s="25"/>
      <c r="GI279" s="25"/>
      <c r="GJ279" s="25"/>
      <c r="GK279" s="25"/>
      <c r="GL279" s="25"/>
      <c r="GM279" s="25"/>
      <c r="GN279" s="25"/>
      <c r="GO279" s="25"/>
      <c r="GP279" s="25"/>
      <c r="GQ279" s="25"/>
      <c r="GR279" s="25"/>
      <c r="GS279" s="25"/>
      <c r="GT279" s="25"/>
      <c r="GU279" s="25"/>
      <c r="GV279" s="25"/>
      <c r="GW279" s="25"/>
      <c r="GX279" s="25"/>
      <c r="GY279" s="25"/>
      <c r="GZ279" s="25"/>
      <c r="HA279" s="25"/>
      <c r="HB279" s="25"/>
      <c r="HC279" s="25"/>
      <c r="HD279" s="25"/>
      <c r="HE279" s="25"/>
      <c r="HF279" s="25"/>
      <c r="HG279" s="25"/>
      <c r="HH279" s="25"/>
      <c r="HI279" s="25"/>
      <c r="HJ279" s="25"/>
      <c r="HK279" s="25"/>
      <c r="HL279" s="25"/>
      <c r="HM279" s="25"/>
      <c r="HN279" s="25"/>
      <c r="HO279" s="25"/>
      <c r="HP279" s="25"/>
      <c r="HQ279" s="25"/>
      <c r="HR279" s="25"/>
      <c r="HS279" s="25"/>
      <c r="HT279" s="25"/>
      <c r="HU279" s="25"/>
      <c r="HV279" s="25"/>
      <c r="HW279" s="25"/>
      <c r="HX279" s="25"/>
      <c r="HY279" s="25"/>
      <c r="HZ279" s="25"/>
      <c r="IA279" s="25"/>
      <c r="IB279" s="25"/>
      <c r="IC279" s="25"/>
      <c r="ID279" s="25"/>
      <c r="IE279" s="25"/>
      <c r="IF279" s="25"/>
      <c r="IG279" s="25"/>
      <c r="IH279" s="25"/>
      <c r="II279" s="25"/>
      <c r="IJ279" s="25"/>
      <c r="IK279" s="25"/>
      <c r="IL279" s="25"/>
      <c r="IM279" s="25"/>
      <c r="IN279" s="25"/>
      <c r="IO279" s="25"/>
      <c r="IP279" s="25"/>
      <c r="IQ279" s="25"/>
      <c r="IR279" s="25"/>
      <c r="IS279" s="25"/>
      <c r="IT279" s="25"/>
      <c r="IU279" s="25"/>
      <c r="IV279" s="25"/>
      <c r="IW279" s="25"/>
      <c r="IX279" s="25"/>
      <c r="IY279" s="25"/>
      <c r="IZ279" s="25"/>
      <c r="JA279" s="25"/>
      <c r="JB279" s="25"/>
      <c r="JC279" s="25"/>
      <c r="JD279" s="25"/>
      <c r="JE279" s="25"/>
      <c r="JF279" s="25"/>
      <c r="JG279" s="25"/>
      <c r="JH279" s="25"/>
      <c r="JI279" s="25"/>
      <c r="JJ279" s="25"/>
      <c r="JK279" s="25"/>
      <c r="JL279" s="25"/>
      <c r="JM279" s="25"/>
      <c r="JN279" s="25"/>
      <c r="JO279" s="25"/>
      <c r="JP279" s="25"/>
      <c r="JQ279" s="25"/>
      <c r="JR279" s="25"/>
      <c r="JS279" s="25"/>
      <c r="JT279" s="25"/>
      <c r="JU279" s="25"/>
      <c r="JV279" s="25"/>
      <c r="JW279" s="25"/>
      <c r="JX279" s="25"/>
      <c r="JY279" s="25"/>
      <c r="JZ279" s="25"/>
      <c r="KA279" s="25"/>
      <c r="KB279" s="25"/>
      <c r="KC279" s="25"/>
      <c r="KD279" s="25"/>
      <c r="KE279" s="25"/>
      <c r="KF279" s="25"/>
      <c r="KG279" s="25"/>
      <c r="KH279" s="25"/>
      <c r="KI279" s="25"/>
      <c r="KJ279" s="25"/>
      <c r="KK279" s="25"/>
      <c r="KL279" s="25"/>
      <c r="KM279" s="25"/>
      <c r="KN279" s="25"/>
      <c r="KO279" s="25"/>
      <c r="KP279" s="25"/>
      <c r="KQ279" s="25"/>
      <c r="KR279" s="25"/>
      <c r="KS279" s="25"/>
      <c r="KT279" s="25"/>
      <c r="KU279" s="25"/>
      <c r="KV279" s="25"/>
      <c r="KW279" s="25"/>
      <c r="KX279" s="25"/>
      <c r="KY279" s="25"/>
      <c r="KZ279" s="25"/>
      <c r="LA279" s="25"/>
      <c r="LB279" s="25"/>
      <c r="LC279" s="25"/>
      <c r="LD279" s="25"/>
      <c r="LE279" s="25"/>
      <c r="LF279" s="25"/>
      <c r="LG279" s="25"/>
      <c r="LH279" s="25"/>
      <c r="LI279" s="25"/>
      <c r="LJ279" s="25"/>
      <c r="LK279" s="25"/>
      <c r="LL279" s="25"/>
      <c r="LM279" s="25"/>
      <c r="LN279" s="25"/>
      <c r="LO279" s="25"/>
      <c r="LP279" s="25"/>
      <c r="LQ279" s="25"/>
      <c r="LR279" s="25"/>
      <c r="LS279" s="25"/>
      <c r="LT279" s="25"/>
      <c r="LU279" s="25"/>
      <c r="LV279" s="25"/>
      <c r="LW279" s="25"/>
      <c r="LX279" s="25"/>
      <c r="LY279" s="25"/>
      <c r="LZ279" s="25"/>
      <c r="MA279" s="25"/>
      <c r="MB279" s="25"/>
      <c r="MC279" s="25"/>
      <c r="MD279" s="25"/>
      <c r="ME279" s="25"/>
      <c r="MF279" s="25"/>
      <c r="MG279" s="25"/>
      <c r="MH279" s="25"/>
      <c r="MI279" s="25"/>
      <c r="MJ279" s="25"/>
      <c r="MK279" s="25"/>
      <c r="ML279" s="25"/>
      <c r="MM279" s="25"/>
      <c r="MN279" s="25"/>
      <c r="MO279" s="25"/>
      <c r="MP279" s="25"/>
      <c r="MQ279" s="25"/>
      <c r="MR279" s="25"/>
      <c r="MS279" s="25"/>
      <c r="MT279" s="25"/>
      <c r="MU279" s="25"/>
      <c r="MV279" s="25"/>
      <c r="MW279" s="25"/>
      <c r="MX279" s="25"/>
      <c r="MY279" s="25"/>
      <c r="MZ279" s="25"/>
      <c r="NA279" s="25"/>
      <c r="NB279" s="25"/>
      <c r="NC279" s="25"/>
      <c r="ND279" s="25"/>
      <c r="NE279" s="25"/>
      <c r="NF279" s="25"/>
      <c r="NG279" s="25"/>
      <c r="NH279" s="25"/>
      <c r="NI279" s="25"/>
      <c r="NJ279" s="25"/>
      <c r="NK279" s="25"/>
      <c r="NL279" s="25"/>
      <c r="NM279" s="25"/>
      <c r="NN279" s="25"/>
      <c r="NO279" s="25"/>
      <c r="NP279" s="25"/>
      <c r="NQ279" s="25"/>
      <c r="NR279" s="25"/>
      <c r="NS279" s="25"/>
      <c r="NT279" s="25"/>
      <c r="NU279" s="25"/>
      <c r="NV279" s="25"/>
      <c r="NW279" s="25"/>
      <c r="NX279" s="25"/>
      <c r="NY279" s="25"/>
      <c r="NZ279" s="25"/>
      <c r="OA279" s="25"/>
      <c r="OB279" s="25"/>
      <c r="OC279" s="25"/>
      <c r="OD279" s="25"/>
      <c r="OE279" s="25"/>
      <c r="OF279" s="25"/>
      <c r="OG279" s="25"/>
      <c r="OH279" s="25"/>
      <c r="OI279" s="25"/>
      <c r="OJ279" s="25"/>
      <c r="OK279" s="25"/>
      <c r="OL279" s="25"/>
      <c r="OM279" s="25"/>
      <c r="ON279" s="25"/>
      <c r="OO279" s="25"/>
      <c r="OP279" s="25"/>
      <c r="OQ279" s="25"/>
      <c r="OR279" s="25"/>
      <c r="OS279" s="25"/>
      <c r="OT279" s="25"/>
      <c r="OU279" s="25"/>
      <c r="OV279" s="25"/>
      <c r="OW279" s="25"/>
      <c r="OX279" s="25"/>
      <c r="OY279" s="25"/>
      <c r="OZ279" s="25"/>
      <c r="PA279" s="25"/>
      <c r="PB279" s="25"/>
      <c r="PC279" s="25"/>
      <c r="PD279" s="25"/>
      <c r="PE279" s="25"/>
      <c r="PF279" s="25"/>
      <c r="PG279" s="25"/>
      <c r="PH279" s="25"/>
      <c r="PI279" s="25"/>
      <c r="PJ279" s="25"/>
      <c r="PK279" s="25"/>
      <c r="PL279" s="25"/>
      <c r="PM279" s="25"/>
      <c r="PN279" s="25"/>
      <c r="PO279" s="25"/>
      <c r="PP279" s="25"/>
      <c r="PQ279" s="25"/>
      <c r="PR279" s="25"/>
      <c r="PS279" s="25"/>
      <c r="PT279" s="25"/>
      <c r="PU279" s="25"/>
      <c r="PV279" s="25"/>
      <c r="PW279" s="25"/>
      <c r="PX279" s="25"/>
      <c r="PY279" s="25"/>
      <c r="PZ279" s="25"/>
      <c r="QA279" s="25"/>
      <c r="QB279" s="25"/>
      <c r="QC279" s="25"/>
      <c r="QD279" s="25"/>
      <c r="QE279" s="25"/>
      <c r="QF279" s="25"/>
      <c r="QG279" s="25"/>
      <c r="QH279" s="25"/>
      <c r="QI279" s="25"/>
      <c r="QJ279" s="25"/>
      <c r="QK279" s="25"/>
      <c r="QL279" s="25"/>
      <c r="QM279" s="25"/>
      <c r="QN279" s="25"/>
      <c r="QO279" s="25"/>
      <c r="QP279" s="25"/>
      <c r="QQ279" s="25"/>
      <c r="QR279" s="25"/>
      <c r="QS279" s="25"/>
      <c r="QT279" s="25"/>
      <c r="QU279" s="25"/>
      <c r="QV279" s="25"/>
      <c r="QW279" s="25"/>
      <c r="QX279" s="25"/>
      <c r="QY279" s="25"/>
      <c r="QZ279" s="25"/>
      <c r="RA279" s="25"/>
      <c r="RB279" s="25"/>
      <c r="RC279" s="25"/>
      <c r="RD279" s="25"/>
      <c r="RE279" s="25"/>
      <c r="RF279" s="25"/>
      <c r="RG279" s="25"/>
      <c r="RH279" s="25"/>
      <c r="RI279" s="25"/>
      <c r="RJ279" s="25"/>
      <c r="RK279" s="25"/>
      <c r="RL279" s="25"/>
      <c r="RM279" s="25"/>
      <c r="RN279" s="25"/>
      <c r="RO279" s="25"/>
      <c r="RP279" s="25"/>
      <c r="RQ279" s="25"/>
      <c r="RR279" s="25"/>
      <c r="RS279" s="25"/>
      <c r="RT279" s="25"/>
      <c r="RU279" s="25"/>
      <c r="RV279" s="25"/>
      <c r="RW279" s="25"/>
      <c r="RX279" s="25"/>
      <c r="RY279" s="25"/>
      <c r="RZ279" s="25"/>
      <c r="SA279" s="25"/>
      <c r="SB279" s="25"/>
      <c r="SC279" s="25"/>
      <c r="SD279" s="25"/>
      <c r="SE279" s="25"/>
      <c r="SF279" s="25"/>
      <c r="SG279" s="25"/>
      <c r="SH279" s="25"/>
      <c r="SI279" s="25"/>
      <c r="SJ279" s="25"/>
      <c r="SK279" s="25"/>
      <c r="SL279" s="25"/>
      <c r="SM279" s="25"/>
      <c r="SN279" s="25"/>
      <c r="SO279" s="25"/>
      <c r="SP279" s="25"/>
      <c r="SQ279" s="25"/>
      <c r="SR279" s="25"/>
      <c r="SS279" s="25"/>
      <c r="ST279" s="25"/>
      <c r="SU279" s="25"/>
      <c r="SV279" s="25"/>
      <c r="SW279" s="25"/>
      <c r="SX279" s="25"/>
      <c r="SY279" s="25"/>
      <c r="SZ279" s="25"/>
      <c r="TA279" s="25"/>
      <c r="TB279" s="25"/>
      <c r="TC279" s="25"/>
      <c r="TD279" s="25"/>
      <c r="TE279" s="25"/>
      <c r="TF279" s="25"/>
      <c r="TG279" s="25"/>
      <c r="TH279" s="25"/>
      <c r="TI279" s="25"/>
      <c r="TJ279" s="25"/>
      <c r="TK279" s="25"/>
      <c r="TL279" s="25"/>
      <c r="TM279" s="25"/>
      <c r="TN279" s="25"/>
      <c r="TO279" s="25"/>
      <c r="TP279" s="25"/>
      <c r="TQ279" s="25"/>
      <c r="TR279" s="25"/>
      <c r="TS279" s="25"/>
      <c r="TT279" s="25"/>
      <c r="TU279" s="25"/>
      <c r="TV279" s="25"/>
      <c r="TW279" s="25"/>
      <c r="TX279" s="25"/>
      <c r="TY279" s="25"/>
      <c r="TZ279" s="25"/>
      <c r="UA279" s="25"/>
      <c r="UB279" s="25"/>
      <c r="UC279" s="25"/>
      <c r="UD279" s="25"/>
      <c r="UE279" s="25"/>
      <c r="UF279" s="25"/>
      <c r="UG279" s="26"/>
    </row>
    <row r="280" spans="1:553" ht="45" customHeight="1">
      <c r="A280" s="356" t="s">
        <v>15</v>
      </c>
      <c r="B280" s="356"/>
      <c r="C280" s="384" t="s">
        <v>25</v>
      </c>
      <c r="D280" s="376">
        <v>2</v>
      </c>
      <c r="E280" s="376">
        <v>307</v>
      </c>
      <c r="F280" s="385"/>
      <c r="G280" s="386" t="s">
        <v>935</v>
      </c>
      <c r="H280" s="370"/>
      <c r="I280" s="490">
        <v>161.6</v>
      </c>
      <c r="J280" s="368">
        <v>66000</v>
      </c>
      <c r="K280" s="850">
        <v>2.5</v>
      </c>
      <c r="L280" s="366">
        <f t="shared" ref="L280:L299" si="56">PRODUCT(I280:K280)</f>
        <v>26664000</v>
      </c>
      <c r="M280" s="366"/>
      <c r="N280" s="366"/>
      <c r="O280" s="366"/>
      <c r="P280" s="366"/>
      <c r="Q280" s="1135"/>
      <c r="R280" s="1447"/>
      <c r="S280" s="308"/>
      <c r="T280" s="303"/>
      <c r="U280" s="306"/>
      <c r="V280" s="307"/>
      <c r="W280" s="306"/>
      <c r="X280" s="306"/>
      <c r="Y280" s="306"/>
      <c r="Z280" s="306"/>
      <c r="AA280" s="306"/>
      <c r="AB280" s="306"/>
      <c r="AC280" s="449"/>
      <c r="AD280" s="452"/>
      <c r="AE280" s="452"/>
      <c r="AF280" s="452"/>
      <c r="AG280" s="452"/>
      <c r="AH280" s="452"/>
      <c r="AI280" s="452"/>
      <c r="AJ280" s="452"/>
      <c r="AK280" s="452"/>
      <c r="AL280" s="106"/>
      <c r="AM280" s="31"/>
      <c r="AN280" s="31"/>
      <c r="AO280" s="31"/>
      <c r="AP280" s="31"/>
      <c r="AQ280" s="31"/>
      <c r="AR280" s="31"/>
      <c r="AS280" s="31"/>
      <c r="AT280" s="31"/>
      <c r="AU280" s="31"/>
      <c r="AV280" s="31"/>
      <c r="AW280" s="31"/>
      <c r="AX280" s="31"/>
      <c r="AY280" s="31"/>
      <c r="AZ280" s="31"/>
      <c r="BA280" s="31"/>
      <c r="BB280" s="31"/>
      <c r="BC280" s="31"/>
      <c r="BD280" s="31"/>
      <c r="BE280" s="31"/>
      <c r="BF280" s="31"/>
      <c r="BG280" s="31"/>
      <c r="BH280" s="31"/>
      <c r="BI280" s="31"/>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c r="CH280" s="31"/>
      <c r="CI280" s="31"/>
      <c r="CJ280" s="31"/>
      <c r="CK280" s="31"/>
      <c r="CL280" s="31"/>
      <c r="CM280" s="31"/>
      <c r="CN280" s="31"/>
      <c r="CO280" s="31"/>
      <c r="CP280" s="31"/>
      <c r="CQ280" s="31"/>
      <c r="CR280" s="31"/>
      <c r="CS280" s="31"/>
      <c r="CT280" s="31"/>
      <c r="CU280" s="31"/>
      <c r="CV280" s="31"/>
      <c r="CW280" s="31"/>
      <c r="CX280" s="31"/>
      <c r="CY280" s="31"/>
      <c r="CZ280" s="31"/>
      <c r="DA280" s="31"/>
      <c r="DB280" s="31"/>
      <c r="DC280" s="31"/>
      <c r="DD280" s="31"/>
      <c r="DE280" s="31"/>
      <c r="DF280" s="31"/>
      <c r="DG280" s="31"/>
      <c r="DH280" s="31"/>
      <c r="DI280" s="31"/>
      <c r="DJ280" s="31"/>
      <c r="DK280" s="31"/>
      <c r="DL280" s="31"/>
      <c r="DM280" s="31"/>
      <c r="DN280" s="31"/>
      <c r="DO280" s="31"/>
      <c r="DP280" s="31"/>
      <c r="DQ280" s="31"/>
      <c r="DR280" s="31"/>
      <c r="DS280" s="31"/>
      <c r="DT280" s="31"/>
      <c r="DU280" s="31"/>
      <c r="DV280" s="31"/>
      <c r="DW280" s="31"/>
      <c r="DX280" s="31"/>
      <c r="DY280" s="31"/>
      <c r="DZ280" s="31"/>
      <c r="EA280" s="31"/>
      <c r="EB280" s="31"/>
      <c r="EC280" s="31"/>
      <c r="ED280" s="31"/>
      <c r="EE280" s="31"/>
      <c r="EF280" s="31"/>
      <c r="EG280" s="31"/>
      <c r="EH280" s="31"/>
      <c r="EI280" s="31"/>
      <c r="EJ280" s="31"/>
      <c r="EK280" s="31"/>
      <c r="EL280" s="31"/>
      <c r="EM280" s="31"/>
      <c r="EN280" s="31"/>
      <c r="EO280" s="31"/>
      <c r="EP280" s="31"/>
      <c r="EQ280" s="31"/>
      <c r="ER280" s="31"/>
      <c r="ES280" s="31"/>
      <c r="ET280" s="31"/>
      <c r="EU280" s="31"/>
      <c r="EV280" s="31"/>
      <c r="EW280" s="31"/>
      <c r="EX280" s="31"/>
      <c r="EY280" s="31"/>
      <c r="EZ280" s="31"/>
      <c r="FA280" s="31"/>
      <c r="FB280" s="31"/>
      <c r="FC280" s="31"/>
      <c r="FD280" s="31"/>
      <c r="FE280" s="31"/>
      <c r="FF280" s="31"/>
      <c r="FG280" s="31"/>
      <c r="FH280" s="31"/>
      <c r="FI280" s="31"/>
      <c r="FJ280" s="31"/>
      <c r="FK280" s="31"/>
      <c r="FL280" s="31"/>
      <c r="FM280" s="31"/>
      <c r="FN280" s="31"/>
      <c r="FO280" s="31"/>
      <c r="FP280" s="31"/>
      <c r="FQ280" s="31"/>
      <c r="FR280" s="31"/>
      <c r="FS280" s="31"/>
      <c r="FT280" s="31"/>
      <c r="FU280" s="31"/>
      <c r="FV280" s="31"/>
      <c r="FW280" s="31"/>
      <c r="FX280" s="31"/>
      <c r="FY280" s="31"/>
      <c r="FZ280" s="31"/>
      <c r="GA280" s="31"/>
      <c r="GB280" s="31"/>
      <c r="GC280" s="31"/>
      <c r="GD280" s="31"/>
      <c r="GE280" s="31"/>
      <c r="GF280" s="31"/>
      <c r="GG280" s="31"/>
      <c r="GH280" s="31"/>
      <c r="GI280" s="31"/>
      <c r="GJ280" s="31"/>
      <c r="GK280" s="31"/>
      <c r="GL280" s="31"/>
      <c r="GM280" s="31"/>
      <c r="GN280" s="31"/>
      <c r="GO280" s="31"/>
      <c r="GP280" s="31"/>
      <c r="GQ280" s="31"/>
      <c r="GR280" s="31"/>
      <c r="GS280" s="31"/>
      <c r="GT280" s="31"/>
      <c r="GU280" s="31"/>
      <c r="GV280" s="31"/>
      <c r="GW280" s="31"/>
      <c r="GX280" s="31"/>
      <c r="GY280" s="31"/>
      <c r="GZ280" s="31"/>
      <c r="HA280" s="31"/>
      <c r="HB280" s="31"/>
      <c r="HC280" s="31"/>
      <c r="HD280" s="31"/>
      <c r="HE280" s="31"/>
      <c r="HF280" s="31"/>
      <c r="HG280" s="31"/>
      <c r="HH280" s="31"/>
      <c r="HI280" s="31"/>
      <c r="HJ280" s="31"/>
      <c r="HK280" s="31"/>
      <c r="HL280" s="31"/>
      <c r="HM280" s="31"/>
      <c r="HN280" s="31"/>
      <c r="HO280" s="31"/>
      <c r="HP280" s="31"/>
      <c r="HQ280" s="31"/>
      <c r="HR280" s="31"/>
      <c r="HS280" s="31"/>
      <c r="HT280" s="31"/>
      <c r="HU280" s="31"/>
      <c r="HV280" s="31"/>
      <c r="HW280" s="31"/>
      <c r="HX280" s="31"/>
      <c r="HY280" s="31"/>
      <c r="HZ280" s="31"/>
      <c r="IA280" s="31"/>
      <c r="IB280" s="31"/>
      <c r="IC280" s="31"/>
      <c r="ID280" s="31"/>
      <c r="IE280" s="31"/>
      <c r="IF280" s="31"/>
      <c r="IG280" s="31"/>
      <c r="IH280" s="31"/>
      <c r="II280" s="31"/>
      <c r="IJ280" s="31"/>
      <c r="IK280" s="31"/>
      <c r="IL280" s="31"/>
      <c r="IM280" s="31"/>
      <c r="IN280" s="31"/>
      <c r="IO280" s="31"/>
      <c r="IP280" s="31"/>
      <c r="IQ280" s="31"/>
      <c r="IR280" s="31"/>
      <c r="IS280" s="31"/>
      <c r="IT280" s="31"/>
      <c r="IU280" s="31"/>
      <c r="IV280" s="31"/>
      <c r="IW280" s="31"/>
      <c r="IX280" s="31"/>
      <c r="IY280" s="31"/>
      <c r="IZ280" s="31"/>
      <c r="JA280" s="31"/>
      <c r="JB280" s="31"/>
      <c r="JC280" s="31"/>
      <c r="JD280" s="31"/>
      <c r="JE280" s="31"/>
      <c r="JF280" s="31"/>
      <c r="JG280" s="31"/>
      <c r="JH280" s="31"/>
      <c r="JI280" s="31"/>
      <c r="JJ280" s="31"/>
      <c r="JK280" s="31"/>
      <c r="JL280" s="31"/>
      <c r="JM280" s="31"/>
      <c r="JN280" s="31"/>
      <c r="JO280" s="31"/>
      <c r="JP280" s="31"/>
      <c r="JQ280" s="31"/>
      <c r="JR280" s="31"/>
      <c r="JS280" s="31"/>
      <c r="JT280" s="31"/>
      <c r="JU280" s="31"/>
      <c r="JV280" s="31"/>
      <c r="JW280" s="31"/>
      <c r="JX280" s="31"/>
      <c r="JY280" s="31"/>
      <c r="JZ280" s="31"/>
      <c r="KA280" s="31"/>
      <c r="KB280" s="31"/>
      <c r="KC280" s="31"/>
      <c r="KD280" s="31"/>
      <c r="KE280" s="31"/>
      <c r="KF280" s="31"/>
      <c r="KG280" s="31"/>
      <c r="KH280" s="31"/>
      <c r="KI280" s="31"/>
      <c r="KJ280" s="31"/>
      <c r="KK280" s="31"/>
      <c r="KL280" s="31"/>
      <c r="KM280" s="31"/>
      <c r="KN280" s="31"/>
      <c r="KO280" s="31"/>
      <c r="KP280" s="31"/>
      <c r="KQ280" s="31"/>
      <c r="KR280" s="31"/>
      <c r="KS280" s="31"/>
      <c r="KT280" s="31"/>
      <c r="KU280" s="31"/>
      <c r="KV280" s="31"/>
      <c r="KW280" s="31"/>
      <c r="KX280" s="31"/>
      <c r="KY280" s="31"/>
      <c r="KZ280" s="31"/>
      <c r="LA280" s="31"/>
      <c r="LB280" s="31"/>
      <c r="LC280" s="31"/>
      <c r="LD280" s="31"/>
      <c r="LE280" s="31"/>
      <c r="LF280" s="31"/>
      <c r="LG280" s="31"/>
      <c r="LH280" s="31"/>
      <c r="LI280" s="31"/>
      <c r="LJ280" s="31"/>
      <c r="LK280" s="31"/>
      <c r="LL280" s="31"/>
      <c r="LM280" s="31"/>
      <c r="LN280" s="31"/>
      <c r="LO280" s="31"/>
      <c r="LP280" s="31"/>
      <c r="LQ280" s="31"/>
      <c r="LR280" s="31"/>
      <c r="LS280" s="31"/>
      <c r="LT280" s="31"/>
      <c r="LU280" s="31"/>
      <c r="LV280" s="31"/>
      <c r="LW280" s="31"/>
      <c r="LX280" s="31"/>
      <c r="LY280" s="31"/>
      <c r="LZ280" s="31"/>
      <c r="MA280" s="31"/>
      <c r="MB280" s="31"/>
      <c r="MC280" s="31"/>
      <c r="MD280" s="31"/>
      <c r="ME280" s="31"/>
      <c r="MF280" s="31"/>
      <c r="MG280" s="31"/>
      <c r="MH280" s="31"/>
      <c r="MI280" s="31"/>
      <c r="MJ280" s="31"/>
      <c r="MK280" s="31"/>
      <c r="ML280" s="31"/>
      <c r="MM280" s="31"/>
      <c r="MN280" s="31"/>
      <c r="MO280" s="31"/>
      <c r="MP280" s="31"/>
      <c r="MQ280" s="31"/>
      <c r="MR280" s="31"/>
      <c r="MS280" s="31"/>
      <c r="MT280" s="31"/>
      <c r="MU280" s="31"/>
      <c r="MV280" s="31"/>
      <c r="MW280" s="31"/>
      <c r="MX280" s="31"/>
      <c r="MY280" s="31"/>
      <c r="MZ280" s="31"/>
      <c r="NA280" s="31"/>
      <c r="NB280" s="31"/>
      <c r="NC280" s="31"/>
      <c r="ND280" s="31"/>
      <c r="NE280" s="31"/>
      <c r="NF280" s="31"/>
      <c r="NG280" s="31"/>
      <c r="NH280" s="31"/>
      <c r="NI280" s="31"/>
      <c r="NJ280" s="31"/>
      <c r="NK280" s="31"/>
      <c r="NL280" s="31"/>
      <c r="NM280" s="31"/>
      <c r="NN280" s="31"/>
      <c r="NO280" s="31"/>
      <c r="NP280" s="31"/>
      <c r="NQ280" s="31"/>
      <c r="NR280" s="31"/>
      <c r="NS280" s="31"/>
      <c r="NT280" s="31"/>
      <c r="NU280" s="31"/>
      <c r="NV280" s="31"/>
      <c r="NW280" s="31"/>
      <c r="NX280" s="31"/>
      <c r="NY280" s="31"/>
      <c r="NZ280" s="31"/>
      <c r="OA280" s="31"/>
      <c r="OB280" s="31"/>
      <c r="OC280" s="31"/>
      <c r="OD280" s="31"/>
      <c r="OE280" s="31"/>
      <c r="OF280" s="31"/>
      <c r="OG280" s="31"/>
      <c r="OH280" s="31"/>
      <c r="OI280" s="31"/>
      <c r="OJ280" s="31"/>
      <c r="OK280" s="31"/>
      <c r="OL280" s="31"/>
      <c r="OM280" s="31"/>
      <c r="ON280" s="31"/>
      <c r="OO280" s="31"/>
      <c r="OP280" s="31"/>
      <c r="OQ280" s="31"/>
      <c r="OR280" s="31"/>
      <c r="OS280" s="31"/>
      <c r="OT280" s="31"/>
      <c r="OU280" s="31"/>
      <c r="OV280" s="31"/>
      <c r="OW280" s="31"/>
      <c r="OX280" s="31"/>
      <c r="OY280" s="31"/>
      <c r="OZ280" s="31"/>
      <c r="PA280" s="31"/>
      <c r="PB280" s="31"/>
      <c r="PC280" s="31"/>
      <c r="PD280" s="31"/>
      <c r="PE280" s="31"/>
      <c r="PF280" s="31"/>
      <c r="PG280" s="31"/>
      <c r="PH280" s="31"/>
      <c r="PI280" s="31"/>
      <c r="PJ280" s="31"/>
      <c r="PK280" s="31"/>
      <c r="PL280" s="31"/>
      <c r="PM280" s="31"/>
      <c r="PN280" s="31"/>
      <c r="PO280" s="31"/>
      <c r="PP280" s="31"/>
      <c r="PQ280" s="31"/>
      <c r="PR280" s="31"/>
      <c r="PS280" s="31"/>
      <c r="PT280" s="31"/>
      <c r="PU280" s="31"/>
      <c r="PV280" s="31"/>
      <c r="PW280" s="31"/>
      <c r="PX280" s="31"/>
      <c r="PY280" s="31"/>
      <c r="PZ280" s="31"/>
      <c r="QA280" s="31"/>
      <c r="QB280" s="31"/>
      <c r="QC280" s="31"/>
      <c r="QD280" s="31"/>
      <c r="QE280" s="31"/>
      <c r="QF280" s="31"/>
      <c r="QG280" s="31"/>
      <c r="QH280" s="31"/>
      <c r="QI280" s="31"/>
      <c r="QJ280" s="31"/>
      <c r="QK280" s="31"/>
      <c r="QL280" s="31"/>
      <c r="QM280" s="31"/>
      <c r="QN280" s="31"/>
      <c r="QO280" s="31"/>
      <c r="QP280" s="31"/>
      <c r="QQ280" s="31"/>
      <c r="QR280" s="31"/>
      <c r="QS280" s="31"/>
      <c r="QT280" s="31"/>
      <c r="QU280" s="31"/>
      <c r="QV280" s="31"/>
      <c r="QW280" s="31"/>
      <c r="QX280" s="31"/>
      <c r="QY280" s="31"/>
      <c r="QZ280" s="31"/>
      <c r="RA280" s="31"/>
      <c r="RB280" s="31"/>
      <c r="RC280" s="31"/>
      <c r="RD280" s="31"/>
      <c r="RE280" s="31"/>
      <c r="RF280" s="31"/>
      <c r="RG280" s="31"/>
      <c r="RH280" s="31"/>
      <c r="RI280" s="31"/>
      <c r="RJ280" s="31"/>
      <c r="RK280" s="31"/>
      <c r="RL280" s="31"/>
      <c r="RM280" s="31"/>
      <c r="RN280" s="31"/>
      <c r="RO280" s="31"/>
      <c r="RP280" s="31"/>
      <c r="RQ280" s="31"/>
      <c r="RR280" s="31"/>
      <c r="RS280" s="31"/>
      <c r="RT280" s="31"/>
      <c r="RU280" s="31"/>
      <c r="RV280" s="31"/>
      <c r="RW280" s="31"/>
      <c r="RX280" s="31"/>
      <c r="RY280" s="31"/>
      <c r="RZ280" s="31"/>
      <c r="SA280" s="31"/>
      <c r="SB280" s="31"/>
      <c r="SC280" s="31"/>
      <c r="SD280" s="31"/>
      <c r="SE280" s="31"/>
      <c r="SF280" s="31"/>
      <c r="SG280" s="31"/>
      <c r="SH280" s="31"/>
      <c r="SI280" s="31"/>
      <c r="SJ280" s="31"/>
      <c r="SK280" s="31"/>
      <c r="SL280" s="31"/>
      <c r="SM280" s="31"/>
      <c r="SN280" s="31"/>
      <c r="SO280" s="31"/>
      <c r="SP280" s="31"/>
      <c r="SQ280" s="31"/>
      <c r="SR280" s="31"/>
      <c r="SS280" s="31"/>
      <c r="ST280" s="31"/>
      <c r="SU280" s="31"/>
      <c r="SV280" s="31"/>
      <c r="SW280" s="31"/>
      <c r="SX280" s="31"/>
      <c r="SY280" s="31"/>
      <c r="SZ280" s="31"/>
      <c r="TA280" s="31"/>
      <c r="TB280" s="31"/>
      <c r="TC280" s="31"/>
      <c r="TD280" s="31"/>
      <c r="TE280" s="31"/>
      <c r="TF280" s="31"/>
      <c r="TG280" s="31"/>
      <c r="TH280" s="31"/>
      <c r="TI280" s="31"/>
      <c r="TJ280" s="31"/>
      <c r="TK280" s="31"/>
      <c r="TL280" s="31"/>
      <c r="TM280" s="31"/>
      <c r="TN280" s="31"/>
      <c r="TO280" s="31"/>
      <c r="TP280" s="31"/>
      <c r="TQ280" s="31"/>
      <c r="TR280" s="31"/>
      <c r="TS280" s="31"/>
      <c r="TT280" s="31"/>
      <c r="TU280" s="31"/>
      <c r="TV280" s="31"/>
      <c r="TW280" s="31"/>
      <c r="TX280" s="31"/>
      <c r="TY280" s="31"/>
      <c r="TZ280" s="31"/>
      <c r="UA280" s="31"/>
      <c r="UB280" s="31"/>
      <c r="UC280" s="31"/>
      <c r="UD280" s="31"/>
      <c r="UE280" s="31"/>
      <c r="UF280" s="31"/>
      <c r="UG280" s="33"/>
    </row>
    <row r="281" spans="1:553" ht="45" customHeight="1">
      <c r="A281" s="356" t="s">
        <v>15</v>
      </c>
      <c r="B281" s="356"/>
      <c r="C281" s="384" t="s">
        <v>23</v>
      </c>
      <c r="D281" s="376" t="s">
        <v>70</v>
      </c>
      <c r="E281" s="376" t="s">
        <v>216</v>
      </c>
      <c r="F281" s="385"/>
      <c r="G281" s="386" t="s">
        <v>935</v>
      </c>
      <c r="H281" s="370"/>
      <c r="I281" s="490">
        <v>1037.9000000000001</v>
      </c>
      <c r="J281" s="368">
        <v>72000</v>
      </c>
      <c r="K281" s="850">
        <v>3</v>
      </c>
      <c r="L281" s="366">
        <f t="shared" si="56"/>
        <v>224186400</v>
      </c>
      <c r="M281" s="366"/>
      <c r="N281" s="366"/>
      <c r="O281" s="366"/>
      <c r="P281" s="366"/>
      <c r="Q281" s="1135"/>
      <c r="R281" s="1447"/>
      <c r="S281" s="308"/>
      <c r="T281" s="303"/>
      <c r="U281" s="306"/>
      <c r="V281" s="307"/>
      <c r="W281" s="306"/>
      <c r="X281" s="306"/>
      <c r="Y281" s="306"/>
      <c r="Z281" s="306"/>
      <c r="AA281" s="306"/>
      <c r="AB281" s="306"/>
      <c r="AC281" s="449"/>
      <c r="AD281" s="452"/>
      <c r="AE281" s="452"/>
      <c r="AF281" s="452"/>
      <c r="AG281" s="452"/>
      <c r="AH281" s="452"/>
      <c r="AI281" s="452"/>
      <c r="AJ281" s="452"/>
      <c r="AK281" s="452"/>
      <c r="AL281" s="106"/>
      <c r="AM281" s="31"/>
      <c r="AN281" s="31"/>
      <c r="AO281" s="31"/>
      <c r="AP281" s="31"/>
      <c r="AQ281" s="31"/>
      <c r="AR281" s="31"/>
      <c r="AS281" s="31"/>
      <c r="AT281" s="31"/>
      <c r="AU281" s="31"/>
      <c r="AV281" s="31"/>
      <c r="AW281" s="31"/>
      <c r="AX281" s="31"/>
      <c r="AY281" s="31"/>
      <c r="AZ281" s="31"/>
      <c r="BA281" s="31"/>
      <c r="BB281" s="31"/>
      <c r="BC281" s="31"/>
      <c r="BD281" s="31"/>
      <c r="BE281" s="31"/>
      <c r="BF281" s="31"/>
      <c r="BG281" s="31"/>
      <c r="BH281" s="31"/>
      <c r="BI281" s="31"/>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c r="CH281" s="31"/>
      <c r="CI281" s="31"/>
      <c r="CJ281" s="31"/>
      <c r="CK281" s="31"/>
      <c r="CL281" s="31"/>
      <c r="CM281" s="31"/>
      <c r="CN281" s="31"/>
      <c r="CO281" s="31"/>
      <c r="CP281" s="31"/>
      <c r="CQ281" s="31"/>
      <c r="CR281" s="31"/>
      <c r="CS281" s="31"/>
      <c r="CT281" s="31"/>
      <c r="CU281" s="31"/>
      <c r="CV281" s="31"/>
      <c r="CW281" s="31"/>
      <c r="CX281" s="31"/>
      <c r="CY281" s="31"/>
      <c r="CZ281" s="31"/>
      <c r="DA281" s="31"/>
      <c r="DB281" s="31"/>
      <c r="DC281" s="31"/>
      <c r="DD281" s="31"/>
      <c r="DE281" s="31"/>
      <c r="DF281" s="31"/>
      <c r="DG281" s="31"/>
      <c r="DH281" s="31"/>
      <c r="DI281" s="31"/>
      <c r="DJ281" s="31"/>
      <c r="DK281" s="31"/>
      <c r="DL281" s="31"/>
      <c r="DM281" s="31"/>
      <c r="DN281" s="31"/>
      <c r="DO281" s="31"/>
      <c r="DP281" s="31"/>
      <c r="DQ281" s="31"/>
      <c r="DR281" s="31"/>
      <c r="DS281" s="31"/>
      <c r="DT281" s="31"/>
      <c r="DU281" s="31"/>
      <c r="DV281" s="31"/>
      <c r="DW281" s="31"/>
      <c r="DX281" s="31"/>
      <c r="DY281" s="31"/>
      <c r="DZ281" s="31"/>
      <c r="EA281" s="31"/>
      <c r="EB281" s="31"/>
      <c r="EC281" s="31"/>
      <c r="ED281" s="31"/>
      <c r="EE281" s="31"/>
      <c r="EF281" s="31"/>
      <c r="EG281" s="31"/>
      <c r="EH281" s="31"/>
      <c r="EI281" s="31"/>
      <c r="EJ281" s="31"/>
      <c r="EK281" s="31"/>
      <c r="EL281" s="31"/>
      <c r="EM281" s="31"/>
      <c r="EN281" s="31"/>
      <c r="EO281" s="31"/>
      <c r="EP281" s="31"/>
      <c r="EQ281" s="31"/>
      <c r="ER281" s="31"/>
      <c r="ES281" s="31"/>
      <c r="ET281" s="31"/>
      <c r="EU281" s="31"/>
      <c r="EV281" s="31"/>
      <c r="EW281" s="31"/>
      <c r="EX281" s="31"/>
      <c r="EY281" s="31"/>
      <c r="EZ281" s="31"/>
      <c r="FA281" s="31"/>
      <c r="FB281" s="31"/>
      <c r="FC281" s="31"/>
      <c r="FD281" s="31"/>
      <c r="FE281" s="31"/>
      <c r="FF281" s="31"/>
      <c r="FG281" s="31"/>
      <c r="FH281" s="31"/>
      <c r="FI281" s="31"/>
      <c r="FJ281" s="31"/>
      <c r="FK281" s="31"/>
      <c r="FL281" s="31"/>
      <c r="FM281" s="31"/>
      <c r="FN281" s="31"/>
      <c r="FO281" s="31"/>
      <c r="FP281" s="31"/>
      <c r="FQ281" s="31"/>
      <c r="FR281" s="31"/>
      <c r="FS281" s="31"/>
      <c r="FT281" s="31"/>
      <c r="FU281" s="31"/>
      <c r="FV281" s="31"/>
      <c r="FW281" s="31"/>
      <c r="FX281" s="31"/>
      <c r="FY281" s="31"/>
      <c r="FZ281" s="31"/>
      <c r="GA281" s="31"/>
      <c r="GB281" s="31"/>
      <c r="GC281" s="31"/>
      <c r="GD281" s="31"/>
      <c r="GE281" s="31"/>
      <c r="GF281" s="31"/>
      <c r="GG281" s="31"/>
      <c r="GH281" s="31"/>
      <c r="GI281" s="31"/>
      <c r="GJ281" s="31"/>
      <c r="GK281" s="31"/>
      <c r="GL281" s="31"/>
      <c r="GM281" s="31"/>
      <c r="GN281" s="31"/>
      <c r="GO281" s="31"/>
      <c r="GP281" s="31"/>
      <c r="GQ281" s="31"/>
      <c r="GR281" s="31"/>
      <c r="GS281" s="31"/>
      <c r="GT281" s="31"/>
      <c r="GU281" s="31"/>
      <c r="GV281" s="31"/>
      <c r="GW281" s="31"/>
      <c r="GX281" s="31"/>
      <c r="GY281" s="31"/>
      <c r="GZ281" s="31"/>
      <c r="HA281" s="31"/>
      <c r="HB281" s="31"/>
      <c r="HC281" s="31"/>
      <c r="HD281" s="31"/>
      <c r="HE281" s="31"/>
      <c r="HF281" s="31"/>
      <c r="HG281" s="31"/>
      <c r="HH281" s="31"/>
      <c r="HI281" s="31"/>
      <c r="HJ281" s="31"/>
      <c r="HK281" s="31"/>
      <c r="HL281" s="31"/>
      <c r="HM281" s="31"/>
      <c r="HN281" s="31"/>
      <c r="HO281" s="31"/>
      <c r="HP281" s="31"/>
      <c r="HQ281" s="31"/>
      <c r="HR281" s="31"/>
      <c r="HS281" s="31"/>
      <c r="HT281" s="31"/>
      <c r="HU281" s="31"/>
      <c r="HV281" s="31"/>
      <c r="HW281" s="31"/>
      <c r="HX281" s="31"/>
      <c r="HY281" s="31"/>
      <c r="HZ281" s="31"/>
      <c r="IA281" s="31"/>
      <c r="IB281" s="31"/>
      <c r="IC281" s="31"/>
      <c r="ID281" s="31"/>
      <c r="IE281" s="31"/>
      <c r="IF281" s="31"/>
      <c r="IG281" s="31"/>
      <c r="IH281" s="31"/>
      <c r="II281" s="31"/>
      <c r="IJ281" s="31"/>
      <c r="IK281" s="31"/>
      <c r="IL281" s="31"/>
      <c r="IM281" s="31"/>
      <c r="IN281" s="31"/>
      <c r="IO281" s="31"/>
      <c r="IP281" s="31"/>
      <c r="IQ281" s="31"/>
      <c r="IR281" s="31"/>
      <c r="IS281" s="31"/>
      <c r="IT281" s="31"/>
      <c r="IU281" s="31"/>
      <c r="IV281" s="31"/>
      <c r="IW281" s="31"/>
      <c r="IX281" s="31"/>
      <c r="IY281" s="31"/>
      <c r="IZ281" s="31"/>
      <c r="JA281" s="31"/>
      <c r="JB281" s="31"/>
      <c r="JC281" s="31"/>
      <c r="JD281" s="31"/>
      <c r="JE281" s="31"/>
      <c r="JF281" s="31"/>
      <c r="JG281" s="31"/>
      <c r="JH281" s="31"/>
      <c r="JI281" s="31"/>
      <c r="JJ281" s="31"/>
      <c r="JK281" s="31"/>
      <c r="JL281" s="31"/>
      <c r="JM281" s="31"/>
      <c r="JN281" s="31"/>
      <c r="JO281" s="31"/>
      <c r="JP281" s="31"/>
      <c r="JQ281" s="31"/>
      <c r="JR281" s="31"/>
      <c r="JS281" s="31"/>
      <c r="JT281" s="31"/>
      <c r="JU281" s="31"/>
      <c r="JV281" s="31"/>
      <c r="JW281" s="31"/>
      <c r="JX281" s="31"/>
      <c r="JY281" s="31"/>
      <c r="JZ281" s="31"/>
      <c r="KA281" s="31"/>
      <c r="KB281" s="31"/>
      <c r="KC281" s="31"/>
      <c r="KD281" s="31"/>
      <c r="KE281" s="31"/>
      <c r="KF281" s="31"/>
      <c r="KG281" s="31"/>
      <c r="KH281" s="31"/>
      <c r="KI281" s="31"/>
      <c r="KJ281" s="31"/>
      <c r="KK281" s="31"/>
      <c r="KL281" s="31"/>
      <c r="KM281" s="31"/>
      <c r="KN281" s="31"/>
      <c r="KO281" s="31"/>
      <c r="KP281" s="31"/>
      <c r="KQ281" s="31"/>
      <c r="KR281" s="31"/>
      <c r="KS281" s="31"/>
      <c r="KT281" s="31"/>
      <c r="KU281" s="31"/>
      <c r="KV281" s="31"/>
      <c r="KW281" s="31"/>
      <c r="KX281" s="31"/>
      <c r="KY281" s="31"/>
      <c r="KZ281" s="31"/>
      <c r="LA281" s="31"/>
      <c r="LB281" s="31"/>
      <c r="LC281" s="31"/>
      <c r="LD281" s="31"/>
      <c r="LE281" s="31"/>
      <c r="LF281" s="31"/>
      <c r="LG281" s="31"/>
      <c r="LH281" s="31"/>
      <c r="LI281" s="31"/>
      <c r="LJ281" s="31"/>
      <c r="LK281" s="31"/>
      <c r="LL281" s="31"/>
      <c r="LM281" s="31"/>
      <c r="LN281" s="31"/>
      <c r="LO281" s="31"/>
      <c r="LP281" s="31"/>
      <c r="LQ281" s="31"/>
      <c r="LR281" s="31"/>
      <c r="LS281" s="31"/>
      <c r="LT281" s="31"/>
      <c r="LU281" s="31"/>
      <c r="LV281" s="31"/>
      <c r="LW281" s="31"/>
      <c r="LX281" s="31"/>
      <c r="LY281" s="31"/>
      <c r="LZ281" s="31"/>
      <c r="MA281" s="31"/>
      <c r="MB281" s="31"/>
      <c r="MC281" s="31"/>
      <c r="MD281" s="31"/>
      <c r="ME281" s="31"/>
      <c r="MF281" s="31"/>
      <c r="MG281" s="31"/>
      <c r="MH281" s="31"/>
      <c r="MI281" s="31"/>
      <c r="MJ281" s="31"/>
      <c r="MK281" s="31"/>
      <c r="ML281" s="31"/>
      <c r="MM281" s="31"/>
      <c r="MN281" s="31"/>
      <c r="MO281" s="31"/>
      <c r="MP281" s="31"/>
      <c r="MQ281" s="31"/>
      <c r="MR281" s="31"/>
      <c r="MS281" s="31"/>
      <c r="MT281" s="31"/>
      <c r="MU281" s="31"/>
      <c r="MV281" s="31"/>
      <c r="MW281" s="31"/>
      <c r="MX281" s="31"/>
      <c r="MY281" s="31"/>
      <c r="MZ281" s="31"/>
      <c r="NA281" s="31"/>
      <c r="NB281" s="31"/>
      <c r="NC281" s="31"/>
      <c r="ND281" s="31"/>
      <c r="NE281" s="31"/>
      <c r="NF281" s="31"/>
      <c r="NG281" s="31"/>
      <c r="NH281" s="31"/>
      <c r="NI281" s="31"/>
      <c r="NJ281" s="31"/>
      <c r="NK281" s="31"/>
      <c r="NL281" s="31"/>
      <c r="NM281" s="31"/>
      <c r="NN281" s="31"/>
      <c r="NO281" s="31"/>
      <c r="NP281" s="31"/>
      <c r="NQ281" s="31"/>
      <c r="NR281" s="31"/>
      <c r="NS281" s="31"/>
      <c r="NT281" s="31"/>
      <c r="NU281" s="31"/>
      <c r="NV281" s="31"/>
      <c r="NW281" s="31"/>
      <c r="NX281" s="31"/>
      <c r="NY281" s="31"/>
      <c r="NZ281" s="31"/>
      <c r="OA281" s="31"/>
      <c r="OB281" s="31"/>
      <c r="OC281" s="31"/>
      <c r="OD281" s="31"/>
      <c r="OE281" s="31"/>
      <c r="OF281" s="31"/>
      <c r="OG281" s="31"/>
      <c r="OH281" s="31"/>
      <c r="OI281" s="31"/>
      <c r="OJ281" s="31"/>
      <c r="OK281" s="31"/>
      <c r="OL281" s="31"/>
      <c r="OM281" s="31"/>
      <c r="ON281" s="31"/>
      <c r="OO281" s="31"/>
      <c r="OP281" s="31"/>
      <c r="OQ281" s="31"/>
      <c r="OR281" s="31"/>
      <c r="OS281" s="31"/>
      <c r="OT281" s="31"/>
      <c r="OU281" s="31"/>
      <c r="OV281" s="31"/>
      <c r="OW281" s="31"/>
      <c r="OX281" s="31"/>
      <c r="OY281" s="31"/>
      <c r="OZ281" s="31"/>
      <c r="PA281" s="31"/>
      <c r="PB281" s="31"/>
      <c r="PC281" s="31"/>
      <c r="PD281" s="31"/>
      <c r="PE281" s="31"/>
      <c r="PF281" s="31"/>
      <c r="PG281" s="31"/>
      <c r="PH281" s="31"/>
      <c r="PI281" s="31"/>
      <c r="PJ281" s="31"/>
      <c r="PK281" s="31"/>
      <c r="PL281" s="31"/>
      <c r="PM281" s="31"/>
      <c r="PN281" s="31"/>
      <c r="PO281" s="31"/>
      <c r="PP281" s="31"/>
      <c r="PQ281" s="31"/>
      <c r="PR281" s="31"/>
      <c r="PS281" s="31"/>
      <c r="PT281" s="31"/>
      <c r="PU281" s="31"/>
      <c r="PV281" s="31"/>
      <c r="PW281" s="31"/>
      <c r="PX281" s="31"/>
      <c r="PY281" s="31"/>
      <c r="PZ281" s="31"/>
      <c r="QA281" s="31"/>
      <c r="QB281" s="31"/>
      <c r="QC281" s="31"/>
      <c r="QD281" s="31"/>
      <c r="QE281" s="31"/>
      <c r="QF281" s="31"/>
      <c r="QG281" s="31"/>
      <c r="QH281" s="31"/>
      <c r="QI281" s="31"/>
      <c r="QJ281" s="31"/>
      <c r="QK281" s="31"/>
      <c r="QL281" s="31"/>
      <c r="QM281" s="31"/>
      <c r="QN281" s="31"/>
      <c r="QO281" s="31"/>
      <c r="QP281" s="31"/>
      <c r="QQ281" s="31"/>
      <c r="QR281" s="31"/>
      <c r="QS281" s="31"/>
      <c r="QT281" s="31"/>
      <c r="QU281" s="31"/>
      <c r="QV281" s="31"/>
      <c r="QW281" s="31"/>
      <c r="QX281" s="31"/>
      <c r="QY281" s="31"/>
      <c r="QZ281" s="31"/>
      <c r="RA281" s="31"/>
      <c r="RB281" s="31"/>
      <c r="RC281" s="31"/>
      <c r="RD281" s="31"/>
      <c r="RE281" s="31"/>
      <c r="RF281" s="31"/>
      <c r="RG281" s="31"/>
      <c r="RH281" s="31"/>
      <c r="RI281" s="31"/>
      <c r="RJ281" s="31"/>
      <c r="RK281" s="31"/>
      <c r="RL281" s="31"/>
      <c r="RM281" s="31"/>
      <c r="RN281" s="31"/>
      <c r="RO281" s="31"/>
      <c r="RP281" s="31"/>
      <c r="RQ281" s="31"/>
      <c r="RR281" s="31"/>
      <c r="RS281" s="31"/>
      <c r="RT281" s="31"/>
      <c r="RU281" s="31"/>
      <c r="RV281" s="31"/>
      <c r="RW281" s="31"/>
      <c r="RX281" s="31"/>
      <c r="RY281" s="31"/>
      <c r="RZ281" s="31"/>
      <c r="SA281" s="31"/>
      <c r="SB281" s="31"/>
      <c r="SC281" s="31"/>
      <c r="SD281" s="31"/>
      <c r="SE281" s="31"/>
      <c r="SF281" s="31"/>
      <c r="SG281" s="31"/>
      <c r="SH281" s="31"/>
      <c r="SI281" s="31"/>
      <c r="SJ281" s="31"/>
      <c r="SK281" s="31"/>
      <c r="SL281" s="31"/>
      <c r="SM281" s="31"/>
      <c r="SN281" s="31"/>
      <c r="SO281" s="31"/>
      <c r="SP281" s="31"/>
      <c r="SQ281" s="31"/>
      <c r="SR281" s="31"/>
      <c r="SS281" s="31"/>
      <c r="ST281" s="31"/>
      <c r="SU281" s="31"/>
      <c r="SV281" s="31"/>
      <c r="SW281" s="31"/>
      <c r="SX281" s="31"/>
      <c r="SY281" s="31"/>
      <c r="SZ281" s="31"/>
      <c r="TA281" s="31"/>
      <c r="TB281" s="31"/>
      <c r="TC281" s="31"/>
      <c r="TD281" s="31"/>
      <c r="TE281" s="31"/>
      <c r="TF281" s="31"/>
      <c r="TG281" s="31"/>
      <c r="TH281" s="31"/>
      <c r="TI281" s="31"/>
      <c r="TJ281" s="31"/>
      <c r="TK281" s="31"/>
      <c r="TL281" s="31"/>
      <c r="TM281" s="31"/>
      <c r="TN281" s="31"/>
      <c r="TO281" s="31"/>
      <c r="TP281" s="31"/>
      <c r="TQ281" s="31"/>
      <c r="TR281" s="31"/>
      <c r="TS281" s="31"/>
      <c r="TT281" s="31"/>
      <c r="TU281" s="31"/>
      <c r="TV281" s="31"/>
      <c r="TW281" s="31"/>
      <c r="TX281" s="31"/>
      <c r="TY281" s="31"/>
      <c r="TZ281" s="31"/>
      <c r="UA281" s="31"/>
      <c r="UB281" s="31"/>
      <c r="UC281" s="31"/>
      <c r="UD281" s="31"/>
      <c r="UE281" s="31"/>
      <c r="UF281" s="31"/>
      <c r="UG281" s="33"/>
    </row>
    <row r="282" spans="1:553" ht="45" customHeight="1">
      <c r="A282" s="356" t="s">
        <v>15</v>
      </c>
      <c r="B282" s="356"/>
      <c r="C282" s="384" t="s">
        <v>69</v>
      </c>
      <c r="D282" s="376" t="s">
        <v>70</v>
      </c>
      <c r="E282" s="376" t="s">
        <v>218</v>
      </c>
      <c r="F282" s="385"/>
      <c r="G282" s="386" t="s">
        <v>935</v>
      </c>
      <c r="H282" s="370"/>
      <c r="I282" s="490">
        <v>653.79999999999995</v>
      </c>
      <c r="J282" s="368">
        <v>62000</v>
      </c>
      <c r="K282" s="850">
        <v>2.5</v>
      </c>
      <c r="L282" s="366">
        <f t="shared" si="56"/>
        <v>101339000</v>
      </c>
      <c r="M282" s="366"/>
      <c r="N282" s="366"/>
      <c r="O282" s="366"/>
      <c r="P282" s="366"/>
      <c r="Q282" s="1135"/>
      <c r="R282" s="1447"/>
      <c r="S282" s="534"/>
      <c r="T282" s="303"/>
      <c r="U282" s="304"/>
      <c r="V282" s="304"/>
      <c r="W282" s="304"/>
      <c r="X282" s="304"/>
      <c r="Y282" s="304"/>
      <c r="Z282" s="304"/>
      <c r="AA282" s="304"/>
      <c r="AB282" s="304"/>
      <c r="AC282" s="449"/>
      <c r="AD282" s="452"/>
      <c r="AE282" s="452"/>
      <c r="AF282" s="452"/>
      <c r="AG282" s="452"/>
      <c r="AH282" s="452"/>
      <c r="AI282" s="452"/>
      <c r="AJ282" s="452"/>
      <c r="AK282" s="452"/>
      <c r="AL282" s="106"/>
      <c r="AM282" s="31"/>
      <c r="AN282" s="31"/>
      <c r="AO282" s="31"/>
      <c r="AP282" s="31"/>
      <c r="AQ282" s="31"/>
      <c r="AR282" s="31"/>
      <c r="AS282" s="31"/>
      <c r="AT282" s="31"/>
      <c r="AU282" s="31"/>
      <c r="AV282" s="31"/>
      <c r="AW282" s="31"/>
      <c r="AX282" s="31"/>
      <c r="AY282" s="31"/>
      <c r="AZ282" s="31"/>
      <c r="BA282" s="31"/>
      <c r="BB282" s="31"/>
      <c r="BC282" s="31"/>
      <c r="BD282" s="31"/>
      <c r="BE282" s="31"/>
      <c r="BF282" s="31"/>
      <c r="BG282" s="31"/>
      <c r="BH282" s="31"/>
      <c r="BI282" s="31"/>
      <c r="BJ282" s="31"/>
      <c r="BK282" s="31"/>
      <c r="BL282" s="31"/>
      <c r="BM282" s="31"/>
      <c r="BN282" s="31"/>
      <c r="BO282" s="31"/>
      <c r="BP282" s="31"/>
      <c r="BQ282" s="31"/>
      <c r="BR282" s="31"/>
      <c r="BS282" s="31"/>
      <c r="BT282" s="31"/>
      <c r="BU282" s="31"/>
      <c r="BV282" s="31"/>
      <c r="BW282" s="31"/>
      <c r="BX282" s="31"/>
      <c r="BY282" s="31"/>
      <c r="BZ282" s="31"/>
      <c r="CA282" s="31"/>
      <c r="CB282" s="31"/>
      <c r="CC282" s="31"/>
      <c r="CD282" s="31"/>
      <c r="CE282" s="31"/>
      <c r="CF282" s="31"/>
      <c r="CG282" s="31"/>
      <c r="CH282" s="31"/>
      <c r="CI282" s="31"/>
      <c r="CJ282" s="31"/>
      <c r="CK282" s="31"/>
      <c r="CL282" s="31"/>
      <c r="CM282" s="31"/>
      <c r="CN282" s="31"/>
      <c r="CO282" s="31"/>
      <c r="CP282" s="31"/>
      <c r="CQ282" s="31"/>
      <c r="CR282" s="31"/>
      <c r="CS282" s="31"/>
      <c r="CT282" s="31"/>
      <c r="CU282" s="31"/>
      <c r="CV282" s="31"/>
      <c r="CW282" s="31"/>
      <c r="CX282" s="31"/>
      <c r="CY282" s="31"/>
      <c r="CZ282" s="31"/>
      <c r="DA282" s="31"/>
      <c r="DB282" s="31"/>
      <c r="DC282" s="31"/>
      <c r="DD282" s="31"/>
      <c r="DE282" s="31"/>
      <c r="DF282" s="31"/>
      <c r="DG282" s="31"/>
      <c r="DH282" s="31"/>
      <c r="DI282" s="31"/>
      <c r="DJ282" s="31"/>
      <c r="DK282" s="31"/>
      <c r="DL282" s="31"/>
      <c r="DM282" s="31"/>
      <c r="DN282" s="31"/>
      <c r="DO282" s="31"/>
      <c r="DP282" s="31"/>
      <c r="DQ282" s="31"/>
      <c r="DR282" s="31"/>
      <c r="DS282" s="31"/>
      <c r="DT282" s="31"/>
      <c r="DU282" s="31"/>
      <c r="DV282" s="31"/>
      <c r="DW282" s="31"/>
      <c r="DX282" s="31"/>
      <c r="DY282" s="31"/>
      <c r="DZ282" s="31"/>
      <c r="EA282" s="31"/>
      <c r="EB282" s="31"/>
      <c r="EC282" s="31"/>
      <c r="ED282" s="31"/>
      <c r="EE282" s="31"/>
      <c r="EF282" s="31"/>
      <c r="EG282" s="31"/>
      <c r="EH282" s="31"/>
      <c r="EI282" s="31"/>
      <c r="EJ282" s="31"/>
      <c r="EK282" s="31"/>
      <c r="EL282" s="31"/>
      <c r="EM282" s="31"/>
      <c r="EN282" s="31"/>
      <c r="EO282" s="31"/>
      <c r="EP282" s="31"/>
      <c r="EQ282" s="31"/>
      <c r="ER282" s="31"/>
      <c r="ES282" s="31"/>
      <c r="ET282" s="31"/>
      <c r="EU282" s="31"/>
      <c r="EV282" s="31"/>
      <c r="EW282" s="31"/>
      <c r="EX282" s="31"/>
      <c r="EY282" s="31"/>
      <c r="EZ282" s="31"/>
      <c r="FA282" s="31"/>
      <c r="FB282" s="31"/>
      <c r="FC282" s="31"/>
      <c r="FD282" s="31"/>
      <c r="FE282" s="31"/>
      <c r="FF282" s="31"/>
      <c r="FG282" s="31"/>
      <c r="FH282" s="31"/>
      <c r="FI282" s="31"/>
      <c r="FJ282" s="31"/>
      <c r="FK282" s="31"/>
      <c r="FL282" s="31"/>
      <c r="FM282" s="31"/>
      <c r="FN282" s="31"/>
      <c r="FO282" s="31"/>
      <c r="FP282" s="31"/>
      <c r="FQ282" s="31"/>
      <c r="FR282" s="31"/>
      <c r="FS282" s="31"/>
      <c r="FT282" s="31"/>
      <c r="FU282" s="31"/>
      <c r="FV282" s="31"/>
      <c r="FW282" s="31"/>
      <c r="FX282" s="31"/>
      <c r="FY282" s="31"/>
      <c r="FZ282" s="31"/>
      <c r="GA282" s="31"/>
      <c r="GB282" s="31"/>
      <c r="GC282" s="31"/>
      <c r="GD282" s="31"/>
      <c r="GE282" s="31"/>
      <c r="GF282" s="31"/>
      <c r="GG282" s="31"/>
      <c r="GH282" s="31"/>
      <c r="GI282" s="31"/>
      <c r="GJ282" s="31"/>
      <c r="GK282" s="31"/>
      <c r="GL282" s="31"/>
      <c r="GM282" s="31"/>
      <c r="GN282" s="31"/>
      <c r="GO282" s="31"/>
      <c r="GP282" s="31"/>
      <c r="GQ282" s="31"/>
      <c r="GR282" s="31"/>
      <c r="GS282" s="31"/>
      <c r="GT282" s="31"/>
      <c r="GU282" s="31"/>
      <c r="GV282" s="31"/>
      <c r="GW282" s="31"/>
      <c r="GX282" s="31"/>
      <c r="GY282" s="31"/>
      <c r="GZ282" s="31"/>
      <c r="HA282" s="31"/>
      <c r="HB282" s="31"/>
      <c r="HC282" s="31"/>
      <c r="HD282" s="31"/>
      <c r="HE282" s="31"/>
      <c r="HF282" s="31"/>
      <c r="HG282" s="31"/>
      <c r="HH282" s="31"/>
      <c r="HI282" s="31"/>
      <c r="HJ282" s="31"/>
      <c r="HK282" s="31"/>
      <c r="HL282" s="31"/>
      <c r="HM282" s="31"/>
      <c r="HN282" s="31"/>
      <c r="HO282" s="31"/>
      <c r="HP282" s="31"/>
      <c r="HQ282" s="31"/>
      <c r="HR282" s="31"/>
      <c r="HS282" s="31"/>
      <c r="HT282" s="31"/>
      <c r="HU282" s="31"/>
      <c r="HV282" s="31"/>
      <c r="HW282" s="31"/>
      <c r="HX282" s="31"/>
      <c r="HY282" s="31"/>
      <c r="HZ282" s="31"/>
      <c r="IA282" s="31"/>
      <c r="IB282" s="31"/>
      <c r="IC282" s="31"/>
      <c r="ID282" s="31"/>
      <c r="IE282" s="31"/>
      <c r="IF282" s="31"/>
      <c r="IG282" s="31"/>
      <c r="IH282" s="31"/>
      <c r="II282" s="31"/>
      <c r="IJ282" s="31"/>
      <c r="IK282" s="31"/>
      <c r="IL282" s="31"/>
      <c r="IM282" s="31"/>
      <c r="IN282" s="31"/>
      <c r="IO282" s="31"/>
      <c r="IP282" s="31"/>
      <c r="IQ282" s="31"/>
      <c r="IR282" s="31"/>
      <c r="IS282" s="31"/>
      <c r="IT282" s="31"/>
      <c r="IU282" s="31"/>
      <c r="IV282" s="31"/>
      <c r="IW282" s="31"/>
      <c r="IX282" s="31"/>
      <c r="IY282" s="31"/>
      <c r="IZ282" s="31"/>
      <c r="JA282" s="31"/>
      <c r="JB282" s="31"/>
      <c r="JC282" s="31"/>
      <c r="JD282" s="31"/>
      <c r="JE282" s="31"/>
      <c r="JF282" s="31"/>
      <c r="JG282" s="31"/>
      <c r="JH282" s="31"/>
      <c r="JI282" s="31"/>
      <c r="JJ282" s="31"/>
      <c r="JK282" s="31"/>
      <c r="JL282" s="31"/>
      <c r="JM282" s="31"/>
      <c r="JN282" s="31"/>
      <c r="JO282" s="31"/>
      <c r="JP282" s="31"/>
      <c r="JQ282" s="31"/>
      <c r="JR282" s="31"/>
      <c r="JS282" s="31"/>
      <c r="JT282" s="31"/>
      <c r="JU282" s="31"/>
      <c r="JV282" s="31"/>
      <c r="JW282" s="31"/>
      <c r="JX282" s="31"/>
      <c r="JY282" s="31"/>
      <c r="JZ282" s="31"/>
      <c r="KA282" s="31"/>
      <c r="KB282" s="31"/>
      <c r="KC282" s="31"/>
      <c r="KD282" s="31"/>
      <c r="KE282" s="31"/>
      <c r="KF282" s="31"/>
      <c r="KG282" s="31"/>
      <c r="KH282" s="31"/>
      <c r="KI282" s="31"/>
      <c r="KJ282" s="31"/>
      <c r="KK282" s="31"/>
      <c r="KL282" s="31"/>
      <c r="KM282" s="31"/>
      <c r="KN282" s="31"/>
      <c r="KO282" s="31"/>
      <c r="KP282" s="31"/>
      <c r="KQ282" s="31"/>
      <c r="KR282" s="31"/>
      <c r="KS282" s="31"/>
      <c r="KT282" s="31"/>
      <c r="KU282" s="31"/>
      <c r="KV282" s="31"/>
      <c r="KW282" s="31"/>
      <c r="KX282" s="31"/>
      <c r="KY282" s="31"/>
      <c r="KZ282" s="31"/>
      <c r="LA282" s="31"/>
      <c r="LB282" s="31"/>
      <c r="LC282" s="31"/>
      <c r="LD282" s="31"/>
      <c r="LE282" s="31"/>
      <c r="LF282" s="31"/>
      <c r="LG282" s="31"/>
      <c r="LH282" s="31"/>
      <c r="LI282" s="31"/>
      <c r="LJ282" s="31"/>
      <c r="LK282" s="31"/>
      <c r="LL282" s="31"/>
      <c r="LM282" s="31"/>
      <c r="LN282" s="31"/>
      <c r="LO282" s="31"/>
      <c r="LP282" s="31"/>
      <c r="LQ282" s="31"/>
      <c r="LR282" s="31"/>
      <c r="LS282" s="31"/>
      <c r="LT282" s="31"/>
      <c r="LU282" s="31"/>
      <c r="LV282" s="31"/>
      <c r="LW282" s="31"/>
      <c r="LX282" s="31"/>
      <c r="LY282" s="31"/>
      <c r="LZ282" s="31"/>
      <c r="MA282" s="31"/>
      <c r="MB282" s="31"/>
      <c r="MC282" s="31"/>
      <c r="MD282" s="31"/>
      <c r="ME282" s="31"/>
      <c r="MF282" s="31"/>
      <c r="MG282" s="31"/>
      <c r="MH282" s="31"/>
      <c r="MI282" s="31"/>
      <c r="MJ282" s="31"/>
      <c r="MK282" s="31"/>
      <c r="ML282" s="31"/>
      <c r="MM282" s="31"/>
      <c r="MN282" s="31"/>
      <c r="MO282" s="31"/>
      <c r="MP282" s="31"/>
      <c r="MQ282" s="31"/>
      <c r="MR282" s="31"/>
      <c r="MS282" s="31"/>
      <c r="MT282" s="31"/>
      <c r="MU282" s="31"/>
      <c r="MV282" s="31"/>
      <c r="MW282" s="31"/>
      <c r="MX282" s="31"/>
      <c r="MY282" s="31"/>
      <c r="MZ282" s="31"/>
      <c r="NA282" s="31"/>
      <c r="NB282" s="31"/>
      <c r="NC282" s="31"/>
      <c r="ND282" s="31"/>
      <c r="NE282" s="31"/>
      <c r="NF282" s="31"/>
      <c r="NG282" s="31"/>
      <c r="NH282" s="31"/>
      <c r="NI282" s="31"/>
      <c r="NJ282" s="31"/>
      <c r="NK282" s="31"/>
      <c r="NL282" s="31"/>
      <c r="NM282" s="31"/>
      <c r="NN282" s="31"/>
      <c r="NO282" s="31"/>
      <c r="NP282" s="31"/>
      <c r="NQ282" s="31"/>
      <c r="NR282" s="31"/>
      <c r="NS282" s="31"/>
      <c r="NT282" s="31"/>
      <c r="NU282" s="31"/>
      <c r="NV282" s="31"/>
      <c r="NW282" s="31"/>
      <c r="NX282" s="31"/>
      <c r="NY282" s="31"/>
      <c r="NZ282" s="31"/>
      <c r="OA282" s="31"/>
      <c r="OB282" s="31"/>
      <c r="OC282" s="31"/>
      <c r="OD282" s="31"/>
      <c r="OE282" s="31"/>
      <c r="OF282" s="31"/>
      <c r="OG282" s="31"/>
      <c r="OH282" s="31"/>
      <c r="OI282" s="31"/>
      <c r="OJ282" s="31"/>
      <c r="OK282" s="31"/>
      <c r="OL282" s="31"/>
      <c r="OM282" s="31"/>
      <c r="ON282" s="31"/>
      <c r="OO282" s="31"/>
      <c r="OP282" s="31"/>
      <c r="OQ282" s="31"/>
      <c r="OR282" s="31"/>
      <c r="OS282" s="31"/>
      <c r="OT282" s="31"/>
      <c r="OU282" s="31"/>
      <c r="OV282" s="31"/>
      <c r="OW282" s="31"/>
      <c r="OX282" s="31"/>
      <c r="OY282" s="31"/>
      <c r="OZ282" s="31"/>
      <c r="PA282" s="31"/>
      <c r="PB282" s="31"/>
      <c r="PC282" s="31"/>
      <c r="PD282" s="31"/>
      <c r="PE282" s="31"/>
      <c r="PF282" s="31"/>
      <c r="PG282" s="31"/>
      <c r="PH282" s="31"/>
      <c r="PI282" s="31"/>
      <c r="PJ282" s="31"/>
      <c r="PK282" s="31"/>
      <c r="PL282" s="31"/>
      <c r="PM282" s="31"/>
      <c r="PN282" s="31"/>
      <c r="PO282" s="31"/>
      <c r="PP282" s="31"/>
      <c r="PQ282" s="31"/>
      <c r="PR282" s="31"/>
      <c r="PS282" s="31"/>
      <c r="PT282" s="31"/>
      <c r="PU282" s="31"/>
      <c r="PV282" s="31"/>
      <c r="PW282" s="31"/>
      <c r="PX282" s="31"/>
      <c r="PY282" s="31"/>
      <c r="PZ282" s="31"/>
      <c r="QA282" s="31"/>
      <c r="QB282" s="31"/>
      <c r="QC282" s="31"/>
      <c r="QD282" s="31"/>
      <c r="QE282" s="31"/>
      <c r="QF282" s="31"/>
      <c r="QG282" s="31"/>
      <c r="QH282" s="31"/>
      <c r="QI282" s="31"/>
      <c r="QJ282" s="31"/>
      <c r="QK282" s="31"/>
      <c r="QL282" s="31"/>
      <c r="QM282" s="31"/>
      <c r="QN282" s="31"/>
      <c r="QO282" s="31"/>
      <c r="QP282" s="31"/>
      <c r="QQ282" s="31"/>
      <c r="QR282" s="31"/>
      <c r="QS282" s="31"/>
      <c r="QT282" s="31"/>
      <c r="QU282" s="31"/>
      <c r="QV282" s="31"/>
      <c r="QW282" s="31"/>
      <c r="QX282" s="31"/>
      <c r="QY282" s="31"/>
      <c r="QZ282" s="31"/>
      <c r="RA282" s="31"/>
      <c r="RB282" s="31"/>
      <c r="RC282" s="31"/>
      <c r="RD282" s="31"/>
      <c r="RE282" s="31"/>
      <c r="RF282" s="31"/>
      <c r="RG282" s="31"/>
      <c r="RH282" s="31"/>
      <c r="RI282" s="31"/>
      <c r="RJ282" s="31"/>
      <c r="RK282" s="31"/>
      <c r="RL282" s="31"/>
      <c r="RM282" s="31"/>
      <c r="RN282" s="31"/>
      <c r="RO282" s="31"/>
      <c r="RP282" s="31"/>
      <c r="RQ282" s="31"/>
      <c r="RR282" s="31"/>
      <c r="RS282" s="31"/>
      <c r="RT282" s="31"/>
      <c r="RU282" s="31"/>
      <c r="RV282" s="31"/>
      <c r="RW282" s="31"/>
      <c r="RX282" s="31"/>
      <c r="RY282" s="31"/>
      <c r="RZ282" s="31"/>
      <c r="SA282" s="31"/>
      <c r="SB282" s="31"/>
      <c r="SC282" s="31"/>
      <c r="SD282" s="31"/>
      <c r="SE282" s="31"/>
      <c r="SF282" s="31"/>
      <c r="SG282" s="31"/>
      <c r="SH282" s="31"/>
      <c r="SI282" s="31"/>
      <c r="SJ282" s="31"/>
      <c r="SK282" s="31"/>
      <c r="SL282" s="31"/>
      <c r="SM282" s="31"/>
      <c r="SN282" s="31"/>
      <c r="SO282" s="31"/>
      <c r="SP282" s="31"/>
      <c r="SQ282" s="31"/>
      <c r="SR282" s="31"/>
      <c r="SS282" s="31"/>
      <c r="ST282" s="31"/>
      <c r="SU282" s="31"/>
      <c r="SV282" s="31"/>
      <c r="SW282" s="31"/>
      <c r="SX282" s="31"/>
      <c r="SY282" s="31"/>
      <c r="SZ282" s="31"/>
      <c r="TA282" s="31"/>
      <c r="TB282" s="31"/>
      <c r="TC282" s="31"/>
      <c r="TD282" s="31"/>
      <c r="TE282" s="31"/>
      <c r="TF282" s="31"/>
      <c r="TG282" s="31"/>
      <c r="TH282" s="31"/>
      <c r="TI282" s="31"/>
      <c r="TJ282" s="31"/>
      <c r="TK282" s="31"/>
      <c r="TL282" s="31"/>
      <c r="TM282" s="31"/>
      <c r="TN282" s="31"/>
      <c r="TO282" s="31"/>
      <c r="TP282" s="31"/>
      <c r="TQ282" s="31"/>
      <c r="TR282" s="31"/>
      <c r="TS282" s="31"/>
      <c r="TT282" s="31"/>
      <c r="TU282" s="31"/>
      <c r="TV282" s="31"/>
      <c r="TW282" s="31"/>
      <c r="TX282" s="31"/>
      <c r="TY282" s="31"/>
      <c r="TZ282" s="31"/>
      <c r="UA282" s="31"/>
      <c r="UB282" s="31"/>
      <c r="UC282" s="31"/>
      <c r="UD282" s="31"/>
      <c r="UE282" s="31"/>
      <c r="UF282" s="31"/>
      <c r="UG282" s="33"/>
    </row>
    <row r="283" spans="1:553" s="462" customFormat="1" ht="45" customHeight="1">
      <c r="A283" s="356" t="s">
        <v>15</v>
      </c>
      <c r="B283" s="356"/>
      <c r="C283" s="384" t="s">
        <v>69</v>
      </c>
      <c r="D283" s="376" t="s">
        <v>70</v>
      </c>
      <c r="E283" s="376">
        <v>274</v>
      </c>
      <c r="F283" s="385"/>
      <c r="G283" s="386" t="s">
        <v>935</v>
      </c>
      <c r="H283" s="370"/>
      <c r="I283" s="490">
        <v>386</v>
      </c>
      <c r="J283" s="368">
        <v>62000</v>
      </c>
      <c r="K283" s="850">
        <v>2.5</v>
      </c>
      <c r="L283" s="366">
        <f t="shared" si="56"/>
        <v>59830000</v>
      </c>
      <c r="M283" s="366"/>
      <c r="N283" s="366"/>
      <c r="O283" s="366"/>
      <c r="P283" s="366"/>
      <c r="Q283" s="1135"/>
      <c r="R283" s="1447"/>
      <c r="S283" s="305"/>
      <c r="T283" s="303"/>
      <c r="U283" s="306"/>
      <c r="V283" s="307"/>
      <c r="W283" s="306"/>
      <c r="X283" s="306"/>
      <c r="Y283" s="306"/>
      <c r="Z283" s="306"/>
      <c r="AA283" s="306"/>
      <c r="AB283" s="306"/>
      <c r="AC283" s="449"/>
      <c r="AD283" s="452"/>
      <c r="AE283" s="452"/>
      <c r="AF283" s="452"/>
      <c r="AG283" s="452"/>
      <c r="AH283" s="452"/>
      <c r="AI283" s="452"/>
      <c r="AJ283" s="452"/>
      <c r="AK283" s="452"/>
      <c r="AL283" s="976"/>
      <c r="AM283" s="977"/>
      <c r="AN283" s="977"/>
      <c r="AO283" s="977"/>
      <c r="AP283" s="977"/>
      <c r="AQ283" s="977"/>
      <c r="AR283" s="977"/>
      <c r="AS283" s="977"/>
      <c r="AT283" s="977"/>
      <c r="AU283" s="977"/>
      <c r="AV283" s="977"/>
      <c r="AW283" s="977"/>
      <c r="AX283" s="977"/>
      <c r="AY283" s="977"/>
      <c r="AZ283" s="977"/>
      <c r="BA283" s="977"/>
      <c r="BB283" s="977"/>
      <c r="BC283" s="977"/>
      <c r="BD283" s="977"/>
      <c r="BE283" s="977"/>
      <c r="BF283" s="977"/>
      <c r="BG283" s="977"/>
      <c r="BH283" s="977"/>
      <c r="BI283" s="977"/>
      <c r="BJ283" s="977"/>
      <c r="BK283" s="977"/>
      <c r="BL283" s="977"/>
      <c r="BM283" s="977"/>
      <c r="BN283" s="977"/>
      <c r="BO283" s="977"/>
      <c r="BP283" s="977"/>
      <c r="BQ283" s="977"/>
      <c r="BR283" s="977"/>
      <c r="BS283" s="977"/>
      <c r="BT283" s="977"/>
      <c r="BU283" s="977"/>
      <c r="BV283" s="977"/>
      <c r="BW283" s="977"/>
      <c r="BX283" s="977"/>
      <c r="BY283" s="977"/>
      <c r="BZ283" s="977"/>
      <c r="CA283" s="977"/>
      <c r="CB283" s="977"/>
      <c r="CC283" s="977"/>
      <c r="CD283" s="977"/>
      <c r="CE283" s="977"/>
      <c r="CF283" s="977"/>
      <c r="CG283" s="977"/>
      <c r="CH283" s="977"/>
      <c r="CI283" s="977"/>
      <c r="CJ283" s="977"/>
      <c r="CK283" s="977"/>
      <c r="CL283" s="977"/>
      <c r="CM283" s="977"/>
      <c r="CN283" s="977"/>
      <c r="CO283" s="977"/>
      <c r="CP283" s="977"/>
      <c r="CQ283" s="977"/>
      <c r="CR283" s="977"/>
      <c r="CS283" s="977"/>
      <c r="CT283" s="977"/>
      <c r="CU283" s="977"/>
      <c r="CV283" s="977"/>
      <c r="CW283" s="977"/>
      <c r="CX283" s="977"/>
      <c r="CY283" s="977"/>
      <c r="CZ283" s="977"/>
      <c r="DA283" s="977"/>
      <c r="DB283" s="977"/>
      <c r="DC283" s="977"/>
      <c r="DD283" s="977"/>
      <c r="DE283" s="977"/>
      <c r="DF283" s="977"/>
      <c r="DG283" s="977"/>
      <c r="DH283" s="977"/>
      <c r="DI283" s="977"/>
      <c r="DJ283" s="977"/>
      <c r="DK283" s="977"/>
      <c r="DL283" s="977"/>
      <c r="DM283" s="977"/>
      <c r="DN283" s="977"/>
      <c r="DO283" s="977"/>
      <c r="DP283" s="977"/>
      <c r="DQ283" s="977"/>
      <c r="DR283" s="977"/>
      <c r="DS283" s="977"/>
      <c r="DT283" s="977"/>
      <c r="DU283" s="977"/>
      <c r="DV283" s="977"/>
      <c r="DW283" s="977"/>
      <c r="DX283" s="977"/>
      <c r="DY283" s="977"/>
      <c r="DZ283" s="977"/>
      <c r="EA283" s="977"/>
      <c r="EB283" s="977"/>
      <c r="EC283" s="977"/>
      <c r="ED283" s="977"/>
      <c r="EE283" s="977"/>
      <c r="EF283" s="977"/>
      <c r="EG283" s="977"/>
      <c r="EH283" s="977"/>
      <c r="EI283" s="977"/>
      <c r="EJ283" s="977"/>
      <c r="EK283" s="977"/>
      <c r="EL283" s="977"/>
      <c r="EM283" s="977"/>
      <c r="EN283" s="977"/>
      <c r="EO283" s="977"/>
      <c r="EP283" s="977"/>
      <c r="EQ283" s="977"/>
      <c r="ER283" s="977"/>
      <c r="ES283" s="977"/>
      <c r="ET283" s="977"/>
      <c r="EU283" s="977"/>
      <c r="EV283" s="977"/>
      <c r="EW283" s="977"/>
      <c r="EX283" s="977"/>
      <c r="EY283" s="977"/>
      <c r="EZ283" s="977"/>
      <c r="FA283" s="977"/>
      <c r="FB283" s="977"/>
      <c r="FC283" s="977"/>
      <c r="FD283" s="977"/>
      <c r="FE283" s="977"/>
      <c r="FF283" s="977"/>
      <c r="FG283" s="977"/>
      <c r="FH283" s="977"/>
      <c r="FI283" s="977"/>
      <c r="FJ283" s="977"/>
      <c r="FK283" s="977"/>
      <c r="FL283" s="977"/>
      <c r="FM283" s="977"/>
      <c r="FN283" s="977"/>
      <c r="FO283" s="977"/>
      <c r="FP283" s="977"/>
      <c r="FQ283" s="977"/>
      <c r="FR283" s="977"/>
      <c r="FS283" s="977"/>
      <c r="FT283" s="977"/>
      <c r="FU283" s="977"/>
      <c r="FV283" s="977"/>
      <c r="FW283" s="977"/>
      <c r="FX283" s="977"/>
      <c r="FY283" s="977"/>
      <c r="FZ283" s="977"/>
      <c r="GA283" s="977"/>
      <c r="GB283" s="977"/>
      <c r="GC283" s="977"/>
      <c r="GD283" s="977"/>
      <c r="GE283" s="977"/>
      <c r="GF283" s="977"/>
      <c r="GG283" s="977"/>
      <c r="GH283" s="977"/>
      <c r="GI283" s="977"/>
      <c r="GJ283" s="977"/>
      <c r="GK283" s="977"/>
      <c r="GL283" s="977"/>
      <c r="GM283" s="977"/>
      <c r="GN283" s="977"/>
      <c r="GO283" s="977"/>
      <c r="GP283" s="977"/>
      <c r="GQ283" s="977"/>
      <c r="GR283" s="977"/>
      <c r="GS283" s="977"/>
      <c r="GT283" s="977"/>
      <c r="GU283" s="977"/>
      <c r="GV283" s="977"/>
      <c r="GW283" s="977"/>
      <c r="GX283" s="977"/>
      <c r="GY283" s="977"/>
      <c r="GZ283" s="977"/>
      <c r="HA283" s="977"/>
      <c r="HB283" s="977"/>
      <c r="HC283" s="977"/>
      <c r="HD283" s="977"/>
      <c r="HE283" s="977"/>
      <c r="HF283" s="977"/>
      <c r="HG283" s="977"/>
      <c r="HH283" s="977"/>
      <c r="HI283" s="977"/>
      <c r="HJ283" s="977"/>
      <c r="HK283" s="977"/>
      <c r="HL283" s="977"/>
      <c r="HM283" s="977"/>
      <c r="HN283" s="977"/>
      <c r="HO283" s="977"/>
      <c r="HP283" s="977"/>
      <c r="HQ283" s="977"/>
      <c r="HR283" s="977"/>
      <c r="HS283" s="977"/>
      <c r="HT283" s="977"/>
      <c r="HU283" s="977"/>
      <c r="HV283" s="977"/>
      <c r="HW283" s="977"/>
      <c r="HX283" s="977"/>
      <c r="HY283" s="977"/>
      <c r="HZ283" s="977"/>
      <c r="IA283" s="977"/>
      <c r="IB283" s="977"/>
      <c r="IC283" s="977"/>
      <c r="ID283" s="977"/>
      <c r="IE283" s="977"/>
      <c r="IF283" s="977"/>
      <c r="IG283" s="977"/>
      <c r="IH283" s="977"/>
      <c r="II283" s="977"/>
      <c r="IJ283" s="977"/>
      <c r="IK283" s="977"/>
      <c r="IL283" s="977"/>
      <c r="IM283" s="977"/>
      <c r="IN283" s="977"/>
      <c r="IO283" s="977"/>
      <c r="IP283" s="977"/>
      <c r="IQ283" s="977"/>
      <c r="IR283" s="977"/>
      <c r="IS283" s="977"/>
      <c r="IT283" s="977"/>
      <c r="IU283" s="977"/>
      <c r="IV283" s="977"/>
      <c r="IW283" s="977"/>
      <c r="IX283" s="977"/>
      <c r="IY283" s="977"/>
      <c r="IZ283" s="977"/>
      <c r="JA283" s="977"/>
      <c r="JB283" s="977"/>
      <c r="JC283" s="977"/>
      <c r="JD283" s="977"/>
      <c r="JE283" s="977"/>
      <c r="JF283" s="977"/>
      <c r="JG283" s="977"/>
      <c r="JH283" s="977"/>
      <c r="JI283" s="977"/>
      <c r="JJ283" s="977"/>
      <c r="JK283" s="977"/>
      <c r="JL283" s="977"/>
      <c r="JM283" s="977"/>
      <c r="JN283" s="977"/>
      <c r="JO283" s="977"/>
      <c r="JP283" s="977"/>
      <c r="JQ283" s="977"/>
      <c r="JR283" s="977"/>
      <c r="JS283" s="977"/>
      <c r="JT283" s="977"/>
      <c r="JU283" s="977"/>
      <c r="JV283" s="977"/>
      <c r="JW283" s="977"/>
      <c r="JX283" s="977"/>
      <c r="JY283" s="977"/>
      <c r="JZ283" s="977"/>
      <c r="KA283" s="977"/>
      <c r="KB283" s="977"/>
      <c r="KC283" s="977"/>
      <c r="KD283" s="977"/>
      <c r="KE283" s="977"/>
      <c r="KF283" s="977"/>
      <c r="KG283" s="977"/>
      <c r="KH283" s="977"/>
      <c r="KI283" s="977"/>
      <c r="KJ283" s="977"/>
      <c r="KK283" s="977"/>
      <c r="KL283" s="977"/>
      <c r="KM283" s="977"/>
      <c r="KN283" s="977"/>
      <c r="KO283" s="977"/>
      <c r="KP283" s="977"/>
      <c r="KQ283" s="977"/>
      <c r="KR283" s="977"/>
      <c r="KS283" s="977"/>
      <c r="KT283" s="977"/>
      <c r="KU283" s="977"/>
      <c r="KV283" s="977"/>
      <c r="KW283" s="977"/>
      <c r="KX283" s="977"/>
      <c r="KY283" s="977"/>
      <c r="KZ283" s="977"/>
      <c r="LA283" s="977"/>
      <c r="LB283" s="977"/>
      <c r="LC283" s="977"/>
      <c r="LD283" s="977"/>
      <c r="LE283" s="977"/>
      <c r="LF283" s="977"/>
      <c r="LG283" s="977"/>
      <c r="LH283" s="977"/>
      <c r="LI283" s="977"/>
      <c r="LJ283" s="977"/>
      <c r="LK283" s="977"/>
      <c r="LL283" s="977"/>
      <c r="LM283" s="977"/>
      <c r="LN283" s="977"/>
      <c r="LO283" s="977"/>
      <c r="LP283" s="977"/>
      <c r="LQ283" s="977"/>
      <c r="LR283" s="977"/>
      <c r="LS283" s="977"/>
      <c r="LT283" s="977"/>
      <c r="LU283" s="977"/>
      <c r="LV283" s="977"/>
      <c r="LW283" s="977"/>
      <c r="LX283" s="977"/>
      <c r="LY283" s="977"/>
      <c r="LZ283" s="977"/>
      <c r="MA283" s="977"/>
      <c r="MB283" s="977"/>
      <c r="MC283" s="977"/>
      <c r="MD283" s="977"/>
      <c r="ME283" s="977"/>
      <c r="MF283" s="977"/>
      <c r="MG283" s="977"/>
      <c r="MH283" s="977"/>
      <c r="MI283" s="977"/>
      <c r="MJ283" s="977"/>
      <c r="MK283" s="977"/>
      <c r="ML283" s="977"/>
      <c r="MM283" s="977"/>
      <c r="MN283" s="977"/>
      <c r="MO283" s="977"/>
      <c r="MP283" s="977"/>
      <c r="MQ283" s="977"/>
      <c r="MR283" s="977"/>
      <c r="MS283" s="977"/>
      <c r="MT283" s="977"/>
      <c r="MU283" s="977"/>
      <c r="MV283" s="977"/>
      <c r="MW283" s="977"/>
      <c r="MX283" s="977"/>
      <c r="MY283" s="977"/>
      <c r="MZ283" s="977"/>
      <c r="NA283" s="977"/>
      <c r="NB283" s="977"/>
      <c r="NC283" s="977"/>
      <c r="ND283" s="977"/>
      <c r="NE283" s="977"/>
      <c r="NF283" s="977"/>
      <c r="NG283" s="977"/>
      <c r="NH283" s="977"/>
      <c r="NI283" s="977"/>
      <c r="NJ283" s="977"/>
      <c r="NK283" s="977"/>
      <c r="NL283" s="977"/>
      <c r="NM283" s="977"/>
      <c r="NN283" s="977"/>
      <c r="NO283" s="977"/>
      <c r="NP283" s="977"/>
      <c r="NQ283" s="977"/>
      <c r="NR283" s="977"/>
      <c r="NS283" s="977"/>
      <c r="NT283" s="977"/>
      <c r="NU283" s="977"/>
      <c r="NV283" s="977"/>
      <c r="NW283" s="977"/>
      <c r="NX283" s="977"/>
      <c r="NY283" s="977"/>
      <c r="NZ283" s="977"/>
      <c r="OA283" s="977"/>
      <c r="OB283" s="977"/>
      <c r="OC283" s="977"/>
      <c r="OD283" s="977"/>
      <c r="OE283" s="977"/>
      <c r="OF283" s="977"/>
      <c r="OG283" s="977"/>
      <c r="OH283" s="977"/>
      <c r="OI283" s="977"/>
      <c r="OJ283" s="977"/>
      <c r="OK283" s="977"/>
      <c r="OL283" s="977"/>
      <c r="OM283" s="977"/>
      <c r="ON283" s="977"/>
      <c r="OO283" s="977"/>
      <c r="OP283" s="977"/>
      <c r="OQ283" s="977"/>
      <c r="OR283" s="977"/>
      <c r="OS283" s="977"/>
      <c r="OT283" s="977"/>
      <c r="OU283" s="977"/>
      <c r="OV283" s="977"/>
      <c r="OW283" s="977"/>
      <c r="OX283" s="977"/>
      <c r="OY283" s="977"/>
      <c r="OZ283" s="977"/>
      <c r="PA283" s="977"/>
      <c r="PB283" s="977"/>
      <c r="PC283" s="977"/>
      <c r="PD283" s="977"/>
      <c r="PE283" s="977"/>
      <c r="PF283" s="977"/>
      <c r="PG283" s="977"/>
      <c r="PH283" s="977"/>
      <c r="PI283" s="977"/>
      <c r="PJ283" s="977"/>
      <c r="PK283" s="977"/>
      <c r="PL283" s="977"/>
      <c r="PM283" s="977"/>
      <c r="PN283" s="977"/>
      <c r="PO283" s="977"/>
      <c r="PP283" s="977"/>
      <c r="PQ283" s="977"/>
      <c r="PR283" s="977"/>
      <c r="PS283" s="977"/>
      <c r="PT283" s="977"/>
      <c r="PU283" s="977"/>
      <c r="PV283" s="977"/>
      <c r="PW283" s="977"/>
      <c r="PX283" s="977"/>
      <c r="PY283" s="977"/>
      <c r="PZ283" s="977"/>
      <c r="QA283" s="977"/>
      <c r="QB283" s="977"/>
      <c r="QC283" s="977"/>
      <c r="QD283" s="977"/>
      <c r="QE283" s="977"/>
      <c r="QF283" s="977"/>
      <c r="QG283" s="977"/>
      <c r="QH283" s="977"/>
      <c r="QI283" s="977"/>
      <c r="QJ283" s="977"/>
      <c r="QK283" s="977"/>
      <c r="QL283" s="977"/>
      <c r="QM283" s="977"/>
      <c r="QN283" s="977"/>
      <c r="QO283" s="977"/>
      <c r="QP283" s="977"/>
      <c r="QQ283" s="977"/>
      <c r="QR283" s="977"/>
      <c r="QS283" s="977"/>
      <c r="QT283" s="977"/>
      <c r="QU283" s="977"/>
      <c r="QV283" s="977"/>
      <c r="QW283" s="977"/>
      <c r="QX283" s="977"/>
      <c r="QY283" s="977"/>
      <c r="QZ283" s="977"/>
      <c r="RA283" s="977"/>
      <c r="RB283" s="977"/>
      <c r="RC283" s="977"/>
      <c r="RD283" s="977"/>
      <c r="RE283" s="977"/>
      <c r="RF283" s="977"/>
      <c r="RG283" s="977"/>
      <c r="RH283" s="977"/>
      <c r="RI283" s="977"/>
      <c r="RJ283" s="977"/>
      <c r="RK283" s="977"/>
      <c r="RL283" s="977"/>
      <c r="RM283" s="977"/>
      <c r="RN283" s="977"/>
      <c r="RO283" s="977"/>
      <c r="RP283" s="977"/>
      <c r="RQ283" s="977"/>
      <c r="RR283" s="977"/>
      <c r="RS283" s="977"/>
      <c r="RT283" s="977"/>
      <c r="RU283" s="977"/>
      <c r="RV283" s="977"/>
      <c r="RW283" s="977"/>
      <c r="RX283" s="977"/>
      <c r="RY283" s="977"/>
      <c r="RZ283" s="977"/>
      <c r="SA283" s="977"/>
      <c r="SB283" s="977"/>
      <c r="SC283" s="977"/>
      <c r="SD283" s="977"/>
      <c r="SE283" s="977"/>
      <c r="SF283" s="977"/>
      <c r="SG283" s="977"/>
      <c r="SH283" s="977"/>
      <c r="SI283" s="977"/>
      <c r="SJ283" s="977"/>
      <c r="SK283" s="977"/>
      <c r="SL283" s="977"/>
      <c r="SM283" s="977"/>
      <c r="SN283" s="977"/>
      <c r="SO283" s="977"/>
      <c r="SP283" s="977"/>
      <c r="SQ283" s="977"/>
      <c r="SR283" s="977"/>
      <c r="SS283" s="977"/>
      <c r="ST283" s="977"/>
      <c r="SU283" s="977"/>
      <c r="SV283" s="977"/>
      <c r="SW283" s="977"/>
      <c r="SX283" s="977"/>
      <c r="SY283" s="977"/>
      <c r="SZ283" s="977"/>
      <c r="TA283" s="977"/>
      <c r="TB283" s="977"/>
      <c r="TC283" s="977"/>
      <c r="TD283" s="977"/>
      <c r="TE283" s="977"/>
      <c r="TF283" s="977"/>
      <c r="TG283" s="977"/>
      <c r="TH283" s="977"/>
      <c r="TI283" s="977"/>
      <c r="TJ283" s="977"/>
      <c r="TK283" s="977"/>
      <c r="TL283" s="977"/>
      <c r="TM283" s="977"/>
      <c r="TN283" s="977"/>
      <c r="TO283" s="977"/>
      <c r="TP283" s="977"/>
      <c r="TQ283" s="977"/>
      <c r="TR283" s="977"/>
      <c r="TS283" s="977"/>
      <c r="TT283" s="977"/>
      <c r="TU283" s="977"/>
      <c r="TV283" s="977"/>
      <c r="TW283" s="977"/>
      <c r="TX283" s="977"/>
      <c r="TY283" s="977"/>
      <c r="TZ283" s="977"/>
      <c r="UA283" s="977"/>
      <c r="UB283" s="977"/>
      <c r="UC283" s="977"/>
      <c r="UD283" s="977"/>
      <c r="UE283" s="977"/>
      <c r="UF283" s="977"/>
      <c r="UG283" s="978"/>
    </row>
    <row r="284" spans="1:553" s="852" customFormat="1" ht="45" customHeight="1">
      <c r="A284" s="356" t="s">
        <v>15</v>
      </c>
      <c r="B284" s="356"/>
      <c r="C284" s="384" t="s">
        <v>22</v>
      </c>
      <c r="D284" s="376">
        <v>2</v>
      </c>
      <c r="E284" s="376">
        <v>284</v>
      </c>
      <c r="F284" s="385"/>
      <c r="G284" s="386" t="s">
        <v>935</v>
      </c>
      <c r="H284" s="370"/>
      <c r="I284" s="490">
        <v>67.7</v>
      </c>
      <c r="J284" s="368">
        <v>62000</v>
      </c>
      <c r="K284" s="850">
        <v>1</v>
      </c>
      <c r="L284" s="366">
        <f t="shared" si="56"/>
        <v>4197400</v>
      </c>
      <c r="M284" s="366"/>
      <c r="N284" s="366"/>
      <c r="O284" s="366"/>
      <c r="P284" s="366"/>
      <c r="Q284" s="1135"/>
      <c r="R284" s="1447"/>
      <c r="S284" s="305"/>
      <c r="T284" s="303"/>
      <c r="U284" s="306"/>
      <c r="V284" s="307"/>
      <c r="W284" s="306"/>
      <c r="X284" s="306"/>
      <c r="Y284" s="306"/>
      <c r="Z284" s="306"/>
      <c r="AA284" s="306"/>
      <c r="AB284" s="306"/>
      <c r="AC284" s="449"/>
      <c r="AD284" s="452"/>
      <c r="AE284" s="452"/>
      <c r="AF284" s="452"/>
      <c r="AG284" s="452"/>
      <c r="AH284" s="452"/>
      <c r="AI284" s="452"/>
      <c r="AJ284" s="452"/>
      <c r="AK284" s="452"/>
      <c r="AL284" s="104"/>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c r="CP284" s="32"/>
      <c r="CQ284" s="32"/>
      <c r="CR284" s="32"/>
      <c r="CS284" s="32"/>
      <c r="CT284" s="32"/>
      <c r="CU284" s="32"/>
      <c r="CV284" s="32"/>
      <c r="CW284" s="32"/>
      <c r="CX284" s="32"/>
      <c r="CY284" s="32"/>
      <c r="CZ284" s="32"/>
      <c r="DA284" s="32"/>
      <c r="DB284" s="32"/>
      <c r="DC284" s="32"/>
      <c r="DD284" s="32"/>
      <c r="DE284" s="32"/>
      <c r="DF284" s="32"/>
      <c r="DG284" s="32"/>
      <c r="DH284" s="32"/>
      <c r="DI284" s="32"/>
      <c r="DJ284" s="32"/>
      <c r="DK284" s="32"/>
      <c r="DL284" s="32"/>
      <c r="DM284" s="32"/>
      <c r="DN284" s="32"/>
      <c r="DO284" s="32"/>
      <c r="DP284" s="32"/>
      <c r="DQ284" s="32"/>
      <c r="DR284" s="32"/>
      <c r="DS284" s="32"/>
      <c r="DT284" s="32"/>
      <c r="DU284" s="32"/>
      <c r="DV284" s="32"/>
      <c r="DW284" s="32"/>
      <c r="DX284" s="32"/>
      <c r="DY284" s="32"/>
      <c r="DZ284" s="32"/>
      <c r="EA284" s="32"/>
      <c r="EB284" s="32"/>
      <c r="EC284" s="32"/>
      <c r="ED284" s="32"/>
      <c r="EE284" s="32"/>
      <c r="EF284" s="32"/>
      <c r="EG284" s="32"/>
      <c r="EH284" s="32"/>
      <c r="EI284" s="32"/>
      <c r="EJ284" s="32"/>
      <c r="EK284" s="32"/>
      <c r="EL284" s="32"/>
      <c r="EM284" s="32"/>
      <c r="EN284" s="32"/>
      <c r="EO284" s="32"/>
      <c r="EP284" s="32"/>
      <c r="EQ284" s="32"/>
      <c r="ER284" s="32"/>
      <c r="ES284" s="32"/>
      <c r="ET284" s="32"/>
      <c r="EU284" s="32"/>
      <c r="EV284" s="32"/>
      <c r="EW284" s="32"/>
      <c r="EX284" s="32"/>
      <c r="EY284" s="32"/>
      <c r="EZ284" s="32"/>
      <c r="FA284" s="32"/>
      <c r="FB284" s="32"/>
      <c r="FC284" s="32"/>
      <c r="FD284" s="32"/>
      <c r="FE284" s="32"/>
      <c r="FF284" s="32"/>
      <c r="FG284" s="32"/>
      <c r="FH284" s="32"/>
      <c r="FI284" s="32"/>
      <c r="FJ284" s="32"/>
      <c r="FK284" s="32"/>
      <c r="FL284" s="32"/>
      <c r="FM284" s="32"/>
      <c r="FN284" s="32"/>
      <c r="FO284" s="32"/>
      <c r="FP284" s="32"/>
      <c r="FQ284" s="32"/>
      <c r="FR284" s="32"/>
      <c r="FS284" s="32"/>
      <c r="FT284" s="32"/>
      <c r="FU284" s="32"/>
      <c r="FV284" s="32"/>
      <c r="FW284" s="32"/>
      <c r="FX284" s="32"/>
      <c r="FY284" s="32"/>
      <c r="FZ284" s="32"/>
      <c r="GA284" s="32"/>
      <c r="GB284" s="32"/>
      <c r="GC284" s="32"/>
      <c r="GD284" s="32"/>
      <c r="GE284" s="32"/>
      <c r="GF284" s="32"/>
      <c r="GG284" s="32"/>
      <c r="GH284" s="32"/>
      <c r="GI284" s="32"/>
      <c r="GJ284" s="32"/>
      <c r="GK284" s="32"/>
      <c r="GL284" s="32"/>
      <c r="GM284" s="32"/>
      <c r="GN284" s="32"/>
      <c r="GO284" s="32"/>
      <c r="GP284" s="32"/>
      <c r="GQ284" s="32"/>
      <c r="GR284" s="32"/>
      <c r="GS284" s="32"/>
      <c r="GT284" s="32"/>
      <c r="GU284" s="32"/>
      <c r="GV284" s="32"/>
      <c r="GW284" s="32"/>
      <c r="GX284" s="32"/>
      <c r="GY284" s="32"/>
      <c r="GZ284" s="32"/>
      <c r="HA284" s="32"/>
      <c r="HB284" s="32"/>
      <c r="HC284" s="32"/>
      <c r="HD284" s="32"/>
      <c r="HE284" s="32"/>
      <c r="HF284" s="32"/>
      <c r="HG284" s="32"/>
      <c r="HH284" s="32"/>
      <c r="HI284" s="32"/>
      <c r="HJ284" s="32"/>
      <c r="HK284" s="32"/>
      <c r="HL284" s="32"/>
      <c r="HM284" s="32"/>
      <c r="HN284" s="32"/>
      <c r="HO284" s="32"/>
      <c r="HP284" s="32"/>
      <c r="HQ284" s="32"/>
      <c r="HR284" s="32"/>
      <c r="HS284" s="32"/>
      <c r="HT284" s="32"/>
      <c r="HU284" s="32"/>
      <c r="HV284" s="32"/>
      <c r="HW284" s="32"/>
      <c r="HX284" s="32"/>
      <c r="HY284" s="32"/>
      <c r="HZ284" s="32"/>
      <c r="IA284" s="32"/>
      <c r="IB284" s="32"/>
      <c r="IC284" s="32"/>
      <c r="ID284" s="32"/>
      <c r="IE284" s="32"/>
      <c r="IF284" s="32"/>
      <c r="IG284" s="32"/>
      <c r="IH284" s="32"/>
      <c r="II284" s="32"/>
      <c r="IJ284" s="32"/>
      <c r="IK284" s="32"/>
      <c r="IL284" s="32"/>
      <c r="IM284" s="32"/>
      <c r="IN284" s="32"/>
      <c r="IO284" s="32"/>
      <c r="IP284" s="32"/>
      <c r="IQ284" s="32"/>
      <c r="IR284" s="32"/>
      <c r="IS284" s="32"/>
      <c r="IT284" s="32"/>
      <c r="IU284" s="32"/>
      <c r="IV284" s="32"/>
      <c r="IW284" s="32"/>
      <c r="IX284" s="32"/>
      <c r="IY284" s="32"/>
      <c r="IZ284" s="32"/>
      <c r="JA284" s="32"/>
      <c r="JB284" s="32"/>
      <c r="JC284" s="32"/>
      <c r="JD284" s="32"/>
      <c r="JE284" s="32"/>
      <c r="JF284" s="32"/>
      <c r="JG284" s="32"/>
      <c r="JH284" s="32"/>
      <c r="JI284" s="32"/>
      <c r="JJ284" s="32"/>
      <c r="JK284" s="32"/>
      <c r="JL284" s="32"/>
      <c r="JM284" s="32"/>
      <c r="JN284" s="32"/>
      <c r="JO284" s="32"/>
      <c r="JP284" s="32"/>
      <c r="JQ284" s="32"/>
      <c r="JR284" s="32"/>
      <c r="JS284" s="32"/>
      <c r="JT284" s="32"/>
      <c r="JU284" s="32"/>
      <c r="JV284" s="32"/>
      <c r="JW284" s="32"/>
      <c r="JX284" s="32"/>
      <c r="JY284" s="32"/>
      <c r="JZ284" s="32"/>
      <c r="KA284" s="32"/>
      <c r="KB284" s="32"/>
      <c r="KC284" s="32"/>
      <c r="KD284" s="32"/>
      <c r="KE284" s="32"/>
      <c r="KF284" s="32"/>
      <c r="KG284" s="32"/>
      <c r="KH284" s="32"/>
      <c r="KI284" s="32"/>
      <c r="KJ284" s="32"/>
      <c r="KK284" s="32"/>
      <c r="KL284" s="32"/>
      <c r="KM284" s="32"/>
      <c r="KN284" s="32"/>
      <c r="KO284" s="32"/>
      <c r="KP284" s="32"/>
      <c r="KQ284" s="32"/>
      <c r="KR284" s="32"/>
      <c r="KS284" s="32"/>
      <c r="KT284" s="32"/>
      <c r="KU284" s="32"/>
      <c r="KV284" s="32"/>
      <c r="KW284" s="32"/>
      <c r="KX284" s="32"/>
      <c r="KY284" s="32"/>
      <c r="KZ284" s="32"/>
      <c r="LA284" s="32"/>
      <c r="LB284" s="32"/>
      <c r="LC284" s="32"/>
      <c r="LD284" s="32"/>
      <c r="LE284" s="32"/>
      <c r="LF284" s="32"/>
      <c r="LG284" s="32"/>
      <c r="LH284" s="32"/>
      <c r="LI284" s="32"/>
      <c r="LJ284" s="32"/>
      <c r="LK284" s="32"/>
      <c r="LL284" s="32"/>
      <c r="LM284" s="32"/>
      <c r="LN284" s="32"/>
      <c r="LO284" s="32"/>
      <c r="LP284" s="32"/>
      <c r="LQ284" s="32"/>
      <c r="LR284" s="32"/>
      <c r="LS284" s="32"/>
      <c r="LT284" s="32"/>
      <c r="LU284" s="32"/>
      <c r="LV284" s="32"/>
      <c r="LW284" s="32"/>
      <c r="LX284" s="32"/>
      <c r="LY284" s="32"/>
      <c r="LZ284" s="32"/>
      <c r="MA284" s="32"/>
      <c r="MB284" s="32"/>
      <c r="MC284" s="32"/>
      <c r="MD284" s="32"/>
      <c r="ME284" s="32"/>
      <c r="MF284" s="32"/>
      <c r="MG284" s="32"/>
      <c r="MH284" s="32"/>
      <c r="MI284" s="32"/>
      <c r="MJ284" s="32"/>
      <c r="MK284" s="32"/>
      <c r="ML284" s="32"/>
      <c r="MM284" s="32"/>
      <c r="MN284" s="32"/>
      <c r="MO284" s="32"/>
      <c r="MP284" s="32"/>
      <c r="MQ284" s="32"/>
      <c r="MR284" s="32"/>
      <c r="MS284" s="32"/>
      <c r="MT284" s="32"/>
      <c r="MU284" s="32"/>
      <c r="MV284" s="32"/>
      <c r="MW284" s="32"/>
      <c r="MX284" s="32"/>
      <c r="MY284" s="32"/>
      <c r="MZ284" s="32"/>
      <c r="NA284" s="32"/>
      <c r="NB284" s="32"/>
      <c r="NC284" s="32"/>
      <c r="ND284" s="32"/>
      <c r="NE284" s="32"/>
      <c r="NF284" s="32"/>
      <c r="NG284" s="32"/>
      <c r="NH284" s="32"/>
      <c r="NI284" s="32"/>
      <c r="NJ284" s="32"/>
      <c r="NK284" s="32"/>
      <c r="NL284" s="32"/>
      <c r="NM284" s="32"/>
      <c r="NN284" s="32"/>
      <c r="NO284" s="32"/>
      <c r="NP284" s="32"/>
      <c r="NQ284" s="32"/>
      <c r="NR284" s="32"/>
      <c r="NS284" s="32"/>
      <c r="NT284" s="32"/>
      <c r="NU284" s="32"/>
      <c r="NV284" s="32"/>
      <c r="NW284" s="32"/>
      <c r="NX284" s="32"/>
      <c r="NY284" s="32"/>
      <c r="NZ284" s="32"/>
      <c r="OA284" s="32"/>
      <c r="OB284" s="32"/>
      <c r="OC284" s="32"/>
      <c r="OD284" s="32"/>
      <c r="OE284" s="32"/>
      <c r="OF284" s="32"/>
      <c r="OG284" s="32"/>
      <c r="OH284" s="32"/>
      <c r="OI284" s="32"/>
      <c r="OJ284" s="32"/>
      <c r="OK284" s="32"/>
      <c r="OL284" s="32"/>
      <c r="OM284" s="32"/>
      <c r="ON284" s="32"/>
      <c r="OO284" s="32"/>
      <c r="OP284" s="32"/>
      <c r="OQ284" s="32"/>
      <c r="OR284" s="32"/>
      <c r="OS284" s="32"/>
      <c r="OT284" s="32"/>
      <c r="OU284" s="32"/>
      <c r="OV284" s="32"/>
      <c r="OW284" s="32"/>
      <c r="OX284" s="32"/>
      <c r="OY284" s="32"/>
      <c r="OZ284" s="32"/>
      <c r="PA284" s="32"/>
      <c r="PB284" s="32"/>
      <c r="PC284" s="32"/>
      <c r="PD284" s="32"/>
      <c r="PE284" s="32"/>
      <c r="PF284" s="32"/>
      <c r="PG284" s="32"/>
      <c r="PH284" s="32"/>
      <c r="PI284" s="32"/>
      <c r="PJ284" s="32"/>
      <c r="PK284" s="32"/>
      <c r="PL284" s="32"/>
      <c r="PM284" s="32"/>
      <c r="PN284" s="32"/>
      <c r="PO284" s="32"/>
      <c r="PP284" s="32"/>
      <c r="PQ284" s="32"/>
      <c r="PR284" s="32"/>
      <c r="PS284" s="32"/>
      <c r="PT284" s="32"/>
      <c r="PU284" s="32"/>
      <c r="PV284" s="32"/>
      <c r="PW284" s="32"/>
      <c r="PX284" s="32"/>
      <c r="PY284" s="32"/>
      <c r="PZ284" s="32"/>
      <c r="QA284" s="32"/>
      <c r="QB284" s="32"/>
      <c r="QC284" s="32"/>
      <c r="QD284" s="32"/>
      <c r="QE284" s="32"/>
      <c r="QF284" s="32"/>
      <c r="QG284" s="32"/>
      <c r="QH284" s="32"/>
      <c r="QI284" s="32"/>
      <c r="QJ284" s="32"/>
      <c r="QK284" s="32"/>
      <c r="QL284" s="32"/>
      <c r="QM284" s="32"/>
      <c r="QN284" s="32"/>
      <c r="QO284" s="32"/>
      <c r="QP284" s="32"/>
      <c r="QQ284" s="32"/>
      <c r="QR284" s="32"/>
      <c r="QS284" s="32"/>
      <c r="QT284" s="32"/>
      <c r="QU284" s="32"/>
      <c r="QV284" s="32"/>
      <c r="QW284" s="32"/>
      <c r="QX284" s="32"/>
      <c r="QY284" s="32"/>
      <c r="QZ284" s="32"/>
      <c r="RA284" s="32"/>
      <c r="RB284" s="32"/>
      <c r="RC284" s="32"/>
      <c r="RD284" s="32"/>
      <c r="RE284" s="32"/>
      <c r="RF284" s="32"/>
      <c r="RG284" s="32"/>
      <c r="RH284" s="32"/>
      <c r="RI284" s="32"/>
      <c r="RJ284" s="32"/>
      <c r="RK284" s="32"/>
      <c r="RL284" s="32"/>
      <c r="RM284" s="32"/>
      <c r="RN284" s="32"/>
      <c r="RO284" s="32"/>
      <c r="RP284" s="32"/>
      <c r="RQ284" s="32"/>
      <c r="RR284" s="32"/>
      <c r="RS284" s="32"/>
      <c r="RT284" s="32"/>
      <c r="RU284" s="32"/>
      <c r="RV284" s="32"/>
      <c r="RW284" s="32"/>
      <c r="RX284" s="32"/>
      <c r="RY284" s="32"/>
      <c r="RZ284" s="32"/>
      <c r="SA284" s="32"/>
      <c r="SB284" s="32"/>
      <c r="SC284" s="32"/>
      <c r="SD284" s="32"/>
      <c r="SE284" s="32"/>
      <c r="SF284" s="32"/>
      <c r="SG284" s="32"/>
      <c r="SH284" s="32"/>
      <c r="SI284" s="32"/>
      <c r="SJ284" s="32"/>
      <c r="SK284" s="32"/>
      <c r="SL284" s="32"/>
      <c r="SM284" s="32"/>
      <c r="SN284" s="32"/>
      <c r="SO284" s="32"/>
      <c r="SP284" s="32"/>
      <c r="SQ284" s="32"/>
      <c r="SR284" s="32"/>
      <c r="SS284" s="32"/>
      <c r="ST284" s="32"/>
      <c r="SU284" s="32"/>
      <c r="SV284" s="32"/>
      <c r="SW284" s="32"/>
      <c r="SX284" s="32"/>
      <c r="SY284" s="32"/>
      <c r="SZ284" s="32"/>
      <c r="TA284" s="32"/>
      <c r="TB284" s="32"/>
      <c r="TC284" s="32"/>
      <c r="TD284" s="32"/>
      <c r="TE284" s="32"/>
      <c r="TF284" s="32"/>
      <c r="TG284" s="32"/>
      <c r="TH284" s="32"/>
      <c r="TI284" s="32"/>
      <c r="TJ284" s="32"/>
      <c r="TK284" s="32"/>
      <c r="TL284" s="32"/>
      <c r="TM284" s="32"/>
      <c r="TN284" s="32"/>
      <c r="TO284" s="32"/>
      <c r="TP284" s="32"/>
      <c r="TQ284" s="32"/>
      <c r="TR284" s="32"/>
      <c r="TS284" s="32"/>
      <c r="TT284" s="32"/>
      <c r="TU284" s="32"/>
      <c r="TV284" s="32"/>
      <c r="TW284" s="32"/>
      <c r="TX284" s="32"/>
      <c r="TY284" s="32"/>
      <c r="TZ284" s="32"/>
      <c r="UA284" s="32"/>
      <c r="UB284" s="32"/>
      <c r="UC284" s="32"/>
      <c r="UD284" s="32"/>
      <c r="UE284" s="32"/>
      <c r="UF284" s="32"/>
      <c r="UG284" s="851"/>
    </row>
    <row r="285" spans="1:553" ht="45" customHeight="1">
      <c r="A285" s="356" t="s">
        <v>15</v>
      </c>
      <c r="B285" s="356"/>
      <c r="C285" s="384" t="s">
        <v>69</v>
      </c>
      <c r="D285" s="376" t="s">
        <v>20</v>
      </c>
      <c r="E285" s="376" t="s">
        <v>223</v>
      </c>
      <c r="F285" s="385"/>
      <c r="G285" s="386" t="s">
        <v>935</v>
      </c>
      <c r="H285" s="370"/>
      <c r="I285" s="490">
        <v>78.599999999999994</v>
      </c>
      <c r="J285" s="368">
        <v>62000</v>
      </c>
      <c r="K285" s="850">
        <v>2.5</v>
      </c>
      <c r="L285" s="366">
        <f t="shared" si="56"/>
        <v>12183000</v>
      </c>
      <c r="M285" s="366"/>
      <c r="N285" s="366"/>
      <c r="O285" s="366"/>
      <c r="P285" s="366"/>
      <c r="Q285" s="1135"/>
      <c r="R285" s="1447"/>
      <c r="S285" s="305"/>
      <c r="T285" s="303"/>
      <c r="U285" s="306"/>
      <c r="V285" s="307"/>
      <c r="W285" s="306"/>
      <c r="X285" s="306"/>
      <c r="Y285" s="306"/>
      <c r="Z285" s="306"/>
      <c r="AA285" s="306"/>
      <c r="AB285" s="306"/>
      <c r="AC285" s="449"/>
      <c r="AD285" s="452"/>
      <c r="AE285" s="452"/>
      <c r="AF285" s="452"/>
      <c r="AG285" s="452"/>
      <c r="AH285" s="452"/>
      <c r="AI285" s="452"/>
      <c r="AJ285" s="452"/>
      <c r="AK285" s="452"/>
      <c r="AL285" s="106"/>
      <c r="AM285" s="31"/>
      <c r="AN285" s="31"/>
      <c r="AO285" s="31"/>
      <c r="AP285" s="31"/>
      <c r="AQ285" s="31"/>
      <c r="AR285" s="31"/>
      <c r="AS285" s="31"/>
      <c r="AT285" s="31"/>
      <c r="AU285" s="31"/>
      <c r="AV285" s="31"/>
      <c r="AW285" s="31"/>
      <c r="AX285" s="31"/>
      <c r="AY285" s="31"/>
      <c r="AZ285" s="31"/>
      <c r="BA285" s="31"/>
      <c r="BB285" s="31"/>
      <c r="BC285" s="31"/>
      <c r="BD285" s="31"/>
      <c r="BE285" s="31"/>
      <c r="BF285" s="31"/>
      <c r="BG285" s="31"/>
      <c r="BH285" s="31"/>
      <c r="BI285" s="31"/>
      <c r="BJ285" s="31"/>
      <c r="BK285" s="31"/>
      <c r="BL285" s="31"/>
      <c r="BM285" s="31"/>
      <c r="BN285" s="31"/>
      <c r="BO285" s="31"/>
      <c r="BP285" s="31"/>
      <c r="BQ285" s="31"/>
      <c r="BR285" s="31"/>
      <c r="BS285" s="31"/>
      <c r="BT285" s="31"/>
      <c r="BU285" s="31"/>
      <c r="BV285" s="31"/>
      <c r="BW285" s="31"/>
      <c r="BX285" s="31"/>
      <c r="BY285" s="31"/>
      <c r="BZ285" s="31"/>
      <c r="CA285" s="31"/>
      <c r="CB285" s="31"/>
      <c r="CC285" s="31"/>
      <c r="CD285" s="31"/>
      <c r="CE285" s="31"/>
      <c r="CF285" s="31"/>
      <c r="CG285" s="31"/>
      <c r="CH285" s="31"/>
      <c r="CI285" s="31"/>
      <c r="CJ285" s="31"/>
      <c r="CK285" s="31"/>
      <c r="CL285" s="31"/>
      <c r="CM285" s="31"/>
      <c r="CN285" s="31"/>
      <c r="CO285" s="31"/>
      <c r="CP285" s="31"/>
      <c r="CQ285" s="31"/>
      <c r="CR285" s="31"/>
      <c r="CS285" s="31"/>
      <c r="CT285" s="31"/>
      <c r="CU285" s="31"/>
      <c r="CV285" s="31"/>
      <c r="CW285" s="31"/>
      <c r="CX285" s="31"/>
      <c r="CY285" s="31"/>
      <c r="CZ285" s="31"/>
      <c r="DA285" s="31"/>
      <c r="DB285" s="31"/>
      <c r="DC285" s="31"/>
      <c r="DD285" s="31"/>
      <c r="DE285" s="31"/>
      <c r="DF285" s="31"/>
      <c r="DG285" s="31"/>
      <c r="DH285" s="31"/>
      <c r="DI285" s="31"/>
      <c r="DJ285" s="31"/>
      <c r="DK285" s="31"/>
      <c r="DL285" s="31"/>
      <c r="DM285" s="31"/>
      <c r="DN285" s="31"/>
      <c r="DO285" s="31"/>
      <c r="DP285" s="31"/>
      <c r="DQ285" s="31"/>
      <c r="DR285" s="31"/>
      <c r="DS285" s="31"/>
      <c r="DT285" s="31"/>
      <c r="DU285" s="31"/>
      <c r="DV285" s="31"/>
      <c r="DW285" s="31"/>
      <c r="DX285" s="31"/>
      <c r="DY285" s="31"/>
      <c r="DZ285" s="31"/>
      <c r="EA285" s="31"/>
      <c r="EB285" s="31"/>
      <c r="EC285" s="31"/>
      <c r="ED285" s="31"/>
      <c r="EE285" s="31"/>
      <c r="EF285" s="31"/>
      <c r="EG285" s="31"/>
      <c r="EH285" s="31"/>
      <c r="EI285" s="31"/>
      <c r="EJ285" s="31"/>
      <c r="EK285" s="31"/>
      <c r="EL285" s="31"/>
      <c r="EM285" s="31"/>
      <c r="EN285" s="31"/>
      <c r="EO285" s="31"/>
      <c r="EP285" s="31"/>
      <c r="EQ285" s="31"/>
      <c r="ER285" s="31"/>
      <c r="ES285" s="31"/>
      <c r="ET285" s="31"/>
      <c r="EU285" s="31"/>
      <c r="EV285" s="31"/>
      <c r="EW285" s="31"/>
      <c r="EX285" s="31"/>
      <c r="EY285" s="31"/>
      <c r="EZ285" s="31"/>
      <c r="FA285" s="31"/>
      <c r="FB285" s="31"/>
      <c r="FC285" s="31"/>
      <c r="FD285" s="31"/>
      <c r="FE285" s="31"/>
      <c r="FF285" s="31"/>
      <c r="FG285" s="31"/>
      <c r="FH285" s="31"/>
      <c r="FI285" s="31"/>
      <c r="FJ285" s="31"/>
      <c r="FK285" s="31"/>
      <c r="FL285" s="31"/>
      <c r="FM285" s="31"/>
      <c r="FN285" s="31"/>
      <c r="FO285" s="31"/>
      <c r="FP285" s="31"/>
      <c r="FQ285" s="31"/>
      <c r="FR285" s="31"/>
      <c r="FS285" s="31"/>
      <c r="FT285" s="31"/>
      <c r="FU285" s="31"/>
      <c r="FV285" s="31"/>
      <c r="FW285" s="31"/>
      <c r="FX285" s="31"/>
      <c r="FY285" s="31"/>
      <c r="FZ285" s="31"/>
      <c r="GA285" s="31"/>
      <c r="GB285" s="31"/>
      <c r="GC285" s="31"/>
      <c r="GD285" s="31"/>
      <c r="GE285" s="31"/>
      <c r="GF285" s="31"/>
      <c r="GG285" s="31"/>
      <c r="GH285" s="31"/>
      <c r="GI285" s="31"/>
      <c r="GJ285" s="31"/>
      <c r="GK285" s="31"/>
      <c r="GL285" s="31"/>
      <c r="GM285" s="31"/>
      <c r="GN285" s="31"/>
      <c r="GO285" s="31"/>
      <c r="GP285" s="31"/>
      <c r="GQ285" s="31"/>
      <c r="GR285" s="31"/>
      <c r="GS285" s="31"/>
      <c r="GT285" s="31"/>
      <c r="GU285" s="31"/>
      <c r="GV285" s="31"/>
      <c r="GW285" s="31"/>
      <c r="GX285" s="31"/>
      <c r="GY285" s="31"/>
      <c r="GZ285" s="31"/>
      <c r="HA285" s="31"/>
      <c r="HB285" s="31"/>
      <c r="HC285" s="31"/>
      <c r="HD285" s="31"/>
      <c r="HE285" s="31"/>
      <c r="HF285" s="31"/>
      <c r="HG285" s="31"/>
      <c r="HH285" s="31"/>
      <c r="HI285" s="31"/>
      <c r="HJ285" s="31"/>
      <c r="HK285" s="31"/>
      <c r="HL285" s="31"/>
      <c r="HM285" s="31"/>
      <c r="HN285" s="31"/>
      <c r="HO285" s="31"/>
      <c r="HP285" s="31"/>
      <c r="HQ285" s="31"/>
      <c r="HR285" s="31"/>
      <c r="HS285" s="31"/>
      <c r="HT285" s="31"/>
      <c r="HU285" s="31"/>
      <c r="HV285" s="31"/>
      <c r="HW285" s="31"/>
      <c r="HX285" s="31"/>
      <c r="HY285" s="31"/>
      <c r="HZ285" s="31"/>
      <c r="IA285" s="31"/>
      <c r="IB285" s="31"/>
      <c r="IC285" s="31"/>
      <c r="ID285" s="31"/>
      <c r="IE285" s="31"/>
      <c r="IF285" s="31"/>
      <c r="IG285" s="31"/>
      <c r="IH285" s="31"/>
      <c r="II285" s="31"/>
      <c r="IJ285" s="31"/>
      <c r="IK285" s="31"/>
      <c r="IL285" s="31"/>
      <c r="IM285" s="31"/>
      <c r="IN285" s="31"/>
      <c r="IO285" s="31"/>
      <c r="IP285" s="31"/>
      <c r="IQ285" s="31"/>
      <c r="IR285" s="31"/>
      <c r="IS285" s="31"/>
      <c r="IT285" s="31"/>
      <c r="IU285" s="31"/>
      <c r="IV285" s="31"/>
      <c r="IW285" s="31"/>
      <c r="IX285" s="31"/>
      <c r="IY285" s="31"/>
      <c r="IZ285" s="31"/>
      <c r="JA285" s="31"/>
      <c r="JB285" s="31"/>
      <c r="JC285" s="31"/>
      <c r="JD285" s="31"/>
      <c r="JE285" s="31"/>
      <c r="JF285" s="31"/>
      <c r="JG285" s="31"/>
      <c r="JH285" s="31"/>
      <c r="JI285" s="31"/>
      <c r="JJ285" s="31"/>
      <c r="JK285" s="31"/>
      <c r="JL285" s="31"/>
      <c r="JM285" s="31"/>
      <c r="JN285" s="31"/>
      <c r="JO285" s="31"/>
      <c r="JP285" s="31"/>
      <c r="JQ285" s="31"/>
      <c r="JR285" s="31"/>
      <c r="JS285" s="31"/>
      <c r="JT285" s="31"/>
      <c r="JU285" s="31"/>
      <c r="JV285" s="31"/>
      <c r="JW285" s="31"/>
      <c r="JX285" s="31"/>
      <c r="JY285" s="31"/>
      <c r="JZ285" s="31"/>
      <c r="KA285" s="31"/>
      <c r="KB285" s="31"/>
      <c r="KC285" s="31"/>
      <c r="KD285" s="31"/>
      <c r="KE285" s="31"/>
      <c r="KF285" s="31"/>
      <c r="KG285" s="31"/>
      <c r="KH285" s="31"/>
      <c r="KI285" s="31"/>
      <c r="KJ285" s="31"/>
      <c r="KK285" s="31"/>
      <c r="KL285" s="31"/>
      <c r="KM285" s="31"/>
      <c r="KN285" s="31"/>
      <c r="KO285" s="31"/>
      <c r="KP285" s="31"/>
      <c r="KQ285" s="31"/>
      <c r="KR285" s="31"/>
      <c r="KS285" s="31"/>
      <c r="KT285" s="31"/>
      <c r="KU285" s="31"/>
      <c r="KV285" s="31"/>
      <c r="KW285" s="31"/>
      <c r="KX285" s="31"/>
      <c r="KY285" s="31"/>
      <c r="KZ285" s="31"/>
      <c r="LA285" s="31"/>
      <c r="LB285" s="31"/>
      <c r="LC285" s="31"/>
      <c r="LD285" s="31"/>
      <c r="LE285" s="31"/>
      <c r="LF285" s="31"/>
      <c r="LG285" s="31"/>
      <c r="LH285" s="31"/>
      <c r="LI285" s="31"/>
      <c r="LJ285" s="31"/>
      <c r="LK285" s="31"/>
      <c r="LL285" s="31"/>
      <c r="LM285" s="31"/>
      <c r="LN285" s="31"/>
      <c r="LO285" s="31"/>
      <c r="LP285" s="31"/>
      <c r="LQ285" s="31"/>
      <c r="LR285" s="31"/>
      <c r="LS285" s="31"/>
      <c r="LT285" s="31"/>
      <c r="LU285" s="31"/>
      <c r="LV285" s="31"/>
      <c r="LW285" s="31"/>
      <c r="LX285" s="31"/>
      <c r="LY285" s="31"/>
      <c r="LZ285" s="31"/>
      <c r="MA285" s="31"/>
      <c r="MB285" s="31"/>
      <c r="MC285" s="31"/>
      <c r="MD285" s="31"/>
      <c r="ME285" s="31"/>
      <c r="MF285" s="31"/>
      <c r="MG285" s="31"/>
      <c r="MH285" s="31"/>
      <c r="MI285" s="31"/>
      <c r="MJ285" s="31"/>
      <c r="MK285" s="31"/>
      <c r="ML285" s="31"/>
      <c r="MM285" s="31"/>
      <c r="MN285" s="31"/>
      <c r="MO285" s="31"/>
      <c r="MP285" s="31"/>
      <c r="MQ285" s="31"/>
      <c r="MR285" s="31"/>
      <c r="MS285" s="31"/>
      <c r="MT285" s="31"/>
      <c r="MU285" s="31"/>
      <c r="MV285" s="31"/>
      <c r="MW285" s="31"/>
      <c r="MX285" s="31"/>
      <c r="MY285" s="31"/>
      <c r="MZ285" s="31"/>
      <c r="NA285" s="31"/>
      <c r="NB285" s="31"/>
      <c r="NC285" s="31"/>
      <c r="ND285" s="31"/>
      <c r="NE285" s="31"/>
      <c r="NF285" s="31"/>
      <c r="NG285" s="31"/>
      <c r="NH285" s="31"/>
      <c r="NI285" s="31"/>
      <c r="NJ285" s="31"/>
      <c r="NK285" s="31"/>
      <c r="NL285" s="31"/>
      <c r="NM285" s="31"/>
      <c r="NN285" s="31"/>
      <c r="NO285" s="31"/>
      <c r="NP285" s="31"/>
      <c r="NQ285" s="31"/>
      <c r="NR285" s="31"/>
      <c r="NS285" s="31"/>
      <c r="NT285" s="31"/>
      <c r="NU285" s="31"/>
      <c r="NV285" s="31"/>
      <c r="NW285" s="31"/>
      <c r="NX285" s="31"/>
      <c r="NY285" s="31"/>
      <c r="NZ285" s="31"/>
      <c r="OA285" s="31"/>
      <c r="OB285" s="31"/>
      <c r="OC285" s="31"/>
      <c r="OD285" s="31"/>
      <c r="OE285" s="31"/>
      <c r="OF285" s="31"/>
      <c r="OG285" s="31"/>
      <c r="OH285" s="31"/>
      <c r="OI285" s="31"/>
      <c r="OJ285" s="31"/>
      <c r="OK285" s="31"/>
      <c r="OL285" s="31"/>
      <c r="OM285" s="31"/>
      <c r="ON285" s="31"/>
      <c r="OO285" s="31"/>
      <c r="OP285" s="31"/>
      <c r="OQ285" s="31"/>
      <c r="OR285" s="31"/>
      <c r="OS285" s="31"/>
      <c r="OT285" s="31"/>
      <c r="OU285" s="31"/>
      <c r="OV285" s="31"/>
      <c r="OW285" s="31"/>
      <c r="OX285" s="31"/>
      <c r="OY285" s="31"/>
      <c r="OZ285" s="31"/>
      <c r="PA285" s="31"/>
      <c r="PB285" s="31"/>
      <c r="PC285" s="31"/>
      <c r="PD285" s="31"/>
      <c r="PE285" s="31"/>
      <c r="PF285" s="31"/>
      <c r="PG285" s="31"/>
      <c r="PH285" s="31"/>
      <c r="PI285" s="31"/>
      <c r="PJ285" s="31"/>
      <c r="PK285" s="31"/>
      <c r="PL285" s="31"/>
      <c r="PM285" s="31"/>
      <c r="PN285" s="31"/>
      <c r="PO285" s="31"/>
      <c r="PP285" s="31"/>
      <c r="PQ285" s="31"/>
      <c r="PR285" s="31"/>
      <c r="PS285" s="31"/>
      <c r="PT285" s="31"/>
      <c r="PU285" s="31"/>
      <c r="PV285" s="31"/>
      <c r="PW285" s="31"/>
      <c r="PX285" s="31"/>
      <c r="PY285" s="31"/>
      <c r="PZ285" s="31"/>
      <c r="QA285" s="31"/>
      <c r="QB285" s="31"/>
      <c r="QC285" s="31"/>
      <c r="QD285" s="31"/>
      <c r="QE285" s="31"/>
      <c r="QF285" s="31"/>
      <c r="QG285" s="31"/>
      <c r="QH285" s="31"/>
      <c r="QI285" s="31"/>
      <c r="QJ285" s="31"/>
      <c r="QK285" s="31"/>
      <c r="QL285" s="31"/>
      <c r="QM285" s="31"/>
      <c r="QN285" s="31"/>
      <c r="QO285" s="31"/>
      <c r="QP285" s="31"/>
      <c r="QQ285" s="31"/>
      <c r="QR285" s="31"/>
      <c r="QS285" s="31"/>
      <c r="QT285" s="31"/>
      <c r="QU285" s="31"/>
      <c r="QV285" s="31"/>
      <c r="QW285" s="31"/>
      <c r="QX285" s="31"/>
      <c r="QY285" s="31"/>
      <c r="QZ285" s="31"/>
      <c r="RA285" s="31"/>
      <c r="RB285" s="31"/>
      <c r="RC285" s="31"/>
      <c r="RD285" s="31"/>
      <c r="RE285" s="31"/>
      <c r="RF285" s="31"/>
      <c r="RG285" s="31"/>
      <c r="RH285" s="31"/>
      <c r="RI285" s="31"/>
      <c r="RJ285" s="31"/>
      <c r="RK285" s="31"/>
      <c r="RL285" s="31"/>
      <c r="RM285" s="31"/>
      <c r="RN285" s="31"/>
      <c r="RO285" s="31"/>
      <c r="RP285" s="31"/>
      <c r="RQ285" s="31"/>
      <c r="RR285" s="31"/>
      <c r="RS285" s="31"/>
      <c r="RT285" s="31"/>
      <c r="RU285" s="31"/>
      <c r="RV285" s="31"/>
      <c r="RW285" s="31"/>
      <c r="RX285" s="31"/>
      <c r="RY285" s="31"/>
      <c r="RZ285" s="31"/>
      <c r="SA285" s="31"/>
      <c r="SB285" s="31"/>
      <c r="SC285" s="31"/>
      <c r="SD285" s="31"/>
      <c r="SE285" s="31"/>
      <c r="SF285" s="31"/>
      <c r="SG285" s="31"/>
      <c r="SH285" s="31"/>
      <c r="SI285" s="31"/>
      <c r="SJ285" s="31"/>
      <c r="SK285" s="31"/>
      <c r="SL285" s="31"/>
      <c r="SM285" s="31"/>
      <c r="SN285" s="31"/>
      <c r="SO285" s="31"/>
      <c r="SP285" s="31"/>
      <c r="SQ285" s="31"/>
      <c r="SR285" s="31"/>
      <c r="SS285" s="31"/>
      <c r="ST285" s="31"/>
      <c r="SU285" s="31"/>
      <c r="SV285" s="31"/>
      <c r="SW285" s="31"/>
      <c r="SX285" s="31"/>
      <c r="SY285" s="31"/>
      <c r="SZ285" s="31"/>
      <c r="TA285" s="31"/>
      <c r="TB285" s="31"/>
      <c r="TC285" s="31"/>
      <c r="TD285" s="31"/>
      <c r="TE285" s="31"/>
      <c r="TF285" s="31"/>
      <c r="TG285" s="31"/>
      <c r="TH285" s="31"/>
      <c r="TI285" s="31"/>
      <c r="TJ285" s="31"/>
      <c r="TK285" s="31"/>
      <c r="TL285" s="31"/>
      <c r="TM285" s="31"/>
      <c r="TN285" s="31"/>
      <c r="TO285" s="31"/>
      <c r="TP285" s="31"/>
      <c r="TQ285" s="31"/>
      <c r="TR285" s="31"/>
      <c r="TS285" s="31"/>
      <c r="TT285" s="31"/>
      <c r="TU285" s="31"/>
      <c r="TV285" s="31"/>
      <c r="TW285" s="31"/>
      <c r="TX285" s="31"/>
      <c r="TY285" s="31"/>
      <c r="TZ285" s="31"/>
      <c r="UA285" s="31"/>
      <c r="UB285" s="31"/>
      <c r="UC285" s="31"/>
      <c r="UD285" s="31"/>
      <c r="UE285" s="31"/>
      <c r="UF285" s="31"/>
      <c r="UG285" s="33"/>
    </row>
    <row r="286" spans="1:553" ht="45" customHeight="1">
      <c r="A286" s="356" t="s">
        <v>15</v>
      </c>
      <c r="B286" s="356"/>
      <c r="C286" s="384" t="s">
        <v>69</v>
      </c>
      <c r="D286" s="376" t="s">
        <v>20</v>
      </c>
      <c r="E286" s="376" t="s">
        <v>225</v>
      </c>
      <c r="F286" s="385"/>
      <c r="G286" s="386" t="s">
        <v>935</v>
      </c>
      <c r="H286" s="370"/>
      <c r="I286" s="490">
        <v>300.89999999999998</v>
      </c>
      <c r="J286" s="368">
        <v>62000</v>
      </c>
      <c r="K286" s="850">
        <v>2.5</v>
      </c>
      <c r="L286" s="366">
        <f t="shared" si="56"/>
        <v>46639500</v>
      </c>
      <c r="M286" s="366"/>
      <c r="N286" s="366"/>
      <c r="O286" s="366"/>
      <c r="P286" s="366"/>
      <c r="Q286" s="1135"/>
      <c r="R286" s="1447"/>
      <c r="S286" s="435"/>
      <c r="T286" s="436"/>
      <c r="U286" s="304"/>
      <c r="V286" s="393"/>
      <c r="W286" s="304"/>
      <c r="X286" s="304"/>
      <c r="Y286" s="304"/>
      <c r="Z286" s="304"/>
      <c r="AA286" s="304"/>
      <c r="AB286" s="304"/>
      <c r="AC286" s="449"/>
      <c r="AD286" s="452"/>
      <c r="AE286" s="452"/>
      <c r="AF286" s="452"/>
      <c r="AG286" s="452"/>
      <c r="AH286" s="452"/>
      <c r="AI286" s="452"/>
      <c r="AJ286" s="452"/>
      <c r="AK286" s="452"/>
      <c r="AL286" s="106"/>
      <c r="AM286" s="31"/>
      <c r="AN286" s="31"/>
      <c r="AO286" s="31"/>
      <c r="AP286" s="31"/>
      <c r="AQ286" s="31"/>
      <c r="AR286" s="31"/>
      <c r="AS286" s="31"/>
      <c r="AT286" s="31"/>
      <c r="AU286" s="31"/>
      <c r="AV286" s="31"/>
      <c r="AW286" s="31"/>
      <c r="AX286" s="31"/>
      <c r="AY286" s="31"/>
      <c r="AZ286" s="31"/>
      <c r="BA286" s="31"/>
      <c r="BB286" s="31"/>
      <c r="BC286" s="31"/>
      <c r="BD286" s="31"/>
      <c r="BE286" s="31"/>
      <c r="BF286" s="31"/>
      <c r="BG286" s="31"/>
      <c r="BH286" s="31"/>
      <c r="BI286" s="31"/>
      <c r="BJ286" s="31"/>
      <c r="BK286" s="31"/>
      <c r="BL286" s="31"/>
      <c r="BM286" s="31"/>
      <c r="BN286" s="31"/>
      <c r="BO286" s="31"/>
      <c r="BP286" s="31"/>
      <c r="BQ286" s="31"/>
      <c r="BR286" s="31"/>
      <c r="BS286" s="31"/>
      <c r="BT286" s="31"/>
      <c r="BU286" s="31"/>
      <c r="BV286" s="31"/>
      <c r="BW286" s="31"/>
      <c r="BX286" s="31"/>
      <c r="BY286" s="31"/>
      <c r="BZ286" s="31"/>
      <c r="CA286" s="31"/>
      <c r="CB286" s="31"/>
      <c r="CC286" s="31"/>
      <c r="CD286" s="31"/>
      <c r="CE286" s="31"/>
      <c r="CF286" s="31"/>
      <c r="CG286" s="31"/>
      <c r="CH286" s="31"/>
      <c r="CI286" s="31"/>
      <c r="CJ286" s="31"/>
      <c r="CK286" s="31"/>
      <c r="CL286" s="31"/>
      <c r="CM286" s="31"/>
      <c r="CN286" s="31"/>
      <c r="CO286" s="31"/>
      <c r="CP286" s="31"/>
      <c r="CQ286" s="31"/>
      <c r="CR286" s="31"/>
      <c r="CS286" s="31"/>
      <c r="CT286" s="31"/>
      <c r="CU286" s="31"/>
      <c r="CV286" s="31"/>
      <c r="CW286" s="31"/>
      <c r="CX286" s="31"/>
      <c r="CY286" s="31"/>
      <c r="CZ286" s="31"/>
      <c r="DA286" s="31"/>
      <c r="DB286" s="31"/>
      <c r="DC286" s="31"/>
      <c r="DD286" s="31"/>
      <c r="DE286" s="31"/>
      <c r="DF286" s="31"/>
      <c r="DG286" s="31"/>
      <c r="DH286" s="31"/>
      <c r="DI286" s="31"/>
      <c r="DJ286" s="31"/>
      <c r="DK286" s="31"/>
      <c r="DL286" s="31"/>
      <c r="DM286" s="31"/>
      <c r="DN286" s="31"/>
      <c r="DO286" s="31"/>
      <c r="DP286" s="31"/>
      <c r="DQ286" s="31"/>
      <c r="DR286" s="31"/>
      <c r="DS286" s="31"/>
      <c r="DT286" s="31"/>
      <c r="DU286" s="31"/>
      <c r="DV286" s="31"/>
      <c r="DW286" s="31"/>
      <c r="DX286" s="31"/>
      <c r="DY286" s="31"/>
      <c r="DZ286" s="31"/>
      <c r="EA286" s="31"/>
      <c r="EB286" s="31"/>
      <c r="EC286" s="31"/>
      <c r="ED286" s="31"/>
      <c r="EE286" s="31"/>
      <c r="EF286" s="31"/>
      <c r="EG286" s="31"/>
      <c r="EH286" s="31"/>
      <c r="EI286" s="31"/>
      <c r="EJ286" s="31"/>
      <c r="EK286" s="31"/>
      <c r="EL286" s="31"/>
      <c r="EM286" s="31"/>
      <c r="EN286" s="31"/>
      <c r="EO286" s="31"/>
      <c r="EP286" s="31"/>
      <c r="EQ286" s="31"/>
      <c r="ER286" s="31"/>
      <c r="ES286" s="31"/>
      <c r="ET286" s="31"/>
      <c r="EU286" s="31"/>
      <c r="EV286" s="31"/>
      <c r="EW286" s="31"/>
      <c r="EX286" s="31"/>
      <c r="EY286" s="31"/>
      <c r="EZ286" s="31"/>
      <c r="FA286" s="31"/>
      <c r="FB286" s="31"/>
      <c r="FC286" s="31"/>
      <c r="FD286" s="31"/>
      <c r="FE286" s="31"/>
      <c r="FF286" s="31"/>
      <c r="FG286" s="31"/>
      <c r="FH286" s="31"/>
      <c r="FI286" s="31"/>
      <c r="FJ286" s="31"/>
      <c r="FK286" s="31"/>
      <c r="FL286" s="31"/>
      <c r="FM286" s="31"/>
      <c r="FN286" s="31"/>
      <c r="FO286" s="31"/>
      <c r="FP286" s="31"/>
      <c r="FQ286" s="31"/>
      <c r="FR286" s="31"/>
      <c r="FS286" s="31"/>
      <c r="FT286" s="31"/>
      <c r="FU286" s="31"/>
      <c r="FV286" s="31"/>
      <c r="FW286" s="31"/>
      <c r="FX286" s="31"/>
      <c r="FY286" s="31"/>
      <c r="FZ286" s="31"/>
      <c r="GA286" s="31"/>
      <c r="GB286" s="31"/>
      <c r="GC286" s="31"/>
      <c r="GD286" s="31"/>
      <c r="GE286" s="31"/>
      <c r="GF286" s="31"/>
      <c r="GG286" s="31"/>
      <c r="GH286" s="31"/>
      <c r="GI286" s="31"/>
      <c r="GJ286" s="31"/>
      <c r="GK286" s="31"/>
      <c r="GL286" s="31"/>
      <c r="GM286" s="31"/>
      <c r="GN286" s="31"/>
      <c r="GO286" s="31"/>
      <c r="GP286" s="31"/>
      <c r="GQ286" s="31"/>
      <c r="GR286" s="31"/>
      <c r="GS286" s="31"/>
      <c r="GT286" s="31"/>
      <c r="GU286" s="31"/>
      <c r="GV286" s="31"/>
      <c r="GW286" s="31"/>
      <c r="GX286" s="31"/>
      <c r="GY286" s="31"/>
      <c r="GZ286" s="31"/>
      <c r="HA286" s="31"/>
      <c r="HB286" s="31"/>
      <c r="HC286" s="31"/>
      <c r="HD286" s="31"/>
      <c r="HE286" s="31"/>
      <c r="HF286" s="31"/>
      <c r="HG286" s="31"/>
      <c r="HH286" s="31"/>
      <c r="HI286" s="31"/>
      <c r="HJ286" s="31"/>
      <c r="HK286" s="31"/>
      <c r="HL286" s="31"/>
      <c r="HM286" s="31"/>
      <c r="HN286" s="31"/>
      <c r="HO286" s="31"/>
      <c r="HP286" s="31"/>
      <c r="HQ286" s="31"/>
      <c r="HR286" s="31"/>
      <c r="HS286" s="31"/>
      <c r="HT286" s="31"/>
      <c r="HU286" s="31"/>
      <c r="HV286" s="31"/>
      <c r="HW286" s="31"/>
      <c r="HX286" s="31"/>
      <c r="HY286" s="31"/>
      <c r="HZ286" s="31"/>
      <c r="IA286" s="31"/>
      <c r="IB286" s="31"/>
      <c r="IC286" s="31"/>
      <c r="ID286" s="31"/>
      <c r="IE286" s="31"/>
      <c r="IF286" s="31"/>
      <c r="IG286" s="31"/>
      <c r="IH286" s="31"/>
      <c r="II286" s="31"/>
      <c r="IJ286" s="31"/>
      <c r="IK286" s="31"/>
      <c r="IL286" s="31"/>
      <c r="IM286" s="31"/>
      <c r="IN286" s="31"/>
      <c r="IO286" s="31"/>
      <c r="IP286" s="31"/>
      <c r="IQ286" s="31"/>
      <c r="IR286" s="31"/>
      <c r="IS286" s="31"/>
      <c r="IT286" s="31"/>
      <c r="IU286" s="31"/>
      <c r="IV286" s="31"/>
      <c r="IW286" s="31"/>
      <c r="IX286" s="31"/>
      <c r="IY286" s="31"/>
      <c r="IZ286" s="31"/>
      <c r="JA286" s="31"/>
      <c r="JB286" s="31"/>
      <c r="JC286" s="31"/>
      <c r="JD286" s="31"/>
      <c r="JE286" s="31"/>
      <c r="JF286" s="31"/>
      <c r="JG286" s="31"/>
      <c r="JH286" s="31"/>
      <c r="JI286" s="31"/>
      <c r="JJ286" s="31"/>
      <c r="JK286" s="31"/>
      <c r="JL286" s="31"/>
      <c r="JM286" s="31"/>
      <c r="JN286" s="31"/>
      <c r="JO286" s="31"/>
      <c r="JP286" s="31"/>
      <c r="JQ286" s="31"/>
      <c r="JR286" s="31"/>
      <c r="JS286" s="31"/>
      <c r="JT286" s="31"/>
      <c r="JU286" s="31"/>
      <c r="JV286" s="31"/>
      <c r="JW286" s="31"/>
      <c r="JX286" s="31"/>
      <c r="JY286" s="31"/>
      <c r="JZ286" s="31"/>
      <c r="KA286" s="31"/>
      <c r="KB286" s="31"/>
      <c r="KC286" s="31"/>
      <c r="KD286" s="31"/>
      <c r="KE286" s="31"/>
      <c r="KF286" s="31"/>
      <c r="KG286" s="31"/>
      <c r="KH286" s="31"/>
      <c r="KI286" s="31"/>
      <c r="KJ286" s="31"/>
      <c r="KK286" s="31"/>
      <c r="KL286" s="31"/>
      <c r="KM286" s="31"/>
      <c r="KN286" s="31"/>
      <c r="KO286" s="31"/>
      <c r="KP286" s="31"/>
      <c r="KQ286" s="31"/>
      <c r="KR286" s="31"/>
      <c r="KS286" s="31"/>
      <c r="KT286" s="31"/>
      <c r="KU286" s="31"/>
      <c r="KV286" s="31"/>
      <c r="KW286" s="31"/>
      <c r="KX286" s="31"/>
      <c r="KY286" s="31"/>
      <c r="KZ286" s="31"/>
      <c r="LA286" s="31"/>
      <c r="LB286" s="31"/>
      <c r="LC286" s="31"/>
      <c r="LD286" s="31"/>
      <c r="LE286" s="31"/>
      <c r="LF286" s="31"/>
      <c r="LG286" s="31"/>
      <c r="LH286" s="31"/>
      <c r="LI286" s="31"/>
      <c r="LJ286" s="31"/>
      <c r="LK286" s="31"/>
      <c r="LL286" s="31"/>
      <c r="LM286" s="31"/>
      <c r="LN286" s="31"/>
      <c r="LO286" s="31"/>
      <c r="LP286" s="31"/>
      <c r="LQ286" s="31"/>
      <c r="LR286" s="31"/>
      <c r="LS286" s="31"/>
      <c r="LT286" s="31"/>
      <c r="LU286" s="31"/>
      <c r="LV286" s="31"/>
      <c r="LW286" s="31"/>
      <c r="LX286" s="31"/>
      <c r="LY286" s="31"/>
      <c r="LZ286" s="31"/>
      <c r="MA286" s="31"/>
      <c r="MB286" s="31"/>
      <c r="MC286" s="31"/>
      <c r="MD286" s="31"/>
      <c r="ME286" s="31"/>
      <c r="MF286" s="31"/>
      <c r="MG286" s="31"/>
      <c r="MH286" s="31"/>
      <c r="MI286" s="31"/>
      <c r="MJ286" s="31"/>
      <c r="MK286" s="31"/>
      <c r="ML286" s="31"/>
      <c r="MM286" s="31"/>
      <c r="MN286" s="31"/>
      <c r="MO286" s="31"/>
      <c r="MP286" s="31"/>
      <c r="MQ286" s="31"/>
      <c r="MR286" s="31"/>
      <c r="MS286" s="31"/>
      <c r="MT286" s="31"/>
      <c r="MU286" s="31"/>
      <c r="MV286" s="31"/>
      <c r="MW286" s="31"/>
      <c r="MX286" s="31"/>
      <c r="MY286" s="31"/>
      <c r="MZ286" s="31"/>
      <c r="NA286" s="31"/>
      <c r="NB286" s="31"/>
      <c r="NC286" s="31"/>
      <c r="ND286" s="31"/>
      <c r="NE286" s="31"/>
      <c r="NF286" s="31"/>
      <c r="NG286" s="31"/>
      <c r="NH286" s="31"/>
      <c r="NI286" s="31"/>
      <c r="NJ286" s="31"/>
      <c r="NK286" s="31"/>
      <c r="NL286" s="31"/>
      <c r="NM286" s="31"/>
      <c r="NN286" s="31"/>
      <c r="NO286" s="31"/>
      <c r="NP286" s="31"/>
      <c r="NQ286" s="31"/>
      <c r="NR286" s="31"/>
      <c r="NS286" s="31"/>
      <c r="NT286" s="31"/>
      <c r="NU286" s="31"/>
      <c r="NV286" s="31"/>
      <c r="NW286" s="31"/>
      <c r="NX286" s="31"/>
      <c r="NY286" s="31"/>
      <c r="NZ286" s="31"/>
      <c r="OA286" s="31"/>
      <c r="OB286" s="31"/>
      <c r="OC286" s="31"/>
      <c r="OD286" s="31"/>
      <c r="OE286" s="31"/>
      <c r="OF286" s="31"/>
      <c r="OG286" s="31"/>
      <c r="OH286" s="31"/>
      <c r="OI286" s="31"/>
      <c r="OJ286" s="31"/>
      <c r="OK286" s="31"/>
      <c r="OL286" s="31"/>
      <c r="OM286" s="31"/>
      <c r="ON286" s="31"/>
      <c r="OO286" s="31"/>
      <c r="OP286" s="31"/>
      <c r="OQ286" s="31"/>
      <c r="OR286" s="31"/>
      <c r="OS286" s="31"/>
      <c r="OT286" s="31"/>
      <c r="OU286" s="31"/>
      <c r="OV286" s="31"/>
      <c r="OW286" s="31"/>
      <c r="OX286" s="31"/>
      <c r="OY286" s="31"/>
      <c r="OZ286" s="31"/>
      <c r="PA286" s="31"/>
      <c r="PB286" s="31"/>
      <c r="PC286" s="31"/>
      <c r="PD286" s="31"/>
      <c r="PE286" s="31"/>
      <c r="PF286" s="31"/>
      <c r="PG286" s="31"/>
      <c r="PH286" s="31"/>
      <c r="PI286" s="31"/>
      <c r="PJ286" s="31"/>
      <c r="PK286" s="31"/>
      <c r="PL286" s="31"/>
      <c r="PM286" s="31"/>
      <c r="PN286" s="31"/>
      <c r="PO286" s="31"/>
      <c r="PP286" s="31"/>
      <c r="PQ286" s="31"/>
      <c r="PR286" s="31"/>
      <c r="PS286" s="31"/>
      <c r="PT286" s="31"/>
      <c r="PU286" s="31"/>
      <c r="PV286" s="31"/>
      <c r="PW286" s="31"/>
      <c r="PX286" s="31"/>
      <c r="PY286" s="31"/>
      <c r="PZ286" s="31"/>
      <c r="QA286" s="31"/>
      <c r="QB286" s="31"/>
      <c r="QC286" s="31"/>
      <c r="QD286" s="31"/>
      <c r="QE286" s="31"/>
      <c r="QF286" s="31"/>
      <c r="QG286" s="31"/>
      <c r="QH286" s="31"/>
      <c r="QI286" s="31"/>
      <c r="QJ286" s="31"/>
      <c r="QK286" s="31"/>
      <c r="QL286" s="31"/>
      <c r="QM286" s="31"/>
      <c r="QN286" s="31"/>
      <c r="QO286" s="31"/>
      <c r="QP286" s="31"/>
      <c r="QQ286" s="31"/>
      <c r="QR286" s="31"/>
      <c r="QS286" s="31"/>
      <c r="QT286" s="31"/>
      <c r="QU286" s="31"/>
      <c r="QV286" s="31"/>
      <c r="QW286" s="31"/>
      <c r="QX286" s="31"/>
      <c r="QY286" s="31"/>
      <c r="QZ286" s="31"/>
      <c r="RA286" s="31"/>
      <c r="RB286" s="31"/>
      <c r="RC286" s="31"/>
      <c r="RD286" s="31"/>
      <c r="RE286" s="31"/>
      <c r="RF286" s="31"/>
      <c r="RG286" s="31"/>
      <c r="RH286" s="31"/>
      <c r="RI286" s="31"/>
      <c r="RJ286" s="31"/>
      <c r="RK286" s="31"/>
      <c r="RL286" s="31"/>
      <c r="RM286" s="31"/>
      <c r="RN286" s="31"/>
      <c r="RO286" s="31"/>
      <c r="RP286" s="31"/>
      <c r="RQ286" s="31"/>
      <c r="RR286" s="31"/>
      <c r="RS286" s="31"/>
      <c r="RT286" s="31"/>
      <c r="RU286" s="31"/>
      <c r="RV286" s="31"/>
      <c r="RW286" s="31"/>
      <c r="RX286" s="31"/>
      <c r="RY286" s="31"/>
      <c r="RZ286" s="31"/>
      <c r="SA286" s="31"/>
      <c r="SB286" s="31"/>
      <c r="SC286" s="31"/>
      <c r="SD286" s="31"/>
      <c r="SE286" s="31"/>
      <c r="SF286" s="31"/>
      <c r="SG286" s="31"/>
      <c r="SH286" s="31"/>
      <c r="SI286" s="31"/>
      <c r="SJ286" s="31"/>
      <c r="SK286" s="31"/>
      <c r="SL286" s="31"/>
      <c r="SM286" s="31"/>
      <c r="SN286" s="31"/>
      <c r="SO286" s="31"/>
      <c r="SP286" s="31"/>
      <c r="SQ286" s="31"/>
      <c r="SR286" s="31"/>
      <c r="SS286" s="31"/>
      <c r="ST286" s="31"/>
      <c r="SU286" s="31"/>
      <c r="SV286" s="31"/>
      <c r="SW286" s="31"/>
      <c r="SX286" s="31"/>
      <c r="SY286" s="31"/>
      <c r="SZ286" s="31"/>
      <c r="TA286" s="31"/>
      <c r="TB286" s="31"/>
      <c r="TC286" s="31"/>
      <c r="TD286" s="31"/>
      <c r="TE286" s="31"/>
      <c r="TF286" s="31"/>
      <c r="TG286" s="31"/>
      <c r="TH286" s="31"/>
      <c r="TI286" s="31"/>
      <c r="TJ286" s="31"/>
      <c r="TK286" s="31"/>
      <c r="TL286" s="31"/>
      <c r="TM286" s="31"/>
      <c r="TN286" s="31"/>
      <c r="TO286" s="31"/>
      <c r="TP286" s="31"/>
      <c r="TQ286" s="31"/>
      <c r="TR286" s="31"/>
      <c r="TS286" s="31"/>
      <c r="TT286" s="31"/>
      <c r="TU286" s="31"/>
      <c r="TV286" s="31"/>
      <c r="TW286" s="31"/>
      <c r="TX286" s="31"/>
      <c r="TY286" s="31"/>
      <c r="TZ286" s="31"/>
      <c r="UA286" s="31"/>
      <c r="UB286" s="31"/>
      <c r="UC286" s="31"/>
      <c r="UD286" s="31"/>
      <c r="UE286" s="31"/>
      <c r="UF286" s="31"/>
      <c r="UG286" s="33"/>
    </row>
    <row r="287" spans="1:553" ht="45" customHeight="1">
      <c r="A287" s="356" t="s">
        <v>15</v>
      </c>
      <c r="B287" s="356"/>
      <c r="C287" s="384" t="s">
        <v>69</v>
      </c>
      <c r="D287" s="376" t="s">
        <v>20</v>
      </c>
      <c r="E287" s="376" t="s">
        <v>226</v>
      </c>
      <c r="F287" s="385"/>
      <c r="G287" s="386" t="s">
        <v>935</v>
      </c>
      <c r="H287" s="370"/>
      <c r="I287" s="490">
        <v>24.3</v>
      </c>
      <c r="J287" s="368">
        <v>62000</v>
      </c>
      <c r="K287" s="850">
        <v>2.5</v>
      </c>
      <c r="L287" s="366">
        <f t="shared" si="56"/>
        <v>3766500</v>
      </c>
      <c r="M287" s="366"/>
      <c r="N287" s="366"/>
      <c r="O287" s="366"/>
      <c r="P287" s="366"/>
      <c r="Q287" s="1135"/>
      <c r="R287" s="1447"/>
      <c r="S287" s="308"/>
      <c r="T287" s="303"/>
      <c r="U287" s="306"/>
      <c r="V287" s="307"/>
      <c r="W287" s="306"/>
      <c r="X287" s="306"/>
      <c r="Y287" s="306"/>
      <c r="Z287" s="306"/>
      <c r="AA287" s="306"/>
      <c r="AB287" s="306"/>
      <c r="AC287" s="449"/>
      <c r="AD287" s="452"/>
      <c r="AE287" s="452"/>
      <c r="AF287" s="452"/>
      <c r="AG287" s="452"/>
      <c r="AH287" s="452"/>
      <c r="AI287" s="452"/>
      <c r="AJ287" s="452"/>
      <c r="AK287" s="452"/>
      <c r="AL287" s="106"/>
      <c r="AM287" s="31"/>
      <c r="AN287" s="31"/>
      <c r="AO287" s="31"/>
      <c r="AP287" s="31"/>
      <c r="AQ287" s="31"/>
      <c r="AR287" s="31"/>
      <c r="AS287" s="31"/>
      <c r="AT287" s="31"/>
      <c r="AU287" s="31"/>
      <c r="AV287" s="31"/>
      <c r="AW287" s="31"/>
      <c r="AX287" s="31"/>
      <c r="AY287" s="31"/>
      <c r="AZ287" s="31"/>
      <c r="BA287" s="31"/>
      <c r="BB287" s="31"/>
      <c r="BC287" s="31"/>
      <c r="BD287" s="31"/>
      <c r="BE287" s="31"/>
      <c r="BF287" s="31"/>
      <c r="BG287" s="31"/>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c r="CF287" s="31"/>
      <c r="CG287" s="31"/>
      <c r="CH287" s="31"/>
      <c r="CI287" s="31"/>
      <c r="CJ287" s="31"/>
      <c r="CK287" s="31"/>
      <c r="CL287" s="31"/>
      <c r="CM287" s="31"/>
      <c r="CN287" s="31"/>
      <c r="CO287" s="31"/>
      <c r="CP287" s="31"/>
      <c r="CQ287" s="31"/>
      <c r="CR287" s="31"/>
      <c r="CS287" s="31"/>
      <c r="CT287" s="31"/>
      <c r="CU287" s="31"/>
      <c r="CV287" s="31"/>
      <c r="CW287" s="31"/>
      <c r="CX287" s="31"/>
      <c r="CY287" s="31"/>
      <c r="CZ287" s="31"/>
      <c r="DA287" s="31"/>
      <c r="DB287" s="31"/>
      <c r="DC287" s="31"/>
      <c r="DD287" s="31"/>
      <c r="DE287" s="31"/>
      <c r="DF287" s="31"/>
      <c r="DG287" s="31"/>
      <c r="DH287" s="31"/>
      <c r="DI287" s="31"/>
      <c r="DJ287" s="31"/>
      <c r="DK287" s="31"/>
      <c r="DL287" s="31"/>
      <c r="DM287" s="31"/>
      <c r="DN287" s="31"/>
      <c r="DO287" s="31"/>
      <c r="DP287" s="31"/>
      <c r="DQ287" s="31"/>
      <c r="DR287" s="31"/>
      <c r="DS287" s="31"/>
      <c r="DT287" s="31"/>
      <c r="DU287" s="31"/>
      <c r="DV287" s="31"/>
      <c r="DW287" s="31"/>
      <c r="DX287" s="31"/>
      <c r="DY287" s="31"/>
      <c r="DZ287" s="31"/>
      <c r="EA287" s="31"/>
      <c r="EB287" s="31"/>
      <c r="EC287" s="31"/>
      <c r="ED287" s="31"/>
      <c r="EE287" s="31"/>
      <c r="EF287" s="31"/>
      <c r="EG287" s="31"/>
      <c r="EH287" s="31"/>
      <c r="EI287" s="31"/>
      <c r="EJ287" s="31"/>
      <c r="EK287" s="31"/>
      <c r="EL287" s="31"/>
      <c r="EM287" s="31"/>
      <c r="EN287" s="31"/>
      <c r="EO287" s="31"/>
      <c r="EP287" s="31"/>
      <c r="EQ287" s="31"/>
      <c r="ER287" s="31"/>
      <c r="ES287" s="31"/>
      <c r="ET287" s="31"/>
      <c r="EU287" s="31"/>
      <c r="EV287" s="31"/>
      <c r="EW287" s="31"/>
      <c r="EX287" s="31"/>
      <c r="EY287" s="31"/>
      <c r="EZ287" s="31"/>
      <c r="FA287" s="31"/>
      <c r="FB287" s="31"/>
      <c r="FC287" s="31"/>
      <c r="FD287" s="31"/>
      <c r="FE287" s="31"/>
      <c r="FF287" s="31"/>
      <c r="FG287" s="31"/>
      <c r="FH287" s="31"/>
      <c r="FI287" s="31"/>
      <c r="FJ287" s="31"/>
      <c r="FK287" s="31"/>
      <c r="FL287" s="31"/>
      <c r="FM287" s="31"/>
      <c r="FN287" s="31"/>
      <c r="FO287" s="31"/>
      <c r="FP287" s="31"/>
      <c r="FQ287" s="31"/>
      <c r="FR287" s="31"/>
      <c r="FS287" s="31"/>
      <c r="FT287" s="31"/>
      <c r="FU287" s="31"/>
      <c r="FV287" s="31"/>
      <c r="FW287" s="31"/>
      <c r="FX287" s="31"/>
      <c r="FY287" s="31"/>
      <c r="FZ287" s="31"/>
      <c r="GA287" s="31"/>
      <c r="GB287" s="31"/>
      <c r="GC287" s="31"/>
      <c r="GD287" s="31"/>
      <c r="GE287" s="31"/>
      <c r="GF287" s="31"/>
      <c r="GG287" s="31"/>
      <c r="GH287" s="31"/>
      <c r="GI287" s="31"/>
      <c r="GJ287" s="31"/>
      <c r="GK287" s="31"/>
      <c r="GL287" s="31"/>
      <c r="GM287" s="31"/>
      <c r="GN287" s="31"/>
      <c r="GO287" s="31"/>
      <c r="GP287" s="31"/>
      <c r="GQ287" s="31"/>
      <c r="GR287" s="31"/>
      <c r="GS287" s="31"/>
      <c r="GT287" s="31"/>
      <c r="GU287" s="31"/>
      <c r="GV287" s="31"/>
      <c r="GW287" s="31"/>
      <c r="GX287" s="31"/>
      <c r="GY287" s="31"/>
      <c r="GZ287" s="31"/>
      <c r="HA287" s="31"/>
      <c r="HB287" s="31"/>
      <c r="HC287" s="31"/>
      <c r="HD287" s="31"/>
      <c r="HE287" s="31"/>
      <c r="HF287" s="31"/>
      <c r="HG287" s="31"/>
      <c r="HH287" s="31"/>
      <c r="HI287" s="31"/>
      <c r="HJ287" s="31"/>
      <c r="HK287" s="31"/>
      <c r="HL287" s="31"/>
      <c r="HM287" s="31"/>
      <c r="HN287" s="31"/>
      <c r="HO287" s="31"/>
      <c r="HP287" s="31"/>
      <c r="HQ287" s="31"/>
      <c r="HR287" s="31"/>
      <c r="HS287" s="31"/>
      <c r="HT287" s="31"/>
      <c r="HU287" s="31"/>
      <c r="HV287" s="31"/>
      <c r="HW287" s="31"/>
      <c r="HX287" s="31"/>
      <c r="HY287" s="31"/>
      <c r="HZ287" s="31"/>
      <c r="IA287" s="31"/>
      <c r="IB287" s="31"/>
      <c r="IC287" s="31"/>
      <c r="ID287" s="31"/>
      <c r="IE287" s="31"/>
      <c r="IF287" s="31"/>
      <c r="IG287" s="31"/>
      <c r="IH287" s="31"/>
      <c r="II287" s="31"/>
      <c r="IJ287" s="31"/>
      <c r="IK287" s="31"/>
      <c r="IL287" s="31"/>
      <c r="IM287" s="31"/>
      <c r="IN287" s="31"/>
      <c r="IO287" s="31"/>
      <c r="IP287" s="31"/>
      <c r="IQ287" s="31"/>
      <c r="IR287" s="31"/>
      <c r="IS287" s="31"/>
      <c r="IT287" s="31"/>
      <c r="IU287" s="31"/>
      <c r="IV287" s="31"/>
      <c r="IW287" s="31"/>
      <c r="IX287" s="31"/>
      <c r="IY287" s="31"/>
      <c r="IZ287" s="31"/>
      <c r="JA287" s="31"/>
      <c r="JB287" s="31"/>
      <c r="JC287" s="31"/>
      <c r="JD287" s="31"/>
      <c r="JE287" s="31"/>
      <c r="JF287" s="31"/>
      <c r="JG287" s="31"/>
      <c r="JH287" s="31"/>
      <c r="JI287" s="31"/>
      <c r="JJ287" s="31"/>
      <c r="JK287" s="31"/>
      <c r="JL287" s="31"/>
      <c r="JM287" s="31"/>
      <c r="JN287" s="31"/>
      <c r="JO287" s="31"/>
      <c r="JP287" s="31"/>
      <c r="JQ287" s="31"/>
      <c r="JR287" s="31"/>
      <c r="JS287" s="31"/>
      <c r="JT287" s="31"/>
      <c r="JU287" s="31"/>
      <c r="JV287" s="31"/>
      <c r="JW287" s="31"/>
      <c r="JX287" s="31"/>
      <c r="JY287" s="31"/>
      <c r="JZ287" s="31"/>
      <c r="KA287" s="31"/>
      <c r="KB287" s="31"/>
      <c r="KC287" s="31"/>
      <c r="KD287" s="31"/>
      <c r="KE287" s="31"/>
      <c r="KF287" s="31"/>
      <c r="KG287" s="31"/>
      <c r="KH287" s="31"/>
      <c r="KI287" s="31"/>
      <c r="KJ287" s="31"/>
      <c r="KK287" s="31"/>
      <c r="KL287" s="31"/>
      <c r="KM287" s="31"/>
      <c r="KN287" s="31"/>
      <c r="KO287" s="31"/>
      <c r="KP287" s="31"/>
      <c r="KQ287" s="31"/>
      <c r="KR287" s="31"/>
      <c r="KS287" s="31"/>
      <c r="KT287" s="31"/>
      <c r="KU287" s="31"/>
      <c r="KV287" s="31"/>
      <c r="KW287" s="31"/>
      <c r="KX287" s="31"/>
      <c r="KY287" s="31"/>
      <c r="KZ287" s="31"/>
      <c r="LA287" s="31"/>
      <c r="LB287" s="31"/>
      <c r="LC287" s="31"/>
      <c r="LD287" s="31"/>
      <c r="LE287" s="31"/>
      <c r="LF287" s="31"/>
      <c r="LG287" s="31"/>
      <c r="LH287" s="31"/>
      <c r="LI287" s="31"/>
      <c r="LJ287" s="31"/>
      <c r="LK287" s="31"/>
      <c r="LL287" s="31"/>
      <c r="LM287" s="31"/>
      <c r="LN287" s="31"/>
      <c r="LO287" s="31"/>
      <c r="LP287" s="31"/>
      <c r="LQ287" s="31"/>
      <c r="LR287" s="31"/>
      <c r="LS287" s="31"/>
      <c r="LT287" s="31"/>
      <c r="LU287" s="31"/>
      <c r="LV287" s="31"/>
      <c r="LW287" s="31"/>
      <c r="LX287" s="31"/>
      <c r="LY287" s="31"/>
      <c r="LZ287" s="31"/>
      <c r="MA287" s="31"/>
      <c r="MB287" s="31"/>
      <c r="MC287" s="31"/>
      <c r="MD287" s="31"/>
      <c r="ME287" s="31"/>
      <c r="MF287" s="31"/>
      <c r="MG287" s="31"/>
      <c r="MH287" s="31"/>
      <c r="MI287" s="31"/>
      <c r="MJ287" s="31"/>
      <c r="MK287" s="31"/>
      <c r="ML287" s="31"/>
      <c r="MM287" s="31"/>
      <c r="MN287" s="31"/>
      <c r="MO287" s="31"/>
      <c r="MP287" s="31"/>
      <c r="MQ287" s="31"/>
      <c r="MR287" s="31"/>
      <c r="MS287" s="31"/>
      <c r="MT287" s="31"/>
      <c r="MU287" s="31"/>
      <c r="MV287" s="31"/>
      <c r="MW287" s="31"/>
      <c r="MX287" s="31"/>
      <c r="MY287" s="31"/>
      <c r="MZ287" s="31"/>
      <c r="NA287" s="31"/>
      <c r="NB287" s="31"/>
      <c r="NC287" s="31"/>
      <c r="ND287" s="31"/>
      <c r="NE287" s="31"/>
      <c r="NF287" s="31"/>
      <c r="NG287" s="31"/>
      <c r="NH287" s="31"/>
      <c r="NI287" s="31"/>
      <c r="NJ287" s="31"/>
      <c r="NK287" s="31"/>
      <c r="NL287" s="31"/>
      <c r="NM287" s="31"/>
      <c r="NN287" s="31"/>
      <c r="NO287" s="31"/>
      <c r="NP287" s="31"/>
      <c r="NQ287" s="31"/>
      <c r="NR287" s="31"/>
      <c r="NS287" s="31"/>
      <c r="NT287" s="31"/>
      <c r="NU287" s="31"/>
      <c r="NV287" s="31"/>
      <c r="NW287" s="31"/>
      <c r="NX287" s="31"/>
      <c r="NY287" s="31"/>
      <c r="NZ287" s="31"/>
      <c r="OA287" s="31"/>
      <c r="OB287" s="31"/>
      <c r="OC287" s="31"/>
      <c r="OD287" s="31"/>
      <c r="OE287" s="31"/>
      <c r="OF287" s="31"/>
      <c r="OG287" s="31"/>
      <c r="OH287" s="31"/>
      <c r="OI287" s="31"/>
      <c r="OJ287" s="31"/>
      <c r="OK287" s="31"/>
      <c r="OL287" s="31"/>
      <c r="OM287" s="31"/>
      <c r="ON287" s="31"/>
      <c r="OO287" s="31"/>
      <c r="OP287" s="31"/>
      <c r="OQ287" s="31"/>
      <c r="OR287" s="31"/>
      <c r="OS287" s="31"/>
      <c r="OT287" s="31"/>
      <c r="OU287" s="31"/>
      <c r="OV287" s="31"/>
      <c r="OW287" s="31"/>
      <c r="OX287" s="31"/>
      <c r="OY287" s="31"/>
      <c r="OZ287" s="31"/>
      <c r="PA287" s="31"/>
      <c r="PB287" s="31"/>
      <c r="PC287" s="31"/>
      <c r="PD287" s="31"/>
      <c r="PE287" s="31"/>
      <c r="PF287" s="31"/>
      <c r="PG287" s="31"/>
      <c r="PH287" s="31"/>
      <c r="PI287" s="31"/>
      <c r="PJ287" s="31"/>
      <c r="PK287" s="31"/>
      <c r="PL287" s="31"/>
      <c r="PM287" s="31"/>
      <c r="PN287" s="31"/>
      <c r="PO287" s="31"/>
      <c r="PP287" s="31"/>
      <c r="PQ287" s="31"/>
      <c r="PR287" s="31"/>
      <c r="PS287" s="31"/>
      <c r="PT287" s="31"/>
      <c r="PU287" s="31"/>
      <c r="PV287" s="31"/>
      <c r="PW287" s="31"/>
      <c r="PX287" s="31"/>
      <c r="PY287" s="31"/>
      <c r="PZ287" s="31"/>
      <c r="QA287" s="31"/>
      <c r="QB287" s="31"/>
      <c r="QC287" s="31"/>
      <c r="QD287" s="31"/>
      <c r="QE287" s="31"/>
      <c r="QF287" s="31"/>
      <c r="QG287" s="31"/>
      <c r="QH287" s="31"/>
      <c r="QI287" s="31"/>
      <c r="QJ287" s="31"/>
      <c r="QK287" s="31"/>
      <c r="QL287" s="31"/>
      <c r="QM287" s="31"/>
      <c r="QN287" s="31"/>
      <c r="QO287" s="31"/>
      <c r="QP287" s="31"/>
      <c r="QQ287" s="31"/>
      <c r="QR287" s="31"/>
      <c r="QS287" s="31"/>
      <c r="QT287" s="31"/>
      <c r="QU287" s="31"/>
      <c r="QV287" s="31"/>
      <c r="QW287" s="31"/>
      <c r="QX287" s="31"/>
      <c r="QY287" s="31"/>
      <c r="QZ287" s="31"/>
      <c r="RA287" s="31"/>
      <c r="RB287" s="31"/>
      <c r="RC287" s="31"/>
      <c r="RD287" s="31"/>
      <c r="RE287" s="31"/>
      <c r="RF287" s="31"/>
      <c r="RG287" s="31"/>
      <c r="RH287" s="31"/>
      <c r="RI287" s="31"/>
      <c r="RJ287" s="31"/>
      <c r="RK287" s="31"/>
      <c r="RL287" s="31"/>
      <c r="RM287" s="31"/>
      <c r="RN287" s="31"/>
      <c r="RO287" s="31"/>
      <c r="RP287" s="31"/>
      <c r="RQ287" s="31"/>
      <c r="RR287" s="31"/>
      <c r="RS287" s="31"/>
      <c r="RT287" s="31"/>
      <c r="RU287" s="31"/>
      <c r="RV287" s="31"/>
      <c r="RW287" s="31"/>
      <c r="RX287" s="31"/>
      <c r="RY287" s="31"/>
      <c r="RZ287" s="31"/>
      <c r="SA287" s="31"/>
      <c r="SB287" s="31"/>
      <c r="SC287" s="31"/>
      <c r="SD287" s="31"/>
      <c r="SE287" s="31"/>
      <c r="SF287" s="31"/>
      <c r="SG287" s="31"/>
      <c r="SH287" s="31"/>
      <c r="SI287" s="31"/>
      <c r="SJ287" s="31"/>
      <c r="SK287" s="31"/>
      <c r="SL287" s="31"/>
      <c r="SM287" s="31"/>
      <c r="SN287" s="31"/>
      <c r="SO287" s="31"/>
      <c r="SP287" s="31"/>
      <c r="SQ287" s="31"/>
      <c r="SR287" s="31"/>
      <c r="SS287" s="31"/>
      <c r="ST287" s="31"/>
      <c r="SU287" s="31"/>
      <c r="SV287" s="31"/>
      <c r="SW287" s="31"/>
      <c r="SX287" s="31"/>
      <c r="SY287" s="31"/>
      <c r="SZ287" s="31"/>
      <c r="TA287" s="31"/>
      <c r="TB287" s="31"/>
      <c r="TC287" s="31"/>
      <c r="TD287" s="31"/>
      <c r="TE287" s="31"/>
      <c r="TF287" s="31"/>
      <c r="TG287" s="31"/>
      <c r="TH287" s="31"/>
      <c r="TI287" s="31"/>
      <c r="TJ287" s="31"/>
      <c r="TK287" s="31"/>
      <c r="TL287" s="31"/>
      <c r="TM287" s="31"/>
      <c r="TN287" s="31"/>
      <c r="TO287" s="31"/>
      <c r="TP287" s="31"/>
      <c r="TQ287" s="31"/>
      <c r="TR287" s="31"/>
      <c r="TS287" s="31"/>
      <c r="TT287" s="31"/>
      <c r="TU287" s="31"/>
      <c r="TV287" s="31"/>
      <c r="TW287" s="31"/>
      <c r="TX287" s="31"/>
      <c r="TY287" s="31"/>
      <c r="TZ287" s="31"/>
      <c r="UA287" s="31"/>
      <c r="UB287" s="31"/>
      <c r="UC287" s="31"/>
      <c r="UD287" s="31"/>
      <c r="UE287" s="31"/>
      <c r="UF287" s="31"/>
      <c r="UG287" s="33"/>
    </row>
    <row r="288" spans="1:553" ht="45" customHeight="1">
      <c r="A288" s="356" t="s">
        <v>15</v>
      </c>
      <c r="B288" s="356"/>
      <c r="C288" s="384" t="s">
        <v>69</v>
      </c>
      <c r="D288" s="376" t="s">
        <v>20</v>
      </c>
      <c r="E288" s="376" t="s">
        <v>227</v>
      </c>
      <c r="F288" s="385"/>
      <c r="G288" s="386" t="s">
        <v>935</v>
      </c>
      <c r="H288" s="370"/>
      <c r="I288" s="490">
        <v>18.8</v>
      </c>
      <c r="J288" s="368">
        <v>62000</v>
      </c>
      <c r="K288" s="850">
        <v>2.5</v>
      </c>
      <c r="L288" s="366">
        <f t="shared" si="56"/>
        <v>2914000</v>
      </c>
      <c r="M288" s="366"/>
      <c r="N288" s="366"/>
      <c r="O288" s="366"/>
      <c r="P288" s="366"/>
      <c r="Q288" s="1135"/>
      <c r="R288" s="1447"/>
      <c r="S288" s="308"/>
      <c r="T288" s="303"/>
      <c r="U288" s="306"/>
      <c r="V288" s="307"/>
      <c r="W288" s="306"/>
      <c r="X288" s="306"/>
      <c r="Y288" s="306"/>
      <c r="Z288" s="306"/>
      <c r="AA288" s="306"/>
      <c r="AB288" s="306"/>
      <c r="AC288" s="449"/>
      <c r="AD288" s="452"/>
      <c r="AE288" s="452"/>
      <c r="AF288" s="452"/>
      <c r="AG288" s="452"/>
      <c r="AH288" s="452"/>
      <c r="AI288" s="452"/>
      <c r="AJ288" s="452"/>
      <c r="AK288" s="452"/>
      <c r="AL288" s="106"/>
      <c r="AM288" s="31"/>
      <c r="AN288" s="31"/>
      <c r="AO288" s="31"/>
      <c r="AP288" s="31"/>
      <c r="AQ288" s="31"/>
      <c r="AR288" s="31"/>
      <c r="AS288" s="31"/>
      <c r="AT288" s="31"/>
      <c r="AU288" s="31"/>
      <c r="AV288" s="31"/>
      <c r="AW288" s="31"/>
      <c r="AX288" s="31"/>
      <c r="AY288" s="31"/>
      <c r="AZ288" s="31"/>
      <c r="BA288" s="31"/>
      <c r="BB288" s="31"/>
      <c r="BC288" s="31"/>
      <c r="BD288" s="31"/>
      <c r="BE288" s="31"/>
      <c r="BF288" s="31"/>
      <c r="BG288" s="31"/>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c r="CF288" s="31"/>
      <c r="CG288" s="31"/>
      <c r="CH288" s="31"/>
      <c r="CI288" s="31"/>
      <c r="CJ288" s="31"/>
      <c r="CK288" s="31"/>
      <c r="CL288" s="31"/>
      <c r="CM288" s="31"/>
      <c r="CN288" s="31"/>
      <c r="CO288" s="31"/>
      <c r="CP288" s="31"/>
      <c r="CQ288" s="31"/>
      <c r="CR288" s="31"/>
      <c r="CS288" s="31"/>
      <c r="CT288" s="31"/>
      <c r="CU288" s="31"/>
      <c r="CV288" s="31"/>
      <c r="CW288" s="31"/>
      <c r="CX288" s="31"/>
      <c r="CY288" s="31"/>
      <c r="CZ288" s="31"/>
      <c r="DA288" s="31"/>
      <c r="DB288" s="31"/>
      <c r="DC288" s="31"/>
      <c r="DD288" s="31"/>
      <c r="DE288" s="31"/>
      <c r="DF288" s="31"/>
      <c r="DG288" s="31"/>
      <c r="DH288" s="31"/>
      <c r="DI288" s="31"/>
      <c r="DJ288" s="31"/>
      <c r="DK288" s="31"/>
      <c r="DL288" s="31"/>
      <c r="DM288" s="31"/>
      <c r="DN288" s="31"/>
      <c r="DO288" s="31"/>
      <c r="DP288" s="31"/>
      <c r="DQ288" s="31"/>
      <c r="DR288" s="31"/>
      <c r="DS288" s="31"/>
      <c r="DT288" s="31"/>
      <c r="DU288" s="31"/>
      <c r="DV288" s="31"/>
      <c r="DW288" s="31"/>
      <c r="DX288" s="31"/>
      <c r="DY288" s="31"/>
      <c r="DZ288" s="31"/>
      <c r="EA288" s="31"/>
      <c r="EB288" s="31"/>
      <c r="EC288" s="31"/>
      <c r="ED288" s="31"/>
      <c r="EE288" s="31"/>
      <c r="EF288" s="31"/>
      <c r="EG288" s="31"/>
      <c r="EH288" s="31"/>
      <c r="EI288" s="31"/>
      <c r="EJ288" s="31"/>
      <c r="EK288" s="31"/>
      <c r="EL288" s="31"/>
      <c r="EM288" s="31"/>
      <c r="EN288" s="31"/>
      <c r="EO288" s="31"/>
      <c r="EP288" s="31"/>
      <c r="EQ288" s="31"/>
      <c r="ER288" s="31"/>
      <c r="ES288" s="31"/>
      <c r="ET288" s="31"/>
      <c r="EU288" s="31"/>
      <c r="EV288" s="31"/>
      <c r="EW288" s="31"/>
      <c r="EX288" s="31"/>
      <c r="EY288" s="31"/>
      <c r="EZ288" s="31"/>
      <c r="FA288" s="31"/>
      <c r="FB288" s="31"/>
      <c r="FC288" s="31"/>
      <c r="FD288" s="31"/>
      <c r="FE288" s="31"/>
      <c r="FF288" s="31"/>
      <c r="FG288" s="31"/>
      <c r="FH288" s="31"/>
      <c r="FI288" s="31"/>
      <c r="FJ288" s="31"/>
      <c r="FK288" s="31"/>
      <c r="FL288" s="31"/>
      <c r="FM288" s="31"/>
      <c r="FN288" s="31"/>
      <c r="FO288" s="31"/>
      <c r="FP288" s="31"/>
      <c r="FQ288" s="31"/>
      <c r="FR288" s="31"/>
      <c r="FS288" s="31"/>
      <c r="FT288" s="31"/>
      <c r="FU288" s="31"/>
      <c r="FV288" s="31"/>
      <c r="FW288" s="31"/>
      <c r="FX288" s="31"/>
      <c r="FY288" s="31"/>
      <c r="FZ288" s="31"/>
      <c r="GA288" s="31"/>
      <c r="GB288" s="31"/>
      <c r="GC288" s="31"/>
      <c r="GD288" s="31"/>
      <c r="GE288" s="31"/>
      <c r="GF288" s="31"/>
      <c r="GG288" s="31"/>
      <c r="GH288" s="31"/>
      <c r="GI288" s="31"/>
      <c r="GJ288" s="31"/>
      <c r="GK288" s="31"/>
      <c r="GL288" s="31"/>
      <c r="GM288" s="31"/>
      <c r="GN288" s="31"/>
      <c r="GO288" s="31"/>
      <c r="GP288" s="31"/>
      <c r="GQ288" s="31"/>
      <c r="GR288" s="31"/>
      <c r="GS288" s="31"/>
      <c r="GT288" s="31"/>
      <c r="GU288" s="31"/>
      <c r="GV288" s="31"/>
      <c r="GW288" s="31"/>
      <c r="GX288" s="31"/>
      <c r="GY288" s="31"/>
      <c r="GZ288" s="31"/>
      <c r="HA288" s="31"/>
      <c r="HB288" s="31"/>
      <c r="HC288" s="31"/>
      <c r="HD288" s="31"/>
      <c r="HE288" s="31"/>
      <c r="HF288" s="31"/>
      <c r="HG288" s="31"/>
      <c r="HH288" s="31"/>
      <c r="HI288" s="31"/>
      <c r="HJ288" s="31"/>
      <c r="HK288" s="31"/>
      <c r="HL288" s="31"/>
      <c r="HM288" s="31"/>
      <c r="HN288" s="31"/>
      <c r="HO288" s="31"/>
      <c r="HP288" s="31"/>
      <c r="HQ288" s="31"/>
      <c r="HR288" s="31"/>
      <c r="HS288" s="31"/>
      <c r="HT288" s="31"/>
      <c r="HU288" s="31"/>
      <c r="HV288" s="31"/>
      <c r="HW288" s="31"/>
      <c r="HX288" s="31"/>
      <c r="HY288" s="31"/>
      <c r="HZ288" s="31"/>
      <c r="IA288" s="31"/>
      <c r="IB288" s="31"/>
      <c r="IC288" s="31"/>
      <c r="ID288" s="31"/>
      <c r="IE288" s="31"/>
      <c r="IF288" s="31"/>
      <c r="IG288" s="31"/>
      <c r="IH288" s="31"/>
      <c r="II288" s="31"/>
      <c r="IJ288" s="31"/>
      <c r="IK288" s="31"/>
      <c r="IL288" s="31"/>
      <c r="IM288" s="31"/>
      <c r="IN288" s="31"/>
      <c r="IO288" s="31"/>
      <c r="IP288" s="31"/>
      <c r="IQ288" s="31"/>
      <c r="IR288" s="31"/>
      <c r="IS288" s="31"/>
      <c r="IT288" s="31"/>
      <c r="IU288" s="31"/>
      <c r="IV288" s="31"/>
      <c r="IW288" s="31"/>
      <c r="IX288" s="31"/>
      <c r="IY288" s="31"/>
      <c r="IZ288" s="31"/>
      <c r="JA288" s="31"/>
      <c r="JB288" s="31"/>
      <c r="JC288" s="31"/>
      <c r="JD288" s="31"/>
      <c r="JE288" s="31"/>
      <c r="JF288" s="31"/>
      <c r="JG288" s="31"/>
      <c r="JH288" s="31"/>
      <c r="JI288" s="31"/>
      <c r="JJ288" s="31"/>
      <c r="JK288" s="31"/>
      <c r="JL288" s="31"/>
      <c r="JM288" s="31"/>
      <c r="JN288" s="31"/>
      <c r="JO288" s="31"/>
      <c r="JP288" s="31"/>
      <c r="JQ288" s="31"/>
      <c r="JR288" s="31"/>
      <c r="JS288" s="31"/>
      <c r="JT288" s="31"/>
      <c r="JU288" s="31"/>
      <c r="JV288" s="31"/>
      <c r="JW288" s="31"/>
      <c r="JX288" s="31"/>
      <c r="JY288" s="31"/>
      <c r="JZ288" s="31"/>
      <c r="KA288" s="31"/>
      <c r="KB288" s="31"/>
      <c r="KC288" s="31"/>
      <c r="KD288" s="31"/>
      <c r="KE288" s="31"/>
      <c r="KF288" s="31"/>
      <c r="KG288" s="31"/>
      <c r="KH288" s="31"/>
      <c r="KI288" s="31"/>
      <c r="KJ288" s="31"/>
      <c r="KK288" s="31"/>
      <c r="KL288" s="31"/>
      <c r="KM288" s="31"/>
      <c r="KN288" s="31"/>
      <c r="KO288" s="31"/>
      <c r="KP288" s="31"/>
      <c r="KQ288" s="31"/>
      <c r="KR288" s="31"/>
      <c r="KS288" s="31"/>
      <c r="KT288" s="31"/>
      <c r="KU288" s="31"/>
      <c r="KV288" s="31"/>
      <c r="KW288" s="31"/>
      <c r="KX288" s="31"/>
      <c r="KY288" s="31"/>
      <c r="KZ288" s="31"/>
      <c r="LA288" s="31"/>
      <c r="LB288" s="31"/>
      <c r="LC288" s="31"/>
      <c r="LD288" s="31"/>
      <c r="LE288" s="31"/>
      <c r="LF288" s="31"/>
      <c r="LG288" s="31"/>
      <c r="LH288" s="31"/>
      <c r="LI288" s="31"/>
      <c r="LJ288" s="31"/>
      <c r="LK288" s="31"/>
      <c r="LL288" s="31"/>
      <c r="LM288" s="31"/>
      <c r="LN288" s="31"/>
      <c r="LO288" s="31"/>
      <c r="LP288" s="31"/>
      <c r="LQ288" s="31"/>
      <c r="LR288" s="31"/>
      <c r="LS288" s="31"/>
      <c r="LT288" s="31"/>
      <c r="LU288" s="31"/>
      <c r="LV288" s="31"/>
      <c r="LW288" s="31"/>
      <c r="LX288" s="31"/>
      <c r="LY288" s="31"/>
      <c r="LZ288" s="31"/>
      <c r="MA288" s="31"/>
      <c r="MB288" s="31"/>
      <c r="MC288" s="31"/>
      <c r="MD288" s="31"/>
      <c r="ME288" s="31"/>
      <c r="MF288" s="31"/>
      <c r="MG288" s="31"/>
      <c r="MH288" s="31"/>
      <c r="MI288" s="31"/>
      <c r="MJ288" s="31"/>
      <c r="MK288" s="31"/>
      <c r="ML288" s="31"/>
      <c r="MM288" s="31"/>
      <c r="MN288" s="31"/>
      <c r="MO288" s="31"/>
      <c r="MP288" s="31"/>
      <c r="MQ288" s="31"/>
      <c r="MR288" s="31"/>
      <c r="MS288" s="31"/>
      <c r="MT288" s="31"/>
      <c r="MU288" s="31"/>
      <c r="MV288" s="31"/>
      <c r="MW288" s="31"/>
      <c r="MX288" s="31"/>
      <c r="MY288" s="31"/>
      <c r="MZ288" s="31"/>
      <c r="NA288" s="31"/>
      <c r="NB288" s="31"/>
      <c r="NC288" s="31"/>
      <c r="ND288" s="31"/>
      <c r="NE288" s="31"/>
      <c r="NF288" s="31"/>
      <c r="NG288" s="31"/>
      <c r="NH288" s="31"/>
      <c r="NI288" s="31"/>
      <c r="NJ288" s="31"/>
      <c r="NK288" s="31"/>
      <c r="NL288" s="31"/>
      <c r="NM288" s="31"/>
      <c r="NN288" s="31"/>
      <c r="NO288" s="31"/>
      <c r="NP288" s="31"/>
      <c r="NQ288" s="31"/>
      <c r="NR288" s="31"/>
      <c r="NS288" s="31"/>
      <c r="NT288" s="31"/>
      <c r="NU288" s="31"/>
      <c r="NV288" s="31"/>
      <c r="NW288" s="31"/>
      <c r="NX288" s="31"/>
      <c r="NY288" s="31"/>
      <c r="NZ288" s="31"/>
      <c r="OA288" s="31"/>
      <c r="OB288" s="31"/>
      <c r="OC288" s="31"/>
      <c r="OD288" s="31"/>
      <c r="OE288" s="31"/>
      <c r="OF288" s="31"/>
      <c r="OG288" s="31"/>
      <c r="OH288" s="31"/>
      <c r="OI288" s="31"/>
      <c r="OJ288" s="31"/>
      <c r="OK288" s="31"/>
      <c r="OL288" s="31"/>
      <c r="OM288" s="31"/>
      <c r="ON288" s="31"/>
      <c r="OO288" s="31"/>
      <c r="OP288" s="31"/>
      <c r="OQ288" s="31"/>
      <c r="OR288" s="31"/>
      <c r="OS288" s="31"/>
      <c r="OT288" s="31"/>
      <c r="OU288" s="31"/>
      <c r="OV288" s="31"/>
      <c r="OW288" s="31"/>
      <c r="OX288" s="31"/>
      <c r="OY288" s="31"/>
      <c r="OZ288" s="31"/>
      <c r="PA288" s="31"/>
      <c r="PB288" s="31"/>
      <c r="PC288" s="31"/>
      <c r="PD288" s="31"/>
      <c r="PE288" s="31"/>
      <c r="PF288" s="31"/>
      <c r="PG288" s="31"/>
      <c r="PH288" s="31"/>
      <c r="PI288" s="31"/>
      <c r="PJ288" s="31"/>
      <c r="PK288" s="31"/>
      <c r="PL288" s="31"/>
      <c r="PM288" s="31"/>
      <c r="PN288" s="31"/>
      <c r="PO288" s="31"/>
      <c r="PP288" s="31"/>
      <c r="PQ288" s="31"/>
      <c r="PR288" s="31"/>
      <c r="PS288" s="31"/>
      <c r="PT288" s="31"/>
      <c r="PU288" s="31"/>
      <c r="PV288" s="31"/>
      <c r="PW288" s="31"/>
      <c r="PX288" s="31"/>
      <c r="PY288" s="31"/>
      <c r="PZ288" s="31"/>
      <c r="QA288" s="31"/>
      <c r="QB288" s="31"/>
      <c r="QC288" s="31"/>
      <c r="QD288" s="31"/>
      <c r="QE288" s="31"/>
      <c r="QF288" s="31"/>
      <c r="QG288" s="31"/>
      <c r="QH288" s="31"/>
      <c r="QI288" s="31"/>
      <c r="QJ288" s="31"/>
      <c r="QK288" s="31"/>
      <c r="QL288" s="31"/>
      <c r="QM288" s="31"/>
      <c r="QN288" s="31"/>
      <c r="QO288" s="31"/>
      <c r="QP288" s="31"/>
      <c r="QQ288" s="31"/>
      <c r="QR288" s="31"/>
      <c r="QS288" s="31"/>
      <c r="QT288" s="31"/>
      <c r="QU288" s="31"/>
      <c r="QV288" s="31"/>
      <c r="QW288" s="31"/>
      <c r="QX288" s="31"/>
      <c r="QY288" s="31"/>
      <c r="QZ288" s="31"/>
      <c r="RA288" s="31"/>
      <c r="RB288" s="31"/>
      <c r="RC288" s="31"/>
      <c r="RD288" s="31"/>
      <c r="RE288" s="31"/>
      <c r="RF288" s="31"/>
      <c r="RG288" s="31"/>
      <c r="RH288" s="31"/>
      <c r="RI288" s="31"/>
      <c r="RJ288" s="31"/>
      <c r="RK288" s="31"/>
      <c r="RL288" s="31"/>
      <c r="RM288" s="31"/>
      <c r="RN288" s="31"/>
      <c r="RO288" s="31"/>
      <c r="RP288" s="31"/>
      <c r="RQ288" s="31"/>
      <c r="RR288" s="31"/>
      <c r="RS288" s="31"/>
      <c r="RT288" s="31"/>
      <c r="RU288" s="31"/>
      <c r="RV288" s="31"/>
      <c r="RW288" s="31"/>
      <c r="RX288" s="31"/>
      <c r="RY288" s="31"/>
      <c r="RZ288" s="31"/>
      <c r="SA288" s="31"/>
      <c r="SB288" s="31"/>
      <c r="SC288" s="31"/>
      <c r="SD288" s="31"/>
      <c r="SE288" s="31"/>
      <c r="SF288" s="31"/>
      <c r="SG288" s="31"/>
      <c r="SH288" s="31"/>
      <c r="SI288" s="31"/>
      <c r="SJ288" s="31"/>
      <c r="SK288" s="31"/>
      <c r="SL288" s="31"/>
      <c r="SM288" s="31"/>
      <c r="SN288" s="31"/>
      <c r="SO288" s="31"/>
      <c r="SP288" s="31"/>
      <c r="SQ288" s="31"/>
      <c r="SR288" s="31"/>
      <c r="SS288" s="31"/>
      <c r="ST288" s="31"/>
      <c r="SU288" s="31"/>
      <c r="SV288" s="31"/>
      <c r="SW288" s="31"/>
      <c r="SX288" s="31"/>
      <c r="SY288" s="31"/>
      <c r="SZ288" s="31"/>
      <c r="TA288" s="31"/>
      <c r="TB288" s="31"/>
      <c r="TC288" s="31"/>
      <c r="TD288" s="31"/>
      <c r="TE288" s="31"/>
      <c r="TF288" s="31"/>
      <c r="TG288" s="31"/>
      <c r="TH288" s="31"/>
      <c r="TI288" s="31"/>
      <c r="TJ288" s="31"/>
      <c r="TK288" s="31"/>
      <c r="TL288" s="31"/>
      <c r="TM288" s="31"/>
      <c r="TN288" s="31"/>
      <c r="TO288" s="31"/>
      <c r="TP288" s="31"/>
      <c r="TQ288" s="31"/>
      <c r="TR288" s="31"/>
      <c r="TS288" s="31"/>
      <c r="TT288" s="31"/>
      <c r="TU288" s="31"/>
      <c r="TV288" s="31"/>
      <c r="TW288" s="31"/>
      <c r="TX288" s="31"/>
      <c r="TY288" s="31"/>
      <c r="TZ288" s="31"/>
      <c r="UA288" s="31"/>
      <c r="UB288" s="31"/>
      <c r="UC288" s="31"/>
      <c r="UD288" s="31"/>
      <c r="UE288" s="31"/>
      <c r="UF288" s="31"/>
      <c r="UG288" s="33"/>
    </row>
    <row r="289" spans="1:553" ht="45" customHeight="1">
      <c r="A289" s="356" t="s">
        <v>15</v>
      </c>
      <c r="B289" s="356"/>
      <c r="C289" s="384" t="s">
        <v>69</v>
      </c>
      <c r="D289" s="376" t="s">
        <v>20</v>
      </c>
      <c r="E289" s="376" t="s">
        <v>228</v>
      </c>
      <c r="F289" s="385"/>
      <c r="G289" s="386" t="s">
        <v>935</v>
      </c>
      <c r="H289" s="370"/>
      <c r="I289" s="490">
        <v>43.4</v>
      </c>
      <c r="J289" s="368">
        <v>62000</v>
      </c>
      <c r="K289" s="850">
        <v>2.5</v>
      </c>
      <c r="L289" s="366">
        <f t="shared" si="56"/>
        <v>6727000</v>
      </c>
      <c r="M289" s="366"/>
      <c r="N289" s="366"/>
      <c r="O289" s="366"/>
      <c r="P289" s="366"/>
      <c r="Q289" s="1135"/>
      <c r="R289" s="1447"/>
      <c r="S289" s="308"/>
      <c r="T289" s="303"/>
      <c r="U289" s="306"/>
      <c r="V289" s="307"/>
      <c r="W289" s="306"/>
      <c r="X289" s="306"/>
      <c r="Y289" s="306"/>
      <c r="Z289" s="306"/>
      <c r="AA289" s="306"/>
      <c r="AB289" s="306"/>
      <c r="AC289" s="449"/>
      <c r="AD289" s="452"/>
      <c r="AE289" s="452"/>
      <c r="AF289" s="452"/>
      <c r="AG289" s="452"/>
      <c r="AH289" s="452"/>
      <c r="AI289" s="452"/>
      <c r="AJ289" s="452"/>
      <c r="AK289" s="452"/>
      <c r="AL289" s="106"/>
      <c r="AM289" s="31"/>
      <c r="AN289" s="31"/>
      <c r="AO289" s="31"/>
      <c r="AP289" s="31"/>
      <c r="AQ289" s="31"/>
      <c r="AR289" s="31"/>
      <c r="AS289" s="31"/>
      <c r="AT289" s="31"/>
      <c r="AU289" s="31"/>
      <c r="AV289" s="31"/>
      <c r="AW289" s="31"/>
      <c r="AX289" s="31"/>
      <c r="AY289" s="31"/>
      <c r="AZ289" s="31"/>
      <c r="BA289" s="31"/>
      <c r="BB289" s="31"/>
      <c r="BC289" s="31"/>
      <c r="BD289" s="31"/>
      <c r="BE289" s="31"/>
      <c r="BF289" s="31"/>
      <c r="BG289" s="31"/>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c r="CH289" s="31"/>
      <c r="CI289" s="31"/>
      <c r="CJ289" s="31"/>
      <c r="CK289" s="31"/>
      <c r="CL289" s="31"/>
      <c r="CM289" s="31"/>
      <c r="CN289" s="31"/>
      <c r="CO289" s="31"/>
      <c r="CP289" s="31"/>
      <c r="CQ289" s="31"/>
      <c r="CR289" s="31"/>
      <c r="CS289" s="31"/>
      <c r="CT289" s="31"/>
      <c r="CU289" s="31"/>
      <c r="CV289" s="31"/>
      <c r="CW289" s="31"/>
      <c r="CX289" s="31"/>
      <c r="CY289" s="31"/>
      <c r="CZ289" s="31"/>
      <c r="DA289" s="31"/>
      <c r="DB289" s="31"/>
      <c r="DC289" s="31"/>
      <c r="DD289" s="31"/>
      <c r="DE289" s="31"/>
      <c r="DF289" s="31"/>
      <c r="DG289" s="31"/>
      <c r="DH289" s="31"/>
      <c r="DI289" s="31"/>
      <c r="DJ289" s="31"/>
      <c r="DK289" s="31"/>
      <c r="DL289" s="31"/>
      <c r="DM289" s="31"/>
      <c r="DN289" s="31"/>
      <c r="DO289" s="31"/>
      <c r="DP289" s="31"/>
      <c r="DQ289" s="31"/>
      <c r="DR289" s="31"/>
      <c r="DS289" s="31"/>
      <c r="DT289" s="31"/>
      <c r="DU289" s="31"/>
      <c r="DV289" s="31"/>
      <c r="DW289" s="31"/>
      <c r="DX289" s="31"/>
      <c r="DY289" s="31"/>
      <c r="DZ289" s="31"/>
      <c r="EA289" s="31"/>
      <c r="EB289" s="31"/>
      <c r="EC289" s="31"/>
      <c r="ED289" s="31"/>
      <c r="EE289" s="31"/>
      <c r="EF289" s="31"/>
      <c r="EG289" s="31"/>
      <c r="EH289" s="31"/>
      <c r="EI289" s="31"/>
      <c r="EJ289" s="31"/>
      <c r="EK289" s="31"/>
      <c r="EL289" s="31"/>
      <c r="EM289" s="31"/>
      <c r="EN289" s="31"/>
      <c r="EO289" s="31"/>
      <c r="EP289" s="31"/>
      <c r="EQ289" s="31"/>
      <c r="ER289" s="31"/>
      <c r="ES289" s="31"/>
      <c r="ET289" s="31"/>
      <c r="EU289" s="31"/>
      <c r="EV289" s="31"/>
      <c r="EW289" s="31"/>
      <c r="EX289" s="31"/>
      <c r="EY289" s="31"/>
      <c r="EZ289" s="31"/>
      <c r="FA289" s="31"/>
      <c r="FB289" s="31"/>
      <c r="FC289" s="31"/>
      <c r="FD289" s="31"/>
      <c r="FE289" s="31"/>
      <c r="FF289" s="31"/>
      <c r="FG289" s="31"/>
      <c r="FH289" s="31"/>
      <c r="FI289" s="31"/>
      <c r="FJ289" s="31"/>
      <c r="FK289" s="31"/>
      <c r="FL289" s="31"/>
      <c r="FM289" s="31"/>
      <c r="FN289" s="31"/>
      <c r="FO289" s="31"/>
      <c r="FP289" s="31"/>
      <c r="FQ289" s="31"/>
      <c r="FR289" s="31"/>
      <c r="FS289" s="31"/>
      <c r="FT289" s="31"/>
      <c r="FU289" s="31"/>
      <c r="FV289" s="31"/>
      <c r="FW289" s="31"/>
      <c r="FX289" s="31"/>
      <c r="FY289" s="31"/>
      <c r="FZ289" s="31"/>
      <c r="GA289" s="31"/>
      <c r="GB289" s="31"/>
      <c r="GC289" s="31"/>
      <c r="GD289" s="31"/>
      <c r="GE289" s="31"/>
      <c r="GF289" s="31"/>
      <c r="GG289" s="31"/>
      <c r="GH289" s="31"/>
      <c r="GI289" s="31"/>
      <c r="GJ289" s="31"/>
      <c r="GK289" s="31"/>
      <c r="GL289" s="31"/>
      <c r="GM289" s="31"/>
      <c r="GN289" s="31"/>
      <c r="GO289" s="31"/>
      <c r="GP289" s="31"/>
      <c r="GQ289" s="31"/>
      <c r="GR289" s="31"/>
      <c r="GS289" s="31"/>
      <c r="GT289" s="31"/>
      <c r="GU289" s="31"/>
      <c r="GV289" s="31"/>
      <c r="GW289" s="31"/>
      <c r="GX289" s="31"/>
      <c r="GY289" s="31"/>
      <c r="GZ289" s="31"/>
      <c r="HA289" s="31"/>
      <c r="HB289" s="31"/>
      <c r="HC289" s="31"/>
      <c r="HD289" s="31"/>
      <c r="HE289" s="31"/>
      <c r="HF289" s="31"/>
      <c r="HG289" s="31"/>
      <c r="HH289" s="31"/>
      <c r="HI289" s="31"/>
      <c r="HJ289" s="31"/>
      <c r="HK289" s="31"/>
      <c r="HL289" s="31"/>
      <c r="HM289" s="31"/>
      <c r="HN289" s="31"/>
      <c r="HO289" s="31"/>
      <c r="HP289" s="31"/>
      <c r="HQ289" s="31"/>
      <c r="HR289" s="31"/>
      <c r="HS289" s="31"/>
      <c r="HT289" s="31"/>
      <c r="HU289" s="31"/>
      <c r="HV289" s="31"/>
      <c r="HW289" s="31"/>
      <c r="HX289" s="31"/>
      <c r="HY289" s="31"/>
      <c r="HZ289" s="31"/>
      <c r="IA289" s="31"/>
      <c r="IB289" s="31"/>
      <c r="IC289" s="31"/>
      <c r="ID289" s="31"/>
      <c r="IE289" s="31"/>
      <c r="IF289" s="31"/>
      <c r="IG289" s="31"/>
      <c r="IH289" s="31"/>
      <c r="II289" s="31"/>
      <c r="IJ289" s="31"/>
      <c r="IK289" s="31"/>
      <c r="IL289" s="31"/>
      <c r="IM289" s="31"/>
      <c r="IN289" s="31"/>
      <c r="IO289" s="31"/>
      <c r="IP289" s="31"/>
      <c r="IQ289" s="31"/>
      <c r="IR289" s="31"/>
      <c r="IS289" s="31"/>
      <c r="IT289" s="31"/>
      <c r="IU289" s="31"/>
      <c r="IV289" s="31"/>
      <c r="IW289" s="31"/>
      <c r="IX289" s="31"/>
      <c r="IY289" s="31"/>
      <c r="IZ289" s="31"/>
      <c r="JA289" s="31"/>
      <c r="JB289" s="31"/>
      <c r="JC289" s="31"/>
      <c r="JD289" s="31"/>
      <c r="JE289" s="31"/>
      <c r="JF289" s="31"/>
      <c r="JG289" s="31"/>
      <c r="JH289" s="31"/>
      <c r="JI289" s="31"/>
      <c r="JJ289" s="31"/>
      <c r="JK289" s="31"/>
      <c r="JL289" s="31"/>
      <c r="JM289" s="31"/>
      <c r="JN289" s="31"/>
      <c r="JO289" s="31"/>
      <c r="JP289" s="31"/>
      <c r="JQ289" s="31"/>
      <c r="JR289" s="31"/>
      <c r="JS289" s="31"/>
      <c r="JT289" s="31"/>
      <c r="JU289" s="31"/>
      <c r="JV289" s="31"/>
      <c r="JW289" s="31"/>
      <c r="JX289" s="31"/>
      <c r="JY289" s="31"/>
      <c r="JZ289" s="31"/>
      <c r="KA289" s="31"/>
      <c r="KB289" s="31"/>
      <c r="KC289" s="31"/>
      <c r="KD289" s="31"/>
      <c r="KE289" s="31"/>
      <c r="KF289" s="31"/>
      <c r="KG289" s="31"/>
      <c r="KH289" s="31"/>
      <c r="KI289" s="31"/>
      <c r="KJ289" s="31"/>
      <c r="KK289" s="31"/>
      <c r="KL289" s="31"/>
      <c r="KM289" s="31"/>
      <c r="KN289" s="31"/>
      <c r="KO289" s="31"/>
      <c r="KP289" s="31"/>
      <c r="KQ289" s="31"/>
      <c r="KR289" s="31"/>
      <c r="KS289" s="31"/>
      <c r="KT289" s="31"/>
      <c r="KU289" s="31"/>
      <c r="KV289" s="31"/>
      <c r="KW289" s="31"/>
      <c r="KX289" s="31"/>
      <c r="KY289" s="31"/>
      <c r="KZ289" s="31"/>
      <c r="LA289" s="31"/>
      <c r="LB289" s="31"/>
      <c r="LC289" s="31"/>
      <c r="LD289" s="31"/>
      <c r="LE289" s="31"/>
      <c r="LF289" s="31"/>
      <c r="LG289" s="31"/>
      <c r="LH289" s="31"/>
      <c r="LI289" s="31"/>
      <c r="LJ289" s="31"/>
      <c r="LK289" s="31"/>
      <c r="LL289" s="31"/>
      <c r="LM289" s="31"/>
      <c r="LN289" s="31"/>
      <c r="LO289" s="31"/>
      <c r="LP289" s="31"/>
      <c r="LQ289" s="31"/>
      <c r="LR289" s="31"/>
      <c r="LS289" s="31"/>
      <c r="LT289" s="31"/>
      <c r="LU289" s="31"/>
      <c r="LV289" s="31"/>
      <c r="LW289" s="31"/>
      <c r="LX289" s="31"/>
      <c r="LY289" s="31"/>
      <c r="LZ289" s="31"/>
      <c r="MA289" s="31"/>
      <c r="MB289" s="31"/>
      <c r="MC289" s="31"/>
      <c r="MD289" s="31"/>
      <c r="ME289" s="31"/>
      <c r="MF289" s="31"/>
      <c r="MG289" s="31"/>
      <c r="MH289" s="31"/>
      <c r="MI289" s="31"/>
      <c r="MJ289" s="31"/>
      <c r="MK289" s="31"/>
      <c r="ML289" s="31"/>
      <c r="MM289" s="31"/>
      <c r="MN289" s="31"/>
      <c r="MO289" s="31"/>
      <c r="MP289" s="31"/>
      <c r="MQ289" s="31"/>
      <c r="MR289" s="31"/>
      <c r="MS289" s="31"/>
      <c r="MT289" s="31"/>
      <c r="MU289" s="31"/>
      <c r="MV289" s="31"/>
      <c r="MW289" s="31"/>
      <c r="MX289" s="31"/>
      <c r="MY289" s="31"/>
      <c r="MZ289" s="31"/>
      <c r="NA289" s="31"/>
      <c r="NB289" s="31"/>
      <c r="NC289" s="31"/>
      <c r="ND289" s="31"/>
      <c r="NE289" s="31"/>
      <c r="NF289" s="31"/>
      <c r="NG289" s="31"/>
      <c r="NH289" s="31"/>
      <c r="NI289" s="31"/>
      <c r="NJ289" s="31"/>
      <c r="NK289" s="31"/>
      <c r="NL289" s="31"/>
      <c r="NM289" s="31"/>
      <c r="NN289" s="31"/>
      <c r="NO289" s="31"/>
      <c r="NP289" s="31"/>
      <c r="NQ289" s="31"/>
      <c r="NR289" s="31"/>
      <c r="NS289" s="31"/>
      <c r="NT289" s="31"/>
      <c r="NU289" s="31"/>
      <c r="NV289" s="31"/>
      <c r="NW289" s="31"/>
      <c r="NX289" s="31"/>
      <c r="NY289" s="31"/>
      <c r="NZ289" s="31"/>
      <c r="OA289" s="31"/>
      <c r="OB289" s="31"/>
      <c r="OC289" s="31"/>
      <c r="OD289" s="31"/>
      <c r="OE289" s="31"/>
      <c r="OF289" s="31"/>
      <c r="OG289" s="31"/>
      <c r="OH289" s="31"/>
      <c r="OI289" s="31"/>
      <c r="OJ289" s="31"/>
      <c r="OK289" s="31"/>
      <c r="OL289" s="31"/>
      <c r="OM289" s="31"/>
      <c r="ON289" s="31"/>
      <c r="OO289" s="31"/>
      <c r="OP289" s="31"/>
      <c r="OQ289" s="31"/>
      <c r="OR289" s="31"/>
      <c r="OS289" s="31"/>
      <c r="OT289" s="31"/>
      <c r="OU289" s="31"/>
      <c r="OV289" s="31"/>
      <c r="OW289" s="31"/>
      <c r="OX289" s="31"/>
      <c r="OY289" s="31"/>
      <c r="OZ289" s="31"/>
      <c r="PA289" s="31"/>
      <c r="PB289" s="31"/>
      <c r="PC289" s="31"/>
      <c r="PD289" s="31"/>
      <c r="PE289" s="31"/>
      <c r="PF289" s="31"/>
      <c r="PG289" s="31"/>
      <c r="PH289" s="31"/>
      <c r="PI289" s="31"/>
      <c r="PJ289" s="31"/>
      <c r="PK289" s="31"/>
      <c r="PL289" s="31"/>
      <c r="PM289" s="31"/>
      <c r="PN289" s="31"/>
      <c r="PO289" s="31"/>
      <c r="PP289" s="31"/>
      <c r="PQ289" s="31"/>
      <c r="PR289" s="31"/>
      <c r="PS289" s="31"/>
      <c r="PT289" s="31"/>
      <c r="PU289" s="31"/>
      <c r="PV289" s="31"/>
      <c r="PW289" s="31"/>
      <c r="PX289" s="31"/>
      <c r="PY289" s="31"/>
      <c r="PZ289" s="31"/>
      <c r="QA289" s="31"/>
      <c r="QB289" s="31"/>
      <c r="QC289" s="31"/>
      <c r="QD289" s="31"/>
      <c r="QE289" s="31"/>
      <c r="QF289" s="31"/>
      <c r="QG289" s="31"/>
      <c r="QH289" s="31"/>
      <c r="QI289" s="31"/>
      <c r="QJ289" s="31"/>
      <c r="QK289" s="31"/>
      <c r="QL289" s="31"/>
      <c r="QM289" s="31"/>
      <c r="QN289" s="31"/>
      <c r="QO289" s="31"/>
      <c r="QP289" s="31"/>
      <c r="QQ289" s="31"/>
      <c r="QR289" s="31"/>
      <c r="QS289" s="31"/>
      <c r="QT289" s="31"/>
      <c r="QU289" s="31"/>
      <c r="QV289" s="31"/>
      <c r="QW289" s="31"/>
      <c r="QX289" s="31"/>
      <c r="QY289" s="31"/>
      <c r="QZ289" s="31"/>
      <c r="RA289" s="31"/>
      <c r="RB289" s="31"/>
      <c r="RC289" s="31"/>
      <c r="RD289" s="31"/>
      <c r="RE289" s="31"/>
      <c r="RF289" s="31"/>
      <c r="RG289" s="31"/>
      <c r="RH289" s="31"/>
      <c r="RI289" s="31"/>
      <c r="RJ289" s="31"/>
      <c r="RK289" s="31"/>
      <c r="RL289" s="31"/>
      <c r="RM289" s="31"/>
      <c r="RN289" s="31"/>
      <c r="RO289" s="31"/>
      <c r="RP289" s="31"/>
      <c r="RQ289" s="31"/>
      <c r="RR289" s="31"/>
      <c r="RS289" s="31"/>
      <c r="RT289" s="31"/>
      <c r="RU289" s="31"/>
      <c r="RV289" s="31"/>
      <c r="RW289" s="31"/>
      <c r="RX289" s="31"/>
      <c r="RY289" s="31"/>
      <c r="RZ289" s="31"/>
      <c r="SA289" s="31"/>
      <c r="SB289" s="31"/>
      <c r="SC289" s="31"/>
      <c r="SD289" s="31"/>
      <c r="SE289" s="31"/>
      <c r="SF289" s="31"/>
      <c r="SG289" s="31"/>
      <c r="SH289" s="31"/>
      <c r="SI289" s="31"/>
      <c r="SJ289" s="31"/>
      <c r="SK289" s="31"/>
      <c r="SL289" s="31"/>
      <c r="SM289" s="31"/>
      <c r="SN289" s="31"/>
      <c r="SO289" s="31"/>
      <c r="SP289" s="31"/>
      <c r="SQ289" s="31"/>
      <c r="SR289" s="31"/>
      <c r="SS289" s="31"/>
      <c r="ST289" s="31"/>
      <c r="SU289" s="31"/>
      <c r="SV289" s="31"/>
      <c r="SW289" s="31"/>
      <c r="SX289" s="31"/>
      <c r="SY289" s="31"/>
      <c r="SZ289" s="31"/>
      <c r="TA289" s="31"/>
      <c r="TB289" s="31"/>
      <c r="TC289" s="31"/>
      <c r="TD289" s="31"/>
      <c r="TE289" s="31"/>
      <c r="TF289" s="31"/>
      <c r="TG289" s="31"/>
      <c r="TH289" s="31"/>
      <c r="TI289" s="31"/>
      <c r="TJ289" s="31"/>
      <c r="TK289" s="31"/>
      <c r="TL289" s="31"/>
      <c r="TM289" s="31"/>
      <c r="TN289" s="31"/>
      <c r="TO289" s="31"/>
      <c r="TP289" s="31"/>
      <c r="TQ289" s="31"/>
      <c r="TR289" s="31"/>
      <c r="TS289" s="31"/>
      <c r="TT289" s="31"/>
      <c r="TU289" s="31"/>
      <c r="TV289" s="31"/>
      <c r="TW289" s="31"/>
      <c r="TX289" s="31"/>
      <c r="TY289" s="31"/>
      <c r="TZ289" s="31"/>
      <c r="UA289" s="31"/>
      <c r="UB289" s="31"/>
      <c r="UC289" s="31"/>
      <c r="UD289" s="31"/>
      <c r="UE289" s="31"/>
      <c r="UF289" s="31"/>
      <c r="UG289" s="33"/>
    </row>
    <row r="290" spans="1:553" ht="30" customHeight="1">
      <c r="A290" s="356" t="s">
        <v>15</v>
      </c>
      <c r="B290" s="356"/>
      <c r="C290" s="384" t="s">
        <v>69</v>
      </c>
      <c r="D290" s="376" t="s">
        <v>20</v>
      </c>
      <c r="E290" s="376" t="s">
        <v>229</v>
      </c>
      <c r="F290" s="385"/>
      <c r="G290" s="386" t="s">
        <v>935</v>
      </c>
      <c r="H290" s="370"/>
      <c r="I290" s="490">
        <v>25.5</v>
      </c>
      <c r="J290" s="368">
        <v>62000</v>
      </c>
      <c r="K290" s="850">
        <v>2.5</v>
      </c>
      <c r="L290" s="366">
        <f t="shared" si="56"/>
        <v>3952500</v>
      </c>
      <c r="M290" s="366"/>
      <c r="N290" s="366"/>
      <c r="O290" s="366"/>
      <c r="P290" s="366"/>
      <c r="Q290" s="1135"/>
      <c r="R290" s="1447"/>
      <c r="S290" s="308"/>
      <c r="T290" s="303"/>
      <c r="U290" s="306"/>
      <c r="V290" s="307"/>
      <c r="W290" s="306"/>
      <c r="X290" s="306"/>
      <c r="Y290" s="306"/>
      <c r="Z290" s="306"/>
      <c r="AA290" s="306"/>
      <c r="AB290" s="306"/>
      <c r="AC290" s="449"/>
      <c r="AD290" s="452"/>
      <c r="AE290" s="452"/>
      <c r="AF290" s="452"/>
      <c r="AG290" s="452"/>
      <c r="AH290" s="452"/>
      <c r="AI290" s="452"/>
      <c r="AJ290" s="452"/>
      <c r="AK290" s="452"/>
      <c r="AL290" s="106"/>
      <c r="AM290" s="31"/>
      <c r="AN290" s="31"/>
      <c r="AO290" s="31"/>
      <c r="AP290" s="31"/>
      <c r="AQ290" s="31"/>
      <c r="AR290" s="31"/>
      <c r="AS290" s="31"/>
      <c r="AT290" s="31"/>
      <c r="AU290" s="31"/>
      <c r="AV290" s="31"/>
      <c r="AW290" s="31"/>
      <c r="AX290" s="31"/>
      <c r="AY290" s="31"/>
      <c r="AZ290" s="31"/>
      <c r="BA290" s="31"/>
      <c r="BB290" s="31"/>
      <c r="BC290" s="31"/>
      <c r="BD290" s="31"/>
      <c r="BE290" s="31"/>
      <c r="BF290" s="31"/>
      <c r="BG290" s="31"/>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c r="CH290" s="31"/>
      <c r="CI290" s="31"/>
      <c r="CJ290" s="31"/>
      <c r="CK290" s="31"/>
      <c r="CL290" s="31"/>
      <c r="CM290" s="31"/>
      <c r="CN290" s="31"/>
      <c r="CO290" s="31"/>
      <c r="CP290" s="31"/>
      <c r="CQ290" s="31"/>
      <c r="CR290" s="31"/>
      <c r="CS290" s="31"/>
      <c r="CT290" s="31"/>
      <c r="CU290" s="31"/>
      <c r="CV290" s="31"/>
      <c r="CW290" s="31"/>
      <c r="CX290" s="31"/>
      <c r="CY290" s="31"/>
      <c r="CZ290" s="31"/>
      <c r="DA290" s="31"/>
      <c r="DB290" s="31"/>
      <c r="DC290" s="31"/>
      <c r="DD290" s="31"/>
      <c r="DE290" s="31"/>
      <c r="DF290" s="31"/>
      <c r="DG290" s="31"/>
      <c r="DH290" s="31"/>
      <c r="DI290" s="31"/>
      <c r="DJ290" s="31"/>
      <c r="DK290" s="31"/>
      <c r="DL290" s="31"/>
      <c r="DM290" s="31"/>
      <c r="DN290" s="31"/>
      <c r="DO290" s="31"/>
      <c r="DP290" s="31"/>
      <c r="DQ290" s="31"/>
      <c r="DR290" s="31"/>
      <c r="DS290" s="31"/>
      <c r="DT290" s="31"/>
      <c r="DU290" s="31"/>
      <c r="DV290" s="31"/>
      <c r="DW290" s="31"/>
      <c r="DX290" s="31"/>
      <c r="DY290" s="31"/>
      <c r="DZ290" s="31"/>
      <c r="EA290" s="31"/>
      <c r="EB290" s="31"/>
      <c r="EC290" s="31"/>
      <c r="ED290" s="31"/>
      <c r="EE290" s="31"/>
      <c r="EF290" s="31"/>
      <c r="EG290" s="31"/>
      <c r="EH290" s="31"/>
      <c r="EI290" s="31"/>
      <c r="EJ290" s="31"/>
      <c r="EK290" s="31"/>
      <c r="EL290" s="31"/>
      <c r="EM290" s="31"/>
      <c r="EN290" s="31"/>
      <c r="EO290" s="31"/>
      <c r="EP290" s="31"/>
      <c r="EQ290" s="31"/>
      <c r="ER290" s="31"/>
      <c r="ES290" s="31"/>
      <c r="ET290" s="31"/>
      <c r="EU290" s="31"/>
      <c r="EV290" s="31"/>
      <c r="EW290" s="31"/>
      <c r="EX290" s="31"/>
      <c r="EY290" s="31"/>
      <c r="EZ290" s="31"/>
      <c r="FA290" s="31"/>
      <c r="FB290" s="31"/>
      <c r="FC290" s="31"/>
      <c r="FD290" s="31"/>
      <c r="FE290" s="31"/>
      <c r="FF290" s="31"/>
      <c r="FG290" s="31"/>
      <c r="FH290" s="31"/>
      <c r="FI290" s="31"/>
      <c r="FJ290" s="31"/>
      <c r="FK290" s="31"/>
      <c r="FL290" s="31"/>
      <c r="FM290" s="31"/>
      <c r="FN290" s="31"/>
      <c r="FO290" s="31"/>
      <c r="FP290" s="31"/>
      <c r="FQ290" s="31"/>
      <c r="FR290" s="31"/>
      <c r="FS290" s="31"/>
      <c r="FT290" s="31"/>
      <c r="FU290" s="31"/>
      <c r="FV290" s="31"/>
      <c r="FW290" s="31"/>
      <c r="FX290" s="31"/>
      <c r="FY290" s="31"/>
      <c r="FZ290" s="31"/>
      <c r="GA290" s="31"/>
      <c r="GB290" s="31"/>
      <c r="GC290" s="31"/>
      <c r="GD290" s="31"/>
      <c r="GE290" s="31"/>
      <c r="GF290" s="31"/>
      <c r="GG290" s="31"/>
      <c r="GH290" s="31"/>
      <c r="GI290" s="31"/>
      <c r="GJ290" s="31"/>
      <c r="GK290" s="31"/>
      <c r="GL290" s="31"/>
      <c r="GM290" s="31"/>
      <c r="GN290" s="31"/>
      <c r="GO290" s="31"/>
      <c r="GP290" s="31"/>
      <c r="GQ290" s="31"/>
      <c r="GR290" s="31"/>
      <c r="GS290" s="31"/>
      <c r="GT290" s="31"/>
      <c r="GU290" s="31"/>
      <c r="GV290" s="31"/>
      <c r="GW290" s="31"/>
      <c r="GX290" s="31"/>
      <c r="GY290" s="31"/>
      <c r="GZ290" s="31"/>
      <c r="HA290" s="31"/>
      <c r="HB290" s="31"/>
      <c r="HC290" s="31"/>
      <c r="HD290" s="31"/>
      <c r="HE290" s="31"/>
      <c r="HF290" s="31"/>
      <c r="HG290" s="31"/>
      <c r="HH290" s="31"/>
      <c r="HI290" s="31"/>
      <c r="HJ290" s="31"/>
      <c r="HK290" s="31"/>
      <c r="HL290" s="31"/>
      <c r="HM290" s="31"/>
      <c r="HN290" s="31"/>
      <c r="HO290" s="31"/>
      <c r="HP290" s="31"/>
      <c r="HQ290" s="31"/>
      <c r="HR290" s="31"/>
      <c r="HS290" s="31"/>
      <c r="HT290" s="31"/>
      <c r="HU290" s="31"/>
      <c r="HV290" s="31"/>
      <c r="HW290" s="31"/>
      <c r="HX290" s="31"/>
      <c r="HY290" s="31"/>
      <c r="HZ290" s="31"/>
      <c r="IA290" s="31"/>
      <c r="IB290" s="31"/>
      <c r="IC290" s="31"/>
      <c r="ID290" s="31"/>
      <c r="IE290" s="31"/>
      <c r="IF290" s="31"/>
      <c r="IG290" s="31"/>
      <c r="IH290" s="31"/>
      <c r="II290" s="31"/>
      <c r="IJ290" s="31"/>
      <c r="IK290" s="31"/>
      <c r="IL290" s="31"/>
      <c r="IM290" s="31"/>
      <c r="IN290" s="31"/>
      <c r="IO290" s="31"/>
      <c r="IP290" s="31"/>
      <c r="IQ290" s="31"/>
      <c r="IR290" s="31"/>
      <c r="IS290" s="31"/>
      <c r="IT290" s="31"/>
      <c r="IU290" s="31"/>
      <c r="IV290" s="31"/>
      <c r="IW290" s="31"/>
      <c r="IX290" s="31"/>
      <c r="IY290" s="31"/>
      <c r="IZ290" s="31"/>
      <c r="JA290" s="31"/>
      <c r="JB290" s="31"/>
      <c r="JC290" s="31"/>
      <c r="JD290" s="31"/>
      <c r="JE290" s="31"/>
      <c r="JF290" s="31"/>
      <c r="JG290" s="31"/>
      <c r="JH290" s="31"/>
      <c r="JI290" s="31"/>
      <c r="JJ290" s="31"/>
      <c r="JK290" s="31"/>
      <c r="JL290" s="31"/>
      <c r="JM290" s="31"/>
      <c r="JN290" s="31"/>
      <c r="JO290" s="31"/>
      <c r="JP290" s="31"/>
      <c r="JQ290" s="31"/>
      <c r="JR290" s="31"/>
      <c r="JS290" s="31"/>
      <c r="JT290" s="31"/>
      <c r="JU290" s="31"/>
      <c r="JV290" s="31"/>
      <c r="JW290" s="31"/>
      <c r="JX290" s="31"/>
      <c r="JY290" s="31"/>
      <c r="JZ290" s="31"/>
      <c r="KA290" s="31"/>
      <c r="KB290" s="31"/>
      <c r="KC290" s="31"/>
      <c r="KD290" s="31"/>
      <c r="KE290" s="31"/>
      <c r="KF290" s="31"/>
      <c r="KG290" s="31"/>
      <c r="KH290" s="31"/>
      <c r="KI290" s="31"/>
      <c r="KJ290" s="31"/>
      <c r="KK290" s="31"/>
      <c r="KL290" s="31"/>
      <c r="KM290" s="31"/>
      <c r="KN290" s="31"/>
      <c r="KO290" s="31"/>
      <c r="KP290" s="31"/>
      <c r="KQ290" s="31"/>
      <c r="KR290" s="31"/>
      <c r="KS290" s="31"/>
      <c r="KT290" s="31"/>
      <c r="KU290" s="31"/>
      <c r="KV290" s="31"/>
      <c r="KW290" s="31"/>
      <c r="KX290" s="31"/>
      <c r="KY290" s="31"/>
      <c r="KZ290" s="31"/>
      <c r="LA290" s="31"/>
      <c r="LB290" s="31"/>
      <c r="LC290" s="31"/>
      <c r="LD290" s="31"/>
      <c r="LE290" s="31"/>
      <c r="LF290" s="31"/>
      <c r="LG290" s="31"/>
      <c r="LH290" s="31"/>
      <c r="LI290" s="31"/>
      <c r="LJ290" s="31"/>
      <c r="LK290" s="31"/>
      <c r="LL290" s="31"/>
      <c r="LM290" s="31"/>
      <c r="LN290" s="31"/>
      <c r="LO290" s="31"/>
      <c r="LP290" s="31"/>
      <c r="LQ290" s="31"/>
      <c r="LR290" s="31"/>
      <c r="LS290" s="31"/>
      <c r="LT290" s="31"/>
      <c r="LU290" s="31"/>
      <c r="LV290" s="31"/>
      <c r="LW290" s="31"/>
      <c r="LX290" s="31"/>
      <c r="LY290" s="31"/>
      <c r="LZ290" s="31"/>
      <c r="MA290" s="31"/>
      <c r="MB290" s="31"/>
      <c r="MC290" s="31"/>
      <c r="MD290" s="31"/>
      <c r="ME290" s="31"/>
      <c r="MF290" s="31"/>
      <c r="MG290" s="31"/>
      <c r="MH290" s="31"/>
      <c r="MI290" s="31"/>
      <c r="MJ290" s="31"/>
      <c r="MK290" s="31"/>
      <c r="ML290" s="31"/>
      <c r="MM290" s="31"/>
      <c r="MN290" s="31"/>
      <c r="MO290" s="31"/>
      <c r="MP290" s="31"/>
      <c r="MQ290" s="31"/>
      <c r="MR290" s="31"/>
      <c r="MS290" s="31"/>
      <c r="MT290" s="31"/>
      <c r="MU290" s="31"/>
      <c r="MV290" s="31"/>
      <c r="MW290" s="31"/>
      <c r="MX290" s="31"/>
      <c r="MY290" s="31"/>
      <c r="MZ290" s="31"/>
      <c r="NA290" s="31"/>
      <c r="NB290" s="31"/>
      <c r="NC290" s="31"/>
      <c r="ND290" s="31"/>
      <c r="NE290" s="31"/>
      <c r="NF290" s="31"/>
      <c r="NG290" s="31"/>
      <c r="NH290" s="31"/>
      <c r="NI290" s="31"/>
      <c r="NJ290" s="31"/>
      <c r="NK290" s="31"/>
      <c r="NL290" s="31"/>
      <c r="NM290" s="31"/>
      <c r="NN290" s="31"/>
      <c r="NO290" s="31"/>
      <c r="NP290" s="31"/>
      <c r="NQ290" s="31"/>
      <c r="NR290" s="31"/>
      <c r="NS290" s="31"/>
      <c r="NT290" s="31"/>
      <c r="NU290" s="31"/>
      <c r="NV290" s="31"/>
      <c r="NW290" s="31"/>
      <c r="NX290" s="31"/>
      <c r="NY290" s="31"/>
      <c r="NZ290" s="31"/>
      <c r="OA290" s="31"/>
      <c r="OB290" s="31"/>
      <c r="OC290" s="31"/>
      <c r="OD290" s="31"/>
      <c r="OE290" s="31"/>
      <c r="OF290" s="31"/>
      <c r="OG290" s="31"/>
      <c r="OH290" s="31"/>
      <c r="OI290" s="31"/>
      <c r="OJ290" s="31"/>
      <c r="OK290" s="31"/>
      <c r="OL290" s="31"/>
      <c r="OM290" s="31"/>
      <c r="ON290" s="31"/>
      <c r="OO290" s="31"/>
      <c r="OP290" s="31"/>
      <c r="OQ290" s="31"/>
      <c r="OR290" s="31"/>
      <c r="OS290" s="31"/>
      <c r="OT290" s="31"/>
      <c r="OU290" s="31"/>
      <c r="OV290" s="31"/>
      <c r="OW290" s="31"/>
      <c r="OX290" s="31"/>
      <c r="OY290" s="31"/>
      <c r="OZ290" s="31"/>
      <c r="PA290" s="31"/>
      <c r="PB290" s="31"/>
      <c r="PC290" s="31"/>
      <c r="PD290" s="31"/>
      <c r="PE290" s="31"/>
      <c r="PF290" s="31"/>
      <c r="PG290" s="31"/>
      <c r="PH290" s="31"/>
      <c r="PI290" s="31"/>
      <c r="PJ290" s="31"/>
      <c r="PK290" s="31"/>
      <c r="PL290" s="31"/>
      <c r="PM290" s="31"/>
      <c r="PN290" s="31"/>
      <c r="PO290" s="31"/>
      <c r="PP290" s="31"/>
      <c r="PQ290" s="31"/>
      <c r="PR290" s="31"/>
      <c r="PS290" s="31"/>
      <c r="PT290" s="31"/>
      <c r="PU290" s="31"/>
      <c r="PV290" s="31"/>
      <c r="PW290" s="31"/>
      <c r="PX290" s="31"/>
      <c r="PY290" s="31"/>
      <c r="PZ290" s="31"/>
      <c r="QA290" s="31"/>
      <c r="QB290" s="31"/>
      <c r="QC290" s="31"/>
      <c r="QD290" s="31"/>
      <c r="QE290" s="31"/>
      <c r="QF290" s="31"/>
      <c r="QG290" s="31"/>
      <c r="QH290" s="31"/>
      <c r="QI290" s="31"/>
      <c r="QJ290" s="31"/>
      <c r="QK290" s="31"/>
      <c r="QL290" s="31"/>
      <c r="QM290" s="31"/>
      <c r="QN290" s="31"/>
      <c r="QO290" s="31"/>
      <c r="QP290" s="31"/>
      <c r="QQ290" s="31"/>
      <c r="QR290" s="31"/>
      <c r="QS290" s="31"/>
      <c r="QT290" s="31"/>
      <c r="QU290" s="31"/>
      <c r="QV290" s="31"/>
      <c r="QW290" s="31"/>
      <c r="QX290" s="31"/>
      <c r="QY290" s="31"/>
      <c r="QZ290" s="31"/>
      <c r="RA290" s="31"/>
      <c r="RB290" s="31"/>
      <c r="RC290" s="31"/>
      <c r="RD290" s="31"/>
      <c r="RE290" s="31"/>
      <c r="RF290" s="31"/>
      <c r="RG290" s="31"/>
      <c r="RH290" s="31"/>
      <c r="RI290" s="31"/>
      <c r="RJ290" s="31"/>
      <c r="RK290" s="31"/>
      <c r="RL290" s="31"/>
      <c r="RM290" s="31"/>
      <c r="RN290" s="31"/>
      <c r="RO290" s="31"/>
      <c r="RP290" s="31"/>
      <c r="RQ290" s="31"/>
      <c r="RR290" s="31"/>
      <c r="RS290" s="31"/>
      <c r="RT290" s="31"/>
      <c r="RU290" s="31"/>
      <c r="RV290" s="31"/>
      <c r="RW290" s="31"/>
      <c r="RX290" s="31"/>
      <c r="RY290" s="31"/>
      <c r="RZ290" s="31"/>
      <c r="SA290" s="31"/>
      <c r="SB290" s="31"/>
      <c r="SC290" s="31"/>
      <c r="SD290" s="31"/>
      <c r="SE290" s="31"/>
      <c r="SF290" s="31"/>
      <c r="SG290" s="31"/>
      <c r="SH290" s="31"/>
      <c r="SI290" s="31"/>
      <c r="SJ290" s="31"/>
      <c r="SK290" s="31"/>
      <c r="SL290" s="31"/>
      <c r="SM290" s="31"/>
      <c r="SN290" s="31"/>
      <c r="SO290" s="31"/>
      <c r="SP290" s="31"/>
      <c r="SQ290" s="31"/>
      <c r="SR290" s="31"/>
      <c r="SS290" s="31"/>
      <c r="ST290" s="31"/>
      <c r="SU290" s="31"/>
      <c r="SV290" s="31"/>
      <c r="SW290" s="31"/>
      <c r="SX290" s="31"/>
      <c r="SY290" s="31"/>
      <c r="SZ290" s="31"/>
      <c r="TA290" s="31"/>
      <c r="TB290" s="31"/>
      <c r="TC290" s="31"/>
      <c r="TD290" s="31"/>
      <c r="TE290" s="31"/>
      <c r="TF290" s="31"/>
      <c r="TG290" s="31"/>
      <c r="TH290" s="31"/>
      <c r="TI290" s="31"/>
      <c r="TJ290" s="31"/>
      <c r="TK290" s="31"/>
      <c r="TL290" s="31"/>
      <c r="TM290" s="31"/>
      <c r="TN290" s="31"/>
      <c r="TO290" s="31"/>
      <c r="TP290" s="31"/>
      <c r="TQ290" s="31"/>
      <c r="TR290" s="31"/>
      <c r="TS290" s="31"/>
      <c r="TT290" s="31"/>
      <c r="TU290" s="31"/>
      <c r="TV290" s="31"/>
      <c r="TW290" s="31"/>
      <c r="TX290" s="31"/>
      <c r="TY290" s="31"/>
      <c r="TZ290" s="31"/>
      <c r="UA290" s="31"/>
      <c r="UB290" s="31"/>
      <c r="UC290" s="31"/>
      <c r="UD290" s="31"/>
      <c r="UE290" s="31"/>
      <c r="UF290" s="31"/>
      <c r="UG290" s="33"/>
    </row>
    <row r="291" spans="1:553" ht="30" customHeight="1">
      <c r="A291" s="356" t="s">
        <v>15</v>
      </c>
      <c r="B291" s="356"/>
      <c r="C291" s="384" t="s">
        <v>69</v>
      </c>
      <c r="D291" s="376" t="s">
        <v>20</v>
      </c>
      <c r="E291" s="376" t="s">
        <v>230</v>
      </c>
      <c r="F291" s="385"/>
      <c r="G291" s="386" t="s">
        <v>935</v>
      </c>
      <c r="H291" s="370"/>
      <c r="I291" s="490">
        <v>52.8</v>
      </c>
      <c r="J291" s="368">
        <v>62000</v>
      </c>
      <c r="K291" s="850">
        <v>2.5</v>
      </c>
      <c r="L291" s="366">
        <f t="shared" si="56"/>
        <v>8184000</v>
      </c>
      <c r="M291" s="366"/>
      <c r="N291" s="366"/>
      <c r="O291" s="366"/>
      <c r="P291" s="366"/>
      <c r="Q291" s="1135"/>
      <c r="R291" s="1447"/>
      <c r="S291" s="308"/>
      <c r="T291" s="303"/>
      <c r="U291" s="306"/>
      <c r="V291" s="307"/>
      <c r="W291" s="306"/>
      <c r="X291" s="306"/>
      <c r="Y291" s="306"/>
      <c r="Z291" s="306"/>
      <c r="AA291" s="306"/>
      <c r="AB291" s="306"/>
      <c r="AC291" s="449"/>
      <c r="AD291" s="452"/>
      <c r="AE291" s="452"/>
      <c r="AF291" s="452"/>
      <c r="AG291" s="452"/>
      <c r="AH291" s="452"/>
      <c r="AI291" s="452"/>
      <c r="AJ291" s="452"/>
      <c r="AK291" s="452"/>
      <c r="AL291" s="106"/>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c r="CH291" s="31"/>
      <c r="CI291" s="31"/>
      <c r="CJ291" s="31"/>
      <c r="CK291" s="31"/>
      <c r="CL291" s="31"/>
      <c r="CM291" s="31"/>
      <c r="CN291" s="31"/>
      <c r="CO291" s="31"/>
      <c r="CP291" s="31"/>
      <c r="CQ291" s="31"/>
      <c r="CR291" s="31"/>
      <c r="CS291" s="31"/>
      <c r="CT291" s="31"/>
      <c r="CU291" s="31"/>
      <c r="CV291" s="31"/>
      <c r="CW291" s="31"/>
      <c r="CX291" s="31"/>
      <c r="CY291" s="31"/>
      <c r="CZ291" s="31"/>
      <c r="DA291" s="31"/>
      <c r="DB291" s="31"/>
      <c r="DC291" s="31"/>
      <c r="DD291" s="31"/>
      <c r="DE291" s="31"/>
      <c r="DF291" s="31"/>
      <c r="DG291" s="31"/>
      <c r="DH291" s="31"/>
      <c r="DI291" s="31"/>
      <c r="DJ291" s="31"/>
      <c r="DK291" s="31"/>
      <c r="DL291" s="31"/>
      <c r="DM291" s="31"/>
      <c r="DN291" s="31"/>
      <c r="DO291" s="31"/>
      <c r="DP291" s="31"/>
      <c r="DQ291" s="31"/>
      <c r="DR291" s="31"/>
      <c r="DS291" s="31"/>
      <c r="DT291" s="31"/>
      <c r="DU291" s="31"/>
      <c r="DV291" s="31"/>
      <c r="DW291" s="31"/>
      <c r="DX291" s="31"/>
      <c r="DY291" s="31"/>
      <c r="DZ291" s="31"/>
      <c r="EA291" s="31"/>
      <c r="EB291" s="31"/>
      <c r="EC291" s="31"/>
      <c r="ED291" s="31"/>
      <c r="EE291" s="31"/>
      <c r="EF291" s="31"/>
      <c r="EG291" s="31"/>
      <c r="EH291" s="31"/>
      <c r="EI291" s="31"/>
      <c r="EJ291" s="31"/>
      <c r="EK291" s="31"/>
      <c r="EL291" s="31"/>
      <c r="EM291" s="31"/>
      <c r="EN291" s="31"/>
      <c r="EO291" s="31"/>
      <c r="EP291" s="31"/>
      <c r="EQ291" s="31"/>
      <c r="ER291" s="31"/>
      <c r="ES291" s="31"/>
      <c r="ET291" s="31"/>
      <c r="EU291" s="31"/>
      <c r="EV291" s="31"/>
      <c r="EW291" s="31"/>
      <c r="EX291" s="31"/>
      <c r="EY291" s="31"/>
      <c r="EZ291" s="31"/>
      <c r="FA291" s="31"/>
      <c r="FB291" s="31"/>
      <c r="FC291" s="31"/>
      <c r="FD291" s="31"/>
      <c r="FE291" s="31"/>
      <c r="FF291" s="31"/>
      <c r="FG291" s="31"/>
      <c r="FH291" s="31"/>
      <c r="FI291" s="31"/>
      <c r="FJ291" s="31"/>
      <c r="FK291" s="31"/>
      <c r="FL291" s="31"/>
      <c r="FM291" s="31"/>
      <c r="FN291" s="31"/>
      <c r="FO291" s="31"/>
      <c r="FP291" s="31"/>
      <c r="FQ291" s="31"/>
      <c r="FR291" s="31"/>
      <c r="FS291" s="31"/>
      <c r="FT291" s="31"/>
      <c r="FU291" s="31"/>
      <c r="FV291" s="31"/>
      <c r="FW291" s="31"/>
      <c r="FX291" s="31"/>
      <c r="FY291" s="31"/>
      <c r="FZ291" s="31"/>
      <c r="GA291" s="31"/>
      <c r="GB291" s="31"/>
      <c r="GC291" s="31"/>
      <c r="GD291" s="31"/>
      <c r="GE291" s="31"/>
      <c r="GF291" s="31"/>
      <c r="GG291" s="31"/>
      <c r="GH291" s="31"/>
      <c r="GI291" s="31"/>
      <c r="GJ291" s="31"/>
      <c r="GK291" s="31"/>
      <c r="GL291" s="31"/>
      <c r="GM291" s="31"/>
      <c r="GN291" s="31"/>
      <c r="GO291" s="31"/>
      <c r="GP291" s="31"/>
      <c r="GQ291" s="31"/>
      <c r="GR291" s="31"/>
      <c r="GS291" s="31"/>
      <c r="GT291" s="31"/>
      <c r="GU291" s="31"/>
      <c r="GV291" s="31"/>
      <c r="GW291" s="31"/>
      <c r="GX291" s="31"/>
      <c r="GY291" s="31"/>
      <c r="GZ291" s="31"/>
      <c r="HA291" s="31"/>
      <c r="HB291" s="31"/>
      <c r="HC291" s="31"/>
      <c r="HD291" s="31"/>
      <c r="HE291" s="31"/>
      <c r="HF291" s="31"/>
      <c r="HG291" s="31"/>
      <c r="HH291" s="31"/>
      <c r="HI291" s="31"/>
      <c r="HJ291" s="31"/>
      <c r="HK291" s="31"/>
      <c r="HL291" s="31"/>
      <c r="HM291" s="31"/>
      <c r="HN291" s="31"/>
      <c r="HO291" s="31"/>
      <c r="HP291" s="31"/>
      <c r="HQ291" s="31"/>
      <c r="HR291" s="31"/>
      <c r="HS291" s="31"/>
      <c r="HT291" s="31"/>
      <c r="HU291" s="31"/>
      <c r="HV291" s="31"/>
      <c r="HW291" s="31"/>
      <c r="HX291" s="31"/>
      <c r="HY291" s="31"/>
      <c r="HZ291" s="31"/>
      <c r="IA291" s="31"/>
      <c r="IB291" s="31"/>
      <c r="IC291" s="31"/>
      <c r="ID291" s="31"/>
      <c r="IE291" s="31"/>
      <c r="IF291" s="31"/>
      <c r="IG291" s="31"/>
      <c r="IH291" s="31"/>
      <c r="II291" s="31"/>
      <c r="IJ291" s="31"/>
      <c r="IK291" s="31"/>
      <c r="IL291" s="31"/>
      <c r="IM291" s="31"/>
      <c r="IN291" s="31"/>
      <c r="IO291" s="31"/>
      <c r="IP291" s="31"/>
      <c r="IQ291" s="31"/>
      <c r="IR291" s="31"/>
      <c r="IS291" s="31"/>
      <c r="IT291" s="31"/>
      <c r="IU291" s="31"/>
      <c r="IV291" s="31"/>
      <c r="IW291" s="31"/>
      <c r="IX291" s="31"/>
      <c r="IY291" s="31"/>
      <c r="IZ291" s="31"/>
      <c r="JA291" s="31"/>
      <c r="JB291" s="31"/>
      <c r="JC291" s="31"/>
      <c r="JD291" s="31"/>
      <c r="JE291" s="31"/>
      <c r="JF291" s="31"/>
      <c r="JG291" s="31"/>
      <c r="JH291" s="31"/>
      <c r="JI291" s="31"/>
      <c r="JJ291" s="31"/>
      <c r="JK291" s="31"/>
      <c r="JL291" s="31"/>
      <c r="JM291" s="31"/>
      <c r="JN291" s="31"/>
      <c r="JO291" s="31"/>
      <c r="JP291" s="31"/>
      <c r="JQ291" s="31"/>
      <c r="JR291" s="31"/>
      <c r="JS291" s="31"/>
      <c r="JT291" s="31"/>
      <c r="JU291" s="31"/>
      <c r="JV291" s="31"/>
      <c r="JW291" s="31"/>
      <c r="JX291" s="31"/>
      <c r="JY291" s="31"/>
      <c r="JZ291" s="31"/>
      <c r="KA291" s="31"/>
      <c r="KB291" s="31"/>
      <c r="KC291" s="31"/>
      <c r="KD291" s="31"/>
      <c r="KE291" s="31"/>
      <c r="KF291" s="31"/>
      <c r="KG291" s="31"/>
      <c r="KH291" s="31"/>
      <c r="KI291" s="31"/>
      <c r="KJ291" s="31"/>
      <c r="KK291" s="31"/>
      <c r="KL291" s="31"/>
      <c r="KM291" s="31"/>
      <c r="KN291" s="31"/>
      <c r="KO291" s="31"/>
      <c r="KP291" s="31"/>
      <c r="KQ291" s="31"/>
      <c r="KR291" s="31"/>
      <c r="KS291" s="31"/>
      <c r="KT291" s="31"/>
      <c r="KU291" s="31"/>
      <c r="KV291" s="31"/>
      <c r="KW291" s="31"/>
      <c r="KX291" s="31"/>
      <c r="KY291" s="31"/>
      <c r="KZ291" s="31"/>
      <c r="LA291" s="31"/>
      <c r="LB291" s="31"/>
      <c r="LC291" s="31"/>
      <c r="LD291" s="31"/>
      <c r="LE291" s="31"/>
      <c r="LF291" s="31"/>
      <c r="LG291" s="31"/>
      <c r="LH291" s="31"/>
      <c r="LI291" s="31"/>
      <c r="LJ291" s="31"/>
      <c r="LK291" s="31"/>
      <c r="LL291" s="31"/>
      <c r="LM291" s="31"/>
      <c r="LN291" s="31"/>
      <c r="LO291" s="31"/>
      <c r="LP291" s="31"/>
      <c r="LQ291" s="31"/>
      <c r="LR291" s="31"/>
      <c r="LS291" s="31"/>
      <c r="LT291" s="31"/>
      <c r="LU291" s="31"/>
      <c r="LV291" s="31"/>
      <c r="LW291" s="31"/>
      <c r="LX291" s="31"/>
      <c r="LY291" s="31"/>
      <c r="LZ291" s="31"/>
      <c r="MA291" s="31"/>
      <c r="MB291" s="31"/>
      <c r="MC291" s="31"/>
      <c r="MD291" s="31"/>
      <c r="ME291" s="31"/>
      <c r="MF291" s="31"/>
      <c r="MG291" s="31"/>
      <c r="MH291" s="31"/>
      <c r="MI291" s="31"/>
      <c r="MJ291" s="31"/>
      <c r="MK291" s="31"/>
      <c r="ML291" s="31"/>
      <c r="MM291" s="31"/>
      <c r="MN291" s="31"/>
      <c r="MO291" s="31"/>
      <c r="MP291" s="31"/>
      <c r="MQ291" s="31"/>
      <c r="MR291" s="31"/>
      <c r="MS291" s="31"/>
      <c r="MT291" s="31"/>
      <c r="MU291" s="31"/>
      <c r="MV291" s="31"/>
      <c r="MW291" s="31"/>
      <c r="MX291" s="31"/>
      <c r="MY291" s="31"/>
      <c r="MZ291" s="31"/>
      <c r="NA291" s="31"/>
      <c r="NB291" s="31"/>
      <c r="NC291" s="31"/>
      <c r="ND291" s="31"/>
      <c r="NE291" s="31"/>
      <c r="NF291" s="31"/>
      <c r="NG291" s="31"/>
      <c r="NH291" s="31"/>
      <c r="NI291" s="31"/>
      <c r="NJ291" s="31"/>
      <c r="NK291" s="31"/>
      <c r="NL291" s="31"/>
      <c r="NM291" s="31"/>
      <c r="NN291" s="31"/>
      <c r="NO291" s="31"/>
      <c r="NP291" s="31"/>
      <c r="NQ291" s="31"/>
      <c r="NR291" s="31"/>
      <c r="NS291" s="31"/>
      <c r="NT291" s="31"/>
      <c r="NU291" s="31"/>
      <c r="NV291" s="31"/>
      <c r="NW291" s="31"/>
      <c r="NX291" s="31"/>
      <c r="NY291" s="31"/>
      <c r="NZ291" s="31"/>
      <c r="OA291" s="31"/>
      <c r="OB291" s="31"/>
      <c r="OC291" s="31"/>
      <c r="OD291" s="31"/>
      <c r="OE291" s="31"/>
      <c r="OF291" s="31"/>
      <c r="OG291" s="31"/>
      <c r="OH291" s="31"/>
      <c r="OI291" s="31"/>
      <c r="OJ291" s="31"/>
      <c r="OK291" s="31"/>
      <c r="OL291" s="31"/>
      <c r="OM291" s="31"/>
      <c r="ON291" s="31"/>
      <c r="OO291" s="31"/>
      <c r="OP291" s="31"/>
      <c r="OQ291" s="31"/>
      <c r="OR291" s="31"/>
      <c r="OS291" s="31"/>
      <c r="OT291" s="31"/>
      <c r="OU291" s="31"/>
      <c r="OV291" s="31"/>
      <c r="OW291" s="31"/>
      <c r="OX291" s="31"/>
      <c r="OY291" s="31"/>
      <c r="OZ291" s="31"/>
      <c r="PA291" s="31"/>
      <c r="PB291" s="31"/>
      <c r="PC291" s="31"/>
      <c r="PD291" s="31"/>
      <c r="PE291" s="31"/>
      <c r="PF291" s="31"/>
      <c r="PG291" s="31"/>
      <c r="PH291" s="31"/>
      <c r="PI291" s="31"/>
      <c r="PJ291" s="31"/>
      <c r="PK291" s="31"/>
      <c r="PL291" s="31"/>
      <c r="PM291" s="31"/>
      <c r="PN291" s="31"/>
      <c r="PO291" s="31"/>
      <c r="PP291" s="31"/>
      <c r="PQ291" s="31"/>
      <c r="PR291" s="31"/>
      <c r="PS291" s="31"/>
      <c r="PT291" s="31"/>
      <c r="PU291" s="31"/>
      <c r="PV291" s="31"/>
      <c r="PW291" s="31"/>
      <c r="PX291" s="31"/>
      <c r="PY291" s="31"/>
      <c r="PZ291" s="31"/>
      <c r="QA291" s="31"/>
      <c r="QB291" s="31"/>
      <c r="QC291" s="31"/>
      <c r="QD291" s="31"/>
      <c r="QE291" s="31"/>
      <c r="QF291" s="31"/>
      <c r="QG291" s="31"/>
      <c r="QH291" s="31"/>
      <c r="QI291" s="31"/>
      <c r="QJ291" s="31"/>
      <c r="QK291" s="31"/>
      <c r="QL291" s="31"/>
      <c r="QM291" s="31"/>
      <c r="QN291" s="31"/>
      <c r="QO291" s="31"/>
      <c r="QP291" s="31"/>
      <c r="QQ291" s="31"/>
      <c r="QR291" s="31"/>
      <c r="QS291" s="31"/>
      <c r="QT291" s="31"/>
      <c r="QU291" s="31"/>
      <c r="QV291" s="31"/>
      <c r="QW291" s="31"/>
      <c r="QX291" s="31"/>
      <c r="QY291" s="31"/>
      <c r="QZ291" s="31"/>
      <c r="RA291" s="31"/>
      <c r="RB291" s="31"/>
      <c r="RC291" s="31"/>
      <c r="RD291" s="31"/>
      <c r="RE291" s="31"/>
      <c r="RF291" s="31"/>
      <c r="RG291" s="31"/>
      <c r="RH291" s="31"/>
      <c r="RI291" s="31"/>
      <c r="RJ291" s="31"/>
      <c r="RK291" s="31"/>
      <c r="RL291" s="31"/>
      <c r="RM291" s="31"/>
      <c r="RN291" s="31"/>
      <c r="RO291" s="31"/>
      <c r="RP291" s="31"/>
      <c r="RQ291" s="31"/>
      <c r="RR291" s="31"/>
      <c r="RS291" s="31"/>
      <c r="RT291" s="31"/>
      <c r="RU291" s="31"/>
      <c r="RV291" s="31"/>
      <c r="RW291" s="31"/>
      <c r="RX291" s="31"/>
      <c r="RY291" s="31"/>
      <c r="RZ291" s="31"/>
      <c r="SA291" s="31"/>
      <c r="SB291" s="31"/>
      <c r="SC291" s="31"/>
      <c r="SD291" s="31"/>
      <c r="SE291" s="31"/>
      <c r="SF291" s="31"/>
      <c r="SG291" s="31"/>
      <c r="SH291" s="31"/>
      <c r="SI291" s="31"/>
      <c r="SJ291" s="31"/>
      <c r="SK291" s="31"/>
      <c r="SL291" s="31"/>
      <c r="SM291" s="31"/>
      <c r="SN291" s="31"/>
      <c r="SO291" s="31"/>
      <c r="SP291" s="31"/>
      <c r="SQ291" s="31"/>
      <c r="SR291" s="31"/>
      <c r="SS291" s="31"/>
      <c r="ST291" s="31"/>
      <c r="SU291" s="31"/>
      <c r="SV291" s="31"/>
      <c r="SW291" s="31"/>
      <c r="SX291" s="31"/>
      <c r="SY291" s="31"/>
      <c r="SZ291" s="31"/>
      <c r="TA291" s="31"/>
      <c r="TB291" s="31"/>
      <c r="TC291" s="31"/>
      <c r="TD291" s="31"/>
      <c r="TE291" s="31"/>
      <c r="TF291" s="31"/>
      <c r="TG291" s="31"/>
      <c r="TH291" s="31"/>
      <c r="TI291" s="31"/>
      <c r="TJ291" s="31"/>
      <c r="TK291" s="31"/>
      <c r="TL291" s="31"/>
      <c r="TM291" s="31"/>
      <c r="TN291" s="31"/>
      <c r="TO291" s="31"/>
      <c r="TP291" s="31"/>
      <c r="TQ291" s="31"/>
      <c r="TR291" s="31"/>
      <c r="TS291" s="31"/>
      <c r="TT291" s="31"/>
      <c r="TU291" s="31"/>
      <c r="TV291" s="31"/>
      <c r="TW291" s="31"/>
      <c r="TX291" s="31"/>
      <c r="TY291" s="31"/>
      <c r="TZ291" s="31"/>
      <c r="UA291" s="31"/>
      <c r="UB291" s="31"/>
      <c r="UC291" s="31"/>
      <c r="UD291" s="31"/>
      <c r="UE291" s="31"/>
      <c r="UF291" s="31"/>
      <c r="UG291" s="33"/>
    </row>
    <row r="292" spans="1:553" ht="30" customHeight="1">
      <c r="A292" s="356" t="s">
        <v>15</v>
      </c>
      <c r="B292" s="356"/>
      <c r="C292" s="384" t="s">
        <v>69</v>
      </c>
      <c r="D292" s="376" t="s">
        <v>20</v>
      </c>
      <c r="E292" s="376" t="s">
        <v>231</v>
      </c>
      <c r="F292" s="385"/>
      <c r="G292" s="386" t="s">
        <v>935</v>
      </c>
      <c r="H292" s="370"/>
      <c r="I292" s="490">
        <v>41.7</v>
      </c>
      <c r="J292" s="368">
        <v>62000</v>
      </c>
      <c r="K292" s="850">
        <v>2.5</v>
      </c>
      <c r="L292" s="366">
        <f t="shared" si="56"/>
        <v>6463500</v>
      </c>
      <c r="M292" s="366"/>
      <c r="N292" s="366"/>
      <c r="O292" s="366"/>
      <c r="P292" s="366"/>
      <c r="Q292" s="1135"/>
      <c r="R292" s="1447"/>
      <c r="S292" s="308"/>
      <c r="T292" s="303"/>
      <c r="U292" s="306"/>
      <c r="V292" s="307"/>
      <c r="W292" s="306"/>
      <c r="X292" s="306"/>
      <c r="Y292" s="306"/>
      <c r="Z292" s="306"/>
      <c r="AA292" s="306"/>
      <c r="AB292" s="306"/>
      <c r="AC292" s="449"/>
      <c r="AD292" s="452"/>
      <c r="AE292" s="452"/>
      <c r="AF292" s="452"/>
      <c r="AG292" s="452"/>
      <c r="AH292" s="452"/>
      <c r="AI292" s="452"/>
      <c r="AJ292" s="452"/>
      <c r="AK292" s="452"/>
      <c r="AL292" s="106"/>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c r="BJ292" s="31"/>
      <c r="BK292" s="31"/>
      <c r="BL292" s="31"/>
      <c r="BM292" s="31"/>
      <c r="BN292" s="31"/>
      <c r="BO292" s="31"/>
      <c r="BP292" s="31"/>
      <c r="BQ292" s="31"/>
      <c r="BR292" s="31"/>
      <c r="BS292" s="31"/>
      <c r="BT292" s="31"/>
      <c r="BU292" s="31"/>
      <c r="BV292" s="31"/>
      <c r="BW292" s="31"/>
      <c r="BX292" s="31"/>
      <c r="BY292" s="31"/>
      <c r="BZ292" s="31"/>
      <c r="CA292" s="31"/>
      <c r="CB292" s="31"/>
      <c r="CC292" s="31"/>
      <c r="CD292" s="31"/>
      <c r="CE292" s="31"/>
      <c r="CF292" s="31"/>
      <c r="CG292" s="31"/>
      <c r="CH292" s="31"/>
      <c r="CI292" s="31"/>
      <c r="CJ292" s="31"/>
      <c r="CK292" s="31"/>
      <c r="CL292" s="31"/>
      <c r="CM292" s="31"/>
      <c r="CN292" s="31"/>
      <c r="CO292" s="31"/>
      <c r="CP292" s="31"/>
      <c r="CQ292" s="31"/>
      <c r="CR292" s="31"/>
      <c r="CS292" s="31"/>
      <c r="CT292" s="31"/>
      <c r="CU292" s="31"/>
      <c r="CV292" s="31"/>
      <c r="CW292" s="31"/>
      <c r="CX292" s="31"/>
      <c r="CY292" s="31"/>
      <c r="CZ292" s="31"/>
      <c r="DA292" s="31"/>
      <c r="DB292" s="31"/>
      <c r="DC292" s="31"/>
      <c r="DD292" s="31"/>
      <c r="DE292" s="31"/>
      <c r="DF292" s="31"/>
      <c r="DG292" s="31"/>
      <c r="DH292" s="31"/>
      <c r="DI292" s="31"/>
      <c r="DJ292" s="31"/>
      <c r="DK292" s="31"/>
      <c r="DL292" s="31"/>
      <c r="DM292" s="31"/>
      <c r="DN292" s="31"/>
      <c r="DO292" s="31"/>
      <c r="DP292" s="31"/>
      <c r="DQ292" s="31"/>
      <c r="DR292" s="31"/>
      <c r="DS292" s="31"/>
      <c r="DT292" s="31"/>
      <c r="DU292" s="31"/>
      <c r="DV292" s="31"/>
      <c r="DW292" s="31"/>
      <c r="DX292" s="31"/>
      <c r="DY292" s="31"/>
      <c r="DZ292" s="31"/>
      <c r="EA292" s="31"/>
      <c r="EB292" s="31"/>
      <c r="EC292" s="31"/>
      <c r="ED292" s="31"/>
      <c r="EE292" s="31"/>
      <c r="EF292" s="31"/>
      <c r="EG292" s="31"/>
      <c r="EH292" s="31"/>
      <c r="EI292" s="31"/>
      <c r="EJ292" s="31"/>
      <c r="EK292" s="31"/>
      <c r="EL292" s="31"/>
      <c r="EM292" s="31"/>
      <c r="EN292" s="31"/>
      <c r="EO292" s="31"/>
      <c r="EP292" s="31"/>
      <c r="EQ292" s="31"/>
      <c r="ER292" s="31"/>
      <c r="ES292" s="31"/>
      <c r="ET292" s="31"/>
      <c r="EU292" s="31"/>
      <c r="EV292" s="31"/>
      <c r="EW292" s="31"/>
      <c r="EX292" s="31"/>
      <c r="EY292" s="31"/>
      <c r="EZ292" s="31"/>
      <c r="FA292" s="31"/>
      <c r="FB292" s="31"/>
      <c r="FC292" s="31"/>
      <c r="FD292" s="31"/>
      <c r="FE292" s="31"/>
      <c r="FF292" s="31"/>
      <c r="FG292" s="31"/>
      <c r="FH292" s="31"/>
      <c r="FI292" s="31"/>
      <c r="FJ292" s="31"/>
      <c r="FK292" s="31"/>
      <c r="FL292" s="31"/>
      <c r="FM292" s="31"/>
      <c r="FN292" s="31"/>
      <c r="FO292" s="31"/>
      <c r="FP292" s="31"/>
      <c r="FQ292" s="31"/>
      <c r="FR292" s="31"/>
      <c r="FS292" s="31"/>
      <c r="FT292" s="31"/>
      <c r="FU292" s="31"/>
      <c r="FV292" s="31"/>
      <c r="FW292" s="31"/>
      <c r="FX292" s="31"/>
      <c r="FY292" s="31"/>
      <c r="FZ292" s="31"/>
      <c r="GA292" s="31"/>
      <c r="GB292" s="31"/>
      <c r="GC292" s="31"/>
      <c r="GD292" s="31"/>
      <c r="GE292" s="31"/>
      <c r="GF292" s="31"/>
      <c r="GG292" s="31"/>
      <c r="GH292" s="31"/>
      <c r="GI292" s="31"/>
      <c r="GJ292" s="31"/>
      <c r="GK292" s="31"/>
      <c r="GL292" s="31"/>
      <c r="GM292" s="31"/>
      <c r="GN292" s="31"/>
      <c r="GO292" s="31"/>
      <c r="GP292" s="31"/>
      <c r="GQ292" s="31"/>
      <c r="GR292" s="31"/>
      <c r="GS292" s="31"/>
      <c r="GT292" s="31"/>
      <c r="GU292" s="31"/>
      <c r="GV292" s="31"/>
      <c r="GW292" s="31"/>
      <c r="GX292" s="31"/>
      <c r="GY292" s="31"/>
      <c r="GZ292" s="31"/>
      <c r="HA292" s="31"/>
      <c r="HB292" s="31"/>
      <c r="HC292" s="31"/>
      <c r="HD292" s="31"/>
      <c r="HE292" s="31"/>
      <c r="HF292" s="31"/>
      <c r="HG292" s="31"/>
      <c r="HH292" s="31"/>
      <c r="HI292" s="31"/>
      <c r="HJ292" s="31"/>
      <c r="HK292" s="31"/>
      <c r="HL292" s="31"/>
      <c r="HM292" s="31"/>
      <c r="HN292" s="31"/>
      <c r="HO292" s="31"/>
      <c r="HP292" s="31"/>
      <c r="HQ292" s="31"/>
      <c r="HR292" s="31"/>
      <c r="HS292" s="31"/>
      <c r="HT292" s="31"/>
      <c r="HU292" s="31"/>
      <c r="HV292" s="31"/>
      <c r="HW292" s="31"/>
      <c r="HX292" s="31"/>
      <c r="HY292" s="31"/>
      <c r="HZ292" s="31"/>
      <c r="IA292" s="31"/>
      <c r="IB292" s="31"/>
      <c r="IC292" s="31"/>
      <c r="ID292" s="31"/>
      <c r="IE292" s="31"/>
      <c r="IF292" s="31"/>
      <c r="IG292" s="31"/>
      <c r="IH292" s="31"/>
      <c r="II292" s="31"/>
      <c r="IJ292" s="31"/>
      <c r="IK292" s="31"/>
      <c r="IL292" s="31"/>
      <c r="IM292" s="31"/>
      <c r="IN292" s="31"/>
      <c r="IO292" s="31"/>
      <c r="IP292" s="31"/>
      <c r="IQ292" s="31"/>
      <c r="IR292" s="31"/>
      <c r="IS292" s="31"/>
      <c r="IT292" s="31"/>
      <c r="IU292" s="31"/>
      <c r="IV292" s="31"/>
      <c r="IW292" s="31"/>
      <c r="IX292" s="31"/>
      <c r="IY292" s="31"/>
      <c r="IZ292" s="31"/>
      <c r="JA292" s="31"/>
      <c r="JB292" s="31"/>
      <c r="JC292" s="31"/>
      <c r="JD292" s="31"/>
      <c r="JE292" s="31"/>
      <c r="JF292" s="31"/>
      <c r="JG292" s="31"/>
      <c r="JH292" s="31"/>
      <c r="JI292" s="31"/>
      <c r="JJ292" s="31"/>
      <c r="JK292" s="31"/>
      <c r="JL292" s="31"/>
      <c r="JM292" s="31"/>
      <c r="JN292" s="31"/>
      <c r="JO292" s="31"/>
      <c r="JP292" s="31"/>
      <c r="JQ292" s="31"/>
      <c r="JR292" s="31"/>
      <c r="JS292" s="31"/>
      <c r="JT292" s="31"/>
      <c r="JU292" s="31"/>
      <c r="JV292" s="31"/>
      <c r="JW292" s="31"/>
      <c r="JX292" s="31"/>
      <c r="JY292" s="31"/>
      <c r="JZ292" s="31"/>
      <c r="KA292" s="31"/>
      <c r="KB292" s="31"/>
      <c r="KC292" s="31"/>
      <c r="KD292" s="31"/>
      <c r="KE292" s="31"/>
      <c r="KF292" s="31"/>
      <c r="KG292" s="31"/>
      <c r="KH292" s="31"/>
      <c r="KI292" s="31"/>
      <c r="KJ292" s="31"/>
      <c r="KK292" s="31"/>
      <c r="KL292" s="31"/>
      <c r="KM292" s="31"/>
      <c r="KN292" s="31"/>
      <c r="KO292" s="31"/>
      <c r="KP292" s="31"/>
      <c r="KQ292" s="31"/>
      <c r="KR292" s="31"/>
      <c r="KS292" s="31"/>
      <c r="KT292" s="31"/>
      <c r="KU292" s="31"/>
      <c r="KV292" s="31"/>
      <c r="KW292" s="31"/>
      <c r="KX292" s="31"/>
      <c r="KY292" s="31"/>
      <c r="KZ292" s="31"/>
      <c r="LA292" s="31"/>
      <c r="LB292" s="31"/>
      <c r="LC292" s="31"/>
      <c r="LD292" s="31"/>
      <c r="LE292" s="31"/>
      <c r="LF292" s="31"/>
      <c r="LG292" s="31"/>
      <c r="LH292" s="31"/>
      <c r="LI292" s="31"/>
      <c r="LJ292" s="31"/>
      <c r="LK292" s="31"/>
      <c r="LL292" s="31"/>
      <c r="LM292" s="31"/>
      <c r="LN292" s="31"/>
      <c r="LO292" s="31"/>
      <c r="LP292" s="31"/>
      <c r="LQ292" s="31"/>
      <c r="LR292" s="31"/>
      <c r="LS292" s="31"/>
      <c r="LT292" s="31"/>
      <c r="LU292" s="31"/>
      <c r="LV292" s="31"/>
      <c r="LW292" s="31"/>
      <c r="LX292" s="31"/>
      <c r="LY292" s="31"/>
      <c r="LZ292" s="31"/>
      <c r="MA292" s="31"/>
      <c r="MB292" s="31"/>
      <c r="MC292" s="31"/>
      <c r="MD292" s="31"/>
      <c r="ME292" s="31"/>
      <c r="MF292" s="31"/>
      <c r="MG292" s="31"/>
      <c r="MH292" s="31"/>
      <c r="MI292" s="31"/>
      <c r="MJ292" s="31"/>
      <c r="MK292" s="31"/>
      <c r="ML292" s="31"/>
      <c r="MM292" s="31"/>
      <c r="MN292" s="31"/>
      <c r="MO292" s="31"/>
      <c r="MP292" s="31"/>
      <c r="MQ292" s="31"/>
      <c r="MR292" s="31"/>
      <c r="MS292" s="31"/>
      <c r="MT292" s="31"/>
      <c r="MU292" s="31"/>
      <c r="MV292" s="31"/>
      <c r="MW292" s="31"/>
      <c r="MX292" s="31"/>
      <c r="MY292" s="31"/>
      <c r="MZ292" s="31"/>
      <c r="NA292" s="31"/>
      <c r="NB292" s="31"/>
      <c r="NC292" s="31"/>
      <c r="ND292" s="31"/>
      <c r="NE292" s="31"/>
      <c r="NF292" s="31"/>
      <c r="NG292" s="31"/>
      <c r="NH292" s="31"/>
      <c r="NI292" s="31"/>
      <c r="NJ292" s="31"/>
      <c r="NK292" s="31"/>
      <c r="NL292" s="31"/>
      <c r="NM292" s="31"/>
      <c r="NN292" s="31"/>
      <c r="NO292" s="31"/>
      <c r="NP292" s="31"/>
      <c r="NQ292" s="31"/>
      <c r="NR292" s="31"/>
      <c r="NS292" s="31"/>
      <c r="NT292" s="31"/>
      <c r="NU292" s="31"/>
      <c r="NV292" s="31"/>
      <c r="NW292" s="31"/>
      <c r="NX292" s="31"/>
      <c r="NY292" s="31"/>
      <c r="NZ292" s="31"/>
      <c r="OA292" s="31"/>
      <c r="OB292" s="31"/>
      <c r="OC292" s="31"/>
      <c r="OD292" s="31"/>
      <c r="OE292" s="31"/>
      <c r="OF292" s="31"/>
      <c r="OG292" s="31"/>
      <c r="OH292" s="31"/>
      <c r="OI292" s="31"/>
      <c r="OJ292" s="31"/>
      <c r="OK292" s="31"/>
      <c r="OL292" s="31"/>
      <c r="OM292" s="31"/>
      <c r="ON292" s="31"/>
      <c r="OO292" s="31"/>
      <c r="OP292" s="31"/>
      <c r="OQ292" s="31"/>
      <c r="OR292" s="31"/>
      <c r="OS292" s="31"/>
      <c r="OT292" s="31"/>
      <c r="OU292" s="31"/>
      <c r="OV292" s="31"/>
      <c r="OW292" s="31"/>
      <c r="OX292" s="31"/>
      <c r="OY292" s="31"/>
      <c r="OZ292" s="31"/>
      <c r="PA292" s="31"/>
      <c r="PB292" s="31"/>
      <c r="PC292" s="31"/>
      <c r="PD292" s="31"/>
      <c r="PE292" s="31"/>
      <c r="PF292" s="31"/>
      <c r="PG292" s="31"/>
      <c r="PH292" s="31"/>
      <c r="PI292" s="31"/>
      <c r="PJ292" s="31"/>
      <c r="PK292" s="31"/>
      <c r="PL292" s="31"/>
      <c r="PM292" s="31"/>
      <c r="PN292" s="31"/>
      <c r="PO292" s="31"/>
      <c r="PP292" s="31"/>
      <c r="PQ292" s="31"/>
      <c r="PR292" s="31"/>
      <c r="PS292" s="31"/>
      <c r="PT292" s="31"/>
      <c r="PU292" s="31"/>
      <c r="PV292" s="31"/>
      <c r="PW292" s="31"/>
      <c r="PX292" s="31"/>
      <c r="PY292" s="31"/>
      <c r="PZ292" s="31"/>
      <c r="QA292" s="31"/>
      <c r="QB292" s="31"/>
      <c r="QC292" s="31"/>
      <c r="QD292" s="31"/>
      <c r="QE292" s="31"/>
      <c r="QF292" s="31"/>
      <c r="QG292" s="31"/>
      <c r="QH292" s="31"/>
      <c r="QI292" s="31"/>
      <c r="QJ292" s="31"/>
      <c r="QK292" s="31"/>
      <c r="QL292" s="31"/>
      <c r="QM292" s="31"/>
      <c r="QN292" s="31"/>
      <c r="QO292" s="31"/>
      <c r="QP292" s="31"/>
      <c r="QQ292" s="31"/>
      <c r="QR292" s="31"/>
      <c r="QS292" s="31"/>
      <c r="QT292" s="31"/>
      <c r="QU292" s="31"/>
      <c r="QV292" s="31"/>
      <c r="QW292" s="31"/>
      <c r="QX292" s="31"/>
      <c r="QY292" s="31"/>
      <c r="QZ292" s="31"/>
      <c r="RA292" s="31"/>
      <c r="RB292" s="31"/>
      <c r="RC292" s="31"/>
      <c r="RD292" s="31"/>
      <c r="RE292" s="31"/>
      <c r="RF292" s="31"/>
      <c r="RG292" s="31"/>
      <c r="RH292" s="31"/>
      <c r="RI292" s="31"/>
      <c r="RJ292" s="31"/>
      <c r="RK292" s="31"/>
      <c r="RL292" s="31"/>
      <c r="RM292" s="31"/>
      <c r="RN292" s="31"/>
      <c r="RO292" s="31"/>
      <c r="RP292" s="31"/>
      <c r="RQ292" s="31"/>
      <c r="RR292" s="31"/>
      <c r="RS292" s="31"/>
      <c r="RT292" s="31"/>
      <c r="RU292" s="31"/>
      <c r="RV292" s="31"/>
      <c r="RW292" s="31"/>
      <c r="RX292" s="31"/>
      <c r="RY292" s="31"/>
      <c r="RZ292" s="31"/>
      <c r="SA292" s="31"/>
      <c r="SB292" s="31"/>
      <c r="SC292" s="31"/>
      <c r="SD292" s="31"/>
      <c r="SE292" s="31"/>
      <c r="SF292" s="31"/>
      <c r="SG292" s="31"/>
      <c r="SH292" s="31"/>
      <c r="SI292" s="31"/>
      <c r="SJ292" s="31"/>
      <c r="SK292" s="31"/>
      <c r="SL292" s="31"/>
      <c r="SM292" s="31"/>
      <c r="SN292" s="31"/>
      <c r="SO292" s="31"/>
      <c r="SP292" s="31"/>
      <c r="SQ292" s="31"/>
      <c r="SR292" s="31"/>
      <c r="SS292" s="31"/>
      <c r="ST292" s="31"/>
      <c r="SU292" s="31"/>
      <c r="SV292" s="31"/>
      <c r="SW292" s="31"/>
      <c r="SX292" s="31"/>
      <c r="SY292" s="31"/>
      <c r="SZ292" s="31"/>
      <c r="TA292" s="31"/>
      <c r="TB292" s="31"/>
      <c r="TC292" s="31"/>
      <c r="TD292" s="31"/>
      <c r="TE292" s="31"/>
      <c r="TF292" s="31"/>
      <c r="TG292" s="31"/>
      <c r="TH292" s="31"/>
      <c r="TI292" s="31"/>
      <c r="TJ292" s="31"/>
      <c r="TK292" s="31"/>
      <c r="TL292" s="31"/>
      <c r="TM292" s="31"/>
      <c r="TN292" s="31"/>
      <c r="TO292" s="31"/>
      <c r="TP292" s="31"/>
      <c r="TQ292" s="31"/>
      <c r="TR292" s="31"/>
      <c r="TS292" s="31"/>
      <c r="TT292" s="31"/>
      <c r="TU292" s="31"/>
      <c r="TV292" s="31"/>
      <c r="TW292" s="31"/>
      <c r="TX292" s="31"/>
      <c r="TY292" s="31"/>
      <c r="TZ292" s="31"/>
      <c r="UA292" s="31"/>
      <c r="UB292" s="31"/>
      <c r="UC292" s="31"/>
      <c r="UD292" s="31"/>
      <c r="UE292" s="31"/>
      <c r="UF292" s="31"/>
      <c r="UG292" s="33"/>
    </row>
    <row r="293" spans="1:553" s="852" customFormat="1" ht="30" customHeight="1">
      <c r="A293" s="356" t="s">
        <v>15</v>
      </c>
      <c r="B293" s="356"/>
      <c r="C293" s="384" t="s">
        <v>22</v>
      </c>
      <c r="D293" s="376">
        <v>2</v>
      </c>
      <c r="E293" s="376">
        <v>424</v>
      </c>
      <c r="F293" s="385"/>
      <c r="G293" s="386" t="s">
        <v>935</v>
      </c>
      <c r="H293" s="370"/>
      <c r="I293" s="490">
        <v>592.4</v>
      </c>
      <c r="J293" s="368">
        <v>62000</v>
      </c>
      <c r="K293" s="850">
        <v>1</v>
      </c>
      <c r="L293" s="366">
        <f t="shared" si="56"/>
        <v>36728800</v>
      </c>
      <c r="M293" s="366"/>
      <c r="N293" s="366"/>
      <c r="O293" s="366"/>
      <c r="P293" s="366"/>
      <c r="Q293" s="1135"/>
      <c r="R293" s="1447"/>
      <c r="S293" s="308"/>
      <c r="T293" s="303"/>
      <c r="U293" s="306"/>
      <c r="V293" s="307"/>
      <c r="W293" s="306"/>
      <c r="X293" s="306"/>
      <c r="Y293" s="306"/>
      <c r="Z293" s="306"/>
      <c r="AA293" s="306"/>
      <c r="AB293" s="306"/>
      <c r="AC293" s="449"/>
      <c r="AD293" s="452"/>
      <c r="AE293" s="452"/>
      <c r="AF293" s="452"/>
      <c r="AG293" s="452"/>
      <c r="AH293" s="452"/>
      <c r="AI293" s="452"/>
      <c r="AJ293" s="452"/>
      <c r="AK293" s="452"/>
      <c r="AL293" s="104"/>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c r="DQ293" s="32"/>
      <c r="DR293" s="32"/>
      <c r="DS293" s="32"/>
      <c r="DT293" s="32"/>
      <c r="DU293" s="32"/>
      <c r="DV293" s="32"/>
      <c r="DW293" s="32"/>
      <c r="DX293" s="32"/>
      <c r="DY293" s="32"/>
      <c r="DZ293" s="32"/>
      <c r="EA293" s="32"/>
      <c r="EB293" s="32"/>
      <c r="EC293" s="32"/>
      <c r="ED293" s="32"/>
      <c r="EE293" s="32"/>
      <c r="EF293" s="32"/>
      <c r="EG293" s="32"/>
      <c r="EH293" s="32"/>
      <c r="EI293" s="32"/>
      <c r="EJ293" s="32"/>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c r="GM293" s="32"/>
      <c r="GN293" s="32"/>
      <c r="GO293" s="32"/>
      <c r="GP293" s="32"/>
      <c r="GQ293" s="32"/>
      <c r="GR293" s="32"/>
      <c r="GS293" s="32"/>
      <c r="GT293" s="32"/>
      <c r="GU293" s="32"/>
      <c r="GV293" s="32"/>
      <c r="GW293" s="32"/>
      <c r="GX293" s="32"/>
      <c r="GY293" s="32"/>
      <c r="GZ293" s="32"/>
      <c r="HA293" s="32"/>
      <c r="HB293" s="32"/>
      <c r="HC293" s="32"/>
      <c r="HD293" s="32"/>
      <c r="HE293" s="32"/>
      <c r="HF293" s="32"/>
      <c r="HG293" s="32"/>
      <c r="HH293" s="32"/>
      <c r="HI293" s="32"/>
      <c r="HJ293" s="32"/>
      <c r="HK293" s="32"/>
      <c r="HL293" s="32"/>
      <c r="HM293" s="32"/>
      <c r="HN293" s="32"/>
      <c r="HO293" s="32"/>
      <c r="HP293" s="32"/>
      <c r="HQ293" s="32"/>
      <c r="HR293" s="32"/>
      <c r="HS293" s="32"/>
      <c r="HT293" s="32"/>
      <c r="HU293" s="32"/>
      <c r="HV293" s="32"/>
      <c r="HW293" s="32"/>
      <c r="HX293" s="32"/>
      <c r="HY293" s="32"/>
      <c r="HZ293" s="32"/>
      <c r="IA293" s="32"/>
      <c r="IB293" s="32"/>
      <c r="IC293" s="32"/>
      <c r="ID293" s="32"/>
      <c r="IE293" s="32"/>
      <c r="IF293" s="32"/>
      <c r="IG293" s="32"/>
      <c r="IH293" s="32"/>
      <c r="II293" s="32"/>
      <c r="IJ293" s="32"/>
      <c r="IK293" s="32"/>
      <c r="IL293" s="32"/>
      <c r="IM293" s="32"/>
      <c r="IN293" s="32"/>
      <c r="IO293" s="32"/>
      <c r="IP293" s="32"/>
      <c r="IQ293" s="32"/>
      <c r="IR293" s="32"/>
      <c r="IS293" s="32"/>
      <c r="IT293" s="32"/>
      <c r="IU293" s="32"/>
      <c r="IV293" s="32"/>
      <c r="IW293" s="32"/>
      <c r="IX293" s="32"/>
      <c r="IY293" s="32"/>
      <c r="IZ293" s="32"/>
      <c r="JA293" s="32"/>
      <c r="JB293" s="32"/>
      <c r="JC293" s="32"/>
      <c r="JD293" s="32"/>
      <c r="JE293" s="32"/>
      <c r="JF293" s="32"/>
      <c r="JG293" s="32"/>
      <c r="JH293" s="32"/>
      <c r="JI293" s="32"/>
      <c r="JJ293" s="32"/>
      <c r="JK293" s="32"/>
      <c r="JL293" s="32"/>
      <c r="JM293" s="32"/>
      <c r="JN293" s="32"/>
      <c r="JO293" s="32"/>
      <c r="JP293" s="32"/>
      <c r="JQ293" s="32"/>
      <c r="JR293" s="32"/>
      <c r="JS293" s="32"/>
      <c r="JT293" s="32"/>
      <c r="JU293" s="32"/>
      <c r="JV293" s="32"/>
      <c r="JW293" s="32"/>
      <c r="JX293" s="32"/>
      <c r="JY293" s="32"/>
      <c r="JZ293" s="32"/>
      <c r="KA293" s="32"/>
      <c r="KB293" s="32"/>
      <c r="KC293" s="32"/>
      <c r="KD293" s="32"/>
      <c r="KE293" s="32"/>
      <c r="KF293" s="32"/>
      <c r="KG293" s="32"/>
      <c r="KH293" s="32"/>
      <c r="KI293" s="32"/>
      <c r="KJ293" s="32"/>
      <c r="KK293" s="32"/>
      <c r="KL293" s="32"/>
      <c r="KM293" s="32"/>
      <c r="KN293" s="32"/>
      <c r="KO293" s="32"/>
      <c r="KP293" s="32"/>
      <c r="KQ293" s="32"/>
      <c r="KR293" s="32"/>
      <c r="KS293" s="32"/>
      <c r="KT293" s="32"/>
      <c r="KU293" s="32"/>
      <c r="KV293" s="32"/>
      <c r="KW293" s="32"/>
      <c r="KX293" s="32"/>
      <c r="KY293" s="32"/>
      <c r="KZ293" s="32"/>
      <c r="LA293" s="32"/>
      <c r="LB293" s="32"/>
      <c r="LC293" s="32"/>
      <c r="LD293" s="32"/>
      <c r="LE293" s="32"/>
      <c r="LF293" s="32"/>
      <c r="LG293" s="32"/>
      <c r="LH293" s="32"/>
      <c r="LI293" s="32"/>
      <c r="LJ293" s="32"/>
      <c r="LK293" s="32"/>
      <c r="LL293" s="32"/>
      <c r="LM293" s="32"/>
      <c r="LN293" s="32"/>
      <c r="LO293" s="32"/>
      <c r="LP293" s="32"/>
      <c r="LQ293" s="32"/>
      <c r="LR293" s="32"/>
      <c r="LS293" s="32"/>
      <c r="LT293" s="32"/>
      <c r="LU293" s="32"/>
      <c r="LV293" s="32"/>
      <c r="LW293" s="32"/>
      <c r="LX293" s="32"/>
      <c r="LY293" s="32"/>
      <c r="LZ293" s="32"/>
      <c r="MA293" s="32"/>
      <c r="MB293" s="32"/>
      <c r="MC293" s="32"/>
      <c r="MD293" s="32"/>
      <c r="ME293" s="32"/>
      <c r="MF293" s="32"/>
      <c r="MG293" s="32"/>
      <c r="MH293" s="32"/>
      <c r="MI293" s="32"/>
      <c r="MJ293" s="32"/>
      <c r="MK293" s="32"/>
      <c r="ML293" s="32"/>
      <c r="MM293" s="32"/>
      <c r="MN293" s="32"/>
      <c r="MO293" s="32"/>
      <c r="MP293" s="32"/>
      <c r="MQ293" s="32"/>
      <c r="MR293" s="32"/>
      <c r="MS293" s="32"/>
      <c r="MT293" s="32"/>
      <c r="MU293" s="32"/>
      <c r="MV293" s="32"/>
      <c r="MW293" s="32"/>
      <c r="MX293" s="32"/>
      <c r="MY293" s="32"/>
      <c r="MZ293" s="32"/>
      <c r="NA293" s="32"/>
      <c r="NB293" s="32"/>
      <c r="NC293" s="32"/>
      <c r="ND293" s="32"/>
      <c r="NE293" s="32"/>
      <c r="NF293" s="32"/>
      <c r="NG293" s="32"/>
      <c r="NH293" s="32"/>
      <c r="NI293" s="32"/>
      <c r="NJ293" s="32"/>
      <c r="NK293" s="32"/>
      <c r="NL293" s="32"/>
      <c r="NM293" s="32"/>
      <c r="NN293" s="32"/>
      <c r="NO293" s="32"/>
      <c r="NP293" s="32"/>
      <c r="NQ293" s="32"/>
      <c r="NR293" s="32"/>
      <c r="NS293" s="32"/>
      <c r="NT293" s="32"/>
      <c r="NU293" s="32"/>
      <c r="NV293" s="32"/>
      <c r="NW293" s="32"/>
      <c r="NX293" s="32"/>
      <c r="NY293" s="32"/>
      <c r="NZ293" s="32"/>
      <c r="OA293" s="32"/>
      <c r="OB293" s="32"/>
      <c r="OC293" s="32"/>
      <c r="OD293" s="32"/>
      <c r="OE293" s="32"/>
      <c r="OF293" s="32"/>
      <c r="OG293" s="32"/>
      <c r="OH293" s="32"/>
      <c r="OI293" s="32"/>
      <c r="OJ293" s="32"/>
      <c r="OK293" s="32"/>
      <c r="OL293" s="32"/>
      <c r="OM293" s="32"/>
      <c r="ON293" s="32"/>
      <c r="OO293" s="32"/>
      <c r="OP293" s="32"/>
      <c r="OQ293" s="32"/>
      <c r="OR293" s="32"/>
      <c r="OS293" s="32"/>
      <c r="OT293" s="32"/>
      <c r="OU293" s="32"/>
      <c r="OV293" s="32"/>
      <c r="OW293" s="32"/>
      <c r="OX293" s="32"/>
      <c r="OY293" s="32"/>
      <c r="OZ293" s="32"/>
      <c r="PA293" s="32"/>
      <c r="PB293" s="32"/>
      <c r="PC293" s="32"/>
      <c r="PD293" s="32"/>
      <c r="PE293" s="32"/>
      <c r="PF293" s="32"/>
      <c r="PG293" s="32"/>
      <c r="PH293" s="32"/>
      <c r="PI293" s="32"/>
      <c r="PJ293" s="32"/>
      <c r="PK293" s="32"/>
      <c r="PL293" s="32"/>
      <c r="PM293" s="32"/>
      <c r="PN293" s="32"/>
      <c r="PO293" s="32"/>
      <c r="PP293" s="32"/>
      <c r="PQ293" s="32"/>
      <c r="PR293" s="32"/>
      <c r="PS293" s="32"/>
      <c r="PT293" s="32"/>
      <c r="PU293" s="32"/>
      <c r="PV293" s="32"/>
      <c r="PW293" s="32"/>
      <c r="PX293" s="32"/>
      <c r="PY293" s="32"/>
      <c r="PZ293" s="32"/>
      <c r="QA293" s="32"/>
      <c r="QB293" s="32"/>
      <c r="QC293" s="32"/>
      <c r="QD293" s="32"/>
      <c r="QE293" s="32"/>
      <c r="QF293" s="32"/>
      <c r="QG293" s="32"/>
      <c r="QH293" s="32"/>
      <c r="QI293" s="32"/>
      <c r="QJ293" s="32"/>
      <c r="QK293" s="32"/>
      <c r="QL293" s="32"/>
      <c r="QM293" s="32"/>
      <c r="QN293" s="32"/>
      <c r="QO293" s="32"/>
      <c r="QP293" s="32"/>
      <c r="QQ293" s="32"/>
      <c r="QR293" s="32"/>
      <c r="QS293" s="32"/>
      <c r="QT293" s="32"/>
      <c r="QU293" s="32"/>
      <c r="QV293" s="32"/>
      <c r="QW293" s="32"/>
      <c r="QX293" s="32"/>
      <c r="QY293" s="32"/>
      <c r="QZ293" s="32"/>
      <c r="RA293" s="32"/>
      <c r="RB293" s="32"/>
      <c r="RC293" s="32"/>
      <c r="RD293" s="32"/>
      <c r="RE293" s="32"/>
      <c r="RF293" s="32"/>
      <c r="RG293" s="32"/>
      <c r="RH293" s="32"/>
      <c r="RI293" s="32"/>
      <c r="RJ293" s="32"/>
      <c r="RK293" s="32"/>
      <c r="RL293" s="32"/>
      <c r="RM293" s="32"/>
      <c r="RN293" s="32"/>
      <c r="RO293" s="32"/>
      <c r="RP293" s="32"/>
      <c r="RQ293" s="32"/>
      <c r="RR293" s="32"/>
      <c r="RS293" s="32"/>
      <c r="RT293" s="32"/>
      <c r="RU293" s="32"/>
      <c r="RV293" s="32"/>
      <c r="RW293" s="32"/>
      <c r="RX293" s="32"/>
      <c r="RY293" s="32"/>
      <c r="RZ293" s="32"/>
      <c r="SA293" s="32"/>
      <c r="SB293" s="32"/>
      <c r="SC293" s="32"/>
      <c r="SD293" s="32"/>
      <c r="SE293" s="32"/>
      <c r="SF293" s="32"/>
      <c r="SG293" s="32"/>
      <c r="SH293" s="32"/>
      <c r="SI293" s="32"/>
      <c r="SJ293" s="32"/>
      <c r="SK293" s="32"/>
      <c r="SL293" s="32"/>
      <c r="SM293" s="32"/>
      <c r="SN293" s="32"/>
      <c r="SO293" s="32"/>
      <c r="SP293" s="32"/>
      <c r="SQ293" s="32"/>
      <c r="SR293" s="32"/>
      <c r="SS293" s="32"/>
      <c r="ST293" s="32"/>
      <c r="SU293" s="32"/>
      <c r="SV293" s="32"/>
      <c r="SW293" s="32"/>
      <c r="SX293" s="32"/>
      <c r="SY293" s="32"/>
      <c r="SZ293" s="32"/>
      <c r="TA293" s="32"/>
      <c r="TB293" s="32"/>
      <c r="TC293" s="32"/>
      <c r="TD293" s="32"/>
      <c r="TE293" s="32"/>
      <c r="TF293" s="32"/>
      <c r="TG293" s="32"/>
      <c r="TH293" s="32"/>
      <c r="TI293" s="32"/>
      <c r="TJ293" s="32"/>
      <c r="TK293" s="32"/>
      <c r="TL293" s="32"/>
      <c r="TM293" s="32"/>
      <c r="TN293" s="32"/>
      <c r="TO293" s="32"/>
      <c r="TP293" s="32"/>
      <c r="TQ293" s="32"/>
      <c r="TR293" s="32"/>
      <c r="TS293" s="32"/>
      <c r="TT293" s="32"/>
      <c r="TU293" s="32"/>
      <c r="TV293" s="32"/>
      <c r="TW293" s="32"/>
      <c r="TX293" s="32"/>
      <c r="TY293" s="32"/>
      <c r="TZ293" s="32"/>
      <c r="UA293" s="32"/>
      <c r="UB293" s="32"/>
      <c r="UC293" s="32"/>
      <c r="UD293" s="32"/>
      <c r="UE293" s="32"/>
      <c r="UF293" s="32"/>
      <c r="UG293" s="851"/>
    </row>
    <row r="294" spans="1:553" ht="30" customHeight="1">
      <c r="A294" s="356" t="s">
        <v>15</v>
      </c>
      <c r="B294" s="356"/>
      <c r="C294" s="384" t="s">
        <v>23</v>
      </c>
      <c r="D294" s="376" t="s">
        <v>70</v>
      </c>
      <c r="E294" s="376">
        <v>334</v>
      </c>
      <c r="F294" s="385"/>
      <c r="G294" s="386" t="s">
        <v>935</v>
      </c>
      <c r="H294" s="370"/>
      <c r="I294" s="490">
        <v>528.6</v>
      </c>
      <c r="J294" s="368">
        <v>72000</v>
      </c>
      <c r="K294" s="850">
        <v>3</v>
      </c>
      <c r="L294" s="366">
        <f t="shared" si="56"/>
        <v>114177600</v>
      </c>
      <c r="M294" s="366"/>
      <c r="N294" s="366"/>
      <c r="O294" s="366"/>
      <c r="P294" s="366"/>
      <c r="Q294" s="1135"/>
      <c r="R294" s="1447"/>
      <c r="S294" s="435"/>
      <c r="T294" s="436"/>
      <c r="U294" s="304"/>
      <c r="V294" s="393"/>
      <c r="W294" s="304"/>
      <c r="X294" s="304"/>
      <c r="Y294" s="304"/>
      <c r="Z294" s="304"/>
      <c r="AA294" s="304"/>
      <c r="AB294" s="304"/>
      <c r="AC294" s="449"/>
      <c r="AD294" s="452"/>
      <c r="AE294" s="452"/>
      <c r="AF294" s="452"/>
      <c r="AG294" s="452"/>
      <c r="AH294" s="452"/>
      <c r="AI294" s="452"/>
      <c r="AJ294" s="452"/>
      <c r="AK294" s="452"/>
      <c r="AL294" s="106"/>
      <c r="AM294" s="31"/>
      <c r="AN294" s="31"/>
      <c r="AO294" s="31"/>
      <c r="AP294" s="31"/>
      <c r="AQ294" s="31"/>
      <c r="AR294" s="31"/>
      <c r="AS294" s="31"/>
      <c r="AT294" s="31"/>
      <c r="AU294" s="31"/>
      <c r="AV294" s="31"/>
      <c r="AW294" s="31"/>
      <c r="AX294" s="31"/>
      <c r="AY294" s="31"/>
      <c r="AZ294" s="31"/>
      <c r="BA294" s="31"/>
      <c r="BB294" s="31"/>
      <c r="BC294" s="31"/>
      <c r="BD294" s="31"/>
      <c r="BE294" s="31"/>
      <c r="BF294" s="31"/>
      <c r="BG294" s="31"/>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c r="CF294" s="31"/>
      <c r="CG294" s="31"/>
      <c r="CH294" s="31"/>
      <c r="CI294" s="31"/>
      <c r="CJ294" s="31"/>
      <c r="CK294" s="31"/>
      <c r="CL294" s="31"/>
      <c r="CM294" s="31"/>
      <c r="CN294" s="31"/>
      <c r="CO294" s="31"/>
      <c r="CP294" s="31"/>
      <c r="CQ294" s="31"/>
      <c r="CR294" s="31"/>
      <c r="CS294" s="31"/>
      <c r="CT294" s="31"/>
      <c r="CU294" s="31"/>
      <c r="CV294" s="31"/>
      <c r="CW294" s="31"/>
      <c r="CX294" s="31"/>
      <c r="CY294" s="31"/>
      <c r="CZ294" s="31"/>
      <c r="DA294" s="31"/>
      <c r="DB294" s="31"/>
      <c r="DC294" s="31"/>
      <c r="DD294" s="31"/>
      <c r="DE294" s="31"/>
      <c r="DF294" s="31"/>
      <c r="DG294" s="31"/>
      <c r="DH294" s="31"/>
      <c r="DI294" s="31"/>
      <c r="DJ294" s="31"/>
      <c r="DK294" s="31"/>
      <c r="DL294" s="31"/>
      <c r="DM294" s="31"/>
      <c r="DN294" s="31"/>
      <c r="DO294" s="31"/>
      <c r="DP294" s="31"/>
      <c r="DQ294" s="31"/>
      <c r="DR294" s="31"/>
      <c r="DS294" s="31"/>
      <c r="DT294" s="31"/>
      <c r="DU294" s="31"/>
      <c r="DV294" s="31"/>
      <c r="DW294" s="31"/>
      <c r="DX294" s="31"/>
      <c r="DY294" s="31"/>
      <c r="DZ294" s="31"/>
      <c r="EA294" s="31"/>
      <c r="EB294" s="31"/>
      <c r="EC294" s="31"/>
      <c r="ED294" s="31"/>
      <c r="EE294" s="31"/>
      <c r="EF294" s="31"/>
      <c r="EG294" s="31"/>
      <c r="EH294" s="31"/>
      <c r="EI294" s="31"/>
      <c r="EJ294" s="31"/>
      <c r="EK294" s="31"/>
      <c r="EL294" s="31"/>
      <c r="EM294" s="31"/>
      <c r="EN294" s="31"/>
      <c r="EO294" s="31"/>
      <c r="EP294" s="31"/>
      <c r="EQ294" s="31"/>
      <c r="ER294" s="31"/>
      <c r="ES294" s="31"/>
      <c r="ET294" s="31"/>
      <c r="EU294" s="31"/>
      <c r="EV294" s="31"/>
      <c r="EW294" s="31"/>
      <c r="EX294" s="31"/>
      <c r="EY294" s="31"/>
      <c r="EZ294" s="31"/>
      <c r="FA294" s="31"/>
      <c r="FB294" s="31"/>
      <c r="FC294" s="31"/>
      <c r="FD294" s="31"/>
      <c r="FE294" s="31"/>
      <c r="FF294" s="31"/>
      <c r="FG294" s="31"/>
      <c r="FH294" s="31"/>
      <c r="FI294" s="31"/>
      <c r="FJ294" s="31"/>
      <c r="FK294" s="31"/>
      <c r="FL294" s="31"/>
      <c r="FM294" s="31"/>
      <c r="FN294" s="31"/>
      <c r="FO294" s="31"/>
      <c r="FP294" s="31"/>
      <c r="FQ294" s="31"/>
      <c r="FR294" s="31"/>
      <c r="FS294" s="31"/>
      <c r="FT294" s="31"/>
      <c r="FU294" s="31"/>
      <c r="FV294" s="31"/>
      <c r="FW294" s="31"/>
      <c r="FX294" s="31"/>
      <c r="FY294" s="31"/>
      <c r="FZ294" s="31"/>
      <c r="GA294" s="31"/>
      <c r="GB294" s="31"/>
      <c r="GC294" s="31"/>
      <c r="GD294" s="31"/>
      <c r="GE294" s="31"/>
      <c r="GF294" s="31"/>
      <c r="GG294" s="31"/>
      <c r="GH294" s="31"/>
      <c r="GI294" s="31"/>
      <c r="GJ294" s="31"/>
      <c r="GK294" s="31"/>
      <c r="GL294" s="31"/>
      <c r="GM294" s="31"/>
      <c r="GN294" s="31"/>
      <c r="GO294" s="31"/>
      <c r="GP294" s="31"/>
      <c r="GQ294" s="31"/>
      <c r="GR294" s="31"/>
      <c r="GS294" s="31"/>
      <c r="GT294" s="31"/>
      <c r="GU294" s="31"/>
      <c r="GV294" s="31"/>
      <c r="GW294" s="31"/>
      <c r="GX294" s="31"/>
      <c r="GY294" s="31"/>
      <c r="GZ294" s="31"/>
      <c r="HA294" s="31"/>
      <c r="HB294" s="31"/>
      <c r="HC294" s="31"/>
      <c r="HD294" s="31"/>
      <c r="HE294" s="31"/>
      <c r="HF294" s="31"/>
      <c r="HG294" s="31"/>
      <c r="HH294" s="31"/>
      <c r="HI294" s="31"/>
      <c r="HJ294" s="31"/>
      <c r="HK294" s="31"/>
      <c r="HL294" s="31"/>
      <c r="HM294" s="31"/>
      <c r="HN294" s="31"/>
      <c r="HO294" s="31"/>
      <c r="HP294" s="31"/>
      <c r="HQ294" s="31"/>
      <c r="HR294" s="31"/>
      <c r="HS294" s="31"/>
      <c r="HT294" s="31"/>
      <c r="HU294" s="31"/>
      <c r="HV294" s="31"/>
      <c r="HW294" s="31"/>
      <c r="HX294" s="31"/>
      <c r="HY294" s="31"/>
      <c r="HZ294" s="31"/>
      <c r="IA294" s="31"/>
      <c r="IB294" s="31"/>
      <c r="IC294" s="31"/>
      <c r="ID294" s="31"/>
      <c r="IE294" s="31"/>
      <c r="IF294" s="31"/>
      <c r="IG294" s="31"/>
      <c r="IH294" s="31"/>
      <c r="II294" s="31"/>
      <c r="IJ294" s="31"/>
      <c r="IK294" s="31"/>
      <c r="IL294" s="31"/>
      <c r="IM294" s="31"/>
      <c r="IN294" s="31"/>
      <c r="IO294" s="31"/>
      <c r="IP294" s="31"/>
      <c r="IQ294" s="31"/>
      <c r="IR294" s="31"/>
      <c r="IS294" s="31"/>
      <c r="IT294" s="31"/>
      <c r="IU294" s="31"/>
      <c r="IV294" s="31"/>
      <c r="IW294" s="31"/>
      <c r="IX294" s="31"/>
      <c r="IY294" s="31"/>
      <c r="IZ294" s="31"/>
      <c r="JA294" s="31"/>
      <c r="JB294" s="31"/>
      <c r="JC294" s="31"/>
      <c r="JD294" s="31"/>
      <c r="JE294" s="31"/>
      <c r="JF294" s="31"/>
      <c r="JG294" s="31"/>
      <c r="JH294" s="31"/>
      <c r="JI294" s="31"/>
      <c r="JJ294" s="31"/>
      <c r="JK294" s="31"/>
      <c r="JL294" s="31"/>
      <c r="JM294" s="31"/>
      <c r="JN294" s="31"/>
      <c r="JO294" s="31"/>
      <c r="JP294" s="31"/>
      <c r="JQ294" s="31"/>
      <c r="JR294" s="31"/>
      <c r="JS294" s="31"/>
      <c r="JT294" s="31"/>
      <c r="JU294" s="31"/>
      <c r="JV294" s="31"/>
      <c r="JW294" s="31"/>
      <c r="JX294" s="31"/>
      <c r="JY294" s="31"/>
      <c r="JZ294" s="31"/>
      <c r="KA294" s="31"/>
      <c r="KB294" s="31"/>
      <c r="KC294" s="31"/>
      <c r="KD294" s="31"/>
      <c r="KE294" s="31"/>
      <c r="KF294" s="31"/>
      <c r="KG294" s="31"/>
      <c r="KH294" s="31"/>
      <c r="KI294" s="31"/>
      <c r="KJ294" s="31"/>
      <c r="KK294" s="31"/>
      <c r="KL294" s="31"/>
      <c r="KM294" s="31"/>
      <c r="KN294" s="31"/>
      <c r="KO294" s="31"/>
      <c r="KP294" s="31"/>
      <c r="KQ294" s="31"/>
      <c r="KR294" s="31"/>
      <c r="KS294" s="31"/>
      <c r="KT294" s="31"/>
      <c r="KU294" s="31"/>
      <c r="KV294" s="31"/>
      <c r="KW294" s="31"/>
      <c r="KX294" s="31"/>
      <c r="KY294" s="31"/>
      <c r="KZ294" s="31"/>
      <c r="LA294" s="31"/>
      <c r="LB294" s="31"/>
      <c r="LC294" s="31"/>
      <c r="LD294" s="31"/>
      <c r="LE294" s="31"/>
      <c r="LF294" s="31"/>
      <c r="LG294" s="31"/>
      <c r="LH294" s="31"/>
      <c r="LI294" s="31"/>
      <c r="LJ294" s="31"/>
      <c r="LK294" s="31"/>
      <c r="LL294" s="31"/>
      <c r="LM294" s="31"/>
      <c r="LN294" s="31"/>
      <c r="LO294" s="31"/>
      <c r="LP294" s="31"/>
      <c r="LQ294" s="31"/>
      <c r="LR294" s="31"/>
      <c r="LS294" s="31"/>
      <c r="LT294" s="31"/>
      <c r="LU294" s="31"/>
      <c r="LV294" s="31"/>
      <c r="LW294" s="31"/>
      <c r="LX294" s="31"/>
      <c r="LY294" s="31"/>
      <c r="LZ294" s="31"/>
      <c r="MA294" s="31"/>
      <c r="MB294" s="31"/>
      <c r="MC294" s="31"/>
      <c r="MD294" s="31"/>
      <c r="ME294" s="31"/>
      <c r="MF294" s="31"/>
      <c r="MG294" s="31"/>
      <c r="MH294" s="31"/>
      <c r="MI294" s="31"/>
      <c r="MJ294" s="31"/>
      <c r="MK294" s="31"/>
      <c r="ML294" s="31"/>
      <c r="MM294" s="31"/>
      <c r="MN294" s="31"/>
      <c r="MO294" s="31"/>
      <c r="MP294" s="31"/>
      <c r="MQ294" s="31"/>
      <c r="MR294" s="31"/>
      <c r="MS294" s="31"/>
      <c r="MT294" s="31"/>
      <c r="MU294" s="31"/>
      <c r="MV294" s="31"/>
      <c r="MW294" s="31"/>
      <c r="MX294" s="31"/>
      <c r="MY294" s="31"/>
      <c r="MZ294" s="31"/>
      <c r="NA294" s="31"/>
      <c r="NB294" s="31"/>
      <c r="NC294" s="31"/>
      <c r="ND294" s="31"/>
      <c r="NE294" s="31"/>
      <c r="NF294" s="31"/>
      <c r="NG294" s="31"/>
      <c r="NH294" s="31"/>
      <c r="NI294" s="31"/>
      <c r="NJ294" s="31"/>
      <c r="NK294" s="31"/>
      <c r="NL294" s="31"/>
      <c r="NM294" s="31"/>
      <c r="NN294" s="31"/>
      <c r="NO294" s="31"/>
      <c r="NP294" s="31"/>
      <c r="NQ294" s="31"/>
      <c r="NR294" s="31"/>
      <c r="NS294" s="31"/>
      <c r="NT294" s="31"/>
      <c r="NU294" s="31"/>
      <c r="NV294" s="31"/>
      <c r="NW294" s="31"/>
      <c r="NX294" s="31"/>
      <c r="NY294" s="31"/>
      <c r="NZ294" s="31"/>
      <c r="OA294" s="31"/>
      <c r="OB294" s="31"/>
      <c r="OC294" s="31"/>
      <c r="OD294" s="31"/>
      <c r="OE294" s="31"/>
      <c r="OF294" s="31"/>
      <c r="OG294" s="31"/>
      <c r="OH294" s="31"/>
      <c r="OI294" s="31"/>
      <c r="OJ294" s="31"/>
      <c r="OK294" s="31"/>
      <c r="OL294" s="31"/>
      <c r="OM294" s="31"/>
      <c r="ON294" s="31"/>
      <c r="OO294" s="31"/>
      <c r="OP294" s="31"/>
      <c r="OQ294" s="31"/>
      <c r="OR294" s="31"/>
      <c r="OS294" s="31"/>
      <c r="OT294" s="31"/>
      <c r="OU294" s="31"/>
      <c r="OV294" s="31"/>
      <c r="OW294" s="31"/>
      <c r="OX294" s="31"/>
      <c r="OY294" s="31"/>
      <c r="OZ294" s="31"/>
      <c r="PA294" s="31"/>
      <c r="PB294" s="31"/>
      <c r="PC294" s="31"/>
      <c r="PD294" s="31"/>
      <c r="PE294" s="31"/>
      <c r="PF294" s="31"/>
      <c r="PG294" s="31"/>
      <c r="PH294" s="31"/>
      <c r="PI294" s="31"/>
      <c r="PJ294" s="31"/>
      <c r="PK294" s="31"/>
      <c r="PL294" s="31"/>
      <c r="PM294" s="31"/>
      <c r="PN294" s="31"/>
      <c r="PO294" s="31"/>
      <c r="PP294" s="31"/>
      <c r="PQ294" s="31"/>
      <c r="PR294" s="31"/>
      <c r="PS294" s="31"/>
      <c r="PT294" s="31"/>
      <c r="PU294" s="31"/>
      <c r="PV294" s="31"/>
      <c r="PW294" s="31"/>
      <c r="PX294" s="31"/>
      <c r="PY294" s="31"/>
      <c r="PZ294" s="31"/>
      <c r="QA294" s="31"/>
      <c r="QB294" s="31"/>
      <c r="QC294" s="31"/>
      <c r="QD294" s="31"/>
      <c r="QE294" s="31"/>
      <c r="QF294" s="31"/>
      <c r="QG294" s="31"/>
      <c r="QH294" s="31"/>
      <c r="QI294" s="31"/>
      <c r="QJ294" s="31"/>
      <c r="QK294" s="31"/>
      <c r="QL294" s="31"/>
      <c r="QM294" s="31"/>
      <c r="QN294" s="31"/>
      <c r="QO294" s="31"/>
      <c r="QP294" s="31"/>
      <c r="QQ294" s="31"/>
      <c r="QR294" s="31"/>
      <c r="QS294" s="31"/>
      <c r="QT294" s="31"/>
      <c r="QU294" s="31"/>
      <c r="QV294" s="31"/>
      <c r="QW294" s="31"/>
      <c r="QX294" s="31"/>
      <c r="QY294" s="31"/>
      <c r="QZ294" s="31"/>
      <c r="RA294" s="31"/>
      <c r="RB294" s="31"/>
      <c r="RC294" s="31"/>
      <c r="RD294" s="31"/>
      <c r="RE294" s="31"/>
      <c r="RF294" s="31"/>
      <c r="RG294" s="31"/>
      <c r="RH294" s="31"/>
      <c r="RI294" s="31"/>
      <c r="RJ294" s="31"/>
      <c r="RK294" s="31"/>
      <c r="RL294" s="31"/>
      <c r="RM294" s="31"/>
      <c r="RN294" s="31"/>
      <c r="RO294" s="31"/>
      <c r="RP294" s="31"/>
      <c r="RQ294" s="31"/>
      <c r="RR294" s="31"/>
      <c r="RS294" s="31"/>
      <c r="RT294" s="31"/>
      <c r="RU294" s="31"/>
      <c r="RV294" s="31"/>
      <c r="RW294" s="31"/>
      <c r="RX294" s="31"/>
      <c r="RY294" s="31"/>
      <c r="RZ294" s="31"/>
      <c r="SA294" s="31"/>
      <c r="SB294" s="31"/>
      <c r="SC294" s="31"/>
      <c r="SD294" s="31"/>
      <c r="SE294" s="31"/>
      <c r="SF294" s="31"/>
      <c r="SG294" s="31"/>
      <c r="SH294" s="31"/>
      <c r="SI294" s="31"/>
      <c r="SJ294" s="31"/>
      <c r="SK294" s="31"/>
      <c r="SL294" s="31"/>
      <c r="SM294" s="31"/>
      <c r="SN294" s="31"/>
      <c r="SO294" s="31"/>
      <c r="SP294" s="31"/>
      <c r="SQ294" s="31"/>
      <c r="SR294" s="31"/>
      <c r="SS294" s="31"/>
      <c r="ST294" s="31"/>
      <c r="SU294" s="31"/>
      <c r="SV294" s="31"/>
      <c r="SW294" s="31"/>
      <c r="SX294" s="31"/>
      <c r="SY294" s="31"/>
      <c r="SZ294" s="31"/>
      <c r="TA294" s="31"/>
      <c r="TB294" s="31"/>
      <c r="TC294" s="31"/>
      <c r="TD294" s="31"/>
      <c r="TE294" s="31"/>
      <c r="TF294" s="31"/>
      <c r="TG294" s="31"/>
      <c r="TH294" s="31"/>
      <c r="TI294" s="31"/>
      <c r="TJ294" s="31"/>
      <c r="TK294" s="31"/>
      <c r="TL294" s="31"/>
      <c r="TM294" s="31"/>
      <c r="TN294" s="31"/>
      <c r="TO294" s="31"/>
      <c r="TP294" s="31"/>
      <c r="TQ294" s="31"/>
      <c r="TR294" s="31"/>
      <c r="TS294" s="31"/>
      <c r="TT294" s="31"/>
      <c r="TU294" s="31"/>
      <c r="TV294" s="31"/>
      <c r="TW294" s="31"/>
      <c r="TX294" s="31"/>
      <c r="TY294" s="31"/>
      <c r="TZ294" s="31"/>
      <c r="UA294" s="31"/>
      <c r="UB294" s="31"/>
      <c r="UC294" s="31"/>
      <c r="UD294" s="31"/>
      <c r="UE294" s="31"/>
      <c r="UF294" s="31"/>
      <c r="UG294" s="33"/>
    </row>
    <row r="295" spans="1:553" ht="30" customHeight="1">
      <c r="A295" s="356" t="s">
        <v>15</v>
      </c>
      <c r="B295" s="356"/>
      <c r="C295" s="384" t="s">
        <v>69</v>
      </c>
      <c r="D295" s="376">
        <v>1</v>
      </c>
      <c r="E295" s="376">
        <v>464</v>
      </c>
      <c r="F295" s="385"/>
      <c r="G295" s="386" t="s">
        <v>935</v>
      </c>
      <c r="H295" s="370"/>
      <c r="I295" s="490">
        <v>244.7</v>
      </c>
      <c r="J295" s="368">
        <v>62000</v>
      </c>
      <c r="K295" s="850">
        <v>2.5</v>
      </c>
      <c r="L295" s="366">
        <f t="shared" si="56"/>
        <v>37928500</v>
      </c>
      <c r="M295" s="366"/>
      <c r="N295" s="366"/>
      <c r="O295" s="366"/>
      <c r="P295" s="366"/>
      <c r="Q295" s="1135"/>
      <c r="R295" s="1447"/>
      <c r="S295" s="435"/>
      <c r="T295" s="436"/>
      <c r="U295" s="304"/>
      <c r="V295" s="393"/>
      <c r="W295" s="304"/>
      <c r="X295" s="304"/>
      <c r="Y295" s="304"/>
      <c r="Z295" s="304"/>
      <c r="AA295" s="304"/>
      <c r="AB295" s="304"/>
      <c r="AC295" s="449"/>
      <c r="AD295" s="452"/>
      <c r="AE295" s="452"/>
      <c r="AF295" s="452"/>
      <c r="AG295" s="452"/>
      <c r="AH295" s="452"/>
      <c r="AI295" s="452"/>
      <c r="AJ295" s="452"/>
      <c r="AK295" s="452"/>
      <c r="AL295" s="106"/>
      <c r="AM295" s="31"/>
      <c r="AN295" s="31"/>
      <c r="AO295" s="31"/>
      <c r="AP295" s="31"/>
      <c r="AQ295" s="31"/>
      <c r="AR295" s="31"/>
      <c r="AS295" s="31"/>
      <c r="AT295" s="31"/>
      <c r="AU295" s="31"/>
      <c r="AV295" s="31"/>
      <c r="AW295" s="31"/>
      <c r="AX295" s="31"/>
      <c r="AY295" s="31"/>
      <c r="AZ295" s="31"/>
      <c r="BA295" s="31"/>
      <c r="BB295" s="31"/>
      <c r="BC295" s="31"/>
      <c r="BD295" s="31"/>
      <c r="BE295" s="31"/>
      <c r="BF295" s="31"/>
      <c r="BG295" s="31"/>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c r="CH295" s="31"/>
      <c r="CI295" s="31"/>
      <c r="CJ295" s="31"/>
      <c r="CK295" s="31"/>
      <c r="CL295" s="31"/>
      <c r="CM295" s="31"/>
      <c r="CN295" s="31"/>
      <c r="CO295" s="31"/>
      <c r="CP295" s="31"/>
      <c r="CQ295" s="31"/>
      <c r="CR295" s="31"/>
      <c r="CS295" s="31"/>
      <c r="CT295" s="31"/>
      <c r="CU295" s="31"/>
      <c r="CV295" s="31"/>
      <c r="CW295" s="31"/>
      <c r="CX295" s="31"/>
      <c r="CY295" s="31"/>
      <c r="CZ295" s="31"/>
      <c r="DA295" s="31"/>
      <c r="DB295" s="31"/>
      <c r="DC295" s="31"/>
      <c r="DD295" s="31"/>
      <c r="DE295" s="31"/>
      <c r="DF295" s="31"/>
      <c r="DG295" s="31"/>
      <c r="DH295" s="31"/>
      <c r="DI295" s="31"/>
      <c r="DJ295" s="31"/>
      <c r="DK295" s="31"/>
      <c r="DL295" s="31"/>
      <c r="DM295" s="31"/>
      <c r="DN295" s="31"/>
      <c r="DO295" s="31"/>
      <c r="DP295" s="31"/>
      <c r="DQ295" s="31"/>
      <c r="DR295" s="31"/>
      <c r="DS295" s="31"/>
      <c r="DT295" s="31"/>
      <c r="DU295" s="31"/>
      <c r="DV295" s="31"/>
      <c r="DW295" s="31"/>
      <c r="DX295" s="31"/>
      <c r="DY295" s="31"/>
      <c r="DZ295" s="31"/>
      <c r="EA295" s="31"/>
      <c r="EB295" s="31"/>
      <c r="EC295" s="31"/>
      <c r="ED295" s="31"/>
      <c r="EE295" s="31"/>
      <c r="EF295" s="31"/>
      <c r="EG295" s="31"/>
      <c r="EH295" s="31"/>
      <c r="EI295" s="31"/>
      <c r="EJ295" s="31"/>
      <c r="EK295" s="31"/>
      <c r="EL295" s="31"/>
      <c r="EM295" s="31"/>
      <c r="EN295" s="31"/>
      <c r="EO295" s="31"/>
      <c r="EP295" s="31"/>
      <c r="EQ295" s="31"/>
      <c r="ER295" s="31"/>
      <c r="ES295" s="31"/>
      <c r="ET295" s="31"/>
      <c r="EU295" s="31"/>
      <c r="EV295" s="31"/>
      <c r="EW295" s="31"/>
      <c r="EX295" s="31"/>
      <c r="EY295" s="31"/>
      <c r="EZ295" s="31"/>
      <c r="FA295" s="31"/>
      <c r="FB295" s="31"/>
      <c r="FC295" s="31"/>
      <c r="FD295" s="31"/>
      <c r="FE295" s="31"/>
      <c r="FF295" s="31"/>
      <c r="FG295" s="31"/>
      <c r="FH295" s="31"/>
      <c r="FI295" s="31"/>
      <c r="FJ295" s="31"/>
      <c r="FK295" s="31"/>
      <c r="FL295" s="31"/>
      <c r="FM295" s="31"/>
      <c r="FN295" s="31"/>
      <c r="FO295" s="31"/>
      <c r="FP295" s="31"/>
      <c r="FQ295" s="31"/>
      <c r="FR295" s="31"/>
      <c r="FS295" s="31"/>
      <c r="FT295" s="31"/>
      <c r="FU295" s="31"/>
      <c r="FV295" s="31"/>
      <c r="FW295" s="31"/>
      <c r="FX295" s="31"/>
      <c r="FY295" s="31"/>
      <c r="FZ295" s="31"/>
      <c r="GA295" s="31"/>
      <c r="GB295" s="31"/>
      <c r="GC295" s="31"/>
      <c r="GD295" s="31"/>
      <c r="GE295" s="31"/>
      <c r="GF295" s="31"/>
      <c r="GG295" s="31"/>
      <c r="GH295" s="31"/>
      <c r="GI295" s="31"/>
      <c r="GJ295" s="31"/>
      <c r="GK295" s="31"/>
      <c r="GL295" s="31"/>
      <c r="GM295" s="31"/>
      <c r="GN295" s="31"/>
      <c r="GO295" s="31"/>
      <c r="GP295" s="31"/>
      <c r="GQ295" s="31"/>
      <c r="GR295" s="31"/>
      <c r="GS295" s="31"/>
      <c r="GT295" s="31"/>
      <c r="GU295" s="31"/>
      <c r="GV295" s="31"/>
      <c r="GW295" s="31"/>
      <c r="GX295" s="31"/>
      <c r="GY295" s="31"/>
      <c r="GZ295" s="31"/>
      <c r="HA295" s="31"/>
      <c r="HB295" s="31"/>
      <c r="HC295" s="31"/>
      <c r="HD295" s="31"/>
      <c r="HE295" s="31"/>
      <c r="HF295" s="31"/>
      <c r="HG295" s="31"/>
      <c r="HH295" s="31"/>
      <c r="HI295" s="31"/>
      <c r="HJ295" s="31"/>
      <c r="HK295" s="31"/>
      <c r="HL295" s="31"/>
      <c r="HM295" s="31"/>
      <c r="HN295" s="31"/>
      <c r="HO295" s="31"/>
      <c r="HP295" s="31"/>
      <c r="HQ295" s="31"/>
      <c r="HR295" s="31"/>
      <c r="HS295" s="31"/>
      <c r="HT295" s="31"/>
      <c r="HU295" s="31"/>
      <c r="HV295" s="31"/>
      <c r="HW295" s="31"/>
      <c r="HX295" s="31"/>
      <c r="HY295" s="31"/>
      <c r="HZ295" s="31"/>
      <c r="IA295" s="31"/>
      <c r="IB295" s="31"/>
      <c r="IC295" s="31"/>
      <c r="ID295" s="31"/>
      <c r="IE295" s="31"/>
      <c r="IF295" s="31"/>
      <c r="IG295" s="31"/>
      <c r="IH295" s="31"/>
      <c r="II295" s="31"/>
      <c r="IJ295" s="31"/>
      <c r="IK295" s="31"/>
      <c r="IL295" s="31"/>
      <c r="IM295" s="31"/>
      <c r="IN295" s="31"/>
      <c r="IO295" s="31"/>
      <c r="IP295" s="31"/>
      <c r="IQ295" s="31"/>
      <c r="IR295" s="31"/>
      <c r="IS295" s="31"/>
      <c r="IT295" s="31"/>
      <c r="IU295" s="31"/>
      <c r="IV295" s="31"/>
      <c r="IW295" s="31"/>
      <c r="IX295" s="31"/>
      <c r="IY295" s="31"/>
      <c r="IZ295" s="31"/>
      <c r="JA295" s="31"/>
      <c r="JB295" s="31"/>
      <c r="JC295" s="31"/>
      <c r="JD295" s="31"/>
      <c r="JE295" s="31"/>
      <c r="JF295" s="31"/>
      <c r="JG295" s="31"/>
      <c r="JH295" s="31"/>
      <c r="JI295" s="31"/>
      <c r="JJ295" s="31"/>
      <c r="JK295" s="31"/>
      <c r="JL295" s="31"/>
      <c r="JM295" s="31"/>
      <c r="JN295" s="31"/>
      <c r="JO295" s="31"/>
      <c r="JP295" s="31"/>
      <c r="JQ295" s="31"/>
      <c r="JR295" s="31"/>
      <c r="JS295" s="31"/>
      <c r="JT295" s="31"/>
      <c r="JU295" s="31"/>
      <c r="JV295" s="31"/>
      <c r="JW295" s="31"/>
      <c r="JX295" s="31"/>
      <c r="JY295" s="31"/>
      <c r="JZ295" s="31"/>
      <c r="KA295" s="31"/>
      <c r="KB295" s="31"/>
      <c r="KC295" s="31"/>
      <c r="KD295" s="31"/>
      <c r="KE295" s="31"/>
      <c r="KF295" s="31"/>
      <c r="KG295" s="31"/>
      <c r="KH295" s="31"/>
      <c r="KI295" s="31"/>
      <c r="KJ295" s="31"/>
      <c r="KK295" s="31"/>
      <c r="KL295" s="31"/>
      <c r="KM295" s="31"/>
      <c r="KN295" s="31"/>
      <c r="KO295" s="31"/>
      <c r="KP295" s="31"/>
      <c r="KQ295" s="31"/>
      <c r="KR295" s="31"/>
      <c r="KS295" s="31"/>
      <c r="KT295" s="31"/>
      <c r="KU295" s="31"/>
      <c r="KV295" s="31"/>
      <c r="KW295" s="31"/>
      <c r="KX295" s="31"/>
      <c r="KY295" s="31"/>
      <c r="KZ295" s="31"/>
      <c r="LA295" s="31"/>
      <c r="LB295" s="31"/>
      <c r="LC295" s="31"/>
      <c r="LD295" s="31"/>
      <c r="LE295" s="31"/>
      <c r="LF295" s="31"/>
      <c r="LG295" s="31"/>
      <c r="LH295" s="31"/>
      <c r="LI295" s="31"/>
      <c r="LJ295" s="31"/>
      <c r="LK295" s="31"/>
      <c r="LL295" s="31"/>
      <c r="LM295" s="31"/>
      <c r="LN295" s="31"/>
      <c r="LO295" s="31"/>
      <c r="LP295" s="31"/>
      <c r="LQ295" s="31"/>
      <c r="LR295" s="31"/>
      <c r="LS295" s="31"/>
      <c r="LT295" s="31"/>
      <c r="LU295" s="31"/>
      <c r="LV295" s="31"/>
      <c r="LW295" s="31"/>
      <c r="LX295" s="31"/>
      <c r="LY295" s="31"/>
      <c r="LZ295" s="31"/>
      <c r="MA295" s="31"/>
      <c r="MB295" s="31"/>
      <c r="MC295" s="31"/>
      <c r="MD295" s="31"/>
      <c r="ME295" s="31"/>
      <c r="MF295" s="31"/>
      <c r="MG295" s="31"/>
      <c r="MH295" s="31"/>
      <c r="MI295" s="31"/>
      <c r="MJ295" s="31"/>
      <c r="MK295" s="31"/>
      <c r="ML295" s="31"/>
      <c r="MM295" s="31"/>
      <c r="MN295" s="31"/>
      <c r="MO295" s="31"/>
      <c r="MP295" s="31"/>
      <c r="MQ295" s="31"/>
      <c r="MR295" s="31"/>
      <c r="MS295" s="31"/>
      <c r="MT295" s="31"/>
      <c r="MU295" s="31"/>
      <c r="MV295" s="31"/>
      <c r="MW295" s="31"/>
      <c r="MX295" s="31"/>
      <c r="MY295" s="31"/>
      <c r="MZ295" s="31"/>
      <c r="NA295" s="31"/>
      <c r="NB295" s="31"/>
      <c r="NC295" s="31"/>
      <c r="ND295" s="31"/>
      <c r="NE295" s="31"/>
      <c r="NF295" s="31"/>
      <c r="NG295" s="31"/>
      <c r="NH295" s="31"/>
      <c r="NI295" s="31"/>
      <c r="NJ295" s="31"/>
      <c r="NK295" s="31"/>
      <c r="NL295" s="31"/>
      <c r="NM295" s="31"/>
      <c r="NN295" s="31"/>
      <c r="NO295" s="31"/>
      <c r="NP295" s="31"/>
      <c r="NQ295" s="31"/>
      <c r="NR295" s="31"/>
      <c r="NS295" s="31"/>
      <c r="NT295" s="31"/>
      <c r="NU295" s="31"/>
      <c r="NV295" s="31"/>
      <c r="NW295" s="31"/>
      <c r="NX295" s="31"/>
      <c r="NY295" s="31"/>
      <c r="NZ295" s="31"/>
      <c r="OA295" s="31"/>
      <c r="OB295" s="31"/>
      <c r="OC295" s="31"/>
      <c r="OD295" s="31"/>
      <c r="OE295" s="31"/>
      <c r="OF295" s="31"/>
      <c r="OG295" s="31"/>
      <c r="OH295" s="31"/>
      <c r="OI295" s="31"/>
      <c r="OJ295" s="31"/>
      <c r="OK295" s="31"/>
      <c r="OL295" s="31"/>
      <c r="OM295" s="31"/>
      <c r="ON295" s="31"/>
      <c r="OO295" s="31"/>
      <c r="OP295" s="31"/>
      <c r="OQ295" s="31"/>
      <c r="OR295" s="31"/>
      <c r="OS295" s="31"/>
      <c r="OT295" s="31"/>
      <c r="OU295" s="31"/>
      <c r="OV295" s="31"/>
      <c r="OW295" s="31"/>
      <c r="OX295" s="31"/>
      <c r="OY295" s="31"/>
      <c r="OZ295" s="31"/>
      <c r="PA295" s="31"/>
      <c r="PB295" s="31"/>
      <c r="PC295" s="31"/>
      <c r="PD295" s="31"/>
      <c r="PE295" s="31"/>
      <c r="PF295" s="31"/>
      <c r="PG295" s="31"/>
      <c r="PH295" s="31"/>
      <c r="PI295" s="31"/>
      <c r="PJ295" s="31"/>
      <c r="PK295" s="31"/>
      <c r="PL295" s="31"/>
      <c r="PM295" s="31"/>
      <c r="PN295" s="31"/>
      <c r="PO295" s="31"/>
      <c r="PP295" s="31"/>
      <c r="PQ295" s="31"/>
      <c r="PR295" s="31"/>
      <c r="PS295" s="31"/>
      <c r="PT295" s="31"/>
      <c r="PU295" s="31"/>
      <c r="PV295" s="31"/>
      <c r="PW295" s="31"/>
      <c r="PX295" s="31"/>
      <c r="PY295" s="31"/>
      <c r="PZ295" s="31"/>
      <c r="QA295" s="31"/>
      <c r="QB295" s="31"/>
      <c r="QC295" s="31"/>
      <c r="QD295" s="31"/>
      <c r="QE295" s="31"/>
      <c r="QF295" s="31"/>
      <c r="QG295" s="31"/>
      <c r="QH295" s="31"/>
      <c r="QI295" s="31"/>
      <c r="QJ295" s="31"/>
      <c r="QK295" s="31"/>
      <c r="QL295" s="31"/>
      <c r="QM295" s="31"/>
      <c r="QN295" s="31"/>
      <c r="QO295" s="31"/>
      <c r="QP295" s="31"/>
      <c r="QQ295" s="31"/>
      <c r="QR295" s="31"/>
      <c r="QS295" s="31"/>
      <c r="QT295" s="31"/>
      <c r="QU295" s="31"/>
      <c r="QV295" s="31"/>
      <c r="QW295" s="31"/>
      <c r="QX295" s="31"/>
      <c r="QY295" s="31"/>
      <c r="QZ295" s="31"/>
      <c r="RA295" s="31"/>
      <c r="RB295" s="31"/>
      <c r="RC295" s="31"/>
      <c r="RD295" s="31"/>
      <c r="RE295" s="31"/>
      <c r="RF295" s="31"/>
      <c r="RG295" s="31"/>
      <c r="RH295" s="31"/>
      <c r="RI295" s="31"/>
      <c r="RJ295" s="31"/>
      <c r="RK295" s="31"/>
      <c r="RL295" s="31"/>
      <c r="RM295" s="31"/>
      <c r="RN295" s="31"/>
      <c r="RO295" s="31"/>
      <c r="RP295" s="31"/>
      <c r="RQ295" s="31"/>
      <c r="RR295" s="31"/>
      <c r="RS295" s="31"/>
      <c r="RT295" s="31"/>
      <c r="RU295" s="31"/>
      <c r="RV295" s="31"/>
      <c r="RW295" s="31"/>
      <c r="RX295" s="31"/>
      <c r="RY295" s="31"/>
      <c r="RZ295" s="31"/>
      <c r="SA295" s="31"/>
      <c r="SB295" s="31"/>
      <c r="SC295" s="31"/>
      <c r="SD295" s="31"/>
      <c r="SE295" s="31"/>
      <c r="SF295" s="31"/>
      <c r="SG295" s="31"/>
      <c r="SH295" s="31"/>
      <c r="SI295" s="31"/>
      <c r="SJ295" s="31"/>
      <c r="SK295" s="31"/>
      <c r="SL295" s="31"/>
      <c r="SM295" s="31"/>
      <c r="SN295" s="31"/>
      <c r="SO295" s="31"/>
      <c r="SP295" s="31"/>
      <c r="SQ295" s="31"/>
      <c r="SR295" s="31"/>
      <c r="SS295" s="31"/>
      <c r="ST295" s="31"/>
      <c r="SU295" s="31"/>
      <c r="SV295" s="31"/>
      <c r="SW295" s="31"/>
      <c r="SX295" s="31"/>
      <c r="SY295" s="31"/>
      <c r="SZ295" s="31"/>
      <c r="TA295" s="31"/>
      <c r="TB295" s="31"/>
      <c r="TC295" s="31"/>
      <c r="TD295" s="31"/>
      <c r="TE295" s="31"/>
      <c r="TF295" s="31"/>
      <c r="TG295" s="31"/>
      <c r="TH295" s="31"/>
      <c r="TI295" s="31"/>
      <c r="TJ295" s="31"/>
      <c r="TK295" s="31"/>
      <c r="TL295" s="31"/>
      <c r="TM295" s="31"/>
      <c r="TN295" s="31"/>
      <c r="TO295" s="31"/>
      <c r="TP295" s="31"/>
      <c r="TQ295" s="31"/>
      <c r="TR295" s="31"/>
      <c r="TS295" s="31"/>
      <c r="TT295" s="31"/>
      <c r="TU295" s="31"/>
      <c r="TV295" s="31"/>
      <c r="TW295" s="31"/>
      <c r="TX295" s="31"/>
      <c r="TY295" s="31"/>
      <c r="TZ295" s="31"/>
      <c r="UA295" s="31"/>
      <c r="UB295" s="31"/>
      <c r="UC295" s="31"/>
      <c r="UD295" s="31"/>
      <c r="UE295" s="31"/>
      <c r="UF295" s="31"/>
      <c r="UG295" s="33"/>
    </row>
    <row r="296" spans="1:553" ht="30" customHeight="1">
      <c r="A296" s="356" t="s">
        <v>15</v>
      </c>
      <c r="B296" s="356"/>
      <c r="C296" s="384" t="s">
        <v>69</v>
      </c>
      <c r="D296" s="376">
        <v>1</v>
      </c>
      <c r="E296" s="376">
        <v>479</v>
      </c>
      <c r="F296" s="385"/>
      <c r="G296" s="386" t="s">
        <v>935</v>
      </c>
      <c r="H296" s="370"/>
      <c r="I296" s="490">
        <v>76.5</v>
      </c>
      <c r="J296" s="368">
        <v>62000</v>
      </c>
      <c r="K296" s="850">
        <v>2.5</v>
      </c>
      <c r="L296" s="366">
        <f t="shared" si="56"/>
        <v>11857500</v>
      </c>
      <c r="M296" s="366"/>
      <c r="N296" s="366"/>
      <c r="O296" s="366"/>
      <c r="P296" s="366"/>
      <c r="Q296" s="1135"/>
      <c r="R296" s="1447"/>
      <c r="S296" s="308"/>
      <c r="T296" s="303"/>
      <c r="U296" s="306"/>
      <c r="V296" s="307"/>
      <c r="W296" s="306"/>
      <c r="X296" s="306"/>
      <c r="Y296" s="306"/>
      <c r="Z296" s="306"/>
      <c r="AA296" s="306"/>
      <c r="AB296" s="306"/>
      <c r="AC296" s="449"/>
      <c r="AD296" s="452"/>
      <c r="AE296" s="452"/>
      <c r="AF296" s="452"/>
      <c r="AG296" s="452"/>
      <c r="AH296" s="452"/>
      <c r="AI296" s="452"/>
      <c r="AJ296" s="452"/>
      <c r="AK296" s="452"/>
      <c r="AL296" s="106"/>
      <c r="AM296" s="31"/>
      <c r="AN296" s="31"/>
      <c r="AO296" s="31"/>
      <c r="AP296" s="31"/>
      <c r="AQ296" s="31"/>
      <c r="AR296" s="31"/>
      <c r="AS296" s="31"/>
      <c r="AT296" s="31"/>
      <c r="AU296" s="31"/>
      <c r="AV296" s="31"/>
      <c r="AW296" s="31"/>
      <c r="AX296" s="31"/>
      <c r="AY296" s="31"/>
      <c r="AZ296" s="31"/>
      <c r="BA296" s="31"/>
      <c r="BB296" s="31"/>
      <c r="BC296" s="31"/>
      <c r="BD296" s="31"/>
      <c r="BE296" s="31"/>
      <c r="BF296" s="31"/>
      <c r="BG296" s="31"/>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c r="CH296" s="31"/>
      <c r="CI296" s="31"/>
      <c r="CJ296" s="31"/>
      <c r="CK296" s="31"/>
      <c r="CL296" s="31"/>
      <c r="CM296" s="31"/>
      <c r="CN296" s="31"/>
      <c r="CO296" s="31"/>
      <c r="CP296" s="31"/>
      <c r="CQ296" s="31"/>
      <c r="CR296" s="31"/>
      <c r="CS296" s="31"/>
      <c r="CT296" s="31"/>
      <c r="CU296" s="31"/>
      <c r="CV296" s="31"/>
      <c r="CW296" s="31"/>
      <c r="CX296" s="31"/>
      <c r="CY296" s="31"/>
      <c r="CZ296" s="31"/>
      <c r="DA296" s="31"/>
      <c r="DB296" s="31"/>
      <c r="DC296" s="31"/>
      <c r="DD296" s="31"/>
      <c r="DE296" s="31"/>
      <c r="DF296" s="31"/>
      <c r="DG296" s="31"/>
      <c r="DH296" s="31"/>
      <c r="DI296" s="31"/>
      <c r="DJ296" s="31"/>
      <c r="DK296" s="31"/>
      <c r="DL296" s="31"/>
      <c r="DM296" s="31"/>
      <c r="DN296" s="31"/>
      <c r="DO296" s="31"/>
      <c r="DP296" s="31"/>
      <c r="DQ296" s="31"/>
      <c r="DR296" s="31"/>
      <c r="DS296" s="31"/>
      <c r="DT296" s="31"/>
      <c r="DU296" s="31"/>
      <c r="DV296" s="31"/>
      <c r="DW296" s="31"/>
      <c r="DX296" s="31"/>
      <c r="DY296" s="31"/>
      <c r="DZ296" s="31"/>
      <c r="EA296" s="31"/>
      <c r="EB296" s="31"/>
      <c r="EC296" s="31"/>
      <c r="ED296" s="31"/>
      <c r="EE296" s="31"/>
      <c r="EF296" s="31"/>
      <c r="EG296" s="31"/>
      <c r="EH296" s="31"/>
      <c r="EI296" s="31"/>
      <c r="EJ296" s="31"/>
      <c r="EK296" s="31"/>
      <c r="EL296" s="31"/>
      <c r="EM296" s="31"/>
      <c r="EN296" s="31"/>
      <c r="EO296" s="31"/>
      <c r="EP296" s="31"/>
      <c r="EQ296" s="31"/>
      <c r="ER296" s="31"/>
      <c r="ES296" s="31"/>
      <c r="ET296" s="31"/>
      <c r="EU296" s="31"/>
      <c r="EV296" s="31"/>
      <c r="EW296" s="31"/>
      <c r="EX296" s="31"/>
      <c r="EY296" s="31"/>
      <c r="EZ296" s="31"/>
      <c r="FA296" s="31"/>
      <c r="FB296" s="31"/>
      <c r="FC296" s="31"/>
      <c r="FD296" s="31"/>
      <c r="FE296" s="31"/>
      <c r="FF296" s="31"/>
      <c r="FG296" s="31"/>
      <c r="FH296" s="31"/>
      <c r="FI296" s="31"/>
      <c r="FJ296" s="31"/>
      <c r="FK296" s="31"/>
      <c r="FL296" s="31"/>
      <c r="FM296" s="31"/>
      <c r="FN296" s="31"/>
      <c r="FO296" s="31"/>
      <c r="FP296" s="31"/>
      <c r="FQ296" s="31"/>
      <c r="FR296" s="31"/>
      <c r="FS296" s="31"/>
      <c r="FT296" s="31"/>
      <c r="FU296" s="31"/>
      <c r="FV296" s="31"/>
      <c r="FW296" s="31"/>
      <c r="FX296" s="31"/>
      <c r="FY296" s="31"/>
      <c r="FZ296" s="31"/>
      <c r="GA296" s="31"/>
      <c r="GB296" s="31"/>
      <c r="GC296" s="31"/>
      <c r="GD296" s="31"/>
      <c r="GE296" s="31"/>
      <c r="GF296" s="31"/>
      <c r="GG296" s="31"/>
      <c r="GH296" s="31"/>
      <c r="GI296" s="31"/>
      <c r="GJ296" s="31"/>
      <c r="GK296" s="31"/>
      <c r="GL296" s="31"/>
      <c r="GM296" s="31"/>
      <c r="GN296" s="31"/>
      <c r="GO296" s="31"/>
      <c r="GP296" s="31"/>
      <c r="GQ296" s="31"/>
      <c r="GR296" s="31"/>
      <c r="GS296" s="31"/>
      <c r="GT296" s="31"/>
      <c r="GU296" s="31"/>
      <c r="GV296" s="31"/>
      <c r="GW296" s="31"/>
      <c r="GX296" s="31"/>
      <c r="GY296" s="31"/>
      <c r="GZ296" s="31"/>
      <c r="HA296" s="31"/>
      <c r="HB296" s="31"/>
      <c r="HC296" s="31"/>
      <c r="HD296" s="31"/>
      <c r="HE296" s="31"/>
      <c r="HF296" s="31"/>
      <c r="HG296" s="31"/>
      <c r="HH296" s="31"/>
      <c r="HI296" s="31"/>
      <c r="HJ296" s="31"/>
      <c r="HK296" s="31"/>
      <c r="HL296" s="31"/>
      <c r="HM296" s="31"/>
      <c r="HN296" s="31"/>
      <c r="HO296" s="31"/>
      <c r="HP296" s="31"/>
      <c r="HQ296" s="31"/>
      <c r="HR296" s="31"/>
      <c r="HS296" s="31"/>
      <c r="HT296" s="31"/>
      <c r="HU296" s="31"/>
      <c r="HV296" s="31"/>
      <c r="HW296" s="31"/>
      <c r="HX296" s="31"/>
      <c r="HY296" s="31"/>
      <c r="HZ296" s="31"/>
      <c r="IA296" s="31"/>
      <c r="IB296" s="31"/>
      <c r="IC296" s="31"/>
      <c r="ID296" s="31"/>
      <c r="IE296" s="31"/>
      <c r="IF296" s="31"/>
      <c r="IG296" s="31"/>
      <c r="IH296" s="31"/>
      <c r="II296" s="31"/>
      <c r="IJ296" s="31"/>
      <c r="IK296" s="31"/>
      <c r="IL296" s="31"/>
      <c r="IM296" s="31"/>
      <c r="IN296" s="31"/>
      <c r="IO296" s="31"/>
      <c r="IP296" s="31"/>
      <c r="IQ296" s="31"/>
      <c r="IR296" s="31"/>
      <c r="IS296" s="31"/>
      <c r="IT296" s="31"/>
      <c r="IU296" s="31"/>
      <c r="IV296" s="31"/>
      <c r="IW296" s="31"/>
      <c r="IX296" s="31"/>
      <c r="IY296" s="31"/>
      <c r="IZ296" s="31"/>
      <c r="JA296" s="31"/>
      <c r="JB296" s="31"/>
      <c r="JC296" s="31"/>
      <c r="JD296" s="31"/>
      <c r="JE296" s="31"/>
      <c r="JF296" s="31"/>
      <c r="JG296" s="31"/>
      <c r="JH296" s="31"/>
      <c r="JI296" s="31"/>
      <c r="JJ296" s="31"/>
      <c r="JK296" s="31"/>
      <c r="JL296" s="31"/>
      <c r="JM296" s="31"/>
      <c r="JN296" s="31"/>
      <c r="JO296" s="31"/>
      <c r="JP296" s="31"/>
      <c r="JQ296" s="31"/>
      <c r="JR296" s="31"/>
      <c r="JS296" s="31"/>
      <c r="JT296" s="31"/>
      <c r="JU296" s="31"/>
      <c r="JV296" s="31"/>
      <c r="JW296" s="31"/>
      <c r="JX296" s="31"/>
      <c r="JY296" s="31"/>
      <c r="JZ296" s="31"/>
      <c r="KA296" s="31"/>
      <c r="KB296" s="31"/>
      <c r="KC296" s="31"/>
      <c r="KD296" s="31"/>
      <c r="KE296" s="31"/>
      <c r="KF296" s="31"/>
      <c r="KG296" s="31"/>
      <c r="KH296" s="31"/>
      <c r="KI296" s="31"/>
      <c r="KJ296" s="31"/>
      <c r="KK296" s="31"/>
      <c r="KL296" s="31"/>
      <c r="KM296" s="31"/>
      <c r="KN296" s="31"/>
      <c r="KO296" s="31"/>
      <c r="KP296" s="31"/>
      <c r="KQ296" s="31"/>
      <c r="KR296" s="31"/>
      <c r="KS296" s="31"/>
      <c r="KT296" s="31"/>
      <c r="KU296" s="31"/>
      <c r="KV296" s="31"/>
      <c r="KW296" s="31"/>
      <c r="KX296" s="31"/>
      <c r="KY296" s="31"/>
      <c r="KZ296" s="31"/>
      <c r="LA296" s="31"/>
      <c r="LB296" s="31"/>
      <c r="LC296" s="31"/>
      <c r="LD296" s="31"/>
      <c r="LE296" s="31"/>
      <c r="LF296" s="31"/>
      <c r="LG296" s="31"/>
      <c r="LH296" s="31"/>
      <c r="LI296" s="31"/>
      <c r="LJ296" s="31"/>
      <c r="LK296" s="31"/>
      <c r="LL296" s="31"/>
      <c r="LM296" s="31"/>
      <c r="LN296" s="31"/>
      <c r="LO296" s="31"/>
      <c r="LP296" s="31"/>
      <c r="LQ296" s="31"/>
      <c r="LR296" s="31"/>
      <c r="LS296" s="31"/>
      <c r="LT296" s="31"/>
      <c r="LU296" s="31"/>
      <c r="LV296" s="31"/>
      <c r="LW296" s="31"/>
      <c r="LX296" s="31"/>
      <c r="LY296" s="31"/>
      <c r="LZ296" s="31"/>
      <c r="MA296" s="31"/>
      <c r="MB296" s="31"/>
      <c r="MC296" s="31"/>
      <c r="MD296" s="31"/>
      <c r="ME296" s="31"/>
      <c r="MF296" s="31"/>
      <c r="MG296" s="31"/>
      <c r="MH296" s="31"/>
      <c r="MI296" s="31"/>
      <c r="MJ296" s="31"/>
      <c r="MK296" s="31"/>
      <c r="ML296" s="31"/>
      <c r="MM296" s="31"/>
      <c r="MN296" s="31"/>
      <c r="MO296" s="31"/>
      <c r="MP296" s="31"/>
      <c r="MQ296" s="31"/>
      <c r="MR296" s="31"/>
      <c r="MS296" s="31"/>
      <c r="MT296" s="31"/>
      <c r="MU296" s="31"/>
      <c r="MV296" s="31"/>
      <c r="MW296" s="31"/>
      <c r="MX296" s="31"/>
      <c r="MY296" s="31"/>
      <c r="MZ296" s="31"/>
      <c r="NA296" s="31"/>
      <c r="NB296" s="31"/>
      <c r="NC296" s="31"/>
      <c r="ND296" s="31"/>
      <c r="NE296" s="31"/>
      <c r="NF296" s="31"/>
      <c r="NG296" s="31"/>
      <c r="NH296" s="31"/>
      <c r="NI296" s="31"/>
      <c r="NJ296" s="31"/>
      <c r="NK296" s="31"/>
      <c r="NL296" s="31"/>
      <c r="NM296" s="31"/>
      <c r="NN296" s="31"/>
      <c r="NO296" s="31"/>
      <c r="NP296" s="31"/>
      <c r="NQ296" s="31"/>
      <c r="NR296" s="31"/>
      <c r="NS296" s="31"/>
      <c r="NT296" s="31"/>
      <c r="NU296" s="31"/>
      <c r="NV296" s="31"/>
      <c r="NW296" s="31"/>
      <c r="NX296" s="31"/>
      <c r="NY296" s="31"/>
      <c r="NZ296" s="31"/>
      <c r="OA296" s="31"/>
      <c r="OB296" s="31"/>
      <c r="OC296" s="31"/>
      <c r="OD296" s="31"/>
      <c r="OE296" s="31"/>
      <c r="OF296" s="31"/>
      <c r="OG296" s="31"/>
      <c r="OH296" s="31"/>
      <c r="OI296" s="31"/>
      <c r="OJ296" s="31"/>
      <c r="OK296" s="31"/>
      <c r="OL296" s="31"/>
      <c r="OM296" s="31"/>
      <c r="ON296" s="31"/>
      <c r="OO296" s="31"/>
      <c r="OP296" s="31"/>
      <c r="OQ296" s="31"/>
      <c r="OR296" s="31"/>
      <c r="OS296" s="31"/>
      <c r="OT296" s="31"/>
      <c r="OU296" s="31"/>
      <c r="OV296" s="31"/>
      <c r="OW296" s="31"/>
      <c r="OX296" s="31"/>
      <c r="OY296" s="31"/>
      <c r="OZ296" s="31"/>
      <c r="PA296" s="31"/>
      <c r="PB296" s="31"/>
      <c r="PC296" s="31"/>
      <c r="PD296" s="31"/>
      <c r="PE296" s="31"/>
      <c r="PF296" s="31"/>
      <c r="PG296" s="31"/>
      <c r="PH296" s="31"/>
      <c r="PI296" s="31"/>
      <c r="PJ296" s="31"/>
      <c r="PK296" s="31"/>
      <c r="PL296" s="31"/>
      <c r="PM296" s="31"/>
      <c r="PN296" s="31"/>
      <c r="PO296" s="31"/>
      <c r="PP296" s="31"/>
      <c r="PQ296" s="31"/>
      <c r="PR296" s="31"/>
      <c r="PS296" s="31"/>
      <c r="PT296" s="31"/>
      <c r="PU296" s="31"/>
      <c r="PV296" s="31"/>
      <c r="PW296" s="31"/>
      <c r="PX296" s="31"/>
      <c r="PY296" s="31"/>
      <c r="PZ296" s="31"/>
      <c r="QA296" s="31"/>
      <c r="QB296" s="31"/>
      <c r="QC296" s="31"/>
      <c r="QD296" s="31"/>
      <c r="QE296" s="31"/>
      <c r="QF296" s="31"/>
      <c r="QG296" s="31"/>
      <c r="QH296" s="31"/>
      <c r="QI296" s="31"/>
      <c r="QJ296" s="31"/>
      <c r="QK296" s="31"/>
      <c r="QL296" s="31"/>
      <c r="QM296" s="31"/>
      <c r="QN296" s="31"/>
      <c r="QO296" s="31"/>
      <c r="QP296" s="31"/>
      <c r="QQ296" s="31"/>
      <c r="QR296" s="31"/>
      <c r="QS296" s="31"/>
      <c r="QT296" s="31"/>
      <c r="QU296" s="31"/>
      <c r="QV296" s="31"/>
      <c r="QW296" s="31"/>
      <c r="QX296" s="31"/>
      <c r="QY296" s="31"/>
      <c r="QZ296" s="31"/>
      <c r="RA296" s="31"/>
      <c r="RB296" s="31"/>
      <c r="RC296" s="31"/>
      <c r="RD296" s="31"/>
      <c r="RE296" s="31"/>
      <c r="RF296" s="31"/>
      <c r="RG296" s="31"/>
      <c r="RH296" s="31"/>
      <c r="RI296" s="31"/>
      <c r="RJ296" s="31"/>
      <c r="RK296" s="31"/>
      <c r="RL296" s="31"/>
      <c r="RM296" s="31"/>
      <c r="RN296" s="31"/>
      <c r="RO296" s="31"/>
      <c r="RP296" s="31"/>
      <c r="RQ296" s="31"/>
      <c r="RR296" s="31"/>
      <c r="RS296" s="31"/>
      <c r="RT296" s="31"/>
      <c r="RU296" s="31"/>
      <c r="RV296" s="31"/>
      <c r="RW296" s="31"/>
      <c r="RX296" s="31"/>
      <c r="RY296" s="31"/>
      <c r="RZ296" s="31"/>
      <c r="SA296" s="31"/>
      <c r="SB296" s="31"/>
      <c r="SC296" s="31"/>
      <c r="SD296" s="31"/>
      <c r="SE296" s="31"/>
      <c r="SF296" s="31"/>
      <c r="SG296" s="31"/>
      <c r="SH296" s="31"/>
      <c r="SI296" s="31"/>
      <c r="SJ296" s="31"/>
      <c r="SK296" s="31"/>
      <c r="SL296" s="31"/>
      <c r="SM296" s="31"/>
      <c r="SN296" s="31"/>
      <c r="SO296" s="31"/>
      <c r="SP296" s="31"/>
      <c r="SQ296" s="31"/>
      <c r="SR296" s="31"/>
      <c r="SS296" s="31"/>
      <c r="ST296" s="31"/>
      <c r="SU296" s="31"/>
      <c r="SV296" s="31"/>
      <c r="SW296" s="31"/>
      <c r="SX296" s="31"/>
      <c r="SY296" s="31"/>
      <c r="SZ296" s="31"/>
      <c r="TA296" s="31"/>
      <c r="TB296" s="31"/>
      <c r="TC296" s="31"/>
      <c r="TD296" s="31"/>
      <c r="TE296" s="31"/>
      <c r="TF296" s="31"/>
      <c r="TG296" s="31"/>
      <c r="TH296" s="31"/>
      <c r="TI296" s="31"/>
      <c r="TJ296" s="31"/>
      <c r="TK296" s="31"/>
      <c r="TL296" s="31"/>
      <c r="TM296" s="31"/>
      <c r="TN296" s="31"/>
      <c r="TO296" s="31"/>
      <c r="TP296" s="31"/>
      <c r="TQ296" s="31"/>
      <c r="TR296" s="31"/>
      <c r="TS296" s="31"/>
      <c r="TT296" s="31"/>
      <c r="TU296" s="31"/>
      <c r="TV296" s="31"/>
      <c r="TW296" s="31"/>
      <c r="TX296" s="31"/>
      <c r="TY296" s="31"/>
      <c r="TZ296" s="31"/>
      <c r="UA296" s="31"/>
      <c r="UB296" s="31"/>
      <c r="UC296" s="31"/>
      <c r="UD296" s="31"/>
      <c r="UE296" s="31"/>
      <c r="UF296" s="31"/>
      <c r="UG296" s="33"/>
    </row>
    <row r="297" spans="1:553" ht="30" customHeight="1">
      <c r="A297" s="356" t="s">
        <v>15</v>
      </c>
      <c r="B297" s="356"/>
      <c r="C297" s="384" t="s">
        <v>25</v>
      </c>
      <c r="D297" s="376">
        <v>1</v>
      </c>
      <c r="E297" s="376">
        <v>292</v>
      </c>
      <c r="F297" s="385"/>
      <c r="G297" s="386" t="s">
        <v>935</v>
      </c>
      <c r="H297" s="370"/>
      <c r="I297" s="490">
        <v>76.8</v>
      </c>
      <c r="J297" s="368">
        <v>66000</v>
      </c>
      <c r="K297" s="850">
        <v>2.5</v>
      </c>
      <c r="L297" s="366">
        <f t="shared" si="56"/>
        <v>12672000</v>
      </c>
      <c r="M297" s="366"/>
      <c r="N297" s="366"/>
      <c r="O297" s="366"/>
      <c r="P297" s="366"/>
      <c r="Q297" s="1135"/>
      <c r="R297" s="1447"/>
      <c r="S297" s="435"/>
      <c r="T297" s="436"/>
      <c r="U297" s="304"/>
      <c r="V297" s="393"/>
      <c r="W297" s="304"/>
      <c r="X297" s="304"/>
      <c r="Y297" s="304"/>
      <c r="Z297" s="304"/>
      <c r="AA297" s="304"/>
      <c r="AB297" s="304"/>
      <c r="AC297" s="449"/>
      <c r="AD297" s="452"/>
      <c r="AE297" s="452"/>
      <c r="AF297" s="452"/>
      <c r="AG297" s="452"/>
      <c r="AH297" s="452"/>
      <c r="AI297" s="452"/>
      <c r="AJ297" s="452"/>
      <c r="AK297" s="452"/>
      <c r="AL297" s="106"/>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c r="CH297" s="31"/>
      <c r="CI297" s="31"/>
      <c r="CJ297" s="31"/>
      <c r="CK297" s="31"/>
      <c r="CL297" s="31"/>
      <c r="CM297" s="31"/>
      <c r="CN297" s="31"/>
      <c r="CO297" s="31"/>
      <c r="CP297" s="31"/>
      <c r="CQ297" s="31"/>
      <c r="CR297" s="31"/>
      <c r="CS297" s="31"/>
      <c r="CT297" s="31"/>
      <c r="CU297" s="31"/>
      <c r="CV297" s="31"/>
      <c r="CW297" s="31"/>
      <c r="CX297" s="31"/>
      <c r="CY297" s="31"/>
      <c r="CZ297" s="31"/>
      <c r="DA297" s="31"/>
      <c r="DB297" s="31"/>
      <c r="DC297" s="31"/>
      <c r="DD297" s="31"/>
      <c r="DE297" s="31"/>
      <c r="DF297" s="31"/>
      <c r="DG297" s="31"/>
      <c r="DH297" s="31"/>
      <c r="DI297" s="31"/>
      <c r="DJ297" s="31"/>
      <c r="DK297" s="31"/>
      <c r="DL297" s="31"/>
      <c r="DM297" s="31"/>
      <c r="DN297" s="31"/>
      <c r="DO297" s="31"/>
      <c r="DP297" s="31"/>
      <c r="DQ297" s="31"/>
      <c r="DR297" s="31"/>
      <c r="DS297" s="31"/>
      <c r="DT297" s="31"/>
      <c r="DU297" s="31"/>
      <c r="DV297" s="31"/>
      <c r="DW297" s="31"/>
      <c r="DX297" s="31"/>
      <c r="DY297" s="31"/>
      <c r="DZ297" s="31"/>
      <c r="EA297" s="31"/>
      <c r="EB297" s="31"/>
      <c r="EC297" s="31"/>
      <c r="ED297" s="31"/>
      <c r="EE297" s="31"/>
      <c r="EF297" s="31"/>
      <c r="EG297" s="31"/>
      <c r="EH297" s="31"/>
      <c r="EI297" s="31"/>
      <c r="EJ297" s="31"/>
      <c r="EK297" s="31"/>
      <c r="EL297" s="31"/>
      <c r="EM297" s="31"/>
      <c r="EN297" s="31"/>
      <c r="EO297" s="31"/>
      <c r="EP297" s="31"/>
      <c r="EQ297" s="31"/>
      <c r="ER297" s="31"/>
      <c r="ES297" s="31"/>
      <c r="ET297" s="31"/>
      <c r="EU297" s="31"/>
      <c r="EV297" s="31"/>
      <c r="EW297" s="31"/>
      <c r="EX297" s="31"/>
      <c r="EY297" s="31"/>
      <c r="EZ297" s="31"/>
      <c r="FA297" s="31"/>
      <c r="FB297" s="31"/>
      <c r="FC297" s="31"/>
      <c r="FD297" s="31"/>
      <c r="FE297" s="31"/>
      <c r="FF297" s="31"/>
      <c r="FG297" s="31"/>
      <c r="FH297" s="31"/>
      <c r="FI297" s="31"/>
      <c r="FJ297" s="31"/>
      <c r="FK297" s="31"/>
      <c r="FL297" s="31"/>
      <c r="FM297" s="31"/>
      <c r="FN297" s="31"/>
      <c r="FO297" s="31"/>
      <c r="FP297" s="31"/>
      <c r="FQ297" s="31"/>
      <c r="FR297" s="31"/>
      <c r="FS297" s="31"/>
      <c r="FT297" s="31"/>
      <c r="FU297" s="31"/>
      <c r="FV297" s="31"/>
      <c r="FW297" s="31"/>
      <c r="FX297" s="31"/>
      <c r="FY297" s="31"/>
      <c r="FZ297" s="31"/>
      <c r="GA297" s="31"/>
      <c r="GB297" s="31"/>
      <c r="GC297" s="31"/>
      <c r="GD297" s="31"/>
      <c r="GE297" s="31"/>
      <c r="GF297" s="31"/>
      <c r="GG297" s="31"/>
      <c r="GH297" s="31"/>
      <c r="GI297" s="31"/>
      <c r="GJ297" s="31"/>
      <c r="GK297" s="31"/>
      <c r="GL297" s="31"/>
      <c r="GM297" s="31"/>
      <c r="GN297" s="31"/>
      <c r="GO297" s="31"/>
      <c r="GP297" s="31"/>
      <c r="GQ297" s="31"/>
      <c r="GR297" s="31"/>
      <c r="GS297" s="31"/>
      <c r="GT297" s="31"/>
      <c r="GU297" s="31"/>
      <c r="GV297" s="31"/>
      <c r="GW297" s="31"/>
      <c r="GX297" s="31"/>
      <c r="GY297" s="31"/>
      <c r="GZ297" s="31"/>
      <c r="HA297" s="31"/>
      <c r="HB297" s="31"/>
      <c r="HC297" s="31"/>
      <c r="HD297" s="31"/>
      <c r="HE297" s="31"/>
      <c r="HF297" s="31"/>
      <c r="HG297" s="31"/>
      <c r="HH297" s="31"/>
      <c r="HI297" s="31"/>
      <c r="HJ297" s="31"/>
      <c r="HK297" s="31"/>
      <c r="HL297" s="31"/>
      <c r="HM297" s="31"/>
      <c r="HN297" s="31"/>
      <c r="HO297" s="31"/>
      <c r="HP297" s="31"/>
      <c r="HQ297" s="31"/>
      <c r="HR297" s="31"/>
      <c r="HS297" s="31"/>
      <c r="HT297" s="31"/>
      <c r="HU297" s="31"/>
      <c r="HV297" s="31"/>
      <c r="HW297" s="31"/>
      <c r="HX297" s="31"/>
      <c r="HY297" s="31"/>
      <c r="HZ297" s="31"/>
      <c r="IA297" s="31"/>
      <c r="IB297" s="31"/>
      <c r="IC297" s="31"/>
      <c r="ID297" s="31"/>
      <c r="IE297" s="31"/>
      <c r="IF297" s="31"/>
      <c r="IG297" s="31"/>
      <c r="IH297" s="31"/>
      <c r="II297" s="31"/>
      <c r="IJ297" s="31"/>
      <c r="IK297" s="31"/>
      <c r="IL297" s="31"/>
      <c r="IM297" s="31"/>
      <c r="IN297" s="31"/>
      <c r="IO297" s="31"/>
      <c r="IP297" s="31"/>
      <c r="IQ297" s="31"/>
      <c r="IR297" s="31"/>
      <c r="IS297" s="31"/>
      <c r="IT297" s="31"/>
      <c r="IU297" s="31"/>
      <c r="IV297" s="31"/>
      <c r="IW297" s="31"/>
      <c r="IX297" s="31"/>
      <c r="IY297" s="31"/>
      <c r="IZ297" s="31"/>
      <c r="JA297" s="31"/>
      <c r="JB297" s="31"/>
      <c r="JC297" s="31"/>
      <c r="JD297" s="31"/>
      <c r="JE297" s="31"/>
      <c r="JF297" s="31"/>
      <c r="JG297" s="31"/>
      <c r="JH297" s="31"/>
      <c r="JI297" s="31"/>
      <c r="JJ297" s="31"/>
      <c r="JK297" s="31"/>
      <c r="JL297" s="31"/>
      <c r="JM297" s="31"/>
      <c r="JN297" s="31"/>
      <c r="JO297" s="31"/>
      <c r="JP297" s="31"/>
      <c r="JQ297" s="31"/>
      <c r="JR297" s="31"/>
      <c r="JS297" s="31"/>
      <c r="JT297" s="31"/>
      <c r="JU297" s="31"/>
      <c r="JV297" s="31"/>
      <c r="JW297" s="31"/>
      <c r="JX297" s="31"/>
      <c r="JY297" s="31"/>
      <c r="JZ297" s="31"/>
      <c r="KA297" s="31"/>
      <c r="KB297" s="31"/>
      <c r="KC297" s="31"/>
      <c r="KD297" s="31"/>
      <c r="KE297" s="31"/>
      <c r="KF297" s="31"/>
      <c r="KG297" s="31"/>
      <c r="KH297" s="31"/>
      <c r="KI297" s="31"/>
      <c r="KJ297" s="31"/>
      <c r="KK297" s="31"/>
      <c r="KL297" s="31"/>
      <c r="KM297" s="31"/>
      <c r="KN297" s="31"/>
      <c r="KO297" s="31"/>
      <c r="KP297" s="31"/>
      <c r="KQ297" s="31"/>
      <c r="KR297" s="31"/>
      <c r="KS297" s="31"/>
      <c r="KT297" s="31"/>
      <c r="KU297" s="31"/>
      <c r="KV297" s="31"/>
      <c r="KW297" s="31"/>
      <c r="KX297" s="31"/>
      <c r="KY297" s="31"/>
      <c r="KZ297" s="31"/>
      <c r="LA297" s="31"/>
      <c r="LB297" s="31"/>
      <c r="LC297" s="31"/>
      <c r="LD297" s="31"/>
      <c r="LE297" s="31"/>
      <c r="LF297" s="31"/>
      <c r="LG297" s="31"/>
      <c r="LH297" s="31"/>
      <c r="LI297" s="31"/>
      <c r="LJ297" s="31"/>
      <c r="LK297" s="31"/>
      <c r="LL297" s="31"/>
      <c r="LM297" s="31"/>
      <c r="LN297" s="31"/>
      <c r="LO297" s="31"/>
      <c r="LP297" s="31"/>
      <c r="LQ297" s="31"/>
      <c r="LR297" s="31"/>
      <c r="LS297" s="31"/>
      <c r="LT297" s="31"/>
      <c r="LU297" s="31"/>
      <c r="LV297" s="31"/>
      <c r="LW297" s="31"/>
      <c r="LX297" s="31"/>
      <c r="LY297" s="31"/>
      <c r="LZ297" s="31"/>
      <c r="MA297" s="31"/>
      <c r="MB297" s="31"/>
      <c r="MC297" s="31"/>
      <c r="MD297" s="31"/>
      <c r="ME297" s="31"/>
      <c r="MF297" s="31"/>
      <c r="MG297" s="31"/>
      <c r="MH297" s="31"/>
      <c r="MI297" s="31"/>
      <c r="MJ297" s="31"/>
      <c r="MK297" s="31"/>
      <c r="ML297" s="31"/>
      <c r="MM297" s="31"/>
      <c r="MN297" s="31"/>
      <c r="MO297" s="31"/>
      <c r="MP297" s="31"/>
      <c r="MQ297" s="31"/>
      <c r="MR297" s="31"/>
      <c r="MS297" s="31"/>
      <c r="MT297" s="31"/>
      <c r="MU297" s="31"/>
      <c r="MV297" s="31"/>
      <c r="MW297" s="31"/>
      <c r="MX297" s="31"/>
      <c r="MY297" s="31"/>
      <c r="MZ297" s="31"/>
      <c r="NA297" s="31"/>
      <c r="NB297" s="31"/>
      <c r="NC297" s="31"/>
      <c r="ND297" s="31"/>
      <c r="NE297" s="31"/>
      <c r="NF297" s="31"/>
      <c r="NG297" s="31"/>
      <c r="NH297" s="31"/>
      <c r="NI297" s="31"/>
      <c r="NJ297" s="31"/>
      <c r="NK297" s="31"/>
      <c r="NL297" s="31"/>
      <c r="NM297" s="31"/>
      <c r="NN297" s="31"/>
      <c r="NO297" s="31"/>
      <c r="NP297" s="31"/>
      <c r="NQ297" s="31"/>
      <c r="NR297" s="31"/>
      <c r="NS297" s="31"/>
      <c r="NT297" s="31"/>
      <c r="NU297" s="31"/>
      <c r="NV297" s="31"/>
      <c r="NW297" s="31"/>
      <c r="NX297" s="31"/>
      <c r="NY297" s="31"/>
      <c r="NZ297" s="31"/>
      <c r="OA297" s="31"/>
      <c r="OB297" s="31"/>
      <c r="OC297" s="31"/>
      <c r="OD297" s="31"/>
      <c r="OE297" s="31"/>
      <c r="OF297" s="31"/>
      <c r="OG297" s="31"/>
      <c r="OH297" s="31"/>
      <c r="OI297" s="31"/>
      <c r="OJ297" s="31"/>
      <c r="OK297" s="31"/>
      <c r="OL297" s="31"/>
      <c r="OM297" s="31"/>
      <c r="ON297" s="31"/>
      <c r="OO297" s="31"/>
      <c r="OP297" s="31"/>
      <c r="OQ297" s="31"/>
      <c r="OR297" s="31"/>
      <c r="OS297" s="31"/>
      <c r="OT297" s="31"/>
      <c r="OU297" s="31"/>
      <c r="OV297" s="31"/>
      <c r="OW297" s="31"/>
      <c r="OX297" s="31"/>
      <c r="OY297" s="31"/>
      <c r="OZ297" s="31"/>
      <c r="PA297" s="31"/>
      <c r="PB297" s="31"/>
      <c r="PC297" s="31"/>
      <c r="PD297" s="31"/>
      <c r="PE297" s="31"/>
      <c r="PF297" s="31"/>
      <c r="PG297" s="31"/>
      <c r="PH297" s="31"/>
      <c r="PI297" s="31"/>
      <c r="PJ297" s="31"/>
      <c r="PK297" s="31"/>
      <c r="PL297" s="31"/>
      <c r="PM297" s="31"/>
      <c r="PN297" s="31"/>
      <c r="PO297" s="31"/>
      <c r="PP297" s="31"/>
      <c r="PQ297" s="31"/>
      <c r="PR297" s="31"/>
      <c r="PS297" s="31"/>
      <c r="PT297" s="31"/>
      <c r="PU297" s="31"/>
      <c r="PV297" s="31"/>
      <c r="PW297" s="31"/>
      <c r="PX297" s="31"/>
      <c r="PY297" s="31"/>
      <c r="PZ297" s="31"/>
      <c r="QA297" s="31"/>
      <c r="QB297" s="31"/>
      <c r="QC297" s="31"/>
      <c r="QD297" s="31"/>
      <c r="QE297" s="31"/>
      <c r="QF297" s="31"/>
      <c r="QG297" s="31"/>
      <c r="QH297" s="31"/>
      <c r="QI297" s="31"/>
      <c r="QJ297" s="31"/>
      <c r="QK297" s="31"/>
      <c r="QL297" s="31"/>
      <c r="QM297" s="31"/>
      <c r="QN297" s="31"/>
      <c r="QO297" s="31"/>
      <c r="QP297" s="31"/>
      <c r="QQ297" s="31"/>
      <c r="QR297" s="31"/>
      <c r="QS297" s="31"/>
      <c r="QT297" s="31"/>
      <c r="QU297" s="31"/>
      <c r="QV297" s="31"/>
      <c r="QW297" s="31"/>
      <c r="QX297" s="31"/>
      <c r="QY297" s="31"/>
      <c r="QZ297" s="31"/>
      <c r="RA297" s="31"/>
      <c r="RB297" s="31"/>
      <c r="RC297" s="31"/>
      <c r="RD297" s="31"/>
      <c r="RE297" s="31"/>
      <c r="RF297" s="31"/>
      <c r="RG297" s="31"/>
      <c r="RH297" s="31"/>
      <c r="RI297" s="31"/>
      <c r="RJ297" s="31"/>
      <c r="RK297" s="31"/>
      <c r="RL297" s="31"/>
      <c r="RM297" s="31"/>
      <c r="RN297" s="31"/>
      <c r="RO297" s="31"/>
      <c r="RP297" s="31"/>
      <c r="RQ297" s="31"/>
      <c r="RR297" s="31"/>
      <c r="RS297" s="31"/>
      <c r="RT297" s="31"/>
      <c r="RU297" s="31"/>
      <c r="RV297" s="31"/>
      <c r="RW297" s="31"/>
      <c r="RX297" s="31"/>
      <c r="RY297" s="31"/>
      <c r="RZ297" s="31"/>
      <c r="SA297" s="31"/>
      <c r="SB297" s="31"/>
      <c r="SC297" s="31"/>
      <c r="SD297" s="31"/>
      <c r="SE297" s="31"/>
      <c r="SF297" s="31"/>
      <c r="SG297" s="31"/>
      <c r="SH297" s="31"/>
      <c r="SI297" s="31"/>
      <c r="SJ297" s="31"/>
      <c r="SK297" s="31"/>
      <c r="SL297" s="31"/>
      <c r="SM297" s="31"/>
      <c r="SN297" s="31"/>
      <c r="SO297" s="31"/>
      <c r="SP297" s="31"/>
      <c r="SQ297" s="31"/>
      <c r="SR297" s="31"/>
      <c r="SS297" s="31"/>
      <c r="ST297" s="31"/>
      <c r="SU297" s="31"/>
      <c r="SV297" s="31"/>
      <c r="SW297" s="31"/>
      <c r="SX297" s="31"/>
      <c r="SY297" s="31"/>
      <c r="SZ297" s="31"/>
      <c r="TA297" s="31"/>
      <c r="TB297" s="31"/>
      <c r="TC297" s="31"/>
      <c r="TD297" s="31"/>
      <c r="TE297" s="31"/>
      <c r="TF297" s="31"/>
      <c r="TG297" s="31"/>
      <c r="TH297" s="31"/>
      <c r="TI297" s="31"/>
      <c r="TJ297" s="31"/>
      <c r="TK297" s="31"/>
      <c r="TL297" s="31"/>
      <c r="TM297" s="31"/>
      <c r="TN297" s="31"/>
      <c r="TO297" s="31"/>
      <c r="TP297" s="31"/>
      <c r="TQ297" s="31"/>
      <c r="TR297" s="31"/>
      <c r="TS297" s="31"/>
      <c r="TT297" s="31"/>
      <c r="TU297" s="31"/>
      <c r="TV297" s="31"/>
      <c r="TW297" s="31"/>
      <c r="TX297" s="31"/>
      <c r="TY297" s="31"/>
      <c r="TZ297" s="31"/>
      <c r="UA297" s="31"/>
      <c r="UB297" s="31"/>
      <c r="UC297" s="31"/>
      <c r="UD297" s="31"/>
      <c r="UE297" s="31"/>
      <c r="UF297" s="31"/>
      <c r="UG297" s="33"/>
    </row>
    <row r="298" spans="1:553" ht="30" customHeight="1">
      <c r="A298" s="356" t="s">
        <v>15</v>
      </c>
      <c r="B298" s="356"/>
      <c r="C298" s="384" t="s">
        <v>22</v>
      </c>
      <c r="D298" s="376">
        <v>2</v>
      </c>
      <c r="E298" s="376">
        <v>69</v>
      </c>
      <c r="F298" s="385"/>
      <c r="G298" s="386" t="s">
        <v>935</v>
      </c>
      <c r="H298" s="370"/>
      <c r="I298" s="490">
        <v>203.4</v>
      </c>
      <c r="J298" s="368">
        <v>62000</v>
      </c>
      <c r="K298" s="850">
        <v>1</v>
      </c>
      <c r="L298" s="366">
        <f t="shared" si="56"/>
        <v>12610800</v>
      </c>
      <c r="M298" s="366"/>
      <c r="N298" s="366"/>
      <c r="O298" s="366"/>
      <c r="P298" s="366"/>
      <c r="Q298" s="1135"/>
      <c r="R298" s="1447"/>
      <c r="S298" s="309"/>
      <c r="T298" s="310"/>
      <c r="U298" s="311"/>
      <c r="V298" s="312"/>
      <c r="W298" s="311"/>
      <c r="X298" s="311"/>
      <c r="Y298" s="311"/>
      <c r="Z298" s="311"/>
      <c r="AA298" s="311"/>
      <c r="AB298" s="311"/>
      <c r="AC298" s="449"/>
      <c r="AD298" s="452"/>
      <c r="AE298" s="452"/>
      <c r="AF298" s="452"/>
      <c r="AG298" s="452"/>
      <c r="AH298" s="452"/>
      <c r="AI298" s="452"/>
      <c r="AJ298" s="452"/>
      <c r="AK298" s="452"/>
      <c r="AL298" s="106"/>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R298" s="31"/>
      <c r="BS298" s="31"/>
      <c r="BT298" s="31"/>
      <c r="BU298" s="31"/>
      <c r="BV298" s="31"/>
      <c r="BW298" s="31"/>
      <c r="BX298" s="31"/>
      <c r="BY298" s="31"/>
      <c r="BZ298" s="31"/>
      <c r="CA298" s="31"/>
      <c r="CB298" s="31"/>
      <c r="CC298" s="31"/>
      <c r="CD298" s="31"/>
      <c r="CE298" s="31"/>
      <c r="CF298" s="31"/>
      <c r="CG298" s="31"/>
      <c r="CH298" s="31"/>
      <c r="CI298" s="31"/>
      <c r="CJ298" s="31"/>
      <c r="CK298" s="31"/>
      <c r="CL298" s="31"/>
      <c r="CM298" s="31"/>
      <c r="CN298" s="31"/>
      <c r="CO298" s="31"/>
      <c r="CP298" s="31"/>
      <c r="CQ298" s="31"/>
      <c r="CR298" s="31"/>
      <c r="CS298" s="31"/>
      <c r="CT298" s="31"/>
      <c r="CU298" s="31"/>
      <c r="CV298" s="31"/>
      <c r="CW298" s="31"/>
      <c r="CX298" s="31"/>
      <c r="CY298" s="31"/>
      <c r="CZ298" s="31"/>
      <c r="DA298" s="31"/>
      <c r="DB298" s="31"/>
      <c r="DC298" s="31"/>
      <c r="DD298" s="31"/>
      <c r="DE298" s="31"/>
      <c r="DF298" s="31"/>
      <c r="DG298" s="31"/>
      <c r="DH298" s="31"/>
      <c r="DI298" s="31"/>
      <c r="DJ298" s="31"/>
      <c r="DK298" s="31"/>
      <c r="DL298" s="31"/>
      <c r="DM298" s="31"/>
      <c r="DN298" s="31"/>
      <c r="DO298" s="31"/>
      <c r="DP298" s="31"/>
      <c r="DQ298" s="31"/>
      <c r="DR298" s="31"/>
      <c r="DS298" s="31"/>
      <c r="DT298" s="31"/>
      <c r="DU298" s="31"/>
      <c r="DV298" s="31"/>
      <c r="DW298" s="31"/>
      <c r="DX298" s="31"/>
      <c r="DY298" s="31"/>
      <c r="DZ298" s="31"/>
      <c r="EA298" s="31"/>
      <c r="EB298" s="31"/>
      <c r="EC298" s="31"/>
      <c r="ED298" s="31"/>
      <c r="EE298" s="31"/>
      <c r="EF298" s="31"/>
      <c r="EG298" s="31"/>
      <c r="EH298" s="31"/>
      <c r="EI298" s="31"/>
      <c r="EJ298" s="31"/>
      <c r="EK298" s="31"/>
      <c r="EL298" s="31"/>
      <c r="EM298" s="31"/>
      <c r="EN298" s="31"/>
      <c r="EO298" s="31"/>
      <c r="EP298" s="31"/>
      <c r="EQ298" s="31"/>
      <c r="ER298" s="31"/>
      <c r="ES298" s="31"/>
      <c r="ET298" s="31"/>
      <c r="EU298" s="31"/>
      <c r="EV298" s="31"/>
      <c r="EW298" s="31"/>
      <c r="EX298" s="31"/>
      <c r="EY298" s="31"/>
      <c r="EZ298" s="31"/>
      <c r="FA298" s="31"/>
      <c r="FB298" s="31"/>
      <c r="FC298" s="31"/>
      <c r="FD298" s="31"/>
      <c r="FE298" s="31"/>
      <c r="FF298" s="31"/>
      <c r="FG298" s="31"/>
      <c r="FH298" s="31"/>
      <c r="FI298" s="31"/>
      <c r="FJ298" s="31"/>
      <c r="FK298" s="31"/>
      <c r="FL298" s="31"/>
      <c r="FM298" s="31"/>
      <c r="FN298" s="31"/>
      <c r="FO298" s="31"/>
      <c r="FP298" s="31"/>
      <c r="FQ298" s="31"/>
      <c r="FR298" s="31"/>
      <c r="FS298" s="31"/>
      <c r="FT298" s="31"/>
      <c r="FU298" s="31"/>
      <c r="FV298" s="31"/>
      <c r="FW298" s="31"/>
      <c r="FX298" s="31"/>
      <c r="FY298" s="31"/>
      <c r="FZ298" s="31"/>
      <c r="GA298" s="31"/>
      <c r="GB298" s="31"/>
      <c r="GC298" s="31"/>
      <c r="GD298" s="31"/>
      <c r="GE298" s="31"/>
      <c r="GF298" s="31"/>
      <c r="GG298" s="31"/>
      <c r="GH298" s="31"/>
      <c r="GI298" s="31"/>
      <c r="GJ298" s="31"/>
      <c r="GK298" s="31"/>
      <c r="GL298" s="31"/>
      <c r="GM298" s="31"/>
      <c r="GN298" s="31"/>
      <c r="GO298" s="31"/>
      <c r="GP298" s="31"/>
      <c r="GQ298" s="31"/>
      <c r="GR298" s="31"/>
      <c r="GS298" s="31"/>
      <c r="GT298" s="31"/>
      <c r="GU298" s="31"/>
      <c r="GV298" s="31"/>
      <c r="GW298" s="31"/>
      <c r="GX298" s="31"/>
      <c r="GY298" s="31"/>
      <c r="GZ298" s="31"/>
      <c r="HA298" s="31"/>
      <c r="HB298" s="31"/>
      <c r="HC298" s="31"/>
      <c r="HD298" s="31"/>
      <c r="HE298" s="31"/>
      <c r="HF298" s="31"/>
      <c r="HG298" s="31"/>
      <c r="HH298" s="31"/>
      <c r="HI298" s="31"/>
      <c r="HJ298" s="31"/>
      <c r="HK298" s="31"/>
      <c r="HL298" s="31"/>
      <c r="HM298" s="31"/>
      <c r="HN298" s="31"/>
      <c r="HO298" s="31"/>
      <c r="HP298" s="31"/>
      <c r="HQ298" s="31"/>
      <c r="HR298" s="31"/>
      <c r="HS298" s="31"/>
      <c r="HT298" s="31"/>
      <c r="HU298" s="31"/>
      <c r="HV298" s="31"/>
      <c r="HW298" s="31"/>
      <c r="HX298" s="31"/>
      <c r="HY298" s="31"/>
      <c r="HZ298" s="31"/>
      <c r="IA298" s="31"/>
      <c r="IB298" s="31"/>
      <c r="IC298" s="31"/>
      <c r="ID298" s="31"/>
      <c r="IE298" s="31"/>
      <c r="IF298" s="31"/>
      <c r="IG298" s="31"/>
      <c r="IH298" s="31"/>
      <c r="II298" s="31"/>
      <c r="IJ298" s="31"/>
      <c r="IK298" s="31"/>
      <c r="IL298" s="31"/>
      <c r="IM298" s="31"/>
      <c r="IN298" s="31"/>
      <c r="IO298" s="31"/>
      <c r="IP298" s="31"/>
      <c r="IQ298" s="31"/>
      <c r="IR298" s="31"/>
      <c r="IS298" s="31"/>
      <c r="IT298" s="31"/>
      <c r="IU298" s="31"/>
      <c r="IV298" s="31"/>
      <c r="IW298" s="31"/>
      <c r="IX298" s="31"/>
      <c r="IY298" s="31"/>
      <c r="IZ298" s="31"/>
      <c r="JA298" s="31"/>
      <c r="JB298" s="31"/>
      <c r="JC298" s="31"/>
      <c r="JD298" s="31"/>
      <c r="JE298" s="31"/>
      <c r="JF298" s="31"/>
      <c r="JG298" s="31"/>
      <c r="JH298" s="31"/>
      <c r="JI298" s="31"/>
      <c r="JJ298" s="31"/>
      <c r="JK298" s="31"/>
      <c r="JL298" s="31"/>
      <c r="JM298" s="31"/>
      <c r="JN298" s="31"/>
      <c r="JO298" s="31"/>
      <c r="JP298" s="31"/>
      <c r="JQ298" s="31"/>
      <c r="JR298" s="31"/>
      <c r="JS298" s="31"/>
      <c r="JT298" s="31"/>
      <c r="JU298" s="31"/>
      <c r="JV298" s="31"/>
      <c r="JW298" s="31"/>
      <c r="JX298" s="31"/>
      <c r="JY298" s="31"/>
      <c r="JZ298" s="31"/>
      <c r="KA298" s="31"/>
      <c r="KB298" s="31"/>
      <c r="KC298" s="31"/>
      <c r="KD298" s="31"/>
      <c r="KE298" s="31"/>
      <c r="KF298" s="31"/>
      <c r="KG298" s="31"/>
      <c r="KH298" s="31"/>
      <c r="KI298" s="31"/>
      <c r="KJ298" s="31"/>
      <c r="KK298" s="31"/>
      <c r="KL298" s="31"/>
      <c r="KM298" s="31"/>
      <c r="KN298" s="31"/>
      <c r="KO298" s="31"/>
      <c r="KP298" s="31"/>
      <c r="KQ298" s="31"/>
      <c r="KR298" s="31"/>
      <c r="KS298" s="31"/>
      <c r="KT298" s="31"/>
      <c r="KU298" s="31"/>
      <c r="KV298" s="31"/>
      <c r="KW298" s="31"/>
      <c r="KX298" s="31"/>
      <c r="KY298" s="31"/>
      <c r="KZ298" s="31"/>
      <c r="LA298" s="31"/>
      <c r="LB298" s="31"/>
      <c r="LC298" s="31"/>
      <c r="LD298" s="31"/>
      <c r="LE298" s="31"/>
      <c r="LF298" s="31"/>
      <c r="LG298" s="31"/>
      <c r="LH298" s="31"/>
      <c r="LI298" s="31"/>
      <c r="LJ298" s="31"/>
      <c r="LK298" s="31"/>
      <c r="LL298" s="31"/>
      <c r="LM298" s="31"/>
      <c r="LN298" s="31"/>
      <c r="LO298" s="31"/>
      <c r="LP298" s="31"/>
      <c r="LQ298" s="31"/>
      <c r="LR298" s="31"/>
      <c r="LS298" s="31"/>
      <c r="LT298" s="31"/>
      <c r="LU298" s="31"/>
      <c r="LV298" s="31"/>
      <c r="LW298" s="31"/>
      <c r="LX298" s="31"/>
      <c r="LY298" s="31"/>
      <c r="LZ298" s="31"/>
      <c r="MA298" s="31"/>
      <c r="MB298" s="31"/>
      <c r="MC298" s="31"/>
      <c r="MD298" s="31"/>
      <c r="ME298" s="31"/>
      <c r="MF298" s="31"/>
      <c r="MG298" s="31"/>
      <c r="MH298" s="31"/>
      <c r="MI298" s="31"/>
      <c r="MJ298" s="31"/>
      <c r="MK298" s="31"/>
      <c r="ML298" s="31"/>
      <c r="MM298" s="31"/>
      <c r="MN298" s="31"/>
      <c r="MO298" s="31"/>
      <c r="MP298" s="31"/>
      <c r="MQ298" s="31"/>
      <c r="MR298" s="31"/>
      <c r="MS298" s="31"/>
      <c r="MT298" s="31"/>
      <c r="MU298" s="31"/>
      <c r="MV298" s="31"/>
      <c r="MW298" s="31"/>
      <c r="MX298" s="31"/>
      <c r="MY298" s="31"/>
      <c r="MZ298" s="31"/>
      <c r="NA298" s="31"/>
      <c r="NB298" s="31"/>
      <c r="NC298" s="31"/>
      <c r="ND298" s="31"/>
      <c r="NE298" s="31"/>
      <c r="NF298" s="31"/>
      <c r="NG298" s="31"/>
      <c r="NH298" s="31"/>
      <c r="NI298" s="31"/>
      <c r="NJ298" s="31"/>
      <c r="NK298" s="31"/>
      <c r="NL298" s="31"/>
      <c r="NM298" s="31"/>
      <c r="NN298" s="31"/>
      <c r="NO298" s="31"/>
      <c r="NP298" s="31"/>
      <c r="NQ298" s="31"/>
      <c r="NR298" s="31"/>
      <c r="NS298" s="31"/>
      <c r="NT298" s="31"/>
      <c r="NU298" s="31"/>
      <c r="NV298" s="31"/>
      <c r="NW298" s="31"/>
      <c r="NX298" s="31"/>
      <c r="NY298" s="31"/>
      <c r="NZ298" s="31"/>
      <c r="OA298" s="31"/>
      <c r="OB298" s="31"/>
      <c r="OC298" s="31"/>
      <c r="OD298" s="31"/>
      <c r="OE298" s="31"/>
      <c r="OF298" s="31"/>
      <c r="OG298" s="31"/>
      <c r="OH298" s="31"/>
      <c r="OI298" s="31"/>
      <c r="OJ298" s="31"/>
      <c r="OK298" s="31"/>
      <c r="OL298" s="31"/>
      <c r="OM298" s="31"/>
      <c r="ON298" s="31"/>
      <c r="OO298" s="31"/>
      <c r="OP298" s="31"/>
      <c r="OQ298" s="31"/>
      <c r="OR298" s="31"/>
      <c r="OS298" s="31"/>
      <c r="OT298" s="31"/>
      <c r="OU298" s="31"/>
      <c r="OV298" s="31"/>
      <c r="OW298" s="31"/>
      <c r="OX298" s="31"/>
      <c r="OY298" s="31"/>
      <c r="OZ298" s="31"/>
      <c r="PA298" s="31"/>
      <c r="PB298" s="31"/>
      <c r="PC298" s="31"/>
      <c r="PD298" s="31"/>
      <c r="PE298" s="31"/>
      <c r="PF298" s="31"/>
      <c r="PG298" s="31"/>
      <c r="PH298" s="31"/>
      <c r="PI298" s="31"/>
      <c r="PJ298" s="31"/>
      <c r="PK298" s="31"/>
      <c r="PL298" s="31"/>
      <c r="PM298" s="31"/>
      <c r="PN298" s="31"/>
      <c r="PO298" s="31"/>
      <c r="PP298" s="31"/>
      <c r="PQ298" s="31"/>
      <c r="PR298" s="31"/>
      <c r="PS298" s="31"/>
      <c r="PT298" s="31"/>
      <c r="PU298" s="31"/>
      <c r="PV298" s="31"/>
      <c r="PW298" s="31"/>
      <c r="PX298" s="31"/>
      <c r="PY298" s="31"/>
      <c r="PZ298" s="31"/>
      <c r="QA298" s="31"/>
      <c r="QB298" s="31"/>
      <c r="QC298" s="31"/>
      <c r="QD298" s="31"/>
      <c r="QE298" s="31"/>
      <c r="QF298" s="31"/>
      <c r="QG298" s="31"/>
      <c r="QH298" s="31"/>
      <c r="QI298" s="31"/>
      <c r="QJ298" s="31"/>
      <c r="QK298" s="31"/>
      <c r="QL298" s="31"/>
      <c r="QM298" s="31"/>
      <c r="QN298" s="31"/>
      <c r="QO298" s="31"/>
      <c r="QP298" s="31"/>
      <c r="QQ298" s="31"/>
      <c r="QR298" s="31"/>
      <c r="QS298" s="31"/>
      <c r="QT298" s="31"/>
      <c r="QU298" s="31"/>
      <c r="QV298" s="31"/>
      <c r="QW298" s="31"/>
      <c r="QX298" s="31"/>
      <c r="QY298" s="31"/>
      <c r="QZ298" s="31"/>
      <c r="RA298" s="31"/>
      <c r="RB298" s="31"/>
      <c r="RC298" s="31"/>
      <c r="RD298" s="31"/>
      <c r="RE298" s="31"/>
      <c r="RF298" s="31"/>
      <c r="RG298" s="31"/>
      <c r="RH298" s="31"/>
      <c r="RI298" s="31"/>
      <c r="RJ298" s="31"/>
      <c r="RK298" s="31"/>
      <c r="RL298" s="31"/>
      <c r="RM298" s="31"/>
      <c r="RN298" s="31"/>
      <c r="RO298" s="31"/>
      <c r="RP298" s="31"/>
      <c r="RQ298" s="31"/>
      <c r="RR298" s="31"/>
      <c r="RS298" s="31"/>
      <c r="RT298" s="31"/>
      <c r="RU298" s="31"/>
      <c r="RV298" s="31"/>
      <c r="RW298" s="31"/>
      <c r="RX298" s="31"/>
      <c r="RY298" s="31"/>
      <c r="RZ298" s="31"/>
      <c r="SA298" s="31"/>
      <c r="SB298" s="31"/>
      <c r="SC298" s="31"/>
      <c r="SD298" s="31"/>
      <c r="SE298" s="31"/>
      <c r="SF298" s="31"/>
      <c r="SG298" s="31"/>
      <c r="SH298" s="31"/>
      <c r="SI298" s="31"/>
      <c r="SJ298" s="31"/>
      <c r="SK298" s="31"/>
      <c r="SL298" s="31"/>
      <c r="SM298" s="31"/>
      <c r="SN298" s="31"/>
      <c r="SO298" s="31"/>
      <c r="SP298" s="31"/>
      <c r="SQ298" s="31"/>
      <c r="SR298" s="31"/>
      <c r="SS298" s="31"/>
      <c r="ST298" s="31"/>
      <c r="SU298" s="31"/>
      <c r="SV298" s="31"/>
      <c r="SW298" s="31"/>
      <c r="SX298" s="31"/>
      <c r="SY298" s="31"/>
      <c r="SZ298" s="31"/>
      <c r="TA298" s="31"/>
      <c r="TB298" s="31"/>
      <c r="TC298" s="31"/>
      <c r="TD298" s="31"/>
      <c r="TE298" s="31"/>
      <c r="TF298" s="31"/>
      <c r="TG298" s="31"/>
      <c r="TH298" s="31"/>
      <c r="TI298" s="31"/>
      <c r="TJ298" s="31"/>
      <c r="TK298" s="31"/>
      <c r="TL298" s="31"/>
      <c r="TM298" s="31"/>
      <c r="TN298" s="31"/>
      <c r="TO298" s="31"/>
      <c r="TP298" s="31"/>
      <c r="TQ298" s="31"/>
      <c r="TR298" s="31"/>
      <c r="TS298" s="31"/>
      <c r="TT298" s="31"/>
      <c r="TU298" s="31"/>
      <c r="TV298" s="31"/>
      <c r="TW298" s="31"/>
      <c r="TX298" s="31"/>
      <c r="TY298" s="31"/>
      <c r="TZ298" s="31"/>
      <c r="UA298" s="31"/>
      <c r="UB298" s="31"/>
      <c r="UC298" s="31"/>
      <c r="UD298" s="31"/>
      <c r="UE298" s="31"/>
      <c r="UF298" s="31"/>
      <c r="UG298" s="33"/>
    </row>
    <row r="299" spans="1:553" ht="30" customHeight="1">
      <c r="A299" s="356" t="s">
        <v>15</v>
      </c>
      <c r="B299" s="356"/>
      <c r="C299" s="384" t="s">
        <v>26</v>
      </c>
      <c r="D299" s="376">
        <v>1</v>
      </c>
      <c r="E299" s="376">
        <v>493</v>
      </c>
      <c r="F299" s="385"/>
      <c r="G299" s="386" t="s">
        <v>935</v>
      </c>
      <c r="H299" s="370"/>
      <c r="I299" s="490">
        <v>47.6</v>
      </c>
      <c r="J299" s="368">
        <v>53000</v>
      </c>
      <c r="K299" s="850">
        <v>1</v>
      </c>
      <c r="L299" s="366">
        <f t="shared" si="56"/>
        <v>2522800</v>
      </c>
      <c r="M299" s="366"/>
      <c r="N299" s="366"/>
      <c r="O299" s="366"/>
      <c r="P299" s="366"/>
      <c r="Q299" s="1135"/>
      <c r="R299" s="1447"/>
      <c r="S299" s="308"/>
      <c r="T299" s="303"/>
      <c r="U299" s="306"/>
      <c r="V299" s="307"/>
      <c r="W299" s="306"/>
      <c r="X299" s="306"/>
      <c r="Y299" s="306"/>
      <c r="Z299" s="306"/>
      <c r="AA299" s="306"/>
      <c r="AB299" s="306"/>
      <c r="AC299" s="449"/>
      <c r="AD299" s="452"/>
      <c r="AE299" s="452"/>
      <c r="AF299" s="452"/>
      <c r="AG299" s="452"/>
      <c r="AH299" s="452"/>
      <c r="AI299" s="452"/>
      <c r="AJ299" s="452"/>
      <c r="AK299" s="452"/>
      <c r="AL299" s="106"/>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c r="CH299" s="31"/>
      <c r="CI299" s="31"/>
      <c r="CJ299" s="31"/>
      <c r="CK299" s="31"/>
      <c r="CL299" s="31"/>
      <c r="CM299" s="31"/>
      <c r="CN299" s="31"/>
      <c r="CO299" s="31"/>
      <c r="CP299" s="31"/>
      <c r="CQ299" s="31"/>
      <c r="CR299" s="31"/>
      <c r="CS299" s="31"/>
      <c r="CT299" s="31"/>
      <c r="CU299" s="31"/>
      <c r="CV299" s="31"/>
      <c r="CW299" s="31"/>
      <c r="CX299" s="31"/>
      <c r="CY299" s="31"/>
      <c r="CZ299" s="31"/>
      <c r="DA299" s="31"/>
      <c r="DB299" s="31"/>
      <c r="DC299" s="31"/>
      <c r="DD299" s="31"/>
      <c r="DE299" s="31"/>
      <c r="DF299" s="31"/>
      <c r="DG299" s="31"/>
      <c r="DH299" s="31"/>
      <c r="DI299" s="31"/>
      <c r="DJ299" s="31"/>
      <c r="DK299" s="31"/>
      <c r="DL299" s="31"/>
      <c r="DM299" s="31"/>
      <c r="DN299" s="31"/>
      <c r="DO299" s="31"/>
      <c r="DP299" s="31"/>
      <c r="DQ299" s="31"/>
      <c r="DR299" s="31"/>
      <c r="DS299" s="31"/>
      <c r="DT299" s="31"/>
      <c r="DU299" s="31"/>
      <c r="DV299" s="31"/>
      <c r="DW299" s="31"/>
      <c r="DX299" s="31"/>
      <c r="DY299" s="31"/>
      <c r="DZ299" s="31"/>
      <c r="EA299" s="31"/>
      <c r="EB299" s="31"/>
      <c r="EC299" s="31"/>
      <c r="ED299" s="31"/>
      <c r="EE299" s="31"/>
      <c r="EF299" s="31"/>
      <c r="EG299" s="31"/>
      <c r="EH299" s="31"/>
      <c r="EI299" s="31"/>
      <c r="EJ299" s="31"/>
      <c r="EK299" s="31"/>
      <c r="EL299" s="31"/>
      <c r="EM299" s="31"/>
      <c r="EN299" s="31"/>
      <c r="EO299" s="31"/>
      <c r="EP299" s="31"/>
      <c r="EQ299" s="31"/>
      <c r="ER299" s="31"/>
      <c r="ES299" s="31"/>
      <c r="ET299" s="31"/>
      <c r="EU299" s="31"/>
      <c r="EV299" s="31"/>
      <c r="EW299" s="31"/>
      <c r="EX299" s="31"/>
      <c r="EY299" s="31"/>
      <c r="EZ299" s="31"/>
      <c r="FA299" s="31"/>
      <c r="FB299" s="31"/>
      <c r="FC299" s="31"/>
      <c r="FD299" s="31"/>
      <c r="FE299" s="31"/>
      <c r="FF299" s="31"/>
      <c r="FG299" s="31"/>
      <c r="FH299" s="31"/>
      <c r="FI299" s="31"/>
      <c r="FJ299" s="31"/>
      <c r="FK299" s="31"/>
      <c r="FL299" s="31"/>
      <c r="FM299" s="31"/>
      <c r="FN299" s="31"/>
      <c r="FO299" s="31"/>
      <c r="FP299" s="31"/>
      <c r="FQ299" s="31"/>
      <c r="FR299" s="31"/>
      <c r="FS299" s="31"/>
      <c r="FT299" s="31"/>
      <c r="FU299" s="31"/>
      <c r="FV299" s="31"/>
      <c r="FW299" s="31"/>
      <c r="FX299" s="31"/>
      <c r="FY299" s="31"/>
      <c r="FZ299" s="31"/>
      <c r="GA299" s="31"/>
      <c r="GB299" s="31"/>
      <c r="GC299" s="31"/>
      <c r="GD299" s="31"/>
      <c r="GE299" s="31"/>
      <c r="GF299" s="31"/>
      <c r="GG299" s="31"/>
      <c r="GH299" s="31"/>
      <c r="GI299" s="31"/>
      <c r="GJ299" s="31"/>
      <c r="GK299" s="31"/>
      <c r="GL299" s="31"/>
      <c r="GM299" s="31"/>
      <c r="GN299" s="31"/>
      <c r="GO299" s="31"/>
      <c r="GP299" s="31"/>
      <c r="GQ299" s="31"/>
      <c r="GR299" s="31"/>
      <c r="GS299" s="31"/>
      <c r="GT299" s="31"/>
      <c r="GU299" s="31"/>
      <c r="GV299" s="31"/>
      <c r="GW299" s="31"/>
      <c r="GX299" s="31"/>
      <c r="GY299" s="31"/>
      <c r="GZ299" s="31"/>
      <c r="HA299" s="31"/>
      <c r="HB299" s="31"/>
      <c r="HC299" s="31"/>
      <c r="HD299" s="31"/>
      <c r="HE299" s="31"/>
      <c r="HF299" s="31"/>
      <c r="HG299" s="31"/>
      <c r="HH299" s="31"/>
      <c r="HI299" s="31"/>
      <c r="HJ299" s="31"/>
      <c r="HK299" s="31"/>
      <c r="HL299" s="31"/>
      <c r="HM299" s="31"/>
      <c r="HN299" s="31"/>
      <c r="HO299" s="31"/>
      <c r="HP299" s="31"/>
      <c r="HQ299" s="31"/>
      <c r="HR299" s="31"/>
      <c r="HS299" s="31"/>
      <c r="HT299" s="31"/>
      <c r="HU299" s="31"/>
      <c r="HV299" s="31"/>
      <c r="HW299" s="31"/>
      <c r="HX299" s="31"/>
      <c r="HY299" s="31"/>
      <c r="HZ299" s="31"/>
      <c r="IA299" s="31"/>
      <c r="IB299" s="31"/>
      <c r="IC299" s="31"/>
      <c r="ID299" s="31"/>
      <c r="IE299" s="31"/>
      <c r="IF299" s="31"/>
      <c r="IG299" s="31"/>
      <c r="IH299" s="31"/>
      <c r="II299" s="31"/>
      <c r="IJ299" s="31"/>
      <c r="IK299" s="31"/>
      <c r="IL299" s="31"/>
      <c r="IM299" s="31"/>
      <c r="IN299" s="31"/>
      <c r="IO299" s="31"/>
      <c r="IP299" s="31"/>
      <c r="IQ299" s="31"/>
      <c r="IR299" s="31"/>
      <c r="IS299" s="31"/>
      <c r="IT299" s="31"/>
      <c r="IU299" s="31"/>
      <c r="IV299" s="31"/>
      <c r="IW299" s="31"/>
      <c r="IX299" s="31"/>
      <c r="IY299" s="31"/>
      <c r="IZ299" s="31"/>
      <c r="JA299" s="31"/>
      <c r="JB299" s="31"/>
      <c r="JC299" s="31"/>
      <c r="JD299" s="31"/>
      <c r="JE299" s="31"/>
      <c r="JF299" s="31"/>
      <c r="JG299" s="31"/>
      <c r="JH299" s="31"/>
      <c r="JI299" s="31"/>
      <c r="JJ299" s="31"/>
      <c r="JK299" s="31"/>
      <c r="JL299" s="31"/>
      <c r="JM299" s="31"/>
      <c r="JN299" s="31"/>
      <c r="JO299" s="31"/>
      <c r="JP299" s="31"/>
      <c r="JQ299" s="31"/>
      <c r="JR299" s="31"/>
      <c r="JS299" s="31"/>
      <c r="JT299" s="31"/>
      <c r="JU299" s="31"/>
      <c r="JV299" s="31"/>
      <c r="JW299" s="31"/>
      <c r="JX299" s="31"/>
      <c r="JY299" s="31"/>
      <c r="JZ299" s="31"/>
      <c r="KA299" s="31"/>
      <c r="KB299" s="31"/>
      <c r="KC299" s="31"/>
      <c r="KD299" s="31"/>
      <c r="KE299" s="31"/>
      <c r="KF299" s="31"/>
      <c r="KG299" s="31"/>
      <c r="KH299" s="31"/>
      <c r="KI299" s="31"/>
      <c r="KJ299" s="31"/>
      <c r="KK299" s="31"/>
      <c r="KL299" s="31"/>
      <c r="KM299" s="31"/>
      <c r="KN299" s="31"/>
      <c r="KO299" s="31"/>
      <c r="KP299" s="31"/>
      <c r="KQ299" s="31"/>
      <c r="KR299" s="31"/>
      <c r="KS299" s="31"/>
      <c r="KT299" s="31"/>
      <c r="KU299" s="31"/>
      <c r="KV299" s="31"/>
      <c r="KW299" s="31"/>
      <c r="KX299" s="31"/>
      <c r="KY299" s="31"/>
      <c r="KZ299" s="31"/>
      <c r="LA299" s="31"/>
      <c r="LB299" s="31"/>
      <c r="LC299" s="31"/>
      <c r="LD299" s="31"/>
      <c r="LE299" s="31"/>
      <c r="LF299" s="31"/>
      <c r="LG299" s="31"/>
      <c r="LH299" s="31"/>
      <c r="LI299" s="31"/>
      <c r="LJ299" s="31"/>
      <c r="LK299" s="31"/>
      <c r="LL299" s="31"/>
      <c r="LM299" s="31"/>
      <c r="LN299" s="31"/>
      <c r="LO299" s="31"/>
      <c r="LP299" s="31"/>
      <c r="LQ299" s="31"/>
      <c r="LR299" s="31"/>
      <c r="LS299" s="31"/>
      <c r="LT299" s="31"/>
      <c r="LU299" s="31"/>
      <c r="LV299" s="31"/>
      <c r="LW299" s="31"/>
      <c r="LX299" s="31"/>
      <c r="LY299" s="31"/>
      <c r="LZ299" s="31"/>
      <c r="MA299" s="31"/>
      <c r="MB299" s="31"/>
      <c r="MC299" s="31"/>
      <c r="MD299" s="31"/>
      <c r="ME299" s="31"/>
      <c r="MF299" s="31"/>
      <c r="MG299" s="31"/>
      <c r="MH299" s="31"/>
      <c r="MI299" s="31"/>
      <c r="MJ299" s="31"/>
      <c r="MK299" s="31"/>
      <c r="ML299" s="31"/>
      <c r="MM299" s="31"/>
      <c r="MN299" s="31"/>
      <c r="MO299" s="31"/>
      <c r="MP299" s="31"/>
      <c r="MQ299" s="31"/>
      <c r="MR299" s="31"/>
      <c r="MS299" s="31"/>
      <c r="MT299" s="31"/>
      <c r="MU299" s="31"/>
      <c r="MV299" s="31"/>
      <c r="MW299" s="31"/>
      <c r="MX299" s="31"/>
      <c r="MY299" s="31"/>
      <c r="MZ299" s="31"/>
      <c r="NA299" s="31"/>
      <c r="NB299" s="31"/>
      <c r="NC299" s="31"/>
      <c r="ND299" s="31"/>
      <c r="NE299" s="31"/>
      <c r="NF299" s="31"/>
      <c r="NG299" s="31"/>
      <c r="NH299" s="31"/>
      <c r="NI299" s="31"/>
      <c r="NJ299" s="31"/>
      <c r="NK299" s="31"/>
      <c r="NL299" s="31"/>
      <c r="NM299" s="31"/>
      <c r="NN299" s="31"/>
      <c r="NO299" s="31"/>
      <c r="NP299" s="31"/>
      <c r="NQ299" s="31"/>
      <c r="NR299" s="31"/>
      <c r="NS299" s="31"/>
      <c r="NT299" s="31"/>
      <c r="NU299" s="31"/>
      <c r="NV299" s="31"/>
      <c r="NW299" s="31"/>
      <c r="NX299" s="31"/>
      <c r="NY299" s="31"/>
      <c r="NZ299" s="31"/>
      <c r="OA299" s="31"/>
      <c r="OB299" s="31"/>
      <c r="OC299" s="31"/>
      <c r="OD299" s="31"/>
      <c r="OE299" s="31"/>
      <c r="OF299" s="31"/>
      <c r="OG299" s="31"/>
      <c r="OH299" s="31"/>
      <c r="OI299" s="31"/>
      <c r="OJ299" s="31"/>
      <c r="OK299" s="31"/>
      <c r="OL299" s="31"/>
      <c r="OM299" s="31"/>
      <c r="ON299" s="31"/>
      <c r="OO299" s="31"/>
      <c r="OP299" s="31"/>
      <c r="OQ299" s="31"/>
      <c r="OR299" s="31"/>
      <c r="OS299" s="31"/>
      <c r="OT299" s="31"/>
      <c r="OU299" s="31"/>
      <c r="OV299" s="31"/>
      <c r="OW299" s="31"/>
      <c r="OX299" s="31"/>
      <c r="OY299" s="31"/>
      <c r="OZ299" s="31"/>
      <c r="PA299" s="31"/>
      <c r="PB299" s="31"/>
      <c r="PC299" s="31"/>
      <c r="PD299" s="31"/>
      <c r="PE299" s="31"/>
      <c r="PF299" s="31"/>
      <c r="PG299" s="31"/>
      <c r="PH299" s="31"/>
      <c r="PI299" s="31"/>
      <c r="PJ299" s="31"/>
      <c r="PK299" s="31"/>
      <c r="PL299" s="31"/>
      <c r="PM299" s="31"/>
      <c r="PN299" s="31"/>
      <c r="PO299" s="31"/>
      <c r="PP299" s="31"/>
      <c r="PQ299" s="31"/>
      <c r="PR299" s="31"/>
      <c r="PS299" s="31"/>
      <c r="PT299" s="31"/>
      <c r="PU299" s="31"/>
      <c r="PV299" s="31"/>
      <c r="PW299" s="31"/>
      <c r="PX299" s="31"/>
      <c r="PY299" s="31"/>
      <c r="PZ299" s="31"/>
      <c r="QA299" s="31"/>
      <c r="QB299" s="31"/>
      <c r="QC299" s="31"/>
      <c r="QD299" s="31"/>
      <c r="QE299" s="31"/>
      <c r="QF299" s="31"/>
      <c r="QG299" s="31"/>
      <c r="QH299" s="31"/>
      <c r="QI299" s="31"/>
      <c r="QJ299" s="31"/>
      <c r="QK299" s="31"/>
      <c r="QL299" s="31"/>
      <c r="QM299" s="31"/>
      <c r="QN299" s="31"/>
      <c r="QO299" s="31"/>
      <c r="QP299" s="31"/>
      <c r="QQ299" s="31"/>
      <c r="QR299" s="31"/>
      <c r="QS299" s="31"/>
      <c r="QT299" s="31"/>
      <c r="QU299" s="31"/>
      <c r="QV299" s="31"/>
      <c r="QW299" s="31"/>
      <c r="QX299" s="31"/>
      <c r="QY299" s="31"/>
      <c r="QZ299" s="31"/>
      <c r="RA299" s="31"/>
      <c r="RB299" s="31"/>
      <c r="RC299" s="31"/>
      <c r="RD299" s="31"/>
      <c r="RE299" s="31"/>
      <c r="RF299" s="31"/>
      <c r="RG299" s="31"/>
      <c r="RH299" s="31"/>
      <c r="RI299" s="31"/>
      <c r="RJ299" s="31"/>
      <c r="RK299" s="31"/>
      <c r="RL299" s="31"/>
      <c r="RM299" s="31"/>
      <c r="RN299" s="31"/>
      <c r="RO299" s="31"/>
      <c r="RP299" s="31"/>
      <c r="RQ299" s="31"/>
      <c r="RR299" s="31"/>
      <c r="RS299" s="31"/>
      <c r="RT299" s="31"/>
      <c r="RU299" s="31"/>
      <c r="RV299" s="31"/>
      <c r="RW299" s="31"/>
      <c r="RX299" s="31"/>
      <c r="RY299" s="31"/>
      <c r="RZ299" s="31"/>
      <c r="SA299" s="31"/>
      <c r="SB299" s="31"/>
      <c r="SC299" s="31"/>
      <c r="SD299" s="31"/>
      <c r="SE299" s="31"/>
      <c r="SF299" s="31"/>
      <c r="SG299" s="31"/>
      <c r="SH299" s="31"/>
      <c r="SI299" s="31"/>
      <c r="SJ299" s="31"/>
      <c r="SK299" s="31"/>
      <c r="SL299" s="31"/>
      <c r="SM299" s="31"/>
      <c r="SN299" s="31"/>
      <c r="SO299" s="31"/>
      <c r="SP299" s="31"/>
      <c r="SQ299" s="31"/>
      <c r="SR299" s="31"/>
      <c r="SS299" s="31"/>
      <c r="ST299" s="31"/>
      <c r="SU299" s="31"/>
      <c r="SV299" s="31"/>
      <c r="SW299" s="31"/>
      <c r="SX299" s="31"/>
      <c r="SY299" s="31"/>
      <c r="SZ299" s="31"/>
      <c r="TA299" s="31"/>
      <c r="TB299" s="31"/>
      <c r="TC299" s="31"/>
      <c r="TD299" s="31"/>
      <c r="TE299" s="31"/>
      <c r="TF299" s="31"/>
      <c r="TG299" s="31"/>
      <c r="TH299" s="31"/>
      <c r="TI299" s="31"/>
      <c r="TJ299" s="31"/>
      <c r="TK299" s="31"/>
      <c r="TL299" s="31"/>
      <c r="TM299" s="31"/>
      <c r="TN299" s="31"/>
      <c r="TO299" s="31"/>
      <c r="TP299" s="31"/>
      <c r="TQ299" s="31"/>
      <c r="TR299" s="31"/>
      <c r="TS299" s="31"/>
      <c r="TT299" s="31"/>
      <c r="TU299" s="31"/>
      <c r="TV299" s="31"/>
      <c r="TW299" s="31"/>
      <c r="TX299" s="31"/>
      <c r="TY299" s="31"/>
      <c r="TZ299" s="31"/>
      <c r="UA299" s="31"/>
      <c r="UB299" s="31"/>
      <c r="UC299" s="31"/>
      <c r="UD299" s="31"/>
      <c r="UE299" s="31"/>
      <c r="UF299" s="31"/>
      <c r="UG299" s="33"/>
    </row>
    <row r="300" spans="1:553" s="856" customFormat="1" ht="30" customHeight="1">
      <c r="A300" s="356" t="s">
        <v>61</v>
      </c>
      <c r="B300" s="535"/>
      <c r="C300" s="536" t="s">
        <v>899</v>
      </c>
      <c r="D300" s="537"/>
      <c r="E300" s="537"/>
      <c r="F300" s="428"/>
      <c r="G300" s="429"/>
      <c r="H300" s="359"/>
      <c r="I300" s="538"/>
      <c r="J300" s="357"/>
      <c r="K300" s="491"/>
      <c r="L300" s="356">
        <f>L301+L302</f>
        <v>6562000</v>
      </c>
      <c r="M300" s="356"/>
      <c r="N300" s="356"/>
      <c r="O300" s="356"/>
      <c r="P300" s="356">
        <f>L300</f>
        <v>6562000</v>
      </c>
      <c r="Q300" s="813"/>
      <c r="R300" s="411"/>
      <c r="S300" s="308"/>
      <c r="T300" s="303"/>
      <c r="U300" s="306"/>
      <c r="V300" s="307"/>
      <c r="W300" s="306"/>
      <c r="X300" s="306"/>
      <c r="Y300" s="306"/>
      <c r="Z300" s="306"/>
      <c r="AA300" s="306"/>
      <c r="AB300" s="306"/>
      <c r="AC300" s="454"/>
      <c r="AD300" s="455"/>
      <c r="AE300" s="455"/>
      <c r="AF300" s="455"/>
      <c r="AG300" s="455"/>
      <c r="AH300" s="455"/>
      <c r="AI300" s="455"/>
      <c r="AJ300" s="455"/>
      <c r="AK300" s="455"/>
      <c r="AL300" s="853"/>
      <c r="AM300" s="854"/>
      <c r="AN300" s="854"/>
      <c r="AO300" s="854"/>
      <c r="AP300" s="854"/>
      <c r="AQ300" s="854"/>
      <c r="AR300" s="854"/>
      <c r="AS300" s="854"/>
      <c r="AT300" s="854"/>
      <c r="AU300" s="854"/>
      <c r="AV300" s="854"/>
      <c r="AW300" s="854"/>
      <c r="AX300" s="854"/>
      <c r="AY300" s="854"/>
      <c r="AZ300" s="854"/>
      <c r="BA300" s="854"/>
      <c r="BB300" s="854"/>
      <c r="BC300" s="854"/>
      <c r="BD300" s="854"/>
      <c r="BE300" s="854"/>
      <c r="BF300" s="854"/>
      <c r="BG300" s="854"/>
      <c r="BH300" s="854"/>
      <c r="BI300" s="854"/>
      <c r="BJ300" s="854"/>
      <c r="BK300" s="854"/>
      <c r="BL300" s="854"/>
      <c r="BM300" s="854"/>
      <c r="BN300" s="854"/>
      <c r="BO300" s="854"/>
      <c r="BP300" s="854"/>
      <c r="BQ300" s="854"/>
      <c r="BR300" s="854"/>
      <c r="BS300" s="854"/>
      <c r="BT300" s="854"/>
      <c r="BU300" s="854"/>
      <c r="BV300" s="854"/>
      <c r="BW300" s="854"/>
      <c r="BX300" s="854"/>
      <c r="BY300" s="854"/>
      <c r="BZ300" s="854"/>
      <c r="CA300" s="854"/>
      <c r="CB300" s="854"/>
      <c r="CC300" s="854"/>
      <c r="CD300" s="854"/>
      <c r="CE300" s="854"/>
      <c r="CF300" s="854"/>
      <c r="CG300" s="854"/>
      <c r="CH300" s="854"/>
      <c r="CI300" s="854"/>
      <c r="CJ300" s="854"/>
      <c r="CK300" s="854"/>
      <c r="CL300" s="854"/>
      <c r="CM300" s="854"/>
      <c r="CN300" s="854"/>
      <c r="CO300" s="854"/>
      <c r="CP300" s="854"/>
      <c r="CQ300" s="854"/>
      <c r="CR300" s="854"/>
      <c r="CS300" s="854"/>
      <c r="CT300" s="854"/>
      <c r="CU300" s="854"/>
      <c r="CV300" s="854"/>
      <c r="CW300" s="854"/>
      <c r="CX300" s="854"/>
      <c r="CY300" s="854"/>
      <c r="CZ300" s="854"/>
      <c r="DA300" s="854"/>
      <c r="DB300" s="854"/>
      <c r="DC300" s="854"/>
      <c r="DD300" s="854"/>
      <c r="DE300" s="854"/>
      <c r="DF300" s="854"/>
      <c r="DG300" s="854"/>
      <c r="DH300" s="854"/>
      <c r="DI300" s="854"/>
      <c r="DJ300" s="854"/>
      <c r="DK300" s="854"/>
      <c r="DL300" s="854"/>
      <c r="DM300" s="854"/>
      <c r="DN300" s="854"/>
      <c r="DO300" s="854"/>
      <c r="DP300" s="854"/>
      <c r="DQ300" s="854"/>
      <c r="DR300" s="854"/>
      <c r="DS300" s="854"/>
      <c r="DT300" s="854"/>
      <c r="DU300" s="854"/>
      <c r="DV300" s="854"/>
      <c r="DW300" s="854"/>
      <c r="DX300" s="854"/>
      <c r="DY300" s="854"/>
      <c r="DZ300" s="854"/>
      <c r="EA300" s="854"/>
      <c r="EB300" s="854"/>
      <c r="EC300" s="854"/>
      <c r="ED300" s="854"/>
      <c r="EE300" s="854"/>
      <c r="EF300" s="854"/>
      <c r="EG300" s="854"/>
      <c r="EH300" s="854"/>
      <c r="EI300" s="854"/>
      <c r="EJ300" s="854"/>
      <c r="EK300" s="854"/>
      <c r="EL300" s="854"/>
      <c r="EM300" s="854"/>
      <c r="EN300" s="854"/>
      <c r="EO300" s="854"/>
      <c r="EP300" s="854"/>
      <c r="EQ300" s="854"/>
      <c r="ER300" s="854"/>
      <c r="ES300" s="854"/>
      <c r="ET300" s="854"/>
      <c r="EU300" s="854"/>
      <c r="EV300" s="854"/>
      <c r="EW300" s="854"/>
      <c r="EX300" s="854"/>
      <c r="EY300" s="854"/>
      <c r="EZ300" s="854"/>
      <c r="FA300" s="854"/>
      <c r="FB300" s="854"/>
      <c r="FC300" s="854"/>
      <c r="FD300" s="854"/>
      <c r="FE300" s="854"/>
      <c r="FF300" s="854"/>
      <c r="FG300" s="854"/>
      <c r="FH300" s="854"/>
      <c r="FI300" s="854"/>
      <c r="FJ300" s="854"/>
      <c r="FK300" s="854"/>
      <c r="FL300" s="854"/>
      <c r="FM300" s="854"/>
      <c r="FN300" s="854"/>
      <c r="FO300" s="854"/>
      <c r="FP300" s="854"/>
      <c r="FQ300" s="854"/>
      <c r="FR300" s="854"/>
      <c r="FS300" s="854"/>
      <c r="FT300" s="854"/>
      <c r="FU300" s="854"/>
      <c r="FV300" s="854"/>
      <c r="FW300" s="854"/>
      <c r="FX300" s="854"/>
      <c r="FY300" s="854"/>
      <c r="FZ300" s="854"/>
      <c r="GA300" s="854"/>
      <c r="GB300" s="854"/>
      <c r="GC300" s="854"/>
      <c r="GD300" s="854"/>
      <c r="GE300" s="854"/>
      <c r="GF300" s="854"/>
      <c r="GG300" s="854"/>
      <c r="GH300" s="854"/>
      <c r="GI300" s="854"/>
      <c r="GJ300" s="854"/>
      <c r="GK300" s="854"/>
      <c r="GL300" s="854"/>
      <c r="GM300" s="854"/>
      <c r="GN300" s="854"/>
      <c r="GO300" s="854"/>
      <c r="GP300" s="854"/>
      <c r="GQ300" s="854"/>
      <c r="GR300" s="854"/>
      <c r="GS300" s="854"/>
      <c r="GT300" s="854"/>
      <c r="GU300" s="854"/>
      <c r="GV300" s="854"/>
      <c r="GW300" s="854"/>
      <c r="GX300" s="854"/>
      <c r="GY300" s="854"/>
      <c r="GZ300" s="854"/>
      <c r="HA300" s="854"/>
      <c r="HB300" s="854"/>
      <c r="HC300" s="854"/>
      <c r="HD300" s="854"/>
      <c r="HE300" s="854"/>
      <c r="HF300" s="854"/>
      <c r="HG300" s="854"/>
      <c r="HH300" s="854"/>
      <c r="HI300" s="854"/>
      <c r="HJ300" s="854"/>
      <c r="HK300" s="854"/>
      <c r="HL300" s="854"/>
      <c r="HM300" s="854"/>
      <c r="HN300" s="854"/>
      <c r="HO300" s="854"/>
      <c r="HP300" s="854"/>
      <c r="HQ300" s="854"/>
      <c r="HR300" s="854"/>
      <c r="HS300" s="854"/>
      <c r="HT300" s="854"/>
      <c r="HU300" s="854"/>
      <c r="HV300" s="854"/>
      <c r="HW300" s="854"/>
      <c r="HX300" s="854"/>
      <c r="HY300" s="854"/>
      <c r="HZ300" s="854"/>
      <c r="IA300" s="854"/>
      <c r="IB300" s="854"/>
      <c r="IC300" s="854"/>
      <c r="ID300" s="854"/>
      <c r="IE300" s="854"/>
      <c r="IF300" s="854"/>
      <c r="IG300" s="854"/>
      <c r="IH300" s="854"/>
      <c r="II300" s="854"/>
      <c r="IJ300" s="854"/>
      <c r="IK300" s="854"/>
      <c r="IL300" s="854"/>
      <c r="IM300" s="854"/>
      <c r="IN300" s="854"/>
      <c r="IO300" s="854"/>
      <c r="IP300" s="854"/>
      <c r="IQ300" s="854"/>
      <c r="IR300" s="854"/>
      <c r="IS300" s="854"/>
      <c r="IT300" s="854"/>
      <c r="IU300" s="854"/>
      <c r="IV300" s="854"/>
      <c r="IW300" s="854"/>
      <c r="IX300" s="854"/>
      <c r="IY300" s="854"/>
      <c r="IZ300" s="854"/>
      <c r="JA300" s="854"/>
      <c r="JB300" s="854"/>
      <c r="JC300" s="854"/>
      <c r="JD300" s="854"/>
      <c r="JE300" s="854"/>
      <c r="JF300" s="854"/>
      <c r="JG300" s="854"/>
      <c r="JH300" s="854"/>
      <c r="JI300" s="854"/>
      <c r="JJ300" s="854"/>
      <c r="JK300" s="854"/>
      <c r="JL300" s="854"/>
      <c r="JM300" s="854"/>
      <c r="JN300" s="854"/>
      <c r="JO300" s="854"/>
      <c r="JP300" s="854"/>
      <c r="JQ300" s="854"/>
      <c r="JR300" s="854"/>
      <c r="JS300" s="854"/>
      <c r="JT300" s="854"/>
      <c r="JU300" s="854"/>
      <c r="JV300" s="854"/>
      <c r="JW300" s="854"/>
      <c r="JX300" s="854"/>
      <c r="JY300" s="854"/>
      <c r="JZ300" s="854"/>
      <c r="KA300" s="854"/>
      <c r="KB300" s="854"/>
      <c r="KC300" s="854"/>
      <c r="KD300" s="854"/>
      <c r="KE300" s="854"/>
      <c r="KF300" s="854"/>
      <c r="KG300" s="854"/>
      <c r="KH300" s="854"/>
      <c r="KI300" s="854"/>
      <c r="KJ300" s="854"/>
      <c r="KK300" s="854"/>
      <c r="KL300" s="854"/>
      <c r="KM300" s="854"/>
      <c r="KN300" s="854"/>
      <c r="KO300" s="854"/>
      <c r="KP300" s="854"/>
      <c r="KQ300" s="854"/>
      <c r="KR300" s="854"/>
      <c r="KS300" s="854"/>
      <c r="KT300" s="854"/>
      <c r="KU300" s="854"/>
      <c r="KV300" s="854"/>
      <c r="KW300" s="854"/>
      <c r="KX300" s="854"/>
      <c r="KY300" s="854"/>
      <c r="KZ300" s="854"/>
      <c r="LA300" s="854"/>
      <c r="LB300" s="854"/>
      <c r="LC300" s="854"/>
      <c r="LD300" s="854"/>
      <c r="LE300" s="854"/>
      <c r="LF300" s="854"/>
      <c r="LG300" s="854"/>
      <c r="LH300" s="854"/>
      <c r="LI300" s="854"/>
      <c r="LJ300" s="854"/>
      <c r="LK300" s="854"/>
      <c r="LL300" s="854"/>
      <c r="LM300" s="854"/>
      <c r="LN300" s="854"/>
      <c r="LO300" s="854"/>
      <c r="LP300" s="854"/>
      <c r="LQ300" s="854"/>
      <c r="LR300" s="854"/>
      <c r="LS300" s="854"/>
      <c r="LT300" s="854"/>
      <c r="LU300" s="854"/>
      <c r="LV300" s="854"/>
      <c r="LW300" s="854"/>
      <c r="LX300" s="854"/>
      <c r="LY300" s="854"/>
      <c r="LZ300" s="854"/>
      <c r="MA300" s="854"/>
      <c r="MB300" s="854"/>
      <c r="MC300" s="854"/>
      <c r="MD300" s="854"/>
      <c r="ME300" s="854"/>
      <c r="MF300" s="854"/>
      <c r="MG300" s="854"/>
      <c r="MH300" s="854"/>
      <c r="MI300" s="854"/>
      <c r="MJ300" s="854"/>
      <c r="MK300" s="854"/>
      <c r="ML300" s="854"/>
      <c r="MM300" s="854"/>
      <c r="MN300" s="854"/>
      <c r="MO300" s="854"/>
      <c r="MP300" s="854"/>
      <c r="MQ300" s="854"/>
      <c r="MR300" s="854"/>
      <c r="MS300" s="854"/>
      <c r="MT300" s="854"/>
      <c r="MU300" s="854"/>
      <c r="MV300" s="854"/>
      <c r="MW300" s="854"/>
      <c r="MX300" s="854"/>
      <c r="MY300" s="854"/>
      <c r="MZ300" s="854"/>
      <c r="NA300" s="854"/>
      <c r="NB300" s="854"/>
      <c r="NC300" s="854"/>
      <c r="ND300" s="854"/>
      <c r="NE300" s="854"/>
      <c r="NF300" s="854"/>
      <c r="NG300" s="854"/>
      <c r="NH300" s="854"/>
      <c r="NI300" s="854"/>
      <c r="NJ300" s="854"/>
      <c r="NK300" s="854"/>
      <c r="NL300" s="854"/>
      <c r="NM300" s="854"/>
      <c r="NN300" s="854"/>
      <c r="NO300" s="854"/>
      <c r="NP300" s="854"/>
      <c r="NQ300" s="854"/>
      <c r="NR300" s="854"/>
      <c r="NS300" s="854"/>
      <c r="NT300" s="854"/>
      <c r="NU300" s="854"/>
      <c r="NV300" s="854"/>
      <c r="NW300" s="854"/>
      <c r="NX300" s="854"/>
      <c r="NY300" s="854"/>
      <c r="NZ300" s="854"/>
      <c r="OA300" s="854"/>
      <c r="OB300" s="854"/>
      <c r="OC300" s="854"/>
      <c r="OD300" s="854"/>
      <c r="OE300" s="854"/>
      <c r="OF300" s="854"/>
      <c r="OG300" s="854"/>
      <c r="OH300" s="854"/>
      <c r="OI300" s="854"/>
      <c r="OJ300" s="854"/>
      <c r="OK300" s="854"/>
      <c r="OL300" s="854"/>
      <c r="OM300" s="854"/>
      <c r="ON300" s="854"/>
      <c r="OO300" s="854"/>
      <c r="OP300" s="854"/>
      <c r="OQ300" s="854"/>
      <c r="OR300" s="854"/>
      <c r="OS300" s="854"/>
      <c r="OT300" s="854"/>
      <c r="OU300" s="854"/>
      <c r="OV300" s="854"/>
      <c r="OW300" s="854"/>
      <c r="OX300" s="854"/>
      <c r="OY300" s="854"/>
      <c r="OZ300" s="854"/>
      <c r="PA300" s="854"/>
      <c r="PB300" s="854"/>
      <c r="PC300" s="854"/>
      <c r="PD300" s="854"/>
      <c r="PE300" s="854"/>
      <c r="PF300" s="854"/>
      <c r="PG300" s="854"/>
      <c r="PH300" s="854"/>
      <c r="PI300" s="854"/>
      <c r="PJ300" s="854"/>
      <c r="PK300" s="854"/>
      <c r="PL300" s="854"/>
      <c r="PM300" s="854"/>
      <c r="PN300" s="854"/>
      <c r="PO300" s="854"/>
      <c r="PP300" s="854"/>
      <c r="PQ300" s="854"/>
      <c r="PR300" s="854"/>
      <c r="PS300" s="854"/>
      <c r="PT300" s="854"/>
      <c r="PU300" s="854"/>
      <c r="PV300" s="854"/>
      <c r="PW300" s="854"/>
      <c r="PX300" s="854"/>
      <c r="PY300" s="854"/>
      <c r="PZ300" s="854"/>
      <c r="QA300" s="854"/>
      <c r="QB300" s="854"/>
      <c r="QC300" s="854"/>
      <c r="QD300" s="854"/>
      <c r="QE300" s="854"/>
      <c r="QF300" s="854"/>
      <c r="QG300" s="854"/>
      <c r="QH300" s="854"/>
      <c r="QI300" s="854"/>
      <c r="QJ300" s="854"/>
      <c r="QK300" s="854"/>
      <c r="QL300" s="854"/>
      <c r="QM300" s="854"/>
      <c r="QN300" s="854"/>
      <c r="QO300" s="854"/>
      <c r="QP300" s="854"/>
      <c r="QQ300" s="854"/>
      <c r="QR300" s="854"/>
      <c r="QS300" s="854"/>
      <c r="QT300" s="854"/>
      <c r="QU300" s="854"/>
      <c r="QV300" s="854"/>
      <c r="QW300" s="854"/>
      <c r="QX300" s="854"/>
      <c r="QY300" s="854"/>
      <c r="QZ300" s="854"/>
      <c r="RA300" s="854"/>
      <c r="RB300" s="854"/>
      <c r="RC300" s="854"/>
      <c r="RD300" s="854"/>
      <c r="RE300" s="854"/>
      <c r="RF300" s="854"/>
      <c r="RG300" s="854"/>
      <c r="RH300" s="854"/>
      <c r="RI300" s="854"/>
      <c r="RJ300" s="854"/>
      <c r="RK300" s="854"/>
      <c r="RL300" s="854"/>
      <c r="RM300" s="854"/>
      <c r="RN300" s="854"/>
      <c r="RO300" s="854"/>
      <c r="RP300" s="854"/>
      <c r="RQ300" s="854"/>
      <c r="RR300" s="854"/>
      <c r="RS300" s="854"/>
      <c r="RT300" s="854"/>
      <c r="RU300" s="854"/>
      <c r="RV300" s="854"/>
      <c r="RW300" s="854"/>
      <c r="RX300" s="854"/>
      <c r="RY300" s="854"/>
      <c r="RZ300" s="854"/>
      <c r="SA300" s="854"/>
      <c r="SB300" s="854"/>
      <c r="SC300" s="854"/>
      <c r="SD300" s="854"/>
      <c r="SE300" s="854"/>
      <c r="SF300" s="854"/>
      <c r="SG300" s="854"/>
      <c r="SH300" s="854"/>
      <c r="SI300" s="854"/>
      <c r="SJ300" s="854"/>
      <c r="SK300" s="854"/>
      <c r="SL300" s="854"/>
      <c r="SM300" s="854"/>
      <c r="SN300" s="854"/>
      <c r="SO300" s="854"/>
      <c r="SP300" s="854"/>
      <c r="SQ300" s="854"/>
      <c r="SR300" s="854"/>
      <c r="SS300" s="854"/>
      <c r="ST300" s="854"/>
      <c r="SU300" s="854"/>
      <c r="SV300" s="854"/>
      <c r="SW300" s="854"/>
      <c r="SX300" s="854"/>
      <c r="SY300" s="854"/>
      <c r="SZ300" s="854"/>
      <c r="TA300" s="854"/>
      <c r="TB300" s="854"/>
      <c r="TC300" s="854"/>
      <c r="TD300" s="854"/>
      <c r="TE300" s="854"/>
      <c r="TF300" s="854"/>
      <c r="TG300" s="854"/>
      <c r="TH300" s="854"/>
      <c r="TI300" s="854"/>
      <c r="TJ300" s="854"/>
      <c r="TK300" s="854"/>
      <c r="TL300" s="854"/>
      <c r="TM300" s="854"/>
      <c r="TN300" s="854"/>
      <c r="TO300" s="854"/>
      <c r="TP300" s="854"/>
      <c r="TQ300" s="854"/>
      <c r="TR300" s="854"/>
      <c r="TS300" s="854"/>
      <c r="TT300" s="854"/>
      <c r="TU300" s="854"/>
      <c r="TV300" s="854"/>
      <c r="TW300" s="854"/>
      <c r="TX300" s="854"/>
      <c r="TY300" s="854"/>
      <c r="TZ300" s="854"/>
      <c r="UA300" s="854"/>
      <c r="UB300" s="854"/>
      <c r="UC300" s="854"/>
      <c r="UD300" s="854"/>
      <c r="UE300" s="854"/>
      <c r="UF300" s="854"/>
      <c r="UG300" s="855"/>
    </row>
    <row r="301" spans="1:553" s="906" customFormat="1" ht="113.25" customHeight="1">
      <c r="A301" s="431"/>
      <c r="B301" s="434"/>
      <c r="C301" s="539" t="s">
        <v>900</v>
      </c>
      <c r="D301" s="908" t="str">
        <f t="shared" ref="D301:E301" si="57">D283</f>
        <v>1</v>
      </c>
      <c r="E301" s="540">
        <f t="shared" si="57"/>
        <v>274</v>
      </c>
      <c r="F301" s="541"/>
      <c r="G301" s="542" t="str">
        <f>G299</f>
        <v>m2</v>
      </c>
      <c r="H301" s="543"/>
      <c r="I301" s="909">
        <f>I283</f>
        <v>386</v>
      </c>
      <c r="J301" s="988">
        <f>62000-55000</f>
        <v>7000</v>
      </c>
      <c r="K301" s="1086"/>
      <c r="L301" s="910">
        <f t="shared" ref="L301" si="58">I301*J301</f>
        <v>2702000</v>
      </c>
      <c r="M301" s="544"/>
      <c r="N301" s="544"/>
      <c r="O301" s="544"/>
      <c r="P301" s="544"/>
      <c r="Q301" s="1147"/>
      <c r="R301" s="1549"/>
      <c r="S301" s="308"/>
      <c r="T301" s="303"/>
      <c r="U301" s="306"/>
      <c r="V301" s="307"/>
      <c r="W301" s="306"/>
      <c r="X301" s="306"/>
      <c r="Y301" s="306"/>
      <c r="Z301" s="306"/>
      <c r="AA301" s="306"/>
      <c r="AB301" s="306"/>
      <c r="AC301" s="545"/>
      <c r="AD301" s="546"/>
      <c r="AE301" s="546"/>
      <c r="AF301" s="546"/>
      <c r="AG301" s="546"/>
      <c r="AH301" s="546"/>
      <c r="AI301" s="546"/>
      <c r="AJ301" s="546"/>
      <c r="AK301" s="546"/>
      <c r="AL301" s="903"/>
      <c r="AM301" s="904"/>
      <c r="AN301" s="904"/>
      <c r="AO301" s="904"/>
      <c r="AP301" s="904"/>
      <c r="AQ301" s="904"/>
      <c r="AR301" s="904"/>
      <c r="AS301" s="904"/>
      <c r="AT301" s="904"/>
      <c r="AU301" s="904"/>
      <c r="AV301" s="904"/>
      <c r="AW301" s="904"/>
      <c r="AX301" s="904"/>
      <c r="AY301" s="904"/>
      <c r="AZ301" s="904"/>
      <c r="BA301" s="904"/>
      <c r="BB301" s="904"/>
      <c r="BC301" s="904"/>
      <c r="BD301" s="904"/>
      <c r="BE301" s="904"/>
      <c r="BF301" s="904"/>
      <c r="BG301" s="904"/>
      <c r="BH301" s="904"/>
      <c r="BI301" s="904"/>
      <c r="BJ301" s="904"/>
      <c r="BK301" s="904"/>
      <c r="BL301" s="904"/>
      <c r="BM301" s="904"/>
      <c r="BN301" s="904"/>
      <c r="BO301" s="904"/>
      <c r="BP301" s="904"/>
      <c r="BQ301" s="904"/>
      <c r="BR301" s="904"/>
      <c r="BS301" s="904"/>
      <c r="BT301" s="904"/>
      <c r="BU301" s="904"/>
      <c r="BV301" s="904"/>
      <c r="BW301" s="904"/>
      <c r="BX301" s="904"/>
      <c r="BY301" s="904"/>
      <c r="BZ301" s="904"/>
      <c r="CA301" s="904"/>
      <c r="CB301" s="904"/>
      <c r="CC301" s="904"/>
      <c r="CD301" s="904"/>
      <c r="CE301" s="904"/>
      <c r="CF301" s="904"/>
      <c r="CG301" s="904"/>
      <c r="CH301" s="904"/>
      <c r="CI301" s="904"/>
      <c r="CJ301" s="904"/>
      <c r="CK301" s="904"/>
      <c r="CL301" s="904"/>
      <c r="CM301" s="904"/>
      <c r="CN301" s="904"/>
      <c r="CO301" s="904"/>
      <c r="CP301" s="904"/>
      <c r="CQ301" s="904"/>
      <c r="CR301" s="904"/>
      <c r="CS301" s="904"/>
      <c r="CT301" s="904"/>
      <c r="CU301" s="904"/>
      <c r="CV301" s="904"/>
      <c r="CW301" s="904"/>
      <c r="CX301" s="904"/>
      <c r="CY301" s="904"/>
      <c r="CZ301" s="904"/>
      <c r="DA301" s="904"/>
      <c r="DB301" s="904"/>
      <c r="DC301" s="904"/>
      <c r="DD301" s="904"/>
      <c r="DE301" s="904"/>
      <c r="DF301" s="904"/>
      <c r="DG301" s="904"/>
      <c r="DH301" s="904"/>
      <c r="DI301" s="904"/>
      <c r="DJ301" s="904"/>
      <c r="DK301" s="904"/>
      <c r="DL301" s="904"/>
      <c r="DM301" s="904"/>
      <c r="DN301" s="904"/>
      <c r="DO301" s="904"/>
      <c r="DP301" s="904"/>
      <c r="DQ301" s="904"/>
      <c r="DR301" s="904"/>
      <c r="DS301" s="904"/>
      <c r="DT301" s="904"/>
      <c r="DU301" s="904"/>
      <c r="DV301" s="904"/>
      <c r="DW301" s="904"/>
      <c r="DX301" s="904"/>
      <c r="DY301" s="904"/>
      <c r="DZ301" s="904"/>
      <c r="EA301" s="904"/>
      <c r="EB301" s="904"/>
      <c r="EC301" s="904"/>
      <c r="ED301" s="904"/>
      <c r="EE301" s="904"/>
      <c r="EF301" s="904"/>
      <c r="EG301" s="904"/>
      <c r="EH301" s="904"/>
      <c r="EI301" s="904"/>
      <c r="EJ301" s="904"/>
      <c r="EK301" s="904"/>
      <c r="EL301" s="904"/>
      <c r="EM301" s="904"/>
      <c r="EN301" s="904"/>
      <c r="EO301" s="904"/>
      <c r="EP301" s="904"/>
      <c r="EQ301" s="904"/>
      <c r="ER301" s="904"/>
      <c r="ES301" s="904"/>
      <c r="ET301" s="904"/>
      <c r="EU301" s="904"/>
      <c r="EV301" s="904"/>
      <c r="EW301" s="904"/>
      <c r="EX301" s="904"/>
      <c r="EY301" s="904"/>
      <c r="EZ301" s="904"/>
      <c r="FA301" s="904"/>
      <c r="FB301" s="904"/>
      <c r="FC301" s="904"/>
      <c r="FD301" s="904"/>
      <c r="FE301" s="904"/>
      <c r="FF301" s="904"/>
      <c r="FG301" s="904"/>
      <c r="FH301" s="904"/>
      <c r="FI301" s="904"/>
      <c r="FJ301" s="904"/>
      <c r="FK301" s="904"/>
      <c r="FL301" s="904"/>
      <c r="FM301" s="904"/>
      <c r="FN301" s="904"/>
      <c r="FO301" s="904"/>
      <c r="FP301" s="904"/>
      <c r="FQ301" s="904"/>
      <c r="FR301" s="904"/>
      <c r="FS301" s="904"/>
      <c r="FT301" s="904"/>
      <c r="FU301" s="904"/>
      <c r="FV301" s="904"/>
      <c r="FW301" s="904"/>
      <c r="FX301" s="904"/>
      <c r="FY301" s="904"/>
      <c r="FZ301" s="904"/>
      <c r="GA301" s="904"/>
      <c r="GB301" s="904"/>
      <c r="GC301" s="904"/>
      <c r="GD301" s="904"/>
      <c r="GE301" s="904"/>
      <c r="GF301" s="904"/>
      <c r="GG301" s="904"/>
      <c r="GH301" s="904"/>
      <c r="GI301" s="904"/>
      <c r="GJ301" s="904"/>
      <c r="GK301" s="904"/>
      <c r="GL301" s="904"/>
      <c r="GM301" s="904"/>
      <c r="GN301" s="904"/>
      <c r="GO301" s="904"/>
      <c r="GP301" s="904"/>
      <c r="GQ301" s="904"/>
      <c r="GR301" s="904"/>
      <c r="GS301" s="904"/>
      <c r="GT301" s="904"/>
      <c r="GU301" s="904"/>
      <c r="GV301" s="904"/>
      <c r="GW301" s="904"/>
      <c r="GX301" s="904"/>
      <c r="GY301" s="904"/>
      <c r="GZ301" s="904"/>
      <c r="HA301" s="904"/>
      <c r="HB301" s="904"/>
      <c r="HC301" s="904"/>
      <c r="HD301" s="904"/>
      <c r="HE301" s="904"/>
      <c r="HF301" s="904"/>
      <c r="HG301" s="904"/>
      <c r="HH301" s="904"/>
      <c r="HI301" s="904"/>
      <c r="HJ301" s="904"/>
      <c r="HK301" s="904"/>
      <c r="HL301" s="904"/>
      <c r="HM301" s="904"/>
      <c r="HN301" s="904"/>
      <c r="HO301" s="904"/>
      <c r="HP301" s="904"/>
      <c r="HQ301" s="904"/>
      <c r="HR301" s="904"/>
      <c r="HS301" s="904"/>
      <c r="HT301" s="904"/>
      <c r="HU301" s="904"/>
      <c r="HV301" s="904"/>
      <c r="HW301" s="904"/>
      <c r="HX301" s="904"/>
      <c r="HY301" s="904"/>
      <c r="HZ301" s="904"/>
      <c r="IA301" s="904"/>
      <c r="IB301" s="904"/>
      <c r="IC301" s="904"/>
      <c r="ID301" s="904"/>
      <c r="IE301" s="904"/>
      <c r="IF301" s="904"/>
      <c r="IG301" s="904"/>
      <c r="IH301" s="904"/>
      <c r="II301" s="904"/>
      <c r="IJ301" s="904"/>
      <c r="IK301" s="904"/>
      <c r="IL301" s="904"/>
      <c r="IM301" s="904"/>
      <c r="IN301" s="904"/>
      <c r="IO301" s="904"/>
      <c r="IP301" s="904"/>
      <c r="IQ301" s="904"/>
      <c r="IR301" s="904"/>
      <c r="IS301" s="904"/>
      <c r="IT301" s="904"/>
      <c r="IU301" s="904"/>
      <c r="IV301" s="904"/>
      <c r="IW301" s="904"/>
      <c r="IX301" s="904"/>
      <c r="IY301" s="904"/>
      <c r="IZ301" s="904"/>
      <c r="JA301" s="904"/>
      <c r="JB301" s="904"/>
      <c r="JC301" s="904"/>
      <c r="JD301" s="904"/>
      <c r="JE301" s="904"/>
      <c r="JF301" s="904"/>
      <c r="JG301" s="904"/>
      <c r="JH301" s="904"/>
      <c r="JI301" s="904"/>
      <c r="JJ301" s="904"/>
      <c r="JK301" s="904"/>
      <c r="JL301" s="904"/>
      <c r="JM301" s="904"/>
      <c r="JN301" s="904"/>
      <c r="JO301" s="904"/>
      <c r="JP301" s="904"/>
      <c r="JQ301" s="904"/>
      <c r="JR301" s="904"/>
      <c r="JS301" s="904"/>
      <c r="JT301" s="904"/>
      <c r="JU301" s="904"/>
      <c r="JV301" s="904"/>
      <c r="JW301" s="904"/>
      <c r="JX301" s="904"/>
      <c r="JY301" s="904"/>
      <c r="JZ301" s="904"/>
      <c r="KA301" s="904"/>
      <c r="KB301" s="904"/>
      <c r="KC301" s="904"/>
      <c r="KD301" s="904"/>
      <c r="KE301" s="904"/>
      <c r="KF301" s="904"/>
      <c r="KG301" s="904"/>
      <c r="KH301" s="904"/>
      <c r="KI301" s="904"/>
      <c r="KJ301" s="904"/>
      <c r="KK301" s="904"/>
      <c r="KL301" s="904"/>
      <c r="KM301" s="904"/>
      <c r="KN301" s="904"/>
      <c r="KO301" s="904"/>
      <c r="KP301" s="904"/>
      <c r="KQ301" s="904"/>
      <c r="KR301" s="904"/>
      <c r="KS301" s="904"/>
      <c r="KT301" s="904"/>
      <c r="KU301" s="904"/>
      <c r="KV301" s="904"/>
      <c r="KW301" s="904"/>
      <c r="KX301" s="904"/>
      <c r="KY301" s="904"/>
      <c r="KZ301" s="904"/>
      <c r="LA301" s="904"/>
      <c r="LB301" s="904"/>
      <c r="LC301" s="904"/>
      <c r="LD301" s="904"/>
      <c r="LE301" s="904"/>
      <c r="LF301" s="904"/>
      <c r="LG301" s="904"/>
      <c r="LH301" s="904"/>
      <c r="LI301" s="904"/>
      <c r="LJ301" s="904"/>
      <c r="LK301" s="904"/>
      <c r="LL301" s="904"/>
      <c r="LM301" s="904"/>
      <c r="LN301" s="904"/>
      <c r="LO301" s="904"/>
      <c r="LP301" s="904"/>
      <c r="LQ301" s="904"/>
      <c r="LR301" s="904"/>
      <c r="LS301" s="904"/>
      <c r="LT301" s="904"/>
      <c r="LU301" s="904"/>
      <c r="LV301" s="904"/>
      <c r="LW301" s="904"/>
      <c r="LX301" s="904"/>
      <c r="LY301" s="904"/>
      <c r="LZ301" s="904"/>
      <c r="MA301" s="904"/>
      <c r="MB301" s="904"/>
      <c r="MC301" s="904"/>
      <c r="MD301" s="904"/>
      <c r="ME301" s="904"/>
      <c r="MF301" s="904"/>
      <c r="MG301" s="904"/>
      <c r="MH301" s="904"/>
      <c r="MI301" s="904"/>
      <c r="MJ301" s="904"/>
      <c r="MK301" s="904"/>
      <c r="ML301" s="904"/>
      <c r="MM301" s="904"/>
      <c r="MN301" s="904"/>
      <c r="MO301" s="904"/>
      <c r="MP301" s="904"/>
      <c r="MQ301" s="904"/>
      <c r="MR301" s="904"/>
      <c r="MS301" s="904"/>
      <c r="MT301" s="904"/>
      <c r="MU301" s="904"/>
      <c r="MV301" s="904"/>
      <c r="MW301" s="904"/>
      <c r="MX301" s="904"/>
      <c r="MY301" s="904"/>
      <c r="MZ301" s="904"/>
      <c r="NA301" s="904"/>
      <c r="NB301" s="904"/>
      <c r="NC301" s="904"/>
      <c r="ND301" s="904"/>
      <c r="NE301" s="904"/>
      <c r="NF301" s="904"/>
      <c r="NG301" s="904"/>
      <c r="NH301" s="904"/>
      <c r="NI301" s="904"/>
      <c r="NJ301" s="904"/>
      <c r="NK301" s="904"/>
      <c r="NL301" s="904"/>
      <c r="NM301" s="904"/>
      <c r="NN301" s="904"/>
      <c r="NO301" s="904"/>
      <c r="NP301" s="904"/>
      <c r="NQ301" s="904"/>
      <c r="NR301" s="904"/>
      <c r="NS301" s="904"/>
      <c r="NT301" s="904"/>
      <c r="NU301" s="904"/>
      <c r="NV301" s="904"/>
      <c r="NW301" s="904"/>
      <c r="NX301" s="904"/>
      <c r="NY301" s="904"/>
      <c r="NZ301" s="904"/>
      <c r="OA301" s="904"/>
      <c r="OB301" s="904"/>
      <c r="OC301" s="904"/>
      <c r="OD301" s="904"/>
      <c r="OE301" s="904"/>
      <c r="OF301" s="904"/>
      <c r="OG301" s="904"/>
      <c r="OH301" s="904"/>
      <c r="OI301" s="904"/>
      <c r="OJ301" s="904"/>
      <c r="OK301" s="904"/>
      <c r="OL301" s="904"/>
      <c r="OM301" s="904"/>
      <c r="ON301" s="904"/>
      <c r="OO301" s="904"/>
      <c r="OP301" s="904"/>
      <c r="OQ301" s="904"/>
      <c r="OR301" s="904"/>
      <c r="OS301" s="904"/>
      <c r="OT301" s="904"/>
      <c r="OU301" s="904"/>
      <c r="OV301" s="904"/>
      <c r="OW301" s="904"/>
      <c r="OX301" s="904"/>
      <c r="OY301" s="904"/>
      <c r="OZ301" s="904"/>
      <c r="PA301" s="904"/>
      <c r="PB301" s="904"/>
      <c r="PC301" s="904"/>
      <c r="PD301" s="904"/>
      <c r="PE301" s="904"/>
      <c r="PF301" s="904"/>
      <c r="PG301" s="904"/>
      <c r="PH301" s="904"/>
      <c r="PI301" s="904"/>
      <c r="PJ301" s="904"/>
      <c r="PK301" s="904"/>
      <c r="PL301" s="904"/>
      <c r="PM301" s="904"/>
      <c r="PN301" s="904"/>
      <c r="PO301" s="904"/>
      <c r="PP301" s="904"/>
      <c r="PQ301" s="904"/>
      <c r="PR301" s="904"/>
      <c r="PS301" s="904"/>
      <c r="PT301" s="904"/>
      <c r="PU301" s="904"/>
      <c r="PV301" s="904"/>
      <c r="PW301" s="904"/>
      <c r="PX301" s="904"/>
      <c r="PY301" s="904"/>
      <c r="PZ301" s="904"/>
      <c r="QA301" s="904"/>
      <c r="QB301" s="904"/>
      <c r="QC301" s="904"/>
      <c r="QD301" s="904"/>
      <c r="QE301" s="904"/>
      <c r="QF301" s="904"/>
      <c r="QG301" s="904"/>
      <c r="QH301" s="904"/>
      <c r="QI301" s="904"/>
      <c r="QJ301" s="904"/>
      <c r="QK301" s="904"/>
      <c r="QL301" s="904"/>
      <c r="QM301" s="904"/>
      <c r="QN301" s="904"/>
      <c r="QO301" s="904"/>
      <c r="QP301" s="904"/>
      <c r="QQ301" s="904"/>
      <c r="QR301" s="904"/>
      <c r="QS301" s="904"/>
      <c r="QT301" s="904"/>
      <c r="QU301" s="904"/>
      <c r="QV301" s="904"/>
      <c r="QW301" s="904"/>
      <c r="QX301" s="904"/>
      <c r="QY301" s="904"/>
      <c r="QZ301" s="904"/>
      <c r="RA301" s="904"/>
      <c r="RB301" s="904"/>
      <c r="RC301" s="904"/>
      <c r="RD301" s="904"/>
      <c r="RE301" s="904"/>
      <c r="RF301" s="904"/>
      <c r="RG301" s="904"/>
      <c r="RH301" s="904"/>
      <c r="RI301" s="904"/>
      <c r="RJ301" s="904"/>
      <c r="RK301" s="904"/>
      <c r="RL301" s="904"/>
      <c r="RM301" s="904"/>
      <c r="RN301" s="904"/>
      <c r="RO301" s="904"/>
      <c r="RP301" s="904"/>
      <c r="RQ301" s="904"/>
      <c r="RR301" s="904"/>
      <c r="RS301" s="904"/>
      <c r="RT301" s="904"/>
      <c r="RU301" s="904"/>
      <c r="RV301" s="904"/>
      <c r="RW301" s="904"/>
      <c r="RX301" s="904"/>
      <c r="RY301" s="904"/>
      <c r="RZ301" s="904"/>
      <c r="SA301" s="904"/>
      <c r="SB301" s="904"/>
      <c r="SC301" s="904"/>
      <c r="SD301" s="904"/>
      <c r="SE301" s="904"/>
      <c r="SF301" s="904"/>
      <c r="SG301" s="904"/>
      <c r="SH301" s="904"/>
      <c r="SI301" s="904"/>
      <c r="SJ301" s="904"/>
      <c r="SK301" s="904"/>
      <c r="SL301" s="904"/>
      <c r="SM301" s="904"/>
      <c r="SN301" s="904"/>
      <c r="SO301" s="904"/>
      <c r="SP301" s="904"/>
      <c r="SQ301" s="904"/>
      <c r="SR301" s="904"/>
      <c r="SS301" s="904"/>
      <c r="ST301" s="904"/>
      <c r="SU301" s="904"/>
      <c r="SV301" s="904"/>
      <c r="SW301" s="904"/>
      <c r="SX301" s="904"/>
      <c r="SY301" s="904"/>
      <c r="SZ301" s="904"/>
      <c r="TA301" s="904"/>
      <c r="TB301" s="904"/>
      <c r="TC301" s="904"/>
      <c r="TD301" s="904"/>
      <c r="TE301" s="904"/>
      <c r="TF301" s="904"/>
      <c r="TG301" s="904"/>
      <c r="TH301" s="904"/>
      <c r="TI301" s="904"/>
      <c r="TJ301" s="904"/>
      <c r="TK301" s="904"/>
      <c r="TL301" s="904"/>
      <c r="TM301" s="904"/>
      <c r="TN301" s="904"/>
      <c r="TO301" s="904"/>
      <c r="TP301" s="904"/>
      <c r="TQ301" s="904"/>
      <c r="TR301" s="904"/>
      <c r="TS301" s="904"/>
      <c r="TT301" s="904"/>
      <c r="TU301" s="904"/>
      <c r="TV301" s="904"/>
      <c r="TW301" s="904"/>
      <c r="TX301" s="904"/>
      <c r="TY301" s="904"/>
      <c r="TZ301" s="904"/>
      <c r="UA301" s="904"/>
      <c r="UB301" s="904"/>
      <c r="UC301" s="904"/>
      <c r="UD301" s="904"/>
      <c r="UE301" s="904"/>
      <c r="UF301" s="904"/>
      <c r="UG301" s="905"/>
    </row>
    <row r="302" spans="1:553" s="906" customFormat="1" ht="113.25" customHeight="1">
      <c r="A302" s="431"/>
      <c r="B302" s="431"/>
      <c r="C302" s="911" t="s">
        <v>901</v>
      </c>
      <c r="D302" s="540" t="str">
        <f t="shared" ref="D302:E302" si="59">D301</f>
        <v>1</v>
      </c>
      <c r="E302" s="540">
        <f t="shared" si="59"/>
        <v>274</v>
      </c>
      <c r="F302" s="541"/>
      <c r="G302" s="542" t="str">
        <f t="shared" ref="G302" si="60">G301</f>
        <v>m2</v>
      </c>
      <c r="H302" s="543"/>
      <c r="I302" s="909">
        <f t="shared" ref="I302" si="61">I301</f>
        <v>386</v>
      </c>
      <c r="J302" s="988">
        <f>(66000*2.5)-(62000*2.5)</f>
        <v>10000</v>
      </c>
      <c r="K302" s="1086"/>
      <c r="L302" s="910">
        <f>I302*J302</f>
        <v>3860000</v>
      </c>
      <c r="M302" s="544"/>
      <c r="N302" s="544"/>
      <c r="O302" s="544"/>
      <c r="P302" s="544"/>
      <c r="Q302" s="1147"/>
      <c r="R302" s="1549"/>
      <c r="S302" s="308"/>
      <c r="T302" s="303"/>
      <c r="U302" s="306"/>
      <c r="V302" s="307"/>
      <c r="W302" s="306"/>
      <c r="X302" s="306"/>
      <c r="Y302" s="306"/>
      <c r="Z302" s="306"/>
      <c r="AA302" s="306"/>
      <c r="AB302" s="306"/>
      <c r="AC302" s="545"/>
      <c r="AD302" s="546"/>
      <c r="AE302" s="546"/>
      <c r="AF302" s="546"/>
      <c r="AG302" s="546"/>
      <c r="AH302" s="546"/>
      <c r="AI302" s="546"/>
      <c r="AJ302" s="546"/>
      <c r="AK302" s="546"/>
      <c r="AL302" s="903"/>
      <c r="AM302" s="904"/>
      <c r="AN302" s="904"/>
      <c r="AO302" s="904"/>
      <c r="AP302" s="904"/>
      <c r="AQ302" s="904"/>
      <c r="AR302" s="904"/>
      <c r="AS302" s="904"/>
      <c r="AT302" s="904"/>
      <c r="AU302" s="904"/>
      <c r="AV302" s="904"/>
      <c r="AW302" s="904"/>
      <c r="AX302" s="904"/>
      <c r="AY302" s="904"/>
      <c r="AZ302" s="904"/>
      <c r="BA302" s="904"/>
      <c r="BB302" s="904"/>
      <c r="BC302" s="904"/>
      <c r="BD302" s="904"/>
      <c r="BE302" s="904"/>
      <c r="BF302" s="904"/>
      <c r="BG302" s="904"/>
      <c r="BH302" s="904"/>
      <c r="BI302" s="904"/>
      <c r="BJ302" s="904"/>
      <c r="BK302" s="904"/>
      <c r="BL302" s="904"/>
      <c r="BM302" s="904"/>
      <c r="BN302" s="904"/>
      <c r="BO302" s="904"/>
      <c r="BP302" s="904"/>
      <c r="BQ302" s="904"/>
      <c r="BR302" s="904"/>
      <c r="BS302" s="904"/>
      <c r="BT302" s="904"/>
      <c r="BU302" s="904"/>
      <c r="BV302" s="904"/>
      <c r="BW302" s="904"/>
      <c r="BX302" s="904"/>
      <c r="BY302" s="904"/>
      <c r="BZ302" s="904"/>
      <c r="CA302" s="904"/>
      <c r="CB302" s="904"/>
      <c r="CC302" s="904"/>
      <c r="CD302" s="904"/>
      <c r="CE302" s="904"/>
      <c r="CF302" s="904"/>
      <c r="CG302" s="904"/>
      <c r="CH302" s="904"/>
      <c r="CI302" s="904"/>
      <c r="CJ302" s="904"/>
      <c r="CK302" s="904"/>
      <c r="CL302" s="904"/>
      <c r="CM302" s="904"/>
      <c r="CN302" s="904"/>
      <c r="CO302" s="904"/>
      <c r="CP302" s="904"/>
      <c r="CQ302" s="904"/>
      <c r="CR302" s="904"/>
      <c r="CS302" s="904"/>
      <c r="CT302" s="904"/>
      <c r="CU302" s="904"/>
      <c r="CV302" s="904"/>
      <c r="CW302" s="904"/>
      <c r="CX302" s="904"/>
      <c r="CY302" s="904"/>
      <c r="CZ302" s="904"/>
      <c r="DA302" s="904"/>
      <c r="DB302" s="904"/>
      <c r="DC302" s="904"/>
      <c r="DD302" s="904"/>
      <c r="DE302" s="904"/>
      <c r="DF302" s="904"/>
      <c r="DG302" s="904"/>
      <c r="DH302" s="904"/>
      <c r="DI302" s="904"/>
      <c r="DJ302" s="904"/>
      <c r="DK302" s="904"/>
      <c r="DL302" s="904"/>
      <c r="DM302" s="904"/>
      <c r="DN302" s="904"/>
      <c r="DO302" s="904"/>
      <c r="DP302" s="904"/>
      <c r="DQ302" s="904"/>
      <c r="DR302" s="904"/>
      <c r="DS302" s="904"/>
      <c r="DT302" s="904"/>
      <c r="DU302" s="904"/>
      <c r="DV302" s="904"/>
      <c r="DW302" s="904"/>
      <c r="DX302" s="904"/>
      <c r="DY302" s="904"/>
      <c r="DZ302" s="904"/>
      <c r="EA302" s="904"/>
      <c r="EB302" s="904"/>
      <c r="EC302" s="904"/>
      <c r="ED302" s="904"/>
      <c r="EE302" s="904"/>
      <c r="EF302" s="904"/>
      <c r="EG302" s="904"/>
      <c r="EH302" s="904"/>
      <c r="EI302" s="904"/>
      <c r="EJ302" s="904"/>
      <c r="EK302" s="904"/>
      <c r="EL302" s="904"/>
      <c r="EM302" s="904"/>
      <c r="EN302" s="904"/>
      <c r="EO302" s="904"/>
      <c r="EP302" s="904"/>
      <c r="EQ302" s="904"/>
      <c r="ER302" s="904"/>
      <c r="ES302" s="904"/>
      <c r="ET302" s="904"/>
      <c r="EU302" s="904"/>
      <c r="EV302" s="904"/>
      <c r="EW302" s="904"/>
      <c r="EX302" s="904"/>
      <c r="EY302" s="904"/>
      <c r="EZ302" s="904"/>
      <c r="FA302" s="904"/>
      <c r="FB302" s="904"/>
      <c r="FC302" s="904"/>
      <c r="FD302" s="904"/>
      <c r="FE302" s="904"/>
      <c r="FF302" s="904"/>
      <c r="FG302" s="904"/>
      <c r="FH302" s="904"/>
      <c r="FI302" s="904"/>
      <c r="FJ302" s="904"/>
      <c r="FK302" s="904"/>
      <c r="FL302" s="904"/>
      <c r="FM302" s="904"/>
      <c r="FN302" s="904"/>
      <c r="FO302" s="904"/>
      <c r="FP302" s="904"/>
      <c r="FQ302" s="904"/>
      <c r="FR302" s="904"/>
      <c r="FS302" s="904"/>
      <c r="FT302" s="904"/>
      <c r="FU302" s="904"/>
      <c r="FV302" s="904"/>
      <c r="FW302" s="904"/>
      <c r="FX302" s="904"/>
      <c r="FY302" s="904"/>
      <c r="FZ302" s="904"/>
      <c r="GA302" s="904"/>
      <c r="GB302" s="904"/>
      <c r="GC302" s="904"/>
      <c r="GD302" s="904"/>
      <c r="GE302" s="904"/>
      <c r="GF302" s="904"/>
      <c r="GG302" s="904"/>
      <c r="GH302" s="904"/>
      <c r="GI302" s="904"/>
      <c r="GJ302" s="904"/>
      <c r="GK302" s="904"/>
      <c r="GL302" s="904"/>
      <c r="GM302" s="904"/>
      <c r="GN302" s="904"/>
      <c r="GO302" s="904"/>
      <c r="GP302" s="904"/>
      <c r="GQ302" s="904"/>
      <c r="GR302" s="904"/>
      <c r="GS302" s="904"/>
      <c r="GT302" s="904"/>
      <c r="GU302" s="904"/>
      <c r="GV302" s="904"/>
      <c r="GW302" s="904"/>
      <c r="GX302" s="904"/>
      <c r="GY302" s="904"/>
      <c r="GZ302" s="904"/>
      <c r="HA302" s="904"/>
      <c r="HB302" s="904"/>
      <c r="HC302" s="904"/>
      <c r="HD302" s="904"/>
      <c r="HE302" s="904"/>
      <c r="HF302" s="904"/>
      <c r="HG302" s="904"/>
      <c r="HH302" s="904"/>
      <c r="HI302" s="904"/>
      <c r="HJ302" s="904"/>
      <c r="HK302" s="904"/>
      <c r="HL302" s="904"/>
      <c r="HM302" s="904"/>
      <c r="HN302" s="904"/>
      <c r="HO302" s="904"/>
      <c r="HP302" s="904"/>
      <c r="HQ302" s="904"/>
      <c r="HR302" s="904"/>
      <c r="HS302" s="904"/>
      <c r="HT302" s="904"/>
      <c r="HU302" s="904"/>
      <c r="HV302" s="904"/>
      <c r="HW302" s="904"/>
      <c r="HX302" s="904"/>
      <c r="HY302" s="904"/>
      <c r="HZ302" s="904"/>
      <c r="IA302" s="904"/>
      <c r="IB302" s="904"/>
      <c r="IC302" s="904"/>
      <c r="ID302" s="904"/>
      <c r="IE302" s="904"/>
      <c r="IF302" s="904"/>
      <c r="IG302" s="904"/>
      <c r="IH302" s="904"/>
      <c r="II302" s="904"/>
      <c r="IJ302" s="904"/>
      <c r="IK302" s="904"/>
      <c r="IL302" s="904"/>
      <c r="IM302" s="904"/>
      <c r="IN302" s="904"/>
      <c r="IO302" s="904"/>
      <c r="IP302" s="904"/>
      <c r="IQ302" s="904"/>
      <c r="IR302" s="904"/>
      <c r="IS302" s="904"/>
      <c r="IT302" s="904"/>
      <c r="IU302" s="904"/>
      <c r="IV302" s="904"/>
      <c r="IW302" s="904"/>
      <c r="IX302" s="904"/>
      <c r="IY302" s="904"/>
      <c r="IZ302" s="904"/>
      <c r="JA302" s="904"/>
      <c r="JB302" s="904"/>
      <c r="JC302" s="904"/>
      <c r="JD302" s="904"/>
      <c r="JE302" s="904"/>
      <c r="JF302" s="904"/>
      <c r="JG302" s="904"/>
      <c r="JH302" s="904"/>
      <c r="JI302" s="904"/>
      <c r="JJ302" s="904"/>
      <c r="JK302" s="904"/>
      <c r="JL302" s="904"/>
      <c r="JM302" s="904"/>
      <c r="JN302" s="904"/>
      <c r="JO302" s="904"/>
      <c r="JP302" s="904"/>
      <c r="JQ302" s="904"/>
      <c r="JR302" s="904"/>
      <c r="JS302" s="904"/>
      <c r="JT302" s="904"/>
      <c r="JU302" s="904"/>
      <c r="JV302" s="904"/>
      <c r="JW302" s="904"/>
      <c r="JX302" s="904"/>
      <c r="JY302" s="904"/>
      <c r="JZ302" s="904"/>
      <c r="KA302" s="904"/>
      <c r="KB302" s="904"/>
      <c r="KC302" s="904"/>
      <c r="KD302" s="904"/>
      <c r="KE302" s="904"/>
      <c r="KF302" s="904"/>
      <c r="KG302" s="904"/>
      <c r="KH302" s="904"/>
      <c r="KI302" s="904"/>
      <c r="KJ302" s="904"/>
      <c r="KK302" s="904"/>
      <c r="KL302" s="904"/>
      <c r="KM302" s="904"/>
      <c r="KN302" s="904"/>
      <c r="KO302" s="904"/>
      <c r="KP302" s="904"/>
      <c r="KQ302" s="904"/>
      <c r="KR302" s="904"/>
      <c r="KS302" s="904"/>
      <c r="KT302" s="904"/>
      <c r="KU302" s="904"/>
      <c r="KV302" s="904"/>
      <c r="KW302" s="904"/>
      <c r="KX302" s="904"/>
      <c r="KY302" s="904"/>
      <c r="KZ302" s="904"/>
      <c r="LA302" s="904"/>
      <c r="LB302" s="904"/>
      <c r="LC302" s="904"/>
      <c r="LD302" s="904"/>
      <c r="LE302" s="904"/>
      <c r="LF302" s="904"/>
      <c r="LG302" s="904"/>
      <c r="LH302" s="904"/>
      <c r="LI302" s="904"/>
      <c r="LJ302" s="904"/>
      <c r="LK302" s="904"/>
      <c r="LL302" s="904"/>
      <c r="LM302" s="904"/>
      <c r="LN302" s="904"/>
      <c r="LO302" s="904"/>
      <c r="LP302" s="904"/>
      <c r="LQ302" s="904"/>
      <c r="LR302" s="904"/>
      <c r="LS302" s="904"/>
      <c r="LT302" s="904"/>
      <c r="LU302" s="904"/>
      <c r="LV302" s="904"/>
      <c r="LW302" s="904"/>
      <c r="LX302" s="904"/>
      <c r="LY302" s="904"/>
      <c r="LZ302" s="904"/>
      <c r="MA302" s="904"/>
      <c r="MB302" s="904"/>
      <c r="MC302" s="904"/>
      <c r="MD302" s="904"/>
      <c r="ME302" s="904"/>
      <c r="MF302" s="904"/>
      <c r="MG302" s="904"/>
      <c r="MH302" s="904"/>
      <c r="MI302" s="904"/>
      <c r="MJ302" s="904"/>
      <c r="MK302" s="904"/>
      <c r="ML302" s="904"/>
      <c r="MM302" s="904"/>
      <c r="MN302" s="904"/>
      <c r="MO302" s="904"/>
      <c r="MP302" s="904"/>
      <c r="MQ302" s="904"/>
      <c r="MR302" s="904"/>
      <c r="MS302" s="904"/>
      <c r="MT302" s="904"/>
      <c r="MU302" s="904"/>
      <c r="MV302" s="904"/>
      <c r="MW302" s="904"/>
      <c r="MX302" s="904"/>
      <c r="MY302" s="904"/>
      <c r="MZ302" s="904"/>
      <c r="NA302" s="904"/>
      <c r="NB302" s="904"/>
      <c r="NC302" s="904"/>
      <c r="ND302" s="904"/>
      <c r="NE302" s="904"/>
      <c r="NF302" s="904"/>
      <c r="NG302" s="904"/>
      <c r="NH302" s="904"/>
      <c r="NI302" s="904"/>
      <c r="NJ302" s="904"/>
      <c r="NK302" s="904"/>
      <c r="NL302" s="904"/>
      <c r="NM302" s="904"/>
      <c r="NN302" s="904"/>
      <c r="NO302" s="904"/>
      <c r="NP302" s="904"/>
      <c r="NQ302" s="904"/>
      <c r="NR302" s="904"/>
      <c r="NS302" s="904"/>
      <c r="NT302" s="904"/>
      <c r="NU302" s="904"/>
      <c r="NV302" s="904"/>
      <c r="NW302" s="904"/>
      <c r="NX302" s="904"/>
      <c r="NY302" s="904"/>
      <c r="NZ302" s="904"/>
      <c r="OA302" s="904"/>
      <c r="OB302" s="904"/>
      <c r="OC302" s="904"/>
      <c r="OD302" s="904"/>
      <c r="OE302" s="904"/>
      <c r="OF302" s="904"/>
      <c r="OG302" s="904"/>
      <c r="OH302" s="904"/>
      <c r="OI302" s="904"/>
      <c r="OJ302" s="904"/>
      <c r="OK302" s="904"/>
      <c r="OL302" s="904"/>
      <c r="OM302" s="904"/>
      <c r="ON302" s="904"/>
      <c r="OO302" s="904"/>
      <c r="OP302" s="904"/>
      <c r="OQ302" s="904"/>
      <c r="OR302" s="904"/>
      <c r="OS302" s="904"/>
      <c r="OT302" s="904"/>
      <c r="OU302" s="904"/>
      <c r="OV302" s="904"/>
      <c r="OW302" s="904"/>
      <c r="OX302" s="904"/>
      <c r="OY302" s="904"/>
      <c r="OZ302" s="904"/>
      <c r="PA302" s="904"/>
      <c r="PB302" s="904"/>
      <c r="PC302" s="904"/>
      <c r="PD302" s="904"/>
      <c r="PE302" s="904"/>
      <c r="PF302" s="904"/>
      <c r="PG302" s="904"/>
      <c r="PH302" s="904"/>
      <c r="PI302" s="904"/>
      <c r="PJ302" s="904"/>
      <c r="PK302" s="904"/>
      <c r="PL302" s="904"/>
      <c r="PM302" s="904"/>
      <c r="PN302" s="904"/>
      <c r="PO302" s="904"/>
      <c r="PP302" s="904"/>
      <c r="PQ302" s="904"/>
      <c r="PR302" s="904"/>
      <c r="PS302" s="904"/>
      <c r="PT302" s="904"/>
      <c r="PU302" s="904"/>
      <c r="PV302" s="904"/>
      <c r="PW302" s="904"/>
      <c r="PX302" s="904"/>
      <c r="PY302" s="904"/>
      <c r="PZ302" s="904"/>
      <c r="QA302" s="904"/>
      <c r="QB302" s="904"/>
      <c r="QC302" s="904"/>
      <c r="QD302" s="904"/>
      <c r="QE302" s="904"/>
      <c r="QF302" s="904"/>
      <c r="QG302" s="904"/>
      <c r="QH302" s="904"/>
      <c r="QI302" s="904"/>
      <c r="QJ302" s="904"/>
      <c r="QK302" s="904"/>
      <c r="QL302" s="904"/>
      <c r="QM302" s="904"/>
      <c r="QN302" s="904"/>
      <c r="QO302" s="904"/>
      <c r="QP302" s="904"/>
      <c r="QQ302" s="904"/>
      <c r="QR302" s="904"/>
      <c r="QS302" s="904"/>
      <c r="QT302" s="904"/>
      <c r="QU302" s="904"/>
      <c r="QV302" s="904"/>
      <c r="QW302" s="904"/>
      <c r="QX302" s="904"/>
      <c r="QY302" s="904"/>
      <c r="QZ302" s="904"/>
      <c r="RA302" s="904"/>
      <c r="RB302" s="904"/>
      <c r="RC302" s="904"/>
      <c r="RD302" s="904"/>
      <c r="RE302" s="904"/>
      <c r="RF302" s="904"/>
      <c r="RG302" s="904"/>
      <c r="RH302" s="904"/>
      <c r="RI302" s="904"/>
      <c r="RJ302" s="904"/>
      <c r="RK302" s="904"/>
      <c r="RL302" s="904"/>
      <c r="RM302" s="904"/>
      <c r="RN302" s="904"/>
      <c r="RO302" s="904"/>
      <c r="RP302" s="904"/>
      <c r="RQ302" s="904"/>
      <c r="RR302" s="904"/>
      <c r="RS302" s="904"/>
      <c r="RT302" s="904"/>
      <c r="RU302" s="904"/>
      <c r="RV302" s="904"/>
      <c r="RW302" s="904"/>
      <c r="RX302" s="904"/>
      <c r="RY302" s="904"/>
      <c r="RZ302" s="904"/>
      <c r="SA302" s="904"/>
      <c r="SB302" s="904"/>
      <c r="SC302" s="904"/>
      <c r="SD302" s="904"/>
      <c r="SE302" s="904"/>
      <c r="SF302" s="904"/>
      <c r="SG302" s="904"/>
      <c r="SH302" s="904"/>
      <c r="SI302" s="904"/>
      <c r="SJ302" s="904"/>
      <c r="SK302" s="904"/>
      <c r="SL302" s="904"/>
      <c r="SM302" s="904"/>
      <c r="SN302" s="904"/>
      <c r="SO302" s="904"/>
      <c r="SP302" s="904"/>
      <c r="SQ302" s="904"/>
      <c r="SR302" s="904"/>
      <c r="SS302" s="904"/>
      <c r="ST302" s="904"/>
      <c r="SU302" s="904"/>
      <c r="SV302" s="904"/>
      <c r="SW302" s="904"/>
      <c r="SX302" s="904"/>
      <c r="SY302" s="904"/>
      <c r="SZ302" s="904"/>
      <c r="TA302" s="904"/>
      <c r="TB302" s="904"/>
      <c r="TC302" s="904"/>
      <c r="TD302" s="904"/>
      <c r="TE302" s="904"/>
      <c r="TF302" s="904"/>
      <c r="TG302" s="904"/>
      <c r="TH302" s="904"/>
      <c r="TI302" s="904"/>
      <c r="TJ302" s="904"/>
      <c r="TK302" s="904"/>
      <c r="TL302" s="904"/>
      <c r="TM302" s="904"/>
      <c r="TN302" s="904"/>
      <c r="TO302" s="904"/>
      <c r="TP302" s="904"/>
      <c r="TQ302" s="904"/>
      <c r="TR302" s="904"/>
      <c r="TS302" s="904"/>
      <c r="TT302" s="904"/>
      <c r="TU302" s="904"/>
      <c r="TV302" s="904"/>
      <c r="TW302" s="904"/>
      <c r="TX302" s="904"/>
      <c r="TY302" s="904"/>
      <c r="TZ302" s="904"/>
      <c r="UA302" s="904"/>
      <c r="UB302" s="904"/>
      <c r="UC302" s="904"/>
      <c r="UD302" s="904"/>
      <c r="UE302" s="904"/>
      <c r="UF302" s="904"/>
      <c r="UG302" s="905"/>
    </row>
    <row r="303" spans="1:553" ht="55.9" customHeight="1">
      <c r="A303" s="356" t="s">
        <v>66</v>
      </c>
      <c r="B303" s="428"/>
      <c r="C303" s="1491" t="s">
        <v>62</v>
      </c>
      <c r="D303" s="1389"/>
      <c r="E303" s="1389"/>
      <c r="F303" s="1390"/>
      <c r="G303" s="429"/>
      <c r="H303" s="359"/>
      <c r="I303" s="359"/>
      <c r="J303" s="357"/>
      <c r="K303" s="364"/>
      <c r="L303" s="356"/>
      <c r="M303" s="356"/>
      <c r="N303" s="356"/>
      <c r="O303" s="356"/>
      <c r="P303" s="358">
        <f>L303</f>
        <v>0</v>
      </c>
      <c r="Q303" s="610"/>
      <c r="R303" s="1226" t="s">
        <v>63</v>
      </c>
      <c r="S303" s="308"/>
      <c r="T303" s="303"/>
      <c r="U303" s="306"/>
      <c r="V303" s="307"/>
      <c r="W303" s="306"/>
      <c r="X303" s="306"/>
      <c r="Y303" s="306"/>
      <c r="Z303" s="306"/>
      <c r="AA303" s="306"/>
      <c r="AB303" s="306"/>
      <c r="AC303" s="454"/>
      <c r="AD303" s="454"/>
      <c r="AE303" s="454"/>
      <c r="AF303" s="454"/>
      <c r="AG303" s="454"/>
      <c r="AH303" s="454"/>
      <c r="AI303" s="454"/>
      <c r="AJ303" s="454"/>
      <c r="AK303" s="455"/>
      <c r="AL303" s="110"/>
      <c r="AM303" s="34"/>
      <c r="AN303" s="34"/>
      <c r="AO303" s="34"/>
      <c r="AP303" s="34"/>
      <c r="AQ303" s="34"/>
      <c r="AR303" s="34"/>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6"/>
      <c r="BQ303" s="36"/>
      <c r="BR303" s="36"/>
      <c r="BS303" s="36"/>
      <c r="BT303" s="36"/>
      <c r="BU303" s="36"/>
      <c r="BV303" s="36"/>
      <c r="BW303" s="36"/>
      <c r="BX303" s="36"/>
      <c r="BY303" s="36"/>
      <c r="BZ303" s="36"/>
      <c r="CA303" s="36"/>
      <c r="CB303" s="36"/>
      <c r="CC303" s="36"/>
      <c r="CD303" s="36"/>
      <c r="CE303" s="36"/>
      <c r="CF303" s="36"/>
      <c r="CG303" s="36"/>
      <c r="CH303" s="36"/>
      <c r="CI303" s="36"/>
      <c r="CJ303" s="36"/>
      <c r="CK303" s="36"/>
      <c r="CL303" s="36"/>
      <c r="CM303" s="36"/>
      <c r="CN303" s="36"/>
      <c r="CO303" s="36"/>
      <c r="CP303" s="36"/>
      <c r="CQ303" s="36"/>
      <c r="CR303" s="36"/>
      <c r="CS303" s="36"/>
      <c r="CT303" s="36"/>
      <c r="CU303" s="36"/>
      <c r="CV303" s="36"/>
      <c r="CW303" s="36"/>
      <c r="CX303" s="36"/>
      <c r="CY303" s="36"/>
      <c r="CZ303" s="36"/>
      <c r="DA303" s="36"/>
      <c r="DB303" s="36"/>
      <c r="DC303" s="36"/>
      <c r="DD303" s="36"/>
      <c r="DE303" s="36"/>
      <c r="DF303" s="36"/>
      <c r="DG303" s="36"/>
      <c r="DH303" s="36"/>
      <c r="DI303" s="36"/>
      <c r="DJ303" s="36"/>
      <c r="DK303" s="36"/>
      <c r="DL303" s="36"/>
      <c r="DM303" s="36"/>
      <c r="DN303" s="36"/>
      <c r="DO303" s="36"/>
      <c r="DP303" s="36"/>
      <c r="DQ303" s="36"/>
      <c r="DR303" s="36"/>
      <c r="DS303" s="36"/>
      <c r="DT303" s="36"/>
      <c r="DU303" s="36"/>
      <c r="DV303" s="36"/>
      <c r="DW303" s="36"/>
      <c r="DX303" s="36"/>
      <c r="DY303" s="36"/>
      <c r="DZ303" s="36"/>
      <c r="EA303" s="36"/>
      <c r="EB303" s="36"/>
      <c r="EC303" s="36"/>
      <c r="ED303" s="36"/>
      <c r="EE303" s="36"/>
      <c r="EF303" s="36"/>
      <c r="EG303" s="36"/>
      <c r="EH303" s="36"/>
      <c r="EI303" s="36"/>
      <c r="EJ303" s="36"/>
      <c r="EK303" s="36"/>
      <c r="EL303" s="36"/>
      <c r="EM303" s="36"/>
      <c r="EN303" s="36"/>
      <c r="EO303" s="36"/>
      <c r="EP303" s="36"/>
      <c r="EQ303" s="36"/>
      <c r="ER303" s="36"/>
      <c r="ES303" s="36"/>
      <c r="ET303" s="36"/>
      <c r="EU303" s="36"/>
      <c r="EV303" s="36"/>
      <c r="EW303" s="36"/>
      <c r="EX303" s="36"/>
      <c r="EY303" s="36"/>
      <c r="EZ303" s="36"/>
      <c r="FA303" s="36"/>
      <c r="FB303" s="36"/>
      <c r="FC303" s="36"/>
      <c r="FD303" s="36"/>
      <c r="FE303" s="36"/>
      <c r="FF303" s="36"/>
      <c r="FG303" s="36"/>
      <c r="FH303" s="36"/>
      <c r="FI303" s="36"/>
      <c r="FJ303" s="36"/>
      <c r="FK303" s="36"/>
      <c r="FL303" s="36"/>
      <c r="FM303" s="36"/>
      <c r="FN303" s="36"/>
      <c r="FO303" s="36"/>
      <c r="FP303" s="36"/>
      <c r="FQ303" s="36"/>
      <c r="FR303" s="36"/>
      <c r="FS303" s="36"/>
      <c r="FT303" s="36"/>
      <c r="FU303" s="36"/>
      <c r="FV303" s="36"/>
      <c r="FW303" s="36"/>
      <c r="FX303" s="36"/>
      <c r="FY303" s="36"/>
      <c r="FZ303" s="36"/>
      <c r="GA303" s="36"/>
      <c r="GB303" s="36"/>
      <c r="GC303" s="36"/>
      <c r="GD303" s="36"/>
      <c r="GE303" s="36"/>
      <c r="GF303" s="36"/>
      <c r="GG303" s="36"/>
      <c r="GH303" s="36"/>
      <c r="GI303" s="36"/>
      <c r="GJ303" s="36"/>
      <c r="GK303" s="36"/>
      <c r="GL303" s="36"/>
      <c r="GM303" s="36"/>
      <c r="GN303" s="36"/>
      <c r="GO303" s="36"/>
      <c r="GP303" s="36"/>
      <c r="GQ303" s="36"/>
      <c r="GR303" s="36"/>
      <c r="GS303" s="36"/>
      <c r="GT303" s="36"/>
      <c r="GU303" s="36"/>
      <c r="GV303" s="36"/>
      <c r="GW303" s="36"/>
      <c r="GX303" s="36"/>
      <c r="GY303" s="36"/>
      <c r="GZ303" s="36"/>
      <c r="HA303" s="36"/>
      <c r="HB303" s="36"/>
      <c r="HC303" s="36"/>
      <c r="HD303" s="36"/>
      <c r="HE303" s="36"/>
      <c r="HF303" s="36"/>
      <c r="HG303" s="36"/>
      <c r="HH303" s="36"/>
      <c r="HI303" s="36"/>
      <c r="HJ303" s="36"/>
      <c r="HK303" s="36"/>
      <c r="HL303" s="36"/>
      <c r="HM303" s="36"/>
      <c r="HN303" s="36"/>
      <c r="HO303" s="36"/>
      <c r="HP303" s="36"/>
      <c r="HQ303" s="36"/>
      <c r="HR303" s="36"/>
      <c r="HS303" s="36"/>
      <c r="HT303" s="36"/>
      <c r="HU303" s="36"/>
      <c r="HV303" s="36"/>
      <c r="HW303" s="36"/>
      <c r="HX303" s="36"/>
      <c r="HY303" s="36"/>
      <c r="HZ303" s="36"/>
      <c r="IA303" s="36"/>
      <c r="IB303" s="36"/>
      <c r="IC303" s="36"/>
      <c r="ID303" s="36"/>
      <c r="IE303" s="36"/>
      <c r="IF303" s="36"/>
      <c r="IG303" s="36"/>
      <c r="IH303" s="36"/>
      <c r="II303" s="36"/>
      <c r="IJ303" s="36"/>
      <c r="IK303" s="36"/>
      <c r="IL303" s="36"/>
      <c r="IM303" s="36"/>
      <c r="IN303" s="36"/>
      <c r="IO303" s="36"/>
      <c r="IP303" s="36"/>
      <c r="IQ303" s="36"/>
      <c r="IR303" s="36"/>
      <c r="IS303" s="36"/>
      <c r="IT303" s="36"/>
      <c r="IU303" s="36"/>
      <c r="IV303" s="36"/>
      <c r="IW303" s="36"/>
      <c r="IX303" s="36"/>
      <c r="IY303" s="36"/>
      <c r="IZ303" s="36"/>
      <c r="JA303" s="36"/>
      <c r="JB303" s="36"/>
      <c r="JC303" s="36"/>
      <c r="JD303" s="36"/>
      <c r="JE303" s="36"/>
      <c r="JF303" s="36"/>
      <c r="JG303" s="36"/>
      <c r="JH303" s="36"/>
      <c r="JI303" s="36"/>
      <c r="JJ303" s="36"/>
      <c r="JK303" s="36"/>
      <c r="JL303" s="36"/>
      <c r="JM303" s="36"/>
      <c r="JN303" s="36"/>
      <c r="JO303" s="36"/>
      <c r="JP303" s="36"/>
      <c r="JQ303" s="36"/>
      <c r="JR303" s="36"/>
      <c r="JS303" s="36"/>
      <c r="JT303" s="36"/>
      <c r="JU303" s="36"/>
      <c r="JV303" s="36"/>
      <c r="JW303" s="36"/>
      <c r="JX303" s="36"/>
      <c r="JY303" s="36"/>
      <c r="JZ303" s="36"/>
      <c r="KA303" s="36"/>
      <c r="KB303" s="36"/>
      <c r="KC303" s="36"/>
      <c r="KD303" s="36"/>
      <c r="KE303" s="36"/>
      <c r="KF303" s="36"/>
      <c r="KG303" s="36"/>
      <c r="KH303" s="36"/>
      <c r="KI303" s="36"/>
      <c r="KJ303" s="36"/>
      <c r="KK303" s="36"/>
      <c r="KL303" s="36"/>
      <c r="KM303" s="36"/>
      <c r="KN303" s="36"/>
      <c r="KO303" s="36"/>
      <c r="KP303" s="36"/>
      <c r="KQ303" s="36"/>
      <c r="KR303" s="36"/>
      <c r="KS303" s="36"/>
      <c r="KT303" s="36"/>
      <c r="KU303" s="36"/>
      <c r="KV303" s="36"/>
      <c r="KW303" s="36"/>
      <c r="KX303" s="36"/>
      <c r="KY303" s="36"/>
      <c r="KZ303" s="36"/>
      <c r="LA303" s="36"/>
      <c r="LB303" s="36"/>
      <c r="LC303" s="36"/>
      <c r="LD303" s="36"/>
      <c r="LE303" s="36"/>
      <c r="LF303" s="36"/>
      <c r="LG303" s="36"/>
      <c r="LH303" s="36"/>
      <c r="LI303" s="36"/>
      <c r="LJ303" s="36"/>
      <c r="LK303" s="36"/>
      <c r="LL303" s="36"/>
      <c r="LM303" s="36"/>
      <c r="LN303" s="36"/>
      <c r="LO303" s="36"/>
      <c r="LP303" s="36"/>
      <c r="LQ303" s="36"/>
      <c r="LR303" s="36"/>
      <c r="LS303" s="36"/>
      <c r="LT303" s="36"/>
      <c r="LU303" s="36"/>
      <c r="LV303" s="36"/>
      <c r="LW303" s="36"/>
      <c r="LX303" s="36"/>
      <c r="LY303" s="36"/>
      <c r="LZ303" s="36"/>
      <c r="MA303" s="36"/>
      <c r="MB303" s="36"/>
      <c r="MC303" s="36"/>
      <c r="MD303" s="36"/>
      <c r="ME303" s="36"/>
      <c r="MF303" s="36"/>
      <c r="MG303" s="36"/>
      <c r="MH303" s="36"/>
      <c r="MI303" s="36"/>
      <c r="MJ303" s="36"/>
      <c r="MK303" s="36"/>
      <c r="ML303" s="36"/>
      <c r="MM303" s="36"/>
      <c r="MN303" s="36"/>
      <c r="MO303" s="36"/>
      <c r="MP303" s="36"/>
      <c r="MQ303" s="36"/>
      <c r="MR303" s="36"/>
      <c r="MS303" s="36"/>
      <c r="MT303" s="36"/>
      <c r="MU303" s="36"/>
      <c r="MV303" s="36"/>
      <c r="MW303" s="36"/>
      <c r="MX303" s="36"/>
      <c r="MY303" s="36"/>
      <c r="MZ303" s="36"/>
      <c r="NA303" s="36"/>
      <c r="NB303" s="36"/>
      <c r="NC303" s="36"/>
      <c r="ND303" s="36"/>
      <c r="NE303" s="36"/>
      <c r="NF303" s="36"/>
      <c r="NG303" s="36"/>
      <c r="NH303" s="36"/>
      <c r="NI303" s="36"/>
      <c r="NJ303" s="36"/>
      <c r="NK303" s="36"/>
      <c r="NL303" s="36"/>
      <c r="NM303" s="36"/>
      <c r="NN303" s="36"/>
      <c r="NO303" s="36"/>
      <c r="NP303" s="36"/>
      <c r="NQ303" s="36"/>
      <c r="NR303" s="36"/>
      <c r="NS303" s="36"/>
      <c r="NT303" s="36"/>
      <c r="NU303" s="36"/>
      <c r="NV303" s="36"/>
      <c r="NW303" s="36"/>
      <c r="NX303" s="36"/>
      <c r="NY303" s="36"/>
      <c r="NZ303" s="36"/>
      <c r="OA303" s="36"/>
      <c r="OB303" s="36"/>
      <c r="OC303" s="36"/>
      <c r="OD303" s="36"/>
      <c r="OE303" s="36"/>
      <c r="OF303" s="36"/>
      <c r="OG303" s="36"/>
      <c r="OH303" s="36"/>
      <c r="OI303" s="36"/>
      <c r="OJ303" s="36"/>
      <c r="OK303" s="36"/>
      <c r="OL303" s="36"/>
      <c r="OM303" s="36"/>
      <c r="ON303" s="36"/>
      <c r="OO303" s="36"/>
      <c r="OP303" s="36"/>
      <c r="OQ303" s="36"/>
      <c r="OR303" s="36"/>
      <c r="OS303" s="36"/>
      <c r="OT303" s="36"/>
      <c r="OU303" s="36"/>
      <c r="OV303" s="36"/>
      <c r="OW303" s="36"/>
      <c r="OX303" s="36"/>
      <c r="OY303" s="36"/>
      <c r="OZ303" s="36"/>
      <c r="PA303" s="36"/>
      <c r="PB303" s="36"/>
      <c r="PC303" s="36"/>
      <c r="PD303" s="36"/>
      <c r="PE303" s="36"/>
      <c r="PF303" s="36"/>
      <c r="PG303" s="36"/>
      <c r="PH303" s="36"/>
      <c r="PI303" s="36"/>
      <c r="PJ303" s="36"/>
      <c r="PK303" s="36"/>
      <c r="PL303" s="36"/>
      <c r="PM303" s="36"/>
      <c r="PN303" s="36"/>
      <c r="PO303" s="36"/>
      <c r="PP303" s="36"/>
      <c r="PQ303" s="36"/>
      <c r="PR303" s="36"/>
      <c r="PS303" s="36"/>
      <c r="PT303" s="36"/>
      <c r="PU303" s="36"/>
      <c r="PV303" s="36"/>
      <c r="PW303" s="36"/>
      <c r="PX303" s="36"/>
      <c r="PY303" s="36"/>
      <c r="PZ303" s="36"/>
      <c r="QA303" s="36"/>
      <c r="QB303" s="36"/>
      <c r="QC303" s="36"/>
      <c r="QD303" s="36"/>
      <c r="QE303" s="36"/>
      <c r="QF303" s="36"/>
      <c r="QG303" s="36"/>
      <c r="QH303" s="36"/>
      <c r="QI303" s="36"/>
      <c r="QJ303" s="36"/>
      <c r="QK303" s="36"/>
      <c r="QL303" s="36"/>
      <c r="QM303" s="36"/>
      <c r="QN303" s="36"/>
      <c r="QO303" s="36"/>
      <c r="QP303" s="36"/>
      <c r="QQ303" s="36"/>
      <c r="QR303" s="36"/>
      <c r="QS303" s="36"/>
      <c r="QT303" s="36"/>
      <c r="QU303" s="36"/>
      <c r="QV303" s="36"/>
      <c r="QW303" s="36"/>
      <c r="QX303" s="36"/>
      <c r="QY303" s="36"/>
      <c r="QZ303" s="36"/>
      <c r="RA303" s="36"/>
      <c r="RB303" s="36"/>
      <c r="RC303" s="36"/>
      <c r="RD303" s="36"/>
      <c r="RE303" s="36"/>
      <c r="RF303" s="36"/>
      <c r="RG303" s="36"/>
      <c r="RH303" s="36"/>
      <c r="RI303" s="36"/>
      <c r="RJ303" s="36"/>
      <c r="RK303" s="36"/>
      <c r="RL303" s="36"/>
      <c r="RM303" s="36"/>
      <c r="RN303" s="36"/>
      <c r="RO303" s="36"/>
      <c r="RP303" s="36"/>
      <c r="RQ303" s="36"/>
      <c r="RR303" s="36"/>
      <c r="RS303" s="36"/>
      <c r="RT303" s="36"/>
      <c r="RU303" s="36"/>
      <c r="RV303" s="36"/>
      <c r="RW303" s="36"/>
      <c r="RX303" s="36"/>
      <c r="RY303" s="36"/>
      <c r="RZ303" s="36"/>
      <c r="SA303" s="36"/>
      <c r="SB303" s="36"/>
      <c r="SC303" s="36"/>
      <c r="SD303" s="36"/>
      <c r="SE303" s="36"/>
      <c r="SF303" s="36"/>
      <c r="SG303" s="36"/>
      <c r="SH303" s="36"/>
      <c r="SI303" s="36"/>
      <c r="SJ303" s="36"/>
      <c r="SK303" s="36"/>
      <c r="SL303" s="36"/>
      <c r="SM303" s="36"/>
      <c r="SN303" s="36"/>
      <c r="SO303" s="36"/>
      <c r="SP303" s="36"/>
      <c r="SQ303" s="36"/>
      <c r="SR303" s="36"/>
      <c r="SS303" s="36"/>
      <c r="ST303" s="36"/>
      <c r="SU303" s="36"/>
      <c r="SV303" s="36"/>
      <c r="SW303" s="36"/>
      <c r="SX303" s="36"/>
      <c r="SY303" s="36"/>
      <c r="SZ303" s="36"/>
      <c r="TA303" s="36"/>
      <c r="TB303" s="36"/>
      <c r="TC303" s="36"/>
      <c r="TD303" s="36"/>
      <c r="TE303" s="36"/>
      <c r="TF303" s="36"/>
      <c r="TG303" s="36"/>
      <c r="TH303" s="36"/>
      <c r="TI303" s="36"/>
      <c r="TJ303" s="36"/>
      <c r="TK303" s="36"/>
      <c r="TL303" s="36"/>
      <c r="TM303" s="36"/>
      <c r="TN303" s="36"/>
      <c r="TO303" s="36"/>
      <c r="TP303" s="36"/>
      <c r="TQ303" s="36"/>
      <c r="TR303" s="36"/>
      <c r="TS303" s="36"/>
      <c r="TT303" s="36"/>
      <c r="TU303" s="36"/>
      <c r="TV303" s="36"/>
      <c r="TW303" s="36"/>
      <c r="TX303" s="36"/>
      <c r="TY303" s="36"/>
      <c r="TZ303" s="36"/>
      <c r="UA303" s="36"/>
      <c r="UB303" s="36"/>
      <c r="UC303" s="36"/>
      <c r="UD303" s="36"/>
      <c r="UE303" s="36"/>
      <c r="UF303" s="36"/>
      <c r="UG303" s="37"/>
    </row>
    <row r="304" spans="1:553" ht="51.75" customHeight="1">
      <c r="A304" s="356"/>
      <c r="B304" s="428"/>
      <c r="C304" s="1451" t="s">
        <v>275</v>
      </c>
      <c r="D304" s="1389"/>
      <c r="E304" s="1389"/>
      <c r="F304" s="1390"/>
      <c r="G304" s="386"/>
      <c r="H304" s="370"/>
      <c r="I304" s="1056"/>
      <c r="J304" s="368"/>
      <c r="K304" s="371"/>
      <c r="L304" s="366"/>
      <c r="M304" s="356"/>
      <c r="N304" s="356"/>
      <c r="O304" s="356"/>
      <c r="P304" s="356"/>
      <c r="Q304" s="610"/>
      <c r="R304" s="1226"/>
      <c r="S304" s="308"/>
      <c r="T304" s="303"/>
      <c r="U304" s="306"/>
      <c r="V304" s="307"/>
      <c r="W304" s="306"/>
      <c r="X304" s="306"/>
      <c r="Y304" s="306"/>
      <c r="Z304" s="306"/>
      <c r="AA304" s="306"/>
      <c r="AB304" s="306"/>
      <c r="AC304" s="454"/>
      <c r="AD304" s="454"/>
      <c r="AE304" s="454"/>
      <c r="AF304" s="454"/>
      <c r="AG304" s="454"/>
      <c r="AH304" s="454"/>
      <c r="AI304" s="454"/>
      <c r="AJ304" s="454"/>
      <c r="AK304" s="455"/>
      <c r="AL304" s="110"/>
      <c r="AM304" s="34"/>
      <c r="AN304" s="34"/>
      <c r="AO304" s="34"/>
      <c r="AP304" s="34"/>
      <c r="AQ304" s="34"/>
      <c r="AR304" s="34"/>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6"/>
      <c r="BQ304" s="36"/>
      <c r="BR304" s="36"/>
      <c r="BS304" s="36"/>
      <c r="BT304" s="36"/>
      <c r="BU304" s="36"/>
      <c r="BV304" s="36"/>
      <c r="BW304" s="36"/>
      <c r="BX304" s="36"/>
      <c r="BY304" s="36"/>
      <c r="BZ304" s="36"/>
      <c r="CA304" s="36"/>
      <c r="CB304" s="36"/>
      <c r="CC304" s="36"/>
      <c r="CD304" s="36"/>
      <c r="CE304" s="36"/>
      <c r="CF304" s="36"/>
      <c r="CG304" s="36"/>
      <c r="CH304" s="36"/>
      <c r="CI304" s="36"/>
      <c r="CJ304" s="36"/>
      <c r="CK304" s="36"/>
      <c r="CL304" s="36"/>
      <c r="CM304" s="36"/>
      <c r="CN304" s="36"/>
      <c r="CO304" s="36"/>
      <c r="CP304" s="36"/>
      <c r="CQ304" s="36"/>
      <c r="CR304" s="36"/>
      <c r="CS304" s="36"/>
      <c r="CT304" s="36"/>
      <c r="CU304" s="36"/>
      <c r="CV304" s="36"/>
      <c r="CW304" s="36"/>
      <c r="CX304" s="36"/>
      <c r="CY304" s="36"/>
      <c r="CZ304" s="36"/>
      <c r="DA304" s="36"/>
      <c r="DB304" s="36"/>
      <c r="DC304" s="36"/>
      <c r="DD304" s="36"/>
      <c r="DE304" s="36"/>
      <c r="DF304" s="36"/>
      <c r="DG304" s="36"/>
      <c r="DH304" s="36"/>
      <c r="DI304" s="36"/>
      <c r="DJ304" s="36"/>
      <c r="DK304" s="36"/>
      <c r="DL304" s="36"/>
      <c r="DM304" s="36"/>
      <c r="DN304" s="36"/>
      <c r="DO304" s="36"/>
      <c r="DP304" s="36"/>
      <c r="DQ304" s="36"/>
      <c r="DR304" s="36"/>
      <c r="DS304" s="36"/>
      <c r="DT304" s="36"/>
      <c r="DU304" s="36"/>
      <c r="DV304" s="36"/>
      <c r="DW304" s="36"/>
      <c r="DX304" s="36"/>
      <c r="DY304" s="36"/>
      <c r="DZ304" s="36"/>
      <c r="EA304" s="36"/>
      <c r="EB304" s="36"/>
      <c r="EC304" s="36"/>
      <c r="ED304" s="36"/>
      <c r="EE304" s="36"/>
      <c r="EF304" s="36"/>
      <c r="EG304" s="36"/>
      <c r="EH304" s="36"/>
      <c r="EI304" s="36"/>
      <c r="EJ304" s="36"/>
      <c r="EK304" s="36"/>
      <c r="EL304" s="36"/>
      <c r="EM304" s="36"/>
      <c r="EN304" s="36"/>
      <c r="EO304" s="36"/>
      <c r="EP304" s="36"/>
      <c r="EQ304" s="36"/>
      <c r="ER304" s="36"/>
      <c r="ES304" s="36"/>
      <c r="ET304" s="36"/>
      <c r="EU304" s="36"/>
      <c r="EV304" s="36"/>
      <c r="EW304" s="36"/>
      <c r="EX304" s="36"/>
      <c r="EY304" s="36"/>
      <c r="EZ304" s="36"/>
      <c r="FA304" s="36"/>
      <c r="FB304" s="36"/>
      <c r="FC304" s="36"/>
      <c r="FD304" s="36"/>
      <c r="FE304" s="36"/>
      <c r="FF304" s="36"/>
      <c r="FG304" s="36"/>
      <c r="FH304" s="36"/>
      <c r="FI304" s="36"/>
      <c r="FJ304" s="36"/>
      <c r="FK304" s="36"/>
      <c r="FL304" s="36"/>
      <c r="FM304" s="36"/>
      <c r="FN304" s="36"/>
      <c r="FO304" s="36"/>
      <c r="FP304" s="36"/>
      <c r="FQ304" s="36"/>
      <c r="FR304" s="36"/>
      <c r="FS304" s="36"/>
      <c r="FT304" s="36"/>
      <c r="FU304" s="36"/>
      <c r="FV304" s="36"/>
      <c r="FW304" s="36"/>
      <c r="FX304" s="36"/>
      <c r="FY304" s="36"/>
      <c r="FZ304" s="36"/>
      <c r="GA304" s="36"/>
      <c r="GB304" s="36"/>
      <c r="GC304" s="36"/>
      <c r="GD304" s="36"/>
      <c r="GE304" s="36"/>
      <c r="GF304" s="36"/>
      <c r="GG304" s="36"/>
      <c r="GH304" s="36"/>
      <c r="GI304" s="36"/>
      <c r="GJ304" s="36"/>
      <c r="GK304" s="36"/>
      <c r="GL304" s="36"/>
      <c r="GM304" s="36"/>
      <c r="GN304" s="36"/>
      <c r="GO304" s="36"/>
      <c r="GP304" s="36"/>
      <c r="GQ304" s="36"/>
      <c r="GR304" s="36"/>
      <c r="GS304" s="36"/>
      <c r="GT304" s="36"/>
      <c r="GU304" s="36"/>
      <c r="GV304" s="36"/>
      <c r="GW304" s="36"/>
      <c r="GX304" s="36"/>
      <c r="GY304" s="36"/>
      <c r="GZ304" s="36"/>
      <c r="HA304" s="36"/>
      <c r="HB304" s="36"/>
      <c r="HC304" s="36"/>
      <c r="HD304" s="36"/>
      <c r="HE304" s="36"/>
      <c r="HF304" s="36"/>
      <c r="HG304" s="36"/>
      <c r="HH304" s="36"/>
      <c r="HI304" s="36"/>
      <c r="HJ304" s="36"/>
      <c r="HK304" s="36"/>
      <c r="HL304" s="36"/>
      <c r="HM304" s="36"/>
      <c r="HN304" s="36"/>
      <c r="HO304" s="36"/>
      <c r="HP304" s="36"/>
      <c r="HQ304" s="36"/>
      <c r="HR304" s="36"/>
      <c r="HS304" s="36"/>
      <c r="HT304" s="36"/>
      <c r="HU304" s="36"/>
      <c r="HV304" s="36"/>
      <c r="HW304" s="36"/>
      <c r="HX304" s="36"/>
      <c r="HY304" s="36"/>
      <c r="HZ304" s="36"/>
      <c r="IA304" s="36"/>
      <c r="IB304" s="36"/>
      <c r="IC304" s="36"/>
      <c r="ID304" s="36"/>
      <c r="IE304" s="36"/>
      <c r="IF304" s="36"/>
      <c r="IG304" s="36"/>
      <c r="IH304" s="36"/>
      <c r="II304" s="36"/>
      <c r="IJ304" s="36"/>
      <c r="IK304" s="36"/>
      <c r="IL304" s="36"/>
      <c r="IM304" s="36"/>
      <c r="IN304" s="36"/>
      <c r="IO304" s="36"/>
      <c r="IP304" s="36"/>
      <c r="IQ304" s="36"/>
      <c r="IR304" s="36"/>
      <c r="IS304" s="36"/>
      <c r="IT304" s="36"/>
      <c r="IU304" s="36"/>
      <c r="IV304" s="36"/>
      <c r="IW304" s="36"/>
      <c r="IX304" s="36"/>
      <c r="IY304" s="36"/>
      <c r="IZ304" s="36"/>
      <c r="JA304" s="36"/>
      <c r="JB304" s="36"/>
      <c r="JC304" s="36"/>
      <c r="JD304" s="36"/>
      <c r="JE304" s="36"/>
      <c r="JF304" s="36"/>
      <c r="JG304" s="36"/>
      <c r="JH304" s="36"/>
      <c r="JI304" s="36"/>
      <c r="JJ304" s="36"/>
      <c r="JK304" s="36"/>
      <c r="JL304" s="36"/>
      <c r="JM304" s="36"/>
      <c r="JN304" s="36"/>
      <c r="JO304" s="36"/>
      <c r="JP304" s="36"/>
      <c r="JQ304" s="36"/>
      <c r="JR304" s="36"/>
      <c r="JS304" s="36"/>
      <c r="JT304" s="36"/>
      <c r="JU304" s="36"/>
      <c r="JV304" s="36"/>
      <c r="JW304" s="36"/>
      <c r="JX304" s="36"/>
      <c r="JY304" s="36"/>
      <c r="JZ304" s="36"/>
      <c r="KA304" s="36"/>
      <c r="KB304" s="36"/>
      <c r="KC304" s="36"/>
      <c r="KD304" s="36"/>
      <c r="KE304" s="36"/>
      <c r="KF304" s="36"/>
      <c r="KG304" s="36"/>
      <c r="KH304" s="36"/>
      <c r="KI304" s="36"/>
      <c r="KJ304" s="36"/>
      <c r="KK304" s="36"/>
      <c r="KL304" s="36"/>
      <c r="KM304" s="36"/>
      <c r="KN304" s="36"/>
      <c r="KO304" s="36"/>
      <c r="KP304" s="36"/>
      <c r="KQ304" s="36"/>
      <c r="KR304" s="36"/>
      <c r="KS304" s="36"/>
      <c r="KT304" s="36"/>
      <c r="KU304" s="36"/>
      <c r="KV304" s="36"/>
      <c r="KW304" s="36"/>
      <c r="KX304" s="36"/>
      <c r="KY304" s="36"/>
      <c r="KZ304" s="36"/>
      <c r="LA304" s="36"/>
      <c r="LB304" s="36"/>
      <c r="LC304" s="36"/>
      <c r="LD304" s="36"/>
      <c r="LE304" s="36"/>
      <c r="LF304" s="36"/>
      <c r="LG304" s="36"/>
      <c r="LH304" s="36"/>
      <c r="LI304" s="36"/>
      <c r="LJ304" s="36"/>
      <c r="LK304" s="36"/>
      <c r="LL304" s="36"/>
      <c r="LM304" s="36"/>
      <c r="LN304" s="36"/>
      <c r="LO304" s="36"/>
      <c r="LP304" s="36"/>
      <c r="LQ304" s="36"/>
      <c r="LR304" s="36"/>
      <c r="LS304" s="36"/>
      <c r="LT304" s="36"/>
      <c r="LU304" s="36"/>
      <c r="LV304" s="36"/>
      <c r="LW304" s="36"/>
      <c r="LX304" s="36"/>
      <c r="LY304" s="36"/>
      <c r="LZ304" s="36"/>
      <c r="MA304" s="36"/>
      <c r="MB304" s="36"/>
      <c r="MC304" s="36"/>
      <c r="MD304" s="36"/>
      <c r="ME304" s="36"/>
      <c r="MF304" s="36"/>
      <c r="MG304" s="36"/>
      <c r="MH304" s="36"/>
      <c r="MI304" s="36"/>
      <c r="MJ304" s="36"/>
      <c r="MK304" s="36"/>
      <c r="ML304" s="36"/>
      <c r="MM304" s="36"/>
      <c r="MN304" s="36"/>
      <c r="MO304" s="36"/>
      <c r="MP304" s="36"/>
      <c r="MQ304" s="36"/>
      <c r="MR304" s="36"/>
      <c r="MS304" s="36"/>
      <c r="MT304" s="36"/>
      <c r="MU304" s="36"/>
      <c r="MV304" s="36"/>
      <c r="MW304" s="36"/>
      <c r="MX304" s="36"/>
      <c r="MY304" s="36"/>
      <c r="MZ304" s="36"/>
      <c r="NA304" s="36"/>
      <c r="NB304" s="36"/>
      <c r="NC304" s="36"/>
      <c r="ND304" s="36"/>
      <c r="NE304" s="36"/>
      <c r="NF304" s="36"/>
      <c r="NG304" s="36"/>
      <c r="NH304" s="36"/>
      <c r="NI304" s="36"/>
      <c r="NJ304" s="36"/>
      <c r="NK304" s="36"/>
      <c r="NL304" s="36"/>
      <c r="NM304" s="36"/>
      <c r="NN304" s="36"/>
      <c r="NO304" s="36"/>
      <c r="NP304" s="36"/>
      <c r="NQ304" s="36"/>
      <c r="NR304" s="36"/>
      <c r="NS304" s="36"/>
      <c r="NT304" s="36"/>
      <c r="NU304" s="36"/>
      <c r="NV304" s="36"/>
      <c r="NW304" s="36"/>
      <c r="NX304" s="36"/>
      <c r="NY304" s="36"/>
      <c r="NZ304" s="36"/>
      <c r="OA304" s="36"/>
      <c r="OB304" s="36"/>
      <c r="OC304" s="36"/>
      <c r="OD304" s="36"/>
      <c r="OE304" s="36"/>
      <c r="OF304" s="36"/>
      <c r="OG304" s="36"/>
      <c r="OH304" s="36"/>
      <c r="OI304" s="36"/>
      <c r="OJ304" s="36"/>
      <c r="OK304" s="36"/>
      <c r="OL304" s="36"/>
      <c r="OM304" s="36"/>
      <c r="ON304" s="36"/>
      <c r="OO304" s="36"/>
      <c r="OP304" s="36"/>
      <c r="OQ304" s="36"/>
      <c r="OR304" s="36"/>
      <c r="OS304" s="36"/>
      <c r="OT304" s="36"/>
      <c r="OU304" s="36"/>
      <c r="OV304" s="36"/>
      <c r="OW304" s="36"/>
      <c r="OX304" s="36"/>
      <c r="OY304" s="36"/>
      <c r="OZ304" s="36"/>
      <c r="PA304" s="36"/>
      <c r="PB304" s="36"/>
      <c r="PC304" s="36"/>
      <c r="PD304" s="36"/>
      <c r="PE304" s="36"/>
      <c r="PF304" s="36"/>
      <c r="PG304" s="36"/>
      <c r="PH304" s="36"/>
      <c r="PI304" s="36"/>
      <c r="PJ304" s="36"/>
      <c r="PK304" s="36"/>
      <c r="PL304" s="36"/>
      <c r="PM304" s="36"/>
      <c r="PN304" s="36"/>
      <c r="PO304" s="36"/>
      <c r="PP304" s="36"/>
      <c r="PQ304" s="36"/>
      <c r="PR304" s="36"/>
      <c r="PS304" s="36"/>
      <c r="PT304" s="36"/>
      <c r="PU304" s="36"/>
      <c r="PV304" s="36"/>
      <c r="PW304" s="36"/>
      <c r="PX304" s="36"/>
      <c r="PY304" s="36"/>
      <c r="PZ304" s="36"/>
      <c r="QA304" s="36"/>
      <c r="QB304" s="36"/>
      <c r="QC304" s="36"/>
      <c r="QD304" s="36"/>
      <c r="QE304" s="36"/>
      <c r="QF304" s="36"/>
      <c r="QG304" s="36"/>
      <c r="QH304" s="36"/>
      <c r="QI304" s="36"/>
      <c r="QJ304" s="36"/>
      <c r="QK304" s="36"/>
      <c r="QL304" s="36"/>
      <c r="QM304" s="36"/>
      <c r="QN304" s="36"/>
      <c r="QO304" s="36"/>
      <c r="QP304" s="36"/>
      <c r="QQ304" s="36"/>
      <c r="QR304" s="36"/>
      <c r="QS304" s="36"/>
      <c r="QT304" s="36"/>
      <c r="QU304" s="36"/>
      <c r="QV304" s="36"/>
      <c r="QW304" s="36"/>
      <c r="QX304" s="36"/>
      <c r="QY304" s="36"/>
      <c r="QZ304" s="36"/>
      <c r="RA304" s="36"/>
      <c r="RB304" s="36"/>
      <c r="RC304" s="36"/>
      <c r="RD304" s="36"/>
      <c r="RE304" s="36"/>
      <c r="RF304" s="36"/>
      <c r="RG304" s="36"/>
      <c r="RH304" s="36"/>
      <c r="RI304" s="36"/>
      <c r="RJ304" s="36"/>
      <c r="RK304" s="36"/>
      <c r="RL304" s="36"/>
      <c r="RM304" s="36"/>
      <c r="RN304" s="36"/>
      <c r="RO304" s="36"/>
      <c r="RP304" s="36"/>
      <c r="RQ304" s="36"/>
      <c r="RR304" s="36"/>
      <c r="RS304" s="36"/>
      <c r="RT304" s="36"/>
      <c r="RU304" s="36"/>
      <c r="RV304" s="36"/>
      <c r="RW304" s="36"/>
      <c r="RX304" s="36"/>
      <c r="RY304" s="36"/>
      <c r="RZ304" s="36"/>
      <c r="SA304" s="36"/>
      <c r="SB304" s="36"/>
      <c r="SC304" s="36"/>
      <c r="SD304" s="36"/>
      <c r="SE304" s="36"/>
      <c r="SF304" s="36"/>
      <c r="SG304" s="36"/>
      <c r="SH304" s="36"/>
      <c r="SI304" s="36"/>
      <c r="SJ304" s="36"/>
      <c r="SK304" s="36"/>
      <c r="SL304" s="36"/>
      <c r="SM304" s="36"/>
      <c r="SN304" s="36"/>
      <c r="SO304" s="36"/>
      <c r="SP304" s="36"/>
      <c r="SQ304" s="36"/>
      <c r="SR304" s="36"/>
      <c r="SS304" s="36"/>
      <c r="ST304" s="36"/>
      <c r="SU304" s="36"/>
      <c r="SV304" s="36"/>
      <c r="SW304" s="36"/>
      <c r="SX304" s="36"/>
      <c r="SY304" s="36"/>
      <c r="SZ304" s="36"/>
      <c r="TA304" s="36"/>
      <c r="TB304" s="36"/>
      <c r="TC304" s="36"/>
      <c r="TD304" s="36"/>
      <c r="TE304" s="36"/>
      <c r="TF304" s="36"/>
      <c r="TG304" s="36"/>
      <c r="TH304" s="36"/>
      <c r="TI304" s="36"/>
      <c r="TJ304" s="36"/>
      <c r="TK304" s="36"/>
      <c r="TL304" s="36"/>
      <c r="TM304" s="36"/>
      <c r="TN304" s="36"/>
      <c r="TO304" s="36"/>
      <c r="TP304" s="36"/>
      <c r="TQ304" s="36"/>
      <c r="TR304" s="36"/>
      <c r="TS304" s="36"/>
      <c r="TT304" s="36"/>
      <c r="TU304" s="36"/>
      <c r="TV304" s="36"/>
      <c r="TW304" s="36"/>
      <c r="TX304" s="36"/>
      <c r="TY304" s="36"/>
      <c r="TZ304" s="36"/>
      <c r="UA304" s="36"/>
      <c r="UB304" s="36"/>
      <c r="UC304" s="36"/>
      <c r="UD304" s="36"/>
      <c r="UE304" s="36"/>
      <c r="UF304" s="36"/>
      <c r="UG304" s="37"/>
    </row>
    <row r="305" spans="1:553" ht="51.75" customHeight="1">
      <c r="A305" s="356"/>
      <c r="B305" s="428"/>
      <c r="C305" s="1404" t="s">
        <v>276</v>
      </c>
      <c r="D305" s="1389"/>
      <c r="E305" s="1389"/>
      <c r="F305" s="1390"/>
      <c r="G305" s="366"/>
      <c r="H305" s="417"/>
      <c r="I305" s="417"/>
      <c r="J305" s="368"/>
      <c r="K305" s="369"/>
      <c r="L305" s="366"/>
      <c r="M305" s="356"/>
      <c r="N305" s="356"/>
      <c r="O305" s="356"/>
      <c r="P305" s="356"/>
      <c r="Q305" s="610"/>
      <c r="R305" s="1226"/>
      <c r="S305" s="308"/>
      <c r="T305" s="303"/>
      <c r="U305" s="306"/>
      <c r="V305" s="307"/>
      <c r="W305" s="306"/>
      <c r="X305" s="306"/>
      <c r="Y305" s="306"/>
      <c r="Z305" s="306"/>
      <c r="AA305" s="306"/>
      <c r="AB305" s="306"/>
      <c r="AC305" s="454"/>
      <c r="AD305" s="454"/>
      <c r="AE305" s="454"/>
      <c r="AF305" s="454"/>
      <c r="AG305" s="454"/>
      <c r="AH305" s="454"/>
      <c r="AI305" s="454"/>
      <c r="AJ305" s="454"/>
      <c r="AK305" s="455"/>
      <c r="AL305" s="110"/>
      <c r="AM305" s="34"/>
      <c r="AN305" s="34"/>
      <c r="AO305" s="34"/>
      <c r="AP305" s="34"/>
      <c r="AQ305" s="34"/>
      <c r="AR305" s="34"/>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6"/>
      <c r="BQ305" s="36"/>
      <c r="BR305" s="36"/>
      <c r="BS305" s="36"/>
      <c r="BT305" s="36"/>
      <c r="BU305" s="36"/>
      <c r="BV305" s="36"/>
      <c r="BW305" s="36"/>
      <c r="BX305" s="36"/>
      <c r="BY305" s="36"/>
      <c r="BZ305" s="36"/>
      <c r="CA305" s="36"/>
      <c r="CB305" s="36"/>
      <c r="CC305" s="36"/>
      <c r="CD305" s="36"/>
      <c r="CE305" s="36"/>
      <c r="CF305" s="36"/>
      <c r="CG305" s="36"/>
      <c r="CH305" s="36"/>
      <c r="CI305" s="36"/>
      <c r="CJ305" s="36"/>
      <c r="CK305" s="36"/>
      <c r="CL305" s="36"/>
      <c r="CM305" s="36"/>
      <c r="CN305" s="36"/>
      <c r="CO305" s="36"/>
      <c r="CP305" s="36"/>
      <c r="CQ305" s="36"/>
      <c r="CR305" s="36"/>
      <c r="CS305" s="36"/>
      <c r="CT305" s="36"/>
      <c r="CU305" s="36"/>
      <c r="CV305" s="36"/>
      <c r="CW305" s="36"/>
      <c r="CX305" s="36"/>
      <c r="CY305" s="36"/>
      <c r="CZ305" s="36"/>
      <c r="DA305" s="36"/>
      <c r="DB305" s="36"/>
      <c r="DC305" s="36"/>
      <c r="DD305" s="36"/>
      <c r="DE305" s="36"/>
      <c r="DF305" s="36"/>
      <c r="DG305" s="36"/>
      <c r="DH305" s="36"/>
      <c r="DI305" s="36"/>
      <c r="DJ305" s="36"/>
      <c r="DK305" s="36"/>
      <c r="DL305" s="36"/>
      <c r="DM305" s="36"/>
      <c r="DN305" s="36"/>
      <c r="DO305" s="36"/>
      <c r="DP305" s="36"/>
      <c r="DQ305" s="36"/>
      <c r="DR305" s="36"/>
      <c r="DS305" s="36"/>
      <c r="DT305" s="36"/>
      <c r="DU305" s="36"/>
      <c r="DV305" s="36"/>
      <c r="DW305" s="36"/>
      <c r="DX305" s="36"/>
      <c r="DY305" s="36"/>
      <c r="DZ305" s="36"/>
      <c r="EA305" s="36"/>
      <c r="EB305" s="36"/>
      <c r="EC305" s="36"/>
      <c r="ED305" s="36"/>
      <c r="EE305" s="36"/>
      <c r="EF305" s="36"/>
      <c r="EG305" s="36"/>
      <c r="EH305" s="36"/>
      <c r="EI305" s="36"/>
      <c r="EJ305" s="36"/>
      <c r="EK305" s="36"/>
      <c r="EL305" s="36"/>
      <c r="EM305" s="36"/>
      <c r="EN305" s="36"/>
      <c r="EO305" s="36"/>
      <c r="EP305" s="36"/>
      <c r="EQ305" s="36"/>
      <c r="ER305" s="36"/>
      <c r="ES305" s="36"/>
      <c r="ET305" s="36"/>
      <c r="EU305" s="36"/>
      <c r="EV305" s="36"/>
      <c r="EW305" s="36"/>
      <c r="EX305" s="36"/>
      <c r="EY305" s="36"/>
      <c r="EZ305" s="36"/>
      <c r="FA305" s="36"/>
      <c r="FB305" s="36"/>
      <c r="FC305" s="36"/>
      <c r="FD305" s="36"/>
      <c r="FE305" s="36"/>
      <c r="FF305" s="36"/>
      <c r="FG305" s="36"/>
      <c r="FH305" s="36"/>
      <c r="FI305" s="36"/>
      <c r="FJ305" s="36"/>
      <c r="FK305" s="36"/>
      <c r="FL305" s="36"/>
      <c r="FM305" s="36"/>
      <c r="FN305" s="36"/>
      <c r="FO305" s="36"/>
      <c r="FP305" s="36"/>
      <c r="FQ305" s="36"/>
      <c r="FR305" s="36"/>
      <c r="FS305" s="36"/>
      <c r="FT305" s="36"/>
      <c r="FU305" s="36"/>
      <c r="FV305" s="36"/>
      <c r="FW305" s="36"/>
      <c r="FX305" s="36"/>
      <c r="FY305" s="36"/>
      <c r="FZ305" s="36"/>
      <c r="GA305" s="36"/>
      <c r="GB305" s="36"/>
      <c r="GC305" s="36"/>
      <c r="GD305" s="36"/>
      <c r="GE305" s="36"/>
      <c r="GF305" s="36"/>
      <c r="GG305" s="36"/>
      <c r="GH305" s="36"/>
      <c r="GI305" s="36"/>
      <c r="GJ305" s="36"/>
      <c r="GK305" s="36"/>
      <c r="GL305" s="36"/>
      <c r="GM305" s="36"/>
      <c r="GN305" s="36"/>
      <c r="GO305" s="36"/>
      <c r="GP305" s="36"/>
      <c r="GQ305" s="36"/>
      <c r="GR305" s="36"/>
      <c r="GS305" s="36"/>
      <c r="GT305" s="36"/>
      <c r="GU305" s="36"/>
      <c r="GV305" s="36"/>
      <c r="GW305" s="36"/>
      <c r="GX305" s="36"/>
      <c r="GY305" s="36"/>
      <c r="GZ305" s="36"/>
      <c r="HA305" s="36"/>
      <c r="HB305" s="36"/>
      <c r="HC305" s="36"/>
      <c r="HD305" s="36"/>
      <c r="HE305" s="36"/>
      <c r="HF305" s="36"/>
      <c r="HG305" s="36"/>
      <c r="HH305" s="36"/>
      <c r="HI305" s="36"/>
      <c r="HJ305" s="36"/>
      <c r="HK305" s="36"/>
      <c r="HL305" s="36"/>
      <c r="HM305" s="36"/>
      <c r="HN305" s="36"/>
      <c r="HO305" s="36"/>
      <c r="HP305" s="36"/>
      <c r="HQ305" s="36"/>
      <c r="HR305" s="36"/>
      <c r="HS305" s="36"/>
      <c r="HT305" s="36"/>
      <c r="HU305" s="36"/>
      <c r="HV305" s="36"/>
      <c r="HW305" s="36"/>
      <c r="HX305" s="36"/>
      <c r="HY305" s="36"/>
      <c r="HZ305" s="36"/>
      <c r="IA305" s="36"/>
      <c r="IB305" s="36"/>
      <c r="IC305" s="36"/>
      <c r="ID305" s="36"/>
      <c r="IE305" s="36"/>
      <c r="IF305" s="36"/>
      <c r="IG305" s="36"/>
      <c r="IH305" s="36"/>
      <c r="II305" s="36"/>
      <c r="IJ305" s="36"/>
      <c r="IK305" s="36"/>
      <c r="IL305" s="36"/>
      <c r="IM305" s="36"/>
      <c r="IN305" s="36"/>
      <c r="IO305" s="36"/>
      <c r="IP305" s="36"/>
      <c r="IQ305" s="36"/>
      <c r="IR305" s="36"/>
      <c r="IS305" s="36"/>
      <c r="IT305" s="36"/>
      <c r="IU305" s="36"/>
      <c r="IV305" s="36"/>
      <c r="IW305" s="36"/>
      <c r="IX305" s="36"/>
      <c r="IY305" s="36"/>
      <c r="IZ305" s="36"/>
      <c r="JA305" s="36"/>
      <c r="JB305" s="36"/>
      <c r="JC305" s="36"/>
      <c r="JD305" s="36"/>
      <c r="JE305" s="36"/>
      <c r="JF305" s="36"/>
      <c r="JG305" s="36"/>
      <c r="JH305" s="36"/>
      <c r="JI305" s="36"/>
      <c r="JJ305" s="36"/>
      <c r="JK305" s="36"/>
      <c r="JL305" s="36"/>
      <c r="JM305" s="36"/>
      <c r="JN305" s="36"/>
      <c r="JO305" s="36"/>
      <c r="JP305" s="36"/>
      <c r="JQ305" s="36"/>
      <c r="JR305" s="36"/>
      <c r="JS305" s="36"/>
      <c r="JT305" s="36"/>
      <c r="JU305" s="36"/>
      <c r="JV305" s="36"/>
      <c r="JW305" s="36"/>
      <c r="JX305" s="36"/>
      <c r="JY305" s="36"/>
      <c r="JZ305" s="36"/>
      <c r="KA305" s="36"/>
      <c r="KB305" s="36"/>
      <c r="KC305" s="36"/>
      <c r="KD305" s="36"/>
      <c r="KE305" s="36"/>
      <c r="KF305" s="36"/>
      <c r="KG305" s="36"/>
      <c r="KH305" s="36"/>
      <c r="KI305" s="36"/>
      <c r="KJ305" s="36"/>
      <c r="KK305" s="36"/>
      <c r="KL305" s="36"/>
      <c r="KM305" s="36"/>
      <c r="KN305" s="36"/>
      <c r="KO305" s="36"/>
      <c r="KP305" s="36"/>
      <c r="KQ305" s="36"/>
      <c r="KR305" s="36"/>
      <c r="KS305" s="36"/>
      <c r="KT305" s="36"/>
      <c r="KU305" s="36"/>
      <c r="KV305" s="36"/>
      <c r="KW305" s="36"/>
      <c r="KX305" s="36"/>
      <c r="KY305" s="36"/>
      <c r="KZ305" s="36"/>
      <c r="LA305" s="36"/>
      <c r="LB305" s="36"/>
      <c r="LC305" s="36"/>
      <c r="LD305" s="36"/>
      <c r="LE305" s="36"/>
      <c r="LF305" s="36"/>
      <c r="LG305" s="36"/>
      <c r="LH305" s="36"/>
      <c r="LI305" s="36"/>
      <c r="LJ305" s="36"/>
      <c r="LK305" s="36"/>
      <c r="LL305" s="36"/>
      <c r="LM305" s="36"/>
      <c r="LN305" s="36"/>
      <c r="LO305" s="36"/>
      <c r="LP305" s="36"/>
      <c r="LQ305" s="36"/>
      <c r="LR305" s="36"/>
      <c r="LS305" s="36"/>
      <c r="LT305" s="36"/>
      <c r="LU305" s="36"/>
      <c r="LV305" s="36"/>
      <c r="LW305" s="36"/>
      <c r="LX305" s="36"/>
      <c r="LY305" s="36"/>
      <c r="LZ305" s="36"/>
      <c r="MA305" s="36"/>
      <c r="MB305" s="36"/>
      <c r="MC305" s="36"/>
      <c r="MD305" s="36"/>
      <c r="ME305" s="36"/>
      <c r="MF305" s="36"/>
      <c r="MG305" s="36"/>
      <c r="MH305" s="36"/>
      <c r="MI305" s="36"/>
      <c r="MJ305" s="36"/>
      <c r="MK305" s="36"/>
      <c r="ML305" s="36"/>
      <c r="MM305" s="36"/>
      <c r="MN305" s="36"/>
      <c r="MO305" s="36"/>
      <c r="MP305" s="36"/>
      <c r="MQ305" s="36"/>
      <c r="MR305" s="36"/>
      <c r="MS305" s="36"/>
      <c r="MT305" s="36"/>
      <c r="MU305" s="36"/>
      <c r="MV305" s="36"/>
      <c r="MW305" s="36"/>
      <c r="MX305" s="36"/>
      <c r="MY305" s="36"/>
      <c r="MZ305" s="36"/>
      <c r="NA305" s="36"/>
      <c r="NB305" s="36"/>
      <c r="NC305" s="36"/>
      <c r="ND305" s="36"/>
      <c r="NE305" s="36"/>
      <c r="NF305" s="36"/>
      <c r="NG305" s="36"/>
      <c r="NH305" s="36"/>
      <c r="NI305" s="36"/>
      <c r="NJ305" s="36"/>
      <c r="NK305" s="36"/>
      <c r="NL305" s="36"/>
      <c r="NM305" s="36"/>
      <c r="NN305" s="36"/>
      <c r="NO305" s="36"/>
      <c r="NP305" s="36"/>
      <c r="NQ305" s="36"/>
      <c r="NR305" s="36"/>
      <c r="NS305" s="36"/>
      <c r="NT305" s="36"/>
      <c r="NU305" s="36"/>
      <c r="NV305" s="36"/>
      <c r="NW305" s="36"/>
      <c r="NX305" s="36"/>
      <c r="NY305" s="36"/>
      <c r="NZ305" s="36"/>
      <c r="OA305" s="36"/>
      <c r="OB305" s="36"/>
      <c r="OC305" s="36"/>
      <c r="OD305" s="36"/>
      <c r="OE305" s="36"/>
      <c r="OF305" s="36"/>
      <c r="OG305" s="36"/>
      <c r="OH305" s="36"/>
      <c r="OI305" s="36"/>
      <c r="OJ305" s="36"/>
      <c r="OK305" s="36"/>
      <c r="OL305" s="36"/>
      <c r="OM305" s="36"/>
      <c r="ON305" s="36"/>
      <c r="OO305" s="36"/>
      <c r="OP305" s="36"/>
      <c r="OQ305" s="36"/>
      <c r="OR305" s="36"/>
      <c r="OS305" s="36"/>
      <c r="OT305" s="36"/>
      <c r="OU305" s="36"/>
      <c r="OV305" s="36"/>
      <c r="OW305" s="36"/>
      <c r="OX305" s="36"/>
      <c r="OY305" s="36"/>
      <c r="OZ305" s="36"/>
      <c r="PA305" s="36"/>
      <c r="PB305" s="36"/>
      <c r="PC305" s="36"/>
      <c r="PD305" s="36"/>
      <c r="PE305" s="36"/>
      <c r="PF305" s="36"/>
      <c r="PG305" s="36"/>
      <c r="PH305" s="36"/>
      <c r="PI305" s="36"/>
      <c r="PJ305" s="36"/>
      <c r="PK305" s="36"/>
      <c r="PL305" s="36"/>
      <c r="PM305" s="36"/>
      <c r="PN305" s="36"/>
      <c r="PO305" s="36"/>
      <c r="PP305" s="36"/>
      <c r="PQ305" s="36"/>
      <c r="PR305" s="36"/>
      <c r="PS305" s="36"/>
      <c r="PT305" s="36"/>
      <c r="PU305" s="36"/>
      <c r="PV305" s="36"/>
      <c r="PW305" s="36"/>
      <c r="PX305" s="36"/>
      <c r="PY305" s="36"/>
      <c r="PZ305" s="36"/>
      <c r="QA305" s="36"/>
      <c r="QB305" s="36"/>
      <c r="QC305" s="36"/>
      <c r="QD305" s="36"/>
      <c r="QE305" s="36"/>
      <c r="QF305" s="36"/>
      <c r="QG305" s="36"/>
      <c r="QH305" s="36"/>
      <c r="QI305" s="36"/>
      <c r="QJ305" s="36"/>
      <c r="QK305" s="36"/>
      <c r="QL305" s="36"/>
      <c r="QM305" s="36"/>
      <c r="QN305" s="36"/>
      <c r="QO305" s="36"/>
      <c r="QP305" s="36"/>
      <c r="QQ305" s="36"/>
      <c r="QR305" s="36"/>
      <c r="QS305" s="36"/>
      <c r="QT305" s="36"/>
      <c r="QU305" s="36"/>
      <c r="QV305" s="36"/>
      <c r="QW305" s="36"/>
      <c r="QX305" s="36"/>
      <c r="QY305" s="36"/>
      <c r="QZ305" s="36"/>
      <c r="RA305" s="36"/>
      <c r="RB305" s="36"/>
      <c r="RC305" s="36"/>
      <c r="RD305" s="36"/>
      <c r="RE305" s="36"/>
      <c r="RF305" s="36"/>
      <c r="RG305" s="36"/>
      <c r="RH305" s="36"/>
      <c r="RI305" s="36"/>
      <c r="RJ305" s="36"/>
      <c r="RK305" s="36"/>
      <c r="RL305" s="36"/>
      <c r="RM305" s="36"/>
      <c r="RN305" s="36"/>
      <c r="RO305" s="36"/>
      <c r="RP305" s="36"/>
      <c r="RQ305" s="36"/>
      <c r="RR305" s="36"/>
      <c r="RS305" s="36"/>
      <c r="RT305" s="36"/>
      <c r="RU305" s="36"/>
      <c r="RV305" s="36"/>
      <c r="RW305" s="36"/>
      <c r="RX305" s="36"/>
      <c r="RY305" s="36"/>
      <c r="RZ305" s="36"/>
      <c r="SA305" s="36"/>
      <c r="SB305" s="36"/>
      <c r="SC305" s="36"/>
      <c r="SD305" s="36"/>
      <c r="SE305" s="36"/>
      <c r="SF305" s="36"/>
      <c r="SG305" s="36"/>
      <c r="SH305" s="36"/>
      <c r="SI305" s="36"/>
      <c r="SJ305" s="36"/>
      <c r="SK305" s="36"/>
      <c r="SL305" s="36"/>
      <c r="SM305" s="36"/>
      <c r="SN305" s="36"/>
      <c r="SO305" s="36"/>
      <c r="SP305" s="36"/>
      <c r="SQ305" s="36"/>
      <c r="SR305" s="36"/>
      <c r="SS305" s="36"/>
      <c r="ST305" s="36"/>
      <c r="SU305" s="36"/>
      <c r="SV305" s="36"/>
      <c r="SW305" s="36"/>
      <c r="SX305" s="36"/>
      <c r="SY305" s="36"/>
      <c r="SZ305" s="36"/>
      <c r="TA305" s="36"/>
      <c r="TB305" s="36"/>
      <c r="TC305" s="36"/>
      <c r="TD305" s="36"/>
      <c r="TE305" s="36"/>
      <c r="TF305" s="36"/>
      <c r="TG305" s="36"/>
      <c r="TH305" s="36"/>
      <c r="TI305" s="36"/>
      <c r="TJ305" s="36"/>
      <c r="TK305" s="36"/>
      <c r="TL305" s="36"/>
      <c r="TM305" s="36"/>
      <c r="TN305" s="36"/>
      <c r="TO305" s="36"/>
      <c r="TP305" s="36"/>
      <c r="TQ305" s="36"/>
      <c r="TR305" s="36"/>
      <c r="TS305" s="36"/>
      <c r="TT305" s="36"/>
      <c r="TU305" s="36"/>
      <c r="TV305" s="36"/>
      <c r="TW305" s="36"/>
      <c r="TX305" s="36"/>
      <c r="TY305" s="36"/>
      <c r="TZ305" s="36"/>
      <c r="UA305" s="36"/>
      <c r="UB305" s="36"/>
      <c r="UC305" s="36"/>
      <c r="UD305" s="36"/>
      <c r="UE305" s="36"/>
      <c r="UF305" s="36"/>
      <c r="UG305" s="37"/>
    </row>
    <row r="306" spans="1:553" ht="30" customHeight="1">
      <c r="A306" s="356" t="s">
        <v>80</v>
      </c>
      <c r="B306" s="356"/>
      <c r="C306" s="1413" t="s">
        <v>67</v>
      </c>
      <c r="D306" s="1389"/>
      <c r="E306" s="1389"/>
      <c r="F306" s="1390"/>
      <c r="G306" s="356"/>
      <c r="H306" s="359"/>
      <c r="I306" s="359"/>
      <c r="J306" s="357"/>
      <c r="K306" s="364"/>
      <c r="L306" s="356"/>
      <c r="M306" s="356"/>
      <c r="N306" s="356"/>
      <c r="O306" s="356"/>
      <c r="P306" s="356"/>
      <c r="Q306" s="610"/>
      <c r="R306" s="421"/>
      <c r="S306" s="302"/>
      <c r="T306" s="1236"/>
      <c r="U306" s="304"/>
      <c r="V306" s="304"/>
      <c r="W306" s="304"/>
      <c r="X306" s="304"/>
      <c r="Y306" s="304"/>
      <c r="Z306" s="304"/>
      <c r="AA306" s="304"/>
      <c r="AB306" s="304"/>
      <c r="AC306" s="454"/>
      <c r="AD306" s="454"/>
      <c r="AE306" s="454"/>
      <c r="AF306" s="454"/>
      <c r="AG306" s="454"/>
      <c r="AH306" s="454"/>
      <c r="AI306" s="454"/>
      <c r="AJ306" s="454"/>
      <c r="AK306" s="455"/>
      <c r="AL306" s="110"/>
      <c r="AM306" s="34"/>
      <c r="AN306" s="34"/>
      <c r="AO306" s="34"/>
      <c r="AP306" s="34"/>
      <c r="AQ306" s="34"/>
      <c r="AR306" s="34"/>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6"/>
      <c r="BQ306" s="36"/>
      <c r="BR306" s="36"/>
      <c r="BS306" s="36"/>
      <c r="BT306" s="36"/>
      <c r="BU306" s="36"/>
      <c r="BV306" s="36"/>
      <c r="BW306" s="36"/>
      <c r="BX306" s="36"/>
      <c r="BY306" s="36"/>
      <c r="BZ306" s="36"/>
      <c r="CA306" s="36"/>
      <c r="CB306" s="36"/>
      <c r="CC306" s="36"/>
      <c r="CD306" s="36"/>
      <c r="CE306" s="36"/>
      <c r="CF306" s="36"/>
      <c r="CG306" s="36"/>
      <c r="CH306" s="36"/>
      <c r="CI306" s="36"/>
      <c r="CJ306" s="36"/>
      <c r="CK306" s="36"/>
      <c r="CL306" s="36"/>
      <c r="CM306" s="36"/>
      <c r="CN306" s="36"/>
      <c r="CO306" s="36"/>
      <c r="CP306" s="36"/>
      <c r="CQ306" s="36"/>
      <c r="CR306" s="36"/>
      <c r="CS306" s="36"/>
      <c r="CT306" s="36"/>
      <c r="CU306" s="36"/>
      <c r="CV306" s="36"/>
      <c r="CW306" s="36"/>
      <c r="CX306" s="36"/>
      <c r="CY306" s="36"/>
      <c r="CZ306" s="36"/>
      <c r="DA306" s="36"/>
      <c r="DB306" s="36"/>
      <c r="DC306" s="36"/>
      <c r="DD306" s="36"/>
      <c r="DE306" s="36"/>
      <c r="DF306" s="36"/>
      <c r="DG306" s="36"/>
      <c r="DH306" s="36"/>
      <c r="DI306" s="36"/>
      <c r="DJ306" s="36"/>
      <c r="DK306" s="36"/>
      <c r="DL306" s="36"/>
      <c r="DM306" s="36"/>
      <c r="DN306" s="36"/>
      <c r="DO306" s="36"/>
      <c r="DP306" s="36"/>
      <c r="DQ306" s="36"/>
      <c r="DR306" s="36"/>
      <c r="DS306" s="36"/>
      <c r="DT306" s="36"/>
      <c r="DU306" s="36"/>
      <c r="DV306" s="36"/>
      <c r="DW306" s="36"/>
      <c r="DX306" s="36"/>
      <c r="DY306" s="36"/>
      <c r="DZ306" s="36"/>
      <c r="EA306" s="36"/>
      <c r="EB306" s="36"/>
      <c r="EC306" s="36"/>
      <c r="ED306" s="36"/>
      <c r="EE306" s="36"/>
      <c r="EF306" s="36"/>
      <c r="EG306" s="36"/>
      <c r="EH306" s="36"/>
      <c r="EI306" s="36"/>
      <c r="EJ306" s="36"/>
      <c r="EK306" s="36"/>
      <c r="EL306" s="36"/>
      <c r="EM306" s="36"/>
      <c r="EN306" s="36"/>
      <c r="EO306" s="36"/>
      <c r="EP306" s="36"/>
      <c r="EQ306" s="36"/>
      <c r="ER306" s="36"/>
      <c r="ES306" s="36"/>
      <c r="ET306" s="36"/>
      <c r="EU306" s="36"/>
      <c r="EV306" s="36"/>
      <c r="EW306" s="36"/>
      <c r="EX306" s="36"/>
      <c r="EY306" s="36"/>
      <c r="EZ306" s="36"/>
      <c r="FA306" s="36"/>
      <c r="FB306" s="36"/>
      <c r="FC306" s="36"/>
      <c r="FD306" s="36"/>
      <c r="FE306" s="36"/>
      <c r="FF306" s="36"/>
      <c r="FG306" s="36"/>
      <c r="FH306" s="36"/>
      <c r="FI306" s="36"/>
      <c r="FJ306" s="36"/>
      <c r="FK306" s="36"/>
      <c r="FL306" s="36"/>
      <c r="FM306" s="36"/>
      <c r="FN306" s="36"/>
      <c r="FO306" s="36"/>
      <c r="FP306" s="36"/>
      <c r="FQ306" s="36"/>
      <c r="FR306" s="36"/>
      <c r="FS306" s="36"/>
      <c r="FT306" s="36"/>
      <c r="FU306" s="36"/>
      <c r="FV306" s="36"/>
      <c r="FW306" s="36"/>
      <c r="FX306" s="36"/>
      <c r="FY306" s="36"/>
      <c r="FZ306" s="36"/>
      <c r="GA306" s="36"/>
      <c r="GB306" s="36"/>
      <c r="GC306" s="36"/>
      <c r="GD306" s="36"/>
      <c r="GE306" s="36"/>
      <c r="GF306" s="36"/>
      <c r="GG306" s="36"/>
      <c r="GH306" s="36"/>
      <c r="GI306" s="36"/>
      <c r="GJ306" s="36"/>
      <c r="GK306" s="36"/>
      <c r="GL306" s="36"/>
      <c r="GM306" s="36"/>
      <c r="GN306" s="36"/>
      <c r="GO306" s="36"/>
      <c r="GP306" s="36"/>
      <c r="GQ306" s="36"/>
      <c r="GR306" s="36"/>
      <c r="GS306" s="36"/>
      <c r="GT306" s="36"/>
      <c r="GU306" s="36"/>
      <c r="GV306" s="36"/>
      <c r="GW306" s="36"/>
      <c r="GX306" s="36"/>
      <c r="GY306" s="36"/>
      <c r="GZ306" s="36"/>
      <c r="HA306" s="36"/>
      <c r="HB306" s="36"/>
      <c r="HC306" s="36"/>
      <c r="HD306" s="36"/>
      <c r="HE306" s="36"/>
      <c r="HF306" s="36"/>
      <c r="HG306" s="36"/>
      <c r="HH306" s="36"/>
      <c r="HI306" s="36"/>
      <c r="HJ306" s="36"/>
      <c r="HK306" s="36"/>
      <c r="HL306" s="36"/>
      <c r="HM306" s="36"/>
      <c r="HN306" s="36"/>
      <c r="HO306" s="36"/>
      <c r="HP306" s="36"/>
      <c r="HQ306" s="36"/>
      <c r="HR306" s="36"/>
      <c r="HS306" s="36"/>
      <c r="HT306" s="36"/>
      <c r="HU306" s="36"/>
      <c r="HV306" s="36"/>
      <c r="HW306" s="36"/>
      <c r="HX306" s="36"/>
      <c r="HY306" s="36"/>
      <c r="HZ306" s="36"/>
      <c r="IA306" s="36"/>
      <c r="IB306" s="36"/>
      <c r="IC306" s="36"/>
      <c r="ID306" s="36"/>
      <c r="IE306" s="36"/>
      <c r="IF306" s="36"/>
      <c r="IG306" s="36"/>
      <c r="IH306" s="36"/>
      <c r="II306" s="36"/>
      <c r="IJ306" s="36"/>
      <c r="IK306" s="36"/>
      <c r="IL306" s="36"/>
      <c r="IM306" s="36"/>
      <c r="IN306" s="36"/>
      <c r="IO306" s="36"/>
      <c r="IP306" s="36"/>
      <c r="IQ306" s="36"/>
      <c r="IR306" s="36"/>
      <c r="IS306" s="36"/>
      <c r="IT306" s="36"/>
      <c r="IU306" s="36"/>
      <c r="IV306" s="36"/>
      <c r="IW306" s="36"/>
      <c r="IX306" s="36"/>
      <c r="IY306" s="36"/>
      <c r="IZ306" s="36"/>
      <c r="JA306" s="36"/>
      <c r="JB306" s="36"/>
      <c r="JC306" s="36"/>
      <c r="JD306" s="36"/>
      <c r="JE306" s="36"/>
      <c r="JF306" s="36"/>
      <c r="JG306" s="36"/>
      <c r="JH306" s="36"/>
      <c r="JI306" s="36"/>
      <c r="JJ306" s="36"/>
      <c r="JK306" s="36"/>
      <c r="JL306" s="36"/>
      <c r="JM306" s="36"/>
      <c r="JN306" s="36"/>
      <c r="JO306" s="36"/>
      <c r="JP306" s="36"/>
      <c r="JQ306" s="36"/>
      <c r="JR306" s="36"/>
      <c r="JS306" s="36"/>
      <c r="JT306" s="36"/>
      <c r="JU306" s="36"/>
      <c r="JV306" s="36"/>
      <c r="JW306" s="36"/>
      <c r="JX306" s="36"/>
      <c r="JY306" s="36"/>
      <c r="JZ306" s="36"/>
      <c r="KA306" s="36"/>
      <c r="KB306" s="36"/>
      <c r="KC306" s="36"/>
      <c r="KD306" s="36"/>
      <c r="KE306" s="36"/>
      <c r="KF306" s="36"/>
      <c r="KG306" s="36"/>
      <c r="KH306" s="36"/>
      <c r="KI306" s="36"/>
      <c r="KJ306" s="36"/>
      <c r="KK306" s="36"/>
      <c r="KL306" s="36"/>
      <c r="KM306" s="36"/>
      <c r="KN306" s="36"/>
      <c r="KO306" s="36"/>
      <c r="KP306" s="36"/>
      <c r="KQ306" s="36"/>
      <c r="KR306" s="36"/>
      <c r="KS306" s="36"/>
      <c r="KT306" s="36"/>
      <c r="KU306" s="36"/>
      <c r="KV306" s="36"/>
      <c r="KW306" s="36"/>
      <c r="KX306" s="36"/>
      <c r="KY306" s="36"/>
      <c r="KZ306" s="36"/>
      <c r="LA306" s="36"/>
      <c r="LB306" s="36"/>
      <c r="LC306" s="36"/>
      <c r="LD306" s="36"/>
      <c r="LE306" s="36"/>
      <c r="LF306" s="36"/>
      <c r="LG306" s="36"/>
      <c r="LH306" s="36"/>
      <c r="LI306" s="36"/>
      <c r="LJ306" s="36"/>
      <c r="LK306" s="36"/>
      <c r="LL306" s="36"/>
      <c r="LM306" s="36"/>
      <c r="LN306" s="36"/>
      <c r="LO306" s="36"/>
      <c r="LP306" s="36"/>
      <c r="LQ306" s="36"/>
      <c r="LR306" s="36"/>
      <c r="LS306" s="36"/>
      <c r="LT306" s="36"/>
      <c r="LU306" s="36"/>
      <c r="LV306" s="36"/>
      <c r="LW306" s="36"/>
      <c r="LX306" s="36"/>
      <c r="LY306" s="36"/>
      <c r="LZ306" s="36"/>
      <c r="MA306" s="36"/>
      <c r="MB306" s="36"/>
      <c r="MC306" s="36"/>
      <c r="MD306" s="36"/>
      <c r="ME306" s="36"/>
      <c r="MF306" s="36"/>
      <c r="MG306" s="36"/>
      <c r="MH306" s="36"/>
      <c r="MI306" s="36"/>
      <c r="MJ306" s="36"/>
      <c r="MK306" s="36"/>
      <c r="ML306" s="36"/>
      <c r="MM306" s="36"/>
      <c r="MN306" s="36"/>
      <c r="MO306" s="36"/>
      <c r="MP306" s="36"/>
      <c r="MQ306" s="36"/>
      <c r="MR306" s="36"/>
      <c r="MS306" s="36"/>
      <c r="MT306" s="36"/>
      <c r="MU306" s="36"/>
      <c r="MV306" s="36"/>
      <c r="MW306" s="36"/>
      <c r="MX306" s="36"/>
      <c r="MY306" s="36"/>
      <c r="MZ306" s="36"/>
      <c r="NA306" s="36"/>
      <c r="NB306" s="36"/>
      <c r="NC306" s="36"/>
      <c r="ND306" s="36"/>
      <c r="NE306" s="36"/>
      <c r="NF306" s="36"/>
      <c r="NG306" s="36"/>
      <c r="NH306" s="36"/>
      <c r="NI306" s="36"/>
      <c r="NJ306" s="36"/>
      <c r="NK306" s="36"/>
      <c r="NL306" s="36"/>
      <c r="NM306" s="36"/>
      <c r="NN306" s="36"/>
      <c r="NO306" s="36"/>
      <c r="NP306" s="36"/>
      <c r="NQ306" s="36"/>
      <c r="NR306" s="36"/>
      <c r="NS306" s="36"/>
      <c r="NT306" s="36"/>
      <c r="NU306" s="36"/>
      <c r="NV306" s="36"/>
      <c r="NW306" s="36"/>
      <c r="NX306" s="36"/>
      <c r="NY306" s="36"/>
      <c r="NZ306" s="36"/>
      <c r="OA306" s="36"/>
      <c r="OB306" s="36"/>
      <c r="OC306" s="36"/>
      <c r="OD306" s="36"/>
      <c r="OE306" s="36"/>
      <c r="OF306" s="36"/>
      <c r="OG306" s="36"/>
      <c r="OH306" s="36"/>
      <c r="OI306" s="36"/>
      <c r="OJ306" s="36"/>
      <c r="OK306" s="36"/>
      <c r="OL306" s="36"/>
      <c r="OM306" s="36"/>
      <c r="ON306" s="36"/>
      <c r="OO306" s="36"/>
      <c r="OP306" s="36"/>
      <c r="OQ306" s="36"/>
      <c r="OR306" s="36"/>
      <c r="OS306" s="36"/>
      <c r="OT306" s="36"/>
      <c r="OU306" s="36"/>
      <c r="OV306" s="36"/>
      <c r="OW306" s="36"/>
      <c r="OX306" s="36"/>
      <c r="OY306" s="36"/>
      <c r="OZ306" s="36"/>
      <c r="PA306" s="36"/>
      <c r="PB306" s="36"/>
      <c r="PC306" s="36"/>
      <c r="PD306" s="36"/>
      <c r="PE306" s="36"/>
      <c r="PF306" s="36"/>
      <c r="PG306" s="36"/>
      <c r="PH306" s="36"/>
      <c r="PI306" s="36"/>
      <c r="PJ306" s="36"/>
      <c r="PK306" s="36"/>
      <c r="PL306" s="36"/>
      <c r="PM306" s="36"/>
      <c r="PN306" s="36"/>
      <c r="PO306" s="36"/>
      <c r="PP306" s="36"/>
      <c r="PQ306" s="36"/>
      <c r="PR306" s="36"/>
      <c r="PS306" s="36"/>
      <c r="PT306" s="36"/>
      <c r="PU306" s="36"/>
      <c r="PV306" s="36"/>
      <c r="PW306" s="36"/>
      <c r="PX306" s="36"/>
      <c r="PY306" s="36"/>
      <c r="PZ306" s="36"/>
      <c r="QA306" s="36"/>
      <c r="QB306" s="36"/>
      <c r="QC306" s="36"/>
      <c r="QD306" s="36"/>
      <c r="QE306" s="36"/>
      <c r="QF306" s="36"/>
      <c r="QG306" s="36"/>
      <c r="QH306" s="36"/>
      <c r="QI306" s="36"/>
      <c r="QJ306" s="36"/>
      <c r="QK306" s="36"/>
      <c r="QL306" s="36"/>
      <c r="QM306" s="36"/>
      <c r="QN306" s="36"/>
      <c r="QO306" s="36"/>
      <c r="QP306" s="36"/>
      <c r="QQ306" s="36"/>
      <c r="QR306" s="36"/>
      <c r="QS306" s="36"/>
      <c r="QT306" s="36"/>
      <c r="QU306" s="36"/>
      <c r="QV306" s="36"/>
      <c r="QW306" s="36"/>
      <c r="QX306" s="36"/>
      <c r="QY306" s="36"/>
      <c r="QZ306" s="36"/>
      <c r="RA306" s="36"/>
      <c r="RB306" s="36"/>
      <c r="RC306" s="36"/>
      <c r="RD306" s="36"/>
      <c r="RE306" s="36"/>
      <c r="RF306" s="36"/>
      <c r="RG306" s="36"/>
      <c r="RH306" s="36"/>
      <c r="RI306" s="36"/>
      <c r="RJ306" s="36"/>
      <c r="RK306" s="36"/>
      <c r="RL306" s="36"/>
      <c r="RM306" s="36"/>
      <c r="RN306" s="36"/>
      <c r="RO306" s="36"/>
      <c r="RP306" s="36"/>
      <c r="RQ306" s="36"/>
      <c r="RR306" s="36"/>
      <c r="RS306" s="36"/>
      <c r="RT306" s="36"/>
      <c r="RU306" s="36"/>
      <c r="RV306" s="36"/>
      <c r="RW306" s="36"/>
      <c r="RX306" s="36"/>
      <c r="RY306" s="36"/>
      <c r="RZ306" s="36"/>
      <c r="SA306" s="36"/>
      <c r="SB306" s="36"/>
      <c r="SC306" s="36"/>
      <c r="SD306" s="36"/>
      <c r="SE306" s="36"/>
      <c r="SF306" s="36"/>
      <c r="SG306" s="36"/>
      <c r="SH306" s="36"/>
      <c r="SI306" s="36"/>
      <c r="SJ306" s="36"/>
      <c r="SK306" s="36"/>
      <c r="SL306" s="36"/>
      <c r="SM306" s="36"/>
      <c r="SN306" s="36"/>
      <c r="SO306" s="36"/>
      <c r="SP306" s="36"/>
      <c r="SQ306" s="36"/>
      <c r="SR306" s="36"/>
      <c r="SS306" s="36"/>
      <c r="ST306" s="36"/>
      <c r="SU306" s="36"/>
      <c r="SV306" s="36"/>
      <c r="SW306" s="36"/>
      <c r="SX306" s="36"/>
      <c r="SY306" s="36"/>
      <c r="SZ306" s="36"/>
      <c r="TA306" s="36"/>
      <c r="TB306" s="36"/>
      <c r="TC306" s="36"/>
      <c r="TD306" s="36"/>
      <c r="TE306" s="36"/>
      <c r="TF306" s="36"/>
      <c r="TG306" s="36"/>
      <c r="TH306" s="36"/>
      <c r="TI306" s="36"/>
      <c r="TJ306" s="36"/>
      <c r="TK306" s="36"/>
      <c r="TL306" s="36"/>
      <c r="TM306" s="36"/>
      <c r="TN306" s="36"/>
      <c r="TO306" s="36"/>
      <c r="TP306" s="36"/>
      <c r="TQ306" s="36"/>
      <c r="TR306" s="36"/>
      <c r="TS306" s="36"/>
      <c r="TT306" s="36"/>
      <c r="TU306" s="36"/>
      <c r="TV306" s="36"/>
      <c r="TW306" s="36"/>
      <c r="TX306" s="36"/>
      <c r="TY306" s="36"/>
      <c r="TZ306" s="36"/>
      <c r="UA306" s="36"/>
      <c r="UB306" s="36"/>
      <c r="UC306" s="36"/>
      <c r="UD306" s="36"/>
      <c r="UE306" s="36"/>
      <c r="UF306" s="36"/>
      <c r="UG306" s="37"/>
    </row>
    <row r="307" spans="1:553" ht="139.5" customHeight="1">
      <c r="A307" s="356" t="s">
        <v>15</v>
      </c>
      <c r="B307" s="366"/>
      <c r="C307" s="1414" t="s">
        <v>818</v>
      </c>
      <c r="D307" s="1389"/>
      <c r="E307" s="1389"/>
      <c r="F307" s="1390"/>
      <c r="G307" s="366" t="s">
        <v>68</v>
      </c>
      <c r="H307" s="370"/>
      <c r="I307" s="370">
        <v>1</v>
      </c>
      <c r="J307" s="368"/>
      <c r="K307" s="371"/>
      <c r="L307" s="366"/>
      <c r="M307" s="366"/>
      <c r="N307" s="366"/>
      <c r="O307" s="366"/>
      <c r="P307" s="366"/>
      <c r="Q307" s="812"/>
      <c r="R307" s="421" t="s">
        <v>1042</v>
      </c>
      <c r="S307" s="305"/>
      <c r="T307" s="303"/>
      <c r="U307" s="306"/>
      <c r="V307" s="307"/>
      <c r="W307" s="306"/>
      <c r="X307" s="306"/>
      <c r="Y307" s="306"/>
      <c r="Z307" s="306"/>
      <c r="AA307" s="306"/>
      <c r="AB307" s="306"/>
      <c r="AC307" s="449"/>
      <c r="AD307" s="449"/>
      <c r="AE307" s="449"/>
      <c r="AF307" s="449"/>
      <c r="AG307" s="449"/>
      <c r="AH307" s="449"/>
      <c r="AI307" s="449"/>
      <c r="AJ307" s="449"/>
      <c r="AK307" s="452"/>
      <c r="AL307" s="104"/>
      <c r="AM307" s="32"/>
      <c r="AN307" s="32"/>
      <c r="AO307" s="32"/>
      <c r="AP307" s="32"/>
      <c r="AQ307" s="32"/>
      <c r="AR307" s="32"/>
      <c r="AS307" s="31"/>
      <c r="AT307" s="31"/>
      <c r="AU307" s="31"/>
      <c r="AV307" s="31"/>
      <c r="AW307" s="31"/>
      <c r="AX307" s="31"/>
      <c r="AY307" s="31"/>
      <c r="AZ307" s="31"/>
      <c r="BA307" s="31"/>
      <c r="BB307" s="31"/>
      <c r="BC307" s="31"/>
      <c r="BD307" s="31"/>
      <c r="BE307" s="31"/>
      <c r="BF307" s="31"/>
      <c r="BG307" s="31"/>
      <c r="BH307" s="31"/>
      <c r="BI307" s="31"/>
      <c r="BJ307" s="31"/>
      <c r="BK307" s="31"/>
      <c r="BL307" s="31"/>
      <c r="BM307" s="31"/>
      <c r="BN307" s="31"/>
      <c r="BO307" s="31"/>
      <c r="BP307" s="25"/>
      <c r="BQ307" s="25"/>
      <c r="BR307" s="25"/>
      <c r="BS307" s="25"/>
      <c r="BT307" s="25"/>
      <c r="BU307" s="25"/>
      <c r="BV307" s="25"/>
      <c r="BW307" s="25"/>
      <c r="BX307" s="25"/>
      <c r="BY307" s="25"/>
      <c r="BZ307" s="25"/>
      <c r="CA307" s="25"/>
      <c r="CB307" s="25"/>
      <c r="CC307" s="25"/>
      <c r="CD307" s="25"/>
      <c r="CE307" s="25"/>
      <c r="CF307" s="25"/>
      <c r="CG307" s="25"/>
      <c r="CH307" s="25"/>
      <c r="CI307" s="25"/>
      <c r="CJ307" s="25"/>
      <c r="CK307" s="25"/>
      <c r="CL307" s="25"/>
      <c r="CM307" s="25"/>
      <c r="CN307" s="25"/>
      <c r="CO307" s="25"/>
      <c r="CP307" s="25"/>
      <c r="CQ307" s="25"/>
      <c r="CR307" s="25"/>
      <c r="CS307" s="25"/>
      <c r="CT307" s="25"/>
      <c r="CU307" s="25"/>
      <c r="CV307" s="25"/>
      <c r="CW307" s="25"/>
      <c r="CX307" s="25"/>
      <c r="CY307" s="25"/>
      <c r="CZ307" s="25"/>
      <c r="DA307" s="25"/>
      <c r="DB307" s="25"/>
      <c r="DC307" s="25"/>
      <c r="DD307" s="25"/>
      <c r="DE307" s="25"/>
      <c r="DF307" s="25"/>
      <c r="DG307" s="25"/>
      <c r="DH307" s="25"/>
      <c r="DI307" s="25"/>
      <c r="DJ307" s="25"/>
      <c r="DK307" s="25"/>
      <c r="DL307" s="25"/>
      <c r="DM307" s="25"/>
      <c r="DN307" s="25"/>
      <c r="DO307" s="25"/>
      <c r="DP307" s="25"/>
      <c r="DQ307" s="25"/>
      <c r="DR307" s="25"/>
      <c r="DS307" s="25"/>
      <c r="DT307" s="25"/>
      <c r="DU307" s="25"/>
      <c r="DV307" s="25"/>
      <c r="DW307" s="25"/>
      <c r="DX307" s="25"/>
      <c r="DY307" s="25"/>
      <c r="DZ307" s="25"/>
      <c r="EA307" s="25"/>
      <c r="EB307" s="25"/>
      <c r="EC307" s="25"/>
      <c r="ED307" s="25"/>
      <c r="EE307" s="25"/>
      <c r="EF307" s="25"/>
      <c r="EG307" s="25"/>
      <c r="EH307" s="25"/>
      <c r="EI307" s="25"/>
      <c r="EJ307" s="25"/>
      <c r="EK307" s="25"/>
      <c r="EL307" s="25"/>
      <c r="EM307" s="25"/>
      <c r="EN307" s="25"/>
      <c r="EO307" s="25"/>
      <c r="EP307" s="25"/>
      <c r="EQ307" s="25"/>
      <c r="ER307" s="25"/>
      <c r="ES307" s="25"/>
      <c r="ET307" s="25"/>
      <c r="EU307" s="25"/>
      <c r="EV307" s="25"/>
      <c r="EW307" s="25"/>
      <c r="EX307" s="25"/>
      <c r="EY307" s="25"/>
      <c r="EZ307" s="25"/>
      <c r="FA307" s="25"/>
      <c r="FB307" s="25"/>
      <c r="FC307" s="25"/>
      <c r="FD307" s="25"/>
      <c r="FE307" s="25"/>
      <c r="FF307" s="25"/>
      <c r="FG307" s="25"/>
      <c r="FH307" s="25"/>
      <c r="FI307" s="25"/>
      <c r="FJ307" s="25"/>
      <c r="FK307" s="25"/>
      <c r="FL307" s="25"/>
      <c r="FM307" s="25"/>
      <c r="FN307" s="25"/>
      <c r="FO307" s="25"/>
      <c r="FP307" s="25"/>
      <c r="FQ307" s="25"/>
      <c r="FR307" s="25"/>
      <c r="FS307" s="25"/>
      <c r="FT307" s="25"/>
      <c r="FU307" s="25"/>
      <c r="FV307" s="25"/>
      <c r="FW307" s="25"/>
      <c r="FX307" s="25"/>
      <c r="FY307" s="25"/>
      <c r="FZ307" s="25"/>
      <c r="GA307" s="25"/>
      <c r="GB307" s="25"/>
      <c r="GC307" s="25"/>
      <c r="GD307" s="25"/>
      <c r="GE307" s="25"/>
      <c r="GF307" s="25"/>
      <c r="GG307" s="25"/>
      <c r="GH307" s="25"/>
      <c r="GI307" s="25"/>
      <c r="GJ307" s="25"/>
      <c r="GK307" s="25"/>
      <c r="GL307" s="25"/>
      <c r="GM307" s="25"/>
      <c r="GN307" s="25"/>
      <c r="GO307" s="25"/>
      <c r="GP307" s="25"/>
      <c r="GQ307" s="25"/>
      <c r="GR307" s="25"/>
      <c r="GS307" s="25"/>
      <c r="GT307" s="25"/>
      <c r="GU307" s="25"/>
      <c r="GV307" s="25"/>
      <c r="GW307" s="25"/>
      <c r="GX307" s="25"/>
      <c r="GY307" s="25"/>
      <c r="GZ307" s="25"/>
      <c r="HA307" s="25"/>
      <c r="HB307" s="25"/>
      <c r="HC307" s="25"/>
      <c r="HD307" s="25"/>
      <c r="HE307" s="25"/>
      <c r="HF307" s="25"/>
      <c r="HG307" s="25"/>
      <c r="HH307" s="25"/>
      <c r="HI307" s="25"/>
      <c r="HJ307" s="25"/>
      <c r="HK307" s="25"/>
      <c r="HL307" s="25"/>
      <c r="HM307" s="25"/>
      <c r="HN307" s="25"/>
      <c r="HO307" s="25"/>
      <c r="HP307" s="25"/>
      <c r="HQ307" s="25"/>
      <c r="HR307" s="25"/>
      <c r="HS307" s="25"/>
      <c r="HT307" s="25"/>
      <c r="HU307" s="25"/>
      <c r="HV307" s="25"/>
      <c r="HW307" s="25"/>
      <c r="HX307" s="25"/>
      <c r="HY307" s="25"/>
      <c r="HZ307" s="25"/>
      <c r="IA307" s="25"/>
      <c r="IB307" s="25"/>
      <c r="IC307" s="25"/>
      <c r="ID307" s="25"/>
      <c r="IE307" s="25"/>
      <c r="IF307" s="25"/>
      <c r="IG307" s="25"/>
      <c r="IH307" s="25"/>
      <c r="II307" s="25"/>
      <c r="IJ307" s="25"/>
      <c r="IK307" s="25"/>
      <c r="IL307" s="25"/>
      <c r="IM307" s="25"/>
      <c r="IN307" s="25"/>
      <c r="IO307" s="25"/>
      <c r="IP307" s="25"/>
      <c r="IQ307" s="25"/>
      <c r="IR307" s="25"/>
      <c r="IS307" s="25"/>
      <c r="IT307" s="25"/>
      <c r="IU307" s="25"/>
      <c r="IV307" s="25"/>
      <c r="IW307" s="25"/>
      <c r="IX307" s="25"/>
      <c r="IY307" s="25"/>
      <c r="IZ307" s="25"/>
      <c r="JA307" s="25"/>
      <c r="JB307" s="25"/>
      <c r="JC307" s="25"/>
      <c r="JD307" s="25"/>
      <c r="JE307" s="25"/>
      <c r="JF307" s="25"/>
      <c r="JG307" s="25"/>
      <c r="JH307" s="25"/>
      <c r="JI307" s="25"/>
      <c r="JJ307" s="25"/>
      <c r="JK307" s="25"/>
      <c r="JL307" s="25"/>
      <c r="JM307" s="25"/>
      <c r="JN307" s="25"/>
      <c r="JO307" s="25"/>
      <c r="JP307" s="25"/>
      <c r="JQ307" s="25"/>
      <c r="JR307" s="25"/>
      <c r="JS307" s="25"/>
      <c r="JT307" s="25"/>
      <c r="JU307" s="25"/>
      <c r="JV307" s="25"/>
      <c r="JW307" s="25"/>
      <c r="JX307" s="25"/>
      <c r="JY307" s="25"/>
      <c r="JZ307" s="25"/>
      <c r="KA307" s="25"/>
      <c r="KB307" s="25"/>
      <c r="KC307" s="25"/>
      <c r="KD307" s="25"/>
      <c r="KE307" s="25"/>
      <c r="KF307" s="25"/>
      <c r="KG307" s="25"/>
      <c r="KH307" s="25"/>
      <c r="KI307" s="25"/>
      <c r="KJ307" s="25"/>
      <c r="KK307" s="25"/>
      <c r="KL307" s="25"/>
      <c r="KM307" s="25"/>
      <c r="KN307" s="25"/>
      <c r="KO307" s="25"/>
      <c r="KP307" s="25"/>
      <c r="KQ307" s="25"/>
      <c r="KR307" s="25"/>
      <c r="KS307" s="25"/>
      <c r="KT307" s="25"/>
      <c r="KU307" s="25"/>
      <c r="KV307" s="25"/>
      <c r="KW307" s="25"/>
      <c r="KX307" s="25"/>
      <c r="KY307" s="25"/>
      <c r="KZ307" s="25"/>
      <c r="LA307" s="25"/>
      <c r="LB307" s="25"/>
      <c r="LC307" s="25"/>
      <c r="LD307" s="25"/>
      <c r="LE307" s="25"/>
      <c r="LF307" s="25"/>
      <c r="LG307" s="25"/>
      <c r="LH307" s="25"/>
      <c r="LI307" s="25"/>
      <c r="LJ307" s="25"/>
      <c r="LK307" s="25"/>
      <c r="LL307" s="25"/>
      <c r="LM307" s="25"/>
      <c r="LN307" s="25"/>
      <c r="LO307" s="25"/>
      <c r="LP307" s="25"/>
      <c r="LQ307" s="25"/>
      <c r="LR307" s="25"/>
      <c r="LS307" s="25"/>
      <c r="LT307" s="25"/>
      <c r="LU307" s="25"/>
      <c r="LV307" s="25"/>
      <c r="LW307" s="25"/>
      <c r="LX307" s="25"/>
      <c r="LY307" s="25"/>
      <c r="LZ307" s="25"/>
      <c r="MA307" s="25"/>
      <c r="MB307" s="25"/>
      <c r="MC307" s="25"/>
      <c r="MD307" s="25"/>
      <c r="ME307" s="25"/>
      <c r="MF307" s="25"/>
      <c r="MG307" s="25"/>
      <c r="MH307" s="25"/>
      <c r="MI307" s="25"/>
      <c r="MJ307" s="25"/>
      <c r="MK307" s="25"/>
      <c r="ML307" s="25"/>
      <c r="MM307" s="25"/>
      <c r="MN307" s="25"/>
      <c r="MO307" s="25"/>
      <c r="MP307" s="25"/>
      <c r="MQ307" s="25"/>
      <c r="MR307" s="25"/>
      <c r="MS307" s="25"/>
      <c r="MT307" s="25"/>
      <c r="MU307" s="25"/>
      <c r="MV307" s="25"/>
      <c r="MW307" s="25"/>
      <c r="MX307" s="25"/>
      <c r="MY307" s="25"/>
      <c r="MZ307" s="25"/>
      <c r="NA307" s="25"/>
      <c r="NB307" s="25"/>
      <c r="NC307" s="25"/>
      <c r="ND307" s="25"/>
      <c r="NE307" s="25"/>
      <c r="NF307" s="25"/>
      <c r="NG307" s="25"/>
      <c r="NH307" s="25"/>
      <c r="NI307" s="25"/>
      <c r="NJ307" s="25"/>
      <c r="NK307" s="25"/>
      <c r="NL307" s="25"/>
      <c r="NM307" s="25"/>
      <c r="NN307" s="25"/>
      <c r="NO307" s="25"/>
      <c r="NP307" s="25"/>
      <c r="NQ307" s="25"/>
      <c r="NR307" s="25"/>
      <c r="NS307" s="25"/>
      <c r="NT307" s="25"/>
      <c r="NU307" s="25"/>
      <c r="NV307" s="25"/>
      <c r="NW307" s="25"/>
      <c r="NX307" s="25"/>
      <c r="NY307" s="25"/>
      <c r="NZ307" s="25"/>
      <c r="OA307" s="25"/>
      <c r="OB307" s="25"/>
      <c r="OC307" s="25"/>
      <c r="OD307" s="25"/>
      <c r="OE307" s="25"/>
      <c r="OF307" s="25"/>
      <c r="OG307" s="25"/>
      <c r="OH307" s="25"/>
      <c r="OI307" s="25"/>
      <c r="OJ307" s="25"/>
      <c r="OK307" s="25"/>
      <c r="OL307" s="25"/>
      <c r="OM307" s="25"/>
      <c r="ON307" s="25"/>
      <c r="OO307" s="25"/>
      <c r="OP307" s="25"/>
      <c r="OQ307" s="25"/>
      <c r="OR307" s="25"/>
      <c r="OS307" s="25"/>
      <c r="OT307" s="25"/>
      <c r="OU307" s="25"/>
      <c r="OV307" s="25"/>
      <c r="OW307" s="25"/>
      <c r="OX307" s="25"/>
      <c r="OY307" s="25"/>
      <c r="OZ307" s="25"/>
      <c r="PA307" s="25"/>
      <c r="PB307" s="25"/>
      <c r="PC307" s="25"/>
      <c r="PD307" s="25"/>
      <c r="PE307" s="25"/>
      <c r="PF307" s="25"/>
      <c r="PG307" s="25"/>
      <c r="PH307" s="25"/>
      <c r="PI307" s="25"/>
      <c r="PJ307" s="25"/>
      <c r="PK307" s="25"/>
      <c r="PL307" s="25"/>
      <c r="PM307" s="25"/>
      <c r="PN307" s="25"/>
      <c r="PO307" s="25"/>
      <c r="PP307" s="25"/>
      <c r="PQ307" s="25"/>
      <c r="PR307" s="25"/>
      <c r="PS307" s="25"/>
      <c r="PT307" s="25"/>
      <c r="PU307" s="25"/>
      <c r="PV307" s="25"/>
      <c r="PW307" s="25"/>
      <c r="PX307" s="25"/>
      <c r="PY307" s="25"/>
      <c r="PZ307" s="25"/>
      <c r="QA307" s="25"/>
      <c r="QB307" s="25"/>
      <c r="QC307" s="25"/>
      <c r="QD307" s="25"/>
      <c r="QE307" s="25"/>
      <c r="QF307" s="25"/>
      <c r="QG307" s="25"/>
      <c r="QH307" s="25"/>
      <c r="QI307" s="25"/>
      <c r="QJ307" s="25"/>
      <c r="QK307" s="25"/>
      <c r="QL307" s="25"/>
      <c r="QM307" s="25"/>
      <c r="QN307" s="25"/>
      <c r="QO307" s="25"/>
      <c r="QP307" s="25"/>
      <c r="QQ307" s="25"/>
      <c r="QR307" s="25"/>
      <c r="QS307" s="25"/>
      <c r="QT307" s="25"/>
      <c r="QU307" s="25"/>
      <c r="QV307" s="25"/>
      <c r="QW307" s="25"/>
      <c r="QX307" s="25"/>
      <c r="QY307" s="25"/>
      <c r="QZ307" s="25"/>
      <c r="RA307" s="25"/>
      <c r="RB307" s="25"/>
      <c r="RC307" s="25"/>
      <c r="RD307" s="25"/>
      <c r="RE307" s="25"/>
      <c r="RF307" s="25"/>
      <c r="RG307" s="25"/>
      <c r="RH307" s="25"/>
      <c r="RI307" s="25"/>
      <c r="RJ307" s="25"/>
      <c r="RK307" s="25"/>
      <c r="RL307" s="25"/>
      <c r="RM307" s="25"/>
      <c r="RN307" s="25"/>
      <c r="RO307" s="25"/>
      <c r="RP307" s="25"/>
      <c r="RQ307" s="25"/>
      <c r="RR307" s="25"/>
      <c r="RS307" s="25"/>
      <c r="RT307" s="25"/>
      <c r="RU307" s="25"/>
      <c r="RV307" s="25"/>
      <c r="RW307" s="25"/>
      <c r="RX307" s="25"/>
      <c r="RY307" s="25"/>
      <c r="RZ307" s="25"/>
      <c r="SA307" s="25"/>
      <c r="SB307" s="25"/>
      <c r="SC307" s="25"/>
      <c r="SD307" s="25"/>
      <c r="SE307" s="25"/>
      <c r="SF307" s="25"/>
      <c r="SG307" s="25"/>
      <c r="SH307" s="25"/>
      <c r="SI307" s="25"/>
      <c r="SJ307" s="25"/>
      <c r="SK307" s="25"/>
      <c r="SL307" s="25"/>
      <c r="SM307" s="25"/>
      <c r="SN307" s="25"/>
      <c r="SO307" s="25"/>
      <c r="SP307" s="25"/>
      <c r="SQ307" s="25"/>
      <c r="SR307" s="25"/>
      <c r="SS307" s="25"/>
      <c r="ST307" s="25"/>
      <c r="SU307" s="25"/>
      <c r="SV307" s="25"/>
      <c r="SW307" s="25"/>
      <c r="SX307" s="25"/>
      <c r="SY307" s="25"/>
      <c r="SZ307" s="25"/>
      <c r="TA307" s="25"/>
      <c r="TB307" s="25"/>
      <c r="TC307" s="25"/>
      <c r="TD307" s="25"/>
      <c r="TE307" s="25"/>
      <c r="TF307" s="25"/>
      <c r="TG307" s="25"/>
      <c r="TH307" s="25"/>
      <c r="TI307" s="25"/>
      <c r="TJ307" s="25"/>
      <c r="TK307" s="25"/>
      <c r="TL307" s="25"/>
      <c r="TM307" s="25"/>
      <c r="TN307" s="25"/>
      <c r="TO307" s="25"/>
      <c r="TP307" s="25"/>
      <c r="TQ307" s="25"/>
      <c r="TR307" s="25"/>
      <c r="TS307" s="25"/>
      <c r="TT307" s="25"/>
      <c r="TU307" s="25"/>
      <c r="TV307" s="25"/>
      <c r="TW307" s="25"/>
      <c r="TX307" s="25"/>
      <c r="TY307" s="25"/>
      <c r="TZ307" s="25"/>
      <c r="UA307" s="25"/>
      <c r="UB307" s="25"/>
      <c r="UC307" s="25"/>
      <c r="UD307" s="25"/>
      <c r="UE307" s="25"/>
      <c r="UF307" s="25"/>
      <c r="UG307" s="26"/>
    </row>
    <row r="308" spans="1:553" s="169" customFormat="1" ht="32.25" customHeight="1">
      <c r="A308" s="356">
        <v>4</v>
      </c>
      <c r="B308" s="356"/>
      <c r="C308" s="430" t="s">
        <v>277</v>
      </c>
      <c r="D308" s="1211"/>
      <c r="E308" s="1211"/>
      <c r="F308" s="1212"/>
      <c r="G308" s="356"/>
      <c r="H308" s="359"/>
      <c r="I308" s="359"/>
      <c r="J308" s="357"/>
      <c r="K308" s="364"/>
      <c r="L308" s="356">
        <f>SUM(L309:L395)/2</f>
        <v>986835564.38800001</v>
      </c>
      <c r="M308" s="356"/>
      <c r="N308" s="356"/>
      <c r="O308" s="356"/>
      <c r="P308" s="356">
        <f>P312+P317+P342+P384+P387+P391</f>
        <v>986835564.38800001</v>
      </c>
      <c r="Q308" s="610"/>
      <c r="R308" s="1226"/>
      <c r="S308" s="305" t="s">
        <v>845</v>
      </c>
      <c r="T308" s="303" t="s">
        <v>1317</v>
      </c>
      <c r="U308" s="306">
        <f>H312</f>
        <v>2056</v>
      </c>
      <c r="V308" s="307">
        <f>I312</f>
        <v>2056</v>
      </c>
      <c r="W308" s="306">
        <f>SUM(W309:W316)</f>
        <v>49.7</v>
      </c>
      <c r="X308" s="306">
        <f t="shared" ref="X308:AC308" si="62">SUM(X309:X316)</f>
        <v>0</v>
      </c>
      <c r="Y308" s="306">
        <f t="shared" si="62"/>
        <v>0</v>
      </c>
      <c r="Z308" s="306">
        <f t="shared" si="62"/>
        <v>0</v>
      </c>
      <c r="AA308" s="306">
        <f t="shared" si="62"/>
        <v>1317.4</v>
      </c>
      <c r="AB308" s="306">
        <f t="shared" si="62"/>
        <v>288.89999999999998</v>
      </c>
      <c r="AC308" s="306">
        <f t="shared" si="62"/>
        <v>400</v>
      </c>
      <c r="AD308" s="454">
        <f>L312</f>
        <v>258094200</v>
      </c>
      <c r="AE308" s="454">
        <f>L317</f>
        <v>372651834.648</v>
      </c>
      <c r="AF308" s="454">
        <f>L342</f>
        <v>104571529.74000001</v>
      </c>
      <c r="AG308" s="454">
        <f>L384</f>
        <v>5500000</v>
      </c>
      <c r="AH308" s="454">
        <f>L387</f>
        <v>246018000</v>
      </c>
      <c r="AI308" s="454">
        <f>L391</f>
        <v>0</v>
      </c>
      <c r="AJ308" s="454"/>
      <c r="AK308" s="454">
        <f>SUM(AD308:AJ308)</f>
        <v>986835564.38800001</v>
      </c>
      <c r="AL308" s="301"/>
      <c r="AM308" s="163"/>
      <c r="AN308" s="163"/>
      <c r="AO308" s="164"/>
      <c r="AP308" s="164"/>
      <c r="AQ308" s="164"/>
      <c r="AR308" s="164"/>
      <c r="AS308" s="165"/>
      <c r="AT308" s="166"/>
      <c r="AU308" s="166"/>
      <c r="AV308" s="166"/>
      <c r="AW308" s="166"/>
      <c r="AX308" s="166"/>
      <c r="AY308" s="166"/>
      <c r="AZ308" s="166"/>
      <c r="BA308" s="166"/>
      <c r="BB308" s="166"/>
      <c r="BC308" s="166"/>
      <c r="BD308" s="166"/>
      <c r="BE308" s="166"/>
      <c r="BF308" s="166"/>
      <c r="BG308" s="166"/>
      <c r="BH308" s="166"/>
      <c r="BI308" s="166"/>
      <c r="BJ308" s="166"/>
      <c r="BK308" s="166"/>
      <c r="BL308" s="166"/>
      <c r="BM308" s="166"/>
      <c r="BN308" s="166"/>
      <c r="BO308" s="166"/>
      <c r="BP308" s="167"/>
      <c r="BQ308" s="167"/>
      <c r="BR308" s="167"/>
      <c r="BS308" s="167"/>
      <c r="BT308" s="167"/>
      <c r="BU308" s="167"/>
      <c r="BV308" s="167"/>
      <c r="BW308" s="167"/>
      <c r="BX308" s="167"/>
      <c r="BY308" s="167"/>
      <c r="BZ308" s="167"/>
      <c r="CA308" s="167"/>
      <c r="CB308" s="167"/>
      <c r="CC308" s="167"/>
      <c r="CD308" s="167"/>
      <c r="CE308" s="167"/>
      <c r="CF308" s="167"/>
      <c r="CG308" s="167"/>
      <c r="CH308" s="167"/>
      <c r="CI308" s="167"/>
      <c r="CJ308" s="167"/>
      <c r="CK308" s="167"/>
      <c r="CL308" s="167"/>
      <c r="CM308" s="167"/>
      <c r="CN308" s="167"/>
      <c r="CO308" s="167"/>
      <c r="CP308" s="167"/>
      <c r="CQ308" s="167"/>
      <c r="CR308" s="167"/>
      <c r="CS308" s="167"/>
      <c r="CT308" s="167"/>
      <c r="CU308" s="167"/>
      <c r="CV308" s="167"/>
      <c r="CW308" s="167"/>
      <c r="CX308" s="167"/>
      <c r="CY308" s="167"/>
      <c r="CZ308" s="167"/>
      <c r="DA308" s="167"/>
      <c r="DB308" s="167"/>
      <c r="DC308" s="167"/>
      <c r="DD308" s="167"/>
      <c r="DE308" s="167"/>
      <c r="DF308" s="167"/>
      <c r="DG308" s="167"/>
      <c r="DH308" s="167"/>
      <c r="DI308" s="167"/>
      <c r="DJ308" s="167"/>
      <c r="DK308" s="167"/>
      <c r="DL308" s="167"/>
      <c r="DM308" s="167"/>
      <c r="DN308" s="167"/>
      <c r="DO308" s="167"/>
      <c r="DP308" s="167"/>
      <c r="DQ308" s="167"/>
      <c r="DR308" s="167"/>
      <c r="DS308" s="167"/>
      <c r="DT308" s="167"/>
      <c r="DU308" s="167"/>
      <c r="DV308" s="167"/>
      <c r="DW308" s="167"/>
      <c r="DX308" s="167"/>
      <c r="DY308" s="167"/>
      <c r="DZ308" s="167"/>
      <c r="EA308" s="167"/>
      <c r="EB308" s="167"/>
      <c r="EC308" s="167"/>
      <c r="ED308" s="167"/>
      <c r="EE308" s="167"/>
      <c r="EF308" s="167"/>
      <c r="EG308" s="167"/>
      <c r="EH308" s="167"/>
      <c r="EI308" s="167"/>
      <c r="EJ308" s="167"/>
      <c r="EK308" s="167"/>
      <c r="EL308" s="167"/>
      <c r="EM308" s="167"/>
      <c r="EN308" s="167"/>
      <c r="EO308" s="167"/>
      <c r="EP308" s="167"/>
      <c r="EQ308" s="167"/>
      <c r="ER308" s="167"/>
      <c r="ES308" s="167"/>
      <c r="ET308" s="167"/>
      <c r="EU308" s="167"/>
      <c r="EV308" s="167"/>
      <c r="EW308" s="167"/>
      <c r="EX308" s="167"/>
      <c r="EY308" s="167"/>
      <c r="EZ308" s="167"/>
      <c r="FA308" s="167"/>
      <c r="FB308" s="167"/>
      <c r="FC308" s="167"/>
      <c r="FD308" s="167"/>
      <c r="FE308" s="167"/>
      <c r="FF308" s="167"/>
      <c r="FG308" s="167"/>
      <c r="FH308" s="167"/>
      <c r="FI308" s="167"/>
      <c r="FJ308" s="167"/>
      <c r="FK308" s="167"/>
      <c r="FL308" s="167"/>
      <c r="FM308" s="167"/>
      <c r="FN308" s="167"/>
      <c r="FO308" s="167"/>
      <c r="FP308" s="167"/>
      <c r="FQ308" s="167"/>
      <c r="FR308" s="167"/>
      <c r="FS308" s="167"/>
      <c r="FT308" s="167"/>
      <c r="FU308" s="167"/>
      <c r="FV308" s="167"/>
      <c r="FW308" s="167"/>
      <c r="FX308" s="167"/>
      <c r="FY308" s="167"/>
      <c r="FZ308" s="167"/>
      <c r="GA308" s="167"/>
      <c r="GB308" s="167"/>
      <c r="GC308" s="167"/>
      <c r="GD308" s="167"/>
      <c r="GE308" s="167"/>
      <c r="GF308" s="167"/>
      <c r="GG308" s="167"/>
      <c r="GH308" s="167"/>
      <c r="GI308" s="167"/>
      <c r="GJ308" s="167"/>
      <c r="GK308" s="167"/>
      <c r="GL308" s="167"/>
      <c r="GM308" s="167"/>
      <c r="GN308" s="167"/>
      <c r="GO308" s="167"/>
      <c r="GP308" s="167"/>
      <c r="GQ308" s="167"/>
      <c r="GR308" s="167"/>
      <c r="GS308" s="167"/>
      <c r="GT308" s="167"/>
      <c r="GU308" s="167"/>
      <c r="GV308" s="167"/>
      <c r="GW308" s="167"/>
      <c r="GX308" s="167"/>
      <c r="GY308" s="167"/>
      <c r="GZ308" s="167"/>
      <c r="HA308" s="167"/>
      <c r="HB308" s="167"/>
      <c r="HC308" s="167"/>
      <c r="HD308" s="167"/>
      <c r="HE308" s="167"/>
      <c r="HF308" s="167"/>
      <c r="HG308" s="167"/>
      <c r="HH308" s="167"/>
      <c r="HI308" s="167"/>
      <c r="HJ308" s="167"/>
      <c r="HK308" s="167"/>
      <c r="HL308" s="167"/>
      <c r="HM308" s="167"/>
      <c r="HN308" s="167"/>
      <c r="HO308" s="167"/>
      <c r="HP308" s="167"/>
      <c r="HQ308" s="167"/>
      <c r="HR308" s="167"/>
      <c r="HS308" s="167"/>
      <c r="HT308" s="167"/>
      <c r="HU308" s="167"/>
      <c r="HV308" s="167"/>
      <c r="HW308" s="167"/>
      <c r="HX308" s="167"/>
      <c r="HY308" s="167"/>
      <c r="HZ308" s="167"/>
      <c r="IA308" s="167"/>
      <c r="IB308" s="167"/>
      <c r="IC308" s="167"/>
      <c r="ID308" s="167"/>
      <c r="IE308" s="167"/>
      <c r="IF308" s="167"/>
      <c r="IG308" s="167"/>
      <c r="IH308" s="167"/>
      <c r="II308" s="167"/>
      <c r="IJ308" s="167"/>
      <c r="IK308" s="167"/>
      <c r="IL308" s="167"/>
      <c r="IM308" s="167"/>
      <c r="IN308" s="167"/>
      <c r="IO308" s="167"/>
      <c r="IP308" s="167"/>
      <c r="IQ308" s="167"/>
      <c r="IR308" s="167"/>
      <c r="IS308" s="167"/>
      <c r="IT308" s="167"/>
      <c r="IU308" s="167"/>
      <c r="IV308" s="167"/>
      <c r="IW308" s="167"/>
      <c r="IX308" s="167"/>
      <c r="IY308" s="167"/>
      <c r="IZ308" s="167"/>
      <c r="JA308" s="167"/>
      <c r="JB308" s="167"/>
      <c r="JC308" s="167"/>
      <c r="JD308" s="167"/>
      <c r="JE308" s="167"/>
      <c r="JF308" s="167"/>
      <c r="JG308" s="167"/>
      <c r="JH308" s="167"/>
      <c r="JI308" s="167"/>
      <c r="JJ308" s="167"/>
      <c r="JK308" s="167"/>
      <c r="JL308" s="167"/>
      <c r="JM308" s="167"/>
      <c r="JN308" s="167"/>
      <c r="JO308" s="167"/>
      <c r="JP308" s="167"/>
      <c r="JQ308" s="167"/>
      <c r="JR308" s="167"/>
      <c r="JS308" s="167"/>
      <c r="JT308" s="167"/>
      <c r="JU308" s="167"/>
      <c r="JV308" s="167"/>
      <c r="JW308" s="167"/>
      <c r="JX308" s="167"/>
      <c r="JY308" s="167"/>
      <c r="JZ308" s="167"/>
      <c r="KA308" s="167"/>
      <c r="KB308" s="167"/>
      <c r="KC308" s="167"/>
      <c r="KD308" s="167"/>
      <c r="KE308" s="167"/>
      <c r="KF308" s="167"/>
      <c r="KG308" s="167"/>
      <c r="KH308" s="167"/>
      <c r="KI308" s="167"/>
      <c r="KJ308" s="167"/>
      <c r="KK308" s="167"/>
      <c r="KL308" s="167"/>
      <c r="KM308" s="167"/>
      <c r="KN308" s="167"/>
      <c r="KO308" s="167"/>
      <c r="KP308" s="167"/>
      <c r="KQ308" s="167"/>
      <c r="KR308" s="167"/>
      <c r="KS308" s="167"/>
      <c r="KT308" s="167"/>
      <c r="KU308" s="167"/>
      <c r="KV308" s="167"/>
      <c r="KW308" s="167"/>
      <c r="KX308" s="167"/>
      <c r="KY308" s="167"/>
      <c r="KZ308" s="167"/>
      <c r="LA308" s="167"/>
      <c r="LB308" s="167"/>
      <c r="LC308" s="167"/>
      <c r="LD308" s="167"/>
      <c r="LE308" s="167"/>
      <c r="LF308" s="167"/>
      <c r="LG308" s="167"/>
      <c r="LH308" s="167"/>
      <c r="LI308" s="167"/>
      <c r="LJ308" s="167"/>
      <c r="LK308" s="167"/>
      <c r="LL308" s="167"/>
      <c r="LM308" s="167"/>
      <c r="LN308" s="167"/>
      <c r="LO308" s="167"/>
      <c r="LP308" s="167"/>
      <c r="LQ308" s="167"/>
      <c r="LR308" s="167"/>
      <c r="LS308" s="167"/>
      <c r="LT308" s="167"/>
      <c r="LU308" s="167"/>
      <c r="LV308" s="167"/>
      <c r="LW308" s="167"/>
      <c r="LX308" s="167"/>
      <c r="LY308" s="167"/>
      <c r="LZ308" s="167"/>
      <c r="MA308" s="167"/>
      <c r="MB308" s="167"/>
      <c r="MC308" s="167"/>
      <c r="MD308" s="167"/>
      <c r="ME308" s="167"/>
      <c r="MF308" s="167"/>
      <c r="MG308" s="167"/>
      <c r="MH308" s="167"/>
      <c r="MI308" s="167"/>
      <c r="MJ308" s="167"/>
      <c r="MK308" s="167"/>
      <c r="ML308" s="167"/>
      <c r="MM308" s="167"/>
      <c r="MN308" s="167"/>
      <c r="MO308" s="167"/>
      <c r="MP308" s="167"/>
      <c r="MQ308" s="167"/>
      <c r="MR308" s="167"/>
      <c r="MS308" s="167"/>
      <c r="MT308" s="167"/>
      <c r="MU308" s="167"/>
      <c r="MV308" s="167"/>
      <c r="MW308" s="167"/>
      <c r="MX308" s="167"/>
      <c r="MY308" s="167"/>
      <c r="MZ308" s="167"/>
      <c r="NA308" s="167"/>
      <c r="NB308" s="167"/>
      <c r="NC308" s="167"/>
      <c r="ND308" s="167"/>
      <c r="NE308" s="167"/>
      <c r="NF308" s="167"/>
      <c r="NG308" s="167"/>
      <c r="NH308" s="167"/>
      <c r="NI308" s="167"/>
      <c r="NJ308" s="167"/>
      <c r="NK308" s="167"/>
      <c r="NL308" s="167"/>
      <c r="NM308" s="167"/>
      <c r="NN308" s="167"/>
      <c r="NO308" s="167"/>
      <c r="NP308" s="167"/>
      <c r="NQ308" s="167"/>
      <c r="NR308" s="167"/>
      <c r="NS308" s="167"/>
      <c r="NT308" s="167"/>
      <c r="NU308" s="167"/>
      <c r="NV308" s="167"/>
      <c r="NW308" s="167"/>
      <c r="NX308" s="167"/>
      <c r="NY308" s="167"/>
      <c r="NZ308" s="167"/>
      <c r="OA308" s="167"/>
      <c r="OB308" s="167"/>
      <c r="OC308" s="167"/>
      <c r="OD308" s="167"/>
      <c r="OE308" s="167"/>
      <c r="OF308" s="167"/>
      <c r="OG308" s="167"/>
      <c r="OH308" s="167"/>
      <c r="OI308" s="167"/>
      <c r="OJ308" s="167"/>
      <c r="OK308" s="167"/>
      <c r="OL308" s="167"/>
      <c r="OM308" s="167"/>
      <c r="ON308" s="167"/>
      <c r="OO308" s="167"/>
      <c r="OP308" s="167"/>
      <c r="OQ308" s="167"/>
      <c r="OR308" s="167"/>
      <c r="OS308" s="167"/>
      <c r="OT308" s="167"/>
      <c r="OU308" s="167"/>
      <c r="OV308" s="167"/>
      <c r="OW308" s="167"/>
      <c r="OX308" s="167"/>
      <c r="OY308" s="167"/>
      <c r="OZ308" s="167"/>
      <c r="PA308" s="167"/>
      <c r="PB308" s="167"/>
      <c r="PC308" s="167"/>
      <c r="PD308" s="167"/>
      <c r="PE308" s="167"/>
      <c r="PF308" s="167"/>
      <c r="PG308" s="167"/>
      <c r="PH308" s="167"/>
      <c r="PI308" s="167"/>
      <c r="PJ308" s="167"/>
      <c r="PK308" s="167"/>
      <c r="PL308" s="167"/>
      <c r="PM308" s="167"/>
      <c r="PN308" s="167"/>
      <c r="PO308" s="167"/>
      <c r="PP308" s="167"/>
      <c r="PQ308" s="167"/>
      <c r="PR308" s="167"/>
      <c r="PS308" s="167"/>
      <c r="PT308" s="167"/>
      <c r="PU308" s="167"/>
      <c r="PV308" s="167"/>
      <c r="PW308" s="167"/>
      <c r="PX308" s="167"/>
      <c r="PY308" s="167"/>
      <c r="PZ308" s="167"/>
      <c r="QA308" s="167"/>
      <c r="QB308" s="167"/>
      <c r="QC308" s="167"/>
      <c r="QD308" s="167"/>
      <c r="QE308" s="167"/>
      <c r="QF308" s="167"/>
      <c r="QG308" s="167"/>
      <c r="QH308" s="167"/>
      <c r="QI308" s="167"/>
      <c r="QJ308" s="167"/>
      <c r="QK308" s="167"/>
      <c r="QL308" s="167"/>
      <c r="QM308" s="167"/>
      <c r="QN308" s="167"/>
      <c r="QO308" s="167"/>
      <c r="QP308" s="167"/>
      <c r="QQ308" s="167"/>
      <c r="QR308" s="167"/>
      <c r="QS308" s="167"/>
      <c r="QT308" s="167"/>
      <c r="QU308" s="167"/>
      <c r="QV308" s="167"/>
      <c r="QW308" s="167"/>
      <c r="QX308" s="167"/>
      <c r="QY308" s="167"/>
      <c r="QZ308" s="167"/>
      <c r="RA308" s="167"/>
      <c r="RB308" s="167"/>
      <c r="RC308" s="167"/>
      <c r="RD308" s="167"/>
      <c r="RE308" s="167"/>
      <c r="RF308" s="167"/>
      <c r="RG308" s="167"/>
      <c r="RH308" s="167"/>
      <c r="RI308" s="167"/>
      <c r="RJ308" s="167"/>
      <c r="RK308" s="167"/>
      <c r="RL308" s="167"/>
      <c r="RM308" s="167"/>
      <c r="RN308" s="167"/>
      <c r="RO308" s="167"/>
      <c r="RP308" s="167"/>
      <c r="RQ308" s="167"/>
      <c r="RR308" s="167"/>
      <c r="RS308" s="167"/>
      <c r="RT308" s="167"/>
      <c r="RU308" s="167"/>
      <c r="RV308" s="167"/>
      <c r="RW308" s="167"/>
      <c r="RX308" s="167"/>
      <c r="RY308" s="167"/>
      <c r="RZ308" s="167"/>
      <c r="SA308" s="167"/>
      <c r="SB308" s="167"/>
      <c r="SC308" s="167"/>
      <c r="SD308" s="167"/>
      <c r="SE308" s="167"/>
      <c r="SF308" s="167"/>
      <c r="SG308" s="167"/>
      <c r="SH308" s="167"/>
      <c r="SI308" s="167"/>
      <c r="SJ308" s="167"/>
      <c r="SK308" s="167"/>
      <c r="SL308" s="167"/>
      <c r="SM308" s="167"/>
      <c r="SN308" s="167"/>
      <c r="SO308" s="167"/>
      <c r="SP308" s="167"/>
      <c r="SQ308" s="167"/>
      <c r="SR308" s="167"/>
      <c r="SS308" s="167"/>
      <c r="ST308" s="167"/>
      <c r="SU308" s="167"/>
      <c r="SV308" s="167"/>
      <c r="SW308" s="167"/>
      <c r="SX308" s="167"/>
      <c r="SY308" s="167"/>
      <c r="SZ308" s="167"/>
      <c r="TA308" s="167"/>
      <c r="TB308" s="167"/>
      <c r="TC308" s="167"/>
      <c r="TD308" s="167"/>
      <c r="TE308" s="167"/>
      <c r="TF308" s="167"/>
      <c r="TG308" s="167"/>
      <c r="TH308" s="167"/>
      <c r="TI308" s="167"/>
      <c r="TJ308" s="167"/>
      <c r="TK308" s="167"/>
      <c r="TL308" s="167"/>
      <c r="TM308" s="167"/>
      <c r="TN308" s="167"/>
      <c r="TO308" s="167"/>
      <c r="TP308" s="167"/>
      <c r="TQ308" s="167"/>
      <c r="TR308" s="167"/>
      <c r="TS308" s="167"/>
      <c r="TT308" s="167"/>
      <c r="TU308" s="167"/>
      <c r="TV308" s="167"/>
      <c r="TW308" s="167"/>
      <c r="TX308" s="167"/>
      <c r="TY308" s="167"/>
      <c r="TZ308" s="167"/>
      <c r="UA308" s="167"/>
      <c r="UB308" s="167"/>
      <c r="UC308" s="167"/>
      <c r="UD308" s="167"/>
      <c r="UE308" s="167"/>
      <c r="UF308" s="167"/>
      <c r="UG308" s="168"/>
    </row>
    <row r="309" spans="1:553" ht="28.5" customHeight="1">
      <c r="A309" s="356" t="s">
        <v>15</v>
      </c>
      <c r="B309" s="366"/>
      <c r="C309" s="1404" t="s">
        <v>1045</v>
      </c>
      <c r="D309" s="1389"/>
      <c r="E309" s="1389"/>
      <c r="F309" s="1390"/>
      <c r="G309" s="366"/>
      <c r="H309" s="370"/>
      <c r="I309" s="439"/>
      <c r="J309" s="368"/>
      <c r="K309" s="371"/>
      <c r="L309" s="366"/>
      <c r="M309" s="366"/>
      <c r="N309" s="366"/>
      <c r="O309" s="366"/>
      <c r="P309" s="366"/>
      <c r="Q309" s="812"/>
      <c r="R309" s="1226"/>
      <c r="S309" s="305"/>
      <c r="T309" s="303"/>
      <c r="U309" s="306"/>
      <c r="V309" s="307"/>
      <c r="W309" s="306"/>
      <c r="X309" s="306"/>
      <c r="Y309" s="306"/>
      <c r="Z309" s="306"/>
      <c r="AA309" s="306"/>
      <c r="AB309" s="306"/>
      <c r="AC309" s="449"/>
      <c r="AD309" s="449"/>
      <c r="AE309" s="449"/>
      <c r="AF309" s="449"/>
      <c r="AG309" s="449"/>
      <c r="AH309" s="449"/>
      <c r="AI309" s="449"/>
      <c r="AJ309" s="449"/>
      <c r="AK309" s="450"/>
      <c r="AL309" s="105"/>
      <c r="AM309" s="30"/>
      <c r="AN309" s="30"/>
      <c r="AO309" s="30"/>
      <c r="AP309" s="30"/>
      <c r="AQ309" s="30"/>
      <c r="AR309" s="30"/>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25"/>
      <c r="BQ309" s="25"/>
      <c r="BR309" s="25"/>
      <c r="BS309" s="25"/>
      <c r="BT309" s="25"/>
      <c r="BU309" s="25"/>
      <c r="BV309" s="25"/>
      <c r="BW309" s="25"/>
      <c r="BX309" s="25"/>
      <c r="BY309" s="25"/>
      <c r="BZ309" s="25"/>
      <c r="CA309" s="25"/>
      <c r="CB309" s="25"/>
      <c r="CC309" s="25"/>
      <c r="CD309" s="25"/>
      <c r="CE309" s="25"/>
      <c r="CF309" s="25"/>
      <c r="CG309" s="25"/>
      <c r="CH309" s="25"/>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c r="DT309" s="25"/>
      <c r="DU309" s="25"/>
      <c r="DV309" s="25"/>
      <c r="DW309" s="25"/>
      <c r="DX309" s="25"/>
      <c r="DY309" s="25"/>
      <c r="DZ309" s="25"/>
      <c r="EA309" s="25"/>
      <c r="EB309" s="25"/>
      <c r="EC309" s="25"/>
      <c r="ED309" s="25"/>
      <c r="EE309" s="25"/>
      <c r="EF309" s="25"/>
      <c r="EG309" s="25"/>
      <c r="EH309" s="25"/>
      <c r="EI309" s="25"/>
      <c r="EJ309" s="25"/>
      <c r="EK309" s="25"/>
      <c r="EL309" s="25"/>
      <c r="EM309" s="25"/>
      <c r="EN309" s="25"/>
      <c r="EO309" s="25"/>
      <c r="EP309" s="25"/>
      <c r="EQ309" s="25"/>
      <c r="ER309" s="25"/>
      <c r="ES309" s="25"/>
      <c r="ET309" s="25"/>
      <c r="EU309" s="25"/>
      <c r="EV309" s="25"/>
      <c r="EW309" s="25"/>
      <c r="EX309" s="25"/>
      <c r="EY309" s="25"/>
      <c r="EZ309" s="25"/>
      <c r="FA309" s="25"/>
      <c r="FB309" s="25"/>
      <c r="FC309" s="25"/>
      <c r="FD309" s="25"/>
      <c r="FE309" s="25"/>
      <c r="FF309" s="25"/>
      <c r="FG309" s="25"/>
      <c r="FH309" s="25"/>
      <c r="FI309" s="25"/>
      <c r="FJ309" s="25"/>
      <c r="FK309" s="25"/>
      <c r="FL309" s="25"/>
      <c r="FM309" s="25"/>
      <c r="FN309" s="25"/>
      <c r="FO309" s="25"/>
      <c r="FP309" s="25"/>
      <c r="FQ309" s="25"/>
      <c r="FR309" s="25"/>
      <c r="FS309" s="25"/>
      <c r="FT309" s="25"/>
      <c r="FU309" s="25"/>
      <c r="FV309" s="25"/>
      <c r="FW309" s="25"/>
      <c r="FX309" s="25"/>
      <c r="FY309" s="25"/>
      <c r="FZ309" s="25"/>
      <c r="GA309" s="25"/>
      <c r="GB309" s="25"/>
      <c r="GC309" s="25"/>
      <c r="GD309" s="25"/>
      <c r="GE309" s="25"/>
      <c r="GF309" s="25"/>
      <c r="GG309" s="25"/>
      <c r="GH309" s="25"/>
      <c r="GI309" s="25"/>
      <c r="GJ309" s="25"/>
      <c r="GK309" s="25"/>
      <c r="GL309" s="25"/>
      <c r="GM309" s="25"/>
      <c r="GN309" s="25"/>
      <c r="GO309" s="25"/>
      <c r="GP309" s="25"/>
      <c r="GQ309" s="25"/>
      <c r="GR309" s="25"/>
      <c r="GS309" s="25"/>
      <c r="GT309" s="25"/>
      <c r="GU309" s="25"/>
      <c r="GV309" s="25"/>
      <c r="GW309" s="25"/>
      <c r="GX309" s="25"/>
      <c r="GY309" s="25"/>
      <c r="GZ309" s="25"/>
      <c r="HA309" s="25"/>
      <c r="HB309" s="25"/>
      <c r="HC309" s="25"/>
      <c r="HD309" s="25"/>
      <c r="HE309" s="25"/>
      <c r="HF309" s="25"/>
      <c r="HG309" s="25"/>
      <c r="HH309" s="25"/>
      <c r="HI309" s="25"/>
      <c r="HJ309" s="25"/>
      <c r="HK309" s="25"/>
      <c r="HL309" s="25"/>
      <c r="HM309" s="25"/>
      <c r="HN309" s="25"/>
      <c r="HO309" s="25"/>
      <c r="HP309" s="25"/>
      <c r="HQ309" s="25"/>
      <c r="HR309" s="25"/>
      <c r="HS309" s="25"/>
      <c r="HT309" s="25"/>
      <c r="HU309" s="25"/>
      <c r="HV309" s="25"/>
      <c r="HW309" s="25"/>
      <c r="HX309" s="25"/>
      <c r="HY309" s="25"/>
      <c r="HZ309" s="25"/>
      <c r="IA309" s="25"/>
      <c r="IB309" s="25"/>
      <c r="IC309" s="25"/>
      <c r="ID309" s="25"/>
      <c r="IE309" s="25"/>
      <c r="IF309" s="25"/>
      <c r="IG309" s="25"/>
      <c r="IH309" s="25"/>
      <c r="II309" s="25"/>
      <c r="IJ309" s="25"/>
      <c r="IK309" s="25"/>
      <c r="IL309" s="25"/>
      <c r="IM309" s="25"/>
      <c r="IN309" s="25"/>
      <c r="IO309" s="25"/>
      <c r="IP309" s="25"/>
      <c r="IQ309" s="25"/>
      <c r="IR309" s="25"/>
      <c r="IS309" s="25"/>
      <c r="IT309" s="25"/>
      <c r="IU309" s="25"/>
      <c r="IV309" s="25"/>
      <c r="IW309" s="25"/>
      <c r="IX309" s="25"/>
      <c r="IY309" s="25"/>
      <c r="IZ309" s="25"/>
      <c r="JA309" s="25"/>
      <c r="JB309" s="25"/>
      <c r="JC309" s="25"/>
      <c r="JD309" s="25"/>
      <c r="JE309" s="25"/>
      <c r="JF309" s="25"/>
      <c r="JG309" s="25"/>
      <c r="JH309" s="25"/>
      <c r="JI309" s="25"/>
      <c r="JJ309" s="25"/>
      <c r="JK309" s="25"/>
      <c r="JL309" s="25"/>
      <c r="JM309" s="25"/>
      <c r="JN309" s="25"/>
      <c r="JO309" s="25"/>
      <c r="JP309" s="25"/>
      <c r="JQ309" s="25"/>
      <c r="JR309" s="25"/>
      <c r="JS309" s="25"/>
      <c r="JT309" s="25"/>
      <c r="JU309" s="25"/>
      <c r="JV309" s="25"/>
      <c r="JW309" s="25"/>
      <c r="JX309" s="25"/>
      <c r="JY309" s="25"/>
      <c r="JZ309" s="25"/>
      <c r="KA309" s="25"/>
      <c r="KB309" s="25"/>
      <c r="KC309" s="25"/>
      <c r="KD309" s="25"/>
      <c r="KE309" s="25"/>
      <c r="KF309" s="25"/>
      <c r="KG309" s="25"/>
      <c r="KH309" s="25"/>
      <c r="KI309" s="25"/>
      <c r="KJ309" s="25"/>
      <c r="KK309" s="25"/>
      <c r="KL309" s="25"/>
      <c r="KM309" s="25"/>
      <c r="KN309" s="25"/>
      <c r="KO309" s="25"/>
      <c r="KP309" s="25"/>
      <c r="KQ309" s="25"/>
      <c r="KR309" s="25"/>
      <c r="KS309" s="25"/>
      <c r="KT309" s="25"/>
      <c r="KU309" s="25"/>
      <c r="KV309" s="25"/>
      <c r="KW309" s="25"/>
      <c r="KX309" s="25"/>
      <c r="KY309" s="25"/>
      <c r="KZ309" s="25"/>
      <c r="LA309" s="25"/>
      <c r="LB309" s="25"/>
      <c r="LC309" s="25"/>
      <c r="LD309" s="25"/>
      <c r="LE309" s="25"/>
      <c r="LF309" s="25"/>
      <c r="LG309" s="25"/>
      <c r="LH309" s="25"/>
      <c r="LI309" s="25"/>
      <c r="LJ309" s="25"/>
      <c r="LK309" s="25"/>
      <c r="LL309" s="25"/>
      <c r="LM309" s="25"/>
      <c r="LN309" s="25"/>
      <c r="LO309" s="25"/>
      <c r="LP309" s="25"/>
      <c r="LQ309" s="25"/>
      <c r="LR309" s="25"/>
      <c r="LS309" s="25"/>
      <c r="LT309" s="25"/>
      <c r="LU309" s="25"/>
      <c r="LV309" s="25"/>
      <c r="LW309" s="25"/>
      <c r="LX309" s="25"/>
      <c r="LY309" s="25"/>
      <c r="LZ309" s="25"/>
      <c r="MA309" s="25"/>
      <c r="MB309" s="25"/>
      <c r="MC309" s="25"/>
      <c r="MD309" s="25"/>
      <c r="ME309" s="25"/>
      <c r="MF309" s="25"/>
      <c r="MG309" s="25"/>
      <c r="MH309" s="25"/>
      <c r="MI309" s="25"/>
      <c r="MJ309" s="25"/>
      <c r="MK309" s="25"/>
      <c r="ML309" s="25"/>
      <c r="MM309" s="25"/>
      <c r="MN309" s="25"/>
      <c r="MO309" s="25"/>
      <c r="MP309" s="25"/>
      <c r="MQ309" s="25"/>
      <c r="MR309" s="25"/>
      <c r="MS309" s="25"/>
      <c r="MT309" s="25"/>
      <c r="MU309" s="25"/>
      <c r="MV309" s="25"/>
      <c r="MW309" s="25"/>
      <c r="MX309" s="25"/>
      <c r="MY309" s="25"/>
      <c r="MZ309" s="25"/>
      <c r="NA309" s="25"/>
      <c r="NB309" s="25"/>
      <c r="NC309" s="25"/>
      <c r="ND309" s="25"/>
      <c r="NE309" s="25"/>
      <c r="NF309" s="25"/>
      <c r="NG309" s="25"/>
      <c r="NH309" s="25"/>
      <c r="NI309" s="25"/>
      <c r="NJ309" s="25"/>
      <c r="NK309" s="25"/>
      <c r="NL309" s="25"/>
      <c r="NM309" s="25"/>
      <c r="NN309" s="25"/>
      <c r="NO309" s="25"/>
      <c r="NP309" s="25"/>
      <c r="NQ309" s="25"/>
      <c r="NR309" s="25"/>
      <c r="NS309" s="25"/>
      <c r="NT309" s="25"/>
      <c r="NU309" s="25"/>
      <c r="NV309" s="25"/>
      <c r="NW309" s="25"/>
      <c r="NX309" s="25"/>
      <c r="NY309" s="25"/>
      <c r="NZ309" s="25"/>
      <c r="OA309" s="25"/>
      <c r="OB309" s="25"/>
      <c r="OC309" s="25"/>
      <c r="OD309" s="25"/>
      <c r="OE309" s="25"/>
      <c r="OF309" s="25"/>
      <c r="OG309" s="25"/>
      <c r="OH309" s="25"/>
      <c r="OI309" s="25"/>
      <c r="OJ309" s="25"/>
      <c r="OK309" s="25"/>
      <c r="OL309" s="25"/>
      <c r="OM309" s="25"/>
      <c r="ON309" s="25"/>
      <c r="OO309" s="25"/>
      <c r="OP309" s="25"/>
      <c r="OQ309" s="25"/>
      <c r="OR309" s="25"/>
      <c r="OS309" s="25"/>
      <c r="OT309" s="25"/>
      <c r="OU309" s="25"/>
      <c r="OV309" s="25"/>
      <c r="OW309" s="25"/>
      <c r="OX309" s="25"/>
      <c r="OY309" s="25"/>
      <c r="OZ309" s="25"/>
      <c r="PA309" s="25"/>
      <c r="PB309" s="25"/>
      <c r="PC309" s="25"/>
      <c r="PD309" s="25"/>
      <c r="PE309" s="25"/>
      <c r="PF309" s="25"/>
      <c r="PG309" s="25"/>
      <c r="PH309" s="25"/>
      <c r="PI309" s="25"/>
      <c r="PJ309" s="25"/>
      <c r="PK309" s="25"/>
      <c r="PL309" s="25"/>
      <c r="PM309" s="25"/>
      <c r="PN309" s="25"/>
      <c r="PO309" s="25"/>
      <c r="PP309" s="25"/>
      <c r="PQ309" s="25"/>
      <c r="PR309" s="25"/>
      <c r="PS309" s="25"/>
      <c r="PT309" s="25"/>
      <c r="PU309" s="25"/>
      <c r="PV309" s="25"/>
      <c r="PW309" s="25"/>
      <c r="PX309" s="25"/>
      <c r="PY309" s="25"/>
      <c r="PZ309" s="25"/>
      <c r="QA309" s="25"/>
      <c r="QB309" s="25"/>
      <c r="QC309" s="25"/>
      <c r="QD309" s="25"/>
      <c r="QE309" s="25"/>
      <c r="QF309" s="25"/>
      <c r="QG309" s="25"/>
      <c r="QH309" s="25"/>
      <c r="QI309" s="25"/>
      <c r="QJ309" s="25"/>
      <c r="QK309" s="25"/>
      <c r="QL309" s="25"/>
      <c r="QM309" s="25"/>
      <c r="QN309" s="25"/>
      <c r="QO309" s="25"/>
      <c r="QP309" s="25"/>
      <c r="QQ309" s="25"/>
      <c r="QR309" s="25"/>
      <c r="QS309" s="25"/>
      <c r="QT309" s="25"/>
      <c r="QU309" s="25"/>
      <c r="QV309" s="25"/>
      <c r="QW309" s="25"/>
      <c r="QX309" s="25"/>
      <c r="QY309" s="25"/>
      <c r="QZ309" s="25"/>
      <c r="RA309" s="25"/>
      <c r="RB309" s="25"/>
      <c r="RC309" s="25"/>
      <c r="RD309" s="25"/>
      <c r="RE309" s="25"/>
      <c r="RF309" s="25"/>
      <c r="RG309" s="25"/>
      <c r="RH309" s="25"/>
      <c r="RI309" s="25"/>
      <c r="RJ309" s="25"/>
      <c r="RK309" s="25"/>
      <c r="RL309" s="25"/>
      <c r="RM309" s="25"/>
      <c r="RN309" s="25"/>
      <c r="RO309" s="25"/>
      <c r="RP309" s="25"/>
      <c r="RQ309" s="25"/>
      <c r="RR309" s="25"/>
      <c r="RS309" s="25"/>
      <c r="RT309" s="25"/>
      <c r="RU309" s="25"/>
      <c r="RV309" s="25"/>
      <c r="RW309" s="25"/>
      <c r="RX309" s="25"/>
      <c r="RY309" s="25"/>
      <c r="RZ309" s="25"/>
      <c r="SA309" s="25"/>
      <c r="SB309" s="25"/>
      <c r="SC309" s="25"/>
      <c r="SD309" s="25"/>
      <c r="SE309" s="25"/>
      <c r="SF309" s="25"/>
      <c r="SG309" s="25"/>
      <c r="SH309" s="25"/>
      <c r="SI309" s="25"/>
      <c r="SJ309" s="25"/>
      <c r="SK309" s="25"/>
      <c r="SL309" s="25"/>
      <c r="SM309" s="25"/>
      <c r="SN309" s="25"/>
      <c r="SO309" s="25"/>
      <c r="SP309" s="25"/>
      <c r="SQ309" s="25"/>
      <c r="SR309" s="25"/>
      <c r="SS309" s="25"/>
      <c r="ST309" s="25"/>
      <c r="SU309" s="25"/>
      <c r="SV309" s="25"/>
      <c r="SW309" s="25"/>
      <c r="SX309" s="25"/>
      <c r="SY309" s="25"/>
      <c r="SZ309" s="25"/>
      <c r="TA309" s="25"/>
      <c r="TB309" s="25"/>
      <c r="TC309" s="25"/>
      <c r="TD309" s="25"/>
      <c r="TE309" s="25"/>
      <c r="TF309" s="25"/>
      <c r="TG309" s="25"/>
      <c r="TH309" s="25"/>
      <c r="TI309" s="25"/>
      <c r="TJ309" s="25"/>
      <c r="TK309" s="25"/>
      <c r="TL309" s="25"/>
      <c r="TM309" s="25"/>
      <c r="TN309" s="25"/>
      <c r="TO309" s="25"/>
      <c r="TP309" s="25"/>
      <c r="TQ309" s="25"/>
      <c r="TR309" s="25"/>
      <c r="TS309" s="25"/>
      <c r="TT309" s="25"/>
      <c r="TU309" s="25"/>
      <c r="TV309" s="25"/>
      <c r="TW309" s="25"/>
      <c r="TX309" s="25"/>
      <c r="TY309" s="25"/>
      <c r="TZ309" s="25"/>
      <c r="UA309" s="25"/>
      <c r="UB309" s="25"/>
      <c r="UC309" s="25"/>
      <c r="UD309" s="25"/>
      <c r="UE309" s="25"/>
      <c r="UF309" s="25"/>
      <c r="UG309" s="26"/>
    </row>
    <row r="310" spans="1:553" ht="28.5" customHeight="1">
      <c r="A310" s="356" t="s">
        <v>15</v>
      </c>
      <c r="B310" s="366"/>
      <c r="C310" s="1404" t="s">
        <v>16</v>
      </c>
      <c r="D310" s="1389"/>
      <c r="E310" s="1389"/>
      <c r="F310" s="1390"/>
      <c r="G310" s="366"/>
      <c r="H310" s="439"/>
      <c r="I310" s="370"/>
      <c r="J310" s="368"/>
      <c r="K310" s="371"/>
      <c r="L310" s="366"/>
      <c r="M310" s="366"/>
      <c r="N310" s="366"/>
      <c r="O310" s="366"/>
      <c r="P310" s="366"/>
      <c r="Q310" s="1036"/>
      <c r="R310" s="1226"/>
      <c r="S310" s="435"/>
      <c r="T310" s="436"/>
      <c r="U310" s="304"/>
      <c r="V310" s="393"/>
      <c r="W310" s="304"/>
      <c r="X310" s="304"/>
      <c r="Y310" s="304"/>
      <c r="Z310" s="304"/>
      <c r="AA310" s="304"/>
      <c r="AB310" s="304"/>
      <c r="AC310" s="449"/>
      <c r="AD310" s="449"/>
      <c r="AE310" s="449"/>
      <c r="AF310" s="449"/>
      <c r="AG310" s="449"/>
      <c r="AH310" s="449"/>
      <c r="AI310" s="449"/>
      <c r="AJ310" s="449"/>
      <c r="AK310" s="450"/>
      <c r="AL310" s="105"/>
      <c r="AM310" s="30"/>
      <c r="AN310" s="30"/>
      <c r="AO310" s="30"/>
      <c r="AP310" s="30"/>
      <c r="AQ310" s="30"/>
      <c r="AR310" s="30"/>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25"/>
      <c r="BQ310" s="25"/>
      <c r="BR310" s="25"/>
      <c r="BS310" s="25"/>
      <c r="BT310" s="25"/>
      <c r="BU310" s="25"/>
      <c r="BV310" s="25"/>
      <c r="BW310" s="25"/>
      <c r="BX310" s="25"/>
      <c r="BY310" s="25"/>
      <c r="BZ310" s="25"/>
      <c r="CA310" s="25"/>
      <c r="CB310" s="25"/>
      <c r="CC310" s="25"/>
      <c r="CD310" s="25"/>
      <c r="CE310" s="25"/>
      <c r="CF310" s="25"/>
      <c r="CG310" s="25"/>
      <c r="CH310" s="25"/>
      <c r="CI310" s="25"/>
      <c r="CJ310" s="25"/>
      <c r="CK310" s="25"/>
      <c r="CL310" s="25"/>
      <c r="CM310" s="25"/>
      <c r="CN310" s="25"/>
      <c r="CO310" s="25"/>
      <c r="CP310" s="25"/>
      <c r="CQ310" s="25"/>
      <c r="CR310" s="25"/>
      <c r="CS310" s="25"/>
      <c r="CT310" s="25"/>
      <c r="CU310" s="25"/>
      <c r="CV310" s="25"/>
      <c r="CW310" s="25"/>
      <c r="CX310" s="25"/>
      <c r="CY310" s="25"/>
      <c r="CZ310" s="25"/>
      <c r="DA310" s="25"/>
      <c r="DB310" s="25"/>
      <c r="DC310" s="25"/>
      <c r="DD310" s="25"/>
      <c r="DE310" s="25"/>
      <c r="DF310" s="25"/>
      <c r="DG310" s="25"/>
      <c r="DH310" s="25"/>
      <c r="DI310" s="25"/>
      <c r="DJ310" s="25"/>
      <c r="DK310" s="25"/>
      <c r="DL310" s="25"/>
      <c r="DM310" s="25"/>
      <c r="DN310" s="25"/>
      <c r="DO310" s="25"/>
      <c r="DP310" s="25"/>
      <c r="DQ310" s="25"/>
      <c r="DR310" s="25"/>
      <c r="DS310" s="25"/>
      <c r="DT310" s="25"/>
      <c r="DU310" s="25"/>
      <c r="DV310" s="25"/>
      <c r="DW310" s="25"/>
      <c r="DX310" s="25"/>
      <c r="DY310" s="25"/>
      <c r="DZ310" s="25"/>
      <c r="EA310" s="25"/>
      <c r="EB310" s="25"/>
      <c r="EC310" s="25"/>
      <c r="ED310" s="25"/>
      <c r="EE310" s="25"/>
      <c r="EF310" s="25"/>
      <c r="EG310" s="25"/>
      <c r="EH310" s="25"/>
      <c r="EI310" s="25"/>
      <c r="EJ310" s="25"/>
      <c r="EK310" s="25"/>
      <c r="EL310" s="25"/>
      <c r="EM310" s="25"/>
      <c r="EN310" s="25"/>
      <c r="EO310" s="25"/>
      <c r="EP310" s="25"/>
      <c r="EQ310" s="25"/>
      <c r="ER310" s="25"/>
      <c r="ES310" s="25"/>
      <c r="ET310" s="25"/>
      <c r="EU310" s="25"/>
      <c r="EV310" s="25"/>
      <c r="EW310" s="25"/>
      <c r="EX310" s="25"/>
      <c r="EY310" s="25"/>
      <c r="EZ310" s="25"/>
      <c r="FA310" s="25"/>
      <c r="FB310" s="25"/>
      <c r="FC310" s="25"/>
      <c r="FD310" s="25"/>
      <c r="FE310" s="25"/>
      <c r="FF310" s="25"/>
      <c r="FG310" s="25"/>
      <c r="FH310" s="25"/>
      <c r="FI310" s="25"/>
      <c r="FJ310" s="25"/>
      <c r="FK310" s="25"/>
      <c r="FL310" s="25"/>
      <c r="FM310" s="25"/>
      <c r="FN310" s="25"/>
      <c r="FO310" s="25"/>
      <c r="FP310" s="25"/>
      <c r="FQ310" s="25"/>
      <c r="FR310" s="25"/>
      <c r="FS310" s="25"/>
      <c r="FT310" s="25"/>
      <c r="FU310" s="25"/>
      <c r="FV310" s="25"/>
      <c r="FW310" s="25"/>
      <c r="FX310" s="25"/>
      <c r="FY310" s="25"/>
      <c r="FZ310" s="25"/>
      <c r="GA310" s="25"/>
      <c r="GB310" s="25"/>
      <c r="GC310" s="25"/>
      <c r="GD310" s="25"/>
      <c r="GE310" s="25"/>
      <c r="GF310" s="25"/>
      <c r="GG310" s="25"/>
      <c r="GH310" s="25"/>
      <c r="GI310" s="25"/>
      <c r="GJ310" s="25"/>
      <c r="GK310" s="25"/>
      <c r="GL310" s="25"/>
      <c r="GM310" s="25"/>
      <c r="GN310" s="25"/>
      <c r="GO310" s="25"/>
      <c r="GP310" s="25"/>
      <c r="GQ310" s="25"/>
      <c r="GR310" s="25"/>
      <c r="GS310" s="25"/>
      <c r="GT310" s="25"/>
      <c r="GU310" s="25"/>
      <c r="GV310" s="25"/>
      <c r="GW310" s="25"/>
      <c r="GX310" s="25"/>
      <c r="GY310" s="25"/>
      <c r="GZ310" s="25"/>
      <c r="HA310" s="25"/>
      <c r="HB310" s="25"/>
      <c r="HC310" s="25"/>
      <c r="HD310" s="25"/>
      <c r="HE310" s="25"/>
      <c r="HF310" s="25"/>
      <c r="HG310" s="25"/>
      <c r="HH310" s="25"/>
      <c r="HI310" s="25"/>
      <c r="HJ310" s="25"/>
      <c r="HK310" s="25"/>
      <c r="HL310" s="25"/>
      <c r="HM310" s="25"/>
      <c r="HN310" s="25"/>
      <c r="HO310" s="25"/>
      <c r="HP310" s="25"/>
      <c r="HQ310" s="25"/>
      <c r="HR310" s="25"/>
      <c r="HS310" s="25"/>
      <c r="HT310" s="25"/>
      <c r="HU310" s="25"/>
      <c r="HV310" s="25"/>
      <c r="HW310" s="25"/>
      <c r="HX310" s="25"/>
      <c r="HY310" s="25"/>
      <c r="HZ310" s="25"/>
      <c r="IA310" s="25"/>
      <c r="IB310" s="25"/>
      <c r="IC310" s="25"/>
      <c r="ID310" s="25"/>
      <c r="IE310" s="25"/>
      <c r="IF310" s="25"/>
      <c r="IG310" s="25"/>
      <c r="IH310" s="25"/>
      <c r="II310" s="25"/>
      <c r="IJ310" s="25"/>
      <c r="IK310" s="25"/>
      <c r="IL310" s="25"/>
      <c r="IM310" s="25"/>
      <c r="IN310" s="25"/>
      <c r="IO310" s="25"/>
      <c r="IP310" s="25"/>
      <c r="IQ310" s="25"/>
      <c r="IR310" s="25"/>
      <c r="IS310" s="25"/>
      <c r="IT310" s="25"/>
      <c r="IU310" s="25"/>
      <c r="IV310" s="25"/>
      <c r="IW310" s="25"/>
      <c r="IX310" s="25"/>
      <c r="IY310" s="25"/>
      <c r="IZ310" s="25"/>
      <c r="JA310" s="25"/>
      <c r="JB310" s="25"/>
      <c r="JC310" s="25"/>
      <c r="JD310" s="25"/>
      <c r="JE310" s="25"/>
      <c r="JF310" s="25"/>
      <c r="JG310" s="25"/>
      <c r="JH310" s="25"/>
      <c r="JI310" s="25"/>
      <c r="JJ310" s="25"/>
      <c r="JK310" s="25"/>
      <c r="JL310" s="25"/>
      <c r="JM310" s="25"/>
      <c r="JN310" s="25"/>
      <c r="JO310" s="25"/>
      <c r="JP310" s="25"/>
      <c r="JQ310" s="25"/>
      <c r="JR310" s="25"/>
      <c r="JS310" s="25"/>
      <c r="JT310" s="25"/>
      <c r="JU310" s="25"/>
      <c r="JV310" s="25"/>
      <c r="JW310" s="25"/>
      <c r="JX310" s="25"/>
      <c r="JY310" s="25"/>
      <c r="JZ310" s="25"/>
      <c r="KA310" s="25"/>
      <c r="KB310" s="25"/>
      <c r="KC310" s="25"/>
      <c r="KD310" s="25"/>
      <c r="KE310" s="25"/>
      <c r="KF310" s="25"/>
      <c r="KG310" s="25"/>
      <c r="KH310" s="25"/>
      <c r="KI310" s="25"/>
      <c r="KJ310" s="25"/>
      <c r="KK310" s="25"/>
      <c r="KL310" s="25"/>
      <c r="KM310" s="25"/>
      <c r="KN310" s="25"/>
      <c r="KO310" s="25"/>
      <c r="KP310" s="25"/>
      <c r="KQ310" s="25"/>
      <c r="KR310" s="25"/>
      <c r="KS310" s="25"/>
      <c r="KT310" s="25"/>
      <c r="KU310" s="25"/>
      <c r="KV310" s="25"/>
      <c r="KW310" s="25"/>
      <c r="KX310" s="25"/>
      <c r="KY310" s="25"/>
      <c r="KZ310" s="25"/>
      <c r="LA310" s="25"/>
      <c r="LB310" s="25"/>
      <c r="LC310" s="25"/>
      <c r="LD310" s="25"/>
      <c r="LE310" s="25"/>
      <c r="LF310" s="25"/>
      <c r="LG310" s="25"/>
      <c r="LH310" s="25"/>
      <c r="LI310" s="25"/>
      <c r="LJ310" s="25"/>
      <c r="LK310" s="25"/>
      <c r="LL310" s="25"/>
      <c r="LM310" s="25"/>
      <c r="LN310" s="25"/>
      <c r="LO310" s="25"/>
      <c r="LP310" s="25"/>
      <c r="LQ310" s="25"/>
      <c r="LR310" s="25"/>
      <c r="LS310" s="25"/>
      <c r="LT310" s="25"/>
      <c r="LU310" s="25"/>
      <c r="LV310" s="25"/>
      <c r="LW310" s="25"/>
      <c r="LX310" s="25"/>
      <c r="LY310" s="25"/>
      <c r="LZ310" s="25"/>
      <c r="MA310" s="25"/>
      <c r="MB310" s="25"/>
      <c r="MC310" s="25"/>
      <c r="MD310" s="25"/>
      <c r="ME310" s="25"/>
      <c r="MF310" s="25"/>
      <c r="MG310" s="25"/>
      <c r="MH310" s="25"/>
      <c r="MI310" s="25"/>
      <c r="MJ310" s="25"/>
      <c r="MK310" s="25"/>
      <c r="ML310" s="25"/>
      <c r="MM310" s="25"/>
      <c r="MN310" s="25"/>
      <c r="MO310" s="25"/>
      <c r="MP310" s="25"/>
      <c r="MQ310" s="25"/>
      <c r="MR310" s="25"/>
      <c r="MS310" s="25"/>
      <c r="MT310" s="25"/>
      <c r="MU310" s="25"/>
      <c r="MV310" s="25"/>
      <c r="MW310" s="25"/>
      <c r="MX310" s="25"/>
      <c r="MY310" s="25"/>
      <c r="MZ310" s="25"/>
      <c r="NA310" s="25"/>
      <c r="NB310" s="25"/>
      <c r="NC310" s="25"/>
      <c r="ND310" s="25"/>
      <c r="NE310" s="25"/>
      <c r="NF310" s="25"/>
      <c r="NG310" s="25"/>
      <c r="NH310" s="25"/>
      <c r="NI310" s="25"/>
      <c r="NJ310" s="25"/>
      <c r="NK310" s="25"/>
      <c r="NL310" s="25"/>
      <c r="NM310" s="25"/>
      <c r="NN310" s="25"/>
      <c r="NO310" s="25"/>
      <c r="NP310" s="25"/>
      <c r="NQ310" s="25"/>
      <c r="NR310" s="25"/>
      <c r="NS310" s="25"/>
      <c r="NT310" s="25"/>
      <c r="NU310" s="25"/>
      <c r="NV310" s="25"/>
      <c r="NW310" s="25"/>
      <c r="NX310" s="25"/>
      <c r="NY310" s="25"/>
      <c r="NZ310" s="25"/>
      <c r="OA310" s="25"/>
      <c r="OB310" s="25"/>
      <c r="OC310" s="25"/>
      <c r="OD310" s="25"/>
      <c r="OE310" s="25"/>
      <c r="OF310" s="25"/>
      <c r="OG310" s="25"/>
      <c r="OH310" s="25"/>
      <c r="OI310" s="25"/>
      <c r="OJ310" s="25"/>
      <c r="OK310" s="25"/>
      <c r="OL310" s="25"/>
      <c r="OM310" s="25"/>
      <c r="ON310" s="25"/>
      <c r="OO310" s="25"/>
      <c r="OP310" s="25"/>
      <c r="OQ310" s="25"/>
      <c r="OR310" s="25"/>
      <c r="OS310" s="25"/>
      <c r="OT310" s="25"/>
      <c r="OU310" s="25"/>
      <c r="OV310" s="25"/>
      <c r="OW310" s="25"/>
      <c r="OX310" s="25"/>
      <c r="OY310" s="25"/>
      <c r="OZ310" s="25"/>
      <c r="PA310" s="25"/>
      <c r="PB310" s="25"/>
      <c r="PC310" s="25"/>
      <c r="PD310" s="25"/>
      <c r="PE310" s="25"/>
      <c r="PF310" s="25"/>
      <c r="PG310" s="25"/>
      <c r="PH310" s="25"/>
      <c r="PI310" s="25"/>
      <c r="PJ310" s="25"/>
      <c r="PK310" s="25"/>
      <c r="PL310" s="25"/>
      <c r="PM310" s="25"/>
      <c r="PN310" s="25"/>
      <c r="PO310" s="25"/>
      <c r="PP310" s="25"/>
      <c r="PQ310" s="25"/>
      <c r="PR310" s="25"/>
      <c r="PS310" s="25"/>
      <c r="PT310" s="25"/>
      <c r="PU310" s="25"/>
      <c r="PV310" s="25"/>
      <c r="PW310" s="25"/>
      <c r="PX310" s="25"/>
      <c r="PY310" s="25"/>
      <c r="PZ310" s="25"/>
      <c r="QA310" s="25"/>
      <c r="QB310" s="25"/>
      <c r="QC310" s="25"/>
      <c r="QD310" s="25"/>
      <c r="QE310" s="25"/>
      <c r="QF310" s="25"/>
      <c r="QG310" s="25"/>
      <c r="QH310" s="25"/>
      <c r="QI310" s="25"/>
      <c r="QJ310" s="25"/>
      <c r="QK310" s="25"/>
      <c r="QL310" s="25"/>
      <c r="QM310" s="25"/>
      <c r="QN310" s="25"/>
      <c r="QO310" s="25"/>
      <c r="QP310" s="25"/>
      <c r="QQ310" s="25"/>
      <c r="QR310" s="25"/>
      <c r="QS310" s="25"/>
      <c r="QT310" s="25"/>
      <c r="QU310" s="25"/>
      <c r="QV310" s="25"/>
      <c r="QW310" s="25"/>
      <c r="QX310" s="25"/>
      <c r="QY310" s="25"/>
      <c r="QZ310" s="25"/>
      <c r="RA310" s="25"/>
      <c r="RB310" s="25"/>
      <c r="RC310" s="25"/>
      <c r="RD310" s="25"/>
      <c r="RE310" s="25"/>
      <c r="RF310" s="25"/>
      <c r="RG310" s="25"/>
      <c r="RH310" s="25"/>
      <c r="RI310" s="25"/>
      <c r="RJ310" s="25"/>
      <c r="RK310" s="25"/>
      <c r="RL310" s="25"/>
      <c r="RM310" s="25"/>
      <c r="RN310" s="25"/>
      <c r="RO310" s="25"/>
      <c r="RP310" s="25"/>
      <c r="RQ310" s="25"/>
      <c r="RR310" s="25"/>
      <c r="RS310" s="25"/>
      <c r="RT310" s="25"/>
      <c r="RU310" s="25"/>
      <c r="RV310" s="25"/>
      <c r="RW310" s="25"/>
      <c r="RX310" s="25"/>
      <c r="RY310" s="25"/>
      <c r="RZ310" s="25"/>
      <c r="SA310" s="25"/>
      <c r="SB310" s="25"/>
      <c r="SC310" s="25"/>
      <c r="SD310" s="25"/>
      <c r="SE310" s="25"/>
      <c r="SF310" s="25"/>
      <c r="SG310" s="25"/>
      <c r="SH310" s="25"/>
      <c r="SI310" s="25"/>
      <c r="SJ310" s="25"/>
      <c r="SK310" s="25"/>
      <c r="SL310" s="25"/>
      <c r="SM310" s="25"/>
      <c r="SN310" s="25"/>
      <c r="SO310" s="25"/>
      <c r="SP310" s="25"/>
      <c r="SQ310" s="25"/>
      <c r="SR310" s="25"/>
      <c r="SS310" s="25"/>
      <c r="ST310" s="25"/>
      <c r="SU310" s="25"/>
      <c r="SV310" s="25"/>
      <c r="SW310" s="25"/>
      <c r="SX310" s="25"/>
      <c r="SY310" s="25"/>
      <c r="SZ310" s="25"/>
      <c r="TA310" s="25"/>
      <c r="TB310" s="25"/>
      <c r="TC310" s="25"/>
      <c r="TD310" s="25"/>
      <c r="TE310" s="25"/>
      <c r="TF310" s="25"/>
      <c r="TG310" s="25"/>
      <c r="TH310" s="25"/>
      <c r="TI310" s="25"/>
      <c r="TJ310" s="25"/>
      <c r="TK310" s="25"/>
      <c r="TL310" s="25"/>
      <c r="TM310" s="25"/>
      <c r="TN310" s="25"/>
      <c r="TO310" s="25"/>
      <c r="TP310" s="25"/>
      <c r="TQ310" s="25"/>
      <c r="TR310" s="25"/>
      <c r="TS310" s="25"/>
      <c r="TT310" s="25"/>
      <c r="TU310" s="25"/>
      <c r="TV310" s="25"/>
      <c r="TW310" s="25"/>
      <c r="TX310" s="25"/>
      <c r="TY310" s="25"/>
      <c r="TZ310" s="25"/>
      <c r="UA310" s="25"/>
      <c r="UB310" s="25"/>
      <c r="UC310" s="25"/>
      <c r="UD310" s="25"/>
      <c r="UE310" s="25"/>
      <c r="UF310" s="25"/>
      <c r="UG310" s="26"/>
    </row>
    <row r="311" spans="1:553" ht="28.5" customHeight="1">
      <c r="A311" s="356" t="s">
        <v>15</v>
      </c>
      <c r="B311" s="366"/>
      <c r="C311" s="1404" t="s">
        <v>394</v>
      </c>
      <c r="D311" s="1389"/>
      <c r="E311" s="1389"/>
      <c r="F311" s="1390"/>
      <c r="G311" s="366"/>
      <c r="H311" s="370"/>
      <c r="I311" s="370"/>
      <c r="J311" s="368"/>
      <c r="K311" s="371"/>
      <c r="L311" s="366"/>
      <c r="M311" s="366"/>
      <c r="N311" s="366"/>
      <c r="O311" s="366"/>
      <c r="P311" s="366"/>
      <c r="Q311" s="1036"/>
      <c r="R311" s="1226"/>
      <c r="S311" s="308"/>
      <c r="T311" s="303"/>
      <c r="U311" s="306"/>
      <c r="V311" s="307"/>
      <c r="W311" s="306"/>
      <c r="X311" s="306"/>
      <c r="Y311" s="306"/>
      <c r="Z311" s="306"/>
      <c r="AA311" s="306"/>
      <c r="AB311" s="306"/>
      <c r="AC311" s="449"/>
      <c r="AD311" s="449"/>
      <c r="AE311" s="449"/>
      <c r="AF311" s="449"/>
      <c r="AG311" s="449"/>
      <c r="AH311" s="449"/>
      <c r="AI311" s="449"/>
      <c r="AJ311" s="449"/>
      <c r="AK311" s="450"/>
      <c r="AL311" s="105"/>
      <c r="AM311" s="30"/>
      <c r="AN311" s="30"/>
      <c r="AO311" s="30"/>
      <c r="AP311" s="30"/>
      <c r="AQ311" s="30"/>
      <c r="AR311" s="30"/>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25"/>
      <c r="BQ311" s="25"/>
      <c r="BR311" s="25"/>
      <c r="BS311" s="25"/>
      <c r="BT311" s="25"/>
      <c r="BU311" s="25"/>
      <c r="BV311" s="25"/>
      <c r="BW311" s="25"/>
      <c r="BX311" s="25"/>
      <c r="BY311" s="25"/>
      <c r="BZ311" s="25"/>
      <c r="CA311" s="25"/>
      <c r="CB311" s="25"/>
      <c r="CC311" s="25"/>
      <c r="CD311" s="25"/>
      <c r="CE311" s="25"/>
      <c r="CF311" s="25"/>
      <c r="CG311" s="25"/>
      <c r="CH311" s="25"/>
      <c r="CI311" s="25"/>
      <c r="CJ311" s="25"/>
      <c r="CK311" s="25"/>
      <c r="CL311" s="25"/>
      <c r="CM311" s="25"/>
      <c r="CN311" s="25"/>
      <c r="CO311" s="25"/>
      <c r="CP311" s="25"/>
      <c r="CQ311" s="25"/>
      <c r="CR311" s="25"/>
      <c r="CS311" s="25"/>
      <c r="CT311" s="25"/>
      <c r="CU311" s="25"/>
      <c r="CV311" s="25"/>
      <c r="CW311" s="25"/>
      <c r="CX311" s="25"/>
      <c r="CY311" s="25"/>
      <c r="CZ311" s="25"/>
      <c r="DA311" s="25"/>
      <c r="DB311" s="25"/>
      <c r="DC311" s="25"/>
      <c r="DD311" s="25"/>
      <c r="DE311" s="25"/>
      <c r="DF311" s="25"/>
      <c r="DG311" s="25"/>
      <c r="DH311" s="25"/>
      <c r="DI311" s="25"/>
      <c r="DJ311" s="25"/>
      <c r="DK311" s="25"/>
      <c r="DL311" s="25"/>
      <c r="DM311" s="25"/>
      <c r="DN311" s="25"/>
      <c r="DO311" s="25"/>
      <c r="DP311" s="25"/>
      <c r="DQ311" s="25"/>
      <c r="DR311" s="25"/>
      <c r="DS311" s="25"/>
      <c r="DT311" s="25"/>
      <c r="DU311" s="25"/>
      <c r="DV311" s="25"/>
      <c r="DW311" s="25"/>
      <c r="DX311" s="25"/>
      <c r="DY311" s="25"/>
      <c r="DZ311" s="25"/>
      <c r="EA311" s="25"/>
      <c r="EB311" s="25"/>
      <c r="EC311" s="25"/>
      <c r="ED311" s="25"/>
      <c r="EE311" s="25"/>
      <c r="EF311" s="25"/>
      <c r="EG311" s="25"/>
      <c r="EH311" s="25"/>
      <c r="EI311" s="25"/>
      <c r="EJ311" s="25"/>
      <c r="EK311" s="25"/>
      <c r="EL311" s="25"/>
      <c r="EM311" s="25"/>
      <c r="EN311" s="25"/>
      <c r="EO311" s="25"/>
      <c r="EP311" s="25"/>
      <c r="EQ311" s="25"/>
      <c r="ER311" s="25"/>
      <c r="ES311" s="25"/>
      <c r="ET311" s="25"/>
      <c r="EU311" s="25"/>
      <c r="EV311" s="25"/>
      <c r="EW311" s="25"/>
      <c r="EX311" s="25"/>
      <c r="EY311" s="25"/>
      <c r="EZ311" s="25"/>
      <c r="FA311" s="25"/>
      <c r="FB311" s="25"/>
      <c r="FC311" s="25"/>
      <c r="FD311" s="25"/>
      <c r="FE311" s="25"/>
      <c r="FF311" s="25"/>
      <c r="FG311" s="25"/>
      <c r="FH311" s="25"/>
      <c r="FI311" s="25"/>
      <c r="FJ311" s="25"/>
      <c r="FK311" s="25"/>
      <c r="FL311" s="25"/>
      <c r="FM311" s="25"/>
      <c r="FN311" s="25"/>
      <c r="FO311" s="25"/>
      <c r="FP311" s="25"/>
      <c r="FQ311" s="25"/>
      <c r="FR311" s="25"/>
      <c r="FS311" s="25"/>
      <c r="FT311" s="25"/>
      <c r="FU311" s="25"/>
      <c r="FV311" s="25"/>
      <c r="FW311" s="25"/>
      <c r="FX311" s="25"/>
      <c r="FY311" s="25"/>
      <c r="FZ311" s="25"/>
      <c r="GA311" s="25"/>
      <c r="GB311" s="25"/>
      <c r="GC311" s="25"/>
      <c r="GD311" s="25"/>
      <c r="GE311" s="25"/>
      <c r="GF311" s="25"/>
      <c r="GG311" s="25"/>
      <c r="GH311" s="25"/>
      <c r="GI311" s="25"/>
      <c r="GJ311" s="25"/>
      <c r="GK311" s="25"/>
      <c r="GL311" s="25"/>
      <c r="GM311" s="25"/>
      <c r="GN311" s="25"/>
      <c r="GO311" s="25"/>
      <c r="GP311" s="25"/>
      <c r="GQ311" s="25"/>
      <c r="GR311" s="25"/>
      <c r="GS311" s="25"/>
      <c r="GT311" s="25"/>
      <c r="GU311" s="25"/>
      <c r="GV311" s="25"/>
      <c r="GW311" s="25"/>
      <c r="GX311" s="25"/>
      <c r="GY311" s="25"/>
      <c r="GZ311" s="25"/>
      <c r="HA311" s="25"/>
      <c r="HB311" s="25"/>
      <c r="HC311" s="25"/>
      <c r="HD311" s="25"/>
      <c r="HE311" s="25"/>
      <c r="HF311" s="25"/>
      <c r="HG311" s="25"/>
      <c r="HH311" s="25"/>
      <c r="HI311" s="25"/>
      <c r="HJ311" s="25"/>
      <c r="HK311" s="25"/>
      <c r="HL311" s="25"/>
      <c r="HM311" s="25"/>
      <c r="HN311" s="25"/>
      <c r="HO311" s="25"/>
      <c r="HP311" s="25"/>
      <c r="HQ311" s="25"/>
      <c r="HR311" s="25"/>
      <c r="HS311" s="25"/>
      <c r="HT311" s="25"/>
      <c r="HU311" s="25"/>
      <c r="HV311" s="25"/>
      <c r="HW311" s="25"/>
      <c r="HX311" s="25"/>
      <c r="HY311" s="25"/>
      <c r="HZ311" s="25"/>
      <c r="IA311" s="25"/>
      <c r="IB311" s="25"/>
      <c r="IC311" s="25"/>
      <c r="ID311" s="25"/>
      <c r="IE311" s="25"/>
      <c r="IF311" s="25"/>
      <c r="IG311" s="25"/>
      <c r="IH311" s="25"/>
      <c r="II311" s="25"/>
      <c r="IJ311" s="25"/>
      <c r="IK311" s="25"/>
      <c r="IL311" s="25"/>
      <c r="IM311" s="25"/>
      <c r="IN311" s="25"/>
      <c r="IO311" s="25"/>
      <c r="IP311" s="25"/>
      <c r="IQ311" s="25"/>
      <c r="IR311" s="25"/>
      <c r="IS311" s="25"/>
      <c r="IT311" s="25"/>
      <c r="IU311" s="25"/>
      <c r="IV311" s="25"/>
      <c r="IW311" s="25"/>
      <c r="IX311" s="25"/>
      <c r="IY311" s="25"/>
      <c r="IZ311" s="25"/>
      <c r="JA311" s="25"/>
      <c r="JB311" s="25"/>
      <c r="JC311" s="25"/>
      <c r="JD311" s="25"/>
      <c r="JE311" s="25"/>
      <c r="JF311" s="25"/>
      <c r="JG311" s="25"/>
      <c r="JH311" s="25"/>
      <c r="JI311" s="25"/>
      <c r="JJ311" s="25"/>
      <c r="JK311" s="25"/>
      <c r="JL311" s="25"/>
      <c r="JM311" s="25"/>
      <c r="JN311" s="25"/>
      <c r="JO311" s="25"/>
      <c r="JP311" s="25"/>
      <c r="JQ311" s="25"/>
      <c r="JR311" s="25"/>
      <c r="JS311" s="25"/>
      <c r="JT311" s="25"/>
      <c r="JU311" s="25"/>
      <c r="JV311" s="25"/>
      <c r="JW311" s="25"/>
      <c r="JX311" s="25"/>
      <c r="JY311" s="25"/>
      <c r="JZ311" s="25"/>
      <c r="KA311" s="25"/>
      <c r="KB311" s="25"/>
      <c r="KC311" s="25"/>
      <c r="KD311" s="25"/>
      <c r="KE311" s="25"/>
      <c r="KF311" s="25"/>
      <c r="KG311" s="25"/>
      <c r="KH311" s="25"/>
      <c r="KI311" s="25"/>
      <c r="KJ311" s="25"/>
      <c r="KK311" s="25"/>
      <c r="KL311" s="25"/>
      <c r="KM311" s="25"/>
      <c r="KN311" s="25"/>
      <c r="KO311" s="25"/>
      <c r="KP311" s="25"/>
      <c r="KQ311" s="25"/>
      <c r="KR311" s="25"/>
      <c r="KS311" s="25"/>
      <c r="KT311" s="25"/>
      <c r="KU311" s="25"/>
      <c r="KV311" s="25"/>
      <c r="KW311" s="25"/>
      <c r="KX311" s="25"/>
      <c r="KY311" s="25"/>
      <c r="KZ311" s="25"/>
      <c r="LA311" s="25"/>
      <c r="LB311" s="25"/>
      <c r="LC311" s="25"/>
      <c r="LD311" s="25"/>
      <c r="LE311" s="25"/>
      <c r="LF311" s="25"/>
      <c r="LG311" s="25"/>
      <c r="LH311" s="25"/>
      <c r="LI311" s="25"/>
      <c r="LJ311" s="25"/>
      <c r="LK311" s="25"/>
      <c r="LL311" s="25"/>
      <c r="LM311" s="25"/>
      <c r="LN311" s="25"/>
      <c r="LO311" s="25"/>
      <c r="LP311" s="25"/>
      <c r="LQ311" s="25"/>
      <c r="LR311" s="25"/>
      <c r="LS311" s="25"/>
      <c r="LT311" s="25"/>
      <c r="LU311" s="25"/>
      <c r="LV311" s="25"/>
      <c r="LW311" s="25"/>
      <c r="LX311" s="25"/>
      <c r="LY311" s="25"/>
      <c r="LZ311" s="25"/>
      <c r="MA311" s="25"/>
      <c r="MB311" s="25"/>
      <c r="MC311" s="25"/>
      <c r="MD311" s="25"/>
      <c r="ME311" s="25"/>
      <c r="MF311" s="25"/>
      <c r="MG311" s="25"/>
      <c r="MH311" s="25"/>
      <c r="MI311" s="25"/>
      <c r="MJ311" s="25"/>
      <c r="MK311" s="25"/>
      <c r="ML311" s="25"/>
      <c r="MM311" s="25"/>
      <c r="MN311" s="25"/>
      <c r="MO311" s="25"/>
      <c r="MP311" s="25"/>
      <c r="MQ311" s="25"/>
      <c r="MR311" s="25"/>
      <c r="MS311" s="25"/>
      <c r="MT311" s="25"/>
      <c r="MU311" s="25"/>
      <c r="MV311" s="25"/>
      <c r="MW311" s="25"/>
      <c r="MX311" s="25"/>
      <c r="MY311" s="25"/>
      <c r="MZ311" s="25"/>
      <c r="NA311" s="25"/>
      <c r="NB311" s="25"/>
      <c r="NC311" s="25"/>
      <c r="ND311" s="25"/>
      <c r="NE311" s="25"/>
      <c r="NF311" s="25"/>
      <c r="NG311" s="25"/>
      <c r="NH311" s="25"/>
      <c r="NI311" s="25"/>
      <c r="NJ311" s="25"/>
      <c r="NK311" s="25"/>
      <c r="NL311" s="25"/>
      <c r="NM311" s="25"/>
      <c r="NN311" s="25"/>
      <c r="NO311" s="25"/>
      <c r="NP311" s="25"/>
      <c r="NQ311" s="25"/>
      <c r="NR311" s="25"/>
      <c r="NS311" s="25"/>
      <c r="NT311" s="25"/>
      <c r="NU311" s="25"/>
      <c r="NV311" s="25"/>
      <c r="NW311" s="25"/>
      <c r="NX311" s="25"/>
      <c r="NY311" s="25"/>
      <c r="NZ311" s="25"/>
      <c r="OA311" s="25"/>
      <c r="OB311" s="25"/>
      <c r="OC311" s="25"/>
      <c r="OD311" s="25"/>
      <c r="OE311" s="25"/>
      <c r="OF311" s="25"/>
      <c r="OG311" s="25"/>
      <c r="OH311" s="25"/>
      <c r="OI311" s="25"/>
      <c r="OJ311" s="25"/>
      <c r="OK311" s="25"/>
      <c r="OL311" s="25"/>
      <c r="OM311" s="25"/>
      <c r="ON311" s="25"/>
      <c r="OO311" s="25"/>
      <c r="OP311" s="25"/>
      <c r="OQ311" s="25"/>
      <c r="OR311" s="25"/>
      <c r="OS311" s="25"/>
      <c r="OT311" s="25"/>
      <c r="OU311" s="25"/>
      <c r="OV311" s="25"/>
      <c r="OW311" s="25"/>
      <c r="OX311" s="25"/>
      <c r="OY311" s="25"/>
      <c r="OZ311" s="25"/>
      <c r="PA311" s="25"/>
      <c r="PB311" s="25"/>
      <c r="PC311" s="25"/>
      <c r="PD311" s="25"/>
      <c r="PE311" s="25"/>
      <c r="PF311" s="25"/>
      <c r="PG311" s="25"/>
      <c r="PH311" s="25"/>
      <c r="PI311" s="25"/>
      <c r="PJ311" s="25"/>
      <c r="PK311" s="25"/>
      <c r="PL311" s="25"/>
      <c r="PM311" s="25"/>
      <c r="PN311" s="25"/>
      <c r="PO311" s="25"/>
      <c r="PP311" s="25"/>
      <c r="PQ311" s="25"/>
      <c r="PR311" s="25"/>
      <c r="PS311" s="25"/>
      <c r="PT311" s="25"/>
      <c r="PU311" s="25"/>
      <c r="PV311" s="25"/>
      <c r="PW311" s="25"/>
      <c r="PX311" s="25"/>
      <c r="PY311" s="25"/>
      <c r="PZ311" s="25"/>
      <c r="QA311" s="25"/>
      <c r="QB311" s="25"/>
      <c r="QC311" s="25"/>
      <c r="QD311" s="25"/>
      <c r="QE311" s="25"/>
      <c r="QF311" s="25"/>
      <c r="QG311" s="25"/>
      <c r="QH311" s="25"/>
      <c r="QI311" s="25"/>
      <c r="QJ311" s="25"/>
      <c r="QK311" s="25"/>
      <c r="QL311" s="25"/>
      <c r="QM311" s="25"/>
      <c r="QN311" s="25"/>
      <c r="QO311" s="25"/>
      <c r="QP311" s="25"/>
      <c r="QQ311" s="25"/>
      <c r="QR311" s="25"/>
      <c r="QS311" s="25"/>
      <c r="QT311" s="25"/>
      <c r="QU311" s="25"/>
      <c r="QV311" s="25"/>
      <c r="QW311" s="25"/>
      <c r="QX311" s="25"/>
      <c r="QY311" s="25"/>
      <c r="QZ311" s="25"/>
      <c r="RA311" s="25"/>
      <c r="RB311" s="25"/>
      <c r="RC311" s="25"/>
      <c r="RD311" s="25"/>
      <c r="RE311" s="25"/>
      <c r="RF311" s="25"/>
      <c r="RG311" s="25"/>
      <c r="RH311" s="25"/>
      <c r="RI311" s="25"/>
      <c r="RJ311" s="25"/>
      <c r="RK311" s="25"/>
      <c r="RL311" s="25"/>
      <c r="RM311" s="25"/>
      <c r="RN311" s="25"/>
      <c r="RO311" s="25"/>
      <c r="RP311" s="25"/>
      <c r="RQ311" s="25"/>
      <c r="RR311" s="25"/>
      <c r="RS311" s="25"/>
      <c r="RT311" s="25"/>
      <c r="RU311" s="25"/>
      <c r="RV311" s="25"/>
      <c r="RW311" s="25"/>
      <c r="RX311" s="25"/>
      <c r="RY311" s="25"/>
      <c r="RZ311" s="25"/>
      <c r="SA311" s="25"/>
      <c r="SB311" s="25"/>
      <c r="SC311" s="25"/>
      <c r="SD311" s="25"/>
      <c r="SE311" s="25"/>
      <c r="SF311" s="25"/>
      <c r="SG311" s="25"/>
      <c r="SH311" s="25"/>
      <c r="SI311" s="25"/>
      <c r="SJ311" s="25"/>
      <c r="SK311" s="25"/>
      <c r="SL311" s="25"/>
      <c r="SM311" s="25"/>
      <c r="SN311" s="25"/>
      <c r="SO311" s="25"/>
      <c r="SP311" s="25"/>
      <c r="SQ311" s="25"/>
      <c r="SR311" s="25"/>
      <c r="SS311" s="25"/>
      <c r="ST311" s="25"/>
      <c r="SU311" s="25"/>
      <c r="SV311" s="25"/>
      <c r="SW311" s="25"/>
      <c r="SX311" s="25"/>
      <c r="SY311" s="25"/>
      <c r="SZ311" s="25"/>
      <c r="TA311" s="25"/>
      <c r="TB311" s="25"/>
      <c r="TC311" s="25"/>
      <c r="TD311" s="25"/>
      <c r="TE311" s="25"/>
      <c r="TF311" s="25"/>
      <c r="TG311" s="25"/>
      <c r="TH311" s="25"/>
      <c r="TI311" s="25"/>
      <c r="TJ311" s="25"/>
      <c r="TK311" s="25"/>
      <c r="TL311" s="25"/>
      <c r="TM311" s="25"/>
      <c r="TN311" s="25"/>
      <c r="TO311" s="25"/>
      <c r="TP311" s="25"/>
      <c r="TQ311" s="25"/>
      <c r="TR311" s="25"/>
      <c r="TS311" s="25"/>
      <c r="TT311" s="25"/>
      <c r="TU311" s="25"/>
      <c r="TV311" s="25"/>
      <c r="TW311" s="25"/>
      <c r="TX311" s="25"/>
      <c r="TY311" s="25"/>
      <c r="TZ311" s="25"/>
      <c r="UA311" s="25"/>
      <c r="UB311" s="25"/>
      <c r="UC311" s="25"/>
      <c r="UD311" s="25"/>
      <c r="UE311" s="25"/>
      <c r="UF311" s="25"/>
      <c r="UG311" s="26"/>
    </row>
    <row r="312" spans="1:553" ht="33" customHeight="1">
      <c r="A312" s="356" t="s">
        <v>17</v>
      </c>
      <c r="B312" s="356"/>
      <c r="C312" s="1404" t="s">
        <v>18</v>
      </c>
      <c r="D312" s="1389"/>
      <c r="E312" s="1389"/>
      <c r="F312" s="1390"/>
      <c r="G312" s="356" t="s">
        <v>1393</v>
      </c>
      <c r="H312" s="359">
        <f t="shared" ref="H312" si="63">SUM(H313:H316)</f>
        <v>2056</v>
      </c>
      <c r="I312" s="359">
        <f>SUM(I313:I316)</f>
        <v>2056</v>
      </c>
      <c r="J312" s="368"/>
      <c r="K312" s="371"/>
      <c r="L312" s="440">
        <f>SUM(L313:L316)</f>
        <v>258094200</v>
      </c>
      <c r="M312" s="356"/>
      <c r="N312" s="356"/>
      <c r="O312" s="356"/>
      <c r="P312" s="356">
        <f>L312</f>
        <v>258094200</v>
      </c>
      <c r="Q312" s="1415" t="s">
        <v>278</v>
      </c>
      <c r="R312" s="1447" t="s">
        <v>902</v>
      </c>
      <c r="S312" s="308"/>
      <c r="T312" s="303"/>
      <c r="U312" s="306"/>
      <c r="V312" s="307"/>
      <c r="W312" s="306"/>
      <c r="X312" s="306"/>
      <c r="Y312" s="306"/>
      <c r="Z312" s="306"/>
      <c r="AA312" s="306"/>
      <c r="AB312" s="306"/>
      <c r="AC312" s="449"/>
      <c r="AD312" s="449"/>
      <c r="AE312" s="449"/>
      <c r="AF312" s="449"/>
      <c r="AG312" s="449"/>
      <c r="AH312" s="449"/>
      <c r="AI312" s="449"/>
      <c r="AJ312" s="449"/>
      <c r="AK312" s="452"/>
      <c r="AL312" s="104"/>
      <c r="AM312" s="32"/>
      <c r="AN312" s="32"/>
      <c r="AO312" s="30"/>
      <c r="AP312" s="32"/>
      <c r="AQ312" s="32"/>
      <c r="AR312" s="32"/>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25"/>
      <c r="BQ312" s="25"/>
      <c r="BR312" s="25"/>
      <c r="BS312" s="25"/>
      <c r="BT312" s="25"/>
      <c r="BU312" s="25"/>
      <c r="BV312" s="25"/>
      <c r="BW312" s="25"/>
      <c r="BX312" s="25"/>
      <c r="BY312" s="25"/>
      <c r="BZ312" s="25"/>
      <c r="CA312" s="25"/>
      <c r="CB312" s="25"/>
      <c r="CC312" s="25"/>
      <c r="CD312" s="25"/>
      <c r="CE312" s="25"/>
      <c r="CF312" s="25"/>
      <c r="CG312" s="25"/>
      <c r="CH312" s="25"/>
      <c r="CI312" s="25"/>
      <c r="CJ312" s="25"/>
      <c r="CK312" s="25"/>
      <c r="CL312" s="25"/>
      <c r="CM312" s="25"/>
      <c r="CN312" s="25"/>
      <c r="CO312" s="25"/>
      <c r="CP312" s="25"/>
      <c r="CQ312" s="25"/>
      <c r="CR312" s="25"/>
      <c r="CS312" s="25"/>
      <c r="CT312" s="25"/>
      <c r="CU312" s="25"/>
      <c r="CV312" s="25"/>
      <c r="CW312" s="25"/>
      <c r="CX312" s="25"/>
      <c r="CY312" s="25"/>
      <c r="CZ312" s="25"/>
      <c r="DA312" s="25"/>
      <c r="DB312" s="25"/>
      <c r="DC312" s="25"/>
      <c r="DD312" s="25"/>
      <c r="DE312" s="25"/>
      <c r="DF312" s="25"/>
      <c r="DG312" s="25"/>
      <c r="DH312" s="25"/>
      <c r="DI312" s="25"/>
      <c r="DJ312" s="25"/>
      <c r="DK312" s="25"/>
      <c r="DL312" s="25"/>
      <c r="DM312" s="25"/>
      <c r="DN312" s="25"/>
      <c r="DO312" s="25"/>
      <c r="DP312" s="25"/>
      <c r="DQ312" s="25"/>
      <c r="DR312" s="25"/>
      <c r="DS312" s="25"/>
      <c r="DT312" s="25"/>
      <c r="DU312" s="25"/>
      <c r="DV312" s="25"/>
      <c r="DW312" s="25"/>
      <c r="DX312" s="25"/>
      <c r="DY312" s="25"/>
      <c r="DZ312" s="25"/>
      <c r="EA312" s="25"/>
      <c r="EB312" s="25"/>
      <c r="EC312" s="25"/>
      <c r="ED312" s="25"/>
      <c r="EE312" s="25"/>
      <c r="EF312" s="25"/>
      <c r="EG312" s="25"/>
      <c r="EH312" s="25"/>
      <c r="EI312" s="25"/>
      <c r="EJ312" s="25"/>
      <c r="EK312" s="25"/>
      <c r="EL312" s="25"/>
      <c r="EM312" s="25"/>
      <c r="EN312" s="25"/>
      <c r="EO312" s="25"/>
      <c r="EP312" s="25"/>
      <c r="EQ312" s="25"/>
      <c r="ER312" s="25"/>
      <c r="ES312" s="25"/>
      <c r="ET312" s="25"/>
      <c r="EU312" s="25"/>
      <c r="EV312" s="25"/>
      <c r="EW312" s="25"/>
      <c r="EX312" s="25"/>
      <c r="EY312" s="25"/>
      <c r="EZ312" s="25"/>
      <c r="FA312" s="25"/>
      <c r="FB312" s="25"/>
      <c r="FC312" s="25"/>
      <c r="FD312" s="25"/>
      <c r="FE312" s="25"/>
      <c r="FF312" s="25"/>
      <c r="FG312" s="25"/>
      <c r="FH312" s="25"/>
      <c r="FI312" s="25"/>
      <c r="FJ312" s="25"/>
      <c r="FK312" s="25"/>
      <c r="FL312" s="25"/>
      <c r="FM312" s="25"/>
      <c r="FN312" s="25"/>
      <c r="FO312" s="25"/>
      <c r="FP312" s="25"/>
      <c r="FQ312" s="25"/>
      <c r="FR312" s="25"/>
      <c r="FS312" s="25"/>
      <c r="FT312" s="25"/>
      <c r="FU312" s="25"/>
      <c r="FV312" s="25"/>
      <c r="FW312" s="25"/>
      <c r="FX312" s="25"/>
      <c r="FY312" s="25"/>
      <c r="FZ312" s="25"/>
      <c r="GA312" s="25"/>
      <c r="GB312" s="25"/>
      <c r="GC312" s="25"/>
      <c r="GD312" s="25"/>
      <c r="GE312" s="25"/>
      <c r="GF312" s="25"/>
      <c r="GG312" s="25"/>
      <c r="GH312" s="25"/>
      <c r="GI312" s="25"/>
      <c r="GJ312" s="25"/>
      <c r="GK312" s="25"/>
      <c r="GL312" s="25"/>
      <c r="GM312" s="25"/>
      <c r="GN312" s="25"/>
      <c r="GO312" s="25"/>
      <c r="GP312" s="25"/>
      <c r="GQ312" s="25"/>
      <c r="GR312" s="25"/>
      <c r="GS312" s="25"/>
      <c r="GT312" s="25"/>
      <c r="GU312" s="25"/>
      <c r="GV312" s="25"/>
      <c r="GW312" s="25"/>
      <c r="GX312" s="25"/>
      <c r="GY312" s="25"/>
      <c r="GZ312" s="25"/>
      <c r="HA312" s="25"/>
      <c r="HB312" s="25"/>
      <c r="HC312" s="25"/>
      <c r="HD312" s="25"/>
      <c r="HE312" s="25"/>
      <c r="HF312" s="25"/>
      <c r="HG312" s="25"/>
      <c r="HH312" s="25"/>
      <c r="HI312" s="25"/>
      <c r="HJ312" s="25"/>
      <c r="HK312" s="25"/>
      <c r="HL312" s="25"/>
      <c r="HM312" s="25"/>
      <c r="HN312" s="25"/>
      <c r="HO312" s="25"/>
      <c r="HP312" s="25"/>
      <c r="HQ312" s="25"/>
      <c r="HR312" s="25"/>
      <c r="HS312" s="25"/>
      <c r="HT312" s="25"/>
      <c r="HU312" s="25"/>
      <c r="HV312" s="25"/>
      <c r="HW312" s="25"/>
      <c r="HX312" s="25"/>
      <c r="HY312" s="25"/>
      <c r="HZ312" s="25"/>
      <c r="IA312" s="25"/>
      <c r="IB312" s="25"/>
      <c r="IC312" s="25"/>
      <c r="ID312" s="25"/>
      <c r="IE312" s="25"/>
      <c r="IF312" s="25"/>
      <c r="IG312" s="25"/>
      <c r="IH312" s="25"/>
      <c r="II312" s="25"/>
      <c r="IJ312" s="25"/>
      <c r="IK312" s="25"/>
      <c r="IL312" s="25"/>
      <c r="IM312" s="25"/>
      <c r="IN312" s="25"/>
      <c r="IO312" s="25"/>
      <c r="IP312" s="25"/>
      <c r="IQ312" s="25"/>
      <c r="IR312" s="25"/>
      <c r="IS312" s="25"/>
      <c r="IT312" s="25"/>
      <c r="IU312" s="25"/>
      <c r="IV312" s="25"/>
      <c r="IW312" s="25"/>
      <c r="IX312" s="25"/>
      <c r="IY312" s="25"/>
      <c r="IZ312" s="25"/>
      <c r="JA312" s="25"/>
      <c r="JB312" s="25"/>
      <c r="JC312" s="25"/>
      <c r="JD312" s="25"/>
      <c r="JE312" s="25"/>
      <c r="JF312" s="25"/>
      <c r="JG312" s="25"/>
      <c r="JH312" s="25"/>
      <c r="JI312" s="25"/>
      <c r="JJ312" s="25"/>
      <c r="JK312" s="25"/>
      <c r="JL312" s="25"/>
      <c r="JM312" s="25"/>
      <c r="JN312" s="25"/>
      <c r="JO312" s="25"/>
      <c r="JP312" s="25"/>
      <c r="JQ312" s="25"/>
      <c r="JR312" s="25"/>
      <c r="JS312" s="25"/>
      <c r="JT312" s="25"/>
      <c r="JU312" s="25"/>
      <c r="JV312" s="25"/>
      <c r="JW312" s="25"/>
      <c r="JX312" s="25"/>
      <c r="JY312" s="25"/>
      <c r="JZ312" s="25"/>
      <c r="KA312" s="25"/>
      <c r="KB312" s="25"/>
      <c r="KC312" s="25"/>
      <c r="KD312" s="25"/>
      <c r="KE312" s="25"/>
      <c r="KF312" s="25"/>
      <c r="KG312" s="25"/>
      <c r="KH312" s="25"/>
      <c r="KI312" s="25"/>
      <c r="KJ312" s="25"/>
      <c r="KK312" s="25"/>
      <c r="KL312" s="25"/>
      <c r="KM312" s="25"/>
      <c r="KN312" s="25"/>
      <c r="KO312" s="25"/>
      <c r="KP312" s="25"/>
      <c r="KQ312" s="25"/>
      <c r="KR312" s="25"/>
      <c r="KS312" s="25"/>
      <c r="KT312" s="25"/>
      <c r="KU312" s="25"/>
      <c r="KV312" s="25"/>
      <c r="KW312" s="25"/>
      <c r="KX312" s="25"/>
      <c r="KY312" s="25"/>
      <c r="KZ312" s="25"/>
      <c r="LA312" s="25"/>
      <c r="LB312" s="25"/>
      <c r="LC312" s="25"/>
      <c r="LD312" s="25"/>
      <c r="LE312" s="25"/>
      <c r="LF312" s="25"/>
      <c r="LG312" s="25"/>
      <c r="LH312" s="25"/>
      <c r="LI312" s="25"/>
      <c r="LJ312" s="25"/>
      <c r="LK312" s="25"/>
      <c r="LL312" s="25"/>
      <c r="LM312" s="25"/>
      <c r="LN312" s="25"/>
      <c r="LO312" s="25"/>
      <c r="LP312" s="25"/>
      <c r="LQ312" s="25"/>
      <c r="LR312" s="25"/>
      <c r="LS312" s="25"/>
      <c r="LT312" s="25"/>
      <c r="LU312" s="25"/>
      <c r="LV312" s="25"/>
      <c r="LW312" s="25"/>
      <c r="LX312" s="25"/>
      <c r="LY312" s="25"/>
      <c r="LZ312" s="25"/>
      <c r="MA312" s="25"/>
      <c r="MB312" s="25"/>
      <c r="MC312" s="25"/>
      <c r="MD312" s="25"/>
      <c r="ME312" s="25"/>
      <c r="MF312" s="25"/>
      <c r="MG312" s="25"/>
      <c r="MH312" s="25"/>
      <c r="MI312" s="25"/>
      <c r="MJ312" s="25"/>
      <c r="MK312" s="25"/>
      <c r="ML312" s="25"/>
      <c r="MM312" s="25"/>
      <c r="MN312" s="25"/>
      <c r="MO312" s="25"/>
      <c r="MP312" s="25"/>
      <c r="MQ312" s="25"/>
      <c r="MR312" s="25"/>
      <c r="MS312" s="25"/>
      <c r="MT312" s="25"/>
      <c r="MU312" s="25"/>
      <c r="MV312" s="25"/>
      <c r="MW312" s="25"/>
      <c r="MX312" s="25"/>
      <c r="MY312" s="25"/>
      <c r="MZ312" s="25"/>
      <c r="NA312" s="25"/>
      <c r="NB312" s="25"/>
      <c r="NC312" s="25"/>
      <c r="ND312" s="25"/>
      <c r="NE312" s="25"/>
      <c r="NF312" s="25"/>
      <c r="NG312" s="25"/>
      <c r="NH312" s="25"/>
      <c r="NI312" s="25"/>
      <c r="NJ312" s="25"/>
      <c r="NK312" s="25"/>
      <c r="NL312" s="25"/>
      <c r="NM312" s="25"/>
      <c r="NN312" s="25"/>
      <c r="NO312" s="25"/>
      <c r="NP312" s="25"/>
      <c r="NQ312" s="25"/>
      <c r="NR312" s="25"/>
      <c r="NS312" s="25"/>
      <c r="NT312" s="25"/>
      <c r="NU312" s="25"/>
      <c r="NV312" s="25"/>
      <c r="NW312" s="25"/>
      <c r="NX312" s="25"/>
      <c r="NY312" s="25"/>
      <c r="NZ312" s="25"/>
      <c r="OA312" s="25"/>
      <c r="OB312" s="25"/>
      <c r="OC312" s="25"/>
      <c r="OD312" s="25"/>
      <c r="OE312" s="25"/>
      <c r="OF312" s="25"/>
      <c r="OG312" s="25"/>
      <c r="OH312" s="25"/>
      <c r="OI312" s="25"/>
      <c r="OJ312" s="25"/>
      <c r="OK312" s="25"/>
      <c r="OL312" s="25"/>
      <c r="OM312" s="25"/>
      <c r="ON312" s="25"/>
      <c r="OO312" s="25"/>
      <c r="OP312" s="25"/>
      <c r="OQ312" s="25"/>
      <c r="OR312" s="25"/>
      <c r="OS312" s="25"/>
      <c r="OT312" s="25"/>
      <c r="OU312" s="25"/>
      <c r="OV312" s="25"/>
      <c r="OW312" s="25"/>
      <c r="OX312" s="25"/>
      <c r="OY312" s="25"/>
      <c r="OZ312" s="25"/>
      <c r="PA312" s="25"/>
      <c r="PB312" s="25"/>
      <c r="PC312" s="25"/>
      <c r="PD312" s="25"/>
      <c r="PE312" s="25"/>
      <c r="PF312" s="25"/>
      <c r="PG312" s="25"/>
      <c r="PH312" s="25"/>
      <c r="PI312" s="25"/>
      <c r="PJ312" s="25"/>
      <c r="PK312" s="25"/>
      <c r="PL312" s="25"/>
      <c r="PM312" s="25"/>
      <c r="PN312" s="25"/>
      <c r="PO312" s="25"/>
      <c r="PP312" s="25"/>
      <c r="PQ312" s="25"/>
      <c r="PR312" s="25"/>
      <c r="PS312" s="25"/>
      <c r="PT312" s="25"/>
      <c r="PU312" s="25"/>
      <c r="PV312" s="25"/>
      <c r="PW312" s="25"/>
      <c r="PX312" s="25"/>
      <c r="PY312" s="25"/>
      <c r="PZ312" s="25"/>
      <c r="QA312" s="25"/>
      <c r="QB312" s="25"/>
      <c r="QC312" s="25"/>
      <c r="QD312" s="25"/>
      <c r="QE312" s="25"/>
      <c r="QF312" s="25"/>
      <c r="QG312" s="25"/>
      <c r="QH312" s="25"/>
      <c r="QI312" s="25"/>
      <c r="QJ312" s="25"/>
      <c r="QK312" s="25"/>
      <c r="QL312" s="25"/>
      <c r="QM312" s="25"/>
      <c r="QN312" s="25"/>
      <c r="QO312" s="25"/>
      <c r="QP312" s="25"/>
      <c r="QQ312" s="25"/>
      <c r="QR312" s="25"/>
      <c r="QS312" s="25"/>
      <c r="QT312" s="25"/>
      <c r="QU312" s="25"/>
      <c r="QV312" s="25"/>
      <c r="QW312" s="25"/>
      <c r="QX312" s="25"/>
      <c r="QY312" s="25"/>
      <c r="QZ312" s="25"/>
      <c r="RA312" s="25"/>
      <c r="RB312" s="25"/>
      <c r="RC312" s="25"/>
      <c r="RD312" s="25"/>
      <c r="RE312" s="25"/>
      <c r="RF312" s="25"/>
      <c r="RG312" s="25"/>
      <c r="RH312" s="25"/>
      <c r="RI312" s="25"/>
      <c r="RJ312" s="25"/>
      <c r="RK312" s="25"/>
      <c r="RL312" s="25"/>
      <c r="RM312" s="25"/>
      <c r="RN312" s="25"/>
      <c r="RO312" s="25"/>
      <c r="RP312" s="25"/>
      <c r="RQ312" s="25"/>
      <c r="RR312" s="25"/>
      <c r="RS312" s="25"/>
      <c r="RT312" s="25"/>
      <c r="RU312" s="25"/>
      <c r="RV312" s="25"/>
      <c r="RW312" s="25"/>
      <c r="RX312" s="25"/>
      <c r="RY312" s="25"/>
      <c r="RZ312" s="25"/>
      <c r="SA312" s="25"/>
      <c r="SB312" s="25"/>
      <c r="SC312" s="25"/>
      <c r="SD312" s="25"/>
      <c r="SE312" s="25"/>
      <c r="SF312" s="25"/>
      <c r="SG312" s="25"/>
      <c r="SH312" s="25"/>
      <c r="SI312" s="25"/>
      <c r="SJ312" s="25"/>
      <c r="SK312" s="25"/>
      <c r="SL312" s="25"/>
      <c r="SM312" s="25"/>
      <c r="SN312" s="25"/>
      <c r="SO312" s="25"/>
      <c r="SP312" s="25"/>
      <c r="SQ312" s="25"/>
      <c r="SR312" s="25"/>
      <c r="SS312" s="25"/>
      <c r="ST312" s="25"/>
      <c r="SU312" s="25"/>
      <c r="SV312" s="25"/>
      <c r="SW312" s="25"/>
      <c r="SX312" s="25"/>
      <c r="SY312" s="25"/>
      <c r="SZ312" s="25"/>
      <c r="TA312" s="25"/>
      <c r="TB312" s="25"/>
      <c r="TC312" s="25"/>
      <c r="TD312" s="25"/>
      <c r="TE312" s="25"/>
      <c r="TF312" s="25"/>
      <c r="TG312" s="25"/>
      <c r="TH312" s="25"/>
      <c r="TI312" s="25"/>
      <c r="TJ312" s="25"/>
      <c r="TK312" s="25"/>
      <c r="TL312" s="25"/>
      <c r="TM312" s="25"/>
      <c r="TN312" s="25"/>
      <c r="TO312" s="25"/>
      <c r="TP312" s="25"/>
      <c r="TQ312" s="25"/>
      <c r="TR312" s="25"/>
      <c r="TS312" s="25"/>
      <c r="TT312" s="25"/>
      <c r="TU312" s="25"/>
      <c r="TV312" s="25"/>
      <c r="TW312" s="25"/>
      <c r="TX312" s="25"/>
      <c r="TY312" s="25"/>
      <c r="TZ312" s="25"/>
      <c r="UA312" s="25"/>
      <c r="UB312" s="25"/>
      <c r="UC312" s="25"/>
      <c r="UD312" s="25"/>
      <c r="UE312" s="25"/>
      <c r="UF312" s="25"/>
      <c r="UG312" s="26"/>
    </row>
    <row r="313" spans="1:553" ht="49.5" customHeight="1">
      <c r="A313" s="356" t="s">
        <v>15</v>
      </c>
      <c r="B313" s="385"/>
      <c r="C313" s="384" t="s">
        <v>19</v>
      </c>
      <c r="D313" s="1432" t="s">
        <v>20</v>
      </c>
      <c r="E313" s="1432">
        <v>380</v>
      </c>
      <c r="F313" s="385"/>
      <c r="G313" s="1469" t="s">
        <v>935</v>
      </c>
      <c r="H313" s="1470">
        <v>688.9</v>
      </c>
      <c r="I313" s="441">
        <v>400</v>
      </c>
      <c r="J313" s="368">
        <v>390000</v>
      </c>
      <c r="K313" s="371"/>
      <c r="L313" s="391">
        <f t="shared" ref="L313:L314" si="64">ROUND(PRODUCT(I313:K313),0)</f>
        <v>156000000</v>
      </c>
      <c r="M313" s="392"/>
      <c r="N313" s="392"/>
      <c r="O313" s="366"/>
      <c r="P313" s="366"/>
      <c r="Q313" s="1537"/>
      <c r="R313" s="1452"/>
      <c r="S313" s="308"/>
      <c r="T313" s="303"/>
      <c r="U313" s="306"/>
      <c r="V313" s="307"/>
      <c r="W313" s="306"/>
      <c r="X313" s="306"/>
      <c r="Y313" s="306"/>
      <c r="Z313" s="306"/>
      <c r="AA313" s="306"/>
      <c r="AB313" s="306"/>
      <c r="AC313" s="449">
        <f>I313</f>
        <v>400</v>
      </c>
      <c r="AD313" s="449"/>
      <c r="AE313" s="449"/>
      <c r="AF313" s="449"/>
      <c r="AG313" s="449"/>
      <c r="AH313" s="449"/>
      <c r="AI313" s="449"/>
      <c r="AJ313" s="449"/>
      <c r="AK313" s="452"/>
      <c r="AL313" s="104"/>
      <c r="AM313" s="32"/>
      <c r="AN313" s="32"/>
      <c r="AO313" s="32"/>
      <c r="AP313" s="32"/>
      <c r="AQ313" s="32"/>
      <c r="AR313" s="32"/>
      <c r="AS313" s="31"/>
      <c r="AT313" s="22"/>
      <c r="AU313" s="22"/>
      <c r="AV313" s="22"/>
      <c r="AW313" s="22"/>
      <c r="AX313" s="22"/>
      <c r="AY313" s="22"/>
      <c r="AZ313" s="22"/>
      <c r="BA313" s="22"/>
      <c r="BB313" s="22"/>
      <c r="BC313" s="22"/>
      <c r="BD313" s="22"/>
      <c r="BE313" s="22"/>
      <c r="BF313" s="22"/>
      <c r="BG313" s="22"/>
      <c r="BH313" s="22"/>
      <c r="BI313" s="22"/>
      <c r="BJ313" s="22"/>
      <c r="BK313" s="22"/>
      <c r="BL313" s="22"/>
      <c r="BM313" s="22"/>
      <c r="BN313" s="22"/>
      <c r="BO313" s="22"/>
      <c r="BP313" s="25"/>
      <c r="BQ313" s="25"/>
      <c r="BR313" s="25"/>
      <c r="BS313" s="25"/>
      <c r="BT313" s="25"/>
      <c r="BU313" s="25"/>
      <c r="BV313" s="25"/>
      <c r="BW313" s="25"/>
      <c r="BX313" s="25"/>
      <c r="BY313" s="25"/>
      <c r="BZ313" s="25"/>
      <c r="CA313" s="25"/>
      <c r="CB313" s="25"/>
      <c r="CC313" s="25"/>
      <c r="CD313" s="25"/>
      <c r="CE313" s="25"/>
      <c r="CF313" s="25"/>
      <c r="CG313" s="25"/>
      <c r="CH313" s="25"/>
      <c r="CI313" s="25"/>
      <c r="CJ313" s="25"/>
      <c r="CK313" s="25"/>
      <c r="CL313" s="25"/>
      <c r="CM313" s="25"/>
      <c r="CN313" s="25"/>
      <c r="CO313" s="25"/>
      <c r="CP313" s="25"/>
      <c r="CQ313" s="25"/>
      <c r="CR313" s="25"/>
      <c r="CS313" s="25"/>
      <c r="CT313" s="25"/>
      <c r="CU313" s="25"/>
      <c r="CV313" s="25"/>
      <c r="CW313" s="25"/>
      <c r="CX313" s="25"/>
      <c r="CY313" s="25"/>
      <c r="CZ313" s="25"/>
      <c r="DA313" s="25"/>
      <c r="DB313" s="25"/>
      <c r="DC313" s="25"/>
      <c r="DD313" s="25"/>
      <c r="DE313" s="25"/>
      <c r="DF313" s="25"/>
      <c r="DG313" s="25"/>
      <c r="DH313" s="25"/>
      <c r="DI313" s="25"/>
      <c r="DJ313" s="25"/>
      <c r="DK313" s="25"/>
      <c r="DL313" s="25"/>
      <c r="DM313" s="25"/>
      <c r="DN313" s="25"/>
      <c r="DO313" s="25"/>
      <c r="DP313" s="25"/>
      <c r="DQ313" s="25"/>
      <c r="DR313" s="25"/>
      <c r="DS313" s="25"/>
      <c r="DT313" s="25"/>
      <c r="DU313" s="25"/>
      <c r="DV313" s="25"/>
      <c r="DW313" s="25"/>
      <c r="DX313" s="25"/>
      <c r="DY313" s="25"/>
      <c r="DZ313" s="25"/>
      <c r="EA313" s="25"/>
      <c r="EB313" s="25"/>
      <c r="EC313" s="25"/>
      <c r="ED313" s="25"/>
      <c r="EE313" s="25"/>
      <c r="EF313" s="25"/>
      <c r="EG313" s="25"/>
      <c r="EH313" s="25"/>
      <c r="EI313" s="25"/>
      <c r="EJ313" s="25"/>
      <c r="EK313" s="25"/>
      <c r="EL313" s="25"/>
      <c r="EM313" s="25"/>
      <c r="EN313" s="25"/>
      <c r="EO313" s="25"/>
      <c r="EP313" s="25"/>
      <c r="EQ313" s="25"/>
      <c r="ER313" s="25"/>
      <c r="ES313" s="25"/>
      <c r="ET313" s="25"/>
      <c r="EU313" s="25"/>
      <c r="EV313" s="25"/>
      <c r="EW313" s="25"/>
      <c r="EX313" s="25"/>
      <c r="EY313" s="25"/>
      <c r="EZ313" s="25"/>
      <c r="FA313" s="25"/>
      <c r="FB313" s="25"/>
      <c r="FC313" s="25"/>
      <c r="FD313" s="25"/>
      <c r="FE313" s="25"/>
      <c r="FF313" s="25"/>
      <c r="FG313" s="25"/>
      <c r="FH313" s="25"/>
      <c r="FI313" s="25"/>
      <c r="FJ313" s="25"/>
      <c r="FK313" s="25"/>
      <c r="FL313" s="25"/>
      <c r="FM313" s="25"/>
      <c r="FN313" s="25"/>
      <c r="FO313" s="25"/>
      <c r="FP313" s="25"/>
      <c r="FQ313" s="25"/>
      <c r="FR313" s="25"/>
      <c r="FS313" s="25"/>
      <c r="FT313" s="25"/>
      <c r="FU313" s="25"/>
      <c r="FV313" s="25"/>
      <c r="FW313" s="25"/>
      <c r="FX313" s="25"/>
      <c r="FY313" s="25"/>
      <c r="FZ313" s="25"/>
      <c r="GA313" s="25"/>
      <c r="GB313" s="25"/>
      <c r="GC313" s="25"/>
      <c r="GD313" s="25"/>
      <c r="GE313" s="25"/>
      <c r="GF313" s="25"/>
      <c r="GG313" s="25"/>
      <c r="GH313" s="25"/>
      <c r="GI313" s="25"/>
      <c r="GJ313" s="25"/>
      <c r="GK313" s="25"/>
      <c r="GL313" s="25"/>
      <c r="GM313" s="25"/>
      <c r="GN313" s="25"/>
      <c r="GO313" s="25"/>
      <c r="GP313" s="25"/>
      <c r="GQ313" s="25"/>
      <c r="GR313" s="25"/>
      <c r="GS313" s="25"/>
      <c r="GT313" s="25"/>
      <c r="GU313" s="25"/>
      <c r="GV313" s="25"/>
      <c r="GW313" s="25"/>
      <c r="GX313" s="25"/>
      <c r="GY313" s="25"/>
      <c r="GZ313" s="25"/>
      <c r="HA313" s="25"/>
      <c r="HB313" s="25"/>
      <c r="HC313" s="25"/>
      <c r="HD313" s="25"/>
      <c r="HE313" s="25"/>
      <c r="HF313" s="25"/>
      <c r="HG313" s="25"/>
      <c r="HH313" s="25"/>
      <c r="HI313" s="25"/>
      <c r="HJ313" s="25"/>
      <c r="HK313" s="25"/>
      <c r="HL313" s="25"/>
      <c r="HM313" s="25"/>
      <c r="HN313" s="25"/>
      <c r="HO313" s="25"/>
      <c r="HP313" s="25"/>
      <c r="HQ313" s="25"/>
      <c r="HR313" s="25"/>
      <c r="HS313" s="25"/>
      <c r="HT313" s="25"/>
      <c r="HU313" s="25"/>
      <c r="HV313" s="25"/>
      <c r="HW313" s="25"/>
      <c r="HX313" s="25"/>
      <c r="HY313" s="25"/>
      <c r="HZ313" s="25"/>
      <c r="IA313" s="25"/>
      <c r="IB313" s="25"/>
      <c r="IC313" s="25"/>
      <c r="ID313" s="25"/>
      <c r="IE313" s="25"/>
      <c r="IF313" s="25"/>
      <c r="IG313" s="25"/>
      <c r="IH313" s="25"/>
      <c r="II313" s="25"/>
      <c r="IJ313" s="25"/>
      <c r="IK313" s="25"/>
      <c r="IL313" s="25"/>
      <c r="IM313" s="25"/>
      <c r="IN313" s="25"/>
      <c r="IO313" s="25"/>
      <c r="IP313" s="25"/>
      <c r="IQ313" s="25"/>
      <c r="IR313" s="25"/>
      <c r="IS313" s="25"/>
      <c r="IT313" s="25"/>
      <c r="IU313" s="25"/>
      <c r="IV313" s="25"/>
      <c r="IW313" s="25"/>
      <c r="IX313" s="25"/>
      <c r="IY313" s="25"/>
      <c r="IZ313" s="25"/>
      <c r="JA313" s="25"/>
      <c r="JB313" s="25"/>
      <c r="JC313" s="25"/>
      <c r="JD313" s="25"/>
      <c r="JE313" s="25"/>
      <c r="JF313" s="25"/>
      <c r="JG313" s="25"/>
      <c r="JH313" s="25"/>
      <c r="JI313" s="25"/>
      <c r="JJ313" s="25"/>
      <c r="JK313" s="25"/>
      <c r="JL313" s="25"/>
      <c r="JM313" s="25"/>
      <c r="JN313" s="25"/>
      <c r="JO313" s="25"/>
      <c r="JP313" s="25"/>
      <c r="JQ313" s="25"/>
      <c r="JR313" s="25"/>
      <c r="JS313" s="25"/>
      <c r="JT313" s="25"/>
      <c r="JU313" s="25"/>
      <c r="JV313" s="25"/>
      <c r="JW313" s="25"/>
      <c r="JX313" s="25"/>
      <c r="JY313" s="25"/>
      <c r="JZ313" s="25"/>
      <c r="KA313" s="25"/>
      <c r="KB313" s="25"/>
      <c r="KC313" s="25"/>
      <c r="KD313" s="25"/>
      <c r="KE313" s="25"/>
      <c r="KF313" s="25"/>
      <c r="KG313" s="25"/>
      <c r="KH313" s="25"/>
      <c r="KI313" s="25"/>
      <c r="KJ313" s="25"/>
      <c r="KK313" s="25"/>
      <c r="KL313" s="25"/>
      <c r="KM313" s="25"/>
      <c r="KN313" s="25"/>
      <c r="KO313" s="25"/>
      <c r="KP313" s="25"/>
      <c r="KQ313" s="25"/>
      <c r="KR313" s="25"/>
      <c r="KS313" s="25"/>
      <c r="KT313" s="25"/>
      <c r="KU313" s="25"/>
      <c r="KV313" s="25"/>
      <c r="KW313" s="25"/>
      <c r="KX313" s="25"/>
      <c r="KY313" s="25"/>
      <c r="KZ313" s="25"/>
      <c r="LA313" s="25"/>
      <c r="LB313" s="25"/>
      <c r="LC313" s="25"/>
      <c r="LD313" s="25"/>
      <c r="LE313" s="25"/>
      <c r="LF313" s="25"/>
      <c r="LG313" s="25"/>
      <c r="LH313" s="25"/>
      <c r="LI313" s="25"/>
      <c r="LJ313" s="25"/>
      <c r="LK313" s="25"/>
      <c r="LL313" s="25"/>
      <c r="LM313" s="25"/>
      <c r="LN313" s="25"/>
      <c r="LO313" s="25"/>
      <c r="LP313" s="25"/>
      <c r="LQ313" s="25"/>
      <c r="LR313" s="25"/>
      <c r="LS313" s="25"/>
      <c r="LT313" s="25"/>
      <c r="LU313" s="25"/>
      <c r="LV313" s="25"/>
      <c r="LW313" s="25"/>
      <c r="LX313" s="25"/>
      <c r="LY313" s="25"/>
      <c r="LZ313" s="25"/>
      <c r="MA313" s="25"/>
      <c r="MB313" s="25"/>
      <c r="MC313" s="25"/>
      <c r="MD313" s="25"/>
      <c r="ME313" s="25"/>
      <c r="MF313" s="25"/>
      <c r="MG313" s="25"/>
      <c r="MH313" s="25"/>
      <c r="MI313" s="25"/>
      <c r="MJ313" s="25"/>
      <c r="MK313" s="25"/>
      <c r="ML313" s="25"/>
      <c r="MM313" s="25"/>
      <c r="MN313" s="25"/>
      <c r="MO313" s="25"/>
      <c r="MP313" s="25"/>
      <c r="MQ313" s="25"/>
      <c r="MR313" s="25"/>
      <c r="MS313" s="25"/>
      <c r="MT313" s="25"/>
      <c r="MU313" s="25"/>
      <c r="MV313" s="25"/>
      <c r="MW313" s="25"/>
      <c r="MX313" s="25"/>
      <c r="MY313" s="25"/>
      <c r="MZ313" s="25"/>
      <c r="NA313" s="25"/>
      <c r="NB313" s="25"/>
      <c r="NC313" s="25"/>
      <c r="ND313" s="25"/>
      <c r="NE313" s="25"/>
      <c r="NF313" s="25"/>
      <c r="NG313" s="25"/>
      <c r="NH313" s="25"/>
      <c r="NI313" s="25"/>
      <c r="NJ313" s="25"/>
      <c r="NK313" s="25"/>
      <c r="NL313" s="25"/>
      <c r="NM313" s="25"/>
      <c r="NN313" s="25"/>
      <c r="NO313" s="25"/>
      <c r="NP313" s="25"/>
      <c r="NQ313" s="25"/>
      <c r="NR313" s="25"/>
      <c r="NS313" s="25"/>
      <c r="NT313" s="25"/>
      <c r="NU313" s="25"/>
      <c r="NV313" s="25"/>
      <c r="NW313" s="25"/>
      <c r="NX313" s="25"/>
      <c r="NY313" s="25"/>
      <c r="NZ313" s="25"/>
      <c r="OA313" s="25"/>
      <c r="OB313" s="25"/>
      <c r="OC313" s="25"/>
      <c r="OD313" s="25"/>
      <c r="OE313" s="25"/>
      <c r="OF313" s="25"/>
      <c r="OG313" s="25"/>
      <c r="OH313" s="25"/>
      <c r="OI313" s="25"/>
      <c r="OJ313" s="25"/>
      <c r="OK313" s="25"/>
      <c r="OL313" s="25"/>
      <c r="OM313" s="25"/>
      <c r="ON313" s="25"/>
      <c r="OO313" s="25"/>
      <c r="OP313" s="25"/>
      <c r="OQ313" s="25"/>
      <c r="OR313" s="25"/>
      <c r="OS313" s="25"/>
      <c r="OT313" s="25"/>
      <c r="OU313" s="25"/>
      <c r="OV313" s="25"/>
      <c r="OW313" s="25"/>
      <c r="OX313" s="25"/>
      <c r="OY313" s="25"/>
      <c r="OZ313" s="25"/>
      <c r="PA313" s="25"/>
      <c r="PB313" s="25"/>
      <c r="PC313" s="25"/>
      <c r="PD313" s="25"/>
      <c r="PE313" s="25"/>
      <c r="PF313" s="25"/>
      <c r="PG313" s="25"/>
      <c r="PH313" s="25"/>
      <c r="PI313" s="25"/>
      <c r="PJ313" s="25"/>
      <c r="PK313" s="25"/>
      <c r="PL313" s="25"/>
      <c r="PM313" s="25"/>
      <c r="PN313" s="25"/>
      <c r="PO313" s="25"/>
      <c r="PP313" s="25"/>
      <c r="PQ313" s="25"/>
      <c r="PR313" s="25"/>
      <c r="PS313" s="25"/>
      <c r="PT313" s="25"/>
      <c r="PU313" s="25"/>
      <c r="PV313" s="25"/>
      <c r="PW313" s="25"/>
      <c r="PX313" s="25"/>
      <c r="PY313" s="25"/>
      <c r="PZ313" s="25"/>
      <c r="QA313" s="25"/>
      <c r="QB313" s="25"/>
      <c r="QC313" s="25"/>
      <c r="QD313" s="25"/>
      <c r="QE313" s="25"/>
      <c r="QF313" s="25"/>
      <c r="QG313" s="25"/>
      <c r="QH313" s="25"/>
      <c r="QI313" s="25"/>
      <c r="QJ313" s="25"/>
      <c r="QK313" s="25"/>
      <c r="QL313" s="25"/>
      <c r="QM313" s="25"/>
      <c r="QN313" s="25"/>
      <c r="QO313" s="25"/>
      <c r="QP313" s="25"/>
      <c r="QQ313" s="25"/>
      <c r="QR313" s="25"/>
      <c r="QS313" s="25"/>
      <c r="QT313" s="25"/>
      <c r="QU313" s="25"/>
      <c r="QV313" s="25"/>
      <c r="QW313" s="25"/>
      <c r="QX313" s="25"/>
      <c r="QY313" s="25"/>
      <c r="QZ313" s="25"/>
      <c r="RA313" s="25"/>
      <c r="RB313" s="25"/>
      <c r="RC313" s="25"/>
      <c r="RD313" s="25"/>
      <c r="RE313" s="25"/>
      <c r="RF313" s="25"/>
      <c r="RG313" s="25"/>
      <c r="RH313" s="25"/>
      <c r="RI313" s="25"/>
      <c r="RJ313" s="25"/>
      <c r="RK313" s="25"/>
      <c r="RL313" s="25"/>
      <c r="RM313" s="25"/>
      <c r="RN313" s="25"/>
      <c r="RO313" s="25"/>
      <c r="RP313" s="25"/>
      <c r="RQ313" s="25"/>
      <c r="RR313" s="25"/>
      <c r="RS313" s="25"/>
      <c r="RT313" s="25"/>
      <c r="RU313" s="25"/>
      <c r="RV313" s="25"/>
      <c r="RW313" s="25"/>
      <c r="RX313" s="25"/>
      <c r="RY313" s="25"/>
      <c r="RZ313" s="25"/>
      <c r="SA313" s="25"/>
      <c r="SB313" s="25"/>
      <c r="SC313" s="25"/>
      <c r="SD313" s="25"/>
      <c r="SE313" s="25"/>
      <c r="SF313" s="25"/>
      <c r="SG313" s="25"/>
      <c r="SH313" s="25"/>
      <c r="SI313" s="25"/>
      <c r="SJ313" s="25"/>
      <c r="SK313" s="25"/>
      <c r="SL313" s="25"/>
      <c r="SM313" s="25"/>
      <c r="SN313" s="25"/>
      <c r="SO313" s="25"/>
      <c r="SP313" s="25"/>
      <c r="SQ313" s="25"/>
      <c r="SR313" s="25"/>
      <c r="SS313" s="25"/>
      <c r="ST313" s="25"/>
      <c r="SU313" s="25"/>
      <c r="SV313" s="25"/>
      <c r="SW313" s="25"/>
      <c r="SX313" s="25"/>
      <c r="SY313" s="25"/>
      <c r="SZ313" s="25"/>
      <c r="TA313" s="25"/>
      <c r="TB313" s="25"/>
      <c r="TC313" s="25"/>
      <c r="TD313" s="25"/>
      <c r="TE313" s="25"/>
      <c r="TF313" s="25"/>
      <c r="TG313" s="25"/>
      <c r="TH313" s="25"/>
      <c r="TI313" s="25"/>
      <c r="TJ313" s="25"/>
      <c r="TK313" s="25"/>
      <c r="TL313" s="25"/>
      <c r="TM313" s="25"/>
      <c r="TN313" s="25"/>
      <c r="TO313" s="25"/>
      <c r="TP313" s="25"/>
      <c r="TQ313" s="25"/>
      <c r="TR313" s="25"/>
      <c r="TS313" s="25"/>
      <c r="TT313" s="25"/>
      <c r="TU313" s="25"/>
      <c r="TV313" s="25"/>
      <c r="TW313" s="25"/>
      <c r="TX313" s="25"/>
      <c r="TY313" s="25"/>
      <c r="TZ313" s="25"/>
      <c r="UA313" s="25"/>
      <c r="UB313" s="25"/>
      <c r="UC313" s="25"/>
      <c r="UD313" s="25"/>
      <c r="UE313" s="25"/>
      <c r="UF313" s="25"/>
      <c r="UG313" s="26"/>
    </row>
    <row r="314" spans="1:553" s="169" customFormat="1" ht="80.25" customHeight="1">
      <c r="A314" s="356" t="s">
        <v>15</v>
      </c>
      <c r="B314" s="385"/>
      <c r="C314" s="384" t="s">
        <v>22</v>
      </c>
      <c r="D314" s="1433"/>
      <c r="E314" s="1434"/>
      <c r="F314" s="385"/>
      <c r="G314" s="1434"/>
      <c r="H314" s="1433"/>
      <c r="I314" s="441">
        <f>H313-I313</f>
        <v>288.89999999999998</v>
      </c>
      <c r="J314" s="368">
        <v>60000</v>
      </c>
      <c r="K314" s="371"/>
      <c r="L314" s="391">
        <f t="shared" si="64"/>
        <v>17334000</v>
      </c>
      <c r="M314" s="392"/>
      <c r="N314" s="392"/>
      <c r="O314" s="366"/>
      <c r="P314" s="366"/>
      <c r="Q314" s="1445"/>
      <c r="R314" s="1452"/>
      <c r="S314" s="308"/>
      <c r="T314" s="303"/>
      <c r="U314" s="306"/>
      <c r="V314" s="307"/>
      <c r="W314" s="306"/>
      <c r="X314" s="306"/>
      <c r="Y314" s="306"/>
      <c r="Z314" s="306"/>
      <c r="AA314" s="306"/>
      <c r="AB314" s="306">
        <f>I314</f>
        <v>288.89999999999998</v>
      </c>
      <c r="AC314" s="449"/>
      <c r="AD314" s="449"/>
      <c r="AE314" s="449"/>
      <c r="AF314" s="449"/>
      <c r="AG314" s="449"/>
      <c r="AH314" s="449"/>
      <c r="AI314" s="449"/>
      <c r="AJ314" s="449"/>
      <c r="AK314" s="452"/>
      <c r="AL314" s="869"/>
      <c r="AM314" s="870"/>
      <c r="AN314" s="870"/>
      <c r="AO314" s="870"/>
      <c r="AP314" s="870"/>
      <c r="AQ314" s="870"/>
      <c r="AR314" s="870"/>
      <c r="AS314" s="165"/>
      <c r="AT314" s="166"/>
      <c r="AU314" s="166"/>
      <c r="AV314" s="166"/>
      <c r="AW314" s="166"/>
      <c r="AX314" s="166"/>
      <c r="AY314" s="166"/>
      <c r="AZ314" s="166"/>
      <c r="BA314" s="166"/>
      <c r="BB314" s="166"/>
      <c r="BC314" s="166"/>
      <c r="BD314" s="166"/>
      <c r="BE314" s="166"/>
      <c r="BF314" s="166"/>
      <c r="BG314" s="166"/>
      <c r="BH314" s="166"/>
      <c r="BI314" s="166"/>
      <c r="BJ314" s="166"/>
      <c r="BK314" s="166"/>
      <c r="BL314" s="166"/>
      <c r="BM314" s="166"/>
      <c r="BN314" s="166"/>
      <c r="BO314" s="166"/>
      <c r="BP314" s="167"/>
      <c r="BQ314" s="167"/>
      <c r="BR314" s="167"/>
      <c r="BS314" s="167"/>
      <c r="BT314" s="167"/>
      <c r="BU314" s="167"/>
      <c r="BV314" s="167"/>
      <c r="BW314" s="167"/>
      <c r="BX314" s="167"/>
      <c r="BY314" s="167"/>
      <c r="BZ314" s="167"/>
      <c r="CA314" s="167"/>
      <c r="CB314" s="167"/>
      <c r="CC314" s="167"/>
      <c r="CD314" s="167"/>
      <c r="CE314" s="167"/>
      <c r="CF314" s="167"/>
      <c r="CG314" s="167"/>
      <c r="CH314" s="167"/>
      <c r="CI314" s="167"/>
      <c r="CJ314" s="167"/>
      <c r="CK314" s="167"/>
      <c r="CL314" s="167"/>
      <c r="CM314" s="167"/>
      <c r="CN314" s="167"/>
      <c r="CO314" s="167"/>
      <c r="CP314" s="167"/>
      <c r="CQ314" s="167"/>
      <c r="CR314" s="167"/>
      <c r="CS314" s="167"/>
      <c r="CT314" s="167"/>
      <c r="CU314" s="167"/>
      <c r="CV314" s="167"/>
      <c r="CW314" s="167"/>
      <c r="CX314" s="167"/>
      <c r="CY314" s="167"/>
      <c r="CZ314" s="167"/>
      <c r="DA314" s="167"/>
      <c r="DB314" s="167"/>
      <c r="DC314" s="167"/>
      <c r="DD314" s="167"/>
      <c r="DE314" s="167"/>
      <c r="DF314" s="167"/>
      <c r="DG314" s="167"/>
      <c r="DH314" s="167"/>
      <c r="DI314" s="167"/>
      <c r="DJ314" s="167"/>
      <c r="DK314" s="167"/>
      <c r="DL314" s="167"/>
      <c r="DM314" s="167"/>
      <c r="DN314" s="167"/>
      <c r="DO314" s="167"/>
      <c r="DP314" s="167"/>
      <c r="DQ314" s="167"/>
      <c r="DR314" s="167"/>
      <c r="DS314" s="167"/>
      <c r="DT314" s="167"/>
      <c r="DU314" s="167"/>
      <c r="DV314" s="167"/>
      <c r="DW314" s="167"/>
      <c r="DX314" s="167"/>
      <c r="DY314" s="167"/>
      <c r="DZ314" s="167"/>
      <c r="EA314" s="167"/>
      <c r="EB314" s="167"/>
      <c r="EC314" s="167"/>
      <c r="ED314" s="167"/>
      <c r="EE314" s="167"/>
      <c r="EF314" s="167"/>
      <c r="EG314" s="167"/>
      <c r="EH314" s="167"/>
      <c r="EI314" s="167"/>
      <c r="EJ314" s="167"/>
      <c r="EK314" s="167"/>
      <c r="EL314" s="167"/>
      <c r="EM314" s="167"/>
      <c r="EN314" s="167"/>
      <c r="EO314" s="167"/>
      <c r="EP314" s="167"/>
      <c r="EQ314" s="167"/>
      <c r="ER314" s="167"/>
      <c r="ES314" s="167"/>
      <c r="ET314" s="167"/>
      <c r="EU314" s="167"/>
      <c r="EV314" s="167"/>
      <c r="EW314" s="167"/>
      <c r="EX314" s="167"/>
      <c r="EY314" s="167"/>
      <c r="EZ314" s="167"/>
      <c r="FA314" s="167"/>
      <c r="FB314" s="167"/>
      <c r="FC314" s="167"/>
      <c r="FD314" s="167"/>
      <c r="FE314" s="167"/>
      <c r="FF314" s="167"/>
      <c r="FG314" s="167"/>
      <c r="FH314" s="167"/>
      <c r="FI314" s="167"/>
      <c r="FJ314" s="167"/>
      <c r="FK314" s="167"/>
      <c r="FL314" s="167"/>
      <c r="FM314" s="167"/>
      <c r="FN314" s="167"/>
      <c r="FO314" s="167"/>
      <c r="FP314" s="167"/>
      <c r="FQ314" s="167"/>
      <c r="FR314" s="167"/>
      <c r="FS314" s="167"/>
      <c r="FT314" s="167"/>
      <c r="FU314" s="167"/>
      <c r="FV314" s="167"/>
      <c r="FW314" s="167"/>
      <c r="FX314" s="167"/>
      <c r="FY314" s="167"/>
      <c r="FZ314" s="167"/>
      <c r="GA314" s="167"/>
      <c r="GB314" s="167"/>
      <c r="GC314" s="167"/>
      <c r="GD314" s="167"/>
      <c r="GE314" s="167"/>
      <c r="GF314" s="167"/>
      <c r="GG314" s="167"/>
      <c r="GH314" s="167"/>
      <c r="GI314" s="167"/>
      <c r="GJ314" s="167"/>
      <c r="GK314" s="167"/>
      <c r="GL314" s="167"/>
      <c r="GM314" s="167"/>
      <c r="GN314" s="167"/>
      <c r="GO314" s="167"/>
      <c r="GP314" s="167"/>
      <c r="GQ314" s="167"/>
      <c r="GR314" s="167"/>
      <c r="GS314" s="167"/>
      <c r="GT314" s="167"/>
      <c r="GU314" s="167"/>
      <c r="GV314" s="167"/>
      <c r="GW314" s="167"/>
      <c r="GX314" s="167"/>
      <c r="GY314" s="167"/>
      <c r="GZ314" s="167"/>
      <c r="HA314" s="167"/>
      <c r="HB314" s="167"/>
      <c r="HC314" s="167"/>
      <c r="HD314" s="167"/>
      <c r="HE314" s="167"/>
      <c r="HF314" s="167"/>
      <c r="HG314" s="167"/>
      <c r="HH314" s="167"/>
      <c r="HI314" s="167"/>
      <c r="HJ314" s="167"/>
      <c r="HK314" s="167"/>
      <c r="HL314" s="167"/>
      <c r="HM314" s="167"/>
      <c r="HN314" s="167"/>
      <c r="HO314" s="167"/>
      <c r="HP314" s="167"/>
      <c r="HQ314" s="167"/>
      <c r="HR314" s="167"/>
      <c r="HS314" s="167"/>
      <c r="HT314" s="167"/>
      <c r="HU314" s="167"/>
      <c r="HV314" s="167"/>
      <c r="HW314" s="167"/>
      <c r="HX314" s="167"/>
      <c r="HY314" s="167"/>
      <c r="HZ314" s="167"/>
      <c r="IA314" s="167"/>
      <c r="IB314" s="167"/>
      <c r="IC314" s="167"/>
      <c r="ID314" s="167"/>
      <c r="IE314" s="167"/>
      <c r="IF314" s="167"/>
      <c r="IG314" s="167"/>
      <c r="IH314" s="167"/>
      <c r="II314" s="167"/>
      <c r="IJ314" s="167"/>
      <c r="IK314" s="167"/>
      <c r="IL314" s="167"/>
      <c r="IM314" s="167"/>
      <c r="IN314" s="167"/>
      <c r="IO314" s="167"/>
      <c r="IP314" s="167"/>
      <c r="IQ314" s="167"/>
      <c r="IR314" s="167"/>
      <c r="IS314" s="167"/>
      <c r="IT314" s="167"/>
      <c r="IU314" s="167"/>
      <c r="IV314" s="167"/>
      <c r="IW314" s="167"/>
      <c r="IX314" s="167"/>
      <c r="IY314" s="167"/>
      <c r="IZ314" s="167"/>
      <c r="JA314" s="167"/>
      <c r="JB314" s="167"/>
      <c r="JC314" s="167"/>
      <c r="JD314" s="167"/>
      <c r="JE314" s="167"/>
      <c r="JF314" s="167"/>
      <c r="JG314" s="167"/>
      <c r="JH314" s="167"/>
      <c r="JI314" s="167"/>
      <c r="JJ314" s="167"/>
      <c r="JK314" s="167"/>
      <c r="JL314" s="167"/>
      <c r="JM314" s="167"/>
      <c r="JN314" s="167"/>
      <c r="JO314" s="167"/>
      <c r="JP314" s="167"/>
      <c r="JQ314" s="167"/>
      <c r="JR314" s="167"/>
      <c r="JS314" s="167"/>
      <c r="JT314" s="167"/>
      <c r="JU314" s="167"/>
      <c r="JV314" s="167"/>
      <c r="JW314" s="167"/>
      <c r="JX314" s="167"/>
      <c r="JY314" s="167"/>
      <c r="JZ314" s="167"/>
      <c r="KA314" s="167"/>
      <c r="KB314" s="167"/>
      <c r="KC314" s="167"/>
      <c r="KD314" s="167"/>
      <c r="KE314" s="167"/>
      <c r="KF314" s="167"/>
      <c r="KG314" s="167"/>
      <c r="KH314" s="167"/>
      <c r="KI314" s="167"/>
      <c r="KJ314" s="167"/>
      <c r="KK314" s="167"/>
      <c r="KL314" s="167"/>
      <c r="KM314" s="167"/>
      <c r="KN314" s="167"/>
      <c r="KO314" s="167"/>
      <c r="KP314" s="167"/>
      <c r="KQ314" s="167"/>
      <c r="KR314" s="167"/>
      <c r="KS314" s="167"/>
      <c r="KT314" s="167"/>
      <c r="KU314" s="167"/>
      <c r="KV314" s="167"/>
      <c r="KW314" s="167"/>
      <c r="KX314" s="167"/>
      <c r="KY314" s="167"/>
      <c r="KZ314" s="167"/>
      <c r="LA314" s="167"/>
      <c r="LB314" s="167"/>
      <c r="LC314" s="167"/>
      <c r="LD314" s="167"/>
      <c r="LE314" s="167"/>
      <c r="LF314" s="167"/>
      <c r="LG314" s="167"/>
      <c r="LH314" s="167"/>
      <c r="LI314" s="167"/>
      <c r="LJ314" s="167"/>
      <c r="LK314" s="167"/>
      <c r="LL314" s="167"/>
      <c r="LM314" s="167"/>
      <c r="LN314" s="167"/>
      <c r="LO314" s="167"/>
      <c r="LP314" s="167"/>
      <c r="LQ314" s="167"/>
      <c r="LR314" s="167"/>
      <c r="LS314" s="167"/>
      <c r="LT314" s="167"/>
      <c r="LU314" s="167"/>
      <c r="LV314" s="167"/>
      <c r="LW314" s="167"/>
      <c r="LX314" s="167"/>
      <c r="LY314" s="167"/>
      <c r="LZ314" s="167"/>
      <c r="MA314" s="167"/>
      <c r="MB314" s="167"/>
      <c r="MC314" s="167"/>
      <c r="MD314" s="167"/>
      <c r="ME314" s="167"/>
      <c r="MF314" s="167"/>
      <c r="MG314" s="167"/>
      <c r="MH314" s="167"/>
      <c r="MI314" s="167"/>
      <c r="MJ314" s="167"/>
      <c r="MK314" s="167"/>
      <c r="ML314" s="167"/>
      <c r="MM314" s="167"/>
      <c r="MN314" s="167"/>
      <c r="MO314" s="167"/>
      <c r="MP314" s="167"/>
      <c r="MQ314" s="167"/>
      <c r="MR314" s="167"/>
      <c r="MS314" s="167"/>
      <c r="MT314" s="167"/>
      <c r="MU314" s="167"/>
      <c r="MV314" s="167"/>
      <c r="MW314" s="167"/>
      <c r="MX314" s="167"/>
      <c r="MY314" s="167"/>
      <c r="MZ314" s="167"/>
      <c r="NA314" s="167"/>
      <c r="NB314" s="167"/>
      <c r="NC314" s="167"/>
      <c r="ND314" s="167"/>
      <c r="NE314" s="167"/>
      <c r="NF314" s="167"/>
      <c r="NG314" s="167"/>
      <c r="NH314" s="167"/>
      <c r="NI314" s="167"/>
      <c r="NJ314" s="167"/>
      <c r="NK314" s="167"/>
      <c r="NL314" s="167"/>
      <c r="NM314" s="167"/>
      <c r="NN314" s="167"/>
      <c r="NO314" s="167"/>
      <c r="NP314" s="167"/>
      <c r="NQ314" s="167"/>
      <c r="NR314" s="167"/>
      <c r="NS314" s="167"/>
      <c r="NT314" s="167"/>
      <c r="NU314" s="167"/>
      <c r="NV314" s="167"/>
      <c r="NW314" s="167"/>
      <c r="NX314" s="167"/>
      <c r="NY314" s="167"/>
      <c r="NZ314" s="167"/>
      <c r="OA314" s="167"/>
      <c r="OB314" s="167"/>
      <c r="OC314" s="167"/>
      <c r="OD314" s="167"/>
      <c r="OE314" s="167"/>
      <c r="OF314" s="167"/>
      <c r="OG314" s="167"/>
      <c r="OH314" s="167"/>
      <c r="OI314" s="167"/>
      <c r="OJ314" s="167"/>
      <c r="OK314" s="167"/>
      <c r="OL314" s="167"/>
      <c r="OM314" s="167"/>
      <c r="ON314" s="167"/>
      <c r="OO314" s="167"/>
      <c r="OP314" s="167"/>
      <c r="OQ314" s="167"/>
      <c r="OR314" s="167"/>
      <c r="OS314" s="167"/>
      <c r="OT314" s="167"/>
      <c r="OU314" s="167"/>
      <c r="OV314" s="167"/>
      <c r="OW314" s="167"/>
      <c r="OX314" s="167"/>
      <c r="OY314" s="167"/>
      <c r="OZ314" s="167"/>
      <c r="PA314" s="167"/>
      <c r="PB314" s="167"/>
      <c r="PC314" s="167"/>
      <c r="PD314" s="167"/>
      <c r="PE314" s="167"/>
      <c r="PF314" s="167"/>
      <c r="PG314" s="167"/>
      <c r="PH314" s="167"/>
      <c r="PI314" s="167"/>
      <c r="PJ314" s="167"/>
      <c r="PK314" s="167"/>
      <c r="PL314" s="167"/>
      <c r="PM314" s="167"/>
      <c r="PN314" s="167"/>
      <c r="PO314" s="167"/>
      <c r="PP314" s="167"/>
      <c r="PQ314" s="167"/>
      <c r="PR314" s="167"/>
      <c r="PS314" s="167"/>
      <c r="PT314" s="167"/>
      <c r="PU314" s="167"/>
      <c r="PV314" s="167"/>
      <c r="PW314" s="167"/>
      <c r="PX314" s="167"/>
      <c r="PY314" s="167"/>
      <c r="PZ314" s="167"/>
      <c r="QA314" s="167"/>
      <c r="QB314" s="167"/>
      <c r="QC314" s="167"/>
      <c r="QD314" s="167"/>
      <c r="QE314" s="167"/>
      <c r="QF314" s="167"/>
      <c r="QG314" s="167"/>
      <c r="QH314" s="167"/>
      <c r="QI314" s="167"/>
      <c r="QJ314" s="167"/>
      <c r="QK314" s="167"/>
      <c r="QL314" s="167"/>
      <c r="QM314" s="167"/>
      <c r="QN314" s="167"/>
      <c r="QO314" s="167"/>
      <c r="QP314" s="167"/>
      <c r="QQ314" s="167"/>
      <c r="QR314" s="167"/>
      <c r="QS314" s="167"/>
      <c r="QT314" s="167"/>
      <c r="QU314" s="167"/>
      <c r="QV314" s="167"/>
      <c r="QW314" s="167"/>
      <c r="QX314" s="167"/>
      <c r="QY314" s="167"/>
      <c r="QZ314" s="167"/>
      <c r="RA314" s="167"/>
      <c r="RB314" s="167"/>
      <c r="RC314" s="167"/>
      <c r="RD314" s="167"/>
      <c r="RE314" s="167"/>
      <c r="RF314" s="167"/>
      <c r="RG314" s="167"/>
      <c r="RH314" s="167"/>
      <c r="RI314" s="167"/>
      <c r="RJ314" s="167"/>
      <c r="RK314" s="167"/>
      <c r="RL314" s="167"/>
      <c r="RM314" s="167"/>
      <c r="RN314" s="167"/>
      <c r="RO314" s="167"/>
      <c r="RP314" s="167"/>
      <c r="RQ314" s="167"/>
      <c r="RR314" s="167"/>
      <c r="RS314" s="167"/>
      <c r="RT314" s="167"/>
      <c r="RU314" s="167"/>
      <c r="RV314" s="167"/>
      <c r="RW314" s="167"/>
      <c r="RX314" s="167"/>
      <c r="RY314" s="167"/>
      <c r="RZ314" s="167"/>
      <c r="SA314" s="167"/>
      <c r="SB314" s="167"/>
      <c r="SC314" s="167"/>
      <c r="SD314" s="167"/>
      <c r="SE314" s="167"/>
      <c r="SF314" s="167"/>
      <c r="SG314" s="167"/>
      <c r="SH314" s="167"/>
      <c r="SI314" s="167"/>
      <c r="SJ314" s="167"/>
      <c r="SK314" s="167"/>
      <c r="SL314" s="167"/>
      <c r="SM314" s="167"/>
      <c r="SN314" s="167"/>
      <c r="SO314" s="167"/>
      <c r="SP314" s="167"/>
      <c r="SQ314" s="167"/>
      <c r="SR314" s="167"/>
      <c r="SS314" s="167"/>
      <c r="ST314" s="167"/>
      <c r="SU314" s="167"/>
      <c r="SV314" s="167"/>
      <c r="SW314" s="167"/>
      <c r="SX314" s="167"/>
      <c r="SY314" s="167"/>
      <c r="SZ314" s="167"/>
      <c r="TA314" s="167"/>
      <c r="TB314" s="167"/>
      <c r="TC314" s="167"/>
      <c r="TD314" s="167"/>
      <c r="TE314" s="167"/>
      <c r="TF314" s="167"/>
      <c r="TG314" s="167"/>
      <c r="TH314" s="167"/>
      <c r="TI314" s="167"/>
      <c r="TJ314" s="167"/>
      <c r="TK314" s="167"/>
      <c r="TL314" s="167"/>
      <c r="TM314" s="167"/>
      <c r="TN314" s="167"/>
      <c r="TO314" s="167"/>
      <c r="TP314" s="167"/>
      <c r="TQ314" s="167"/>
      <c r="TR314" s="167"/>
      <c r="TS314" s="167"/>
      <c r="TT314" s="167"/>
      <c r="TU314" s="167"/>
      <c r="TV314" s="167"/>
      <c r="TW314" s="167"/>
      <c r="TX314" s="167"/>
      <c r="TY314" s="167"/>
      <c r="TZ314" s="167"/>
      <c r="UA314" s="167"/>
      <c r="UB314" s="167"/>
      <c r="UC314" s="167"/>
      <c r="UD314" s="167"/>
      <c r="UE314" s="167"/>
      <c r="UF314" s="167"/>
      <c r="UG314" s="168"/>
    </row>
    <row r="315" spans="1:553" ht="129.75" customHeight="1">
      <c r="A315" s="356" t="s">
        <v>15</v>
      </c>
      <c r="B315" s="356"/>
      <c r="C315" s="384" t="s">
        <v>23</v>
      </c>
      <c r="D315" s="376" t="s">
        <v>70</v>
      </c>
      <c r="E315" s="376" t="s">
        <v>279</v>
      </c>
      <c r="F315" s="385"/>
      <c r="G315" s="386" t="s">
        <v>935</v>
      </c>
      <c r="H315" s="441">
        <v>49.7</v>
      </c>
      <c r="I315" s="441">
        <v>49.7</v>
      </c>
      <c r="J315" s="1061">
        <v>62000</v>
      </c>
      <c r="K315" s="388"/>
      <c r="L315" s="366">
        <f t="shared" ref="L315:L316" si="65">PRODUCT(I315:K315)</f>
        <v>3081400</v>
      </c>
      <c r="M315" s="366"/>
      <c r="N315" s="366"/>
      <c r="O315" s="366"/>
      <c r="P315" s="366"/>
      <c r="Q315" s="1036" t="s">
        <v>280</v>
      </c>
      <c r="R315" s="1467" t="s">
        <v>869</v>
      </c>
      <c r="S315" s="308"/>
      <c r="T315" s="303"/>
      <c r="U315" s="306"/>
      <c r="V315" s="307"/>
      <c r="W315" s="306">
        <f>I315</f>
        <v>49.7</v>
      </c>
      <c r="X315" s="306"/>
      <c r="Y315" s="306"/>
      <c r="Z315" s="306"/>
      <c r="AA315" s="306"/>
      <c r="AB315" s="306"/>
      <c r="AC315" s="449"/>
      <c r="AD315" s="452"/>
      <c r="AE315" s="452"/>
      <c r="AF315" s="452"/>
      <c r="AG315" s="452"/>
      <c r="AH315" s="452"/>
      <c r="AI315" s="452"/>
      <c r="AJ315" s="452"/>
      <c r="AK315" s="452"/>
      <c r="AL315" s="106"/>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c r="CH315" s="31"/>
      <c r="CI315" s="31"/>
      <c r="CJ315" s="31"/>
      <c r="CK315" s="31"/>
      <c r="CL315" s="31"/>
      <c r="CM315" s="31"/>
      <c r="CN315" s="31"/>
      <c r="CO315" s="31"/>
      <c r="CP315" s="31"/>
      <c r="CQ315" s="31"/>
      <c r="CR315" s="31"/>
      <c r="CS315" s="31"/>
      <c r="CT315" s="31"/>
      <c r="CU315" s="31"/>
      <c r="CV315" s="31"/>
      <c r="CW315" s="31"/>
      <c r="CX315" s="31"/>
      <c r="CY315" s="31"/>
      <c r="CZ315" s="31"/>
      <c r="DA315" s="31"/>
      <c r="DB315" s="31"/>
      <c r="DC315" s="31"/>
      <c r="DD315" s="31"/>
      <c r="DE315" s="31"/>
      <c r="DF315" s="31"/>
      <c r="DG315" s="31"/>
      <c r="DH315" s="31"/>
      <c r="DI315" s="31"/>
      <c r="DJ315" s="31"/>
      <c r="DK315" s="31"/>
      <c r="DL315" s="31"/>
      <c r="DM315" s="31"/>
      <c r="DN315" s="31"/>
      <c r="DO315" s="31"/>
      <c r="DP315" s="31"/>
      <c r="DQ315" s="31"/>
      <c r="DR315" s="31"/>
      <c r="DS315" s="31"/>
      <c r="DT315" s="31"/>
      <c r="DU315" s="31"/>
      <c r="DV315" s="31"/>
      <c r="DW315" s="31"/>
      <c r="DX315" s="31"/>
      <c r="DY315" s="31"/>
      <c r="DZ315" s="31"/>
      <c r="EA315" s="31"/>
      <c r="EB315" s="31"/>
      <c r="EC315" s="31"/>
      <c r="ED315" s="31"/>
      <c r="EE315" s="31"/>
      <c r="EF315" s="31"/>
      <c r="EG315" s="31"/>
      <c r="EH315" s="31"/>
      <c r="EI315" s="31"/>
      <c r="EJ315" s="31"/>
      <c r="EK315" s="31"/>
      <c r="EL315" s="31"/>
      <c r="EM315" s="31"/>
      <c r="EN315" s="31"/>
      <c r="EO315" s="31"/>
      <c r="EP315" s="31"/>
      <c r="EQ315" s="31"/>
      <c r="ER315" s="31"/>
      <c r="ES315" s="31"/>
      <c r="ET315" s="31"/>
      <c r="EU315" s="31"/>
      <c r="EV315" s="31"/>
      <c r="EW315" s="31"/>
      <c r="EX315" s="31"/>
      <c r="EY315" s="31"/>
      <c r="EZ315" s="31"/>
      <c r="FA315" s="31"/>
      <c r="FB315" s="31"/>
      <c r="FC315" s="31"/>
      <c r="FD315" s="31"/>
      <c r="FE315" s="31"/>
      <c r="FF315" s="31"/>
      <c r="FG315" s="31"/>
      <c r="FH315" s="31"/>
      <c r="FI315" s="31"/>
      <c r="FJ315" s="31"/>
      <c r="FK315" s="31"/>
      <c r="FL315" s="31"/>
      <c r="FM315" s="31"/>
      <c r="FN315" s="31"/>
      <c r="FO315" s="31"/>
      <c r="FP315" s="31"/>
      <c r="FQ315" s="31"/>
      <c r="FR315" s="31"/>
      <c r="FS315" s="31"/>
      <c r="FT315" s="31"/>
      <c r="FU315" s="31"/>
      <c r="FV315" s="31"/>
      <c r="FW315" s="31"/>
      <c r="FX315" s="31"/>
      <c r="FY315" s="31"/>
      <c r="FZ315" s="31"/>
      <c r="GA315" s="31"/>
      <c r="GB315" s="31"/>
      <c r="GC315" s="31"/>
      <c r="GD315" s="31"/>
      <c r="GE315" s="31"/>
      <c r="GF315" s="31"/>
      <c r="GG315" s="31"/>
      <c r="GH315" s="31"/>
      <c r="GI315" s="31"/>
      <c r="GJ315" s="31"/>
      <c r="GK315" s="31"/>
      <c r="GL315" s="31"/>
      <c r="GM315" s="31"/>
      <c r="GN315" s="31"/>
      <c r="GO315" s="31"/>
      <c r="GP315" s="31"/>
      <c r="GQ315" s="31"/>
      <c r="GR315" s="31"/>
      <c r="GS315" s="31"/>
      <c r="GT315" s="31"/>
      <c r="GU315" s="31"/>
      <c r="GV315" s="31"/>
      <c r="GW315" s="31"/>
      <c r="GX315" s="31"/>
      <c r="GY315" s="31"/>
      <c r="GZ315" s="31"/>
      <c r="HA315" s="31"/>
      <c r="HB315" s="31"/>
      <c r="HC315" s="31"/>
      <c r="HD315" s="31"/>
      <c r="HE315" s="31"/>
      <c r="HF315" s="31"/>
      <c r="HG315" s="31"/>
      <c r="HH315" s="31"/>
      <c r="HI315" s="31"/>
      <c r="HJ315" s="31"/>
      <c r="HK315" s="31"/>
      <c r="HL315" s="31"/>
      <c r="HM315" s="31"/>
      <c r="HN315" s="31"/>
      <c r="HO315" s="31"/>
      <c r="HP315" s="31"/>
      <c r="HQ315" s="31"/>
      <c r="HR315" s="31"/>
      <c r="HS315" s="31"/>
      <c r="HT315" s="31"/>
      <c r="HU315" s="31"/>
      <c r="HV315" s="31"/>
      <c r="HW315" s="31"/>
      <c r="HX315" s="31"/>
      <c r="HY315" s="31"/>
      <c r="HZ315" s="31"/>
      <c r="IA315" s="31"/>
      <c r="IB315" s="31"/>
      <c r="IC315" s="31"/>
      <c r="ID315" s="31"/>
      <c r="IE315" s="31"/>
      <c r="IF315" s="31"/>
      <c r="IG315" s="31"/>
      <c r="IH315" s="31"/>
      <c r="II315" s="31"/>
      <c r="IJ315" s="31"/>
      <c r="IK315" s="31"/>
      <c r="IL315" s="31"/>
      <c r="IM315" s="31"/>
      <c r="IN315" s="31"/>
      <c r="IO315" s="31"/>
      <c r="IP315" s="31"/>
      <c r="IQ315" s="31"/>
      <c r="IR315" s="31"/>
      <c r="IS315" s="31"/>
      <c r="IT315" s="31"/>
      <c r="IU315" s="31"/>
      <c r="IV315" s="31"/>
      <c r="IW315" s="31"/>
      <c r="IX315" s="31"/>
      <c r="IY315" s="31"/>
      <c r="IZ315" s="31"/>
      <c r="JA315" s="31"/>
      <c r="JB315" s="31"/>
      <c r="JC315" s="31"/>
      <c r="JD315" s="31"/>
      <c r="JE315" s="31"/>
      <c r="JF315" s="31"/>
      <c r="JG315" s="31"/>
      <c r="JH315" s="31"/>
      <c r="JI315" s="31"/>
      <c r="JJ315" s="31"/>
      <c r="JK315" s="31"/>
      <c r="JL315" s="31"/>
      <c r="JM315" s="31"/>
      <c r="JN315" s="31"/>
      <c r="JO315" s="31"/>
      <c r="JP315" s="31"/>
      <c r="JQ315" s="31"/>
      <c r="JR315" s="31"/>
      <c r="JS315" s="31"/>
      <c r="JT315" s="31"/>
      <c r="JU315" s="31"/>
      <c r="JV315" s="31"/>
      <c r="JW315" s="31"/>
      <c r="JX315" s="31"/>
      <c r="JY315" s="31"/>
      <c r="JZ315" s="31"/>
      <c r="KA315" s="31"/>
      <c r="KB315" s="31"/>
      <c r="KC315" s="31"/>
      <c r="KD315" s="31"/>
      <c r="KE315" s="31"/>
      <c r="KF315" s="31"/>
      <c r="KG315" s="31"/>
      <c r="KH315" s="31"/>
      <c r="KI315" s="31"/>
      <c r="KJ315" s="31"/>
      <c r="KK315" s="31"/>
      <c r="KL315" s="31"/>
      <c r="KM315" s="31"/>
      <c r="KN315" s="31"/>
      <c r="KO315" s="31"/>
      <c r="KP315" s="31"/>
      <c r="KQ315" s="31"/>
      <c r="KR315" s="31"/>
      <c r="KS315" s="31"/>
      <c r="KT315" s="31"/>
      <c r="KU315" s="31"/>
      <c r="KV315" s="31"/>
      <c r="KW315" s="31"/>
      <c r="KX315" s="31"/>
      <c r="KY315" s="31"/>
      <c r="KZ315" s="31"/>
      <c r="LA315" s="31"/>
      <c r="LB315" s="31"/>
      <c r="LC315" s="31"/>
      <c r="LD315" s="31"/>
      <c r="LE315" s="31"/>
      <c r="LF315" s="31"/>
      <c r="LG315" s="31"/>
      <c r="LH315" s="31"/>
      <c r="LI315" s="31"/>
      <c r="LJ315" s="31"/>
      <c r="LK315" s="31"/>
      <c r="LL315" s="31"/>
      <c r="LM315" s="31"/>
      <c r="LN315" s="31"/>
      <c r="LO315" s="31"/>
      <c r="LP315" s="31"/>
      <c r="LQ315" s="31"/>
      <c r="LR315" s="31"/>
      <c r="LS315" s="31"/>
      <c r="LT315" s="31"/>
      <c r="LU315" s="31"/>
      <c r="LV315" s="31"/>
      <c r="LW315" s="31"/>
      <c r="LX315" s="31"/>
      <c r="LY315" s="31"/>
      <c r="LZ315" s="31"/>
      <c r="MA315" s="31"/>
      <c r="MB315" s="31"/>
      <c r="MC315" s="31"/>
      <c r="MD315" s="31"/>
      <c r="ME315" s="31"/>
      <c r="MF315" s="31"/>
      <c r="MG315" s="31"/>
      <c r="MH315" s="31"/>
      <c r="MI315" s="31"/>
      <c r="MJ315" s="31"/>
      <c r="MK315" s="31"/>
      <c r="ML315" s="31"/>
      <c r="MM315" s="31"/>
      <c r="MN315" s="31"/>
      <c r="MO315" s="31"/>
      <c r="MP315" s="31"/>
      <c r="MQ315" s="31"/>
      <c r="MR315" s="31"/>
      <c r="MS315" s="31"/>
      <c r="MT315" s="31"/>
      <c r="MU315" s="31"/>
      <c r="MV315" s="31"/>
      <c r="MW315" s="31"/>
      <c r="MX315" s="31"/>
      <c r="MY315" s="31"/>
      <c r="MZ315" s="31"/>
      <c r="NA315" s="31"/>
      <c r="NB315" s="31"/>
      <c r="NC315" s="31"/>
      <c r="ND315" s="31"/>
      <c r="NE315" s="31"/>
      <c r="NF315" s="31"/>
      <c r="NG315" s="31"/>
      <c r="NH315" s="31"/>
      <c r="NI315" s="31"/>
      <c r="NJ315" s="31"/>
      <c r="NK315" s="31"/>
      <c r="NL315" s="31"/>
      <c r="NM315" s="31"/>
      <c r="NN315" s="31"/>
      <c r="NO315" s="31"/>
      <c r="NP315" s="31"/>
      <c r="NQ315" s="31"/>
      <c r="NR315" s="31"/>
      <c r="NS315" s="31"/>
      <c r="NT315" s="31"/>
      <c r="NU315" s="31"/>
      <c r="NV315" s="31"/>
      <c r="NW315" s="31"/>
      <c r="NX315" s="31"/>
      <c r="NY315" s="31"/>
      <c r="NZ315" s="31"/>
      <c r="OA315" s="31"/>
      <c r="OB315" s="31"/>
      <c r="OC315" s="31"/>
      <c r="OD315" s="31"/>
      <c r="OE315" s="31"/>
      <c r="OF315" s="31"/>
      <c r="OG315" s="31"/>
      <c r="OH315" s="31"/>
      <c r="OI315" s="31"/>
      <c r="OJ315" s="31"/>
      <c r="OK315" s="31"/>
      <c r="OL315" s="31"/>
      <c r="OM315" s="31"/>
      <c r="ON315" s="31"/>
      <c r="OO315" s="31"/>
      <c r="OP315" s="31"/>
      <c r="OQ315" s="31"/>
      <c r="OR315" s="31"/>
      <c r="OS315" s="31"/>
      <c r="OT315" s="31"/>
      <c r="OU315" s="31"/>
      <c r="OV315" s="31"/>
      <c r="OW315" s="31"/>
      <c r="OX315" s="31"/>
      <c r="OY315" s="31"/>
      <c r="OZ315" s="31"/>
      <c r="PA315" s="31"/>
      <c r="PB315" s="31"/>
      <c r="PC315" s="31"/>
      <c r="PD315" s="31"/>
      <c r="PE315" s="31"/>
      <c r="PF315" s="31"/>
      <c r="PG315" s="31"/>
      <c r="PH315" s="31"/>
      <c r="PI315" s="31"/>
      <c r="PJ315" s="31"/>
      <c r="PK315" s="31"/>
      <c r="PL315" s="31"/>
      <c r="PM315" s="31"/>
      <c r="PN315" s="31"/>
      <c r="PO315" s="31"/>
      <c r="PP315" s="31"/>
      <c r="PQ315" s="31"/>
      <c r="PR315" s="31"/>
      <c r="PS315" s="31"/>
      <c r="PT315" s="31"/>
      <c r="PU315" s="31"/>
      <c r="PV315" s="31"/>
      <c r="PW315" s="31"/>
      <c r="PX315" s="31"/>
      <c r="PY315" s="31"/>
      <c r="PZ315" s="31"/>
      <c r="QA315" s="31"/>
      <c r="QB315" s="31"/>
      <c r="QC315" s="31"/>
      <c r="QD315" s="31"/>
      <c r="QE315" s="31"/>
      <c r="QF315" s="31"/>
      <c r="QG315" s="31"/>
      <c r="QH315" s="31"/>
      <c r="QI315" s="31"/>
      <c r="QJ315" s="31"/>
      <c r="QK315" s="31"/>
      <c r="QL315" s="31"/>
      <c r="QM315" s="31"/>
      <c r="QN315" s="31"/>
      <c r="QO315" s="31"/>
      <c r="QP315" s="31"/>
      <c r="QQ315" s="31"/>
      <c r="QR315" s="31"/>
      <c r="QS315" s="31"/>
      <c r="QT315" s="31"/>
      <c r="QU315" s="31"/>
      <c r="QV315" s="31"/>
      <c r="QW315" s="31"/>
      <c r="QX315" s="31"/>
      <c r="QY315" s="31"/>
      <c r="QZ315" s="31"/>
      <c r="RA315" s="31"/>
      <c r="RB315" s="31"/>
      <c r="RC315" s="31"/>
      <c r="RD315" s="31"/>
      <c r="RE315" s="31"/>
      <c r="RF315" s="31"/>
      <c r="RG315" s="31"/>
      <c r="RH315" s="31"/>
      <c r="RI315" s="31"/>
      <c r="RJ315" s="31"/>
      <c r="RK315" s="31"/>
      <c r="RL315" s="31"/>
      <c r="RM315" s="31"/>
      <c r="RN315" s="31"/>
      <c r="RO315" s="31"/>
      <c r="RP315" s="31"/>
      <c r="RQ315" s="31"/>
      <c r="RR315" s="31"/>
      <c r="RS315" s="31"/>
      <c r="RT315" s="31"/>
      <c r="RU315" s="31"/>
      <c r="RV315" s="31"/>
      <c r="RW315" s="31"/>
      <c r="RX315" s="31"/>
      <c r="RY315" s="31"/>
      <c r="RZ315" s="31"/>
      <c r="SA315" s="31"/>
      <c r="SB315" s="31"/>
      <c r="SC315" s="31"/>
      <c r="SD315" s="31"/>
      <c r="SE315" s="31"/>
      <c r="SF315" s="31"/>
      <c r="SG315" s="31"/>
      <c r="SH315" s="31"/>
      <c r="SI315" s="31"/>
      <c r="SJ315" s="31"/>
      <c r="SK315" s="31"/>
      <c r="SL315" s="31"/>
      <c r="SM315" s="31"/>
      <c r="SN315" s="31"/>
      <c r="SO315" s="31"/>
      <c r="SP315" s="31"/>
      <c r="SQ315" s="31"/>
      <c r="SR315" s="31"/>
      <c r="SS315" s="31"/>
      <c r="ST315" s="31"/>
      <c r="SU315" s="31"/>
      <c r="SV315" s="31"/>
      <c r="SW315" s="31"/>
      <c r="SX315" s="31"/>
      <c r="SY315" s="31"/>
      <c r="SZ315" s="31"/>
      <c r="TA315" s="31"/>
      <c r="TB315" s="31"/>
      <c r="TC315" s="31"/>
      <c r="TD315" s="31"/>
      <c r="TE315" s="31"/>
      <c r="TF315" s="31"/>
      <c r="TG315" s="31"/>
      <c r="TH315" s="31"/>
      <c r="TI315" s="31"/>
      <c r="TJ315" s="31"/>
      <c r="TK315" s="31"/>
      <c r="TL315" s="31"/>
      <c r="TM315" s="31"/>
      <c r="TN315" s="31"/>
      <c r="TO315" s="31"/>
      <c r="TP315" s="31"/>
      <c r="TQ315" s="31"/>
      <c r="TR315" s="31"/>
      <c r="TS315" s="31"/>
      <c r="TT315" s="31"/>
      <c r="TU315" s="31"/>
      <c r="TV315" s="31"/>
      <c r="TW315" s="31"/>
      <c r="TX315" s="31"/>
      <c r="TY315" s="31"/>
      <c r="TZ315" s="31"/>
      <c r="UA315" s="31"/>
      <c r="UB315" s="31"/>
      <c r="UC315" s="31"/>
      <c r="UD315" s="31"/>
      <c r="UE315" s="31"/>
      <c r="UF315" s="31"/>
      <c r="UG315" s="33"/>
    </row>
    <row r="316" spans="1:553" ht="122.25" customHeight="1">
      <c r="A316" s="356" t="s">
        <v>15</v>
      </c>
      <c r="B316" s="356"/>
      <c r="C316" s="384" t="s">
        <v>25</v>
      </c>
      <c r="D316" s="376" t="s">
        <v>20</v>
      </c>
      <c r="E316" s="376" t="s">
        <v>281</v>
      </c>
      <c r="F316" s="385"/>
      <c r="G316" s="386" t="s">
        <v>935</v>
      </c>
      <c r="H316" s="547">
        <v>1317.4</v>
      </c>
      <c r="I316" s="547">
        <v>1317.4</v>
      </c>
      <c r="J316" s="368">
        <v>62000</v>
      </c>
      <c r="K316" s="388"/>
      <c r="L316" s="366">
        <f t="shared" si="65"/>
        <v>81678800</v>
      </c>
      <c r="M316" s="366"/>
      <c r="N316" s="366"/>
      <c r="O316" s="366"/>
      <c r="P316" s="366"/>
      <c r="Q316" s="1036" t="s">
        <v>282</v>
      </c>
      <c r="R316" s="1452"/>
      <c r="S316" s="308"/>
      <c r="T316" s="303"/>
      <c r="U316" s="306"/>
      <c r="V316" s="307"/>
      <c r="W316" s="306"/>
      <c r="X316" s="306"/>
      <c r="Y316" s="306"/>
      <c r="Z316" s="306"/>
      <c r="AA316" s="306">
        <f>I316</f>
        <v>1317.4</v>
      </c>
      <c r="AB316" s="306"/>
      <c r="AC316" s="449"/>
      <c r="AD316" s="452"/>
      <c r="AE316" s="452"/>
      <c r="AF316" s="452"/>
      <c r="AG316" s="452"/>
      <c r="AH316" s="452"/>
      <c r="AI316" s="452"/>
      <c r="AJ316" s="452"/>
      <c r="AK316" s="452"/>
      <c r="AL316" s="106"/>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c r="CH316" s="31"/>
      <c r="CI316" s="31"/>
      <c r="CJ316" s="31"/>
      <c r="CK316" s="31"/>
      <c r="CL316" s="31"/>
      <c r="CM316" s="31"/>
      <c r="CN316" s="31"/>
      <c r="CO316" s="31"/>
      <c r="CP316" s="31"/>
      <c r="CQ316" s="31"/>
      <c r="CR316" s="31"/>
      <c r="CS316" s="31"/>
      <c r="CT316" s="31"/>
      <c r="CU316" s="31"/>
      <c r="CV316" s="31"/>
      <c r="CW316" s="31"/>
      <c r="CX316" s="31"/>
      <c r="CY316" s="31"/>
      <c r="CZ316" s="31"/>
      <c r="DA316" s="31"/>
      <c r="DB316" s="31"/>
      <c r="DC316" s="31"/>
      <c r="DD316" s="31"/>
      <c r="DE316" s="31"/>
      <c r="DF316" s="31"/>
      <c r="DG316" s="31"/>
      <c r="DH316" s="31"/>
      <c r="DI316" s="31"/>
      <c r="DJ316" s="31"/>
      <c r="DK316" s="31"/>
      <c r="DL316" s="31"/>
      <c r="DM316" s="31"/>
      <c r="DN316" s="31"/>
      <c r="DO316" s="31"/>
      <c r="DP316" s="31"/>
      <c r="DQ316" s="31"/>
      <c r="DR316" s="31"/>
      <c r="DS316" s="31"/>
      <c r="DT316" s="31"/>
      <c r="DU316" s="31"/>
      <c r="DV316" s="31"/>
      <c r="DW316" s="31"/>
      <c r="DX316" s="31"/>
      <c r="DY316" s="31"/>
      <c r="DZ316" s="31"/>
      <c r="EA316" s="31"/>
      <c r="EB316" s="31"/>
      <c r="EC316" s="31"/>
      <c r="ED316" s="31"/>
      <c r="EE316" s="31"/>
      <c r="EF316" s="31"/>
      <c r="EG316" s="31"/>
      <c r="EH316" s="31"/>
      <c r="EI316" s="31"/>
      <c r="EJ316" s="31"/>
      <c r="EK316" s="31"/>
      <c r="EL316" s="31"/>
      <c r="EM316" s="31"/>
      <c r="EN316" s="31"/>
      <c r="EO316" s="31"/>
      <c r="EP316" s="31"/>
      <c r="EQ316" s="31"/>
      <c r="ER316" s="31"/>
      <c r="ES316" s="31"/>
      <c r="ET316" s="31"/>
      <c r="EU316" s="31"/>
      <c r="EV316" s="31"/>
      <c r="EW316" s="31"/>
      <c r="EX316" s="31"/>
      <c r="EY316" s="31"/>
      <c r="EZ316" s="31"/>
      <c r="FA316" s="31"/>
      <c r="FB316" s="31"/>
      <c r="FC316" s="31"/>
      <c r="FD316" s="31"/>
      <c r="FE316" s="31"/>
      <c r="FF316" s="31"/>
      <c r="FG316" s="31"/>
      <c r="FH316" s="31"/>
      <c r="FI316" s="31"/>
      <c r="FJ316" s="31"/>
      <c r="FK316" s="31"/>
      <c r="FL316" s="31"/>
      <c r="FM316" s="31"/>
      <c r="FN316" s="31"/>
      <c r="FO316" s="31"/>
      <c r="FP316" s="31"/>
      <c r="FQ316" s="31"/>
      <c r="FR316" s="31"/>
      <c r="FS316" s="31"/>
      <c r="FT316" s="31"/>
      <c r="FU316" s="31"/>
      <c r="FV316" s="31"/>
      <c r="FW316" s="31"/>
      <c r="FX316" s="31"/>
      <c r="FY316" s="31"/>
      <c r="FZ316" s="31"/>
      <c r="GA316" s="31"/>
      <c r="GB316" s="31"/>
      <c r="GC316" s="31"/>
      <c r="GD316" s="31"/>
      <c r="GE316" s="31"/>
      <c r="GF316" s="31"/>
      <c r="GG316" s="31"/>
      <c r="GH316" s="31"/>
      <c r="GI316" s="31"/>
      <c r="GJ316" s="31"/>
      <c r="GK316" s="31"/>
      <c r="GL316" s="31"/>
      <c r="GM316" s="31"/>
      <c r="GN316" s="31"/>
      <c r="GO316" s="31"/>
      <c r="GP316" s="31"/>
      <c r="GQ316" s="31"/>
      <c r="GR316" s="31"/>
      <c r="GS316" s="31"/>
      <c r="GT316" s="31"/>
      <c r="GU316" s="31"/>
      <c r="GV316" s="31"/>
      <c r="GW316" s="31"/>
      <c r="GX316" s="31"/>
      <c r="GY316" s="31"/>
      <c r="GZ316" s="31"/>
      <c r="HA316" s="31"/>
      <c r="HB316" s="31"/>
      <c r="HC316" s="31"/>
      <c r="HD316" s="31"/>
      <c r="HE316" s="31"/>
      <c r="HF316" s="31"/>
      <c r="HG316" s="31"/>
      <c r="HH316" s="31"/>
      <c r="HI316" s="31"/>
      <c r="HJ316" s="31"/>
      <c r="HK316" s="31"/>
      <c r="HL316" s="31"/>
      <c r="HM316" s="31"/>
      <c r="HN316" s="31"/>
      <c r="HO316" s="31"/>
      <c r="HP316" s="31"/>
      <c r="HQ316" s="31"/>
      <c r="HR316" s="31"/>
      <c r="HS316" s="31"/>
      <c r="HT316" s="31"/>
      <c r="HU316" s="31"/>
      <c r="HV316" s="31"/>
      <c r="HW316" s="31"/>
      <c r="HX316" s="31"/>
      <c r="HY316" s="31"/>
      <c r="HZ316" s="31"/>
      <c r="IA316" s="31"/>
      <c r="IB316" s="31"/>
      <c r="IC316" s="31"/>
      <c r="ID316" s="31"/>
      <c r="IE316" s="31"/>
      <c r="IF316" s="31"/>
      <c r="IG316" s="31"/>
      <c r="IH316" s="31"/>
      <c r="II316" s="31"/>
      <c r="IJ316" s="31"/>
      <c r="IK316" s="31"/>
      <c r="IL316" s="31"/>
      <c r="IM316" s="31"/>
      <c r="IN316" s="31"/>
      <c r="IO316" s="31"/>
      <c r="IP316" s="31"/>
      <c r="IQ316" s="31"/>
      <c r="IR316" s="31"/>
      <c r="IS316" s="31"/>
      <c r="IT316" s="31"/>
      <c r="IU316" s="31"/>
      <c r="IV316" s="31"/>
      <c r="IW316" s="31"/>
      <c r="IX316" s="31"/>
      <c r="IY316" s="31"/>
      <c r="IZ316" s="31"/>
      <c r="JA316" s="31"/>
      <c r="JB316" s="31"/>
      <c r="JC316" s="31"/>
      <c r="JD316" s="31"/>
      <c r="JE316" s="31"/>
      <c r="JF316" s="31"/>
      <c r="JG316" s="31"/>
      <c r="JH316" s="31"/>
      <c r="JI316" s="31"/>
      <c r="JJ316" s="31"/>
      <c r="JK316" s="31"/>
      <c r="JL316" s="31"/>
      <c r="JM316" s="31"/>
      <c r="JN316" s="31"/>
      <c r="JO316" s="31"/>
      <c r="JP316" s="31"/>
      <c r="JQ316" s="31"/>
      <c r="JR316" s="31"/>
      <c r="JS316" s="31"/>
      <c r="JT316" s="31"/>
      <c r="JU316" s="31"/>
      <c r="JV316" s="31"/>
      <c r="JW316" s="31"/>
      <c r="JX316" s="31"/>
      <c r="JY316" s="31"/>
      <c r="JZ316" s="31"/>
      <c r="KA316" s="31"/>
      <c r="KB316" s="31"/>
      <c r="KC316" s="31"/>
      <c r="KD316" s="31"/>
      <c r="KE316" s="31"/>
      <c r="KF316" s="31"/>
      <c r="KG316" s="31"/>
      <c r="KH316" s="31"/>
      <c r="KI316" s="31"/>
      <c r="KJ316" s="31"/>
      <c r="KK316" s="31"/>
      <c r="KL316" s="31"/>
      <c r="KM316" s="31"/>
      <c r="KN316" s="31"/>
      <c r="KO316" s="31"/>
      <c r="KP316" s="31"/>
      <c r="KQ316" s="31"/>
      <c r="KR316" s="31"/>
      <c r="KS316" s="31"/>
      <c r="KT316" s="31"/>
      <c r="KU316" s="31"/>
      <c r="KV316" s="31"/>
      <c r="KW316" s="31"/>
      <c r="KX316" s="31"/>
      <c r="KY316" s="31"/>
      <c r="KZ316" s="31"/>
      <c r="LA316" s="31"/>
      <c r="LB316" s="31"/>
      <c r="LC316" s="31"/>
      <c r="LD316" s="31"/>
      <c r="LE316" s="31"/>
      <c r="LF316" s="31"/>
      <c r="LG316" s="31"/>
      <c r="LH316" s="31"/>
      <c r="LI316" s="31"/>
      <c r="LJ316" s="31"/>
      <c r="LK316" s="31"/>
      <c r="LL316" s="31"/>
      <c r="LM316" s="31"/>
      <c r="LN316" s="31"/>
      <c r="LO316" s="31"/>
      <c r="LP316" s="31"/>
      <c r="LQ316" s="31"/>
      <c r="LR316" s="31"/>
      <c r="LS316" s="31"/>
      <c r="LT316" s="31"/>
      <c r="LU316" s="31"/>
      <c r="LV316" s="31"/>
      <c r="LW316" s="31"/>
      <c r="LX316" s="31"/>
      <c r="LY316" s="31"/>
      <c r="LZ316" s="31"/>
      <c r="MA316" s="31"/>
      <c r="MB316" s="31"/>
      <c r="MC316" s="31"/>
      <c r="MD316" s="31"/>
      <c r="ME316" s="31"/>
      <c r="MF316" s="31"/>
      <c r="MG316" s="31"/>
      <c r="MH316" s="31"/>
      <c r="MI316" s="31"/>
      <c r="MJ316" s="31"/>
      <c r="MK316" s="31"/>
      <c r="ML316" s="31"/>
      <c r="MM316" s="31"/>
      <c r="MN316" s="31"/>
      <c r="MO316" s="31"/>
      <c r="MP316" s="31"/>
      <c r="MQ316" s="31"/>
      <c r="MR316" s="31"/>
      <c r="MS316" s="31"/>
      <c r="MT316" s="31"/>
      <c r="MU316" s="31"/>
      <c r="MV316" s="31"/>
      <c r="MW316" s="31"/>
      <c r="MX316" s="31"/>
      <c r="MY316" s="31"/>
      <c r="MZ316" s="31"/>
      <c r="NA316" s="31"/>
      <c r="NB316" s="31"/>
      <c r="NC316" s="31"/>
      <c r="ND316" s="31"/>
      <c r="NE316" s="31"/>
      <c r="NF316" s="31"/>
      <c r="NG316" s="31"/>
      <c r="NH316" s="31"/>
      <c r="NI316" s="31"/>
      <c r="NJ316" s="31"/>
      <c r="NK316" s="31"/>
      <c r="NL316" s="31"/>
      <c r="NM316" s="31"/>
      <c r="NN316" s="31"/>
      <c r="NO316" s="31"/>
      <c r="NP316" s="31"/>
      <c r="NQ316" s="31"/>
      <c r="NR316" s="31"/>
      <c r="NS316" s="31"/>
      <c r="NT316" s="31"/>
      <c r="NU316" s="31"/>
      <c r="NV316" s="31"/>
      <c r="NW316" s="31"/>
      <c r="NX316" s="31"/>
      <c r="NY316" s="31"/>
      <c r="NZ316" s="31"/>
      <c r="OA316" s="31"/>
      <c r="OB316" s="31"/>
      <c r="OC316" s="31"/>
      <c r="OD316" s="31"/>
      <c r="OE316" s="31"/>
      <c r="OF316" s="31"/>
      <c r="OG316" s="31"/>
      <c r="OH316" s="31"/>
      <c r="OI316" s="31"/>
      <c r="OJ316" s="31"/>
      <c r="OK316" s="31"/>
      <c r="OL316" s="31"/>
      <c r="OM316" s="31"/>
      <c r="ON316" s="31"/>
      <c r="OO316" s="31"/>
      <c r="OP316" s="31"/>
      <c r="OQ316" s="31"/>
      <c r="OR316" s="31"/>
      <c r="OS316" s="31"/>
      <c r="OT316" s="31"/>
      <c r="OU316" s="31"/>
      <c r="OV316" s="31"/>
      <c r="OW316" s="31"/>
      <c r="OX316" s="31"/>
      <c r="OY316" s="31"/>
      <c r="OZ316" s="31"/>
      <c r="PA316" s="31"/>
      <c r="PB316" s="31"/>
      <c r="PC316" s="31"/>
      <c r="PD316" s="31"/>
      <c r="PE316" s="31"/>
      <c r="PF316" s="31"/>
      <c r="PG316" s="31"/>
      <c r="PH316" s="31"/>
      <c r="PI316" s="31"/>
      <c r="PJ316" s="31"/>
      <c r="PK316" s="31"/>
      <c r="PL316" s="31"/>
      <c r="PM316" s="31"/>
      <c r="PN316" s="31"/>
      <c r="PO316" s="31"/>
      <c r="PP316" s="31"/>
      <c r="PQ316" s="31"/>
      <c r="PR316" s="31"/>
      <c r="PS316" s="31"/>
      <c r="PT316" s="31"/>
      <c r="PU316" s="31"/>
      <c r="PV316" s="31"/>
      <c r="PW316" s="31"/>
      <c r="PX316" s="31"/>
      <c r="PY316" s="31"/>
      <c r="PZ316" s="31"/>
      <c r="QA316" s="31"/>
      <c r="QB316" s="31"/>
      <c r="QC316" s="31"/>
      <c r="QD316" s="31"/>
      <c r="QE316" s="31"/>
      <c r="QF316" s="31"/>
      <c r="QG316" s="31"/>
      <c r="QH316" s="31"/>
      <c r="QI316" s="31"/>
      <c r="QJ316" s="31"/>
      <c r="QK316" s="31"/>
      <c r="QL316" s="31"/>
      <c r="QM316" s="31"/>
      <c r="QN316" s="31"/>
      <c r="QO316" s="31"/>
      <c r="QP316" s="31"/>
      <c r="QQ316" s="31"/>
      <c r="QR316" s="31"/>
      <c r="QS316" s="31"/>
      <c r="QT316" s="31"/>
      <c r="QU316" s="31"/>
      <c r="QV316" s="31"/>
      <c r="QW316" s="31"/>
      <c r="QX316" s="31"/>
      <c r="QY316" s="31"/>
      <c r="QZ316" s="31"/>
      <c r="RA316" s="31"/>
      <c r="RB316" s="31"/>
      <c r="RC316" s="31"/>
      <c r="RD316" s="31"/>
      <c r="RE316" s="31"/>
      <c r="RF316" s="31"/>
      <c r="RG316" s="31"/>
      <c r="RH316" s="31"/>
      <c r="RI316" s="31"/>
      <c r="RJ316" s="31"/>
      <c r="RK316" s="31"/>
      <c r="RL316" s="31"/>
      <c r="RM316" s="31"/>
      <c r="RN316" s="31"/>
      <c r="RO316" s="31"/>
      <c r="RP316" s="31"/>
      <c r="RQ316" s="31"/>
      <c r="RR316" s="31"/>
      <c r="RS316" s="31"/>
      <c r="RT316" s="31"/>
      <c r="RU316" s="31"/>
      <c r="RV316" s="31"/>
      <c r="RW316" s="31"/>
      <c r="RX316" s="31"/>
      <c r="RY316" s="31"/>
      <c r="RZ316" s="31"/>
      <c r="SA316" s="31"/>
      <c r="SB316" s="31"/>
      <c r="SC316" s="31"/>
      <c r="SD316" s="31"/>
      <c r="SE316" s="31"/>
      <c r="SF316" s="31"/>
      <c r="SG316" s="31"/>
      <c r="SH316" s="31"/>
      <c r="SI316" s="31"/>
      <c r="SJ316" s="31"/>
      <c r="SK316" s="31"/>
      <c r="SL316" s="31"/>
      <c r="SM316" s="31"/>
      <c r="SN316" s="31"/>
      <c r="SO316" s="31"/>
      <c r="SP316" s="31"/>
      <c r="SQ316" s="31"/>
      <c r="SR316" s="31"/>
      <c r="SS316" s="31"/>
      <c r="ST316" s="31"/>
      <c r="SU316" s="31"/>
      <c r="SV316" s="31"/>
      <c r="SW316" s="31"/>
      <c r="SX316" s="31"/>
      <c r="SY316" s="31"/>
      <c r="SZ316" s="31"/>
      <c r="TA316" s="31"/>
      <c r="TB316" s="31"/>
      <c r="TC316" s="31"/>
      <c r="TD316" s="31"/>
      <c r="TE316" s="31"/>
      <c r="TF316" s="31"/>
      <c r="TG316" s="31"/>
      <c r="TH316" s="31"/>
      <c r="TI316" s="31"/>
      <c r="TJ316" s="31"/>
      <c r="TK316" s="31"/>
      <c r="TL316" s="31"/>
      <c r="TM316" s="31"/>
      <c r="TN316" s="31"/>
      <c r="TO316" s="31"/>
      <c r="TP316" s="31"/>
      <c r="TQ316" s="31"/>
      <c r="TR316" s="31"/>
      <c r="TS316" s="31"/>
      <c r="TT316" s="31"/>
      <c r="TU316" s="31"/>
      <c r="TV316" s="31"/>
      <c r="TW316" s="31"/>
      <c r="TX316" s="31"/>
      <c r="TY316" s="31"/>
      <c r="TZ316" s="31"/>
      <c r="UA316" s="31"/>
      <c r="UB316" s="31"/>
      <c r="UC316" s="31"/>
      <c r="UD316" s="31"/>
      <c r="UE316" s="31"/>
      <c r="UF316" s="31"/>
      <c r="UG316" s="33"/>
    </row>
    <row r="317" spans="1:553" ht="33.75" customHeight="1">
      <c r="A317" s="356" t="s">
        <v>27</v>
      </c>
      <c r="B317" s="356"/>
      <c r="C317" s="1413" t="s">
        <v>28</v>
      </c>
      <c r="D317" s="1389"/>
      <c r="E317" s="1389"/>
      <c r="F317" s="1390"/>
      <c r="G317" s="366"/>
      <c r="H317" s="370"/>
      <c r="I317" s="359"/>
      <c r="J317" s="368"/>
      <c r="K317" s="371"/>
      <c r="L317" s="356">
        <f>SUM(L319:L341)</f>
        <v>372651834.648</v>
      </c>
      <c r="M317" s="356"/>
      <c r="N317" s="356"/>
      <c r="O317" s="356"/>
      <c r="P317" s="356">
        <f>L317</f>
        <v>372651834.648</v>
      </c>
      <c r="Q317" s="610"/>
      <c r="R317" s="1226"/>
      <c r="S317" s="308"/>
      <c r="T317" s="303"/>
      <c r="U317" s="306"/>
      <c r="V317" s="307"/>
      <c r="W317" s="306"/>
      <c r="X317" s="306"/>
      <c r="Y317" s="306"/>
      <c r="Z317" s="306"/>
      <c r="AA317" s="306"/>
      <c r="AB317" s="306"/>
      <c r="AC317" s="449"/>
      <c r="AD317" s="449"/>
      <c r="AE317" s="449"/>
      <c r="AF317" s="449"/>
      <c r="AG317" s="449"/>
      <c r="AH317" s="449"/>
      <c r="AI317" s="449"/>
      <c r="AJ317" s="449"/>
      <c r="AK317" s="452"/>
      <c r="AL317" s="104"/>
      <c r="AM317" s="32"/>
      <c r="AN317" s="32"/>
      <c r="AO317" s="32"/>
      <c r="AP317" s="32"/>
      <c r="AQ317" s="32"/>
      <c r="AR317" s="32"/>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25"/>
      <c r="BQ317" s="25"/>
      <c r="BR317" s="25"/>
      <c r="BS317" s="25"/>
      <c r="BT317" s="25"/>
      <c r="BU317" s="25"/>
      <c r="BV317" s="25"/>
      <c r="BW317" s="25"/>
      <c r="BX317" s="25"/>
      <c r="BY317" s="25"/>
      <c r="BZ317" s="25"/>
      <c r="CA317" s="25"/>
      <c r="CB317" s="25"/>
      <c r="CC317" s="25"/>
      <c r="CD317" s="25"/>
      <c r="CE317" s="25"/>
      <c r="CF317" s="25"/>
      <c r="CG317" s="25"/>
      <c r="CH317" s="25"/>
      <c r="CI317" s="25"/>
      <c r="CJ317" s="25"/>
      <c r="CK317" s="25"/>
      <c r="CL317" s="25"/>
      <c r="CM317" s="25"/>
      <c r="CN317" s="25"/>
      <c r="CO317" s="25"/>
      <c r="CP317" s="25"/>
      <c r="CQ317" s="25"/>
      <c r="CR317" s="25"/>
      <c r="CS317" s="25"/>
      <c r="CT317" s="25"/>
      <c r="CU317" s="25"/>
      <c r="CV317" s="25"/>
      <c r="CW317" s="25"/>
      <c r="CX317" s="25"/>
      <c r="CY317" s="25"/>
      <c r="CZ317" s="25"/>
      <c r="DA317" s="25"/>
      <c r="DB317" s="25"/>
      <c r="DC317" s="25"/>
      <c r="DD317" s="25"/>
      <c r="DE317" s="25"/>
      <c r="DF317" s="25"/>
      <c r="DG317" s="25"/>
      <c r="DH317" s="25"/>
      <c r="DI317" s="25"/>
      <c r="DJ317" s="25"/>
      <c r="DK317" s="25"/>
      <c r="DL317" s="25"/>
      <c r="DM317" s="25"/>
      <c r="DN317" s="25"/>
      <c r="DO317" s="25"/>
      <c r="DP317" s="25"/>
      <c r="DQ317" s="25"/>
      <c r="DR317" s="25"/>
      <c r="DS317" s="25"/>
      <c r="DT317" s="25"/>
      <c r="DU317" s="25"/>
      <c r="DV317" s="25"/>
      <c r="DW317" s="25"/>
      <c r="DX317" s="25"/>
      <c r="DY317" s="25"/>
      <c r="DZ317" s="25"/>
      <c r="EA317" s="25"/>
      <c r="EB317" s="25"/>
      <c r="EC317" s="25"/>
      <c r="ED317" s="25"/>
      <c r="EE317" s="25"/>
      <c r="EF317" s="25"/>
      <c r="EG317" s="25"/>
      <c r="EH317" s="25"/>
      <c r="EI317" s="25"/>
      <c r="EJ317" s="25"/>
      <c r="EK317" s="25"/>
      <c r="EL317" s="25"/>
      <c r="EM317" s="25"/>
      <c r="EN317" s="25"/>
      <c r="EO317" s="25"/>
      <c r="EP317" s="25"/>
      <c r="EQ317" s="25"/>
      <c r="ER317" s="25"/>
      <c r="ES317" s="25"/>
      <c r="ET317" s="25"/>
      <c r="EU317" s="25"/>
      <c r="EV317" s="25"/>
      <c r="EW317" s="25"/>
      <c r="EX317" s="25"/>
      <c r="EY317" s="25"/>
      <c r="EZ317" s="25"/>
      <c r="FA317" s="25"/>
      <c r="FB317" s="25"/>
      <c r="FC317" s="25"/>
      <c r="FD317" s="25"/>
      <c r="FE317" s="25"/>
      <c r="FF317" s="25"/>
      <c r="FG317" s="25"/>
      <c r="FH317" s="25"/>
      <c r="FI317" s="25"/>
      <c r="FJ317" s="25"/>
      <c r="FK317" s="25"/>
      <c r="FL317" s="25"/>
      <c r="FM317" s="25"/>
      <c r="FN317" s="25"/>
      <c r="FO317" s="25"/>
      <c r="FP317" s="25"/>
      <c r="FQ317" s="25"/>
      <c r="FR317" s="25"/>
      <c r="FS317" s="25"/>
      <c r="FT317" s="25"/>
      <c r="FU317" s="25"/>
      <c r="FV317" s="25"/>
      <c r="FW317" s="25"/>
      <c r="FX317" s="25"/>
      <c r="FY317" s="25"/>
      <c r="FZ317" s="25"/>
      <c r="GA317" s="25"/>
      <c r="GB317" s="25"/>
      <c r="GC317" s="25"/>
      <c r="GD317" s="25"/>
      <c r="GE317" s="25"/>
      <c r="GF317" s="25"/>
      <c r="GG317" s="25"/>
      <c r="GH317" s="25"/>
      <c r="GI317" s="25"/>
      <c r="GJ317" s="25"/>
      <c r="GK317" s="25"/>
      <c r="GL317" s="25"/>
      <c r="GM317" s="25"/>
      <c r="GN317" s="25"/>
      <c r="GO317" s="25"/>
      <c r="GP317" s="25"/>
      <c r="GQ317" s="25"/>
      <c r="GR317" s="25"/>
      <c r="GS317" s="25"/>
      <c r="GT317" s="25"/>
      <c r="GU317" s="25"/>
      <c r="GV317" s="25"/>
      <c r="GW317" s="25"/>
      <c r="GX317" s="25"/>
      <c r="GY317" s="25"/>
      <c r="GZ317" s="25"/>
      <c r="HA317" s="25"/>
      <c r="HB317" s="25"/>
      <c r="HC317" s="25"/>
      <c r="HD317" s="25"/>
      <c r="HE317" s="25"/>
      <c r="HF317" s="25"/>
      <c r="HG317" s="25"/>
      <c r="HH317" s="25"/>
      <c r="HI317" s="25"/>
      <c r="HJ317" s="25"/>
      <c r="HK317" s="25"/>
      <c r="HL317" s="25"/>
      <c r="HM317" s="25"/>
      <c r="HN317" s="25"/>
      <c r="HO317" s="25"/>
      <c r="HP317" s="25"/>
      <c r="HQ317" s="25"/>
      <c r="HR317" s="25"/>
      <c r="HS317" s="25"/>
      <c r="HT317" s="25"/>
      <c r="HU317" s="25"/>
      <c r="HV317" s="25"/>
      <c r="HW317" s="25"/>
      <c r="HX317" s="25"/>
      <c r="HY317" s="25"/>
      <c r="HZ317" s="25"/>
      <c r="IA317" s="25"/>
      <c r="IB317" s="25"/>
      <c r="IC317" s="25"/>
      <c r="ID317" s="25"/>
      <c r="IE317" s="25"/>
      <c r="IF317" s="25"/>
      <c r="IG317" s="25"/>
      <c r="IH317" s="25"/>
      <c r="II317" s="25"/>
      <c r="IJ317" s="25"/>
      <c r="IK317" s="25"/>
      <c r="IL317" s="25"/>
      <c r="IM317" s="25"/>
      <c r="IN317" s="25"/>
      <c r="IO317" s="25"/>
      <c r="IP317" s="25"/>
      <c r="IQ317" s="25"/>
      <c r="IR317" s="25"/>
      <c r="IS317" s="25"/>
      <c r="IT317" s="25"/>
      <c r="IU317" s="25"/>
      <c r="IV317" s="25"/>
      <c r="IW317" s="25"/>
      <c r="IX317" s="25"/>
      <c r="IY317" s="25"/>
      <c r="IZ317" s="25"/>
      <c r="JA317" s="25"/>
      <c r="JB317" s="25"/>
      <c r="JC317" s="25"/>
      <c r="JD317" s="25"/>
      <c r="JE317" s="25"/>
      <c r="JF317" s="25"/>
      <c r="JG317" s="25"/>
      <c r="JH317" s="25"/>
      <c r="JI317" s="25"/>
      <c r="JJ317" s="25"/>
      <c r="JK317" s="25"/>
      <c r="JL317" s="25"/>
      <c r="JM317" s="25"/>
      <c r="JN317" s="25"/>
      <c r="JO317" s="25"/>
      <c r="JP317" s="25"/>
      <c r="JQ317" s="25"/>
      <c r="JR317" s="25"/>
      <c r="JS317" s="25"/>
      <c r="JT317" s="25"/>
      <c r="JU317" s="25"/>
      <c r="JV317" s="25"/>
      <c r="JW317" s="25"/>
      <c r="JX317" s="25"/>
      <c r="JY317" s="25"/>
      <c r="JZ317" s="25"/>
      <c r="KA317" s="25"/>
      <c r="KB317" s="25"/>
      <c r="KC317" s="25"/>
      <c r="KD317" s="25"/>
      <c r="KE317" s="25"/>
      <c r="KF317" s="25"/>
      <c r="KG317" s="25"/>
      <c r="KH317" s="25"/>
      <c r="KI317" s="25"/>
      <c r="KJ317" s="25"/>
      <c r="KK317" s="25"/>
      <c r="KL317" s="25"/>
      <c r="KM317" s="25"/>
      <c r="KN317" s="25"/>
      <c r="KO317" s="25"/>
      <c r="KP317" s="25"/>
      <c r="KQ317" s="25"/>
      <c r="KR317" s="25"/>
      <c r="KS317" s="25"/>
      <c r="KT317" s="25"/>
      <c r="KU317" s="25"/>
      <c r="KV317" s="25"/>
      <c r="KW317" s="25"/>
      <c r="KX317" s="25"/>
      <c r="KY317" s="25"/>
      <c r="KZ317" s="25"/>
      <c r="LA317" s="25"/>
      <c r="LB317" s="25"/>
      <c r="LC317" s="25"/>
      <c r="LD317" s="25"/>
      <c r="LE317" s="25"/>
      <c r="LF317" s="25"/>
      <c r="LG317" s="25"/>
      <c r="LH317" s="25"/>
      <c r="LI317" s="25"/>
      <c r="LJ317" s="25"/>
      <c r="LK317" s="25"/>
      <c r="LL317" s="25"/>
      <c r="LM317" s="25"/>
      <c r="LN317" s="25"/>
      <c r="LO317" s="25"/>
      <c r="LP317" s="25"/>
      <c r="LQ317" s="25"/>
      <c r="LR317" s="25"/>
      <c r="LS317" s="25"/>
      <c r="LT317" s="25"/>
      <c r="LU317" s="25"/>
      <c r="LV317" s="25"/>
      <c r="LW317" s="25"/>
      <c r="LX317" s="25"/>
      <c r="LY317" s="25"/>
      <c r="LZ317" s="25"/>
      <c r="MA317" s="25"/>
      <c r="MB317" s="25"/>
      <c r="MC317" s="25"/>
      <c r="MD317" s="25"/>
      <c r="ME317" s="25"/>
      <c r="MF317" s="25"/>
      <c r="MG317" s="25"/>
      <c r="MH317" s="25"/>
      <c r="MI317" s="25"/>
      <c r="MJ317" s="25"/>
      <c r="MK317" s="25"/>
      <c r="ML317" s="25"/>
      <c r="MM317" s="25"/>
      <c r="MN317" s="25"/>
      <c r="MO317" s="25"/>
      <c r="MP317" s="25"/>
      <c r="MQ317" s="25"/>
      <c r="MR317" s="25"/>
      <c r="MS317" s="25"/>
      <c r="MT317" s="25"/>
      <c r="MU317" s="25"/>
      <c r="MV317" s="25"/>
      <c r="MW317" s="25"/>
      <c r="MX317" s="25"/>
      <c r="MY317" s="25"/>
      <c r="MZ317" s="25"/>
      <c r="NA317" s="25"/>
      <c r="NB317" s="25"/>
      <c r="NC317" s="25"/>
      <c r="ND317" s="25"/>
      <c r="NE317" s="25"/>
      <c r="NF317" s="25"/>
      <c r="NG317" s="25"/>
      <c r="NH317" s="25"/>
      <c r="NI317" s="25"/>
      <c r="NJ317" s="25"/>
      <c r="NK317" s="25"/>
      <c r="NL317" s="25"/>
      <c r="NM317" s="25"/>
      <c r="NN317" s="25"/>
      <c r="NO317" s="25"/>
      <c r="NP317" s="25"/>
      <c r="NQ317" s="25"/>
      <c r="NR317" s="25"/>
      <c r="NS317" s="25"/>
      <c r="NT317" s="25"/>
      <c r="NU317" s="25"/>
      <c r="NV317" s="25"/>
      <c r="NW317" s="25"/>
      <c r="NX317" s="25"/>
      <c r="NY317" s="25"/>
      <c r="NZ317" s="25"/>
      <c r="OA317" s="25"/>
      <c r="OB317" s="25"/>
      <c r="OC317" s="25"/>
      <c r="OD317" s="25"/>
      <c r="OE317" s="25"/>
      <c r="OF317" s="25"/>
      <c r="OG317" s="25"/>
      <c r="OH317" s="25"/>
      <c r="OI317" s="25"/>
      <c r="OJ317" s="25"/>
      <c r="OK317" s="25"/>
      <c r="OL317" s="25"/>
      <c r="OM317" s="25"/>
      <c r="ON317" s="25"/>
      <c r="OO317" s="25"/>
      <c r="OP317" s="25"/>
      <c r="OQ317" s="25"/>
      <c r="OR317" s="25"/>
      <c r="OS317" s="25"/>
      <c r="OT317" s="25"/>
      <c r="OU317" s="25"/>
      <c r="OV317" s="25"/>
      <c r="OW317" s="25"/>
      <c r="OX317" s="25"/>
      <c r="OY317" s="25"/>
      <c r="OZ317" s="25"/>
      <c r="PA317" s="25"/>
      <c r="PB317" s="25"/>
      <c r="PC317" s="25"/>
      <c r="PD317" s="25"/>
      <c r="PE317" s="25"/>
      <c r="PF317" s="25"/>
      <c r="PG317" s="25"/>
      <c r="PH317" s="25"/>
      <c r="PI317" s="25"/>
      <c r="PJ317" s="25"/>
      <c r="PK317" s="25"/>
      <c r="PL317" s="25"/>
      <c r="PM317" s="25"/>
      <c r="PN317" s="25"/>
      <c r="PO317" s="25"/>
      <c r="PP317" s="25"/>
      <c r="PQ317" s="25"/>
      <c r="PR317" s="25"/>
      <c r="PS317" s="25"/>
      <c r="PT317" s="25"/>
      <c r="PU317" s="25"/>
      <c r="PV317" s="25"/>
      <c r="PW317" s="25"/>
      <c r="PX317" s="25"/>
      <c r="PY317" s="25"/>
      <c r="PZ317" s="25"/>
      <c r="QA317" s="25"/>
      <c r="QB317" s="25"/>
      <c r="QC317" s="25"/>
      <c r="QD317" s="25"/>
      <c r="QE317" s="25"/>
      <c r="QF317" s="25"/>
      <c r="QG317" s="25"/>
      <c r="QH317" s="25"/>
      <c r="QI317" s="25"/>
      <c r="QJ317" s="25"/>
      <c r="QK317" s="25"/>
      <c r="QL317" s="25"/>
      <c r="QM317" s="25"/>
      <c r="QN317" s="25"/>
      <c r="QO317" s="25"/>
      <c r="QP317" s="25"/>
      <c r="QQ317" s="25"/>
      <c r="QR317" s="25"/>
      <c r="QS317" s="25"/>
      <c r="QT317" s="25"/>
      <c r="QU317" s="25"/>
      <c r="QV317" s="25"/>
      <c r="QW317" s="25"/>
      <c r="QX317" s="25"/>
      <c r="QY317" s="25"/>
      <c r="QZ317" s="25"/>
      <c r="RA317" s="25"/>
      <c r="RB317" s="25"/>
      <c r="RC317" s="25"/>
      <c r="RD317" s="25"/>
      <c r="RE317" s="25"/>
      <c r="RF317" s="25"/>
      <c r="RG317" s="25"/>
      <c r="RH317" s="25"/>
      <c r="RI317" s="25"/>
      <c r="RJ317" s="25"/>
      <c r="RK317" s="25"/>
      <c r="RL317" s="25"/>
      <c r="RM317" s="25"/>
      <c r="RN317" s="25"/>
      <c r="RO317" s="25"/>
      <c r="RP317" s="25"/>
      <c r="RQ317" s="25"/>
      <c r="RR317" s="25"/>
      <c r="RS317" s="25"/>
      <c r="RT317" s="25"/>
      <c r="RU317" s="25"/>
      <c r="RV317" s="25"/>
      <c r="RW317" s="25"/>
      <c r="RX317" s="25"/>
      <c r="RY317" s="25"/>
      <c r="RZ317" s="25"/>
      <c r="SA317" s="25"/>
      <c r="SB317" s="25"/>
      <c r="SC317" s="25"/>
      <c r="SD317" s="25"/>
      <c r="SE317" s="25"/>
      <c r="SF317" s="25"/>
      <c r="SG317" s="25"/>
      <c r="SH317" s="25"/>
      <c r="SI317" s="25"/>
      <c r="SJ317" s="25"/>
      <c r="SK317" s="25"/>
      <c r="SL317" s="25"/>
      <c r="SM317" s="25"/>
      <c r="SN317" s="25"/>
      <c r="SO317" s="25"/>
      <c r="SP317" s="25"/>
      <c r="SQ317" s="25"/>
      <c r="SR317" s="25"/>
      <c r="SS317" s="25"/>
      <c r="ST317" s="25"/>
      <c r="SU317" s="25"/>
      <c r="SV317" s="25"/>
      <c r="SW317" s="25"/>
      <c r="SX317" s="25"/>
      <c r="SY317" s="25"/>
      <c r="SZ317" s="25"/>
      <c r="TA317" s="25"/>
      <c r="TB317" s="25"/>
      <c r="TC317" s="25"/>
      <c r="TD317" s="25"/>
      <c r="TE317" s="25"/>
      <c r="TF317" s="25"/>
      <c r="TG317" s="25"/>
      <c r="TH317" s="25"/>
      <c r="TI317" s="25"/>
      <c r="TJ317" s="25"/>
      <c r="TK317" s="25"/>
      <c r="TL317" s="25"/>
      <c r="TM317" s="25"/>
      <c r="TN317" s="25"/>
      <c r="TO317" s="25"/>
      <c r="TP317" s="25"/>
      <c r="TQ317" s="25"/>
      <c r="TR317" s="25"/>
      <c r="TS317" s="25"/>
      <c r="TT317" s="25"/>
      <c r="TU317" s="25"/>
      <c r="TV317" s="25"/>
      <c r="TW317" s="25"/>
      <c r="TX317" s="25"/>
      <c r="TY317" s="25"/>
      <c r="TZ317" s="25"/>
      <c r="UA317" s="25"/>
      <c r="UB317" s="25"/>
      <c r="UC317" s="25"/>
      <c r="UD317" s="25"/>
      <c r="UE317" s="25"/>
      <c r="UF317" s="25"/>
      <c r="UG317" s="26"/>
    </row>
    <row r="318" spans="1:553" ht="33.75" customHeight="1">
      <c r="A318" s="356"/>
      <c r="B318" s="356"/>
      <c r="C318" s="548" t="s">
        <v>283</v>
      </c>
      <c r="D318" s="418"/>
      <c r="E318" s="418"/>
      <c r="F318" s="366"/>
      <c r="G318" s="366"/>
      <c r="H318" s="370"/>
      <c r="I318" s="359"/>
      <c r="J318" s="368"/>
      <c r="K318" s="371"/>
      <c r="L318" s="356"/>
      <c r="M318" s="356"/>
      <c r="N318" s="356"/>
      <c r="O318" s="356"/>
      <c r="P318" s="356"/>
      <c r="Q318" s="610"/>
      <c r="R318" s="1226"/>
      <c r="S318" s="308"/>
      <c r="T318" s="303"/>
      <c r="U318" s="306"/>
      <c r="V318" s="307"/>
      <c r="W318" s="306"/>
      <c r="X318" s="306"/>
      <c r="Y318" s="306"/>
      <c r="Z318" s="306"/>
      <c r="AA318" s="306"/>
      <c r="AB318" s="306"/>
      <c r="AC318" s="449"/>
      <c r="AD318" s="449"/>
      <c r="AE318" s="449"/>
      <c r="AF318" s="449"/>
      <c r="AG318" s="449"/>
      <c r="AH318" s="449"/>
      <c r="AI318" s="449"/>
      <c r="AJ318" s="449"/>
      <c r="AK318" s="452"/>
      <c r="AL318" s="104"/>
      <c r="AM318" s="32"/>
      <c r="AN318" s="32"/>
      <c r="AO318" s="32"/>
      <c r="AP318" s="32"/>
      <c r="AQ318" s="32"/>
      <c r="AR318" s="32"/>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25"/>
      <c r="BQ318" s="25"/>
      <c r="BR318" s="25"/>
      <c r="BS318" s="25"/>
      <c r="BT318" s="25"/>
      <c r="BU318" s="25"/>
      <c r="BV318" s="25"/>
      <c r="BW318" s="25"/>
      <c r="BX318" s="25"/>
      <c r="BY318" s="25"/>
      <c r="BZ318" s="25"/>
      <c r="CA318" s="25"/>
      <c r="CB318" s="25"/>
      <c r="CC318" s="25"/>
      <c r="CD318" s="25"/>
      <c r="CE318" s="25"/>
      <c r="CF318" s="25"/>
      <c r="CG318" s="25"/>
      <c r="CH318" s="25"/>
      <c r="CI318" s="25"/>
      <c r="CJ318" s="25"/>
      <c r="CK318" s="25"/>
      <c r="CL318" s="25"/>
      <c r="CM318" s="25"/>
      <c r="CN318" s="25"/>
      <c r="CO318" s="25"/>
      <c r="CP318" s="25"/>
      <c r="CQ318" s="25"/>
      <c r="CR318" s="25"/>
      <c r="CS318" s="25"/>
      <c r="CT318" s="25"/>
      <c r="CU318" s="25"/>
      <c r="CV318" s="25"/>
      <c r="CW318" s="25"/>
      <c r="CX318" s="25"/>
      <c r="CY318" s="25"/>
      <c r="CZ318" s="25"/>
      <c r="DA318" s="25"/>
      <c r="DB318" s="25"/>
      <c r="DC318" s="25"/>
      <c r="DD318" s="25"/>
      <c r="DE318" s="25"/>
      <c r="DF318" s="25"/>
      <c r="DG318" s="25"/>
      <c r="DH318" s="25"/>
      <c r="DI318" s="25"/>
      <c r="DJ318" s="25"/>
      <c r="DK318" s="25"/>
      <c r="DL318" s="25"/>
      <c r="DM318" s="25"/>
      <c r="DN318" s="25"/>
      <c r="DO318" s="25"/>
      <c r="DP318" s="25"/>
      <c r="DQ318" s="25"/>
      <c r="DR318" s="25"/>
      <c r="DS318" s="25"/>
      <c r="DT318" s="25"/>
      <c r="DU318" s="25"/>
      <c r="DV318" s="25"/>
      <c r="DW318" s="25"/>
      <c r="DX318" s="25"/>
      <c r="DY318" s="25"/>
      <c r="DZ318" s="25"/>
      <c r="EA318" s="25"/>
      <c r="EB318" s="25"/>
      <c r="EC318" s="25"/>
      <c r="ED318" s="25"/>
      <c r="EE318" s="25"/>
      <c r="EF318" s="25"/>
      <c r="EG318" s="25"/>
      <c r="EH318" s="25"/>
      <c r="EI318" s="25"/>
      <c r="EJ318" s="25"/>
      <c r="EK318" s="25"/>
      <c r="EL318" s="25"/>
      <c r="EM318" s="25"/>
      <c r="EN318" s="25"/>
      <c r="EO318" s="25"/>
      <c r="EP318" s="25"/>
      <c r="EQ318" s="25"/>
      <c r="ER318" s="25"/>
      <c r="ES318" s="25"/>
      <c r="ET318" s="25"/>
      <c r="EU318" s="25"/>
      <c r="EV318" s="25"/>
      <c r="EW318" s="25"/>
      <c r="EX318" s="25"/>
      <c r="EY318" s="25"/>
      <c r="EZ318" s="25"/>
      <c r="FA318" s="25"/>
      <c r="FB318" s="25"/>
      <c r="FC318" s="25"/>
      <c r="FD318" s="25"/>
      <c r="FE318" s="25"/>
      <c r="FF318" s="25"/>
      <c r="FG318" s="25"/>
      <c r="FH318" s="25"/>
      <c r="FI318" s="25"/>
      <c r="FJ318" s="25"/>
      <c r="FK318" s="25"/>
      <c r="FL318" s="25"/>
      <c r="FM318" s="25"/>
      <c r="FN318" s="25"/>
      <c r="FO318" s="25"/>
      <c r="FP318" s="25"/>
      <c r="FQ318" s="25"/>
      <c r="FR318" s="25"/>
      <c r="FS318" s="25"/>
      <c r="FT318" s="25"/>
      <c r="FU318" s="25"/>
      <c r="FV318" s="25"/>
      <c r="FW318" s="25"/>
      <c r="FX318" s="25"/>
      <c r="FY318" s="25"/>
      <c r="FZ318" s="25"/>
      <c r="GA318" s="25"/>
      <c r="GB318" s="25"/>
      <c r="GC318" s="25"/>
      <c r="GD318" s="25"/>
      <c r="GE318" s="25"/>
      <c r="GF318" s="25"/>
      <c r="GG318" s="25"/>
      <c r="GH318" s="25"/>
      <c r="GI318" s="25"/>
      <c r="GJ318" s="25"/>
      <c r="GK318" s="25"/>
      <c r="GL318" s="25"/>
      <c r="GM318" s="25"/>
      <c r="GN318" s="25"/>
      <c r="GO318" s="25"/>
      <c r="GP318" s="25"/>
      <c r="GQ318" s="25"/>
      <c r="GR318" s="25"/>
      <c r="GS318" s="25"/>
      <c r="GT318" s="25"/>
      <c r="GU318" s="25"/>
      <c r="GV318" s="25"/>
      <c r="GW318" s="25"/>
      <c r="GX318" s="25"/>
      <c r="GY318" s="25"/>
      <c r="GZ318" s="25"/>
      <c r="HA318" s="25"/>
      <c r="HB318" s="25"/>
      <c r="HC318" s="25"/>
      <c r="HD318" s="25"/>
      <c r="HE318" s="25"/>
      <c r="HF318" s="25"/>
      <c r="HG318" s="25"/>
      <c r="HH318" s="25"/>
      <c r="HI318" s="25"/>
      <c r="HJ318" s="25"/>
      <c r="HK318" s="25"/>
      <c r="HL318" s="25"/>
      <c r="HM318" s="25"/>
      <c r="HN318" s="25"/>
      <c r="HO318" s="25"/>
      <c r="HP318" s="25"/>
      <c r="HQ318" s="25"/>
      <c r="HR318" s="25"/>
      <c r="HS318" s="25"/>
      <c r="HT318" s="25"/>
      <c r="HU318" s="25"/>
      <c r="HV318" s="25"/>
      <c r="HW318" s="25"/>
      <c r="HX318" s="25"/>
      <c r="HY318" s="25"/>
      <c r="HZ318" s="25"/>
      <c r="IA318" s="25"/>
      <c r="IB318" s="25"/>
      <c r="IC318" s="25"/>
      <c r="ID318" s="25"/>
      <c r="IE318" s="25"/>
      <c r="IF318" s="25"/>
      <c r="IG318" s="25"/>
      <c r="IH318" s="25"/>
      <c r="II318" s="25"/>
      <c r="IJ318" s="25"/>
      <c r="IK318" s="25"/>
      <c r="IL318" s="25"/>
      <c r="IM318" s="25"/>
      <c r="IN318" s="25"/>
      <c r="IO318" s="25"/>
      <c r="IP318" s="25"/>
      <c r="IQ318" s="25"/>
      <c r="IR318" s="25"/>
      <c r="IS318" s="25"/>
      <c r="IT318" s="25"/>
      <c r="IU318" s="25"/>
      <c r="IV318" s="25"/>
      <c r="IW318" s="25"/>
      <c r="IX318" s="25"/>
      <c r="IY318" s="25"/>
      <c r="IZ318" s="25"/>
      <c r="JA318" s="25"/>
      <c r="JB318" s="25"/>
      <c r="JC318" s="25"/>
      <c r="JD318" s="25"/>
      <c r="JE318" s="25"/>
      <c r="JF318" s="25"/>
      <c r="JG318" s="25"/>
      <c r="JH318" s="25"/>
      <c r="JI318" s="25"/>
      <c r="JJ318" s="25"/>
      <c r="JK318" s="25"/>
      <c r="JL318" s="25"/>
      <c r="JM318" s="25"/>
      <c r="JN318" s="25"/>
      <c r="JO318" s="25"/>
      <c r="JP318" s="25"/>
      <c r="JQ318" s="25"/>
      <c r="JR318" s="25"/>
      <c r="JS318" s="25"/>
      <c r="JT318" s="25"/>
      <c r="JU318" s="25"/>
      <c r="JV318" s="25"/>
      <c r="JW318" s="25"/>
      <c r="JX318" s="25"/>
      <c r="JY318" s="25"/>
      <c r="JZ318" s="25"/>
      <c r="KA318" s="25"/>
      <c r="KB318" s="25"/>
      <c r="KC318" s="25"/>
      <c r="KD318" s="25"/>
      <c r="KE318" s="25"/>
      <c r="KF318" s="25"/>
      <c r="KG318" s="25"/>
      <c r="KH318" s="25"/>
      <c r="KI318" s="25"/>
      <c r="KJ318" s="25"/>
      <c r="KK318" s="25"/>
      <c r="KL318" s="25"/>
      <c r="KM318" s="25"/>
      <c r="KN318" s="25"/>
      <c r="KO318" s="25"/>
      <c r="KP318" s="25"/>
      <c r="KQ318" s="25"/>
      <c r="KR318" s="25"/>
      <c r="KS318" s="25"/>
      <c r="KT318" s="25"/>
      <c r="KU318" s="25"/>
      <c r="KV318" s="25"/>
      <c r="KW318" s="25"/>
      <c r="KX318" s="25"/>
      <c r="KY318" s="25"/>
      <c r="KZ318" s="25"/>
      <c r="LA318" s="25"/>
      <c r="LB318" s="25"/>
      <c r="LC318" s="25"/>
      <c r="LD318" s="25"/>
      <c r="LE318" s="25"/>
      <c r="LF318" s="25"/>
      <c r="LG318" s="25"/>
      <c r="LH318" s="25"/>
      <c r="LI318" s="25"/>
      <c r="LJ318" s="25"/>
      <c r="LK318" s="25"/>
      <c r="LL318" s="25"/>
      <c r="LM318" s="25"/>
      <c r="LN318" s="25"/>
      <c r="LO318" s="25"/>
      <c r="LP318" s="25"/>
      <c r="LQ318" s="25"/>
      <c r="LR318" s="25"/>
      <c r="LS318" s="25"/>
      <c r="LT318" s="25"/>
      <c r="LU318" s="25"/>
      <c r="LV318" s="25"/>
      <c r="LW318" s="25"/>
      <c r="LX318" s="25"/>
      <c r="LY318" s="25"/>
      <c r="LZ318" s="25"/>
      <c r="MA318" s="25"/>
      <c r="MB318" s="25"/>
      <c r="MC318" s="25"/>
      <c r="MD318" s="25"/>
      <c r="ME318" s="25"/>
      <c r="MF318" s="25"/>
      <c r="MG318" s="25"/>
      <c r="MH318" s="25"/>
      <c r="MI318" s="25"/>
      <c r="MJ318" s="25"/>
      <c r="MK318" s="25"/>
      <c r="ML318" s="25"/>
      <c r="MM318" s="25"/>
      <c r="MN318" s="25"/>
      <c r="MO318" s="25"/>
      <c r="MP318" s="25"/>
      <c r="MQ318" s="25"/>
      <c r="MR318" s="25"/>
      <c r="MS318" s="25"/>
      <c r="MT318" s="25"/>
      <c r="MU318" s="25"/>
      <c r="MV318" s="25"/>
      <c r="MW318" s="25"/>
      <c r="MX318" s="25"/>
      <c r="MY318" s="25"/>
      <c r="MZ318" s="25"/>
      <c r="NA318" s="25"/>
      <c r="NB318" s="25"/>
      <c r="NC318" s="25"/>
      <c r="ND318" s="25"/>
      <c r="NE318" s="25"/>
      <c r="NF318" s="25"/>
      <c r="NG318" s="25"/>
      <c r="NH318" s="25"/>
      <c r="NI318" s="25"/>
      <c r="NJ318" s="25"/>
      <c r="NK318" s="25"/>
      <c r="NL318" s="25"/>
      <c r="NM318" s="25"/>
      <c r="NN318" s="25"/>
      <c r="NO318" s="25"/>
      <c r="NP318" s="25"/>
      <c r="NQ318" s="25"/>
      <c r="NR318" s="25"/>
      <c r="NS318" s="25"/>
      <c r="NT318" s="25"/>
      <c r="NU318" s="25"/>
      <c r="NV318" s="25"/>
      <c r="NW318" s="25"/>
      <c r="NX318" s="25"/>
      <c r="NY318" s="25"/>
      <c r="NZ318" s="25"/>
      <c r="OA318" s="25"/>
      <c r="OB318" s="25"/>
      <c r="OC318" s="25"/>
      <c r="OD318" s="25"/>
      <c r="OE318" s="25"/>
      <c r="OF318" s="25"/>
      <c r="OG318" s="25"/>
      <c r="OH318" s="25"/>
      <c r="OI318" s="25"/>
      <c r="OJ318" s="25"/>
      <c r="OK318" s="25"/>
      <c r="OL318" s="25"/>
      <c r="OM318" s="25"/>
      <c r="ON318" s="25"/>
      <c r="OO318" s="25"/>
      <c r="OP318" s="25"/>
      <c r="OQ318" s="25"/>
      <c r="OR318" s="25"/>
      <c r="OS318" s="25"/>
      <c r="OT318" s="25"/>
      <c r="OU318" s="25"/>
      <c r="OV318" s="25"/>
      <c r="OW318" s="25"/>
      <c r="OX318" s="25"/>
      <c r="OY318" s="25"/>
      <c r="OZ318" s="25"/>
      <c r="PA318" s="25"/>
      <c r="PB318" s="25"/>
      <c r="PC318" s="25"/>
      <c r="PD318" s="25"/>
      <c r="PE318" s="25"/>
      <c r="PF318" s="25"/>
      <c r="PG318" s="25"/>
      <c r="PH318" s="25"/>
      <c r="PI318" s="25"/>
      <c r="PJ318" s="25"/>
      <c r="PK318" s="25"/>
      <c r="PL318" s="25"/>
      <c r="PM318" s="25"/>
      <c r="PN318" s="25"/>
      <c r="PO318" s="25"/>
      <c r="PP318" s="25"/>
      <c r="PQ318" s="25"/>
      <c r="PR318" s="25"/>
      <c r="PS318" s="25"/>
      <c r="PT318" s="25"/>
      <c r="PU318" s="25"/>
      <c r="PV318" s="25"/>
      <c r="PW318" s="25"/>
      <c r="PX318" s="25"/>
      <c r="PY318" s="25"/>
      <c r="PZ318" s="25"/>
      <c r="QA318" s="25"/>
      <c r="QB318" s="25"/>
      <c r="QC318" s="25"/>
      <c r="QD318" s="25"/>
      <c r="QE318" s="25"/>
      <c r="QF318" s="25"/>
      <c r="QG318" s="25"/>
      <c r="QH318" s="25"/>
      <c r="QI318" s="25"/>
      <c r="QJ318" s="25"/>
      <c r="QK318" s="25"/>
      <c r="QL318" s="25"/>
      <c r="QM318" s="25"/>
      <c r="QN318" s="25"/>
      <c r="QO318" s="25"/>
      <c r="QP318" s="25"/>
      <c r="QQ318" s="25"/>
      <c r="QR318" s="25"/>
      <c r="QS318" s="25"/>
      <c r="QT318" s="25"/>
      <c r="QU318" s="25"/>
      <c r="QV318" s="25"/>
      <c r="QW318" s="25"/>
      <c r="QX318" s="25"/>
      <c r="QY318" s="25"/>
      <c r="QZ318" s="25"/>
      <c r="RA318" s="25"/>
      <c r="RB318" s="25"/>
      <c r="RC318" s="25"/>
      <c r="RD318" s="25"/>
      <c r="RE318" s="25"/>
      <c r="RF318" s="25"/>
      <c r="RG318" s="25"/>
      <c r="RH318" s="25"/>
      <c r="RI318" s="25"/>
      <c r="RJ318" s="25"/>
      <c r="RK318" s="25"/>
      <c r="RL318" s="25"/>
      <c r="RM318" s="25"/>
      <c r="RN318" s="25"/>
      <c r="RO318" s="25"/>
      <c r="RP318" s="25"/>
      <c r="RQ318" s="25"/>
      <c r="RR318" s="25"/>
      <c r="RS318" s="25"/>
      <c r="RT318" s="25"/>
      <c r="RU318" s="25"/>
      <c r="RV318" s="25"/>
      <c r="RW318" s="25"/>
      <c r="RX318" s="25"/>
      <c r="RY318" s="25"/>
      <c r="RZ318" s="25"/>
      <c r="SA318" s="25"/>
      <c r="SB318" s="25"/>
      <c r="SC318" s="25"/>
      <c r="SD318" s="25"/>
      <c r="SE318" s="25"/>
      <c r="SF318" s="25"/>
      <c r="SG318" s="25"/>
      <c r="SH318" s="25"/>
      <c r="SI318" s="25"/>
      <c r="SJ318" s="25"/>
      <c r="SK318" s="25"/>
      <c r="SL318" s="25"/>
      <c r="SM318" s="25"/>
      <c r="SN318" s="25"/>
      <c r="SO318" s="25"/>
      <c r="SP318" s="25"/>
      <c r="SQ318" s="25"/>
      <c r="SR318" s="25"/>
      <c r="SS318" s="25"/>
      <c r="ST318" s="25"/>
      <c r="SU318" s="25"/>
      <c r="SV318" s="25"/>
      <c r="SW318" s="25"/>
      <c r="SX318" s="25"/>
      <c r="SY318" s="25"/>
      <c r="SZ318" s="25"/>
      <c r="TA318" s="25"/>
      <c r="TB318" s="25"/>
      <c r="TC318" s="25"/>
      <c r="TD318" s="25"/>
      <c r="TE318" s="25"/>
      <c r="TF318" s="25"/>
      <c r="TG318" s="25"/>
      <c r="TH318" s="25"/>
      <c r="TI318" s="25"/>
      <c r="TJ318" s="25"/>
      <c r="TK318" s="25"/>
      <c r="TL318" s="25"/>
      <c r="TM318" s="25"/>
      <c r="TN318" s="25"/>
      <c r="TO318" s="25"/>
      <c r="TP318" s="25"/>
      <c r="TQ318" s="25"/>
      <c r="TR318" s="25"/>
      <c r="TS318" s="25"/>
      <c r="TT318" s="25"/>
      <c r="TU318" s="25"/>
      <c r="TV318" s="25"/>
      <c r="TW318" s="25"/>
      <c r="TX318" s="25"/>
      <c r="TY318" s="25"/>
      <c r="TZ318" s="25"/>
      <c r="UA318" s="25"/>
      <c r="UB318" s="25"/>
      <c r="UC318" s="25"/>
      <c r="UD318" s="25"/>
      <c r="UE318" s="25"/>
      <c r="UF318" s="25"/>
      <c r="UG318" s="26"/>
    </row>
    <row r="319" spans="1:553" ht="99" customHeight="1">
      <c r="A319" s="356" t="s">
        <v>15</v>
      </c>
      <c r="B319" s="385" t="s">
        <v>29</v>
      </c>
      <c r="C319" s="1562" t="s">
        <v>284</v>
      </c>
      <c r="D319" s="1389"/>
      <c r="E319" s="1389"/>
      <c r="F319" s="1390"/>
      <c r="G319" s="386" t="s">
        <v>935</v>
      </c>
      <c r="H319" s="370"/>
      <c r="I319" s="417">
        <f>9.5*13.5</f>
        <v>128.25</v>
      </c>
      <c r="J319" s="368">
        <v>2204600</v>
      </c>
      <c r="K319" s="371"/>
      <c r="L319" s="391">
        <f t="shared" ref="L319:L322" si="66">ROUND(PRODUCT(I319:K319),0)</f>
        <v>282739950</v>
      </c>
      <c r="M319" s="395"/>
      <c r="N319" s="395"/>
      <c r="O319" s="366"/>
      <c r="P319" s="396"/>
      <c r="Q319" s="473"/>
      <c r="R319" s="1039"/>
      <c r="S319" s="308"/>
      <c r="T319" s="303"/>
      <c r="U319" s="306"/>
      <c r="V319" s="307"/>
      <c r="W319" s="306"/>
      <c r="X319" s="306"/>
      <c r="Y319" s="306"/>
      <c r="Z319" s="306"/>
      <c r="AA319" s="306"/>
      <c r="AB319" s="306"/>
      <c r="AC319" s="449"/>
      <c r="AD319" s="449"/>
      <c r="AE319" s="449"/>
      <c r="AF319" s="449"/>
      <c r="AG319" s="452"/>
      <c r="AH319" s="452"/>
      <c r="AI319" s="452"/>
      <c r="AJ319" s="452"/>
      <c r="AK319" s="452"/>
      <c r="AL319" s="104"/>
      <c r="AM319" s="32"/>
      <c r="AN319" s="32"/>
      <c r="AO319" s="32"/>
      <c r="AP319" s="32"/>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25"/>
      <c r="BN319" s="25"/>
      <c r="BO319" s="25"/>
      <c r="BP319" s="25"/>
      <c r="BQ319" s="25"/>
      <c r="BR319" s="25"/>
      <c r="BS319" s="25"/>
      <c r="BT319" s="25"/>
      <c r="BU319" s="25"/>
      <c r="BV319" s="25"/>
      <c r="BW319" s="25"/>
      <c r="BX319" s="25"/>
      <c r="BY319" s="25"/>
      <c r="BZ319" s="25"/>
      <c r="CA319" s="25"/>
      <c r="CB319" s="25"/>
      <c r="CC319" s="25"/>
      <c r="CD319" s="25"/>
      <c r="CE319" s="25"/>
      <c r="CF319" s="25"/>
      <c r="CG319" s="25"/>
      <c r="CH319" s="25"/>
      <c r="CI319" s="25"/>
      <c r="CJ319" s="25"/>
      <c r="CK319" s="25"/>
      <c r="CL319" s="25"/>
      <c r="CM319" s="25"/>
      <c r="CN319" s="25"/>
      <c r="CO319" s="25"/>
      <c r="CP319" s="25"/>
      <c r="CQ319" s="25"/>
      <c r="CR319" s="25"/>
      <c r="CS319" s="25"/>
      <c r="CT319" s="25"/>
      <c r="CU319" s="25"/>
      <c r="CV319" s="25"/>
      <c r="CW319" s="25"/>
      <c r="CX319" s="25"/>
      <c r="CY319" s="25"/>
      <c r="CZ319" s="25"/>
      <c r="DA319" s="25"/>
      <c r="DB319" s="25"/>
      <c r="DC319" s="25"/>
      <c r="DD319" s="25"/>
      <c r="DE319" s="25"/>
      <c r="DF319" s="25"/>
      <c r="DG319" s="25"/>
      <c r="DH319" s="25"/>
      <c r="DI319" s="25"/>
      <c r="DJ319" s="25"/>
      <c r="DK319" s="25"/>
      <c r="DL319" s="25"/>
      <c r="DM319" s="25"/>
      <c r="DN319" s="25"/>
      <c r="DO319" s="25"/>
      <c r="DP319" s="25"/>
      <c r="DQ319" s="25"/>
      <c r="DR319" s="25"/>
      <c r="DS319" s="25"/>
      <c r="DT319" s="25"/>
      <c r="DU319" s="25"/>
      <c r="DV319" s="25"/>
      <c r="DW319" s="25"/>
      <c r="DX319" s="25"/>
      <c r="DY319" s="25"/>
      <c r="DZ319" s="25"/>
      <c r="EA319" s="25"/>
      <c r="EB319" s="25"/>
      <c r="EC319" s="25"/>
      <c r="ED319" s="25"/>
      <c r="EE319" s="25"/>
      <c r="EF319" s="25"/>
      <c r="EG319" s="25"/>
      <c r="EH319" s="25"/>
      <c r="EI319" s="25"/>
      <c r="EJ319" s="25"/>
      <c r="EK319" s="25"/>
      <c r="EL319" s="25"/>
      <c r="EM319" s="25"/>
      <c r="EN319" s="25"/>
      <c r="EO319" s="25"/>
      <c r="EP319" s="25"/>
      <c r="EQ319" s="25"/>
      <c r="ER319" s="25"/>
      <c r="ES319" s="25"/>
      <c r="ET319" s="25"/>
      <c r="EU319" s="25"/>
      <c r="EV319" s="25"/>
      <c r="EW319" s="25"/>
      <c r="EX319" s="25"/>
      <c r="EY319" s="25"/>
      <c r="EZ319" s="25"/>
      <c r="FA319" s="25"/>
      <c r="FB319" s="25"/>
      <c r="FC319" s="25"/>
      <c r="FD319" s="25"/>
      <c r="FE319" s="25"/>
      <c r="FF319" s="25"/>
      <c r="FG319" s="25"/>
      <c r="FH319" s="25"/>
      <c r="FI319" s="25"/>
      <c r="FJ319" s="25"/>
      <c r="FK319" s="25"/>
      <c r="FL319" s="25"/>
      <c r="FM319" s="25"/>
      <c r="FN319" s="25"/>
      <c r="FO319" s="25"/>
      <c r="FP319" s="25"/>
      <c r="FQ319" s="25"/>
      <c r="FR319" s="25"/>
      <c r="FS319" s="25"/>
      <c r="FT319" s="25"/>
      <c r="FU319" s="25"/>
      <c r="FV319" s="25"/>
      <c r="FW319" s="25"/>
      <c r="FX319" s="25"/>
      <c r="FY319" s="25"/>
      <c r="FZ319" s="25"/>
      <c r="GA319" s="25"/>
      <c r="GB319" s="25"/>
      <c r="GC319" s="25"/>
      <c r="GD319" s="25"/>
      <c r="GE319" s="25"/>
      <c r="GF319" s="25"/>
      <c r="GG319" s="25"/>
      <c r="GH319" s="25"/>
      <c r="GI319" s="25"/>
      <c r="GJ319" s="25"/>
      <c r="GK319" s="25"/>
      <c r="GL319" s="25"/>
      <c r="GM319" s="25"/>
      <c r="GN319" s="25"/>
      <c r="GO319" s="25"/>
      <c r="GP319" s="25"/>
      <c r="GQ319" s="25"/>
      <c r="GR319" s="25"/>
      <c r="GS319" s="25"/>
      <c r="GT319" s="25"/>
      <c r="GU319" s="25"/>
      <c r="GV319" s="25"/>
      <c r="GW319" s="25"/>
      <c r="GX319" s="25"/>
      <c r="GY319" s="25"/>
      <c r="GZ319" s="25"/>
      <c r="HA319" s="25"/>
      <c r="HB319" s="25"/>
      <c r="HC319" s="25"/>
      <c r="HD319" s="25"/>
      <c r="HE319" s="25"/>
      <c r="HF319" s="25"/>
      <c r="HG319" s="25"/>
      <c r="HH319" s="25"/>
      <c r="HI319" s="25"/>
      <c r="HJ319" s="25"/>
      <c r="HK319" s="25"/>
      <c r="HL319" s="25"/>
      <c r="HM319" s="25"/>
      <c r="HN319" s="25"/>
      <c r="HO319" s="25"/>
      <c r="HP319" s="25"/>
      <c r="HQ319" s="25"/>
      <c r="HR319" s="25"/>
      <c r="HS319" s="25"/>
      <c r="HT319" s="25"/>
      <c r="HU319" s="25"/>
      <c r="HV319" s="25"/>
      <c r="HW319" s="25"/>
      <c r="HX319" s="25"/>
      <c r="HY319" s="25"/>
      <c r="HZ319" s="25"/>
      <c r="IA319" s="25"/>
      <c r="IB319" s="25"/>
      <c r="IC319" s="25"/>
      <c r="ID319" s="25"/>
      <c r="IE319" s="25"/>
      <c r="IF319" s="25"/>
      <c r="IG319" s="25"/>
      <c r="IH319" s="25"/>
      <c r="II319" s="25"/>
      <c r="IJ319" s="25"/>
      <c r="IK319" s="25"/>
      <c r="IL319" s="25"/>
      <c r="IM319" s="25"/>
      <c r="IN319" s="25"/>
      <c r="IO319" s="25"/>
      <c r="IP319" s="25"/>
      <c r="IQ319" s="25"/>
      <c r="IR319" s="25"/>
      <c r="IS319" s="25"/>
      <c r="IT319" s="25"/>
      <c r="IU319" s="25"/>
      <c r="IV319" s="25"/>
      <c r="IW319" s="25"/>
      <c r="IX319" s="25"/>
      <c r="IY319" s="25"/>
      <c r="IZ319" s="25"/>
      <c r="JA319" s="25"/>
      <c r="JB319" s="25"/>
      <c r="JC319" s="25"/>
      <c r="JD319" s="25"/>
      <c r="JE319" s="25"/>
      <c r="JF319" s="25"/>
      <c r="JG319" s="25"/>
      <c r="JH319" s="25"/>
      <c r="JI319" s="25"/>
      <c r="JJ319" s="25"/>
      <c r="JK319" s="25"/>
      <c r="JL319" s="25"/>
      <c r="JM319" s="25"/>
      <c r="JN319" s="25"/>
      <c r="JO319" s="25"/>
      <c r="JP319" s="25"/>
      <c r="JQ319" s="25"/>
      <c r="JR319" s="25"/>
      <c r="JS319" s="25"/>
      <c r="JT319" s="25"/>
      <c r="JU319" s="25"/>
      <c r="JV319" s="25"/>
      <c r="JW319" s="25"/>
      <c r="JX319" s="25"/>
      <c r="JY319" s="25"/>
      <c r="JZ319" s="25"/>
      <c r="KA319" s="25"/>
      <c r="KB319" s="25"/>
      <c r="KC319" s="25"/>
      <c r="KD319" s="25"/>
      <c r="KE319" s="25"/>
      <c r="KF319" s="25"/>
      <c r="KG319" s="25"/>
      <c r="KH319" s="25"/>
      <c r="KI319" s="25"/>
      <c r="KJ319" s="25"/>
      <c r="KK319" s="25"/>
      <c r="KL319" s="25"/>
      <c r="KM319" s="25"/>
      <c r="KN319" s="25"/>
      <c r="KO319" s="25"/>
      <c r="KP319" s="25"/>
      <c r="KQ319" s="25"/>
      <c r="KR319" s="25"/>
      <c r="KS319" s="25"/>
      <c r="KT319" s="25"/>
      <c r="KU319" s="25"/>
      <c r="KV319" s="25"/>
      <c r="KW319" s="25"/>
      <c r="KX319" s="25"/>
      <c r="KY319" s="25"/>
      <c r="KZ319" s="25"/>
      <c r="LA319" s="25"/>
      <c r="LB319" s="25"/>
      <c r="LC319" s="25"/>
      <c r="LD319" s="25"/>
      <c r="LE319" s="25"/>
      <c r="LF319" s="25"/>
      <c r="LG319" s="25"/>
      <c r="LH319" s="25"/>
      <c r="LI319" s="25"/>
      <c r="LJ319" s="25"/>
      <c r="LK319" s="25"/>
      <c r="LL319" s="25"/>
      <c r="LM319" s="25"/>
      <c r="LN319" s="25"/>
      <c r="LO319" s="25"/>
      <c r="LP319" s="25"/>
      <c r="LQ319" s="25"/>
      <c r="LR319" s="25"/>
      <c r="LS319" s="25"/>
      <c r="LT319" s="25"/>
      <c r="LU319" s="25"/>
      <c r="LV319" s="25"/>
      <c r="LW319" s="25"/>
      <c r="LX319" s="25"/>
      <c r="LY319" s="25"/>
      <c r="LZ319" s="25"/>
      <c r="MA319" s="25"/>
      <c r="MB319" s="25"/>
      <c r="MC319" s="25"/>
      <c r="MD319" s="25"/>
      <c r="ME319" s="25"/>
      <c r="MF319" s="25"/>
      <c r="MG319" s="25"/>
      <c r="MH319" s="25"/>
      <c r="MI319" s="25"/>
      <c r="MJ319" s="25"/>
      <c r="MK319" s="25"/>
      <c r="ML319" s="25"/>
      <c r="MM319" s="25"/>
      <c r="MN319" s="25"/>
      <c r="MO319" s="25"/>
      <c r="MP319" s="25"/>
      <c r="MQ319" s="25"/>
      <c r="MR319" s="25"/>
      <c r="MS319" s="25"/>
      <c r="MT319" s="25"/>
      <c r="MU319" s="25"/>
      <c r="MV319" s="25"/>
      <c r="MW319" s="25"/>
      <c r="MX319" s="25"/>
      <c r="MY319" s="25"/>
      <c r="MZ319" s="25"/>
      <c r="NA319" s="25"/>
      <c r="NB319" s="25"/>
      <c r="NC319" s="25"/>
      <c r="ND319" s="25"/>
      <c r="NE319" s="25"/>
      <c r="NF319" s="25"/>
      <c r="NG319" s="25"/>
      <c r="NH319" s="25"/>
      <c r="NI319" s="25"/>
      <c r="NJ319" s="25"/>
      <c r="NK319" s="25"/>
      <c r="NL319" s="25"/>
      <c r="NM319" s="25"/>
      <c r="NN319" s="25"/>
      <c r="NO319" s="25"/>
      <c r="NP319" s="25"/>
      <c r="NQ319" s="25"/>
      <c r="NR319" s="25"/>
      <c r="NS319" s="25"/>
      <c r="NT319" s="25"/>
      <c r="NU319" s="25"/>
      <c r="NV319" s="25"/>
      <c r="NW319" s="25"/>
      <c r="NX319" s="25"/>
      <c r="NY319" s="25"/>
      <c r="NZ319" s="25"/>
      <c r="OA319" s="25"/>
      <c r="OB319" s="25"/>
      <c r="OC319" s="25"/>
      <c r="OD319" s="25"/>
      <c r="OE319" s="25"/>
      <c r="OF319" s="25"/>
      <c r="OG319" s="25"/>
      <c r="OH319" s="25"/>
      <c r="OI319" s="25"/>
      <c r="OJ319" s="25"/>
      <c r="OK319" s="25"/>
      <c r="OL319" s="25"/>
      <c r="OM319" s="25"/>
      <c r="ON319" s="25"/>
      <c r="OO319" s="25"/>
      <c r="OP319" s="25"/>
      <c r="OQ319" s="25"/>
      <c r="OR319" s="25"/>
      <c r="OS319" s="25"/>
      <c r="OT319" s="25"/>
      <c r="OU319" s="25"/>
      <c r="OV319" s="25"/>
      <c r="OW319" s="25"/>
      <c r="OX319" s="25"/>
      <c r="OY319" s="25"/>
      <c r="OZ319" s="25"/>
      <c r="PA319" s="25"/>
      <c r="PB319" s="25"/>
      <c r="PC319" s="25"/>
      <c r="PD319" s="25"/>
      <c r="PE319" s="25"/>
      <c r="PF319" s="25"/>
      <c r="PG319" s="25"/>
      <c r="PH319" s="25"/>
      <c r="PI319" s="25"/>
      <c r="PJ319" s="25"/>
      <c r="PK319" s="25"/>
      <c r="PL319" s="25"/>
      <c r="PM319" s="25"/>
      <c r="PN319" s="25"/>
      <c r="PO319" s="25"/>
      <c r="PP319" s="25"/>
      <c r="PQ319" s="25"/>
      <c r="PR319" s="25"/>
      <c r="PS319" s="25"/>
      <c r="PT319" s="25"/>
      <c r="PU319" s="25"/>
      <c r="PV319" s="25"/>
      <c r="PW319" s="25"/>
      <c r="PX319" s="25"/>
      <c r="PY319" s="25"/>
      <c r="PZ319" s="25"/>
      <c r="QA319" s="25"/>
      <c r="QB319" s="25"/>
      <c r="QC319" s="25"/>
      <c r="QD319" s="25"/>
      <c r="QE319" s="25"/>
      <c r="QF319" s="25"/>
      <c r="QG319" s="25"/>
      <c r="QH319" s="25"/>
      <c r="QI319" s="25"/>
      <c r="QJ319" s="25"/>
      <c r="QK319" s="25"/>
      <c r="QL319" s="25"/>
      <c r="QM319" s="25"/>
      <c r="QN319" s="25"/>
      <c r="QO319" s="25"/>
      <c r="QP319" s="25"/>
      <c r="QQ319" s="25"/>
      <c r="QR319" s="25"/>
      <c r="QS319" s="25"/>
      <c r="QT319" s="25"/>
      <c r="QU319" s="25"/>
      <c r="QV319" s="25"/>
      <c r="QW319" s="25"/>
      <c r="QX319" s="25"/>
      <c r="QY319" s="25"/>
      <c r="QZ319" s="25"/>
      <c r="RA319" s="25"/>
      <c r="RB319" s="25"/>
      <c r="RC319" s="25"/>
      <c r="RD319" s="25"/>
      <c r="RE319" s="25"/>
      <c r="RF319" s="25"/>
      <c r="RG319" s="25"/>
      <c r="RH319" s="25"/>
      <c r="RI319" s="25"/>
      <c r="RJ319" s="25"/>
      <c r="RK319" s="25"/>
      <c r="RL319" s="25"/>
      <c r="RM319" s="25"/>
      <c r="RN319" s="25"/>
      <c r="RO319" s="25"/>
      <c r="RP319" s="25"/>
      <c r="RQ319" s="25"/>
      <c r="RR319" s="25"/>
      <c r="RS319" s="25"/>
      <c r="RT319" s="25"/>
      <c r="RU319" s="25"/>
      <c r="RV319" s="25"/>
      <c r="RW319" s="25"/>
      <c r="RX319" s="25"/>
      <c r="RY319" s="25"/>
      <c r="RZ319" s="25"/>
      <c r="SA319" s="25"/>
      <c r="SB319" s="25"/>
      <c r="SC319" s="25"/>
      <c r="SD319" s="25"/>
      <c r="SE319" s="25"/>
      <c r="SF319" s="25"/>
      <c r="SG319" s="25"/>
      <c r="SH319" s="25"/>
      <c r="SI319" s="25"/>
      <c r="SJ319" s="25"/>
      <c r="SK319" s="25"/>
      <c r="SL319" s="25"/>
      <c r="SM319" s="25"/>
      <c r="SN319" s="25"/>
      <c r="SO319" s="25"/>
      <c r="SP319" s="25"/>
      <c r="SQ319" s="25"/>
      <c r="SR319" s="25"/>
      <c r="SS319" s="25"/>
      <c r="ST319" s="25"/>
      <c r="SU319" s="25"/>
      <c r="SV319" s="25"/>
      <c r="SW319" s="25"/>
      <c r="SX319" s="25"/>
      <c r="SY319" s="25"/>
      <c r="SZ319" s="25"/>
      <c r="TA319" s="25"/>
      <c r="TB319" s="25"/>
      <c r="TC319" s="25"/>
      <c r="TD319" s="25"/>
      <c r="TE319" s="25"/>
      <c r="TF319" s="25"/>
      <c r="TG319" s="25"/>
      <c r="TH319" s="25"/>
      <c r="TI319" s="25"/>
      <c r="TJ319" s="25"/>
      <c r="TK319" s="25"/>
      <c r="TL319" s="25"/>
      <c r="TM319" s="25"/>
      <c r="TN319" s="25"/>
      <c r="TO319" s="25"/>
      <c r="TP319" s="25"/>
      <c r="TQ319" s="25"/>
      <c r="TR319" s="25"/>
      <c r="TS319" s="25"/>
      <c r="TT319" s="25"/>
      <c r="TU319" s="25"/>
      <c r="TV319" s="25"/>
      <c r="TW319" s="25"/>
      <c r="TX319" s="25"/>
      <c r="TY319" s="25"/>
      <c r="TZ319" s="25"/>
      <c r="UA319" s="25"/>
      <c r="UB319" s="25"/>
      <c r="UC319" s="25"/>
      <c r="UD319" s="25"/>
      <c r="UE319" s="25"/>
      <c r="UF319" s="25"/>
      <c r="UG319" s="26"/>
    </row>
    <row r="320" spans="1:553" ht="41.25" customHeight="1">
      <c r="A320" s="356" t="s">
        <v>30</v>
      </c>
      <c r="B320" s="398" t="s">
        <v>634</v>
      </c>
      <c r="C320" s="1562" t="s">
        <v>1275</v>
      </c>
      <c r="D320" s="1389"/>
      <c r="E320" s="1389"/>
      <c r="F320" s="1390"/>
      <c r="G320" s="386" t="s">
        <v>935</v>
      </c>
      <c r="H320" s="370"/>
      <c r="I320" s="834">
        <f>-I319</f>
        <v>-128.25</v>
      </c>
      <c r="J320" s="368">
        <f>185700-137200</f>
        <v>48500</v>
      </c>
      <c r="K320" s="371"/>
      <c r="L320" s="391">
        <f t="shared" si="66"/>
        <v>-6220125</v>
      </c>
      <c r="M320" s="395"/>
      <c r="N320" s="395"/>
      <c r="O320" s="366"/>
      <c r="P320" s="396"/>
      <c r="Q320" s="473"/>
      <c r="R320" s="1039"/>
      <c r="S320" s="308"/>
      <c r="T320" s="303"/>
      <c r="U320" s="306"/>
      <c r="V320" s="307"/>
      <c r="W320" s="306"/>
      <c r="X320" s="306"/>
      <c r="Y320" s="306"/>
      <c r="Z320" s="306"/>
      <c r="AA320" s="306"/>
      <c r="AB320" s="306"/>
      <c r="AC320" s="449"/>
      <c r="AD320" s="449"/>
      <c r="AE320" s="449"/>
      <c r="AF320" s="449"/>
      <c r="AG320" s="452"/>
      <c r="AH320" s="452"/>
      <c r="AI320" s="452"/>
      <c r="AJ320" s="452"/>
      <c r="AK320" s="452"/>
      <c r="AL320" s="104"/>
      <c r="AM320" s="32"/>
      <c r="AN320" s="32"/>
      <c r="AO320" s="32"/>
      <c r="AP320" s="32"/>
      <c r="AQ320" s="31"/>
      <c r="AR320" s="31"/>
      <c r="AS320" s="31"/>
      <c r="AT320" s="31"/>
      <c r="AU320" s="31"/>
      <c r="AV320" s="31"/>
      <c r="AW320" s="31"/>
      <c r="AX320" s="31"/>
      <c r="AY320" s="31"/>
      <c r="AZ320" s="31"/>
      <c r="BA320" s="31"/>
      <c r="BB320" s="31"/>
      <c r="BC320" s="31"/>
      <c r="BD320" s="31"/>
      <c r="BE320" s="31"/>
      <c r="BF320" s="31"/>
      <c r="BG320" s="31"/>
      <c r="BH320" s="31"/>
      <c r="BI320" s="31"/>
      <c r="BJ320" s="31"/>
      <c r="BK320" s="31"/>
      <c r="BL320" s="31"/>
      <c r="BM320" s="25"/>
      <c r="BN320" s="25"/>
      <c r="BO320" s="25"/>
      <c r="BP320" s="25"/>
      <c r="BQ320" s="25"/>
      <c r="BR320" s="25"/>
      <c r="BS320" s="25"/>
      <c r="BT320" s="25"/>
      <c r="BU320" s="25"/>
      <c r="BV320" s="25"/>
      <c r="BW320" s="25"/>
      <c r="BX320" s="25"/>
      <c r="BY320" s="25"/>
      <c r="BZ320" s="25"/>
      <c r="CA320" s="25"/>
      <c r="CB320" s="25"/>
      <c r="CC320" s="25"/>
      <c r="CD320" s="25"/>
      <c r="CE320" s="25"/>
      <c r="CF320" s="25"/>
      <c r="CG320" s="25"/>
      <c r="CH320" s="25"/>
      <c r="CI320" s="25"/>
      <c r="CJ320" s="25"/>
      <c r="CK320" s="25"/>
      <c r="CL320" s="25"/>
      <c r="CM320" s="25"/>
      <c r="CN320" s="25"/>
      <c r="CO320" s="25"/>
      <c r="CP320" s="25"/>
      <c r="CQ320" s="25"/>
      <c r="CR320" s="25"/>
      <c r="CS320" s="25"/>
      <c r="CT320" s="25"/>
      <c r="CU320" s="25"/>
      <c r="CV320" s="25"/>
      <c r="CW320" s="25"/>
      <c r="CX320" s="25"/>
      <c r="CY320" s="25"/>
      <c r="CZ320" s="25"/>
      <c r="DA320" s="25"/>
      <c r="DB320" s="25"/>
      <c r="DC320" s="25"/>
      <c r="DD320" s="25"/>
      <c r="DE320" s="25"/>
      <c r="DF320" s="25"/>
      <c r="DG320" s="25"/>
      <c r="DH320" s="25"/>
      <c r="DI320" s="25"/>
      <c r="DJ320" s="25"/>
      <c r="DK320" s="25"/>
      <c r="DL320" s="25"/>
      <c r="DM320" s="25"/>
      <c r="DN320" s="25"/>
      <c r="DO320" s="25"/>
      <c r="DP320" s="25"/>
      <c r="DQ320" s="25"/>
      <c r="DR320" s="25"/>
      <c r="DS320" s="25"/>
      <c r="DT320" s="25"/>
      <c r="DU320" s="25"/>
      <c r="DV320" s="25"/>
      <c r="DW320" s="25"/>
      <c r="DX320" s="25"/>
      <c r="DY320" s="25"/>
      <c r="DZ320" s="25"/>
      <c r="EA320" s="25"/>
      <c r="EB320" s="25"/>
      <c r="EC320" s="25"/>
      <c r="ED320" s="25"/>
      <c r="EE320" s="25"/>
      <c r="EF320" s="25"/>
      <c r="EG320" s="25"/>
      <c r="EH320" s="25"/>
      <c r="EI320" s="25"/>
      <c r="EJ320" s="25"/>
      <c r="EK320" s="25"/>
      <c r="EL320" s="25"/>
      <c r="EM320" s="25"/>
      <c r="EN320" s="25"/>
      <c r="EO320" s="25"/>
      <c r="EP320" s="25"/>
      <c r="EQ320" s="25"/>
      <c r="ER320" s="25"/>
      <c r="ES320" s="25"/>
      <c r="ET320" s="25"/>
      <c r="EU320" s="25"/>
      <c r="EV320" s="25"/>
      <c r="EW320" s="25"/>
      <c r="EX320" s="25"/>
      <c r="EY320" s="25"/>
      <c r="EZ320" s="25"/>
      <c r="FA320" s="25"/>
      <c r="FB320" s="25"/>
      <c r="FC320" s="25"/>
      <c r="FD320" s="25"/>
      <c r="FE320" s="25"/>
      <c r="FF320" s="25"/>
      <c r="FG320" s="25"/>
      <c r="FH320" s="25"/>
      <c r="FI320" s="25"/>
      <c r="FJ320" s="25"/>
      <c r="FK320" s="25"/>
      <c r="FL320" s="25"/>
      <c r="FM320" s="25"/>
      <c r="FN320" s="25"/>
      <c r="FO320" s="25"/>
      <c r="FP320" s="25"/>
      <c r="FQ320" s="25"/>
      <c r="FR320" s="25"/>
      <c r="FS320" s="25"/>
      <c r="FT320" s="25"/>
      <c r="FU320" s="25"/>
      <c r="FV320" s="25"/>
      <c r="FW320" s="25"/>
      <c r="FX320" s="25"/>
      <c r="FY320" s="25"/>
      <c r="FZ320" s="25"/>
      <c r="GA320" s="25"/>
      <c r="GB320" s="25"/>
      <c r="GC320" s="25"/>
      <c r="GD320" s="25"/>
      <c r="GE320" s="25"/>
      <c r="GF320" s="25"/>
      <c r="GG320" s="25"/>
      <c r="GH320" s="25"/>
      <c r="GI320" s="25"/>
      <c r="GJ320" s="25"/>
      <c r="GK320" s="25"/>
      <c r="GL320" s="25"/>
      <c r="GM320" s="25"/>
      <c r="GN320" s="25"/>
      <c r="GO320" s="25"/>
      <c r="GP320" s="25"/>
      <c r="GQ320" s="25"/>
      <c r="GR320" s="25"/>
      <c r="GS320" s="25"/>
      <c r="GT320" s="25"/>
      <c r="GU320" s="25"/>
      <c r="GV320" s="25"/>
      <c r="GW320" s="25"/>
      <c r="GX320" s="25"/>
      <c r="GY320" s="25"/>
      <c r="GZ320" s="25"/>
      <c r="HA320" s="25"/>
      <c r="HB320" s="25"/>
      <c r="HC320" s="25"/>
      <c r="HD320" s="25"/>
      <c r="HE320" s="25"/>
      <c r="HF320" s="25"/>
      <c r="HG320" s="25"/>
      <c r="HH320" s="25"/>
      <c r="HI320" s="25"/>
      <c r="HJ320" s="25"/>
      <c r="HK320" s="25"/>
      <c r="HL320" s="25"/>
      <c r="HM320" s="25"/>
      <c r="HN320" s="25"/>
      <c r="HO320" s="25"/>
      <c r="HP320" s="25"/>
      <c r="HQ320" s="25"/>
      <c r="HR320" s="25"/>
      <c r="HS320" s="25"/>
      <c r="HT320" s="25"/>
      <c r="HU320" s="25"/>
      <c r="HV320" s="25"/>
      <c r="HW320" s="25"/>
      <c r="HX320" s="25"/>
      <c r="HY320" s="25"/>
      <c r="HZ320" s="25"/>
      <c r="IA320" s="25"/>
      <c r="IB320" s="25"/>
      <c r="IC320" s="25"/>
      <c r="ID320" s="25"/>
      <c r="IE320" s="25"/>
      <c r="IF320" s="25"/>
      <c r="IG320" s="25"/>
      <c r="IH320" s="25"/>
      <c r="II320" s="25"/>
      <c r="IJ320" s="25"/>
      <c r="IK320" s="25"/>
      <c r="IL320" s="25"/>
      <c r="IM320" s="25"/>
      <c r="IN320" s="25"/>
      <c r="IO320" s="25"/>
      <c r="IP320" s="25"/>
      <c r="IQ320" s="25"/>
      <c r="IR320" s="25"/>
      <c r="IS320" s="25"/>
      <c r="IT320" s="25"/>
      <c r="IU320" s="25"/>
      <c r="IV320" s="25"/>
      <c r="IW320" s="25"/>
      <c r="IX320" s="25"/>
      <c r="IY320" s="25"/>
      <c r="IZ320" s="25"/>
      <c r="JA320" s="25"/>
      <c r="JB320" s="25"/>
      <c r="JC320" s="25"/>
      <c r="JD320" s="25"/>
      <c r="JE320" s="25"/>
      <c r="JF320" s="25"/>
      <c r="JG320" s="25"/>
      <c r="JH320" s="25"/>
      <c r="JI320" s="25"/>
      <c r="JJ320" s="25"/>
      <c r="JK320" s="25"/>
      <c r="JL320" s="25"/>
      <c r="JM320" s="25"/>
      <c r="JN320" s="25"/>
      <c r="JO320" s="25"/>
      <c r="JP320" s="25"/>
      <c r="JQ320" s="25"/>
      <c r="JR320" s="25"/>
      <c r="JS320" s="25"/>
      <c r="JT320" s="25"/>
      <c r="JU320" s="25"/>
      <c r="JV320" s="25"/>
      <c r="JW320" s="25"/>
      <c r="JX320" s="25"/>
      <c r="JY320" s="25"/>
      <c r="JZ320" s="25"/>
      <c r="KA320" s="25"/>
      <c r="KB320" s="25"/>
      <c r="KC320" s="25"/>
      <c r="KD320" s="25"/>
      <c r="KE320" s="25"/>
      <c r="KF320" s="25"/>
      <c r="KG320" s="25"/>
      <c r="KH320" s="25"/>
      <c r="KI320" s="25"/>
      <c r="KJ320" s="25"/>
      <c r="KK320" s="25"/>
      <c r="KL320" s="25"/>
      <c r="KM320" s="25"/>
      <c r="KN320" s="25"/>
      <c r="KO320" s="25"/>
      <c r="KP320" s="25"/>
      <c r="KQ320" s="25"/>
      <c r="KR320" s="25"/>
      <c r="KS320" s="25"/>
      <c r="KT320" s="25"/>
      <c r="KU320" s="25"/>
      <c r="KV320" s="25"/>
      <c r="KW320" s="25"/>
      <c r="KX320" s="25"/>
      <c r="KY320" s="25"/>
      <c r="KZ320" s="25"/>
      <c r="LA320" s="25"/>
      <c r="LB320" s="25"/>
      <c r="LC320" s="25"/>
      <c r="LD320" s="25"/>
      <c r="LE320" s="25"/>
      <c r="LF320" s="25"/>
      <c r="LG320" s="25"/>
      <c r="LH320" s="25"/>
      <c r="LI320" s="25"/>
      <c r="LJ320" s="25"/>
      <c r="LK320" s="25"/>
      <c r="LL320" s="25"/>
      <c r="LM320" s="25"/>
      <c r="LN320" s="25"/>
      <c r="LO320" s="25"/>
      <c r="LP320" s="25"/>
      <c r="LQ320" s="25"/>
      <c r="LR320" s="25"/>
      <c r="LS320" s="25"/>
      <c r="LT320" s="25"/>
      <c r="LU320" s="25"/>
      <c r="LV320" s="25"/>
      <c r="LW320" s="25"/>
      <c r="LX320" s="25"/>
      <c r="LY320" s="25"/>
      <c r="LZ320" s="25"/>
      <c r="MA320" s="25"/>
      <c r="MB320" s="25"/>
      <c r="MC320" s="25"/>
      <c r="MD320" s="25"/>
      <c r="ME320" s="25"/>
      <c r="MF320" s="25"/>
      <c r="MG320" s="25"/>
      <c r="MH320" s="25"/>
      <c r="MI320" s="25"/>
      <c r="MJ320" s="25"/>
      <c r="MK320" s="25"/>
      <c r="ML320" s="25"/>
      <c r="MM320" s="25"/>
      <c r="MN320" s="25"/>
      <c r="MO320" s="25"/>
      <c r="MP320" s="25"/>
      <c r="MQ320" s="25"/>
      <c r="MR320" s="25"/>
      <c r="MS320" s="25"/>
      <c r="MT320" s="25"/>
      <c r="MU320" s="25"/>
      <c r="MV320" s="25"/>
      <c r="MW320" s="25"/>
      <c r="MX320" s="25"/>
      <c r="MY320" s="25"/>
      <c r="MZ320" s="25"/>
      <c r="NA320" s="25"/>
      <c r="NB320" s="25"/>
      <c r="NC320" s="25"/>
      <c r="ND320" s="25"/>
      <c r="NE320" s="25"/>
      <c r="NF320" s="25"/>
      <c r="NG320" s="25"/>
      <c r="NH320" s="25"/>
      <c r="NI320" s="25"/>
      <c r="NJ320" s="25"/>
      <c r="NK320" s="25"/>
      <c r="NL320" s="25"/>
      <c r="NM320" s="25"/>
      <c r="NN320" s="25"/>
      <c r="NO320" s="25"/>
      <c r="NP320" s="25"/>
      <c r="NQ320" s="25"/>
      <c r="NR320" s="25"/>
      <c r="NS320" s="25"/>
      <c r="NT320" s="25"/>
      <c r="NU320" s="25"/>
      <c r="NV320" s="25"/>
      <c r="NW320" s="25"/>
      <c r="NX320" s="25"/>
      <c r="NY320" s="25"/>
      <c r="NZ320" s="25"/>
      <c r="OA320" s="25"/>
      <c r="OB320" s="25"/>
      <c r="OC320" s="25"/>
      <c r="OD320" s="25"/>
      <c r="OE320" s="25"/>
      <c r="OF320" s="25"/>
      <c r="OG320" s="25"/>
      <c r="OH320" s="25"/>
      <c r="OI320" s="25"/>
      <c r="OJ320" s="25"/>
      <c r="OK320" s="25"/>
      <c r="OL320" s="25"/>
      <c r="OM320" s="25"/>
      <c r="ON320" s="25"/>
      <c r="OO320" s="25"/>
      <c r="OP320" s="25"/>
      <c r="OQ320" s="25"/>
      <c r="OR320" s="25"/>
      <c r="OS320" s="25"/>
      <c r="OT320" s="25"/>
      <c r="OU320" s="25"/>
      <c r="OV320" s="25"/>
      <c r="OW320" s="25"/>
      <c r="OX320" s="25"/>
      <c r="OY320" s="25"/>
      <c r="OZ320" s="25"/>
      <c r="PA320" s="25"/>
      <c r="PB320" s="25"/>
      <c r="PC320" s="25"/>
      <c r="PD320" s="25"/>
      <c r="PE320" s="25"/>
      <c r="PF320" s="25"/>
      <c r="PG320" s="25"/>
      <c r="PH320" s="25"/>
      <c r="PI320" s="25"/>
      <c r="PJ320" s="25"/>
      <c r="PK320" s="25"/>
      <c r="PL320" s="25"/>
      <c r="PM320" s="25"/>
      <c r="PN320" s="25"/>
      <c r="PO320" s="25"/>
      <c r="PP320" s="25"/>
      <c r="PQ320" s="25"/>
      <c r="PR320" s="25"/>
      <c r="PS320" s="25"/>
      <c r="PT320" s="25"/>
      <c r="PU320" s="25"/>
      <c r="PV320" s="25"/>
      <c r="PW320" s="25"/>
      <c r="PX320" s="25"/>
      <c r="PY320" s="25"/>
      <c r="PZ320" s="25"/>
      <c r="QA320" s="25"/>
      <c r="QB320" s="25"/>
      <c r="QC320" s="25"/>
      <c r="QD320" s="25"/>
      <c r="QE320" s="25"/>
      <c r="QF320" s="25"/>
      <c r="QG320" s="25"/>
      <c r="QH320" s="25"/>
      <c r="QI320" s="25"/>
      <c r="QJ320" s="25"/>
      <c r="QK320" s="25"/>
      <c r="QL320" s="25"/>
      <c r="QM320" s="25"/>
      <c r="QN320" s="25"/>
      <c r="QO320" s="25"/>
      <c r="QP320" s="25"/>
      <c r="QQ320" s="25"/>
      <c r="QR320" s="25"/>
      <c r="QS320" s="25"/>
      <c r="QT320" s="25"/>
      <c r="QU320" s="25"/>
      <c r="QV320" s="25"/>
      <c r="QW320" s="25"/>
      <c r="QX320" s="25"/>
      <c r="QY320" s="25"/>
      <c r="QZ320" s="25"/>
      <c r="RA320" s="25"/>
      <c r="RB320" s="25"/>
      <c r="RC320" s="25"/>
      <c r="RD320" s="25"/>
      <c r="RE320" s="25"/>
      <c r="RF320" s="25"/>
      <c r="RG320" s="25"/>
      <c r="RH320" s="25"/>
      <c r="RI320" s="25"/>
      <c r="RJ320" s="25"/>
      <c r="RK320" s="25"/>
      <c r="RL320" s="25"/>
      <c r="RM320" s="25"/>
      <c r="RN320" s="25"/>
      <c r="RO320" s="25"/>
      <c r="RP320" s="25"/>
      <c r="RQ320" s="25"/>
      <c r="RR320" s="25"/>
      <c r="RS320" s="25"/>
      <c r="RT320" s="25"/>
      <c r="RU320" s="25"/>
      <c r="RV320" s="25"/>
      <c r="RW320" s="25"/>
      <c r="RX320" s="25"/>
      <c r="RY320" s="25"/>
      <c r="RZ320" s="25"/>
      <c r="SA320" s="25"/>
      <c r="SB320" s="25"/>
      <c r="SC320" s="25"/>
      <c r="SD320" s="25"/>
      <c r="SE320" s="25"/>
      <c r="SF320" s="25"/>
      <c r="SG320" s="25"/>
      <c r="SH320" s="25"/>
      <c r="SI320" s="25"/>
      <c r="SJ320" s="25"/>
      <c r="SK320" s="25"/>
      <c r="SL320" s="25"/>
      <c r="SM320" s="25"/>
      <c r="SN320" s="25"/>
      <c r="SO320" s="25"/>
      <c r="SP320" s="25"/>
      <c r="SQ320" s="25"/>
      <c r="SR320" s="25"/>
      <c r="SS320" s="25"/>
      <c r="ST320" s="25"/>
      <c r="SU320" s="25"/>
      <c r="SV320" s="25"/>
      <c r="SW320" s="25"/>
      <c r="SX320" s="25"/>
      <c r="SY320" s="25"/>
      <c r="SZ320" s="25"/>
      <c r="TA320" s="25"/>
      <c r="TB320" s="25"/>
      <c r="TC320" s="25"/>
      <c r="TD320" s="25"/>
      <c r="TE320" s="25"/>
      <c r="TF320" s="25"/>
      <c r="TG320" s="25"/>
      <c r="TH320" s="25"/>
      <c r="TI320" s="25"/>
      <c r="TJ320" s="25"/>
      <c r="TK320" s="25"/>
      <c r="TL320" s="25"/>
      <c r="TM320" s="25"/>
      <c r="TN320" s="25"/>
      <c r="TO320" s="25"/>
      <c r="TP320" s="25"/>
      <c r="TQ320" s="25"/>
      <c r="TR320" s="25"/>
      <c r="TS320" s="25"/>
      <c r="TT320" s="25"/>
      <c r="TU320" s="25"/>
      <c r="TV320" s="25"/>
      <c r="TW320" s="25"/>
      <c r="TX320" s="25"/>
      <c r="TY320" s="25"/>
      <c r="TZ320" s="25"/>
      <c r="UA320" s="25"/>
      <c r="UB320" s="25"/>
      <c r="UC320" s="25"/>
      <c r="UD320" s="25"/>
      <c r="UE320" s="25"/>
      <c r="UF320" s="25"/>
      <c r="UG320" s="26"/>
    </row>
    <row r="321" spans="1:553" s="109" customFormat="1" ht="41.25" customHeight="1">
      <c r="A321" s="356" t="s">
        <v>30</v>
      </c>
      <c r="B321" s="398" t="s">
        <v>31</v>
      </c>
      <c r="C321" s="1562" t="s">
        <v>1272</v>
      </c>
      <c r="D321" s="1389"/>
      <c r="E321" s="1389"/>
      <c r="F321" s="1390"/>
      <c r="G321" s="386" t="s">
        <v>34</v>
      </c>
      <c r="H321" s="370"/>
      <c r="I321" s="834">
        <f>-38*1.5*0.22</f>
        <v>-12.540000000000001</v>
      </c>
      <c r="J321" s="368">
        <v>1748702</v>
      </c>
      <c r="K321" s="371"/>
      <c r="L321" s="391">
        <f t="shared" si="66"/>
        <v>-21928723</v>
      </c>
      <c r="M321" s="395"/>
      <c r="N321" s="395"/>
      <c r="O321" s="366"/>
      <c r="P321" s="396"/>
      <c r="Q321" s="473"/>
      <c r="R321" s="1039"/>
      <c r="S321" s="308"/>
      <c r="T321" s="303"/>
      <c r="U321" s="306"/>
      <c r="V321" s="307"/>
      <c r="W321" s="306"/>
      <c r="X321" s="306"/>
      <c r="Y321" s="306"/>
      <c r="Z321" s="306"/>
      <c r="AA321" s="306"/>
      <c r="AB321" s="306"/>
      <c r="AC321" s="449"/>
      <c r="AD321" s="449"/>
      <c r="AE321" s="449"/>
      <c r="AF321" s="449"/>
      <c r="AG321" s="452"/>
      <c r="AH321" s="452"/>
      <c r="AI321" s="452"/>
      <c r="AJ321" s="452"/>
      <c r="AK321" s="452"/>
      <c r="AL321" s="116"/>
      <c r="AM321" s="112"/>
      <c r="AN321" s="112"/>
      <c r="AO321" s="112"/>
      <c r="AP321" s="112"/>
      <c r="AQ321" s="113"/>
      <c r="AR321" s="113"/>
      <c r="AS321" s="113"/>
      <c r="AT321" s="113"/>
      <c r="AU321" s="113"/>
      <c r="AV321" s="113"/>
      <c r="AW321" s="113"/>
      <c r="AX321" s="113"/>
      <c r="AY321" s="113"/>
      <c r="AZ321" s="113"/>
      <c r="BA321" s="113"/>
      <c r="BB321" s="113"/>
      <c r="BC321" s="113"/>
      <c r="BD321" s="113"/>
      <c r="BE321" s="113"/>
      <c r="BF321" s="113"/>
      <c r="BG321" s="113"/>
      <c r="BH321" s="113"/>
      <c r="BI321" s="113"/>
      <c r="BJ321" s="113"/>
      <c r="BK321" s="113"/>
      <c r="BL321" s="113"/>
      <c r="BM321" s="114"/>
      <c r="BN321" s="114"/>
      <c r="BO321" s="114"/>
      <c r="BP321" s="114"/>
      <c r="BQ321" s="114"/>
      <c r="BR321" s="114"/>
      <c r="BS321" s="114"/>
      <c r="BT321" s="114"/>
      <c r="BU321" s="114"/>
      <c r="BV321" s="114"/>
      <c r="BW321" s="114"/>
      <c r="BX321" s="114"/>
      <c r="BY321" s="114"/>
      <c r="BZ321" s="114"/>
      <c r="CA321" s="114"/>
      <c r="CB321" s="114"/>
      <c r="CC321" s="114"/>
      <c r="CD321" s="114"/>
      <c r="CE321" s="114"/>
      <c r="CF321" s="114"/>
      <c r="CG321" s="114"/>
      <c r="CH321" s="114"/>
      <c r="CI321" s="114"/>
      <c r="CJ321" s="114"/>
      <c r="CK321" s="114"/>
      <c r="CL321" s="114"/>
      <c r="CM321" s="114"/>
      <c r="CN321" s="114"/>
      <c r="CO321" s="114"/>
      <c r="CP321" s="114"/>
      <c r="CQ321" s="114"/>
      <c r="CR321" s="114"/>
      <c r="CS321" s="114"/>
      <c r="CT321" s="114"/>
      <c r="CU321" s="114"/>
      <c r="CV321" s="114"/>
      <c r="CW321" s="114"/>
      <c r="CX321" s="114"/>
      <c r="CY321" s="114"/>
      <c r="CZ321" s="114"/>
      <c r="DA321" s="114"/>
      <c r="DB321" s="114"/>
      <c r="DC321" s="114"/>
      <c r="DD321" s="114"/>
      <c r="DE321" s="114"/>
      <c r="DF321" s="114"/>
      <c r="DG321" s="114"/>
      <c r="DH321" s="114"/>
      <c r="DI321" s="114"/>
      <c r="DJ321" s="114"/>
      <c r="DK321" s="114"/>
      <c r="DL321" s="114"/>
      <c r="DM321" s="114"/>
      <c r="DN321" s="114"/>
      <c r="DO321" s="114"/>
      <c r="DP321" s="114"/>
      <c r="DQ321" s="114"/>
      <c r="DR321" s="114"/>
      <c r="DS321" s="114"/>
      <c r="DT321" s="114"/>
      <c r="DU321" s="114"/>
      <c r="DV321" s="114"/>
      <c r="DW321" s="114"/>
      <c r="DX321" s="114"/>
      <c r="DY321" s="114"/>
      <c r="DZ321" s="114"/>
      <c r="EA321" s="114"/>
      <c r="EB321" s="114"/>
      <c r="EC321" s="114"/>
      <c r="ED321" s="114"/>
      <c r="EE321" s="114"/>
      <c r="EF321" s="114"/>
      <c r="EG321" s="114"/>
      <c r="EH321" s="114"/>
      <c r="EI321" s="114"/>
      <c r="EJ321" s="114"/>
      <c r="EK321" s="114"/>
      <c r="EL321" s="114"/>
      <c r="EM321" s="114"/>
      <c r="EN321" s="114"/>
      <c r="EO321" s="114"/>
      <c r="EP321" s="114"/>
      <c r="EQ321" s="114"/>
      <c r="ER321" s="114"/>
      <c r="ES321" s="114"/>
      <c r="ET321" s="114"/>
      <c r="EU321" s="114"/>
      <c r="EV321" s="114"/>
      <c r="EW321" s="114"/>
      <c r="EX321" s="114"/>
      <c r="EY321" s="114"/>
      <c r="EZ321" s="114"/>
      <c r="FA321" s="114"/>
      <c r="FB321" s="114"/>
      <c r="FC321" s="114"/>
      <c r="FD321" s="114"/>
      <c r="FE321" s="114"/>
      <c r="FF321" s="114"/>
      <c r="FG321" s="114"/>
      <c r="FH321" s="114"/>
      <c r="FI321" s="114"/>
      <c r="FJ321" s="114"/>
      <c r="FK321" s="114"/>
      <c r="FL321" s="114"/>
      <c r="FM321" s="114"/>
      <c r="FN321" s="114"/>
      <c r="FO321" s="114"/>
      <c r="FP321" s="114"/>
      <c r="FQ321" s="114"/>
      <c r="FR321" s="114"/>
      <c r="FS321" s="114"/>
      <c r="FT321" s="114"/>
      <c r="FU321" s="114"/>
      <c r="FV321" s="114"/>
      <c r="FW321" s="114"/>
      <c r="FX321" s="114"/>
      <c r="FY321" s="114"/>
      <c r="FZ321" s="114"/>
      <c r="GA321" s="114"/>
      <c r="GB321" s="114"/>
      <c r="GC321" s="114"/>
      <c r="GD321" s="114"/>
      <c r="GE321" s="114"/>
      <c r="GF321" s="114"/>
      <c r="GG321" s="114"/>
      <c r="GH321" s="114"/>
      <c r="GI321" s="114"/>
      <c r="GJ321" s="114"/>
      <c r="GK321" s="114"/>
      <c r="GL321" s="114"/>
      <c r="GM321" s="114"/>
      <c r="GN321" s="114"/>
      <c r="GO321" s="114"/>
      <c r="GP321" s="114"/>
      <c r="GQ321" s="114"/>
      <c r="GR321" s="114"/>
      <c r="GS321" s="114"/>
      <c r="GT321" s="114"/>
      <c r="GU321" s="114"/>
      <c r="GV321" s="114"/>
      <c r="GW321" s="114"/>
      <c r="GX321" s="114"/>
      <c r="GY321" s="114"/>
      <c r="GZ321" s="114"/>
      <c r="HA321" s="114"/>
      <c r="HB321" s="114"/>
      <c r="HC321" s="114"/>
      <c r="HD321" s="114"/>
      <c r="HE321" s="114"/>
      <c r="HF321" s="114"/>
      <c r="HG321" s="114"/>
      <c r="HH321" s="114"/>
      <c r="HI321" s="114"/>
      <c r="HJ321" s="114"/>
      <c r="HK321" s="114"/>
      <c r="HL321" s="114"/>
      <c r="HM321" s="114"/>
      <c r="HN321" s="114"/>
      <c r="HO321" s="114"/>
      <c r="HP321" s="114"/>
      <c r="HQ321" s="114"/>
      <c r="HR321" s="114"/>
      <c r="HS321" s="114"/>
      <c r="HT321" s="114"/>
      <c r="HU321" s="114"/>
      <c r="HV321" s="114"/>
      <c r="HW321" s="114"/>
      <c r="HX321" s="114"/>
      <c r="HY321" s="114"/>
      <c r="HZ321" s="114"/>
      <c r="IA321" s="114"/>
      <c r="IB321" s="114"/>
      <c r="IC321" s="114"/>
      <c r="ID321" s="114"/>
      <c r="IE321" s="114"/>
      <c r="IF321" s="114"/>
      <c r="IG321" s="114"/>
      <c r="IH321" s="114"/>
      <c r="II321" s="114"/>
      <c r="IJ321" s="114"/>
      <c r="IK321" s="114"/>
      <c r="IL321" s="114"/>
      <c r="IM321" s="114"/>
      <c r="IN321" s="114"/>
      <c r="IO321" s="114"/>
      <c r="IP321" s="114"/>
      <c r="IQ321" s="114"/>
      <c r="IR321" s="114"/>
      <c r="IS321" s="114"/>
      <c r="IT321" s="114"/>
      <c r="IU321" s="114"/>
      <c r="IV321" s="114"/>
      <c r="IW321" s="114"/>
      <c r="IX321" s="114"/>
      <c r="IY321" s="114"/>
      <c r="IZ321" s="114"/>
      <c r="JA321" s="114"/>
      <c r="JB321" s="114"/>
      <c r="JC321" s="114"/>
      <c r="JD321" s="114"/>
      <c r="JE321" s="114"/>
      <c r="JF321" s="114"/>
      <c r="JG321" s="114"/>
      <c r="JH321" s="114"/>
      <c r="JI321" s="114"/>
      <c r="JJ321" s="114"/>
      <c r="JK321" s="114"/>
      <c r="JL321" s="114"/>
      <c r="JM321" s="114"/>
      <c r="JN321" s="114"/>
      <c r="JO321" s="114"/>
      <c r="JP321" s="114"/>
      <c r="JQ321" s="114"/>
      <c r="JR321" s="114"/>
      <c r="JS321" s="114"/>
      <c r="JT321" s="114"/>
      <c r="JU321" s="114"/>
      <c r="JV321" s="114"/>
      <c r="JW321" s="114"/>
      <c r="JX321" s="114"/>
      <c r="JY321" s="114"/>
      <c r="JZ321" s="114"/>
      <c r="KA321" s="114"/>
      <c r="KB321" s="114"/>
      <c r="KC321" s="114"/>
      <c r="KD321" s="114"/>
      <c r="KE321" s="114"/>
      <c r="KF321" s="114"/>
      <c r="KG321" s="114"/>
      <c r="KH321" s="114"/>
      <c r="KI321" s="114"/>
      <c r="KJ321" s="114"/>
      <c r="KK321" s="114"/>
      <c r="KL321" s="114"/>
      <c r="KM321" s="114"/>
      <c r="KN321" s="114"/>
      <c r="KO321" s="114"/>
      <c r="KP321" s="114"/>
      <c r="KQ321" s="114"/>
      <c r="KR321" s="114"/>
      <c r="KS321" s="114"/>
      <c r="KT321" s="114"/>
      <c r="KU321" s="114"/>
      <c r="KV321" s="114"/>
      <c r="KW321" s="114"/>
      <c r="KX321" s="114"/>
      <c r="KY321" s="114"/>
      <c r="KZ321" s="114"/>
      <c r="LA321" s="114"/>
      <c r="LB321" s="114"/>
      <c r="LC321" s="114"/>
      <c r="LD321" s="114"/>
      <c r="LE321" s="114"/>
      <c r="LF321" s="114"/>
      <c r="LG321" s="114"/>
      <c r="LH321" s="114"/>
      <c r="LI321" s="114"/>
      <c r="LJ321" s="114"/>
      <c r="LK321" s="114"/>
      <c r="LL321" s="114"/>
      <c r="LM321" s="114"/>
      <c r="LN321" s="114"/>
      <c r="LO321" s="114"/>
      <c r="LP321" s="114"/>
      <c r="LQ321" s="114"/>
      <c r="LR321" s="114"/>
      <c r="LS321" s="114"/>
      <c r="LT321" s="114"/>
      <c r="LU321" s="114"/>
      <c r="LV321" s="114"/>
      <c r="LW321" s="114"/>
      <c r="LX321" s="114"/>
      <c r="LY321" s="114"/>
      <c r="LZ321" s="114"/>
      <c r="MA321" s="114"/>
      <c r="MB321" s="114"/>
      <c r="MC321" s="114"/>
      <c r="MD321" s="114"/>
      <c r="ME321" s="114"/>
      <c r="MF321" s="114"/>
      <c r="MG321" s="114"/>
      <c r="MH321" s="114"/>
      <c r="MI321" s="114"/>
      <c r="MJ321" s="114"/>
      <c r="MK321" s="114"/>
      <c r="ML321" s="114"/>
      <c r="MM321" s="114"/>
      <c r="MN321" s="114"/>
      <c r="MO321" s="114"/>
      <c r="MP321" s="114"/>
      <c r="MQ321" s="114"/>
      <c r="MR321" s="114"/>
      <c r="MS321" s="114"/>
      <c r="MT321" s="114"/>
      <c r="MU321" s="114"/>
      <c r="MV321" s="114"/>
      <c r="MW321" s="114"/>
      <c r="MX321" s="114"/>
      <c r="MY321" s="114"/>
      <c r="MZ321" s="114"/>
      <c r="NA321" s="114"/>
      <c r="NB321" s="114"/>
      <c r="NC321" s="114"/>
      <c r="ND321" s="114"/>
      <c r="NE321" s="114"/>
      <c r="NF321" s="114"/>
      <c r="NG321" s="114"/>
      <c r="NH321" s="114"/>
      <c r="NI321" s="114"/>
      <c r="NJ321" s="114"/>
      <c r="NK321" s="114"/>
      <c r="NL321" s="114"/>
      <c r="NM321" s="114"/>
      <c r="NN321" s="114"/>
      <c r="NO321" s="114"/>
      <c r="NP321" s="114"/>
      <c r="NQ321" s="114"/>
      <c r="NR321" s="114"/>
      <c r="NS321" s="114"/>
      <c r="NT321" s="114"/>
      <c r="NU321" s="114"/>
      <c r="NV321" s="114"/>
      <c r="NW321" s="114"/>
      <c r="NX321" s="114"/>
      <c r="NY321" s="114"/>
      <c r="NZ321" s="114"/>
      <c r="OA321" s="114"/>
      <c r="OB321" s="114"/>
      <c r="OC321" s="114"/>
      <c r="OD321" s="114"/>
      <c r="OE321" s="114"/>
      <c r="OF321" s="114"/>
      <c r="OG321" s="114"/>
      <c r="OH321" s="114"/>
      <c r="OI321" s="114"/>
      <c r="OJ321" s="114"/>
      <c r="OK321" s="114"/>
      <c r="OL321" s="114"/>
      <c r="OM321" s="114"/>
      <c r="ON321" s="114"/>
      <c r="OO321" s="114"/>
      <c r="OP321" s="114"/>
      <c r="OQ321" s="114"/>
      <c r="OR321" s="114"/>
      <c r="OS321" s="114"/>
      <c r="OT321" s="114"/>
      <c r="OU321" s="114"/>
      <c r="OV321" s="114"/>
      <c r="OW321" s="114"/>
      <c r="OX321" s="114"/>
      <c r="OY321" s="114"/>
      <c r="OZ321" s="114"/>
      <c r="PA321" s="114"/>
      <c r="PB321" s="114"/>
      <c r="PC321" s="114"/>
      <c r="PD321" s="114"/>
      <c r="PE321" s="114"/>
      <c r="PF321" s="114"/>
      <c r="PG321" s="114"/>
      <c r="PH321" s="114"/>
      <c r="PI321" s="114"/>
      <c r="PJ321" s="114"/>
      <c r="PK321" s="114"/>
      <c r="PL321" s="114"/>
      <c r="PM321" s="114"/>
      <c r="PN321" s="114"/>
      <c r="PO321" s="114"/>
      <c r="PP321" s="114"/>
      <c r="PQ321" s="114"/>
      <c r="PR321" s="114"/>
      <c r="PS321" s="114"/>
      <c r="PT321" s="114"/>
      <c r="PU321" s="114"/>
      <c r="PV321" s="114"/>
      <c r="PW321" s="114"/>
      <c r="PX321" s="114"/>
      <c r="PY321" s="114"/>
      <c r="PZ321" s="114"/>
      <c r="QA321" s="114"/>
      <c r="QB321" s="114"/>
      <c r="QC321" s="114"/>
      <c r="QD321" s="114"/>
      <c r="QE321" s="114"/>
      <c r="QF321" s="114"/>
      <c r="QG321" s="114"/>
      <c r="QH321" s="114"/>
      <c r="QI321" s="114"/>
      <c r="QJ321" s="114"/>
      <c r="QK321" s="114"/>
      <c r="QL321" s="114"/>
      <c r="QM321" s="114"/>
      <c r="QN321" s="114"/>
      <c r="QO321" s="114"/>
      <c r="QP321" s="114"/>
      <c r="QQ321" s="114"/>
      <c r="QR321" s="114"/>
      <c r="QS321" s="114"/>
      <c r="QT321" s="114"/>
      <c r="QU321" s="114"/>
      <c r="QV321" s="114"/>
      <c r="QW321" s="114"/>
      <c r="QX321" s="114"/>
      <c r="QY321" s="114"/>
      <c r="QZ321" s="114"/>
      <c r="RA321" s="114"/>
      <c r="RB321" s="114"/>
      <c r="RC321" s="114"/>
      <c r="RD321" s="114"/>
      <c r="RE321" s="114"/>
      <c r="RF321" s="114"/>
      <c r="RG321" s="114"/>
      <c r="RH321" s="114"/>
      <c r="RI321" s="114"/>
      <c r="RJ321" s="114"/>
      <c r="RK321" s="114"/>
      <c r="RL321" s="114"/>
      <c r="RM321" s="114"/>
      <c r="RN321" s="114"/>
      <c r="RO321" s="114"/>
      <c r="RP321" s="114"/>
      <c r="RQ321" s="114"/>
      <c r="RR321" s="114"/>
      <c r="RS321" s="114"/>
      <c r="RT321" s="114"/>
      <c r="RU321" s="114"/>
      <c r="RV321" s="114"/>
      <c r="RW321" s="114"/>
      <c r="RX321" s="114"/>
      <c r="RY321" s="114"/>
      <c r="RZ321" s="114"/>
      <c r="SA321" s="114"/>
      <c r="SB321" s="114"/>
      <c r="SC321" s="114"/>
      <c r="SD321" s="114"/>
      <c r="SE321" s="114"/>
      <c r="SF321" s="114"/>
      <c r="SG321" s="114"/>
      <c r="SH321" s="114"/>
      <c r="SI321" s="114"/>
      <c r="SJ321" s="114"/>
      <c r="SK321" s="114"/>
      <c r="SL321" s="114"/>
      <c r="SM321" s="114"/>
      <c r="SN321" s="114"/>
      <c r="SO321" s="114"/>
      <c r="SP321" s="114"/>
      <c r="SQ321" s="114"/>
      <c r="SR321" s="114"/>
      <c r="SS321" s="114"/>
      <c r="ST321" s="114"/>
      <c r="SU321" s="114"/>
      <c r="SV321" s="114"/>
      <c r="SW321" s="114"/>
      <c r="SX321" s="114"/>
      <c r="SY321" s="114"/>
      <c r="SZ321" s="114"/>
      <c r="TA321" s="114"/>
      <c r="TB321" s="114"/>
      <c r="TC321" s="114"/>
      <c r="TD321" s="114"/>
      <c r="TE321" s="114"/>
      <c r="TF321" s="114"/>
      <c r="TG321" s="114"/>
      <c r="TH321" s="114"/>
      <c r="TI321" s="114"/>
      <c r="TJ321" s="114"/>
      <c r="TK321" s="114"/>
      <c r="TL321" s="114"/>
      <c r="TM321" s="114"/>
      <c r="TN321" s="114"/>
      <c r="TO321" s="114"/>
      <c r="TP321" s="114"/>
      <c r="TQ321" s="114"/>
      <c r="TR321" s="114"/>
      <c r="TS321" s="114"/>
      <c r="TT321" s="114"/>
      <c r="TU321" s="114"/>
      <c r="TV321" s="114"/>
      <c r="TW321" s="114"/>
      <c r="TX321" s="114"/>
      <c r="TY321" s="114"/>
      <c r="TZ321" s="114"/>
      <c r="UA321" s="114"/>
      <c r="UB321" s="114"/>
      <c r="UC321" s="114"/>
      <c r="UD321" s="114"/>
      <c r="UE321" s="114"/>
      <c r="UF321" s="114"/>
      <c r="UG321" s="115"/>
    </row>
    <row r="322" spans="1:553" s="109" customFormat="1" ht="41.25" customHeight="1">
      <c r="A322" s="356" t="s">
        <v>15</v>
      </c>
      <c r="B322" s="398">
        <v>203</v>
      </c>
      <c r="C322" s="1562" t="s">
        <v>1273</v>
      </c>
      <c r="D322" s="1389"/>
      <c r="E322" s="1389"/>
      <c r="F322" s="1390"/>
      <c r="G322" s="386" t="s">
        <v>113</v>
      </c>
      <c r="H322" s="370"/>
      <c r="I322" s="834">
        <f>38*1.5/1.7</f>
        <v>33.529411764705884</v>
      </c>
      <c r="J322" s="368">
        <v>815000</v>
      </c>
      <c r="K322" s="371"/>
      <c r="L322" s="391">
        <f t="shared" si="66"/>
        <v>27326471</v>
      </c>
      <c r="M322" s="395"/>
      <c r="N322" s="395"/>
      <c r="O322" s="366"/>
      <c r="P322" s="396"/>
      <c r="Q322" s="473"/>
      <c r="R322" s="1039"/>
      <c r="S322" s="308"/>
      <c r="T322" s="303"/>
      <c r="U322" s="306"/>
      <c r="V322" s="307"/>
      <c r="W322" s="306"/>
      <c r="X322" s="306"/>
      <c r="Y322" s="306"/>
      <c r="Z322" s="306"/>
      <c r="AA322" s="306"/>
      <c r="AB322" s="306"/>
      <c r="AC322" s="449"/>
      <c r="AD322" s="449"/>
      <c r="AE322" s="449"/>
      <c r="AF322" s="449"/>
      <c r="AG322" s="452"/>
      <c r="AH322" s="452"/>
      <c r="AI322" s="452"/>
      <c r="AJ322" s="452"/>
      <c r="AK322" s="452"/>
      <c r="AL322" s="116"/>
      <c r="AM322" s="112"/>
      <c r="AN322" s="112"/>
      <c r="AO322" s="112"/>
      <c r="AP322" s="112"/>
      <c r="AQ322" s="113"/>
      <c r="AR322" s="113"/>
      <c r="AS322" s="113"/>
      <c r="AT322" s="113"/>
      <c r="AU322" s="113"/>
      <c r="AV322" s="113"/>
      <c r="AW322" s="113"/>
      <c r="AX322" s="113"/>
      <c r="AY322" s="113"/>
      <c r="AZ322" s="113"/>
      <c r="BA322" s="113"/>
      <c r="BB322" s="113"/>
      <c r="BC322" s="113"/>
      <c r="BD322" s="113"/>
      <c r="BE322" s="113"/>
      <c r="BF322" s="113"/>
      <c r="BG322" s="113"/>
      <c r="BH322" s="113"/>
      <c r="BI322" s="113"/>
      <c r="BJ322" s="113"/>
      <c r="BK322" s="113"/>
      <c r="BL322" s="113"/>
      <c r="BM322" s="114"/>
      <c r="BN322" s="114"/>
      <c r="BO322" s="114"/>
      <c r="BP322" s="114"/>
      <c r="BQ322" s="114"/>
      <c r="BR322" s="114"/>
      <c r="BS322" s="114"/>
      <c r="BT322" s="114"/>
      <c r="BU322" s="114"/>
      <c r="BV322" s="114"/>
      <c r="BW322" s="114"/>
      <c r="BX322" s="114"/>
      <c r="BY322" s="114"/>
      <c r="BZ322" s="114"/>
      <c r="CA322" s="114"/>
      <c r="CB322" s="114"/>
      <c r="CC322" s="114"/>
      <c r="CD322" s="114"/>
      <c r="CE322" s="114"/>
      <c r="CF322" s="114"/>
      <c r="CG322" s="114"/>
      <c r="CH322" s="114"/>
      <c r="CI322" s="114"/>
      <c r="CJ322" s="114"/>
      <c r="CK322" s="114"/>
      <c r="CL322" s="114"/>
      <c r="CM322" s="114"/>
      <c r="CN322" s="114"/>
      <c r="CO322" s="114"/>
      <c r="CP322" s="114"/>
      <c r="CQ322" s="114"/>
      <c r="CR322" s="114"/>
      <c r="CS322" s="114"/>
      <c r="CT322" s="114"/>
      <c r="CU322" s="114"/>
      <c r="CV322" s="114"/>
      <c r="CW322" s="114"/>
      <c r="CX322" s="114"/>
      <c r="CY322" s="114"/>
      <c r="CZ322" s="114"/>
      <c r="DA322" s="114"/>
      <c r="DB322" s="114"/>
      <c r="DC322" s="114"/>
      <c r="DD322" s="114"/>
      <c r="DE322" s="114"/>
      <c r="DF322" s="114"/>
      <c r="DG322" s="114"/>
      <c r="DH322" s="114"/>
      <c r="DI322" s="114"/>
      <c r="DJ322" s="114"/>
      <c r="DK322" s="114"/>
      <c r="DL322" s="114"/>
      <c r="DM322" s="114"/>
      <c r="DN322" s="114"/>
      <c r="DO322" s="114"/>
      <c r="DP322" s="114"/>
      <c r="DQ322" s="114"/>
      <c r="DR322" s="114"/>
      <c r="DS322" s="114"/>
      <c r="DT322" s="114"/>
      <c r="DU322" s="114"/>
      <c r="DV322" s="114"/>
      <c r="DW322" s="114"/>
      <c r="DX322" s="114"/>
      <c r="DY322" s="114"/>
      <c r="DZ322" s="114"/>
      <c r="EA322" s="114"/>
      <c r="EB322" s="114"/>
      <c r="EC322" s="114"/>
      <c r="ED322" s="114"/>
      <c r="EE322" s="114"/>
      <c r="EF322" s="114"/>
      <c r="EG322" s="114"/>
      <c r="EH322" s="114"/>
      <c r="EI322" s="114"/>
      <c r="EJ322" s="114"/>
      <c r="EK322" s="114"/>
      <c r="EL322" s="114"/>
      <c r="EM322" s="114"/>
      <c r="EN322" s="114"/>
      <c r="EO322" s="114"/>
      <c r="EP322" s="114"/>
      <c r="EQ322" s="114"/>
      <c r="ER322" s="114"/>
      <c r="ES322" s="114"/>
      <c r="ET322" s="114"/>
      <c r="EU322" s="114"/>
      <c r="EV322" s="114"/>
      <c r="EW322" s="114"/>
      <c r="EX322" s="114"/>
      <c r="EY322" s="114"/>
      <c r="EZ322" s="114"/>
      <c r="FA322" s="114"/>
      <c r="FB322" s="114"/>
      <c r="FC322" s="114"/>
      <c r="FD322" s="114"/>
      <c r="FE322" s="114"/>
      <c r="FF322" s="114"/>
      <c r="FG322" s="114"/>
      <c r="FH322" s="114"/>
      <c r="FI322" s="114"/>
      <c r="FJ322" s="114"/>
      <c r="FK322" s="114"/>
      <c r="FL322" s="114"/>
      <c r="FM322" s="114"/>
      <c r="FN322" s="114"/>
      <c r="FO322" s="114"/>
      <c r="FP322" s="114"/>
      <c r="FQ322" s="114"/>
      <c r="FR322" s="114"/>
      <c r="FS322" s="114"/>
      <c r="FT322" s="114"/>
      <c r="FU322" s="114"/>
      <c r="FV322" s="114"/>
      <c r="FW322" s="114"/>
      <c r="FX322" s="114"/>
      <c r="FY322" s="114"/>
      <c r="FZ322" s="114"/>
      <c r="GA322" s="114"/>
      <c r="GB322" s="114"/>
      <c r="GC322" s="114"/>
      <c r="GD322" s="114"/>
      <c r="GE322" s="114"/>
      <c r="GF322" s="114"/>
      <c r="GG322" s="114"/>
      <c r="GH322" s="114"/>
      <c r="GI322" s="114"/>
      <c r="GJ322" s="114"/>
      <c r="GK322" s="114"/>
      <c r="GL322" s="114"/>
      <c r="GM322" s="114"/>
      <c r="GN322" s="114"/>
      <c r="GO322" s="114"/>
      <c r="GP322" s="114"/>
      <c r="GQ322" s="114"/>
      <c r="GR322" s="114"/>
      <c r="GS322" s="114"/>
      <c r="GT322" s="114"/>
      <c r="GU322" s="114"/>
      <c r="GV322" s="114"/>
      <c r="GW322" s="114"/>
      <c r="GX322" s="114"/>
      <c r="GY322" s="114"/>
      <c r="GZ322" s="114"/>
      <c r="HA322" s="114"/>
      <c r="HB322" s="114"/>
      <c r="HC322" s="114"/>
      <c r="HD322" s="114"/>
      <c r="HE322" s="114"/>
      <c r="HF322" s="114"/>
      <c r="HG322" s="114"/>
      <c r="HH322" s="114"/>
      <c r="HI322" s="114"/>
      <c r="HJ322" s="114"/>
      <c r="HK322" s="114"/>
      <c r="HL322" s="114"/>
      <c r="HM322" s="114"/>
      <c r="HN322" s="114"/>
      <c r="HO322" s="114"/>
      <c r="HP322" s="114"/>
      <c r="HQ322" s="114"/>
      <c r="HR322" s="114"/>
      <c r="HS322" s="114"/>
      <c r="HT322" s="114"/>
      <c r="HU322" s="114"/>
      <c r="HV322" s="114"/>
      <c r="HW322" s="114"/>
      <c r="HX322" s="114"/>
      <c r="HY322" s="114"/>
      <c r="HZ322" s="114"/>
      <c r="IA322" s="114"/>
      <c r="IB322" s="114"/>
      <c r="IC322" s="114"/>
      <c r="ID322" s="114"/>
      <c r="IE322" s="114"/>
      <c r="IF322" s="114"/>
      <c r="IG322" s="114"/>
      <c r="IH322" s="114"/>
      <c r="II322" s="114"/>
      <c r="IJ322" s="114"/>
      <c r="IK322" s="114"/>
      <c r="IL322" s="114"/>
      <c r="IM322" s="114"/>
      <c r="IN322" s="114"/>
      <c r="IO322" s="114"/>
      <c r="IP322" s="114"/>
      <c r="IQ322" s="114"/>
      <c r="IR322" s="114"/>
      <c r="IS322" s="114"/>
      <c r="IT322" s="114"/>
      <c r="IU322" s="114"/>
      <c r="IV322" s="114"/>
      <c r="IW322" s="114"/>
      <c r="IX322" s="114"/>
      <c r="IY322" s="114"/>
      <c r="IZ322" s="114"/>
      <c r="JA322" s="114"/>
      <c r="JB322" s="114"/>
      <c r="JC322" s="114"/>
      <c r="JD322" s="114"/>
      <c r="JE322" s="114"/>
      <c r="JF322" s="114"/>
      <c r="JG322" s="114"/>
      <c r="JH322" s="114"/>
      <c r="JI322" s="114"/>
      <c r="JJ322" s="114"/>
      <c r="JK322" s="114"/>
      <c r="JL322" s="114"/>
      <c r="JM322" s="114"/>
      <c r="JN322" s="114"/>
      <c r="JO322" s="114"/>
      <c r="JP322" s="114"/>
      <c r="JQ322" s="114"/>
      <c r="JR322" s="114"/>
      <c r="JS322" s="114"/>
      <c r="JT322" s="114"/>
      <c r="JU322" s="114"/>
      <c r="JV322" s="114"/>
      <c r="JW322" s="114"/>
      <c r="JX322" s="114"/>
      <c r="JY322" s="114"/>
      <c r="JZ322" s="114"/>
      <c r="KA322" s="114"/>
      <c r="KB322" s="114"/>
      <c r="KC322" s="114"/>
      <c r="KD322" s="114"/>
      <c r="KE322" s="114"/>
      <c r="KF322" s="114"/>
      <c r="KG322" s="114"/>
      <c r="KH322" s="114"/>
      <c r="KI322" s="114"/>
      <c r="KJ322" s="114"/>
      <c r="KK322" s="114"/>
      <c r="KL322" s="114"/>
      <c r="KM322" s="114"/>
      <c r="KN322" s="114"/>
      <c r="KO322" s="114"/>
      <c r="KP322" s="114"/>
      <c r="KQ322" s="114"/>
      <c r="KR322" s="114"/>
      <c r="KS322" s="114"/>
      <c r="KT322" s="114"/>
      <c r="KU322" s="114"/>
      <c r="KV322" s="114"/>
      <c r="KW322" s="114"/>
      <c r="KX322" s="114"/>
      <c r="KY322" s="114"/>
      <c r="KZ322" s="114"/>
      <c r="LA322" s="114"/>
      <c r="LB322" s="114"/>
      <c r="LC322" s="114"/>
      <c r="LD322" s="114"/>
      <c r="LE322" s="114"/>
      <c r="LF322" s="114"/>
      <c r="LG322" s="114"/>
      <c r="LH322" s="114"/>
      <c r="LI322" s="114"/>
      <c r="LJ322" s="114"/>
      <c r="LK322" s="114"/>
      <c r="LL322" s="114"/>
      <c r="LM322" s="114"/>
      <c r="LN322" s="114"/>
      <c r="LO322" s="114"/>
      <c r="LP322" s="114"/>
      <c r="LQ322" s="114"/>
      <c r="LR322" s="114"/>
      <c r="LS322" s="114"/>
      <c r="LT322" s="114"/>
      <c r="LU322" s="114"/>
      <c r="LV322" s="114"/>
      <c r="LW322" s="114"/>
      <c r="LX322" s="114"/>
      <c r="LY322" s="114"/>
      <c r="LZ322" s="114"/>
      <c r="MA322" s="114"/>
      <c r="MB322" s="114"/>
      <c r="MC322" s="114"/>
      <c r="MD322" s="114"/>
      <c r="ME322" s="114"/>
      <c r="MF322" s="114"/>
      <c r="MG322" s="114"/>
      <c r="MH322" s="114"/>
      <c r="MI322" s="114"/>
      <c r="MJ322" s="114"/>
      <c r="MK322" s="114"/>
      <c r="ML322" s="114"/>
      <c r="MM322" s="114"/>
      <c r="MN322" s="114"/>
      <c r="MO322" s="114"/>
      <c r="MP322" s="114"/>
      <c r="MQ322" s="114"/>
      <c r="MR322" s="114"/>
      <c r="MS322" s="114"/>
      <c r="MT322" s="114"/>
      <c r="MU322" s="114"/>
      <c r="MV322" s="114"/>
      <c r="MW322" s="114"/>
      <c r="MX322" s="114"/>
      <c r="MY322" s="114"/>
      <c r="MZ322" s="114"/>
      <c r="NA322" s="114"/>
      <c r="NB322" s="114"/>
      <c r="NC322" s="114"/>
      <c r="ND322" s="114"/>
      <c r="NE322" s="114"/>
      <c r="NF322" s="114"/>
      <c r="NG322" s="114"/>
      <c r="NH322" s="114"/>
      <c r="NI322" s="114"/>
      <c r="NJ322" s="114"/>
      <c r="NK322" s="114"/>
      <c r="NL322" s="114"/>
      <c r="NM322" s="114"/>
      <c r="NN322" s="114"/>
      <c r="NO322" s="114"/>
      <c r="NP322" s="114"/>
      <c r="NQ322" s="114"/>
      <c r="NR322" s="114"/>
      <c r="NS322" s="114"/>
      <c r="NT322" s="114"/>
      <c r="NU322" s="114"/>
      <c r="NV322" s="114"/>
      <c r="NW322" s="114"/>
      <c r="NX322" s="114"/>
      <c r="NY322" s="114"/>
      <c r="NZ322" s="114"/>
      <c r="OA322" s="114"/>
      <c r="OB322" s="114"/>
      <c r="OC322" s="114"/>
      <c r="OD322" s="114"/>
      <c r="OE322" s="114"/>
      <c r="OF322" s="114"/>
      <c r="OG322" s="114"/>
      <c r="OH322" s="114"/>
      <c r="OI322" s="114"/>
      <c r="OJ322" s="114"/>
      <c r="OK322" s="114"/>
      <c r="OL322" s="114"/>
      <c r="OM322" s="114"/>
      <c r="ON322" s="114"/>
      <c r="OO322" s="114"/>
      <c r="OP322" s="114"/>
      <c r="OQ322" s="114"/>
      <c r="OR322" s="114"/>
      <c r="OS322" s="114"/>
      <c r="OT322" s="114"/>
      <c r="OU322" s="114"/>
      <c r="OV322" s="114"/>
      <c r="OW322" s="114"/>
      <c r="OX322" s="114"/>
      <c r="OY322" s="114"/>
      <c r="OZ322" s="114"/>
      <c r="PA322" s="114"/>
      <c r="PB322" s="114"/>
      <c r="PC322" s="114"/>
      <c r="PD322" s="114"/>
      <c r="PE322" s="114"/>
      <c r="PF322" s="114"/>
      <c r="PG322" s="114"/>
      <c r="PH322" s="114"/>
      <c r="PI322" s="114"/>
      <c r="PJ322" s="114"/>
      <c r="PK322" s="114"/>
      <c r="PL322" s="114"/>
      <c r="PM322" s="114"/>
      <c r="PN322" s="114"/>
      <c r="PO322" s="114"/>
      <c r="PP322" s="114"/>
      <c r="PQ322" s="114"/>
      <c r="PR322" s="114"/>
      <c r="PS322" s="114"/>
      <c r="PT322" s="114"/>
      <c r="PU322" s="114"/>
      <c r="PV322" s="114"/>
      <c r="PW322" s="114"/>
      <c r="PX322" s="114"/>
      <c r="PY322" s="114"/>
      <c r="PZ322" s="114"/>
      <c r="QA322" s="114"/>
      <c r="QB322" s="114"/>
      <c r="QC322" s="114"/>
      <c r="QD322" s="114"/>
      <c r="QE322" s="114"/>
      <c r="QF322" s="114"/>
      <c r="QG322" s="114"/>
      <c r="QH322" s="114"/>
      <c r="QI322" s="114"/>
      <c r="QJ322" s="114"/>
      <c r="QK322" s="114"/>
      <c r="QL322" s="114"/>
      <c r="QM322" s="114"/>
      <c r="QN322" s="114"/>
      <c r="QO322" s="114"/>
      <c r="QP322" s="114"/>
      <c r="QQ322" s="114"/>
      <c r="QR322" s="114"/>
      <c r="QS322" s="114"/>
      <c r="QT322" s="114"/>
      <c r="QU322" s="114"/>
      <c r="QV322" s="114"/>
      <c r="QW322" s="114"/>
      <c r="QX322" s="114"/>
      <c r="QY322" s="114"/>
      <c r="QZ322" s="114"/>
      <c r="RA322" s="114"/>
      <c r="RB322" s="114"/>
      <c r="RC322" s="114"/>
      <c r="RD322" s="114"/>
      <c r="RE322" s="114"/>
      <c r="RF322" s="114"/>
      <c r="RG322" s="114"/>
      <c r="RH322" s="114"/>
      <c r="RI322" s="114"/>
      <c r="RJ322" s="114"/>
      <c r="RK322" s="114"/>
      <c r="RL322" s="114"/>
      <c r="RM322" s="114"/>
      <c r="RN322" s="114"/>
      <c r="RO322" s="114"/>
      <c r="RP322" s="114"/>
      <c r="RQ322" s="114"/>
      <c r="RR322" s="114"/>
      <c r="RS322" s="114"/>
      <c r="RT322" s="114"/>
      <c r="RU322" s="114"/>
      <c r="RV322" s="114"/>
      <c r="RW322" s="114"/>
      <c r="RX322" s="114"/>
      <c r="RY322" s="114"/>
      <c r="RZ322" s="114"/>
      <c r="SA322" s="114"/>
      <c r="SB322" s="114"/>
      <c r="SC322" s="114"/>
      <c r="SD322" s="114"/>
      <c r="SE322" s="114"/>
      <c r="SF322" s="114"/>
      <c r="SG322" s="114"/>
      <c r="SH322" s="114"/>
      <c r="SI322" s="114"/>
      <c r="SJ322" s="114"/>
      <c r="SK322" s="114"/>
      <c r="SL322" s="114"/>
      <c r="SM322" s="114"/>
      <c r="SN322" s="114"/>
      <c r="SO322" s="114"/>
      <c r="SP322" s="114"/>
      <c r="SQ322" s="114"/>
      <c r="SR322" s="114"/>
      <c r="SS322" s="114"/>
      <c r="ST322" s="114"/>
      <c r="SU322" s="114"/>
      <c r="SV322" s="114"/>
      <c r="SW322" s="114"/>
      <c r="SX322" s="114"/>
      <c r="SY322" s="114"/>
      <c r="SZ322" s="114"/>
      <c r="TA322" s="114"/>
      <c r="TB322" s="114"/>
      <c r="TC322" s="114"/>
      <c r="TD322" s="114"/>
      <c r="TE322" s="114"/>
      <c r="TF322" s="114"/>
      <c r="TG322" s="114"/>
      <c r="TH322" s="114"/>
      <c r="TI322" s="114"/>
      <c r="TJ322" s="114"/>
      <c r="TK322" s="114"/>
      <c r="TL322" s="114"/>
      <c r="TM322" s="114"/>
      <c r="TN322" s="114"/>
      <c r="TO322" s="114"/>
      <c r="TP322" s="114"/>
      <c r="TQ322" s="114"/>
      <c r="TR322" s="114"/>
      <c r="TS322" s="114"/>
      <c r="TT322" s="114"/>
      <c r="TU322" s="114"/>
      <c r="TV322" s="114"/>
      <c r="TW322" s="114"/>
      <c r="TX322" s="114"/>
      <c r="TY322" s="114"/>
      <c r="TZ322" s="114"/>
      <c r="UA322" s="114"/>
      <c r="UB322" s="114"/>
      <c r="UC322" s="114"/>
      <c r="UD322" s="114"/>
      <c r="UE322" s="114"/>
      <c r="UF322" s="114"/>
      <c r="UG322" s="115"/>
    </row>
    <row r="323" spans="1:553" s="109" customFormat="1" ht="41.25" customHeight="1">
      <c r="A323" s="356" t="s">
        <v>30</v>
      </c>
      <c r="B323" s="385">
        <v>2</v>
      </c>
      <c r="C323" s="1451" t="s">
        <v>891</v>
      </c>
      <c r="D323" s="1389"/>
      <c r="E323" s="1389"/>
      <c r="F323" s="1390"/>
      <c r="G323" s="386" t="s">
        <v>33</v>
      </c>
      <c r="H323" s="370"/>
      <c r="I323" s="834">
        <f>-38*1.5*2</f>
        <v>-114</v>
      </c>
      <c r="J323" s="368">
        <v>52000</v>
      </c>
      <c r="K323" s="371"/>
      <c r="L323" s="391">
        <f t="shared" ref="L323:L324" si="67">I323*J323</f>
        <v>-5928000</v>
      </c>
      <c r="M323" s="395"/>
      <c r="N323" s="395"/>
      <c r="O323" s="366"/>
      <c r="P323" s="396"/>
      <c r="Q323" s="473"/>
      <c r="R323" s="1039"/>
      <c r="S323" s="308"/>
      <c r="T323" s="303"/>
      <c r="U323" s="306"/>
      <c r="V323" s="307"/>
      <c r="W323" s="306"/>
      <c r="X323" s="306"/>
      <c r="Y323" s="306"/>
      <c r="Z323" s="306"/>
      <c r="AA323" s="306"/>
      <c r="AB323" s="306"/>
      <c r="AC323" s="449"/>
      <c r="AD323" s="449"/>
      <c r="AE323" s="449"/>
      <c r="AF323" s="449"/>
      <c r="AG323" s="452"/>
      <c r="AH323" s="452"/>
      <c r="AI323" s="452"/>
      <c r="AJ323" s="452"/>
      <c r="AK323" s="452"/>
      <c r="AL323" s="116"/>
      <c r="AM323" s="116"/>
      <c r="AN323" s="116"/>
      <c r="AO323" s="116"/>
      <c r="AP323" s="116"/>
      <c r="AQ323" s="117"/>
      <c r="AR323" s="117"/>
      <c r="AS323" s="117"/>
      <c r="AT323" s="117"/>
      <c r="AU323" s="117"/>
      <c r="AV323" s="117"/>
      <c r="AW323" s="117"/>
      <c r="AX323" s="117"/>
      <c r="AY323" s="117"/>
      <c r="AZ323" s="117"/>
      <c r="BA323" s="117"/>
      <c r="BB323" s="117"/>
      <c r="BC323" s="117"/>
      <c r="BD323" s="117"/>
      <c r="BE323" s="117"/>
      <c r="BF323" s="117"/>
      <c r="BG323" s="117"/>
      <c r="BH323" s="117"/>
      <c r="BI323" s="117"/>
      <c r="BJ323" s="117"/>
      <c r="BK323" s="117"/>
      <c r="BL323" s="117"/>
      <c r="BM323" s="118"/>
      <c r="BN323" s="118"/>
      <c r="BO323" s="118"/>
      <c r="BP323" s="118"/>
      <c r="BQ323" s="118"/>
      <c r="BR323" s="118"/>
      <c r="BS323" s="118"/>
      <c r="BT323" s="118"/>
      <c r="BU323" s="118"/>
      <c r="BV323" s="118"/>
      <c r="BW323" s="118"/>
      <c r="BX323" s="118"/>
      <c r="BY323" s="118"/>
      <c r="BZ323" s="118"/>
      <c r="CA323" s="118"/>
      <c r="CB323" s="118"/>
      <c r="CC323" s="118"/>
      <c r="CD323" s="118"/>
      <c r="CE323" s="118"/>
      <c r="CF323" s="118"/>
      <c r="CG323" s="118"/>
      <c r="CH323" s="118"/>
      <c r="CI323" s="118"/>
      <c r="CJ323" s="118"/>
      <c r="CK323" s="118"/>
      <c r="CL323" s="118"/>
      <c r="CM323" s="118"/>
      <c r="CN323" s="118"/>
      <c r="CO323" s="118"/>
      <c r="CP323" s="118"/>
      <c r="CQ323" s="118"/>
      <c r="CR323" s="118"/>
      <c r="CS323" s="118"/>
      <c r="CT323" s="118"/>
      <c r="CU323" s="118"/>
      <c r="CV323" s="118"/>
      <c r="CW323" s="118"/>
      <c r="CX323" s="118"/>
      <c r="CY323" s="118"/>
      <c r="CZ323" s="118"/>
      <c r="DA323" s="118"/>
      <c r="DB323" s="118"/>
      <c r="DC323" s="118"/>
      <c r="DD323" s="118"/>
      <c r="DE323" s="118"/>
      <c r="DF323" s="118"/>
      <c r="DG323" s="118"/>
      <c r="DH323" s="118"/>
      <c r="DI323" s="118"/>
      <c r="DJ323" s="118"/>
      <c r="DK323" s="118"/>
      <c r="DL323" s="118"/>
      <c r="DM323" s="118"/>
      <c r="DN323" s="118"/>
      <c r="DO323" s="118"/>
      <c r="DP323" s="118"/>
      <c r="DQ323" s="118"/>
      <c r="DR323" s="118"/>
      <c r="DS323" s="118"/>
      <c r="DT323" s="118"/>
      <c r="DU323" s="118"/>
      <c r="DV323" s="118"/>
      <c r="DW323" s="118"/>
      <c r="DX323" s="118"/>
      <c r="DY323" s="118"/>
      <c r="DZ323" s="118"/>
      <c r="EA323" s="118"/>
      <c r="EB323" s="118"/>
      <c r="EC323" s="118"/>
      <c r="ED323" s="118"/>
      <c r="EE323" s="118"/>
      <c r="EF323" s="118"/>
      <c r="EG323" s="118"/>
      <c r="EH323" s="118"/>
      <c r="EI323" s="118"/>
      <c r="EJ323" s="118"/>
      <c r="EK323" s="118"/>
      <c r="EL323" s="118"/>
      <c r="EM323" s="118"/>
      <c r="EN323" s="118"/>
      <c r="EO323" s="118"/>
      <c r="EP323" s="118"/>
      <c r="EQ323" s="118"/>
      <c r="ER323" s="118"/>
      <c r="ES323" s="118"/>
      <c r="ET323" s="118"/>
      <c r="EU323" s="118"/>
      <c r="EV323" s="118"/>
      <c r="EW323" s="118"/>
      <c r="EX323" s="118"/>
      <c r="EY323" s="118"/>
      <c r="EZ323" s="118"/>
      <c r="FA323" s="118"/>
      <c r="FB323" s="118"/>
      <c r="FC323" s="118"/>
      <c r="FD323" s="118"/>
      <c r="FE323" s="118"/>
      <c r="FF323" s="118"/>
      <c r="FG323" s="118"/>
      <c r="FH323" s="118"/>
      <c r="FI323" s="118"/>
      <c r="FJ323" s="118"/>
      <c r="FK323" s="118"/>
      <c r="FL323" s="118"/>
      <c r="FM323" s="118"/>
      <c r="FN323" s="118"/>
      <c r="FO323" s="118"/>
      <c r="FP323" s="118"/>
      <c r="FQ323" s="118"/>
      <c r="FR323" s="118"/>
      <c r="FS323" s="118"/>
      <c r="FT323" s="118"/>
      <c r="FU323" s="118"/>
      <c r="FV323" s="118"/>
      <c r="FW323" s="118"/>
      <c r="FX323" s="118"/>
      <c r="FY323" s="118"/>
      <c r="FZ323" s="118"/>
      <c r="GA323" s="118"/>
      <c r="GB323" s="118"/>
      <c r="GC323" s="118"/>
      <c r="GD323" s="118"/>
      <c r="GE323" s="118"/>
      <c r="GF323" s="118"/>
      <c r="GG323" s="118"/>
      <c r="GH323" s="118"/>
      <c r="GI323" s="118"/>
      <c r="GJ323" s="118"/>
      <c r="GK323" s="118"/>
      <c r="GL323" s="118"/>
      <c r="GM323" s="118"/>
      <c r="GN323" s="118"/>
      <c r="GO323" s="118"/>
      <c r="GP323" s="118"/>
      <c r="GQ323" s="118"/>
      <c r="GR323" s="118"/>
      <c r="GS323" s="118"/>
      <c r="GT323" s="118"/>
      <c r="GU323" s="118"/>
      <c r="GV323" s="118"/>
      <c r="GW323" s="118"/>
      <c r="GX323" s="118"/>
      <c r="GY323" s="118"/>
      <c r="GZ323" s="118"/>
      <c r="HA323" s="118"/>
      <c r="HB323" s="118"/>
      <c r="HC323" s="118"/>
      <c r="HD323" s="118"/>
      <c r="HE323" s="118"/>
      <c r="HF323" s="118"/>
      <c r="HG323" s="118"/>
      <c r="HH323" s="118"/>
      <c r="HI323" s="118"/>
      <c r="HJ323" s="118"/>
      <c r="HK323" s="118"/>
      <c r="HL323" s="118"/>
      <c r="HM323" s="118"/>
      <c r="HN323" s="118"/>
      <c r="HO323" s="118"/>
      <c r="HP323" s="118"/>
      <c r="HQ323" s="118"/>
      <c r="HR323" s="118"/>
      <c r="HS323" s="118"/>
      <c r="HT323" s="118"/>
      <c r="HU323" s="118"/>
      <c r="HV323" s="118"/>
      <c r="HW323" s="118"/>
      <c r="HX323" s="118"/>
      <c r="HY323" s="118"/>
      <c r="HZ323" s="118"/>
      <c r="IA323" s="118"/>
      <c r="IB323" s="118"/>
      <c r="IC323" s="118"/>
      <c r="ID323" s="118"/>
      <c r="IE323" s="118"/>
      <c r="IF323" s="118"/>
      <c r="IG323" s="118"/>
      <c r="IH323" s="118"/>
      <c r="II323" s="118"/>
      <c r="IJ323" s="118"/>
      <c r="IK323" s="118"/>
      <c r="IL323" s="118"/>
      <c r="IM323" s="118"/>
      <c r="IN323" s="118"/>
      <c r="IO323" s="118"/>
      <c r="IP323" s="118"/>
      <c r="IQ323" s="118"/>
      <c r="IR323" s="118"/>
      <c r="IS323" s="118"/>
      <c r="IT323" s="118"/>
      <c r="IU323" s="118"/>
      <c r="IV323" s="118"/>
      <c r="IW323" s="118"/>
      <c r="IX323" s="118"/>
      <c r="IY323" s="118"/>
      <c r="IZ323" s="118"/>
      <c r="JA323" s="118"/>
      <c r="JB323" s="118"/>
      <c r="JC323" s="118"/>
      <c r="JD323" s="118"/>
      <c r="JE323" s="118"/>
      <c r="JF323" s="118"/>
      <c r="JG323" s="118"/>
      <c r="JH323" s="118"/>
      <c r="JI323" s="118"/>
      <c r="JJ323" s="118"/>
      <c r="JK323" s="118"/>
      <c r="JL323" s="118"/>
      <c r="JM323" s="118"/>
      <c r="JN323" s="118"/>
      <c r="JO323" s="118"/>
      <c r="JP323" s="118"/>
      <c r="JQ323" s="118"/>
      <c r="JR323" s="118"/>
      <c r="JS323" s="118"/>
      <c r="JT323" s="118"/>
      <c r="JU323" s="118"/>
      <c r="JV323" s="118"/>
      <c r="JW323" s="118"/>
      <c r="JX323" s="118"/>
      <c r="JY323" s="118"/>
      <c r="JZ323" s="118"/>
      <c r="KA323" s="118"/>
      <c r="KB323" s="118"/>
      <c r="KC323" s="118"/>
      <c r="KD323" s="118"/>
      <c r="KE323" s="118"/>
      <c r="KF323" s="118"/>
      <c r="KG323" s="118"/>
      <c r="KH323" s="118"/>
      <c r="KI323" s="118"/>
      <c r="KJ323" s="118"/>
      <c r="KK323" s="118"/>
      <c r="KL323" s="118"/>
      <c r="KM323" s="118"/>
      <c r="KN323" s="118"/>
      <c r="KO323" s="118"/>
      <c r="KP323" s="118"/>
      <c r="KQ323" s="118"/>
      <c r="KR323" s="118"/>
      <c r="KS323" s="118"/>
      <c r="KT323" s="118"/>
      <c r="KU323" s="118"/>
      <c r="KV323" s="118"/>
      <c r="KW323" s="118"/>
      <c r="KX323" s="118"/>
      <c r="KY323" s="118"/>
      <c r="KZ323" s="118"/>
      <c r="LA323" s="118"/>
      <c r="LB323" s="118"/>
      <c r="LC323" s="118"/>
      <c r="LD323" s="118"/>
      <c r="LE323" s="118"/>
      <c r="LF323" s="118"/>
      <c r="LG323" s="118"/>
      <c r="LH323" s="118"/>
      <c r="LI323" s="118"/>
      <c r="LJ323" s="118"/>
      <c r="LK323" s="118"/>
      <c r="LL323" s="118"/>
      <c r="LM323" s="118"/>
      <c r="LN323" s="118"/>
      <c r="LO323" s="118"/>
      <c r="LP323" s="118"/>
      <c r="LQ323" s="118"/>
      <c r="LR323" s="118"/>
      <c r="LS323" s="118"/>
      <c r="LT323" s="118"/>
      <c r="LU323" s="118"/>
      <c r="LV323" s="118"/>
      <c r="LW323" s="118"/>
      <c r="LX323" s="118"/>
      <c r="LY323" s="118"/>
      <c r="LZ323" s="118"/>
      <c r="MA323" s="118"/>
      <c r="MB323" s="118"/>
      <c r="MC323" s="118"/>
      <c r="MD323" s="118"/>
      <c r="ME323" s="118"/>
      <c r="MF323" s="118"/>
      <c r="MG323" s="118"/>
      <c r="MH323" s="118"/>
      <c r="MI323" s="118"/>
      <c r="MJ323" s="118"/>
      <c r="MK323" s="118"/>
      <c r="ML323" s="118"/>
      <c r="MM323" s="118"/>
      <c r="MN323" s="118"/>
      <c r="MO323" s="118"/>
      <c r="MP323" s="118"/>
      <c r="MQ323" s="118"/>
      <c r="MR323" s="118"/>
      <c r="MS323" s="118"/>
      <c r="MT323" s="118"/>
      <c r="MU323" s="118"/>
      <c r="MV323" s="118"/>
      <c r="MW323" s="118"/>
      <c r="MX323" s="118"/>
      <c r="MY323" s="118"/>
      <c r="MZ323" s="118"/>
      <c r="NA323" s="118"/>
      <c r="NB323" s="118"/>
      <c r="NC323" s="118"/>
      <c r="ND323" s="118"/>
      <c r="NE323" s="118"/>
      <c r="NF323" s="118"/>
      <c r="NG323" s="118"/>
      <c r="NH323" s="118"/>
      <c r="NI323" s="118"/>
      <c r="NJ323" s="118"/>
      <c r="NK323" s="118"/>
      <c r="NL323" s="118"/>
      <c r="NM323" s="118"/>
      <c r="NN323" s="118"/>
      <c r="NO323" s="118"/>
      <c r="NP323" s="118"/>
      <c r="NQ323" s="118"/>
      <c r="NR323" s="118"/>
      <c r="NS323" s="118"/>
      <c r="NT323" s="118"/>
      <c r="NU323" s="118"/>
      <c r="NV323" s="118"/>
      <c r="NW323" s="118"/>
      <c r="NX323" s="118"/>
      <c r="NY323" s="118"/>
      <c r="NZ323" s="118"/>
      <c r="OA323" s="118"/>
      <c r="OB323" s="118"/>
      <c r="OC323" s="118"/>
      <c r="OD323" s="118"/>
      <c r="OE323" s="118"/>
      <c r="OF323" s="118"/>
      <c r="OG323" s="118"/>
      <c r="OH323" s="118"/>
      <c r="OI323" s="118"/>
      <c r="OJ323" s="118"/>
      <c r="OK323" s="118"/>
      <c r="OL323" s="118"/>
      <c r="OM323" s="118"/>
      <c r="ON323" s="118"/>
      <c r="OO323" s="118"/>
      <c r="OP323" s="118"/>
      <c r="OQ323" s="118"/>
      <c r="OR323" s="118"/>
      <c r="OS323" s="118"/>
      <c r="OT323" s="118"/>
      <c r="OU323" s="118"/>
      <c r="OV323" s="118"/>
      <c r="OW323" s="118"/>
      <c r="OX323" s="118"/>
      <c r="OY323" s="118"/>
      <c r="OZ323" s="118"/>
      <c r="PA323" s="118"/>
      <c r="PB323" s="118"/>
      <c r="PC323" s="118"/>
      <c r="PD323" s="118"/>
      <c r="PE323" s="118"/>
      <c r="PF323" s="118"/>
      <c r="PG323" s="118"/>
      <c r="PH323" s="118"/>
      <c r="PI323" s="118"/>
      <c r="PJ323" s="118"/>
      <c r="PK323" s="118"/>
      <c r="PL323" s="118"/>
      <c r="PM323" s="118"/>
      <c r="PN323" s="118"/>
      <c r="PO323" s="118"/>
      <c r="PP323" s="118"/>
      <c r="PQ323" s="118"/>
      <c r="PR323" s="118"/>
      <c r="PS323" s="118"/>
      <c r="PT323" s="118"/>
      <c r="PU323" s="118"/>
      <c r="PV323" s="118"/>
      <c r="PW323" s="118"/>
      <c r="PX323" s="118"/>
      <c r="PY323" s="118"/>
      <c r="PZ323" s="118"/>
      <c r="QA323" s="118"/>
      <c r="QB323" s="118"/>
      <c r="QC323" s="118"/>
      <c r="QD323" s="118"/>
      <c r="QE323" s="118"/>
      <c r="QF323" s="118"/>
      <c r="QG323" s="118"/>
      <c r="QH323" s="118"/>
      <c r="QI323" s="118"/>
      <c r="QJ323" s="118"/>
      <c r="QK323" s="118"/>
      <c r="QL323" s="118"/>
      <c r="QM323" s="118"/>
      <c r="QN323" s="118"/>
      <c r="QO323" s="118"/>
      <c r="QP323" s="118"/>
      <c r="QQ323" s="118"/>
      <c r="QR323" s="118"/>
      <c r="QS323" s="118"/>
      <c r="QT323" s="118"/>
      <c r="QU323" s="118"/>
      <c r="QV323" s="118"/>
      <c r="QW323" s="118"/>
      <c r="QX323" s="118"/>
      <c r="QY323" s="118"/>
      <c r="QZ323" s="118"/>
      <c r="RA323" s="118"/>
      <c r="RB323" s="118"/>
      <c r="RC323" s="118"/>
      <c r="RD323" s="118"/>
      <c r="RE323" s="118"/>
      <c r="RF323" s="118"/>
      <c r="RG323" s="118"/>
      <c r="RH323" s="118"/>
      <c r="RI323" s="118"/>
      <c r="RJ323" s="118"/>
      <c r="RK323" s="118"/>
      <c r="RL323" s="118"/>
      <c r="RM323" s="118"/>
      <c r="RN323" s="118"/>
      <c r="RO323" s="118"/>
      <c r="RP323" s="118"/>
      <c r="RQ323" s="118"/>
      <c r="RR323" s="118"/>
      <c r="RS323" s="118"/>
      <c r="RT323" s="118"/>
      <c r="RU323" s="118"/>
      <c r="RV323" s="118"/>
      <c r="RW323" s="118"/>
      <c r="RX323" s="118"/>
      <c r="RY323" s="118"/>
      <c r="RZ323" s="118"/>
      <c r="SA323" s="118"/>
      <c r="SB323" s="118"/>
      <c r="SC323" s="118"/>
      <c r="SD323" s="118"/>
      <c r="SE323" s="118"/>
      <c r="SF323" s="118"/>
      <c r="SG323" s="118"/>
      <c r="SH323" s="118"/>
      <c r="SI323" s="118"/>
      <c r="SJ323" s="118"/>
      <c r="SK323" s="118"/>
      <c r="SL323" s="118"/>
      <c r="SM323" s="118"/>
      <c r="SN323" s="118"/>
      <c r="SO323" s="118"/>
      <c r="SP323" s="118"/>
      <c r="SQ323" s="118"/>
      <c r="SR323" s="118"/>
      <c r="SS323" s="118"/>
      <c r="ST323" s="118"/>
      <c r="SU323" s="118"/>
      <c r="SV323" s="118"/>
      <c r="SW323" s="118"/>
      <c r="SX323" s="118"/>
      <c r="SY323" s="118"/>
      <c r="SZ323" s="118"/>
      <c r="TA323" s="118"/>
      <c r="TB323" s="118"/>
      <c r="TC323" s="118"/>
      <c r="TD323" s="118"/>
      <c r="TE323" s="118"/>
      <c r="TF323" s="118"/>
      <c r="TG323" s="118"/>
      <c r="TH323" s="118"/>
      <c r="TI323" s="118"/>
      <c r="TJ323" s="118"/>
      <c r="TK323" s="118"/>
      <c r="TL323" s="118"/>
      <c r="TM323" s="118"/>
      <c r="TN323" s="118"/>
      <c r="TO323" s="118"/>
      <c r="TP323" s="118"/>
      <c r="TQ323" s="118"/>
      <c r="TR323" s="118"/>
      <c r="TS323" s="118"/>
      <c r="TT323" s="118"/>
      <c r="TU323" s="118"/>
      <c r="TV323" s="118"/>
      <c r="TW323" s="118"/>
      <c r="TX323" s="118"/>
      <c r="TY323" s="118"/>
      <c r="TZ323" s="118"/>
      <c r="UA323" s="118"/>
      <c r="UB323" s="118"/>
      <c r="UC323" s="118"/>
      <c r="UD323" s="118"/>
      <c r="UE323" s="118"/>
      <c r="UF323" s="118"/>
      <c r="UG323" s="115"/>
    </row>
    <row r="324" spans="1:553" s="109" customFormat="1" ht="41.25" customHeight="1">
      <c r="A324" s="356" t="s">
        <v>30</v>
      </c>
      <c r="B324" s="385">
        <v>5</v>
      </c>
      <c r="C324" s="1451" t="s">
        <v>892</v>
      </c>
      <c r="D324" s="1389"/>
      <c r="E324" s="1389"/>
      <c r="F324" s="1390"/>
      <c r="G324" s="386" t="s">
        <v>33</v>
      </c>
      <c r="H324" s="370"/>
      <c r="I324" s="834">
        <f>-38*1.5*2</f>
        <v>-114</v>
      </c>
      <c r="J324" s="368">
        <v>41700</v>
      </c>
      <c r="K324" s="371"/>
      <c r="L324" s="391">
        <f t="shared" si="67"/>
        <v>-4753800</v>
      </c>
      <c r="M324" s="395"/>
      <c r="N324" s="395"/>
      <c r="O324" s="366"/>
      <c r="P324" s="396"/>
      <c r="Q324" s="473"/>
      <c r="R324" s="1039"/>
      <c r="S324" s="308"/>
      <c r="T324" s="303"/>
      <c r="U324" s="306"/>
      <c r="V324" s="307"/>
      <c r="W324" s="306"/>
      <c r="X324" s="306"/>
      <c r="Y324" s="306"/>
      <c r="Z324" s="306"/>
      <c r="AA324" s="306"/>
      <c r="AB324" s="306"/>
      <c r="AC324" s="449"/>
      <c r="AD324" s="449"/>
      <c r="AE324" s="449"/>
      <c r="AF324" s="449"/>
      <c r="AG324" s="452"/>
      <c r="AH324" s="452"/>
      <c r="AI324" s="452"/>
      <c r="AJ324" s="452"/>
      <c r="AK324" s="452"/>
      <c r="AL324" s="116"/>
      <c r="AM324" s="116"/>
      <c r="AN324" s="116"/>
      <c r="AO324" s="116"/>
      <c r="AP324" s="116"/>
      <c r="AQ324" s="117"/>
      <c r="AR324" s="117"/>
      <c r="AS324" s="117"/>
      <c r="AT324" s="117"/>
      <c r="AU324" s="117"/>
      <c r="AV324" s="117"/>
      <c r="AW324" s="117"/>
      <c r="AX324" s="117"/>
      <c r="AY324" s="117"/>
      <c r="AZ324" s="117"/>
      <c r="BA324" s="117"/>
      <c r="BB324" s="117"/>
      <c r="BC324" s="117"/>
      <c r="BD324" s="117"/>
      <c r="BE324" s="117"/>
      <c r="BF324" s="117"/>
      <c r="BG324" s="117"/>
      <c r="BH324" s="117"/>
      <c r="BI324" s="117"/>
      <c r="BJ324" s="117"/>
      <c r="BK324" s="117"/>
      <c r="BL324" s="117"/>
      <c r="BM324" s="118"/>
      <c r="BN324" s="118"/>
      <c r="BO324" s="118"/>
      <c r="BP324" s="118"/>
      <c r="BQ324" s="118"/>
      <c r="BR324" s="118"/>
      <c r="BS324" s="118"/>
      <c r="BT324" s="118"/>
      <c r="BU324" s="118"/>
      <c r="BV324" s="118"/>
      <c r="BW324" s="118"/>
      <c r="BX324" s="118"/>
      <c r="BY324" s="118"/>
      <c r="BZ324" s="118"/>
      <c r="CA324" s="118"/>
      <c r="CB324" s="118"/>
      <c r="CC324" s="118"/>
      <c r="CD324" s="118"/>
      <c r="CE324" s="118"/>
      <c r="CF324" s="118"/>
      <c r="CG324" s="118"/>
      <c r="CH324" s="118"/>
      <c r="CI324" s="118"/>
      <c r="CJ324" s="118"/>
      <c r="CK324" s="118"/>
      <c r="CL324" s="118"/>
      <c r="CM324" s="118"/>
      <c r="CN324" s="118"/>
      <c r="CO324" s="118"/>
      <c r="CP324" s="118"/>
      <c r="CQ324" s="118"/>
      <c r="CR324" s="118"/>
      <c r="CS324" s="118"/>
      <c r="CT324" s="118"/>
      <c r="CU324" s="118"/>
      <c r="CV324" s="118"/>
      <c r="CW324" s="118"/>
      <c r="CX324" s="118"/>
      <c r="CY324" s="118"/>
      <c r="CZ324" s="118"/>
      <c r="DA324" s="118"/>
      <c r="DB324" s="118"/>
      <c r="DC324" s="118"/>
      <c r="DD324" s="118"/>
      <c r="DE324" s="118"/>
      <c r="DF324" s="118"/>
      <c r="DG324" s="118"/>
      <c r="DH324" s="118"/>
      <c r="DI324" s="118"/>
      <c r="DJ324" s="118"/>
      <c r="DK324" s="118"/>
      <c r="DL324" s="118"/>
      <c r="DM324" s="118"/>
      <c r="DN324" s="118"/>
      <c r="DO324" s="118"/>
      <c r="DP324" s="118"/>
      <c r="DQ324" s="118"/>
      <c r="DR324" s="118"/>
      <c r="DS324" s="118"/>
      <c r="DT324" s="118"/>
      <c r="DU324" s="118"/>
      <c r="DV324" s="118"/>
      <c r="DW324" s="118"/>
      <c r="DX324" s="118"/>
      <c r="DY324" s="118"/>
      <c r="DZ324" s="118"/>
      <c r="EA324" s="118"/>
      <c r="EB324" s="118"/>
      <c r="EC324" s="118"/>
      <c r="ED324" s="118"/>
      <c r="EE324" s="118"/>
      <c r="EF324" s="118"/>
      <c r="EG324" s="118"/>
      <c r="EH324" s="118"/>
      <c r="EI324" s="118"/>
      <c r="EJ324" s="118"/>
      <c r="EK324" s="118"/>
      <c r="EL324" s="118"/>
      <c r="EM324" s="118"/>
      <c r="EN324" s="118"/>
      <c r="EO324" s="118"/>
      <c r="EP324" s="118"/>
      <c r="EQ324" s="118"/>
      <c r="ER324" s="118"/>
      <c r="ES324" s="118"/>
      <c r="ET324" s="118"/>
      <c r="EU324" s="118"/>
      <c r="EV324" s="118"/>
      <c r="EW324" s="118"/>
      <c r="EX324" s="118"/>
      <c r="EY324" s="118"/>
      <c r="EZ324" s="118"/>
      <c r="FA324" s="118"/>
      <c r="FB324" s="118"/>
      <c r="FC324" s="118"/>
      <c r="FD324" s="118"/>
      <c r="FE324" s="118"/>
      <c r="FF324" s="118"/>
      <c r="FG324" s="118"/>
      <c r="FH324" s="118"/>
      <c r="FI324" s="118"/>
      <c r="FJ324" s="118"/>
      <c r="FK324" s="118"/>
      <c r="FL324" s="118"/>
      <c r="FM324" s="118"/>
      <c r="FN324" s="118"/>
      <c r="FO324" s="118"/>
      <c r="FP324" s="118"/>
      <c r="FQ324" s="118"/>
      <c r="FR324" s="118"/>
      <c r="FS324" s="118"/>
      <c r="FT324" s="118"/>
      <c r="FU324" s="118"/>
      <c r="FV324" s="118"/>
      <c r="FW324" s="118"/>
      <c r="FX324" s="118"/>
      <c r="FY324" s="118"/>
      <c r="FZ324" s="118"/>
      <c r="GA324" s="118"/>
      <c r="GB324" s="118"/>
      <c r="GC324" s="118"/>
      <c r="GD324" s="118"/>
      <c r="GE324" s="118"/>
      <c r="GF324" s="118"/>
      <c r="GG324" s="118"/>
      <c r="GH324" s="118"/>
      <c r="GI324" s="118"/>
      <c r="GJ324" s="118"/>
      <c r="GK324" s="118"/>
      <c r="GL324" s="118"/>
      <c r="GM324" s="118"/>
      <c r="GN324" s="118"/>
      <c r="GO324" s="118"/>
      <c r="GP324" s="118"/>
      <c r="GQ324" s="118"/>
      <c r="GR324" s="118"/>
      <c r="GS324" s="118"/>
      <c r="GT324" s="118"/>
      <c r="GU324" s="118"/>
      <c r="GV324" s="118"/>
      <c r="GW324" s="118"/>
      <c r="GX324" s="118"/>
      <c r="GY324" s="118"/>
      <c r="GZ324" s="118"/>
      <c r="HA324" s="118"/>
      <c r="HB324" s="118"/>
      <c r="HC324" s="118"/>
      <c r="HD324" s="118"/>
      <c r="HE324" s="118"/>
      <c r="HF324" s="118"/>
      <c r="HG324" s="118"/>
      <c r="HH324" s="118"/>
      <c r="HI324" s="118"/>
      <c r="HJ324" s="118"/>
      <c r="HK324" s="118"/>
      <c r="HL324" s="118"/>
      <c r="HM324" s="118"/>
      <c r="HN324" s="118"/>
      <c r="HO324" s="118"/>
      <c r="HP324" s="118"/>
      <c r="HQ324" s="118"/>
      <c r="HR324" s="118"/>
      <c r="HS324" s="118"/>
      <c r="HT324" s="118"/>
      <c r="HU324" s="118"/>
      <c r="HV324" s="118"/>
      <c r="HW324" s="118"/>
      <c r="HX324" s="118"/>
      <c r="HY324" s="118"/>
      <c r="HZ324" s="118"/>
      <c r="IA324" s="118"/>
      <c r="IB324" s="118"/>
      <c r="IC324" s="118"/>
      <c r="ID324" s="118"/>
      <c r="IE324" s="118"/>
      <c r="IF324" s="118"/>
      <c r="IG324" s="118"/>
      <c r="IH324" s="118"/>
      <c r="II324" s="118"/>
      <c r="IJ324" s="118"/>
      <c r="IK324" s="118"/>
      <c r="IL324" s="118"/>
      <c r="IM324" s="118"/>
      <c r="IN324" s="118"/>
      <c r="IO324" s="118"/>
      <c r="IP324" s="118"/>
      <c r="IQ324" s="118"/>
      <c r="IR324" s="118"/>
      <c r="IS324" s="118"/>
      <c r="IT324" s="118"/>
      <c r="IU324" s="118"/>
      <c r="IV324" s="118"/>
      <c r="IW324" s="118"/>
      <c r="IX324" s="118"/>
      <c r="IY324" s="118"/>
      <c r="IZ324" s="118"/>
      <c r="JA324" s="118"/>
      <c r="JB324" s="118"/>
      <c r="JC324" s="118"/>
      <c r="JD324" s="118"/>
      <c r="JE324" s="118"/>
      <c r="JF324" s="118"/>
      <c r="JG324" s="118"/>
      <c r="JH324" s="118"/>
      <c r="JI324" s="118"/>
      <c r="JJ324" s="118"/>
      <c r="JK324" s="118"/>
      <c r="JL324" s="118"/>
      <c r="JM324" s="118"/>
      <c r="JN324" s="118"/>
      <c r="JO324" s="118"/>
      <c r="JP324" s="118"/>
      <c r="JQ324" s="118"/>
      <c r="JR324" s="118"/>
      <c r="JS324" s="118"/>
      <c r="JT324" s="118"/>
      <c r="JU324" s="118"/>
      <c r="JV324" s="118"/>
      <c r="JW324" s="118"/>
      <c r="JX324" s="118"/>
      <c r="JY324" s="118"/>
      <c r="JZ324" s="118"/>
      <c r="KA324" s="118"/>
      <c r="KB324" s="118"/>
      <c r="KC324" s="118"/>
      <c r="KD324" s="118"/>
      <c r="KE324" s="118"/>
      <c r="KF324" s="118"/>
      <c r="KG324" s="118"/>
      <c r="KH324" s="118"/>
      <c r="KI324" s="118"/>
      <c r="KJ324" s="118"/>
      <c r="KK324" s="118"/>
      <c r="KL324" s="118"/>
      <c r="KM324" s="118"/>
      <c r="KN324" s="118"/>
      <c r="KO324" s="118"/>
      <c r="KP324" s="118"/>
      <c r="KQ324" s="118"/>
      <c r="KR324" s="118"/>
      <c r="KS324" s="118"/>
      <c r="KT324" s="118"/>
      <c r="KU324" s="118"/>
      <c r="KV324" s="118"/>
      <c r="KW324" s="118"/>
      <c r="KX324" s="118"/>
      <c r="KY324" s="118"/>
      <c r="KZ324" s="118"/>
      <c r="LA324" s="118"/>
      <c r="LB324" s="118"/>
      <c r="LC324" s="118"/>
      <c r="LD324" s="118"/>
      <c r="LE324" s="118"/>
      <c r="LF324" s="118"/>
      <c r="LG324" s="118"/>
      <c r="LH324" s="118"/>
      <c r="LI324" s="118"/>
      <c r="LJ324" s="118"/>
      <c r="LK324" s="118"/>
      <c r="LL324" s="118"/>
      <c r="LM324" s="118"/>
      <c r="LN324" s="118"/>
      <c r="LO324" s="118"/>
      <c r="LP324" s="118"/>
      <c r="LQ324" s="118"/>
      <c r="LR324" s="118"/>
      <c r="LS324" s="118"/>
      <c r="LT324" s="118"/>
      <c r="LU324" s="118"/>
      <c r="LV324" s="118"/>
      <c r="LW324" s="118"/>
      <c r="LX324" s="118"/>
      <c r="LY324" s="118"/>
      <c r="LZ324" s="118"/>
      <c r="MA324" s="118"/>
      <c r="MB324" s="118"/>
      <c r="MC324" s="118"/>
      <c r="MD324" s="118"/>
      <c r="ME324" s="118"/>
      <c r="MF324" s="118"/>
      <c r="MG324" s="118"/>
      <c r="MH324" s="118"/>
      <c r="MI324" s="118"/>
      <c r="MJ324" s="118"/>
      <c r="MK324" s="118"/>
      <c r="ML324" s="118"/>
      <c r="MM324" s="118"/>
      <c r="MN324" s="118"/>
      <c r="MO324" s="118"/>
      <c r="MP324" s="118"/>
      <c r="MQ324" s="118"/>
      <c r="MR324" s="118"/>
      <c r="MS324" s="118"/>
      <c r="MT324" s="118"/>
      <c r="MU324" s="118"/>
      <c r="MV324" s="118"/>
      <c r="MW324" s="118"/>
      <c r="MX324" s="118"/>
      <c r="MY324" s="118"/>
      <c r="MZ324" s="118"/>
      <c r="NA324" s="118"/>
      <c r="NB324" s="118"/>
      <c r="NC324" s="118"/>
      <c r="ND324" s="118"/>
      <c r="NE324" s="118"/>
      <c r="NF324" s="118"/>
      <c r="NG324" s="118"/>
      <c r="NH324" s="118"/>
      <c r="NI324" s="118"/>
      <c r="NJ324" s="118"/>
      <c r="NK324" s="118"/>
      <c r="NL324" s="118"/>
      <c r="NM324" s="118"/>
      <c r="NN324" s="118"/>
      <c r="NO324" s="118"/>
      <c r="NP324" s="118"/>
      <c r="NQ324" s="118"/>
      <c r="NR324" s="118"/>
      <c r="NS324" s="118"/>
      <c r="NT324" s="118"/>
      <c r="NU324" s="118"/>
      <c r="NV324" s="118"/>
      <c r="NW324" s="118"/>
      <c r="NX324" s="118"/>
      <c r="NY324" s="118"/>
      <c r="NZ324" s="118"/>
      <c r="OA324" s="118"/>
      <c r="OB324" s="118"/>
      <c r="OC324" s="118"/>
      <c r="OD324" s="118"/>
      <c r="OE324" s="118"/>
      <c r="OF324" s="118"/>
      <c r="OG324" s="118"/>
      <c r="OH324" s="118"/>
      <c r="OI324" s="118"/>
      <c r="OJ324" s="118"/>
      <c r="OK324" s="118"/>
      <c r="OL324" s="118"/>
      <c r="OM324" s="118"/>
      <c r="ON324" s="118"/>
      <c r="OO324" s="118"/>
      <c r="OP324" s="118"/>
      <c r="OQ324" s="118"/>
      <c r="OR324" s="118"/>
      <c r="OS324" s="118"/>
      <c r="OT324" s="118"/>
      <c r="OU324" s="118"/>
      <c r="OV324" s="118"/>
      <c r="OW324" s="118"/>
      <c r="OX324" s="118"/>
      <c r="OY324" s="118"/>
      <c r="OZ324" s="118"/>
      <c r="PA324" s="118"/>
      <c r="PB324" s="118"/>
      <c r="PC324" s="118"/>
      <c r="PD324" s="118"/>
      <c r="PE324" s="118"/>
      <c r="PF324" s="118"/>
      <c r="PG324" s="118"/>
      <c r="PH324" s="118"/>
      <c r="PI324" s="118"/>
      <c r="PJ324" s="118"/>
      <c r="PK324" s="118"/>
      <c r="PL324" s="118"/>
      <c r="PM324" s="118"/>
      <c r="PN324" s="118"/>
      <c r="PO324" s="118"/>
      <c r="PP324" s="118"/>
      <c r="PQ324" s="118"/>
      <c r="PR324" s="118"/>
      <c r="PS324" s="118"/>
      <c r="PT324" s="118"/>
      <c r="PU324" s="118"/>
      <c r="PV324" s="118"/>
      <c r="PW324" s="118"/>
      <c r="PX324" s="118"/>
      <c r="PY324" s="118"/>
      <c r="PZ324" s="118"/>
      <c r="QA324" s="118"/>
      <c r="QB324" s="118"/>
      <c r="QC324" s="118"/>
      <c r="QD324" s="118"/>
      <c r="QE324" s="118"/>
      <c r="QF324" s="118"/>
      <c r="QG324" s="118"/>
      <c r="QH324" s="118"/>
      <c r="QI324" s="118"/>
      <c r="QJ324" s="118"/>
      <c r="QK324" s="118"/>
      <c r="QL324" s="118"/>
      <c r="QM324" s="118"/>
      <c r="QN324" s="118"/>
      <c r="QO324" s="118"/>
      <c r="QP324" s="118"/>
      <c r="QQ324" s="118"/>
      <c r="QR324" s="118"/>
      <c r="QS324" s="118"/>
      <c r="QT324" s="118"/>
      <c r="QU324" s="118"/>
      <c r="QV324" s="118"/>
      <c r="QW324" s="118"/>
      <c r="QX324" s="118"/>
      <c r="QY324" s="118"/>
      <c r="QZ324" s="118"/>
      <c r="RA324" s="118"/>
      <c r="RB324" s="118"/>
      <c r="RC324" s="118"/>
      <c r="RD324" s="118"/>
      <c r="RE324" s="118"/>
      <c r="RF324" s="118"/>
      <c r="RG324" s="118"/>
      <c r="RH324" s="118"/>
      <c r="RI324" s="118"/>
      <c r="RJ324" s="118"/>
      <c r="RK324" s="118"/>
      <c r="RL324" s="118"/>
      <c r="RM324" s="118"/>
      <c r="RN324" s="118"/>
      <c r="RO324" s="118"/>
      <c r="RP324" s="118"/>
      <c r="RQ324" s="118"/>
      <c r="RR324" s="118"/>
      <c r="RS324" s="118"/>
      <c r="RT324" s="118"/>
      <c r="RU324" s="118"/>
      <c r="RV324" s="118"/>
      <c r="RW324" s="118"/>
      <c r="RX324" s="118"/>
      <c r="RY324" s="118"/>
      <c r="RZ324" s="118"/>
      <c r="SA324" s="118"/>
      <c r="SB324" s="118"/>
      <c r="SC324" s="118"/>
      <c r="SD324" s="118"/>
      <c r="SE324" s="118"/>
      <c r="SF324" s="118"/>
      <c r="SG324" s="118"/>
      <c r="SH324" s="118"/>
      <c r="SI324" s="118"/>
      <c r="SJ324" s="118"/>
      <c r="SK324" s="118"/>
      <c r="SL324" s="118"/>
      <c r="SM324" s="118"/>
      <c r="SN324" s="118"/>
      <c r="SO324" s="118"/>
      <c r="SP324" s="118"/>
      <c r="SQ324" s="118"/>
      <c r="SR324" s="118"/>
      <c r="SS324" s="118"/>
      <c r="ST324" s="118"/>
      <c r="SU324" s="118"/>
      <c r="SV324" s="118"/>
      <c r="SW324" s="118"/>
      <c r="SX324" s="118"/>
      <c r="SY324" s="118"/>
      <c r="SZ324" s="118"/>
      <c r="TA324" s="118"/>
      <c r="TB324" s="118"/>
      <c r="TC324" s="118"/>
      <c r="TD324" s="118"/>
      <c r="TE324" s="118"/>
      <c r="TF324" s="118"/>
      <c r="TG324" s="118"/>
      <c r="TH324" s="118"/>
      <c r="TI324" s="118"/>
      <c r="TJ324" s="118"/>
      <c r="TK324" s="118"/>
      <c r="TL324" s="118"/>
      <c r="TM324" s="118"/>
      <c r="TN324" s="118"/>
      <c r="TO324" s="118"/>
      <c r="TP324" s="118"/>
      <c r="TQ324" s="118"/>
      <c r="TR324" s="118"/>
      <c r="TS324" s="118"/>
      <c r="TT324" s="118"/>
      <c r="TU324" s="118"/>
      <c r="TV324" s="118"/>
      <c r="TW324" s="118"/>
      <c r="TX324" s="118"/>
      <c r="TY324" s="118"/>
      <c r="TZ324" s="118"/>
      <c r="UA324" s="118"/>
      <c r="UB324" s="118"/>
      <c r="UC324" s="118"/>
      <c r="UD324" s="118"/>
      <c r="UE324" s="118"/>
      <c r="UF324" s="118"/>
      <c r="UG324" s="115"/>
    </row>
    <row r="325" spans="1:553" ht="41.25" customHeight="1">
      <c r="A325" s="356" t="s">
        <v>30</v>
      </c>
      <c r="B325" s="385" t="s">
        <v>31</v>
      </c>
      <c r="C325" s="1562" t="s">
        <v>91</v>
      </c>
      <c r="D325" s="1389"/>
      <c r="E325" s="1389"/>
      <c r="F325" s="1390"/>
      <c r="G325" s="386" t="s">
        <v>34</v>
      </c>
      <c r="H325" s="370"/>
      <c r="I325" s="422">
        <f>((0.1*0.1*3.14)-(0.15*0.15*3.14))*4.2*16</f>
        <v>-2.6375999999999999</v>
      </c>
      <c r="J325" s="368">
        <v>4000000</v>
      </c>
      <c r="K325" s="371"/>
      <c r="L325" s="391">
        <f t="shared" ref="L325:L326" si="68">I325*J325</f>
        <v>-10550400</v>
      </c>
      <c r="M325" s="391"/>
      <c r="N325" s="391"/>
      <c r="O325" s="391"/>
      <c r="P325" s="391"/>
      <c r="Q325" s="1142"/>
      <c r="R325" s="1226"/>
      <c r="S325" s="308"/>
      <c r="T325" s="303"/>
      <c r="U325" s="306"/>
      <c r="V325" s="307"/>
      <c r="W325" s="306"/>
      <c r="X325" s="306"/>
      <c r="Y325" s="306"/>
      <c r="Z325" s="306"/>
      <c r="AA325" s="306"/>
      <c r="AB325" s="306"/>
      <c r="AC325" s="449"/>
      <c r="AD325" s="449"/>
      <c r="AE325" s="449"/>
      <c r="AF325" s="449"/>
      <c r="AG325" s="449"/>
      <c r="AH325" s="449"/>
      <c r="AI325" s="449"/>
      <c r="AJ325" s="449"/>
      <c r="AK325" s="452"/>
      <c r="AL325" s="104"/>
      <c r="AM325" s="32"/>
      <c r="AN325" s="32"/>
      <c r="AO325" s="32"/>
      <c r="AP325" s="32"/>
      <c r="AQ325" s="32"/>
      <c r="AR325" s="32"/>
      <c r="AS325" s="31"/>
      <c r="AT325" s="31"/>
      <c r="AU325" s="31"/>
      <c r="AV325" s="31"/>
      <c r="AW325" s="31"/>
      <c r="AX325" s="31"/>
      <c r="AY325" s="31"/>
      <c r="AZ325" s="31"/>
      <c r="BA325" s="31"/>
      <c r="BB325" s="31"/>
      <c r="BC325" s="31"/>
      <c r="BD325" s="31"/>
      <c r="BE325" s="31"/>
      <c r="BF325" s="31"/>
      <c r="BG325" s="31"/>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c r="CF325" s="31"/>
      <c r="CG325" s="31"/>
      <c r="CH325" s="31"/>
      <c r="CI325" s="31"/>
      <c r="CJ325" s="31"/>
      <c r="CK325" s="31"/>
      <c r="CL325" s="31"/>
      <c r="CM325" s="31"/>
      <c r="CN325" s="31"/>
      <c r="CO325" s="31"/>
      <c r="CP325" s="31"/>
      <c r="CQ325" s="31"/>
      <c r="CR325" s="31"/>
      <c r="CS325" s="31"/>
      <c r="CT325" s="31"/>
      <c r="CU325" s="31"/>
      <c r="CV325" s="31"/>
      <c r="CW325" s="31"/>
      <c r="CX325" s="31"/>
      <c r="CY325" s="31"/>
      <c r="CZ325" s="31"/>
      <c r="DA325" s="31"/>
      <c r="DB325" s="31"/>
      <c r="DC325" s="31"/>
      <c r="DD325" s="31"/>
      <c r="DE325" s="31"/>
      <c r="DF325" s="31"/>
      <c r="DG325" s="31"/>
      <c r="DH325" s="31"/>
      <c r="DI325" s="31"/>
      <c r="DJ325" s="31"/>
      <c r="DK325" s="31"/>
      <c r="DL325" s="31"/>
      <c r="DM325" s="31"/>
      <c r="DN325" s="31"/>
      <c r="DO325" s="31"/>
      <c r="DP325" s="31"/>
      <c r="DQ325" s="31"/>
      <c r="DR325" s="31"/>
      <c r="DS325" s="31"/>
      <c r="DT325" s="31"/>
      <c r="DU325" s="31"/>
      <c r="DV325" s="31"/>
      <c r="DW325" s="31"/>
      <c r="DX325" s="31"/>
      <c r="DY325" s="31"/>
      <c r="DZ325" s="31"/>
      <c r="EA325" s="31"/>
      <c r="EB325" s="31"/>
      <c r="EC325" s="31"/>
      <c r="ED325" s="31"/>
      <c r="EE325" s="31"/>
      <c r="EF325" s="31"/>
      <c r="EG325" s="31"/>
      <c r="EH325" s="31"/>
      <c r="EI325" s="31"/>
      <c r="EJ325" s="31"/>
      <c r="EK325" s="31"/>
      <c r="EL325" s="31"/>
      <c r="EM325" s="31"/>
      <c r="EN325" s="31"/>
      <c r="EO325" s="31"/>
      <c r="EP325" s="31"/>
      <c r="EQ325" s="31"/>
      <c r="ER325" s="31"/>
      <c r="ES325" s="31"/>
      <c r="ET325" s="31"/>
      <c r="EU325" s="31"/>
      <c r="EV325" s="31"/>
      <c r="EW325" s="31"/>
      <c r="EX325" s="31"/>
      <c r="EY325" s="31"/>
      <c r="EZ325" s="31"/>
      <c r="FA325" s="31"/>
      <c r="FB325" s="31"/>
      <c r="FC325" s="31"/>
      <c r="FD325" s="31"/>
      <c r="FE325" s="31"/>
      <c r="FF325" s="31"/>
      <c r="FG325" s="31"/>
      <c r="FH325" s="31"/>
      <c r="FI325" s="31"/>
      <c r="FJ325" s="31"/>
      <c r="FK325" s="31"/>
      <c r="FL325" s="31"/>
      <c r="FM325" s="31"/>
      <c r="FN325" s="31"/>
      <c r="FO325" s="31"/>
      <c r="FP325" s="31"/>
      <c r="FQ325" s="31"/>
      <c r="FR325" s="31"/>
      <c r="FS325" s="31"/>
      <c r="FT325" s="31"/>
      <c r="FU325" s="31"/>
      <c r="FV325" s="31"/>
      <c r="FW325" s="31"/>
      <c r="FX325" s="31"/>
      <c r="FY325" s="31"/>
      <c r="FZ325" s="31"/>
      <c r="GA325" s="31"/>
      <c r="GB325" s="31"/>
      <c r="GC325" s="31"/>
      <c r="GD325" s="31"/>
      <c r="GE325" s="31"/>
      <c r="GF325" s="31"/>
      <c r="GG325" s="31"/>
      <c r="GH325" s="31"/>
      <c r="GI325" s="31"/>
      <c r="GJ325" s="31"/>
      <c r="GK325" s="31"/>
      <c r="GL325" s="31"/>
      <c r="GM325" s="31"/>
      <c r="GN325" s="31"/>
      <c r="GO325" s="31"/>
      <c r="GP325" s="31"/>
      <c r="GQ325" s="31"/>
      <c r="GR325" s="31"/>
      <c r="GS325" s="31"/>
      <c r="GT325" s="31"/>
      <c r="GU325" s="31"/>
      <c r="GV325" s="31"/>
      <c r="GW325" s="31"/>
      <c r="GX325" s="31"/>
      <c r="GY325" s="31"/>
      <c r="GZ325" s="31"/>
      <c r="HA325" s="31"/>
      <c r="HB325" s="31"/>
      <c r="HC325" s="31"/>
      <c r="HD325" s="31"/>
      <c r="HE325" s="31"/>
      <c r="HF325" s="31"/>
      <c r="HG325" s="31"/>
      <c r="HH325" s="31"/>
      <c r="HI325" s="31"/>
      <c r="HJ325" s="31"/>
      <c r="HK325" s="31"/>
      <c r="HL325" s="31"/>
      <c r="HM325" s="31"/>
      <c r="HN325" s="31"/>
      <c r="HO325" s="31"/>
      <c r="HP325" s="31"/>
      <c r="HQ325" s="31"/>
      <c r="HR325" s="31"/>
      <c r="HS325" s="31"/>
      <c r="HT325" s="31"/>
      <c r="HU325" s="31"/>
      <c r="HV325" s="31"/>
      <c r="HW325" s="31"/>
      <c r="HX325" s="31"/>
      <c r="HY325" s="31"/>
      <c r="HZ325" s="31"/>
      <c r="IA325" s="31"/>
      <c r="IB325" s="31"/>
      <c r="IC325" s="31"/>
      <c r="ID325" s="31"/>
      <c r="IE325" s="31"/>
      <c r="IF325" s="31"/>
      <c r="IG325" s="31"/>
      <c r="IH325" s="31"/>
      <c r="II325" s="31"/>
      <c r="IJ325" s="31"/>
      <c r="IK325" s="31"/>
      <c r="IL325" s="31"/>
      <c r="IM325" s="31"/>
      <c r="IN325" s="31"/>
      <c r="IO325" s="31"/>
      <c r="IP325" s="31"/>
      <c r="IQ325" s="31"/>
      <c r="IR325" s="31"/>
      <c r="IS325" s="31"/>
      <c r="IT325" s="31"/>
      <c r="IU325" s="31"/>
      <c r="IV325" s="31"/>
      <c r="IW325" s="31"/>
      <c r="IX325" s="31"/>
      <c r="IY325" s="31"/>
      <c r="IZ325" s="31"/>
      <c r="JA325" s="31"/>
      <c r="JB325" s="31"/>
      <c r="JC325" s="31"/>
      <c r="JD325" s="31"/>
      <c r="JE325" s="31"/>
      <c r="JF325" s="31"/>
      <c r="JG325" s="31"/>
      <c r="JH325" s="31"/>
      <c r="JI325" s="31"/>
      <c r="JJ325" s="31"/>
      <c r="JK325" s="31"/>
      <c r="JL325" s="31"/>
      <c r="JM325" s="31"/>
      <c r="JN325" s="31"/>
      <c r="JO325" s="31"/>
      <c r="JP325" s="31"/>
      <c r="JQ325" s="31"/>
      <c r="JR325" s="31"/>
      <c r="JS325" s="31"/>
      <c r="JT325" s="31"/>
      <c r="JU325" s="31"/>
      <c r="JV325" s="31"/>
      <c r="JW325" s="31"/>
      <c r="JX325" s="31"/>
      <c r="JY325" s="31"/>
      <c r="JZ325" s="31"/>
      <c r="KA325" s="31"/>
      <c r="KB325" s="31"/>
      <c r="KC325" s="31"/>
      <c r="KD325" s="31"/>
      <c r="KE325" s="31"/>
      <c r="KF325" s="31"/>
      <c r="KG325" s="31"/>
      <c r="KH325" s="31"/>
      <c r="KI325" s="31"/>
      <c r="KJ325" s="31"/>
      <c r="KK325" s="31"/>
      <c r="KL325" s="31"/>
      <c r="KM325" s="31"/>
      <c r="KN325" s="31"/>
      <c r="KO325" s="31"/>
      <c r="KP325" s="31"/>
      <c r="KQ325" s="31"/>
      <c r="KR325" s="31"/>
      <c r="KS325" s="31"/>
      <c r="KT325" s="31"/>
      <c r="KU325" s="31"/>
      <c r="KV325" s="31"/>
      <c r="KW325" s="31"/>
      <c r="KX325" s="31"/>
      <c r="KY325" s="31"/>
      <c r="KZ325" s="31"/>
      <c r="LA325" s="31"/>
      <c r="LB325" s="31"/>
      <c r="LC325" s="31"/>
      <c r="LD325" s="31"/>
      <c r="LE325" s="31"/>
      <c r="LF325" s="31"/>
      <c r="LG325" s="31"/>
      <c r="LH325" s="31"/>
      <c r="LI325" s="31"/>
      <c r="LJ325" s="31"/>
      <c r="LK325" s="31"/>
      <c r="LL325" s="31"/>
      <c r="LM325" s="31"/>
      <c r="LN325" s="31"/>
      <c r="LO325" s="31"/>
      <c r="LP325" s="31"/>
      <c r="LQ325" s="31"/>
      <c r="LR325" s="31"/>
      <c r="LS325" s="31"/>
      <c r="LT325" s="31"/>
      <c r="LU325" s="31"/>
      <c r="LV325" s="31"/>
      <c r="LW325" s="31"/>
      <c r="LX325" s="31"/>
      <c r="LY325" s="31"/>
      <c r="LZ325" s="31"/>
      <c r="MA325" s="31"/>
      <c r="MB325" s="31"/>
      <c r="MC325" s="31"/>
      <c r="MD325" s="31"/>
      <c r="ME325" s="31"/>
      <c r="MF325" s="31"/>
      <c r="MG325" s="31"/>
      <c r="MH325" s="31"/>
      <c r="MI325" s="31"/>
      <c r="MJ325" s="31"/>
      <c r="MK325" s="31"/>
      <c r="ML325" s="31"/>
      <c r="MM325" s="31"/>
      <c r="MN325" s="31"/>
      <c r="MO325" s="31"/>
      <c r="MP325" s="31"/>
      <c r="MQ325" s="31"/>
      <c r="MR325" s="31"/>
      <c r="MS325" s="31"/>
      <c r="MT325" s="31"/>
      <c r="MU325" s="31"/>
      <c r="MV325" s="31"/>
      <c r="MW325" s="31"/>
      <c r="MX325" s="31"/>
      <c r="MY325" s="31"/>
      <c r="MZ325" s="31"/>
      <c r="NA325" s="31"/>
      <c r="NB325" s="31"/>
      <c r="NC325" s="31"/>
      <c r="ND325" s="31"/>
      <c r="NE325" s="31"/>
      <c r="NF325" s="31"/>
      <c r="NG325" s="31"/>
      <c r="NH325" s="31"/>
      <c r="NI325" s="31"/>
      <c r="NJ325" s="31"/>
      <c r="NK325" s="31"/>
      <c r="NL325" s="31"/>
      <c r="NM325" s="31"/>
      <c r="NN325" s="31"/>
      <c r="NO325" s="31"/>
      <c r="NP325" s="31"/>
      <c r="NQ325" s="31"/>
      <c r="NR325" s="31"/>
      <c r="NS325" s="31"/>
      <c r="NT325" s="31"/>
      <c r="NU325" s="31"/>
      <c r="NV325" s="31"/>
      <c r="NW325" s="31"/>
      <c r="NX325" s="31"/>
      <c r="NY325" s="31"/>
      <c r="NZ325" s="31"/>
      <c r="OA325" s="31"/>
      <c r="OB325" s="31"/>
      <c r="OC325" s="31"/>
      <c r="OD325" s="31"/>
      <c r="OE325" s="31"/>
      <c r="OF325" s="31"/>
      <c r="OG325" s="31"/>
      <c r="OH325" s="31"/>
      <c r="OI325" s="31"/>
      <c r="OJ325" s="31"/>
      <c r="OK325" s="31"/>
      <c r="OL325" s="31"/>
      <c r="OM325" s="31"/>
      <c r="ON325" s="31"/>
      <c r="OO325" s="31"/>
      <c r="OP325" s="31"/>
      <c r="OQ325" s="31"/>
      <c r="OR325" s="31"/>
      <c r="OS325" s="31"/>
      <c r="OT325" s="31"/>
      <c r="OU325" s="31"/>
      <c r="OV325" s="31"/>
      <c r="OW325" s="31"/>
      <c r="OX325" s="31"/>
      <c r="OY325" s="31"/>
      <c r="OZ325" s="31"/>
      <c r="PA325" s="31"/>
      <c r="PB325" s="31"/>
      <c r="PC325" s="31"/>
      <c r="PD325" s="31"/>
      <c r="PE325" s="31"/>
      <c r="PF325" s="31"/>
      <c r="PG325" s="31"/>
      <c r="PH325" s="31"/>
      <c r="PI325" s="31"/>
      <c r="PJ325" s="31"/>
      <c r="PK325" s="31"/>
      <c r="PL325" s="31"/>
      <c r="PM325" s="31"/>
      <c r="PN325" s="31"/>
      <c r="PO325" s="31"/>
      <c r="PP325" s="31"/>
      <c r="PQ325" s="31"/>
      <c r="PR325" s="31"/>
      <c r="PS325" s="31"/>
      <c r="PT325" s="31"/>
      <c r="PU325" s="31"/>
      <c r="PV325" s="31"/>
      <c r="PW325" s="31"/>
      <c r="PX325" s="31"/>
      <c r="PY325" s="31"/>
      <c r="PZ325" s="31"/>
      <c r="QA325" s="31"/>
      <c r="QB325" s="31"/>
      <c r="QC325" s="31"/>
      <c r="QD325" s="31"/>
      <c r="QE325" s="31"/>
      <c r="QF325" s="31"/>
      <c r="QG325" s="31"/>
      <c r="QH325" s="31"/>
      <c r="QI325" s="31"/>
      <c r="QJ325" s="31"/>
      <c r="QK325" s="31"/>
      <c r="QL325" s="31"/>
      <c r="QM325" s="31"/>
      <c r="QN325" s="31"/>
      <c r="QO325" s="31"/>
      <c r="QP325" s="31"/>
      <c r="QQ325" s="31"/>
      <c r="QR325" s="31"/>
      <c r="QS325" s="31"/>
      <c r="QT325" s="31"/>
      <c r="QU325" s="31"/>
      <c r="QV325" s="31"/>
      <c r="QW325" s="31"/>
      <c r="QX325" s="31"/>
      <c r="QY325" s="31"/>
      <c r="QZ325" s="31"/>
      <c r="RA325" s="31"/>
      <c r="RB325" s="31"/>
      <c r="RC325" s="31"/>
      <c r="RD325" s="31"/>
      <c r="RE325" s="31"/>
      <c r="RF325" s="31"/>
      <c r="RG325" s="31"/>
      <c r="RH325" s="31"/>
      <c r="RI325" s="31"/>
      <c r="RJ325" s="31"/>
      <c r="RK325" s="31"/>
      <c r="RL325" s="31"/>
      <c r="RM325" s="31"/>
      <c r="RN325" s="31"/>
      <c r="RO325" s="31"/>
      <c r="RP325" s="31"/>
      <c r="RQ325" s="31"/>
      <c r="RR325" s="31"/>
      <c r="RS325" s="31"/>
      <c r="RT325" s="31"/>
      <c r="RU325" s="31"/>
      <c r="RV325" s="31"/>
      <c r="RW325" s="31"/>
      <c r="RX325" s="31"/>
      <c r="RY325" s="31"/>
      <c r="RZ325" s="31"/>
      <c r="SA325" s="31"/>
      <c r="SB325" s="31"/>
      <c r="SC325" s="31"/>
      <c r="SD325" s="31"/>
      <c r="SE325" s="31"/>
      <c r="SF325" s="31"/>
      <c r="SG325" s="31"/>
      <c r="SH325" s="31"/>
      <c r="SI325" s="31"/>
      <c r="SJ325" s="31"/>
      <c r="SK325" s="31"/>
      <c r="SL325" s="31"/>
      <c r="SM325" s="31"/>
      <c r="SN325" s="31"/>
      <c r="SO325" s="31"/>
      <c r="SP325" s="31"/>
      <c r="SQ325" s="31"/>
      <c r="SR325" s="31"/>
      <c r="SS325" s="31"/>
      <c r="ST325" s="31"/>
      <c r="SU325" s="31"/>
      <c r="SV325" s="31"/>
      <c r="SW325" s="31"/>
      <c r="SX325" s="31"/>
      <c r="SY325" s="31"/>
      <c r="SZ325" s="31"/>
      <c r="TA325" s="31"/>
      <c r="TB325" s="31"/>
      <c r="TC325" s="31"/>
      <c r="TD325" s="31"/>
      <c r="TE325" s="31"/>
      <c r="TF325" s="31"/>
      <c r="TG325" s="31"/>
      <c r="TH325" s="31"/>
      <c r="TI325" s="31"/>
      <c r="TJ325" s="31"/>
      <c r="TK325" s="31"/>
      <c r="TL325" s="31"/>
      <c r="TM325" s="31"/>
      <c r="TN325" s="31"/>
      <c r="TO325" s="31"/>
      <c r="TP325" s="31"/>
      <c r="TQ325" s="31"/>
      <c r="TR325" s="31"/>
      <c r="TS325" s="31"/>
      <c r="TT325" s="31"/>
      <c r="TU325" s="31"/>
      <c r="TV325" s="31"/>
      <c r="TW325" s="31"/>
      <c r="TX325" s="31"/>
      <c r="TY325" s="31"/>
      <c r="TZ325" s="31"/>
      <c r="UA325" s="31"/>
      <c r="UB325" s="31"/>
      <c r="UC325" s="31"/>
      <c r="UD325" s="31"/>
      <c r="UE325" s="31"/>
      <c r="UF325" s="31"/>
      <c r="UG325" s="33"/>
    </row>
    <row r="326" spans="1:553" ht="41.25" customHeight="1">
      <c r="A326" s="356" t="s">
        <v>30</v>
      </c>
      <c r="B326" s="385" t="s">
        <v>31</v>
      </c>
      <c r="C326" s="1562" t="s">
        <v>92</v>
      </c>
      <c r="D326" s="1389"/>
      <c r="E326" s="1389"/>
      <c r="F326" s="1390"/>
      <c r="G326" s="386" t="s">
        <v>34</v>
      </c>
      <c r="H326" s="370"/>
      <c r="I326" s="422">
        <f>((0.1*0.1*3.14)-(0.15*0.15*3.14))*5.2*6</f>
        <v>-1.2246000000000001</v>
      </c>
      <c r="J326" s="368">
        <v>4000000</v>
      </c>
      <c r="K326" s="371"/>
      <c r="L326" s="391">
        <f t="shared" si="68"/>
        <v>-4898400.0000000009</v>
      </c>
      <c r="M326" s="391"/>
      <c r="N326" s="391"/>
      <c r="O326" s="391"/>
      <c r="P326" s="391"/>
      <c r="Q326" s="1142"/>
      <c r="R326" s="1226"/>
      <c r="S326" s="308"/>
      <c r="T326" s="303"/>
      <c r="U326" s="306"/>
      <c r="V326" s="307"/>
      <c r="W326" s="306"/>
      <c r="X326" s="306"/>
      <c r="Y326" s="306"/>
      <c r="Z326" s="306"/>
      <c r="AA326" s="306"/>
      <c r="AB326" s="306"/>
      <c r="AC326" s="449"/>
      <c r="AD326" s="449"/>
      <c r="AE326" s="449"/>
      <c r="AF326" s="449"/>
      <c r="AG326" s="449"/>
      <c r="AH326" s="449"/>
      <c r="AI326" s="449"/>
      <c r="AJ326" s="449"/>
      <c r="AK326" s="452"/>
      <c r="AL326" s="104"/>
      <c r="AM326" s="32"/>
      <c r="AN326" s="32"/>
      <c r="AO326" s="32"/>
      <c r="AP326" s="32"/>
      <c r="AQ326" s="32"/>
      <c r="AR326" s="32"/>
      <c r="AS326" s="31"/>
      <c r="AT326" s="31"/>
      <c r="AU326" s="31"/>
      <c r="AV326" s="31"/>
      <c r="AW326" s="31"/>
      <c r="AX326" s="31"/>
      <c r="AY326" s="31"/>
      <c r="AZ326" s="31"/>
      <c r="BA326" s="31"/>
      <c r="BB326" s="31"/>
      <c r="BC326" s="31"/>
      <c r="BD326" s="31"/>
      <c r="BE326" s="31"/>
      <c r="BF326" s="31"/>
      <c r="BG326" s="31"/>
      <c r="BH326" s="31"/>
      <c r="BI326" s="31"/>
      <c r="BJ326" s="31"/>
      <c r="BK326" s="31"/>
      <c r="BL326" s="31"/>
      <c r="BM326" s="31"/>
      <c r="BN326" s="31"/>
      <c r="BO326" s="31"/>
      <c r="BP326" s="31"/>
      <c r="BQ326" s="31"/>
      <c r="BR326" s="31"/>
      <c r="BS326" s="31"/>
      <c r="BT326" s="31"/>
      <c r="BU326" s="31"/>
      <c r="BV326" s="31"/>
      <c r="BW326" s="31"/>
      <c r="BX326" s="31"/>
      <c r="BY326" s="31"/>
      <c r="BZ326" s="31"/>
      <c r="CA326" s="31"/>
      <c r="CB326" s="31"/>
      <c r="CC326" s="31"/>
      <c r="CD326" s="31"/>
      <c r="CE326" s="31"/>
      <c r="CF326" s="31"/>
      <c r="CG326" s="31"/>
      <c r="CH326" s="31"/>
      <c r="CI326" s="31"/>
      <c r="CJ326" s="31"/>
      <c r="CK326" s="31"/>
      <c r="CL326" s="31"/>
      <c r="CM326" s="31"/>
      <c r="CN326" s="31"/>
      <c r="CO326" s="31"/>
      <c r="CP326" s="31"/>
      <c r="CQ326" s="31"/>
      <c r="CR326" s="31"/>
      <c r="CS326" s="31"/>
      <c r="CT326" s="31"/>
      <c r="CU326" s="31"/>
      <c r="CV326" s="31"/>
      <c r="CW326" s="31"/>
      <c r="CX326" s="31"/>
      <c r="CY326" s="31"/>
      <c r="CZ326" s="31"/>
      <c r="DA326" s="31"/>
      <c r="DB326" s="31"/>
      <c r="DC326" s="31"/>
      <c r="DD326" s="31"/>
      <c r="DE326" s="31"/>
      <c r="DF326" s="31"/>
      <c r="DG326" s="31"/>
      <c r="DH326" s="31"/>
      <c r="DI326" s="31"/>
      <c r="DJ326" s="31"/>
      <c r="DK326" s="31"/>
      <c r="DL326" s="31"/>
      <c r="DM326" s="31"/>
      <c r="DN326" s="31"/>
      <c r="DO326" s="31"/>
      <c r="DP326" s="31"/>
      <c r="DQ326" s="31"/>
      <c r="DR326" s="31"/>
      <c r="DS326" s="31"/>
      <c r="DT326" s="31"/>
      <c r="DU326" s="31"/>
      <c r="DV326" s="31"/>
      <c r="DW326" s="31"/>
      <c r="DX326" s="31"/>
      <c r="DY326" s="31"/>
      <c r="DZ326" s="31"/>
      <c r="EA326" s="31"/>
      <c r="EB326" s="31"/>
      <c r="EC326" s="31"/>
      <c r="ED326" s="31"/>
      <c r="EE326" s="31"/>
      <c r="EF326" s="31"/>
      <c r="EG326" s="31"/>
      <c r="EH326" s="31"/>
      <c r="EI326" s="31"/>
      <c r="EJ326" s="31"/>
      <c r="EK326" s="31"/>
      <c r="EL326" s="31"/>
      <c r="EM326" s="31"/>
      <c r="EN326" s="31"/>
      <c r="EO326" s="31"/>
      <c r="EP326" s="31"/>
      <c r="EQ326" s="31"/>
      <c r="ER326" s="31"/>
      <c r="ES326" s="31"/>
      <c r="ET326" s="31"/>
      <c r="EU326" s="31"/>
      <c r="EV326" s="31"/>
      <c r="EW326" s="31"/>
      <c r="EX326" s="31"/>
      <c r="EY326" s="31"/>
      <c r="EZ326" s="31"/>
      <c r="FA326" s="31"/>
      <c r="FB326" s="31"/>
      <c r="FC326" s="31"/>
      <c r="FD326" s="31"/>
      <c r="FE326" s="31"/>
      <c r="FF326" s="31"/>
      <c r="FG326" s="31"/>
      <c r="FH326" s="31"/>
      <c r="FI326" s="31"/>
      <c r="FJ326" s="31"/>
      <c r="FK326" s="31"/>
      <c r="FL326" s="31"/>
      <c r="FM326" s="31"/>
      <c r="FN326" s="31"/>
      <c r="FO326" s="31"/>
      <c r="FP326" s="31"/>
      <c r="FQ326" s="31"/>
      <c r="FR326" s="31"/>
      <c r="FS326" s="31"/>
      <c r="FT326" s="31"/>
      <c r="FU326" s="31"/>
      <c r="FV326" s="31"/>
      <c r="FW326" s="31"/>
      <c r="FX326" s="31"/>
      <c r="FY326" s="31"/>
      <c r="FZ326" s="31"/>
      <c r="GA326" s="31"/>
      <c r="GB326" s="31"/>
      <c r="GC326" s="31"/>
      <c r="GD326" s="31"/>
      <c r="GE326" s="31"/>
      <c r="GF326" s="31"/>
      <c r="GG326" s="31"/>
      <c r="GH326" s="31"/>
      <c r="GI326" s="31"/>
      <c r="GJ326" s="31"/>
      <c r="GK326" s="31"/>
      <c r="GL326" s="31"/>
      <c r="GM326" s="31"/>
      <c r="GN326" s="31"/>
      <c r="GO326" s="31"/>
      <c r="GP326" s="31"/>
      <c r="GQ326" s="31"/>
      <c r="GR326" s="31"/>
      <c r="GS326" s="31"/>
      <c r="GT326" s="31"/>
      <c r="GU326" s="31"/>
      <c r="GV326" s="31"/>
      <c r="GW326" s="31"/>
      <c r="GX326" s="31"/>
      <c r="GY326" s="31"/>
      <c r="GZ326" s="31"/>
      <c r="HA326" s="31"/>
      <c r="HB326" s="31"/>
      <c r="HC326" s="31"/>
      <c r="HD326" s="31"/>
      <c r="HE326" s="31"/>
      <c r="HF326" s="31"/>
      <c r="HG326" s="31"/>
      <c r="HH326" s="31"/>
      <c r="HI326" s="31"/>
      <c r="HJ326" s="31"/>
      <c r="HK326" s="31"/>
      <c r="HL326" s="31"/>
      <c r="HM326" s="31"/>
      <c r="HN326" s="31"/>
      <c r="HO326" s="31"/>
      <c r="HP326" s="31"/>
      <c r="HQ326" s="31"/>
      <c r="HR326" s="31"/>
      <c r="HS326" s="31"/>
      <c r="HT326" s="31"/>
      <c r="HU326" s="31"/>
      <c r="HV326" s="31"/>
      <c r="HW326" s="31"/>
      <c r="HX326" s="31"/>
      <c r="HY326" s="31"/>
      <c r="HZ326" s="31"/>
      <c r="IA326" s="31"/>
      <c r="IB326" s="31"/>
      <c r="IC326" s="31"/>
      <c r="ID326" s="31"/>
      <c r="IE326" s="31"/>
      <c r="IF326" s="31"/>
      <c r="IG326" s="31"/>
      <c r="IH326" s="31"/>
      <c r="II326" s="31"/>
      <c r="IJ326" s="31"/>
      <c r="IK326" s="31"/>
      <c r="IL326" s="31"/>
      <c r="IM326" s="31"/>
      <c r="IN326" s="31"/>
      <c r="IO326" s="31"/>
      <c r="IP326" s="31"/>
      <c r="IQ326" s="31"/>
      <c r="IR326" s="31"/>
      <c r="IS326" s="31"/>
      <c r="IT326" s="31"/>
      <c r="IU326" s="31"/>
      <c r="IV326" s="31"/>
      <c r="IW326" s="31"/>
      <c r="IX326" s="31"/>
      <c r="IY326" s="31"/>
      <c r="IZ326" s="31"/>
      <c r="JA326" s="31"/>
      <c r="JB326" s="31"/>
      <c r="JC326" s="31"/>
      <c r="JD326" s="31"/>
      <c r="JE326" s="31"/>
      <c r="JF326" s="31"/>
      <c r="JG326" s="31"/>
      <c r="JH326" s="31"/>
      <c r="JI326" s="31"/>
      <c r="JJ326" s="31"/>
      <c r="JK326" s="31"/>
      <c r="JL326" s="31"/>
      <c r="JM326" s="31"/>
      <c r="JN326" s="31"/>
      <c r="JO326" s="31"/>
      <c r="JP326" s="31"/>
      <c r="JQ326" s="31"/>
      <c r="JR326" s="31"/>
      <c r="JS326" s="31"/>
      <c r="JT326" s="31"/>
      <c r="JU326" s="31"/>
      <c r="JV326" s="31"/>
      <c r="JW326" s="31"/>
      <c r="JX326" s="31"/>
      <c r="JY326" s="31"/>
      <c r="JZ326" s="31"/>
      <c r="KA326" s="31"/>
      <c r="KB326" s="31"/>
      <c r="KC326" s="31"/>
      <c r="KD326" s="31"/>
      <c r="KE326" s="31"/>
      <c r="KF326" s="31"/>
      <c r="KG326" s="31"/>
      <c r="KH326" s="31"/>
      <c r="KI326" s="31"/>
      <c r="KJ326" s="31"/>
      <c r="KK326" s="31"/>
      <c r="KL326" s="31"/>
      <c r="KM326" s="31"/>
      <c r="KN326" s="31"/>
      <c r="KO326" s="31"/>
      <c r="KP326" s="31"/>
      <c r="KQ326" s="31"/>
      <c r="KR326" s="31"/>
      <c r="KS326" s="31"/>
      <c r="KT326" s="31"/>
      <c r="KU326" s="31"/>
      <c r="KV326" s="31"/>
      <c r="KW326" s="31"/>
      <c r="KX326" s="31"/>
      <c r="KY326" s="31"/>
      <c r="KZ326" s="31"/>
      <c r="LA326" s="31"/>
      <c r="LB326" s="31"/>
      <c r="LC326" s="31"/>
      <c r="LD326" s="31"/>
      <c r="LE326" s="31"/>
      <c r="LF326" s="31"/>
      <c r="LG326" s="31"/>
      <c r="LH326" s="31"/>
      <c r="LI326" s="31"/>
      <c r="LJ326" s="31"/>
      <c r="LK326" s="31"/>
      <c r="LL326" s="31"/>
      <c r="LM326" s="31"/>
      <c r="LN326" s="31"/>
      <c r="LO326" s="31"/>
      <c r="LP326" s="31"/>
      <c r="LQ326" s="31"/>
      <c r="LR326" s="31"/>
      <c r="LS326" s="31"/>
      <c r="LT326" s="31"/>
      <c r="LU326" s="31"/>
      <c r="LV326" s="31"/>
      <c r="LW326" s="31"/>
      <c r="LX326" s="31"/>
      <c r="LY326" s="31"/>
      <c r="LZ326" s="31"/>
      <c r="MA326" s="31"/>
      <c r="MB326" s="31"/>
      <c r="MC326" s="31"/>
      <c r="MD326" s="31"/>
      <c r="ME326" s="31"/>
      <c r="MF326" s="31"/>
      <c r="MG326" s="31"/>
      <c r="MH326" s="31"/>
      <c r="MI326" s="31"/>
      <c r="MJ326" s="31"/>
      <c r="MK326" s="31"/>
      <c r="ML326" s="31"/>
      <c r="MM326" s="31"/>
      <c r="MN326" s="31"/>
      <c r="MO326" s="31"/>
      <c r="MP326" s="31"/>
      <c r="MQ326" s="31"/>
      <c r="MR326" s="31"/>
      <c r="MS326" s="31"/>
      <c r="MT326" s="31"/>
      <c r="MU326" s="31"/>
      <c r="MV326" s="31"/>
      <c r="MW326" s="31"/>
      <c r="MX326" s="31"/>
      <c r="MY326" s="31"/>
      <c r="MZ326" s="31"/>
      <c r="NA326" s="31"/>
      <c r="NB326" s="31"/>
      <c r="NC326" s="31"/>
      <c r="ND326" s="31"/>
      <c r="NE326" s="31"/>
      <c r="NF326" s="31"/>
      <c r="NG326" s="31"/>
      <c r="NH326" s="31"/>
      <c r="NI326" s="31"/>
      <c r="NJ326" s="31"/>
      <c r="NK326" s="31"/>
      <c r="NL326" s="31"/>
      <c r="NM326" s="31"/>
      <c r="NN326" s="31"/>
      <c r="NO326" s="31"/>
      <c r="NP326" s="31"/>
      <c r="NQ326" s="31"/>
      <c r="NR326" s="31"/>
      <c r="NS326" s="31"/>
      <c r="NT326" s="31"/>
      <c r="NU326" s="31"/>
      <c r="NV326" s="31"/>
      <c r="NW326" s="31"/>
      <c r="NX326" s="31"/>
      <c r="NY326" s="31"/>
      <c r="NZ326" s="31"/>
      <c r="OA326" s="31"/>
      <c r="OB326" s="31"/>
      <c r="OC326" s="31"/>
      <c r="OD326" s="31"/>
      <c r="OE326" s="31"/>
      <c r="OF326" s="31"/>
      <c r="OG326" s="31"/>
      <c r="OH326" s="31"/>
      <c r="OI326" s="31"/>
      <c r="OJ326" s="31"/>
      <c r="OK326" s="31"/>
      <c r="OL326" s="31"/>
      <c r="OM326" s="31"/>
      <c r="ON326" s="31"/>
      <c r="OO326" s="31"/>
      <c r="OP326" s="31"/>
      <c r="OQ326" s="31"/>
      <c r="OR326" s="31"/>
      <c r="OS326" s="31"/>
      <c r="OT326" s="31"/>
      <c r="OU326" s="31"/>
      <c r="OV326" s="31"/>
      <c r="OW326" s="31"/>
      <c r="OX326" s="31"/>
      <c r="OY326" s="31"/>
      <c r="OZ326" s="31"/>
      <c r="PA326" s="31"/>
      <c r="PB326" s="31"/>
      <c r="PC326" s="31"/>
      <c r="PD326" s="31"/>
      <c r="PE326" s="31"/>
      <c r="PF326" s="31"/>
      <c r="PG326" s="31"/>
      <c r="PH326" s="31"/>
      <c r="PI326" s="31"/>
      <c r="PJ326" s="31"/>
      <c r="PK326" s="31"/>
      <c r="PL326" s="31"/>
      <c r="PM326" s="31"/>
      <c r="PN326" s="31"/>
      <c r="PO326" s="31"/>
      <c r="PP326" s="31"/>
      <c r="PQ326" s="31"/>
      <c r="PR326" s="31"/>
      <c r="PS326" s="31"/>
      <c r="PT326" s="31"/>
      <c r="PU326" s="31"/>
      <c r="PV326" s="31"/>
      <c r="PW326" s="31"/>
      <c r="PX326" s="31"/>
      <c r="PY326" s="31"/>
      <c r="PZ326" s="31"/>
      <c r="QA326" s="31"/>
      <c r="QB326" s="31"/>
      <c r="QC326" s="31"/>
      <c r="QD326" s="31"/>
      <c r="QE326" s="31"/>
      <c r="QF326" s="31"/>
      <c r="QG326" s="31"/>
      <c r="QH326" s="31"/>
      <c r="QI326" s="31"/>
      <c r="QJ326" s="31"/>
      <c r="QK326" s="31"/>
      <c r="QL326" s="31"/>
      <c r="QM326" s="31"/>
      <c r="QN326" s="31"/>
      <c r="QO326" s="31"/>
      <c r="QP326" s="31"/>
      <c r="QQ326" s="31"/>
      <c r="QR326" s="31"/>
      <c r="QS326" s="31"/>
      <c r="QT326" s="31"/>
      <c r="QU326" s="31"/>
      <c r="QV326" s="31"/>
      <c r="QW326" s="31"/>
      <c r="QX326" s="31"/>
      <c r="QY326" s="31"/>
      <c r="QZ326" s="31"/>
      <c r="RA326" s="31"/>
      <c r="RB326" s="31"/>
      <c r="RC326" s="31"/>
      <c r="RD326" s="31"/>
      <c r="RE326" s="31"/>
      <c r="RF326" s="31"/>
      <c r="RG326" s="31"/>
      <c r="RH326" s="31"/>
      <c r="RI326" s="31"/>
      <c r="RJ326" s="31"/>
      <c r="RK326" s="31"/>
      <c r="RL326" s="31"/>
      <c r="RM326" s="31"/>
      <c r="RN326" s="31"/>
      <c r="RO326" s="31"/>
      <c r="RP326" s="31"/>
      <c r="RQ326" s="31"/>
      <c r="RR326" s="31"/>
      <c r="RS326" s="31"/>
      <c r="RT326" s="31"/>
      <c r="RU326" s="31"/>
      <c r="RV326" s="31"/>
      <c r="RW326" s="31"/>
      <c r="RX326" s="31"/>
      <c r="RY326" s="31"/>
      <c r="RZ326" s="31"/>
      <c r="SA326" s="31"/>
      <c r="SB326" s="31"/>
      <c r="SC326" s="31"/>
      <c r="SD326" s="31"/>
      <c r="SE326" s="31"/>
      <c r="SF326" s="31"/>
      <c r="SG326" s="31"/>
      <c r="SH326" s="31"/>
      <c r="SI326" s="31"/>
      <c r="SJ326" s="31"/>
      <c r="SK326" s="31"/>
      <c r="SL326" s="31"/>
      <c r="SM326" s="31"/>
      <c r="SN326" s="31"/>
      <c r="SO326" s="31"/>
      <c r="SP326" s="31"/>
      <c r="SQ326" s="31"/>
      <c r="SR326" s="31"/>
      <c r="SS326" s="31"/>
      <c r="ST326" s="31"/>
      <c r="SU326" s="31"/>
      <c r="SV326" s="31"/>
      <c r="SW326" s="31"/>
      <c r="SX326" s="31"/>
      <c r="SY326" s="31"/>
      <c r="SZ326" s="31"/>
      <c r="TA326" s="31"/>
      <c r="TB326" s="31"/>
      <c r="TC326" s="31"/>
      <c r="TD326" s="31"/>
      <c r="TE326" s="31"/>
      <c r="TF326" s="31"/>
      <c r="TG326" s="31"/>
      <c r="TH326" s="31"/>
      <c r="TI326" s="31"/>
      <c r="TJ326" s="31"/>
      <c r="TK326" s="31"/>
      <c r="TL326" s="31"/>
      <c r="TM326" s="31"/>
      <c r="TN326" s="31"/>
      <c r="TO326" s="31"/>
      <c r="TP326" s="31"/>
      <c r="TQ326" s="31"/>
      <c r="TR326" s="31"/>
      <c r="TS326" s="31"/>
      <c r="TT326" s="31"/>
      <c r="TU326" s="31"/>
      <c r="TV326" s="31"/>
      <c r="TW326" s="31"/>
      <c r="TX326" s="31"/>
      <c r="TY326" s="31"/>
      <c r="TZ326" s="31"/>
      <c r="UA326" s="31"/>
      <c r="UB326" s="31"/>
      <c r="UC326" s="31"/>
      <c r="UD326" s="31"/>
      <c r="UE326" s="31"/>
      <c r="UF326" s="31"/>
      <c r="UG326" s="33"/>
    </row>
    <row r="327" spans="1:553" ht="41.25" customHeight="1">
      <c r="A327" s="356" t="s">
        <v>15</v>
      </c>
      <c r="B327" s="398" t="s">
        <v>31</v>
      </c>
      <c r="C327" s="1562" t="s">
        <v>285</v>
      </c>
      <c r="D327" s="1389"/>
      <c r="E327" s="1389"/>
      <c r="F327" s="1390"/>
      <c r="G327" s="386" t="s">
        <v>34</v>
      </c>
      <c r="H327" s="370"/>
      <c r="I327" s="834">
        <f>0.4*0.4*1.7*2</f>
        <v>0.54400000000000004</v>
      </c>
      <c r="J327" s="368">
        <v>1913917</v>
      </c>
      <c r="K327" s="371"/>
      <c r="L327" s="391">
        <f>ROUND(PRODUCT(I327:K327),0)</f>
        <v>1041171</v>
      </c>
      <c r="M327" s="395"/>
      <c r="N327" s="395"/>
      <c r="O327" s="366"/>
      <c r="P327" s="396"/>
      <c r="Q327" s="473"/>
      <c r="R327" s="1039"/>
      <c r="S327" s="308"/>
      <c r="T327" s="303"/>
      <c r="U327" s="306"/>
      <c r="V327" s="307"/>
      <c r="W327" s="306"/>
      <c r="X327" s="306"/>
      <c r="Y327" s="306"/>
      <c r="Z327" s="306"/>
      <c r="AA327" s="306"/>
      <c r="AB327" s="306"/>
      <c r="AC327" s="449"/>
      <c r="AD327" s="449"/>
      <c r="AE327" s="449"/>
      <c r="AF327" s="449"/>
      <c r="AG327" s="452"/>
      <c r="AH327" s="452"/>
      <c r="AI327" s="452"/>
      <c r="AJ327" s="452"/>
      <c r="AK327" s="452"/>
      <c r="AL327" s="104"/>
      <c r="AM327" s="32"/>
      <c r="AN327" s="32"/>
      <c r="AO327" s="32"/>
      <c r="AP327" s="32"/>
      <c r="AQ327" s="31"/>
      <c r="AR327" s="31"/>
      <c r="AS327" s="31"/>
      <c r="AT327" s="31"/>
      <c r="AU327" s="31"/>
      <c r="AV327" s="31"/>
      <c r="AW327" s="31"/>
      <c r="AX327" s="31"/>
      <c r="AY327" s="31"/>
      <c r="AZ327" s="31"/>
      <c r="BA327" s="31"/>
      <c r="BB327" s="31"/>
      <c r="BC327" s="31"/>
      <c r="BD327" s="31"/>
      <c r="BE327" s="31"/>
      <c r="BF327" s="31"/>
      <c r="BG327" s="31"/>
      <c r="BH327" s="31"/>
      <c r="BI327" s="31"/>
      <c r="BJ327" s="31"/>
      <c r="BK327" s="31"/>
      <c r="BL327" s="31"/>
      <c r="BM327" s="25"/>
      <c r="BN327" s="25"/>
      <c r="BO327" s="25"/>
      <c r="BP327" s="25"/>
      <c r="BQ327" s="25"/>
      <c r="BR327" s="25"/>
      <c r="BS327" s="25"/>
      <c r="BT327" s="25"/>
      <c r="BU327" s="25"/>
      <c r="BV327" s="25"/>
      <c r="BW327" s="25"/>
      <c r="BX327" s="25"/>
      <c r="BY327" s="25"/>
      <c r="BZ327" s="25"/>
      <c r="CA327" s="25"/>
      <c r="CB327" s="25"/>
      <c r="CC327" s="25"/>
      <c r="CD327" s="25"/>
      <c r="CE327" s="25"/>
      <c r="CF327" s="25"/>
      <c r="CG327" s="25"/>
      <c r="CH327" s="25"/>
      <c r="CI327" s="25"/>
      <c r="CJ327" s="25"/>
      <c r="CK327" s="25"/>
      <c r="CL327" s="25"/>
      <c r="CM327" s="25"/>
      <c r="CN327" s="25"/>
      <c r="CO327" s="25"/>
      <c r="CP327" s="25"/>
      <c r="CQ327" s="25"/>
      <c r="CR327" s="25"/>
      <c r="CS327" s="25"/>
      <c r="CT327" s="25"/>
      <c r="CU327" s="25"/>
      <c r="CV327" s="25"/>
      <c r="CW327" s="25"/>
      <c r="CX327" s="25"/>
      <c r="CY327" s="25"/>
      <c r="CZ327" s="25"/>
      <c r="DA327" s="25"/>
      <c r="DB327" s="25"/>
      <c r="DC327" s="25"/>
      <c r="DD327" s="25"/>
      <c r="DE327" s="25"/>
      <c r="DF327" s="25"/>
      <c r="DG327" s="25"/>
      <c r="DH327" s="25"/>
      <c r="DI327" s="25"/>
      <c r="DJ327" s="25"/>
      <c r="DK327" s="25"/>
      <c r="DL327" s="25"/>
      <c r="DM327" s="25"/>
      <c r="DN327" s="25"/>
      <c r="DO327" s="25"/>
      <c r="DP327" s="25"/>
      <c r="DQ327" s="25"/>
      <c r="DR327" s="25"/>
      <c r="DS327" s="25"/>
      <c r="DT327" s="25"/>
      <c r="DU327" s="25"/>
      <c r="DV327" s="25"/>
      <c r="DW327" s="25"/>
      <c r="DX327" s="25"/>
      <c r="DY327" s="25"/>
      <c r="DZ327" s="25"/>
      <c r="EA327" s="25"/>
      <c r="EB327" s="25"/>
      <c r="EC327" s="25"/>
      <c r="ED327" s="25"/>
      <c r="EE327" s="25"/>
      <c r="EF327" s="25"/>
      <c r="EG327" s="25"/>
      <c r="EH327" s="25"/>
      <c r="EI327" s="25"/>
      <c r="EJ327" s="25"/>
      <c r="EK327" s="25"/>
      <c r="EL327" s="25"/>
      <c r="EM327" s="25"/>
      <c r="EN327" s="25"/>
      <c r="EO327" s="25"/>
      <c r="EP327" s="25"/>
      <c r="EQ327" s="25"/>
      <c r="ER327" s="25"/>
      <c r="ES327" s="25"/>
      <c r="ET327" s="25"/>
      <c r="EU327" s="25"/>
      <c r="EV327" s="25"/>
      <c r="EW327" s="25"/>
      <c r="EX327" s="25"/>
      <c r="EY327" s="25"/>
      <c r="EZ327" s="25"/>
      <c r="FA327" s="25"/>
      <c r="FB327" s="25"/>
      <c r="FC327" s="25"/>
      <c r="FD327" s="25"/>
      <c r="FE327" s="25"/>
      <c r="FF327" s="25"/>
      <c r="FG327" s="25"/>
      <c r="FH327" s="25"/>
      <c r="FI327" s="25"/>
      <c r="FJ327" s="25"/>
      <c r="FK327" s="25"/>
      <c r="FL327" s="25"/>
      <c r="FM327" s="25"/>
      <c r="FN327" s="25"/>
      <c r="FO327" s="25"/>
      <c r="FP327" s="25"/>
      <c r="FQ327" s="25"/>
      <c r="FR327" s="25"/>
      <c r="FS327" s="25"/>
      <c r="FT327" s="25"/>
      <c r="FU327" s="25"/>
      <c r="FV327" s="25"/>
      <c r="FW327" s="25"/>
      <c r="FX327" s="25"/>
      <c r="FY327" s="25"/>
      <c r="FZ327" s="25"/>
      <c r="GA327" s="25"/>
      <c r="GB327" s="25"/>
      <c r="GC327" s="25"/>
      <c r="GD327" s="25"/>
      <c r="GE327" s="25"/>
      <c r="GF327" s="25"/>
      <c r="GG327" s="25"/>
      <c r="GH327" s="25"/>
      <c r="GI327" s="25"/>
      <c r="GJ327" s="25"/>
      <c r="GK327" s="25"/>
      <c r="GL327" s="25"/>
      <c r="GM327" s="25"/>
      <c r="GN327" s="25"/>
      <c r="GO327" s="25"/>
      <c r="GP327" s="25"/>
      <c r="GQ327" s="25"/>
      <c r="GR327" s="25"/>
      <c r="GS327" s="25"/>
      <c r="GT327" s="25"/>
      <c r="GU327" s="25"/>
      <c r="GV327" s="25"/>
      <c r="GW327" s="25"/>
      <c r="GX327" s="25"/>
      <c r="GY327" s="25"/>
      <c r="GZ327" s="25"/>
      <c r="HA327" s="25"/>
      <c r="HB327" s="25"/>
      <c r="HC327" s="25"/>
      <c r="HD327" s="25"/>
      <c r="HE327" s="25"/>
      <c r="HF327" s="25"/>
      <c r="HG327" s="25"/>
      <c r="HH327" s="25"/>
      <c r="HI327" s="25"/>
      <c r="HJ327" s="25"/>
      <c r="HK327" s="25"/>
      <c r="HL327" s="25"/>
      <c r="HM327" s="25"/>
      <c r="HN327" s="25"/>
      <c r="HO327" s="25"/>
      <c r="HP327" s="25"/>
      <c r="HQ327" s="25"/>
      <c r="HR327" s="25"/>
      <c r="HS327" s="25"/>
      <c r="HT327" s="25"/>
      <c r="HU327" s="25"/>
      <c r="HV327" s="25"/>
      <c r="HW327" s="25"/>
      <c r="HX327" s="25"/>
      <c r="HY327" s="25"/>
      <c r="HZ327" s="25"/>
      <c r="IA327" s="25"/>
      <c r="IB327" s="25"/>
      <c r="IC327" s="25"/>
      <c r="ID327" s="25"/>
      <c r="IE327" s="25"/>
      <c r="IF327" s="25"/>
      <c r="IG327" s="25"/>
      <c r="IH327" s="25"/>
      <c r="II327" s="25"/>
      <c r="IJ327" s="25"/>
      <c r="IK327" s="25"/>
      <c r="IL327" s="25"/>
      <c r="IM327" s="25"/>
      <c r="IN327" s="25"/>
      <c r="IO327" s="25"/>
      <c r="IP327" s="25"/>
      <c r="IQ327" s="25"/>
      <c r="IR327" s="25"/>
      <c r="IS327" s="25"/>
      <c r="IT327" s="25"/>
      <c r="IU327" s="25"/>
      <c r="IV327" s="25"/>
      <c r="IW327" s="25"/>
      <c r="IX327" s="25"/>
      <c r="IY327" s="25"/>
      <c r="IZ327" s="25"/>
      <c r="JA327" s="25"/>
      <c r="JB327" s="25"/>
      <c r="JC327" s="25"/>
      <c r="JD327" s="25"/>
      <c r="JE327" s="25"/>
      <c r="JF327" s="25"/>
      <c r="JG327" s="25"/>
      <c r="JH327" s="25"/>
      <c r="JI327" s="25"/>
      <c r="JJ327" s="25"/>
      <c r="JK327" s="25"/>
      <c r="JL327" s="25"/>
      <c r="JM327" s="25"/>
      <c r="JN327" s="25"/>
      <c r="JO327" s="25"/>
      <c r="JP327" s="25"/>
      <c r="JQ327" s="25"/>
      <c r="JR327" s="25"/>
      <c r="JS327" s="25"/>
      <c r="JT327" s="25"/>
      <c r="JU327" s="25"/>
      <c r="JV327" s="25"/>
      <c r="JW327" s="25"/>
      <c r="JX327" s="25"/>
      <c r="JY327" s="25"/>
      <c r="JZ327" s="25"/>
      <c r="KA327" s="25"/>
      <c r="KB327" s="25"/>
      <c r="KC327" s="25"/>
      <c r="KD327" s="25"/>
      <c r="KE327" s="25"/>
      <c r="KF327" s="25"/>
      <c r="KG327" s="25"/>
      <c r="KH327" s="25"/>
      <c r="KI327" s="25"/>
      <c r="KJ327" s="25"/>
      <c r="KK327" s="25"/>
      <c r="KL327" s="25"/>
      <c r="KM327" s="25"/>
      <c r="KN327" s="25"/>
      <c r="KO327" s="25"/>
      <c r="KP327" s="25"/>
      <c r="KQ327" s="25"/>
      <c r="KR327" s="25"/>
      <c r="KS327" s="25"/>
      <c r="KT327" s="25"/>
      <c r="KU327" s="25"/>
      <c r="KV327" s="25"/>
      <c r="KW327" s="25"/>
      <c r="KX327" s="25"/>
      <c r="KY327" s="25"/>
      <c r="KZ327" s="25"/>
      <c r="LA327" s="25"/>
      <c r="LB327" s="25"/>
      <c r="LC327" s="25"/>
      <c r="LD327" s="25"/>
      <c r="LE327" s="25"/>
      <c r="LF327" s="25"/>
      <c r="LG327" s="25"/>
      <c r="LH327" s="25"/>
      <c r="LI327" s="25"/>
      <c r="LJ327" s="25"/>
      <c r="LK327" s="25"/>
      <c r="LL327" s="25"/>
      <c r="LM327" s="25"/>
      <c r="LN327" s="25"/>
      <c r="LO327" s="25"/>
      <c r="LP327" s="25"/>
      <c r="LQ327" s="25"/>
      <c r="LR327" s="25"/>
      <c r="LS327" s="25"/>
      <c r="LT327" s="25"/>
      <c r="LU327" s="25"/>
      <c r="LV327" s="25"/>
      <c r="LW327" s="25"/>
      <c r="LX327" s="25"/>
      <c r="LY327" s="25"/>
      <c r="LZ327" s="25"/>
      <c r="MA327" s="25"/>
      <c r="MB327" s="25"/>
      <c r="MC327" s="25"/>
      <c r="MD327" s="25"/>
      <c r="ME327" s="25"/>
      <c r="MF327" s="25"/>
      <c r="MG327" s="25"/>
      <c r="MH327" s="25"/>
      <c r="MI327" s="25"/>
      <c r="MJ327" s="25"/>
      <c r="MK327" s="25"/>
      <c r="ML327" s="25"/>
      <c r="MM327" s="25"/>
      <c r="MN327" s="25"/>
      <c r="MO327" s="25"/>
      <c r="MP327" s="25"/>
      <c r="MQ327" s="25"/>
      <c r="MR327" s="25"/>
      <c r="MS327" s="25"/>
      <c r="MT327" s="25"/>
      <c r="MU327" s="25"/>
      <c r="MV327" s="25"/>
      <c r="MW327" s="25"/>
      <c r="MX327" s="25"/>
      <c r="MY327" s="25"/>
      <c r="MZ327" s="25"/>
      <c r="NA327" s="25"/>
      <c r="NB327" s="25"/>
      <c r="NC327" s="25"/>
      <c r="ND327" s="25"/>
      <c r="NE327" s="25"/>
      <c r="NF327" s="25"/>
      <c r="NG327" s="25"/>
      <c r="NH327" s="25"/>
      <c r="NI327" s="25"/>
      <c r="NJ327" s="25"/>
      <c r="NK327" s="25"/>
      <c r="NL327" s="25"/>
      <c r="NM327" s="25"/>
      <c r="NN327" s="25"/>
      <c r="NO327" s="25"/>
      <c r="NP327" s="25"/>
      <c r="NQ327" s="25"/>
      <c r="NR327" s="25"/>
      <c r="NS327" s="25"/>
      <c r="NT327" s="25"/>
      <c r="NU327" s="25"/>
      <c r="NV327" s="25"/>
      <c r="NW327" s="25"/>
      <c r="NX327" s="25"/>
      <c r="NY327" s="25"/>
      <c r="NZ327" s="25"/>
      <c r="OA327" s="25"/>
      <c r="OB327" s="25"/>
      <c r="OC327" s="25"/>
      <c r="OD327" s="25"/>
      <c r="OE327" s="25"/>
      <c r="OF327" s="25"/>
      <c r="OG327" s="25"/>
      <c r="OH327" s="25"/>
      <c r="OI327" s="25"/>
      <c r="OJ327" s="25"/>
      <c r="OK327" s="25"/>
      <c r="OL327" s="25"/>
      <c r="OM327" s="25"/>
      <c r="ON327" s="25"/>
      <c r="OO327" s="25"/>
      <c r="OP327" s="25"/>
      <c r="OQ327" s="25"/>
      <c r="OR327" s="25"/>
      <c r="OS327" s="25"/>
      <c r="OT327" s="25"/>
      <c r="OU327" s="25"/>
      <c r="OV327" s="25"/>
      <c r="OW327" s="25"/>
      <c r="OX327" s="25"/>
      <c r="OY327" s="25"/>
      <c r="OZ327" s="25"/>
      <c r="PA327" s="25"/>
      <c r="PB327" s="25"/>
      <c r="PC327" s="25"/>
      <c r="PD327" s="25"/>
      <c r="PE327" s="25"/>
      <c r="PF327" s="25"/>
      <c r="PG327" s="25"/>
      <c r="PH327" s="25"/>
      <c r="PI327" s="25"/>
      <c r="PJ327" s="25"/>
      <c r="PK327" s="25"/>
      <c r="PL327" s="25"/>
      <c r="PM327" s="25"/>
      <c r="PN327" s="25"/>
      <c r="PO327" s="25"/>
      <c r="PP327" s="25"/>
      <c r="PQ327" s="25"/>
      <c r="PR327" s="25"/>
      <c r="PS327" s="25"/>
      <c r="PT327" s="25"/>
      <c r="PU327" s="25"/>
      <c r="PV327" s="25"/>
      <c r="PW327" s="25"/>
      <c r="PX327" s="25"/>
      <c r="PY327" s="25"/>
      <c r="PZ327" s="25"/>
      <c r="QA327" s="25"/>
      <c r="QB327" s="25"/>
      <c r="QC327" s="25"/>
      <c r="QD327" s="25"/>
      <c r="QE327" s="25"/>
      <c r="QF327" s="25"/>
      <c r="QG327" s="25"/>
      <c r="QH327" s="25"/>
      <c r="QI327" s="25"/>
      <c r="QJ327" s="25"/>
      <c r="QK327" s="25"/>
      <c r="QL327" s="25"/>
      <c r="QM327" s="25"/>
      <c r="QN327" s="25"/>
      <c r="QO327" s="25"/>
      <c r="QP327" s="25"/>
      <c r="QQ327" s="25"/>
      <c r="QR327" s="25"/>
      <c r="QS327" s="25"/>
      <c r="QT327" s="25"/>
      <c r="QU327" s="25"/>
      <c r="QV327" s="25"/>
      <c r="QW327" s="25"/>
      <c r="QX327" s="25"/>
      <c r="QY327" s="25"/>
      <c r="QZ327" s="25"/>
      <c r="RA327" s="25"/>
      <c r="RB327" s="25"/>
      <c r="RC327" s="25"/>
      <c r="RD327" s="25"/>
      <c r="RE327" s="25"/>
      <c r="RF327" s="25"/>
      <c r="RG327" s="25"/>
      <c r="RH327" s="25"/>
      <c r="RI327" s="25"/>
      <c r="RJ327" s="25"/>
      <c r="RK327" s="25"/>
      <c r="RL327" s="25"/>
      <c r="RM327" s="25"/>
      <c r="RN327" s="25"/>
      <c r="RO327" s="25"/>
      <c r="RP327" s="25"/>
      <c r="RQ327" s="25"/>
      <c r="RR327" s="25"/>
      <c r="RS327" s="25"/>
      <c r="RT327" s="25"/>
      <c r="RU327" s="25"/>
      <c r="RV327" s="25"/>
      <c r="RW327" s="25"/>
      <c r="RX327" s="25"/>
      <c r="RY327" s="25"/>
      <c r="RZ327" s="25"/>
      <c r="SA327" s="25"/>
      <c r="SB327" s="25"/>
      <c r="SC327" s="25"/>
      <c r="SD327" s="25"/>
      <c r="SE327" s="25"/>
      <c r="SF327" s="25"/>
      <c r="SG327" s="25"/>
      <c r="SH327" s="25"/>
      <c r="SI327" s="25"/>
      <c r="SJ327" s="25"/>
      <c r="SK327" s="25"/>
      <c r="SL327" s="25"/>
      <c r="SM327" s="25"/>
      <c r="SN327" s="25"/>
      <c r="SO327" s="25"/>
      <c r="SP327" s="25"/>
      <c r="SQ327" s="25"/>
      <c r="SR327" s="25"/>
      <c r="SS327" s="25"/>
      <c r="ST327" s="25"/>
      <c r="SU327" s="25"/>
      <c r="SV327" s="25"/>
      <c r="SW327" s="25"/>
      <c r="SX327" s="25"/>
      <c r="SY327" s="25"/>
      <c r="SZ327" s="25"/>
      <c r="TA327" s="25"/>
      <c r="TB327" s="25"/>
      <c r="TC327" s="25"/>
      <c r="TD327" s="25"/>
      <c r="TE327" s="25"/>
      <c r="TF327" s="25"/>
      <c r="TG327" s="25"/>
      <c r="TH327" s="25"/>
      <c r="TI327" s="25"/>
      <c r="TJ327" s="25"/>
      <c r="TK327" s="25"/>
      <c r="TL327" s="25"/>
      <c r="TM327" s="25"/>
      <c r="TN327" s="25"/>
      <c r="TO327" s="25"/>
      <c r="TP327" s="25"/>
      <c r="TQ327" s="25"/>
      <c r="TR327" s="25"/>
      <c r="TS327" s="25"/>
      <c r="TT327" s="25"/>
      <c r="TU327" s="25"/>
      <c r="TV327" s="25"/>
      <c r="TW327" s="25"/>
      <c r="TX327" s="25"/>
      <c r="TY327" s="25"/>
      <c r="TZ327" s="25"/>
      <c r="UA327" s="25"/>
      <c r="UB327" s="25"/>
      <c r="UC327" s="25"/>
      <c r="UD327" s="25"/>
      <c r="UE327" s="25"/>
      <c r="UF327" s="25"/>
      <c r="UG327" s="26"/>
    </row>
    <row r="328" spans="1:553" ht="41.25" customHeight="1">
      <c r="A328" s="356" t="s">
        <v>15</v>
      </c>
      <c r="B328" s="385" t="s">
        <v>76</v>
      </c>
      <c r="C328" s="1562" t="s">
        <v>286</v>
      </c>
      <c r="D328" s="1389"/>
      <c r="E328" s="1389"/>
      <c r="F328" s="1390"/>
      <c r="G328" s="386" t="s">
        <v>935</v>
      </c>
      <c r="H328" s="370"/>
      <c r="I328" s="422">
        <f>1.6*1.5</f>
        <v>2.4000000000000004</v>
      </c>
      <c r="J328" s="368">
        <v>270000</v>
      </c>
      <c r="K328" s="371"/>
      <c r="L328" s="391">
        <f t="shared" ref="L328:L329" si="69">I328*J328</f>
        <v>648000.00000000012</v>
      </c>
      <c r="M328" s="391"/>
      <c r="N328" s="391"/>
      <c r="O328" s="391"/>
      <c r="P328" s="391"/>
      <c r="Q328" s="1142"/>
      <c r="R328" s="1226"/>
      <c r="S328" s="308"/>
      <c r="T328" s="303"/>
      <c r="U328" s="306"/>
      <c r="V328" s="307"/>
      <c r="W328" s="306"/>
      <c r="X328" s="306"/>
      <c r="Y328" s="306"/>
      <c r="Z328" s="306"/>
      <c r="AA328" s="306"/>
      <c r="AB328" s="306"/>
      <c r="AC328" s="449"/>
      <c r="AD328" s="449"/>
      <c r="AE328" s="449"/>
      <c r="AF328" s="449"/>
      <c r="AG328" s="449"/>
      <c r="AH328" s="449"/>
      <c r="AI328" s="449"/>
      <c r="AJ328" s="449"/>
      <c r="AK328" s="452"/>
      <c r="AL328" s="104"/>
      <c r="AM328" s="32"/>
      <c r="AN328" s="32"/>
      <c r="AO328" s="32"/>
      <c r="AP328" s="32"/>
      <c r="AQ328" s="32"/>
      <c r="AR328" s="32"/>
      <c r="AS328" s="31"/>
      <c r="AT328" s="31"/>
      <c r="AU328" s="31"/>
      <c r="AV328" s="31"/>
      <c r="AW328" s="31"/>
      <c r="AX328" s="31"/>
      <c r="AY328" s="31"/>
      <c r="AZ328" s="31"/>
      <c r="BA328" s="31"/>
      <c r="BB328" s="31"/>
      <c r="BC328" s="31"/>
      <c r="BD328" s="31"/>
      <c r="BE328" s="31"/>
      <c r="BF328" s="31"/>
      <c r="BG328" s="31"/>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c r="CH328" s="31"/>
      <c r="CI328" s="31"/>
      <c r="CJ328" s="31"/>
      <c r="CK328" s="31"/>
      <c r="CL328" s="31"/>
      <c r="CM328" s="31"/>
      <c r="CN328" s="31"/>
      <c r="CO328" s="31"/>
      <c r="CP328" s="31"/>
      <c r="CQ328" s="31"/>
      <c r="CR328" s="31"/>
      <c r="CS328" s="31"/>
      <c r="CT328" s="31"/>
      <c r="CU328" s="31"/>
      <c r="CV328" s="31"/>
      <c r="CW328" s="31"/>
      <c r="CX328" s="31"/>
      <c r="CY328" s="31"/>
      <c r="CZ328" s="31"/>
      <c r="DA328" s="31"/>
      <c r="DB328" s="31"/>
      <c r="DC328" s="31"/>
      <c r="DD328" s="31"/>
      <c r="DE328" s="31"/>
      <c r="DF328" s="31"/>
      <c r="DG328" s="31"/>
      <c r="DH328" s="31"/>
      <c r="DI328" s="31"/>
      <c r="DJ328" s="31"/>
      <c r="DK328" s="31"/>
      <c r="DL328" s="31"/>
      <c r="DM328" s="31"/>
      <c r="DN328" s="31"/>
      <c r="DO328" s="31"/>
      <c r="DP328" s="31"/>
      <c r="DQ328" s="31"/>
      <c r="DR328" s="31"/>
      <c r="DS328" s="31"/>
      <c r="DT328" s="31"/>
      <c r="DU328" s="31"/>
      <c r="DV328" s="31"/>
      <c r="DW328" s="31"/>
      <c r="DX328" s="31"/>
      <c r="DY328" s="31"/>
      <c r="DZ328" s="31"/>
      <c r="EA328" s="31"/>
      <c r="EB328" s="31"/>
      <c r="EC328" s="31"/>
      <c r="ED328" s="31"/>
      <c r="EE328" s="31"/>
      <c r="EF328" s="31"/>
      <c r="EG328" s="31"/>
      <c r="EH328" s="31"/>
      <c r="EI328" s="31"/>
      <c r="EJ328" s="31"/>
      <c r="EK328" s="31"/>
      <c r="EL328" s="31"/>
      <c r="EM328" s="31"/>
      <c r="EN328" s="31"/>
      <c r="EO328" s="31"/>
      <c r="EP328" s="31"/>
      <c r="EQ328" s="31"/>
      <c r="ER328" s="31"/>
      <c r="ES328" s="31"/>
      <c r="ET328" s="31"/>
      <c r="EU328" s="31"/>
      <c r="EV328" s="31"/>
      <c r="EW328" s="31"/>
      <c r="EX328" s="31"/>
      <c r="EY328" s="31"/>
      <c r="EZ328" s="31"/>
      <c r="FA328" s="31"/>
      <c r="FB328" s="31"/>
      <c r="FC328" s="31"/>
      <c r="FD328" s="31"/>
      <c r="FE328" s="31"/>
      <c r="FF328" s="31"/>
      <c r="FG328" s="31"/>
      <c r="FH328" s="31"/>
      <c r="FI328" s="31"/>
      <c r="FJ328" s="31"/>
      <c r="FK328" s="31"/>
      <c r="FL328" s="31"/>
      <c r="FM328" s="31"/>
      <c r="FN328" s="31"/>
      <c r="FO328" s="31"/>
      <c r="FP328" s="31"/>
      <c r="FQ328" s="31"/>
      <c r="FR328" s="31"/>
      <c r="FS328" s="31"/>
      <c r="FT328" s="31"/>
      <c r="FU328" s="31"/>
      <c r="FV328" s="31"/>
      <c r="FW328" s="31"/>
      <c r="FX328" s="31"/>
      <c r="FY328" s="31"/>
      <c r="FZ328" s="31"/>
      <c r="GA328" s="31"/>
      <c r="GB328" s="31"/>
      <c r="GC328" s="31"/>
      <c r="GD328" s="31"/>
      <c r="GE328" s="31"/>
      <c r="GF328" s="31"/>
      <c r="GG328" s="31"/>
      <c r="GH328" s="31"/>
      <c r="GI328" s="31"/>
      <c r="GJ328" s="31"/>
      <c r="GK328" s="31"/>
      <c r="GL328" s="31"/>
      <c r="GM328" s="31"/>
      <c r="GN328" s="31"/>
      <c r="GO328" s="31"/>
      <c r="GP328" s="31"/>
      <c r="GQ328" s="31"/>
      <c r="GR328" s="31"/>
      <c r="GS328" s="31"/>
      <c r="GT328" s="31"/>
      <c r="GU328" s="31"/>
      <c r="GV328" s="31"/>
      <c r="GW328" s="31"/>
      <c r="GX328" s="31"/>
      <c r="GY328" s="31"/>
      <c r="GZ328" s="31"/>
      <c r="HA328" s="31"/>
      <c r="HB328" s="31"/>
      <c r="HC328" s="31"/>
      <c r="HD328" s="31"/>
      <c r="HE328" s="31"/>
      <c r="HF328" s="31"/>
      <c r="HG328" s="31"/>
      <c r="HH328" s="31"/>
      <c r="HI328" s="31"/>
      <c r="HJ328" s="31"/>
      <c r="HK328" s="31"/>
      <c r="HL328" s="31"/>
      <c r="HM328" s="31"/>
      <c r="HN328" s="31"/>
      <c r="HO328" s="31"/>
      <c r="HP328" s="31"/>
      <c r="HQ328" s="31"/>
      <c r="HR328" s="31"/>
      <c r="HS328" s="31"/>
      <c r="HT328" s="31"/>
      <c r="HU328" s="31"/>
      <c r="HV328" s="31"/>
      <c r="HW328" s="31"/>
      <c r="HX328" s="31"/>
      <c r="HY328" s="31"/>
      <c r="HZ328" s="31"/>
      <c r="IA328" s="31"/>
      <c r="IB328" s="31"/>
      <c r="IC328" s="31"/>
      <c r="ID328" s="31"/>
      <c r="IE328" s="31"/>
      <c r="IF328" s="31"/>
      <c r="IG328" s="31"/>
      <c r="IH328" s="31"/>
      <c r="II328" s="31"/>
      <c r="IJ328" s="31"/>
      <c r="IK328" s="31"/>
      <c r="IL328" s="31"/>
      <c r="IM328" s="31"/>
      <c r="IN328" s="31"/>
      <c r="IO328" s="31"/>
      <c r="IP328" s="31"/>
      <c r="IQ328" s="31"/>
      <c r="IR328" s="31"/>
      <c r="IS328" s="31"/>
      <c r="IT328" s="31"/>
      <c r="IU328" s="31"/>
      <c r="IV328" s="31"/>
      <c r="IW328" s="31"/>
      <c r="IX328" s="31"/>
      <c r="IY328" s="31"/>
      <c r="IZ328" s="31"/>
      <c r="JA328" s="31"/>
      <c r="JB328" s="31"/>
      <c r="JC328" s="31"/>
      <c r="JD328" s="31"/>
      <c r="JE328" s="31"/>
      <c r="JF328" s="31"/>
      <c r="JG328" s="31"/>
      <c r="JH328" s="31"/>
      <c r="JI328" s="31"/>
      <c r="JJ328" s="31"/>
      <c r="JK328" s="31"/>
      <c r="JL328" s="31"/>
      <c r="JM328" s="31"/>
      <c r="JN328" s="31"/>
      <c r="JO328" s="31"/>
      <c r="JP328" s="31"/>
      <c r="JQ328" s="31"/>
      <c r="JR328" s="31"/>
      <c r="JS328" s="31"/>
      <c r="JT328" s="31"/>
      <c r="JU328" s="31"/>
      <c r="JV328" s="31"/>
      <c r="JW328" s="31"/>
      <c r="JX328" s="31"/>
      <c r="JY328" s="31"/>
      <c r="JZ328" s="31"/>
      <c r="KA328" s="31"/>
      <c r="KB328" s="31"/>
      <c r="KC328" s="31"/>
      <c r="KD328" s="31"/>
      <c r="KE328" s="31"/>
      <c r="KF328" s="31"/>
      <c r="KG328" s="31"/>
      <c r="KH328" s="31"/>
      <c r="KI328" s="31"/>
      <c r="KJ328" s="31"/>
      <c r="KK328" s="31"/>
      <c r="KL328" s="31"/>
      <c r="KM328" s="31"/>
      <c r="KN328" s="31"/>
      <c r="KO328" s="31"/>
      <c r="KP328" s="31"/>
      <c r="KQ328" s="31"/>
      <c r="KR328" s="31"/>
      <c r="KS328" s="31"/>
      <c r="KT328" s="31"/>
      <c r="KU328" s="31"/>
      <c r="KV328" s="31"/>
      <c r="KW328" s="31"/>
      <c r="KX328" s="31"/>
      <c r="KY328" s="31"/>
      <c r="KZ328" s="31"/>
      <c r="LA328" s="31"/>
      <c r="LB328" s="31"/>
      <c r="LC328" s="31"/>
      <c r="LD328" s="31"/>
      <c r="LE328" s="31"/>
      <c r="LF328" s="31"/>
      <c r="LG328" s="31"/>
      <c r="LH328" s="31"/>
      <c r="LI328" s="31"/>
      <c r="LJ328" s="31"/>
      <c r="LK328" s="31"/>
      <c r="LL328" s="31"/>
      <c r="LM328" s="31"/>
      <c r="LN328" s="31"/>
      <c r="LO328" s="31"/>
      <c r="LP328" s="31"/>
      <c r="LQ328" s="31"/>
      <c r="LR328" s="31"/>
      <c r="LS328" s="31"/>
      <c r="LT328" s="31"/>
      <c r="LU328" s="31"/>
      <c r="LV328" s="31"/>
      <c r="LW328" s="31"/>
      <c r="LX328" s="31"/>
      <c r="LY328" s="31"/>
      <c r="LZ328" s="31"/>
      <c r="MA328" s="31"/>
      <c r="MB328" s="31"/>
      <c r="MC328" s="31"/>
      <c r="MD328" s="31"/>
      <c r="ME328" s="31"/>
      <c r="MF328" s="31"/>
      <c r="MG328" s="31"/>
      <c r="MH328" s="31"/>
      <c r="MI328" s="31"/>
      <c r="MJ328" s="31"/>
      <c r="MK328" s="31"/>
      <c r="ML328" s="31"/>
      <c r="MM328" s="31"/>
      <c r="MN328" s="31"/>
      <c r="MO328" s="31"/>
      <c r="MP328" s="31"/>
      <c r="MQ328" s="31"/>
      <c r="MR328" s="31"/>
      <c r="MS328" s="31"/>
      <c r="MT328" s="31"/>
      <c r="MU328" s="31"/>
      <c r="MV328" s="31"/>
      <c r="MW328" s="31"/>
      <c r="MX328" s="31"/>
      <c r="MY328" s="31"/>
      <c r="MZ328" s="31"/>
      <c r="NA328" s="31"/>
      <c r="NB328" s="31"/>
      <c r="NC328" s="31"/>
      <c r="ND328" s="31"/>
      <c r="NE328" s="31"/>
      <c r="NF328" s="31"/>
      <c r="NG328" s="31"/>
      <c r="NH328" s="31"/>
      <c r="NI328" s="31"/>
      <c r="NJ328" s="31"/>
      <c r="NK328" s="31"/>
      <c r="NL328" s="31"/>
      <c r="NM328" s="31"/>
      <c r="NN328" s="31"/>
      <c r="NO328" s="31"/>
      <c r="NP328" s="31"/>
      <c r="NQ328" s="31"/>
      <c r="NR328" s="31"/>
      <c r="NS328" s="31"/>
      <c r="NT328" s="31"/>
      <c r="NU328" s="31"/>
      <c r="NV328" s="31"/>
      <c r="NW328" s="31"/>
      <c r="NX328" s="31"/>
      <c r="NY328" s="31"/>
      <c r="NZ328" s="31"/>
      <c r="OA328" s="31"/>
      <c r="OB328" s="31"/>
      <c r="OC328" s="31"/>
      <c r="OD328" s="31"/>
      <c r="OE328" s="31"/>
      <c r="OF328" s="31"/>
      <c r="OG328" s="31"/>
      <c r="OH328" s="31"/>
      <c r="OI328" s="31"/>
      <c r="OJ328" s="31"/>
      <c r="OK328" s="31"/>
      <c r="OL328" s="31"/>
      <c r="OM328" s="31"/>
      <c r="ON328" s="31"/>
      <c r="OO328" s="31"/>
      <c r="OP328" s="31"/>
      <c r="OQ328" s="31"/>
      <c r="OR328" s="31"/>
      <c r="OS328" s="31"/>
      <c r="OT328" s="31"/>
      <c r="OU328" s="31"/>
      <c r="OV328" s="31"/>
      <c r="OW328" s="31"/>
      <c r="OX328" s="31"/>
      <c r="OY328" s="31"/>
      <c r="OZ328" s="31"/>
      <c r="PA328" s="31"/>
      <c r="PB328" s="31"/>
      <c r="PC328" s="31"/>
      <c r="PD328" s="31"/>
      <c r="PE328" s="31"/>
      <c r="PF328" s="31"/>
      <c r="PG328" s="31"/>
      <c r="PH328" s="31"/>
      <c r="PI328" s="31"/>
      <c r="PJ328" s="31"/>
      <c r="PK328" s="31"/>
      <c r="PL328" s="31"/>
      <c r="PM328" s="31"/>
      <c r="PN328" s="31"/>
      <c r="PO328" s="31"/>
      <c r="PP328" s="31"/>
      <c r="PQ328" s="31"/>
      <c r="PR328" s="31"/>
      <c r="PS328" s="31"/>
      <c r="PT328" s="31"/>
      <c r="PU328" s="31"/>
      <c r="PV328" s="31"/>
      <c r="PW328" s="31"/>
      <c r="PX328" s="31"/>
      <c r="PY328" s="31"/>
      <c r="PZ328" s="31"/>
      <c r="QA328" s="31"/>
      <c r="QB328" s="31"/>
      <c r="QC328" s="31"/>
      <c r="QD328" s="31"/>
      <c r="QE328" s="31"/>
      <c r="QF328" s="31"/>
      <c r="QG328" s="31"/>
      <c r="QH328" s="31"/>
      <c r="QI328" s="31"/>
      <c r="QJ328" s="31"/>
      <c r="QK328" s="31"/>
      <c r="QL328" s="31"/>
      <c r="QM328" s="31"/>
      <c r="QN328" s="31"/>
      <c r="QO328" s="31"/>
      <c r="QP328" s="31"/>
      <c r="QQ328" s="31"/>
      <c r="QR328" s="31"/>
      <c r="QS328" s="31"/>
      <c r="QT328" s="31"/>
      <c r="QU328" s="31"/>
      <c r="QV328" s="31"/>
      <c r="QW328" s="31"/>
      <c r="QX328" s="31"/>
      <c r="QY328" s="31"/>
      <c r="QZ328" s="31"/>
      <c r="RA328" s="31"/>
      <c r="RB328" s="31"/>
      <c r="RC328" s="31"/>
      <c r="RD328" s="31"/>
      <c r="RE328" s="31"/>
      <c r="RF328" s="31"/>
      <c r="RG328" s="31"/>
      <c r="RH328" s="31"/>
      <c r="RI328" s="31"/>
      <c r="RJ328" s="31"/>
      <c r="RK328" s="31"/>
      <c r="RL328" s="31"/>
      <c r="RM328" s="31"/>
      <c r="RN328" s="31"/>
      <c r="RO328" s="31"/>
      <c r="RP328" s="31"/>
      <c r="RQ328" s="31"/>
      <c r="RR328" s="31"/>
      <c r="RS328" s="31"/>
      <c r="RT328" s="31"/>
      <c r="RU328" s="31"/>
      <c r="RV328" s="31"/>
      <c r="RW328" s="31"/>
      <c r="RX328" s="31"/>
      <c r="RY328" s="31"/>
      <c r="RZ328" s="31"/>
      <c r="SA328" s="31"/>
      <c r="SB328" s="31"/>
      <c r="SC328" s="31"/>
      <c r="SD328" s="31"/>
      <c r="SE328" s="31"/>
      <c r="SF328" s="31"/>
      <c r="SG328" s="31"/>
      <c r="SH328" s="31"/>
      <c r="SI328" s="31"/>
      <c r="SJ328" s="31"/>
      <c r="SK328" s="31"/>
      <c r="SL328" s="31"/>
      <c r="SM328" s="31"/>
      <c r="SN328" s="31"/>
      <c r="SO328" s="31"/>
      <c r="SP328" s="31"/>
      <c r="SQ328" s="31"/>
      <c r="SR328" s="31"/>
      <c r="SS328" s="31"/>
      <c r="ST328" s="31"/>
      <c r="SU328" s="31"/>
      <c r="SV328" s="31"/>
      <c r="SW328" s="31"/>
      <c r="SX328" s="31"/>
      <c r="SY328" s="31"/>
      <c r="SZ328" s="31"/>
      <c r="TA328" s="31"/>
      <c r="TB328" s="31"/>
      <c r="TC328" s="31"/>
      <c r="TD328" s="31"/>
      <c r="TE328" s="31"/>
      <c r="TF328" s="31"/>
      <c r="TG328" s="31"/>
      <c r="TH328" s="31"/>
      <c r="TI328" s="31"/>
      <c r="TJ328" s="31"/>
      <c r="TK328" s="31"/>
      <c r="TL328" s="31"/>
      <c r="TM328" s="31"/>
      <c r="TN328" s="31"/>
      <c r="TO328" s="31"/>
      <c r="TP328" s="31"/>
      <c r="TQ328" s="31"/>
      <c r="TR328" s="31"/>
      <c r="TS328" s="31"/>
      <c r="TT328" s="31"/>
      <c r="TU328" s="31"/>
      <c r="TV328" s="31"/>
      <c r="TW328" s="31"/>
      <c r="TX328" s="31"/>
      <c r="TY328" s="31"/>
      <c r="TZ328" s="31"/>
      <c r="UA328" s="31"/>
      <c r="UB328" s="31"/>
      <c r="UC328" s="31"/>
      <c r="UD328" s="31"/>
      <c r="UE328" s="31"/>
      <c r="UF328" s="31"/>
      <c r="UG328" s="33"/>
    </row>
    <row r="329" spans="1:553" ht="41.25" customHeight="1">
      <c r="A329" s="356" t="s">
        <v>15</v>
      </c>
      <c r="B329" s="366" t="s">
        <v>287</v>
      </c>
      <c r="C329" s="1562" t="s">
        <v>288</v>
      </c>
      <c r="D329" s="1389"/>
      <c r="E329" s="1389"/>
      <c r="F329" s="1390"/>
      <c r="G329" s="386" t="s">
        <v>935</v>
      </c>
      <c r="H329" s="370"/>
      <c r="I329" s="422">
        <f>1.5*2</f>
        <v>3</v>
      </c>
      <c r="J329" s="368">
        <v>178600</v>
      </c>
      <c r="K329" s="371"/>
      <c r="L329" s="391">
        <f t="shared" si="69"/>
        <v>535800</v>
      </c>
      <c r="M329" s="391"/>
      <c r="N329" s="391"/>
      <c r="O329" s="391"/>
      <c r="P329" s="391"/>
      <c r="Q329" s="1142"/>
      <c r="R329" s="1226"/>
      <c r="S329" s="308"/>
      <c r="T329" s="303"/>
      <c r="U329" s="306"/>
      <c r="V329" s="307"/>
      <c r="W329" s="306"/>
      <c r="X329" s="306"/>
      <c r="Y329" s="306"/>
      <c r="Z329" s="306"/>
      <c r="AA329" s="306"/>
      <c r="AB329" s="306"/>
      <c r="AC329" s="449"/>
      <c r="AD329" s="449"/>
      <c r="AE329" s="449"/>
      <c r="AF329" s="449"/>
      <c r="AG329" s="449"/>
      <c r="AH329" s="449"/>
      <c r="AI329" s="449"/>
      <c r="AJ329" s="449"/>
      <c r="AK329" s="452"/>
      <c r="AL329" s="104"/>
      <c r="AM329" s="32"/>
      <c r="AN329" s="32"/>
      <c r="AO329" s="32"/>
      <c r="AP329" s="32"/>
      <c r="AQ329" s="32"/>
      <c r="AR329" s="32"/>
      <c r="AS329" s="31"/>
      <c r="AT329" s="31"/>
      <c r="AU329" s="31"/>
      <c r="AV329" s="31"/>
      <c r="AW329" s="31"/>
      <c r="AX329" s="31"/>
      <c r="AY329" s="31"/>
      <c r="AZ329" s="31"/>
      <c r="BA329" s="31"/>
      <c r="BB329" s="31"/>
      <c r="BC329" s="31"/>
      <c r="BD329" s="31"/>
      <c r="BE329" s="31"/>
      <c r="BF329" s="31"/>
      <c r="BG329" s="31"/>
      <c r="BH329" s="31"/>
      <c r="BI329" s="31"/>
      <c r="BJ329" s="31"/>
      <c r="BK329" s="31"/>
      <c r="BL329" s="31"/>
      <c r="BM329" s="31"/>
      <c r="BN329" s="31"/>
      <c r="BO329" s="31"/>
      <c r="BP329" s="31"/>
      <c r="BQ329" s="31"/>
      <c r="BR329" s="31"/>
      <c r="BS329" s="31"/>
      <c r="BT329" s="31"/>
      <c r="BU329" s="31"/>
      <c r="BV329" s="31"/>
      <c r="BW329" s="31"/>
      <c r="BX329" s="31"/>
      <c r="BY329" s="31"/>
      <c r="BZ329" s="31"/>
      <c r="CA329" s="31"/>
      <c r="CB329" s="31"/>
      <c r="CC329" s="31"/>
      <c r="CD329" s="31"/>
      <c r="CE329" s="31"/>
      <c r="CF329" s="31"/>
      <c r="CG329" s="31"/>
      <c r="CH329" s="31"/>
      <c r="CI329" s="31"/>
      <c r="CJ329" s="31"/>
      <c r="CK329" s="31"/>
      <c r="CL329" s="31"/>
      <c r="CM329" s="31"/>
      <c r="CN329" s="31"/>
      <c r="CO329" s="31"/>
      <c r="CP329" s="31"/>
      <c r="CQ329" s="31"/>
      <c r="CR329" s="31"/>
      <c r="CS329" s="31"/>
      <c r="CT329" s="31"/>
      <c r="CU329" s="31"/>
      <c r="CV329" s="31"/>
      <c r="CW329" s="31"/>
      <c r="CX329" s="31"/>
      <c r="CY329" s="31"/>
      <c r="CZ329" s="31"/>
      <c r="DA329" s="31"/>
      <c r="DB329" s="31"/>
      <c r="DC329" s="31"/>
      <c r="DD329" s="31"/>
      <c r="DE329" s="31"/>
      <c r="DF329" s="31"/>
      <c r="DG329" s="31"/>
      <c r="DH329" s="31"/>
      <c r="DI329" s="31"/>
      <c r="DJ329" s="31"/>
      <c r="DK329" s="31"/>
      <c r="DL329" s="31"/>
      <c r="DM329" s="31"/>
      <c r="DN329" s="31"/>
      <c r="DO329" s="31"/>
      <c r="DP329" s="31"/>
      <c r="DQ329" s="31"/>
      <c r="DR329" s="31"/>
      <c r="DS329" s="31"/>
      <c r="DT329" s="31"/>
      <c r="DU329" s="31"/>
      <c r="DV329" s="31"/>
      <c r="DW329" s="31"/>
      <c r="DX329" s="31"/>
      <c r="DY329" s="31"/>
      <c r="DZ329" s="31"/>
      <c r="EA329" s="31"/>
      <c r="EB329" s="31"/>
      <c r="EC329" s="31"/>
      <c r="ED329" s="31"/>
      <c r="EE329" s="31"/>
      <c r="EF329" s="31"/>
      <c r="EG329" s="31"/>
      <c r="EH329" s="31"/>
      <c r="EI329" s="31"/>
      <c r="EJ329" s="31"/>
      <c r="EK329" s="31"/>
      <c r="EL329" s="31"/>
      <c r="EM329" s="31"/>
      <c r="EN329" s="31"/>
      <c r="EO329" s="31"/>
      <c r="EP329" s="31"/>
      <c r="EQ329" s="31"/>
      <c r="ER329" s="31"/>
      <c r="ES329" s="31"/>
      <c r="ET329" s="31"/>
      <c r="EU329" s="31"/>
      <c r="EV329" s="31"/>
      <c r="EW329" s="31"/>
      <c r="EX329" s="31"/>
      <c r="EY329" s="31"/>
      <c r="EZ329" s="31"/>
      <c r="FA329" s="31"/>
      <c r="FB329" s="31"/>
      <c r="FC329" s="31"/>
      <c r="FD329" s="31"/>
      <c r="FE329" s="31"/>
      <c r="FF329" s="31"/>
      <c r="FG329" s="31"/>
      <c r="FH329" s="31"/>
      <c r="FI329" s="31"/>
      <c r="FJ329" s="31"/>
      <c r="FK329" s="31"/>
      <c r="FL329" s="31"/>
      <c r="FM329" s="31"/>
      <c r="FN329" s="31"/>
      <c r="FO329" s="31"/>
      <c r="FP329" s="31"/>
      <c r="FQ329" s="31"/>
      <c r="FR329" s="31"/>
      <c r="FS329" s="31"/>
      <c r="FT329" s="31"/>
      <c r="FU329" s="31"/>
      <c r="FV329" s="31"/>
      <c r="FW329" s="31"/>
      <c r="FX329" s="31"/>
      <c r="FY329" s="31"/>
      <c r="FZ329" s="31"/>
      <c r="GA329" s="31"/>
      <c r="GB329" s="31"/>
      <c r="GC329" s="31"/>
      <c r="GD329" s="31"/>
      <c r="GE329" s="31"/>
      <c r="GF329" s="31"/>
      <c r="GG329" s="31"/>
      <c r="GH329" s="31"/>
      <c r="GI329" s="31"/>
      <c r="GJ329" s="31"/>
      <c r="GK329" s="31"/>
      <c r="GL329" s="31"/>
      <c r="GM329" s="31"/>
      <c r="GN329" s="31"/>
      <c r="GO329" s="31"/>
      <c r="GP329" s="31"/>
      <c r="GQ329" s="31"/>
      <c r="GR329" s="31"/>
      <c r="GS329" s="31"/>
      <c r="GT329" s="31"/>
      <c r="GU329" s="31"/>
      <c r="GV329" s="31"/>
      <c r="GW329" s="31"/>
      <c r="GX329" s="31"/>
      <c r="GY329" s="31"/>
      <c r="GZ329" s="31"/>
      <c r="HA329" s="31"/>
      <c r="HB329" s="31"/>
      <c r="HC329" s="31"/>
      <c r="HD329" s="31"/>
      <c r="HE329" s="31"/>
      <c r="HF329" s="31"/>
      <c r="HG329" s="31"/>
      <c r="HH329" s="31"/>
      <c r="HI329" s="31"/>
      <c r="HJ329" s="31"/>
      <c r="HK329" s="31"/>
      <c r="HL329" s="31"/>
      <c r="HM329" s="31"/>
      <c r="HN329" s="31"/>
      <c r="HO329" s="31"/>
      <c r="HP329" s="31"/>
      <c r="HQ329" s="31"/>
      <c r="HR329" s="31"/>
      <c r="HS329" s="31"/>
      <c r="HT329" s="31"/>
      <c r="HU329" s="31"/>
      <c r="HV329" s="31"/>
      <c r="HW329" s="31"/>
      <c r="HX329" s="31"/>
      <c r="HY329" s="31"/>
      <c r="HZ329" s="31"/>
      <c r="IA329" s="31"/>
      <c r="IB329" s="31"/>
      <c r="IC329" s="31"/>
      <c r="ID329" s="31"/>
      <c r="IE329" s="31"/>
      <c r="IF329" s="31"/>
      <c r="IG329" s="31"/>
      <c r="IH329" s="31"/>
      <c r="II329" s="31"/>
      <c r="IJ329" s="31"/>
      <c r="IK329" s="31"/>
      <c r="IL329" s="31"/>
      <c r="IM329" s="31"/>
      <c r="IN329" s="31"/>
      <c r="IO329" s="31"/>
      <c r="IP329" s="31"/>
      <c r="IQ329" s="31"/>
      <c r="IR329" s="31"/>
      <c r="IS329" s="31"/>
      <c r="IT329" s="31"/>
      <c r="IU329" s="31"/>
      <c r="IV329" s="31"/>
      <c r="IW329" s="31"/>
      <c r="IX329" s="31"/>
      <c r="IY329" s="31"/>
      <c r="IZ329" s="31"/>
      <c r="JA329" s="31"/>
      <c r="JB329" s="31"/>
      <c r="JC329" s="31"/>
      <c r="JD329" s="31"/>
      <c r="JE329" s="31"/>
      <c r="JF329" s="31"/>
      <c r="JG329" s="31"/>
      <c r="JH329" s="31"/>
      <c r="JI329" s="31"/>
      <c r="JJ329" s="31"/>
      <c r="JK329" s="31"/>
      <c r="JL329" s="31"/>
      <c r="JM329" s="31"/>
      <c r="JN329" s="31"/>
      <c r="JO329" s="31"/>
      <c r="JP329" s="31"/>
      <c r="JQ329" s="31"/>
      <c r="JR329" s="31"/>
      <c r="JS329" s="31"/>
      <c r="JT329" s="31"/>
      <c r="JU329" s="31"/>
      <c r="JV329" s="31"/>
      <c r="JW329" s="31"/>
      <c r="JX329" s="31"/>
      <c r="JY329" s="31"/>
      <c r="JZ329" s="31"/>
      <c r="KA329" s="31"/>
      <c r="KB329" s="31"/>
      <c r="KC329" s="31"/>
      <c r="KD329" s="31"/>
      <c r="KE329" s="31"/>
      <c r="KF329" s="31"/>
      <c r="KG329" s="31"/>
      <c r="KH329" s="31"/>
      <c r="KI329" s="31"/>
      <c r="KJ329" s="31"/>
      <c r="KK329" s="31"/>
      <c r="KL329" s="31"/>
      <c r="KM329" s="31"/>
      <c r="KN329" s="31"/>
      <c r="KO329" s="31"/>
      <c r="KP329" s="31"/>
      <c r="KQ329" s="31"/>
      <c r="KR329" s="31"/>
      <c r="KS329" s="31"/>
      <c r="KT329" s="31"/>
      <c r="KU329" s="31"/>
      <c r="KV329" s="31"/>
      <c r="KW329" s="31"/>
      <c r="KX329" s="31"/>
      <c r="KY329" s="31"/>
      <c r="KZ329" s="31"/>
      <c r="LA329" s="31"/>
      <c r="LB329" s="31"/>
      <c r="LC329" s="31"/>
      <c r="LD329" s="31"/>
      <c r="LE329" s="31"/>
      <c r="LF329" s="31"/>
      <c r="LG329" s="31"/>
      <c r="LH329" s="31"/>
      <c r="LI329" s="31"/>
      <c r="LJ329" s="31"/>
      <c r="LK329" s="31"/>
      <c r="LL329" s="31"/>
      <c r="LM329" s="31"/>
      <c r="LN329" s="31"/>
      <c r="LO329" s="31"/>
      <c r="LP329" s="31"/>
      <c r="LQ329" s="31"/>
      <c r="LR329" s="31"/>
      <c r="LS329" s="31"/>
      <c r="LT329" s="31"/>
      <c r="LU329" s="31"/>
      <c r="LV329" s="31"/>
      <c r="LW329" s="31"/>
      <c r="LX329" s="31"/>
      <c r="LY329" s="31"/>
      <c r="LZ329" s="31"/>
      <c r="MA329" s="31"/>
      <c r="MB329" s="31"/>
      <c r="MC329" s="31"/>
      <c r="MD329" s="31"/>
      <c r="ME329" s="31"/>
      <c r="MF329" s="31"/>
      <c r="MG329" s="31"/>
      <c r="MH329" s="31"/>
      <c r="MI329" s="31"/>
      <c r="MJ329" s="31"/>
      <c r="MK329" s="31"/>
      <c r="ML329" s="31"/>
      <c r="MM329" s="31"/>
      <c r="MN329" s="31"/>
      <c r="MO329" s="31"/>
      <c r="MP329" s="31"/>
      <c r="MQ329" s="31"/>
      <c r="MR329" s="31"/>
      <c r="MS329" s="31"/>
      <c r="MT329" s="31"/>
      <c r="MU329" s="31"/>
      <c r="MV329" s="31"/>
      <c r="MW329" s="31"/>
      <c r="MX329" s="31"/>
      <c r="MY329" s="31"/>
      <c r="MZ329" s="31"/>
      <c r="NA329" s="31"/>
      <c r="NB329" s="31"/>
      <c r="NC329" s="31"/>
      <c r="ND329" s="31"/>
      <c r="NE329" s="31"/>
      <c r="NF329" s="31"/>
      <c r="NG329" s="31"/>
      <c r="NH329" s="31"/>
      <c r="NI329" s="31"/>
      <c r="NJ329" s="31"/>
      <c r="NK329" s="31"/>
      <c r="NL329" s="31"/>
      <c r="NM329" s="31"/>
      <c r="NN329" s="31"/>
      <c r="NO329" s="31"/>
      <c r="NP329" s="31"/>
      <c r="NQ329" s="31"/>
      <c r="NR329" s="31"/>
      <c r="NS329" s="31"/>
      <c r="NT329" s="31"/>
      <c r="NU329" s="31"/>
      <c r="NV329" s="31"/>
      <c r="NW329" s="31"/>
      <c r="NX329" s="31"/>
      <c r="NY329" s="31"/>
      <c r="NZ329" s="31"/>
      <c r="OA329" s="31"/>
      <c r="OB329" s="31"/>
      <c r="OC329" s="31"/>
      <c r="OD329" s="31"/>
      <c r="OE329" s="31"/>
      <c r="OF329" s="31"/>
      <c r="OG329" s="31"/>
      <c r="OH329" s="31"/>
      <c r="OI329" s="31"/>
      <c r="OJ329" s="31"/>
      <c r="OK329" s="31"/>
      <c r="OL329" s="31"/>
      <c r="OM329" s="31"/>
      <c r="ON329" s="31"/>
      <c r="OO329" s="31"/>
      <c r="OP329" s="31"/>
      <c r="OQ329" s="31"/>
      <c r="OR329" s="31"/>
      <c r="OS329" s="31"/>
      <c r="OT329" s="31"/>
      <c r="OU329" s="31"/>
      <c r="OV329" s="31"/>
      <c r="OW329" s="31"/>
      <c r="OX329" s="31"/>
      <c r="OY329" s="31"/>
      <c r="OZ329" s="31"/>
      <c r="PA329" s="31"/>
      <c r="PB329" s="31"/>
      <c r="PC329" s="31"/>
      <c r="PD329" s="31"/>
      <c r="PE329" s="31"/>
      <c r="PF329" s="31"/>
      <c r="PG329" s="31"/>
      <c r="PH329" s="31"/>
      <c r="PI329" s="31"/>
      <c r="PJ329" s="31"/>
      <c r="PK329" s="31"/>
      <c r="PL329" s="31"/>
      <c r="PM329" s="31"/>
      <c r="PN329" s="31"/>
      <c r="PO329" s="31"/>
      <c r="PP329" s="31"/>
      <c r="PQ329" s="31"/>
      <c r="PR329" s="31"/>
      <c r="PS329" s="31"/>
      <c r="PT329" s="31"/>
      <c r="PU329" s="31"/>
      <c r="PV329" s="31"/>
      <c r="PW329" s="31"/>
      <c r="PX329" s="31"/>
      <c r="PY329" s="31"/>
      <c r="PZ329" s="31"/>
      <c r="QA329" s="31"/>
      <c r="QB329" s="31"/>
      <c r="QC329" s="31"/>
      <c r="QD329" s="31"/>
      <c r="QE329" s="31"/>
      <c r="QF329" s="31"/>
      <c r="QG329" s="31"/>
      <c r="QH329" s="31"/>
      <c r="QI329" s="31"/>
      <c r="QJ329" s="31"/>
      <c r="QK329" s="31"/>
      <c r="QL329" s="31"/>
      <c r="QM329" s="31"/>
      <c r="QN329" s="31"/>
      <c r="QO329" s="31"/>
      <c r="QP329" s="31"/>
      <c r="QQ329" s="31"/>
      <c r="QR329" s="31"/>
      <c r="QS329" s="31"/>
      <c r="QT329" s="31"/>
      <c r="QU329" s="31"/>
      <c r="QV329" s="31"/>
      <c r="QW329" s="31"/>
      <c r="QX329" s="31"/>
      <c r="QY329" s="31"/>
      <c r="QZ329" s="31"/>
      <c r="RA329" s="31"/>
      <c r="RB329" s="31"/>
      <c r="RC329" s="31"/>
      <c r="RD329" s="31"/>
      <c r="RE329" s="31"/>
      <c r="RF329" s="31"/>
      <c r="RG329" s="31"/>
      <c r="RH329" s="31"/>
      <c r="RI329" s="31"/>
      <c r="RJ329" s="31"/>
      <c r="RK329" s="31"/>
      <c r="RL329" s="31"/>
      <c r="RM329" s="31"/>
      <c r="RN329" s="31"/>
      <c r="RO329" s="31"/>
      <c r="RP329" s="31"/>
      <c r="RQ329" s="31"/>
      <c r="RR329" s="31"/>
      <c r="RS329" s="31"/>
      <c r="RT329" s="31"/>
      <c r="RU329" s="31"/>
      <c r="RV329" s="31"/>
      <c r="RW329" s="31"/>
      <c r="RX329" s="31"/>
      <c r="RY329" s="31"/>
      <c r="RZ329" s="31"/>
      <c r="SA329" s="31"/>
      <c r="SB329" s="31"/>
      <c r="SC329" s="31"/>
      <c r="SD329" s="31"/>
      <c r="SE329" s="31"/>
      <c r="SF329" s="31"/>
      <c r="SG329" s="31"/>
      <c r="SH329" s="31"/>
      <c r="SI329" s="31"/>
      <c r="SJ329" s="31"/>
      <c r="SK329" s="31"/>
      <c r="SL329" s="31"/>
      <c r="SM329" s="31"/>
      <c r="SN329" s="31"/>
      <c r="SO329" s="31"/>
      <c r="SP329" s="31"/>
      <c r="SQ329" s="31"/>
      <c r="SR329" s="31"/>
      <c r="SS329" s="31"/>
      <c r="ST329" s="31"/>
      <c r="SU329" s="31"/>
      <c r="SV329" s="31"/>
      <c r="SW329" s="31"/>
      <c r="SX329" s="31"/>
      <c r="SY329" s="31"/>
      <c r="SZ329" s="31"/>
      <c r="TA329" s="31"/>
      <c r="TB329" s="31"/>
      <c r="TC329" s="31"/>
      <c r="TD329" s="31"/>
      <c r="TE329" s="31"/>
      <c r="TF329" s="31"/>
      <c r="TG329" s="31"/>
      <c r="TH329" s="31"/>
      <c r="TI329" s="31"/>
      <c r="TJ329" s="31"/>
      <c r="TK329" s="31"/>
      <c r="TL329" s="31"/>
      <c r="TM329" s="31"/>
      <c r="TN329" s="31"/>
      <c r="TO329" s="31"/>
      <c r="TP329" s="31"/>
      <c r="TQ329" s="31"/>
      <c r="TR329" s="31"/>
      <c r="TS329" s="31"/>
      <c r="TT329" s="31"/>
      <c r="TU329" s="31"/>
      <c r="TV329" s="31"/>
      <c r="TW329" s="31"/>
      <c r="TX329" s="31"/>
      <c r="TY329" s="31"/>
      <c r="TZ329" s="31"/>
      <c r="UA329" s="31"/>
      <c r="UB329" s="31"/>
      <c r="UC329" s="31"/>
      <c r="UD329" s="31"/>
      <c r="UE329" s="31"/>
      <c r="UF329" s="31"/>
      <c r="UG329" s="33"/>
    </row>
    <row r="330" spans="1:553" ht="41.25" customHeight="1">
      <c r="A330" s="356" t="s">
        <v>15</v>
      </c>
      <c r="B330" s="385" t="s">
        <v>289</v>
      </c>
      <c r="C330" s="1562" t="s">
        <v>904</v>
      </c>
      <c r="D330" s="1389"/>
      <c r="E330" s="1389"/>
      <c r="F330" s="1390"/>
      <c r="G330" s="386" t="s">
        <v>935</v>
      </c>
      <c r="H330" s="370"/>
      <c r="I330" s="834">
        <f>-8.4*2</f>
        <v>-16.8</v>
      </c>
      <c r="J330" s="368">
        <f>215000-130000</f>
        <v>85000</v>
      </c>
      <c r="K330" s="371"/>
      <c r="L330" s="391">
        <f t="shared" ref="L330:L332" si="70">ROUND(PRODUCT(I330:K330),0)</f>
        <v>-1428000</v>
      </c>
      <c r="M330" s="395"/>
      <c r="N330" s="395"/>
      <c r="O330" s="366"/>
      <c r="P330" s="396"/>
      <c r="Q330" s="473"/>
      <c r="R330" s="1039"/>
      <c r="S330" s="308"/>
      <c r="T330" s="303"/>
      <c r="U330" s="306"/>
      <c r="V330" s="307"/>
      <c r="W330" s="306"/>
      <c r="X330" s="306"/>
      <c r="Y330" s="306"/>
      <c r="Z330" s="306"/>
      <c r="AA330" s="306"/>
      <c r="AB330" s="306"/>
      <c r="AC330" s="449"/>
      <c r="AD330" s="449"/>
      <c r="AE330" s="449"/>
      <c r="AF330" s="449"/>
      <c r="AG330" s="452"/>
      <c r="AH330" s="452"/>
      <c r="AI330" s="452"/>
      <c r="AJ330" s="452"/>
      <c r="AK330" s="452"/>
      <c r="AL330" s="104"/>
      <c r="AM330" s="32"/>
      <c r="AN330" s="32"/>
      <c r="AO330" s="32"/>
      <c r="AP330" s="32"/>
      <c r="AQ330" s="31"/>
      <c r="AR330" s="31"/>
      <c r="AS330" s="31"/>
      <c r="AT330" s="31"/>
      <c r="AU330" s="31"/>
      <c r="AV330" s="31"/>
      <c r="AW330" s="31"/>
      <c r="AX330" s="31"/>
      <c r="AY330" s="31"/>
      <c r="AZ330" s="31"/>
      <c r="BA330" s="31"/>
      <c r="BB330" s="31"/>
      <c r="BC330" s="31"/>
      <c r="BD330" s="31"/>
      <c r="BE330" s="31"/>
      <c r="BF330" s="31"/>
      <c r="BG330" s="31"/>
      <c r="BH330" s="31"/>
      <c r="BI330" s="31"/>
      <c r="BJ330" s="31"/>
      <c r="BK330" s="31"/>
      <c r="BL330" s="31"/>
      <c r="BM330" s="25"/>
      <c r="BN330" s="25"/>
      <c r="BO330" s="25"/>
      <c r="BP330" s="25"/>
      <c r="BQ330" s="25"/>
      <c r="BR330" s="25"/>
      <c r="BS330" s="25"/>
      <c r="BT330" s="25"/>
      <c r="BU330" s="25"/>
      <c r="BV330" s="25"/>
      <c r="BW330" s="25"/>
      <c r="BX330" s="25"/>
      <c r="BY330" s="25"/>
      <c r="BZ330" s="25"/>
      <c r="CA330" s="25"/>
      <c r="CB330" s="25"/>
      <c r="CC330" s="25"/>
      <c r="CD330" s="25"/>
      <c r="CE330" s="25"/>
      <c r="CF330" s="25"/>
      <c r="CG330" s="25"/>
      <c r="CH330" s="25"/>
      <c r="CI330" s="25"/>
      <c r="CJ330" s="25"/>
      <c r="CK330" s="25"/>
      <c r="CL330" s="25"/>
      <c r="CM330" s="25"/>
      <c r="CN330" s="25"/>
      <c r="CO330" s="25"/>
      <c r="CP330" s="25"/>
      <c r="CQ330" s="25"/>
      <c r="CR330" s="25"/>
      <c r="CS330" s="25"/>
      <c r="CT330" s="25"/>
      <c r="CU330" s="25"/>
      <c r="CV330" s="25"/>
      <c r="CW330" s="25"/>
      <c r="CX330" s="25"/>
      <c r="CY330" s="25"/>
      <c r="CZ330" s="25"/>
      <c r="DA330" s="25"/>
      <c r="DB330" s="25"/>
      <c r="DC330" s="25"/>
      <c r="DD330" s="25"/>
      <c r="DE330" s="25"/>
      <c r="DF330" s="25"/>
      <c r="DG330" s="25"/>
      <c r="DH330" s="25"/>
      <c r="DI330" s="25"/>
      <c r="DJ330" s="25"/>
      <c r="DK330" s="25"/>
      <c r="DL330" s="25"/>
      <c r="DM330" s="25"/>
      <c r="DN330" s="25"/>
      <c r="DO330" s="25"/>
      <c r="DP330" s="25"/>
      <c r="DQ330" s="25"/>
      <c r="DR330" s="25"/>
      <c r="DS330" s="25"/>
      <c r="DT330" s="25"/>
      <c r="DU330" s="25"/>
      <c r="DV330" s="25"/>
      <c r="DW330" s="25"/>
      <c r="DX330" s="25"/>
      <c r="DY330" s="25"/>
      <c r="DZ330" s="25"/>
      <c r="EA330" s="25"/>
      <c r="EB330" s="25"/>
      <c r="EC330" s="25"/>
      <c r="ED330" s="25"/>
      <c r="EE330" s="25"/>
      <c r="EF330" s="25"/>
      <c r="EG330" s="25"/>
      <c r="EH330" s="25"/>
      <c r="EI330" s="25"/>
      <c r="EJ330" s="25"/>
      <c r="EK330" s="25"/>
      <c r="EL330" s="25"/>
      <c r="EM330" s="25"/>
      <c r="EN330" s="25"/>
      <c r="EO330" s="25"/>
      <c r="EP330" s="25"/>
      <c r="EQ330" s="25"/>
      <c r="ER330" s="25"/>
      <c r="ES330" s="25"/>
      <c r="ET330" s="25"/>
      <c r="EU330" s="25"/>
      <c r="EV330" s="25"/>
      <c r="EW330" s="25"/>
      <c r="EX330" s="25"/>
      <c r="EY330" s="25"/>
      <c r="EZ330" s="25"/>
      <c r="FA330" s="25"/>
      <c r="FB330" s="25"/>
      <c r="FC330" s="25"/>
      <c r="FD330" s="25"/>
      <c r="FE330" s="25"/>
      <c r="FF330" s="25"/>
      <c r="FG330" s="25"/>
      <c r="FH330" s="25"/>
      <c r="FI330" s="25"/>
      <c r="FJ330" s="25"/>
      <c r="FK330" s="25"/>
      <c r="FL330" s="25"/>
      <c r="FM330" s="25"/>
      <c r="FN330" s="25"/>
      <c r="FO330" s="25"/>
      <c r="FP330" s="25"/>
      <c r="FQ330" s="25"/>
      <c r="FR330" s="25"/>
      <c r="FS330" s="25"/>
      <c r="FT330" s="25"/>
      <c r="FU330" s="25"/>
      <c r="FV330" s="25"/>
      <c r="FW330" s="25"/>
      <c r="FX330" s="25"/>
      <c r="FY330" s="25"/>
      <c r="FZ330" s="25"/>
      <c r="GA330" s="25"/>
      <c r="GB330" s="25"/>
      <c r="GC330" s="25"/>
      <c r="GD330" s="25"/>
      <c r="GE330" s="25"/>
      <c r="GF330" s="25"/>
      <c r="GG330" s="25"/>
      <c r="GH330" s="25"/>
      <c r="GI330" s="25"/>
      <c r="GJ330" s="25"/>
      <c r="GK330" s="25"/>
      <c r="GL330" s="25"/>
      <c r="GM330" s="25"/>
      <c r="GN330" s="25"/>
      <c r="GO330" s="25"/>
      <c r="GP330" s="25"/>
      <c r="GQ330" s="25"/>
      <c r="GR330" s="25"/>
      <c r="GS330" s="25"/>
      <c r="GT330" s="25"/>
      <c r="GU330" s="25"/>
      <c r="GV330" s="25"/>
      <c r="GW330" s="25"/>
      <c r="GX330" s="25"/>
      <c r="GY330" s="25"/>
      <c r="GZ330" s="25"/>
      <c r="HA330" s="25"/>
      <c r="HB330" s="25"/>
      <c r="HC330" s="25"/>
      <c r="HD330" s="25"/>
      <c r="HE330" s="25"/>
      <c r="HF330" s="25"/>
      <c r="HG330" s="25"/>
      <c r="HH330" s="25"/>
      <c r="HI330" s="25"/>
      <c r="HJ330" s="25"/>
      <c r="HK330" s="25"/>
      <c r="HL330" s="25"/>
      <c r="HM330" s="25"/>
      <c r="HN330" s="25"/>
      <c r="HO330" s="25"/>
      <c r="HP330" s="25"/>
      <c r="HQ330" s="25"/>
      <c r="HR330" s="25"/>
      <c r="HS330" s="25"/>
      <c r="HT330" s="25"/>
      <c r="HU330" s="25"/>
      <c r="HV330" s="25"/>
      <c r="HW330" s="25"/>
      <c r="HX330" s="25"/>
      <c r="HY330" s="25"/>
      <c r="HZ330" s="25"/>
      <c r="IA330" s="25"/>
      <c r="IB330" s="25"/>
      <c r="IC330" s="25"/>
      <c r="ID330" s="25"/>
      <c r="IE330" s="25"/>
      <c r="IF330" s="25"/>
      <c r="IG330" s="25"/>
      <c r="IH330" s="25"/>
      <c r="II330" s="25"/>
      <c r="IJ330" s="25"/>
      <c r="IK330" s="25"/>
      <c r="IL330" s="25"/>
      <c r="IM330" s="25"/>
      <c r="IN330" s="25"/>
      <c r="IO330" s="25"/>
      <c r="IP330" s="25"/>
      <c r="IQ330" s="25"/>
      <c r="IR330" s="25"/>
      <c r="IS330" s="25"/>
      <c r="IT330" s="25"/>
      <c r="IU330" s="25"/>
      <c r="IV330" s="25"/>
      <c r="IW330" s="25"/>
      <c r="IX330" s="25"/>
      <c r="IY330" s="25"/>
      <c r="IZ330" s="25"/>
      <c r="JA330" s="25"/>
      <c r="JB330" s="25"/>
      <c r="JC330" s="25"/>
      <c r="JD330" s="25"/>
      <c r="JE330" s="25"/>
      <c r="JF330" s="25"/>
      <c r="JG330" s="25"/>
      <c r="JH330" s="25"/>
      <c r="JI330" s="25"/>
      <c r="JJ330" s="25"/>
      <c r="JK330" s="25"/>
      <c r="JL330" s="25"/>
      <c r="JM330" s="25"/>
      <c r="JN330" s="25"/>
      <c r="JO330" s="25"/>
      <c r="JP330" s="25"/>
      <c r="JQ330" s="25"/>
      <c r="JR330" s="25"/>
      <c r="JS330" s="25"/>
      <c r="JT330" s="25"/>
      <c r="JU330" s="25"/>
      <c r="JV330" s="25"/>
      <c r="JW330" s="25"/>
      <c r="JX330" s="25"/>
      <c r="JY330" s="25"/>
      <c r="JZ330" s="25"/>
      <c r="KA330" s="25"/>
      <c r="KB330" s="25"/>
      <c r="KC330" s="25"/>
      <c r="KD330" s="25"/>
      <c r="KE330" s="25"/>
      <c r="KF330" s="25"/>
      <c r="KG330" s="25"/>
      <c r="KH330" s="25"/>
      <c r="KI330" s="25"/>
      <c r="KJ330" s="25"/>
      <c r="KK330" s="25"/>
      <c r="KL330" s="25"/>
      <c r="KM330" s="25"/>
      <c r="KN330" s="25"/>
      <c r="KO330" s="25"/>
      <c r="KP330" s="25"/>
      <c r="KQ330" s="25"/>
      <c r="KR330" s="25"/>
      <c r="KS330" s="25"/>
      <c r="KT330" s="25"/>
      <c r="KU330" s="25"/>
      <c r="KV330" s="25"/>
      <c r="KW330" s="25"/>
      <c r="KX330" s="25"/>
      <c r="KY330" s="25"/>
      <c r="KZ330" s="25"/>
      <c r="LA330" s="25"/>
      <c r="LB330" s="25"/>
      <c r="LC330" s="25"/>
      <c r="LD330" s="25"/>
      <c r="LE330" s="25"/>
      <c r="LF330" s="25"/>
      <c r="LG330" s="25"/>
      <c r="LH330" s="25"/>
      <c r="LI330" s="25"/>
      <c r="LJ330" s="25"/>
      <c r="LK330" s="25"/>
      <c r="LL330" s="25"/>
      <c r="LM330" s="25"/>
      <c r="LN330" s="25"/>
      <c r="LO330" s="25"/>
      <c r="LP330" s="25"/>
      <c r="LQ330" s="25"/>
      <c r="LR330" s="25"/>
      <c r="LS330" s="25"/>
      <c r="LT330" s="25"/>
      <c r="LU330" s="25"/>
      <c r="LV330" s="25"/>
      <c r="LW330" s="25"/>
      <c r="LX330" s="25"/>
      <c r="LY330" s="25"/>
      <c r="LZ330" s="25"/>
      <c r="MA330" s="25"/>
      <c r="MB330" s="25"/>
      <c r="MC330" s="25"/>
      <c r="MD330" s="25"/>
      <c r="ME330" s="25"/>
      <c r="MF330" s="25"/>
      <c r="MG330" s="25"/>
      <c r="MH330" s="25"/>
      <c r="MI330" s="25"/>
      <c r="MJ330" s="25"/>
      <c r="MK330" s="25"/>
      <c r="ML330" s="25"/>
      <c r="MM330" s="25"/>
      <c r="MN330" s="25"/>
      <c r="MO330" s="25"/>
      <c r="MP330" s="25"/>
      <c r="MQ330" s="25"/>
      <c r="MR330" s="25"/>
      <c r="MS330" s="25"/>
      <c r="MT330" s="25"/>
      <c r="MU330" s="25"/>
      <c r="MV330" s="25"/>
      <c r="MW330" s="25"/>
      <c r="MX330" s="25"/>
      <c r="MY330" s="25"/>
      <c r="MZ330" s="25"/>
      <c r="NA330" s="25"/>
      <c r="NB330" s="25"/>
      <c r="NC330" s="25"/>
      <c r="ND330" s="25"/>
      <c r="NE330" s="25"/>
      <c r="NF330" s="25"/>
      <c r="NG330" s="25"/>
      <c r="NH330" s="25"/>
      <c r="NI330" s="25"/>
      <c r="NJ330" s="25"/>
      <c r="NK330" s="25"/>
      <c r="NL330" s="25"/>
      <c r="NM330" s="25"/>
      <c r="NN330" s="25"/>
      <c r="NO330" s="25"/>
      <c r="NP330" s="25"/>
      <c r="NQ330" s="25"/>
      <c r="NR330" s="25"/>
      <c r="NS330" s="25"/>
      <c r="NT330" s="25"/>
      <c r="NU330" s="25"/>
      <c r="NV330" s="25"/>
      <c r="NW330" s="25"/>
      <c r="NX330" s="25"/>
      <c r="NY330" s="25"/>
      <c r="NZ330" s="25"/>
      <c r="OA330" s="25"/>
      <c r="OB330" s="25"/>
      <c r="OC330" s="25"/>
      <c r="OD330" s="25"/>
      <c r="OE330" s="25"/>
      <c r="OF330" s="25"/>
      <c r="OG330" s="25"/>
      <c r="OH330" s="25"/>
      <c r="OI330" s="25"/>
      <c r="OJ330" s="25"/>
      <c r="OK330" s="25"/>
      <c r="OL330" s="25"/>
      <c r="OM330" s="25"/>
      <c r="ON330" s="25"/>
      <c r="OO330" s="25"/>
      <c r="OP330" s="25"/>
      <c r="OQ330" s="25"/>
      <c r="OR330" s="25"/>
      <c r="OS330" s="25"/>
      <c r="OT330" s="25"/>
      <c r="OU330" s="25"/>
      <c r="OV330" s="25"/>
      <c r="OW330" s="25"/>
      <c r="OX330" s="25"/>
      <c r="OY330" s="25"/>
      <c r="OZ330" s="25"/>
      <c r="PA330" s="25"/>
      <c r="PB330" s="25"/>
      <c r="PC330" s="25"/>
      <c r="PD330" s="25"/>
      <c r="PE330" s="25"/>
      <c r="PF330" s="25"/>
      <c r="PG330" s="25"/>
      <c r="PH330" s="25"/>
      <c r="PI330" s="25"/>
      <c r="PJ330" s="25"/>
      <c r="PK330" s="25"/>
      <c r="PL330" s="25"/>
      <c r="PM330" s="25"/>
      <c r="PN330" s="25"/>
      <c r="PO330" s="25"/>
      <c r="PP330" s="25"/>
      <c r="PQ330" s="25"/>
      <c r="PR330" s="25"/>
      <c r="PS330" s="25"/>
      <c r="PT330" s="25"/>
      <c r="PU330" s="25"/>
      <c r="PV330" s="25"/>
      <c r="PW330" s="25"/>
      <c r="PX330" s="25"/>
      <c r="PY330" s="25"/>
      <c r="PZ330" s="25"/>
      <c r="QA330" s="25"/>
      <c r="QB330" s="25"/>
      <c r="QC330" s="25"/>
      <c r="QD330" s="25"/>
      <c r="QE330" s="25"/>
      <c r="QF330" s="25"/>
      <c r="QG330" s="25"/>
      <c r="QH330" s="25"/>
      <c r="QI330" s="25"/>
      <c r="QJ330" s="25"/>
      <c r="QK330" s="25"/>
      <c r="QL330" s="25"/>
      <c r="QM330" s="25"/>
      <c r="QN330" s="25"/>
      <c r="QO330" s="25"/>
      <c r="QP330" s="25"/>
      <c r="QQ330" s="25"/>
      <c r="QR330" s="25"/>
      <c r="QS330" s="25"/>
      <c r="QT330" s="25"/>
      <c r="QU330" s="25"/>
      <c r="QV330" s="25"/>
      <c r="QW330" s="25"/>
      <c r="QX330" s="25"/>
      <c r="QY330" s="25"/>
      <c r="QZ330" s="25"/>
      <c r="RA330" s="25"/>
      <c r="RB330" s="25"/>
      <c r="RC330" s="25"/>
      <c r="RD330" s="25"/>
      <c r="RE330" s="25"/>
      <c r="RF330" s="25"/>
      <c r="RG330" s="25"/>
      <c r="RH330" s="25"/>
      <c r="RI330" s="25"/>
      <c r="RJ330" s="25"/>
      <c r="RK330" s="25"/>
      <c r="RL330" s="25"/>
      <c r="RM330" s="25"/>
      <c r="RN330" s="25"/>
      <c r="RO330" s="25"/>
      <c r="RP330" s="25"/>
      <c r="RQ330" s="25"/>
      <c r="RR330" s="25"/>
      <c r="RS330" s="25"/>
      <c r="RT330" s="25"/>
      <c r="RU330" s="25"/>
      <c r="RV330" s="25"/>
      <c r="RW330" s="25"/>
      <c r="RX330" s="25"/>
      <c r="RY330" s="25"/>
      <c r="RZ330" s="25"/>
      <c r="SA330" s="25"/>
      <c r="SB330" s="25"/>
      <c r="SC330" s="25"/>
      <c r="SD330" s="25"/>
      <c r="SE330" s="25"/>
      <c r="SF330" s="25"/>
      <c r="SG330" s="25"/>
      <c r="SH330" s="25"/>
      <c r="SI330" s="25"/>
      <c r="SJ330" s="25"/>
      <c r="SK330" s="25"/>
      <c r="SL330" s="25"/>
      <c r="SM330" s="25"/>
      <c r="SN330" s="25"/>
      <c r="SO330" s="25"/>
      <c r="SP330" s="25"/>
      <c r="SQ330" s="25"/>
      <c r="SR330" s="25"/>
      <c r="SS330" s="25"/>
      <c r="ST330" s="25"/>
      <c r="SU330" s="25"/>
      <c r="SV330" s="25"/>
      <c r="SW330" s="25"/>
      <c r="SX330" s="25"/>
      <c r="SY330" s="25"/>
      <c r="SZ330" s="25"/>
      <c r="TA330" s="25"/>
      <c r="TB330" s="25"/>
      <c r="TC330" s="25"/>
      <c r="TD330" s="25"/>
      <c r="TE330" s="25"/>
      <c r="TF330" s="25"/>
      <c r="TG330" s="25"/>
      <c r="TH330" s="25"/>
      <c r="TI330" s="25"/>
      <c r="TJ330" s="25"/>
      <c r="TK330" s="25"/>
      <c r="TL330" s="25"/>
      <c r="TM330" s="25"/>
      <c r="TN330" s="25"/>
      <c r="TO330" s="25"/>
      <c r="TP330" s="25"/>
      <c r="TQ330" s="25"/>
      <c r="TR330" s="25"/>
      <c r="TS330" s="25"/>
      <c r="TT330" s="25"/>
      <c r="TU330" s="25"/>
      <c r="TV330" s="25"/>
      <c r="TW330" s="25"/>
      <c r="TX330" s="25"/>
      <c r="TY330" s="25"/>
      <c r="TZ330" s="25"/>
      <c r="UA330" s="25"/>
      <c r="UB330" s="25"/>
      <c r="UC330" s="25"/>
      <c r="UD330" s="25"/>
      <c r="UE330" s="25"/>
      <c r="UF330" s="25"/>
      <c r="UG330" s="26"/>
    </row>
    <row r="331" spans="1:553" ht="41.25" customHeight="1">
      <c r="A331" s="356" t="s">
        <v>15</v>
      </c>
      <c r="B331" s="398" t="s">
        <v>31</v>
      </c>
      <c r="C331" s="1562" t="s">
        <v>906</v>
      </c>
      <c r="D331" s="1389"/>
      <c r="E331" s="1389"/>
      <c r="F331" s="1390"/>
      <c r="G331" s="386" t="s">
        <v>34</v>
      </c>
      <c r="H331" s="370"/>
      <c r="I331" s="834">
        <f>0.5*0.3*0.4*4</f>
        <v>0.24</v>
      </c>
      <c r="J331" s="368">
        <v>1748702</v>
      </c>
      <c r="K331" s="371"/>
      <c r="L331" s="391">
        <f t="shared" si="70"/>
        <v>419688</v>
      </c>
      <c r="M331" s="395"/>
      <c r="N331" s="395"/>
      <c r="O331" s="366"/>
      <c r="P331" s="396"/>
      <c r="Q331" s="473"/>
      <c r="R331" s="1039"/>
      <c r="S331" s="435"/>
      <c r="T331" s="436"/>
      <c r="U331" s="304"/>
      <c r="V331" s="393"/>
      <c r="W331" s="304"/>
      <c r="X331" s="304"/>
      <c r="Y331" s="304"/>
      <c r="Z331" s="304"/>
      <c r="AA331" s="304"/>
      <c r="AB331" s="304"/>
      <c r="AC331" s="449"/>
      <c r="AD331" s="449"/>
      <c r="AE331" s="449"/>
      <c r="AF331" s="449"/>
      <c r="AG331" s="452"/>
      <c r="AH331" s="452"/>
      <c r="AI331" s="452"/>
      <c r="AJ331" s="452"/>
      <c r="AK331" s="452"/>
      <c r="AL331" s="104"/>
      <c r="AM331" s="32"/>
      <c r="AN331" s="32"/>
      <c r="AO331" s="32"/>
      <c r="AP331" s="32"/>
      <c r="AQ331" s="31"/>
      <c r="AR331" s="31"/>
      <c r="AS331" s="31"/>
      <c r="AT331" s="31"/>
      <c r="AU331" s="31"/>
      <c r="AV331" s="31"/>
      <c r="AW331" s="31"/>
      <c r="AX331" s="31"/>
      <c r="AY331" s="31"/>
      <c r="AZ331" s="31"/>
      <c r="BA331" s="31"/>
      <c r="BB331" s="31"/>
      <c r="BC331" s="31"/>
      <c r="BD331" s="31"/>
      <c r="BE331" s="31"/>
      <c r="BF331" s="31"/>
      <c r="BG331" s="31"/>
      <c r="BH331" s="31"/>
      <c r="BI331" s="31"/>
      <c r="BJ331" s="31"/>
      <c r="BK331" s="31"/>
      <c r="BL331" s="31"/>
      <c r="BM331" s="25"/>
      <c r="BN331" s="25"/>
      <c r="BO331" s="25"/>
      <c r="BP331" s="25"/>
      <c r="BQ331" s="25"/>
      <c r="BR331" s="25"/>
      <c r="BS331" s="25"/>
      <c r="BT331" s="25"/>
      <c r="BU331" s="25"/>
      <c r="BV331" s="25"/>
      <c r="BW331" s="25"/>
      <c r="BX331" s="25"/>
      <c r="BY331" s="25"/>
      <c r="BZ331" s="25"/>
      <c r="CA331" s="25"/>
      <c r="CB331" s="25"/>
      <c r="CC331" s="25"/>
      <c r="CD331" s="25"/>
      <c r="CE331" s="25"/>
      <c r="CF331" s="25"/>
      <c r="CG331" s="25"/>
      <c r="CH331" s="25"/>
      <c r="CI331" s="25"/>
      <c r="CJ331" s="25"/>
      <c r="CK331" s="25"/>
      <c r="CL331" s="25"/>
      <c r="CM331" s="25"/>
      <c r="CN331" s="25"/>
      <c r="CO331" s="25"/>
      <c r="CP331" s="25"/>
      <c r="CQ331" s="25"/>
      <c r="CR331" s="25"/>
      <c r="CS331" s="25"/>
      <c r="CT331" s="25"/>
      <c r="CU331" s="25"/>
      <c r="CV331" s="25"/>
      <c r="CW331" s="25"/>
      <c r="CX331" s="25"/>
      <c r="CY331" s="25"/>
      <c r="CZ331" s="25"/>
      <c r="DA331" s="25"/>
      <c r="DB331" s="25"/>
      <c r="DC331" s="25"/>
      <c r="DD331" s="25"/>
      <c r="DE331" s="25"/>
      <c r="DF331" s="25"/>
      <c r="DG331" s="25"/>
      <c r="DH331" s="25"/>
      <c r="DI331" s="25"/>
      <c r="DJ331" s="25"/>
      <c r="DK331" s="25"/>
      <c r="DL331" s="25"/>
      <c r="DM331" s="25"/>
      <c r="DN331" s="25"/>
      <c r="DO331" s="25"/>
      <c r="DP331" s="25"/>
      <c r="DQ331" s="25"/>
      <c r="DR331" s="25"/>
      <c r="DS331" s="25"/>
      <c r="DT331" s="25"/>
      <c r="DU331" s="25"/>
      <c r="DV331" s="25"/>
      <c r="DW331" s="25"/>
      <c r="DX331" s="25"/>
      <c r="DY331" s="25"/>
      <c r="DZ331" s="25"/>
      <c r="EA331" s="25"/>
      <c r="EB331" s="25"/>
      <c r="EC331" s="25"/>
      <c r="ED331" s="25"/>
      <c r="EE331" s="25"/>
      <c r="EF331" s="25"/>
      <c r="EG331" s="25"/>
      <c r="EH331" s="25"/>
      <c r="EI331" s="25"/>
      <c r="EJ331" s="25"/>
      <c r="EK331" s="25"/>
      <c r="EL331" s="25"/>
      <c r="EM331" s="25"/>
      <c r="EN331" s="25"/>
      <c r="EO331" s="25"/>
      <c r="EP331" s="25"/>
      <c r="EQ331" s="25"/>
      <c r="ER331" s="25"/>
      <c r="ES331" s="25"/>
      <c r="ET331" s="25"/>
      <c r="EU331" s="25"/>
      <c r="EV331" s="25"/>
      <c r="EW331" s="25"/>
      <c r="EX331" s="25"/>
      <c r="EY331" s="25"/>
      <c r="EZ331" s="25"/>
      <c r="FA331" s="25"/>
      <c r="FB331" s="25"/>
      <c r="FC331" s="25"/>
      <c r="FD331" s="25"/>
      <c r="FE331" s="25"/>
      <c r="FF331" s="25"/>
      <c r="FG331" s="25"/>
      <c r="FH331" s="25"/>
      <c r="FI331" s="25"/>
      <c r="FJ331" s="25"/>
      <c r="FK331" s="25"/>
      <c r="FL331" s="25"/>
      <c r="FM331" s="25"/>
      <c r="FN331" s="25"/>
      <c r="FO331" s="25"/>
      <c r="FP331" s="25"/>
      <c r="FQ331" s="25"/>
      <c r="FR331" s="25"/>
      <c r="FS331" s="25"/>
      <c r="FT331" s="25"/>
      <c r="FU331" s="25"/>
      <c r="FV331" s="25"/>
      <c r="FW331" s="25"/>
      <c r="FX331" s="25"/>
      <c r="FY331" s="25"/>
      <c r="FZ331" s="25"/>
      <c r="GA331" s="25"/>
      <c r="GB331" s="25"/>
      <c r="GC331" s="25"/>
      <c r="GD331" s="25"/>
      <c r="GE331" s="25"/>
      <c r="GF331" s="25"/>
      <c r="GG331" s="25"/>
      <c r="GH331" s="25"/>
      <c r="GI331" s="25"/>
      <c r="GJ331" s="25"/>
      <c r="GK331" s="25"/>
      <c r="GL331" s="25"/>
      <c r="GM331" s="25"/>
      <c r="GN331" s="25"/>
      <c r="GO331" s="25"/>
      <c r="GP331" s="25"/>
      <c r="GQ331" s="25"/>
      <c r="GR331" s="25"/>
      <c r="GS331" s="25"/>
      <c r="GT331" s="25"/>
      <c r="GU331" s="25"/>
      <c r="GV331" s="25"/>
      <c r="GW331" s="25"/>
      <c r="GX331" s="25"/>
      <c r="GY331" s="25"/>
      <c r="GZ331" s="25"/>
      <c r="HA331" s="25"/>
      <c r="HB331" s="25"/>
      <c r="HC331" s="25"/>
      <c r="HD331" s="25"/>
      <c r="HE331" s="25"/>
      <c r="HF331" s="25"/>
      <c r="HG331" s="25"/>
      <c r="HH331" s="25"/>
      <c r="HI331" s="25"/>
      <c r="HJ331" s="25"/>
      <c r="HK331" s="25"/>
      <c r="HL331" s="25"/>
      <c r="HM331" s="25"/>
      <c r="HN331" s="25"/>
      <c r="HO331" s="25"/>
      <c r="HP331" s="25"/>
      <c r="HQ331" s="25"/>
      <c r="HR331" s="25"/>
      <c r="HS331" s="25"/>
      <c r="HT331" s="25"/>
      <c r="HU331" s="25"/>
      <c r="HV331" s="25"/>
      <c r="HW331" s="25"/>
      <c r="HX331" s="25"/>
      <c r="HY331" s="25"/>
      <c r="HZ331" s="25"/>
      <c r="IA331" s="25"/>
      <c r="IB331" s="25"/>
      <c r="IC331" s="25"/>
      <c r="ID331" s="25"/>
      <c r="IE331" s="25"/>
      <c r="IF331" s="25"/>
      <c r="IG331" s="25"/>
      <c r="IH331" s="25"/>
      <c r="II331" s="25"/>
      <c r="IJ331" s="25"/>
      <c r="IK331" s="25"/>
      <c r="IL331" s="25"/>
      <c r="IM331" s="25"/>
      <c r="IN331" s="25"/>
      <c r="IO331" s="25"/>
      <c r="IP331" s="25"/>
      <c r="IQ331" s="25"/>
      <c r="IR331" s="25"/>
      <c r="IS331" s="25"/>
      <c r="IT331" s="25"/>
      <c r="IU331" s="25"/>
      <c r="IV331" s="25"/>
      <c r="IW331" s="25"/>
      <c r="IX331" s="25"/>
      <c r="IY331" s="25"/>
      <c r="IZ331" s="25"/>
      <c r="JA331" s="25"/>
      <c r="JB331" s="25"/>
      <c r="JC331" s="25"/>
      <c r="JD331" s="25"/>
      <c r="JE331" s="25"/>
      <c r="JF331" s="25"/>
      <c r="JG331" s="25"/>
      <c r="JH331" s="25"/>
      <c r="JI331" s="25"/>
      <c r="JJ331" s="25"/>
      <c r="JK331" s="25"/>
      <c r="JL331" s="25"/>
      <c r="JM331" s="25"/>
      <c r="JN331" s="25"/>
      <c r="JO331" s="25"/>
      <c r="JP331" s="25"/>
      <c r="JQ331" s="25"/>
      <c r="JR331" s="25"/>
      <c r="JS331" s="25"/>
      <c r="JT331" s="25"/>
      <c r="JU331" s="25"/>
      <c r="JV331" s="25"/>
      <c r="JW331" s="25"/>
      <c r="JX331" s="25"/>
      <c r="JY331" s="25"/>
      <c r="JZ331" s="25"/>
      <c r="KA331" s="25"/>
      <c r="KB331" s="25"/>
      <c r="KC331" s="25"/>
      <c r="KD331" s="25"/>
      <c r="KE331" s="25"/>
      <c r="KF331" s="25"/>
      <c r="KG331" s="25"/>
      <c r="KH331" s="25"/>
      <c r="KI331" s="25"/>
      <c r="KJ331" s="25"/>
      <c r="KK331" s="25"/>
      <c r="KL331" s="25"/>
      <c r="KM331" s="25"/>
      <c r="KN331" s="25"/>
      <c r="KO331" s="25"/>
      <c r="KP331" s="25"/>
      <c r="KQ331" s="25"/>
      <c r="KR331" s="25"/>
      <c r="KS331" s="25"/>
      <c r="KT331" s="25"/>
      <c r="KU331" s="25"/>
      <c r="KV331" s="25"/>
      <c r="KW331" s="25"/>
      <c r="KX331" s="25"/>
      <c r="KY331" s="25"/>
      <c r="KZ331" s="25"/>
      <c r="LA331" s="25"/>
      <c r="LB331" s="25"/>
      <c r="LC331" s="25"/>
      <c r="LD331" s="25"/>
      <c r="LE331" s="25"/>
      <c r="LF331" s="25"/>
      <c r="LG331" s="25"/>
      <c r="LH331" s="25"/>
      <c r="LI331" s="25"/>
      <c r="LJ331" s="25"/>
      <c r="LK331" s="25"/>
      <c r="LL331" s="25"/>
      <c r="LM331" s="25"/>
      <c r="LN331" s="25"/>
      <c r="LO331" s="25"/>
      <c r="LP331" s="25"/>
      <c r="LQ331" s="25"/>
      <c r="LR331" s="25"/>
      <c r="LS331" s="25"/>
      <c r="LT331" s="25"/>
      <c r="LU331" s="25"/>
      <c r="LV331" s="25"/>
      <c r="LW331" s="25"/>
      <c r="LX331" s="25"/>
      <c r="LY331" s="25"/>
      <c r="LZ331" s="25"/>
      <c r="MA331" s="25"/>
      <c r="MB331" s="25"/>
      <c r="MC331" s="25"/>
      <c r="MD331" s="25"/>
      <c r="ME331" s="25"/>
      <c r="MF331" s="25"/>
      <c r="MG331" s="25"/>
      <c r="MH331" s="25"/>
      <c r="MI331" s="25"/>
      <c r="MJ331" s="25"/>
      <c r="MK331" s="25"/>
      <c r="ML331" s="25"/>
      <c r="MM331" s="25"/>
      <c r="MN331" s="25"/>
      <c r="MO331" s="25"/>
      <c r="MP331" s="25"/>
      <c r="MQ331" s="25"/>
      <c r="MR331" s="25"/>
      <c r="MS331" s="25"/>
      <c r="MT331" s="25"/>
      <c r="MU331" s="25"/>
      <c r="MV331" s="25"/>
      <c r="MW331" s="25"/>
      <c r="MX331" s="25"/>
      <c r="MY331" s="25"/>
      <c r="MZ331" s="25"/>
      <c r="NA331" s="25"/>
      <c r="NB331" s="25"/>
      <c r="NC331" s="25"/>
      <c r="ND331" s="25"/>
      <c r="NE331" s="25"/>
      <c r="NF331" s="25"/>
      <c r="NG331" s="25"/>
      <c r="NH331" s="25"/>
      <c r="NI331" s="25"/>
      <c r="NJ331" s="25"/>
      <c r="NK331" s="25"/>
      <c r="NL331" s="25"/>
      <c r="NM331" s="25"/>
      <c r="NN331" s="25"/>
      <c r="NO331" s="25"/>
      <c r="NP331" s="25"/>
      <c r="NQ331" s="25"/>
      <c r="NR331" s="25"/>
      <c r="NS331" s="25"/>
      <c r="NT331" s="25"/>
      <c r="NU331" s="25"/>
      <c r="NV331" s="25"/>
      <c r="NW331" s="25"/>
      <c r="NX331" s="25"/>
      <c r="NY331" s="25"/>
      <c r="NZ331" s="25"/>
      <c r="OA331" s="25"/>
      <c r="OB331" s="25"/>
      <c r="OC331" s="25"/>
      <c r="OD331" s="25"/>
      <c r="OE331" s="25"/>
      <c r="OF331" s="25"/>
      <c r="OG331" s="25"/>
      <c r="OH331" s="25"/>
      <c r="OI331" s="25"/>
      <c r="OJ331" s="25"/>
      <c r="OK331" s="25"/>
      <c r="OL331" s="25"/>
      <c r="OM331" s="25"/>
      <c r="ON331" s="25"/>
      <c r="OO331" s="25"/>
      <c r="OP331" s="25"/>
      <c r="OQ331" s="25"/>
      <c r="OR331" s="25"/>
      <c r="OS331" s="25"/>
      <c r="OT331" s="25"/>
      <c r="OU331" s="25"/>
      <c r="OV331" s="25"/>
      <c r="OW331" s="25"/>
      <c r="OX331" s="25"/>
      <c r="OY331" s="25"/>
      <c r="OZ331" s="25"/>
      <c r="PA331" s="25"/>
      <c r="PB331" s="25"/>
      <c r="PC331" s="25"/>
      <c r="PD331" s="25"/>
      <c r="PE331" s="25"/>
      <c r="PF331" s="25"/>
      <c r="PG331" s="25"/>
      <c r="PH331" s="25"/>
      <c r="PI331" s="25"/>
      <c r="PJ331" s="25"/>
      <c r="PK331" s="25"/>
      <c r="PL331" s="25"/>
      <c r="PM331" s="25"/>
      <c r="PN331" s="25"/>
      <c r="PO331" s="25"/>
      <c r="PP331" s="25"/>
      <c r="PQ331" s="25"/>
      <c r="PR331" s="25"/>
      <c r="PS331" s="25"/>
      <c r="PT331" s="25"/>
      <c r="PU331" s="25"/>
      <c r="PV331" s="25"/>
      <c r="PW331" s="25"/>
      <c r="PX331" s="25"/>
      <c r="PY331" s="25"/>
      <c r="PZ331" s="25"/>
      <c r="QA331" s="25"/>
      <c r="QB331" s="25"/>
      <c r="QC331" s="25"/>
      <c r="QD331" s="25"/>
      <c r="QE331" s="25"/>
      <c r="QF331" s="25"/>
      <c r="QG331" s="25"/>
      <c r="QH331" s="25"/>
      <c r="QI331" s="25"/>
      <c r="QJ331" s="25"/>
      <c r="QK331" s="25"/>
      <c r="QL331" s="25"/>
      <c r="QM331" s="25"/>
      <c r="QN331" s="25"/>
      <c r="QO331" s="25"/>
      <c r="QP331" s="25"/>
      <c r="QQ331" s="25"/>
      <c r="QR331" s="25"/>
      <c r="QS331" s="25"/>
      <c r="QT331" s="25"/>
      <c r="QU331" s="25"/>
      <c r="QV331" s="25"/>
      <c r="QW331" s="25"/>
      <c r="QX331" s="25"/>
      <c r="QY331" s="25"/>
      <c r="QZ331" s="25"/>
      <c r="RA331" s="25"/>
      <c r="RB331" s="25"/>
      <c r="RC331" s="25"/>
      <c r="RD331" s="25"/>
      <c r="RE331" s="25"/>
      <c r="RF331" s="25"/>
      <c r="RG331" s="25"/>
      <c r="RH331" s="25"/>
      <c r="RI331" s="25"/>
      <c r="RJ331" s="25"/>
      <c r="RK331" s="25"/>
      <c r="RL331" s="25"/>
      <c r="RM331" s="25"/>
      <c r="RN331" s="25"/>
      <c r="RO331" s="25"/>
      <c r="RP331" s="25"/>
      <c r="RQ331" s="25"/>
      <c r="RR331" s="25"/>
      <c r="RS331" s="25"/>
      <c r="RT331" s="25"/>
      <c r="RU331" s="25"/>
      <c r="RV331" s="25"/>
      <c r="RW331" s="25"/>
      <c r="RX331" s="25"/>
      <c r="RY331" s="25"/>
      <c r="RZ331" s="25"/>
      <c r="SA331" s="25"/>
      <c r="SB331" s="25"/>
      <c r="SC331" s="25"/>
      <c r="SD331" s="25"/>
      <c r="SE331" s="25"/>
      <c r="SF331" s="25"/>
      <c r="SG331" s="25"/>
      <c r="SH331" s="25"/>
      <c r="SI331" s="25"/>
      <c r="SJ331" s="25"/>
      <c r="SK331" s="25"/>
      <c r="SL331" s="25"/>
      <c r="SM331" s="25"/>
      <c r="SN331" s="25"/>
      <c r="SO331" s="25"/>
      <c r="SP331" s="25"/>
      <c r="SQ331" s="25"/>
      <c r="SR331" s="25"/>
      <c r="SS331" s="25"/>
      <c r="ST331" s="25"/>
      <c r="SU331" s="25"/>
      <c r="SV331" s="25"/>
      <c r="SW331" s="25"/>
      <c r="SX331" s="25"/>
      <c r="SY331" s="25"/>
      <c r="SZ331" s="25"/>
      <c r="TA331" s="25"/>
      <c r="TB331" s="25"/>
      <c r="TC331" s="25"/>
      <c r="TD331" s="25"/>
      <c r="TE331" s="25"/>
      <c r="TF331" s="25"/>
      <c r="TG331" s="25"/>
      <c r="TH331" s="25"/>
      <c r="TI331" s="25"/>
      <c r="TJ331" s="25"/>
      <c r="TK331" s="25"/>
      <c r="TL331" s="25"/>
      <c r="TM331" s="25"/>
      <c r="TN331" s="25"/>
      <c r="TO331" s="25"/>
      <c r="TP331" s="25"/>
      <c r="TQ331" s="25"/>
      <c r="TR331" s="25"/>
      <c r="TS331" s="25"/>
      <c r="TT331" s="25"/>
      <c r="TU331" s="25"/>
      <c r="TV331" s="25"/>
      <c r="TW331" s="25"/>
      <c r="TX331" s="25"/>
      <c r="TY331" s="25"/>
      <c r="TZ331" s="25"/>
      <c r="UA331" s="25"/>
      <c r="UB331" s="25"/>
      <c r="UC331" s="25"/>
      <c r="UD331" s="25"/>
      <c r="UE331" s="25"/>
      <c r="UF331" s="25"/>
      <c r="UG331" s="26"/>
    </row>
    <row r="332" spans="1:553" ht="41.25" customHeight="1">
      <c r="A332" s="356" t="s">
        <v>15</v>
      </c>
      <c r="B332" s="366" t="s">
        <v>290</v>
      </c>
      <c r="C332" s="1562" t="s">
        <v>291</v>
      </c>
      <c r="D332" s="1389"/>
      <c r="E332" s="1389"/>
      <c r="F332" s="1390"/>
      <c r="G332" s="386" t="s">
        <v>34</v>
      </c>
      <c r="H332" s="370"/>
      <c r="I332" s="834">
        <f>1*0.8*0.3+0.8*0.8*1.2</f>
        <v>1.008</v>
      </c>
      <c r="J332" s="368">
        <v>1080400</v>
      </c>
      <c r="K332" s="371"/>
      <c r="L332" s="391">
        <f t="shared" si="70"/>
        <v>1089043</v>
      </c>
      <c r="M332" s="395"/>
      <c r="N332" s="395"/>
      <c r="O332" s="366"/>
      <c r="P332" s="396"/>
      <c r="Q332" s="473"/>
      <c r="R332" s="1039"/>
      <c r="S332" s="435"/>
      <c r="T332" s="436"/>
      <c r="U332" s="304"/>
      <c r="V332" s="393"/>
      <c r="W332" s="304"/>
      <c r="X332" s="304"/>
      <c r="Y332" s="304"/>
      <c r="Z332" s="304"/>
      <c r="AA332" s="304"/>
      <c r="AB332" s="304"/>
      <c r="AC332" s="449"/>
      <c r="AD332" s="449"/>
      <c r="AE332" s="449"/>
      <c r="AF332" s="449"/>
      <c r="AG332" s="452"/>
      <c r="AH332" s="452"/>
      <c r="AI332" s="452"/>
      <c r="AJ332" s="452"/>
      <c r="AK332" s="452"/>
      <c r="AL332" s="104"/>
      <c r="AM332" s="32"/>
      <c r="AN332" s="32"/>
      <c r="AO332" s="32"/>
      <c r="AP332" s="32"/>
      <c r="AQ332" s="31"/>
      <c r="AR332" s="31"/>
      <c r="AS332" s="31"/>
      <c r="AT332" s="31"/>
      <c r="AU332" s="31"/>
      <c r="AV332" s="31"/>
      <c r="AW332" s="31"/>
      <c r="AX332" s="31"/>
      <c r="AY332" s="31"/>
      <c r="AZ332" s="31"/>
      <c r="BA332" s="31"/>
      <c r="BB332" s="31"/>
      <c r="BC332" s="31"/>
      <c r="BD332" s="31"/>
      <c r="BE332" s="31"/>
      <c r="BF332" s="31"/>
      <c r="BG332" s="31"/>
      <c r="BH332" s="31"/>
      <c r="BI332" s="31"/>
      <c r="BJ332" s="31"/>
      <c r="BK332" s="31"/>
      <c r="BL332" s="31"/>
      <c r="BM332" s="25"/>
      <c r="BN332" s="25"/>
      <c r="BO332" s="25"/>
      <c r="BP332" s="25"/>
      <c r="BQ332" s="25"/>
      <c r="BR332" s="25"/>
      <c r="BS332" s="25"/>
      <c r="BT332" s="25"/>
      <c r="BU332" s="25"/>
      <c r="BV332" s="25"/>
      <c r="BW332" s="25"/>
      <c r="BX332" s="25"/>
      <c r="BY332" s="25"/>
      <c r="BZ332" s="25"/>
      <c r="CA332" s="25"/>
      <c r="CB332" s="25"/>
      <c r="CC332" s="25"/>
      <c r="CD332" s="25"/>
      <c r="CE332" s="25"/>
      <c r="CF332" s="25"/>
      <c r="CG332" s="25"/>
      <c r="CH332" s="25"/>
      <c r="CI332" s="25"/>
      <c r="CJ332" s="25"/>
      <c r="CK332" s="25"/>
      <c r="CL332" s="25"/>
      <c r="CM332" s="25"/>
      <c r="CN332" s="25"/>
      <c r="CO332" s="25"/>
      <c r="CP332" s="25"/>
      <c r="CQ332" s="25"/>
      <c r="CR332" s="25"/>
      <c r="CS332" s="25"/>
      <c r="CT332" s="25"/>
      <c r="CU332" s="25"/>
      <c r="CV332" s="25"/>
      <c r="CW332" s="25"/>
      <c r="CX332" s="25"/>
      <c r="CY332" s="25"/>
      <c r="CZ332" s="25"/>
      <c r="DA332" s="25"/>
      <c r="DB332" s="25"/>
      <c r="DC332" s="25"/>
      <c r="DD332" s="25"/>
      <c r="DE332" s="25"/>
      <c r="DF332" s="25"/>
      <c r="DG332" s="25"/>
      <c r="DH332" s="25"/>
      <c r="DI332" s="25"/>
      <c r="DJ332" s="25"/>
      <c r="DK332" s="25"/>
      <c r="DL332" s="25"/>
      <c r="DM332" s="25"/>
      <c r="DN332" s="25"/>
      <c r="DO332" s="25"/>
      <c r="DP332" s="25"/>
      <c r="DQ332" s="25"/>
      <c r="DR332" s="25"/>
      <c r="DS332" s="25"/>
      <c r="DT332" s="25"/>
      <c r="DU332" s="25"/>
      <c r="DV332" s="25"/>
      <c r="DW332" s="25"/>
      <c r="DX332" s="25"/>
      <c r="DY332" s="25"/>
      <c r="DZ332" s="25"/>
      <c r="EA332" s="25"/>
      <c r="EB332" s="25"/>
      <c r="EC332" s="25"/>
      <c r="ED332" s="25"/>
      <c r="EE332" s="25"/>
      <c r="EF332" s="25"/>
      <c r="EG332" s="25"/>
      <c r="EH332" s="25"/>
      <c r="EI332" s="25"/>
      <c r="EJ332" s="25"/>
      <c r="EK332" s="25"/>
      <c r="EL332" s="25"/>
      <c r="EM332" s="25"/>
      <c r="EN332" s="25"/>
      <c r="EO332" s="25"/>
      <c r="EP332" s="25"/>
      <c r="EQ332" s="25"/>
      <c r="ER332" s="25"/>
      <c r="ES332" s="25"/>
      <c r="ET332" s="25"/>
      <c r="EU332" s="25"/>
      <c r="EV332" s="25"/>
      <c r="EW332" s="25"/>
      <c r="EX332" s="25"/>
      <c r="EY332" s="25"/>
      <c r="EZ332" s="25"/>
      <c r="FA332" s="25"/>
      <c r="FB332" s="25"/>
      <c r="FC332" s="25"/>
      <c r="FD332" s="25"/>
      <c r="FE332" s="25"/>
      <c r="FF332" s="25"/>
      <c r="FG332" s="25"/>
      <c r="FH332" s="25"/>
      <c r="FI332" s="25"/>
      <c r="FJ332" s="25"/>
      <c r="FK332" s="25"/>
      <c r="FL332" s="25"/>
      <c r="FM332" s="25"/>
      <c r="FN332" s="25"/>
      <c r="FO332" s="25"/>
      <c r="FP332" s="25"/>
      <c r="FQ332" s="25"/>
      <c r="FR332" s="25"/>
      <c r="FS332" s="25"/>
      <c r="FT332" s="25"/>
      <c r="FU332" s="25"/>
      <c r="FV332" s="25"/>
      <c r="FW332" s="25"/>
      <c r="FX332" s="25"/>
      <c r="FY332" s="25"/>
      <c r="FZ332" s="25"/>
      <c r="GA332" s="25"/>
      <c r="GB332" s="25"/>
      <c r="GC332" s="25"/>
      <c r="GD332" s="25"/>
      <c r="GE332" s="25"/>
      <c r="GF332" s="25"/>
      <c r="GG332" s="25"/>
      <c r="GH332" s="25"/>
      <c r="GI332" s="25"/>
      <c r="GJ332" s="25"/>
      <c r="GK332" s="25"/>
      <c r="GL332" s="25"/>
      <c r="GM332" s="25"/>
      <c r="GN332" s="25"/>
      <c r="GO332" s="25"/>
      <c r="GP332" s="25"/>
      <c r="GQ332" s="25"/>
      <c r="GR332" s="25"/>
      <c r="GS332" s="25"/>
      <c r="GT332" s="25"/>
      <c r="GU332" s="25"/>
      <c r="GV332" s="25"/>
      <c r="GW332" s="25"/>
      <c r="GX332" s="25"/>
      <c r="GY332" s="25"/>
      <c r="GZ332" s="25"/>
      <c r="HA332" s="25"/>
      <c r="HB332" s="25"/>
      <c r="HC332" s="25"/>
      <c r="HD332" s="25"/>
      <c r="HE332" s="25"/>
      <c r="HF332" s="25"/>
      <c r="HG332" s="25"/>
      <c r="HH332" s="25"/>
      <c r="HI332" s="25"/>
      <c r="HJ332" s="25"/>
      <c r="HK332" s="25"/>
      <c r="HL332" s="25"/>
      <c r="HM332" s="25"/>
      <c r="HN332" s="25"/>
      <c r="HO332" s="25"/>
      <c r="HP332" s="25"/>
      <c r="HQ332" s="25"/>
      <c r="HR332" s="25"/>
      <c r="HS332" s="25"/>
      <c r="HT332" s="25"/>
      <c r="HU332" s="25"/>
      <c r="HV332" s="25"/>
      <c r="HW332" s="25"/>
      <c r="HX332" s="25"/>
      <c r="HY332" s="25"/>
      <c r="HZ332" s="25"/>
      <c r="IA332" s="25"/>
      <c r="IB332" s="25"/>
      <c r="IC332" s="25"/>
      <c r="ID332" s="25"/>
      <c r="IE332" s="25"/>
      <c r="IF332" s="25"/>
      <c r="IG332" s="25"/>
      <c r="IH332" s="25"/>
      <c r="II332" s="25"/>
      <c r="IJ332" s="25"/>
      <c r="IK332" s="25"/>
      <c r="IL332" s="25"/>
      <c r="IM332" s="25"/>
      <c r="IN332" s="25"/>
      <c r="IO332" s="25"/>
      <c r="IP332" s="25"/>
      <c r="IQ332" s="25"/>
      <c r="IR332" s="25"/>
      <c r="IS332" s="25"/>
      <c r="IT332" s="25"/>
      <c r="IU332" s="25"/>
      <c r="IV332" s="25"/>
      <c r="IW332" s="25"/>
      <c r="IX332" s="25"/>
      <c r="IY332" s="25"/>
      <c r="IZ332" s="25"/>
      <c r="JA332" s="25"/>
      <c r="JB332" s="25"/>
      <c r="JC332" s="25"/>
      <c r="JD332" s="25"/>
      <c r="JE332" s="25"/>
      <c r="JF332" s="25"/>
      <c r="JG332" s="25"/>
      <c r="JH332" s="25"/>
      <c r="JI332" s="25"/>
      <c r="JJ332" s="25"/>
      <c r="JK332" s="25"/>
      <c r="JL332" s="25"/>
      <c r="JM332" s="25"/>
      <c r="JN332" s="25"/>
      <c r="JO332" s="25"/>
      <c r="JP332" s="25"/>
      <c r="JQ332" s="25"/>
      <c r="JR332" s="25"/>
      <c r="JS332" s="25"/>
      <c r="JT332" s="25"/>
      <c r="JU332" s="25"/>
      <c r="JV332" s="25"/>
      <c r="JW332" s="25"/>
      <c r="JX332" s="25"/>
      <c r="JY332" s="25"/>
      <c r="JZ332" s="25"/>
      <c r="KA332" s="25"/>
      <c r="KB332" s="25"/>
      <c r="KC332" s="25"/>
      <c r="KD332" s="25"/>
      <c r="KE332" s="25"/>
      <c r="KF332" s="25"/>
      <c r="KG332" s="25"/>
      <c r="KH332" s="25"/>
      <c r="KI332" s="25"/>
      <c r="KJ332" s="25"/>
      <c r="KK332" s="25"/>
      <c r="KL332" s="25"/>
      <c r="KM332" s="25"/>
      <c r="KN332" s="25"/>
      <c r="KO332" s="25"/>
      <c r="KP332" s="25"/>
      <c r="KQ332" s="25"/>
      <c r="KR332" s="25"/>
      <c r="KS332" s="25"/>
      <c r="KT332" s="25"/>
      <c r="KU332" s="25"/>
      <c r="KV332" s="25"/>
      <c r="KW332" s="25"/>
      <c r="KX332" s="25"/>
      <c r="KY332" s="25"/>
      <c r="KZ332" s="25"/>
      <c r="LA332" s="25"/>
      <c r="LB332" s="25"/>
      <c r="LC332" s="25"/>
      <c r="LD332" s="25"/>
      <c r="LE332" s="25"/>
      <c r="LF332" s="25"/>
      <c r="LG332" s="25"/>
      <c r="LH332" s="25"/>
      <c r="LI332" s="25"/>
      <c r="LJ332" s="25"/>
      <c r="LK332" s="25"/>
      <c r="LL332" s="25"/>
      <c r="LM332" s="25"/>
      <c r="LN332" s="25"/>
      <c r="LO332" s="25"/>
      <c r="LP332" s="25"/>
      <c r="LQ332" s="25"/>
      <c r="LR332" s="25"/>
      <c r="LS332" s="25"/>
      <c r="LT332" s="25"/>
      <c r="LU332" s="25"/>
      <c r="LV332" s="25"/>
      <c r="LW332" s="25"/>
      <c r="LX332" s="25"/>
      <c r="LY332" s="25"/>
      <c r="LZ332" s="25"/>
      <c r="MA332" s="25"/>
      <c r="MB332" s="25"/>
      <c r="MC332" s="25"/>
      <c r="MD332" s="25"/>
      <c r="ME332" s="25"/>
      <c r="MF332" s="25"/>
      <c r="MG332" s="25"/>
      <c r="MH332" s="25"/>
      <c r="MI332" s="25"/>
      <c r="MJ332" s="25"/>
      <c r="MK332" s="25"/>
      <c r="ML332" s="25"/>
      <c r="MM332" s="25"/>
      <c r="MN332" s="25"/>
      <c r="MO332" s="25"/>
      <c r="MP332" s="25"/>
      <c r="MQ332" s="25"/>
      <c r="MR332" s="25"/>
      <c r="MS332" s="25"/>
      <c r="MT332" s="25"/>
      <c r="MU332" s="25"/>
      <c r="MV332" s="25"/>
      <c r="MW332" s="25"/>
      <c r="MX332" s="25"/>
      <c r="MY332" s="25"/>
      <c r="MZ332" s="25"/>
      <c r="NA332" s="25"/>
      <c r="NB332" s="25"/>
      <c r="NC332" s="25"/>
      <c r="ND332" s="25"/>
      <c r="NE332" s="25"/>
      <c r="NF332" s="25"/>
      <c r="NG332" s="25"/>
      <c r="NH332" s="25"/>
      <c r="NI332" s="25"/>
      <c r="NJ332" s="25"/>
      <c r="NK332" s="25"/>
      <c r="NL332" s="25"/>
      <c r="NM332" s="25"/>
      <c r="NN332" s="25"/>
      <c r="NO332" s="25"/>
      <c r="NP332" s="25"/>
      <c r="NQ332" s="25"/>
      <c r="NR332" s="25"/>
      <c r="NS332" s="25"/>
      <c r="NT332" s="25"/>
      <c r="NU332" s="25"/>
      <c r="NV332" s="25"/>
      <c r="NW332" s="25"/>
      <c r="NX332" s="25"/>
      <c r="NY332" s="25"/>
      <c r="NZ332" s="25"/>
      <c r="OA332" s="25"/>
      <c r="OB332" s="25"/>
      <c r="OC332" s="25"/>
      <c r="OD332" s="25"/>
      <c r="OE332" s="25"/>
      <c r="OF332" s="25"/>
      <c r="OG332" s="25"/>
      <c r="OH332" s="25"/>
      <c r="OI332" s="25"/>
      <c r="OJ332" s="25"/>
      <c r="OK332" s="25"/>
      <c r="OL332" s="25"/>
      <c r="OM332" s="25"/>
      <c r="ON332" s="25"/>
      <c r="OO332" s="25"/>
      <c r="OP332" s="25"/>
      <c r="OQ332" s="25"/>
      <c r="OR332" s="25"/>
      <c r="OS332" s="25"/>
      <c r="OT332" s="25"/>
      <c r="OU332" s="25"/>
      <c r="OV332" s="25"/>
      <c r="OW332" s="25"/>
      <c r="OX332" s="25"/>
      <c r="OY332" s="25"/>
      <c r="OZ332" s="25"/>
      <c r="PA332" s="25"/>
      <c r="PB332" s="25"/>
      <c r="PC332" s="25"/>
      <c r="PD332" s="25"/>
      <c r="PE332" s="25"/>
      <c r="PF332" s="25"/>
      <c r="PG332" s="25"/>
      <c r="PH332" s="25"/>
      <c r="PI332" s="25"/>
      <c r="PJ332" s="25"/>
      <c r="PK332" s="25"/>
      <c r="PL332" s="25"/>
      <c r="PM332" s="25"/>
      <c r="PN332" s="25"/>
      <c r="PO332" s="25"/>
      <c r="PP332" s="25"/>
      <c r="PQ332" s="25"/>
      <c r="PR332" s="25"/>
      <c r="PS332" s="25"/>
      <c r="PT332" s="25"/>
      <c r="PU332" s="25"/>
      <c r="PV332" s="25"/>
      <c r="PW332" s="25"/>
      <c r="PX332" s="25"/>
      <c r="PY332" s="25"/>
      <c r="PZ332" s="25"/>
      <c r="QA332" s="25"/>
      <c r="QB332" s="25"/>
      <c r="QC332" s="25"/>
      <c r="QD332" s="25"/>
      <c r="QE332" s="25"/>
      <c r="QF332" s="25"/>
      <c r="QG332" s="25"/>
      <c r="QH332" s="25"/>
      <c r="QI332" s="25"/>
      <c r="QJ332" s="25"/>
      <c r="QK332" s="25"/>
      <c r="QL332" s="25"/>
      <c r="QM332" s="25"/>
      <c r="QN332" s="25"/>
      <c r="QO332" s="25"/>
      <c r="QP332" s="25"/>
      <c r="QQ332" s="25"/>
      <c r="QR332" s="25"/>
      <c r="QS332" s="25"/>
      <c r="QT332" s="25"/>
      <c r="QU332" s="25"/>
      <c r="QV332" s="25"/>
      <c r="QW332" s="25"/>
      <c r="QX332" s="25"/>
      <c r="QY332" s="25"/>
      <c r="QZ332" s="25"/>
      <c r="RA332" s="25"/>
      <c r="RB332" s="25"/>
      <c r="RC332" s="25"/>
      <c r="RD332" s="25"/>
      <c r="RE332" s="25"/>
      <c r="RF332" s="25"/>
      <c r="RG332" s="25"/>
      <c r="RH332" s="25"/>
      <c r="RI332" s="25"/>
      <c r="RJ332" s="25"/>
      <c r="RK332" s="25"/>
      <c r="RL332" s="25"/>
      <c r="RM332" s="25"/>
      <c r="RN332" s="25"/>
      <c r="RO332" s="25"/>
      <c r="RP332" s="25"/>
      <c r="RQ332" s="25"/>
      <c r="RR332" s="25"/>
      <c r="RS332" s="25"/>
      <c r="RT332" s="25"/>
      <c r="RU332" s="25"/>
      <c r="RV332" s="25"/>
      <c r="RW332" s="25"/>
      <c r="RX332" s="25"/>
      <c r="RY332" s="25"/>
      <c r="RZ332" s="25"/>
      <c r="SA332" s="25"/>
      <c r="SB332" s="25"/>
      <c r="SC332" s="25"/>
      <c r="SD332" s="25"/>
      <c r="SE332" s="25"/>
      <c r="SF332" s="25"/>
      <c r="SG332" s="25"/>
      <c r="SH332" s="25"/>
      <c r="SI332" s="25"/>
      <c r="SJ332" s="25"/>
      <c r="SK332" s="25"/>
      <c r="SL332" s="25"/>
      <c r="SM332" s="25"/>
      <c r="SN332" s="25"/>
      <c r="SO332" s="25"/>
      <c r="SP332" s="25"/>
      <c r="SQ332" s="25"/>
      <c r="SR332" s="25"/>
      <c r="SS332" s="25"/>
      <c r="ST332" s="25"/>
      <c r="SU332" s="25"/>
      <c r="SV332" s="25"/>
      <c r="SW332" s="25"/>
      <c r="SX332" s="25"/>
      <c r="SY332" s="25"/>
      <c r="SZ332" s="25"/>
      <c r="TA332" s="25"/>
      <c r="TB332" s="25"/>
      <c r="TC332" s="25"/>
      <c r="TD332" s="25"/>
      <c r="TE332" s="25"/>
      <c r="TF332" s="25"/>
      <c r="TG332" s="25"/>
      <c r="TH332" s="25"/>
      <c r="TI332" s="25"/>
      <c r="TJ332" s="25"/>
      <c r="TK332" s="25"/>
      <c r="TL332" s="25"/>
      <c r="TM332" s="25"/>
      <c r="TN332" s="25"/>
      <c r="TO332" s="25"/>
      <c r="TP332" s="25"/>
      <c r="TQ332" s="25"/>
      <c r="TR332" s="25"/>
      <c r="TS332" s="25"/>
      <c r="TT332" s="25"/>
      <c r="TU332" s="25"/>
      <c r="TV332" s="25"/>
      <c r="TW332" s="25"/>
      <c r="TX332" s="25"/>
      <c r="TY332" s="25"/>
      <c r="TZ332" s="25"/>
      <c r="UA332" s="25"/>
      <c r="UB332" s="25"/>
      <c r="UC332" s="25"/>
      <c r="UD332" s="25"/>
      <c r="UE332" s="25"/>
      <c r="UF332" s="25"/>
      <c r="UG332" s="26"/>
    </row>
    <row r="333" spans="1:553" ht="69" customHeight="1">
      <c r="A333" s="356" t="s">
        <v>15</v>
      </c>
      <c r="B333" s="366" t="s">
        <v>292</v>
      </c>
      <c r="C333" s="1562" t="s">
        <v>293</v>
      </c>
      <c r="D333" s="1389"/>
      <c r="E333" s="1389"/>
      <c r="F333" s="1390"/>
      <c r="G333" s="386" t="s">
        <v>935</v>
      </c>
      <c r="H333" s="370"/>
      <c r="I333" s="422">
        <f>7*4</f>
        <v>28</v>
      </c>
      <c r="J333" s="368">
        <v>1088500</v>
      </c>
      <c r="K333" s="371"/>
      <c r="L333" s="391">
        <f t="shared" ref="L333:L334" si="71">I333*J333</f>
        <v>30478000</v>
      </c>
      <c r="M333" s="391"/>
      <c r="N333" s="391"/>
      <c r="O333" s="391"/>
      <c r="P333" s="391"/>
      <c r="Q333" s="1142"/>
      <c r="R333" s="1226"/>
      <c r="S333" s="308"/>
      <c r="T333" s="303"/>
      <c r="U333" s="306"/>
      <c r="V333" s="307"/>
      <c r="W333" s="306"/>
      <c r="X333" s="306"/>
      <c r="Y333" s="306"/>
      <c r="Z333" s="306"/>
      <c r="AA333" s="306"/>
      <c r="AB333" s="306"/>
      <c r="AC333" s="449"/>
      <c r="AD333" s="449"/>
      <c r="AE333" s="449"/>
      <c r="AF333" s="449"/>
      <c r="AG333" s="449"/>
      <c r="AH333" s="449"/>
      <c r="AI333" s="449"/>
      <c r="AJ333" s="449"/>
      <c r="AK333" s="452"/>
      <c r="AL333" s="104"/>
      <c r="AM333" s="32"/>
      <c r="AN333" s="32"/>
      <c r="AO333" s="32"/>
      <c r="AP333" s="32"/>
      <c r="AQ333" s="32"/>
      <c r="AR333" s="32"/>
      <c r="AS333" s="31"/>
      <c r="AT333" s="31"/>
      <c r="AU333" s="31"/>
      <c r="AV333" s="31"/>
      <c r="AW333" s="31"/>
      <c r="AX333" s="31"/>
      <c r="AY333" s="31"/>
      <c r="AZ333" s="31"/>
      <c r="BA333" s="31"/>
      <c r="BB333" s="31"/>
      <c r="BC333" s="31"/>
      <c r="BD333" s="31"/>
      <c r="BE333" s="31"/>
      <c r="BF333" s="31"/>
      <c r="BG333" s="31"/>
      <c r="BH333" s="31"/>
      <c r="BI333" s="31"/>
      <c r="BJ333" s="31"/>
      <c r="BK333" s="31"/>
      <c r="BL333" s="31"/>
      <c r="BM333" s="31"/>
      <c r="BN333" s="31"/>
      <c r="BO333" s="31"/>
      <c r="BP333" s="31"/>
      <c r="BQ333" s="31"/>
      <c r="BR333" s="31"/>
      <c r="BS333" s="31"/>
      <c r="BT333" s="31"/>
      <c r="BU333" s="31"/>
      <c r="BV333" s="31"/>
      <c r="BW333" s="31"/>
      <c r="BX333" s="31"/>
      <c r="BY333" s="31"/>
      <c r="BZ333" s="31"/>
      <c r="CA333" s="31"/>
      <c r="CB333" s="31"/>
      <c r="CC333" s="31"/>
      <c r="CD333" s="31"/>
      <c r="CE333" s="31"/>
      <c r="CF333" s="31"/>
      <c r="CG333" s="31"/>
      <c r="CH333" s="31"/>
      <c r="CI333" s="31"/>
      <c r="CJ333" s="31"/>
      <c r="CK333" s="31"/>
      <c r="CL333" s="31"/>
      <c r="CM333" s="31"/>
      <c r="CN333" s="31"/>
      <c r="CO333" s="31"/>
      <c r="CP333" s="31"/>
      <c r="CQ333" s="31"/>
      <c r="CR333" s="31"/>
      <c r="CS333" s="31"/>
      <c r="CT333" s="31"/>
      <c r="CU333" s="31"/>
      <c r="CV333" s="31"/>
      <c r="CW333" s="31"/>
      <c r="CX333" s="31"/>
      <c r="CY333" s="31"/>
      <c r="CZ333" s="31"/>
      <c r="DA333" s="31"/>
      <c r="DB333" s="31"/>
      <c r="DC333" s="31"/>
      <c r="DD333" s="31"/>
      <c r="DE333" s="31"/>
      <c r="DF333" s="31"/>
      <c r="DG333" s="31"/>
      <c r="DH333" s="31"/>
      <c r="DI333" s="31"/>
      <c r="DJ333" s="31"/>
      <c r="DK333" s="31"/>
      <c r="DL333" s="31"/>
      <c r="DM333" s="31"/>
      <c r="DN333" s="31"/>
      <c r="DO333" s="31"/>
      <c r="DP333" s="31"/>
      <c r="DQ333" s="31"/>
      <c r="DR333" s="31"/>
      <c r="DS333" s="31"/>
      <c r="DT333" s="31"/>
      <c r="DU333" s="31"/>
      <c r="DV333" s="31"/>
      <c r="DW333" s="31"/>
      <c r="DX333" s="31"/>
      <c r="DY333" s="31"/>
      <c r="DZ333" s="31"/>
      <c r="EA333" s="31"/>
      <c r="EB333" s="31"/>
      <c r="EC333" s="31"/>
      <c r="ED333" s="31"/>
      <c r="EE333" s="31"/>
      <c r="EF333" s="31"/>
      <c r="EG333" s="31"/>
      <c r="EH333" s="31"/>
      <c r="EI333" s="31"/>
      <c r="EJ333" s="31"/>
      <c r="EK333" s="31"/>
      <c r="EL333" s="31"/>
      <c r="EM333" s="31"/>
      <c r="EN333" s="31"/>
      <c r="EO333" s="31"/>
      <c r="EP333" s="31"/>
      <c r="EQ333" s="31"/>
      <c r="ER333" s="31"/>
      <c r="ES333" s="31"/>
      <c r="ET333" s="31"/>
      <c r="EU333" s="31"/>
      <c r="EV333" s="31"/>
      <c r="EW333" s="31"/>
      <c r="EX333" s="31"/>
      <c r="EY333" s="31"/>
      <c r="EZ333" s="31"/>
      <c r="FA333" s="31"/>
      <c r="FB333" s="31"/>
      <c r="FC333" s="31"/>
      <c r="FD333" s="31"/>
      <c r="FE333" s="31"/>
      <c r="FF333" s="31"/>
      <c r="FG333" s="31"/>
      <c r="FH333" s="31"/>
      <c r="FI333" s="31"/>
      <c r="FJ333" s="31"/>
      <c r="FK333" s="31"/>
      <c r="FL333" s="31"/>
      <c r="FM333" s="31"/>
      <c r="FN333" s="31"/>
      <c r="FO333" s="31"/>
      <c r="FP333" s="31"/>
      <c r="FQ333" s="31"/>
      <c r="FR333" s="31"/>
      <c r="FS333" s="31"/>
      <c r="FT333" s="31"/>
      <c r="FU333" s="31"/>
      <c r="FV333" s="31"/>
      <c r="FW333" s="31"/>
      <c r="FX333" s="31"/>
      <c r="FY333" s="31"/>
      <c r="FZ333" s="31"/>
      <c r="GA333" s="31"/>
      <c r="GB333" s="31"/>
      <c r="GC333" s="31"/>
      <c r="GD333" s="31"/>
      <c r="GE333" s="31"/>
      <c r="GF333" s="31"/>
      <c r="GG333" s="31"/>
      <c r="GH333" s="31"/>
      <c r="GI333" s="31"/>
      <c r="GJ333" s="31"/>
      <c r="GK333" s="31"/>
      <c r="GL333" s="31"/>
      <c r="GM333" s="31"/>
      <c r="GN333" s="31"/>
      <c r="GO333" s="31"/>
      <c r="GP333" s="31"/>
      <c r="GQ333" s="31"/>
      <c r="GR333" s="31"/>
      <c r="GS333" s="31"/>
      <c r="GT333" s="31"/>
      <c r="GU333" s="31"/>
      <c r="GV333" s="31"/>
      <c r="GW333" s="31"/>
      <c r="GX333" s="31"/>
      <c r="GY333" s="31"/>
      <c r="GZ333" s="31"/>
      <c r="HA333" s="31"/>
      <c r="HB333" s="31"/>
      <c r="HC333" s="31"/>
      <c r="HD333" s="31"/>
      <c r="HE333" s="31"/>
      <c r="HF333" s="31"/>
      <c r="HG333" s="31"/>
      <c r="HH333" s="31"/>
      <c r="HI333" s="31"/>
      <c r="HJ333" s="31"/>
      <c r="HK333" s="31"/>
      <c r="HL333" s="31"/>
      <c r="HM333" s="31"/>
      <c r="HN333" s="31"/>
      <c r="HO333" s="31"/>
      <c r="HP333" s="31"/>
      <c r="HQ333" s="31"/>
      <c r="HR333" s="31"/>
      <c r="HS333" s="31"/>
      <c r="HT333" s="31"/>
      <c r="HU333" s="31"/>
      <c r="HV333" s="31"/>
      <c r="HW333" s="31"/>
      <c r="HX333" s="31"/>
      <c r="HY333" s="31"/>
      <c r="HZ333" s="31"/>
      <c r="IA333" s="31"/>
      <c r="IB333" s="31"/>
      <c r="IC333" s="31"/>
      <c r="ID333" s="31"/>
      <c r="IE333" s="31"/>
      <c r="IF333" s="31"/>
      <c r="IG333" s="31"/>
      <c r="IH333" s="31"/>
      <c r="II333" s="31"/>
      <c r="IJ333" s="31"/>
      <c r="IK333" s="31"/>
      <c r="IL333" s="31"/>
      <c r="IM333" s="31"/>
      <c r="IN333" s="31"/>
      <c r="IO333" s="31"/>
      <c r="IP333" s="31"/>
      <c r="IQ333" s="31"/>
      <c r="IR333" s="31"/>
      <c r="IS333" s="31"/>
      <c r="IT333" s="31"/>
      <c r="IU333" s="31"/>
      <c r="IV333" s="31"/>
      <c r="IW333" s="31"/>
      <c r="IX333" s="31"/>
      <c r="IY333" s="31"/>
      <c r="IZ333" s="31"/>
      <c r="JA333" s="31"/>
      <c r="JB333" s="31"/>
      <c r="JC333" s="31"/>
      <c r="JD333" s="31"/>
      <c r="JE333" s="31"/>
      <c r="JF333" s="31"/>
      <c r="JG333" s="31"/>
      <c r="JH333" s="31"/>
      <c r="JI333" s="31"/>
      <c r="JJ333" s="31"/>
      <c r="JK333" s="31"/>
      <c r="JL333" s="31"/>
      <c r="JM333" s="31"/>
      <c r="JN333" s="31"/>
      <c r="JO333" s="31"/>
      <c r="JP333" s="31"/>
      <c r="JQ333" s="31"/>
      <c r="JR333" s="31"/>
      <c r="JS333" s="31"/>
      <c r="JT333" s="31"/>
      <c r="JU333" s="31"/>
      <c r="JV333" s="31"/>
      <c r="JW333" s="31"/>
      <c r="JX333" s="31"/>
      <c r="JY333" s="31"/>
      <c r="JZ333" s="31"/>
      <c r="KA333" s="31"/>
      <c r="KB333" s="31"/>
      <c r="KC333" s="31"/>
      <c r="KD333" s="31"/>
      <c r="KE333" s="31"/>
      <c r="KF333" s="31"/>
      <c r="KG333" s="31"/>
      <c r="KH333" s="31"/>
      <c r="KI333" s="31"/>
      <c r="KJ333" s="31"/>
      <c r="KK333" s="31"/>
      <c r="KL333" s="31"/>
      <c r="KM333" s="31"/>
      <c r="KN333" s="31"/>
      <c r="KO333" s="31"/>
      <c r="KP333" s="31"/>
      <c r="KQ333" s="31"/>
      <c r="KR333" s="31"/>
      <c r="KS333" s="31"/>
      <c r="KT333" s="31"/>
      <c r="KU333" s="31"/>
      <c r="KV333" s="31"/>
      <c r="KW333" s="31"/>
      <c r="KX333" s="31"/>
      <c r="KY333" s="31"/>
      <c r="KZ333" s="31"/>
      <c r="LA333" s="31"/>
      <c r="LB333" s="31"/>
      <c r="LC333" s="31"/>
      <c r="LD333" s="31"/>
      <c r="LE333" s="31"/>
      <c r="LF333" s="31"/>
      <c r="LG333" s="31"/>
      <c r="LH333" s="31"/>
      <c r="LI333" s="31"/>
      <c r="LJ333" s="31"/>
      <c r="LK333" s="31"/>
      <c r="LL333" s="31"/>
      <c r="LM333" s="31"/>
      <c r="LN333" s="31"/>
      <c r="LO333" s="31"/>
      <c r="LP333" s="31"/>
      <c r="LQ333" s="31"/>
      <c r="LR333" s="31"/>
      <c r="LS333" s="31"/>
      <c r="LT333" s="31"/>
      <c r="LU333" s="31"/>
      <c r="LV333" s="31"/>
      <c r="LW333" s="31"/>
      <c r="LX333" s="31"/>
      <c r="LY333" s="31"/>
      <c r="LZ333" s="31"/>
      <c r="MA333" s="31"/>
      <c r="MB333" s="31"/>
      <c r="MC333" s="31"/>
      <c r="MD333" s="31"/>
      <c r="ME333" s="31"/>
      <c r="MF333" s="31"/>
      <c r="MG333" s="31"/>
      <c r="MH333" s="31"/>
      <c r="MI333" s="31"/>
      <c r="MJ333" s="31"/>
      <c r="MK333" s="31"/>
      <c r="ML333" s="31"/>
      <c r="MM333" s="31"/>
      <c r="MN333" s="31"/>
      <c r="MO333" s="31"/>
      <c r="MP333" s="31"/>
      <c r="MQ333" s="31"/>
      <c r="MR333" s="31"/>
      <c r="MS333" s="31"/>
      <c r="MT333" s="31"/>
      <c r="MU333" s="31"/>
      <c r="MV333" s="31"/>
      <c r="MW333" s="31"/>
      <c r="MX333" s="31"/>
      <c r="MY333" s="31"/>
      <c r="MZ333" s="31"/>
      <c r="NA333" s="31"/>
      <c r="NB333" s="31"/>
      <c r="NC333" s="31"/>
      <c r="ND333" s="31"/>
      <c r="NE333" s="31"/>
      <c r="NF333" s="31"/>
      <c r="NG333" s="31"/>
      <c r="NH333" s="31"/>
      <c r="NI333" s="31"/>
      <c r="NJ333" s="31"/>
      <c r="NK333" s="31"/>
      <c r="NL333" s="31"/>
      <c r="NM333" s="31"/>
      <c r="NN333" s="31"/>
      <c r="NO333" s="31"/>
      <c r="NP333" s="31"/>
      <c r="NQ333" s="31"/>
      <c r="NR333" s="31"/>
      <c r="NS333" s="31"/>
      <c r="NT333" s="31"/>
      <c r="NU333" s="31"/>
      <c r="NV333" s="31"/>
      <c r="NW333" s="31"/>
      <c r="NX333" s="31"/>
      <c r="NY333" s="31"/>
      <c r="NZ333" s="31"/>
      <c r="OA333" s="31"/>
      <c r="OB333" s="31"/>
      <c r="OC333" s="31"/>
      <c r="OD333" s="31"/>
      <c r="OE333" s="31"/>
      <c r="OF333" s="31"/>
      <c r="OG333" s="31"/>
      <c r="OH333" s="31"/>
      <c r="OI333" s="31"/>
      <c r="OJ333" s="31"/>
      <c r="OK333" s="31"/>
      <c r="OL333" s="31"/>
      <c r="OM333" s="31"/>
      <c r="ON333" s="31"/>
      <c r="OO333" s="31"/>
      <c r="OP333" s="31"/>
      <c r="OQ333" s="31"/>
      <c r="OR333" s="31"/>
      <c r="OS333" s="31"/>
      <c r="OT333" s="31"/>
      <c r="OU333" s="31"/>
      <c r="OV333" s="31"/>
      <c r="OW333" s="31"/>
      <c r="OX333" s="31"/>
      <c r="OY333" s="31"/>
      <c r="OZ333" s="31"/>
      <c r="PA333" s="31"/>
      <c r="PB333" s="31"/>
      <c r="PC333" s="31"/>
      <c r="PD333" s="31"/>
      <c r="PE333" s="31"/>
      <c r="PF333" s="31"/>
      <c r="PG333" s="31"/>
      <c r="PH333" s="31"/>
      <c r="PI333" s="31"/>
      <c r="PJ333" s="31"/>
      <c r="PK333" s="31"/>
      <c r="PL333" s="31"/>
      <c r="PM333" s="31"/>
      <c r="PN333" s="31"/>
      <c r="PO333" s="31"/>
      <c r="PP333" s="31"/>
      <c r="PQ333" s="31"/>
      <c r="PR333" s="31"/>
      <c r="PS333" s="31"/>
      <c r="PT333" s="31"/>
      <c r="PU333" s="31"/>
      <c r="PV333" s="31"/>
      <c r="PW333" s="31"/>
      <c r="PX333" s="31"/>
      <c r="PY333" s="31"/>
      <c r="PZ333" s="31"/>
      <c r="QA333" s="31"/>
      <c r="QB333" s="31"/>
      <c r="QC333" s="31"/>
      <c r="QD333" s="31"/>
      <c r="QE333" s="31"/>
      <c r="QF333" s="31"/>
      <c r="QG333" s="31"/>
      <c r="QH333" s="31"/>
      <c r="QI333" s="31"/>
      <c r="QJ333" s="31"/>
      <c r="QK333" s="31"/>
      <c r="QL333" s="31"/>
      <c r="QM333" s="31"/>
      <c r="QN333" s="31"/>
      <c r="QO333" s="31"/>
      <c r="QP333" s="31"/>
      <c r="QQ333" s="31"/>
      <c r="QR333" s="31"/>
      <c r="QS333" s="31"/>
      <c r="QT333" s="31"/>
      <c r="QU333" s="31"/>
      <c r="QV333" s="31"/>
      <c r="QW333" s="31"/>
      <c r="QX333" s="31"/>
      <c r="QY333" s="31"/>
      <c r="QZ333" s="31"/>
      <c r="RA333" s="31"/>
      <c r="RB333" s="31"/>
      <c r="RC333" s="31"/>
      <c r="RD333" s="31"/>
      <c r="RE333" s="31"/>
      <c r="RF333" s="31"/>
      <c r="RG333" s="31"/>
      <c r="RH333" s="31"/>
      <c r="RI333" s="31"/>
      <c r="RJ333" s="31"/>
      <c r="RK333" s="31"/>
      <c r="RL333" s="31"/>
      <c r="RM333" s="31"/>
      <c r="RN333" s="31"/>
      <c r="RO333" s="31"/>
      <c r="RP333" s="31"/>
      <c r="RQ333" s="31"/>
      <c r="RR333" s="31"/>
      <c r="RS333" s="31"/>
      <c r="RT333" s="31"/>
      <c r="RU333" s="31"/>
      <c r="RV333" s="31"/>
      <c r="RW333" s="31"/>
      <c r="RX333" s="31"/>
      <c r="RY333" s="31"/>
      <c r="RZ333" s="31"/>
      <c r="SA333" s="31"/>
      <c r="SB333" s="31"/>
      <c r="SC333" s="31"/>
      <c r="SD333" s="31"/>
      <c r="SE333" s="31"/>
      <c r="SF333" s="31"/>
      <c r="SG333" s="31"/>
      <c r="SH333" s="31"/>
      <c r="SI333" s="31"/>
      <c r="SJ333" s="31"/>
      <c r="SK333" s="31"/>
      <c r="SL333" s="31"/>
      <c r="SM333" s="31"/>
      <c r="SN333" s="31"/>
      <c r="SO333" s="31"/>
      <c r="SP333" s="31"/>
      <c r="SQ333" s="31"/>
      <c r="SR333" s="31"/>
      <c r="SS333" s="31"/>
      <c r="ST333" s="31"/>
      <c r="SU333" s="31"/>
      <c r="SV333" s="31"/>
      <c r="SW333" s="31"/>
      <c r="SX333" s="31"/>
      <c r="SY333" s="31"/>
      <c r="SZ333" s="31"/>
      <c r="TA333" s="31"/>
      <c r="TB333" s="31"/>
      <c r="TC333" s="31"/>
      <c r="TD333" s="31"/>
      <c r="TE333" s="31"/>
      <c r="TF333" s="31"/>
      <c r="TG333" s="31"/>
      <c r="TH333" s="31"/>
      <c r="TI333" s="31"/>
      <c r="TJ333" s="31"/>
      <c r="TK333" s="31"/>
      <c r="TL333" s="31"/>
      <c r="TM333" s="31"/>
      <c r="TN333" s="31"/>
      <c r="TO333" s="31"/>
      <c r="TP333" s="31"/>
      <c r="TQ333" s="31"/>
      <c r="TR333" s="31"/>
      <c r="TS333" s="31"/>
      <c r="TT333" s="31"/>
      <c r="TU333" s="31"/>
      <c r="TV333" s="31"/>
      <c r="TW333" s="31"/>
      <c r="TX333" s="31"/>
      <c r="TY333" s="31"/>
      <c r="TZ333" s="31"/>
      <c r="UA333" s="31"/>
      <c r="UB333" s="31"/>
      <c r="UC333" s="31"/>
      <c r="UD333" s="31"/>
      <c r="UE333" s="31"/>
      <c r="UF333" s="31"/>
      <c r="UG333" s="33"/>
    </row>
    <row r="334" spans="1:553" ht="47.25" customHeight="1">
      <c r="A334" s="356" t="s">
        <v>15</v>
      </c>
      <c r="B334" s="366" t="s">
        <v>79</v>
      </c>
      <c r="C334" s="1562" t="s">
        <v>294</v>
      </c>
      <c r="D334" s="1389"/>
      <c r="E334" s="1389"/>
      <c r="F334" s="1390"/>
      <c r="G334" s="386" t="s">
        <v>935</v>
      </c>
      <c r="H334" s="370"/>
      <c r="I334" s="422">
        <f>1.5*7+5.8*3.3</f>
        <v>29.639999999999997</v>
      </c>
      <c r="J334" s="368">
        <v>60200</v>
      </c>
      <c r="K334" s="371"/>
      <c r="L334" s="391">
        <f t="shared" si="71"/>
        <v>1784327.9999999998</v>
      </c>
      <c r="M334" s="391"/>
      <c r="N334" s="391"/>
      <c r="O334" s="391"/>
      <c r="P334" s="391"/>
      <c r="Q334" s="1142"/>
      <c r="R334" s="1226"/>
      <c r="S334" s="435"/>
      <c r="T334" s="436"/>
      <c r="U334" s="304"/>
      <c r="V334" s="393"/>
      <c r="W334" s="304"/>
      <c r="X334" s="304"/>
      <c r="Y334" s="304"/>
      <c r="Z334" s="304"/>
      <c r="AA334" s="304"/>
      <c r="AB334" s="304"/>
      <c r="AC334" s="449"/>
      <c r="AD334" s="449"/>
      <c r="AE334" s="449"/>
      <c r="AF334" s="449"/>
      <c r="AG334" s="449"/>
      <c r="AH334" s="449"/>
      <c r="AI334" s="449"/>
      <c r="AJ334" s="449"/>
      <c r="AK334" s="452"/>
      <c r="AL334" s="104"/>
      <c r="AM334" s="32"/>
      <c r="AN334" s="32"/>
      <c r="AO334" s="32"/>
      <c r="AP334" s="32"/>
      <c r="AQ334" s="32"/>
      <c r="AR334" s="32"/>
      <c r="AS334" s="31"/>
      <c r="AT334" s="31"/>
      <c r="AU334" s="31"/>
      <c r="AV334" s="31"/>
      <c r="AW334" s="31"/>
      <c r="AX334" s="31"/>
      <c r="AY334" s="31"/>
      <c r="AZ334" s="31"/>
      <c r="BA334" s="31"/>
      <c r="BB334" s="31"/>
      <c r="BC334" s="31"/>
      <c r="BD334" s="31"/>
      <c r="BE334" s="31"/>
      <c r="BF334" s="31"/>
      <c r="BG334" s="31"/>
      <c r="BH334" s="31"/>
      <c r="BI334" s="31"/>
      <c r="BJ334" s="31"/>
      <c r="BK334" s="31"/>
      <c r="BL334" s="31"/>
      <c r="BM334" s="31"/>
      <c r="BN334" s="31"/>
      <c r="BO334" s="31"/>
      <c r="BP334" s="31"/>
      <c r="BQ334" s="31"/>
      <c r="BR334" s="31"/>
      <c r="BS334" s="31"/>
      <c r="BT334" s="31"/>
      <c r="BU334" s="31"/>
      <c r="BV334" s="31"/>
      <c r="BW334" s="31"/>
      <c r="BX334" s="31"/>
      <c r="BY334" s="31"/>
      <c r="BZ334" s="31"/>
      <c r="CA334" s="31"/>
      <c r="CB334" s="31"/>
      <c r="CC334" s="31"/>
      <c r="CD334" s="31"/>
      <c r="CE334" s="31"/>
      <c r="CF334" s="31"/>
      <c r="CG334" s="31"/>
      <c r="CH334" s="31"/>
      <c r="CI334" s="31"/>
      <c r="CJ334" s="31"/>
      <c r="CK334" s="31"/>
      <c r="CL334" s="31"/>
      <c r="CM334" s="31"/>
      <c r="CN334" s="31"/>
      <c r="CO334" s="31"/>
      <c r="CP334" s="31"/>
      <c r="CQ334" s="31"/>
      <c r="CR334" s="31"/>
      <c r="CS334" s="31"/>
      <c r="CT334" s="31"/>
      <c r="CU334" s="31"/>
      <c r="CV334" s="31"/>
      <c r="CW334" s="31"/>
      <c r="CX334" s="31"/>
      <c r="CY334" s="31"/>
      <c r="CZ334" s="31"/>
      <c r="DA334" s="31"/>
      <c r="DB334" s="31"/>
      <c r="DC334" s="31"/>
      <c r="DD334" s="31"/>
      <c r="DE334" s="31"/>
      <c r="DF334" s="31"/>
      <c r="DG334" s="31"/>
      <c r="DH334" s="31"/>
      <c r="DI334" s="31"/>
      <c r="DJ334" s="31"/>
      <c r="DK334" s="31"/>
      <c r="DL334" s="31"/>
      <c r="DM334" s="31"/>
      <c r="DN334" s="31"/>
      <c r="DO334" s="31"/>
      <c r="DP334" s="31"/>
      <c r="DQ334" s="31"/>
      <c r="DR334" s="31"/>
      <c r="DS334" s="31"/>
      <c r="DT334" s="31"/>
      <c r="DU334" s="31"/>
      <c r="DV334" s="31"/>
      <c r="DW334" s="31"/>
      <c r="DX334" s="31"/>
      <c r="DY334" s="31"/>
      <c r="DZ334" s="31"/>
      <c r="EA334" s="31"/>
      <c r="EB334" s="31"/>
      <c r="EC334" s="31"/>
      <c r="ED334" s="31"/>
      <c r="EE334" s="31"/>
      <c r="EF334" s="31"/>
      <c r="EG334" s="31"/>
      <c r="EH334" s="31"/>
      <c r="EI334" s="31"/>
      <c r="EJ334" s="31"/>
      <c r="EK334" s="31"/>
      <c r="EL334" s="31"/>
      <c r="EM334" s="31"/>
      <c r="EN334" s="31"/>
      <c r="EO334" s="31"/>
      <c r="EP334" s="31"/>
      <c r="EQ334" s="31"/>
      <c r="ER334" s="31"/>
      <c r="ES334" s="31"/>
      <c r="ET334" s="31"/>
      <c r="EU334" s="31"/>
      <c r="EV334" s="31"/>
      <c r="EW334" s="31"/>
      <c r="EX334" s="31"/>
      <c r="EY334" s="31"/>
      <c r="EZ334" s="31"/>
      <c r="FA334" s="31"/>
      <c r="FB334" s="31"/>
      <c r="FC334" s="31"/>
      <c r="FD334" s="31"/>
      <c r="FE334" s="31"/>
      <c r="FF334" s="31"/>
      <c r="FG334" s="31"/>
      <c r="FH334" s="31"/>
      <c r="FI334" s="31"/>
      <c r="FJ334" s="31"/>
      <c r="FK334" s="31"/>
      <c r="FL334" s="31"/>
      <c r="FM334" s="31"/>
      <c r="FN334" s="31"/>
      <c r="FO334" s="31"/>
      <c r="FP334" s="31"/>
      <c r="FQ334" s="31"/>
      <c r="FR334" s="31"/>
      <c r="FS334" s="31"/>
      <c r="FT334" s="31"/>
      <c r="FU334" s="31"/>
      <c r="FV334" s="31"/>
      <c r="FW334" s="31"/>
      <c r="FX334" s="31"/>
      <c r="FY334" s="31"/>
      <c r="FZ334" s="31"/>
      <c r="GA334" s="31"/>
      <c r="GB334" s="31"/>
      <c r="GC334" s="31"/>
      <c r="GD334" s="31"/>
      <c r="GE334" s="31"/>
      <c r="GF334" s="31"/>
      <c r="GG334" s="31"/>
      <c r="GH334" s="31"/>
      <c r="GI334" s="31"/>
      <c r="GJ334" s="31"/>
      <c r="GK334" s="31"/>
      <c r="GL334" s="31"/>
      <c r="GM334" s="31"/>
      <c r="GN334" s="31"/>
      <c r="GO334" s="31"/>
      <c r="GP334" s="31"/>
      <c r="GQ334" s="31"/>
      <c r="GR334" s="31"/>
      <c r="GS334" s="31"/>
      <c r="GT334" s="31"/>
      <c r="GU334" s="31"/>
      <c r="GV334" s="31"/>
      <c r="GW334" s="31"/>
      <c r="GX334" s="31"/>
      <c r="GY334" s="31"/>
      <c r="GZ334" s="31"/>
      <c r="HA334" s="31"/>
      <c r="HB334" s="31"/>
      <c r="HC334" s="31"/>
      <c r="HD334" s="31"/>
      <c r="HE334" s="31"/>
      <c r="HF334" s="31"/>
      <c r="HG334" s="31"/>
      <c r="HH334" s="31"/>
      <c r="HI334" s="31"/>
      <c r="HJ334" s="31"/>
      <c r="HK334" s="31"/>
      <c r="HL334" s="31"/>
      <c r="HM334" s="31"/>
      <c r="HN334" s="31"/>
      <c r="HO334" s="31"/>
      <c r="HP334" s="31"/>
      <c r="HQ334" s="31"/>
      <c r="HR334" s="31"/>
      <c r="HS334" s="31"/>
      <c r="HT334" s="31"/>
      <c r="HU334" s="31"/>
      <c r="HV334" s="31"/>
      <c r="HW334" s="31"/>
      <c r="HX334" s="31"/>
      <c r="HY334" s="31"/>
      <c r="HZ334" s="31"/>
      <c r="IA334" s="31"/>
      <c r="IB334" s="31"/>
      <c r="IC334" s="31"/>
      <c r="ID334" s="31"/>
      <c r="IE334" s="31"/>
      <c r="IF334" s="31"/>
      <c r="IG334" s="31"/>
      <c r="IH334" s="31"/>
      <c r="II334" s="31"/>
      <c r="IJ334" s="31"/>
      <c r="IK334" s="31"/>
      <c r="IL334" s="31"/>
      <c r="IM334" s="31"/>
      <c r="IN334" s="31"/>
      <c r="IO334" s="31"/>
      <c r="IP334" s="31"/>
      <c r="IQ334" s="31"/>
      <c r="IR334" s="31"/>
      <c r="IS334" s="31"/>
      <c r="IT334" s="31"/>
      <c r="IU334" s="31"/>
      <c r="IV334" s="31"/>
      <c r="IW334" s="31"/>
      <c r="IX334" s="31"/>
      <c r="IY334" s="31"/>
      <c r="IZ334" s="31"/>
      <c r="JA334" s="31"/>
      <c r="JB334" s="31"/>
      <c r="JC334" s="31"/>
      <c r="JD334" s="31"/>
      <c r="JE334" s="31"/>
      <c r="JF334" s="31"/>
      <c r="JG334" s="31"/>
      <c r="JH334" s="31"/>
      <c r="JI334" s="31"/>
      <c r="JJ334" s="31"/>
      <c r="JK334" s="31"/>
      <c r="JL334" s="31"/>
      <c r="JM334" s="31"/>
      <c r="JN334" s="31"/>
      <c r="JO334" s="31"/>
      <c r="JP334" s="31"/>
      <c r="JQ334" s="31"/>
      <c r="JR334" s="31"/>
      <c r="JS334" s="31"/>
      <c r="JT334" s="31"/>
      <c r="JU334" s="31"/>
      <c r="JV334" s="31"/>
      <c r="JW334" s="31"/>
      <c r="JX334" s="31"/>
      <c r="JY334" s="31"/>
      <c r="JZ334" s="31"/>
      <c r="KA334" s="31"/>
      <c r="KB334" s="31"/>
      <c r="KC334" s="31"/>
      <c r="KD334" s="31"/>
      <c r="KE334" s="31"/>
      <c r="KF334" s="31"/>
      <c r="KG334" s="31"/>
      <c r="KH334" s="31"/>
      <c r="KI334" s="31"/>
      <c r="KJ334" s="31"/>
      <c r="KK334" s="31"/>
      <c r="KL334" s="31"/>
      <c r="KM334" s="31"/>
      <c r="KN334" s="31"/>
      <c r="KO334" s="31"/>
      <c r="KP334" s="31"/>
      <c r="KQ334" s="31"/>
      <c r="KR334" s="31"/>
      <c r="KS334" s="31"/>
      <c r="KT334" s="31"/>
      <c r="KU334" s="31"/>
      <c r="KV334" s="31"/>
      <c r="KW334" s="31"/>
      <c r="KX334" s="31"/>
      <c r="KY334" s="31"/>
      <c r="KZ334" s="31"/>
      <c r="LA334" s="31"/>
      <c r="LB334" s="31"/>
      <c r="LC334" s="31"/>
      <c r="LD334" s="31"/>
      <c r="LE334" s="31"/>
      <c r="LF334" s="31"/>
      <c r="LG334" s="31"/>
      <c r="LH334" s="31"/>
      <c r="LI334" s="31"/>
      <c r="LJ334" s="31"/>
      <c r="LK334" s="31"/>
      <c r="LL334" s="31"/>
      <c r="LM334" s="31"/>
      <c r="LN334" s="31"/>
      <c r="LO334" s="31"/>
      <c r="LP334" s="31"/>
      <c r="LQ334" s="31"/>
      <c r="LR334" s="31"/>
      <c r="LS334" s="31"/>
      <c r="LT334" s="31"/>
      <c r="LU334" s="31"/>
      <c r="LV334" s="31"/>
      <c r="LW334" s="31"/>
      <c r="LX334" s="31"/>
      <c r="LY334" s="31"/>
      <c r="LZ334" s="31"/>
      <c r="MA334" s="31"/>
      <c r="MB334" s="31"/>
      <c r="MC334" s="31"/>
      <c r="MD334" s="31"/>
      <c r="ME334" s="31"/>
      <c r="MF334" s="31"/>
      <c r="MG334" s="31"/>
      <c r="MH334" s="31"/>
      <c r="MI334" s="31"/>
      <c r="MJ334" s="31"/>
      <c r="MK334" s="31"/>
      <c r="ML334" s="31"/>
      <c r="MM334" s="31"/>
      <c r="MN334" s="31"/>
      <c r="MO334" s="31"/>
      <c r="MP334" s="31"/>
      <c r="MQ334" s="31"/>
      <c r="MR334" s="31"/>
      <c r="MS334" s="31"/>
      <c r="MT334" s="31"/>
      <c r="MU334" s="31"/>
      <c r="MV334" s="31"/>
      <c r="MW334" s="31"/>
      <c r="MX334" s="31"/>
      <c r="MY334" s="31"/>
      <c r="MZ334" s="31"/>
      <c r="NA334" s="31"/>
      <c r="NB334" s="31"/>
      <c r="NC334" s="31"/>
      <c r="ND334" s="31"/>
      <c r="NE334" s="31"/>
      <c r="NF334" s="31"/>
      <c r="NG334" s="31"/>
      <c r="NH334" s="31"/>
      <c r="NI334" s="31"/>
      <c r="NJ334" s="31"/>
      <c r="NK334" s="31"/>
      <c r="NL334" s="31"/>
      <c r="NM334" s="31"/>
      <c r="NN334" s="31"/>
      <c r="NO334" s="31"/>
      <c r="NP334" s="31"/>
      <c r="NQ334" s="31"/>
      <c r="NR334" s="31"/>
      <c r="NS334" s="31"/>
      <c r="NT334" s="31"/>
      <c r="NU334" s="31"/>
      <c r="NV334" s="31"/>
      <c r="NW334" s="31"/>
      <c r="NX334" s="31"/>
      <c r="NY334" s="31"/>
      <c r="NZ334" s="31"/>
      <c r="OA334" s="31"/>
      <c r="OB334" s="31"/>
      <c r="OC334" s="31"/>
      <c r="OD334" s="31"/>
      <c r="OE334" s="31"/>
      <c r="OF334" s="31"/>
      <c r="OG334" s="31"/>
      <c r="OH334" s="31"/>
      <c r="OI334" s="31"/>
      <c r="OJ334" s="31"/>
      <c r="OK334" s="31"/>
      <c r="OL334" s="31"/>
      <c r="OM334" s="31"/>
      <c r="ON334" s="31"/>
      <c r="OO334" s="31"/>
      <c r="OP334" s="31"/>
      <c r="OQ334" s="31"/>
      <c r="OR334" s="31"/>
      <c r="OS334" s="31"/>
      <c r="OT334" s="31"/>
      <c r="OU334" s="31"/>
      <c r="OV334" s="31"/>
      <c r="OW334" s="31"/>
      <c r="OX334" s="31"/>
      <c r="OY334" s="31"/>
      <c r="OZ334" s="31"/>
      <c r="PA334" s="31"/>
      <c r="PB334" s="31"/>
      <c r="PC334" s="31"/>
      <c r="PD334" s="31"/>
      <c r="PE334" s="31"/>
      <c r="PF334" s="31"/>
      <c r="PG334" s="31"/>
      <c r="PH334" s="31"/>
      <c r="PI334" s="31"/>
      <c r="PJ334" s="31"/>
      <c r="PK334" s="31"/>
      <c r="PL334" s="31"/>
      <c r="PM334" s="31"/>
      <c r="PN334" s="31"/>
      <c r="PO334" s="31"/>
      <c r="PP334" s="31"/>
      <c r="PQ334" s="31"/>
      <c r="PR334" s="31"/>
      <c r="PS334" s="31"/>
      <c r="PT334" s="31"/>
      <c r="PU334" s="31"/>
      <c r="PV334" s="31"/>
      <c r="PW334" s="31"/>
      <c r="PX334" s="31"/>
      <c r="PY334" s="31"/>
      <c r="PZ334" s="31"/>
      <c r="QA334" s="31"/>
      <c r="QB334" s="31"/>
      <c r="QC334" s="31"/>
      <c r="QD334" s="31"/>
      <c r="QE334" s="31"/>
      <c r="QF334" s="31"/>
      <c r="QG334" s="31"/>
      <c r="QH334" s="31"/>
      <c r="QI334" s="31"/>
      <c r="QJ334" s="31"/>
      <c r="QK334" s="31"/>
      <c r="QL334" s="31"/>
      <c r="QM334" s="31"/>
      <c r="QN334" s="31"/>
      <c r="QO334" s="31"/>
      <c r="QP334" s="31"/>
      <c r="QQ334" s="31"/>
      <c r="QR334" s="31"/>
      <c r="QS334" s="31"/>
      <c r="QT334" s="31"/>
      <c r="QU334" s="31"/>
      <c r="QV334" s="31"/>
      <c r="QW334" s="31"/>
      <c r="QX334" s="31"/>
      <c r="QY334" s="31"/>
      <c r="QZ334" s="31"/>
      <c r="RA334" s="31"/>
      <c r="RB334" s="31"/>
      <c r="RC334" s="31"/>
      <c r="RD334" s="31"/>
      <c r="RE334" s="31"/>
      <c r="RF334" s="31"/>
      <c r="RG334" s="31"/>
      <c r="RH334" s="31"/>
      <c r="RI334" s="31"/>
      <c r="RJ334" s="31"/>
      <c r="RK334" s="31"/>
      <c r="RL334" s="31"/>
      <c r="RM334" s="31"/>
      <c r="RN334" s="31"/>
      <c r="RO334" s="31"/>
      <c r="RP334" s="31"/>
      <c r="RQ334" s="31"/>
      <c r="RR334" s="31"/>
      <c r="RS334" s="31"/>
      <c r="RT334" s="31"/>
      <c r="RU334" s="31"/>
      <c r="RV334" s="31"/>
      <c r="RW334" s="31"/>
      <c r="RX334" s="31"/>
      <c r="RY334" s="31"/>
      <c r="RZ334" s="31"/>
      <c r="SA334" s="31"/>
      <c r="SB334" s="31"/>
      <c r="SC334" s="31"/>
      <c r="SD334" s="31"/>
      <c r="SE334" s="31"/>
      <c r="SF334" s="31"/>
      <c r="SG334" s="31"/>
      <c r="SH334" s="31"/>
      <c r="SI334" s="31"/>
      <c r="SJ334" s="31"/>
      <c r="SK334" s="31"/>
      <c r="SL334" s="31"/>
      <c r="SM334" s="31"/>
      <c r="SN334" s="31"/>
      <c r="SO334" s="31"/>
      <c r="SP334" s="31"/>
      <c r="SQ334" s="31"/>
      <c r="SR334" s="31"/>
      <c r="SS334" s="31"/>
      <c r="ST334" s="31"/>
      <c r="SU334" s="31"/>
      <c r="SV334" s="31"/>
      <c r="SW334" s="31"/>
      <c r="SX334" s="31"/>
      <c r="SY334" s="31"/>
      <c r="SZ334" s="31"/>
      <c r="TA334" s="31"/>
      <c r="TB334" s="31"/>
      <c r="TC334" s="31"/>
      <c r="TD334" s="31"/>
      <c r="TE334" s="31"/>
      <c r="TF334" s="31"/>
      <c r="TG334" s="31"/>
      <c r="TH334" s="31"/>
      <c r="TI334" s="31"/>
      <c r="TJ334" s="31"/>
      <c r="TK334" s="31"/>
      <c r="TL334" s="31"/>
      <c r="TM334" s="31"/>
      <c r="TN334" s="31"/>
      <c r="TO334" s="31"/>
      <c r="TP334" s="31"/>
      <c r="TQ334" s="31"/>
      <c r="TR334" s="31"/>
      <c r="TS334" s="31"/>
      <c r="TT334" s="31"/>
      <c r="TU334" s="31"/>
      <c r="TV334" s="31"/>
      <c r="TW334" s="31"/>
      <c r="TX334" s="31"/>
      <c r="TY334" s="31"/>
      <c r="TZ334" s="31"/>
      <c r="UA334" s="31"/>
      <c r="UB334" s="31"/>
      <c r="UC334" s="31"/>
      <c r="UD334" s="31"/>
      <c r="UE334" s="31"/>
      <c r="UF334" s="31"/>
      <c r="UG334" s="33"/>
    </row>
    <row r="335" spans="1:553" ht="47.25" customHeight="1">
      <c r="A335" s="356" t="s">
        <v>15</v>
      </c>
      <c r="B335" s="366" t="s">
        <v>295</v>
      </c>
      <c r="C335" s="1562" t="s">
        <v>296</v>
      </c>
      <c r="D335" s="1389"/>
      <c r="E335" s="1389"/>
      <c r="F335" s="1390"/>
      <c r="G335" s="386" t="s">
        <v>935</v>
      </c>
      <c r="H335" s="370"/>
      <c r="I335" s="834">
        <f>3.3*2.7</f>
        <v>8.91</v>
      </c>
      <c r="J335" s="368">
        <v>1000000</v>
      </c>
      <c r="K335" s="371"/>
      <c r="L335" s="391">
        <f>ROUND(PRODUCT(I335:K335),0)</f>
        <v>8910000</v>
      </c>
      <c r="M335" s="395"/>
      <c r="N335" s="395"/>
      <c r="O335" s="366"/>
      <c r="P335" s="396"/>
      <c r="Q335" s="473"/>
      <c r="R335" s="1039"/>
      <c r="S335" s="309"/>
      <c r="T335" s="310"/>
      <c r="U335" s="311"/>
      <c r="V335" s="312"/>
      <c r="W335" s="311"/>
      <c r="X335" s="311"/>
      <c r="Y335" s="311"/>
      <c r="Z335" s="311"/>
      <c r="AA335" s="311"/>
      <c r="AB335" s="311"/>
      <c r="AC335" s="449"/>
      <c r="AD335" s="449"/>
      <c r="AE335" s="449"/>
      <c r="AF335" s="449"/>
      <c r="AG335" s="452"/>
      <c r="AH335" s="452"/>
      <c r="AI335" s="452"/>
      <c r="AJ335" s="452"/>
      <c r="AK335" s="452"/>
      <c r="AL335" s="104"/>
      <c r="AM335" s="32"/>
      <c r="AN335" s="32"/>
      <c r="AO335" s="32"/>
      <c r="AP335" s="32"/>
      <c r="AQ335" s="31"/>
      <c r="AR335" s="31"/>
      <c r="AS335" s="31"/>
      <c r="AT335" s="31"/>
      <c r="AU335" s="31"/>
      <c r="AV335" s="31"/>
      <c r="AW335" s="31"/>
      <c r="AX335" s="31"/>
      <c r="AY335" s="31"/>
      <c r="AZ335" s="31"/>
      <c r="BA335" s="31"/>
      <c r="BB335" s="31"/>
      <c r="BC335" s="31"/>
      <c r="BD335" s="31"/>
      <c r="BE335" s="31"/>
      <c r="BF335" s="31"/>
      <c r="BG335" s="31"/>
      <c r="BH335" s="31"/>
      <c r="BI335" s="31"/>
      <c r="BJ335" s="31"/>
      <c r="BK335" s="31"/>
      <c r="BL335" s="31"/>
      <c r="BM335" s="25"/>
      <c r="BN335" s="25"/>
      <c r="BO335" s="25"/>
      <c r="BP335" s="25"/>
      <c r="BQ335" s="25"/>
      <c r="BR335" s="25"/>
      <c r="BS335" s="25"/>
      <c r="BT335" s="25"/>
      <c r="BU335" s="25"/>
      <c r="BV335" s="25"/>
      <c r="BW335" s="25"/>
      <c r="BX335" s="25"/>
      <c r="BY335" s="25"/>
      <c r="BZ335" s="25"/>
      <c r="CA335" s="25"/>
      <c r="CB335" s="25"/>
      <c r="CC335" s="25"/>
      <c r="CD335" s="25"/>
      <c r="CE335" s="25"/>
      <c r="CF335" s="25"/>
      <c r="CG335" s="25"/>
      <c r="CH335" s="25"/>
      <c r="CI335" s="25"/>
      <c r="CJ335" s="25"/>
      <c r="CK335" s="25"/>
      <c r="CL335" s="25"/>
      <c r="CM335" s="25"/>
      <c r="CN335" s="25"/>
      <c r="CO335" s="25"/>
      <c r="CP335" s="25"/>
      <c r="CQ335" s="25"/>
      <c r="CR335" s="25"/>
      <c r="CS335" s="25"/>
      <c r="CT335" s="25"/>
      <c r="CU335" s="25"/>
      <c r="CV335" s="25"/>
      <c r="CW335" s="25"/>
      <c r="CX335" s="25"/>
      <c r="CY335" s="25"/>
      <c r="CZ335" s="25"/>
      <c r="DA335" s="25"/>
      <c r="DB335" s="25"/>
      <c r="DC335" s="25"/>
      <c r="DD335" s="25"/>
      <c r="DE335" s="25"/>
      <c r="DF335" s="25"/>
      <c r="DG335" s="25"/>
      <c r="DH335" s="25"/>
      <c r="DI335" s="25"/>
      <c r="DJ335" s="25"/>
      <c r="DK335" s="25"/>
      <c r="DL335" s="25"/>
      <c r="DM335" s="25"/>
      <c r="DN335" s="25"/>
      <c r="DO335" s="25"/>
      <c r="DP335" s="25"/>
      <c r="DQ335" s="25"/>
      <c r="DR335" s="25"/>
      <c r="DS335" s="25"/>
      <c r="DT335" s="25"/>
      <c r="DU335" s="25"/>
      <c r="DV335" s="25"/>
      <c r="DW335" s="25"/>
      <c r="DX335" s="25"/>
      <c r="DY335" s="25"/>
      <c r="DZ335" s="25"/>
      <c r="EA335" s="25"/>
      <c r="EB335" s="25"/>
      <c r="EC335" s="25"/>
      <c r="ED335" s="25"/>
      <c r="EE335" s="25"/>
      <c r="EF335" s="25"/>
      <c r="EG335" s="25"/>
      <c r="EH335" s="25"/>
      <c r="EI335" s="25"/>
      <c r="EJ335" s="25"/>
      <c r="EK335" s="25"/>
      <c r="EL335" s="25"/>
      <c r="EM335" s="25"/>
      <c r="EN335" s="25"/>
      <c r="EO335" s="25"/>
      <c r="EP335" s="25"/>
      <c r="EQ335" s="25"/>
      <c r="ER335" s="25"/>
      <c r="ES335" s="25"/>
      <c r="ET335" s="25"/>
      <c r="EU335" s="25"/>
      <c r="EV335" s="25"/>
      <c r="EW335" s="25"/>
      <c r="EX335" s="25"/>
      <c r="EY335" s="25"/>
      <c r="EZ335" s="25"/>
      <c r="FA335" s="25"/>
      <c r="FB335" s="25"/>
      <c r="FC335" s="25"/>
      <c r="FD335" s="25"/>
      <c r="FE335" s="25"/>
      <c r="FF335" s="25"/>
      <c r="FG335" s="25"/>
      <c r="FH335" s="25"/>
      <c r="FI335" s="25"/>
      <c r="FJ335" s="25"/>
      <c r="FK335" s="25"/>
      <c r="FL335" s="25"/>
      <c r="FM335" s="25"/>
      <c r="FN335" s="25"/>
      <c r="FO335" s="25"/>
      <c r="FP335" s="25"/>
      <c r="FQ335" s="25"/>
      <c r="FR335" s="25"/>
      <c r="FS335" s="25"/>
      <c r="FT335" s="25"/>
      <c r="FU335" s="25"/>
      <c r="FV335" s="25"/>
      <c r="FW335" s="25"/>
      <c r="FX335" s="25"/>
      <c r="FY335" s="25"/>
      <c r="FZ335" s="25"/>
      <c r="GA335" s="25"/>
      <c r="GB335" s="25"/>
      <c r="GC335" s="25"/>
      <c r="GD335" s="25"/>
      <c r="GE335" s="25"/>
      <c r="GF335" s="25"/>
      <c r="GG335" s="25"/>
      <c r="GH335" s="25"/>
      <c r="GI335" s="25"/>
      <c r="GJ335" s="25"/>
      <c r="GK335" s="25"/>
      <c r="GL335" s="25"/>
      <c r="GM335" s="25"/>
      <c r="GN335" s="25"/>
      <c r="GO335" s="25"/>
      <c r="GP335" s="25"/>
      <c r="GQ335" s="25"/>
      <c r="GR335" s="25"/>
      <c r="GS335" s="25"/>
      <c r="GT335" s="25"/>
      <c r="GU335" s="25"/>
      <c r="GV335" s="25"/>
      <c r="GW335" s="25"/>
      <c r="GX335" s="25"/>
      <c r="GY335" s="25"/>
      <c r="GZ335" s="25"/>
      <c r="HA335" s="25"/>
      <c r="HB335" s="25"/>
      <c r="HC335" s="25"/>
      <c r="HD335" s="25"/>
      <c r="HE335" s="25"/>
      <c r="HF335" s="25"/>
      <c r="HG335" s="25"/>
      <c r="HH335" s="25"/>
      <c r="HI335" s="25"/>
      <c r="HJ335" s="25"/>
      <c r="HK335" s="25"/>
      <c r="HL335" s="25"/>
      <c r="HM335" s="25"/>
      <c r="HN335" s="25"/>
      <c r="HO335" s="25"/>
      <c r="HP335" s="25"/>
      <c r="HQ335" s="25"/>
      <c r="HR335" s="25"/>
      <c r="HS335" s="25"/>
      <c r="HT335" s="25"/>
      <c r="HU335" s="25"/>
      <c r="HV335" s="25"/>
      <c r="HW335" s="25"/>
      <c r="HX335" s="25"/>
      <c r="HY335" s="25"/>
      <c r="HZ335" s="25"/>
      <c r="IA335" s="25"/>
      <c r="IB335" s="25"/>
      <c r="IC335" s="25"/>
      <c r="ID335" s="25"/>
      <c r="IE335" s="25"/>
      <c r="IF335" s="25"/>
      <c r="IG335" s="25"/>
      <c r="IH335" s="25"/>
      <c r="II335" s="25"/>
      <c r="IJ335" s="25"/>
      <c r="IK335" s="25"/>
      <c r="IL335" s="25"/>
      <c r="IM335" s="25"/>
      <c r="IN335" s="25"/>
      <c r="IO335" s="25"/>
      <c r="IP335" s="25"/>
      <c r="IQ335" s="25"/>
      <c r="IR335" s="25"/>
      <c r="IS335" s="25"/>
      <c r="IT335" s="25"/>
      <c r="IU335" s="25"/>
      <c r="IV335" s="25"/>
      <c r="IW335" s="25"/>
      <c r="IX335" s="25"/>
      <c r="IY335" s="25"/>
      <c r="IZ335" s="25"/>
      <c r="JA335" s="25"/>
      <c r="JB335" s="25"/>
      <c r="JC335" s="25"/>
      <c r="JD335" s="25"/>
      <c r="JE335" s="25"/>
      <c r="JF335" s="25"/>
      <c r="JG335" s="25"/>
      <c r="JH335" s="25"/>
      <c r="JI335" s="25"/>
      <c r="JJ335" s="25"/>
      <c r="JK335" s="25"/>
      <c r="JL335" s="25"/>
      <c r="JM335" s="25"/>
      <c r="JN335" s="25"/>
      <c r="JO335" s="25"/>
      <c r="JP335" s="25"/>
      <c r="JQ335" s="25"/>
      <c r="JR335" s="25"/>
      <c r="JS335" s="25"/>
      <c r="JT335" s="25"/>
      <c r="JU335" s="25"/>
      <c r="JV335" s="25"/>
      <c r="JW335" s="25"/>
      <c r="JX335" s="25"/>
      <c r="JY335" s="25"/>
      <c r="JZ335" s="25"/>
      <c r="KA335" s="25"/>
      <c r="KB335" s="25"/>
      <c r="KC335" s="25"/>
      <c r="KD335" s="25"/>
      <c r="KE335" s="25"/>
      <c r="KF335" s="25"/>
      <c r="KG335" s="25"/>
      <c r="KH335" s="25"/>
      <c r="KI335" s="25"/>
      <c r="KJ335" s="25"/>
      <c r="KK335" s="25"/>
      <c r="KL335" s="25"/>
      <c r="KM335" s="25"/>
      <c r="KN335" s="25"/>
      <c r="KO335" s="25"/>
      <c r="KP335" s="25"/>
      <c r="KQ335" s="25"/>
      <c r="KR335" s="25"/>
      <c r="KS335" s="25"/>
      <c r="KT335" s="25"/>
      <c r="KU335" s="25"/>
      <c r="KV335" s="25"/>
      <c r="KW335" s="25"/>
      <c r="KX335" s="25"/>
      <c r="KY335" s="25"/>
      <c r="KZ335" s="25"/>
      <c r="LA335" s="25"/>
      <c r="LB335" s="25"/>
      <c r="LC335" s="25"/>
      <c r="LD335" s="25"/>
      <c r="LE335" s="25"/>
      <c r="LF335" s="25"/>
      <c r="LG335" s="25"/>
      <c r="LH335" s="25"/>
      <c r="LI335" s="25"/>
      <c r="LJ335" s="25"/>
      <c r="LK335" s="25"/>
      <c r="LL335" s="25"/>
      <c r="LM335" s="25"/>
      <c r="LN335" s="25"/>
      <c r="LO335" s="25"/>
      <c r="LP335" s="25"/>
      <c r="LQ335" s="25"/>
      <c r="LR335" s="25"/>
      <c r="LS335" s="25"/>
      <c r="LT335" s="25"/>
      <c r="LU335" s="25"/>
      <c r="LV335" s="25"/>
      <c r="LW335" s="25"/>
      <c r="LX335" s="25"/>
      <c r="LY335" s="25"/>
      <c r="LZ335" s="25"/>
      <c r="MA335" s="25"/>
      <c r="MB335" s="25"/>
      <c r="MC335" s="25"/>
      <c r="MD335" s="25"/>
      <c r="ME335" s="25"/>
      <c r="MF335" s="25"/>
      <c r="MG335" s="25"/>
      <c r="MH335" s="25"/>
      <c r="MI335" s="25"/>
      <c r="MJ335" s="25"/>
      <c r="MK335" s="25"/>
      <c r="ML335" s="25"/>
      <c r="MM335" s="25"/>
      <c r="MN335" s="25"/>
      <c r="MO335" s="25"/>
      <c r="MP335" s="25"/>
      <c r="MQ335" s="25"/>
      <c r="MR335" s="25"/>
      <c r="MS335" s="25"/>
      <c r="MT335" s="25"/>
      <c r="MU335" s="25"/>
      <c r="MV335" s="25"/>
      <c r="MW335" s="25"/>
      <c r="MX335" s="25"/>
      <c r="MY335" s="25"/>
      <c r="MZ335" s="25"/>
      <c r="NA335" s="25"/>
      <c r="NB335" s="25"/>
      <c r="NC335" s="25"/>
      <c r="ND335" s="25"/>
      <c r="NE335" s="25"/>
      <c r="NF335" s="25"/>
      <c r="NG335" s="25"/>
      <c r="NH335" s="25"/>
      <c r="NI335" s="25"/>
      <c r="NJ335" s="25"/>
      <c r="NK335" s="25"/>
      <c r="NL335" s="25"/>
      <c r="NM335" s="25"/>
      <c r="NN335" s="25"/>
      <c r="NO335" s="25"/>
      <c r="NP335" s="25"/>
      <c r="NQ335" s="25"/>
      <c r="NR335" s="25"/>
      <c r="NS335" s="25"/>
      <c r="NT335" s="25"/>
      <c r="NU335" s="25"/>
      <c r="NV335" s="25"/>
      <c r="NW335" s="25"/>
      <c r="NX335" s="25"/>
      <c r="NY335" s="25"/>
      <c r="NZ335" s="25"/>
      <c r="OA335" s="25"/>
      <c r="OB335" s="25"/>
      <c r="OC335" s="25"/>
      <c r="OD335" s="25"/>
      <c r="OE335" s="25"/>
      <c r="OF335" s="25"/>
      <c r="OG335" s="25"/>
      <c r="OH335" s="25"/>
      <c r="OI335" s="25"/>
      <c r="OJ335" s="25"/>
      <c r="OK335" s="25"/>
      <c r="OL335" s="25"/>
      <c r="OM335" s="25"/>
      <c r="ON335" s="25"/>
      <c r="OO335" s="25"/>
      <c r="OP335" s="25"/>
      <c r="OQ335" s="25"/>
      <c r="OR335" s="25"/>
      <c r="OS335" s="25"/>
      <c r="OT335" s="25"/>
      <c r="OU335" s="25"/>
      <c r="OV335" s="25"/>
      <c r="OW335" s="25"/>
      <c r="OX335" s="25"/>
      <c r="OY335" s="25"/>
      <c r="OZ335" s="25"/>
      <c r="PA335" s="25"/>
      <c r="PB335" s="25"/>
      <c r="PC335" s="25"/>
      <c r="PD335" s="25"/>
      <c r="PE335" s="25"/>
      <c r="PF335" s="25"/>
      <c r="PG335" s="25"/>
      <c r="PH335" s="25"/>
      <c r="PI335" s="25"/>
      <c r="PJ335" s="25"/>
      <c r="PK335" s="25"/>
      <c r="PL335" s="25"/>
      <c r="PM335" s="25"/>
      <c r="PN335" s="25"/>
      <c r="PO335" s="25"/>
      <c r="PP335" s="25"/>
      <c r="PQ335" s="25"/>
      <c r="PR335" s="25"/>
      <c r="PS335" s="25"/>
      <c r="PT335" s="25"/>
      <c r="PU335" s="25"/>
      <c r="PV335" s="25"/>
      <c r="PW335" s="25"/>
      <c r="PX335" s="25"/>
      <c r="PY335" s="25"/>
      <c r="PZ335" s="25"/>
      <c r="QA335" s="25"/>
      <c r="QB335" s="25"/>
      <c r="QC335" s="25"/>
      <c r="QD335" s="25"/>
      <c r="QE335" s="25"/>
      <c r="QF335" s="25"/>
      <c r="QG335" s="25"/>
      <c r="QH335" s="25"/>
      <c r="QI335" s="25"/>
      <c r="QJ335" s="25"/>
      <c r="QK335" s="25"/>
      <c r="QL335" s="25"/>
      <c r="QM335" s="25"/>
      <c r="QN335" s="25"/>
      <c r="QO335" s="25"/>
      <c r="QP335" s="25"/>
      <c r="QQ335" s="25"/>
      <c r="QR335" s="25"/>
      <c r="QS335" s="25"/>
      <c r="QT335" s="25"/>
      <c r="QU335" s="25"/>
      <c r="QV335" s="25"/>
      <c r="QW335" s="25"/>
      <c r="QX335" s="25"/>
      <c r="QY335" s="25"/>
      <c r="QZ335" s="25"/>
      <c r="RA335" s="25"/>
      <c r="RB335" s="25"/>
      <c r="RC335" s="25"/>
      <c r="RD335" s="25"/>
      <c r="RE335" s="25"/>
      <c r="RF335" s="25"/>
      <c r="RG335" s="25"/>
      <c r="RH335" s="25"/>
      <c r="RI335" s="25"/>
      <c r="RJ335" s="25"/>
      <c r="RK335" s="25"/>
      <c r="RL335" s="25"/>
      <c r="RM335" s="25"/>
      <c r="RN335" s="25"/>
      <c r="RO335" s="25"/>
      <c r="RP335" s="25"/>
      <c r="RQ335" s="25"/>
      <c r="RR335" s="25"/>
      <c r="RS335" s="25"/>
      <c r="RT335" s="25"/>
      <c r="RU335" s="25"/>
      <c r="RV335" s="25"/>
      <c r="RW335" s="25"/>
      <c r="RX335" s="25"/>
      <c r="RY335" s="25"/>
      <c r="RZ335" s="25"/>
      <c r="SA335" s="25"/>
      <c r="SB335" s="25"/>
      <c r="SC335" s="25"/>
      <c r="SD335" s="25"/>
      <c r="SE335" s="25"/>
      <c r="SF335" s="25"/>
      <c r="SG335" s="25"/>
      <c r="SH335" s="25"/>
      <c r="SI335" s="25"/>
      <c r="SJ335" s="25"/>
      <c r="SK335" s="25"/>
      <c r="SL335" s="25"/>
      <c r="SM335" s="25"/>
      <c r="SN335" s="25"/>
      <c r="SO335" s="25"/>
      <c r="SP335" s="25"/>
      <c r="SQ335" s="25"/>
      <c r="SR335" s="25"/>
      <c r="SS335" s="25"/>
      <c r="ST335" s="25"/>
      <c r="SU335" s="25"/>
      <c r="SV335" s="25"/>
      <c r="SW335" s="25"/>
      <c r="SX335" s="25"/>
      <c r="SY335" s="25"/>
      <c r="SZ335" s="25"/>
      <c r="TA335" s="25"/>
      <c r="TB335" s="25"/>
      <c r="TC335" s="25"/>
      <c r="TD335" s="25"/>
      <c r="TE335" s="25"/>
      <c r="TF335" s="25"/>
      <c r="TG335" s="25"/>
      <c r="TH335" s="25"/>
      <c r="TI335" s="25"/>
      <c r="TJ335" s="25"/>
      <c r="TK335" s="25"/>
      <c r="TL335" s="25"/>
      <c r="TM335" s="25"/>
      <c r="TN335" s="25"/>
      <c r="TO335" s="25"/>
      <c r="TP335" s="25"/>
      <c r="TQ335" s="25"/>
      <c r="TR335" s="25"/>
      <c r="TS335" s="25"/>
      <c r="TT335" s="25"/>
      <c r="TU335" s="25"/>
      <c r="TV335" s="25"/>
      <c r="TW335" s="25"/>
      <c r="TX335" s="25"/>
      <c r="TY335" s="25"/>
      <c r="TZ335" s="25"/>
      <c r="UA335" s="25"/>
      <c r="UB335" s="25"/>
      <c r="UC335" s="25"/>
      <c r="UD335" s="25"/>
      <c r="UE335" s="25"/>
      <c r="UF335" s="25"/>
      <c r="UG335" s="26"/>
    </row>
    <row r="336" spans="1:553" ht="47.25" customHeight="1">
      <c r="A336" s="356" t="s">
        <v>15</v>
      </c>
      <c r="B336" s="366" t="s">
        <v>39</v>
      </c>
      <c r="C336" s="1562" t="s">
        <v>905</v>
      </c>
      <c r="D336" s="1389"/>
      <c r="E336" s="1389"/>
      <c r="F336" s="1390"/>
      <c r="G336" s="386" t="s">
        <v>34</v>
      </c>
      <c r="H336" s="370"/>
      <c r="I336" s="422">
        <f>1.5*2*1.5</f>
        <v>4.5</v>
      </c>
      <c r="J336" s="368">
        <v>2943200</v>
      </c>
      <c r="K336" s="371"/>
      <c r="L336" s="391">
        <f t="shared" ref="L336:L339" si="72">I336*J336</f>
        <v>13244400</v>
      </c>
      <c r="M336" s="391"/>
      <c r="N336" s="391"/>
      <c r="O336" s="391"/>
      <c r="P336" s="391"/>
      <c r="Q336" s="1142"/>
      <c r="R336" s="1226"/>
      <c r="S336" s="308"/>
      <c r="T336" s="303"/>
      <c r="U336" s="306"/>
      <c r="V336" s="307"/>
      <c r="W336" s="306"/>
      <c r="X336" s="306"/>
      <c r="Y336" s="306"/>
      <c r="Z336" s="306"/>
      <c r="AA336" s="306"/>
      <c r="AB336" s="306"/>
      <c r="AC336" s="449"/>
      <c r="AD336" s="449"/>
      <c r="AE336" s="449"/>
      <c r="AF336" s="449"/>
      <c r="AG336" s="449"/>
      <c r="AH336" s="449"/>
      <c r="AI336" s="449"/>
      <c r="AJ336" s="449"/>
      <c r="AK336" s="452"/>
      <c r="AL336" s="104"/>
      <c r="AM336" s="32"/>
      <c r="AN336" s="32"/>
      <c r="AO336" s="32"/>
      <c r="AP336" s="32"/>
      <c r="AQ336" s="32"/>
      <c r="AR336" s="32"/>
      <c r="AS336" s="31"/>
      <c r="AT336" s="31"/>
      <c r="AU336" s="31"/>
      <c r="AV336" s="31"/>
      <c r="AW336" s="31"/>
      <c r="AX336" s="31"/>
      <c r="AY336" s="31"/>
      <c r="AZ336" s="31"/>
      <c r="BA336" s="31"/>
      <c r="BB336" s="31"/>
      <c r="BC336" s="31"/>
      <c r="BD336" s="31"/>
      <c r="BE336" s="31"/>
      <c r="BF336" s="31"/>
      <c r="BG336" s="31"/>
      <c r="BH336" s="31"/>
      <c r="BI336" s="31"/>
      <c r="BJ336" s="31"/>
      <c r="BK336" s="31"/>
      <c r="BL336" s="31"/>
      <c r="BM336" s="31"/>
      <c r="BN336" s="31"/>
      <c r="BO336" s="31"/>
      <c r="BP336" s="31"/>
      <c r="BQ336" s="31"/>
      <c r="BR336" s="31"/>
      <c r="BS336" s="31"/>
      <c r="BT336" s="31"/>
      <c r="BU336" s="31"/>
      <c r="BV336" s="31"/>
      <c r="BW336" s="31"/>
      <c r="BX336" s="31"/>
      <c r="BY336" s="31"/>
      <c r="BZ336" s="31"/>
      <c r="CA336" s="31"/>
      <c r="CB336" s="31"/>
      <c r="CC336" s="31"/>
      <c r="CD336" s="31"/>
      <c r="CE336" s="31"/>
      <c r="CF336" s="31"/>
      <c r="CG336" s="31"/>
      <c r="CH336" s="31"/>
      <c r="CI336" s="31"/>
      <c r="CJ336" s="31"/>
      <c r="CK336" s="31"/>
      <c r="CL336" s="31"/>
      <c r="CM336" s="31"/>
      <c r="CN336" s="31"/>
      <c r="CO336" s="31"/>
      <c r="CP336" s="31"/>
      <c r="CQ336" s="31"/>
      <c r="CR336" s="31"/>
      <c r="CS336" s="31"/>
      <c r="CT336" s="31"/>
      <c r="CU336" s="31"/>
      <c r="CV336" s="31"/>
      <c r="CW336" s="31"/>
      <c r="CX336" s="31"/>
      <c r="CY336" s="31"/>
      <c r="CZ336" s="31"/>
      <c r="DA336" s="31"/>
      <c r="DB336" s="31"/>
      <c r="DC336" s="31"/>
      <c r="DD336" s="31"/>
      <c r="DE336" s="31"/>
      <c r="DF336" s="31"/>
      <c r="DG336" s="31"/>
      <c r="DH336" s="31"/>
      <c r="DI336" s="31"/>
      <c r="DJ336" s="31"/>
      <c r="DK336" s="31"/>
      <c r="DL336" s="31"/>
      <c r="DM336" s="31"/>
      <c r="DN336" s="31"/>
      <c r="DO336" s="31"/>
      <c r="DP336" s="31"/>
      <c r="DQ336" s="31"/>
      <c r="DR336" s="31"/>
      <c r="DS336" s="31"/>
      <c r="DT336" s="31"/>
      <c r="DU336" s="31"/>
      <c r="DV336" s="31"/>
      <c r="DW336" s="31"/>
      <c r="DX336" s="31"/>
      <c r="DY336" s="31"/>
      <c r="DZ336" s="31"/>
      <c r="EA336" s="31"/>
      <c r="EB336" s="31"/>
      <c r="EC336" s="31"/>
      <c r="ED336" s="31"/>
      <c r="EE336" s="31"/>
      <c r="EF336" s="31"/>
      <c r="EG336" s="31"/>
      <c r="EH336" s="31"/>
      <c r="EI336" s="31"/>
      <c r="EJ336" s="31"/>
      <c r="EK336" s="31"/>
      <c r="EL336" s="31"/>
      <c r="EM336" s="31"/>
      <c r="EN336" s="31"/>
      <c r="EO336" s="31"/>
      <c r="EP336" s="31"/>
      <c r="EQ336" s="31"/>
      <c r="ER336" s="31"/>
      <c r="ES336" s="31"/>
      <c r="ET336" s="31"/>
      <c r="EU336" s="31"/>
      <c r="EV336" s="31"/>
      <c r="EW336" s="31"/>
      <c r="EX336" s="31"/>
      <c r="EY336" s="31"/>
      <c r="EZ336" s="31"/>
      <c r="FA336" s="31"/>
      <c r="FB336" s="31"/>
      <c r="FC336" s="31"/>
      <c r="FD336" s="31"/>
      <c r="FE336" s="31"/>
      <c r="FF336" s="31"/>
      <c r="FG336" s="31"/>
      <c r="FH336" s="31"/>
      <c r="FI336" s="31"/>
      <c r="FJ336" s="31"/>
      <c r="FK336" s="31"/>
      <c r="FL336" s="31"/>
      <c r="FM336" s="31"/>
      <c r="FN336" s="31"/>
      <c r="FO336" s="31"/>
      <c r="FP336" s="31"/>
      <c r="FQ336" s="31"/>
      <c r="FR336" s="31"/>
      <c r="FS336" s="31"/>
      <c r="FT336" s="31"/>
      <c r="FU336" s="31"/>
      <c r="FV336" s="31"/>
      <c r="FW336" s="31"/>
      <c r="FX336" s="31"/>
      <c r="FY336" s="31"/>
      <c r="FZ336" s="31"/>
      <c r="GA336" s="31"/>
      <c r="GB336" s="31"/>
      <c r="GC336" s="31"/>
      <c r="GD336" s="31"/>
      <c r="GE336" s="31"/>
      <c r="GF336" s="31"/>
      <c r="GG336" s="31"/>
      <c r="GH336" s="31"/>
      <c r="GI336" s="31"/>
      <c r="GJ336" s="31"/>
      <c r="GK336" s="31"/>
      <c r="GL336" s="31"/>
      <c r="GM336" s="31"/>
      <c r="GN336" s="31"/>
      <c r="GO336" s="31"/>
      <c r="GP336" s="31"/>
      <c r="GQ336" s="31"/>
      <c r="GR336" s="31"/>
      <c r="GS336" s="31"/>
      <c r="GT336" s="31"/>
      <c r="GU336" s="31"/>
      <c r="GV336" s="31"/>
      <c r="GW336" s="31"/>
      <c r="GX336" s="31"/>
      <c r="GY336" s="31"/>
      <c r="GZ336" s="31"/>
      <c r="HA336" s="31"/>
      <c r="HB336" s="31"/>
      <c r="HC336" s="31"/>
      <c r="HD336" s="31"/>
      <c r="HE336" s="31"/>
      <c r="HF336" s="31"/>
      <c r="HG336" s="31"/>
      <c r="HH336" s="31"/>
      <c r="HI336" s="31"/>
      <c r="HJ336" s="31"/>
      <c r="HK336" s="31"/>
      <c r="HL336" s="31"/>
      <c r="HM336" s="31"/>
      <c r="HN336" s="31"/>
      <c r="HO336" s="31"/>
      <c r="HP336" s="31"/>
      <c r="HQ336" s="31"/>
      <c r="HR336" s="31"/>
      <c r="HS336" s="31"/>
      <c r="HT336" s="31"/>
      <c r="HU336" s="31"/>
      <c r="HV336" s="31"/>
      <c r="HW336" s="31"/>
      <c r="HX336" s="31"/>
      <c r="HY336" s="31"/>
      <c r="HZ336" s="31"/>
      <c r="IA336" s="31"/>
      <c r="IB336" s="31"/>
      <c r="IC336" s="31"/>
      <c r="ID336" s="31"/>
      <c r="IE336" s="31"/>
      <c r="IF336" s="31"/>
      <c r="IG336" s="31"/>
      <c r="IH336" s="31"/>
      <c r="II336" s="31"/>
      <c r="IJ336" s="31"/>
      <c r="IK336" s="31"/>
      <c r="IL336" s="31"/>
      <c r="IM336" s="31"/>
      <c r="IN336" s="31"/>
      <c r="IO336" s="31"/>
      <c r="IP336" s="31"/>
      <c r="IQ336" s="31"/>
      <c r="IR336" s="31"/>
      <c r="IS336" s="31"/>
      <c r="IT336" s="31"/>
      <c r="IU336" s="31"/>
      <c r="IV336" s="31"/>
      <c r="IW336" s="31"/>
      <c r="IX336" s="31"/>
      <c r="IY336" s="31"/>
      <c r="IZ336" s="31"/>
      <c r="JA336" s="31"/>
      <c r="JB336" s="31"/>
      <c r="JC336" s="31"/>
      <c r="JD336" s="31"/>
      <c r="JE336" s="31"/>
      <c r="JF336" s="31"/>
      <c r="JG336" s="31"/>
      <c r="JH336" s="31"/>
      <c r="JI336" s="31"/>
      <c r="JJ336" s="31"/>
      <c r="JK336" s="31"/>
      <c r="JL336" s="31"/>
      <c r="JM336" s="31"/>
      <c r="JN336" s="31"/>
      <c r="JO336" s="31"/>
      <c r="JP336" s="31"/>
      <c r="JQ336" s="31"/>
      <c r="JR336" s="31"/>
      <c r="JS336" s="31"/>
      <c r="JT336" s="31"/>
      <c r="JU336" s="31"/>
      <c r="JV336" s="31"/>
      <c r="JW336" s="31"/>
      <c r="JX336" s="31"/>
      <c r="JY336" s="31"/>
      <c r="JZ336" s="31"/>
      <c r="KA336" s="31"/>
      <c r="KB336" s="31"/>
      <c r="KC336" s="31"/>
      <c r="KD336" s="31"/>
      <c r="KE336" s="31"/>
      <c r="KF336" s="31"/>
      <c r="KG336" s="31"/>
      <c r="KH336" s="31"/>
      <c r="KI336" s="31"/>
      <c r="KJ336" s="31"/>
      <c r="KK336" s="31"/>
      <c r="KL336" s="31"/>
      <c r="KM336" s="31"/>
      <c r="KN336" s="31"/>
      <c r="KO336" s="31"/>
      <c r="KP336" s="31"/>
      <c r="KQ336" s="31"/>
      <c r="KR336" s="31"/>
      <c r="KS336" s="31"/>
      <c r="KT336" s="31"/>
      <c r="KU336" s="31"/>
      <c r="KV336" s="31"/>
      <c r="KW336" s="31"/>
      <c r="KX336" s="31"/>
      <c r="KY336" s="31"/>
      <c r="KZ336" s="31"/>
      <c r="LA336" s="31"/>
      <c r="LB336" s="31"/>
      <c r="LC336" s="31"/>
      <c r="LD336" s="31"/>
      <c r="LE336" s="31"/>
      <c r="LF336" s="31"/>
      <c r="LG336" s="31"/>
      <c r="LH336" s="31"/>
      <c r="LI336" s="31"/>
      <c r="LJ336" s="31"/>
      <c r="LK336" s="31"/>
      <c r="LL336" s="31"/>
      <c r="LM336" s="31"/>
      <c r="LN336" s="31"/>
      <c r="LO336" s="31"/>
      <c r="LP336" s="31"/>
      <c r="LQ336" s="31"/>
      <c r="LR336" s="31"/>
      <c r="LS336" s="31"/>
      <c r="LT336" s="31"/>
      <c r="LU336" s="31"/>
      <c r="LV336" s="31"/>
      <c r="LW336" s="31"/>
      <c r="LX336" s="31"/>
      <c r="LY336" s="31"/>
      <c r="LZ336" s="31"/>
      <c r="MA336" s="31"/>
      <c r="MB336" s="31"/>
      <c r="MC336" s="31"/>
      <c r="MD336" s="31"/>
      <c r="ME336" s="31"/>
      <c r="MF336" s="31"/>
      <c r="MG336" s="31"/>
      <c r="MH336" s="31"/>
      <c r="MI336" s="31"/>
      <c r="MJ336" s="31"/>
      <c r="MK336" s="31"/>
      <c r="ML336" s="31"/>
      <c r="MM336" s="31"/>
      <c r="MN336" s="31"/>
      <c r="MO336" s="31"/>
      <c r="MP336" s="31"/>
      <c r="MQ336" s="31"/>
      <c r="MR336" s="31"/>
      <c r="MS336" s="31"/>
      <c r="MT336" s="31"/>
      <c r="MU336" s="31"/>
      <c r="MV336" s="31"/>
      <c r="MW336" s="31"/>
      <c r="MX336" s="31"/>
      <c r="MY336" s="31"/>
      <c r="MZ336" s="31"/>
      <c r="NA336" s="31"/>
      <c r="NB336" s="31"/>
      <c r="NC336" s="31"/>
      <c r="ND336" s="31"/>
      <c r="NE336" s="31"/>
      <c r="NF336" s="31"/>
      <c r="NG336" s="31"/>
      <c r="NH336" s="31"/>
      <c r="NI336" s="31"/>
      <c r="NJ336" s="31"/>
      <c r="NK336" s="31"/>
      <c r="NL336" s="31"/>
      <c r="NM336" s="31"/>
      <c r="NN336" s="31"/>
      <c r="NO336" s="31"/>
      <c r="NP336" s="31"/>
      <c r="NQ336" s="31"/>
      <c r="NR336" s="31"/>
      <c r="NS336" s="31"/>
      <c r="NT336" s="31"/>
      <c r="NU336" s="31"/>
      <c r="NV336" s="31"/>
      <c r="NW336" s="31"/>
      <c r="NX336" s="31"/>
      <c r="NY336" s="31"/>
      <c r="NZ336" s="31"/>
      <c r="OA336" s="31"/>
      <c r="OB336" s="31"/>
      <c r="OC336" s="31"/>
      <c r="OD336" s="31"/>
      <c r="OE336" s="31"/>
      <c r="OF336" s="31"/>
      <c r="OG336" s="31"/>
      <c r="OH336" s="31"/>
      <c r="OI336" s="31"/>
      <c r="OJ336" s="31"/>
      <c r="OK336" s="31"/>
      <c r="OL336" s="31"/>
      <c r="OM336" s="31"/>
      <c r="ON336" s="31"/>
      <c r="OO336" s="31"/>
      <c r="OP336" s="31"/>
      <c r="OQ336" s="31"/>
      <c r="OR336" s="31"/>
      <c r="OS336" s="31"/>
      <c r="OT336" s="31"/>
      <c r="OU336" s="31"/>
      <c r="OV336" s="31"/>
      <c r="OW336" s="31"/>
      <c r="OX336" s="31"/>
      <c r="OY336" s="31"/>
      <c r="OZ336" s="31"/>
      <c r="PA336" s="31"/>
      <c r="PB336" s="31"/>
      <c r="PC336" s="31"/>
      <c r="PD336" s="31"/>
      <c r="PE336" s="31"/>
      <c r="PF336" s="31"/>
      <c r="PG336" s="31"/>
      <c r="PH336" s="31"/>
      <c r="PI336" s="31"/>
      <c r="PJ336" s="31"/>
      <c r="PK336" s="31"/>
      <c r="PL336" s="31"/>
      <c r="PM336" s="31"/>
      <c r="PN336" s="31"/>
      <c r="PO336" s="31"/>
      <c r="PP336" s="31"/>
      <c r="PQ336" s="31"/>
      <c r="PR336" s="31"/>
      <c r="PS336" s="31"/>
      <c r="PT336" s="31"/>
      <c r="PU336" s="31"/>
      <c r="PV336" s="31"/>
      <c r="PW336" s="31"/>
      <c r="PX336" s="31"/>
      <c r="PY336" s="31"/>
      <c r="PZ336" s="31"/>
      <c r="QA336" s="31"/>
      <c r="QB336" s="31"/>
      <c r="QC336" s="31"/>
      <c r="QD336" s="31"/>
      <c r="QE336" s="31"/>
      <c r="QF336" s="31"/>
      <c r="QG336" s="31"/>
      <c r="QH336" s="31"/>
      <c r="QI336" s="31"/>
      <c r="QJ336" s="31"/>
      <c r="QK336" s="31"/>
      <c r="QL336" s="31"/>
      <c r="QM336" s="31"/>
      <c r="QN336" s="31"/>
      <c r="QO336" s="31"/>
      <c r="QP336" s="31"/>
      <c r="QQ336" s="31"/>
      <c r="QR336" s="31"/>
      <c r="QS336" s="31"/>
      <c r="QT336" s="31"/>
      <c r="QU336" s="31"/>
      <c r="QV336" s="31"/>
      <c r="QW336" s="31"/>
      <c r="QX336" s="31"/>
      <c r="QY336" s="31"/>
      <c r="QZ336" s="31"/>
      <c r="RA336" s="31"/>
      <c r="RB336" s="31"/>
      <c r="RC336" s="31"/>
      <c r="RD336" s="31"/>
      <c r="RE336" s="31"/>
      <c r="RF336" s="31"/>
      <c r="RG336" s="31"/>
      <c r="RH336" s="31"/>
      <c r="RI336" s="31"/>
      <c r="RJ336" s="31"/>
      <c r="RK336" s="31"/>
      <c r="RL336" s="31"/>
      <c r="RM336" s="31"/>
      <c r="RN336" s="31"/>
      <c r="RO336" s="31"/>
      <c r="RP336" s="31"/>
      <c r="RQ336" s="31"/>
      <c r="RR336" s="31"/>
      <c r="RS336" s="31"/>
      <c r="RT336" s="31"/>
      <c r="RU336" s="31"/>
      <c r="RV336" s="31"/>
      <c r="RW336" s="31"/>
      <c r="RX336" s="31"/>
      <c r="RY336" s="31"/>
      <c r="RZ336" s="31"/>
      <c r="SA336" s="31"/>
      <c r="SB336" s="31"/>
      <c r="SC336" s="31"/>
      <c r="SD336" s="31"/>
      <c r="SE336" s="31"/>
      <c r="SF336" s="31"/>
      <c r="SG336" s="31"/>
      <c r="SH336" s="31"/>
      <c r="SI336" s="31"/>
      <c r="SJ336" s="31"/>
      <c r="SK336" s="31"/>
      <c r="SL336" s="31"/>
      <c r="SM336" s="31"/>
      <c r="SN336" s="31"/>
      <c r="SO336" s="31"/>
      <c r="SP336" s="31"/>
      <c r="SQ336" s="31"/>
      <c r="SR336" s="31"/>
      <c r="SS336" s="31"/>
      <c r="ST336" s="31"/>
      <c r="SU336" s="31"/>
      <c r="SV336" s="31"/>
      <c r="SW336" s="31"/>
      <c r="SX336" s="31"/>
      <c r="SY336" s="31"/>
      <c r="SZ336" s="31"/>
      <c r="TA336" s="31"/>
      <c r="TB336" s="31"/>
      <c r="TC336" s="31"/>
      <c r="TD336" s="31"/>
      <c r="TE336" s="31"/>
      <c r="TF336" s="31"/>
      <c r="TG336" s="31"/>
      <c r="TH336" s="31"/>
      <c r="TI336" s="31"/>
      <c r="TJ336" s="31"/>
      <c r="TK336" s="31"/>
      <c r="TL336" s="31"/>
      <c r="TM336" s="31"/>
      <c r="TN336" s="31"/>
      <c r="TO336" s="31"/>
      <c r="TP336" s="31"/>
      <c r="TQ336" s="31"/>
      <c r="TR336" s="31"/>
      <c r="TS336" s="31"/>
      <c r="TT336" s="31"/>
      <c r="TU336" s="31"/>
      <c r="TV336" s="31"/>
      <c r="TW336" s="31"/>
      <c r="TX336" s="31"/>
      <c r="TY336" s="31"/>
      <c r="TZ336" s="31"/>
      <c r="UA336" s="31"/>
      <c r="UB336" s="31"/>
      <c r="UC336" s="31"/>
      <c r="UD336" s="31"/>
      <c r="UE336" s="31"/>
      <c r="UF336" s="31"/>
      <c r="UG336" s="33"/>
    </row>
    <row r="337" spans="1:553" ht="47.25" customHeight="1">
      <c r="A337" s="356" t="s">
        <v>30</v>
      </c>
      <c r="B337" s="366" t="s">
        <v>31</v>
      </c>
      <c r="C337" s="1563" t="s">
        <v>656</v>
      </c>
      <c r="D337" s="1564"/>
      <c r="E337" s="1564"/>
      <c r="F337" s="1565"/>
      <c r="G337" s="386" t="s">
        <v>34</v>
      </c>
      <c r="H337" s="370"/>
      <c r="I337" s="422">
        <f>-(1.5+2)*2*1.5*0.11</f>
        <v>-1.155</v>
      </c>
      <c r="J337" s="368">
        <v>1913917</v>
      </c>
      <c r="K337" s="371"/>
      <c r="L337" s="391">
        <f t="shared" si="72"/>
        <v>-2210574.1350000002</v>
      </c>
      <c r="M337" s="391"/>
      <c r="N337" s="391"/>
      <c r="O337" s="391"/>
      <c r="P337" s="391"/>
      <c r="Q337" s="1142"/>
      <c r="R337" s="1226"/>
      <c r="S337" s="308"/>
      <c r="T337" s="303"/>
      <c r="U337" s="306"/>
      <c r="V337" s="307"/>
      <c r="W337" s="306"/>
      <c r="X337" s="306"/>
      <c r="Y337" s="306"/>
      <c r="Z337" s="306"/>
      <c r="AA337" s="306"/>
      <c r="AB337" s="306"/>
      <c r="AC337" s="449"/>
      <c r="AD337" s="449"/>
      <c r="AE337" s="449"/>
      <c r="AF337" s="449"/>
      <c r="AG337" s="449"/>
      <c r="AH337" s="449"/>
      <c r="AI337" s="449"/>
      <c r="AJ337" s="449"/>
      <c r="AK337" s="452"/>
      <c r="AL337" s="104"/>
      <c r="AM337" s="104"/>
      <c r="AN337" s="104"/>
      <c r="AO337" s="104"/>
      <c r="AP337" s="104"/>
      <c r="AQ337" s="104"/>
      <c r="AR337" s="104"/>
      <c r="AS337" s="106"/>
      <c r="AT337" s="106"/>
      <c r="AU337" s="106"/>
      <c r="AV337" s="106"/>
      <c r="AW337" s="106"/>
      <c r="AX337" s="106"/>
      <c r="AY337" s="106"/>
      <c r="AZ337" s="106"/>
      <c r="BA337" s="106"/>
      <c r="BB337" s="106"/>
      <c r="BC337" s="106"/>
      <c r="BD337" s="106"/>
      <c r="BE337" s="106"/>
      <c r="BF337" s="106"/>
      <c r="BG337" s="106"/>
      <c r="BH337" s="106"/>
      <c r="BI337" s="106"/>
      <c r="BJ337" s="106"/>
      <c r="BK337" s="106"/>
      <c r="BL337" s="106"/>
      <c r="BM337" s="106"/>
      <c r="BN337" s="106"/>
      <c r="BO337" s="106"/>
      <c r="BP337" s="106"/>
      <c r="BQ337" s="106"/>
      <c r="BR337" s="106"/>
      <c r="BS337" s="106"/>
      <c r="BT337" s="106"/>
      <c r="BU337" s="106"/>
      <c r="BV337" s="106"/>
      <c r="BW337" s="106"/>
      <c r="BX337" s="106"/>
      <c r="BY337" s="106"/>
      <c r="BZ337" s="106"/>
      <c r="CA337" s="106"/>
      <c r="CB337" s="106"/>
      <c r="CC337" s="106"/>
      <c r="CD337" s="106"/>
      <c r="CE337" s="106"/>
      <c r="CF337" s="106"/>
      <c r="CG337" s="106"/>
      <c r="CH337" s="106"/>
      <c r="CI337" s="106"/>
      <c r="CJ337" s="106"/>
      <c r="CK337" s="106"/>
      <c r="CL337" s="106"/>
      <c r="CM337" s="106"/>
      <c r="CN337" s="106"/>
      <c r="CO337" s="106"/>
      <c r="CP337" s="106"/>
      <c r="CQ337" s="106"/>
      <c r="CR337" s="106"/>
      <c r="CS337" s="106"/>
      <c r="CT337" s="106"/>
      <c r="CU337" s="106"/>
      <c r="CV337" s="106"/>
      <c r="CW337" s="106"/>
      <c r="CX337" s="106"/>
      <c r="CY337" s="106"/>
      <c r="CZ337" s="106"/>
      <c r="DA337" s="106"/>
      <c r="DB337" s="106"/>
      <c r="DC337" s="106"/>
      <c r="DD337" s="106"/>
      <c r="DE337" s="106"/>
      <c r="DF337" s="106"/>
      <c r="DG337" s="106"/>
      <c r="DH337" s="106"/>
      <c r="DI337" s="106"/>
      <c r="DJ337" s="106"/>
      <c r="DK337" s="106"/>
      <c r="DL337" s="106"/>
      <c r="DM337" s="106"/>
      <c r="DN337" s="106"/>
      <c r="DO337" s="106"/>
      <c r="DP337" s="106"/>
      <c r="DQ337" s="106"/>
      <c r="DR337" s="106"/>
      <c r="DS337" s="106"/>
      <c r="DT337" s="106"/>
      <c r="DU337" s="106"/>
      <c r="DV337" s="106"/>
      <c r="DW337" s="106"/>
      <c r="DX337" s="106"/>
      <c r="DY337" s="106"/>
      <c r="DZ337" s="106"/>
      <c r="EA337" s="106"/>
      <c r="EB337" s="106"/>
      <c r="EC337" s="106"/>
      <c r="ED337" s="106"/>
      <c r="EE337" s="106"/>
      <c r="EF337" s="106"/>
      <c r="EG337" s="106"/>
      <c r="EH337" s="106"/>
      <c r="EI337" s="106"/>
      <c r="EJ337" s="106"/>
      <c r="EK337" s="106"/>
      <c r="EL337" s="106"/>
      <c r="EM337" s="106"/>
      <c r="EN337" s="106"/>
      <c r="EO337" s="106"/>
      <c r="EP337" s="106"/>
      <c r="EQ337" s="106"/>
      <c r="ER337" s="106"/>
      <c r="ES337" s="106"/>
      <c r="ET337" s="106"/>
      <c r="EU337" s="106"/>
      <c r="EV337" s="106"/>
      <c r="EW337" s="106"/>
      <c r="EX337" s="106"/>
      <c r="EY337" s="106"/>
      <c r="EZ337" s="106"/>
      <c r="FA337" s="106"/>
      <c r="FB337" s="106"/>
      <c r="FC337" s="106"/>
      <c r="FD337" s="106"/>
      <c r="FE337" s="106"/>
      <c r="FF337" s="106"/>
      <c r="FG337" s="106"/>
      <c r="FH337" s="106"/>
      <c r="FI337" s="106"/>
      <c r="FJ337" s="106"/>
      <c r="FK337" s="106"/>
      <c r="FL337" s="106"/>
      <c r="FM337" s="106"/>
      <c r="FN337" s="106"/>
      <c r="FO337" s="106"/>
      <c r="FP337" s="106"/>
      <c r="FQ337" s="106"/>
      <c r="FR337" s="106"/>
      <c r="FS337" s="106"/>
      <c r="FT337" s="106"/>
      <c r="FU337" s="106"/>
      <c r="FV337" s="106"/>
      <c r="FW337" s="106"/>
      <c r="FX337" s="106"/>
      <c r="FY337" s="106"/>
      <c r="FZ337" s="106"/>
      <c r="GA337" s="106"/>
      <c r="GB337" s="106"/>
      <c r="GC337" s="106"/>
      <c r="GD337" s="106"/>
      <c r="GE337" s="106"/>
      <c r="GF337" s="106"/>
      <c r="GG337" s="106"/>
      <c r="GH337" s="106"/>
      <c r="GI337" s="106"/>
      <c r="GJ337" s="106"/>
      <c r="GK337" s="106"/>
      <c r="GL337" s="106"/>
      <c r="GM337" s="106"/>
      <c r="GN337" s="106"/>
      <c r="GO337" s="106"/>
      <c r="GP337" s="106"/>
      <c r="GQ337" s="106"/>
      <c r="GR337" s="106"/>
      <c r="GS337" s="106"/>
      <c r="GT337" s="106"/>
      <c r="GU337" s="106"/>
      <c r="GV337" s="106"/>
      <c r="GW337" s="106"/>
      <c r="GX337" s="106"/>
      <c r="GY337" s="106"/>
      <c r="GZ337" s="106"/>
      <c r="HA337" s="106"/>
      <c r="HB337" s="106"/>
      <c r="HC337" s="106"/>
      <c r="HD337" s="106"/>
      <c r="HE337" s="106"/>
      <c r="HF337" s="106"/>
      <c r="HG337" s="106"/>
      <c r="HH337" s="106"/>
      <c r="HI337" s="106"/>
      <c r="HJ337" s="106"/>
      <c r="HK337" s="106"/>
      <c r="HL337" s="106"/>
      <c r="HM337" s="106"/>
      <c r="HN337" s="106"/>
      <c r="HO337" s="106"/>
      <c r="HP337" s="106"/>
      <c r="HQ337" s="106"/>
      <c r="HR337" s="106"/>
      <c r="HS337" s="106"/>
      <c r="HT337" s="106"/>
      <c r="HU337" s="106"/>
      <c r="HV337" s="106"/>
      <c r="HW337" s="106"/>
      <c r="HX337" s="106"/>
      <c r="HY337" s="106"/>
      <c r="HZ337" s="106"/>
      <c r="IA337" s="106"/>
      <c r="IB337" s="106"/>
      <c r="IC337" s="106"/>
      <c r="ID337" s="106"/>
      <c r="IE337" s="106"/>
      <c r="IF337" s="106"/>
      <c r="IG337" s="106"/>
      <c r="IH337" s="106"/>
      <c r="II337" s="106"/>
      <c r="IJ337" s="106"/>
      <c r="IK337" s="106"/>
      <c r="IL337" s="106"/>
      <c r="IM337" s="106"/>
      <c r="IN337" s="106"/>
      <c r="IO337" s="106"/>
      <c r="IP337" s="106"/>
      <c r="IQ337" s="106"/>
      <c r="IR337" s="106"/>
      <c r="IS337" s="106"/>
      <c r="IT337" s="106"/>
      <c r="IU337" s="106"/>
      <c r="IV337" s="106"/>
      <c r="IW337" s="106"/>
      <c r="IX337" s="106"/>
      <c r="IY337" s="106"/>
      <c r="IZ337" s="106"/>
      <c r="JA337" s="106"/>
      <c r="JB337" s="106"/>
      <c r="JC337" s="106"/>
      <c r="JD337" s="106"/>
      <c r="JE337" s="106"/>
      <c r="JF337" s="106"/>
      <c r="JG337" s="106"/>
      <c r="JH337" s="106"/>
      <c r="JI337" s="106"/>
      <c r="JJ337" s="106"/>
      <c r="JK337" s="106"/>
      <c r="JL337" s="106"/>
      <c r="JM337" s="106"/>
      <c r="JN337" s="106"/>
      <c r="JO337" s="106"/>
      <c r="JP337" s="106"/>
      <c r="JQ337" s="106"/>
      <c r="JR337" s="106"/>
      <c r="JS337" s="106"/>
      <c r="JT337" s="106"/>
      <c r="JU337" s="106"/>
      <c r="JV337" s="106"/>
      <c r="JW337" s="106"/>
      <c r="JX337" s="106"/>
      <c r="JY337" s="106"/>
      <c r="JZ337" s="106"/>
      <c r="KA337" s="106"/>
      <c r="KB337" s="106"/>
      <c r="KC337" s="106"/>
      <c r="KD337" s="106"/>
      <c r="KE337" s="106"/>
      <c r="KF337" s="106"/>
      <c r="KG337" s="106"/>
      <c r="KH337" s="106"/>
      <c r="KI337" s="106"/>
      <c r="KJ337" s="106"/>
      <c r="KK337" s="106"/>
      <c r="KL337" s="106"/>
      <c r="KM337" s="106"/>
      <c r="KN337" s="106"/>
      <c r="KO337" s="106"/>
      <c r="KP337" s="106"/>
      <c r="KQ337" s="106"/>
      <c r="KR337" s="106"/>
      <c r="KS337" s="106"/>
      <c r="KT337" s="106"/>
      <c r="KU337" s="106"/>
      <c r="KV337" s="106"/>
      <c r="KW337" s="106"/>
      <c r="KX337" s="106"/>
      <c r="KY337" s="106"/>
      <c r="KZ337" s="106"/>
      <c r="LA337" s="106"/>
      <c r="LB337" s="106"/>
      <c r="LC337" s="106"/>
      <c r="LD337" s="106"/>
      <c r="LE337" s="106"/>
      <c r="LF337" s="106"/>
      <c r="LG337" s="106"/>
      <c r="LH337" s="106"/>
      <c r="LI337" s="106"/>
      <c r="LJ337" s="106"/>
      <c r="LK337" s="106"/>
      <c r="LL337" s="106"/>
      <c r="LM337" s="106"/>
      <c r="LN337" s="106"/>
      <c r="LO337" s="106"/>
      <c r="LP337" s="106"/>
      <c r="LQ337" s="106"/>
      <c r="LR337" s="106"/>
      <c r="LS337" s="106"/>
      <c r="LT337" s="106"/>
      <c r="LU337" s="106"/>
      <c r="LV337" s="106"/>
      <c r="LW337" s="106"/>
      <c r="LX337" s="106"/>
      <c r="LY337" s="106"/>
      <c r="LZ337" s="106"/>
      <c r="MA337" s="106"/>
      <c r="MB337" s="106"/>
      <c r="MC337" s="106"/>
      <c r="MD337" s="106"/>
      <c r="ME337" s="106"/>
      <c r="MF337" s="106"/>
      <c r="MG337" s="106"/>
      <c r="MH337" s="106"/>
      <c r="MI337" s="106"/>
      <c r="MJ337" s="106"/>
      <c r="MK337" s="106"/>
      <c r="ML337" s="106"/>
      <c r="MM337" s="106"/>
      <c r="MN337" s="106"/>
      <c r="MO337" s="106"/>
      <c r="MP337" s="106"/>
      <c r="MQ337" s="106"/>
      <c r="MR337" s="106"/>
      <c r="MS337" s="106"/>
      <c r="MT337" s="106"/>
      <c r="MU337" s="106"/>
      <c r="MV337" s="106"/>
      <c r="MW337" s="106"/>
      <c r="MX337" s="106"/>
      <c r="MY337" s="106"/>
      <c r="MZ337" s="106"/>
      <c r="NA337" s="106"/>
      <c r="NB337" s="106"/>
      <c r="NC337" s="106"/>
      <c r="ND337" s="106"/>
      <c r="NE337" s="106"/>
      <c r="NF337" s="106"/>
      <c r="NG337" s="106"/>
      <c r="NH337" s="106"/>
      <c r="NI337" s="106"/>
      <c r="NJ337" s="106"/>
      <c r="NK337" s="106"/>
      <c r="NL337" s="106"/>
      <c r="NM337" s="106"/>
      <c r="NN337" s="106"/>
      <c r="NO337" s="106"/>
      <c r="NP337" s="106"/>
      <c r="NQ337" s="106"/>
      <c r="NR337" s="106"/>
      <c r="NS337" s="106"/>
      <c r="NT337" s="106"/>
      <c r="NU337" s="106"/>
      <c r="NV337" s="106"/>
      <c r="NW337" s="106"/>
      <c r="NX337" s="106"/>
      <c r="NY337" s="106"/>
      <c r="NZ337" s="106"/>
      <c r="OA337" s="106"/>
      <c r="OB337" s="106"/>
      <c r="OC337" s="106"/>
      <c r="OD337" s="106"/>
      <c r="OE337" s="106"/>
      <c r="OF337" s="106"/>
      <c r="OG337" s="106"/>
      <c r="OH337" s="106"/>
      <c r="OI337" s="106"/>
      <c r="OJ337" s="106"/>
      <c r="OK337" s="106"/>
      <c r="OL337" s="106"/>
      <c r="OM337" s="106"/>
      <c r="ON337" s="106"/>
      <c r="OO337" s="106"/>
      <c r="OP337" s="106"/>
      <c r="OQ337" s="106"/>
      <c r="OR337" s="106"/>
      <c r="OS337" s="106"/>
      <c r="OT337" s="106"/>
      <c r="OU337" s="106"/>
      <c r="OV337" s="106"/>
      <c r="OW337" s="106"/>
      <c r="OX337" s="106"/>
      <c r="OY337" s="106"/>
      <c r="OZ337" s="106"/>
      <c r="PA337" s="106"/>
      <c r="PB337" s="106"/>
      <c r="PC337" s="106"/>
      <c r="PD337" s="106"/>
      <c r="PE337" s="106"/>
      <c r="PF337" s="106"/>
      <c r="PG337" s="106"/>
      <c r="PH337" s="106"/>
      <c r="PI337" s="106"/>
      <c r="PJ337" s="106"/>
      <c r="PK337" s="106"/>
      <c r="PL337" s="106"/>
      <c r="PM337" s="106"/>
      <c r="PN337" s="106"/>
      <c r="PO337" s="106"/>
      <c r="PP337" s="106"/>
      <c r="PQ337" s="106"/>
      <c r="PR337" s="106"/>
      <c r="PS337" s="106"/>
      <c r="PT337" s="106"/>
      <c r="PU337" s="106"/>
      <c r="PV337" s="106"/>
      <c r="PW337" s="106"/>
      <c r="PX337" s="106"/>
      <c r="PY337" s="106"/>
      <c r="PZ337" s="106"/>
      <c r="QA337" s="106"/>
      <c r="QB337" s="106"/>
      <c r="QC337" s="106"/>
      <c r="QD337" s="106"/>
      <c r="QE337" s="106"/>
      <c r="QF337" s="106"/>
      <c r="QG337" s="106"/>
      <c r="QH337" s="106"/>
      <c r="QI337" s="106"/>
      <c r="QJ337" s="106"/>
      <c r="QK337" s="106"/>
      <c r="QL337" s="106"/>
      <c r="QM337" s="106"/>
      <c r="QN337" s="106"/>
      <c r="QO337" s="106"/>
      <c r="QP337" s="106"/>
      <c r="QQ337" s="106"/>
      <c r="QR337" s="106"/>
      <c r="QS337" s="106"/>
      <c r="QT337" s="106"/>
      <c r="QU337" s="106"/>
      <c r="QV337" s="106"/>
      <c r="QW337" s="106"/>
      <c r="QX337" s="106"/>
      <c r="QY337" s="106"/>
      <c r="QZ337" s="106"/>
      <c r="RA337" s="106"/>
      <c r="RB337" s="106"/>
      <c r="RC337" s="106"/>
      <c r="RD337" s="106"/>
      <c r="RE337" s="106"/>
      <c r="RF337" s="106"/>
      <c r="RG337" s="106"/>
      <c r="RH337" s="106"/>
      <c r="RI337" s="106"/>
      <c r="RJ337" s="106"/>
      <c r="RK337" s="106"/>
      <c r="RL337" s="106"/>
      <c r="RM337" s="106"/>
      <c r="RN337" s="106"/>
      <c r="RO337" s="106"/>
      <c r="RP337" s="106"/>
      <c r="RQ337" s="106"/>
      <c r="RR337" s="106"/>
      <c r="RS337" s="106"/>
      <c r="RT337" s="106"/>
      <c r="RU337" s="106"/>
      <c r="RV337" s="106"/>
      <c r="RW337" s="106"/>
      <c r="RX337" s="106"/>
      <c r="RY337" s="106"/>
      <c r="RZ337" s="106"/>
      <c r="SA337" s="106"/>
      <c r="SB337" s="106"/>
      <c r="SC337" s="106"/>
      <c r="SD337" s="106"/>
      <c r="SE337" s="106"/>
      <c r="SF337" s="106"/>
      <c r="SG337" s="106"/>
      <c r="SH337" s="106"/>
      <c r="SI337" s="106"/>
      <c r="SJ337" s="106"/>
      <c r="SK337" s="106"/>
      <c r="SL337" s="106"/>
      <c r="SM337" s="106"/>
      <c r="SN337" s="106"/>
      <c r="SO337" s="106"/>
      <c r="SP337" s="106"/>
      <c r="SQ337" s="106"/>
      <c r="SR337" s="106"/>
      <c r="SS337" s="106"/>
      <c r="ST337" s="106"/>
      <c r="SU337" s="106"/>
      <c r="SV337" s="106"/>
      <c r="SW337" s="106"/>
      <c r="SX337" s="106"/>
      <c r="SY337" s="106"/>
      <c r="SZ337" s="106"/>
      <c r="TA337" s="106"/>
      <c r="TB337" s="106"/>
      <c r="TC337" s="106"/>
      <c r="TD337" s="106"/>
      <c r="TE337" s="106"/>
      <c r="TF337" s="106"/>
      <c r="TG337" s="106"/>
      <c r="TH337" s="106"/>
      <c r="TI337" s="106"/>
      <c r="TJ337" s="106"/>
      <c r="TK337" s="106"/>
      <c r="TL337" s="106"/>
      <c r="TM337" s="106"/>
      <c r="TN337" s="106"/>
      <c r="TO337" s="106"/>
      <c r="TP337" s="106"/>
      <c r="TQ337" s="106"/>
      <c r="TR337" s="106"/>
      <c r="TS337" s="106"/>
      <c r="TT337" s="106"/>
      <c r="TU337" s="106"/>
      <c r="TV337" s="106"/>
      <c r="TW337" s="106"/>
      <c r="TX337" s="106"/>
      <c r="TY337" s="106"/>
      <c r="TZ337" s="106"/>
      <c r="UA337" s="106"/>
      <c r="UB337" s="106"/>
      <c r="UC337" s="106"/>
      <c r="UD337" s="106"/>
      <c r="UE337" s="106"/>
      <c r="UF337" s="106"/>
      <c r="UG337" s="33"/>
    </row>
    <row r="338" spans="1:553" ht="47.25" customHeight="1">
      <c r="A338" s="356" t="s">
        <v>30</v>
      </c>
      <c r="B338" s="366" t="s">
        <v>31</v>
      </c>
      <c r="C338" s="1562" t="s">
        <v>297</v>
      </c>
      <c r="D338" s="1389"/>
      <c r="E338" s="1389"/>
      <c r="F338" s="1390"/>
      <c r="G338" s="386" t="s">
        <v>34</v>
      </c>
      <c r="H338" s="370"/>
      <c r="I338" s="422">
        <f>0.5*0.9*2*0.11</f>
        <v>9.9000000000000005E-2</v>
      </c>
      <c r="J338" s="368">
        <v>1913917</v>
      </c>
      <c r="K338" s="371"/>
      <c r="L338" s="391">
        <f t="shared" si="72"/>
        <v>189477.783</v>
      </c>
      <c r="M338" s="391"/>
      <c r="N338" s="391"/>
      <c r="O338" s="391"/>
      <c r="P338" s="391"/>
      <c r="Q338" s="1142"/>
      <c r="R338" s="1226"/>
      <c r="S338" s="308"/>
      <c r="T338" s="303"/>
      <c r="U338" s="306"/>
      <c r="V338" s="307"/>
      <c r="W338" s="306"/>
      <c r="X338" s="306"/>
      <c r="Y338" s="306"/>
      <c r="Z338" s="306"/>
      <c r="AA338" s="306"/>
      <c r="AB338" s="306"/>
      <c r="AC338" s="449"/>
      <c r="AD338" s="449"/>
      <c r="AE338" s="449"/>
      <c r="AF338" s="449"/>
      <c r="AG338" s="449"/>
      <c r="AH338" s="449"/>
      <c r="AI338" s="449"/>
      <c r="AJ338" s="449"/>
      <c r="AK338" s="452"/>
      <c r="AL338" s="104"/>
      <c r="AM338" s="32"/>
      <c r="AN338" s="32"/>
      <c r="AO338" s="32"/>
      <c r="AP338" s="32"/>
      <c r="AQ338" s="32"/>
      <c r="AR338" s="32"/>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31"/>
      <c r="BU338" s="31"/>
      <c r="BV338" s="31"/>
      <c r="BW338" s="31"/>
      <c r="BX338" s="31"/>
      <c r="BY338" s="31"/>
      <c r="BZ338" s="31"/>
      <c r="CA338" s="31"/>
      <c r="CB338" s="31"/>
      <c r="CC338" s="31"/>
      <c r="CD338" s="31"/>
      <c r="CE338" s="31"/>
      <c r="CF338" s="31"/>
      <c r="CG338" s="31"/>
      <c r="CH338" s="31"/>
      <c r="CI338" s="31"/>
      <c r="CJ338" s="31"/>
      <c r="CK338" s="31"/>
      <c r="CL338" s="31"/>
      <c r="CM338" s="31"/>
      <c r="CN338" s="31"/>
      <c r="CO338" s="31"/>
      <c r="CP338" s="31"/>
      <c r="CQ338" s="31"/>
      <c r="CR338" s="31"/>
      <c r="CS338" s="31"/>
      <c r="CT338" s="31"/>
      <c r="CU338" s="31"/>
      <c r="CV338" s="31"/>
      <c r="CW338" s="31"/>
      <c r="CX338" s="31"/>
      <c r="CY338" s="31"/>
      <c r="CZ338" s="31"/>
      <c r="DA338" s="31"/>
      <c r="DB338" s="31"/>
      <c r="DC338" s="31"/>
      <c r="DD338" s="31"/>
      <c r="DE338" s="31"/>
      <c r="DF338" s="31"/>
      <c r="DG338" s="31"/>
      <c r="DH338" s="31"/>
      <c r="DI338" s="31"/>
      <c r="DJ338" s="31"/>
      <c r="DK338" s="31"/>
      <c r="DL338" s="31"/>
      <c r="DM338" s="31"/>
      <c r="DN338" s="31"/>
      <c r="DO338" s="31"/>
      <c r="DP338" s="31"/>
      <c r="DQ338" s="31"/>
      <c r="DR338" s="31"/>
      <c r="DS338" s="31"/>
      <c r="DT338" s="31"/>
      <c r="DU338" s="31"/>
      <c r="DV338" s="31"/>
      <c r="DW338" s="31"/>
      <c r="DX338" s="31"/>
      <c r="DY338" s="31"/>
      <c r="DZ338" s="31"/>
      <c r="EA338" s="31"/>
      <c r="EB338" s="31"/>
      <c r="EC338" s="31"/>
      <c r="ED338" s="31"/>
      <c r="EE338" s="31"/>
      <c r="EF338" s="31"/>
      <c r="EG338" s="31"/>
      <c r="EH338" s="31"/>
      <c r="EI338" s="31"/>
      <c r="EJ338" s="31"/>
      <c r="EK338" s="31"/>
      <c r="EL338" s="31"/>
      <c r="EM338" s="31"/>
      <c r="EN338" s="31"/>
      <c r="EO338" s="31"/>
      <c r="EP338" s="31"/>
      <c r="EQ338" s="31"/>
      <c r="ER338" s="31"/>
      <c r="ES338" s="31"/>
      <c r="ET338" s="31"/>
      <c r="EU338" s="31"/>
      <c r="EV338" s="31"/>
      <c r="EW338" s="31"/>
      <c r="EX338" s="31"/>
      <c r="EY338" s="31"/>
      <c r="EZ338" s="31"/>
      <c r="FA338" s="31"/>
      <c r="FB338" s="31"/>
      <c r="FC338" s="31"/>
      <c r="FD338" s="31"/>
      <c r="FE338" s="31"/>
      <c r="FF338" s="31"/>
      <c r="FG338" s="31"/>
      <c r="FH338" s="31"/>
      <c r="FI338" s="31"/>
      <c r="FJ338" s="31"/>
      <c r="FK338" s="31"/>
      <c r="FL338" s="31"/>
      <c r="FM338" s="31"/>
      <c r="FN338" s="31"/>
      <c r="FO338" s="31"/>
      <c r="FP338" s="31"/>
      <c r="FQ338" s="31"/>
      <c r="FR338" s="31"/>
      <c r="FS338" s="31"/>
      <c r="FT338" s="31"/>
      <c r="FU338" s="31"/>
      <c r="FV338" s="31"/>
      <c r="FW338" s="31"/>
      <c r="FX338" s="31"/>
      <c r="FY338" s="31"/>
      <c r="FZ338" s="31"/>
      <c r="GA338" s="31"/>
      <c r="GB338" s="31"/>
      <c r="GC338" s="31"/>
      <c r="GD338" s="31"/>
      <c r="GE338" s="31"/>
      <c r="GF338" s="31"/>
      <c r="GG338" s="31"/>
      <c r="GH338" s="31"/>
      <c r="GI338" s="31"/>
      <c r="GJ338" s="31"/>
      <c r="GK338" s="31"/>
      <c r="GL338" s="31"/>
      <c r="GM338" s="31"/>
      <c r="GN338" s="31"/>
      <c r="GO338" s="31"/>
      <c r="GP338" s="31"/>
      <c r="GQ338" s="31"/>
      <c r="GR338" s="31"/>
      <c r="GS338" s="31"/>
      <c r="GT338" s="31"/>
      <c r="GU338" s="31"/>
      <c r="GV338" s="31"/>
      <c r="GW338" s="31"/>
      <c r="GX338" s="31"/>
      <c r="GY338" s="31"/>
      <c r="GZ338" s="31"/>
      <c r="HA338" s="31"/>
      <c r="HB338" s="31"/>
      <c r="HC338" s="31"/>
      <c r="HD338" s="31"/>
      <c r="HE338" s="31"/>
      <c r="HF338" s="31"/>
      <c r="HG338" s="31"/>
      <c r="HH338" s="31"/>
      <c r="HI338" s="31"/>
      <c r="HJ338" s="31"/>
      <c r="HK338" s="31"/>
      <c r="HL338" s="31"/>
      <c r="HM338" s="31"/>
      <c r="HN338" s="31"/>
      <c r="HO338" s="31"/>
      <c r="HP338" s="31"/>
      <c r="HQ338" s="31"/>
      <c r="HR338" s="31"/>
      <c r="HS338" s="31"/>
      <c r="HT338" s="31"/>
      <c r="HU338" s="31"/>
      <c r="HV338" s="31"/>
      <c r="HW338" s="31"/>
      <c r="HX338" s="31"/>
      <c r="HY338" s="31"/>
      <c r="HZ338" s="31"/>
      <c r="IA338" s="31"/>
      <c r="IB338" s="31"/>
      <c r="IC338" s="31"/>
      <c r="ID338" s="31"/>
      <c r="IE338" s="31"/>
      <c r="IF338" s="31"/>
      <c r="IG338" s="31"/>
      <c r="IH338" s="31"/>
      <c r="II338" s="31"/>
      <c r="IJ338" s="31"/>
      <c r="IK338" s="31"/>
      <c r="IL338" s="31"/>
      <c r="IM338" s="31"/>
      <c r="IN338" s="31"/>
      <c r="IO338" s="31"/>
      <c r="IP338" s="31"/>
      <c r="IQ338" s="31"/>
      <c r="IR338" s="31"/>
      <c r="IS338" s="31"/>
      <c r="IT338" s="31"/>
      <c r="IU338" s="31"/>
      <c r="IV338" s="31"/>
      <c r="IW338" s="31"/>
      <c r="IX338" s="31"/>
      <c r="IY338" s="31"/>
      <c r="IZ338" s="31"/>
      <c r="JA338" s="31"/>
      <c r="JB338" s="31"/>
      <c r="JC338" s="31"/>
      <c r="JD338" s="31"/>
      <c r="JE338" s="31"/>
      <c r="JF338" s="31"/>
      <c r="JG338" s="31"/>
      <c r="JH338" s="31"/>
      <c r="JI338" s="31"/>
      <c r="JJ338" s="31"/>
      <c r="JK338" s="31"/>
      <c r="JL338" s="31"/>
      <c r="JM338" s="31"/>
      <c r="JN338" s="31"/>
      <c r="JO338" s="31"/>
      <c r="JP338" s="31"/>
      <c r="JQ338" s="31"/>
      <c r="JR338" s="31"/>
      <c r="JS338" s="31"/>
      <c r="JT338" s="31"/>
      <c r="JU338" s="31"/>
      <c r="JV338" s="31"/>
      <c r="JW338" s="31"/>
      <c r="JX338" s="31"/>
      <c r="JY338" s="31"/>
      <c r="JZ338" s="31"/>
      <c r="KA338" s="31"/>
      <c r="KB338" s="31"/>
      <c r="KC338" s="31"/>
      <c r="KD338" s="31"/>
      <c r="KE338" s="31"/>
      <c r="KF338" s="31"/>
      <c r="KG338" s="31"/>
      <c r="KH338" s="31"/>
      <c r="KI338" s="31"/>
      <c r="KJ338" s="31"/>
      <c r="KK338" s="31"/>
      <c r="KL338" s="31"/>
      <c r="KM338" s="31"/>
      <c r="KN338" s="31"/>
      <c r="KO338" s="31"/>
      <c r="KP338" s="31"/>
      <c r="KQ338" s="31"/>
      <c r="KR338" s="31"/>
      <c r="KS338" s="31"/>
      <c r="KT338" s="31"/>
      <c r="KU338" s="31"/>
      <c r="KV338" s="31"/>
      <c r="KW338" s="31"/>
      <c r="KX338" s="31"/>
      <c r="KY338" s="31"/>
      <c r="KZ338" s="31"/>
      <c r="LA338" s="31"/>
      <c r="LB338" s="31"/>
      <c r="LC338" s="31"/>
      <c r="LD338" s="31"/>
      <c r="LE338" s="31"/>
      <c r="LF338" s="31"/>
      <c r="LG338" s="31"/>
      <c r="LH338" s="31"/>
      <c r="LI338" s="31"/>
      <c r="LJ338" s="31"/>
      <c r="LK338" s="31"/>
      <c r="LL338" s="31"/>
      <c r="LM338" s="31"/>
      <c r="LN338" s="31"/>
      <c r="LO338" s="31"/>
      <c r="LP338" s="31"/>
      <c r="LQ338" s="31"/>
      <c r="LR338" s="31"/>
      <c r="LS338" s="31"/>
      <c r="LT338" s="31"/>
      <c r="LU338" s="31"/>
      <c r="LV338" s="31"/>
      <c r="LW338" s="31"/>
      <c r="LX338" s="31"/>
      <c r="LY338" s="31"/>
      <c r="LZ338" s="31"/>
      <c r="MA338" s="31"/>
      <c r="MB338" s="31"/>
      <c r="MC338" s="31"/>
      <c r="MD338" s="31"/>
      <c r="ME338" s="31"/>
      <c r="MF338" s="31"/>
      <c r="MG338" s="31"/>
      <c r="MH338" s="31"/>
      <c r="MI338" s="31"/>
      <c r="MJ338" s="31"/>
      <c r="MK338" s="31"/>
      <c r="ML338" s="31"/>
      <c r="MM338" s="31"/>
      <c r="MN338" s="31"/>
      <c r="MO338" s="31"/>
      <c r="MP338" s="31"/>
      <c r="MQ338" s="31"/>
      <c r="MR338" s="31"/>
      <c r="MS338" s="31"/>
      <c r="MT338" s="31"/>
      <c r="MU338" s="31"/>
      <c r="MV338" s="31"/>
      <c r="MW338" s="31"/>
      <c r="MX338" s="31"/>
      <c r="MY338" s="31"/>
      <c r="MZ338" s="31"/>
      <c r="NA338" s="31"/>
      <c r="NB338" s="31"/>
      <c r="NC338" s="31"/>
      <c r="ND338" s="31"/>
      <c r="NE338" s="31"/>
      <c r="NF338" s="31"/>
      <c r="NG338" s="31"/>
      <c r="NH338" s="31"/>
      <c r="NI338" s="31"/>
      <c r="NJ338" s="31"/>
      <c r="NK338" s="31"/>
      <c r="NL338" s="31"/>
      <c r="NM338" s="31"/>
      <c r="NN338" s="31"/>
      <c r="NO338" s="31"/>
      <c r="NP338" s="31"/>
      <c r="NQ338" s="31"/>
      <c r="NR338" s="31"/>
      <c r="NS338" s="31"/>
      <c r="NT338" s="31"/>
      <c r="NU338" s="31"/>
      <c r="NV338" s="31"/>
      <c r="NW338" s="31"/>
      <c r="NX338" s="31"/>
      <c r="NY338" s="31"/>
      <c r="NZ338" s="31"/>
      <c r="OA338" s="31"/>
      <c r="OB338" s="31"/>
      <c r="OC338" s="31"/>
      <c r="OD338" s="31"/>
      <c r="OE338" s="31"/>
      <c r="OF338" s="31"/>
      <c r="OG338" s="31"/>
      <c r="OH338" s="31"/>
      <c r="OI338" s="31"/>
      <c r="OJ338" s="31"/>
      <c r="OK338" s="31"/>
      <c r="OL338" s="31"/>
      <c r="OM338" s="31"/>
      <c r="ON338" s="31"/>
      <c r="OO338" s="31"/>
      <c r="OP338" s="31"/>
      <c r="OQ338" s="31"/>
      <c r="OR338" s="31"/>
      <c r="OS338" s="31"/>
      <c r="OT338" s="31"/>
      <c r="OU338" s="31"/>
      <c r="OV338" s="31"/>
      <c r="OW338" s="31"/>
      <c r="OX338" s="31"/>
      <c r="OY338" s="31"/>
      <c r="OZ338" s="31"/>
      <c r="PA338" s="31"/>
      <c r="PB338" s="31"/>
      <c r="PC338" s="31"/>
      <c r="PD338" s="31"/>
      <c r="PE338" s="31"/>
      <c r="PF338" s="31"/>
      <c r="PG338" s="31"/>
      <c r="PH338" s="31"/>
      <c r="PI338" s="31"/>
      <c r="PJ338" s="31"/>
      <c r="PK338" s="31"/>
      <c r="PL338" s="31"/>
      <c r="PM338" s="31"/>
      <c r="PN338" s="31"/>
      <c r="PO338" s="31"/>
      <c r="PP338" s="31"/>
      <c r="PQ338" s="31"/>
      <c r="PR338" s="31"/>
      <c r="PS338" s="31"/>
      <c r="PT338" s="31"/>
      <c r="PU338" s="31"/>
      <c r="PV338" s="31"/>
      <c r="PW338" s="31"/>
      <c r="PX338" s="31"/>
      <c r="PY338" s="31"/>
      <c r="PZ338" s="31"/>
      <c r="QA338" s="31"/>
      <c r="QB338" s="31"/>
      <c r="QC338" s="31"/>
      <c r="QD338" s="31"/>
      <c r="QE338" s="31"/>
      <c r="QF338" s="31"/>
      <c r="QG338" s="31"/>
      <c r="QH338" s="31"/>
      <c r="QI338" s="31"/>
      <c r="QJ338" s="31"/>
      <c r="QK338" s="31"/>
      <c r="QL338" s="31"/>
      <c r="QM338" s="31"/>
      <c r="QN338" s="31"/>
      <c r="QO338" s="31"/>
      <c r="QP338" s="31"/>
      <c r="QQ338" s="31"/>
      <c r="QR338" s="31"/>
      <c r="QS338" s="31"/>
      <c r="QT338" s="31"/>
      <c r="QU338" s="31"/>
      <c r="QV338" s="31"/>
      <c r="QW338" s="31"/>
      <c r="QX338" s="31"/>
      <c r="QY338" s="31"/>
      <c r="QZ338" s="31"/>
      <c r="RA338" s="31"/>
      <c r="RB338" s="31"/>
      <c r="RC338" s="31"/>
      <c r="RD338" s="31"/>
      <c r="RE338" s="31"/>
      <c r="RF338" s="31"/>
      <c r="RG338" s="31"/>
      <c r="RH338" s="31"/>
      <c r="RI338" s="31"/>
      <c r="RJ338" s="31"/>
      <c r="RK338" s="31"/>
      <c r="RL338" s="31"/>
      <c r="RM338" s="31"/>
      <c r="RN338" s="31"/>
      <c r="RO338" s="31"/>
      <c r="RP338" s="31"/>
      <c r="RQ338" s="31"/>
      <c r="RR338" s="31"/>
      <c r="RS338" s="31"/>
      <c r="RT338" s="31"/>
      <c r="RU338" s="31"/>
      <c r="RV338" s="31"/>
      <c r="RW338" s="31"/>
      <c r="RX338" s="31"/>
      <c r="RY338" s="31"/>
      <c r="RZ338" s="31"/>
      <c r="SA338" s="31"/>
      <c r="SB338" s="31"/>
      <c r="SC338" s="31"/>
      <c r="SD338" s="31"/>
      <c r="SE338" s="31"/>
      <c r="SF338" s="31"/>
      <c r="SG338" s="31"/>
      <c r="SH338" s="31"/>
      <c r="SI338" s="31"/>
      <c r="SJ338" s="31"/>
      <c r="SK338" s="31"/>
      <c r="SL338" s="31"/>
      <c r="SM338" s="31"/>
      <c r="SN338" s="31"/>
      <c r="SO338" s="31"/>
      <c r="SP338" s="31"/>
      <c r="SQ338" s="31"/>
      <c r="SR338" s="31"/>
      <c r="SS338" s="31"/>
      <c r="ST338" s="31"/>
      <c r="SU338" s="31"/>
      <c r="SV338" s="31"/>
      <c r="SW338" s="31"/>
      <c r="SX338" s="31"/>
      <c r="SY338" s="31"/>
      <c r="SZ338" s="31"/>
      <c r="TA338" s="31"/>
      <c r="TB338" s="31"/>
      <c r="TC338" s="31"/>
      <c r="TD338" s="31"/>
      <c r="TE338" s="31"/>
      <c r="TF338" s="31"/>
      <c r="TG338" s="31"/>
      <c r="TH338" s="31"/>
      <c r="TI338" s="31"/>
      <c r="TJ338" s="31"/>
      <c r="TK338" s="31"/>
      <c r="TL338" s="31"/>
      <c r="TM338" s="31"/>
      <c r="TN338" s="31"/>
      <c r="TO338" s="31"/>
      <c r="TP338" s="31"/>
      <c r="TQ338" s="31"/>
      <c r="TR338" s="31"/>
      <c r="TS338" s="31"/>
      <c r="TT338" s="31"/>
      <c r="TU338" s="31"/>
      <c r="TV338" s="31"/>
      <c r="TW338" s="31"/>
      <c r="TX338" s="31"/>
      <c r="TY338" s="31"/>
      <c r="TZ338" s="31"/>
      <c r="UA338" s="31"/>
      <c r="UB338" s="31"/>
      <c r="UC338" s="31"/>
      <c r="UD338" s="31"/>
      <c r="UE338" s="31"/>
      <c r="UF338" s="31"/>
      <c r="UG338" s="33"/>
    </row>
    <row r="339" spans="1:553" ht="47.25" customHeight="1">
      <c r="A339" s="356" t="s">
        <v>15</v>
      </c>
      <c r="B339" s="366">
        <v>178</v>
      </c>
      <c r="C339" s="1563" t="s">
        <v>254</v>
      </c>
      <c r="D339" s="1564"/>
      <c r="E339" s="1564"/>
      <c r="F339" s="1565"/>
      <c r="G339" s="386" t="s">
        <v>113</v>
      </c>
      <c r="H339" s="370"/>
      <c r="I339" s="422">
        <v>98</v>
      </c>
      <c r="J339" s="368">
        <v>114600</v>
      </c>
      <c r="K339" s="371"/>
      <c r="L339" s="391">
        <f t="shared" si="72"/>
        <v>11230800</v>
      </c>
      <c r="M339" s="391"/>
      <c r="N339" s="391"/>
      <c r="O339" s="391"/>
      <c r="P339" s="391"/>
      <c r="Q339" s="1142"/>
      <c r="R339" s="1226"/>
      <c r="S339" s="308"/>
      <c r="T339" s="303"/>
      <c r="U339" s="306"/>
      <c r="V339" s="307"/>
      <c r="W339" s="306"/>
      <c r="X339" s="306"/>
      <c r="Y339" s="306"/>
      <c r="Z339" s="306"/>
      <c r="AA339" s="306"/>
      <c r="AB339" s="306"/>
      <c r="AC339" s="449"/>
      <c r="AD339" s="449"/>
      <c r="AE339" s="449"/>
      <c r="AF339" s="449"/>
      <c r="AG339" s="449"/>
      <c r="AH339" s="449"/>
      <c r="AI339" s="449"/>
      <c r="AJ339" s="449"/>
      <c r="AK339" s="452"/>
      <c r="AL339" s="104"/>
      <c r="AM339" s="104"/>
      <c r="AN339" s="104"/>
      <c r="AO339" s="104"/>
      <c r="AP339" s="104"/>
      <c r="AQ339" s="104"/>
      <c r="AR339" s="104"/>
      <c r="AS339" s="106"/>
      <c r="AT339" s="106"/>
      <c r="AU339" s="106"/>
      <c r="AV339" s="106"/>
      <c r="AW339" s="106"/>
      <c r="AX339" s="106"/>
      <c r="AY339" s="106"/>
      <c r="AZ339" s="106"/>
      <c r="BA339" s="106"/>
      <c r="BB339" s="106"/>
      <c r="BC339" s="106"/>
      <c r="BD339" s="106"/>
      <c r="BE339" s="106"/>
      <c r="BF339" s="106"/>
      <c r="BG339" s="106"/>
      <c r="BH339" s="106"/>
      <c r="BI339" s="106"/>
      <c r="BJ339" s="106"/>
      <c r="BK339" s="106"/>
      <c r="BL339" s="106"/>
      <c r="BM339" s="106"/>
      <c r="BN339" s="106"/>
      <c r="BO339" s="106"/>
      <c r="BP339" s="106"/>
      <c r="BQ339" s="106"/>
      <c r="BR339" s="106"/>
      <c r="BS339" s="106"/>
      <c r="BT339" s="106"/>
      <c r="BU339" s="106"/>
      <c r="BV339" s="106"/>
      <c r="BW339" s="106"/>
      <c r="BX339" s="106"/>
      <c r="BY339" s="106"/>
      <c r="BZ339" s="106"/>
      <c r="CA339" s="106"/>
      <c r="CB339" s="106"/>
      <c r="CC339" s="106"/>
      <c r="CD339" s="106"/>
      <c r="CE339" s="106"/>
      <c r="CF339" s="106"/>
      <c r="CG339" s="106"/>
      <c r="CH339" s="106"/>
      <c r="CI339" s="106"/>
      <c r="CJ339" s="106"/>
      <c r="CK339" s="106"/>
      <c r="CL339" s="106"/>
      <c r="CM339" s="106"/>
      <c r="CN339" s="106"/>
      <c r="CO339" s="106"/>
      <c r="CP339" s="106"/>
      <c r="CQ339" s="106"/>
      <c r="CR339" s="106"/>
      <c r="CS339" s="106"/>
      <c r="CT339" s="106"/>
      <c r="CU339" s="106"/>
      <c r="CV339" s="106"/>
      <c r="CW339" s="106"/>
      <c r="CX339" s="106"/>
      <c r="CY339" s="106"/>
      <c r="CZ339" s="106"/>
      <c r="DA339" s="106"/>
      <c r="DB339" s="106"/>
      <c r="DC339" s="106"/>
      <c r="DD339" s="106"/>
      <c r="DE339" s="106"/>
      <c r="DF339" s="106"/>
      <c r="DG339" s="106"/>
      <c r="DH339" s="106"/>
      <c r="DI339" s="106"/>
      <c r="DJ339" s="106"/>
      <c r="DK339" s="106"/>
      <c r="DL339" s="106"/>
      <c r="DM339" s="106"/>
      <c r="DN339" s="106"/>
      <c r="DO339" s="106"/>
      <c r="DP339" s="106"/>
      <c r="DQ339" s="106"/>
      <c r="DR339" s="106"/>
      <c r="DS339" s="106"/>
      <c r="DT339" s="106"/>
      <c r="DU339" s="106"/>
      <c r="DV339" s="106"/>
      <c r="DW339" s="106"/>
      <c r="DX339" s="106"/>
      <c r="DY339" s="106"/>
      <c r="DZ339" s="106"/>
      <c r="EA339" s="106"/>
      <c r="EB339" s="106"/>
      <c r="EC339" s="106"/>
      <c r="ED339" s="106"/>
      <c r="EE339" s="106"/>
      <c r="EF339" s="106"/>
      <c r="EG339" s="106"/>
      <c r="EH339" s="106"/>
      <c r="EI339" s="106"/>
      <c r="EJ339" s="106"/>
      <c r="EK339" s="106"/>
      <c r="EL339" s="106"/>
      <c r="EM339" s="106"/>
      <c r="EN339" s="106"/>
      <c r="EO339" s="106"/>
      <c r="EP339" s="106"/>
      <c r="EQ339" s="106"/>
      <c r="ER339" s="106"/>
      <c r="ES339" s="106"/>
      <c r="ET339" s="106"/>
      <c r="EU339" s="106"/>
      <c r="EV339" s="106"/>
      <c r="EW339" s="106"/>
      <c r="EX339" s="106"/>
      <c r="EY339" s="106"/>
      <c r="EZ339" s="106"/>
      <c r="FA339" s="106"/>
      <c r="FB339" s="106"/>
      <c r="FC339" s="106"/>
      <c r="FD339" s="106"/>
      <c r="FE339" s="106"/>
      <c r="FF339" s="106"/>
      <c r="FG339" s="106"/>
      <c r="FH339" s="106"/>
      <c r="FI339" s="106"/>
      <c r="FJ339" s="106"/>
      <c r="FK339" s="106"/>
      <c r="FL339" s="106"/>
      <c r="FM339" s="106"/>
      <c r="FN339" s="106"/>
      <c r="FO339" s="106"/>
      <c r="FP339" s="106"/>
      <c r="FQ339" s="106"/>
      <c r="FR339" s="106"/>
      <c r="FS339" s="106"/>
      <c r="FT339" s="106"/>
      <c r="FU339" s="106"/>
      <c r="FV339" s="106"/>
      <c r="FW339" s="106"/>
      <c r="FX339" s="106"/>
      <c r="FY339" s="106"/>
      <c r="FZ339" s="106"/>
      <c r="GA339" s="106"/>
      <c r="GB339" s="106"/>
      <c r="GC339" s="106"/>
      <c r="GD339" s="106"/>
      <c r="GE339" s="106"/>
      <c r="GF339" s="106"/>
      <c r="GG339" s="106"/>
      <c r="GH339" s="106"/>
      <c r="GI339" s="106"/>
      <c r="GJ339" s="106"/>
      <c r="GK339" s="106"/>
      <c r="GL339" s="106"/>
      <c r="GM339" s="106"/>
      <c r="GN339" s="106"/>
      <c r="GO339" s="106"/>
      <c r="GP339" s="106"/>
      <c r="GQ339" s="106"/>
      <c r="GR339" s="106"/>
      <c r="GS339" s="106"/>
      <c r="GT339" s="106"/>
      <c r="GU339" s="106"/>
      <c r="GV339" s="106"/>
      <c r="GW339" s="106"/>
      <c r="GX339" s="106"/>
      <c r="GY339" s="106"/>
      <c r="GZ339" s="106"/>
      <c r="HA339" s="106"/>
      <c r="HB339" s="106"/>
      <c r="HC339" s="106"/>
      <c r="HD339" s="106"/>
      <c r="HE339" s="106"/>
      <c r="HF339" s="106"/>
      <c r="HG339" s="106"/>
      <c r="HH339" s="106"/>
      <c r="HI339" s="106"/>
      <c r="HJ339" s="106"/>
      <c r="HK339" s="106"/>
      <c r="HL339" s="106"/>
      <c r="HM339" s="106"/>
      <c r="HN339" s="106"/>
      <c r="HO339" s="106"/>
      <c r="HP339" s="106"/>
      <c r="HQ339" s="106"/>
      <c r="HR339" s="106"/>
      <c r="HS339" s="106"/>
      <c r="HT339" s="106"/>
      <c r="HU339" s="106"/>
      <c r="HV339" s="106"/>
      <c r="HW339" s="106"/>
      <c r="HX339" s="106"/>
      <c r="HY339" s="106"/>
      <c r="HZ339" s="106"/>
      <c r="IA339" s="106"/>
      <c r="IB339" s="106"/>
      <c r="IC339" s="106"/>
      <c r="ID339" s="106"/>
      <c r="IE339" s="106"/>
      <c r="IF339" s="106"/>
      <c r="IG339" s="106"/>
      <c r="IH339" s="106"/>
      <c r="II339" s="106"/>
      <c r="IJ339" s="106"/>
      <c r="IK339" s="106"/>
      <c r="IL339" s="106"/>
      <c r="IM339" s="106"/>
      <c r="IN339" s="106"/>
      <c r="IO339" s="106"/>
      <c r="IP339" s="106"/>
      <c r="IQ339" s="106"/>
      <c r="IR339" s="106"/>
      <c r="IS339" s="106"/>
      <c r="IT339" s="106"/>
      <c r="IU339" s="106"/>
      <c r="IV339" s="106"/>
      <c r="IW339" s="106"/>
      <c r="IX339" s="106"/>
      <c r="IY339" s="106"/>
      <c r="IZ339" s="106"/>
      <c r="JA339" s="106"/>
      <c r="JB339" s="106"/>
      <c r="JC339" s="106"/>
      <c r="JD339" s="106"/>
      <c r="JE339" s="106"/>
      <c r="JF339" s="106"/>
      <c r="JG339" s="106"/>
      <c r="JH339" s="106"/>
      <c r="JI339" s="106"/>
      <c r="JJ339" s="106"/>
      <c r="JK339" s="106"/>
      <c r="JL339" s="106"/>
      <c r="JM339" s="106"/>
      <c r="JN339" s="106"/>
      <c r="JO339" s="106"/>
      <c r="JP339" s="106"/>
      <c r="JQ339" s="106"/>
      <c r="JR339" s="106"/>
      <c r="JS339" s="106"/>
      <c r="JT339" s="106"/>
      <c r="JU339" s="106"/>
      <c r="JV339" s="106"/>
      <c r="JW339" s="106"/>
      <c r="JX339" s="106"/>
      <c r="JY339" s="106"/>
      <c r="JZ339" s="106"/>
      <c r="KA339" s="106"/>
      <c r="KB339" s="106"/>
      <c r="KC339" s="106"/>
      <c r="KD339" s="106"/>
      <c r="KE339" s="106"/>
      <c r="KF339" s="106"/>
      <c r="KG339" s="106"/>
      <c r="KH339" s="106"/>
      <c r="KI339" s="106"/>
      <c r="KJ339" s="106"/>
      <c r="KK339" s="106"/>
      <c r="KL339" s="106"/>
      <c r="KM339" s="106"/>
      <c r="KN339" s="106"/>
      <c r="KO339" s="106"/>
      <c r="KP339" s="106"/>
      <c r="KQ339" s="106"/>
      <c r="KR339" s="106"/>
      <c r="KS339" s="106"/>
      <c r="KT339" s="106"/>
      <c r="KU339" s="106"/>
      <c r="KV339" s="106"/>
      <c r="KW339" s="106"/>
      <c r="KX339" s="106"/>
      <c r="KY339" s="106"/>
      <c r="KZ339" s="106"/>
      <c r="LA339" s="106"/>
      <c r="LB339" s="106"/>
      <c r="LC339" s="106"/>
      <c r="LD339" s="106"/>
      <c r="LE339" s="106"/>
      <c r="LF339" s="106"/>
      <c r="LG339" s="106"/>
      <c r="LH339" s="106"/>
      <c r="LI339" s="106"/>
      <c r="LJ339" s="106"/>
      <c r="LK339" s="106"/>
      <c r="LL339" s="106"/>
      <c r="LM339" s="106"/>
      <c r="LN339" s="106"/>
      <c r="LO339" s="106"/>
      <c r="LP339" s="106"/>
      <c r="LQ339" s="106"/>
      <c r="LR339" s="106"/>
      <c r="LS339" s="106"/>
      <c r="LT339" s="106"/>
      <c r="LU339" s="106"/>
      <c r="LV339" s="106"/>
      <c r="LW339" s="106"/>
      <c r="LX339" s="106"/>
      <c r="LY339" s="106"/>
      <c r="LZ339" s="106"/>
      <c r="MA339" s="106"/>
      <c r="MB339" s="106"/>
      <c r="MC339" s="106"/>
      <c r="MD339" s="106"/>
      <c r="ME339" s="106"/>
      <c r="MF339" s="106"/>
      <c r="MG339" s="106"/>
      <c r="MH339" s="106"/>
      <c r="MI339" s="106"/>
      <c r="MJ339" s="106"/>
      <c r="MK339" s="106"/>
      <c r="ML339" s="106"/>
      <c r="MM339" s="106"/>
      <c r="MN339" s="106"/>
      <c r="MO339" s="106"/>
      <c r="MP339" s="106"/>
      <c r="MQ339" s="106"/>
      <c r="MR339" s="106"/>
      <c r="MS339" s="106"/>
      <c r="MT339" s="106"/>
      <c r="MU339" s="106"/>
      <c r="MV339" s="106"/>
      <c r="MW339" s="106"/>
      <c r="MX339" s="106"/>
      <c r="MY339" s="106"/>
      <c r="MZ339" s="106"/>
      <c r="NA339" s="106"/>
      <c r="NB339" s="106"/>
      <c r="NC339" s="106"/>
      <c r="ND339" s="106"/>
      <c r="NE339" s="106"/>
      <c r="NF339" s="106"/>
      <c r="NG339" s="106"/>
      <c r="NH339" s="106"/>
      <c r="NI339" s="106"/>
      <c r="NJ339" s="106"/>
      <c r="NK339" s="106"/>
      <c r="NL339" s="106"/>
      <c r="NM339" s="106"/>
      <c r="NN339" s="106"/>
      <c r="NO339" s="106"/>
      <c r="NP339" s="106"/>
      <c r="NQ339" s="106"/>
      <c r="NR339" s="106"/>
      <c r="NS339" s="106"/>
      <c r="NT339" s="106"/>
      <c r="NU339" s="106"/>
      <c r="NV339" s="106"/>
      <c r="NW339" s="106"/>
      <c r="NX339" s="106"/>
      <c r="NY339" s="106"/>
      <c r="NZ339" s="106"/>
      <c r="OA339" s="106"/>
      <c r="OB339" s="106"/>
      <c r="OC339" s="106"/>
      <c r="OD339" s="106"/>
      <c r="OE339" s="106"/>
      <c r="OF339" s="106"/>
      <c r="OG339" s="106"/>
      <c r="OH339" s="106"/>
      <c r="OI339" s="106"/>
      <c r="OJ339" s="106"/>
      <c r="OK339" s="106"/>
      <c r="OL339" s="106"/>
      <c r="OM339" s="106"/>
      <c r="ON339" s="106"/>
      <c r="OO339" s="106"/>
      <c r="OP339" s="106"/>
      <c r="OQ339" s="106"/>
      <c r="OR339" s="106"/>
      <c r="OS339" s="106"/>
      <c r="OT339" s="106"/>
      <c r="OU339" s="106"/>
      <c r="OV339" s="106"/>
      <c r="OW339" s="106"/>
      <c r="OX339" s="106"/>
      <c r="OY339" s="106"/>
      <c r="OZ339" s="106"/>
      <c r="PA339" s="106"/>
      <c r="PB339" s="106"/>
      <c r="PC339" s="106"/>
      <c r="PD339" s="106"/>
      <c r="PE339" s="106"/>
      <c r="PF339" s="106"/>
      <c r="PG339" s="106"/>
      <c r="PH339" s="106"/>
      <c r="PI339" s="106"/>
      <c r="PJ339" s="106"/>
      <c r="PK339" s="106"/>
      <c r="PL339" s="106"/>
      <c r="PM339" s="106"/>
      <c r="PN339" s="106"/>
      <c r="PO339" s="106"/>
      <c r="PP339" s="106"/>
      <c r="PQ339" s="106"/>
      <c r="PR339" s="106"/>
      <c r="PS339" s="106"/>
      <c r="PT339" s="106"/>
      <c r="PU339" s="106"/>
      <c r="PV339" s="106"/>
      <c r="PW339" s="106"/>
      <c r="PX339" s="106"/>
      <c r="PY339" s="106"/>
      <c r="PZ339" s="106"/>
      <c r="QA339" s="106"/>
      <c r="QB339" s="106"/>
      <c r="QC339" s="106"/>
      <c r="QD339" s="106"/>
      <c r="QE339" s="106"/>
      <c r="QF339" s="106"/>
      <c r="QG339" s="106"/>
      <c r="QH339" s="106"/>
      <c r="QI339" s="106"/>
      <c r="QJ339" s="106"/>
      <c r="QK339" s="106"/>
      <c r="QL339" s="106"/>
      <c r="QM339" s="106"/>
      <c r="QN339" s="106"/>
      <c r="QO339" s="106"/>
      <c r="QP339" s="106"/>
      <c r="QQ339" s="106"/>
      <c r="QR339" s="106"/>
      <c r="QS339" s="106"/>
      <c r="QT339" s="106"/>
      <c r="QU339" s="106"/>
      <c r="QV339" s="106"/>
      <c r="QW339" s="106"/>
      <c r="QX339" s="106"/>
      <c r="QY339" s="106"/>
      <c r="QZ339" s="106"/>
      <c r="RA339" s="106"/>
      <c r="RB339" s="106"/>
      <c r="RC339" s="106"/>
      <c r="RD339" s="106"/>
      <c r="RE339" s="106"/>
      <c r="RF339" s="106"/>
      <c r="RG339" s="106"/>
      <c r="RH339" s="106"/>
      <c r="RI339" s="106"/>
      <c r="RJ339" s="106"/>
      <c r="RK339" s="106"/>
      <c r="RL339" s="106"/>
      <c r="RM339" s="106"/>
      <c r="RN339" s="106"/>
      <c r="RO339" s="106"/>
      <c r="RP339" s="106"/>
      <c r="RQ339" s="106"/>
      <c r="RR339" s="106"/>
      <c r="RS339" s="106"/>
      <c r="RT339" s="106"/>
      <c r="RU339" s="106"/>
      <c r="RV339" s="106"/>
      <c r="RW339" s="106"/>
      <c r="RX339" s="106"/>
      <c r="RY339" s="106"/>
      <c r="RZ339" s="106"/>
      <c r="SA339" s="106"/>
      <c r="SB339" s="106"/>
      <c r="SC339" s="106"/>
      <c r="SD339" s="106"/>
      <c r="SE339" s="106"/>
      <c r="SF339" s="106"/>
      <c r="SG339" s="106"/>
      <c r="SH339" s="106"/>
      <c r="SI339" s="106"/>
      <c r="SJ339" s="106"/>
      <c r="SK339" s="106"/>
      <c r="SL339" s="106"/>
      <c r="SM339" s="106"/>
      <c r="SN339" s="106"/>
      <c r="SO339" s="106"/>
      <c r="SP339" s="106"/>
      <c r="SQ339" s="106"/>
      <c r="SR339" s="106"/>
      <c r="SS339" s="106"/>
      <c r="ST339" s="106"/>
      <c r="SU339" s="106"/>
      <c r="SV339" s="106"/>
      <c r="SW339" s="106"/>
      <c r="SX339" s="106"/>
      <c r="SY339" s="106"/>
      <c r="SZ339" s="106"/>
      <c r="TA339" s="106"/>
      <c r="TB339" s="106"/>
      <c r="TC339" s="106"/>
      <c r="TD339" s="106"/>
      <c r="TE339" s="106"/>
      <c r="TF339" s="106"/>
      <c r="TG339" s="106"/>
      <c r="TH339" s="106"/>
      <c r="TI339" s="106"/>
      <c r="TJ339" s="106"/>
      <c r="TK339" s="106"/>
      <c r="TL339" s="106"/>
      <c r="TM339" s="106"/>
      <c r="TN339" s="106"/>
      <c r="TO339" s="106"/>
      <c r="TP339" s="106"/>
      <c r="TQ339" s="106"/>
      <c r="TR339" s="106"/>
      <c r="TS339" s="106"/>
      <c r="TT339" s="106"/>
      <c r="TU339" s="106"/>
      <c r="TV339" s="106"/>
      <c r="TW339" s="106"/>
      <c r="TX339" s="106"/>
      <c r="TY339" s="106"/>
      <c r="TZ339" s="106"/>
      <c r="UA339" s="106"/>
      <c r="UB339" s="106"/>
      <c r="UC339" s="106"/>
      <c r="UD339" s="106"/>
      <c r="UE339" s="106"/>
      <c r="UF339" s="106"/>
      <c r="UG339" s="33"/>
    </row>
    <row r="340" spans="1:553" ht="29.25" customHeight="1">
      <c r="A340" s="356"/>
      <c r="B340" s="366"/>
      <c r="C340" s="1566" t="s">
        <v>298</v>
      </c>
      <c r="D340" s="1567"/>
      <c r="E340" s="1567"/>
      <c r="F340" s="1568"/>
      <c r="G340" s="386"/>
      <c r="H340" s="370"/>
      <c r="I340" s="422"/>
      <c r="J340" s="368"/>
      <c r="K340" s="371"/>
      <c r="L340" s="391"/>
      <c r="M340" s="391"/>
      <c r="N340" s="391"/>
      <c r="O340" s="391"/>
      <c r="P340" s="391"/>
      <c r="Q340" s="610"/>
      <c r="R340" s="1226"/>
      <c r="S340" s="308"/>
      <c r="T340" s="303"/>
      <c r="U340" s="306"/>
      <c r="V340" s="307"/>
      <c r="W340" s="306"/>
      <c r="X340" s="306"/>
      <c r="Y340" s="306"/>
      <c r="Z340" s="306"/>
      <c r="AA340" s="306"/>
      <c r="AB340" s="306"/>
      <c r="AC340" s="449"/>
      <c r="AD340" s="449"/>
      <c r="AE340" s="449"/>
      <c r="AF340" s="449"/>
      <c r="AG340" s="449"/>
      <c r="AH340" s="449"/>
      <c r="AI340" s="449"/>
      <c r="AJ340" s="449"/>
      <c r="AK340" s="452"/>
      <c r="AL340" s="104"/>
      <c r="AM340" s="32"/>
      <c r="AN340" s="32"/>
      <c r="AO340" s="32"/>
      <c r="AP340" s="32"/>
      <c r="AQ340" s="32"/>
      <c r="AR340" s="32"/>
      <c r="AS340" s="31"/>
      <c r="AT340" s="31"/>
      <c r="AU340" s="31"/>
      <c r="AV340" s="31"/>
      <c r="AW340" s="31"/>
      <c r="AX340" s="31"/>
      <c r="AY340" s="31"/>
      <c r="AZ340" s="31"/>
      <c r="BA340" s="31"/>
      <c r="BB340" s="31"/>
      <c r="BC340" s="31"/>
      <c r="BD340" s="31"/>
      <c r="BE340" s="31"/>
      <c r="BF340" s="31"/>
      <c r="BG340" s="31"/>
      <c r="BH340" s="31"/>
      <c r="BI340" s="31"/>
      <c r="BJ340" s="31"/>
      <c r="BK340" s="31"/>
      <c r="BL340" s="31"/>
      <c r="BM340" s="31"/>
      <c r="BN340" s="31"/>
      <c r="BO340" s="31"/>
      <c r="BP340" s="31"/>
      <c r="BQ340" s="31"/>
      <c r="BR340" s="31"/>
      <c r="BS340" s="31"/>
      <c r="BT340" s="31"/>
      <c r="BU340" s="31"/>
      <c r="BV340" s="31"/>
      <c r="BW340" s="31"/>
      <c r="BX340" s="31"/>
      <c r="BY340" s="31"/>
      <c r="BZ340" s="31"/>
      <c r="CA340" s="31"/>
      <c r="CB340" s="31"/>
      <c r="CC340" s="31"/>
      <c r="CD340" s="31"/>
      <c r="CE340" s="31"/>
      <c r="CF340" s="31"/>
      <c r="CG340" s="31"/>
      <c r="CH340" s="31"/>
      <c r="CI340" s="31"/>
      <c r="CJ340" s="31"/>
      <c r="CK340" s="31"/>
      <c r="CL340" s="31"/>
      <c r="CM340" s="31"/>
      <c r="CN340" s="31"/>
      <c r="CO340" s="31"/>
      <c r="CP340" s="31"/>
      <c r="CQ340" s="31"/>
      <c r="CR340" s="31"/>
      <c r="CS340" s="31"/>
      <c r="CT340" s="31"/>
      <c r="CU340" s="31"/>
      <c r="CV340" s="31"/>
      <c r="CW340" s="31"/>
      <c r="CX340" s="31"/>
      <c r="CY340" s="31"/>
      <c r="CZ340" s="31"/>
      <c r="DA340" s="31"/>
      <c r="DB340" s="31"/>
      <c r="DC340" s="31"/>
      <c r="DD340" s="31"/>
      <c r="DE340" s="31"/>
      <c r="DF340" s="31"/>
      <c r="DG340" s="31"/>
      <c r="DH340" s="31"/>
      <c r="DI340" s="31"/>
      <c r="DJ340" s="31"/>
      <c r="DK340" s="31"/>
      <c r="DL340" s="31"/>
      <c r="DM340" s="31"/>
      <c r="DN340" s="31"/>
      <c r="DO340" s="31"/>
      <c r="DP340" s="31"/>
      <c r="DQ340" s="31"/>
      <c r="DR340" s="31"/>
      <c r="DS340" s="31"/>
      <c r="DT340" s="31"/>
      <c r="DU340" s="31"/>
      <c r="DV340" s="31"/>
      <c r="DW340" s="31"/>
      <c r="DX340" s="31"/>
      <c r="DY340" s="31"/>
      <c r="DZ340" s="31"/>
      <c r="EA340" s="31"/>
      <c r="EB340" s="31"/>
      <c r="EC340" s="31"/>
      <c r="ED340" s="31"/>
      <c r="EE340" s="31"/>
      <c r="EF340" s="31"/>
      <c r="EG340" s="31"/>
      <c r="EH340" s="31"/>
      <c r="EI340" s="31"/>
      <c r="EJ340" s="31"/>
      <c r="EK340" s="31"/>
      <c r="EL340" s="31"/>
      <c r="EM340" s="31"/>
      <c r="EN340" s="31"/>
      <c r="EO340" s="31"/>
      <c r="EP340" s="31"/>
      <c r="EQ340" s="31"/>
      <c r="ER340" s="31"/>
      <c r="ES340" s="31"/>
      <c r="ET340" s="31"/>
      <c r="EU340" s="31"/>
      <c r="EV340" s="31"/>
      <c r="EW340" s="31"/>
      <c r="EX340" s="31"/>
      <c r="EY340" s="31"/>
      <c r="EZ340" s="31"/>
      <c r="FA340" s="31"/>
      <c r="FB340" s="31"/>
      <c r="FC340" s="31"/>
      <c r="FD340" s="31"/>
      <c r="FE340" s="31"/>
      <c r="FF340" s="31"/>
      <c r="FG340" s="31"/>
      <c r="FH340" s="31"/>
      <c r="FI340" s="31"/>
      <c r="FJ340" s="31"/>
      <c r="FK340" s="31"/>
      <c r="FL340" s="31"/>
      <c r="FM340" s="31"/>
      <c r="FN340" s="31"/>
      <c r="FO340" s="31"/>
      <c r="FP340" s="31"/>
      <c r="FQ340" s="31"/>
      <c r="FR340" s="31"/>
      <c r="FS340" s="31"/>
      <c r="FT340" s="31"/>
      <c r="FU340" s="31"/>
      <c r="FV340" s="31"/>
      <c r="FW340" s="31"/>
      <c r="FX340" s="31"/>
      <c r="FY340" s="31"/>
      <c r="FZ340" s="31"/>
      <c r="GA340" s="31"/>
      <c r="GB340" s="31"/>
      <c r="GC340" s="31"/>
      <c r="GD340" s="31"/>
      <c r="GE340" s="31"/>
      <c r="GF340" s="31"/>
      <c r="GG340" s="31"/>
      <c r="GH340" s="31"/>
      <c r="GI340" s="31"/>
      <c r="GJ340" s="31"/>
      <c r="GK340" s="31"/>
      <c r="GL340" s="31"/>
      <c r="GM340" s="31"/>
      <c r="GN340" s="31"/>
      <c r="GO340" s="31"/>
      <c r="GP340" s="31"/>
      <c r="GQ340" s="31"/>
      <c r="GR340" s="31"/>
      <c r="GS340" s="31"/>
      <c r="GT340" s="31"/>
      <c r="GU340" s="31"/>
      <c r="GV340" s="31"/>
      <c r="GW340" s="31"/>
      <c r="GX340" s="31"/>
      <c r="GY340" s="31"/>
      <c r="GZ340" s="31"/>
      <c r="HA340" s="31"/>
      <c r="HB340" s="31"/>
      <c r="HC340" s="31"/>
      <c r="HD340" s="31"/>
      <c r="HE340" s="31"/>
      <c r="HF340" s="31"/>
      <c r="HG340" s="31"/>
      <c r="HH340" s="31"/>
      <c r="HI340" s="31"/>
      <c r="HJ340" s="31"/>
      <c r="HK340" s="31"/>
      <c r="HL340" s="31"/>
      <c r="HM340" s="31"/>
      <c r="HN340" s="31"/>
      <c r="HO340" s="31"/>
      <c r="HP340" s="31"/>
      <c r="HQ340" s="31"/>
      <c r="HR340" s="31"/>
      <c r="HS340" s="31"/>
      <c r="HT340" s="31"/>
      <c r="HU340" s="31"/>
      <c r="HV340" s="31"/>
      <c r="HW340" s="31"/>
      <c r="HX340" s="31"/>
      <c r="HY340" s="31"/>
      <c r="HZ340" s="31"/>
      <c r="IA340" s="31"/>
      <c r="IB340" s="31"/>
      <c r="IC340" s="31"/>
      <c r="ID340" s="31"/>
      <c r="IE340" s="31"/>
      <c r="IF340" s="31"/>
      <c r="IG340" s="31"/>
      <c r="IH340" s="31"/>
      <c r="II340" s="31"/>
      <c r="IJ340" s="31"/>
      <c r="IK340" s="31"/>
      <c r="IL340" s="31"/>
      <c r="IM340" s="31"/>
      <c r="IN340" s="31"/>
      <c r="IO340" s="31"/>
      <c r="IP340" s="31"/>
      <c r="IQ340" s="31"/>
      <c r="IR340" s="31"/>
      <c r="IS340" s="31"/>
      <c r="IT340" s="31"/>
      <c r="IU340" s="31"/>
      <c r="IV340" s="31"/>
      <c r="IW340" s="31"/>
      <c r="IX340" s="31"/>
      <c r="IY340" s="31"/>
      <c r="IZ340" s="31"/>
      <c r="JA340" s="31"/>
      <c r="JB340" s="31"/>
      <c r="JC340" s="31"/>
      <c r="JD340" s="31"/>
      <c r="JE340" s="31"/>
      <c r="JF340" s="31"/>
      <c r="JG340" s="31"/>
      <c r="JH340" s="31"/>
      <c r="JI340" s="31"/>
      <c r="JJ340" s="31"/>
      <c r="JK340" s="31"/>
      <c r="JL340" s="31"/>
      <c r="JM340" s="31"/>
      <c r="JN340" s="31"/>
      <c r="JO340" s="31"/>
      <c r="JP340" s="31"/>
      <c r="JQ340" s="31"/>
      <c r="JR340" s="31"/>
      <c r="JS340" s="31"/>
      <c r="JT340" s="31"/>
      <c r="JU340" s="31"/>
      <c r="JV340" s="31"/>
      <c r="JW340" s="31"/>
      <c r="JX340" s="31"/>
      <c r="JY340" s="31"/>
      <c r="JZ340" s="31"/>
      <c r="KA340" s="31"/>
      <c r="KB340" s="31"/>
      <c r="KC340" s="31"/>
      <c r="KD340" s="31"/>
      <c r="KE340" s="31"/>
      <c r="KF340" s="31"/>
      <c r="KG340" s="31"/>
      <c r="KH340" s="31"/>
      <c r="KI340" s="31"/>
      <c r="KJ340" s="31"/>
      <c r="KK340" s="31"/>
      <c r="KL340" s="31"/>
      <c r="KM340" s="31"/>
      <c r="KN340" s="31"/>
      <c r="KO340" s="31"/>
      <c r="KP340" s="31"/>
      <c r="KQ340" s="31"/>
      <c r="KR340" s="31"/>
      <c r="KS340" s="31"/>
      <c r="KT340" s="31"/>
      <c r="KU340" s="31"/>
      <c r="KV340" s="31"/>
      <c r="KW340" s="31"/>
      <c r="KX340" s="31"/>
      <c r="KY340" s="31"/>
      <c r="KZ340" s="31"/>
      <c r="LA340" s="31"/>
      <c r="LB340" s="31"/>
      <c r="LC340" s="31"/>
      <c r="LD340" s="31"/>
      <c r="LE340" s="31"/>
      <c r="LF340" s="31"/>
      <c r="LG340" s="31"/>
      <c r="LH340" s="31"/>
      <c r="LI340" s="31"/>
      <c r="LJ340" s="31"/>
      <c r="LK340" s="31"/>
      <c r="LL340" s="31"/>
      <c r="LM340" s="31"/>
      <c r="LN340" s="31"/>
      <c r="LO340" s="31"/>
      <c r="LP340" s="31"/>
      <c r="LQ340" s="31"/>
      <c r="LR340" s="31"/>
      <c r="LS340" s="31"/>
      <c r="LT340" s="31"/>
      <c r="LU340" s="31"/>
      <c r="LV340" s="31"/>
      <c r="LW340" s="31"/>
      <c r="LX340" s="31"/>
      <c r="LY340" s="31"/>
      <c r="LZ340" s="31"/>
      <c r="MA340" s="31"/>
      <c r="MB340" s="31"/>
      <c r="MC340" s="31"/>
      <c r="MD340" s="31"/>
      <c r="ME340" s="31"/>
      <c r="MF340" s="31"/>
      <c r="MG340" s="31"/>
      <c r="MH340" s="31"/>
      <c r="MI340" s="31"/>
      <c r="MJ340" s="31"/>
      <c r="MK340" s="31"/>
      <c r="ML340" s="31"/>
      <c r="MM340" s="31"/>
      <c r="MN340" s="31"/>
      <c r="MO340" s="31"/>
      <c r="MP340" s="31"/>
      <c r="MQ340" s="31"/>
      <c r="MR340" s="31"/>
      <c r="MS340" s="31"/>
      <c r="MT340" s="31"/>
      <c r="MU340" s="31"/>
      <c r="MV340" s="31"/>
      <c r="MW340" s="31"/>
      <c r="MX340" s="31"/>
      <c r="MY340" s="31"/>
      <c r="MZ340" s="31"/>
      <c r="NA340" s="31"/>
      <c r="NB340" s="31"/>
      <c r="NC340" s="31"/>
      <c r="ND340" s="31"/>
      <c r="NE340" s="31"/>
      <c r="NF340" s="31"/>
      <c r="NG340" s="31"/>
      <c r="NH340" s="31"/>
      <c r="NI340" s="31"/>
      <c r="NJ340" s="31"/>
      <c r="NK340" s="31"/>
      <c r="NL340" s="31"/>
      <c r="NM340" s="31"/>
      <c r="NN340" s="31"/>
      <c r="NO340" s="31"/>
      <c r="NP340" s="31"/>
      <c r="NQ340" s="31"/>
      <c r="NR340" s="31"/>
      <c r="NS340" s="31"/>
      <c r="NT340" s="31"/>
      <c r="NU340" s="31"/>
      <c r="NV340" s="31"/>
      <c r="NW340" s="31"/>
      <c r="NX340" s="31"/>
      <c r="NY340" s="31"/>
      <c r="NZ340" s="31"/>
      <c r="OA340" s="31"/>
      <c r="OB340" s="31"/>
      <c r="OC340" s="31"/>
      <c r="OD340" s="31"/>
      <c r="OE340" s="31"/>
      <c r="OF340" s="31"/>
      <c r="OG340" s="31"/>
      <c r="OH340" s="31"/>
      <c r="OI340" s="31"/>
      <c r="OJ340" s="31"/>
      <c r="OK340" s="31"/>
      <c r="OL340" s="31"/>
      <c r="OM340" s="31"/>
      <c r="ON340" s="31"/>
      <c r="OO340" s="31"/>
      <c r="OP340" s="31"/>
      <c r="OQ340" s="31"/>
      <c r="OR340" s="31"/>
      <c r="OS340" s="31"/>
      <c r="OT340" s="31"/>
      <c r="OU340" s="31"/>
      <c r="OV340" s="31"/>
      <c r="OW340" s="31"/>
      <c r="OX340" s="31"/>
      <c r="OY340" s="31"/>
      <c r="OZ340" s="31"/>
      <c r="PA340" s="31"/>
      <c r="PB340" s="31"/>
      <c r="PC340" s="31"/>
      <c r="PD340" s="31"/>
      <c r="PE340" s="31"/>
      <c r="PF340" s="31"/>
      <c r="PG340" s="31"/>
      <c r="PH340" s="31"/>
      <c r="PI340" s="31"/>
      <c r="PJ340" s="31"/>
      <c r="PK340" s="31"/>
      <c r="PL340" s="31"/>
      <c r="PM340" s="31"/>
      <c r="PN340" s="31"/>
      <c r="PO340" s="31"/>
      <c r="PP340" s="31"/>
      <c r="PQ340" s="31"/>
      <c r="PR340" s="31"/>
      <c r="PS340" s="31"/>
      <c r="PT340" s="31"/>
      <c r="PU340" s="31"/>
      <c r="PV340" s="31"/>
      <c r="PW340" s="31"/>
      <c r="PX340" s="31"/>
      <c r="PY340" s="31"/>
      <c r="PZ340" s="31"/>
      <c r="QA340" s="31"/>
      <c r="QB340" s="31"/>
      <c r="QC340" s="31"/>
      <c r="QD340" s="31"/>
      <c r="QE340" s="31"/>
      <c r="QF340" s="31"/>
      <c r="QG340" s="31"/>
      <c r="QH340" s="31"/>
      <c r="QI340" s="31"/>
      <c r="QJ340" s="31"/>
      <c r="QK340" s="31"/>
      <c r="QL340" s="31"/>
      <c r="QM340" s="31"/>
      <c r="QN340" s="31"/>
      <c r="QO340" s="31"/>
      <c r="QP340" s="31"/>
      <c r="QQ340" s="31"/>
      <c r="QR340" s="31"/>
      <c r="QS340" s="31"/>
      <c r="QT340" s="31"/>
      <c r="QU340" s="31"/>
      <c r="QV340" s="31"/>
      <c r="QW340" s="31"/>
      <c r="QX340" s="31"/>
      <c r="QY340" s="31"/>
      <c r="QZ340" s="31"/>
      <c r="RA340" s="31"/>
      <c r="RB340" s="31"/>
      <c r="RC340" s="31"/>
      <c r="RD340" s="31"/>
      <c r="RE340" s="31"/>
      <c r="RF340" s="31"/>
      <c r="RG340" s="31"/>
      <c r="RH340" s="31"/>
      <c r="RI340" s="31"/>
      <c r="RJ340" s="31"/>
      <c r="RK340" s="31"/>
      <c r="RL340" s="31"/>
      <c r="RM340" s="31"/>
      <c r="RN340" s="31"/>
      <c r="RO340" s="31"/>
      <c r="RP340" s="31"/>
      <c r="RQ340" s="31"/>
      <c r="RR340" s="31"/>
      <c r="RS340" s="31"/>
      <c r="RT340" s="31"/>
      <c r="RU340" s="31"/>
      <c r="RV340" s="31"/>
      <c r="RW340" s="31"/>
      <c r="RX340" s="31"/>
      <c r="RY340" s="31"/>
      <c r="RZ340" s="31"/>
      <c r="SA340" s="31"/>
      <c r="SB340" s="31"/>
      <c r="SC340" s="31"/>
      <c r="SD340" s="31"/>
      <c r="SE340" s="31"/>
      <c r="SF340" s="31"/>
      <c r="SG340" s="31"/>
      <c r="SH340" s="31"/>
      <c r="SI340" s="31"/>
      <c r="SJ340" s="31"/>
      <c r="SK340" s="31"/>
      <c r="SL340" s="31"/>
      <c r="SM340" s="31"/>
      <c r="SN340" s="31"/>
      <c r="SO340" s="31"/>
      <c r="SP340" s="31"/>
      <c r="SQ340" s="31"/>
      <c r="SR340" s="31"/>
      <c r="SS340" s="31"/>
      <c r="ST340" s="31"/>
      <c r="SU340" s="31"/>
      <c r="SV340" s="31"/>
      <c r="SW340" s="31"/>
      <c r="SX340" s="31"/>
      <c r="SY340" s="31"/>
      <c r="SZ340" s="31"/>
      <c r="TA340" s="31"/>
      <c r="TB340" s="31"/>
      <c r="TC340" s="31"/>
      <c r="TD340" s="31"/>
      <c r="TE340" s="31"/>
      <c r="TF340" s="31"/>
      <c r="TG340" s="31"/>
      <c r="TH340" s="31"/>
      <c r="TI340" s="31"/>
      <c r="TJ340" s="31"/>
      <c r="TK340" s="31"/>
      <c r="TL340" s="31"/>
      <c r="TM340" s="31"/>
      <c r="TN340" s="31"/>
      <c r="TO340" s="31"/>
      <c r="TP340" s="31"/>
      <c r="TQ340" s="31"/>
      <c r="TR340" s="31"/>
      <c r="TS340" s="31"/>
      <c r="TT340" s="31"/>
      <c r="TU340" s="31"/>
      <c r="TV340" s="31"/>
      <c r="TW340" s="31"/>
      <c r="TX340" s="31"/>
      <c r="TY340" s="31"/>
      <c r="TZ340" s="31"/>
      <c r="UA340" s="31"/>
      <c r="UB340" s="31"/>
      <c r="UC340" s="31"/>
      <c r="UD340" s="31"/>
      <c r="UE340" s="31"/>
      <c r="UF340" s="31"/>
      <c r="UG340" s="33"/>
    </row>
    <row r="341" spans="1:553" ht="29.25" customHeight="1">
      <c r="A341" s="356" t="s">
        <v>15</v>
      </c>
      <c r="B341" s="366" t="s">
        <v>31</v>
      </c>
      <c r="C341" s="1404" t="s">
        <v>1276</v>
      </c>
      <c r="D341" s="1389"/>
      <c r="E341" s="1389"/>
      <c r="F341" s="1390"/>
      <c r="G341" s="366" t="s">
        <v>34</v>
      </c>
      <c r="H341" s="370"/>
      <c r="I341" s="443">
        <f>0.5*1.2*140</f>
        <v>84</v>
      </c>
      <c r="J341" s="368">
        <v>606342</v>
      </c>
      <c r="K341" s="371"/>
      <c r="L341" s="366">
        <f>PRODUCT(I341:K341)</f>
        <v>50932728</v>
      </c>
      <c r="M341" s="366"/>
      <c r="N341" s="366"/>
      <c r="O341" s="366"/>
      <c r="P341" s="366"/>
      <c r="Q341" s="1040"/>
      <c r="R341" s="1039"/>
      <c r="S341" s="308"/>
      <c r="T341" s="303"/>
      <c r="U341" s="306"/>
      <c r="V341" s="307"/>
      <c r="W341" s="306"/>
      <c r="X341" s="306"/>
      <c r="Y341" s="306"/>
      <c r="Z341" s="306"/>
      <c r="AA341" s="306"/>
      <c r="AB341" s="306"/>
      <c r="AC341" s="449"/>
      <c r="AD341" s="449"/>
      <c r="AE341" s="449"/>
      <c r="AF341" s="449"/>
      <c r="AG341" s="449"/>
      <c r="AH341" s="452"/>
      <c r="AI341" s="452"/>
      <c r="AJ341" s="452"/>
      <c r="AK341" s="452"/>
      <c r="AL341" s="104"/>
      <c r="AM341" s="32"/>
      <c r="AN341" s="32"/>
      <c r="AO341" s="32"/>
      <c r="AP341" s="32"/>
      <c r="AQ341" s="32"/>
      <c r="AR341" s="31"/>
      <c r="AS341" s="31"/>
      <c r="AT341" s="31"/>
      <c r="AU341" s="31"/>
      <c r="AV341" s="31"/>
      <c r="AW341" s="31"/>
      <c r="AX341" s="31"/>
      <c r="AY341" s="31"/>
      <c r="AZ341" s="31"/>
      <c r="BA341" s="31"/>
      <c r="BB341" s="31"/>
      <c r="BC341" s="31"/>
      <c r="BD341" s="31"/>
      <c r="BE341" s="31"/>
      <c r="BF341" s="31"/>
      <c r="BG341" s="31"/>
      <c r="BH341" s="31"/>
      <c r="BI341" s="31"/>
      <c r="BJ341" s="31"/>
      <c r="BK341" s="31"/>
      <c r="BL341" s="31"/>
      <c r="BM341" s="31"/>
      <c r="BN341" s="31"/>
      <c r="BO341" s="31"/>
      <c r="BP341" s="31"/>
      <c r="BQ341" s="31"/>
      <c r="BR341" s="31"/>
      <c r="BS341" s="31"/>
      <c r="BT341" s="31"/>
      <c r="BU341" s="31"/>
      <c r="BV341" s="31"/>
      <c r="BW341" s="31"/>
      <c r="BX341" s="31"/>
      <c r="BY341" s="31"/>
      <c r="BZ341" s="31"/>
      <c r="CA341" s="31"/>
      <c r="CB341" s="31"/>
      <c r="CC341" s="31"/>
      <c r="CD341" s="31"/>
      <c r="CE341" s="31"/>
      <c r="CF341" s="31"/>
      <c r="CG341" s="31"/>
      <c r="CH341" s="31"/>
      <c r="CI341" s="31"/>
      <c r="CJ341" s="31"/>
      <c r="CK341" s="31"/>
      <c r="CL341" s="31"/>
      <c r="CM341" s="31"/>
      <c r="CN341" s="31"/>
      <c r="CO341" s="31"/>
      <c r="CP341" s="31"/>
      <c r="CQ341" s="31"/>
      <c r="CR341" s="31"/>
      <c r="CS341" s="31"/>
      <c r="CT341" s="31"/>
      <c r="CU341" s="31"/>
      <c r="CV341" s="31"/>
      <c r="CW341" s="31"/>
      <c r="CX341" s="31"/>
      <c r="CY341" s="31"/>
      <c r="CZ341" s="31"/>
      <c r="DA341" s="31"/>
      <c r="DB341" s="31"/>
      <c r="DC341" s="31"/>
      <c r="DD341" s="31"/>
      <c r="DE341" s="31"/>
      <c r="DF341" s="31"/>
      <c r="DG341" s="31"/>
      <c r="DH341" s="31"/>
      <c r="DI341" s="31"/>
      <c r="DJ341" s="31"/>
      <c r="DK341" s="31"/>
      <c r="DL341" s="31"/>
      <c r="DM341" s="31"/>
      <c r="DN341" s="31"/>
      <c r="DO341" s="31"/>
      <c r="DP341" s="31"/>
      <c r="DQ341" s="31"/>
      <c r="DR341" s="31"/>
      <c r="DS341" s="31"/>
      <c r="DT341" s="31"/>
      <c r="DU341" s="31"/>
      <c r="DV341" s="31"/>
      <c r="DW341" s="31"/>
      <c r="DX341" s="31"/>
      <c r="DY341" s="31"/>
      <c r="DZ341" s="31"/>
      <c r="EA341" s="31"/>
      <c r="EB341" s="31"/>
      <c r="EC341" s="31"/>
      <c r="ED341" s="31"/>
      <c r="EE341" s="31"/>
      <c r="EF341" s="31"/>
      <c r="EG341" s="31"/>
      <c r="EH341" s="31"/>
      <c r="EI341" s="31"/>
      <c r="EJ341" s="31"/>
      <c r="EK341" s="31"/>
      <c r="EL341" s="31"/>
      <c r="EM341" s="31"/>
      <c r="EN341" s="31"/>
      <c r="EO341" s="31"/>
      <c r="EP341" s="31"/>
      <c r="EQ341" s="31"/>
      <c r="ER341" s="31"/>
      <c r="ES341" s="31"/>
      <c r="ET341" s="31"/>
      <c r="EU341" s="31"/>
      <c r="EV341" s="31"/>
      <c r="EW341" s="31"/>
      <c r="EX341" s="31"/>
      <c r="EY341" s="31"/>
      <c r="EZ341" s="31"/>
      <c r="FA341" s="31"/>
      <c r="FB341" s="31"/>
      <c r="FC341" s="31"/>
      <c r="FD341" s="31"/>
      <c r="FE341" s="31"/>
      <c r="FF341" s="31"/>
      <c r="FG341" s="31"/>
      <c r="FH341" s="31"/>
      <c r="FI341" s="31"/>
      <c r="FJ341" s="31"/>
      <c r="FK341" s="31"/>
      <c r="FL341" s="31"/>
      <c r="FM341" s="31"/>
      <c r="FN341" s="31"/>
      <c r="FO341" s="31"/>
      <c r="FP341" s="31"/>
      <c r="FQ341" s="31"/>
      <c r="FR341" s="31"/>
      <c r="FS341" s="31"/>
      <c r="FT341" s="31"/>
      <c r="FU341" s="31"/>
      <c r="FV341" s="31"/>
      <c r="FW341" s="31"/>
      <c r="FX341" s="31"/>
      <c r="FY341" s="31"/>
      <c r="FZ341" s="31"/>
      <c r="GA341" s="31"/>
      <c r="GB341" s="31"/>
      <c r="GC341" s="31"/>
      <c r="GD341" s="31"/>
      <c r="GE341" s="31"/>
      <c r="GF341" s="31"/>
      <c r="GG341" s="31"/>
      <c r="GH341" s="31"/>
      <c r="GI341" s="31"/>
      <c r="GJ341" s="31"/>
      <c r="GK341" s="31"/>
      <c r="GL341" s="31"/>
      <c r="GM341" s="31"/>
      <c r="GN341" s="31"/>
      <c r="GO341" s="31"/>
      <c r="GP341" s="31"/>
      <c r="GQ341" s="31"/>
      <c r="GR341" s="31"/>
      <c r="GS341" s="31"/>
      <c r="GT341" s="31"/>
      <c r="GU341" s="31"/>
      <c r="GV341" s="31"/>
      <c r="GW341" s="31"/>
      <c r="GX341" s="31"/>
      <c r="GY341" s="31"/>
      <c r="GZ341" s="31"/>
      <c r="HA341" s="31"/>
      <c r="HB341" s="31"/>
      <c r="HC341" s="31"/>
      <c r="HD341" s="31"/>
      <c r="HE341" s="31"/>
      <c r="HF341" s="31"/>
      <c r="HG341" s="31"/>
      <c r="HH341" s="31"/>
      <c r="HI341" s="31"/>
      <c r="HJ341" s="31"/>
      <c r="HK341" s="31"/>
      <c r="HL341" s="31"/>
      <c r="HM341" s="31"/>
      <c r="HN341" s="31"/>
      <c r="HO341" s="31"/>
      <c r="HP341" s="31"/>
      <c r="HQ341" s="31"/>
      <c r="HR341" s="31"/>
      <c r="HS341" s="31"/>
      <c r="HT341" s="31"/>
      <c r="HU341" s="31"/>
      <c r="HV341" s="31"/>
      <c r="HW341" s="31"/>
      <c r="HX341" s="31"/>
      <c r="HY341" s="31"/>
      <c r="HZ341" s="31"/>
      <c r="IA341" s="31"/>
      <c r="IB341" s="31"/>
      <c r="IC341" s="31"/>
      <c r="ID341" s="31"/>
      <c r="IE341" s="31"/>
      <c r="IF341" s="31"/>
      <c r="IG341" s="31"/>
      <c r="IH341" s="31"/>
      <c r="II341" s="31"/>
      <c r="IJ341" s="31"/>
      <c r="IK341" s="31"/>
      <c r="IL341" s="31"/>
      <c r="IM341" s="31"/>
      <c r="IN341" s="31"/>
      <c r="IO341" s="31"/>
      <c r="IP341" s="31"/>
      <c r="IQ341" s="31"/>
      <c r="IR341" s="31"/>
      <c r="IS341" s="31"/>
      <c r="IT341" s="31"/>
      <c r="IU341" s="31"/>
      <c r="IV341" s="31"/>
      <c r="IW341" s="31"/>
      <c r="IX341" s="31"/>
      <c r="IY341" s="31"/>
      <c r="IZ341" s="31"/>
      <c r="JA341" s="31"/>
      <c r="JB341" s="31"/>
      <c r="JC341" s="31"/>
      <c r="JD341" s="31"/>
      <c r="JE341" s="31"/>
      <c r="JF341" s="31"/>
      <c r="JG341" s="31"/>
      <c r="JH341" s="31"/>
      <c r="JI341" s="31"/>
      <c r="JJ341" s="31"/>
      <c r="JK341" s="31"/>
      <c r="JL341" s="31"/>
      <c r="JM341" s="31"/>
      <c r="JN341" s="31"/>
      <c r="JO341" s="31"/>
      <c r="JP341" s="31"/>
      <c r="JQ341" s="31"/>
      <c r="JR341" s="31"/>
      <c r="JS341" s="31"/>
      <c r="JT341" s="31"/>
      <c r="JU341" s="31"/>
      <c r="JV341" s="31"/>
      <c r="JW341" s="31"/>
      <c r="JX341" s="31"/>
      <c r="JY341" s="31"/>
      <c r="JZ341" s="31"/>
      <c r="KA341" s="31"/>
      <c r="KB341" s="31"/>
      <c r="KC341" s="31"/>
      <c r="KD341" s="31"/>
      <c r="KE341" s="31"/>
      <c r="KF341" s="31"/>
      <c r="KG341" s="31"/>
      <c r="KH341" s="31"/>
      <c r="KI341" s="31"/>
      <c r="KJ341" s="31"/>
      <c r="KK341" s="31"/>
      <c r="KL341" s="31"/>
      <c r="KM341" s="31"/>
      <c r="KN341" s="31"/>
      <c r="KO341" s="31"/>
      <c r="KP341" s="31"/>
      <c r="KQ341" s="31"/>
      <c r="KR341" s="31"/>
      <c r="KS341" s="31"/>
      <c r="KT341" s="31"/>
      <c r="KU341" s="31"/>
      <c r="KV341" s="31"/>
      <c r="KW341" s="31"/>
      <c r="KX341" s="31"/>
      <c r="KY341" s="31"/>
      <c r="KZ341" s="31"/>
      <c r="LA341" s="31"/>
      <c r="LB341" s="31"/>
      <c r="LC341" s="31"/>
      <c r="LD341" s="31"/>
      <c r="LE341" s="31"/>
      <c r="LF341" s="31"/>
      <c r="LG341" s="31"/>
      <c r="LH341" s="31"/>
      <c r="LI341" s="31"/>
      <c r="LJ341" s="31"/>
      <c r="LK341" s="31"/>
      <c r="LL341" s="31"/>
      <c r="LM341" s="31"/>
      <c r="LN341" s="31"/>
      <c r="LO341" s="31"/>
      <c r="LP341" s="31"/>
      <c r="LQ341" s="31"/>
      <c r="LR341" s="31"/>
      <c r="LS341" s="31"/>
      <c r="LT341" s="31"/>
      <c r="LU341" s="31"/>
      <c r="LV341" s="31"/>
      <c r="LW341" s="31"/>
      <c r="LX341" s="31"/>
      <c r="LY341" s="31"/>
      <c r="LZ341" s="31"/>
      <c r="MA341" s="31"/>
      <c r="MB341" s="31"/>
      <c r="MC341" s="31"/>
      <c r="MD341" s="31"/>
      <c r="ME341" s="31"/>
      <c r="MF341" s="31"/>
      <c r="MG341" s="31"/>
      <c r="MH341" s="31"/>
      <c r="MI341" s="31"/>
      <c r="MJ341" s="31"/>
      <c r="MK341" s="31"/>
      <c r="ML341" s="31"/>
      <c r="MM341" s="31"/>
      <c r="MN341" s="31"/>
      <c r="MO341" s="31"/>
      <c r="MP341" s="31"/>
      <c r="MQ341" s="31"/>
      <c r="MR341" s="31"/>
      <c r="MS341" s="31"/>
      <c r="MT341" s="31"/>
      <c r="MU341" s="31"/>
      <c r="MV341" s="31"/>
      <c r="MW341" s="31"/>
      <c r="MX341" s="31"/>
      <c r="MY341" s="31"/>
      <c r="MZ341" s="31"/>
      <c r="NA341" s="31"/>
      <c r="NB341" s="31"/>
      <c r="NC341" s="31"/>
      <c r="ND341" s="31"/>
      <c r="NE341" s="31"/>
      <c r="NF341" s="31"/>
      <c r="NG341" s="31"/>
      <c r="NH341" s="31"/>
      <c r="NI341" s="31"/>
      <c r="NJ341" s="31"/>
      <c r="NK341" s="31"/>
      <c r="NL341" s="31"/>
      <c r="NM341" s="31"/>
      <c r="NN341" s="31"/>
      <c r="NO341" s="31"/>
      <c r="NP341" s="31"/>
      <c r="NQ341" s="31"/>
      <c r="NR341" s="31"/>
      <c r="NS341" s="31"/>
      <c r="NT341" s="31"/>
      <c r="NU341" s="31"/>
      <c r="NV341" s="31"/>
      <c r="NW341" s="31"/>
      <c r="NX341" s="31"/>
      <c r="NY341" s="31"/>
      <c r="NZ341" s="31"/>
      <c r="OA341" s="31"/>
      <c r="OB341" s="31"/>
      <c r="OC341" s="31"/>
      <c r="OD341" s="31"/>
      <c r="OE341" s="31"/>
      <c r="OF341" s="31"/>
      <c r="OG341" s="31"/>
      <c r="OH341" s="31"/>
      <c r="OI341" s="31"/>
      <c r="OJ341" s="31"/>
      <c r="OK341" s="31"/>
      <c r="OL341" s="31"/>
      <c r="OM341" s="31"/>
      <c r="ON341" s="31"/>
      <c r="OO341" s="31"/>
      <c r="OP341" s="31"/>
      <c r="OQ341" s="31"/>
      <c r="OR341" s="31"/>
      <c r="OS341" s="31"/>
      <c r="OT341" s="31"/>
      <c r="OU341" s="31"/>
      <c r="OV341" s="31"/>
      <c r="OW341" s="31"/>
      <c r="OX341" s="31"/>
      <c r="OY341" s="31"/>
      <c r="OZ341" s="31"/>
      <c r="PA341" s="31"/>
      <c r="PB341" s="31"/>
      <c r="PC341" s="31"/>
      <c r="PD341" s="31"/>
      <c r="PE341" s="31"/>
      <c r="PF341" s="31"/>
      <c r="PG341" s="31"/>
      <c r="PH341" s="31"/>
      <c r="PI341" s="31"/>
      <c r="PJ341" s="31"/>
      <c r="PK341" s="31"/>
      <c r="PL341" s="31"/>
      <c r="PM341" s="31"/>
      <c r="PN341" s="31"/>
      <c r="PO341" s="31"/>
      <c r="PP341" s="31"/>
      <c r="PQ341" s="31"/>
      <c r="PR341" s="31"/>
      <c r="PS341" s="31"/>
      <c r="PT341" s="31"/>
      <c r="PU341" s="31"/>
      <c r="PV341" s="31"/>
      <c r="PW341" s="31"/>
      <c r="PX341" s="31"/>
      <c r="PY341" s="31"/>
      <c r="PZ341" s="31"/>
      <c r="QA341" s="31"/>
      <c r="QB341" s="31"/>
      <c r="QC341" s="31"/>
      <c r="QD341" s="31"/>
      <c r="QE341" s="31"/>
      <c r="QF341" s="31"/>
      <c r="QG341" s="31"/>
      <c r="QH341" s="31"/>
      <c r="QI341" s="31"/>
      <c r="QJ341" s="31"/>
      <c r="QK341" s="31"/>
      <c r="QL341" s="31"/>
      <c r="QM341" s="31"/>
      <c r="QN341" s="31"/>
      <c r="QO341" s="31"/>
      <c r="QP341" s="31"/>
      <c r="QQ341" s="31"/>
      <c r="QR341" s="31"/>
      <c r="QS341" s="31"/>
      <c r="QT341" s="31"/>
      <c r="QU341" s="31"/>
      <c r="QV341" s="31"/>
      <c r="QW341" s="31"/>
      <c r="QX341" s="31"/>
      <c r="QY341" s="31"/>
      <c r="QZ341" s="31"/>
      <c r="RA341" s="31"/>
      <c r="RB341" s="31"/>
      <c r="RC341" s="31"/>
      <c r="RD341" s="31"/>
      <c r="RE341" s="31"/>
      <c r="RF341" s="31"/>
      <c r="RG341" s="31"/>
      <c r="RH341" s="31"/>
      <c r="RI341" s="31"/>
      <c r="RJ341" s="31"/>
      <c r="RK341" s="31"/>
      <c r="RL341" s="31"/>
      <c r="RM341" s="31"/>
      <c r="RN341" s="31"/>
      <c r="RO341" s="31"/>
      <c r="RP341" s="31"/>
      <c r="RQ341" s="31"/>
      <c r="RR341" s="31"/>
      <c r="RS341" s="31"/>
      <c r="RT341" s="31"/>
      <c r="RU341" s="31"/>
      <c r="RV341" s="31"/>
      <c r="RW341" s="31"/>
      <c r="RX341" s="31"/>
      <c r="RY341" s="31"/>
      <c r="RZ341" s="31"/>
      <c r="SA341" s="31"/>
      <c r="SB341" s="31"/>
      <c r="SC341" s="31"/>
      <c r="SD341" s="31"/>
      <c r="SE341" s="31"/>
      <c r="SF341" s="31"/>
      <c r="SG341" s="31"/>
      <c r="SH341" s="31"/>
      <c r="SI341" s="31"/>
      <c r="SJ341" s="31"/>
      <c r="SK341" s="31"/>
      <c r="SL341" s="31"/>
      <c r="SM341" s="31"/>
      <c r="SN341" s="31"/>
      <c r="SO341" s="31"/>
      <c r="SP341" s="31"/>
      <c r="SQ341" s="31"/>
      <c r="SR341" s="31"/>
      <c r="SS341" s="31"/>
      <c r="ST341" s="31"/>
      <c r="SU341" s="31"/>
      <c r="SV341" s="31"/>
      <c r="SW341" s="31"/>
      <c r="SX341" s="31"/>
      <c r="SY341" s="31"/>
      <c r="SZ341" s="31"/>
      <c r="TA341" s="31"/>
      <c r="TB341" s="31"/>
      <c r="TC341" s="31"/>
      <c r="TD341" s="31"/>
      <c r="TE341" s="31"/>
      <c r="TF341" s="31"/>
      <c r="TG341" s="31"/>
      <c r="TH341" s="31"/>
      <c r="TI341" s="31"/>
      <c r="TJ341" s="31"/>
      <c r="TK341" s="31"/>
      <c r="TL341" s="31"/>
      <c r="TM341" s="31"/>
      <c r="TN341" s="31"/>
      <c r="TO341" s="31"/>
      <c r="TP341" s="31"/>
      <c r="TQ341" s="31"/>
      <c r="TR341" s="31"/>
      <c r="TS341" s="31"/>
      <c r="TT341" s="31"/>
      <c r="TU341" s="31"/>
      <c r="TV341" s="31"/>
      <c r="TW341" s="31"/>
      <c r="TX341" s="31"/>
      <c r="TY341" s="31"/>
      <c r="TZ341" s="31"/>
      <c r="UA341" s="31"/>
      <c r="UB341" s="31"/>
      <c r="UC341" s="31"/>
      <c r="UD341" s="31"/>
      <c r="UE341" s="31"/>
      <c r="UF341" s="31"/>
      <c r="UG341" s="33"/>
    </row>
    <row r="342" spans="1:553" ht="29.25" customHeight="1">
      <c r="A342" s="356" t="s">
        <v>43</v>
      </c>
      <c r="B342" s="356"/>
      <c r="C342" s="1413" t="s">
        <v>44</v>
      </c>
      <c r="D342" s="1389"/>
      <c r="E342" s="1389"/>
      <c r="F342" s="1390"/>
      <c r="G342" s="366"/>
      <c r="H342" s="370"/>
      <c r="I342" s="370"/>
      <c r="J342" s="368"/>
      <c r="K342" s="371"/>
      <c r="L342" s="356">
        <f>SUM(L344:L383)</f>
        <v>104571529.74000001</v>
      </c>
      <c r="M342" s="356"/>
      <c r="N342" s="356"/>
      <c r="O342" s="356"/>
      <c r="P342" s="356">
        <f>L342</f>
        <v>104571529.74000001</v>
      </c>
      <c r="Q342" s="610"/>
      <c r="R342" s="1447" t="s">
        <v>45</v>
      </c>
      <c r="S342" s="308"/>
      <c r="T342" s="303"/>
      <c r="U342" s="306"/>
      <c r="V342" s="307"/>
      <c r="W342" s="306"/>
      <c r="X342" s="306"/>
      <c r="Y342" s="306"/>
      <c r="Z342" s="306"/>
      <c r="AA342" s="306"/>
      <c r="AB342" s="306"/>
      <c r="AC342" s="449"/>
      <c r="AD342" s="449"/>
      <c r="AE342" s="449"/>
      <c r="AF342" s="449"/>
      <c r="AG342" s="449"/>
      <c r="AH342" s="449"/>
      <c r="AI342" s="449"/>
      <c r="AJ342" s="449"/>
      <c r="AK342" s="452"/>
      <c r="AL342" s="104"/>
      <c r="AM342" s="32"/>
      <c r="AN342" s="32"/>
      <c r="AO342" s="32"/>
      <c r="AP342" s="32"/>
      <c r="AQ342" s="32"/>
      <c r="AR342" s="32"/>
      <c r="AS342" s="31"/>
      <c r="AT342" s="31"/>
      <c r="AU342" s="31"/>
      <c r="AV342" s="31"/>
      <c r="AW342" s="31"/>
      <c r="AX342" s="31"/>
      <c r="AY342" s="31"/>
      <c r="AZ342" s="31"/>
      <c r="BA342" s="31"/>
      <c r="BB342" s="31"/>
      <c r="BC342" s="31"/>
      <c r="BD342" s="31"/>
      <c r="BE342" s="31"/>
      <c r="BF342" s="31"/>
      <c r="BG342" s="31"/>
      <c r="BH342" s="31"/>
      <c r="BI342" s="31"/>
      <c r="BJ342" s="31"/>
      <c r="BK342" s="31"/>
      <c r="BL342" s="31"/>
      <c r="BM342" s="31"/>
      <c r="BN342" s="31"/>
      <c r="BO342" s="31"/>
      <c r="BP342" s="25"/>
      <c r="BQ342" s="25"/>
      <c r="BR342" s="25"/>
      <c r="BS342" s="25"/>
      <c r="BT342" s="25"/>
      <c r="BU342" s="25"/>
      <c r="BV342" s="25"/>
      <c r="BW342" s="25"/>
      <c r="BX342" s="25"/>
      <c r="BY342" s="25"/>
      <c r="BZ342" s="25"/>
      <c r="CA342" s="25"/>
      <c r="CB342" s="25"/>
      <c r="CC342" s="25"/>
      <c r="CD342" s="25"/>
      <c r="CE342" s="25"/>
      <c r="CF342" s="25"/>
      <c r="CG342" s="25"/>
      <c r="CH342" s="25"/>
      <c r="CI342" s="25"/>
      <c r="CJ342" s="25"/>
      <c r="CK342" s="25"/>
      <c r="CL342" s="25"/>
      <c r="CM342" s="25"/>
      <c r="CN342" s="25"/>
      <c r="CO342" s="25"/>
      <c r="CP342" s="25"/>
      <c r="CQ342" s="25"/>
      <c r="CR342" s="25"/>
      <c r="CS342" s="25"/>
      <c r="CT342" s="25"/>
      <c r="CU342" s="25"/>
      <c r="CV342" s="25"/>
      <c r="CW342" s="25"/>
      <c r="CX342" s="25"/>
      <c r="CY342" s="25"/>
      <c r="CZ342" s="25"/>
      <c r="DA342" s="25"/>
      <c r="DB342" s="25"/>
      <c r="DC342" s="25"/>
      <c r="DD342" s="25"/>
      <c r="DE342" s="25"/>
      <c r="DF342" s="25"/>
      <c r="DG342" s="25"/>
      <c r="DH342" s="25"/>
      <c r="DI342" s="25"/>
      <c r="DJ342" s="25"/>
      <c r="DK342" s="25"/>
      <c r="DL342" s="25"/>
      <c r="DM342" s="25"/>
      <c r="DN342" s="25"/>
      <c r="DO342" s="25"/>
      <c r="DP342" s="25"/>
      <c r="DQ342" s="25"/>
      <c r="DR342" s="25"/>
      <c r="DS342" s="25"/>
      <c r="DT342" s="25"/>
      <c r="DU342" s="25"/>
      <c r="DV342" s="25"/>
      <c r="DW342" s="25"/>
      <c r="DX342" s="25"/>
      <c r="DY342" s="25"/>
      <c r="DZ342" s="25"/>
      <c r="EA342" s="25"/>
      <c r="EB342" s="25"/>
      <c r="EC342" s="25"/>
      <c r="ED342" s="25"/>
      <c r="EE342" s="25"/>
      <c r="EF342" s="25"/>
      <c r="EG342" s="25"/>
      <c r="EH342" s="25"/>
      <c r="EI342" s="25"/>
      <c r="EJ342" s="25"/>
      <c r="EK342" s="25"/>
      <c r="EL342" s="25"/>
      <c r="EM342" s="25"/>
      <c r="EN342" s="25"/>
      <c r="EO342" s="25"/>
      <c r="EP342" s="25"/>
      <c r="EQ342" s="25"/>
      <c r="ER342" s="25"/>
      <c r="ES342" s="25"/>
      <c r="ET342" s="25"/>
      <c r="EU342" s="25"/>
      <c r="EV342" s="25"/>
      <c r="EW342" s="25"/>
      <c r="EX342" s="25"/>
      <c r="EY342" s="25"/>
      <c r="EZ342" s="25"/>
      <c r="FA342" s="25"/>
      <c r="FB342" s="25"/>
      <c r="FC342" s="25"/>
      <c r="FD342" s="25"/>
      <c r="FE342" s="25"/>
      <c r="FF342" s="25"/>
      <c r="FG342" s="25"/>
      <c r="FH342" s="25"/>
      <c r="FI342" s="25"/>
      <c r="FJ342" s="25"/>
      <c r="FK342" s="25"/>
      <c r="FL342" s="25"/>
      <c r="FM342" s="25"/>
      <c r="FN342" s="25"/>
      <c r="FO342" s="25"/>
      <c r="FP342" s="25"/>
      <c r="FQ342" s="25"/>
      <c r="FR342" s="25"/>
      <c r="FS342" s="25"/>
      <c r="FT342" s="25"/>
      <c r="FU342" s="25"/>
      <c r="FV342" s="25"/>
      <c r="FW342" s="25"/>
      <c r="FX342" s="25"/>
      <c r="FY342" s="25"/>
      <c r="FZ342" s="25"/>
      <c r="GA342" s="25"/>
      <c r="GB342" s="25"/>
      <c r="GC342" s="25"/>
      <c r="GD342" s="25"/>
      <c r="GE342" s="25"/>
      <c r="GF342" s="25"/>
      <c r="GG342" s="25"/>
      <c r="GH342" s="25"/>
      <c r="GI342" s="25"/>
      <c r="GJ342" s="25"/>
      <c r="GK342" s="25"/>
      <c r="GL342" s="25"/>
      <c r="GM342" s="25"/>
      <c r="GN342" s="25"/>
      <c r="GO342" s="25"/>
      <c r="GP342" s="25"/>
      <c r="GQ342" s="25"/>
      <c r="GR342" s="25"/>
      <c r="GS342" s="25"/>
      <c r="GT342" s="25"/>
      <c r="GU342" s="25"/>
      <c r="GV342" s="25"/>
      <c r="GW342" s="25"/>
      <c r="GX342" s="25"/>
      <c r="GY342" s="25"/>
      <c r="GZ342" s="25"/>
      <c r="HA342" s="25"/>
      <c r="HB342" s="25"/>
      <c r="HC342" s="25"/>
      <c r="HD342" s="25"/>
      <c r="HE342" s="25"/>
      <c r="HF342" s="25"/>
      <c r="HG342" s="25"/>
      <c r="HH342" s="25"/>
      <c r="HI342" s="25"/>
      <c r="HJ342" s="25"/>
      <c r="HK342" s="25"/>
      <c r="HL342" s="25"/>
      <c r="HM342" s="25"/>
      <c r="HN342" s="25"/>
      <c r="HO342" s="25"/>
      <c r="HP342" s="25"/>
      <c r="HQ342" s="25"/>
      <c r="HR342" s="25"/>
      <c r="HS342" s="25"/>
      <c r="HT342" s="25"/>
      <c r="HU342" s="25"/>
      <c r="HV342" s="25"/>
      <c r="HW342" s="25"/>
      <c r="HX342" s="25"/>
      <c r="HY342" s="25"/>
      <c r="HZ342" s="25"/>
      <c r="IA342" s="25"/>
      <c r="IB342" s="25"/>
      <c r="IC342" s="25"/>
      <c r="ID342" s="25"/>
      <c r="IE342" s="25"/>
      <c r="IF342" s="25"/>
      <c r="IG342" s="25"/>
      <c r="IH342" s="25"/>
      <c r="II342" s="25"/>
      <c r="IJ342" s="25"/>
      <c r="IK342" s="25"/>
      <c r="IL342" s="25"/>
      <c r="IM342" s="25"/>
      <c r="IN342" s="25"/>
      <c r="IO342" s="25"/>
      <c r="IP342" s="25"/>
      <c r="IQ342" s="25"/>
      <c r="IR342" s="25"/>
      <c r="IS342" s="25"/>
      <c r="IT342" s="25"/>
      <c r="IU342" s="25"/>
      <c r="IV342" s="25"/>
      <c r="IW342" s="25"/>
      <c r="IX342" s="25"/>
      <c r="IY342" s="25"/>
      <c r="IZ342" s="25"/>
      <c r="JA342" s="25"/>
      <c r="JB342" s="25"/>
      <c r="JC342" s="25"/>
      <c r="JD342" s="25"/>
      <c r="JE342" s="25"/>
      <c r="JF342" s="25"/>
      <c r="JG342" s="25"/>
      <c r="JH342" s="25"/>
      <c r="JI342" s="25"/>
      <c r="JJ342" s="25"/>
      <c r="JK342" s="25"/>
      <c r="JL342" s="25"/>
      <c r="JM342" s="25"/>
      <c r="JN342" s="25"/>
      <c r="JO342" s="25"/>
      <c r="JP342" s="25"/>
      <c r="JQ342" s="25"/>
      <c r="JR342" s="25"/>
      <c r="JS342" s="25"/>
      <c r="JT342" s="25"/>
      <c r="JU342" s="25"/>
      <c r="JV342" s="25"/>
      <c r="JW342" s="25"/>
      <c r="JX342" s="25"/>
      <c r="JY342" s="25"/>
      <c r="JZ342" s="25"/>
      <c r="KA342" s="25"/>
      <c r="KB342" s="25"/>
      <c r="KC342" s="25"/>
      <c r="KD342" s="25"/>
      <c r="KE342" s="25"/>
      <c r="KF342" s="25"/>
      <c r="KG342" s="25"/>
      <c r="KH342" s="25"/>
      <c r="KI342" s="25"/>
      <c r="KJ342" s="25"/>
      <c r="KK342" s="25"/>
      <c r="KL342" s="25"/>
      <c r="KM342" s="25"/>
      <c r="KN342" s="25"/>
      <c r="KO342" s="25"/>
      <c r="KP342" s="25"/>
      <c r="KQ342" s="25"/>
      <c r="KR342" s="25"/>
      <c r="KS342" s="25"/>
      <c r="KT342" s="25"/>
      <c r="KU342" s="25"/>
      <c r="KV342" s="25"/>
      <c r="KW342" s="25"/>
      <c r="KX342" s="25"/>
      <c r="KY342" s="25"/>
      <c r="KZ342" s="25"/>
      <c r="LA342" s="25"/>
      <c r="LB342" s="25"/>
      <c r="LC342" s="25"/>
      <c r="LD342" s="25"/>
      <c r="LE342" s="25"/>
      <c r="LF342" s="25"/>
      <c r="LG342" s="25"/>
      <c r="LH342" s="25"/>
      <c r="LI342" s="25"/>
      <c r="LJ342" s="25"/>
      <c r="LK342" s="25"/>
      <c r="LL342" s="25"/>
      <c r="LM342" s="25"/>
      <c r="LN342" s="25"/>
      <c r="LO342" s="25"/>
      <c r="LP342" s="25"/>
      <c r="LQ342" s="25"/>
      <c r="LR342" s="25"/>
      <c r="LS342" s="25"/>
      <c r="LT342" s="25"/>
      <c r="LU342" s="25"/>
      <c r="LV342" s="25"/>
      <c r="LW342" s="25"/>
      <c r="LX342" s="25"/>
      <c r="LY342" s="25"/>
      <c r="LZ342" s="25"/>
      <c r="MA342" s="25"/>
      <c r="MB342" s="25"/>
      <c r="MC342" s="25"/>
      <c r="MD342" s="25"/>
      <c r="ME342" s="25"/>
      <c r="MF342" s="25"/>
      <c r="MG342" s="25"/>
      <c r="MH342" s="25"/>
      <c r="MI342" s="25"/>
      <c r="MJ342" s="25"/>
      <c r="MK342" s="25"/>
      <c r="ML342" s="25"/>
      <c r="MM342" s="25"/>
      <c r="MN342" s="25"/>
      <c r="MO342" s="25"/>
      <c r="MP342" s="25"/>
      <c r="MQ342" s="25"/>
      <c r="MR342" s="25"/>
      <c r="MS342" s="25"/>
      <c r="MT342" s="25"/>
      <c r="MU342" s="25"/>
      <c r="MV342" s="25"/>
      <c r="MW342" s="25"/>
      <c r="MX342" s="25"/>
      <c r="MY342" s="25"/>
      <c r="MZ342" s="25"/>
      <c r="NA342" s="25"/>
      <c r="NB342" s="25"/>
      <c r="NC342" s="25"/>
      <c r="ND342" s="25"/>
      <c r="NE342" s="25"/>
      <c r="NF342" s="25"/>
      <c r="NG342" s="25"/>
      <c r="NH342" s="25"/>
      <c r="NI342" s="25"/>
      <c r="NJ342" s="25"/>
      <c r="NK342" s="25"/>
      <c r="NL342" s="25"/>
      <c r="NM342" s="25"/>
      <c r="NN342" s="25"/>
      <c r="NO342" s="25"/>
      <c r="NP342" s="25"/>
      <c r="NQ342" s="25"/>
      <c r="NR342" s="25"/>
      <c r="NS342" s="25"/>
      <c r="NT342" s="25"/>
      <c r="NU342" s="25"/>
      <c r="NV342" s="25"/>
      <c r="NW342" s="25"/>
      <c r="NX342" s="25"/>
      <c r="NY342" s="25"/>
      <c r="NZ342" s="25"/>
      <c r="OA342" s="25"/>
      <c r="OB342" s="25"/>
      <c r="OC342" s="25"/>
      <c r="OD342" s="25"/>
      <c r="OE342" s="25"/>
      <c r="OF342" s="25"/>
      <c r="OG342" s="25"/>
      <c r="OH342" s="25"/>
      <c r="OI342" s="25"/>
      <c r="OJ342" s="25"/>
      <c r="OK342" s="25"/>
      <c r="OL342" s="25"/>
      <c r="OM342" s="25"/>
      <c r="ON342" s="25"/>
      <c r="OO342" s="25"/>
      <c r="OP342" s="25"/>
      <c r="OQ342" s="25"/>
      <c r="OR342" s="25"/>
      <c r="OS342" s="25"/>
      <c r="OT342" s="25"/>
      <c r="OU342" s="25"/>
      <c r="OV342" s="25"/>
      <c r="OW342" s="25"/>
      <c r="OX342" s="25"/>
      <c r="OY342" s="25"/>
      <c r="OZ342" s="25"/>
      <c r="PA342" s="25"/>
      <c r="PB342" s="25"/>
      <c r="PC342" s="25"/>
      <c r="PD342" s="25"/>
      <c r="PE342" s="25"/>
      <c r="PF342" s="25"/>
      <c r="PG342" s="25"/>
      <c r="PH342" s="25"/>
      <c r="PI342" s="25"/>
      <c r="PJ342" s="25"/>
      <c r="PK342" s="25"/>
      <c r="PL342" s="25"/>
      <c r="PM342" s="25"/>
      <c r="PN342" s="25"/>
      <c r="PO342" s="25"/>
      <c r="PP342" s="25"/>
      <c r="PQ342" s="25"/>
      <c r="PR342" s="25"/>
      <c r="PS342" s="25"/>
      <c r="PT342" s="25"/>
      <c r="PU342" s="25"/>
      <c r="PV342" s="25"/>
      <c r="PW342" s="25"/>
      <c r="PX342" s="25"/>
      <c r="PY342" s="25"/>
      <c r="PZ342" s="25"/>
      <c r="QA342" s="25"/>
      <c r="QB342" s="25"/>
      <c r="QC342" s="25"/>
      <c r="QD342" s="25"/>
      <c r="QE342" s="25"/>
      <c r="QF342" s="25"/>
      <c r="QG342" s="25"/>
      <c r="QH342" s="25"/>
      <c r="QI342" s="25"/>
      <c r="QJ342" s="25"/>
      <c r="QK342" s="25"/>
      <c r="QL342" s="25"/>
      <c r="QM342" s="25"/>
      <c r="QN342" s="25"/>
      <c r="QO342" s="25"/>
      <c r="QP342" s="25"/>
      <c r="QQ342" s="25"/>
      <c r="QR342" s="25"/>
      <c r="QS342" s="25"/>
      <c r="QT342" s="25"/>
      <c r="QU342" s="25"/>
      <c r="QV342" s="25"/>
      <c r="QW342" s="25"/>
      <c r="QX342" s="25"/>
      <c r="QY342" s="25"/>
      <c r="QZ342" s="25"/>
      <c r="RA342" s="25"/>
      <c r="RB342" s="25"/>
      <c r="RC342" s="25"/>
      <c r="RD342" s="25"/>
      <c r="RE342" s="25"/>
      <c r="RF342" s="25"/>
      <c r="RG342" s="25"/>
      <c r="RH342" s="25"/>
      <c r="RI342" s="25"/>
      <c r="RJ342" s="25"/>
      <c r="RK342" s="25"/>
      <c r="RL342" s="25"/>
      <c r="RM342" s="25"/>
      <c r="RN342" s="25"/>
      <c r="RO342" s="25"/>
      <c r="RP342" s="25"/>
      <c r="RQ342" s="25"/>
      <c r="RR342" s="25"/>
      <c r="RS342" s="25"/>
      <c r="RT342" s="25"/>
      <c r="RU342" s="25"/>
      <c r="RV342" s="25"/>
      <c r="RW342" s="25"/>
      <c r="RX342" s="25"/>
      <c r="RY342" s="25"/>
      <c r="RZ342" s="25"/>
      <c r="SA342" s="25"/>
      <c r="SB342" s="25"/>
      <c r="SC342" s="25"/>
      <c r="SD342" s="25"/>
      <c r="SE342" s="25"/>
      <c r="SF342" s="25"/>
      <c r="SG342" s="25"/>
      <c r="SH342" s="25"/>
      <c r="SI342" s="25"/>
      <c r="SJ342" s="25"/>
      <c r="SK342" s="25"/>
      <c r="SL342" s="25"/>
      <c r="SM342" s="25"/>
      <c r="SN342" s="25"/>
      <c r="SO342" s="25"/>
      <c r="SP342" s="25"/>
      <c r="SQ342" s="25"/>
      <c r="SR342" s="25"/>
      <c r="SS342" s="25"/>
      <c r="ST342" s="25"/>
      <c r="SU342" s="25"/>
      <c r="SV342" s="25"/>
      <c r="SW342" s="25"/>
      <c r="SX342" s="25"/>
      <c r="SY342" s="25"/>
      <c r="SZ342" s="25"/>
      <c r="TA342" s="25"/>
      <c r="TB342" s="25"/>
      <c r="TC342" s="25"/>
      <c r="TD342" s="25"/>
      <c r="TE342" s="25"/>
      <c r="TF342" s="25"/>
      <c r="TG342" s="25"/>
      <c r="TH342" s="25"/>
      <c r="TI342" s="25"/>
      <c r="TJ342" s="25"/>
      <c r="TK342" s="25"/>
      <c r="TL342" s="25"/>
      <c r="TM342" s="25"/>
      <c r="TN342" s="25"/>
      <c r="TO342" s="25"/>
      <c r="TP342" s="25"/>
      <c r="TQ342" s="25"/>
      <c r="TR342" s="25"/>
      <c r="TS342" s="25"/>
      <c r="TT342" s="25"/>
      <c r="TU342" s="25"/>
      <c r="TV342" s="25"/>
      <c r="TW342" s="25"/>
      <c r="TX342" s="25"/>
      <c r="TY342" s="25"/>
      <c r="TZ342" s="25"/>
      <c r="UA342" s="25"/>
      <c r="UB342" s="25"/>
      <c r="UC342" s="25"/>
      <c r="UD342" s="25"/>
      <c r="UE342" s="25"/>
      <c r="UF342" s="25"/>
      <c r="UG342" s="26"/>
    </row>
    <row r="343" spans="1:553" ht="29.25" customHeight="1">
      <c r="A343" s="356"/>
      <c r="B343" s="356"/>
      <c r="C343" s="1394" t="s">
        <v>299</v>
      </c>
      <c r="D343" s="1395"/>
      <c r="E343" s="1395"/>
      <c r="F343" s="1396"/>
      <c r="G343" s="366"/>
      <c r="H343" s="370"/>
      <c r="I343" s="370"/>
      <c r="J343" s="368"/>
      <c r="K343" s="371"/>
      <c r="L343" s="356"/>
      <c r="M343" s="356"/>
      <c r="N343" s="356"/>
      <c r="O343" s="356"/>
      <c r="P343" s="356"/>
      <c r="Q343" s="610"/>
      <c r="R343" s="1452"/>
      <c r="S343" s="308"/>
      <c r="T343" s="303"/>
      <c r="U343" s="306"/>
      <c r="V343" s="307"/>
      <c r="W343" s="306"/>
      <c r="X343" s="306"/>
      <c r="Y343" s="306"/>
      <c r="Z343" s="306"/>
      <c r="AA343" s="306"/>
      <c r="AB343" s="306"/>
      <c r="AC343" s="449"/>
      <c r="AD343" s="449"/>
      <c r="AE343" s="449"/>
      <c r="AF343" s="449"/>
      <c r="AG343" s="449"/>
      <c r="AH343" s="449"/>
      <c r="AI343" s="449"/>
      <c r="AJ343" s="449"/>
      <c r="AK343" s="452"/>
      <c r="AL343" s="104"/>
      <c r="AM343" s="32"/>
      <c r="AN343" s="32"/>
      <c r="AO343" s="32"/>
      <c r="AP343" s="32"/>
      <c r="AQ343" s="32"/>
      <c r="AR343" s="32"/>
      <c r="AS343" s="31"/>
      <c r="AT343" s="31"/>
      <c r="AU343" s="31"/>
      <c r="AV343" s="31"/>
      <c r="AW343" s="31"/>
      <c r="AX343" s="31"/>
      <c r="AY343" s="31"/>
      <c r="AZ343" s="31"/>
      <c r="BA343" s="31"/>
      <c r="BB343" s="31"/>
      <c r="BC343" s="31"/>
      <c r="BD343" s="31"/>
      <c r="BE343" s="31"/>
      <c r="BF343" s="31"/>
      <c r="BG343" s="31"/>
      <c r="BH343" s="31"/>
      <c r="BI343" s="31"/>
      <c r="BJ343" s="31"/>
      <c r="BK343" s="31"/>
      <c r="BL343" s="31"/>
      <c r="BM343" s="31"/>
      <c r="BN343" s="31"/>
      <c r="BO343" s="31"/>
      <c r="BP343" s="25"/>
      <c r="BQ343" s="25"/>
      <c r="BR343" s="25"/>
      <c r="BS343" s="25"/>
      <c r="BT343" s="25"/>
      <c r="BU343" s="25"/>
      <c r="BV343" s="25"/>
      <c r="BW343" s="25"/>
      <c r="BX343" s="25"/>
      <c r="BY343" s="25"/>
      <c r="BZ343" s="25"/>
      <c r="CA343" s="25"/>
      <c r="CB343" s="25"/>
      <c r="CC343" s="25"/>
      <c r="CD343" s="25"/>
      <c r="CE343" s="25"/>
      <c r="CF343" s="25"/>
      <c r="CG343" s="25"/>
      <c r="CH343" s="25"/>
      <c r="CI343" s="25"/>
      <c r="CJ343" s="25"/>
      <c r="CK343" s="25"/>
      <c r="CL343" s="25"/>
      <c r="CM343" s="25"/>
      <c r="CN343" s="25"/>
      <c r="CO343" s="25"/>
      <c r="CP343" s="25"/>
      <c r="CQ343" s="25"/>
      <c r="CR343" s="25"/>
      <c r="CS343" s="25"/>
      <c r="CT343" s="25"/>
      <c r="CU343" s="25"/>
      <c r="CV343" s="25"/>
      <c r="CW343" s="25"/>
      <c r="CX343" s="25"/>
      <c r="CY343" s="25"/>
      <c r="CZ343" s="25"/>
      <c r="DA343" s="25"/>
      <c r="DB343" s="25"/>
      <c r="DC343" s="25"/>
      <c r="DD343" s="25"/>
      <c r="DE343" s="25"/>
      <c r="DF343" s="25"/>
      <c r="DG343" s="25"/>
      <c r="DH343" s="25"/>
      <c r="DI343" s="25"/>
      <c r="DJ343" s="25"/>
      <c r="DK343" s="25"/>
      <c r="DL343" s="25"/>
      <c r="DM343" s="25"/>
      <c r="DN343" s="25"/>
      <c r="DO343" s="25"/>
      <c r="DP343" s="25"/>
      <c r="DQ343" s="25"/>
      <c r="DR343" s="25"/>
      <c r="DS343" s="25"/>
      <c r="DT343" s="25"/>
      <c r="DU343" s="25"/>
      <c r="DV343" s="25"/>
      <c r="DW343" s="25"/>
      <c r="DX343" s="25"/>
      <c r="DY343" s="25"/>
      <c r="DZ343" s="25"/>
      <c r="EA343" s="25"/>
      <c r="EB343" s="25"/>
      <c r="EC343" s="25"/>
      <c r="ED343" s="25"/>
      <c r="EE343" s="25"/>
      <c r="EF343" s="25"/>
      <c r="EG343" s="25"/>
      <c r="EH343" s="25"/>
      <c r="EI343" s="25"/>
      <c r="EJ343" s="25"/>
      <c r="EK343" s="25"/>
      <c r="EL343" s="25"/>
      <c r="EM343" s="25"/>
      <c r="EN343" s="25"/>
      <c r="EO343" s="25"/>
      <c r="EP343" s="25"/>
      <c r="EQ343" s="25"/>
      <c r="ER343" s="25"/>
      <c r="ES343" s="25"/>
      <c r="ET343" s="25"/>
      <c r="EU343" s="25"/>
      <c r="EV343" s="25"/>
      <c r="EW343" s="25"/>
      <c r="EX343" s="25"/>
      <c r="EY343" s="25"/>
      <c r="EZ343" s="25"/>
      <c r="FA343" s="25"/>
      <c r="FB343" s="25"/>
      <c r="FC343" s="25"/>
      <c r="FD343" s="25"/>
      <c r="FE343" s="25"/>
      <c r="FF343" s="25"/>
      <c r="FG343" s="25"/>
      <c r="FH343" s="25"/>
      <c r="FI343" s="25"/>
      <c r="FJ343" s="25"/>
      <c r="FK343" s="25"/>
      <c r="FL343" s="25"/>
      <c r="FM343" s="25"/>
      <c r="FN343" s="25"/>
      <c r="FO343" s="25"/>
      <c r="FP343" s="25"/>
      <c r="FQ343" s="25"/>
      <c r="FR343" s="25"/>
      <c r="FS343" s="25"/>
      <c r="FT343" s="25"/>
      <c r="FU343" s="25"/>
      <c r="FV343" s="25"/>
      <c r="FW343" s="25"/>
      <c r="FX343" s="25"/>
      <c r="FY343" s="25"/>
      <c r="FZ343" s="25"/>
      <c r="GA343" s="25"/>
      <c r="GB343" s="25"/>
      <c r="GC343" s="25"/>
      <c r="GD343" s="25"/>
      <c r="GE343" s="25"/>
      <c r="GF343" s="25"/>
      <c r="GG343" s="25"/>
      <c r="GH343" s="25"/>
      <c r="GI343" s="25"/>
      <c r="GJ343" s="25"/>
      <c r="GK343" s="25"/>
      <c r="GL343" s="25"/>
      <c r="GM343" s="25"/>
      <c r="GN343" s="25"/>
      <c r="GO343" s="25"/>
      <c r="GP343" s="25"/>
      <c r="GQ343" s="25"/>
      <c r="GR343" s="25"/>
      <c r="GS343" s="25"/>
      <c r="GT343" s="25"/>
      <c r="GU343" s="25"/>
      <c r="GV343" s="25"/>
      <c r="GW343" s="25"/>
      <c r="GX343" s="25"/>
      <c r="GY343" s="25"/>
      <c r="GZ343" s="25"/>
      <c r="HA343" s="25"/>
      <c r="HB343" s="25"/>
      <c r="HC343" s="25"/>
      <c r="HD343" s="25"/>
      <c r="HE343" s="25"/>
      <c r="HF343" s="25"/>
      <c r="HG343" s="25"/>
      <c r="HH343" s="25"/>
      <c r="HI343" s="25"/>
      <c r="HJ343" s="25"/>
      <c r="HK343" s="25"/>
      <c r="HL343" s="25"/>
      <c r="HM343" s="25"/>
      <c r="HN343" s="25"/>
      <c r="HO343" s="25"/>
      <c r="HP343" s="25"/>
      <c r="HQ343" s="25"/>
      <c r="HR343" s="25"/>
      <c r="HS343" s="25"/>
      <c r="HT343" s="25"/>
      <c r="HU343" s="25"/>
      <c r="HV343" s="25"/>
      <c r="HW343" s="25"/>
      <c r="HX343" s="25"/>
      <c r="HY343" s="25"/>
      <c r="HZ343" s="25"/>
      <c r="IA343" s="25"/>
      <c r="IB343" s="25"/>
      <c r="IC343" s="25"/>
      <c r="ID343" s="25"/>
      <c r="IE343" s="25"/>
      <c r="IF343" s="25"/>
      <c r="IG343" s="25"/>
      <c r="IH343" s="25"/>
      <c r="II343" s="25"/>
      <c r="IJ343" s="25"/>
      <c r="IK343" s="25"/>
      <c r="IL343" s="25"/>
      <c r="IM343" s="25"/>
      <c r="IN343" s="25"/>
      <c r="IO343" s="25"/>
      <c r="IP343" s="25"/>
      <c r="IQ343" s="25"/>
      <c r="IR343" s="25"/>
      <c r="IS343" s="25"/>
      <c r="IT343" s="25"/>
      <c r="IU343" s="25"/>
      <c r="IV343" s="25"/>
      <c r="IW343" s="25"/>
      <c r="IX343" s="25"/>
      <c r="IY343" s="25"/>
      <c r="IZ343" s="25"/>
      <c r="JA343" s="25"/>
      <c r="JB343" s="25"/>
      <c r="JC343" s="25"/>
      <c r="JD343" s="25"/>
      <c r="JE343" s="25"/>
      <c r="JF343" s="25"/>
      <c r="JG343" s="25"/>
      <c r="JH343" s="25"/>
      <c r="JI343" s="25"/>
      <c r="JJ343" s="25"/>
      <c r="JK343" s="25"/>
      <c r="JL343" s="25"/>
      <c r="JM343" s="25"/>
      <c r="JN343" s="25"/>
      <c r="JO343" s="25"/>
      <c r="JP343" s="25"/>
      <c r="JQ343" s="25"/>
      <c r="JR343" s="25"/>
      <c r="JS343" s="25"/>
      <c r="JT343" s="25"/>
      <c r="JU343" s="25"/>
      <c r="JV343" s="25"/>
      <c r="JW343" s="25"/>
      <c r="JX343" s="25"/>
      <c r="JY343" s="25"/>
      <c r="JZ343" s="25"/>
      <c r="KA343" s="25"/>
      <c r="KB343" s="25"/>
      <c r="KC343" s="25"/>
      <c r="KD343" s="25"/>
      <c r="KE343" s="25"/>
      <c r="KF343" s="25"/>
      <c r="KG343" s="25"/>
      <c r="KH343" s="25"/>
      <c r="KI343" s="25"/>
      <c r="KJ343" s="25"/>
      <c r="KK343" s="25"/>
      <c r="KL343" s="25"/>
      <c r="KM343" s="25"/>
      <c r="KN343" s="25"/>
      <c r="KO343" s="25"/>
      <c r="KP343" s="25"/>
      <c r="KQ343" s="25"/>
      <c r="KR343" s="25"/>
      <c r="KS343" s="25"/>
      <c r="KT343" s="25"/>
      <c r="KU343" s="25"/>
      <c r="KV343" s="25"/>
      <c r="KW343" s="25"/>
      <c r="KX343" s="25"/>
      <c r="KY343" s="25"/>
      <c r="KZ343" s="25"/>
      <c r="LA343" s="25"/>
      <c r="LB343" s="25"/>
      <c r="LC343" s="25"/>
      <c r="LD343" s="25"/>
      <c r="LE343" s="25"/>
      <c r="LF343" s="25"/>
      <c r="LG343" s="25"/>
      <c r="LH343" s="25"/>
      <c r="LI343" s="25"/>
      <c r="LJ343" s="25"/>
      <c r="LK343" s="25"/>
      <c r="LL343" s="25"/>
      <c r="LM343" s="25"/>
      <c r="LN343" s="25"/>
      <c r="LO343" s="25"/>
      <c r="LP343" s="25"/>
      <c r="LQ343" s="25"/>
      <c r="LR343" s="25"/>
      <c r="LS343" s="25"/>
      <c r="LT343" s="25"/>
      <c r="LU343" s="25"/>
      <c r="LV343" s="25"/>
      <c r="LW343" s="25"/>
      <c r="LX343" s="25"/>
      <c r="LY343" s="25"/>
      <c r="LZ343" s="25"/>
      <c r="MA343" s="25"/>
      <c r="MB343" s="25"/>
      <c r="MC343" s="25"/>
      <c r="MD343" s="25"/>
      <c r="ME343" s="25"/>
      <c r="MF343" s="25"/>
      <c r="MG343" s="25"/>
      <c r="MH343" s="25"/>
      <c r="MI343" s="25"/>
      <c r="MJ343" s="25"/>
      <c r="MK343" s="25"/>
      <c r="ML343" s="25"/>
      <c r="MM343" s="25"/>
      <c r="MN343" s="25"/>
      <c r="MO343" s="25"/>
      <c r="MP343" s="25"/>
      <c r="MQ343" s="25"/>
      <c r="MR343" s="25"/>
      <c r="MS343" s="25"/>
      <c r="MT343" s="25"/>
      <c r="MU343" s="25"/>
      <c r="MV343" s="25"/>
      <c r="MW343" s="25"/>
      <c r="MX343" s="25"/>
      <c r="MY343" s="25"/>
      <c r="MZ343" s="25"/>
      <c r="NA343" s="25"/>
      <c r="NB343" s="25"/>
      <c r="NC343" s="25"/>
      <c r="ND343" s="25"/>
      <c r="NE343" s="25"/>
      <c r="NF343" s="25"/>
      <c r="NG343" s="25"/>
      <c r="NH343" s="25"/>
      <c r="NI343" s="25"/>
      <c r="NJ343" s="25"/>
      <c r="NK343" s="25"/>
      <c r="NL343" s="25"/>
      <c r="NM343" s="25"/>
      <c r="NN343" s="25"/>
      <c r="NO343" s="25"/>
      <c r="NP343" s="25"/>
      <c r="NQ343" s="25"/>
      <c r="NR343" s="25"/>
      <c r="NS343" s="25"/>
      <c r="NT343" s="25"/>
      <c r="NU343" s="25"/>
      <c r="NV343" s="25"/>
      <c r="NW343" s="25"/>
      <c r="NX343" s="25"/>
      <c r="NY343" s="25"/>
      <c r="NZ343" s="25"/>
      <c r="OA343" s="25"/>
      <c r="OB343" s="25"/>
      <c r="OC343" s="25"/>
      <c r="OD343" s="25"/>
      <c r="OE343" s="25"/>
      <c r="OF343" s="25"/>
      <c r="OG343" s="25"/>
      <c r="OH343" s="25"/>
      <c r="OI343" s="25"/>
      <c r="OJ343" s="25"/>
      <c r="OK343" s="25"/>
      <c r="OL343" s="25"/>
      <c r="OM343" s="25"/>
      <c r="ON343" s="25"/>
      <c r="OO343" s="25"/>
      <c r="OP343" s="25"/>
      <c r="OQ343" s="25"/>
      <c r="OR343" s="25"/>
      <c r="OS343" s="25"/>
      <c r="OT343" s="25"/>
      <c r="OU343" s="25"/>
      <c r="OV343" s="25"/>
      <c r="OW343" s="25"/>
      <c r="OX343" s="25"/>
      <c r="OY343" s="25"/>
      <c r="OZ343" s="25"/>
      <c r="PA343" s="25"/>
      <c r="PB343" s="25"/>
      <c r="PC343" s="25"/>
      <c r="PD343" s="25"/>
      <c r="PE343" s="25"/>
      <c r="PF343" s="25"/>
      <c r="PG343" s="25"/>
      <c r="PH343" s="25"/>
      <c r="PI343" s="25"/>
      <c r="PJ343" s="25"/>
      <c r="PK343" s="25"/>
      <c r="PL343" s="25"/>
      <c r="PM343" s="25"/>
      <c r="PN343" s="25"/>
      <c r="PO343" s="25"/>
      <c r="PP343" s="25"/>
      <c r="PQ343" s="25"/>
      <c r="PR343" s="25"/>
      <c r="PS343" s="25"/>
      <c r="PT343" s="25"/>
      <c r="PU343" s="25"/>
      <c r="PV343" s="25"/>
      <c r="PW343" s="25"/>
      <c r="PX343" s="25"/>
      <c r="PY343" s="25"/>
      <c r="PZ343" s="25"/>
      <c r="QA343" s="25"/>
      <c r="QB343" s="25"/>
      <c r="QC343" s="25"/>
      <c r="QD343" s="25"/>
      <c r="QE343" s="25"/>
      <c r="QF343" s="25"/>
      <c r="QG343" s="25"/>
      <c r="QH343" s="25"/>
      <c r="QI343" s="25"/>
      <c r="QJ343" s="25"/>
      <c r="QK343" s="25"/>
      <c r="QL343" s="25"/>
      <c r="QM343" s="25"/>
      <c r="QN343" s="25"/>
      <c r="QO343" s="25"/>
      <c r="QP343" s="25"/>
      <c r="QQ343" s="25"/>
      <c r="QR343" s="25"/>
      <c r="QS343" s="25"/>
      <c r="QT343" s="25"/>
      <c r="QU343" s="25"/>
      <c r="QV343" s="25"/>
      <c r="QW343" s="25"/>
      <c r="QX343" s="25"/>
      <c r="QY343" s="25"/>
      <c r="QZ343" s="25"/>
      <c r="RA343" s="25"/>
      <c r="RB343" s="25"/>
      <c r="RC343" s="25"/>
      <c r="RD343" s="25"/>
      <c r="RE343" s="25"/>
      <c r="RF343" s="25"/>
      <c r="RG343" s="25"/>
      <c r="RH343" s="25"/>
      <c r="RI343" s="25"/>
      <c r="RJ343" s="25"/>
      <c r="RK343" s="25"/>
      <c r="RL343" s="25"/>
      <c r="RM343" s="25"/>
      <c r="RN343" s="25"/>
      <c r="RO343" s="25"/>
      <c r="RP343" s="25"/>
      <c r="RQ343" s="25"/>
      <c r="RR343" s="25"/>
      <c r="RS343" s="25"/>
      <c r="RT343" s="25"/>
      <c r="RU343" s="25"/>
      <c r="RV343" s="25"/>
      <c r="RW343" s="25"/>
      <c r="RX343" s="25"/>
      <c r="RY343" s="25"/>
      <c r="RZ343" s="25"/>
      <c r="SA343" s="25"/>
      <c r="SB343" s="25"/>
      <c r="SC343" s="25"/>
      <c r="SD343" s="25"/>
      <c r="SE343" s="25"/>
      <c r="SF343" s="25"/>
      <c r="SG343" s="25"/>
      <c r="SH343" s="25"/>
      <c r="SI343" s="25"/>
      <c r="SJ343" s="25"/>
      <c r="SK343" s="25"/>
      <c r="SL343" s="25"/>
      <c r="SM343" s="25"/>
      <c r="SN343" s="25"/>
      <c r="SO343" s="25"/>
      <c r="SP343" s="25"/>
      <c r="SQ343" s="25"/>
      <c r="SR343" s="25"/>
      <c r="SS343" s="25"/>
      <c r="ST343" s="25"/>
      <c r="SU343" s="25"/>
      <c r="SV343" s="25"/>
      <c r="SW343" s="25"/>
      <c r="SX343" s="25"/>
      <c r="SY343" s="25"/>
      <c r="SZ343" s="25"/>
      <c r="TA343" s="25"/>
      <c r="TB343" s="25"/>
      <c r="TC343" s="25"/>
      <c r="TD343" s="25"/>
      <c r="TE343" s="25"/>
      <c r="TF343" s="25"/>
      <c r="TG343" s="25"/>
      <c r="TH343" s="25"/>
      <c r="TI343" s="25"/>
      <c r="TJ343" s="25"/>
      <c r="TK343" s="25"/>
      <c r="TL343" s="25"/>
      <c r="TM343" s="25"/>
      <c r="TN343" s="25"/>
      <c r="TO343" s="25"/>
      <c r="TP343" s="25"/>
      <c r="TQ343" s="25"/>
      <c r="TR343" s="25"/>
      <c r="TS343" s="25"/>
      <c r="TT343" s="25"/>
      <c r="TU343" s="25"/>
      <c r="TV343" s="25"/>
      <c r="TW343" s="25"/>
      <c r="TX343" s="25"/>
      <c r="TY343" s="25"/>
      <c r="TZ343" s="25"/>
      <c r="UA343" s="25"/>
      <c r="UB343" s="25"/>
      <c r="UC343" s="25"/>
      <c r="UD343" s="25"/>
      <c r="UE343" s="25"/>
      <c r="UF343" s="25"/>
      <c r="UG343" s="26"/>
    </row>
    <row r="344" spans="1:553" ht="29.25" customHeight="1">
      <c r="A344" s="366" t="s">
        <v>15</v>
      </c>
      <c r="B344" s="366"/>
      <c r="C344" s="1404" t="s">
        <v>52</v>
      </c>
      <c r="D344" s="1389"/>
      <c r="E344" s="1389"/>
      <c r="F344" s="1390"/>
      <c r="G344" s="366" t="s">
        <v>255</v>
      </c>
      <c r="H344" s="417"/>
      <c r="I344" s="422">
        <v>1317.4</v>
      </c>
      <c r="J344" s="368">
        <v>16000</v>
      </c>
      <c r="K344" s="388"/>
      <c r="L344" s="480">
        <f>ROUND(PRODUCT(I344:K344),0)</f>
        <v>21078400</v>
      </c>
      <c r="M344" s="366"/>
      <c r="N344" s="366"/>
      <c r="O344" s="366"/>
      <c r="P344" s="366"/>
      <c r="Q344" s="1135"/>
      <c r="R344" s="1452"/>
      <c r="S344" s="308"/>
      <c r="T344" s="303"/>
      <c r="U344" s="306"/>
      <c r="V344" s="307"/>
      <c r="W344" s="306"/>
      <c r="X344" s="306"/>
      <c r="Y344" s="306"/>
      <c r="Z344" s="306"/>
      <c r="AA344" s="306"/>
      <c r="AB344" s="306"/>
      <c r="AC344" s="456"/>
      <c r="AD344" s="452"/>
      <c r="AE344" s="452"/>
      <c r="AF344" s="452"/>
      <c r="AG344" s="452"/>
      <c r="AH344" s="452"/>
      <c r="AI344" s="452"/>
      <c r="AJ344" s="452"/>
      <c r="AK344" s="452"/>
      <c r="AL344" s="106"/>
      <c r="AM344" s="31"/>
      <c r="AN344" s="31"/>
      <c r="AO344" s="31"/>
      <c r="AP344" s="31"/>
      <c r="AQ344" s="31"/>
      <c r="AR344" s="31"/>
      <c r="AS344" s="31"/>
      <c r="AT344" s="31"/>
      <c r="AU344" s="31"/>
      <c r="AV344" s="31"/>
      <c r="AW344" s="31"/>
      <c r="AX344" s="31"/>
      <c r="AY344" s="31"/>
      <c r="AZ344" s="31"/>
      <c r="BA344" s="31"/>
      <c r="BB344" s="31"/>
      <c r="BC344" s="31"/>
      <c r="BD344" s="31"/>
      <c r="BE344" s="31"/>
      <c r="BF344" s="31"/>
      <c r="BG344" s="31"/>
      <c r="BH344" s="31"/>
      <c r="BI344" s="31"/>
      <c r="BJ344" s="31"/>
      <c r="BK344" s="31"/>
      <c r="BL344" s="31"/>
      <c r="BM344" s="31"/>
      <c r="BN344" s="31"/>
      <c r="BO344" s="31"/>
      <c r="BP344" s="31"/>
      <c r="BQ344" s="31"/>
      <c r="BR344" s="31"/>
      <c r="BS344" s="31"/>
      <c r="BT344" s="31"/>
      <c r="BU344" s="31"/>
      <c r="BV344" s="31"/>
      <c r="BW344" s="31"/>
      <c r="BX344" s="31"/>
      <c r="BY344" s="31"/>
      <c r="BZ344" s="31"/>
      <c r="CA344" s="31"/>
      <c r="CB344" s="31"/>
      <c r="CC344" s="31"/>
      <c r="CD344" s="31"/>
      <c r="CE344" s="31"/>
      <c r="CF344" s="31"/>
      <c r="CG344" s="31"/>
      <c r="CH344" s="31"/>
      <c r="CI344" s="31"/>
      <c r="CJ344" s="31"/>
      <c r="CK344" s="31"/>
      <c r="CL344" s="31"/>
      <c r="CM344" s="31"/>
      <c r="CN344" s="31"/>
      <c r="CO344" s="31"/>
      <c r="CP344" s="31"/>
      <c r="CQ344" s="31"/>
      <c r="CR344" s="31"/>
      <c r="CS344" s="31"/>
      <c r="CT344" s="31"/>
      <c r="CU344" s="31"/>
      <c r="CV344" s="31"/>
      <c r="CW344" s="31"/>
      <c r="CX344" s="31"/>
      <c r="CY344" s="31"/>
      <c r="CZ344" s="31"/>
      <c r="DA344" s="31"/>
      <c r="DB344" s="31"/>
      <c r="DC344" s="31"/>
      <c r="DD344" s="31"/>
      <c r="DE344" s="31"/>
      <c r="DF344" s="31"/>
      <c r="DG344" s="31"/>
      <c r="DH344" s="31"/>
      <c r="DI344" s="31"/>
      <c r="DJ344" s="31"/>
      <c r="DK344" s="31"/>
      <c r="DL344" s="31"/>
      <c r="DM344" s="31"/>
      <c r="DN344" s="31"/>
      <c r="DO344" s="31"/>
      <c r="DP344" s="31"/>
      <c r="DQ344" s="31"/>
      <c r="DR344" s="31"/>
      <c r="DS344" s="31"/>
      <c r="DT344" s="31"/>
      <c r="DU344" s="31"/>
      <c r="DV344" s="31"/>
      <c r="DW344" s="31"/>
      <c r="DX344" s="31"/>
      <c r="DY344" s="31"/>
      <c r="DZ344" s="31"/>
      <c r="EA344" s="31"/>
      <c r="EB344" s="31"/>
      <c r="EC344" s="31"/>
      <c r="ED344" s="31"/>
      <c r="EE344" s="31"/>
      <c r="EF344" s="31"/>
      <c r="EG344" s="31"/>
      <c r="EH344" s="31"/>
      <c r="EI344" s="31"/>
      <c r="EJ344" s="31"/>
      <c r="EK344" s="31"/>
      <c r="EL344" s="31"/>
      <c r="EM344" s="31"/>
      <c r="EN344" s="31"/>
      <c r="EO344" s="31"/>
      <c r="EP344" s="31"/>
      <c r="EQ344" s="31"/>
      <c r="ER344" s="31"/>
      <c r="ES344" s="31"/>
      <c r="ET344" s="31"/>
      <c r="EU344" s="31"/>
      <c r="EV344" s="31"/>
      <c r="EW344" s="31"/>
      <c r="EX344" s="31"/>
      <c r="EY344" s="31"/>
      <c r="EZ344" s="31"/>
      <c r="FA344" s="31"/>
      <c r="FB344" s="31"/>
      <c r="FC344" s="31"/>
      <c r="FD344" s="31"/>
      <c r="FE344" s="31"/>
      <c r="FF344" s="31"/>
      <c r="FG344" s="31"/>
      <c r="FH344" s="31"/>
      <c r="FI344" s="31"/>
      <c r="FJ344" s="31"/>
      <c r="FK344" s="31"/>
      <c r="FL344" s="31"/>
      <c r="FM344" s="31"/>
      <c r="FN344" s="31"/>
      <c r="FO344" s="31"/>
      <c r="FP344" s="31"/>
      <c r="FQ344" s="31"/>
      <c r="FR344" s="31"/>
      <c r="FS344" s="31"/>
      <c r="FT344" s="31"/>
      <c r="FU344" s="31"/>
      <c r="FV344" s="31"/>
      <c r="FW344" s="31"/>
      <c r="FX344" s="31"/>
      <c r="FY344" s="31"/>
      <c r="FZ344" s="31"/>
      <c r="GA344" s="31"/>
      <c r="GB344" s="31"/>
      <c r="GC344" s="31"/>
      <c r="GD344" s="31"/>
      <c r="GE344" s="31"/>
      <c r="GF344" s="31"/>
      <c r="GG344" s="31"/>
      <c r="GH344" s="31"/>
      <c r="GI344" s="31"/>
      <c r="GJ344" s="31"/>
      <c r="GK344" s="31"/>
      <c r="GL344" s="31"/>
      <c r="GM344" s="31"/>
      <c r="GN344" s="31"/>
      <c r="GO344" s="31"/>
      <c r="GP344" s="31"/>
      <c r="GQ344" s="31"/>
      <c r="GR344" s="31"/>
      <c r="GS344" s="31"/>
      <c r="GT344" s="31"/>
      <c r="GU344" s="31"/>
      <c r="GV344" s="31"/>
      <c r="GW344" s="31"/>
      <c r="GX344" s="31"/>
      <c r="GY344" s="31"/>
      <c r="GZ344" s="31"/>
      <c r="HA344" s="31"/>
      <c r="HB344" s="31"/>
      <c r="HC344" s="31"/>
      <c r="HD344" s="31"/>
      <c r="HE344" s="31"/>
      <c r="HF344" s="31"/>
      <c r="HG344" s="31"/>
      <c r="HH344" s="31"/>
      <c r="HI344" s="31"/>
      <c r="HJ344" s="31"/>
      <c r="HK344" s="31"/>
      <c r="HL344" s="31"/>
      <c r="HM344" s="31"/>
      <c r="HN344" s="31"/>
      <c r="HO344" s="31"/>
      <c r="HP344" s="31"/>
      <c r="HQ344" s="31"/>
      <c r="HR344" s="31"/>
      <c r="HS344" s="31"/>
      <c r="HT344" s="31"/>
      <c r="HU344" s="31"/>
      <c r="HV344" s="31"/>
      <c r="HW344" s="31"/>
      <c r="HX344" s="31"/>
      <c r="HY344" s="31"/>
      <c r="HZ344" s="31"/>
      <c r="IA344" s="31"/>
      <c r="IB344" s="31"/>
      <c r="IC344" s="31"/>
      <c r="ID344" s="31"/>
      <c r="IE344" s="31"/>
      <c r="IF344" s="31"/>
      <c r="IG344" s="31"/>
      <c r="IH344" s="31"/>
      <c r="II344" s="31"/>
      <c r="IJ344" s="31"/>
      <c r="IK344" s="31"/>
      <c r="IL344" s="31"/>
      <c r="IM344" s="31"/>
      <c r="IN344" s="31"/>
      <c r="IO344" s="31"/>
      <c r="IP344" s="31"/>
      <c r="IQ344" s="31"/>
      <c r="IR344" s="31"/>
      <c r="IS344" s="31"/>
      <c r="IT344" s="31"/>
      <c r="IU344" s="31"/>
      <c r="IV344" s="31"/>
      <c r="IW344" s="31"/>
      <c r="IX344" s="31"/>
      <c r="IY344" s="31"/>
      <c r="IZ344" s="31"/>
      <c r="JA344" s="31"/>
      <c r="JB344" s="31"/>
      <c r="JC344" s="31"/>
      <c r="JD344" s="31"/>
      <c r="JE344" s="31"/>
      <c r="JF344" s="31"/>
      <c r="JG344" s="31"/>
      <c r="JH344" s="31"/>
      <c r="JI344" s="31"/>
      <c r="JJ344" s="31"/>
      <c r="JK344" s="31"/>
      <c r="JL344" s="31"/>
      <c r="JM344" s="31"/>
      <c r="JN344" s="31"/>
      <c r="JO344" s="31"/>
      <c r="JP344" s="31"/>
      <c r="JQ344" s="31"/>
      <c r="JR344" s="31"/>
      <c r="JS344" s="31"/>
      <c r="JT344" s="31"/>
      <c r="JU344" s="31"/>
      <c r="JV344" s="31"/>
      <c r="JW344" s="31"/>
      <c r="JX344" s="31"/>
      <c r="JY344" s="31"/>
      <c r="JZ344" s="31"/>
      <c r="KA344" s="31"/>
      <c r="KB344" s="31"/>
      <c r="KC344" s="31"/>
      <c r="KD344" s="31"/>
      <c r="KE344" s="31"/>
      <c r="KF344" s="31"/>
      <c r="KG344" s="31"/>
      <c r="KH344" s="31"/>
      <c r="KI344" s="31"/>
      <c r="KJ344" s="31"/>
      <c r="KK344" s="31"/>
      <c r="KL344" s="31"/>
      <c r="KM344" s="31"/>
      <c r="KN344" s="31"/>
      <c r="KO344" s="31"/>
      <c r="KP344" s="31"/>
      <c r="KQ344" s="31"/>
      <c r="KR344" s="31"/>
      <c r="KS344" s="31"/>
      <c r="KT344" s="31"/>
      <c r="KU344" s="31"/>
      <c r="KV344" s="31"/>
      <c r="KW344" s="31"/>
      <c r="KX344" s="31"/>
      <c r="KY344" s="31"/>
      <c r="KZ344" s="31"/>
      <c r="LA344" s="31"/>
      <c r="LB344" s="31"/>
      <c r="LC344" s="31"/>
      <c r="LD344" s="31"/>
      <c r="LE344" s="31"/>
      <c r="LF344" s="31"/>
      <c r="LG344" s="31"/>
      <c r="LH344" s="31"/>
      <c r="LI344" s="31"/>
      <c r="LJ344" s="31"/>
      <c r="LK344" s="31"/>
      <c r="LL344" s="31"/>
      <c r="LM344" s="31"/>
      <c r="LN344" s="31"/>
      <c r="LO344" s="31"/>
      <c r="LP344" s="31"/>
      <c r="LQ344" s="31"/>
      <c r="LR344" s="31"/>
      <c r="LS344" s="31"/>
      <c r="LT344" s="31"/>
      <c r="LU344" s="31"/>
      <c r="LV344" s="31"/>
      <c r="LW344" s="31"/>
      <c r="LX344" s="31"/>
      <c r="LY344" s="31"/>
      <c r="LZ344" s="31"/>
      <c r="MA344" s="31"/>
      <c r="MB344" s="31"/>
      <c r="MC344" s="31"/>
      <c r="MD344" s="31"/>
      <c r="ME344" s="31"/>
      <c r="MF344" s="31"/>
      <c r="MG344" s="31"/>
      <c r="MH344" s="31"/>
      <c r="MI344" s="31"/>
      <c r="MJ344" s="31"/>
      <c r="MK344" s="31"/>
      <c r="ML344" s="31"/>
      <c r="MM344" s="31"/>
      <c r="MN344" s="31"/>
      <c r="MO344" s="31"/>
      <c r="MP344" s="31"/>
      <c r="MQ344" s="31"/>
      <c r="MR344" s="31"/>
      <c r="MS344" s="31"/>
      <c r="MT344" s="31"/>
      <c r="MU344" s="31"/>
      <c r="MV344" s="31"/>
      <c r="MW344" s="31"/>
      <c r="MX344" s="31"/>
      <c r="MY344" s="31"/>
      <c r="MZ344" s="31"/>
      <c r="NA344" s="31"/>
      <c r="NB344" s="31"/>
      <c r="NC344" s="31"/>
      <c r="ND344" s="31"/>
      <c r="NE344" s="31"/>
      <c r="NF344" s="31"/>
      <c r="NG344" s="31"/>
      <c r="NH344" s="31"/>
      <c r="NI344" s="31"/>
      <c r="NJ344" s="31"/>
      <c r="NK344" s="31"/>
      <c r="NL344" s="31"/>
      <c r="NM344" s="31"/>
      <c r="NN344" s="31"/>
      <c r="NO344" s="31"/>
      <c r="NP344" s="31"/>
      <c r="NQ344" s="31"/>
      <c r="NR344" s="31"/>
      <c r="NS344" s="31"/>
      <c r="NT344" s="31"/>
      <c r="NU344" s="31"/>
      <c r="NV344" s="31"/>
      <c r="NW344" s="31"/>
      <c r="NX344" s="31"/>
      <c r="NY344" s="31"/>
      <c r="NZ344" s="31"/>
      <c r="OA344" s="31"/>
      <c r="OB344" s="31"/>
      <c r="OC344" s="31"/>
      <c r="OD344" s="31"/>
      <c r="OE344" s="31"/>
      <c r="OF344" s="31"/>
      <c r="OG344" s="31"/>
      <c r="OH344" s="31"/>
      <c r="OI344" s="31"/>
      <c r="OJ344" s="31"/>
      <c r="OK344" s="31"/>
      <c r="OL344" s="31"/>
      <c r="OM344" s="31"/>
      <c r="ON344" s="31"/>
      <c r="OO344" s="31"/>
      <c r="OP344" s="31"/>
      <c r="OQ344" s="31"/>
      <c r="OR344" s="31"/>
      <c r="OS344" s="31"/>
      <c r="OT344" s="31"/>
      <c r="OU344" s="31"/>
      <c r="OV344" s="31"/>
      <c r="OW344" s="31"/>
      <c r="OX344" s="31"/>
      <c r="OY344" s="31"/>
      <c r="OZ344" s="31"/>
      <c r="PA344" s="31"/>
      <c r="PB344" s="31"/>
      <c r="PC344" s="31"/>
      <c r="PD344" s="31"/>
      <c r="PE344" s="31"/>
      <c r="PF344" s="31"/>
      <c r="PG344" s="31"/>
      <c r="PH344" s="31"/>
      <c r="PI344" s="31"/>
      <c r="PJ344" s="31"/>
      <c r="PK344" s="31"/>
      <c r="PL344" s="31"/>
      <c r="PM344" s="31"/>
      <c r="PN344" s="31"/>
      <c r="PO344" s="31"/>
      <c r="PP344" s="31"/>
      <c r="PQ344" s="31"/>
      <c r="PR344" s="31"/>
      <c r="PS344" s="31"/>
      <c r="PT344" s="31"/>
      <c r="PU344" s="31"/>
      <c r="PV344" s="31"/>
      <c r="PW344" s="31"/>
      <c r="PX344" s="31"/>
      <c r="PY344" s="31"/>
      <c r="PZ344" s="31"/>
      <c r="QA344" s="31"/>
      <c r="QB344" s="31"/>
      <c r="QC344" s="31"/>
      <c r="QD344" s="31"/>
      <c r="QE344" s="31"/>
      <c r="QF344" s="31"/>
      <c r="QG344" s="31"/>
      <c r="QH344" s="31"/>
      <c r="QI344" s="31"/>
      <c r="QJ344" s="31"/>
      <c r="QK344" s="31"/>
      <c r="QL344" s="31"/>
      <c r="QM344" s="31"/>
      <c r="QN344" s="31"/>
      <c r="QO344" s="31"/>
      <c r="QP344" s="31"/>
      <c r="QQ344" s="31"/>
      <c r="QR344" s="31"/>
      <c r="QS344" s="31"/>
      <c r="QT344" s="31"/>
      <c r="QU344" s="31"/>
      <c r="QV344" s="31"/>
      <c r="QW344" s="31"/>
      <c r="QX344" s="31"/>
      <c r="QY344" s="31"/>
      <c r="QZ344" s="31"/>
      <c r="RA344" s="31"/>
      <c r="RB344" s="31"/>
      <c r="RC344" s="31"/>
      <c r="RD344" s="31"/>
      <c r="RE344" s="31"/>
      <c r="RF344" s="31"/>
      <c r="RG344" s="31"/>
      <c r="RH344" s="31"/>
      <c r="RI344" s="31"/>
      <c r="RJ344" s="31"/>
      <c r="RK344" s="31"/>
      <c r="RL344" s="31"/>
      <c r="RM344" s="31"/>
      <c r="RN344" s="31"/>
      <c r="RO344" s="31"/>
      <c r="RP344" s="31"/>
      <c r="RQ344" s="31"/>
      <c r="RR344" s="31"/>
      <c r="RS344" s="31"/>
      <c r="RT344" s="31"/>
      <c r="RU344" s="31"/>
      <c r="RV344" s="31"/>
      <c r="RW344" s="31"/>
      <c r="RX344" s="31"/>
      <c r="RY344" s="31"/>
      <c r="RZ344" s="31"/>
      <c r="SA344" s="31"/>
      <c r="SB344" s="31"/>
      <c r="SC344" s="31"/>
      <c r="SD344" s="31"/>
      <c r="SE344" s="31"/>
      <c r="SF344" s="31"/>
      <c r="SG344" s="31"/>
      <c r="SH344" s="31"/>
      <c r="SI344" s="31"/>
      <c r="SJ344" s="31"/>
      <c r="SK344" s="31"/>
      <c r="SL344" s="31"/>
      <c r="SM344" s="31"/>
      <c r="SN344" s="31"/>
      <c r="SO344" s="31"/>
      <c r="SP344" s="31"/>
      <c r="SQ344" s="31"/>
      <c r="SR344" s="31"/>
      <c r="SS344" s="31"/>
      <c r="ST344" s="31"/>
      <c r="SU344" s="31"/>
      <c r="SV344" s="31"/>
      <c r="SW344" s="31"/>
      <c r="SX344" s="31"/>
      <c r="SY344" s="31"/>
      <c r="SZ344" s="31"/>
      <c r="TA344" s="31"/>
      <c r="TB344" s="31"/>
      <c r="TC344" s="31"/>
      <c r="TD344" s="31"/>
      <c r="TE344" s="31"/>
      <c r="TF344" s="31"/>
      <c r="TG344" s="31"/>
      <c r="TH344" s="31"/>
      <c r="TI344" s="31"/>
      <c r="TJ344" s="31"/>
      <c r="TK344" s="31"/>
      <c r="TL344" s="31"/>
      <c r="TM344" s="31"/>
      <c r="TN344" s="31"/>
      <c r="TO344" s="31"/>
      <c r="TP344" s="31"/>
      <c r="TQ344" s="31"/>
      <c r="TR344" s="31"/>
      <c r="TS344" s="31"/>
      <c r="TT344" s="31"/>
      <c r="TU344" s="31"/>
      <c r="TV344" s="31"/>
      <c r="TW344" s="31"/>
      <c r="TX344" s="31"/>
      <c r="TY344" s="31"/>
      <c r="TZ344" s="31"/>
      <c r="UA344" s="31"/>
      <c r="UB344" s="31"/>
      <c r="UC344" s="31"/>
      <c r="UD344" s="31"/>
      <c r="UE344" s="31"/>
      <c r="UF344" s="31"/>
      <c r="UG344" s="33"/>
    </row>
    <row r="345" spans="1:553" s="183" customFormat="1" ht="29.25" customHeight="1">
      <c r="A345" s="549"/>
      <c r="B345" s="549"/>
      <c r="C345" s="1394" t="s">
        <v>283</v>
      </c>
      <c r="D345" s="1395"/>
      <c r="E345" s="1395"/>
      <c r="F345" s="1396"/>
      <c r="G345" s="549"/>
      <c r="H345" s="550"/>
      <c r="I345" s="551"/>
      <c r="J345" s="400"/>
      <c r="K345" s="552"/>
      <c r="L345" s="1333"/>
      <c r="M345" s="549"/>
      <c r="N345" s="549"/>
      <c r="O345" s="549"/>
      <c r="P345" s="549"/>
      <c r="Q345" s="1136"/>
      <c r="R345" s="1143"/>
      <c r="S345" s="308"/>
      <c r="T345" s="303"/>
      <c r="U345" s="306"/>
      <c r="V345" s="307"/>
      <c r="W345" s="306"/>
      <c r="X345" s="306"/>
      <c r="Y345" s="306"/>
      <c r="Z345" s="306"/>
      <c r="AA345" s="306"/>
      <c r="AB345" s="306"/>
      <c r="AC345" s="456"/>
      <c r="AD345" s="553"/>
      <c r="AE345" s="553"/>
      <c r="AF345" s="553"/>
      <c r="AG345" s="553"/>
      <c r="AH345" s="553"/>
      <c r="AI345" s="553"/>
      <c r="AJ345" s="553"/>
      <c r="AK345" s="553"/>
      <c r="AL345" s="185"/>
      <c r="AM345" s="185"/>
      <c r="AN345" s="185"/>
      <c r="AO345" s="185"/>
      <c r="AP345" s="185"/>
      <c r="AQ345" s="185"/>
      <c r="AR345" s="185"/>
      <c r="AS345" s="185"/>
      <c r="AT345" s="185"/>
      <c r="AU345" s="185"/>
      <c r="AV345" s="185"/>
      <c r="AW345" s="185"/>
      <c r="AX345" s="185"/>
      <c r="AY345" s="185"/>
      <c r="AZ345" s="185"/>
      <c r="BA345" s="185"/>
      <c r="BB345" s="185"/>
      <c r="BC345" s="185"/>
      <c r="BD345" s="185"/>
      <c r="BE345" s="185"/>
      <c r="BF345" s="185"/>
      <c r="BG345" s="185"/>
      <c r="BH345" s="185"/>
      <c r="BI345" s="185"/>
      <c r="BJ345" s="185"/>
      <c r="BK345" s="185"/>
      <c r="BL345" s="185"/>
      <c r="BM345" s="185"/>
      <c r="BN345" s="185"/>
      <c r="BO345" s="185"/>
      <c r="BP345" s="185"/>
      <c r="BQ345" s="185"/>
      <c r="BR345" s="185"/>
      <c r="BS345" s="185"/>
      <c r="BT345" s="185"/>
      <c r="BU345" s="185"/>
      <c r="BV345" s="185"/>
      <c r="BW345" s="185"/>
      <c r="BX345" s="185"/>
      <c r="BY345" s="185"/>
      <c r="BZ345" s="185"/>
      <c r="CA345" s="185"/>
      <c r="CB345" s="185"/>
      <c r="CC345" s="185"/>
      <c r="CD345" s="185"/>
      <c r="CE345" s="185"/>
      <c r="CF345" s="185"/>
      <c r="CG345" s="185"/>
      <c r="CH345" s="185"/>
      <c r="CI345" s="185"/>
      <c r="CJ345" s="185"/>
      <c r="CK345" s="185"/>
      <c r="CL345" s="185"/>
      <c r="CM345" s="185"/>
      <c r="CN345" s="185"/>
      <c r="CO345" s="185"/>
      <c r="CP345" s="185"/>
      <c r="CQ345" s="185"/>
      <c r="CR345" s="185"/>
      <c r="CS345" s="185"/>
      <c r="CT345" s="185"/>
      <c r="CU345" s="185"/>
      <c r="CV345" s="185"/>
      <c r="CW345" s="185"/>
      <c r="CX345" s="185"/>
      <c r="CY345" s="185"/>
      <c r="CZ345" s="185"/>
      <c r="DA345" s="185"/>
      <c r="DB345" s="185"/>
      <c r="DC345" s="185"/>
      <c r="DD345" s="185"/>
      <c r="DE345" s="185"/>
      <c r="DF345" s="185"/>
      <c r="DG345" s="185"/>
      <c r="DH345" s="185"/>
      <c r="DI345" s="185"/>
      <c r="DJ345" s="185"/>
      <c r="DK345" s="185"/>
      <c r="DL345" s="185"/>
      <c r="DM345" s="185"/>
      <c r="DN345" s="185"/>
      <c r="DO345" s="185"/>
      <c r="DP345" s="185"/>
      <c r="DQ345" s="185"/>
      <c r="DR345" s="185"/>
      <c r="DS345" s="185"/>
      <c r="DT345" s="185"/>
      <c r="DU345" s="185"/>
      <c r="DV345" s="185"/>
      <c r="DW345" s="185"/>
      <c r="DX345" s="185"/>
      <c r="DY345" s="185"/>
      <c r="DZ345" s="185"/>
      <c r="EA345" s="185"/>
      <c r="EB345" s="185"/>
      <c r="EC345" s="185"/>
      <c r="ED345" s="185"/>
      <c r="EE345" s="185"/>
      <c r="EF345" s="185"/>
      <c r="EG345" s="185"/>
      <c r="EH345" s="185"/>
      <c r="EI345" s="185"/>
      <c r="EJ345" s="185"/>
      <c r="EK345" s="185"/>
      <c r="EL345" s="185"/>
      <c r="EM345" s="185"/>
      <c r="EN345" s="185"/>
      <c r="EO345" s="185"/>
      <c r="EP345" s="185"/>
      <c r="EQ345" s="185"/>
      <c r="ER345" s="185"/>
      <c r="ES345" s="185"/>
      <c r="ET345" s="185"/>
      <c r="EU345" s="185"/>
      <c r="EV345" s="185"/>
      <c r="EW345" s="185"/>
      <c r="EX345" s="185"/>
      <c r="EY345" s="185"/>
      <c r="EZ345" s="185"/>
      <c r="FA345" s="185"/>
      <c r="FB345" s="185"/>
      <c r="FC345" s="185"/>
      <c r="FD345" s="185"/>
      <c r="FE345" s="185"/>
      <c r="FF345" s="185"/>
      <c r="FG345" s="185"/>
      <c r="FH345" s="185"/>
      <c r="FI345" s="185"/>
      <c r="FJ345" s="185"/>
      <c r="FK345" s="185"/>
      <c r="FL345" s="185"/>
      <c r="FM345" s="185"/>
      <c r="FN345" s="185"/>
      <c r="FO345" s="185"/>
      <c r="FP345" s="185"/>
      <c r="FQ345" s="185"/>
      <c r="FR345" s="185"/>
      <c r="FS345" s="185"/>
      <c r="FT345" s="185"/>
      <c r="FU345" s="185"/>
      <c r="FV345" s="185"/>
      <c r="FW345" s="185"/>
      <c r="FX345" s="185"/>
      <c r="FY345" s="185"/>
      <c r="FZ345" s="185"/>
      <c r="GA345" s="185"/>
      <c r="GB345" s="185"/>
      <c r="GC345" s="185"/>
      <c r="GD345" s="185"/>
      <c r="GE345" s="185"/>
      <c r="GF345" s="185"/>
      <c r="GG345" s="185"/>
      <c r="GH345" s="185"/>
      <c r="GI345" s="185"/>
      <c r="GJ345" s="185"/>
      <c r="GK345" s="185"/>
      <c r="GL345" s="185"/>
      <c r="GM345" s="185"/>
      <c r="GN345" s="185"/>
      <c r="GO345" s="185"/>
      <c r="GP345" s="185"/>
      <c r="GQ345" s="185"/>
      <c r="GR345" s="185"/>
      <c r="GS345" s="185"/>
      <c r="GT345" s="185"/>
      <c r="GU345" s="185"/>
      <c r="GV345" s="185"/>
      <c r="GW345" s="185"/>
      <c r="GX345" s="185"/>
      <c r="GY345" s="185"/>
      <c r="GZ345" s="185"/>
      <c r="HA345" s="185"/>
      <c r="HB345" s="185"/>
      <c r="HC345" s="185"/>
      <c r="HD345" s="185"/>
      <c r="HE345" s="185"/>
      <c r="HF345" s="185"/>
      <c r="HG345" s="185"/>
      <c r="HH345" s="185"/>
      <c r="HI345" s="185"/>
      <c r="HJ345" s="185"/>
      <c r="HK345" s="185"/>
      <c r="HL345" s="185"/>
      <c r="HM345" s="185"/>
      <c r="HN345" s="185"/>
      <c r="HO345" s="185"/>
      <c r="HP345" s="185"/>
      <c r="HQ345" s="185"/>
      <c r="HR345" s="185"/>
      <c r="HS345" s="185"/>
      <c r="HT345" s="185"/>
      <c r="HU345" s="185"/>
      <c r="HV345" s="185"/>
      <c r="HW345" s="185"/>
      <c r="HX345" s="185"/>
      <c r="HY345" s="185"/>
      <c r="HZ345" s="185"/>
      <c r="IA345" s="185"/>
      <c r="IB345" s="185"/>
      <c r="IC345" s="185"/>
      <c r="ID345" s="185"/>
      <c r="IE345" s="185"/>
      <c r="IF345" s="185"/>
      <c r="IG345" s="185"/>
      <c r="IH345" s="185"/>
      <c r="II345" s="185"/>
      <c r="IJ345" s="185"/>
      <c r="IK345" s="185"/>
      <c r="IL345" s="185"/>
      <c r="IM345" s="185"/>
      <c r="IN345" s="185"/>
      <c r="IO345" s="185"/>
      <c r="IP345" s="185"/>
      <c r="IQ345" s="185"/>
      <c r="IR345" s="185"/>
      <c r="IS345" s="185"/>
      <c r="IT345" s="185"/>
      <c r="IU345" s="185"/>
      <c r="IV345" s="185"/>
      <c r="IW345" s="185"/>
      <c r="IX345" s="185"/>
      <c r="IY345" s="185"/>
      <c r="IZ345" s="185"/>
      <c r="JA345" s="185"/>
      <c r="JB345" s="185"/>
      <c r="JC345" s="185"/>
      <c r="JD345" s="185"/>
      <c r="JE345" s="185"/>
      <c r="JF345" s="185"/>
      <c r="JG345" s="185"/>
      <c r="JH345" s="185"/>
      <c r="JI345" s="185"/>
      <c r="JJ345" s="185"/>
      <c r="JK345" s="185"/>
      <c r="JL345" s="185"/>
      <c r="JM345" s="185"/>
      <c r="JN345" s="185"/>
      <c r="JO345" s="185"/>
      <c r="JP345" s="185"/>
      <c r="JQ345" s="185"/>
      <c r="JR345" s="185"/>
      <c r="JS345" s="185"/>
      <c r="JT345" s="185"/>
      <c r="JU345" s="185"/>
      <c r="JV345" s="185"/>
      <c r="JW345" s="185"/>
      <c r="JX345" s="185"/>
      <c r="JY345" s="185"/>
      <c r="JZ345" s="185"/>
      <c r="KA345" s="185"/>
      <c r="KB345" s="185"/>
      <c r="KC345" s="185"/>
      <c r="KD345" s="185"/>
      <c r="KE345" s="185"/>
      <c r="KF345" s="185"/>
      <c r="KG345" s="185"/>
      <c r="KH345" s="185"/>
      <c r="KI345" s="185"/>
      <c r="KJ345" s="185"/>
      <c r="KK345" s="185"/>
      <c r="KL345" s="185"/>
      <c r="KM345" s="185"/>
      <c r="KN345" s="185"/>
      <c r="KO345" s="185"/>
      <c r="KP345" s="185"/>
      <c r="KQ345" s="185"/>
      <c r="KR345" s="185"/>
      <c r="KS345" s="185"/>
      <c r="KT345" s="185"/>
      <c r="KU345" s="185"/>
      <c r="KV345" s="185"/>
      <c r="KW345" s="185"/>
      <c r="KX345" s="185"/>
      <c r="KY345" s="185"/>
      <c r="KZ345" s="185"/>
      <c r="LA345" s="185"/>
      <c r="LB345" s="185"/>
      <c r="LC345" s="185"/>
      <c r="LD345" s="185"/>
      <c r="LE345" s="185"/>
      <c r="LF345" s="185"/>
      <c r="LG345" s="185"/>
      <c r="LH345" s="185"/>
      <c r="LI345" s="185"/>
      <c r="LJ345" s="185"/>
      <c r="LK345" s="185"/>
      <c r="LL345" s="185"/>
      <c r="LM345" s="185"/>
      <c r="LN345" s="185"/>
      <c r="LO345" s="185"/>
      <c r="LP345" s="185"/>
      <c r="LQ345" s="185"/>
      <c r="LR345" s="185"/>
      <c r="LS345" s="185"/>
      <c r="LT345" s="185"/>
      <c r="LU345" s="185"/>
      <c r="LV345" s="185"/>
      <c r="LW345" s="185"/>
      <c r="LX345" s="185"/>
      <c r="LY345" s="185"/>
      <c r="LZ345" s="185"/>
      <c r="MA345" s="185"/>
      <c r="MB345" s="185"/>
      <c r="MC345" s="185"/>
      <c r="MD345" s="185"/>
      <c r="ME345" s="185"/>
      <c r="MF345" s="185"/>
      <c r="MG345" s="185"/>
      <c r="MH345" s="185"/>
      <c r="MI345" s="185"/>
      <c r="MJ345" s="185"/>
      <c r="MK345" s="185"/>
      <c r="ML345" s="185"/>
      <c r="MM345" s="185"/>
      <c r="MN345" s="185"/>
      <c r="MO345" s="185"/>
      <c r="MP345" s="185"/>
      <c r="MQ345" s="185"/>
      <c r="MR345" s="185"/>
      <c r="MS345" s="185"/>
      <c r="MT345" s="185"/>
      <c r="MU345" s="185"/>
      <c r="MV345" s="185"/>
      <c r="MW345" s="185"/>
      <c r="MX345" s="185"/>
      <c r="MY345" s="185"/>
      <c r="MZ345" s="185"/>
      <c r="NA345" s="185"/>
      <c r="NB345" s="185"/>
      <c r="NC345" s="185"/>
      <c r="ND345" s="185"/>
      <c r="NE345" s="185"/>
      <c r="NF345" s="185"/>
      <c r="NG345" s="185"/>
      <c r="NH345" s="185"/>
      <c r="NI345" s="185"/>
      <c r="NJ345" s="185"/>
      <c r="NK345" s="185"/>
      <c r="NL345" s="185"/>
      <c r="NM345" s="185"/>
      <c r="NN345" s="185"/>
      <c r="NO345" s="185"/>
      <c r="NP345" s="185"/>
      <c r="NQ345" s="185"/>
      <c r="NR345" s="185"/>
      <c r="NS345" s="185"/>
      <c r="NT345" s="185"/>
      <c r="NU345" s="185"/>
      <c r="NV345" s="185"/>
      <c r="NW345" s="185"/>
      <c r="NX345" s="185"/>
      <c r="NY345" s="185"/>
      <c r="NZ345" s="185"/>
      <c r="OA345" s="185"/>
      <c r="OB345" s="185"/>
      <c r="OC345" s="185"/>
      <c r="OD345" s="185"/>
      <c r="OE345" s="185"/>
      <c r="OF345" s="185"/>
      <c r="OG345" s="185"/>
      <c r="OH345" s="185"/>
      <c r="OI345" s="185"/>
      <c r="OJ345" s="185"/>
      <c r="OK345" s="185"/>
      <c r="OL345" s="185"/>
      <c r="OM345" s="185"/>
      <c r="ON345" s="185"/>
      <c r="OO345" s="185"/>
      <c r="OP345" s="185"/>
      <c r="OQ345" s="185"/>
      <c r="OR345" s="185"/>
      <c r="OS345" s="185"/>
      <c r="OT345" s="185"/>
      <c r="OU345" s="185"/>
      <c r="OV345" s="185"/>
      <c r="OW345" s="185"/>
      <c r="OX345" s="185"/>
      <c r="OY345" s="185"/>
      <c r="OZ345" s="185"/>
      <c r="PA345" s="185"/>
      <c r="PB345" s="185"/>
      <c r="PC345" s="185"/>
      <c r="PD345" s="185"/>
      <c r="PE345" s="185"/>
      <c r="PF345" s="185"/>
      <c r="PG345" s="185"/>
      <c r="PH345" s="185"/>
      <c r="PI345" s="185"/>
      <c r="PJ345" s="185"/>
      <c r="PK345" s="185"/>
      <c r="PL345" s="185"/>
      <c r="PM345" s="185"/>
      <c r="PN345" s="185"/>
      <c r="PO345" s="185"/>
      <c r="PP345" s="185"/>
      <c r="PQ345" s="185"/>
      <c r="PR345" s="185"/>
      <c r="PS345" s="185"/>
      <c r="PT345" s="185"/>
      <c r="PU345" s="185"/>
      <c r="PV345" s="185"/>
      <c r="PW345" s="185"/>
      <c r="PX345" s="185"/>
      <c r="PY345" s="185"/>
      <c r="PZ345" s="185"/>
      <c r="QA345" s="185"/>
      <c r="QB345" s="185"/>
      <c r="QC345" s="185"/>
      <c r="QD345" s="185"/>
      <c r="QE345" s="185"/>
      <c r="QF345" s="185"/>
      <c r="QG345" s="185"/>
      <c r="QH345" s="185"/>
      <c r="QI345" s="185"/>
      <c r="QJ345" s="185"/>
      <c r="QK345" s="185"/>
      <c r="QL345" s="185"/>
      <c r="QM345" s="185"/>
      <c r="QN345" s="185"/>
      <c r="QO345" s="185"/>
      <c r="QP345" s="185"/>
      <c r="QQ345" s="185"/>
      <c r="QR345" s="185"/>
      <c r="QS345" s="185"/>
      <c r="QT345" s="185"/>
      <c r="QU345" s="185"/>
      <c r="QV345" s="185"/>
      <c r="QW345" s="185"/>
      <c r="QX345" s="185"/>
      <c r="QY345" s="185"/>
      <c r="QZ345" s="185"/>
      <c r="RA345" s="185"/>
      <c r="RB345" s="185"/>
      <c r="RC345" s="185"/>
      <c r="RD345" s="185"/>
      <c r="RE345" s="185"/>
      <c r="RF345" s="185"/>
      <c r="RG345" s="185"/>
      <c r="RH345" s="185"/>
      <c r="RI345" s="185"/>
      <c r="RJ345" s="185"/>
      <c r="RK345" s="185"/>
      <c r="RL345" s="185"/>
      <c r="RM345" s="185"/>
      <c r="RN345" s="185"/>
      <c r="RO345" s="185"/>
      <c r="RP345" s="185"/>
      <c r="RQ345" s="185"/>
      <c r="RR345" s="185"/>
      <c r="RS345" s="185"/>
      <c r="RT345" s="185"/>
      <c r="RU345" s="185"/>
      <c r="RV345" s="185"/>
      <c r="RW345" s="185"/>
      <c r="RX345" s="185"/>
      <c r="RY345" s="185"/>
      <c r="RZ345" s="185"/>
      <c r="SA345" s="185"/>
      <c r="SB345" s="185"/>
      <c r="SC345" s="185"/>
      <c r="SD345" s="185"/>
      <c r="SE345" s="185"/>
      <c r="SF345" s="185"/>
      <c r="SG345" s="185"/>
      <c r="SH345" s="185"/>
      <c r="SI345" s="185"/>
      <c r="SJ345" s="185"/>
      <c r="SK345" s="185"/>
      <c r="SL345" s="185"/>
      <c r="SM345" s="185"/>
      <c r="SN345" s="185"/>
      <c r="SO345" s="185"/>
      <c r="SP345" s="185"/>
      <c r="SQ345" s="185"/>
      <c r="SR345" s="185"/>
      <c r="SS345" s="185"/>
      <c r="ST345" s="185"/>
      <c r="SU345" s="185"/>
      <c r="SV345" s="185"/>
      <c r="SW345" s="185"/>
      <c r="SX345" s="185"/>
      <c r="SY345" s="185"/>
      <c r="SZ345" s="185"/>
      <c r="TA345" s="185"/>
      <c r="TB345" s="185"/>
      <c r="TC345" s="185"/>
      <c r="TD345" s="185"/>
      <c r="TE345" s="185"/>
      <c r="TF345" s="185"/>
      <c r="TG345" s="185"/>
      <c r="TH345" s="185"/>
      <c r="TI345" s="185"/>
      <c r="TJ345" s="185"/>
      <c r="TK345" s="185"/>
      <c r="TL345" s="185"/>
      <c r="TM345" s="185"/>
      <c r="TN345" s="185"/>
      <c r="TO345" s="185"/>
      <c r="TP345" s="185"/>
      <c r="TQ345" s="185"/>
      <c r="TR345" s="185"/>
      <c r="TS345" s="185"/>
      <c r="TT345" s="185"/>
      <c r="TU345" s="185"/>
      <c r="TV345" s="185"/>
      <c r="TW345" s="185"/>
      <c r="TX345" s="185"/>
      <c r="TY345" s="185"/>
      <c r="TZ345" s="185"/>
      <c r="UA345" s="185"/>
      <c r="UB345" s="185"/>
      <c r="UC345" s="185"/>
      <c r="UD345" s="185"/>
      <c r="UE345" s="185"/>
      <c r="UF345" s="185"/>
      <c r="UG345" s="186"/>
    </row>
    <row r="346" spans="1:553" s="1262" customFormat="1" ht="29.25" customHeight="1">
      <c r="A346" s="1226"/>
      <c r="B346" s="411"/>
      <c r="C346" s="1423" t="s">
        <v>815</v>
      </c>
      <c r="D346" s="1423"/>
      <c r="E346" s="1423"/>
      <c r="F346" s="1423"/>
      <c r="G346" s="303" t="s">
        <v>196</v>
      </c>
      <c r="H346" s="412"/>
      <c r="I346" s="423">
        <f>(161.02*100/400)*(12-(6-3))*2</f>
        <v>724.59</v>
      </c>
      <c r="J346" s="1243">
        <v>10600</v>
      </c>
      <c r="K346" s="656">
        <v>0.7</v>
      </c>
      <c r="L346" s="573">
        <f>ROUND(PRODUCT(I346:K346),0)</f>
        <v>5376458</v>
      </c>
      <c r="M346" s="366"/>
      <c r="N346" s="366"/>
      <c r="O346" s="366"/>
      <c r="P346" s="366"/>
      <c r="Q346" s="1135"/>
      <c r="R346" s="1228"/>
      <c r="S346" s="308"/>
      <c r="T346" s="303"/>
      <c r="U346" s="306"/>
      <c r="V346" s="307"/>
      <c r="W346" s="306"/>
      <c r="X346" s="306"/>
      <c r="Y346" s="306"/>
      <c r="Z346" s="306"/>
      <c r="AA346" s="306"/>
      <c r="AB346" s="306"/>
      <c r="AC346" s="456"/>
      <c r="AD346" s="452"/>
      <c r="AE346" s="452"/>
      <c r="AF346" s="452"/>
      <c r="AG346" s="452"/>
      <c r="AH346" s="452"/>
      <c r="AI346" s="452"/>
      <c r="AJ346" s="452"/>
      <c r="AK346" s="452"/>
      <c r="AL346" s="1259"/>
      <c r="AM346" s="1259"/>
      <c r="AN346" s="1259"/>
      <c r="AO346" s="1259"/>
      <c r="AP346" s="1259"/>
      <c r="AQ346" s="1259"/>
      <c r="AR346" s="1259"/>
      <c r="AS346" s="1259"/>
      <c r="AT346" s="1259"/>
      <c r="AU346" s="1259"/>
      <c r="AV346" s="1259"/>
      <c r="AW346" s="1259"/>
      <c r="AX346" s="1259"/>
      <c r="AY346" s="1259"/>
      <c r="AZ346" s="1259"/>
      <c r="BA346" s="1259"/>
      <c r="BB346" s="1259"/>
      <c r="BC346" s="1259"/>
      <c r="BD346" s="1259"/>
      <c r="BE346" s="1259"/>
      <c r="BF346" s="1259"/>
      <c r="BG346" s="1259"/>
      <c r="BH346" s="1259"/>
      <c r="BI346" s="1259"/>
      <c r="BJ346" s="1259"/>
      <c r="BK346" s="1259"/>
      <c r="BL346" s="1259"/>
      <c r="BM346" s="1259"/>
      <c r="BN346" s="1259"/>
      <c r="BO346" s="1259"/>
      <c r="BP346" s="1259"/>
      <c r="BQ346" s="1259"/>
      <c r="BR346" s="1259"/>
      <c r="BS346" s="1259"/>
      <c r="BT346" s="1259"/>
      <c r="BU346" s="1259"/>
      <c r="BV346" s="1259"/>
      <c r="BW346" s="1259"/>
      <c r="BX346" s="1259"/>
      <c r="BY346" s="1259"/>
      <c r="BZ346" s="1259"/>
      <c r="CA346" s="1259"/>
      <c r="CB346" s="1259"/>
      <c r="CC346" s="1259"/>
      <c r="CD346" s="1259"/>
      <c r="CE346" s="1259"/>
      <c r="CF346" s="1259"/>
      <c r="CG346" s="1259"/>
      <c r="CH346" s="1259"/>
      <c r="CI346" s="1259"/>
      <c r="CJ346" s="1259"/>
      <c r="CK346" s="1259"/>
      <c r="CL346" s="1259"/>
      <c r="CM346" s="1259"/>
      <c r="CN346" s="1259"/>
      <c r="CO346" s="1259"/>
      <c r="CP346" s="1259"/>
      <c r="CQ346" s="1259"/>
      <c r="CR346" s="1259"/>
      <c r="CS346" s="1259"/>
      <c r="CT346" s="1259"/>
      <c r="CU346" s="1259"/>
      <c r="CV346" s="1259"/>
      <c r="CW346" s="1259"/>
      <c r="CX346" s="1259"/>
      <c r="CY346" s="1259"/>
      <c r="CZ346" s="1259"/>
      <c r="DA346" s="1259"/>
      <c r="DB346" s="1259"/>
      <c r="DC346" s="1259"/>
      <c r="DD346" s="1259"/>
      <c r="DE346" s="1259"/>
      <c r="DF346" s="1259"/>
      <c r="DG346" s="1259"/>
      <c r="DH346" s="1259"/>
      <c r="DI346" s="1259"/>
      <c r="DJ346" s="1259"/>
      <c r="DK346" s="1259"/>
      <c r="DL346" s="1259"/>
      <c r="DM346" s="1259"/>
      <c r="DN346" s="1259"/>
      <c r="DO346" s="1259"/>
      <c r="DP346" s="1259"/>
      <c r="DQ346" s="1259"/>
      <c r="DR346" s="1259"/>
      <c r="DS346" s="1259"/>
      <c r="DT346" s="1259"/>
      <c r="DU346" s="1259"/>
      <c r="DV346" s="1259"/>
      <c r="DW346" s="1259"/>
      <c r="DX346" s="1259"/>
      <c r="DY346" s="1259"/>
      <c r="DZ346" s="1259"/>
      <c r="EA346" s="1259"/>
      <c r="EB346" s="1259"/>
      <c r="EC346" s="1259"/>
      <c r="ED346" s="1259"/>
      <c r="EE346" s="1259"/>
      <c r="EF346" s="1259"/>
      <c r="EG346" s="1259"/>
      <c r="EH346" s="1259"/>
      <c r="EI346" s="1259"/>
      <c r="EJ346" s="1259"/>
      <c r="EK346" s="1259"/>
      <c r="EL346" s="1259"/>
      <c r="EM346" s="1259"/>
      <c r="EN346" s="1259"/>
      <c r="EO346" s="1259"/>
      <c r="EP346" s="1259"/>
      <c r="EQ346" s="1259"/>
      <c r="ER346" s="1259"/>
      <c r="ES346" s="1259"/>
      <c r="ET346" s="1259"/>
      <c r="EU346" s="1259"/>
      <c r="EV346" s="1259"/>
      <c r="EW346" s="1259"/>
      <c r="EX346" s="1259"/>
      <c r="EY346" s="1259"/>
      <c r="EZ346" s="1259"/>
      <c r="FA346" s="1259"/>
      <c r="FB346" s="1259"/>
      <c r="FC346" s="1259"/>
      <c r="FD346" s="1259"/>
      <c r="FE346" s="1259"/>
      <c r="FF346" s="1259"/>
      <c r="FG346" s="1259"/>
      <c r="FH346" s="1259"/>
      <c r="FI346" s="1259"/>
      <c r="FJ346" s="1259"/>
      <c r="FK346" s="1259"/>
      <c r="FL346" s="1259"/>
      <c r="FM346" s="1259"/>
      <c r="FN346" s="1259"/>
      <c r="FO346" s="1259"/>
      <c r="FP346" s="1259"/>
      <c r="FQ346" s="1259"/>
      <c r="FR346" s="1259"/>
      <c r="FS346" s="1259"/>
      <c r="FT346" s="1259"/>
      <c r="FU346" s="1259"/>
      <c r="FV346" s="1259"/>
      <c r="FW346" s="1259"/>
      <c r="FX346" s="1259"/>
      <c r="FY346" s="1259"/>
      <c r="FZ346" s="1259"/>
      <c r="GA346" s="1259"/>
      <c r="GB346" s="1259"/>
      <c r="GC346" s="1259"/>
      <c r="GD346" s="1259"/>
      <c r="GE346" s="1259"/>
      <c r="GF346" s="1259"/>
      <c r="GG346" s="1259"/>
      <c r="GH346" s="1259"/>
      <c r="GI346" s="1259"/>
      <c r="GJ346" s="1259"/>
      <c r="GK346" s="1259"/>
      <c r="GL346" s="1259"/>
      <c r="GM346" s="1259"/>
      <c r="GN346" s="1259"/>
      <c r="GO346" s="1259"/>
      <c r="GP346" s="1259"/>
      <c r="GQ346" s="1259"/>
      <c r="GR346" s="1259"/>
      <c r="GS346" s="1259"/>
      <c r="GT346" s="1259"/>
      <c r="GU346" s="1259"/>
      <c r="GV346" s="1259"/>
      <c r="GW346" s="1259"/>
      <c r="GX346" s="1259"/>
      <c r="GY346" s="1259"/>
      <c r="GZ346" s="1259"/>
      <c r="HA346" s="1259"/>
      <c r="HB346" s="1259"/>
      <c r="HC346" s="1259"/>
      <c r="HD346" s="1259"/>
      <c r="HE346" s="1259"/>
      <c r="HF346" s="1259"/>
      <c r="HG346" s="1259"/>
      <c r="HH346" s="1259"/>
      <c r="HI346" s="1259"/>
      <c r="HJ346" s="1259"/>
      <c r="HK346" s="1259"/>
      <c r="HL346" s="1259"/>
      <c r="HM346" s="1259"/>
      <c r="HN346" s="1259"/>
      <c r="HO346" s="1259"/>
      <c r="HP346" s="1259"/>
      <c r="HQ346" s="1259"/>
      <c r="HR346" s="1259"/>
      <c r="HS346" s="1259"/>
      <c r="HT346" s="1259"/>
      <c r="HU346" s="1259"/>
      <c r="HV346" s="1259"/>
      <c r="HW346" s="1259"/>
      <c r="HX346" s="1259"/>
      <c r="HY346" s="1259"/>
      <c r="HZ346" s="1259"/>
      <c r="IA346" s="1259"/>
      <c r="IB346" s="1259"/>
      <c r="IC346" s="1259"/>
      <c r="ID346" s="1259"/>
      <c r="IE346" s="1259"/>
      <c r="IF346" s="1259"/>
      <c r="IG346" s="1259"/>
      <c r="IH346" s="1259"/>
      <c r="II346" s="1259"/>
      <c r="IJ346" s="1259"/>
      <c r="IK346" s="1259"/>
      <c r="IL346" s="1259"/>
      <c r="IM346" s="1259"/>
      <c r="IN346" s="1259"/>
      <c r="IO346" s="1259"/>
      <c r="IP346" s="1259"/>
      <c r="IQ346" s="1259"/>
      <c r="IR346" s="1259"/>
      <c r="IS346" s="1259"/>
      <c r="IT346" s="1259"/>
      <c r="IU346" s="1259"/>
      <c r="IV346" s="1259"/>
      <c r="IW346" s="1259"/>
      <c r="IX346" s="1259"/>
      <c r="IY346" s="1259"/>
      <c r="IZ346" s="1259"/>
      <c r="JA346" s="1259"/>
      <c r="JB346" s="1259"/>
      <c r="JC346" s="1259"/>
      <c r="JD346" s="1259"/>
      <c r="JE346" s="1259"/>
      <c r="JF346" s="1259"/>
      <c r="JG346" s="1259"/>
      <c r="JH346" s="1259"/>
      <c r="JI346" s="1259"/>
      <c r="JJ346" s="1259"/>
      <c r="JK346" s="1259"/>
      <c r="JL346" s="1259"/>
      <c r="JM346" s="1259"/>
      <c r="JN346" s="1259"/>
      <c r="JO346" s="1259"/>
      <c r="JP346" s="1259"/>
      <c r="JQ346" s="1259"/>
      <c r="JR346" s="1259"/>
      <c r="JS346" s="1259"/>
      <c r="JT346" s="1259"/>
      <c r="JU346" s="1259"/>
      <c r="JV346" s="1259"/>
      <c r="JW346" s="1259"/>
      <c r="JX346" s="1259"/>
      <c r="JY346" s="1259"/>
      <c r="JZ346" s="1259"/>
      <c r="KA346" s="1259"/>
      <c r="KB346" s="1259"/>
      <c r="KC346" s="1259"/>
      <c r="KD346" s="1259"/>
      <c r="KE346" s="1259"/>
      <c r="KF346" s="1259"/>
      <c r="KG346" s="1259"/>
      <c r="KH346" s="1259"/>
      <c r="KI346" s="1259"/>
      <c r="KJ346" s="1259"/>
      <c r="KK346" s="1259"/>
      <c r="KL346" s="1259"/>
      <c r="KM346" s="1259"/>
      <c r="KN346" s="1259"/>
      <c r="KO346" s="1259"/>
      <c r="KP346" s="1259"/>
      <c r="KQ346" s="1259"/>
      <c r="KR346" s="1259"/>
      <c r="KS346" s="1259"/>
      <c r="KT346" s="1259"/>
      <c r="KU346" s="1259"/>
      <c r="KV346" s="1259"/>
      <c r="KW346" s="1259"/>
      <c r="KX346" s="1259"/>
      <c r="KY346" s="1259"/>
      <c r="KZ346" s="1259"/>
      <c r="LA346" s="1259"/>
      <c r="LB346" s="1259"/>
      <c r="LC346" s="1259"/>
      <c r="LD346" s="1259"/>
      <c r="LE346" s="1259"/>
      <c r="LF346" s="1259"/>
      <c r="LG346" s="1259"/>
      <c r="LH346" s="1259"/>
      <c r="LI346" s="1259"/>
      <c r="LJ346" s="1259"/>
      <c r="LK346" s="1259"/>
      <c r="LL346" s="1259"/>
      <c r="LM346" s="1259"/>
      <c r="LN346" s="1259"/>
      <c r="LO346" s="1259"/>
      <c r="LP346" s="1259"/>
      <c r="LQ346" s="1259"/>
      <c r="LR346" s="1259"/>
      <c r="LS346" s="1259"/>
      <c r="LT346" s="1259"/>
      <c r="LU346" s="1259"/>
      <c r="LV346" s="1259"/>
      <c r="LW346" s="1259"/>
      <c r="LX346" s="1259"/>
      <c r="LY346" s="1259"/>
      <c r="LZ346" s="1259"/>
      <c r="MA346" s="1259"/>
      <c r="MB346" s="1259"/>
      <c r="MC346" s="1259"/>
      <c r="MD346" s="1259"/>
      <c r="ME346" s="1259"/>
      <c r="MF346" s="1259"/>
      <c r="MG346" s="1259"/>
      <c r="MH346" s="1259"/>
      <c r="MI346" s="1259"/>
      <c r="MJ346" s="1259"/>
      <c r="MK346" s="1259"/>
      <c r="ML346" s="1259"/>
      <c r="MM346" s="1259"/>
      <c r="MN346" s="1259"/>
      <c r="MO346" s="1259"/>
      <c r="MP346" s="1259"/>
      <c r="MQ346" s="1259"/>
      <c r="MR346" s="1259"/>
      <c r="MS346" s="1259"/>
      <c r="MT346" s="1259"/>
      <c r="MU346" s="1259"/>
      <c r="MV346" s="1259"/>
      <c r="MW346" s="1259"/>
      <c r="MX346" s="1259"/>
      <c r="MY346" s="1259"/>
      <c r="MZ346" s="1259"/>
      <c r="NA346" s="1259"/>
      <c r="NB346" s="1259"/>
      <c r="NC346" s="1259"/>
      <c r="ND346" s="1259"/>
      <c r="NE346" s="1259"/>
      <c r="NF346" s="1259"/>
      <c r="NG346" s="1259"/>
      <c r="NH346" s="1259"/>
      <c r="NI346" s="1259"/>
      <c r="NJ346" s="1259"/>
      <c r="NK346" s="1259"/>
      <c r="NL346" s="1259"/>
      <c r="NM346" s="1259"/>
      <c r="NN346" s="1259"/>
      <c r="NO346" s="1259"/>
      <c r="NP346" s="1259"/>
      <c r="NQ346" s="1259"/>
      <c r="NR346" s="1259"/>
      <c r="NS346" s="1259"/>
      <c r="NT346" s="1259"/>
      <c r="NU346" s="1259"/>
      <c r="NV346" s="1259"/>
      <c r="NW346" s="1259"/>
      <c r="NX346" s="1259"/>
      <c r="NY346" s="1259"/>
      <c r="NZ346" s="1259"/>
      <c r="OA346" s="1259"/>
      <c r="OB346" s="1259"/>
      <c r="OC346" s="1259"/>
      <c r="OD346" s="1259"/>
      <c r="OE346" s="1259"/>
      <c r="OF346" s="1259"/>
      <c r="OG346" s="1259"/>
      <c r="OH346" s="1259"/>
      <c r="OI346" s="1259"/>
      <c r="OJ346" s="1259"/>
      <c r="OK346" s="1259"/>
      <c r="OL346" s="1259"/>
      <c r="OM346" s="1259"/>
      <c r="ON346" s="1259"/>
      <c r="OO346" s="1259"/>
      <c r="OP346" s="1259"/>
      <c r="OQ346" s="1259"/>
      <c r="OR346" s="1259"/>
      <c r="OS346" s="1259"/>
      <c r="OT346" s="1259"/>
      <c r="OU346" s="1259"/>
      <c r="OV346" s="1259"/>
      <c r="OW346" s="1259"/>
      <c r="OX346" s="1259"/>
      <c r="OY346" s="1259"/>
      <c r="OZ346" s="1259"/>
      <c r="PA346" s="1259"/>
      <c r="PB346" s="1259"/>
      <c r="PC346" s="1259"/>
      <c r="PD346" s="1259"/>
      <c r="PE346" s="1259"/>
      <c r="PF346" s="1259"/>
      <c r="PG346" s="1259"/>
      <c r="PH346" s="1259"/>
      <c r="PI346" s="1259"/>
      <c r="PJ346" s="1259"/>
      <c r="PK346" s="1259"/>
      <c r="PL346" s="1259"/>
      <c r="PM346" s="1259"/>
      <c r="PN346" s="1259"/>
      <c r="PO346" s="1259"/>
      <c r="PP346" s="1259"/>
      <c r="PQ346" s="1259"/>
      <c r="PR346" s="1259"/>
      <c r="PS346" s="1259"/>
      <c r="PT346" s="1259"/>
      <c r="PU346" s="1259"/>
      <c r="PV346" s="1259"/>
      <c r="PW346" s="1259"/>
      <c r="PX346" s="1259"/>
      <c r="PY346" s="1259"/>
      <c r="PZ346" s="1259"/>
      <c r="QA346" s="1259"/>
      <c r="QB346" s="1259"/>
      <c r="QC346" s="1259"/>
      <c r="QD346" s="1259"/>
      <c r="QE346" s="1259"/>
      <c r="QF346" s="1259"/>
      <c r="QG346" s="1259"/>
      <c r="QH346" s="1259"/>
      <c r="QI346" s="1259"/>
      <c r="QJ346" s="1259"/>
      <c r="QK346" s="1259"/>
      <c r="QL346" s="1259"/>
      <c r="QM346" s="1259"/>
      <c r="QN346" s="1259"/>
      <c r="QO346" s="1259"/>
      <c r="QP346" s="1259"/>
      <c r="QQ346" s="1259"/>
      <c r="QR346" s="1259"/>
      <c r="QS346" s="1259"/>
      <c r="QT346" s="1259"/>
      <c r="QU346" s="1259"/>
      <c r="QV346" s="1259"/>
      <c r="QW346" s="1259"/>
      <c r="QX346" s="1259"/>
      <c r="QY346" s="1259"/>
      <c r="QZ346" s="1259"/>
      <c r="RA346" s="1259"/>
      <c r="RB346" s="1259"/>
      <c r="RC346" s="1259"/>
      <c r="RD346" s="1259"/>
      <c r="RE346" s="1259"/>
      <c r="RF346" s="1259"/>
      <c r="RG346" s="1259"/>
      <c r="RH346" s="1259"/>
      <c r="RI346" s="1259"/>
      <c r="RJ346" s="1259"/>
      <c r="RK346" s="1259"/>
      <c r="RL346" s="1259"/>
      <c r="RM346" s="1259"/>
      <c r="RN346" s="1259"/>
      <c r="RO346" s="1259"/>
      <c r="RP346" s="1259"/>
      <c r="RQ346" s="1259"/>
      <c r="RR346" s="1259"/>
      <c r="RS346" s="1259"/>
      <c r="RT346" s="1259"/>
      <c r="RU346" s="1259"/>
      <c r="RV346" s="1259"/>
      <c r="RW346" s="1259"/>
      <c r="RX346" s="1259"/>
      <c r="RY346" s="1259"/>
      <c r="RZ346" s="1259"/>
      <c r="SA346" s="1259"/>
      <c r="SB346" s="1259"/>
      <c r="SC346" s="1259"/>
      <c r="SD346" s="1259"/>
      <c r="SE346" s="1259"/>
      <c r="SF346" s="1259"/>
      <c r="SG346" s="1259"/>
      <c r="SH346" s="1259"/>
      <c r="SI346" s="1259"/>
      <c r="SJ346" s="1259"/>
      <c r="SK346" s="1259"/>
      <c r="SL346" s="1259"/>
      <c r="SM346" s="1259"/>
      <c r="SN346" s="1259"/>
      <c r="SO346" s="1259"/>
      <c r="SP346" s="1259"/>
      <c r="SQ346" s="1259"/>
      <c r="SR346" s="1259"/>
      <c r="SS346" s="1259"/>
      <c r="ST346" s="1259"/>
      <c r="SU346" s="1259"/>
      <c r="SV346" s="1259"/>
      <c r="SW346" s="1259"/>
      <c r="SX346" s="1259"/>
      <c r="SY346" s="1259"/>
      <c r="SZ346" s="1259"/>
      <c r="TA346" s="1259"/>
      <c r="TB346" s="1259"/>
      <c r="TC346" s="1259"/>
      <c r="TD346" s="1259"/>
      <c r="TE346" s="1259"/>
      <c r="TF346" s="1259"/>
      <c r="TG346" s="1259"/>
      <c r="TH346" s="1259"/>
      <c r="TI346" s="1259"/>
      <c r="TJ346" s="1259"/>
      <c r="TK346" s="1259"/>
      <c r="TL346" s="1259"/>
      <c r="TM346" s="1259"/>
      <c r="TN346" s="1259"/>
      <c r="TO346" s="1259"/>
      <c r="TP346" s="1259"/>
      <c r="TQ346" s="1259"/>
      <c r="TR346" s="1259"/>
      <c r="TS346" s="1259"/>
      <c r="TT346" s="1259"/>
      <c r="TU346" s="1259"/>
      <c r="TV346" s="1259"/>
      <c r="TW346" s="1259"/>
      <c r="TX346" s="1259"/>
      <c r="TY346" s="1259"/>
      <c r="TZ346" s="1259"/>
      <c r="UA346" s="1259"/>
      <c r="UB346" s="1259"/>
      <c r="UC346" s="1259"/>
      <c r="UD346" s="1259"/>
      <c r="UE346" s="1259"/>
      <c r="UF346" s="1259"/>
      <c r="UG346" s="1261"/>
    </row>
    <row r="347" spans="1:553" s="1262" customFormat="1" ht="29.25" customHeight="1">
      <c r="A347" s="554"/>
      <c r="B347" s="555"/>
      <c r="C347" s="1424" t="s">
        <v>591</v>
      </c>
      <c r="D347" s="1425" t="s">
        <v>829</v>
      </c>
      <c r="E347" s="1425" t="s">
        <v>829</v>
      </c>
      <c r="F347" s="1426" t="s">
        <v>829</v>
      </c>
      <c r="G347" s="402" t="s">
        <v>46</v>
      </c>
      <c r="H347" s="556"/>
      <c r="I347" s="420">
        <f>(161.02*100/400)*(12-(4-3))*2</f>
        <v>885.61</v>
      </c>
      <c r="J347" s="985">
        <v>10600</v>
      </c>
      <c r="K347" s="1282">
        <v>0.7</v>
      </c>
      <c r="L347" s="1013">
        <f>ROUND(PRODUCT(I347:K347),0)</f>
        <v>6571226</v>
      </c>
      <c r="M347" s="366"/>
      <c r="N347" s="366"/>
      <c r="O347" s="366"/>
      <c r="P347" s="366"/>
      <c r="Q347" s="1135"/>
      <c r="R347" s="1228"/>
      <c r="S347" s="308"/>
      <c r="T347" s="303"/>
      <c r="U347" s="306"/>
      <c r="V347" s="307"/>
      <c r="W347" s="306"/>
      <c r="X347" s="306"/>
      <c r="Y347" s="306"/>
      <c r="Z347" s="306"/>
      <c r="AA347" s="306"/>
      <c r="AB347" s="306"/>
      <c r="AC347" s="456"/>
      <c r="AD347" s="452"/>
      <c r="AE347" s="452"/>
      <c r="AF347" s="452"/>
      <c r="AG347" s="452"/>
      <c r="AH347" s="452"/>
      <c r="AI347" s="452"/>
      <c r="AJ347" s="452"/>
      <c r="AK347" s="452"/>
      <c r="AL347" s="1259"/>
      <c r="AM347" s="1259"/>
      <c r="AN347" s="1259"/>
      <c r="AO347" s="1259"/>
      <c r="AP347" s="1259"/>
      <c r="AQ347" s="1259"/>
      <c r="AR347" s="1259"/>
      <c r="AS347" s="1259"/>
      <c r="AT347" s="1259"/>
      <c r="AU347" s="1259"/>
      <c r="AV347" s="1259"/>
      <c r="AW347" s="1259"/>
      <c r="AX347" s="1259"/>
      <c r="AY347" s="1259"/>
      <c r="AZ347" s="1259"/>
      <c r="BA347" s="1259"/>
      <c r="BB347" s="1259"/>
      <c r="BC347" s="1259"/>
      <c r="BD347" s="1259"/>
      <c r="BE347" s="1259"/>
      <c r="BF347" s="1259"/>
      <c r="BG347" s="1259"/>
      <c r="BH347" s="1259"/>
      <c r="BI347" s="1259"/>
      <c r="BJ347" s="1259"/>
      <c r="BK347" s="1259"/>
      <c r="BL347" s="1259"/>
      <c r="BM347" s="1259"/>
      <c r="BN347" s="1259"/>
      <c r="BO347" s="1259"/>
      <c r="BP347" s="1259"/>
      <c r="BQ347" s="1259"/>
      <c r="BR347" s="1259"/>
      <c r="BS347" s="1259"/>
      <c r="BT347" s="1259"/>
      <c r="BU347" s="1259"/>
      <c r="BV347" s="1259"/>
      <c r="BW347" s="1259"/>
      <c r="BX347" s="1259"/>
      <c r="BY347" s="1259"/>
      <c r="BZ347" s="1259"/>
      <c r="CA347" s="1259"/>
      <c r="CB347" s="1259"/>
      <c r="CC347" s="1259"/>
      <c r="CD347" s="1259"/>
      <c r="CE347" s="1259"/>
      <c r="CF347" s="1259"/>
      <c r="CG347" s="1259"/>
      <c r="CH347" s="1259"/>
      <c r="CI347" s="1259"/>
      <c r="CJ347" s="1259"/>
      <c r="CK347" s="1259"/>
      <c r="CL347" s="1259"/>
      <c r="CM347" s="1259"/>
      <c r="CN347" s="1259"/>
      <c r="CO347" s="1259"/>
      <c r="CP347" s="1259"/>
      <c r="CQ347" s="1259"/>
      <c r="CR347" s="1259"/>
      <c r="CS347" s="1259"/>
      <c r="CT347" s="1259"/>
      <c r="CU347" s="1259"/>
      <c r="CV347" s="1259"/>
      <c r="CW347" s="1259"/>
      <c r="CX347" s="1259"/>
      <c r="CY347" s="1259"/>
      <c r="CZ347" s="1259"/>
      <c r="DA347" s="1259"/>
      <c r="DB347" s="1259"/>
      <c r="DC347" s="1259"/>
      <c r="DD347" s="1259"/>
      <c r="DE347" s="1259"/>
      <c r="DF347" s="1259"/>
      <c r="DG347" s="1259"/>
      <c r="DH347" s="1259"/>
      <c r="DI347" s="1259"/>
      <c r="DJ347" s="1259"/>
      <c r="DK347" s="1259"/>
      <c r="DL347" s="1259"/>
      <c r="DM347" s="1259"/>
      <c r="DN347" s="1259"/>
      <c r="DO347" s="1259"/>
      <c r="DP347" s="1259"/>
      <c r="DQ347" s="1259"/>
      <c r="DR347" s="1259"/>
      <c r="DS347" s="1259"/>
      <c r="DT347" s="1259"/>
      <c r="DU347" s="1259"/>
      <c r="DV347" s="1259"/>
      <c r="DW347" s="1259"/>
      <c r="DX347" s="1259"/>
      <c r="DY347" s="1259"/>
      <c r="DZ347" s="1259"/>
      <c r="EA347" s="1259"/>
      <c r="EB347" s="1259"/>
      <c r="EC347" s="1259"/>
      <c r="ED347" s="1259"/>
      <c r="EE347" s="1259"/>
      <c r="EF347" s="1259"/>
      <c r="EG347" s="1259"/>
      <c r="EH347" s="1259"/>
      <c r="EI347" s="1259"/>
      <c r="EJ347" s="1259"/>
      <c r="EK347" s="1259"/>
      <c r="EL347" s="1259"/>
      <c r="EM347" s="1259"/>
      <c r="EN347" s="1259"/>
      <c r="EO347" s="1259"/>
      <c r="EP347" s="1259"/>
      <c r="EQ347" s="1259"/>
      <c r="ER347" s="1259"/>
      <c r="ES347" s="1259"/>
      <c r="ET347" s="1259"/>
      <c r="EU347" s="1259"/>
      <c r="EV347" s="1259"/>
      <c r="EW347" s="1259"/>
      <c r="EX347" s="1259"/>
      <c r="EY347" s="1259"/>
      <c r="EZ347" s="1259"/>
      <c r="FA347" s="1259"/>
      <c r="FB347" s="1259"/>
      <c r="FC347" s="1259"/>
      <c r="FD347" s="1259"/>
      <c r="FE347" s="1259"/>
      <c r="FF347" s="1259"/>
      <c r="FG347" s="1259"/>
      <c r="FH347" s="1259"/>
      <c r="FI347" s="1259"/>
      <c r="FJ347" s="1259"/>
      <c r="FK347" s="1259"/>
      <c r="FL347" s="1259"/>
      <c r="FM347" s="1259"/>
      <c r="FN347" s="1259"/>
      <c r="FO347" s="1259"/>
      <c r="FP347" s="1259"/>
      <c r="FQ347" s="1259"/>
      <c r="FR347" s="1259"/>
      <c r="FS347" s="1259"/>
      <c r="FT347" s="1259"/>
      <c r="FU347" s="1259"/>
      <c r="FV347" s="1259"/>
      <c r="FW347" s="1259"/>
      <c r="FX347" s="1259"/>
      <c r="FY347" s="1259"/>
      <c r="FZ347" s="1259"/>
      <c r="GA347" s="1259"/>
      <c r="GB347" s="1259"/>
      <c r="GC347" s="1259"/>
      <c r="GD347" s="1259"/>
      <c r="GE347" s="1259"/>
      <c r="GF347" s="1259"/>
      <c r="GG347" s="1259"/>
      <c r="GH347" s="1259"/>
      <c r="GI347" s="1259"/>
      <c r="GJ347" s="1259"/>
      <c r="GK347" s="1259"/>
      <c r="GL347" s="1259"/>
      <c r="GM347" s="1259"/>
      <c r="GN347" s="1259"/>
      <c r="GO347" s="1259"/>
      <c r="GP347" s="1259"/>
      <c r="GQ347" s="1259"/>
      <c r="GR347" s="1259"/>
      <c r="GS347" s="1259"/>
      <c r="GT347" s="1259"/>
      <c r="GU347" s="1259"/>
      <c r="GV347" s="1259"/>
      <c r="GW347" s="1259"/>
      <c r="GX347" s="1259"/>
      <c r="GY347" s="1259"/>
      <c r="GZ347" s="1259"/>
      <c r="HA347" s="1259"/>
      <c r="HB347" s="1259"/>
      <c r="HC347" s="1259"/>
      <c r="HD347" s="1259"/>
      <c r="HE347" s="1259"/>
      <c r="HF347" s="1259"/>
      <c r="HG347" s="1259"/>
      <c r="HH347" s="1259"/>
      <c r="HI347" s="1259"/>
      <c r="HJ347" s="1259"/>
      <c r="HK347" s="1259"/>
      <c r="HL347" s="1259"/>
      <c r="HM347" s="1259"/>
      <c r="HN347" s="1259"/>
      <c r="HO347" s="1259"/>
      <c r="HP347" s="1259"/>
      <c r="HQ347" s="1259"/>
      <c r="HR347" s="1259"/>
      <c r="HS347" s="1259"/>
      <c r="HT347" s="1259"/>
      <c r="HU347" s="1259"/>
      <c r="HV347" s="1259"/>
      <c r="HW347" s="1259"/>
      <c r="HX347" s="1259"/>
      <c r="HY347" s="1259"/>
      <c r="HZ347" s="1259"/>
      <c r="IA347" s="1259"/>
      <c r="IB347" s="1259"/>
      <c r="IC347" s="1259"/>
      <c r="ID347" s="1259"/>
      <c r="IE347" s="1259"/>
      <c r="IF347" s="1259"/>
      <c r="IG347" s="1259"/>
      <c r="IH347" s="1259"/>
      <c r="II347" s="1259"/>
      <c r="IJ347" s="1259"/>
      <c r="IK347" s="1259"/>
      <c r="IL347" s="1259"/>
      <c r="IM347" s="1259"/>
      <c r="IN347" s="1259"/>
      <c r="IO347" s="1259"/>
      <c r="IP347" s="1259"/>
      <c r="IQ347" s="1259"/>
      <c r="IR347" s="1259"/>
      <c r="IS347" s="1259"/>
      <c r="IT347" s="1259"/>
      <c r="IU347" s="1259"/>
      <c r="IV347" s="1259"/>
      <c r="IW347" s="1259"/>
      <c r="IX347" s="1259"/>
      <c r="IY347" s="1259"/>
      <c r="IZ347" s="1259"/>
      <c r="JA347" s="1259"/>
      <c r="JB347" s="1259"/>
      <c r="JC347" s="1259"/>
      <c r="JD347" s="1259"/>
      <c r="JE347" s="1259"/>
      <c r="JF347" s="1259"/>
      <c r="JG347" s="1259"/>
      <c r="JH347" s="1259"/>
      <c r="JI347" s="1259"/>
      <c r="JJ347" s="1259"/>
      <c r="JK347" s="1259"/>
      <c r="JL347" s="1259"/>
      <c r="JM347" s="1259"/>
      <c r="JN347" s="1259"/>
      <c r="JO347" s="1259"/>
      <c r="JP347" s="1259"/>
      <c r="JQ347" s="1259"/>
      <c r="JR347" s="1259"/>
      <c r="JS347" s="1259"/>
      <c r="JT347" s="1259"/>
      <c r="JU347" s="1259"/>
      <c r="JV347" s="1259"/>
      <c r="JW347" s="1259"/>
      <c r="JX347" s="1259"/>
      <c r="JY347" s="1259"/>
      <c r="JZ347" s="1259"/>
      <c r="KA347" s="1259"/>
      <c r="KB347" s="1259"/>
      <c r="KC347" s="1259"/>
      <c r="KD347" s="1259"/>
      <c r="KE347" s="1259"/>
      <c r="KF347" s="1259"/>
      <c r="KG347" s="1259"/>
      <c r="KH347" s="1259"/>
      <c r="KI347" s="1259"/>
      <c r="KJ347" s="1259"/>
      <c r="KK347" s="1259"/>
      <c r="KL347" s="1259"/>
      <c r="KM347" s="1259"/>
      <c r="KN347" s="1259"/>
      <c r="KO347" s="1259"/>
      <c r="KP347" s="1259"/>
      <c r="KQ347" s="1259"/>
      <c r="KR347" s="1259"/>
      <c r="KS347" s="1259"/>
      <c r="KT347" s="1259"/>
      <c r="KU347" s="1259"/>
      <c r="KV347" s="1259"/>
      <c r="KW347" s="1259"/>
      <c r="KX347" s="1259"/>
      <c r="KY347" s="1259"/>
      <c r="KZ347" s="1259"/>
      <c r="LA347" s="1259"/>
      <c r="LB347" s="1259"/>
      <c r="LC347" s="1259"/>
      <c r="LD347" s="1259"/>
      <c r="LE347" s="1259"/>
      <c r="LF347" s="1259"/>
      <c r="LG347" s="1259"/>
      <c r="LH347" s="1259"/>
      <c r="LI347" s="1259"/>
      <c r="LJ347" s="1259"/>
      <c r="LK347" s="1259"/>
      <c r="LL347" s="1259"/>
      <c r="LM347" s="1259"/>
      <c r="LN347" s="1259"/>
      <c r="LO347" s="1259"/>
      <c r="LP347" s="1259"/>
      <c r="LQ347" s="1259"/>
      <c r="LR347" s="1259"/>
      <c r="LS347" s="1259"/>
      <c r="LT347" s="1259"/>
      <c r="LU347" s="1259"/>
      <c r="LV347" s="1259"/>
      <c r="LW347" s="1259"/>
      <c r="LX347" s="1259"/>
      <c r="LY347" s="1259"/>
      <c r="LZ347" s="1259"/>
      <c r="MA347" s="1259"/>
      <c r="MB347" s="1259"/>
      <c r="MC347" s="1259"/>
      <c r="MD347" s="1259"/>
      <c r="ME347" s="1259"/>
      <c r="MF347" s="1259"/>
      <c r="MG347" s="1259"/>
      <c r="MH347" s="1259"/>
      <c r="MI347" s="1259"/>
      <c r="MJ347" s="1259"/>
      <c r="MK347" s="1259"/>
      <c r="ML347" s="1259"/>
      <c r="MM347" s="1259"/>
      <c r="MN347" s="1259"/>
      <c r="MO347" s="1259"/>
      <c r="MP347" s="1259"/>
      <c r="MQ347" s="1259"/>
      <c r="MR347" s="1259"/>
      <c r="MS347" s="1259"/>
      <c r="MT347" s="1259"/>
      <c r="MU347" s="1259"/>
      <c r="MV347" s="1259"/>
      <c r="MW347" s="1259"/>
      <c r="MX347" s="1259"/>
      <c r="MY347" s="1259"/>
      <c r="MZ347" s="1259"/>
      <c r="NA347" s="1259"/>
      <c r="NB347" s="1259"/>
      <c r="NC347" s="1259"/>
      <c r="ND347" s="1259"/>
      <c r="NE347" s="1259"/>
      <c r="NF347" s="1259"/>
      <c r="NG347" s="1259"/>
      <c r="NH347" s="1259"/>
      <c r="NI347" s="1259"/>
      <c r="NJ347" s="1259"/>
      <c r="NK347" s="1259"/>
      <c r="NL347" s="1259"/>
      <c r="NM347" s="1259"/>
      <c r="NN347" s="1259"/>
      <c r="NO347" s="1259"/>
      <c r="NP347" s="1259"/>
      <c r="NQ347" s="1259"/>
      <c r="NR347" s="1259"/>
      <c r="NS347" s="1259"/>
      <c r="NT347" s="1259"/>
      <c r="NU347" s="1259"/>
      <c r="NV347" s="1259"/>
      <c r="NW347" s="1259"/>
      <c r="NX347" s="1259"/>
      <c r="NY347" s="1259"/>
      <c r="NZ347" s="1259"/>
      <c r="OA347" s="1259"/>
      <c r="OB347" s="1259"/>
      <c r="OC347" s="1259"/>
      <c r="OD347" s="1259"/>
      <c r="OE347" s="1259"/>
      <c r="OF347" s="1259"/>
      <c r="OG347" s="1259"/>
      <c r="OH347" s="1259"/>
      <c r="OI347" s="1259"/>
      <c r="OJ347" s="1259"/>
      <c r="OK347" s="1259"/>
      <c r="OL347" s="1259"/>
      <c r="OM347" s="1259"/>
      <c r="ON347" s="1259"/>
      <c r="OO347" s="1259"/>
      <c r="OP347" s="1259"/>
      <c r="OQ347" s="1259"/>
      <c r="OR347" s="1259"/>
      <c r="OS347" s="1259"/>
      <c r="OT347" s="1259"/>
      <c r="OU347" s="1259"/>
      <c r="OV347" s="1259"/>
      <c r="OW347" s="1259"/>
      <c r="OX347" s="1259"/>
      <c r="OY347" s="1259"/>
      <c r="OZ347" s="1259"/>
      <c r="PA347" s="1259"/>
      <c r="PB347" s="1259"/>
      <c r="PC347" s="1259"/>
      <c r="PD347" s="1259"/>
      <c r="PE347" s="1259"/>
      <c r="PF347" s="1259"/>
      <c r="PG347" s="1259"/>
      <c r="PH347" s="1259"/>
      <c r="PI347" s="1259"/>
      <c r="PJ347" s="1259"/>
      <c r="PK347" s="1259"/>
      <c r="PL347" s="1259"/>
      <c r="PM347" s="1259"/>
      <c r="PN347" s="1259"/>
      <c r="PO347" s="1259"/>
      <c r="PP347" s="1259"/>
      <c r="PQ347" s="1259"/>
      <c r="PR347" s="1259"/>
      <c r="PS347" s="1259"/>
      <c r="PT347" s="1259"/>
      <c r="PU347" s="1259"/>
      <c r="PV347" s="1259"/>
      <c r="PW347" s="1259"/>
      <c r="PX347" s="1259"/>
      <c r="PY347" s="1259"/>
      <c r="PZ347" s="1259"/>
      <c r="QA347" s="1259"/>
      <c r="QB347" s="1259"/>
      <c r="QC347" s="1259"/>
      <c r="QD347" s="1259"/>
      <c r="QE347" s="1259"/>
      <c r="QF347" s="1259"/>
      <c r="QG347" s="1259"/>
      <c r="QH347" s="1259"/>
      <c r="QI347" s="1259"/>
      <c r="QJ347" s="1259"/>
      <c r="QK347" s="1259"/>
      <c r="QL347" s="1259"/>
      <c r="QM347" s="1259"/>
      <c r="QN347" s="1259"/>
      <c r="QO347" s="1259"/>
      <c r="QP347" s="1259"/>
      <c r="QQ347" s="1259"/>
      <c r="QR347" s="1259"/>
      <c r="QS347" s="1259"/>
      <c r="QT347" s="1259"/>
      <c r="QU347" s="1259"/>
      <c r="QV347" s="1259"/>
      <c r="QW347" s="1259"/>
      <c r="QX347" s="1259"/>
      <c r="QY347" s="1259"/>
      <c r="QZ347" s="1259"/>
      <c r="RA347" s="1259"/>
      <c r="RB347" s="1259"/>
      <c r="RC347" s="1259"/>
      <c r="RD347" s="1259"/>
      <c r="RE347" s="1259"/>
      <c r="RF347" s="1259"/>
      <c r="RG347" s="1259"/>
      <c r="RH347" s="1259"/>
      <c r="RI347" s="1259"/>
      <c r="RJ347" s="1259"/>
      <c r="RK347" s="1259"/>
      <c r="RL347" s="1259"/>
      <c r="RM347" s="1259"/>
      <c r="RN347" s="1259"/>
      <c r="RO347" s="1259"/>
      <c r="RP347" s="1259"/>
      <c r="RQ347" s="1259"/>
      <c r="RR347" s="1259"/>
      <c r="RS347" s="1259"/>
      <c r="RT347" s="1259"/>
      <c r="RU347" s="1259"/>
      <c r="RV347" s="1259"/>
      <c r="RW347" s="1259"/>
      <c r="RX347" s="1259"/>
      <c r="RY347" s="1259"/>
      <c r="RZ347" s="1259"/>
      <c r="SA347" s="1259"/>
      <c r="SB347" s="1259"/>
      <c r="SC347" s="1259"/>
      <c r="SD347" s="1259"/>
      <c r="SE347" s="1259"/>
      <c r="SF347" s="1259"/>
      <c r="SG347" s="1259"/>
      <c r="SH347" s="1259"/>
      <c r="SI347" s="1259"/>
      <c r="SJ347" s="1259"/>
      <c r="SK347" s="1259"/>
      <c r="SL347" s="1259"/>
      <c r="SM347" s="1259"/>
      <c r="SN347" s="1259"/>
      <c r="SO347" s="1259"/>
      <c r="SP347" s="1259"/>
      <c r="SQ347" s="1259"/>
      <c r="SR347" s="1259"/>
      <c r="SS347" s="1259"/>
      <c r="ST347" s="1259"/>
      <c r="SU347" s="1259"/>
      <c r="SV347" s="1259"/>
      <c r="SW347" s="1259"/>
      <c r="SX347" s="1259"/>
      <c r="SY347" s="1259"/>
      <c r="SZ347" s="1259"/>
      <c r="TA347" s="1259"/>
      <c r="TB347" s="1259"/>
      <c r="TC347" s="1259"/>
      <c r="TD347" s="1259"/>
      <c r="TE347" s="1259"/>
      <c r="TF347" s="1259"/>
      <c r="TG347" s="1259"/>
      <c r="TH347" s="1259"/>
      <c r="TI347" s="1259"/>
      <c r="TJ347" s="1259"/>
      <c r="TK347" s="1259"/>
      <c r="TL347" s="1259"/>
      <c r="TM347" s="1259"/>
      <c r="TN347" s="1259"/>
      <c r="TO347" s="1259"/>
      <c r="TP347" s="1259"/>
      <c r="TQ347" s="1259"/>
      <c r="TR347" s="1259"/>
      <c r="TS347" s="1259"/>
      <c r="TT347" s="1259"/>
      <c r="TU347" s="1259"/>
      <c r="TV347" s="1259"/>
      <c r="TW347" s="1259"/>
      <c r="TX347" s="1259"/>
      <c r="TY347" s="1259"/>
      <c r="TZ347" s="1259"/>
      <c r="UA347" s="1259"/>
      <c r="UB347" s="1259"/>
      <c r="UC347" s="1259"/>
      <c r="UD347" s="1259"/>
      <c r="UE347" s="1259"/>
      <c r="UF347" s="1259"/>
      <c r="UG347" s="1261"/>
    </row>
    <row r="348" spans="1:553" s="1262" customFormat="1" ht="29.25" customHeight="1">
      <c r="A348" s="1226"/>
      <c r="B348" s="411"/>
      <c r="C348" s="1423" t="s">
        <v>454</v>
      </c>
      <c r="D348" s="1423" t="s">
        <v>823</v>
      </c>
      <c r="E348" s="1423" t="s">
        <v>823</v>
      </c>
      <c r="F348" s="1423" t="s">
        <v>823</v>
      </c>
      <c r="G348" s="1226" t="s">
        <v>193</v>
      </c>
      <c r="H348" s="412"/>
      <c r="I348" s="423">
        <v>1</v>
      </c>
      <c r="J348" s="557">
        <v>225800</v>
      </c>
      <c r="K348" s="558">
        <v>0.7</v>
      </c>
      <c r="L348" s="679">
        <f>I348*J348*K348</f>
        <v>158060</v>
      </c>
      <c r="M348" s="366"/>
      <c r="N348" s="366"/>
      <c r="O348" s="366"/>
      <c r="P348" s="366"/>
      <c r="Q348" s="1135"/>
      <c r="R348" s="1228"/>
      <c r="S348" s="308"/>
      <c r="T348" s="303"/>
      <c r="U348" s="306"/>
      <c r="V348" s="307"/>
      <c r="W348" s="306"/>
      <c r="X348" s="306"/>
      <c r="Y348" s="306"/>
      <c r="Z348" s="306"/>
      <c r="AA348" s="306"/>
      <c r="AB348" s="306"/>
      <c r="AC348" s="456"/>
      <c r="AD348" s="452"/>
      <c r="AE348" s="452"/>
      <c r="AF348" s="452"/>
      <c r="AG348" s="452"/>
      <c r="AH348" s="452"/>
      <c r="AI348" s="452"/>
      <c r="AJ348" s="452"/>
      <c r="AK348" s="452"/>
      <c r="AL348" s="1259"/>
      <c r="AM348" s="1259"/>
      <c r="AN348" s="1259"/>
      <c r="AO348" s="1259"/>
      <c r="AP348" s="1259"/>
      <c r="AQ348" s="1259"/>
      <c r="AR348" s="1259"/>
      <c r="AS348" s="1259"/>
      <c r="AT348" s="1259"/>
      <c r="AU348" s="1259"/>
      <c r="AV348" s="1259"/>
      <c r="AW348" s="1259"/>
      <c r="AX348" s="1259"/>
      <c r="AY348" s="1259"/>
      <c r="AZ348" s="1259"/>
      <c r="BA348" s="1259"/>
      <c r="BB348" s="1259"/>
      <c r="BC348" s="1259"/>
      <c r="BD348" s="1259"/>
      <c r="BE348" s="1259"/>
      <c r="BF348" s="1259"/>
      <c r="BG348" s="1259"/>
      <c r="BH348" s="1259"/>
      <c r="BI348" s="1259"/>
      <c r="BJ348" s="1259"/>
      <c r="BK348" s="1259"/>
      <c r="BL348" s="1259"/>
      <c r="BM348" s="1259"/>
      <c r="BN348" s="1259"/>
      <c r="BO348" s="1259"/>
      <c r="BP348" s="1259"/>
      <c r="BQ348" s="1259"/>
      <c r="BR348" s="1259"/>
      <c r="BS348" s="1259"/>
      <c r="BT348" s="1259"/>
      <c r="BU348" s="1259"/>
      <c r="BV348" s="1259"/>
      <c r="BW348" s="1259"/>
      <c r="BX348" s="1259"/>
      <c r="BY348" s="1259"/>
      <c r="BZ348" s="1259"/>
      <c r="CA348" s="1259"/>
      <c r="CB348" s="1259"/>
      <c r="CC348" s="1259"/>
      <c r="CD348" s="1259"/>
      <c r="CE348" s="1259"/>
      <c r="CF348" s="1259"/>
      <c r="CG348" s="1259"/>
      <c r="CH348" s="1259"/>
      <c r="CI348" s="1259"/>
      <c r="CJ348" s="1259"/>
      <c r="CK348" s="1259"/>
      <c r="CL348" s="1259"/>
      <c r="CM348" s="1259"/>
      <c r="CN348" s="1259"/>
      <c r="CO348" s="1259"/>
      <c r="CP348" s="1259"/>
      <c r="CQ348" s="1259"/>
      <c r="CR348" s="1259"/>
      <c r="CS348" s="1259"/>
      <c r="CT348" s="1259"/>
      <c r="CU348" s="1259"/>
      <c r="CV348" s="1259"/>
      <c r="CW348" s="1259"/>
      <c r="CX348" s="1259"/>
      <c r="CY348" s="1259"/>
      <c r="CZ348" s="1259"/>
      <c r="DA348" s="1259"/>
      <c r="DB348" s="1259"/>
      <c r="DC348" s="1259"/>
      <c r="DD348" s="1259"/>
      <c r="DE348" s="1259"/>
      <c r="DF348" s="1259"/>
      <c r="DG348" s="1259"/>
      <c r="DH348" s="1259"/>
      <c r="DI348" s="1259"/>
      <c r="DJ348" s="1259"/>
      <c r="DK348" s="1259"/>
      <c r="DL348" s="1259"/>
      <c r="DM348" s="1259"/>
      <c r="DN348" s="1259"/>
      <c r="DO348" s="1259"/>
      <c r="DP348" s="1259"/>
      <c r="DQ348" s="1259"/>
      <c r="DR348" s="1259"/>
      <c r="DS348" s="1259"/>
      <c r="DT348" s="1259"/>
      <c r="DU348" s="1259"/>
      <c r="DV348" s="1259"/>
      <c r="DW348" s="1259"/>
      <c r="DX348" s="1259"/>
      <c r="DY348" s="1259"/>
      <c r="DZ348" s="1259"/>
      <c r="EA348" s="1259"/>
      <c r="EB348" s="1259"/>
      <c r="EC348" s="1259"/>
      <c r="ED348" s="1259"/>
      <c r="EE348" s="1259"/>
      <c r="EF348" s="1259"/>
      <c r="EG348" s="1259"/>
      <c r="EH348" s="1259"/>
      <c r="EI348" s="1259"/>
      <c r="EJ348" s="1259"/>
      <c r="EK348" s="1259"/>
      <c r="EL348" s="1259"/>
      <c r="EM348" s="1259"/>
      <c r="EN348" s="1259"/>
      <c r="EO348" s="1259"/>
      <c r="EP348" s="1259"/>
      <c r="EQ348" s="1259"/>
      <c r="ER348" s="1259"/>
      <c r="ES348" s="1259"/>
      <c r="ET348" s="1259"/>
      <c r="EU348" s="1259"/>
      <c r="EV348" s="1259"/>
      <c r="EW348" s="1259"/>
      <c r="EX348" s="1259"/>
      <c r="EY348" s="1259"/>
      <c r="EZ348" s="1259"/>
      <c r="FA348" s="1259"/>
      <c r="FB348" s="1259"/>
      <c r="FC348" s="1259"/>
      <c r="FD348" s="1259"/>
      <c r="FE348" s="1259"/>
      <c r="FF348" s="1259"/>
      <c r="FG348" s="1259"/>
      <c r="FH348" s="1259"/>
      <c r="FI348" s="1259"/>
      <c r="FJ348" s="1259"/>
      <c r="FK348" s="1259"/>
      <c r="FL348" s="1259"/>
      <c r="FM348" s="1259"/>
      <c r="FN348" s="1259"/>
      <c r="FO348" s="1259"/>
      <c r="FP348" s="1259"/>
      <c r="FQ348" s="1259"/>
      <c r="FR348" s="1259"/>
      <c r="FS348" s="1259"/>
      <c r="FT348" s="1259"/>
      <c r="FU348" s="1259"/>
      <c r="FV348" s="1259"/>
      <c r="FW348" s="1259"/>
      <c r="FX348" s="1259"/>
      <c r="FY348" s="1259"/>
      <c r="FZ348" s="1259"/>
      <c r="GA348" s="1259"/>
      <c r="GB348" s="1259"/>
      <c r="GC348" s="1259"/>
      <c r="GD348" s="1259"/>
      <c r="GE348" s="1259"/>
      <c r="GF348" s="1259"/>
      <c r="GG348" s="1259"/>
      <c r="GH348" s="1259"/>
      <c r="GI348" s="1259"/>
      <c r="GJ348" s="1259"/>
      <c r="GK348" s="1259"/>
      <c r="GL348" s="1259"/>
      <c r="GM348" s="1259"/>
      <c r="GN348" s="1259"/>
      <c r="GO348" s="1259"/>
      <c r="GP348" s="1259"/>
      <c r="GQ348" s="1259"/>
      <c r="GR348" s="1259"/>
      <c r="GS348" s="1259"/>
      <c r="GT348" s="1259"/>
      <c r="GU348" s="1259"/>
      <c r="GV348" s="1259"/>
      <c r="GW348" s="1259"/>
      <c r="GX348" s="1259"/>
      <c r="GY348" s="1259"/>
      <c r="GZ348" s="1259"/>
      <c r="HA348" s="1259"/>
      <c r="HB348" s="1259"/>
      <c r="HC348" s="1259"/>
      <c r="HD348" s="1259"/>
      <c r="HE348" s="1259"/>
      <c r="HF348" s="1259"/>
      <c r="HG348" s="1259"/>
      <c r="HH348" s="1259"/>
      <c r="HI348" s="1259"/>
      <c r="HJ348" s="1259"/>
      <c r="HK348" s="1259"/>
      <c r="HL348" s="1259"/>
      <c r="HM348" s="1259"/>
      <c r="HN348" s="1259"/>
      <c r="HO348" s="1259"/>
      <c r="HP348" s="1259"/>
      <c r="HQ348" s="1259"/>
      <c r="HR348" s="1259"/>
      <c r="HS348" s="1259"/>
      <c r="HT348" s="1259"/>
      <c r="HU348" s="1259"/>
      <c r="HV348" s="1259"/>
      <c r="HW348" s="1259"/>
      <c r="HX348" s="1259"/>
      <c r="HY348" s="1259"/>
      <c r="HZ348" s="1259"/>
      <c r="IA348" s="1259"/>
      <c r="IB348" s="1259"/>
      <c r="IC348" s="1259"/>
      <c r="ID348" s="1259"/>
      <c r="IE348" s="1259"/>
      <c r="IF348" s="1259"/>
      <c r="IG348" s="1259"/>
      <c r="IH348" s="1259"/>
      <c r="II348" s="1259"/>
      <c r="IJ348" s="1259"/>
      <c r="IK348" s="1259"/>
      <c r="IL348" s="1259"/>
      <c r="IM348" s="1259"/>
      <c r="IN348" s="1259"/>
      <c r="IO348" s="1259"/>
      <c r="IP348" s="1259"/>
      <c r="IQ348" s="1259"/>
      <c r="IR348" s="1259"/>
      <c r="IS348" s="1259"/>
      <c r="IT348" s="1259"/>
      <c r="IU348" s="1259"/>
      <c r="IV348" s="1259"/>
      <c r="IW348" s="1259"/>
      <c r="IX348" s="1259"/>
      <c r="IY348" s="1259"/>
      <c r="IZ348" s="1259"/>
      <c r="JA348" s="1259"/>
      <c r="JB348" s="1259"/>
      <c r="JC348" s="1259"/>
      <c r="JD348" s="1259"/>
      <c r="JE348" s="1259"/>
      <c r="JF348" s="1259"/>
      <c r="JG348" s="1259"/>
      <c r="JH348" s="1259"/>
      <c r="JI348" s="1259"/>
      <c r="JJ348" s="1259"/>
      <c r="JK348" s="1259"/>
      <c r="JL348" s="1259"/>
      <c r="JM348" s="1259"/>
      <c r="JN348" s="1259"/>
      <c r="JO348" s="1259"/>
      <c r="JP348" s="1259"/>
      <c r="JQ348" s="1259"/>
      <c r="JR348" s="1259"/>
      <c r="JS348" s="1259"/>
      <c r="JT348" s="1259"/>
      <c r="JU348" s="1259"/>
      <c r="JV348" s="1259"/>
      <c r="JW348" s="1259"/>
      <c r="JX348" s="1259"/>
      <c r="JY348" s="1259"/>
      <c r="JZ348" s="1259"/>
      <c r="KA348" s="1259"/>
      <c r="KB348" s="1259"/>
      <c r="KC348" s="1259"/>
      <c r="KD348" s="1259"/>
      <c r="KE348" s="1259"/>
      <c r="KF348" s="1259"/>
      <c r="KG348" s="1259"/>
      <c r="KH348" s="1259"/>
      <c r="KI348" s="1259"/>
      <c r="KJ348" s="1259"/>
      <c r="KK348" s="1259"/>
      <c r="KL348" s="1259"/>
      <c r="KM348" s="1259"/>
      <c r="KN348" s="1259"/>
      <c r="KO348" s="1259"/>
      <c r="KP348" s="1259"/>
      <c r="KQ348" s="1259"/>
      <c r="KR348" s="1259"/>
      <c r="KS348" s="1259"/>
      <c r="KT348" s="1259"/>
      <c r="KU348" s="1259"/>
      <c r="KV348" s="1259"/>
      <c r="KW348" s="1259"/>
      <c r="KX348" s="1259"/>
      <c r="KY348" s="1259"/>
      <c r="KZ348" s="1259"/>
      <c r="LA348" s="1259"/>
      <c r="LB348" s="1259"/>
      <c r="LC348" s="1259"/>
      <c r="LD348" s="1259"/>
      <c r="LE348" s="1259"/>
      <c r="LF348" s="1259"/>
      <c r="LG348" s="1259"/>
      <c r="LH348" s="1259"/>
      <c r="LI348" s="1259"/>
      <c r="LJ348" s="1259"/>
      <c r="LK348" s="1259"/>
      <c r="LL348" s="1259"/>
      <c r="LM348" s="1259"/>
      <c r="LN348" s="1259"/>
      <c r="LO348" s="1259"/>
      <c r="LP348" s="1259"/>
      <c r="LQ348" s="1259"/>
      <c r="LR348" s="1259"/>
      <c r="LS348" s="1259"/>
      <c r="LT348" s="1259"/>
      <c r="LU348" s="1259"/>
      <c r="LV348" s="1259"/>
      <c r="LW348" s="1259"/>
      <c r="LX348" s="1259"/>
      <c r="LY348" s="1259"/>
      <c r="LZ348" s="1259"/>
      <c r="MA348" s="1259"/>
      <c r="MB348" s="1259"/>
      <c r="MC348" s="1259"/>
      <c r="MD348" s="1259"/>
      <c r="ME348" s="1259"/>
      <c r="MF348" s="1259"/>
      <c r="MG348" s="1259"/>
      <c r="MH348" s="1259"/>
      <c r="MI348" s="1259"/>
      <c r="MJ348" s="1259"/>
      <c r="MK348" s="1259"/>
      <c r="ML348" s="1259"/>
      <c r="MM348" s="1259"/>
      <c r="MN348" s="1259"/>
      <c r="MO348" s="1259"/>
      <c r="MP348" s="1259"/>
      <c r="MQ348" s="1259"/>
      <c r="MR348" s="1259"/>
      <c r="MS348" s="1259"/>
      <c r="MT348" s="1259"/>
      <c r="MU348" s="1259"/>
      <c r="MV348" s="1259"/>
      <c r="MW348" s="1259"/>
      <c r="MX348" s="1259"/>
      <c r="MY348" s="1259"/>
      <c r="MZ348" s="1259"/>
      <c r="NA348" s="1259"/>
      <c r="NB348" s="1259"/>
      <c r="NC348" s="1259"/>
      <c r="ND348" s="1259"/>
      <c r="NE348" s="1259"/>
      <c r="NF348" s="1259"/>
      <c r="NG348" s="1259"/>
      <c r="NH348" s="1259"/>
      <c r="NI348" s="1259"/>
      <c r="NJ348" s="1259"/>
      <c r="NK348" s="1259"/>
      <c r="NL348" s="1259"/>
      <c r="NM348" s="1259"/>
      <c r="NN348" s="1259"/>
      <c r="NO348" s="1259"/>
      <c r="NP348" s="1259"/>
      <c r="NQ348" s="1259"/>
      <c r="NR348" s="1259"/>
      <c r="NS348" s="1259"/>
      <c r="NT348" s="1259"/>
      <c r="NU348" s="1259"/>
      <c r="NV348" s="1259"/>
      <c r="NW348" s="1259"/>
      <c r="NX348" s="1259"/>
      <c r="NY348" s="1259"/>
      <c r="NZ348" s="1259"/>
      <c r="OA348" s="1259"/>
      <c r="OB348" s="1259"/>
      <c r="OC348" s="1259"/>
      <c r="OD348" s="1259"/>
      <c r="OE348" s="1259"/>
      <c r="OF348" s="1259"/>
      <c r="OG348" s="1259"/>
      <c r="OH348" s="1259"/>
      <c r="OI348" s="1259"/>
      <c r="OJ348" s="1259"/>
      <c r="OK348" s="1259"/>
      <c r="OL348" s="1259"/>
      <c r="OM348" s="1259"/>
      <c r="ON348" s="1259"/>
      <c r="OO348" s="1259"/>
      <c r="OP348" s="1259"/>
      <c r="OQ348" s="1259"/>
      <c r="OR348" s="1259"/>
      <c r="OS348" s="1259"/>
      <c r="OT348" s="1259"/>
      <c r="OU348" s="1259"/>
      <c r="OV348" s="1259"/>
      <c r="OW348" s="1259"/>
      <c r="OX348" s="1259"/>
      <c r="OY348" s="1259"/>
      <c r="OZ348" s="1259"/>
      <c r="PA348" s="1259"/>
      <c r="PB348" s="1259"/>
      <c r="PC348" s="1259"/>
      <c r="PD348" s="1259"/>
      <c r="PE348" s="1259"/>
      <c r="PF348" s="1259"/>
      <c r="PG348" s="1259"/>
      <c r="PH348" s="1259"/>
      <c r="PI348" s="1259"/>
      <c r="PJ348" s="1259"/>
      <c r="PK348" s="1259"/>
      <c r="PL348" s="1259"/>
      <c r="PM348" s="1259"/>
      <c r="PN348" s="1259"/>
      <c r="PO348" s="1259"/>
      <c r="PP348" s="1259"/>
      <c r="PQ348" s="1259"/>
      <c r="PR348" s="1259"/>
      <c r="PS348" s="1259"/>
      <c r="PT348" s="1259"/>
      <c r="PU348" s="1259"/>
      <c r="PV348" s="1259"/>
      <c r="PW348" s="1259"/>
      <c r="PX348" s="1259"/>
      <c r="PY348" s="1259"/>
      <c r="PZ348" s="1259"/>
      <c r="QA348" s="1259"/>
      <c r="QB348" s="1259"/>
      <c r="QC348" s="1259"/>
      <c r="QD348" s="1259"/>
      <c r="QE348" s="1259"/>
      <c r="QF348" s="1259"/>
      <c r="QG348" s="1259"/>
      <c r="QH348" s="1259"/>
      <c r="QI348" s="1259"/>
      <c r="QJ348" s="1259"/>
      <c r="QK348" s="1259"/>
      <c r="QL348" s="1259"/>
      <c r="QM348" s="1259"/>
      <c r="QN348" s="1259"/>
      <c r="QO348" s="1259"/>
      <c r="QP348" s="1259"/>
      <c r="QQ348" s="1259"/>
      <c r="QR348" s="1259"/>
      <c r="QS348" s="1259"/>
      <c r="QT348" s="1259"/>
      <c r="QU348" s="1259"/>
      <c r="QV348" s="1259"/>
      <c r="QW348" s="1259"/>
      <c r="QX348" s="1259"/>
      <c r="QY348" s="1259"/>
      <c r="QZ348" s="1259"/>
      <c r="RA348" s="1259"/>
      <c r="RB348" s="1259"/>
      <c r="RC348" s="1259"/>
      <c r="RD348" s="1259"/>
      <c r="RE348" s="1259"/>
      <c r="RF348" s="1259"/>
      <c r="RG348" s="1259"/>
      <c r="RH348" s="1259"/>
      <c r="RI348" s="1259"/>
      <c r="RJ348" s="1259"/>
      <c r="RK348" s="1259"/>
      <c r="RL348" s="1259"/>
      <c r="RM348" s="1259"/>
      <c r="RN348" s="1259"/>
      <c r="RO348" s="1259"/>
      <c r="RP348" s="1259"/>
      <c r="RQ348" s="1259"/>
      <c r="RR348" s="1259"/>
      <c r="RS348" s="1259"/>
      <c r="RT348" s="1259"/>
      <c r="RU348" s="1259"/>
      <c r="RV348" s="1259"/>
      <c r="RW348" s="1259"/>
      <c r="RX348" s="1259"/>
      <c r="RY348" s="1259"/>
      <c r="RZ348" s="1259"/>
      <c r="SA348" s="1259"/>
      <c r="SB348" s="1259"/>
      <c r="SC348" s="1259"/>
      <c r="SD348" s="1259"/>
      <c r="SE348" s="1259"/>
      <c r="SF348" s="1259"/>
      <c r="SG348" s="1259"/>
      <c r="SH348" s="1259"/>
      <c r="SI348" s="1259"/>
      <c r="SJ348" s="1259"/>
      <c r="SK348" s="1259"/>
      <c r="SL348" s="1259"/>
      <c r="SM348" s="1259"/>
      <c r="SN348" s="1259"/>
      <c r="SO348" s="1259"/>
      <c r="SP348" s="1259"/>
      <c r="SQ348" s="1259"/>
      <c r="SR348" s="1259"/>
      <c r="SS348" s="1259"/>
      <c r="ST348" s="1259"/>
      <c r="SU348" s="1259"/>
      <c r="SV348" s="1259"/>
      <c r="SW348" s="1259"/>
      <c r="SX348" s="1259"/>
      <c r="SY348" s="1259"/>
      <c r="SZ348" s="1259"/>
      <c r="TA348" s="1259"/>
      <c r="TB348" s="1259"/>
      <c r="TC348" s="1259"/>
      <c r="TD348" s="1259"/>
      <c r="TE348" s="1259"/>
      <c r="TF348" s="1259"/>
      <c r="TG348" s="1259"/>
      <c r="TH348" s="1259"/>
      <c r="TI348" s="1259"/>
      <c r="TJ348" s="1259"/>
      <c r="TK348" s="1259"/>
      <c r="TL348" s="1259"/>
      <c r="TM348" s="1259"/>
      <c r="TN348" s="1259"/>
      <c r="TO348" s="1259"/>
      <c r="TP348" s="1259"/>
      <c r="TQ348" s="1259"/>
      <c r="TR348" s="1259"/>
      <c r="TS348" s="1259"/>
      <c r="TT348" s="1259"/>
      <c r="TU348" s="1259"/>
      <c r="TV348" s="1259"/>
      <c r="TW348" s="1259"/>
      <c r="TX348" s="1259"/>
      <c r="TY348" s="1259"/>
      <c r="TZ348" s="1259"/>
      <c r="UA348" s="1259"/>
      <c r="UB348" s="1259"/>
      <c r="UC348" s="1259"/>
      <c r="UD348" s="1259"/>
      <c r="UE348" s="1259"/>
      <c r="UF348" s="1259"/>
      <c r="UG348" s="1261"/>
    </row>
    <row r="349" spans="1:553" s="1262" customFormat="1" ht="29.25" customHeight="1">
      <c r="A349" s="415"/>
      <c r="B349" s="414"/>
      <c r="C349" s="1428" t="s">
        <v>812</v>
      </c>
      <c r="D349" s="1429" t="s">
        <v>1071</v>
      </c>
      <c r="E349" s="1429" t="s">
        <v>1071</v>
      </c>
      <c r="F349" s="1430" t="s">
        <v>1071</v>
      </c>
      <c r="G349" s="415" t="s">
        <v>196</v>
      </c>
      <c r="H349" s="416"/>
      <c r="I349" s="559">
        <f>(31.98*100/400)*(17-(5-3))*2</f>
        <v>239.85</v>
      </c>
      <c r="J349" s="512">
        <v>5800</v>
      </c>
      <c r="K349" s="560">
        <v>0.7</v>
      </c>
      <c r="L349" s="1012">
        <f>ROUND(PRODUCT(I349:K349),0)</f>
        <v>973791</v>
      </c>
      <c r="M349" s="366"/>
      <c r="N349" s="366"/>
      <c r="O349" s="366"/>
      <c r="P349" s="366"/>
      <c r="Q349" s="1135"/>
      <c r="R349" s="1228"/>
      <c r="S349" s="308"/>
      <c r="T349" s="303"/>
      <c r="U349" s="306"/>
      <c r="V349" s="307"/>
      <c r="W349" s="306"/>
      <c r="X349" s="306"/>
      <c r="Y349" s="306"/>
      <c r="Z349" s="306"/>
      <c r="AA349" s="306"/>
      <c r="AB349" s="306"/>
      <c r="AC349" s="456"/>
      <c r="AD349" s="452"/>
      <c r="AE349" s="452"/>
      <c r="AF349" s="452"/>
      <c r="AG349" s="452"/>
      <c r="AH349" s="452"/>
      <c r="AI349" s="452"/>
      <c r="AJ349" s="452"/>
      <c r="AK349" s="452"/>
      <c r="AL349" s="1259"/>
      <c r="AM349" s="1259"/>
      <c r="AN349" s="1259"/>
      <c r="AO349" s="1259"/>
      <c r="AP349" s="1259"/>
      <c r="AQ349" s="1259"/>
      <c r="AR349" s="1259"/>
      <c r="AS349" s="1259"/>
      <c r="AT349" s="1259"/>
      <c r="AU349" s="1259"/>
      <c r="AV349" s="1259"/>
      <c r="AW349" s="1259"/>
      <c r="AX349" s="1259"/>
      <c r="AY349" s="1259"/>
      <c r="AZ349" s="1259"/>
      <c r="BA349" s="1259"/>
      <c r="BB349" s="1259"/>
      <c r="BC349" s="1259"/>
      <c r="BD349" s="1259"/>
      <c r="BE349" s="1259"/>
      <c r="BF349" s="1259"/>
      <c r="BG349" s="1259"/>
      <c r="BH349" s="1259"/>
      <c r="BI349" s="1259"/>
      <c r="BJ349" s="1259"/>
      <c r="BK349" s="1259"/>
      <c r="BL349" s="1259"/>
      <c r="BM349" s="1259"/>
      <c r="BN349" s="1259"/>
      <c r="BO349" s="1259"/>
      <c r="BP349" s="1259"/>
      <c r="BQ349" s="1259"/>
      <c r="BR349" s="1259"/>
      <c r="BS349" s="1259"/>
      <c r="BT349" s="1259"/>
      <c r="BU349" s="1259"/>
      <c r="BV349" s="1259"/>
      <c r="BW349" s="1259"/>
      <c r="BX349" s="1259"/>
      <c r="BY349" s="1259"/>
      <c r="BZ349" s="1259"/>
      <c r="CA349" s="1259"/>
      <c r="CB349" s="1259"/>
      <c r="CC349" s="1259"/>
      <c r="CD349" s="1259"/>
      <c r="CE349" s="1259"/>
      <c r="CF349" s="1259"/>
      <c r="CG349" s="1259"/>
      <c r="CH349" s="1259"/>
      <c r="CI349" s="1259"/>
      <c r="CJ349" s="1259"/>
      <c r="CK349" s="1259"/>
      <c r="CL349" s="1259"/>
      <c r="CM349" s="1259"/>
      <c r="CN349" s="1259"/>
      <c r="CO349" s="1259"/>
      <c r="CP349" s="1259"/>
      <c r="CQ349" s="1259"/>
      <c r="CR349" s="1259"/>
      <c r="CS349" s="1259"/>
      <c r="CT349" s="1259"/>
      <c r="CU349" s="1259"/>
      <c r="CV349" s="1259"/>
      <c r="CW349" s="1259"/>
      <c r="CX349" s="1259"/>
      <c r="CY349" s="1259"/>
      <c r="CZ349" s="1259"/>
      <c r="DA349" s="1259"/>
      <c r="DB349" s="1259"/>
      <c r="DC349" s="1259"/>
      <c r="DD349" s="1259"/>
      <c r="DE349" s="1259"/>
      <c r="DF349" s="1259"/>
      <c r="DG349" s="1259"/>
      <c r="DH349" s="1259"/>
      <c r="DI349" s="1259"/>
      <c r="DJ349" s="1259"/>
      <c r="DK349" s="1259"/>
      <c r="DL349" s="1259"/>
      <c r="DM349" s="1259"/>
      <c r="DN349" s="1259"/>
      <c r="DO349" s="1259"/>
      <c r="DP349" s="1259"/>
      <c r="DQ349" s="1259"/>
      <c r="DR349" s="1259"/>
      <c r="DS349" s="1259"/>
      <c r="DT349" s="1259"/>
      <c r="DU349" s="1259"/>
      <c r="DV349" s="1259"/>
      <c r="DW349" s="1259"/>
      <c r="DX349" s="1259"/>
      <c r="DY349" s="1259"/>
      <c r="DZ349" s="1259"/>
      <c r="EA349" s="1259"/>
      <c r="EB349" s="1259"/>
      <c r="EC349" s="1259"/>
      <c r="ED349" s="1259"/>
      <c r="EE349" s="1259"/>
      <c r="EF349" s="1259"/>
      <c r="EG349" s="1259"/>
      <c r="EH349" s="1259"/>
      <c r="EI349" s="1259"/>
      <c r="EJ349" s="1259"/>
      <c r="EK349" s="1259"/>
      <c r="EL349" s="1259"/>
      <c r="EM349" s="1259"/>
      <c r="EN349" s="1259"/>
      <c r="EO349" s="1259"/>
      <c r="EP349" s="1259"/>
      <c r="EQ349" s="1259"/>
      <c r="ER349" s="1259"/>
      <c r="ES349" s="1259"/>
      <c r="ET349" s="1259"/>
      <c r="EU349" s="1259"/>
      <c r="EV349" s="1259"/>
      <c r="EW349" s="1259"/>
      <c r="EX349" s="1259"/>
      <c r="EY349" s="1259"/>
      <c r="EZ349" s="1259"/>
      <c r="FA349" s="1259"/>
      <c r="FB349" s="1259"/>
      <c r="FC349" s="1259"/>
      <c r="FD349" s="1259"/>
      <c r="FE349" s="1259"/>
      <c r="FF349" s="1259"/>
      <c r="FG349" s="1259"/>
      <c r="FH349" s="1259"/>
      <c r="FI349" s="1259"/>
      <c r="FJ349" s="1259"/>
      <c r="FK349" s="1259"/>
      <c r="FL349" s="1259"/>
      <c r="FM349" s="1259"/>
      <c r="FN349" s="1259"/>
      <c r="FO349" s="1259"/>
      <c r="FP349" s="1259"/>
      <c r="FQ349" s="1259"/>
      <c r="FR349" s="1259"/>
      <c r="FS349" s="1259"/>
      <c r="FT349" s="1259"/>
      <c r="FU349" s="1259"/>
      <c r="FV349" s="1259"/>
      <c r="FW349" s="1259"/>
      <c r="FX349" s="1259"/>
      <c r="FY349" s="1259"/>
      <c r="FZ349" s="1259"/>
      <c r="GA349" s="1259"/>
      <c r="GB349" s="1259"/>
      <c r="GC349" s="1259"/>
      <c r="GD349" s="1259"/>
      <c r="GE349" s="1259"/>
      <c r="GF349" s="1259"/>
      <c r="GG349" s="1259"/>
      <c r="GH349" s="1259"/>
      <c r="GI349" s="1259"/>
      <c r="GJ349" s="1259"/>
      <c r="GK349" s="1259"/>
      <c r="GL349" s="1259"/>
      <c r="GM349" s="1259"/>
      <c r="GN349" s="1259"/>
      <c r="GO349" s="1259"/>
      <c r="GP349" s="1259"/>
      <c r="GQ349" s="1259"/>
      <c r="GR349" s="1259"/>
      <c r="GS349" s="1259"/>
      <c r="GT349" s="1259"/>
      <c r="GU349" s="1259"/>
      <c r="GV349" s="1259"/>
      <c r="GW349" s="1259"/>
      <c r="GX349" s="1259"/>
      <c r="GY349" s="1259"/>
      <c r="GZ349" s="1259"/>
      <c r="HA349" s="1259"/>
      <c r="HB349" s="1259"/>
      <c r="HC349" s="1259"/>
      <c r="HD349" s="1259"/>
      <c r="HE349" s="1259"/>
      <c r="HF349" s="1259"/>
      <c r="HG349" s="1259"/>
      <c r="HH349" s="1259"/>
      <c r="HI349" s="1259"/>
      <c r="HJ349" s="1259"/>
      <c r="HK349" s="1259"/>
      <c r="HL349" s="1259"/>
      <c r="HM349" s="1259"/>
      <c r="HN349" s="1259"/>
      <c r="HO349" s="1259"/>
      <c r="HP349" s="1259"/>
      <c r="HQ349" s="1259"/>
      <c r="HR349" s="1259"/>
      <c r="HS349" s="1259"/>
      <c r="HT349" s="1259"/>
      <c r="HU349" s="1259"/>
      <c r="HV349" s="1259"/>
      <c r="HW349" s="1259"/>
      <c r="HX349" s="1259"/>
      <c r="HY349" s="1259"/>
      <c r="HZ349" s="1259"/>
      <c r="IA349" s="1259"/>
      <c r="IB349" s="1259"/>
      <c r="IC349" s="1259"/>
      <c r="ID349" s="1259"/>
      <c r="IE349" s="1259"/>
      <c r="IF349" s="1259"/>
      <c r="IG349" s="1259"/>
      <c r="IH349" s="1259"/>
      <c r="II349" s="1259"/>
      <c r="IJ349" s="1259"/>
      <c r="IK349" s="1259"/>
      <c r="IL349" s="1259"/>
      <c r="IM349" s="1259"/>
      <c r="IN349" s="1259"/>
      <c r="IO349" s="1259"/>
      <c r="IP349" s="1259"/>
      <c r="IQ349" s="1259"/>
      <c r="IR349" s="1259"/>
      <c r="IS349" s="1259"/>
      <c r="IT349" s="1259"/>
      <c r="IU349" s="1259"/>
      <c r="IV349" s="1259"/>
      <c r="IW349" s="1259"/>
      <c r="IX349" s="1259"/>
      <c r="IY349" s="1259"/>
      <c r="IZ349" s="1259"/>
      <c r="JA349" s="1259"/>
      <c r="JB349" s="1259"/>
      <c r="JC349" s="1259"/>
      <c r="JD349" s="1259"/>
      <c r="JE349" s="1259"/>
      <c r="JF349" s="1259"/>
      <c r="JG349" s="1259"/>
      <c r="JH349" s="1259"/>
      <c r="JI349" s="1259"/>
      <c r="JJ349" s="1259"/>
      <c r="JK349" s="1259"/>
      <c r="JL349" s="1259"/>
      <c r="JM349" s="1259"/>
      <c r="JN349" s="1259"/>
      <c r="JO349" s="1259"/>
      <c r="JP349" s="1259"/>
      <c r="JQ349" s="1259"/>
      <c r="JR349" s="1259"/>
      <c r="JS349" s="1259"/>
      <c r="JT349" s="1259"/>
      <c r="JU349" s="1259"/>
      <c r="JV349" s="1259"/>
      <c r="JW349" s="1259"/>
      <c r="JX349" s="1259"/>
      <c r="JY349" s="1259"/>
      <c r="JZ349" s="1259"/>
      <c r="KA349" s="1259"/>
      <c r="KB349" s="1259"/>
      <c r="KC349" s="1259"/>
      <c r="KD349" s="1259"/>
      <c r="KE349" s="1259"/>
      <c r="KF349" s="1259"/>
      <c r="KG349" s="1259"/>
      <c r="KH349" s="1259"/>
      <c r="KI349" s="1259"/>
      <c r="KJ349" s="1259"/>
      <c r="KK349" s="1259"/>
      <c r="KL349" s="1259"/>
      <c r="KM349" s="1259"/>
      <c r="KN349" s="1259"/>
      <c r="KO349" s="1259"/>
      <c r="KP349" s="1259"/>
      <c r="KQ349" s="1259"/>
      <c r="KR349" s="1259"/>
      <c r="KS349" s="1259"/>
      <c r="KT349" s="1259"/>
      <c r="KU349" s="1259"/>
      <c r="KV349" s="1259"/>
      <c r="KW349" s="1259"/>
      <c r="KX349" s="1259"/>
      <c r="KY349" s="1259"/>
      <c r="KZ349" s="1259"/>
      <c r="LA349" s="1259"/>
      <c r="LB349" s="1259"/>
      <c r="LC349" s="1259"/>
      <c r="LD349" s="1259"/>
      <c r="LE349" s="1259"/>
      <c r="LF349" s="1259"/>
      <c r="LG349" s="1259"/>
      <c r="LH349" s="1259"/>
      <c r="LI349" s="1259"/>
      <c r="LJ349" s="1259"/>
      <c r="LK349" s="1259"/>
      <c r="LL349" s="1259"/>
      <c r="LM349" s="1259"/>
      <c r="LN349" s="1259"/>
      <c r="LO349" s="1259"/>
      <c r="LP349" s="1259"/>
      <c r="LQ349" s="1259"/>
      <c r="LR349" s="1259"/>
      <c r="LS349" s="1259"/>
      <c r="LT349" s="1259"/>
      <c r="LU349" s="1259"/>
      <c r="LV349" s="1259"/>
      <c r="LW349" s="1259"/>
      <c r="LX349" s="1259"/>
      <c r="LY349" s="1259"/>
      <c r="LZ349" s="1259"/>
      <c r="MA349" s="1259"/>
      <c r="MB349" s="1259"/>
      <c r="MC349" s="1259"/>
      <c r="MD349" s="1259"/>
      <c r="ME349" s="1259"/>
      <c r="MF349" s="1259"/>
      <c r="MG349" s="1259"/>
      <c r="MH349" s="1259"/>
      <c r="MI349" s="1259"/>
      <c r="MJ349" s="1259"/>
      <c r="MK349" s="1259"/>
      <c r="ML349" s="1259"/>
      <c r="MM349" s="1259"/>
      <c r="MN349" s="1259"/>
      <c r="MO349" s="1259"/>
      <c r="MP349" s="1259"/>
      <c r="MQ349" s="1259"/>
      <c r="MR349" s="1259"/>
      <c r="MS349" s="1259"/>
      <c r="MT349" s="1259"/>
      <c r="MU349" s="1259"/>
      <c r="MV349" s="1259"/>
      <c r="MW349" s="1259"/>
      <c r="MX349" s="1259"/>
      <c r="MY349" s="1259"/>
      <c r="MZ349" s="1259"/>
      <c r="NA349" s="1259"/>
      <c r="NB349" s="1259"/>
      <c r="NC349" s="1259"/>
      <c r="ND349" s="1259"/>
      <c r="NE349" s="1259"/>
      <c r="NF349" s="1259"/>
      <c r="NG349" s="1259"/>
      <c r="NH349" s="1259"/>
      <c r="NI349" s="1259"/>
      <c r="NJ349" s="1259"/>
      <c r="NK349" s="1259"/>
      <c r="NL349" s="1259"/>
      <c r="NM349" s="1259"/>
      <c r="NN349" s="1259"/>
      <c r="NO349" s="1259"/>
      <c r="NP349" s="1259"/>
      <c r="NQ349" s="1259"/>
      <c r="NR349" s="1259"/>
      <c r="NS349" s="1259"/>
      <c r="NT349" s="1259"/>
      <c r="NU349" s="1259"/>
      <c r="NV349" s="1259"/>
      <c r="NW349" s="1259"/>
      <c r="NX349" s="1259"/>
      <c r="NY349" s="1259"/>
      <c r="NZ349" s="1259"/>
      <c r="OA349" s="1259"/>
      <c r="OB349" s="1259"/>
      <c r="OC349" s="1259"/>
      <c r="OD349" s="1259"/>
      <c r="OE349" s="1259"/>
      <c r="OF349" s="1259"/>
      <c r="OG349" s="1259"/>
      <c r="OH349" s="1259"/>
      <c r="OI349" s="1259"/>
      <c r="OJ349" s="1259"/>
      <c r="OK349" s="1259"/>
      <c r="OL349" s="1259"/>
      <c r="OM349" s="1259"/>
      <c r="ON349" s="1259"/>
      <c r="OO349" s="1259"/>
      <c r="OP349" s="1259"/>
      <c r="OQ349" s="1259"/>
      <c r="OR349" s="1259"/>
      <c r="OS349" s="1259"/>
      <c r="OT349" s="1259"/>
      <c r="OU349" s="1259"/>
      <c r="OV349" s="1259"/>
      <c r="OW349" s="1259"/>
      <c r="OX349" s="1259"/>
      <c r="OY349" s="1259"/>
      <c r="OZ349" s="1259"/>
      <c r="PA349" s="1259"/>
      <c r="PB349" s="1259"/>
      <c r="PC349" s="1259"/>
      <c r="PD349" s="1259"/>
      <c r="PE349" s="1259"/>
      <c r="PF349" s="1259"/>
      <c r="PG349" s="1259"/>
      <c r="PH349" s="1259"/>
      <c r="PI349" s="1259"/>
      <c r="PJ349" s="1259"/>
      <c r="PK349" s="1259"/>
      <c r="PL349" s="1259"/>
      <c r="PM349" s="1259"/>
      <c r="PN349" s="1259"/>
      <c r="PO349" s="1259"/>
      <c r="PP349" s="1259"/>
      <c r="PQ349" s="1259"/>
      <c r="PR349" s="1259"/>
      <c r="PS349" s="1259"/>
      <c r="PT349" s="1259"/>
      <c r="PU349" s="1259"/>
      <c r="PV349" s="1259"/>
      <c r="PW349" s="1259"/>
      <c r="PX349" s="1259"/>
      <c r="PY349" s="1259"/>
      <c r="PZ349" s="1259"/>
      <c r="QA349" s="1259"/>
      <c r="QB349" s="1259"/>
      <c r="QC349" s="1259"/>
      <c r="QD349" s="1259"/>
      <c r="QE349" s="1259"/>
      <c r="QF349" s="1259"/>
      <c r="QG349" s="1259"/>
      <c r="QH349" s="1259"/>
      <c r="QI349" s="1259"/>
      <c r="QJ349" s="1259"/>
      <c r="QK349" s="1259"/>
      <c r="QL349" s="1259"/>
      <c r="QM349" s="1259"/>
      <c r="QN349" s="1259"/>
      <c r="QO349" s="1259"/>
      <c r="QP349" s="1259"/>
      <c r="QQ349" s="1259"/>
      <c r="QR349" s="1259"/>
      <c r="QS349" s="1259"/>
      <c r="QT349" s="1259"/>
      <c r="QU349" s="1259"/>
      <c r="QV349" s="1259"/>
      <c r="QW349" s="1259"/>
      <c r="QX349" s="1259"/>
      <c r="QY349" s="1259"/>
      <c r="QZ349" s="1259"/>
      <c r="RA349" s="1259"/>
      <c r="RB349" s="1259"/>
      <c r="RC349" s="1259"/>
      <c r="RD349" s="1259"/>
      <c r="RE349" s="1259"/>
      <c r="RF349" s="1259"/>
      <c r="RG349" s="1259"/>
      <c r="RH349" s="1259"/>
      <c r="RI349" s="1259"/>
      <c r="RJ349" s="1259"/>
      <c r="RK349" s="1259"/>
      <c r="RL349" s="1259"/>
      <c r="RM349" s="1259"/>
      <c r="RN349" s="1259"/>
      <c r="RO349" s="1259"/>
      <c r="RP349" s="1259"/>
      <c r="RQ349" s="1259"/>
      <c r="RR349" s="1259"/>
      <c r="RS349" s="1259"/>
      <c r="RT349" s="1259"/>
      <c r="RU349" s="1259"/>
      <c r="RV349" s="1259"/>
      <c r="RW349" s="1259"/>
      <c r="RX349" s="1259"/>
      <c r="RY349" s="1259"/>
      <c r="RZ349" s="1259"/>
      <c r="SA349" s="1259"/>
      <c r="SB349" s="1259"/>
      <c r="SC349" s="1259"/>
      <c r="SD349" s="1259"/>
      <c r="SE349" s="1259"/>
      <c r="SF349" s="1259"/>
      <c r="SG349" s="1259"/>
      <c r="SH349" s="1259"/>
      <c r="SI349" s="1259"/>
      <c r="SJ349" s="1259"/>
      <c r="SK349" s="1259"/>
      <c r="SL349" s="1259"/>
      <c r="SM349" s="1259"/>
      <c r="SN349" s="1259"/>
      <c r="SO349" s="1259"/>
      <c r="SP349" s="1259"/>
      <c r="SQ349" s="1259"/>
      <c r="SR349" s="1259"/>
      <c r="SS349" s="1259"/>
      <c r="ST349" s="1259"/>
      <c r="SU349" s="1259"/>
      <c r="SV349" s="1259"/>
      <c r="SW349" s="1259"/>
      <c r="SX349" s="1259"/>
      <c r="SY349" s="1259"/>
      <c r="SZ349" s="1259"/>
      <c r="TA349" s="1259"/>
      <c r="TB349" s="1259"/>
      <c r="TC349" s="1259"/>
      <c r="TD349" s="1259"/>
      <c r="TE349" s="1259"/>
      <c r="TF349" s="1259"/>
      <c r="TG349" s="1259"/>
      <c r="TH349" s="1259"/>
      <c r="TI349" s="1259"/>
      <c r="TJ349" s="1259"/>
      <c r="TK349" s="1259"/>
      <c r="TL349" s="1259"/>
      <c r="TM349" s="1259"/>
      <c r="TN349" s="1259"/>
      <c r="TO349" s="1259"/>
      <c r="TP349" s="1259"/>
      <c r="TQ349" s="1259"/>
      <c r="TR349" s="1259"/>
      <c r="TS349" s="1259"/>
      <c r="TT349" s="1259"/>
      <c r="TU349" s="1259"/>
      <c r="TV349" s="1259"/>
      <c r="TW349" s="1259"/>
      <c r="TX349" s="1259"/>
      <c r="TY349" s="1259"/>
      <c r="TZ349" s="1259"/>
      <c r="UA349" s="1259"/>
      <c r="UB349" s="1259"/>
      <c r="UC349" s="1259"/>
      <c r="UD349" s="1259"/>
      <c r="UE349" s="1259"/>
      <c r="UF349" s="1259"/>
      <c r="UG349" s="1261"/>
    </row>
    <row r="350" spans="1:553" s="1262" customFormat="1" ht="29.25" customHeight="1">
      <c r="A350" s="366"/>
      <c r="B350" s="356"/>
      <c r="C350" s="1379" t="s">
        <v>1072</v>
      </c>
      <c r="D350" s="1380" t="s">
        <v>820</v>
      </c>
      <c r="E350" s="1380" t="s">
        <v>820</v>
      </c>
      <c r="F350" s="1381" t="s">
        <v>820</v>
      </c>
      <c r="G350" s="366" t="s">
        <v>46</v>
      </c>
      <c r="H350" s="417"/>
      <c r="I350" s="370">
        <f>(31.98*100/400)*(17-(4-3))*1</f>
        <v>127.92</v>
      </c>
      <c r="J350" s="368">
        <v>5800</v>
      </c>
      <c r="K350" s="717">
        <v>0.7</v>
      </c>
      <c r="L350" s="480">
        <f>ROUND(PRODUCT(I350:K350),0)</f>
        <v>519355</v>
      </c>
      <c r="M350" s="366"/>
      <c r="N350" s="366"/>
      <c r="O350" s="366"/>
      <c r="P350" s="366"/>
      <c r="Q350" s="1135"/>
      <c r="R350" s="1228"/>
      <c r="S350" s="308"/>
      <c r="T350" s="303"/>
      <c r="U350" s="306"/>
      <c r="V350" s="307"/>
      <c r="W350" s="306"/>
      <c r="X350" s="306"/>
      <c r="Y350" s="306"/>
      <c r="Z350" s="306"/>
      <c r="AA350" s="306"/>
      <c r="AB350" s="306"/>
      <c r="AC350" s="456"/>
      <c r="AD350" s="452"/>
      <c r="AE350" s="452"/>
      <c r="AF350" s="452"/>
      <c r="AG350" s="452"/>
      <c r="AH350" s="452"/>
      <c r="AI350" s="452"/>
      <c r="AJ350" s="452"/>
      <c r="AK350" s="452"/>
      <c r="AL350" s="1259"/>
      <c r="AM350" s="1259"/>
      <c r="AN350" s="1259"/>
      <c r="AO350" s="1259"/>
      <c r="AP350" s="1259"/>
      <c r="AQ350" s="1259"/>
      <c r="AR350" s="1259"/>
      <c r="AS350" s="1259"/>
      <c r="AT350" s="1259"/>
      <c r="AU350" s="1259"/>
      <c r="AV350" s="1259"/>
      <c r="AW350" s="1259"/>
      <c r="AX350" s="1259"/>
      <c r="AY350" s="1259"/>
      <c r="AZ350" s="1259"/>
      <c r="BA350" s="1259"/>
      <c r="BB350" s="1259"/>
      <c r="BC350" s="1259"/>
      <c r="BD350" s="1259"/>
      <c r="BE350" s="1259"/>
      <c r="BF350" s="1259"/>
      <c r="BG350" s="1259"/>
      <c r="BH350" s="1259"/>
      <c r="BI350" s="1259"/>
      <c r="BJ350" s="1259"/>
      <c r="BK350" s="1259"/>
      <c r="BL350" s="1259"/>
      <c r="BM350" s="1259"/>
      <c r="BN350" s="1259"/>
      <c r="BO350" s="1259"/>
      <c r="BP350" s="1259"/>
      <c r="BQ350" s="1259"/>
      <c r="BR350" s="1259"/>
      <c r="BS350" s="1259"/>
      <c r="BT350" s="1259"/>
      <c r="BU350" s="1259"/>
      <c r="BV350" s="1259"/>
      <c r="BW350" s="1259"/>
      <c r="BX350" s="1259"/>
      <c r="BY350" s="1259"/>
      <c r="BZ350" s="1259"/>
      <c r="CA350" s="1259"/>
      <c r="CB350" s="1259"/>
      <c r="CC350" s="1259"/>
      <c r="CD350" s="1259"/>
      <c r="CE350" s="1259"/>
      <c r="CF350" s="1259"/>
      <c r="CG350" s="1259"/>
      <c r="CH350" s="1259"/>
      <c r="CI350" s="1259"/>
      <c r="CJ350" s="1259"/>
      <c r="CK350" s="1259"/>
      <c r="CL350" s="1259"/>
      <c r="CM350" s="1259"/>
      <c r="CN350" s="1259"/>
      <c r="CO350" s="1259"/>
      <c r="CP350" s="1259"/>
      <c r="CQ350" s="1259"/>
      <c r="CR350" s="1259"/>
      <c r="CS350" s="1259"/>
      <c r="CT350" s="1259"/>
      <c r="CU350" s="1259"/>
      <c r="CV350" s="1259"/>
      <c r="CW350" s="1259"/>
      <c r="CX350" s="1259"/>
      <c r="CY350" s="1259"/>
      <c r="CZ350" s="1259"/>
      <c r="DA350" s="1259"/>
      <c r="DB350" s="1259"/>
      <c r="DC350" s="1259"/>
      <c r="DD350" s="1259"/>
      <c r="DE350" s="1259"/>
      <c r="DF350" s="1259"/>
      <c r="DG350" s="1259"/>
      <c r="DH350" s="1259"/>
      <c r="DI350" s="1259"/>
      <c r="DJ350" s="1259"/>
      <c r="DK350" s="1259"/>
      <c r="DL350" s="1259"/>
      <c r="DM350" s="1259"/>
      <c r="DN350" s="1259"/>
      <c r="DO350" s="1259"/>
      <c r="DP350" s="1259"/>
      <c r="DQ350" s="1259"/>
      <c r="DR350" s="1259"/>
      <c r="DS350" s="1259"/>
      <c r="DT350" s="1259"/>
      <c r="DU350" s="1259"/>
      <c r="DV350" s="1259"/>
      <c r="DW350" s="1259"/>
      <c r="DX350" s="1259"/>
      <c r="DY350" s="1259"/>
      <c r="DZ350" s="1259"/>
      <c r="EA350" s="1259"/>
      <c r="EB350" s="1259"/>
      <c r="EC350" s="1259"/>
      <c r="ED350" s="1259"/>
      <c r="EE350" s="1259"/>
      <c r="EF350" s="1259"/>
      <c r="EG350" s="1259"/>
      <c r="EH350" s="1259"/>
      <c r="EI350" s="1259"/>
      <c r="EJ350" s="1259"/>
      <c r="EK350" s="1259"/>
      <c r="EL350" s="1259"/>
      <c r="EM350" s="1259"/>
      <c r="EN350" s="1259"/>
      <c r="EO350" s="1259"/>
      <c r="EP350" s="1259"/>
      <c r="EQ350" s="1259"/>
      <c r="ER350" s="1259"/>
      <c r="ES350" s="1259"/>
      <c r="ET350" s="1259"/>
      <c r="EU350" s="1259"/>
      <c r="EV350" s="1259"/>
      <c r="EW350" s="1259"/>
      <c r="EX350" s="1259"/>
      <c r="EY350" s="1259"/>
      <c r="EZ350" s="1259"/>
      <c r="FA350" s="1259"/>
      <c r="FB350" s="1259"/>
      <c r="FC350" s="1259"/>
      <c r="FD350" s="1259"/>
      <c r="FE350" s="1259"/>
      <c r="FF350" s="1259"/>
      <c r="FG350" s="1259"/>
      <c r="FH350" s="1259"/>
      <c r="FI350" s="1259"/>
      <c r="FJ350" s="1259"/>
      <c r="FK350" s="1259"/>
      <c r="FL350" s="1259"/>
      <c r="FM350" s="1259"/>
      <c r="FN350" s="1259"/>
      <c r="FO350" s="1259"/>
      <c r="FP350" s="1259"/>
      <c r="FQ350" s="1259"/>
      <c r="FR350" s="1259"/>
      <c r="FS350" s="1259"/>
      <c r="FT350" s="1259"/>
      <c r="FU350" s="1259"/>
      <c r="FV350" s="1259"/>
      <c r="FW350" s="1259"/>
      <c r="FX350" s="1259"/>
      <c r="FY350" s="1259"/>
      <c r="FZ350" s="1259"/>
      <c r="GA350" s="1259"/>
      <c r="GB350" s="1259"/>
      <c r="GC350" s="1259"/>
      <c r="GD350" s="1259"/>
      <c r="GE350" s="1259"/>
      <c r="GF350" s="1259"/>
      <c r="GG350" s="1259"/>
      <c r="GH350" s="1259"/>
      <c r="GI350" s="1259"/>
      <c r="GJ350" s="1259"/>
      <c r="GK350" s="1259"/>
      <c r="GL350" s="1259"/>
      <c r="GM350" s="1259"/>
      <c r="GN350" s="1259"/>
      <c r="GO350" s="1259"/>
      <c r="GP350" s="1259"/>
      <c r="GQ350" s="1259"/>
      <c r="GR350" s="1259"/>
      <c r="GS350" s="1259"/>
      <c r="GT350" s="1259"/>
      <c r="GU350" s="1259"/>
      <c r="GV350" s="1259"/>
      <c r="GW350" s="1259"/>
      <c r="GX350" s="1259"/>
      <c r="GY350" s="1259"/>
      <c r="GZ350" s="1259"/>
      <c r="HA350" s="1259"/>
      <c r="HB350" s="1259"/>
      <c r="HC350" s="1259"/>
      <c r="HD350" s="1259"/>
      <c r="HE350" s="1259"/>
      <c r="HF350" s="1259"/>
      <c r="HG350" s="1259"/>
      <c r="HH350" s="1259"/>
      <c r="HI350" s="1259"/>
      <c r="HJ350" s="1259"/>
      <c r="HK350" s="1259"/>
      <c r="HL350" s="1259"/>
      <c r="HM350" s="1259"/>
      <c r="HN350" s="1259"/>
      <c r="HO350" s="1259"/>
      <c r="HP350" s="1259"/>
      <c r="HQ350" s="1259"/>
      <c r="HR350" s="1259"/>
      <c r="HS350" s="1259"/>
      <c r="HT350" s="1259"/>
      <c r="HU350" s="1259"/>
      <c r="HV350" s="1259"/>
      <c r="HW350" s="1259"/>
      <c r="HX350" s="1259"/>
      <c r="HY350" s="1259"/>
      <c r="HZ350" s="1259"/>
      <c r="IA350" s="1259"/>
      <c r="IB350" s="1259"/>
      <c r="IC350" s="1259"/>
      <c r="ID350" s="1259"/>
      <c r="IE350" s="1259"/>
      <c r="IF350" s="1259"/>
      <c r="IG350" s="1259"/>
      <c r="IH350" s="1259"/>
      <c r="II350" s="1259"/>
      <c r="IJ350" s="1259"/>
      <c r="IK350" s="1259"/>
      <c r="IL350" s="1259"/>
      <c r="IM350" s="1259"/>
      <c r="IN350" s="1259"/>
      <c r="IO350" s="1259"/>
      <c r="IP350" s="1259"/>
      <c r="IQ350" s="1259"/>
      <c r="IR350" s="1259"/>
      <c r="IS350" s="1259"/>
      <c r="IT350" s="1259"/>
      <c r="IU350" s="1259"/>
      <c r="IV350" s="1259"/>
      <c r="IW350" s="1259"/>
      <c r="IX350" s="1259"/>
      <c r="IY350" s="1259"/>
      <c r="IZ350" s="1259"/>
      <c r="JA350" s="1259"/>
      <c r="JB350" s="1259"/>
      <c r="JC350" s="1259"/>
      <c r="JD350" s="1259"/>
      <c r="JE350" s="1259"/>
      <c r="JF350" s="1259"/>
      <c r="JG350" s="1259"/>
      <c r="JH350" s="1259"/>
      <c r="JI350" s="1259"/>
      <c r="JJ350" s="1259"/>
      <c r="JK350" s="1259"/>
      <c r="JL350" s="1259"/>
      <c r="JM350" s="1259"/>
      <c r="JN350" s="1259"/>
      <c r="JO350" s="1259"/>
      <c r="JP350" s="1259"/>
      <c r="JQ350" s="1259"/>
      <c r="JR350" s="1259"/>
      <c r="JS350" s="1259"/>
      <c r="JT350" s="1259"/>
      <c r="JU350" s="1259"/>
      <c r="JV350" s="1259"/>
      <c r="JW350" s="1259"/>
      <c r="JX350" s="1259"/>
      <c r="JY350" s="1259"/>
      <c r="JZ350" s="1259"/>
      <c r="KA350" s="1259"/>
      <c r="KB350" s="1259"/>
      <c r="KC350" s="1259"/>
      <c r="KD350" s="1259"/>
      <c r="KE350" s="1259"/>
      <c r="KF350" s="1259"/>
      <c r="KG350" s="1259"/>
      <c r="KH350" s="1259"/>
      <c r="KI350" s="1259"/>
      <c r="KJ350" s="1259"/>
      <c r="KK350" s="1259"/>
      <c r="KL350" s="1259"/>
      <c r="KM350" s="1259"/>
      <c r="KN350" s="1259"/>
      <c r="KO350" s="1259"/>
      <c r="KP350" s="1259"/>
      <c r="KQ350" s="1259"/>
      <c r="KR350" s="1259"/>
      <c r="KS350" s="1259"/>
      <c r="KT350" s="1259"/>
      <c r="KU350" s="1259"/>
      <c r="KV350" s="1259"/>
      <c r="KW350" s="1259"/>
      <c r="KX350" s="1259"/>
      <c r="KY350" s="1259"/>
      <c r="KZ350" s="1259"/>
      <c r="LA350" s="1259"/>
      <c r="LB350" s="1259"/>
      <c r="LC350" s="1259"/>
      <c r="LD350" s="1259"/>
      <c r="LE350" s="1259"/>
      <c r="LF350" s="1259"/>
      <c r="LG350" s="1259"/>
      <c r="LH350" s="1259"/>
      <c r="LI350" s="1259"/>
      <c r="LJ350" s="1259"/>
      <c r="LK350" s="1259"/>
      <c r="LL350" s="1259"/>
      <c r="LM350" s="1259"/>
      <c r="LN350" s="1259"/>
      <c r="LO350" s="1259"/>
      <c r="LP350" s="1259"/>
      <c r="LQ350" s="1259"/>
      <c r="LR350" s="1259"/>
      <c r="LS350" s="1259"/>
      <c r="LT350" s="1259"/>
      <c r="LU350" s="1259"/>
      <c r="LV350" s="1259"/>
      <c r="LW350" s="1259"/>
      <c r="LX350" s="1259"/>
      <c r="LY350" s="1259"/>
      <c r="LZ350" s="1259"/>
      <c r="MA350" s="1259"/>
      <c r="MB350" s="1259"/>
      <c r="MC350" s="1259"/>
      <c r="MD350" s="1259"/>
      <c r="ME350" s="1259"/>
      <c r="MF350" s="1259"/>
      <c r="MG350" s="1259"/>
      <c r="MH350" s="1259"/>
      <c r="MI350" s="1259"/>
      <c r="MJ350" s="1259"/>
      <c r="MK350" s="1259"/>
      <c r="ML350" s="1259"/>
      <c r="MM350" s="1259"/>
      <c r="MN350" s="1259"/>
      <c r="MO350" s="1259"/>
      <c r="MP350" s="1259"/>
      <c r="MQ350" s="1259"/>
      <c r="MR350" s="1259"/>
      <c r="MS350" s="1259"/>
      <c r="MT350" s="1259"/>
      <c r="MU350" s="1259"/>
      <c r="MV350" s="1259"/>
      <c r="MW350" s="1259"/>
      <c r="MX350" s="1259"/>
      <c r="MY350" s="1259"/>
      <c r="MZ350" s="1259"/>
      <c r="NA350" s="1259"/>
      <c r="NB350" s="1259"/>
      <c r="NC350" s="1259"/>
      <c r="ND350" s="1259"/>
      <c r="NE350" s="1259"/>
      <c r="NF350" s="1259"/>
      <c r="NG350" s="1259"/>
      <c r="NH350" s="1259"/>
      <c r="NI350" s="1259"/>
      <c r="NJ350" s="1259"/>
      <c r="NK350" s="1259"/>
      <c r="NL350" s="1259"/>
      <c r="NM350" s="1259"/>
      <c r="NN350" s="1259"/>
      <c r="NO350" s="1259"/>
      <c r="NP350" s="1259"/>
      <c r="NQ350" s="1259"/>
      <c r="NR350" s="1259"/>
      <c r="NS350" s="1259"/>
      <c r="NT350" s="1259"/>
      <c r="NU350" s="1259"/>
      <c r="NV350" s="1259"/>
      <c r="NW350" s="1259"/>
      <c r="NX350" s="1259"/>
      <c r="NY350" s="1259"/>
      <c r="NZ350" s="1259"/>
      <c r="OA350" s="1259"/>
      <c r="OB350" s="1259"/>
      <c r="OC350" s="1259"/>
      <c r="OD350" s="1259"/>
      <c r="OE350" s="1259"/>
      <c r="OF350" s="1259"/>
      <c r="OG350" s="1259"/>
      <c r="OH350" s="1259"/>
      <c r="OI350" s="1259"/>
      <c r="OJ350" s="1259"/>
      <c r="OK350" s="1259"/>
      <c r="OL350" s="1259"/>
      <c r="OM350" s="1259"/>
      <c r="ON350" s="1259"/>
      <c r="OO350" s="1259"/>
      <c r="OP350" s="1259"/>
      <c r="OQ350" s="1259"/>
      <c r="OR350" s="1259"/>
      <c r="OS350" s="1259"/>
      <c r="OT350" s="1259"/>
      <c r="OU350" s="1259"/>
      <c r="OV350" s="1259"/>
      <c r="OW350" s="1259"/>
      <c r="OX350" s="1259"/>
      <c r="OY350" s="1259"/>
      <c r="OZ350" s="1259"/>
      <c r="PA350" s="1259"/>
      <c r="PB350" s="1259"/>
      <c r="PC350" s="1259"/>
      <c r="PD350" s="1259"/>
      <c r="PE350" s="1259"/>
      <c r="PF350" s="1259"/>
      <c r="PG350" s="1259"/>
      <c r="PH350" s="1259"/>
      <c r="PI350" s="1259"/>
      <c r="PJ350" s="1259"/>
      <c r="PK350" s="1259"/>
      <c r="PL350" s="1259"/>
      <c r="PM350" s="1259"/>
      <c r="PN350" s="1259"/>
      <c r="PO350" s="1259"/>
      <c r="PP350" s="1259"/>
      <c r="PQ350" s="1259"/>
      <c r="PR350" s="1259"/>
      <c r="PS350" s="1259"/>
      <c r="PT350" s="1259"/>
      <c r="PU350" s="1259"/>
      <c r="PV350" s="1259"/>
      <c r="PW350" s="1259"/>
      <c r="PX350" s="1259"/>
      <c r="PY350" s="1259"/>
      <c r="PZ350" s="1259"/>
      <c r="QA350" s="1259"/>
      <c r="QB350" s="1259"/>
      <c r="QC350" s="1259"/>
      <c r="QD350" s="1259"/>
      <c r="QE350" s="1259"/>
      <c r="QF350" s="1259"/>
      <c r="QG350" s="1259"/>
      <c r="QH350" s="1259"/>
      <c r="QI350" s="1259"/>
      <c r="QJ350" s="1259"/>
      <c r="QK350" s="1259"/>
      <c r="QL350" s="1259"/>
      <c r="QM350" s="1259"/>
      <c r="QN350" s="1259"/>
      <c r="QO350" s="1259"/>
      <c r="QP350" s="1259"/>
      <c r="QQ350" s="1259"/>
      <c r="QR350" s="1259"/>
      <c r="QS350" s="1259"/>
      <c r="QT350" s="1259"/>
      <c r="QU350" s="1259"/>
      <c r="QV350" s="1259"/>
      <c r="QW350" s="1259"/>
      <c r="QX350" s="1259"/>
      <c r="QY350" s="1259"/>
      <c r="QZ350" s="1259"/>
      <c r="RA350" s="1259"/>
      <c r="RB350" s="1259"/>
      <c r="RC350" s="1259"/>
      <c r="RD350" s="1259"/>
      <c r="RE350" s="1259"/>
      <c r="RF350" s="1259"/>
      <c r="RG350" s="1259"/>
      <c r="RH350" s="1259"/>
      <c r="RI350" s="1259"/>
      <c r="RJ350" s="1259"/>
      <c r="RK350" s="1259"/>
      <c r="RL350" s="1259"/>
      <c r="RM350" s="1259"/>
      <c r="RN350" s="1259"/>
      <c r="RO350" s="1259"/>
      <c r="RP350" s="1259"/>
      <c r="RQ350" s="1259"/>
      <c r="RR350" s="1259"/>
      <c r="RS350" s="1259"/>
      <c r="RT350" s="1259"/>
      <c r="RU350" s="1259"/>
      <c r="RV350" s="1259"/>
      <c r="RW350" s="1259"/>
      <c r="RX350" s="1259"/>
      <c r="RY350" s="1259"/>
      <c r="RZ350" s="1259"/>
      <c r="SA350" s="1259"/>
      <c r="SB350" s="1259"/>
      <c r="SC350" s="1259"/>
      <c r="SD350" s="1259"/>
      <c r="SE350" s="1259"/>
      <c r="SF350" s="1259"/>
      <c r="SG350" s="1259"/>
      <c r="SH350" s="1259"/>
      <c r="SI350" s="1259"/>
      <c r="SJ350" s="1259"/>
      <c r="SK350" s="1259"/>
      <c r="SL350" s="1259"/>
      <c r="SM350" s="1259"/>
      <c r="SN350" s="1259"/>
      <c r="SO350" s="1259"/>
      <c r="SP350" s="1259"/>
      <c r="SQ350" s="1259"/>
      <c r="SR350" s="1259"/>
      <c r="SS350" s="1259"/>
      <c r="ST350" s="1259"/>
      <c r="SU350" s="1259"/>
      <c r="SV350" s="1259"/>
      <c r="SW350" s="1259"/>
      <c r="SX350" s="1259"/>
      <c r="SY350" s="1259"/>
      <c r="SZ350" s="1259"/>
      <c r="TA350" s="1259"/>
      <c r="TB350" s="1259"/>
      <c r="TC350" s="1259"/>
      <c r="TD350" s="1259"/>
      <c r="TE350" s="1259"/>
      <c r="TF350" s="1259"/>
      <c r="TG350" s="1259"/>
      <c r="TH350" s="1259"/>
      <c r="TI350" s="1259"/>
      <c r="TJ350" s="1259"/>
      <c r="TK350" s="1259"/>
      <c r="TL350" s="1259"/>
      <c r="TM350" s="1259"/>
      <c r="TN350" s="1259"/>
      <c r="TO350" s="1259"/>
      <c r="TP350" s="1259"/>
      <c r="TQ350" s="1259"/>
      <c r="TR350" s="1259"/>
      <c r="TS350" s="1259"/>
      <c r="TT350" s="1259"/>
      <c r="TU350" s="1259"/>
      <c r="TV350" s="1259"/>
      <c r="TW350" s="1259"/>
      <c r="TX350" s="1259"/>
      <c r="TY350" s="1259"/>
      <c r="TZ350" s="1259"/>
      <c r="UA350" s="1259"/>
      <c r="UB350" s="1259"/>
      <c r="UC350" s="1259"/>
      <c r="UD350" s="1259"/>
      <c r="UE350" s="1259"/>
      <c r="UF350" s="1259"/>
      <c r="UG350" s="1261"/>
    </row>
    <row r="351" spans="1:553" s="1262" customFormat="1" ht="29.25" customHeight="1">
      <c r="A351" s="402"/>
      <c r="B351" s="401"/>
      <c r="C351" s="1420" t="s">
        <v>1073</v>
      </c>
      <c r="D351" s="1421" t="s">
        <v>1074</v>
      </c>
      <c r="E351" s="1421" t="s">
        <v>1074</v>
      </c>
      <c r="F351" s="1422" t="s">
        <v>1074</v>
      </c>
      <c r="G351" s="402" t="s">
        <v>193</v>
      </c>
      <c r="H351" s="403"/>
      <c r="I351" s="420">
        <v>1</v>
      </c>
      <c r="J351" s="1087">
        <v>337300</v>
      </c>
      <c r="K351" s="1282">
        <v>0.7</v>
      </c>
      <c r="L351" s="1013">
        <f>ROUND(PRODUCT(I351:K351),0)</f>
        <v>236110</v>
      </c>
      <c r="M351" s="366"/>
      <c r="N351" s="366"/>
      <c r="O351" s="366"/>
      <c r="P351" s="366"/>
      <c r="Q351" s="1135"/>
      <c r="R351" s="1228"/>
      <c r="S351" s="308"/>
      <c r="T351" s="303"/>
      <c r="U351" s="306"/>
      <c r="V351" s="307"/>
      <c r="W351" s="306"/>
      <c r="X351" s="306"/>
      <c r="Y351" s="306"/>
      <c r="Z351" s="306"/>
      <c r="AA351" s="306"/>
      <c r="AB351" s="306"/>
      <c r="AC351" s="456"/>
      <c r="AD351" s="452"/>
      <c r="AE351" s="452"/>
      <c r="AF351" s="452"/>
      <c r="AG351" s="452"/>
      <c r="AH351" s="452"/>
      <c r="AI351" s="452"/>
      <c r="AJ351" s="452"/>
      <c r="AK351" s="452"/>
      <c r="AL351" s="1259"/>
      <c r="AM351" s="1259"/>
      <c r="AN351" s="1259"/>
      <c r="AO351" s="1259"/>
      <c r="AP351" s="1259"/>
      <c r="AQ351" s="1259"/>
      <c r="AR351" s="1259"/>
      <c r="AS351" s="1259"/>
      <c r="AT351" s="1259"/>
      <c r="AU351" s="1259"/>
      <c r="AV351" s="1259"/>
      <c r="AW351" s="1259"/>
      <c r="AX351" s="1259"/>
      <c r="AY351" s="1259"/>
      <c r="AZ351" s="1259"/>
      <c r="BA351" s="1259"/>
      <c r="BB351" s="1259"/>
      <c r="BC351" s="1259"/>
      <c r="BD351" s="1259"/>
      <c r="BE351" s="1259"/>
      <c r="BF351" s="1259"/>
      <c r="BG351" s="1259"/>
      <c r="BH351" s="1259"/>
      <c r="BI351" s="1259"/>
      <c r="BJ351" s="1259"/>
      <c r="BK351" s="1259"/>
      <c r="BL351" s="1259"/>
      <c r="BM351" s="1259"/>
      <c r="BN351" s="1259"/>
      <c r="BO351" s="1259"/>
      <c r="BP351" s="1259"/>
      <c r="BQ351" s="1259"/>
      <c r="BR351" s="1259"/>
      <c r="BS351" s="1259"/>
      <c r="BT351" s="1259"/>
      <c r="BU351" s="1259"/>
      <c r="BV351" s="1259"/>
      <c r="BW351" s="1259"/>
      <c r="BX351" s="1259"/>
      <c r="BY351" s="1259"/>
      <c r="BZ351" s="1259"/>
      <c r="CA351" s="1259"/>
      <c r="CB351" s="1259"/>
      <c r="CC351" s="1259"/>
      <c r="CD351" s="1259"/>
      <c r="CE351" s="1259"/>
      <c r="CF351" s="1259"/>
      <c r="CG351" s="1259"/>
      <c r="CH351" s="1259"/>
      <c r="CI351" s="1259"/>
      <c r="CJ351" s="1259"/>
      <c r="CK351" s="1259"/>
      <c r="CL351" s="1259"/>
      <c r="CM351" s="1259"/>
      <c r="CN351" s="1259"/>
      <c r="CO351" s="1259"/>
      <c r="CP351" s="1259"/>
      <c r="CQ351" s="1259"/>
      <c r="CR351" s="1259"/>
      <c r="CS351" s="1259"/>
      <c r="CT351" s="1259"/>
      <c r="CU351" s="1259"/>
      <c r="CV351" s="1259"/>
      <c r="CW351" s="1259"/>
      <c r="CX351" s="1259"/>
      <c r="CY351" s="1259"/>
      <c r="CZ351" s="1259"/>
      <c r="DA351" s="1259"/>
      <c r="DB351" s="1259"/>
      <c r="DC351" s="1259"/>
      <c r="DD351" s="1259"/>
      <c r="DE351" s="1259"/>
      <c r="DF351" s="1259"/>
      <c r="DG351" s="1259"/>
      <c r="DH351" s="1259"/>
      <c r="DI351" s="1259"/>
      <c r="DJ351" s="1259"/>
      <c r="DK351" s="1259"/>
      <c r="DL351" s="1259"/>
      <c r="DM351" s="1259"/>
      <c r="DN351" s="1259"/>
      <c r="DO351" s="1259"/>
      <c r="DP351" s="1259"/>
      <c r="DQ351" s="1259"/>
      <c r="DR351" s="1259"/>
      <c r="DS351" s="1259"/>
      <c r="DT351" s="1259"/>
      <c r="DU351" s="1259"/>
      <c r="DV351" s="1259"/>
      <c r="DW351" s="1259"/>
      <c r="DX351" s="1259"/>
      <c r="DY351" s="1259"/>
      <c r="DZ351" s="1259"/>
      <c r="EA351" s="1259"/>
      <c r="EB351" s="1259"/>
      <c r="EC351" s="1259"/>
      <c r="ED351" s="1259"/>
      <c r="EE351" s="1259"/>
      <c r="EF351" s="1259"/>
      <c r="EG351" s="1259"/>
      <c r="EH351" s="1259"/>
      <c r="EI351" s="1259"/>
      <c r="EJ351" s="1259"/>
      <c r="EK351" s="1259"/>
      <c r="EL351" s="1259"/>
      <c r="EM351" s="1259"/>
      <c r="EN351" s="1259"/>
      <c r="EO351" s="1259"/>
      <c r="EP351" s="1259"/>
      <c r="EQ351" s="1259"/>
      <c r="ER351" s="1259"/>
      <c r="ES351" s="1259"/>
      <c r="ET351" s="1259"/>
      <c r="EU351" s="1259"/>
      <c r="EV351" s="1259"/>
      <c r="EW351" s="1259"/>
      <c r="EX351" s="1259"/>
      <c r="EY351" s="1259"/>
      <c r="EZ351" s="1259"/>
      <c r="FA351" s="1259"/>
      <c r="FB351" s="1259"/>
      <c r="FC351" s="1259"/>
      <c r="FD351" s="1259"/>
      <c r="FE351" s="1259"/>
      <c r="FF351" s="1259"/>
      <c r="FG351" s="1259"/>
      <c r="FH351" s="1259"/>
      <c r="FI351" s="1259"/>
      <c r="FJ351" s="1259"/>
      <c r="FK351" s="1259"/>
      <c r="FL351" s="1259"/>
      <c r="FM351" s="1259"/>
      <c r="FN351" s="1259"/>
      <c r="FO351" s="1259"/>
      <c r="FP351" s="1259"/>
      <c r="FQ351" s="1259"/>
      <c r="FR351" s="1259"/>
      <c r="FS351" s="1259"/>
      <c r="FT351" s="1259"/>
      <c r="FU351" s="1259"/>
      <c r="FV351" s="1259"/>
      <c r="FW351" s="1259"/>
      <c r="FX351" s="1259"/>
      <c r="FY351" s="1259"/>
      <c r="FZ351" s="1259"/>
      <c r="GA351" s="1259"/>
      <c r="GB351" s="1259"/>
      <c r="GC351" s="1259"/>
      <c r="GD351" s="1259"/>
      <c r="GE351" s="1259"/>
      <c r="GF351" s="1259"/>
      <c r="GG351" s="1259"/>
      <c r="GH351" s="1259"/>
      <c r="GI351" s="1259"/>
      <c r="GJ351" s="1259"/>
      <c r="GK351" s="1259"/>
      <c r="GL351" s="1259"/>
      <c r="GM351" s="1259"/>
      <c r="GN351" s="1259"/>
      <c r="GO351" s="1259"/>
      <c r="GP351" s="1259"/>
      <c r="GQ351" s="1259"/>
      <c r="GR351" s="1259"/>
      <c r="GS351" s="1259"/>
      <c r="GT351" s="1259"/>
      <c r="GU351" s="1259"/>
      <c r="GV351" s="1259"/>
      <c r="GW351" s="1259"/>
      <c r="GX351" s="1259"/>
      <c r="GY351" s="1259"/>
      <c r="GZ351" s="1259"/>
      <c r="HA351" s="1259"/>
      <c r="HB351" s="1259"/>
      <c r="HC351" s="1259"/>
      <c r="HD351" s="1259"/>
      <c r="HE351" s="1259"/>
      <c r="HF351" s="1259"/>
      <c r="HG351" s="1259"/>
      <c r="HH351" s="1259"/>
      <c r="HI351" s="1259"/>
      <c r="HJ351" s="1259"/>
      <c r="HK351" s="1259"/>
      <c r="HL351" s="1259"/>
      <c r="HM351" s="1259"/>
      <c r="HN351" s="1259"/>
      <c r="HO351" s="1259"/>
      <c r="HP351" s="1259"/>
      <c r="HQ351" s="1259"/>
      <c r="HR351" s="1259"/>
      <c r="HS351" s="1259"/>
      <c r="HT351" s="1259"/>
      <c r="HU351" s="1259"/>
      <c r="HV351" s="1259"/>
      <c r="HW351" s="1259"/>
      <c r="HX351" s="1259"/>
      <c r="HY351" s="1259"/>
      <c r="HZ351" s="1259"/>
      <c r="IA351" s="1259"/>
      <c r="IB351" s="1259"/>
      <c r="IC351" s="1259"/>
      <c r="ID351" s="1259"/>
      <c r="IE351" s="1259"/>
      <c r="IF351" s="1259"/>
      <c r="IG351" s="1259"/>
      <c r="IH351" s="1259"/>
      <c r="II351" s="1259"/>
      <c r="IJ351" s="1259"/>
      <c r="IK351" s="1259"/>
      <c r="IL351" s="1259"/>
      <c r="IM351" s="1259"/>
      <c r="IN351" s="1259"/>
      <c r="IO351" s="1259"/>
      <c r="IP351" s="1259"/>
      <c r="IQ351" s="1259"/>
      <c r="IR351" s="1259"/>
      <c r="IS351" s="1259"/>
      <c r="IT351" s="1259"/>
      <c r="IU351" s="1259"/>
      <c r="IV351" s="1259"/>
      <c r="IW351" s="1259"/>
      <c r="IX351" s="1259"/>
      <c r="IY351" s="1259"/>
      <c r="IZ351" s="1259"/>
      <c r="JA351" s="1259"/>
      <c r="JB351" s="1259"/>
      <c r="JC351" s="1259"/>
      <c r="JD351" s="1259"/>
      <c r="JE351" s="1259"/>
      <c r="JF351" s="1259"/>
      <c r="JG351" s="1259"/>
      <c r="JH351" s="1259"/>
      <c r="JI351" s="1259"/>
      <c r="JJ351" s="1259"/>
      <c r="JK351" s="1259"/>
      <c r="JL351" s="1259"/>
      <c r="JM351" s="1259"/>
      <c r="JN351" s="1259"/>
      <c r="JO351" s="1259"/>
      <c r="JP351" s="1259"/>
      <c r="JQ351" s="1259"/>
      <c r="JR351" s="1259"/>
      <c r="JS351" s="1259"/>
      <c r="JT351" s="1259"/>
      <c r="JU351" s="1259"/>
      <c r="JV351" s="1259"/>
      <c r="JW351" s="1259"/>
      <c r="JX351" s="1259"/>
      <c r="JY351" s="1259"/>
      <c r="JZ351" s="1259"/>
      <c r="KA351" s="1259"/>
      <c r="KB351" s="1259"/>
      <c r="KC351" s="1259"/>
      <c r="KD351" s="1259"/>
      <c r="KE351" s="1259"/>
      <c r="KF351" s="1259"/>
      <c r="KG351" s="1259"/>
      <c r="KH351" s="1259"/>
      <c r="KI351" s="1259"/>
      <c r="KJ351" s="1259"/>
      <c r="KK351" s="1259"/>
      <c r="KL351" s="1259"/>
      <c r="KM351" s="1259"/>
      <c r="KN351" s="1259"/>
      <c r="KO351" s="1259"/>
      <c r="KP351" s="1259"/>
      <c r="KQ351" s="1259"/>
      <c r="KR351" s="1259"/>
      <c r="KS351" s="1259"/>
      <c r="KT351" s="1259"/>
      <c r="KU351" s="1259"/>
      <c r="KV351" s="1259"/>
      <c r="KW351" s="1259"/>
      <c r="KX351" s="1259"/>
      <c r="KY351" s="1259"/>
      <c r="KZ351" s="1259"/>
      <c r="LA351" s="1259"/>
      <c r="LB351" s="1259"/>
      <c r="LC351" s="1259"/>
      <c r="LD351" s="1259"/>
      <c r="LE351" s="1259"/>
      <c r="LF351" s="1259"/>
      <c r="LG351" s="1259"/>
      <c r="LH351" s="1259"/>
      <c r="LI351" s="1259"/>
      <c r="LJ351" s="1259"/>
      <c r="LK351" s="1259"/>
      <c r="LL351" s="1259"/>
      <c r="LM351" s="1259"/>
      <c r="LN351" s="1259"/>
      <c r="LO351" s="1259"/>
      <c r="LP351" s="1259"/>
      <c r="LQ351" s="1259"/>
      <c r="LR351" s="1259"/>
      <c r="LS351" s="1259"/>
      <c r="LT351" s="1259"/>
      <c r="LU351" s="1259"/>
      <c r="LV351" s="1259"/>
      <c r="LW351" s="1259"/>
      <c r="LX351" s="1259"/>
      <c r="LY351" s="1259"/>
      <c r="LZ351" s="1259"/>
      <c r="MA351" s="1259"/>
      <c r="MB351" s="1259"/>
      <c r="MC351" s="1259"/>
      <c r="MD351" s="1259"/>
      <c r="ME351" s="1259"/>
      <c r="MF351" s="1259"/>
      <c r="MG351" s="1259"/>
      <c r="MH351" s="1259"/>
      <c r="MI351" s="1259"/>
      <c r="MJ351" s="1259"/>
      <c r="MK351" s="1259"/>
      <c r="ML351" s="1259"/>
      <c r="MM351" s="1259"/>
      <c r="MN351" s="1259"/>
      <c r="MO351" s="1259"/>
      <c r="MP351" s="1259"/>
      <c r="MQ351" s="1259"/>
      <c r="MR351" s="1259"/>
      <c r="MS351" s="1259"/>
      <c r="MT351" s="1259"/>
      <c r="MU351" s="1259"/>
      <c r="MV351" s="1259"/>
      <c r="MW351" s="1259"/>
      <c r="MX351" s="1259"/>
      <c r="MY351" s="1259"/>
      <c r="MZ351" s="1259"/>
      <c r="NA351" s="1259"/>
      <c r="NB351" s="1259"/>
      <c r="NC351" s="1259"/>
      <c r="ND351" s="1259"/>
      <c r="NE351" s="1259"/>
      <c r="NF351" s="1259"/>
      <c r="NG351" s="1259"/>
      <c r="NH351" s="1259"/>
      <c r="NI351" s="1259"/>
      <c r="NJ351" s="1259"/>
      <c r="NK351" s="1259"/>
      <c r="NL351" s="1259"/>
      <c r="NM351" s="1259"/>
      <c r="NN351" s="1259"/>
      <c r="NO351" s="1259"/>
      <c r="NP351" s="1259"/>
      <c r="NQ351" s="1259"/>
      <c r="NR351" s="1259"/>
      <c r="NS351" s="1259"/>
      <c r="NT351" s="1259"/>
      <c r="NU351" s="1259"/>
      <c r="NV351" s="1259"/>
      <c r="NW351" s="1259"/>
      <c r="NX351" s="1259"/>
      <c r="NY351" s="1259"/>
      <c r="NZ351" s="1259"/>
      <c r="OA351" s="1259"/>
      <c r="OB351" s="1259"/>
      <c r="OC351" s="1259"/>
      <c r="OD351" s="1259"/>
      <c r="OE351" s="1259"/>
      <c r="OF351" s="1259"/>
      <c r="OG351" s="1259"/>
      <c r="OH351" s="1259"/>
      <c r="OI351" s="1259"/>
      <c r="OJ351" s="1259"/>
      <c r="OK351" s="1259"/>
      <c r="OL351" s="1259"/>
      <c r="OM351" s="1259"/>
      <c r="ON351" s="1259"/>
      <c r="OO351" s="1259"/>
      <c r="OP351" s="1259"/>
      <c r="OQ351" s="1259"/>
      <c r="OR351" s="1259"/>
      <c r="OS351" s="1259"/>
      <c r="OT351" s="1259"/>
      <c r="OU351" s="1259"/>
      <c r="OV351" s="1259"/>
      <c r="OW351" s="1259"/>
      <c r="OX351" s="1259"/>
      <c r="OY351" s="1259"/>
      <c r="OZ351" s="1259"/>
      <c r="PA351" s="1259"/>
      <c r="PB351" s="1259"/>
      <c r="PC351" s="1259"/>
      <c r="PD351" s="1259"/>
      <c r="PE351" s="1259"/>
      <c r="PF351" s="1259"/>
      <c r="PG351" s="1259"/>
      <c r="PH351" s="1259"/>
      <c r="PI351" s="1259"/>
      <c r="PJ351" s="1259"/>
      <c r="PK351" s="1259"/>
      <c r="PL351" s="1259"/>
      <c r="PM351" s="1259"/>
      <c r="PN351" s="1259"/>
      <c r="PO351" s="1259"/>
      <c r="PP351" s="1259"/>
      <c r="PQ351" s="1259"/>
      <c r="PR351" s="1259"/>
      <c r="PS351" s="1259"/>
      <c r="PT351" s="1259"/>
      <c r="PU351" s="1259"/>
      <c r="PV351" s="1259"/>
      <c r="PW351" s="1259"/>
      <c r="PX351" s="1259"/>
      <c r="PY351" s="1259"/>
      <c r="PZ351" s="1259"/>
      <c r="QA351" s="1259"/>
      <c r="QB351" s="1259"/>
      <c r="QC351" s="1259"/>
      <c r="QD351" s="1259"/>
      <c r="QE351" s="1259"/>
      <c r="QF351" s="1259"/>
      <c r="QG351" s="1259"/>
      <c r="QH351" s="1259"/>
      <c r="QI351" s="1259"/>
      <c r="QJ351" s="1259"/>
      <c r="QK351" s="1259"/>
      <c r="QL351" s="1259"/>
      <c r="QM351" s="1259"/>
      <c r="QN351" s="1259"/>
      <c r="QO351" s="1259"/>
      <c r="QP351" s="1259"/>
      <c r="QQ351" s="1259"/>
      <c r="QR351" s="1259"/>
      <c r="QS351" s="1259"/>
      <c r="QT351" s="1259"/>
      <c r="QU351" s="1259"/>
      <c r="QV351" s="1259"/>
      <c r="QW351" s="1259"/>
      <c r="QX351" s="1259"/>
      <c r="QY351" s="1259"/>
      <c r="QZ351" s="1259"/>
      <c r="RA351" s="1259"/>
      <c r="RB351" s="1259"/>
      <c r="RC351" s="1259"/>
      <c r="RD351" s="1259"/>
      <c r="RE351" s="1259"/>
      <c r="RF351" s="1259"/>
      <c r="RG351" s="1259"/>
      <c r="RH351" s="1259"/>
      <c r="RI351" s="1259"/>
      <c r="RJ351" s="1259"/>
      <c r="RK351" s="1259"/>
      <c r="RL351" s="1259"/>
      <c r="RM351" s="1259"/>
      <c r="RN351" s="1259"/>
      <c r="RO351" s="1259"/>
      <c r="RP351" s="1259"/>
      <c r="RQ351" s="1259"/>
      <c r="RR351" s="1259"/>
      <c r="RS351" s="1259"/>
      <c r="RT351" s="1259"/>
      <c r="RU351" s="1259"/>
      <c r="RV351" s="1259"/>
      <c r="RW351" s="1259"/>
      <c r="RX351" s="1259"/>
      <c r="RY351" s="1259"/>
      <c r="RZ351" s="1259"/>
      <c r="SA351" s="1259"/>
      <c r="SB351" s="1259"/>
      <c r="SC351" s="1259"/>
      <c r="SD351" s="1259"/>
      <c r="SE351" s="1259"/>
      <c r="SF351" s="1259"/>
      <c r="SG351" s="1259"/>
      <c r="SH351" s="1259"/>
      <c r="SI351" s="1259"/>
      <c r="SJ351" s="1259"/>
      <c r="SK351" s="1259"/>
      <c r="SL351" s="1259"/>
      <c r="SM351" s="1259"/>
      <c r="SN351" s="1259"/>
      <c r="SO351" s="1259"/>
      <c r="SP351" s="1259"/>
      <c r="SQ351" s="1259"/>
      <c r="SR351" s="1259"/>
      <c r="SS351" s="1259"/>
      <c r="ST351" s="1259"/>
      <c r="SU351" s="1259"/>
      <c r="SV351" s="1259"/>
      <c r="SW351" s="1259"/>
      <c r="SX351" s="1259"/>
      <c r="SY351" s="1259"/>
      <c r="SZ351" s="1259"/>
      <c r="TA351" s="1259"/>
      <c r="TB351" s="1259"/>
      <c r="TC351" s="1259"/>
      <c r="TD351" s="1259"/>
      <c r="TE351" s="1259"/>
      <c r="TF351" s="1259"/>
      <c r="TG351" s="1259"/>
      <c r="TH351" s="1259"/>
      <c r="TI351" s="1259"/>
      <c r="TJ351" s="1259"/>
      <c r="TK351" s="1259"/>
      <c r="TL351" s="1259"/>
      <c r="TM351" s="1259"/>
      <c r="TN351" s="1259"/>
      <c r="TO351" s="1259"/>
      <c r="TP351" s="1259"/>
      <c r="TQ351" s="1259"/>
      <c r="TR351" s="1259"/>
      <c r="TS351" s="1259"/>
      <c r="TT351" s="1259"/>
      <c r="TU351" s="1259"/>
      <c r="TV351" s="1259"/>
      <c r="TW351" s="1259"/>
      <c r="TX351" s="1259"/>
      <c r="TY351" s="1259"/>
      <c r="TZ351" s="1259"/>
      <c r="UA351" s="1259"/>
      <c r="UB351" s="1259"/>
      <c r="UC351" s="1259"/>
      <c r="UD351" s="1259"/>
      <c r="UE351" s="1259"/>
      <c r="UF351" s="1259"/>
      <c r="UG351" s="1261"/>
    </row>
    <row r="352" spans="1:553" s="1262" customFormat="1" ht="29.25" customHeight="1">
      <c r="A352" s="1226"/>
      <c r="B352" s="411"/>
      <c r="C352" s="1557" t="s">
        <v>1075</v>
      </c>
      <c r="D352" s="1557" t="s">
        <v>1076</v>
      </c>
      <c r="E352" s="1557" t="s">
        <v>1076</v>
      </c>
      <c r="F352" s="1557" t="s">
        <v>1076</v>
      </c>
      <c r="G352" s="1226" t="s">
        <v>46</v>
      </c>
      <c r="H352" s="412"/>
      <c r="I352" s="636">
        <f>(20.51*100/400)*(12-(6-3))*1</f>
        <v>46.147500000000001</v>
      </c>
      <c r="J352" s="1088">
        <v>3100</v>
      </c>
      <c r="K352" s="712">
        <v>0.7</v>
      </c>
      <c r="L352" s="679">
        <f>I352*J352*K352</f>
        <v>100140.075</v>
      </c>
      <c r="M352" s="366"/>
      <c r="N352" s="366"/>
      <c r="O352" s="366"/>
      <c r="P352" s="366"/>
      <c r="Q352" s="1135"/>
      <c r="R352" s="1228"/>
      <c r="S352" s="308"/>
      <c r="T352" s="303"/>
      <c r="U352" s="306"/>
      <c r="V352" s="307"/>
      <c r="W352" s="306"/>
      <c r="X352" s="306"/>
      <c r="Y352" s="306"/>
      <c r="Z352" s="306"/>
      <c r="AA352" s="306"/>
      <c r="AB352" s="306"/>
      <c r="AC352" s="456"/>
      <c r="AD352" s="452"/>
      <c r="AE352" s="452"/>
      <c r="AF352" s="452"/>
      <c r="AG352" s="452"/>
      <c r="AH352" s="452"/>
      <c r="AI352" s="452"/>
      <c r="AJ352" s="452"/>
      <c r="AK352" s="452"/>
      <c r="AL352" s="1259"/>
      <c r="AM352" s="1259"/>
      <c r="AN352" s="1259"/>
      <c r="AO352" s="1259"/>
      <c r="AP352" s="1259"/>
      <c r="AQ352" s="1259"/>
      <c r="AR352" s="1259"/>
      <c r="AS352" s="1259"/>
      <c r="AT352" s="1259"/>
      <c r="AU352" s="1259"/>
      <c r="AV352" s="1259"/>
      <c r="AW352" s="1259"/>
      <c r="AX352" s="1259"/>
      <c r="AY352" s="1259"/>
      <c r="AZ352" s="1259"/>
      <c r="BA352" s="1259"/>
      <c r="BB352" s="1259"/>
      <c r="BC352" s="1259"/>
      <c r="BD352" s="1259"/>
      <c r="BE352" s="1259"/>
      <c r="BF352" s="1259"/>
      <c r="BG352" s="1259"/>
      <c r="BH352" s="1259"/>
      <c r="BI352" s="1259"/>
      <c r="BJ352" s="1259"/>
      <c r="BK352" s="1259"/>
      <c r="BL352" s="1259"/>
      <c r="BM352" s="1259"/>
      <c r="BN352" s="1259"/>
      <c r="BO352" s="1259"/>
      <c r="BP352" s="1259"/>
      <c r="BQ352" s="1259"/>
      <c r="BR352" s="1259"/>
      <c r="BS352" s="1259"/>
      <c r="BT352" s="1259"/>
      <c r="BU352" s="1259"/>
      <c r="BV352" s="1259"/>
      <c r="BW352" s="1259"/>
      <c r="BX352" s="1259"/>
      <c r="BY352" s="1259"/>
      <c r="BZ352" s="1259"/>
      <c r="CA352" s="1259"/>
      <c r="CB352" s="1259"/>
      <c r="CC352" s="1259"/>
      <c r="CD352" s="1259"/>
      <c r="CE352" s="1259"/>
      <c r="CF352" s="1259"/>
      <c r="CG352" s="1259"/>
      <c r="CH352" s="1259"/>
      <c r="CI352" s="1259"/>
      <c r="CJ352" s="1259"/>
      <c r="CK352" s="1259"/>
      <c r="CL352" s="1259"/>
      <c r="CM352" s="1259"/>
      <c r="CN352" s="1259"/>
      <c r="CO352" s="1259"/>
      <c r="CP352" s="1259"/>
      <c r="CQ352" s="1259"/>
      <c r="CR352" s="1259"/>
      <c r="CS352" s="1259"/>
      <c r="CT352" s="1259"/>
      <c r="CU352" s="1259"/>
      <c r="CV352" s="1259"/>
      <c r="CW352" s="1259"/>
      <c r="CX352" s="1259"/>
      <c r="CY352" s="1259"/>
      <c r="CZ352" s="1259"/>
      <c r="DA352" s="1259"/>
      <c r="DB352" s="1259"/>
      <c r="DC352" s="1259"/>
      <c r="DD352" s="1259"/>
      <c r="DE352" s="1259"/>
      <c r="DF352" s="1259"/>
      <c r="DG352" s="1259"/>
      <c r="DH352" s="1259"/>
      <c r="DI352" s="1259"/>
      <c r="DJ352" s="1259"/>
      <c r="DK352" s="1259"/>
      <c r="DL352" s="1259"/>
      <c r="DM352" s="1259"/>
      <c r="DN352" s="1259"/>
      <c r="DO352" s="1259"/>
      <c r="DP352" s="1259"/>
      <c r="DQ352" s="1259"/>
      <c r="DR352" s="1259"/>
      <c r="DS352" s="1259"/>
      <c r="DT352" s="1259"/>
      <c r="DU352" s="1259"/>
      <c r="DV352" s="1259"/>
      <c r="DW352" s="1259"/>
      <c r="DX352" s="1259"/>
      <c r="DY352" s="1259"/>
      <c r="DZ352" s="1259"/>
      <c r="EA352" s="1259"/>
      <c r="EB352" s="1259"/>
      <c r="EC352" s="1259"/>
      <c r="ED352" s="1259"/>
      <c r="EE352" s="1259"/>
      <c r="EF352" s="1259"/>
      <c r="EG352" s="1259"/>
      <c r="EH352" s="1259"/>
      <c r="EI352" s="1259"/>
      <c r="EJ352" s="1259"/>
      <c r="EK352" s="1259"/>
      <c r="EL352" s="1259"/>
      <c r="EM352" s="1259"/>
      <c r="EN352" s="1259"/>
      <c r="EO352" s="1259"/>
      <c r="EP352" s="1259"/>
      <c r="EQ352" s="1259"/>
      <c r="ER352" s="1259"/>
      <c r="ES352" s="1259"/>
      <c r="ET352" s="1259"/>
      <c r="EU352" s="1259"/>
      <c r="EV352" s="1259"/>
      <c r="EW352" s="1259"/>
      <c r="EX352" s="1259"/>
      <c r="EY352" s="1259"/>
      <c r="EZ352" s="1259"/>
      <c r="FA352" s="1259"/>
      <c r="FB352" s="1259"/>
      <c r="FC352" s="1259"/>
      <c r="FD352" s="1259"/>
      <c r="FE352" s="1259"/>
      <c r="FF352" s="1259"/>
      <c r="FG352" s="1259"/>
      <c r="FH352" s="1259"/>
      <c r="FI352" s="1259"/>
      <c r="FJ352" s="1259"/>
      <c r="FK352" s="1259"/>
      <c r="FL352" s="1259"/>
      <c r="FM352" s="1259"/>
      <c r="FN352" s="1259"/>
      <c r="FO352" s="1259"/>
      <c r="FP352" s="1259"/>
      <c r="FQ352" s="1259"/>
      <c r="FR352" s="1259"/>
      <c r="FS352" s="1259"/>
      <c r="FT352" s="1259"/>
      <c r="FU352" s="1259"/>
      <c r="FV352" s="1259"/>
      <c r="FW352" s="1259"/>
      <c r="FX352" s="1259"/>
      <c r="FY352" s="1259"/>
      <c r="FZ352" s="1259"/>
      <c r="GA352" s="1259"/>
      <c r="GB352" s="1259"/>
      <c r="GC352" s="1259"/>
      <c r="GD352" s="1259"/>
      <c r="GE352" s="1259"/>
      <c r="GF352" s="1259"/>
      <c r="GG352" s="1259"/>
      <c r="GH352" s="1259"/>
      <c r="GI352" s="1259"/>
      <c r="GJ352" s="1259"/>
      <c r="GK352" s="1259"/>
      <c r="GL352" s="1259"/>
      <c r="GM352" s="1259"/>
      <c r="GN352" s="1259"/>
      <c r="GO352" s="1259"/>
      <c r="GP352" s="1259"/>
      <c r="GQ352" s="1259"/>
      <c r="GR352" s="1259"/>
      <c r="GS352" s="1259"/>
      <c r="GT352" s="1259"/>
      <c r="GU352" s="1259"/>
      <c r="GV352" s="1259"/>
      <c r="GW352" s="1259"/>
      <c r="GX352" s="1259"/>
      <c r="GY352" s="1259"/>
      <c r="GZ352" s="1259"/>
      <c r="HA352" s="1259"/>
      <c r="HB352" s="1259"/>
      <c r="HC352" s="1259"/>
      <c r="HD352" s="1259"/>
      <c r="HE352" s="1259"/>
      <c r="HF352" s="1259"/>
      <c r="HG352" s="1259"/>
      <c r="HH352" s="1259"/>
      <c r="HI352" s="1259"/>
      <c r="HJ352" s="1259"/>
      <c r="HK352" s="1259"/>
      <c r="HL352" s="1259"/>
      <c r="HM352" s="1259"/>
      <c r="HN352" s="1259"/>
      <c r="HO352" s="1259"/>
      <c r="HP352" s="1259"/>
      <c r="HQ352" s="1259"/>
      <c r="HR352" s="1259"/>
      <c r="HS352" s="1259"/>
      <c r="HT352" s="1259"/>
      <c r="HU352" s="1259"/>
      <c r="HV352" s="1259"/>
      <c r="HW352" s="1259"/>
      <c r="HX352" s="1259"/>
      <c r="HY352" s="1259"/>
      <c r="HZ352" s="1259"/>
      <c r="IA352" s="1259"/>
      <c r="IB352" s="1259"/>
      <c r="IC352" s="1259"/>
      <c r="ID352" s="1259"/>
      <c r="IE352" s="1259"/>
      <c r="IF352" s="1259"/>
      <c r="IG352" s="1259"/>
      <c r="IH352" s="1259"/>
      <c r="II352" s="1259"/>
      <c r="IJ352" s="1259"/>
      <c r="IK352" s="1259"/>
      <c r="IL352" s="1259"/>
      <c r="IM352" s="1259"/>
      <c r="IN352" s="1259"/>
      <c r="IO352" s="1259"/>
      <c r="IP352" s="1259"/>
      <c r="IQ352" s="1259"/>
      <c r="IR352" s="1259"/>
      <c r="IS352" s="1259"/>
      <c r="IT352" s="1259"/>
      <c r="IU352" s="1259"/>
      <c r="IV352" s="1259"/>
      <c r="IW352" s="1259"/>
      <c r="IX352" s="1259"/>
      <c r="IY352" s="1259"/>
      <c r="IZ352" s="1259"/>
      <c r="JA352" s="1259"/>
      <c r="JB352" s="1259"/>
      <c r="JC352" s="1259"/>
      <c r="JD352" s="1259"/>
      <c r="JE352" s="1259"/>
      <c r="JF352" s="1259"/>
      <c r="JG352" s="1259"/>
      <c r="JH352" s="1259"/>
      <c r="JI352" s="1259"/>
      <c r="JJ352" s="1259"/>
      <c r="JK352" s="1259"/>
      <c r="JL352" s="1259"/>
      <c r="JM352" s="1259"/>
      <c r="JN352" s="1259"/>
      <c r="JO352" s="1259"/>
      <c r="JP352" s="1259"/>
      <c r="JQ352" s="1259"/>
      <c r="JR352" s="1259"/>
      <c r="JS352" s="1259"/>
      <c r="JT352" s="1259"/>
      <c r="JU352" s="1259"/>
      <c r="JV352" s="1259"/>
      <c r="JW352" s="1259"/>
      <c r="JX352" s="1259"/>
      <c r="JY352" s="1259"/>
      <c r="JZ352" s="1259"/>
      <c r="KA352" s="1259"/>
      <c r="KB352" s="1259"/>
      <c r="KC352" s="1259"/>
      <c r="KD352" s="1259"/>
      <c r="KE352" s="1259"/>
      <c r="KF352" s="1259"/>
      <c r="KG352" s="1259"/>
      <c r="KH352" s="1259"/>
      <c r="KI352" s="1259"/>
      <c r="KJ352" s="1259"/>
      <c r="KK352" s="1259"/>
      <c r="KL352" s="1259"/>
      <c r="KM352" s="1259"/>
      <c r="KN352" s="1259"/>
      <c r="KO352" s="1259"/>
      <c r="KP352" s="1259"/>
      <c r="KQ352" s="1259"/>
      <c r="KR352" s="1259"/>
      <c r="KS352" s="1259"/>
      <c r="KT352" s="1259"/>
      <c r="KU352" s="1259"/>
      <c r="KV352" s="1259"/>
      <c r="KW352" s="1259"/>
      <c r="KX352" s="1259"/>
      <c r="KY352" s="1259"/>
      <c r="KZ352" s="1259"/>
      <c r="LA352" s="1259"/>
      <c r="LB352" s="1259"/>
      <c r="LC352" s="1259"/>
      <c r="LD352" s="1259"/>
      <c r="LE352" s="1259"/>
      <c r="LF352" s="1259"/>
      <c r="LG352" s="1259"/>
      <c r="LH352" s="1259"/>
      <c r="LI352" s="1259"/>
      <c r="LJ352" s="1259"/>
      <c r="LK352" s="1259"/>
      <c r="LL352" s="1259"/>
      <c r="LM352" s="1259"/>
      <c r="LN352" s="1259"/>
      <c r="LO352" s="1259"/>
      <c r="LP352" s="1259"/>
      <c r="LQ352" s="1259"/>
      <c r="LR352" s="1259"/>
      <c r="LS352" s="1259"/>
      <c r="LT352" s="1259"/>
      <c r="LU352" s="1259"/>
      <c r="LV352" s="1259"/>
      <c r="LW352" s="1259"/>
      <c r="LX352" s="1259"/>
      <c r="LY352" s="1259"/>
      <c r="LZ352" s="1259"/>
      <c r="MA352" s="1259"/>
      <c r="MB352" s="1259"/>
      <c r="MC352" s="1259"/>
      <c r="MD352" s="1259"/>
      <c r="ME352" s="1259"/>
      <c r="MF352" s="1259"/>
      <c r="MG352" s="1259"/>
      <c r="MH352" s="1259"/>
      <c r="MI352" s="1259"/>
      <c r="MJ352" s="1259"/>
      <c r="MK352" s="1259"/>
      <c r="ML352" s="1259"/>
      <c r="MM352" s="1259"/>
      <c r="MN352" s="1259"/>
      <c r="MO352" s="1259"/>
      <c r="MP352" s="1259"/>
      <c r="MQ352" s="1259"/>
      <c r="MR352" s="1259"/>
      <c r="MS352" s="1259"/>
      <c r="MT352" s="1259"/>
      <c r="MU352" s="1259"/>
      <c r="MV352" s="1259"/>
      <c r="MW352" s="1259"/>
      <c r="MX352" s="1259"/>
      <c r="MY352" s="1259"/>
      <c r="MZ352" s="1259"/>
      <c r="NA352" s="1259"/>
      <c r="NB352" s="1259"/>
      <c r="NC352" s="1259"/>
      <c r="ND352" s="1259"/>
      <c r="NE352" s="1259"/>
      <c r="NF352" s="1259"/>
      <c r="NG352" s="1259"/>
      <c r="NH352" s="1259"/>
      <c r="NI352" s="1259"/>
      <c r="NJ352" s="1259"/>
      <c r="NK352" s="1259"/>
      <c r="NL352" s="1259"/>
      <c r="NM352" s="1259"/>
      <c r="NN352" s="1259"/>
      <c r="NO352" s="1259"/>
      <c r="NP352" s="1259"/>
      <c r="NQ352" s="1259"/>
      <c r="NR352" s="1259"/>
      <c r="NS352" s="1259"/>
      <c r="NT352" s="1259"/>
      <c r="NU352" s="1259"/>
      <c r="NV352" s="1259"/>
      <c r="NW352" s="1259"/>
      <c r="NX352" s="1259"/>
      <c r="NY352" s="1259"/>
      <c r="NZ352" s="1259"/>
      <c r="OA352" s="1259"/>
      <c r="OB352" s="1259"/>
      <c r="OC352" s="1259"/>
      <c r="OD352" s="1259"/>
      <c r="OE352" s="1259"/>
      <c r="OF352" s="1259"/>
      <c r="OG352" s="1259"/>
      <c r="OH352" s="1259"/>
      <c r="OI352" s="1259"/>
      <c r="OJ352" s="1259"/>
      <c r="OK352" s="1259"/>
      <c r="OL352" s="1259"/>
      <c r="OM352" s="1259"/>
      <c r="ON352" s="1259"/>
      <c r="OO352" s="1259"/>
      <c r="OP352" s="1259"/>
      <c r="OQ352" s="1259"/>
      <c r="OR352" s="1259"/>
      <c r="OS352" s="1259"/>
      <c r="OT352" s="1259"/>
      <c r="OU352" s="1259"/>
      <c r="OV352" s="1259"/>
      <c r="OW352" s="1259"/>
      <c r="OX352" s="1259"/>
      <c r="OY352" s="1259"/>
      <c r="OZ352" s="1259"/>
      <c r="PA352" s="1259"/>
      <c r="PB352" s="1259"/>
      <c r="PC352" s="1259"/>
      <c r="PD352" s="1259"/>
      <c r="PE352" s="1259"/>
      <c r="PF352" s="1259"/>
      <c r="PG352" s="1259"/>
      <c r="PH352" s="1259"/>
      <c r="PI352" s="1259"/>
      <c r="PJ352" s="1259"/>
      <c r="PK352" s="1259"/>
      <c r="PL352" s="1259"/>
      <c r="PM352" s="1259"/>
      <c r="PN352" s="1259"/>
      <c r="PO352" s="1259"/>
      <c r="PP352" s="1259"/>
      <c r="PQ352" s="1259"/>
      <c r="PR352" s="1259"/>
      <c r="PS352" s="1259"/>
      <c r="PT352" s="1259"/>
      <c r="PU352" s="1259"/>
      <c r="PV352" s="1259"/>
      <c r="PW352" s="1259"/>
      <c r="PX352" s="1259"/>
      <c r="PY352" s="1259"/>
      <c r="PZ352" s="1259"/>
      <c r="QA352" s="1259"/>
      <c r="QB352" s="1259"/>
      <c r="QC352" s="1259"/>
      <c r="QD352" s="1259"/>
      <c r="QE352" s="1259"/>
      <c r="QF352" s="1259"/>
      <c r="QG352" s="1259"/>
      <c r="QH352" s="1259"/>
      <c r="QI352" s="1259"/>
      <c r="QJ352" s="1259"/>
      <c r="QK352" s="1259"/>
      <c r="QL352" s="1259"/>
      <c r="QM352" s="1259"/>
      <c r="QN352" s="1259"/>
      <c r="QO352" s="1259"/>
      <c r="QP352" s="1259"/>
      <c r="QQ352" s="1259"/>
      <c r="QR352" s="1259"/>
      <c r="QS352" s="1259"/>
      <c r="QT352" s="1259"/>
      <c r="QU352" s="1259"/>
      <c r="QV352" s="1259"/>
      <c r="QW352" s="1259"/>
      <c r="QX352" s="1259"/>
      <c r="QY352" s="1259"/>
      <c r="QZ352" s="1259"/>
      <c r="RA352" s="1259"/>
      <c r="RB352" s="1259"/>
      <c r="RC352" s="1259"/>
      <c r="RD352" s="1259"/>
      <c r="RE352" s="1259"/>
      <c r="RF352" s="1259"/>
      <c r="RG352" s="1259"/>
      <c r="RH352" s="1259"/>
      <c r="RI352" s="1259"/>
      <c r="RJ352" s="1259"/>
      <c r="RK352" s="1259"/>
      <c r="RL352" s="1259"/>
      <c r="RM352" s="1259"/>
      <c r="RN352" s="1259"/>
      <c r="RO352" s="1259"/>
      <c r="RP352" s="1259"/>
      <c r="RQ352" s="1259"/>
      <c r="RR352" s="1259"/>
      <c r="RS352" s="1259"/>
      <c r="RT352" s="1259"/>
      <c r="RU352" s="1259"/>
      <c r="RV352" s="1259"/>
      <c r="RW352" s="1259"/>
      <c r="RX352" s="1259"/>
      <c r="RY352" s="1259"/>
      <c r="RZ352" s="1259"/>
      <c r="SA352" s="1259"/>
      <c r="SB352" s="1259"/>
      <c r="SC352" s="1259"/>
      <c r="SD352" s="1259"/>
      <c r="SE352" s="1259"/>
      <c r="SF352" s="1259"/>
      <c r="SG352" s="1259"/>
      <c r="SH352" s="1259"/>
      <c r="SI352" s="1259"/>
      <c r="SJ352" s="1259"/>
      <c r="SK352" s="1259"/>
      <c r="SL352" s="1259"/>
      <c r="SM352" s="1259"/>
      <c r="SN352" s="1259"/>
      <c r="SO352" s="1259"/>
      <c r="SP352" s="1259"/>
      <c r="SQ352" s="1259"/>
      <c r="SR352" s="1259"/>
      <c r="SS352" s="1259"/>
      <c r="ST352" s="1259"/>
      <c r="SU352" s="1259"/>
      <c r="SV352" s="1259"/>
      <c r="SW352" s="1259"/>
      <c r="SX352" s="1259"/>
      <c r="SY352" s="1259"/>
      <c r="SZ352" s="1259"/>
      <c r="TA352" s="1259"/>
      <c r="TB352" s="1259"/>
      <c r="TC352" s="1259"/>
      <c r="TD352" s="1259"/>
      <c r="TE352" s="1259"/>
      <c r="TF352" s="1259"/>
      <c r="TG352" s="1259"/>
      <c r="TH352" s="1259"/>
      <c r="TI352" s="1259"/>
      <c r="TJ352" s="1259"/>
      <c r="TK352" s="1259"/>
      <c r="TL352" s="1259"/>
      <c r="TM352" s="1259"/>
      <c r="TN352" s="1259"/>
      <c r="TO352" s="1259"/>
      <c r="TP352" s="1259"/>
      <c r="TQ352" s="1259"/>
      <c r="TR352" s="1259"/>
      <c r="TS352" s="1259"/>
      <c r="TT352" s="1259"/>
      <c r="TU352" s="1259"/>
      <c r="TV352" s="1259"/>
      <c r="TW352" s="1259"/>
      <c r="TX352" s="1259"/>
      <c r="TY352" s="1259"/>
      <c r="TZ352" s="1259"/>
      <c r="UA352" s="1259"/>
      <c r="UB352" s="1259"/>
      <c r="UC352" s="1259"/>
      <c r="UD352" s="1259"/>
      <c r="UE352" s="1259"/>
      <c r="UF352" s="1259"/>
      <c r="UG352" s="1261"/>
    </row>
    <row r="353" spans="1:553" s="1262" customFormat="1" ht="29.25" customHeight="1">
      <c r="A353" s="415"/>
      <c r="B353" s="414"/>
      <c r="C353" s="1428" t="s">
        <v>1077</v>
      </c>
      <c r="D353" s="1429" t="s">
        <v>1078</v>
      </c>
      <c r="E353" s="1429" t="s">
        <v>1078</v>
      </c>
      <c r="F353" s="1430" t="s">
        <v>1078</v>
      </c>
      <c r="G353" s="561" t="s">
        <v>196</v>
      </c>
      <c r="H353" s="416"/>
      <c r="I353" s="529">
        <f>(75.22*100/500)*(17-(6-3))*3</f>
        <v>631.84800000000007</v>
      </c>
      <c r="J353" s="1248">
        <v>10800</v>
      </c>
      <c r="K353" s="563">
        <v>0.7</v>
      </c>
      <c r="L353" s="1334">
        <f t="shared" ref="L353" si="73">ROUND(PRODUCT(I353:K353),0)</f>
        <v>4776771</v>
      </c>
      <c r="M353" s="366"/>
      <c r="N353" s="366"/>
      <c r="O353" s="366"/>
      <c r="P353" s="366"/>
      <c r="Q353" s="1135"/>
      <c r="R353" s="1228"/>
      <c r="S353" s="308"/>
      <c r="T353" s="303"/>
      <c r="U353" s="306"/>
      <c r="V353" s="307"/>
      <c r="W353" s="306"/>
      <c r="X353" s="306"/>
      <c r="Y353" s="306"/>
      <c r="Z353" s="306"/>
      <c r="AA353" s="306"/>
      <c r="AB353" s="306"/>
      <c r="AC353" s="456"/>
      <c r="AD353" s="452"/>
      <c r="AE353" s="452"/>
      <c r="AF353" s="452"/>
      <c r="AG353" s="452"/>
      <c r="AH353" s="452"/>
      <c r="AI353" s="452"/>
      <c r="AJ353" s="452"/>
      <c r="AK353" s="452"/>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1259"/>
      <c r="CB353" s="1259"/>
      <c r="CC353" s="1259"/>
      <c r="CD353" s="1259"/>
      <c r="CE353" s="1259"/>
      <c r="CF353" s="1259"/>
      <c r="CG353" s="1259"/>
      <c r="CH353" s="1259"/>
      <c r="CI353" s="1259"/>
      <c r="CJ353" s="1259"/>
      <c r="CK353" s="1259"/>
      <c r="CL353" s="1259"/>
      <c r="CM353" s="1259"/>
      <c r="CN353" s="1259"/>
      <c r="CO353" s="1259"/>
      <c r="CP353" s="1259"/>
      <c r="CQ353" s="1259"/>
      <c r="CR353" s="1259"/>
      <c r="CS353" s="1259"/>
      <c r="CT353" s="1259"/>
      <c r="CU353" s="1259"/>
      <c r="CV353" s="1259"/>
      <c r="CW353" s="1259"/>
      <c r="CX353" s="1259"/>
      <c r="CY353" s="1259"/>
      <c r="CZ353" s="1259"/>
      <c r="DA353" s="1259"/>
      <c r="DB353" s="1259"/>
      <c r="DC353" s="1259"/>
      <c r="DD353" s="1259"/>
      <c r="DE353" s="1259"/>
      <c r="DF353" s="1259"/>
      <c r="DG353" s="1259"/>
      <c r="DH353" s="1259"/>
      <c r="DI353" s="1259"/>
      <c r="DJ353" s="1259"/>
      <c r="DK353" s="1259"/>
      <c r="DL353" s="1259"/>
      <c r="DM353" s="1259"/>
      <c r="DN353" s="1259"/>
      <c r="DO353" s="1259"/>
      <c r="DP353" s="1259"/>
      <c r="DQ353" s="1259"/>
      <c r="DR353" s="1259"/>
      <c r="DS353" s="1259"/>
      <c r="DT353" s="1259"/>
      <c r="DU353" s="1259"/>
      <c r="DV353" s="1259"/>
      <c r="DW353" s="1259"/>
      <c r="DX353" s="1259"/>
      <c r="DY353" s="1259"/>
      <c r="DZ353" s="1259"/>
      <c r="EA353" s="1259"/>
      <c r="EB353" s="1259"/>
      <c r="EC353" s="1259"/>
      <c r="ED353" s="1259"/>
      <c r="EE353" s="1259"/>
      <c r="EF353" s="1259"/>
      <c r="EG353" s="1259"/>
      <c r="EH353" s="1259"/>
      <c r="EI353" s="1259"/>
      <c r="EJ353" s="1259"/>
      <c r="EK353" s="1259"/>
      <c r="EL353" s="1259"/>
      <c r="EM353" s="1259"/>
      <c r="EN353" s="1259"/>
      <c r="EO353" s="1259"/>
      <c r="EP353" s="1259"/>
      <c r="EQ353" s="1259"/>
      <c r="ER353" s="1259"/>
      <c r="ES353" s="1259"/>
      <c r="ET353" s="1259"/>
      <c r="EU353" s="1259"/>
      <c r="EV353" s="1259"/>
      <c r="EW353" s="1259"/>
      <c r="EX353" s="1259"/>
      <c r="EY353" s="1259"/>
      <c r="EZ353" s="1259"/>
      <c r="FA353" s="1259"/>
      <c r="FB353" s="1259"/>
      <c r="FC353" s="1259"/>
      <c r="FD353" s="1259"/>
      <c r="FE353" s="1259"/>
      <c r="FF353" s="1259"/>
      <c r="FG353" s="1259"/>
      <c r="FH353" s="1259"/>
      <c r="FI353" s="1259"/>
      <c r="FJ353" s="1259"/>
      <c r="FK353" s="1259"/>
      <c r="FL353" s="1259"/>
      <c r="FM353" s="1259"/>
      <c r="FN353" s="1259"/>
      <c r="FO353" s="1259"/>
      <c r="FP353" s="1259"/>
      <c r="FQ353" s="1259"/>
      <c r="FR353" s="1259"/>
      <c r="FS353" s="1259"/>
      <c r="FT353" s="1259"/>
      <c r="FU353" s="1259"/>
      <c r="FV353" s="1259"/>
      <c r="FW353" s="1259"/>
      <c r="FX353" s="1259"/>
      <c r="FY353" s="1259"/>
      <c r="FZ353" s="1259"/>
      <c r="GA353" s="1259"/>
      <c r="GB353" s="1259"/>
      <c r="GC353" s="1259"/>
      <c r="GD353" s="1259"/>
      <c r="GE353" s="1259"/>
      <c r="GF353" s="1259"/>
      <c r="GG353" s="1259"/>
      <c r="GH353" s="1259"/>
      <c r="GI353" s="1259"/>
      <c r="GJ353" s="1259"/>
      <c r="GK353" s="1259"/>
      <c r="GL353" s="1259"/>
      <c r="GM353" s="1259"/>
      <c r="GN353" s="1259"/>
      <c r="GO353" s="1259"/>
      <c r="GP353" s="1259"/>
      <c r="GQ353" s="1259"/>
      <c r="GR353" s="1259"/>
      <c r="GS353" s="1259"/>
      <c r="GT353" s="1259"/>
      <c r="GU353" s="1259"/>
      <c r="GV353" s="1259"/>
      <c r="GW353" s="1259"/>
      <c r="GX353" s="1259"/>
      <c r="GY353" s="1259"/>
      <c r="GZ353" s="1259"/>
      <c r="HA353" s="1259"/>
      <c r="HB353" s="1259"/>
      <c r="HC353" s="1259"/>
      <c r="HD353" s="1259"/>
      <c r="HE353" s="1259"/>
      <c r="HF353" s="1259"/>
      <c r="HG353" s="1259"/>
      <c r="HH353" s="1259"/>
      <c r="HI353" s="1259"/>
      <c r="HJ353" s="1259"/>
      <c r="HK353" s="1259"/>
      <c r="HL353" s="1259"/>
      <c r="HM353" s="1259"/>
      <c r="HN353" s="1259"/>
      <c r="HO353" s="1259"/>
      <c r="HP353" s="1259"/>
      <c r="HQ353" s="1259"/>
      <c r="HR353" s="1259"/>
      <c r="HS353" s="1259"/>
      <c r="HT353" s="1259"/>
      <c r="HU353" s="1259"/>
      <c r="HV353" s="1259"/>
      <c r="HW353" s="1259"/>
      <c r="HX353" s="1259"/>
      <c r="HY353" s="1259"/>
      <c r="HZ353" s="1259"/>
      <c r="IA353" s="1259"/>
      <c r="IB353" s="1259"/>
      <c r="IC353" s="1259"/>
      <c r="ID353" s="1259"/>
      <c r="IE353" s="1259"/>
      <c r="IF353" s="1259"/>
      <c r="IG353" s="1259"/>
      <c r="IH353" s="1259"/>
      <c r="II353" s="1259"/>
      <c r="IJ353" s="1259"/>
      <c r="IK353" s="1259"/>
      <c r="IL353" s="1259"/>
      <c r="IM353" s="1259"/>
      <c r="IN353" s="1259"/>
      <c r="IO353" s="1259"/>
      <c r="IP353" s="1259"/>
      <c r="IQ353" s="1259"/>
      <c r="IR353" s="1259"/>
      <c r="IS353" s="1259"/>
      <c r="IT353" s="1259"/>
      <c r="IU353" s="1259"/>
      <c r="IV353" s="1259"/>
      <c r="IW353" s="1259"/>
      <c r="IX353" s="1259"/>
      <c r="IY353" s="1259"/>
      <c r="IZ353" s="1259"/>
      <c r="JA353" s="1259"/>
      <c r="JB353" s="1259"/>
      <c r="JC353" s="1259"/>
      <c r="JD353" s="1259"/>
      <c r="JE353" s="1259"/>
      <c r="JF353" s="1259"/>
      <c r="JG353" s="1259"/>
      <c r="JH353" s="1259"/>
      <c r="JI353" s="1259"/>
      <c r="JJ353" s="1259"/>
      <c r="JK353" s="1259"/>
      <c r="JL353" s="1259"/>
      <c r="JM353" s="1259"/>
      <c r="JN353" s="1259"/>
      <c r="JO353" s="1259"/>
      <c r="JP353" s="1259"/>
      <c r="JQ353" s="1259"/>
      <c r="JR353" s="1259"/>
      <c r="JS353" s="1259"/>
      <c r="JT353" s="1259"/>
      <c r="JU353" s="1259"/>
      <c r="JV353" s="1259"/>
      <c r="JW353" s="1259"/>
      <c r="JX353" s="1259"/>
      <c r="JY353" s="1259"/>
      <c r="JZ353" s="1259"/>
      <c r="KA353" s="1259"/>
      <c r="KB353" s="1259"/>
      <c r="KC353" s="1259"/>
      <c r="KD353" s="1259"/>
      <c r="KE353" s="1259"/>
      <c r="KF353" s="1259"/>
      <c r="KG353" s="1259"/>
      <c r="KH353" s="1259"/>
      <c r="KI353" s="1259"/>
      <c r="KJ353" s="1259"/>
      <c r="KK353" s="1259"/>
      <c r="KL353" s="1259"/>
      <c r="KM353" s="1259"/>
      <c r="KN353" s="1259"/>
      <c r="KO353" s="1259"/>
      <c r="KP353" s="1259"/>
      <c r="KQ353" s="1259"/>
      <c r="KR353" s="1259"/>
      <c r="KS353" s="1259"/>
      <c r="KT353" s="1259"/>
      <c r="KU353" s="1259"/>
      <c r="KV353" s="1259"/>
      <c r="KW353" s="1259"/>
      <c r="KX353" s="1259"/>
      <c r="KY353" s="1259"/>
      <c r="KZ353" s="1259"/>
      <c r="LA353" s="1259"/>
      <c r="LB353" s="1259"/>
      <c r="LC353" s="1259"/>
      <c r="LD353" s="1259"/>
      <c r="LE353" s="1259"/>
      <c r="LF353" s="1259"/>
      <c r="LG353" s="1259"/>
      <c r="LH353" s="1259"/>
      <c r="LI353" s="1259"/>
      <c r="LJ353" s="1259"/>
      <c r="LK353" s="1259"/>
      <c r="LL353" s="1259"/>
      <c r="LM353" s="1259"/>
      <c r="LN353" s="1259"/>
      <c r="LO353" s="1259"/>
      <c r="LP353" s="1259"/>
      <c r="LQ353" s="1259"/>
      <c r="LR353" s="1259"/>
      <c r="LS353" s="1259"/>
      <c r="LT353" s="1259"/>
      <c r="LU353" s="1259"/>
      <c r="LV353" s="1259"/>
      <c r="LW353" s="1259"/>
      <c r="LX353" s="1259"/>
      <c r="LY353" s="1259"/>
      <c r="LZ353" s="1259"/>
      <c r="MA353" s="1259"/>
      <c r="MB353" s="1259"/>
      <c r="MC353" s="1259"/>
      <c r="MD353" s="1259"/>
      <c r="ME353" s="1259"/>
      <c r="MF353" s="1259"/>
      <c r="MG353" s="1259"/>
      <c r="MH353" s="1259"/>
      <c r="MI353" s="1259"/>
      <c r="MJ353" s="1259"/>
      <c r="MK353" s="1259"/>
      <c r="ML353" s="1259"/>
      <c r="MM353" s="1259"/>
      <c r="MN353" s="1259"/>
      <c r="MO353" s="1259"/>
      <c r="MP353" s="1259"/>
      <c r="MQ353" s="1259"/>
      <c r="MR353" s="1259"/>
      <c r="MS353" s="1259"/>
      <c r="MT353" s="1259"/>
      <c r="MU353" s="1259"/>
      <c r="MV353" s="1259"/>
      <c r="MW353" s="1259"/>
      <c r="MX353" s="1259"/>
      <c r="MY353" s="1259"/>
      <c r="MZ353" s="1259"/>
      <c r="NA353" s="1259"/>
      <c r="NB353" s="1259"/>
      <c r="NC353" s="1259"/>
      <c r="ND353" s="1259"/>
      <c r="NE353" s="1259"/>
      <c r="NF353" s="1259"/>
      <c r="NG353" s="1259"/>
      <c r="NH353" s="1259"/>
      <c r="NI353" s="1259"/>
      <c r="NJ353" s="1259"/>
      <c r="NK353" s="1259"/>
      <c r="NL353" s="1259"/>
      <c r="NM353" s="1259"/>
      <c r="NN353" s="1259"/>
      <c r="NO353" s="1259"/>
      <c r="NP353" s="1259"/>
      <c r="NQ353" s="1259"/>
      <c r="NR353" s="1259"/>
      <c r="NS353" s="1259"/>
      <c r="NT353" s="1259"/>
      <c r="NU353" s="1259"/>
      <c r="NV353" s="1259"/>
      <c r="NW353" s="1259"/>
      <c r="NX353" s="1259"/>
      <c r="NY353" s="1259"/>
      <c r="NZ353" s="1259"/>
      <c r="OA353" s="1259"/>
      <c r="OB353" s="1259"/>
      <c r="OC353" s="1259"/>
      <c r="OD353" s="1259"/>
      <c r="OE353" s="1259"/>
      <c r="OF353" s="1259"/>
      <c r="OG353" s="1259"/>
      <c r="OH353" s="1259"/>
      <c r="OI353" s="1259"/>
      <c r="OJ353" s="1259"/>
      <c r="OK353" s="1259"/>
      <c r="OL353" s="1259"/>
      <c r="OM353" s="1259"/>
      <c r="ON353" s="1259"/>
      <c r="OO353" s="1259"/>
      <c r="OP353" s="1259"/>
      <c r="OQ353" s="1259"/>
      <c r="OR353" s="1259"/>
      <c r="OS353" s="1259"/>
      <c r="OT353" s="1259"/>
      <c r="OU353" s="1259"/>
      <c r="OV353" s="1259"/>
      <c r="OW353" s="1259"/>
      <c r="OX353" s="1259"/>
      <c r="OY353" s="1259"/>
      <c r="OZ353" s="1259"/>
      <c r="PA353" s="1259"/>
      <c r="PB353" s="1259"/>
      <c r="PC353" s="1259"/>
      <c r="PD353" s="1259"/>
      <c r="PE353" s="1259"/>
      <c r="PF353" s="1259"/>
      <c r="PG353" s="1259"/>
      <c r="PH353" s="1259"/>
      <c r="PI353" s="1259"/>
      <c r="PJ353" s="1259"/>
      <c r="PK353" s="1259"/>
      <c r="PL353" s="1259"/>
      <c r="PM353" s="1259"/>
      <c r="PN353" s="1259"/>
      <c r="PO353" s="1259"/>
      <c r="PP353" s="1259"/>
      <c r="PQ353" s="1259"/>
      <c r="PR353" s="1259"/>
      <c r="PS353" s="1259"/>
      <c r="PT353" s="1259"/>
      <c r="PU353" s="1259"/>
      <c r="PV353" s="1259"/>
      <c r="PW353" s="1259"/>
      <c r="PX353" s="1259"/>
      <c r="PY353" s="1259"/>
      <c r="PZ353" s="1259"/>
      <c r="QA353" s="1259"/>
      <c r="QB353" s="1259"/>
      <c r="QC353" s="1259"/>
      <c r="QD353" s="1259"/>
      <c r="QE353" s="1259"/>
      <c r="QF353" s="1259"/>
      <c r="QG353" s="1259"/>
      <c r="QH353" s="1259"/>
      <c r="QI353" s="1259"/>
      <c r="QJ353" s="1259"/>
      <c r="QK353" s="1259"/>
      <c r="QL353" s="1259"/>
      <c r="QM353" s="1259"/>
      <c r="QN353" s="1259"/>
      <c r="QO353" s="1259"/>
      <c r="QP353" s="1259"/>
      <c r="QQ353" s="1259"/>
      <c r="QR353" s="1259"/>
      <c r="QS353" s="1259"/>
      <c r="QT353" s="1259"/>
      <c r="QU353" s="1259"/>
      <c r="QV353" s="1259"/>
      <c r="QW353" s="1259"/>
      <c r="QX353" s="1259"/>
      <c r="QY353" s="1259"/>
      <c r="QZ353" s="1259"/>
      <c r="RA353" s="1259"/>
      <c r="RB353" s="1259"/>
      <c r="RC353" s="1259"/>
      <c r="RD353" s="1259"/>
      <c r="RE353" s="1259"/>
      <c r="RF353" s="1259"/>
      <c r="RG353" s="1259"/>
      <c r="RH353" s="1259"/>
      <c r="RI353" s="1259"/>
      <c r="RJ353" s="1259"/>
      <c r="RK353" s="1259"/>
      <c r="RL353" s="1259"/>
      <c r="RM353" s="1259"/>
      <c r="RN353" s="1259"/>
      <c r="RO353" s="1259"/>
      <c r="RP353" s="1259"/>
      <c r="RQ353" s="1259"/>
      <c r="RR353" s="1259"/>
      <c r="RS353" s="1259"/>
      <c r="RT353" s="1259"/>
      <c r="RU353" s="1259"/>
      <c r="RV353" s="1259"/>
      <c r="RW353" s="1259"/>
      <c r="RX353" s="1259"/>
      <c r="RY353" s="1259"/>
      <c r="RZ353" s="1259"/>
      <c r="SA353" s="1259"/>
      <c r="SB353" s="1259"/>
      <c r="SC353" s="1259"/>
      <c r="SD353" s="1259"/>
      <c r="SE353" s="1259"/>
      <c r="SF353" s="1259"/>
      <c r="SG353" s="1259"/>
      <c r="SH353" s="1259"/>
      <c r="SI353" s="1259"/>
      <c r="SJ353" s="1259"/>
      <c r="SK353" s="1259"/>
      <c r="SL353" s="1259"/>
      <c r="SM353" s="1259"/>
      <c r="SN353" s="1259"/>
      <c r="SO353" s="1259"/>
      <c r="SP353" s="1259"/>
      <c r="SQ353" s="1259"/>
      <c r="SR353" s="1259"/>
      <c r="SS353" s="1259"/>
      <c r="ST353" s="1259"/>
      <c r="SU353" s="1259"/>
      <c r="SV353" s="1259"/>
      <c r="SW353" s="1259"/>
      <c r="SX353" s="1259"/>
      <c r="SY353" s="1259"/>
      <c r="SZ353" s="1259"/>
      <c r="TA353" s="1259"/>
      <c r="TB353" s="1259"/>
      <c r="TC353" s="1259"/>
      <c r="TD353" s="1259"/>
      <c r="TE353" s="1259"/>
      <c r="TF353" s="1259"/>
      <c r="TG353" s="1259"/>
      <c r="TH353" s="1259"/>
      <c r="TI353" s="1259"/>
      <c r="TJ353" s="1259"/>
      <c r="TK353" s="1259"/>
      <c r="TL353" s="1259"/>
      <c r="TM353" s="1259"/>
      <c r="TN353" s="1259"/>
      <c r="TO353" s="1259"/>
      <c r="TP353" s="1259"/>
      <c r="TQ353" s="1259"/>
      <c r="TR353" s="1259"/>
      <c r="TS353" s="1259"/>
      <c r="TT353" s="1259"/>
      <c r="TU353" s="1259"/>
      <c r="TV353" s="1259"/>
      <c r="TW353" s="1259"/>
      <c r="TX353" s="1259"/>
      <c r="TY353" s="1259"/>
      <c r="TZ353" s="1259"/>
      <c r="UA353" s="1259"/>
      <c r="UB353" s="1259"/>
      <c r="UC353" s="1259"/>
      <c r="UD353" s="1259"/>
      <c r="UE353" s="1259"/>
      <c r="UF353" s="1259"/>
      <c r="UG353" s="1261"/>
    </row>
    <row r="354" spans="1:553" s="1262" customFormat="1" ht="29.25" customHeight="1">
      <c r="A354" s="366"/>
      <c r="B354" s="356"/>
      <c r="C354" s="1379" t="s">
        <v>1079</v>
      </c>
      <c r="D354" s="1380" t="s">
        <v>1080</v>
      </c>
      <c r="E354" s="1380" t="s">
        <v>1080</v>
      </c>
      <c r="F354" s="1381" t="s">
        <v>1080</v>
      </c>
      <c r="G354" s="386" t="s">
        <v>196</v>
      </c>
      <c r="H354" s="417"/>
      <c r="I354" s="422">
        <f>(75.22*100/500)*(17-(5-3))*6</f>
        <v>1353.96</v>
      </c>
      <c r="J354" s="368">
        <v>10800</v>
      </c>
      <c r="K354" s="474">
        <v>0.7</v>
      </c>
      <c r="L354" s="480">
        <f>ROUND(PRODUCT(I354:K354),0)</f>
        <v>10235938</v>
      </c>
      <c r="M354" s="366"/>
      <c r="N354" s="366"/>
      <c r="O354" s="366"/>
      <c r="P354" s="366"/>
      <c r="Q354" s="1135"/>
      <c r="R354" s="1228"/>
      <c r="S354" s="308"/>
      <c r="T354" s="303"/>
      <c r="U354" s="306"/>
      <c r="V354" s="307"/>
      <c r="W354" s="306"/>
      <c r="X354" s="306"/>
      <c r="Y354" s="306"/>
      <c r="Z354" s="306"/>
      <c r="AA354" s="306"/>
      <c r="AB354" s="306"/>
      <c r="AC354" s="456"/>
      <c r="AD354" s="452"/>
      <c r="AE354" s="452"/>
      <c r="AF354" s="452"/>
      <c r="AG354" s="452"/>
      <c r="AH354" s="452"/>
      <c r="AI354" s="452"/>
      <c r="AJ354" s="452"/>
      <c r="AK354" s="452"/>
      <c r="AL354" s="1259"/>
      <c r="AM354" s="1259"/>
      <c r="AN354" s="1259"/>
      <c r="AO354" s="1259"/>
      <c r="AP354" s="1259"/>
      <c r="AQ354" s="1259"/>
      <c r="AR354" s="1259"/>
      <c r="AS354" s="1259"/>
      <c r="AT354" s="1259"/>
      <c r="AU354" s="1259"/>
      <c r="AV354" s="1259"/>
      <c r="AW354" s="1259"/>
      <c r="AX354" s="1259"/>
      <c r="AY354" s="1259"/>
      <c r="AZ354" s="1259"/>
      <c r="BA354" s="1259"/>
      <c r="BB354" s="1259"/>
      <c r="BC354" s="1259"/>
      <c r="BD354" s="1259"/>
      <c r="BE354" s="1259"/>
      <c r="BF354" s="1259"/>
      <c r="BG354" s="1259"/>
      <c r="BH354" s="1259"/>
      <c r="BI354" s="1259"/>
      <c r="BJ354" s="1259"/>
      <c r="BK354" s="1259"/>
      <c r="BL354" s="1259"/>
      <c r="BM354" s="1259"/>
      <c r="BN354" s="1259"/>
      <c r="BO354" s="1259"/>
      <c r="BP354" s="1259"/>
      <c r="BQ354" s="1259"/>
      <c r="BR354" s="1259"/>
      <c r="BS354" s="1259"/>
      <c r="BT354" s="1259"/>
      <c r="BU354" s="1259"/>
      <c r="BV354" s="1259"/>
      <c r="BW354" s="1259"/>
      <c r="BX354" s="1259"/>
      <c r="BY354" s="1259"/>
      <c r="BZ354" s="1259"/>
      <c r="CA354" s="1259"/>
      <c r="CB354" s="1259"/>
      <c r="CC354" s="1259"/>
      <c r="CD354" s="1259"/>
      <c r="CE354" s="1259"/>
      <c r="CF354" s="1259"/>
      <c r="CG354" s="1259"/>
      <c r="CH354" s="1259"/>
      <c r="CI354" s="1259"/>
      <c r="CJ354" s="1259"/>
      <c r="CK354" s="1259"/>
      <c r="CL354" s="1259"/>
      <c r="CM354" s="1259"/>
      <c r="CN354" s="1259"/>
      <c r="CO354" s="1259"/>
      <c r="CP354" s="1259"/>
      <c r="CQ354" s="1259"/>
      <c r="CR354" s="1259"/>
      <c r="CS354" s="1259"/>
      <c r="CT354" s="1259"/>
      <c r="CU354" s="1259"/>
      <c r="CV354" s="1259"/>
      <c r="CW354" s="1259"/>
      <c r="CX354" s="1259"/>
      <c r="CY354" s="1259"/>
      <c r="CZ354" s="1259"/>
      <c r="DA354" s="1259"/>
      <c r="DB354" s="1259"/>
      <c r="DC354" s="1259"/>
      <c r="DD354" s="1259"/>
      <c r="DE354" s="1259"/>
      <c r="DF354" s="1259"/>
      <c r="DG354" s="1259"/>
      <c r="DH354" s="1259"/>
      <c r="DI354" s="1259"/>
      <c r="DJ354" s="1259"/>
      <c r="DK354" s="1259"/>
      <c r="DL354" s="1259"/>
      <c r="DM354" s="1259"/>
      <c r="DN354" s="1259"/>
      <c r="DO354" s="1259"/>
      <c r="DP354" s="1259"/>
      <c r="DQ354" s="1259"/>
      <c r="DR354" s="1259"/>
      <c r="DS354" s="1259"/>
      <c r="DT354" s="1259"/>
      <c r="DU354" s="1259"/>
      <c r="DV354" s="1259"/>
      <c r="DW354" s="1259"/>
      <c r="DX354" s="1259"/>
      <c r="DY354" s="1259"/>
      <c r="DZ354" s="1259"/>
      <c r="EA354" s="1259"/>
      <c r="EB354" s="1259"/>
      <c r="EC354" s="1259"/>
      <c r="ED354" s="1259"/>
      <c r="EE354" s="1259"/>
      <c r="EF354" s="1259"/>
      <c r="EG354" s="1259"/>
      <c r="EH354" s="1259"/>
      <c r="EI354" s="1259"/>
      <c r="EJ354" s="1259"/>
      <c r="EK354" s="1259"/>
      <c r="EL354" s="1259"/>
      <c r="EM354" s="1259"/>
      <c r="EN354" s="1259"/>
      <c r="EO354" s="1259"/>
      <c r="EP354" s="1259"/>
      <c r="EQ354" s="1259"/>
      <c r="ER354" s="1259"/>
      <c r="ES354" s="1259"/>
      <c r="ET354" s="1259"/>
      <c r="EU354" s="1259"/>
      <c r="EV354" s="1259"/>
      <c r="EW354" s="1259"/>
      <c r="EX354" s="1259"/>
      <c r="EY354" s="1259"/>
      <c r="EZ354" s="1259"/>
      <c r="FA354" s="1259"/>
      <c r="FB354" s="1259"/>
      <c r="FC354" s="1259"/>
      <c r="FD354" s="1259"/>
      <c r="FE354" s="1259"/>
      <c r="FF354" s="1259"/>
      <c r="FG354" s="1259"/>
      <c r="FH354" s="1259"/>
      <c r="FI354" s="1259"/>
      <c r="FJ354" s="1259"/>
      <c r="FK354" s="1259"/>
      <c r="FL354" s="1259"/>
      <c r="FM354" s="1259"/>
      <c r="FN354" s="1259"/>
      <c r="FO354" s="1259"/>
      <c r="FP354" s="1259"/>
      <c r="FQ354" s="1259"/>
      <c r="FR354" s="1259"/>
      <c r="FS354" s="1259"/>
      <c r="FT354" s="1259"/>
      <c r="FU354" s="1259"/>
      <c r="FV354" s="1259"/>
      <c r="FW354" s="1259"/>
      <c r="FX354" s="1259"/>
      <c r="FY354" s="1259"/>
      <c r="FZ354" s="1259"/>
      <c r="GA354" s="1259"/>
      <c r="GB354" s="1259"/>
      <c r="GC354" s="1259"/>
      <c r="GD354" s="1259"/>
      <c r="GE354" s="1259"/>
      <c r="GF354" s="1259"/>
      <c r="GG354" s="1259"/>
      <c r="GH354" s="1259"/>
      <c r="GI354" s="1259"/>
      <c r="GJ354" s="1259"/>
      <c r="GK354" s="1259"/>
      <c r="GL354" s="1259"/>
      <c r="GM354" s="1259"/>
      <c r="GN354" s="1259"/>
      <c r="GO354" s="1259"/>
      <c r="GP354" s="1259"/>
      <c r="GQ354" s="1259"/>
      <c r="GR354" s="1259"/>
      <c r="GS354" s="1259"/>
      <c r="GT354" s="1259"/>
      <c r="GU354" s="1259"/>
      <c r="GV354" s="1259"/>
      <c r="GW354" s="1259"/>
      <c r="GX354" s="1259"/>
      <c r="GY354" s="1259"/>
      <c r="GZ354" s="1259"/>
      <c r="HA354" s="1259"/>
      <c r="HB354" s="1259"/>
      <c r="HC354" s="1259"/>
      <c r="HD354" s="1259"/>
      <c r="HE354" s="1259"/>
      <c r="HF354" s="1259"/>
      <c r="HG354" s="1259"/>
      <c r="HH354" s="1259"/>
      <c r="HI354" s="1259"/>
      <c r="HJ354" s="1259"/>
      <c r="HK354" s="1259"/>
      <c r="HL354" s="1259"/>
      <c r="HM354" s="1259"/>
      <c r="HN354" s="1259"/>
      <c r="HO354" s="1259"/>
      <c r="HP354" s="1259"/>
      <c r="HQ354" s="1259"/>
      <c r="HR354" s="1259"/>
      <c r="HS354" s="1259"/>
      <c r="HT354" s="1259"/>
      <c r="HU354" s="1259"/>
      <c r="HV354" s="1259"/>
      <c r="HW354" s="1259"/>
      <c r="HX354" s="1259"/>
      <c r="HY354" s="1259"/>
      <c r="HZ354" s="1259"/>
      <c r="IA354" s="1259"/>
      <c r="IB354" s="1259"/>
      <c r="IC354" s="1259"/>
      <c r="ID354" s="1259"/>
      <c r="IE354" s="1259"/>
      <c r="IF354" s="1259"/>
      <c r="IG354" s="1259"/>
      <c r="IH354" s="1259"/>
      <c r="II354" s="1259"/>
      <c r="IJ354" s="1259"/>
      <c r="IK354" s="1259"/>
      <c r="IL354" s="1259"/>
      <c r="IM354" s="1259"/>
      <c r="IN354" s="1259"/>
      <c r="IO354" s="1259"/>
      <c r="IP354" s="1259"/>
      <c r="IQ354" s="1259"/>
      <c r="IR354" s="1259"/>
      <c r="IS354" s="1259"/>
      <c r="IT354" s="1259"/>
      <c r="IU354" s="1259"/>
      <c r="IV354" s="1259"/>
      <c r="IW354" s="1259"/>
      <c r="IX354" s="1259"/>
      <c r="IY354" s="1259"/>
      <c r="IZ354" s="1259"/>
      <c r="JA354" s="1259"/>
      <c r="JB354" s="1259"/>
      <c r="JC354" s="1259"/>
      <c r="JD354" s="1259"/>
      <c r="JE354" s="1259"/>
      <c r="JF354" s="1259"/>
      <c r="JG354" s="1259"/>
      <c r="JH354" s="1259"/>
      <c r="JI354" s="1259"/>
      <c r="JJ354" s="1259"/>
      <c r="JK354" s="1259"/>
      <c r="JL354" s="1259"/>
      <c r="JM354" s="1259"/>
      <c r="JN354" s="1259"/>
      <c r="JO354" s="1259"/>
      <c r="JP354" s="1259"/>
      <c r="JQ354" s="1259"/>
      <c r="JR354" s="1259"/>
      <c r="JS354" s="1259"/>
      <c r="JT354" s="1259"/>
      <c r="JU354" s="1259"/>
      <c r="JV354" s="1259"/>
      <c r="JW354" s="1259"/>
      <c r="JX354" s="1259"/>
      <c r="JY354" s="1259"/>
      <c r="JZ354" s="1259"/>
      <c r="KA354" s="1259"/>
      <c r="KB354" s="1259"/>
      <c r="KC354" s="1259"/>
      <c r="KD354" s="1259"/>
      <c r="KE354" s="1259"/>
      <c r="KF354" s="1259"/>
      <c r="KG354" s="1259"/>
      <c r="KH354" s="1259"/>
      <c r="KI354" s="1259"/>
      <c r="KJ354" s="1259"/>
      <c r="KK354" s="1259"/>
      <c r="KL354" s="1259"/>
      <c r="KM354" s="1259"/>
      <c r="KN354" s="1259"/>
      <c r="KO354" s="1259"/>
      <c r="KP354" s="1259"/>
      <c r="KQ354" s="1259"/>
      <c r="KR354" s="1259"/>
      <c r="KS354" s="1259"/>
      <c r="KT354" s="1259"/>
      <c r="KU354" s="1259"/>
      <c r="KV354" s="1259"/>
      <c r="KW354" s="1259"/>
      <c r="KX354" s="1259"/>
      <c r="KY354" s="1259"/>
      <c r="KZ354" s="1259"/>
      <c r="LA354" s="1259"/>
      <c r="LB354" s="1259"/>
      <c r="LC354" s="1259"/>
      <c r="LD354" s="1259"/>
      <c r="LE354" s="1259"/>
      <c r="LF354" s="1259"/>
      <c r="LG354" s="1259"/>
      <c r="LH354" s="1259"/>
      <c r="LI354" s="1259"/>
      <c r="LJ354" s="1259"/>
      <c r="LK354" s="1259"/>
      <c r="LL354" s="1259"/>
      <c r="LM354" s="1259"/>
      <c r="LN354" s="1259"/>
      <c r="LO354" s="1259"/>
      <c r="LP354" s="1259"/>
      <c r="LQ354" s="1259"/>
      <c r="LR354" s="1259"/>
      <c r="LS354" s="1259"/>
      <c r="LT354" s="1259"/>
      <c r="LU354" s="1259"/>
      <c r="LV354" s="1259"/>
      <c r="LW354" s="1259"/>
      <c r="LX354" s="1259"/>
      <c r="LY354" s="1259"/>
      <c r="LZ354" s="1259"/>
      <c r="MA354" s="1259"/>
      <c r="MB354" s="1259"/>
      <c r="MC354" s="1259"/>
      <c r="MD354" s="1259"/>
      <c r="ME354" s="1259"/>
      <c r="MF354" s="1259"/>
      <c r="MG354" s="1259"/>
      <c r="MH354" s="1259"/>
      <c r="MI354" s="1259"/>
      <c r="MJ354" s="1259"/>
      <c r="MK354" s="1259"/>
      <c r="ML354" s="1259"/>
      <c r="MM354" s="1259"/>
      <c r="MN354" s="1259"/>
      <c r="MO354" s="1259"/>
      <c r="MP354" s="1259"/>
      <c r="MQ354" s="1259"/>
      <c r="MR354" s="1259"/>
      <c r="MS354" s="1259"/>
      <c r="MT354" s="1259"/>
      <c r="MU354" s="1259"/>
      <c r="MV354" s="1259"/>
      <c r="MW354" s="1259"/>
      <c r="MX354" s="1259"/>
      <c r="MY354" s="1259"/>
      <c r="MZ354" s="1259"/>
      <c r="NA354" s="1259"/>
      <c r="NB354" s="1259"/>
      <c r="NC354" s="1259"/>
      <c r="ND354" s="1259"/>
      <c r="NE354" s="1259"/>
      <c r="NF354" s="1259"/>
      <c r="NG354" s="1259"/>
      <c r="NH354" s="1259"/>
      <c r="NI354" s="1259"/>
      <c r="NJ354" s="1259"/>
      <c r="NK354" s="1259"/>
      <c r="NL354" s="1259"/>
      <c r="NM354" s="1259"/>
      <c r="NN354" s="1259"/>
      <c r="NO354" s="1259"/>
      <c r="NP354" s="1259"/>
      <c r="NQ354" s="1259"/>
      <c r="NR354" s="1259"/>
      <c r="NS354" s="1259"/>
      <c r="NT354" s="1259"/>
      <c r="NU354" s="1259"/>
      <c r="NV354" s="1259"/>
      <c r="NW354" s="1259"/>
      <c r="NX354" s="1259"/>
      <c r="NY354" s="1259"/>
      <c r="NZ354" s="1259"/>
      <c r="OA354" s="1259"/>
      <c r="OB354" s="1259"/>
      <c r="OC354" s="1259"/>
      <c r="OD354" s="1259"/>
      <c r="OE354" s="1259"/>
      <c r="OF354" s="1259"/>
      <c r="OG354" s="1259"/>
      <c r="OH354" s="1259"/>
      <c r="OI354" s="1259"/>
      <c r="OJ354" s="1259"/>
      <c r="OK354" s="1259"/>
      <c r="OL354" s="1259"/>
      <c r="OM354" s="1259"/>
      <c r="ON354" s="1259"/>
      <c r="OO354" s="1259"/>
      <c r="OP354" s="1259"/>
      <c r="OQ354" s="1259"/>
      <c r="OR354" s="1259"/>
      <c r="OS354" s="1259"/>
      <c r="OT354" s="1259"/>
      <c r="OU354" s="1259"/>
      <c r="OV354" s="1259"/>
      <c r="OW354" s="1259"/>
      <c r="OX354" s="1259"/>
      <c r="OY354" s="1259"/>
      <c r="OZ354" s="1259"/>
      <c r="PA354" s="1259"/>
      <c r="PB354" s="1259"/>
      <c r="PC354" s="1259"/>
      <c r="PD354" s="1259"/>
      <c r="PE354" s="1259"/>
      <c r="PF354" s="1259"/>
      <c r="PG354" s="1259"/>
      <c r="PH354" s="1259"/>
      <c r="PI354" s="1259"/>
      <c r="PJ354" s="1259"/>
      <c r="PK354" s="1259"/>
      <c r="PL354" s="1259"/>
      <c r="PM354" s="1259"/>
      <c r="PN354" s="1259"/>
      <c r="PO354" s="1259"/>
      <c r="PP354" s="1259"/>
      <c r="PQ354" s="1259"/>
      <c r="PR354" s="1259"/>
      <c r="PS354" s="1259"/>
      <c r="PT354" s="1259"/>
      <c r="PU354" s="1259"/>
      <c r="PV354" s="1259"/>
      <c r="PW354" s="1259"/>
      <c r="PX354" s="1259"/>
      <c r="PY354" s="1259"/>
      <c r="PZ354" s="1259"/>
      <c r="QA354" s="1259"/>
      <c r="QB354" s="1259"/>
      <c r="QC354" s="1259"/>
      <c r="QD354" s="1259"/>
      <c r="QE354" s="1259"/>
      <c r="QF354" s="1259"/>
      <c r="QG354" s="1259"/>
      <c r="QH354" s="1259"/>
      <c r="QI354" s="1259"/>
      <c r="QJ354" s="1259"/>
      <c r="QK354" s="1259"/>
      <c r="QL354" s="1259"/>
      <c r="QM354" s="1259"/>
      <c r="QN354" s="1259"/>
      <c r="QO354" s="1259"/>
      <c r="QP354" s="1259"/>
      <c r="QQ354" s="1259"/>
      <c r="QR354" s="1259"/>
      <c r="QS354" s="1259"/>
      <c r="QT354" s="1259"/>
      <c r="QU354" s="1259"/>
      <c r="QV354" s="1259"/>
      <c r="QW354" s="1259"/>
      <c r="QX354" s="1259"/>
      <c r="QY354" s="1259"/>
      <c r="QZ354" s="1259"/>
      <c r="RA354" s="1259"/>
      <c r="RB354" s="1259"/>
      <c r="RC354" s="1259"/>
      <c r="RD354" s="1259"/>
      <c r="RE354" s="1259"/>
      <c r="RF354" s="1259"/>
      <c r="RG354" s="1259"/>
      <c r="RH354" s="1259"/>
      <c r="RI354" s="1259"/>
      <c r="RJ354" s="1259"/>
      <c r="RK354" s="1259"/>
      <c r="RL354" s="1259"/>
      <c r="RM354" s="1259"/>
      <c r="RN354" s="1259"/>
      <c r="RO354" s="1259"/>
      <c r="RP354" s="1259"/>
      <c r="RQ354" s="1259"/>
      <c r="RR354" s="1259"/>
      <c r="RS354" s="1259"/>
      <c r="RT354" s="1259"/>
      <c r="RU354" s="1259"/>
      <c r="RV354" s="1259"/>
      <c r="RW354" s="1259"/>
      <c r="RX354" s="1259"/>
      <c r="RY354" s="1259"/>
      <c r="RZ354" s="1259"/>
      <c r="SA354" s="1259"/>
      <c r="SB354" s="1259"/>
      <c r="SC354" s="1259"/>
      <c r="SD354" s="1259"/>
      <c r="SE354" s="1259"/>
      <c r="SF354" s="1259"/>
      <c r="SG354" s="1259"/>
      <c r="SH354" s="1259"/>
      <c r="SI354" s="1259"/>
      <c r="SJ354" s="1259"/>
      <c r="SK354" s="1259"/>
      <c r="SL354" s="1259"/>
      <c r="SM354" s="1259"/>
      <c r="SN354" s="1259"/>
      <c r="SO354" s="1259"/>
      <c r="SP354" s="1259"/>
      <c r="SQ354" s="1259"/>
      <c r="SR354" s="1259"/>
      <c r="SS354" s="1259"/>
      <c r="ST354" s="1259"/>
      <c r="SU354" s="1259"/>
      <c r="SV354" s="1259"/>
      <c r="SW354" s="1259"/>
      <c r="SX354" s="1259"/>
      <c r="SY354" s="1259"/>
      <c r="SZ354" s="1259"/>
      <c r="TA354" s="1259"/>
      <c r="TB354" s="1259"/>
      <c r="TC354" s="1259"/>
      <c r="TD354" s="1259"/>
      <c r="TE354" s="1259"/>
      <c r="TF354" s="1259"/>
      <c r="TG354" s="1259"/>
      <c r="TH354" s="1259"/>
      <c r="TI354" s="1259"/>
      <c r="TJ354" s="1259"/>
      <c r="TK354" s="1259"/>
      <c r="TL354" s="1259"/>
      <c r="TM354" s="1259"/>
      <c r="TN354" s="1259"/>
      <c r="TO354" s="1259"/>
      <c r="TP354" s="1259"/>
      <c r="TQ354" s="1259"/>
      <c r="TR354" s="1259"/>
      <c r="TS354" s="1259"/>
      <c r="TT354" s="1259"/>
      <c r="TU354" s="1259"/>
      <c r="TV354" s="1259"/>
      <c r="TW354" s="1259"/>
      <c r="TX354" s="1259"/>
      <c r="TY354" s="1259"/>
      <c r="TZ354" s="1259"/>
      <c r="UA354" s="1259"/>
      <c r="UB354" s="1259"/>
      <c r="UC354" s="1259"/>
      <c r="UD354" s="1259"/>
      <c r="UE354" s="1259"/>
      <c r="UF354" s="1259"/>
      <c r="UG354" s="1261"/>
    </row>
    <row r="355" spans="1:553" s="1262" customFormat="1" ht="29.25" customHeight="1">
      <c r="A355" s="366"/>
      <c r="B355" s="356"/>
      <c r="C355" s="1379" t="s">
        <v>1081</v>
      </c>
      <c r="D355" s="1380" t="s">
        <v>828</v>
      </c>
      <c r="E355" s="1380" t="s">
        <v>828</v>
      </c>
      <c r="F355" s="1381" t="s">
        <v>828</v>
      </c>
      <c r="G355" s="366" t="s">
        <v>196</v>
      </c>
      <c r="H355" s="417"/>
      <c r="I355" s="370">
        <f>(75.22*100/500)*(17-(4-3))*3</f>
        <v>722.11200000000008</v>
      </c>
      <c r="J355" s="368">
        <v>10800</v>
      </c>
      <c r="K355" s="495">
        <v>0.7</v>
      </c>
      <c r="L355" s="480">
        <f t="shared" ref="L355" si="74">I355*J355*K355</f>
        <v>5459166.7199999997</v>
      </c>
      <c r="M355" s="366"/>
      <c r="N355" s="366"/>
      <c r="O355" s="366"/>
      <c r="P355" s="366"/>
      <c r="Q355" s="1135"/>
      <c r="R355" s="1228"/>
      <c r="S355" s="308"/>
      <c r="T355" s="303"/>
      <c r="U355" s="306"/>
      <c r="V355" s="307"/>
      <c r="W355" s="306"/>
      <c r="X355" s="306"/>
      <c r="Y355" s="306"/>
      <c r="Z355" s="306"/>
      <c r="AA355" s="306"/>
      <c r="AB355" s="306"/>
      <c r="AC355" s="456"/>
      <c r="AD355" s="452"/>
      <c r="AE355" s="452"/>
      <c r="AF355" s="452"/>
      <c r="AG355" s="452"/>
      <c r="AH355" s="452"/>
      <c r="AI355" s="452"/>
      <c r="AJ355" s="452"/>
      <c r="AK355" s="452"/>
      <c r="AL355" s="1259"/>
      <c r="AM355" s="1259"/>
      <c r="AN355" s="1259"/>
      <c r="AO355" s="1259"/>
      <c r="AP355" s="1259"/>
      <c r="AQ355" s="1259"/>
      <c r="AR355" s="1259"/>
      <c r="AS355" s="1259"/>
      <c r="AT355" s="1259"/>
      <c r="AU355" s="1259"/>
      <c r="AV355" s="1259"/>
      <c r="AW355" s="1259"/>
      <c r="AX355" s="1259"/>
      <c r="AY355" s="1259"/>
      <c r="AZ355" s="1259"/>
      <c r="BA355" s="1259"/>
      <c r="BB355" s="1259"/>
      <c r="BC355" s="1259"/>
      <c r="BD355" s="1259"/>
      <c r="BE355" s="1259"/>
      <c r="BF355" s="1259"/>
      <c r="BG355" s="1259"/>
      <c r="BH355" s="1259"/>
      <c r="BI355" s="1259"/>
      <c r="BJ355" s="1259"/>
      <c r="BK355" s="1259"/>
      <c r="BL355" s="1259"/>
      <c r="BM355" s="1259"/>
      <c r="BN355" s="1259"/>
      <c r="BO355" s="1259"/>
      <c r="BP355" s="1259"/>
      <c r="BQ355" s="1259"/>
      <c r="BR355" s="1259"/>
      <c r="BS355" s="1259"/>
      <c r="BT355" s="1259"/>
      <c r="BU355" s="1259"/>
      <c r="BV355" s="1259"/>
      <c r="BW355" s="1259"/>
      <c r="BX355" s="1259"/>
      <c r="BY355" s="1259"/>
      <c r="BZ355" s="1259"/>
      <c r="CA355" s="1259"/>
      <c r="CB355" s="1259"/>
      <c r="CC355" s="1259"/>
      <c r="CD355" s="1259"/>
      <c r="CE355" s="1259"/>
      <c r="CF355" s="1259"/>
      <c r="CG355" s="1259"/>
      <c r="CH355" s="1259"/>
      <c r="CI355" s="1259"/>
      <c r="CJ355" s="1259"/>
      <c r="CK355" s="1259"/>
      <c r="CL355" s="1259"/>
      <c r="CM355" s="1259"/>
      <c r="CN355" s="1259"/>
      <c r="CO355" s="1259"/>
      <c r="CP355" s="1259"/>
      <c r="CQ355" s="1259"/>
      <c r="CR355" s="1259"/>
      <c r="CS355" s="1259"/>
      <c r="CT355" s="1259"/>
      <c r="CU355" s="1259"/>
      <c r="CV355" s="1259"/>
      <c r="CW355" s="1259"/>
      <c r="CX355" s="1259"/>
      <c r="CY355" s="1259"/>
      <c r="CZ355" s="1259"/>
      <c r="DA355" s="1259"/>
      <c r="DB355" s="1259"/>
      <c r="DC355" s="1259"/>
      <c r="DD355" s="1259"/>
      <c r="DE355" s="1259"/>
      <c r="DF355" s="1259"/>
      <c r="DG355" s="1259"/>
      <c r="DH355" s="1259"/>
      <c r="DI355" s="1259"/>
      <c r="DJ355" s="1259"/>
      <c r="DK355" s="1259"/>
      <c r="DL355" s="1259"/>
      <c r="DM355" s="1259"/>
      <c r="DN355" s="1259"/>
      <c r="DO355" s="1259"/>
      <c r="DP355" s="1259"/>
      <c r="DQ355" s="1259"/>
      <c r="DR355" s="1259"/>
      <c r="DS355" s="1259"/>
      <c r="DT355" s="1259"/>
      <c r="DU355" s="1259"/>
      <c r="DV355" s="1259"/>
      <c r="DW355" s="1259"/>
      <c r="DX355" s="1259"/>
      <c r="DY355" s="1259"/>
      <c r="DZ355" s="1259"/>
      <c r="EA355" s="1259"/>
      <c r="EB355" s="1259"/>
      <c r="EC355" s="1259"/>
      <c r="ED355" s="1259"/>
      <c r="EE355" s="1259"/>
      <c r="EF355" s="1259"/>
      <c r="EG355" s="1259"/>
      <c r="EH355" s="1259"/>
      <c r="EI355" s="1259"/>
      <c r="EJ355" s="1259"/>
      <c r="EK355" s="1259"/>
      <c r="EL355" s="1259"/>
      <c r="EM355" s="1259"/>
      <c r="EN355" s="1259"/>
      <c r="EO355" s="1259"/>
      <c r="EP355" s="1259"/>
      <c r="EQ355" s="1259"/>
      <c r="ER355" s="1259"/>
      <c r="ES355" s="1259"/>
      <c r="ET355" s="1259"/>
      <c r="EU355" s="1259"/>
      <c r="EV355" s="1259"/>
      <c r="EW355" s="1259"/>
      <c r="EX355" s="1259"/>
      <c r="EY355" s="1259"/>
      <c r="EZ355" s="1259"/>
      <c r="FA355" s="1259"/>
      <c r="FB355" s="1259"/>
      <c r="FC355" s="1259"/>
      <c r="FD355" s="1259"/>
      <c r="FE355" s="1259"/>
      <c r="FF355" s="1259"/>
      <c r="FG355" s="1259"/>
      <c r="FH355" s="1259"/>
      <c r="FI355" s="1259"/>
      <c r="FJ355" s="1259"/>
      <c r="FK355" s="1259"/>
      <c r="FL355" s="1259"/>
      <c r="FM355" s="1259"/>
      <c r="FN355" s="1259"/>
      <c r="FO355" s="1259"/>
      <c r="FP355" s="1259"/>
      <c r="FQ355" s="1259"/>
      <c r="FR355" s="1259"/>
      <c r="FS355" s="1259"/>
      <c r="FT355" s="1259"/>
      <c r="FU355" s="1259"/>
      <c r="FV355" s="1259"/>
      <c r="FW355" s="1259"/>
      <c r="FX355" s="1259"/>
      <c r="FY355" s="1259"/>
      <c r="FZ355" s="1259"/>
      <c r="GA355" s="1259"/>
      <c r="GB355" s="1259"/>
      <c r="GC355" s="1259"/>
      <c r="GD355" s="1259"/>
      <c r="GE355" s="1259"/>
      <c r="GF355" s="1259"/>
      <c r="GG355" s="1259"/>
      <c r="GH355" s="1259"/>
      <c r="GI355" s="1259"/>
      <c r="GJ355" s="1259"/>
      <c r="GK355" s="1259"/>
      <c r="GL355" s="1259"/>
      <c r="GM355" s="1259"/>
      <c r="GN355" s="1259"/>
      <c r="GO355" s="1259"/>
      <c r="GP355" s="1259"/>
      <c r="GQ355" s="1259"/>
      <c r="GR355" s="1259"/>
      <c r="GS355" s="1259"/>
      <c r="GT355" s="1259"/>
      <c r="GU355" s="1259"/>
      <c r="GV355" s="1259"/>
      <c r="GW355" s="1259"/>
      <c r="GX355" s="1259"/>
      <c r="GY355" s="1259"/>
      <c r="GZ355" s="1259"/>
      <c r="HA355" s="1259"/>
      <c r="HB355" s="1259"/>
      <c r="HC355" s="1259"/>
      <c r="HD355" s="1259"/>
      <c r="HE355" s="1259"/>
      <c r="HF355" s="1259"/>
      <c r="HG355" s="1259"/>
      <c r="HH355" s="1259"/>
      <c r="HI355" s="1259"/>
      <c r="HJ355" s="1259"/>
      <c r="HK355" s="1259"/>
      <c r="HL355" s="1259"/>
      <c r="HM355" s="1259"/>
      <c r="HN355" s="1259"/>
      <c r="HO355" s="1259"/>
      <c r="HP355" s="1259"/>
      <c r="HQ355" s="1259"/>
      <c r="HR355" s="1259"/>
      <c r="HS355" s="1259"/>
      <c r="HT355" s="1259"/>
      <c r="HU355" s="1259"/>
      <c r="HV355" s="1259"/>
      <c r="HW355" s="1259"/>
      <c r="HX355" s="1259"/>
      <c r="HY355" s="1259"/>
      <c r="HZ355" s="1259"/>
      <c r="IA355" s="1259"/>
      <c r="IB355" s="1259"/>
      <c r="IC355" s="1259"/>
      <c r="ID355" s="1259"/>
      <c r="IE355" s="1259"/>
      <c r="IF355" s="1259"/>
      <c r="IG355" s="1259"/>
      <c r="IH355" s="1259"/>
      <c r="II355" s="1259"/>
      <c r="IJ355" s="1259"/>
      <c r="IK355" s="1259"/>
      <c r="IL355" s="1259"/>
      <c r="IM355" s="1259"/>
      <c r="IN355" s="1259"/>
      <c r="IO355" s="1259"/>
      <c r="IP355" s="1259"/>
      <c r="IQ355" s="1259"/>
      <c r="IR355" s="1259"/>
      <c r="IS355" s="1259"/>
      <c r="IT355" s="1259"/>
      <c r="IU355" s="1259"/>
      <c r="IV355" s="1259"/>
      <c r="IW355" s="1259"/>
      <c r="IX355" s="1259"/>
      <c r="IY355" s="1259"/>
      <c r="IZ355" s="1259"/>
      <c r="JA355" s="1259"/>
      <c r="JB355" s="1259"/>
      <c r="JC355" s="1259"/>
      <c r="JD355" s="1259"/>
      <c r="JE355" s="1259"/>
      <c r="JF355" s="1259"/>
      <c r="JG355" s="1259"/>
      <c r="JH355" s="1259"/>
      <c r="JI355" s="1259"/>
      <c r="JJ355" s="1259"/>
      <c r="JK355" s="1259"/>
      <c r="JL355" s="1259"/>
      <c r="JM355" s="1259"/>
      <c r="JN355" s="1259"/>
      <c r="JO355" s="1259"/>
      <c r="JP355" s="1259"/>
      <c r="JQ355" s="1259"/>
      <c r="JR355" s="1259"/>
      <c r="JS355" s="1259"/>
      <c r="JT355" s="1259"/>
      <c r="JU355" s="1259"/>
      <c r="JV355" s="1259"/>
      <c r="JW355" s="1259"/>
      <c r="JX355" s="1259"/>
      <c r="JY355" s="1259"/>
      <c r="JZ355" s="1259"/>
      <c r="KA355" s="1259"/>
      <c r="KB355" s="1259"/>
      <c r="KC355" s="1259"/>
      <c r="KD355" s="1259"/>
      <c r="KE355" s="1259"/>
      <c r="KF355" s="1259"/>
      <c r="KG355" s="1259"/>
      <c r="KH355" s="1259"/>
      <c r="KI355" s="1259"/>
      <c r="KJ355" s="1259"/>
      <c r="KK355" s="1259"/>
      <c r="KL355" s="1259"/>
      <c r="KM355" s="1259"/>
      <c r="KN355" s="1259"/>
      <c r="KO355" s="1259"/>
      <c r="KP355" s="1259"/>
      <c r="KQ355" s="1259"/>
      <c r="KR355" s="1259"/>
      <c r="KS355" s="1259"/>
      <c r="KT355" s="1259"/>
      <c r="KU355" s="1259"/>
      <c r="KV355" s="1259"/>
      <c r="KW355" s="1259"/>
      <c r="KX355" s="1259"/>
      <c r="KY355" s="1259"/>
      <c r="KZ355" s="1259"/>
      <c r="LA355" s="1259"/>
      <c r="LB355" s="1259"/>
      <c r="LC355" s="1259"/>
      <c r="LD355" s="1259"/>
      <c r="LE355" s="1259"/>
      <c r="LF355" s="1259"/>
      <c r="LG355" s="1259"/>
      <c r="LH355" s="1259"/>
      <c r="LI355" s="1259"/>
      <c r="LJ355" s="1259"/>
      <c r="LK355" s="1259"/>
      <c r="LL355" s="1259"/>
      <c r="LM355" s="1259"/>
      <c r="LN355" s="1259"/>
      <c r="LO355" s="1259"/>
      <c r="LP355" s="1259"/>
      <c r="LQ355" s="1259"/>
      <c r="LR355" s="1259"/>
      <c r="LS355" s="1259"/>
      <c r="LT355" s="1259"/>
      <c r="LU355" s="1259"/>
      <c r="LV355" s="1259"/>
      <c r="LW355" s="1259"/>
      <c r="LX355" s="1259"/>
      <c r="LY355" s="1259"/>
      <c r="LZ355" s="1259"/>
      <c r="MA355" s="1259"/>
      <c r="MB355" s="1259"/>
      <c r="MC355" s="1259"/>
      <c r="MD355" s="1259"/>
      <c r="ME355" s="1259"/>
      <c r="MF355" s="1259"/>
      <c r="MG355" s="1259"/>
      <c r="MH355" s="1259"/>
      <c r="MI355" s="1259"/>
      <c r="MJ355" s="1259"/>
      <c r="MK355" s="1259"/>
      <c r="ML355" s="1259"/>
      <c r="MM355" s="1259"/>
      <c r="MN355" s="1259"/>
      <c r="MO355" s="1259"/>
      <c r="MP355" s="1259"/>
      <c r="MQ355" s="1259"/>
      <c r="MR355" s="1259"/>
      <c r="MS355" s="1259"/>
      <c r="MT355" s="1259"/>
      <c r="MU355" s="1259"/>
      <c r="MV355" s="1259"/>
      <c r="MW355" s="1259"/>
      <c r="MX355" s="1259"/>
      <c r="MY355" s="1259"/>
      <c r="MZ355" s="1259"/>
      <c r="NA355" s="1259"/>
      <c r="NB355" s="1259"/>
      <c r="NC355" s="1259"/>
      <c r="ND355" s="1259"/>
      <c r="NE355" s="1259"/>
      <c r="NF355" s="1259"/>
      <c r="NG355" s="1259"/>
      <c r="NH355" s="1259"/>
      <c r="NI355" s="1259"/>
      <c r="NJ355" s="1259"/>
      <c r="NK355" s="1259"/>
      <c r="NL355" s="1259"/>
      <c r="NM355" s="1259"/>
      <c r="NN355" s="1259"/>
      <c r="NO355" s="1259"/>
      <c r="NP355" s="1259"/>
      <c r="NQ355" s="1259"/>
      <c r="NR355" s="1259"/>
      <c r="NS355" s="1259"/>
      <c r="NT355" s="1259"/>
      <c r="NU355" s="1259"/>
      <c r="NV355" s="1259"/>
      <c r="NW355" s="1259"/>
      <c r="NX355" s="1259"/>
      <c r="NY355" s="1259"/>
      <c r="NZ355" s="1259"/>
      <c r="OA355" s="1259"/>
      <c r="OB355" s="1259"/>
      <c r="OC355" s="1259"/>
      <c r="OD355" s="1259"/>
      <c r="OE355" s="1259"/>
      <c r="OF355" s="1259"/>
      <c r="OG355" s="1259"/>
      <c r="OH355" s="1259"/>
      <c r="OI355" s="1259"/>
      <c r="OJ355" s="1259"/>
      <c r="OK355" s="1259"/>
      <c r="OL355" s="1259"/>
      <c r="OM355" s="1259"/>
      <c r="ON355" s="1259"/>
      <c r="OO355" s="1259"/>
      <c r="OP355" s="1259"/>
      <c r="OQ355" s="1259"/>
      <c r="OR355" s="1259"/>
      <c r="OS355" s="1259"/>
      <c r="OT355" s="1259"/>
      <c r="OU355" s="1259"/>
      <c r="OV355" s="1259"/>
      <c r="OW355" s="1259"/>
      <c r="OX355" s="1259"/>
      <c r="OY355" s="1259"/>
      <c r="OZ355" s="1259"/>
      <c r="PA355" s="1259"/>
      <c r="PB355" s="1259"/>
      <c r="PC355" s="1259"/>
      <c r="PD355" s="1259"/>
      <c r="PE355" s="1259"/>
      <c r="PF355" s="1259"/>
      <c r="PG355" s="1259"/>
      <c r="PH355" s="1259"/>
      <c r="PI355" s="1259"/>
      <c r="PJ355" s="1259"/>
      <c r="PK355" s="1259"/>
      <c r="PL355" s="1259"/>
      <c r="PM355" s="1259"/>
      <c r="PN355" s="1259"/>
      <c r="PO355" s="1259"/>
      <c r="PP355" s="1259"/>
      <c r="PQ355" s="1259"/>
      <c r="PR355" s="1259"/>
      <c r="PS355" s="1259"/>
      <c r="PT355" s="1259"/>
      <c r="PU355" s="1259"/>
      <c r="PV355" s="1259"/>
      <c r="PW355" s="1259"/>
      <c r="PX355" s="1259"/>
      <c r="PY355" s="1259"/>
      <c r="PZ355" s="1259"/>
      <c r="QA355" s="1259"/>
      <c r="QB355" s="1259"/>
      <c r="QC355" s="1259"/>
      <c r="QD355" s="1259"/>
      <c r="QE355" s="1259"/>
      <c r="QF355" s="1259"/>
      <c r="QG355" s="1259"/>
      <c r="QH355" s="1259"/>
      <c r="QI355" s="1259"/>
      <c r="QJ355" s="1259"/>
      <c r="QK355" s="1259"/>
      <c r="QL355" s="1259"/>
      <c r="QM355" s="1259"/>
      <c r="QN355" s="1259"/>
      <c r="QO355" s="1259"/>
      <c r="QP355" s="1259"/>
      <c r="QQ355" s="1259"/>
      <c r="QR355" s="1259"/>
      <c r="QS355" s="1259"/>
      <c r="QT355" s="1259"/>
      <c r="QU355" s="1259"/>
      <c r="QV355" s="1259"/>
      <c r="QW355" s="1259"/>
      <c r="QX355" s="1259"/>
      <c r="QY355" s="1259"/>
      <c r="QZ355" s="1259"/>
      <c r="RA355" s="1259"/>
      <c r="RB355" s="1259"/>
      <c r="RC355" s="1259"/>
      <c r="RD355" s="1259"/>
      <c r="RE355" s="1259"/>
      <c r="RF355" s="1259"/>
      <c r="RG355" s="1259"/>
      <c r="RH355" s="1259"/>
      <c r="RI355" s="1259"/>
      <c r="RJ355" s="1259"/>
      <c r="RK355" s="1259"/>
      <c r="RL355" s="1259"/>
      <c r="RM355" s="1259"/>
      <c r="RN355" s="1259"/>
      <c r="RO355" s="1259"/>
      <c r="RP355" s="1259"/>
      <c r="RQ355" s="1259"/>
      <c r="RR355" s="1259"/>
      <c r="RS355" s="1259"/>
      <c r="RT355" s="1259"/>
      <c r="RU355" s="1259"/>
      <c r="RV355" s="1259"/>
      <c r="RW355" s="1259"/>
      <c r="RX355" s="1259"/>
      <c r="RY355" s="1259"/>
      <c r="RZ355" s="1259"/>
      <c r="SA355" s="1259"/>
      <c r="SB355" s="1259"/>
      <c r="SC355" s="1259"/>
      <c r="SD355" s="1259"/>
      <c r="SE355" s="1259"/>
      <c r="SF355" s="1259"/>
      <c r="SG355" s="1259"/>
      <c r="SH355" s="1259"/>
      <c r="SI355" s="1259"/>
      <c r="SJ355" s="1259"/>
      <c r="SK355" s="1259"/>
      <c r="SL355" s="1259"/>
      <c r="SM355" s="1259"/>
      <c r="SN355" s="1259"/>
      <c r="SO355" s="1259"/>
      <c r="SP355" s="1259"/>
      <c r="SQ355" s="1259"/>
      <c r="SR355" s="1259"/>
      <c r="SS355" s="1259"/>
      <c r="ST355" s="1259"/>
      <c r="SU355" s="1259"/>
      <c r="SV355" s="1259"/>
      <c r="SW355" s="1259"/>
      <c r="SX355" s="1259"/>
      <c r="SY355" s="1259"/>
      <c r="SZ355" s="1259"/>
      <c r="TA355" s="1259"/>
      <c r="TB355" s="1259"/>
      <c r="TC355" s="1259"/>
      <c r="TD355" s="1259"/>
      <c r="TE355" s="1259"/>
      <c r="TF355" s="1259"/>
      <c r="TG355" s="1259"/>
      <c r="TH355" s="1259"/>
      <c r="TI355" s="1259"/>
      <c r="TJ355" s="1259"/>
      <c r="TK355" s="1259"/>
      <c r="TL355" s="1259"/>
      <c r="TM355" s="1259"/>
      <c r="TN355" s="1259"/>
      <c r="TO355" s="1259"/>
      <c r="TP355" s="1259"/>
      <c r="TQ355" s="1259"/>
      <c r="TR355" s="1259"/>
      <c r="TS355" s="1259"/>
      <c r="TT355" s="1259"/>
      <c r="TU355" s="1259"/>
      <c r="TV355" s="1259"/>
      <c r="TW355" s="1259"/>
      <c r="TX355" s="1259"/>
      <c r="TY355" s="1259"/>
      <c r="TZ355" s="1259"/>
      <c r="UA355" s="1259"/>
      <c r="UB355" s="1259"/>
      <c r="UC355" s="1259"/>
      <c r="UD355" s="1259"/>
      <c r="UE355" s="1259"/>
      <c r="UF355" s="1259"/>
      <c r="UG355" s="1261"/>
    </row>
    <row r="356" spans="1:553" s="1262" customFormat="1" ht="29.25" customHeight="1">
      <c r="A356" s="366"/>
      <c r="B356" s="356"/>
      <c r="C356" s="1379" t="s">
        <v>1059</v>
      </c>
      <c r="D356" s="1380" t="s">
        <v>846</v>
      </c>
      <c r="E356" s="1380" t="s">
        <v>846</v>
      </c>
      <c r="F356" s="1381" t="s">
        <v>846</v>
      </c>
      <c r="G356" s="283" t="s">
        <v>193</v>
      </c>
      <c r="H356" s="417"/>
      <c r="I356" s="422">
        <v>1</v>
      </c>
      <c r="J356" s="981">
        <v>271100</v>
      </c>
      <c r="K356" s="475">
        <v>0.7</v>
      </c>
      <c r="L356" s="476">
        <f>ROUND(PRODUCT(I356:K356),0)</f>
        <v>189770</v>
      </c>
      <c r="M356" s="366"/>
      <c r="N356" s="366"/>
      <c r="O356" s="366"/>
      <c r="P356" s="366"/>
      <c r="Q356" s="1135"/>
      <c r="R356" s="1228"/>
      <c r="S356" s="302"/>
      <c r="T356" s="303"/>
      <c r="U356" s="304"/>
      <c r="V356" s="304"/>
      <c r="W356" s="304"/>
      <c r="X356" s="304"/>
      <c r="Y356" s="304"/>
      <c r="Z356" s="304"/>
      <c r="AA356" s="304"/>
      <c r="AB356" s="304"/>
      <c r="AC356" s="456"/>
      <c r="AD356" s="452"/>
      <c r="AE356" s="452"/>
      <c r="AF356" s="452"/>
      <c r="AG356" s="452"/>
      <c r="AH356" s="452"/>
      <c r="AI356" s="452"/>
      <c r="AJ356" s="452"/>
      <c r="AK356" s="452"/>
      <c r="AL356" s="1259"/>
      <c r="AM356" s="1259"/>
      <c r="AN356" s="1259"/>
      <c r="AO356" s="1259"/>
      <c r="AP356" s="1259"/>
      <c r="AQ356" s="1259"/>
      <c r="AR356" s="1259"/>
      <c r="AS356" s="1259"/>
      <c r="AT356" s="1259"/>
      <c r="AU356" s="1259"/>
      <c r="AV356" s="1259"/>
      <c r="AW356" s="1259"/>
      <c r="AX356" s="1259"/>
      <c r="AY356" s="1259"/>
      <c r="AZ356" s="1259"/>
      <c r="BA356" s="1259"/>
      <c r="BB356" s="1259"/>
      <c r="BC356" s="1259"/>
      <c r="BD356" s="1259"/>
      <c r="BE356" s="1259"/>
      <c r="BF356" s="1259"/>
      <c r="BG356" s="1259"/>
      <c r="BH356" s="1259"/>
      <c r="BI356" s="1259"/>
      <c r="BJ356" s="1259"/>
      <c r="BK356" s="1259"/>
      <c r="BL356" s="1259"/>
      <c r="BM356" s="1259"/>
      <c r="BN356" s="1259"/>
      <c r="BO356" s="1259"/>
      <c r="BP356" s="1259"/>
      <c r="BQ356" s="1259"/>
      <c r="BR356" s="1259"/>
      <c r="BS356" s="1259"/>
      <c r="BT356" s="1259"/>
      <c r="BU356" s="1259"/>
      <c r="BV356" s="1259"/>
      <c r="BW356" s="1259"/>
      <c r="BX356" s="1259"/>
      <c r="BY356" s="1259"/>
      <c r="BZ356" s="1259"/>
      <c r="CA356" s="1259"/>
      <c r="CB356" s="1259"/>
      <c r="CC356" s="1259"/>
      <c r="CD356" s="1259"/>
      <c r="CE356" s="1259"/>
      <c r="CF356" s="1259"/>
      <c r="CG356" s="1259"/>
      <c r="CH356" s="1259"/>
      <c r="CI356" s="1259"/>
      <c r="CJ356" s="1259"/>
      <c r="CK356" s="1259"/>
      <c r="CL356" s="1259"/>
      <c r="CM356" s="1259"/>
      <c r="CN356" s="1259"/>
      <c r="CO356" s="1259"/>
      <c r="CP356" s="1259"/>
      <c r="CQ356" s="1259"/>
      <c r="CR356" s="1259"/>
      <c r="CS356" s="1259"/>
      <c r="CT356" s="1259"/>
      <c r="CU356" s="1259"/>
      <c r="CV356" s="1259"/>
      <c r="CW356" s="1259"/>
      <c r="CX356" s="1259"/>
      <c r="CY356" s="1259"/>
      <c r="CZ356" s="1259"/>
      <c r="DA356" s="1259"/>
      <c r="DB356" s="1259"/>
      <c r="DC356" s="1259"/>
      <c r="DD356" s="1259"/>
      <c r="DE356" s="1259"/>
      <c r="DF356" s="1259"/>
      <c r="DG356" s="1259"/>
      <c r="DH356" s="1259"/>
      <c r="DI356" s="1259"/>
      <c r="DJ356" s="1259"/>
      <c r="DK356" s="1259"/>
      <c r="DL356" s="1259"/>
      <c r="DM356" s="1259"/>
      <c r="DN356" s="1259"/>
      <c r="DO356" s="1259"/>
      <c r="DP356" s="1259"/>
      <c r="DQ356" s="1259"/>
      <c r="DR356" s="1259"/>
      <c r="DS356" s="1259"/>
      <c r="DT356" s="1259"/>
      <c r="DU356" s="1259"/>
      <c r="DV356" s="1259"/>
      <c r="DW356" s="1259"/>
      <c r="DX356" s="1259"/>
      <c r="DY356" s="1259"/>
      <c r="DZ356" s="1259"/>
      <c r="EA356" s="1259"/>
      <c r="EB356" s="1259"/>
      <c r="EC356" s="1259"/>
      <c r="ED356" s="1259"/>
      <c r="EE356" s="1259"/>
      <c r="EF356" s="1259"/>
      <c r="EG356" s="1259"/>
      <c r="EH356" s="1259"/>
      <c r="EI356" s="1259"/>
      <c r="EJ356" s="1259"/>
      <c r="EK356" s="1259"/>
      <c r="EL356" s="1259"/>
      <c r="EM356" s="1259"/>
      <c r="EN356" s="1259"/>
      <c r="EO356" s="1259"/>
      <c r="EP356" s="1259"/>
      <c r="EQ356" s="1259"/>
      <c r="ER356" s="1259"/>
      <c r="ES356" s="1259"/>
      <c r="ET356" s="1259"/>
      <c r="EU356" s="1259"/>
      <c r="EV356" s="1259"/>
      <c r="EW356" s="1259"/>
      <c r="EX356" s="1259"/>
      <c r="EY356" s="1259"/>
      <c r="EZ356" s="1259"/>
      <c r="FA356" s="1259"/>
      <c r="FB356" s="1259"/>
      <c r="FC356" s="1259"/>
      <c r="FD356" s="1259"/>
      <c r="FE356" s="1259"/>
      <c r="FF356" s="1259"/>
      <c r="FG356" s="1259"/>
      <c r="FH356" s="1259"/>
      <c r="FI356" s="1259"/>
      <c r="FJ356" s="1259"/>
      <c r="FK356" s="1259"/>
      <c r="FL356" s="1259"/>
      <c r="FM356" s="1259"/>
      <c r="FN356" s="1259"/>
      <c r="FO356" s="1259"/>
      <c r="FP356" s="1259"/>
      <c r="FQ356" s="1259"/>
      <c r="FR356" s="1259"/>
      <c r="FS356" s="1259"/>
      <c r="FT356" s="1259"/>
      <c r="FU356" s="1259"/>
      <c r="FV356" s="1259"/>
      <c r="FW356" s="1259"/>
      <c r="FX356" s="1259"/>
      <c r="FY356" s="1259"/>
      <c r="FZ356" s="1259"/>
      <c r="GA356" s="1259"/>
      <c r="GB356" s="1259"/>
      <c r="GC356" s="1259"/>
      <c r="GD356" s="1259"/>
      <c r="GE356" s="1259"/>
      <c r="GF356" s="1259"/>
      <c r="GG356" s="1259"/>
      <c r="GH356" s="1259"/>
      <c r="GI356" s="1259"/>
      <c r="GJ356" s="1259"/>
      <c r="GK356" s="1259"/>
      <c r="GL356" s="1259"/>
      <c r="GM356" s="1259"/>
      <c r="GN356" s="1259"/>
      <c r="GO356" s="1259"/>
      <c r="GP356" s="1259"/>
      <c r="GQ356" s="1259"/>
      <c r="GR356" s="1259"/>
      <c r="GS356" s="1259"/>
      <c r="GT356" s="1259"/>
      <c r="GU356" s="1259"/>
      <c r="GV356" s="1259"/>
      <c r="GW356" s="1259"/>
      <c r="GX356" s="1259"/>
      <c r="GY356" s="1259"/>
      <c r="GZ356" s="1259"/>
      <c r="HA356" s="1259"/>
      <c r="HB356" s="1259"/>
      <c r="HC356" s="1259"/>
      <c r="HD356" s="1259"/>
      <c r="HE356" s="1259"/>
      <c r="HF356" s="1259"/>
      <c r="HG356" s="1259"/>
      <c r="HH356" s="1259"/>
      <c r="HI356" s="1259"/>
      <c r="HJ356" s="1259"/>
      <c r="HK356" s="1259"/>
      <c r="HL356" s="1259"/>
      <c r="HM356" s="1259"/>
      <c r="HN356" s="1259"/>
      <c r="HO356" s="1259"/>
      <c r="HP356" s="1259"/>
      <c r="HQ356" s="1259"/>
      <c r="HR356" s="1259"/>
      <c r="HS356" s="1259"/>
      <c r="HT356" s="1259"/>
      <c r="HU356" s="1259"/>
      <c r="HV356" s="1259"/>
      <c r="HW356" s="1259"/>
      <c r="HX356" s="1259"/>
      <c r="HY356" s="1259"/>
      <c r="HZ356" s="1259"/>
      <c r="IA356" s="1259"/>
      <c r="IB356" s="1259"/>
      <c r="IC356" s="1259"/>
      <c r="ID356" s="1259"/>
      <c r="IE356" s="1259"/>
      <c r="IF356" s="1259"/>
      <c r="IG356" s="1259"/>
      <c r="IH356" s="1259"/>
      <c r="II356" s="1259"/>
      <c r="IJ356" s="1259"/>
      <c r="IK356" s="1259"/>
      <c r="IL356" s="1259"/>
      <c r="IM356" s="1259"/>
      <c r="IN356" s="1259"/>
      <c r="IO356" s="1259"/>
      <c r="IP356" s="1259"/>
      <c r="IQ356" s="1259"/>
      <c r="IR356" s="1259"/>
      <c r="IS356" s="1259"/>
      <c r="IT356" s="1259"/>
      <c r="IU356" s="1259"/>
      <c r="IV356" s="1259"/>
      <c r="IW356" s="1259"/>
      <c r="IX356" s="1259"/>
      <c r="IY356" s="1259"/>
      <c r="IZ356" s="1259"/>
      <c r="JA356" s="1259"/>
      <c r="JB356" s="1259"/>
      <c r="JC356" s="1259"/>
      <c r="JD356" s="1259"/>
      <c r="JE356" s="1259"/>
      <c r="JF356" s="1259"/>
      <c r="JG356" s="1259"/>
      <c r="JH356" s="1259"/>
      <c r="JI356" s="1259"/>
      <c r="JJ356" s="1259"/>
      <c r="JK356" s="1259"/>
      <c r="JL356" s="1259"/>
      <c r="JM356" s="1259"/>
      <c r="JN356" s="1259"/>
      <c r="JO356" s="1259"/>
      <c r="JP356" s="1259"/>
      <c r="JQ356" s="1259"/>
      <c r="JR356" s="1259"/>
      <c r="JS356" s="1259"/>
      <c r="JT356" s="1259"/>
      <c r="JU356" s="1259"/>
      <c r="JV356" s="1259"/>
      <c r="JW356" s="1259"/>
      <c r="JX356" s="1259"/>
      <c r="JY356" s="1259"/>
      <c r="JZ356" s="1259"/>
      <c r="KA356" s="1259"/>
      <c r="KB356" s="1259"/>
      <c r="KC356" s="1259"/>
      <c r="KD356" s="1259"/>
      <c r="KE356" s="1259"/>
      <c r="KF356" s="1259"/>
      <c r="KG356" s="1259"/>
      <c r="KH356" s="1259"/>
      <c r="KI356" s="1259"/>
      <c r="KJ356" s="1259"/>
      <c r="KK356" s="1259"/>
      <c r="KL356" s="1259"/>
      <c r="KM356" s="1259"/>
      <c r="KN356" s="1259"/>
      <c r="KO356" s="1259"/>
      <c r="KP356" s="1259"/>
      <c r="KQ356" s="1259"/>
      <c r="KR356" s="1259"/>
      <c r="KS356" s="1259"/>
      <c r="KT356" s="1259"/>
      <c r="KU356" s="1259"/>
      <c r="KV356" s="1259"/>
      <c r="KW356" s="1259"/>
      <c r="KX356" s="1259"/>
      <c r="KY356" s="1259"/>
      <c r="KZ356" s="1259"/>
      <c r="LA356" s="1259"/>
      <c r="LB356" s="1259"/>
      <c r="LC356" s="1259"/>
      <c r="LD356" s="1259"/>
      <c r="LE356" s="1259"/>
      <c r="LF356" s="1259"/>
      <c r="LG356" s="1259"/>
      <c r="LH356" s="1259"/>
      <c r="LI356" s="1259"/>
      <c r="LJ356" s="1259"/>
      <c r="LK356" s="1259"/>
      <c r="LL356" s="1259"/>
      <c r="LM356" s="1259"/>
      <c r="LN356" s="1259"/>
      <c r="LO356" s="1259"/>
      <c r="LP356" s="1259"/>
      <c r="LQ356" s="1259"/>
      <c r="LR356" s="1259"/>
      <c r="LS356" s="1259"/>
      <c r="LT356" s="1259"/>
      <c r="LU356" s="1259"/>
      <c r="LV356" s="1259"/>
      <c r="LW356" s="1259"/>
      <c r="LX356" s="1259"/>
      <c r="LY356" s="1259"/>
      <c r="LZ356" s="1259"/>
      <c r="MA356" s="1259"/>
      <c r="MB356" s="1259"/>
      <c r="MC356" s="1259"/>
      <c r="MD356" s="1259"/>
      <c r="ME356" s="1259"/>
      <c r="MF356" s="1259"/>
      <c r="MG356" s="1259"/>
      <c r="MH356" s="1259"/>
      <c r="MI356" s="1259"/>
      <c r="MJ356" s="1259"/>
      <c r="MK356" s="1259"/>
      <c r="ML356" s="1259"/>
      <c r="MM356" s="1259"/>
      <c r="MN356" s="1259"/>
      <c r="MO356" s="1259"/>
      <c r="MP356" s="1259"/>
      <c r="MQ356" s="1259"/>
      <c r="MR356" s="1259"/>
      <c r="MS356" s="1259"/>
      <c r="MT356" s="1259"/>
      <c r="MU356" s="1259"/>
      <c r="MV356" s="1259"/>
      <c r="MW356" s="1259"/>
      <c r="MX356" s="1259"/>
      <c r="MY356" s="1259"/>
      <c r="MZ356" s="1259"/>
      <c r="NA356" s="1259"/>
      <c r="NB356" s="1259"/>
      <c r="NC356" s="1259"/>
      <c r="ND356" s="1259"/>
      <c r="NE356" s="1259"/>
      <c r="NF356" s="1259"/>
      <c r="NG356" s="1259"/>
      <c r="NH356" s="1259"/>
      <c r="NI356" s="1259"/>
      <c r="NJ356" s="1259"/>
      <c r="NK356" s="1259"/>
      <c r="NL356" s="1259"/>
      <c r="NM356" s="1259"/>
      <c r="NN356" s="1259"/>
      <c r="NO356" s="1259"/>
      <c r="NP356" s="1259"/>
      <c r="NQ356" s="1259"/>
      <c r="NR356" s="1259"/>
      <c r="NS356" s="1259"/>
      <c r="NT356" s="1259"/>
      <c r="NU356" s="1259"/>
      <c r="NV356" s="1259"/>
      <c r="NW356" s="1259"/>
      <c r="NX356" s="1259"/>
      <c r="NY356" s="1259"/>
      <c r="NZ356" s="1259"/>
      <c r="OA356" s="1259"/>
      <c r="OB356" s="1259"/>
      <c r="OC356" s="1259"/>
      <c r="OD356" s="1259"/>
      <c r="OE356" s="1259"/>
      <c r="OF356" s="1259"/>
      <c r="OG356" s="1259"/>
      <c r="OH356" s="1259"/>
      <c r="OI356" s="1259"/>
      <c r="OJ356" s="1259"/>
      <c r="OK356" s="1259"/>
      <c r="OL356" s="1259"/>
      <c r="OM356" s="1259"/>
      <c r="ON356" s="1259"/>
      <c r="OO356" s="1259"/>
      <c r="OP356" s="1259"/>
      <c r="OQ356" s="1259"/>
      <c r="OR356" s="1259"/>
      <c r="OS356" s="1259"/>
      <c r="OT356" s="1259"/>
      <c r="OU356" s="1259"/>
      <c r="OV356" s="1259"/>
      <c r="OW356" s="1259"/>
      <c r="OX356" s="1259"/>
      <c r="OY356" s="1259"/>
      <c r="OZ356" s="1259"/>
      <c r="PA356" s="1259"/>
      <c r="PB356" s="1259"/>
      <c r="PC356" s="1259"/>
      <c r="PD356" s="1259"/>
      <c r="PE356" s="1259"/>
      <c r="PF356" s="1259"/>
      <c r="PG356" s="1259"/>
      <c r="PH356" s="1259"/>
      <c r="PI356" s="1259"/>
      <c r="PJ356" s="1259"/>
      <c r="PK356" s="1259"/>
      <c r="PL356" s="1259"/>
      <c r="PM356" s="1259"/>
      <c r="PN356" s="1259"/>
      <c r="PO356" s="1259"/>
      <c r="PP356" s="1259"/>
      <c r="PQ356" s="1259"/>
      <c r="PR356" s="1259"/>
      <c r="PS356" s="1259"/>
      <c r="PT356" s="1259"/>
      <c r="PU356" s="1259"/>
      <c r="PV356" s="1259"/>
      <c r="PW356" s="1259"/>
      <c r="PX356" s="1259"/>
      <c r="PY356" s="1259"/>
      <c r="PZ356" s="1259"/>
      <c r="QA356" s="1259"/>
      <c r="QB356" s="1259"/>
      <c r="QC356" s="1259"/>
      <c r="QD356" s="1259"/>
      <c r="QE356" s="1259"/>
      <c r="QF356" s="1259"/>
      <c r="QG356" s="1259"/>
      <c r="QH356" s="1259"/>
      <c r="QI356" s="1259"/>
      <c r="QJ356" s="1259"/>
      <c r="QK356" s="1259"/>
      <c r="QL356" s="1259"/>
      <c r="QM356" s="1259"/>
      <c r="QN356" s="1259"/>
      <c r="QO356" s="1259"/>
      <c r="QP356" s="1259"/>
      <c r="QQ356" s="1259"/>
      <c r="QR356" s="1259"/>
      <c r="QS356" s="1259"/>
      <c r="QT356" s="1259"/>
      <c r="QU356" s="1259"/>
      <c r="QV356" s="1259"/>
      <c r="QW356" s="1259"/>
      <c r="QX356" s="1259"/>
      <c r="QY356" s="1259"/>
      <c r="QZ356" s="1259"/>
      <c r="RA356" s="1259"/>
      <c r="RB356" s="1259"/>
      <c r="RC356" s="1259"/>
      <c r="RD356" s="1259"/>
      <c r="RE356" s="1259"/>
      <c r="RF356" s="1259"/>
      <c r="RG356" s="1259"/>
      <c r="RH356" s="1259"/>
      <c r="RI356" s="1259"/>
      <c r="RJ356" s="1259"/>
      <c r="RK356" s="1259"/>
      <c r="RL356" s="1259"/>
      <c r="RM356" s="1259"/>
      <c r="RN356" s="1259"/>
      <c r="RO356" s="1259"/>
      <c r="RP356" s="1259"/>
      <c r="RQ356" s="1259"/>
      <c r="RR356" s="1259"/>
      <c r="RS356" s="1259"/>
      <c r="RT356" s="1259"/>
      <c r="RU356" s="1259"/>
      <c r="RV356" s="1259"/>
      <c r="RW356" s="1259"/>
      <c r="RX356" s="1259"/>
      <c r="RY356" s="1259"/>
      <c r="RZ356" s="1259"/>
      <c r="SA356" s="1259"/>
      <c r="SB356" s="1259"/>
      <c r="SC356" s="1259"/>
      <c r="SD356" s="1259"/>
      <c r="SE356" s="1259"/>
      <c r="SF356" s="1259"/>
      <c r="SG356" s="1259"/>
      <c r="SH356" s="1259"/>
      <c r="SI356" s="1259"/>
      <c r="SJ356" s="1259"/>
      <c r="SK356" s="1259"/>
      <c r="SL356" s="1259"/>
      <c r="SM356" s="1259"/>
      <c r="SN356" s="1259"/>
      <c r="SO356" s="1259"/>
      <c r="SP356" s="1259"/>
      <c r="SQ356" s="1259"/>
      <c r="SR356" s="1259"/>
      <c r="SS356" s="1259"/>
      <c r="ST356" s="1259"/>
      <c r="SU356" s="1259"/>
      <c r="SV356" s="1259"/>
      <c r="SW356" s="1259"/>
      <c r="SX356" s="1259"/>
      <c r="SY356" s="1259"/>
      <c r="SZ356" s="1259"/>
      <c r="TA356" s="1259"/>
      <c r="TB356" s="1259"/>
      <c r="TC356" s="1259"/>
      <c r="TD356" s="1259"/>
      <c r="TE356" s="1259"/>
      <c r="TF356" s="1259"/>
      <c r="TG356" s="1259"/>
      <c r="TH356" s="1259"/>
      <c r="TI356" s="1259"/>
      <c r="TJ356" s="1259"/>
      <c r="TK356" s="1259"/>
      <c r="TL356" s="1259"/>
      <c r="TM356" s="1259"/>
      <c r="TN356" s="1259"/>
      <c r="TO356" s="1259"/>
      <c r="TP356" s="1259"/>
      <c r="TQ356" s="1259"/>
      <c r="TR356" s="1259"/>
      <c r="TS356" s="1259"/>
      <c r="TT356" s="1259"/>
      <c r="TU356" s="1259"/>
      <c r="TV356" s="1259"/>
      <c r="TW356" s="1259"/>
      <c r="TX356" s="1259"/>
      <c r="TY356" s="1259"/>
      <c r="TZ356" s="1259"/>
      <c r="UA356" s="1259"/>
      <c r="UB356" s="1259"/>
      <c r="UC356" s="1259"/>
      <c r="UD356" s="1259"/>
      <c r="UE356" s="1259"/>
      <c r="UF356" s="1259"/>
      <c r="UG356" s="1261"/>
    </row>
    <row r="357" spans="1:553" s="1262" customFormat="1" ht="29.25" customHeight="1">
      <c r="A357" s="366"/>
      <c r="B357" s="356"/>
      <c r="C357" s="1379" t="s">
        <v>1082</v>
      </c>
      <c r="D357" s="1380" t="s">
        <v>1083</v>
      </c>
      <c r="E357" s="1380" t="s">
        <v>1083</v>
      </c>
      <c r="F357" s="1381" t="s">
        <v>1083</v>
      </c>
      <c r="G357" s="564" t="s">
        <v>48</v>
      </c>
      <c r="H357" s="417"/>
      <c r="I357" s="422">
        <v>5</v>
      </c>
      <c r="J357" s="368">
        <v>202900</v>
      </c>
      <c r="K357" s="565">
        <v>0.7</v>
      </c>
      <c r="L357" s="571">
        <f t="shared" ref="L357" si="75">I357*J357*K357</f>
        <v>710150</v>
      </c>
      <c r="M357" s="366"/>
      <c r="N357" s="366"/>
      <c r="O357" s="366"/>
      <c r="P357" s="366"/>
      <c r="Q357" s="1135"/>
      <c r="R357" s="1228"/>
      <c r="S357" s="305"/>
      <c r="T357" s="303"/>
      <c r="U357" s="306"/>
      <c r="V357" s="307"/>
      <c r="W357" s="306"/>
      <c r="X357" s="306"/>
      <c r="Y357" s="306"/>
      <c r="Z357" s="306"/>
      <c r="AA357" s="306"/>
      <c r="AB357" s="306"/>
      <c r="AC357" s="456"/>
      <c r="AD357" s="452"/>
      <c r="AE357" s="452"/>
      <c r="AF357" s="452"/>
      <c r="AG357" s="452"/>
      <c r="AH357" s="452"/>
      <c r="AI357" s="452"/>
      <c r="AJ357" s="452"/>
      <c r="AK357" s="452"/>
      <c r="AL357" s="1259"/>
      <c r="AM357" s="1259"/>
      <c r="AN357" s="1259"/>
      <c r="AO357" s="1259"/>
      <c r="AP357" s="1259"/>
      <c r="AQ357" s="1259"/>
      <c r="AR357" s="1259"/>
      <c r="AS357" s="1259"/>
      <c r="AT357" s="1259"/>
      <c r="AU357" s="1259"/>
      <c r="AV357" s="1259"/>
      <c r="AW357" s="1259"/>
      <c r="AX357" s="1259"/>
      <c r="AY357" s="1259"/>
      <c r="AZ357" s="1259"/>
      <c r="BA357" s="1259"/>
      <c r="BB357" s="1259"/>
      <c r="BC357" s="1259"/>
      <c r="BD357" s="1259"/>
      <c r="BE357" s="1259"/>
      <c r="BF357" s="1259"/>
      <c r="BG357" s="1259"/>
      <c r="BH357" s="1259"/>
      <c r="BI357" s="1259"/>
      <c r="BJ357" s="1259"/>
      <c r="BK357" s="1259"/>
      <c r="BL357" s="1259"/>
      <c r="BM357" s="1259"/>
      <c r="BN357" s="1259"/>
      <c r="BO357" s="1259"/>
      <c r="BP357" s="1259"/>
      <c r="BQ357" s="1259"/>
      <c r="BR357" s="1259"/>
      <c r="BS357" s="1259"/>
      <c r="BT357" s="1259"/>
      <c r="BU357" s="1259"/>
      <c r="BV357" s="1259"/>
      <c r="BW357" s="1259"/>
      <c r="BX357" s="1259"/>
      <c r="BY357" s="1259"/>
      <c r="BZ357" s="1259"/>
      <c r="CA357" s="1259"/>
      <c r="CB357" s="1259"/>
      <c r="CC357" s="1259"/>
      <c r="CD357" s="1259"/>
      <c r="CE357" s="1259"/>
      <c r="CF357" s="1259"/>
      <c r="CG357" s="1259"/>
      <c r="CH357" s="1259"/>
      <c r="CI357" s="1259"/>
      <c r="CJ357" s="1259"/>
      <c r="CK357" s="1259"/>
      <c r="CL357" s="1259"/>
      <c r="CM357" s="1259"/>
      <c r="CN357" s="1259"/>
      <c r="CO357" s="1259"/>
      <c r="CP357" s="1259"/>
      <c r="CQ357" s="1259"/>
      <c r="CR357" s="1259"/>
      <c r="CS357" s="1259"/>
      <c r="CT357" s="1259"/>
      <c r="CU357" s="1259"/>
      <c r="CV357" s="1259"/>
      <c r="CW357" s="1259"/>
      <c r="CX357" s="1259"/>
      <c r="CY357" s="1259"/>
      <c r="CZ357" s="1259"/>
      <c r="DA357" s="1259"/>
      <c r="DB357" s="1259"/>
      <c r="DC357" s="1259"/>
      <c r="DD357" s="1259"/>
      <c r="DE357" s="1259"/>
      <c r="DF357" s="1259"/>
      <c r="DG357" s="1259"/>
      <c r="DH357" s="1259"/>
      <c r="DI357" s="1259"/>
      <c r="DJ357" s="1259"/>
      <c r="DK357" s="1259"/>
      <c r="DL357" s="1259"/>
      <c r="DM357" s="1259"/>
      <c r="DN357" s="1259"/>
      <c r="DO357" s="1259"/>
      <c r="DP357" s="1259"/>
      <c r="DQ357" s="1259"/>
      <c r="DR357" s="1259"/>
      <c r="DS357" s="1259"/>
      <c r="DT357" s="1259"/>
      <c r="DU357" s="1259"/>
      <c r="DV357" s="1259"/>
      <c r="DW357" s="1259"/>
      <c r="DX357" s="1259"/>
      <c r="DY357" s="1259"/>
      <c r="DZ357" s="1259"/>
      <c r="EA357" s="1259"/>
      <c r="EB357" s="1259"/>
      <c r="EC357" s="1259"/>
      <c r="ED357" s="1259"/>
      <c r="EE357" s="1259"/>
      <c r="EF357" s="1259"/>
      <c r="EG357" s="1259"/>
      <c r="EH357" s="1259"/>
      <c r="EI357" s="1259"/>
      <c r="EJ357" s="1259"/>
      <c r="EK357" s="1259"/>
      <c r="EL357" s="1259"/>
      <c r="EM357" s="1259"/>
      <c r="EN357" s="1259"/>
      <c r="EO357" s="1259"/>
      <c r="EP357" s="1259"/>
      <c r="EQ357" s="1259"/>
      <c r="ER357" s="1259"/>
      <c r="ES357" s="1259"/>
      <c r="ET357" s="1259"/>
      <c r="EU357" s="1259"/>
      <c r="EV357" s="1259"/>
      <c r="EW357" s="1259"/>
      <c r="EX357" s="1259"/>
      <c r="EY357" s="1259"/>
      <c r="EZ357" s="1259"/>
      <c r="FA357" s="1259"/>
      <c r="FB357" s="1259"/>
      <c r="FC357" s="1259"/>
      <c r="FD357" s="1259"/>
      <c r="FE357" s="1259"/>
      <c r="FF357" s="1259"/>
      <c r="FG357" s="1259"/>
      <c r="FH357" s="1259"/>
      <c r="FI357" s="1259"/>
      <c r="FJ357" s="1259"/>
      <c r="FK357" s="1259"/>
      <c r="FL357" s="1259"/>
      <c r="FM357" s="1259"/>
      <c r="FN357" s="1259"/>
      <c r="FO357" s="1259"/>
      <c r="FP357" s="1259"/>
      <c r="FQ357" s="1259"/>
      <c r="FR357" s="1259"/>
      <c r="FS357" s="1259"/>
      <c r="FT357" s="1259"/>
      <c r="FU357" s="1259"/>
      <c r="FV357" s="1259"/>
      <c r="FW357" s="1259"/>
      <c r="FX357" s="1259"/>
      <c r="FY357" s="1259"/>
      <c r="FZ357" s="1259"/>
      <c r="GA357" s="1259"/>
      <c r="GB357" s="1259"/>
      <c r="GC357" s="1259"/>
      <c r="GD357" s="1259"/>
      <c r="GE357" s="1259"/>
      <c r="GF357" s="1259"/>
      <c r="GG357" s="1259"/>
      <c r="GH357" s="1259"/>
      <c r="GI357" s="1259"/>
      <c r="GJ357" s="1259"/>
      <c r="GK357" s="1259"/>
      <c r="GL357" s="1259"/>
      <c r="GM357" s="1259"/>
      <c r="GN357" s="1259"/>
      <c r="GO357" s="1259"/>
      <c r="GP357" s="1259"/>
      <c r="GQ357" s="1259"/>
      <c r="GR357" s="1259"/>
      <c r="GS357" s="1259"/>
      <c r="GT357" s="1259"/>
      <c r="GU357" s="1259"/>
      <c r="GV357" s="1259"/>
      <c r="GW357" s="1259"/>
      <c r="GX357" s="1259"/>
      <c r="GY357" s="1259"/>
      <c r="GZ357" s="1259"/>
      <c r="HA357" s="1259"/>
      <c r="HB357" s="1259"/>
      <c r="HC357" s="1259"/>
      <c r="HD357" s="1259"/>
      <c r="HE357" s="1259"/>
      <c r="HF357" s="1259"/>
      <c r="HG357" s="1259"/>
      <c r="HH357" s="1259"/>
      <c r="HI357" s="1259"/>
      <c r="HJ357" s="1259"/>
      <c r="HK357" s="1259"/>
      <c r="HL357" s="1259"/>
      <c r="HM357" s="1259"/>
      <c r="HN357" s="1259"/>
      <c r="HO357" s="1259"/>
      <c r="HP357" s="1259"/>
      <c r="HQ357" s="1259"/>
      <c r="HR357" s="1259"/>
      <c r="HS357" s="1259"/>
      <c r="HT357" s="1259"/>
      <c r="HU357" s="1259"/>
      <c r="HV357" s="1259"/>
      <c r="HW357" s="1259"/>
      <c r="HX357" s="1259"/>
      <c r="HY357" s="1259"/>
      <c r="HZ357" s="1259"/>
      <c r="IA357" s="1259"/>
      <c r="IB357" s="1259"/>
      <c r="IC357" s="1259"/>
      <c r="ID357" s="1259"/>
      <c r="IE357" s="1259"/>
      <c r="IF357" s="1259"/>
      <c r="IG357" s="1259"/>
      <c r="IH357" s="1259"/>
      <c r="II357" s="1259"/>
      <c r="IJ357" s="1259"/>
      <c r="IK357" s="1259"/>
      <c r="IL357" s="1259"/>
      <c r="IM357" s="1259"/>
      <c r="IN357" s="1259"/>
      <c r="IO357" s="1259"/>
      <c r="IP357" s="1259"/>
      <c r="IQ357" s="1259"/>
      <c r="IR357" s="1259"/>
      <c r="IS357" s="1259"/>
      <c r="IT357" s="1259"/>
      <c r="IU357" s="1259"/>
      <c r="IV357" s="1259"/>
      <c r="IW357" s="1259"/>
      <c r="IX357" s="1259"/>
      <c r="IY357" s="1259"/>
      <c r="IZ357" s="1259"/>
      <c r="JA357" s="1259"/>
      <c r="JB357" s="1259"/>
      <c r="JC357" s="1259"/>
      <c r="JD357" s="1259"/>
      <c r="JE357" s="1259"/>
      <c r="JF357" s="1259"/>
      <c r="JG357" s="1259"/>
      <c r="JH357" s="1259"/>
      <c r="JI357" s="1259"/>
      <c r="JJ357" s="1259"/>
      <c r="JK357" s="1259"/>
      <c r="JL357" s="1259"/>
      <c r="JM357" s="1259"/>
      <c r="JN357" s="1259"/>
      <c r="JO357" s="1259"/>
      <c r="JP357" s="1259"/>
      <c r="JQ357" s="1259"/>
      <c r="JR357" s="1259"/>
      <c r="JS357" s="1259"/>
      <c r="JT357" s="1259"/>
      <c r="JU357" s="1259"/>
      <c r="JV357" s="1259"/>
      <c r="JW357" s="1259"/>
      <c r="JX357" s="1259"/>
      <c r="JY357" s="1259"/>
      <c r="JZ357" s="1259"/>
      <c r="KA357" s="1259"/>
      <c r="KB357" s="1259"/>
      <c r="KC357" s="1259"/>
      <c r="KD357" s="1259"/>
      <c r="KE357" s="1259"/>
      <c r="KF357" s="1259"/>
      <c r="KG357" s="1259"/>
      <c r="KH357" s="1259"/>
      <c r="KI357" s="1259"/>
      <c r="KJ357" s="1259"/>
      <c r="KK357" s="1259"/>
      <c r="KL357" s="1259"/>
      <c r="KM357" s="1259"/>
      <c r="KN357" s="1259"/>
      <c r="KO357" s="1259"/>
      <c r="KP357" s="1259"/>
      <c r="KQ357" s="1259"/>
      <c r="KR357" s="1259"/>
      <c r="KS357" s="1259"/>
      <c r="KT357" s="1259"/>
      <c r="KU357" s="1259"/>
      <c r="KV357" s="1259"/>
      <c r="KW357" s="1259"/>
      <c r="KX357" s="1259"/>
      <c r="KY357" s="1259"/>
      <c r="KZ357" s="1259"/>
      <c r="LA357" s="1259"/>
      <c r="LB357" s="1259"/>
      <c r="LC357" s="1259"/>
      <c r="LD357" s="1259"/>
      <c r="LE357" s="1259"/>
      <c r="LF357" s="1259"/>
      <c r="LG357" s="1259"/>
      <c r="LH357" s="1259"/>
      <c r="LI357" s="1259"/>
      <c r="LJ357" s="1259"/>
      <c r="LK357" s="1259"/>
      <c r="LL357" s="1259"/>
      <c r="LM357" s="1259"/>
      <c r="LN357" s="1259"/>
      <c r="LO357" s="1259"/>
      <c r="LP357" s="1259"/>
      <c r="LQ357" s="1259"/>
      <c r="LR357" s="1259"/>
      <c r="LS357" s="1259"/>
      <c r="LT357" s="1259"/>
      <c r="LU357" s="1259"/>
      <c r="LV357" s="1259"/>
      <c r="LW357" s="1259"/>
      <c r="LX357" s="1259"/>
      <c r="LY357" s="1259"/>
      <c r="LZ357" s="1259"/>
      <c r="MA357" s="1259"/>
      <c r="MB357" s="1259"/>
      <c r="MC357" s="1259"/>
      <c r="MD357" s="1259"/>
      <c r="ME357" s="1259"/>
      <c r="MF357" s="1259"/>
      <c r="MG357" s="1259"/>
      <c r="MH357" s="1259"/>
      <c r="MI357" s="1259"/>
      <c r="MJ357" s="1259"/>
      <c r="MK357" s="1259"/>
      <c r="ML357" s="1259"/>
      <c r="MM357" s="1259"/>
      <c r="MN357" s="1259"/>
      <c r="MO357" s="1259"/>
      <c r="MP357" s="1259"/>
      <c r="MQ357" s="1259"/>
      <c r="MR357" s="1259"/>
      <c r="MS357" s="1259"/>
      <c r="MT357" s="1259"/>
      <c r="MU357" s="1259"/>
      <c r="MV357" s="1259"/>
      <c r="MW357" s="1259"/>
      <c r="MX357" s="1259"/>
      <c r="MY357" s="1259"/>
      <c r="MZ357" s="1259"/>
      <c r="NA357" s="1259"/>
      <c r="NB357" s="1259"/>
      <c r="NC357" s="1259"/>
      <c r="ND357" s="1259"/>
      <c r="NE357" s="1259"/>
      <c r="NF357" s="1259"/>
      <c r="NG357" s="1259"/>
      <c r="NH357" s="1259"/>
      <c r="NI357" s="1259"/>
      <c r="NJ357" s="1259"/>
      <c r="NK357" s="1259"/>
      <c r="NL357" s="1259"/>
      <c r="NM357" s="1259"/>
      <c r="NN357" s="1259"/>
      <c r="NO357" s="1259"/>
      <c r="NP357" s="1259"/>
      <c r="NQ357" s="1259"/>
      <c r="NR357" s="1259"/>
      <c r="NS357" s="1259"/>
      <c r="NT357" s="1259"/>
      <c r="NU357" s="1259"/>
      <c r="NV357" s="1259"/>
      <c r="NW357" s="1259"/>
      <c r="NX357" s="1259"/>
      <c r="NY357" s="1259"/>
      <c r="NZ357" s="1259"/>
      <c r="OA357" s="1259"/>
      <c r="OB357" s="1259"/>
      <c r="OC357" s="1259"/>
      <c r="OD357" s="1259"/>
      <c r="OE357" s="1259"/>
      <c r="OF357" s="1259"/>
      <c r="OG357" s="1259"/>
      <c r="OH357" s="1259"/>
      <c r="OI357" s="1259"/>
      <c r="OJ357" s="1259"/>
      <c r="OK357" s="1259"/>
      <c r="OL357" s="1259"/>
      <c r="OM357" s="1259"/>
      <c r="ON357" s="1259"/>
      <c r="OO357" s="1259"/>
      <c r="OP357" s="1259"/>
      <c r="OQ357" s="1259"/>
      <c r="OR357" s="1259"/>
      <c r="OS357" s="1259"/>
      <c r="OT357" s="1259"/>
      <c r="OU357" s="1259"/>
      <c r="OV357" s="1259"/>
      <c r="OW357" s="1259"/>
      <c r="OX357" s="1259"/>
      <c r="OY357" s="1259"/>
      <c r="OZ357" s="1259"/>
      <c r="PA357" s="1259"/>
      <c r="PB357" s="1259"/>
      <c r="PC357" s="1259"/>
      <c r="PD357" s="1259"/>
      <c r="PE357" s="1259"/>
      <c r="PF357" s="1259"/>
      <c r="PG357" s="1259"/>
      <c r="PH357" s="1259"/>
      <c r="PI357" s="1259"/>
      <c r="PJ357" s="1259"/>
      <c r="PK357" s="1259"/>
      <c r="PL357" s="1259"/>
      <c r="PM357" s="1259"/>
      <c r="PN357" s="1259"/>
      <c r="PO357" s="1259"/>
      <c r="PP357" s="1259"/>
      <c r="PQ357" s="1259"/>
      <c r="PR357" s="1259"/>
      <c r="PS357" s="1259"/>
      <c r="PT357" s="1259"/>
      <c r="PU357" s="1259"/>
      <c r="PV357" s="1259"/>
      <c r="PW357" s="1259"/>
      <c r="PX357" s="1259"/>
      <c r="PY357" s="1259"/>
      <c r="PZ357" s="1259"/>
      <c r="QA357" s="1259"/>
      <c r="QB357" s="1259"/>
      <c r="QC357" s="1259"/>
      <c r="QD357" s="1259"/>
      <c r="QE357" s="1259"/>
      <c r="QF357" s="1259"/>
      <c r="QG357" s="1259"/>
      <c r="QH357" s="1259"/>
      <c r="QI357" s="1259"/>
      <c r="QJ357" s="1259"/>
      <c r="QK357" s="1259"/>
      <c r="QL357" s="1259"/>
      <c r="QM357" s="1259"/>
      <c r="QN357" s="1259"/>
      <c r="QO357" s="1259"/>
      <c r="QP357" s="1259"/>
      <c r="QQ357" s="1259"/>
      <c r="QR357" s="1259"/>
      <c r="QS357" s="1259"/>
      <c r="QT357" s="1259"/>
      <c r="QU357" s="1259"/>
      <c r="QV357" s="1259"/>
      <c r="QW357" s="1259"/>
      <c r="QX357" s="1259"/>
      <c r="QY357" s="1259"/>
      <c r="QZ357" s="1259"/>
      <c r="RA357" s="1259"/>
      <c r="RB357" s="1259"/>
      <c r="RC357" s="1259"/>
      <c r="RD357" s="1259"/>
      <c r="RE357" s="1259"/>
      <c r="RF357" s="1259"/>
      <c r="RG357" s="1259"/>
      <c r="RH357" s="1259"/>
      <c r="RI357" s="1259"/>
      <c r="RJ357" s="1259"/>
      <c r="RK357" s="1259"/>
      <c r="RL357" s="1259"/>
      <c r="RM357" s="1259"/>
      <c r="RN357" s="1259"/>
      <c r="RO357" s="1259"/>
      <c r="RP357" s="1259"/>
      <c r="RQ357" s="1259"/>
      <c r="RR357" s="1259"/>
      <c r="RS357" s="1259"/>
      <c r="RT357" s="1259"/>
      <c r="RU357" s="1259"/>
      <c r="RV357" s="1259"/>
      <c r="RW357" s="1259"/>
      <c r="RX357" s="1259"/>
      <c r="RY357" s="1259"/>
      <c r="RZ357" s="1259"/>
      <c r="SA357" s="1259"/>
      <c r="SB357" s="1259"/>
      <c r="SC357" s="1259"/>
      <c r="SD357" s="1259"/>
      <c r="SE357" s="1259"/>
      <c r="SF357" s="1259"/>
      <c r="SG357" s="1259"/>
      <c r="SH357" s="1259"/>
      <c r="SI357" s="1259"/>
      <c r="SJ357" s="1259"/>
      <c r="SK357" s="1259"/>
      <c r="SL357" s="1259"/>
      <c r="SM357" s="1259"/>
      <c r="SN357" s="1259"/>
      <c r="SO357" s="1259"/>
      <c r="SP357" s="1259"/>
      <c r="SQ357" s="1259"/>
      <c r="SR357" s="1259"/>
      <c r="SS357" s="1259"/>
      <c r="ST357" s="1259"/>
      <c r="SU357" s="1259"/>
      <c r="SV357" s="1259"/>
      <c r="SW357" s="1259"/>
      <c r="SX357" s="1259"/>
      <c r="SY357" s="1259"/>
      <c r="SZ357" s="1259"/>
      <c r="TA357" s="1259"/>
      <c r="TB357" s="1259"/>
      <c r="TC357" s="1259"/>
      <c r="TD357" s="1259"/>
      <c r="TE357" s="1259"/>
      <c r="TF357" s="1259"/>
      <c r="TG357" s="1259"/>
      <c r="TH357" s="1259"/>
      <c r="TI357" s="1259"/>
      <c r="TJ357" s="1259"/>
      <c r="TK357" s="1259"/>
      <c r="TL357" s="1259"/>
      <c r="TM357" s="1259"/>
      <c r="TN357" s="1259"/>
      <c r="TO357" s="1259"/>
      <c r="TP357" s="1259"/>
      <c r="TQ357" s="1259"/>
      <c r="TR357" s="1259"/>
      <c r="TS357" s="1259"/>
      <c r="TT357" s="1259"/>
      <c r="TU357" s="1259"/>
      <c r="TV357" s="1259"/>
      <c r="TW357" s="1259"/>
      <c r="TX357" s="1259"/>
      <c r="TY357" s="1259"/>
      <c r="TZ357" s="1259"/>
      <c r="UA357" s="1259"/>
      <c r="UB357" s="1259"/>
      <c r="UC357" s="1259"/>
      <c r="UD357" s="1259"/>
      <c r="UE357" s="1259"/>
      <c r="UF357" s="1259"/>
      <c r="UG357" s="1261"/>
    </row>
    <row r="358" spans="1:553" s="1262" customFormat="1" ht="29.25" customHeight="1">
      <c r="A358" s="366"/>
      <c r="B358" s="356"/>
      <c r="C358" s="1379" t="s">
        <v>456</v>
      </c>
      <c r="D358" s="1380" t="s">
        <v>825</v>
      </c>
      <c r="E358" s="1380" t="s">
        <v>825</v>
      </c>
      <c r="F358" s="1381" t="s">
        <v>825</v>
      </c>
      <c r="G358" s="366" t="s">
        <v>196</v>
      </c>
      <c r="H358" s="417"/>
      <c r="I358" s="794">
        <f>(95.03*100/500)*(23-(6-3))*1</f>
        <v>380.12</v>
      </c>
      <c r="J358" s="368">
        <v>11000</v>
      </c>
      <c r="K358" s="495">
        <v>0.7</v>
      </c>
      <c r="L358" s="480">
        <f t="shared" ref="L358:L359" si="76">ROUND(PRODUCT(I358:K358),0)</f>
        <v>2926924</v>
      </c>
      <c r="M358" s="366"/>
      <c r="N358" s="366"/>
      <c r="O358" s="366"/>
      <c r="P358" s="366"/>
      <c r="Q358" s="1135"/>
      <c r="R358" s="1228"/>
      <c r="S358" s="305"/>
      <c r="T358" s="303"/>
      <c r="U358" s="306"/>
      <c r="V358" s="307"/>
      <c r="W358" s="306"/>
      <c r="X358" s="306"/>
      <c r="Y358" s="306"/>
      <c r="Z358" s="306"/>
      <c r="AA358" s="306"/>
      <c r="AB358" s="306"/>
      <c r="AC358" s="456"/>
      <c r="AD358" s="452"/>
      <c r="AE358" s="452"/>
      <c r="AF358" s="452"/>
      <c r="AG358" s="452"/>
      <c r="AH358" s="452"/>
      <c r="AI358" s="452"/>
      <c r="AJ358" s="452"/>
      <c r="AK358" s="452"/>
      <c r="AL358" s="1259"/>
      <c r="AM358" s="1259"/>
      <c r="AN358" s="1259"/>
      <c r="AO358" s="1259"/>
      <c r="AP358" s="1259"/>
      <c r="AQ358" s="1259"/>
      <c r="AR358" s="1259"/>
      <c r="AS358" s="1259"/>
      <c r="AT358" s="1259"/>
      <c r="AU358" s="1259"/>
      <c r="AV358" s="1259"/>
      <c r="AW358" s="1259"/>
      <c r="AX358" s="1259"/>
      <c r="AY358" s="1259"/>
      <c r="AZ358" s="1259"/>
      <c r="BA358" s="1259"/>
      <c r="BB358" s="1259"/>
      <c r="BC358" s="1259"/>
      <c r="BD358" s="1259"/>
      <c r="BE358" s="1259"/>
      <c r="BF358" s="1259"/>
      <c r="BG358" s="1259"/>
      <c r="BH358" s="1259"/>
      <c r="BI358" s="1259"/>
      <c r="BJ358" s="1259"/>
      <c r="BK358" s="1259"/>
      <c r="BL358" s="1259"/>
      <c r="BM358" s="1259"/>
      <c r="BN358" s="1259"/>
      <c r="BO358" s="1259"/>
      <c r="BP358" s="1259"/>
      <c r="BQ358" s="1259"/>
      <c r="BR358" s="1259"/>
      <c r="BS358" s="1259"/>
      <c r="BT358" s="1259"/>
      <c r="BU358" s="1259"/>
      <c r="BV358" s="1259"/>
      <c r="BW358" s="1259"/>
      <c r="BX358" s="1259"/>
      <c r="BY358" s="1259"/>
      <c r="BZ358" s="1259"/>
      <c r="CA358" s="1259"/>
      <c r="CB358" s="1259"/>
      <c r="CC358" s="1259"/>
      <c r="CD358" s="1259"/>
      <c r="CE358" s="1259"/>
      <c r="CF358" s="1259"/>
      <c r="CG358" s="1259"/>
      <c r="CH358" s="1259"/>
      <c r="CI358" s="1259"/>
      <c r="CJ358" s="1259"/>
      <c r="CK358" s="1259"/>
      <c r="CL358" s="1259"/>
      <c r="CM358" s="1259"/>
      <c r="CN358" s="1259"/>
      <c r="CO358" s="1259"/>
      <c r="CP358" s="1259"/>
      <c r="CQ358" s="1259"/>
      <c r="CR358" s="1259"/>
      <c r="CS358" s="1259"/>
      <c r="CT358" s="1259"/>
      <c r="CU358" s="1259"/>
      <c r="CV358" s="1259"/>
      <c r="CW358" s="1259"/>
      <c r="CX358" s="1259"/>
      <c r="CY358" s="1259"/>
      <c r="CZ358" s="1259"/>
      <c r="DA358" s="1259"/>
      <c r="DB358" s="1259"/>
      <c r="DC358" s="1259"/>
      <c r="DD358" s="1259"/>
      <c r="DE358" s="1259"/>
      <c r="DF358" s="1259"/>
      <c r="DG358" s="1259"/>
      <c r="DH358" s="1259"/>
      <c r="DI358" s="1259"/>
      <c r="DJ358" s="1259"/>
      <c r="DK358" s="1259"/>
      <c r="DL358" s="1259"/>
      <c r="DM358" s="1259"/>
      <c r="DN358" s="1259"/>
      <c r="DO358" s="1259"/>
      <c r="DP358" s="1259"/>
      <c r="DQ358" s="1259"/>
      <c r="DR358" s="1259"/>
      <c r="DS358" s="1259"/>
      <c r="DT358" s="1259"/>
      <c r="DU358" s="1259"/>
      <c r="DV358" s="1259"/>
      <c r="DW358" s="1259"/>
      <c r="DX358" s="1259"/>
      <c r="DY358" s="1259"/>
      <c r="DZ358" s="1259"/>
      <c r="EA358" s="1259"/>
      <c r="EB358" s="1259"/>
      <c r="EC358" s="1259"/>
      <c r="ED358" s="1259"/>
      <c r="EE358" s="1259"/>
      <c r="EF358" s="1259"/>
      <c r="EG358" s="1259"/>
      <c r="EH358" s="1259"/>
      <c r="EI358" s="1259"/>
      <c r="EJ358" s="1259"/>
      <c r="EK358" s="1259"/>
      <c r="EL358" s="1259"/>
      <c r="EM358" s="1259"/>
      <c r="EN358" s="1259"/>
      <c r="EO358" s="1259"/>
      <c r="EP358" s="1259"/>
      <c r="EQ358" s="1259"/>
      <c r="ER358" s="1259"/>
      <c r="ES358" s="1259"/>
      <c r="ET358" s="1259"/>
      <c r="EU358" s="1259"/>
      <c r="EV358" s="1259"/>
      <c r="EW358" s="1259"/>
      <c r="EX358" s="1259"/>
      <c r="EY358" s="1259"/>
      <c r="EZ358" s="1259"/>
      <c r="FA358" s="1259"/>
      <c r="FB358" s="1259"/>
      <c r="FC358" s="1259"/>
      <c r="FD358" s="1259"/>
      <c r="FE358" s="1259"/>
      <c r="FF358" s="1259"/>
      <c r="FG358" s="1259"/>
      <c r="FH358" s="1259"/>
      <c r="FI358" s="1259"/>
      <c r="FJ358" s="1259"/>
      <c r="FK358" s="1259"/>
      <c r="FL358" s="1259"/>
      <c r="FM358" s="1259"/>
      <c r="FN358" s="1259"/>
      <c r="FO358" s="1259"/>
      <c r="FP358" s="1259"/>
      <c r="FQ358" s="1259"/>
      <c r="FR358" s="1259"/>
      <c r="FS358" s="1259"/>
      <c r="FT358" s="1259"/>
      <c r="FU358" s="1259"/>
      <c r="FV358" s="1259"/>
      <c r="FW358" s="1259"/>
      <c r="FX358" s="1259"/>
      <c r="FY358" s="1259"/>
      <c r="FZ358" s="1259"/>
      <c r="GA358" s="1259"/>
      <c r="GB358" s="1259"/>
      <c r="GC358" s="1259"/>
      <c r="GD358" s="1259"/>
      <c r="GE358" s="1259"/>
      <c r="GF358" s="1259"/>
      <c r="GG358" s="1259"/>
      <c r="GH358" s="1259"/>
      <c r="GI358" s="1259"/>
      <c r="GJ358" s="1259"/>
      <c r="GK358" s="1259"/>
      <c r="GL358" s="1259"/>
      <c r="GM358" s="1259"/>
      <c r="GN358" s="1259"/>
      <c r="GO358" s="1259"/>
      <c r="GP358" s="1259"/>
      <c r="GQ358" s="1259"/>
      <c r="GR358" s="1259"/>
      <c r="GS358" s="1259"/>
      <c r="GT358" s="1259"/>
      <c r="GU358" s="1259"/>
      <c r="GV358" s="1259"/>
      <c r="GW358" s="1259"/>
      <c r="GX358" s="1259"/>
      <c r="GY358" s="1259"/>
      <c r="GZ358" s="1259"/>
      <c r="HA358" s="1259"/>
      <c r="HB358" s="1259"/>
      <c r="HC358" s="1259"/>
      <c r="HD358" s="1259"/>
      <c r="HE358" s="1259"/>
      <c r="HF358" s="1259"/>
      <c r="HG358" s="1259"/>
      <c r="HH358" s="1259"/>
      <c r="HI358" s="1259"/>
      <c r="HJ358" s="1259"/>
      <c r="HK358" s="1259"/>
      <c r="HL358" s="1259"/>
      <c r="HM358" s="1259"/>
      <c r="HN358" s="1259"/>
      <c r="HO358" s="1259"/>
      <c r="HP358" s="1259"/>
      <c r="HQ358" s="1259"/>
      <c r="HR358" s="1259"/>
      <c r="HS358" s="1259"/>
      <c r="HT358" s="1259"/>
      <c r="HU358" s="1259"/>
      <c r="HV358" s="1259"/>
      <c r="HW358" s="1259"/>
      <c r="HX358" s="1259"/>
      <c r="HY358" s="1259"/>
      <c r="HZ358" s="1259"/>
      <c r="IA358" s="1259"/>
      <c r="IB358" s="1259"/>
      <c r="IC358" s="1259"/>
      <c r="ID358" s="1259"/>
      <c r="IE358" s="1259"/>
      <c r="IF358" s="1259"/>
      <c r="IG358" s="1259"/>
      <c r="IH358" s="1259"/>
      <c r="II358" s="1259"/>
      <c r="IJ358" s="1259"/>
      <c r="IK358" s="1259"/>
      <c r="IL358" s="1259"/>
      <c r="IM358" s="1259"/>
      <c r="IN358" s="1259"/>
      <c r="IO358" s="1259"/>
      <c r="IP358" s="1259"/>
      <c r="IQ358" s="1259"/>
      <c r="IR358" s="1259"/>
      <c r="IS358" s="1259"/>
      <c r="IT358" s="1259"/>
      <c r="IU358" s="1259"/>
      <c r="IV358" s="1259"/>
      <c r="IW358" s="1259"/>
      <c r="IX358" s="1259"/>
      <c r="IY358" s="1259"/>
      <c r="IZ358" s="1259"/>
      <c r="JA358" s="1259"/>
      <c r="JB358" s="1259"/>
      <c r="JC358" s="1259"/>
      <c r="JD358" s="1259"/>
      <c r="JE358" s="1259"/>
      <c r="JF358" s="1259"/>
      <c r="JG358" s="1259"/>
      <c r="JH358" s="1259"/>
      <c r="JI358" s="1259"/>
      <c r="JJ358" s="1259"/>
      <c r="JK358" s="1259"/>
      <c r="JL358" s="1259"/>
      <c r="JM358" s="1259"/>
      <c r="JN358" s="1259"/>
      <c r="JO358" s="1259"/>
      <c r="JP358" s="1259"/>
      <c r="JQ358" s="1259"/>
      <c r="JR358" s="1259"/>
      <c r="JS358" s="1259"/>
      <c r="JT358" s="1259"/>
      <c r="JU358" s="1259"/>
      <c r="JV358" s="1259"/>
      <c r="JW358" s="1259"/>
      <c r="JX358" s="1259"/>
      <c r="JY358" s="1259"/>
      <c r="JZ358" s="1259"/>
      <c r="KA358" s="1259"/>
      <c r="KB358" s="1259"/>
      <c r="KC358" s="1259"/>
      <c r="KD358" s="1259"/>
      <c r="KE358" s="1259"/>
      <c r="KF358" s="1259"/>
      <c r="KG358" s="1259"/>
      <c r="KH358" s="1259"/>
      <c r="KI358" s="1259"/>
      <c r="KJ358" s="1259"/>
      <c r="KK358" s="1259"/>
      <c r="KL358" s="1259"/>
      <c r="KM358" s="1259"/>
      <c r="KN358" s="1259"/>
      <c r="KO358" s="1259"/>
      <c r="KP358" s="1259"/>
      <c r="KQ358" s="1259"/>
      <c r="KR358" s="1259"/>
      <c r="KS358" s="1259"/>
      <c r="KT358" s="1259"/>
      <c r="KU358" s="1259"/>
      <c r="KV358" s="1259"/>
      <c r="KW358" s="1259"/>
      <c r="KX358" s="1259"/>
      <c r="KY358" s="1259"/>
      <c r="KZ358" s="1259"/>
      <c r="LA358" s="1259"/>
      <c r="LB358" s="1259"/>
      <c r="LC358" s="1259"/>
      <c r="LD358" s="1259"/>
      <c r="LE358" s="1259"/>
      <c r="LF358" s="1259"/>
      <c r="LG358" s="1259"/>
      <c r="LH358" s="1259"/>
      <c r="LI358" s="1259"/>
      <c r="LJ358" s="1259"/>
      <c r="LK358" s="1259"/>
      <c r="LL358" s="1259"/>
      <c r="LM358" s="1259"/>
      <c r="LN358" s="1259"/>
      <c r="LO358" s="1259"/>
      <c r="LP358" s="1259"/>
      <c r="LQ358" s="1259"/>
      <c r="LR358" s="1259"/>
      <c r="LS358" s="1259"/>
      <c r="LT358" s="1259"/>
      <c r="LU358" s="1259"/>
      <c r="LV358" s="1259"/>
      <c r="LW358" s="1259"/>
      <c r="LX358" s="1259"/>
      <c r="LY358" s="1259"/>
      <c r="LZ358" s="1259"/>
      <c r="MA358" s="1259"/>
      <c r="MB358" s="1259"/>
      <c r="MC358" s="1259"/>
      <c r="MD358" s="1259"/>
      <c r="ME358" s="1259"/>
      <c r="MF358" s="1259"/>
      <c r="MG358" s="1259"/>
      <c r="MH358" s="1259"/>
      <c r="MI358" s="1259"/>
      <c r="MJ358" s="1259"/>
      <c r="MK358" s="1259"/>
      <c r="ML358" s="1259"/>
      <c r="MM358" s="1259"/>
      <c r="MN358" s="1259"/>
      <c r="MO358" s="1259"/>
      <c r="MP358" s="1259"/>
      <c r="MQ358" s="1259"/>
      <c r="MR358" s="1259"/>
      <c r="MS358" s="1259"/>
      <c r="MT358" s="1259"/>
      <c r="MU358" s="1259"/>
      <c r="MV358" s="1259"/>
      <c r="MW358" s="1259"/>
      <c r="MX358" s="1259"/>
      <c r="MY358" s="1259"/>
      <c r="MZ358" s="1259"/>
      <c r="NA358" s="1259"/>
      <c r="NB358" s="1259"/>
      <c r="NC358" s="1259"/>
      <c r="ND358" s="1259"/>
      <c r="NE358" s="1259"/>
      <c r="NF358" s="1259"/>
      <c r="NG358" s="1259"/>
      <c r="NH358" s="1259"/>
      <c r="NI358" s="1259"/>
      <c r="NJ358" s="1259"/>
      <c r="NK358" s="1259"/>
      <c r="NL358" s="1259"/>
      <c r="NM358" s="1259"/>
      <c r="NN358" s="1259"/>
      <c r="NO358" s="1259"/>
      <c r="NP358" s="1259"/>
      <c r="NQ358" s="1259"/>
      <c r="NR358" s="1259"/>
      <c r="NS358" s="1259"/>
      <c r="NT358" s="1259"/>
      <c r="NU358" s="1259"/>
      <c r="NV358" s="1259"/>
      <c r="NW358" s="1259"/>
      <c r="NX358" s="1259"/>
      <c r="NY358" s="1259"/>
      <c r="NZ358" s="1259"/>
      <c r="OA358" s="1259"/>
      <c r="OB358" s="1259"/>
      <c r="OC358" s="1259"/>
      <c r="OD358" s="1259"/>
      <c r="OE358" s="1259"/>
      <c r="OF358" s="1259"/>
      <c r="OG358" s="1259"/>
      <c r="OH358" s="1259"/>
      <c r="OI358" s="1259"/>
      <c r="OJ358" s="1259"/>
      <c r="OK358" s="1259"/>
      <c r="OL358" s="1259"/>
      <c r="OM358" s="1259"/>
      <c r="ON358" s="1259"/>
      <c r="OO358" s="1259"/>
      <c r="OP358" s="1259"/>
      <c r="OQ358" s="1259"/>
      <c r="OR358" s="1259"/>
      <c r="OS358" s="1259"/>
      <c r="OT358" s="1259"/>
      <c r="OU358" s="1259"/>
      <c r="OV358" s="1259"/>
      <c r="OW358" s="1259"/>
      <c r="OX358" s="1259"/>
      <c r="OY358" s="1259"/>
      <c r="OZ358" s="1259"/>
      <c r="PA358" s="1259"/>
      <c r="PB358" s="1259"/>
      <c r="PC358" s="1259"/>
      <c r="PD358" s="1259"/>
      <c r="PE358" s="1259"/>
      <c r="PF358" s="1259"/>
      <c r="PG358" s="1259"/>
      <c r="PH358" s="1259"/>
      <c r="PI358" s="1259"/>
      <c r="PJ358" s="1259"/>
      <c r="PK358" s="1259"/>
      <c r="PL358" s="1259"/>
      <c r="PM358" s="1259"/>
      <c r="PN358" s="1259"/>
      <c r="PO358" s="1259"/>
      <c r="PP358" s="1259"/>
      <c r="PQ358" s="1259"/>
      <c r="PR358" s="1259"/>
      <c r="PS358" s="1259"/>
      <c r="PT358" s="1259"/>
      <c r="PU358" s="1259"/>
      <c r="PV358" s="1259"/>
      <c r="PW358" s="1259"/>
      <c r="PX358" s="1259"/>
      <c r="PY358" s="1259"/>
      <c r="PZ358" s="1259"/>
      <c r="QA358" s="1259"/>
      <c r="QB358" s="1259"/>
      <c r="QC358" s="1259"/>
      <c r="QD358" s="1259"/>
      <c r="QE358" s="1259"/>
      <c r="QF358" s="1259"/>
      <c r="QG358" s="1259"/>
      <c r="QH358" s="1259"/>
      <c r="QI358" s="1259"/>
      <c r="QJ358" s="1259"/>
      <c r="QK358" s="1259"/>
      <c r="QL358" s="1259"/>
      <c r="QM358" s="1259"/>
      <c r="QN358" s="1259"/>
      <c r="QO358" s="1259"/>
      <c r="QP358" s="1259"/>
      <c r="QQ358" s="1259"/>
      <c r="QR358" s="1259"/>
      <c r="QS358" s="1259"/>
      <c r="QT358" s="1259"/>
      <c r="QU358" s="1259"/>
      <c r="QV358" s="1259"/>
      <c r="QW358" s="1259"/>
      <c r="QX358" s="1259"/>
      <c r="QY358" s="1259"/>
      <c r="QZ358" s="1259"/>
      <c r="RA358" s="1259"/>
      <c r="RB358" s="1259"/>
      <c r="RC358" s="1259"/>
      <c r="RD358" s="1259"/>
      <c r="RE358" s="1259"/>
      <c r="RF358" s="1259"/>
      <c r="RG358" s="1259"/>
      <c r="RH358" s="1259"/>
      <c r="RI358" s="1259"/>
      <c r="RJ358" s="1259"/>
      <c r="RK358" s="1259"/>
      <c r="RL358" s="1259"/>
      <c r="RM358" s="1259"/>
      <c r="RN358" s="1259"/>
      <c r="RO358" s="1259"/>
      <c r="RP358" s="1259"/>
      <c r="RQ358" s="1259"/>
      <c r="RR358" s="1259"/>
      <c r="RS358" s="1259"/>
      <c r="RT358" s="1259"/>
      <c r="RU358" s="1259"/>
      <c r="RV358" s="1259"/>
      <c r="RW358" s="1259"/>
      <c r="RX358" s="1259"/>
      <c r="RY358" s="1259"/>
      <c r="RZ358" s="1259"/>
      <c r="SA358" s="1259"/>
      <c r="SB358" s="1259"/>
      <c r="SC358" s="1259"/>
      <c r="SD358" s="1259"/>
      <c r="SE358" s="1259"/>
      <c r="SF358" s="1259"/>
      <c r="SG358" s="1259"/>
      <c r="SH358" s="1259"/>
      <c r="SI358" s="1259"/>
      <c r="SJ358" s="1259"/>
      <c r="SK358" s="1259"/>
      <c r="SL358" s="1259"/>
      <c r="SM358" s="1259"/>
      <c r="SN358" s="1259"/>
      <c r="SO358" s="1259"/>
      <c r="SP358" s="1259"/>
      <c r="SQ358" s="1259"/>
      <c r="SR358" s="1259"/>
      <c r="SS358" s="1259"/>
      <c r="ST358" s="1259"/>
      <c r="SU358" s="1259"/>
      <c r="SV358" s="1259"/>
      <c r="SW358" s="1259"/>
      <c r="SX358" s="1259"/>
      <c r="SY358" s="1259"/>
      <c r="SZ358" s="1259"/>
      <c r="TA358" s="1259"/>
      <c r="TB358" s="1259"/>
      <c r="TC358" s="1259"/>
      <c r="TD358" s="1259"/>
      <c r="TE358" s="1259"/>
      <c r="TF358" s="1259"/>
      <c r="TG358" s="1259"/>
      <c r="TH358" s="1259"/>
      <c r="TI358" s="1259"/>
      <c r="TJ358" s="1259"/>
      <c r="TK358" s="1259"/>
      <c r="TL358" s="1259"/>
      <c r="TM358" s="1259"/>
      <c r="TN358" s="1259"/>
      <c r="TO358" s="1259"/>
      <c r="TP358" s="1259"/>
      <c r="TQ358" s="1259"/>
      <c r="TR358" s="1259"/>
      <c r="TS358" s="1259"/>
      <c r="TT358" s="1259"/>
      <c r="TU358" s="1259"/>
      <c r="TV358" s="1259"/>
      <c r="TW358" s="1259"/>
      <c r="TX358" s="1259"/>
      <c r="TY358" s="1259"/>
      <c r="TZ358" s="1259"/>
      <c r="UA358" s="1259"/>
      <c r="UB358" s="1259"/>
      <c r="UC358" s="1259"/>
      <c r="UD358" s="1259"/>
      <c r="UE358" s="1259"/>
      <c r="UF358" s="1259"/>
      <c r="UG358" s="1261"/>
    </row>
    <row r="359" spans="1:553" s="1262" customFormat="1" ht="29.25" customHeight="1">
      <c r="A359" s="366"/>
      <c r="B359" s="356"/>
      <c r="C359" s="1379" t="s">
        <v>1084</v>
      </c>
      <c r="D359" s="1380" t="s">
        <v>817</v>
      </c>
      <c r="E359" s="1380" t="s">
        <v>817</v>
      </c>
      <c r="F359" s="1381" t="s">
        <v>817</v>
      </c>
      <c r="G359" s="366" t="s">
        <v>46</v>
      </c>
      <c r="H359" s="417"/>
      <c r="I359" s="794">
        <f>(95.03*100/500)*(23-(5-3))*1</f>
        <v>399.12599999999998</v>
      </c>
      <c r="J359" s="368">
        <v>11000</v>
      </c>
      <c r="K359" s="717">
        <v>0.7</v>
      </c>
      <c r="L359" s="480">
        <f t="shared" si="76"/>
        <v>3073270</v>
      </c>
      <c r="M359" s="366"/>
      <c r="N359" s="366"/>
      <c r="O359" s="366"/>
      <c r="P359" s="366"/>
      <c r="Q359" s="1135"/>
      <c r="R359" s="1228"/>
      <c r="S359" s="305"/>
      <c r="T359" s="303"/>
      <c r="U359" s="306"/>
      <c r="V359" s="307"/>
      <c r="W359" s="306"/>
      <c r="X359" s="306"/>
      <c r="Y359" s="306"/>
      <c r="Z359" s="306"/>
      <c r="AA359" s="306"/>
      <c r="AB359" s="306"/>
      <c r="AC359" s="456"/>
      <c r="AD359" s="452"/>
      <c r="AE359" s="452"/>
      <c r="AF359" s="452"/>
      <c r="AG359" s="452"/>
      <c r="AH359" s="452"/>
      <c r="AI359" s="452"/>
      <c r="AJ359" s="452"/>
      <c r="AK359" s="452"/>
      <c r="AL359" s="1259"/>
      <c r="AM359" s="1259"/>
      <c r="AN359" s="1259"/>
      <c r="AO359" s="1259"/>
      <c r="AP359" s="1259"/>
      <c r="AQ359" s="1259"/>
      <c r="AR359" s="1259"/>
      <c r="AS359" s="1259"/>
      <c r="AT359" s="1259"/>
      <c r="AU359" s="1259"/>
      <c r="AV359" s="1259"/>
      <c r="AW359" s="1259"/>
      <c r="AX359" s="1259"/>
      <c r="AY359" s="1259"/>
      <c r="AZ359" s="1259"/>
      <c r="BA359" s="1259"/>
      <c r="BB359" s="1259"/>
      <c r="BC359" s="1259"/>
      <c r="BD359" s="1259"/>
      <c r="BE359" s="1259"/>
      <c r="BF359" s="1259"/>
      <c r="BG359" s="1259"/>
      <c r="BH359" s="1259"/>
      <c r="BI359" s="1259"/>
      <c r="BJ359" s="1259"/>
      <c r="BK359" s="1259"/>
      <c r="BL359" s="1259"/>
      <c r="BM359" s="1259"/>
      <c r="BN359" s="1259"/>
      <c r="BO359" s="1259"/>
      <c r="BP359" s="1259"/>
      <c r="BQ359" s="1259"/>
      <c r="BR359" s="1259"/>
      <c r="BS359" s="1259"/>
      <c r="BT359" s="1259"/>
      <c r="BU359" s="1259"/>
      <c r="BV359" s="1259"/>
      <c r="BW359" s="1259"/>
      <c r="BX359" s="1259"/>
      <c r="BY359" s="1259"/>
      <c r="BZ359" s="1259"/>
      <c r="CA359" s="1259"/>
      <c r="CB359" s="1259"/>
      <c r="CC359" s="1259"/>
      <c r="CD359" s="1259"/>
      <c r="CE359" s="1259"/>
      <c r="CF359" s="1259"/>
      <c r="CG359" s="1259"/>
      <c r="CH359" s="1259"/>
      <c r="CI359" s="1259"/>
      <c r="CJ359" s="1259"/>
      <c r="CK359" s="1259"/>
      <c r="CL359" s="1259"/>
      <c r="CM359" s="1259"/>
      <c r="CN359" s="1259"/>
      <c r="CO359" s="1259"/>
      <c r="CP359" s="1259"/>
      <c r="CQ359" s="1259"/>
      <c r="CR359" s="1259"/>
      <c r="CS359" s="1259"/>
      <c r="CT359" s="1259"/>
      <c r="CU359" s="1259"/>
      <c r="CV359" s="1259"/>
      <c r="CW359" s="1259"/>
      <c r="CX359" s="1259"/>
      <c r="CY359" s="1259"/>
      <c r="CZ359" s="1259"/>
      <c r="DA359" s="1259"/>
      <c r="DB359" s="1259"/>
      <c r="DC359" s="1259"/>
      <c r="DD359" s="1259"/>
      <c r="DE359" s="1259"/>
      <c r="DF359" s="1259"/>
      <c r="DG359" s="1259"/>
      <c r="DH359" s="1259"/>
      <c r="DI359" s="1259"/>
      <c r="DJ359" s="1259"/>
      <c r="DK359" s="1259"/>
      <c r="DL359" s="1259"/>
      <c r="DM359" s="1259"/>
      <c r="DN359" s="1259"/>
      <c r="DO359" s="1259"/>
      <c r="DP359" s="1259"/>
      <c r="DQ359" s="1259"/>
      <c r="DR359" s="1259"/>
      <c r="DS359" s="1259"/>
      <c r="DT359" s="1259"/>
      <c r="DU359" s="1259"/>
      <c r="DV359" s="1259"/>
      <c r="DW359" s="1259"/>
      <c r="DX359" s="1259"/>
      <c r="DY359" s="1259"/>
      <c r="DZ359" s="1259"/>
      <c r="EA359" s="1259"/>
      <c r="EB359" s="1259"/>
      <c r="EC359" s="1259"/>
      <c r="ED359" s="1259"/>
      <c r="EE359" s="1259"/>
      <c r="EF359" s="1259"/>
      <c r="EG359" s="1259"/>
      <c r="EH359" s="1259"/>
      <c r="EI359" s="1259"/>
      <c r="EJ359" s="1259"/>
      <c r="EK359" s="1259"/>
      <c r="EL359" s="1259"/>
      <c r="EM359" s="1259"/>
      <c r="EN359" s="1259"/>
      <c r="EO359" s="1259"/>
      <c r="EP359" s="1259"/>
      <c r="EQ359" s="1259"/>
      <c r="ER359" s="1259"/>
      <c r="ES359" s="1259"/>
      <c r="ET359" s="1259"/>
      <c r="EU359" s="1259"/>
      <c r="EV359" s="1259"/>
      <c r="EW359" s="1259"/>
      <c r="EX359" s="1259"/>
      <c r="EY359" s="1259"/>
      <c r="EZ359" s="1259"/>
      <c r="FA359" s="1259"/>
      <c r="FB359" s="1259"/>
      <c r="FC359" s="1259"/>
      <c r="FD359" s="1259"/>
      <c r="FE359" s="1259"/>
      <c r="FF359" s="1259"/>
      <c r="FG359" s="1259"/>
      <c r="FH359" s="1259"/>
      <c r="FI359" s="1259"/>
      <c r="FJ359" s="1259"/>
      <c r="FK359" s="1259"/>
      <c r="FL359" s="1259"/>
      <c r="FM359" s="1259"/>
      <c r="FN359" s="1259"/>
      <c r="FO359" s="1259"/>
      <c r="FP359" s="1259"/>
      <c r="FQ359" s="1259"/>
      <c r="FR359" s="1259"/>
      <c r="FS359" s="1259"/>
      <c r="FT359" s="1259"/>
      <c r="FU359" s="1259"/>
      <c r="FV359" s="1259"/>
      <c r="FW359" s="1259"/>
      <c r="FX359" s="1259"/>
      <c r="FY359" s="1259"/>
      <c r="FZ359" s="1259"/>
      <c r="GA359" s="1259"/>
      <c r="GB359" s="1259"/>
      <c r="GC359" s="1259"/>
      <c r="GD359" s="1259"/>
      <c r="GE359" s="1259"/>
      <c r="GF359" s="1259"/>
      <c r="GG359" s="1259"/>
      <c r="GH359" s="1259"/>
      <c r="GI359" s="1259"/>
      <c r="GJ359" s="1259"/>
      <c r="GK359" s="1259"/>
      <c r="GL359" s="1259"/>
      <c r="GM359" s="1259"/>
      <c r="GN359" s="1259"/>
      <c r="GO359" s="1259"/>
      <c r="GP359" s="1259"/>
      <c r="GQ359" s="1259"/>
      <c r="GR359" s="1259"/>
      <c r="GS359" s="1259"/>
      <c r="GT359" s="1259"/>
      <c r="GU359" s="1259"/>
      <c r="GV359" s="1259"/>
      <c r="GW359" s="1259"/>
      <c r="GX359" s="1259"/>
      <c r="GY359" s="1259"/>
      <c r="GZ359" s="1259"/>
      <c r="HA359" s="1259"/>
      <c r="HB359" s="1259"/>
      <c r="HC359" s="1259"/>
      <c r="HD359" s="1259"/>
      <c r="HE359" s="1259"/>
      <c r="HF359" s="1259"/>
      <c r="HG359" s="1259"/>
      <c r="HH359" s="1259"/>
      <c r="HI359" s="1259"/>
      <c r="HJ359" s="1259"/>
      <c r="HK359" s="1259"/>
      <c r="HL359" s="1259"/>
      <c r="HM359" s="1259"/>
      <c r="HN359" s="1259"/>
      <c r="HO359" s="1259"/>
      <c r="HP359" s="1259"/>
      <c r="HQ359" s="1259"/>
      <c r="HR359" s="1259"/>
      <c r="HS359" s="1259"/>
      <c r="HT359" s="1259"/>
      <c r="HU359" s="1259"/>
      <c r="HV359" s="1259"/>
      <c r="HW359" s="1259"/>
      <c r="HX359" s="1259"/>
      <c r="HY359" s="1259"/>
      <c r="HZ359" s="1259"/>
      <c r="IA359" s="1259"/>
      <c r="IB359" s="1259"/>
      <c r="IC359" s="1259"/>
      <c r="ID359" s="1259"/>
      <c r="IE359" s="1259"/>
      <c r="IF359" s="1259"/>
      <c r="IG359" s="1259"/>
      <c r="IH359" s="1259"/>
      <c r="II359" s="1259"/>
      <c r="IJ359" s="1259"/>
      <c r="IK359" s="1259"/>
      <c r="IL359" s="1259"/>
      <c r="IM359" s="1259"/>
      <c r="IN359" s="1259"/>
      <c r="IO359" s="1259"/>
      <c r="IP359" s="1259"/>
      <c r="IQ359" s="1259"/>
      <c r="IR359" s="1259"/>
      <c r="IS359" s="1259"/>
      <c r="IT359" s="1259"/>
      <c r="IU359" s="1259"/>
      <c r="IV359" s="1259"/>
      <c r="IW359" s="1259"/>
      <c r="IX359" s="1259"/>
      <c r="IY359" s="1259"/>
      <c r="IZ359" s="1259"/>
      <c r="JA359" s="1259"/>
      <c r="JB359" s="1259"/>
      <c r="JC359" s="1259"/>
      <c r="JD359" s="1259"/>
      <c r="JE359" s="1259"/>
      <c r="JF359" s="1259"/>
      <c r="JG359" s="1259"/>
      <c r="JH359" s="1259"/>
      <c r="JI359" s="1259"/>
      <c r="JJ359" s="1259"/>
      <c r="JK359" s="1259"/>
      <c r="JL359" s="1259"/>
      <c r="JM359" s="1259"/>
      <c r="JN359" s="1259"/>
      <c r="JO359" s="1259"/>
      <c r="JP359" s="1259"/>
      <c r="JQ359" s="1259"/>
      <c r="JR359" s="1259"/>
      <c r="JS359" s="1259"/>
      <c r="JT359" s="1259"/>
      <c r="JU359" s="1259"/>
      <c r="JV359" s="1259"/>
      <c r="JW359" s="1259"/>
      <c r="JX359" s="1259"/>
      <c r="JY359" s="1259"/>
      <c r="JZ359" s="1259"/>
      <c r="KA359" s="1259"/>
      <c r="KB359" s="1259"/>
      <c r="KC359" s="1259"/>
      <c r="KD359" s="1259"/>
      <c r="KE359" s="1259"/>
      <c r="KF359" s="1259"/>
      <c r="KG359" s="1259"/>
      <c r="KH359" s="1259"/>
      <c r="KI359" s="1259"/>
      <c r="KJ359" s="1259"/>
      <c r="KK359" s="1259"/>
      <c r="KL359" s="1259"/>
      <c r="KM359" s="1259"/>
      <c r="KN359" s="1259"/>
      <c r="KO359" s="1259"/>
      <c r="KP359" s="1259"/>
      <c r="KQ359" s="1259"/>
      <c r="KR359" s="1259"/>
      <c r="KS359" s="1259"/>
      <c r="KT359" s="1259"/>
      <c r="KU359" s="1259"/>
      <c r="KV359" s="1259"/>
      <c r="KW359" s="1259"/>
      <c r="KX359" s="1259"/>
      <c r="KY359" s="1259"/>
      <c r="KZ359" s="1259"/>
      <c r="LA359" s="1259"/>
      <c r="LB359" s="1259"/>
      <c r="LC359" s="1259"/>
      <c r="LD359" s="1259"/>
      <c r="LE359" s="1259"/>
      <c r="LF359" s="1259"/>
      <c r="LG359" s="1259"/>
      <c r="LH359" s="1259"/>
      <c r="LI359" s="1259"/>
      <c r="LJ359" s="1259"/>
      <c r="LK359" s="1259"/>
      <c r="LL359" s="1259"/>
      <c r="LM359" s="1259"/>
      <c r="LN359" s="1259"/>
      <c r="LO359" s="1259"/>
      <c r="LP359" s="1259"/>
      <c r="LQ359" s="1259"/>
      <c r="LR359" s="1259"/>
      <c r="LS359" s="1259"/>
      <c r="LT359" s="1259"/>
      <c r="LU359" s="1259"/>
      <c r="LV359" s="1259"/>
      <c r="LW359" s="1259"/>
      <c r="LX359" s="1259"/>
      <c r="LY359" s="1259"/>
      <c r="LZ359" s="1259"/>
      <c r="MA359" s="1259"/>
      <c r="MB359" s="1259"/>
      <c r="MC359" s="1259"/>
      <c r="MD359" s="1259"/>
      <c r="ME359" s="1259"/>
      <c r="MF359" s="1259"/>
      <c r="MG359" s="1259"/>
      <c r="MH359" s="1259"/>
      <c r="MI359" s="1259"/>
      <c r="MJ359" s="1259"/>
      <c r="MK359" s="1259"/>
      <c r="ML359" s="1259"/>
      <c r="MM359" s="1259"/>
      <c r="MN359" s="1259"/>
      <c r="MO359" s="1259"/>
      <c r="MP359" s="1259"/>
      <c r="MQ359" s="1259"/>
      <c r="MR359" s="1259"/>
      <c r="MS359" s="1259"/>
      <c r="MT359" s="1259"/>
      <c r="MU359" s="1259"/>
      <c r="MV359" s="1259"/>
      <c r="MW359" s="1259"/>
      <c r="MX359" s="1259"/>
      <c r="MY359" s="1259"/>
      <c r="MZ359" s="1259"/>
      <c r="NA359" s="1259"/>
      <c r="NB359" s="1259"/>
      <c r="NC359" s="1259"/>
      <c r="ND359" s="1259"/>
      <c r="NE359" s="1259"/>
      <c r="NF359" s="1259"/>
      <c r="NG359" s="1259"/>
      <c r="NH359" s="1259"/>
      <c r="NI359" s="1259"/>
      <c r="NJ359" s="1259"/>
      <c r="NK359" s="1259"/>
      <c r="NL359" s="1259"/>
      <c r="NM359" s="1259"/>
      <c r="NN359" s="1259"/>
      <c r="NO359" s="1259"/>
      <c r="NP359" s="1259"/>
      <c r="NQ359" s="1259"/>
      <c r="NR359" s="1259"/>
      <c r="NS359" s="1259"/>
      <c r="NT359" s="1259"/>
      <c r="NU359" s="1259"/>
      <c r="NV359" s="1259"/>
      <c r="NW359" s="1259"/>
      <c r="NX359" s="1259"/>
      <c r="NY359" s="1259"/>
      <c r="NZ359" s="1259"/>
      <c r="OA359" s="1259"/>
      <c r="OB359" s="1259"/>
      <c r="OC359" s="1259"/>
      <c r="OD359" s="1259"/>
      <c r="OE359" s="1259"/>
      <c r="OF359" s="1259"/>
      <c r="OG359" s="1259"/>
      <c r="OH359" s="1259"/>
      <c r="OI359" s="1259"/>
      <c r="OJ359" s="1259"/>
      <c r="OK359" s="1259"/>
      <c r="OL359" s="1259"/>
      <c r="OM359" s="1259"/>
      <c r="ON359" s="1259"/>
      <c r="OO359" s="1259"/>
      <c r="OP359" s="1259"/>
      <c r="OQ359" s="1259"/>
      <c r="OR359" s="1259"/>
      <c r="OS359" s="1259"/>
      <c r="OT359" s="1259"/>
      <c r="OU359" s="1259"/>
      <c r="OV359" s="1259"/>
      <c r="OW359" s="1259"/>
      <c r="OX359" s="1259"/>
      <c r="OY359" s="1259"/>
      <c r="OZ359" s="1259"/>
      <c r="PA359" s="1259"/>
      <c r="PB359" s="1259"/>
      <c r="PC359" s="1259"/>
      <c r="PD359" s="1259"/>
      <c r="PE359" s="1259"/>
      <c r="PF359" s="1259"/>
      <c r="PG359" s="1259"/>
      <c r="PH359" s="1259"/>
      <c r="PI359" s="1259"/>
      <c r="PJ359" s="1259"/>
      <c r="PK359" s="1259"/>
      <c r="PL359" s="1259"/>
      <c r="PM359" s="1259"/>
      <c r="PN359" s="1259"/>
      <c r="PO359" s="1259"/>
      <c r="PP359" s="1259"/>
      <c r="PQ359" s="1259"/>
      <c r="PR359" s="1259"/>
      <c r="PS359" s="1259"/>
      <c r="PT359" s="1259"/>
      <c r="PU359" s="1259"/>
      <c r="PV359" s="1259"/>
      <c r="PW359" s="1259"/>
      <c r="PX359" s="1259"/>
      <c r="PY359" s="1259"/>
      <c r="PZ359" s="1259"/>
      <c r="QA359" s="1259"/>
      <c r="QB359" s="1259"/>
      <c r="QC359" s="1259"/>
      <c r="QD359" s="1259"/>
      <c r="QE359" s="1259"/>
      <c r="QF359" s="1259"/>
      <c r="QG359" s="1259"/>
      <c r="QH359" s="1259"/>
      <c r="QI359" s="1259"/>
      <c r="QJ359" s="1259"/>
      <c r="QK359" s="1259"/>
      <c r="QL359" s="1259"/>
      <c r="QM359" s="1259"/>
      <c r="QN359" s="1259"/>
      <c r="QO359" s="1259"/>
      <c r="QP359" s="1259"/>
      <c r="QQ359" s="1259"/>
      <c r="QR359" s="1259"/>
      <c r="QS359" s="1259"/>
      <c r="QT359" s="1259"/>
      <c r="QU359" s="1259"/>
      <c r="QV359" s="1259"/>
      <c r="QW359" s="1259"/>
      <c r="QX359" s="1259"/>
      <c r="QY359" s="1259"/>
      <c r="QZ359" s="1259"/>
      <c r="RA359" s="1259"/>
      <c r="RB359" s="1259"/>
      <c r="RC359" s="1259"/>
      <c r="RD359" s="1259"/>
      <c r="RE359" s="1259"/>
      <c r="RF359" s="1259"/>
      <c r="RG359" s="1259"/>
      <c r="RH359" s="1259"/>
      <c r="RI359" s="1259"/>
      <c r="RJ359" s="1259"/>
      <c r="RK359" s="1259"/>
      <c r="RL359" s="1259"/>
      <c r="RM359" s="1259"/>
      <c r="RN359" s="1259"/>
      <c r="RO359" s="1259"/>
      <c r="RP359" s="1259"/>
      <c r="RQ359" s="1259"/>
      <c r="RR359" s="1259"/>
      <c r="RS359" s="1259"/>
      <c r="RT359" s="1259"/>
      <c r="RU359" s="1259"/>
      <c r="RV359" s="1259"/>
      <c r="RW359" s="1259"/>
      <c r="RX359" s="1259"/>
      <c r="RY359" s="1259"/>
      <c r="RZ359" s="1259"/>
      <c r="SA359" s="1259"/>
      <c r="SB359" s="1259"/>
      <c r="SC359" s="1259"/>
      <c r="SD359" s="1259"/>
      <c r="SE359" s="1259"/>
      <c r="SF359" s="1259"/>
      <c r="SG359" s="1259"/>
      <c r="SH359" s="1259"/>
      <c r="SI359" s="1259"/>
      <c r="SJ359" s="1259"/>
      <c r="SK359" s="1259"/>
      <c r="SL359" s="1259"/>
      <c r="SM359" s="1259"/>
      <c r="SN359" s="1259"/>
      <c r="SO359" s="1259"/>
      <c r="SP359" s="1259"/>
      <c r="SQ359" s="1259"/>
      <c r="SR359" s="1259"/>
      <c r="SS359" s="1259"/>
      <c r="ST359" s="1259"/>
      <c r="SU359" s="1259"/>
      <c r="SV359" s="1259"/>
      <c r="SW359" s="1259"/>
      <c r="SX359" s="1259"/>
      <c r="SY359" s="1259"/>
      <c r="SZ359" s="1259"/>
      <c r="TA359" s="1259"/>
      <c r="TB359" s="1259"/>
      <c r="TC359" s="1259"/>
      <c r="TD359" s="1259"/>
      <c r="TE359" s="1259"/>
      <c r="TF359" s="1259"/>
      <c r="TG359" s="1259"/>
      <c r="TH359" s="1259"/>
      <c r="TI359" s="1259"/>
      <c r="TJ359" s="1259"/>
      <c r="TK359" s="1259"/>
      <c r="TL359" s="1259"/>
      <c r="TM359" s="1259"/>
      <c r="TN359" s="1259"/>
      <c r="TO359" s="1259"/>
      <c r="TP359" s="1259"/>
      <c r="TQ359" s="1259"/>
      <c r="TR359" s="1259"/>
      <c r="TS359" s="1259"/>
      <c r="TT359" s="1259"/>
      <c r="TU359" s="1259"/>
      <c r="TV359" s="1259"/>
      <c r="TW359" s="1259"/>
      <c r="TX359" s="1259"/>
      <c r="TY359" s="1259"/>
      <c r="TZ359" s="1259"/>
      <c r="UA359" s="1259"/>
      <c r="UB359" s="1259"/>
      <c r="UC359" s="1259"/>
      <c r="UD359" s="1259"/>
      <c r="UE359" s="1259"/>
      <c r="UF359" s="1259"/>
      <c r="UG359" s="1261"/>
    </row>
    <row r="360" spans="1:553" s="1262" customFormat="1" ht="29.25" customHeight="1">
      <c r="A360" s="366"/>
      <c r="B360" s="356"/>
      <c r="C360" s="1379" t="s">
        <v>455</v>
      </c>
      <c r="D360" s="1380" t="s">
        <v>824</v>
      </c>
      <c r="E360" s="1380" t="s">
        <v>824</v>
      </c>
      <c r="F360" s="1381" t="s">
        <v>824</v>
      </c>
      <c r="G360" s="366" t="s">
        <v>46</v>
      </c>
      <c r="H360" s="417"/>
      <c r="I360" s="794">
        <f>(95.03*100/500)*(23-(4-3))*1</f>
        <v>418.13200000000001</v>
      </c>
      <c r="J360" s="368">
        <v>11000</v>
      </c>
      <c r="K360" s="717">
        <v>0.7</v>
      </c>
      <c r="L360" s="480">
        <f>ROUND(PRODUCT(I360:K360),0)</f>
        <v>3219616</v>
      </c>
      <c r="M360" s="366"/>
      <c r="N360" s="366"/>
      <c r="O360" s="366"/>
      <c r="P360" s="366"/>
      <c r="Q360" s="1135"/>
      <c r="R360" s="1228"/>
      <c r="S360" s="435"/>
      <c r="T360" s="436"/>
      <c r="U360" s="304"/>
      <c r="V360" s="393"/>
      <c r="W360" s="304"/>
      <c r="X360" s="304"/>
      <c r="Y360" s="304"/>
      <c r="Z360" s="304"/>
      <c r="AA360" s="304"/>
      <c r="AB360" s="304"/>
      <c r="AC360" s="456"/>
      <c r="AD360" s="452"/>
      <c r="AE360" s="452"/>
      <c r="AF360" s="452"/>
      <c r="AG360" s="452"/>
      <c r="AH360" s="452"/>
      <c r="AI360" s="452"/>
      <c r="AJ360" s="452"/>
      <c r="AK360" s="452"/>
      <c r="AL360" s="1259"/>
      <c r="AM360" s="1259"/>
      <c r="AN360" s="1259"/>
      <c r="AO360" s="1259"/>
      <c r="AP360" s="1259"/>
      <c r="AQ360" s="1259"/>
      <c r="AR360" s="1259"/>
      <c r="AS360" s="1259"/>
      <c r="AT360" s="1259"/>
      <c r="AU360" s="1259"/>
      <c r="AV360" s="1259"/>
      <c r="AW360" s="1259"/>
      <c r="AX360" s="1259"/>
      <c r="AY360" s="1259"/>
      <c r="AZ360" s="1259"/>
      <c r="BA360" s="1259"/>
      <c r="BB360" s="1259"/>
      <c r="BC360" s="1259"/>
      <c r="BD360" s="1259"/>
      <c r="BE360" s="1259"/>
      <c r="BF360" s="1259"/>
      <c r="BG360" s="1259"/>
      <c r="BH360" s="1259"/>
      <c r="BI360" s="1259"/>
      <c r="BJ360" s="1259"/>
      <c r="BK360" s="1259"/>
      <c r="BL360" s="1259"/>
      <c r="BM360" s="1259"/>
      <c r="BN360" s="1259"/>
      <c r="BO360" s="1259"/>
      <c r="BP360" s="1259"/>
      <c r="BQ360" s="1259"/>
      <c r="BR360" s="1259"/>
      <c r="BS360" s="1259"/>
      <c r="BT360" s="1259"/>
      <c r="BU360" s="1259"/>
      <c r="BV360" s="1259"/>
      <c r="BW360" s="1259"/>
      <c r="BX360" s="1259"/>
      <c r="BY360" s="1259"/>
      <c r="BZ360" s="1259"/>
      <c r="CA360" s="1259"/>
      <c r="CB360" s="1259"/>
      <c r="CC360" s="1259"/>
      <c r="CD360" s="1259"/>
      <c r="CE360" s="1259"/>
      <c r="CF360" s="1259"/>
      <c r="CG360" s="1259"/>
      <c r="CH360" s="1259"/>
      <c r="CI360" s="1259"/>
      <c r="CJ360" s="1259"/>
      <c r="CK360" s="1259"/>
      <c r="CL360" s="1259"/>
      <c r="CM360" s="1259"/>
      <c r="CN360" s="1259"/>
      <c r="CO360" s="1259"/>
      <c r="CP360" s="1259"/>
      <c r="CQ360" s="1259"/>
      <c r="CR360" s="1259"/>
      <c r="CS360" s="1259"/>
      <c r="CT360" s="1259"/>
      <c r="CU360" s="1259"/>
      <c r="CV360" s="1259"/>
      <c r="CW360" s="1259"/>
      <c r="CX360" s="1259"/>
      <c r="CY360" s="1259"/>
      <c r="CZ360" s="1259"/>
      <c r="DA360" s="1259"/>
      <c r="DB360" s="1259"/>
      <c r="DC360" s="1259"/>
      <c r="DD360" s="1259"/>
      <c r="DE360" s="1259"/>
      <c r="DF360" s="1259"/>
      <c r="DG360" s="1259"/>
      <c r="DH360" s="1259"/>
      <c r="DI360" s="1259"/>
      <c r="DJ360" s="1259"/>
      <c r="DK360" s="1259"/>
      <c r="DL360" s="1259"/>
      <c r="DM360" s="1259"/>
      <c r="DN360" s="1259"/>
      <c r="DO360" s="1259"/>
      <c r="DP360" s="1259"/>
      <c r="DQ360" s="1259"/>
      <c r="DR360" s="1259"/>
      <c r="DS360" s="1259"/>
      <c r="DT360" s="1259"/>
      <c r="DU360" s="1259"/>
      <c r="DV360" s="1259"/>
      <c r="DW360" s="1259"/>
      <c r="DX360" s="1259"/>
      <c r="DY360" s="1259"/>
      <c r="DZ360" s="1259"/>
      <c r="EA360" s="1259"/>
      <c r="EB360" s="1259"/>
      <c r="EC360" s="1259"/>
      <c r="ED360" s="1259"/>
      <c r="EE360" s="1259"/>
      <c r="EF360" s="1259"/>
      <c r="EG360" s="1259"/>
      <c r="EH360" s="1259"/>
      <c r="EI360" s="1259"/>
      <c r="EJ360" s="1259"/>
      <c r="EK360" s="1259"/>
      <c r="EL360" s="1259"/>
      <c r="EM360" s="1259"/>
      <c r="EN360" s="1259"/>
      <c r="EO360" s="1259"/>
      <c r="EP360" s="1259"/>
      <c r="EQ360" s="1259"/>
      <c r="ER360" s="1259"/>
      <c r="ES360" s="1259"/>
      <c r="ET360" s="1259"/>
      <c r="EU360" s="1259"/>
      <c r="EV360" s="1259"/>
      <c r="EW360" s="1259"/>
      <c r="EX360" s="1259"/>
      <c r="EY360" s="1259"/>
      <c r="EZ360" s="1259"/>
      <c r="FA360" s="1259"/>
      <c r="FB360" s="1259"/>
      <c r="FC360" s="1259"/>
      <c r="FD360" s="1259"/>
      <c r="FE360" s="1259"/>
      <c r="FF360" s="1259"/>
      <c r="FG360" s="1259"/>
      <c r="FH360" s="1259"/>
      <c r="FI360" s="1259"/>
      <c r="FJ360" s="1259"/>
      <c r="FK360" s="1259"/>
      <c r="FL360" s="1259"/>
      <c r="FM360" s="1259"/>
      <c r="FN360" s="1259"/>
      <c r="FO360" s="1259"/>
      <c r="FP360" s="1259"/>
      <c r="FQ360" s="1259"/>
      <c r="FR360" s="1259"/>
      <c r="FS360" s="1259"/>
      <c r="FT360" s="1259"/>
      <c r="FU360" s="1259"/>
      <c r="FV360" s="1259"/>
      <c r="FW360" s="1259"/>
      <c r="FX360" s="1259"/>
      <c r="FY360" s="1259"/>
      <c r="FZ360" s="1259"/>
      <c r="GA360" s="1259"/>
      <c r="GB360" s="1259"/>
      <c r="GC360" s="1259"/>
      <c r="GD360" s="1259"/>
      <c r="GE360" s="1259"/>
      <c r="GF360" s="1259"/>
      <c r="GG360" s="1259"/>
      <c r="GH360" s="1259"/>
      <c r="GI360" s="1259"/>
      <c r="GJ360" s="1259"/>
      <c r="GK360" s="1259"/>
      <c r="GL360" s="1259"/>
      <c r="GM360" s="1259"/>
      <c r="GN360" s="1259"/>
      <c r="GO360" s="1259"/>
      <c r="GP360" s="1259"/>
      <c r="GQ360" s="1259"/>
      <c r="GR360" s="1259"/>
      <c r="GS360" s="1259"/>
      <c r="GT360" s="1259"/>
      <c r="GU360" s="1259"/>
      <c r="GV360" s="1259"/>
      <c r="GW360" s="1259"/>
      <c r="GX360" s="1259"/>
      <c r="GY360" s="1259"/>
      <c r="GZ360" s="1259"/>
      <c r="HA360" s="1259"/>
      <c r="HB360" s="1259"/>
      <c r="HC360" s="1259"/>
      <c r="HD360" s="1259"/>
      <c r="HE360" s="1259"/>
      <c r="HF360" s="1259"/>
      <c r="HG360" s="1259"/>
      <c r="HH360" s="1259"/>
      <c r="HI360" s="1259"/>
      <c r="HJ360" s="1259"/>
      <c r="HK360" s="1259"/>
      <c r="HL360" s="1259"/>
      <c r="HM360" s="1259"/>
      <c r="HN360" s="1259"/>
      <c r="HO360" s="1259"/>
      <c r="HP360" s="1259"/>
      <c r="HQ360" s="1259"/>
      <c r="HR360" s="1259"/>
      <c r="HS360" s="1259"/>
      <c r="HT360" s="1259"/>
      <c r="HU360" s="1259"/>
      <c r="HV360" s="1259"/>
      <c r="HW360" s="1259"/>
      <c r="HX360" s="1259"/>
      <c r="HY360" s="1259"/>
      <c r="HZ360" s="1259"/>
      <c r="IA360" s="1259"/>
      <c r="IB360" s="1259"/>
      <c r="IC360" s="1259"/>
      <c r="ID360" s="1259"/>
      <c r="IE360" s="1259"/>
      <c r="IF360" s="1259"/>
      <c r="IG360" s="1259"/>
      <c r="IH360" s="1259"/>
      <c r="II360" s="1259"/>
      <c r="IJ360" s="1259"/>
      <c r="IK360" s="1259"/>
      <c r="IL360" s="1259"/>
      <c r="IM360" s="1259"/>
      <c r="IN360" s="1259"/>
      <c r="IO360" s="1259"/>
      <c r="IP360" s="1259"/>
      <c r="IQ360" s="1259"/>
      <c r="IR360" s="1259"/>
      <c r="IS360" s="1259"/>
      <c r="IT360" s="1259"/>
      <c r="IU360" s="1259"/>
      <c r="IV360" s="1259"/>
      <c r="IW360" s="1259"/>
      <c r="IX360" s="1259"/>
      <c r="IY360" s="1259"/>
      <c r="IZ360" s="1259"/>
      <c r="JA360" s="1259"/>
      <c r="JB360" s="1259"/>
      <c r="JC360" s="1259"/>
      <c r="JD360" s="1259"/>
      <c r="JE360" s="1259"/>
      <c r="JF360" s="1259"/>
      <c r="JG360" s="1259"/>
      <c r="JH360" s="1259"/>
      <c r="JI360" s="1259"/>
      <c r="JJ360" s="1259"/>
      <c r="JK360" s="1259"/>
      <c r="JL360" s="1259"/>
      <c r="JM360" s="1259"/>
      <c r="JN360" s="1259"/>
      <c r="JO360" s="1259"/>
      <c r="JP360" s="1259"/>
      <c r="JQ360" s="1259"/>
      <c r="JR360" s="1259"/>
      <c r="JS360" s="1259"/>
      <c r="JT360" s="1259"/>
      <c r="JU360" s="1259"/>
      <c r="JV360" s="1259"/>
      <c r="JW360" s="1259"/>
      <c r="JX360" s="1259"/>
      <c r="JY360" s="1259"/>
      <c r="JZ360" s="1259"/>
      <c r="KA360" s="1259"/>
      <c r="KB360" s="1259"/>
      <c r="KC360" s="1259"/>
      <c r="KD360" s="1259"/>
      <c r="KE360" s="1259"/>
      <c r="KF360" s="1259"/>
      <c r="KG360" s="1259"/>
      <c r="KH360" s="1259"/>
      <c r="KI360" s="1259"/>
      <c r="KJ360" s="1259"/>
      <c r="KK360" s="1259"/>
      <c r="KL360" s="1259"/>
      <c r="KM360" s="1259"/>
      <c r="KN360" s="1259"/>
      <c r="KO360" s="1259"/>
      <c r="KP360" s="1259"/>
      <c r="KQ360" s="1259"/>
      <c r="KR360" s="1259"/>
      <c r="KS360" s="1259"/>
      <c r="KT360" s="1259"/>
      <c r="KU360" s="1259"/>
      <c r="KV360" s="1259"/>
      <c r="KW360" s="1259"/>
      <c r="KX360" s="1259"/>
      <c r="KY360" s="1259"/>
      <c r="KZ360" s="1259"/>
      <c r="LA360" s="1259"/>
      <c r="LB360" s="1259"/>
      <c r="LC360" s="1259"/>
      <c r="LD360" s="1259"/>
      <c r="LE360" s="1259"/>
      <c r="LF360" s="1259"/>
      <c r="LG360" s="1259"/>
      <c r="LH360" s="1259"/>
      <c r="LI360" s="1259"/>
      <c r="LJ360" s="1259"/>
      <c r="LK360" s="1259"/>
      <c r="LL360" s="1259"/>
      <c r="LM360" s="1259"/>
      <c r="LN360" s="1259"/>
      <c r="LO360" s="1259"/>
      <c r="LP360" s="1259"/>
      <c r="LQ360" s="1259"/>
      <c r="LR360" s="1259"/>
      <c r="LS360" s="1259"/>
      <c r="LT360" s="1259"/>
      <c r="LU360" s="1259"/>
      <c r="LV360" s="1259"/>
      <c r="LW360" s="1259"/>
      <c r="LX360" s="1259"/>
      <c r="LY360" s="1259"/>
      <c r="LZ360" s="1259"/>
      <c r="MA360" s="1259"/>
      <c r="MB360" s="1259"/>
      <c r="MC360" s="1259"/>
      <c r="MD360" s="1259"/>
      <c r="ME360" s="1259"/>
      <c r="MF360" s="1259"/>
      <c r="MG360" s="1259"/>
      <c r="MH360" s="1259"/>
      <c r="MI360" s="1259"/>
      <c r="MJ360" s="1259"/>
      <c r="MK360" s="1259"/>
      <c r="ML360" s="1259"/>
      <c r="MM360" s="1259"/>
      <c r="MN360" s="1259"/>
      <c r="MO360" s="1259"/>
      <c r="MP360" s="1259"/>
      <c r="MQ360" s="1259"/>
      <c r="MR360" s="1259"/>
      <c r="MS360" s="1259"/>
      <c r="MT360" s="1259"/>
      <c r="MU360" s="1259"/>
      <c r="MV360" s="1259"/>
      <c r="MW360" s="1259"/>
      <c r="MX360" s="1259"/>
      <c r="MY360" s="1259"/>
      <c r="MZ360" s="1259"/>
      <c r="NA360" s="1259"/>
      <c r="NB360" s="1259"/>
      <c r="NC360" s="1259"/>
      <c r="ND360" s="1259"/>
      <c r="NE360" s="1259"/>
      <c r="NF360" s="1259"/>
      <c r="NG360" s="1259"/>
      <c r="NH360" s="1259"/>
      <c r="NI360" s="1259"/>
      <c r="NJ360" s="1259"/>
      <c r="NK360" s="1259"/>
      <c r="NL360" s="1259"/>
      <c r="NM360" s="1259"/>
      <c r="NN360" s="1259"/>
      <c r="NO360" s="1259"/>
      <c r="NP360" s="1259"/>
      <c r="NQ360" s="1259"/>
      <c r="NR360" s="1259"/>
      <c r="NS360" s="1259"/>
      <c r="NT360" s="1259"/>
      <c r="NU360" s="1259"/>
      <c r="NV360" s="1259"/>
      <c r="NW360" s="1259"/>
      <c r="NX360" s="1259"/>
      <c r="NY360" s="1259"/>
      <c r="NZ360" s="1259"/>
      <c r="OA360" s="1259"/>
      <c r="OB360" s="1259"/>
      <c r="OC360" s="1259"/>
      <c r="OD360" s="1259"/>
      <c r="OE360" s="1259"/>
      <c r="OF360" s="1259"/>
      <c r="OG360" s="1259"/>
      <c r="OH360" s="1259"/>
      <c r="OI360" s="1259"/>
      <c r="OJ360" s="1259"/>
      <c r="OK360" s="1259"/>
      <c r="OL360" s="1259"/>
      <c r="OM360" s="1259"/>
      <c r="ON360" s="1259"/>
      <c r="OO360" s="1259"/>
      <c r="OP360" s="1259"/>
      <c r="OQ360" s="1259"/>
      <c r="OR360" s="1259"/>
      <c r="OS360" s="1259"/>
      <c r="OT360" s="1259"/>
      <c r="OU360" s="1259"/>
      <c r="OV360" s="1259"/>
      <c r="OW360" s="1259"/>
      <c r="OX360" s="1259"/>
      <c r="OY360" s="1259"/>
      <c r="OZ360" s="1259"/>
      <c r="PA360" s="1259"/>
      <c r="PB360" s="1259"/>
      <c r="PC360" s="1259"/>
      <c r="PD360" s="1259"/>
      <c r="PE360" s="1259"/>
      <c r="PF360" s="1259"/>
      <c r="PG360" s="1259"/>
      <c r="PH360" s="1259"/>
      <c r="PI360" s="1259"/>
      <c r="PJ360" s="1259"/>
      <c r="PK360" s="1259"/>
      <c r="PL360" s="1259"/>
      <c r="PM360" s="1259"/>
      <c r="PN360" s="1259"/>
      <c r="PO360" s="1259"/>
      <c r="PP360" s="1259"/>
      <c r="PQ360" s="1259"/>
      <c r="PR360" s="1259"/>
      <c r="PS360" s="1259"/>
      <c r="PT360" s="1259"/>
      <c r="PU360" s="1259"/>
      <c r="PV360" s="1259"/>
      <c r="PW360" s="1259"/>
      <c r="PX360" s="1259"/>
      <c r="PY360" s="1259"/>
      <c r="PZ360" s="1259"/>
      <c r="QA360" s="1259"/>
      <c r="QB360" s="1259"/>
      <c r="QC360" s="1259"/>
      <c r="QD360" s="1259"/>
      <c r="QE360" s="1259"/>
      <c r="QF360" s="1259"/>
      <c r="QG360" s="1259"/>
      <c r="QH360" s="1259"/>
      <c r="QI360" s="1259"/>
      <c r="QJ360" s="1259"/>
      <c r="QK360" s="1259"/>
      <c r="QL360" s="1259"/>
      <c r="QM360" s="1259"/>
      <c r="QN360" s="1259"/>
      <c r="QO360" s="1259"/>
      <c r="QP360" s="1259"/>
      <c r="QQ360" s="1259"/>
      <c r="QR360" s="1259"/>
      <c r="QS360" s="1259"/>
      <c r="QT360" s="1259"/>
      <c r="QU360" s="1259"/>
      <c r="QV360" s="1259"/>
      <c r="QW360" s="1259"/>
      <c r="QX360" s="1259"/>
      <c r="QY360" s="1259"/>
      <c r="QZ360" s="1259"/>
      <c r="RA360" s="1259"/>
      <c r="RB360" s="1259"/>
      <c r="RC360" s="1259"/>
      <c r="RD360" s="1259"/>
      <c r="RE360" s="1259"/>
      <c r="RF360" s="1259"/>
      <c r="RG360" s="1259"/>
      <c r="RH360" s="1259"/>
      <c r="RI360" s="1259"/>
      <c r="RJ360" s="1259"/>
      <c r="RK360" s="1259"/>
      <c r="RL360" s="1259"/>
      <c r="RM360" s="1259"/>
      <c r="RN360" s="1259"/>
      <c r="RO360" s="1259"/>
      <c r="RP360" s="1259"/>
      <c r="RQ360" s="1259"/>
      <c r="RR360" s="1259"/>
      <c r="RS360" s="1259"/>
      <c r="RT360" s="1259"/>
      <c r="RU360" s="1259"/>
      <c r="RV360" s="1259"/>
      <c r="RW360" s="1259"/>
      <c r="RX360" s="1259"/>
      <c r="RY360" s="1259"/>
      <c r="RZ360" s="1259"/>
      <c r="SA360" s="1259"/>
      <c r="SB360" s="1259"/>
      <c r="SC360" s="1259"/>
      <c r="SD360" s="1259"/>
      <c r="SE360" s="1259"/>
      <c r="SF360" s="1259"/>
      <c r="SG360" s="1259"/>
      <c r="SH360" s="1259"/>
      <c r="SI360" s="1259"/>
      <c r="SJ360" s="1259"/>
      <c r="SK360" s="1259"/>
      <c r="SL360" s="1259"/>
      <c r="SM360" s="1259"/>
      <c r="SN360" s="1259"/>
      <c r="SO360" s="1259"/>
      <c r="SP360" s="1259"/>
      <c r="SQ360" s="1259"/>
      <c r="SR360" s="1259"/>
      <c r="SS360" s="1259"/>
      <c r="ST360" s="1259"/>
      <c r="SU360" s="1259"/>
      <c r="SV360" s="1259"/>
      <c r="SW360" s="1259"/>
      <c r="SX360" s="1259"/>
      <c r="SY360" s="1259"/>
      <c r="SZ360" s="1259"/>
      <c r="TA360" s="1259"/>
      <c r="TB360" s="1259"/>
      <c r="TC360" s="1259"/>
      <c r="TD360" s="1259"/>
      <c r="TE360" s="1259"/>
      <c r="TF360" s="1259"/>
      <c r="TG360" s="1259"/>
      <c r="TH360" s="1259"/>
      <c r="TI360" s="1259"/>
      <c r="TJ360" s="1259"/>
      <c r="TK360" s="1259"/>
      <c r="TL360" s="1259"/>
      <c r="TM360" s="1259"/>
      <c r="TN360" s="1259"/>
      <c r="TO360" s="1259"/>
      <c r="TP360" s="1259"/>
      <c r="TQ360" s="1259"/>
      <c r="TR360" s="1259"/>
      <c r="TS360" s="1259"/>
      <c r="TT360" s="1259"/>
      <c r="TU360" s="1259"/>
      <c r="TV360" s="1259"/>
      <c r="TW360" s="1259"/>
      <c r="TX360" s="1259"/>
      <c r="TY360" s="1259"/>
      <c r="TZ360" s="1259"/>
      <c r="UA360" s="1259"/>
      <c r="UB360" s="1259"/>
      <c r="UC360" s="1259"/>
      <c r="UD360" s="1259"/>
      <c r="UE360" s="1259"/>
      <c r="UF360" s="1259"/>
      <c r="UG360" s="1261"/>
    </row>
    <row r="361" spans="1:553" s="1262" customFormat="1" ht="29.25" customHeight="1">
      <c r="A361" s="366"/>
      <c r="B361" s="356"/>
      <c r="C361" s="1379" t="s">
        <v>1085</v>
      </c>
      <c r="D361" s="1380" t="s">
        <v>836</v>
      </c>
      <c r="E361" s="1380" t="s">
        <v>836</v>
      </c>
      <c r="F361" s="1381" t="s">
        <v>836</v>
      </c>
      <c r="G361" s="564" t="s">
        <v>46</v>
      </c>
      <c r="H361" s="417"/>
      <c r="I361" s="794">
        <f>(42.76*100/400)*(32-(5-3))*1</f>
        <v>320.7</v>
      </c>
      <c r="J361" s="368">
        <v>7300</v>
      </c>
      <c r="K361" s="565">
        <v>0.7</v>
      </c>
      <c r="L361" s="571">
        <f>I361*J361*K361</f>
        <v>1638777</v>
      </c>
      <c r="M361" s="366"/>
      <c r="N361" s="366"/>
      <c r="O361" s="366"/>
      <c r="P361" s="366"/>
      <c r="Q361" s="1135"/>
      <c r="R361" s="1228"/>
      <c r="S361" s="308"/>
      <c r="T361" s="303"/>
      <c r="U361" s="306"/>
      <c r="V361" s="307"/>
      <c r="W361" s="307"/>
      <c r="X361" s="307"/>
      <c r="Y361" s="307"/>
      <c r="Z361" s="307"/>
      <c r="AA361" s="307"/>
      <c r="AB361" s="307"/>
      <c r="AC361" s="456"/>
      <c r="AD361" s="452"/>
      <c r="AE361" s="452"/>
      <c r="AF361" s="452"/>
      <c r="AG361" s="452"/>
      <c r="AH361" s="452"/>
      <c r="AI361" s="452"/>
      <c r="AJ361" s="452"/>
      <c r="AK361" s="452"/>
      <c r="AL361" s="1259"/>
      <c r="AM361" s="1259"/>
      <c r="AN361" s="1259"/>
      <c r="AO361" s="1259"/>
      <c r="AP361" s="1259"/>
      <c r="AQ361" s="1259"/>
      <c r="AR361" s="1259"/>
      <c r="AS361" s="1259"/>
      <c r="AT361" s="1259"/>
      <c r="AU361" s="1259"/>
      <c r="AV361" s="1259"/>
      <c r="AW361" s="1259"/>
      <c r="AX361" s="1259"/>
      <c r="AY361" s="1259"/>
      <c r="AZ361" s="1259"/>
      <c r="BA361" s="1259"/>
      <c r="BB361" s="1259"/>
      <c r="BC361" s="1259"/>
      <c r="BD361" s="1259"/>
      <c r="BE361" s="1259"/>
      <c r="BF361" s="1259"/>
      <c r="BG361" s="1259"/>
      <c r="BH361" s="1259"/>
      <c r="BI361" s="1259"/>
      <c r="BJ361" s="1259"/>
      <c r="BK361" s="1259"/>
      <c r="BL361" s="1259"/>
      <c r="BM361" s="1259"/>
      <c r="BN361" s="1259"/>
      <c r="BO361" s="1259"/>
      <c r="BP361" s="1259"/>
      <c r="BQ361" s="1259"/>
      <c r="BR361" s="1259"/>
      <c r="BS361" s="1259"/>
      <c r="BT361" s="1259"/>
      <c r="BU361" s="1259"/>
      <c r="BV361" s="1259"/>
      <c r="BW361" s="1259"/>
      <c r="BX361" s="1259"/>
      <c r="BY361" s="1259"/>
      <c r="BZ361" s="1259"/>
      <c r="CA361" s="1259"/>
      <c r="CB361" s="1259"/>
      <c r="CC361" s="1259"/>
      <c r="CD361" s="1259"/>
      <c r="CE361" s="1259"/>
      <c r="CF361" s="1259"/>
      <c r="CG361" s="1259"/>
      <c r="CH361" s="1259"/>
      <c r="CI361" s="1259"/>
      <c r="CJ361" s="1259"/>
      <c r="CK361" s="1259"/>
      <c r="CL361" s="1259"/>
      <c r="CM361" s="1259"/>
      <c r="CN361" s="1259"/>
      <c r="CO361" s="1259"/>
      <c r="CP361" s="1259"/>
      <c r="CQ361" s="1259"/>
      <c r="CR361" s="1259"/>
      <c r="CS361" s="1259"/>
      <c r="CT361" s="1259"/>
      <c r="CU361" s="1259"/>
      <c r="CV361" s="1259"/>
      <c r="CW361" s="1259"/>
      <c r="CX361" s="1259"/>
      <c r="CY361" s="1259"/>
      <c r="CZ361" s="1259"/>
      <c r="DA361" s="1259"/>
      <c r="DB361" s="1259"/>
      <c r="DC361" s="1259"/>
      <c r="DD361" s="1259"/>
      <c r="DE361" s="1259"/>
      <c r="DF361" s="1259"/>
      <c r="DG361" s="1259"/>
      <c r="DH361" s="1259"/>
      <c r="DI361" s="1259"/>
      <c r="DJ361" s="1259"/>
      <c r="DK361" s="1259"/>
      <c r="DL361" s="1259"/>
      <c r="DM361" s="1259"/>
      <c r="DN361" s="1259"/>
      <c r="DO361" s="1259"/>
      <c r="DP361" s="1259"/>
      <c r="DQ361" s="1259"/>
      <c r="DR361" s="1259"/>
      <c r="DS361" s="1259"/>
      <c r="DT361" s="1259"/>
      <c r="DU361" s="1259"/>
      <c r="DV361" s="1259"/>
      <c r="DW361" s="1259"/>
      <c r="DX361" s="1259"/>
      <c r="DY361" s="1259"/>
      <c r="DZ361" s="1259"/>
      <c r="EA361" s="1259"/>
      <c r="EB361" s="1259"/>
      <c r="EC361" s="1259"/>
      <c r="ED361" s="1259"/>
      <c r="EE361" s="1259"/>
      <c r="EF361" s="1259"/>
      <c r="EG361" s="1259"/>
      <c r="EH361" s="1259"/>
      <c r="EI361" s="1259"/>
      <c r="EJ361" s="1259"/>
      <c r="EK361" s="1259"/>
      <c r="EL361" s="1259"/>
      <c r="EM361" s="1259"/>
      <c r="EN361" s="1259"/>
      <c r="EO361" s="1259"/>
      <c r="EP361" s="1259"/>
      <c r="EQ361" s="1259"/>
      <c r="ER361" s="1259"/>
      <c r="ES361" s="1259"/>
      <c r="ET361" s="1259"/>
      <c r="EU361" s="1259"/>
      <c r="EV361" s="1259"/>
      <c r="EW361" s="1259"/>
      <c r="EX361" s="1259"/>
      <c r="EY361" s="1259"/>
      <c r="EZ361" s="1259"/>
      <c r="FA361" s="1259"/>
      <c r="FB361" s="1259"/>
      <c r="FC361" s="1259"/>
      <c r="FD361" s="1259"/>
      <c r="FE361" s="1259"/>
      <c r="FF361" s="1259"/>
      <c r="FG361" s="1259"/>
      <c r="FH361" s="1259"/>
      <c r="FI361" s="1259"/>
      <c r="FJ361" s="1259"/>
      <c r="FK361" s="1259"/>
      <c r="FL361" s="1259"/>
      <c r="FM361" s="1259"/>
      <c r="FN361" s="1259"/>
      <c r="FO361" s="1259"/>
      <c r="FP361" s="1259"/>
      <c r="FQ361" s="1259"/>
      <c r="FR361" s="1259"/>
      <c r="FS361" s="1259"/>
      <c r="FT361" s="1259"/>
      <c r="FU361" s="1259"/>
      <c r="FV361" s="1259"/>
      <c r="FW361" s="1259"/>
      <c r="FX361" s="1259"/>
      <c r="FY361" s="1259"/>
      <c r="FZ361" s="1259"/>
      <c r="GA361" s="1259"/>
      <c r="GB361" s="1259"/>
      <c r="GC361" s="1259"/>
      <c r="GD361" s="1259"/>
      <c r="GE361" s="1259"/>
      <c r="GF361" s="1259"/>
      <c r="GG361" s="1259"/>
      <c r="GH361" s="1259"/>
      <c r="GI361" s="1259"/>
      <c r="GJ361" s="1259"/>
      <c r="GK361" s="1259"/>
      <c r="GL361" s="1259"/>
      <c r="GM361" s="1259"/>
      <c r="GN361" s="1259"/>
      <c r="GO361" s="1259"/>
      <c r="GP361" s="1259"/>
      <c r="GQ361" s="1259"/>
      <c r="GR361" s="1259"/>
      <c r="GS361" s="1259"/>
      <c r="GT361" s="1259"/>
      <c r="GU361" s="1259"/>
      <c r="GV361" s="1259"/>
      <c r="GW361" s="1259"/>
      <c r="GX361" s="1259"/>
      <c r="GY361" s="1259"/>
      <c r="GZ361" s="1259"/>
      <c r="HA361" s="1259"/>
      <c r="HB361" s="1259"/>
      <c r="HC361" s="1259"/>
      <c r="HD361" s="1259"/>
      <c r="HE361" s="1259"/>
      <c r="HF361" s="1259"/>
      <c r="HG361" s="1259"/>
      <c r="HH361" s="1259"/>
      <c r="HI361" s="1259"/>
      <c r="HJ361" s="1259"/>
      <c r="HK361" s="1259"/>
      <c r="HL361" s="1259"/>
      <c r="HM361" s="1259"/>
      <c r="HN361" s="1259"/>
      <c r="HO361" s="1259"/>
      <c r="HP361" s="1259"/>
      <c r="HQ361" s="1259"/>
      <c r="HR361" s="1259"/>
      <c r="HS361" s="1259"/>
      <c r="HT361" s="1259"/>
      <c r="HU361" s="1259"/>
      <c r="HV361" s="1259"/>
      <c r="HW361" s="1259"/>
      <c r="HX361" s="1259"/>
      <c r="HY361" s="1259"/>
      <c r="HZ361" s="1259"/>
      <c r="IA361" s="1259"/>
      <c r="IB361" s="1259"/>
      <c r="IC361" s="1259"/>
      <c r="ID361" s="1259"/>
      <c r="IE361" s="1259"/>
      <c r="IF361" s="1259"/>
      <c r="IG361" s="1259"/>
      <c r="IH361" s="1259"/>
      <c r="II361" s="1259"/>
      <c r="IJ361" s="1259"/>
      <c r="IK361" s="1259"/>
      <c r="IL361" s="1259"/>
      <c r="IM361" s="1259"/>
      <c r="IN361" s="1259"/>
      <c r="IO361" s="1259"/>
      <c r="IP361" s="1259"/>
      <c r="IQ361" s="1259"/>
      <c r="IR361" s="1259"/>
      <c r="IS361" s="1259"/>
      <c r="IT361" s="1259"/>
      <c r="IU361" s="1259"/>
      <c r="IV361" s="1259"/>
      <c r="IW361" s="1259"/>
      <c r="IX361" s="1259"/>
      <c r="IY361" s="1259"/>
      <c r="IZ361" s="1259"/>
      <c r="JA361" s="1259"/>
      <c r="JB361" s="1259"/>
      <c r="JC361" s="1259"/>
      <c r="JD361" s="1259"/>
      <c r="JE361" s="1259"/>
      <c r="JF361" s="1259"/>
      <c r="JG361" s="1259"/>
      <c r="JH361" s="1259"/>
      <c r="JI361" s="1259"/>
      <c r="JJ361" s="1259"/>
      <c r="JK361" s="1259"/>
      <c r="JL361" s="1259"/>
      <c r="JM361" s="1259"/>
      <c r="JN361" s="1259"/>
      <c r="JO361" s="1259"/>
      <c r="JP361" s="1259"/>
      <c r="JQ361" s="1259"/>
      <c r="JR361" s="1259"/>
      <c r="JS361" s="1259"/>
      <c r="JT361" s="1259"/>
      <c r="JU361" s="1259"/>
      <c r="JV361" s="1259"/>
      <c r="JW361" s="1259"/>
      <c r="JX361" s="1259"/>
      <c r="JY361" s="1259"/>
      <c r="JZ361" s="1259"/>
      <c r="KA361" s="1259"/>
      <c r="KB361" s="1259"/>
      <c r="KC361" s="1259"/>
      <c r="KD361" s="1259"/>
      <c r="KE361" s="1259"/>
      <c r="KF361" s="1259"/>
      <c r="KG361" s="1259"/>
      <c r="KH361" s="1259"/>
      <c r="KI361" s="1259"/>
      <c r="KJ361" s="1259"/>
      <c r="KK361" s="1259"/>
      <c r="KL361" s="1259"/>
      <c r="KM361" s="1259"/>
      <c r="KN361" s="1259"/>
      <c r="KO361" s="1259"/>
      <c r="KP361" s="1259"/>
      <c r="KQ361" s="1259"/>
      <c r="KR361" s="1259"/>
      <c r="KS361" s="1259"/>
      <c r="KT361" s="1259"/>
      <c r="KU361" s="1259"/>
      <c r="KV361" s="1259"/>
      <c r="KW361" s="1259"/>
      <c r="KX361" s="1259"/>
      <c r="KY361" s="1259"/>
      <c r="KZ361" s="1259"/>
      <c r="LA361" s="1259"/>
      <c r="LB361" s="1259"/>
      <c r="LC361" s="1259"/>
      <c r="LD361" s="1259"/>
      <c r="LE361" s="1259"/>
      <c r="LF361" s="1259"/>
      <c r="LG361" s="1259"/>
      <c r="LH361" s="1259"/>
      <c r="LI361" s="1259"/>
      <c r="LJ361" s="1259"/>
      <c r="LK361" s="1259"/>
      <c r="LL361" s="1259"/>
      <c r="LM361" s="1259"/>
      <c r="LN361" s="1259"/>
      <c r="LO361" s="1259"/>
      <c r="LP361" s="1259"/>
      <c r="LQ361" s="1259"/>
      <c r="LR361" s="1259"/>
      <c r="LS361" s="1259"/>
      <c r="LT361" s="1259"/>
      <c r="LU361" s="1259"/>
      <c r="LV361" s="1259"/>
      <c r="LW361" s="1259"/>
      <c r="LX361" s="1259"/>
      <c r="LY361" s="1259"/>
      <c r="LZ361" s="1259"/>
      <c r="MA361" s="1259"/>
      <c r="MB361" s="1259"/>
      <c r="MC361" s="1259"/>
      <c r="MD361" s="1259"/>
      <c r="ME361" s="1259"/>
      <c r="MF361" s="1259"/>
      <c r="MG361" s="1259"/>
      <c r="MH361" s="1259"/>
      <c r="MI361" s="1259"/>
      <c r="MJ361" s="1259"/>
      <c r="MK361" s="1259"/>
      <c r="ML361" s="1259"/>
      <c r="MM361" s="1259"/>
      <c r="MN361" s="1259"/>
      <c r="MO361" s="1259"/>
      <c r="MP361" s="1259"/>
      <c r="MQ361" s="1259"/>
      <c r="MR361" s="1259"/>
      <c r="MS361" s="1259"/>
      <c r="MT361" s="1259"/>
      <c r="MU361" s="1259"/>
      <c r="MV361" s="1259"/>
      <c r="MW361" s="1259"/>
      <c r="MX361" s="1259"/>
      <c r="MY361" s="1259"/>
      <c r="MZ361" s="1259"/>
      <c r="NA361" s="1259"/>
      <c r="NB361" s="1259"/>
      <c r="NC361" s="1259"/>
      <c r="ND361" s="1259"/>
      <c r="NE361" s="1259"/>
      <c r="NF361" s="1259"/>
      <c r="NG361" s="1259"/>
      <c r="NH361" s="1259"/>
      <c r="NI361" s="1259"/>
      <c r="NJ361" s="1259"/>
      <c r="NK361" s="1259"/>
      <c r="NL361" s="1259"/>
      <c r="NM361" s="1259"/>
      <c r="NN361" s="1259"/>
      <c r="NO361" s="1259"/>
      <c r="NP361" s="1259"/>
      <c r="NQ361" s="1259"/>
      <c r="NR361" s="1259"/>
      <c r="NS361" s="1259"/>
      <c r="NT361" s="1259"/>
      <c r="NU361" s="1259"/>
      <c r="NV361" s="1259"/>
      <c r="NW361" s="1259"/>
      <c r="NX361" s="1259"/>
      <c r="NY361" s="1259"/>
      <c r="NZ361" s="1259"/>
      <c r="OA361" s="1259"/>
      <c r="OB361" s="1259"/>
      <c r="OC361" s="1259"/>
      <c r="OD361" s="1259"/>
      <c r="OE361" s="1259"/>
      <c r="OF361" s="1259"/>
      <c r="OG361" s="1259"/>
      <c r="OH361" s="1259"/>
      <c r="OI361" s="1259"/>
      <c r="OJ361" s="1259"/>
      <c r="OK361" s="1259"/>
      <c r="OL361" s="1259"/>
      <c r="OM361" s="1259"/>
      <c r="ON361" s="1259"/>
      <c r="OO361" s="1259"/>
      <c r="OP361" s="1259"/>
      <c r="OQ361" s="1259"/>
      <c r="OR361" s="1259"/>
      <c r="OS361" s="1259"/>
      <c r="OT361" s="1259"/>
      <c r="OU361" s="1259"/>
      <c r="OV361" s="1259"/>
      <c r="OW361" s="1259"/>
      <c r="OX361" s="1259"/>
      <c r="OY361" s="1259"/>
      <c r="OZ361" s="1259"/>
      <c r="PA361" s="1259"/>
      <c r="PB361" s="1259"/>
      <c r="PC361" s="1259"/>
      <c r="PD361" s="1259"/>
      <c r="PE361" s="1259"/>
      <c r="PF361" s="1259"/>
      <c r="PG361" s="1259"/>
      <c r="PH361" s="1259"/>
      <c r="PI361" s="1259"/>
      <c r="PJ361" s="1259"/>
      <c r="PK361" s="1259"/>
      <c r="PL361" s="1259"/>
      <c r="PM361" s="1259"/>
      <c r="PN361" s="1259"/>
      <c r="PO361" s="1259"/>
      <c r="PP361" s="1259"/>
      <c r="PQ361" s="1259"/>
      <c r="PR361" s="1259"/>
      <c r="PS361" s="1259"/>
      <c r="PT361" s="1259"/>
      <c r="PU361" s="1259"/>
      <c r="PV361" s="1259"/>
      <c r="PW361" s="1259"/>
      <c r="PX361" s="1259"/>
      <c r="PY361" s="1259"/>
      <c r="PZ361" s="1259"/>
      <c r="QA361" s="1259"/>
      <c r="QB361" s="1259"/>
      <c r="QC361" s="1259"/>
      <c r="QD361" s="1259"/>
      <c r="QE361" s="1259"/>
      <c r="QF361" s="1259"/>
      <c r="QG361" s="1259"/>
      <c r="QH361" s="1259"/>
      <c r="QI361" s="1259"/>
      <c r="QJ361" s="1259"/>
      <c r="QK361" s="1259"/>
      <c r="QL361" s="1259"/>
      <c r="QM361" s="1259"/>
      <c r="QN361" s="1259"/>
      <c r="QO361" s="1259"/>
      <c r="QP361" s="1259"/>
      <c r="QQ361" s="1259"/>
      <c r="QR361" s="1259"/>
      <c r="QS361" s="1259"/>
      <c r="QT361" s="1259"/>
      <c r="QU361" s="1259"/>
      <c r="QV361" s="1259"/>
      <c r="QW361" s="1259"/>
      <c r="QX361" s="1259"/>
      <c r="QY361" s="1259"/>
      <c r="QZ361" s="1259"/>
      <c r="RA361" s="1259"/>
      <c r="RB361" s="1259"/>
      <c r="RC361" s="1259"/>
      <c r="RD361" s="1259"/>
      <c r="RE361" s="1259"/>
      <c r="RF361" s="1259"/>
      <c r="RG361" s="1259"/>
      <c r="RH361" s="1259"/>
      <c r="RI361" s="1259"/>
      <c r="RJ361" s="1259"/>
      <c r="RK361" s="1259"/>
      <c r="RL361" s="1259"/>
      <c r="RM361" s="1259"/>
      <c r="RN361" s="1259"/>
      <c r="RO361" s="1259"/>
      <c r="RP361" s="1259"/>
      <c r="RQ361" s="1259"/>
      <c r="RR361" s="1259"/>
      <c r="RS361" s="1259"/>
      <c r="RT361" s="1259"/>
      <c r="RU361" s="1259"/>
      <c r="RV361" s="1259"/>
      <c r="RW361" s="1259"/>
      <c r="RX361" s="1259"/>
      <c r="RY361" s="1259"/>
      <c r="RZ361" s="1259"/>
      <c r="SA361" s="1259"/>
      <c r="SB361" s="1259"/>
      <c r="SC361" s="1259"/>
      <c r="SD361" s="1259"/>
      <c r="SE361" s="1259"/>
      <c r="SF361" s="1259"/>
      <c r="SG361" s="1259"/>
      <c r="SH361" s="1259"/>
      <c r="SI361" s="1259"/>
      <c r="SJ361" s="1259"/>
      <c r="SK361" s="1259"/>
      <c r="SL361" s="1259"/>
      <c r="SM361" s="1259"/>
      <c r="SN361" s="1259"/>
      <c r="SO361" s="1259"/>
      <c r="SP361" s="1259"/>
      <c r="SQ361" s="1259"/>
      <c r="SR361" s="1259"/>
      <c r="SS361" s="1259"/>
      <c r="ST361" s="1259"/>
      <c r="SU361" s="1259"/>
      <c r="SV361" s="1259"/>
      <c r="SW361" s="1259"/>
      <c r="SX361" s="1259"/>
      <c r="SY361" s="1259"/>
      <c r="SZ361" s="1259"/>
      <c r="TA361" s="1259"/>
      <c r="TB361" s="1259"/>
      <c r="TC361" s="1259"/>
      <c r="TD361" s="1259"/>
      <c r="TE361" s="1259"/>
      <c r="TF361" s="1259"/>
      <c r="TG361" s="1259"/>
      <c r="TH361" s="1259"/>
      <c r="TI361" s="1259"/>
      <c r="TJ361" s="1259"/>
      <c r="TK361" s="1259"/>
      <c r="TL361" s="1259"/>
      <c r="TM361" s="1259"/>
      <c r="TN361" s="1259"/>
      <c r="TO361" s="1259"/>
      <c r="TP361" s="1259"/>
      <c r="TQ361" s="1259"/>
      <c r="TR361" s="1259"/>
      <c r="TS361" s="1259"/>
      <c r="TT361" s="1259"/>
      <c r="TU361" s="1259"/>
      <c r="TV361" s="1259"/>
      <c r="TW361" s="1259"/>
      <c r="TX361" s="1259"/>
      <c r="TY361" s="1259"/>
      <c r="TZ361" s="1259"/>
      <c r="UA361" s="1259"/>
      <c r="UB361" s="1259"/>
      <c r="UC361" s="1259"/>
      <c r="UD361" s="1259"/>
      <c r="UE361" s="1259"/>
      <c r="UF361" s="1259"/>
      <c r="UG361" s="1261"/>
    </row>
    <row r="362" spans="1:553" s="1262" customFormat="1" ht="29.25" customHeight="1">
      <c r="A362" s="366"/>
      <c r="B362" s="356"/>
      <c r="C362" s="1379" t="s">
        <v>1086</v>
      </c>
      <c r="D362" s="1380" t="s">
        <v>830</v>
      </c>
      <c r="E362" s="1380" t="s">
        <v>830</v>
      </c>
      <c r="F362" s="1381" t="s">
        <v>830</v>
      </c>
      <c r="G362" s="386" t="s">
        <v>196</v>
      </c>
      <c r="H362" s="417"/>
      <c r="I362" s="422">
        <f>(55.03*100/400)*(32-(7-3))*1</f>
        <v>385.21000000000004</v>
      </c>
      <c r="J362" s="368">
        <v>7300</v>
      </c>
      <c r="K362" s="495">
        <v>0.7</v>
      </c>
      <c r="L362" s="480">
        <f>ROUND(PRODUCT(I362:K362),0)</f>
        <v>1968423</v>
      </c>
      <c r="M362" s="366"/>
      <c r="N362" s="366"/>
      <c r="O362" s="366"/>
      <c r="P362" s="366"/>
      <c r="Q362" s="1135"/>
      <c r="R362" s="1228"/>
      <c r="S362" s="308"/>
      <c r="T362" s="303"/>
      <c r="U362" s="306"/>
      <c r="V362" s="307"/>
      <c r="W362" s="307"/>
      <c r="X362" s="307"/>
      <c r="Y362" s="307"/>
      <c r="Z362" s="307"/>
      <c r="AA362" s="307"/>
      <c r="AB362" s="307"/>
      <c r="AC362" s="456"/>
      <c r="AD362" s="452"/>
      <c r="AE362" s="452"/>
      <c r="AF362" s="452"/>
      <c r="AG362" s="452"/>
      <c r="AH362" s="452"/>
      <c r="AI362" s="452"/>
      <c r="AJ362" s="452"/>
      <c r="AK362" s="452"/>
      <c r="AL362" s="1259"/>
      <c r="AM362" s="1259"/>
      <c r="AN362" s="1259"/>
      <c r="AO362" s="1259"/>
      <c r="AP362" s="1259"/>
      <c r="AQ362" s="1259"/>
      <c r="AR362" s="1259"/>
      <c r="AS362" s="1259"/>
      <c r="AT362" s="1259"/>
      <c r="AU362" s="1259"/>
      <c r="AV362" s="1259"/>
      <c r="AW362" s="1259"/>
      <c r="AX362" s="1259"/>
      <c r="AY362" s="1259"/>
      <c r="AZ362" s="1259"/>
      <c r="BA362" s="1259"/>
      <c r="BB362" s="1259"/>
      <c r="BC362" s="1259"/>
      <c r="BD362" s="1259"/>
      <c r="BE362" s="1259"/>
      <c r="BF362" s="1259"/>
      <c r="BG362" s="1259"/>
      <c r="BH362" s="1259"/>
      <c r="BI362" s="1259"/>
      <c r="BJ362" s="1259"/>
      <c r="BK362" s="1259"/>
      <c r="BL362" s="1259"/>
      <c r="BM362" s="1259"/>
      <c r="BN362" s="1259"/>
      <c r="BO362" s="1259"/>
      <c r="BP362" s="1259"/>
      <c r="BQ362" s="1259"/>
      <c r="BR362" s="1259"/>
      <c r="BS362" s="1259"/>
      <c r="BT362" s="1259"/>
      <c r="BU362" s="1259"/>
      <c r="BV362" s="1259"/>
      <c r="BW362" s="1259"/>
      <c r="BX362" s="1259"/>
      <c r="BY362" s="1259"/>
      <c r="BZ362" s="1259"/>
      <c r="CA362" s="1259"/>
      <c r="CB362" s="1259"/>
      <c r="CC362" s="1259"/>
      <c r="CD362" s="1259"/>
      <c r="CE362" s="1259"/>
      <c r="CF362" s="1259"/>
      <c r="CG362" s="1259"/>
      <c r="CH362" s="1259"/>
      <c r="CI362" s="1259"/>
      <c r="CJ362" s="1259"/>
      <c r="CK362" s="1259"/>
      <c r="CL362" s="1259"/>
      <c r="CM362" s="1259"/>
      <c r="CN362" s="1259"/>
      <c r="CO362" s="1259"/>
      <c r="CP362" s="1259"/>
      <c r="CQ362" s="1259"/>
      <c r="CR362" s="1259"/>
      <c r="CS362" s="1259"/>
      <c r="CT362" s="1259"/>
      <c r="CU362" s="1259"/>
      <c r="CV362" s="1259"/>
      <c r="CW362" s="1259"/>
      <c r="CX362" s="1259"/>
      <c r="CY362" s="1259"/>
      <c r="CZ362" s="1259"/>
      <c r="DA362" s="1259"/>
      <c r="DB362" s="1259"/>
      <c r="DC362" s="1259"/>
      <c r="DD362" s="1259"/>
      <c r="DE362" s="1259"/>
      <c r="DF362" s="1259"/>
      <c r="DG362" s="1259"/>
      <c r="DH362" s="1259"/>
      <c r="DI362" s="1259"/>
      <c r="DJ362" s="1259"/>
      <c r="DK362" s="1259"/>
      <c r="DL362" s="1259"/>
      <c r="DM362" s="1259"/>
      <c r="DN362" s="1259"/>
      <c r="DO362" s="1259"/>
      <c r="DP362" s="1259"/>
      <c r="DQ362" s="1259"/>
      <c r="DR362" s="1259"/>
      <c r="DS362" s="1259"/>
      <c r="DT362" s="1259"/>
      <c r="DU362" s="1259"/>
      <c r="DV362" s="1259"/>
      <c r="DW362" s="1259"/>
      <c r="DX362" s="1259"/>
      <c r="DY362" s="1259"/>
      <c r="DZ362" s="1259"/>
      <c r="EA362" s="1259"/>
      <c r="EB362" s="1259"/>
      <c r="EC362" s="1259"/>
      <c r="ED362" s="1259"/>
      <c r="EE362" s="1259"/>
      <c r="EF362" s="1259"/>
      <c r="EG362" s="1259"/>
      <c r="EH362" s="1259"/>
      <c r="EI362" s="1259"/>
      <c r="EJ362" s="1259"/>
      <c r="EK362" s="1259"/>
      <c r="EL362" s="1259"/>
      <c r="EM362" s="1259"/>
      <c r="EN362" s="1259"/>
      <c r="EO362" s="1259"/>
      <c r="EP362" s="1259"/>
      <c r="EQ362" s="1259"/>
      <c r="ER362" s="1259"/>
      <c r="ES362" s="1259"/>
      <c r="ET362" s="1259"/>
      <c r="EU362" s="1259"/>
      <c r="EV362" s="1259"/>
      <c r="EW362" s="1259"/>
      <c r="EX362" s="1259"/>
      <c r="EY362" s="1259"/>
      <c r="EZ362" s="1259"/>
      <c r="FA362" s="1259"/>
      <c r="FB362" s="1259"/>
      <c r="FC362" s="1259"/>
      <c r="FD362" s="1259"/>
      <c r="FE362" s="1259"/>
      <c r="FF362" s="1259"/>
      <c r="FG362" s="1259"/>
      <c r="FH362" s="1259"/>
      <c r="FI362" s="1259"/>
      <c r="FJ362" s="1259"/>
      <c r="FK362" s="1259"/>
      <c r="FL362" s="1259"/>
      <c r="FM362" s="1259"/>
      <c r="FN362" s="1259"/>
      <c r="FO362" s="1259"/>
      <c r="FP362" s="1259"/>
      <c r="FQ362" s="1259"/>
      <c r="FR362" s="1259"/>
      <c r="FS362" s="1259"/>
      <c r="FT362" s="1259"/>
      <c r="FU362" s="1259"/>
      <c r="FV362" s="1259"/>
      <c r="FW362" s="1259"/>
      <c r="FX362" s="1259"/>
      <c r="FY362" s="1259"/>
      <c r="FZ362" s="1259"/>
      <c r="GA362" s="1259"/>
      <c r="GB362" s="1259"/>
      <c r="GC362" s="1259"/>
      <c r="GD362" s="1259"/>
      <c r="GE362" s="1259"/>
      <c r="GF362" s="1259"/>
      <c r="GG362" s="1259"/>
      <c r="GH362" s="1259"/>
      <c r="GI362" s="1259"/>
      <c r="GJ362" s="1259"/>
      <c r="GK362" s="1259"/>
      <c r="GL362" s="1259"/>
      <c r="GM362" s="1259"/>
      <c r="GN362" s="1259"/>
      <c r="GO362" s="1259"/>
      <c r="GP362" s="1259"/>
      <c r="GQ362" s="1259"/>
      <c r="GR362" s="1259"/>
      <c r="GS362" s="1259"/>
      <c r="GT362" s="1259"/>
      <c r="GU362" s="1259"/>
      <c r="GV362" s="1259"/>
      <c r="GW362" s="1259"/>
      <c r="GX362" s="1259"/>
      <c r="GY362" s="1259"/>
      <c r="GZ362" s="1259"/>
      <c r="HA362" s="1259"/>
      <c r="HB362" s="1259"/>
      <c r="HC362" s="1259"/>
      <c r="HD362" s="1259"/>
      <c r="HE362" s="1259"/>
      <c r="HF362" s="1259"/>
      <c r="HG362" s="1259"/>
      <c r="HH362" s="1259"/>
      <c r="HI362" s="1259"/>
      <c r="HJ362" s="1259"/>
      <c r="HK362" s="1259"/>
      <c r="HL362" s="1259"/>
      <c r="HM362" s="1259"/>
      <c r="HN362" s="1259"/>
      <c r="HO362" s="1259"/>
      <c r="HP362" s="1259"/>
      <c r="HQ362" s="1259"/>
      <c r="HR362" s="1259"/>
      <c r="HS362" s="1259"/>
      <c r="HT362" s="1259"/>
      <c r="HU362" s="1259"/>
      <c r="HV362" s="1259"/>
      <c r="HW362" s="1259"/>
      <c r="HX362" s="1259"/>
      <c r="HY362" s="1259"/>
      <c r="HZ362" s="1259"/>
      <c r="IA362" s="1259"/>
      <c r="IB362" s="1259"/>
      <c r="IC362" s="1259"/>
      <c r="ID362" s="1259"/>
      <c r="IE362" s="1259"/>
      <c r="IF362" s="1259"/>
      <c r="IG362" s="1259"/>
      <c r="IH362" s="1259"/>
      <c r="II362" s="1259"/>
      <c r="IJ362" s="1259"/>
      <c r="IK362" s="1259"/>
      <c r="IL362" s="1259"/>
      <c r="IM362" s="1259"/>
      <c r="IN362" s="1259"/>
      <c r="IO362" s="1259"/>
      <c r="IP362" s="1259"/>
      <c r="IQ362" s="1259"/>
      <c r="IR362" s="1259"/>
      <c r="IS362" s="1259"/>
      <c r="IT362" s="1259"/>
      <c r="IU362" s="1259"/>
      <c r="IV362" s="1259"/>
      <c r="IW362" s="1259"/>
      <c r="IX362" s="1259"/>
      <c r="IY362" s="1259"/>
      <c r="IZ362" s="1259"/>
      <c r="JA362" s="1259"/>
      <c r="JB362" s="1259"/>
      <c r="JC362" s="1259"/>
      <c r="JD362" s="1259"/>
      <c r="JE362" s="1259"/>
      <c r="JF362" s="1259"/>
      <c r="JG362" s="1259"/>
      <c r="JH362" s="1259"/>
      <c r="JI362" s="1259"/>
      <c r="JJ362" s="1259"/>
      <c r="JK362" s="1259"/>
      <c r="JL362" s="1259"/>
      <c r="JM362" s="1259"/>
      <c r="JN362" s="1259"/>
      <c r="JO362" s="1259"/>
      <c r="JP362" s="1259"/>
      <c r="JQ362" s="1259"/>
      <c r="JR362" s="1259"/>
      <c r="JS362" s="1259"/>
      <c r="JT362" s="1259"/>
      <c r="JU362" s="1259"/>
      <c r="JV362" s="1259"/>
      <c r="JW362" s="1259"/>
      <c r="JX362" s="1259"/>
      <c r="JY362" s="1259"/>
      <c r="JZ362" s="1259"/>
      <c r="KA362" s="1259"/>
      <c r="KB362" s="1259"/>
      <c r="KC362" s="1259"/>
      <c r="KD362" s="1259"/>
      <c r="KE362" s="1259"/>
      <c r="KF362" s="1259"/>
      <c r="KG362" s="1259"/>
      <c r="KH362" s="1259"/>
      <c r="KI362" s="1259"/>
      <c r="KJ362" s="1259"/>
      <c r="KK362" s="1259"/>
      <c r="KL362" s="1259"/>
      <c r="KM362" s="1259"/>
      <c r="KN362" s="1259"/>
      <c r="KO362" s="1259"/>
      <c r="KP362" s="1259"/>
      <c r="KQ362" s="1259"/>
      <c r="KR362" s="1259"/>
      <c r="KS362" s="1259"/>
      <c r="KT362" s="1259"/>
      <c r="KU362" s="1259"/>
      <c r="KV362" s="1259"/>
      <c r="KW362" s="1259"/>
      <c r="KX362" s="1259"/>
      <c r="KY362" s="1259"/>
      <c r="KZ362" s="1259"/>
      <c r="LA362" s="1259"/>
      <c r="LB362" s="1259"/>
      <c r="LC362" s="1259"/>
      <c r="LD362" s="1259"/>
      <c r="LE362" s="1259"/>
      <c r="LF362" s="1259"/>
      <c r="LG362" s="1259"/>
      <c r="LH362" s="1259"/>
      <c r="LI362" s="1259"/>
      <c r="LJ362" s="1259"/>
      <c r="LK362" s="1259"/>
      <c r="LL362" s="1259"/>
      <c r="LM362" s="1259"/>
      <c r="LN362" s="1259"/>
      <c r="LO362" s="1259"/>
      <c r="LP362" s="1259"/>
      <c r="LQ362" s="1259"/>
      <c r="LR362" s="1259"/>
      <c r="LS362" s="1259"/>
      <c r="LT362" s="1259"/>
      <c r="LU362" s="1259"/>
      <c r="LV362" s="1259"/>
      <c r="LW362" s="1259"/>
      <c r="LX362" s="1259"/>
      <c r="LY362" s="1259"/>
      <c r="LZ362" s="1259"/>
      <c r="MA362" s="1259"/>
      <c r="MB362" s="1259"/>
      <c r="MC362" s="1259"/>
      <c r="MD362" s="1259"/>
      <c r="ME362" s="1259"/>
      <c r="MF362" s="1259"/>
      <c r="MG362" s="1259"/>
      <c r="MH362" s="1259"/>
      <c r="MI362" s="1259"/>
      <c r="MJ362" s="1259"/>
      <c r="MK362" s="1259"/>
      <c r="ML362" s="1259"/>
      <c r="MM362" s="1259"/>
      <c r="MN362" s="1259"/>
      <c r="MO362" s="1259"/>
      <c r="MP362" s="1259"/>
      <c r="MQ362" s="1259"/>
      <c r="MR362" s="1259"/>
      <c r="MS362" s="1259"/>
      <c r="MT362" s="1259"/>
      <c r="MU362" s="1259"/>
      <c r="MV362" s="1259"/>
      <c r="MW362" s="1259"/>
      <c r="MX362" s="1259"/>
      <c r="MY362" s="1259"/>
      <c r="MZ362" s="1259"/>
      <c r="NA362" s="1259"/>
      <c r="NB362" s="1259"/>
      <c r="NC362" s="1259"/>
      <c r="ND362" s="1259"/>
      <c r="NE362" s="1259"/>
      <c r="NF362" s="1259"/>
      <c r="NG362" s="1259"/>
      <c r="NH362" s="1259"/>
      <c r="NI362" s="1259"/>
      <c r="NJ362" s="1259"/>
      <c r="NK362" s="1259"/>
      <c r="NL362" s="1259"/>
      <c r="NM362" s="1259"/>
      <c r="NN362" s="1259"/>
      <c r="NO362" s="1259"/>
      <c r="NP362" s="1259"/>
      <c r="NQ362" s="1259"/>
      <c r="NR362" s="1259"/>
      <c r="NS362" s="1259"/>
      <c r="NT362" s="1259"/>
      <c r="NU362" s="1259"/>
      <c r="NV362" s="1259"/>
      <c r="NW362" s="1259"/>
      <c r="NX362" s="1259"/>
      <c r="NY362" s="1259"/>
      <c r="NZ362" s="1259"/>
      <c r="OA362" s="1259"/>
      <c r="OB362" s="1259"/>
      <c r="OC362" s="1259"/>
      <c r="OD362" s="1259"/>
      <c r="OE362" s="1259"/>
      <c r="OF362" s="1259"/>
      <c r="OG362" s="1259"/>
      <c r="OH362" s="1259"/>
      <c r="OI362" s="1259"/>
      <c r="OJ362" s="1259"/>
      <c r="OK362" s="1259"/>
      <c r="OL362" s="1259"/>
      <c r="OM362" s="1259"/>
      <c r="ON362" s="1259"/>
      <c r="OO362" s="1259"/>
      <c r="OP362" s="1259"/>
      <c r="OQ362" s="1259"/>
      <c r="OR362" s="1259"/>
      <c r="OS362" s="1259"/>
      <c r="OT362" s="1259"/>
      <c r="OU362" s="1259"/>
      <c r="OV362" s="1259"/>
      <c r="OW362" s="1259"/>
      <c r="OX362" s="1259"/>
      <c r="OY362" s="1259"/>
      <c r="OZ362" s="1259"/>
      <c r="PA362" s="1259"/>
      <c r="PB362" s="1259"/>
      <c r="PC362" s="1259"/>
      <c r="PD362" s="1259"/>
      <c r="PE362" s="1259"/>
      <c r="PF362" s="1259"/>
      <c r="PG362" s="1259"/>
      <c r="PH362" s="1259"/>
      <c r="PI362" s="1259"/>
      <c r="PJ362" s="1259"/>
      <c r="PK362" s="1259"/>
      <c r="PL362" s="1259"/>
      <c r="PM362" s="1259"/>
      <c r="PN362" s="1259"/>
      <c r="PO362" s="1259"/>
      <c r="PP362" s="1259"/>
      <c r="PQ362" s="1259"/>
      <c r="PR362" s="1259"/>
      <c r="PS362" s="1259"/>
      <c r="PT362" s="1259"/>
      <c r="PU362" s="1259"/>
      <c r="PV362" s="1259"/>
      <c r="PW362" s="1259"/>
      <c r="PX362" s="1259"/>
      <c r="PY362" s="1259"/>
      <c r="PZ362" s="1259"/>
      <c r="QA362" s="1259"/>
      <c r="QB362" s="1259"/>
      <c r="QC362" s="1259"/>
      <c r="QD362" s="1259"/>
      <c r="QE362" s="1259"/>
      <c r="QF362" s="1259"/>
      <c r="QG362" s="1259"/>
      <c r="QH362" s="1259"/>
      <c r="QI362" s="1259"/>
      <c r="QJ362" s="1259"/>
      <c r="QK362" s="1259"/>
      <c r="QL362" s="1259"/>
      <c r="QM362" s="1259"/>
      <c r="QN362" s="1259"/>
      <c r="QO362" s="1259"/>
      <c r="QP362" s="1259"/>
      <c r="QQ362" s="1259"/>
      <c r="QR362" s="1259"/>
      <c r="QS362" s="1259"/>
      <c r="QT362" s="1259"/>
      <c r="QU362" s="1259"/>
      <c r="QV362" s="1259"/>
      <c r="QW362" s="1259"/>
      <c r="QX362" s="1259"/>
      <c r="QY362" s="1259"/>
      <c r="QZ362" s="1259"/>
      <c r="RA362" s="1259"/>
      <c r="RB362" s="1259"/>
      <c r="RC362" s="1259"/>
      <c r="RD362" s="1259"/>
      <c r="RE362" s="1259"/>
      <c r="RF362" s="1259"/>
      <c r="RG362" s="1259"/>
      <c r="RH362" s="1259"/>
      <c r="RI362" s="1259"/>
      <c r="RJ362" s="1259"/>
      <c r="RK362" s="1259"/>
      <c r="RL362" s="1259"/>
      <c r="RM362" s="1259"/>
      <c r="RN362" s="1259"/>
      <c r="RO362" s="1259"/>
      <c r="RP362" s="1259"/>
      <c r="RQ362" s="1259"/>
      <c r="RR362" s="1259"/>
      <c r="RS362" s="1259"/>
      <c r="RT362" s="1259"/>
      <c r="RU362" s="1259"/>
      <c r="RV362" s="1259"/>
      <c r="RW362" s="1259"/>
      <c r="RX362" s="1259"/>
      <c r="RY362" s="1259"/>
      <c r="RZ362" s="1259"/>
      <c r="SA362" s="1259"/>
      <c r="SB362" s="1259"/>
      <c r="SC362" s="1259"/>
      <c r="SD362" s="1259"/>
      <c r="SE362" s="1259"/>
      <c r="SF362" s="1259"/>
      <c r="SG362" s="1259"/>
      <c r="SH362" s="1259"/>
      <c r="SI362" s="1259"/>
      <c r="SJ362" s="1259"/>
      <c r="SK362" s="1259"/>
      <c r="SL362" s="1259"/>
      <c r="SM362" s="1259"/>
      <c r="SN362" s="1259"/>
      <c r="SO362" s="1259"/>
      <c r="SP362" s="1259"/>
      <c r="SQ362" s="1259"/>
      <c r="SR362" s="1259"/>
      <c r="SS362" s="1259"/>
      <c r="ST362" s="1259"/>
      <c r="SU362" s="1259"/>
      <c r="SV362" s="1259"/>
      <c r="SW362" s="1259"/>
      <c r="SX362" s="1259"/>
      <c r="SY362" s="1259"/>
      <c r="SZ362" s="1259"/>
      <c r="TA362" s="1259"/>
      <c r="TB362" s="1259"/>
      <c r="TC362" s="1259"/>
      <c r="TD362" s="1259"/>
      <c r="TE362" s="1259"/>
      <c r="TF362" s="1259"/>
      <c r="TG362" s="1259"/>
      <c r="TH362" s="1259"/>
      <c r="TI362" s="1259"/>
      <c r="TJ362" s="1259"/>
      <c r="TK362" s="1259"/>
      <c r="TL362" s="1259"/>
      <c r="TM362" s="1259"/>
      <c r="TN362" s="1259"/>
      <c r="TO362" s="1259"/>
      <c r="TP362" s="1259"/>
      <c r="TQ362" s="1259"/>
      <c r="TR362" s="1259"/>
      <c r="TS362" s="1259"/>
      <c r="TT362" s="1259"/>
      <c r="TU362" s="1259"/>
      <c r="TV362" s="1259"/>
      <c r="TW362" s="1259"/>
      <c r="TX362" s="1259"/>
      <c r="TY362" s="1259"/>
      <c r="TZ362" s="1259"/>
      <c r="UA362" s="1259"/>
      <c r="UB362" s="1259"/>
      <c r="UC362" s="1259"/>
      <c r="UD362" s="1259"/>
      <c r="UE362" s="1259"/>
      <c r="UF362" s="1259"/>
      <c r="UG362" s="1261"/>
    </row>
    <row r="363" spans="1:553" s="1262" customFormat="1" ht="29.25" customHeight="1">
      <c r="A363" s="402"/>
      <c r="B363" s="401"/>
      <c r="C363" s="1420" t="s">
        <v>1406</v>
      </c>
      <c r="D363" s="1421" t="s">
        <v>1087</v>
      </c>
      <c r="E363" s="1421" t="s">
        <v>1087</v>
      </c>
      <c r="F363" s="1422" t="s">
        <v>1087</v>
      </c>
      <c r="G363" s="566" t="s">
        <v>196</v>
      </c>
      <c r="H363" s="403"/>
      <c r="I363" s="420">
        <f>(55.03*100/400)*(32-(5-3))*3</f>
        <v>1238.1750000000002</v>
      </c>
      <c r="J363" s="985">
        <v>7300</v>
      </c>
      <c r="K363" s="1021">
        <v>0.7</v>
      </c>
      <c r="L363" s="1013">
        <f>ROUND(PRODUCT(I363:K363),0)</f>
        <v>6327074</v>
      </c>
      <c r="M363" s="366"/>
      <c r="N363" s="366"/>
      <c r="O363" s="366"/>
      <c r="P363" s="366"/>
      <c r="Q363" s="1135"/>
      <c r="R363" s="1228"/>
      <c r="S363" s="308"/>
      <c r="T363" s="303"/>
      <c r="U363" s="306"/>
      <c r="V363" s="307"/>
      <c r="W363" s="307"/>
      <c r="X363" s="307"/>
      <c r="Y363" s="307"/>
      <c r="Z363" s="307"/>
      <c r="AA363" s="307"/>
      <c r="AB363" s="307"/>
      <c r="AC363" s="456"/>
      <c r="AD363" s="452"/>
      <c r="AE363" s="452"/>
      <c r="AF363" s="452"/>
      <c r="AG363" s="452"/>
      <c r="AH363" s="452"/>
      <c r="AI363" s="452"/>
      <c r="AJ363" s="452"/>
      <c r="AK363" s="452"/>
      <c r="AL363" s="1259"/>
      <c r="AM363" s="1259"/>
      <c r="AN363" s="1259"/>
      <c r="AO363" s="1259"/>
      <c r="AP363" s="1259"/>
      <c r="AQ363" s="1259"/>
      <c r="AR363" s="1259"/>
      <c r="AS363" s="1259"/>
      <c r="AT363" s="1259"/>
      <c r="AU363" s="1259"/>
      <c r="AV363" s="1259"/>
      <c r="AW363" s="1259"/>
      <c r="AX363" s="1259"/>
      <c r="AY363" s="1259"/>
      <c r="AZ363" s="1259"/>
      <c r="BA363" s="1259"/>
      <c r="BB363" s="1259"/>
      <c r="BC363" s="1259"/>
      <c r="BD363" s="1259"/>
      <c r="BE363" s="1259"/>
      <c r="BF363" s="1259"/>
      <c r="BG363" s="1259"/>
      <c r="BH363" s="1259"/>
      <c r="BI363" s="1259"/>
      <c r="BJ363" s="1259"/>
      <c r="BK363" s="1259"/>
      <c r="BL363" s="1259"/>
      <c r="BM363" s="1259"/>
      <c r="BN363" s="1259"/>
      <c r="BO363" s="1259"/>
      <c r="BP363" s="1259"/>
      <c r="BQ363" s="1259"/>
      <c r="BR363" s="1259"/>
      <c r="BS363" s="1259"/>
      <c r="BT363" s="1259"/>
      <c r="BU363" s="1259"/>
      <c r="BV363" s="1259"/>
      <c r="BW363" s="1259"/>
      <c r="BX363" s="1259"/>
      <c r="BY363" s="1259"/>
      <c r="BZ363" s="1259"/>
      <c r="CA363" s="1259"/>
      <c r="CB363" s="1259"/>
      <c r="CC363" s="1259"/>
      <c r="CD363" s="1259"/>
      <c r="CE363" s="1259"/>
      <c r="CF363" s="1259"/>
      <c r="CG363" s="1259"/>
      <c r="CH363" s="1259"/>
      <c r="CI363" s="1259"/>
      <c r="CJ363" s="1259"/>
      <c r="CK363" s="1259"/>
      <c r="CL363" s="1259"/>
      <c r="CM363" s="1259"/>
      <c r="CN363" s="1259"/>
      <c r="CO363" s="1259"/>
      <c r="CP363" s="1259"/>
      <c r="CQ363" s="1259"/>
      <c r="CR363" s="1259"/>
      <c r="CS363" s="1259"/>
      <c r="CT363" s="1259"/>
      <c r="CU363" s="1259"/>
      <c r="CV363" s="1259"/>
      <c r="CW363" s="1259"/>
      <c r="CX363" s="1259"/>
      <c r="CY363" s="1259"/>
      <c r="CZ363" s="1259"/>
      <c r="DA363" s="1259"/>
      <c r="DB363" s="1259"/>
      <c r="DC363" s="1259"/>
      <c r="DD363" s="1259"/>
      <c r="DE363" s="1259"/>
      <c r="DF363" s="1259"/>
      <c r="DG363" s="1259"/>
      <c r="DH363" s="1259"/>
      <c r="DI363" s="1259"/>
      <c r="DJ363" s="1259"/>
      <c r="DK363" s="1259"/>
      <c r="DL363" s="1259"/>
      <c r="DM363" s="1259"/>
      <c r="DN363" s="1259"/>
      <c r="DO363" s="1259"/>
      <c r="DP363" s="1259"/>
      <c r="DQ363" s="1259"/>
      <c r="DR363" s="1259"/>
      <c r="DS363" s="1259"/>
      <c r="DT363" s="1259"/>
      <c r="DU363" s="1259"/>
      <c r="DV363" s="1259"/>
      <c r="DW363" s="1259"/>
      <c r="DX363" s="1259"/>
      <c r="DY363" s="1259"/>
      <c r="DZ363" s="1259"/>
      <c r="EA363" s="1259"/>
      <c r="EB363" s="1259"/>
      <c r="EC363" s="1259"/>
      <c r="ED363" s="1259"/>
      <c r="EE363" s="1259"/>
      <c r="EF363" s="1259"/>
      <c r="EG363" s="1259"/>
      <c r="EH363" s="1259"/>
      <c r="EI363" s="1259"/>
      <c r="EJ363" s="1259"/>
      <c r="EK363" s="1259"/>
      <c r="EL363" s="1259"/>
      <c r="EM363" s="1259"/>
      <c r="EN363" s="1259"/>
      <c r="EO363" s="1259"/>
      <c r="EP363" s="1259"/>
      <c r="EQ363" s="1259"/>
      <c r="ER363" s="1259"/>
      <c r="ES363" s="1259"/>
      <c r="ET363" s="1259"/>
      <c r="EU363" s="1259"/>
      <c r="EV363" s="1259"/>
      <c r="EW363" s="1259"/>
      <c r="EX363" s="1259"/>
      <c r="EY363" s="1259"/>
      <c r="EZ363" s="1259"/>
      <c r="FA363" s="1259"/>
      <c r="FB363" s="1259"/>
      <c r="FC363" s="1259"/>
      <c r="FD363" s="1259"/>
      <c r="FE363" s="1259"/>
      <c r="FF363" s="1259"/>
      <c r="FG363" s="1259"/>
      <c r="FH363" s="1259"/>
      <c r="FI363" s="1259"/>
      <c r="FJ363" s="1259"/>
      <c r="FK363" s="1259"/>
      <c r="FL363" s="1259"/>
      <c r="FM363" s="1259"/>
      <c r="FN363" s="1259"/>
      <c r="FO363" s="1259"/>
      <c r="FP363" s="1259"/>
      <c r="FQ363" s="1259"/>
      <c r="FR363" s="1259"/>
      <c r="FS363" s="1259"/>
      <c r="FT363" s="1259"/>
      <c r="FU363" s="1259"/>
      <c r="FV363" s="1259"/>
      <c r="FW363" s="1259"/>
      <c r="FX363" s="1259"/>
      <c r="FY363" s="1259"/>
      <c r="FZ363" s="1259"/>
      <c r="GA363" s="1259"/>
      <c r="GB363" s="1259"/>
      <c r="GC363" s="1259"/>
      <c r="GD363" s="1259"/>
      <c r="GE363" s="1259"/>
      <c r="GF363" s="1259"/>
      <c r="GG363" s="1259"/>
      <c r="GH363" s="1259"/>
      <c r="GI363" s="1259"/>
      <c r="GJ363" s="1259"/>
      <c r="GK363" s="1259"/>
      <c r="GL363" s="1259"/>
      <c r="GM363" s="1259"/>
      <c r="GN363" s="1259"/>
      <c r="GO363" s="1259"/>
      <c r="GP363" s="1259"/>
      <c r="GQ363" s="1259"/>
      <c r="GR363" s="1259"/>
      <c r="GS363" s="1259"/>
      <c r="GT363" s="1259"/>
      <c r="GU363" s="1259"/>
      <c r="GV363" s="1259"/>
      <c r="GW363" s="1259"/>
      <c r="GX363" s="1259"/>
      <c r="GY363" s="1259"/>
      <c r="GZ363" s="1259"/>
      <c r="HA363" s="1259"/>
      <c r="HB363" s="1259"/>
      <c r="HC363" s="1259"/>
      <c r="HD363" s="1259"/>
      <c r="HE363" s="1259"/>
      <c r="HF363" s="1259"/>
      <c r="HG363" s="1259"/>
      <c r="HH363" s="1259"/>
      <c r="HI363" s="1259"/>
      <c r="HJ363" s="1259"/>
      <c r="HK363" s="1259"/>
      <c r="HL363" s="1259"/>
      <c r="HM363" s="1259"/>
      <c r="HN363" s="1259"/>
      <c r="HO363" s="1259"/>
      <c r="HP363" s="1259"/>
      <c r="HQ363" s="1259"/>
      <c r="HR363" s="1259"/>
      <c r="HS363" s="1259"/>
      <c r="HT363" s="1259"/>
      <c r="HU363" s="1259"/>
      <c r="HV363" s="1259"/>
      <c r="HW363" s="1259"/>
      <c r="HX363" s="1259"/>
      <c r="HY363" s="1259"/>
      <c r="HZ363" s="1259"/>
      <c r="IA363" s="1259"/>
      <c r="IB363" s="1259"/>
      <c r="IC363" s="1259"/>
      <c r="ID363" s="1259"/>
      <c r="IE363" s="1259"/>
      <c r="IF363" s="1259"/>
      <c r="IG363" s="1259"/>
      <c r="IH363" s="1259"/>
      <c r="II363" s="1259"/>
      <c r="IJ363" s="1259"/>
      <c r="IK363" s="1259"/>
      <c r="IL363" s="1259"/>
      <c r="IM363" s="1259"/>
      <c r="IN363" s="1259"/>
      <c r="IO363" s="1259"/>
      <c r="IP363" s="1259"/>
      <c r="IQ363" s="1259"/>
      <c r="IR363" s="1259"/>
      <c r="IS363" s="1259"/>
      <c r="IT363" s="1259"/>
      <c r="IU363" s="1259"/>
      <c r="IV363" s="1259"/>
      <c r="IW363" s="1259"/>
      <c r="IX363" s="1259"/>
      <c r="IY363" s="1259"/>
      <c r="IZ363" s="1259"/>
      <c r="JA363" s="1259"/>
      <c r="JB363" s="1259"/>
      <c r="JC363" s="1259"/>
      <c r="JD363" s="1259"/>
      <c r="JE363" s="1259"/>
      <c r="JF363" s="1259"/>
      <c r="JG363" s="1259"/>
      <c r="JH363" s="1259"/>
      <c r="JI363" s="1259"/>
      <c r="JJ363" s="1259"/>
      <c r="JK363" s="1259"/>
      <c r="JL363" s="1259"/>
      <c r="JM363" s="1259"/>
      <c r="JN363" s="1259"/>
      <c r="JO363" s="1259"/>
      <c r="JP363" s="1259"/>
      <c r="JQ363" s="1259"/>
      <c r="JR363" s="1259"/>
      <c r="JS363" s="1259"/>
      <c r="JT363" s="1259"/>
      <c r="JU363" s="1259"/>
      <c r="JV363" s="1259"/>
      <c r="JW363" s="1259"/>
      <c r="JX363" s="1259"/>
      <c r="JY363" s="1259"/>
      <c r="JZ363" s="1259"/>
      <c r="KA363" s="1259"/>
      <c r="KB363" s="1259"/>
      <c r="KC363" s="1259"/>
      <c r="KD363" s="1259"/>
      <c r="KE363" s="1259"/>
      <c r="KF363" s="1259"/>
      <c r="KG363" s="1259"/>
      <c r="KH363" s="1259"/>
      <c r="KI363" s="1259"/>
      <c r="KJ363" s="1259"/>
      <c r="KK363" s="1259"/>
      <c r="KL363" s="1259"/>
      <c r="KM363" s="1259"/>
      <c r="KN363" s="1259"/>
      <c r="KO363" s="1259"/>
      <c r="KP363" s="1259"/>
      <c r="KQ363" s="1259"/>
      <c r="KR363" s="1259"/>
      <c r="KS363" s="1259"/>
      <c r="KT363" s="1259"/>
      <c r="KU363" s="1259"/>
      <c r="KV363" s="1259"/>
      <c r="KW363" s="1259"/>
      <c r="KX363" s="1259"/>
      <c r="KY363" s="1259"/>
      <c r="KZ363" s="1259"/>
      <c r="LA363" s="1259"/>
      <c r="LB363" s="1259"/>
      <c r="LC363" s="1259"/>
      <c r="LD363" s="1259"/>
      <c r="LE363" s="1259"/>
      <c r="LF363" s="1259"/>
      <c r="LG363" s="1259"/>
      <c r="LH363" s="1259"/>
      <c r="LI363" s="1259"/>
      <c r="LJ363" s="1259"/>
      <c r="LK363" s="1259"/>
      <c r="LL363" s="1259"/>
      <c r="LM363" s="1259"/>
      <c r="LN363" s="1259"/>
      <c r="LO363" s="1259"/>
      <c r="LP363" s="1259"/>
      <c r="LQ363" s="1259"/>
      <c r="LR363" s="1259"/>
      <c r="LS363" s="1259"/>
      <c r="LT363" s="1259"/>
      <c r="LU363" s="1259"/>
      <c r="LV363" s="1259"/>
      <c r="LW363" s="1259"/>
      <c r="LX363" s="1259"/>
      <c r="LY363" s="1259"/>
      <c r="LZ363" s="1259"/>
      <c r="MA363" s="1259"/>
      <c r="MB363" s="1259"/>
      <c r="MC363" s="1259"/>
      <c r="MD363" s="1259"/>
      <c r="ME363" s="1259"/>
      <c r="MF363" s="1259"/>
      <c r="MG363" s="1259"/>
      <c r="MH363" s="1259"/>
      <c r="MI363" s="1259"/>
      <c r="MJ363" s="1259"/>
      <c r="MK363" s="1259"/>
      <c r="ML363" s="1259"/>
      <c r="MM363" s="1259"/>
      <c r="MN363" s="1259"/>
      <c r="MO363" s="1259"/>
      <c r="MP363" s="1259"/>
      <c r="MQ363" s="1259"/>
      <c r="MR363" s="1259"/>
      <c r="MS363" s="1259"/>
      <c r="MT363" s="1259"/>
      <c r="MU363" s="1259"/>
      <c r="MV363" s="1259"/>
      <c r="MW363" s="1259"/>
      <c r="MX363" s="1259"/>
      <c r="MY363" s="1259"/>
      <c r="MZ363" s="1259"/>
      <c r="NA363" s="1259"/>
      <c r="NB363" s="1259"/>
      <c r="NC363" s="1259"/>
      <c r="ND363" s="1259"/>
      <c r="NE363" s="1259"/>
      <c r="NF363" s="1259"/>
      <c r="NG363" s="1259"/>
      <c r="NH363" s="1259"/>
      <c r="NI363" s="1259"/>
      <c r="NJ363" s="1259"/>
      <c r="NK363" s="1259"/>
      <c r="NL363" s="1259"/>
      <c r="NM363" s="1259"/>
      <c r="NN363" s="1259"/>
      <c r="NO363" s="1259"/>
      <c r="NP363" s="1259"/>
      <c r="NQ363" s="1259"/>
      <c r="NR363" s="1259"/>
      <c r="NS363" s="1259"/>
      <c r="NT363" s="1259"/>
      <c r="NU363" s="1259"/>
      <c r="NV363" s="1259"/>
      <c r="NW363" s="1259"/>
      <c r="NX363" s="1259"/>
      <c r="NY363" s="1259"/>
      <c r="NZ363" s="1259"/>
      <c r="OA363" s="1259"/>
      <c r="OB363" s="1259"/>
      <c r="OC363" s="1259"/>
      <c r="OD363" s="1259"/>
      <c r="OE363" s="1259"/>
      <c r="OF363" s="1259"/>
      <c r="OG363" s="1259"/>
      <c r="OH363" s="1259"/>
      <c r="OI363" s="1259"/>
      <c r="OJ363" s="1259"/>
      <c r="OK363" s="1259"/>
      <c r="OL363" s="1259"/>
      <c r="OM363" s="1259"/>
      <c r="ON363" s="1259"/>
      <c r="OO363" s="1259"/>
      <c r="OP363" s="1259"/>
      <c r="OQ363" s="1259"/>
      <c r="OR363" s="1259"/>
      <c r="OS363" s="1259"/>
      <c r="OT363" s="1259"/>
      <c r="OU363" s="1259"/>
      <c r="OV363" s="1259"/>
      <c r="OW363" s="1259"/>
      <c r="OX363" s="1259"/>
      <c r="OY363" s="1259"/>
      <c r="OZ363" s="1259"/>
      <c r="PA363" s="1259"/>
      <c r="PB363" s="1259"/>
      <c r="PC363" s="1259"/>
      <c r="PD363" s="1259"/>
      <c r="PE363" s="1259"/>
      <c r="PF363" s="1259"/>
      <c r="PG363" s="1259"/>
      <c r="PH363" s="1259"/>
      <c r="PI363" s="1259"/>
      <c r="PJ363" s="1259"/>
      <c r="PK363" s="1259"/>
      <c r="PL363" s="1259"/>
      <c r="PM363" s="1259"/>
      <c r="PN363" s="1259"/>
      <c r="PO363" s="1259"/>
      <c r="PP363" s="1259"/>
      <c r="PQ363" s="1259"/>
      <c r="PR363" s="1259"/>
      <c r="PS363" s="1259"/>
      <c r="PT363" s="1259"/>
      <c r="PU363" s="1259"/>
      <c r="PV363" s="1259"/>
      <c r="PW363" s="1259"/>
      <c r="PX363" s="1259"/>
      <c r="PY363" s="1259"/>
      <c r="PZ363" s="1259"/>
      <c r="QA363" s="1259"/>
      <c r="QB363" s="1259"/>
      <c r="QC363" s="1259"/>
      <c r="QD363" s="1259"/>
      <c r="QE363" s="1259"/>
      <c r="QF363" s="1259"/>
      <c r="QG363" s="1259"/>
      <c r="QH363" s="1259"/>
      <c r="QI363" s="1259"/>
      <c r="QJ363" s="1259"/>
      <c r="QK363" s="1259"/>
      <c r="QL363" s="1259"/>
      <c r="QM363" s="1259"/>
      <c r="QN363" s="1259"/>
      <c r="QO363" s="1259"/>
      <c r="QP363" s="1259"/>
      <c r="QQ363" s="1259"/>
      <c r="QR363" s="1259"/>
      <c r="QS363" s="1259"/>
      <c r="QT363" s="1259"/>
      <c r="QU363" s="1259"/>
      <c r="QV363" s="1259"/>
      <c r="QW363" s="1259"/>
      <c r="QX363" s="1259"/>
      <c r="QY363" s="1259"/>
      <c r="QZ363" s="1259"/>
      <c r="RA363" s="1259"/>
      <c r="RB363" s="1259"/>
      <c r="RC363" s="1259"/>
      <c r="RD363" s="1259"/>
      <c r="RE363" s="1259"/>
      <c r="RF363" s="1259"/>
      <c r="RG363" s="1259"/>
      <c r="RH363" s="1259"/>
      <c r="RI363" s="1259"/>
      <c r="RJ363" s="1259"/>
      <c r="RK363" s="1259"/>
      <c r="RL363" s="1259"/>
      <c r="RM363" s="1259"/>
      <c r="RN363" s="1259"/>
      <c r="RO363" s="1259"/>
      <c r="RP363" s="1259"/>
      <c r="RQ363" s="1259"/>
      <c r="RR363" s="1259"/>
      <c r="RS363" s="1259"/>
      <c r="RT363" s="1259"/>
      <c r="RU363" s="1259"/>
      <c r="RV363" s="1259"/>
      <c r="RW363" s="1259"/>
      <c r="RX363" s="1259"/>
      <c r="RY363" s="1259"/>
      <c r="RZ363" s="1259"/>
      <c r="SA363" s="1259"/>
      <c r="SB363" s="1259"/>
      <c r="SC363" s="1259"/>
      <c r="SD363" s="1259"/>
      <c r="SE363" s="1259"/>
      <c r="SF363" s="1259"/>
      <c r="SG363" s="1259"/>
      <c r="SH363" s="1259"/>
      <c r="SI363" s="1259"/>
      <c r="SJ363" s="1259"/>
      <c r="SK363" s="1259"/>
      <c r="SL363" s="1259"/>
      <c r="SM363" s="1259"/>
      <c r="SN363" s="1259"/>
      <c r="SO363" s="1259"/>
      <c r="SP363" s="1259"/>
      <c r="SQ363" s="1259"/>
      <c r="SR363" s="1259"/>
      <c r="SS363" s="1259"/>
      <c r="ST363" s="1259"/>
      <c r="SU363" s="1259"/>
      <c r="SV363" s="1259"/>
      <c r="SW363" s="1259"/>
      <c r="SX363" s="1259"/>
      <c r="SY363" s="1259"/>
      <c r="SZ363" s="1259"/>
      <c r="TA363" s="1259"/>
      <c r="TB363" s="1259"/>
      <c r="TC363" s="1259"/>
      <c r="TD363" s="1259"/>
      <c r="TE363" s="1259"/>
      <c r="TF363" s="1259"/>
      <c r="TG363" s="1259"/>
      <c r="TH363" s="1259"/>
      <c r="TI363" s="1259"/>
      <c r="TJ363" s="1259"/>
      <c r="TK363" s="1259"/>
      <c r="TL363" s="1259"/>
      <c r="TM363" s="1259"/>
      <c r="TN363" s="1259"/>
      <c r="TO363" s="1259"/>
      <c r="TP363" s="1259"/>
      <c r="TQ363" s="1259"/>
      <c r="TR363" s="1259"/>
      <c r="TS363" s="1259"/>
      <c r="TT363" s="1259"/>
      <c r="TU363" s="1259"/>
      <c r="TV363" s="1259"/>
      <c r="TW363" s="1259"/>
      <c r="TX363" s="1259"/>
      <c r="TY363" s="1259"/>
      <c r="TZ363" s="1259"/>
      <c r="UA363" s="1259"/>
      <c r="UB363" s="1259"/>
      <c r="UC363" s="1259"/>
      <c r="UD363" s="1259"/>
      <c r="UE363" s="1259"/>
      <c r="UF363" s="1259"/>
      <c r="UG363" s="1261"/>
    </row>
    <row r="364" spans="1:553" s="1262" customFormat="1" ht="29.25" customHeight="1">
      <c r="A364" s="406"/>
      <c r="B364" s="405"/>
      <c r="C364" s="1427" t="s">
        <v>589</v>
      </c>
      <c r="D364" s="1427" t="s">
        <v>835</v>
      </c>
      <c r="E364" s="1427" t="s">
        <v>835</v>
      </c>
      <c r="F364" s="1427" t="s">
        <v>835</v>
      </c>
      <c r="G364" s="406" t="s">
        <v>46</v>
      </c>
      <c r="H364" s="409"/>
      <c r="I364" s="567">
        <f>(55.03*100/400)*(32-(4-3))*2</f>
        <v>852.96500000000003</v>
      </c>
      <c r="J364" s="521">
        <v>7300</v>
      </c>
      <c r="K364" s="719">
        <v>0.7</v>
      </c>
      <c r="L364" s="523">
        <f>ROUND(PRODUCT(I364:K364),0)</f>
        <v>4358651</v>
      </c>
      <c r="M364" s="366"/>
      <c r="N364" s="366"/>
      <c r="O364" s="366"/>
      <c r="P364" s="366"/>
      <c r="Q364" s="1135"/>
      <c r="R364" s="1228"/>
      <c r="S364" s="308"/>
      <c r="T364" s="303"/>
      <c r="U364" s="306"/>
      <c r="V364" s="307"/>
      <c r="W364" s="307"/>
      <c r="X364" s="307"/>
      <c r="Y364" s="307"/>
      <c r="Z364" s="307"/>
      <c r="AA364" s="307"/>
      <c r="AB364" s="307"/>
      <c r="AC364" s="456"/>
      <c r="AD364" s="452"/>
      <c r="AE364" s="452"/>
      <c r="AF364" s="452"/>
      <c r="AG364" s="452"/>
      <c r="AH364" s="452"/>
      <c r="AI364" s="452"/>
      <c r="AJ364" s="452"/>
      <c r="AK364" s="452"/>
      <c r="AL364" s="1259"/>
      <c r="AM364" s="1259"/>
      <c r="AN364" s="1259"/>
      <c r="AO364" s="1259"/>
      <c r="AP364" s="1259"/>
      <c r="AQ364" s="1259"/>
      <c r="AR364" s="1259"/>
      <c r="AS364" s="1259"/>
      <c r="AT364" s="1259"/>
      <c r="AU364" s="1259"/>
      <c r="AV364" s="1259"/>
      <c r="AW364" s="1259"/>
      <c r="AX364" s="1259"/>
      <c r="AY364" s="1259"/>
      <c r="AZ364" s="1259"/>
      <c r="BA364" s="1259"/>
      <c r="BB364" s="1259"/>
      <c r="BC364" s="1259"/>
      <c r="BD364" s="1259"/>
      <c r="BE364" s="1259"/>
      <c r="BF364" s="1259"/>
      <c r="BG364" s="1259"/>
      <c r="BH364" s="1259"/>
      <c r="BI364" s="1259"/>
      <c r="BJ364" s="1259"/>
      <c r="BK364" s="1259"/>
      <c r="BL364" s="1259"/>
      <c r="BM364" s="1259"/>
      <c r="BN364" s="1259"/>
      <c r="BO364" s="1259"/>
      <c r="BP364" s="1259"/>
      <c r="BQ364" s="1259"/>
      <c r="BR364" s="1259"/>
      <c r="BS364" s="1259"/>
      <c r="BT364" s="1259"/>
      <c r="BU364" s="1259"/>
      <c r="BV364" s="1259"/>
      <c r="BW364" s="1259"/>
      <c r="BX364" s="1259"/>
      <c r="BY364" s="1259"/>
      <c r="BZ364" s="1259"/>
      <c r="CA364" s="1259"/>
      <c r="CB364" s="1259"/>
      <c r="CC364" s="1259"/>
      <c r="CD364" s="1259"/>
      <c r="CE364" s="1259"/>
      <c r="CF364" s="1259"/>
      <c r="CG364" s="1259"/>
      <c r="CH364" s="1259"/>
      <c r="CI364" s="1259"/>
      <c r="CJ364" s="1259"/>
      <c r="CK364" s="1259"/>
      <c r="CL364" s="1259"/>
      <c r="CM364" s="1259"/>
      <c r="CN364" s="1259"/>
      <c r="CO364" s="1259"/>
      <c r="CP364" s="1259"/>
      <c r="CQ364" s="1259"/>
      <c r="CR364" s="1259"/>
      <c r="CS364" s="1259"/>
      <c r="CT364" s="1259"/>
      <c r="CU364" s="1259"/>
      <c r="CV364" s="1259"/>
      <c r="CW364" s="1259"/>
      <c r="CX364" s="1259"/>
      <c r="CY364" s="1259"/>
      <c r="CZ364" s="1259"/>
      <c r="DA364" s="1259"/>
      <c r="DB364" s="1259"/>
      <c r="DC364" s="1259"/>
      <c r="DD364" s="1259"/>
      <c r="DE364" s="1259"/>
      <c r="DF364" s="1259"/>
      <c r="DG364" s="1259"/>
      <c r="DH364" s="1259"/>
      <c r="DI364" s="1259"/>
      <c r="DJ364" s="1259"/>
      <c r="DK364" s="1259"/>
      <c r="DL364" s="1259"/>
      <c r="DM364" s="1259"/>
      <c r="DN364" s="1259"/>
      <c r="DO364" s="1259"/>
      <c r="DP364" s="1259"/>
      <c r="DQ364" s="1259"/>
      <c r="DR364" s="1259"/>
      <c r="DS364" s="1259"/>
      <c r="DT364" s="1259"/>
      <c r="DU364" s="1259"/>
      <c r="DV364" s="1259"/>
      <c r="DW364" s="1259"/>
      <c r="DX364" s="1259"/>
      <c r="DY364" s="1259"/>
      <c r="DZ364" s="1259"/>
      <c r="EA364" s="1259"/>
      <c r="EB364" s="1259"/>
      <c r="EC364" s="1259"/>
      <c r="ED364" s="1259"/>
      <c r="EE364" s="1259"/>
      <c r="EF364" s="1259"/>
      <c r="EG364" s="1259"/>
      <c r="EH364" s="1259"/>
      <c r="EI364" s="1259"/>
      <c r="EJ364" s="1259"/>
      <c r="EK364" s="1259"/>
      <c r="EL364" s="1259"/>
      <c r="EM364" s="1259"/>
      <c r="EN364" s="1259"/>
      <c r="EO364" s="1259"/>
      <c r="EP364" s="1259"/>
      <c r="EQ364" s="1259"/>
      <c r="ER364" s="1259"/>
      <c r="ES364" s="1259"/>
      <c r="ET364" s="1259"/>
      <c r="EU364" s="1259"/>
      <c r="EV364" s="1259"/>
      <c r="EW364" s="1259"/>
      <c r="EX364" s="1259"/>
      <c r="EY364" s="1259"/>
      <c r="EZ364" s="1259"/>
      <c r="FA364" s="1259"/>
      <c r="FB364" s="1259"/>
      <c r="FC364" s="1259"/>
      <c r="FD364" s="1259"/>
      <c r="FE364" s="1259"/>
      <c r="FF364" s="1259"/>
      <c r="FG364" s="1259"/>
      <c r="FH364" s="1259"/>
      <c r="FI364" s="1259"/>
      <c r="FJ364" s="1259"/>
      <c r="FK364" s="1259"/>
      <c r="FL364" s="1259"/>
      <c r="FM364" s="1259"/>
      <c r="FN364" s="1259"/>
      <c r="FO364" s="1259"/>
      <c r="FP364" s="1259"/>
      <c r="FQ364" s="1259"/>
      <c r="FR364" s="1259"/>
      <c r="FS364" s="1259"/>
      <c r="FT364" s="1259"/>
      <c r="FU364" s="1259"/>
      <c r="FV364" s="1259"/>
      <c r="FW364" s="1259"/>
      <c r="FX364" s="1259"/>
      <c r="FY364" s="1259"/>
      <c r="FZ364" s="1259"/>
      <c r="GA364" s="1259"/>
      <c r="GB364" s="1259"/>
      <c r="GC364" s="1259"/>
      <c r="GD364" s="1259"/>
      <c r="GE364" s="1259"/>
      <c r="GF364" s="1259"/>
      <c r="GG364" s="1259"/>
      <c r="GH364" s="1259"/>
      <c r="GI364" s="1259"/>
      <c r="GJ364" s="1259"/>
      <c r="GK364" s="1259"/>
      <c r="GL364" s="1259"/>
      <c r="GM364" s="1259"/>
      <c r="GN364" s="1259"/>
      <c r="GO364" s="1259"/>
      <c r="GP364" s="1259"/>
      <c r="GQ364" s="1259"/>
      <c r="GR364" s="1259"/>
      <c r="GS364" s="1259"/>
      <c r="GT364" s="1259"/>
      <c r="GU364" s="1259"/>
      <c r="GV364" s="1259"/>
      <c r="GW364" s="1259"/>
      <c r="GX364" s="1259"/>
      <c r="GY364" s="1259"/>
      <c r="GZ364" s="1259"/>
      <c r="HA364" s="1259"/>
      <c r="HB364" s="1259"/>
      <c r="HC364" s="1259"/>
      <c r="HD364" s="1259"/>
      <c r="HE364" s="1259"/>
      <c r="HF364" s="1259"/>
      <c r="HG364" s="1259"/>
      <c r="HH364" s="1259"/>
      <c r="HI364" s="1259"/>
      <c r="HJ364" s="1259"/>
      <c r="HK364" s="1259"/>
      <c r="HL364" s="1259"/>
      <c r="HM364" s="1259"/>
      <c r="HN364" s="1259"/>
      <c r="HO364" s="1259"/>
      <c r="HP364" s="1259"/>
      <c r="HQ364" s="1259"/>
      <c r="HR364" s="1259"/>
      <c r="HS364" s="1259"/>
      <c r="HT364" s="1259"/>
      <c r="HU364" s="1259"/>
      <c r="HV364" s="1259"/>
      <c r="HW364" s="1259"/>
      <c r="HX364" s="1259"/>
      <c r="HY364" s="1259"/>
      <c r="HZ364" s="1259"/>
      <c r="IA364" s="1259"/>
      <c r="IB364" s="1259"/>
      <c r="IC364" s="1259"/>
      <c r="ID364" s="1259"/>
      <c r="IE364" s="1259"/>
      <c r="IF364" s="1259"/>
      <c r="IG364" s="1259"/>
      <c r="IH364" s="1259"/>
      <c r="II364" s="1259"/>
      <c r="IJ364" s="1259"/>
      <c r="IK364" s="1259"/>
      <c r="IL364" s="1259"/>
      <c r="IM364" s="1259"/>
      <c r="IN364" s="1259"/>
      <c r="IO364" s="1259"/>
      <c r="IP364" s="1259"/>
      <c r="IQ364" s="1259"/>
      <c r="IR364" s="1259"/>
      <c r="IS364" s="1259"/>
      <c r="IT364" s="1259"/>
      <c r="IU364" s="1259"/>
      <c r="IV364" s="1259"/>
      <c r="IW364" s="1259"/>
      <c r="IX364" s="1259"/>
      <c r="IY364" s="1259"/>
      <c r="IZ364" s="1259"/>
      <c r="JA364" s="1259"/>
      <c r="JB364" s="1259"/>
      <c r="JC364" s="1259"/>
      <c r="JD364" s="1259"/>
      <c r="JE364" s="1259"/>
      <c r="JF364" s="1259"/>
      <c r="JG364" s="1259"/>
      <c r="JH364" s="1259"/>
      <c r="JI364" s="1259"/>
      <c r="JJ364" s="1259"/>
      <c r="JK364" s="1259"/>
      <c r="JL364" s="1259"/>
      <c r="JM364" s="1259"/>
      <c r="JN364" s="1259"/>
      <c r="JO364" s="1259"/>
      <c r="JP364" s="1259"/>
      <c r="JQ364" s="1259"/>
      <c r="JR364" s="1259"/>
      <c r="JS364" s="1259"/>
      <c r="JT364" s="1259"/>
      <c r="JU364" s="1259"/>
      <c r="JV364" s="1259"/>
      <c r="JW364" s="1259"/>
      <c r="JX364" s="1259"/>
      <c r="JY364" s="1259"/>
      <c r="JZ364" s="1259"/>
      <c r="KA364" s="1259"/>
      <c r="KB364" s="1259"/>
      <c r="KC364" s="1259"/>
      <c r="KD364" s="1259"/>
      <c r="KE364" s="1259"/>
      <c r="KF364" s="1259"/>
      <c r="KG364" s="1259"/>
      <c r="KH364" s="1259"/>
      <c r="KI364" s="1259"/>
      <c r="KJ364" s="1259"/>
      <c r="KK364" s="1259"/>
      <c r="KL364" s="1259"/>
      <c r="KM364" s="1259"/>
      <c r="KN364" s="1259"/>
      <c r="KO364" s="1259"/>
      <c r="KP364" s="1259"/>
      <c r="KQ364" s="1259"/>
      <c r="KR364" s="1259"/>
      <c r="KS364" s="1259"/>
      <c r="KT364" s="1259"/>
      <c r="KU364" s="1259"/>
      <c r="KV364" s="1259"/>
      <c r="KW364" s="1259"/>
      <c r="KX364" s="1259"/>
      <c r="KY364" s="1259"/>
      <c r="KZ364" s="1259"/>
      <c r="LA364" s="1259"/>
      <c r="LB364" s="1259"/>
      <c r="LC364" s="1259"/>
      <c r="LD364" s="1259"/>
      <c r="LE364" s="1259"/>
      <c r="LF364" s="1259"/>
      <c r="LG364" s="1259"/>
      <c r="LH364" s="1259"/>
      <c r="LI364" s="1259"/>
      <c r="LJ364" s="1259"/>
      <c r="LK364" s="1259"/>
      <c r="LL364" s="1259"/>
      <c r="LM364" s="1259"/>
      <c r="LN364" s="1259"/>
      <c r="LO364" s="1259"/>
      <c r="LP364" s="1259"/>
      <c r="LQ364" s="1259"/>
      <c r="LR364" s="1259"/>
      <c r="LS364" s="1259"/>
      <c r="LT364" s="1259"/>
      <c r="LU364" s="1259"/>
      <c r="LV364" s="1259"/>
      <c r="LW364" s="1259"/>
      <c r="LX364" s="1259"/>
      <c r="LY364" s="1259"/>
      <c r="LZ364" s="1259"/>
      <c r="MA364" s="1259"/>
      <c r="MB364" s="1259"/>
      <c r="MC364" s="1259"/>
      <c r="MD364" s="1259"/>
      <c r="ME364" s="1259"/>
      <c r="MF364" s="1259"/>
      <c r="MG364" s="1259"/>
      <c r="MH364" s="1259"/>
      <c r="MI364" s="1259"/>
      <c r="MJ364" s="1259"/>
      <c r="MK364" s="1259"/>
      <c r="ML364" s="1259"/>
      <c r="MM364" s="1259"/>
      <c r="MN364" s="1259"/>
      <c r="MO364" s="1259"/>
      <c r="MP364" s="1259"/>
      <c r="MQ364" s="1259"/>
      <c r="MR364" s="1259"/>
      <c r="MS364" s="1259"/>
      <c r="MT364" s="1259"/>
      <c r="MU364" s="1259"/>
      <c r="MV364" s="1259"/>
      <c r="MW364" s="1259"/>
      <c r="MX364" s="1259"/>
      <c r="MY364" s="1259"/>
      <c r="MZ364" s="1259"/>
      <c r="NA364" s="1259"/>
      <c r="NB364" s="1259"/>
      <c r="NC364" s="1259"/>
      <c r="ND364" s="1259"/>
      <c r="NE364" s="1259"/>
      <c r="NF364" s="1259"/>
      <c r="NG364" s="1259"/>
      <c r="NH364" s="1259"/>
      <c r="NI364" s="1259"/>
      <c r="NJ364" s="1259"/>
      <c r="NK364" s="1259"/>
      <c r="NL364" s="1259"/>
      <c r="NM364" s="1259"/>
      <c r="NN364" s="1259"/>
      <c r="NO364" s="1259"/>
      <c r="NP364" s="1259"/>
      <c r="NQ364" s="1259"/>
      <c r="NR364" s="1259"/>
      <c r="NS364" s="1259"/>
      <c r="NT364" s="1259"/>
      <c r="NU364" s="1259"/>
      <c r="NV364" s="1259"/>
      <c r="NW364" s="1259"/>
      <c r="NX364" s="1259"/>
      <c r="NY364" s="1259"/>
      <c r="NZ364" s="1259"/>
      <c r="OA364" s="1259"/>
      <c r="OB364" s="1259"/>
      <c r="OC364" s="1259"/>
      <c r="OD364" s="1259"/>
      <c r="OE364" s="1259"/>
      <c r="OF364" s="1259"/>
      <c r="OG364" s="1259"/>
      <c r="OH364" s="1259"/>
      <c r="OI364" s="1259"/>
      <c r="OJ364" s="1259"/>
      <c r="OK364" s="1259"/>
      <c r="OL364" s="1259"/>
      <c r="OM364" s="1259"/>
      <c r="ON364" s="1259"/>
      <c r="OO364" s="1259"/>
      <c r="OP364" s="1259"/>
      <c r="OQ364" s="1259"/>
      <c r="OR364" s="1259"/>
      <c r="OS364" s="1259"/>
      <c r="OT364" s="1259"/>
      <c r="OU364" s="1259"/>
      <c r="OV364" s="1259"/>
      <c r="OW364" s="1259"/>
      <c r="OX364" s="1259"/>
      <c r="OY364" s="1259"/>
      <c r="OZ364" s="1259"/>
      <c r="PA364" s="1259"/>
      <c r="PB364" s="1259"/>
      <c r="PC364" s="1259"/>
      <c r="PD364" s="1259"/>
      <c r="PE364" s="1259"/>
      <c r="PF364" s="1259"/>
      <c r="PG364" s="1259"/>
      <c r="PH364" s="1259"/>
      <c r="PI364" s="1259"/>
      <c r="PJ364" s="1259"/>
      <c r="PK364" s="1259"/>
      <c r="PL364" s="1259"/>
      <c r="PM364" s="1259"/>
      <c r="PN364" s="1259"/>
      <c r="PO364" s="1259"/>
      <c r="PP364" s="1259"/>
      <c r="PQ364" s="1259"/>
      <c r="PR364" s="1259"/>
      <c r="PS364" s="1259"/>
      <c r="PT364" s="1259"/>
      <c r="PU364" s="1259"/>
      <c r="PV364" s="1259"/>
      <c r="PW364" s="1259"/>
      <c r="PX364" s="1259"/>
      <c r="PY364" s="1259"/>
      <c r="PZ364" s="1259"/>
      <c r="QA364" s="1259"/>
      <c r="QB364" s="1259"/>
      <c r="QC364" s="1259"/>
      <c r="QD364" s="1259"/>
      <c r="QE364" s="1259"/>
      <c r="QF364" s="1259"/>
      <c r="QG364" s="1259"/>
      <c r="QH364" s="1259"/>
      <c r="QI364" s="1259"/>
      <c r="QJ364" s="1259"/>
      <c r="QK364" s="1259"/>
      <c r="QL364" s="1259"/>
      <c r="QM364" s="1259"/>
      <c r="QN364" s="1259"/>
      <c r="QO364" s="1259"/>
      <c r="QP364" s="1259"/>
      <c r="QQ364" s="1259"/>
      <c r="QR364" s="1259"/>
      <c r="QS364" s="1259"/>
      <c r="QT364" s="1259"/>
      <c r="QU364" s="1259"/>
      <c r="QV364" s="1259"/>
      <c r="QW364" s="1259"/>
      <c r="QX364" s="1259"/>
      <c r="QY364" s="1259"/>
      <c r="QZ364" s="1259"/>
      <c r="RA364" s="1259"/>
      <c r="RB364" s="1259"/>
      <c r="RC364" s="1259"/>
      <c r="RD364" s="1259"/>
      <c r="RE364" s="1259"/>
      <c r="RF364" s="1259"/>
      <c r="RG364" s="1259"/>
      <c r="RH364" s="1259"/>
      <c r="RI364" s="1259"/>
      <c r="RJ364" s="1259"/>
      <c r="RK364" s="1259"/>
      <c r="RL364" s="1259"/>
      <c r="RM364" s="1259"/>
      <c r="RN364" s="1259"/>
      <c r="RO364" s="1259"/>
      <c r="RP364" s="1259"/>
      <c r="RQ364" s="1259"/>
      <c r="RR364" s="1259"/>
      <c r="RS364" s="1259"/>
      <c r="RT364" s="1259"/>
      <c r="RU364" s="1259"/>
      <c r="RV364" s="1259"/>
      <c r="RW364" s="1259"/>
      <c r="RX364" s="1259"/>
      <c r="RY364" s="1259"/>
      <c r="RZ364" s="1259"/>
      <c r="SA364" s="1259"/>
      <c r="SB364" s="1259"/>
      <c r="SC364" s="1259"/>
      <c r="SD364" s="1259"/>
      <c r="SE364" s="1259"/>
      <c r="SF364" s="1259"/>
      <c r="SG364" s="1259"/>
      <c r="SH364" s="1259"/>
      <c r="SI364" s="1259"/>
      <c r="SJ364" s="1259"/>
      <c r="SK364" s="1259"/>
      <c r="SL364" s="1259"/>
      <c r="SM364" s="1259"/>
      <c r="SN364" s="1259"/>
      <c r="SO364" s="1259"/>
      <c r="SP364" s="1259"/>
      <c r="SQ364" s="1259"/>
      <c r="SR364" s="1259"/>
      <c r="SS364" s="1259"/>
      <c r="ST364" s="1259"/>
      <c r="SU364" s="1259"/>
      <c r="SV364" s="1259"/>
      <c r="SW364" s="1259"/>
      <c r="SX364" s="1259"/>
      <c r="SY364" s="1259"/>
      <c r="SZ364" s="1259"/>
      <c r="TA364" s="1259"/>
      <c r="TB364" s="1259"/>
      <c r="TC364" s="1259"/>
      <c r="TD364" s="1259"/>
      <c r="TE364" s="1259"/>
      <c r="TF364" s="1259"/>
      <c r="TG364" s="1259"/>
      <c r="TH364" s="1259"/>
      <c r="TI364" s="1259"/>
      <c r="TJ364" s="1259"/>
      <c r="TK364" s="1259"/>
      <c r="TL364" s="1259"/>
      <c r="TM364" s="1259"/>
      <c r="TN364" s="1259"/>
      <c r="TO364" s="1259"/>
      <c r="TP364" s="1259"/>
      <c r="TQ364" s="1259"/>
      <c r="TR364" s="1259"/>
      <c r="TS364" s="1259"/>
      <c r="TT364" s="1259"/>
      <c r="TU364" s="1259"/>
      <c r="TV364" s="1259"/>
      <c r="TW364" s="1259"/>
      <c r="TX364" s="1259"/>
      <c r="TY364" s="1259"/>
      <c r="TZ364" s="1259"/>
      <c r="UA364" s="1259"/>
      <c r="UB364" s="1259"/>
      <c r="UC364" s="1259"/>
      <c r="UD364" s="1259"/>
      <c r="UE364" s="1259"/>
      <c r="UF364" s="1259"/>
      <c r="UG364" s="1261"/>
    </row>
    <row r="365" spans="1:553" s="1262" customFormat="1" ht="29.25" customHeight="1">
      <c r="A365" s="406"/>
      <c r="B365" s="405"/>
      <c r="C365" s="1427" t="s">
        <v>1088</v>
      </c>
      <c r="D365" s="1427" t="s">
        <v>838</v>
      </c>
      <c r="E365" s="1427" t="s">
        <v>838</v>
      </c>
      <c r="F365" s="1427" t="s">
        <v>838</v>
      </c>
      <c r="G365" s="406" t="s">
        <v>46</v>
      </c>
      <c r="H365" s="409"/>
      <c r="I365" s="1298">
        <f>(107.17*100/500)*(7-(7-3))*1</f>
        <v>64.302000000000007</v>
      </c>
      <c r="J365" s="1089">
        <v>10800</v>
      </c>
      <c r="K365" s="612">
        <v>0.7</v>
      </c>
      <c r="L365" s="523">
        <f t="shared" ref="L365" si="77">I365*J365*K365</f>
        <v>486123.12000000005</v>
      </c>
      <c r="M365" s="366"/>
      <c r="N365" s="366"/>
      <c r="O365" s="366"/>
      <c r="P365" s="366"/>
      <c r="Q365" s="1135"/>
      <c r="R365" s="1228"/>
      <c r="S365" s="308"/>
      <c r="T365" s="303"/>
      <c r="U365" s="306"/>
      <c r="V365" s="307"/>
      <c r="W365" s="307"/>
      <c r="X365" s="307"/>
      <c r="Y365" s="307"/>
      <c r="Z365" s="307"/>
      <c r="AA365" s="307"/>
      <c r="AB365" s="307"/>
      <c r="AC365" s="456"/>
      <c r="AD365" s="452"/>
      <c r="AE365" s="452"/>
      <c r="AF365" s="452"/>
      <c r="AG365" s="452"/>
      <c r="AH365" s="452"/>
      <c r="AI365" s="452"/>
      <c r="AJ365" s="452"/>
      <c r="AK365" s="452"/>
      <c r="AL365" s="1259"/>
      <c r="AM365" s="1259"/>
      <c r="AN365" s="1259"/>
      <c r="AO365" s="1259"/>
      <c r="AP365" s="1259"/>
      <c r="AQ365" s="1259"/>
      <c r="AR365" s="1259"/>
      <c r="AS365" s="1259"/>
      <c r="AT365" s="1259"/>
      <c r="AU365" s="1259"/>
      <c r="AV365" s="1259"/>
      <c r="AW365" s="1259"/>
      <c r="AX365" s="1259"/>
      <c r="AY365" s="1259"/>
      <c r="AZ365" s="1259"/>
      <c r="BA365" s="1259"/>
      <c r="BB365" s="1259"/>
      <c r="BC365" s="1259"/>
      <c r="BD365" s="1259"/>
      <c r="BE365" s="1259"/>
      <c r="BF365" s="1259"/>
      <c r="BG365" s="1259"/>
      <c r="BH365" s="1259"/>
      <c r="BI365" s="1259"/>
      <c r="BJ365" s="1259"/>
      <c r="BK365" s="1259"/>
      <c r="BL365" s="1259"/>
      <c r="BM365" s="1259"/>
      <c r="BN365" s="1259"/>
      <c r="BO365" s="1259"/>
      <c r="BP365" s="1259"/>
      <c r="BQ365" s="1259"/>
      <c r="BR365" s="1259"/>
      <c r="BS365" s="1259"/>
      <c r="BT365" s="1259"/>
      <c r="BU365" s="1259"/>
      <c r="BV365" s="1259"/>
      <c r="BW365" s="1259"/>
      <c r="BX365" s="1259"/>
      <c r="BY365" s="1259"/>
      <c r="BZ365" s="1259"/>
      <c r="CA365" s="1259"/>
      <c r="CB365" s="1259"/>
      <c r="CC365" s="1259"/>
      <c r="CD365" s="1259"/>
      <c r="CE365" s="1259"/>
      <c r="CF365" s="1259"/>
      <c r="CG365" s="1259"/>
      <c r="CH365" s="1259"/>
      <c r="CI365" s="1259"/>
      <c r="CJ365" s="1259"/>
      <c r="CK365" s="1259"/>
      <c r="CL365" s="1259"/>
      <c r="CM365" s="1259"/>
      <c r="CN365" s="1259"/>
      <c r="CO365" s="1259"/>
      <c r="CP365" s="1259"/>
      <c r="CQ365" s="1259"/>
      <c r="CR365" s="1259"/>
      <c r="CS365" s="1259"/>
      <c r="CT365" s="1259"/>
      <c r="CU365" s="1259"/>
      <c r="CV365" s="1259"/>
      <c r="CW365" s="1259"/>
      <c r="CX365" s="1259"/>
      <c r="CY365" s="1259"/>
      <c r="CZ365" s="1259"/>
      <c r="DA365" s="1259"/>
      <c r="DB365" s="1259"/>
      <c r="DC365" s="1259"/>
      <c r="DD365" s="1259"/>
      <c r="DE365" s="1259"/>
      <c r="DF365" s="1259"/>
      <c r="DG365" s="1259"/>
      <c r="DH365" s="1259"/>
      <c r="DI365" s="1259"/>
      <c r="DJ365" s="1259"/>
      <c r="DK365" s="1259"/>
      <c r="DL365" s="1259"/>
      <c r="DM365" s="1259"/>
      <c r="DN365" s="1259"/>
      <c r="DO365" s="1259"/>
      <c r="DP365" s="1259"/>
      <c r="DQ365" s="1259"/>
      <c r="DR365" s="1259"/>
      <c r="DS365" s="1259"/>
      <c r="DT365" s="1259"/>
      <c r="DU365" s="1259"/>
      <c r="DV365" s="1259"/>
      <c r="DW365" s="1259"/>
      <c r="DX365" s="1259"/>
      <c r="DY365" s="1259"/>
      <c r="DZ365" s="1259"/>
      <c r="EA365" s="1259"/>
      <c r="EB365" s="1259"/>
      <c r="EC365" s="1259"/>
      <c r="ED365" s="1259"/>
      <c r="EE365" s="1259"/>
      <c r="EF365" s="1259"/>
      <c r="EG365" s="1259"/>
      <c r="EH365" s="1259"/>
      <c r="EI365" s="1259"/>
      <c r="EJ365" s="1259"/>
      <c r="EK365" s="1259"/>
      <c r="EL365" s="1259"/>
      <c r="EM365" s="1259"/>
      <c r="EN365" s="1259"/>
      <c r="EO365" s="1259"/>
      <c r="EP365" s="1259"/>
      <c r="EQ365" s="1259"/>
      <c r="ER365" s="1259"/>
      <c r="ES365" s="1259"/>
      <c r="ET365" s="1259"/>
      <c r="EU365" s="1259"/>
      <c r="EV365" s="1259"/>
      <c r="EW365" s="1259"/>
      <c r="EX365" s="1259"/>
      <c r="EY365" s="1259"/>
      <c r="EZ365" s="1259"/>
      <c r="FA365" s="1259"/>
      <c r="FB365" s="1259"/>
      <c r="FC365" s="1259"/>
      <c r="FD365" s="1259"/>
      <c r="FE365" s="1259"/>
      <c r="FF365" s="1259"/>
      <c r="FG365" s="1259"/>
      <c r="FH365" s="1259"/>
      <c r="FI365" s="1259"/>
      <c r="FJ365" s="1259"/>
      <c r="FK365" s="1259"/>
      <c r="FL365" s="1259"/>
      <c r="FM365" s="1259"/>
      <c r="FN365" s="1259"/>
      <c r="FO365" s="1259"/>
      <c r="FP365" s="1259"/>
      <c r="FQ365" s="1259"/>
      <c r="FR365" s="1259"/>
      <c r="FS365" s="1259"/>
      <c r="FT365" s="1259"/>
      <c r="FU365" s="1259"/>
      <c r="FV365" s="1259"/>
      <c r="FW365" s="1259"/>
      <c r="FX365" s="1259"/>
      <c r="FY365" s="1259"/>
      <c r="FZ365" s="1259"/>
      <c r="GA365" s="1259"/>
      <c r="GB365" s="1259"/>
      <c r="GC365" s="1259"/>
      <c r="GD365" s="1259"/>
      <c r="GE365" s="1259"/>
      <c r="GF365" s="1259"/>
      <c r="GG365" s="1259"/>
      <c r="GH365" s="1259"/>
      <c r="GI365" s="1259"/>
      <c r="GJ365" s="1259"/>
      <c r="GK365" s="1259"/>
      <c r="GL365" s="1259"/>
      <c r="GM365" s="1259"/>
      <c r="GN365" s="1259"/>
      <c r="GO365" s="1259"/>
      <c r="GP365" s="1259"/>
      <c r="GQ365" s="1259"/>
      <c r="GR365" s="1259"/>
      <c r="GS365" s="1259"/>
      <c r="GT365" s="1259"/>
      <c r="GU365" s="1259"/>
      <c r="GV365" s="1259"/>
      <c r="GW365" s="1259"/>
      <c r="GX365" s="1259"/>
      <c r="GY365" s="1259"/>
      <c r="GZ365" s="1259"/>
      <c r="HA365" s="1259"/>
      <c r="HB365" s="1259"/>
      <c r="HC365" s="1259"/>
      <c r="HD365" s="1259"/>
      <c r="HE365" s="1259"/>
      <c r="HF365" s="1259"/>
      <c r="HG365" s="1259"/>
      <c r="HH365" s="1259"/>
      <c r="HI365" s="1259"/>
      <c r="HJ365" s="1259"/>
      <c r="HK365" s="1259"/>
      <c r="HL365" s="1259"/>
      <c r="HM365" s="1259"/>
      <c r="HN365" s="1259"/>
      <c r="HO365" s="1259"/>
      <c r="HP365" s="1259"/>
      <c r="HQ365" s="1259"/>
      <c r="HR365" s="1259"/>
      <c r="HS365" s="1259"/>
      <c r="HT365" s="1259"/>
      <c r="HU365" s="1259"/>
      <c r="HV365" s="1259"/>
      <c r="HW365" s="1259"/>
      <c r="HX365" s="1259"/>
      <c r="HY365" s="1259"/>
      <c r="HZ365" s="1259"/>
      <c r="IA365" s="1259"/>
      <c r="IB365" s="1259"/>
      <c r="IC365" s="1259"/>
      <c r="ID365" s="1259"/>
      <c r="IE365" s="1259"/>
      <c r="IF365" s="1259"/>
      <c r="IG365" s="1259"/>
      <c r="IH365" s="1259"/>
      <c r="II365" s="1259"/>
      <c r="IJ365" s="1259"/>
      <c r="IK365" s="1259"/>
      <c r="IL365" s="1259"/>
      <c r="IM365" s="1259"/>
      <c r="IN365" s="1259"/>
      <c r="IO365" s="1259"/>
      <c r="IP365" s="1259"/>
      <c r="IQ365" s="1259"/>
      <c r="IR365" s="1259"/>
      <c r="IS365" s="1259"/>
      <c r="IT365" s="1259"/>
      <c r="IU365" s="1259"/>
      <c r="IV365" s="1259"/>
      <c r="IW365" s="1259"/>
      <c r="IX365" s="1259"/>
      <c r="IY365" s="1259"/>
      <c r="IZ365" s="1259"/>
      <c r="JA365" s="1259"/>
      <c r="JB365" s="1259"/>
      <c r="JC365" s="1259"/>
      <c r="JD365" s="1259"/>
      <c r="JE365" s="1259"/>
      <c r="JF365" s="1259"/>
      <c r="JG365" s="1259"/>
      <c r="JH365" s="1259"/>
      <c r="JI365" s="1259"/>
      <c r="JJ365" s="1259"/>
      <c r="JK365" s="1259"/>
      <c r="JL365" s="1259"/>
      <c r="JM365" s="1259"/>
      <c r="JN365" s="1259"/>
      <c r="JO365" s="1259"/>
      <c r="JP365" s="1259"/>
      <c r="JQ365" s="1259"/>
      <c r="JR365" s="1259"/>
      <c r="JS365" s="1259"/>
      <c r="JT365" s="1259"/>
      <c r="JU365" s="1259"/>
      <c r="JV365" s="1259"/>
      <c r="JW365" s="1259"/>
      <c r="JX365" s="1259"/>
      <c r="JY365" s="1259"/>
      <c r="JZ365" s="1259"/>
      <c r="KA365" s="1259"/>
      <c r="KB365" s="1259"/>
      <c r="KC365" s="1259"/>
      <c r="KD365" s="1259"/>
      <c r="KE365" s="1259"/>
      <c r="KF365" s="1259"/>
      <c r="KG365" s="1259"/>
      <c r="KH365" s="1259"/>
      <c r="KI365" s="1259"/>
      <c r="KJ365" s="1259"/>
      <c r="KK365" s="1259"/>
      <c r="KL365" s="1259"/>
      <c r="KM365" s="1259"/>
      <c r="KN365" s="1259"/>
      <c r="KO365" s="1259"/>
      <c r="KP365" s="1259"/>
      <c r="KQ365" s="1259"/>
      <c r="KR365" s="1259"/>
      <c r="KS365" s="1259"/>
      <c r="KT365" s="1259"/>
      <c r="KU365" s="1259"/>
      <c r="KV365" s="1259"/>
      <c r="KW365" s="1259"/>
      <c r="KX365" s="1259"/>
      <c r="KY365" s="1259"/>
      <c r="KZ365" s="1259"/>
      <c r="LA365" s="1259"/>
      <c r="LB365" s="1259"/>
      <c r="LC365" s="1259"/>
      <c r="LD365" s="1259"/>
      <c r="LE365" s="1259"/>
      <c r="LF365" s="1259"/>
      <c r="LG365" s="1259"/>
      <c r="LH365" s="1259"/>
      <c r="LI365" s="1259"/>
      <c r="LJ365" s="1259"/>
      <c r="LK365" s="1259"/>
      <c r="LL365" s="1259"/>
      <c r="LM365" s="1259"/>
      <c r="LN365" s="1259"/>
      <c r="LO365" s="1259"/>
      <c r="LP365" s="1259"/>
      <c r="LQ365" s="1259"/>
      <c r="LR365" s="1259"/>
      <c r="LS365" s="1259"/>
      <c r="LT365" s="1259"/>
      <c r="LU365" s="1259"/>
      <c r="LV365" s="1259"/>
      <c r="LW365" s="1259"/>
      <c r="LX365" s="1259"/>
      <c r="LY365" s="1259"/>
      <c r="LZ365" s="1259"/>
      <c r="MA365" s="1259"/>
      <c r="MB365" s="1259"/>
      <c r="MC365" s="1259"/>
      <c r="MD365" s="1259"/>
      <c r="ME365" s="1259"/>
      <c r="MF365" s="1259"/>
      <c r="MG365" s="1259"/>
      <c r="MH365" s="1259"/>
      <c r="MI365" s="1259"/>
      <c r="MJ365" s="1259"/>
      <c r="MK365" s="1259"/>
      <c r="ML365" s="1259"/>
      <c r="MM365" s="1259"/>
      <c r="MN365" s="1259"/>
      <c r="MO365" s="1259"/>
      <c r="MP365" s="1259"/>
      <c r="MQ365" s="1259"/>
      <c r="MR365" s="1259"/>
      <c r="MS365" s="1259"/>
      <c r="MT365" s="1259"/>
      <c r="MU365" s="1259"/>
      <c r="MV365" s="1259"/>
      <c r="MW365" s="1259"/>
      <c r="MX365" s="1259"/>
      <c r="MY365" s="1259"/>
      <c r="MZ365" s="1259"/>
      <c r="NA365" s="1259"/>
      <c r="NB365" s="1259"/>
      <c r="NC365" s="1259"/>
      <c r="ND365" s="1259"/>
      <c r="NE365" s="1259"/>
      <c r="NF365" s="1259"/>
      <c r="NG365" s="1259"/>
      <c r="NH365" s="1259"/>
      <c r="NI365" s="1259"/>
      <c r="NJ365" s="1259"/>
      <c r="NK365" s="1259"/>
      <c r="NL365" s="1259"/>
      <c r="NM365" s="1259"/>
      <c r="NN365" s="1259"/>
      <c r="NO365" s="1259"/>
      <c r="NP365" s="1259"/>
      <c r="NQ365" s="1259"/>
      <c r="NR365" s="1259"/>
      <c r="NS365" s="1259"/>
      <c r="NT365" s="1259"/>
      <c r="NU365" s="1259"/>
      <c r="NV365" s="1259"/>
      <c r="NW365" s="1259"/>
      <c r="NX365" s="1259"/>
      <c r="NY365" s="1259"/>
      <c r="NZ365" s="1259"/>
      <c r="OA365" s="1259"/>
      <c r="OB365" s="1259"/>
      <c r="OC365" s="1259"/>
      <c r="OD365" s="1259"/>
      <c r="OE365" s="1259"/>
      <c r="OF365" s="1259"/>
      <c r="OG365" s="1259"/>
      <c r="OH365" s="1259"/>
      <c r="OI365" s="1259"/>
      <c r="OJ365" s="1259"/>
      <c r="OK365" s="1259"/>
      <c r="OL365" s="1259"/>
      <c r="OM365" s="1259"/>
      <c r="ON365" s="1259"/>
      <c r="OO365" s="1259"/>
      <c r="OP365" s="1259"/>
      <c r="OQ365" s="1259"/>
      <c r="OR365" s="1259"/>
      <c r="OS365" s="1259"/>
      <c r="OT365" s="1259"/>
      <c r="OU365" s="1259"/>
      <c r="OV365" s="1259"/>
      <c r="OW365" s="1259"/>
      <c r="OX365" s="1259"/>
      <c r="OY365" s="1259"/>
      <c r="OZ365" s="1259"/>
      <c r="PA365" s="1259"/>
      <c r="PB365" s="1259"/>
      <c r="PC365" s="1259"/>
      <c r="PD365" s="1259"/>
      <c r="PE365" s="1259"/>
      <c r="PF365" s="1259"/>
      <c r="PG365" s="1259"/>
      <c r="PH365" s="1259"/>
      <c r="PI365" s="1259"/>
      <c r="PJ365" s="1259"/>
      <c r="PK365" s="1259"/>
      <c r="PL365" s="1259"/>
      <c r="PM365" s="1259"/>
      <c r="PN365" s="1259"/>
      <c r="PO365" s="1259"/>
      <c r="PP365" s="1259"/>
      <c r="PQ365" s="1259"/>
      <c r="PR365" s="1259"/>
      <c r="PS365" s="1259"/>
      <c r="PT365" s="1259"/>
      <c r="PU365" s="1259"/>
      <c r="PV365" s="1259"/>
      <c r="PW365" s="1259"/>
      <c r="PX365" s="1259"/>
      <c r="PY365" s="1259"/>
      <c r="PZ365" s="1259"/>
      <c r="QA365" s="1259"/>
      <c r="QB365" s="1259"/>
      <c r="QC365" s="1259"/>
      <c r="QD365" s="1259"/>
      <c r="QE365" s="1259"/>
      <c r="QF365" s="1259"/>
      <c r="QG365" s="1259"/>
      <c r="QH365" s="1259"/>
      <c r="QI365" s="1259"/>
      <c r="QJ365" s="1259"/>
      <c r="QK365" s="1259"/>
      <c r="QL365" s="1259"/>
      <c r="QM365" s="1259"/>
      <c r="QN365" s="1259"/>
      <c r="QO365" s="1259"/>
      <c r="QP365" s="1259"/>
      <c r="QQ365" s="1259"/>
      <c r="QR365" s="1259"/>
      <c r="QS365" s="1259"/>
      <c r="QT365" s="1259"/>
      <c r="QU365" s="1259"/>
      <c r="QV365" s="1259"/>
      <c r="QW365" s="1259"/>
      <c r="QX365" s="1259"/>
      <c r="QY365" s="1259"/>
      <c r="QZ365" s="1259"/>
      <c r="RA365" s="1259"/>
      <c r="RB365" s="1259"/>
      <c r="RC365" s="1259"/>
      <c r="RD365" s="1259"/>
      <c r="RE365" s="1259"/>
      <c r="RF365" s="1259"/>
      <c r="RG365" s="1259"/>
      <c r="RH365" s="1259"/>
      <c r="RI365" s="1259"/>
      <c r="RJ365" s="1259"/>
      <c r="RK365" s="1259"/>
      <c r="RL365" s="1259"/>
      <c r="RM365" s="1259"/>
      <c r="RN365" s="1259"/>
      <c r="RO365" s="1259"/>
      <c r="RP365" s="1259"/>
      <c r="RQ365" s="1259"/>
      <c r="RR365" s="1259"/>
      <c r="RS365" s="1259"/>
      <c r="RT365" s="1259"/>
      <c r="RU365" s="1259"/>
      <c r="RV365" s="1259"/>
      <c r="RW365" s="1259"/>
      <c r="RX365" s="1259"/>
      <c r="RY365" s="1259"/>
      <c r="RZ365" s="1259"/>
      <c r="SA365" s="1259"/>
      <c r="SB365" s="1259"/>
      <c r="SC365" s="1259"/>
      <c r="SD365" s="1259"/>
      <c r="SE365" s="1259"/>
      <c r="SF365" s="1259"/>
      <c r="SG365" s="1259"/>
      <c r="SH365" s="1259"/>
      <c r="SI365" s="1259"/>
      <c r="SJ365" s="1259"/>
      <c r="SK365" s="1259"/>
      <c r="SL365" s="1259"/>
      <c r="SM365" s="1259"/>
      <c r="SN365" s="1259"/>
      <c r="SO365" s="1259"/>
      <c r="SP365" s="1259"/>
      <c r="SQ365" s="1259"/>
      <c r="SR365" s="1259"/>
      <c r="SS365" s="1259"/>
      <c r="ST365" s="1259"/>
      <c r="SU365" s="1259"/>
      <c r="SV365" s="1259"/>
      <c r="SW365" s="1259"/>
      <c r="SX365" s="1259"/>
      <c r="SY365" s="1259"/>
      <c r="SZ365" s="1259"/>
      <c r="TA365" s="1259"/>
      <c r="TB365" s="1259"/>
      <c r="TC365" s="1259"/>
      <c r="TD365" s="1259"/>
      <c r="TE365" s="1259"/>
      <c r="TF365" s="1259"/>
      <c r="TG365" s="1259"/>
      <c r="TH365" s="1259"/>
      <c r="TI365" s="1259"/>
      <c r="TJ365" s="1259"/>
      <c r="TK365" s="1259"/>
      <c r="TL365" s="1259"/>
      <c r="TM365" s="1259"/>
      <c r="TN365" s="1259"/>
      <c r="TO365" s="1259"/>
      <c r="TP365" s="1259"/>
      <c r="TQ365" s="1259"/>
      <c r="TR365" s="1259"/>
      <c r="TS365" s="1259"/>
      <c r="TT365" s="1259"/>
      <c r="TU365" s="1259"/>
      <c r="TV365" s="1259"/>
      <c r="TW365" s="1259"/>
      <c r="TX365" s="1259"/>
      <c r="TY365" s="1259"/>
      <c r="TZ365" s="1259"/>
      <c r="UA365" s="1259"/>
      <c r="UB365" s="1259"/>
      <c r="UC365" s="1259"/>
      <c r="UD365" s="1259"/>
      <c r="UE365" s="1259"/>
      <c r="UF365" s="1259"/>
      <c r="UG365" s="1261"/>
    </row>
    <row r="366" spans="1:553" s="1262" customFormat="1" ht="29.25" customHeight="1">
      <c r="A366" s="406"/>
      <c r="B366" s="405"/>
      <c r="C366" s="1427" t="s">
        <v>1089</v>
      </c>
      <c r="D366" s="1427" t="s">
        <v>1089</v>
      </c>
      <c r="E366" s="1427" t="s">
        <v>1089</v>
      </c>
      <c r="F366" s="1427" t="s">
        <v>1089</v>
      </c>
      <c r="G366" s="569" t="s">
        <v>193</v>
      </c>
      <c r="H366" s="409"/>
      <c r="I366" s="567">
        <v>1</v>
      </c>
      <c r="J366" s="521">
        <v>75000</v>
      </c>
      <c r="K366" s="522"/>
      <c r="L366" s="523">
        <f>ROUND(PRODUCT(I366:K366),0)</f>
        <v>75000</v>
      </c>
      <c r="M366" s="366"/>
      <c r="N366" s="366"/>
      <c r="O366" s="366"/>
      <c r="P366" s="366"/>
      <c r="Q366" s="1135"/>
      <c r="R366" s="1228"/>
      <c r="S366" s="308"/>
      <c r="T366" s="303"/>
      <c r="U366" s="306"/>
      <c r="V366" s="307"/>
      <c r="W366" s="307"/>
      <c r="X366" s="307"/>
      <c r="Y366" s="307"/>
      <c r="Z366" s="307"/>
      <c r="AA366" s="307"/>
      <c r="AB366" s="307"/>
      <c r="AC366" s="456"/>
      <c r="AD366" s="452"/>
      <c r="AE366" s="452"/>
      <c r="AF366" s="452"/>
      <c r="AG366" s="452"/>
      <c r="AH366" s="452"/>
      <c r="AI366" s="452"/>
      <c r="AJ366" s="452"/>
      <c r="AK366" s="452"/>
      <c r="AL366" s="1259"/>
      <c r="AM366" s="1259"/>
      <c r="AN366" s="1259"/>
      <c r="AO366" s="1259"/>
      <c r="AP366" s="1259"/>
      <c r="AQ366" s="1259"/>
      <c r="AR366" s="1259"/>
      <c r="AS366" s="1259"/>
      <c r="AT366" s="1259"/>
      <c r="AU366" s="1259"/>
      <c r="AV366" s="1259"/>
      <c r="AW366" s="1259"/>
      <c r="AX366" s="1259"/>
      <c r="AY366" s="1259"/>
      <c r="AZ366" s="1259"/>
      <c r="BA366" s="1259"/>
      <c r="BB366" s="1259"/>
      <c r="BC366" s="1259"/>
      <c r="BD366" s="1259"/>
      <c r="BE366" s="1259"/>
      <c r="BF366" s="1259"/>
      <c r="BG366" s="1259"/>
      <c r="BH366" s="1259"/>
      <c r="BI366" s="1259"/>
      <c r="BJ366" s="1259"/>
      <c r="BK366" s="1259"/>
      <c r="BL366" s="1259"/>
      <c r="BM366" s="1259"/>
      <c r="BN366" s="1259"/>
      <c r="BO366" s="1259"/>
      <c r="BP366" s="1259"/>
      <c r="BQ366" s="1259"/>
      <c r="BR366" s="1259"/>
      <c r="BS366" s="1259"/>
      <c r="BT366" s="1259"/>
      <c r="BU366" s="1259"/>
      <c r="BV366" s="1259"/>
      <c r="BW366" s="1259"/>
      <c r="BX366" s="1259"/>
      <c r="BY366" s="1259"/>
      <c r="BZ366" s="1259"/>
      <c r="CA366" s="1259"/>
      <c r="CB366" s="1259"/>
      <c r="CC366" s="1259"/>
      <c r="CD366" s="1259"/>
      <c r="CE366" s="1259"/>
      <c r="CF366" s="1259"/>
      <c r="CG366" s="1259"/>
      <c r="CH366" s="1259"/>
      <c r="CI366" s="1259"/>
      <c r="CJ366" s="1259"/>
      <c r="CK366" s="1259"/>
      <c r="CL366" s="1259"/>
      <c r="CM366" s="1259"/>
      <c r="CN366" s="1259"/>
      <c r="CO366" s="1259"/>
      <c r="CP366" s="1259"/>
      <c r="CQ366" s="1259"/>
      <c r="CR366" s="1259"/>
      <c r="CS366" s="1259"/>
      <c r="CT366" s="1259"/>
      <c r="CU366" s="1259"/>
      <c r="CV366" s="1259"/>
      <c r="CW366" s="1259"/>
      <c r="CX366" s="1259"/>
      <c r="CY366" s="1259"/>
      <c r="CZ366" s="1259"/>
      <c r="DA366" s="1259"/>
      <c r="DB366" s="1259"/>
      <c r="DC366" s="1259"/>
      <c r="DD366" s="1259"/>
      <c r="DE366" s="1259"/>
      <c r="DF366" s="1259"/>
      <c r="DG366" s="1259"/>
      <c r="DH366" s="1259"/>
      <c r="DI366" s="1259"/>
      <c r="DJ366" s="1259"/>
      <c r="DK366" s="1259"/>
      <c r="DL366" s="1259"/>
      <c r="DM366" s="1259"/>
      <c r="DN366" s="1259"/>
      <c r="DO366" s="1259"/>
      <c r="DP366" s="1259"/>
      <c r="DQ366" s="1259"/>
      <c r="DR366" s="1259"/>
      <c r="DS366" s="1259"/>
      <c r="DT366" s="1259"/>
      <c r="DU366" s="1259"/>
      <c r="DV366" s="1259"/>
      <c r="DW366" s="1259"/>
      <c r="DX366" s="1259"/>
      <c r="DY366" s="1259"/>
      <c r="DZ366" s="1259"/>
      <c r="EA366" s="1259"/>
      <c r="EB366" s="1259"/>
      <c r="EC366" s="1259"/>
      <c r="ED366" s="1259"/>
      <c r="EE366" s="1259"/>
      <c r="EF366" s="1259"/>
      <c r="EG366" s="1259"/>
      <c r="EH366" s="1259"/>
      <c r="EI366" s="1259"/>
      <c r="EJ366" s="1259"/>
      <c r="EK366" s="1259"/>
      <c r="EL366" s="1259"/>
      <c r="EM366" s="1259"/>
      <c r="EN366" s="1259"/>
      <c r="EO366" s="1259"/>
      <c r="EP366" s="1259"/>
      <c r="EQ366" s="1259"/>
      <c r="ER366" s="1259"/>
      <c r="ES366" s="1259"/>
      <c r="ET366" s="1259"/>
      <c r="EU366" s="1259"/>
      <c r="EV366" s="1259"/>
      <c r="EW366" s="1259"/>
      <c r="EX366" s="1259"/>
      <c r="EY366" s="1259"/>
      <c r="EZ366" s="1259"/>
      <c r="FA366" s="1259"/>
      <c r="FB366" s="1259"/>
      <c r="FC366" s="1259"/>
      <c r="FD366" s="1259"/>
      <c r="FE366" s="1259"/>
      <c r="FF366" s="1259"/>
      <c r="FG366" s="1259"/>
      <c r="FH366" s="1259"/>
      <c r="FI366" s="1259"/>
      <c r="FJ366" s="1259"/>
      <c r="FK366" s="1259"/>
      <c r="FL366" s="1259"/>
      <c r="FM366" s="1259"/>
      <c r="FN366" s="1259"/>
      <c r="FO366" s="1259"/>
      <c r="FP366" s="1259"/>
      <c r="FQ366" s="1259"/>
      <c r="FR366" s="1259"/>
      <c r="FS366" s="1259"/>
      <c r="FT366" s="1259"/>
      <c r="FU366" s="1259"/>
      <c r="FV366" s="1259"/>
      <c r="FW366" s="1259"/>
      <c r="FX366" s="1259"/>
      <c r="FY366" s="1259"/>
      <c r="FZ366" s="1259"/>
      <c r="GA366" s="1259"/>
      <c r="GB366" s="1259"/>
      <c r="GC366" s="1259"/>
      <c r="GD366" s="1259"/>
      <c r="GE366" s="1259"/>
      <c r="GF366" s="1259"/>
      <c r="GG366" s="1259"/>
      <c r="GH366" s="1259"/>
      <c r="GI366" s="1259"/>
      <c r="GJ366" s="1259"/>
      <c r="GK366" s="1259"/>
      <c r="GL366" s="1259"/>
      <c r="GM366" s="1259"/>
      <c r="GN366" s="1259"/>
      <c r="GO366" s="1259"/>
      <c r="GP366" s="1259"/>
      <c r="GQ366" s="1259"/>
      <c r="GR366" s="1259"/>
      <c r="GS366" s="1259"/>
      <c r="GT366" s="1259"/>
      <c r="GU366" s="1259"/>
      <c r="GV366" s="1259"/>
      <c r="GW366" s="1259"/>
      <c r="GX366" s="1259"/>
      <c r="GY366" s="1259"/>
      <c r="GZ366" s="1259"/>
      <c r="HA366" s="1259"/>
      <c r="HB366" s="1259"/>
      <c r="HC366" s="1259"/>
      <c r="HD366" s="1259"/>
      <c r="HE366" s="1259"/>
      <c r="HF366" s="1259"/>
      <c r="HG366" s="1259"/>
      <c r="HH366" s="1259"/>
      <c r="HI366" s="1259"/>
      <c r="HJ366" s="1259"/>
      <c r="HK366" s="1259"/>
      <c r="HL366" s="1259"/>
      <c r="HM366" s="1259"/>
      <c r="HN366" s="1259"/>
      <c r="HO366" s="1259"/>
      <c r="HP366" s="1259"/>
      <c r="HQ366" s="1259"/>
      <c r="HR366" s="1259"/>
      <c r="HS366" s="1259"/>
      <c r="HT366" s="1259"/>
      <c r="HU366" s="1259"/>
      <c r="HV366" s="1259"/>
      <c r="HW366" s="1259"/>
      <c r="HX366" s="1259"/>
      <c r="HY366" s="1259"/>
      <c r="HZ366" s="1259"/>
      <c r="IA366" s="1259"/>
      <c r="IB366" s="1259"/>
      <c r="IC366" s="1259"/>
      <c r="ID366" s="1259"/>
      <c r="IE366" s="1259"/>
      <c r="IF366" s="1259"/>
      <c r="IG366" s="1259"/>
      <c r="IH366" s="1259"/>
      <c r="II366" s="1259"/>
      <c r="IJ366" s="1259"/>
      <c r="IK366" s="1259"/>
      <c r="IL366" s="1259"/>
      <c r="IM366" s="1259"/>
      <c r="IN366" s="1259"/>
      <c r="IO366" s="1259"/>
      <c r="IP366" s="1259"/>
      <c r="IQ366" s="1259"/>
      <c r="IR366" s="1259"/>
      <c r="IS366" s="1259"/>
      <c r="IT366" s="1259"/>
      <c r="IU366" s="1259"/>
      <c r="IV366" s="1259"/>
      <c r="IW366" s="1259"/>
      <c r="IX366" s="1259"/>
      <c r="IY366" s="1259"/>
      <c r="IZ366" s="1259"/>
      <c r="JA366" s="1259"/>
      <c r="JB366" s="1259"/>
      <c r="JC366" s="1259"/>
      <c r="JD366" s="1259"/>
      <c r="JE366" s="1259"/>
      <c r="JF366" s="1259"/>
      <c r="JG366" s="1259"/>
      <c r="JH366" s="1259"/>
      <c r="JI366" s="1259"/>
      <c r="JJ366" s="1259"/>
      <c r="JK366" s="1259"/>
      <c r="JL366" s="1259"/>
      <c r="JM366" s="1259"/>
      <c r="JN366" s="1259"/>
      <c r="JO366" s="1259"/>
      <c r="JP366" s="1259"/>
      <c r="JQ366" s="1259"/>
      <c r="JR366" s="1259"/>
      <c r="JS366" s="1259"/>
      <c r="JT366" s="1259"/>
      <c r="JU366" s="1259"/>
      <c r="JV366" s="1259"/>
      <c r="JW366" s="1259"/>
      <c r="JX366" s="1259"/>
      <c r="JY366" s="1259"/>
      <c r="JZ366" s="1259"/>
      <c r="KA366" s="1259"/>
      <c r="KB366" s="1259"/>
      <c r="KC366" s="1259"/>
      <c r="KD366" s="1259"/>
      <c r="KE366" s="1259"/>
      <c r="KF366" s="1259"/>
      <c r="KG366" s="1259"/>
      <c r="KH366" s="1259"/>
      <c r="KI366" s="1259"/>
      <c r="KJ366" s="1259"/>
      <c r="KK366" s="1259"/>
      <c r="KL366" s="1259"/>
      <c r="KM366" s="1259"/>
      <c r="KN366" s="1259"/>
      <c r="KO366" s="1259"/>
      <c r="KP366" s="1259"/>
      <c r="KQ366" s="1259"/>
      <c r="KR366" s="1259"/>
      <c r="KS366" s="1259"/>
      <c r="KT366" s="1259"/>
      <c r="KU366" s="1259"/>
      <c r="KV366" s="1259"/>
      <c r="KW366" s="1259"/>
      <c r="KX366" s="1259"/>
      <c r="KY366" s="1259"/>
      <c r="KZ366" s="1259"/>
      <c r="LA366" s="1259"/>
      <c r="LB366" s="1259"/>
      <c r="LC366" s="1259"/>
      <c r="LD366" s="1259"/>
      <c r="LE366" s="1259"/>
      <c r="LF366" s="1259"/>
      <c r="LG366" s="1259"/>
      <c r="LH366" s="1259"/>
      <c r="LI366" s="1259"/>
      <c r="LJ366" s="1259"/>
      <c r="LK366" s="1259"/>
      <c r="LL366" s="1259"/>
      <c r="LM366" s="1259"/>
      <c r="LN366" s="1259"/>
      <c r="LO366" s="1259"/>
      <c r="LP366" s="1259"/>
      <c r="LQ366" s="1259"/>
      <c r="LR366" s="1259"/>
      <c r="LS366" s="1259"/>
      <c r="LT366" s="1259"/>
      <c r="LU366" s="1259"/>
      <c r="LV366" s="1259"/>
      <c r="LW366" s="1259"/>
      <c r="LX366" s="1259"/>
      <c r="LY366" s="1259"/>
      <c r="LZ366" s="1259"/>
      <c r="MA366" s="1259"/>
      <c r="MB366" s="1259"/>
      <c r="MC366" s="1259"/>
      <c r="MD366" s="1259"/>
      <c r="ME366" s="1259"/>
      <c r="MF366" s="1259"/>
      <c r="MG366" s="1259"/>
      <c r="MH366" s="1259"/>
      <c r="MI366" s="1259"/>
      <c r="MJ366" s="1259"/>
      <c r="MK366" s="1259"/>
      <c r="ML366" s="1259"/>
      <c r="MM366" s="1259"/>
      <c r="MN366" s="1259"/>
      <c r="MO366" s="1259"/>
      <c r="MP366" s="1259"/>
      <c r="MQ366" s="1259"/>
      <c r="MR366" s="1259"/>
      <c r="MS366" s="1259"/>
      <c r="MT366" s="1259"/>
      <c r="MU366" s="1259"/>
      <c r="MV366" s="1259"/>
      <c r="MW366" s="1259"/>
      <c r="MX366" s="1259"/>
      <c r="MY366" s="1259"/>
      <c r="MZ366" s="1259"/>
      <c r="NA366" s="1259"/>
      <c r="NB366" s="1259"/>
      <c r="NC366" s="1259"/>
      <c r="ND366" s="1259"/>
      <c r="NE366" s="1259"/>
      <c r="NF366" s="1259"/>
      <c r="NG366" s="1259"/>
      <c r="NH366" s="1259"/>
      <c r="NI366" s="1259"/>
      <c r="NJ366" s="1259"/>
      <c r="NK366" s="1259"/>
      <c r="NL366" s="1259"/>
      <c r="NM366" s="1259"/>
      <c r="NN366" s="1259"/>
      <c r="NO366" s="1259"/>
      <c r="NP366" s="1259"/>
      <c r="NQ366" s="1259"/>
      <c r="NR366" s="1259"/>
      <c r="NS366" s="1259"/>
      <c r="NT366" s="1259"/>
      <c r="NU366" s="1259"/>
      <c r="NV366" s="1259"/>
      <c r="NW366" s="1259"/>
      <c r="NX366" s="1259"/>
      <c r="NY366" s="1259"/>
      <c r="NZ366" s="1259"/>
      <c r="OA366" s="1259"/>
      <c r="OB366" s="1259"/>
      <c r="OC366" s="1259"/>
      <c r="OD366" s="1259"/>
      <c r="OE366" s="1259"/>
      <c r="OF366" s="1259"/>
      <c r="OG366" s="1259"/>
      <c r="OH366" s="1259"/>
      <c r="OI366" s="1259"/>
      <c r="OJ366" s="1259"/>
      <c r="OK366" s="1259"/>
      <c r="OL366" s="1259"/>
      <c r="OM366" s="1259"/>
      <c r="ON366" s="1259"/>
      <c r="OO366" s="1259"/>
      <c r="OP366" s="1259"/>
      <c r="OQ366" s="1259"/>
      <c r="OR366" s="1259"/>
      <c r="OS366" s="1259"/>
      <c r="OT366" s="1259"/>
      <c r="OU366" s="1259"/>
      <c r="OV366" s="1259"/>
      <c r="OW366" s="1259"/>
      <c r="OX366" s="1259"/>
      <c r="OY366" s="1259"/>
      <c r="OZ366" s="1259"/>
      <c r="PA366" s="1259"/>
      <c r="PB366" s="1259"/>
      <c r="PC366" s="1259"/>
      <c r="PD366" s="1259"/>
      <c r="PE366" s="1259"/>
      <c r="PF366" s="1259"/>
      <c r="PG366" s="1259"/>
      <c r="PH366" s="1259"/>
      <c r="PI366" s="1259"/>
      <c r="PJ366" s="1259"/>
      <c r="PK366" s="1259"/>
      <c r="PL366" s="1259"/>
      <c r="PM366" s="1259"/>
      <c r="PN366" s="1259"/>
      <c r="PO366" s="1259"/>
      <c r="PP366" s="1259"/>
      <c r="PQ366" s="1259"/>
      <c r="PR366" s="1259"/>
      <c r="PS366" s="1259"/>
      <c r="PT366" s="1259"/>
      <c r="PU366" s="1259"/>
      <c r="PV366" s="1259"/>
      <c r="PW366" s="1259"/>
      <c r="PX366" s="1259"/>
      <c r="PY366" s="1259"/>
      <c r="PZ366" s="1259"/>
      <c r="QA366" s="1259"/>
      <c r="QB366" s="1259"/>
      <c r="QC366" s="1259"/>
      <c r="QD366" s="1259"/>
      <c r="QE366" s="1259"/>
      <c r="QF366" s="1259"/>
      <c r="QG366" s="1259"/>
      <c r="QH366" s="1259"/>
      <c r="QI366" s="1259"/>
      <c r="QJ366" s="1259"/>
      <c r="QK366" s="1259"/>
      <c r="QL366" s="1259"/>
      <c r="QM366" s="1259"/>
      <c r="QN366" s="1259"/>
      <c r="QO366" s="1259"/>
      <c r="QP366" s="1259"/>
      <c r="QQ366" s="1259"/>
      <c r="QR366" s="1259"/>
      <c r="QS366" s="1259"/>
      <c r="QT366" s="1259"/>
      <c r="QU366" s="1259"/>
      <c r="QV366" s="1259"/>
      <c r="QW366" s="1259"/>
      <c r="QX366" s="1259"/>
      <c r="QY366" s="1259"/>
      <c r="QZ366" s="1259"/>
      <c r="RA366" s="1259"/>
      <c r="RB366" s="1259"/>
      <c r="RC366" s="1259"/>
      <c r="RD366" s="1259"/>
      <c r="RE366" s="1259"/>
      <c r="RF366" s="1259"/>
      <c r="RG366" s="1259"/>
      <c r="RH366" s="1259"/>
      <c r="RI366" s="1259"/>
      <c r="RJ366" s="1259"/>
      <c r="RK366" s="1259"/>
      <c r="RL366" s="1259"/>
      <c r="RM366" s="1259"/>
      <c r="RN366" s="1259"/>
      <c r="RO366" s="1259"/>
      <c r="RP366" s="1259"/>
      <c r="RQ366" s="1259"/>
      <c r="RR366" s="1259"/>
      <c r="RS366" s="1259"/>
      <c r="RT366" s="1259"/>
      <c r="RU366" s="1259"/>
      <c r="RV366" s="1259"/>
      <c r="RW366" s="1259"/>
      <c r="RX366" s="1259"/>
      <c r="RY366" s="1259"/>
      <c r="RZ366" s="1259"/>
      <c r="SA366" s="1259"/>
      <c r="SB366" s="1259"/>
      <c r="SC366" s="1259"/>
      <c r="SD366" s="1259"/>
      <c r="SE366" s="1259"/>
      <c r="SF366" s="1259"/>
      <c r="SG366" s="1259"/>
      <c r="SH366" s="1259"/>
      <c r="SI366" s="1259"/>
      <c r="SJ366" s="1259"/>
      <c r="SK366" s="1259"/>
      <c r="SL366" s="1259"/>
      <c r="SM366" s="1259"/>
      <c r="SN366" s="1259"/>
      <c r="SO366" s="1259"/>
      <c r="SP366" s="1259"/>
      <c r="SQ366" s="1259"/>
      <c r="SR366" s="1259"/>
      <c r="SS366" s="1259"/>
      <c r="ST366" s="1259"/>
      <c r="SU366" s="1259"/>
      <c r="SV366" s="1259"/>
      <c r="SW366" s="1259"/>
      <c r="SX366" s="1259"/>
      <c r="SY366" s="1259"/>
      <c r="SZ366" s="1259"/>
      <c r="TA366" s="1259"/>
      <c r="TB366" s="1259"/>
      <c r="TC366" s="1259"/>
      <c r="TD366" s="1259"/>
      <c r="TE366" s="1259"/>
      <c r="TF366" s="1259"/>
      <c r="TG366" s="1259"/>
      <c r="TH366" s="1259"/>
      <c r="TI366" s="1259"/>
      <c r="TJ366" s="1259"/>
      <c r="TK366" s="1259"/>
      <c r="TL366" s="1259"/>
      <c r="TM366" s="1259"/>
      <c r="TN366" s="1259"/>
      <c r="TO366" s="1259"/>
      <c r="TP366" s="1259"/>
      <c r="TQ366" s="1259"/>
      <c r="TR366" s="1259"/>
      <c r="TS366" s="1259"/>
      <c r="TT366" s="1259"/>
      <c r="TU366" s="1259"/>
      <c r="TV366" s="1259"/>
      <c r="TW366" s="1259"/>
      <c r="TX366" s="1259"/>
      <c r="TY366" s="1259"/>
      <c r="TZ366" s="1259"/>
      <c r="UA366" s="1259"/>
      <c r="UB366" s="1259"/>
      <c r="UC366" s="1259"/>
      <c r="UD366" s="1259"/>
      <c r="UE366" s="1259"/>
      <c r="UF366" s="1259"/>
      <c r="UG366" s="1261"/>
    </row>
    <row r="367" spans="1:553" s="1262" customFormat="1" ht="29.25" customHeight="1">
      <c r="A367" s="1226"/>
      <c r="B367" s="411"/>
      <c r="C367" s="1423" t="s">
        <v>1090</v>
      </c>
      <c r="D367" s="1423" t="s">
        <v>1091</v>
      </c>
      <c r="E367" s="1423" t="s">
        <v>1091</v>
      </c>
      <c r="F367" s="1423" t="s">
        <v>1091</v>
      </c>
      <c r="G367" s="501" t="s">
        <v>193</v>
      </c>
      <c r="H367" s="412"/>
      <c r="I367" s="1314">
        <v>4</v>
      </c>
      <c r="J367" s="557">
        <v>44200</v>
      </c>
      <c r="K367" s="712">
        <v>0.7</v>
      </c>
      <c r="L367" s="1316">
        <f>I367*J367*K367</f>
        <v>123759.99999999999</v>
      </c>
      <c r="M367" s="366"/>
      <c r="N367" s="366"/>
      <c r="O367" s="366"/>
      <c r="P367" s="366"/>
      <c r="Q367" s="1135"/>
      <c r="R367" s="1228"/>
      <c r="S367" s="308"/>
      <c r="T367" s="303"/>
      <c r="U367" s="306"/>
      <c r="V367" s="307"/>
      <c r="W367" s="307"/>
      <c r="X367" s="307"/>
      <c r="Y367" s="307"/>
      <c r="Z367" s="307"/>
      <c r="AA367" s="307"/>
      <c r="AB367" s="307"/>
      <c r="AC367" s="456"/>
      <c r="AD367" s="452"/>
      <c r="AE367" s="452"/>
      <c r="AF367" s="452"/>
      <c r="AG367" s="452"/>
      <c r="AH367" s="452"/>
      <c r="AI367" s="452"/>
      <c r="AJ367" s="452"/>
      <c r="AK367" s="452"/>
      <c r="AL367" s="1259"/>
      <c r="AM367" s="1259"/>
      <c r="AN367" s="1259"/>
      <c r="AO367" s="1259"/>
      <c r="AP367" s="1259"/>
      <c r="AQ367" s="1259"/>
      <c r="AR367" s="1259"/>
      <c r="AS367" s="1259"/>
      <c r="AT367" s="1259"/>
      <c r="AU367" s="1259"/>
      <c r="AV367" s="1259"/>
      <c r="AW367" s="1259"/>
      <c r="AX367" s="1259"/>
      <c r="AY367" s="1259"/>
      <c r="AZ367" s="1259"/>
      <c r="BA367" s="1259"/>
      <c r="BB367" s="1259"/>
      <c r="BC367" s="1259"/>
      <c r="BD367" s="1259"/>
      <c r="BE367" s="1259"/>
      <c r="BF367" s="1259"/>
      <c r="BG367" s="1259"/>
      <c r="BH367" s="1259"/>
      <c r="BI367" s="1259"/>
      <c r="BJ367" s="1259"/>
      <c r="BK367" s="1259"/>
      <c r="BL367" s="1259"/>
      <c r="BM367" s="1259"/>
      <c r="BN367" s="1259"/>
      <c r="BO367" s="1259"/>
      <c r="BP367" s="1259"/>
      <c r="BQ367" s="1259"/>
      <c r="BR367" s="1259"/>
      <c r="BS367" s="1259"/>
      <c r="BT367" s="1259"/>
      <c r="BU367" s="1259"/>
      <c r="BV367" s="1259"/>
      <c r="BW367" s="1259"/>
      <c r="BX367" s="1259"/>
      <c r="BY367" s="1259"/>
      <c r="BZ367" s="1259"/>
      <c r="CA367" s="1259"/>
      <c r="CB367" s="1259"/>
      <c r="CC367" s="1259"/>
      <c r="CD367" s="1259"/>
      <c r="CE367" s="1259"/>
      <c r="CF367" s="1259"/>
      <c r="CG367" s="1259"/>
      <c r="CH367" s="1259"/>
      <c r="CI367" s="1259"/>
      <c r="CJ367" s="1259"/>
      <c r="CK367" s="1259"/>
      <c r="CL367" s="1259"/>
      <c r="CM367" s="1259"/>
      <c r="CN367" s="1259"/>
      <c r="CO367" s="1259"/>
      <c r="CP367" s="1259"/>
      <c r="CQ367" s="1259"/>
      <c r="CR367" s="1259"/>
      <c r="CS367" s="1259"/>
      <c r="CT367" s="1259"/>
      <c r="CU367" s="1259"/>
      <c r="CV367" s="1259"/>
      <c r="CW367" s="1259"/>
      <c r="CX367" s="1259"/>
      <c r="CY367" s="1259"/>
      <c r="CZ367" s="1259"/>
      <c r="DA367" s="1259"/>
      <c r="DB367" s="1259"/>
      <c r="DC367" s="1259"/>
      <c r="DD367" s="1259"/>
      <c r="DE367" s="1259"/>
      <c r="DF367" s="1259"/>
      <c r="DG367" s="1259"/>
      <c r="DH367" s="1259"/>
      <c r="DI367" s="1259"/>
      <c r="DJ367" s="1259"/>
      <c r="DK367" s="1259"/>
      <c r="DL367" s="1259"/>
      <c r="DM367" s="1259"/>
      <c r="DN367" s="1259"/>
      <c r="DO367" s="1259"/>
      <c r="DP367" s="1259"/>
      <c r="DQ367" s="1259"/>
      <c r="DR367" s="1259"/>
      <c r="DS367" s="1259"/>
      <c r="DT367" s="1259"/>
      <c r="DU367" s="1259"/>
      <c r="DV367" s="1259"/>
      <c r="DW367" s="1259"/>
      <c r="DX367" s="1259"/>
      <c r="DY367" s="1259"/>
      <c r="DZ367" s="1259"/>
      <c r="EA367" s="1259"/>
      <c r="EB367" s="1259"/>
      <c r="EC367" s="1259"/>
      <c r="ED367" s="1259"/>
      <c r="EE367" s="1259"/>
      <c r="EF367" s="1259"/>
      <c r="EG367" s="1259"/>
      <c r="EH367" s="1259"/>
      <c r="EI367" s="1259"/>
      <c r="EJ367" s="1259"/>
      <c r="EK367" s="1259"/>
      <c r="EL367" s="1259"/>
      <c r="EM367" s="1259"/>
      <c r="EN367" s="1259"/>
      <c r="EO367" s="1259"/>
      <c r="EP367" s="1259"/>
      <c r="EQ367" s="1259"/>
      <c r="ER367" s="1259"/>
      <c r="ES367" s="1259"/>
      <c r="ET367" s="1259"/>
      <c r="EU367" s="1259"/>
      <c r="EV367" s="1259"/>
      <c r="EW367" s="1259"/>
      <c r="EX367" s="1259"/>
      <c r="EY367" s="1259"/>
      <c r="EZ367" s="1259"/>
      <c r="FA367" s="1259"/>
      <c r="FB367" s="1259"/>
      <c r="FC367" s="1259"/>
      <c r="FD367" s="1259"/>
      <c r="FE367" s="1259"/>
      <c r="FF367" s="1259"/>
      <c r="FG367" s="1259"/>
      <c r="FH367" s="1259"/>
      <c r="FI367" s="1259"/>
      <c r="FJ367" s="1259"/>
      <c r="FK367" s="1259"/>
      <c r="FL367" s="1259"/>
      <c r="FM367" s="1259"/>
      <c r="FN367" s="1259"/>
      <c r="FO367" s="1259"/>
      <c r="FP367" s="1259"/>
      <c r="FQ367" s="1259"/>
      <c r="FR367" s="1259"/>
      <c r="FS367" s="1259"/>
      <c r="FT367" s="1259"/>
      <c r="FU367" s="1259"/>
      <c r="FV367" s="1259"/>
      <c r="FW367" s="1259"/>
      <c r="FX367" s="1259"/>
      <c r="FY367" s="1259"/>
      <c r="FZ367" s="1259"/>
      <c r="GA367" s="1259"/>
      <c r="GB367" s="1259"/>
      <c r="GC367" s="1259"/>
      <c r="GD367" s="1259"/>
      <c r="GE367" s="1259"/>
      <c r="GF367" s="1259"/>
      <c r="GG367" s="1259"/>
      <c r="GH367" s="1259"/>
      <c r="GI367" s="1259"/>
      <c r="GJ367" s="1259"/>
      <c r="GK367" s="1259"/>
      <c r="GL367" s="1259"/>
      <c r="GM367" s="1259"/>
      <c r="GN367" s="1259"/>
      <c r="GO367" s="1259"/>
      <c r="GP367" s="1259"/>
      <c r="GQ367" s="1259"/>
      <c r="GR367" s="1259"/>
      <c r="GS367" s="1259"/>
      <c r="GT367" s="1259"/>
      <c r="GU367" s="1259"/>
      <c r="GV367" s="1259"/>
      <c r="GW367" s="1259"/>
      <c r="GX367" s="1259"/>
      <c r="GY367" s="1259"/>
      <c r="GZ367" s="1259"/>
      <c r="HA367" s="1259"/>
      <c r="HB367" s="1259"/>
      <c r="HC367" s="1259"/>
      <c r="HD367" s="1259"/>
      <c r="HE367" s="1259"/>
      <c r="HF367" s="1259"/>
      <c r="HG367" s="1259"/>
      <c r="HH367" s="1259"/>
      <c r="HI367" s="1259"/>
      <c r="HJ367" s="1259"/>
      <c r="HK367" s="1259"/>
      <c r="HL367" s="1259"/>
      <c r="HM367" s="1259"/>
      <c r="HN367" s="1259"/>
      <c r="HO367" s="1259"/>
      <c r="HP367" s="1259"/>
      <c r="HQ367" s="1259"/>
      <c r="HR367" s="1259"/>
      <c r="HS367" s="1259"/>
      <c r="HT367" s="1259"/>
      <c r="HU367" s="1259"/>
      <c r="HV367" s="1259"/>
      <c r="HW367" s="1259"/>
      <c r="HX367" s="1259"/>
      <c r="HY367" s="1259"/>
      <c r="HZ367" s="1259"/>
      <c r="IA367" s="1259"/>
      <c r="IB367" s="1259"/>
      <c r="IC367" s="1259"/>
      <c r="ID367" s="1259"/>
      <c r="IE367" s="1259"/>
      <c r="IF367" s="1259"/>
      <c r="IG367" s="1259"/>
      <c r="IH367" s="1259"/>
      <c r="II367" s="1259"/>
      <c r="IJ367" s="1259"/>
      <c r="IK367" s="1259"/>
      <c r="IL367" s="1259"/>
      <c r="IM367" s="1259"/>
      <c r="IN367" s="1259"/>
      <c r="IO367" s="1259"/>
      <c r="IP367" s="1259"/>
      <c r="IQ367" s="1259"/>
      <c r="IR367" s="1259"/>
      <c r="IS367" s="1259"/>
      <c r="IT367" s="1259"/>
      <c r="IU367" s="1259"/>
      <c r="IV367" s="1259"/>
      <c r="IW367" s="1259"/>
      <c r="IX367" s="1259"/>
      <c r="IY367" s="1259"/>
      <c r="IZ367" s="1259"/>
      <c r="JA367" s="1259"/>
      <c r="JB367" s="1259"/>
      <c r="JC367" s="1259"/>
      <c r="JD367" s="1259"/>
      <c r="JE367" s="1259"/>
      <c r="JF367" s="1259"/>
      <c r="JG367" s="1259"/>
      <c r="JH367" s="1259"/>
      <c r="JI367" s="1259"/>
      <c r="JJ367" s="1259"/>
      <c r="JK367" s="1259"/>
      <c r="JL367" s="1259"/>
      <c r="JM367" s="1259"/>
      <c r="JN367" s="1259"/>
      <c r="JO367" s="1259"/>
      <c r="JP367" s="1259"/>
      <c r="JQ367" s="1259"/>
      <c r="JR367" s="1259"/>
      <c r="JS367" s="1259"/>
      <c r="JT367" s="1259"/>
      <c r="JU367" s="1259"/>
      <c r="JV367" s="1259"/>
      <c r="JW367" s="1259"/>
      <c r="JX367" s="1259"/>
      <c r="JY367" s="1259"/>
      <c r="JZ367" s="1259"/>
      <c r="KA367" s="1259"/>
      <c r="KB367" s="1259"/>
      <c r="KC367" s="1259"/>
      <c r="KD367" s="1259"/>
      <c r="KE367" s="1259"/>
      <c r="KF367" s="1259"/>
      <c r="KG367" s="1259"/>
      <c r="KH367" s="1259"/>
      <c r="KI367" s="1259"/>
      <c r="KJ367" s="1259"/>
      <c r="KK367" s="1259"/>
      <c r="KL367" s="1259"/>
      <c r="KM367" s="1259"/>
      <c r="KN367" s="1259"/>
      <c r="KO367" s="1259"/>
      <c r="KP367" s="1259"/>
      <c r="KQ367" s="1259"/>
      <c r="KR367" s="1259"/>
      <c r="KS367" s="1259"/>
      <c r="KT367" s="1259"/>
      <c r="KU367" s="1259"/>
      <c r="KV367" s="1259"/>
      <c r="KW367" s="1259"/>
      <c r="KX367" s="1259"/>
      <c r="KY367" s="1259"/>
      <c r="KZ367" s="1259"/>
      <c r="LA367" s="1259"/>
      <c r="LB367" s="1259"/>
      <c r="LC367" s="1259"/>
      <c r="LD367" s="1259"/>
      <c r="LE367" s="1259"/>
      <c r="LF367" s="1259"/>
      <c r="LG367" s="1259"/>
      <c r="LH367" s="1259"/>
      <c r="LI367" s="1259"/>
      <c r="LJ367" s="1259"/>
      <c r="LK367" s="1259"/>
      <c r="LL367" s="1259"/>
      <c r="LM367" s="1259"/>
      <c r="LN367" s="1259"/>
      <c r="LO367" s="1259"/>
      <c r="LP367" s="1259"/>
      <c r="LQ367" s="1259"/>
      <c r="LR367" s="1259"/>
      <c r="LS367" s="1259"/>
      <c r="LT367" s="1259"/>
      <c r="LU367" s="1259"/>
      <c r="LV367" s="1259"/>
      <c r="LW367" s="1259"/>
      <c r="LX367" s="1259"/>
      <c r="LY367" s="1259"/>
      <c r="LZ367" s="1259"/>
      <c r="MA367" s="1259"/>
      <c r="MB367" s="1259"/>
      <c r="MC367" s="1259"/>
      <c r="MD367" s="1259"/>
      <c r="ME367" s="1259"/>
      <c r="MF367" s="1259"/>
      <c r="MG367" s="1259"/>
      <c r="MH367" s="1259"/>
      <c r="MI367" s="1259"/>
      <c r="MJ367" s="1259"/>
      <c r="MK367" s="1259"/>
      <c r="ML367" s="1259"/>
      <c r="MM367" s="1259"/>
      <c r="MN367" s="1259"/>
      <c r="MO367" s="1259"/>
      <c r="MP367" s="1259"/>
      <c r="MQ367" s="1259"/>
      <c r="MR367" s="1259"/>
      <c r="MS367" s="1259"/>
      <c r="MT367" s="1259"/>
      <c r="MU367" s="1259"/>
      <c r="MV367" s="1259"/>
      <c r="MW367" s="1259"/>
      <c r="MX367" s="1259"/>
      <c r="MY367" s="1259"/>
      <c r="MZ367" s="1259"/>
      <c r="NA367" s="1259"/>
      <c r="NB367" s="1259"/>
      <c r="NC367" s="1259"/>
      <c r="ND367" s="1259"/>
      <c r="NE367" s="1259"/>
      <c r="NF367" s="1259"/>
      <c r="NG367" s="1259"/>
      <c r="NH367" s="1259"/>
      <c r="NI367" s="1259"/>
      <c r="NJ367" s="1259"/>
      <c r="NK367" s="1259"/>
      <c r="NL367" s="1259"/>
      <c r="NM367" s="1259"/>
      <c r="NN367" s="1259"/>
      <c r="NO367" s="1259"/>
      <c r="NP367" s="1259"/>
      <c r="NQ367" s="1259"/>
      <c r="NR367" s="1259"/>
      <c r="NS367" s="1259"/>
      <c r="NT367" s="1259"/>
      <c r="NU367" s="1259"/>
      <c r="NV367" s="1259"/>
      <c r="NW367" s="1259"/>
      <c r="NX367" s="1259"/>
      <c r="NY367" s="1259"/>
      <c r="NZ367" s="1259"/>
      <c r="OA367" s="1259"/>
      <c r="OB367" s="1259"/>
      <c r="OC367" s="1259"/>
      <c r="OD367" s="1259"/>
      <c r="OE367" s="1259"/>
      <c r="OF367" s="1259"/>
      <c r="OG367" s="1259"/>
      <c r="OH367" s="1259"/>
      <c r="OI367" s="1259"/>
      <c r="OJ367" s="1259"/>
      <c r="OK367" s="1259"/>
      <c r="OL367" s="1259"/>
      <c r="OM367" s="1259"/>
      <c r="ON367" s="1259"/>
      <c r="OO367" s="1259"/>
      <c r="OP367" s="1259"/>
      <c r="OQ367" s="1259"/>
      <c r="OR367" s="1259"/>
      <c r="OS367" s="1259"/>
      <c r="OT367" s="1259"/>
      <c r="OU367" s="1259"/>
      <c r="OV367" s="1259"/>
      <c r="OW367" s="1259"/>
      <c r="OX367" s="1259"/>
      <c r="OY367" s="1259"/>
      <c r="OZ367" s="1259"/>
      <c r="PA367" s="1259"/>
      <c r="PB367" s="1259"/>
      <c r="PC367" s="1259"/>
      <c r="PD367" s="1259"/>
      <c r="PE367" s="1259"/>
      <c r="PF367" s="1259"/>
      <c r="PG367" s="1259"/>
      <c r="PH367" s="1259"/>
      <c r="PI367" s="1259"/>
      <c r="PJ367" s="1259"/>
      <c r="PK367" s="1259"/>
      <c r="PL367" s="1259"/>
      <c r="PM367" s="1259"/>
      <c r="PN367" s="1259"/>
      <c r="PO367" s="1259"/>
      <c r="PP367" s="1259"/>
      <c r="PQ367" s="1259"/>
      <c r="PR367" s="1259"/>
      <c r="PS367" s="1259"/>
      <c r="PT367" s="1259"/>
      <c r="PU367" s="1259"/>
      <c r="PV367" s="1259"/>
      <c r="PW367" s="1259"/>
      <c r="PX367" s="1259"/>
      <c r="PY367" s="1259"/>
      <c r="PZ367" s="1259"/>
      <c r="QA367" s="1259"/>
      <c r="QB367" s="1259"/>
      <c r="QC367" s="1259"/>
      <c r="QD367" s="1259"/>
      <c r="QE367" s="1259"/>
      <c r="QF367" s="1259"/>
      <c r="QG367" s="1259"/>
      <c r="QH367" s="1259"/>
      <c r="QI367" s="1259"/>
      <c r="QJ367" s="1259"/>
      <c r="QK367" s="1259"/>
      <c r="QL367" s="1259"/>
      <c r="QM367" s="1259"/>
      <c r="QN367" s="1259"/>
      <c r="QO367" s="1259"/>
      <c r="QP367" s="1259"/>
      <c r="QQ367" s="1259"/>
      <c r="QR367" s="1259"/>
      <c r="QS367" s="1259"/>
      <c r="QT367" s="1259"/>
      <c r="QU367" s="1259"/>
      <c r="QV367" s="1259"/>
      <c r="QW367" s="1259"/>
      <c r="QX367" s="1259"/>
      <c r="QY367" s="1259"/>
      <c r="QZ367" s="1259"/>
      <c r="RA367" s="1259"/>
      <c r="RB367" s="1259"/>
      <c r="RC367" s="1259"/>
      <c r="RD367" s="1259"/>
      <c r="RE367" s="1259"/>
      <c r="RF367" s="1259"/>
      <c r="RG367" s="1259"/>
      <c r="RH367" s="1259"/>
      <c r="RI367" s="1259"/>
      <c r="RJ367" s="1259"/>
      <c r="RK367" s="1259"/>
      <c r="RL367" s="1259"/>
      <c r="RM367" s="1259"/>
      <c r="RN367" s="1259"/>
      <c r="RO367" s="1259"/>
      <c r="RP367" s="1259"/>
      <c r="RQ367" s="1259"/>
      <c r="RR367" s="1259"/>
      <c r="RS367" s="1259"/>
      <c r="RT367" s="1259"/>
      <c r="RU367" s="1259"/>
      <c r="RV367" s="1259"/>
      <c r="RW367" s="1259"/>
      <c r="RX367" s="1259"/>
      <c r="RY367" s="1259"/>
      <c r="RZ367" s="1259"/>
      <c r="SA367" s="1259"/>
      <c r="SB367" s="1259"/>
      <c r="SC367" s="1259"/>
      <c r="SD367" s="1259"/>
      <c r="SE367" s="1259"/>
      <c r="SF367" s="1259"/>
      <c r="SG367" s="1259"/>
      <c r="SH367" s="1259"/>
      <c r="SI367" s="1259"/>
      <c r="SJ367" s="1259"/>
      <c r="SK367" s="1259"/>
      <c r="SL367" s="1259"/>
      <c r="SM367" s="1259"/>
      <c r="SN367" s="1259"/>
      <c r="SO367" s="1259"/>
      <c r="SP367" s="1259"/>
      <c r="SQ367" s="1259"/>
      <c r="SR367" s="1259"/>
      <c r="SS367" s="1259"/>
      <c r="ST367" s="1259"/>
      <c r="SU367" s="1259"/>
      <c r="SV367" s="1259"/>
      <c r="SW367" s="1259"/>
      <c r="SX367" s="1259"/>
      <c r="SY367" s="1259"/>
      <c r="SZ367" s="1259"/>
      <c r="TA367" s="1259"/>
      <c r="TB367" s="1259"/>
      <c r="TC367" s="1259"/>
      <c r="TD367" s="1259"/>
      <c r="TE367" s="1259"/>
      <c r="TF367" s="1259"/>
      <c r="TG367" s="1259"/>
      <c r="TH367" s="1259"/>
      <c r="TI367" s="1259"/>
      <c r="TJ367" s="1259"/>
      <c r="TK367" s="1259"/>
      <c r="TL367" s="1259"/>
      <c r="TM367" s="1259"/>
      <c r="TN367" s="1259"/>
      <c r="TO367" s="1259"/>
      <c r="TP367" s="1259"/>
      <c r="TQ367" s="1259"/>
      <c r="TR367" s="1259"/>
      <c r="TS367" s="1259"/>
      <c r="TT367" s="1259"/>
      <c r="TU367" s="1259"/>
      <c r="TV367" s="1259"/>
      <c r="TW367" s="1259"/>
      <c r="TX367" s="1259"/>
      <c r="TY367" s="1259"/>
      <c r="TZ367" s="1259"/>
      <c r="UA367" s="1259"/>
      <c r="UB367" s="1259"/>
      <c r="UC367" s="1259"/>
      <c r="UD367" s="1259"/>
      <c r="UE367" s="1259"/>
      <c r="UF367" s="1259"/>
      <c r="UG367" s="1261"/>
    </row>
    <row r="368" spans="1:553" s="1262" customFormat="1" ht="43.5" customHeight="1">
      <c r="A368" s="415"/>
      <c r="B368" s="414"/>
      <c r="C368" s="1428" t="s">
        <v>1092</v>
      </c>
      <c r="D368" s="1429" t="s">
        <v>1092</v>
      </c>
      <c r="E368" s="1429" t="s">
        <v>1092</v>
      </c>
      <c r="F368" s="1430" t="s">
        <v>1092</v>
      </c>
      <c r="G368" s="415" t="s">
        <v>193</v>
      </c>
      <c r="H368" s="416"/>
      <c r="I368" s="1315">
        <v>2</v>
      </c>
      <c r="J368" s="305">
        <v>65000</v>
      </c>
      <c r="K368" s="509"/>
      <c r="L368" s="1317">
        <f>I368*J368</f>
        <v>130000</v>
      </c>
      <c r="M368" s="366"/>
      <c r="N368" s="366"/>
      <c r="O368" s="366"/>
      <c r="P368" s="366"/>
      <c r="Q368" s="1135"/>
      <c r="R368" s="1228"/>
      <c r="S368" s="308"/>
      <c r="T368" s="303"/>
      <c r="U368" s="306"/>
      <c r="V368" s="307"/>
      <c r="W368" s="307"/>
      <c r="X368" s="307"/>
      <c r="Y368" s="307"/>
      <c r="Z368" s="307"/>
      <c r="AA368" s="307"/>
      <c r="AB368" s="307"/>
      <c r="AC368" s="456"/>
      <c r="AD368" s="452"/>
      <c r="AE368" s="452"/>
      <c r="AF368" s="452"/>
      <c r="AG368" s="452"/>
      <c r="AH368" s="452"/>
      <c r="AI368" s="452"/>
      <c r="AJ368" s="452"/>
      <c r="AK368" s="452"/>
      <c r="AL368" s="1259"/>
      <c r="AM368" s="1259"/>
      <c r="AN368" s="1259"/>
      <c r="AO368" s="1259"/>
      <c r="AP368" s="1259"/>
      <c r="AQ368" s="1259"/>
      <c r="AR368" s="1259"/>
      <c r="AS368" s="1259"/>
      <c r="AT368" s="1259"/>
      <c r="AU368" s="1259"/>
      <c r="AV368" s="1259"/>
      <c r="AW368" s="1259"/>
      <c r="AX368" s="1259"/>
      <c r="AY368" s="1259"/>
      <c r="AZ368" s="1259"/>
      <c r="BA368" s="1259"/>
      <c r="BB368" s="1259"/>
      <c r="BC368" s="1259"/>
      <c r="BD368" s="1259"/>
      <c r="BE368" s="1259"/>
      <c r="BF368" s="1259"/>
      <c r="BG368" s="1259"/>
      <c r="BH368" s="1259"/>
      <c r="BI368" s="1259"/>
      <c r="BJ368" s="1259"/>
      <c r="BK368" s="1259"/>
      <c r="BL368" s="1259"/>
      <c r="BM368" s="1259"/>
      <c r="BN368" s="1259"/>
      <c r="BO368" s="1259"/>
      <c r="BP368" s="1259"/>
      <c r="BQ368" s="1259"/>
      <c r="BR368" s="1259"/>
      <c r="BS368" s="1259"/>
      <c r="BT368" s="1259"/>
      <c r="BU368" s="1259"/>
      <c r="BV368" s="1259"/>
      <c r="BW368" s="1259"/>
      <c r="BX368" s="1259"/>
      <c r="BY368" s="1259"/>
      <c r="BZ368" s="1259"/>
      <c r="CA368" s="1259"/>
      <c r="CB368" s="1259"/>
      <c r="CC368" s="1259"/>
      <c r="CD368" s="1259"/>
      <c r="CE368" s="1259"/>
      <c r="CF368" s="1259"/>
      <c r="CG368" s="1259"/>
      <c r="CH368" s="1259"/>
      <c r="CI368" s="1259"/>
      <c r="CJ368" s="1259"/>
      <c r="CK368" s="1259"/>
      <c r="CL368" s="1259"/>
      <c r="CM368" s="1259"/>
      <c r="CN368" s="1259"/>
      <c r="CO368" s="1259"/>
      <c r="CP368" s="1259"/>
      <c r="CQ368" s="1259"/>
      <c r="CR368" s="1259"/>
      <c r="CS368" s="1259"/>
      <c r="CT368" s="1259"/>
      <c r="CU368" s="1259"/>
      <c r="CV368" s="1259"/>
      <c r="CW368" s="1259"/>
      <c r="CX368" s="1259"/>
      <c r="CY368" s="1259"/>
      <c r="CZ368" s="1259"/>
      <c r="DA368" s="1259"/>
      <c r="DB368" s="1259"/>
      <c r="DC368" s="1259"/>
      <c r="DD368" s="1259"/>
      <c r="DE368" s="1259"/>
      <c r="DF368" s="1259"/>
      <c r="DG368" s="1259"/>
      <c r="DH368" s="1259"/>
      <c r="DI368" s="1259"/>
      <c r="DJ368" s="1259"/>
      <c r="DK368" s="1259"/>
      <c r="DL368" s="1259"/>
      <c r="DM368" s="1259"/>
      <c r="DN368" s="1259"/>
      <c r="DO368" s="1259"/>
      <c r="DP368" s="1259"/>
      <c r="DQ368" s="1259"/>
      <c r="DR368" s="1259"/>
      <c r="DS368" s="1259"/>
      <c r="DT368" s="1259"/>
      <c r="DU368" s="1259"/>
      <c r="DV368" s="1259"/>
      <c r="DW368" s="1259"/>
      <c r="DX368" s="1259"/>
      <c r="DY368" s="1259"/>
      <c r="DZ368" s="1259"/>
      <c r="EA368" s="1259"/>
      <c r="EB368" s="1259"/>
      <c r="EC368" s="1259"/>
      <c r="ED368" s="1259"/>
      <c r="EE368" s="1259"/>
      <c r="EF368" s="1259"/>
      <c r="EG368" s="1259"/>
      <c r="EH368" s="1259"/>
      <c r="EI368" s="1259"/>
      <c r="EJ368" s="1259"/>
      <c r="EK368" s="1259"/>
      <c r="EL368" s="1259"/>
      <c r="EM368" s="1259"/>
      <c r="EN368" s="1259"/>
      <c r="EO368" s="1259"/>
      <c r="EP368" s="1259"/>
      <c r="EQ368" s="1259"/>
      <c r="ER368" s="1259"/>
      <c r="ES368" s="1259"/>
      <c r="ET368" s="1259"/>
      <c r="EU368" s="1259"/>
      <c r="EV368" s="1259"/>
      <c r="EW368" s="1259"/>
      <c r="EX368" s="1259"/>
      <c r="EY368" s="1259"/>
      <c r="EZ368" s="1259"/>
      <c r="FA368" s="1259"/>
      <c r="FB368" s="1259"/>
      <c r="FC368" s="1259"/>
      <c r="FD368" s="1259"/>
      <c r="FE368" s="1259"/>
      <c r="FF368" s="1259"/>
      <c r="FG368" s="1259"/>
      <c r="FH368" s="1259"/>
      <c r="FI368" s="1259"/>
      <c r="FJ368" s="1259"/>
      <c r="FK368" s="1259"/>
      <c r="FL368" s="1259"/>
      <c r="FM368" s="1259"/>
      <c r="FN368" s="1259"/>
      <c r="FO368" s="1259"/>
      <c r="FP368" s="1259"/>
      <c r="FQ368" s="1259"/>
      <c r="FR368" s="1259"/>
      <c r="FS368" s="1259"/>
      <c r="FT368" s="1259"/>
      <c r="FU368" s="1259"/>
      <c r="FV368" s="1259"/>
      <c r="FW368" s="1259"/>
      <c r="FX368" s="1259"/>
      <c r="FY368" s="1259"/>
      <c r="FZ368" s="1259"/>
      <c r="GA368" s="1259"/>
      <c r="GB368" s="1259"/>
      <c r="GC368" s="1259"/>
      <c r="GD368" s="1259"/>
      <c r="GE368" s="1259"/>
      <c r="GF368" s="1259"/>
      <c r="GG368" s="1259"/>
      <c r="GH368" s="1259"/>
      <c r="GI368" s="1259"/>
      <c r="GJ368" s="1259"/>
      <c r="GK368" s="1259"/>
      <c r="GL368" s="1259"/>
      <c r="GM368" s="1259"/>
      <c r="GN368" s="1259"/>
      <c r="GO368" s="1259"/>
      <c r="GP368" s="1259"/>
      <c r="GQ368" s="1259"/>
      <c r="GR368" s="1259"/>
      <c r="GS368" s="1259"/>
      <c r="GT368" s="1259"/>
      <c r="GU368" s="1259"/>
      <c r="GV368" s="1259"/>
      <c r="GW368" s="1259"/>
      <c r="GX368" s="1259"/>
      <c r="GY368" s="1259"/>
      <c r="GZ368" s="1259"/>
      <c r="HA368" s="1259"/>
      <c r="HB368" s="1259"/>
      <c r="HC368" s="1259"/>
      <c r="HD368" s="1259"/>
      <c r="HE368" s="1259"/>
      <c r="HF368" s="1259"/>
      <c r="HG368" s="1259"/>
      <c r="HH368" s="1259"/>
      <c r="HI368" s="1259"/>
      <c r="HJ368" s="1259"/>
      <c r="HK368" s="1259"/>
      <c r="HL368" s="1259"/>
      <c r="HM368" s="1259"/>
      <c r="HN368" s="1259"/>
      <c r="HO368" s="1259"/>
      <c r="HP368" s="1259"/>
      <c r="HQ368" s="1259"/>
      <c r="HR368" s="1259"/>
      <c r="HS368" s="1259"/>
      <c r="HT368" s="1259"/>
      <c r="HU368" s="1259"/>
      <c r="HV368" s="1259"/>
      <c r="HW368" s="1259"/>
      <c r="HX368" s="1259"/>
      <c r="HY368" s="1259"/>
      <c r="HZ368" s="1259"/>
      <c r="IA368" s="1259"/>
      <c r="IB368" s="1259"/>
      <c r="IC368" s="1259"/>
      <c r="ID368" s="1259"/>
      <c r="IE368" s="1259"/>
      <c r="IF368" s="1259"/>
      <c r="IG368" s="1259"/>
      <c r="IH368" s="1259"/>
      <c r="II368" s="1259"/>
      <c r="IJ368" s="1259"/>
      <c r="IK368" s="1259"/>
      <c r="IL368" s="1259"/>
      <c r="IM368" s="1259"/>
      <c r="IN368" s="1259"/>
      <c r="IO368" s="1259"/>
      <c r="IP368" s="1259"/>
      <c r="IQ368" s="1259"/>
      <c r="IR368" s="1259"/>
      <c r="IS368" s="1259"/>
      <c r="IT368" s="1259"/>
      <c r="IU368" s="1259"/>
      <c r="IV368" s="1259"/>
      <c r="IW368" s="1259"/>
      <c r="IX368" s="1259"/>
      <c r="IY368" s="1259"/>
      <c r="IZ368" s="1259"/>
      <c r="JA368" s="1259"/>
      <c r="JB368" s="1259"/>
      <c r="JC368" s="1259"/>
      <c r="JD368" s="1259"/>
      <c r="JE368" s="1259"/>
      <c r="JF368" s="1259"/>
      <c r="JG368" s="1259"/>
      <c r="JH368" s="1259"/>
      <c r="JI368" s="1259"/>
      <c r="JJ368" s="1259"/>
      <c r="JK368" s="1259"/>
      <c r="JL368" s="1259"/>
      <c r="JM368" s="1259"/>
      <c r="JN368" s="1259"/>
      <c r="JO368" s="1259"/>
      <c r="JP368" s="1259"/>
      <c r="JQ368" s="1259"/>
      <c r="JR368" s="1259"/>
      <c r="JS368" s="1259"/>
      <c r="JT368" s="1259"/>
      <c r="JU368" s="1259"/>
      <c r="JV368" s="1259"/>
      <c r="JW368" s="1259"/>
      <c r="JX368" s="1259"/>
      <c r="JY368" s="1259"/>
      <c r="JZ368" s="1259"/>
      <c r="KA368" s="1259"/>
      <c r="KB368" s="1259"/>
      <c r="KC368" s="1259"/>
      <c r="KD368" s="1259"/>
      <c r="KE368" s="1259"/>
      <c r="KF368" s="1259"/>
      <c r="KG368" s="1259"/>
      <c r="KH368" s="1259"/>
      <c r="KI368" s="1259"/>
      <c r="KJ368" s="1259"/>
      <c r="KK368" s="1259"/>
      <c r="KL368" s="1259"/>
      <c r="KM368" s="1259"/>
      <c r="KN368" s="1259"/>
      <c r="KO368" s="1259"/>
      <c r="KP368" s="1259"/>
      <c r="KQ368" s="1259"/>
      <c r="KR368" s="1259"/>
      <c r="KS368" s="1259"/>
      <c r="KT368" s="1259"/>
      <c r="KU368" s="1259"/>
      <c r="KV368" s="1259"/>
      <c r="KW368" s="1259"/>
      <c r="KX368" s="1259"/>
      <c r="KY368" s="1259"/>
      <c r="KZ368" s="1259"/>
      <c r="LA368" s="1259"/>
      <c r="LB368" s="1259"/>
      <c r="LC368" s="1259"/>
      <c r="LD368" s="1259"/>
      <c r="LE368" s="1259"/>
      <c r="LF368" s="1259"/>
      <c r="LG368" s="1259"/>
      <c r="LH368" s="1259"/>
      <c r="LI368" s="1259"/>
      <c r="LJ368" s="1259"/>
      <c r="LK368" s="1259"/>
      <c r="LL368" s="1259"/>
      <c r="LM368" s="1259"/>
      <c r="LN368" s="1259"/>
      <c r="LO368" s="1259"/>
      <c r="LP368" s="1259"/>
      <c r="LQ368" s="1259"/>
      <c r="LR368" s="1259"/>
      <c r="LS368" s="1259"/>
      <c r="LT368" s="1259"/>
      <c r="LU368" s="1259"/>
      <c r="LV368" s="1259"/>
      <c r="LW368" s="1259"/>
      <c r="LX368" s="1259"/>
      <c r="LY368" s="1259"/>
      <c r="LZ368" s="1259"/>
      <c r="MA368" s="1259"/>
      <c r="MB368" s="1259"/>
      <c r="MC368" s="1259"/>
      <c r="MD368" s="1259"/>
      <c r="ME368" s="1259"/>
      <c r="MF368" s="1259"/>
      <c r="MG368" s="1259"/>
      <c r="MH368" s="1259"/>
      <c r="MI368" s="1259"/>
      <c r="MJ368" s="1259"/>
      <c r="MK368" s="1259"/>
      <c r="ML368" s="1259"/>
      <c r="MM368" s="1259"/>
      <c r="MN368" s="1259"/>
      <c r="MO368" s="1259"/>
      <c r="MP368" s="1259"/>
      <c r="MQ368" s="1259"/>
      <c r="MR368" s="1259"/>
      <c r="MS368" s="1259"/>
      <c r="MT368" s="1259"/>
      <c r="MU368" s="1259"/>
      <c r="MV368" s="1259"/>
      <c r="MW368" s="1259"/>
      <c r="MX368" s="1259"/>
      <c r="MY368" s="1259"/>
      <c r="MZ368" s="1259"/>
      <c r="NA368" s="1259"/>
      <c r="NB368" s="1259"/>
      <c r="NC368" s="1259"/>
      <c r="ND368" s="1259"/>
      <c r="NE368" s="1259"/>
      <c r="NF368" s="1259"/>
      <c r="NG368" s="1259"/>
      <c r="NH368" s="1259"/>
      <c r="NI368" s="1259"/>
      <c r="NJ368" s="1259"/>
      <c r="NK368" s="1259"/>
      <c r="NL368" s="1259"/>
      <c r="NM368" s="1259"/>
      <c r="NN368" s="1259"/>
      <c r="NO368" s="1259"/>
      <c r="NP368" s="1259"/>
      <c r="NQ368" s="1259"/>
      <c r="NR368" s="1259"/>
      <c r="NS368" s="1259"/>
      <c r="NT368" s="1259"/>
      <c r="NU368" s="1259"/>
      <c r="NV368" s="1259"/>
      <c r="NW368" s="1259"/>
      <c r="NX368" s="1259"/>
      <c r="NY368" s="1259"/>
      <c r="NZ368" s="1259"/>
      <c r="OA368" s="1259"/>
      <c r="OB368" s="1259"/>
      <c r="OC368" s="1259"/>
      <c r="OD368" s="1259"/>
      <c r="OE368" s="1259"/>
      <c r="OF368" s="1259"/>
      <c r="OG368" s="1259"/>
      <c r="OH368" s="1259"/>
      <c r="OI368" s="1259"/>
      <c r="OJ368" s="1259"/>
      <c r="OK368" s="1259"/>
      <c r="OL368" s="1259"/>
      <c r="OM368" s="1259"/>
      <c r="ON368" s="1259"/>
      <c r="OO368" s="1259"/>
      <c r="OP368" s="1259"/>
      <c r="OQ368" s="1259"/>
      <c r="OR368" s="1259"/>
      <c r="OS368" s="1259"/>
      <c r="OT368" s="1259"/>
      <c r="OU368" s="1259"/>
      <c r="OV368" s="1259"/>
      <c r="OW368" s="1259"/>
      <c r="OX368" s="1259"/>
      <c r="OY368" s="1259"/>
      <c r="OZ368" s="1259"/>
      <c r="PA368" s="1259"/>
      <c r="PB368" s="1259"/>
      <c r="PC368" s="1259"/>
      <c r="PD368" s="1259"/>
      <c r="PE368" s="1259"/>
      <c r="PF368" s="1259"/>
      <c r="PG368" s="1259"/>
      <c r="PH368" s="1259"/>
      <c r="PI368" s="1259"/>
      <c r="PJ368" s="1259"/>
      <c r="PK368" s="1259"/>
      <c r="PL368" s="1259"/>
      <c r="PM368" s="1259"/>
      <c r="PN368" s="1259"/>
      <c r="PO368" s="1259"/>
      <c r="PP368" s="1259"/>
      <c r="PQ368" s="1259"/>
      <c r="PR368" s="1259"/>
      <c r="PS368" s="1259"/>
      <c r="PT368" s="1259"/>
      <c r="PU368" s="1259"/>
      <c r="PV368" s="1259"/>
      <c r="PW368" s="1259"/>
      <c r="PX368" s="1259"/>
      <c r="PY368" s="1259"/>
      <c r="PZ368" s="1259"/>
      <c r="QA368" s="1259"/>
      <c r="QB368" s="1259"/>
      <c r="QC368" s="1259"/>
      <c r="QD368" s="1259"/>
      <c r="QE368" s="1259"/>
      <c r="QF368" s="1259"/>
      <c r="QG368" s="1259"/>
      <c r="QH368" s="1259"/>
      <c r="QI368" s="1259"/>
      <c r="QJ368" s="1259"/>
      <c r="QK368" s="1259"/>
      <c r="QL368" s="1259"/>
      <c r="QM368" s="1259"/>
      <c r="QN368" s="1259"/>
      <c r="QO368" s="1259"/>
      <c r="QP368" s="1259"/>
      <c r="QQ368" s="1259"/>
      <c r="QR368" s="1259"/>
      <c r="QS368" s="1259"/>
      <c r="QT368" s="1259"/>
      <c r="QU368" s="1259"/>
      <c r="QV368" s="1259"/>
      <c r="QW368" s="1259"/>
      <c r="QX368" s="1259"/>
      <c r="QY368" s="1259"/>
      <c r="QZ368" s="1259"/>
      <c r="RA368" s="1259"/>
      <c r="RB368" s="1259"/>
      <c r="RC368" s="1259"/>
      <c r="RD368" s="1259"/>
      <c r="RE368" s="1259"/>
      <c r="RF368" s="1259"/>
      <c r="RG368" s="1259"/>
      <c r="RH368" s="1259"/>
      <c r="RI368" s="1259"/>
      <c r="RJ368" s="1259"/>
      <c r="RK368" s="1259"/>
      <c r="RL368" s="1259"/>
      <c r="RM368" s="1259"/>
      <c r="RN368" s="1259"/>
      <c r="RO368" s="1259"/>
      <c r="RP368" s="1259"/>
      <c r="RQ368" s="1259"/>
      <c r="RR368" s="1259"/>
      <c r="RS368" s="1259"/>
      <c r="RT368" s="1259"/>
      <c r="RU368" s="1259"/>
      <c r="RV368" s="1259"/>
      <c r="RW368" s="1259"/>
      <c r="RX368" s="1259"/>
      <c r="RY368" s="1259"/>
      <c r="RZ368" s="1259"/>
      <c r="SA368" s="1259"/>
      <c r="SB368" s="1259"/>
      <c r="SC368" s="1259"/>
      <c r="SD368" s="1259"/>
      <c r="SE368" s="1259"/>
      <c r="SF368" s="1259"/>
      <c r="SG368" s="1259"/>
      <c r="SH368" s="1259"/>
      <c r="SI368" s="1259"/>
      <c r="SJ368" s="1259"/>
      <c r="SK368" s="1259"/>
      <c r="SL368" s="1259"/>
      <c r="SM368" s="1259"/>
      <c r="SN368" s="1259"/>
      <c r="SO368" s="1259"/>
      <c r="SP368" s="1259"/>
      <c r="SQ368" s="1259"/>
      <c r="SR368" s="1259"/>
      <c r="SS368" s="1259"/>
      <c r="ST368" s="1259"/>
      <c r="SU368" s="1259"/>
      <c r="SV368" s="1259"/>
      <c r="SW368" s="1259"/>
      <c r="SX368" s="1259"/>
      <c r="SY368" s="1259"/>
      <c r="SZ368" s="1259"/>
      <c r="TA368" s="1259"/>
      <c r="TB368" s="1259"/>
      <c r="TC368" s="1259"/>
      <c r="TD368" s="1259"/>
      <c r="TE368" s="1259"/>
      <c r="TF368" s="1259"/>
      <c r="TG368" s="1259"/>
      <c r="TH368" s="1259"/>
      <c r="TI368" s="1259"/>
      <c r="TJ368" s="1259"/>
      <c r="TK368" s="1259"/>
      <c r="TL368" s="1259"/>
      <c r="TM368" s="1259"/>
      <c r="TN368" s="1259"/>
      <c r="TO368" s="1259"/>
      <c r="TP368" s="1259"/>
      <c r="TQ368" s="1259"/>
      <c r="TR368" s="1259"/>
      <c r="TS368" s="1259"/>
      <c r="TT368" s="1259"/>
      <c r="TU368" s="1259"/>
      <c r="TV368" s="1259"/>
      <c r="TW368" s="1259"/>
      <c r="TX368" s="1259"/>
      <c r="TY368" s="1259"/>
      <c r="TZ368" s="1259"/>
      <c r="UA368" s="1259"/>
      <c r="UB368" s="1259"/>
      <c r="UC368" s="1259"/>
      <c r="UD368" s="1259"/>
      <c r="UE368" s="1259"/>
      <c r="UF368" s="1259"/>
      <c r="UG368" s="1261"/>
    </row>
    <row r="369" spans="1:553" s="1262" customFormat="1" ht="29.25" customHeight="1">
      <c r="A369" s="366"/>
      <c r="B369" s="356"/>
      <c r="C369" s="1379" t="s">
        <v>1093</v>
      </c>
      <c r="D369" s="1380" t="s">
        <v>1093</v>
      </c>
      <c r="E369" s="1380" t="s">
        <v>1093</v>
      </c>
      <c r="F369" s="1381" t="s">
        <v>1093</v>
      </c>
      <c r="G369" s="366" t="s">
        <v>193</v>
      </c>
      <c r="H369" s="417"/>
      <c r="I369" s="422">
        <v>4</v>
      </c>
      <c r="J369" s="1087">
        <v>75000</v>
      </c>
      <c r="K369" s="506"/>
      <c r="L369" s="480">
        <f t="shared" ref="L369:L370" si="78">ROUND(PRODUCT(I369:K369),0)</f>
        <v>300000</v>
      </c>
      <c r="M369" s="366"/>
      <c r="N369" s="366"/>
      <c r="O369" s="366"/>
      <c r="P369" s="366"/>
      <c r="Q369" s="1135"/>
      <c r="R369" s="1228"/>
      <c r="S369" s="308"/>
      <c r="T369" s="303"/>
      <c r="U369" s="306"/>
      <c r="V369" s="307"/>
      <c r="W369" s="307"/>
      <c r="X369" s="307"/>
      <c r="Y369" s="307"/>
      <c r="Z369" s="307"/>
      <c r="AA369" s="307"/>
      <c r="AB369" s="307"/>
      <c r="AC369" s="456"/>
      <c r="AD369" s="452"/>
      <c r="AE369" s="452"/>
      <c r="AF369" s="452"/>
      <c r="AG369" s="452"/>
      <c r="AH369" s="452"/>
      <c r="AI369" s="452"/>
      <c r="AJ369" s="452"/>
      <c r="AK369" s="452"/>
      <c r="AL369" s="1259"/>
      <c r="AM369" s="1259"/>
      <c r="AN369" s="1259"/>
      <c r="AO369" s="1259"/>
      <c r="AP369" s="1259"/>
      <c r="AQ369" s="1259"/>
      <c r="AR369" s="1259"/>
      <c r="AS369" s="1259"/>
      <c r="AT369" s="1259"/>
      <c r="AU369" s="1259"/>
      <c r="AV369" s="1259"/>
      <c r="AW369" s="1259"/>
      <c r="AX369" s="1259"/>
      <c r="AY369" s="1259"/>
      <c r="AZ369" s="1259"/>
      <c r="BA369" s="1259"/>
      <c r="BB369" s="1259"/>
      <c r="BC369" s="1259"/>
      <c r="BD369" s="1259"/>
      <c r="BE369" s="1259"/>
      <c r="BF369" s="1259"/>
      <c r="BG369" s="1259"/>
      <c r="BH369" s="1259"/>
      <c r="BI369" s="1259"/>
      <c r="BJ369" s="1259"/>
      <c r="BK369" s="1259"/>
      <c r="BL369" s="1259"/>
      <c r="BM369" s="1259"/>
      <c r="BN369" s="1259"/>
      <c r="BO369" s="1259"/>
      <c r="BP369" s="1259"/>
      <c r="BQ369" s="1259"/>
      <c r="BR369" s="1259"/>
      <c r="BS369" s="1259"/>
      <c r="BT369" s="1259"/>
      <c r="BU369" s="1259"/>
      <c r="BV369" s="1259"/>
      <c r="BW369" s="1259"/>
      <c r="BX369" s="1259"/>
      <c r="BY369" s="1259"/>
      <c r="BZ369" s="1259"/>
      <c r="CA369" s="1259"/>
      <c r="CB369" s="1259"/>
      <c r="CC369" s="1259"/>
      <c r="CD369" s="1259"/>
      <c r="CE369" s="1259"/>
      <c r="CF369" s="1259"/>
      <c r="CG369" s="1259"/>
      <c r="CH369" s="1259"/>
      <c r="CI369" s="1259"/>
      <c r="CJ369" s="1259"/>
      <c r="CK369" s="1259"/>
      <c r="CL369" s="1259"/>
      <c r="CM369" s="1259"/>
      <c r="CN369" s="1259"/>
      <c r="CO369" s="1259"/>
      <c r="CP369" s="1259"/>
      <c r="CQ369" s="1259"/>
      <c r="CR369" s="1259"/>
      <c r="CS369" s="1259"/>
      <c r="CT369" s="1259"/>
      <c r="CU369" s="1259"/>
      <c r="CV369" s="1259"/>
      <c r="CW369" s="1259"/>
      <c r="CX369" s="1259"/>
      <c r="CY369" s="1259"/>
      <c r="CZ369" s="1259"/>
      <c r="DA369" s="1259"/>
      <c r="DB369" s="1259"/>
      <c r="DC369" s="1259"/>
      <c r="DD369" s="1259"/>
      <c r="DE369" s="1259"/>
      <c r="DF369" s="1259"/>
      <c r="DG369" s="1259"/>
      <c r="DH369" s="1259"/>
      <c r="DI369" s="1259"/>
      <c r="DJ369" s="1259"/>
      <c r="DK369" s="1259"/>
      <c r="DL369" s="1259"/>
      <c r="DM369" s="1259"/>
      <c r="DN369" s="1259"/>
      <c r="DO369" s="1259"/>
      <c r="DP369" s="1259"/>
      <c r="DQ369" s="1259"/>
      <c r="DR369" s="1259"/>
      <c r="DS369" s="1259"/>
      <c r="DT369" s="1259"/>
      <c r="DU369" s="1259"/>
      <c r="DV369" s="1259"/>
      <c r="DW369" s="1259"/>
      <c r="DX369" s="1259"/>
      <c r="DY369" s="1259"/>
      <c r="DZ369" s="1259"/>
      <c r="EA369" s="1259"/>
      <c r="EB369" s="1259"/>
      <c r="EC369" s="1259"/>
      <c r="ED369" s="1259"/>
      <c r="EE369" s="1259"/>
      <c r="EF369" s="1259"/>
      <c r="EG369" s="1259"/>
      <c r="EH369" s="1259"/>
      <c r="EI369" s="1259"/>
      <c r="EJ369" s="1259"/>
      <c r="EK369" s="1259"/>
      <c r="EL369" s="1259"/>
      <c r="EM369" s="1259"/>
      <c r="EN369" s="1259"/>
      <c r="EO369" s="1259"/>
      <c r="EP369" s="1259"/>
      <c r="EQ369" s="1259"/>
      <c r="ER369" s="1259"/>
      <c r="ES369" s="1259"/>
      <c r="ET369" s="1259"/>
      <c r="EU369" s="1259"/>
      <c r="EV369" s="1259"/>
      <c r="EW369" s="1259"/>
      <c r="EX369" s="1259"/>
      <c r="EY369" s="1259"/>
      <c r="EZ369" s="1259"/>
      <c r="FA369" s="1259"/>
      <c r="FB369" s="1259"/>
      <c r="FC369" s="1259"/>
      <c r="FD369" s="1259"/>
      <c r="FE369" s="1259"/>
      <c r="FF369" s="1259"/>
      <c r="FG369" s="1259"/>
      <c r="FH369" s="1259"/>
      <c r="FI369" s="1259"/>
      <c r="FJ369" s="1259"/>
      <c r="FK369" s="1259"/>
      <c r="FL369" s="1259"/>
      <c r="FM369" s="1259"/>
      <c r="FN369" s="1259"/>
      <c r="FO369" s="1259"/>
      <c r="FP369" s="1259"/>
      <c r="FQ369" s="1259"/>
      <c r="FR369" s="1259"/>
      <c r="FS369" s="1259"/>
      <c r="FT369" s="1259"/>
      <c r="FU369" s="1259"/>
      <c r="FV369" s="1259"/>
      <c r="FW369" s="1259"/>
      <c r="FX369" s="1259"/>
      <c r="FY369" s="1259"/>
      <c r="FZ369" s="1259"/>
      <c r="GA369" s="1259"/>
      <c r="GB369" s="1259"/>
      <c r="GC369" s="1259"/>
      <c r="GD369" s="1259"/>
      <c r="GE369" s="1259"/>
      <c r="GF369" s="1259"/>
      <c r="GG369" s="1259"/>
      <c r="GH369" s="1259"/>
      <c r="GI369" s="1259"/>
      <c r="GJ369" s="1259"/>
      <c r="GK369" s="1259"/>
      <c r="GL369" s="1259"/>
      <c r="GM369" s="1259"/>
      <c r="GN369" s="1259"/>
      <c r="GO369" s="1259"/>
      <c r="GP369" s="1259"/>
      <c r="GQ369" s="1259"/>
      <c r="GR369" s="1259"/>
      <c r="GS369" s="1259"/>
      <c r="GT369" s="1259"/>
      <c r="GU369" s="1259"/>
      <c r="GV369" s="1259"/>
      <c r="GW369" s="1259"/>
      <c r="GX369" s="1259"/>
      <c r="GY369" s="1259"/>
      <c r="GZ369" s="1259"/>
      <c r="HA369" s="1259"/>
      <c r="HB369" s="1259"/>
      <c r="HC369" s="1259"/>
      <c r="HD369" s="1259"/>
      <c r="HE369" s="1259"/>
      <c r="HF369" s="1259"/>
      <c r="HG369" s="1259"/>
      <c r="HH369" s="1259"/>
      <c r="HI369" s="1259"/>
      <c r="HJ369" s="1259"/>
      <c r="HK369" s="1259"/>
      <c r="HL369" s="1259"/>
      <c r="HM369" s="1259"/>
      <c r="HN369" s="1259"/>
      <c r="HO369" s="1259"/>
      <c r="HP369" s="1259"/>
      <c r="HQ369" s="1259"/>
      <c r="HR369" s="1259"/>
      <c r="HS369" s="1259"/>
      <c r="HT369" s="1259"/>
      <c r="HU369" s="1259"/>
      <c r="HV369" s="1259"/>
      <c r="HW369" s="1259"/>
      <c r="HX369" s="1259"/>
      <c r="HY369" s="1259"/>
      <c r="HZ369" s="1259"/>
      <c r="IA369" s="1259"/>
      <c r="IB369" s="1259"/>
      <c r="IC369" s="1259"/>
      <c r="ID369" s="1259"/>
      <c r="IE369" s="1259"/>
      <c r="IF369" s="1259"/>
      <c r="IG369" s="1259"/>
      <c r="IH369" s="1259"/>
      <c r="II369" s="1259"/>
      <c r="IJ369" s="1259"/>
      <c r="IK369" s="1259"/>
      <c r="IL369" s="1259"/>
      <c r="IM369" s="1259"/>
      <c r="IN369" s="1259"/>
      <c r="IO369" s="1259"/>
      <c r="IP369" s="1259"/>
      <c r="IQ369" s="1259"/>
      <c r="IR369" s="1259"/>
      <c r="IS369" s="1259"/>
      <c r="IT369" s="1259"/>
      <c r="IU369" s="1259"/>
      <c r="IV369" s="1259"/>
      <c r="IW369" s="1259"/>
      <c r="IX369" s="1259"/>
      <c r="IY369" s="1259"/>
      <c r="IZ369" s="1259"/>
      <c r="JA369" s="1259"/>
      <c r="JB369" s="1259"/>
      <c r="JC369" s="1259"/>
      <c r="JD369" s="1259"/>
      <c r="JE369" s="1259"/>
      <c r="JF369" s="1259"/>
      <c r="JG369" s="1259"/>
      <c r="JH369" s="1259"/>
      <c r="JI369" s="1259"/>
      <c r="JJ369" s="1259"/>
      <c r="JK369" s="1259"/>
      <c r="JL369" s="1259"/>
      <c r="JM369" s="1259"/>
      <c r="JN369" s="1259"/>
      <c r="JO369" s="1259"/>
      <c r="JP369" s="1259"/>
      <c r="JQ369" s="1259"/>
      <c r="JR369" s="1259"/>
      <c r="JS369" s="1259"/>
      <c r="JT369" s="1259"/>
      <c r="JU369" s="1259"/>
      <c r="JV369" s="1259"/>
      <c r="JW369" s="1259"/>
      <c r="JX369" s="1259"/>
      <c r="JY369" s="1259"/>
      <c r="JZ369" s="1259"/>
      <c r="KA369" s="1259"/>
      <c r="KB369" s="1259"/>
      <c r="KC369" s="1259"/>
      <c r="KD369" s="1259"/>
      <c r="KE369" s="1259"/>
      <c r="KF369" s="1259"/>
      <c r="KG369" s="1259"/>
      <c r="KH369" s="1259"/>
      <c r="KI369" s="1259"/>
      <c r="KJ369" s="1259"/>
      <c r="KK369" s="1259"/>
      <c r="KL369" s="1259"/>
      <c r="KM369" s="1259"/>
      <c r="KN369" s="1259"/>
      <c r="KO369" s="1259"/>
      <c r="KP369" s="1259"/>
      <c r="KQ369" s="1259"/>
      <c r="KR369" s="1259"/>
      <c r="KS369" s="1259"/>
      <c r="KT369" s="1259"/>
      <c r="KU369" s="1259"/>
      <c r="KV369" s="1259"/>
      <c r="KW369" s="1259"/>
      <c r="KX369" s="1259"/>
      <c r="KY369" s="1259"/>
      <c r="KZ369" s="1259"/>
      <c r="LA369" s="1259"/>
      <c r="LB369" s="1259"/>
      <c r="LC369" s="1259"/>
      <c r="LD369" s="1259"/>
      <c r="LE369" s="1259"/>
      <c r="LF369" s="1259"/>
      <c r="LG369" s="1259"/>
      <c r="LH369" s="1259"/>
      <c r="LI369" s="1259"/>
      <c r="LJ369" s="1259"/>
      <c r="LK369" s="1259"/>
      <c r="LL369" s="1259"/>
      <c r="LM369" s="1259"/>
      <c r="LN369" s="1259"/>
      <c r="LO369" s="1259"/>
      <c r="LP369" s="1259"/>
      <c r="LQ369" s="1259"/>
      <c r="LR369" s="1259"/>
      <c r="LS369" s="1259"/>
      <c r="LT369" s="1259"/>
      <c r="LU369" s="1259"/>
      <c r="LV369" s="1259"/>
      <c r="LW369" s="1259"/>
      <c r="LX369" s="1259"/>
      <c r="LY369" s="1259"/>
      <c r="LZ369" s="1259"/>
      <c r="MA369" s="1259"/>
      <c r="MB369" s="1259"/>
      <c r="MC369" s="1259"/>
      <c r="MD369" s="1259"/>
      <c r="ME369" s="1259"/>
      <c r="MF369" s="1259"/>
      <c r="MG369" s="1259"/>
      <c r="MH369" s="1259"/>
      <c r="MI369" s="1259"/>
      <c r="MJ369" s="1259"/>
      <c r="MK369" s="1259"/>
      <c r="ML369" s="1259"/>
      <c r="MM369" s="1259"/>
      <c r="MN369" s="1259"/>
      <c r="MO369" s="1259"/>
      <c r="MP369" s="1259"/>
      <c r="MQ369" s="1259"/>
      <c r="MR369" s="1259"/>
      <c r="MS369" s="1259"/>
      <c r="MT369" s="1259"/>
      <c r="MU369" s="1259"/>
      <c r="MV369" s="1259"/>
      <c r="MW369" s="1259"/>
      <c r="MX369" s="1259"/>
      <c r="MY369" s="1259"/>
      <c r="MZ369" s="1259"/>
      <c r="NA369" s="1259"/>
      <c r="NB369" s="1259"/>
      <c r="NC369" s="1259"/>
      <c r="ND369" s="1259"/>
      <c r="NE369" s="1259"/>
      <c r="NF369" s="1259"/>
      <c r="NG369" s="1259"/>
      <c r="NH369" s="1259"/>
      <c r="NI369" s="1259"/>
      <c r="NJ369" s="1259"/>
      <c r="NK369" s="1259"/>
      <c r="NL369" s="1259"/>
      <c r="NM369" s="1259"/>
      <c r="NN369" s="1259"/>
      <c r="NO369" s="1259"/>
      <c r="NP369" s="1259"/>
      <c r="NQ369" s="1259"/>
      <c r="NR369" s="1259"/>
      <c r="NS369" s="1259"/>
      <c r="NT369" s="1259"/>
      <c r="NU369" s="1259"/>
      <c r="NV369" s="1259"/>
      <c r="NW369" s="1259"/>
      <c r="NX369" s="1259"/>
      <c r="NY369" s="1259"/>
      <c r="NZ369" s="1259"/>
      <c r="OA369" s="1259"/>
      <c r="OB369" s="1259"/>
      <c r="OC369" s="1259"/>
      <c r="OD369" s="1259"/>
      <c r="OE369" s="1259"/>
      <c r="OF369" s="1259"/>
      <c r="OG369" s="1259"/>
      <c r="OH369" s="1259"/>
      <c r="OI369" s="1259"/>
      <c r="OJ369" s="1259"/>
      <c r="OK369" s="1259"/>
      <c r="OL369" s="1259"/>
      <c r="OM369" s="1259"/>
      <c r="ON369" s="1259"/>
      <c r="OO369" s="1259"/>
      <c r="OP369" s="1259"/>
      <c r="OQ369" s="1259"/>
      <c r="OR369" s="1259"/>
      <c r="OS369" s="1259"/>
      <c r="OT369" s="1259"/>
      <c r="OU369" s="1259"/>
      <c r="OV369" s="1259"/>
      <c r="OW369" s="1259"/>
      <c r="OX369" s="1259"/>
      <c r="OY369" s="1259"/>
      <c r="OZ369" s="1259"/>
      <c r="PA369" s="1259"/>
      <c r="PB369" s="1259"/>
      <c r="PC369" s="1259"/>
      <c r="PD369" s="1259"/>
      <c r="PE369" s="1259"/>
      <c r="PF369" s="1259"/>
      <c r="PG369" s="1259"/>
      <c r="PH369" s="1259"/>
      <c r="PI369" s="1259"/>
      <c r="PJ369" s="1259"/>
      <c r="PK369" s="1259"/>
      <c r="PL369" s="1259"/>
      <c r="PM369" s="1259"/>
      <c r="PN369" s="1259"/>
      <c r="PO369" s="1259"/>
      <c r="PP369" s="1259"/>
      <c r="PQ369" s="1259"/>
      <c r="PR369" s="1259"/>
      <c r="PS369" s="1259"/>
      <c r="PT369" s="1259"/>
      <c r="PU369" s="1259"/>
      <c r="PV369" s="1259"/>
      <c r="PW369" s="1259"/>
      <c r="PX369" s="1259"/>
      <c r="PY369" s="1259"/>
      <c r="PZ369" s="1259"/>
      <c r="QA369" s="1259"/>
      <c r="QB369" s="1259"/>
      <c r="QC369" s="1259"/>
      <c r="QD369" s="1259"/>
      <c r="QE369" s="1259"/>
      <c r="QF369" s="1259"/>
      <c r="QG369" s="1259"/>
      <c r="QH369" s="1259"/>
      <c r="QI369" s="1259"/>
      <c r="QJ369" s="1259"/>
      <c r="QK369" s="1259"/>
      <c r="QL369" s="1259"/>
      <c r="QM369" s="1259"/>
      <c r="QN369" s="1259"/>
      <c r="QO369" s="1259"/>
      <c r="QP369" s="1259"/>
      <c r="QQ369" s="1259"/>
      <c r="QR369" s="1259"/>
      <c r="QS369" s="1259"/>
      <c r="QT369" s="1259"/>
      <c r="QU369" s="1259"/>
      <c r="QV369" s="1259"/>
      <c r="QW369" s="1259"/>
      <c r="QX369" s="1259"/>
      <c r="QY369" s="1259"/>
      <c r="QZ369" s="1259"/>
      <c r="RA369" s="1259"/>
      <c r="RB369" s="1259"/>
      <c r="RC369" s="1259"/>
      <c r="RD369" s="1259"/>
      <c r="RE369" s="1259"/>
      <c r="RF369" s="1259"/>
      <c r="RG369" s="1259"/>
      <c r="RH369" s="1259"/>
      <c r="RI369" s="1259"/>
      <c r="RJ369" s="1259"/>
      <c r="RK369" s="1259"/>
      <c r="RL369" s="1259"/>
      <c r="RM369" s="1259"/>
      <c r="RN369" s="1259"/>
      <c r="RO369" s="1259"/>
      <c r="RP369" s="1259"/>
      <c r="RQ369" s="1259"/>
      <c r="RR369" s="1259"/>
      <c r="RS369" s="1259"/>
      <c r="RT369" s="1259"/>
      <c r="RU369" s="1259"/>
      <c r="RV369" s="1259"/>
      <c r="RW369" s="1259"/>
      <c r="RX369" s="1259"/>
      <c r="RY369" s="1259"/>
      <c r="RZ369" s="1259"/>
      <c r="SA369" s="1259"/>
      <c r="SB369" s="1259"/>
      <c r="SC369" s="1259"/>
      <c r="SD369" s="1259"/>
      <c r="SE369" s="1259"/>
      <c r="SF369" s="1259"/>
      <c r="SG369" s="1259"/>
      <c r="SH369" s="1259"/>
      <c r="SI369" s="1259"/>
      <c r="SJ369" s="1259"/>
      <c r="SK369" s="1259"/>
      <c r="SL369" s="1259"/>
      <c r="SM369" s="1259"/>
      <c r="SN369" s="1259"/>
      <c r="SO369" s="1259"/>
      <c r="SP369" s="1259"/>
      <c r="SQ369" s="1259"/>
      <c r="SR369" s="1259"/>
      <c r="SS369" s="1259"/>
      <c r="ST369" s="1259"/>
      <c r="SU369" s="1259"/>
      <c r="SV369" s="1259"/>
      <c r="SW369" s="1259"/>
      <c r="SX369" s="1259"/>
      <c r="SY369" s="1259"/>
      <c r="SZ369" s="1259"/>
      <c r="TA369" s="1259"/>
      <c r="TB369" s="1259"/>
      <c r="TC369" s="1259"/>
      <c r="TD369" s="1259"/>
      <c r="TE369" s="1259"/>
      <c r="TF369" s="1259"/>
      <c r="TG369" s="1259"/>
      <c r="TH369" s="1259"/>
      <c r="TI369" s="1259"/>
      <c r="TJ369" s="1259"/>
      <c r="TK369" s="1259"/>
      <c r="TL369" s="1259"/>
      <c r="TM369" s="1259"/>
      <c r="TN369" s="1259"/>
      <c r="TO369" s="1259"/>
      <c r="TP369" s="1259"/>
      <c r="TQ369" s="1259"/>
      <c r="TR369" s="1259"/>
      <c r="TS369" s="1259"/>
      <c r="TT369" s="1259"/>
      <c r="TU369" s="1259"/>
      <c r="TV369" s="1259"/>
      <c r="TW369" s="1259"/>
      <c r="TX369" s="1259"/>
      <c r="TY369" s="1259"/>
      <c r="TZ369" s="1259"/>
      <c r="UA369" s="1259"/>
      <c r="UB369" s="1259"/>
      <c r="UC369" s="1259"/>
      <c r="UD369" s="1259"/>
      <c r="UE369" s="1259"/>
      <c r="UF369" s="1259"/>
      <c r="UG369" s="1261"/>
    </row>
    <row r="370" spans="1:553" s="1262" customFormat="1" ht="29.25" customHeight="1">
      <c r="A370" s="366"/>
      <c r="B370" s="356"/>
      <c r="C370" s="1379" t="s">
        <v>1094</v>
      </c>
      <c r="D370" s="1380" t="s">
        <v>1095</v>
      </c>
      <c r="E370" s="1380" t="s">
        <v>1095</v>
      </c>
      <c r="F370" s="1381" t="s">
        <v>1095</v>
      </c>
      <c r="G370" s="366" t="s">
        <v>193</v>
      </c>
      <c r="H370" s="417"/>
      <c r="I370" s="422">
        <v>1</v>
      </c>
      <c r="J370" s="368">
        <v>129000</v>
      </c>
      <c r="K370" s="388"/>
      <c r="L370" s="480">
        <f t="shared" si="78"/>
        <v>129000</v>
      </c>
      <c r="M370" s="366"/>
      <c r="N370" s="366"/>
      <c r="O370" s="366"/>
      <c r="P370" s="366"/>
      <c r="Q370" s="1135"/>
      <c r="R370" s="1228"/>
      <c r="S370" s="308"/>
      <c r="T370" s="303"/>
      <c r="U370" s="306"/>
      <c r="V370" s="307"/>
      <c r="W370" s="307"/>
      <c r="X370" s="307"/>
      <c r="Y370" s="307"/>
      <c r="Z370" s="307"/>
      <c r="AA370" s="307"/>
      <c r="AB370" s="307"/>
      <c r="AC370" s="456"/>
      <c r="AD370" s="452"/>
      <c r="AE370" s="452"/>
      <c r="AF370" s="452"/>
      <c r="AG370" s="452"/>
      <c r="AH370" s="452"/>
      <c r="AI370" s="452"/>
      <c r="AJ370" s="452"/>
      <c r="AK370" s="452"/>
      <c r="AL370" s="1259"/>
      <c r="AM370" s="1259"/>
      <c r="AN370" s="1259"/>
      <c r="AO370" s="1259"/>
      <c r="AP370" s="1259"/>
      <c r="AQ370" s="1259"/>
      <c r="AR370" s="1259"/>
      <c r="AS370" s="1259"/>
      <c r="AT370" s="1259"/>
      <c r="AU370" s="1259"/>
      <c r="AV370" s="1259"/>
      <c r="AW370" s="1259"/>
      <c r="AX370" s="1259"/>
      <c r="AY370" s="1259"/>
      <c r="AZ370" s="1259"/>
      <c r="BA370" s="1259"/>
      <c r="BB370" s="1259"/>
      <c r="BC370" s="1259"/>
      <c r="BD370" s="1259"/>
      <c r="BE370" s="1259"/>
      <c r="BF370" s="1259"/>
      <c r="BG370" s="1259"/>
      <c r="BH370" s="1259"/>
      <c r="BI370" s="1259"/>
      <c r="BJ370" s="1259"/>
      <c r="BK370" s="1259"/>
      <c r="BL370" s="1259"/>
      <c r="BM370" s="1259"/>
      <c r="BN370" s="1259"/>
      <c r="BO370" s="1259"/>
      <c r="BP370" s="1259"/>
      <c r="BQ370" s="1259"/>
      <c r="BR370" s="1259"/>
      <c r="BS370" s="1259"/>
      <c r="BT370" s="1259"/>
      <c r="BU370" s="1259"/>
      <c r="BV370" s="1259"/>
      <c r="BW370" s="1259"/>
      <c r="BX370" s="1259"/>
      <c r="BY370" s="1259"/>
      <c r="BZ370" s="1259"/>
      <c r="CA370" s="1259"/>
      <c r="CB370" s="1259"/>
      <c r="CC370" s="1259"/>
      <c r="CD370" s="1259"/>
      <c r="CE370" s="1259"/>
      <c r="CF370" s="1259"/>
      <c r="CG370" s="1259"/>
      <c r="CH370" s="1259"/>
      <c r="CI370" s="1259"/>
      <c r="CJ370" s="1259"/>
      <c r="CK370" s="1259"/>
      <c r="CL370" s="1259"/>
      <c r="CM370" s="1259"/>
      <c r="CN370" s="1259"/>
      <c r="CO370" s="1259"/>
      <c r="CP370" s="1259"/>
      <c r="CQ370" s="1259"/>
      <c r="CR370" s="1259"/>
      <c r="CS370" s="1259"/>
      <c r="CT370" s="1259"/>
      <c r="CU370" s="1259"/>
      <c r="CV370" s="1259"/>
      <c r="CW370" s="1259"/>
      <c r="CX370" s="1259"/>
      <c r="CY370" s="1259"/>
      <c r="CZ370" s="1259"/>
      <c r="DA370" s="1259"/>
      <c r="DB370" s="1259"/>
      <c r="DC370" s="1259"/>
      <c r="DD370" s="1259"/>
      <c r="DE370" s="1259"/>
      <c r="DF370" s="1259"/>
      <c r="DG370" s="1259"/>
      <c r="DH370" s="1259"/>
      <c r="DI370" s="1259"/>
      <c r="DJ370" s="1259"/>
      <c r="DK370" s="1259"/>
      <c r="DL370" s="1259"/>
      <c r="DM370" s="1259"/>
      <c r="DN370" s="1259"/>
      <c r="DO370" s="1259"/>
      <c r="DP370" s="1259"/>
      <c r="DQ370" s="1259"/>
      <c r="DR370" s="1259"/>
      <c r="DS370" s="1259"/>
      <c r="DT370" s="1259"/>
      <c r="DU370" s="1259"/>
      <c r="DV370" s="1259"/>
      <c r="DW370" s="1259"/>
      <c r="DX370" s="1259"/>
      <c r="DY370" s="1259"/>
      <c r="DZ370" s="1259"/>
      <c r="EA370" s="1259"/>
      <c r="EB370" s="1259"/>
      <c r="EC370" s="1259"/>
      <c r="ED370" s="1259"/>
      <c r="EE370" s="1259"/>
      <c r="EF370" s="1259"/>
      <c r="EG370" s="1259"/>
      <c r="EH370" s="1259"/>
      <c r="EI370" s="1259"/>
      <c r="EJ370" s="1259"/>
      <c r="EK370" s="1259"/>
      <c r="EL370" s="1259"/>
      <c r="EM370" s="1259"/>
      <c r="EN370" s="1259"/>
      <c r="EO370" s="1259"/>
      <c r="EP370" s="1259"/>
      <c r="EQ370" s="1259"/>
      <c r="ER370" s="1259"/>
      <c r="ES370" s="1259"/>
      <c r="ET370" s="1259"/>
      <c r="EU370" s="1259"/>
      <c r="EV370" s="1259"/>
      <c r="EW370" s="1259"/>
      <c r="EX370" s="1259"/>
      <c r="EY370" s="1259"/>
      <c r="EZ370" s="1259"/>
      <c r="FA370" s="1259"/>
      <c r="FB370" s="1259"/>
      <c r="FC370" s="1259"/>
      <c r="FD370" s="1259"/>
      <c r="FE370" s="1259"/>
      <c r="FF370" s="1259"/>
      <c r="FG370" s="1259"/>
      <c r="FH370" s="1259"/>
      <c r="FI370" s="1259"/>
      <c r="FJ370" s="1259"/>
      <c r="FK370" s="1259"/>
      <c r="FL370" s="1259"/>
      <c r="FM370" s="1259"/>
      <c r="FN370" s="1259"/>
      <c r="FO370" s="1259"/>
      <c r="FP370" s="1259"/>
      <c r="FQ370" s="1259"/>
      <c r="FR370" s="1259"/>
      <c r="FS370" s="1259"/>
      <c r="FT370" s="1259"/>
      <c r="FU370" s="1259"/>
      <c r="FV370" s="1259"/>
      <c r="FW370" s="1259"/>
      <c r="FX370" s="1259"/>
      <c r="FY370" s="1259"/>
      <c r="FZ370" s="1259"/>
      <c r="GA370" s="1259"/>
      <c r="GB370" s="1259"/>
      <c r="GC370" s="1259"/>
      <c r="GD370" s="1259"/>
      <c r="GE370" s="1259"/>
      <c r="GF370" s="1259"/>
      <c r="GG370" s="1259"/>
      <c r="GH370" s="1259"/>
      <c r="GI370" s="1259"/>
      <c r="GJ370" s="1259"/>
      <c r="GK370" s="1259"/>
      <c r="GL370" s="1259"/>
      <c r="GM370" s="1259"/>
      <c r="GN370" s="1259"/>
      <c r="GO370" s="1259"/>
      <c r="GP370" s="1259"/>
      <c r="GQ370" s="1259"/>
      <c r="GR370" s="1259"/>
      <c r="GS370" s="1259"/>
      <c r="GT370" s="1259"/>
      <c r="GU370" s="1259"/>
      <c r="GV370" s="1259"/>
      <c r="GW370" s="1259"/>
      <c r="GX370" s="1259"/>
      <c r="GY370" s="1259"/>
      <c r="GZ370" s="1259"/>
      <c r="HA370" s="1259"/>
      <c r="HB370" s="1259"/>
      <c r="HC370" s="1259"/>
      <c r="HD370" s="1259"/>
      <c r="HE370" s="1259"/>
      <c r="HF370" s="1259"/>
      <c r="HG370" s="1259"/>
      <c r="HH370" s="1259"/>
      <c r="HI370" s="1259"/>
      <c r="HJ370" s="1259"/>
      <c r="HK370" s="1259"/>
      <c r="HL370" s="1259"/>
      <c r="HM370" s="1259"/>
      <c r="HN370" s="1259"/>
      <c r="HO370" s="1259"/>
      <c r="HP370" s="1259"/>
      <c r="HQ370" s="1259"/>
      <c r="HR370" s="1259"/>
      <c r="HS370" s="1259"/>
      <c r="HT370" s="1259"/>
      <c r="HU370" s="1259"/>
      <c r="HV370" s="1259"/>
      <c r="HW370" s="1259"/>
      <c r="HX370" s="1259"/>
      <c r="HY370" s="1259"/>
      <c r="HZ370" s="1259"/>
      <c r="IA370" s="1259"/>
      <c r="IB370" s="1259"/>
      <c r="IC370" s="1259"/>
      <c r="ID370" s="1259"/>
      <c r="IE370" s="1259"/>
      <c r="IF370" s="1259"/>
      <c r="IG370" s="1259"/>
      <c r="IH370" s="1259"/>
      <c r="II370" s="1259"/>
      <c r="IJ370" s="1259"/>
      <c r="IK370" s="1259"/>
      <c r="IL370" s="1259"/>
      <c r="IM370" s="1259"/>
      <c r="IN370" s="1259"/>
      <c r="IO370" s="1259"/>
      <c r="IP370" s="1259"/>
      <c r="IQ370" s="1259"/>
      <c r="IR370" s="1259"/>
      <c r="IS370" s="1259"/>
      <c r="IT370" s="1259"/>
      <c r="IU370" s="1259"/>
      <c r="IV370" s="1259"/>
      <c r="IW370" s="1259"/>
      <c r="IX370" s="1259"/>
      <c r="IY370" s="1259"/>
      <c r="IZ370" s="1259"/>
      <c r="JA370" s="1259"/>
      <c r="JB370" s="1259"/>
      <c r="JC370" s="1259"/>
      <c r="JD370" s="1259"/>
      <c r="JE370" s="1259"/>
      <c r="JF370" s="1259"/>
      <c r="JG370" s="1259"/>
      <c r="JH370" s="1259"/>
      <c r="JI370" s="1259"/>
      <c r="JJ370" s="1259"/>
      <c r="JK370" s="1259"/>
      <c r="JL370" s="1259"/>
      <c r="JM370" s="1259"/>
      <c r="JN370" s="1259"/>
      <c r="JO370" s="1259"/>
      <c r="JP370" s="1259"/>
      <c r="JQ370" s="1259"/>
      <c r="JR370" s="1259"/>
      <c r="JS370" s="1259"/>
      <c r="JT370" s="1259"/>
      <c r="JU370" s="1259"/>
      <c r="JV370" s="1259"/>
      <c r="JW370" s="1259"/>
      <c r="JX370" s="1259"/>
      <c r="JY370" s="1259"/>
      <c r="JZ370" s="1259"/>
      <c r="KA370" s="1259"/>
      <c r="KB370" s="1259"/>
      <c r="KC370" s="1259"/>
      <c r="KD370" s="1259"/>
      <c r="KE370" s="1259"/>
      <c r="KF370" s="1259"/>
      <c r="KG370" s="1259"/>
      <c r="KH370" s="1259"/>
      <c r="KI370" s="1259"/>
      <c r="KJ370" s="1259"/>
      <c r="KK370" s="1259"/>
      <c r="KL370" s="1259"/>
      <c r="KM370" s="1259"/>
      <c r="KN370" s="1259"/>
      <c r="KO370" s="1259"/>
      <c r="KP370" s="1259"/>
      <c r="KQ370" s="1259"/>
      <c r="KR370" s="1259"/>
      <c r="KS370" s="1259"/>
      <c r="KT370" s="1259"/>
      <c r="KU370" s="1259"/>
      <c r="KV370" s="1259"/>
      <c r="KW370" s="1259"/>
      <c r="KX370" s="1259"/>
      <c r="KY370" s="1259"/>
      <c r="KZ370" s="1259"/>
      <c r="LA370" s="1259"/>
      <c r="LB370" s="1259"/>
      <c r="LC370" s="1259"/>
      <c r="LD370" s="1259"/>
      <c r="LE370" s="1259"/>
      <c r="LF370" s="1259"/>
      <c r="LG370" s="1259"/>
      <c r="LH370" s="1259"/>
      <c r="LI370" s="1259"/>
      <c r="LJ370" s="1259"/>
      <c r="LK370" s="1259"/>
      <c r="LL370" s="1259"/>
      <c r="LM370" s="1259"/>
      <c r="LN370" s="1259"/>
      <c r="LO370" s="1259"/>
      <c r="LP370" s="1259"/>
      <c r="LQ370" s="1259"/>
      <c r="LR370" s="1259"/>
      <c r="LS370" s="1259"/>
      <c r="LT370" s="1259"/>
      <c r="LU370" s="1259"/>
      <c r="LV370" s="1259"/>
      <c r="LW370" s="1259"/>
      <c r="LX370" s="1259"/>
      <c r="LY370" s="1259"/>
      <c r="LZ370" s="1259"/>
      <c r="MA370" s="1259"/>
      <c r="MB370" s="1259"/>
      <c r="MC370" s="1259"/>
      <c r="MD370" s="1259"/>
      <c r="ME370" s="1259"/>
      <c r="MF370" s="1259"/>
      <c r="MG370" s="1259"/>
      <c r="MH370" s="1259"/>
      <c r="MI370" s="1259"/>
      <c r="MJ370" s="1259"/>
      <c r="MK370" s="1259"/>
      <c r="ML370" s="1259"/>
      <c r="MM370" s="1259"/>
      <c r="MN370" s="1259"/>
      <c r="MO370" s="1259"/>
      <c r="MP370" s="1259"/>
      <c r="MQ370" s="1259"/>
      <c r="MR370" s="1259"/>
      <c r="MS370" s="1259"/>
      <c r="MT370" s="1259"/>
      <c r="MU370" s="1259"/>
      <c r="MV370" s="1259"/>
      <c r="MW370" s="1259"/>
      <c r="MX370" s="1259"/>
      <c r="MY370" s="1259"/>
      <c r="MZ370" s="1259"/>
      <c r="NA370" s="1259"/>
      <c r="NB370" s="1259"/>
      <c r="NC370" s="1259"/>
      <c r="ND370" s="1259"/>
      <c r="NE370" s="1259"/>
      <c r="NF370" s="1259"/>
      <c r="NG370" s="1259"/>
      <c r="NH370" s="1259"/>
      <c r="NI370" s="1259"/>
      <c r="NJ370" s="1259"/>
      <c r="NK370" s="1259"/>
      <c r="NL370" s="1259"/>
      <c r="NM370" s="1259"/>
      <c r="NN370" s="1259"/>
      <c r="NO370" s="1259"/>
      <c r="NP370" s="1259"/>
      <c r="NQ370" s="1259"/>
      <c r="NR370" s="1259"/>
      <c r="NS370" s="1259"/>
      <c r="NT370" s="1259"/>
      <c r="NU370" s="1259"/>
      <c r="NV370" s="1259"/>
      <c r="NW370" s="1259"/>
      <c r="NX370" s="1259"/>
      <c r="NY370" s="1259"/>
      <c r="NZ370" s="1259"/>
      <c r="OA370" s="1259"/>
      <c r="OB370" s="1259"/>
      <c r="OC370" s="1259"/>
      <c r="OD370" s="1259"/>
      <c r="OE370" s="1259"/>
      <c r="OF370" s="1259"/>
      <c r="OG370" s="1259"/>
      <c r="OH370" s="1259"/>
      <c r="OI370" s="1259"/>
      <c r="OJ370" s="1259"/>
      <c r="OK370" s="1259"/>
      <c r="OL370" s="1259"/>
      <c r="OM370" s="1259"/>
      <c r="ON370" s="1259"/>
      <c r="OO370" s="1259"/>
      <c r="OP370" s="1259"/>
      <c r="OQ370" s="1259"/>
      <c r="OR370" s="1259"/>
      <c r="OS370" s="1259"/>
      <c r="OT370" s="1259"/>
      <c r="OU370" s="1259"/>
      <c r="OV370" s="1259"/>
      <c r="OW370" s="1259"/>
      <c r="OX370" s="1259"/>
      <c r="OY370" s="1259"/>
      <c r="OZ370" s="1259"/>
      <c r="PA370" s="1259"/>
      <c r="PB370" s="1259"/>
      <c r="PC370" s="1259"/>
      <c r="PD370" s="1259"/>
      <c r="PE370" s="1259"/>
      <c r="PF370" s="1259"/>
      <c r="PG370" s="1259"/>
      <c r="PH370" s="1259"/>
      <c r="PI370" s="1259"/>
      <c r="PJ370" s="1259"/>
      <c r="PK370" s="1259"/>
      <c r="PL370" s="1259"/>
      <c r="PM370" s="1259"/>
      <c r="PN370" s="1259"/>
      <c r="PO370" s="1259"/>
      <c r="PP370" s="1259"/>
      <c r="PQ370" s="1259"/>
      <c r="PR370" s="1259"/>
      <c r="PS370" s="1259"/>
      <c r="PT370" s="1259"/>
      <c r="PU370" s="1259"/>
      <c r="PV370" s="1259"/>
      <c r="PW370" s="1259"/>
      <c r="PX370" s="1259"/>
      <c r="PY370" s="1259"/>
      <c r="PZ370" s="1259"/>
      <c r="QA370" s="1259"/>
      <c r="QB370" s="1259"/>
      <c r="QC370" s="1259"/>
      <c r="QD370" s="1259"/>
      <c r="QE370" s="1259"/>
      <c r="QF370" s="1259"/>
      <c r="QG370" s="1259"/>
      <c r="QH370" s="1259"/>
      <c r="QI370" s="1259"/>
      <c r="QJ370" s="1259"/>
      <c r="QK370" s="1259"/>
      <c r="QL370" s="1259"/>
      <c r="QM370" s="1259"/>
      <c r="QN370" s="1259"/>
      <c r="QO370" s="1259"/>
      <c r="QP370" s="1259"/>
      <c r="QQ370" s="1259"/>
      <c r="QR370" s="1259"/>
      <c r="QS370" s="1259"/>
      <c r="QT370" s="1259"/>
      <c r="QU370" s="1259"/>
      <c r="QV370" s="1259"/>
      <c r="QW370" s="1259"/>
      <c r="QX370" s="1259"/>
      <c r="QY370" s="1259"/>
      <c r="QZ370" s="1259"/>
      <c r="RA370" s="1259"/>
      <c r="RB370" s="1259"/>
      <c r="RC370" s="1259"/>
      <c r="RD370" s="1259"/>
      <c r="RE370" s="1259"/>
      <c r="RF370" s="1259"/>
      <c r="RG370" s="1259"/>
      <c r="RH370" s="1259"/>
      <c r="RI370" s="1259"/>
      <c r="RJ370" s="1259"/>
      <c r="RK370" s="1259"/>
      <c r="RL370" s="1259"/>
      <c r="RM370" s="1259"/>
      <c r="RN370" s="1259"/>
      <c r="RO370" s="1259"/>
      <c r="RP370" s="1259"/>
      <c r="RQ370" s="1259"/>
      <c r="RR370" s="1259"/>
      <c r="RS370" s="1259"/>
      <c r="RT370" s="1259"/>
      <c r="RU370" s="1259"/>
      <c r="RV370" s="1259"/>
      <c r="RW370" s="1259"/>
      <c r="RX370" s="1259"/>
      <c r="RY370" s="1259"/>
      <c r="RZ370" s="1259"/>
      <c r="SA370" s="1259"/>
      <c r="SB370" s="1259"/>
      <c r="SC370" s="1259"/>
      <c r="SD370" s="1259"/>
      <c r="SE370" s="1259"/>
      <c r="SF370" s="1259"/>
      <c r="SG370" s="1259"/>
      <c r="SH370" s="1259"/>
      <c r="SI370" s="1259"/>
      <c r="SJ370" s="1259"/>
      <c r="SK370" s="1259"/>
      <c r="SL370" s="1259"/>
      <c r="SM370" s="1259"/>
      <c r="SN370" s="1259"/>
      <c r="SO370" s="1259"/>
      <c r="SP370" s="1259"/>
      <c r="SQ370" s="1259"/>
      <c r="SR370" s="1259"/>
      <c r="SS370" s="1259"/>
      <c r="ST370" s="1259"/>
      <c r="SU370" s="1259"/>
      <c r="SV370" s="1259"/>
      <c r="SW370" s="1259"/>
      <c r="SX370" s="1259"/>
      <c r="SY370" s="1259"/>
      <c r="SZ370" s="1259"/>
      <c r="TA370" s="1259"/>
      <c r="TB370" s="1259"/>
      <c r="TC370" s="1259"/>
      <c r="TD370" s="1259"/>
      <c r="TE370" s="1259"/>
      <c r="TF370" s="1259"/>
      <c r="TG370" s="1259"/>
      <c r="TH370" s="1259"/>
      <c r="TI370" s="1259"/>
      <c r="TJ370" s="1259"/>
      <c r="TK370" s="1259"/>
      <c r="TL370" s="1259"/>
      <c r="TM370" s="1259"/>
      <c r="TN370" s="1259"/>
      <c r="TO370" s="1259"/>
      <c r="TP370" s="1259"/>
      <c r="TQ370" s="1259"/>
      <c r="TR370" s="1259"/>
      <c r="TS370" s="1259"/>
      <c r="TT370" s="1259"/>
      <c r="TU370" s="1259"/>
      <c r="TV370" s="1259"/>
      <c r="TW370" s="1259"/>
      <c r="TX370" s="1259"/>
      <c r="TY370" s="1259"/>
      <c r="TZ370" s="1259"/>
      <c r="UA370" s="1259"/>
      <c r="UB370" s="1259"/>
      <c r="UC370" s="1259"/>
      <c r="UD370" s="1259"/>
      <c r="UE370" s="1259"/>
      <c r="UF370" s="1259"/>
      <c r="UG370" s="1261"/>
    </row>
    <row r="371" spans="1:553" s="1262" customFormat="1" ht="62.25" customHeight="1">
      <c r="A371" s="366"/>
      <c r="B371" s="356"/>
      <c r="C371" s="1417" t="s">
        <v>728</v>
      </c>
      <c r="D371" s="1418"/>
      <c r="E371" s="1418"/>
      <c r="F371" s="1419"/>
      <c r="G371" s="416" t="s">
        <v>193</v>
      </c>
      <c r="H371" s="417"/>
      <c r="I371" s="422">
        <v>1</v>
      </c>
      <c r="J371" s="572">
        <v>522000</v>
      </c>
      <c r="K371" s="388"/>
      <c r="L371" s="1195">
        <f>ROUND(PRODUCT(I371:K371),0)</f>
        <v>522000</v>
      </c>
      <c r="M371" s="366"/>
      <c r="N371" s="366"/>
      <c r="O371" s="366"/>
      <c r="P371" s="366"/>
      <c r="Q371" s="1135"/>
      <c r="R371" s="1228"/>
      <c r="S371" s="308"/>
      <c r="T371" s="303"/>
      <c r="U371" s="306"/>
      <c r="V371" s="307"/>
      <c r="W371" s="307"/>
      <c r="X371" s="307"/>
      <c r="Y371" s="307"/>
      <c r="Z371" s="307"/>
      <c r="AA371" s="307"/>
      <c r="AB371" s="307"/>
      <c r="AC371" s="456"/>
      <c r="AD371" s="452"/>
      <c r="AE371" s="452"/>
      <c r="AF371" s="452"/>
      <c r="AG371" s="452"/>
      <c r="AH371" s="452"/>
      <c r="AI371" s="452"/>
      <c r="AJ371" s="452"/>
      <c r="AK371" s="452"/>
      <c r="AL371" s="1259"/>
      <c r="AM371" s="1259"/>
      <c r="AN371" s="1259"/>
      <c r="AO371" s="1259"/>
      <c r="AP371" s="1259"/>
      <c r="AQ371" s="1259"/>
      <c r="AR371" s="1259"/>
      <c r="AS371" s="1259"/>
      <c r="AT371" s="1259"/>
      <c r="AU371" s="1259"/>
      <c r="AV371" s="1259"/>
      <c r="AW371" s="1259"/>
      <c r="AX371" s="1259"/>
      <c r="AY371" s="1259"/>
      <c r="AZ371" s="1259"/>
      <c r="BA371" s="1259"/>
      <c r="BB371" s="1259"/>
      <c r="BC371" s="1259"/>
      <c r="BD371" s="1259"/>
      <c r="BE371" s="1259"/>
      <c r="BF371" s="1259"/>
      <c r="BG371" s="1259"/>
      <c r="BH371" s="1259"/>
      <c r="BI371" s="1259"/>
      <c r="BJ371" s="1259"/>
      <c r="BK371" s="1259"/>
      <c r="BL371" s="1259"/>
      <c r="BM371" s="1259"/>
      <c r="BN371" s="1259"/>
      <c r="BO371" s="1259"/>
      <c r="BP371" s="1259"/>
      <c r="BQ371" s="1259"/>
      <c r="BR371" s="1259"/>
      <c r="BS371" s="1259"/>
      <c r="BT371" s="1259"/>
      <c r="BU371" s="1259"/>
      <c r="BV371" s="1259"/>
      <c r="BW371" s="1259"/>
      <c r="BX371" s="1259"/>
      <c r="BY371" s="1259"/>
      <c r="BZ371" s="1259"/>
      <c r="CA371" s="1259"/>
      <c r="CB371" s="1259"/>
      <c r="CC371" s="1259"/>
      <c r="CD371" s="1259"/>
      <c r="CE371" s="1259"/>
      <c r="CF371" s="1259"/>
      <c r="CG371" s="1259"/>
      <c r="CH371" s="1259"/>
      <c r="CI371" s="1259"/>
      <c r="CJ371" s="1259"/>
      <c r="CK371" s="1259"/>
      <c r="CL371" s="1259"/>
      <c r="CM371" s="1259"/>
      <c r="CN371" s="1259"/>
      <c r="CO371" s="1259"/>
      <c r="CP371" s="1259"/>
      <c r="CQ371" s="1259"/>
      <c r="CR371" s="1259"/>
      <c r="CS371" s="1259"/>
      <c r="CT371" s="1259"/>
      <c r="CU371" s="1259"/>
      <c r="CV371" s="1259"/>
      <c r="CW371" s="1259"/>
      <c r="CX371" s="1259"/>
      <c r="CY371" s="1259"/>
      <c r="CZ371" s="1259"/>
      <c r="DA371" s="1259"/>
      <c r="DB371" s="1259"/>
      <c r="DC371" s="1259"/>
      <c r="DD371" s="1259"/>
      <c r="DE371" s="1259"/>
      <c r="DF371" s="1259"/>
      <c r="DG371" s="1259"/>
      <c r="DH371" s="1259"/>
      <c r="DI371" s="1259"/>
      <c r="DJ371" s="1259"/>
      <c r="DK371" s="1259"/>
      <c r="DL371" s="1259"/>
      <c r="DM371" s="1259"/>
      <c r="DN371" s="1259"/>
      <c r="DO371" s="1259"/>
      <c r="DP371" s="1259"/>
      <c r="DQ371" s="1259"/>
      <c r="DR371" s="1259"/>
      <c r="DS371" s="1259"/>
      <c r="DT371" s="1259"/>
      <c r="DU371" s="1259"/>
      <c r="DV371" s="1259"/>
      <c r="DW371" s="1259"/>
      <c r="DX371" s="1259"/>
      <c r="DY371" s="1259"/>
      <c r="DZ371" s="1259"/>
      <c r="EA371" s="1259"/>
      <c r="EB371" s="1259"/>
      <c r="EC371" s="1259"/>
      <c r="ED371" s="1259"/>
      <c r="EE371" s="1259"/>
      <c r="EF371" s="1259"/>
      <c r="EG371" s="1259"/>
      <c r="EH371" s="1259"/>
      <c r="EI371" s="1259"/>
      <c r="EJ371" s="1259"/>
      <c r="EK371" s="1259"/>
      <c r="EL371" s="1259"/>
      <c r="EM371" s="1259"/>
      <c r="EN371" s="1259"/>
      <c r="EO371" s="1259"/>
      <c r="EP371" s="1259"/>
      <c r="EQ371" s="1259"/>
      <c r="ER371" s="1259"/>
      <c r="ES371" s="1259"/>
      <c r="ET371" s="1259"/>
      <c r="EU371" s="1259"/>
      <c r="EV371" s="1259"/>
      <c r="EW371" s="1259"/>
      <c r="EX371" s="1259"/>
      <c r="EY371" s="1259"/>
      <c r="EZ371" s="1259"/>
      <c r="FA371" s="1259"/>
      <c r="FB371" s="1259"/>
      <c r="FC371" s="1259"/>
      <c r="FD371" s="1259"/>
      <c r="FE371" s="1259"/>
      <c r="FF371" s="1259"/>
      <c r="FG371" s="1259"/>
      <c r="FH371" s="1259"/>
      <c r="FI371" s="1259"/>
      <c r="FJ371" s="1259"/>
      <c r="FK371" s="1259"/>
      <c r="FL371" s="1259"/>
      <c r="FM371" s="1259"/>
      <c r="FN371" s="1259"/>
      <c r="FO371" s="1259"/>
      <c r="FP371" s="1259"/>
      <c r="FQ371" s="1259"/>
      <c r="FR371" s="1259"/>
      <c r="FS371" s="1259"/>
      <c r="FT371" s="1259"/>
      <c r="FU371" s="1259"/>
      <c r="FV371" s="1259"/>
      <c r="FW371" s="1259"/>
      <c r="FX371" s="1259"/>
      <c r="FY371" s="1259"/>
      <c r="FZ371" s="1259"/>
      <c r="GA371" s="1259"/>
      <c r="GB371" s="1259"/>
      <c r="GC371" s="1259"/>
      <c r="GD371" s="1259"/>
      <c r="GE371" s="1259"/>
      <c r="GF371" s="1259"/>
      <c r="GG371" s="1259"/>
      <c r="GH371" s="1259"/>
      <c r="GI371" s="1259"/>
      <c r="GJ371" s="1259"/>
      <c r="GK371" s="1259"/>
      <c r="GL371" s="1259"/>
      <c r="GM371" s="1259"/>
      <c r="GN371" s="1259"/>
      <c r="GO371" s="1259"/>
      <c r="GP371" s="1259"/>
      <c r="GQ371" s="1259"/>
      <c r="GR371" s="1259"/>
      <c r="GS371" s="1259"/>
      <c r="GT371" s="1259"/>
      <c r="GU371" s="1259"/>
      <c r="GV371" s="1259"/>
      <c r="GW371" s="1259"/>
      <c r="GX371" s="1259"/>
      <c r="GY371" s="1259"/>
      <c r="GZ371" s="1259"/>
      <c r="HA371" s="1259"/>
      <c r="HB371" s="1259"/>
      <c r="HC371" s="1259"/>
      <c r="HD371" s="1259"/>
      <c r="HE371" s="1259"/>
      <c r="HF371" s="1259"/>
      <c r="HG371" s="1259"/>
      <c r="HH371" s="1259"/>
      <c r="HI371" s="1259"/>
      <c r="HJ371" s="1259"/>
      <c r="HK371" s="1259"/>
      <c r="HL371" s="1259"/>
      <c r="HM371" s="1259"/>
      <c r="HN371" s="1259"/>
      <c r="HO371" s="1259"/>
      <c r="HP371" s="1259"/>
      <c r="HQ371" s="1259"/>
      <c r="HR371" s="1259"/>
      <c r="HS371" s="1259"/>
      <c r="HT371" s="1259"/>
      <c r="HU371" s="1259"/>
      <c r="HV371" s="1259"/>
      <c r="HW371" s="1259"/>
      <c r="HX371" s="1259"/>
      <c r="HY371" s="1259"/>
      <c r="HZ371" s="1259"/>
      <c r="IA371" s="1259"/>
      <c r="IB371" s="1259"/>
      <c r="IC371" s="1259"/>
      <c r="ID371" s="1259"/>
      <c r="IE371" s="1259"/>
      <c r="IF371" s="1259"/>
      <c r="IG371" s="1259"/>
      <c r="IH371" s="1259"/>
      <c r="II371" s="1259"/>
      <c r="IJ371" s="1259"/>
      <c r="IK371" s="1259"/>
      <c r="IL371" s="1259"/>
      <c r="IM371" s="1259"/>
      <c r="IN371" s="1259"/>
      <c r="IO371" s="1259"/>
      <c r="IP371" s="1259"/>
      <c r="IQ371" s="1259"/>
      <c r="IR371" s="1259"/>
      <c r="IS371" s="1259"/>
      <c r="IT371" s="1259"/>
      <c r="IU371" s="1259"/>
      <c r="IV371" s="1259"/>
      <c r="IW371" s="1259"/>
      <c r="IX371" s="1259"/>
      <c r="IY371" s="1259"/>
      <c r="IZ371" s="1259"/>
      <c r="JA371" s="1259"/>
      <c r="JB371" s="1259"/>
      <c r="JC371" s="1259"/>
      <c r="JD371" s="1259"/>
      <c r="JE371" s="1259"/>
      <c r="JF371" s="1259"/>
      <c r="JG371" s="1259"/>
      <c r="JH371" s="1259"/>
      <c r="JI371" s="1259"/>
      <c r="JJ371" s="1259"/>
      <c r="JK371" s="1259"/>
      <c r="JL371" s="1259"/>
      <c r="JM371" s="1259"/>
      <c r="JN371" s="1259"/>
      <c r="JO371" s="1259"/>
      <c r="JP371" s="1259"/>
      <c r="JQ371" s="1259"/>
      <c r="JR371" s="1259"/>
      <c r="JS371" s="1259"/>
      <c r="JT371" s="1259"/>
      <c r="JU371" s="1259"/>
      <c r="JV371" s="1259"/>
      <c r="JW371" s="1259"/>
      <c r="JX371" s="1259"/>
      <c r="JY371" s="1259"/>
      <c r="JZ371" s="1259"/>
      <c r="KA371" s="1259"/>
      <c r="KB371" s="1259"/>
      <c r="KC371" s="1259"/>
      <c r="KD371" s="1259"/>
      <c r="KE371" s="1259"/>
      <c r="KF371" s="1259"/>
      <c r="KG371" s="1259"/>
      <c r="KH371" s="1259"/>
      <c r="KI371" s="1259"/>
      <c r="KJ371" s="1259"/>
      <c r="KK371" s="1259"/>
      <c r="KL371" s="1259"/>
      <c r="KM371" s="1259"/>
      <c r="KN371" s="1259"/>
      <c r="KO371" s="1259"/>
      <c r="KP371" s="1259"/>
      <c r="KQ371" s="1259"/>
      <c r="KR371" s="1259"/>
      <c r="KS371" s="1259"/>
      <c r="KT371" s="1259"/>
      <c r="KU371" s="1259"/>
      <c r="KV371" s="1259"/>
      <c r="KW371" s="1259"/>
      <c r="KX371" s="1259"/>
      <c r="KY371" s="1259"/>
      <c r="KZ371" s="1259"/>
      <c r="LA371" s="1259"/>
      <c r="LB371" s="1259"/>
      <c r="LC371" s="1259"/>
      <c r="LD371" s="1259"/>
      <c r="LE371" s="1259"/>
      <c r="LF371" s="1259"/>
      <c r="LG371" s="1259"/>
      <c r="LH371" s="1259"/>
      <c r="LI371" s="1259"/>
      <c r="LJ371" s="1259"/>
      <c r="LK371" s="1259"/>
      <c r="LL371" s="1259"/>
      <c r="LM371" s="1259"/>
      <c r="LN371" s="1259"/>
      <c r="LO371" s="1259"/>
      <c r="LP371" s="1259"/>
      <c r="LQ371" s="1259"/>
      <c r="LR371" s="1259"/>
      <c r="LS371" s="1259"/>
      <c r="LT371" s="1259"/>
      <c r="LU371" s="1259"/>
      <c r="LV371" s="1259"/>
      <c r="LW371" s="1259"/>
      <c r="LX371" s="1259"/>
      <c r="LY371" s="1259"/>
      <c r="LZ371" s="1259"/>
      <c r="MA371" s="1259"/>
      <c r="MB371" s="1259"/>
      <c r="MC371" s="1259"/>
      <c r="MD371" s="1259"/>
      <c r="ME371" s="1259"/>
      <c r="MF371" s="1259"/>
      <c r="MG371" s="1259"/>
      <c r="MH371" s="1259"/>
      <c r="MI371" s="1259"/>
      <c r="MJ371" s="1259"/>
      <c r="MK371" s="1259"/>
      <c r="ML371" s="1259"/>
      <c r="MM371" s="1259"/>
      <c r="MN371" s="1259"/>
      <c r="MO371" s="1259"/>
      <c r="MP371" s="1259"/>
      <c r="MQ371" s="1259"/>
      <c r="MR371" s="1259"/>
      <c r="MS371" s="1259"/>
      <c r="MT371" s="1259"/>
      <c r="MU371" s="1259"/>
      <c r="MV371" s="1259"/>
      <c r="MW371" s="1259"/>
      <c r="MX371" s="1259"/>
      <c r="MY371" s="1259"/>
      <c r="MZ371" s="1259"/>
      <c r="NA371" s="1259"/>
      <c r="NB371" s="1259"/>
      <c r="NC371" s="1259"/>
      <c r="ND371" s="1259"/>
      <c r="NE371" s="1259"/>
      <c r="NF371" s="1259"/>
      <c r="NG371" s="1259"/>
      <c r="NH371" s="1259"/>
      <c r="NI371" s="1259"/>
      <c r="NJ371" s="1259"/>
      <c r="NK371" s="1259"/>
      <c r="NL371" s="1259"/>
      <c r="NM371" s="1259"/>
      <c r="NN371" s="1259"/>
      <c r="NO371" s="1259"/>
      <c r="NP371" s="1259"/>
      <c r="NQ371" s="1259"/>
      <c r="NR371" s="1259"/>
      <c r="NS371" s="1259"/>
      <c r="NT371" s="1259"/>
      <c r="NU371" s="1259"/>
      <c r="NV371" s="1259"/>
      <c r="NW371" s="1259"/>
      <c r="NX371" s="1259"/>
      <c r="NY371" s="1259"/>
      <c r="NZ371" s="1259"/>
      <c r="OA371" s="1259"/>
      <c r="OB371" s="1259"/>
      <c r="OC371" s="1259"/>
      <c r="OD371" s="1259"/>
      <c r="OE371" s="1259"/>
      <c r="OF371" s="1259"/>
      <c r="OG371" s="1259"/>
      <c r="OH371" s="1259"/>
      <c r="OI371" s="1259"/>
      <c r="OJ371" s="1259"/>
      <c r="OK371" s="1259"/>
      <c r="OL371" s="1259"/>
      <c r="OM371" s="1259"/>
      <c r="ON371" s="1259"/>
      <c r="OO371" s="1259"/>
      <c r="OP371" s="1259"/>
      <c r="OQ371" s="1259"/>
      <c r="OR371" s="1259"/>
      <c r="OS371" s="1259"/>
      <c r="OT371" s="1259"/>
      <c r="OU371" s="1259"/>
      <c r="OV371" s="1259"/>
      <c r="OW371" s="1259"/>
      <c r="OX371" s="1259"/>
      <c r="OY371" s="1259"/>
      <c r="OZ371" s="1259"/>
      <c r="PA371" s="1259"/>
      <c r="PB371" s="1259"/>
      <c r="PC371" s="1259"/>
      <c r="PD371" s="1259"/>
      <c r="PE371" s="1259"/>
      <c r="PF371" s="1259"/>
      <c r="PG371" s="1259"/>
      <c r="PH371" s="1259"/>
      <c r="PI371" s="1259"/>
      <c r="PJ371" s="1259"/>
      <c r="PK371" s="1259"/>
      <c r="PL371" s="1259"/>
      <c r="PM371" s="1259"/>
      <c r="PN371" s="1259"/>
      <c r="PO371" s="1259"/>
      <c r="PP371" s="1259"/>
      <c r="PQ371" s="1259"/>
      <c r="PR371" s="1259"/>
      <c r="PS371" s="1259"/>
      <c r="PT371" s="1259"/>
      <c r="PU371" s="1259"/>
      <c r="PV371" s="1259"/>
      <c r="PW371" s="1259"/>
      <c r="PX371" s="1259"/>
      <c r="PY371" s="1259"/>
      <c r="PZ371" s="1259"/>
      <c r="QA371" s="1259"/>
      <c r="QB371" s="1259"/>
      <c r="QC371" s="1259"/>
      <c r="QD371" s="1259"/>
      <c r="QE371" s="1259"/>
      <c r="QF371" s="1259"/>
      <c r="QG371" s="1259"/>
      <c r="QH371" s="1259"/>
      <c r="QI371" s="1259"/>
      <c r="QJ371" s="1259"/>
      <c r="QK371" s="1259"/>
      <c r="QL371" s="1259"/>
      <c r="QM371" s="1259"/>
      <c r="QN371" s="1259"/>
      <c r="QO371" s="1259"/>
      <c r="QP371" s="1259"/>
      <c r="QQ371" s="1259"/>
      <c r="QR371" s="1259"/>
      <c r="QS371" s="1259"/>
      <c r="QT371" s="1259"/>
      <c r="QU371" s="1259"/>
      <c r="QV371" s="1259"/>
      <c r="QW371" s="1259"/>
      <c r="QX371" s="1259"/>
      <c r="QY371" s="1259"/>
      <c r="QZ371" s="1259"/>
      <c r="RA371" s="1259"/>
      <c r="RB371" s="1259"/>
      <c r="RC371" s="1259"/>
      <c r="RD371" s="1259"/>
      <c r="RE371" s="1259"/>
      <c r="RF371" s="1259"/>
      <c r="RG371" s="1259"/>
      <c r="RH371" s="1259"/>
      <c r="RI371" s="1259"/>
      <c r="RJ371" s="1259"/>
      <c r="RK371" s="1259"/>
      <c r="RL371" s="1259"/>
      <c r="RM371" s="1259"/>
      <c r="RN371" s="1259"/>
      <c r="RO371" s="1259"/>
      <c r="RP371" s="1259"/>
      <c r="RQ371" s="1259"/>
      <c r="RR371" s="1259"/>
      <c r="RS371" s="1259"/>
      <c r="RT371" s="1259"/>
      <c r="RU371" s="1259"/>
      <c r="RV371" s="1259"/>
      <c r="RW371" s="1259"/>
      <c r="RX371" s="1259"/>
      <c r="RY371" s="1259"/>
      <c r="RZ371" s="1259"/>
      <c r="SA371" s="1259"/>
      <c r="SB371" s="1259"/>
      <c r="SC371" s="1259"/>
      <c r="SD371" s="1259"/>
      <c r="SE371" s="1259"/>
      <c r="SF371" s="1259"/>
      <c r="SG371" s="1259"/>
      <c r="SH371" s="1259"/>
      <c r="SI371" s="1259"/>
      <c r="SJ371" s="1259"/>
      <c r="SK371" s="1259"/>
      <c r="SL371" s="1259"/>
      <c r="SM371" s="1259"/>
      <c r="SN371" s="1259"/>
      <c r="SO371" s="1259"/>
      <c r="SP371" s="1259"/>
      <c r="SQ371" s="1259"/>
      <c r="SR371" s="1259"/>
      <c r="SS371" s="1259"/>
      <c r="ST371" s="1259"/>
      <c r="SU371" s="1259"/>
      <c r="SV371" s="1259"/>
      <c r="SW371" s="1259"/>
      <c r="SX371" s="1259"/>
      <c r="SY371" s="1259"/>
      <c r="SZ371" s="1259"/>
      <c r="TA371" s="1259"/>
      <c r="TB371" s="1259"/>
      <c r="TC371" s="1259"/>
      <c r="TD371" s="1259"/>
      <c r="TE371" s="1259"/>
      <c r="TF371" s="1259"/>
      <c r="TG371" s="1259"/>
      <c r="TH371" s="1259"/>
      <c r="TI371" s="1259"/>
      <c r="TJ371" s="1259"/>
      <c r="TK371" s="1259"/>
      <c r="TL371" s="1259"/>
      <c r="TM371" s="1259"/>
      <c r="TN371" s="1259"/>
      <c r="TO371" s="1259"/>
      <c r="TP371" s="1259"/>
      <c r="TQ371" s="1259"/>
      <c r="TR371" s="1259"/>
      <c r="TS371" s="1259"/>
      <c r="TT371" s="1259"/>
      <c r="TU371" s="1259"/>
      <c r="TV371" s="1259"/>
      <c r="TW371" s="1259"/>
      <c r="TX371" s="1259"/>
      <c r="TY371" s="1259"/>
      <c r="TZ371" s="1259"/>
      <c r="UA371" s="1259"/>
      <c r="UB371" s="1259"/>
      <c r="UC371" s="1259"/>
      <c r="UD371" s="1259"/>
      <c r="UE371" s="1259"/>
      <c r="UF371" s="1259"/>
      <c r="UG371" s="1261"/>
    </row>
    <row r="372" spans="1:553" s="1262" customFormat="1" ht="29.25" customHeight="1">
      <c r="A372" s="402"/>
      <c r="B372" s="401"/>
      <c r="C372" s="1420" t="s">
        <v>1405</v>
      </c>
      <c r="D372" s="1421" t="s">
        <v>1096</v>
      </c>
      <c r="E372" s="1421" t="s">
        <v>1096</v>
      </c>
      <c r="F372" s="1422" t="s">
        <v>1096</v>
      </c>
      <c r="G372" s="402"/>
      <c r="H372" s="403"/>
      <c r="I372" s="420">
        <v>6</v>
      </c>
      <c r="J372" s="985">
        <v>282000</v>
      </c>
      <c r="K372" s="508"/>
      <c r="L372" s="1013">
        <f t="shared" ref="L372:L373" si="79">ROUND(PRODUCT(I372:K372),0)</f>
        <v>1692000</v>
      </c>
      <c r="M372" s="366"/>
      <c r="N372" s="366"/>
      <c r="O372" s="366"/>
      <c r="P372" s="366"/>
      <c r="Q372" s="1135"/>
      <c r="R372" s="1228"/>
      <c r="S372" s="435"/>
      <c r="T372" s="436"/>
      <c r="U372" s="304"/>
      <c r="V372" s="393"/>
      <c r="W372" s="304"/>
      <c r="X372" s="304"/>
      <c r="Y372" s="304"/>
      <c r="Z372" s="304"/>
      <c r="AA372" s="304"/>
      <c r="AB372" s="304"/>
      <c r="AC372" s="456"/>
      <c r="AD372" s="452"/>
      <c r="AE372" s="452"/>
      <c r="AF372" s="452"/>
      <c r="AG372" s="452"/>
      <c r="AH372" s="452"/>
      <c r="AI372" s="452"/>
      <c r="AJ372" s="452"/>
      <c r="AK372" s="452"/>
      <c r="AL372" s="1259"/>
      <c r="AM372" s="1259"/>
      <c r="AN372" s="1259"/>
      <c r="AO372" s="1259"/>
      <c r="AP372" s="1259"/>
      <c r="AQ372" s="1259"/>
      <c r="AR372" s="1259"/>
      <c r="AS372" s="1259"/>
      <c r="AT372" s="1259"/>
      <c r="AU372" s="1259"/>
      <c r="AV372" s="1259"/>
      <c r="AW372" s="1259"/>
      <c r="AX372" s="1259"/>
      <c r="AY372" s="1259"/>
      <c r="AZ372" s="1259"/>
      <c r="BA372" s="1259"/>
      <c r="BB372" s="1259"/>
      <c r="BC372" s="1259"/>
      <c r="BD372" s="1259"/>
      <c r="BE372" s="1259"/>
      <c r="BF372" s="1259"/>
      <c r="BG372" s="1259"/>
      <c r="BH372" s="1259"/>
      <c r="BI372" s="1259"/>
      <c r="BJ372" s="1259"/>
      <c r="BK372" s="1259"/>
      <c r="BL372" s="1259"/>
      <c r="BM372" s="1259"/>
      <c r="BN372" s="1259"/>
      <c r="BO372" s="1259"/>
      <c r="BP372" s="1259"/>
      <c r="BQ372" s="1259"/>
      <c r="BR372" s="1259"/>
      <c r="BS372" s="1259"/>
      <c r="BT372" s="1259"/>
      <c r="BU372" s="1259"/>
      <c r="BV372" s="1259"/>
      <c r="BW372" s="1259"/>
      <c r="BX372" s="1259"/>
      <c r="BY372" s="1259"/>
      <c r="BZ372" s="1259"/>
      <c r="CA372" s="1259"/>
      <c r="CB372" s="1259"/>
      <c r="CC372" s="1259"/>
      <c r="CD372" s="1259"/>
      <c r="CE372" s="1259"/>
      <c r="CF372" s="1259"/>
      <c r="CG372" s="1259"/>
      <c r="CH372" s="1259"/>
      <c r="CI372" s="1259"/>
      <c r="CJ372" s="1259"/>
      <c r="CK372" s="1259"/>
      <c r="CL372" s="1259"/>
      <c r="CM372" s="1259"/>
      <c r="CN372" s="1259"/>
      <c r="CO372" s="1259"/>
      <c r="CP372" s="1259"/>
      <c r="CQ372" s="1259"/>
      <c r="CR372" s="1259"/>
      <c r="CS372" s="1259"/>
      <c r="CT372" s="1259"/>
      <c r="CU372" s="1259"/>
      <c r="CV372" s="1259"/>
      <c r="CW372" s="1259"/>
      <c r="CX372" s="1259"/>
      <c r="CY372" s="1259"/>
      <c r="CZ372" s="1259"/>
      <c r="DA372" s="1259"/>
      <c r="DB372" s="1259"/>
      <c r="DC372" s="1259"/>
      <c r="DD372" s="1259"/>
      <c r="DE372" s="1259"/>
      <c r="DF372" s="1259"/>
      <c r="DG372" s="1259"/>
      <c r="DH372" s="1259"/>
      <c r="DI372" s="1259"/>
      <c r="DJ372" s="1259"/>
      <c r="DK372" s="1259"/>
      <c r="DL372" s="1259"/>
      <c r="DM372" s="1259"/>
      <c r="DN372" s="1259"/>
      <c r="DO372" s="1259"/>
      <c r="DP372" s="1259"/>
      <c r="DQ372" s="1259"/>
      <c r="DR372" s="1259"/>
      <c r="DS372" s="1259"/>
      <c r="DT372" s="1259"/>
      <c r="DU372" s="1259"/>
      <c r="DV372" s="1259"/>
      <c r="DW372" s="1259"/>
      <c r="DX372" s="1259"/>
      <c r="DY372" s="1259"/>
      <c r="DZ372" s="1259"/>
      <c r="EA372" s="1259"/>
      <c r="EB372" s="1259"/>
      <c r="EC372" s="1259"/>
      <c r="ED372" s="1259"/>
      <c r="EE372" s="1259"/>
      <c r="EF372" s="1259"/>
      <c r="EG372" s="1259"/>
      <c r="EH372" s="1259"/>
      <c r="EI372" s="1259"/>
      <c r="EJ372" s="1259"/>
      <c r="EK372" s="1259"/>
      <c r="EL372" s="1259"/>
      <c r="EM372" s="1259"/>
      <c r="EN372" s="1259"/>
      <c r="EO372" s="1259"/>
      <c r="EP372" s="1259"/>
      <c r="EQ372" s="1259"/>
      <c r="ER372" s="1259"/>
      <c r="ES372" s="1259"/>
      <c r="ET372" s="1259"/>
      <c r="EU372" s="1259"/>
      <c r="EV372" s="1259"/>
      <c r="EW372" s="1259"/>
      <c r="EX372" s="1259"/>
      <c r="EY372" s="1259"/>
      <c r="EZ372" s="1259"/>
      <c r="FA372" s="1259"/>
      <c r="FB372" s="1259"/>
      <c r="FC372" s="1259"/>
      <c r="FD372" s="1259"/>
      <c r="FE372" s="1259"/>
      <c r="FF372" s="1259"/>
      <c r="FG372" s="1259"/>
      <c r="FH372" s="1259"/>
      <c r="FI372" s="1259"/>
      <c r="FJ372" s="1259"/>
      <c r="FK372" s="1259"/>
      <c r="FL372" s="1259"/>
      <c r="FM372" s="1259"/>
      <c r="FN372" s="1259"/>
      <c r="FO372" s="1259"/>
      <c r="FP372" s="1259"/>
      <c r="FQ372" s="1259"/>
      <c r="FR372" s="1259"/>
      <c r="FS372" s="1259"/>
      <c r="FT372" s="1259"/>
      <c r="FU372" s="1259"/>
      <c r="FV372" s="1259"/>
      <c r="FW372" s="1259"/>
      <c r="FX372" s="1259"/>
      <c r="FY372" s="1259"/>
      <c r="FZ372" s="1259"/>
      <c r="GA372" s="1259"/>
      <c r="GB372" s="1259"/>
      <c r="GC372" s="1259"/>
      <c r="GD372" s="1259"/>
      <c r="GE372" s="1259"/>
      <c r="GF372" s="1259"/>
      <c r="GG372" s="1259"/>
      <c r="GH372" s="1259"/>
      <c r="GI372" s="1259"/>
      <c r="GJ372" s="1259"/>
      <c r="GK372" s="1259"/>
      <c r="GL372" s="1259"/>
      <c r="GM372" s="1259"/>
      <c r="GN372" s="1259"/>
      <c r="GO372" s="1259"/>
      <c r="GP372" s="1259"/>
      <c r="GQ372" s="1259"/>
      <c r="GR372" s="1259"/>
      <c r="GS372" s="1259"/>
      <c r="GT372" s="1259"/>
      <c r="GU372" s="1259"/>
      <c r="GV372" s="1259"/>
      <c r="GW372" s="1259"/>
      <c r="GX372" s="1259"/>
      <c r="GY372" s="1259"/>
      <c r="GZ372" s="1259"/>
      <c r="HA372" s="1259"/>
      <c r="HB372" s="1259"/>
      <c r="HC372" s="1259"/>
      <c r="HD372" s="1259"/>
      <c r="HE372" s="1259"/>
      <c r="HF372" s="1259"/>
      <c r="HG372" s="1259"/>
      <c r="HH372" s="1259"/>
      <c r="HI372" s="1259"/>
      <c r="HJ372" s="1259"/>
      <c r="HK372" s="1259"/>
      <c r="HL372" s="1259"/>
      <c r="HM372" s="1259"/>
      <c r="HN372" s="1259"/>
      <c r="HO372" s="1259"/>
      <c r="HP372" s="1259"/>
      <c r="HQ372" s="1259"/>
      <c r="HR372" s="1259"/>
      <c r="HS372" s="1259"/>
      <c r="HT372" s="1259"/>
      <c r="HU372" s="1259"/>
      <c r="HV372" s="1259"/>
      <c r="HW372" s="1259"/>
      <c r="HX372" s="1259"/>
      <c r="HY372" s="1259"/>
      <c r="HZ372" s="1259"/>
      <c r="IA372" s="1259"/>
      <c r="IB372" s="1259"/>
      <c r="IC372" s="1259"/>
      <c r="ID372" s="1259"/>
      <c r="IE372" s="1259"/>
      <c r="IF372" s="1259"/>
      <c r="IG372" s="1259"/>
      <c r="IH372" s="1259"/>
      <c r="II372" s="1259"/>
      <c r="IJ372" s="1259"/>
      <c r="IK372" s="1259"/>
      <c r="IL372" s="1259"/>
      <c r="IM372" s="1259"/>
      <c r="IN372" s="1259"/>
      <c r="IO372" s="1259"/>
      <c r="IP372" s="1259"/>
      <c r="IQ372" s="1259"/>
      <c r="IR372" s="1259"/>
      <c r="IS372" s="1259"/>
      <c r="IT372" s="1259"/>
      <c r="IU372" s="1259"/>
      <c r="IV372" s="1259"/>
      <c r="IW372" s="1259"/>
      <c r="IX372" s="1259"/>
      <c r="IY372" s="1259"/>
      <c r="IZ372" s="1259"/>
      <c r="JA372" s="1259"/>
      <c r="JB372" s="1259"/>
      <c r="JC372" s="1259"/>
      <c r="JD372" s="1259"/>
      <c r="JE372" s="1259"/>
      <c r="JF372" s="1259"/>
      <c r="JG372" s="1259"/>
      <c r="JH372" s="1259"/>
      <c r="JI372" s="1259"/>
      <c r="JJ372" s="1259"/>
      <c r="JK372" s="1259"/>
      <c r="JL372" s="1259"/>
      <c r="JM372" s="1259"/>
      <c r="JN372" s="1259"/>
      <c r="JO372" s="1259"/>
      <c r="JP372" s="1259"/>
      <c r="JQ372" s="1259"/>
      <c r="JR372" s="1259"/>
      <c r="JS372" s="1259"/>
      <c r="JT372" s="1259"/>
      <c r="JU372" s="1259"/>
      <c r="JV372" s="1259"/>
      <c r="JW372" s="1259"/>
      <c r="JX372" s="1259"/>
      <c r="JY372" s="1259"/>
      <c r="JZ372" s="1259"/>
      <c r="KA372" s="1259"/>
      <c r="KB372" s="1259"/>
      <c r="KC372" s="1259"/>
      <c r="KD372" s="1259"/>
      <c r="KE372" s="1259"/>
      <c r="KF372" s="1259"/>
      <c r="KG372" s="1259"/>
      <c r="KH372" s="1259"/>
      <c r="KI372" s="1259"/>
      <c r="KJ372" s="1259"/>
      <c r="KK372" s="1259"/>
      <c r="KL372" s="1259"/>
      <c r="KM372" s="1259"/>
      <c r="KN372" s="1259"/>
      <c r="KO372" s="1259"/>
      <c r="KP372" s="1259"/>
      <c r="KQ372" s="1259"/>
      <c r="KR372" s="1259"/>
      <c r="KS372" s="1259"/>
      <c r="KT372" s="1259"/>
      <c r="KU372" s="1259"/>
      <c r="KV372" s="1259"/>
      <c r="KW372" s="1259"/>
      <c r="KX372" s="1259"/>
      <c r="KY372" s="1259"/>
      <c r="KZ372" s="1259"/>
      <c r="LA372" s="1259"/>
      <c r="LB372" s="1259"/>
      <c r="LC372" s="1259"/>
      <c r="LD372" s="1259"/>
      <c r="LE372" s="1259"/>
      <c r="LF372" s="1259"/>
      <c r="LG372" s="1259"/>
      <c r="LH372" s="1259"/>
      <c r="LI372" s="1259"/>
      <c r="LJ372" s="1259"/>
      <c r="LK372" s="1259"/>
      <c r="LL372" s="1259"/>
      <c r="LM372" s="1259"/>
      <c r="LN372" s="1259"/>
      <c r="LO372" s="1259"/>
      <c r="LP372" s="1259"/>
      <c r="LQ372" s="1259"/>
      <c r="LR372" s="1259"/>
      <c r="LS372" s="1259"/>
      <c r="LT372" s="1259"/>
      <c r="LU372" s="1259"/>
      <c r="LV372" s="1259"/>
      <c r="LW372" s="1259"/>
      <c r="LX372" s="1259"/>
      <c r="LY372" s="1259"/>
      <c r="LZ372" s="1259"/>
      <c r="MA372" s="1259"/>
      <c r="MB372" s="1259"/>
      <c r="MC372" s="1259"/>
      <c r="MD372" s="1259"/>
      <c r="ME372" s="1259"/>
      <c r="MF372" s="1259"/>
      <c r="MG372" s="1259"/>
      <c r="MH372" s="1259"/>
      <c r="MI372" s="1259"/>
      <c r="MJ372" s="1259"/>
      <c r="MK372" s="1259"/>
      <c r="ML372" s="1259"/>
      <c r="MM372" s="1259"/>
      <c r="MN372" s="1259"/>
      <c r="MO372" s="1259"/>
      <c r="MP372" s="1259"/>
      <c r="MQ372" s="1259"/>
      <c r="MR372" s="1259"/>
      <c r="MS372" s="1259"/>
      <c r="MT372" s="1259"/>
      <c r="MU372" s="1259"/>
      <c r="MV372" s="1259"/>
      <c r="MW372" s="1259"/>
      <c r="MX372" s="1259"/>
      <c r="MY372" s="1259"/>
      <c r="MZ372" s="1259"/>
      <c r="NA372" s="1259"/>
      <c r="NB372" s="1259"/>
      <c r="NC372" s="1259"/>
      <c r="ND372" s="1259"/>
      <c r="NE372" s="1259"/>
      <c r="NF372" s="1259"/>
      <c r="NG372" s="1259"/>
      <c r="NH372" s="1259"/>
      <c r="NI372" s="1259"/>
      <c r="NJ372" s="1259"/>
      <c r="NK372" s="1259"/>
      <c r="NL372" s="1259"/>
      <c r="NM372" s="1259"/>
      <c r="NN372" s="1259"/>
      <c r="NO372" s="1259"/>
      <c r="NP372" s="1259"/>
      <c r="NQ372" s="1259"/>
      <c r="NR372" s="1259"/>
      <c r="NS372" s="1259"/>
      <c r="NT372" s="1259"/>
      <c r="NU372" s="1259"/>
      <c r="NV372" s="1259"/>
      <c r="NW372" s="1259"/>
      <c r="NX372" s="1259"/>
      <c r="NY372" s="1259"/>
      <c r="NZ372" s="1259"/>
      <c r="OA372" s="1259"/>
      <c r="OB372" s="1259"/>
      <c r="OC372" s="1259"/>
      <c r="OD372" s="1259"/>
      <c r="OE372" s="1259"/>
      <c r="OF372" s="1259"/>
      <c r="OG372" s="1259"/>
      <c r="OH372" s="1259"/>
      <c r="OI372" s="1259"/>
      <c r="OJ372" s="1259"/>
      <c r="OK372" s="1259"/>
      <c r="OL372" s="1259"/>
      <c r="OM372" s="1259"/>
      <c r="ON372" s="1259"/>
      <c r="OO372" s="1259"/>
      <c r="OP372" s="1259"/>
      <c r="OQ372" s="1259"/>
      <c r="OR372" s="1259"/>
      <c r="OS372" s="1259"/>
      <c r="OT372" s="1259"/>
      <c r="OU372" s="1259"/>
      <c r="OV372" s="1259"/>
      <c r="OW372" s="1259"/>
      <c r="OX372" s="1259"/>
      <c r="OY372" s="1259"/>
      <c r="OZ372" s="1259"/>
      <c r="PA372" s="1259"/>
      <c r="PB372" s="1259"/>
      <c r="PC372" s="1259"/>
      <c r="PD372" s="1259"/>
      <c r="PE372" s="1259"/>
      <c r="PF372" s="1259"/>
      <c r="PG372" s="1259"/>
      <c r="PH372" s="1259"/>
      <c r="PI372" s="1259"/>
      <c r="PJ372" s="1259"/>
      <c r="PK372" s="1259"/>
      <c r="PL372" s="1259"/>
      <c r="PM372" s="1259"/>
      <c r="PN372" s="1259"/>
      <c r="PO372" s="1259"/>
      <c r="PP372" s="1259"/>
      <c r="PQ372" s="1259"/>
      <c r="PR372" s="1259"/>
      <c r="PS372" s="1259"/>
      <c r="PT372" s="1259"/>
      <c r="PU372" s="1259"/>
      <c r="PV372" s="1259"/>
      <c r="PW372" s="1259"/>
      <c r="PX372" s="1259"/>
      <c r="PY372" s="1259"/>
      <c r="PZ372" s="1259"/>
      <c r="QA372" s="1259"/>
      <c r="QB372" s="1259"/>
      <c r="QC372" s="1259"/>
      <c r="QD372" s="1259"/>
      <c r="QE372" s="1259"/>
      <c r="QF372" s="1259"/>
      <c r="QG372" s="1259"/>
      <c r="QH372" s="1259"/>
      <c r="QI372" s="1259"/>
      <c r="QJ372" s="1259"/>
      <c r="QK372" s="1259"/>
      <c r="QL372" s="1259"/>
      <c r="QM372" s="1259"/>
      <c r="QN372" s="1259"/>
      <c r="QO372" s="1259"/>
      <c r="QP372" s="1259"/>
      <c r="QQ372" s="1259"/>
      <c r="QR372" s="1259"/>
      <c r="QS372" s="1259"/>
      <c r="QT372" s="1259"/>
      <c r="QU372" s="1259"/>
      <c r="QV372" s="1259"/>
      <c r="QW372" s="1259"/>
      <c r="QX372" s="1259"/>
      <c r="QY372" s="1259"/>
      <c r="QZ372" s="1259"/>
      <c r="RA372" s="1259"/>
      <c r="RB372" s="1259"/>
      <c r="RC372" s="1259"/>
      <c r="RD372" s="1259"/>
      <c r="RE372" s="1259"/>
      <c r="RF372" s="1259"/>
      <c r="RG372" s="1259"/>
      <c r="RH372" s="1259"/>
      <c r="RI372" s="1259"/>
      <c r="RJ372" s="1259"/>
      <c r="RK372" s="1259"/>
      <c r="RL372" s="1259"/>
      <c r="RM372" s="1259"/>
      <c r="RN372" s="1259"/>
      <c r="RO372" s="1259"/>
      <c r="RP372" s="1259"/>
      <c r="RQ372" s="1259"/>
      <c r="RR372" s="1259"/>
      <c r="RS372" s="1259"/>
      <c r="RT372" s="1259"/>
      <c r="RU372" s="1259"/>
      <c r="RV372" s="1259"/>
      <c r="RW372" s="1259"/>
      <c r="RX372" s="1259"/>
      <c r="RY372" s="1259"/>
      <c r="RZ372" s="1259"/>
      <c r="SA372" s="1259"/>
      <c r="SB372" s="1259"/>
      <c r="SC372" s="1259"/>
      <c r="SD372" s="1259"/>
      <c r="SE372" s="1259"/>
      <c r="SF372" s="1259"/>
      <c r="SG372" s="1259"/>
      <c r="SH372" s="1259"/>
      <c r="SI372" s="1259"/>
      <c r="SJ372" s="1259"/>
      <c r="SK372" s="1259"/>
      <c r="SL372" s="1259"/>
      <c r="SM372" s="1259"/>
      <c r="SN372" s="1259"/>
      <c r="SO372" s="1259"/>
      <c r="SP372" s="1259"/>
      <c r="SQ372" s="1259"/>
      <c r="SR372" s="1259"/>
      <c r="SS372" s="1259"/>
      <c r="ST372" s="1259"/>
      <c r="SU372" s="1259"/>
      <c r="SV372" s="1259"/>
      <c r="SW372" s="1259"/>
      <c r="SX372" s="1259"/>
      <c r="SY372" s="1259"/>
      <c r="SZ372" s="1259"/>
      <c r="TA372" s="1259"/>
      <c r="TB372" s="1259"/>
      <c r="TC372" s="1259"/>
      <c r="TD372" s="1259"/>
      <c r="TE372" s="1259"/>
      <c r="TF372" s="1259"/>
      <c r="TG372" s="1259"/>
      <c r="TH372" s="1259"/>
      <c r="TI372" s="1259"/>
      <c r="TJ372" s="1259"/>
      <c r="TK372" s="1259"/>
      <c r="TL372" s="1259"/>
      <c r="TM372" s="1259"/>
      <c r="TN372" s="1259"/>
      <c r="TO372" s="1259"/>
      <c r="TP372" s="1259"/>
      <c r="TQ372" s="1259"/>
      <c r="TR372" s="1259"/>
      <c r="TS372" s="1259"/>
      <c r="TT372" s="1259"/>
      <c r="TU372" s="1259"/>
      <c r="TV372" s="1259"/>
      <c r="TW372" s="1259"/>
      <c r="TX372" s="1259"/>
      <c r="TY372" s="1259"/>
      <c r="TZ372" s="1259"/>
      <c r="UA372" s="1259"/>
      <c r="UB372" s="1259"/>
      <c r="UC372" s="1259"/>
      <c r="UD372" s="1259"/>
      <c r="UE372" s="1259"/>
      <c r="UF372" s="1259"/>
      <c r="UG372" s="1261"/>
    </row>
    <row r="373" spans="1:553" s="1262" customFormat="1" ht="29.25" customHeight="1">
      <c r="A373" s="1226"/>
      <c r="B373" s="411"/>
      <c r="C373" s="1423" t="s">
        <v>1097</v>
      </c>
      <c r="D373" s="1423" t="s">
        <v>1098</v>
      </c>
      <c r="E373" s="1423" t="s">
        <v>1098</v>
      </c>
      <c r="F373" s="1423" t="s">
        <v>1098</v>
      </c>
      <c r="G373" s="412" t="s">
        <v>196</v>
      </c>
      <c r="H373" s="412"/>
      <c r="I373" s="423">
        <f>(20.51*100/400)*(12-(6-3))*1</f>
        <v>46.147500000000001</v>
      </c>
      <c r="J373" s="1243">
        <v>3100</v>
      </c>
      <c r="K373" s="656">
        <v>0.7</v>
      </c>
      <c r="L373" s="573">
        <f t="shared" si="79"/>
        <v>100140</v>
      </c>
      <c r="M373" s="366"/>
      <c r="N373" s="366"/>
      <c r="O373" s="366"/>
      <c r="P373" s="366"/>
      <c r="Q373" s="1135"/>
      <c r="R373" s="1228"/>
      <c r="S373" s="435"/>
      <c r="T373" s="436"/>
      <c r="U373" s="304"/>
      <c r="V373" s="393"/>
      <c r="W373" s="304"/>
      <c r="X373" s="304"/>
      <c r="Y373" s="304"/>
      <c r="Z373" s="304"/>
      <c r="AA373" s="304"/>
      <c r="AB373" s="304"/>
      <c r="AC373" s="456"/>
      <c r="AD373" s="452"/>
      <c r="AE373" s="452"/>
      <c r="AF373" s="452"/>
      <c r="AG373" s="452"/>
      <c r="AH373" s="452"/>
      <c r="AI373" s="452"/>
      <c r="AJ373" s="452"/>
      <c r="AK373" s="452"/>
      <c r="AL373" s="1259"/>
      <c r="AM373" s="1259"/>
      <c r="AN373" s="1259"/>
      <c r="AO373" s="1259"/>
      <c r="AP373" s="1259"/>
      <c r="AQ373" s="1259"/>
      <c r="AR373" s="1259"/>
      <c r="AS373" s="1259"/>
      <c r="AT373" s="1259"/>
      <c r="AU373" s="1259"/>
      <c r="AV373" s="1259"/>
      <c r="AW373" s="1259"/>
      <c r="AX373" s="1259"/>
      <c r="AY373" s="1259"/>
      <c r="AZ373" s="1259"/>
      <c r="BA373" s="1259"/>
      <c r="BB373" s="1259"/>
      <c r="BC373" s="1259"/>
      <c r="BD373" s="1259"/>
      <c r="BE373" s="1259"/>
      <c r="BF373" s="1259"/>
      <c r="BG373" s="1259"/>
      <c r="BH373" s="1259"/>
      <c r="BI373" s="1259"/>
      <c r="BJ373" s="1259"/>
      <c r="BK373" s="1259"/>
      <c r="BL373" s="1259"/>
      <c r="BM373" s="1259"/>
      <c r="BN373" s="1259"/>
      <c r="BO373" s="1259"/>
      <c r="BP373" s="1259"/>
      <c r="BQ373" s="1259"/>
      <c r="BR373" s="1259"/>
      <c r="BS373" s="1259"/>
      <c r="BT373" s="1259"/>
      <c r="BU373" s="1259"/>
      <c r="BV373" s="1259"/>
      <c r="BW373" s="1259"/>
      <c r="BX373" s="1259"/>
      <c r="BY373" s="1259"/>
      <c r="BZ373" s="1259"/>
      <c r="CA373" s="1259"/>
      <c r="CB373" s="1259"/>
      <c r="CC373" s="1259"/>
      <c r="CD373" s="1259"/>
      <c r="CE373" s="1259"/>
      <c r="CF373" s="1259"/>
      <c r="CG373" s="1259"/>
      <c r="CH373" s="1259"/>
      <c r="CI373" s="1259"/>
      <c r="CJ373" s="1259"/>
      <c r="CK373" s="1259"/>
      <c r="CL373" s="1259"/>
      <c r="CM373" s="1259"/>
      <c r="CN373" s="1259"/>
      <c r="CO373" s="1259"/>
      <c r="CP373" s="1259"/>
      <c r="CQ373" s="1259"/>
      <c r="CR373" s="1259"/>
      <c r="CS373" s="1259"/>
      <c r="CT373" s="1259"/>
      <c r="CU373" s="1259"/>
      <c r="CV373" s="1259"/>
      <c r="CW373" s="1259"/>
      <c r="CX373" s="1259"/>
      <c r="CY373" s="1259"/>
      <c r="CZ373" s="1259"/>
      <c r="DA373" s="1259"/>
      <c r="DB373" s="1259"/>
      <c r="DC373" s="1259"/>
      <c r="DD373" s="1259"/>
      <c r="DE373" s="1259"/>
      <c r="DF373" s="1259"/>
      <c r="DG373" s="1259"/>
      <c r="DH373" s="1259"/>
      <c r="DI373" s="1259"/>
      <c r="DJ373" s="1259"/>
      <c r="DK373" s="1259"/>
      <c r="DL373" s="1259"/>
      <c r="DM373" s="1259"/>
      <c r="DN373" s="1259"/>
      <c r="DO373" s="1259"/>
      <c r="DP373" s="1259"/>
      <c r="DQ373" s="1259"/>
      <c r="DR373" s="1259"/>
      <c r="DS373" s="1259"/>
      <c r="DT373" s="1259"/>
      <c r="DU373" s="1259"/>
      <c r="DV373" s="1259"/>
      <c r="DW373" s="1259"/>
      <c r="DX373" s="1259"/>
      <c r="DY373" s="1259"/>
      <c r="DZ373" s="1259"/>
      <c r="EA373" s="1259"/>
      <c r="EB373" s="1259"/>
      <c r="EC373" s="1259"/>
      <c r="ED373" s="1259"/>
      <c r="EE373" s="1259"/>
      <c r="EF373" s="1259"/>
      <c r="EG373" s="1259"/>
      <c r="EH373" s="1259"/>
      <c r="EI373" s="1259"/>
      <c r="EJ373" s="1259"/>
      <c r="EK373" s="1259"/>
      <c r="EL373" s="1259"/>
      <c r="EM373" s="1259"/>
      <c r="EN373" s="1259"/>
      <c r="EO373" s="1259"/>
      <c r="EP373" s="1259"/>
      <c r="EQ373" s="1259"/>
      <c r="ER373" s="1259"/>
      <c r="ES373" s="1259"/>
      <c r="ET373" s="1259"/>
      <c r="EU373" s="1259"/>
      <c r="EV373" s="1259"/>
      <c r="EW373" s="1259"/>
      <c r="EX373" s="1259"/>
      <c r="EY373" s="1259"/>
      <c r="EZ373" s="1259"/>
      <c r="FA373" s="1259"/>
      <c r="FB373" s="1259"/>
      <c r="FC373" s="1259"/>
      <c r="FD373" s="1259"/>
      <c r="FE373" s="1259"/>
      <c r="FF373" s="1259"/>
      <c r="FG373" s="1259"/>
      <c r="FH373" s="1259"/>
      <c r="FI373" s="1259"/>
      <c r="FJ373" s="1259"/>
      <c r="FK373" s="1259"/>
      <c r="FL373" s="1259"/>
      <c r="FM373" s="1259"/>
      <c r="FN373" s="1259"/>
      <c r="FO373" s="1259"/>
      <c r="FP373" s="1259"/>
      <c r="FQ373" s="1259"/>
      <c r="FR373" s="1259"/>
      <c r="FS373" s="1259"/>
      <c r="FT373" s="1259"/>
      <c r="FU373" s="1259"/>
      <c r="FV373" s="1259"/>
      <c r="FW373" s="1259"/>
      <c r="FX373" s="1259"/>
      <c r="FY373" s="1259"/>
      <c r="FZ373" s="1259"/>
      <c r="GA373" s="1259"/>
      <c r="GB373" s="1259"/>
      <c r="GC373" s="1259"/>
      <c r="GD373" s="1259"/>
      <c r="GE373" s="1259"/>
      <c r="GF373" s="1259"/>
      <c r="GG373" s="1259"/>
      <c r="GH373" s="1259"/>
      <c r="GI373" s="1259"/>
      <c r="GJ373" s="1259"/>
      <c r="GK373" s="1259"/>
      <c r="GL373" s="1259"/>
      <c r="GM373" s="1259"/>
      <c r="GN373" s="1259"/>
      <c r="GO373" s="1259"/>
      <c r="GP373" s="1259"/>
      <c r="GQ373" s="1259"/>
      <c r="GR373" s="1259"/>
      <c r="GS373" s="1259"/>
      <c r="GT373" s="1259"/>
      <c r="GU373" s="1259"/>
      <c r="GV373" s="1259"/>
      <c r="GW373" s="1259"/>
      <c r="GX373" s="1259"/>
      <c r="GY373" s="1259"/>
      <c r="GZ373" s="1259"/>
      <c r="HA373" s="1259"/>
      <c r="HB373" s="1259"/>
      <c r="HC373" s="1259"/>
      <c r="HD373" s="1259"/>
      <c r="HE373" s="1259"/>
      <c r="HF373" s="1259"/>
      <c r="HG373" s="1259"/>
      <c r="HH373" s="1259"/>
      <c r="HI373" s="1259"/>
      <c r="HJ373" s="1259"/>
      <c r="HK373" s="1259"/>
      <c r="HL373" s="1259"/>
      <c r="HM373" s="1259"/>
      <c r="HN373" s="1259"/>
      <c r="HO373" s="1259"/>
      <c r="HP373" s="1259"/>
      <c r="HQ373" s="1259"/>
      <c r="HR373" s="1259"/>
      <c r="HS373" s="1259"/>
      <c r="HT373" s="1259"/>
      <c r="HU373" s="1259"/>
      <c r="HV373" s="1259"/>
      <c r="HW373" s="1259"/>
      <c r="HX373" s="1259"/>
      <c r="HY373" s="1259"/>
      <c r="HZ373" s="1259"/>
      <c r="IA373" s="1259"/>
      <c r="IB373" s="1259"/>
      <c r="IC373" s="1259"/>
      <c r="ID373" s="1259"/>
      <c r="IE373" s="1259"/>
      <c r="IF373" s="1259"/>
      <c r="IG373" s="1259"/>
      <c r="IH373" s="1259"/>
      <c r="II373" s="1259"/>
      <c r="IJ373" s="1259"/>
      <c r="IK373" s="1259"/>
      <c r="IL373" s="1259"/>
      <c r="IM373" s="1259"/>
      <c r="IN373" s="1259"/>
      <c r="IO373" s="1259"/>
      <c r="IP373" s="1259"/>
      <c r="IQ373" s="1259"/>
      <c r="IR373" s="1259"/>
      <c r="IS373" s="1259"/>
      <c r="IT373" s="1259"/>
      <c r="IU373" s="1259"/>
      <c r="IV373" s="1259"/>
      <c r="IW373" s="1259"/>
      <c r="IX373" s="1259"/>
      <c r="IY373" s="1259"/>
      <c r="IZ373" s="1259"/>
      <c r="JA373" s="1259"/>
      <c r="JB373" s="1259"/>
      <c r="JC373" s="1259"/>
      <c r="JD373" s="1259"/>
      <c r="JE373" s="1259"/>
      <c r="JF373" s="1259"/>
      <c r="JG373" s="1259"/>
      <c r="JH373" s="1259"/>
      <c r="JI373" s="1259"/>
      <c r="JJ373" s="1259"/>
      <c r="JK373" s="1259"/>
      <c r="JL373" s="1259"/>
      <c r="JM373" s="1259"/>
      <c r="JN373" s="1259"/>
      <c r="JO373" s="1259"/>
      <c r="JP373" s="1259"/>
      <c r="JQ373" s="1259"/>
      <c r="JR373" s="1259"/>
      <c r="JS373" s="1259"/>
      <c r="JT373" s="1259"/>
      <c r="JU373" s="1259"/>
      <c r="JV373" s="1259"/>
      <c r="JW373" s="1259"/>
      <c r="JX373" s="1259"/>
      <c r="JY373" s="1259"/>
      <c r="JZ373" s="1259"/>
      <c r="KA373" s="1259"/>
      <c r="KB373" s="1259"/>
      <c r="KC373" s="1259"/>
      <c r="KD373" s="1259"/>
      <c r="KE373" s="1259"/>
      <c r="KF373" s="1259"/>
      <c r="KG373" s="1259"/>
      <c r="KH373" s="1259"/>
      <c r="KI373" s="1259"/>
      <c r="KJ373" s="1259"/>
      <c r="KK373" s="1259"/>
      <c r="KL373" s="1259"/>
      <c r="KM373" s="1259"/>
      <c r="KN373" s="1259"/>
      <c r="KO373" s="1259"/>
      <c r="KP373" s="1259"/>
      <c r="KQ373" s="1259"/>
      <c r="KR373" s="1259"/>
      <c r="KS373" s="1259"/>
      <c r="KT373" s="1259"/>
      <c r="KU373" s="1259"/>
      <c r="KV373" s="1259"/>
      <c r="KW373" s="1259"/>
      <c r="KX373" s="1259"/>
      <c r="KY373" s="1259"/>
      <c r="KZ373" s="1259"/>
      <c r="LA373" s="1259"/>
      <c r="LB373" s="1259"/>
      <c r="LC373" s="1259"/>
      <c r="LD373" s="1259"/>
      <c r="LE373" s="1259"/>
      <c r="LF373" s="1259"/>
      <c r="LG373" s="1259"/>
      <c r="LH373" s="1259"/>
      <c r="LI373" s="1259"/>
      <c r="LJ373" s="1259"/>
      <c r="LK373" s="1259"/>
      <c r="LL373" s="1259"/>
      <c r="LM373" s="1259"/>
      <c r="LN373" s="1259"/>
      <c r="LO373" s="1259"/>
      <c r="LP373" s="1259"/>
      <c r="LQ373" s="1259"/>
      <c r="LR373" s="1259"/>
      <c r="LS373" s="1259"/>
      <c r="LT373" s="1259"/>
      <c r="LU373" s="1259"/>
      <c r="LV373" s="1259"/>
      <c r="LW373" s="1259"/>
      <c r="LX373" s="1259"/>
      <c r="LY373" s="1259"/>
      <c r="LZ373" s="1259"/>
      <c r="MA373" s="1259"/>
      <c r="MB373" s="1259"/>
      <c r="MC373" s="1259"/>
      <c r="MD373" s="1259"/>
      <c r="ME373" s="1259"/>
      <c r="MF373" s="1259"/>
      <c r="MG373" s="1259"/>
      <c r="MH373" s="1259"/>
      <c r="MI373" s="1259"/>
      <c r="MJ373" s="1259"/>
      <c r="MK373" s="1259"/>
      <c r="ML373" s="1259"/>
      <c r="MM373" s="1259"/>
      <c r="MN373" s="1259"/>
      <c r="MO373" s="1259"/>
      <c r="MP373" s="1259"/>
      <c r="MQ373" s="1259"/>
      <c r="MR373" s="1259"/>
      <c r="MS373" s="1259"/>
      <c r="MT373" s="1259"/>
      <c r="MU373" s="1259"/>
      <c r="MV373" s="1259"/>
      <c r="MW373" s="1259"/>
      <c r="MX373" s="1259"/>
      <c r="MY373" s="1259"/>
      <c r="MZ373" s="1259"/>
      <c r="NA373" s="1259"/>
      <c r="NB373" s="1259"/>
      <c r="NC373" s="1259"/>
      <c r="ND373" s="1259"/>
      <c r="NE373" s="1259"/>
      <c r="NF373" s="1259"/>
      <c r="NG373" s="1259"/>
      <c r="NH373" s="1259"/>
      <c r="NI373" s="1259"/>
      <c r="NJ373" s="1259"/>
      <c r="NK373" s="1259"/>
      <c r="NL373" s="1259"/>
      <c r="NM373" s="1259"/>
      <c r="NN373" s="1259"/>
      <c r="NO373" s="1259"/>
      <c r="NP373" s="1259"/>
      <c r="NQ373" s="1259"/>
      <c r="NR373" s="1259"/>
      <c r="NS373" s="1259"/>
      <c r="NT373" s="1259"/>
      <c r="NU373" s="1259"/>
      <c r="NV373" s="1259"/>
      <c r="NW373" s="1259"/>
      <c r="NX373" s="1259"/>
      <c r="NY373" s="1259"/>
      <c r="NZ373" s="1259"/>
      <c r="OA373" s="1259"/>
      <c r="OB373" s="1259"/>
      <c r="OC373" s="1259"/>
      <c r="OD373" s="1259"/>
      <c r="OE373" s="1259"/>
      <c r="OF373" s="1259"/>
      <c r="OG373" s="1259"/>
      <c r="OH373" s="1259"/>
      <c r="OI373" s="1259"/>
      <c r="OJ373" s="1259"/>
      <c r="OK373" s="1259"/>
      <c r="OL373" s="1259"/>
      <c r="OM373" s="1259"/>
      <c r="ON373" s="1259"/>
      <c r="OO373" s="1259"/>
      <c r="OP373" s="1259"/>
      <c r="OQ373" s="1259"/>
      <c r="OR373" s="1259"/>
      <c r="OS373" s="1259"/>
      <c r="OT373" s="1259"/>
      <c r="OU373" s="1259"/>
      <c r="OV373" s="1259"/>
      <c r="OW373" s="1259"/>
      <c r="OX373" s="1259"/>
      <c r="OY373" s="1259"/>
      <c r="OZ373" s="1259"/>
      <c r="PA373" s="1259"/>
      <c r="PB373" s="1259"/>
      <c r="PC373" s="1259"/>
      <c r="PD373" s="1259"/>
      <c r="PE373" s="1259"/>
      <c r="PF373" s="1259"/>
      <c r="PG373" s="1259"/>
      <c r="PH373" s="1259"/>
      <c r="PI373" s="1259"/>
      <c r="PJ373" s="1259"/>
      <c r="PK373" s="1259"/>
      <c r="PL373" s="1259"/>
      <c r="PM373" s="1259"/>
      <c r="PN373" s="1259"/>
      <c r="PO373" s="1259"/>
      <c r="PP373" s="1259"/>
      <c r="PQ373" s="1259"/>
      <c r="PR373" s="1259"/>
      <c r="PS373" s="1259"/>
      <c r="PT373" s="1259"/>
      <c r="PU373" s="1259"/>
      <c r="PV373" s="1259"/>
      <c r="PW373" s="1259"/>
      <c r="PX373" s="1259"/>
      <c r="PY373" s="1259"/>
      <c r="PZ373" s="1259"/>
      <c r="QA373" s="1259"/>
      <c r="QB373" s="1259"/>
      <c r="QC373" s="1259"/>
      <c r="QD373" s="1259"/>
      <c r="QE373" s="1259"/>
      <c r="QF373" s="1259"/>
      <c r="QG373" s="1259"/>
      <c r="QH373" s="1259"/>
      <c r="QI373" s="1259"/>
      <c r="QJ373" s="1259"/>
      <c r="QK373" s="1259"/>
      <c r="QL373" s="1259"/>
      <c r="QM373" s="1259"/>
      <c r="QN373" s="1259"/>
      <c r="QO373" s="1259"/>
      <c r="QP373" s="1259"/>
      <c r="QQ373" s="1259"/>
      <c r="QR373" s="1259"/>
      <c r="QS373" s="1259"/>
      <c r="QT373" s="1259"/>
      <c r="QU373" s="1259"/>
      <c r="QV373" s="1259"/>
      <c r="QW373" s="1259"/>
      <c r="QX373" s="1259"/>
      <c r="QY373" s="1259"/>
      <c r="QZ373" s="1259"/>
      <c r="RA373" s="1259"/>
      <c r="RB373" s="1259"/>
      <c r="RC373" s="1259"/>
      <c r="RD373" s="1259"/>
      <c r="RE373" s="1259"/>
      <c r="RF373" s="1259"/>
      <c r="RG373" s="1259"/>
      <c r="RH373" s="1259"/>
      <c r="RI373" s="1259"/>
      <c r="RJ373" s="1259"/>
      <c r="RK373" s="1259"/>
      <c r="RL373" s="1259"/>
      <c r="RM373" s="1259"/>
      <c r="RN373" s="1259"/>
      <c r="RO373" s="1259"/>
      <c r="RP373" s="1259"/>
      <c r="RQ373" s="1259"/>
      <c r="RR373" s="1259"/>
      <c r="RS373" s="1259"/>
      <c r="RT373" s="1259"/>
      <c r="RU373" s="1259"/>
      <c r="RV373" s="1259"/>
      <c r="RW373" s="1259"/>
      <c r="RX373" s="1259"/>
      <c r="RY373" s="1259"/>
      <c r="RZ373" s="1259"/>
      <c r="SA373" s="1259"/>
      <c r="SB373" s="1259"/>
      <c r="SC373" s="1259"/>
      <c r="SD373" s="1259"/>
      <c r="SE373" s="1259"/>
      <c r="SF373" s="1259"/>
      <c r="SG373" s="1259"/>
      <c r="SH373" s="1259"/>
      <c r="SI373" s="1259"/>
      <c r="SJ373" s="1259"/>
      <c r="SK373" s="1259"/>
      <c r="SL373" s="1259"/>
      <c r="SM373" s="1259"/>
      <c r="SN373" s="1259"/>
      <c r="SO373" s="1259"/>
      <c r="SP373" s="1259"/>
      <c r="SQ373" s="1259"/>
      <c r="SR373" s="1259"/>
      <c r="SS373" s="1259"/>
      <c r="ST373" s="1259"/>
      <c r="SU373" s="1259"/>
      <c r="SV373" s="1259"/>
      <c r="SW373" s="1259"/>
      <c r="SX373" s="1259"/>
      <c r="SY373" s="1259"/>
      <c r="SZ373" s="1259"/>
      <c r="TA373" s="1259"/>
      <c r="TB373" s="1259"/>
      <c r="TC373" s="1259"/>
      <c r="TD373" s="1259"/>
      <c r="TE373" s="1259"/>
      <c r="TF373" s="1259"/>
      <c r="TG373" s="1259"/>
      <c r="TH373" s="1259"/>
      <c r="TI373" s="1259"/>
      <c r="TJ373" s="1259"/>
      <c r="TK373" s="1259"/>
      <c r="TL373" s="1259"/>
      <c r="TM373" s="1259"/>
      <c r="TN373" s="1259"/>
      <c r="TO373" s="1259"/>
      <c r="TP373" s="1259"/>
      <c r="TQ373" s="1259"/>
      <c r="TR373" s="1259"/>
      <c r="TS373" s="1259"/>
      <c r="TT373" s="1259"/>
      <c r="TU373" s="1259"/>
      <c r="TV373" s="1259"/>
      <c r="TW373" s="1259"/>
      <c r="TX373" s="1259"/>
      <c r="TY373" s="1259"/>
      <c r="TZ373" s="1259"/>
      <c r="UA373" s="1259"/>
      <c r="UB373" s="1259"/>
      <c r="UC373" s="1259"/>
      <c r="UD373" s="1259"/>
      <c r="UE373" s="1259"/>
      <c r="UF373" s="1259"/>
      <c r="UG373" s="1261"/>
    </row>
    <row r="374" spans="1:553" s="1262" customFormat="1" ht="29.25" customHeight="1">
      <c r="A374" s="554"/>
      <c r="B374" s="555"/>
      <c r="C374" s="1424" t="s">
        <v>813</v>
      </c>
      <c r="D374" s="1425" t="s">
        <v>837</v>
      </c>
      <c r="E374" s="1425" t="s">
        <v>837</v>
      </c>
      <c r="F374" s="1426" t="s">
        <v>837</v>
      </c>
      <c r="G374" s="574" t="s">
        <v>196</v>
      </c>
      <c r="H374" s="556"/>
      <c r="I374" s="575">
        <f>(45.69*100/625)*(12-(4-3))*3</f>
        <v>241.2432</v>
      </c>
      <c r="J374" s="989">
        <v>10700</v>
      </c>
      <c r="K374" s="577">
        <v>0.7</v>
      </c>
      <c r="L374" s="1148">
        <f>ROUND(PRODUCT(I374:K374),0)</f>
        <v>1806912</v>
      </c>
      <c r="M374" s="366"/>
      <c r="N374" s="366"/>
      <c r="O374" s="366"/>
      <c r="P374" s="366"/>
      <c r="Q374" s="1135"/>
      <c r="R374" s="1228"/>
      <c r="S374" s="308"/>
      <c r="T374" s="303"/>
      <c r="U374" s="306"/>
      <c r="V374" s="307"/>
      <c r="W374" s="306"/>
      <c r="X374" s="306"/>
      <c r="Y374" s="306"/>
      <c r="Z374" s="306"/>
      <c r="AA374" s="306"/>
      <c r="AB374" s="306"/>
      <c r="AC374" s="456"/>
      <c r="AD374" s="452"/>
      <c r="AE374" s="452"/>
      <c r="AF374" s="452"/>
      <c r="AG374" s="452"/>
      <c r="AH374" s="452"/>
      <c r="AI374" s="452"/>
      <c r="AJ374" s="452"/>
      <c r="AK374" s="452"/>
      <c r="AL374" s="1259"/>
      <c r="AM374" s="1259"/>
      <c r="AN374" s="1259"/>
      <c r="AO374" s="1259"/>
      <c r="AP374" s="1259"/>
      <c r="AQ374" s="1259"/>
      <c r="AR374" s="1259"/>
      <c r="AS374" s="1259"/>
      <c r="AT374" s="1259"/>
      <c r="AU374" s="1259"/>
      <c r="AV374" s="1259"/>
      <c r="AW374" s="1259"/>
      <c r="AX374" s="1259"/>
      <c r="AY374" s="1259"/>
      <c r="AZ374" s="1259"/>
      <c r="BA374" s="1259"/>
      <c r="BB374" s="1259"/>
      <c r="BC374" s="1259"/>
      <c r="BD374" s="1259"/>
      <c r="BE374" s="1259"/>
      <c r="BF374" s="1259"/>
      <c r="BG374" s="1259"/>
      <c r="BH374" s="1259"/>
      <c r="BI374" s="1259"/>
      <c r="BJ374" s="1259"/>
      <c r="BK374" s="1259"/>
      <c r="BL374" s="1259"/>
      <c r="BM374" s="1259"/>
      <c r="BN374" s="1259"/>
      <c r="BO374" s="1259"/>
      <c r="BP374" s="1259"/>
      <c r="BQ374" s="1259"/>
      <c r="BR374" s="1259"/>
      <c r="BS374" s="1259"/>
      <c r="BT374" s="1259"/>
      <c r="BU374" s="1259"/>
      <c r="BV374" s="1259"/>
      <c r="BW374" s="1259"/>
      <c r="BX374" s="1259"/>
      <c r="BY374" s="1259"/>
      <c r="BZ374" s="1259"/>
      <c r="CA374" s="1259"/>
      <c r="CB374" s="1259"/>
      <c r="CC374" s="1259"/>
      <c r="CD374" s="1259"/>
      <c r="CE374" s="1259"/>
      <c r="CF374" s="1259"/>
      <c r="CG374" s="1259"/>
      <c r="CH374" s="1259"/>
      <c r="CI374" s="1259"/>
      <c r="CJ374" s="1259"/>
      <c r="CK374" s="1259"/>
      <c r="CL374" s="1259"/>
      <c r="CM374" s="1259"/>
      <c r="CN374" s="1259"/>
      <c r="CO374" s="1259"/>
      <c r="CP374" s="1259"/>
      <c r="CQ374" s="1259"/>
      <c r="CR374" s="1259"/>
      <c r="CS374" s="1259"/>
      <c r="CT374" s="1259"/>
      <c r="CU374" s="1259"/>
      <c r="CV374" s="1259"/>
      <c r="CW374" s="1259"/>
      <c r="CX374" s="1259"/>
      <c r="CY374" s="1259"/>
      <c r="CZ374" s="1259"/>
      <c r="DA374" s="1259"/>
      <c r="DB374" s="1259"/>
      <c r="DC374" s="1259"/>
      <c r="DD374" s="1259"/>
      <c r="DE374" s="1259"/>
      <c r="DF374" s="1259"/>
      <c r="DG374" s="1259"/>
      <c r="DH374" s="1259"/>
      <c r="DI374" s="1259"/>
      <c r="DJ374" s="1259"/>
      <c r="DK374" s="1259"/>
      <c r="DL374" s="1259"/>
      <c r="DM374" s="1259"/>
      <c r="DN374" s="1259"/>
      <c r="DO374" s="1259"/>
      <c r="DP374" s="1259"/>
      <c r="DQ374" s="1259"/>
      <c r="DR374" s="1259"/>
      <c r="DS374" s="1259"/>
      <c r="DT374" s="1259"/>
      <c r="DU374" s="1259"/>
      <c r="DV374" s="1259"/>
      <c r="DW374" s="1259"/>
      <c r="DX374" s="1259"/>
      <c r="DY374" s="1259"/>
      <c r="DZ374" s="1259"/>
      <c r="EA374" s="1259"/>
      <c r="EB374" s="1259"/>
      <c r="EC374" s="1259"/>
      <c r="ED374" s="1259"/>
      <c r="EE374" s="1259"/>
      <c r="EF374" s="1259"/>
      <c r="EG374" s="1259"/>
      <c r="EH374" s="1259"/>
      <c r="EI374" s="1259"/>
      <c r="EJ374" s="1259"/>
      <c r="EK374" s="1259"/>
      <c r="EL374" s="1259"/>
      <c r="EM374" s="1259"/>
      <c r="EN374" s="1259"/>
      <c r="EO374" s="1259"/>
      <c r="EP374" s="1259"/>
      <c r="EQ374" s="1259"/>
      <c r="ER374" s="1259"/>
      <c r="ES374" s="1259"/>
      <c r="ET374" s="1259"/>
      <c r="EU374" s="1259"/>
      <c r="EV374" s="1259"/>
      <c r="EW374" s="1259"/>
      <c r="EX374" s="1259"/>
      <c r="EY374" s="1259"/>
      <c r="EZ374" s="1259"/>
      <c r="FA374" s="1259"/>
      <c r="FB374" s="1259"/>
      <c r="FC374" s="1259"/>
      <c r="FD374" s="1259"/>
      <c r="FE374" s="1259"/>
      <c r="FF374" s="1259"/>
      <c r="FG374" s="1259"/>
      <c r="FH374" s="1259"/>
      <c r="FI374" s="1259"/>
      <c r="FJ374" s="1259"/>
      <c r="FK374" s="1259"/>
      <c r="FL374" s="1259"/>
      <c r="FM374" s="1259"/>
      <c r="FN374" s="1259"/>
      <c r="FO374" s="1259"/>
      <c r="FP374" s="1259"/>
      <c r="FQ374" s="1259"/>
      <c r="FR374" s="1259"/>
      <c r="FS374" s="1259"/>
      <c r="FT374" s="1259"/>
      <c r="FU374" s="1259"/>
      <c r="FV374" s="1259"/>
      <c r="FW374" s="1259"/>
      <c r="FX374" s="1259"/>
      <c r="FY374" s="1259"/>
      <c r="FZ374" s="1259"/>
      <c r="GA374" s="1259"/>
      <c r="GB374" s="1259"/>
      <c r="GC374" s="1259"/>
      <c r="GD374" s="1259"/>
      <c r="GE374" s="1259"/>
      <c r="GF374" s="1259"/>
      <c r="GG374" s="1259"/>
      <c r="GH374" s="1259"/>
      <c r="GI374" s="1259"/>
      <c r="GJ374" s="1259"/>
      <c r="GK374" s="1259"/>
      <c r="GL374" s="1259"/>
      <c r="GM374" s="1259"/>
      <c r="GN374" s="1259"/>
      <c r="GO374" s="1259"/>
      <c r="GP374" s="1259"/>
      <c r="GQ374" s="1259"/>
      <c r="GR374" s="1259"/>
      <c r="GS374" s="1259"/>
      <c r="GT374" s="1259"/>
      <c r="GU374" s="1259"/>
      <c r="GV374" s="1259"/>
      <c r="GW374" s="1259"/>
      <c r="GX374" s="1259"/>
      <c r="GY374" s="1259"/>
      <c r="GZ374" s="1259"/>
      <c r="HA374" s="1259"/>
      <c r="HB374" s="1259"/>
      <c r="HC374" s="1259"/>
      <c r="HD374" s="1259"/>
      <c r="HE374" s="1259"/>
      <c r="HF374" s="1259"/>
      <c r="HG374" s="1259"/>
      <c r="HH374" s="1259"/>
      <c r="HI374" s="1259"/>
      <c r="HJ374" s="1259"/>
      <c r="HK374" s="1259"/>
      <c r="HL374" s="1259"/>
      <c r="HM374" s="1259"/>
      <c r="HN374" s="1259"/>
      <c r="HO374" s="1259"/>
      <c r="HP374" s="1259"/>
      <c r="HQ374" s="1259"/>
      <c r="HR374" s="1259"/>
      <c r="HS374" s="1259"/>
      <c r="HT374" s="1259"/>
      <c r="HU374" s="1259"/>
      <c r="HV374" s="1259"/>
      <c r="HW374" s="1259"/>
      <c r="HX374" s="1259"/>
      <c r="HY374" s="1259"/>
      <c r="HZ374" s="1259"/>
      <c r="IA374" s="1259"/>
      <c r="IB374" s="1259"/>
      <c r="IC374" s="1259"/>
      <c r="ID374" s="1259"/>
      <c r="IE374" s="1259"/>
      <c r="IF374" s="1259"/>
      <c r="IG374" s="1259"/>
      <c r="IH374" s="1259"/>
      <c r="II374" s="1259"/>
      <c r="IJ374" s="1259"/>
      <c r="IK374" s="1259"/>
      <c r="IL374" s="1259"/>
      <c r="IM374" s="1259"/>
      <c r="IN374" s="1259"/>
      <c r="IO374" s="1259"/>
      <c r="IP374" s="1259"/>
      <c r="IQ374" s="1259"/>
      <c r="IR374" s="1259"/>
      <c r="IS374" s="1259"/>
      <c r="IT374" s="1259"/>
      <c r="IU374" s="1259"/>
      <c r="IV374" s="1259"/>
      <c r="IW374" s="1259"/>
      <c r="IX374" s="1259"/>
      <c r="IY374" s="1259"/>
      <c r="IZ374" s="1259"/>
      <c r="JA374" s="1259"/>
      <c r="JB374" s="1259"/>
      <c r="JC374" s="1259"/>
      <c r="JD374" s="1259"/>
      <c r="JE374" s="1259"/>
      <c r="JF374" s="1259"/>
      <c r="JG374" s="1259"/>
      <c r="JH374" s="1259"/>
      <c r="JI374" s="1259"/>
      <c r="JJ374" s="1259"/>
      <c r="JK374" s="1259"/>
      <c r="JL374" s="1259"/>
      <c r="JM374" s="1259"/>
      <c r="JN374" s="1259"/>
      <c r="JO374" s="1259"/>
      <c r="JP374" s="1259"/>
      <c r="JQ374" s="1259"/>
      <c r="JR374" s="1259"/>
      <c r="JS374" s="1259"/>
      <c r="JT374" s="1259"/>
      <c r="JU374" s="1259"/>
      <c r="JV374" s="1259"/>
      <c r="JW374" s="1259"/>
      <c r="JX374" s="1259"/>
      <c r="JY374" s="1259"/>
      <c r="JZ374" s="1259"/>
      <c r="KA374" s="1259"/>
      <c r="KB374" s="1259"/>
      <c r="KC374" s="1259"/>
      <c r="KD374" s="1259"/>
      <c r="KE374" s="1259"/>
      <c r="KF374" s="1259"/>
      <c r="KG374" s="1259"/>
      <c r="KH374" s="1259"/>
      <c r="KI374" s="1259"/>
      <c r="KJ374" s="1259"/>
      <c r="KK374" s="1259"/>
      <c r="KL374" s="1259"/>
      <c r="KM374" s="1259"/>
      <c r="KN374" s="1259"/>
      <c r="KO374" s="1259"/>
      <c r="KP374" s="1259"/>
      <c r="KQ374" s="1259"/>
      <c r="KR374" s="1259"/>
      <c r="KS374" s="1259"/>
      <c r="KT374" s="1259"/>
      <c r="KU374" s="1259"/>
      <c r="KV374" s="1259"/>
      <c r="KW374" s="1259"/>
      <c r="KX374" s="1259"/>
      <c r="KY374" s="1259"/>
      <c r="KZ374" s="1259"/>
      <c r="LA374" s="1259"/>
      <c r="LB374" s="1259"/>
      <c r="LC374" s="1259"/>
      <c r="LD374" s="1259"/>
      <c r="LE374" s="1259"/>
      <c r="LF374" s="1259"/>
      <c r="LG374" s="1259"/>
      <c r="LH374" s="1259"/>
      <c r="LI374" s="1259"/>
      <c r="LJ374" s="1259"/>
      <c r="LK374" s="1259"/>
      <c r="LL374" s="1259"/>
      <c r="LM374" s="1259"/>
      <c r="LN374" s="1259"/>
      <c r="LO374" s="1259"/>
      <c r="LP374" s="1259"/>
      <c r="LQ374" s="1259"/>
      <c r="LR374" s="1259"/>
      <c r="LS374" s="1259"/>
      <c r="LT374" s="1259"/>
      <c r="LU374" s="1259"/>
      <c r="LV374" s="1259"/>
      <c r="LW374" s="1259"/>
      <c r="LX374" s="1259"/>
      <c r="LY374" s="1259"/>
      <c r="LZ374" s="1259"/>
      <c r="MA374" s="1259"/>
      <c r="MB374" s="1259"/>
      <c r="MC374" s="1259"/>
      <c r="MD374" s="1259"/>
      <c r="ME374" s="1259"/>
      <c r="MF374" s="1259"/>
      <c r="MG374" s="1259"/>
      <c r="MH374" s="1259"/>
      <c r="MI374" s="1259"/>
      <c r="MJ374" s="1259"/>
      <c r="MK374" s="1259"/>
      <c r="ML374" s="1259"/>
      <c r="MM374" s="1259"/>
      <c r="MN374" s="1259"/>
      <c r="MO374" s="1259"/>
      <c r="MP374" s="1259"/>
      <c r="MQ374" s="1259"/>
      <c r="MR374" s="1259"/>
      <c r="MS374" s="1259"/>
      <c r="MT374" s="1259"/>
      <c r="MU374" s="1259"/>
      <c r="MV374" s="1259"/>
      <c r="MW374" s="1259"/>
      <c r="MX374" s="1259"/>
      <c r="MY374" s="1259"/>
      <c r="MZ374" s="1259"/>
      <c r="NA374" s="1259"/>
      <c r="NB374" s="1259"/>
      <c r="NC374" s="1259"/>
      <c r="ND374" s="1259"/>
      <c r="NE374" s="1259"/>
      <c r="NF374" s="1259"/>
      <c r="NG374" s="1259"/>
      <c r="NH374" s="1259"/>
      <c r="NI374" s="1259"/>
      <c r="NJ374" s="1259"/>
      <c r="NK374" s="1259"/>
      <c r="NL374" s="1259"/>
      <c r="NM374" s="1259"/>
      <c r="NN374" s="1259"/>
      <c r="NO374" s="1259"/>
      <c r="NP374" s="1259"/>
      <c r="NQ374" s="1259"/>
      <c r="NR374" s="1259"/>
      <c r="NS374" s="1259"/>
      <c r="NT374" s="1259"/>
      <c r="NU374" s="1259"/>
      <c r="NV374" s="1259"/>
      <c r="NW374" s="1259"/>
      <c r="NX374" s="1259"/>
      <c r="NY374" s="1259"/>
      <c r="NZ374" s="1259"/>
      <c r="OA374" s="1259"/>
      <c r="OB374" s="1259"/>
      <c r="OC374" s="1259"/>
      <c r="OD374" s="1259"/>
      <c r="OE374" s="1259"/>
      <c r="OF374" s="1259"/>
      <c r="OG374" s="1259"/>
      <c r="OH374" s="1259"/>
      <c r="OI374" s="1259"/>
      <c r="OJ374" s="1259"/>
      <c r="OK374" s="1259"/>
      <c r="OL374" s="1259"/>
      <c r="OM374" s="1259"/>
      <c r="ON374" s="1259"/>
      <c r="OO374" s="1259"/>
      <c r="OP374" s="1259"/>
      <c r="OQ374" s="1259"/>
      <c r="OR374" s="1259"/>
      <c r="OS374" s="1259"/>
      <c r="OT374" s="1259"/>
      <c r="OU374" s="1259"/>
      <c r="OV374" s="1259"/>
      <c r="OW374" s="1259"/>
      <c r="OX374" s="1259"/>
      <c r="OY374" s="1259"/>
      <c r="OZ374" s="1259"/>
      <c r="PA374" s="1259"/>
      <c r="PB374" s="1259"/>
      <c r="PC374" s="1259"/>
      <c r="PD374" s="1259"/>
      <c r="PE374" s="1259"/>
      <c r="PF374" s="1259"/>
      <c r="PG374" s="1259"/>
      <c r="PH374" s="1259"/>
      <c r="PI374" s="1259"/>
      <c r="PJ374" s="1259"/>
      <c r="PK374" s="1259"/>
      <c r="PL374" s="1259"/>
      <c r="PM374" s="1259"/>
      <c r="PN374" s="1259"/>
      <c r="PO374" s="1259"/>
      <c r="PP374" s="1259"/>
      <c r="PQ374" s="1259"/>
      <c r="PR374" s="1259"/>
      <c r="PS374" s="1259"/>
      <c r="PT374" s="1259"/>
      <c r="PU374" s="1259"/>
      <c r="PV374" s="1259"/>
      <c r="PW374" s="1259"/>
      <c r="PX374" s="1259"/>
      <c r="PY374" s="1259"/>
      <c r="PZ374" s="1259"/>
      <c r="QA374" s="1259"/>
      <c r="QB374" s="1259"/>
      <c r="QC374" s="1259"/>
      <c r="QD374" s="1259"/>
      <c r="QE374" s="1259"/>
      <c r="QF374" s="1259"/>
      <c r="QG374" s="1259"/>
      <c r="QH374" s="1259"/>
      <c r="QI374" s="1259"/>
      <c r="QJ374" s="1259"/>
      <c r="QK374" s="1259"/>
      <c r="QL374" s="1259"/>
      <c r="QM374" s="1259"/>
      <c r="QN374" s="1259"/>
      <c r="QO374" s="1259"/>
      <c r="QP374" s="1259"/>
      <c r="QQ374" s="1259"/>
      <c r="QR374" s="1259"/>
      <c r="QS374" s="1259"/>
      <c r="QT374" s="1259"/>
      <c r="QU374" s="1259"/>
      <c r="QV374" s="1259"/>
      <c r="QW374" s="1259"/>
      <c r="QX374" s="1259"/>
      <c r="QY374" s="1259"/>
      <c r="QZ374" s="1259"/>
      <c r="RA374" s="1259"/>
      <c r="RB374" s="1259"/>
      <c r="RC374" s="1259"/>
      <c r="RD374" s="1259"/>
      <c r="RE374" s="1259"/>
      <c r="RF374" s="1259"/>
      <c r="RG374" s="1259"/>
      <c r="RH374" s="1259"/>
      <c r="RI374" s="1259"/>
      <c r="RJ374" s="1259"/>
      <c r="RK374" s="1259"/>
      <c r="RL374" s="1259"/>
      <c r="RM374" s="1259"/>
      <c r="RN374" s="1259"/>
      <c r="RO374" s="1259"/>
      <c r="RP374" s="1259"/>
      <c r="RQ374" s="1259"/>
      <c r="RR374" s="1259"/>
      <c r="RS374" s="1259"/>
      <c r="RT374" s="1259"/>
      <c r="RU374" s="1259"/>
      <c r="RV374" s="1259"/>
      <c r="RW374" s="1259"/>
      <c r="RX374" s="1259"/>
      <c r="RY374" s="1259"/>
      <c r="RZ374" s="1259"/>
      <c r="SA374" s="1259"/>
      <c r="SB374" s="1259"/>
      <c r="SC374" s="1259"/>
      <c r="SD374" s="1259"/>
      <c r="SE374" s="1259"/>
      <c r="SF374" s="1259"/>
      <c r="SG374" s="1259"/>
      <c r="SH374" s="1259"/>
      <c r="SI374" s="1259"/>
      <c r="SJ374" s="1259"/>
      <c r="SK374" s="1259"/>
      <c r="SL374" s="1259"/>
      <c r="SM374" s="1259"/>
      <c r="SN374" s="1259"/>
      <c r="SO374" s="1259"/>
      <c r="SP374" s="1259"/>
      <c r="SQ374" s="1259"/>
      <c r="SR374" s="1259"/>
      <c r="SS374" s="1259"/>
      <c r="ST374" s="1259"/>
      <c r="SU374" s="1259"/>
      <c r="SV374" s="1259"/>
      <c r="SW374" s="1259"/>
      <c r="SX374" s="1259"/>
      <c r="SY374" s="1259"/>
      <c r="SZ374" s="1259"/>
      <c r="TA374" s="1259"/>
      <c r="TB374" s="1259"/>
      <c r="TC374" s="1259"/>
      <c r="TD374" s="1259"/>
      <c r="TE374" s="1259"/>
      <c r="TF374" s="1259"/>
      <c r="TG374" s="1259"/>
      <c r="TH374" s="1259"/>
      <c r="TI374" s="1259"/>
      <c r="TJ374" s="1259"/>
      <c r="TK374" s="1259"/>
      <c r="TL374" s="1259"/>
      <c r="TM374" s="1259"/>
      <c r="TN374" s="1259"/>
      <c r="TO374" s="1259"/>
      <c r="TP374" s="1259"/>
      <c r="TQ374" s="1259"/>
      <c r="TR374" s="1259"/>
      <c r="TS374" s="1259"/>
      <c r="TT374" s="1259"/>
      <c r="TU374" s="1259"/>
      <c r="TV374" s="1259"/>
      <c r="TW374" s="1259"/>
      <c r="TX374" s="1259"/>
      <c r="TY374" s="1259"/>
      <c r="TZ374" s="1259"/>
      <c r="UA374" s="1259"/>
      <c r="UB374" s="1259"/>
      <c r="UC374" s="1259"/>
      <c r="UD374" s="1259"/>
      <c r="UE374" s="1259"/>
      <c r="UF374" s="1259"/>
      <c r="UG374" s="1261"/>
    </row>
    <row r="375" spans="1:553" s="1262" customFormat="1" ht="29.25" customHeight="1">
      <c r="A375" s="406"/>
      <c r="B375" s="405"/>
      <c r="C375" s="1427" t="s">
        <v>821</v>
      </c>
      <c r="D375" s="1427" t="s">
        <v>821</v>
      </c>
      <c r="E375" s="1427" t="s">
        <v>821</v>
      </c>
      <c r="F375" s="1427" t="s">
        <v>821</v>
      </c>
      <c r="G375" s="569" t="s">
        <v>196</v>
      </c>
      <c r="H375" s="409"/>
      <c r="I375" s="567">
        <f>(206.62*100/2000)*120</f>
        <v>1239.72</v>
      </c>
      <c r="J375" s="521">
        <v>6200</v>
      </c>
      <c r="K375" s="410"/>
      <c r="L375" s="679">
        <f>ROUND(PRODUCT(I375:K375),0)</f>
        <v>7686264</v>
      </c>
      <c r="M375" s="366"/>
      <c r="N375" s="366"/>
      <c r="O375" s="366"/>
      <c r="P375" s="366"/>
      <c r="Q375" s="1135"/>
      <c r="R375" s="1228"/>
      <c r="S375" s="435"/>
      <c r="T375" s="436"/>
      <c r="U375" s="304"/>
      <c r="V375" s="393"/>
      <c r="W375" s="304"/>
      <c r="X375" s="304"/>
      <c r="Y375" s="304"/>
      <c r="Z375" s="304"/>
      <c r="AA375" s="304"/>
      <c r="AB375" s="304"/>
      <c r="AC375" s="456"/>
      <c r="AD375" s="452"/>
      <c r="AE375" s="452"/>
      <c r="AF375" s="452"/>
      <c r="AG375" s="452"/>
      <c r="AH375" s="452"/>
      <c r="AI375" s="452"/>
      <c r="AJ375" s="452"/>
      <c r="AK375" s="452"/>
      <c r="AL375" s="1259"/>
      <c r="AM375" s="1259"/>
      <c r="AN375" s="1259"/>
      <c r="AO375" s="1259"/>
      <c r="AP375" s="1259"/>
      <c r="AQ375" s="1259"/>
      <c r="AR375" s="1259"/>
      <c r="AS375" s="1259"/>
      <c r="AT375" s="1259"/>
      <c r="AU375" s="1259"/>
      <c r="AV375" s="1259"/>
      <c r="AW375" s="1259"/>
      <c r="AX375" s="1259"/>
      <c r="AY375" s="1259"/>
      <c r="AZ375" s="1259"/>
      <c r="BA375" s="1259"/>
      <c r="BB375" s="1259"/>
      <c r="BC375" s="1259"/>
      <c r="BD375" s="1259"/>
      <c r="BE375" s="1259"/>
      <c r="BF375" s="1259"/>
      <c r="BG375" s="1259"/>
      <c r="BH375" s="1259"/>
      <c r="BI375" s="1259"/>
      <c r="BJ375" s="1259"/>
      <c r="BK375" s="1259"/>
      <c r="BL375" s="1259"/>
      <c r="BM375" s="1259"/>
      <c r="BN375" s="1259"/>
      <c r="BO375" s="1259"/>
      <c r="BP375" s="1259"/>
      <c r="BQ375" s="1259"/>
      <c r="BR375" s="1259"/>
      <c r="BS375" s="1259"/>
      <c r="BT375" s="1259"/>
      <c r="BU375" s="1259"/>
      <c r="BV375" s="1259"/>
      <c r="BW375" s="1259"/>
      <c r="BX375" s="1259"/>
      <c r="BY375" s="1259"/>
      <c r="BZ375" s="1259"/>
      <c r="CA375" s="1259"/>
      <c r="CB375" s="1259"/>
      <c r="CC375" s="1259"/>
      <c r="CD375" s="1259"/>
      <c r="CE375" s="1259"/>
      <c r="CF375" s="1259"/>
      <c r="CG375" s="1259"/>
      <c r="CH375" s="1259"/>
      <c r="CI375" s="1259"/>
      <c r="CJ375" s="1259"/>
      <c r="CK375" s="1259"/>
      <c r="CL375" s="1259"/>
      <c r="CM375" s="1259"/>
      <c r="CN375" s="1259"/>
      <c r="CO375" s="1259"/>
      <c r="CP375" s="1259"/>
      <c r="CQ375" s="1259"/>
      <c r="CR375" s="1259"/>
      <c r="CS375" s="1259"/>
      <c r="CT375" s="1259"/>
      <c r="CU375" s="1259"/>
      <c r="CV375" s="1259"/>
      <c r="CW375" s="1259"/>
      <c r="CX375" s="1259"/>
      <c r="CY375" s="1259"/>
      <c r="CZ375" s="1259"/>
      <c r="DA375" s="1259"/>
      <c r="DB375" s="1259"/>
      <c r="DC375" s="1259"/>
      <c r="DD375" s="1259"/>
      <c r="DE375" s="1259"/>
      <c r="DF375" s="1259"/>
      <c r="DG375" s="1259"/>
      <c r="DH375" s="1259"/>
      <c r="DI375" s="1259"/>
      <c r="DJ375" s="1259"/>
      <c r="DK375" s="1259"/>
      <c r="DL375" s="1259"/>
      <c r="DM375" s="1259"/>
      <c r="DN375" s="1259"/>
      <c r="DO375" s="1259"/>
      <c r="DP375" s="1259"/>
      <c r="DQ375" s="1259"/>
      <c r="DR375" s="1259"/>
      <c r="DS375" s="1259"/>
      <c r="DT375" s="1259"/>
      <c r="DU375" s="1259"/>
      <c r="DV375" s="1259"/>
      <c r="DW375" s="1259"/>
      <c r="DX375" s="1259"/>
      <c r="DY375" s="1259"/>
      <c r="DZ375" s="1259"/>
      <c r="EA375" s="1259"/>
      <c r="EB375" s="1259"/>
      <c r="EC375" s="1259"/>
      <c r="ED375" s="1259"/>
      <c r="EE375" s="1259"/>
      <c r="EF375" s="1259"/>
      <c r="EG375" s="1259"/>
      <c r="EH375" s="1259"/>
      <c r="EI375" s="1259"/>
      <c r="EJ375" s="1259"/>
      <c r="EK375" s="1259"/>
      <c r="EL375" s="1259"/>
      <c r="EM375" s="1259"/>
      <c r="EN375" s="1259"/>
      <c r="EO375" s="1259"/>
      <c r="EP375" s="1259"/>
      <c r="EQ375" s="1259"/>
      <c r="ER375" s="1259"/>
      <c r="ES375" s="1259"/>
      <c r="ET375" s="1259"/>
      <c r="EU375" s="1259"/>
      <c r="EV375" s="1259"/>
      <c r="EW375" s="1259"/>
      <c r="EX375" s="1259"/>
      <c r="EY375" s="1259"/>
      <c r="EZ375" s="1259"/>
      <c r="FA375" s="1259"/>
      <c r="FB375" s="1259"/>
      <c r="FC375" s="1259"/>
      <c r="FD375" s="1259"/>
      <c r="FE375" s="1259"/>
      <c r="FF375" s="1259"/>
      <c r="FG375" s="1259"/>
      <c r="FH375" s="1259"/>
      <c r="FI375" s="1259"/>
      <c r="FJ375" s="1259"/>
      <c r="FK375" s="1259"/>
      <c r="FL375" s="1259"/>
      <c r="FM375" s="1259"/>
      <c r="FN375" s="1259"/>
      <c r="FO375" s="1259"/>
      <c r="FP375" s="1259"/>
      <c r="FQ375" s="1259"/>
      <c r="FR375" s="1259"/>
      <c r="FS375" s="1259"/>
      <c r="FT375" s="1259"/>
      <c r="FU375" s="1259"/>
      <c r="FV375" s="1259"/>
      <c r="FW375" s="1259"/>
      <c r="FX375" s="1259"/>
      <c r="FY375" s="1259"/>
      <c r="FZ375" s="1259"/>
      <c r="GA375" s="1259"/>
      <c r="GB375" s="1259"/>
      <c r="GC375" s="1259"/>
      <c r="GD375" s="1259"/>
      <c r="GE375" s="1259"/>
      <c r="GF375" s="1259"/>
      <c r="GG375" s="1259"/>
      <c r="GH375" s="1259"/>
      <c r="GI375" s="1259"/>
      <c r="GJ375" s="1259"/>
      <c r="GK375" s="1259"/>
      <c r="GL375" s="1259"/>
      <c r="GM375" s="1259"/>
      <c r="GN375" s="1259"/>
      <c r="GO375" s="1259"/>
      <c r="GP375" s="1259"/>
      <c r="GQ375" s="1259"/>
      <c r="GR375" s="1259"/>
      <c r="GS375" s="1259"/>
      <c r="GT375" s="1259"/>
      <c r="GU375" s="1259"/>
      <c r="GV375" s="1259"/>
      <c r="GW375" s="1259"/>
      <c r="GX375" s="1259"/>
      <c r="GY375" s="1259"/>
      <c r="GZ375" s="1259"/>
      <c r="HA375" s="1259"/>
      <c r="HB375" s="1259"/>
      <c r="HC375" s="1259"/>
      <c r="HD375" s="1259"/>
      <c r="HE375" s="1259"/>
      <c r="HF375" s="1259"/>
      <c r="HG375" s="1259"/>
      <c r="HH375" s="1259"/>
      <c r="HI375" s="1259"/>
      <c r="HJ375" s="1259"/>
      <c r="HK375" s="1259"/>
      <c r="HL375" s="1259"/>
      <c r="HM375" s="1259"/>
      <c r="HN375" s="1259"/>
      <c r="HO375" s="1259"/>
      <c r="HP375" s="1259"/>
      <c r="HQ375" s="1259"/>
      <c r="HR375" s="1259"/>
      <c r="HS375" s="1259"/>
      <c r="HT375" s="1259"/>
      <c r="HU375" s="1259"/>
      <c r="HV375" s="1259"/>
      <c r="HW375" s="1259"/>
      <c r="HX375" s="1259"/>
      <c r="HY375" s="1259"/>
      <c r="HZ375" s="1259"/>
      <c r="IA375" s="1259"/>
      <c r="IB375" s="1259"/>
      <c r="IC375" s="1259"/>
      <c r="ID375" s="1259"/>
      <c r="IE375" s="1259"/>
      <c r="IF375" s="1259"/>
      <c r="IG375" s="1259"/>
      <c r="IH375" s="1259"/>
      <c r="II375" s="1259"/>
      <c r="IJ375" s="1259"/>
      <c r="IK375" s="1259"/>
      <c r="IL375" s="1259"/>
      <c r="IM375" s="1259"/>
      <c r="IN375" s="1259"/>
      <c r="IO375" s="1259"/>
      <c r="IP375" s="1259"/>
      <c r="IQ375" s="1259"/>
      <c r="IR375" s="1259"/>
      <c r="IS375" s="1259"/>
      <c r="IT375" s="1259"/>
      <c r="IU375" s="1259"/>
      <c r="IV375" s="1259"/>
      <c r="IW375" s="1259"/>
      <c r="IX375" s="1259"/>
      <c r="IY375" s="1259"/>
      <c r="IZ375" s="1259"/>
      <c r="JA375" s="1259"/>
      <c r="JB375" s="1259"/>
      <c r="JC375" s="1259"/>
      <c r="JD375" s="1259"/>
      <c r="JE375" s="1259"/>
      <c r="JF375" s="1259"/>
      <c r="JG375" s="1259"/>
      <c r="JH375" s="1259"/>
      <c r="JI375" s="1259"/>
      <c r="JJ375" s="1259"/>
      <c r="JK375" s="1259"/>
      <c r="JL375" s="1259"/>
      <c r="JM375" s="1259"/>
      <c r="JN375" s="1259"/>
      <c r="JO375" s="1259"/>
      <c r="JP375" s="1259"/>
      <c r="JQ375" s="1259"/>
      <c r="JR375" s="1259"/>
      <c r="JS375" s="1259"/>
      <c r="JT375" s="1259"/>
      <c r="JU375" s="1259"/>
      <c r="JV375" s="1259"/>
      <c r="JW375" s="1259"/>
      <c r="JX375" s="1259"/>
      <c r="JY375" s="1259"/>
      <c r="JZ375" s="1259"/>
      <c r="KA375" s="1259"/>
      <c r="KB375" s="1259"/>
      <c r="KC375" s="1259"/>
      <c r="KD375" s="1259"/>
      <c r="KE375" s="1259"/>
      <c r="KF375" s="1259"/>
      <c r="KG375" s="1259"/>
      <c r="KH375" s="1259"/>
      <c r="KI375" s="1259"/>
      <c r="KJ375" s="1259"/>
      <c r="KK375" s="1259"/>
      <c r="KL375" s="1259"/>
      <c r="KM375" s="1259"/>
      <c r="KN375" s="1259"/>
      <c r="KO375" s="1259"/>
      <c r="KP375" s="1259"/>
      <c r="KQ375" s="1259"/>
      <c r="KR375" s="1259"/>
      <c r="KS375" s="1259"/>
      <c r="KT375" s="1259"/>
      <c r="KU375" s="1259"/>
      <c r="KV375" s="1259"/>
      <c r="KW375" s="1259"/>
      <c r="KX375" s="1259"/>
      <c r="KY375" s="1259"/>
      <c r="KZ375" s="1259"/>
      <c r="LA375" s="1259"/>
      <c r="LB375" s="1259"/>
      <c r="LC375" s="1259"/>
      <c r="LD375" s="1259"/>
      <c r="LE375" s="1259"/>
      <c r="LF375" s="1259"/>
      <c r="LG375" s="1259"/>
      <c r="LH375" s="1259"/>
      <c r="LI375" s="1259"/>
      <c r="LJ375" s="1259"/>
      <c r="LK375" s="1259"/>
      <c r="LL375" s="1259"/>
      <c r="LM375" s="1259"/>
      <c r="LN375" s="1259"/>
      <c r="LO375" s="1259"/>
      <c r="LP375" s="1259"/>
      <c r="LQ375" s="1259"/>
      <c r="LR375" s="1259"/>
      <c r="LS375" s="1259"/>
      <c r="LT375" s="1259"/>
      <c r="LU375" s="1259"/>
      <c r="LV375" s="1259"/>
      <c r="LW375" s="1259"/>
      <c r="LX375" s="1259"/>
      <c r="LY375" s="1259"/>
      <c r="LZ375" s="1259"/>
      <c r="MA375" s="1259"/>
      <c r="MB375" s="1259"/>
      <c r="MC375" s="1259"/>
      <c r="MD375" s="1259"/>
      <c r="ME375" s="1259"/>
      <c r="MF375" s="1259"/>
      <c r="MG375" s="1259"/>
      <c r="MH375" s="1259"/>
      <c r="MI375" s="1259"/>
      <c r="MJ375" s="1259"/>
      <c r="MK375" s="1259"/>
      <c r="ML375" s="1259"/>
      <c r="MM375" s="1259"/>
      <c r="MN375" s="1259"/>
      <c r="MO375" s="1259"/>
      <c r="MP375" s="1259"/>
      <c r="MQ375" s="1259"/>
      <c r="MR375" s="1259"/>
      <c r="MS375" s="1259"/>
      <c r="MT375" s="1259"/>
      <c r="MU375" s="1259"/>
      <c r="MV375" s="1259"/>
      <c r="MW375" s="1259"/>
      <c r="MX375" s="1259"/>
      <c r="MY375" s="1259"/>
      <c r="MZ375" s="1259"/>
      <c r="NA375" s="1259"/>
      <c r="NB375" s="1259"/>
      <c r="NC375" s="1259"/>
      <c r="ND375" s="1259"/>
      <c r="NE375" s="1259"/>
      <c r="NF375" s="1259"/>
      <c r="NG375" s="1259"/>
      <c r="NH375" s="1259"/>
      <c r="NI375" s="1259"/>
      <c r="NJ375" s="1259"/>
      <c r="NK375" s="1259"/>
      <c r="NL375" s="1259"/>
      <c r="NM375" s="1259"/>
      <c r="NN375" s="1259"/>
      <c r="NO375" s="1259"/>
      <c r="NP375" s="1259"/>
      <c r="NQ375" s="1259"/>
      <c r="NR375" s="1259"/>
      <c r="NS375" s="1259"/>
      <c r="NT375" s="1259"/>
      <c r="NU375" s="1259"/>
      <c r="NV375" s="1259"/>
      <c r="NW375" s="1259"/>
      <c r="NX375" s="1259"/>
      <c r="NY375" s="1259"/>
      <c r="NZ375" s="1259"/>
      <c r="OA375" s="1259"/>
      <c r="OB375" s="1259"/>
      <c r="OC375" s="1259"/>
      <c r="OD375" s="1259"/>
      <c r="OE375" s="1259"/>
      <c r="OF375" s="1259"/>
      <c r="OG375" s="1259"/>
      <c r="OH375" s="1259"/>
      <c r="OI375" s="1259"/>
      <c r="OJ375" s="1259"/>
      <c r="OK375" s="1259"/>
      <c r="OL375" s="1259"/>
      <c r="OM375" s="1259"/>
      <c r="ON375" s="1259"/>
      <c r="OO375" s="1259"/>
      <c r="OP375" s="1259"/>
      <c r="OQ375" s="1259"/>
      <c r="OR375" s="1259"/>
      <c r="OS375" s="1259"/>
      <c r="OT375" s="1259"/>
      <c r="OU375" s="1259"/>
      <c r="OV375" s="1259"/>
      <c r="OW375" s="1259"/>
      <c r="OX375" s="1259"/>
      <c r="OY375" s="1259"/>
      <c r="OZ375" s="1259"/>
      <c r="PA375" s="1259"/>
      <c r="PB375" s="1259"/>
      <c r="PC375" s="1259"/>
      <c r="PD375" s="1259"/>
      <c r="PE375" s="1259"/>
      <c r="PF375" s="1259"/>
      <c r="PG375" s="1259"/>
      <c r="PH375" s="1259"/>
      <c r="PI375" s="1259"/>
      <c r="PJ375" s="1259"/>
      <c r="PK375" s="1259"/>
      <c r="PL375" s="1259"/>
      <c r="PM375" s="1259"/>
      <c r="PN375" s="1259"/>
      <c r="PO375" s="1259"/>
      <c r="PP375" s="1259"/>
      <c r="PQ375" s="1259"/>
      <c r="PR375" s="1259"/>
      <c r="PS375" s="1259"/>
      <c r="PT375" s="1259"/>
      <c r="PU375" s="1259"/>
      <c r="PV375" s="1259"/>
      <c r="PW375" s="1259"/>
      <c r="PX375" s="1259"/>
      <c r="PY375" s="1259"/>
      <c r="PZ375" s="1259"/>
      <c r="QA375" s="1259"/>
      <c r="QB375" s="1259"/>
      <c r="QC375" s="1259"/>
      <c r="QD375" s="1259"/>
      <c r="QE375" s="1259"/>
      <c r="QF375" s="1259"/>
      <c r="QG375" s="1259"/>
      <c r="QH375" s="1259"/>
      <c r="QI375" s="1259"/>
      <c r="QJ375" s="1259"/>
      <c r="QK375" s="1259"/>
      <c r="QL375" s="1259"/>
      <c r="QM375" s="1259"/>
      <c r="QN375" s="1259"/>
      <c r="QO375" s="1259"/>
      <c r="QP375" s="1259"/>
      <c r="QQ375" s="1259"/>
      <c r="QR375" s="1259"/>
      <c r="QS375" s="1259"/>
      <c r="QT375" s="1259"/>
      <c r="QU375" s="1259"/>
      <c r="QV375" s="1259"/>
      <c r="QW375" s="1259"/>
      <c r="QX375" s="1259"/>
      <c r="QY375" s="1259"/>
      <c r="QZ375" s="1259"/>
      <c r="RA375" s="1259"/>
      <c r="RB375" s="1259"/>
      <c r="RC375" s="1259"/>
      <c r="RD375" s="1259"/>
      <c r="RE375" s="1259"/>
      <c r="RF375" s="1259"/>
      <c r="RG375" s="1259"/>
      <c r="RH375" s="1259"/>
      <c r="RI375" s="1259"/>
      <c r="RJ375" s="1259"/>
      <c r="RK375" s="1259"/>
      <c r="RL375" s="1259"/>
      <c r="RM375" s="1259"/>
      <c r="RN375" s="1259"/>
      <c r="RO375" s="1259"/>
      <c r="RP375" s="1259"/>
      <c r="RQ375" s="1259"/>
      <c r="RR375" s="1259"/>
      <c r="RS375" s="1259"/>
      <c r="RT375" s="1259"/>
      <c r="RU375" s="1259"/>
      <c r="RV375" s="1259"/>
      <c r="RW375" s="1259"/>
      <c r="RX375" s="1259"/>
      <c r="RY375" s="1259"/>
      <c r="RZ375" s="1259"/>
      <c r="SA375" s="1259"/>
      <c r="SB375" s="1259"/>
      <c r="SC375" s="1259"/>
      <c r="SD375" s="1259"/>
      <c r="SE375" s="1259"/>
      <c r="SF375" s="1259"/>
      <c r="SG375" s="1259"/>
      <c r="SH375" s="1259"/>
      <c r="SI375" s="1259"/>
      <c r="SJ375" s="1259"/>
      <c r="SK375" s="1259"/>
      <c r="SL375" s="1259"/>
      <c r="SM375" s="1259"/>
      <c r="SN375" s="1259"/>
      <c r="SO375" s="1259"/>
      <c r="SP375" s="1259"/>
      <c r="SQ375" s="1259"/>
      <c r="SR375" s="1259"/>
      <c r="SS375" s="1259"/>
      <c r="ST375" s="1259"/>
      <c r="SU375" s="1259"/>
      <c r="SV375" s="1259"/>
      <c r="SW375" s="1259"/>
      <c r="SX375" s="1259"/>
      <c r="SY375" s="1259"/>
      <c r="SZ375" s="1259"/>
      <c r="TA375" s="1259"/>
      <c r="TB375" s="1259"/>
      <c r="TC375" s="1259"/>
      <c r="TD375" s="1259"/>
      <c r="TE375" s="1259"/>
      <c r="TF375" s="1259"/>
      <c r="TG375" s="1259"/>
      <c r="TH375" s="1259"/>
      <c r="TI375" s="1259"/>
      <c r="TJ375" s="1259"/>
      <c r="TK375" s="1259"/>
      <c r="TL375" s="1259"/>
      <c r="TM375" s="1259"/>
      <c r="TN375" s="1259"/>
      <c r="TO375" s="1259"/>
      <c r="TP375" s="1259"/>
      <c r="TQ375" s="1259"/>
      <c r="TR375" s="1259"/>
      <c r="TS375" s="1259"/>
      <c r="TT375" s="1259"/>
      <c r="TU375" s="1259"/>
      <c r="TV375" s="1259"/>
      <c r="TW375" s="1259"/>
      <c r="TX375" s="1259"/>
      <c r="TY375" s="1259"/>
      <c r="TZ375" s="1259"/>
      <c r="UA375" s="1259"/>
      <c r="UB375" s="1259"/>
      <c r="UC375" s="1259"/>
      <c r="UD375" s="1259"/>
      <c r="UE375" s="1259"/>
      <c r="UF375" s="1259"/>
      <c r="UG375" s="1261"/>
    </row>
    <row r="376" spans="1:553" s="1262" customFormat="1" ht="29.25" customHeight="1">
      <c r="A376" s="1226"/>
      <c r="B376" s="411"/>
      <c r="C376" s="1423" t="s">
        <v>1099</v>
      </c>
      <c r="D376" s="1423" t="s">
        <v>1100</v>
      </c>
      <c r="E376" s="1423" t="s">
        <v>1100</v>
      </c>
      <c r="F376" s="1423" t="s">
        <v>1100</v>
      </c>
      <c r="G376" s="1226" t="s">
        <v>46</v>
      </c>
      <c r="H376" s="412"/>
      <c r="I376" s="546">
        <f>(86.32*100/400)*(17-(7-3))*1</f>
        <v>280.53999999999996</v>
      </c>
      <c r="J376" s="985">
        <v>9800</v>
      </c>
      <c r="K376" s="578">
        <v>0.7</v>
      </c>
      <c r="L376" s="679">
        <f>I376*J376*K376</f>
        <v>1924504.3999999994</v>
      </c>
      <c r="M376" s="366"/>
      <c r="N376" s="366"/>
      <c r="O376" s="366"/>
      <c r="P376" s="366"/>
      <c r="Q376" s="1135"/>
      <c r="R376" s="1228"/>
      <c r="S376" s="309"/>
      <c r="T376" s="310"/>
      <c r="U376" s="311"/>
      <c r="V376" s="312"/>
      <c r="W376" s="311"/>
      <c r="X376" s="311"/>
      <c r="Y376" s="311"/>
      <c r="Z376" s="311"/>
      <c r="AA376" s="311"/>
      <c r="AB376" s="311"/>
      <c r="AC376" s="456"/>
      <c r="AD376" s="452"/>
      <c r="AE376" s="452"/>
      <c r="AF376" s="452"/>
      <c r="AG376" s="452"/>
      <c r="AH376" s="452"/>
      <c r="AI376" s="452"/>
      <c r="AJ376" s="452"/>
      <c r="AK376" s="452"/>
      <c r="AL376" s="1259"/>
      <c r="AM376" s="1259"/>
      <c r="AN376" s="1259"/>
      <c r="AO376" s="1259"/>
      <c r="AP376" s="1259"/>
      <c r="AQ376" s="1259"/>
      <c r="AR376" s="1259"/>
      <c r="AS376" s="1259"/>
      <c r="AT376" s="1259"/>
      <c r="AU376" s="1259"/>
      <c r="AV376" s="1259"/>
      <c r="AW376" s="1259"/>
      <c r="AX376" s="1259"/>
      <c r="AY376" s="1259"/>
      <c r="AZ376" s="1259"/>
      <c r="BA376" s="1259"/>
      <c r="BB376" s="1259"/>
      <c r="BC376" s="1259"/>
      <c r="BD376" s="1259"/>
      <c r="BE376" s="1259"/>
      <c r="BF376" s="1259"/>
      <c r="BG376" s="1259"/>
      <c r="BH376" s="1259"/>
      <c r="BI376" s="1259"/>
      <c r="BJ376" s="1259"/>
      <c r="BK376" s="1259"/>
      <c r="BL376" s="1259"/>
      <c r="BM376" s="1259"/>
      <c r="BN376" s="1259"/>
      <c r="BO376" s="1259"/>
      <c r="BP376" s="1259"/>
      <c r="BQ376" s="1259"/>
      <c r="BR376" s="1259"/>
      <c r="BS376" s="1259"/>
      <c r="BT376" s="1259"/>
      <c r="BU376" s="1259"/>
      <c r="BV376" s="1259"/>
      <c r="BW376" s="1259"/>
      <c r="BX376" s="1259"/>
      <c r="BY376" s="1259"/>
      <c r="BZ376" s="1259"/>
      <c r="CA376" s="1259"/>
      <c r="CB376" s="1259"/>
      <c r="CC376" s="1259"/>
      <c r="CD376" s="1259"/>
      <c r="CE376" s="1259"/>
      <c r="CF376" s="1259"/>
      <c r="CG376" s="1259"/>
      <c r="CH376" s="1259"/>
      <c r="CI376" s="1259"/>
      <c r="CJ376" s="1259"/>
      <c r="CK376" s="1259"/>
      <c r="CL376" s="1259"/>
      <c r="CM376" s="1259"/>
      <c r="CN376" s="1259"/>
      <c r="CO376" s="1259"/>
      <c r="CP376" s="1259"/>
      <c r="CQ376" s="1259"/>
      <c r="CR376" s="1259"/>
      <c r="CS376" s="1259"/>
      <c r="CT376" s="1259"/>
      <c r="CU376" s="1259"/>
      <c r="CV376" s="1259"/>
      <c r="CW376" s="1259"/>
      <c r="CX376" s="1259"/>
      <c r="CY376" s="1259"/>
      <c r="CZ376" s="1259"/>
      <c r="DA376" s="1259"/>
      <c r="DB376" s="1259"/>
      <c r="DC376" s="1259"/>
      <c r="DD376" s="1259"/>
      <c r="DE376" s="1259"/>
      <c r="DF376" s="1259"/>
      <c r="DG376" s="1259"/>
      <c r="DH376" s="1259"/>
      <c r="DI376" s="1259"/>
      <c r="DJ376" s="1259"/>
      <c r="DK376" s="1259"/>
      <c r="DL376" s="1259"/>
      <c r="DM376" s="1259"/>
      <c r="DN376" s="1259"/>
      <c r="DO376" s="1259"/>
      <c r="DP376" s="1259"/>
      <c r="DQ376" s="1259"/>
      <c r="DR376" s="1259"/>
      <c r="DS376" s="1259"/>
      <c r="DT376" s="1259"/>
      <c r="DU376" s="1259"/>
      <c r="DV376" s="1259"/>
      <c r="DW376" s="1259"/>
      <c r="DX376" s="1259"/>
      <c r="DY376" s="1259"/>
      <c r="DZ376" s="1259"/>
      <c r="EA376" s="1259"/>
      <c r="EB376" s="1259"/>
      <c r="EC376" s="1259"/>
      <c r="ED376" s="1259"/>
      <c r="EE376" s="1259"/>
      <c r="EF376" s="1259"/>
      <c r="EG376" s="1259"/>
      <c r="EH376" s="1259"/>
      <c r="EI376" s="1259"/>
      <c r="EJ376" s="1259"/>
      <c r="EK376" s="1259"/>
      <c r="EL376" s="1259"/>
      <c r="EM376" s="1259"/>
      <c r="EN376" s="1259"/>
      <c r="EO376" s="1259"/>
      <c r="EP376" s="1259"/>
      <c r="EQ376" s="1259"/>
      <c r="ER376" s="1259"/>
      <c r="ES376" s="1259"/>
      <c r="ET376" s="1259"/>
      <c r="EU376" s="1259"/>
      <c r="EV376" s="1259"/>
      <c r="EW376" s="1259"/>
      <c r="EX376" s="1259"/>
      <c r="EY376" s="1259"/>
      <c r="EZ376" s="1259"/>
      <c r="FA376" s="1259"/>
      <c r="FB376" s="1259"/>
      <c r="FC376" s="1259"/>
      <c r="FD376" s="1259"/>
      <c r="FE376" s="1259"/>
      <c r="FF376" s="1259"/>
      <c r="FG376" s="1259"/>
      <c r="FH376" s="1259"/>
      <c r="FI376" s="1259"/>
      <c r="FJ376" s="1259"/>
      <c r="FK376" s="1259"/>
      <c r="FL376" s="1259"/>
      <c r="FM376" s="1259"/>
      <c r="FN376" s="1259"/>
      <c r="FO376" s="1259"/>
      <c r="FP376" s="1259"/>
      <c r="FQ376" s="1259"/>
      <c r="FR376" s="1259"/>
      <c r="FS376" s="1259"/>
      <c r="FT376" s="1259"/>
      <c r="FU376" s="1259"/>
      <c r="FV376" s="1259"/>
      <c r="FW376" s="1259"/>
      <c r="FX376" s="1259"/>
      <c r="FY376" s="1259"/>
      <c r="FZ376" s="1259"/>
      <c r="GA376" s="1259"/>
      <c r="GB376" s="1259"/>
      <c r="GC376" s="1259"/>
      <c r="GD376" s="1259"/>
      <c r="GE376" s="1259"/>
      <c r="GF376" s="1259"/>
      <c r="GG376" s="1259"/>
      <c r="GH376" s="1259"/>
      <c r="GI376" s="1259"/>
      <c r="GJ376" s="1259"/>
      <c r="GK376" s="1259"/>
      <c r="GL376" s="1259"/>
      <c r="GM376" s="1259"/>
      <c r="GN376" s="1259"/>
      <c r="GO376" s="1259"/>
      <c r="GP376" s="1259"/>
      <c r="GQ376" s="1259"/>
      <c r="GR376" s="1259"/>
      <c r="GS376" s="1259"/>
      <c r="GT376" s="1259"/>
      <c r="GU376" s="1259"/>
      <c r="GV376" s="1259"/>
      <c r="GW376" s="1259"/>
      <c r="GX376" s="1259"/>
      <c r="GY376" s="1259"/>
      <c r="GZ376" s="1259"/>
      <c r="HA376" s="1259"/>
      <c r="HB376" s="1259"/>
      <c r="HC376" s="1259"/>
      <c r="HD376" s="1259"/>
      <c r="HE376" s="1259"/>
      <c r="HF376" s="1259"/>
      <c r="HG376" s="1259"/>
      <c r="HH376" s="1259"/>
      <c r="HI376" s="1259"/>
      <c r="HJ376" s="1259"/>
      <c r="HK376" s="1259"/>
      <c r="HL376" s="1259"/>
      <c r="HM376" s="1259"/>
      <c r="HN376" s="1259"/>
      <c r="HO376" s="1259"/>
      <c r="HP376" s="1259"/>
      <c r="HQ376" s="1259"/>
      <c r="HR376" s="1259"/>
      <c r="HS376" s="1259"/>
      <c r="HT376" s="1259"/>
      <c r="HU376" s="1259"/>
      <c r="HV376" s="1259"/>
      <c r="HW376" s="1259"/>
      <c r="HX376" s="1259"/>
      <c r="HY376" s="1259"/>
      <c r="HZ376" s="1259"/>
      <c r="IA376" s="1259"/>
      <c r="IB376" s="1259"/>
      <c r="IC376" s="1259"/>
      <c r="ID376" s="1259"/>
      <c r="IE376" s="1259"/>
      <c r="IF376" s="1259"/>
      <c r="IG376" s="1259"/>
      <c r="IH376" s="1259"/>
      <c r="II376" s="1259"/>
      <c r="IJ376" s="1259"/>
      <c r="IK376" s="1259"/>
      <c r="IL376" s="1259"/>
      <c r="IM376" s="1259"/>
      <c r="IN376" s="1259"/>
      <c r="IO376" s="1259"/>
      <c r="IP376" s="1259"/>
      <c r="IQ376" s="1259"/>
      <c r="IR376" s="1259"/>
      <c r="IS376" s="1259"/>
      <c r="IT376" s="1259"/>
      <c r="IU376" s="1259"/>
      <c r="IV376" s="1259"/>
      <c r="IW376" s="1259"/>
      <c r="IX376" s="1259"/>
      <c r="IY376" s="1259"/>
      <c r="IZ376" s="1259"/>
      <c r="JA376" s="1259"/>
      <c r="JB376" s="1259"/>
      <c r="JC376" s="1259"/>
      <c r="JD376" s="1259"/>
      <c r="JE376" s="1259"/>
      <c r="JF376" s="1259"/>
      <c r="JG376" s="1259"/>
      <c r="JH376" s="1259"/>
      <c r="JI376" s="1259"/>
      <c r="JJ376" s="1259"/>
      <c r="JK376" s="1259"/>
      <c r="JL376" s="1259"/>
      <c r="JM376" s="1259"/>
      <c r="JN376" s="1259"/>
      <c r="JO376" s="1259"/>
      <c r="JP376" s="1259"/>
      <c r="JQ376" s="1259"/>
      <c r="JR376" s="1259"/>
      <c r="JS376" s="1259"/>
      <c r="JT376" s="1259"/>
      <c r="JU376" s="1259"/>
      <c r="JV376" s="1259"/>
      <c r="JW376" s="1259"/>
      <c r="JX376" s="1259"/>
      <c r="JY376" s="1259"/>
      <c r="JZ376" s="1259"/>
      <c r="KA376" s="1259"/>
      <c r="KB376" s="1259"/>
      <c r="KC376" s="1259"/>
      <c r="KD376" s="1259"/>
      <c r="KE376" s="1259"/>
      <c r="KF376" s="1259"/>
      <c r="KG376" s="1259"/>
      <c r="KH376" s="1259"/>
      <c r="KI376" s="1259"/>
      <c r="KJ376" s="1259"/>
      <c r="KK376" s="1259"/>
      <c r="KL376" s="1259"/>
      <c r="KM376" s="1259"/>
      <c r="KN376" s="1259"/>
      <c r="KO376" s="1259"/>
      <c r="KP376" s="1259"/>
      <c r="KQ376" s="1259"/>
      <c r="KR376" s="1259"/>
      <c r="KS376" s="1259"/>
      <c r="KT376" s="1259"/>
      <c r="KU376" s="1259"/>
      <c r="KV376" s="1259"/>
      <c r="KW376" s="1259"/>
      <c r="KX376" s="1259"/>
      <c r="KY376" s="1259"/>
      <c r="KZ376" s="1259"/>
      <c r="LA376" s="1259"/>
      <c r="LB376" s="1259"/>
      <c r="LC376" s="1259"/>
      <c r="LD376" s="1259"/>
      <c r="LE376" s="1259"/>
      <c r="LF376" s="1259"/>
      <c r="LG376" s="1259"/>
      <c r="LH376" s="1259"/>
      <c r="LI376" s="1259"/>
      <c r="LJ376" s="1259"/>
      <c r="LK376" s="1259"/>
      <c r="LL376" s="1259"/>
      <c r="LM376" s="1259"/>
      <c r="LN376" s="1259"/>
      <c r="LO376" s="1259"/>
      <c r="LP376" s="1259"/>
      <c r="LQ376" s="1259"/>
      <c r="LR376" s="1259"/>
      <c r="LS376" s="1259"/>
      <c r="LT376" s="1259"/>
      <c r="LU376" s="1259"/>
      <c r="LV376" s="1259"/>
      <c r="LW376" s="1259"/>
      <c r="LX376" s="1259"/>
      <c r="LY376" s="1259"/>
      <c r="LZ376" s="1259"/>
      <c r="MA376" s="1259"/>
      <c r="MB376" s="1259"/>
      <c r="MC376" s="1259"/>
      <c r="MD376" s="1259"/>
      <c r="ME376" s="1259"/>
      <c r="MF376" s="1259"/>
      <c r="MG376" s="1259"/>
      <c r="MH376" s="1259"/>
      <c r="MI376" s="1259"/>
      <c r="MJ376" s="1259"/>
      <c r="MK376" s="1259"/>
      <c r="ML376" s="1259"/>
      <c r="MM376" s="1259"/>
      <c r="MN376" s="1259"/>
      <c r="MO376" s="1259"/>
      <c r="MP376" s="1259"/>
      <c r="MQ376" s="1259"/>
      <c r="MR376" s="1259"/>
      <c r="MS376" s="1259"/>
      <c r="MT376" s="1259"/>
      <c r="MU376" s="1259"/>
      <c r="MV376" s="1259"/>
      <c r="MW376" s="1259"/>
      <c r="MX376" s="1259"/>
      <c r="MY376" s="1259"/>
      <c r="MZ376" s="1259"/>
      <c r="NA376" s="1259"/>
      <c r="NB376" s="1259"/>
      <c r="NC376" s="1259"/>
      <c r="ND376" s="1259"/>
      <c r="NE376" s="1259"/>
      <c r="NF376" s="1259"/>
      <c r="NG376" s="1259"/>
      <c r="NH376" s="1259"/>
      <c r="NI376" s="1259"/>
      <c r="NJ376" s="1259"/>
      <c r="NK376" s="1259"/>
      <c r="NL376" s="1259"/>
      <c r="NM376" s="1259"/>
      <c r="NN376" s="1259"/>
      <c r="NO376" s="1259"/>
      <c r="NP376" s="1259"/>
      <c r="NQ376" s="1259"/>
      <c r="NR376" s="1259"/>
      <c r="NS376" s="1259"/>
      <c r="NT376" s="1259"/>
      <c r="NU376" s="1259"/>
      <c r="NV376" s="1259"/>
      <c r="NW376" s="1259"/>
      <c r="NX376" s="1259"/>
      <c r="NY376" s="1259"/>
      <c r="NZ376" s="1259"/>
      <c r="OA376" s="1259"/>
      <c r="OB376" s="1259"/>
      <c r="OC376" s="1259"/>
      <c r="OD376" s="1259"/>
      <c r="OE376" s="1259"/>
      <c r="OF376" s="1259"/>
      <c r="OG376" s="1259"/>
      <c r="OH376" s="1259"/>
      <c r="OI376" s="1259"/>
      <c r="OJ376" s="1259"/>
      <c r="OK376" s="1259"/>
      <c r="OL376" s="1259"/>
      <c r="OM376" s="1259"/>
      <c r="ON376" s="1259"/>
      <c r="OO376" s="1259"/>
      <c r="OP376" s="1259"/>
      <c r="OQ376" s="1259"/>
      <c r="OR376" s="1259"/>
      <c r="OS376" s="1259"/>
      <c r="OT376" s="1259"/>
      <c r="OU376" s="1259"/>
      <c r="OV376" s="1259"/>
      <c r="OW376" s="1259"/>
      <c r="OX376" s="1259"/>
      <c r="OY376" s="1259"/>
      <c r="OZ376" s="1259"/>
      <c r="PA376" s="1259"/>
      <c r="PB376" s="1259"/>
      <c r="PC376" s="1259"/>
      <c r="PD376" s="1259"/>
      <c r="PE376" s="1259"/>
      <c r="PF376" s="1259"/>
      <c r="PG376" s="1259"/>
      <c r="PH376" s="1259"/>
      <c r="PI376" s="1259"/>
      <c r="PJ376" s="1259"/>
      <c r="PK376" s="1259"/>
      <c r="PL376" s="1259"/>
      <c r="PM376" s="1259"/>
      <c r="PN376" s="1259"/>
      <c r="PO376" s="1259"/>
      <c r="PP376" s="1259"/>
      <c r="PQ376" s="1259"/>
      <c r="PR376" s="1259"/>
      <c r="PS376" s="1259"/>
      <c r="PT376" s="1259"/>
      <c r="PU376" s="1259"/>
      <c r="PV376" s="1259"/>
      <c r="PW376" s="1259"/>
      <c r="PX376" s="1259"/>
      <c r="PY376" s="1259"/>
      <c r="PZ376" s="1259"/>
      <c r="QA376" s="1259"/>
      <c r="QB376" s="1259"/>
      <c r="QC376" s="1259"/>
      <c r="QD376" s="1259"/>
      <c r="QE376" s="1259"/>
      <c r="QF376" s="1259"/>
      <c r="QG376" s="1259"/>
      <c r="QH376" s="1259"/>
      <c r="QI376" s="1259"/>
      <c r="QJ376" s="1259"/>
      <c r="QK376" s="1259"/>
      <c r="QL376" s="1259"/>
      <c r="QM376" s="1259"/>
      <c r="QN376" s="1259"/>
      <c r="QO376" s="1259"/>
      <c r="QP376" s="1259"/>
      <c r="QQ376" s="1259"/>
      <c r="QR376" s="1259"/>
      <c r="QS376" s="1259"/>
      <c r="QT376" s="1259"/>
      <c r="QU376" s="1259"/>
      <c r="QV376" s="1259"/>
      <c r="QW376" s="1259"/>
      <c r="QX376" s="1259"/>
      <c r="QY376" s="1259"/>
      <c r="QZ376" s="1259"/>
      <c r="RA376" s="1259"/>
      <c r="RB376" s="1259"/>
      <c r="RC376" s="1259"/>
      <c r="RD376" s="1259"/>
      <c r="RE376" s="1259"/>
      <c r="RF376" s="1259"/>
      <c r="RG376" s="1259"/>
      <c r="RH376" s="1259"/>
      <c r="RI376" s="1259"/>
      <c r="RJ376" s="1259"/>
      <c r="RK376" s="1259"/>
      <c r="RL376" s="1259"/>
      <c r="RM376" s="1259"/>
      <c r="RN376" s="1259"/>
      <c r="RO376" s="1259"/>
      <c r="RP376" s="1259"/>
      <c r="RQ376" s="1259"/>
      <c r="RR376" s="1259"/>
      <c r="RS376" s="1259"/>
      <c r="RT376" s="1259"/>
      <c r="RU376" s="1259"/>
      <c r="RV376" s="1259"/>
      <c r="RW376" s="1259"/>
      <c r="RX376" s="1259"/>
      <c r="RY376" s="1259"/>
      <c r="RZ376" s="1259"/>
      <c r="SA376" s="1259"/>
      <c r="SB376" s="1259"/>
      <c r="SC376" s="1259"/>
      <c r="SD376" s="1259"/>
      <c r="SE376" s="1259"/>
      <c r="SF376" s="1259"/>
      <c r="SG376" s="1259"/>
      <c r="SH376" s="1259"/>
      <c r="SI376" s="1259"/>
      <c r="SJ376" s="1259"/>
      <c r="SK376" s="1259"/>
      <c r="SL376" s="1259"/>
      <c r="SM376" s="1259"/>
      <c r="SN376" s="1259"/>
      <c r="SO376" s="1259"/>
      <c r="SP376" s="1259"/>
      <c r="SQ376" s="1259"/>
      <c r="SR376" s="1259"/>
      <c r="SS376" s="1259"/>
      <c r="ST376" s="1259"/>
      <c r="SU376" s="1259"/>
      <c r="SV376" s="1259"/>
      <c r="SW376" s="1259"/>
      <c r="SX376" s="1259"/>
      <c r="SY376" s="1259"/>
      <c r="SZ376" s="1259"/>
      <c r="TA376" s="1259"/>
      <c r="TB376" s="1259"/>
      <c r="TC376" s="1259"/>
      <c r="TD376" s="1259"/>
      <c r="TE376" s="1259"/>
      <c r="TF376" s="1259"/>
      <c r="TG376" s="1259"/>
      <c r="TH376" s="1259"/>
      <c r="TI376" s="1259"/>
      <c r="TJ376" s="1259"/>
      <c r="TK376" s="1259"/>
      <c r="TL376" s="1259"/>
      <c r="TM376" s="1259"/>
      <c r="TN376" s="1259"/>
      <c r="TO376" s="1259"/>
      <c r="TP376" s="1259"/>
      <c r="TQ376" s="1259"/>
      <c r="TR376" s="1259"/>
      <c r="TS376" s="1259"/>
      <c r="TT376" s="1259"/>
      <c r="TU376" s="1259"/>
      <c r="TV376" s="1259"/>
      <c r="TW376" s="1259"/>
      <c r="TX376" s="1259"/>
      <c r="TY376" s="1259"/>
      <c r="TZ376" s="1259"/>
      <c r="UA376" s="1259"/>
      <c r="UB376" s="1259"/>
      <c r="UC376" s="1259"/>
      <c r="UD376" s="1259"/>
      <c r="UE376" s="1259"/>
      <c r="UF376" s="1259"/>
      <c r="UG376" s="1261"/>
    </row>
    <row r="377" spans="1:553" s="1262" customFormat="1" ht="29.25" customHeight="1">
      <c r="A377" s="554"/>
      <c r="B377" s="555"/>
      <c r="C377" s="1424" t="s">
        <v>1101</v>
      </c>
      <c r="D377" s="1425" t="s">
        <v>1101</v>
      </c>
      <c r="E377" s="1425" t="s">
        <v>1101</v>
      </c>
      <c r="F377" s="1426" t="s">
        <v>1101</v>
      </c>
      <c r="G377" s="415" t="s">
        <v>193</v>
      </c>
      <c r="H377" s="556"/>
      <c r="I377" s="575">
        <v>195</v>
      </c>
      <c r="J377" s="512">
        <v>30000</v>
      </c>
      <c r="K377" s="579"/>
      <c r="L377" s="1012">
        <f>ROUND(PRODUCT(I377:K377),0)</f>
        <v>5850000</v>
      </c>
      <c r="M377" s="366"/>
      <c r="N377" s="366"/>
      <c r="O377" s="366"/>
      <c r="P377" s="366"/>
      <c r="Q377" s="1135"/>
      <c r="R377" s="1228"/>
      <c r="S377" s="308"/>
      <c r="T377" s="303"/>
      <c r="U377" s="306"/>
      <c r="V377" s="307"/>
      <c r="W377" s="306"/>
      <c r="X377" s="306"/>
      <c r="Y377" s="306"/>
      <c r="Z377" s="306"/>
      <c r="AA377" s="306"/>
      <c r="AB377" s="306"/>
      <c r="AC377" s="456"/>
      <c r="AD377" s="452"/>
      <c r="AE377" s="452"/>
      <c r="AF377" s="452"/>
      <c r="AG377" s="452"/>
      <c r="AH377" s="452"/>
      <c r="AI377" s="452"/>
      <c r="AJ377" s="452"/>
      <c r="AK377" s="452"/>
      <c r="AL377" s="1259"/>
      <c r="AM377" s="1259"/>
      <c r="AN377" s="1259"/>
      <c r="AO377" s="1259"/>
      <c r="AP377" s="1259"/>
      <c r="AQ377" s="1259"/>
      <c r="AR377" s="1259"/>
      <c r="AS377" s="1259"/>
      <c r="AT377" s="1259"/>
      <c r="AU377" s="1259"/>
      <c r="AV377" s="1259"/>
      <c r="AW377" s="1259"/>
      <c r="AX377" s="1259"/>
      <c r="AY377" s="1259"/>
      <c r="AZ377" s="1259"/>
      <c r="BA377" s="1259"/>
      <c r="BB377" s="1259"/>
      <c r="BC377" s="1259"/>
      <c r="BD377" s="1259"/>
      <c r="BE377" s="1259"/>
      <c r="BF377" s="1259"/>
      <c r="BG377" s="1259"/>
      <c r="BH377" s="1259"/>
      <c r="BI377" s="1259"/>
      <c r="BJ377" s="1259"/>
      <c r="BK377" s="1259"/>
      <c r="BL377" s="1259"/>
      <c r="BM377" s="1259"/>
      <c r="BN377" s="1259"/>
      <c r="BO377" s="1259"/>
      <c r="BP377" s="1259"/>
      <c r="BQ377" s="1259"/>
      <c r="BR377" s="1259"/>
      <c r="BS377" s="1259"/>
      <c r="BT377" s="1259"/>
      <c r="BU377" s="1259"/>
      <c r="BV377" s="1259"/>
      <c r="BW377" s="1259"/>
      <c r="BX377" s="1259"/>
      <c r="BY377" s="1259"/>
      <c r="BZ377" s="1259"/>
      <c r="CA377" s="1259"/>
      <c r="CB377" s="1259"/>
      <c r="CC377" s="1259"/>
      <c r="CD377" s="1259"/>
      <c r="CE377" s="1259"/>
      <c r="CF377" s="1259"/>
      <c r="CG377" s="1259"/>
      <c r="CH377" s="1259"/>
      <c r="CI377" s="1259"/>
      <c r="CJ377" s="1259"/>
      <c r="CK377" s="1259"/>
      <c r="CL377" s="1259"/>
      <c r="CM377" s="1259"/>
      <c r="CN377" s="1259"/>
      <c r="CO377" s="1259"/>
      <c r="CP377" s="1259"/>
      <c r="CQ377" s="1259"/>
      <c r="CR377" s="1259"/>
      <c r="CS377" s="1259"/>
      <c r="CT377" s="1259"/>
      <c r="CU377" s="1259"/>
      <c r="CV377" s="1259"/>
      <c r="CW377" s="1259"/>
      <c r="CX377" s="1259"/>
      <c r="CY377" s="1259"/>
      <c r="CZ377" s="1259"/>
      <c r="DA377" s="1259"/>
      <c r="DB377" s="1259"/>
      <c r="DC377" s="1259"/>
      <c r="DD377" s="1259"/>
      <c r="DE377" s="1259"/>
      <c r="DF377" s="1259"/>
      <c r="DG377" s="1259"/>
      <c r="DH377" s="1259"/>
      <c r="DI377" s="1259"/>
      <c r="DJ377" s="1259"/>
      <c r="DK377" s="1259"/>
      <c r="DL377" s="1259"/>
      <c r="DM377" s="1259"/>
      <c r="DN377" s="1259"/>
      <c r="DO377" s="1259"/>
      <c r="DP377" s="1259"/>
      <c r="DQ377" s="1259"/>
      <c r="DR377" s="1259"/>
      <c r="DS377" s="1259"/>
      <c r="DT377" s="1259"/>
      <c r="DU377" s="1259"/>
      <c r="DV377" s="1259"/>
      <c r="DW377" s="1259"/>
      <c r="DX377" s="1259"/>
      <c r="DY377" s="1259"/>
      <c r="DZ377" s="1259"/>
      <c r="EA377" s="1259"/>
      <c r="EB377" s="1259"/>
      <c r="EC377" s="1259"/>
      <c r="ED377" s="1259"/>
      <c r="EE377" s="1259"/>
      <c r="EF377" s="1259"/>
      <c r="EG377" s="1259"/>
      <c r="EH377" s="1259"/>
      <c r="EI377" s="1259"/>
      <c r="EJ377" s="1259"/>
      <c r="EK377" s="1259"/>
      <c r="EL377" s="1259"/>
      <c r="EM377" s="1259"/>
      <c r="EN377" s="1259"/>
      <c r="EO377" s="1259"/>
      <c r="EP377" s="1259"/>
      <c r="EQ377" s="1259"/>
      <c r="ER377" s="1259"/>
      <c r="ES377" s="1259"/>
      <c r="ET377" s="1259"/>
      <c r="EU377" s="1259"/>
      <c r="EV377" s="1259"/>
      <c r="EW377" s="1259"/>
      <c r="EX377" s="1259"/>
      <c r="EY377" s="1259"/>
      <c r="EZ377" s="1259"/>
      <c r="FA377" s="1259"/>
      <c r="FB377" s="1259"/>
      <c r="FC377" s="1259"/>
      <c r="FD377" s="1259"/>
      <c r="FE377" s="1259"/>
      <c r="FF377" s="1259"/>
      <c r="FG377" s="1259"/>
      <c r="FH377" s="1259"/>
      <c r="FI377" s="1259"/>
      <c r="FJ377" s="1259"/>
      <c r="FK377" s="1259"/>
      <c r="FL377" s="1259"/>
      <c r="FM377" s="1259"/>
      <c r="FN377" s="1259"/>
      <c r="FO377" s="1259"/>
      <c r="FP377" s="1259"/>
      <c r="FQ377" s="1259"/>
      <c r="FR377" s="1259"/>
      <c r="FS377" s="1259"/>
      <c r="FT377" s="1259"/>
      <c r="FU377" s="1259"/>
      <c r="FV377" s="1259"/>
      <c r="FW377" s="1259"/>
      <c r="FX377" s="1259"/>
      <c r="FY377" s="1259"/>
      <c r="FZ377" s="1259"/>
      <c r="GA377" s="1259"/>
      <c r="GB377" s="1259"/>
      <c r="GC377" s="1259"/>
      <c r="GD377" s="1259"/>
      <c r="GE377" s="1259"/>
      <c r="GF377" s="1259"/>
      <c r="GG377" s="1259"/>
      <c r="GH377" s="1259"/>
      <c r="GI377" s="1259"/>
      <c r="GJ377" s="1259"/>
      <c r="GK377" s="1259"/>
      <c r="GL377" s="1259"/>
      <c r="GM377" s="1259"/>
      <c r="GN377" s="1259"/>
      <c r="GO377" s="1259"/>
      <c r="GP377" s="1259"/>
      <c r="GQ377" s="1259"/>
      <c r="GR377" s="1259"/>
      <c r="GS377" s="1259"/>
      <c r="GT377" s="1259"/>
      <c r="GU377" s="1259"/>
      <c r="GV377" s="1259"/>
      <c r="GW377" s="1259"/>
      <c r="GX377" s="1259"/>
      <c r="GY377" s="1259"/>
      <c r="GZ377" s="1259"/>
      <c r="HA377" s="1259"/>
      <c r="HB377" s="1259"/>
      <c r="HC377" s="1259"/>
      <c r="HD377" s="1259"/>
      <c r="HE377" s="1259"/>
      <c r="HF377" s="1259"/>
      <c r="HG377" s="1259"/>
      <c r="HH377" s="1259"/>
      <c r="HI377" s="1259"/>
      <c r="HJ377" s="1259"/>
      <c r="HK377" s="1259"/>
      <c r="HL377" s="1259"/>
      <c r="HM377" s="1259"/>
      <c r="HN377" s="1259"/>
      <c r="HO377" s="1259"/>
      <c r="HP377" s="1259"/>
      <c r="HQ377" s="1259"/>
      <c r="HR377" s="1259"/>
      <c r="HS377" s="1259"/>
      <c r="HT377" s="1259"/>
      <c r="HU377" s="1259"/>
      <c r="HV377" s="1259"/>
      <c r="HW377" s="1259"/>
      <c r="HX377" s="1259"/>
      <c r="HY377" s="1259"/>
      <c r="HZ377" s="1259"/>
      <c r="IA377" s="1259"/>
      <c r="IB377" s="1259"/>
      <c r="IC377" s="1259"/>
      <c r="ID377" s="1259"/>
      <c r="IE377" s="1259"/>
      <c r="IF377" s="1259"/>
      <c r="IG377" s="1259"/>
      <c r="IH377" s="1259"/>
      <c r="II377" s="1259"/>
      <c r="IJ377" s="1259"/>
      <c r="IK377" s="1259"/>
      <c r="IL377" s="1259"/>
      <c r="IM377" s="1259"/>
      <c r="IN377" s="1259"/>
      <c r="IO377" s="1259"/>
      <c r="IP377" s="1259"/>
      <c r="IQ377" s="1259"/>
      <c r="IR377" s="1259"/>
      <c r="IS377" s="1259"/>
      <c r="IT377" s="1259"/>
      <c r="IU377" s="1259"/>
      <c r="IV377" s="1259"/>
      <c r="IW377" s="1259"/>
      <c r="IX377" s="1259"/>
      <c r="IY377" s="1259"/>
      <c r="IZ377" s="1259"/>
      <c r="JA377" s="1259"/>
      <c r="JB377" s="1259"/>
      <c r="JC377" s="1259"/>
      <c r="JD377" s="1259"/>
      <c r="JE377" s="1259"/>
      <c r="JF377" s="1259"/>
      <c r="JG377" s="1259"/>
      <c r="JH377" s="1259"/>
      <c r="JI377" s="1259"/>
      <c r="JJ377" s="1259"/>
      <c r="JK377" s="1259"/>
      <c r="JL377" s="1259"/>
      <c r="JM377" s="1259"/>
      <c r="JN377" s="1259"/>
      <c r="JO377" s="1259"/>
      <c r="JP377" s="1259"/>
      <c r="JQ377" s="1259"/>
      <c r="JR377" s="1259"/>
      <c r="JS377" s="1259"/>
      <c r="JT377" s="1259"/>
      <c r="JU377" s="1259"/>
      <c r="JV377" s="1259"/>
      <c r="JW377" s="1259"/>
      <c r="JX377" s="1259"/>
      <c r="JY377" s="1259"/>
      <c r="JZ377" s="1259"/>
      <c r="KA377" s="1259"/>
      <c r="KB377" s="1259"/>
      <c r="KC377" s="1259"/>
      <c r="KD377" s="1259"/>
      <c r="KE377" s="1259"/>
      <c r="KF377" s="1259"/>
      <c r="KG377" s="1259"/>
      <c r="KH377" s="1259"/>
      <c r="KI377" s="1259"/>
      <c r="KJ377" s="1259"/>
      <c r="KK377" s="1259"/>
      <c r="KL377" s="1259"/>
      <c r="KM377" s="1259"/>
      <c r="KN377" s="1259"/>
      <c r="KO377" s="1259"/>
      <c r="KP377" s="1259"/>
      <c r="KQ377" s="1259"/>
      <c r="KR377" s="1259"/>
      <c r="KS377" s="1259"/>
      <c r="KT377" s="1259"/>
      <c r="KU377" s="1259"/>
      <c r="KV377" s="1259"/>
      <c r="KW377" s="1259"/>
      <c r="KX377" s="1259"/>
      <c r="KY377" s="1259"/>
      <c r="KZ377" s="1259"/>
      <c r="LA377" s="1259"/>
      <c r="LB377" s="1259"/>
      <c r="LC377" s="1259"/>
      <c r="LD377" s="1259"/>
      <c r="LE377" s="1259"/>
      <c r="LF377" s="1259"/>
      <c r="LG377" s="1259"/>
      <c r="LH377" s="1259"/>
      <c r="LI377" s="1259"/>
      <c r="LJ377" s="1259"/>
      <c r="LK377" s="1259"/>
      <c r="LL377" s="1259"/>
      <c r="LM377" s="1259"/>
      <c r="LN377" s="1259"/>
      <c r="LO377" s="1259"/>
      <c r="LP377" s="1259"/>
      <c r="LQ377" s="1259"/>
      <c r="LR377" s="1259"/>
      <c r="LS377" s="1259"/>
      <c r="LT377" s="1259"/>
      <c r="LU377" s="1259"/>
      <c r="LV377" s="1259"/>
      <c r="LW377" s="1259"/>
      <c r="LX377" s="1259"/>
      <c r="LY377" s="1259"/>
      <c r="LZ377" s="1259"/>
      <c r="MA377" s="1259"/>
      <c r="MB377" s="1259"/>
      <c r="MC377" s="1259"/>
      <c r="MD377" s="1259"/>
      <c r="ME377" s="1259"/>
      <c r="MF377" s="1259"/>
      <c r="MG377" s="1259"/>
      <c r="MH377" s="1259"/>
      <c r="MI377" s="1259"/>
      <c r="MJ377" s="1259"/>
      <c r="MK377" s="1259"/>
      <c r="ML377" s="1259"/>
      <c r="MM377" s="1259"/>
      <c r="MN377" s="1259"/>
      <c r="MO377" s="1259"/>
      <c r="MP377" s="1259"/>
      <c r="MQ377" s="1259"/>
      <c r="MR377" s="1259"/>
      <c r="MS377" s="1259"/>
      <c r="MT377" s="1259"/>
      <c r="MU377" s="1259"/>
      <c r="MV377" s="1259"/>
      <c r="MW377" s="1259"/>
      <c r="MX377" s="1259"/>
      <c r="MY377" s="1259"/>
      <c r="MZ377" s="1259"/>
      <c r="NA377" s="1259"/>
      <c r="NB377" s="1259"/>
      <c r="NC377" s="1259"/>
      <c r="ND377" s="1259"/>
      <c r="NE377" s="1259"/>
      <c r="NF377" s="1259"/>
      <c r="NG377" s="1259"/>
      <c r="NH377" s="1259"/>
      <c r="NI377" s="1259"/>
      <c r="NJ377" s="1259"/>
      <c r="NK377" s="1259"/>
      <c r="NL377" s="1259"/>
      <c r="NM377" s="1259"/>
      <c r="NN377" s="1259"/>
      <c r="NO377" s="1259"/>
      <c r="NP377" s="1259"/>
      <c r="NQ377" s="1259"/>
      <c r="NR377" s="1259"/>
      <c r="NS377" s="1259"/>
      <c r="NT377" s="1259"/>
      <c r="NU377" s="1259"/>
      <c r="NV377" s="1259"/>
      <c r="NW377" s="1259"/>
      <c r="NX377" s="1259"/>
      <c r="NY377" s="1259"/>
      <c r="NZ377" s="1259"/>
      <c r="OA377" s="1259"/>
      <c r="OB377" s="1259"/>
      <c r="OC377" s="1259"/>
      <c r="OD377" s="1259"/>
      <c r="OE377" s="1259"/>
      <c r="OF377" s="1259"/>
      <c r="OG377" s="1259"/>
      <c r="OH377" s="1259"/>
      <c r="OI377" s="1259"/>
      <c r="OJ377" s="1259"/>
      <c r="OK377" s="1259"/>
      <c r="OL377" s="1259"/>
      <c r="OM377" s="1259"/>
      <c r="ON377" s="1259"/>
      <c r="OO377" s="1259"/>
      <c r="OP377" s="1259"/>
      <c r="OQ377" s="1259"/>
      <c r="OR377" s="1259"/>
      <c r="OS377" s="1259"/>
      <c r="OT377" s="1259"/>
      <c r="OU377" s="1259"/>
      <c r="OV377" s="1259"/>
      <c r="OW377" s="1259"/>
      <c r="OX377" s="1259"/>
      <c r="OY377" s="1259"/>
      <c r="OZ377" s="1259"/>
      <c r="PA377" s="1259"/>
      <c r="PB377" s="1259"/>
      <c r="PC377" s="1259"/>
      <c r="PD377" s="1259"/>
      <c r="PE377" s="1259"/>
      <c r="PF377" s="1259"/>
      <c r="PG377" s="1259"/>
      <c r="PH377" s="1259"/>
      <c r="PI377" s="1259"/>
      <c r="PJ377" s="1259"/>
      <c r="PK377" s="1259"/>
      <c r="PL377" s="1259"/>
      <c r="PM377" s="1259"/>
      <c r="PN377" s="1259"/>
      <c r="PO377" s="1259"/>
      <c r="PP377" s="1259"/>
      <c r="PQ377" s="1259"/>
      <c r="PR377" s="1259"/>
      <c r="PS377" s="1259"/>
      <c r="PT377" s="1259"/>
      <c r="PU377" s="1259"/>
      <c r="PV377" s="1259"/>
      <c r="PW377" s="1259"/>
      <c r="PX377" s="1259"/>
      <c r="PY377" s="1259"/>
      <c r="PZ377" s="1259"/>
      <c r="QA377" s="1259"/>
      <c r="QB377" s="1259"/>
      <c r="QC377" s="1259"/>
      <c r="QD377" s="1259"/>
      <c r="QE377" s="1259"/>
      <c r="QF377" s="1259"/>
      <c r="QG377" s="1259"/>
      <c r="QH377" s="1259"/>
      <c r="QI377" s="1259"/>
      <c r="QJ377" s="1259"/>
      <c r="QK377" s="1259"/>
      <c r="QL377" s="1259"/>
      <c r="QM377" s="1259"/>
      <c r="QN377" s="1259"/>
      <c r="QO377" s="1259"/>
      <c r="QP377" s="1259"/>
      <c r="QQ377" s="1259"/>
      <c r="QR377" s="1259"/>
      <c r="QS377" s="1259"/>
      <c r="QT377" s="1259"/>
      <c r="QU377" s="1259"/>
      <c r="QV377" s="1259"/>
      <c r="QW377" s="1259"/>
      <c r="QX377" s="1259"/>
      <c r="QY377" s="1259"/>
      <c r="QZ377" s="1259"/>
      <c r="RA377" s="1259"/>
      <c r="RB377" s="1259"/>
      <c r="RC377" s="1259"/>
      <c r="RD377" s="1259"/>
      <c r="RE377" s="1259"/>
      <c r="RF377" s="1259"/>
      <c r="RG377" s="1259"/>
      <c r="RH377" s="1259"/>
      <c r="RI377" s="1259"/>
      <c r="RJ377" s="1259"/>
      <c r="RK377" s="1259"/>
      <c r="RL377" s="1259"/>
      <c r="RM377" s="1259"/>
      <c r="RN377" s="1259"/>
      <c r="RO377" s="1259"/>
      <c r="RP377" s="1259"/>
      <c r="RQ377" s="1259"/>
      <c r="RR377" s="1259"/>
      <c r="RS377" s="1259"/>
      <c r="RT377" s="1259"/>
      <c r="RU377" s="1259"/>
      <c r="RV377" s="1259"/>
      <c r="RW377" s="1259"/>
      <c r="RX377" s="1259"/>
      <c r="RY377" s="1259"/>
      <c r="RZ377" s="1259"/>
      <c r="SA377" s="1259"/>
      <c r="SB377" s="1259"/>
      <c r="SC377" s="1259"/>
      <c r="SD377" s="1259"/>
      <c r="SE377" s="1259"/>
      <c r="SF377" s="1259"/>
      <c r="SG377" s="1259"/>
      <c r="SH377" s="1259"/>
      <c r="SI377" s="1259"/>
      <c r="SJ377" s="1259"/>
      <c r="SK377" s="1259"/>
      <c r="SL377" s="1259"/>
      <c r="SM377" s="1259"/>
      <c r="SN377" s="1259"/>
      <c r="SO377" s="1259"/>
      <c r="SP377" s="1259"/>
      <c r="SQ377" s="1259"/>
      <c r="SR377" s="1259"/>
      <c r="SS377" s="1259"/>
      <c r="ST377" s="1259"/>
      <c r="SU377" s="1259"/>
      <c r="SV377" s="1259"/>
      <c r="SW377" s="1259"/>
      <c r="SX377" s="1259"/>
      <c r="SY377" s="1259"/>
      <c r="SZ377" s="1259"/>
      <c r="TA377" s="1259"/>
      <c r="TB377" s="1259"/>
      <c r="TC377" s="1259"/>
      <c r="TD377" s="1259"/>
      <c r="TE377" s="1259"/>
      <c r="TF377" s="1259"/>
      <c r="TG377" s="1259"/>
      <c r="TH377" s="1259"/>
      <c r="TI377" s="1259"/>
      <c r="TJ377" s="1259"/>
      <c r="TK377" s="1259"/>
      <c r="TL377" s="1259"/>
      <c r="TM377" s="1259"/>
      <c r="TN377" s="1259"/>
      <c r="TO377" s="1259"/>
      <c r="TP377" s="1259"/>
      <c r="TQ377" s="1259"/>
      <c r="TR377" s="1259"/>
      <c r="TS377" s="1259"/>
      <c r="TT377" s="1259"/>
      <c r="TU377" s="1259"/>
      <c r="TV377" s="1259"/>
      <c r="TW377" s="1259"/>
      <c r="TX377" s="1259"/>
      <c r="TY377" s="1259"/>
      <c r="TZ377" s="1259"/>
      <c r="UA377" s="1259"/>
      <c r="UB377" s="1259"/>
      <c r="UC377" s="1259"/>
      <c r="UD377" s="1259"/>
      <c r="UE377" s="1259"/>
      <c r="UF377" s="1259"/>
      <c r="UG377" s="1261"/>
    </row>
    <row r="378" spans="1:553" s="1262" customFormat="1" ht="29.25" customHeight="1">
      <c r="A378" s="1226"/>
      <c r="B378" s="411"/>
      <c r="C378" s="1423" t="s">
        <v>1102</v>
      </c>
      <c r="D378" s="1423" t="s">
        <v>1102</v>
      </c>
      <c r="E378" s="1423" t="s">
        <v>1102</v>
      </c>
      <c r="F378" s="1423" t="s">
        <v>1102</v>
      </c>
      <c r="G378" s="1226" t="s">
        <v>196</v>
      </c>
      <c r="H378" s="412"/>
      <c r="I378" s="423">
        <f>(132.2*100/1200)*4</f>
        <v>44.066666666666663</v>
      </c>
      <c r="J378" s="1243">
        <v>6600</v>
      </c>
      <c r="K378" s="509"/>
      <c r="L378" s="679">
        <f>J378*I378</f>
        <v>290840</v>
      </c>
      <c r="M378" s="366"/>
      <c r="N378" s="366"/>
      <c r="O378" s="366"/>
      <c r="P378" s="366"/>
      <c r="Q378" s="1135"/>
      <c r="R378" s="1228"/>
      <c r="S378" s="308"/>
      <c r="T378" s="303"/>
      <c r="U378" s="306"/>
      <c r="V378" s="307"/>
      <c r="W378" s="306"/>
      <c r="X378" s="306"/>
      <c r="Y378" s="306"/>
      <c r="Z378" s="306"/>
      <c r="AA378" s="306"/>
      <c r="AB378" s="306"/>
      <c r="AC378" s="456"/>
      <c r="AD378" s="452"/>
      <c r="AE378" s="452"/>
      <c r="AF378" s="452"/>
      <c r="AG378" s="452"/>
      <c r="AH378" s="452"/>
      <c r="AI378" s="452"/>
      <c r="AJ378" s="452"/>
      <c r="AK378" s="452"/>
      <c r="AL378" s="1259"/>
      <c r="AM378" s="1259"/>
      <c r="AN378" s="1259"/>
      <c r="AO378" s="1259"/>
      <c r="AP378" s="1259"/>
      <c r="AQ378" s="1259"/>
      <c r="AR378" s="1259"/>
      <c r="AS378" s="1259"/>
      <c r="AT378" s="1259"/>
      <c r="AU378" s="1259"/>
      <c r="AV378" s="1259"/>
      <c r="AW378" s="1259"/>
      <c r="AX378" s="1259"/>
      <c r="AY378" s="1259"/>
      <c r="AZ378" s="1259"/>
      <c r="BA378" s="1259"/>
      <c r="BB378" s="1259"/>
      <c r="BC378" s="1259"/>
      <c r="BD378" s="1259"/>
      <c r="BE378" s="1259"/>
      <c r="BF378" s="1259"/>
      <c r="BG378" s="1259"/>
      <c r="BH378" s="1259"/>
      <c r="BI378" s="1259"/>
      <c r="BJ378" s="1259"/>
      <c r="BK378" s="1259"/>
      <c r="BL378" s="1259"/>
      <c r="BM378" s="1259"/>
      <c r="BN378" s="1259"/>
      <c r="BO378" s="1259"/>
      <c r="BP378" s="1259"/>
      <c r="BQ378" s="1259"/>
      <c r="BR378" s="1259"/>
      <c r="BS378" s="1259"/>
      <c r="BT378" s="1259"/>
      <c r="BU378" s="1259"/>
      <c r="BV378" s="1259"/>
      <c r="BW378" s="1259"/>
      <c r="BX378" s="1259"/>
      <c r="BY378" s="1259"/>
      <c r="BZ378" s="1259"/>
      <c r="CA378" s="1259"/>
      <c r="CB378" s="1259"/>
      <c r="CC378" s="1259"/>
      <c r="CD378" s="1259"/>
      <c r="CE378" s="1259"/>
      <c r="CF378" s="1259"/>
      <c r="CG378" s="1259"/>
      <c r="CH378" s="1259"/>
      <c r="CI378" s="1259"/>
      <c r="CJ378" s="1259"/>
      <c r="CK378" s="1259"/>
      <c r="CL378" s="1259"/>
      <c r="CM378" s="1259"/>
      <c r="CN378" s="1259"/>
      <c r="CO378" s="1259"/>
      <c r="CP378" s="1259"/>
      <c r="CQ378" s="1259"/>
      <c r="CR378" s="1259"/>
      <c r="CS378" s="1259"/>
      <c r="CT378" s="1259"/>
      <c r="CU378" s="1259"/>
      <c r="CV378" s="1259"/>
      <c r="CW378" s="1259"/>
      <c r="CX378" s="1259"/>
      <c r="CY378" s="1259"/>
      <c r="CZ378" s="1259"/>
      <c r="DA378" s="1259"/>
      <c r="DB378" s="1259"/>
      <c r="DC378" s="1259"/>
      <c r="DD378" s="1259"/>
      <c r="DE378" s="1259"/>
      <c r="DF378" s="1259"/>
      <c r="DG378" s="1259"/>
      <c r="DH378" s="1259"/>
      <c r="DI378" s="1259"/>
      <c r="DJ378" s="1259"/>
      <c r="DK378" s="1259"/>
      <c r="DL378" s="1259"/>
      <c r="DM378" s="1259"/>
      <c r="DN378" s="1259"/>
      <c r="DO378" s="1259"/>
      <c r="DP378" s="1259"/>
      <c r="DQ378" s="1259"/>
      <c r="DR378" s="1259"/>
      <c r="DS378" s="1259"/>
      <c r="DT378" s="1259"/>
      <c r="DU378" s="1259"/>
      <c r="DV378" s="1259"/>
      <c r="DW378" s="1259"/>
      <c r="DX378" s="1259"/>
      <c r="DY378" s="1259"/>
      <c r="DZ378" s="1259"/>
      <c r="EA378" s="1259"/>
      <c r="EB378" s="1259"/>
      <c r="EC378" s="1259"/>
      <c r="ED378" s="1259"/>
      <c r="EE378" s="1259"/>
      <c r="EF378" s="1259"/>
      <c r="EG378" s="1259"/>
      <c r="EH378" s="1259"/>
      <c r="EI378" s="1259"/>
      <c r="EJ378" s="1259"/>
      <c r="EK378" s="1259"/>
      <c r="EL378" s="1259"/>
      <c r="EM378" s="1259"/>
      <c r="EN378" s="1259"/>
      <c r="EO378" s="1259"/>
      <c r="EP378" s="1259"/>
      <c r="EQ378" s="1259"/>
      <c r="ER378" s="1259"/>
      <c r="ES378" s="1259"/>
      <c r="ET378" s="1259"/>
      <c r="EU378" s="1259"/>
      <c r="EV378" s="1259"/>
      <c r="EW378" s="1259"/>
      <c r="EX378" s="1259"/>
      <c r="EY378" s="1259"/>
      <c r="EZ378" s="1259"/>
      <c r="FA378" s="1259"/>
      <c r="FB378" s="1259"/>
      <c r="FC378" s="1259"/>
      <c r="FD378" s="1259"/>
      <c r="FE378" s="1259"/>
      <c r="FF378" s="1259"/>
      <c r="FG378" s="1259"/>
      <c r="FH378" s="1259"/>
      <c r="FI378" s="1259"/>
      <c r="FJ378" s="1259"/>
      <c r="FK378" s="1259"/>
      <c r="FL378" s="1259"/>
      <c r="FM378" s="1259"/>
      <c r="FN378" s="1259"/>
      <c r="FO378" s="1259"/>
      <c r="FP378" s="1259"/>
      <c r="FQ378" s="1259"/>
      <c r="FR378" s="1259"/>
      <c r="FS378" s="1259"/>
      <c r="FT378" s="1259"/>
      <c r="FU378" s="1259"/>
      <c r="FV378" s="1259"/>
      <c r="FW378" s="1259"/>
      <c r="FX378" s="1259"/>
      <c r="FY378" s="1259"/>
      <c r="FZ378" s="1259"/>
      <c r="GA378" s="1259"/>
      <c r="GB378" s="1259"/>
      <c r="GC378" s="1259"/>
      <c r="GD378" s="1259"/>
      <c r="GE378" s="1259"/>
      <c r="GF378" s="1259"/>
      <c r="GG378" s="1259"/>
      <c r="GH378" s="1259"/>
      <c r="GI378" s="1259"/>
      <c r="GJ378" s="1259"/>
      <c r="GK378" s="1259"/>
      <c r="GL378" s="1259"/>
      <c r="GM378" s="1259"/>
      <c r="GN378" s="1259"/>
      <c r="GO378" s="1259"/>
      <c r="GP378" s="1259"/>
      <c r="GQ378" s="1259"/>
      <c r="GR378" s="1259"/>
      <c r="GS378" s="1259"/>
      <c r="GT378" s="1259"/>
      <c r="GU378" s="1259"/>
      <c r="GV378" s="1259"/>
      <c r="GW378" s="1259"/>
      <c r="GX378" s="1259"/>
      <c r="GY378" s="1259"/>
      <c r="GZ378" s="1259"/>
      <c r="HA378" s="1259"/>
      <c r="HB378" s="1259"/>
      <c r="HC378" s="1259"/>
      <c r="HD378" s="1259"/>
      <c r="HE378" s="1259"/>
      <c r="HF378" s="1259"/>
      <c r="HG378" s="1259"/>
      <c r="HH378" s="1259"/>
      <c r="HI378" s="1259"/>
      <c r="HJ378" s="1259"/>
      <c r="HK378" s="1259"/>
      <c r="HL378" s="1259"/>
      <c r="HM378" s="1259"/>
      <c r="HN378" s="1259"/>
      <c r="HO378" s="1259"/>
      <c r="HP378" s="1259"/>
      <c r="HQ378" s="1259"/>
      <c r="HR378" s="1259"/>
      <c r="HS378" s="1259"/>
      <c r="HT378" s="1259"/>
      <c r="HU378" s="1259"/>
      <c r="HV378" s="1259"/>
      <c r="HW378" s="1259"/>
      <c r="HX378" s="1259"/>
      <c r="HY378" s="1259"/>
      <c r="HZ378" s="1259"/>
      <c r="IA378" s="1259"/>
      <c r="IB378" s="1259"/>
      <c r="IC378" s="1259"/>
      <c r="ID378" s="1259"/>
      <c r="IE378" s="1259"/>
      <c r="IF378" s="1259"/>
      <c r="IG378" s="1259"/>
      <c r="IH378" s="1259"/>
      <c r="II378" s="1259"/>
      <c r="IJ378" s="1259"/>
      <c r="IK378" s="1259"/>
      <c r="IL378" s="1259"/>
      <c r="IM378" s="1259"/>
      <c r="IN378" s="1259"/>
      <c r="IO378" s="1259"/>
      <c r="IP378" s="1259"/>
      <c r="IQ378" s="1259"/>
      <c r="IR378" s="1259"/>
      <c r="IS378" s="1259"/>
      <c r="IT378" s="1259"/>
      <c r="IU378" s="1259"/>
      <c r="IV378" s="1259"/>
      <c r="IW378" s="1259"/>
      <c r="IX378" s="1259"/>
      <c r="IY378" s="1259"/>
      <c r="IZ378" s="1259"/>
      <c r="JA378" s="1259"/>
      <c r="JB378" s="1259"/>
      <c r="JC378" s="1259"/>
      <c r="JD378" s="1259"/>
      <c r="JE378" s="1259"/>
      <c r="JF378" s="1259"/>
      <c r="JG378" s="1259"/>
      <c r="JH378" s="1259"/>
      <c r="JI378" s="1259"/>
      <c r="JJ378" s="1259"/>
      <c r="JK378" s="1259"/>
      <c r="JL378" s="1259"/>
      <c r="JM378" s="1259"/>
      <c r="JN378" s="1259"/>
      <c r="JO378" s="1259"/>
      <c r="JP378" s="1259"/>
      <c r="JQ378" s="1259"/>
      <c r="JR378" s="1259"/>
      <c r="JS378" s="1259"/>
      <c r="JT378" s="1259"/>
      <c r="JU378" s="1259"/>
      <c r="JV378" s="1259"/>
      <c r="JW378" s="1259"/>
      <c r="JX378" s="1259"/>
      <c r="JY378" s="1259"/>
      <c r="JZ378" s="1259"/>
      <c r="KA378" s="1259"/>
      <c r="KB378" s="1259"/>
      <c r="KC378" s="1259"/>
      <c r="KD378" s="1259"/>
      <c r="KE378" s="1259"/>
      <c r="KF378" s="1259"/>
      <c r="KG378" s="1259"/>
      <c r="KH378" s="1259"/>
      <c r="KI378" s="1259"/>
      <c r="KJ378" s="1259"/>
      <c r="KK378" s="1259"/>
      <c r="KL378" s="1259"/>
      <c r="KM378" s="1259"/>
      <c r="KN378" s="1259"/>
      <c r="KO378" s="1259"/>
      <c r="KP378" s="1259"/>
      <c r="KQ378" s="1259"/>
      <c r="KR378" s="1259"/>
      <c r="KS378" s="1259"/>
      <c r="KT378" s="1259"/>
      <c r="KU378" s="1259"/>
      <c r="KV378" s="1259"/>
      <c r="KW378" s="1259"/>
      <c r="KX378" s="1259"/>
      <c r="KY378" s="1259"/>
      <c r="KZ378" s="1259"/>
      <c r="LA378" s="1259"/>
      <c r="LB378" s="1259"/>
      <c r="LC378" s="1259"/>
      <c r="LD378" s="1259"/>
      <c r="LE378" s="1259"/>
      <c r="LF378" s="1259"/>
      <c r="LG378" s="1259"/>
      <c r="LH378" s="1259"/>
      <c r="LI378" s="1259"/>
      <c r="LJ378" s="1259"/>
      <c r="LK378" s="1259"/>
      <c r="LL378" s="1259"/>
      <c r="LM378" s="1259"/>
      <c r="LN378" s="1259"/>
      <c r="LO378" s="1259"/>
      <c r="LP378" s="1259"/>
      <c r="LQ378" s="1259"/>
      <c r="LR378" s="1259"/>
      <c r="LS378" s="1259"/>
      <c r="LT378" s="1259"/>
      <c r="LU378" s="1259"/>
      <c r="LV378" s="1259"/>
      <c r="LW378" s="1259"/>
      <c r="LX378" s="1259"/>
      <c r="LY378" s="1259"/>
      <c r="LZ378" s="1259"/>
      <c r="MA378" s="1259"/>
      <c r="MB378" s="1259"/>
      <c r="MC378" s="1259"/>
      <c r="MD378" s="1259"/>
      <c r="ME378" s="1259"/>
      <c r="MF378" s="1259"/>
      <c r="MG378" s="1259"/>
      <c r="MH378" s="1259"/>
      <c r="MI378" s="1259"/>
      <c r="MJ378" s="1259"/>
      <c r="MK378" s="1259"/>
      <c r="ML378" s="1259"/>
      <c r="MM378" s="1259"/>
      <c r="MN378" s="1259"/>
      <c r="MO378" s="1259"/>
      <c r="MP378" s="1259"/>
      <c r="MQ378" s="1259"/>
      <c r="MR378" s="1259"/>
      <c r="MS378" s="1259"/>
      <c r="MT378" s="1259"/>
      <c r="MU378" s="1259"/>
      <c r="MV378" s="1259"/>
      <c r="MW378" s="1259"/>
      <c r="MX378" s="1259"/>
      <c r="MY378" s="1259"/>
      <c r="MZ378" s="1259"/>
      <c r="NA378" s="1259"/>
      <c r="NB378" s="1259"/>
      <c r="NC378" s="1259"/>
      <c r="ND378" s="1259"/>
      <c r="NE378" s="1259"/>
      <c r="NF378" s="1259"/>
      <c r="NG378" s="1259"/>
      <c r="NH378" s="1259"/>
      <c r="NI378" s="1259"/>
      <c r="NJ378" s="1259"/>
      <c r="NK378" s="1259"/>
      <c r="NL378" s="1259"/>
      <c r="NM378" s="1259"/>
      <c r="NN378" s="1259"/>
      <c r="NO378" s="1259"/>
      <c r="NP378" s="1259"/>
      <c r="NQ378" s="1259"/>
      <c r="NR378" s="1259"/>
      <c r="NS378" s="1259"/>
      <c r="NT378" s="1259"/>
      <c r="NU378" s="1259"/>
      <c r="NV378" s="1259"/>
      <c r="NW378" s="1259"/>
      <c r="NX378" s="1259"/>
      <c r="NY378" s="1259"/>
      <c r="NZ378" s="1259"/>
      <c r="OA378" s="1259"/>
      <c r="OB378" s="1259"/>
      <c r="OC378" s="1259"/>
      <c r="OD378" s="1259"/>
      <c r="OE378" s="1259"/>
      <c r="OF378" s="1259"/>
      <c r="OG378" s="1259"/>
      <c r="OH378" s="1259"/>
      <c r="OI378" s="1259"/>
      <c r="OJ378" s="1259"/>
      <c r="OK378" s="1259"/>
      <c r="OL378" s="1259"/>
      <c r="OM378" s="1259"/>
      <c r="ON378" s="1259"/>
      <c r="OO378" s="1259"/>
      <c r="OP378" s="1259"/>
      <c r="OQ378" s="1259"/>
      <c r="OR378" s="1259"/>
      <c r="OS378" s="1259"/>
      <c r="OT378" s="1259"/>
      <c r="OU378" s="1259"/>
      <c r="OV378" s="1259"/>
      <c r="OW378" s="1259"/>
      <c r="OX378" s="1259"/>
      <c r="OY378" s="1259"/>
      <c r="OZ378" s="1259"/>
      <c r="PA378" s="1259"/>
      <c r="PB378" s="1259"/>
      <c r="PC378" s="1259"/>
      <c r="PD378" s="1259"/>
      <c r="PE378" s="1259"/>
      <c r="PF378" s="1259"/>
      <c r="PG378" s="1259"/>
      <c r="PH378" s="1259"/>
      <c r="PI378" s="1259"/>
      <c r="PJ378" s="1259"/>
      <c r="PK378" s="1259"/>
      <c r="PL378" s="1259"/>
      <c r="PM378" s="1259"/>
      <c r="PN378" s="1259"/>
      <c r="PO378" s="1259"/>
      <c r="PP378" s="1259"/>
      <c r="PQ378" s="1259"/>
      <c r="PR378" s="1259"/>
      <c r="PS378" s="1259"/>
      <c r="PT378" s="1259"/>
      <c r="PU378" s="1259"/>
      <c r="PV378" s="1259"/>
      <c r="PW378" s="1259"/>
      <c r="PX378" s="1259"/>
      <c r="PY378" s="1259"/>
      <c r="PZ378" s="1259"/>
      <c r="QA378" s="1259"/>
      <c r="QB378" s="1259"/>
      <c r="QC378" s="1259"/>
      <c r="QD378" s="1259"/>
      <c r="QE378" s="1259"/>
      <c r="QF378" s="1259"/>
      <c r="QG378" s="1259"/>
      <c r="QH378" s="1259"/>
      <c r="QI378" s="1259"/>
      <c r="QJ378" s="1259"/>
      <c r="QK378" s="1259"/>
      <c r="QL378" s="1259"/>
      <c r="QM378" s="1259"/>
      <c r="QN378" s="1259"/>
      <c r="QO378" s="1259"/>
      <c r="QP378" s="1259"/>
      <c r="QQ378" s="1259"/>
      <c r="QR378" s="1259"/>
      <c r="QS378" s="1259"/>
      <c r="QT378" s="1259"/>
      <c r="QU378" s="1259"/>
      <c r="QV378" s="1259"/>
      <c r="QW378" s="1259"/>
      <c r="QX378" s="1259"/>
      <c r="QY378" s="1259"/>
      <c r="QZ378" s="1259"/>
      <c r="RA378" s="1259"/>
      <c r="RB378" s="1259"/>
      <c r="RC378" s="1259"/>
      <c r="RD378" s="1259"/>
      <c r="RE378" s="1259"/>
      <c r="RF378" s="1259"/>
      <c r="RG378" s="1259"/>
      <c r="RH378" s="1259"/>
      <c r="RI378" s="1259"/>
      <c r="RJ378" s="1259"/>
      <c r="RK378" s="1259"/>
      <c r="RL378" s="1259"/>
      <c r="RM378" s="1259"/>
      <c r="RN378" s="1259"/>
      <c r="RO378" s="1259"/>
      <c r="RP378" s="1259"/>
      <c r="RQ378" s="1259"/>
      <c r="RR378" s="1259"/>
      <c r="RS378" s="1259"/>
      <c r="RT378" s="1259"/>
      <c r="RU378" s="1259"/>
      <c r="RV378" s="1259"/>
      <c r="RW378" s="1259"/>
      <c r="RX378" s="1259"/>
      <c r="RY378" s="1259"/>
      <c r="RZ378" s="1259"/>
      <c r="SA378" s="1259"/>
      <c r="SB378" s="1259"/>
      <c r="SC378" s="1259"/>
      <c r="SD378" s="1259"/>
      <c r="SE378" s="1259"/>
      <c r="SF378" s="1259"/>
      <c r="SG378" s="1259"/>
      <c r="SH378" s="1259"/>
      <c r="SI378" s="1259"/>
      <c r="SJ378" s="1259"/>
      <c r="SK378" s="1259"/>
      <c r="SL378" s="1259"/>
      <c r="SM378" s="1259"/>
      <c r="SN378" s="1259"/>
      <c r="SO378" s="1259"/>
      <c r="SP378" s="1259"/>
      <c r="SQ378" s="1259"/>
      <c r="SR378" s="1259"/>
      <c r="SS378" s="1259"/>
      <c r="ST378" s="1259"/>
      <c r="SU378" s="1259"/>
      <c r="SV378" s="1259"/>
      <c r="SW378" s="1259"/>
      <c r="SX378" s="1259"/>
      <c r="SY378" s="1259"/>
      <c r="SZ378" s="1259"/>
      <c r="TA378" s="1259"/>
      <c r="TB378" s="1259"/>
      <c r="TC378" s="1259"/>
      <c r="TD378" s="1259"/>
      <c r="TE378" s="1259"/>
      <c r="TF378" s="1259"/>
      <c r="TG378" s="1259"/>
      <c r="TH378" s="1259"/>
      <c r="TI378" s="1259"/>
      <c r="TJ378" s="1259"/>
      <c r="TK378" s="1259"/>
      <c r="TL378" s="1259"/>
      <c r="TM378" s="1259"/>
      <c r="TN378" s="1259"/>
      <c r="TO378" s="1259"/>
      <c r="TP378" s="1259"/>
      <c r="TQ378" s="1259"/>
      <c r="TR378" s="1259"/>
      <c r="TS378" s="1259"/>
      <c r="TT378" s="1259"/>
      <c r="TU378" s="1259"/>
      <c r="TV378" s="1259"/>
      <c r="TW378" s="1259"/>
      <c r="TX378" s="1259"/>
      <c r="TY378" s="1259"/>
      <c r="TZ378" s="1259"/>
      <c r="UA378" s="1259"/>
      <c r="UB378" s="1259"/>
      <c r="UC378" s="1259"/>
      <c r="UD378" s="1259"/>
      <c r="UE378" s="1259"/>
      <c r="UF378" s="1259"/>
      <c r="UG378" s="1261"/>
    </row>
    <row r="379" spans="1:553" s="1262" customFormat="1" ht="29.25" customHeight="1">
      <c r="A379" s="415"/>
      <c r="B379" s="414"/>
      <c r="C379" s="1428" t="s">
        <v>1103</v>
      </c>
      <c r="D379" s="1429" t="s">
        <v>1104</v>
      </c>
      <c r="E379" s="1429" t="s">
        <v>1104</v>
      </c>
      <c r="F379" s="1430" t="s">
        <v>1104</v>
      </c>
      <c r="G379" s="415" t="s">
        <v>196</v>
      </c>
      <c r="H379" s="416"/>
      <c r="I379" s="570">
        <f>(157.21*100/1100)*(12-(6-2))*1</f>
        <v>114.33454545454545</v>
      </c>
      <c r="J379" s="512">
        <v>15400</v>
      </c>
      <c r="K379" s="560">
        <v>0.7</v>
      </c>
      <c r="L379" s="1012">
        <f>ROUND(PRODUCT(I379:K379),0)</f>
        <v>1232526</v>
      </c>
      <c r="M379" s="366"/>
      <c r="N379" s="366"/>
      <c r="O379" s="366"/>
      <c r="P379" s="366"/>
      <c r="Q379" s="1135"/>
      <c r="R379" s="1228"/>
      <c r="S379" s="308"/>
      <c r="T379" s="303"/>
      <c r="U379" s="306"/>
      <c r="V379" s="307"/>
      <c r="W379" s="306"/>
      <c r="X379" s="306"/>
      <c r="Y379" s="306"/>
      <c r="Z379" s="306"/>
      <c r="AA379" s="306"/>
      <c r="AB379" s="306"/>
      <c r="AC379" s="456"/>
      <c r="AD379" s="452"/>
      <c r="AE379" s="452"/>
      <c r="AF379" s="452"/>
      <c r="AG379" s="452"/>
      <c r="AH379" s="452"/>
      <c r="AI379" s="452"/>
      <c r="AJ379" s="452"/>
      <c r="AK379" s="452"/>
      <c r="AL379" s="1259"/>
      <c r="AM379" s="1259"/>
      <c r="AN379" s="1259"/>
      <c r="AO379" s="1259"/>
      <c r="AP379" s="1259"/>
      <c r="AQ379" s="1259"/>
      <c r="AR379" s="1259"/>
      <c r="AS379" s="1259"/>
      <c r="AT379" s="1259"/>
      <c r="AU379" s="1259"/>
      <c r="AV379" s="1259"/>
      <c r="AW379" s="1259"/>
      <c r="AX379" s="1259"/>
      <c r="AY379" s="1259"/>
      <c r="AZ379" s="1259"/>
      <c r="BA379" s="1259"/>
      <c r="BB379" s="1259"/>
      <c r="BC379" s="1259"/>
      <c r="BD379" s="1259"/>
      <c r="BE379" s="1259"/>
      <c r="BF379" s="1259"/>
      <c r="BG379" s="1259"/>
      <c r="BH379" s="1259"/>
      <c r="BI379" s="1259"/>
      <c r="BJ379" s="1259"/>
      <c r="BK379" s="1259"/>
      <c r="BL379" s="1259"/>
      <c r="BM379" s="1259"/>
      <c r="BN379" s="1259"/>
      <c r="BO379" s="1259"/>
      <c r="BP379" s="1259"/>
      <c r="BQ379" s="1259"/>
      <c r="BR379" s="1259"/>
      <c r="BS379" s="1259"/>
      <c r="BT379" s="1259"/>
      <c r="BU379" s="1259"/>
      <c r="BV379" s="1259"/>
      <c r="BW379" s="1259"/>
      <c r="BX379" s="1259"/>
      <c r="BY379" s="1259"/>
      <c r="BZ379" s="1259"/>
      <c r="CA379" s="1259"/>
      <c r="CB379" s="1259"/>
      <c r="CC379" s="1259"/>
      <c r="CD379" s="1259"/>
      <c r="CE379" s="1259"/>
      <c r="CF379" s="1259"/>
      <c r="CG379" s="1259"/>
      <c r="CH379" s="1259"/>
      <c r="CI379" s="1259"/>
      <c r="CJ379" s="1259"/>
      <c r="CK379" s="1259"/>
      <c r="CL379" s="1259"/>
      <c r="CM379" s="1259"/>
      <c r="CN379" s="1259"/>
      <c r="CO379" s="1259"/>
      <c r="CP379" s="1259"/>
      <c r="CQ379" s="1259"/>
      <c r="CR379" s="1259"/>
      <c r="CS379" s="1259"/>
      <c r="CT379" s="1259"/>
      <c r="CU379" s="1259"/>
      <c r="CV379" s="1259"/>
      <c r="CW379" s="1259"/>
      <c r="CX379" s="1259"/>
      <c r="CY379" s="1259"/>
      <c r="CZ379" s="1259"/>
      <c r="DA379" s="1259"/>
      <c r="DB379" s="1259"/>
      <c r="DC379" s="1259"/>
      <c r="DD379" s="1259"/>
      <c r="DE379" s="1259"/>
      <c r="DF379" s="1259"/>
      <c r="DG379" s="1259"/>
      <c r="DH379" s="1259"/>
      <c r="DI379" s="1259"/>
      <c r="DJ379" s="1259"/>
      <c r="DK379" s="1259"/>
      <c r="DL379" s="1259"/>
      <c r="DM379" s="1259"/>
      <c r="DN379" s="1259"/>
      <c r="DO379" s="1259"/>
      <c r="DP379" s="1259"/>
      <c r="DQ379" s="1259"/>
      <c r="DR379" s="1259"/>
      <c r="DS379" s="1259"/>
      <c r="DT379" s="1259"/>
      <c r="DU379" s="1259"/>
      <c r="DV379" s="1259"/>
      <c r="DW379" s="1259"/>
      <c r="DX379" s="1259"/>
      <c r="DY379" s="1259"/>
      <c r="DZ379" s="1259"/>
      <c r="EA379" s="1259"/>
      <c r="EB379" s="1259"/>
      <c r="EC379" s="1259"/>
      <c r="ED379" s="1259"/>
      <c r="EE379" s="1259"/>
      <c r="EF379" s="1259"/>
      <c r="EG379" s="1259"/>
      <c r="EH379" s="1259"/>
      <c r="EI379" s="1259"/>
      <c r="EJ379" s="1259"/>
      <c r="EK379" s="1259"/>
      <c r="EL379" s="1259"/>
      <c r="EM379" s="1259"/>
      <c r="EN379" s="1259"/>
      <c r="EO379" s="1259"/>
      <c r="EP379" s="1259"/>
      <c r="EQ379" s="1259"/>
      <c r="ER379" s="1259"/>
      <c r="ES379" s="1259"/>
      <c r="ET379" s="1259"/>
      <c r="EU379" s="1259"/>
      <c r="EV379" s="1259"/>
      <c r="EW379" s="1259"/>
      <c r="EX379" s="1259"/>
      <c r="EY379" s="1259"/>
      <c r="EZ379" s="1259"/>
      <c r="FA379" s="1259"/>
      <c r="FB379" s="1259"/>
      <c r="FC379" s="1259"/>
      <c r="FD379" s="1259"/>
      <c r="FE379" s="1259"/>
      <c r="FF379" s="1259"/>
      <c r="FG379" s="1259"/>
      <c r="FH379" s="1259"/>
      <c r="FI379" s="1259"/>
      <c r="FJ379" s="1259"/>
      <c r="FK379" s="1259"/>
      <c r="FL379" s="1259"/>
      <c r="FM379" s="1259"/>
      <c r="FN379" s="1259"/>
      <c r="FO379" s="1259"/>
      <c r="FP379" s="1259"/>
      <c r="FQ379" s="1259"/>
      <c r="FR379" s="1259"/>
      <c r="FS379" s="1259"/>
      <c r="FT379" s="1259"/>
      <c r="FU379" s="1259"/>
      <c r="FV379" s="1259"/>
      <c r="FW379" s="1259"/>
      <c r="FX379" s="1259"/>
      <c r="FY379" s="1259"/>
      <c r="FZ379" s="1259"/>
      <c r="GA379" s="1259"/>
      <c r="GB379" s="1259"/>
      <c r="GC379" s="1259"/>
      <c r="GD379" s="1259"/>
      <c r="GE379" s="1259"/>
      <c r="GF379" s="1259"/>
      <c r="GG379" s="1259"/>
      <c r="GH379" s="1259"/>
      <c r="GI379" s="1259"/>
      <c r="GJ379" s="1259"/>
      <c r="GK379" s="1259"/>
      <c r="GL379" s="1259"/>
      <c r="GM379" s="1259"/>
      <c r="GN379" s="1259"/>
      <c r="GO379" s="1259"/>
      <c r="GP379" s="1259"/>
      <c r="GQ379" s="1259"/>
      <c r="GR379" s="1259"/>
      <c r="GS379" s="1259"/>
      <c r="GT379" s="1259"/>
      <c r="GU379" s="1259"/>
      <c r="GV379" s="1259"/>
      <c r="GW379" s="1259"/>
      <c r="GX379" s="1259"/>
      <c r="GY379" s="1259"/>
      <c r="GZ379" s="1259"/>
      <c r="HA379" s="1259"/>
      <c r="HB379" s="1259"/>
      <c r="HC379" s="1259"/>
      <c r="HD379" s="1259"/>
      <c r="HE379" s="1259"/>
      <c r="HF379" s="1259"/>
      <c r="HG379" s="1259"/>
      <c r="HH379" s="1259"/>
      <c r="HI379" s="1259"/>
      <c r="HJ379" s="1259"/>
      <c r="HK379" s="1259"/>
      <c r="HL379" s="1259"/>
      <c r="HM379" s="1259"/>
      <c r="HN379" s="1259"/>
      <c r="HO379" s="1259"/>
      <c r="HP379" s="1259"/>
      <c r="HQ379" s="1259"/>
      <c r="HR379" s="1259"/>
      <c r="HS379" s="1259"/>
      <c r="HT379" s="1259"/>
      <c r="HU379" s="1259"/>
      <c r="HV379" s="1259"/>
      <c r="HW379" s="1259"/>
      <c r="HX379" s="1259"/>
      <c r="HY379" s="1259"/>
      <c r="HZ379" s="1259"/>
      <c r="IA379" s="1259"/>
      <c r="IB379" s="1259"/>
      <c r="IC379" s="1259"/>
      <c r="ID379" s="1259"/>
      <c r="IE379" s="1259"/>
      <c r="IF379" s="1259"/>
      <c r="IG379" s="1259"/>
      <c r="IH379" s="1259"/>
      <c r="II379" s="1259"/>
      <c r="IJ379" s="1259"/>
      <c r="IK379" s="1259"/>
      <c r="IL379" s="1259"/>
      <c r="IM379" s="1259"/>
      <c r="IN379" s="1259"/>
      <c r="IO379" s="1259"/>
      <c r="IP379" s="1259"/>
      <c r="IQ379" s="1259"/>
      <c r="IR379" s="1259"/>
      <c r="IS379" s="1259"/>
      <c r="IT379" s="1259"/>
      <c r="IU379" s="1259"/>
      <c r="IV379" s="1259"/>
      <c r="IW379" s="1259"/>
      <c r="IX379" s="1259"/>
      <c r="IY379" s="1259"/>
      <c r="IZ379" s="1259"/>
      <c r="JA379" s="1259"/>
      <c r="JB379" s="1259"/>
      <c r="JC379" s="1259"/>
      <c r="JD379" s="1259"/>
      <c r="JE379" s="1259"/>
      <c r="JF379" s="1259"/>
      <c r="JG379" s="1259"/>
      <c r="JH379" s="1259"/>
      <c r="JI379" s="1259"/>
      <c r="JJ379" s="1259"/>
      <c r="JK379" s="1259"/>
      <c r="JL379" s="1259"/>
      <c r="JM379" s="1259"/>
      <c r="JN379" s="1259"/>
      <c r="JO379" s="1259"/>
      <c r="JP379" s="1259"/>
      <c r="JQ379" s="1259"/>
      <c r="JR379" s="1259"/>
      <c r="JS379" s="1259"/>
      <c r="JT379" s="1259"/>
      <c r="JU379" s="1259"/>
      <c r="JV379" s="1259"/>
      <c r="JW379" s="1259"/>
      <c r="JX379" s="1259"/>
      <c r="JY379" s="1259"/>
      <c r="JZ379" s="1259"/>
      <c r="KA379" s="1259"/>
      <c r="KB379" s="1259"/>
      <c r="KC379" s="1259"/>
      <c r="KD379" s="1259"/>
      <c r="KE379" s="1259"/>
      <c r="KF379" s="1259"/>
      <c r="KG379" s="1259"/>
      <c r="KH379" s="1259"/>
      <c r="KI379" s="1259"/>
      <c r="KJ379" s="1259"/>
      <c r="KK379" s="1259"/>
      <c r="KL379" s="1259"/>
      <c r="KM379" s="1259"/>
      <c r="KN379" s="1259"/>
      <c r="KO379" s="1259"/>
      <c r="KP379" s="1259"/>
      <c r="KQ379" s="1259"/>
      <c r="KR379" s="1259"/>
      <c r="KS379" s="1259"/>
      <c r="KT379" s="1259"/>
      <c r="KU379" s="1259"/>
      <c r="KV379" s="1259"/>
      <c r="KW379" s="1259"/>
      <c r="KX379" s="1259"/>
      <c r="KY379" s="1259"/>
      <c r="KZ379" s="1259"/>
      <c r="LA379" s="1259"/>
      <c r="LB379" s="1259"/>
      <c r="LC379" s="1259"/>
      <c r="LD379" s="1259"/>
      <c r="LE379" s="1259"/>
      <c r="LF379" s="1259"/>
      <c r="LG379" s="1259"/>
      <c r="LH379" s="1259"/>
      <c r="LI379" s="1259"/>
      <c r="LJ379" s="1259"/>
      <c r="LK379" s="1259"/>
      <c r="LL379" s="1259"/>
      <c r="LM379" s="1259"/>
      <c r="LN379" s="1259"/>
      <c r="LO379" s="1259"/>
      <c r="LP379" s="1259"/>
      <c r="LQ379" s="1259"/>
      <c r="LR379" s="1259"/>
      <c r="LS379" s="1259"/>
      <c r="LT379" s="1259"/>
      <c r="LU379" s="1259"/>
      <c r="LV379" s="1259"/>
      <c r="LW379" s="1259"/>
      <c r="LX379" s="1259"/>
      <c r="LY379" s="1259"/>
      <c r="LZ379" s="1259"/>
      <c r="MA379" s="1259"/>
      <c r="MB379" s="1259"/>
      <c r="MC379" s="1259"/>
      <c r="MD379" s="1259"/>
      <c r="ME379" s="1259"/>
      <c r="MF379" s="1259"/>
      <c r="MG379" s="1259"/>
      <c r="MH379" s="1259"/>
      <c r="MI379" s="1259"/>
      <c r="MJ379" s="1259"/>
      <c r="MK379" s="1259"/>
      <c r="ML379" s="1259"/>
      <c r="MM379" s="1259"/>
      <c r="MN379" s="1259"/>
      <c r="MO379" s="1259"/>
      <c r="MP379" s="1259"/>
      <c r="MQ379" s="1259"/>
      <c r="MR379" s="1259"/>
      <c r="MS379" s="1259"/>
      <c r="MT379" s="1259"/>
      <c r="MU379" s="1259"/>
      <c r="MV379" s="1259"/>
      <c r="MW379" s="1259"/>
      <c r="MX379" s="1259"/>
      <c r="MY379" s="1259"/>
      <c r="MZ379" s="1259"/>
      <c r="NA379" s="1259"/>
      <c r="NB379" s="1259"/>
      <c r="NC379" s="1259"/>
      <c r="ND379" s="1259"/>
      <c r="NE379" s="1259"/>
      <c r="NF379" s="1259"/>
      <c r="NG379" s="1259"/>
      <c r="NH379" s="1259"/>
      <c r="NI379" s="1259"/>
      <c r="NJ379" s="1259"/>
      <c r="NK379" s="1259"/>
      <c r="NL379" s="1259"/>
      <c r="NM379" s="1259"/>
      <c r="NN379" s="1259"/>
      <c r="NO379" s="1259"/>
      <c r="NP379" s="1259"/>
      <c r="NQ379" s="1259"/>
      <c r="NR379" s="1259"/>
      <c r="NS379" s="1259"/>
      <c r="NT379" s="1259"/>
      <c r="NU379" s="1259"/>
      <c r="NV379" s="1259"/>
      <c r="NW379" s="1259"/>
      <c r="NX379" s="1259"/>
      <c r="NY379" s="1259"/>
      <c r="NZ379" s="1259"/>
      <c r="OA379" s="1259"/>
      <c r="OB379" s="1259"/>
      <c r="OC379" s="1259"/>
      <c r="OD379" s="1259"/>
      <c r="OE379" s="1259"/>
      <c r="OF379" s="1259"/>
      <c r="OG379" s="1259"/>
      <c r="OH379" s="1259"/>
      <c r="OI379" s="1259"/>
      <c r="OJ379" s="1259"/>
      <c r="OK379" s="1259"/>
      <c r="OL379" s="1259"/>
      <c r="OM379" s="1259"/>
      <c r="ON379" s="1259"/>
      <c r="OO379" s="1259"/>
      <c r="OP379" s="1259"/>
      <c r="OQ379" s="1259"/>
      <c r="OR379" s="1259"/>
      <c r="OS379" s="1259"/>
      <c r="OT379" s="1259"/>
      <c r="OU379" s="1259"/>
      <c r="OV379" s="1259"/>
      <c r="OW379" s="1259"/>
      <c r="OX379" s="1259"/>
      <c r="OY379" s="1259"/>
      <c r="OZ379" s="1259"/>
      <c r="PA379" s="1259"/>
      <c r="PB379" s="1259"/>
      <c r="PC379" s="1259"/>
      <c r="PD379" s="1259"/>
      <c r="PE379" s="1259"/>
      <c r="PF379" s="1259"/>
      <c r="PG379" s="1259"/>
      <c r="PH379" s="1259"/>
      <c r="PI379" s="1259"/>
      <c r="PJ379" s="1259"/>
      <c r="PK379" s="1259"/>
      <c r="PL379" s="1259"/>
      <c r="PM379" s="1259"/>
      <c r="PN379" s="1259"/>
      <c r="PO379" s="1259"/>
      <c r="PP379" s="1259"/>
      <c r="PQ379" s="1259"/>
      <c r="PR379" s="1259"/>
      <c r="PS379" s="1259"/>
      <c r="PT379" s="1259"/>
      <c r="PU379" s="1259"/>
      <c r="PV379" s="1259"/>
      <c r="PW379" s="1259"/>
      <c r="PX379" s="1259"/>
      <c r="PY379" s="1259"/>
      <c r="PZ379" s="1259"/>
      <c r="QA379" s="1259"/>
      <c r="QB379" s="1259"/>
      <c r="QC379" s="1259"/>
      <c r="QD379" s="1259"/>
      <c r="QE379" s="1259"/>
      <c r="QF379" s="1259"/>
      <c r="QG379" s="1259"/>
      <c r="QH379" s="1259"/>
      <c r="QI379" s="1259"/>
      <c r="QJ379" s="1259"/>
      <c r="QK379" s="1259"/>
      <c r="QL379" s="1259"/>
      <c r="QM379" s="1259"/>
      <c r="QN379" s="1259"/>
      <c r="QO379" s="1259"/>
      <c r="QP379" s="1259"/>
      <c r="QQ379" s="1259"/>
      <c r="QR379" s="1259"/>
      <c r="QS379" s="1259"/>
      <c r="QT379" s="1259"/>
      <c r="QU379" s="1259"/>
      <c r="QV379" s="1259"/>
      <c r="QW379" s="1259"/>
      <c r="QX379" s="1259"/>
      <c r="QY379" s="1259"/>
      <c r="QZ379" s="1259"/>
      <c r="RA379" s="1259"/>
      <c r="RB379" s="1259"/>
      <c r="RC379" s="1259"/>
      <c r="RD379" s="1259"/>
      <c r="RE379" s="1259"/>
      <c r="RF379" s="1259"/>
      <c r="RG379" s="1259"/>
      <c r="RH379" s="1259"/>
      <c r="RI379" s="1259"/>
      <c r="RJ379" s="1259"/>
      <c r="RK379" s="1259"/>
      <c r="RL379" s="1259"/>
      <c r="RM379" s="1259"/>
      <c r="RN379" s="1259"/>
      <c r="RO379" s="1259"/>
      <c r="RP379" s="1259"/>
      <c r="RQ379" s="1259"/>
      <c r="RR379" s="1259"/>
      <c r="RS379" s="1259"/>
      <c r="RT379" s="1259"/>
      <c r="RU379" s="1259"/>
      <c r="RV379" s="1259"/>
      <c r="RW379" s="1259"/>
      <c r="RX379" s="1259"/>
      <c r="RY379" s="1259"/>
      <c r="RZ379" s="1259"/>
      <c r="SA379" s="1259"/>
      <c r="SB379" s="1259"/>
      <c r="SC379" s="1259"/>
      <c r="SD379" s="1259"/>
      <c r="SE379" s="1259"/>
      <c r="SF379" s="1259"/>
      <c r="SG379" s="1259"/>
      <c r="SH379" s="1259"/>
      <c r="SI379" s="1259"/>
      <c r="SJ379" s="1259"/>
      <c r="SK379" s="1259"/>
      <c r="SL379" s="1259"/>
      <c r="SM379" s="1259"/>
      <c r="SN379" s="1259"/>
      <c r="SO379" s="1259"/>
      <c r="SP379" s="1259"/>
      <c r="SQ379" s="1259"/>
      <c r="SR379" s="1259"/>
      <c r="SS379" s="1259"/>
      <c r="ST379" s="1259"/>
      <c r="SU379" s="1259"/>
      <c r="SV379" s="1259"/>
      <c r="SW379" s="1259"/>
      <c r="SX379" s="1259"/>
      <c r="SY379" s="1259"/>
      <c r="SZ379" s="1259"/>
      <c r="TA379" s="1259"/>
      <c r="TB379" s="1259"/>
      <c r="TC379" s="1259"/>
      <c r="TD379" s="1259"/>
      <c r="TE379" s="1259"/>
      <c r="TF379" s="1259"/>
      <c r="TG379" s="1259"/>
      <c r="TH379" s="1259"/>
      <c r="TI379" s="1259"/>
      <c r="TJ379" s="1259"/>
      <c r="TK379" s="1259"/>
      <c r="TL379" s="1259"/>
      <c r="TM379" s="1259"/>
      <c r="TN379" s="1259"/>
      <c r="TO379" s="1259"/>
      <c r="TP379" s="1259"/>
      <c r="TQ379" s="1259"/>
      <c r="TR379" s="1259"/>
      <c r="TS379" s="1259"/>
      <c r="TT379" s="1259"/>
      <c r="TU379" s="1259"/>
      <c r="TV379" s="1259"/>
      <c r="TW379" s="1259"/>
      <c r="TX379" s="1259"/>
      <c r="TY379" s="1259"/>
      <c r="TZ379" s="1259"/>
      <c r="UA379" s="1259"/>
      <c r="UB379" s="1259"/>
      <c r="UC379" s="1259"/>
      <c r="UD379" s="1259"/>
      <c r="UE379" s="1259"/>
      <c r="UF379" s="1259"/>
      <c r="UG379" s="1261"/>
    </row>
    <row r="380" spans="1:553" s="1262" customFormat="1" ht="29.25" customHeight="1">
      <c r="A380" s="366"/>
      <c r="B380" s="356"/>
      <c r="C380" s="1379" t="s">
        <v>462</v>
      </c>
      <c r="D380" s="1380" t="s">
        <v>827</v>
      </c>
      <c r="E380" s="1380" t="s">
        <v>827</v>
      </c>
      <c r="F380" s="1381" t="s">
        <v>827</v>
      </c>
      <c r="G380" s="366" t="s">
        <v>46</v>
      </c>
      <c r="H380" s="417"/>
      <c r="I380" s="370">
        <f>(20.51*100/400)*(12-(4-3))*1</f>
        <v>56.402500000000003</v>
      </c>
      <c r="J380" s="368">
        <v>3100</v>
      </c>
      <c r="K380" s="565">
        <v>0.7</v>
      </c>
      <c r="L380" s="480">
        <f>I380*J380*K380</f>
        <v>122393.42499999999</v>
      </c>
      <c r="M380" s="366"/>
      <c r="N380" s="366"/>
      <c r="O380" s="366"/>
      <c r="P380" s="366"/>
      <c r="Q380" s="1135"/>
      <c r="R380" s="1228"/>
      <c r="S380" s="308"/>
      <c r="T380" s="303"/>
      <c r="U380" s="306"/>
      <c r="V380" s="307"/>
      <c r="W380" s="306"/>
      <c r="X380" s="306"/>
      <c r="Y380" s="306"/>
      <c r="Z380" s="306"/>
      <c r="AA380" s="306"/>
      <c r="AB380" s="306"/>
      <c r="AC380" s="456"/>
      <c r="AD380" s="452"/>
      <c r="AE380" s="452"/>
      <c r="AF380" s="452"/>
      <c r="AG380" s="452"/>
      <c r="AH380" s="452"/>
      <c r="AI380" s="452"/>
      <c r="AJ380" s="452"/>
      <c r="AK380" s="452"/>
      <c r="AL380" s="1259"/>
      <c r="AM380" s="1259"/>
      <c r="AN380" s="1259"/>
      <c r="AO380" s="1259"/>
      <c r="AP380" s="1259"/>
      <c r="AQ380" s="1259"/>
      <c r="AR380" s="1259"/>
      <c r="AS380" s="1259"/>
      <c r="AT380" s="1259"/>
      <c r="AU380" s="1259"/>
      <c r="AV380" s="1259"/>
      <c r="AW380" s="1259"/>
      <c r="AX380" s="1259"/>
      <c r="AY380" s="1259"/>
      <c r="AZ380" s="1259"/>
      <c r="BA380" s="1259"/>
      <c r="BB380" s="1259"/>
      <c r="BC380" s="1259"/>
      <c r="BD380" s="1259"/>
      <c r="BE380" s="1259"/>
      <c r="BF380" s="1259"/>
      <c r="BG380" s="1259"/>
      <c r="BH380" s="1259"/>
      <c r="BI380" s="1259"/>
      <c r="BJ380" s="1259"/>
      <c r="BK380" s="1259"/>
      <c r="BL380" s="1259"/>
      <c r="BM380" s="1259"/>
      <c r="BN380" s="1259"/>
      <c r="BO380" s="1259"/>
      <c r="BP380" s="1259"/>
      <c r="BQ380" s="1259"/>
      <c r="BR380" s="1259"/>
      <c r="BS380" s="1259"/>
      <c r="BT380" s="1259"/>
      <c r="BU380" s="1259"/>
      <c r="BV380" s="1259"/>
      <c r="BW380" s="1259"/>
      <c r="BX380" s="1259"/>
      <c r="BY380" s="1259"/>
      <c r="BZ380" s="1259"/>
      <c r="CA380" s="1259"/>
      <c r="CB380" s="1259"/>
      <c r="CC380" s="1259"/>
      <c r="CD380" s="1259"/>
      <c r="CE380" s="1259"/>
      <c r="CF380" s="1259"/>
      <c r="CG380" s="1259"/>
      <c r="CH380" s="1259"/>
      <c r="CI380" s="1259"/>
      <c r="CJ380" s="1259"/>
      <c r="CK380" s="1259"/>
      <c r="CL380" s="1259"/>
      <c r="CM380" s="1259"/>
      <c r="CN380" s="1259"/>
      <c r="CO380" s="1259"/>
      <c r="CP380" s="1259"/>
      <c r="CQ380" s="1259"/>
      <c r="CR380" s="1259"/>
      <c r="CS380" s="1259"/>
      <c r="CT380" s="1259"/>
      <c r="CU380" s="1259"/>
      <c r="CV380" s="1259"/>
      <c r="CW380" s="1259"/>
      <c r="CX380" s="1259"/>
      <c r="CY380" s="1259"/>
      <c r="CZ380" s="1259"/>
      <c r="DA380" s="1259"/>
      <c r="DB380" s="1259"/>
      <c r="DC380" s="1259"/>
      <c r="DD380" s="1259"/>
      <c r="DE380" s="1259"/>
      <c r="DF380" s="1259"/>
      <c r="DG380" s="1259"/>
      <c r="DH380" s="1259"/>
      <c r="DI380" s="1259"/>
      <c r="DJ380" s="1259"/>
      <c r="DK380" s="1259"/>
      <c r="DL380" s="1259"/>
      <c r="DM380" s="1259"/>
      <c r="DN380" s="1259"/>
      <c r="DO380" s="1259"/>
      <c r="DP380" s="1259"/>
      <c r="DQ380" s="1259"/>
      <c r="DR380" s="1259"/>
      <c r="DS380" s="1259"/>
      <c r="DT380" s="1259"/>
      <c r="DU380" s="1259"/>
      <c r="DV380" s="1259"/>
      <c r="DW380" s="1259"/>
      <c r="DX380" s="1259"/>
      <c r="DY380" s="1259"/>
      <c r="DZ380" s="1259"/>
      <c r="EA380" s="1259"/>
      <c r="EB380" s="1259"/>
      <c r="EC380" s="1259"/>
      <c r="ED380" s="1259"/>
      <c r="EE380" s="1259"/>
      <c r="EF380" s="1259"/>
      <c r="EG380" s="1259"/>
      <c r="EH380" s="1259"/>
      <c r="EI380" s="1259"/>
      <c r="EJ380" s="1259"/>
      <c r="EK380" s="1259"/>
      <c r="EL380" s="1259"/>
      <c r="EM380" s="1259"/>
      <c r="EN380" s="1259"/>
      <c r="EO380" s="1259"/>
      <c r="EP380" s="1259"/>
      <c r="EQ380" s="1259"/>
      <c r="ER380" s="1259"/>
      <c r="ES380" s="1259"/>
      <c r="ET380" s="1259"/>
      <c r="EU380" s="1259"/>
      <c r="EV380" s="1259"/>
      <c r="EW380" s="1259"/>
      <c r="EX380" s="1259"/>
      <c r="EY380" s="1259"/>
      <c r="EZ380" s="1259"/>
      <c r="FA380" s="1259"/>
      <c r="FB380" s="1259"/>
      <c r="FC380" s="1259"/>
      <c r="FD380" s="1259"/>
      <c r="FE380" s="1259"/>
      <c r="FF380" s="1259"/>
      <c r="FG380" s="1259"/>
      <c r="FH380" s="1259"/>
      <c r="FI380" s="1259"/>
      <c r="FJ380" s="1259"/>
      <c r="FK380" s="1259"/>
      <c r="FL380" s="1259"/>
      <c r="FM380" s="1259"/>
      <c r="FN380" s="1259"/>
      <c r="FO380" s="1259"/>
      <c r="FP380" s="1259"/>
      <c r="FQ380" s="1259"/>
      <c r="FR380" s="1259"/>
      <c r="FS380" s="1259"/>
      <c r="FT380" s="1259"/>
      <c r="FU380" s="1259"/>
      <c r="FV380" s="1259"/>
      <c r="FW380" s="1259"/>
      <c r="FX380" s="1259"/>
      <c r="FY380" s="1259"/>
      <c r="FZ380" s="1259"/>
      <c r="GA380" s="1259"/>
      <c r="GB380" s="1259"/>
      <c r="GC380" s="1259"/>
      <c r="GD380" s="1259"/>
      <c r="GE380" s="1259"/>
      <c r="GF380" s="1259"/>
      <c r="GG380" s="1259"/>
      <c r="GH380" s="1259"/>
      <c r="GI380" s="1259"/>
      <c r="GJ380" s="1259"/>
      <c r="GK380" s="1259"/>
      <c r="GL380" s="1259"/>
      <c r="GM380" s="1259"/>
      <c r="GN380" s="1259"/>
      <c r="GO380" s="1259"/>
      <c r="GP380" s="1259"/>
      <c r="GQ380" s="1259"/>
      <c r="GR380" s="1259"/>
      <c r="GS380" s="1259"/>
      <c r="GT380" s="1259"/>
      <c r="GU380" s="1259"/>
      <c r="GV380" s="1259"/>
      <c r="GW380" s="1259"/>
      <c r="GX380" s="1259"/>
      <c r="GY380" s="1259"/>
      <c r="GZ380" s="1259"/>
      <c r="HA380" s="1259"/>
      <c r="HB380" s="1259"/>
      <c r="HC380" s="1259"/>
      <c r="HD380" s="1259"/>
      <c r="HE380" s="1259"/>
      <c r="HF380" s="1259"/>
      <c r="HG380" s="1259"/>
      <c r="HH380" s="1259"/>
      <c r="HI380" s="1259"/>
      <c r="HJ380" s="1259"/>
      <c r="HK380" s="1259"/>
      <c r="HL380" s="1259"/>
      <c r="HM380" s="1259"/>
      <c r="HN380" s="1259"/>
      <c r="HO380" s="1259"/>
      <c r="HP380" s="1259"/>
      <c r="HQ380" s="1259"/>
      <c r="HR380" s="1259"/>
      <c r="HS380" s="1259"/>
      <c r="HT380" s="1259"/>
      <c r="HU380" s="1259"/>
      <c r="HV380" s="1259"/>
      <c r="HW380" s="1259"/>
      <c r="HX380" s="1259"/>
      <c r="HY380" s="1259"/>
      <c r="HZ380" s="1259"/>
      <c r="IA380" s="1259"/>
      <c r="IB380" s="1259"/>
      <c r="IC380" s="1259"/>
      <c r="ID380" s="1259"/>
      <c r="IE380" s="1259"/>
      <c r="IF380" s="1259"/>
      <c r="IG380" s="1259"/>
      <c r="IH380" s="1259"/>
      <c r="II380" s="1259"/>
      <c r="IJ380" s="1259"/>
      <c r="IK380" s="1259"/>
      <c r="IL380" s="1259"/>
      <c r="IM380" s="1259"/>
      <c r="IN380" s="1259"/>
      <c r="IO380" s="1259"/>
      <c r="IP380" s="1259"/>
      <c r="IQ380" s="1259"/>
      <c r="IR380" s="1259"/>
      <c r="IS380" s="1259"/>
      <c r="IT380" s="1259"/>
      <c r="IU380" s="1259"/>
      <c r="IV380" s="1259"/>
      <c r="IW380" s="1259"/>
      <c r="IX380" s="1259"/>
      <c r="IY380" s="1259"/>
      <c r="IZ380" s="1259"/>
      <c r="JA380" s="1259"/>
      <c r="JB380" s="1259"/>
      <c r="JC380" s="1259"/>
      <c r="JD380" s="1259"/>
      <c r="JE380" s="1259"/>
      <c r="JF380" s="1259"/>
      <c r="JG380" s="1259"/>
      <c r="JH380" s="1259"/>
      <c r="JI380" s="1259"/>
      <c r="JJ380" s="1259"/>
      <c r="JK380" s="1259"/>
      <c r="JL380" s="1259"/>
      <c r="JM380" s="1259"/>
      <c r="JN380" s="1259"/>
      <c r="JO380" s="1259"/>
      <c r="JP380" s="1259"/>
      <c r="JQ380" s="1259"/>
      <c r="JR380" s="1259"/>
      <c r="JS380" s="1259"/>
      <c r="JT380" s="1259"/>
      <c r="JU380" s="1259"/>
      <c r="JV380" s="1259"/>
      <c r="JW380" s="1259"/>
      <c r="JX380" s="1259"/>
      <c r="JY380" s="1259"/>
      <c r="JZ380" s="1259"/>
      <c r="KA380" s="1259"/>
      <c r="KB380" s="1259"/>
      <c r="KC380" s="1259"/>
      <c r="KD380" s="1259"/>
      <c r="KE380" s="1259"/>
      <c r="KF380" s="1259"/>
      <c r="KG380" s="1259"/>
      <c r="KH380" s="1259"/>
      <c r="KI380" s="1259"/>
      <c r="KJ380" s="1259"/>
      <c r="KK380" s="1259"/>
      <c r="KL380" s="1259"/>
      <c r="KM380" s="1259"/>
      <c r="KN380" s="1259"/>
      <c r="KO380" s="1259"/>
      <c r="KP380" s="1259"/>
      <c r="KQ380" s="1259"/>
      <c r="KR380" s="1259"/>
      <c r="KS380" s="1259"/>
      <c r="KT380" s="1259"/>
      <c r="KU380" s="1259"/>
      <c r="KV380" s="1259"/>
      <c r="KW380" s="1259"/>
      <c r="KX380" s="1259"/>
      <c r="KY380" s="1259"/>
      <c r="KZ380" s="1259"/>
      <c r="LA380" s="1259"/>
      <c r="LB380" s="1259"/>
      <c r="LC380" s="1259"/>
      <c r="LD380" s="1259"/>
      <c r="LE380" s="1259"/>
      <c r="LF380" s="1259"/>
      <c r="LG380" s="1259"/>
      <c r="LH380" s="1259"/>
      <c r="LI380" s="1259"/>
      <c r="LJ380" s="1259"/>
      <c r="LK380" s="1259"/>
      <c r="LL380" s="1259"/>
      <c r="LM380" s="1259"/>
      <c r="LN380" s="1259"/>
      <c r="LO380" s="1259"/>
      <c r="LP380" s="1259"/>
      <c r="LQ380" s="1259"/>
      <c r="LR380" s="1259"/>
      <c r="LS380" s="1259"/>
      <c r="LT380" s="1259"/>
      <c r="LU380" s="1259"/>
      <c r="LV380" s="1259"/>
      <c r="LW380" s="1259"/>
      <c r="LX380" s="1259"/>
      <c r="LY380" s="1259"/>
      <c r="LZ380" s="1259"/>
      <c r="MA380" s="1259"/>
      <c r="MB380" s="1259"/>
      <c r="MC380" s="1259"/>
      <c r="MD380" s="1259"/>
      <c r="ME380" s="1259"/>
      <c r="MF380" s="1259"/>
      <c r="MG380" s="1259"/>
      <c r="MH380" s="1259"/>
      <c r="MI380" s="1259"/>
      <c r="MJ380" s="1259"/>
      <c r="MK380" s="1259"/>
      <c r="ML380" s="1259"/>
      <c r="MM380" s="1259"/>
      <c r="MN380" s="1259"/>
      <c r="MO380" s="1259"/>
      <c r="MP380" s="1259"/>
      <c r="MQ380" s="1259"/>
      <c r="MR380" s="1259"/>
      <c r="MS380" s="1259"/>
      <c r="MT380" s="1259"/>
      <c r="MU380" s="1259"/>
      <c r="MV380" s="1259"/>
      <c r="MW380" s="1259"/>
      <c r="MX380" s="1259"/>
      <c r="MY380" s="1259"/>
      <c r="MZ380" s="1259"/>
      <c r="NA380" s="1259"/>
      <c r="NB380" s="1259"/>
      <c r="NC380" s="1259"/>
      <c r="ND380" s="1259"/>
      <c r="NE380" s="1259"/>
      <c r="NF380" s="1259"/>
      <c r="NG380" s="1259"/>
      <c r="NH380" s="1259"/>
      <c r="NI380" s="1259"/>
      <c r="NJ380" s="1259"/>
      <c r="NK380" s="1259"/>
      <c r="NL380" s="1259"/>
      <c r="NM380" s="1259"/>
      <c r="NN380" s="1259"/>
      <c r="NO380" s="1259"/>
      <c r="NP380" s="1259"/>
      <c r="NQ380" s="1259"/>
      <c r="NR380" s="1259"/>
      <c r="NS380" s="1259"/>
      <c r="NT380" s="1259"/>
      <c r="NU380" s="1259"/>
      <c r="NV380" s="1259"/>
      <c r="NW380" s="1259"/>
      <c r="NX380" s="1259"/>
      <c r="NY380" s="1259"/>
      <c r="NZ380" s="1259"/>
      <c r="OA380" s="1259"/>
      <c r="OB380" s="1259"/>
      <c r="OC380" s="1259"/>
      <c r="OD380" s="1259"/>
      <c r="OE380" s="1259"/>
      <c r="OF380" s="1259"/>
      <c r="OG380" s="1259"/>
      <c r="OH380" s="1259"/>
      <c r="OI380" s="1259"/>
      <c r="OJ380" s="1259"/>
      <c r="OK380" s="1259"/>
      <c r="OL380" s="1259"/>
      <c r="OM380" s="1259"/>
      <c r="ON380" s="1259"/>
      <c r="OO380" s="1259"/>
      <c r="OP380" s="1259"/>
      <c r="OQ380" s="1259"/>
      <c r="OR380" s="1259"/>
      <c r="OS380" s="1259"/>
      <c r="OT380" s="1259"/>
      <c r="OU380" s="1259"/>
      <c r="OV380" s="1259"/>
      <c r="OW380" s="1259"/>
      <c r="OX380" s="1259"/>
      <c r="OY380" s="1259"/>
      <c r="OZ380" s="1259"/>
      <c r="PA380" s="1259"/>
      <c r="PB380" s="1259"/>
      <c r="PC380" s="1259"/>
      <c r="PD380" s="1259"/>
      <c r="PE380" s="1259"/>
      <c r="PF380" s="1259"/>
      <c r="PG380" s="1259"/>
      <c r="PH380" s="1259"/>
      <c r="PI380" s="1259"/>
      <c r="PJ380" s="1259"/>
      <c r="PK380" s="1259"/>
      <c r="PL380" s="1259"/>
      <c r="PM380" s="1259"/>
      <c r="PN380" s="1259"/>
      <c r="PO380" s="1259"/>
      <c r="PP380" s="1259"/>
      <c r="PQ380" s="1259"/>
      <c r="PR380" s="1259"/>
      <c r="PS380" s="1259"/>
      <c r="PT380" s="1259"/>
      <c r="PU380" s="1259"/>
      <c r="PV380" s="1259"/>
      <c r="PW380" s="1259"/>
      <c r="PX380" s="1259"/>
      <c r="PY380" s="1259"/>
      <c r="PZ380" s="1259"/>
      <c r="QA380" s="1259"/>
      <c r="QB380" s="1259"/>
      <c r="QC380" s="1259"/>
      <c r="QD380" s="1259"/>
      <c r="QE380" s="1259"/>
      <c r="QF380" s="1259"/>
      <c r="QG380" s="1259"/>
      <c r="QH380" s="1259"/>
      <c r="QI380" s="1259"/>
      <c r="QJ380" s="1259"/>
      <c r="QK380" s="1259"/>
      <c r="QL380" s="1259"/>
      <c r="QM380" s="1259"/>
      <c r="QN380" s="1259"/>
      <c r="QO380" s="1259"/>
      <c r="QP380" s="1259"/>
      <c r="QQ380" s="1259"/>
      <c r="QR380" s="1259"/>
      <c r="QS380" s="1259"/>
      <c r="QT380" s="1259"/>
      <c r="QU380" s="1259"/>
      <c r="QV380" s="1259"/>
      <c r="QW380" s="1259"/>
      <c r="QX380" s="1259"/>
      <c r="QY380" s="1259"/>
      <c r="QZ380" s="1259"/>
      <c r="RA380" s="1259"/>
      <c r="RB380" s="1259"/>
      <c r="RC380" s="1259"/>
      <c r="RD380" s="1259"/>
      <c r="RE380" s="1259"/>
      <c r="RF380" s="1259"/>
      <c r="RG380" s="1259"/>
      <c r="RH380" s="1259"/>
      <c r="RI380" s="1259"/>
      <c r="RJ380" s="1259"/>
      <c r="RK380" s="1259"/>
      <c r="RL380" s="1259"/>
      <c r="RM380" s="1259"/>
      <c r="RN380" s="1259"/>
      <c r="RO380" s="1259"/>
      <c r="RP380" s="1259"/>
      <c r="RQ380" s="1259"/>
      <c r="RR380" s="1259"/>
      <c r="RS380" s="1259"/>
      <c r="RT380" s="1259"/>
      <c r="RU380" s="1259"/>
      <c r="RV380" s="1259"/>
      <c r="RW380" s="1259"/>
      <c r="RX380" s="1259"/>
      <c r="RY380" s="1259"/>
      <c r="RZ380" s="1259"/>
      <c r="SA380" s="1259"/>
      <c r="SB380" s="1259"/>
      <c r="SC380" s="1259"/>
      <c r="SD380" s="1259"/>
      <c r="SE380" s="1259"/>
      <c r="SF380" s="1259"/>
      <c r="SG380" s="1259"/>
      <c r="SH380" s="1259"/>
      <c r="SI380" s="1259"/>
      <c r="SJ380" s="1259"/>
      <c r="SK380" s="1259"/>
      <c r="SL380" s="1259"/>
      <c r="SM380" s="1259"/>
      <c r="SN380" s="1259"/>
      <c r="SO380" s="1259"/>
      <c r="SP380" s="1259"/>
      <c r="SQ380" s="1259"/>
      <c r="SR380" s="1259"/>
      <c r="SS380" s="1259"/>
      <c r="ST380" s="1259"/>
      <c r="SU380" s="1259"/>
      <c r="SV380" s="1259"/>
      <c r="SW380" s="1259"/>
      <c r="SX380" s="1259"/>
      <c r="SY380" s="1259"/>
      <c r="SZ380" s="1259"/>
      <c r="TA380" s="1259"/>
      <c r="TB380" s="1259"/>
      <c r="TC380" s="1259"/>
      <c r="TD380" s="1259"/>
      <c r="TE380" s="1259"/>
      <c r="TF380" s="1259"/>
      <c r="TG380" s="1259"/>
      <c r="TH380" s="1259"/>
      <c r="TI380" s="1259"/>
      <c r="TJ380" s="1259"/>
      <c r="TK380" s="1259"/>
      <c r="TL380" s="1259"/>
      <c r="TM380" s="1259"/>
      <c r="TN380" s="1259"/>
      <c r="TO380" s="1259"/>
      <c r="TP380" s="1259"/>
      <c r="TQ380" s="1259"/>
      <c r="TR380" s="1259"/>
      <c r="TS380" s="1259"/>
      <c r="TT380" s="1259"/>
      <c r="TU380" s="1259"/>
      <c r="TV380" s="1259"/>
      <c r="TW380" s="1259"/>
      <c r="TX380" s="1259"/>
      <c r="TY380" s="1259"/>
      <c r="TZ380" s="1259"/>
      <c r="UA380" s="1259"/>
      <c r="UB380" s="1259"/>
      <c r="UC380" s="1259"/>
      <c r="UD380" s="1259"/>
      <c r="UE380" s="1259"/>
      <c r="UF380" s="1259"/>
      <c r="UG380" s="1261"/>
    </row>
    <row r="381" spans="1:553" s="1262" customFormat="1" ht="29.25" customHeight="1">
      <c r="A381" s="366"/>
      <c r="B381" s="356"/>
      <c r="C381" s="1379" t="s">
        <v>1105</v>
      </c>
      <c r="D381" s="1380" t="s">
        <v>1105</v>
      </c>
      <c r="E381" s="1380" t="s">
        <v>1105</v>
      </c>
      <c r="F381" s="1381" t="s">
        <v>1105</v>
      </c>
      <c r="G381" s="417" t="s">
        <v>196</v>
      </c>
      <c r="H381" s="417"/>
      <c r="I381" s="494">
        <f>187.14*100/10000*40</f>
        <v>74.855999999999995</v>
      </c>
      <c r="J381" s="368">
        <v>3500</v>
      </c>
      <c r="K381" s="388"/>
      <c r="L381" s="614">
        <f>ROUND(PRODUCT(I381:K381),0)</f>
        <v>261996</v>
      </c>
      <c r="M381" s="366"/>
      <c r="N381" s="366"/>
      <c r="O381" s="366"/>
      <c r="P381" s="366"/>
      <c r="Q381" s="1135"/>
      <c r="R381" s="1228"/>
      <c r="S381" s="308"/>
      <c r="T381" s="303"/>
      <c r="U381" s="306"/>
      <c r="V381" s="307"/>
      <c r="W381" s="306"/>
      <c r="X381" s="306"/>
      <c r="Y381" s="306"/>
      <c r="Z381" s="306"/>
      <c r="AA381" s="306"/>
      <c r="AB381" s="306"/>
      <c r="AC381" s="456"/>
      <c r="AD381" s="452"/>
      <c r="AE381" s="452"/>
      <c r="AF381" s="452"/>
      <c r="AG381" s="452"/>
      <c r="AH381" s="452"/>
      <c r="AI381" s="452"/>
      <c r="AJ381" s="452"/>
      <c r="AK381" s="452"/>
      <c r="AL381" s="1259"/>
      <c r="AM381" s="1259"/>
      <c r="AN381" s="1259"/>
      <c r="AO381" s="1259"/>
      <c r="AP381" s="1259"/>
      <c r="AQ381" s="1259"/>
      <c r="AR381" s="1259"/>
      <c r="AS381" s="1259"/>
      <c r="AT381" s="1259"/>
      <c r="AU381" s="1259"/>
      <c r="AV381" s="1259"/>
      <c r="AW381" s="1259"/>
      <c r="AX381" s="1259"/>
      <c r="AY381" s="1259"/>
      <c r="AZ381" s="1259"/>
      <c r="BA381" s="1259"/>
      <c r="BB381" s="1259"/>
      <c r="BC381" s="1259"/>
      <c r="BD381" s="1259"/>
      <c r="BE381" s="1259"/>
      <c r="BF381" s="1259"/>
      <c r="BG381" s="1259"/>
      <c r="BH381" s="1259"/>
      <c r="BI381" s="1259"/>
      <c r="BJ381" s="1259"/>
      <c r="BK381" s="1259"/>
      <c r="BL381" s="1259"/>
      <c r="BM381" s="1259"/>
      <c r="BN381" s="1259"/>
      <c r="BO381" s="1259"/>
      <c r="BP381" s="1259"/>
      <c r="BQ381" s="1259"/>
      <c r="BR381" s="1259"/>
      <c r="BS381" s="1259"/>
      <c r="BT381" s="1259"/>
      <c r="BU381" s="1259"/>
      <c r="BV381" s="1259"/>
      <c r="BW381" s="1259"/>
      <c r="BX381" s="1259"/>
      <c r="BY381" s="1259"/>
      <c r="BZ381" s="1259"/>
      <c r="CA381" s="1259"/>
      <c r="CB381" s="1259"/>
      <c r="CC381" s="1259"/>
      <c r="CD381" s="1259"/>
      <c r="CE381" s="1259"/>
      <c r="CF381" s="1259"/>
      <c r="CG381" s="1259"/>
      <c r="CH381" s="1259"/>
      <c r="CI381" s="1259"/>
      <c r="CJ381" s="1259"/>
      <c r="CK381" s="1259"/>
      <c r="CL381" s="1259"/>
      <c r="CM381" s="1259"/>
      <c r="CN381" s="1259"/>
      <c r="CO381" s="1259"/>
      <c r="CP381" s="1259"/>
      <c r="CQ381" s="1259"/>
      <c r="CR381" s="1259"/>
      <c r="CS381" s="1259"/>
      <c r="CT381" s="1259"/>
      <c r="CU381" s="1259"/>
      <c r="CV381" s="1259"/>
      <c r="CW381" s="1259"/>
      <c r="CX381" s="1259"/>
      <c r="CY381" s="1259"/>
      <c r="CZ381" s="1259"/>
      <c r="DA381" s="1259"/>
      <c r="DB381" s="1259"/>
      <c r="DC381" s="1259"/>
      <c r="DD381" s="1259"/>
      <c r="DE381" s="1259"/>
      <c r="DF381" s="1259"/>
      <c r="DG381" s="1259"/>
      <c r="DH381" s="1259"/>
      <c r="DI381" s="1259"/>
      <c r="DJ381" s="1259"/>
      <c r="DK381" s="1259"/>
      <c r="DL381" s="1259"/>
      <c r="DM381" s="1259"/>
      <c r="DN381" s="1259"/>
      <c r="DO381" s="1259"/>
      <c r="DP381" s="1259"/>
      <c r="DQ381" s="1259"/>
      <c r="DR381" s="1259"/>
      <c r="DS381" s="1259"/>
      <c r="DT381" s="1259"/>
      <c r="DU381" s="1259"/>
      <c r="DV381" s="1259"/>
      <c r="DW381" s="1259"/>
      <c r="DX381" s="1259"/>
      <c r="DY381" s="1259"/>
      <c r="DZ381" s="1259"/>
      <c r="EA381" s="1259"/>
      <c r="EB381" s="1259"/>
      <c r="EC381" s="1259"/>
      <c r="ED381" s="1259"/>
      <c r="EE381" s="1259"/>
      <c r="EF381" s="1259"/>
      <c r="EG381" s="1259"/>
      <c r="EH381" s="1259"/>
      <c r="EI381" s="1259"/>
      <c r="EJ381" s="1259"/>
      <c r="EK381" s="1259"/>
      <c r="EL381" s="1259"/>
      <c r="EM381" s="1259"/>
      <c r="EN381" s="1259"/>
      <c r="EO381" s="1259"/>
      <c r="EP381" s="1259"/>
      <c r="EQ381" s="1259"/>
      <c r="ER381" s="1259"/>
      <c r="ES381" s="1259"/>
      <c r="ET381" s="1259"/>
      <c r="EU381" s="1259"/>
      <c r="EV381" s="1259"/>
      <c r="EW381" s="1259"/>
      <c r="EX381" s="1259"/>
      <c r="EY381" s="1259"/>
      <c r="EZ381" s="1259"/>
      <c r="FA381" s="1259"/>
      <c r="FB381" s="1259"/>
      <c r="FC381" s="1259"/>
      <c r="FD381" s="1259"/>
      <c r="FE381" s="1259"/>
      <c r="FF381" s="1259"/>
      <c r="FG381" s="1259"/>
      <c r="FH381" s="1259"/>
      <c r="FI381" s="1259"/>
      <c r="FJ381" s="1259"/>
      <c r="FK381" s="1259"/>
      <c r="FL381" s="1259"/>
      <c r="FM381" s="1259"/>
      <c r="FN381" s="1259"/>
      <c r="FO381" s="1259"/>
      <c r="FP381" s="1259"/>
      <c r="FQ381" s="1259"/>
      <c r="FR381" s="1259"/>
      <c r="FS381" s="1259"/>
      <c r="FT381" s="1259"/>
      <c r="FU381" s="1259"/>
      <c r="FV381" s="1259"/>
      <c r="FW381" s="1259"/>
      <c r="FX381" s="1259"/>
      <c r="FY381" s="1259"/>
      <c r="FZ381" s="1259"/>
      <c r="GA381" s="1259"/>
      <c r="GB381" s="1259"/>
      <c r="GC381" s="1259"/>
      <c r="GD381" s="1259"/>
      <c r="GE381" s="1259"/>
      <c r="GF381" s="1259"/>
      <c r="GG381" s="1259"/>
      <c r="GH381" s="1259"/>
      <c r="GI381" s="1259"/>
      <c r="GJ381" s="1259"/>
      <c r="GK381" s="1259"/>
      <c r="GL381" s="1259"/>
      <c r="GM381" s="1259"/>
      <c r="GN381" s="1259"/>
      <c r="GO381" s="1259"/>
      <c r="GP381" s="1259"/>
      <c r="GQ381" s="1259"/>
      <c r="GR381" s="1259"/>
      <c r="GS381" s="1259"/>
      <c r="GT381" s="1259"/>
      <c r="GU381" s="1259"/>
      <c r="GV381" s="1259"/>
      <c r="GW381" s="1259"/>
      <c r="GX381" s="1259"/>
      <c r="GY381" s="1259"/>
      <c r="GZ381" s="1259"/>
      <c r="HA381" s="1259"/>
      <c r="HB381" s="1259"/>
      <c r="HC381" s="1259"/>
      <c r="HD381" s="1259"/>
      <c r="HE381" s="1259"/>
      <c r="HF381" s="1259"/>
      <c r="HG381" s="1259"/>
      <c r="HH381" s="1259"/>
      <c r="HI381" s="1259"/>
      <c r="HJ381" s="1259"/>
      <c r="HK381" s="1259"/>
      <c r="HL381" s="1259"/>
      <c r="HM381" s="1259"/>
      <c r="HN381" s="1259"/>
      <c r="HO381" s="1259"/>
      <c r="HP381" s="1259"/>
      <c r="HQ381" s="1259"/>
      <c r="HR381" s="1259"/>
      <c r="HS381" s="1259"/>
      <c r="HT381" s="1259"/>
      <c r="HU381" s="1259"/>
      <c r="HV381" s="1259"/>
      <c r="HW381" s="1259"/>
      <c r="HX381" s="1259"/>
      <c r="HY381" s="1259"/>
      <c r="HZ381" s="1259"/>
      <c r="IA381" s="1259"/>
      <c r="IB381" s="1259"/>
      <c r="IC381" s="1259"/>
      <c r="ID381" s="1259"/>
      <c r="IE381" s="1259"/>
      <c r="IF381" s="1259"/>
      <c r="IG381" s="1259"/>
      <c r="IH381" s="1259"/>
      <c r="II381" s="1259"/>
      <c r="IJ381" s="1259"/>
      <c r="IK381" s="1259"/>
      <c r="IL381" s="1259"/>
      <c r="IM381" s="1259"/>
      <c r="IN381" s="1259"/>
      <c r="IO381" s="1259"/>
      <c r="IP381" s="1259"/>
      <c r="IQ381" s="1259"/>
      <c r="IR381" s="1259"/>
      <c r="IS381" s="1259"/>
      <c r="IT381" s="1259"/>
      <c r="IU381" s="1259"/>
      <c r="IV381" s="1259"/>
      <c r="IW381" s="1259"/>
      <c r="IX381" s="1259"/>
      <c r="IY381" s="1259"/>
      <c r="IZ381" s="1259"/>
      <c r="JA381" s="1259"/>
      <c r="JB381" s="1259"/>
      <c r="JC381" s="1259"/>
      <c r="JD381" s="1259"/>
      <c r="JE381" s="1259"/>
      <c r="JF381" s="1259"/>
      <c r="JG381" s="1259"/>
      <c r="JH381" s="1259"/>
      <c r="JI381" s="1259"/>
      <c r="JJ381" s="1259"/>
      <c r="JK381" s="1259"/>
      <c r="JL381" s="1259"/>
      <c r="JM381" s="1259"/>
      <c r="JN381" s="1259"/>
      <c r="JO381" s="1259"/>
      <c r="JP381" s="1259"/>
      <c r="JQ381" s="1259"/>
      <c r="JR381" s="1259"/>
      <c r="JS381" s="1259"/>
      <c r="JT381" s="1259"/>
      <c r="JU381" s="1259"/>
      <c r="JV381" s="1259"/>
      <c r="JW381" s="1259"/>
      <c r="JX381" s="1259"/>
      <c r="JY381" s="1259"/>
      <c r="JZ381" s="1259"/>
      <c r="KA381" s="1259"/>
      <c r="KB381" s="1259"/>
      <c r="KC381" s="1259"/>
      <c r="KD381" s="1259"/>
      <c r="KE381" s="1259"/>
      <c r="KF381" s="1259"/>
      <c r="KG381" s="1259"/>
      <c r="KH381" s="1259"/>
      <c r="KI381" s="1259"/>
      <c r="KJ381" s="1259"/>
      <c r="KK381" s="1259"/>
      <c r="KL381" s="1259"/>
      <c r="KM381" s="1259"/>
      <c r="KN381" s="1259"/>
      <c r="KO381" s="1259"/>
      <c r="KP381" s="1259"/>
      <c r="KQ381" s="1259"/>
      <c r="KR381" s="1259"/>
      <c r="KS381" s="1259"/>
      <c r="KT381" s="1259"/>
      <c r="KU381" s="1259"/>
      <c r="KV381" s="1259"/>
      <c r="KW381" s="1259"/>
      <c r="KX381" s="1259"/>
      <c r="KY381" s="1259"/>
      <c r="KZ381" s="1259"/>
      <c r="LA381" s="1259"/>
      <c r="LB381" s="1259"/>
      <c r="LC381" s="1259"/>
      <c r="LD381" s="1259"/>
      <c r="LE381" s="1259"/>
      <c r="LF381" s="1259"/>
      <c r="LG381" s="1259"/>
      <c r="LH381" s="1259"/>
      <c r="LI381" s="1259"/>
      <c r="LJ381" s="1259"/>
      <c r="LK381" s="1259"/>
      <c r="LL381" s="1259"/>
      <c r="LM381" s="1259"/>
      <c r="LN381" s="1259"/>
      <c r="LO381" s="1259"/>
      <c r="LP381" s="1259"/>
      <c r="LQ381" s="1259"/>
      <c r="LR381" s="1259"/>
      <c r="LS381" s="1259"/>
      <c r="LT381" s="1259"/>
      <c r="LU381" s="1259"/>
      <c r="LV381" s="1259"/>
      <c r="LW381" s="1259"/>
      <c r="LX381" s="1259"/>
      <c r="LY381" s="1259"/>
      <c r="LZ381" s="1259"/>
      <c r="MA381" s="1259"/>
      <c r="MB381" s="1259"/>
      <c r="MC381" s="1259"/>
      <c r="MD381" s="1259"/>
      <c r="ME381" s="1259"/>
      <c r="MF381" s="1259"/>
      <c r="MG381" s="1259"/>
      <c r="MH381" s="1259"/>
      <c r="MI381" s="1259"/>
      <c r="MJ381" s="1259"/>
      <c r="MK381" s="1259"/>
      <c r="ML381" s="1259"/>
      <c r="MM381" s="1259"/>
      <c r="MN381" s="1259"/>
      <c r="MO381" s="1259"/>
      <c r="MP381" s="1259"/>
      <c r="MQ381" s="1259"/>
      <c r="MR381" s="1259"/>
      <c r="MS381" s="1259"/>
      <c r="MT381" s="1259"/>
      <c r="MU381" s="1259"/>
      <c r="MV381" s="1259"/>
      <c r="MW381" s="1259"/>
      <c r="MX381" s="1259"/>
      <c r="MY381" s="1259"/>
      <c r="MZ381" s="1259"/>
      <c r="NA381" s="1259"/>
      <c r="NB381" s="1259"/>
      <c r="NC381" s="1259"/>
      <c r="ND381" s="1259"/>
      <c r="NE381" s="1259"/>
      <c r="NF381" s="1259"/>
      <c r="NG381" s="1259"/>
      <c r="NH381" s="1259"/>
      <c r="NI381" s="1259"/>
      <c r="NJ381" s="1259"/>
      <c r="NK381" s="1259"/>
      <c r="NL381" s="1259"/>
      <c r="NM381" s="1259"/>
      <c r="NN381" s="1259"/>
      <c r="NO381" s="1259"/>
      <c r="NP381" s="1259"/>
      <c r="NQ381" s="1259"/>
      <c r="NR381" s="1259"/>
      <c r="NS381" s="1259"/>
      <c r="NT381" s="1259"/>
      <c r="NU381" s="1259"/>
      <c r="NV381" s="1259"/>
      <c r="NW381" s="1259"/>
      <c r="NX381" s="1259"/>
      <c r="NY381" s="1259"/>
      <c r="NZ381" s="1259"/>
      <c r="OA381" s="1259"/>
      <c r="OB381" s="1259"/>
      <c r="OC381" s="1259"/>
      <c r="OD381" s="1259"/>
      <c r="OE381" s="1259"/>
      <c r="OF381" s="1259"/>
      <c r="OG381" s="1259"/>
      <c r="OH381" s="1259"/>
      <c r="OI381" s="1259"/>
      <c r="OJ381" s="1259"/>
      <c r="OK381" s="1259"/>
      <c r="OL381" s="1259"/>
      <c r="OM381" s="1259"/>
      <c r="ON381" s="1259"/>
      <c r="OO381" s="1259"/>
      <c r="OP381" s="1259"/>
      <c r="OQ381" s="1259"/>
      <c r="OR381" s="1259"/>
      <c r="OS381" s="1259"/>
      <c r="OT381" s="1259"/>
      <c r="OU381" s="1259"/>
      <c r="OV381" s="1259"/>
      <c r="OW381" s="1259"/>
      <c r="OX381" s="1259"/>
      <c r="OY381" s="1259"/>
      <c r="OZ381" s="1259"/>
      <c r="PA381" s="1259"/>
      <c r="PB381" s="1259"/>
      <c r="PC381" s="1259"/>
      <c r="PD381" s="1259"/>
      <c r="PE381" s="1259"/>
      <c r="PF381" s="1259"/>
      <c r="PG381" s="1259"/>
      <c r="PH381" s="1259"/>
      <c r="PI381" s="1259"/>
      <c r="PJ381" s="1259"/>
      <c r="PK381" s="1259"/>
      <c r="PL381" s="1259"/>
      <c r="PM381" s="1259"/>
      <c r="PN381" s="1259"/>
      <c r="PO381" s="1259"/>
      <c r="PP381" s="1259"/>
      <c r="PQ381" s="1259"/>
      <c r="PR381" s="1259"/>
      <c r="PS381" s="1259"/>
      <c r="PT381" s="1259"/>
      <c r="PU381" s="1259"/>
      <c r="PV381" s="1259"/>
      <c r="PW381" s="1259"/>
      <c r="PX381" s="1259"/>
      <c r="PY381" s="1259"/>
      <c r="PZ381" s="1259"/>
      <c r="QA381" s="1259"/>
      <c r="QB381" s="1259"/>
      <c r="QC381" s="1259"/>
      <c r="QD381" s="1259"/>
      <c r="QE381" s="1259"/>
      <c r="QF381" s="1259"/>
      <c r="QG381" s="1259"/>
      <c r="QH381" s="1259"/>
      <c r="QI381" s="1259"/>
      <c r="QJ381" s="1259"/>
      <c r="QK381" s="1259"/>
      <c r="QL381" s="1259"/>
      <c r="QM381" s="1259"/>
      <c r="QN381" s="1259"/>
      <c r="QO381" s="1259"/>
      <c r="QP381" s="1259"/>
      <c r="QQ381" s="1259"/>
      <c r="QR381" s="1259"/>
      <c r="QS381" s="1259"/>
      <c r="QT381" s="1259"/>
      <c r="QU381" s="1259"/>
      <c r="QV381" s="1259"/>
      <c r="QW381" s="1259"/>
      <c r="QX381" s="1259"/>
      <c r="QY381" s="1259"/>
      <c r="QZ381" s="1259"/>
      <c r="RA381" s="1259"/>
      <c r="RB381" s="1259"/>
      <c r="RC381" s="1259"/>
      <c r="RD381" s="1259"/>
      <c r="RE381" s="1259"/>
      <c r="RF381" s="1259"/>
      <c r="RG381" s="1259"/>
      <c r="RH381" s="1259"/>
      <c r="RI381" s="1259"/>
      <c r="RJ381" s="1259"/>
      <c r="RK381" s="1259"/>
      <c r="RL381" s="1259"/>
      <c r="RM381" s="1259"/>
      <c r="RN381" s="1259"/>
      <c r="RO381" s="1259"/>
      <c r="RP381" s="1259"/>
      <c r="RQ381" s="1259"/>
      <c r="RR381" s="1259"/>
      <c r="RS381" s="1259"/>
      <c r="RT381" s="1259"/>
      <c r="RU381" s="1259"/>
      <c r="RV381" s="1259"/>
      <c r="RW381" s="1259"/>
      <c r="RX381" s="1259"/>
      <c r="RY381" s="1259"/>
      <c r="RZ381" s="1259"/>
      <c r="SA381" s="1259"/>
      <c r="SB381" s="1259"/>
      <c r="SC381" s="1259"/>
      <c r="SD381" s="1259"/>
      <c r="SE381" s="1259"/>
      <c r="SF381" s="1259"/>
      <c r="SG381" s="1259"/>
      <c r="SH381" s="1259"/>
      <c r="SI381" s="1259"/>
      <c r="SJ381" s="1259"/>
      <c r="SK381" s="1259"/>
      <c r="SL381" s="1259"/>
      <c r="SM381" s="1259"/>
      <c r="SN381" s="1259"/>
      <c r="SO381" s="1259"/>
      <c r="SP381" s="1259"/>
      <c r="SQ381" s="1259"/>
      <c r="SR381" s="1259"/>
      <c r="SS381" s="1259"/>
      <c r="ST381" s="1259"/>
      <c r="SU381" s="1259"/>
      <c r="SV381" s="1259"/>
      <c r="SW381" s="1259"/>
      <c r="SX381" s="1259"/>
      <c r="SY381" s="1259"/>
      <c r="SZ381" s="1259"/>
      <c r="TA381" s="1259"/>
      <c r="TB381" s="1259"/>
      <c r="TC381" s="1259"/>
      <c r="TD381" s="1259"/>
      <c r="TE381" s="1259"/>
      <c r="TF381" s="1259"/>
      <c r="TG381" s="1259"/>
      <c r="TH381" s="1259"/>
      <c r="TI381" s="1259"/>
      <c r="TJ381" s="1259"/>
      <c r="TK381" s="1259"/>
      <c r="TL381" s="1259"/>
      <c r="TM381" s="1259"/>
      <c r="TN381" s="1259"/>
      <c r="TO381" s="1259"/>
      <c r="TP381" s="1259"/>
      <c r="TQ381" s="1259"/>
      <c r="TR381" s="1259"/>
      <c r="TS381" s="1259"/>
      <c r="TT381" s="1259"/>
      <c r="TU381" s="1259"/>
      <c r="TV381" s="1259"/>
      <c r="TW381" s="1259"/>
      <c r="TX381" s="1259"/>
      <c r="TY381" s="1259"/>
      <c r="TZ381" s="1259"/>
      <c r="UA381" s="1259"/>
      <c r="UB381" s="1259"/>
      <c r="UC381" s="1259"/>
      <c r="UD381" s="1259"/>
      <c r="UE381" s="1259"/>
      <c r="UF381" s="1259"/>
      <c r="UG381" s="1261"/>
    </row>
    <row r="382" spans="1:553" s="1262" customFormat="1" ht="49.5" customHeight="1">
      <c r="A382" s="366"/>
      <c r="B382" s="356"/>
      <c r="C382" s="1379" t="s">
        <v>1411</v>
      </c>
      <c r="D382" s="1380" t="s">
        <v>1106</v>
      </c>
      <c r="E382" s="1380" t="s">
        <v>1106</v>
      </c>
      <c r="F382" s="1381" t="s">
        <v>1106</v>
      </c>
      <c r="G382" s="366" t="s">
        <v>48</v>
      </c>
      <c r="H382" s="417"/>
      <c r="I382" s="422">
        <v>20</v>
      </c>
      <c r="J382" s="368">
        <v>65000</v>
      </c>
      <c r="K382" s="388"/>
      <c r="L382" s="487">
        <f>ROUND(PRODUCT(I382:K382),0)</f>
        <v>1300000</v>
      </c>
      <c r="M382" s="366"/>
      <c r="N382" s="366"/>
      <c r="O382" s="366"/>
      <c r="P382" s="366"/>
      <c r="Q382" s="1135"/>
      <c r="R382" s="1228"/>
      <c r="S382" s="308"/>
      <c r="T382" s="303"/>
      <c r="U382" s="306"/>
      <c r="V382" s="307"/>
      <c r="W382" s="306"/>
      <c r="X382" s="306"/>
      <c r="Y382" s="306"/>
      <c r="Z382" s="306"/>
      <c r="AA382" s="306"/>
      <c r="AB382" s="306"/>
      <c r="AC382" s="456"/>
      <c r="AD382" s="452"/>
      <c r="AE382" s="452"/>
      <c r="AF382" s="452"/>
      <c r="AG382" s="452"/>
      <c r="AH382" s="452"/>
      <c r="AI382" s="452"/>
      <c r="AJ382" s="452"/>
      <c r="AK382" s="452"/>
      <c r="AL382" s="1259"/>
      <c r="AM382" s="1259"/>
      <c r="AN382" s="1259"/>
      <c r="AO382" s="1259"/>
      <c r="AP382" s="1259"/>
      <c r="AQ382" s="1259"/>
      <c r="AR382" s="1259"/>
      <c r="AS382" s="1259"/>
      <c r="AT382" s="1259"/>
      <c r="AU382" s="1259"/>
      <c r="AV382" s="1259"/>
      <c r="AW382" s="1259"/>
      <c r="AX382" s="1259"/>
      <c r="AY382" s="1259"/>
      <c r="AZ382" s="1259"/>
      <c r="BA382" s="1259"/>
      <c r="BB382" s="1259"/>
      <c r="BC382" s="1259"/>
      <c r="BD382" s="1259"/>
      <c r="BE382" s="1259"/>
      <c r="BF382" s="1259"/>
      <c r="BG382" s="1259"/>
      <c r="BH382" s="1259"/>
      <c r="BI382" s="1259"/>
      <c r="BJ382" s="1259"/>
      <c r="BK382" s="1259"/>
      <c r="BL382" s="1259"/>
      <c r="BM382" s="1259"/>
      <c r="BN382" s="1259"/>
      <c r="BO382" s="1259"/>
      <c r="BP382" s="1259"/>
      <c r="BQ382" s="1259"/>
      <c r="BR382" s="1259"/>
      <c r="BS382" s="1259"/>
      <c r="BT382" s="1259"/>
      <c r="BU382" s="1259"/>
      <c r="BV382" s="1259"/>
      <c r="BW382" s="1259"/>
      <c r="BX382" s="1259"/>
      <c r="BY382" s="1259"/>
      <c r="BZ382" s="1259"/>
      <c r="CA382" s="1259"/>
      <c r="CB382" s="1259"/>
      <c r="CC382" s="1259"/>
      <c r="CD382" s="1259"/>
      <c r="CE382" s="1259"/>
      <c r="CF382" s="1259"/>
      <c r="CG382" s="1259"/>
      <c r="CH382" s="1259"/>
      <c r="CI382" s="1259"/>
      <c r="CJ382" s="1259"/>
      <c r="CK382" s="1259"/>
      <c r="CL382" s="1259"/>
      <c r="CM382" s="1259"/>
      <c r="CN382" s="1259"/>
      <c r="CO382" s="1259"/>
      <c r="CP382" s="1259"/>
      <c r="CQ382" s="1259"/>
      <c r="CR382" s="1259"/>
      <c r="CS382" s="1259"/>
      <c r="CT382" s="1259"/>
      <c r="CU382" s="1259"/>
      <c r="CV382" s="1259"/>
      <c r="CW382" s="1259"/>
      <c r="CX382" s="1259"/>
      <c r="CY382" s="1259"/>
      <c r="CZ382" s="1259"/>
      <c r="DA382" s="1259"/>
      <c r="DB382" s="1259"/>
      <c r="DC382" s="1259"/>
      <c r="DD382" s="1259"/>
      <c r="DE382" s="1259"/>
      <c r="DF382" s="1259"/>
      <c r="DG382" s="1259"/>
      <c r="DH382" s="1259"/>
      <c r="DI382" s="1259"/>
      <c r="DJ382" s="1259"/>
      <c r="DK382" s="1259"/>
      <c r="DL382" s="1259"/>
      <c r="DM382" s="1259"/>
      <c r="DN382" s="1259"/>
      <c r="DO382" s="1259"/>
      <c r="DP382" s="1259"/>
      <c r="DQ382" s="1259"/>
      <c r="DR382" s="1259"/>
      <c r="DS382" s="1259"/>
      <c r="DT382" s="1259"/>
      <c r="DU382" s="1259"/>
      <c r="DV382" s="1259"/>
      <c r="DW382" s="1259"/>
      <c r="DX382" s="1259"/>
      <c r="DY382" s="1259"/>
      <c r="DZ382" s="1259"/>
      <c r="EA382" s="1259"/>
      <c r="EB382" s="1259"/>
      <c r="EC382" s="1259"/>
      <c r="ED382" s="1259"/>
      <c r="EE382" s="1259"/>
      <c r="EF382" s="1259"/>
      <c r="EG382" s="1259"/>
      <c r="EH382" s="1259"/>
      <c r="EI382" s="1259"/>
      <c r="EJ382" s="1259"/>
      <c r="EK382" s="1259"/>
      <c r="EL382" s="1259"/>
      <c r="EM382" s="1259"/>
      <c r="EN382" s="1259"/>
      <c r="EO382" s="1259"/>
      <c r="EP382" s="1259"/>
      <c r="EQ382" s="1259"/>
      <c r="ER382" s="1259"/>
      <c r="ES382" s="1259"/>
      <c r="ET382" s="1259"/>
      <c r="EU382" s="1259"/>
      <c r="EV382" s="1259"/>
      <c r="EW382" s="1259"/>
      <c r="EX382" s="1259"/>
      <c r="EY382" s="1259"/>
      <c r="EZ382" s="1259"/>
      <c r="FA382" s="1259"/>
      <c r="FB382" s="1259"/>
      <c r="FC382" s="1259"/>
      <c r="FD382" s="1259"/>
      <c r="FE382" s="1259"/>
      <c r="FF382" s="1259"/>
      <c r="FG382" s="1259"/>
      <c r="FH382" s="1259"/>
      <c r="FI382" s="1259"/>
      <c r="FJ382" s="1259"/>
      <c r="FK382" s="1259"/>
      <c r="FL382" s="1259"/>
      <c r="FM382" s="1259"/>
      <c r="FN382" s="1259"/>
      <c r="FO382" s="1259"/>
      <c r="FP382" s="1259"/>
      <c r="FQ382" s="1259"/>
      <c r="FR382" s="1259"/>
      <c r="FS382" s="1259"/>
      <c r="FT382" s="1259"/>
      <c r="FU382" s="1259"/>
      <c r="FV382" s="1259"/>
      <c r="FW382" s="1259"/>
      <c r="FX382" s="1259"/>
      <c r="FY382" s="1259"/>
      <c r="FZ382" s="1259"/>
      <c r="GA382" s="1259"/>
      <c r="GB382" s="1259"/>
      <c r="GC382" s="1259"/>
      <c r="GD382" s="1259"/>
      <c r="GE382" s="1259"/>
      <c r="GF382" s="1259"/>
      <c r="GG382" s="1259"/>
      <c r="GH382" s="1259"/>
      <c r="GI382" s="1259"/>
      <c r="GJ382" s="1259"/>
      <c r="GK382" s="1259"/>
      <c r="GL382" s="1259"/>
      <c r="GM382" s="1259"/>
      <c r="GN382" s="1259"/>
      <c r="GO382" s="1259"/>
      <c r="GP382" s="1259"/>
      <c r="GQ382" s="1259"/>
      <c r="GR382" s="1259"/>
      <c r="GS382" s="1259"/>
      <c r="GT382" s="1259"/>
      <c r="GU382" s="1259"/>
      <c r="GV382" s="1259"/>
      <c r="GW382" s="1259"/>
      <c r="GX382" s="1259"/>
      <c r="GY382" s="1259"/>
      <c r="GZ382" s="1259"/>
      <c r="HA382" s="1259"/>
      <c r="HB382" s="1259"/>
      <c r="HC382" s="1259"/>
      <c r="HD382" s="1259"/>
      <c r="HE382" s="1259"/>
      <c r="HF382" s="1259"/>
      <c r="HG382" s="1259"/>
      <c r="HH382" s="1259"/>
      <c r="HI382" s="1259"/>
      <c r="HJ382" s="1259"/>
      <c r="HK382" s="1259"/>
      <c r="HL382" s="1259"/>
      <c r="HM382" s="1259"/>
      <c r="HN382" s="1259"/>
      <c r="HO382" s="1259"/>
      <c r="HP382" s="1259"/>
      <c r="HQ382" s="1259"/>
      <c r="HR382" s="1259"/>
      <c r="HS382" s="1259"/>
      <c r="HT382" s="1259"/>
      <c r="HU382" s="1259"/>
      <c r="HV382" s="1259"/>
      <c r="HW382" s="1259"/>
      <c r="HX382" s="1259"/>
      <c r="HY382" s="1259"/>
      <c r="HZ382" s="1259"/>
      <c r="IA382" s="1259"/>
      <c r="IB382" s="1259"/>
      <c r="IC382" s="1259"/>
      <c r="ID382" s="1259"/>
      <c r="IE382" s="1259"/>
      <c r="IF382" s="1259"/>
      <c r="IG382" s="1259"/>
      <c r="IH382" s="1259"/>
      <c r="II382" s="1259"/>
      <c r="IJ382" s="1259"/>
      <c r="IK382" s="1259"/>
      <c r="IL382" s="1259"/>
      <c r="IM382" s="1259"/>
      <c r="IN382" s="1259"/>
      <c r="IO382" s="1259"/>
      <c r="IP382" s="1259"/>
      <c r="IQ382" s="1259"/>
      <c r="IR382" s="1259"/>
      <c r="IS382" s="1259"/>
      <c r="IT382" s="1259"/>
      <c r="IU382" s="1259"/>
      <c r="IV382" s="1259"/>
      <c r="IW382" s="1259"/>
      <c r="IX382" s="1259"/>
      <c r="IY382" s="1259"/>
      <c r="IZ382" s="1259"/>
      <c r="JA382" s="1259"/>
      <c r="JB382" s="1259"/>
      <c r="JC382" s="1259"/>
      <c r="JD382" s="1259"/>
      <c r="JE382" s="1259"/>
      <c r="JF382" s="1259"/>
      <c r="JG382" s="1259"/>
      <c r="JH382" s="1259"/>
      <c r="JI382" s="1259"/>
      <c r="JJ382" s="1259"/>
      <c r="JK382" s="1259"/>
      <c r="JL382" s="1259"/>
      <c r="JM382" s="1259"/>
      <c r="JN382" s="1259"/>
      <c r="JO382" s="1259"/>
      <c r="JP382" s="1259"/>
      <c r="JQ382" s="1259"/>
      <c r="JR382" s="1259"/>
      <c r="JS382" s="1259"/>
      <c r="JT382" s="1259"/>
      <c r="JU382" s="1259"/>
      <c r="JV382" s="1259"/>
      <c r="JW382" s="1259"/>
      <c r="JX382" s="1259"/>
      <c r="JY382" s="1259"/>
      <c r="JZ382" s="1259"/>
      <c r="KA382" s="1259"/>
      <c r="KB382" s="1259"/>
      <c r="KC382" s="1259"/>
      <c r="KD382" s="1259"/>
      <c r="KE382" s="1259"/>
      <c r="KF382" s="1259"/>
      <c r="KG382" s="1259"/>
      <c r="KH382" s="1259"/>
      <c r="KI382" s="1259"/>
      <c r="KJ382" s="1259"/>
      <c r="KK382" s="1259"/>
      <c r="KL382" s="1259"/>
      <c r="KM382" s="1259"/>
      <c r="KN382" s="1259"/>
      <c r="KO382" s="1259"/>
      <c r="KP382" s="1259"/>
      <c r="KQ382" s="1259"/>
      <c r="KR382" s="1259"/>
      <c r="KS382" s="1259"/>
      <c r="KT382" s="1259"/>
      <c r="KU382" s="1259"/>
      <c r="KV382" s="1259"/>
      <c r="KW382" s="1259"/>
      <c r="KX382" s="1259"/>
      <c r="KY382" s="1259"/>
      <c r="KZ382" s="1259"/>
      <c r="LA382" s="1259"/>
      <c r="LB382" s="1259"/>
      <c r="LC382" s="1259"/>
      <c r="LD382" s="1259"/>
      <c r="LE382" s="1259"/>
      <c r="LF382" s="1259"/>
      <c r="LG382" s="1259"/>
      <c r="LH382" s="1259"/>
      <c r="LI382" s="1259"/>
      <c r="LJ382" s="1259"/>
      <c r="LK382" s="1259"/>
      <c r="LL382" s="1259"/>
      <c r="LM382" s="1259"/>
      <c r="LN382" s="1259"/>
      <c r="LO382" s="1259"/>
      <c r="LP382" s="1259"/>
      <c r="LQ382" s="1259"/>
      <c r="LR382" s="1259"/>
      <c r="LS382" s="1259"/>
      <c r="LT382" s="1259"/>
      <c r="LU382" s="1259"/>
      <c r="LV382" s="1259"/>
      <c r="LW382" s="1259"/>
      <c r="LX382" s="1259"/>
      <c r="LY382" s="1259"/>
      <c r="LZ382" s="1259"/>
      <c r="MA382" s="1259"/>
      <c r="MB382" s="1259"/>
      <c r="MC382" s="1259"/>
      <c r="MD382" s="1259"/>
      <c r="ME382" s="1259"/>
      <c r="MF382" s="1259"/>
      <c r="MG382" s="1259"/>
      <c r="MH382" s="1259"/>
      <c r="MI382" s="1259"/>
      <c r="MJ382" s="1259"/>
      <c r="MK382" s="1259"/>
      <c r="ML382" s="1259"/>
      <c r="MM382" s="1259"/>
      <c r="MN382" s="1259"/>
      <c r="MO382" s="1259"/>
      <c r="MP382" s="1259"/>
      <c r="MQ382" s="1259"/>
      <c r="MR382" s="1259"/>
      <c r="MS382" s="1259"/>
      <c r="MT382" s="1259"/>
      <c r="MU382" s="1259"/>
      <c r="MV382" s="1259"/>
      <c r="MW382" s="1259"/>
      <c r="MX382" s="1259"/>
      <c r="MY382" s="1259"/>
      <c r="MZ382" s="1259"/>
      <c r="NA382" s="1259"/>
      <c r="NB382" s="1259"/>
      <c r="NC382" s="1259"/>
      <c r="ND382" s="1259"/>
      <c r="NE382" s="1259"/>
      <c r="NF382" s="1259"/>
      <c r="NG382" s="1259"/>
      <c r="NH382" s="1259"/>
      <c r="NI382" s="1259"/>
      <c r="NJ382" s="1259"/>
      <c r="NK382" s="1259"/>
      <c r="NL382" s="1259"/>
      <c r="NM382" s="1259"/>
      <c r="NN382" s="1259"/>
      <c r="NO382" s="1259"/>
      <c r="NP382" s="1259"/>
      <c r="NQ382" s="1259"/>
      <c r="NR382" s="1259"/>
      <c r="NS382" s="1259"/>
      <c r="NT382" s="1259"/>
      <c r="NU382" s="1259"/>
      <c r="NV382" s="1259"/>
      <c r="NW382" s="1259"/>
      <c r="NX382" s="1259"/>
      <c r="NY382" s="1259"/>
      <c r="NZ382" s="1259"/>
      <c r="OA382" s="1259"/>
      <c r="OB382" s="1259"/>
      <c r="OC382" s="1259"/>
      <c r="OD382" s="1259"/>
      <c r="OE382" s="1259"/>
      <c r="OF382" s="1259"/>
      <c r="OG382" s="1259"/>
      <c r="OH382" s="1259"/>
      <c r="OI382" s="1259"/>
      <c r="OJ382" s="1259"/>
      <c r="OK382" s="1259"/>
      <c r="OL382" s="1259"/>
      <c r="OM382" s="1259"/>
      <c r="ON382" s="1259"/>
      <c r="OO382" s="1259"/>
      <c r="OP382" s="1259"/>
      <c r="OQ382" s="1259"/>
      <c r="OR382" s="1259"/>
      <c r="OS382" s="1259"/>
      <c r="OT382" s="1259"/>
      <c r="OU382" s="1259"/>
      <c r="OV382" s="1259"/>
      <c r="OW382" s="1259"/>
      <c r="OX382" s="1259"/>
      <c r="OY382" s="1259"/>
      <c r="OZ382" s="1259"/>
      <c r="PA382" s="1259"/>
      <c r="PB382" s="1259"/>
      <c r="PC382" s="1259"/>
      <c r="PD382" s="1259"/>
      <c r="PE382" s="1259"/>
      <c r="PF382" s="1259"/>
      <c r="PG382" s="1259"/>
      <c r="PH382" s="1259"/>
      <c r="PI382" s="1259"/>
      <c r="PJ382" s="1259"/>
      <c r="PK382" s="1259"/>
      <c r="PL382" s="1259"/>
      <c r="PM382" s="1259"/>
      <c r="PN382" s="1259"/>
      <c r="PO382" s="1259"/>
      <c r="PP382" s="1259"/>
      <c r="PQ382" s="1259"/>
      <c r="PR382" s="1259"/>
      <c r="PS382" s="1259"/>
      <c r="PT382" s="1259"/>
      <c r="PU382" s="1259"/>
      <c r="PV382" s="1259"/>
      <c r="PW382" s="1259"/>
      <c r="PX382" s="1259"/>
      <c r="PY382" s="1259"/>
      <c r="PZ382" s="1259"/>
      <c r="QA382" s="1259"/>
      <c r="QB382" s="1259"/>
      <c r="QC382" s="1259"/>
      <c r="QD382" s="1259"/>
      <c r="QE382" s="1259"/>
      <c r="QF382" s="1259"/>
      <c r="QG382" s="1259"/>
      <c r="QH382" s="1259"/>
      <c r="QI382" s="1259"/>
      <c r="QJ382" s="1259"/>
      <c r="QK382" s="1259"/>
      <c r="QL382" s="1259"/>
      <c r="QM382" s="1259"/>
      <c r="QN382" s="1259"/>
      <c r="QO382" s="1259"/>
      <c r="QP382" s="1259"/>
      <c r="QQ382" s="1259"/>
      <c r="QR382" s="1259"/>
      <c r="QS382" s="1259"/>
      <c r="QT382" s="1259"/>
      <c r="QU382" s="1259"/>
      <c r="QV382" s="1259"/>
      <c r="QW382" s="1259"/>
      <c r="QX382" s="1259"/>
      <c r="QY382" s="1259"/>
      <c r="QZ382" s="1259"/>
      <c r="RA382" s="1259"/>
      <c r="RB382" s="1259"/>
      <c r="RC382" s="1259"/>
      <c r="RD382" s="1259"/>
      <c r="RE382" s="1259"/>
      <c r="RF382" s="1259"/>
      <c r="RG382" s="1259"/>
      <c r="RH382" s="1259"/>
      <c r="RI382" s="1259"/>
      <c r="RJ382" s="1259"/>
      <c r="RK382" s="1259"/>
      <c r="RL382" s="1259"/>
      <c r="RM382" s="1259"/>
      <c r="RN382" s="1259"/>
      <c r="RO382" s="1259"/>
      <c r="RP382" s="1259"/>
      <c r="RQ382" s="1259"/>
      <c r="RR382" s="1259"/>
      <c r="RS382" s="1259"/>
      <c r="RT382" s="1259"/>
      <c r="RU382" s="1259"/>
      <c r="RV382" s="1259"/>
      <c r="RW382" s="1259"/>
      <c r="RX382" s="1259"/>
      <c r="RY382" s="1259"/>
      <c r="RZ382" s="1259"/>
      <c r="SA382" s="1259"/>
      <c r="SB382" s="1259"/>
      <c r="SC382" s="1259"/>
      <c r="SD382" s="1259"/>
      <c r="SE382" s="1259"/>
      <c r="SF382" s="1259"/>
      <c r="SG382" s="1259"/>
      <c r="SH382" s="1259"/>
      <c r="SI382" s="1259"/>
      <c r="SJ382" s="1259"/>
      <c r="SK382" s="1259"/>
      <c r="SL382" s="1259"/>
      <c r="SM382" s="1259"/>
      <c r="SN382" s="1259"/>
      <c r="SO382" s="1259"/>
      <c r="SP382" s="1259"/>
      <c r="SQ382" s="1259"/>
      <c r="SR382" s="1259"/>
      <c r="SS382" s="1259"/>
      <c r="ST382" s="1259"/>
      <c r="SU382" s="1259"/>
      <c r="SV382" s="1259"/>
      <c r="SW382" s="1259"/>
      <c r="SX382" s="1259"/>
      <c r="SY382" s="1259"/>
      <c r="SZ382" s="1259"/>
      <c r="TA382" s="1259"/>
      <c r="TB382" s="1259"/>
      <c r="TC382" s="1259"/>
      <c r="TD382" s="1259"/>
      <c r="TE382" s="1259"/>
      <c r="TF382" s="1259"/>
      <c r="TG382" s="1259"/>
      <c r="TH382" s="1259"/>
      <c r="TI382" s="1259"/>
      <c r="TJ382" s="1259"/>
      <c r="TK382" s="1259"/>
      <c r="TL382" s="1259"/>
      <c r="TM382" s="1259"/>
      <c r="TN382" s="1259"/>
      <c r="TO382" s="1259"/>
      <c r="TP382" s="1259"/>
      <c r="TQ382" s="1259"/>
      <c r="TR382" s="1259"/>
      <c r="TS382" s="1259"/>
      <c r="TT382" s="1259"/>
      <c r="TU382" s="1259"/>
      <c r="TV382" s="1259"/>
      <c r="TW382" s="1259"/>
      <c r="TX382" s="1259"/>
      <c r="TY382" s="1259"/>
      <c r="TZ382" s="1259"/>
      <c r="UA382" s="1259"/>
      <c r="UB382" s="1259"/>
      <c r="UC382" s="1259"/>
      <c r="UD382" s="1259"/>
      <c r="UE382" s="1259"/>
      <c r="UF382" s="1259"/>
      <c r="UG382" s="1261"/>
    </row>
    <row r="383" spans="1:553" s="1262" customFormat="1" ht="45" customHeight="1">
      <c r="A383" s="366"/>
      <c r="B383" s="356"/>
      <c r="C383" s="1379" t="s">
        <v>1389</v>
      </c>
      <c r="D383" s="1380" t="s">
        <v>1107</v>
      </c>
      <c r="E383" s="1380" t="s">
        <v>1107</v>
      </c>
      <c r="F383" s="1381" t="s">
        <v>1107</v>
      </c>
      <c r="G383" s="366" t="s">
        <v>193</v>
      </c>
      <c r="H383" s="417"/>
      <c r="I383" s="422">
        <v>4</v>
      </c>
      <c r="J383" s="368">
        <v>160000</v>
      </c>
      <c r="K383" s="388"/>
      <c r="L383" s="487">
        <f t="shared" ref="L383" si="80">ROUND(PRODUCT(I383:K383),0)</f>
        <v>640000</v>
      </c>
      <c r="M383" s="366"/>
      <c r="N383" s="366"/>
      <c r="O383" s="366"/>
      <c r="P383" s="366"/>
      <c r="Q383" s="1135"/>
      <c r="R383" s="1228"/>
      <c r="S383" s="308"/>
      <c r="T383" s="303"/>
      <c r="U383" s="306"/>
      <c r="V383" s="307"/>
      <c r="W383" s="306"/>
      <c r="X383" s="306"/>
      <c r="Y383" s="306"/>
      <c r="Z383" s="306"/>
      <c r="AA383" s="306"/>
      <c r="AB383" s="306"/>
      <c r="AC383" s="456"/>
      <c r="AD383" s="452"/>
      <c r="AE383" s="452"/>
      <c r="AF383" s="452"/>
      <c r="AG383" s="452"/>
      <c r="AH383" s="452"/>
      <c r="AI383" s="452"/>
      <c r="AJ383" s="452"/>
      <c r="AK383" s="452"/>
      <c r="AL383" s="1259"/>
      <c r="AM383" s="1259"/>
      <c r="AN383" s="1259"/>
      <c r="AO383" s="1259"/>
      <c r="AP383" s="1259"/>
      <c r="AQ383" s="1259"/>
      <c r="AR383" s="1259"/>
      <c r="AS383" s="1259"/>
      <c r="AT383" s="1259"/>
      <c r="AU383" s="1259"/>
      <c r="AV383" s="1259"/>
      <c r="AW383" s="1259"/>
      <c r="AX383" s="1259"/>
      <c r="AY383" s="1259"/>
      <c r="AZ383" s="1259"/>
      <c r="BA383" s="1259"/>
      <c r="BB383" s="1259"/>
      <c r="BC383" s="1259"/>
      <c r="BD383" s="1259"/>
      <c r="BE383" s="1259"/>
      <c r="BF383" s="1259"/>
      <c r="BG383" s="1259"/>
      <c r="BH383" s="1259"/>
      <c r="BI383" s="1259"/>
      <c r="BJ383" s="1259"/>
      <c r="BK383" s="1259"/>
      <c r="BL383" s="1259"/>
      <c r="BM383" s="1259"/>
      <c r="BN383" s="1259"/>
      <c r="BO383" s="1259"/>
      <c r="BP383" s="1259"/>
      <c r="BQ383" s="1259"/>
      <c r="BR383" s="1259"/>
      <c r="BS383" s="1259"/>
      <c r="BT383" s="1259"/>
      <c r="BU383" s="1259"/>
      <c r="BV383" s="1259"/>
      <c r="BW383" s="1259"/>
      <c r="BX383" s="1259"/>
      <c r="BY383" s="1259"/>
      <c r="BZ383" s="1259"/>
      <c r="CA383" s="1259"/>
      <c r="CB383" s="1259"/>
      <c r="CC383" s="1259"/>
      <c r="CD383" s="1259"/>
      <c r="CE383" s="1259"/>
      <c r="CF383" s="1259"/>
      <c r="CG383" s="1259"/>
      <c r="CH383" s="1259"/>
      <c r="CI383" s="1259"/>
      <c r="CJ383" s="1259"/>
      <c r="CK383" s="1259"/>
      <c r="CL383" s="1259"/>
      <c r="CM383" s="1259"/>
      <c r="CN383" s="1259"/>
      <c r="CO383" s="1259"/>
      <c r="CP383" s="1259"/>
      <c r="CQ383" s="1259"/>
      <c r="CR383" s="1259"/>
      <c r="CS383" s="1259"/>
      <c r="CT383" s="1259"/>
      <c r="CU383" s="1259"/>
      <c r="CV383" s="1259"/>
      <c r="CW383" s="1259"/>
      <c r="CX383" s="1259"/>
      <c r="CY383" s="1259"/>
      <c r="CZ383" s="1259"/>
      <c r="DA383" s="1259"/>
      <c r="DB383" s="1259"/>
      <c r="DC383" s="1259"/>
      <c r="DD383" s="1259"/>
      <c r="DE383" s="1259"/>
      <c r="DF383" s="1259"/>
      <c r="DG383" s="1259"/>
      <c r="DH383" s="1259"/>
      <c r="DI383" s="1259"/>
      <c r="DJ383" s="1259"/>
      <c r="DK383" s="1259"/>
      <c r="DL383" s="1259"/>
      <c r="DM383" s="1259"/>
      <c r="DN383" s="1259"/>
      <c r="DO383" s="1259"/>
      <c r="DP383" s="1259"/>
      <c r="DQ383" s="1259"/>
      <c r="DR383" s="1259"/>
      <c r="DS383" s="1259"/>
      <c r="DT383" s="1259"/>
      <c r="DU383" s="1259"/>
      <c r="DV383" s="1259"/>
      <c r="DW383" s="1259"/>
      <c r="DX383" s="1259"/>
      <c r="DY383" s="1259"/>
      <c r="DZ383" s="1259"/>
      <c r="EA383" s="1259"/>
      <c r="EB383" s="1259"/>
      <c r="EC383" s="1259"/>
      <c r="ED383" s="1259"/>
      <c r="EE383" s="1259"/>
      <c r="EF383" s="1259"/>
      <c r="EG383" s="1259"/>
      <c r="EH383" s="1259"/>
      <c r="EI383" s="1259"/>
      <c r="EJ383" s="1259"/>
      <c r="EK383" s="1259"/>
      <c r="EL383" s="1259"/>
      <c r="EM383" s="1259"/>
      <c r="EN383" s="1259"/>
      <c r="EO383" s="1259"/>
      <c r="EP383" s="1259"/>
      <c r="EQ383" s="1259"/>
      <c r="ER383" s="1259"/>
      <c r="ES383" s="1259"/>
      <c r="ET383" s="1259"/>
      <c r="EU383" s="1259"/>
      <c r="EV383" s="1259"/>
      <c r="EW383" s="1259"/>
      <c r="EX383" s="1259"/>
      <c r="EY383" s="1259"/>
      <c r="EZ383" s="1259"/>
      <c r="FA383" s="1259"/>
      <c r="FB383" s="1259"/>
      <c r="FC383" s="1259"/>
      <c r="FD383" s="1259"/>
      <c r="FE383" s="1259"/>
      <c r="FF383" s="1259"/>
      <c r="FG383" s="1259"/>
      <c r="FH383" s="1259"/>
      <c r="FI383" s="1259"/>
      <c r="FJ383" s="1259"/>
      <c r="FK383" s="1259"/>
      <c r="FL383" s="1259"/>
      <c r="FM383" s="1259"/>
      <c r="FN383" s="1259"/>
      <c r="FO383" s="1259"/>
      <c r="FP383" s="1259"/>
      <c r="FQ383" s="1259"/>
      <c r="FR383" s="1259"/>
      <c r="FS383" s="1259"/>
      <c r="FT383" s="1259"/>
      <c r="FU383" s="1259"/>
      <c r="FV383" s="1259"/>
      <c r="FW383" s="1259"/>
      <c r="FX383" s="1259"/>
      <c r="FY383" s="1259"/>
      <c r="FZ383" s="1259"/>
      <c r="GA383" s="1259"/>
      <c r="GB383" s="1259"/>
      <c r="GC383" s="1259"/>
      <c r="GD383" s="1259"/>
      <c r="GE383" s="1259"/>
      <c r="GF383" s="1259"/>
      <c r="GG383" s="1259"/>
      <c r="GH383" s="1259"/>
      <c r="GI383" s="1259"/>
      <c r="GJ383" s="1259"/>
      <c r="GK383" s="1259"/>
      <c r="GL383" s="1259"/>
      <c r="GM383" s="1259"/>
      <c r="GN383" s="1259"/>
      <c r="GO383" s="1259"/>
      <c r="GP383" s="1259"/>
      <c r="GQ383" s="1259"/>
      <c r="GR383" s="1259"/>
      <c r="GS383" s="1259"/>
      <c r="GT383" s="1259"/>
      <c r="GU383" s="1259"/>
      <c r="GV383" s="1259"/>
      <c r="GW383" s="1259"/>
      <c r="GX383" s="1259"/>
      <c r="GY383" s="1259"/>
      <c r="GZ383" s="1259"/>
      <c r="HA383" s="1259"/>
      <c r="HB383" s="1259"/>
      <c r="HC383" s="1259"/>
      <c r="HD383" s="1259"/>
      <c r="HE383" s="1259"/>
      <c r="HF383" s="1259"/>
      <c r="HG383" s="1259"/>
      <c r="HH383" s="1259"/>
      <c r="HI383" s="1259"/>
      <c r="HJ383" s="1259"/>
      <c r="HK383" s="1259"/>
      <c r="HL383" s="1259"/>
      <c r="HM383" s="1259"/>
      <c r="HN383" s="1259"/>
      <c r="HO383" s="1259"/>
      <c r="HP383" s="1259"/>
      <c r="HQ383" s="1259"/>
      <c r="HR383" s="1259"/>
      <c r="HS383" s="1259"/>
      <c r="HT383" s="1259"/>
      <c r="HU383" s="1259"/>
      <c r="HV383" s="1259"/>
      <c r="HW383" s="1259"/>
      <c r="HX383" s="1259"/>
      <c r="HY383" s="1259"/>
      <c r="HZ383" s="1259"/>
      <c r="IA383" s="1259"/>
      <c r="IB383" s="1259"/>
      <c r="IC383" s="1259"/>
      <c r="ID383" s="1259"/>
      <c r="IE383" s="1259"/>
      <c r="IF383" s="1259"/>
      <c r="IG383" s="1259"/>
      <c r="IH383" s="1259"/>
      <c r="II383" s="1259"/>
      <c r="IJ383" s="1259"/>
      <c r="IK383" s="1259"/>
      <c r="IL383" s="1259"/>
      <c r="IM383" s="1259"/>
      <c r="IN383" s="1259"/>
      <c r="IO383" s="1259"/>
      <c r="IP383" s="1259"/>
      <c r="IQ383" s="1259"/>
      <c r="IR383" s="1259"/>
      <c r="IS383" s="1259"/>
      <c r="IT383" s="1259"/>
      <c r="IU383" s="1259"/>
      <c r="IV383" s="1259"/>
      <c r="IW383" s="1259"/>
      <c r="IX383" s="1259"/>
      <c r="IY383" s="1259"/>
      <c r="IZ383" s="1259"/>
      <c r="JA383" s="1259"/>
      <c r="JB383" s="1259"/>
      <c r="JC383" s="1259"/>
      <c r="JD383" s="1259"/>
      <c r="JE383" s="1259"/>
      <c r="JF383" s="1259"/>
      <c r="JG383" s="1259"/>
      <c r="JH383" s="1259"/>
      <c r="JI383" s="1259"/>
      <c r="JJ383" s="1259"/>
      <c r="JK383" s="1259"/>
      <c r="JL383" s="1259"/>
      <c r="JM383" s="1259"/>
      <c r="JN383" s="1259"/>
      <c r="JO383" s="1259"/>
      <c r="JP383" s="1259"/>
      <c r="JQ383" s="1259"/>
      <c r="JR383" s="1259"/>
      <c r="JS383" s="1259"/>
      <c r="JT383" s="1259"/>
      <c r="JU383" s="1259"/>
      <c r="JV383" s="1259"/>
      <c r="JW383" s="1259"/>
      <c r="JX383" s="1259"/>
      <c r="JY383" s="1259"/>
      <c r="JZ383" s="1259"/>
      <c r="KA383" s="1259"/>
      <c r="KB383" s="1259"/>
      <c r="KC383" s="1259"/>
      <c r="KD383" s="1259"/>
      <c r="KE383" s="1259"/>
      <c r="KF383" s="1259"/>
      <c r="KG383" s="1259"/>
      <c r="KH383" s="1259"/>
      <c r="KI383" s="1259"/>
      <c r="KJ383" s="1259"/>
      <c r="KK383" s="1259"/>
      <c r="KL383" s="1259"/>
      <c r="KM383" s="1259"/>
      <c r="KN383" s="1259"/>
      <c r="KO383" s="1259"/>
      <c r="KP383" s="1259"/>
      <c r="KQ383" s="1259"/>
      <c r="KR383" s="1259"/>
      <c r="KS383" s="1259"/>
      <c r="KT383" s="1259"/>
      <c r="KU383" s="1259"/>
      <c r="KV383" s="1259"/>
      <c r="KW383" s="1259"/>
      <c r="KX383" s="1259"/>
      <c r="KY383" s="1259"/>
      <c r="KZ383" s="1259"/>
      <c r="LA383" s="1259"/>
      <c r="LB383" s="1259"/>
      <c r="LC383" s="1259"/>
      <c r="LD383" s="1259"/>
      <c r="LE383" s="1259"/>
      <c r="LF383" s="1259"/>
      <c r="LG383" s="1259"/>
      <c r="LH383" s="1259"/>
      <c r="LI383" s="1259"/>
      <c r="LJ383" s="1259"/>
      <c r="LK383" s="1259"/>
      <c r="LL383" s="1259"/>
      <c r="LM383" s="1259"/>
      <c r="LN383" s="1259"/>
      <c r="LO383" s="1259"/>
      <c r="LP383" s="1259"/>
      <c r="LQ383" s="1259"/>
      <c r="LR383" s="1259"/>
      <c r="LS383" s="1259"/>
      <c r="LT383" s="1259"/>
      <c r="LU383" s="1259"/>
      <c r="LV383" s="1259"/>
      <c r="LW383" s="1259"/>
      <c r="LX383" s="1259"/>
      <c r="LY383" s="1259"/>
      <c r="LZ383" s="1259"/>
      <c r="MA383" s="1259"/>
      <c r="MB383" s="1259"/>
      <c r="MC383" s="1259"/>
      <c r="MD383" s="1259"/>
      <c r="ME383" s="1259"/>
      <c r="MF383" s="1259"/>
      <c r="MG383" s="1259"/>
      <c r="MH383" s="1259"/>
      <c r="MI383" s="1259"/>
      <c r="MJ383" s="1259"/>
      <c r="MK383" s="1259"/>
      <c r="ML383" s="1259"/>
      <c r="MM383" s="1259"/>
      <c r="MN383" s="1259"/>
      <c r="MO383" s="1259"/>
      <c r="MP383" s="1259"/>
      <c r="MQ383" s="1259"/>
      <c r="MR383" s="1259"/>
      <c r="MS383" s="1259"/>
      <c r="MT383" s="1259"/>
      <c r="MU383" s="1259"/>
      <c r="MV383" s="1259"/>
      <c r="MW383" s="1259"/>
      <c r="MX383" s="1259"/>
      <c r="MY383" s="1259"/>
      <c r="MZ383" s="1259"/>
      <c r="NA383" s="1259"/>
      <c r="NB383" s="1259"/>
      <c r="NC383" s="1259"/>
      <c r="ND383" s="1259"/>
      <c r="NE383" s="1259"/>
      <c r="NF383" s="1259"/>
      <c r="NG383" s="1259"/>
      <c r="NH383" s="1259"/>
      <c r="NI383" s="1259"/>
      <c r="NJ383" s="1259"/>
      <c r="NK383" s="1259"/>
      <c r="NL383" s="1259"/>
      <c r="NM383" s="1259"/>
      <c r="NN383" s="1259"/>
      <c r="NO383" s="1259"/>
      <c r="NP383" s="1259"/>
      <c r="NQ383" s="1259"/>
      <c r="NR383" s="1259"/>
      <c r="NS383" s="1259"/>
      <c r="NT383" s="1259"/>
      <c r="NU383" s="1259"/>
      <c r="NV383" s="1259"/>
      <c r="NW383" s="1259"/>
      <c r="NX383" s="1259"/>
      <c r="NY383" s="1259"/>
      <c r="NZ383" s="1259"/>
      <c r="OA383" s="1259"/>
      <c r="OB383" s="1259"/>
      <c r="OC383" s="1259"/>
      <c r="OD383" s="1259"/>
      <c r="OE383" s="1259"/>
      <c r="OF383" s="1259"/>
      <c r="OG383" s="1259"/>
      <c r="OH383" s="1259"/>
      <c r="OI383" s="1259"/>
      <c r="OJ383" s="1259"/>
      <c r="OK383" s="1259"/>
      <c r="OL383" s="1259"/>
      <c r="OM383" s="1259"/>
      <c r="ON383" s="1259"/>
      <c r="OO383" s="1259"/>
      <c r="OP383" s="1259"/>
      <c r="OQ383" s="1259"/>
      <c r="OR383" s="1259"/>
      <c r="OS383" s="1259"/>
      <c r="OT383" s="1259"/>
      <c r="OU383" s="1259"/>
      <c r="OV383" s="1259"/>
      <c r="OW383" s="1259"/>
      <c r="OX383" s="1259"/>
      <c r="OY383" s="1259"/>
      <c r="OZ383" s="1259"/>
      <c r="PA383" s="1259"/>
      <c r="PB383" s="1259"/>
      <c r="PC383" s="1259"/>
      <c r="PD383" s="1259"/>
      <c r="PE383" s="1259"/>
      <c r="PF383" s="1259"/>
      <c r="PG383" s="1259"/>
      <c r="PH383" s="1259"/>
      <c r="PI383" s="1259"/>
      <c r="PJ383" s="1259"/>
      <c r="PK383" s="1259"/>
      <c r="PL383" s="1259"/>
      <c r="PM383" s="1259"/>
      <c r="PN383" s="1259"/>
      <c r="PO383" s="1259"/>
      <c r="PP383" s="1259"/>
      <c r="PQ383" s="1259"/>
      <c r="PR383" s="1259"/>
      <c r="PS383" s="1259"/>
      <c r="PT383" s="1259"/>
      <c r="PU383" s="1259"/>
      <c r="PV383" s="1259"/>
      <c r="PW383" s="1259"/>
      <c r="PX383" s="1259"/>
      <c r="PY383" s="1259"/>
      <c r="PZ383" s="1259"/>
      <c r="QA383" s="1259"/>
      <c r="QB383" s="1259"/>
      <c r="QC383" s="1259"/>
      <c r="QD383" s="1259"/>
      <c r="QE383" s="1259"/>
      <c r="QF383" s="1259"/>
      <c r="QG383" s="1259"/>
      <c r="QH383" s="1259"/>
      <c r="QI383" s="1259"/>
      <c r="QJ383" s="1259"/>
      <c r="QK383" s="1259"/>
      <c r="QL383" s="1259"/>
      <c r="QM383" s="1259"/>
      <c r="QN383" s="1259"/>
      <c r="QO383" s="1259"/>
      <c r="QP383" s="1259"/>
      <c r="QQ383" s="1259"/>
      <c r="QR383" s="1259"/>
      <c r="QS383" s="1259"/>
      <c r="QT383" s="1259"/>
      <c r="QU383" s="1259"/>
      <c r="QV383" s="1259"/>
      <c r="QW383" s="1259"/>
      <c r="QX383" s="1259"/>
      <c r="QY383" s="1259"/>
      <c r="QZ383" s="1259"/>
      <c r="RA383" s="1259"/>
      <c r="RB383" s="1259"/>
      <c r="RC383" s="1259"/>
      <c r="RD383" s="1259"/>
      <c r="RE383" s="1259"/>
      <c r="RF383" s="1259"/>
      <c r="RG383" s="1259"/>
      <c r="RH383" s="1259"/>
      <c r="RI383" s="1259"/>
      <c r="RJ383" s="1259"/>
      <c r="RK383" s="1259"/>
      <c r="RL383" s="1259"/>
      <c r="RM383" s="1259"/>
      <c r="RN383" s="1259"/>
      <c r="RO383" s="1259"/>
      <c r="RP383" s="1259"/>
      <c r="RQ383" s="1259"/>
      <c r="RR383" s="1259"/>
      <c r="RS383" s="1259"/>
      <c r="RT383" s="1259"/>
      <c r="RU383" s="1259"/>
      <c r="RV383" s="1259"/>
      <c r="RW383" s="1259"/>
      <c r="RX383" s="1259"/>
      <c r="RY383" s="1259"/>
      <c r="RZ383" s="1259"/>
      <c r="SA383" s="1259"/>
      <c r="SB383" s="1259"/>
      <c r="SC383" s="1259"/>
      <c r="SD383" s="1259"/>
      <c r="SE383" s="1259"/>
      <c r="SF383" s="1259"/>
      <c r="SG383" s="1259"/>
      <c r="SH383" s="1259"/>
      <c r="SI383" s="1259"/>
      <c r="SJ383" s="1259"/>
      <c r="SK383" s="1259"/>
      <c r="SL383" s="1259"/>
      <c r="SM383" s="1259"/>
      <c r="SN383" s="1259"/>
      <c r="SO383" s="1259"/>
      <c r="SP383" s="1259"/>
      <c r="SQ383" s="1259"/>
      <c r="SR383" s="1259"/>
      <c r="SS383" s="1259"/>
      <c r="ST383" s="1259"/>
      <c r="SU383" s="1259"/>
      <c r="SV383" s="1259"/>
      <c r="SW383" s="1259"/>
      <c r="SX383" s="1259"/>
      <c r="SY383" s="1259"/>
      <c r="SZ383" s="1259"/>
      <c r="TA383" s="1259"/>
      <c r="TB383" s="1259"/>
      <c r="TC383" s="1259"/>
      <c r="TD383" s="1259"/>
      <c r="TE383" s="1259"/>
      <c r="TF383" s="1259"/>
      <c r="TG383" s="1259"/>
      <c r="TH383" s="1259"/>
      <c r="TI383" s="1259"/>
      <c r="TJ383" s="1259"/>
      <c r="TK383" s="1259"/>
      <c r="TL383" s="1259"/>
      <c r="TM383" s="1259"/>
      <c r="TN383" s="1259"/>
      <c r="TO383" s="1259"/>
      <c r="TP383" s="1259"/>
      <c r="TQ383" s="1259"/>
      <c r="TR383" s="1259"/>
      <c r="TS383" s="1259"/>
      <c r="TT383" s="1259"/>
      <c r="TU383" s="1259"/>
      <c r="TV383" s="1259"/>
      <c r="TW383" s="1259"/>
      <c r="TX383" s="1259"/>
      <c r="TY383" s="1259"/>
      <c r="TZ383" s="1259"/>
      <c r="UA383" s="1259"/>
      <c r="UB383" s="1259"/>
      <c r="UC383" s="1259"/>
      <c r="UD383" s="1259"/>
      <c r="UE383" s="1259"/>
      <c r="UF383" s="1259"/>
      <c r="UG383" s="1261"/>
    </row>
    <row r="384" spans="1:553" ht="29.25" customHeight="1">
      <c r="A384" s="356" t="s">
        <v>53</v>
      </c>
      <c r="B384" s="356"/>
      <c r="C384" s="1457" t="s">
        <v>273</v>
      </c>
      <c r="D384" s="1458"/>
      <c r="E384" s="1458"/>
      <c r="F384" s="1459"/>
      <c r="G384" s="356"/>
      <c r="H384" s="424"/>
      <c r="I384" s="424"/>
      <c r="J384" s="357"/>
      <c r="K384" s="358"/>
      <c r="L384" s="356">
        <f>L385+L386</f>
        <v>5500000</v>
      </c>
      <c r="M384" s="356"/>
      <c r="N384" s="356"/>
      <c r="O384" s="356"/>
      <c r="P384" s="356">
        <f>L384</f>
        <v>5500000</v>
      </c>
      <c r="Q384" s="610"/>
      <c r="R384" s="1447" t="s">
        <v>55</v>
      </c>
      <c r="S384" s="308"/>
      <c r="T384" s="303"/>
      <c r="U384" s="306"/>
      <c r="V384" s="307"/>
      <c r="W384" s="306"/>
      <c r="X384" s="306"/>
      <c r="Y384" s="306"/>
      <c r="Z384" s="306"/>
      <c r="AA384" s="306"/>
      <c r="AB384" s="306"/>
      <c r="AC384" s="456"/>
      <c r="AD384" s="456"/>
      <c r="AE384" s="456"/>
      <c r="AF384" s="456"/>
      <c r="AG384" s="456"/>
      <c r="AH384" s="456"/>
      <c r="AI384" s="456"/>
      <c r="AJ384" s="456"/>
      <c r="AK384" s="456"/>
      <c r="AL384" s="184"/>
      <c r="AM384" s="34"/>
      <c r="AN384" s="34"/>
      <c r="AO384" s="34"/>
      <c r="AP384" s="34"/>
      <c r="AQ384" s="34"/>
      <c r="AR384" s="34"/>
      <c r="AS384" s="34"/>
      <c r="AT384" s="35"/>
      <c r="AU384" s="35"/>
      <c r="AV384" s="35"/>
      <c r="AW384" s="35"/>
      <c r="AX384" s="35"/>
      <c r="AY384" s="35"/>
      <c r="AZ384" s="35"/>
      <c r="BA384" s="35"/>
      <c r="BB384" s="35"/>
      <c r="BC384" s="35"/>
      <c r="BD384" s="35"/>
      <c r="BE384" s="35"/>
      <c r="BF384" s="35"/>
      <c r="BG384" s="35"/>
      <c r="BH384" s="35"/>
      <c r="BI384" s="35"/>
      <c r="BJ384" s="35"/>
      <c r="BK384" s="35"/>
      <c r="BL384" s="35"/>
      <c r="BM384" s="35"/>
      <c r="BN384" s="35"/>
      <c r="BO384" s="35"/>
      <c r="BP384" s="36"/>
      <c r="BQ384" s="36"/>
      <c r="BR384" s="36"/>
      <c r="BS384" s="36"/>
      <c r="BT384" s="36"/>
      <c r="BU384" s="36"/>
      <c r="BV384" s="36"/>
      <c r="BW384" s="36"/>
      <c r="BX384" s="36"/>
      <c r="BY384" s="36"/>
      <c r="BZ384" s="36"/>
      <c r="CA384" s="36"/>
      <c r="CB384" s="36"/>
      <c r="CC384" s="36"/>
      <c r="CD384" s="36"/>
      <c r="CE384" s="36"/>
      <c r="CF384" s="36"/>
      <c r="CG384" s="36"/>
      <c r="CH384" s="36"/>
      <c r="CI384" s="36"/>
      <c r="CJ384" s="36"/>
      <c r="CK384" s="36"/>
      <c r="CL384" s="36"/>
      <c r="CM384" s="36"/>
      <c r="CN384" s="36"/>
      <c r="CO384" s="36"/>
      <c r="CP384" s="36"/>
      <c r="CQ384" s="36"/>
      <c r="CR384" s="36"/>
      <c r="CS384" s="36"/>
      <c r="CT384" s="36"/>
      <c r="CU384" s="36"/>
      <c r="CV384" s="36"/>
      <c r="CW384" s="36"/>
      <c r="CX384" s="36"/>
      <c r="CY384" s="36"/>
      <c r="CZ384" s="36"/>
      <c r="DA384" s="36"/>
      <c r="DB384" s="36"/>
      <c r="DC384" s="36"/>
      <c r="DD384" s="36"/>
      <c r="DE384" s="36"/>
      <c r="DF384" s="36"/>
      <c r="DG384" s="36"/>
      <c r="DH384" s="36"/>
      <c r="DI384" s="36"/>
      <c r="DJ384" s="36"/>
      <c r="DK384" s="36"/>
      <c r="DL384" s="36"/>
      <c r="DM384" s="36"/>
      <c r="DN384" s="36"/>
      <c r="DO384" s="36"/>
      <c r="DP384" s="36"/>
      <c r="DQ384" s="36"/>
      <c r="DR384" s="36"/>
      <c r="DS384" s="36"/>
      <c r="DT384" s="36"/>
      <c r="DU384" s="36"/>
      <c r="DV384" s="36"/>
      <c r="DW384" s="36"/>
      <c r="DX384" s="36"/>
      <c r="DY384" s="36"/>
      <c r="DZ384" s="36"/>
      <c r="EA384" s="36"/>
      <c r="EB384" s="36"/>
      <c r="EC384" s="36"/>
      <c r="ED384" s="36"/>
      <c r="EE384" s="36"/>
      <c r="EF384" s="36"/>
      <c r="EG384" s="36"/>
      <c r="EH384" s="36"/>
      <c r="EI384" s="36"/>
      <c r="EJ384" s="36"/>
      <c r="EK384" s="36"/>
      <c r="EL384" s="36"/>
      <c r="EM384" s="36"/>
      <c r="EN384" s="36"/>
      <c r="EO384" s="36"/>
      <c r="EP384" s="36"/>
      <c r="EQ384" s="36"/>
      <c r="ER384" s="36"/>
      <c r="ES384" s="36"/>
      <c r="ET384" s="36"/>
      <c r="EU384" s="36"/>
      <c r="EV384" s="36"/>
      <c r="EW384" s="36"/>
      <c r="EX384" s="36"/>
      <c r="EY384" s="36"/>
      <c r="EZ384" s="36"/>
      <c r="FA384" s="36"/>
      <c r="FB384" s="36"/>
      <c r="FC384" s="36"/>
      <c r="FD384" s="36"/>
      <c r="FE384" s="36"/>
      <c r="FF384" s="36"/>
      <c r="FG384" s="36"/>
      <c r="FH384" s="36"/>
      <c r="FI384" s="36"/>
      <c r="FJ384" s="36"/>
      <c r="FK384" s="36"/>
      <c r="FL384" s="36"/>
      <c r="FM384" s="36"/>
      <c r="FN384" s="36"/>
      <c r="FO384" s="36"/>
      <c r="FP384" s="36"/>
      <c r="FQ384" s="36"/>
      <c r="FR384" s="36"/>
      <c r="FS384" s="36"/>
      <c r="FT384" s="36"/>
      <c r="FU384" s="36"/>
      <c r="FV384" s="36"/>
      <c r="FW384" s="36"/>
      <c r="FX384" s="36"/>
      <c r="FY384" s="36"/>
      <c r="FZ384" s="36"/>
      <c r="GA384" s="36"/>
      <c r="GB384" s="36"/>
      <c r="GC384" s="36"/>
      <c r="GD384" s="36"/>
      <c r="GE384" s="36"/>
      <c r="GF384" s="36"/>
      <c r="GG384" s="36"/>
      <c r="GH384" s="36"/>
      <c r="GI384" s="36"/>
      <c r="GJ384" s="36"/>
      <c r="GK384" s="36"/>
      <c r="GL384" s="36"/>
      <c r="GM384" s="36"/>
      <c r="GN384" s="36"/>
      <c r="GO384" s="36"/>
      <c r="GP384" s="36"/>
      <c r="GQ384" s="36"/>
      <c r="GR384" s="36"/>
      <c r="GS384" s="36"/>
      <c r="GT384" s="36"/>
      <c r="GU384" s="36"/>
      <c r="GV384" s="36"/>
      <c r="GW384" s="36"/>
      <c r="GX384" s="36"/>
      <c r="GY384" s="36"/>
      <c r="GZ384" s="36"/>
      <c r="HA384" s="36"/>
      <c r="HB384" s="36"/>
      <c r="HC384" s="36"/>
      <c r="HD384" s="36"/>
      <c r="HE384" s="36"/>
      <c r="HF384" s="36"/>
      <c r="HG384" s="36"/>
      <c r="HH384" s="36"/>
      <c r="HI384" s="36"/>
      <c r="HJ384" s="36"/>
      <c r="HK384" s="36"/>
      <c r="HL384" s="36"/>
      <c r="HM384" s="36"/>
      <c r="HN384" s="36"/>
      <c r="HO384" s="36"/>
      <c r="HP384" s="36"/>
      <c r="HQ384" s="36"/>
      <c r="HR384" s="36"/>
      <c r="HS384" s="36"/>
      <c r="HT384" s="36"/>
      <c r="HU384" s="36"/>
      <c r="HV384" s="36"/>
      <c r="HW384" s="36"/>
      <c r="HX384" s="36"/>
      <c r="HY384" s="36"/>
      <c r="HZ384" s="36"/>
      <c r="IA384" s="36"/>
      <c r="IB384" s="36"/>
      <c r="IC384" s="36"/>
      <c r="ID384" s="36"/>
      <c r="IE384" s="36"/>
      <c r="IF384" s="36"/>
      <c r="IG384" s="36"/>
      <c r="IH384" s="36"/>
      <c r="II384" s="36"/>
      <c r="IJ384" s="36"/>
      <c r="IK384" s="36"/>
      <c r="IL384" s="36"/>
      <c r="IM384" s="36"/>
      <c r="IN384" s="36"/>
      <c r="IO384" s="36"/>
      <c r="IP384" s="36"/>
      <c r="IQ384" s="36"/>
      <c r="IR384" s="36"/>
      <c r="IS384" s="36"/>
      <c r="IT384" s="36"/>
      <c r="IU384" s="36"/>
      <c r="IV384" s="36"/>
      <c r="IW384" s="36"/>
      <c r="IX384" s="36"/>
      <c r="IY384" s="36"/>
      <c r="IZ384" s="36"/>
      <c r="JA384" s="36"/>
      <c r="JB384" s="36"/>
      <c r="JC384" s="36"/>
      <c r="JD384" s="36"/>
      <c r="JE384" s="36"/>
      <c r="JF384" s="36"/>
      <c r="JG384" s="36"/>
      <c r="JH384" s="36"/>
      <c r="JI384" s="36"/>
      <c r="JJ384" s="36"/>
      <c r="JK384" s="36"/>
      <c r="JL384" s="36"/>
      <c r="JM384" s="36"/>
      <c r="JN384" s="36"/>
      <c r="JO384" s="36"/>
      <c r="JP384" s="36"/>
      <c r="JQ384" s="36"/>
      <c r="JR384" s="36"/>
      <c r="JS384" s="36"/>
      <c r="JT384" s="36"/>
      <c r="JU384" s="36"/>
      <c r="JV384" s="36"/>
      <c r="JW384" s="36"/>
      <c r="JX384" s="36"/>
      <c r="JY384" s="36"/>
      <c r="JZ384" s="36"/>
      <c r="KA384" s="36"/>
      <c r="KB384" s="36"/>
      <c r="KC384" s="36"/>
      <c r="KD384" s="36"/>
      <c r="KE384" s="36"/>
      <c r="KF384" s="36"/>
      <c r="KG384" s="36"/>
      <c r="KH384" s="36"/>
      <c r="KI384" s="36"/>
      <c r="KJ384" s="36"/>
      <c r="KK384" s="36"/>
      <c r="KL384" s="36"/>
      <c r="KM384" s="36"/>
      <c r="KN384" s="36"/>
      <c r="KO384" s="36"/>
      <c r="KP384" s="36"/>
      <c r="KQ384" s="36"/>
      <c r="KR384" s="36"/>
      <c r="KS384" s="36"/>
      <c r="KT384" s="36"/>
      <c r="KU384" s="36"/>
      <c r="KV384" s="36"/>
      <c r="KW384" s="36"/>
      <c r="KX384" s="36"/>
      <c r="KY384" s="36"/>
      <c r="KZ384" s="36"/>
      <c r="LA384" s="36"/>
      <c r="LB384" s="36"/>
      <c r="LC384" s="36"/>
      <c r="LD384" s="36"/>
      <c r="LE384" s="36"/>
      <c r="LF384" s="36"/>
      <c r="LG384" s="36"/>
      <c r="LH384" s="36"/>
      <c r="LI384" s="36"/>
      <c r="LJ384" s="36"/>
      <c r="LK384" s="36"/>
      <c r="LL384" s="36"/>
      <c r="LM384" s="36"/>
      <c r="LN384" s="36"/>
      <c r="LO384" s="36"/>
      <c r="LP384" s="36"/>
      <c r="LQ384" s="36"/>
      <c r="LR384" s="36"/>
      <c r="LS384" s="36"/>
      <c r="LT384" s="36"/>
      <c r="LU384" s="36"/>
      <c r="LV384" s="36"/>
      <c r="LW384" s="36"/>
      <c r="LX384" s="36"/>
      <c r="LY384" s="36"/>
      <c r="LZ384" s="36"/>
      <c r="MA384" s="36"/>
      <c r="MB384" s="36"/>
      <c r="MC384" s="36"/>
      <c r="MD384" s="36"/>
      <c r="ME384" s="36"/>
      <c r="MF384" s="36"/>
      <c r="MG384" s="36"/>
      <c r="MH384" s="36"/>
      <c r="MI384" s="36"/>
      <c r="MJ384" s="36"/>
      <c r="MK384" s="36"/>
      <c r="ML384" s="36"/>
      <c r="MM384" s="36"/>
      <c r="MN384" s="36"/>
      <c r="MO384" s="36"/>
      <c r="MP384" s="36"/>
      <c r="MQ384" s="36"/>
      <c r="MR384" s="36"/>
      <c r="MS384" s="36"/>
      <c r="MT384" s="36"/>
      <c r="MU384" s="36"/>
      <c r="MV384" s="36"/>
      <c r="MW384" s="36"/>
      <c r="MX384" s="36"/>
      <c r="MY384" s="36"/>
      <c r="MZ384" s="36"/>
      <c r="NA384" s="36"/>
      <c r="NB384" s="36"/>
      <c r="NC384" s="36"/>
      <c r="ND384" s="36"/>
      <c r="NE384" s="36"/>
      <c r="NF384" s="36"/>
      <c r="NG384" s="36"/>
      <c r="NH384" s="36"/>
      <c r="NI384" s="36"/>
      <c r="NJ384" s="36"/>
      <c r="NK384" s="36"/>
      <c r="NL384" s="36"/>
      <c r="NM384" s="36"/>
      <c r="NN384" s="36"/>
      <c r="NO384" s="36"/>
      <c r="NP384" s="36"/>
      <c r="NQ384" s="36"/>
      <c r="NR384" s="36"/>
      <c r="NS384" s="36"/>
      <c r="NT384" s="36"/>
      <c r="NU384" s="36"/>
      <c r="NV384" s="36"/>
      <c r="NW384" s="36"/>
      <c r="NX384" s="36"/>
      <c r="NY384" s="36"/>
      <c r="NZ384" s="36"/>
      <c r="OA384" s="36"/>
      <c r="OB384" s="36"/>
      <c r="OC384" s="36"/>
      <c r="OD384" s="36"/>
      <c r="OE384" s="36"/>
      <c r="OF384" s="36"/>
      <c r="OG384" s="36"/>
      <c r="OH384" s="36"/>
      <c r="OI384" s="36"/>
      <c r="OJ384" s="36"/>
      <c r="OK384" s="36"/>
      <c r="OL384" s="36"/>
      <c r="OM384" s="36"/>
      <c r="ON384" s="36"/>
      <c r="OO384" s="36"/>
      <c r="OP384" s="36"/>
      <c r="OQ384" s="36"/>
      <c r="OR384" s="36"/>
      <c r="OS384" s="36"/>
      <c r="OT384" s="36"/>
      <c r="OU384" s="36"/>
      <c r="OV384" s="36"/>
      <c r="OW384" s="36"/>
      <c r="OX384" s="36"/>
      <c r="OY384" s="36"/>
      <c r="OZ384" s="36"/>
      <c r="PA384" s="36"/>
      <c r="PB384" s="36"/>
      <c r="PC384" s="36"/>
      <c r="PD384" s="36"/>
      <c r="PE384" s="36"/>
      <c r="PF384" s="36"/>
      <c r="PG384" s="36"/>
      <c r="PH384" s="36"/>
      <c r="PI384" s="36"/>
      <c r="PJ384" s="36"/>
      <c r="PK384" s="36"/>
      <c r="PL384" s="36"/>
      <c r="PM384" s="36"/>
      <c r="PN384" s="36"/>
      <c r="PO384" s="36"/>
      <c r="PP384" s="36"/>
      <c r="PQ384" s="36"/>
      <c r="PR384" s="36"/>
      <c r="PS384" s="36"/>
      <c r="PT384" s="36"/>
      <c r="PU384" s="36"/>
      <c r="PV384" s="36"/>
      <c r="PW384" s="36"/>
      <c r="PX384" s="36"/>
      <c r="PY384" s="36"/>
      <c r="PZ384" s="36"/>
      <c r="QA384" s="36"/>
      <c r="QB384" s="36"/>
      <c r="QC384" s="36"/>
      <c r="QD384" s="36"/>
      <c r="QE384" s="36"/>
      <c r="QF384" s="36"/>
      <c r="QG384" s="36"/>
      <c r="QH384" s="36"/>
      <c r="QI384" s="36"/>
      <c r="QJ384" s="36"/>
      <c r="QK384" s="36"/>
      <c r="QL384" s="36"/>
      <c r="QM384" s="36"/>
      <c r="QN384" s="36"/>
      <c r="QO384" s="36"/>
      <c r="QP384" s="36"/>
      <c r="QQ384" s="36"/>
      <c r="QR384" s="36"/>
      <c r="QS384" s="36"/>
      <c r="QT384" s="36"/>
      <c r="QU384" s="36"/>
      <c r="QV384" s="36"/>
      <c r="QW384" s="36"/>
      <c r="QX384" s="36"/>
      <c r="QY384" s="36"/>
      <c r="QZ384" s="36"/>
      <c r="RA384" s="36"/>
      <c r="RB384" s="36"/>
      <c r="RC384" s="36"/>
      <c r="RD384" s="36"/>
      <c r="RE384" s="36"/>
      <c r="RF384" s="36"/>
      <c r="RG384" s="36"/>
      <c r="RH384" s="36"/>
      <c r="RI384" s="36"/>
      <c r="RJ384" s="36"/>
      <c r="RK384" s="36"/>
      <c r="RL384" s="36"/>
      <c r="RM384" s="36"/>
      <c r="RN384" s="36"/>
      <c r="RO384" s="36"/>
      <c r="RP384" s="36"/>
      <c r="RQ384" s="36"/>
      <c r="RR384" s="36"/>
      <c r="RS384" s="36"/>
      <c r="RT384" s="36"/>
      <c r="RU384" s="36"/>
      <c r="RV384" s="36"/>
      <c r="RW384" s="36"/>
      <c r="RX384" s="36"/>
      <c r="RY384" s="36"/>
      <c r="RZ384" s="36"/>
      <c r="SA384" s="36"/>
      <c r="SB384" s="36"/>
      <c r="SC384" s="36"/>
      <c r="SD384" s="36"/>
      <c r="SE384" s="36"/>
      <c r="SF384" s="36"/>
      <c r="SG384" s="36"/>
      <c r="SH384" s="36"/>
      <c r="SI384" s="36"/>
      <c r="SJ384" s="36"/>
      <c r="SK384" s="36"/>
      <c r="SL384" s="36"/>
      <c r="SM384" s="36"/>
      <c r="SN384" s="36"/>
      <c r="SO384" s="36"/>
      <c r="SP384" s="36"/>
      <c r="SQ384" s="36"/>
      <c r="SR384" s="36"/>
      <c r="SS384" s="36"/>
      <c r="ST384" s="36"/>
      <c r="SU384" s="36"/>
      <c r="SV384" s="36"/>
      <c r="SW384" s="36"/>
      <c r="SX384" s="36"/>
      <c r="SY384" s="36"/>
      <c r="SZ384" s="36"/>
      <c r="TA384" s="36"/>
      <c r="TB384" s="36"/>
      <c r="TC384" s="36"/>
      <c r="TD384" s="36"/>
      <c r="TE384" s="36"/>
      <c r="TF384" s="36"/>
      <c r="TG384" s="36"/>
      <c r="TH384" s="36"/>
      <c r="TI384" s="36"/>
      <c r="TJ384" s="36"/>
      <c r="TK384" s="36"/>
      <c r="TL384" s="36"/>
      <c r="TM384" s="36"/>
      <c r="TN384" s="36"/>
      <c r="TO384" s="36"/>
      <c r="TP384" s="36"/>
      <c r="TQ384" s="36"/>
      <c r="TR384" s="36"/>
      <c r="TS384" s="36"/>
      <c r="TT384" s="36"/>
      <c r="TU384" s="36"/>
      <c r="TV384" s="36"/>
      <c r="TW384" s="36"/>
      <c r="TX384" s="36"/>
      <c r="TY384" s="36"/>
      <c r="TZ384" s="36"/>
      <c r="UA384" s="36"/>
      <c r="UB384" s="36"/>
      <c r="UC384" s="36"/>
      <c r="UD384" s="36"/>
      <c r="UE384" s="36"/>
      <c r="UF384" s="36"/>
      <c r="UG384" s="37"/>
    </row>
    <row r="385" spans="1:553" ht="29.25" customHeight="1">
      <c r="A385" s="356"/>
      <c r="B385" s="356"/>
      <c r="C385" s="1401" t="s">
        <v>56</v>
      </c>
      <c r="D385" s="1455"/>
      <c r="E385" s="1455"/>
      <c r="F385" s="1456"/>
      <c r="G385" s="366" t="s">
        <v>57</v>
      </c>
      <c r="H385" s="417"/>
      <c r="I385" s="417">
        <v>1</v>
      </c>
      <c r="J385" s="368">
        <v>5000000</v>
      </c>
      <c r="K385" s="369"/>
      <c r="L385" s="366">
        <f t="shared" ref="L385:L386" si="81">I385*J385</f>
        <v>5000000</v>
      </c>
      <c r="M385" s="356"/>
      <c r="N385" s="356"/>
      <c r="O385" s="356"/>
      <c r="P385" s="356"/>
      <c r="Q385" s="610"/>
      <c r="R385" s="1452"/>
      <c r="S385" s="308"/>
      <c r="T385" s="303"/>
      <c r="U385" s="306"/>
      <c r="V385" s="307"/>
      <c r="W385" s="306"/>
      <c r="X385" s="306"/>
      <c r="Y385" s="306"/>
      <c r="Z385" s="306"/>
      <c r="AA385" s="306"/>
      <c r="AB385" s="306"/>
      <c r="AC385" s="456"/>
      <c r="AD385" s="456"/>
      <c r="AE385" s="456"/>
      <c r="AF385" s="456"/>
      <c r="AG385" s="456"/>
      <c r="AH385" s="456"/>
      <c r="AI385" s="456"/>
      <c r="AJ385" s="456"/>
      <c r="AK385" s="456"/>
      <c r="AL385" s="184"/>
      <c r="AM385" s="34"/>
      <c r="AN385" s="34"/>
      <c r="AO385" s="34"/>
      <c r="AP385" s="34"/>
      <c r="AQ385" s="34"/>
      <c r="AR385" s="34"/>
      <c r="AS385" s="34"/>
      <c r="AT385" s="35"/>
      <c r="AU385" s="35"/>
      <c r="AV385" s="35"/>
      <c r="AW385" s="35"/>
      <c r="AX385" s="35"/>
      <c r="AY385" s="35"/>
      <c r="AZ385" s="35"/>
      <c r="BA385" s="35"/>
      <c r="BB385" s="35"/>
      <c r="BC385" s="35"/>
      <c r="BD385" s="35"/>
      <c r="BE385" s="35"/>
      <c r="BF385" s="35"/>
      <c r="BG385" s="35"/>
      <c r="BH385" s="35"/>
      <c r="BI385" s="35"/>
      <c r="BJ385" s="35"/>
      <c r="BK385" s="35"/>
      <c r="BL385" s="35"/>
      <c r="BM385" s="35"/>
      <c r="BN385" s="35"/>
      <c r="BO385" s="35"/>
      <c r="BP385" s="36"/>
      <c r="BQ385" s="36"/>
      <c r="BR385" s="36"/>
      <c r="BS385" s="36"/>
      <c r="BT385" s="36"/>
      <c r="BU385" s="36"/>
      <c r="BV385" s="36"/>
      <c r="BW385" s="36"/>
      <c r="BX385" s="36"/>
      <c r="BY385" s="36"/>
      <c r="BZ385" s="36"/>
      <c r="CA385" s="36"/>
      <c r="CB385" s="36"/>
      <c r="CC385" s="36"/>
      <c r="CD385" s="36"/>
      <c r="CE385" s="36"/>
      <c r="CF385" s="36"/>
      <c r="CG385" s="36"/>
      <c r="CH385" s="36"/>
      <c r="CI385" s="36"/>
      <c r="CJ385" s="36"/>
      <c r="CK385" s="36"/>
      <c r="CL385" s="36"/>
      <c r="CM385" s="36"/>
      <c r="CN385" s="36"/>
      <c r="CO385" s="36"/>
      <c r="CP385" s="36"/>
      <c r="CQ385" s="36"/>
      <c r="CR385" s="36"/>
      <c r="CS385" s="36"/>
      <c r="CT385" s="36"/>
      <c r="CU385" s="36"/>
      <c r="CV385" s="36"/>
      <c r="CW385" s="36"/>
      <c r="CX385" s="36"/>
      <c r="CY385" s="36"/>
      <c r="CZ385" s="36"/>
      <c r="DA385" s="36"/>
      <c r="DB385" s="36"/>
      <c r="DC385" s="36"/>
      <c r="DD385" s="36"/>
      <c r="DE385" s="36"/>
      <c r="DF385" s="36"/>
      <c r="DG385" s="36"/>
      <c r="DH385" s="36"/>
      <c r="DI385" s="36"/>
      <c r="DJ385" s="36"/>
      <c r="DK385" s="36"/>
      <c r="DL385" s="36"/>
      <c r="DM385" s="36"/>
      <c r="DN385" s="36"/>
      <c r="DO385" s="36"/>
      <c r="DP385" s="36"/>
      <c r="DQ385" s="36"/>
      <c r="DR385" s="36"/>
      <c r="DS385" s="36"/>
      <c r="DT385" s="36"/>
      <c r="DU385" s="36"/>
      <c r="DV385" s="36"/>
      <c r="DW385" s="36"/>
      <c r="DX385" s="36"/>
      <c r="DY385" s="36"/>
      <c r="DZ385" s="36"/>
      <c r="EA385" s="36"/>
      <c r="EB385" s="36"/>
      <c r="EC385" s="36"/>
      <c r="ED385" s="36"/>
      <c r="EE385" s="36"/>
      <c r="EF385" s="36"/>
      <c r="EG385" s="36"/>
      <c r="EH385" s="36"/>
      <c r="EI385" s="36"/>
      <c r="EJ385" s="36"/>
      <c r="EK385" s="36"/>
      <c r="EL385" s="36"/>
      <c r="EM385" s="36"/>
      <c r="EN385" s="36"/>
      <c r="EO385" s="36"/>
      <c r="EP385" s="36"/>
      <c r="EQ385" s="36"/>
      <c r="ER385" s="36"/>
      <c r="ES385" s="36"/>
      <c r="ET385" s="36"/>
      <c r="EU385" s="36"/>
      <c r="EV385" s="36"/>
      <c r="EW385" s="36"/>
      <c r="EX385" s="36"/>
      <c r="EY385" s="36"/>
      <c r="EZ385" s="36"/>
      <c r="FA385" s="36"/>
      <c r="FB385" s="36"/>
      <c r="FC385" s="36"/>
      <c r="FD385" s="36"/>
      <c r="FE385" s="36"/>
      <c r="FF385" s="36"/>
      <c r="FG385" s="36"/>
      <c r="FH385" s="36"/>
      <c r="FI385" s="36"/>
      <c r="FJ385" s="36"/>
      <c r="FK385" s="36"/>
      <c r="FL385" s="36"/>
      <c r="FM385" s="36"/>
      <c r="FN385" s="36"/>
      <c r="FO385" s="36"/>
      <c r="FP385" s="36"/>
      <c r="FQ385" s="36"/>
      <c r="FR385" s="36"/>
      <c r="FS385" s="36"/>
      <c r="FT385" s="36"/>
      <c r="FU385" s="36"/>
      <c r="FV385" s="36"/>
      <c r="FW385" s="36"/>
      <c r="FX385" s="36"/>
      <c r="FY385" s="36"/>
      <c r="FZ385" s="36"/>
      <c r="GA385" s="36"/>
      <c r="GB385" s="36"/>
      <c r="GC385" s="36"/>
      <c r="GD385" s="36"/>
      <c r="GE385" s="36"/>
      <c r="GF385" s="36"/>
      <c r="GG385" s="36"/>
      <c r="GH385" s="36"/>
      <c r="GI385" s="36"/>
      <c r="GJ385" s="36"/>
      <c r="GK385" s="36"/>
      <c r="GL385" s="36"/>
      <c r="GM385" s="36"/>
      <c r="GN385" s="36"/>
      <c r="GO385" s="36"/>
      <c r="GP385" s="36"/>
      <c r="GQ385" s="36"/>
      <c r="GR385" s="36"/>
      <c r="GS385" s="36"/>
      <c r="GT385" s="36"/>
      <c r="GU385" s="36"/>
      <c r="GV385" s="36"/>
      <c r="GW385" s="36"/>
      <c r="GX385" s="36"/>
      <c r="GY385" s="36"/>
      <c r="GZ385" s="36"/>
      <c r="HA385" s="36"/>
      <c r="HB385" s="36"/>
      <c r="HC385" s="36"/>
      <c r="HD385" s="36"/>
      <c r="HE385" s="36"/>
      <c r="HF385" s="36"/>
      <c r="HG385" s="36"/>
      <c r="HH385" s="36"/>
      <c r="HI385" s="36"/>
      <c r="HJ385" s="36"/>
      <c r="HK385" s="36"/>
      <c r="HL385" s="36"/>
      <c r="HM385" s="36"/>
      <c r="HN385" s="36"/>
      <c r="HO385" s="36"/>
      <c r="HP385" s="36"/>
      <c r="HQ385" s="36"/>
      <c r="HR385" s="36"/>
      <c r="HS385" s="36"/>
      <c r="HT385" s="36"/>
      <c r="HU385" s="36"/>
      <c r="HV385" s="36"/>
      <c r="HW385" s="36"/>
      <c r="HX385" s="36"/>
      <c r="HY385" s="36"/>
      <c r="HZ385" s="36"/>
      <c r="IA385" s="36"/>
      <c r="IB385" s="36"/>
      <c r="IC385" s="36"/>
      <c r="ID385" s="36"/>
      <c r="IE385" s="36"/>
      <c r="IF385" s="36"/>
      <c r="IG385" s="36"/>
      <c r="IH385" s="36"/>
      <c r="II385" s="36"/>
      <c r="IJ385" s="36"/>
      <c r="IK385" s="36"/>
      <c r="IL385" s="36"/>
      <c r="IM385" s="36"/>
      <c r="IN385" s="36"/>
      <c r="IO385" s="36"/>
      <c r="IP385" s="36"/>
      <c r="IQ385" s="36"/>
      <c r="IR385" s="36"/>
      <c r="IS385" s="36"/>
      <c r="IT385" s="36"/>
      <c r="IU385" s="36"/>
      <c r="IV385" s="36"/>
      <c r="IW385" s="36"/>
      <c r="IX385" s="36"/>
      <c r="IY385" s="36"/>
      <c r="IZ385" s="36"/>
      <c r="JA385" s="36"/>
      <c r="JB385" s="36"/>
      <c r="JC385" s="36"/>
      <c r="JD385" s="36"/>
      <c r="JE385" s="36"/>
      <c r="JF385" s="36"/>
      <c r="JG385" s="36"/>
      <c r="JH385" s="36"/>
      <c r="JI385" s="36"/>
      <c r="JJ385" s="36"/>
      <c r="JK385" s="36"/>
      <c r="JL385" s="36"/>
      <c r="JM385" s="36"/>
      <c r="JN385" s="36"/>
      <c r="JO385" s="36"/>
      <c r="JP385" s="36"/>
      <c r="JQ385" s="36"/>
      <c r="JR385" s="36"/>
      <c r="JS385" s="36"/>
      <c r="JT385" s="36"/>
      <c r="JU385" s="36"/>
      <c r="JV385" s="36"/>
      <c r="JW385" s="36"/>
      <c r="JX385" s="36"/>
      <c r="JY385" s="36"/>
      <c r="JZ385" s="36"/>
      <c r="KA385" s="36"/>
      <c r="KB385" s="36"/>
      <c r="KC385" s="36"/>
      <c r="KD385" s="36"/>
      <c r="KE385" s="36"/>
      <c r="KF385" s="36"/>
      <c r="KG385" s="36"/>
      <c r="KH385" s="36"/>
      <c r="KI385" s="36"/>
      <c r="KJ385" s="36"/>
      <c r="KK385" s="36"/>
      <c r="KL385" s="36"/>
      <c r="KM385" s="36"/>
      <c r="KN385" s="36"/>
      <c r="KO385" s="36"/>
      <c r="KP385" s="36"/>
      <c r="KQ385" s="36"/>
      <c r="KR385" s="36"/>
      <c r="KS385" s="36"/>
      <c r="KT385" s="36"/>
      <c r="KU385" s="36"/>
      <c r="KV385" s="36"/>
      <c r="KW385" s="36"/>
      <c r="KX385" s="36"/>
      <c r="KY385" s="36"/>
      <c r="KZ385" s="36"/>
      <c r="LA385" s="36"/>
      <c r="LB385" s="36"/>
      <c r="LC385" s="36"/>
      <c r="LD385" s="36"/>
      <c r="LE385" s="36"/>
      <c r="LF385" s="36"/>
      <c r="LG385" s="36"/>
      <c r="LH385" s="36"/>
      <c r="LI385" s="36"/>
      <c r="LJ385" s="36"/>
      <c r="LK385" s="36"/>
      <c r="LL385" s="36"/>
      <c r="LM385" s="36"/>
      <c r="LN385" s="36"/>
      <c r="LO385" s="36"/>
      <c r="LP385" s="36"/>
      <c r="LQ385" s="36"/>
      <c r="LR385" s="36"/>
      <c r="LS385" s="36"/>
      <c r="LT385" s="36"/>
      <c r="LU385" s="36"/>
      <c r="LV385" s="36"/>
      <c r="LW385" s="36"/>
      <c r="LX385" s="36"/>
      <c r="LY385" s="36"/>
      <c r="LZ385" s="36"/>
      <c r="MA385" s="36"/>
      <c r="MB385" s="36"/>
      <c r="MC385" s="36"/>
      <c r="MD385" s="36"/>
      <c r="ME385" s="36"/>
      <c r="MF385" s="36"/>
      <c r="MG385" s="36"/>
      <c r="MH385" s="36"/>
      <c r="MI385" s="36"/>
      <c r="MJ385" s="36"/>
      <c r="MK385" s="36"/>
      <c r="ML385" s="36"/>
      <c r="MM385" s="36"/>
      <c r="MN385" s="36"/>
      <c r="MO385" s="36"/>
      <c r="MP385" s="36"/>
      <c r="MQ385" s="36"/>
      <c r="MR385" s="36"/>
      <c r="MS385" s="36"/>
      <c r="MT385" s="36"/>
      <c r="MU385" s="36"/>
      <c r="MV385" s="36"/>
      <c r="MW385" s="36"/>
      <c r="MX385" s="36"/>
      <c r="MY385" s="36"/>
      <c r="MZ385" s="36"/>
      <c r="NA385" s="36"/>
      <c r="NB385" s="36"/>
      <c r="NC385" s="36"/>
      <c r="ND385" s="36"/>
      <c r="NE385" s="36"/>
      <c r="NF385" s="36"/>
      <c r="NG385" s="36"/>
      <c r="NH385" s="36"/>
      <c r="NI385" s="36"/>
      <c r="NJ385" s="36"/>
      <c r="NK385" s="36"/>
      <c r="NL385" s="36"/>
      <c r="NM385" s="36"/>
      <c r="NN385" s="36"/>
      <c r="NO385" s="36"/>
      <c r="NP385" s="36"/>
      <c r="NQ385" s="36"/>
      <c r="NR385" s="36"/>
      <c r="NS385" s="36"/>
      <c r="NT385" s="36"/>
      <c r="NU385" s="36"/>
      <c r="NV385" s="36"/>
      <c r="NW385" s="36"/>
      <c r="NX385" s="36"/>
      <c r="NY385" s="36"/>
      <c r="NZ385" s="36"/>
      <c r="OA385" s="36"/>
      <c r="OB385" s="36"/>
      <c r="OC385" s="36"/>
      <c r="OD385" s="36"/>
      <c r="OE385" s="36"/>
      <c r="OF385" s="36"/>
      <c r="OG385" s="36"/>
      <c r="OH385" s="36"/>
      <c r="OI385" s="36"/>
      <c r="OJ385" s="36"/>
      <c r="OK385" s="36"/>
      <c r="OL385" s="36"/>
      <c r="OM385" s="36"/>
      <c r="ON385" s="36"/>
      <c r="OO385" s="36"/>
      <c r="OP385" s="36"/>
      <c r="OQ385" s="36"/>
      <c r="OR385" s="36"/>
      <c r="OS385" s="36"/>
      <c r="OT385" s="36"/>
      <c r="OU385" s="36"/>
      <c r="OV385" s="36"/>
      <c r="OW385" s="36"/>
      <c r="OX385" s="36"/>
      <c r="OY385" s="36"/>
      <c r="OZ385" s="36"/>
      <c r="PA385" s="36"/>
      <c r="PB385" s="36"/>
      <c r="PC385" s="36"/>
      <c r="PD385" s="36"/>
      <c r="PE385" s="36"/>
      <c r="PF385" s="36"/>
      <c r="PG385" s="36"/>
      <c r="PH385" s="36"/>
      <c r="PI385" s="36"/>
      <c r="PJ385" s="36"/>
      <c r="PK385" s="36"/>
      <c r="PL385" s="36"/>
      <c r="PM385" s="36"/>
      <c r="PN385" s="36"/>
      <c r="PO385" s="36"/>
      <c r="PP385" s="36"/>
      <c r="PQ385" s="36"/>
      <c r="PR385" s="36"/>
      <c r="PS385" s="36"/>
      <c r="PT385" s="36"/>
      <c r="PU385" s="36"/>
      <c r="PV385" s="36"/>
      <c r="PW385" s="36"/>
      <c r="PX385" s="36"/>
      <c r="PY385" s="36"/>
      <c r="PZ385" s="36"/>
      <c r="QA385" s="36"/>
      <c r="QB385" s="36"/>
      <c r="QC385" s="36"/>
      <c r="QD385" s="36"/>
      <c r="QE385" s="36"/>
      <c r="QF385" s="36"/>
      <c r="QG385" s="36"/>
      <c r="QH385" s="36"/>
      <c r="QI385" s="36"/>
      <c r="QJ385" s="36"/>
      <c r="QK385" s="36"/>
      <c r="QL385" s="36"/>
      <c r="QM385" s="36"/>
      <c r="QN385" s="36"/>
      <c r="QO385" s="36"/>
      <c r="QP385" s="36"/>
      <c r="QQ385" s="36"/>
      <c r="QR385" s="36"/>
      <c r="QS385" s="36"/>
      <c r="QT385" s="36"/>
      <c r="QU385" s="36"/>
      <c r="QV385" s="36"/>
      <c r="QW385" s="36"/>
      <c r="QX385" s="36"/>
      <c r="QY385" s="36"/>
      <c r="QZ385" s="36"/>
      <c r="RA385" s="36"/>
      <c r="RB385" s="36"/>
      <c r="RC385" s="36"/>
      <c r="RD385" s="36"/>
      <c r="RE385" s="36"/>
      <c r="RF385" s="36"/>
      <c r="RG385" s="36"/>
      <c r="RH385" s="36"/>
      <c r="RI385" s="36"/>
      <c r="RJ385" s="36"/>
      <c r="RK385" s="36"/>
      <c r="RL385" s="36"/>
      <c r="RM385" s="36"/>
      <c r="RN385" s="36"/>
      <c r="RO385" s="36"/>
      <c r="RP385" s="36"/>
      <c r="RQ385" s="36"/>
      <c r="RR385" s="36"/>
      <c r="RS385" s="36"/>
      <c r="RT385" s="36"/>
      <c r="RU385" s="36"/>
      <c r="RV385" s="36"/>
      <c r="RW385" s="36"/>
      <c r="RX385" s="36"/>
      <c r="RY385" s="36"/>
      <c r="RZ385" s="36"/>
      <c r="SA385" s="36"/>
      <c r="SB385" s="36"/>
      <c r="SC385" s="36"/>
      <c r="SD385" s="36"/>
      <c r="SE385" s="36"/>
      <c r="SF385" s="36"/>
      <c r="SG385" s="36"/>
      <c r="SH385" s="36"/>
      <c r="SI385" s="36"/>
      <c r="SJ385" s="36"/>
      <c r="SK385" s="36"/>
      <c r="SL385" s="36"/>
      <c r="SM385" s="36"/>
      <c r="SN385" s="36"/>
      <c r="SO385" s="36"/>
      <c r="SP385" s="36"/>
      <c r="SQ385" s="36"/>
      <c r="SR385" s="36"/>
      <c r="SS385" s="36"/>
      <c r="ST385" s="36"/>
      <c r="SU385" s="36"/>
      <c r="SV385" s="36"/>
      <c r="SW385" s="36"/>
      <c r="SX385" s="36"/>
      <c r="SY385" s="36"/>
      <c r="SZ385" s="36"/>
      <c r="TA385" s="36"/>
      <c r="TB385" s="36"/>
      <c r="TC385" s="36"/>
      <c r="TD385" s="36"/>
      <c r="TE385" s="36"/>
      <c r="TF385" s="36"/>
      <c r="TG385" s="36"/>
      <c r="TH385" s="36"/>
      <c r="TI385" s="36"/>
      <c r="TJ385" s="36"/>
      <c r="TK385" s="36"/>
      <c r="TL385" s="36"/>
      <c r="TM385" s="36"/>
      <c r="TN385" s="36"/>
      <c r="TO385" s="36"/>
      <c r="TP385" s="36"/>
      <c r="TQ385" s="36"/>
      <c r="TR385" s="36"/>
      <c r="TS385" s="36"/>
      <c r="TT385" s="36"/>
      <c r="TU385" s="36"/>
      <c r="TV385" s="36"/>
      <c r="TW385" s="36"/>
      <c r="TX385" s="36"/>
      <c r="TY385" s="36"/>
      <c r="TZ385" s="36"/>
      <c r="UA385" s="36"/>
      <c r="UB385" s="36"/>
      <c r="UC385" s="36"/>
      <c r="UD385" s="36"/>
      <c r="UE385" s="36"/>
      <c r="UF385" s="36"/>
      <c r="UG385" s="37"/>
    </row>
    <row r="386" spans="1:553" ht="29.25" customHeight="1">
      <c r="A386" s="356"/>
      <c r="B386" s="356"/>
      <c r="C386" s="1401" t="s">
        <v>204</v>
      </c>
      <c r="D386" s="1455"/>
      <c r="E386" s="1455"/>
      <c r="F386" s="1456"/>
      <c r="G386" s="366" t="s">
        <v>205</v>
      </c>
      <c r="H386" s="417"/>
      <c r="I386" s="417">
        <v>1</v>
      </c>
      <c r="J386" s="368">
        <v>500000</v>
      </c>
      <c r="K386" s="369"/>
      <c r="L386" s="366">
        <f t="shared" si="81"/>
        <v>500000</v>
      </c>
      <c r="M386" s="356"/>
      <c r="N386" s="356"/>
      <c r="O386" s="356"/>
      <c r="P386" s="356"/>
      <c r="Q386" s="610"/>
      <c r="R386" s="1452"/>
      <c r="S386" s="308"/>
      <c r="T386" s="303"/>
      <c r="U386" s="306"/>
      <c r="V386" s="307"/>
      <c r="W386" s="306"/>
      <c r="X386" s="306"/>
      <c r="Y386" s="306"/>
      <c r="Z386" s="306"/>
      <c r="AA386" s="306"/>
      <c r="AB386" s="306"/>
      <c r="AC386" s="456"/>
      <c r="AD386" s="456"/>
      <c r="AE386" s="456"/>
      <c r="AF386" s="456"/>
      <c r="AG386" s="456"/>
      <c r="AH386" s="456"/>
      <c r="AI386" s="456"/>
      <c r="AJ386" s="456"/>
      <c r="AK386" s="456"/>
      <c r="AL386" s="184"/>
      <c r="AM386" s="34"/>
      <c r="AN386" s="34"/>
      <c r="AO386" s="34"/>
      <c r="AP386" s="34"/>
      <c r="AQ386" s="34"/>
      <c r="AR386" s="34"/>
      <c r="AS386" s="34"/>
      <c r="AT386" s="35"/>
      <c r="AU386" s="35"/>
      <c r="AV386" s="35"/>
      <c r="AW386" s="35"/>
      <c r="AX386" s="35"/>
      <c r="AY386" s="35"/>
      <c r="AZ386" s="35"/>
      <c r="BA386" s="35"/>
      <c r="BB386" s="35"/>
      <c r="BC386" s="35"/>
      <c r="BD386" s="35"/>
      <c r="BE386" s="35"/>
      <c r="BF386" s="35"/>
      <c r="BG386" s="35"/>
      <c r="BH386" s="35"/>
      <c r="BI386" s="35"/>
      <c r="BJ386" s="35"/>
      <c r="BK386" s="35"/>
      <c r="BL386" s="35"/>
      <c r="BM386" s="35"/>
      <c r="BN386" s="35"/>
      <c r="BO386" s="35"/>
      <c r="BP386" s="36"/>
      <c r="BQ386" s="36"/>
      <c r="BR386" s="36"/>
      <c r="BS386" s="36"/>
      <c r="BT386" s="36"/>
      <c r="BU386" s="36"/>
      <c r="BV386" s="36"/>
      <c r="BW386" s="36"/>
      <c r="BX386" s="36"/>
      <c r="BY386" s="36"/>
      <c r="BZ386" s="36"/>
      <c r="CA386" s="36"/>
      <c r="CB386" s="36"/>
      <c r="CC386" s="36"/>
      <c r="CD386" s="36"/>
      <c r="CE386" s="36"/>
      <c r="CF386" s="36"/>
      <c r="CG386" s="36"/>
      <c r="CH386" s="36"/>
      <c r="CI386" s="36"/>
      <c r="CJ386" s="36"/>
      <c r="CK386" s="36"/>
      <c r="CL386" s="36"/>
      <c r="CM386" s="36"/>
      <c r="CN386" s="36"/>
      <c r="CO386" s="36"/>
      <c r="CP386" s="36"/>
      <c r="CQ386" s="36"/>
      <c r="CR386" s="36"/>
      <c r="CS386" s="36"/>
      <c r="CT386" s="36"/>
      <c r="CU386" s="36"/>
      <c r="CV386" s="36"/>
      <c r="CW386" s="36"/>
      <c r="CX386" s="36"/>
      <c r="CY386" s="36"/>
      <c r="CZ386" s="36"/>
      <c r="DA386" s="36"/>
      <c r="DB386" s="36"/>
      <c r="DC386" s="36"/>
      <c r="DD386" s="36"/>
      <c r="DE386" s="36"/>
      <c r="DF386" s="36"/>
      <c r="DG386" s="36"/>
      <c r="DH386" s="36"/>
      <c r="DI386" s="36"/>
      <c r="DJ386" s="36"/>
      <c r="DK386" s="36"/>
      <c r="DL386" s="36"/>
      <c r="DM386" s="36"/>
      <c r="DN386" s="36"/>
      <c r="DO386" s="36"/>
      <c r="DP386" s="36"/>
      <c r="DQ386" s="36"/>
      <c r="DR386" s="36"/>
      <c r="DS386" s="36"/>
      <c r="DT386" s="36"/>
      <c r="DU386" s="36"/>
      <c r="DV386" s="36"/>
      <c r="DW386" s="36"/>
      <c r="DX386" s="36"/>
      <c r="DY386" s="36"/>
      <c r="DZ386" s="36"/>
      <c r="EA386" s="36"/>
      <c r="EB386" s="36"/>
      <c r="EC386" s="36"/>
      <c r="ED386" s="36"/>
      <c r="EE386" s="36"/>
      <c r="EF386" s="36"/>
      <c r="EG386" s="36"/>
      <c r="EH386" s="36"/>
      <c r="EI386" s="36"/>
      <c r="EJ386" s="36"/>
      <c r="EK386" s="36"/>
      <c r="EL386" s="36"/>
      <c r="EM386" s="36"/>
      <c r="EN386" s="36"/>
      <c r="EO386" s="36"/>
      <c r="EP386" s="36"/>
      <c r="EQ386" s="36"/>
      <c r="ER386" s="36"/>
      <c r="ES386" s="36"/>
      <c r="ET386" s="36"/>
      <c r="EU386" s="36"/>
      <c r="EV386" s="36"/>
      <c r="EW386" s="36"/>
      <c r="EX386" s="36"/>
      <c r="EY386" s="36"/>
      <c r="EZ386" s="36"/>
      <c r="FA386" s="36"/>
      <c r="FB386" s="36"/>
      <c r="FC386" s="36"/>
      <c r="FD386" s="36"/>
      <c r="FE386" s="36"/>
      <c r="FF386" s="36"/>
      <c r="FG386" s="36"/>
      <c r="FH386" s="36"/>
      <c r="FI386" s="36"/>
      <c r="FJ386" s="36"/>
      <c r="FK386" s="36"/>
      <c r="FL386" s="36"/>
      <c r="FM386" s="36"/>
      <c r="FN386" s="36"/>
      <c r="FO386" s="36"/>
      <c r="FP386" s="36"/>
      <c r="FQ386" s="36"/>
      <c r="FR386" s="36"/>
      <c r="FS386" s="36"/>
      <c r="FT386" s="36"/>
      <c r="FU386" s="36"/>
      <c r="FV386" s="36"/>
      <c r="FW386" s="36"/>
      <c r="FX386" s="36"/>
      <c r="FY386" s="36"/>
      <c r="FZ386" s="36"/>
      <c r="GA386" s="36"/>
      <c r="GB386" s="36"/>
      <c r="GC386" s="36"/>
      <c r="GD386" s="36"/>
      <c r="GE386" s="36"/>
      <c r="GF386" s="36"/>
      <c r="GG386" s="36"/>
      <c r="GH386" s="36"/>
      <c r="GI386" s="36"/>
      <c r="GJ386" s="36"/>
      <c r="GK386" s="36"/>
      <c r="GL386" s="36"/>
      <c r="GM386" s="36"/>
      <c r="GN386" s="36"/>
      <c r="GO386" s="36"/>
      <c r="GP386" s="36"/>
      <c r="GQ386" s="36"/>
      <c r="GR386" s="36"/>
      <c r="GS386" s="36"/>
      <c r="GT386" s="36"/>
      <c r="GU386" s="36"/>
      <c r="GV386" s="36"/>
      <c r="GW386" s="36"/>
      <c r="GX386" s="36"/>
      <c r="GY386" s="36"/>
      <c r="GZ386" s="36"/>
      <c r="HA386" s="36"/>
      <c r="HB386" s="36"/>
      <c r="HC386" s="36"/>
      <c r="HD386" s="36"/>
      <c r="HE386" s="36"/>
      <c r="HF386" s="36"/>
      <c r="HG386" s="36"/>
      <c r="HH386" s="36"/>
      <c r="HI386" s="36"/>
      <c r="HJ386" s="36"/>
      <c r="HK386" s="36"/>
      <c r="HL386" s="36"/>
      <c r="HM386" s="36"/>
      <c r="HN386" s="36"/>
      <c r="HO386" s="36"/>
      <c r="HP386" s="36"/>
      <c r="HQ386" s="36"/>
      <c r="HR386" s="36"/>
      <c r="HS386" s="36"/>
      <c r="HT386" s="36"/>
      <c r="HU386" s="36"/>
      <c r="HV386" s="36"/>
      <c r="HW386" s="36"/>
      <c r="HX386" s="36"/>
      <c r="HY386" s="36"/>
      <c r="HZ386" s="36"/>
      <c r="IA386" s="36"/>
      <c r="IB386" s="36"/>
      <c r="IC386" s="36"/>
      <c r="ID386" s="36"/>
      <c r="IE386" s="36"/>
      <c r="IF386" s="36"/>
      <c r="IG386" s="36"/>
      <c r="IH386" s="36"/>
      <c r="II386" s="36"/>
      <c r="IJ386" s="36"/>
      <c r="IK386" s="36"/>
      <c r="IL386" s="36"/>
      <c r="IM386" s="36"/>
      <c r="IN386" s="36"/>
      <c r="IO386" s="36"/>
      <c r="IP386" s="36"/>
      <c r="IQ386" s="36"/>
      <c r="IR386" s="36"/>
      <c r="IS386" s="36"/>
      <c r="IT386" s="36"/>
      <c r="IU386" s="36"/>
      <c r="IV386" s="36"/>
      <c r="IW386" s="36"/>
      <c r="IX386" s="36"/>
      <c r="IY386" s="36"/>
      <c r="IZ386" s="36"/>
      <c r="JA386" s="36"/>
      <c r="JB386" s="36"/>
      <c r="JC386" s="36"/>
      <c r="JD386" s="36"/>
      <c r="JE386" s="36"/>
      <c r="JF386" s="36"/>
      <c r="JG386" s="36"/>
      <c r="JH386" s="36"/>
      <c r="JI386" s="36"/>
      <c r="JJ386" s="36"/>
      <c r="JK386" s="36"/>
      <c r="JL386" s="36"/>
      <c r="JM386" s="36"/>
      <c r="JN386" s="36"/>
      <c r="JO386" s="36"/>
      <c r="JP386" s="36"/>
      <c r="JQ386" s="36"/>
      <c r="JR386" s="36"/>
      <c r="JS386" s="36"/>
      <c r="JT386" s="36"/>
      <c r="JU386" s="36"/>
      <c r="JV386" s="36"/>
      <c r="JW386" s="36"/>
      <c r="JX386" s="36"/>
      <c r="JY386" s="36"/>
      <c r="JZ386" s="36"/>
      <c r="KA386" s="36"/>
      <c r="KB386" s="36"/>
      <c r="KC386" s="36"/>
      <c r="KD386" s="36"/>
      <c r="KE386" s="36"/>
      <c r="KF386" s="36"/>
      <c r="KG386" s="36"/>
      <c r="KH386" s="36"/>
      <c r="KI386" s="36"/>
      <c r="KJ386" s="36"/>
      <c r="KK386" s="36"/>
      <c r="KL386" s="36"/>
      <c r="KM386" s="36"/>
      <c r="KN386" s="36"/>
      <c r="KO386" s="36"/>
      <c r="KP386" s="36"/>
      <c r="KQ386" s="36"/>
      <c r="KR386" s="36"/>
      <c r="KS386" s="36"/>
      <c r="KT386" s="36"/>
      <c r="KU386" s="36"/>
      <c r="KV386" s="36"/>
      <c r="KW386" s="36"/>
      <c r="KX386" s="36"/>
      <c r="KY386" s="36"/>
      <c r="KZ386" s="36"/>
      <c r="LA386" s="36"/>
      <c r="LB386" s="36"/>
      <c r="LC386" s="36"/>
      <c r="LD386" s="36"/>
      <c r="LE386" s="36"/>
      <c r="LF386" s="36"/>
      <c r="LG386" s="36"/>
      <c r="LH386" s="36"/>
      <c r="LI386" s="36"/>
      <c r="LJ386" s="36"/>
      <c r="LK386" s="36"/>
      <c r="LL386" s="36"/>
      <c r="LM386" s="36"/>
      <c r="LN386" s="36"/>
      <c r="LO386" s="36"/>
      <c r="LP386" s="36"/>
      <c r="LQ386" s="36"/>
      <c r="LR386" s="36"/>
      <c r="LS386" s="36"/>
      <c r="LT386" s="36"/>
      <c r="LU386" s="36"/>
      <c r="LV386" s="36"/>
      <c r="LW386" s="36"/>
      <c r="LX386" s="36"/>
      <c r="LY386" s="36"/>
      <c r="LZ386" s="36"/>
      <c r="MA386" s="36"/>
      <c r="MB386" s="36"/>
      <c r="MC386" s="36"/>
      <c r="MD386" s="36"/>
      <c r="ME386" s="36"/>
      <c r="MF386" s="36"/>
      <c r="MG386" s="36"/>
      <c r="MH386" s="36"/>
      <c r="MI386" s="36"/>
      <c r="MJ386" s="36"/>
      <c r="MK386" s="36"/>
      <c r="ML386" s="36"/>
      <c r="MM386" s="36"/>
      <c r="MN386" s="36"/>
      <c r="MO386" s="36"/>
      <c r="MP386" s="36"/>
      <c r="MQ386" s="36"/>
      <c r="MR386" s="36"/>
      <c r="MS386" s="36"/>
      <c r="MT386" s="36"/>
      <c r="MU386" s="36"/>
      <c r="MV386" s="36"/>
      <c r="MW386" s="36"/>
      <c r="MX386" s="36"/>
      <c r="MY386" s="36"/>
      <c r="MZ386" s="36"/>
      <c r="NA386" s="36"/>
      <c r="NB386" s="36"/>
      <c r="NC386" s="36"/>
      <c r="ND386" s="36"/>
      <c r="NE386" s="36"/>
      <c r="NF386" s="36"/>
      <c r="NG386" s="36"/>
      <c r="NH386" s="36"/>
      <c r="NI386" s="36"/>
      <c r="NJ386" s="36"/>
      <c r="NK386" s="36"/>
      <c r="NL386" s="36"/>
      <c r="NM386" s="36"/>
      <c r="NN386" s="36"/>
      <c r="NO386" s="36"/>
      <c r="NP386" s="36"/>
      <c r="NQ386" s="36"/>
      <c r="NR386" s="36"/>
      <c r="NS386" s="36"/>
      <c r="NT386" s="36"/>
      <c r="NU386" s="36"/>
      <c r="NV386" s="36"/>
      <c r="NW386" s="36"/>
      <c r="NX386" s="36"/>
      <c r="NY386" s="36"/>
      <c r="NZ386" s="36"/>
      <c r="OA386" s="36"/>
      <c r="OB386" s="36"/>
      <c r="OC386" s="36"/>
      <c r="OD386" s="36"/>
      <c r="OE386" s="36"/>
      <c r="OF386" s="36"/>
      <c r="OG386" s="36"/>
      <c r="OH386" s="36"/>
      <c r="OI386" s="36"/>
      <c r="OJ386" s="36"/>
      <c r="OK386" s="36"/>
      <c r="OL386" s="36"/>
      <c r="OM386" s="36"/>
      <c r="ON386" s="36"/>
      <c r="OO386" s="36"/>
      <c r="OP386" s="36"/>
      <c r="OQ386" s="36"/>
      <c r="OR386" s="36"/>
      <c r="OS386" s="36"/>
      <c r="OT386" s="36"/>
      <c r="OU386" s="36"/>
      <c r="OV386" s="36"/>
      <c r="OW386" s="36"/>
      <c r="OX386" s="36"/>
      <c r="OY386" s="36"/>
      <c r="OZ386" s="36"/>
      <c r="PA386" s="36"/>
      <c r="PB386" s="36"/>
      <c r="PC386" s="36"/>
      <c r="PD386" s="36"/>
      <c r="PE386" s="36"/>
      <c r="PF386" s="36"/>
      <c r="PG386" s="36"/>
      <c r="PH386" s="36"/>
      <c r="PI386" s="36"/>
      <c r="PJ386" s="36"/>
      <c r="PK386" s="36"/>
      <c r="PL386" s="36"/>
      <c r="PM386" s="36"/>
      <c r="PN386" s="36"/>
      <c r="PO386" s="36"/>
      <c r="PP386" s="36"/>
      <c r="PQ386" s="36"/>
      <c r="PR386" s="36"/>
      <c r="PS386" s="36"/>
      <c r="PT386" s="36"/>
      <c r="PU386" s="36"/>
      <c r="PV386" s="36"/>
      <c r="PW386" s="36"/>
      <c r="PX386" s="36"/>
      <c r="PY386" s="36"/>
      <c r="PZ386" s="36"/>
      <c r="QA386" s="36"/>
      <c r="QB386" s="36"/>
      <c r="QC386" s="36"/>
      <c r="QD386" s="36"/>
      <c r="QE386" s="36"/>
      <c r="QF386" s="36"/>
      <c r="QG386" s="36"/>
      <c r="QH386" s="36"/>
      <c r="QI386" s="36"/>
      <c r="QJ386" s="36"/>
      <c r="QK386" s="36"/>
      <c r="QL386" s="36"/>
      <c r="QM386" s="36"/>
      <c r="QN386" s="36"/>
      <c r="QO386" s="36"/>
      <c r="QP386" s="36"/>
      <c r="QQ386" s="36"/>
      <c r="QR386" s="36"/>
      <c r="QS386" s="36"/>
      <c r="QT386" s="36"/>
      <c r="QU386" s="36"/>
      <c r="QV386" s="36"/>
      <c r="QW386" s="36"/>
      <c r="QX386" s="36"/>
      <c r="QY386" s="36"/>
      <c r="QZ386" s="36"/>
      <c r="RA386" s="36"/>
      <c r="RB386" s="36"/>
      <c r="RC386" s="36"/>
      <c r="RD386" s="36"/>
      <c r="RE386" s="36"/>
      <c r="RF386" s="36"/>
      <c r="RG386" s="36"/>
      <c r="RH386" s="36"/>
      <c r="RI386" s="36"/>
      <c r="RJ386" s="36"/>
      <c r="RK386" s="36"/>
      <c r="RL386" s="36"/>
      <c r="RM386" s="36"/>
      <c r="RN386" s="36"/>
      <c r="RO386" s="36"/>
      <c r="RP386" s="36"/>
      <c r="RQ386" s="36"/>
      <c r="RR386" s="36"/>
      <c r="RS386" s="36"/>
      <c r="RT386" s="36"/>
      <c r="RU386" s="36"/>
      <c r="RV386" s="36"/>
      <c r="RW386" s="36"/>
      <c r="RX386" s="36"/>
      <c r="RY386" s="36"/>
      <c r="RZ386" s="36"/>
      <c r="SA386" s="36"/>
      <c r="SB386" s="36"/>
      <c r="SC386" s="36"/>
      <c r="SD386" s="36"/>
      <c r="SE386" s="36"/>
      <c r="SF386" s="36"/>
      <c r="SG386" s="36"/>
      <c r="SH386" s="36"/>
      <c r="SI386" s="36"/>
      <c r="SJ386" s="36"/>
      <c r="SK386" s="36"/>
      <c r="SL386" s="36"/>
      <c r="SM386" s="36"/>
      <c r="SN386" s="36"/>
      <c r="SO386" s="36"/>
      <c r="SP386" s="36"/>
      <c r="SQ386" s="36"/>
      <c r="SR386" s="36"/>
      <c r="SS386" s="36"/>
      <c r="ST386" s="36"/>
      <c r="SU386" s="36"/>
      <c r="SV386" s="36"/>
      <c r="SW386" s="36"/>
      <c r="SX386" s="36"/>
      <c r="SY386" s="36"/>
      <c r="SZ386" s="36"/>
      <c r="TA386" s="36"/>
      <c r="TB386" s="36"/>
      <c r="TC386" s="36"/>
      <c r="TD386" s="36"/>
      <c r="TE386" s="36"/>
      <c r="TF386" s="36"/>
      <c r="TG386" s="36"/>
      <c r="TH386" s="36"/>
      <c r="TI386" s="36"/>
      <c r="TJ386" s="36"/>
      <c r="TK386" s="36"/>
      <c r="TL386" s="36"/>
      <c r="TM386" s="36"/>
      <c r="TN386" s="36"/>
      <c r="TO386" s="36"/>
      <c r="TP386" s="36"/>
      <c r="TQ386" s="36"/>
      <c r="TR386" s="36"/>
      <c r="TS386" s="36"/>
      <c r="TT386" s="36"/>
      <c r="TU386" s="36"/>
      <c r="TV386" s="36"/>
      <c r="TW386" s="36"/>
      <c r="TX386" s="36"/>
      <c r="TY386" s="36"/>
      <c r="TZ386" s="36"/>
      <c r="UA386" s="36"/>
      <c r="UB386" s="36"/>
      <c r="UC386" s="36"/>
      <c r="UD386" s="36"/>
      <c r="UE386" s="36"/>
      <c r="UF386" s="36"/>
      <c r="UG386" s="37"/>
    </row>
    <row r="387" spans="1:553" ht="29.25" customHeight="1">
      <c r="A387" s="356" t="s">
        <v>58</v>
      </c>
      <c r="B387" s="356"/>
      <c r="C387" s="1457" t="s">
        <v>59</v>
      </c>
      <c r="D387" s="1458"/>
      <c r="E387" s="1458"/>
      <c r="F387" s="1459"/>
      <c r="G387" s="366"/>
      <c r="H387" s="370"/>
      <c r="I387" s="370"/>
      <c r="J387" s="368"/>
      <c r="K387" s="371"/>
      <c r="L387" s="356">
        <f>SUM(L388:L390)</f>
        <v>246018000</v>
      </c>
      <c r="M387" s="356"/>
      <c r="N387" s="356"/>
      <c r="O387" s="356"/>
      <c r="P387" s="356">
        <f>L387</f>
        <v>246018000</v>
      </c>
      <c r="Q387" s="610"/>
      <c r="R387" s="1447" t="s">
        <v>903</v>
      </c>
      <c r="S387" s="302"/>
      <c r="T387" s="303"/>
      <c r="U387" s="304"/>
      <c r="V387" s="304"/>
      <c r="W387" s="304"/>
      <c r="X387" s="304"/>
      <c r="Y387" s="304"/>
      <c r="Z387" s="304"/>
      <c r="AA387" s="304"/>
      <c r="AB387" s="304"/>
      <c r="AC387" s="449"/>
      <c r="AD387" s="449"/>
      <c r="AE387" s="449"/>
      <c r="AF387" s="449"/>
      <c r="AG387" s="449"/>
      <c r="AH387" s="449"/>
      <c r="AI387" s="449"/>
      <c r="AJ387" s="449"/>
      <c r="AK387" s="452"/>
      <c r="AL387" s="104"/>
      <c r="AM387" s="32"/>
      <c r="AN387" s="32"/>
      <c r="AO387" s="32"/>
      <c r="AP387" s="32"/>
      <c r="AQ387" s="32"/>
      <c r="AR387" s="32"/>
      <c r="AS387" s="31"/>
      <c r="AT387" s="31"/>
      <c r="AU387" s="31"/>
      <c r="AV387" s="31"/>
      <c r="AW387" s="31"/>
      <c r="AX387" s="31"/>
      <c r="AY387" s="31"/>
      <c r="AZ387" s="31"/>
      <c r="BA387" s="31"/>
      <c r="BB387" s="31"/>
      <c r="BC387" s="31"/>
      <c r="BD387" s="31"/>
      <c r="BE387" s="31"/>
      <c r="BF387" s="31"/>
      <c r="BG387" s="31"/>
      <c r="BH387" s="31"/>
      <c r="BI387" s="31"/>
      <c r="BJ387" s="31"/>
      <c r="BK387" s="31"/>
      <c r="BL387" s="31"/>
      <c r="BM387" s="31"/>
      <c r="BN387" s="31"/>
      <c r="BO387" s="31"/>
      <c r="BP387" s="25"/>
      <c r="BQ387" s="25"/>
      <c r="BR387" s="25"/>
      <c r="BS387" s="25"/>
      <c r="BT387" s="25"/>
      <c r="BU387" s="25"/>
      <c r="BV387" s="25"/>
      <c r="BW387" s="25"/>
      <c r="BX387" s="25"/>
      <c r="BY387" s="25"/>
      <c r="BZ387" s="25"/>
      <c r="CA387" s="25"/>
      <c r="CB387" s="25"/>
      <c r="CC387" s="25"/>
      <c r="CD387" s="25"/>
      <c r="CE387" s="25"/>
      <c r="CF387" s="25"/>
      <c r="CG387" s="25"/>
      <c r="CH387" s="25"/>
      <c r="CI387" s="25"/>
      <c r="CJ387" s="25"/>
      <c r="CK387" s="25"/>
      <c r="CL387" s="25"/>
      <c r="CM387" s="25"/>
      <c r="CN387" s="25"/>
      <c r="CO387" s="25"/>
      <c r="CP387" s="25"/>
      <c r="CQ387" s="25"/>
      <c r="CR387" s="25"/>
      <c r="CS387" s="25"/>
      <c r="CT387" s="25"/>
      <c r="CU387" s="25"/>
      <c r="CV387" s="25"/>
      <c r="CW387" s="25"/>
      <c r="CX387" s="25"/>
      <c r="CY387" s="25"/>
      <c r="CZ387" s="25"/>
      <c r="DA387" s="25"/>
      <c r="DB387" s="25"/>
      <c r="DC387" s="25"/>
      <c r="DD387" s="25"/>
      <c r="DE387" s="25"/>
      <c r="DF387" s="25"/>
      <c r="DG387" s="25"/>
      <c r="DH387" s="25"/>
      <c r="DI387" s="25"/>
      <c r="DJ387" s="25"/>
      <c r="DK387" s="25"/>
      <c r="DL387" s="25"/>
      <c r="DM387" s="25"/>
      <c r="DN387" s="25"/>
      <c r="DO387" s="25"/>
      <c r="DP387" s="25"/>
      <c r="DQ387" s="25"/>
      <c r="DR387" s="25"/>
      <c r="DS387" s="25"/>
      <c r="DT387" s="25"/>
      <c r="DU387" s="25"/>
      <c r="DV387" s="25"/>
      <c r="DW387" s="25"/>
      <c r="DX387" s="25"/>
      <c r="DY387" s="25"/>
      <c r="DZ387" s="25"/>
      <c r="EA387" s="25"/>
      <c r="EB387" s="25"/>
      <c r="EC387" s="25"/>
      <c r="ED387" s="25"/>
      <c r="EE387" s="25"/>
      <c r="EF387" s="25"/>
      <c r="EG387" s="25"/>
      <c r="EH387" s="25"/>
      <c r="EI387" s="25"/>
      <c r="EJ387" s="25"/>
      <c r="EK387" s="25"/>
      <c r="EL387" s="25"/>
      <c r="EM387" s="25"/>
      <c r="EN387" s="25"/>
      <c r="EO387" s="25"/>
      <c r="EP387" s="25"/>
      <c r="EQ387" s="25"/>
      <c r="ER387" s="25"/>
      <c r="ES387" s="25"/>
      <c r="ET387" s="25"/>
      <c r="EU387" s="25"/>
      <c r="EV387" s="25"/>
      <c r="EW387" s="25"/>
      <c r="EX387" s="25"/>
      <c r="EY387" s="25"/>
      <c r="EZ387" s="25"/>
      <c r="FA387" s="25"/>
      <c r="FB387" s="25"/>
      <c r="FC387" s="25"/>
      <c r="FD387" s="25"/>
      <c r="FE387" s="25"/>
      <c r="FF387" s="25"/>
      <c r="FG387" s="25"/>
      <c r="FH387" s="25"/>
      <c r="FI387" s="25"/>
      <c r="FJ387" s="25"/>
      <c r="FK387" s="25"/>
      <c r="FL387" s="25"/>
      <c r="FM387" s="25"/>
      <c r="FN387" s="25"/>
      <c r="FO387" s="25"/>
      <c r="FP387" s="25"/>
      <c r="FQ387" s="25"/>
      <c r="FR387" s="25"/>
      <c r="FS387" s="25"/>
      <c r="FT387" s="25"/>
      <c r="FU387" s="25"/>
      <c r="FV387" s="25"/>
      <c r="FW387" s="25"/>
      <c r="FX387" s="25"/>
      <c r="FY387" s="25"/>
      <c r="FZ387" s="25"/>
      <c r="GA387" s="25"/>
      <c r="GB387" s="25"/>
      <c r="GC387" s="25"/>
      <c r="GD387" s="25"/>
      <c r="GE387" s="25"/>
      <c r="GF387" s="25"/>
      <c r="GG387" s="25"/>
      <c r="GH387" s="25"/>
      <c r="GI387" s="25"/>
      <c r="GJ387" s="25"/>
      <c r="GK387" s="25"/>
      <c r="GL387" s="25"/>
      <c r="GM387" s="25"/>
      <c r="GN387" s="25"/>
      <c r="GO387" s="25"/>
      <c r="GP387" s="25"/>
      <c r="GQ387" s="25"/>
      <c r="GR387" s="25"/>
      <c r="GS387" s="25"/>
      <c r="GT387" s="25"/>
      <c r="GU387" s="25"/>
      <c r="GV387" s="25"/>
      <c r="GW387" s="25"/>
      <c r="GX387" s="25"/>
      <c r="GY387" s="25"/>
      <c r="GZ387" s="25"/>
      <c r="HA387" s="25"/>
      <c r="HB387" s="25"/>
      <c r="HC387" s="25"/>
      <c r="HD387" s="25"/>
      <c r="HE387" s="25"/>
      <c r="HF387" s="25"/>
      <c r="HG387" s="25"/>
      <c r="HH387" s="25"/>
      <c r="HI387" s="25"/>
      <c r="HJ387" s="25"/>
      <c r="HK387" s="25"/>
      <c r="HL387" s="25"/>
      <c r="HM387" s="25"/>
      <c r="HN387" s="25"/>
      <c r="HO387" s="25"/>
      <c r="HP387" s="25"/>
      <c r="HQ387" s="25"/>
      <c r="HR387" s="25"/>
      <c r="HS387" s="25"/>
      <c r="HT387" s="25"/>
      <c r="HU387" s="25"/>
      <c r="HV387" s="25"/>
      <c r="HW387" s="25"/>
      <c r="HX387" s="25"/>
      <c r="HY387" s="25"/>
      <c r="HZ387" s="25"/>
      <c r="IA387" s="25"/>
      <c r="IB387" s="25"/>
      <c r="IC387" s="25"/>
      <c r="ID387" s="25"/>
      <c r="IE387" s="25"/>
      <c r="IF387" s="25"/>
      <c r="IG387" s="25"/>
      <c r="IH387" s="25"/>
      <c r="II387" s="25"/>
      <c r="IJ387" s="25"/>
      <c r="IK387" s="25"/>
      <c r="IL387" s="25"/>
      <c r="IM387" s="25"/>
      <c r="IN387" s="25"/>
      <c r="IO387" s="25"/>
      <c r="IP387" s="25"/>
      <c r="IQ387" s="25"/>
      <c r="IR387" s="25"/>
      <c r="IS387" s="25"/>
      <c r="IT387" s="25"/>
      <c r="IU387" s="25"/>
      <c r="IV387" s="25"/>
      <c r="IW387" s="25"/>
      <c r="IX387" s="25"/>
      <c r="IY387" s="25"/>
      <c r="IZ387" s="25"/>
      <c r="JA387" s="25"/>
      <c r="JB387" s="25"/>
      <c r="JC387" s="25"/>
      <c r="JD387" s="25"/>
      <c r="JE387" s="25"/>
      <c r="JF387" s="25"/>
      <c r="JG387" s="25"/>
      <c r="JH387" s="25"/>
      <c r="JI387" s="25"/>
      <c r="JJ387" s="25"/>
      <c r="JK387" s="25"/>
      <c r="JL387" s="25"/>
      <c r="JM387" s="25"/>
      <c r="JN387" s="25"/>
      <c r="JO387" s="25"/>
      <c r="JP387" s="25"/>
      <c r="JQ387" s="25"/>
      <c r="JR387" s="25"/>
      <c r="JS387" s="25"/>
      <c r="JT387" s="25"/>
      <c r="JU387" s="25"/>
      <c r="JV387" s="25"/>
      <c r="JW387" s="25"/>
      <c r="JX387" s="25"/>
      <c r="JY387" s="25"/>
      <c r="JZ387" s="25"/>
      <c r="KA387" s="25"/>
      <c r="KB387" s="25"/>
      <c r="KC387" s="25"/>
      <c r="KD387" s="25"/>
      <c r="KE387" s="25"/>
      <c r="KF387" s="25"/>
      <c r="KG387" s="25"/>
      <c r="KH387" s="25"/>
      <c r="KI387" s="25"/>
      <c r="KJ387" s="25"/>
      <c r="KK387" s="25"/>
      <c r="KL387" s="25"/>
      <c r="KM387" s="25"/>
      <c r="KN387" s="25"/>
      <c r="KO387" s="25"/>
      <c r="KP387" s="25"/>
      <c r="KQ387" s="25"/>
      <c r="KR387" s="25"/>
      <c r="KS387" s="25"/>
      <c r="KT387" s="25"/>
      <c r="KU387" s="25"/>
      <c r="KV387" s="25"/>
      <c r="KW387" s="25"/>
      <c r="KX387" s="25"/>
      <c r="KY387" s="25"/>
      <c r="KZ387" s="25"/>
      <c r="LA387" s="25"/>
      <c r="LB387" s="25"/>
      <c r="LC387" s="25"/>
      <c r="LD387" s="25"/>
      <c r="LE387" s="25"/>
      <c r="LF387" s="25"/>
      <c r="LG387" s="25"/>
      <c r="LH387" s="25"/>
      <c r="LI387" s="25"/>
      <c r="LJ387" s="25"/>
      <c r="LK387" s="25"/>
      <c r="LL387" s="25"/>
      <c r="LM387" s="25"/>
      <c r="LN387" s="25"/>
      <c r="LO387" s="25"/>
      <c r="LP387" s="25"/>
      <c r="LQ387" s="25"/>
      <c r="LR387" s="25"/>
      <c r="LS387" s="25"/>
      <c r="LT387" s="25"/>
      <c r="LU387" s="25"/>
      <c r="LV387" s="25"/>
      <c r="LW387" s="25"/>
      <c r="LX387" s="25"/>
      <c r="LY387" s="25"/>
      <c r="LZ387" s="25"/>
      <c r="MA387" s="25"/>
      <c r="MB387" s="25"/>
      <c r="MC387" s="25"/>
      <c r="MD387" s="25"/>
      <c r="ME387" s="25"/>
      <c r="MF387" s="25"/>
      <c r="MG387" s="25"/>
      <c r="MH387" s="25"/>
      <c r="MI387" s="25"/>
      <c r="MJ387" s="25"/>
      <c r="MK387" s="25"/>
      <c r="ML387" s="25"/>
      <c r="MM387" s="25"/>
      <c r="MN387" s="25"/>
      <c r="MO387" s="25"/>
      <c r="MP387" s="25"/>
      <c r="MQ387" s="25"/>
      <c r="MR387" s="25"/>
      <c r="MS387" s="25"/>
      <c r="MT387" s="25"/>
      <c r="MU387" s="25"/>
      <c r="MV387" s="25"/>
      <c r="MW387" s="25"/>
      <c r="MX387" s="25"/>
      <c r="MY387" s="25"/>
      <c r="MZ387" s="25"/>
      <c r="NA387" s="25"/>
      <c r="NB387" s="25"/>
      <c r="NC387" s="25"/>
      <c r="ND387" s="25"/>
      <c r="NE387" s="25"/>
      <c r="NF387" s="25"/>
      <c r="NG387" s="25"/>
      <c r="NH387" s="25"/>
      <c r="NI387" s="25"/>
      <c r="NJ387" s="25"/>
      <c r="NK387" s="25"/>
      <c r="NL387" s="25"/>
      <c r="NM387" s="25"/>
      <c r="NN387" s="25"/>
      <c r="NO387" s="25"/>
      <c r="NP387" s="25"/>
      <c r="NQ387" s="25"/>
      <c r="NR387" s="25"/>
      <c r="NS387" s="25"/>
      <c r="NT387" s="25"/>
      <c r="NU387" s="25"/>
      <c r="NV387" s="25"/>
      <c r="NW387" s="25"/>
      <c r="NX387" s="25"/>
      <c r="NY387" s="25"/>
      <c r="NZ387" s="25"/>
      <c r="OA387" s="25"/>
      <c r="OB387" s="25"/>
      <c r="OC387" s="25"/>
      <c r="OD387" s="25"/>
      <c r="OE387" s="25"/>
      <c r="OF387" s="25"/>
      <c r="OG387" s="25"/>
      <c r="OH387" s="25"/>
      <c r="OI387" s="25"/>
      <c r="OJ387" s="25"/>
      <c r="OK387" s="25"/>
      <c r="OL387" s="25"/>
      <c r="OM387" s="25"/>
      <c r="ON387" s="25"/>
      <c r="OO387" s="25"/>
      <c r="OP387" s="25"/>
      <c r="OQ387" s="25"/>
      <c r="OR387" s="25"/>
      <c r="OS387" s="25"/>
      <c r="OT387" s="25"/>
      <c r="OU387" s="25"/>
      <c r="OV387" s="25"/>
      <c r="OW387" s="25"/>
      <c r="OX387" s="25"/>
      <c r="OY387" s="25"/>
      <c r="OZ387" s="25"/>
      <c r="PA387" s="25"/>
      <c r="PB387" s="25"/>
      <c r="PC387" s="25"/>
      <c r="PD387" s="25"/>
      <c r="PE387" s="25"/>
      <c r="PF387" s="25"/>
      <c r="PG387" s="25"/>
      <c r="PH387" s="25"/>
      <c r="PI387" s="25"/>
      <c r="PJ387" s="25"/>
      <c r="PK387" s="25"/>
      <c r="PL387" s="25"/>
      <c r="PM387" s="25"/>
      <c r="PN387" s="25"/>
      <c r="PO387" s="25"/>
      <c r="PP387" s="25"/>
      <c r="PQ387" s="25"/>
      <c r="PR387" s="25"/>
      <c r="PS387" s="25"/>
      <c r="PT387" s="25"/>
      <c r="PU387" s="25"/>
      <c r="PV387" s="25"/>
      <c r="PW387" s="25"/>
      <c r="PX387" s="25"/>
      <c r="PY387" s="25"/>
      <c r="PZ387" s="25"/>
      <c r="QA387" s="25"/>
      <c r="QB387" s="25"/>
      <c r="QC387" s="25"/>
      <c r="QD387" s="25"/>
      <c r="QE387" s="25"/>
      <c r="QF387" s="25"/>
      <c r="QG387" s="25"/>
      <c r="QH387" s="25"/>
      <c r="QI387" s="25"/>
      <c r="QJ387" s="25"/>
      <c r="QK387" s="25"/>
      <c r="QL387" s="25"/>
      <c r="QM387" s="25"/>
      <c r="QN387" s="25"/>
      <c r="QO387" s="25"/>
      <c r="QP387" s="25"/>
      <c r="QQ387" s="25"/>
      <c r="QR387" s="25"/>
      <c r="QS387" s="25"/>
      <c r="QT387" s="25"/>
      <c r="QU387" s="25"/>
      <c r="QV387" s="25"/>
      <c r="QW387" s="25"/>
      <c r="QX387" s="25"/>
      <c r="QY387" s="25"/>
      <c r="QZ387" s="25"/>
      <c r="RA387" s="25"/>
      <c r="RB387" s="25"/>
      <c r="RC387" s="25"/>
      <c r="RD387" s="25"/>
      <c r="RE387" s="25"/>
      <c r="RF387" s="25"/>
      <c r="RG387" s="25"/>
      <c r="RH387" s="25"/>
      <c r="RI387" s="25"/>
      <c r="RJ387" s="25"/>
      <c r="RK387" s="25"/>
      <c r="RL387" s="25"/>
      <c r="RM387" s="25"/>
      <c r="RN387" s="25"/>
      <c r="RO387" s="25"/>
      <c r="RP387" s="25"/>
      <c r="RQ387" s="25"/>
      <c r="RR387" s="25"/>
      <c r="RS387" s="25"/>
      <c r="RT387" s="25"/>
      <c r="RU387" s="25"/>
      <c r="RV387" s="25"/>
      <c r="RW387" s="25"/>
      <c r="RX387" s="25"/>
      <c r="RY387" s="25"/>
      <c r="RZ387" s="25"/>
      <c r="SA387" s="25"/>
      <c r="SB387" s="25"/>
      <c r="SC387" s="25"/>
      <c r="SD387" s="25"/>
      <c r="SE387" s="25"/>
      <c r="SF387" s="25"/>
      <c r="SG387" s="25"/>
      <c r="SH387" s="25"/>
      <c r="SI387" s="25"/>
      <c r="SJ387" s="25"/>
      <c r="SK387" s="25"/>
      <c r="SL387" s="25"/>
      <c r="SM387" s="25"/>
      <c r="SN387" s="25"/>
      <c r="SO387" s="25"/>
      <c r="SP387" s="25"/>
      <c r="SQ387" s="25"/>
      <c r="SR387" s="25"/>
      <c r="SS387" s="25"/>
      <c r="ST387" s="25"/>
      <c r="SU387" s="25"/>
      <c r="SV387" s="25"/>
      <c r="SW387" s="25"/>
      <c r="SX387" s="25"/>
      <c r="SY387" s="25"/>
      <c r="SZ387" s="25"/>
      <c r="TA387" s="25"/>
      <c r="TB387" s="25"/>
      <c r="TC387" s="25"/>
      <c r="TD387" s="25"/>
      <c r="TE387" s="25"/>
      <c r="TF387" s="25"/>
      <c r="TG387" s="25"/>
      <c r="TH387" s="25"/>
      <c r="TI387" s="25"/>
      <c r="TJ387" s="25"/>
      <c r="TK387" s="25"/>
      <c r="TL387" s="25"/>
      <c r="TM387" s="25"/>
      <c r="TN387" s="25"/>
      <c r="TO387" s="25"/>
      <c r="TP387" s="25"/>
      <c r="TQ387" s="25"/>
      <c r="TR387" s="25"/>
      <c r="TS387" s="25"/>
      <c r="TT387" s="25"/>
      <c r="TU387" s="25"/>
      <c r="TV387" s="25"/>
      <c r="TW387" s="25"/>
      <c r="TX387" s="25"/>
      <c r="TY387" s="25"/>
      <c r="TZ387" s="25"/>
      <c r="UA387" s="25"/>
      <c r="UB387" s="25"/>
      <c r="UC387" s="25"/>
      <c r="UD387" s="25"/>
      <c r="UE387" s="25"/>
      <c r="UF387" s="25"/>
      <c r="UG387" s="26"/>
    </row>
    <row r="388" spans="1:553" ht="36" customHeight="1">
      <c r="A388" s="356" t="s">
        <v>15</v>
      </c>
      <c r="B388" s="385"/>
      <c r="C388" s="384" t="s">
        <v>22</v>
      </c>
      <c r="D388" s="418">
        <v>2</v>
      </c>
      <c r="E388" s="376">
        <f>E313</f>
        <v>380</v>
      </c>
      <c r="F388" s="385"/>
      <c r="G388" s="386" t="s">
        <v>935</v>
      </c>
      <c r="H388" s="370"/>
      <c r="I388" s="370">
        <f>I314</f>
        <v>288.89999999999998</v>
      </c>
      <c r="J388" s="368">
        <v>62000</v>
      </c>
      <c r="K388" s="850">
        <v>1</v>
      </c>
      <c r="L388" s="366">
        <f t="shared" ref="L388:L390" si="82">I388*J388*K388</f>
        <v>17911800</v>
      </c>
      <c r="M388" s="366"/>
      <c r="N388" s="366"/>
      <c r="O388" s="366"/>
      <c r="P388" s="366"/>
      <c r="Q388" s="812"/>
      <c r="R388" s="1447"/>
      <c r="S388" s="305"/>
      <c r="T388" s="303"/>
      <c r="U388" s="306"/>
      <c r="V388" s="307"/>
      <c r="W388" s="306"/>
      <c r="X388" s="306"/>
      <c r="Y388" s="306"/>
      <c r="Z388" s="306"/>
      <c r="AA388" s="306"/>
      <c r="AB388" s="306"/>
      <c r="AC388" s="449"/>
      <c r="AD388" s="449"/>
      <c r="AE388" s="449"/>
      <c r="AF388" s="449"/>
      <c r="AG388" s="449"/>
      <c r="AH388" s="449"/>
      <c r="AI388" s="449"/>
      <c r="AJ388" s="449"/>
      <c r="AK388" s="452"/>
      <c r="AL388" s="104"/>
      <c r="AM388" s="32"/>
      <c r="AN388" s="32"/>
      <c r="AO388" s="32"/>
      <c r="AP388" s="32"/>
      <c r="AQ388" s="32"/>
      <c r="AR388" s="32"/>
      <c r="AS388" s="31"/>
      <c r="AT388" s="31"/>
      <c r="AU388" s="31"/>
      <c r="AV388" s="31"/>
      <c r="AW388" s="31"/>
      <c r="AX388" s="31"/>
      <c r="AY388" s="31"/>
      <c r="AZ388" s="31"/>
      <c r="BA388" s="31"/>
      <c r="BB388" s="31"/>
      <c r="BC388" s="31"/>
      <c r="BD388" s="31"/>
      <c r="BE388" s="31"/>
      <c r="BF388" s="31"/>
      <c r="BG388" s="31"/>
      <c r="BH388" s="31"/>
      <c r="BI388" s="31"/>
      <c r="BJ388" s="31"/>
      <c r="BK388" s="31"/>
      <c r="BL388" s="31"/>
      <c r="BM388" s="31"/>
      <c r="BN388" s="31"/>
      <c r="BO388" s="31"/>
      <c r="BP388" s="25"/>
      <c r="BQ388" s="25"/>
      <c r="BR388" s="25"/>
      <c r="BS388" s="25"/>
      <c r="BT388" s="25"/>
      <c r="BU388" s="25"/>
      <c r="BV388" s="25"/>
      <c r="BW388" s="25"/>
      <c r="BX388" s="25"/>
      <c r="BY388" s="25"/>
      <c r="BZ388" s="25"/>
      <c r="CA388" s="25"/>
      <c r="CB388" s="25"/>
      <c r="CC388" s="25"/>
      <c r="CD388" s="25"/>
      <c r="CE388" s="25"/>
      <c r="CF388" s="25"/>
      <c r="CG388" s="25"/>
      <c r="CH388" s="25"/>
      <c r="CI388" s="25"/>
      <c r="CJ388" s="25"/>
      <c r="CK388" s="25"/>
      <c r="CL388" s="25"/>
      <c r="CM388" s="25"/>
      <c r="CN388" s="25"/>
      <c r="CO388" s="25"/>
      <c r="CP388" s="25"/>
      <c r="CQ388" s="25"/>
      <c r="CR388" s="25"/>
      <c r="CS388" s="25"/>
      <c r="CT388" s="25"/>
      <c r="CU388" s="25"/>
      <c r="CV388" s="25"/>
      <c r="CW388" s="25"/>
      <c r="CX388" s="25"/>
      <c r="CY388" s="25"/>
      <c r="CZ388" s="25"/>
      <c r="DA388" s="25"/>
      <c r="DB388" s="25"/>
      <c r="DC388" s="25"/>
      <c r="DD388" s="25"/>
      <c r="DE388" s="25"/>
      <c r="DF388" s="25"/>
      <c r="DG388" s="25"/>
      <c r="DH388" s="25"/>
      <c r="DI388" s="25"/>
      <c r="DJ388" s="25"/>
      <c r="DK388" s="25"/>
      <c r="DL388" s="25"/>
      <c r="DM388" s="25"/>
      <c r="DN388" s="25"/>
      <c r="DO388" s="25"/>
      <c r="DP388" s="25"/>
      <c r="DQ388" s="25"/>
      <c r="DR388" s="25"/>
      <c r="DS388" s="25"/>
      <c r="DT388" s="25"/>
      <c r="DU388" s="25"/>
      <c r="DV388" s="25"/>
      <c r="DW388" s="25"/>
      <c r="DX388" s="25"/>
      <c r="DY388" s="25"/>
      <c r="DZ388" s="25"/>
      <c r="EA388" s="25"/>
      <c r="EB388" s="25"/>
      <c r="EC388" s="25"/>
      <c r="ED388" s="25"/>
      <c r="EE388" s="25"/>
      <c r="EF388" s="25"/>
      <c r="EG388" s="25"/>
      <c r="EH388" s="25"/>
      <c r="EI388" s="25"/>
      <c r="EJ388" s="25"/>
      <c r="EK388" s="25"/>
      <c r="EL388" s="25"/>
      <c r="EM388" s="25"/>
      <c r="EN388" s="25"/>
      <c r="EO388" s="25"/>
      <c r="EP388" s="25"/>
      <c r="EQ388" s="25"/>
      <c r="ER388" s="25"/>
      <c r="ES388" s="25"/>
      <c r="ET388" s="25"/>
      <c r="EU388" s="25"/>
      <c r="EV388" s="25"/>
      <c r="EW388" s="25"/>
      <c r="EX388" s="25"/>
      <c r="EY388" s="25"/>
      <c r="EZ388" s="25"/>
      <c r="FA388" s="25"/>
      <c r="FB388" s="25"/>
      <c r="FC388" s="25"/>
      <c r="FD388" s="25"/>
      <c r="FE388" s="25"/>
      <c r="FF388" s="25"/>
      <c r="FG388" s="25"/>
      <c r="FH388" s="25"/>
      <c r="FI388" s="25"/>
      <c r="FJ388" s="25"/>
      <c r="FK388" s="25"/>
      <c r="FL388" s="25"/>
      <c r="FM388" s="25"/>
      <c r="FN388" s="25"/>
      <c r="FO388" s="25"/>
      <c r="FP388" s="25"/>
      <c r="FQ388" s="25"/>
      <c r="FR388" s="25"/>
      <c r="FS388" s="25"/>
      <c r="FT388" s="25"/>
      <c r="FU388" s="25"/>
      <c r="FV388" s="25"/>
      <c r="FW388" s="25"/>
      <c r="FX388" s="25"/>
      <c r="FY388" s="25"/>
      <c r="FZ388" s="25"/>
      <c r="GA388" s="25"/>
      <c r="GB388" s="25"/>
      <c r="GC388" s="25"/>
      <c r="GD388" s="25"/>
      <c r="GE388" s="25"/>
      <c r="GF388" s="25"/>
      <c r="GG388" s="25"/>
      <c r="GH388" s="25"/>
      <c r="GI388" s="25"/>
      <c r="GJ388" s="25"/>
      <c r="GK388" s="25"/>
      <c r="GL388" s="25"/>
      <c r="GM388" s="25"/>
      <c r="GN388" s="25"/>
      <c r="GO388" s="25"/>
      <c r="GP388" s="25"/>
      <c r="GQ388" s="25"/>
      <c r="GR388" s="25"/>
      <c r="GS388" s="25"/>
      <c r="GT388" s="25"/>
      <c r="GU388" s="25"/>
      <c r="GV388" s="25"/>
      <c r="GW388" s="25"/>
      <c r="GX388" s="25"/>
      <c r="GY388" s="25"/>
      <c r="GZ388" s="25"/>
      <c r="HA388" s="25"/>
      <c r="HB388" s="25"/>
      <c r="HC388" s="25"/>
      <c r="HD388" s="25"/>
      <c r="HE388" s="25"/>
      <c r="HF388" s="25"/>
      <c r="HG388" s="25"/>
      <c r="HH388" s="25"/>
      <c r="HI388" s="25"/>
      <c r="HJ388" s="25"/>
      <c r="HK388" s="25"/>
      <c r="HL388" s="25"/>
      <c r="HM388" s="25"/>
      <c r="HN388" s="25"/>
      <c r="HO388" s="25"/>
      <c r="HP388" s="25"/>
      <c r="HQ388" s="25"/>
      <c r="HR388" s="25"/>
      <c r="HS388" s="25"/>
      <c r="HT388" s="25"/>
      <c r="HU388" s="25"/>
      <c r="HV388" s="25"/>
      <c r="HW388" s="25"/>
      <c r="HX388" s="25"/>
      <c r="HY388" s="25"/>
      <c r="HZ388" s="25"/>
      <c r="IA388" s="25"/>
      <c r="IB388" s="25"/>
      <c r="IC388" s="25"/>
      <c r="ID388" s="25"/>
      <c r="IE388" s="25"/>
      <c r="IF388" s="25"/>
      <c r="IG388" s="25"/>
      <c r="IH388" s="25"/>
      <c r="II388" s="25"/>
      <c r="IJ388" s="25"/>
      <c r="IK388" s="25"/>
      <c r="IL388" s="25"/>
      <c r="IM388" s="25"/>
      <c r="IN388" s="25"/>
      <c r="IO388" s="25"/>
      <c r="IP388" s="25"/>
      <c r="IQ388" s="25"/>
      <c r="IR388" s="25"/>
      <c r="IS388" s="25"/>
      <c r="IT388" s="25"/>
      <c r="IU388" s="25"/>
      <c r="IV388" s="25"/>
      <c r="IW388" s="25"/>
      <c r="IX388" s="25"/>
      <c r="IY388" s="25"/>
      <c r="IZ388" s="25"/>
      <c r="JA388" s="25"/>
      <c r="JB388" s="25"/>
      <c r="JC388" s="25"/>
      <c r="JD388" s="25"/>
      <c r="JE388" s="25"/>
      <c r="JF388" s="25"/>
      <c r="JG388" s="25"/>
      <c r="JH388" s="25"/>
      <c r="JI388" s="25"/>
      <c r="JJ388" s="25"/>
      <c r="JK388" s="25"/>
      <c r="JL388" s="25"/>
      <c r="JM388" s="25"/>
      <c r="JN388" s="25"/>
      <c r="JO388" s="25"/>
      <c r="JP388" s="25"/>
      <c r="JQ388" s="25"/>
      <c r="JR388" s="25"/>
      <c r="JS388" s="25"/>
      <c r="JT388" s="25"/>
      <c r="JU388" s="25"/>
      <c r="JV388" s="25"/>
      <c r="JW388" s="25"/>
      <c r="JX388" s="25"/>
      <c r="JY388" s="25"/>
      <c r="JZ388" s="25"/>
      <c r="KA388" s="25"/>
      <c r="KB388" s="25"/>
      <c r="KC388" s="25"/>
      <c r="KD388" s="25"/>
      <c r="KE388" s="25"/>
      <c r="KF388" s="25"/>
      <c r="KG388" s="25"/>
      <c r="KH388" s="25"/>
      <c r="KI388" s="25"/>
      <c r="KJ388" s="25"/>
      <c r="KK388" s="25"/>
      <c r="KL388" s="25"/>
      <c r="KM388" s="25"/>
      <c r="KN388" s="25"/>
      <c r="KO388" s="25"/>
      <c r="KP388" s="25"/>
      <c r="KQ388" s="25"/>
      <c r="KR388" s="25"/>
      <c r="KS388" s="25"/>
      <c r="KT388" s="25"/>
      <c r="KU388" s="25"/>
      <c r="KV388" s="25"/>
      <c r="KW388" s="25"/>
      <c r="KX388" s="25"/>
      <c r="KY388" s="25"/>
      <c r="KZ388" s="25"/>
      <c r="LA388" s="25"/>
      <c r="LB388" s="25"/>
      <c r="LC388" s="25"/>
      <c r="LD388" s="25"/>
      <c r="LE388" s="25"/>
      <c r="LF388" s="25"/>
      <c r="LG388" s="25"/>
      <c r="LH388" s="25"/>
      <c r="LI388" s="25"/>
      <c r="LJ388" s="25"/>
      <c r="LK388" s="25"/>
      <c r="LL388" s="25"/>
      <c r="LM388" s="25"/>
      <c r="LN388" s="25"/>
      <c r="LO388" s="25"/>
      <c r="LP388" s="25"/>
      <c r="LQ388" s="25"/>
      <c r="LR388" s="25"/>
      <c r="LS388" s="25"/>
      <c r="LT388" s="25"/>
      <c r="LU388" s="25"/>
      <c r="LV388" s="25"/>
      <c r="LW388" s="25"/>
      <c r="LX388" s="25"/>
      <c r="LY388" s="25"/>
      <c r="LZ388" s="25"/>
      <c r="MA388" s="25"/>
      <c r="MB388" s="25"/>
      <c r="MC388" s="25"/>
      <c r="MD388" s="25"/>
      <c r="ME388" s="25"/>
      <c r="MF388" s="25"/>
      <c r="MG388" s="25"/>
      <c r="MH388" s="25"/>
      <c r="MI388" s="25"/>
      <c r="MJ388" s="25"/>
      <c r="MK388" s="25"/>
      <c r="ML388" s="25"/>
      <c r="MM388" s="25"/>
      <c r="MN388" s="25"/>
      <c r="MO388" s="25"/>
      <c r="MP388" s="25"/>
      <c r="MQ388" s="25"/>
      <c r="MR388" s="25"/>
      <c r="MS388" s="25"/>
      <c r="MT388" s="25"/>
      <c r="MU388" s="25"/>
      <c r="MV388" s="25"/>
      <c r="MW388" s="25"/>
      <c r="MX388" s="25"/>
      <c r="MY388" s="25"/>
      <c r="MZ388" s="25"/>
      <c r="NA388" s="25"/>
      <c r="NB388" s="25"/>
      <c r="NC388" s="25"/>
      <c r="ND388" s="25"/>
      <c r="NE388" s="25"/>
      <c r="NF388" s="25"/>
      <c r="NG388" s="25"/>
      <c r="NH388" s="25"/>
      <c r="NI388" s="25"/>
      <c r="NJ388" s="25"/>
      <c r="NK388" s="25"/>
      <c r="NL388" s="25"/>
      <c r="NM388" s="25"/>
      <c r="NN388" s="25"/>
      <c r="NO388" s="25"/>
      <c r="NP388" s="25"/>
      <c r="NQ388" s="25"/>
      <c r="NR388" s="25"/>
      <c r="NS388" s="25"/>
      <c r="NT388" s="25"/>
      <c r="NU388" s="25"/>
      <c r="NV388" s="25"/>
      <c r="NW388" s="25"/>
      <c r="NX388" s="25"/>
      <c r="NY388" s="25"/>
      <c r="NZ388" s="25"/>
      <c r="OA388" s="25"/>
      <c r="OB388" s="25"/>
      <c r="OC388" s="25"/>
      <c r="OD388" s="25"/>
      <c r="OE388" s="25"/>
      <c r="OF388" s="25"/>
      <c r="OG388" s="25"/>
      <c r="OH388" s="25"/>
      <c r="OI388" s="25"/>
      <c r="OJ388" s="25"/>
      <c r="OK388" s="25"/>
      <c r="OL388" s="25"/>
      <c r="OM388" s="25"/>
      <c r="ON388" s="25"/>
      <c r="OO388" s="25"/>
      <c r="OP388" s="25"/>
      <c r="OQ388" s="25"/>
      <c r="OR388" s="25"/>
      <c r="OS388" s="25"/>
      <c r="OT388" s="25"/>
      <c r="OU388" s="25"/>
      <c r="OV388" s="25"/>
      <c r="OW388" s="25"/>
      <c r="OX388" s="25"/>
      <c r="OY388" s="25"/>
      <c r="OZ388" s="25"/>
      <c r="PA388" s="25"/>
      <c r="PB388" s="25"/>
      <c r="PC388" s="25"/>
      <c r="PD388" s="25"/>
      <c r="PE388" s="25"/>
      <c r="PF388" s="25"/>
      <c r="PG388" s="25"/>
      <c r="PH388" s="25"/>
      <c r="PI388" s="25"/>
      <c r="PJ388" s="25"/>
      <c r="PK388" s="25"/>
      <c r="PL388" s="25"/>
      <c r="PM388" s="25"/>
      <c r="PN388" s="25"/>
      <c r="PO388" s="25"/>
      <c r="PP388" s="25"/>
      <c r="PQ388" s="25"/>
      <c r="PR388" s="25"/>
      <c r="PS388" s="25"/>
      <c r="PT388" s="25"/>
      <c r="PU388" s="25"/>
      <c r="PV388" s="25"/>
      <c r="PW388" s="25"/>
      <c r="PX388" s="25"/>
      <c r="PY388" s="25"/>
      <c r="PZ388" s="25"/>
      <c r="QA388" s="25"/>
      <c r="QB388" s="25"/>
      <c r="QC388" s="25"/>
      <c r="QD388" s="25"/>
      <c r="QE388" s="25"/>
      <c r="QF388" s="25"/>
      <c r="QG388" s="25"/>
      <c r="QH388" s="25"/>
      <c r="QI388" s="25"/>
      <c r="QJ388" s="25"/>
      <c r="QK388" s="25"/>
      <c r="QL388" s="25"/>
      <c r="QM388" s="25"/>
      <c r="QN388" s="25"/>
      <c r="QO388" s="25"/>
      <c r="QP388" s="25"/>
      <c r="QQ388" s="25"/>
      <c r="QR388" s="25"/>
      <c r="QS388" s="25"/>
      <c r="QT388" s="25"/>
      <c r="QU388" s="25"/>
      <c r="QV388" s="25"/>
      <c r="QW388" s="25"/>
      <c r="QX388" s="25"/>
      <c r="QY388" s="25"/>
      <c r="QZ388" s="25"/>
      <c r="RA388" s="25"/>
      <c r="RB388" s="25"/>
      <c r="RC388" s="25"/>
      <c r="RD388" s="25"/>
      <c r="RE388" s="25"/>
      <c r="RF388" s="25"/>
      <c r="RG388" s="25"/>
      <c r="RH388" s="25"/>
      <c r="RI388" s="25"/>
      <c r="RJ388" s="25"/>
      <c r="RK388" s="25"/>
      <c r="RL388" s="25"/>
      <c r="RM388" s="25"/>
      <c r="RN388" s="25"/>
      <c r="RO388" s="25"/>
      <c r="RP388" s="25"/>
      <c r="RQ388" s="25"/>
      <c r="RR388" s="25"/>
      <c r="RS388" s="25"/>
      <c r="RT388" s="25"/>
      <c r="RU388" s="25"/>
      <c r="RV388" s="25"/>
      <c r="RW388" s="25"/>
      <c r="RX388" s="25"/>
      <c r="RY388" s="25"/>
      <c r="RZ388" s="25"/>
      <c r="SA388" s="25"/>
      <c r="SB388" s="25"/>
      <c r="SC388" s="25"/>
      <c r="SD388" s="25"/>
      <c r="SE388" s="25"/>
      <c r="SF388" s="25"/>
      <c r="SG388" s="25"/>
      <c r="SH388" s="25"/>
      <c r="SI388" s="25"/>
      <c r="SJ388" s="25"/>
      <c r="SK388" s="25"/>
      <c r="SL388" s="25"/>
      <c r="SM388" s="25"/>
      <c r="SN388" s="25"/>
      <c r="SO388" s="25"/>
      <c r="SP388" s="25"/>
      <c r="SQ388" s="25"/>
      <c r="SR388" s="25"/>
      <c r="SS388" s="25"/>
      <c r="ST388" s="25"/>
      <c r="SU388" s="25"/>
      <c r="SV388" s="25"/>
      <c r="SW388" s="25"/>
      <c r="SX388" s="25"/>
      <c r="SY388" s="25"/>
      <c r="SZ388" s="25"/>
      <c r="TA388" s="25"/>
      <c r="TB388" s="25"/>
      <c r="TC388" s="25"/>
      <c r="TD388" s="25"/>
      <c r="TE388" s="25"/>
      <c r="TF388" s="25"/>
      <c r="TG388" s="25"/>
      <c r="TH388" s="25"/>
      <c r="TI388" s="25"/>
      <c r="TJ388" s="25"/>
      <c r="TK388" s="25"/>
      <c r="TL388" s="25"/>
      <c r="TM388" s="25"/>
      <c r="TN388" s="25"/>
      <c r="TO388" s="25"/>
      <c r="TP388" s="25"/>
      <c r="TQ388" s="25"/>
      <c r="TR388" s="25"/>
      <c r="TS388" s="25"/>
      <c r="TT388" s="25"/>
      <c r="TU388" s="25"/>
      <c r="TV388" s="25"/>
      <c r="TW388" s="25"/>
      <c r="TX388" s="25"/>
      <c r="TY388" s="25"/>
      <c r="TZ388" s="25"/>
      <c r="UA388" s="25"/>
      <c r="UB388" s="25"/>
      <c r="UC388" s="25"/>
      <c r="UD388" s="25"/>
      <c r="UE388" s="25"/>
      <c r="UF388" s="25"/>
      <c r="UG388" s="26"/>
    </row>
    <row r="389" spans="1:553" ht="36" customHeight="1">
      <c r="A389" s="356" t="s">
        <v>15</v>
      </c>
      <c r="B389" s="356"/>
      <c r="C389" s="384" t="s">
        <v>23</v>
      </c>
      <c r="D389" s="376" t="s">
        <v>20</v>
      </c>
      <c r="E389" s="376">
        <v>158</v>
      </c>
      <c r="F389" s="385"/>
      <c r="G389" s="386" t="s">
        <v>935</v>
      </c>
      <c r="H389" s="441"/>
      <c r="I389" s="490">
        <v>49.7</v>
      </c>
      <c r="J389" s="368">
        <v>72000</v>
      </c>
      <c r="K389" s="850">
        <v>3</v>
      </c>
      <c r="L389" s="366">
        <f t="shared" si="82"/>
        <v>10735200</v>
      </c>
      <c r="M389" s="366"/>
      <c r="N389" s="366"/>
      <c r="O389" s="366"/>
      <c r="P389" s="366"/>
      <c r="Q389" s="813"/>
      <c r="R389" s="1447"/>
      <c r="S389" s="305"/>
      <c r="T389" s="303"/>
      <c r="U389" s="306"/>
      <c r="V389" s="307"/>
      <c r="W389" s="306"/>
      <c r="X389" s="306"/>
      <c r="Y389" s="306"/>
      <c r="Z389" s="306"/>
      <c r="AA389" s="306"/>
      <c r="AB389" s="306"/>
      <c r="AC389" s="580"/>
      <c r="AD389" s="581"/>
      <c r="AE389" s="581"/>
      <c r="AF389" s="581"/>
      <c r="AG389" s="581"/>
      <c r="AH389" s="581"/>
      <c r="AI389" s="581"/>
      <c r="AJ389" s="581"/>
      <c r="AK389" s="581"/>
      <c r="AL389" s="349"/>
      <c r="AM389" s="41"/>
      <c r="AN389" s="41"/>
      <c r="AO389" s="41"/>
      <c r="AP389" s="41"/>
      <c r="AQ389" s="41"/>
      <c r="AR389" s="41"/>
      <c r="AS389" s="41"/>
      <c r="AT389" s="41"/>
      <c r="AU389" s="41"/>
      <c r="AV389" s="41"/>
      <c r="AW389" s="41"/>
      <c r="AX389" s="41"/>
      <c r="AY389" s="41"/>
      <c r="AZ389" s="41"/>
      <c r="BA389" s="41"/>
      <c r="BB389" s="41"/>
      <c r="BC389" s="41"/>
      <c r="BD389" s="41"/>
      <c r="BE389" s="41"/>
      <c r="BF389" s="41"/>
      <c r="BG389" s="41"/>
      <c r="BH389" s="41"/>
      <c r="BI389" s="41"/>
      <c r="BJ389" s="41"/>
      <c r="BK389" s="41"/>
      <c r="BL389" s="41"/>
      <c r="BM389" s="41"/>
      <c r="BN389" s="41"/>
      <c r="BO389" s="41"/>
      <c r="BP389" s="41"/>
      <c r="BQ389" s="41"/>
      <c r="BR389" s="41"/>
      <c r="BS389" s="41"/>
      <c r="BT389" s="41"/>
      <c r="BU389" s="41"/>
      <c r="BV389" s="41"/>
      <c r="BW389" s="41"/>
      <c r="BX389" s="41"/>
      <c r="BY389" s="41"/>
      <c r="BZ389" s="41"/>
      <c r="CA389" s="41"/>
      <c r="CB389" s="41"/>
      <c r="CC389" s="41"/>
      <c r="CD389" s="41"/>
      <c r="CE389" s="41"/>
      <c r="CF389" s="41"/>
      <c r="CG389" s="41"/>
      <c r="CH389" s="41"/>
      <c r="CI389" s="41"/>
      <c r="CJ389" s="41"/>
      <c r="CK389" s="41"/>
      <c r="CL389" s="41"/>
      <c r="CM389" s="41"/>
      <c r="CN389" s="41"/>
      <c r="CO389" s="41"/>
      <c r="CP389" s="41"/>
      <c r="CQ389" s="41"/>
      <c r="CR389" s="41"/>
      <c r="CS389" s="41"/>
      <c r="CT389" s="41"/>
      <c r="CU389" s="41"/>
      <c r="CV389" s="41"/>
      <c r="CW389" s="41"/>
      <c r="CX389" s="41"/>
      <c r="CY389" s="41"/>
      <c r="CZ389" s="41"/>
      <c r="DA389" s="41"/>
      <c r="DB389" s="41"/>
      <c r="DC389" s="41"/>
      <c r="DD389" s="41"/>
      <c r="DE389" s="41"/>
      <c r="DF389" s="41"/>
      <c r="DG389" s="41"/>
      <c r="DH389" s="41"/>
      <c r="DI389" s="41"/>
      <c r="DJ389" s="41"/>
      <c r="DK389" s="41"/>
      <c r="DL389" s="41"/>
      <c r="DM389" s="41"/>
      <c r="DN389" s="41"/>
      <c r="DO389" s="41"/>
      <c r="DP389" s="41"/>
      <c r="DQ389" s="41"/>
      <c r="DR389" s="41"/>
      <c r="DS389" s="41"/>
      <c r="DT389" s="41"/>
      <c r="DU389" s="41"/>
      <c r="DV389" s="41"/>
      <c r="DW389" s="41"/>
      <c r="DX389" s="41"/>
      <c r="DY389" s="41"/>
      <c r="DZ389" s="41"/>
      <c r="EA389" s="41"/>
      <c r="EB389" s="41"/>
      <c r="EC389" s="41"/>
      <c r="ED389" s="41"/>
      <c r="EE389" s="41"/>
      <c r="EF389" s="41"/>
      <c r="EG389" s="41"/>
      <c r="EH389" s="41"/>
      <c r="EI389" s="41"/>
      <c r="EJ389" s="41"/>
      <c r="EK389" s="41"/>
      <c r="EL389" s="41"/>
      <c r="EM389" s="41"/>
      <c r="EN389" s="41"/>
      <c r="EO389" s="41"/>
      <c r="EP389" s="41"/>
      <c r="EQ389" s="41"/>
      <c r="ER389" s="41"/>
      <c r="ES389" s="41"/>
      <c r="ET389" s="41"/>
      <c r="EU389" s="41"/>
      <c r="EV389" s="41"/>
      <c r="EW389" s="41"/>
      <c r="EX389" s="41"/>
      <c r="EY389" s="41"/>
      <c r="EZ389" s="41"/>
      <c r="FA389" s="41"/>
      <c r="FB389" s="41"/>
      <c r="FC389" s="41"/>
      <c r="FD389" s="41"/>
      <c r="FE389" s="41"/>
      <c r="FF389" s="41"/>
      <c r="FG389" s="41"/>
      <c r="FH389" s="41"/>
      <c r="FI389" s="41"/>
      <c r="FJ389" s="41"/>
      <c r="FK389" s="41"/>
      <c r="FL389" s="41"/>
      <c r="FM389" s="41"/>
      <c r="FN389" s="41"/>
      <c r="FO389" s="41"/>
      <c r="FP389" s="41"/>
      <c r="FQ389" s="41"/>
      <c r="FR389" s="41"/>
      <c r="FS389" s="41"/>
      <c r="FT389" s="41"/>
      <c r="FU389" s="41"/>
      <c r="FV389" s="41"/>
      <c r="FW389" s="41"/>
      <c r="FX389" s="41"/>
      <c r="FY389" s="41"/>
      <c r="FZ389" s="41"/>
      <c r="GA389" s="41"/>
      <c r="GB389" s="41"/>
      <c r="GC389" s="41"/>
      <c r="GD389" s="41"/>
      <c r="GE389" s="41"/>
      <c r="GF389" s="41"/>
      <c r="GG389" s="41"/>
      <c r="GH389" s="41"/>
      <c r="GI389" s="41"/>
      <c r="GJ389" s="41"/>
      <c r="GK389" s="41"/>
      <c r="GL389" s="41"/>
      <c r="GM389" s="41"/>
      <c r="GN389" s="41"/>
      <c r="GO389" s="41"/>
      <c r="GP389" s="41"/>
      <c r="GQ389" s="41"/>
      <c r="GR389" s="41"/>
      <c r="GS389" s="41"/>
      <c r="GT389" s="41"/>
      <c r="GU389" s="41"/>
      <c r="GV389" s="41"/>
      <c r="GW389" s="41"/>
      <c r="GX389" s="41"/>
      <c r="GY389" s="41"/>
      <c r="GZ389" s="41"/>
      <c r="HA389" s="41"/>
      <c r="HB389" s="41"/>
      <c r="HC389" s="41"/>
      <c r="HD389" s="41"/>
      <c r="HE389" s="41"/>
      <c r="HF389" s="41"/>
      <c r="HG389" s="41"/>
      <c r="HH389" s="41"/>
      <c r="HI389" s="41"/>
      <c r="HJ389" s="41"/>
      <c r="HK389" s="41"/>
      <c r="HL389" s="41"/>
      <c r="HM389" s="41"/>
      <c r="HN389" s="41"/>
      <c r="HO389" s="41"/>
      <c r="HP389" s="41"/>
      <c r="HQ389" s="41"/>
      <c r="HR389" s="41"/>
      <c r="HS389" s="41"/>
      <c r="HT389" s="41"/>
      <c r="HU389" s="41"/>
      <c r="HV389" s="41"/>
      <c r="HW389" s="41"/>
      <c r="HX389" s="41"/>
      <c r="HY389" s="41"/>
      <c r="HZ389" s="41"/>
      <c r="IA389" s="41"/>
      <c r="IB389" s="41"/>
      <c r="IC389" s="41"/>
      <c r="ID389" s="41"/>
      <c r="IE389" s="41"/>
      <c r="IF389" s="41"/>
      <c r="IG389" s="41"/>
      <c r="IH389" s="41"/>
      <c r="II389" s="41"/>
      <c r="IJ389" s="41"/>
      <c r="IK389" s="41"/>
      <c r="IL389" s="41"/>
      <c r="IM389" s="41"/>
      <c r="IN389" s="41"/>
      <c r="IO389" s="41"/>
      <c r="IP389" s="41"/>
      <c r="IQ389" s="41"/>
      <c r="IR389" s="41"/>
      <c r="IS389" s="41"/>
      <c r="IT389" s="41"/>
      <c r="IU389" s="41"/>
      <c r="IV389" s="41"/>
      <c r="IW389" s="41"/>
      <c r="IX389" s="41"/>
      <c r="IY389" s="41"/>
      <c r="IZ389" s="41"/>
      <c r="JA389" s="41"/>
      <c r="JB389" s="41"/>
      <c r="JC389" s="41"/>
      <c r="JD389" s="41"/>
      <c r="JE389" s="41"/>
      <c r="JF389" s="41"/>
      <c r="JG389" s="41"/>
      <c r="JH389" s="41"/>
      <c r="JI389" s="41"/>
      <c r="JJ389" s="41"/>
      <c r="JK389" s="41"/>
      <c r="JL389" s="41"/>
      <c r="JM389" s="41"/>
      <c r="JN389" s="41"/>
      <c r="JO389" s="41"/>
      <c r="JP389" s="41"/>
      <c r="JQ389" s="41"/>
      <c r="JR389" s="41"/>
      <c r="JS389" s="41"/>
      <c r="JT389" s="41"/>
      <c r="JU389" s="41"/>
      <c r="JV389" s="41"/>
      <c r="JW389" s="41"/>
      <c r="JX389" s="41"/>
      <c r="JY389" s="41"/>
      <c r="JZ389" s="41"/>
      <c r="KA389" s="41"/>
      <c r="KB389" s="41"/>
      <c r="KC389" s="41"/>
      <c r="KD389" s="41"/>
      <c r="KE389" s="41"/>
      <c r="KF389" s="41"/>
      <c r="KG389" s="41"/>
      <c r="KH389" s="41"/>
      <c r="KI389" s="41"/>
      <c r="KJ389" s="41"/>
      <c r="KK389" s="41"/>
      <c r="KL389" s="41"/>
      <c r="KM389" s="41"/>
      <c r="KN389" s="41"/>
      <c r="KO389" s="41"/>
      <c r="KP389" s="41"/>
      <c r="KQ389" s="41"/>
      <c r="KR389" s="41"/>
      <c r="KS389" s="41"/>
      <c r="KT389" s="41"/>
      <c r="KU389" s="41"/>
      <c r="KV389" s="41"/>
      <c r="KW389" s="41"/>
      <c r="KX389" s="41"/>
      <c r="KY389" s="41"/>
      <c r="KZ389" s="41"/>
      <c r="LA389" s="41"/>
      <c r="LB389" s="41"/>
      <c r="LC389" s="41"/>
      <c r="LD389" s="41"/>
      <c r="LE389" s="41"/>
      <c r="LF389" s="41"/>
      <c r="LG389" s="41"/>
      <c r="LH389" s="41"/>
      <c r="LI389" s="41"/>
      <c r="LJ389" s="41"/>
      <c r="LK389" s="41"/>
      <c r="LL389" s="41"/>
      <c r="LM389" s="41"/>
      <c r="LN389" s="41"/>
      <c r="LO389" s="41"/>
      <c r="LP389" s="41"/>
      <c r="LQ389" s="41"/>
      <c r="LR389" s="41"/>
      <c r="LS389" s="41"/>
      <c r="LT389" s="41"/>
      <c r="LU389" s="41"/>
      <c r="LV389" s="41"/>
      <c r="LW389" s="41"/>
      <c r="LX389" s="41"/>
      <c r="LY389" s="41"/>
      <c r="LZ389" s="41"/>
      <c r="MA389" s="41"/>
      <c r="MB389" s="41"/>
      <c r="MC389" s="41"/>
      <c r="MD389" s="41"/>
      <c r="ME389" s="41"/>
      <c r="MF389" s="41"/>
      <c r="MG389" s="41"/>
      <c r="MH389" s="41"/>
      <c r="MI389" s="41"/>
      <c r="MJ389" s="41"/>
      <c r="MK389" s="41"/>
      <c r="ML389" s="41"/>
      <c r="MM389" s="41"/>
      <c r="MN389" s="41"/>
      <c r="MO389" s="41"/>
      <c r="MP389" s="41"/>
      <c r="MQ389" s="41"/>
      <c r="MR389" s="41"/>
      <c r="MS389" s="41"/>
      <c r="MT389" s="41"/>
      <c r="MU389" s="41"/>
      <c r="MV389" s="41"/>
      <c r="MW389" s="41"/>
      <c r="MX389" s="41"/>
      <c r="MY389" s="41"/>
      <c r="MZ389" s="41"/>
      <c r="NA389" s="41"/>
      <c r="NB389" s="41"/>
      <c r="NC389" s="41"/>
      <c r="ND389" s="41"/>
      <c r="NE389" s="41"/>
      <c r="NF389" s="41"/>
      <c r="NG389" s="41"/>
      <c r="NH389" s="41"/>
      <c r="NI389" s="41"/>
      <c r="NJ389" s="41"/>
      <c r="NK389" s="41"/>
      <c r="NL389" s="41"/>
      <c r="NM389" s="41"/>
      <c r="NN389" s="41"/>
      <c r="NO389" s="41"/>
      <c r="NP389" s="41"/>
      <c r="NQ389" s="41"/>
      <c r="NR389" s="41"/>
      <c r="NS389" s="41"/>
      <c r="NT389" s="41"/>
      <c r="NU389" s="41"/>
      <c r="NV389" s="41"/>
      <c r="NW389" s="41"/>
      <c r="NX389" s="41"/>
      <c r="NY389" s="41"/>
      <c r="NZ389" s="41"/>
      <c r="OA389" s="41"/>
      <c r="OB389" s="41"/>
      <c r="OC389" s="41"/>
      <c r="OD389" s="41"/>
      <c r="OE389" s="41"/>
      <c r="OF389" s="41"/>
      <c r="OG389" s="41"/>
      <c r="OH389" s="41"/>
      <c r="OI389" s="41"/>
      <c r="OJ389" s="41"/>
      <c r="OK389" s="41"/>
      <c r="OL389" s="41"/>
      <c r="OM389" s="41"/>
      <c r="ON389" s="41"/>
      <c r="OO389" s="41"/>
      <c r="OP389" s="41"/>
      <c r="OQ389" s="41"/>
      <c r="OR389" s="41"/>
      <c r="OS389" s="41"/>
      <c r="OT389" s="41"/>
      <c r="OU389" s="41"/>
      <c r="OV389" s="41"/>
      <c r="OW389" s="41"/>
      <c r="OX389" s="41"/>
      <c r="OY389" s="41"/>
      <c r="OZ389" s="41"/>
      <c r="PA389" s="41"/>
      <c r="PB389" s="41"/>
      <c r="PC389" s="41"/>
      <c r="PD389" s="41"/>
      <c r="PE389" s="41"/>
      <c r="PF389" s="41"/>
      <c r="PG389" s="41"/>
      <c r="PH389" s="41"/>
      <c r="PI389" s="41"/>
      <c r="PJ389" s="41"/>
      <c r="PK389" s="41"/>
      <c r="PL389" s="41"/>
      <c r="PM389" s="41"/>
      <c r="PN389" s="41"/>
      <c r="PO389" s="41"/>
      <c r="PP389" s="41"/>
      <c r="PQ389" s="41"/>
      <c r="PR389" s="41"/>
      <c r="PS389" s="41"/>
      <c r="PT389" s="41"/>
      <c r="PU389" s="41"/>
      <c r="PV389" s="41"/>
      <c r="PW389" s="41"/>
      <c r="PX389" s="41"/>
      <c r="PY389" s="41"/>
      <c r="PZ389" s="41"/>
      <c r="QA389" s="41"/>
      <c r="QB389" s="41"/>
      <c r="QC389" s="41"/>
      <c r="QD389" s="41"/>
      <c r="QE389" s="41"/>
      <c r="QF389" s="41"/>
      <c r="QG389" s="41"/>
      <c r="QH389" s="41"/>
      <c r="QI389" s="41"/>
      <c r="QJ389" s="41"/>
      <c r="QK389" s="41"/>
      <c r="QL389" s="41"/>
      <c r="QM389" s="41"/>
      <c r="QN389" s="41"/>
      <c r="QO389" s="41"/>
      <c r="QP389" s="41"/>
      <c r="QQ389" s="41"/>
      <c r="QR389" s="41"/>
      <c r="QS389" s="41"/>
      <c r="QT389" s="41"/>
      <c r="QU389" s="41"/>
      <c r="QV389" s="41"/>
      <c r="QW389" s="41"/>
      <c r="QX389" s="41"/>
      <c r="QY389" s="41"/>
      <c r="QZ389" s="41"/>
      <c r="RA389" s="41"/>
      <c r="RB389" s="41"/>
      <c r="RC389" s="41"/>
      <c r="RD389" s="41"/>
      <c r="RE389" s="41"/>
      <c r="RF389" s="41"/>
      <c r="RG389" s="41"/>
      <c r="RH389" s="41"/>
      <c r="RI389" s="41"/>
      <c r="RJ389" s="41"/>
      <c r="RK389" s="41"/>
      <c r="RL389" s="41"/>
      <c r="RM389" s="41"/>
      <c r="RN389" s="41"/>
      <c r="RO389" s="41"/>
      <c r="RP389" s="41"/>
      <c r="RQ389" s="41"/>
      <c r="RR389" s="41"/>
      <c r="RS389" s="41"/>
      <c r="RT389" s="41"/>
      <c r="RU389" s="41"/>
      <c r="RV389" s="41"/>
      <c r="RW389" s="41"/>
      <c r="RX389" s="41"/>
      <c r="RY389" s="41"/>
      <c r="RZ389" s="41"/>
      <c r="SA389" s="41"/>
      <c r="SB389" s="41"/>
      <c r="SC389" s="41"/>
      <c r="SD389" s="41"/>
      <c r="SE389" s="41"/>
      <c r="SF389" s="41"/>
      <c r="SG389" s="41"/>
      <c r="SH389" s="41"/>
      <c r="SI389" s="41"/>
      <c r="SJ389" s="41"/>
      <c r="SK389" s="41"/>
      <c r="SL389" s="41"/>
      <c r="SM389" s="41"/>
      <c r="SN389" s="41"/>
      <c r="SO389" s="41"/>
      <c r="SP389" s="41"/>
      <c r="SQ389" s="41"/>
      <c r="SR389" s="41"/>
      <c r="SS389" s="41"/>
      <c r="ST389" s="41"/>
      <c r="SU389" s="41"/>
      <c r="SV389" s="41"/>
      <c r="SW389" s="41"/>
      <c r="SX389" s="41"/>
      <c r="SY389" s="41"/>
      <c r="SZ389" s="41"/>
      <c r="TA389" s="41"/>
      <c r="TB389" s="41"/>
      <c r="TC389" s="41"/>
      <c r="TD389" s="41"/>
      <c r="TE389" s="41"/>
      <c r="TF389" s="41"/>
      <c r="TG389" s="41"/>
      <c r="TH389" s="41"/>
      <c r="TI389" s="41"/>
      <c r="TJ389" s="41"/>
      <c r="TK389" s="41"/>
      <c r="TL389" s="41"/>
      <c r="TM389" s="41"/>
      <c r="TN389" s="41"/>
      <c r="TO389" s="41"/>
      <c r="TP389" s="41"/>
      <c r="TQ389" s="41"/>
      <c r="TR389" s="41"/>
      <c r="TS389" s="41"/>
      <c r="TT389" s="41"/>
      <c r="TU389" s="41"/>
      <c r="TV389" s="41"/>
      <c r="TW389" s="41"/>
      <c r="TX389" s="41"/>
      <c r="TY389" s="41"/>
      <c r="TZ389" s="41"/>
      <c r="UA389" s="41"/>
      <c r="UB389" s="41"/>
      <c r="UC389" s="41"/>
      <c r="UD389" s="41"/>
      <c r="UE389" s="41"/>
      <c r="UF389" s="41"/>
      <c r="UG389" s="42"/>
    </row>
    <row r="390" spans="1:553" ht="36" customHeight="1">
      <c r="A390" s="356" t="s">
        <v>15</v>
      </c>
      <c r="B390" s="356"/>
      <c r="C390" s="384" t="s">
        <v>25</v>
      </c>
      <c r="D390" s="376" t="s">
        <v>20</v>
      </c>
      <c r="E390" s="376" t="s">
        <v>281</v>
      </c>
      <c r="F390" s="385"/>
      <c r="G390" s="386" t="s">
        <v>935</v>
      </c>
      <c r="H390" s="441"/>
      <c r="I390" s="490">
        <v>1317.4</v>
      </c>
      <c r="J390" s="368">
        <v>66000</v>
      </c>
      <c r="K390" s="850">
        <v>2.5</v>
      </c>
      <c r="L390" s="366">
        <f t="shared" si="82"/>
        <v>217371000</v>
      </c>
      <c r="M390" s="366"/>
      <c r="N390" s="366"/>
      <c r="O390" s="366"/>
      <c r="P390" s="366"/>
      <c r="Q390" s="813"/>
      <c r="R390" s="1447"/>
      <c r="S390" s="305"/>
      <c r="T390" s="303"/>
      <c r="U390" s="306"/>
      <c r="V390" s="307"/>
      <c r="W390" s="306"/>
      <c r="X390" s="306"/>
      <c r="Y390" s="306"/>
      <c r="Z390" s="306"/>
      <c r="AA390" s="306"/>
      <c r="AB390" s="306"/>
      <c r="AC390" s="449"/>
      <c r="AD390" s="452"/>
      <c r="AE390" s="452"/>
      <c r="AF390" s="452"/>
      <c r="AG390" s="452"/>
      <c r="AH390" s="452"/>
      <c r="AI390" s="452"/>
      <c r="AJ390" s="452"/>
      <c r="AK390" s="452"/>
      <c r="AL390" s="106"/>
      <c r="AM390" s="31"/>
      <c r="AN390" s="31"/>
      <c r="AO390" s="31"/>
      <c r="AP390" s="31"/>
      <c r="AQ390" s="31"/>
      <c r="AR390" s="31"/>
      <c r="AS390" s="31"/>
      <c r="AT390" s="31"/>
      <c r="AU390" s="31"/>
      <c r="AV390" s="31"/>
      <c r="AW390" s="31"/>
      <c r="AX390" s="31"/>
      <c r="AY390" s="31"/>
      <c r="AZ390" s="31"/>
      <c r="BA390" s="31"/>
      <c r="BB390" s="31"/>
      <c r="BC390" s="31"/>
      <c r="BD390" s="31"/>
      <c r="BE390" s="31"/>
      <c r="BF390" s="31"/>
      <c r="BG390" s="31"/>
      <c r="BH390" s="31"/>
      <c r="BI390" s="31"/>
      <c r="BJ390" s="31"/>
      <c r="BK390" s="31"/>
      <c r="BL390" s="31"/>
      <c r="BM390" s="31"/>
      <c r="BN390" s="31"/>
      <c r="BO390" s="31"/>
      <c r="BP390" s="31"/>
      <c r="BQ390" s="31"/>
      <c r="BR390" s="31"/>
      <c r="BS390" s="31"/>
      <c r="BT390" s="31"/>
      <c r="BU390" s="31"/>
      <c r="BV390" s="31"/>
      <c r="BW390" s="31"/>
      <c r="BX390" s="31"/>
      <c r="BY390" s="31"/>
      <c r="BZ390" s="31"/>
      <c r="CA390" s="31"/>
      <c r="CB390" s="31"/>
      <c r="CC390" s="31"/>
      <c r="CD390" s="31"/>
      <c r="CE390" s="31"/>
      <c r="CF390" s="31"/>
      <c r="CG390" s="31"/>
      <c r="CH390" s="31"/>
      <c r="CI390" s="31"/>
      <c r="CJ390" s="31"/>
      <c r="CK390" s="31"/>
      <c r="CL390" s="31"/>
      <c r="CM390" s="31"/>
      <c r="CN390" s="31"/>
      <c r="CO390" s="31"/>
      <c r="CP390" s="31"/>
      <c r="CQ390" s="31"/>
      <c r="CR390" s="31"/>
      <c r="CS390" s="31"/>
      <c r="CT390" s="31"/>
      <c r="CU390" s="31"/>
      <c r="CV390" s="31"/>
      <c r="CW390" s="31"/>
      <c r="CX390" s="31"/>
      <c r="CY390" s="31"/>
      <c r="CZ390" s="31"/>
      <c r="DA390" s="31"/>
      <c r="DB390" s="31"/>
      <c r="DC390" s="31"/>
      <c r="DD390" s="31"/>
      <c r="DE390" s="31"/>
      <c r="DF390" s="31"/>
      <c r="DG390" s="31"/>
      <c r="DH390" s="31"/>
      <c r="DI390" s="31"/>
      <c r="DJ390" s="31"/>
      <c r="DK390" s="31"/>
      <c r="DL390" s="31"/>
      <c r="DM390" s="31"/>
      <c r="DN390" s="31"/>
      <c r="DO390" s="31"/>
      <c r="DP390" s="31"/>
      <c r="DQ390" s="31"/>
      <c r="DR390" s="31"/>
      <c r="DS390" s="31"/>
      <c r="DT390" s="31"/>
      <c r="DU390" s="31"/>
      <c r="DV390" s="31"/>
      <c r="DW390" s="31"/>
      <c r="DX390" s="31"/>
      <c r="DY390" s="31"/>
      <c r="DZ390" s="31"/>
      <c r="EA390" s="31"/>
      <c r="EB390" s="31"/>
      <c r="EC390" s="31"/>
      <c r="ED390" s="31"/>
      <c r="EE390" s="31"/>
      <c r="EF390" s="31"/>
      <c r="EG390" s="31"/>
      <c r="EH390" s="31"/>
      <c r="EI390" s="31"/>
      <c r="EJ390" s="31"/>
      <c r="EK390" s="31"/>
      <c r="EL390" s="31"/>
      <c r="EM390" s="31"/>
      <c r="EN390" s="31"/>
      <c r="EO390" s="31"/>
      <c r="EP390" s="31"/>
      <c r="EQ390" s="31"/>
      <c r="ER390" s="31"/>
      <c r="ES390" s="31"/>
      <c r="ET390" s="31"/>
      <c r="EU390" s="31"/>
      <c r="EV390" s="31"/>
      <c r="EW390" s="31"/>
      <c r="EX390" s="31"/>
      <c r="EY390" s="31"/>
      <c r="EZ390" s="31"/>
      <c r="FA390" s="31"/>
      <c r="FB390" s="31"/>
      <c r="FC390" s="31"/>
      <c r="FD390" s="31"/>
      <c r="FE390" s="31"/>
      <c r="FF390" s="31"/>
      <c r="FG390" s="31"/>
      <c r="FH390" s="31"/>
      <c r="FI390" s="31"/>
      <c r="FJ390" s="31"/>
      <c r="FK390" s="31"/>
      <c r="FL390" s="31"/>
      <c r="FM390" s="31"/>
      <c r="FN390" s="31"/>
      <c r="FO390" s="31"/>
      <c r="FP390" s="31"/>
      <c r="FQ390" s="31"/>
      <c r="FR390" s="31"/>
      <c r="FS390" s="31"/>
      <c r="FT390" s="31"/>
      <c r="FU390" s="31"/>
      <c r="FV390" s="31"/>
      <c r="FW390" s="31"/>
      <c r="FX390" s="31"/>
      <c r="FY390" s="31"/>
      <c r="FZ390" s="31"/>
      <c r="GA390" s="31"/>
      <c r="GB390" s="31"/>
      <c r="GC390" s="31"/>
      <c r="GD390" s="31"/>
      <c r="GE390" s="31"/>
      <c r="GF390" s="31"/>
      <c r="GG390" s="31"/>
      <c r="GH390" s="31"/>
      <c r="GI390" s="31"/>
      <c r="GJ390" s="31"/>
      <c r="GK390" s="31"/>
      <c r="GL390" s="31"/>
      <c r="GM390" s="31"/>
      <c r="GN390" s="31"/>
      <c r="GO390" s="31"/>
      <c r="GP390" s="31"/>
      <c r="GQ390" s="31"/>
      <c r="GR390" s="31"/>
      <c r="GS390" s="31"/>
      <c r="GT390" s="31"/>
      <c r="GU390" s="31"/>
      <c r="GV390" s="31"/>
      <c r="GW390" s="31"/>
      <c r="GX390" s="31"/>
      <c r="GY390" s="31"/>
      <c r="GZ390" s="31"/>
      <c r="HA390" s="31"/>
      <c r="HB390" s="31"/>
      <c r="HC390" s="31"/>
      <c r="HD390" s="31"/>
      <c r="HE390" s="31"/>
      <c r="HF390" s="31"/>
      <c r="HG390" s="31"/>
      <c r="HH390" s="31"/>
      <c r="HI390" s="31"/>
      <c r="HJ390" s="31"/>
      <c r="HK390" s="31"/>
      <c r="HL390" s="31"/>
      <c r="HM390" s="31"/>
      <c r="HN390" s="31"/>
      <c r="HO390" s="31"/>
      <c r="HP390" s="31"/>
      <c r="HQ390" s="31"/>
      <c r="HR390" s="31"/>
      <c r="HS390" s="31"/>
      <c r="HT390" s="31"/>
      <c r="HU390" s="31"/>
      <c r="HV390" s="31"/>
      <c r="HW390" s="31"/>
      <c r="HX390" s="31"/>
      <c r="HY390" s="31"/>
      <c r="HZ390" s="31"/>
      <c r="IA390" s="31"/>
      <c r="IB390" s="31"/>
      <c r="IC390" s="31"/>
      <c r="ID390" s="31"/>
      <c r="IE390" s="31"/>
      <c r="IF390" s="31"/>
      <c r="IG390" s="31"/>
      <c r="IH390" s="31"/>
      <c r="II390" s="31"/>
      <c r="IJ390" s="31"/>
      <c r="IK390" s="31"/>
      <c r="IL390" s="31"/>
      <c r="IM390" s="31"/>
      <c r="IN390" s="31"/>
      <c r="IO390" s="31"/>
      <c r="IP390" s="31"/>
      <c r="IQ390" s="31"/>
      <c r="IR390" s="31"/>
      <c r="IS390" s="31"/>
      <c r="IT390" s="31"/>
      <c r="IU390" s="31"/>
      <c r="IV390" s="31"/>
      <c r="IW390" s="31"/>
      <c r="IX390" s="31"/>
      <c r="IY390" s="31"/>
      <c r="IZ390" s="31"/>
      <c r="JA390" s="31"/>
      <c r="JB390" s="31"/>
      <c r="JC390" s="31"/>
      <c r="JD390" s="31"/>
      <c r="JE390" s="31"/>
      <c r="JF390" s="31"/>
      <c r="JG390" s="31"/>
      <c r="JH390" s="31"/>
      <c r="JI390" s="31"/>
      <c r="JJ390" s="31"/>
      <c r="JK390" s="31"/>
      <c r="JL390" s="31"/>
      <c r="JM390" s="31"/>
      <c r="JN390" s="31"/>
      <c r="JO390" s="31"/>
      <c r="JP390" s="31"/>
      <c r="JQ390" s="31"/>
      <c r="JR390" s="31"/>
      <c r="JS390" s="31"/>
      <c r="JT390" s="31"/>
      <c r="JU390" s="31"/>
      <c r="JV390" s="31"/>
      <c r="JW390" s="31"/>
      <c r="JX390" s="31"/>
      <c r="JY390" s="31"/>
      <c r="JZ390" s="31"/>
      <c r="KA390" s="31"/>
      <c r="KB390" s="31"/>
      <c r="KC390" s="31"/>
      <c r="KD390" s="31"/>
      <c r="KE390" s="31"/>
      <c r="KF390" s="31"/>
      <c r="KG390" s="31"/>
      <c r="KH390" s="31"/>
      <c r="KI390" s="31"/>
      <c r="KJ390" s="31"/>
      <c r="KK390" s="31"/>
      <c r="KL390" s="31"/>
      <c r="KM390" s="31"/>
      <c r="KN390" s="31"/>
      <c r="KO390" s="31"/>
      <c r="KP390" s="31"/>
      <c r="KQ390" s="31"/>
      <c r="KR390" s="31"/>
      <c r="KS390" s="31"/>
      <c r="KT390" s="31"/>
      <c r="KU390" s="31"/>
      <c r="KV390" s="31"/>
      <c r="KW390" s="31"/>
      <c r="KX390" s="31"/>
      <c r="KY390" s="31"/>
      <c r="KZ390" s="31"/>
      <c r="LA390" s="31"/>
      <c r="LB390" s="31"/>
      <c r="LC390" s="31"/>
      <c r="LD390" s="31"/>
      <c r="LE390" s="31"/>
      <c r="LF390" s="31"/>
      <c r="LG390" s="31"/>
      <c r="LH390" s="31"/>
      <c r="LI390" s="31"/>
      <c r="LJ390" s="31"/>
      <c r="LK390" s="31"/>
      <c r="LL390" s="31"/>
      <c r="LM390" s="31"/>
      <c r="LN390" s="31"/>
      <c r="LO390" s="31"/>
      <c r="LP390" s="31"/>
      <c r="LQ390" s="31"/>
      <c r="LR390" s="31"/>
      <c r="LS390" s="31"/>
      <c r="LT390" s="31"/>
      <c r="LU390" s="31"/>
      <c r="LV390" s="31"/>
      <c r="LW390" s="31"/>
      <c r="LX390" s="31"/>
      <c r="LY390" s="31"/>
      <c r="LZ390" s="31"/>
      <c r="MA390" s="31"/>
      <c r="MB390" s="31"/>
      <c r="MC390" s="31"/>
      <c r="MD390" s="31"/>
      <c r="ME390" s="31"/>
      <c r="MF390" s="31"/>
      <c r="MG390" s="31"/>
      <c r="MH390" s="31"/>
      <c r="MI390" s="31"/>
      <c r="MJ390" s="31"/>
      <c r="MK390" s="31"/>
      <c r="ML390" s="31"/>
      <c r="MM390" s="31"/>
      <c r="MN390" s="31"/>
      <c r="MO390" s="31"/>
      <c r="MP390" s="31"/>
      <c r="MQ390" s="31"/>
      <c r="MR390" s="31"/>
      <c r="MS390" s="31"/>
      <c r="MT390" s="31"/>
      <c r="MU390" s="31"/>
      <c r="MV390" s="31"/>
      <c r="MW390" s="31"/>
      <c r="MX390" s="31"/>
      <c r="MY390" s="31"/>
      <c r="MZ390" s="31"/>
      <c r="NA390" s="31"/>
      <c r="NB390" s="31"/>
      <c r="NC390" s="31"/>
      <c r="ND390" s="31"/>
      <c r="NE390" s="31"/>
      <c r="NF390" s="31"/>
      <c r="NG390" s="31"/>
      <c r="NH390" s="31"/>
      <c r="NI390" s="31"/>
      <c r="NJ390" s="31"/>
      <c r="NK390" s="31"/>
      <c r="NL390" s="31"/>
      <c r="NM390" s="31"/>
      <c r="NN390" s="31"/>
      <c r="NO390" s="31"/>
      <c r="NP390" s="31"/>
      <c r="NQ390" s="31"/>
      <c r="NR390" s="31"/>
      <c r="NS390" s="31"/>
      <c r="NT390" s="31"/>
      <c r="NU390" s="31"/>
      <c r="NV390" s="31"/>
      <c r="NW390" s="31"/>
      <c r="NX390" s="31"/>
      <c r="NY390" s="31"/>
      <c r="NZ390" s="31"/>
      <c r="OA390" s="31"/>
      <c r="OB390" s="31"/>
      <c r="OC390" s="31"/>
      <c r="OD390" s="31"/>
      <c r="OE390" s="31"/>
      <c r="OF390" s="31"/>
      <c r="OG390" s="31"/>
      <c r="OH390" s="31"/>
      <c r="OI390" s="31"/>
      <c r="OJ390" s="31"/>
      <c r="OK390" s="31"/>
      <c r="OL390" s="31"/>
      <c r="OM390" s="31"/>
      <c r="ON390" s="31"/>
      <c r="OO390" s="31"/>
      <c r="OP390" s="31"/>
      <c r="OQ390" s="31"/>
      <c r="OR390" s="31"/>
      <c r="OS390" s="31"/>
      <c r="OT390" s="31"/>
      <c r="OU390" s="31"/>
      <c r="OV390" s="31"/>
      <c r="OW390" s="31"/>
      <c r="OX390" s="31"/>
      <c r="OY390" s="31"/>
      <c r="OZ390" s="31"/>
      <c r="PA390" s="31"/>
      <c r="PB390" s="31"/>
      <c r="PC390" s="31"/>
      <c r="PD390" s="31"/>
      <c r="PE390" s="31"/>
      <c r="PF390" s="31"/>
      <c r="PG390" s="31"/>
      <c r="PH390" s="31"/>
      <c r="PI390" s="31"/>
      <c r="PJ390" s="31"/>
      <c r="PK390" s="31"/>
      <c r="PL390" s="31"/>
      <c r="PM390" s="31"/>
      <c r="PN390" s="31"/>
      <c r="PO390" s="31"/>
      <c r="PP390" s="31"/>
      <c r="PQ390" s="31"/>
      <c r="PR390" s="31"/>
      <c r="PS390" s="31"/>
      <c r="PT390" s="31"/>
      <c r="PU390" s="31"/>
      <c r="PV390" s="31"/>
      <c r="PW390" s="31"/>
      <c r="PX390" s="31"/>
      <c r="PY390" s="31"/>
      <c r="PZ390" s="31"/>
      <c r="QA390" s="31"/>
      <c r="QB390" s="31"/>
      <c r="QC390" s="31"/>
      <c r="QD390" s="31"/>
      <c r="QE390" s="31"/>
      <c r="QF390" s="31"/>
      <c r="QG390" s="31"/>
      <c r="QH390" s="31"/>
      <c r="QI390" s="31"/>
      <c r="QJ390" s="31"/>
      <c r="QK390" s="31"/>
      <c r="QL390" s="31"/>
      <c r="QM390" s="31"/>
      <c r="QN390" s="31"/>
      <c r="QO390" s="31"/>
      <c r="QP390" s="31"/>
      <c r="QQ390" s="31"/>
      <c r="QR390" s="31"/>
      <c r="QS390" s="31"/>
      <c r="QT390" s="31"/>
      <c r="QU390" s="31"/>
      <c r="QV390" s="31"/>
      <c r="QW390" s="31"/>
      <c r="QX390" s="31"/>
      <c r="QY390" s="31"/>
      <c r="QZ390" s="31"/>
      <c r="RA390" s="31"/>
      <c r="RB390" s="31"/>
      <c r="RC390" s="31"/>
      <c r="RD390" s="31"/>
      <c r="RE390" s="31"/>
      <c r="RF390" s="31"/>
      <c r="RG390" s="31"/>
      <c r="RH390" s="31"/>
      <c r="RI390" s="31"/>
      <c r="RJ390" s="31"/>
      <c r="RK390" s="31"/>
      <c r="RL390" s="31"/>
      <c r="RM390" s="31"/>
      <c r="RN390" s="31"/>
      <c r="RO390" s="31"/>
      <c r="RP390" s="31"/>
      <c r="RQ390" s="31"/>
      <c r="RR390" s="31"/>
      <c r="RS390" s="31"/>
      <c r="RT390" s="31"/>
      <c r="RU390" s="31"/>
      <c r="RV390" s="31"/>
      <c r="RW390" s="31"/>
      <c r="RX390" s="31"/>
      <c r="RY390" s="31"/>
      <c r="RZ390" s="31"/>
      <c r="SA390" s="31"/>
      <c r="SB390" s="31"/>
      <c r="SC390" s="31"/>
      <c r="SD390" s="31"/>
      <c r="SE390" s="31"/>
      <c r="SF390" s="31"/>
      <c r="SG390" s="31"/>
      <c r="SH390" s="31"/>
      <c r="SI390" s="31"/>
      <c r="SJ390" s="31"/>
      <c r="SK390" s="31"/>
      <c r="SL390" s="31"/>
      <c r="SM390" s="31"/>
      <c r="SN390" s="31"/>
      <c r="SO390" s="31"/>
      <c r="SP390" s="31"/>
      <c r="SQ390" s="31"/>
      <c r="SR390" s="31"/>
      <c r="SS390" s="31"/>
      <c r="ST390" s="31"/>
      <c r="SU390" s="31"/>
      <c r="SV390" s="31"/>
      <c r="SW390" s="31"/>
      <c r="SX390" s="31"/>
      <c r="SY390" s="31"/>
      <c r="SZ390" s="31"/>
      <c r="TA390" s="31"/>
      <c r="TB390" s="31"/>
      <c r="TC390" s="31"/>
      <c r="TD390" s="31"/>
      <c r="TE390" s="31"/>
      <c r="TF390" s="31"/>
      <c r="TG390" s="31"/>
      <c r="TH390" s="31"/>
      <c r="TI390" s="31"/>
      <c r="TJ390" s="31"/>
      <c r="TK390" s="31"/>
      <c r="TL390" s="31"/>
      <c r="TM390" s="31"/>
      <c r="TN390" s="31"/>
      <c r="TO390" s="31"/>
      <c r="TP390" s="31"/>
      <c r="TQ390" s="31"/>
      <c r="TR390" s="31"/>
      <c r="TS390" s="31"/>
      <c r="TT390" s="31"/>
      <c r="TU390" s="31"/>
      <c r="TV390" s="31"/>
      <c r="TW390" s="31"/>
      <c r="TX390" s="31"/>
      <c r="TY390" s="31"/>
      <c r="TZ390" s="31"/>
      <c r="UA390" s="31"/>
      <c r="UB390" s="31"/>
      <c r="UC390" s="31"/>
      <c r="UD390" s="31"/>
      <c r="UE390" s="31"/>
      <c r="UF390" s="31"/>
      <c r="UG390" s="33"/>
    </row>
    <row r="391" spans="1:553" ht="52.9" customHeight="1">
      <c r="A391" s="356" t="s">
        <v>61</v>
      </c>
      <c r="B391" s="428"/>
      <c r="C391" s="1491" t="s">
        <v>62</v>
      </c>
      <c r="D391" s="1389"/>
      <c r="E391" s="1389"/>
      <c r="F391" s="1390"/>
      <c r="G391" s="429"/>
      <c r="H391" s="359"/>
      <c r="I391" s="359"/>
      <c r="J391" s="357"/>
      <c r="K391" s="364"/>
      <c r="L391" s="356"/>
      <c r="M391" s="356"/>
      <c r="N391" s="356"/>
      <c r="O391" s="356"/>
      <c r="P391" s="358">
        <f>L391</f>
        <v>0</v>
      </c>
      <c r="Q391" s="610"/>
      <c r="R391" s="1226" t="s">
        <v>63</v>
      </c>
      <c r="S391" s="435"/>
      <c r="T391" s="436"/>
      <c r="U391" s="304"/>
      <c r="V391" s="393"/>
      <c r="W391" s="304"/>
      <c r="X391" s="304"/>
      <c r="Y391" s="304"/>
      <c r="Z391" s="304"/>
      <c r="AA391" s="304"/>
      <c r="AB391" s="304"/>
      <c r="AC391" s="454"/>
      <c r="AD391" s="454"/>
      <c r="AE391" s="454"/>
      <c r="AF391" s="454"/>
      <c r="AG391" s="454"/>
      <c r="AH391" s="454"/>
      <c r="AI391" s="454"/>
      <c r="AJ391" s="454"/>
      <c r="AK391" s="455"/>
      <c r="AL391" s="110"/>
      <c r="AM391" s="34"/>
      <c r="AN391" s="34"/>
      <c r="AO391" s="34"/>
      <c r="AP391" s="34"/>
      <c r="AQ391" s="34"/>
      <c r="AR391" s="34"/>
      <c r="AS391" s="35"/>
      <c r="AT391" s="35"/>
      <c r="AU391" s="35"/>
      <c r="AV391" s="35"/>
      <c r="AW391" s="35"/>
      <c r="AX391" s="35"/>
      <c r="AY391" s="35"/>
      <c r="AZ391" s="35"/>
      <c r="BA391" s="35"/>
      <c r="BB391" s="35"/>
      <c r="BC391" s="35"/>
      <c r="BD391" s="35"/>
      <c r="BE391" s="35"/>
      <c r="BF391" s="35"/>
      <c r="BG391" s="35"/>
      <c r="BH391" s="35"/>
      <c r="BI391" s="35"/>
      <c r="BJ391" s="35"/>
      <c r="BK391" s="35"/>
      <c r="BL391" s="35"/>
      <c r="BM391" s="35"/>
      <c r="BN391" s="35"/>
      <c r="BO391" s="35"/>
      <c r="BP391" s="36"/>
      <c r="BQ391" s="36"/>
      <c r="BR391" s="36"/>
      <c r="BS391" s="36"/>
      <c r="BT391" s="36"/>
      <c r="BU391" s="36"/>
      <c r="BV391" s="36"/>
      <c r="BW391" s="36"/>
      <c r="BX391" s="36"/>
      <c r="BY391" s="36"/>
      <c r="BZ391" s="36"/>
      <c r="CA391" s="36"/>
      <c r="CB391" s="36"/>
      <c r="CC391" s="36"/>
      <c r="CD391" s="36"/>
      <c r="CE391" s="36"/>
      <c r="CF391" s="36"/>
      <c r="CG391" s="36"/>
      <c r="CH391" s="36"/>
      <c r="CI391" s="36"/>
      <c r="CJ391" s="36"/>
      <c r="CK391" s="36"/>
      <c r="CL391" s="36"/>
      <c r="CM391" s="36"/>
      <c r="CN391" s="36"/>
      <c r="CO391" s="36"/>
      <c r="CP391" s="36"/>
      <c r="CQ391" s="36"/>
      <c r="CR391" s="36"/>
      <c r="CS391" s="36"/>
      <c r="CT391" s="36"/>
      <c r="CU391" s="36"/>
      <c r="CV391" s="36"/>
      <c r="CW391" s="36"/>
      <c r="CX391" s="36"/>
      <c r="CY391" s="36"/>
      <c r="CZ391" s="36"/>
      <c r="DA391" s="36"/>
      <c r="DB391" s="36"/>
      <c r="DC391" s="36"/>
      <c r="DD391" s="36"/>
      <c r="DE391" s="36"/>
      <c r="DF391" s="36"/>
      <c r="DG391" s="36"/>
      <c r="DH391" s="36"/>
      <c r="DI391" s="36"/>
      <c r="DJ391" s="36"/>
      <c r="DK391" s="36"/>
      <c r="DL391" s="36"/>
      <c r="DM391" s="36"/>
      <c r="DN391" s="36"/>
      <c r="DO391" s="36"/>
      <c r="DP391" s="36"/>
      <c r="DQ391" s="36"/>
      <c r="DR391" s="36"/>
      <c r="DS391" s="36"/>
      <c r="DT391" s="36"/>
      <c r="DU391" s="36"/>
      <c r="DV391" s="36"/>
      <c r="DW391" s="36"/>
      <c r="DX391" s="36"/>
      <c r="DY391" s="36"/>
      <c r="DZ391" s="36"/>
      <c r="EA391" s="36"/>
      <c r="EB391" s="36"/>
      <c r="EC391" s="36"/>
      <c r="ED391" s="36"/>
      <c r="EE391" s="36"/>
      <c r="EF391" s="36"/>
      <c r="EG391" s="36"/>
      <c r="EH391" s="36"/>
      <c r="EI391" s="36"/>
      <c r="EJ391" s="36"/>
      <c r="EK391" s="36"/>
      <c r="EL391" s="36"/>
      <c r="EM391" s="36"/>
      <c r="EN391" s="36"/>
      <c r="EO391" s="36"/>
      <c r="EP391" s="36"/>
      <c r="EQ391" s="36"/>
      <c r="ER391" s="36"/>
      <c r="ES391" s="36"/>
      <c r="ET391" s="36"/>
      <c r="EU391" s="36"/>
      <c r="EV391" s="36"/>
      <c r="EW391" s="36"/>
      <c r="EX391" s="36"/>
      <c r="EY391" s="36"/>
      <c r="EZ391" s="36"/>
      <c r="FA391" s="36"/>
      <c r="FB391" s="36"/>
      <c r="FC391" s="36"/>
      <c r="FD391" s="36"/>
      <c r="FE391" s="36"/>
      <c r="FF391" s="36"/>
      <c r="FG391" s="36"/>
      <c r="FH391" s="36"/>
      <c r="FI391" s="36"/>
      <c r="FJ391" s="36"/>
      <c r="FK391" s="36"/>
      <c r="FL391" s="36"/>
      <c r="FM391" s="36"/>
      <c r="FN391" s="36"/>
      <c r="FO391" s="36"/>
      <c r="FP391" s="36"/>
      <c r="FQ391" s="36"/>
      <c r="FR391" s="36"/>
      <c r="FS391" s="36"/>
      <c r="FT391" s="36"/>
      <c r="FU391" s="36"/>
      <c r="FV391" s="36"/>
      <c r="FW391" s="36"/>
      <c r="FX391" s="36"/>
      <c r="FY391" s="36"/>
      <c r="FZ391" s="36"/>
      <c r="GA391" s="36"/>
      <c r="GB391" s="36"/>
      <c r="GC391" s="36"/>
      <c r="GD391" s="36"/>
      <c r="GE391" s="36"/>
      <c r="GF391" s="36"/>
      <c r="GG391" s="36"/>
      <c r="GH391" s="36"/>
      <c r="GI391" s="36"/>
      <c r="GJ391" s="36"/>
      <c r="GK391" s="36"/>
      <c r="GL391" s="36"/>
      <c r="GM391" s="36"/>
      <c r="GN391" s="36"/>
      <c r="GO391" s="36"/>
      <c r="GP391" s="36"/>
      <c r="GQ391" s="36"/>
      <c r="GR391" s="36"/>
      <c r="GS391" s="36"/>
      <c r="GT391" s="36"/>
      <c r="GU391" s="36"/>
      <c r="GV391" s="36"/>
      <c r="GW391" s="36"/>
      <c r="GX391" s="36"/>
      <c r="GY391" s="36"/>
      <c r="GZ391" s="36"/>
      <c r="HA391" s="36"/>
      <c r="HB391" s="36"/>
      <c r="HC391" s="36"/>
      <c r="HD391" s="36"/>
      <c r="HE391" s="36"/>
      <c r="HF391" s="36"/>
      <c r="HG391" s="36"/>
      <c r="HH391" s="36"/>
      <c r="HI391" s="36"/>
      <c r="HJ391" s="36"/>
      <c r="HK391" s="36"/>
      <c r="HL391" s="36"/>
      <c r="HM391" s="36"/>
      <c r="HN391" s="36"/>
      <c r="HO391" s="36"/>
      <c r="HP391" s="36"/>
      <c r="HQ391" s="36"/>
      <c r="HR391" s="36"/>
      <c r="HS391" s="36"/>
      <c r="HT391" s="36"/>
      <c r="HU391" s="36"/>
      <c r="HV391" s="36"/>
      <c r="HW391" s="36"/>
      <c r="HX391" s="36"/>
      <c r="HY391" s="36"/>
      <c r="HZ391" s="36"/>
      <c r="IA391" s="36"/>
      <c r="IB391" s="36"/>
      <c r="IC391" s="36"/>
      <c r="ID391" s="36"/>
      <c r="IE391" s="36"/>
      <c r="IF391" s="36"/>
      <c r="IG391" s="36"/>
      <c r="IH391" s="36"/>
      <c r="II391" s="36"/>
      <c r="IJ391" s="36"/>
      <c r="IK391" s="36"/>
      <c r="IL391" s="36"/>
      <c r="IM391" s="36"/>
      <c r="IN391" s="36"/>
      <c r="IO391" s="36"/>
      <c r="IP391" s="36"/>
      <c r="IQ391" s="36"/>
      <c r="IR391" s="36"/>
      <c r="IS391" s="36"/>
      <c r="IT391" s="36"/>
      <c r="IU391" s="36"/>
      <c r="IV391" s="36"/>
      <c r="IW391" s="36"/>
      <c r="IX391" s="36"/>
      <c r="IY391" s="36"/>
      <c r="IZ391" s="36"/>
      <c r="JA391" s="36"/>
      <c r="JB391" s="36"/>
      <c r="JC391" s="36"/>
      <c r="JD391" s="36"/>
      <c r="JE391" s="36"/>
      <c r="JF391" s="36"/>
      <c r="JG391" s="36"/>
      <c r="JH391" s="36"/>
      <c r="JI391" s="36"/>
      <c r="JJ391" s="36"/>
      <c r="JK391" s="36"/>
      <c r="JL391" s="36"/>
      <c r="JM391" s="36"/>
      <c r="JN391" s="36"/>
      <c r="JO391" s="36"/>
      <c r="JP391" s="36"/>
      <c r="JQ391" s="36"/>
      <c r="JR391" s="36"/>
      <c r="JS391" s="36"/>
      <c r="JT391" s="36"/>
      <c r="JU391" s="36"/>
      <c r="JV391" s="36"/>
      <c r="JW391" s="36"/>
      <c r="JX391" s="36"/>
      <c r="JY391" s="36"/>
      <c r="JZ391" s="36"/>
      <c r="KA391" s="36"/>
      <c r="KB391" s="36"/>
      <c r="KC391" s="36"/>
      <c r="KD391" s="36"/>
      <c r="KE391" s="36"/>
      <c r="KF391" s="36"/>
      <c r="KG391" s="36"/>
      <c r="KH391" s="36"/>
      <c r="KI391" s="36"/>
      <c r="KJ391" s="36"/>
      <c r="KK391" s="36"/>
      <c r="KL391" s="36"/>
      <c r="KM391" s="36"/>
      <c r="KN391" s="36"/>
      <c r="KO391" s="36"/>
      <c r="KP391" s="36"/>
      <c r="KQ391" s="36"/>
      <c r="KR391" s="36"/>
      <c r="KS391" s="36"/>
      <c r="KT391" s="36"/>
      <c r="KU391" s="36"/>
      <c r="KV391" s="36"/>
      <c r="KW391" s="36"/>
      <c r="KX391" s="36"/>
      <c r="KY391" s="36"/>
      <c r="KZ391" s="36"/>
      <c r="LA391" s="36"/>
      <c r="LB391" s="36"/>
      <c r="LC391" s="36"/>
      <c r="LD391" s="36"/>
      <c r="LE391" s="36"/>
      <c r="LF391" s="36"/>
      <c r="LG391" s="36"/>
      <c r="LH391" s="36"/>
      <c r="LI391" s="36"/>
      <c r="LJ391" s="36"/>
      <c r="LK391" s="36"/>
      <c r="LL391" s="36"/>
      <c r="LM391" s="36"/>
      <c r="LN391" s="36"/>
      <c r="LO391" s="36"/>
      <c r="LP391" s="36"/>
      <c r="LQ391" s="36"/>
      <c r="LR391" s="36"/>
      <c r="LS391" s="36"/>
      <c r="LT391" s="36"/>
      <c r="LU391" s="36"/>
      <c r="LV391" s="36"/>
      <c r="LW391" s="36"/>
      <c r="LX391" s="36"/>
      <c r="LY391" s="36"/>
      <c r="LZ391" s="36"/>
      <c r="MA391" s="36"/>
      <c r="MB391" s="36"/>
      <c r="MC391" s="36"/>
      <c r="MD391" s="36"/>
      <c r="ME391" s="36"/>
      <c r="MF391" s="36"/>
      <c r="MG391" s="36"/>
      <c r="MH391" s="36"/>
      <c r="MI391" s="36"/>
      <c r="MJ391" s="36"/>
      <c r="MK391" s="36"/>
      <c r="ML391" s="36"/>
      <c r="MM391" s="36"/>
      <c r="MN391" s="36"/>
      <c r="MO391" s="36"/>
      <c r="MP391" s="36"/>
      <c r="MQ391" s="36"/>
      <c r="MR391" s="36"/>
      <c r="MS391" s="36"/>
      <c r="MT391" s="36"/>
      <c r="MU391" s="36"/>
      <c r="MV391" s="36"/>
      <c r="MW391" s="36"/>
      <c r="MX391" s="36"/>
      <c r="MY391" s="36"/>
      <c r="MZ391" s="36"/>
      <c r="NA391" s="36"/>
      <c r="NB391" s="36"/>
      <c r="NC391" s="36"/>
      <c r="ND391" s="36"/>
      <c r="NE391" s="36"/>
      <c r="NF391" s="36"/>
      <c r="NG391" s="36"/>
      <c r="NH391" s="36"/>
      <c r="NI391" s="36"/>
      <c r="NJ391" s="36"/>
      <c r="NK391" s="36"/>
      <c r="NL391" s="36"/>
      <c r="NM391" s="36"/>
      <c r="NN391" s="36"/>
      <c r="NO391" s="36"/>
      <c r="NP391" s="36"/>
      <c r="NQ391" s="36"/>
      <c r="NR391" s="36"/>
      <c r="NS391" s="36"/>
      <c r="NT391" s="36"/>
      <c r="NU391" s="36"/>
      <c r="NV391" s="36"/>
      <c r="NW391" s="36"/>
      <c r="NX391" s="36"/>
      <c r="NY391" s="36"/>
      <c r="NZ391" s="36"/>
      <c r="OA391" s="36"/>
      <c r="OB391" s="36"/>
      <c r="OC391" s="36"/>
      <c r="OD391" s="36"/>
      <c r="OE391" s="36"/>
      <c r="OF391" s="36"/>
      <c r="OG391" s="36"/>
      <c r="OH391" s="36"/>
      <c r="OI391" s="36"/>
      <c r="OJ391" s="36"/>
      <c r="OK391" s="36"/>
      <c r="OL391" s="36"/>
      <c r="OM391" s="36"/>
      <c r="ON391" s="36"/>
      <c r="OO391" s="36"/>
      <c r="OP391" s="36"/>
      <c r="OQ391" s="36"/>
      <c r="OR391" s="36"/>
      <c r="OS391" s="36"/>
      <c r="OT391" s="36"/>
      <c r="OU391" s="36"/>
      <c r="OV391" s="36"/>
      <c r="OW391" s="36"/>
      <c r="OX391" s="36"/>
      <c r="OY391" s="36"/>
      <c r="OZ391" s="36"/>
      <c r="PA391" s="36"/>
      <c r="PB391" s="36"/>
      <c r="PC391" s="36"/>
      <c r="PD391" s="36"/>
      <c r="PE391" s="36"/>
      <c r="PF391" s="36"/>
      <c r="PG391" s="36"/>
      <c r="PH391" s="36"/>
      <c r="PI391" s="36"/>
      <c r="PJ391" s="36"/>
      <c r="PK391" s="36"/>
      <c r="PL391" s="36"/>
      <c r="PM391" s="36"/>
      <c r="PN391" s="36"/>
      <c r="PO391" s="36"/>
      <c r="PP391" s="36"/>
      <c r="PQ391" s="36"/>
      <c r="PR391" s="36"/>
      <c r="PS391" s="36"/>
      <c r="PT391" s="36"/>
      <c r="PU391" s="36"/>
      <c r="PV391" s="36"/>
      <c r="PW391" s="36"/>
      <c r="PX391" s="36"/>
      <c r="PY391" s="36"/>
      <c r="PZ391" s="36"/>
      <c r="QA391" s="36"/>
      <c r="QB391" s="36"/>
      <c r="QC391" s="36"/>
      <c r="QD391" s="36"/>
      <c r="QE391" s="36"/>
      <c r="QF391" s="36"/>
      <c r="QG391" s="36"/>
      <c r="QH391" s="36"/>
      <c r="QI391" s="36"/>
      <c r="QJ391" s="36"/>
      <c r="QK391" s="36"/>
      <c r="QL391" s="36"/>
      <c r="QM391" s="36"/>
      <c r="QN391" s="36"/>
      <c r="QO391" s="36"/>
      <c r="QP391" s="36"/>
      <c r="QQ391" s="36"/>
      <c r="QR391" s="36"/>
      <c r="QS391" s="36"/>
      <c r="QT391" s="36"/>
      <c r="QU391" s="36"/>
      <c r="QV391" s="36"/>
      <c r="QW391" s="36"/>
      <c r="QX391" s="36"/>
      <c r="QY391" s="36"/>
      <c r="QZ391" s="36"/>
      <c r="RA391" s="36"/>
      <c r="RB391" s="36"/>
      <c r="RC391" s="36"/>
      <c r="RD391" s="36"/>
      <c r="RE391" s="36"/>
      <c r="RF391" s="36"/>
      <c r="RG391" s="36"/>
      <c r="RH391" s="36"/>
      <c r="RI391" s="36"/>
      <c r="RJ391" s="36"/>
      <c r="RK391" s="36"/>
      <c r="RL391" s="36"/>
      <c r="RM391" s="36"/>
      <c r="RN391" s="36"/>
      <c r="RO391" s="36"/>
      <c r="RP391" s="36"/>
      <c r="RQ391" s="36"/>
      <c r="RR391" s="36"/>
      <c r="RS391" s="36"/>
      <c r="RT391" s="36"/>
      <c r="RU391" s="36"/>
      <c r="RV391" s="36"/>
      <c r="RW391" s="36"/>
      <c r="RX391" s="36"/>
      <c r="RY391" s="36"/>
      <c r="RZ391" s="36"/>
      <c r="SA391" s="36"/>
      <c r="SB391" s="36"/>
      <c r="SC391" s="36"/>
      <c r="SD391" s="36"/>
      <c r="SE391" s="36"/>
      <c r="SF391" s="36"/>
      <c r="SG391" s="36"/>
      <c r="SH391" s="36"/>
      <c r="SI391" s="36"/>
      <c r="SJ391" s="36"/>
      <c r="SK391" s="36"/>
      <c r="SL391" s="36"/>
      <c r="SM391" s="36"/>
      <c r="SN391" s="36"/>
      <c r="SO391" s="36"/>
      <c r="SP391" s="36"/>
      <c r="SQ391" s="36"/>
      <c r="SR391" s="36"/>
      <c r="SS391" s="36"/>
      <c r="ST391" s="36"/>
      <c r="SU391" s="36"/>
      <c r="SV391" s="36"/>
      <c r="SW391" s="36"/>
      <c r="SX391" s="36"/>
      <c r="SY391" s="36"/>
      <c r="SZ391" s="36"/>
      <c r="TA391" s="36"/>
      <c r="TB391" s="36"/>
      <c r="TC391" s="36"/>
      <c r="TD391" s="36"/>
      <c r="TE391" s="36"/>
      <c r="TF391" s="36"/>
      <c r="TG391" s="36"/>
      <c r="TH391" s="36"/>
      <c r="TI391" s="36"/>
      <c r="TJ391" s="36"/>
      <c r="TK391" s="36"/>
      <c r="TL391" s="36"/>
      <c r="TM391" s="36"/>
      <c r="TN391" s="36"/>
      <c r="TO391" s="36"/>
      <c r="TP391" s="36"/>
      <c r="TQ391" s="36"/>
      <c r="TR391" s="36"/>
      <c r="TS391" s="36"/>
      <c r="TT391" s="36"/>
      <c r="TU391" s="36"/>
      <c r="TV391" s="36"/>
      <c r="TW391" s="36"/>
      <c r="TX391" s="36"/>
      <c r="TY391" s="36"/>
      <c r="TZ391" s="36"/>
      <c r="UA391" s="36"/>
      <c r="UB391" s="36"/>
      <c r="UC391" s="36"/>
      <c r="UD391" s="36"/>
      <c r="UE391" s="36"/>
      <c r="UF391" s="36"/>
      <c r="UG391" s="37"/>
    </row>
    <row r="392" spans="1:553" ht="42" customHeight="1">
      <c r="A392" s="356"/>
      <c r="B392" s="428"/>
      <c r="C392" s="1451" t="s">
        <v>275</v>
      </c>
      <c r="D392" s="1389"/>
      <c r="E392" s="1389"/>
      <c r="F392" s="1390"/>
      <c r="G392" s="386"/>
      <c r="H392" s="370"/>
      <c r="I392" s="1056"/>
      <c r="J392" s="368"/>
      <c r="K392" s="371"/>
      <c r="L392" s="366"/>
      <c r="M392" s="356"/>
      <c r="N392" s="356"/>
      <c r="O392" s="356"/>
      <c r="P392" s="356"/>
      <c r="Q392" s="610"/>
      <c r="R392" s="1226"/>
      <c r="S392" s="308"/>
      <c r="T392" s="303"/>
      <c r="U392" s="306"/>
      <c r="V392" s="307"/>
      <c r="W392" s="307"/>
      <c r="X392" s="307"/>
      <c r="Y392" s="307"/>
      <c r="Z392" s="307"/>
      <c r="AA392" s="307"/>
      <c r="AB392" s="307"/>
      <c r="AC392" s="454"/>
      <c r="AD392" s="454"/>
      <c r="AE392" s="454"/>
      <c r="AF392" s="454"/>
      <c r="AG392" s="454"/>
      <c r="AH392" s="454"/>
      <c r="AI392" s="454"/>
      <c r="AJ392" s="454"/>
      <c r="AK392" s="455"/>
      <c r="AL392" s="110"/>
      <c r="AM392" s="34"/>
      <c r="AN392" s="34"/>
      <c r="AO392" s="34"/>
      <c r="AP392" s="34"/>
      <c r="AQ392" s="34"/>
      <c r="AR392" s="34"/>
      <c r="AS392" s="35"/>
      <c r="AT392" s="35"/>
      <c r="AU392" s="35"/>
      <c r="AV392" s="35"/>
      <c r="AW392" s="35"/>
      <c r="AX392" s="35"/>
      <c r="AY392" s="35"/>
      <c r="AZ392" s="35"/>
      <c r="BA392" s="35"/>
      <c r="BB392" s="35"/>
      <c r="BC392" s="35"/>
      <c r="BD392" s="35"/>
      <c r="BE392" s="35"/>
      <c r="BF392" s="35"/>
      <c r="BG392" s="35"/>
      <c r="BH392" s="35"/>
      <c r="BI392" s="35"/>
      <c r="BJ392" s="35"/>
      <c r="BK392" s="35"/>
      <c r="BL392" s="35"/>
      <c r="BM392" s="35"/>
      <c r="BN392" s="35"/>
      <c r="BO392" s="35"/>
      <c r="BP392" s="36"/>
      <c r="BQ392" s="36"/>
      <c r="BR392" s="36"/>
      <c r="BS392" s="36"/>
      <c r="BT392" s="36"/>
      <c r="BU392" s="36"/>
      <c r="BV392" s="36"/>
      <c r="BW392" s="36"/>
      <c r="BX392" s="36"/>
      <c r="BY392" s="36"/>
      <c r="BZ392" s="36"/>
      <c r="CA392" s="36"/>
      <c r="CB392" s="36"/>
      <c r="CC392" s="36"/>
      <c r="CD392" s="36"/>
      <c r="CE392" s="36"/>
      <c r="CF392" s="36"/>
      <c r="CG392" s="36"/>
      <c r="CH392" s="36"/>
      <c r="CI392" s="36"/>
      <c r="CJ392" s="36"/>
      <c r="CK392" s="36"/>
      <c r="CL392" s="36"/>
      <c r="CM392" s="36"/>
      <c r="CN392" s="36"/>
      <c r="CO392" s="36"/>
      <c r="CP392" s="36"/>
      <c r="CQ392" s="36"/>
      <c r="CR392" s="36"/>
      <c r="CS392" s="36"/>
      <c r="CT392" s="36"/>
      <c r="CU392" s="36"/>
      <c r="CV392" s="36"/>
      <c r="CW392" s="36"/>
      <c r="CX392" s="36"/>
      <c r="CY392" s="36"/>
      <c r="CZ392" s="36"/>
      <c r="DA392" s="36"/>
      <c r="DB392" s="36"/>
      <c r="DC392" s="36"/>
      <c r="DD392" s="36"/>
      <c r="DE392" s="36"/>
      <c r="DF392" s="36"/>
      <c r="DG392" s="36"/>
      <c r="DH392" s="36"/>
      <c r="DI392" s="36"/>
      <c r="DJ392" s="36"/>
      <c r="DK392" s="36"/>
      <c r="DL392" s="36"/>
      <c r="DM392" s="36"/>
      <c r="DN392" s="36"/>
      <c r="DO392" s="36"/>
      <c r="DP392" s="36"/>
      <c r="DQ392" s="36"/>
      <c r="DR392" s="36"/>
      <c r="DS392" s="36"/>
      <c r="DT392" s="36"/>
      <c r="DU392" s="36"/>
      <c r="DV392" s="36"/>
      <c r="DW392" s="36"/>
      <c r="DX392" s="36"/>
      <c r="DY392" s="36"/>
      <c r="DZ392" s="36"/>
      <c r="EA392" s="36"/>
      <c r="EB392" s="36"/>
      <c r="EC392" s="36"/>
      <c r="ED392" s="36"/>
      <c r="EE392" s="36"/>
      <c r="EF392" s="36"/>
      <c r="EG392" s="36"/>
      <c r="EH392" s="36"/>
      <c r="EI392" s="36"/>
      <c r="EJ392" s="36"/>
      <c r="EK392" s="36"/>
      <c r="EL392" s="36"/>
      <c r="EM392" s="36"/>
      <c r="EN392" s="36"/>
      <c r="EO392" s="36"/>
      <c r="EP392" s="36"/>
      <c r="EQ392" s="36"/>
      <c r="ER392" s="36"/>
      <c r="ES392" s="36"/>
      <c r="ET392" s="36"/>
      <c r="EU392" s="36"/>
      <c r="EV392" s="36"/>
      <c r="EW392" s="36"/>
      <c r="EX392" s="36"/>
      <c r="EY392" s="36"/>
      <c r="EZ392" s="36"/>
      <c r="FA392" s="36"/>
      <c r="FB392" s="36"/>
      <c r="FC392" s="36"/>
      <c r="FD392" s="36"/>
      <c r="FE392" s="36"/>
      <c r="FF392" s="36"/>
      <c r="FG392" s="36"/>
      <c r="FH392" s="36"/>
      <c r="FI392" s="36"/>
      <c r="FJ392" s="36"/>
      <c r="FK392" s="36"/>
      <c r="FL392" s="36"/>
      <c r="FM392" s="36"/>
      <c r="FN392" s="36"/>
      <c r="FO392" s="36"/>
      <c r="FP392" s="36"/>
      <c r="FQ392" s="36"/>
      <c r="FR392" s="36"/>
      <c r="FS392" s="36"/>
      <c r="FT392" s="36"/>
      <c r="FU392" s="36"/>
      <c r="FV392" s="36"/>
      <c r="FW392" s="36"/>
      <c r="FX392" s="36"/>
      <c r="FY392" s="36"/>
      <c r="FZ392" s="36"/>
      <c r="GA392" s="36"/>
      <c r="GB392" s="36"/>
      <c r="GC392" s="36"/>
      <c r="GD392" s="36"/>
      <c r="GE392" s="36"/>
      <c r="GF392" s="36"/>
      <c r="GG392" s="36"/>
      <c r="GH392" s="36"/>
      <c r="GI392" s="36"/>
      <c r="GJ392" s="36"/>
      <c r="GK392" s="36"/>
      <c r="GL392" s="36"/>
      <c r="GM392" s="36"/>
      <c r="GN392" s="36"/>
      <c r="GO392" s="36"/>
      <c r="GP392" s="36"/>
      <c r="GQ392" s="36"/>
      <c r="GR392" s="36"/>
      <c r="GS392" s="36"/>
      <c r="GT392" s="36"/>
      <c r="GU392" s="36"/>
      <c r="GV392" s="36"/>
      <c r="GW392" s="36"/>
      <c r="GX392" s="36"/>
      <c r="GY392" s="36"/>
      <c r="GZ392" s="36"/>
      <c r="HA392" s="36"/>
      <c r="HB392" s="36"/>
      <c r="HC392" s="36"/>
      <c r="HD392" s="36"/>
      <c r="HE392" s="36"/>
      <c r="HF392" s="36"/>
      <c r="HG392" s="36"/>
      <c r="HH392" s="36"/>
      <c r="HI392" s="36"/>
      <c r="HJ392" s="36"/>
      <c r="HK392" s="36"/>
      <c r="HL392" s="36"/>
      <c r="HM392" s="36"/>
      <c r="HN392" s="36"/>
      <c r="HO392" s="36"/>
      <c r="HP392" s="36"/>
      <c r="HQ392" s="36"/>
      <c r="HR392" s="36"/>
      <c r="HS392" s="36"/>
      <c r="HT392" s="36"/>
      <c r="HU392" s="36"/>
      <c r="HV392" s="36"/>
      <c r="HW392" s="36"/>
      <c r="HX392" s="36"/>
      <c r="HY392" s="36"/>
      <c r="HZ392" s="36"/>
      <c r="IA392" s="36"/>
      <c r="IB392" s="36"/>
      <c r="IC392" s="36"/>
      <c r="ID392" s="36"/>
      <c r="IE392" s="36"/>
      <c r="IF392" s="36"/>
      <c r="IG392" s="36"/>
      <c r="IH392" s="36"/>
      <c r="II392" s="36"/>
      <c r="IJ392" s="36"/>
      <c r="IK392" s="36"/>
      <c r="IL392" s="36"/>
      <c r="IM392" s="36"/>
      <c r="IN392" s="36"/>
      <c r="IO392" s="36"/>
      <c r="IP392" s="36"/>
      <c r="IQ392" s="36"/>
      <c r="IR392" s="36"/>
      <c r="IS392" s="36"/>
      <c r="IT392" s="36"/>
      <c r="IU392" s="36"/>
      <c r="IV392" s="36"/>
      <c r="IW392" s="36"/>
      <c r="IX392" s="36"/>
      <c r="IY392" s="36"/>
      <c r="IZ392" s="36"/>
      <c r="JA392" s="36"/>
      <c r="JB392" s="36"/>
      <c r="JC392" s="36"/>
      <c r="JD392" s="36"/>
      <c r="JE392" s="36"/>
      <c r="JF392" s="36"/>
      <c r="JG392" s="36"/>
      <c r="JH392" s="36"/>
      <c r="JI392" s="36"/>
      <c r="JJ392" s="36"/>
      <c r="JK392" s="36"/>
      <c r="JL392" s="36"/>
      <c r="JM392" s="36"/>
      <c r="JN392" s="36"/>
      <c r="JO392" s="36"/>
      <c r="JP392" s="36"/>
      <c r="JQ392" s="36"/>
      <c r="JR392" s="36"/>
      <c r="JS392" s="36"/>
      <c r="JT392" s="36"/>
      <c r="JU392" s="36"/>
      <c r="JV392" s="36"/>
      <c r="JW392" s="36"/>
      <c r="JX392" s="36"/>
      <c r="JY392" s="36"/>
      <c r="JZ392" s="36"/>
      <c r="KA392" s="36"/>
      <c r="KB392" s="36"/>
      <c r="KC392" s="36"/>
      <c r="KD392" s="36"/>
      <c r="KE392" s="36"/>
      <c r="KF392" s="36"/>
      <c r="KG392" s="36"/>
      <c r="KH392" s="36"/>
      <c r="KI392" s="36"/>
      <c r="KJ392" s="36"/>
      <c r="KK392" s="36"/>
      <c r="KL392" s="36"/>
      <c r="KM392" s="36"/>
      <c r="KN392" s="36"/>
      <c r="KO392" s="36"/>
      <c r="KP392" s="36"/>
      <c r="KQ392" s="36"/>
      <c r="KR392" s="36"/>
      <c r="KS392" s="36"/>
      <c r="KT392" s="36"/>
      <c r="KU392" s="36"/>
      <c r="KV392" s="36"/>
      <c r="KW392" s="36"/>
      <c r="KX392" s="36"/>
      <c r="KY392" s="36"/>
      <c r="KZ392" s="36"/>
      <c r="LA392" s="36"/>
      <c r="LB392" s="36"/>
      <c r="LC392" s="36"/>
      <c r="LD392" s="36"/>
      <c r="LE392" s="36"/>
      <c r="LF392" s="36"/>
      <c r="LG392" s="36"/>
      <c r="LH392" s="36"/>
      <c r="LI392" s="36"/>
      <c r="LJ392" s="36"/>
      <c r="LK392" s="36"/>
      <c r="LL392" s="36"/>
      <c r="LM392" s="36"/>
      <c r="LN392" s="36"/>
      <c r="LO392" s="36"/>
      <c r="LP392" s="36"/>
      <c r="LQ392" s="36"/>
      <c r="LR392" s="36"/>
      <c r="LS392" s="36"/>
      <c r="LT392" s="36"/>
      <c r="LU392" s="36"/>
      <c r="LV392" s="36"/>
      <c r="LW392" s="36"/>
      <c r="LX392" s="36"/>
      <c r="LY392" s="36"/>
      <c r="LZ392" s="36"/>
      <c r="MA392" s="36"/>
      <c r="MB392" s="36"/>
      <c r="MC392" s="36"/>
      <c r="MD392" s="36"/>
      <c r="ME392" s="36"/>
      <c r="MF392" s="36"/>
      <c r="MG392" s="36"/>
      <c r="MH392" s="36"/>
      <c r="MI392" s="36"/>
      <c r="MJ392" s="36"/>
      <c r="MK392" s="36"/>
      <c r="ML392" s="36"/>
      <c r="MM392" s="36"/>
      <c r="MN392" s="36"/>
      <c r="MO392" s="36"/>
      <c r="MP392" s="36"/>
      <c r="MQ392" s="36"/>
      <c r="MR392" s="36"/>
      <c r="MS392" s="36"/>
      <c r="MT392" s="36"/>
      <c r="MU392" s="36"/>
      <c r="MV392" s="36"/>
      <c r="MW392" s="36"/>
      <c r="MX392" s="36"/>
      <c r="MY392" s="36"/>
      <c r="MZ392" s="36"/>
      <c r="NA392" s="36"/>
      <c r="NB392" s="36"/>
      <c r="NC392" s="36"/>
      <c r="ND392" s="36"/>
      <c r="NE392" s="36"/>
      <c r="NF392" s="36"/>
      <c r="NG392" s="36"/>
      <c r="NH392" s="36"/>
      <c r="NI392" s="36"/>
      <c r="NJ392" s="36"/>
      <c r="NK392" s="36"/>
      <c r="NL392" s="36"/>
      <c r="NM392" s="36"/>
      <c r="NN392" s="36"/>
      <c r="NO392" s="36"/>
      <c r="NP392" s="36"/>
      <c r="NQ392" s="36"/>
      <c r="NR392" s="36"/>
      <c r="NS392" s="36"/>
      <c r="NT392" s="36"/>
      <c r="NU392" s="36"/>
      <c r="NV392" s="36"/>
      <c r="NW392" s="36"/>
      <c r="NX392" s="36"/>
      <c r="NY392" s="36"/>
      <c r="NZ392" s="36"/>
      <c r="OA392" s="36"/>
      <c r="OB392" s="36"/>
      <c r="OC392" s="36"/>
      <c r="OD392" s="36"/>
      <c r="OE392" s="36"/>
      <c r="OF392" s="36"/>
      <c r="OG392" s="36"/>
      <c r="OH392" s="36"/>
      <c r="OI392" s="36"/>
      <c r="OJ392" s="36"/>
      <c r="OK392" s="36"/>
      <c r="OL392" s="36"/>
      <c r="OM392" s="36"/>
      <c r="ON392" s="36"/>
      <c r="OO392" s="36"/>
      <c r="OP392" s="36"/>
      <c r="OQ392" s="36"/>
      <c r="OR392" s="36"/>
      <c r="OS392" s="36"/>
      <c r="OT392" s="36"/>
      <c r="OU392" s="36"/>
      <c r="OV392" s="36"/>
      <c r="OW392" s="36"/>
      <c r="OX392" s="36"/>
      <c r="OY392" s="36"/>
      <c r="OZ392" s="36"/>
      <c r="PA392" s="36"/>
      <c r="PB392" s="36"/>
      <c r="PC392" s="36"/>
      <c r="PD392" s="36"/>
      <c r="PE392" s="36"/>
      <c r="PF392" s="36"/>
      <c r="PG392" s="36"/>
      <c r="PH392" s="36"/>
      <c r="PI392" s="36"/>
      <c r="PJ392" s="36"/>
      <c r="PK392" s="36"/>
      <c r="PL392" s="36"/>
      <c r="PM392" s="36"/>
      <c r="PN392" s="36"/>
      <c r="PO392" s="36"/>
      <c r="PP392" s="36"/>
      <c r="PQ392" s="36"/>
      <c r="PR392" s="36"/>
      <c r="PS392" s="36"/>
      <c r="PT392" s="36"/>
      <c r="PU392" s="36"/>
      <c r="PV392" s="36"/>
      <c r="PW392" s="36"/>
      <c r="PX392" s="36"/>
      <c r="PY392" s="36"/>
      <c r="PZ392" s="36"/>
      <c r="QA392" s="36"/>
      <c r="QB392" s="36"/>
      <c r="QC392" s="36"/>
      <c r="QD392" s="36"/>
      <c r="QE392" s="36"/>
      <c r="QF392" s="36"/>
      <c r="QG392" s="36"/>
      <c r="QH392" s="36"/>
      <c r="QI392" s="36"/>
      <c r="QJ392" s="36"/>
      <c r="QK392" s="36"/>
      <c r="QL392" s="36"/>
      <c r="QM392" s="36"/>
      <c r="QN392" s="36"/>
      <c r="QO392" s="36"/>
      <c r="QP392" s="36"/>
      <c r="QQ392" s="36"/>
      <c r="QR392" s="36"/>
      <c r="QS392" s="36"/>
      <c r="QT392" s="36"/>
      <c r="QU392" s="36"/>
      <c r="QV392" s="36"/>
      <c r="QW392" s="36"/>
      <c r="QX392" s="36"/>
      <c r="QY392" s="36"/>
      <c r="QZ392" s="36"/>
      <c r="RA392" s="36"/>
      <c r="RB392" s="36"/>
      <c r="RC392" s="36"/>
      <c r="RD392" s="36"/>
      <c r="RE392" s="36"/>
      <c r="RF392" s="36"/>
      <c r="RG392" s="36"/>
      <c r="RH392" s="36"/>
      <c r="RI392" s="36"/>
      <c r="RJ392" s="36"/>
      <c r="RK392" s="36"/>
      <c r="RL392" s="36"/>
      <c r="RM392" s="36"/>
      <c r="RN392" s="36"/>
      <c r="RO392" s="36"/>
      <c r="RP392" s="36"/>
      <c r="RQ392" s="36"/>
      <c r="RR392" s="36"/>
      <c r="RS392" s="36"/>
      <c r="RT392" s="36"/>
      <c r="RU392" s="36"/>
      <c r="RV392" s="36"/>
      <c r="RW392" s="36"/>
      <c r="RX392" s="36"/>
      <c r="RY392" s="36"/>
      <c r="RZ392" s="36"/>
      <c r="SA392" s="36"/>
      <c r="SB392" s="36"/>
      <c r="SC392" s="36"/>
      <c r="SD392" s="36"/>
      <c r="SE392" s="36"/>
      <c r="SF392" s="36"/>
      <c r="SG392" s="36"/>
      <c r="SH392" s="36"/>
      <c r="SI392" s="36"/>
      <c r="SJ392" s="36"/>
      <c r="SK392" s="36"/>
      <c r="SL392" s="36"/>
      <c r="SM392" s="36"/>
      <c r="SN392" s="36"/>
      <c r="SO392" s="36"/>
      <c r="SP392" s="36"/>
      <c r="SQ392" s="36"/>
      <c r="SR392" s="36"/>
      <c r="SS392" s="36"/>
      <c r="ST392" s="36"/>
      <c r="SU392" s="36"/>
      <c r="SV392" s="36"/>
      <c r="SW392" s="36"/>
      <c r="SX392" s="36"/>
      <c r="SY392" s="36"/>
      <c r="SZ392" s="36"/>
      <c r="TA392" s="36"/>
      <c r="TB392" s="36"/>
      <c r="TC392" s="36"/>
      <c r="TD392" s="36"/>
      <c r="TE392" s="36"/>
      <c r="TF392" s="36"/>
      <c r="TG392" s="36"/>
      <c r="TH392" s="36"/>
      <c r="TI392" s="36"/>
      <c r="TJ392" s="36"/>
      <c r="TK392" s="36"/>
      <c r="TL392" s="36"/>
      <c r="TM392" s="36"/>
      <c r="TN392" s="36"/>
      <c r="TO392" s="36"/>
      <c r="TP392" s="36"/>
      <c r="TQ392" s="36"/>
      <c r="TR392" s="36"/>
      <c r="TS392" s="36"/>
      <c r="TT392" s="36"/>
      <c r="TU392" s="36"/>
      <c r="TV392" s="36"/>
      <c r="TW392" s="36"/>
      <c r="TX392" s="36"/>
      <c r="TY392" s="36"/>
      <c r="TZ392" s="36"/>
      <c r="UA392" s="36"/>
      <c r="UB392" s="36"/>
      <c r="UC392" s="36"/>
      <c r="UD392" s="36"/>
      <c r="UE392" s="36"/>
      <c r="UF392" s="36"/>
      <c r="UG392" s="37"/>
    </row>
    <row r="393" spans="1:553" ht="42" customHeight="1">
      <c r="A393" s="356"/>
      <c r="B393" s="428"/>
      <c r="C393" s="1451" t="s">
        <v>276</v>
      </c>
      <c r="D393" s="1389"/>
      <c r="E393" s="1389"/>
      <c r="F393" s="1390"/>
      <c r="G393" s="366"/>
      <c r="H393" s="417"/>
      <c r="I393" s="417"/>
      <c r="J393" s="368"/>
      <c r="K393" s="369"/>
      <c r="L393" s="366"/>
      <c r="M393" s="356"/>
      <c r="N393" s="356"/>
      <c r="O393" s="356"/>
      <c r="P393" s="356"/>
      <c r="Q393" s="610"/>
      <c r="R393" s="1226"/>
      <c r="S393" s="308"/>
      <c r="T393" s="303"/>
      <c r="U393" s="306"/>
      <c r="V393" s="307"/>
      <c r="W393" s="307"/>
      <c r="X393" s="307"/>
      <c r="Y393" s="307"/>
      <c r="Z393" s="307"/>
      <c r="AA393" s="307"/>
      <c r="AB393" s="307"/>
      <c r="AC393" s="454"/>
      <c r="AD393" s="454"/>
      <c r="AE393" s="454"/>
      <c r="AF393" s="454"/>
      <c r="AG393" s="454"/>
      <c r="AH393" s="454"/>
      <c r="AI393" s="454"/>
      <c r="AJ393" s="454"/>
      <c r="AK393" s="455"/>
      <c r="AL393" s="110"/>
      <c r="AM393" s="34"/>
      <c r="AN393" s="34"/>
      <c r="AO393" s="34"/>
      <c r="AP393" s="34"/>
      <c r="AQ393" s="34"/>
      <c r="AR393" s="34"/>
      <c r="AS393" s="35"/>
      <c r="AT393" s="35"/>
      <c r="AU393" s="35"/>
      <c r="AV393" s="35"/>
      <c r="AW393" s="35"/>
      <c r="AX393" s="35"/>
      <c r="AY393" s="35"/>
      <c r="AZ393" s="35"/>
      <c r="BA393" s="35"/>
      <c r="BB393" s="35"/>
      <c r="BC393" s="35"/>
      <c r="BD393" s="35"/>
      <c r="BE393" s="35"/>
      <c r="BF393" s="35"/>
      <c r="BG393" s="35"/>
      <c r="BH393" s="35"/>
      <c r="BI393" s="35"/>
      <c r="BJ393" s="35"/>
      <c r="BK393" s="35"/>
      <c r="BL393" s="35"/>
      <c r="BM393" s="35"/>
      <c r="BN393" s="35"/>
      <c r="BO393" s="35"/>
      <c r="BP393" s="36"/>
      <c r="BQ393" s="36"/>
      <c r="BR393" s="36"/>
      <c r="BS393" s="36"/>
      <c r="BT393" s="36"/>
      <c r="BU393" s="36"/>
      <c r="BV393" s="36"/>
      <c r="BW393" s="36"/>
      <c r="BX393" s="36"/>
      <c r="BY393" s="36"/>
      <c r="BZ393" s="36"/>
      <c r="CA393" s="36"/>
      <c r="CB393" s="36"/>
      <c r="CC393" s="36"/>
      <c r="CD393" s="36"/>
      <c r="CE393" s="36"/>
      <c r="CF393" s="36"/>
      <c r="CG393" s="36"/>
      <c r="CH393" s="36"/>
      <c r="CI393" s="36"/>
      <c r="CJ393" s="36"/>
      <c r="CK393" s="36"/>
      <c r="CL393" s="36"/>
      <c r="CM393" s="36"/>
      <c r="CN393" s="36"/>
      <c r="CO393" s="36"/>
      <c r="CP393" s="36"/>
      <c r="CQ393" s="36"/>
      <c r="CR393" s="36"/>
      <c r="CS393" s="36"/>
      <c r="CT393" s="36"/>
      <c r="CU393" s="36"/>
      <c r="CV393" s="36"/>
      <c r="CW393" s="36"/>
      <c r="CX393" s="36"/>
      <c r="CY393" s="36"/>
      <c r="CZ393" s="36"/>
      <c r="DA393" s="36"/>
      <c r="DB393" s="36"/>
      <c r="DC393" s="36"/>
      <c r="DD393" s="36"/>
      <c r="DE393" s="36"/>
      <c r="DF393" s="36"/>
      <c r="DG393" s="36"/>
      <c r="DH393" s="36"/>
      <c r="DI393" s="36"/>
      <c r="DJ393" s="36"/>
      <c r="DK393" s="36"/>
      <c r="DL393" s="36"/>
      <c r="DM393" s="36"/>
      <c r="DN393" s="36"/>
      <c r="DO393" s="36"/>
      <c r="DP393" s="36"/>
      <c r="DQ393" s="36"/>
      <c r="DR393" s="36"/>
      <c r="DS393" s="36"/>
      <c r="DT393" s="36"/>
      <c r="DU393" s="36"/>
      <c r="DV393" s="36"/>
      <c r="DW393" s="36"/>
      <c r="DX393" s="36"/>
      <c r="DY393" s="36"/>
      <c r="DZ393" s="36"/>
      <c r="EA393" s="36"/>
      <c r="EB393" s="36"/>
      <c r="EC393" s="36"/>
      <c r="ED393" s="36"/>
      <c r="EE393" s="36"/>
      <c r="EF393" s="36"/>
      <c r="EG393" s="36"/>
      <c r="EH393" s="36"/>
      <c r="EI393" s="36"/>
      <c r="EJ393" s="36"/>
      <c r="EK393" s="36"/>
      <c r="EL393" s="36"/>
      <c r="EM393" s="36"/>
      <c r="EN393" s="36"/>
      <c r="EO393" s="36"/>
      <c r="EP393" s="36"/>
      <c r="EQ393" s="36"/>
      <c r="ER393" s="36"/>
      <c r="ES393" s="36"/>
      <c r="ET393" s="36"/>
      <c r="EU393" s="36"/>
      <c r="EV393" s="36"/>
      <c r="EW393" s="36"/>
      <c r="EX393" s="36"/>
      <c r="EY393" s="36"/>
      <c r="EZ393" s="36"/>
      <c r="FA393" s="36"/>
      <c r="FB393" s="36"/>
      <c r="FC393" s="36"/>
      <c r="FD393" s="36"/>
      <c r="FE393" s="36"/>
      <c r="FF393" s="36"/>
      <c r="FG393" s="36"/>
      <c r="FH393" s="36"/>
      <c r="FI393" s="36"/>
      <c r="FJ393" s="36"/>
      <c r="FK393" s="36"/>
      <c r="FL393" s="36"/>
      <c r="FM393" s="36"/>
      <c r="FN393" s="36"/>
      <c r="FO393" s="36"/>
      <c r="FP393" s="36"/>
      <c r="FQ393" s="36"/>
      <c r="FR393" s="36"/>
      <c r="FS393" s="36"/>
      <c r="FT393" s="36"/>
      <c r="FU393" s="36"/>
      <c r="FV393" s="36"/>
      <c r="FW393" s="36"/>
      <c r="FX393" s="36"/>
      <c r="FY393" s="36"/>
      <c r="FZ393" s="36"/>
      <c r="GA393" s="36"/>
      <c r="GB393" s="36"/>
      <c r="GC393" s="36"/>
      <c r="GD393" s="36"/>
      <c r="GE393" s="36"/>
      <c r="GF393" s="36"/>
      <c r="GG393" s="36"/>
      <c r="GH393" s="36"/>
      <c r="GI393" s="36"/>
      <c r="GJ393" s="36"/>
      <c r="GK393" s="36"/>
      <c r="GL393" s="36"/>
      <c r="GM393" s="36"/>
      <c r="GN393" s="36"/>
      <c r="GO393" s="36"/>
      <c r="GP393" s="36"/>
      <c r="GQ393" s="36"/>
      <c r="GR393" s="36"/>
      <c r="GS393" s="36"/>
      <c r="GT393" s="36"/>
      <c r="GU393" s="36"/>
      <c r="GV393" s="36"/>
      <c r="GW393" s="36"/>
      <c r="GX393" s="36"/>
      <c r="GY393" s="36"/>
      <c r="GZ393" s="36"/>
      <c r="HA393" s="36"/>
      <c r="HB393" s="36"/>
      <c r="HC393" s="36"/>
      <c r="HD393" s="36"/>
      <c r="HE393" s="36"/>
      <c r="HF393" s="36"/>
      <c r="HG393" s="36"/>
      <c r="HH393" s="36"/>
      <c r="HI393" s="36"/>
      <c r="HJ393" s="36"/>
      <c r="HK393" s="36"/>
      <c r="HL393" s="36"/>
      <c r="HM393" s="36"/>
      <c r="HN393" s="36"/>
      <c r="HO393" s="36"/>
      <c r="HP393" s="36"/>
      <c r="HQ393" s="36"/>
      <c r="HR393" s="36"/>
      <c r="HS393" s="36"/>
      <c r="HT393" s="36"/>
      <c r="HU393" s="36"/>
      <c r="HV393" s="36"/>
      <c r="HW393" s="36"/>
      <c r="HX393" s="36"/>
      <c r="HY393" s="36"/>
      <c r="HZ393" s="36"/>
      <c r="IA393" s="36"/>
      <c r="IB393" s="36"/>
      <c r="IC393" s="36"/>
      <c r="ID393" s="36"/>
      <c r="IE393" s="36"/>
      <c r="IF393" s="36"/>
      <c r="IG393" s="36"/>
      <c r="IH393" s="36"/>
      <c r="II393" s="36"/>
      <c r="IJ393" s="36"/>
      <c r="IK393" s="36"/>
      <c r="IL393" s="36"/>
      <c r="IM393" s="36"/>
      <c r="IN393" s="36"/>
      <c r="IO393" s="36"/>
      <c r="IP393" s="36"/>
      <c r="IQ393" s="36"/>
      <c r="IR393" s="36"/>
      <c r="IS393" s="36"/>
      <c r="IT393" s="36"/>
      <c r="IU393" s="36"/>
      <c r="IV393" s="36"/>
      <c r="IW393" s="36"/>
      <c r="IX393" s="36"/>
      <c r="IY393" s="36"/>
      <c r="IZ393" s="36"/>
      <c r="JA393" s="36"/>
      <c r="JB393" s="36"/>
      <c r="JC393" s="36"/>
      <c r="JD393" s="36"/>
      <c r="JE393" s="36"/>
      <c r="JF393" s="36"/>
      <c r="JG393" s="36"/>
      <c r="JH393" s="36"/>
      <c r="JI393" s="36"/>
      <c r="JJ393" s="36"/>
      <c r="JK393" s="36"/>
      <c r="JL393" s="36"/>
      <c r="JM393" s="36"/>
      <c r="JN393" s="36"/>
      <c r="JO393" s="36"/>
      <c r="JP393" s="36"/>
      <c r="JQ393" s="36"/>
      <c r="JR393" s="36"/>
      <c r="JS393" s="36"/>
      <c r="JT393" s="36"/>
      <c r="JU393" s="36"/>
      <c r="JV393" s="36"/>
      <c r="JW393" s="36"/>
      <c r="JX393" s="36"/>
      <c r="JY393" s="36"/>
      <c r="JZ393" s="36"/>
      <c r="KA393" s="36"/>
      <c r="KB393" s="36"/>
      <c r="KC393" s="36"/>
      <c r="KD393" s="36"/>
      <c r="KE393" s="36"/>
      <c r="KF393" s="36"/>
      <c r="KG393" s="36"/>
      <c r="KH393" s="36"/>
      <c r="KI393" s="36"/>
      <c r="KJ393" s="36"/>
      <c r="KK393" s="36"/>
      <c r="KL393" s="36"/>
      <c r="KM393" s="36"/>
      <c r="KN393" s="36"/>
      <c r="KO393" s="36"/>
      <c r="KP393" s="36"/>
      <c r="KQ393" s="36"/>
      <c r="KR393" s="36"/>
      <c r="KS393" s="36"/>
      <c r="KT393" s="36"/>
      <c r="KU393" s="36"/>
      <c r="KV393" s="36"/>
      <c r="KW393" s="36"/>
      <c r="KX393" s="36"/>
      <c r="KY393" s="36"/>
      <c r="KZ393" s="36"/>
      <c r="LA393" s="36"/>
      <c r="LB393" s="36"/>
      <c r="LC393" s="36"/>
      <c r="LD393" s="36"/>
      <c r="LE393" s="36"/>
      <c r="LF393" s="36"/>
      <c r="LG393" s="36"/>
      <c r="LH393" s="36"/>
      <c r="LI393" s="36"/>
      <c r="LJ393" s="36"/>
      <c r="LK393" s="36"/>
      <c r="LL393" s="36"/>
      <c r="LM393" s="36"/>
      <c r="LN393" s="36"/>
      <c r="LO393" s="36"/>
      <c r="LP393" s="36"/>
      <c r="LQ393" s="36"/>
      <c r="LR393" s="36"/>
      <c r="LS393" s="36"/>
      <c r="LT393" s="36"/>
      <c r="LU393" s="36"/>
      <c r="LV393" s="36"/>
      <c r="LW393" s="36"/>
      <c r="LX393" s="36"/>
      <c r="LY393" s="36"/>
      <c r="LZ393" s="36"/>
      <c r="MA393" s="36"/>
      <c r="MB393" s="36"/>
      <c r="MC393" s="36"/>
      <c r="MD393" s="36"/>
      <c r="ME393" s="36"/>
      <c r="MF393" s="36"/>
      <c r="MG393" s="36"/>
      <c r="MH393" s="36"/>
      <c r="MI393" s="36"/>
      <c r="MJ393" s="36"/>
      <c r="MK393" s="36"/>
      <c r="ML393" s="36"/>
      <c r="MM393" s="36"/>
      <c r="MN393" s="36"/>
      <c r="MO393" s="36"/>
      <c r="MP393" s="36"/>
      <c r="MQ393" s="36"/>
      <c r="MR393" s="36"/>
      <c r="MS393" s="36"/>
      <c r="MT393" s="36"/>
      <c r="MU393" s="36"/>
      <c r="MV393" s="36"/>
      <c r="MW393" s="36"/>
      <c r="MX393" s="36"/>
      <c r="MY393" s="36"/>
      <c r="MZ393" s="36"/>
      <c r="NA393" s="36"/>
      <c r="NB393" s="36"/>
      <c r="NC393" s="36"/>
      <c r="ND393" s="36"/>
      <c r="NE393" s="36"/>
      <c r="NF393" s="36"/>
      <c r="NG393" s="36"/>
      <c r="NH393" s="36"/>
      <c r="NI393" s="36"/>
      <c r="NJ393" s="36"/>
      <c r="NK393" s="36"/>
      <c r="NL393" s="36"/>
      <c r="NM393" s="36"/>
      <c r="NN393" s="36"/>
      <c r="NO393" s="36"/>
      <c r="NP393" s="36"/>
      <c r="NQ393" s="36"/>
      <c r="NR393" s="36"/>
      <c r="NS393" s="36"/>
      <c r="NT393" s="36"/>
      <c r="NU393" s="36"/>
      <c r="NV393" s="36"/>
      <c r="NW393" s="36"/>
      <c r="NX393" s="36"/>
      <c r="NY393" s="36"/>
      <c r="NZ393" s="36"/>
      <c r="OA393" s="36"/>
      <c r="OB393" s="36"/>
      <c r="OC393" s="36"/>
      <c r="OD393" s="36"/>
      <c r="OE393" s="36"/>
      <c r="OF393" s="36"/>
      <c r="OG393" s="36"/>
      <c r="OH393" s="36"/>
      <c r="OI393" s="36"/>
      <c r="OJ393" s="36"/>
      <c r="OK393" s="36"/>
      <c r="OL393" s="36"/>
      <c r="OM393" s="36"/>
      <c r="ON393" s="36"/>
      <c r="OO393" s="36"/>
      <c r="OP393" s="36"/>
      <c r="OQ393" s="36"/>
      <c r="OR393" s="36"/>
      <c r="OS393" s="36"/>
      <c r="OT393" s="36"/>
      <c r="OU393" s="36"/>
      <c r="OV393" s="36"/>
      <c r="OW393" s="36"/>
      <c r="OX393" s="36"/>
      <c r="OY393" s="36"/>
      <c r="OZ393" s="36"/>
      <c r="PA393" s="36"/>
      <c r="PB393" s="36"/>
      <c r="PC393" s="36"/>
      <c r="PD393" s="36"/>
      <c r="PE393" s="36"/>
      <c r="PF393" s="36"/>
      <c r="PG393" s="36"/>
      <c r="PH393" s="36"/>
      <c r="PI393" s="36"/>
      <c r="PJ393" s="36"/>
      <c r="PK393" s="36"/>
      <c r="PL393" s="36"/>
      <c r="PM393" s="36"/>
      <c r="PN393" s="36"/>
      <c r="PO393" s="36"/>
      <c r="PP393" s="36"/>
      <c r="PQ393" s="36"/>
      <c r="PR393" s="36"/>
      <c r="PS393" s="36"/>
      <c r="PT393" s="36"/>
      <c r="PU393" s="36"/>
      <c r="PV393" s="36"/>
      <c r="PW393" s="36"/>
      <c r="PX393" s="36"/>
      <c r="PY393" s="36"/>
      <c r="PZ393" s="36"/>
      <c r="QA393" s="36"/>
      <c r="QB393" s="36"/>
      <c r="QC393" s="36"/>
      <c r="QD393" s="36"/>
      <c r="QE393" s="36"/>
      <c r="QF393" s="36"/>
      <c r="QG393" s="36"/>
      <c r="QH393" s="36"/>
      <c r="QI393" s="36"/>
      <c r="QJ393" s="36"/>
      <c r="QK393" s="36"/>
      <c r="QL393" s="36"/>
      <c r="QM393" s="36"/>
      <c r="QN393" s="36"/>
      <c r="QO393" s="36"/>
      <c r="QP393" s="36"/>
      <c r="QQ393" s="36"/>
      <c r="QR393" s="36"/>
      <c r="QS393" s="36"/>
      <c r="QT393" s="36"/>
      <c r="QU393" s="36"/>
      <c r="QV393" s="36"/>
      <c r="QW393" s="36"/>
      <c r="QX393" s="36"/>
      <c r="QY393" s="36"/>
      <c r="QZ393" s="36"/>
      <c r="RA393" s="36"/>
      <c r="RB393" s="36"/>
      <c r="RC393" s="36"/>
      <c r="RD393" s="36"/>
      <c r="RE393" s="36"/>
      <c r="RF393" s="36"/>
      <c r="RG393" s="36"/>
      <c r="RH393" s="36"/>
      <c r="RI393" s="36"/>
      <c r="RJ393" s="36"/>
      <c r="RK393" s="36"/>
      <c r="RL393" s="36"/>
      <c r="RM393" s="36"/>
      <c r="RN393" s="36"/>
      <c r="RO393" s="36"/>
      <c r="RP393" s="36"/>
      <c r="RQ393" s="36"/>
      <c r="RR393" s="36"/>
      <c r="RS393" s="36"/>
      <c r="RT393" s="36"/>
      <c r="RU393" s="36"/>
      <c r="RV393" s="36"/>
      <c r="RW393" s="36"/>
      <c r="RX393" s="36"/>
      <c r="RY393" s="36"/>
      <c r="RZ393" s="36"/>
      <c r="SA393" s="36"/>
      <c r="SB393" s="36"/>
      <c r="SC393" s="36"/>
      <c r="SD393" s="36"/>
      <c r="SE393" s="36"/>
      <c r="SF393" s="36"/>
      <c r="SG393" s="36"/>
      <c r="SH393" s="36"/>
      <c r="SI393" s="36"/>
      <c r="SJ393" s="36"/>
      <c r="SK393" s="36"/>
      <c r="SL393" s="36"/>
      <c r="SM393" s="36"/>
      <c r="SN393" s="36"/>
      <c r="SO393" s="36"/>
      <c r="SP393" s="36"/>
      <c r="SQ393" s="36"/>
      <c r="SR393" s="36"/>
      <c r="SS393" s="36"/>
      <c r="ST393" s="36"/>
      <c r="SU393" s="36"/>
      <c r="SV393" s="36"/>
      <c r="SW393" s="36"/>
      <c r="SX393" s="36"/>
      <c r="SY393" s="36"/>
      <c r="SZ393" s="36"/>
      <c r="TA393" s="36"/>
      <c r="TB393" s="36"/>
      <c r="TC393" s="36"/>
      <c r="TD393" s="36"/>
      <c r="TE393" s="36"/>
      <c r="TF393" s="36"/>
      <c r="TG393" s="36"/>
      <c r="TH393" s="36"/>
      <c r="TI393" s="36"/>
      <c r="TJ393" s="36"/>
      <c r="TK393" s="36"/>
      <c r="TL393" s="36"/>
      <c r="TM393" s="36"/>
      <c r="TN393" s="36"/>
      <c r="TO393" s="36"/>
      <c r="TP393" s="36"/>
      <c r="TQ393" s="36"/>
      <c r="TR393" s="36"/>
      <c r="TS393" s="36"/>
      <c r="TT393" s="36"/>
      <c r="TU393" s="36"/>
      <c r="TV393" s="36"/>
      <c r="TW393" s="36"/>
      <c r="TX393" s="36"/>
      <c r="TY393" s="36"/>
      <c r="TZ393" s="36"/>
      <c r="UA393" s="36"/>
      <c r="UB393" s="36"/>
      <c r="UC393" s="36"/>
      <c r="UD393" s="36"/>
      <c r="UE393" s="36"/>
      <c r="UF393" s="36"/>
      <c r="UG393" s="37"/>
    </row>
    <row r="394" spans="1:553" ht="42" customHeight="1">
      <c r="A394" s="356" t="s">
        <v>66</v>
      </c>
      <c r="B394" s="356"/>
      <c r="C394" s="1491" t="s">
        <v>67</v>
      </c>
      <c r="D394" s="1389"/>
      <c r="E394" s="1389"/>
      <c r="F394" s="1390"/>
      <c r="G394" s="356"/>
      <c r="H394" s="359"/>
      <c r="I394" s="359"/>
      <c r="J394" s="357"/>
      <c r="K394" s="364"/>
      <c r="L394" s="356"/>
      <c r="M394" s="356"/>
      <c r="N394" s="356"/>
      <c r="O394" s="356"/>
      <c r="P394" s="356"/>
      <c r="Q394" s="610"/>
      <c r="R394" s="421"/>
      <c r="S394" s="435"/>
      <c r="T394" s="436"/>
      <c r="U394" s="304"/>
      <c r="V394" s="393"/>
      <c r="W394" s="304"/>
      <c r="X394" s="304"/>
      <c r="Y394" s="304"/>
      <c r="Z394" s="304"/>
      <c r="AA394" s="304"/>
      <c r="AB394" s="304"/>
      <c r="AC394" s="454"/>
      <c r="AD394" s="454"/>
      <c r="AE394" s="454"/>
      <c r="AF394" s="454"/>
      <c r="AG394" s="454"/>
      <c r="AH394" s="454"/>
      <c r="AI394" s="454"/>
      <c r="AJ394" s="454"/>
      <c r="AK394" s="455"/>
      <c r="AL394" s="110"/>
      <c r="AM394" s="34"/>
      <c r="AN394" s="34"/>
      <c r="AO394" s="34"/>
      <c r="AP394" s="34"/>
      <c r="AQ394" s="34"/>
      <c r="AR394" s="34"/>
      <c r="AS394" s="35"/>
      <c r="AT394" s="35"/>
      <c r="AU394" s="35"/>
      <c r="AV394" s="35"/>
      <c r="AW394" s="35"/>
      <c r="AX394" s="35"/>
      <c r="AY394" s="35"/>
      <c r="AZ394" s="35"/>
      <c r="BA394" s="35"/>
      <c r="BB394" s="35"/>
      <c r="BC394" s="35"/>
      <c r="BD394" s="35"/>
      <c r="BE394" s="35"/>
      <c r="BF394" s="35"/>
      <c r="BG394" s="35"/>
      <c r="BH394" s="35"/>
      <c r="BI394" s="35"/>
      <c r="BJ394" s="35"/>
      <c r="BK394" s="35"/>
      <c r="BL394" s="35"/>
      <c r="BM394" s="35"/>
      <c r="BN394" s="35"/>
      <c r="BO394" s="35"/>
      <c r="BP394" s="36"/>
      <c r="BQ394" s="36"/>
      <c r="BR394" s="36"/>
      <c r="BS394" s="36"/>
      <c r="BT394" s="36"/>
      <c r="BU394" s="36"/>
      <c r="BV394" s="36"/>
      <c r="BW394" s="36"/>
      <c r="BX394" s="36"/>
      <c r="BY394" s="36"/>
      <c r="BZ394" s="36"/>
      <c r="CA394" s="36"/>
      <c r="CB394" s="36"/>
      <c r="CC394" s="36"/>
      <c r="CD394" s="36"/>
      <c r="CE394" s="36"/>
      <c r="CF394" s="36"/>
      <c r="CG394" s="36"/>
      <c r="CH394" s="36"/>
      <c r="CI394" s="36"/>
      <c r="CJ394" s="36"/>
      <c r="CK394" s="36"/>
      <c r="CL394" s="36"/>
      <c r="CM394" s="36"/>
      <c r="CN394" s="36"/>
      <c r="CO394" s="36"/>
      <c r="CP394" s="36"/>
      <c r="CQ394" s="36"/>
      <c r="CR394" s="36"/>
      <c r="CS394" s="36"/>
      <c r="CT394" s="36"/>
      <c r="CU394" s="36"/>
      <c r="CV394" s="36"/>
      <c r="CW394" s="36"/>
      <c r="CX394" s="36"/>
      <c r="CY394" s="36"/>
      <c r="CZ394" s="36"/>
      <c r="DA394" s="36"/>
      <c r="DB394" s="36"/>
      <c r="DC394" s="36"/>
      <c r="DD394" s="36"/>
      <c r="DE394" s="36"/>
      <c r="DF394" s="36"/>
      <c r="DG394" s="36"/>
      <c r="DH394" s="36"/>
      <c r="DI394" s="36"/>
      <c r="DJ394" s="36"/>
      <c r="DK394" s="36"/>
      <c r="DL394" s="36"/>
      <c r="DM394" s="36"/>
      <c r="DN394" s="36"/>
      <c r="DO394" s="36"/>
      <c r="DP394" s="36"/>
      <c r="DQ394" s="36"/>
      <c r="DR394" s="36"/>
      <c r="DS394" s="36"/>
      <c r="DT394" s="36"/>
      <c r="DU394" s="36"/>
      <c r="DV394" s="36"/>
      <c r="DW394" s="36"/>
      <c r="DX394" s="36"/>
      <c r="DY394" s="36"/>
      <c r="DZ394" s="36"/>
      <c r="EA394" s="36"/>
      <c r="EB394" s="36"/>
      <c r="EC394" s="36"/>
      <c r="ED394" s="36"/>
      <c r="EE394" s="36"/>
      <c r="EF394" s="36"/>
      <c r="EG394" s="36"/>
      <c r="EH394" s="36"/>
      <c r="EI394" s="36"/>
      <c r="EJ394" s="36"/>
      <c r="EK394" s="36"/>
      <c r="EL394" s="36"/>
      <c r="EM394" s="36"/>
      <c r="EN394" s="36"/>
      <c r="EO394" s="36"/>
      <c r="EP394" s="36"/>
      <c r="EQ394" s="36"/>
      <c r="ER394" s="36"/>
      <c r="ES394" s="36"/>
      <c r="ET394" s="36"/>
      <c r="EU394" s="36"/>
      <c r="EV394" s="36"/>
      <c r="EW394" s="36"/>
      <c r="EX394" s="36"/>
      <c r="EY394" s="36"/>
      <c r="EZ394" s="36"/>
      <c r="FA394" s="36"/>
      <c r="FB394" s="36"/>
      <c r="FC394" s="36"/>
      <c r="FD394" s="36"/>
      <c r="FE394" s="36"/>
      <c r="FF394" s="36"/>
      <c r="FG394" s="36"/>
      <c r="FH394" s="36"/>
      <c r="FI394" s="36"/>
      <c r="FJ394" s="36"/>
      <c r="FK394" s="36"/>
      <c r="FL394" s="36"/>
      <c r="FM394" s="36"/>
      <c r="FN394" s="36"/>
      <c r="FO394" s="36"/>
      <c r="FP394" s="36"/>
      <c r="FQ394" s="36"/>
      <c r="FR394" s="36"/>
      <c r="FS394" s="36"/>
      <c r="FT394" s="36"/>
      <c r="FU394" s="36"/>
      <c r="FV394" s="36"/>
      <c r="FW394" s="36"/>
      <c r="FX394" s="36"/>
      <c r="FY394" s="36"/>
      <c r="FZ394" s="36"/>
      <c r="GA394" s="36"/>
      <c r="GB394" s="36"/>
      <c r="GC394" s="36"/>
      <c r="GD394" s="36"/>
      <c r="GE394" s="36"/>
      <c r="GF394" s="36"/>
      <c r="GG394" s="36"/>
      <c r="GH394" s="36"/>
      <c r="GI394" s="36"/>
      <c r="GJ394" s="36"/>
      <c r="GK394" s="36"/>
      <c r="GL394" s="36"/>
      <c r="GM394" s="36"/>
      <c r="GN394" s="36"/>
      <c r="GO394" s="36"/>
      <c r="GP394" s="36"/>
      <c r="GQ394" s="36"/>
      <c r="GR394" s="36"/>
      <c r="GS394" s="36"/>
      <c r="GT394" s="36"/>
      <c r="GU394" s="36"/>
      <c r="GV394" s="36"/>
      <c r="GW394" s="36"/>
      <c r="GX394" s="36"/>
      <c r="GY394" s="36"/>
      <c r="GZ394" s="36"/>
      <c r="HA394" s="36"/>
      <c r="HB394" s="36"/>
      <c r="HC394" s="36"/>
      <c r="HD394" s="36"/>
      <c r="HE394" s="36"/>
      <c r="HF394" s="36"/>
      <c r="HG394" s="36"/>
      <c r="HH394" s="36"/>
      <c r="HI394" s="36"/>
      <c r="HJ394" s="36"/>
      <c r="HK394" s="36"/>
      <c r="HL394" s="36"/>
      <c r="HM394" s="36"/>
      <c r="HN394" s="36"/>
      <c r="HO394" s="36"/>
      <c r="HP394" s="36"/>
      <c r="HQ394" s="36"/>
      <c r="HR394" s="36"/>
      <c r="HS394" s="36"/>
      <c r="HT394" s="36"/>
      <c r="HU394" s="36"/>
      <c r="HV394" s="36"/>
      <c r="HW394" s="36"/>
      <c r="HX394" s="36"/>
      <c r="HY394" s="36"/>
      <c r="HZ394" s="36"/>
      <c r="IA394" s="36"/>
      <c r="IB394" s="36"/>
      <c r="IC394" s="36"/>
      <c r="ID394" s="36"/>
      <c r="IE394" s="36"/>
      <c r="IF394" s="36"/>
      <c r="IG394" s="36"/>
      <c r="IH394" s="36"/>
      <c r="II394" s="36"/>
      <c r="IJ394" s="36"/>
      <c r="IK394" s="36"/>
      <c r="IL394" s="36"/>
      <c r="IM394" s="36"/>
      <c r="IN394" s="36"/>
      <c r="IO394" s="36"/>
      <c r="IP394" s="36"/>
      <c r="IQ394" s="36"/>
      <c r="IR394" s="36"/>
      <c r="IS394" s="36"/>
      <c r="IT394" s="36"/>
      <c r="IU394" s="36"/>
      <c r="IV394" s="36"/>
      <c r="IW394" s="36"/>
      <c r="IX394" s="36"/>
      <c r="IY394" s="36"/>
      <c r="IZ394" s="36"/>
      <c r="JA394" s="36"/>
      <c r="JB394" s="36"/>
      <c r="JC394" s="36"/>
      <c r="JD394" s="36"/>
      <c r="JE394" s="36"/>
      <c r="JF394" s="36"/>
      <c r="JG394" s="36"/>
      <c r="JH394" s="36"/>
      <c r="JI394" s="36"/>
      <c r="JJ394" s="36"/>
      <c r="JK394" s="36"/>
      <c r="JL394" s="36"/>
      <c r="JM394" s="36"/>
      <c r="JN394" s="36"/>
      <c r="JO394" s="36"/>
      <c r="JP394" s="36"/>
      <c r="JQ394" s="36"/>
      <c r="JR394" s="36"/>
      <c r="JS394" s="36"/>
      <c r="JT394" s="36"/>
      <c r="JU394" s="36"/>
      <c r="JV394" s="36"/>
      <c r="JW394" s="36"/>
      <c r="JX394" s="36"/>
      <c r="JY394" s="36"/>
      <c r="JZ394" s="36"/>
      <c r="KA394" s="36"/>
      <c r="KB394" s="36"/>
      <c r="KC394" s="36"/>
      <c r="KD394" s="36"/>
      <c r="KE394" s="36"/>
      <c r="KF394" s="36"/>
      <c r="KG394" s="36"/>
      <c r="KH394" s="36"/>
      <c r="KI394" s="36"/>
      <c r="KJ394" s="36"/>
      <c r="KK394" s="36"/>
      <c r="KL394" s="36"/>
      <c r="KM394" s="36"/>
      <c r="KN394" s="36"/>
      <c r="KO394" s="36"/>
      <c r="KP394" s="36"/>
      <c r="KQ394" s="36"/>
      <c r="KR394" s="36"/>
      <c r="KS394" s="36"/>
      <c r="KT394" s="36"/>
      <c r="KU394" s="36"/>
      <c r="KV394" s="36"/>
      <c r="KW394" s="36"/>
      <c r="KX394" s="36"/>
      <c r="KY394" s="36"/>
      <c r="KZ394" s="36"/>
      <c r="LA394" s="36"/>
      <c r="LB394" s="36"/>
      <c r="LC394" s="36"/>
      <c r="LD394" s="36"/>
      <c r="LE394" s="36"/>
      <c r="LF394" s="36"/>
      <c r="LG394" s="36"/>
      <c r="LH394" s="36"/>
      <c r="LI394" s="36"/>
      <c r="LJ394" s="36"/>
      <c r="LK394" s="36"/>
      <c r="LL394" s="36"/>
      <c r="LM394" s="36"/>
      <c r="LN394" s="36"/>
      <c r="LO394" s="36"/>
      <c r="LP394" s="36"/>
      <c r="LQ394" s="36"/>
      <c r="LR394" s="36"/>
      <c r="LS394" s="36"/>
      <c r="LT394" s="36"/>
      <c r="LU394" s="36"/>
      <c r="LV394" s="36"/>
      <c r="LW394" s="36"/>
      <c r="LX394" s="36"/>
      <c r="LY394" s="36"/>
      <c r="LZ394" s="36"/>
      <c r="MA394" s="36"/>
      <c r="MB394" s="36"/>
      <c r="MC394" s="36"/>
      <c r="MD394" s="36"/>
      <c r="ME394" s="36"/>
      <c r="MF394" s="36"/>
      <c r="MG394" s="36"/>
      <c r="MH394" s="36"/>
      <c r="MI394" s="36"/>
      <c r="MJ394" s="36"/>
      <c r="MK394" s="36"/>
      <c r="ML394" s="36"/>
      <c r="MM394" s="36"/>
      <c r="MN394" s="36"/>
      <c r="MO394" s="36"/>
      <c r="MP394" s="36"/>
      <c r="MQ394" s="36"/>
      <c r="MR394" s="36"/>
      <c r="MS394" s="36"/>
      <c r="MT394" s="36"/>
      <c r="MU394" s="36"/>
      <c r="MV394" s="36"/>
      <c r="MW394" s="36"/>
      <c r="MX394" s="36"/>
      <c r="MY394" s="36"/>
      <c r="MZ394" s="36"/>
      <c r="NA394" s="36"/>
      <c r="NB394" s="36"/>
      <c r="NC394" s="36"/>
      <c r="ND394" s="36"/>
      <c r="NE394" s="36"/>
      <c r="NF394" s="36"/>
      <c r="NG394" s="36"/>
      <c r="NH394" s="36"/>
      <c r="NI394" s="36"/>
      <c r="NJ394" s="36"/>
      <c r="NK394" s="36"/>
      <c r="NL394" s="36"/>
      <c r="NM394" s="36"/>
      <c r="NN394" s="36"/>
      <c r="NO394" s="36"/>
      <c r="NP394" s="36"/>
      <c r="NQ394" s="36"/>
      <c r="NR394" s="36"/>
      <c r="NS394" s="36"/>
      <c r="NT394" s="36"/>
      <c r="NU394" s="36"/>
      <c r="NV394" s="36"/>
      <c r="NW394" s="36"/>
      <c r="NX394" s="36"/>
      <c r="NY394" s="36"/>
      <c r="NZ394" s="36"/>
      <c r="OA394" s="36"/>
      <c r="OB394" s="36"/>
      <c r="OC394" s="36"/>
      <c r="OD394" s="36"/>
      <c r="OE394" s="36"/>
      <c r="OF394" s="36"/>
      <c r="OG394" s="36"/>
      <c r="OH394" s="36"/>
      <c r="OI394" s="36"/>
      <c r="OJ394" s="36"/>
      <c r="OK394" s="36"/>
      <c r="OL394" s="36"/>
      <c r="OM394" s="36"/>
      <c r="ON394" s="36"/>
      <c r="OO394" s="36"/>
      <c r="OP394" s="36"/>
      <c r="OQ394" s="36"/>
      <c r="OR394" s="36"/>
      <c r="OS394" s="36"/>
      <c r="OT394" s="36"/>
      <c r="OU394" s="36"/>
      <c r="OV394" s="36"/>
      <c r="OW394" s="36"/>
      <c r="OX394" s="36"/>
      <c r="OY394" s="36"/>
      <c r="OZ394" s="36"/>
      <c r="PA394" s="36"/>
      <c r="PB394" s="36"/>
      <c r="PC394" s="36"/>
      <c r="PD394" s="36"/>
      <c r="PE394" s="36"/>
      <c r="PF394" s="36"/>
      <c r="PG394" s="36"/>
      <c r="PH394" s="36"/>
      <c r="PI394" s="36"/>
      <c r="PJ394" s="36"/>
      <c r="PK394" s="36"/>
      <c r="PL394" s="36"/>
      <c r="PM394" s="36"/>
      <c r="PN394" s="36"/>
      <c r="PO394" s="36"/>
      <c r="PP394" s="36"/>
      <c r="PQ394" s="36"/>
      <c r="PR394" s="36"/>
      <c r="PS394" s="36"/>
      <c r="PT394" s="36"/>
      <c r="PU394" s="36"/>
      <c r="PV394" s="36"/>
      <c r="PW394" s="36"/>
      <c r="PX394" s="36"/>
      <c r="PY394" s="36"/>
      <c r="PZ394" s="36"/>
      <c r="QA394" s="36"/>
      <c r="QB394" s="36"/>
      <c r="QC394" s="36"/>
      <c r="QD394" s="36"/>
      <c r="QE394" s="36"/>
      <c r="QF394" s="36"/>
      <c r="QG394" s="36"/>
      <c r="QH394" s="36"/>
      <c r="QI394" s="36"/>
      <c r="QJ394" s="36"/>
      <c r="QK394" s="36"/>
      <c r="QL394" s="36"/>
      <c r="QM394" s="36"/>
      <c r="QN394" s="36"/>
      <c r="QO394" s="36"/>
      <c r="QP394" s="36"/>
      <c r="QQ394" s="36"/>
      <c r="QR394" s="36"/>
      <c r="QS394" s="36"/>
      <c r="QT394" s="36"/>
      <c r="QU394" s="36"/>
      <c r="QV394" s="36"/>
      <c r="QW394" s="36"/>
      <c r="QX394" s="36"/>
      <c r="QY394" s="36"/>
      <c r="QZ394" s="36"/>
      <c r="RA394" s="36"/>
      <c r="RB394" s="36"/>
      <c r="RC394" s="36"/>
      <c r="RD394" s="36"/>
      <c r="RE394" s="36"/>
      <c r="RF394" s="36"/>
      <c r="RG394" s="36"/>
      <c r="RH394" s="36"/>
      <c r="RI394" s="36"/>
      <c r="RJ394" s="36"/>
      <c r="RK394" s="36"/>
      <c r="RL394" s="36"/>
      <c r="RM394" s="36"/>
      <c r="RN394" s="36"/>
      <c r="RO394" s="36"/>
      <c r="RP394" s="36"/>
      <c r="RQ394" s="36"/>
      <c r="RR394" s="36"/>
      <c r="RS394" s="36"/>
      <c r="RT394" s="36"/>
      <c r="RU394" s="36"/>
      <c r="RV394" s="36"/>
      <c r="RW394" s="36"/>
      <c r="RX394" s="36"/>
      <c r="RY394" s="36"/>
      <c r="RZ394" s="36"/>
      <c r="SA394" s="36"/>
      <c r="SB394" s="36"/>
      <c r="SC394" s="36"/>
      <c r="SD394" s="36"/>
      <c r="SE394" s="36"/>
      <c r="SF394" s="36"/>
      <c r="SG394" s="36"/>
      <c r="SH394" s="36"/>
      <c r="SI394" s="36"/>
      <c r="SJ394" s="36"/>
      <c r="SK394" s="36"/>
      <c r="SL394" s="36"/>
      <c r="SM394" s="36"/>
      <c r="SN394" s="36"/>
      <c r="SO394" s="36"/>
      <c r="SP394" s="36"/>
      <c r="SQ394" s="36"/>
      <c r="SR394" s="36"/>
      <c r="SS394" s="36"/>
      <c r="ST394" s="36"/>
      <c r="SU394" s="36"/>
      <c r="SV394" s="36"/>
      <c r="SW394" s="36"/>
      <c r="SX394" s="36"/>
      <c r="SY394" s="36"/>
      <c r="SZ394" s="36"/>
      <c r="TA394" s="36"/>
      <c r="TB394" s="36"/>
      <c r="TC394" s="36"/>
      <c r="TD394" s="36"/>
      <c r="TE394" s="36"/>
      <c r="TF394" s="36"/>
      <c r="TG394" s="36"/>
      <c r="TH394" s="36"/>
      <c r="TI394" s="36"/>
      <c r="TJ394" s="36"/>
      <c r="TK394" s="36"/>
      <c r="TL394" s="36"/>
      <c r="TM394" s="36"/>
      <c r="TN394" s="36"/>
      <c r="TO394" s="36"/>
      <c r="TP394" s="36"/>
      <c r="TQ394" s="36"/>
      <c r="TR394" s="36"/>
      <c r="TS394" s="36"/>
      <c r="TT394" s="36"/>
      <c r="TU394" s="36"/>
      <c r="TV394" s="36"/>
      <c r="TW394" s="36"/>
      <c r="TX394" s="36"/>
      <c r="TY394" s="36"/>
      <c r="TZ394" s="36"/>
      <c r="UA394" s="36"/>
      <c r="UB394" s="36"/>
      <c r="UC394" s="36"/>
      <c r="UD394" s="36"/>
      <c r="UE394" s="36"/>
      <c r="UF394" s="36"/>
      <c r="UG394" s="37"/>
    </row>
    <row r="395" spans="1:553" ht="126.75" customHeight="1">
      <c r="A395" s="356" t="s">
        <v>15</v>
      </c>
      <c r="B395" s="366"/>
      <c r="C395" s="1414" t="s">
        <v>818</v>
      </c>
      <c r="D395" s="1389"/>
      <c r="E395" s="1389"/>
      <c r="F395" s="1390"/>
      <c r="G395" s="366" t="s">
        <v>68</v>
      </c>
      <c r="H395" s="370"/>
      <c r="I395" s="370">
        <v>1</v>
      </c>
      <c r="J395" s="368"/>
      <c r="K395" s="371"/>
      <c r="L395" s="366"/>
      <c r="M395" s="366"/>
      <c r="N395" s="366"/>
      <c r="O395" s="366"/>
      <c r="P395" s="366"/>
      <c r="Q395" s="812"/>
      <c r="R395" s="421" t="s">
        <v>1042</v>
      </c>
      <c r="S395" s="435"/>
      <c r="T395" s="436"/>
      <c r="U395" s="304"/>
      <c r="V395" s="393"/>
      <c r="W395" s="304"/>
      <c r="X395" s="304"/>
      <c r="Y395" s="304"/>
      <c r="Z395" s="304"/>
      <c r="AA395" s="304"/>
      <c r="AB395" s="304"/>
      <c r="AC395" s="449"/>
      <c r="AD395" s="449"/>
      <c r="AE395" s="449"/>
      <c r="AF395" s="449"/>
      <c r="AG395" s="449"/>
      <c r="AH395" s="449"/>
      <c r="AI395" s="449"/>
      <c r="AJ395" s="449"/>
      <c r="AK395" s="452"/>
      <c r="AL395" s="104"/>
      <c r="AM395" s="32"/>
      <c r="AN395" s="32"/>
      <c r="AO395" s="32"/>
      <c r="AP395" s="32"/>
      <c r="AQ395" s="32"/>
      <c r="AR395" s="32"/>
      <c r="AS395" s="31"/>
      <c r="AT395" s="31"/>
      <c r="AU395" s="31"/>
      <c r="AV395" s="31"/>
      <c r="AW395" s="31"/>
      <c r="AX395" s="31"/>
      <c r="AY395" s="31"/>
      <c r="AZ395" s="31"/>
      <c r="BA395" s="31"/>
      <c r="BB395" s="31"/>
      <c r="BC395" s="31"/>
      <c r="BD395" s="31"/>
      <c r="BE395" s="31"/>
      <c r="BF395" s="31"/>
      <c r="BG395" s="31"/>
      <c r="BH395" s="31"/>
      <c r="BI395" s="31"/>
      <c r="BJ395" s="31"/>
      <c r="BK395" s="31"/>
      <c r="BL395" s="31"/>
      <c r="BM395" s="31"/>
      <c r="BN395" s="31"/>
      <c r="BO395" s="31"/>
      <c r="BP395" s="25"/>
      <c r="BQ395" s="25"/>
      <c r="BR395" s="25"/>
      <c r="BS395" s="25"/>
      <c r="BT395" s="25"/>
      <c r="BU395" s="25"/>
      <c r="BV395" s="25"/>
      <c r="BW395" s="25"/>
      <c r="BX395" s="25"/>
      <c r="BY395" s="25"/>
      <c r="BZ395" s="25"/>
      <c r="CA395" s="25"/>
      <c r="CB395" s="25"/>
      <c r="CC395" s="25"/>
      <c r="CD395" s="25"/>
      <c r="CE395" s="25"/>
      <c r="CF395" s="25"/>
      <c r="CG395" s="25"/>
      <c r="CH395" s="25"/>
      <c r="CI395" s="25"/>
      <c r="CJ395" s="25"/>
      <c r="CK395" s="25"/>
      <c r="CL395" s="25"/>
      <c r="CM395" s="25"/>
      <c r="CN395" s="25"/>
      <c r="CO395" s="25"/>
      <c r="CP395" s="25"/>
      <c r="CQ395" s="25"/>
      <c r="CR395" s="25"/>
      <c r="CS395" s="25"/>
      <c r="CT395" s="25"/>
      <c r="CU395" s="25"/>
      <c r="CV395" s="25"/>
      <c r="CW395" s="25"/>
      <c r="CX395" s="25"/>
      <c r="CY395" s="25"/>
      <c r="CZ395" s="25"/>
      <c r="DA395" s="25"/>
      <c r="DB395" s="25"/>
      <c r="DC395" s="25"/>
      <c r="DD395" s="25"/>
      <c r="DE395" s="25"/>
      <c r="DF395" s="25"/>
      <c r="DG395" s="25"/>
      <c r="DH395" s="25"/>
      <c r="DI395" s="25"/>
      <c r="DJ395" s="25"/>
      <c r="DK395" s="25"/>
      <c r="DL395" s="25"/>
      <c r="DM395" s="25"/>
      <c r="DN395" s="25"/>
      <c r="DO395" s="25"/>
      <c r="DP395" s="25"/>
      <c r="DQ395" s="25"/>
      <c r="DR395" s="25"/>
      <c r="DS395" s="25"/>
      <c r="DT395" s="25"/>
      <c r="DU395" s="25"/>
      <c r="DV395" s="25"/>
      <c r="DW395" s="25"/>
      <c r="DX395" s="25"/>
      <c r="DY395" s="25"/>
      <c r="DZ395" s="25"/>
      <c r="EA395" s="25"/>
      <c r="EB395" s="25"/>
      <c r="EC395" s="25"/>
      <c r="ED395" s="25"/>
      <c r="EE395" s="25"/>
      <c r="EF395" s="25"/>
      <c r="EG395" s="25"/>
      <c r="EH395" s="25"/>
      <c r="EI395" s="25"/>
      <c r="EJ395" s="25"/>
      <c r="EK395" s="25"/>
      <c r="EL395" s="25"/>
      <c r="EM395" s="25"/>
      <c r="EN395" s="25"/>
      <c r="EO395" s="25"/>
      <c r="EP395" s="25"/>
      <c r="EQ395" s="25"/>
      <c r="ER395" s="25"/>
      <c r="ES395" s="25"/>
      <c r="ET395" s="25"/>
      <c r="EU395" s="25"/>
      <c r="EV395" s="25"/>
      <c r="EW395" s="25"/>
      <c r="EX395" s="25"/>
      <c r="EY395" s="25"/>
      <c r="EZ395" s="25"/>
      <c r="FA395" s="25"/>
      <c r="FB395" s="25"/>
      <c r="FC395" s="25"/>
      <c r="FD395" s="25"/>
      <c r="FE395" s="25"/>
      <c r="FF395" s="25"/>
      <c r="FG395" s="25"/>
      <c r="FH395" s="25"/>
      <c r="FI395" s="25"/>
      <c r="FJ395" s="25"/>
      <c r="FK395" s="25"/>
      <c r="FL395" s="25"/>
      <c r="FM395" s="25"/>
      <c r="FN395" s="25"/>
      <c r="FO395" s="25"/>
      <c r="FP395" s="25"/>
      <c r="FQ395" s="25"/>
      <c r="FR395" s="25"/>
      <c r="FS395" s="25"/>
      <c r="FT395" s="25"/>
      <c r="FU395" s="25"/>
      <c r="FV395" s="25"/>
      <c r="FW395" s="25"/>
      <c r="FX395" s="25"/>
      <c r="FY395" s="25"/>
      <c r="FZ395" s="25"/>
      <c r="GA395" s="25"/>
      <c r="GB395" s="25"/>
      <c r="GC395" s="25"/>
      <c r="GD395" s="25"/>
      <c r="GE395" s="25"/>
      <c r="GF395" s="25"/>
      <c r="GG395" s="25"/>
      <c r="GH395" s="25"/>
      <c r="GI395" s="25"/>
      <c r="GJ395" s="25"/>
      <c r="GK395" s="25"/>
      <c r="GL395" s="25"/>
      <c r="GM395" s="25"/>
      <c r="GN395" s="25"/>
      <c r="GO395" s="25"/>
      <c r="GP395" s="25"/>
      <c r="GQ395" s="25"/>
      <c r="GR395" s="25"/>
      <c r="GS395" s="25"/>
      <c r="GT395" s="25"/>
      <c r="GU395" s="25"/>
      <c r="GV395" s="25"/>
      <c r="GW395" s="25"/>
      <c r="GX395" s="25"/>
      <c r="GY395" s="25"/>
      <c r="GZ395" s="25"/>
      <c r="HA395" s="25"/>
      <c r="HB395" s="25"/>
      <c r="HC395" s="25"/>
      <c r="HD395" s="25"/>
      <c r="HE395" s="25"/>
      <c r="HF395" s="25"/>
      <c r="HG395" s="25"/>
      <c r="HH395" s="25"/>
      <c r="HI395" s="25"/>
      <c r="HJ395" s="25"/>
      <c r="HK395" s="25"/>
      <c r="HL395" s="25"/>
      <c r="HM395" s="25"/>
      <c r="HN395" s="25"/>
      <c r="HO395" s="25"/>
      <c r="HP395" s="25"/>
      <c r="HQ395" s="25"/>
      <c r="HR395" s="25"/>
      <c r="HS395" s="25"/>
      <c r="HT395" s="25"/>
      <c r="HU395" s="25"/>
      <c r="HV395" s="25"/>
      <c r="HW395" s="25"/>
      <c r="HX395" s="25"/>
      <c r="HY395" s="25"/>
      <c r="HZ395" s="25"/>
      <c r="IA395" s="25"/>
      <c r="IB395" s="25"/>
      <c r="IC395" s="25"/>
      <c r="ID395" s="25"/>
      <c r="IE395" s="25"/>
      <c r="IF395" s="25"/>
      <c r="IG395" s="25"/>
      <c r="IH395" s="25"/>
      <c r="II395" s="25"/>
      <c r="IJ395" s="25"/>
      <c r="IK395" s="25"/>
      <c r="IL395" s="25"/>
      <c r="IM395" s="25"/>
      <c r="IN395" s="25"/>
      <c r="IO395" s="25"/>
      <c r="IP395" s="25"/>
      <c r="IQ395" s="25"/>
      <c r="IR395" s="25"/>
      <c r="IS395" s="25"/>
      <c r="IT395" s="25"/>
      <c r="IU395" s="25"/>
      <c r="IV395" s="25"/>
      <c r="IW395" s="25"/>
      <c r="IX395" s="25"/>
      <c r="IY395" s="25"/>
      <c r="IZ395" s="25"/>
      <c r="JA395" s="25"/>
      <c r="JB395" s="25"/>
      <c r="JC395" s="25"/>
      <c r="JD395" s="25"/>
      <c r="JE395" s="25"/>
      <c r="JF395" s="25"/>
      <c r="JG395" s="25"/>
      <c r="JH395" s="25"/>
      <c r="JI395" s="25"/>
      <c r="JJ395" s="25"/>
      <c r="JK395" s="25"/>
      <c r="JL395" s="25"/>
      <c r="JM395" s="25"/>
      <c r="JN395" s="25"/>
      <c r="JO395" s="25"/>
      <c r="JP395" s="25"/>
      <c r="JQ395" s="25"/>
      <c r="JR395" s="25"/>
      <c r="JS395" s="25"/>
      <c r="JT395" s="25"/>
      <c r="JU395" s="25"/>
      <c r="JV395" s="25"/>
      <c r="JW395" s="25"/>
      <c r="JX395" s="25"/>
      <c r="JY395" s="25"/>
      <c r="JZ395" s="25"/>
      <c r="KA395" s="25"/>
      <c r="KB395" s="25"/>
      <c r="KC395" s="25"/>
      <c r="KD395" s="25"/>
      <c r="KE395" s="25"/>
      <c r="KF395" s="25"/>
      <c r="KG395" s="25"/>
      <c r="KH395" s="25"/>
      <c r="KI395" s="25"/>
      <c r="KJ395" s="25"/>
      <c r="KK395" s="25"/>
      <c r="KL395" s="25"/>
      <c r="KM395" s="25"/>
      <c r="KN395" s="25"/>
      <c r="KO395" s="25"/>
      <c r="KP395" s="25"/>
      <c r="KQ395" s="25"/>
      <c r="KR395" s="25"/>
      <c r="KS395" s="25"/>
      <c r="KT395" s="25"/>
      <c r="KU395" s="25"/>
      <c r="KV395" s="25"/>
      <c r="KW395" s="25"/>
      <c r="KX395" s="25"/>
      <c r="KY395" s="25"/>
      <c r="KZ395" s="25"/>
      <c r="LA395" s="25"/>
      <c r="LB395" s="25"/>
      <c r="LC395" s="25"/>
      <c r="LD395" s="25"/>
      <c r="LE395" s="25"/>
      <c r="LF395" s="25"/>
      <c r="LG395" s="25"/>
      <c r="LH395" s="25"/>
      <c r="LI395" s="25"/>
      <c r="LJ395" s="25"/>
      <c r="LK395" s="25"/>
      <c r="LL395" s="25"/>
      <c r="LM395" s="25"/>
      <c r="LN395" s="25"/>
      <c r="LO395" s="25"/>
      <c r="LP395" s="25"/>
      <c r="LQ395" s="25"/>
      <c r="LR395" s="25"/>
      <c r="LS395" s="25"/>
      <c r="LT395" s="25"/>
      <c r="LU395" s="25"/>
      <c r="LV395" s="25"/>
      <c r="LW395" s="25"/>
      <c r="LX395" s="25"/>
      <c r="LY395" s="25"/>
      <c r="LZ395" s="25"/>
      <c r="MA395" s="25"/>
      <c r="MB395" s="25"/>
      <c r="MC395" s="25"/>
      <c r="MD395" s="25"/>
      <c r="ME395" s="25"/>
      <c r="MF395" s="25"/>
      <c r="MG395" s="25"/>
      <c r="MH395" s="25"/>
      <c r="MI395" s="25"/>
      <c r="MJ395" s="25"/>
      <c r="MK395" s="25"/>
      <c r="ML395" s="25"/>
      <c r="MM395" s="25"/>
      <c r="MN395" s="25"/>
      <c r="MO395" s="25"/>
      <c r="MP395" s="25"/>
      <c r="MQ395" s="25"/>
      <c r="MR395" s="25"/>
      <c r="MS395" s="25"/>
      <c r="MT395" s="25"/>
      <c r="MU395" s="25"/>
      <c r="MV395" s="25"/>
      <c r="MW395" s="25"/>
      <c r="MX395" s="25"/>
      <c r="MY395" s="25"/>
      <c r="MZ395" s="25"/>
      <c r="NA395" s="25"/>
      <c r="NB395" s="25"/>
      <c r="NC395" s="25"/>
      <c r="ND395" s="25"/>
      <c r="NE395" s="25"/>
      <c r="NF395" s="25"/>
      <c r="NG395" s="25"/>
      <c r="NH395" s="25"/>
      <c r="NI395" s="25"/>
      <c r="NJ395" s="25"/>
      <c r="NK395" s="25"/>
      <c r="NL395" s="25"/>
      <c r="NM395" s="25"/>
      <c r="NN395" s="25"/>
      <c r="NO395" s="25"/>
      <c r="NP395" s="25"/>
      <c r="NQ395" s="25"/>
      <c r="NR395" s="25"/>
      <c r="NS395" s="25"/>
      <c r="NT395" s="25"/>
      <c r="NU395" s="25"/>
      <c r="NV395" s="25"/>
      <c r="NW395" s="25"/>
      <c r="NX395" s="25"/>
      <c r="NY395" s="25"/>
      <c r="NZ395" s="25"/>
      <c r="OA395" s="25"/>
      <c r="OB395" s="25"/>
      <c r="OC395" s="25"/>
      <c r="OD395" s="25"/>
      <c r="OE395" s="25"/>
      <c r="OF395" s="25"/>
      <c r="OG395" s="25"/>
      <c r="OH395" s="25"/>
      <c r="OI395" s="25"/>
      <c r="OJ395" s="25"/>
      <c r="OK395" s="25"/>
      <c r="OL395" s="25"/>
      <c r="OM395" s="25"/>
      <c r="ON395" s="25"/>
      <c r="OO395" s="25"/>
      <c r="OP395" s="25"/>
      <c r="OQ395" s="25"/>
      <c r="OR395" s="25"/>
      <c r="OS395" s="25"/>
      <c r="OT395" s="25"/>
      <c r="OU395" s="25"/>
      <c r="OV395" s="25"/>
      <c r="OW395" s="25"/>
      <c r="OX395" s="25"/>
      <c r="OY395" s="25"/>
      <c r="OZ395" s="25"/>
      <c r="PA395" s="25"/>
      <c r="PB395" s="25"/>
      <c r="PC395" s="25"/>
      <c r="PD395" s="25"/>
      <c r="PE395" s="25"/>
      <c r="PF395" s="25"/>
      <c r="PG395" s="25"/>
      <c r="PH395" s="25"/>
      <c r="PI395" s="25"/>
      <c r="PJ395" s="25"/>
      <c r="PK395" s="25"/>
      <c r="PL395" s="25"/>
      <c r="PM395" s="25"/>
      <c r="PN395" s="25"/>
      <c r="PO395" s="25"/>
      <c r="PP395" s="25"/>
      <c r="PQ395" s="25"/>
      <c r="PR395" s="25"/>
      <c r="PS395" s="25"/>
      <c r="PT395" s="25"/>
      <c r="PU395" s="25"/>
      <c r="PV395" s="25"/>
      <c r="PW395" s="25"/>
      <c r="PX395" s="25"/>
      <c r="PY395" s="25"/>
      <c r="PZ395" s="25"/>
      <c r="QA395" s="25"/>
      <c r="QB395" s="25"/>
      <c r="QC395" s="25"/>
      <c r="QD395" s="25"/>
      <c r="QE395" s="25"/>
      <c r="QF395" s="25"/>
      <c r="QG395" s="25"/>
      <c r="QH395" s="25"/>
      <c r="QI395" s="25"/>
      <c r="QJ395" s="25"/>
      <c r="QK395" s="25"/>
      <c r="QL395" s="25"/>
      <c r="QM395" s="25"/>
      <c r="QN395" s="25"/>
      <c r="QO395" s="25"/>
      <c r="QP395" s="25"/>
      <c r="QQ395" s="25"/>
      <c r="QR395" s="25"/>
      <c r="QS395" s="25"/>
      <c r="QT395" s="25"/>
      <c r="QU395" s="25"/>
      <c r="QV395" s="25"/>
      <c r="QW395" s="25"/>
      <c r="QX395" s="25"/>
      <c r="QY395" s="25"/>
      <c r="QZ395" s="25"/>
      <c r="RA395" s="25"/>
      <c r="RB395" s="25"/>
      <c r="RC395" s="25"/>
      <c r="RD395" s="25"/>
      <c r="RE395" s="25"/>
      <c r="RF395" s="25"/>
      <c r="RG395" s="25"/>
      <c r="RH395" s="25"/>
      <c r="RI395" s="25"/>
      <c r="RJ395" s="25"/>
      <c r="RK395" s="25"/>
      <c r="RL395" s="25"/>
      <c r="RM395" s="25"/>
      <c r="RN395" s="25"/>
      <c r="RO395" s="25"/>
      <c r="RP395" s="25"/>
      <c r="RQ395" s="25"/>
      <c r="RR395" s="25"/>
      <c r="RS395" s="25"/>
      <c r="RT395" s="25"/>
      <c r="RU395" s="25"/>
      <c r="RV395" s="25"/>
      <c r="RW395" s="25"/>
      <c r="RX395" s="25"/>
      <c r="RY395" s="25"/>
      <c r="RZ395" s="25"/>
      <c r="SA395" s="25"/>
      <c r="SB395" s="25"/>
      <c r="SC395" s="25"/>
      <c r="SD395" s="25"/>
      <c r="SE395" s="25"/>
      <c r="SF395" s="25"/>
      <c r="SG395" s="25"/>
      <c r="SH395" s="25"/>
      <c r="SI395" s="25"/>
      <c r="SJ395" s="25"/>
      <c r="SK395" s="25"/>
      <c r="SL395" s="25"/>
      <c r="SM395" s="25"/>
      <c r="SN395" s="25"/>
      <c r="SO395" s="25"/>
      <c r="SP395" s="25"/>
      <c r="SQ395" s="25"/>
      <c r="SR395" s="25"/>
      <c r="SS395" s="25"/>
      <c r="ST395" s="25"/>
      <c r="SU395" s="25"/>
      <c r="SV395" s="25"/>
      <c r="SW395" s="25"/>
      <c r="SX395" s="25"/>
      <c r="SY395" s="25"/>
      <c r="SZ395" s="25"/>
      <c r="TA395" s="25"/>
      <c r="TB395" s="25"/>
      <c r="TC395" s="25"/>
      <c r="TD395" s="25"/>
      <c r="TE395" s="25"/>
      <c r="TF395" s="25"/>
      <c r="TG395" s="25"/>
      <c r="TH395" s="25"/>
      <c r="TI395" s="25"/>
      <c r="TJ395" s="25"/>
      <c r="TK395" s="25"/>
      <c r="TL395" s="25"/>
      <c r="TM395" s="25"/>
      <c r="TN395" s="25"/>
      <c r="TO395" s="25"/>
      <c r="TP395" s="25"/>
      <c r="TQ395" s="25"/>
      <c r="TR395" s="25"/>
      <c r="TS395" s="25"/>
      <c r="TT395" s="25"/>
      <c r="TU395" s="25"/>
      <c r="TV395" s="25"/>
      <c r="TW395" s="25"/>
      <c r="TX395" s="25"/>
      <c r="TY395" s="25"/>
      <c r="TZ395" s="25"/>
      <c r="UA395" s="25"/>
      <c r="UB395" s="25"/>
      <c r="UC395" s="25"/>
      <c r="UD395" s="25"/>
      <c r="UE395" s="25"/>
      <c r="UF395" s="25"/>
      <c r="UG395" s="26"/>
    </row>
    <row r="396" spans="1:553" s="162" customFormat="1" ht="93.75" customHeight="1">
      <c r="A396" s="431">
        <v>5</v>
      </c>
      <c r="B396" s="431"/>
      <c r="C396" s="1145" t="s">
        <v>300</v>
      </c>
      <c r="D396" s="1211"/>
      <c r="E396" s="1211"/>
      <c r="F396" s="1212"/>
      <c r="G396" s="431"/>
      <c r="H396" s="432"/>
      <c r="I396" s="432"/>
      <c r="J396" s="983"/>
      <c r="K396" s="433"/>
      <c r="L396" s="431">
        <f>SUM(L397:L558)/2</f>
        <v>1855120383.5856669</v>
      </c>
      <c r="M396" s="431"/>
      <c r="N396" s="431"/>
      <c r="O396" s="431"/>
      <c r="P396" s="431">
        <f>P400+P419+P478+P533+P536+P554</f>
        <v>1855120383.5856667</v>
      </c>
      <c r="Q396" s="815"/>
      <c r="R396" s="1241"/>
      <c r="S396" s="435" t="s">
        <v>845</v>
      </c>
      <c r="T396" s="582" t="s">
        <v>1318</v>
      </c>
      <c r="U396" s="817">
        <f>H400</f>
        <v>5781.4</v>
      </c>
      <c r="V396" s="460">
        <f>I400</f>
        <v>4991.3999999999996</v>
      </c>
      <c r="W396" s="304">
        <f>SUM(W398:W418)</f>
        <v>1812.2</v>
      </c>
      <c r="X396" s="304">
        <f t="shared" ref="X396:AB396" si="83">SUM(X398:X418)</f>
        <v>843</v>
      </c>
      <c r="Y396" s="304">
        <f t="shared" si="83"/>
        <v>190.7</v>
      </c>
      <c r="Z396" s="304">
        <f t="shared" si="83"/>
        <v>0</v>
      </c>
      <c r="AA396" s="304">
        <f t="shared" si="83"/>
        <v>344.7</v>
      </c>
      <c r="AB396" s="304">
        <f t="shared" si="83"/>
        <v>1400.8</v>
      </c>
      <c r="AC396" s="304">
        <f>SUM(AC398:AC418)</f>
        <v>400</v>
      </c>
      <c r="AD396" s="437">
        <f>L400</f>
        <v>427768800</v>
      </c>
      <c r="AE396" s="437">
        <f>L419</f>
        <v>552262664.66666675</v>
      </c>
      <c r="AF396" s="437">
        <f>L478</f>
        <v>192656518.919</v>
      </c>
      <c r="AG396" s="437">
        <f>L533</f>
        <v>6500000</v>
      </c>
      <c r="AH396" s="437">
        <f>L536</f>
        <v>675932400</v>
      </c>
      <c r="AI396" s="437">
        <f>L554</f>
        <v>0</v>
      </c>
      <c r="AJ396" s="437"/>
      <c r="AK396" s="438">
        <f>SUM(AD396:AJ396)</f>
        <v>1855120383.5856667</v>
      </c>
      <c r="AL396" s="296"/>
      <c r="AM396" s="158"/>
      <c r="AN396" s="158"/>
      <c r="AO396" s="159"/>
      <c r="AP396" s="159"/>
      <c r="AQ396" s="159"/>
      <c r="AR396" s="159"/>
      <c r="AS396" s="170"/>
      <c r="AT396" s="170"/>
      <c r="AU396" s="170"/>
      <c r="AV396" s="170"/>
      <c r="AW396" s="170"/>
      <c r="AX396" s="170"/>
      <c r="AY396" s="170"/>
      <c r="AZ396" s="170"/>
      <c r="BA396" s="170"/>
      <c r="BB396" s="170"/>
      <c r="BC396" s="170"/>
      <c r="BD396" s="170"/>
      <c r="BE396" s="170"/>
      <c r="BF396" s="170"/>
      <c r="BG396" s="170"/>
      <c r="BH396" s="170"/>
      <c r="BI396" s="170"/>
      <c r="BJ396" s="170"/>
      <c r="BK396" s="170"/>
      <c r="BL396" s="170"/>
      <c r="BM396" s="170"/>
      <c r="BN396" s="170"/>
      <c r="BO396" s="170"/>
      <c r="BP396" s="170"/>
      <c r="BQ396" s="170"/>
      <c r="BR396" s="170"/>
      <c r="BS396" s="170"/>
      <c r="BT396" s="170"/>
      <c r="BU396" s="170"/>
      <c r="BV396" s="170"/>
      <c r="BW396" s="170"/>
      <c r="BX396" s="170"/>
      <c r="BY396" s="170"/>
      <c r="BZ396" s="170"/>
      <c r="CA396" s="170"/>
      <c r="CB396" s="170"/>
      <c r="CC396" s="170"/>
      <c r="CD396" s="170"/>
      <c r="CE396" s="170"/>
      <c r="CF396" s="170"/>
      <c r="CG396" s="170"/>
      <c r="CH396" s="170"/>
      <c r="CI396" s="170"/>
      <c r="CJ396" s="170"/>
      <c r="CK396" s="170"/>
      <c r="CL396" s="170"/>
      <c r="CM396" s="170"/>
      <c r="CN396" s="170"/>
      <c r="CO396" s="170"/>
      <c r="CP396" s="170"/>
      <c r="CQ396" s="170"/>
      <c r="CR396" s="170"/>
      <c r="CS396" s="170"/>
      <c r="CT396" s="170"/>
      <c r="CU396" s="170"/>
      <c r="CV396" s="170"/>
      <c r="CW396" s="170"/>
      <c r="CX396" s="170"/>
      <c r="CY396" s="170"/>
      <c r="CZ396" s="170"/>
      <c r="DA396" s="170"/>
      <c r="DB396" s="170"/>
      <c r="DC396" s="170"/>
      <c r="DD396" s="170"/>
      <c r="DE396" s="170"/>
      <c r="DF396" s="170"/>
      <c r="DG396" s="170"/>
      <c r="DH396" s="170"/>
      <c r="DI396" s="170"/>
      <c r="DJ396" s="170"/>
      <c r="DK396" s="170"/>
      <c r="DL396" s="170"/>
      <c r="DM396" s="170"/>
      <c r="DN396" s="170"/>
      <c r="DO396" s="170"/>
      <c r="DP396" s="170"/>
      <c r="DQ396" s="170"/>
      <c r="DR396" s="170"/>
      <c r="DS396" s="170"/>
      <c r="DT396" s="170"/>
      <c r="DU396" s="170"/>
      <c r="DV396" s="170"/>
      <c r="DW396" s="170"/>
      <c r="DX396" s="170"/>
      <c r="DY396" s="170"/>
      <c r="DZ396" s="170"/>
      <c r="EA396" s="170"/>
      <c r="EB396" s="170"/>
      <c r="EC396" s="170"/>
      <c r="ED396" s="170"/>
      <c r="EE396" s="170"/>
      <c r="EF396" s="170"/>
      <c r="EG396" s="170"/>
      <c r="EH396" s="170"/>
      <c r="EI396" s="170"/>
      <c r="EJ396" s="170"/>
      <c r="EK396" s="170"/>
      <c r="EL396" s="170"/>
      <c r="EM396" s="170"/>
      <c r="EN396" s="170"/>
      <c r="EO396" s="170"/>
      <c r="EP396" s="170"/>
      <c r="EQ396" s="170"/>
      <c r="ER396" s="170"/>
      <c r="ES396" s="170"/>
      <c r="ET396" s="170"/>
      <c r="EU396" s="170"/>
      <c r="EV396" s="170"/>
      <c r="EW396" s="170"/>
      <c r="EX396" s="170"/>
      <c r="EY396" s="170"/>
      <c r="EZ396" s="170"/>
      <c r="FA396" s="170"/>
      <c r="FB396" s="170"/>
      <c r="FC396" s="170"/>
      <c r="FD396" s="170"/>
      <c r="FE396" s="170"/>
      <c r="FF396" s="170"/>
      <c r="FG396" s="170"/>
      <c r="FH396" s="170"/>
      <c r="FI396" s="170"/>
      <c r="FJ396" s="170"/>
      <c r="FK396" s="170"/>
      <c r="FL396" s="170"/>
      <c r="FM396" s="170"/>
      <c r="FN396" s="170"/>
      <c r="FO396" s="170"/>
      <c r="FP396" s="170"/>
      <c r="FQ396" s="170"/>
      <c r="FR396" s="170"/>
      <c r="FS396" s="170"/>
      <c r="FT396" s="170"/>
      <c r="FU396" s="170"/>
      <c r="FV396" s="170"/>
      <c r="FW396" s="170"/>
      <c r="FX396" s="170"/>
      <c r="FY396" s="170"/>
      <c r="FZ396" s="170"/>
      <c r="GA396" s="170"/>
      <c r="GB396" s="170"/>
      <c r="GC396" s="170"/>
      <c r="GD396" s="170"/>
      <c r="GE396" s="170"/>
      <c r="GF396" s="170"/>
      <c r="GG396" s="170"/>
      <c r="GH396" s="170"/>
      <c r="GI396" s="170"/>
      <c r="GJ396" s="170"/>
      <c r="GK396" s="170"/>
      <c r="GL396" s="170"/>
      <c r="GM396" s="170"/>
      <c r="GN396" s="170"/>
      <c r="GO396" s="170"/>
      <c r="GP396" s="170"/>
      <c r="GQ396" s="170"/>
      <c r="GR396" s="170"/>
      <c r="GS396" s="170"/>
      <c r="GT396" s="170"/>
      <c r="GU396" s="170"/>
      <c r="GV396" s="170"/>
      <c r="GW396" s="170"/>
      <c r="GX396" s="170"/>
      <c r="GY396" s="170"/>
      <c r="GZ396" s="170"/>
      <c r="HA396" s="170"/>
      <c r="HB396" s="170"/>
      <c r="HC396" s="170"/>
      <c r="HD396" s="170"/>
      <c r="HE396" s="170"/>
      <c r="HF396" s="170"/>
      <c r="HG396" s="170"/>
      <c r="HH396" s="170"/>
      <c r="HI396" s="170"/>
      <c r="HJ396" s="170"/>
      <c r="HK396" s="170"/>
      <c r="HL396" s="170"/>
      <c r="HM396" s="170"/>
      <c r="HN396" s="170"/>
      <c r="HO396" s="170"/>
      <c r="HP396" s="170"/>
      <c r="HQ396" s="170"/>
      <c r="HR396" s="170"/>
      <c r="HS396" s="170"/>
      <c r="HT396" s="170"/>
      <c r="HU396" s="170"/>
      <c r="HV396" s="170"/>
      <c r="HW396" s="170"/>
      <c r="HX396" s="170"/>
      <c r="HY396" s="170"/>
      <c r="HZ396" s="170"/>
      <c r="IA396" s="170"/>
      <c r="IB396" s="170"/>
      <c r="IC396" s="170"/>
      <c r="ID396" s="170"/>
      <c r="IE396" s="170"/>
      <c r="IF396" s="170"/>
      <c r="IG396" s="170"/>
      <c r="IH396" s="170"/>
      <c r="II396" s="170"/>
      <c r="IJ396" s="170"/>
      <c r="IK396" s="170"/>
      <c r="IL396" s="170"/>
      <c r="IM396" s="170"/>
      <c r="IN396" s="170"/>
      <c r="IO396" s="170"/>
      <c r="IP396" s="170"/>
      <c r="IQ396" s="170"/>
      <c r="IR396" s="170"/>
      <c r="IS396" s="170"/>
      <c r="IT396" s="170"/>
      <c r="IU396" s="170"/>
      <c r="IV396" s="170"/>
      <c r="IW396" s="170"/>
      <c r="IX396" s="170"/>
      <c r="IY396" s="170"/>
      <c r="IZ396" s="170"/>
      <c r="JA396" s="170"/>
      <c r="JB396" s="170"/>
      <c r="JC396" s="170"/>
      <c r="JD396" s="170"/>
      <c r="JE396" s="170"/>
      <c r="JF396" s="170"/>
      <c r="JG396" s="170"/>
      <c r="JH396" s="170"/>
      <c r="JI396" s="170"/>
      <c r="JJ396" s="170"/>
      <c r="JK396" s="170"/>
      <c r="JL396" s="170"/>
      <c r="JM396" s="170"/>
      <c r="JN396" s="170"/>
      <c r="JO396" s="170"/>
      <c r="JP396" s="170"/>
      <c r="JQ396" s="170"/>
      <c r="JR396" s="170"/>
      <c r="JS396" s="170"/>
      <c r="JT396" s="170"/>
      <c r="JU396" s="170"/>
      <c r="JV396" s="170"/>
      <c r="JW396" s="170"/>
      <c r="JX396" s="170"/>
      <c r="JY396" s="170"/>
      <c r="JZ396" s="170"/>
      <c r="KA396" s="170"/>
      <c r="KB396" s="170"/>
      <c r="KC396" s="170"/>
      <c r="KD396" s="170"/>
      <c r="KE396" s="170"/>
      <c r="KF396" s="170"/>
      <c r="KG396" s="170"/>
      <c r="KH396" s="170"/>
      <c r="KI396" s="170"/>
      <c r="KJ396" s="170"/>
      <c r="KK396" s="170"/>
      <c r="KL396" s="170"/>
      <c r="KM396" s="170"/>
      <c r="KN396" s="170"/>
      <c r="KO396" s="170"/>
      <c r="KP396" s="170"/>
      <c r="KQ396" s="170"/>
      <c r="KR396" s="170"/>
      <c r="KS396" s="170"/>
      <c r="KT396" s="170"/>
      <c r="KU396" s="170"/>
      <c r="KV396" s="170"/>
      <c r="KW396" s="170"/>
      <c r="KX396" s="170"/>
      <c r="KY396" s="170"/>
      <c r="KZ396" s="170"/>
      <c r="LA396" s="170"/>
      <c r="LB396" s="170"/>
      <c r="LC396" s="170"/>
      <c r="LD396" s="170"/>
      <c r="LE396" s="170"/>
      <c r="LF396" s="170"/>
      <c r="LG396" s="170"/>
      <c r="LH396" s="170"/>
      <c r="LI396" s="170"/>
      <c r="LJ396" s="170"/>
      <c r="LK396" s="170"/>
      <c r="LL396" s="170"/>
      <c r="LM396" s="170"/>
      <c r="LN396" s="170"/>
      <c r="LO396" s="170"/>
      <c r="LP396" s="170"/>
      <c r="LQ396" s="170"/>
      <c r="LR396" s="170"/>
      <c r="LS396" s="170"/>
      <c r="LT396" s="170"/>
      <c r="LU396" s="170"/>
      <c r="LV396" s="170"/>
      <c r="LW396" s="170"/>
      <c r="LX396" s="170"/>
      <c r="LY396" s="170"/>
      <c r="LZ396" s="170"/>
      <c r="MA396" s="170"/>
      <c r="MB396" s="170"/>
      <c r="MC396" s="170"/>
      <c r="MD396" s="170"/>
      <c r="ME396" s="170"/>
      <c r="MF396" s="170"/>
      <c r="MG396" s="170"/>
      <c r="MH396" s="170"/>
      <c r="MI396" s="170"/>
      <c r="MJ396" s="170"/>
      <c r="MK396" s="170"/>
      <c r="ML396" s="170"/>
      <c r="MM396" s="170"/>
      <c r="MN396" s="170"/>
      <c r="MO396" s="170"/>
      <c r="MP396" s="170"/>
      <c r="MQ396" s="170"/>
      <c r="MR396" s="170"/>
      <c r="MS396" s="170"/>
      <c r="MT396" s="170"/>
      <c r="MU396" s="170"/>
      <c r="MV396" s="170"/>
      <c r="MW396" s="170"/>
      <c r="MX396" s="170"/>
      <c r="MY396" s="170"/>
      <c r="MZ396" s="170"/>
      <c r="NA396" s="170"/>
      <c r="NB396" s="170"/>
      <c r="NC396" s="170"/>
      <c r="ND396" s="170"/>
      <c r="NE396" s="170"/>
      <c r="NF396" s="170"/>
      <c r="NG396" s="170"/>
      <c r="NH396" s="170"/>
      <c r="NI396" s="170"/>
      <c r="NJ396" s="170"/>
      <c r="NK396" s="170"/>
      <c r="NL396" s="170"/>
      <c r="NM396" s="170"/>
      <c r="NN396" s="170"/>
      <c r="NO396" s="170"/>
      <c r="NP396" s="170"/>
      <c r="NQ396" s="170"/>
      <c r="NR396" s="170"/>
      <c r="NS396" s="170"/>
      <c r="NT396" s="170"/>
      <c r="NU396" s="170"/>
      <c r="NV396" s="170"/>
      <c r="NW396" s="170"/>
      <c r="NX396" s="170"/>
      <c r="NY396" s="170"/>
      <c r="NZ396" s="170"/>
      <c r="OA396" s="170"/>
      <c r="OB396" s="170"/>
      <c r="OC396" s="170"/>
      <c r="OD396" s="170"/>
      <c r="OE396" s="170"/>
      <c r="OF396" s="170"/>
      <c r="OG396" s="170"/>
      <c r="OH396" s="170"/>
      <c r="OI396" s="170"/>
      <c r="OJ396" s="170"/>
      <c r="OK396" s="170"/>
      <c r="OL396" s="170"/>
      <c r="OM396" s="170"/>
      <c r="ON396" s="170"/>
      <c r="OO396" s="170"/>
      <c r="OP396" s="170"/>
      <c r="OQ396" s="170"/>
      <c r="OR396" s="170"/>
      <c r="OS396" s="170"/>
      <c r="OT396" s="170"/>
      <c r="OU396" s="170"/>
      <c r="OV396" s="170"/>
      <c r="OW396" s="170"/>
      <c r="OX396" s="170"/>
      <c r="OY396" s="170"/>
      <c r="OZ396" s="170"/>
      <c r="PA396" s="170"/>
      <c r="PB396" s="170"/>
      <c r="PC396" s="170"/>
      <c r="PD396" s="170"/>
      <c r="PE396" s="170"/>
      <c r="PF396" s="170"/>
      <c r="PG396" s="170"/>
      <c r="PH396" s="170"/>
      <c r="PI396" s="170"/>
      <c r="PJ396" s="170"/>
      <c r="PK396" s="170"/>
      <c r="PL396" s="170"/>
      <c r="PM396" s="170"/>
      <c r="PN396" s="170"/>
      <c r="PO396" s="170"/>
      <c r="PP396" s="170"/>
      <c r="PQ396" s="170"/>
      <c r="PR396" s="170"/>
      <c r="PS396" s="170"/>
      <c r="PT396" s="170"/>
      <c r="PU396" s="170"/>
      <c r="PV396" s="170"/>
      <c r="PW396" s="170"/>
      <c r="PX396" s="170"/>
      <c r="PY396" s="170"/>
      <c r="PZ396" s="170"/>
      <c r="QA396" s="170"/>
      <c r="QB396" s="170"/>
      <c r="QC396" s="170"/>
      <c r="QD396" s="170"/>
      <c r="QE396" s="170"/>
      <c r="QF396" s="170"/>
      <c r="QG396" s="170"/>
      <c r="QH396" s="170"/>
      <c r="QI396" s="170"/>
      <c r="QJ396" s="170"/>
      <c r="QK396" s="170"/>
      <c r="QL396" s="170"/>
      <c r="QM396" s="170"/>
      <c r="QN396" s="170"/>
      <c r="QO396" s="170"/>
      <c r="QP396" s="170"/>
      <c r="QQ396" s="170"/>
      <c r="QR396" s="170"/>
      <c r="QS396" s="170"/>
      <c r="QT396" s="170"/>
      <c r="QU396" s="170"/>
      <c r="QV396" s="170"/>
      <c r="QW396" s="170"/>
      <c r="QX396" s="170"/>
      <c r="QY396" s="170"/>
      <c r="QZ396" s="170"/>
      <c r="RA396" s="170"/>
      <c r="RB396" s="170"/>
      <c r="RC396" s="170"/>
      <c r="RD396" s="170"/>
      <c r="RE396" s="170"/>
      <c r="RF396" s="170"/>
      <c r="RG396" s="170"/>
      <c r="RH396" s="170"/>
      <c r="RI396" s="170"/>
      <c r="RJ396" s="170"/>
      <c r="RK396" s="170"/>
      <c r="RL396" s="170"/>
      <c r="RM396" s="170"/>
      <c r="RN396" s="170"/>
      <c r="RO396" s="170"/>
      <c r="RP396" s="170"/>
      <c r="RQ396" s="170"/>
      <c r="RR396" s="170"/>
      <c r="RS396" s="170"/>
      <c r="RT396" s="170"/>
      <c r="RU396" s="170"/>
      <c r="RV396" s="170"/>
      <c r="RW396" s="170"/>
      <c r="RX396" s="170"/>
      <c r="RY396" s="170"/>
      <c r="RZ396" s="170"/>
      <c r="SA396" s="170"/>
      <c r="SB396" s="170"/>
      <c r="SC396" s="170"/>
      <c r="SD396" s="170"/>
      <c r="SE396" s="170"/>
      <c r="SF396" s="170"/>
      <c r="SG396" s="170"/>
      <c r="SH396" s="170"/>
      <c r="SI396" s="170"/>
      <c r="SJ396" s="170"/>
      <c r="SK396" s="170"/>
      <c r="SL396" s="170"/>
      <c r="SM396" s="170"/>
      <c r="SN396" s="170"/>
      <c r="SO396" s="170"/>
      <c r="SP396" s="170"/>
      <c r="SQ396" s="170"/>
      <c r="SR396" s="170"/>
      <c r="SS396" s="170"/>
      <c r="ST396" s="170"/>
      <c r="SU396" s="170"/>
      <c r="SV396" s="170"/>
      <c r="SW396" s="170"/>
      <c r="SX396" s="170"/>
      <c r="SY396" s="170"/>
      <c r="SZ396" s="170"/>
      <c r="TA396" s="170"/>
      <c r="TB396" s="170"/>
      <c r="TC396" s="170"/>
      <c r="TD396" s="170"/>
      <c r="TE396" s="170"/>
      <c r="TF396" s="170"/>
      <c r="TG396" s="170"/>
      <c r="TH396" s="170"/>
      <c r="TI396" s="170"/>
      <c r="TJ396" s="170"/>
      <c r="TK396" s="170"/>
      <c r="TL396" s="170"/>
      <c r="TM396" s="170"/>
      <c r="TN396" s="170"/>
      <c r="TO396" s="170"/>
      <c r="TP396" s="170"/>
      <c r="TQ396" s="170"/>
      <c r="TR396" s="170"/>
      <c r="TS396" s="170"/>
      <c r="TT396" s="170"/>
      <c r="TU396" s="170"/>
      <c r="TV396" s="170"/>
      <c r="TW396" s="170"/>
      <c r="TX396" s="170"/>
      <c r="TY396" s="170"/>
      <c r="TZ396" s="170"/>
      <c r="UA396" s="170"/>
      <c r="UB396" s="170"/>
      <c r="UC396" s="170"/>
      <c r="UD396" s="170"/>
      <c r="UE396" s="170"/>
      <c r="UF396" s="170"/>
      <c r="UG396" s="171"/>
    </row>
    <row r="397" spans="1:553" ht="27.75" customHeight="1">
      <c r="A397" s="356" t="s">
        <v>15</v>
      </c>
      <c r="B397" s="366"/>
      <c r="C397" s="1404" t="s">
        <v>301</v>
      </c>
      <c r="D397" s="1389"/>
      <c r="E397" s="1389"/>
      <c r="F397" s="1390"/>
      <c r="G397" s="366"/>
      <c r="H397" s="370"/>
      <c r="I397" s="439"/>
      <c r="J397" s="368"/>
      <c r="K397" s="371"/>
      <c r="L397" s="366"/>
      <c r="M397" s="366"/>
      <c r="N397" s="366"/>
      <c r="O397" s="366"/>
      <c r="P397" s="366"/>
      <c r="Q397" s="812"/>
      <c r="R397" s="1226"/>
      <c r="S397" s="435"/>
      <c r="T397" s="436"/>
      <c r="U397" s="304"/>
      <c r="V397" s="393"/>
      <c r="W397" s="304"/>
      <c r="X397" s="304"/>
      <c r="Y397" s="304"/>
      <c r="Z397" s="304"/>
      <c r="AA397" s="304"/>
      <c r="AB397" s="304"/>
      <c r="AC397" s="449"/>
      <c r="AD397" s="449"/>
      <c r="AE397" s="449"/>
      <c r="AF397" s="449"/>
      <c r="AG397" s="449"/>
      <c r="AH397" s="449"/>
      <c r="AI397" s="449"/>
      <c r="AJ397" s="449"/>
      <c r="AK397" s="450"/>
      <c r="AL397" s="105"/>
      <c r="AM397" s="30"/>
      <c r="AN397" s="30"/>
      <c r="AO397" s="30"/>
      <c r="AP397" s="30"/>
      <c r="AQ397" s="30"/>
      <c r="AR397" s="30"/>
      <c r="AS397" s="31"/>
      <c r="AT397" s="31"/>
      <c r="AU397" s="31"/>
      <c r="AV397" s="31"/>
      <c r="AW397" s="31"/>
      <c r="AX397" s="31"/>
      <c r="AY397" s="31"/>
      <c r="AZ397" s="31"/>
      <c r="BA397" s="31"/>
      <c r="BB397" s="31"/>
      <c r="BC397" s="31"/>
      <c r="BD397" s="31"/>
      <c r="BE397" s="31"/>
      <c r="BF397" s="31"/>
      <c r="BG397" s="31"/>
      <c r="BH397" s="31"/>
      <c r="BI397" s="31"/>
      <c r="BJ397" s="31"/>
      <c r="BK397" s="31"/>
      <c r="BL397" s="31"/>
      <c r="BM397" s="31"/>
      <c r="BN397" s="31"/>
      <c r="BO397" s="31"/>
      <c r="BP397" s="25"/>
      <c r="BQ397" s="25"/>
      <c r="BR397" s="25"/>
      <c r="BS397" s="25"/>
      <c r="BT397" s="25"/>
      <c r="BU397" s="25"/>
      <c r="BV397" s="25"/>
      <c r="BW397" s="25"/>
      <c r="BX397" s="25"/>
      <c r="BY397" s="25"/>
      <c r="BZ397" s="25"/>
      <c r="CA397" s="25"/>
      <c r="CB397" s="25"/>
      <c r="CC397" s="25"/>
      <c r="CD397" s="25"/>
      <c r="CE397" s="25"/>
      <c r="CF397" s="25"/>
      <c r="CG397" s="25"/>
      <c r="CH397" s="25"/>
      <c r="CI397" s="25"/>
      <c r="CJ397" s="25"/>
      <c r="CK397" s="25"/>
      <c r="CL397" s="25"/>
      <c r="CM397" s="25"/>
      <c r="CN397" s="25"/>
      <c r="CO397" s="25"/>
      <c r="CP397" s="25"/>
      <c r="CQ397" s="25"/>
      <c r="CR397" s="25"/>
      <c r="CS397" s="25"/>
      <c r="CT397" s="25"/>
      <c r="CU397" s="25"/>
      <c r="CV397" s="25"/>
      <c r="CW397" s="25"/>
      <c r="CX397" s="25"/>
      <c r="CY397" s="25"/>
      <c r="CZ397" s="25"/>
      <c r="DA397" s="25"/>
      <c r="DB397" s="25"/>
      <c r="DC397" s="25"/>
      <c r="DD397" s="25"/>
      <c r="DE397" s="25"/>
      <c r="DF397" s="25"/>
      <c r="DG397" s="25"/>
      <c r="DH397" s="25"/>
      <c r="DI397" s="25"/>
      <c r="DJ397" s="25"/>
      <c r="DK397" s="25"/>
      <c r="DL397" s="25"/>
      <c r="DM397" s="25"/>
      <c r="DN397" s="25"/>
      <c r="DO397" s="25"/>
      <c r="DP397" s="25"/>
      <c r="DQ397" s="25"/>
      <c r="DR397" s="25"/>
      <c r="DS397" s="25"/>
      <c r="DT397" s="25"/>
      <c r="DU397" s="25"/>
      <c r="DV397" s="25"/>
      <c r="DW397" s="25"/>
      <c r="DX397" s="25"/>
      <c r="DY397" s="25"/>
      <c r="DZ397" s="25"/>
      <c r="EA397" s="25"/>
      <c r="EB397" s="25"/>
      <c r="EC397" s="25"/>
      <c r="ED397" s="25"/>
      <c r="EE397" s="25"/>
      <c r="EF397" s="25"/>
      <c r="EG397" s="25"/>
      <c r="EH397" s="25"/>
      <c r="EI397" s="25"/>
      <c r="EJ397" s="25"/>
      <c r="EK397" s="25"/>
      <c r="EL397" s="25"/>
      <c r="EM397" s="25"/>
      <c r="EN397" s="25"/>
      <c r="EO397" s="25"/>
      <c r="EP397" s="25"/>
      <c r="EQ397" s="25"/>
      <c r="ER397" s="25"/>
      <c r="ES397" s="25"/>
      <c r="ET397" s="25"/>
      <c r="EU397" s="25"/>
      <c r="EV397" s="25"/>
      <c r="EW397" s="25"/>
      <c r="EX397" s="25"/>
      <c r="EY397" s="25"/>
      <c r="EZ397" s="25"/>
      <c r="FA397" s="25"/>
      <c r="FB397" s="25"/>
      <c r="FC397" s="25"/>
      <c r="FD397" s="25"/>
      <c r="FE397" s="25"/>
      <c r="FF397" s="25"/>
      <c r="FG397" s="25"/>
      <c r="FH397" s="25"/>
      <c r="FI397" s="25"/>
      <c r="FJ397" s="25"/>
      <c r="FK397" s="25"/>
      <c r="FL397" s="25"/>
      <c r="FM397" s="25"/>
      <c r="FN397" s="25"/>
      <c r="FO397" s="25"/>
      <c r="FP397" s="25"/>
      <c r="FQ397" s="25"/>
      <c r="FR397" s="25"/>
      <c r="FS397" s="25"/>
      <c r="FT397" s="25"/>
      <c r="FU397" s="25"/>
      <c r="FV397" s="25"/>
      <c r="FW397" s="25"/>
      <c r="FX397" s="25"/>
      <c r="FY397" s="25"/>
      <c r="FZ397" s="25"/>
      <c r="GA397" s="25"/>
      <c r="GB397" s="25"/>
      <c r="GC397" s="25"/>
      <c r="GD397" s="25"/>
      <c r="GE397" s="25"/>
      <c r="GF397" s="25"/>
      <c r="GG397" s="25"/>
      <c r="GH397" s="25"/>
      <c r="GI397" s="25"/>
      <c r="GJ397" s="25"/>
      <c r="GK397" s="25"/>
      <c r="GL397" s="25"/>
      <c r="GM397" s="25"/>
      <c r="GN397" s="25"/>
      <c r="GO397" s="25"/>
      <c r="GP397" s="25"/>
      <c r="GQ397" s="25"/>
      <c r="GR397" s="25"/>
      <c r="GS397" s="25"/>
      <c r="GT397" s="25"/>
      <c r="GU397" s="25"/>
      <c r="GV397" s="25"/>
      <c r="GW397" s="25"/>
      <c r="GX397" s="25"/>
      <c r="GY397" s="25"/>
      <c r="GZ397" s="25"/>
      <c r="HA397" s="25"/>
      <c r="HB397" s="25"/>
      <c r="HC397" s="25"/>
      <c r="HD397" s="25"/>
      <c r="HE397" s="25"/>
      <c r="HF397" s="25"/>
      <c r="HG397" s="25"/>
      <c r="HH397" s="25"/>
      <c r="HI397" s="25"/>
      <c r="HJ397" s="25"/>
      <c r="HK397" s="25"/>
      <c r="HL397" s="25"/>
      <c r="HM397" s="25"/>
      <c r="HN397" s="25"/>
      <c r="HO397" s="25"/>
      <c r="HP397" s="25"/>
      <c r="HQ397" s="25"/>
      <c r="HR397" s="25"/>
      <c r="HS397" s="25"/>
      <c r="HT397" s="25"/>
      <c r="HU397" s="25"/>
      <c r="HV397" s="25"/>
      <c r="HW397" s="25"/>
      <c r="HX397" s="25"/>
      <c r="HY397" s="25"/>
      <c r="HZ397" s="25"/>
      <c r="IA397" s="25"/>
      <c r="IB397" s="25"/>
      <c r="IC397" s="25"/>
      <c r="ID397" s="25"/>
      <c r="IE397" s="25"/>
      <c r="IF397" s="25"/>
      <c r="IG397" s="25"/>
      <c r="IH397" s="25"/>
      <c r="II397" s="25"/>
      <c r="IJ397" s="25"/>
      <c r="IK397" s="25"/>
      <c r="IL397" s="25"/>
      <c r="IM397" s="25"/>
      <c r="IN397" s="25"/>
      <c r="IO397" s="25"/>
      <c r="IP397" s="25"/>
      <c r="IQ397" s="25"/>
      <c r="IR397" s="25"/>
      <c r="IS397" s="25"/>
      <c r="IT397" s="25"/>
      <c r="IU397" s="25"/>
      <c r="IV397" s="25"/>
      <c r="IW397" s="25"/>
      <c r="IX397" s="25"/>
      <c r="IY397" s="25"/>
      <c r="IZ397" s="25"/>
      <c r="JA397" s="25"/>
      <c r="JB397" s="25"/>
      <c r="JC397" s="25"/>
      <c r="JD397" s="25"/>
      <c r="JE397" s="25"/>
      <c r="JF397" s="25"/>
      <c r="JG397" s="25"/>
      <c r="JH397" s="25"/>
      <c r="JI397" s="25"/>
      <c r="JJ397" s="25"/>
      <c r="JK397" s="25"/>
      <c r="JL397" s="25"/>
      <c r="JM397" s="25"/>
      <c r="JN397" s="25"/>
      <c r="JO397" s="25"/>
      <c r="JP397" s="25"/>
      <c r="JQ397" s="25"/>
      <c r="JR397" s="25"/>
      <c r="JS397" s="25"/>
      <c r="JT397" s="25"/>
      <c r="JU397" s="25"/>
      <c r="JV397" s="25"/>
      <c r="JW397" s="25"/>
      <c r="JX397" s="25"/>
      <c r="JY397" s="25"/>
      <c r="JZ397" s="25"/>
      <c r="KA397" s="25"/>
      <c r="KB397" s="25"/>
      <c r="KC397" s="25"/>
      <c r="KD397" s="25"/>
      <c r="KE397" s="25"/>
      <c r="KF397" s="25"/>
      <c r="KG397" s="25"/>
      <c r="KH397" s="25"/>
      <c r="KI397" s="25"/>
      <c r="KJ397" s="25"/>
      <c r="KK397" s="25"/>
      <c r="KL397" s="25"/>
      <c r="KM397" s="25"/>
      <c r="KN397" s="25"/>
      <c r="KO397" s="25"/>
      <c r="KP397" s="25"/>
      <c r="KQ397" s="25"/>
      <c r="KR397" s="25"/>
      <c r="KS397" s="25"/>
      <c r="KT397" s="25"/>
      <c r="KU397" s="25"/>
      <c r="KV397" s="25"/>
      <c r="KW397" s="25"/>
      <c r="KX397" s="25"/>
      <c r="KY397" s="25"/>
      <c r="KZ397" s="25"/>
      <c r="LA397" s="25"/>
      <c r="LB397" s="25"/>
      <c r="LC397" s="25"/>
      <c r="LD397" s="25"/>
      <c r="LE397" s="25"/>
      <c r="LF397" s="25"/>
      <c r="LG397" s="25"/>
      <c r="LH397" s="25"/>
      <c r="LI397" s="25"/>
      <c r="LJ397" s="25"/>
      <c r="LK397" s="25"/>
      <c r="LL397" s="25"/>
      <c r="LM397" s="25"/>
      <c r="LN397" s="25"/>
      <c r="LO397" s="25"/>
      <c r="LP397" s="25"/>
      <c r="LQ397" s="25"/>
      <c r="LR397" s="25"/>
      <c r="LS397" s="25"/>
      <c r="LT397" s="25"/>
      <c r="LU397" s="25"/>
      <c r="LV397" s="25"/>
      <c r="LW397" s="25"/>
      <c r="LX397" s="25"/>
      <c r="LY397" s="25"/>
      <c r="LZ397" s="25"/>
      <c r="MA397" s="25"/>
      <c r="MB397" s="25"/>
      <c r="MC397" s="25"/>
      <c r="MD397" s="25"/>
      <c r="ME397" s="25"/>
      <c r="MF397" s="25"/>
      <c r="MG397" s="25"/>
      <c r="MH397" s="25"/>
      <c r="MI397" s="25"/>
      <c r="MJ397" s="25"/>
      <c r="MK397" s="25"/>
      <c r="ML397" s="25"/>
      <c r="MM397" s="25"/>
      <c r="MN397" s="25"/>
      <c r="MO397" s="25"/>
      <c r="MP397" s="25"/>
      <c r="MQ397" s="25"/>
      <c r="MR397" s="25"/>
      <c r="MS397" s="25"/>
      <c r="MT397" s="25"/>
      <c r="MU397" s="25"/>
      <c r="MV397" s="25"/>
      <c r="MW397" s="25"/>
      <c r="MX397" s="25"/>
      <c r="MY397" s="25"/>
      <c r="MZ397" s="25"/>
      <c r="NA397" s="25"/>
      <c r="NB397" s="25"/>
      <c r="NC397" s="25"/>
      <c r="ND397" s="25"/>
      <c r="NE397" s="25"/>
      <c r="NF397" s="25"/>
      <c r="NG397" s="25"/>
      <c r="NH397" s="25"/>
      <c r="NI397" s="25"/>
      <c r="NJ397" s="25"/>
      <c r="NK397" s="25"/>
      <c r="NL397" s="25"/>
      <c r="NM397" s="25"/>
      <c r="NN397" s="25"/>
      <c r="NO397" s="25"/>
      <c r="NP397" s="25"/>
      <c r="NQ397" s="25"/>
      <c r="NR397" s="25"/>
      <c r="NS397" s="25"/>
      <c r="NT397" s="25"/>
      <c r="NU397" s="25"/>
      <c r="NV397" s="25"/>
      <c r="NW397" s="25"/>
      <c r="NX397" s="25"/>
      <c r="NY397" s="25"/>
      <c r="NZ397" s="25"/>
      <c r="OA397" s="25"/>
      <c r="OB397" s="25"/>
      <c r="OC397" s="25"/>
      <c r="OD397" s="25"/>
      <c r="OE397" s="25"/>
      <c r="OF397" s="25"/>
      <c r="OG397" s="25"/>
      <c r="OH397" s="25"/>
      <c r="OI397" s="25"/>
      <c r="OJ397" s="25"/>
      <c r="OK397" s="25"/>
      <c r="OL397" s="25"/>
      <c r="OM397" s="25"/>
      <c r="ON397" s="25"/>
      <c r="OO397" s="25"/>
      <c r="OP397" s="25"/>
      <c r="OQ397" s="25"/>
      <c r="OR397" s="25"/>
      <c r="OS397" s="25"/>
      <c r="OT397" s="25"/>
      <c r="OU397" s="25"/>
      <c r="OV397" s="25"/>
      <c r="OW397" s="25"/>
      <c r="OX397" s="25"/>
      <c r="OY397" s="25"/>
      <c r="OZ397" s="25"/>
      <c r="PA397" s="25"/>
      <c r="PB397" s="25"/>
      <c r="PC397" s="25"/>
      <c r="PD397" s="25"/>
      <c r="PE397" s="25"/>
      <c r="PF397" s="25"/>
      <c r="PG397" s="25"/>
      <c r="PH397" s="25"/>
      <c r="PI397" s="25"/>
      <c r="PJ397" s="25"/>
      <c r="PK397" s="25"/>
      <c r="PL397" s="25"/>
      <c r="PM397" s="25"/>
      <c r="PN397" s="25"/>
      <c r="PO397" s="25"/>
      <c r="PP397" s="25"/>
      <c r="PQ397" s="25"/>
      <c r="PR397" s="25"/>
      <c r="PS397" s="25"/>
      <c r="PT397" s="25"/>
      <c r="PU397" s="25"/>
      <c r="PV397" s="25"/>
      <c r="PW397" s="25"/>
      <c r="PX397" s="25"/>
      <c r="PY397" s="25"/>
      <c r="PZ397" s="25"/>
      <c r="QA397" s="25"/>
      <c r="QB397" s="25"/>
      <c r="QC397" s="25"/>
      <c r="QD397" s="25"/>
      <c r="QE397" s="25"/>
      <c r="QF397" s="25"/>
      <c r="QG397" s="25"/>
      <c r="QH397" s="25"/>
      <c r="QI397" s="25"/>
      <c r="QJ397" s="25"/>
      <c r="QK397" s="25"/>
      <c r="QL397" s="25"/>
      <c r="QM397" s="25"/>
      <c r="QN397" s="25"/>
      <c r="QO397" s="25"/>
      <c r="QP397" s="25"/>
      <c r="QQ397" s="25"/>
      <c r="QR397" s="25"/>
      <c r="QS397" s="25"/>
      <c r="QT397" s="25"/>
      <c r="QU397" s="25"/>
      <c r="QV397" s="25"/>
      <c r="QW397" s="25"/>
      <c r="QX397" s="25"/>
      <c r="QY397" s="25"/>
      <c r="QZ397" s="25"/>
      <c r="RA397" s="25"/>
      <c r="RB397" s="25"/>
      <c r="RC397" s="25"/>
      <c r="RD397" s="25"/>
      <c r="RE397" s="25"/>
      <c r="RF397" s="25"/>
      <c r="RG397" s="25"/>
      <c r="RH397" s="25"/>
      <c r="RI397" s="25"/>
      <c r="RJ397" s="25"/>
      <c r="RK397" s="25"/>
      <c r="RL397" s="25"/>
      <c r="RM397" s="25"/>
      <c r="RN397" s="25"/>
      <c r="RO397" s="25"/>
      <c r="RP397" s="25"/>
      <c r="RQ397" s="25"/>
      <c r="RR397" s="25"/>
      <c r="RS397" s="25"/>
      <c r="RT397" s="25"/>
      <c r="RU397" s="25"/>
      <c r="RV397" s="25"/>
      <c r="RW397" s="25"/>
      <c r="RX397" s="25"/>
      <c r="RY397" s="25"/>
      <c r="RZ397" s="25"/>
      <c r="SA397" s="25"/>
      <c r="SB397" s="25"/>
      <c r="SC397" s="25"/>
      <c r="SD397" s="25"/>
      <c r="SE397" s="25"/>
      <c r="SF397" s="25"/>
      <c r="SG397" s="25"/>
      <c r="SH397" s="25"/>
      <c r="SI397" s="25"/>
      <c r="SJ397" s="25"/>
      <c r="SK397" s="25"/>
      <c r="SL397" s="25"/>
      <c r="SM397" s="25"/>
      <c r="SN397" s="25"/>
      <c r="SO397" s="25"/>
      <c r="SP397" s="25"/>
      <c r="SQ397" s="25"/>
      <c r="SR397" s="25"/>
      <c r="SS397" s="25"/>
      <c r="ST397" s="25"/>
      <c r="SU397" s="25"/>
      <c r="SV397" s="25"/>
      <c r="SW397" s="25"/>
      <c r="SX397" s="25"/>
      <c r="SY397" s="25"/>
      <c r="SZ397" s="25"/>
      <c r="TA397" s="25"/>
      <c r="TB397" s="25"/>
      <c r="TC397" s="25"/>
      <c r="TD397" s="25"/>
      <c r="TE397" s="25"/>
      <c r="TF397" s="25"/>
      <c r="TG397" s="25"/>
      <c r="TH397" s="25"/>
      <c r="TI397" s="25"/>
      <c r="TJ397" s="25"/>
      <c r="TK397" s="25"/>
      <c r="TL397" s="25"/>
      <c r="TM397" s="25"/>
      <c r="TN397" s="25"/>
      <c r="TO397" s="25"/>
      <c r="TP397" s="25"/>
      <c r="TQ397" s="25"/>
      <c r="TR397" s="25"/>
      <c r="TS397" s="25"/>
      <c r="TT397" s="25"/>
      <c r="TU397" s="25"/>
      <c r="TV397" s="25"/>
      <c r="TW397" s="25"/>
      <c r="TX397" s="25"/>
      <c r="TY397" s="25"/>
      <c r="TZ397" s="25"/>
      <c r="UA397" s="25"/>
      <c r="UB397" s="25"/>
      <c r="UC397" s="25"/>
      <c r="UD397" s="25"/>
      <c r="UE397" s="25"/>
      <c r="UF397" s="25"/>
      <c r="UG397" s="26"/>
    </row>
    <row r="398" spans="1:553" ht="27.75" customHeight="1">
      <c r="A398" s="356" t="s">
        <v>15</v>
      </c>
      <c r="B398" s="366"/>
      <c r="C398" s="1404" t="s">
        <v>16</v>
      </c>
      <c r="D398" s="1389"/>
      <c r="E398" s="1389"/>
      <c r="F398" s="1390"/>
      <c r="G398" s="366"/>
      <c r="H398" s="439"/>
      <c r="I398" s="370"/>
      <c r="J398" s="368"/>
      <c r="K398" s="371"/>
      <c r="L398" s="366"/>
      <c r="M398" s="366"/>
      <c r="N398" s="366"/>
      <c r="O398" s="366"/>
      <c r="P398" s="366"/>
      <c r="Q398" s="1036"/>
      <c r="R398" s="1226"/>
      <c r="S398" s="309"/>
      <c r="T398" s="310"/>
      <c r="U398" s="311"/>
      <c r="V398" s="312"/>
      <c r="W398" s="311"/>
      <c r="X398" s="311"/>
      <c r="Y398" s="311"/>
      <c r="Z398" s="311"/>
      <c r="AA398" s="311"/>
      <c r="AB398" s="311"/>
      <c r="AC398" s="449"/>
      <c r="AD398" s="449"/>
      <c r="AE398" s="449"/>
      <c r="AF398" s="449"/>
      <c r="AG398" s="449"/>
      <c r="AH398" s="449"/>
      <c r="AI398" s="449"/>
      <c r="AJ398" s="449"/>
      <c r="AK398" s="450"/>
      <c r="AL398" s="105"/>
      <c r="AM398" s="30"/>
      <c r="AN398" s="30"/>
      <c r="AO398" s="30"/>
      <c r="AP398" s="30"/>
      <c r="AQ398" s="30"/>
      <c r="AR398" s="30"/>
      <c r="AS398" s="31"/>
      <c r="AT398" s="31"/>
      <c r="AU398" s="31"/>
      <c r="AV398" s="31"/>
      <c r="AW398" s="31"/>
      <c r="AX398" s="31"/>
      <c r="AY398" s="31"/>
      <c r="AZ398" s="31"/>
      <c r="BA398" s="31"/>
      <c r="BB398" s="31"/>
      <c r="BC398" s="31"/>
      <c r="BD398" s="31"/>
      <c r="BE398" s="31"/>
      <c r="BF398" s="31"/>
      <c r="BG398" s="31"/>
      <c r="BH398" s="31"/>
      <c r="BI398" s="31"/>
      <c r="BJ398" s="31"/>
      <c r="BK398" s="31"/>
      <c r="BL398" s="31"/>
      <c r="BM398" s="31"/>
      <c r="BN398" s="31"/>
      <c r="BO398" s="31"/>
      <c r="BP398" s="25"/>
      <c r="BQ398" s="25"/>
      <c r="BR398" s="25"/>
      <c r="BS398" s="25"/>
      <c r="BT398" s="25"/>
      <c r="BU398" s="25"/>
      <c r="BV398" s="25"/>
      <c r="BW398" s="25"/>
      <c r="BX398" s="25"/>
      <c r="BY398" s="25"/>
      <c r="BZ398" s="25"/>
      <c r="CA398" s="25"/>
      <c r="CB398" s="25"/>
      <c r="CC398" s="25"/>
      <c r="CD398" s="25"/>
      <c r="CE398" s="25"/>
      <c r="CF398" s="25"/>
      <c r="CG398" s="25"/>
      <c r="CH398" s="25"/>
      <c r="CI398" s="25"/>
      <c r="CJ398" s="25"/>
      <c r="CK398" s="25"/>
      <c r="CL398" s="25"/>
      <c r="CM398" s="25"/>
      <c r="CN398" s="25"/>
      <c r="CO398" s="25"/>
      <c r="CP398" s="25"/>
      <c r="CQ398" s="25"/>
      <c r="CR398" s="25"/>
      <c r="CS398" s="25"/>
      <c r="CT398" s="25"/>
      <c r="CU398" s="25"/>
      <c r="CV398" s="25"/>
      <c r="CW398" s="25"/>
      <c r="CX398" s="25"/>
      <c r="CY398" s="25"/>
      <c r="CZ398" s="25"/>
      <c r="DA398" s="25"/>
      <c r="DB398" s="25"/>
      <c r="DC398" s="25"/>
      <c r="DD398" s="25"/>
      <c r="DE398" s="25"/>
      <c r="DF398" s="25"/>
      <c r="DG398" s="25"/>
      <c r="DH398" s="25"/>
      <c r="DI398" s="25"/>
      <c r="DJ398" s="25"/>
      <c r="DK398" s="25"/>
      <c r="DL398" s="25"/>
      <c r="DM398" s="25"/>
      <c r="DN398" s="25"/>
      <c r="DO398" s="25"/>
      <c r="DP398" s="25"/>
      <c r="DQ398" s="25"/>
      <c r="DR398" s="25"/>
      <c r="DS398" s="25"/>
      <c r="DT398" s="25"/>
      <c r="DU398" s="25"/>
      <c r="DV398" s="25"/>
      <c r="DW398" s="25"/>
      <c r="DX398" s="25"/>
      <c r="DY398" s="25"/>
      <c r="DZ398" s="25"/>
      <c r="EA398" s="25"/>
      <c r="EB398" s="25"/>
      <c r="EC398" s="25"/>
      <c r="ED398" s="25"/>
      <c r="EE398" s="25"/>
      <c r="EF398" s="25"/>
      <c r="EG398" s="25"/>
      <c r="EH398" s="25"/>
      <c r="EI398" s="25"/>
      <c r="EJ398" s="25"/>
      <c r="EK398" s="25"/>
      <c r="EL398" s="25"/>
      <c r="EM398" s="25"/>
      <c r="EN398" s="25"/>
      <c r="EO398" s="25"/>
      <c r="EP398" s="25"/>
      <c r="EQ398" s="25"/>
      <c r="ER398" s="25"/>
      <c r="ES398" s="25"/>
      <c r="ET398" s="25"/>
      <c r="EU398" s="25"/>
      <c r="EV398" s="25"/>
      <c r="EW398" s="25"/>
      <c r="EX398" s="25"/>
      <c r="EY398" s="25"/>
      <c r="EZ398" s="25"/>
      <c r="FA398" s="25"/>
      <c r="FB398" s="25"/>
      <c r="FC398" s="25"/>
      <c r="FD398" s="25"/>
      <c r="FE398" s="25"/>
      <c r="FF398" s="25"/>
      <c r="FG398" s="25"/>
      <c r="FH398" s="25"/>
      <c r="FI398" s="25"/>
      <c r="FJ398" s="25"/>
      <c r="FK398" s="25"/>
      <c r="FL398" s="25"/>
      <c r="FM398" s="25"/>
      <c r="FN398" s="25"/>
      <c r="FO398" s="25"/>
      <c r="FP398" s="25"/>
      <c r="FQ398" s="25"/>
      <c r="FR398" s="25"/>
      <c r="FS398" s="25"/>
      <c r="FT398" s="25"/>
      <c r="FU398" s="25"/>
      <c r="FV398" s="25"/>
      <c r="FW398" s="25"/>
      <c r="FX398" s="25"/>
      <c r="FY398" s="25"/>
      <c r="FZ398" s="25"/>
      <c r="GA398" s="25"/>
      <c r="GB398" s="25"/>
      <c r="GC398" s="25"/>
      <c r="GD398" s="25"/>
      <c r="GE398" s="25"/>
      <c r="GF398" s="25"/>
      <c r="GG398" s="25"/>
      <c r="GH398" s="25"/>
      <c r="GI398" s="25"/>
      <c r="GJ398" s="25"/>
      <c r="GK398" s="25"/>
      <c r="GL398" s="25"/>
      <c r="GM398" s="25"/>
      <c r="GN398" s="25"/>
      <c r="GO398" s="25"/>
      <c r="GP398" s="25"/>
      <c r="GQ398" s="25"/>
      <c r="GR398" s="25"/>
      <c r="GS398" s="25"/>
      <c r="GT398" s="25"/>
      <c r="GU398" s="25"/>
      <c r="GV398" s="25"/>
      <c r="GW398" s="25"/>
      <c r="GX398" s="25"/>
      <c r="GY398" s="25"/>
      <c r="GZ398" s="25"/>
      <c r="HA398" s="25"/>
      <c r="HB398" s="25"/>
      <c r="HC398" s="25"/>
      <c r="HD398" s="25"/>
      <c r="HE398" s="25"/>
      <c r="HF398" s="25"/>
      <c r="HG398" s="25"/>
      <c r="HH398" s="25"/>
      <c r="HI398" s="25"/>
      <c r="HJ398" s="25"/>
      <c r="HK398" s="25"/>
      <c r="HL398" s="25"/>
      <c r="HM398" s="25"/>
      <c r="HN398" s="25"/>
      <c r="HO398" s="25"/>
      <c r="HP398" s="25"/>
      <c r="HQ398" s="25"/>
      <c r="HR398" s="25"/>
      <c r="HS398" s="25"/>
      <c r="HT398" s="25"/>
      <c r="HU398" s="25"/>
      <c r="HV398" s="25"/>
      <c r="HW398" s="25"/>
      <c r="HX398" s="25"/>
      <c r="HY398" s="25"/>
      <c r="HZ398" s="25"/>
      <c r="IA398" s="25"/>
      <c r="IB398" s="25"/>
      <c r="IC398" s="25"/>
      <c r="ID398" s="25"/>
      <c r="IE398" s="25"/>
      <c r="IF398" s="25"/>
      <c r="IG398" s="25"/>
      <c r="IH398" s="25"/>
      <c r="II398" s="25"/>
      <c r="IJ398" s="25"/>
      <c r="IK398" s="25"/>
      <c r="IL398" s="25"/>
      <c r="IM398" s="25"/>
      <c r="IN398" s="25"/>
      <c r="IO398" s="25"/>
      <c r="IP398" s="25"/>
      <c r="IQ398" s="25"/>
      <c r="IR398" s="25"/>
      <c r="IS398" s="25"/>
      <c r="IT398" s="25"/>
      <c r="IU398" s="25"/>
      <c r="IV398" s="25"/>
      <c r="IW398" s="25"/>
      <c r="IX398" s="25"/>
      <c r="IY398" s="25"/>
      <c r="IZ398" s="25"/>
      <c r="JA398" s="25"/>
      <c r="JB398" s="25"/>
      <c r="JC398" s="25"/>
      <c r="JD398" s="25"/>
      <c r="JE398" s="25"/>
      <c r="JF398" s="25"/>
      <c r="JG398" s="25"/>
      <c r="JH398" s="25"/>
      <c r="JI398" s="25"/>
      <c r="JJ398" s="25"/>
      <c r="JK398" s="25"/>
      <c r="JL398" s="25"/>
      <c r="JM398" s="25"/>
      <c r="JN398" s="25"/>
      <c r="JO398" s="25"/>
      <c r="JP398" s="25"/>
      <c r="JQ398" s="25"/>
      <c r="JR398" s="25"/>
      <c r="JS398" s="25"/>
      <c r="JT398" s="25"/>
      <c r="JU398" s="25"/>
      <c r="JV398" s="25"/>
      <c r="JW398" s="25"/>
      <c r="JX398" s="25"/>
      <c r="JY398" s="25"/>
      <c r="JZ398" s="25"/>
      <c r="KA398" s="25"/>
      <c r="KB398" s="25"/>
      <c r="KC398" s="25"/>
      <c r="KD398" s="25"/>
      <c r="KE398" s="25"/>
      <c r="KF398" s="25"/>
      <c r="KG398" s="25"/>
      <c r="KH398" s="25"/>
      <c r="KI398" s="25"/>
      <c r="KJ398" s="25"/>
      <c r="KK398" s="25"/>
      <c r="KL398" s="25"/>
      <c r="KM398" s="25"/>
      <c r="KN398" s="25"/>
      <c r="KO398" s="25"/>
      <c r="KP398" s="25"/>
      <c r="KQ398" s="25"/>
      <c r="KR398" s="25"/>
      <c r="KS398" s="25"/>
      <c r="KT398" s="25"/>
      <c r="KU398" s="25"/>
      <c r="KV398" s="25"/>
      <c r="KW398" s="25"/>
      <c r="KX398" s="25"/>
      <c r="KY398" s="25"/>
      <c r="KZ398" s="25"/>
      <c r="LA398" s="25"/>
      <c r="LB398" s="25"/>
      <c r="LC398" s="25"/>
      <c r="LD398" s="25"/>
      <c r="LE398" s="25"/>
      <c r="LF398" s="25"/>
      <c r="LG398" s="25"/>
      <c r="LH398" s="25"/>
      <c r="LI398" s="25"/>
      <c r="LJ398" s="25"/>
      <c r="LK398" s="25"/>
      <c r="LL398" s="25"/>
      <c r="LM398" s="25"/>
      <c r="LN398" s="25"/>
      <c r="LO398" s="25"/>
      <c r="LP398" s="25"/>
      <c r="LQ398" s="25"/>
      <c r="LR398" s="25"/>
      <c r="LS398" s="25"/>
      <c r="LT398" s="25"/>
      <c r="LU398" s="25"/>
      <c r="LV398" s="25"/>
      <c r="LW398" s="25"/>
      <c r="LX398" s="25"/>
      <c r="LY398" s="25"/>
      <c r="LZ398" s="25"/>
      <c r="MA398" s="25"/>
      <c r="MB398" s="25"/>
      <c r="MC398" s="25"/>
      <c r="MD398" s="25"/>
      <c r="ME398" s="25"/>
      <c r="MF398" s="25"/>
      <c r="MG398" s="25"/>
      <c r="MH398" s="25"/>
      <c r="MI398" s="25"/>
      <c r="MJ398" s="25"/>
      <c r="MK398" s="25"/>
      <c r="ML398" s="25"/>
      <c r="MM398" s="25"/>
      <c r="MN398" s="25"/>
      <c r="MO398" s="25"/>
      <c r="MP398" s="25"/>
      <c r="MQ398" s="25"/>
      <c r="MR398" s="25"/>
      <c r="MS398" s="25"/>
      <c r="MT398" s="25"/>
      <c r="MU398" s="25"/>
      <c r="MV398" s="25"/>
      <c r="MW398" s="25"/>
      <c r="MX398" s="25"/>
      <c r="MY398" s="25"/>
      <c r="MZ398" s="25"/>
      <c r="NA398" s="25"/>
      <c r="NB398" s="25"/>
      <c r="NC398" s="25"/>
      <c r="ND398" s="25"/>
      <c r="NE398" s="25"/>
      <c r="NF398" s="25"/>
      <c r="NG398" s="25"/>
      <c r="NH398" s="25"/>
      <c r="NI398" s="25"/>
      <c r="NJ398" s="25"/>
      <c r="NK398" s="25"/>
      <c r="NL398" s="25"/>
      <c r="NM398" s="25"/>
      <c r="NN398" s="25"/>
      <c r="NO398" s="25"/>
      <c r="NP398" s="25"/>
      <c r="NQ398" s="25"/>
      <c r="NR398" s="25"/>
      <c r="NS398" s="25"/>
      <c r="NT398" s="25"/>
      <c r="NU398" s="25"/>
      <c r="NV398" s="25"/>
      <c r="NW398" s="25"/>
      <c r="NX398" s="25"/>
      <c r="NY398" s="25"/>
      <c r="NZ398" s="25"/>
      <c r="OA398" s="25"/>
      <c r="OB398" s="25"/>
      <c r="OC398" s="25"/>
      <c r="OD398" s="25"/>
      <c r="OE398" s="25"/>
      <c r="OF398" s="25"/>
      <c r="OG398" s="25"/>
      <c r="OH398" s="25"/>
      <c r="OI398" s="25"/>
      <c r="OJ398" s="25"/>
      <c r="OK398" s="25"/>
      <c r="OL398" s="25"/>
      <c r="OM398" s="25"/>
      <c r="ON398" s="25"/>
      <c r="OO398" s="25"/>
      <c r="OP398" s="25"/>
      <c r="OQ398" s="25"/>
      <c r="OR398" s="25"/>
      <c r="OS398" s="25"/>
      <c r="OT398" s="25"/>
      <c r="OU398" s="25"/>
      <c r="OV398" s="25"/>
      <c r="OW398" s="25"/>
      <c r="OX398" s="25"/>
      <c r="OY398" s="25"/>
      <c r="OZ398" s="25"/>
      <c r="PA398" s="25"/>
      <c r="PB398" s="25"/>
      <c r="PC398" s="25"/>
      <c r="PD398" s="25"/>
      <c r="PE398" s="25"/>
      <c r="PF398" s="25"/>
      <c r="PG398" s="25"/>
      <c r="PH398" s="25"/>
      <c r="PI398" s="25"/>
      <c r="PJ398" s="25"/>
      <c r="PK398" s="25"/>
      <c r="PL398" s="25"/>
      <c r="PM398" s="25"/>
      <c r="PN398" s="25"/>
      <c r="PO398" s="25"/>
      <c r="PP398" s="25"/>
      <c r="PQ398" s="25"/>
      <c r="PR398" s="25"/>
      <c r="PS398" s="25"/>
      <c r="PT398" s="25"/>
      <c r="PU398" s="25"/>
      <c r="PV398" s="25"/>
      <c r="PW398" s="25"/>
      <c r="PX398" s="25"/>
      <c r="PY398" s="25"/>
      <c r="PZ398" s="25"/>
      <c r="QA398" s="25"/>
      <c r="QB398" s="25"/>
      <c r="QC398" s="25"/>
      <c r="QD398" s="25"/>
      <c r="QE398" s="25"/>
      <c r="QF398" s="25"/>
      <c r="QG398" s="25"/>
      <c r="QH398" s="25"/>
      <c r="QI398" s="25"/>
      <c r="QJ398" s="25"/>
      <c r="QK398" s="25"/>
      <c r="QL398" s="25"/>
      <c r="QM398" s="25"/>
      <c r="QN398" s="25"/>
      <c r="QO398" s="25"/>
      <c r="QP398" s="25"/>
      <c r="QQ398" s="25"/>
      <c r="QR398" s="25"/>
      <c r="QS398" s="25"/>
      <c r="QT398" s="25"/>
      <c r="QU398" s="25"/>
      <c r="QV398" s="25"/>
      <c r="QW398" s="25"/>
      <c r="QX398" s="25"/>
      <c r="QY398" s="25"/>
      <c r="QZ398" s="25"/>
      <c r="RA398" s="25"/>
      <c r="RB398" s="25"/>
      <c r="RC398" s="25"/>
      <c r="RD398" s="25"/>
      <c r="RE398" s="25"/>
      <c r="RF398" s="25"/>
      <c r="RG398" s="25"/>
      <c r="RH398" s="25"/>
      <c r="RI398" s="25"/>
      <c r="RJ398" s="25"/>
      <c r="RK398" s="25"/>
      <c r="RL398" s="25"/>
      <c r="RM398" s="25"/>
      <c r="RN398" s="25"/>
      <c r="RO398" s="25"/>
      <c r="RP398" s="25"/>
      <c r="RQ398" s="25"/>
      <c r="RR398" s="25"/>
      <c r="RS398" s="25"/>
      <c r="RT398" s="25"/>
      <c r="RU398" s="25"/>
      <c r="RV398" s="25"/>
      <c r="RW398" s="25"/>
      <c r="RX398" s="25"/>
      <c r="RY398" s="25"/>
      <c r="RZ398" s="25"/>
      <c r="SA398" s="25"/>
      <c r="SB398" s="25"/>
      <c r="SC398" s="25"/>
      <c r="SD398" s="25"/>
      <c r="SE398" s="25"/>
      <c r="SF398" s="25"/>
      <c r="SG398" s="25"/>
      <c r="SH398" s="25"/>
      <c r="SI398" s="25"/>
      <c r="SJ398" s="25"/>
      <c r="SK398" s="25"/>
      <c r="SL398" s="25"/>
      <c r="SM398" s="25"/>
      <c r="SN398" s="25"/>
      <c r="SO398" s="25"/>
      <c r="SP398" s="25"/>
      <c r="SQ398" s="25"/>
      <c r="SR398" s="25"/>
      <c r="SS398" s="25"/>
      <c r="ST398" s="25"/>
      <c r="SU398" s="25"/>
      <c r="SV398" s="25"/>
      <c r="SW398" s="25"/>
      <c r="SX398" s="25"/>
      <c r="SY398" s="25"/>
      <c r="SZ398" s="25"/>
      <c r="TA398" s="25"/>
      <c r="TB398" s="25"/>
      <c r="TC398" s="25"/>
      <c r="TD398" s="25"/>
      <c r="TE398" s="25"/>
      <c r="TF398" s="25"/>
      <c r="TG398" s="25"/>
      <c r="TH398" s="25"/>
      <c r="TI398" s="25"/>
      <c r="TJ398" s="25"/>
      <c r="TK398" s="25"/>
      <c r="TL398" s="25"/>
      <c r="TM398" s="25"/>
      <c r="TN398" s="25"/>
      <c r="TO398" s="25"/>
      <c r="TP398" s="25"/>
      <c r="TQ398" s="25"/>
      <c r="TR398" s="25"/>
      <c r="TS398" s="25"/>
      <c r="TT398" s="25"/>
      <c r="TU398" s="25"/>
      <c r="TV398" s="25"/>
      <c r="TW398" s="25"/>
      <c r="TX398" s="25"/>
      <c r="TY398" s="25"/>
      <c r="TZ398" s="25"/>
      <c r="UA398" s="25"/>
      <c r="UB398" s="25"/>
      <c r="UC398" s="25"/>
      <c r="UD398" s="25"/>
      <c r="UE398" s="25"/>
      <c r="UF398" s="25"/>
      <c r="UG398" s="26"/>
    </row>
    <row r="399" spans="1:553" ht="27.75" customHeight="1">
      <c r="A399" s="356" t="s">
        <v>15</v>
      </c>
      <c r="B399" s="366"/>
      <c r="C399" s="1404" t="s">
        <v>302</v>
      </c>
      <c r="D399" s="1389"/>
      <c r="E399" s="1389"/>
      <c r="F399" s="1390"/>
      <c r="G399" s="366"/>
      <c r="H399" s="370"/>
      <c r="I399" s="370"/>
      <c r="J399" s="368"/>
      <c r="K399" s="371"/>
      <c r="L399" s="366"/>
      <c r="M399" s="366"/>
      <c r="N399" s="366"/>
      <c r="O399" s="366"/>
      <c r="P399" s="366"/>
      <c r="Q399" s="1036"/>
      <c r="R399" s="1226"/>
      <c r="S399" s="308"/>
      <c r="T399" s="303"/>
      <c r="U399" s="306"/>
      <c r="V399" s="307"/>
      <c r="W399" s="306"/>
      <c r="X399" s="306"/>
      <c r="Y399" s="306"/>
      <c r="Z399" s="306"/>
      <c r="AA399" s="306"/>
      <c r="AB399" s="306"/>
      <c r="AC399" s="449"/>
      <c r="AD399" s="449"/>
      <c r="AE399" s="449"/>
      <c r="AF399" s="449"/>
      <c r="AG399" s="449"/>
      <c r="AH399" s="449"/>
      <c r="AI399" s="449"/>
      <c r="AJ399" s="449"/>
      <c r="AK399" s="450"/>
      <c r="AL399" s="105"/>
      <c r="AM399" s="30"/>
      <c r="AN399" s="30"/>
      <c r="AO399" s="30"/>
      <c r="AP399" s="30"/>
      <c r="AQ399" s="30"/>
      <c r="AR399" s="30"/>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25"/>
      <c r="BQ399" s="25"/>
      <c r="BR399" s="25"/>
      <c r="BS399" s="25"/>
      <c r="BT399" s="25"/>
      <c r="BU399" s="25"/>
      <c r="BV399" s="25"/>
      <c r="BW399" s="25"/>
      <c r="BX399" s="25"/>
      <c r="BY399" s="25"/>
      <c r="BZ399" s="25"/>
      <c r="CA399" s="25"/>
      <c r="CB399" s="25"/>
      <c r="CC399" s="25"/>
      <c r="CD399" s="25"/>
      <c r="CE399" s="25"/>
      <c r="CF399" s="25"/>
      <c r="CG399" s="25"/>
      <c r="CH399" s="25"/>
      <c r="CI399" s="25"/>
      <c r="CJ399" s="25"/>
      <c r="CK399" s="25"/>
      <c r="CL399" s="25"/>
      <c r="CM399" s="25"/>
      <c r="CN399" s="25"/>
      <c r="CO399" s="25"/>
      <c r="CP399" s="25"/>
      <c r="CQ399" s="25"/>
      <c r="CR399" s="25"/>
      <c r="CS399" s="25"/>
      <c r="CT399" s="25"/>
      <c r="CU399" s="25"/>
      <c r="CV399" s="25"/>
      <c r="CW399" s="25"/>
      <c r="CX399" s="25"/>
      <c r="CY399" s="25"/>
      <c r="CZ399" s="25"/>
      <c r="DA399" s="25"/>
      <c r="DB399" s="25"/>
      <c r="DC399" s="25"/>
      <c r="DD399" s="25"/>
      <c r="DE399" s="25"/>
      <c r="DF399" s="25"/>
      <c r="DG399" s="25"/>
      <c r="DH399" s="25"/>
      <c r="DI399" s="25"/>
      <c r="DJ399" s="25"/>
      <c r="DK399" s="25"/>
      <c r="DL399" s="25"/>
      <c r="DM399" s="25"/>
      <c r="DN399" s="25"/>
      <c r="DO399" s="25"/>
      <c r="DP399" s="25"/>
      <c r="DQ399" s="25"/>
      <c r="DR399" s="25"/>
      <c r="DS399" s="25"/>
      <c r="DT399" s="25"/>
      <c r="DU399" s="25"/>
      <c r="DV399" s="25"/>
      <c r="DW399" s="25"/>
      <c r="DX399" s="25"/>
      <c r="DY399" s="25"/>
      <c r="DZ399" s="25"/>
      <c r="EA399" s="25"/>
      <c r="EB399" s="25"/>
      <c r="EC399" s="25"/>
      <c r="ED399" s="25"/>
      <c r="EE399" s="25"/>
      <c r="EF399" s="25"/>
      <c r="EG399" s="25"/>
      <c r="EH399" s="25"/>
      <c r="EI399" s="25"/>
      <c r="EJ399" s="25"/>
      <c r="EK399" s="25"/>
      <c r="EL399" s="25"/>
      <c r="EM399" s="25"/>
      <c r="EN399" s="25"/>
      <c r="EO399" s="25"/>
      <c r="EP399" s="25"/>
      <c r="EQ399" s="25"/>
      <c r="ER399" s="25"/>
      <c r="ES399" s="25"/>
      <c r="ET399" s="25"/>
      <c r="EU399" s="25"/>
      <c r="EV399" s="25"/>
      <c r="EW399" s="25"/>
      <c r="EX399" s="25"/>
      <c r="EY399" s="25"/>
      <c r="EZ399" s="25"/>
      <c r="FA399" s="25"/>
      <c r="FB399" s="25"/>
      <c r="FC399" s="25"/>
      <c r="FD399" s="25"/>
      <c r="FE399" s="25"/>
      <c r="FF399" s="25"/>
      <c r="FG399" s="25"/>
      <c r="FH399" s="25"/>
      <c r="FI399" s="25"/>
      <c r="FJ399" s="25"/>
      <c r="FK399" s="25"/>
      <c r="FL399" s="25"/>
      <c r="FM399" s="25"/>
      <c r="FN399" s="25"/>
      <c r="FO399" s="25"/>
      <c r="FP399" s="25"/>
      <c r="FQ399" s="25"/>
      <c r="FR399" s="25"/>
      <c r="FS399" s="25"/>
      <c r="FT399" s="25"/>
      <c r="FU399" s="25"/>
      <c r="FV399" s="25"/>
      <c r="FW399" s="25"/>
      <c r="FX399" s="25"/>
      <c r="FY399" s="25"/>
      <c r="FZ399" s="25"/>
      <c r="GA399" s="25"/>
      <c r="GB399" s="25"/>
      <c r="GC399" s="25"/>
      <c r="GD399" s="25"/>
      <c r="GE399" s="25"/>
      <c r="GF399" s="25"/>
      <c r="GG399" s="25"/>
      <c r="GH399" s="25"/>
      <c r="GI399" s="25"/>
      <c r="GJ399" s="25"/>
      <c r="GK399" s="25"/>
      <c r="GL399" s="25"/>
      <c r="GM399" s="25"/>
      <c r="GN399" s="25"/>
      <c r="GO399" s="25"/>
      <c r="GP399" s="25"/>
      <c r="GQ399" s="25"/>
      <c r="GR399" s="25"/>
      <c r="GS399" s="25"/>
      <c r="GT399" s="25"/>
      <c r="GU399" s="25"/>
      <c r="GV399" s="25"/>
      <c r="GW399" s="25"/>
      <c r="GX399" s="25"/>
      <c r="GY399" s="25"/>
      <c r="GZ399" s="25"/>
      <c r="HA399" s="25"/>
      <c r="HB399" s="25"/>
      <c r="HC399" s="25"/>
      <c r="HD399" s="25"/>
      <c r="HE399" s="25"/>
      <c r="HF399" s="25"/>
      <c r="HG399" s="25"/>
      <c r="HH399" s="25"/>
      <c r="HI399" s="25"/>
      <c r="HJ399" s="25"/>
      <c r="HK399" s="25"/>
      <c r="HL399" s="25"/>
      <c r="HM399" s="25"/>
      <c r="HN399" s="25"/>
      <c r="HO399" s="25"/>
      <c r="HP399" s="25"/>
      <c r="HQ399" s="25"/>
      <c r="HR399" s="25"/>
      <c r="HS399" s="25"/>
      <c r="HT399" s="25"/>
      <c r="HU399" s="25"/>
      <c r="HV399" s="25"/>
      <c r="HW399" s="25"/>
      <c r="HX399" s="25"/>
      <c r="HY399" s="25"/>
      <c r="HZ399" s="25"/>
      <c r="IA399" s="25"/>
      <c r="IB399" s="25"/>
      <c r="IC399" s="25"/>
      <c r="ID399" s="25"/>
      <c r="IE399" s="25"/>
      <c r="IF399" s="25"/>
      <c r="IG399" s="25"/>
      <c r="IH399" s="25"/>
      <c r="II399" s="25"/>
      <c r="IJ399" s="25"/>
      <c r="IK399" s="25"/>
      <c r="IL399" s="25"/>
      <c r="IM399" s="25"/>
      <c r="IN399" s="25"/>
      <c r="IO399" s="25"/>
      <c r="IP399" s="25"/>
      <c r="IQ399" s="25"/>
      <c r="IR399" s="25"/>
      <c r="IS399" s="25"/>
      <c r="IT399" s="25"/>
      <c r="IU399" s="25"/>
      <c r="IV399" s="25"/>
      <c r="IW399" s="25"/>
      <c r="IX399" s="25"/>
      <c r="IY399" s="25"/>
      <c r="IZ399" s="25"/>
      <c r="JA399" s="25"/>
      <c r="JB399" s="25"/>
      <c r="JC399" s="25"/>
      <c r="JD399" s="25"/>
      <c r="JE399" s="25"/>
      <c r="JF399" s="25"/>
      <c r="JG399" s="25"/>
      <c r="JH399" s="25"/>
      <c r="JI399" s="25"/>
      <c r="JJ399" s="25"/>
      <c r="JK399" s="25"/>
      <c r="JL399" s="25"/>
      <c r="JM399" s="25"/>
      <c r="JN399" s="25"/>
      <c r="JO399" s="25"/>
      <c r="JP399" s="25"/>
      <c r="JQ399" s="25"/>
      <c r="JR399" s="25"/>
      <c r="JS399" s="25"/>
      <c r="JT399" s="25"/>
      <c r="JU399" s="25"/>
      <c r="JV399" s="25"/>
      <c r="JW399" s="25"/>
      <c r="JX399" s="25"/>
      <c r="JY399" s="25"/>
      <c r="JZ399" s="25"/>
      <c r="KA399" s="25"/>
      <c r="KB399" s="25"/>
      <c r="KC399" s="25"/>
      <c r="KD399" s="25"/>
      <c r="KE399" s="25"/>
      <c r="KF399" s="25"/>
      <c r="KG399" s="25"/>
      <c r="KH399" s="25"/>
      <c r="KI399" s="25"/>
      <c r="KJ399" s="25"/>
      <c r="KK399" s="25"/>
      <c r="KL399" s="25"/>
      <c r="KM399" s="25"/>
      <c r="KN399" s="25"/>
      <c r="KO399" s="25"/>
      <c r="KP399" s="25"/>
      <c r="KQ399" s="25"/>
      <c r="KR399" s="25"/>
      <c r="KS399" s="25"/>
      <c r="KT399" s="25"/>
      <c r="KU399" s="25"/>
      <c r="KV399" s="25"/>
      <c r="KW399" s="25"/>
      <c r="KX399" s="25"/>
      <c r="KY399" s="25"/>
      <c r="KZ399" s="25"/>
      <c r="LA399" s="25"/>
      <c r="LB399" s="25"/>
      <c r="LC399" s="25"/>
      <c r="LD399" s="25"/>
      <c r="LE399" s="25"/>
      <c r="LF399" s="25"/>
      <c r="LG399" s="25"/>
      <c r="LH399" s="25"/>
      <c r="LI399" s="25"/>
      <c r="LJ399" s="25"/>
      <c r="LK399" s="25"/>
      <c r="LL399" s="25"/>
      <c r="LM399" s="25"/>
      <c r="LN399" s="25"/>
      <c r="LO399" s="25"/>
      <c r="LP399" s="25"/>
      <c r="LQ399" s="25"/>
      <c r="LR399" s="25"/>
      <c r="LS399" s="25"/>
      <c r="LT399" s="25"/>
      <c r="LU399" s="25"/>
      <c r="LV399" s="25"/>
      <c r="LW399" s="25"/>
      <c r="LX399" s="25"/>
      <c r="LY399" s="25"/>
      <c r="LZ399" s="25"/>
      <c r="MA399" s="25"/>
      <c r="MB399" s="25"/>
      <c r="MC399" s="25"/>
      <c r="MD399" s="25"/>
      <c r="ME399" s="25"/>
      <c r="MF399" s="25"/>
      <c r="MG399" s="25"/>
      <c r="MH399" s="25"/>
      <c r="MI399" s="25"/>
      <c r="MJ399" s="25"/>
      <c r="MK399" s="25"/>
      <c r="ML399" s="25"/>
      <c r="MM399" s="25"/>
      <c r="MN399" s="25"/>
      <c r="MO399" s="25"/>
      <c r="MP399" s="25"/>
      <c r="MQ399" s="25"/>
      <c r="MR399" s="25"/>
      <c r="MS399" s="25"/>
      <c r="MT399" s="25"/>
      <c r="MU399" s="25"/>
      <c r="MV399" s="25"/>
      <c r="MW399" s="25"/>
      <c r="MX399" s="25"/>
      <c r="MY399" s="25"/>
      <c r="MZ399" s="25"/>
      <c r="NA399" s="25"/>
      <c r="NB399" s="25"/>
      <c r="NC399" s="25"/>
      <c r="ND399" s="25"/>
      <c r="NE399" s="25"/>
      <c r="NF399" s="25"/>
      <c r="NG399" s="25"/>
      <c r="NH399" s="25"/>
      <c r="NI399" s="25"/>
      <c r="NJ399" s="25"/>
      <c r="NK399" s="25"/>
      <c r="NL399" s="25"/>
      <c r="NM399" s="25"/>
      <c r="NN399" s="25"/>
      <c r="NO399" s="25"/>
      <c r="NP399" s="25"/>
      <c r="NQ399" s="25"/>
      <c r="NR399" s="25"/>
      <c r="NS399" s="25"/>
      <c r="NT399" s="25"/>
      <c r="NU399" s="25"/>
      <c r="NV399" s="25"/>
      <c r="NW399" s="25"/>
      <c r="NX399" s="25"/>
      <c r="NY399" s="25"/>
      <c r="NZ399" s="25"/>
      <c r="OA399" s="25"/>
      <c r="OB399" s="25"/>
      <c r="OC399" s="25"/>
      <c r="OD399" s="25"/>
      <c r="OE399" s="25"/>
      <c r="OF399" s="25"/>
      <c r="OG399" s="25"/>
      <c r="OH399" s="25"/>
      <c r="OI399" s="25"/>
      <c r="OJ399" s="25"/>
      <c r="OK399" s="25"/>
      <c r="OL399" s="25"/>
      <c r="OM399" s="25"/>
      <c r="ON399" s="25"/>
      <c r="OO399" s="25"/>
      <c r="OP399" s="25"/>
      <c r="OQ399" s="25"/>
      <c r="OR399" s="25"/>
      <c r="OS399" s="25"/>
      <c r="OT399" s="25"/>
      <c r="OU399" s="25"/>
      <c r="OV399" s="25"/>
      <c r="OW399" s="25"/>
      <c r="OX399" s="25"/>
      <c r="OY399" s="25"/>
      <c r="OZ399" s="25"/>
      <c r="PA399" s="25"/>
      <c r="PB399" s="25"/>
      <c r="PC399" s="25"/>
      <c r="PD399" s="25"/>
      <c r="PE399" s="25"/>
      <c r="PF399" s="25"/>
      <c r="PG399" s="25"/>
      <c r="PH399" s="25"/>
      <c r="PI399" s="25"/>
      <c r="PJ399" s="25"/>
      <c r="PK399" s="25"/>
      <c r="PL399" s="25"/>
      <c r="PM399" s="25"/>
      <c r="PN399" s="25"/>
      <c r="PO399" s="25"/>
      <c r="PP399" s="25"/>
      <c r="PQ399" s="25"/>
      <c r="PR399" s="25"/>
      <c r="PS399" s="25"/>
      <c r="PT399" s="25"/>
      <c r="PU399" s="25"/>
      <c r="PV399" s="25"/>
      <c r="PW399" s="25"/>
      <c r="PX399" s="25"/>
      <c r="PY399" s="25"/>
      <c r="PZ399" s="25"/>
      <c r="QA399" s="25"/>
      <c r="QB399" s="25"/>
      <c r="QC399" s="25"/>
      <c r="QD399" s="25"/>
      <c r="QE399" s="25"/>
      <c r="QF399" s="25"/>
      <c r="QG399" s="25"/>
      <c r="QH399" s="25"/>
      <c r="QI399" s="25"/>
      <c r="QJ399" s="25"/>
      <c r="QK399" s="25"/>
      <c r="QL399" s="25"/>
      <c r="QM399" s="25"/>
      <c r="QN399" s="25"/>
      <c r="QO399" s="25"/>
      <c r="QP399" s="25"/>
      <c r="QQ399" s="25"/>
      <c r="QR399" s="25"/>
      <c r="QS399" s="25"/>
      <c r="QT399" s="25"/>
      <c r="QU399" s="25"/>
      <c r="QV399" s="25"/>
      <c r="QW399" s="25"/>
      <c r="QX399" s="25"/>
      <c r="QY399" s="25"/>
      <c r="QZ399" s="25"/>
      <c r="RA399" s="25"/>
      <c r="RB399" s="25"/>
      <c r="RC399" s="25"/>
      <c r="RD399" s="25"/>
      <c r="RE399" s="25"/>
      <c r="RF399" s="25"/>
      <c r="RG399" s="25"/>
      <c r="RH399" s="25"/>
      <c r="RI399" s="25"/>
      <c r="RJ399" s="25"/>
      <c r="RK399" s="25"/>
      <c r="RL399" s="25"/>
      <c r="RM399" s="25"/>
      <c r="RN399" s="25"/>
      <c r="RO399" s="25"/>
      <c r="RP399" s="25"/>
      <c r="RQ399" s="25"/>
      <c r="RR399" s="25"/>
      <c r="RS399" s="25"/>
      <c r="RT399" s="25"/>
      <c r="RU399" s="25"/>
      <c r="RV399" s="25"/>
      <c r="RW399" s="25"/>
      <c r="RX399" s="25"/>
      <c r="RY399" s="25"/>
      <c r="RZ399" s="25"/>
      <c r="SA399" s="25"/>
      <c r="SB399" s="25"/>
      <c r="SC399" s="25"/>
      <c r="SD399" s="25"/>
      <c r="SE399" s="25"/>
      <c r="SF399" s="25"/>
      <c r="SG399" s="25"/>
      <c r="SH399" s="25"/>
      <c r="SI399" s="25"/>
      <c r="SJ399" s="25"/>
      <c r="SK399" s="25"/>
      <c r="SL399" s="25"/>
      <c r="SM399" s="25"/>
      <c r="SN399" s="25"/>
      <c r="SO399" s="25"/>
      <c r="SP399" s="25"/>
      <c r="SQ399" s="25"/>
      <c r="SR399" s="25"/>
      <c r="SS399" s="25"/>
      <c r="ST399" s="25"/>
      <c r="SU399" s="25"/>
      <c r="SV399" s="25"/>
      <c r="SW399" s="25"/>
      <c r="SX399" s="25"/>
      <c r="SY399" s="25"/>
      <c r="SZ399" s="25"/>
      <c r="TA399" s="25"/>
      <c r="TB399" s="25"/>
      <c r="TC399" s="25"/>
      <c r="TD399" s="25"/>
      <c r="TE399" s="25"/>
      <c r="TF399" s="25"/>
      <c r="TG399" s="25"/>
      <c r="TH399" s="25"/>
      <c r="TI399" s="25"/>
      <c r="TJ399" s="25"/>
      <c r="TK399" s="25"/>
      <c r="TL399" s="25"/>
      <c r="TM399" s="25"/>
      <c r="TN399" s="25"/>
      <c r="TO399" s="25"/>
      <c r="TP399" s="25"/>
      <c r="TQ399" s="25"/>
      <c r="TR399" s="25"/>
      <c r="TS399" s="25"/>
      <c r="TT399" s="25"/>
      <c r="TU399" s="25"/>
      <c r="TV399" s="25"/>
      <c r="TW399" s="25"/>
      <c r="TX399" s="25"/>
      <c r="TY399" s="25"/>
      <c r="TZ399" s="25"/>
      <c r="UA399" s="25"/>
      <c r="UB399" s="25"/>
      <c r="UC399" s="25"/>
      <c r="UD399" s="25"/>
      <c r="UE399" s="25"/>
      <c r="UF399" s="25"/>
      <c r="UG399" s="26"/>
    </row>
    <row r="400" spans="1:553" ht="27.75" customHeight="1">
      <c r="A400" s="356" t="s">
        <v>17</v>
      </c>
      <c r="B400" s="356"/>
      <c r="C400" s="1404" t="s">
        <v>18</v>
      </c>
      <c r="D400" s="1389"/>
      <c r="E400" s="1389"/>
      <c r="F400" s="1390"/>
      <c r="G400" s="356" t="s">
        <v>1393</v>
      </c>
      <c r="H400" s="359">
        <f t="shared" ref="H400" si="84">SUM(H401:H418)</f>
        <v>5781.4</v>
      </c>
      <c r="I400" s="359">
        <f>SUM(I401:I418)</f>
        <v>4991.3999999999996</v>
      </c>
      <c r="J400" s="368"/>
      <c r="K400" s="371"/>
      <c r="L400" s="440">
        <f>SUM(L401:L418)</f>
        <v>427768800</v>
      </c>
      <c r="M400" s="356"/>
      <c r="N400" s="356"/>
      <c r="O400" s="356"/>
      <c r="P400" s="356">
        <f>L400</f>
        <v>427768800</v>
      </c>
      <c r="Q400" s="1084"/>
      <c r="R400" s="1447" t="s">
        <v>902</v>
      </c>
      <c r="S400" s="308"/>
      <c r="T400" s="303"/>
      <c r="U400" s="306"/>
      <c r="V400" s="307"/>
      <c r="W400" s="306"/>
      <c r="X400" s="306"/>
      <c r="Y400" s="306"/>
      <c r="Z400" s="306"/>
      <c r="AA400" s="306"/>
      <c r="AB400" s="306"/>
      <c r="AC400" s="449"/>
      <c r="AD400" s="449"/>
      <c r="AE400" s="449"/>
      <c r="AF400" s="449"/>
      <c r="AG400" s="449"/>
      <c r="AH400" s="449"/>
      <c r="AI400" s="449"/>
      <c r="AJ400" s="449"/>
      <c r="AK400" s="452"/>
      <c r="AL400" s="104"/>
      <c r="AM400" s="32"/>
      <c r="AN400" s="32"/>
      <c r="AO400" s="30"/>
      <c r="AP400" s="32"/>
      <c r="AQ400" s="32"/>
      <c r="AR400" s="32"/>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25"/>
      <c r="BQ400" s="25"/>
      <c r="BR400" s="25"/>
      <c r="BS400" s="25"/>
      <c r="BT400" s="25"/>
      <c r="BU400" s="25"/>
      <c r="BV400" s="25"/>
      <c r="BW400" s="25"/>
      <c r="BX400" s="25"/>
      <c r="BY400" s="25"/>
      <c r="BZ400" s="25"/>
      <c r="CA400" s="25"/>
      <c r="CB400" s="25"/>
      <c r="CC400" s="25"/>
      <c r="CD400" s="25"/>
      <c r="CE400" s="25"/>
      <c r="CF400" s="25"/>
      <c r="CG400" s="25"/>
      <c r="CH400" s="25"/>
      <c r="CI400" s="25"/>
      <c r="CJ400" s="25"/>
      <c r="CK400" s="25"/>
      <c r="CL400" s="25"/>
      <c r="CM400" s="25"/>
      <c r="CN400" s="25"/>
      <c r="CO400" s="25"/>
      <c r="CP400" s="25"/>
      <c r="CQ400" s="25"/>
      <c r="CR400" s="25"/>
      <c r="CS400" s="25"/>
      <c r="CT400" s="25"/>
      <c r="CU400" s="25"/>
      <c r="CV400" s="25"/>
      <c r="CW400" s="25"/>
      <c r="CX400" s="25"/>
      <c r="CY400" s="25"/>
      <c r="CZ400" s="25"/>
      <c r="DA400" s="25"/>
      <c r="DB400" s="25"/>
      <c r="DC400" s="25"/>
      <c r="DD400" s="25"/>
      <c r="DE400" s="25"/>
      <c r="DF400" s="25"/>
      <c r="DG400" s="25"/>
      <c r="DH400" s="25"/>
      <c r="DI400" s="25"/>
      <c r="DJ400" s="25"/>
      <c r="DK400" s="25"/>
      <c r="DL400" s="25"/>
      <c r="DM400" s="25"/>
      <c r="DN400" s="25"/>
      <c r="DO400" s="25"/>
      <c r="DP400" s="25"/>
      <c r="DQ400" s="25"/>
      <c r="DR400" s="25"/>
      <c r="DS400" s="25"/>
      <c r="DT400" s="25"/>
      <c r="DU400" s="25"/>
      <c r="DV400" s="25"/>
      <c r="DW400" s="25"/>
      <c r="DX400" s="25"/>
      <c r="DY400" s="25"/>
      <c r="DZ400" s="25"/>
      <c r="EA400" s="25"/>
      <c r="EB400" s="25"/>
      <c r="EC400" s="25"/>
      <c r="ED400" s="25"/>
      <c r="EE400" s="25"/>
      <c r="EF400" s="25"/>
      <c r="EG400" s="25"/>
      <c r="EH400" s="25"/>
      <c r="EI400" s="25"/>
      <c r="EJ400" s="25"/>
      <c r="EK400" s="25"/>
      <c r="EL400" s="25"/>
      <c r="EM400" s="25"/>
      <c r="EN400" s="25"/>
      <c r="EO400" s="25"/>
      <c r="EP400" s="25"/>
      <c r="EQ400" s="25"/>
      <c r="ER400" s="25"/>
      <c r="ES400" s="25"/>
      <c r="ET400" s="25"/>
      <c r="EU400" s="25"/>
      <c r="EV400" s="25"/>
      <c r="EW400" s="25"/>
      <c r="EX400" s="25"/>
      <c r="EY400" s="25"/>
      <c r="EZ400" s="25"/>
      <c r="FA400" s="25"/>
      <c r="FB400" s="25"/>
      <c r="FC400" s="25"/>
      <c r="FD400" s="25"/>
      <c r="FE400" s="25"/>
      <c r="FF400" s="25"/>
      <c r="FG400" s="25"/>
      <c r="FH400" s="25"/>
      <c r="FI400" s="25"/>
      <c r="FJ400" s="25"/>
      <c r="FK400" s="25"/>
      <c r="FL400" s="25"/>
      <c r="FM400" s="25"/>
      <c r="FN400" s="25"/>
      <c r="FO400" s="25"/>
      <c r="FP400" s="25"/>
      <c r="FQ400" s="25"/>
      <c r="FR400" s="25"/>
      <c r="FS400" s="25"/>
      <c r="FT400" s="25"/>
      <c r="FU400" s="25"/>
      <c r="FV400" s="25"/>
      <c r="FW400" s="25"/>
      <c r="FX400" s="25"/>
      <c r="FY400" s="25"/>
      <c r="FZ400" s="25"/>
      <c r="GA400" s="25"/>
      <c r="GB400" s="25"/>
      <c r="GC400" s="25"/>
      <c r="GD400" s="25"/>
      <c r="GE400" s="25"/>
      <c r="GF400" s="25"/>
      <c r="GG400" s="25"/>
      <c r="GH400" s="25"/>
      <c r="GI400" s="25"/>
      <c r="GJ400" s="25"/>
      <c r="GK400" s="25"/>
      <c r="GL400" s="25"/>
      <c r="GM400" s="25"/>
      <c r="GN400" s="25"/>
      <c r="GO400" s="25"/>
      <c r="GP400" s="25"/>
      <c r="GQ400" s="25"/>
      <c r="GR400" s="25"/>
      <c r="GS400" s="25"/>
      <c r="GT400" s="25"/>
      <c r="GU400" s="25"/>
      <c r="GV400" s="25"/>
      <c r="GW400" s="25"/>
      <c r="GX400" s="25"/>
      <c r="GY400" s="25"/>
      <c r="GZ400" s="25"/>
      <c r="HA400" s="25"/>
      <c r="HB400" s="25"/>
      <c r="HC400" s="25"/>
      <c r="HD400" s="25"/>
      <c r="HE400" s="25"/>
      <c r="HF400" s="25"/>
      <c r="HG400" s="25"/>
      <c r="HH400" s="25"/>
      <c r="HI400" s="25"/>
      <c r="HJ400" s="25"/>
      <c r="HK400" s="25"/>
      <c r="HL400" s="25"/>
      <c r="HM400" s="25"/>
      <c r="HN400" s="25"/>
      <c r="HO400" s="25"/>
      <c r="HP400" s="25"/>
      <c r="HQ400" s="25"/>
      <c r="HR400" s="25"/>
      <c r="HS400" s="25"/>
      <c r="HT400" s="25"/>
      <c r="HU400" s="25"/>
      <c r="HV400" s="25"/>
      <c r="HW400" s="25"/>
      <c r="HX400" s="25"/>
      <c r="HY400" s="25"/>
      <c r="HZ400" s="25"/>
      <c r="IA400" s="25"/>
      <c r="IB400" s="25"/>
      <c r="IC400" s="25"/>
      <c r="ID400" s="25"/>
      <c r="IE400" s="25"/>
      <c r="IF400" s="25"/>
      <c r="IG400" s="25"/>
      <c r="IH400" s="25"/>
      <c r="II400" s="25"/>
      <c r="IJ400" s="25"/>
      <c r="IK400" s="25"/>
      <c r="IL400" s="25"/>
      <c r="IM400" s="25"/>
      <c r="IN400" s="25"/>
      <c r="IO400" s="25"/>
      <c r="IP400" s="25"/>
      <c r="IQ400" s="25"/>
      <c r="IR400" s="25"/>
      <c r="IS400" s="25"/>
      <c r="IT400" s="25"/>
      <c r="IU400" s="25"/>
      <c r="IV400" s="25"/>
      <c r="IW400" s="25"/>
      <c r="IX400" s="25"/>
      <c r="IY400" s="25"/>
      <c r="IZ400" s="25"/>
      <c r="JA400" s="25"/>
      <c r="JB400" s="25"/>
      <c r="JC400" s="25"/>
      <c r="JD400" s="25"/>
      <c r="JE400" s="25"/>
      <c r="JF400" s="25"/>
      <c r="JG400" s="25"/>
      <c r="JH400" s="25"/>
      <c r="JI400" s="25"/>
      <c r="JJ400" s="25"/>
      <c r="JK400" s="25"/>
      <c r="JL400" s="25"/>
      <c r="JM400" s="25"/>
      <c r="JN400" s="25"/>
      <c r="JO400" s="25"/>
      <c r="JP400" s="25"/>
      <c r="JQ400" s="25"/>
      <c r="JR400" s="25"/>
      <c r="JS400" s="25"/>
      <c r="JT400" s="25"/>
      <c r="JU400" s="25"/>
      <c r="JV400" s="25"/>
      <c r="JW400" s="25"/>
      <c r="JX400" s="25"/>
      <c r="JY400" s="25"/>
      <c r="JZ400" s="25"/>
      <c r="KA400" s="25"/>
      <c r="KB400" s="25"/>
      <c r="KC400" s="25"/>
      <c r="KD400" s="25"/>
      <c r="KE400" s="25"/>
      <c r="KF400" s="25"/>
      <c r="KG400" s="25"/>
      <c r="KH400" s="25"/>
      <c r="KI400" s="25"/>
      <c r="KJ400" s="25"/>
      <c r="KK400" s="25"/>
      <c r="KL400" s="25"/>
      <c r="KM400" s="25"/>
      <c r="KN400" s="25"/>
      <c r="KO400" s="25"/>
      <c r="KP400" s="25"/>
      <c r="KQ400" s="25"/>
      <c r="KR400" s="25"/>
      <c r="KS400" s="25"/>
      <c r="KT400" s="25"/>
      <c r="KU400" s="25"/>
      <c r="KV400" s="25"/>
      <c r="KW400" s="25"/>
      <c r="KX400" s="25"/>
      <c r="KY400" s="25"/>
      <c r="KZ400" s="25"/>
      <c r="LA400" s="25"/>
      <c r="LB400" s="25"/>
      <c r="LC400" s="25"/>
      <c r="LD400" s="25"/>
      <c r="LE400" s="25"/>
      <c r="LF400" s="25"/>
      <c r="LG400" s="25"/>
      <c r="LH400" s="25"/>
      <c r="LI400" s="25"/>
      <c r="LJ400" s="25"/>
      <c r="LK400" s="25"/>
      <c r="LL400" s="25"/>
      <c r="LM400" s="25"/>
      <c r="LN400" s="25"/>
      <c r="LO400" s="25"/>
      <c r="LP400" s="25"/>
      <c r="LQ400" s="25"/>
      <c r="LR400" s="25"/>
      <c r="LS400" s="25"/>
      <c r="LT400" s="25"/>
      <c r="LU400" s="25"/>
      <c r="LV400" s="25"/>
      <c r="LW400" s="25"/>
      <c r="LX400" s="25"/>
      <c r="LY400" s="25"/>
      <c r="LZ400" s="25"/>
      <c r="MA400" s="25"/>
      <c r="MB400" s="25"/>
      <c r="MC400" s="25"/>
      <c r="MD400" s="25"/>
      <c r="ME400" s="25"/>
      <c r="MF400" s="25"/>
      <c r="MG400" s="25"/>
      <c r="MH400" s="25"/>
      <c r="MI400" s="25"/>
      <c r="MJ400" s="25"/>
      <c r="MK400" s="25"/>
      <c r="ML400" s="25"/>
      <c r="MM400" s="25"/>
      <c r="MN400" s="25"/>
      <c r="MO400" s="25"/>
      <c r="MP400" s="25"/>
      <c r="MQ400" s="25"/>
      <c r="MR400" s="25"/>
      <c r="MS400" s="25"/>
      <c r="MT400" s="25"/>
      <c r="MU400" s="25"/>
      <c r="MV400" s="25"/>
      <c r="MW400" s="25"/>
      <c r="MX400" s="25"/>
      <c r="MY400" s="25"/>
      <c r="MZ400" s="25"/>
      <c r="NA400" s="25"/>
      <c r="NB400" s="25"/>
      <c r="NC400" s="25"/>
      <c r="ND400" s="25"/>
      <c r="NE400" s="25"/>
      <c r="NF400" s="25"/>
      <c r="NG400" s="25"/>
      <c r="NH400" s="25"/>
      <c r="NI400" s="25"/>
      <c r="NJ400" s="25"/>
      <c r="NK400" s="25"/>
      <c r="NL400" s="25"/>
      <c r="NM400" s="25"/>
      <c r="NN400" s="25"/>
      <c r="NO400" s="25"/>
      <c r="NP400" s="25"/>
      <c r="NQ400" s="25"/>
      <c r="NR400" s="25"/>
      <c r="NS400" s="25"/>
      <c r="NT400" s="25"/>
      <c r="NU400" s="25"/>
      <c r="NV400" s="25"/>
      <c r="NW400" s="25"/>
      <c r="NX400" s="25"/>
      <c r="NY400" s="25"/>
      <c r="NZ400" s="25"/>
      <c r="OA400" s="25"/>
      <c r="OB400" s="25"/>
      <c r="OC400" s="25"/>
      <c r="OD400" s="25"/>
      <c r="OE400" s="25"/>
      <c r="OF400" s="25"/>
      <c r="OG400" s="25"/>
      <c r="OH400" s="25"/>
      <c r="OI400" s="25"/>
      <c r="OJ400" s="25"/>
      <c r="OK400" s="25"/>
      <c r="OL400" s="25"/>
      <c r="OM400" s="25"/>
      <c r="ON400" s="25"/>
      <c r="OO400" s="25"/>
      <c r="OP400" s="25"/>
      <c r="OQ400" s="25"/>
      <c r="OR400" s="25"/>
      <c r="OS400" s="25"/>
      <c r="OT400" s="25"/>
      <c r="OU400" s="25"/>
      <c r="OV400" s="25"/>
      <c r="OW400" s="25"/>
      <c r="OX400" s="25"/>
      <c r="OY400" s="25"/>
      <c r="OZ400" s="25"/>
      <c r="PA400" s="25"/>
      <c r="PB400" s="25"/>
      <c r="PC400" s="25"/>
      <c r="PD400" s="25"/>
      <c r="PE400" s="25"/>
      <c r="PF400" s="25"/>
      <c r="PG400" s="25"/>
      <c r="PH400" s="25"/>
      <c r="PI400" s="25"/>
      <c r="PJ400" s="25"/>
      <c r="PK400" s="25"/>
      <c r="PL400" s="25"/>
      <c r="PM400" s="25"/>
      <c r="PN400" s="25"/>
      <c r="PO400" s="25"/>
      <c r="PP400" s="25"/>
      <c r="PQ400" s="25"/>
      <c r="PR400" s="25"/>
      <c r="PS400" s="25"/>
      <c r="PT400" s="25"/>
      <c r="PU400" s="25"/>
      <c r="PV400" s="25"/>
      <c r="PW400" s="25"/>
      <c r="PX400" s="25"/>
      <c r="PY400" s="25"/>
      <c r="PZ400" s="25"/>
      <c r="QA400" s="25"/>
      <c r="QB400" s="25"/>
      <c r="QC400" s="25"/>
      <c r="QD400" s="25"/>
      <c r="QE400" s="25"/>
      <c r="QF400" s="25"/>
      <c r="QG400" s="25"/>
      <c r="QH400" s="25"/>
      <c r="QI400" s="25"/>
      <c r="QJ400" s="25"/>
      <c r="QK400" s="25"/>
      <c r="QL400" s="25"/>
      <c r="QM400" s="25"/>
      <c r="QN400" s="25"/>
      <c r="QO400" s="25"/>
      <c r="QP400" s="25"/>
      <c r="QQ400" s="25"/>
      <c r="QR400" s="25"/>
      <c r="QS400" s="25"/>
      <c r="QT400" s="25"/>
      <c r="QU400" s="25"/>
      <c r="QV400" s="25"/>
      <c r="QW400" s="25"/>
      <c r="QX400" s="25"/>
      <c r="QY400" s="25"/>
      <c r="QZ400" s="25"/>
      <c r="RA400" s="25"/>
      <c r="RB400" s="25"/>
      <c r="RC400" s="25"/>
      <c r="RD400" s="25"/>
      <c r="RE400" s="25"/>
      <c r="RF400" s="25"/>
      <c r="RG400" s="25"/>
      <c r="RH400" s="25"/>
      <c r="RI400" s="25"/>
      <c r="RJ400" s="25"/>
      <c r="RK400" s="25"/>
      <c r="RL400" s="25"/>
      <c r="RM400" s="25"/>
      <c r="RN400" s="25"/>
      <c r="RO400" s="25"/>
      <c r="RP400" s="25"/>
      <c r="RQ400" s="25"/>
      <c r="RR400" s="25"/>
      <c r="RS400" s="25"/>
      <c r="RT400" s="25"/>
      <c r="RU400" s="25"/>
      <c r="RV400" s="25"/>
      <c r="RW400" s="25"/>
      <c r="RX400" s="25"/>
      <c r="RY400" s="25"/>
      <c r="RZ400" s="25"/>
      <c r="SA400" s="25"/>
      <c r="SB400" s="25"/>
      <c r="SC400" s="25"/>
      <c r="SD400" s="25"/>
      <c r="SE400" s="25"/>
      <c r="SF400" s="25"/>
      <c r="SG400" s="25"/>
      <c r="SH400" s="25"/>
      <c r="SI400" s="25"/>
      <c r="SJ400" s="25"/>
      <c r="SK400" s="25"/>
      <c r="SL400" s="25"/>
      <c r="SM400" s="25"/>
      <c r="SN400" s="25"/>
      <c r="SO400" s="25"/>
      <c r="SP400" s="25"/>
      <c r="SQ400" s="25"/>
      <c r="SR400" s="25"/>
      <c r="SS400" s="25"/>
      <c r="ST400" s="25"/>
      <c r="SU400" s="25"/>
      <c r="SV400" s="25"/>
      <c r="SW400" s="25"/>
      <c r="SX400" s="25"/>
      <c r="SY400" s="25"/>
      <c r="SZ400" s="25"/>
      <c r="TA400" s="25"/>
      <c r="TB400" s="25"/>
      <c r="TC400" s="25"/>
      <c r="TD400" s="25"/>
      <c r="TE400" s="25"/>
      <c r="TF400" s="25"/>
      <c r="TG400" s="25"/>
      <c r="TH400" s="25"/>
      <c r="TI400" s="25"/>
      <c r="TJ400" s="25"/>
      <c r="TK400" s="25"/>
      <c r="TL400" s="25"/>
      <c r="TM400" s="25"/>
      <c r="TN400" s="25"/>
      <c r="TO400" s="25"/>
      <c r="TP400" s="25"/>
      <c r="TQ400" s="25"/>
      <c r="TR400" s="25"/>
      <c r="TS400" s="25"/>
      <c r="TT400" s="25"/>
      <c r="TU400" s="25"/>
      <c r="TV400" s="25"/>
      <c r="TW400" s="25"/>
      <c r="TX400" s="25"/>
      <c r="TY400" s="25"/>
      <c r="TZ400" s="25"/>
      <c r="UA400" s="25"/>
      <c r="UB400" s="25"/>
      <c r="UC400" s="25"/>
      <c r="UD400" s="25"/>
      <c r="UE400" s="25"/>
      <c r="UF400" s="25"/>
      <c r="UG400" s="26"/>
    </row>
    <row r="401" spans="1:553" ht="99.75" customHeight="1">
      <c r="A401" s="356" t="s">
        <v>15</v>
      </c>
      <c r="B401" s="385"/>
      <c r="C401" s="384" t="s">
        <v>19</v>
      </c>
      <c r="D401" s="1432" t="s">
        <v>20</v>
      </c>
      <c r="E401" s="1468">
        <v>448</v>
      </c>
      <c r="F401" s="1435">
        <v>1</v>
      </c>
      <c r="G401" s="1469" t="s">
        <v>935</v>
      </c>
      <c r="H401" s="1470">
        <v>737</v>
      </c>
      <c r="I401" s="441">
        <v>400</v>
      </c>
      <c r="J401" s="368">
        <v>390000</v>
      </c>
      <c r="K401" s="371"/>
      <c r="L401" s="391">
        <f t="shared" ref="L401:L402" si="85">ROUND(PRODUCT(I401:K401),0)</f>
        <v>156000000</v>
      </c>
      <c r="M401" s="392"/>
      <c r="N401" s="392"/>
      <c r="O401" s="366"/>
      <c r="P401" s="366"/>
      <c r="Q401" s="1415" t="s">
        <v>303</v>
      </c>
      <c r="R401" s="1452"/>
      <c r="S401" s="302"/>
      <c r="T401" s="303"/>
      <c r="U401" s="304"/>
      <c r="V401" s="304"/>
      <c r="W401" s="304"/>
      <c r="X401" s="304"/>
      <c r="Y401" s="304"/>
      <c r="Z401" s="304"/>
      <c r="AA401" s="304"/>
      <c r="AB401" s="304"/>
      <c r="AC401" s="449">
        <f>I401</f>
        <v>400</v>
      </c>
      <c r="AD401" s="449"/>
      <c r="AE401" s="449"/>
      <c r="AF401" s="449"/>
      <c r="AG401" s="449"/>
      <c r="AH401" s="449"/>
      <c r="AI401" s="449"/>
      <c r="AJ401" s="449"/>
      <c r="AK401" s="452"/>
      <c r="AL401" s="104"/>
      <c r="AM401" s="32"/>
      <c r="AN401" s="32"/>
      <c r="AO401" s="32"/>
      <c r="AP401" s="32"/>
      <c r="AQ401" s="32"/>
      <c r="AR401" s="32"/>
      <c r="AS401" s="31"/>
      <c r="AT401" s="22"/>
      <c r="AU401" s="22"/>
      <c r="AV401" s="22"/>
      <c r="AW401" s="22"/>
      <c r="AX401" s="22"/>
      <c r="AY401" s="22"/>
      <c r="AZ401" s="22"/>
      <c r="BA401" s="22"/>
      <c r="BB401" s="22"/>
      <c r="BC401" s="22"/>
      <c r="BD401" s="22"/>
      <c r="BE401" s="22"/>
      <c r="BF401" s="22"/>
      <c r="BG401" s="22"/>
      <c r="BH401" s="22"/>
      <c r="BI401" s="22"/>
      <c r="BJ401" s="22"/>
      <c r="BK401" s="22"/>
      <c r="BL401" s="22"/>
      <c r="BM401" s="22"/>
      <c r="BN401" s="22"/>
      <c r="BO401" s="22"/>
      <c r="BP401" s="25"/>
      <c r="BQ401" s="25"/>
      <c r="BR401" s="25"/>
      <c r="BS401" s="25"/>
      <c r="BT401" s="25"/>
      <c r="BU401" s="25"/>
      <c r="BV401" s="25"/>
      <c r="BW401" s="25"/>
      <c r="BX401" s="25"/>
      <c r="BY401" s="25"/>
      <c r="BZ401" s="25"/>
      <c r="CA401" s="25"/>
      <c r="CB401" s="25"/>
      <c r="CC401" s="25"/>
      <c r="CD401" s="25"/>
      <c r="CE401" s="25"/>
      <c r="CF401" s="25"/>
      <c r="CG401" s="25"/>
      <c r="CH401" s="25"/>
      <c r="CI401" s="25"/>
      <c r="CJ401" s="25"/>
      <c r="CK401" s="25"/>
      <c r="CL401" s="25"/>
      <c r="CM401" s="25"/>
      <c r="CN401" s="25"/>
      <c r="CO401" s="25"/>
      <c r="CP401" s="25"/>
      <c r="CQ401" s="25"/>
      <c r="CR401" s="25"/>
      <c r="CS401" s="25"/>
      <c r="CT401" s="25"/>
      <c r="CU401" s="25"/>
      <c r="CV401" s="25"/>
      <c r="CW401" s="25"/>
      <c r="CX401" s="25"/>
      <c r="CY401" s="25"/>
      <c r="CZ401" s="25"/>
      <c r="DA401" s="25"/>
      <c r="DB401" s="25"/>
      <c r="DC401" s="25"/>
      <c r="DD401" s="25"/>
      <c r="DE401" s="25"/>
      <c r="DF401" s="25"/>
      <c r="DG401" s="25"/>
      <c r="DH401" s="25"/>
      <c r="DI401" s="25"/>
      <c r="DJ401" s="25"/>
      <c r="DK401" s="25"/>
      <c r="DL401" s="25"/>
      <c r="DM401" s="25"/>
      <c r="DN401" s="25"/>
      <c r="DO401" s="25"/>
      <c r="DP401" s="25"/>
      <c r="DQ401" s="25"/>
      <c r="DR401" s="25"/>
      <c r="DS401" s="25"/>
      <c r="DT401" s="25"/>
      <c r="DU401" s="25"/>
      <c r="DV401" s="25"/>
      <c r="DW401" s="25"/>
      <c r="DX401" s="25"/>
      <c r="DY401" s="25"/>
      <c r="DZ401" s="25"/>
      <c r="EA401" s="25"/>
      <c r="EB401" s="25"/>
      <c r="EC401" s="25"/>
      <c r="ED401" s="25"/>
      <c r="EE401" s="25"/>
      <c r="EF401" s="25"/>
      <c r="EG401" s="25"/>
      <c r="EH401" s="25"/>
      <c r="EI401" s="25"/>
      <c r="EJ401" s="25"/>
      <c r="EK401" s="25"/>
      <c r="EL401" s="25"/>
      <c r="EM401" s="25"/>
      <c r="EN401" s="25"/>
      <c r="EO401" s="25"/>
      <c r="EP401" s="25"/>
      <c r="EQ401" s="25"/>
      <c r="ER401" s="25"/>
      <c r="ES401" s="25"/>
      <c r="ET401" s="25"/>
      <c r="EU401" s="25"/>
      <c r="EV401" s="25"/>
      <c r="EW401" s="25"/>
      <c r="EX401" s="25"/>
      <c r="EY401" s="25"/>
      <c r="EZ401" s="25"/>
      <c r="FA401" s="25"/>
      <c r="FB401" s="25"/>
      <c r="FC401" s="25"/>
      <c r="FD401" s="25"/>
      <c r="FE401" s="25"/>
      <c r="FF401" s="25"/>
      <c r="FG401" s="25"/>
      <c r="FH401" s="25"/>
      <c r="FI401" s="25"/>
      <c r="FJ401" s="25"/>
      <c r="FK401" s="25"/>
      <c r="FL401" s="25"/>
      <c r="FM401" s="25"/>
      <c r="FN401" s="25"/>
      <c r="FO401" s="25"/>
      <c r="FP401" s="25"/>
      <c r="FQ401" s="25"/>
      <c r="FR401" s="25"/>
      <c r="FS401" s="25"/>
      <c r="FT401" s="25"/>
      <c r="FU401" s="25"/>
      <c r="FV401" s="25"/>
      <c r="FW401" s="25"/>
      <c r="FX401" s="25"/>
      <c r="FY401" s="25"/>
      <c r="FZ401" s="25"/>
      <c r="GA401" s="25"/>
      <c r="GB401" s="25"/>
      <c r="GC401" s="25"/>
      <c r="GD401" s="25"/>
      <c r="GE401" s="25"/>
      <c r="GF401" s="25"/>
      <c r="GG401" s="25"/>
      <c r="GH401" s="25"/>
      <c r="GI401" s="25"/>
      <c r="GJ401" s="25"/>
      <c r="GK401" s="25"/>
      <c r="GL401" s="25"/>
      <c r="GM401" s="25"/>
      <c r="GN401" s="25"/>
      <c r="GO401" s="25"/>
      <c r="GP401" s="25"/>
      <c r="GQ401" s="25"/>
      <c r="GR401" s="25"/>
      <c r="GS401" s="25"/>
      <c r="GT401" s="25"/>
      <c r="GU401" s="25"/>
      <c r="GV401" s="25"/>
      <c r="GW401" s="25"/>
      <c r="GX401" s="25"/>
      <c r="GY401" s="25"/>
      <c r="GZ401" s="25"/>
      <c r="HA401" s="25"/>
      <c r="HB401" s="25"/>
      <c r="HC401" s="25"/>
      <c r="HD401" s="25"/>
      <c r="HE401" s="25"/>
      <c r="HF401" s="25"/>
      <c r="HG401" s="25"/>
      <c r="HH401" s="25"/>
      <c r="HI401" s="25"/>
      <c r="HJ401" s="25"/>
      <c r="HK401" s="25"/>
      <c r="HL401" s="25"/>
      <c r="HM401" s="25"/>
      <c r="HN401" s="25"/>
      <c r="HO401" s="25"/>
      <c r="HP401" s="25"/>
      <c r="HQ401" s="25"/>
      <c r="HR401" s="25"/>
      <c r="HS401" s="25"/>
      <c r="HT401" s="25"/>
      <c r="HU401" s="25"/>
      <c r="HV401" s="25"/>
      <c r="HW401" s="25"/>
      <c r="HX401" s="25"/>
      <c r="HY401" s="25"/>
      <c r="HZ401" s="25"/>
      <c r="IA401" s="25"/>
      <c r="IB401" s="25"/>
      <c r="IC401" s="25"/>
      <c r="ID401" s="25"/>
      <c r="IE401" s="25"/>
      <c r="IF401" s="25"/>
      <c r="IG401" s="25"/>
      <c r="IH401" s="25"/>
      <c r="II401" s="25"/>
      <c r="IJ401" s="25"/>
      <c r="IK401" s="25"/>
      <c r="IL401" s="25"/>
      <c r="IM401" s="25"/>
      <c r="IN401" s="25"/>
      <c r="IO401" s="25"/>
      <c r="IP401" s="25"/>
      <c r="IQ401" s="25"/>
      <c r="IR401" s="25"/>
      <c r="IS401" s="25"/>
      <c r="IT401" s="25"/>
      <c r="IU401" s="25"/>
      <c r="IV401" s="25"/>
      <c r="IW401" s="25"/>
      <c r="IX401" s="25"/>
      <c r="IY401" s="25"/>
      <c r="IZ401" s="25"/>
      <c r="JA401" s="25"/>
      <c r="JB401" s="25"/>
      <c r="JC401" s="25"/>
      <c r="JD401" s="25"/>
      <c r="JE401" s="25"/>
      <c r="JF401" s="25"/>
      <c r="JG401" s="25"/>
      <c r="JH401" s="25"/>
      <c r="JI401" s="25"/>
      <c r="JJ401" s="25"/>
      <c r="JK401" s="25"/>
      <c r="JL401" s="25"/>
      <c r="JM401" s="25"/>
      <c r="JN401" s="25"/>
      <c r="JO401" s="25"/>
      <c r="JP401" s="25"/>
      <c r="JQ401" s="25"/>
      <c r="JR401" s="25"/>
      <c r="JS401" s="25"/>
      <c r="JT401" s="25"/>
      <c r="JU401" s="25"/>
      <c r="JV401" s="25"/>
      <c r="JW401" s="25"/>
      <c r="JX401" s="25"/>
      <c r="JY401" s="25"/>
      <c r="JZ401" s="25"/>
      <c r="KA401" s="25"/>
      <c r="KB401" s="25"/>
      <c r="KC401" s="25"/>
      <c r="KD401" s="25"/>
      <c r="KE401" s="25"/>
      <c r="KF401" s="25"/>
      <c r="KG401" s="25"/>
      <c r="KH401" s="25"/>
      <c r="KI401" s="25"/>
      <c r="KJ401" s="25"/>
      <c r="KK401" s="25"/>
      <c r="KL401" s="25"/>
      <c r="KM401" s="25"/>
      <c r="KN401" s="25"/>
      <c r="KO401" s="25"/>
      <c r="KP401" s="25"/>
      <c r="KQ401" s="25"/>
      <c r="KR401" s="25"/>
      <c r="KS401" s="25"/>
      <c r="KT401" s="25"/>
      <c r="KU401" s="25"/>
      <c r="KV401" s="25"/>
      <c r="KW401" s="25"/>
      <c r="KX401" s="25"/>
      <c r="KY401" s="25"/>
      <c r="KZ401" s="25"/>
      <c r="LA401" s="25"/>
      <c r="LB401" s="25"/>
      <c r="LC401" s="25"/>
      <c r="LD401" s="25"/>
      <c r="LE401" s="25"/>
      <c r="LF401" s="25"/>
      <c r="LG401" s="25"/>
      <c r="LH401" s="25"/>
      <c r="LI401" s="25"/>
      <c r="LJ401" s="25"/>
      <c r="LK401" s="25"/>
      <c r="LL401" s="25"/>
      <c r="LM401" s="25"/>
      <c r="LN401" s="25"/>
      <c r="LO401" s="25"/>
      <c r="LP401" s="25"/>
      <c r="LQ401" s="25"/>
      <c r="LR401" s="25"/>
      <c r="LS401" s="25"/>
      <c r="LT401" s="25"/>
      <c r="LU401" s="25"/>
      <c r="LV401" s="25"/>
      <c r="LW401" s="25"/>
      <c r="LX401" s="25"/>
      <c r="LY401" s="25"/>
      <c r="LZ401" s="25"/>
      <c r="MA401" s="25"/>
      <c r="MB401" s="25"/>
      <c r="MC401" s="25"/>
      <c r="MD401" s="25"/>
      <c r="ME401" s="25"/>
      <c r="MF401" s="25"/>
      <c r="MG401" s="25"/>
      <c r="MH401" s="25"/>
      <c r="MI401" s="25"/>
      <c r="MJ401" s="25"/>
      <c r="MK401" s="25"/>
      <c r="ML401" s="25"/>
      <c r="MM401" s="25"/>
      <c r="MN401" s="25"/>
      <c r="MO401" s="25"/>
      <c r="MP401" s="25"/>
      <c r="MQ401" s="25"/>
      <c r="MR401" s="25"/>
      <c r="MS401" s="25"/>
      <c r="MT401" s="25"/>
      <c r="MU401" s="25"/>
      <c r="MV401" s="25"/>
      <c r="MW401" s="25"/>
      <c r="MX401" s="25"/>
      <c r="MY401" s="25"/>
      <c r="MZ401" s="25"/>
      <c r="NA401" s="25"/>
      <c r="NB401" s="25"/>
      <c r="NC401" s="25"/>
      <c r="ND401" s="25"/>
      <c r="NE401" s="25"/>
      <c r="NF401" s="25"/>
      <c r="NG401" s="25"/>
      <c r="NH401" s="25"/>
      <c r="NI401" s="25"/>
      <c r="NJ401" s="25"/>
      <c r="NK401" s="25"/>
      <c r="NL401" s="25"/>
      <c r="NM401" s="25"/>
      <c r="NN401" s="25"/>
      <c r="NO401" s="25"/>
      <c r="NP401" s="25"/>
      <c r="NQ401" s="25"/>
      <c r="NR401" s="25"/>
      <c r="NS401" s="25"/>
      <c r="NT401" s="25"/>
      <c r="NU401" s="25"/>
      <c r="NV401" s="25"/>
      <c r="NW401" s="25"/>
      <c r="NX401" s="25"/>
      <c r="NY401" s="25"/>
      <c r="NZ401" s="25"/>
      <c r="OA401" s="25"/>
      <c r="OB401" s="25"/>
      <c r="OC401" s="25"/>
      <c r="OD401" s="25"/>
      <c r="OE401" s="25"/>
      <c r="OF401" s="25"/>
      <c r="OG401" s="25"/>
      <c r="OH401" s="25"/>
      <c r="OI401" s="25"/>
      <c r="OJ401" s="25"/>
      <c r="OK401" s="25"/>
      <c r="OL401" s="25"/>
      <c r="OM401" s="25"/>
      <c r="ON401" s="25"/>
      <c r="OO401" s="25"/>
      <c r="OP401" s="25"/>
      <c r="OQ401" s="25"/>
      <c r="OR401" s="25"/>
      <c r="OS401" s="25"/>
      <c r="OT401" s="25"/>
      <c r="OU401" s="25"/>
      <c r="OV401" s="25"/>
      <c r="OW401" s="25"/>
      <c r="OX401" s="25"/>
      <c r="OY401" s="25"/>
      <c r="OZ401" s="25"/>
      <c r="PA401" s="25"/>
      <c r="PB401" s="25"/>
      <c r="PC401" s="25"/>
      <c r="PD401" s="25"/>
      <c r="PE401" s="25"/>
      <c r="PF401" s="25"/>
      <c r="PG401" s="25"/>
      <c r="PH401" s="25"/>
      <c r="PI401" s="25"/>
      <c r="PJ401" s="25"/>
      <c r="PK401" s="25"/>
      <c r="PL401" s="25"/>
      <c r="PM401" s="25"/>
      <c r="PN401" s="25"/>
      <c r="PO401" s="25"/>
      <c r="PP401" s="25"/>
      <c r="PQ401" s="25"/>
      <c r="PR401" s="25"/>
      <c r="PS401" s="25"/>
      <c r="PT401" s="25"/>
      <c r="PU401" s="25"/>
      <c r="PV401" s="25"/>
      <c r="PW401" s="25"/>
      <c r="PX401" s="25"/>
      <c r="PY401" s="25"/>
      <c r="PZ401" s="25"/>
      <c r="QA401" s="25"/>
      <c r="QB401" s="25"/>
      <c r="QC401" s="25"/>
      <c r="QD401" s="25"/>
      <c r="QE401" s="25"/>
      <c r="QF401" s="25"/>
      <c r="QG401" s="25"/>
      <c r="QH401" s="25"/>
      <c r="QI401" s="25"/>
      <c r="QJ401" s="25"/>
      <c r="QK401" s="25"/>
      <c r="QL401" s="25"/>
      <c r="QM401" s="25"/>
      <c r="QN401" s="25"/>
      <c r="QO401" s="25"/>
      <c r="QP401" s="25"/>
      <c r="QQ401" s="25"/>
      <c r="QR401" s="25"/>
      <c r="QS401" s="25"/>
      <c r="QT401" s="25"/>
      <c r="QU401" s="25"/>
      <c r="QV401" s="25"/>
      <c r="QW401" s="25"/>
      <c r="QX401" s="25"/>
      <c r="QY401" s="25"/>
      <c r="QZ401" s="25"/>
      <c r="RA401" s="25"/>
      <c r="RB401" s="25"/>
      <c r="RC401" s="25"/>
      <c r="RD401" s="25"/>
      <c r="RE401" s="25"/>
      <c r="RF401" s="25"/>
      <c r="RG401" s="25"/>
      <c r="RH401" s="25"/>
      <c r="RI401" s="25"/>
      <c r="RJ401" s="25"/>
      <c r="RK401" s="25"/>
      <c r="RL401" s="25"/>
      <c r="RM401" s="25"/>
      <c r="RN401" s="25"/>
      <c r="RO401" s="25"/>
      <c r="RP401" s="25"/>
      <c r="RQ401" s="25"/>
      <c r="RR401" s="25"/>
      <c r="RS401" s="25"/>
      <c r="RT401" s="25"/>
      <c r="RU401" s="25"/>
      <c r="RV401" s="25"/>
      <c r="RW401" s="25"/>
      <c r="RX401" s="25"/>
      <c r="RY401" s="25"/>
      <c r="RZ401" s="25"/>
      <c r="SA401" s="25"/>
      <c r="SB401" s="25"/>
      <c r="SC401" s="25"/>
      <c r="SD401" s="25"/>
      <c r="SE401" s="25"/>
      <c r="SF401" s="25"/>
      <c r="SG401" s="25"/>
      <c r="SH401" s="25"/>
      <c r="SI401" s="25"/>
      <c r="SJ401" s="25"/>
      <c r="SK401" s="25"/>
      <c r="SL401" s="25"/>
      <c r="SM401" s="25"/>
      <c r="SN401" s="25"/>
      <c r="SO401" s="25"/>
      <c r="SP401" s="25"/>
      <c r="SQ401" s="25"/>
      <c r="SR401" s="25"/>
      <c r="SS401" s="25"/>
      <c r="ST401" s="25"/>
      <c r="SU401" s="25"/>
      <c r="SV401" s="25"/>
      <c r="SW401" s="25"/>
      <c r="SX401" s="25"/>
      <c r="SY401" s="25"/>
      <c r="SZ401" s="25"/>
      <c r="TA401" s="25"/>
      <c r="TB401" s="25"/>
      <c r="TC401" s="25"/>
      <c r="TD401" s="25"/>
      <c r="TE401" s="25"/>
      <c r="TF401" s="25"/>
      <c r="TG401" s="25"/>
      <c r="TH401" s="25"/>
      <c r="TI401" s="25"/>
      <c r="TJ401" s="25"/>
      <c r="TK401" s="25"/>
      <c r="TL401" s="25"/>
      <c r="TM401" s="25"/>
      <c r="TN401" s="25"/>
      <c r="TO401" s="25"/>
      <c r="TP401" s="25"/>
      <c r="TQ401" s="25"/>
      <c r="TR401" s="25"/>
      <c r="TS401" s="25"/>
      <c r="TT401" s="25"/>
      <c r="TU401" s="25"/>
      <c r="TV401" s="25"/>
      <c r="TW401" s="25"/>
      <c r="TX401" s="25"/>
      <c r="TY401" s="25"/>
      <c r="TZ401" s="25"/>
      <c r="UA401" s="25"/>
      <c r="UB401" s="25"/>
      <c r="UC401" s="25"/>
      <c r="UD401" s="25"/>
      <c r="UE401" s="25"/>
      <c r="UF401" s="25"/>
      <c r="UG401" s="26"/>
    </row>
    <row r="402" spans="1:553" s="169" customFormat="1" ht="99.75" customHeight="1">
      <c r="A402" s="356" t="s">
        <v>15</v>
      </c>
      <c r="B402" s="385"/>
      <c r="C402" s="384" t="s">
        <v>22</v>
      </c>
      <c r="D402" s="1433"/>
      <c r="E402" s="1434"/>
      <c r="F402" s="1433"/>
      <c r="G402" s="1434"/>
      <c r="H402" s="1433"/>
      <c r="I402" s="441">
        <f>H401-I401</f>
        <v>337</v>
      </c>
      <c r="J402" s="368">
        <v>60000</v>
      </c>
      <c r="K402" s="371"/>
      <c r="L402" s="391">
        <f t="shared" si="85"/>
        <v>20220000</v>
      </c>
      <c r="M402" s="392"/>
      <c r="N402" s="392"/>
      <c r="O402" s="366"/>
      <c r="P402" s="366"/>
      <c r="Q402" s="1416"/>
      <c r="R402" s="1452"/>
      <c r="S402" s="305"/>
      <c r="T402" s="303"/>
      <c r="U402" s="306"/>
      <c r="V402" s="307"/>
      <c r="W402" s="306"/>
      <c r="X402" s="306"/>
      <c r="Y402" s="306"/>
      <c r="Z402" s="306"/>
      <c r="AA402" s="306"/>
      <c r="AB402" s="306">
        <f>I402</f>
        <v>337</v>
      </c>
      <c r="AC402" s="449"/>
      <c r="AD402" s="449"/>
      <c r="AE402" s="449"/>
      <c r="AF402" s="449"/>
      <c r="AG402" s="449"/>
      <c r="AH402" s="449"/>
      <c r="AI402" s="449"/>
      <c r="AJ402" s="449"/>
      <c r="AK402" s="452"/>
      <c r="AL402" s="869"/>
      <c r="AM402" s="870"/>
      <c r="AN402" s="870"/>
      <c r="AO402" s="870"/>
      <c r="AP402" s="870"/>
      <c r="AQ402" s="870"/>
      <c r="AR402" s="870"/>
      <c r="AS402" s="165"/>
      <c r="AT402" s="166"/>
      <c r="AU402" s="166"/>
      <c r="AV402" s="166"/>
      <c r="AW402" s="166"/>
      <c r="AX402" s="166"/>
      <c r="AY402" s="166"/>
      <c r="AZ402" s="166"/>
      <c r="BA402" s="166"/>
      <c r="BB402" s="166"/>
      <c r="BC402" s="166"/>
      <c r="BD402" s="166"/>
      <c r="BE402" s="166"/>
      <c r="BF402" s="166"/>
      <c r="BG402" s="166"/>
      <c r="BH402" s="166"/>
      <c r="BI402" s="166"/>
      <c r="BJ402" s="166"/>
      <c r="BK402" s="166"/>
      <c r="BL402" s="166"/>
      <c r="BM402" s="166"/>
      <c r="BN402" s="166"/>
      <c r="BO402" s="166"/>
      <c r="BP402" s="167"/>
      <c r="BQ402" s="167"/>
      <c r="BR402" s="167"/>
      <c r="BS402" s="167"/>
      <c r="BT402" s="167"/>
      <c r="BU402" s="167"/>
      <c r="BV402" s="167"/>
      <c r="BW402" s="167"/>
      <c r="BX402" s="167"/>
      <c r="BY402" s="167"/>
      <c r="BZ402" s="167"/>
      <c r="CA402" s="167"/>
      <c r="CB402" s="167"/>
      <c r="CC402" s="167"/>
      <c r="CD402" s="167"/>
      <c r="CE402" s="167"/>
      <c r="CF402" s="167"/>
      <c r="CG402" s="167"/>
      <c r="CH402" s="167"/>
      <c r="CI402" s="167"/>
      <c r="CJ402" s="167"/>
      <c r="CK402" s="167"/>
      <c r="CL402" s="167"/>
      <c r="CM402" s="167"/>
      <c r="CN402" s="167"/>
      <c r="CO402" s="167"/>
      <c r="CP402" s="167"/>
      <c r="CQ402" s="167"/>
      <c r="CR402" s="167"/>
      <c r="CS402" s="167"/>
      <c r="CT402" s="167"/>
      <c r="CU402" s="167"/>
      <c r="CV402" s="167"/>
      <c r="CW402" s="167"/>
      <c r="CX402" s="167"/>
      <c r="CY402" s="167"/>
      <c r="CZ402" s="167"/>
      <c r="DA402" s="167"/>
      <c r="DB402" s="167"/>
      <c r="DC402" s="167"/>
      <c r="DD402" s="167"/>
      <c r="DE402" s="167"/>
      <c r="DF402" s="167"/>
      <c r="DG402" s="167"/>
      <c r="DH402" s="167"/>
      <c r="DI402" s="167"/>
      <c r="DJ402" s="167"/>
      <c r="DK402" s="167"/>
      <c r="DL402" s="167"/>
      <c r="DM402" s="167"/>
      <c r="DN402" s="167"/>
      <c r="DO402" s="167"/>
      <c r="DP402" s="167"/>
      <c r="DQ402" s="167"/>
      <c r="DR402" s="167"/>
      <c r="DS402" s="167"/>
      <c r="DT402" s="167"/>
      <c r="DU402" s="167"/>
      <c r="DV402" s="167"/>
      <c r="DW402" s="167"/>
      <c r="DX402" s="167"/>
      <c r="DY402" s="167"/>
      <c r="DZ402" s="167"/>
      <c r="EA402" s="167"/>
      <c r="EB402" s="167"/>
      <c r="EC402" s="167"/>
      <c r="ED402" s="167"/>
      <c r="EE402" s="167"/>
      <c r="EF402" s="167"/>
      <c r="EG402" s="167"/>
      <c r="EH402" s="167"/>
      <c r="EI402" s="167"/>
      <c r="EJ402" s="167"/>
      <c r="EK402" s="167"/>
      <c r="EL402" s="167"/>
      <c r="EM402" s="167"/>
      <c r="EN402" s="167"/>
      <c r="EO402" s="167"/>
      <c r="EP402" s="167"/>
      <c r="EQ402" s="167"/>
      <c r="ER402" s="167"/>
      <c r="ES402" s="167"/>
      <c r="ET402" s="167"/>
      <c r="EU402" s="167"/>
      <c r="EV402" s="167"/>
      <c r="EW402" s="167"/>
      <c r="EX402" s="167"/>
      <c r="EY402" s="167"/>
      <c r="EZ402" s="167"/>
      <c r="FA402" s="167"/>
      <c r="FB402" s="167"/>
      <c r="FC402" s="167"/>
      <c r="FD402" s="167"/>
      <c r="FE402" s="167"/>
      <c r="FF402" s="167"/>
      <c r="FG402" s="167"/>
      <c r="FH402" s="167"/>
      <c r="FI402" s="167"/>
      <c r="FJ402" s="167"/>
      <c r="FK402" s="167"/>
      <c r="FL402" s="167"/>
      <c r="FM402" s="167"/>
      <c r="FN402" s="167"/>
      <c r="FO402" s="167"/>
      <c r="FP402" s="167"/>
      <c r="FQ402" s="167"/>
      <c r="FR402" s="167"/>
      <c r="FS402" s="167"/>
      <c r="FT402" s="167"/>
      <c r="FU402" s="167"/>
      <c r="FV402" s="167"/>
      <c r="FW402" s="167"/>
      <c r="FX402" s="167"/>
      <c r="FY402" s="167"/>
      <c r="FZ402" s="167"/>
      <c r="GA402" s="167"/>
      <c r="GB402" s="167"/>
      <c r="GC402" s="167"/>
      <c r="GD402" s="167"/>
      <c r="GE402" s="167"/>
      <c r="GF402" s="167"/>
      <c r="GG402" s="167"/>
      <c r="GH402" s="167"/>
      <c r="GI402" s="167"/>
      <c r="GJ402" s="167"/>
      <c r="GK402" s="167"/>
      <c r="GL402" s="167"/>
      <c r="GM402" s="167"/>
      <c r="GN402" s="167"/>
      <c r="GO402" s="167"/>
      <c r="GP402" s="167"/>
      <c r="GQ402" s="167"/>
      <c r="GR402" s="167"/>
      <c r="GS402" s="167"/>
      <c r="GT402" s="167"/>
      <c r="GU402" s="167"/>
      <c r="GV402" s="167"/>
      <c r="GW402" s="167"/>
      <c r="GX402" s="167"/>
      <c r="GY402" s="167"/>
      <c r="GZ402" s="167"/>
      <c r="HA402" s="167"/>
      <c r="HB402" s="167"/>
      <c r="HC402" s="167"/>
      <c r="HD402" s="167"/>
      <c r="HE402" s="167"/>
      <c r="HF402" s="167"/>
      <c r="HG402" s="167"/>
      <c r="HH402" s="167"/>
      <c r="HI402" s="167"/>
      <c r="HJ402" s="167"/>
      <c r="HK402" s="167"/>
      <c r="HL402" s="167"/>
      <c r="HM402" s="167"/>
      <c r="HN402" s="167"/>
      <c r="HO402" s="167"/>
      <c r="HP402" s="167"/>
      <c r="HQ402" s="167"/>
      <c r="HR402" s="167"/>
      <c r="HS402" s="167"/>
      <c r="HT402" s="167"/>
      <c r="HU402" s="167"/>
      <c r="HV402" s="167"/>
      <c r="HW402" s="167"/>
      <c r="HX402" s="167"/>
      <c r="HY402" s="167"/>
      <c r="HZ402" s="167"/>
      <c r="IA402" s="167"/>
      <c r="IB402" s="167"/>
      <c r="IC402" s="167"/>
      <c r="ID402" s="167"/>
      <c r="IE402" s="167"/>
      <c r="IF402" s="167"/>
      <c r="IG402" s="167"/>
      <c r="IH402" s="167"/>
      <c r="II402" s="167"/>
      <c r="IJ402" s="167"/>
      <c r="IK402" s="167"/>
      <c r="IL402" s="167"/>
      <c r="IM402" s="167"/>
      <c r="IN402" s="167"/>
      <c r="IO402" s="167"/>
      <c r="IP402" s="167"/>
      <c r="IQ402" s="167"/>
      <c r="IR402" s="167"/>
      <c r="IS402" s="167"/>
      <c r="IT402" s="167"/>
      <c r="IU402" s="167"/>
      <c r="IV402" s="167"/>
      <c r="IW402" s="167"/>
      <c r="IX402" s="167"/>
      <c r="IY402" s="167"/>
      <c r="IZ402" s="167"/>
      <c r="JA402" s="167"/>
      <c r="JB402" s="167"/>
      <c r="JC402" s="167"/>
      <c r="JD402" s="167"/>
      <c r="JE402" s="167"/>
      <c r="JF402" s="167"/>
      <c r="JG402" s="167"/>
      <c r="JH402" s="167"/>
      <c r="JI402" s="167"/>
      <c r="JJ402" s="167"/>
      <c r="JK402" s="167"/>
      <c r="JL402" s="167"/>
      <c r="JM402" s="167"/>
      <c r="JN402" s="167"/>
      <c r="JO402" s="167"/>
      <c r="JP402" s="167"/>
      <c r="JQ402" s="167"/>
      <c r="JR402" s="167"/>
      <c r="JS402" s="167"/>
      <c r="JT402" s="167"/>
      <c r="JU402" s="167"/>
      <c r="JV402" s="167"/>
      <c r="JW402" s="167"/>
      <c r="JX402" s="167"/>
      <c r="JY402" s="167"/>
      <c r="JZ402" s="167"/>
      <c r="KA402" s="167"/>
      <c r="KB402" s="167"/>
      <c r="KC402" s="167"/>
      <c r="KD402" s="167"/>
      <c r="KE402" s="167"/>
      <c r="KF402" s="167"/>
      <c r="KG402" s="167"/>
      <c r="KH402" s="167"/>
      <c r="KI402" s="167"/>
      <c r="KJ402" s="167"/>
      <c r="KK402" s="167"/>
      <c r="KL402" s="167"/>
      <c r="KM402" s="167"/>
      <c r="KN402" s="167"/>
      <c r="KO402" s="167"/>
      <c r="KP402" s="167"/>
      <c r="KQ402" s="167"/>
      <c r="KR402" s="167"/>
      <c r="KS402" s="167"/>
      <c r="KT402" s="167"/>
      <c r="KU402" s="167"/>
      <c r="KV402" s="167"/>
      <c r="KW402" s="167"/>
      <c r="KX402" s="167"/>
      <c r="KY402" s="167"/>
      <c r="KZ402" s="167"/>
      <c r="LA402" s="167"/>
      <c r="LB402" s="167"/>
      <c r="LC402" s="167"/>
      <c r="LD402" s="167"/>
      <c r="LE402" s="167"/>
      <c r="LF402" s="167"/>
      <c r="LG402" s="167"/>
      <c r="LH402" s="167"/>
      <c r="LI402" s="167"/>
      <c r="LJ402" s="167"/>
      <c r="LK402" s="167"/>
      <c r="LL402" s="167"/>
      <c r="LM402" s="167"/>
      <c r="LN402" s="167"/>
      <c r="LO402" s="167"/>
      <c r="LP402" s="167"/>
      <c r="LQ402" s="167"/>
      <c r="LR402" s="167"/>
      <c r="LS402" s="167"/>
      <c r="LT402" s="167"/>
      <c r="LU402" s="167"/>
      <c r="LV402" s="167"/>
      <c r="LW402" s="167"/>
      <c r="LX402" s="167"/>
      <c r="LY402" s="167"/>
      <c r="LZ402" s="167"/>
      <c r="MA402" s="167"/>
      <c r="MB402" s="167"/>
      <c r="MC402" s="167"/>
      <c r="MD402" s="167"/>
      <c r="ME402" s="167"/>
      <c r="MF402" s="167"/>
      <c r="MG402" s="167"/>
      <c r="MH402" s="167"/>
      <c r="MI402" s="167"/>
      <c r="MJ402" s="167"/>
      <c r="MK402" s="167"/>
      <c r="ML402" s="167"/>
      <c r="MM402" s="167"/>
      <c r="MN402" s="167"/>
      <c r="MO402" s="167"/>
      <c r="MP402" s="167"/>
      <c r="MQ402" s="167"/>
      <c r="MR402" s="167"/>
      <c r="MS402" s="167"/>
      <c r="MT402" s="167"/>
      <c r="MU402" s="167"/>
      <c r="MV402" s="167"/>
      <c r="MW402" s="167"/>
      <c r="MX402" s="167"/>
      <c r="MY402" s="167"/>
      <c r="MZ402" s="167"/>
      <c r="NA402" s="167"/>
      <c r="NB402" s="167"/>
      <c r="NC402" s="167"/>
      <c r="ND402" s="167"/>
      <c r="NE402" s="167"/>
      <c r="NF402" s="167"/>
      <c r="NG402" s="167"/>
      <c r="NH402" s="167"/>
      <c r="NI402" s="167"/>
      <c r="NJ402" s="167"/>
      <c r="NK402" s="167"/>
      <c r="NL402" s="167"/>
      <c r="NM402" s="167"/>
      <c r="NN402" s="167"/>
      <c r="NO402" s="167"/>
      <c r="NP402" s="167"/>
      <c r="NQ402" s="167"/>
      <c r="NR402" s="167"/>
      <c r="NS402" s="167"/>
      <c r="NT402" s="167"/>
      <c r="NU402" s="167"/>
      <c r="NV402" s="167"/>
      <c r="NW402" s="167"/>
      <c r="NX402" s="167"/>
      <c r="NY402" s="167"/>
      <c r="NZ402" s="167"/>
      <c r="OA402" s="167"/>
      <c r="OB402" s="167"/>
      <c r="OC402" s="167"/>
      <c r="OD402" s="167"/>
      <c r="OE402" s="167"/>
      <c r="OF402" s="167"/>
      <c r="OG402" s="167"/>
      <c r="OH402" s="167"/>
      <c r="OI402" s="167"/>
      <c r="OJ402" s="167"/>
      <c r="OK402" s="167"/>
      <c r="OL402" s="167"/>
      <c r="OM402" s="167"/>
      <c r="ON402" s="167"/>
      <c r="OO402" s="167"/>
      <c r="OP402" s="167"/>
      <c r="OQ402" s="167"/>
      <c r="OR402" s="167"/>
      <c r="OS402" s="167"/>
      <c r="OT402" s="167"/>
      <c r="OU402" s="167"/>
      <c r="OV402" s="167"/>
      <c r="OW402" s="167"/>
      <c r="OX402" s="167"/>
      <c r="OY402" s="167"/>
      <c r="OZ402" s="167"/>
      <c r="PA402" s="167"/>
      <c r="PB402" s="167"/>
      <c r="PC402" s="167"/>
      <c r="PD402" s="167"/>
      <c r="PE402" s="167"/>
      <c r="PF402" s="167"/>
      <c r="PG402" s="167"/>
      <c r="PH402" s="167"/>
      <c r="PI402" s="167"/>
      <c r="PJ402" s="167"/>
      <c r="PK402" s="167"/>
      <c r="PL402" s="167"/>
      <c r="PM402" s="167"/>
      <c r="PN402" s="167"/>
      <c r="PO402" s="167"/>
      <c r="PP402" s="167"/>
      <c r="PQ402" s="167"/>
      <c r="PR402" s="167"/>
      <c r="PS402" s="167"/>
      <c r="PT402" s="167"/>
      <c r="PU402" s="167"/>
      <c r="PV402" s="167"/>
      <c r="PW402" s="167"/>
      <c r="PX402" s="167"/>
      <c r="PY402" s="167"/>
      <c r="PZ402" s="167"/>
      <c r="QA402" s="167"/>
      <c r="QB402" s="167"/>
      <c r="QC402" s="167"/>
      <c r="QD402" s="167"/>
      <c r="QE402" s="167"/>
      <c r="QF402" s="167"/>
      <c r="QG402" s="167"/>
      <c r="QH402" s="167"/>
      <c r="QI402" s="167"/>
      <c r="QJ402" s="167"/>
      <c r="QK402" s="167"/>
      <c r="QL402" s="167"/>
      <c r="QM402" s="167"/>
      <c r="QN402" s="167"/>
      <c r="QO402" s="167"/>
      <c r="QP402" s="167"/>
      <c r="QQ402" s="167"/>
      <c r="QR402" s="167"/>
      <c r="QS402" s="167"/>
      <c r="QT402" s="167"/>
      <c r="QU402" s="167"/>
      <c r="QV402" s="167"/>
      <c r="QW402" s="167"/>
      <c r="QX402" s="167"/>
      <c r="QY402" s="167"/>
      <c r="QZ402" s="167"/>
      <c r="RA402" s="167"/>
      <c r="RB402" s="167"/>
      <c r="RC402" s="167"/>
      <c r="RD402" s="167"/>
      <c r="RE402" s="167"/>
      <c r="RF402" s="167"/>
      <c r="RG402" s="167"/>
      <c r="RH402" s="167"/>
      <c r="RI402" s="167"/>
      <c r="RJ402" s="167"/>
      <c r="RK402" s="167"/>
      <c r="RL402" s="167"/>
      <c r="RM402" s="167"/>
      <c r="RN402" s="167"/>
      <c r="RO402" s="167"/>
      <c r="RP402" s="167"/>
      <c r="RQ402" s="167"/>
      <c r="RR402" s="167"/>
      <c r="RS402" s="167"/>
      <c r="RT402" s="167"/>
      <c r="RU402" s="167"/>
      <c r="RV402" s="167"/>
      <c r="RW402" s="167"/>
      <c r="RX402" s="167"/>
      <c r="RY402" s="167"/>
      <c r="RZ402" s="167"/>
      <c r="SA402" s="167"/>
      <c r="SB402" s="167"/>
      <c r="SC402" s="167"/>
      <c r="SD402" s="167"/>
      <c r="SE402" s="167"/>
      <c r="SF402" s="167"/>
      <c r="SG402" s="167"/>
      <c r="SH402" s="167"/>
      <c r="SI402" s="167"/>
      <c r="SJ402" s="167"/>
      <c r="SK402" s="167"/>
      <c r="SL402" s="167"/>
      <c r="SM402" s="167"/>
      <c r="SN402" s="167"/>
      <c r="SO402" s="167"/>
      <c r="SP402" s="167"/>
      <c r="SQ402" s="167"/>
      <c r="SR402" s="167"/>
      <c r="SS402" s="167"/>
      <c r="ST402" s="167"/>
      <c r="SU402" s="167"/>
      <c r="SV402" s="167"/>
      <c r="SW402" s="167"/>
      <c r="SX402" s="167"/>
      <c r="SY402" s="167"/>
      <c r="SZ402" s="167"/>
      <c r="TA402" s="167"/>
      <c r="TB402" s="167"/>
      <c r="TC402" s="167"/>
      <c r="TD402" s="167"/>
      <c r="TE402" s="167"/>
      <c r="TF402" s="167"/>
      <c r="TG402" s="167"/>
      <c r="TH402" s="167"/>
      <c r="TI402" s="167"/>
      <c r="TJ402" s="167"/>
      <c r="TK402" s="167"/>
      <c r="TL402" s="167"/>
      <c r="TM402" s="167"/>
      <c r="TN402" s="167"/>
      <c r="TO402" s="167"/>
      <c r="TP402" s="167"/>
      <c r="TQ402" s="167"/>
      <c r="TR402" s="167"/>
      <c r="TS402" s="167"/>
      <c r="TT402" s="167"/>
      <c r="TU402" s="167"/>
      <c r="TV402" s="167"/>
      <c r="TW402" s="167"/>
      <c r="TX402" s="167"/>
      <c r="TY402" s="167"/>
      <c r="TZ402" s="167"/>
      <c r="UA402" s="167"/>
      <c r="UB402" s="167"/>
      <c r="UC402" s="167"/>
      <c r="UD402" s="167"/>
      <c r="UE402" s="167"/>
      <c r="UF402" s="167"/>
      <c r="UG402" s="168"/>
    </row>
    <row r="403" spans="1:553" ht="337.5" customHeight="1">
      <c r="A403" s="356" t="s">
        <v>15</v>
      </c>
      <c r="B403" s="356"/>
      <c r="C403" s="384" t="s">
        <v>23</v>
      </c>
      <c r="D403" s="376" t="s">
        <v>70</v>
      </c>
      <c r="E403" s="376" t="s">
        <v>304</v>
      </c>
      <c r="F403" s="385">
        <v>1</v>
      </c>
      <c r="G403" s="386" t="s">
        <v>935</v>
      </c>
      <c r="H403" s="441">
        <v>126.1</v>
      </c>
      <c r="I403" s="490">
        <v>126.1</v>
      </c>
      <c r="J403" s="368">
        <v>62000</v>
      </c>
      <c r="K403" s="388"/>
      <c r="L403" s="366">
        <f t="shared" ref="L403:L418" si="86">PRODUCT(I403:K403)</f>
        <v>7818200</v>
      </c>
      <c r="M403" s="366"/>
      <c r="N403" s="366"/>
      <c r="O403" s="366"/>
      <c r="P403" s="366"/>
      <c r="Q403" s="1036" t="s">
        <v>305</v>
      </c>
      <c r="R403" s="1447" t="s">
        <v>24</v>
      </c>
      <c r="S403" s="305"/>
      <c r="T403" s="303"/>
      <c r="U403" s="306"/>
      <c r="V403" s="307"/>
      <c r="W403" s="306">
        <f>I403</f>
        <v>126.1</v>
      </c>
      <c r="X403" s="306"/>
      <c r="Y403" s="306"/>
      <c r="Z403" s="306"/>
      <c r="AA403" s="306"/>
      <c r="AB403" s="306"/>
      <c r="AC403" s="449"/>
      <c r="AD403" s="452"/>
      <c r="AE403" s="452"/>
      <c r="AF403" s="452"/>
      <c r="AG403" s="452"/>
      <c r="AH403" s="452"/>
      <c r="AI403" s="452"/>
      <c r="AJ403" s="452"/>
      <c r="AK403" s="452"/>
      <c r="AL403" s="106"/>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c r="CH403" s="31"/>
      <c r="CI403" s="31"/>
      <c r="CJ403" s="31"/>
      <c r="CK403" s="31"/>
      <c r="CL403" s="31"/>
      <c r="CM403" s="31"/>
      <c r="CN403" s="31"/>
      <c r="CO403" s="31"/>
      <c r="CP403" s="31"/>
      <c r="CQ403" s="31"/>
      <c r="CR403" s="31"/>
      <c r="CS403" s="31"/>
      <c r="CT403" s="31"/>
      <c r="CU403" s="31"/>
      <c r="CV403" s="31"/>
      <c r="CW403" s="31"/>
      <c r="CX403" s="31"/>
      <c r="CY403" s="31"/>
      <c r="CZ403" s="31"/>
      <c r="DA403" s="31"/>
      <c r="DB403" s="31"/>
      <c r="DC403" s="31"/>
      <c r="DD403" s="31"/>
      <c r="DE403" s="31"/>
      <c r="DF403" s="31"/>
      <c r="DG403" s="31"/>
      <c r="DH403" s="31"/>
      <c r="DI403" s="31"/>
      <c r="DJ403" s="31"/>
      <c r="DK403" s="31"/>
      <c r="DL403" s="31"/>
      <c r="DM403" s="31"/>
      <c r="DN403" s="31"/>
      <c r="DO403" s="31"/>
      <c r="DP403" s="31"/>
      <c r="DQ403" s="31"/>
      <c r="DR403" s="31"/>
      <c r="DS403" s="31"/>
      <c r="DT403" s="31"/>
      <c r="DU403" s="31"/>
      <c r="DV403" s="31"/>
      <c r="DW403" s="31"/>
      <c r="DX403" s="31"/>
      <c r="DY403" s="31"/>
      <c r="DZ403" s="31"/>
      <c r="EA403" s="31"/>
      <c r="EB403" s="31"/>
      <c r="EC403" s="31"/>
      <c r="ED403" s="31"/>
      <c r="EE403" s="31"/>
      <c r="EF403" s="31"/>
      <c r="EG403" s="31"/>
      <c r="EH403" s="31"/>
      <c r="EI403" s="31"/>
      <c r="EJ403" s="31"/>
      <c r="EK403" s="31"/>
      <c r="EL403" s="31"/>
      <c r="EM403" s="31"/>
      <c r="EN403" s="31"/>
      <c r="EO403" s="31"/>
      <c r="EP403" s="31"/>
      <c r="EQ403" s="31"/>
      <c r="ER403" s="31"/>
      <c r="ES403" s="31"/>
      <c r="ET403" s="31"/>
      <c r="EU403" s="31"/>
      <c r="EV403" s="31"/>
      <c r="EW403" s="31"/>
      <c r="EX403" s="31"/>
      <c r="EY403" s="31"/>
      <c r="EZ403" s="31"/>
      <c r="FA403" s="31"/>
      <c r="FB403" s="31"/>
      <c r="FC403" s="31"/>
      <c r="FD403" s="31"/>
      <c r="FE403" s="31"/>
      <c r="FF403" s="31"/>
      <c r="FG403" s="31"/>
      <c r="FH403" s="31"/>
      <c r="FI403" s="31"/>
      <c r="FJ403" s="31"/>
      <c r="FK403" s="31"/>
      <c r="FL403" s="31"/>
      <c r="FM403" s="31"/>
      <c r="FN403" s="31"/>
      <c r="FO403" s="31"/>
      <c r="FP403" s="31"/>
      <c r="FQ403" s="31"/>
      <c r="FR403" s="31"/>
      <c r="FS403" s="31"/>
      <c r="FT403" s="31"/>
      <c r="FU403" s="31"/>
      <c r="FV403" s="31"/>
      <c r="FW403" s="31"/>
      <c r="FX403" s="31"/>
      <c r="FY403" s="31"/>
      <c r="FZ403" s="31"/>
      <c r="GA403" s="31"/>
      <c r="GB403" s="31"/>
      <c r="GC403" s="31"/>
      <c r="GD403" s="31"/>
      <c r="GE403" s="31"/>
      <c r="GF403" s="31"/>
      <c r="GG403" s="31"/>
      <c r="GH403" s="31"/>
      <c r="GI403" s="31"/>
      <c r="GJ403" s="31"/>
      <c r="GK403" s="31"/>
      <c r="GL403" s="31"/>
      <c r="GM403" s="31"/>
      <c r="GN403" s="31"/>
      <c r="GO403" s="31"/>
      <c r="GP403" s="31"/>
      <c r="GQ403" s="31"/>
      <c r="GR403" s="31"/>
      <c r="GS403" s="31"/>
      <c r="GT403" s="31"/>
      <c r="GU403" s="31"/>
      <c r="GV403" s="31"/>
      <c r="GW403" s="31"/>
      <c r="GX403" s="31"/>
      <c r="GY403" s="31"/>
      <c r="GZ403" s="31"/>
      <c r="HA403" s="31"/>
      <c r="HB403" s="31"/>
      <c r="HC403" s="31"/>
      <c r="HD403" s="31"/>
      <c r="HE403" s="31"/>
      <c r="HF403" s="31"/>
      <c r="HG403" s="31"/>
      <c r="HH403" s="31"/>
      <c r="HI403" s="31"/>
      <c r="HJ403" s="31"/>
      <c r="HK403" s="31"/>
      <c r="HL403" s="31"/>
      <c r="HM403" s="31"/>
      <c r="HN403" s="31"/>
      <c r="HO403" s="31"/>
      <c r="HP403" s="31"/>
      <c r="HQ403" s="31"/>
      <c r="HR403" s="31"/>
      <c r="HS403" s="31"/>
      <c r="HT403" s="31"/>
      <c r="HU403" s="31"/>
      <c r="HV403" s="31"/>
      <c r="HW403" s="31"/>
      <c r="HX403" s="31"/>
      <c r="HY403" s="31"/>
      <c r="HZ403" s="31"/>
      <c r="IA403" s="31"/>
      <c r="IB403" s="31"/>
      <c r="IC403" s="31"/>
      <c r="ID403" s="31"/>
      <c r="IE403" s="31"/>
      <c r="IF403" s="31"/>
      <c r="IG403" s="31"/>
      <c r="IH403" s="31"/>
      <c r="II403" s="31"/>
      <c r="IJ403" s="31"/>
      <c r="IK403" s="31"/>
      <c r="IL403" s="31"/>
      <c r="IM403" s="31"/>
      <c r="IN403" s="31"/>
      <c r="IO403" s="31"/>
      <c r="IP403" s="31"/>
      <c r="IQ403" s="31"/>
      <c r="IR403" s="31"/>
      <c r="IS403" s="31"/>
      <c r="IT403" s="31"/>
      <c r="IU403" s="31"/>
      <c r="IV403" s="31"/>
      <c r="IW403" s="31"/>
      <c r="IX403" s="31"/>
      <c r="IY403" s="31"/>
      <c r="IZ403" s="31"/>
      <c r="JA403" s="31"/>
      <c r="JB403" s="31"/>
      <c r="JC403" s="31"/>
      <c r="JD403" s="31"/>
      <c r="JE403" s="31"/>
      <c r="JF403" s="31"/>
      <c r="JG403" s="31"/>
      <c r="JH403" s="31"/>
      <c r="JI403" s="31"/>
      <c r="JJ403" s="31"/>
      <c r="JK403" s="31"/>
      <c r="JL403" s="31"/>
      <c r="JM403" s="31"/>
      <c r="JN403" s="31"/>
      <c r="JO403" s="31"/>
      <c r="JP403" s="31"/>
      <c r="JQ403" s="31"/>
      <c r="JR403" s="31"/>
      <c r="JS403" s="31"/>
      <c r="JT403" s="31"/>
      <c r="JU403" s="31"/>
      <c r="JV403" s="31"/>
      <c r="JW403" s="31"/>
      <c r="JX403" s="31"/>
      <c r="JY403" s="31"/>
      <c r="JZ403" s="31"/>
      <c r="KA403" s="31"/>
      <c r="KB403" s="31"/>
      <c r="KC403" s="31"/>
      <c r="KD403" s="31"/>
      <c r="KE403" s="31"/>
      <c r="KF403" s="31"/>
      <c r="KG403" s="31"/>
      <c r="KH403" s="31"/>
      <c r="KI403" s="31"/>
      <c r="KJ403" s="31"/>
      <c r="KK403" s="31"/>
      <c r="KL403" s="31"/>
      <c r="KM403" s="31"/>
      <c r="KN403" s="31"/>
      <c r="KO403" s="31"/>
      <c r="KP403" s="31"/>
      <c r="KQ403" s="31"/>
      <c r="KR403" s="31"/>
      <c r="KS403" s="31"/>
      <c r="KT403" s="31"/>
      <c r="KU403" s="31"/>
      <c r="KV403" s="31"/>
      <c r="KW403" s="31"/>
      <c r="KX403" s="31"/>
      <c r="KY403" s="31"/>
      <c r="KZ403" s="31"/>
      <c r="LA403" s="31"/>
      <c r="LB403" s="31"/>
      <c r="LC403" s="31"/>
      <c r="LD403" s="31"/>
      <c r="LE403" s="31"/>
      <c r="LF403" s="31"/>
      <c r="LG403" s="31"/>
      <c r="LH403" s="31"/>
      <c r="LI403" s="31"/>
      <c r="LJ403" s="31"/>
      <c r="LK403" s="31"/>
      <c r="LL403" s="31"/>
      <c r="LM403" s="31"/>
      <c r="LN403" s="31"/>
      <c r="LO403" s="31"/>
      <c r="LP403" s="31"/>
      <c r="LQ403" s="31"/>
      <c r="LR403" s="31"/>
      <c r="LS403" s="31"/>
      <c r="LT403" s="31"/>
      <c r="LU403" s="31"/>
      <c r="LV403" s="31"/>
      <c r="LW403" s="31"/>
      <c r="LX403" s="31"/>
      <c r="LY403" s="31"/>
      <c r="LZ403" s="31"/>
      <c r="MA403" s="31"/>
      <c r="MB403" s="31"/>
      <c r="MC403" s="31"/>
      <c r="MD403" s="31"/>
      <c r="ME403" s="31"/>
      <c r="MF403" s="31"/>
      <c r="MG403" s="31"/>
      <c r="MH403" s="31"/>
      <c r="MI403" s="31"/>
      <c r="MJ403" s="31"/>
      <c r="MK403" s="31"/>
      <c r="ML403" s="31"/>
      <c r="MM403" s="31"/>
      <c r="MN403" s="31"/>
      <c r="MO403" s="31"/>
      <c r="MP403" s="31"/>
      <c r="MQ403" s="31"/>
      <c r="MR403" s="31"/>
      <c r="MS403" s="31"/>
      <c r="MT403" s="31"/>
      <c r="MU403" s="31"/>
      <c r="MV403" s="31"/>
      <c r="MW403" s="31"/>
      <c r="MX403" s="31"/>
      <c r="MY403" s="31"/>
      <c r="MZ403" s="31"/>
      <c r="NA403" s="31"/>
      <c r="NB403" s="31"/>
      <c r="NC403" s="31"/>
      <c r="ND403" s="31"/>
      <c r="NE403" s="31"/>
      <c r="NF403" s="31"/>
      <c r="NG403" s="31"/>
      <c r="NH403" s="31"/>
      <c r="NI403" s="31"/>
      <c r="NJ403" s="31"/>
      <c r="NK403" s="31"/>
      <c r="NL403" s="31"/>
      <c r="NM403" s="31"/>
      <c r="NN403" s="31"/>
      <c r="NO403" s="31"/>
      <c r="NP403" s="31"/>
      <c r="NQ403" s="31"/>
      <c r="NR403" s="31"/>
      <c r="NS403" s="31"/>
      <c r="NT403" s="31"/>
      <c r="NU403" s="31"/>
      <c r="NV403" s="31"/>
      <c r="NW403" s="31"/>
      <c r="NX403" s="31"/>
      <c r="NY403" s="31"/>
      <c r="NZ403" s="31"/>
      <c r="OA403" s="31"/>
      <c r="OB403" s="31"/>
      <c r="OC403" s="31"/>
      <c r="OD403" s="31"/>
      <c r="OE403" s="31"/>
      <c r="OF403" s="31"/>
      <c r="OG403" s="31"/>
      <c r="OH403" s="31"/>
      <c r="OI403" s="31"/>
      <c r="OJ403" s="31"/>
      <c r="OK403" s="31"/>
      <c r="OL403" s="31"/>
      <c r="OM403" s="31"/>
      <c r="ON403" s="31"/>
      <c r="OO403" s="31"/>
      <c r="OP403" s="31"/>
      <c r="OQ403" s="31"/>
      <c r="OR403" s="31"/>
      <c r="OS403" s="31"/>
      <c r="OT403" s="31"/>
      <c r="OU403" s="31"/>
      <c r="OV403" s="31"/>
      <c r="OW403" s="31"/>
      <c r="OX403" s="31"/>
      <c r="OY403" s="31"/>
      <c r="OZ403" s="31"/>
      <c r="PA403" s="31"/>
      <c r="PB403" s="31"/>
      <c r="PC403" s="31"/>
      <c r="PD403" s="31"/>
      <c r="PE403" s="31"/>
      <c r="PF403" s="31"/>
      <c r="PG403" s="31"/>
      <c r="PH403" s="31"/>
      <c r="PI403" s="31"/>
      <c r="PJ403" s="31"/>
      <c r="PK403" s="31"/>
      <c r="PL403" s="31"/>
      <c r="PM403" s="31"/>
      <c r="PN403" s="31"/>
      <c r="PO403" s="31"/>
      <c r="PP403" s="31"/>
      <c r="PQ403" s="31"/>
      <c r="PR403" s="31"/>
      <c r="PS403" s="31"/>
      <c r="PT403" s="31"/>
      <c r="PU403" s="31"/>
      <c r="PV403" s="31"/>
      <c r="PW403" s="31"/>
      <c r="PX403" s="31"/>
      <c r="PY403" s="31"/>
      <c r="PZ403" s="31"/>
      <c r="QA403" s="31"/>
      <c r="QB403" s="31"/>
      <c r="QC403" s="31"/>
      <c r="QD403" s="31"/>
      <c r="QE403" s="31"/>
      <c r="QF403" s="31"/>
      <c r="QG403" s="31"/>
      <c r="QH403" s="31"/>
      <c r="QI403" s="31"/>
      <c r="QJ403" s="31"/>
      <c r="QK403" s="31"/>
      <c r="QL403" s="31"/>
      <c r="QM403" s="31"/>
      <c r="QN403" s="31"/>
      <c r="QO403" s="31"/>
      <c r="QP403" s="31"/>
      <c r="QQ403" s="31"/>
      <c r="QR403" s="31"/>
      <c r="QS403" s="31"/>
      <c r="QT403" s="31"/>
      <c r="QU403" s="31"/>
      <c r="QV403" s="31"/>
      <c r="QW403" s="31"/>
      <c r="QX403" s="31"/>
      <c r="QY403" s="31"/>
      <c r="QZ403" s="31"/>
      <c r="RA403" s="31"/>
      <c r="RB403" s="31"/>
      <c r="RC403" s="31"/>
      <c r="RD403" s="31"/>
      <c r="RE403" s="31"/>
      <c r="RF403" s="31"/>
      <c r="RG403" s="31"/>
      <c r="RH403" s="31"/>
      <c r="RI403" s="31"/>
      <c r="RJ403" s="31"/>
      <c r="RK403" s="31"/>
      <c r="RL403" s="31"/>
      <c r="RM403" s="31"/>
      <c r="RN403" s="31"/>
      <c r="RO403" s="31"/>
      <c r="RP403" s="31"/>
      <c r="RQ403" s="31"/>
      <c r="RR403" s="31"/>
      <c r="RS403" s="31"/>
      <c r="RT403" s="31"/>
      <c r="RU403" s="31"/>
      <c r="RV403" s="31"/>
      <c r="RW403" s="31"/>
      <c r="RX403" s="31"/>
      <c r="RY403" s="31"/>
      <c r="RZ403" s="31"/>
      <c r="SA403" s="31"/>
      <c r="SB403" s="31"/>
      <c r="SC403" s="31"/>
      <c r="SD403" s="31"/>
      <c r="SE403" s="31"/>
      <c r="SF403" s="31"/>
      <c r="SG403" s="31"/>
      <c r="SH403" s="31"/>
      <c r="SI403" s="31"/>
      <c r="SJ403" s="31"/>
      <c r="SK403" s="31"/>
      <c r="SL403" s="31"/>
      <c r="SM403" s="31"/>
      <c r="SN403" s="31"/>
      <c r="SO403" s="31"/>
      <c r="SP403" s="31"/>
      <c r="SQ403" s="31"/>
      <c r="SR403" s="31"/>
      <c r="SS403" s="31"/>
      <c r="ST403" s="31"/>
      <c r="SU403" s="31"/>
      <c r="SV403" s="31"/>
      <c r="SW403" s="31"/>
      <c r="SX403" s="31"/>
      <c r="SY403" s="31"/>
      <c r="SZ403" s="31"/>
      <c r="TA403" s="31"/>
      <c r="TB403" s="31"/>
      <c r="TC403" s="31"/>
      <c r="TD403" s="31"/>
      <c r="TE403" s="31"/>
      <c r="TF403" s="31"/>
      <c r="TG403" s="31"/>
      <c r="TH403" s="31"/>
      <c r="TI403" s="31"/>
      <c r="TJ403" s="31"/>
      <c r="TK403" s="31"/>
      <c r="TL403" s="31"/>
      <c r="TM403" s="31"/>
      <c r="TN403" s="31"/>
      <c r="TO403" s="31"/>
      <c r="TP403" s="31"/>
      <c r="TQ403" s="31"/>
      <c r="TR403" s="31"/>
      <c r="TS403" s="31"/>
      <c r="TT403" s="31"/>
      <c r="TU403" s="31"/>
      <c r="TV403" s="31"/>
      <c r="TW403" s="31"/>
      <c r="TX403" s="31"/>
      <c r="TY403" s="31"/>
      <c r="TZ403" s="31"/>
      <c r="UA403" s="31"/>
      <c r="UB403" s="31"/>
      <c r="UC403" s="31"/>
      <c r="UD403" s="31"/>
      <c r="UE403" s="31"/>
      <c r="UF403" s="31"/>
      <c r="UG403" s="33"/>
    </row>
    <row r="404" spans="1:553" ht="283.5" customHeight="1">
      <c r="A404" s="356" t="s">
        <v>15</v>
      </c>
      <c r="B404" s="356"/>
      <c r="C404" s="384" t="s">
        <v>23</v>
      </c>
      <c r="D404" s="376" t="s">
        <v>70</v>
      </c>
      <c r="E404" s="376" t="s">
        <v>306</v>
      </c>
      <c r="F404" s="385">
        <v>1</v>
      </c>
      <c r="G404" s="386" t="s">
        <v>935</v>
      </c>
      <c r="H404" s="441">
        <v>182.3</v>
      </c>
      <c r="I404" s="490">
        <v>182.3</v>
      </c>
      <c r="J404" s="368">
        <v>62000</v>
      </c>
      <c r="K404" s="388"/>
      <c r="L404" s="366">
        <f t="shared" si="86"/>
        <v>11302600</v>
      </c>
      <c r="M404" s="366"/>
      <c r="N404" s="366"/>
      <c r="O404" s="366"/>
      <c r="P404" s="366"/>
      <c r="Q404" s="1036" t="s">
        <v>307</v>
      </c>
      <c r="R404" s="1452"/>
      <c r="S404" s="305"/>
      <c r="T404" s="303"/>
      <c r="U404" s="306"/>
      <c r="V404" s="307"/>
      <c r="W404" s="306">
        <f>I404</f>
        <v>182.3</v>
      </c>
      <c r="X404" s="306"/>
      <c r="Y404" s="306"/>
      <c r="Z404" s="306"/>
      <c r="AA404" s="306"/>
      <c r="AB404" s="306"/>
      <c r="AC404" s="449"/>
      <c r="AD404" s="452"/>
      <c r="AE404" s="452"/>
      <c r="AF404" s="452"/>
      <c r="AG404" s="452"/>
      <c r="AH404" s="452"/>
      <c r="AI404" s="452"/>
      <c r="AJ404" s="452"/>
      <c r="AK404" s="452"/>
      <c r="AL404" s="106"/>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31"/>
      <c r="BS404" s="31"/>
      <c r="BT404" s="31"/>
      <c r="BU404" s="31"/>
      <c r="BV404" s="31"/>
      <c r="BW404" s="31"/>
      <c r="BX404" s="31"/>
      <c r="BY404" s="31"/>
      <c r="BZ404" s="31"/>
      <c r="CA404" s="31"/>
      <c r="CB404" s="31"/>
      <c r="CC404" s="31"/>
      <c r="CD404" s="31"/>
      <c r="CE404" s="31"/>
      <c r="CF404" s="31"/>
      <c r="CG404" s="31"/>
      <c r="CH404" s="31"/>
      <c r="CI404" s="31"/>
      <c r="CJ404" s="31"/>
      <c r="CK404" s="31"/>
      <c r="CL404" s="31"/>
      <c r="CM404" s="31"/>
      <c r="CN404" s="31"/>
      <c r="CO404" s="31"/>
      <c r="CP404" s="31"/>
      <c r="CQ404" s="31"/>
      <c r="CR404" s="31"/>
      <c r="CS404" s="31"/>
      <c r="CT404" s="31"/>
      <c r="CU404" s="31"/>
      <c r="CV404" s="31"/>
      <c r="CW404" s="31"/>
      <c r="CX404" s="31"/>
      <c r="CY404" s="31"/>
      <c r="CZ404" s="31"/>
      <c r="DA404" s="31"/>
      <c r="DB404" s="31"/>
      <c r="DC404" s="31"/>
      <c r="DD404" s="31"/>
      <c r="DE404" s="31"/>
      <c r="DF404" s="31"/>
      <c r="DG404" s="31"/>
      <c r="DH404" s="31"/>
      <c r="DI404" s="31"/>
      <c r="DJ404" s="31"/>
      <c r="DK404" s="31"/>
      <c r="DL404" s="31"/>
      <c r="DM404" s="31"/>
      <c r="DN404" s="31"/>
      <c r="DO404" s="31"/>
      <c r="DP404" s="31"/>
      <c r="DQ404" s="31"/>
      <c r="DR404" s="31"/>
      <c r="DS404" s="31"/>
      <c r="DT404" s="31"/>
      <c r="DU404" s="31"/>
      <c r="DV404" s="31"/>
      <c r="DW404" s="31"/>
      <c r="DX404" s="31"/>
      <c r="DY404" s="31"/>
      <c r="DZ404" s="31"/>
      <c r="EA404" s="31"/>
      <c r="EB404" s="31"/>
      <c r="EC404" s="31"/>
      <c r="ED404" s="31"/>
      <c r="EE404" s="31"/>
      <c r="EF404" s="31"/>
      <c r="EG404" s="31"/>
      <c r="EH404" s="31"/>
      <c r="EI404" s="31"/>
      <c r="EJ404" s="31"/>
      <c r="EK404" s="31"/>
      <c r="EL404" s="31"/>
      <c r="EM404" s="31"/>
      <c r="EN404" s="31"/>
      <c r="EO404" s="31"/>
      <c r="EP404" s="31"/>
      <c r="EQ404" s="31"/>
      <c r="ER404" s="31"/>
      <c r="ES404" s="31"/>
      <c r="ET404" s="31"/>
      <c r="EU404" s="31"/>
      <c r="EV404" s="31"/>
      <c r="EW404" s="31"/>
      <c r="EX404" s="31"/>
      <c r="EY404" s="31"/>
      <c r="EZ404" s="31"/>
      <c r="FA404" s="31"/>
      <c r="FB404" s="31"/>
      <c r="FC404" s="31"/>
      <c r="FD404" s="31"/>
      <c r="FE404" s="31"/>
      <c r="FF404" s="31"/>
      <c r="FG404" s="31"/>
      <c r="FH404" s="31"/>
      <c r="FI404" s="31"/>
      <c r="FJ404" s="31"/>
      <c r="FK404" s="31"/>
      <c r="FL404" s="31"/>
      <c r="FM404" s="31"/>
      <c r="FN404" s="31"/>
      <c r="FO404" s="31"/>
      <c r="FP404" s="31"/>
      <c r="FQ404" s="31"/>
      <c r="FR404" s="31"/>
      <c r="FS404" s="31"/>
      <c r="FT404" s="31"/>
      <c r="FU404" s="31"/>
      <c r="FV404" s="31"/>
      <c r="FW404" s="31"/>
      <c r="FX404" s="31"/>
      <c r="FY404" s="31"/>
      <c r="FZ404" s="31"/>
      <c r="GA404" s="31"/>
      <c r="GB404" s="31"/>
      <c r="GC404" s="31"/>
      <c r="GD404" s="31"/>
      <c r="GE404" s="31"/>
      <c r="GF404" s="31"/>
      <c r="GG404" s="31"/>
      <c r="GH404" s="31"/>
      <c r="GI404" s="31"/>
      <c r="GJ404" s="31"/>
      <c r="GK404" s="31"/>
      <c r="GL404" s="31"/>
      <c r="GM404" s="31"/>
      <c r="GN404" s="31"/>
      <c r="GO404" s="31"/>
      <c r="GP404" s="31"/>
      <c r="GQ404" s="31"/>
      <c r="GR404" s="31"/>
      <c r="GS404" s="31"/>
      <c r="GT404" s="31"/>
      <c r="GU404" s="31"/>
      <c r="GV404" s="31"/>
      <c r="GW404" s="31"/>
      <c r="GX404" s="31"/>
      <c r="GY404" s="31"/>
      <c r="GZ404" s="31"/>
      <c r="HA404" s="31"/>
      <c r="HB404" s="31"/>
      <c r="HC404" s="31"/>
      <c r="HD404" s="31"/>
      <c r="HE404" s="31"/>
      <c r="HF404" s="31"/>
      <c r="HG404" s="31"/>
      <c r="HH404" s="31"/>
      <c r="HI404" s="31"/>
      <c r="HJ404" s="31"/>
      <c r="HK404" s="31"/>
      <c r="HL404" s="31"/>
      <c r="HM404" s="31"/>
      <c r="HN404" s="31"/>
      <c r="HO404" s="31"/>
      <c r="HP404" s="31"/>
      <c r="HQ404" s="31"/>
      <c r="HR404" s="31"/>
      <c r="HS404" s="31"/>
      <c r="HT404" s="31"/>
      <c r="HU404" s="31"/>
      <c r="HV404" s="31"/>
      <c r="HW404" s="31"/>
      <c r="HX404" s="31"/>
      <c r="HY404" s="31"/>
      <c r="HZ404" s="31"/>
      <c r="IA404" s="31"/>
      <c r="IB404" s="31"/>
      <c r="IC404" s="31"/>
      <c r="ID404" s="31"/>
      <c r="IE404" s="31"/>
      <c r="IF404" s="31"/>
      <c r="IG404" s="31"/>
      <c r="IH404" s="31"/>
      <c r="II404" s="31"/>
      <c r="IJ404" s="31"/>
      <c r="IK404" s="31"/>
      <c r="IL404" s="31"/>
      <c r="IM404" s="31"/>
      <c r="IN404" s="31"/>
      <c r="IO404" s="31"/>
      <c r="IP404" s="31"/>
      <c r="IQ404" s="31"/>
      <c r="IR404" s="31"/>
      <c r="IS404" s="31"/>
      <c r="IT404" s="31"/>
      <c r="IU404" s="31"/>
      <c r="IV404" s="31"/>
      <c r="IW404" s="31"/>
      <c r="IX404" s="31"/>
      <c r="IY404" s="31"/>
      <c r="IZ404" s="31"/>
      <c r="JA404" s="31"/>
      <c r="JB404" s="31"/>
      <c r="JC404" s="31"/>
      <c r="JD404" s="31"/>
      <c r="JE404" s="31"/>
      <c r="JF404" s="31"/>
      <c r="JG404" s="31"/>
      <c r="JH404" s="31"/>
      <c r="JI404" s="31"/>
      <c r="JJ404" s="31"/>
      <c r="JK404" s="31"/>
      <c r="JL404" s="31"/>
      <c r="JM404" s="31"/>
      <c r="JN404" s="31"/>
      <c r="JO404" s="31"/>
      <c r="JP404" s="31"/>
      <c r="JQ404" s="31"/>
      <c r="JR404" s="31"/>
      <c r="JS404" s="31"/>
      <c r="JT404" s="31"/>
      <c r="JU404" s="31"/>
      <c r="JV404" s="31"/>
      <c r="JW404" s="31"/>
      <c r="JX404" s="31"/>
      <c r="JY404" s="31"/>
      <c r="JZ404" s="31"/>
      <c r="KA404" s="31"/>
      <c r="KB404" s="31"/>
      <c r="KC404" s="31"/>
      <c r="KD404" s="31"/>
      <c r="KE404" s="31"/>
      <c r="KF404" s="31"/>
      <c r="KG404" s="31"/>
      <c r="KH404" s="31"/>
      <c r="KI404" s="31"/>
      <c r="KJ404" s="31"/>
      <c r="KK404" s="31"/>
      <c r="KL404" s="31"/>
      <c r="KM404" s="31"/>
      <c r="KN404" s="31"/>
      <c r="KO404" s="31"/>
      <c r="KP404" s="31"/>
      <c r="KQ404" s="31"/>
      <c r="KR404" s="31"/>
      <c r="KS404" s="31"/>
      <c r="KT404" s="31"/>
      <c r="KU404" s="31"/>
      <c r="KV404" s="31"/>
      <c r="KW404" s="31"/>
      <c r="KX404" s="31"/>
      <c r="KY404" s="31"/>
      <c r="KZ404" s="31"/>
      <c r="LA404" s="31"/>
      <c r="LB404" s="31"/>
      <c r="LC404" s="31"/>
      <c r="LD404" s="31"/>
      <c r="LE404" s="31"/>
      <c r="LF404" s="31"/>
      <c r="LG404" s="31"/>
      <c r="LH404" s="31"/>
      <c r="LI404" s="31"/>
      <c r="LJ404" s="31"/>
      <c r="LK404" s="31"/>
      <c r="LL404" s="31"/>
      <c r="LM404" s="31"/>
      <c r="LN404" s="31"/>
      <c r="LO404" s="31"/>
      <c r="LP404" s="31"/>
      <c r="LQ404" s="31"/>
      <c r="LR404" s="31"/>
      <c r="LS404" s="31"/>
      <c r="LT404" s="31"/>
      <c r="LU404" s="31"/>
      <c r="LV404" s="31"/>
      <c r="LW404" s="31"/>
      <c r="LX404" s="31"/>
      <c r="LY404" s="31"/>
      <c r="LZ404" s="31"/>
      <c r="MA404" s="31"/>
      <c r="MB404" s="31"/>
      <c r="MC404" s="31"/>
      <c r="MD404" s="31"/>
      <c r="ME404" s="31"/>
      <c r="MF404" s="31"/>
      <c r="MG404" s="31"/>
      <c r="MH404" s="31"/>
      <c r="MI404" s="31"/>
      <c r="MJ404" s="31"/>
      <c r="MK404" s="31"/>
      <c r="ML404" s="31"/>
      <c r="MM404" s="31"/>
      <c r="MN404" s="31"/>
      <c r="MO404" s="31"/>
      <c r="MP404" s="31"/>
      <c r="MQ404" s="31"/>
      <c r="MR404" s="31"/>
      <c r="MS404" s="31"/>
      <c r="MT404" s="31"/>
      <c r="MU404" s="31"/>
      <c r="MV404" s="31"/>
      <c r="MW404" s="31"/>
      <c r="MX404" s="31"/>
      <c r="MY404" s="31"/>
      <c r="MZ404" s="31"/>
      <c r="NA404" s="31"/>
      <c r="NB404" s="31"/>
      <c r="NC404" s="31"/>
      <c r="ND404" s="31"/>
      <c r="NE404" s="31"/>
      <c r="NF404" s="31"/>
      <c r="NG404" s="31"/>
      <c r="NH404" s="31"/>
      <c r="NI404" s="31"/>
      <c r="NJ404" s="31"/>
      <c r="NK404" s="31"/>
      <c r="NL404" s="31"/>
      <c r="NM404" s="31"/>
      <c r="NN404" s="31"/>
      <c r="NO404" s="31"/>
      <c r="NP404" s="31"/>
      <c r="NQ404" s="31"/>
      <c r="NR404" s="31"/>
      <c r="NS404" s="31"/>
      <c r="NT404" s="31"/>
      <c r="NU404" s="31"/>
      <c r="NV404" s="31"/>
      <c r="NW404" s="31"/>
      <c r="NX404" s="31"/>
      <c r="NY404" s="31"/>
      <c r="NZ404" s="31"/>
      <c r="OA404" s="31"/>
      <c r="OB404" s="31"/>
      <c r="OC404" s="31"/>
      <c r="OD404" s="31"/>
      <c r="OE404" s="31"/>
      <c r="OF404" s="31"/>
      <c r="OG404" s="31"/>
      <c r="OH404" s="31"/>
      <c r="OI404" s="31"/>
      <c r="OJ404" s="31"/>
      <c r="OK404" s="31"/>
      <c r="OL404" s="31"/>
      <c r="OM404" s="31"/>
      <c r="ON404" s="31"/>
      <c r="OO404" s="31"/>
      <c r="OP404" s="31"/>
      <c r="OQ404" s="31"/>
      <c r="OR404" s="31"/>
      <c r="OS404" s="31"/>
      <c r="OT404" s="31"/>
      <c r="OU404" s="31"/>
      <c r="OV404" s="31"/>
      <c r="OW404" s="31"/>
      <c r="OX404" s="31"/>
      <c r="OY404" s="31"/>
      <c r="OZ404" s="31"/>
      <c r="PA404" s="31"/>
      <c r="PB404" s="31"/>
      <c r="PC404" s="31"/>
      <c r="PD404" s="31"/>
      <c r="PE404" s="31"/>
      <c r="PF404" s="31"/>
      <c r="PG404" s="31"/>
      <c r="PH404" s="31"/>
      <c r="PI404" s="31"/>
      <c r="PJ404" s="31"/>
      <c r="PK404" s="31"/>
      <c r="PL404" s="31"/>
      <c r="PM404" s="31"/>
      <c r="PN404" s="31"/>
      <c r="PO404" s="31"/>
      <c r="PP404" s="31"/>
      <c r="PQ404" s="31"/>
      <c r="PR404" s="31"/>
      <c r="PS404" s="31"/>
      <c r="PT404" s="31"/>
      <c r="PU404" s="31"/>
      <c r="PV404" s="31"/>
      <c r="PW404" s="31"/>
      <c r="PX404" s="31"/>
      <c r="PY404" s="31"/>
      <c r="PZ404" s="31"/>
      <c r="QA404" s="31"/>
      <c r="QB404" s="31"/>
      <c r="QC404" s="31"/>
      <c r="QD404" s="31"/>
      <c r="QE404" s="31"/>
      <c r="QF404" s="31"/>
      <c r="QG404" s="31"/>
      <c r="QH404" s="31"/>
      <c r="QI404" s="31"/>
      <c r="QJ404" s="31"/>
      <c r="QK404" s="31"/>
      <c r="QL404" s="31"/>
      <c r="QM404" s="31"/>
      <c r="QN404" s="31"/>
      <c r="QO404" s="31"/>
      <c r="QP404" s="31"/>
      <c r="QQ404" s="31"/>
      <c r="QR404" s="31"/>
      <c r="QS404" s="31"/>
      <c r="QT404" s="31"/>
      <c r="QU404" s="31"/>
      <c r="QV404" s="31"/>
      <c r="QW404" s="31"/>
      <c r="QX404" s="31"/>
      <c r="QY404" s="31"/>
      <c r="QZ404" s="31"/>
      <c r="RA404" s="31"/>
      <c r="RB404" s="31"/>
      <c r="RC404" s="31"/>
      <c r="RD404" s="31"/>
      <c r="RE404" s="31"/>
      <c r="RF404" s="31"/>
      <c r="RG404" s="31"/>
      <c r="RH404" s="31"/>
      <c r="RI404" s="31"/>
      <c r="RJ404" s="31"/>
      <c r="RK404" s="31"/>
      <c r="RL404" s="31"/>
      <c r="RM404" s="31"/>
      <c r="RN404" s="31"/>
      <c r="RO404" s="31"/>
      <c r="RP404" s="31"/>
      <c r="RQ404" s="31"/>
      <c r="RR404" s="31"/>
      <c r="RS404" s="31"/>
      <c r="RT404" s="31"/>
      <c r="RU404" s="31"/>
      <c r="RV404" s="31"/>
      <c r="RW404" s="31"/>
      <c r="RX404" s="31"/>
      <c r="RY404" s="31"/>
      <c r="RZ404" s="31"/>
      <c r="SA404" s="31"/>
      <c r="SB404" s="31"/>
      <c r="SC404" s="31"/>
      <c r="SD404" s="31"/>
      <c r="SE404" s="31"/>
      <c r="SF404" s="31"/>
      <c r="SG404" s="31"/>
      <c r="SH404" s="31"/>
      <c r="SI404" s="31"/>
      <c r="SJ404" s="31"/>
      <c r="SK404" s="31"/>
      <c r="SL404" s="31"/>
      <c r="SM404" s="31"/>
      <c r="SN404" s="31"/>
      <c r="SO404" s="31"/>
      <c r="SP404" s="31"/>
      <c r="SQ404" s="31"/>
      <c r="SR404" s="31"/>
      <c r="SS404" s="31"/>
      <c r="ST404" s="31"/>
      <c r="SU404" s="31"/>
      <c r="SV404" s="31"/>
      <c r="SW404" s="31"/>
      <c r="SX404" s="31"/>
      <c r="SY404" s="31"/>
      <c r="SZ404" s="31"/>
      <c r="TA404" s="31"/>
      <c r="TB404" s="31"/>
      <c r="TC404" s="31"/>
      <c r="TD404" s="31"/>
      <c r="TE404" s="31"/>
      <c r="TF404" s="31"/>
      <c r="TG404" s="31"/>
      <c r="TH404" s="31"/>
      <c r="TI404" s="31"/>
      <c r="TJ404" s="31"/>
      <c r="TK404" s="31"/>
      <c r="TL404" s="31"/>
      <c r="TM404" s="31"/>
      <c r="TN404" s="31"/>
      <c r="TO404" s="31"/>
      <c r="TP404" s="31"/>
      <c r="TQ404" s="31"/>
      <c r="TR404" s="31"/>
      <c r="TS404" s="31"/>
      <c r="TT404" s="31"/>
      <c r="TU404" s="31"/>
      <c r="TV404" s="31"/>
      <c r="TW404" s="31"/>
      <c r="TX404" s="31"/>
      <c r="TY404" s="31"/>
      <c r="TZ404" s="31"/>
      <c r="UA404" s="31"/>
      <c r="UB404" s="31"/>
      <c r="UC404" s="31"/>
      <c r="UD404" s="31"/>
      <c r="UE404" s="31"/>
      <c r="UF404" s="31"/>
      <c r="UG404" s="33"/>
    </row>
    <row r="405" spans="1:553" ht="300" customHeight="1">
      <c r="A405" s="356" t="s">
        <v>15</v>
      </c>
      <c r="B405" s="356"/>
      <c r="C405" s="384" t="s">
        <v>23</v>
      </c>
      <c r="D405" s="376" t="s">
        <v>70</v>
      </c>
      <c r="E405" s="376" t="s">
        <v>308</v>
      </c>
      <c r="F405" s="385">
        <v>1</v>
      </c>
      <c r="G405" s="386" t="s">
        <v>935</v>
      </c>
      <c r="H405" s="441">
        <v>279.39999999999998</v>
      </c>
      <c r="I405" s="490">
        <v>279.39999999999998</v>
      </c>
      <c r="J405" s="368">
        <v>62000</v>
      </c>
      <c r="K405" s="388"/>
      <c r="L405" s="366">
        <f t="shared" si="86"/>
        <v>17322800</v>
      </c>
      <c r="M405" s="366"/>
      <c r="N405" s="366"/>
      <c r="O405" s="366"/>
      <c r="P405" s="366"/>
      <c r="Q405" s="1036" t="s">
        <v>309</v>
      </c>
      <c r="R405" s="1452"/>
      <c r="S405" s="435"/>
      <c r="T405" s="436"/>
      <c r="U405" s="304"/>
      <c r="V405" s="393"/>
      <c r="W405" s="304">
        <f>I405</f>
        <v>279.39999999999998</v>
      </c>
      <c r="X405" s="304"/>
      <c r="Y405" s="304"/>
      <c r="Z405" s="304"/>
      <c r="AA405" s="304"/>
      <c r="AB405" s="304"/>
      <c r="AC405" s="449"/>
      <c r="AD405" s="452"/>
      <c r="AE405" s="452"/>
      <c r="AF405" s="452"/>
      <c r="AG405" s="452"/>
      <c r="AH405" s="452"/>
      <c r="AI405" s="452"/>
      <c r="AJ405" s="452"/>
      <c r="AK405" s="452"/>
      <c r="AL405" s="106"/>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31"/>
      <c r="BS405" s="31"/>
      <c r="BT405" s="31"/>
      <c r="BU405" s="31"/>
      <c r="BV405" s="31"/>
      <c r="BW405" s="31"/>
      <c r="BX405" s="31"/>
      <c r="BY405" s="31"/>
      <c r="BZ405" s="31"/>
      <c r="CA405" s="31"/>
      <c r="CB405" s="31"/>
      <c r="CC405" s="31"/>
      <c r="CD405" s="31"/>
      <c r="CE405" s="31"/>
      <c r="CF405" s="31"/>
      <c r="CG405" s="31"/>
      <c r="CH405" s="31"/>
      <c r="CI405" s="31"/>
      <c r="CJ405" s="31"/>
      <c r="CK405" s="31"/>
      <c r="CL405" s="31"/>
      <c r="CM405" s="31"/>
      <c r="CN405" s="31"/>
      <c r="CO405" s="31"/>
      <c r="CP405" s="31"/>
      <c r="CQ405" s="31"/>
      <c r="CR405" s="31"/>
      <c r="CS405" s="31"/>
      <c r="CT405" s="31"/>
      <c r="CU405" s="31"/>
      <c r="CV405" s="31"/>
      <c r="CW405" s="31"/>
      <c r="CX405" s="31"/>
      <c r="CY405" s="31"/>
      <c r="CZ405" s="31"/>
      <c r="DA405" s="31"/>
      <c r="DB405" s="31"/>
      <c r="DC405" s="31"/>
      <c r="DD405" s="31"/>
      <c r="DE405" s="31"/>
      <c r="DF405" s="31"/>
      <c r="DG405" s="31"/>
      <c r="DH405" s="31"/>
      <c r="DI405" s="31"/>
      <c r="DJ405" s="31"/>
      <c r="DK405" s="31"/>
      <c r="DL405" s="31"/>
      <c r="DM405" s="31"/>
      <c r="DN405" s="31"/>
      <c r="DO405" s="31"/>
      <c r="DP405" s="31"/>
      <c r="DQ405" s="31"/>
      <c r="DR405" s="31"/>
      <c r="DS405" s="31"/>
      <c r="DT405" s="31"/>
      <c r="DU405" s="31"/>
      <c r="DV405" s="31"/>
      <c r="DW405" s="31"/>
      <c r="DX405" s="31"/>
      <c r="DY405" s="31"/>
      <c r="DZ405" s="31"/>
      <c r="EA405" s="31"/>
      <c r="EB405" s="31"/>
      <c r="EC405" s="31"/>
      <c r="ED405" s="31"/>
      <c r="EE405" s="31"/>
      <c r="EF405" s="31"/>
      <c r="EG405" s="31"/>
      <c r="EH405" s="31"/>
      <c r="EI405" s="31"/>
      <c r="EJ405" s="31"/>
      <c r="EK405" s="31"/>
      <c r="EL405" s="31"/>
      <c r="EM405" s="31"/>
      <c r="EN405" s="31"/>
      <c r="EO405" s="31"/>
      <c r="EP405" s="31"/>
      <c r="EQ405" s="31"/>
      <c r="ER405" s="31"/>
      <c r="ES405" s="31"/>
      <c r="ET405" s="31"/>
      <c r="EU405" s="31"/>
      <c r="EV405" s="31"/>
      <c r="EW405" s="31"/>
      <c r="EX405" s="31"/>
      <c r="EY405" s="31"/>
      <c r="EZ405" s="31"/>
      <c r="FA405" s="31"/>
      <c r="FB405" s="31"/>
      <c r="FC405" s="31"/>
      <c r="FD405" s="31"/>
      <c r="FE405" s="31"/>
      <c r="FF405" s="31"/>
      <c r="FG405" s="31"/>
      <c r="FH405" s="31"/>
      <c r="FI405" s="31"/>
      <c r="FJ405" s="31"/>
      <c r="FK405" s="31"/>
      <c r="FL405" s="31"/>
      <c r="FM405" s="31"/>
      <c r="FN405" s="31"/>
      <c r="FO405" s="31"/>
      <c r="FP405" s="31"/>
      <c r="FQ405" s="31"/>
      <c r="FR405" s="31"/>
      <c r="FS405" s="31"/>
      <c r="FT405" s="31"/>
      <c r="FU405" s="31"/>
      <c r="FV405" s="31"/>
      <c r="FW405" s="31"/>
      <c r="FX405" s="31"/>
      <c r="FY405" s="31"/>
      <c r="FZ405" s="31"/>
      <c r="GA405" s="31"/>
      <c r="GB405" s="31"/>
      <c r="GC405" s="31"/>
      <c r="GD405" s="31"/>
      <c r="GE405" s="31"/>
      <c r="GF405" s="31"/>
      <c r="GG405" s="31"/>
      <c r="GH405" s="31"/>
      <c r="GI405" s="31"/>
      <c r="GJ405" s="31"/>
      <c r="GK405" s="31"/>
      <c r="GL405" s="31"/>
      <c r="GM405" s="31"/>
      <c r="GN405" s="31"/>
      <c r="GO405" s="31"/>
      <c r="GP405" s="31"/>
      <c r="GQ405" s="31"/>
      <c r="GR405" s="31"/>
      <c r="GS405" s="31"/>
      <c r="GT405" s="31"/>
      <c r="GU405" s="31"/>
      <c r="GV405" s="31"/>
      <c r="GW405" s="31"/>
      <c r="GX405" s="31"/>
      <c r="GY405" s="31"/>
      <c r="GZ405" s="31"/>
      <c r="HA405" s="31"/>
      <c r="HB405" s="31"/>
      <c r="HC405" s="31"/>
      <c r="HD405" s="31"/>
      <c r="HE405" s="31"/>
      <c r="HF405" s="31"/>
      <c r="HG405" s="31"/>
      <c r="HH405" s="31"/>
      <c r="HI405" s="31"/>
      <c r="HJ405" s="31"/>
      <c r="HK405" s="31"/>
      <c r="HL405" s="31"/>
      <c r="HM405" s="31"/>
      <c r="HN405" s="31"/>
      <c r="HO405" s="31"/>
      <c r="HP405" s="31"/>
      <c r="HQ405" s="31"/>
      <c r="HR405" s="31"/>
      <c r="HS405" s="31"/>
      <c r="HT405" s="31"/>
      <c r="HU405" s="31"/>
      <c r="HV405" s="31"/>
      <c r="HW405" s="31"/>
      <c r="HX405" s="31"/>
      <c r="HY405" s="31"/>
      <c r="HZ405" s="31"/>
      <c r="IA405" s="31"/>
      <c r="IB405" s="31"/>
      <c r="IC405" s="31"/>
      <c r="ID405" s="31"/>
      <c r="IE405" s="31"/>
      <c r="IF405" s="31"/>
      <c r="IG405" s="31"/>
      <c r="IH405" s="31"/>
      <c r="II405" s="31"/>
      <c r="IJ405" s="31"/>
      <c r="IK405" s="31"/>
      <c r="IL405" s="31"/>
      <c r="IM405" s="31"/>
      <c r="IN405" s="31"/>
      <c r="IO405" s="31"/>
      <c r="IP405" s="31"/>
      <c r="IQ405" s="31"/>
      <c r="IR405" s="31"/>
      <c r="IS405" s="31"/>
      <c r="IT405" s="31"/>
      <c r="IU405" s="31"/>
      <c r="IV405" s="31"/>
      <c r="IW405" s="31"/>
      <c r="IX405" s="31"/>
      <c r="IY405" s="31"/>
      <c r="IZ405" s="31"/>
      <c r="JA405" s="31"/>
      <c r="JB405" s="31"/>
      <c r="JC405" s="31"/>
      <c r="JD405" s="31"/>
      <c r="JE405" s="31"/>
      <c r="JF405" s="31"/>
      <c r="JG405" s="31"/>
      <c r="JH405" s="31"/>
      <c r="JI405" s="31"/>
      <c r="JJ405" s="31"/>
      <c r="JK405" s="31"/>
      <c r="JL405" s="31"/>
      <c r="JM405" s="31"/>
      <c r="JN405" s="31"/>
      <c r="JO405" s="31"/>
      <c r="JP405" s="31"/>
      <c r="JQ405" s="31"/>
      <c r="JR405" s="31"/>
      <c r="JS405" s="31"/>
      <c r="JT405" s="31"/>
      <c r="JU405" s="31"/>
      <c r="JV405" s="31"/>
      <c r="JW405" s="31"/>
      <c r="JX405" s="31"/>
      <c r="JY405" s="31"/>
      <c r="JZ405" s="31"/>
      <c r="KA405" s="31"/>
      <c r="KB405" s="31"/>
      <c r="KC405" s="31"/>
      <c r="KD405" s="31"/>
      <c r="KE405" s="31"/>
      <c r="KF405" s="31"/>
      <c r="KG405" s="31"/>
      <c r="KH405" s="31"/>
      <c r="KI405" s="31"/>
      <c r="KJ405" s="31"/>
      <c r="KK405" s="31"/>
      <c r="KL405" s="31"/>
      <c r="KM405" s="31"/>
      <c r="KN405" s="31"/>
      <c r="KO405" s="31"/>
      <c r="KP405" s="31"/>
      <c r="KQ405" s="31"/>
      <c r="KR405" s="31"/>
      <c r="KS405" s="31"/>
      <c r="KT405" s="31"/>
      <c r="KU405" s="31"/>
      <c r="KV405" s="31"/>
      <c r="KW405" s="31"/>
      <c r="KX405" s="31"/>
      <c r="KY405" s="31"/>
      <c r="KZ405" s="31"/>
      <c r="LA405" s="31"/>
      <c r="LB405" s="31"/>
      <c r="LC405" s="31"/>
      <c r="LD405" s="31"/>
      <c r="LE405" s="31"/>
      <c r="LF405" s="31"/>
      <c r="LG405" s="31"/>
      <c r="LH405" s="31"/>
      <c r="LI405" s="31"/>
      <c r="LJ405" s="31"/>
      <c r="LK405" s="31"/>
      <c r="LL405" s="31"/>
      <c r="LM405" s="31"/>
      <c r="LN405" s="31"/>
      <c r="LO405" s="31"/>
      <c r="LP405" s="31"/>
      <c r="LQ405" s="31"/>
      <c r="LR405" s="31"/>
      <c r="LS405" s="31"/>
      <c r="LT405" s="31"/>
      <c r="LU405" s="31"/>
      <c r="LV405" s="31"/>
      <c r="LW405" s="31"/>
      <c r="LX405" s="31"/>
      <c r="LY405" s="31"/>
      <c r="LZ405" s="31"/>
      <c r="MA405" s="31"/>
      <c r="MB405" s="31"/>
      <c r="MC405" s="31"/>
      <c r="MD405" s="31"/>
      <c r="ME405" s="31"/>
      <c r="MF405" s="31"/>
      <c r="MG405" s="31"/>
      <c r="MH405" s="31"/>
      <c r="MI405" s="31"/>
      <c r="MJ405" s="31"/>
      <c r="MK405" s="31"/>
      <c r="ML405" s="31"/>
      <c r="MM405" s="31"/>
      <c r="MN405" s="31"/>
      <c r="MO405" s="31"/>
      <c r="MP405" s="31"/>
      <c r="MQ405" s="31"/>
      <c r="MR405" s="31"/>
      <c r="MS405" s="31"/>
      <c r="MT405" s="31"/>
      <c r="MU405" s="31"/>
      <c r="MV405" s="31"/>
      <c r="MW405" s="31"/>
      <c r="MX405" s="31"/>
      <c r="MY405" s="31"/>
      <c r="MZ405" s="31"/>
      <c r="NA405" s="31"/>
      <c r="NB405" s="31"/>
      <c r="NC405" s="31"/>
      <c r="ND405" s="31"/>
      <c r="NE405" s="31"/>
      <c r="NF405" s="31"/>
      <c r="NG405" s="31"/>
      <c r="NH405" s="31"/>
      <c r="NI405" s="31"/>
      <c r="NJ405" s="31"/>
      <c r="NK405" s="31"/>
      <c r="NL405" s="31"/>
      <c r="NM405" s="31"/>
      <c r="NN405" s="31"/>
      <c r="NO405" s="31"/>
      <c r="NP405" s="31"/>
      <c r="NQ405" s="31"/>
      <c r="NR405" s="31"/>
      <c r="NS405" s="31"/>
      <c r="NT405" s="31"/>
      <c r="NU405" s="31"/>
      <c r="NV405" s="31"/>
      <c r="NW405" s="31"/>
      <c r="NX405" s="31"/>
      <c r="NY405" s="31"/>
      <c r="NZ405" s="31"/>
      <c r="OA405" s="31"/>
      <c r="OB405" s="31"/>
      <c r="OC405" s="31"/>
      <c r="OD405" s="31"/>
      <c r="OE405" s="31"/>
      <c r="OF405" s="31"/>
      <c r="OG405" s="31"/>
      <c r="OH405" s="31"/>
      <c r="OI405" s="31"/>
      <c r="OJ405" s="31"/>
      <c r="OK405" s="31"/>
      <c r="OL405" s="31"/>
      <c r="OM405" s="31"/>
      <c r="ON405" s="31"/>
      <c r="OO405" s="31"/>
      <c r="OP405" s="31"/>
      <c r="OQ405" s="31"/>
      <c r="OR405" s="31"/>
      <c r="OS405" s="31"/>
      <c r="OT405" s="31"/>
      <c r="OU405" s="31"/>
      <c r="OV405" s="31"/>
      <c r="OW405" s="31"/>
      <c r="OX405" s="31"/>
      <c r="OY405" s="31"/>
      <c r="OZ405" s="31"/>
      <c r="PA405" s="31"/>
      <c r="PB405" s="31"/>
      <c r="PC405" s="31"/>
      <c r="PD405" s="31"/>
      <c r="PE405" s="31"/>
      <c r="PF405" s="31"/>
      <c r="PG405" s="31"/>
      <c r="PH405" s="31"/>
      <c r="PI405" s="31"/>
      <c r="PJ405" s="31"/>
      <c r="PK405" s="31"/>
      <c r="PL405" s="31"/>
      <c r="PM405" s="31"/>
      <c r="PN405" s="31"/>
      <c r="PO405" s="31"/>
      <c r="PP405" s="31"/>
      <c r="PQ405" s="31"/>
      <c r="PR405" s="31"/>
      <c r="PS405" s="31"/>
      <c r="PT405" s="31"/>
      <c r="PU405" s="31"/>
      <c r="PV405" s="31"/>
      <c r="PW405" s="31"/>
      <c r="PX405" s="31"/>
      <c r="PY405" s="31"/>
      <c r="PZ405" s="31"/>
      <c r="QA405" s="31"/>
      <c r="QB405" s="31"/>
      <c r="QC405" s="31"/>
      <c r="QD405" s="31"/>
      <c r="QE405" s="31"/>
      <c r="QF405" s="31"/>
      <c r="QG405" s="31"/>
      <c r="QH405" s="31"/>
      <c r="QI405" s="31"/>
      <c r="QJ405" s="31"/>
      <c r="QK405" s="31"/>
      <c r="QL405" s="31"/>
      <c r="QM405" s="31"/>
      <c r="QN405" s="31"/>
      <c r="QO405" s="31"/>
      <c r="QP405" s="31"/>
      <c r="QQ405" s="31"/>
      <c r="QR405" s="31"/>
      <c r="QS405" s="31"/>
      <c r="QT405" s="31"/>
      <c r="QU405" s="31"/>
      <c r="QV405" s="31"/>
      <c r="QW405" s="31"/>
      <c r="QX405" s="31"/>
      <c r="QY405" s="31"/>
      <c r="QZ405" s="31"/>
      <c r="RA405" s="31"/>
      <c r="RB405" s="31"/>
      <c r="RC405" s="31"/>
      <c r="RD405" s="31"/>
      <c r="RE405" s="31"/>
      <c r="RF405" s="31"/>
      <c r="RG405" s="31"/>
      <c r="RH405" s="31"/>
      <c r="RI405" s="31"/>
      <c r="RJ405" s="31"/>
      <c r="RK405" s="31"/>
      <c r="RL405" s="31"/>
      <c r="RM405" s="31"/>
      <c r="RN405" s="31"/>
      <c r="RO405" s="31"/>
      <c r="RP405" s="31"/>
      <c r="RQ405" s="31"/>
      <c r="RR405" s="31"/>
      <c r="RS405" s="31"/>
      <c r="RT405" s="31"/>
      <c r="RU405" s="31"/>
      <c r="RV405" s="31"/>
      <c r="RW405" s="31"/>
      <c r="RX405" s="31"/>
      <c r="RY405" s="31"/>
      <c r="RZ405" s="31"/>
      <c r="SA405" s="31"/>
      <c r="SB405" s="31"/>
      <c r="SC405" s="31"/>
      <c r="SD405" s="31"/>
      <c r="SE405" s="31"/>
      <c r="SF405" s="31"/>
      <c r="SG405" s="31"/>
      <c r="SH405" s="31"/>
      <c r="SI405" s="31"/>
      <c r="SJ405" s="31"/>
      <c r="SK405" s="31"/>
      <c r="SL405" s="31"/>
      <c r="SM405" s="31"/>
      <c r="SN405" s="31"/>
      <c r="SO405" s="31"/>
      <c r="SP405" s="31"/>
      <c r="SQ405" s="31"/>
      <c r="SR405" s="31"/>
      <c r="SS405" s="31"/>
      <c r="ST405" s="31"/>
      <c r="SU405" s="31"/>
      <c r="SV405" s="31"/>
      <c r="SW405" s="31"/>
      <c r="SX405" s="31"/>
      <c r="SY405" s="31"/>
      <c r="SZ405" s="31"/>
      <c r="TA405" s="31"/>
      <c r="TB405" s="31"/>
      <c r="TC405" s="31"/>
      <c r="TD405" s="31"/>
      <c r="TE405" s="31"/>
      <c r="TF405" s="31"/>
      <c r="TG405" s="31"/>
      <c r="TH405" s="31"/>
      <c r="TI405" s="31"/>
      <c r="TJ405" s="31"/>
      <c r="TK405" s="31"/>
      <c r="TL405" s="31"/>
      <c r="TM405" s="31"/>
      <c r="TN405" s="31"/>
      <c r="TO405" s="31"/>
      <c r="TP405" s="31"/>
      <c r="TQ405" s="31"/>
      <c r="TR405" s="31"/>
      <c r="TS405" s="31"/>
      <c r="TT405" s="31"/>
      <c r="TU405" s="31"/>
      <c r="TV405" s="31"/>
      <c r="TW405" s="31"/>
      <c r="TX405" s="31"/>
      <c r="TY405" s="31"/>
      <c r="TZ405" s="31"/>
      <c r="UA405" s="31"/>
      <c r="UB405" s="31"/>
      <c r="UC405" s="31"/>
      <c r="UD405" s="31"/>
      <c r="UE405" s="31"/>
      <c r="UF405" s="31"/>
      <c r="UG405" s="33"/>
    </row>
    <row r="406" spans="1:553" ht="297.75" customHeight="1">
      <c r="A406" s="356" t="s">
        <v>15</v>
      </c>
      <c r="B406" s="356"/>
      <c r="C406" s="384" t="s">
        <v>69</v>
      </c>
      <c r="D406" s="376" t="s">
        <v>70</v>
      </c>
      <c r="E406" s="376" t="s">
        <v>310</v>
      </c>
      <c r="F406" s="385">
        <v>1</v>
      </c>
      <c r="G406" s="386" t="s">
        <v>935</v>
      </c>
      <c r="H406" s="441">
        <v>459.7</v>
      </c>
      <c r="I406" s="490">
        <v>459.7</v>
      </c>
      <c r="J406" s="477">
        <v>55000</v>
      </c>
      <c r="K406" s="388"/>
      <c r="L406" s="366">
        <f t="shared" si="86"/>
        <v>25283500</v>
      </c>
      <c r="M406" s="366"/>
      <c r="N406" s="366"/>
      <c r="O406" s="366"/>
      <c r="P406" s="366"/>
      <c r="Q406" s="1036" t="s">
        <v>311</v>
      </c>
      <c r="R406" s="1452"/>
      <c r="S406" s="308"/>
      <c r="T406" s="303"/>
      <c r="U406" s="306"/>
      <c r="V406" s="307"/>
      <c r="W406" s="307"/>
      <c r="X406" s="307">
        <f>I406</f>
        <v>459.7</v>
      </c>
      <c r="Y406" s="307"/>
      <c r="Z406" s="307"/>
      <c r="AA406" s="307"/>
      <c r="AB406" s="307"/>
      <c r="AC406" s="449"/>
      <c r="AD406" s="452"/>
      <c r="AE406" s="452"/>
      <c r="AF406" s="452"/>
      <c r="AG406" s="452"/>
      <c r="AH406" s="452"/>
      <c r="AI406" s="452"/>
      <c r="AJ406" s="452"/>
      <c r="AK406" s="452"/>
      <c r="AL406" s="106"/>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31"/>
      <c r="BS406" s="31"/>
      <c r="BT406" s="31"/>
      <c r="BU406" s="31"/>
      <c r="BV406" s="31"/>
      <c r="BW406" s="31"/>
      <c r="BX406" s="31"/>
      <c r="BY406" s="31"/>
      <c r="BZ406" s="31"/>
      <c r="CA406" s="31"/>
      <c r="CB406" s="31"/>
      <c r="CC406" s="31"/>
      <c r="CD406" s="31"/>
      <c r="CE406" s="31"/>
      <c r="CF406" s="31"/>
      <c r="CG406" s="31"/>
      <c r="CH406" s="31"/>
      <c r="CI406" s="31"/>
      <c r="CJ406" s="31"/>
      <c r="CK406" s="31"/>
      <c r="CL406" s="31"/>
      <c r="CM406" s="31"/>
      <c r="CN406" s="31"/>
      <c r="CO406" s="31"/>
      <c r="CP406" s="31"/>
      <c r="CQ406" s="31"/>
      <c r="CR406" s="31"/>
      <c r="CS406" s="31"/>
      <c r="CT406" s="31"/>
      <c r="CU406" s="31"/>
      <c r="CV406" s="31"/>
      <c r="CW406" s="31"/>
      <c r="CX406" s="31"/>
      <c r="CY406" s="31"/>
      <c r="CZ406" s="31"/>
      <c r="DA406" s="31"/>
      <c r="DB406" s="31"/>
      <c r="DC406" s="31"/>
      <c r="DD406" s="31"/>
      <c r="DE406" s="31"/>
      <c r="DF406" s="31"/>
      <c r="DG406" s="31"/>
      <c r="DH406" s="31"/>
      <c r="DI406" s="31"/>
      <c r="DJ406" s="31"/>
      <c r="DK406" s="31"/>
      <c r="DL406" s="31"/>
      <c r="DM406" s="31"/>
      <c r="DN406" s="31"/>
      <c r="DO406" s="31"/>
      <c r="DP406" s="31"/>
      <c r="DQ406" s="31"/>
      <c r="DR406" s="31"/>
      <c r="DS406" s="31"/>
      <c r="DT406" s="31"/>
      <c r="DU406" s="31"/>
      <c r="DV406" s="31"/>
      <c r="DW406" s="31"/>
      <c r="DX406" s="31"/>
      <c r="DY406" s="31"/>
      <c r="DZ406" s="31"/>
      <c r="EA406" s="31"/>
      <c r="EB406" s="31"/>
      <c r="EC406" s="31"/>
      <c r="ED406" s="31"/>
      <c r="EE406" s="31"/>
      <c r="EF406" s="31"/>
      <c r="EG406" s="31"/>
      <c r="EH406" s="31"/>
      <c r="EI406" s="31"/>
      <c r="EJ406" s="31"/>
      <c r="EK406" s="31"/>
      <c r="EL406" s="31"/>
      <c r="EM406" s="31"/>
      <c r="EN406" s="31"/>
      <c r="EO406" s="31"/>
      <c r="EP406" s="31"/>
      <c r="EQ406" s="31"/>
      <c r="ER406" s="31"/>
      <c r="ES406" s="31"/>
      <c r="ET406" s="31"/>
      <c r="EU406" s="31"/>
      <c r="EV406" s="31"/>
      <c r="EW406" s="31"/>
      <c r="EX406" s="31"/>
      <c r="EY406" s="31"/>
      <c r="EZ406" s="31"/>
      <c r="FA406" s="31"/>
      <c r="FB406" s="31"/>
      <c r="FC406" s="31"/>
      <c r="FD406" s="31"/>
      <c r="FE406" s="31"/>
      <c r="FF406" s="31"/>
      <c r="FG406" s="31"/>
      <c r="FH406" s="31"/>
      <c r="FI406" s="31"/>
      <c r="FJ406" s="31"/>
      <c r="FK406" s="31"/>
      <c r="FL406" s="31"/>
      <c r="FM406" s="31"/>
      <c r="FN406" s="31"/>
      <c r="FO406" s="31"/>
      <c r="FP406" s="31"/>
      <c r="FQ406" s="31"/>
      <c r="FR406" s="31"/>
      <c r="FS406" s="31"/>
      <c r="FT406" s="31"/>
      <c r="FU406" s="31"/>
      <c r="FV406" s="31"/>
      <c r="FW406" s="31"/>
      <c r="FX406" s="31"/>
      <c r="FY406" s="31"/>
      <c r="FZ406" s="31"/>
      <c r="GA406" s="31"/>
      <c r="GB406" s="31"/>
      <c r="GC406" s="31"/>
      <c r="GD406" s="31"/>
      <c r="GE406" s="31"/>
      <c r="GF406" s="31"/>
      <c r="GG406" s="31"/>
      <c r="GH406" s="31"/>
      <c r="GI406" s="31"/>
      <c r="GJ406" s="31"/>
      <c r="GK406" s="31"/>
      <c r="GL406" s="31"/>
      <c r="GM406" s="31"/>
      <c r="GN406" s="31"/>
      <c r="GO406" s="31"/>
      <c r="GP406" s="31"/>
      <c r="GQ406" s="31"/>
      <c r="GR406" s="31"/>
      <c r="GS406" s="31"/>
      <c r="GT406" s="31"/>
      <c r="GU406" s="31"/>
      <c r="GV406" s="31"/>
      <c r="GW406" s="31"/>
      <c r="GX406" s="31"/>
      <c r="GY406" s="31"/>
      <c r="GZ406" s="31"/>
      <c r="HA406" s="31"/>
      <c r="HB406" s="31"/>
      <c r="HC406" s="31"/>
      <c r="HD406" s="31"/>
      <c r="HE406" s="31"/>
      <c r="HF406" s="31"/>
      <c r="HG406" s="31"/>
      <c r="HH406" s="31"/>
      <c r="HI406" s="31"/>
      <c r="HJ406" s="31"/>
      <c r="HK406" s="31"/>
      <c r="HL406" s="31"/>
      <c r="HM406" s="31"/>
      <c r="HN406" s="31"/>
      <c r="HO406" s="31"/>
      <c r="HP406" s="31"/>
      <c r="HQ406" s="31"/>
      <c r="HR406" s="31"/>
      <c r="HS406" s="31"/>
      <c r="HT406" s="31"/>
      <c r="HU406" s="31"/>
      <c r="HV406" s="31"/>
      <c r="HW406" s="31"/>
      <c r="HX406" s="31"/>
      <c r="HY406" s="31"/>
      <c r="HZ406" s="31"/>
      <c r="IA406" s="31"/>
      <c r="IB406" s="31"/>
      <c r="IC406" s="31"/>
      <c r="ID406" s="31"/>
      <c r="IE406" s="31"/>
      <c r="IF406" s="31"/>
      <c r="IG406" s="31"/>
      <c r="IH406" s="31"/>
      <c r="II406" s="31"/>
      <c r="IJ406" s="31"/>
      <c r="IK406" s="31"/>
      <c r="IL406" s="31"/>
      <c r="IM406" s="31"/>
      <c r="IN406" s="31"/>
      <c r="IO406" s="31"/>
      <c r="IP406" s="31"/>
      <c r="IQ406" s="31"/>
      <c r="IR406" s="31"/>
      <c r="IS406" s="31"/>
      <c r="IT406" s="31"/>
      <c r="IU406" s="31"/>
      <c r="IV406" s="31"/>
      <c r="IW406" s="31"/>
      <c r="IX406" s="31"/>
      <c r="IY406" s="31"/>
      <c r="IZ406" s="31"/>
      <c r="JA406" s="31"/>
      <c r="JB406" s="31"/>
      <c r="JC406" s="31"/>
      <c r="JD406" s="31"/>
      <c r="JE406" s="31"/>
      <c r="JF406" s="31"/>
      <c r="JG406" s="31"/>
      <c r="JH406" s="31"/>
      <c r="JI406" s="31"/>
      <c r="JJ406" s="31"/>
      <c r="JK406" s="31"/>
      <c r="JL406" s="31"/>
      <c r="JM406" s="31"/>
      <c r="JN406" s="31"/>
      <c r="JO406" s="31"/>
      <c r="JP406" s="31"/>
      <c r="JQ406" s="31"/>
      <c r="JR406" s="31"/>
      <c r="JS406" s="31"/>
      <c r="JT406" s="31"/>
      <c r="JU406" s="31"/>
      <c r="JV406" s="31"/>
      <c r="JW406" s="31"/>
      <c r="JX406" s="31"/>
      <c r="JY406" s="31"/>
      <c r="JZ406" s="31"/>
      <c r="KA406" s="31"/>
      <c r="KB406" s="31"/>
      <c r="KC406" s="31"/>
      <c r="KD406" s="31"/>
      <c r="KE406" s="31"/>
      <c r="KF406" s="31"/>
      <c r="KG406" s="31"/>
      <c r="KH406" s="31"/>
      <c r="KI406" s="31"/>
      <c r="KJ406" s="31"/>
      <c r="KK406" s="31"/>
      <c r="KL406" s="31"/>
      <c r="KM406" s="31"/>
      <c r="KN406" s="31"/>
      <c r="KO406" s="31"/>
      <c r="KP406" s="31"/>
      <c r="KQ406" s="31"/>
      <c r="KR406" s="31"/>
      <c r="KS406" s="31"/>
      <c r="KT406" s="31"/>
      <c r="KU406" s="31"/>
      <c r="KV406" s="31"/>
      <c r="KW406" s="31"/>
      <c r="KX406" s="31"/>
      <c r="KY406" s="31"/>
      <c r="KZ406" s="31"/>
      <c r="LA406" s="31"/>
      <c r="LB406" s="31"/>
      <c r="LC406" s="31"/>
      <c r="LD406" s="31"/>
      <c r="LE406" s="31"/>
      <c r="LF406" s="31"/>
      <c r="LG406" s="31"/>
      <c r="LH406" s="31"/>
      <c r="LI406" s="31"/>
      <c r="LJ406" s="31"/>
      <c r="LK406" s="31"/>
      <c r="LL406" s="31"/>
      <c r="LM406" s="31"/>
      <c r="LN406" s="31"/>
      <c r="LO406" s="31"/>
      <c r="LP406" s="31"/>
      <c r="LQ406" s="31"/>
      <c r="LR406" s="31"/>
      <c r="LS406" s="31"/>
      <c r="LT406" s="31"/>
      <c r="LU406" s="31"/>
      <c r="LV406" s="31"/>
      <c r="LW406" s="31"/>
      <c r="LX406" s="31"/>
      <c r="LY406" s="31"/>
      <c r="LZ406" s="31"/>
      <c r="MA406" s="31"/>
      <c r="MB406" s="31"/>
      <c r="MC406" s="31"/>
      <c r="MD406" s="31"/>
      <c r="ME406" s="31"/>
      <c r="MF406" s="31"/>
      <c r="MG406" s="31"/>
      <c r="MH406" s="31"/>
      <c r="MI406" s="31"/>
      <c r="MJ406" s="31"/>
      <c r="MK406" s="31"/>
      <c r="ML406" s="31"/>
      <c r="MM406" s="31"/>
      <c r="MN406" s="31"/>
      <c r="MO406" s="31"/>
      <c r="MP406" s="31"/>
      <c r="MQ406" s="31"/>
      <c r="MR406" s="31"/>
      <c r="MS406" s="31"/>
      <c r="MT406" s="31"/>
      <c r="MU406" s="31"/>
      <c r="MV406" s="31"/>
      <c r="MW406" s="31"/>
      <c r="MX406" s="31"/>
      <c r="MY406" s="31"/>
      <c r="MZ406" s="31"/>
      <c r="NA406" s="31"/>
      <c r="NB406" s="31"/>
      <c r="NC406" s="31"/>
      <c r="ND406" s="31"/>
      <c r="NE406" s="31"/>
      <c r="NF406" s="31"/>
      <c r="NG406" s="31"/>
      <c r="NH406" s="31"/>
      <c r="NI406" s="31"/>
      <c r="NJ406" s="31"/>
      <c r="NK406" s="31"/>
      <c r="NL406" s="31"/>
      <c r="NM406" s="31"/>
      <c r="NN406" s="31"/>
      <c r="NO406" s="31"/>
      <c r="NP406" s="31"/>
      <c r="NQ406" s="31"/>
      <c r="NR406" s="31"/>
      <c r="NS406" s="31"/>
      <c r="NT406" s="31"/>
      <c r="NU406" s="31"/>
      <c r="NV406" s="31"/>
      <c r="NW406" s="31"/>
      <c r="NX406" s="31"/>
      <c r="NY406" s="31"/>
      <c r="NZ406" s="31"/>
      <c r="OA406" s="31"/>
      <c r="OB406" s="31"/>
      <c r="OC406" s="31"/>
      <c r="OD406" s="31"/>
      <c r="OE406" s="31"/>
      <c r="OF406" s="31"/>
      <c r="OG406" s="31"/>
      <c r="OH406" s="31"/>
      <c r="OI406" s="31"/>
      <c r="OJ406" s="31"/>
      <c r="OK406" s="31"/>
      <c r="OL406" s="31"/>
      <c r="OM406" s="31"/>
      <c r="ON406" s="31"/>
      <c r="OO406" s="31"/>
      <c r="OP406" s="31"/>
      <c r="OQ406" s="31"/>
      <c r="OR406" s="31"/>
      <c r="OS406" s="31"/>
      <c r="OT406" s="31"/>
      <c r="OU406" s="31"/>
      <c r="OV406" s="31"/>
      <c r="OW406" s="31"/>
      <c r="OX406" s="31"/>
      <c r="OY406" s="31"/>
      <c r="OZ406" s="31"/>
      <c r="PA406" s="31"/>
      <c r="PB406" s="31"/>
      <c r="PC406" s="31"/>
      <c r="PD406" s="31"/>
      <c r="PE406" s="31"/>
      <c r="PF406" s="31"/>
      <c r="PG406" s="31"/>
      <c r="PH406" s="31"/>
      <c r="PI406" s="31"/>
      <c r="PJ406" s="31"/>
      <c r="PK406" s="31"/>
      <c r="PL406" s="31"/>
      <c r="PM406" s="31"/>
      <c r="PN406" s="31"/>
      <c r="PO406" s="31"/>
      <c r="PP406" s="31"/>
      <c r="PQ406" s="31"/>
      <c r="PR406" s="31"/>
      <c r="PS406" s="31"/>
      <c r="PT406" s="31"/>
      <c r="PU406" s="31"/>
      <c r="PV406" s="31"/>
      <c r="PW406" s="31"/>
      <c r="PX406" s="31"/>
      <c r="PY406" s="31"/>
      <c r="PZ406" s="31"/>
      <c r="QA406" s="31"/>
      <c r="QB406" s="31"/>
      <c r="QC406" s="31"/>
      <c r="QD406" s="31"/>
      <c r="QE406" s="31"/>
      <c r="QF406" s="31"/>
      <c r="QG406" s="31"/>
      <c r="QH406" s="31"/>
      <c r="QI406" s="31"/>
      <c r="QJ406" s="31"/>
      <c r="QK406" s="31"/>
      <c r="QL406" s="31"/>
      <c r="QM406" s="31"/>
      <c r="QN406" s="31"/>
      <c r="QO406" s="31"/>
      <c r="QP406" s="31"/>
      <c r="QQ406" s="31"/>
      <c r="QR406" s="31"/>
      <c r="QS406" s="31"/>
      <c r="QT406" s="31"/>
      <c r="QU406" s="31"/>
      <c r="QV406" s="31"/>
      <c r="QW406" s="31"/>
      <c r="QX406" s="31"/>
      <c r="QY406" s="31"/>
      <c r="QZ406" s="31"/>
      <c r="RA406" s="31"/>
      <c r="RB406" s="31"/>
      <c r="RC406" s="31"/>
      <c r="RD406" s="31"/>
      <c r="RE406" s="31"/>
      <c r="RF406" s="31"/>
      <c r="RG406" s="31"/>
      <c r="RH406" s="31"/>
      <c r="RI406" s="31"/>
      <c r="RJ406" s="31"/>
      <c r="RK406" s="31"/>
      <c r="RL406" s="31"/>
      <c r="RM406" s="31"/>
      <c r="RN406" s="31"/>
      <c r="RO406" s="31"/>
      <c r="RP406" s="31"/>
      <c r="RQ406" s="31"/>
      <c r="RR406" s="31"/>
      <c r="RS406" s="31"/>
      <c r="RT406" s="31"/>
      <c r="RU406" s="31"/>
      <c r="RV406" s="31"/>
      <c r="RW406" s="31"/>
      <c r="RX406" s="31"/>
      <c r="RY406" s="31"/>
      <c r="RZ406" s="31"/>
      <c r="SA406" s="31"/>
      <c r="SB406" s="31"/>
      <c r="SC406" s="31"/>
      <c r="SD406" s="31"/>
      <c r="SE406" s="31"/>
      <c r="SF406" s="31"/>
      <c r="SG406" s="31"/>
      <c r="SH406" s="31"/>
      <c r="SI406" s="31"/>
      <c r="SJ406" s="31"/>
      <c r="SK406" s="31"/>
      <c r="SL406" s="31"/>
      <c r="SM406" s="31"/>
      <c r="SN406" s="31"/>
      <c r="SO406" s="31"/>
      <c r="SP406" s="31"/>
      <c r="SQ406" s="31"/>
      <c r="SR406" s="31"/>
      <c r="SS406" s="31"/>
      <c r="ST406" s="31"/>
      <c r="SU406" s="31"/>
      <c r="SV406" s="31"/>
      <c r="SW406" s="31"/>
      <c r="SX406" s="31"/>
      <c r="SY406" s="31"/>
      <c r="SZ406" s="31"/>
      <c r="TA406" s="31"/>
      <c r="TB406" s="31"/>
      <c r="TC406" s="31"/>
      <c r="TD406" s="31"/>
      <c r="TE406" s="31"/>
      <c r="TF406" s="31"/>
      <c r="TG406" s="31"/>
      <c r="TH406" s="31"/>
      <c r="TI406" s="31"/>
      <c r="TJ406" s="31"/>
      <c r="TK406" s="31"/>
      <c r="TL406" s="31"/>
      <c r="TM406" s="31"/>
      <c r="TN406" s="31"/>
      <c r="TO406" s="31"/>
      <c r="TP406" s="31"/>
      <c r="TQ406" s="31"/>
      <c r="TR406" s="31"/>
      <c r="TS406" s="31"/>
      <c r="TT406" s="31"/>
      <c r="TU406" s="31"/>
      <c r="TV406" s="31"/>
      <c r="TW406" s="31"/>
      <c r="TX406" s="31"/>
      <c r="TY406" s="31"/>
      <c r="TZ406" s="31"/>
      <c r="UA406" s="31"/>
      <c r="UB406" s="31"/>
      <c r="UC406" s="31"/>
      <c r="UD406" s="31"/>
      <c r="UE406" s="31"/>
      <c r="UF406" s="31"/>
      <c r="UG406" s="33"/>
    </row>
    <row r="407" spans="1:553" ht="141.75" customHeight="1">
      <c r="A407" s="356" t="s">
        <v>15</v>
      </c>
      <c r="B407" s="356"/>
      <c r="C407" s="384" t="s">
        <v>23</v>
      </c>
      <c r="D407" s="376" t="s">
        <v>20</v>
      </c>
      <c r="E407" s="376" t="s">
        <v>312</v>
      </c>
      <c r="F407" s="385">
        <v>1</v>
      </c>
      <c r="G407" s="386" t="s">
        <v>935</v>
      </c>
      <c r="H407" s="441">
        <v>497.7</v>
      </c>
      <c r="I407" s="490">
        <v>497.7</v>
      </c>
      <c r="J407" s="368">
        <v>62000</v>
      </c>
      <c r="K407" s="388"/>
      <c r="L407" s="366">
        <f t="shared" si="86"/>
        <v>30857400</v>
      </c>
      <c r="M407" s="366"/>
      <c r="N407" s="366"/>
      <c r="O407" s="366"/>
      <c r="P407" s="366"/>
      <c r="Q407" s="1036" t="s">
        <v>313</v>
      </c>
      <c r="R407" s="1452"/>
      <c r="S407" s="308"/>
      <c r="T407" s="303"/>
      <c r="U407" s="306"/>
      <c r="V407" s="307"/>
      <c r="W407" s="307">
        <f>I407</f>
        <v>497.7</v>
      </c>
      <c r="X407" s="307"/>
      <c r="Y407" s="307"/>
      <c r="Z407" s="307"/>
      <c r="AA407" s="307"/>
      <c r="AB407" s="307"/>
      <c r="AC407" s="449"/>
      <c r="AD407" s="452"/>
      <c r="AE407" s="452"/>
      <c r="AF407" s="452"/>
      <c r="AG407" s="452"/>
      <c r="AH407" s="452"/>
      <c r="AI407" s="452"/>
      <c r="AJ407" s="452"/>
      <c r="AK407" s="452"/>
      <c r="AL407" s="106"/>
      <c r="AM407" s="31"/>
      <c r="AN407" s="31"/>
      <c r="AO407" s="31"/>
      <c r="AP407" s="31"/>
      <c r="AQ407" s="31"/>
      <c r="AR407" s="31"/>
      <c r="AS407" s="31"/>
      <c r="AT407" s="31"/>
      <c r="AU407" s="31"/>
      <c r="AV407" s="31"/>
      <c r="AW407" s="31"/>
      <c r="AX407" s="31"/>
      <c r="AY407" s="31"/>
      <c r="AZ407" s="31"/>
      <c r="BA407" s="31"/>
      <c r="BB407" s="31"/>
      <c r="BC407" s="31"/>
      <c r="BD407" s="31"/>
      <c r="BE407" s="31"/>
      <c r="BF407" s="31"/>
      <c r="BG407" s="31"/>
      <c r="BH407" s="31"/>
      <c r="BI407" s="31"/>
      <c r="BJ407" s="31"/>
      <c r="BK407" s="31"/>
      <c r="BL407" s="31"/>
      <c r="BM407" s="31"/>
      <c r="BN407" s="31"/>
      <c r="BO407" s="31"/>
      <c r="BP407" s="31"/>
      <c r="BQ407" s="31"/>
      <c r="BR407" s="31"/>
      <c r="BS407" s="31"/>
      <c r="BT407" s="31"/>
      <c r="BU407" s="31"/>
      <c r="BV407" s="31"/>
      <c r="BW407" s="31"/>
      <c r="BX407" s="31"/>
      <c r="BY407" s="31"/>
      <c r="BZ407" s="31"/>
      <c r="CA407" s="31"/>
      <c r="CB407" s="31"/>
      <c r="CC407" s="31"/>
      <c r="CD407" s="31"/>
      <c r="CE407" s="31"/>
      <c r="CF407" s="31"/>
      <c r="CG407" s="31"/>
      <c r="CH407" s="31"/>
      <c r="CI407" s="31"/>
      <c r="CJ407" s="31"/>
      <c r="CK407" s="31"/>
      <c r="CL407" s="31"/>
      <c r="CM407" s="31"/>
      <c r="CN407" s="31"/>
      <c r="CO407" s="31"/>
      <c r="CP407" s="31"/>
      <c r="CQ407" s="31"/>
      <c r="CR407" s="31"/>
      <c r="CS407" s="31"/>
      <c r="CT407" s="31"/>
      <c r="CU407" s="31"/>
      <c r="CV407" s="31"/>
      <c r="CW407" s="31"/>
      <c r="CX407" s="31"/>
      <c r="CY407" s="31"/>
      <c r="CZ407" s="31"/>
      <c r="DA407" s="31"/>
      <c r="DB407" s="31"/>
      <c r="DC407" s="31"/>
      <c r="DD407" s="31"/>
      <c r="DE407" s="31"/>
      <c r="DF407" s="31"/>
      <c r="DG407" s="31"/>
      <c r="DH407" s="31"/>
      <c r="DI407" s="31"/>
      <c r="DJ407" s="31"/>
      <c r="DK407" s="31"/>
      <c r="DL407" s="31"/>
      <c r="DM407" s="31"/>
      <c r="DN407" s="31"/>
      <c r="DO407" s="31"/>
      <c r="DP407" s="31"/>
      <c r="DQ407" s="31"/>
      <c r="DR407" s="31"/>
      <c r="DS407" s="31"/>
      <c r="DT407" s="31"/>
      <c r="DU407" s="31"/>
      <c r="DV407" s="31"/>
      <c r="DW407" s="31"/>
      <c r="DX407" s="31"/>
      <c r="DY407" s="31"/>
      <c r="DZ407" s="31"/>
      <c r="EA407" s="31"/>
      <c r="EB407" s="31"/>
      <c r="EC407" s="31"/>
      <c r="ED407" s="31"/>
      <c r="EE407" s="31"/>
      <c r="EF407" s="31"/>
      <c r="EG407" s="31"/>
      <c r="EH407" s="31"/>
      <c r="EI407" s="31"/>
      <c r="EJ407" s="31"/>
      <c r="EK407" s="31"/>
      <c r="EL407" s="31"/>
      <c r="EM407" s="31"/>
      <c r="EN407" s="31"/>
      <c r="EO407" s="31"/>
      <c r="EP407" s="31"/>
      <c r="EQ407" s="31"/>
      <c r="ER407" s="31"/>
      <c r="ES407" s="31"/>
      <c r="ET407" s="31"/>
      <c r="EU407" s="31"/>
      <c r="EV407" s="31"/>
      <c r="EW407" s="31"/>
      <c r="EX407" s="31"/>
      <c r="EY407" s="31"/>
      <c r="EZ407" s="31"/>
      <c r="FA407" s="31"/>
      <c r="FB407" s="31"/>
      <c r="FC407" s="31"/>
      <c r="FD407" s="31"/>
      <c r="FE407" s="31"/>
      <c r="FF407" s="31"/>
      <c r="FG407" s="31"/>
      <c r="FH407" s="31"/>
      <c r="FI407" s="31"/>
      <c r="FJ407" s="31"/>
      <c r="FK407" s="31"/>
      <c r="FL407" s="31"/>
      <c r="FM407" s="31"/>
      <c r="FN407" s="31"/>
      <c r="FO407" s="31"/>
      <c r="FP407" s="31"/>
      <c r="FQ407" s="31"/>
      <c r="FR407" s="31"/>
      <c r="FS407" s="31"/>
      <c r="FT407" s="31"/>
      <c r="FU407" s="31"/>
      <c r="FV407" s="31"/>
      <c r="FW407" s="31"/>
      <c r="FX407" s="31"/>
      <c r="FY407" s="31"/>
      <c r="FZ407" s="31"/>
      <c r="GA407" s="31"/>
      <c r="GB407" s="31"/>
      <c r="GC407" s="31"/>
      <c r="GD407" s="31"/>
      <c r="GE407" s="31"/>
      <c r="GF407" s="31"/>
      <c r="GG407" s="31"/>
      <c r="GH407" s="31"/>
      <c r="GI407" s="31"/>
      <c r="GJ407" s="31"/>
      <c r="GK407" s="31"/>
      <c r="GL407" s="31"/>
      <c r="GM407" s="31"/>
      <c r="GN407" s="31"/>
      <c r="GO407" s="31"/>
      <c r="GP407" s="31"/>
      <c r="GQ407" s="31"/>
      <c r="GR407" s="31"/>
      <c r="GS407" s="31"/>
      <c r="GT407" s="31"/>
      <c r="GU407" s="31"/>
      <c r="GV407" s="31"/>
      <c r="GW407" s="31"/>
      <c r="GX407" s="31"/>
      <c r="GY407" s="31"/>
      <c r="GZ407" s="31"/>
      <c r="HA407" s="31"/>
      <c r="HB407" s="31"/>
      <c r="HC407" s="31"/>
      <c r="HD407" s="31"/>
      <c r="HE407" s="31"/>
      <c r="HF407" s="31"/>
      <c r="HG407" s="31"/>
      <c r="HH407" s="31"/>
      <c r="HI407" s="31"/>
      <c r="HJ407" s="31"/>
      <c r="HK407" s="31"/>
      <c r="HL407" s="31"/>
      <c r="HM407" s="31"/>
      <c r="HN407" s="31"/>
      <c r="HO407" s="31"/>
      <c r="HP407" s="31"/>
      <c r="HQ407" s="31"/>
      <c r="HR407" s="31"/>
      <c r="HS407" s="31"/>
      <c r="HT407" s="31"/>
      <c r="HU407" s="31"/>
      <c r="HV407" s="31"/>
      <c r="HW407" s="31"/>
      <c r="HX407" s="31"/>
      <c r="HY407" s="31"/>
      <c r="HZ407" s="31"/>
      <c r="IA407" s="31"/>
      <c r="IB407" s="31"/>
      <c r="IC407" s="31"/>
      <c r="ID407" s="31"/>
      <c r="IE407" s="31"/>
      <c r="IF407" s="31"/>
      <c r="IG407" s="31"/>
      <c r="IH407" s="31"/>
      <c r="II407" s="31"/>
      <c r="IJ407" s="31"/>
      <c r="IK407" s="31"/>
      <c r="IL407" s="31"/>
      <c r="IM407" s="31"/>
      <c r="IN407" s="31"/>
      <c r="IO407" s="31"/>
      <c r="IP407" s="31"/>
      <c r="IQ407" s="31"/>
      <c r="IR407" s="31"/>
      <c r="IS407" s="31"/>
      <c r="IT407" s="31"/>
      <c r="IU407" s="31"/>
      <c r="IV407" s="31"/>
      <c r="IW407" s="31"/>
      <c r="IX407" s="31"/>
      <c r="IY407" s="31"/>
      <c r="IZ407" s="31"/>
      <c r="JA407" s="31"/>
      <c r="JB407" s="31"/>
      <c r="JC407" s="31"/>
      <c r="JD407" s="31"/>
      <c r="JE407" s="31"/>
      <c r="JF407" s="31"/>
      <c r="JG407" s="31"/>
      <c r="JH407" s="31"/>
      <c r="JI407" s="31"/>
      <c r="JJ407" s="31"/>
      <c r="JK407" s="31"/>
      <c r="JL407" s="31"/>
      <c r="JM407" s="31"/>
      <c r="JN407" s="31"/>
      <c r="JO407" s="31"/>
      <c r="JP407" s="31"/>
      <c r="JQ407" s="31"/>
      <c r="JR407" s="31"/>
      <c r="JS407" s="31"/>
      <c r="JT407" s="31"/>
      <c r="JU407" s="31"/>
      <c r="JV407" s="31"/>
      <c r="JW407" s="31"/>
      <c r="JX407" s="31"/>
      <c r="JY407" s="31"/>
      <c r="JZ407" s="31"/>
      <c r="KA407" s="31"/>
      <c r="KB407" s="31"/>
      <c r="KC407" s="31"/>
      <c r="KD407" s="31"/>
      <c r="KE407" s="31"/>
      <c r="KF407" s="31"/>
      <c r="KG407" s="31"/>
      <c r="KH407" s="31"/>
      <c r="KI407" s="31"/>
      <c r="KJ407" s="31"/>
      <c r="KK407" s="31"/>
      <c r="KL407" s="31"/>
      <c r="KM407" s="31"/>
      <c r="KN407" s="31"/>
      <c r="KO407" s="31"/>
      <c r="KP407" s="31"/>
      <c r="KQ407" s="31"/>
      <c r="KR407" s="31"/>
      <c r="KS407" s="31"/>
      <c r="KT407" s="31"/>
      <c r="KU407" s="31"/>
      <c r="KV407" s="31"/>
      <c r="KW407" s="31"/>
      <c r="KX407" s="31"/>
      <c r="KY407" s="31"/>
      <c r="KZ407" s="31"/>
      <c r="LA407" s="31"/>
      <c r="LB407" s="31"/>
      <c r="LC407" s="31"/>
      <c r="LD407" s="31"/>
      <c r="LE407" s="31"/>
      <c r="LF407" s="31"/>
      <c r="LG407" s="31"/>
      <c r="LH407" s="31"/>
      <c r="LI407" s="31"/>
      <c r="LJ407" s="31"/>
      <c r="LK407" s="31"/>
      <c r="LL407" s="31"/>
      <c r="LM407" s="31"/>
      <c r="LN407" s="31"/>
      <c r="LO407" s="31"/>
      <c r="LP407" s="31"/>
      <c r="LQ407" s="31"/>
      <c r="LR407" s="31"/>
      <c r="LS407" s="31"/>
      <c r="LT407" s="31"/>
      <c r="LU407" s="31"/>
      <c r="LV407" s="31"/>
      <c r="LW407" s="31"/>
      <c r="LX407" s="31"/>
      <c r="LY407" s="31"/>
      <c r="LZ407" s="31"/>
      <c r="MA407" s="31"/>
      <c r="MB407" s="31"/>
      <c r="MC407" s="31"/>
      <c r="MD407" s="31"/>
      <c r="ME407" s="31"/>
      <c r="MF407" s="31"/>
      <c r="MG407" s="31"/>
      <c r="MH407" s="31"/>
      <c r="MI407" s="31"/>
      <c r="MJ407" s="31"/>
      <c r="MK407" s="31"/>
      <c r="ML407" s="31"/>
      <c r="MM407" s="31"/>
      <c r="MN407" s="31"/>
      <c r="MO407" s="31"/>
      <c r="MP407" s="31"/>
      <c r="MQ407" s="31"/>
      <c r="MR407" s="31"/>
      <c r="MS407" s="31"/>
      <c r="MT407" s="31"/>
      <c r="MU407" s="31"/>
      <c r="MV407" s="31"/>
      <c r="MW407" s="31"/>
      <c r="MX407" s="31"/>
      <c r="MY407" s="31"/>
      <c r="MZ407" s="31"/>
      <c r="NA407" s="31"/>
      <c r="NB407" s="31"/>
      <c r="NC407" s="31"/>
      <c r="ND407" s="31"/>
      <c r="NE407" s="31"/>
      <c r="NF407" s="31"/>
      <c r="NG407" s="31"/>
      <c r="NH407" s="31"/>
      <c r="NI407" s="31"/>
      <c r="NJ407" s="31"/>
      <c r="NK407" s="31"/>
      <c r="NL407" s="31"/>
      <c r="NM407" s="31"/>
      <c r="NN407" s="31"/>
      <c r="NO407" s="31"/>
      <c r="NP407" s="31"/>
      <c r="NQ407" s="31"/>
      <c r="NR407" s="31"/>
      <c r="NS407" s="31"/>
      <c r="NT407" s="31"/>
      <c r="NU407" s="31"/>
      <c r="NV407" s="31"/>
      <c r="NW407" s="31"/>
      <c r="NX407" s="31"/>
      <c r="NY407" s="31"/>
      <c r="NZ407" s="31"/>
      <c r="OA407" s="31"/>
      <c r="OB407" s="31"/>
      <c r="OC407" s="31"/>
      <c r="OD407" s="31"/>
      <c r="OE407" s="31"/>
      <c r="OF407" s="31"/>
      <c r="OG407" s="31"/>
      <c r="OH407" s="31"/>
      <c r="OI407" s="31"/>
      <c r="OJ407" s="31"/>
      <c r="OK407" s="31"/>
      <c r="OL407" s="31"/>
      <c r="OM407" s="31"/>
      <c r="ON407" s="31"/>
      <c r="OO407" s="31"/>
      <c r="OP407" s="31"/>
      <c r="OQ407" s="31"/>
      <c r="OR407" s="31"/>
      <c r="OS407" s="31"/>
      <c r="OT407" s="31"/>
      <c r="OU407" s="31"/>
      <c r="OV407" s="31"/>
      <c r="OW407" s="31"/>
      <c r="OX407" s="31"/>
      <c r="OY407" s="31"/>
      <c r="OZ407" s="31"/>
      <c r="PA407" s="31"/>
      <c r="PB407" s="31"/>
      <c r="PC407" s="31"/>
      <c r="PD407" s="31"/>
      <c r="PE407" s="31"/>
      <c r="PF407" s="31"/>
      <c r="PG407" s="31"/>
      <c r="PH407" s="31"/>
      <c r="PI407" s="31"/>
      <c r="PJ407" s="31"/>
      <c r="PK407" s="31"/>
      <c r="PL407" s="31"/>
      <c r="PM407" s="31"/>
      <c r="PN407" s="31"/>
      <c r="PO407" s="31"/>
      <c r="PP407" s="31"/>
      <c r="PQ407" s="31"/>
      <c r="PR407" s="31"/>
      <c r="PS407" s="31"/>
      <c r="PT407" s="31"/>
      <c r="PU407" s="31"/>
      <c r="PV407" s="31"/>
      <c r="PW407" s="31"/>
      <c r="PX407" s="31"/>
      <c r="PY407" s="31"/>
      <c r="PZ407" s="31"/>
      <c r="QA407" s="31"/>
      <c r="QB407" s="31"/>
      <c r="QC407" s="31"/>
      <c r="QD407" s="31"/>
      <c r="QE407" s="31"/>
      <c r="QF407" s="31"/>
      <c r="QG407" s="31"/>
      <c r="QH407" s="31"/>
      <c r="QI407" s="31"/>
      <c r="QJ407" s="31"/>
      <c r="QK407" s="31"/>
      <c r="QL407" s="31"/>
      <c r="QM407" s="31"/>
      <c r="QN407" s="31"/>
      <c r="QO407" s="31"/>
      <c r="QP407" s="31"/>
      <c r="QQ407" s="31"/>
      <c r="QR407" s="31"/>
      <c r="QS407" s="31"/>
      <c r="QT407" s="31"/>
      <c r="QU407" s="31"/>
      <c r="QV407" s="31"/>
      <c r="QW407" s="31"/>
      <c r="QX407" s="31"/>
      <c r="QY407" s="31"/>
      <c r="QZ407" s="31"/>
      <c r="RA407" s="31"/>
      <c r="RB407" s="31"/>
      <c r="RC407" s="31"/>
      <c r="RD407" s="31"/>
      <c r="RE407" s="31"/>
      <c r="RF407" s="31"/>
      <c r="RG407" s="31"/>
      <c r="RH407" s="31"/>
      <c r="RI407" s="31"/>
      <c r="RJ407" s="31"/>
      <c r="RK407" s="31"/>
      <c r="RL407" s="31"/>
      <c r="RM407" s="31"/>
      <c r="RN407" s="31"/>
      <c r="RO407" s="31"/>
      <c r="RP407" s="31"/>
      <c r="RQ407" s="31"/>
      <c r="RR407" s="31"/>
      <c r="RS407" s="31"/>
      <c r="RT407" s="31"/>
      <c r="RU407" s="31"/>
      <c r="RV407" s="31"/>
      <c r="RW407" s="31"/>
      <c r="RX407" s="31"/>
      <c r="RY407" s="31"/>
      <c r="RZ407" s="31"/>
      <c r="SA407" s="31"/>
      <c r="SB407" s="31"/>
      <c r="SC407" s="31"/>
      <c r="SD407" s="31"/>
      <c r="SE407" s="31"/>
      <c r="SF407" s="31"/>
      <c r="SG407" s="31"/>
      <c r="SH407" s="31"/>
      <c r="SI407" s="31"/>
      <c r="SJ407" s="31"/>
      <c r="SK407" s="31"/>
      <c r="SL407" s="31"/>
      <c r="SM407" s="31"/>
      <c r="SN407" s="31"/>
      <c r="SO407" s="31"/>
      <c r="SP407" s="31"/>
      <c r="SQ407" s="31"/>
      <c r="SR407" s="31"/>
      <c r="SS407" s="31"/>
      <c r="ST407" s="31"/>
      <c r="SU407" s="31"/>
      <c r="SV407" s="31"/>
      <c r="SW407" s="31"/>
      <c r="SX407" s="31"/>
      <c r="SY407" s="31"/>
      <c r="SZ407" s="31"/>
      <c r="TA407" s="31"/>
      <c r="TB407" s="31"/>
      <c r="TC407" s="31"/>
      <c r="TD407" s="31"/>
      <c r="TE407" s="31"/>
      <c r="TF407" s="31"/>
      <c r="TG407" s="31"/>
      <c r="TH407" s="31"/>
      <c r="TI407" s="31"/>
      <c r="TJ407" s="31"/>
      <c r="TK407" s="31"/>
      <c r="TL407" s="31"/>
      <c r="TM407" s="31"/>
      <c r="TN407" s="31"/>
      <c r="TO407" s="31"/>
      <c r="TP407" s="31"/>
      <c r="TQ407" s="31"/>
      <c r="TR407" s="31"/>
      <c r="TS407" s="31"/>
      <c r="TT407" s="31"/>
      <c r="TU407" s="31"/>
      <c r="TV407" s="31"/>
      <c r="TW407" s="31"/>
      <c r="TX407" s="31"/>
      <c r="TY407" s="31"/>
      <c r="TZ407" s="31"/>
      <c r="UA407" s="31"/>
      <c r="UB407" s="31"/>
      <c r="UC407" s="31"/>
      <c r="UD407" s="31"/>
      <c r="UE407" s="31"/>
      <c r="UF407" s="31"/>
      <c r="UG407" s="33"/>
    </row>
    <row r="408" spans="1:553" ht="136.5" customHeight="1">
      <c r="A408" s="356" t="s">
        <v>15</v>
      </c>
      <c r="B408" s="356"/>
      <c r="C408" s="384" t="s">
        <v>25</v>
      </c>
      <c r="D408" s="376" t="s">
        <v>20</v>
      </c>
      <c r="E408" s="376" t="s">
        <v>314</v>
      </c>
      <c r="F408" s="385">
        <v>1</v>
      </c>
      <c r="G408" s="386" t="s">
        <v>935</v>
      </c>
      <c r="H408" s="441">
        <v>47.5</v>
      </c>
      <c r="I408" s="490">
        <v>47.5</v>
      </c>
      <c r="J408" s="368">
        <v>62000</v>
      </c>
      <c r="K408" s="388"/>
      <c r="L408" s="366">
        <f t="shared" si="86"/>
        <v>2945000</v>
      </c>
      <c r="M408" s="366"/>
      <c r="N408" s="366"/>
      <c r="O408" s="366"/>
      <c r="P408" s="366"/>
      <c r="Q408" s="1036" t="s">
        <v>315</v>
      </c>
      <c r="R408" s="1467" t="s">
        <v>931</v>
      </c>
      <c r="S408" s="308"/>
      <c r="T408" s="303"/>
      <c r="U408" s="306"/>
      <c r="V408" s="307"/>
      <c r="W408" s="307"/>
      <c r="X408" s="307"/>
      <c r="Y408" s="307"/>
      <c r="Z408" s="307"/>
      <c r="AA408" s="307">
        <f>I408</f>
        <v>47.5</v>
      </c>
      <c r="AB408" s="307"/>
      <c r="AC408" s="449"/>
      <c r="AD408" s="452"/>
      <c r="AE408" s="452"/>
      <c r="AF408" s="452"/>
      <c r="AG408" s="452"/>
      <c r="AH408" s="452"/>
      <c r="AI408" s="452"/>
      <c r="AJ408" s="452"/>
      <c r="AK408" s="452"/>
      <c r="AL408" s="106"/>
      <c r="AM408" s="31"/>
      <c r="AN408" s="31"/>
      <c r="AO408" s="31"/>
      <c r="AP408" s="31"/>
      <c r="AQ408" s="31"/>
      <c r="AR408" s="31"/>
      <c r="AS408" s="31"/>
      <c r="AT408" s="31"/>
      <c r="AU408" s="31"/>
      <c r="AV408" s="31"/>
      <c r="AW408" s="31"/>
      <c r="AX408" s="31"/>
      <c r="AY408" s="31"/>
      <c r="AZ408" s="31"/>
      <c r="BA408" s="31"/>
      <c r="BB408" s="31"/>
      <c r="BC408" s="31"/>
      <c r="BD408" s="31"/>
      <c r="BE408" s="31"/>
      <c r="BF408" s="31"/>
      <c r="BG408" s="31"/>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c r="CH408" s="31"/>
      <c r="CI408" s="31"/>
      <c r="CJ408" s="31"/>
      <c r="CK408" s="31"/>
      <c r="CL408" s="31"/>
      <c r="CM408" s="31"/>
      <c r="CN408" s="31"/>
      <c r="CO408" s="31"/>
      <c r="CP408" s="31"/>
      <c r="CQ408" s="31"/>
      <c r="CR408" s="31"/>
      <c r="CS408" s="31"/>
      <c r="CT408" s="31"/>
      <c r="CU408" s="31"/>
      <c r="CV408" s="31"/>
      <c r="CW408" s="31"/>
      <c r="CX408" s="31"/>
      <c r="CY408" s="31"/>
      <c r="CZ408" s="31"/>
      <c r="DA408" s="31"/>
      <c r="DB408" s="31"/>
      <c r="DC408" s="31"/>
      <c r="DD408" s="31"/>
      <c r="DE408" s="31"/>
      <c r="DF408" s="31"/>
      <c r="DG408" s="31"/>
      <c r="DH408" s="31"/>
      <c r="DI408" s="31"/>
      <c r="DJ408" s="31"/>
      <c r="DK408" s="31"/>
      <c r="DL408" s="31"/>
      <c r="DM408" s="31"/>
      <c r="DN408" s="31"/>
      <c r="DO408" s="31"/>
      <c r="DP408" s="31"/>
      <c r="DQ408" s="31"/>
      <c r="DR408" s="31"/>
      <c r="DS408" s="31"/>
      <c r="DT408" s="31"/>
      <c r="DU408" s="31"/>
      <c r="DV408" s="31"/>
      <c r="DW408" s="31"/>
      <c r="DX408" s="31"/>
      <c r="DY408" s="31"/>
      <c r="DZ408" s="31"/>
      <c r="EA408" s="31"/>
      <c r="EB408" s="31"/>
      <c r="EC408" s="31"/>
      <c r="ED408" s="31"/>
      <c r="EE408" s="31"/>
      <c r="EF408" s="31"/>
      <c r="EG408" s="31"/>
      <c r="EH408" s="31"/>
      <c r="EI408" s="31"/>
      <c r="EJ408" s="31"/>
      <c r="EK408" s="31"/>
      <c r="EL408" s="31"/>
      <c r="EM408" s="31"/>
      <c r="EN408" s="31"/>
      <c r="EO408" s="31"/>
      <c r="EP408" s="31"/>
      <c r="EQ408" s="31"/>
      <c r="ER408" s="31"/>
      <c r="ES408" s="31"/>
      <c r="ET408" s="31"/>
      <c r="EU408" s="31"/>
      <c r="EV408" s="31"/>
      <c r="EW408" s="31"/>
      <c r="EX408" s="31"/>
      <c r="EY408" s="31"/>
      <c r="EZ408" s="31"/>
      <c r="FA408" s="31"/>
      <c r="FB408" s="31"/>
      <c r="FC408" s="31"/>
      <c r="FD408" s="31"/>
      <c r="FE408" s="31"/>
      <c r="FF408" s="31"/>
      <c r="FG408" s="31"/>
      <c r="FH408" s="31"/>
      <c r="FI408" s="31"/>
      <c r="FJ408" s="31"/>
      <c r="FK408" s="31"/>
      <c r="FL408" s="31"/>
      <c r="FM408" s="31"/>
      <c r="FN408" s="31"/>
      <c r="FO408" s="31"/>
      <c r="FP408" s="31"/>
      <c r="FQ408" s="31"/>
      <c r="FR408" s="31"/>
      <c r="FS408" s="31"/>
      <c r="FT408" s="31"/>
      <c r="FU408" s="31"/>
      <c r="FV408" s="31"/>
      <c r="FW408" s="31"/>
      <c r="FX408" s="31"/>
      <c r="FY408" s="31"/>
      <c r="FZ408" s="31"/>
      <c r="GA408" s="31"/>
      <c r="GB408" s="31"/>
      <c r="GC408" s="31"/>
      <c r="GD408" s="31"/>
      <c r="GE408" s="31"/>
      <c r="GF408" s="31"/>
      <c r="GG408" s="31"/>
      <c r="GH408" s="31"/>
      <c r="GI408" s="31"/>
      <c r="GJ408" s="31"/>
      <c r="GK408" s="31"/>
      <c r="GL408" s="31"/>
      <c r="GM408" s="31"/>
      <c r="GN408" s="31"/>
      <c r="GO408" s="31"/>
      <c r="GP408" s="31"/>
      <c r="GQ408" s="31"/>
      <c r="GR408" s="31"/>
      <c r="GS408" s="31"/>
      <c r="GT408" s="31"/>
      <c r="GU408" s="31"/>
      <c r="GV408" s="31"/>
      <c r="GW408" s="31"/>
      <c r="GX408" s="31"/>
      <c r="GY408" s="31"/>
      <c r="GZ408" s="31"/>
      <c r="HA408" s="31"/>
      <c r="HB408" s="31"/>
      <c r="HC408" s="31"/>
      <c r="HD408" s="31"/>
      <c r="HE408" s="31"/>
      <c r="HF408" s="31"/>
      <c r="HG408" s="31"/>
      <c r="HH408" s="31"/>
      <c r="HI408" s="31"/>
      <c r="HJ408" s="31"/>
      <c r="HK408" s="31"/>
      <c r="HL408" s="31"/>
      <c r="HM408" s="31"/>
      <c r="HN408" s="31"/>
      <c r="HO408" s="31"/>
      <c r="HP408" s="31"/>
      <c r="HQ408" s="31"/>
      <c r="HR408" s="31"/>
      <c r="HS408" s="31"/>
      <c r="HT408" s="31"/>
      <c r="HU408" s="31"/>
      <c r="HV408" s="31"/>
      <c r="HW408" s="31"/>
      <c r="HX408" s="31"/>
      <c r="HY408" s="31"/>
      <c r="HZ408" s="31"/>
      <c r="IA408" s="31"/>
      <c r="IB408" s="31"/>
      <c r="IC408" s="31"/>
      <c r="ID408" s="31"/>
      <c r="IE408" s="31"/>
      <c r="IF408" s="31"/>
      <c r="IG408" s="31"/>
      <c r="IH408" s="31"/>
      <c r="II408" s="31"/>
      <c r="IJ408" s="31"/>
      <c r="IK408" s="31"/>
      <c r="IL408" s="31"/>
      <c r="IM408" s="31"/>
      <c r="IN408" s="31"/>
      <c r="IO408" s="31"/>
      <c r="IP408" s="31"/>
      <c r="IQ408" s="31"/>
      <c r="IR408" s="31"/>
      <c r="IS408" s="31"/>
      <c r="IT408" s="31"/>
      <c r="IU408" s="31"/>
      <c r="IV408" s="31"/>
      <c r="IW408" s="31"/>
      <c r="IX408" s="31"/>
      <c r="IY408" s="31"/>
      <c r="IZ408" s="31"/>
      <c r="JA408" s="31"/>
      <c r="JB408" s="31"/>
      <c r="JC408" s="31"/>
      <c r="JD408" s="31"/>
      <c r="JE408" s="31"/>
      <c r="JF408" s="31"/>
      <c r="JG408" s="31"/>
      <c r="JH408" s="31"/>
      <c r="JI408" s="31"/>
      <c r="JJ408" s="31"/>
      <c r="JK408" s="31"/>
      <c r="JL408" s="31"/>
      <c r="JM408" s="31"/>
      <c r="JN408" s="31"/>
      <c r="JO408" s="31"/>
      <c r="JP408" s="31"/>
      <c r="JQ408" s="31"/>
      <c r="JR408" s="31"/>
      <c r="JS408" s="31"/>
      <c r="JT408" s="31"/>
      <c r="JU408" s="31"/>
      <c r="JV408" s="31"/>
      <c r="JW408" s="31"/>
      <c r="JX408" s="31"/>
      <c r="JY408" s="31"/>
      <c r="JZ408" s="31"/>
      <c r="KA408" s="31"/>
      <c r="KB408" s="31"/>
      <c r="KC408" s="31"/>
      <c r="KD408" s="31"/>
      <c r="KE408" s="31"/>
      <c r="KF408" s="31"/>
      <c r="KG408" s="31"/>
      <c r="KH408" s="31"/>
      <c r="KI408" s="31"/>
      <c r="KJ408" s="31"/>
      <c r="KK408" s="31"/>
      <c r="KL408" s="31"/>
      <c r="KM408" s="31"/>
      <c r="KN408" s="31"/>
      <c r="KO408" s="31"/>
      <c r="KP408" s="31"/>
      <c r="KQ408" s="31"/>
      <c r="KR408" s="31"/>
      <c r="KS408" s="31"/>
      <c r="KT408" s="31"/>
      <c r="KU408" s="31"/>
      <c r="KV408" s="31"/>
      <c r="KW408" s="31"/>
      <c r="KX408" s="31"/>
      <c r="KY408" s="31"/>
      <c r="KZ408" s="31"/>
      <c r="LA408" s="31"/>
      <c r="LB408" s="31"/>
      <c r="LC408" s="31"/>
      <c r="LD408" s="31"/>
      <c r="LE408" s="31"/>
      <c r="LF408" s="31"/>
      <c r="LG408" s="31"/>
      <c r="LH408" s="31"/>
      <c r="LI408" s="31"/>
      <c r="LJ408" s="31"/>
      <c r="LK408" s="31"/>
      <c r="LL408" s="31"/>
      <c r="LM408" s="31"/>
      <c r="LN408" s="31"/>
      <c r="LO408" s="31"/>
      <c r="LP408" s="31"/>
      <c r="LQ408" s="31"/>
      <c r="LR408" s="31"/>
      <c r="LS408" s="31"/>
      <c r="LT408" s="31"/>
      <c r="LU408" s="31"/>
      <c r="LV408" s="31"/>
      <c r="LW408" s="31"/>
      <c r="LX408" s="31"/>
      <c r="LY408" s="31"/>
      <c r="LZ408" s="31"/>
      <c r="MA408" s="31"/>
      <c r="MB408" s="31"/>
      <c r="MC408" s="31"/>
      <c r="MD408" s="31"/>
      <c r="ME408" s="31"/>
      <c r="MF408" s="31"/>
      <c r="MG408" s="31"/>
      <c r="MH408" s="31"/>
      <c r="MI408" s="31"/>
      <c r="MJ408" s="31"/>
      <c r="MK408" s="31"/>
      <c r="ML408" s="31"/>
      <c r="MM408" s="31"/>
      <c r="MN408" s="31"/>
      <c r="MO408" s="31"/>
      <c r="MP408" s="31"/>
      <c r="MQ408" s="31"/>
      <c r="MR408" s="31"/>
      <c r="MS408" s="31"/>
      <c r="MT408" s="31"/>
      <c r="MU408" s="31"/>
      <c r="MV408" s="31"/>
      <c r="MW408" s="31"/>
      <c r="MX408" s="31"/>
      <c r="MY408" s="31"/>
      <c r="MZ408" s="31"/>
      <c r="NA408" s="31"/>
      <c r="NB408" s="31"/>
      <c r="NC408" s="31"/>
      <c r="ND408" s="31"/>
      <c r="NE408" s="31"/>
      <c r="NF408" s="31"/>
      <c r="NG408" s="31"/>
      <c r="NH408" s="31"/>
      <c r="NI408" s="31"/>
      <c r="NJ408" s="31"/>
      <c r="NK408" s="31"/>
      <c r="NL408" s="31"/>
      <c r="NM408" s="31"/>
      <c r="NN408" s="31"/>
      <c r="NO408" s="31"/>
      <c r="NP408" s="31"/>
      <c r="NQ408" s="31"/>
      <c r="NR408" s="31"/>
      <c r="NS408" s="31"/>
      <c r="NT408" s="31"/>
      <c r="NU408" s="31"/>
      <c r="NV408" s="31"/>
      <c r="NW408" s="31"/>
      <c r="NX408" s="31"/>
      <c r="NY408" s="31"/>
      <c r="NZ408" s="31"/>
      <c r="OA408" s="31"/>
      <c r="OB408" s="31"/>
      <c r="OC408" s="31"/>
      <c r="OD408" s="31"/>
      <c r="OE408" s="31"/>
      <c r="OF408" s="31"/>
      <c r="OG408" s="31"/>
      <c r="OH408" s="31"/>
      <c r="OI408" s="31"/>
      <c r="OJ408" s="31"/>
      <c r="OK408" s="31"/>
      <c r="OL408" s="31"/>
      <c r="OM408" s="31"/>
      <c r="ON408" s="31"/>
      <c r="OO408" s="31"/>
      <c r="OP408" s="31"/>
      <c r="OQ408" s="31"/>
      <c r="OR408" s="31"/>
      <c r="OS408" s="31"/>
      <c r="OT408" s="31"/>
      <c r="OU408" s="31"/>
      <c r="OV408" s="31"/>
      <c r="OW408" s="31"/>
      <c r="OX408" s="31"/>
      <c r="OY408" s="31"/>
      <c r="OZ408" s="31"/>
      <c r="PA408" s="31"/>
      <c r="PB408" s="31"/>
      <c r="PC408" s="31"/>
      <c r="PD408" s="31"/>
      <c r="PE408" s="31"/>
      <c r="PF408" s="31"/>
      <c r="PG408" s="31"/>
      <c r="PH408" s="31"/>
      <c r="PI408" s="31"/>
      <c r="PJ408" s="31"/>
      <c r="PK408" s="31"/>
      <c r="PL408" s="31"/>
      <c r="PM408" s="31"/>
      <c r="PN408" s="31"/>
      <c r="PO408" s="31"/>
      <c r="PP408" s="31"/>
      <c r="PQ408" s="31"/>
      <c r="PR408" s="31"/>
      <c r="PS408" s="31"/>
      <c r="PT408" s="31"/>
      <c r="PU408" s="31"/>
      <c r="PV408" s="31"/>
      <c r="PW408" s="31"/>
      <c r="PX408" s="31"/>
      <c r="PY408" s="31"/>
      <c r="PZ408" s="31"/>
      <c r="QA408" s="31"/>
      <c r="QB408" s="31"/>
      <c r="QC408" s="31"/>
      <c r="QD408" s="31"/>
      <c r="QE408" s="31"/>
      <c r="QF408" s="31"/>
      <c r="QG408" s="31"/>
      <c r="QH408" s="31"/>
      <c r="QI408" s="31"/>
      <c r="QJ408" s="31"/>
      <c r="QK408" s="31"/>
      <c r="QL408" s="31"/>
      <c r="QM408" s="31"/>
      <c r="QN408" s="31"/>
      <c r="QO408" s="31"/>
      <c r="QP408" s="31"/>
      <c r="QQ408" s="31"/>
      <c r="QR408" s="31"/>
      <c r="QS408" s="31"/>
      <c r="QT408" s="31"/>
      <c r="QU408" s="31"/>
      <c r="QV408" s="31"/>
      <c r="QW408" s="31"/>
      <c r="QX408" s="31"/>
      <c r="QY408" s="31"/>
      <c r="QZ408" s="31"/>
      <c r="RA408" s="31"/>
      <c r="RB408" s="31"/>
      <c r="RC408" s="31"/>
      <c r="RD408" s="31"/>
      <c r="RE408" s="31"/>
      <c r="RF408" s="31"/>
      <c r="RG408" s="31"/>
      <c r="RH408" s="31"/>
      <c r="RI408" s="31"/>
      <c r="RJ408" s="31"/>
      <c r="RK408" s="31"/>
      <c r="RL408" s="31"/>
      <c r="RM408" s="31"/>
      <c r="RN408" s="31"/>
      <c r="RO408" s="31"/>
      <c r="RP408" s="31"/>
      <c r="RQ408" s="31"/>
      <c r="RR408" s="31"/>
      <c r="RS408" s="31"/>
      <c r="RT408" s="31"/>
      <c r="RU408" s="31"/>
      <c r="RV408" s="31"/>
      <c r="RW408" s="31"/>
      <c r="RX408" s="31"/>
      <c r="RY408" s="31"/>
      <c r="RZ408" s="31"/>
      <c r="SA408" s="31"/>
      <c r="SB408" s="31"/>
      <c r="SC408" s="31"/>
      <c r="SD408" s="31"/>
      <c r="SE408" s="31"/>
      <c r="SF408" s="31"/>
      <c r="SG408" s="31"/>
      <c r="SH408" s="31"/>
      <c r="SI408" s="31"/>
      <c r="SJ408" s="31"/>
      <c r="SK408" s="31"/>
      <c r="SL408" s="31"/>
      <c r="SM408" s="31"/>
      <c r="SN408" s="31"/>
      <c r="SO408" s="31"/>
      <c r="SP408" s="31"/>
      <c r="SQ408" s="31"/>
      <c r="SR408" s="31"/>
      <c r="SS408" s="31"/>
      <c r="ST408" s="31"/>
      <c r="SU408" s="31"/>
      <c r="SV408" s="31"/>
      <c r="SW408" s="31"/>
      <c r="SX408" s="31"/>
      <c r="SY408" s="31"/>
      <c r="SZ408" s="31"/>
      <c r="TA408" s="31"/>
      <c r="TB408" s="31"/>
      <c r="TC408" s="31"/>
      <c r="TD408" s="31"/>
      <c r="TE408" s="31"/>
      <c r="TF408" s="31"/>
      <c r="TG408" s="31"/>
      <c r="TH408" s="31"/>
      <c r="TI408" s="31"/>
      <c r="TJ408" s="31"/>
      <c r="TK408" s="31"/>
      <c r="TL408" s="31"/>
      <c r="TM408" s="31"/>
      <c r="TN408" s="31"/>
      <c r="TO408" s="31"/>
      <c r="TP408" s="31"/>
      <c r="TQ408" s="31"/>
      <c r="TR408" s="31"/>
      <c r="TS408" s="31"/>
      <c r="TT408" s="31"/>
      <c r="TU408" s="31"/>
      <c r="TV408" s="31"/>
      <c r="TW408" s="31"/>
      <c r="TX408" s="31"/>
      <c r="TY408" s="31"/>
      <c r="TZ408" s="31"/>
      <c r="UA408" s="31"/>
      <c r="UB408" s="31"/>
      <c r="UC408" s="31"/>
      <c r="UD408" s="31"/>
      <c r="UE408" s="31"/>
      <c r="UF408" s="31"/>
      <c r="UG408" s="33"/>
    </row>
    <row r="409" spans="1:553" ht="136.5" customHeight="1">
      <c r="A409" s="356" t="s">
        <v>15</v>
      </c>
      <c r="B409" s="356"/>
      <c r="C409" s="384" t="s">
        <v>23</v>
      </c>
      <c r="D409" s="376" t="s">
        <v>20</v>
      </c>
      <c r="E409" s="376" t="s">
        <v>316</v>
      </c>
      <c r="F409" s="385">
        <v>1</v>
      </c>
      <c r="G409" s="386" t="s">
        <v>935</v>
      </c>
      <c r="H409" s="441">
        <v>216.7</v>
      </c>
      <c r="I409" s="490">
        <v>216.7</v>
      </c>
      <c r="J409" s="368">
        <v>62000</v>
      </c>
      <c r="K409" s="388"/>
      <c r="L409" s="366">
        <f t="shared" si="86"/>
        <v>13435400</v>
      </c>
      <c r="M409" s="366"/>
      <c r="N409" s="366"/>
      <c r="O409" s="366"/>
      <c r="P409" s="366"/>
      <c r="Q409" s="1036" t="s">
        <v>140</v>
      </c>
      <c r="R409" s="1452"/>
      <c r="S409" s="308"/>
      <c r="T409" s="303"/>
      <c r="U409" s="306"/>
      <c r="V409" s="307"/>
      <c r="W409" s="307">
        <f>I409</f>
        <v>216.7</v>
      </c>
      <c r="X409" s="307"/>
      <c r="Y409" s="307"/>
      <c r="Z409" s="307"/>
      <c r="AA409" s="307"/>
      <c r="AB409" s="307"/>
      <c r="AC409" s="449"/>
      <c r="AD409" s="452"/>
      <c r="AE409" s="452"/>
      <c r="AF409" s="452"/>
      <c r="AG409" s="452"/>
      <c r="AH409" s="452"/>
      <c r="AI409" s="452"/>
      <c r="AJ409" s="452"/>
      <c r="AK409" s="452"/>
      <c r="AL409" s="106"/>
      <c r="AM409" s="31"/>
      <c r="AN409" s="31"/>
      <c r="AO409" s="31"/>
      <c r="AP409" s="31"/>
      <c r="AQ409" s="31"/>
      <c r="AR409" s="31"/>
      <c r="AS409" s="31"/>
      <c r="AT409" s="31"/>
      <c r="AU409" s="31"/>
      <c r="AV409" s="31"/>
      <c r="AW409" s="31"/>
      <c r="AX409" s="31"/>
      <c r="AY409" s="31"/>
      <c r="AZ409" s="31"/>
      <c r="BA409" s="31"/>
      <c r="BB409" s="31"/>
      <c r="BC409" s="31"/>
      <c r="BD409" s="31"/>
      <c r="BE409" s="31"/>
      <c r="BF409" s="31"/>
      <c r="BG409" s="31"/>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c r="CH409" s="31"/>
      <c r="CI409" s="31"/>
      <c r="CJ409" s="31"/>
      <c r="CK409" s="31"/>
      <c r="CL409" s="31"/>
      <c r="CM409" s="31"/>
      <c r="CN409" s="31"/>
      <c r="CO409" s="31"/>
      <c r="CP409" s="31"/>
      <c r="CQ409" s="31"/>
      <c r="CR409" s="31"/>
      <c r="CS409" s="31"/>
      <c r="CT409" s="31"/>
      <c r="CU409" s="31"/>
      <c r="CV409" s="31"/>
      <c r="CW409" s="31"/>
      <c r="CX409" s="31"/>
      <c r="CY409" s="31"/>
      <c r="CZ409" s="31"/>
      <c r="DA409" s="31"/>
      <c r="DB409" s="31"/>
      <c r="DC409" s="31"/>
      <c r="DD409" s="31"/>
      <c r="DE409" s="31"/>
      <c r="DF409" s="31"/>
      <c r="DG409" s="31"/>
      <c r="DH409" s="31"/>
      <c r="DI409" s="31"/>
      <c r="DJ409" s="31"/>
      <c r="DK409" s="31"/>
      <c r="DL409" s="31"/>
      <c r="DM409" s="31"/>
      <c r="DN409" s="31"/>
      <c r="DO409" s="31"/>
      <c r="DP409" s="31"/>
      <c r="DQ409" s="31"/>
      <c r="DR409" s="31"/>
      <c r="DS409" s="31"/>
      <c r="DT409" s="31"/>
      <c r="DU409" s="31"/>
      <c r="DV409" s="31"/>
      <c r="DW409" s="31"/>
      <c r="DX409" s="31"/>
      <c r="DY409" s="31"/>
      <c r="DZ409" s="31"/>
      <c r="EA409" s="31"/>
      <c r="EB409" s="31"/>
      <c r="EC409" s="31"/>
      <c r="ED409" s="31"/>
      <c r="EE409" s="31"/>
      <c r="EF409" s="31"/>
      <c r="EG409" s="31"/>
      <c r="EH409" s="31"/>
      <c r="EI409" s="31"/>
      <c r="EJ409" s="31"/>
      <c r="EK409" s="31"/>
      <c r="EL409" s="31"/>
      <c r="EM409" s="31"/>
      <c r="EN409" s="31"/>
      <c r="EO409" s="31"/>
      <c r="EP409" s="31"/>
      <c r="EQ409" s="31"/>
      <c r="ER409" s="31"/>
      <c r="ES409" s="31"/>
      <c r="ET409" s="31"/>
      <c r="EU409" s="31"/>
      <c r="EV409" s="31"/>
      <c r="EW409" s="31"/>
      <c r="EX409" s="31"/>
      <c r="EY409" s="31"/>
      <c r="EZ409" s="31"/>
      <c r="FA409" s="31"/>
      <c r="FB409" s="31"/>
      <c r="FC409" s="31"/>
      <c r="FD409" s="31"/>
      <c r="FE409" s="31"/>
      <c r="FF409" s="31"/>
      <c r="FG409" s="31"/>
      <c r="FH409" s="31"/>
      <c r="FI409" s="31"/>
      <c r="FJ409" s="31"/>
      <c r="FK409" s="31"/>
      <c r="FL409" s="31"/>
      <c r="FM409" s="31"/>
      <c r="FN409" s="31"/>
      <c r="FO409" s="31"/>
      <c r="FP409" s="31"/>
      <c r="FQ409" s="31"/>
      <c r="FR409" s="31"/>
      <c r="FS409" s="31"/>
      <c r="FT409" s="31"/>
      <c r="FU409" s="31"/>
      <c r="FV409" s="31"/>
      <c r="FW409" s="31"/>
      <c r="FX409" s="31"/>
      <c r="FY409" s="31"/>
      <c r="FZ409" s="31"/>
      <c r="GA409" s="31"/>
      <c r="GB409" s="31"/>
      <c r="GC409" s="31"/>
      <c r="GD409" s="31"/>
      <c r="GE409" s="31"/>
      <c r="GF409" s="31"/>
      <c r="GG409" s="31"/>
      <c r="GH409" s="31"/>
      <c r="GI409" s="31"/>
      <c r="GJ409" s="31"/>
      <c r="GK409" s="31"/>
      <c r="GL409" s="31"/>
      <c r="GM409" s="31"/>
      <c r="GN409" s="31"/>
      <c r="GO409" s="31"/>
      <c r="GP409" s="31"/>
      <c r="GQ409" s="31"/>
      <c r="GR409" s="31"/>
      <c r="GS409" s="31"/>
      <c r="GT409" s="31"/>
      <c r="GU409" s="31"/>
      <c r="GV409" s="31"/>
      <c r="GW409" s="31"/>
      <c r="GX409" s="31"/>
      <c r="GY409" s="31"/>
      <c r="GZ409" s="31"/>
      <c r="HA409" s="31"/>
      <c r="HB409" s="31"/>
      <c r="HC409" s="31"/>
      <c r="HD409" s="31"/>
      <c r="HE409" s="31"/>
      <c r="HF409" s="31"/>
      <c r="HG409" s="31"/>
      <c r="HH409" s="31"/>
      <c r="HI409" s="31"/>
      <c r="HJ409" s="31"/>
      <c r="HK409" s="31"/>
      <c r="HL409" s="31"/>
      <c r="HM409" s="31"/>
      <c r="HN409" s="31"/>
      <c r="HO409" s="31"/>
      <c r="HP409" s="31"/>
      <c r="HQ409" s="31"/>
      <c r="HR409" s="31"/>
      <c r="HS409" s="31"/>
      <c r="HT409" s="31"/>
      <c r="HU409" s="31"/>
      <c r="HV409" s="31"/>
      <c r="HW409" s="31"/>
      <c r="HX409" s="31"/>
      <c r="HY409" s="31"/>
      <c r="HZ409" s="31"/>
      <c r="IA409" s="31"/>
      <c r="IB409" s="31"/>
      <c r="IC409" s="31"/>
      <c r="ID409" s="31"/>
      <c r="IE409" s="31"/>
      <c r="IF409" s="31"/>
      <c r="IG409" s="31"/>
      <c r="IH409" s="31"/>
      <c r="II409" s="31"/>
      <c r="IJ409" s="31"/>
      <c r="IK409" s="31"/>
      <c r="IL409" s="31"/>
      <c r="IM409" s="31"/>
      <c r="IN409" s="31"/>
      <c r="IO409" s="31"/>
      <c r="IP409" s="31"/>
      <c r="IQ409" s="31"/>
      <c r="IR409" s="31"/>
      <c r="IS409" s="31"/>
      <c r="IT409" s="31"/>
      <c r="IU409" s="31"/>
      <c r="IV409" s="31"/>
      <c r="IW409" s="31"/>
      <c r="IX409" s="31"/>
      <c r="IY409" s="31"/>
      <c r="IZ409" s="31"/>
      <c r="JA409" s="31"/>
      <c r="JB409" s="31"/>
      <c r="JC409" s="31"/>
      <c r="JD409" s="31"/>
      <c r="JE409" s="31"/>
      <c r="JF409" s="31"/>
      <c r="JG409" s="31"/>
      <c r="JH409" s="31"/>
      <c r="JI409" s="31"/>
      <c r="JJ409" s="31"/>
      <c r="JK409" s="31"/>
      <c r="JL409" s="31"/>
      <c r="JM409" s="31"/>
      <c r="JN409" s="31"/>
      <c r="JO409" s="31"/>
      <c r="JP409" s="31"/>
      <c r="JQ409" s="31"/>
      <c r="JR409" s="31"/>
      <c r="JS409" s="31"/>
      <c r="JT409" s="31"/>
      <c r="JU409" s="31"/>
      <c r="JV409" s="31"/>
      <c r="JW409" s="31"/>
      <c r="JX409" s="31"/>
      <c r="JY409" s="31"/>
      <c r="JZ409" s="31"/>
      <c r="KA409" s="31"/>
      <c r="KB409" s="31"/>
      <c r="KC409" s="31"/>
      <c r="KD409" s="31"/>
      <c r="KE409" s="31"/>
      <c r="KF409" s="31"/>
      <c r="KG409" s="31"/>
      <c r="KH409" s="31"/>
      <c r="KI409" s="31"/>
      <c r="KJ409" s="31"/>
      <c r="KK409" s="31"/>
      <c r="KL409" s="31"/>
      <c r="KM409" s="31"/>
      <c r="KN409" s="31"/>
      <c r="KO409" s="31"/>
      <c r="KP409" s="31"/>
      <c r="KQ409" s="31"/>
      <c r="KR409" s="31"/>
      <c r="KS409" s="31"/>
      <c r="KT409" s="31"/>
      <c r="KU409" s="31"/>
      <c r="KV409" s="31"/>
      <c r="KW409" s="31"/>
      <c r="KX409" s="31"/>
      <c r="KY409" s="31"/>
      <c r="KZ409" s="31"/>
      <c r="LA409" s="31"/>
      <c r="LB409" s="31"/>
      <c r="LC409" s="31"/>
      <c r="LD409" s="31"/>
      <c r="LE409" s="31"/>
      <c r="LF409" s="31"/>
      <c r="LG409" s="31"/>
      <c r="LH409" s="31"/>
      <c r="LI409" s="31"/>
      <c r="LJ409" s="31"/>
      <c r="LK409" s="31"/>
      <c r="LL409" s="31"/>
      <c r="LM409" s="31"/>
      <c r="LN409" s="31"/>
      <c r="LO409" s="31"/>
      <c r="LP409" s="31"/>
      <c r="LQ409" s="31"/>
      <c r="LR409" s="31"/>
      <c r="LS409" s="31"/>
      <c r="LT409" s="31"/>
      <c r="LU409" s="31"/>
      <c r="LV409" s="31"/>
      <c r="LW409" s="31"/>
      <c r="LX409" s="31"/>
      <c r="LY409" s="31"/>
      <c r="LZ409" s="31"/>
      <c r="MA409" s="31"/>
      <c r="MB409" s="31"/>
      <c r="MC409" s="31"/>
      <c r="MD409" s="31"/>
      <c r="ME409" s="31"/>
      <c r="MF409" s="31"/>
      <c r="MG409" s="31"/>
      <c r="MH409" s="31"/>
      <c r="MI409" s="31"/>
      <c r="MJ409" s="31"/>
      <c r="MK409" s="31"/>
      <c r="ML409" s="31"/>
      <c r="MM409" s="31"/>
      <c r="MN409" s="31"/>
      <c r="MO409" s="31"/>
      <c r="MP409" s="31"/>
      <c r="MQ409" s="31"/>
      <c r="MR409" s="31"/>
      <c r="MS409" s="31"/>
      <c r="MT409" s="31"/>
      <c r="MU409" s="31"/>
      <c r="MV409" s="31"/>
      <c r="MW409" s="31"/>
      <c r="MX409" s="31"/>
      <c r="MY409" s="31"/>
      <c r="MZ409" s="31"/>
      <c r="NA409" s="31"/>
      <c r="NB409" s="31"/>
      <c r="NC409" s="31"/>
      <c r="ND409" s="31"/>
      <c r="NE409" s="31"/>
      <c r="NF409" s="31"/>
      <c r="NG409" s="31"/>
      <c r="NH409" s="31"/>
      <c r="NI409" s="31"/>
      <c r="NJ409" s="31"/>
      <c r="NK409" s="31"/>
      <c r="NL409" s="31"/>
      <c r="NM409" s="31"/>
      <c r="NN409" s="31"/>
      <c r="NO409" s="31"/>
      <c r="NP409" s="31"/>
      <c r="NQ409" s="31"/>
      <c r="NR409" s="31"/>
      <c r="NS409" s="31"/>
      <c r="NT409" s="31"/>
      <c r="NU409" s="31"/>
      <c r="NV409" s="31"/>
      <c r="NW409" s="31"/>
      <c r="NX409" s="31"/>
      <c r="NY409" s="31"/>
      <c r="NZ409" s="31"/>
      <c r="OA409" s="31"/>
      <c r="OB409" s="31"/>
      <c r="OC409" s="31"/>
      <c r="OD409" s="31"/>
      <c r="OE409" s="31"/>
      <c r="OF409" s="31"/>
      <c r="OG409" s="31"/>
      <c r="OH409" s="31"/>
      <c r="OI409" s="31"/>
      <c r="OJ409" s="31"/>
      <c r="OK409" s="31"/>
      <c r="OL409" s="31"/>
      <c r="OM409" s="31"/>
      <c r="ON409" s="31"/>
      <c r="OO409" s="31"/>
      <c r="OP409" s="31"/>
      <c r="OQ409" s="31"/>
      <c r="OR409" s="31"/>
      <c r="OS409" s="31"/>
      <c r="OT409" s="31"/>
      <c r="OU409" s="31"/>
      <c r="OV409" s="31"/>
      <c r="OW409" s="31"/>
      <c r="OX409" s="31"/>
      <c r="OY409" s="31"/>
      <c r="OZ409" s="31"/>
      <c r="PA409" s="31"/>
      <c r="PB409" s="31"/>
      <c r="PC409" s="31"/>
      <c r="PD409" s="31"/>
      <c r="PE409" s="31"/>
      <c r="PF409" s="31"/>
      <c r="PG409" s="31"/>
      <c r="PH409" s="31"/>
      <c r="PI409" s="31"/>
      <c r="PJ409" s="31"/>
      <c r="PK409" s="31"/>
      <c r="PL409" s="31"/>
      <c r="PM409" s="31"/>
      <c r="PN409" s="31"/>
      <c r="PO409" s="31"/>
      <c r="PP409" s="31"/>
      <c r="PQ409" s="31"/>
      <c r="PR409" s="31"/>
      <c r="PS409" s="31"/>
      <c r="PT409" s="31"/>
      <c r="PU409" s="31"/>
      <c r="PV409" s="31"/>
      <c r="PW409" s="31"/>
      <c r="PX409" s="31"/>
      <c r="PY409" s="31"/>
      <c r="PZ409" s="31"/>
      <c r="QA409" s="31"/>
      <c r="QB409" s="31"/>
      <c r="QC409" s="31"/>
      <c r="QD409" s="31"/>
      <c r="QE409" s="31"/>
      <c r="QF409" s="31"/>
      <c r="QG409" s="31"/>
      <c r="QH409" s="31"/>
      <c r="QI409" s="31"/>
      <c r="QJ409" s="31"/>
      <c r="QK409" s="31"/>
      <c r="QL409" s="31"/>
      <c r="QM409" s="31"/>
      <c r="QN409" s="31"/>
      <c r="QO409" s="31"/>
      <c r="QP409" s="31"/>
      <c r="QQ409" s="31"/>
      <c r="QR409" s="31"/>
      <c r="QS409" s="31"/>
      <c r="QT409" s="31"/>
      <c r="QU409" s="31"/>
      <c r="QV409" s="31"/>
      <c r="QW409" s="31"/>
      <c r="QX409" s="31"/>
      <c r="QY409" s="31"/>
      <c r="QZ409" s="31"/>
      <c r="RA409" s="31"/>
      <c r="RB409" s="31"/>
      <c r="RC409" s="31"/>
      <c r="RD409" s="31"/>
      <c r="RE409" s="31"/>
      <c r="RF409" s="31"/>
      <c r="RG409" s="31"/>
      <c r="RH409" s="31"/>
      <c r="RI409" s="31"/>
      <c r="RJ409" s="31"/>
      <c r="RK409" s="31"/>
      <c r="RL409" s="31"/>
      <c r="RM409" s="31"/>
      <c r="RN409" s="31"/>
      <c r="RO409" s="31"/>
      <c r="RP409" s="31"/>
      <c r="RQ409" s="31"/>
      <c r="RR409" s="31"/>
      <c r="RS409" s="31"/>
      <c r="RT409" s="31"/>
      <c r="RU409" s="31"/>
      <c r="RV409" s="31"/>
      <c r="RW409" s="31"/>
      <c r="RX409" s="31"/>
      <c r="RY409" s="31"/>
      <c r="RZ409" s="31"/>
      <c r="SA409" s="31"/>
      <c r="SB409" s="31"/>
      <c r="SC409" s="31"/>
      <c r="SD409" s="31"/>
      <c r="SE409" s="31"/>
      <c r="SF409" s="31"/>
      <c r="SG409" s="31"/>
      <c r="SH409" s="31"/>
      <c r="SI409" s="31"/>
      <c r="SJ409" s="31"/>
      <c r="SK409" s="31"/>
      <c r="SL409" s="31"/>
      <c r="SM409" s="31"/>
      <c r="SN409" s="31"/>
      <c r="SO409" s="31"/>
      <c r="SP409" s="31"/>
      <c r="SQ409" s="31"/>
      <c r="SR409" s="31"/>
      <c r="SS409" s="31"/>
      <c r="ST409" s="31"/>
      <c r="SU409" s="31"/>
      <c r="SV409" s="31"/>
      <c r="SW409" s="31"/>
      <c r="SX409" s="31"/>
      <c r="SY409" s="31"/>
      <c r="SZ409" s="31"/>
      <c r="TA409" s="31"/>
      <c r="TB409" s="31"/>
      <c r="TC409" s="31"/>
      <c r="TD409" s="31"/>
      <c r="TE409" s="31"/>
      <c r="TF409" s="31"/>
      <c r="TG409" s="31"/>
      <c r="TH409" s="31"/>
      <c r="TI409" s="31"/>
      <c r="TJ409" s="31"/>
      <c r="TK409" s="31"/>
      <c r="TL409" s="31"/>
      <c r="TM409" s="31"/>
      <c r="TN409" s="31"/>
      <c r="TO409" s="31"/>
      <c r="TP409" s="31"/>
      <c r="TQ409" s="31"/>
      <c r="TR409" s="31"/>
      <c r="TS409" s="31"/>
      <c r="TT409" s="31"/>
      <c r="TU409" s="31"/>
      <c r="TV409" s="31"/>
      <c r="TW409" s="31"/>
      <c r="TX409" s="31"/>
      <c r="TY409" s="31"/>
      <c r="TZ409" s="31"/>
      <c r="UA409" s="31"/>
      <c r="UB409" s="31"/>
      <c r="UC409" s="31"/>
      <c r="UD409" s="31"/>
      <c r="UE409" s="31"/>
      <c r="UF409" s="31"/>
      <c r="UG409" s="33"/>
    </row>
    <row r="410" spans="1:553" ht="305.25" customHeight="1">
      <c r="A410" s="356" t="s">
        <v>15</v>
      </c>
      <c r="B410" s="356"/>
      <c r="C410" s="384" t="s">
        <v>23</v>
      </c>
      <c r="D410" s="376" t="s">
        <v>20</v>
      </c>
      <c r="E410" s="376" t="s">
        <v>317</v>
      </c>
      <c r="F410" s="385">
        <v>1</v>
      </c>
      <c r="G410" s="386" t="s">
        <v>935</v>
      </c>
      <c r="H410" s="441">
        <v>510</v>
      </c>
      <c r="I410" s="490">
        <v>510</v>
      </c>
      <c r="J410" s="368">
        <v>62000</v>
      </c>
      <c r="K410" s="388"/>
      <c r="L410" s="366">
        <f t="shared" si="86"/>
        <v>31620000</v>
      </c>
      <c r="M410" s="366"/>
      <c r="N410" s="366"/>
      <c r="O410" s="366"/>
      <c r="P410" s="366"/>
      <c r="Q410" s="1036" t="s">
        <v>318</v>
      </c>
      <c r="R410" s="1230" t="s">
        <v>866</v>
      </c>
      <c r="S410" s="435"/>
      <c r="T410" s="436"/>
      <c r="U410" s="304"/>
      <c r="V410" s="393"/>
      <c r="W410" s="304">
        <f>I410</f>
        <v>510</v>
      </c>
      <c r="X410" s="304"/>
      <c r="Y410" s="304"/>
      <c r="Z410" s="304"/>
      <c r="AA410" s="304"/>
      <c r="AB410" s="304"/>
      <c r="AC410" s="449"/>
      <c r="AD410" s="452"/>
      <c r="AE410" s="452"/>
      <c r="AF410" s="452"/>
      <c r="AG410" s="452"/>
      <c r="AH410" s="452"/>
      <c r="AI410" s="452"/>
      <c r="AJ410" s="452"/>
      <c r="AK410" s="452"/>
      <c r="AL410" s="106"/>
      <c r="AM410" s="31"/>
      <c r="AN410" s="31"/>
      <c r="AO410" s="31"/>
      <c r="AP410" s="31"/>
      <c r="AQ410" s="31"/>
      <c r="AR410" s="31"/>
      <c r="AS410" s="31"/>
      <c r="AT410" s="31"/>
      <c r="AU410" s="31"/>
      <c r="AV410" s="31"/>
      <c r="AW410" s="31"/>
      <c r="AX410" s="31"/>
      <c r="AY410" s="31"/>
      <c r="AZ410" s="31"/>
      <c r="BA410" s="31"/>
      <c r="BB410" s="31"/>
      <c r="BC410" s="31"/>
      <c r="BD410" s="31"/>
      <c r="BE410" s="31"/>
      <c r="BF410" s="31"/>
      <c r="BG410" s="31"/>
      <c r="BH410" s="31"/>
      <c r="BI410" s="31"/>
      <c r="BJ410" s="31"/>
      <c r="BK410" s="31"/>
      <c r="BL410" s="31"/>
      <c r="BM410" s="31"/>
      <c r="BN410" s="31"/>
      <c r="BO410" s="31"/>
      <c r="BP410" s="31"/>
      <c r="BQ410" s="31"/>
      <c r="BR410" s="31"/>
      <c r="BS410" s="31"/>
      <c r="BT410" s="31"/>
      <c r="BU410" s="31"/>
      <c r="BV410" s="31"/>
      <c r="BW410" s="31"/>
      <c r="BX410" s="31"/>
      <c r="BY410" s="31"/>
      <c r="BZ410" s="31"/>
      <c r="CA410" s="31"/>
      <c r="CB410" s="31"/>
      <c r="CC410" s="31"/>
      <c r="CD410" s="31"/>
      <c r="CE410" s="31"/>
      <c r="CF410" s="31"/>
      <c r="CG410" s="31"/>
      <c r="CH410" s="31"/>
      <c r="CI410" s="31"/>
      <c r="CJ410" s="31"/>
      <c r="CK410" s="31"/>
      <c r="CL410" s="31"/>
      <c r="CM410" s="31"/>
      <c r="CN410" s="31"/>
      <c r="CO410" s="31"/>
      <c r="CP410" s="31"/>
      <c r="CQ410" s="31"/>
      <c r="CR410" s="31"/>
      <c r="CS410" s="31"/>
      <c r="CT410" s="31"/>
      <c r="CU410" s="31"/>
      <c r="CV410" s="31"/>
      <c r="CW410" s="31"/>
      <c r="CX410" s="31"/>
      <c r="CY410" s="31"/>
      <c r="CZ410" s="31"/>
      <c r="DA410" s="31"/>
      <c r="DB410" s="31"/>
      <c r="DC410" s="31"/>
      <c r="DD410" s="31"/>
      <c r="DE410" s="31"/>
      <c r="DF410" s="31"/>
      <c r="DG410" s="31"/>
      <c r="DH410" s="31"/>
      <c r="DI410" s="31"/>
      <c r="DJ410" s="31"/>
      <c r="DK410" s="31"/>
      <c r="DL410" s="31"/>
      <c r="DM410" s="31"/>
      <c r="DN410" s="31"/>
      <c r="DO410" s="31"/>
      <c r="DP410" s="31"/>
      <c r="DQ410" s="31"/>
      <c r="DR410" s="31"/>
      <c r="DS410" s="31"/>
      <c r="DT410" s="31"/>
      <c r="DU410" s="31"/>
      <c r="DV410" s="31"/>
      <c r="DW410" s="31"/>
      <c r="DX410" s="31"/>
      <c r="DY410" s="31"/>
      <c r="DZ410" s="31"/>
      <c r="EA410" s="31"/>
      <c r="EB410" s="31"/>
      <c r="EC410" s="31"/>
      <c r="ED410" s="31"/>
      <c r="EE410" s="31"/>
      <c r="EF410" s="31"/>
      <c r="EG410" s="31"/>
      <c r="EH410" s="31"/>
      <c r="EI410" s="31"/>
      <c r="EJ410" s="31"/>
      <c r="EK410" s="31"/>
      <c r="EL410" s="31"/>
      <c r="EM410" s="31"/>
      <c r="EN410" s="31"/>
      <c r="EO410" s="31"/>
      <c r="EP410" s="31"/>
      <c r="EQ410" s="31"/>
      <c r="ER410" s="31"/>
      <c r="ES410" s="31"/>
      <c r="ET410" s="31"/>
      <c r="EU410" s="31"/>
      <c r="EV410" s="31"/>
      <c r="EW410" s="31"/>
      <c r="EX410" s="31"/>
      <c r="EY410" s="31"/>
      <c r="EZ410" s="31"/>
      <c r="FA410" s="31"/>
      <c r="FB410" s="31"/>
      <c r="FC410" s="31"/>
      <c r="FD410" s="31"/>
      <c r="FE410" s="31"/>
      <c r="FF410" s="31"/>
      <c r="FG410" s="31"/>
      <c r="FH410" s="31"/>
      <c r="FI410" s="31"/>
      <c r="FJ410" s="31"/>
      <c r="FK410" s="31"/>
      <c r="FL410" s="31"/>
      <c r="FM410" s="31"/>
      <c r="FN410" s="31"/>
      <c r="FO410" s="31"/>
      <c r="FP410" s="31"/>
      <c r="FQ410" s="31"/>
      <c r="FR410" s="31"/>
      <c r="FS410" s="31"/>
      <c r="FT410" s="31"/>
      <c r="FU410" s="31"/>
      <c r="FV410" s="31"/>
      <c r="FW410" s="31"/>
      <c r="FX410" s="31"/>
      <c r="FY410" s="31"/>
      <c r="FZ410" s="31"/>
      <c r="GA410" s="31"/>
      <c r="GB410" s="31"/>
      <c r="GC410" s="31"/>
      <c r="GD410" s="31"/>
      <c r="GE410" s="31"/>
      <c r="GF410" s="31"/>
      <c r="GG410" s="31"/>
      <c r="GH410" s="31"/>
      <c r="GI410" s="31"/>
      <c r="GJ410" s="31"/>
      <c r="GK410" s="31"/>
      <c r="GL410" s="31"/>
      <c r="GM410" s="31"/>
      <c r="GN410" s="31"/>
      <c r="GO410" s="31"/>
      <c r="GP410" s="31"/>
      <c r="GQ410" s="31"/>
      <c r="GR410" s="31"/>
      <c r="GS410" s="31"/>
      <c r="GT410" s="31"/>
      <c r="GU410" s="31"/>
      <c r="GV410" s="31"/>
      <c r="GW410" s="31"/>
      <c r="GX410" s="31"/>
      <c r="GY410" s="31"/>
      <c r="GZ410" s="31"/>
      <c r="HA410" s="31"/>
      <c r="HB410" s="31"/>
      <c r="HC410" s="31"/>
      <c r="HD410" s="31"/>
      <c r="HE410" s="31"/>
      <c r="HF410" s="31"/>
      <c r="HG410" s="31"/>
      <c r="HH410" s="31"/>
      <c r="HI410" s="31"/>
      <c r="HJ410" s="31"/>
      <c r="HK410" s="31"/>
      <c r="HL410" s="31"/>
      <c r="HM410" s="31"/>
      <c r="HN410" s="31"/>
      <c r="HO410" s="31"/>
      <c r="HP410" s="31"/>
      <c r="HQ410" s="31"/>
      <c r="HR410" s="31"/>
      <c r="HS410" s="31"/>
      <c r="HT410" s="31"/>
      <c r="HU410" s="31"/>
      <c r="HV410" s="31"/>
      <c r="HW410" s="31"/>
      <c r="HX410" s="31"/>
      <c r="HY410" s="31"/>
      <c r="HZ410" s="31"/>
      <c r="IA410" s="31"/>
      <c r="IB410" s="31"/>
      <c r="IC410" s="31"/>
      <c r="ID410" s="31"/>
      <c r="IE410" s="31"/>
      <c r="IF410" s="31"/>
      <c r="IG410" s="31"/>
      <c r="IH410" s="31"/>
      <c r="II410" s="31"/>
      <c r="IJ410" s="31"/>
      <c r="IK410" s="31"/>
      <c r="IL410" s="31"/>
      <c r="IM410" s="31"/>
      <c r="IN410" s="31"/>
      <c r="IO410" s="31"/>
      <c r="IP410" s="31"/>
      <c r="IQ410" s="31"/>
      <c r="IR410" s="31"/>
      <c r="IS410" s="31"/>
      <c r="IT410" s="31"/>
      <c r="IU410" s="31"/>
      <c r="IV410" s="31"/>
      <c r="IW410" s="31"/>
      <c r="IX410" s="31"/>
      <c r="IY410" s="31"/>
      <c r="IZ410" s="31"/>
      <c r="JA410" s="31"/>
      <c r="JB410" s="31"/>
      <c r="JC410" s="31"/>
      <c r="JD410" s="31"/>
      <c r="JE410" s="31"/>
      <c r="JF410" s="31"/>
      <c r="JG410" s="31"/>
      <c r="JH410" s="31"/>
      <c r="JI410" s="31"/>
      <c r="JJ410" s="31"/>
      <c r="JK410" s="31"/>
      <c r="JL410" s="31"/>
      <c r="JM410" s="31"/>
      <c r="JN410" s="31"/>
      <c r="JO410" s="31"/>
      <c r="JP410" s="31"/>
      <c r="JQ410" s="31"/>
      <c r="JR410" s="31"/>
      <c r="JS410" s="31"/>
      <c r="JT410" s="31"/>
      <c r="JU410" s="31"/>
      <c r="JV410" s="31"/>
      <c r="JW410" s="31"/>
      <c r="JX410" s="31"/>
      <c r="JY410" s="31"/>
      <c r="JZ410" s="31"/>
      <c r="KA410" s="31"/>
      <c r="KB410" s="31"/>
      <c r="KC410" s="31"/>
      <c r="KD410" s="31"/>
      <c r="KE410" s="31"/>
      <c r="KF410" s="31"/>
      <c r="KG410" s="31"/>
      <c r="KH410" s="31"/>
      <c r="KI410" s="31"/>
      <c r="KJ410" s="31"/>
      <c r="KK410" s="31"/>
      <c r="KL410" s="31"/>
      <c r="KM410" s="31"/>
      <c r="KN410" s="31"/>
      <c r="KO410" s="31"/>
      <c r="KP410" s="31"/>
      <c r="KQ410" s="31"/>
      <c r="KR410" s="31"/>
      <c r="KS410" s="31"/>
      <c r="KT410" s="31"/>
      <c r="KU410" s="31"/>
      <c r="KV410" s="31"/>
      <c r="KW410" s="31"/>
      <c r="KX410" s="31"/>
      <c r="KY410" s="31"/>
      <c r="KZ410" s="31"/>
      <c r="LA410" s="31"/>
      <c r="LB410" s="31"/>
      <c r="LC410" s="31"/>
      <c r="LD410" s="31"/>
      <c r="LE410" s="31"/>
      <c r="LF410" s="31"/>
      <c r="LG410" s="31"/>
      <c r="LH410" s="31"/>
      <c r="LI410" s="31"/>
      <c r="LJ410" s="31"/>
      <c r="LK410" s="31"/>
      <c r="LL410" s="31"/>
      <c r="LM410" s="31"/>
      <c r="LN410" s="31"/>
      <c r="LO410" s="31"/>
      <c r="LP410" s="31"/>
      <c r="LQ410" s="31"/>
      <c r="LR410" s="31"/>
      <c r="LS410" s="31"/>
      <c r="LT410" s="31"/>
      <c r="LU410" s="31"/>
      <c r="LV410" s="31"/>
      <c r="LW410" s="31"/>
      <c r="LX410" s="31"/>
      <c r="LY410" s="31"/>
      <c r="LZ410" s="31"/>
      <c r="MA410" s="31"/>
      <c r="MB410" s="31"/>
      <c r="MC410" s="31"/>
      <c r="MD410" s="31"/>
      <c r="ME410" s="31"/>
      <c r="MF410" s="31"/>
      <c r="MG410" s="31"/>
      <c r="MH410" s="31"/>
      <c r="MI410" s="31"/>
      <c r="MJ410" s="31"/>
      <c r="MK410" s="31"/>
      <c r="ML410" s="31"/>
      <c r="MM410" s="31"/>
      <c r="MN410" s="31"/>
      <c r="MO410" s="31"/>
      <c r="MP410" s="31"/>
      <c r="MQ410" s="31"/>
      <c r="MR410" s="31"/>
      <c r="MS410" s="31"/>
      <c r="MT410" s="31"/>
      <c r="MU410" s="31"/>
      <c r="MV410" s="31"/>
      <c r="MW410" s="31"/>
      <c r="MX410" s="31"/>
      <c r="MY410" s="31"/>
      <c r="MZ410" s="31"/>
      <c r="NA410" s="31"/>
      <c r="NB410" s="31"/>
      <c r="NC410" s="31"/>
      <c r="ND410" s="31"/>
      <c r="NE410" s="31"/>
      <c r="NF410" s="31"/>
      <c r="NG410" s="31"/>
      <c r="NH410" s="31"/>
      <c r="NI410" s="31"/>
      <c r="NJ410" s="31"/>
      <c r="NK410" s="31"/>
      <c r="NL410" s="31"/>
      <c r="NM410" s="31"/>
      <c r="NN410" s="31"/>
      <c r="NO410" s="31"/>
      <c r="NP410" s="31"/>
      <c r="NQ410" s="31"/>
      <c r="NR410" s="31"/>
      <c r="NS410" s="31"/>
      <c r="NT410" s="31"/>
      <c r="NU410" s="31"/>
      <c r="NV410" s="31"/>
      <c r="NW410" s="31"/>
      <c r="NX410" s="31"/>
      <c r="NY410" s="31"/>
      <c r="NZ410" s="31"/>
      <c r="OA410" s="31"/>
      <c r="OB410" s="31"/>
      <c r="OC410" s="31"/>
      <c r="OD410" s="31"/>
      <c r="OE410" s="31"/>
      <c r="OF410" s="31"/>
      <c r="OG410" s="31"/>
      <c r="OH410" s="31"/>
      <c r="OI410" s="31"/>
      <c r="OJ410" s="31"/>
      <c r="OK410" s="31"/>
      <c r="OL410" s="31"/>
      <c r="OM410" s="31"/>
      <c r="ON410" s="31"/>
      <c r="OO410" s="31"/>
      <c r="OP410" s="31"/>
      <c r="OQ410" s="31"/>
      <c r="OR410" s="31"/>
      <c r="OS410" s="31"/>
      <c r="OT410" s="31"/>
      <c r="OU410" s="31"/>
      <c r="OV410" s="31"/>
      <c r="OW410" s="31"/>
      <c r="OX410" s="31"/>
      <c r="OY410" s="31"/>
      <c r="OZ410" s="31"/>
      <c r="PA410" s="31"/>
      <c r="PB410" s="31"/>
      <c r="PC410" s="31"/>
      <c r="PD410" s="31"/>
      <c r="PE410" s="31"/>
      <c r="PF410" s="31"/>
      <c r="PG410" s="31"/>
      <c r="PH410" s="31"/>
      <c r="PI410" s="31"/>
      <c r="PJ410" s="31"/>
      <c r="PK410" s="31"/>
      <c r="PL410" s="31"/>
      <c r="PM410" s="31"/>
      <c r="PN410" s="31"/>
      <c r="PO410" s="31"/>
      <c r="PP410" s="31"/>
      <c r="PQ410" s="31"/>
      <c r="PR410" s="31"/>
      <c r="PS410" s="31"/>
      <c r="PT410" s="31"/>
      <c r="PU410" s="31"/>
      <c r="PV410" s="31"/>
      <c r="PW410" s="31"/>
      <c r="PX410" s="31"/>
      <c r="PY410" s="31"/>
      <c r="PZ410" s="31"/>
      <c r="QA410" s="31"/>
      <c r="QB410" s="31"/>
      <c r="QC410" s="31"/>
      <c r="QD410" s="31"/>
      <c r="QE410" s="31"/>
      <c r="QF410" s="31"/>
      <c r="QG410" s="31"/>
      <c r="QH410" s="31"/>
      <c r="QI410" s="31"/>
      <c r="QJ410" s="31"/>
      <c r="QK410" s="31"/>
      <c r="QL410" s="31"/>
      <c r="QM410" s="31"/>
      <c r="QN410" s="31"/>
      <c r="QO410" s="31"/>
      <c r="QP410" s="31"/>
      <c r="QQ410" s="31"/>
      <c r="QR410" s="31"/>
      <c r="QS410" s="31"/>
      <c r="QT410" s="31"/>
      <c r="QU410" s="31"/>
      <c r="QV410" s="31"/>
      <c r="QW410" s="31"/>
      <c r="QX410" s="31"/>
      <c r="QY410" s="31"/>
      <c r="QZ410" s="31"/>
      <c r="RA410" s="31"/>
      <c r="RB410" s="31"/>
      <c r="RC410" s="31"/>
      <c r="RD410" s="31"/>
      <c r="RE410" s="31"/>
      <c r="RF410" s="31"/>
      <c r="RG410" s="31"/>
      <c r="RH410" s="31"/>
      <c r="RI410" s="31"/>
      <c r="RJ410" s="31"/>
      <c r="RK410" s="31"/>
      <c r="RL410" s="31"/>
      <c r="RM410" s="31"/>
      <c r="RN410" s="31"/>
      <c r="RO410" s="31"/>
      <c r="RP410" s="31"/>
      <c r="RQ410" s="31"/>
      <c r="RR410" s="31"/>
      <c r="RS410" s="31"/>
      <c r="RT410" s="31"/>
      <c r="RU410" s="31"/>
      <c r="RV410" s="31"/>
      <c r="RW410" s="31"/>
      <c r="RX410" s="31"/>
      <c r="RY410" s="31"/>
      <c r="RZ410" s="31"/>
      <c r="SA410" s="31"/>
      <c r="SB410" s="31"/>
      <c r="SC410" s="31"/>
      <c r="SD410" s="31"/>
      <c r="SE410" s="31"/>
      <c r="SF410" s="31"/>
      <c r="SG410" s="31"/>
      <c r="SH410" s="31"/>
      <c r="SI410" s="31"/>
      <c r="SJ410" s="31"/>
      <c r="SK410" s="31"/>
      <c r="SL410" s="31"/>
      <c r="SM410" s="31"/>
      <c r="SN410" s="31"/>
      <c r="SO410" s="31"/>
      <c r="SP410" s="31"/>
      <c r="SQ410" s="31"/>
      <c r="SR410" s="31"/>
      <c r="SS410" s="31"/>
      <c r="ST410" s="31"/>
      <c r="SU410" s="31"/>
      <c r="SV410" s="31"/>
      <c r="SW410" s="31"/>
      <c r="SX410" s="31"/>
      <c r="SY410" s="31"/>
      <c r="SZ410" s="31"/>
      <c r="TA410" s="31"/>
      <c r="TB410" s="31"/>
      <c r="TC410" s="31"/>
      <c r="TD410" s="31"/>
      <c r="TE410" s="31"/>
      <c r="TF410" s="31"/>
      <c r="TG410" s="31"/>
      <c r="TH410" s="31"/>
      <c r="TI410" s="31"/>
      <c r="TJ410" s="31"/>
      <c r="TK410" s="31"/>
      <c r="TL410" s="31"/>
      <c r="TM410" s="31"/>
      <c r="TN410" s="31"/>
      <c r="TO410" s="31"/>
      <c r="TP410" s="31"/>
      <c r="TQ410" s="31"/>
      <c r="TR410" s="31"/>
      <c r="TS410" s="31"/>
      <c r="TT410" s="31"/>
      <c r="TU410" s="31"/>
      <c r="TV410" s="31"/>
      <c r="TW410" s="31"/>
      <c r="TX410" s="31"/>
      <c r="TY410" s="31"/>
      <c r="TZ410" s="31"/>
      <c r="UA410" s="31"/>
      <c r="UB410" s="31"/>
      <c r="UC410" s="31"/>
      <c r="UD410" s="31"/>
      <c r="UE410" s="31"/>
      <c r="UF410" s="31"/>
      <c r="UG410" s="33"/>
    </row>
    <row r="411" spans="1:553" s="169" customFormat="1" ht="117" customHeight="1">
      <c r="A411" s="356" t="s">
        <v>15</v>
      </c>
      <c r="B411" s="356"/>
      <c r="C411" s="384" t="s">
        <v>22</v>
      </c>
      <c r="D411" s="376">
        <v>2</v>
      </c>
      <c r="E411" s="376">
        <v>386</v>
      </c>
      <c r="F411" s="385">
        <v>1</v>
      </c>
      <c r="G411" s="386" t="s">
        <v>935</v>
      </c>
      <c r="H411" s="376">
        <v>916.1</v>
      </c>
      <c r="I411" s="422">
        <v>916.1</v>
      </c>
      <c r="J411" s="1061">
        <v>60000</v>
      </c>
      <c r="K411" s="388"/>
      <c r="L411" s="366">
        <f t="shared" si="86"/>
        <v>54966000</v>
      </c>
      <c r="M411" s="366"/>
      <c r="N411" s="366"/>
      <c r="O411" s="366"/>
      <c r="P411" s="366"/>
      <c r="Q411" s="1036" t="s">
        <v>319</v>
      </c>
      <c r="R411" s="1467" t="s">
        <v>948</v>
      </c>
      <c r="S411" s="435"/>
      <c r="T411" s="436"/>
      <c r="U411" s="304"/>
      <c r="V411" s="393"/>
      <c r="W411" s="304"/>
      <c r="X411" s="304"/>
      <c r="Y411" s="304"/>
      <c r="Z411" s="304"/>
      <c r="AA411" s="304"/>
      <c r="AB411" s="304">
        <f>I411</f>
        <v>916.1</v>
      </c>
      <c r="AC411" s="449"/>
      <c r="AD411" s="452"/>
      <c r="AE411" s="452"/>
      <c r="AF411" s="452"/>
      <c r="AG411" s="452"/>
      <c r="AH411" s="452"/>
      <c r="AI411" s="452"/>
      <c r="AJ411" s="452"/>
      <c r="AK411" s="452"/>
      <c r="AL411" s="890"/>
      <c r="AM411" s="165"/>
      <c r="AN411" s="165"/>
      <c r="AO411" s="165"/>
      <c r="AP411" s="165"/>
      <c r="AQ411" s="165"/>
      <c r="AR411" s="165"/>
      <c r="AS411" s="165"/>
      <c r="AT411" s="165"/>
      <c r="AU411" s="165"/>
      <c r="AV411" s="165"/>
      <c r="AW411" s="165"/>
      <c r="AX411" s="165"/>
      <c r="AY411" s="165"/>
      <c r="AZ411" s="165"/>
      <c r="BA411" s="165"/>
      <c r="BB411" s="165"/>
      <c r="BC411" s="165"/>
      <c r="BD411" s="165"/>
      <c r="BE411" s="165"/>
      <c r="BF411" s="165"/>
      <c r="BG411" s="165"/>
      <c r="BH411" s="165"/>
      <c r="BI411" s="165"/>
      <c r="BJ411" s="165"/>
      <c r="BK411" s="165"/>
      <c r="BL411" s="165"/>
      <c r="BM411" s="165"/>
      <c r="BN411" s="165"/>
      <c r="BO411" s="165"/>
      <c r="BP411" s="165"/>
      <c r="BQ411" s="165"/>
      <c r="BR411" s="165"/>
      <c r="BS411" s="165"/>
      <c r="BT411" s="165"/>
      <c r="BU411" s="165"/>
      <c r="BV411" s="165"/>
      <c r="BW411" s="165"/>
      <c r="BX411" s="165"/>
      <c r="BY411" s="165"/>
      <c r="BZ411" s="165"/>
      <c r="CA411" s="165"/>
      <c r="CB411" s="165"/>
      <c r="CC411" s="165"/>
      <c r="CD411" s="165"/>
      <c r="CE411" s="165"/>
      <c r="CF411" s="165"/>
      <c r="CG411" s="165"/>
      <c r="CH411" s="165"/>
      <c r="CI411" s="165"/>
      <c r="CJ411" s="165"/>
      <c r="CK411" s="165"/>
      <c r="CL411" s="165"/>
      <c r="CM411" s="165"/>
      <c r="CN411" s="165"/>
      <c r="CO411" s="165"/>
      <c r="CP411" s="165"/>
      <c r="CQ411" s="165"/>
      <c r="CR411" s="165"/>
      <c r="CS411" s="165"/>
      <c r="CT411" s="165"/>
      <c r="CU411" s="165"/>
      <c r="CV411" s="165"/>
      <c r="CW411" s="165"/>
      <c r="CX411" s="165"/>
      <c r="CY411" s="165"/>
      <c r="CZ411" s="165"/>
      <c r="DA411" s="165"/>
      <c r="DB411" s="165"/>
      <c r="DC411" s="165"/>
      <c r="DD411" s="165"/>
      <c r="DE411" s="165"/>
      <c r="DF411" s="165"/>
      <c r="DG411" s="165"/>
      <c r="DH411" s="165"/>
      <c r="DI411" s="165"/>
      <c r="DJ411" s="165"/>
      <c r="DK411" s="165"/>
      <c r="DL411" s="165"/>
      <c r="DM411" s="165"/>
      <c r="DN411" s="165"/>
      <c r="DO411" s="165"/>
      <c r="DP411" s="165"/>
      <c r="DQ411" s="165"/>
      <c r="DR411" s="165"/>
      <c r="DS411" s="165"/>
      <c r="DT411" s="165"/>
      <c r="DU411" s="165"/>
      <c r="DV411" s="165"/>
      <c r="DW411" s="165"/>
      <c r="DX411" s="165"/>
      <c r="DY411" s="165"/>
      <c r="DZ411" s="165"/>
      <c r="EA411" s="165"/>
      <c r="EB411" s="165"/>
      <c r="EC411" s="165"/>
      <c r="ED411" s="165"/>
      <c r="EE411" s="165"/>
      <c r="EF411" s="165"/>
      <c r="EG411" s="165"/>
      <c r="EH411" s="165"/>
      <c r="EI411" s="165"/>
      <c r="EJ411" s="165"/>
      <c r="EK411" s="165"/>
      <c r="EL411" s="165"/>
      <c r="EM411" s="165"/>
      <c r="EN411" s="165"/>
      <c r="EO411" s="165"/>
      <c r="EP411" s="165"/>
      <c r="EQ411" s="165"/>
      <c r="ER411" s="165"/>
      <c r="ES411" s="165"/>
      <c r="ET411" s="165"/>
      <c r="EU411" s="165"/>
      <c r="EV411" s="165"/>
      <c r="EW411" s="165"/>
      <c r="EX411" s="165"/>
      <c r="EY411" s="165"/>
      <c r="EZ411" s="165"/>
      <c r="FA411" s="165"/>
      <c r="FB411" s="165"/>
      <c r="FC411" s="165"/>
      <c r="FD411" s="165"/>
      <c r="FE411" s="165"/>
      <c r="FF411" s="165"/>
      <c r="FG411" s="165"/>
      <c r="FH411" s="165"/>
      <c r="FI411" s="165"/>
      <c r="FJ411" s="165"/>
      <c r="FK411" s="165"/>
      <c r="FL411" s="165"/>
      <c r="FM411" s="165"/>
      <c r="FN411" s="165"/>
      <c r="FO411" s="165"/>
      <c r="FP411" s="165"/>
      <c r="FQ411" s="165"/>
      <c r="FR411" s="165"/>
      <c r="FS411" s="165"/>
      <c r="FT411" s="165"/>
      <c r="FU411" s="165"/>
      <c r="FV411" s="165"/>
      <c r="FW411" s="165"/>
      <c r="FX411" s="165"/>
      <c r="FY411" s="165"/>
      <c r="FZ411" s="165"/>
      <c r="GA411" s="165"/>
      <c r="GB411" s="165"/>
      <c r="GC411" s="165"/>
      <c r="GD411" s="165"/>
      <c r="GE411" s="165"/>
      <c r="GF411" s="165"/>
      <c r="GG411" s="165"/>
      <c r="GH411" s="165"/>
      <c r="GI411" s="165"/>
      <c r="GJ411" s="165"/>
      <c r="GK411" s="165"/>
      <c r="GL411" s="165"/>
      <c r="GM411" s="165"/>
      <c r="GN411" s="165"/>
      <c r="GO411" s="165"/>
      <c r="GP411" s="165"/>
      <c r="GQ411" s="165"/>
      <c r="GR411" s="165"/>
      <c r="GS411" s="165"/>
      <c r="GT411" s="165"/>
      <c r="GU411" s="165"/>
      <c r="GV411" s="165"/>
      <c r="GW411" s="165"/>
      <c r="GX411" s="165"/>
      <c r="GY411" s="165"/>
      <c r="GZ411" s="165"/>
      <c r="HA411" s="165"/>
      <c r="HB411" s="165"/>
      <c r="HC411" s="165"/>
      <c r="HD411" s="165"/>
      <c r="HE411" s="165"/>
      <c r="HF411" s="165"/>
      <c r="HG411" s="165"/>
      <c r="HH411" s="165"/>
      <c r="HI411" s="165"/>
      <c r="HJ411" s="165"/>
      <c r="HK411" s="165"/>
      <c r="HL411" s="165"/>
      <c r="HM411" s="165"/>
      <c r="HN411" s="165"/>
      <c r="HO411" s="165"/>
      <c r="HP411" s="165"/>
      <c r="HQ411" s="165"/>
      <c r="HR411" s="165"/>
      <c r="HS411" s="165"/>
      <c r="HT411" s="165"/>
      <c r="HU411" s="165"/>
      <c r="HV411" s="165"/>
      <c r="HW411" s="165"/>
      <c r="HX411" s="165"/>
      <c r="HY411" s="165"/>
      <c r="HZ411" s="165"/>
      <c r="IA411" s="165"/>
      <c r="IB411" s="165"/>
      <c r="IC411" s="165"/>
      <c r="ID411" s="165"/>
      <c r="IE411" s="165"/>
      <c r="IF411" s="165"/>
      <c r="IG411" s="165"/>
      <c r="IH411" s="165"/>
      <c r="II411" s="165"/>
      <c r="IJ411" s="165"/>
      <c r="IK411" s="165"/>
      <c r="IL411" s="165"/>
      <c r="IM411" s="165"/>
      <c r="IN411" s="165"/>
      <c r="IO411" s="165"/>
      <c r="IP411" s="165"/>
      <c r="IQ411" s="165"/>
      <c r="IR411" s="165"/>
      <c r="IS411" s="165"/>
      <c r="IT411" s="165"/>
      <c r="IU411" s="165"/>
      <c r="IV411" s="165"/>
      <c r="IW411" s="165"/>
      <c r="IX411" s="165"/>
      <c r="IY411" s="165"/>
      <c r="IZ411" s="165"/>
      <c r="JA411" s="165"/>
      <c r="JB411" s="165"/>
      <c r="JC411" s="165"/>
      <c r="JD411" s="165"/>
      <c r="JE411" s="165"/>
      <c r="JF411" s="165"/>
      <c r="JG411" s="165"/>
      <c r="JH411" s="165"/>
      <c r="JI411" s="165"/>
      <c r="JJ411" s="165"/>
      <c r="JK411" s="165"/>
      <c r="JL411" s="165"/>
      <c r="JM411" s="165"/>
      <c r="JN411" s="165"/>
      <c r="JO411" s="165"/>
      <c r="JP411" s="165"/>
      <c r="JQ411" s="165"/>
      <c r="JR411" s="165"/>
      <c r="JS411" s="165"/>
      <c r="JT411" s="165"/>
      <c r="JU411" s="165"/>
      <c r="JV411" s="165"/>
      <c r="JW411" s="165"/>
      <c r="JX411" s="165"/>
      <c r="JY411" s="165"/>
      <c r="JZ411" s="165"/>
      <c r="KA411" s="165"/>
      <c r="KB411" s="165"/>
      <c r="KC411" s="165"/>
      <c r="KD411" s="165"/>
      <c r="KE411" s="165"/>
      <c r="KF411" s="165"/>
      <c r="KG411" s="165"/>
      <c r="KH411" s="165"/>
      <c r="KI411" s="165"/>
      <c r="KJ411" s="165"/>
      <c r="KK411" s="165"/>
      <c r="KL411" s="165"/>
      <c r="KM411" s="165"/>
      <c r="KN411" s="165"/>
      <c r="KO411" s="165"/>
      <c r="KP411" s="165"/>
      <c r="KQ411" s="165"/>
      <c r="KR411" s="165"/>
      <c r="KS411" s="165"/>
      <c r="KT411" s="165"/>
      <c r="KU411" s="165"/>
      <c r="KV411" s="165"/>
      <c r="KW411" s="165"/>
      <c r="KX411" s="165"/>
      <c r="KY411" s="165"/>
      <c r="KZ411" s="165"/>
      <c r="LA411" s="165"/>
      <c r="LB411" s="165"/>
      <c r="LC411" s="165"/>
      <c r="LD411" s="165"/>
      <c r="LE411" s="165"/>
      <c r="LF411" s="165"/>
      <c r="LG411" s="165"/>
      <c r="LH411" s="165"/>
      <c r="LI411" s="165"/>
      <c r="LJ411" s="165"/>
      <c r="LK411" s="165"/>
      <c r="LL411" s="165"/>
      <c r="LM411" s="165"/>
      <c r="LN411" s="165"/>
      <c r="LO411" s="165"/>
      <c r="LP411" s="165"/>
      <c r="LQ411" s="165"/>
      <c r="LR411" s="165"/>
      <c r="LS411" s="165"/>
      <c r="LT411" s="165"/>
      <c r="LU411" s="165"/>
      <c r="LV411" s="165"/>
      <c r="LW411" s="165"/>
      <c r="LX411" s="165"/>
      <c r="LY411" s="165"/>
      <c r="LZ411" s="165"/>
      <c r="MA411" s="165"/>
      <c r="MB411" s="165"/>
      <c r="MC411" s="165"/>
      <c r="MD411" s="165"/>
      <c r="ME411" s="165"/>
      <c r="MF411" s="165"/>
      <c r="MG411" s="165"/>
      <c r="MH411" s="165"/>
      <c r="MI411" s="165"/>
      <c r="MJ411" s="165"/>
      <c r="MK411" s="165"/>
      <c r="ML411" s="165"/>
      <c r="MM411" s="165"/>
      <c r="MN411" s="165"/>
      <c r="MO411" s="165"/>
      <c r="MP411" s="165"/>
      <c r="MQ411" s="165"/>
      <c r="MR411" s="165"/>
      <c r="MS411" s="165"/>
      <c r="MT411" s="165"/>
      <c r="MU411" s="165"/>
      <c r="MV411" s="165"/>
      <c r="MW411" s="165"/>
      <c r="MX411" s="165"/>
      <c r="MY411" s="165"/>
      <c r="MZ411" s="165"/>
      <c r="NA411" s="165"/>
      <c r="NB411" s="165"/>
      <c r="NC411" s="165"/>
      <c r="ND411" s="165"/>
      <c r="NE411" s="165"/>
      <c r="NF411" s="165"/>
      <c r="NG411" s="165"/>
      <c r="NH411" s="165"/>
      <c r="NI411" s="165"/>
      <c r="NJ411" s="165"/>
      <c r="NK411" s="165"/>
      <c r="NL411" s="165"/>
      <c r="NM411" s="165"/>
      <c r="NN411" s="165"/>
      <c r="NO411" s="165"/>
      <c r="NP411" s="165"/>
      <c r="NQ411" s="165"/>
      <c r="NR411" s="165"/>
      <c r="NS411" s="165"/>
      <c r="NT411" s="165"/>
      <c r="NU411" s="165"/>
      <c r="NV411" s="165"/>
      <c r="NW411" s="165"/>
      <c r="NX411" s="165"/>
      <c r="NY411" s="165"/>
      <c r="NZ411" s="165"/>
      <c r="OA411" s="165"/>
      <c r="OB411" s="165"/>
      <c r="OC411" s="165"/>
      <c r="OD411" s="165"/>
      <c r="OE411" s="165"/>
      <c r="OF411" s="165"/>
      <c r="OG411" s="165"/>
      <c r="OH411" s="165"/>
      <c r="OI411" s="165"/>
      <c r="OJ411" s="165"/>
      <c r="OK411" s="165"/>
      <c r="OL411" s="165"/>
      <c r="OM411" s="165"/>
      <c r="ON411" s="165"/>
      <c r="OO411" s="165"/>
      <c r="OP411" s="165"/>
      <c r="OQ411" s="165"/>
      <c r="OR411" s="165"/>
      <c r="OS411" s="165"/>
      <c r="OT411" s="165"/>
      <c r="OU411" s="165"/>
      <c r="OV411" s="165"/>
      <c r="OW411" s="165"/>
      <c r="OX411" s="165"/>
      <c r="OY411" s="165"/>
      <c r="OZ411" s="165"/>
      <c r="PA411" s="165"/>
      <c r="PB411" s="165"/>
      <c r="PC411" s="165"/>
      <c r="PD411" s="165"/>
      <c r="PE411" s="165"/>
      <c r="PF411" s="165"/>
      <c r="PG411" s="165"/>
      <c r="PH411" s="165"/>
      <c r="PI411" s="165"/>
      <c r="PJ411" s="165"/>
      <c r="PK411" s="165"/>
      <c r="PL411" s="165"/>
      <c r="PM411" s="165"/>
      <c r="PN411" s="165"/>
      <c r="PO411" s="165"/>
      <c r="PP411" s="165"/>
      <c r="PQ411" s="165"/>
      <c r="PR411" s="165"/>
      <c r="PS411" s="165"/>
      <c r="PT411" s="165"/>
      <c r="PU411" s="165"/>
      <c r="PV411" s="165"/>
      <c r="PW411" s="165"/>
      <c r="PX411" s="165"/>
      <c r="PY411" s="165"/>
      <c r="PZ411" s="165"/>
      <c r="QA411" s="165"/>
      <c r="QB411" s="165"/>
      <c r="QC411" s="165"/>
      <c r="QD411" s="165"/>
      <c r="QE411" s="165"/>
      <c r="QF411" s="165"/>
      <c r="QG411" s="165"/>
      <c r="QH411" s="165"/>
      <c r="QI411" s="165"/>
      <c r="QJ411" s="165"/>
      <c r="QK411" s="165"/>
      <c r="QL411" s="165"/>
      <c r="QM411" s="165"/>
      <c r="QN411" s="165"/>
      <c r="QO411" s="165"/>
      <c r="QP411" s="165"/>
      <c r="QQ411" s="165"/>
      <c r="QR411" s="165"/>
      <c r="QS411" s="165"/>
      <c r="QT411" s="165"/>
      <c r="QU411" s="165"/>
      <c r="QV411" s="165"/>
      <c r="QW411" s="165"/>
      <c r="QX411" s="165"/>
      <c r="QY411" s="165"/>
      <c r="QZ411" s="165"/>
      <c r="RA411" s="165"/>
      <c r="RB411" s="165"/>
      <c r="RC411" s="165"/>
      <c r="RD411" s="165"/>
      <c r="RE411" s="165"/>
      <c r="RF411" s="165"/>
      <c r="RG411" s="165"/>
      <c r="RH411" s="165"/>
      <c r="RI411" s="165"/>
      <c r="RJ411" s="165"/>
      <c r="RK411" s="165"/>
      <c r="RL411" s="165"/>
      <c r="RM411" s="165"/>
      <c r="RN411" s="165"/>
      <c r="RO411" s="165"/>
      <c r="RP411" s="165"/>
      <c r="RQ411" s="165"/>
      <c r="RR411" s="165"/>
      <c r="RS411" s="165"/>
      <c r="RT411" s="165"/>
      <c r="RU411" s="165"/>
      <c r="RV411" s="165"/>
      <c r="RW411" s="165"/>
      <c r="RX411" s="165"/>
      <c r="RY411" s="165"/>
      <c r="RZ411" s="165"/>
      <c r="SA411" s="165"/>
      <c r="SB411" s="165"/>
      <c r="SC411" s="165"/>
      <c r="SD411" s="165"/>
      <c r="SE411" s="165"/>
      <c r="SF411" s="165"/>
      <c r="SG411" s="165"/>
      <c r="SH411" s="165"/>
      <c r="SI411" s="165"/>
      <c r="SJ411" s="165"/>
      <c r="SK411" s="165"/>
      <c r="SL411" s="165"/>
      <c r="SM411" s="165"/>
      <c r="SN411" s="165"/>
      <c r="SO411" s="165"/>
      <c r="SP411" s="165"/>
      <c r="SQ411" s="165"/>
      <c r="SR411" s="165"/>
      <c r="SS411" s="165"/>
      <c r="ST411" s="165"/>
      <c r="SU411" s="165"/>
      <c r="SV411" s="165"/>
      <c r="SW411" s="165"/>
      <c r="SX411" s="165"/>
      <c r="SY411" s="165"/>
      <c r="SZ411" s="165"/>
      <c r="TA411" s="165"/>
      <c r="TB411" s="165"/>
      <c r="TC411" s="165"/>
      <c r="TD411" s="165"/>
      <c r="TE411" s="165"/>
      <c r="TF411" s="165"/>
      <c r="TG411" s="165"/>
      <c r="TH411" s="165"/>
      <c r="TI411" s="165"/>
      <c r="TJ411" s="165"/>
      <c r="TK411" s="165"/>
      <c r="TL411" s="165"/>
      <c r="TM411" s="165"/>
      <c r="TN411" s="165"/>
      <c r="TO411" s="165"/>
      <c r="TP411" s="165"/>
      <c r="TQ411" s="165"/>
      <c r="TR411" s="165"/>
      <c r="TS411" s="165"/>
      <c r="TT411" s="165"/>
      <c r="TU411" s="165"/>
      <c r="TV411" s="165"/>
      <c r="TW411" s="165"/>
      <c r="TX411" s="165"/>
      <c r="TY411" s="165"/>
      <c r="TZ411" s="165"/>
      <c r="UA411" s="165"/>
      <c r="UB411" s="165"/>
      <c r="UC411" s="165"/>
      <c r="UD411" s="165"/>
      <c r="UE411" s="165"/>
      <c r="UF411" s="165"/>
      <c r="UG411" s="891"/>
    </row>
    <row r="412" spans="1:553" ht="117" customHeight="1">
      <c r="A412" s="356" t="s">
        <v>15</v>
      </c>
      <c r="B412" s="356"/>
      <c r="C412" s="384" t="s">
        <v>213</v>
      </c>
      <c r="D412" s="376" t="s">
        <v>20</v>
      </c>
      <c r="E412" s="376" t="s">
        <v>320</v>
      </c>
      <c r="F412" s="385">
        <v>1</v>
      </c>
      <c r="G412" s="386" t="s">
        <v>935</v>
      </c>
      <c r="H412" s="441">
        <v>63.8</v>
      </c>
      <c r="I412" s="490">
        <v>63.8</v>
      </c>
      <c r="J412" s="368">
        <v>62000</v>
      </c>
      <c r="K412" s="388"/>
      <c r="L412" s="366">
        <f t="shared" si="86"/>
        <v>3955600</v>
      </c>
      <c r="M412" s="366"/>
      <c r="N412" s="366"/>
      <c r="O412" s="366"/>
      <c r="P412" s="366"/>
      <c r="Q412" s="1036" t="s">
        <v>315</v>
      </c>
      <c r="R412" s="1452"/>
      <c r="S412" s="308"/>
      <c r="T412" s="303"/>
      <c r="U412" s="306"/>
      <c r="V412" s="307"/>
      <c r="W412" s="306"/>
      <c r="X412" s="306"/>
      <c r="Y412" s="306"/>
      <c r="Z412" s="306"/>
      <c r="AA412" s="306">
        <f>I412</f>
        <v>63.8</v>
      </c>
      <c r="AB412" s="306"/>
      <c r="AC412" s="449"/>
      <c r="AD412" s="452"/>
      <c r="AE412" s="452"/>
      <c r="AF412" s="452"/>
      <c r="AG412" s="452"/>
      <c r="AH412" s="452"/>
      <c r="AI412" s="452"/>
      <c r="AJ412" s="452"/>
      <c r="AK412" s="452"/>
      <c r="AL412" s="106"/>
      <c r="AM412" s="31"/>
      <c r="AN412" s="31"/>
      <c r="AO412" s="31"/>
      <c r="AP412" s="31"/>
      <c r="AQ412" s="31"/>
      <c r="AR412" s="31"/>
      <c r="AS412" s="31"/>
      <c r="AT412" s="31"/>
      <c r="AU412" s="31"/>
      <c r="AV412" s="31"/>
      <c r="AW412" s="31"/>
      <c r="AX412" s="31"/>
      <c r="AY412" s="31"/>
      <c r="AZ412" s="31"/>
      <c r="BA412" s="31"/>
      <c r="BB412" s="31"/>
      <c r="BC412" s="31"/>
      <c r="BD412" s="31"/>
      <c r="BE412" s="31"/>
      <c r="BF412" s="31"/>
      <c r="BG412" s="31"/>
      <c r="BH412" s="31"/>
      <c r="BI412" s="31"/>
      <c r="BJ412" s="31"/>
      <c r="BK412" s="31"/>
      <c r="BL412" s="31"/>
      <c r="BM412" s="31"/>
      <c r="BN412" s="31"/>
      <c r="BO412" s="31"/>
      <c r="BP412" s="31"/>
      <c r="BQ412" s="31"/>
      <c r="BR412" s="31"/>
      <c r="BS412" s="31"/>
      <c r="BT412" s="31"/>
      <c r="BU412" s="31"/>
      <c r="BV412" s="31"/>
      <c r="BW412" s="31"/>
      <c r="BX412" s="31"/>
      <c r="BY412" s="31"/>
      <c r="BZ412" s="31"/>
      <c r="CA412" s="31"/>
      <c r="CB412" s="31"/>
      <c r="CC412" s="31"/>
      <c r="CD412" s="31"/>
      <c r="CE412" s="31"/>
      <c r="CF412" s="31"/>
      <c r="CG412" s="31"/>
      <c r="CH412" s="31"/>
      <c r="CI412" s="31"/>
      <c r="CJ412" s="31"/>
      <c r="CK412" s="31"/>
      <c r="CL412" s="31"/>
      <c r="CM412" s="31"/>
      <c r="CN412" s="31"/>
      <c r="CO412" s="31"/>
      <c r="CP412" s="31"/>
      <c r="CQ412" s="31"/>
      <c r="CR412" s="31"/>
      <c r="CS412" s="31"/>
      <c r="CT412" s="31"/>
      <c r="CU412" s="31"/>
      <c r="CV412" s="31"/>
      <c r="CW412" s="31"/>
      <c r="CX412" s="31"/>
      <c r="CY412" s="31"/>
      <c r="CZ412" s="31"/>
      <c r="DA412" s="31"/>
      <c r="DB412" s="31"/>
      <c r="DC412" s="31"/>
      <c r="DD412" s="31"/>
      <c r="DE412" s="31"/>
      <c r="DF412" s="31"/>
      <c r="DG412" s="31"/>
      <c r="DH412" s="31"/>
      <c r="DI412" s="31"/>
      <c r="DJ412" s="31"/>
      <c r="DK412" s="31"/>
      <c r="DL412" s="31"/>
      <c r="DM412" s="31"/>
      <c r="DN412" s="31"/>
      <c r="DO412" s="31"/>
      <c r="DP412" s="31"/>
      <c r="DQ412" s="31"/>
      <c r="DR412" s="31"/>
      <c r="DS412" s="31"/>
      <c r="DT412" s="31"/>
      <c r="DU412" s="31"/>
      <c r="DV412" s="31"/>
      <c r="DW412" s="31"/>
      <c r="DX412" s="31"/>
      <c r="DY412" s="31"/>
      <c r="DZ412" s="31"/>
      <c r="EA412" s="31"/>
      <c r="EB412" s="31"/>
      <c r="EC412" s="31"/>
      <c r="ED412" s="31"/>
      <c r="EE412" s="31"/>
      <c r="EF412" s="31"/>
      <c r="EG412" s="31"/>
      <c r="EH412" s="31"/>
      <c r="EI412" s="31"/>
      <c r="EJ412" s="31"/>
      <c r="EK412" s="31"/>
      <c r="EL412" s="31"/>
      <c r="EM412" s="31"/>
      <c r="EN412" s="31"/>
      <c r="EO412" s="31"/>
      <c r="EP412" s="31"/>
      <c r="EQ412" s="31"/>
      <c r="ER412" s="31"/>
      <c r="ES412" s="31"/>
      <c r="ET412" s="31"/>
      <c r="EU412" s="31"/>
      <c r="EV412" s="31"/>
      <c r="EW412" s="31"/>
      <c r="EX412" s="31"/>
      <c r="EY412" s="31"/>
      <c r="EZ412" s="31"/>
      <c r="FA412" s="31"/>
      <c r="FB412" s="31"/>
      <c r="FC412" s="31"/>
      <c r="FD412" s="31"/>
      <c r="FE412" s="31"/>
      <c r="FF412" s="31"/>
      <c r="FG412" s="31"/>
      <c r="FH412" s="31"/>
      <c r="FI412" s="31"/>
      <c r="FJ412" s="31"/>
      <c r="FK412" s="31"/>
      <c r="FL412" s="31"/>
      <c r="FM412" s="31"/>
      <c r="FN412" s="31"/>
      <c r="FO412" s="31"/>
      <c r="FP412" s="31"/>
      <c r="FQ412" s="31"/>
      <c r="FR412" s="31"/>
      <c r="FS412" s="31"/>
      <c r="FT412" s="31"/>
      <c r="FU412" s="31"/>
      <c r="FV412" s="31"/>
      <c r="FW412" s="31"/>
      <c r="FX412" s="31"/>
      <c r="FY412" s="31"/>
      <c r="FZ412" s="31"/>
      <c r="GA412" s="31"/>
      <c r="GB412" s="31"/>
      <c r="GC412" s="31"/>
      <c r="GD412" s="31"/>
      <c r="GE412" s="31"/>
      <c r="GF412" s="31"/>
      <c r="GG412" s="31"/>
      <c r="GH412" s="31"/>
      <c r="GI412" s="31"/>
      <c r="GJ412" s="31"/>
      <c r="GK412" s="31"/>
      <c r="GL412" s="31"/>
      <c r="GM412" s="31"/>
      <c r="GN412" s="31"/>
      <c r="GO412" s="31"/>
      <c r="GP412" s="31"/>
      <c r="GQ412" s="31"/>
      <c r="GR412" s="31"/>
      <c r="GS412" s="31"/>
      <c r="GT412" s="31"/>
      <c r="GU412" s="31"/>
      <c r="GV412" s="31"/>
      <c r="GW412" s="31"/>
      <c r="GX412" s="31"/>
      <c r="GY412" s="31"/>
      <c r="GZ412" s="31"/>
      <c r="HA412" s="31"/>
      <c r="HB412" s="31"/>
      <c r="HC412" s="31"/>
      <c r="HD412" s="31"/>
      <c r="HE412" s="31"/>
      <c r="HF412" s="31"/>
      <c r="HG412" s="31"/>
      <c r="HH412" s="31"/>
      <c r="HI412" s="31"/>
      <c r="HJ412" s="31"/>
      <c r="HK412" s="31"/>
      <c r="HL412" s="31"/>
      <c r="HM412" s="31"/>
      <c r="HN412" s="31"/>
      <c r="HO412" s="31"/>
      <c r="HP412" s="31"/>
      <c r="HQ412" s="31"/>
      <c r="HR412" s="31"/>
      <c r="HS412" s="31"/>
      <c r="HT412" s="31"/>
      <c r="HU412" s="31"/>
      <c r="HV412" s="31"/>
      <c r="HW412" s="31"/>
      <c r="HX412" s="31"/>
      <c r="HY412" s="31"/>
      <c r="HZ412" s="31"/>
      <c r="IA412" s="31"/>
      <c r="IB412" s="31"/>
      <c r="IC412" s="31"/>
      <c r="ID412" s="31"/>
      <c r="IE412" s="31"/>
      <c r="IF412" s="31"/>
      <c r="IG412" s="31"/>
      <c r="IH412" s="31"/>
      <c r="II412" s="31"/>
      <c r="IJ412" s="31"/>
      <c r="IK412" s="31"/>
      <c r="IL412" s="31"/>
      <c r="IM412" s="31"/>
      <c r="IN412" s="31"/>
      <c r="IO412" s="31"/>
      <c r="IP412" s="31"/>
      <c r="IQ412" s="31"/>
      <c r="IR412" s="31"/>
      <c r="IS412" s="31"/>
      <c r="IT412" s="31"/>
      <c r="IU412" s="31"/>
      <c r="IV412" s="31"/>
      <c r="IW412" s="31"/>
      <c r="IX412" s="31"/>
      <c r="IY412" s="31"/>
      <c r="IZ412" s="31"/>
      <c r="JA412" s="31"/>
      <c r="JB412" s="31"/>
      <c r="JC412" s="31"/>
      <c r="JD412" s="31"/>
      <c r="JE412" s="31"/>
      <c r="JF412" s="31"/>
      <c r="JG412" s="31"/>
      <c r="JH412" s="31"/>
      <c r="JI412" s="31"/>
      <c r="JJ412" s="31"/>
      <c r="JK412" s="31"/>
      <c r="JL412" s="31"/>
      <c r="JM412" s="31"/>
      <c r="JN412" s="31"/>
      <c r="JO412" s="31"/>
      <c r="JP412" s="31"/>
      <c r="JQ412" s="31"/>
      <c r="JR412" s="31"/>
      <c r="JS412" s="31"/>
      <c r="JT412" s="31"/>
      <c r="JU412" s="31"/>
      <c r="JV412" s="31"/>
      <c r="JW412" s="31"/>
      <c r="JX412" s="31"/>
      <c r="JY412" s="31"/>
      <c r="JZ412" s="31"/>
      <c r="KA412" s="31"/>
      <c r="KB412" s="31"/>
      <c r="KC412" s="31"/>
      <c r="KD412" s="31"/>
      <c r="KE412" s="31"/>
      <c r="KF412" s="31"/>
      <c r="KG412" s="31"/>
      <c r="KH412" s="31"/>
      <c r="KI412" s="31"/>
      <c r="KJ412" s="31"/>
      <c r="KK412" s="31"/>
      <c r="KL412" s="31"/>
      <c r="KM412" s="31"/>
      <c r="KN412" s="31"/>
      <c r="KO412" s="31"/>
      <c r="KP412" s="31"/>
      <c r="KQ412" s="31"/>
      <c r="KR412" s="31"/>
      <c r="KS412" s="31"/>
      <c r="KT412" s="31"/>
      <c r="KU412" s="31"/>
      <c r="KV412" s="31"/>
      <c r="KW412" s="31"/>
      <c r="KX412" s="31"/>
      <c r="KY412" s="31"/>
      <c r="KZ412" s="31"/>
      <c r="LA412" s="31"/>
      <c r="LB412" s="31"/>
      <c r="LC412" s="31"/>
      <c r="LD412" s="31"/>
      <c r="LE412" s="31"/>
      <c r="LF412" s="31"/>
      <c r="LG412" s="31"/>
      <c r="LH412" s="31"/>
      <c r="LI412" s="31"/>
      <c r="LJ412" s="31"/>
      <c r="LK412" s="31"/>
      <c r="LL412" s="31"/>
      <c r="LM412" s="31"/>
      <c r="LN412" s="31"/>
      <c r="LO412" s="31"/>
      <c r="LP412" s="31"/>
      <c r="LQ412" s="31"/>
      <c r="LR412" s="31"/>
      <c r="LS412" s="31"/>
      <c r="LT412" s="31"/>
      <c r="LU412" s="31"/>
      <c r="LV412" s="31"/>
      <c r="LW412" s="31"/>
      <c r="LX412" s="31"/>
      <c r="LY412" s="31"/>
      <c r="LZ412" s="31"/>
      <c r="MA412" s="31"/>
      <c r="MB412" s="31"/>
      <c r="MC412" s="31"/>
      <c r="MD412" s="31"/>
      <c r="ME412" s="31"/>
      <c r="MF412" s="31"/>
      <c r="MG412" s="31"/>
      <c r="MH412" s="31"/>
      <c r="MI412" s="31"/>
      <c r="MJ412" s="31"/>
      <c r="MK412" s="31"/>
      <c r="ML412" s="31"/>
      <c r="MM412" s="31"/>
      <c r="MN412" s="31"/>
      <c r="MO412" s="31"/>
      <c r="MP412" s="31"/>
      <c r="MQ412" s="31"/>
      <c r="MR412" s="31"/>
      <c r="MS412" s="31"/>
      <c r="MT412" s="31"/>
      <c r="MU412" s="31"/>
      <c r="MV412" s="31"/>
      <c r="MW412" s="31"/>
      <c r="MX412" s="31"/>
      <c r="MY412" s="31"/>
      <c r="MZ412" s="31"/>
      <c r="NA412" s="31"/>
      <c r="NB412" s="31"/>
      <c r="NC412" s="31"/>
      <c r="ND412" s="31"/>
      <c r="NE412" s="31"/>
      <c r="NF412" s="31"/>
      <c r="NG412" s="31"/>
      <c r="NH412" s="31"/>
      <c r="NI412" s="31"/>
      <c r="NJ412" s="31"/>
      <c r="NK412" s="31"/>
      <c r="NL412" s="31"/>
      <c r="NM412" s="31"/>
      <c r="NN412" s="31"/>
      <c r="NO412" s="31"/>
      <c r="NP412" s="31"/>
      <c r="NQ412" s="31"/>
      <c r="NR412" s="31"/>
      <c r="NS412" s="31"/>
      <c r="NT412" s="31"/>
      <c r="NU412" s="31"/>
      <c r="NV412" s="31"/>
      <c r="NW412" s="31"/>
      <c r="NX412" s="31"/>
      <c r="NY412" s="31"/>
      <c r="NZ412" s="31"/>
      <c r="OA412" s="31"/>
      <c r="OB412" s="31"/>
      <c r="OC412" s="31"/>
      <c r="OD412" s="31"/>
      <c r="OE412" s="31"/>
      <c r="OF412" s="31"/>
      <c r="OG412" s="31"/>
      <c r="OH412" s="31"/>
      <c r="OI412" s="31"/>
      <c r="OJ412" s="31"/>
      <c r="OK412" s="31"/>
      <c r="OL412" s="31"/>
      <c r="OM412" s="31"/>
      <c r="ON412" s="31"/>
      <c r="OO412" s="31"/>
      <c r="OP412" s="31"/>
      <c r="OQ412" s="31"/>
      <c r="OR412" s="31"/>
      <c r="OS412" s="31"/>
      <c r="OT412" s="31"/>
      <c r="OU412" s="31"/>
      <c r="OV412" s="31"/>
      <c r="OW412" s="31"/>
      <c r="OX412" s="31"/>
      <c r="OY412" s="31"/>
      <c r="OZ412" s="31"/>
      <c r="PA412" s="31"/>
      <c r="PB412" s="31"/>
      <c r="PC412" s="31"/>
      <c r="PD412" s="31"/>
      <c r="PE412" s="31"/>
      <c r="PF412" s="31"/>
      <c r="PG412" s="31"/>
      <c r="PH412" s="31"/>
      <c r="PI412" s="31"/>
      <c r="PJ412" s="31"/>
      <c r="PK412" s="31"/>
      <c r="PL412" s="31"/>
      <c r="PM412" s="31"/>
      <c r="PN412" s="31"/>
      <c r="PO412" s="31"/>
      <c r="PP412" s="31"/>
      <c r="PQ412" s="31"/>
      <c r="PR412" s="31"/>
      <c r="PS412" s="31"/>
      <c r="PT412" s="31"/>
      <c r="PU412" s="31"/>
      <c r="PV412" s="31"/>
      <c r="PW412" s="31"/>
      <c r="PX412" s="31"/>
      <c r="PY412" s="31"/>
      <c r="PZ412" s="31"/>
      <c r="QA412" s="31"/>
      <c r="QB412" s="31"/>
      <c r="QC412" s="31"/>
      <c r="QD412" s="31"/>
      <c r="QE412" s="31"/>
      <c r="QF412" s="31"/>
      <c r="QG412" s="31"/>
      <c r="QH412" s="31"/>
      <c r="QI412" s="31"/>
      <c r="QJ412" s="31"/>
      <c r="QK412" s="31"/>
      <c r="QL412" s="31"/>
      <c r="QM412" s="31"/>
      <c r="QN412" s="31"/>
      <c r="QO412" s="31"/>
      <c r="QP412" s="31"/>
      <c r="QQ412" s="31"/>
      <c r="QR412" s="31"/>
      <c r="QS412" s="31"/>
      <c r="QT412" s="31"/>
      <c r="QU412" s="31"/>
      <c r="QV412" s="31"/>
      <c r="QW412" s="31"/>
      <c r="QX412" s="31"/>
      <c r="QY412" s="31"/>
      <c r="QZ412" s="31"/>
      <c r="RA412" s="31"/>
      <c r="RB412" s="31"/>
      <c r="RC412" s="31"/>
      <c r="RD412" s="31"/>
      <c r="RE412" s="31"/>
      <c r="RF412" s="31"/>
      <c r="RG412" s="31"/>
      <c r="RH412" s="31"/>
      <c r="RI412" s="31"/>
      <c r="RJ412" s="31"/>
      <c r="RK412" s="31"/>
      <c r="RL412" s="31"/>
      <c r="RM412" s="31"/>
      <c r="RN412" s="31"/>
      <c r="RO412" s="31"/>
      <c r="RP412" s="31"/>
      <c r="RQ412" s="31"/>
      <c r="RR412" s="31"/>
      <c r="RS412" s="31"/>
      <c r="RT412" s="31"/>
      <c r="RU412" s="31"/>
      <c r="RV412" s="31"/>
      <c r="RW412" s="31"/>
      <c r="RX412" s="31"/>
      <c r="RY412" s="31"/>
      <c r="RZ412" s="31"/>
      <c r="SA412" s="31"/>
      <c r="SB412" s="31"/>
      <c r="SC412" s="31"/>
      <c r="SD412" s="31"/>
      <c r="SE412" s="31"/>
      <c r="SF412" s="31"/>
      <c r="SG412" s="31"/>
      <c r="SH412" s="31"/>
      <c r="SI412" s="31"/>
      <c r="SJ412" s="31"/>
      <c r="SK412" s="31"/>
      <c r="SL412" s="31"/>
      <c r="SM412" s="31"/>
      <c r="SN412" s="31"/>
      <c r="SO412" s="31"/>
      <c r="SP412" s="31"/>
      <c r="SQ412" s="31"/>
      <c r="SR412" s="31"/>
      <c r="SS412" s="31"/>
      <c r="ST412" s="31"/>
      <c r="SU412" s="31"/>
      <c r="SV412" s="31"/>
      <c r="SW412" s="31"/>
      <c r="SX412" s="31"/>
      <c r="SY412" s="31"/>
      <c r="SZ412" s="31"/>
      <c r="TA412" s="31"/>
      <c r="TB412" s="31"/>
      <c r="TC412" s="31"/>
      <c r="TD412" s="31"/>
      <c r="TE412" s="31"/>
      <c r="TF412" s="31"/>
      <c r="TG412" s="31"/>
      <c r="TH412" s="31"/>
      <c r="TI412" s="31"/>
      <c r="TJ412" s="31"/>
      <c r="TK412" s="31"/>
      <c r="TL412" s="31"/>
      <c r="TM412" s="31"/>
      <c r="TN412" s="31"/>
      <c r="TO412" s="31"/>
      <c r="TP412" s="31"/>
      <c r="TQ412" s="31"/>
      <c r="TR412" s="31"/>
      <c r="TS412" s="31"/>
      <c r="TT412" s="31"/>
      <c r="TU412" s="31"/>
      <c r="TV412" s="31"/>
      <c r="TW412" s="31"/>
      <c r="TX412" s="31"/>
      <c r="TY412" s="31"/>
      <c r="TZ412" s="31"/>
      <c r="UA412" s="31"/>
      <c r="UB412" s="31"/>
      <c r="UC412" s="31"/>
      <c r="UD412" s="31"/>
      <c r="UE412" s="31"/>
      <c r="UF412" s="31"/>
      <c r="UG412" s="33"/>
    </row>
    <row r="413" spans="1:553" ht="129.75" customHeight="1">
      <c r="A413" s="356" t="s">
        <v>15</v>
      </c>
      <c r="B413" s="356"/>
      <c r="C413" s="384" t="s">
        <v>69</v>
      </c>
      <c r="D413" s="376" t="s">
        <v>20</v>
      </c>
      <c r="E413" s="376" t="s">
        <v>321</v>
      </c>
      <c r="F413" s="385">
        <v>1</v>
      </c>
      <c r="G413" s="385" t="s">
        <v>935</v>
      </c>
      <c r="H413" s="376">
        <v>272.2</v>
      </c>
      <c r="I413" s="422">
        <v>272.2</v>
      </c>
      <c r="J413" s="477">
        <v>55000</v>
      </c>
      <c r="K413" s="388"/>
      <c r="L413" s="366">
        <f t="shared" si="86"/>
        <v>14971000</v>
      </c>
      <c r="M413" s="366"/>
      <c r="N413" s="366"/>
      <c r="O413" s="366"/>
      <c r="P413" s="366"/>
      <c r="Q413" s="1036" t="s">
        <v>322</v>
      </c>
      <c r="R413" s="1452"/>
      <c r="S413" s="435"/>
      <c r="T413" s="436"/>
      <c r="U413" s="304"/>
      <c r="V413" s="393"/>
      <c r="W413" s="304"/>
      <c r="X413" s="304">
        <f>I413</f>
        <v>272.2</v>
      </c>
      <c r="Y413" s="304"/>
      <c r="Z413" s="304"/>
      <c r="AA413" s="304"/>
      <c r="AB413" s="304"/>
      <c r="AC413" s="449"/>
      <c r="AD413" s="452"/>
      <c r="AE413" s="452"/>
      <c r="AF413" s="452"/>
      <c r="AG413" s="452"/>
      <c r="AH413" s="452"/>
      <c r="AI413" s="452"/>
      <c r="AJ413" s="452"/>
      <c r="AK413" s="452"/>
      <c r="AL413" s="106"/>
      <c r="AM413" s="31"/>
      <c r="AN413" s="31"/>
      <c r="AO413" s="31"/>
      <c r="AP413" s="31"/>
      <c r="AQ413" s="31"/>
      <c r="AR413" s="31"/>
      <c r="AS413" s="31"/>
      <c r="AT413" s="31"/>
      <c r="AU413" s="31"/>
      <c r="AV413" s="31"/>
      <c r="AW413" s="31"/>
      <c r="AX413" s="31"/>
      <c r="AY413" s="31"/>
      <c r="AZ413" s="31"/>
      <c r="BA413" s="31"/>
      <c r="BB413" s="31"/>
      <c r="BC413" s="31"/>
      <c r="BD413" s="31"/>
      <c r="BE413" s="31"/>
      <c r="BF413" s="31"/>
      <c r="BG413" s="31"/>
      <c r="BH413" s="31"/>
      <c r="BI413" s="31"/>
      <c r="BJ413" s="31"/>
      <c r="BK413" s="31"/>
      <c r="BL413" s="31"/>
      <c r="BM413" s="31"/>
      <c r="BN413" s="31"/>
      <c r="BO413" s="31"/>
      <c r="BP413" s="31"/>
      <c r="BQ413" s="31"/>
      <c r="BR413" s="31"/>
      <c r="BS413" s="31"/>
      <c r="BT413" s="31"/>
      <c r="BU413" s="31"/>
      <c r="BV413" s="31"/>
      <c r="BW413" s="31"/>
      <c r="BX413" s="31"/>
      <c r="BY413" s="31"/>
      <c r="BZ413" s="31"/>
      <c r="CA413" s="31"/>
      <c r="CB413" s="31"/>
      <c r="CC413" s="31"/>
      <c r="CD413" s="31"/>
      <c r="CE413" s="31"/>
      <c r="CF413" s="31"/>
      <c r="CG413" s="31"/>
      <c r="CH413" s="31"/>
      <c r="CI413" s="31"/>
      <c r="CJ413" s="31"/>
      <c r="CK413" s="31"/>
      <c r="CL413" s="31"/>
      <c r="CM413" s="31"/>
      <c r="CN413" s="31"/>
      <c r="CO413" s="31"/>
      <c r="CP413" s="31"/>
      <c r="CQ413" s="31"/>
      <c r="CR413" s="31"/>
      <c r="CS413" s="31"/>
      <c r="CT413" s="31"/>
      <c r="CU413" s="31"/>
      <c r="CV413" s="31"/>
      <c r="CW413" s="31"/>
      <c r="CX413" s="31"/>
      <c r="CY413" s="31"/>
      <c r="CZ413" s="31"/>
      <c r="DA413" s="31"/>
      <c r="DB413" s="31"/>
      <c r="DC413" s="31"/>
      <c r="DD413" s="31"/>
      <c r="DE413" s="31"/>
      <c r="DF413" s="31"/>
      <c r="DG413" s="31"/>
      <c r="DH413" s="31"/>
      <c r="DI413" s="31"/>
      <c r="DJ413" s="31"/>
      <c r="DK413" s="31"/>
      <c r="DL413" s="31"/>
      <c r="DM413" s="31"/>
      <c r="DN413" s="31"/>
      <c r="DO413" s="31"/>
      <c r="DP413" s="31"/>
      <c r="DQ413" s="31"/>
      <c r="DR413" s="31"/>
      <c r="DS413" s="31"/>
      <c r="DT413" s="31"/>
      <c r="DU413" s="31"/>
      <c r="DV413" s="31"/>
      <c r="DW413" s="31"/>
      <c r="DX413" s="31"/>
      <c r="DY413" s="31"/>
      <c r="DZ413" s="31"/>
      <c r="EA413" s="31"/>
      <c r="EB413" s="31"/>
      <c r="EC413" s="31"/>
      <c r="ED413" s="31"/>
      <c r="EE413" s="31"/>
      <c r="EF413" s="31"/>
      <c r="EG413" s="31"/>
      <c r="EH413" s="31"/>
      <c r="EI413" s="31"/>
      <c r="EJ413" s="31"/>
      <c r="EK413" s="31"/>
      <c r="EL413" s="31"/>
      <c r="EM413" s="31"/>
      <c r="EN413" s="31"/>
      <c r="EO413" s="31"/>
      <c r="EP413" s="31"/>
      <c r="EQ413" s="31"/>
      <c r="ER413" s="31"/>
      <c r="ES413" s="31"/>
      <c r="ET413" s="31"/>
      <c r="EU413" s="31"/>
      <c r="EV413" s="31"/>
      <c r="EW413" s="31"/>
      <c r="EX413" s="31"/>
      <c r="EY413" s="31"/>
      <c r="EZ413" s="31"/>
      <c r="FA413" s="31"/>
      <c r="FB413" s="31"/>
      <c r="FC413" s="31"/>
      <c r="FD413" s="31"/>
      <c r="FE413" s="31"/>
      <c r="FF413" s="31"/>
      <c r="FG413" s="31"/>
      <c r="FH413" s="31"/>
      <c r="FI413" s="31"/>
      <c r="FJ413" s="31"/>
      <c r="FK413" s="31"/>
      <c r="FL413" s="31"/>
      <c r="FM413" s="31"/>
      <c r="FN413" s="31"/>
      <c r="FO413" s="31"/>
      <c r="FP413" s="31"/>
      <c r="FQ413" s="31"/>
      <c r="FR413" s="31"/>
      <c r="FS413" s="31"/>
      <c r="FT413" s="31"/>
      <c r="FU413" s="31"/>
      <c r="FV413" s="31"/>
      <c r="FW413" s="31"/>
      <c r="FX413" s="31"/>
      <c r="FY413" s="31"/>
      <c r="FZ413" s="31"/>
      <c r="GA413" s="31"/>
      <c r="GB413" s="31"/>
      <c r="GC413" s="31"/>
      <c r="GD413" s="31"/>
      <c r="GE413" s="31"/>
      <c r="GF413" s="31"/>
      <c r="GG413" s="31"/>
      <c r="GH413" s="31"/>
      <c r="GI413" s="31"/>
      <c r="GJ413" s="31"/>
      <c r="GK413" s="31"/>
      <c r="GL413" s="31"/>
      <c r="GM413" s="31"/>
      <c r="GN413" s="31"/>
      <c r="GO413" s="31"/>
      <c r="GP413" s="31"/>
      <c r="GQ413" s="31"/>
      <c r="GR413" s="31"/>
      <c r="GS413" s="31"/>
      <c r="GT413" s="31"/>
      <c r="GU413" s="31"/>
      <c r="GV413" s="31"/>
      <c r="GW413" s="31"/>
      <c r="GX413" s="31"/>
      <c r="GY413" s="31"/>
      <c r="GZ413" s="31"/>
      <c r="HA413" s="31"/>
      <c r="HB413" s="31"/>
      <c r="HC413" s="31"/>
      <c r="HD413" s="31"/>
      <c r="HE413" s="31"/>
      <c r="HF413" s="31"/>
      <c r="HG413" s="31"/>
      <c r="HH413" s="31"/>
      <c r="HI413" s="31"/>
      <c r="HJ413" s="31"/>
      <c r="HK413" s="31"/>
      <c r="HL413" s="31"/>
      <c r="HM413" s="31"/>
      <c r="HN413" s="31"/>
      <c r="HO413" s="31"/>
      <c r="HP413" s="31"/>
      <c r="HQ413" s="31"/>
      <c r="HR413" s="31"/>
      <c r="HS413" s="31"/>
      <c r="HT413" s="31"/>
      <c r="HU413" s="31"/>
      <c r="HV413" s="31"/>
      <c r="HW413" s="31"/>
      <c r="HX413" s="31"/>
      <c r="HY413" s="31"/>
      <c r="HZ413" s="31"/>
      <c r="IA413" s="31"/>
      <c r="IB413" s="31"/>
      <c r="IC413" s="31"/>
      <c r="ID413" s="31"/>
      <c r="IE413" s="31"/>
      <c r="IF413" s="31"/>
      <c r="IG413" s="31"/>
      <c r="IH413" s="31"/>
      <c r="II413" s="31"/>
      <c r="IJ413" s="31"/>
      <c r="IK413" s="31"/>
      <c r="IL413" s="31"/>
      <c r="IM413" s="31"/>
      <c r="IN413" s="31"/>
      <c r="IO413" s="31"/>
      <c r="IP413" s="31"/>
      <c r="IQ413" s="31"/>
      <c r="IR413" s="31"/>
      <c r="IS413" s="31"/>
      <c r="IT413" s="31"/>
      <c r="IU413" s="31"/>
      <c r="IV413" s="31"/>
      <c r="IW413" s="31"/>
      <c r="IX413" s="31"/>
      <c r="IY413" s="31"/>
      <c r="IZ413" s="31"/>
      <c r="JA413" s="31"/>
      <c r="JB413" s="31"/>
      <c r="JC413" s="31"/>
      <c r="JD413" s="31"/>
      <c r="JE413" s="31"/>
      <c r="JF413" s="31"/>
      <c r="JG413" s="31"/>
      <c r="JH413" s="31"/>
      <c r="JI413" s="31"/>
      <c r="JJ413" s="31"/>
      <c r="JK413" s="31"/>
      <c r="JL413" s="31"/>
      <c r="JM413" s="31"/>
      <c r="JN413" s="31"/>
      <c r="JO413" s="31"/>
      <c r="JP413" s="31"/>
      <c r="JQ413" s="31"/>
      <c r="JR413" s="31"/>
      <c r="JS413" s="31"/>
      <c r="JT413" s="31"/>
      <c r="JU413" s="31"/>
      <c r="JV413" s="31"/>
      <c r="JW413" s="31"/>
      <c r="JX413" s="31"/>
      <c r="JY413" s="31"/>
      <c r="JZ413" s="31"/>
      <c r="KA413" s="31"/>
      <c r="KB413" s="31"/>
      <c r="KC413" s="31"/>
      <c r="KD413" s="31"/>
      <c r="KE413" s="31"/>
      <c r="KF413" s="31"/>
      <c r="KG413" s="31"/>
      <c r="KH413" s="31"/>
      <c r="KI413" s="31"/>
      <c r="KJ413" s="31"/>
      <c r="KK413" s="31"/>
      <c r="KL413" s="31"/>
      <c r="KM413" s="31"/>
      <c r="KN413" s="31"/>
      <c r="KO413" s="31"/>
      <c r="KP413" s="31"/>
      <c r="KQ413" s="31"/>
      <c r="KR413" s="31"/>
      <c r="KS413" s="31"/>
      <c r="KT413" s="31"/>
      <c r="KU413" s="31"/>
      <c r="KV413" s="31"/>
      <c r="KW413" s="31"/>
      <c r="KX413" s="31"/>
      <c r="KY413" s="31"/>
      <c r="KZ413" s="31"/>
      <c r="LA413" s="31"/>
      <c r="LB413" s="31"/>
      <c r="LC413" s="31"/>
      <c r="LD413" s="31"/>
      <c r="LE413" s="31"/>
      <c r="LF413" s="31"/>
      <c r="LG413" s="31"/>
      <c r="LH413" s="31"/>
      <c r="LI413" s="31"/>
      <c r="LJ413" s="31"/>
      <c r="LK413" s="31"/>
      <c r="LL413" s="31"/>
      <c r="LM413" s="31"/>
      <c r="LN413" s="31"/>
      <c r="LO413" s="31"/>
      <c r="LP413" s="31"/>
      <c r="LQ413" s="31"/>
      <c r="LR413" s="31"/>
      <c r="LS413" s="31"/>
      <c r="LT413" s="31"/>
      <c r="LU413" s="31"/>
      <c r="LV413" s="31"/>
      <c r="LW413" s="31"/>
      <c r="LX413" s="31"/>
      <c r="LY413" s="31"/>
      <c r="LZ413" s="31"/>
      <c r="MA413" s="31"/>
      <c r="MB413" s="31"/>
      <c r="MC413" s="31"/>
      <c r="MD413" s="31"/>
      <c r="ME413" s="31"/>
      <c r="MF413" s="31"/>
      <c r="MG413" s="31"/>
      <c r="MH413" s="31"/>
      <c r="MI413" s="31"/>
      <c r="MJ413" s="31"/>
      <c r="MK413" s="31"/>
      <c r="ML413" s="31"/>
      <c r="MM413" s="31"/>
      <c r="MN413" s="31"/>
      <c r="MO413" s="31"/>
      <c r="MP413" s="31"/>
      <c r="MQ413" s="31"/>
      <c r="MR413" s="31"/>
      <c r="MS413" s="31"/>
      <c r="MT413" s="31"/>
      <c r="MU413" s="31"/>
      <c r="MV413" s="31"/>
      <c r="MW413" s="31"/>
      <c r="MX413" s="31"/>
      <c r="MY413" s="31"/>
      <c r="MZ413" s="31"/>
      <c r="NA413" s="31"/>
      <c r="NB413" s="31"/>
      <c r="NC413" s="31"/>
      <c r="ND413" s="31"/>
      <c r="NE413" s="31"/>
      <c r="NF413" s="31"/>
      <c r="NG413" s="31"/>
      <c r="NH413" s="31"/>
      <c r="NI413" s="31"/>
      <c r="NJ413" s="31"/>
      <c r="NK413" s="31"/>
      <c r="NL413" s="31"/>
      <c r="NM413" s="31"/>
      <c r="NN413" s="31"/>
      <c r="NO413" s="31"/>
      <c r="NP413" s="31"/>
      <c r="NQ413" s="31"/>
      <c r="NR413" s="31"/>
      <c r="NS413" s="31"/>
      <c r="NT413" s="31"/>
      <c r="NU413" s="31"/>
      <c r="NV413" s="31"/>
      <c r="NW413" s="31"/>
      <c r="NX413" s="31"/>
      <c r="NY413" s="31"/>
      <c r="NZ413" s="31"/>
      <c r="OA413" s="31"/>
      <c r="OB413" s="31"/>
      <c r="OC413" s="31"/>
      <c r="OD413" s="31"/>
      <c r="OE413" s="31"/>
      <c r="OF413" s="31"/>
      <c r="OG413" s="31"/>
      <c r="OH413" s="31"/>
      <c r="OI413" s="31"/>
      <c r="OJ413" s="31"/>
      <c r="OK413" s="31"/>
      <c r="OL413" s="31"/>
      <c r="OM413" s="31"/>
      <c r="ON413" s="31"/>
      <c r="OO413" s="31"/>
      <c r="OP413" s="31"/>
      <c r="OQ413" s="31"/>
      <c r="OR413" s="31"/>
      <c r="OS413" s="31"/>
      <c r="OT413" s="31"/>
      <c r="OU413" s="31"/>
      <c r="OV413" s="31"/>
      <c r="OW413" s="31"/>
      <c r="OX413" s="31"/>
      <c r="OY413" s="31"/>
      <c r="OZ413" s="31"/>
      <c r="PA413" s="31"/>
      <c r="PB413" s="31"/>
      <c r="PC413" s="31"/>
      <c r="PD413" s="31"/>
      <c r="PE413" s="31"/>
      <c r="PF413" s="31"/>
      <c r="PG413" s="31"/>
      <c r="PH413" s="31"/>
      <c r="PI413" s="31"/>
      <c r="PJ413" s="31"/>
      <c r="PK413" s="31"/>
      <c r="PL413" s="31"/>
      <c r="PM413" s="31"/>
      <c r="PN413" s="31"/>
      <c r="PO413" s="31"/>
      <c r="PP413" s="31"/>
      <c r="PQ413" s="31"/>
      <c r="PR413" s="31"/>
      <c r="PS413" s="31"/>
      <c r="PT413" s="31"/>
      <c r="PU413" s="31"/>
      <c r="PV413" s="31"/>
      <c r="PW413" s="31"/>
      <c r="PX413" s="31"/>
      <c r="PY413" s="31"/>
      <c r="PZ413" s="31"/>
      <c r="QA413" s="31"/>
      <c r="QB413" s="31"/>
      <c r="QC413" s="31"/>
      <c r="QD413" s="31"/>
      <c r="QE413" s="31"/>
      <c r="QF413" s="31"/>
      <c r="QG413" s="31"/>
      <c r="QH413" s="31"/>
      <c r="QI413" s="31"/>
      <c r="QJ413" s="31"/>
      <c r="QK413" s="31"/>
      <c r="QL413" s="31"/>
      <c r="QM413" s="31"/>
      <c r="QN413" s="31"/>
      <c r="QO413" s="31"/>
      <c r="QP413" s="31"/>
      <c r="QQ413" s="31"/>
      <c r="QR413" s="31"/>
      <c r="QS413" s="31"/>
      <c r="QT413" s="31"/>
      <c r="QU413" s="31"/>
      <c r="QV413" s="31"/>
      <c r="QW413" s="31"/>
      <c r="QX413" s="31"/>
      <c r="QY413" s="31"/>
      <c r="QZ413" s="31"/>
      <c r="RA413" s="31"/>
      <c r="RB413" s="31"/>
      <c r="RC413" s="31"/>
      <c r="RD413" s="31"/>
      <c r="RE413" s="31"/>
      <c r="RF413" s="31"/>
      <c r="RG413" s="31"/>
      <c r="RH413" s="31"/>
      <c r="RI413" s="31"/>
      <c r="RJ413" s="31"/>
      <c r="RK413" s="31"/>
      <c r="RL413" s="31"/>
      <c r="RM413" s="31"/>
      <c r="RN413" s="31"/>
      <c r="RO413" s="31"/>
      <c r="RP413" s="31"/>
      <c r="RQ413" s="31"/>
      <c r="RR413" s="31"/>
      <c r="RS413" s="31"/>
      <c r="RT413" s="31"/>
      <c r="RU413" s="31"/>
      <c r="RV413" s="31"/>
      <c r="RW413" s="31"/>
      <c r="RX413" s="31"/>
      <c r="RY413" s="31"/>
      <c r="RZ413" s="31"/>
      <c r="SA413" s="31"/>
      <c r="SB413" s="31"/>
      <c r="SC413" s="31"/>
      <c r="SD413" s="31"/>
      <c r="SE413" s="31"/>
      <c r="SF413" s="31"/>
      <c r="SG413" s="31"/>
      <c r="SH413" s="31"/>
      <c r="SI413" s="31"/>
      <c r="SJ413" s="31"/>
      <c r="SK413" s="31"/>
      <c r="SL413" s="31"/>
      <c r="SM413" s="31"/>
      <c r="SN413" s="31"/>
      <c r="SO413" s="31"/>
      <c r="SP413" s="31"/>
      <c r="SQ413" s="31"/>
      <c r="SR413" s="31"/>
      <c r="SS413" s="31"/>
      <c r="ST413" s="31"/>
      <c r="SU413" s="31"/>
      <c r="SV413" s="31"/>
      <c r="SW413" s="31"/>
      <c r="SX413" s="31"/>
      <c r="SY413" s="31"/>
      <c r="SZ413" s="31"/>
      <c r="TA413" s="31"/>
      <c r="TB413" s="31"/>
      <c r="TC413" s="31"/>
      <c r="TD413" s="31"/>
      <c r="TE413" s="31"/>
      <c r="TF413" s="31"/>
      <c r="TG413" s="31"/>
      <c r="TH413" s="31"/>
      <c r="TI413" s="31"/>
      <c r="TJ413" s="31"/>
      <c r="TK413" s="31"/>
      <c r="TL413" s="31"/>
      <c r="TM413" s="31"/>
      <c r="TN413" s="31"/>
      <c r="TO413" s="31"/>
      <c r="TP413" s="31"/>
      <c r="TQ413" s="31"/>
      <c r="TR413" s="31"/>
      <c r="TS413" s="31"/>
      <c r="TT413" s="31"/>
      <c r="TU413" s="31"/>
      <c r="TV413" s="31"/>
      <c r="TW413" s="31"/>
      <c r="TX413" s="31"/>
      <c r="TY413" s="31"/>
      <c r="TZ413" s="31"/>
      <c r="UA413" s="31"/>
      <c r="UB413" s="31"/>
      <c r="UC413" s="31"/>
      <c r="UD413" s="31"/>
      <c r="UE413" s="31"/>
      <c r="UF413" s="31"/>
      <c r="UG413" s="33"/>
    </row>
    <row r="414" spans="1:553" ht="124.5" customHeight="1">
      <c r="A414" s="356" t="s">
        <v>15</v>
      </c>
      <c r="B414" s="356"/>
      <c r="C414" s="384" t="s">
        <v>213</v>
      </c>
      <c r="D414" s="376" t="s">
        <v>20</v>
      </c>
      <c r="E414" s="376" t="s">
        <v>323</v>
      </c>
      <c r="F414" s="385">
        <v>1</v>
      </c>
      <c r="G414" s="385" t="s">
        <v>935</v>
      </c>
      <c r="H414" s="376">
        <v>233.4</v>
      </c>
      <c r="I414" s="422">
        <v>233.4</v>
      </c>
      <c r="J414" s="368">
        <v>62000</v>
      </c>
      <c r="K414" s="388"/>
      <c r="L414" s="366">
        <f t="shared" si="86"/>
        <v>14470800</v>
      </c>
      <c r="M414" s="366"/>
      <c r="N414" s="366"/>
      <c r="O414" s="366"/>
      <c r="P414" s="366"/>
      <c r="Q414" s="1036" t="s">
        <v>315</v>
      </c>
      <c r="R414" s="1452"/>
      <c r="S414" s="309"/>
      <c r="T414" s="310"/>
      <c r="U414" s="311"/>
      <c r="V414" s="312"/>
      <c r="W414" s="311"/>
      <c r="X414" s="311"/>
      <c r="Y414" s="311"/>
      <c r="Z414" s="311"/>
      <c r="AA414" s="311">
        <f>I414</f>
        <v>233.4</v>
      </c>
      <c r="AB414" s="311"/>
      <c r="AC414" s="449"/>
      <c r="AD414" s="452"/>
      <c r="AE414" s="452"/>
      <c r="AF414" s="452"/>
      <c r="AG414" s="452"/>
      <c r="AH414" s="452"/>
      <c r="AI414" s="452"/>
      <c r="AJ414" s="452"/>
      <c r="AK414" s="452"/>
      <c r="AL414" s="106"/>
      <c r="AM414" s="31"/>
      <c r="AN414" s="31"/>
      <c r="AO414" s="31"/>
      <c r="AP414" s="31"/>
      <c r="AQ414" s="31"/>
      <c r="AR414" s="31"/>
      <c r="AS414" s="31"/>
      <c r="AT414" s="31"/>
      <c r="AU414" s="31"/>
      <c r="AV414" s="31"/>
      <c r="AW414" s="31"/>
      <c r="AX414" s="31"/>
      <c r="AY414" s="31"/>
      <c r="AZ414" s="31"/>
      <c r="BA414" s="31"/>
      <c r="BB414" s="31"/>
      <c r="BC414" s="31"/>
      <c r="BD414" s="31"/>
      <c r="BE414" s="31"/>
      <c r="BF414" s="31"/>
      <c r="BG414" s="31"/>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c r="CH414" s="31"/>
      <c r="CI414" s="31"/>
      <c r="CJ414" s="31"/>
      <c r="CK414" s="31"/>
      <c r="CL414" s="31"/>
      <c r="CM414" s="31"/>
      <c r="CN414" s="31"/>
      <c r="CO414" s="31"/>
      <c r="CP414" s="31"/>
      <c r="CQ414" s="31"/>
      <c r="CR414" s="31"/>
      <c r="CS414" s="31"/>
      <c r="CT414" s="31"/>
      <c r="CU414" s="31"/>
      <c r="CV414" s="31"/>
      <c r="CW414" s="31"/>
      <c r="CX414" s="31"/>
      <c r="CY414" s="31"/>
      <c r="CZ414" s="31"/>
      <c r="DA414" s="31"/>
      <c r="DB414" s="31"/>
      <c r="DC414" s="31"/>
      <c r="DD414" s="31"/>
      <c r="DE414" s="31"/>
      <c r="DF414" s="31"/>
      <c r="DG414" s="31"/>
      <c r="DH414" s="31"/>
      <c r="DI414" s="31"/>
      <c r="DJ414" s="31"/>
      <c r="DK414" s="31"/>
      <c r="DL414" s="31"/>
      <c r="DM414" s="31"/>
      <c r="DN414" s="31"/>
      <c r="DO414" s="31"/>
      <c r="DP414" s="31"/>
      <c r="DQ414" s="31"/>
      <c r="DR414" s="31"/>
      <c r="DS414" s="31"/>
      <c r="DT414" s="31"/>
      <c r="DU414" s="31"/>
      <c r="DV414" s="31"/>
      <c r="DW414" s="31"/>
      <c r="DX414" s="31"/>
      <c r="DY414" s="31"/>
      <c r="DZ414" s="31"/>
      <c r="EA414" s="31"/>
      <c r="EB414" s="31"/>
      <c r="EC414" s="31"/>
      <c r="ED414" s="31"/>
      <c r="EE414" s="31"/>
      <c r="EF414" s="31"/>
      <c r="EG414" s="31"/>
      <c r="EH414" s="31"/>
      <c r="EI414" s="31"/>
      <c r="EJ414" s="31"/>
      <c r="EK414" s="31"/>
      <c r="EL414" s="31"/>
      <c r="EM414" s="31"/>
      <c r="EN414" s="31"/>
      <c r="EO414" s="31"/>
      <c r="EP414" s="31"/>
      <c r="EQ414" s="31"/>
      <c r="ER414" s="31"/>
      <c r="ES414" s="31"/>
      <c r="ET414" s="31"/>
      <c r="EU414" s="31"/>
      <c r="EV414" s="31"/>
      <c r="EW414" s="31"/>
      <c r="EX414" s="31"/>
      <c r="EY414" s="31"/>
      <c r="EZ414" s="31"/>
      <c r="FA414" s="31"/>
      <c r="FB414" s="31"/>
      <c r="FC414" s="31"/>
      <c r="FD414" s="31"/>
      <c r="FE414" s="31"/>
      <c r="FF414" s="31"/>
      <c r="FG414" s="31"/>
      <c r="FH414" s="31"/>
      <c r="FI414" s="31"/>
      <c r="FJ414" s="31"/>
      <c r="FK414" s="31"/>
      <c r="FL414" s="31"/>
      <c r="FM414" s="31"/>
      <c r="FN414" s="31"/>
      <c r="FO414" s="31"/>
      <c r="FP414" s="31"/>
      <c r="FQ414" s="31"/>
      <c r="FR414" s="31"/>
      <c r="FS414" s="31"/>
      <c r="FT414" s="31"/>
      <c r="FU414" s="31"/>
      <c r="FV414" s="31"/>
      <c r="FW414" s="31"/>
      <c r="FX414" s="31"/>
      <c r="FY414" s="31"/>
      <c r="FZ414" s="31"/>
      <c r="GA414" s="31"/>
      <c r="GB414" s="31"/>
      <c r="GC414" s="31"/>
      <c r="GD414" s="31"/>
      <c r="GE414" s="31"/>
      <c r="GF414" s="31"/>
      <c r="GG414" s="31"/>
      <c r="GH414" s="31"/>
      <c r="GI414" s="31"/>
      <c r="GJ414" s="31"/>
      <c r="GK414" s="31"/>
      <c r="GL414" s="31"/>
      <c r="GM414" s="31"/>
      <c r="GN414" s="31"/>
      <c r="GO414" s="31"/>
      <c r="GP414" s="31"/>
      <c r="GQ414" s="31"/>
      <c r="GR414" s="31"/>
      <c r="GS414" s="31"/>
      <c r="GT414" s="31"/>
      <c r="GU414" s="31"/>
      <c r="GV414" s="31"/>
      <c r="GW414" s="31"/>
      <c r="GX414" s="31"/>
      <c r="GY414" s="31"/>
      <c r="GZ414" s="31"/>
      <c r="HA414" s="31"/>
      <c r="HB414" s="31"/>
      <c r="HC414" s="31"/>
      <c r="HD414" s="31"/>
      <c r="HE414" s="31"/>
      <c r="HF414" s="31"/>
      <c r="HG414" s="31"/>
      <c r="HH414" s="31"/>
      <c r="HI414" s="31"/>
      <c r="HJ414" s="31"/>
      <c r="HK414" s="31"/>
      <c r="HL414" s="31"/>
      <c r="HM414" s="31"/>
      <c r="HN414" s="31"/>
      <c r="HO414" s="31"/>
      <c r="HP414" s="31"/>
      <c r="HQ414" s="31"/>
      <c r="HR414" s="31"/>
      <c r="HS414" s="31"/>
      <c r="HT414" s="31"/>
      <c r="HU414" s="31"/>
      <c r="HV414" s="31"/>
      <c r="HW414" s="31"/>
      <c r="HX414" s="31"/>
      <c r="HY414" s="31"/>
      <c r="HZ414" s="31"/>
      <c r="IA414" s="31"/>
      <c r="IB414" s="31"/>
      <c r="IC414" s="31"/>
      <c r="ID414" s="31"/>
      <c r="IE414" s="31"/>
      <c r="IF414" s="31"/>
      <c r="IG414" s="31"/>
      <c r="IH414" s="31"/>
      <c r="II414" s="31"/>
      <c r="IJ414" s="31"/>
      <c r="IK414" s="31"/>
      <c r="IL414" s="31"/>
      <c r="IM414" s="31"/>
      <c r="IN414" s="31"/>
      <c r="IO414" s="31"/>
      <c r="IP414" s="31"/>
      <c r="IQ414" s="31"/>
      <c r="IR414" s="31"/>
      <c r="IS414" s="31"/>
      <c r="IT414" s="31"/>
      <c r="IU414" s="31"/>
      <c r="IV414" s="31"/>
      <c r="IW414" s="31"/>
      <c r="IX414" s="31"/>
      <c r="IY414" s="31"/>
      <c r="IZ414" s="31"/>
      <c r="JA414" s="31"/>
      <c r="JB414" s="31"/>
      <c r="JC414" s="31"/>
      <c r="JD414" s="31"/>
      <c r="JE414" s="31"/>
      <c r="JF414" s="31"/>
      <c r="JG414" s="31"/>
      <c r="JH414" s="31"/>
      <c r="JI414" s="31"/>
      <c r="JJ414" s="31"/>
      <c r="JK414" s="31"/>
      <c r="JL414" s="31"/>
      <c r="JM414" s="31"/>
      <c r="JN414" s="31"/>
      <c r="JO414" s="31"/>
      <c r="JP414" s="31"/>
      <c r="JQ414" s="31"/>
      <c r="JR414" s="31"/>
      <c r="JS414" s="31"/>
      <c r="JT414" s="31"/>
      <c r="JU414" s="31"/>
      <c r="JV414" s="31"/>
      <c r="JW414" s="31"/>
      <c r="JX414" s="31"/>
      <c r="JY414" s="31"/>
      <c r="JZ414" s="31"/>
      <c r="KA414" s="31"/>
      <c r="KB414" s="31"/>
      <c r="KC414" s="31"/>
      <c r="KD414" s="31"/>
      <c r="KE414" s="31"/>
      <c r="KF414" s="31"/>
      <c r="KG414" s="31"/>
      <c r="KH414" s="31"/>
      <c r="KI414" s="31"/>
      <c r="KJ414" s="31"/>
      <c r="KK414" s="31"/>
      <c r="KL414" s="31"/>
      <c r="KM414" s="31"/>
      <c r="KN414" s="31"/>
      <c r="KO414" s="31"/>
      <c r="KP414" s="31"/>
      <c r="KQ414" s="31"/>
      <c r="KR414" s="31"/>
      <c r="KS414" s="31"/>
      <c r="KT414" s="31"/>
      <c r="KU414" s="31"/>
      <c r="KV414" s="31"/>
      <c r="KW414" s="31"/>
      <c r="KX414" s="31"/>
      <c r="KY414" s="31"/>
      <c r="KZ414" s="31"/>
      <c r="LA414" s="31"/>
      <c r="LB414" s="31"/>
      <c r="LC414" s="31"/>
      <c r="LD414" s="31"/>
      <c r="LE414" s="31"/>
      <c r="LF414" s="31"/>
      <c r="LG414" s="31"/>
      <c r="LH414" s="31"/>
      <c r="LI414" s="31"/>
      <c r="LJ414" s="31"/>
      <c r="LK414" s="31"/>
      <c r="LL414" s="31"/>
      <c r="LM414" s="31"/>
      <c r="LN414" s="31"/>
      <c r="LO414" s="31"/>
      <c r="LP414" s="31"/>
      <c r="LQ414" s="31"/>
      <c r="LR414" s="31"/>
      <c r="LS414" s="31"/>
      <c r="LT414" s="31"/>
      <c r="LU414" s="31"/>
      <c r="LV414" s="31"/>
      <c r="LW414" s="31"/>
      <c r="LX414" s="31"/>
      <c r="LY414" s="31"/>
      <c r="LZ414" s="31"/>
      <c r="MA414" s="31"/>
      <c r="MB414" s="31"/>
      <c r="MC414" s="31"/>
      <c r="MD414" s="31"/>
      <c r="ME414" s="31"/>
      <c r="MF414" s="31"/>
      <c r="MG414" s="31"/>
      <c r="MH414" s="31"/>
      <c r="MI414" s="31"/>
      <c r="MJ414" s="31"/>
      <c r="MK414" s="31"/>
      <c r="ML414" s="31"/>
      <c r="MM414" s="31"/>
      <c r="MN414" s="31"/>
      <c r="MO414" s="31"/>
      <c r="MP414" s="31"/>
      <c r="MQ414" s="31"/>
      <c r="MR414" s="31"/>
      <c r="MS414" s="31"/>
      <c r="MT414" s="31"/>
      <c r="MU414" s="31"/>
      <c r="MV414" s="31"/>
      <c r="MW414" s="31"/>
      <c r="MX414" s="31"/>
      <c r="MY414" s="31"/>
      <c r="MZ414" s="31"/>
      <c r="NA414" s="31"/>
      <c r="NB414" s="31"/>
      <c r="NC414" s="31"/>
      <c r="ND414" s="31"/>
      <c r="NE414" s="31"/>
      <c r="NF414" s="31"/>
      <c r="NG414" s="31"/>
      <c r="NH414" s="31"/>
      <c r="NI414" s="31"/>
      <c r="NJ414" s="31"/>
      <c r="NK414" s="31"/>
      <c r="NL414" s="31"/>
      <c r="NM414" s="31"/>
      <c r="NN414" s="31"/>
      <c r="NO414" s="31"/>
      <c r="NP414" s="31"/>
      <c r="NQ414" s="31"/>
      <c r="NR414" s="31"/>
      <c r="NS414" s="31"/>
      <c r="NT414" s="31"/>
      <c r="NU414" s="31"/>
      <c r="NV414" s="31"/>
      <c r="NW414" s="31"/>
      <c r="NX414" s="31"/>
      <c r="NY414" s="31"/>
      <c r="NZ414" s="31"/>
      <c r="OA414" s="31"/>
      <c r="OB414" s="31"/>
      <c r="OC414" s="31"/>
      <c r="OD414" s="31"/>
      <c r="OE414" s="31"/>
      <c r="OF414" s="31"/>
      <c r="OG414" s="31"/>
      <c r="OH414" s="31"/>
      <c r="OI414" s="31"/>
      <c r="OJ414" s="31"/>
      <c r="OK414" s="31"/>
      <c r="OL414" s="31"/>
      <c r="OM414" s="31"/>
      <c r="ON414" s="31"/>
      <c r="OO414" s="31"/>
      <c r="OP414" s="31"/>
      <c r="OQ414" s="31"/>
      <c r="OR414" s="31"/>
      <c r="OS414" s="31"/>
      <c r="OT414" s="31"/>
      <c r="OU414" s="31"/>
      <c r="OV414" s="31"/>
      <c r="OW414" s="31"/>
      <c r="OX414" s="31"/>
      <c r="OY414" s="31"/>
      <c r="OZ414" s="31"/>
      <c r="PA414" s="31"/>
      <c r="PB414" s="31"/>
      <c r="PC414" s="31"/>
      <c r="PD414" s="31"/>
      <c r="PE414" s="31"/>
      <c r="PF414" s="31"/>
      <c r="PG414" s="31"/>
      <c r="PH414" s="31"/>
      <c r="PI414" s="31"/>
      <c r="PJ414" s="31"/>
      <c r="PK414" s="31"/>
      <c r="PL414" s="31"/>
      <c r="PM414" s="31"/>
      <c r="PN414" s="31"/>
      <c r="PO414" s="31"/>
      <c r="PP414" s="31"/>
      <c r="PQ414" s="31"/>
      <c r="PR414" s="31"/>
      <c r="PS414" s="31"/>
      <c r="PT414" s="31"/>
      <c r="PU414" s="31"/>
      <c r="PV414" s="31"/>
      <c r="PW414" s="31"/>
      <c r="PX414" s="31"/>
      <c r="PY414" s="31"/>
      <c r="PZ414" s="31"/>
      <c r="QA414" s="31"/>
      <c r="QB414" s="31"/>
      <c r="QC414" s="31"/>
      <c r="QD414" s="31"/>
      <c r="QE414" s="31"/>
      <c r="QF414" s="31"/>
      <c r="QG414" s="31"/>
      <c r="QH414" s="31"/>
      <c r="QI414" s="31"/>
      <c r="QJ414" s="31"/>
      <c r="QK414" s="31"/>
      <c r="QL414" s="31"/>
      <c r="QM414" s="31"/>
      <c r="QN414" s="31"/>
      <c r="QO414" s="31"/>
      <c r="QP414" s="31"/>
      <c r="QQ414" s="31"/>
      <c r="QR414" s="31"/>
      <c r="QS414" s="31"/>
      <c r="QT414" s="31"/>
      <c r="QU414" s="31"/>
      <c r="QV414" s="31"/>
      <c r="QW414" s="31"/>
      <c r="QX414" s="31"/>
      <c r="QY414" s="31"/>
      <c r="QZ414" s="31"/>
      <c r="RA414" s="31"/>
      <c r="RB414" s="31"/>
      <c r="RC414" s="31"/>
      <c r="RD414" s="31"/>
      <c r="RE414" s="31"/>
      <c r="RF414" s="31"/>
      <c r="RG414" s="31"/>
      <c r="RH414" s="31"/>
      <c r="RI414" s="31"/>
      <c r="RJ414" s="31"/>
      <c r="RK414" s="31"/>
      <c r="RL414" s="31"/>
      <c r="RM414" s="31"/>
      <c r="RN414" s="31"/>
      <c r="RO414" s="31"/>
      <c r="RP414" s="31"/>
      <c r="RQ414" s="31"/>
      <c r="RR414" s="31"/>
      <c r="RS414" s="31"/>
      <c r="RT414" s="31"/>
      <c r="RU414" s="31"/>
      <c r="RV414" s="31"/>
      <c r="RW414" s="31"/>
      <c r="RX414" s="31"/>
      <c r="RY414" s="31"/>
      <c r="RZ414" s="31"/>
      <c r="SA414" s="31"/>
      <c r="SB414" s="31"/>
      <c r="SC414" s="31"/>
      <c r="SD414" s="31"/>
      <c r="SE414" s="31"/>
      <c r="SF414" s="31"/>
      <c r="SG414" s="31"/>
      <c r="SH414" s="31"/>
      <c r="SI414" s="31"/>
      <c r="SJ414" s="31"/>
      <c r="SK414" s="31"/>
      <c r="SL414" s="31"/>
      <c r="SM414" s="31"/>
      <c r="SN414" s="31"/>
      <c r="SO414" s="31"/>
      <c r="SP414" s="31"/>
      <c r="SQ414" s="31"/>
      <c r="SR414" s="31"/>
      <c r="SS414" s="31"/>
      <c r="ST414" s="31"/>
      <c r="SU414" s="31"/>
      <c r="SV414" s="31"/>
      <c r="SW414" s="31"/>
      <c r="SX414" s="31"/>
      <c r="SY414" s="31"/>
      <c r="SZ414" s="31"/>
      <c r="TA414" s="31"/>
      <c r="TB414" s="31"/>
      <c r="TC414" s="31"/>
      <c r="TD414" s="31"/>
      <c r="TE414" s="31"/>
      <c r="TF414" s="31"/>
      <c r="TG414" s="31"/>
      <c r="TH414" s="31"/>
      <c r="TI414" s="31"/>
      <c r="TJ414" s="31"/>
      <c r="TK414" s="31"/>
      <c r="TL414" s="31"/>
      <c r="TM414" s="31"/>
      <c r="TN414" s="31"/>
      <c r="TO414" s="31"/>
      <c r="TP414" s="31"/>
      <c r="TQ414" s="31"/>
      <c r="TR414" s="31"/>
      <c r="TS414" s="31"/>
      <c r="TT414" s="31"/>
      <c r="TU414" s="31"/>
      <c r="TV414" s="31"/>
      <c r="TW414" s="31"/>
      <c r="TX414" s="31"/>
      <c r="TY414" s="31"/>
      <c r="TZ414" s="31"/>
      <c r="UA414" s="31"/>
      <c r="UB414" s="31"/>
      <c r="UC414" s="31"/>
      <c r="UD414" s="31"/>
      <c r="UE414" s="31"/>
      <c r="UF414" s="31"/>
      <c r="UG414" s="33"/>
    </row>
    <row r="415" spans="1:553" s="169" customFormat="1" ht="124.5" customHeight="1">
      <c r="A415" s="356" t="s">
        <v>15</v>
      </c>
      <c r="B415" s="356"/>
      <c r="C415" s="384" t="s">
        <v>22</v>
      </c>
      <c r="D415" s="376">
        <v>2</v>
      </c>
      <c r="E415" s="376">
        <v>436</v>
      </c>
      <c r="F415" s="385">
        <v>1</v>
      </c>
      <c r="G415" s="386" t="s">
        <v>935</v>
      </c>
      <c r="H415" s="376">
        <v>147.69999999999999</v>
      </c>
      <c r="I415" s="422">
        <v>147.69999999999999</v>
      </c>
      <c r="J415" s="1061">
        <v>60000</v>
      </c>
      <c r="K415" s="388"/>
      <c r="L415" s="366">
        <f t="shared" si="86"/>
        <v>8862000</v>
      </c>
      <c r="M415" s="366"/>
      <c r="N415" s="366"/>
      <c r="O415" s="366"/>
      <c r="P415" s="366"/>
      <c r="Q415" s="1036" t="s">
        <v>319</v>
      </c>
      <c r="R415" s="1452"/>
      <c r="S415" s="308"/>
      <c r="T415" s="303"/>
      <c r="U415" s="306"/>
      <c r="V415" s="307"/>
      <c r="W415" s="306"/>
      <c r="X415" s="306"/>
      <c r="Y415" s="306"/>
      <c r="Z415" s="306"/>
      <c r="AA415" s="306"/>
      <c r="AB415" s="306">
        <f>I415</f>
        <v>147.69999999999999</v>
      </c>
      <c r="AC415" s="449"/>
      <c r="AD415" s="452"/>
      <c r="AE415" s="452"/>
      <c r="AF415" s="452"/>
      <c r="AG415" s="452"/>
      <c r="AH415" s="452"/>
      <c r="AI415" s="452"/>
      <c r="AJ415" s="452"/>
      <c r="AK415" s="452"/>
      <c r="AL415" s="890"/>
      <c r="AM415" s="165"/>
      <c r="AN415" s="165"/>
      <c r="AO415" s="165"/>
      <c r="AP415" s="165"/>
      <c r="AQ415" s="165"/>
      <c r="AR415" s="165"/>
      <c r="AS415" s="165"/>
      <c r="AT415" s="165"/>
      <c r="AU415" s="165"/>
      <c r="AV415" s="165"/>
      <c r="AW415" s="165"/>
      <c r="AX415" s="165"/>
      <c r="AY415" s="165"/>
      <c r="AZ415" s="165"/>
      <c r="BA415" s="165"/>
      <c r="BB415" s="165"/>
      <c r="BC415" s="165"/>
      <c r="BD415" s="165"/>
      <c r="BE415" s="165"/>
      <c r="BF415" s="165"/>
      <c r="BG415" s="165"/>
      <c r="BH415" s="165"/>
      <c r="BI415" s="165"/>
      <c r="BJ415" s="165"/>
      <c r="BK415" s="165"/>
      <c r="BL415" s="165"/>
      <c r="BM415" s="165"/>
      <c r="BN415" s="165"/>
      <c r="BO415" s="165"/>
      <c r="BP415" s="165"/>
      <c r="BQ415" s="165"/>
      <c r="BR415" s="165"/>
      <c r="BS415" s="165"/>
      <c r="BT415" s="165"/>
      <c r="BU415" s="165"/>
      <c r="BV415" s="165"/>
      <c r="BW415" s="165"/>
      <c r="BX415" s="165"/>
      <c r="BY415" s="165"/>
      <c r="BZ415" s="165"/>
      <c r="CA415" s="165"/>
      <c r="CB415" s="165"/>
      <c r="CC415" s="165"/>
      <c r="CD415" s="165"/>
      <c r="CE415" s="165"/>
      <c r="CF415" s="165"/>
      <c r="CG415" s="165"/>
      <c r="CH415" s="165"/>
      <c r="CI415" s="165"/>
      <c r="CJ415" s="165"/>
      <c r="CK415" s="165"/>
      <c r="CL415" s="165"/>
      <c r="CM415" s="165"/>
      <c r="CN415" s="165"/>
      <c r="CO415" s="165"/>
      <c r="CP415" s="165"/>
      <c r="CQ415" s="165"/>
      <c r="CR415" s="165"/>
      <c r="CS415" s="165"/>
      <c r="CT415" s="165"/>
      <c r="CU415" s="165"/>
      <c r="CV415" s="165"/>
      <c r="CW415" s="165"/>
      <c r="CX415" s="165"/>
      <c r="CY415" s="165"/>
      <c r="CZ415" s="165"/>
      <c r="DA415" s="165"/>
      <c r="DB415" s="165"/>
      <c r="DC415" s="165"/>
      <c r="DD415" s="165"/>
      <c r="DE415" s="165"/>
      <c r="DF415" s="165"/>
      <c r="DG415" s="165"/>
      <c r="DH415" s="165"/>
      <c r="DI415" s="165"/>
      <c r="DJ415" s="165"/>
      <c r="DK415" s="165"/>
      <c r="DL415" s="165"/>
      <c r="DM415" s="165"/>
      <c r="DN415" s="165"/>
      <c r="DO415" s="165"/>
      <c r="DP415" s="165"/>
      <c r="DQ415" s="165"/>
      <c r="DR415" s="165"/>
      <c r="DS415" s="165"/>
      <c r="DT415" s="165"/>
      <c r="DU415" s="165"/>
      <c r="DV415" s="165"/>
      <c r="DW415" s="165"/>
      <c r="DX415" s="165"/>
      <c r="DY415" s="165"/>
      <c r="DZ415" s="165"/>
      <c r="EA415" s="165"/>
      <c r="EB415" s="165"/>
      <c r="EC415" s="165"/>
      <c r="ED415" s="165"/>
      <c r="EE415" s="165"/>
      <c r="EF415" s="165"/>
      <c r="EG415" s="165"/>
      <c r="EH415" s="165"/>
      <c r="EI415" s="165"/>
      <c r="EJ415" s="165"/>
      <c r="EK415" s="165"/>
      <c r="EL415" s="165"/>
      <c r="EM415" s="165"/>
      <c r="EN415" s="165"/>
      <c r="EO415" s="165"/>
      <c r="EP415" s="165"/>
      <c r="EQ415" s="165"/>
      <c r="ER415" s="165"/>
      <c r="ES415" s="165"/>
      <c r="ET415" s="165"/>
      <c r="EU415" s="165"/>
      <c r="EV415" s="165"/>
      <c r="EW415" s="165"/>
      <c r="EX415" s="165"/>
      <c r="EY415" s="165"/>
      <c r="EZ415" s="165"/>
      <c r="FA415" s="165"/>
      <c r="FB415" s="165"/>
      <c r="FC415" s="165"/>
      <c r="FD415" s="165"/>
      <c r="FE415" s="165"/>
      <c r="FF415" s="165"/>
      <c r="FG415" s="165"/>
      <c r="FH415" s="165"/>
      <c r="FI415" s="165"/>
      <c r="FJ415" s="165"/>
      <c r="FK415" s="165"/>
      <c r="FL415" s="165"/>
      <c r="FM415" s="165"/>
      <c r="FN415" s="165"/>
      <c r="FO415" s="165"/>
      <c r="FP415" s="165"/>
      <c r="FQ415" s="165"/>
      <c r="FR415" s="165"/>
      <c r="FS415" s="165"/>
      <c r="FT415" s="165"/>
      <c r="FU415" s="165"/>
      <c r="FV415" s="165"/>
      <c r="FW415" s="165"/>
      <c r="FX415" s="165"/>
      <c r="FY415" s="165"/>
      <c r="FZ415" s="165"/>
      <c r="GA415" s="165"/>
      <c r="GB415" s="165"/>
      <c r="GC415" s="165"/>
      <c r="GD415" s="165"/>
      <c r="GE415" s="165"/>
      <c r="GF415" s="165"/>
      <c r="GG415" s="165"/>
      <c r="GH415" s="165"/>
      <c r="GI415" s="165"/>
      <c r="GJ415" s="165"/>
      <c r="GK415" s="165"/>
      <c r="GL415" s="165"/>
      <c r="GM415" s="165"/>
      <c r="GN415" s="165"/>
      <c r="GO415" s="165"/>
      <c r="GP415" s="165"/>
      <c r="GQ415" s="165"/>
      <c r="GR415" s="165"/>
      <c r="GS415" s="165"/>
      <c r="GT415" s="165"/>
      <c r="GU415" s="165"/>
      <c r="GV415" s="165"/>
      <c r="GW415" s="165"/>
      <c r="GX415" s="165"/>
      <c r="GY415" s="165"/>
      <c r="GZ415" s="165"/>
      <c r="HA415" s="165"/>
      <c r="HB415" s="165"/>
      <c r="HC415" s="165"/>
      <c r="HD415" s="165"/>
      <c r="HE415" s="165"/>
      <c r="HF415" s="165"/>
      <c r="HG415" s="165"/>
      <c r="HH415" s="165"/>
      <c r="HI415" s="165"/>
      <c r="HJ415" s="165"/>
      <c r="HK415" s="165"/>
      <c r="HL415" s="165"/>
      <c r="HM415" s="165"/>
      <c r="HN415" s="165"/>
      <c r="HO415" s="165"/>
      <c r="HP415" s="165"/>
      <c r="HQ415" s="165"/>
      <c r="HR415" s="165"/>
      <c r="HS415" s="165"/>
      <c r="HT415" s="165"/>
      <c r="HU415" s="165"/>
      <c r="HV415" s="165"/>
      <c r="HW415" s="165"/>
      <c r="HX415" s="165"/>
      <c r="HY415" s="165"/>
      <c r="HZ415" s="165"/>
      <c r="IA415" s="165"/>
      <c r="IB415" s="165"/>
      <c r="IC415" s="165"/>
      <c r="ID415" s="165"/>
      <c r="IE415" s="165"/>
      <c r="IF415" s="165"/>
      <c r="IG415" s="165"/>
      <c r="IH415" s="165"/>
      <c r="II415" s="165"/>
      <c r="IJ415" s="165"/>
      <c r="IK415" s="165"/>
      <c r="IL415" s="165"/>
      <c r="IM415" s="165"/>
      <c r="IN415" s="165"/>
      <c r="IO415" s="165"/>
      <c r="IP415" s="165"/>
      <c r="IQ415" s="165"/>
      <c r="IR415" s="165"/>
      <c r="IS415" s="165"/>
      <c r="IT415" s="165"/>
      <c r="IU415" s="165"/>
      <c r="IV415" s="165"/>
      <c r="IW415" s="165"/>
      <c r="IX415" s="165"/>
      <c r="IY415" s="165"/>
      <c r="IZ415" s="165"/>
      <c r="JA415" s="165"/>
      <c r="JB415" s="165"/>
      <c r="JC415" s="165"/>
      <c r="JD415" s="165"/>
      <c r="JE415" s="165"/>
      <c r="JF415" s="165"/>
      <c r="JG415" s="165"/>
      <c r="JH415" s="165"/>
      <c r="JI415" s="165"/>
      <c r="JJ415" s="165"/>
      <c r="JK415" s="165"/>
      <c r="JL415" s="165"/>
      <c r="JM415" s="165"/>
      <c r="JN415" s="165"/>
      <c r="JO415" s="165"/>
      <c r="JP415" s="165"/>
      <c r="JQ415" s="165"/>
      <c r="JR415" s="165"/>
      <c r="JS415" s="165"/>
      <c r="JT415" s="165"/>
      <c r="JU415" s="165"/>
      <c r="JV415" s="165"/>
      <c r="JW415" s="165"/>
      <c r="JX415" s="165"/>
      <c r="JY415" s="165"/>
      <c r="JZ415" s="165"/>
      <c r="KA415" s="165"/>
      <c r="KB415" s="165"/>
      <c r="KC415" s="165"/>
      <c r="KD415" s="165"/>
      <c r="KE415" s="165"/>
      <c r="KF415" s="165"/>
      <c r="KG415" s="165"/>
      <c r="KH415" s="165"/>
      <c r="KI415" s="165"/>
      <c r="KJ415" s="165"/>
      <c r="KK415" s="165"/>
      <c r="KL415" s="165"/>
      <c r="KM415" s="165"/>
      <c r="KN415" s="165"/>
      <c r="KO415" s="165"/>
      <c r="KP415" s="165"/>
      <c r="KQ415" s="165"/>
      <c r="KR415" s="165"/>
      <c r="KS415" s="165"/>
      <c r="KT415" s="165"/>
      <c r="KU415" s="165"/>
      <c r="KV415" s="165"/>
      <c r="KW415" s="165"/>
      <c r="KX415" s="165"/>
      <c r="KY415" s="165"/>
      <c r="KZ415" s="165"/>
      <c r="LA415" s="165"/>
      <c r="LB415" s="165"/>
      <c r="LC415" s="165"/>
      <c r="LD415" s="165"/>
      <c r="LE415" s="165"/>
      <c r="LF415" s="165"/>
      <c r="LG415" s="165"/>
      <c r="LH415" s="165"/>
      <c r="LI415" s="165"/>
      <c r="LJ415" s="165"/>
      <c r="LK415" s="165"/>
      <c r="LL415" s="165"/>
      <c r="LM415" s="165"/>
      <c r="LN415" s="165"/>
      <c r="LO415" s="165"/>
      <c r="LP415" s="165"/>
      <c r="LQ415" s="165"/>
      <c r="LR415" s="165"/>
      <c r="LS415" s="165"/>
      <c r="LT415" s="165"/>
      <c r="LU415" s="165"/>
      <c r="LV415" s="165"/>
      <c r="LW415" s="165"/>
      <c r="LX415" s="165"/>
      <c r="LY415" s="165"/>
      <c r="LZ415" s="165"/>
      <c r="MA415" s="165"/>
      <c r="MB415" s="165"/>
      <c r="MC415" s="165"/>
      <c r="MD415" s="165"/>
      <c r="ME415" s="165"/>
      <c r="MF415" s="165"/>
      <c r="MG415" s="165"/>
      <c r="MH415" s="165"/>
      <c r="MI415" s="165"/>
      <c r="MJ415" s="165"/>
      <c r="MK415" s="165"/>
      <c r="ML415" s="165"/>
      <c r="MM415" s="165"/>
      <c r="MN415" s="165"/>
      <c r="MO415" s="165"/>
      <c r="MP415" s="165"/>
      <c r="MQ415" s="165"/>
      <c r="MR415" s="165"/>
      <c r="MS415" s="165"/>
      <c r="MT415" s="165"/>
      <c r="MU415" s="165"/>
      <c r="MV415" s="165"/>
      <c r="MW415" s="165"/>
      <c r="MX415" s="165"/>
      <c r="MY415" s="165"/>
      <c r="MZ415" s="165"/>
      <c r="NA415" s="165"/>
      <c r="NB415" s="165"/>
      <c r="NC415" s="165"/>
      <c r="ND415" s="165"/>
      <c r="NE415" s="165"/>
      <c r="NF415" s="165"/>
      <c r="NG415" s="165"/>
      <c r="NH415" s="165"/>
      <c r="NI415" s="165"/>
      <c r="NJ415" s="165"/>
      <c r="NK415" s="165"/>
      <c r="NL415" s="165"/>
      <c r="NM415" s="165"/>
      <c r="NN415" s="165"/>
      <c r="NO415" s="165"/>
      <c r="NP415" s="165"/>
      <c r="NQ415" s="165"/>
      <c r="NR415" s="165"/>
      <c r="NS415" s="165"/>
      <c r="NT415" s="165"/>
      <c r="NU415" s="165"/>
      <c r="NV415" s="165"/>
      <c r="NW415" s="165"/>
      <c r="NX415" s="165"/>
      <c r="NY415" s="165"/>
      <c r="NZ415" s="165"/>
      <c r="OA415" s="165"/>
      <c r="OB415" s="165"/>
      <c r="OC415" s="165"/>
      <c r="OD415" s="165"/>
      <c r="OE415" s="165"/>
      <c r="OF415" s="165"/>
      <c r="OG415" s="165"/>
      <c r="OH415" s="165"/>
      <c r="OI415" s="165"/>
      <c r="OJ415" s="165"/>
      <c r="OK415" s="165"/>
      <c r="OL415" s="165"/>
      <c r="OM415" s="165"/>
      <c r="ON415" s="165"/>
      <c r="OO415" s="165"/>
      <c r="OP415" s="165"/>
      <c r="OQ415" s="165"/>
      <c r="OR415" s="165"/>
      <c r="OS415" s="165"/>
      <c r="OT415" s="165"/>
      <c r="OU415" s="165"/>
      <c r="OV415" s="165"/>
      <c r="OW415" s="165"/>
      <c r="OX415" s="165"/>
      <c r="OY415" s="165"/>
      <c r="OZ415" s="165"/>
      <c r="PA415" s="165"/>
      <c r="PB415" s="165"/>
      <c r="PC415" s="165"/>
      <c r="PD415" s="165"/>
      <c r="PE415" s="165"/>
      <c r="PF415" s="165"/>
      <c r="PG415" s="165"/>
      <c r="PH415" s="165"/>
      <c r="PI415" s="165"/>
      <c r="PJ415" s="165"/>
      <c r="PK415" s="165"/>
      <c r="PL415" s="165"/>
      <c r="PM415" s="165"/>
      <c r="PN415" s="165"/>
      <c r="PO415" s="165"/>
      <c r="PP415" s="165"/>
      <c r="PQ415" s="165"/>
      <c r="PR415" s="165"/>
      <c r="PS415" s="165"/>
      <c r="PT415" s="165"/>
      <c r="PU415" s="165"/>
      <c r="PV415" s="165"/>
      <c r="PW415" s="165"/>
      <c r="PX415" s="165"/>
      <c r="PY415" s="165"/>
      <c r="PZ415" s="165"/>
      <c r="QA415" s="165"/>
      <c r="QB415" s="165"/>
      <c r="QC415" s="165"/>
      <c r="QD415" s="165"/>
      <c r="QE415" s="165"/>
      <c r="QF415" s="165"/>
      <c r="QG415" s="165"/>
      <c r="QH415" s="165"/>
      <c r="QI415" s="165"/>
      <c r="QJ415" s="165"/>
      <c r="QK415" s="165"/>
      <c r="QL415" s="165"/>
      <c r="QM415" s="165"/>
      <c r="QN415" s="165"/>
      <c r="QO415" s="165"/>
      <c r="QP415" s="165"/>
      <c r="QQ415" s="165"/>
      <c r="QR415" s="165"/>
      <c r="QS415" s="165"/>
      <c r="QT415" s="165"/>
      <c r="QU415" s="165"/>
      <c r="QV415" s="165"/>
      <c r="QW415" s="165"/>
      <c r="QX415" s="165"/>
      <c r="QY415" s="165"/>
      <c r="QZ415" s="165"/>
      <c r="RA415" s="165"/>
      <c r="RB415" s="165"/>
      <c r="RC415" s="165"/>
      <c r="RD415" s="165"/>
      <c r="RE415" s="165"/>
      <c r="RF415" s="165"/>
      <c r="RG415" s="165"/>
      <c r="RH415" s="165"/>
      <c r="RI415" s="165"/>
      <c r="RJ415" s="165"/>
      <c r="RK415" s="165"/>
      <c r="RL415" s="165"/>
      <c r="RM415" s="165"/>
      <c r="RN415" s="165"/>
      <c r="RO415" s="165"/>
      <c r="RP415" s="165"/>
      <c r="RQ415" s="165"/>
      <c r="RR415" s="165"/>
      <c r="RS415" s="165"/>
      <c r="RT415" s="165"/>
      <c r="RU415" s="165"/>
      <c r="RV415" s="165"/>
      <c r="RW415" s="165"/>
      <c r="RX415" s="165"/>
      <c r="RY415" s="165"/>
      <c r="RZ415" s="165"/>
      <c r="SA415" s="165"/>
      <c r="SB415" s="165"/>
      <c r="SC415" s="165"/>
      <c r="SD415" s="165"/>
      <c r="SE415" s="165"/>
      <c r="SF415" s="165"/>
      <c r="SG415" s="165"/>
      <c r="SH415" s="165"/>
      <c r="SI415" s="165"/>
      <c r="SJ415" s="165"/>
      <c r="SK415" s="165"/>
      <c r="SL415" s="165"/>
      <c r="SM415" s="165"/>
      <c r="SN415" s="165"/>
      <c r="SO415" s="165"/>
      <c r="SP415" s="165"/>
      <c r="SQ415" s="165"/>
      <c r="SR415" s="165"/>
      <c r="SS415" s="165"/>
      <c r="ST415" s="165"/>
      <c r="SU415" s="165"/>
      <c r="SV415" s="165"/>
      <c r="SW415" s="165"/>
      <c r="SX415" s="165"/>
      <c r="SY415" s="165"/>
      <c r="SZ415" s="165"/>
      <c r="TA415" s="165"/>
      <c r="TB415" s="165"/>
      <c r="TC415" s="165"/>
      <c r="TD415" s="165"/>
      <c r="TE415" s="165"/>
      <c r="TF415" s="165"/>
      <c r="TG415" s="165"/>
      <c r="TH415" s="165"/>
      <c r="TI415" s="165"/>
      <c r="TJ415" s="165"/>
      <c r="TK415" s="165"/>
      <c r="TL415" s="165"/>
      <c r="TM415" s="165"/>
      <c r="TN415" s="165"/>
      <c r="TO415" s="165"/>
      <c r="TP415" s="165"/>
      <c r="TQ415" s="165"/>
      <c r="TR415" s="165"/>
      <c r="TS415" s="165"/>
      <c r="TT415" s="165"/>
      <c r="TU415" s="165"/>
      <c r="TV415" s="165"/>
      <c r="TW415" s="165"/>
      <c r="TX415" s="165"/>
      <c r="TY415" s="165"/>
      <c r="TZ415" s="165"/>
      <c r="UA415" s="165"/>
      <c r="UB415" s="165"/>
      <c r="UC415" s="165"/>
      <c r="UD415" s="165"/>
      <c r="UE415" s="165"/>
      <c r="UF415" s="165"/>
      <c r="UG415" s="891"/>
    </row>
    <row r="416" spans="1:553" ht="124.5" customHeight="1">
      <c r="A416" s="356" t="s">
        <v>15</v>
      </c>
      <c r="B416" s="356"/>
      <c r="C416" s="384" t="s">
        <v>26</v>
      </c>
      <c r="D416" s="376">
        <v>2</v>
      </c>
      <c r="E416" s="376">
        <v>470</v>
      </c>
      <c r="F416" s="385">
        <v>1</v>
      </c>
      <c r="G416" s="386" t="s">
        <v>935</v>
      </c>
      <c r="H416" s="441">
        <v>980.7</v>
      </c>
      <c r="I416" s="490">
        <v>190.7</v>
      </c>
      <c r="J416" s="368">
        <v>40000</v>
      </c>
      <c r="K416" s="388"/>
      <c r="L416" s="366">
        <f t="shared" si="86"/>
        <v>7628000</v>
      </c>
      <c r="M416" s="366"/>
      <c r="N416" s="366"/>
      <c r="O416" s="366"/>
      <c r="P416" s="366"/>
      <c r="Q416" s="1133" t="s">
        <v>324</v>
      </c>
      <c r="R416" s="1452"/>
      <c r="S416" s="308"/>
      <c r="T416" s="303"/>
      <c r="U416" s="306"/>
      <c r="V416" s="307"/>
      <c r="W416" s="306"/>
      <c r="X416" s="306"/>
      <c r="Y416" s="306">
        <f>I416</f>
        <v>190.7</v>
      </c>
      <c r="Z416" s="306"/>
      <c r="AA416" s="306"/>
      <c r="AB416" s="306"/>
      <c r="AC416" s="449"/>
      <c r="AD416" s="452"/>
      <c r="AE416" s="452"/>
      <c r="AF416" s="452"/>
      <c r="AG416" s="452"/>
      <c r="AH416" s="452"/>
      <c r="AI416" s="452"/>
      <c r="AJ416" s="452"/>
      <c r="AK416" s="452"/>
      <c r="AL416" s="106"/>
      <c r="AM416" s="31"/>
      <c r="AN416" s="31"/>
      <c r="AO416" s="31"/>
      <c r="AP416" s="31"/>
      <c r="AQ416" s="31"/>
      <c r="AR416" s="31"/>
      <c r="AS416" s="31"/>
      <c r="AT416" s="31"/>
      <c r="AU416" s="31"/>
      <c r="AV416" s="31"/>
      <c r="AW416" s="31"/>
      <c r="AX416" s="31"/>
      <c r="AY416" s="31"/>
      <c r="AZ416" s="31"/>
      <c r="BA416" s="31"/>
      <c r="BB416" s="31"/>
      <c r="BC416" s="31"/>
      <c r="BD416" s="31"/>
      <c r="BE416" s="31"/>
      <c r="BF416" s="31"/>
      <c r="BG416" s="31"/>
      <c r="BH416" s="31"/>
      <c r="BI416" s="31"/>
      <c r="BJ416" s="31"/>
      <c r="BK416" s="31"/>
      <c r="BL416" s="31"/>
      <c r="BM416" s="31"/>
      <c r="BN416" s="31"/>
      <c r="BO416" s="31"/>
      <c r="BP416" s="31"/>
      <c r="BQ416" s="31"/>
      <c r="BR416" s="31"/>
      <c r="BS416" s="31"/>
      <c r="BT416" s="31"/>
      <c r="BU416" s="31"/>
      <c r="BV416" s="31"/>
      <c r="BW416" s="31"/>
      <c r="BX416" s="31"/>
      <c r="BY416" s="31"/>
      <c r="BZ416" s="31"/>
      <c r="CA416" s="31"/>
      <c r="CB416" s="31"/>
      <c r="CC416" s="31"/>
      <c r="CD416" s="31"/>
      <c r="CE416" s="31"/>
      <c r="CF416" s="31"/>
      <c r="CG416" s="31"/>
      <c r="CH416" s="31"/>
      <c r="CI416" s="31"/>
      <c r="CJ416" s="31"/>
      <c r="CK416" s="31"/>
      <c r="CL416" s="31"/>
      <c r="CM416" s="31"/>
      <c r="CN416" s="31"/>
      <c r="CO416" s="31"/>
      <c r="CP416" s="31"/>
      <c r="CQ416" s="31"/>
      <c r="CR416" s="31"/>
      <c r="CS416" s="31"/>
      <c r="CT416" s="31"/>
      <c r="CU416" s="31"/>
      <c r="CV416" s="31"/>
      <c r="CW416" s="31"/>
      <c r="CX416" s="31"/>
      <c r="CY416" s="31"/>
      <c r="CZ416" s="31"/>
      <c r="DA416" s="31"/>
      <c r="DB416" s="31"/>
      <c r="DC416" s="31"/>
      <c r="DD416" s="31"/>
      <c r="DE416" s="31"/>
      <c r="DF416" s="31"/>
      <c r="DG416" s="31"/>
      <c r="DH416" s="31"/>
      <c r="DI416" s="31"/>
      <c r="DJ416" s="31"/>
      <c r="DK416" s="31"/>
      <c r="DL416" s="31"/>
      <c r="DM416" s="31"/>
      <c r="DN416" s="31"/>
      <c r="DO416" s="31"/>
      <c r="DP416" s="31"/>
      <c r="DQ416" s="31"/>
      <c r="DR416" s="31"/>
      <c r="DS416" s="31"/>
      <c r="DT416" s="31"/>
      <c r="DU416" s="31"/>
      <c r="DV416" s="31"/>
      <c r="DW416" s="31"/>
      <c r="DX416" s="31"/>
      <c r="DY416" s="31"/>
      <c r="DZ416" s="31"/>
      <c r="EA416" s="31"/>
      <c r="EB416" s="31"/>
      <c r="EC416" s="31"/>
      <c r="ED416" s="31"/>
      <c r="EE416" s="31"/>
      <c r="EF416" s="31"/>
      <c r="EG416" s="31"/>
      <c r="EH416" s="31"/>
      <c r="EI416" s="31"/>
      <c r="EJ416" s="31"/>
      <c r="EK416" s="31"/>
      <c r="EL416" s="31"/>
      <c r="EM416" s="31"/>
      <c r="EN416" s="31"/>
      <c r="EO416" s="31"/>
      <c r="EP416" s="31"/>
      <c r="EQ416" s="31"/>
      <c r="ER416" s="31"/>
      <c r="ES416" s="31"/>
      <c r="ET416" s="31"/>
      <c r="EU416" s="31"/>
      <c r="EV416" s="31"/>
      <c r="EW416" s="31"/>
      <c r="EX416" s="31"/>
      <c r="EY416" s="31"/>
      <c r="EZ416" s="31"/>
      <c r="FA416" s="31"/>
      <c r="FB416" s="31"/>
      <c r="FC416" s="31"/>
      <c r="FD416" s="31"/>
      <c r="FE416" s="31"/>
      <c r="FF416" s="31"/>
      <c r="FG416" s="31"/>
      <c r="FH416" s="31"/>
      <c r="FI416" s="31"/>
      <c r="FJ416" s="31"/>
      <c r="FK416" s="31"/>
      <c r="FL416" s="31"/>
      <c r="FM416" s="31"/>
      <c r="FN416" s="31"/>
      <c r="FO416" s="31"/>
      <c r="FP416" s="31"/>
      <c r="FQ416" s="31"/>
      <c r="FR416" s="31"/>
      <c r="FS416" s="31"/>
      <c r="FT416" s="31"/>
      <c r="FU416" s="31"/>
      <c r="FV416" s="31"/>
      <c r="FW416" s="31"/>
      <c r="FX416" s="31"/>
      <c r="FY416" s="31"/>
      <c r="FZ416" s="31"/>
      <c r="GA416" s="31"/>
      <c r="GB416" s="31"/>
      <c r="GC416" s="31"/>
      <c r="GD416" s="31"/>
      <c r="GE416" s="31"/>
      <c r="GF416" s="31"/>
      <c r="GG416" s="31"/>
      <c r="GH416" s="31"/>
      <c r="GI416" s="31"/>
      <c r="GJ416" s="31"/>
      <c r="GK416" s="31"/>
      <c r="GL416" s="31"/>
      <c r="GM416" s="31"/>
      <c r="GN416" s="31"/>
      <c r="GO416" s="31"/>
      <c r="GP416" s="31"/>
      <c r="GQ416" s="31"/>
      <c r="GR416" s="31"/>
      <c r="GS416" s="31"/>
      <c r="GT416" s="31"/>
      <c r="GU416" s="31"/>
      <c r="GV416" s="31"/>
      <c r="GW416" s="31"/>
      <c r="GX416" s="31"/>
      <c r="GY416" s="31"/>
      <c r="GZ416" s="31"/>
      <c r="HA416" s="31"/>
      <c r="HB416" s="31"/>
      <c r="HC416" s="31"/>
      <c r="HD416" s="31"/>
      <c r="HE416" s="31"/>
      <c r="HF416" s="31"/>
      <c r="HG416" s="31"/>
      <c r="HH416" s="31"/>
      <c r="HI416" s="31"/>
      <c r="HJ416" s="31"/>
      <c r="HK416" s="31"/>
      <c r="HL416" s="31"/>
      <c r="HM416" s="31"/>
      <c r="HN416" s="31"/>
      <c r="HO416" s="31"/>
      <c r="HP416" s="31"/>
      <c r="HQ416" s="31"/>
      <c r="HR416" s="31"/>
      <c r="HS416" s="31"/>
      <c r="HT416" s="31"/>
      <c r="HU416" s="31"/>
      <c r="HV416" s="31"/>
      <c r="HW416" s="31"/>
      <c r="HX416" s="31"/>
      <c r="HY416" s="31"/>
      <c r="HZ416" s="31"/>
      <c r="IA416" s="31"/>
      <c r="IB416" s="31"/>
      <c r="IC416" s="31"/>
      <c r="ID416" s="31"/>
      <c r="IE416" s="31"/>
      <c r="IF416" s="31"/>
      <c r="IG416" s="31"/>
      <c r="IH416" s="31"/>
      <c r="II416" s="31"/>
      <c r="IJ416" s="31"/>
      <c r="IK416" s="31"/>
      <c r="IL416" s="31"/>
      <c r="IM416" s="31"/>
      <c r="IN416" s="31"/>
      <c r="IO416" s="31"/>
      <c r="IP416" s="31"/>
      <c r="IQ416" s="31"/>
      <c r="IR416" s="31"/>
      <c r="IS416" s="31"/>
      <c r="IT416" s="31"/>
      <c r="IU416" s="31"/>
      <c r="IV416" s="31"/>
      <c r="IW416" s="31"/>
      <c r="IX416" s="31"/>
      <c r="IY416" s="31"/>
      <c r="IZ416" s="31"/>
      <c r="JA416" s="31"/>
      <c r="JB416" s="31"/>
      <c r="JC416" s="31"/>
      <c r="JD416" s="31"/>
      <c r="JE416" s="31"/>
      <c r="JF416" s="31"/>
      <c r="JG416" s="31"/>
      <c r="JH416" s="31"/>
      <c r="JI416" s="31"/>
      <c r="JJ416" s="31"/>
      <c r="JK416" s="31"/>
      <c r="JL416" s="31"/>
      <c r="JM416" s="31"/>
      <c r="JN416" s="31"/>
      <c r="JO416" s="31"/>
      <c r="JP416" s="31"/>
      <c r="JQ416" s="31"/>
      <c r="JR416" s="31"/>
      <c r="JS416" s="31"/>
      <c r="JT416" s="31"/>
      <c r="JU416" s="31"/>
      <c r="JV416" s="31"/>
      <c r="JW416" s="31"/>
      <c r="JX416" s="31"/>
      <c r="JY416" s="31"/>
      <c r="JZ416" s="31"/>
      <c r="KA416" s="31"/>
      <c r="KB416" s="31"/>
      <c r="KC416" s="31"/>
      <c r="KD416" s="31"/>
      <c r="KE416" s="31"/>
      <c r="KF416" s="31"/>
      <c r="KG416" s="31"/>
      <c r="KH416" s="31"/>
      <c r="KI416" s="31"/>
      <c r="KJ416" s="31"/>
      <c r="KK416" s="31"/>
      <c r="KL416" s="31"/>
      <c r="KM416" s="31"/>
      <c r="KN416" s="31"/>
      <c r="KO416" s="31"/>
      <c r="KP416" s="31"/>
      <c r="KQ416" s="31"/>
      <c r="KR416" s="31"/>
      <c r="KS416" s="31"/>
      <c r="KT416" s="31"/>
      <c r="KU416" s="31"/>
      <c r="KV416" s="31"/>
      <c r="KW416" s="31"/>
      <c r="KX416" s="31"/>
      <c r="KY416" s="31"/>
      <c r="KZ416" s="31"/>
      <c r="LA416" s="31"/>
      <c r="LB416" s="31"/>
      <c r="LC416" s="31"/>
      <c r="LD416" s="31"/>
      <c r="LE416" s="31"/>
      <c r="LF416" s="31"/>
      <c r="LG416" s="31"/>
      <c r="LH416" s="31"/>
      <c r="LI416" s="31"/>
      <c r="LJ416" s="31"/>
      <c r="LK416" s="31"/>
      <c r="LL416" s="31"/>
      <c r="LM416" s="31"/>
      <c r="LN416" s="31"/>
      <c r="LO416" s="31"/>
      <c r="LP416" s="31"/>
      <c r="LQ416" s="31"/>
      <c r="LR416" s="31"/>
      <c r="LS416" s="31"/>
      <c r="LT416" s="31"/>
      <c r="LU416" s="31"/>
      <c r="LV416" s="31"/>
      <c r="LW416" s="31"/>
      <c r="LX416" s="31"/>
      <c r="LY416" s="31"/>
      <c r="LZ416" s="31"/>
      <c r="MA416" s="31"/>
      <c r="MB416" s="31"/>
      <c r="MC416" s="31"/>
      <c r="MD416" s="31"/>
      <c r="ME416" s="31"/>
      <c r="MF416" s="31"/>
      <c r="MG416" s="31"/>
      <c r="MH416" s="31"/>
      <c r="MI416" s="31"/>
      <c r="MJ416" s="31"/>
      <c r="MK416" s="31"/>
      <c r="ML416" s="31"/>
      <c r="MM416" s="31"/>
      <c r="MN416" s="31"/>
      <c r="MO416" s="31"/>
      <c r="MP416" s="31"/>
      <c r="MQ416" s="31"/>
      <c r="MR416" s="31"/>
      <c r="MS416" s="31"/>
      <c r="MT416" s="31"/>
      <c r="MU416" s="31"/>
      <c r="MV416" s="31"/>
      <c r="MW416" s="31"/>
      <c r="MX416" s="31"/>
      <c r="MY416" s="31"/>
      <c r="MZ416" s="31"/>
      <c r="NA416" s="31"/>
      <c r="NB416" s="31"/>
      <c r="NC416" s="31"/>
      <c r="ND416" s="31"/>
      <c r="NE416" s="31"/>
      <c r="NF416" s="31"/>
      <c r="NG416" s="31"/>
      <c r="NH416" s="31"/>
      <c r="NI416" s="31"/>
      <c r="NJ416" s="31"/>
      <c r="NK416" s="31"/>
      <c r="NL416" s="31"/>
      <c r="NM416" s="31"/>
      <c r="NN416" s="31"/>
      <c r="NO416" s="31"/>
      <c r="NP416" s="31"/>
      <c r="NQ416" s="31"/>
      <c r="NR416" s="31"/>
      <c r="NS416" s="31"/>
      <c r="NT416" s="31"/>
      <c r="NU416" s="31"/>
      <c r="NV416" s="31"/>
      <c r="NW416" s="31"/>
      <c r="NX416" s="31"/>
      <c r="NY416" s="31"/>
      <c r="NZ416" s="31"/>
      <c r="OA416" s="31"/>
      <c r="OB416" s="31"/>
      <c r="OC416" s="31"/>
      <c r="OD416" s="31"/>
      <c r="OE416" s="31"/>
      <c r="OF416" s="31"/>
      <c r="OG416" s="31"/>
      <c r="OH416" s="31"/>
      <c r="OI416" s="31"/>
      <c r="OJ416" s="31"/>
      <c r="OK416" s="31"/>
      <c r="OL416" s="31"/>
      <c r="OM416" s="31"/>
      <c r="ON416" s="31"/>
      <c r="OO416" s="31"/>
      <c r="OP416" s="31"/>
      <c r="OQ416" s="31"/>
      <c r="OR416" s="31"/>
      <c r="OS416" s="31"/>
      <c r="OT416" s="31"/>
      <c r="OU416" s="31"/>
      <c r="OV416" s="31"/>
      <c r="OW416" s="31"/>
      <c r="OX416" s="31"/>
      <c r="OY416" s="31"/>
      <c r="OZ416" s="31"/>
      <c r="PA416" s="31"/>
      <c r="PB416" s="31"/>
      <c r="PC416" s="31"/>
      <c r="PD416" s="31"/>
      <c r="PE416" s="31"/>
      <c r="PF416" s="31"/>
      <c r="PG416" s="31"/>
      <c r="PH416" s="31"/>
      <c r="PI416" s="31"/>
      <c r="PJ416" s="31"/>
      <c r="PK416" s="31"/>
      <c r="PL416" s="31"/>
      <c r="PM416" s="31"/>
      <c r="PN416" s="31"/>
      <c r="PO416" s="31"/>
      <c r="PP416" s="31"/>
      <c r="PQ416" s="31"/>
      <c r="PR416" s="31"/>
      <c r="PS416" s="31"/>
      <c r="PT416" s="31"/>
      <c r="PU416" s="31"/>
      <c r="PV416" s="31"/>
      <c r="PW416" s="31"/>
      <c r="PX416" s="31"/>
      <c r="PY416" s="31"/>
      <c r="PZ416" s="31"/>
      <c r="QA416" s="31"/>
      <c r="QB416" s="31"/>
      <c r="QC416" s="31"/>
      <c r="QD416" s="31"/>
      <c r="QE416" s="31"/>
      <c r="QF416" s="31"/>
      <c r="QG416" s="31"/>
      <c r="QH416" s="31"/>
      <c r="QI416" s="31"/>
      <c r="QJ416" s="31"/>
      <c r="QK416" s="31"/>
      <c r="QL416" s="31"/>
      <c r="QM416" s="31"/>
      <c r="QN416" s="31"/>
      <c r="QO416" s="31"/>
      <c r="QP416" s="31"/>
      <c r="QQ416" s="31"/>
      <c r="QR416" s="31"/>
      <c r="QS416" s="31"/>
      <c r="QT416" s="31"/>
      <c r="QU416" s="31"/>
      <c r="QV416" s="31"/>
      <c r="QW416" s="31"/>
      <c r="QX416" s="31"/>
      <c r="QY416" s="31"/>
      <c r="QZ416" s="31"/>
      <c r="RA416" s="31"/>
      <c r="RB416" s="31"/>
      <c r="RC416" s="31"/>
      <c r="RD416" s="31"/>
      <c r="RE416" s="31"/>
      <c r="RF416" s="31"/>
      <c r="RG416" s="31"/>
      <c r="RH416" s="31"/>
      <c r="RI416" s="31"/>
      <c r="RJ416" s="31"/>
      <c r="RK416" s="31"/>
      <c r="RL416" s="31"/>
      <c r="RM416" s="31"/>
      <c r="RN416" s="31"/>
      <c r="RO416" s="31"/>
      <c r="RP416" s="31"/>
      <c r="RQ416" s="31"/>
      <c r="RR416" s="31"/>
      <c r="RS416" s="31"/>
      <c r="RT416" s="31"/>
      <c r="RU416" s="31"/>
      <c r="RV416" s="31"/>
      <c r="RW416" s="31"/>
      <c r="RX416" s="31"/>
      <c r="RY416" s="31"/>
      <c r="RZ416" s="31"/>
      <c r="SA416" s="31"/>
      <c r="SB416" s="31"/>
      <c r="SC416" s="31"/>
      <c r="SD416" s="31"/>
      <c r="SE416" s="31"/>
      <c r="SF416" s="31"/>
      <c r="SG416" s="31"/>
      <c r="SH416" s="31"/>
      <c r="SI416" s="31"/>
      <c r="SJ416" s="31"/>
      <c r="SK416" s="31"/>
      <c r="SL416" s="31"/>
      <c r="SM416" s="31"/>
      <c r="SN416" s="31"/>
      <c r="SO416" s="31"/>
      <c r="SP416" s="31"/>
      <c r="SQ416" s="31"/>
      <c r="SR416" s="31"/>
      <c r="SS416" s="31"/>
      <c r="ST416" s="31"/>
      <c r="SU416" s="31"/>
      <c r="SV416" s="31"/>
      <c r="SW416" s="31"/>
      <c r="SX416" s="31"/>
      <c r="SY416" s="31"/>
      <c r="SZ416" s="31"/>
      <c r="TA416" s="31"/>
      <c r="TB416" s="31"/>
      <c r="TC416" s="31"/>
      <c r="TD416" s="31"/>
      <c r="TE416" s="31"/>
      <c r="TF416" s="31"/>
      <c r="TG416" s="31"/>
      <c r="TH416" s="31"/>
      <c r="TI416" s="31"/>
      <c r="TJ416" s="31"/>
      <c r="TK416" s="31"/>
      <c r="TL416" s="31"/>
      <c r="TM416" s="31"/>
      <c r="TN416" s="31"/>
      <c r="TO416" s="31"/>
      <c r="TP416" s="31"/>
      <c r="TQ416" s="31"/>
      <c r="TR416" s="31"/>
      <c r="TS416" s="31"/>
      <c r="TT416" s="31"/>
      <c r="TU416" s="31"/>
      <c r="TV416" s="31"/>
      <c r="TW416" s="31"/>
      <c r="TX416" s="31"/>
      <c r="TY416" s="31"/>
      <c r="TZ416" s="31"/>
      <c r="UA416" s="31"/>
      <c r="UB416" s="31"/>
      <c r="UC416" s="31"/>
      <c r="UD416" s="31"/>
      <c r="UE416" s="31"/>
      <c r="UF416" s="31"/>
      <c r="UG416" s="33"/>
    </row>
    <row r="417" spans="1:553" ht="114.75" customHeight="1">
      <c r="A417" s="356" t="s">
        <v>15</v>
      </c>
      <c r="B417" s="356"/>
      <c r="C417" s="384" t="s">
        <v>69</v>
      </c>
      <c r="D417" s="376" t="s">
        <v>20</v>
      </c>
      <c r="E417" s="376">
        <v>374</v>
      </c>
      <c r="F417" s="385">
        <v>1</v>
      </c>
      <c r="G417" s="385" t="s">
        <v>935</v>
      </c>
      <c r="H417" s="376">
        <v>24.6</v>
      </c>
      <c r="I417" s="422">
        <v>24.6</v>
      </c>
      <c r="J417" s="477">
        <v>55000</v>
      </c>
      <c r="K417" s="388"/>
      <c r="L417" s="366">
        <f t="shared" si="86"/>
        <v>1353000</v>
      </c>
      <c r="M417" s="366"/>
      <c r="N417" s="366"/>
      <c r="O417" s="366"/>
      <c r="P417" s="366"/>
      <c r="Q417" s="1036" t="s">
        <v>322</v>
      </c>
      <c r="R417" s="1452"/>
      <c r="S417" s="308"/>
      <c r="T417" s="303"/>
      <c r="U417" s="306"/>
      <c r="V417" s="307"/>
      <c r="W417" s="306"/>
      <c r="X417" s="306">
        <f>I417</f>
        <v>24.6</v>
      </c>
      <c r="Y417" s="306"/>
      <c r="Z417" s="306"/>
      <c r="AA417" s="306"/>
      <c r="AB417" s="306"/>
      <c r="AC417" s="449"/>
      <c r="AD417" s="452"/>
      <c r="AE417" s="452"/>
      <c r="AF417" s="452"/>
      <c r="AG417" s="452"/>
      <c r="AH417" s="452"/>
      <c r="AI417" s="452"/>
      <c r="AJ417" s="452"/>
      <c r="AK417" s="452"/>
      <c r="AL417" s="106"/>
      <c r="AM417" s="31"/>
      <c r="AN417" s="31"/>
      <c r="AO417" s="31"/>
      <c r="AP417" s="31"/>
      <c r="AQ417" s="31"/>
      <c r="AR417" s="31"/>
      <c r="AS417" s="31"/>
      <c r="AT417" s="31"/>
      <c r="AU417" s="31"/>
      <c r="AV417" s="31"/>
      <c r="AW417" s="31"/>
      <c r="AX417" s="31"/>
      <c r="AY417" s="31"/>
      <c r="AZ417" s="31"/>
      <c r="BA417" s="31"/>
      <c r="BB417" s="31"/>
      <c r="BC417" s="31"/>
      <c r="BD417" s="31"/>
      <c r="BE417" s="31"/>
      <c r="BF417" s="31"/>
      <c r="BG417" s="31"/>
      <c r="BH417" s="31"/>
      <c r="BI417" s="31"/>
      <c r="BJ417" s="31"/>
      <c r="BK417" s="31"/>
      <c r="BL417" s="31"/>
      <c r="BM417" s="31"/>
      <c r="BN417" s="31"/>
      <c r="BO417" s="31"/>
      <c r="BP417" s="31"/>
      <c r="BQ417" s="31"/>
      <c r="BR417" s="31"/>
      <c r="BS417" s="31"/>
      <c r="BT417" s="31"/>
      <c r="BU417" s="31"/>
      <c r="BV417" s="31"/>
      <c r="BW417" s="31"/>
      <c r="BX417" s="31"/>
      <c r="BY417" s="31"/>
      <c r="BZ417" s="31"/>
      <c r="CA417" s="31"/>
      <c r="CB417" s="31"/>
      <c r="CC417" s="31"/>
      <c r="CD417" s="31"/>
      <c r="CE417" s="31"/>
      <c r="CF417" s="31"/>
      <c r="CG417" s="31"/>
      <c r="CH417" s="31"/>
      <c r="CI417" s="31"/>
      <c r="CJ417" s="31"/>
      <c r="CK417" s="31"/>
      <c r="CL417" s="31"/>
      <c r="CM417" s="31"/>
      <c r="CN417" s="31"/>
      <c r="CO417" s="31"/>
      <c r="CP417" s="31"/>
      <c r="CQ417" s="31"/>
      <c r="CR417" s="31"/>
      <c r="CS417" s="31"/>
      <c r="CT417" s="31"/>
      <c r="CU417" s="31"/>
      <c r="CV417" s="31"/>
      <c r="CW417" s="31"/>
      <c r="CX417" s="31"/>
      <c r="CY417" s="31"/>
      <c r="CZ417" s="31"/>
      <c r="DA417" s="31"/>
      <c r="DB417" s="31"/>
      <c r="DC417" s="31"/>
      <c r="DD417" s="31"/>
      <c r="DE417" s="31"/>
      <c r="DF417" s="31"/>
      <c r="DG417" s="31"/>
      <c r="DH417" s="31"/>
      <c r="DI417" s="31"/>
      <c r="DJ417" s="31"/>
      <c r="DK417" s="31"/>
      <c r="DL417" s="31"/>
      <c r="DM417" s="31"/>
      <c r="DN417" s="31"/>
      <c r="DO417" s="31"/>
      <c r="DP417" s="31"/>
      <c r="DQ417" s="31"/>
      <c r="DR417" s="31"/>
      <c r="DS417" s="31"/>
      <c r="DT417" s="31"/>
      <c r="DU417" s="31"/>
      <c r="DV417" s="31"/>
      <c r="DW417" s="31"/>
      <c r="DX417" s="31"/>
      <c r="DY417" s="31"/>
      <c r="DZ417" s="31"/>
      <c r="EA417" s="31"/>
      <c r="EB417" s="31"/>
      <c r="EC417" s="31"/>
      <c r="ED417" s="31"/>
      <c r="EE417" s="31"/>
      <c r="EF417" s="31"/>
      <c r="EG417" s="31"/>
      <c r="EH417" s="31"/>
      <c r="EI417" s="31"/>
      <c r="EJ417" s="31"/>
      <c r="EK417" s="31"/>
      <c r="EL417" s="31"/>
      <c r="EM417" s="31"/>
      <c r="EN417" s="31"/>
      <c r="EO417" s="31"/>
      <c r="EP417" s="31"/>
      <c r="EQ417" s="31"/>
      <c r="ER417" s="31"/>
      <c r="ES417" s="31"/>
      <c r="ET417" s="31"/>
      <c r="EU417" s="31"/>
      <c r="EV417" s="31"/>
      <c r="EW417" s="31"/>
      <c r="EX417" s="31"/>
      <c r="EY417" s="31"/>
      <c r="EZ417" s="31"/>
      <c r="FA417" s="31"/>
      <c r="FB417" s="31"/>
      <c r="FC417" s="31"/>
      <c r="FD417" s="31"/>
      <c r="FE417" s="31"/>
      <c r="FF417" s="31"/>
      <c r="FG417" s="31"/>
      <c r="FH417" s="31"/>
      <c r="FI417" s="31"/>
      <c r="FJ417" s="31"/>
      <c r="FK417" s="31"/>
      <c r="FL417" s="31"/>
      <c r="FM417" s="31"/>
      <c r="FN417" s="31"/>
      <c r="FO417" s="31"/>
      <c r="FP417" s="31"/>
      <c r="FQ417" s="31"/>
      <c r="FR417" s="31"/>
      <c r="FS417" s="31"/>
      <c r="FT417" s="31"/>
      <c r="FU417" s="31"/>
      <c r="FV417" s="31"/>
      <c r="FW417" s="31"/>
      <c r="FX417" s="31"/>
      <c r="FY417" s="31"/>
      <c r="FZ417" s="31"/>
      <c r="GA417" s="31"/>
      <c r="GB417" s="31"/>
      <c r="GC417" s="31"/>
      <c r="GD417" s="31"/>
      <c r="GE417" s="31"/>
      <c r="GF417" s="31"/>
      <c r="GG417" s="31"/>
      <c r="GH417" s="31"/>
      <c r="GI417" s="31"/>
      <c r="GJ417" s="31"/>
      <c r="GK417" s="31"/>
      <c r="GL417" s="31"/>
      <c r="GM417" s="31"/>
      <c r="GN417" s="31"/>
      <c r="GO417" s="31"/>
      <c r="GP417" s="31"/>
      <c r="GQ417" s="31"/>
      <c r="GR417" s="31"/>
      <c r="GS417" s="31"/>
      <c r="GT417" s="31"/>
      <c r="GU417" s="31"/>
      <c r="GV417" s="31"/>
      <c r="GW417" s="31"/>
      <c r="GX417" s="31"/>
      <c r="GY417" s="31"/>
      <c r="GZ417" s="31"/>
      <c r="HA417" s="31"/>
      <c r="HB417" s="31"/>
      <c r="HC417" s="31"/>
      <c r="HD417" s="31"/>
      <c r="HE417" s="31"/>
      <c r="HF417" s="31"/>
      <c r="HG417" s="31"/>
      <c r="HH417" s="31"/>
      <c r="HI417" s="31"/>
      <c r="HJ417" s="31"/>
      <c r="HK417" s="31"/>
      <c r="HL417" s="31"/>
      <c r="HM417" s="31"/>
      <c r="HN417" s="31"/>
      <c r="HO417" s="31"/>
      <c r="HP417" s="31"/>
      <c r="HQ417" s="31"/>
      <c r="HR417" s="31"/>
      <c r="HS417" s="31"/>
      <c r="HT417" s="31"/>
      <c r="HU417" s="31"/>
      <c r="HV417" s="31"/>
      <c r="HW417" s="31"/>
      <c r="HX417" s="31"/>
      <c r="HY417" s="31"/>
      <c r="HZ417" s="31"/>
      <c r="IA417" s="31"/>
      <c r="IB417" s="31"/>
      <c r="IC417" s="31"/>
      <c r="ID417" s="31"/>
      <c r="IE417" s="31"/>
      <c r="IF417" s="31"/>
      <c r="IG417" s="31"/>
      <c r="IH417" s="31"/>
      <c r="II417" s="31"/>
      <c r="IJ417" s="31"/>
      <c r="IK417" s="31"/>
      <c r="IL417" s="31"/>
      <c r="IM417" s="31"/>
      <c r="IN417" s="31"/>
      <c r="IO417" s="31"/>
      <c r="IP417" s="31"/>
      <c r="IQ417" s="31"/>
      <c r="IR417" s="31"/>
      <c r="IS417" s="31"/>
      <c r="IT417" s="31"/>
      <c r="IU417" s="31"/>
      <c r="IV417" s="31"/>
      <c r="IW417" s="31"/>
      <c r="IX417" s="31"/>
      <c r="IY417" s="31"/>
      <c r="IZ417" s="31"/>
      <c r="JA417" s="31"/>
      <c r="JB417" s="31"/>
      <c r="JC417" s="31"/>
      <c r="JD417" s="31"/>
      <c r="JE417" s="31"/>
      <c r="JF417" s="31"/>
      <c r="JG417" s="31"/>
      <c r="JH417" s="31"/>
      <c r="JI417" s="31"/>
      <c r="JJ417" s="31"/>
      <c r="JK417" s="31"/>
      <c r="JL417" s="31"/>
      <c r="JM417" s="31"/>
      <c r="JN417" s="31"/>
      <c r="JO417" s="31"/>
      <c r="JP417" s="31"/>
      <c r="JQ417" s="31"/>
      <c r="JR417" s="31"/>
      <c r="JS417" s="31"/>
      <c r="JT417" s="31"/>
      <c r="JU417" s="31"/>
      <c r="JV417" s="31"/>
      <c r="JW417" s="31"/>
      <c r="JX417" s="31"/>
      <c r="JY417" s="31"/>
      <c r="JZ417" s="31"/>
      <c r="KA417" s="31"/>
      <c r="KB417" s="31"/>
      <c r="KC417" s="31"/>
      <c r="KD417" s="31"/>
      <c r="KE417" s="31"/>
      <c r="KF417" s="31"/>
      <c r="KG417" s="31"/>
      <c r="KH417" s="31"/>
      <c r="KI417" s="31"/>
      <c r="KJ417" s="31"/>
      <c r="KK417" s="31"/>
      <c r="KL417" s="31"/>
      <c r="KM417" s="31"/>
      <c r="KN417" s="31"/>
      <c r="KO417" s="31"/>
      <c r="KP417" s="31"/>
      <c r="KQ417" s="31"/>
      <c r="KR417" s="31"/>
      <c r="KS417" s="31"/>
      <c r="KT417" s="31"/>
      <c r="KU417" s="31"/>
      <c r="KV417" s="31"/>
      <c r="KW417" s="31"/>
      <c r="KX417" s="31"/>
      <c r="KY417" s="31"/>
      <c r="KZ417" s="31"/>
      <c r="LA417" s="31"/>
      <c r="LB417" s="31"/>
      <c r="LC417" s="31"/>
      <c r="LD417" s="31"/>
      <c r="LE417" s="31"/>
      <c r="LF417" s="31"/>
      <c r="LG417" s="31"/>
      <c r="LH417" s="31"/>
      <c r="LI417" s="31"/>
      <c r="LJ417" s="31"/>
      <c r="LK417" s="31"/>
      <c r="LL417" s="31"/>
      <c r="LM417" s="31"/>
      <c r="LN417" s="31"/>
      <c r="LO417" s="31"/>
      <c r="LP417" s="31"/>
      <c r="LQ417" s="31"/>
      <c r="LR417" s="31"/>
      <c r="LS417" s="31"/>
      <c r="LT417" s="31"/>
      <c r="LU417" s="31"/>
      <c r="LV417" s="31"/>
      <c r="LW417" s="31"/>
      <c r="LX417" s="31"/>
      <c r="LY417" s="31"/>
      <c r="LZ417" s="31"/>
      <c r="MA417" s="31"/>
      <c r="MB417" s="31"/>
      <c r="MC417" s="31"/>
      <c r="MD417" s="31"/>
      <c r="ME417" s="31"/>
      <c r="MF417" s="31"/>
      <c r="MG417" s="31"/>
      <c r="MH417" s="31"/>
      <c r="MI417" s="31"/>
      <c r="MJ417" s="31"/>
      <c r="MK417" s="31"/>
      <c r="ML417" s="31"/>
      <c r="MM417" s="31"/>
      <c r="MN417" s="31"/>
      <c r="MO417" s="31"/>
      <c r="MP417" s="31"/>
      <c r="MQ417" s="31"/>
      <c r="MR417" s="31"/>
      <c r="MS417" s="31"/>
      <c r="MT417" s="31"/>
      <c r="MU417" s="31"/>
      <c r="MV417" s="31"/>
      <c r="MW417" s="31"/>
      <c r="MX417" s="31"/>
      <c r="MY417" s="31"/>
      <c r="MZ417" s="31"/>
      <c r="NA417" s="31"/>
      <c r="NB417" s="31"/>
      <c r="NC417" s="31"/>
      <c r="ND417" s="31"/>
      <c r="NE417" s="31"/>
      <c r="NF417" s="31"/>
      <c r="NG417" s="31"/>
      <c r="NH417" s="31"/>
      <c r="NI417" s="31"/>
      <c r="NJ417" s="31"/>
      <c r="NK417" s="31"/>
      <c r="NL417" s="31"/>
      <c r="NM417" s="31"/>
      <c r="NN417" s="31"/>
      <c r="NO417" s="31"/>
      <c r="NP417" s="31"/>
      <c r="NQ417" s="31"/>
      <c r="NR417" s="31"/>
      <c r="NS417" s="31"/>
      <c r="NT417" s="31"/>
      <c r="NU417" s="31"/>
      <c r="NV417" s="31"/>
      <c r="NW417" s="31"/>
      <c r="NX417" s="31"/>
      <c r="NY417" s="31"/>
      <c r="NZ417" s="31"/>
      <c r="OA417" s="31"/>
      <c r="OB417" s="31"/>
      <c r="OC417" s="31"/>
      <c r="OD417" s="31"/>
      <c r="OE417" s="31"/>
      <c r="OF417" s="31"/>
      <c r="OG417" s="31"/>
      <c r="OH417" s="31"/>
      <c r="OI417" s="31"/>
      <c r="OJ417" s="31"/>
      <c r="OK417" s="31"/>
      <c r="OL417" s="31"/>
      <c r="OM417" s="31"/>
      <c r="ON417" s="31"/>
      <c r="OO417" s="31"/>
      <c r="OP417" s="31"/>
      <c r="OQ417" s="31"/>
      <c r="OR417" s="31"/>
      <c r="OS417" s="31"/>
      <c r="OT417" s="31"/>
      <c r="OU417" s="31"/>
      <c r="OV417" s="31"/>
      <c r="OW417" s="31"/>
      <c r="OX417" s="31"/>
      <c r="OY417" s="31"/>
      <c r="OZ417" s="31"/>
      <c r="PA417" s="31"/>
      <c r="PB417" s="31"/>
      <c r="PC417" s="31"/>
      <c r="PD417" s="31"/>
      <c r="PE417" s="31"/>
      <c r="PF417" s="31"/>
      <c r="PG417" s="31"/>
      <c r="PH417" s="31"/>
      <c r="PI417" s="31"/>
      <c r="PJ417" s="31"/>
      <c r="PK417" s="31"/>
      <c r="PL417" s="31"/>
      <c r="PM417" s="31"/>
      <c r="PN417" s="31"/>
      <c r="PO417" s="31"/>
      <c r="PP417" s="31"/>
      <c r="PQ417" s="31"/>
      <c r="PR417" s="31"/>
      <c r="PS417" s="31"/>
      <c r="PT417" s="31"/>
      <c r="PU417" s="31"/>
      <c r="PV417" s="31"/>
      <c r="PW417" s="31"/>
      <c r="PX417" s="31"/>
      <c r="PY417" s="31"/>
      <c r="PZ417" s="31"/>
      <c r="QA417" s="31"/>
      <c r="QB417" s="31"/>
      <c r="QC417" s="31"/>
      <c r="QD417" s="31"/>
      <c r="QE417" s="31"/>
      <c r="QF417" s="31"/>
      <c r="QG417" s="31"/>
      <c r="QH417" s="31"/>
      <c r="QI417" s="31"/>
      <c r="QJ417" s="31"/>
      <c r="QK417" s="31"/>
      <c r="QL417" s="31"/>
      <c r="QM417" s="31"/>
      <c r="QN417" s="31"/>
      <c r="QO417" s="31"/>
      <c r="QP417" s="31"/>
      <c r="QQ417" s="31"/>
      <c r="QR417" s="31"/>
      <c r="QS417" s="31"/>
      <c r="QT417" s="31"/>
      <c r="QU417" s="31"/>
      <c r="QV417" s="31"/>
      <c r="QW417" s="31"/>
      <c r="QX417" s="31"/>
      <c r="QY417" s="31"/>
      <c r="QZ417" s="31"/>
      <c r="RA417" s="31"/>
      <c r="RB417" s="31"/>
      <c r="RC417" s="31"/>
      <c r="RD417" s="31"/>
      <c r="RE417" s="31"/>
      <c r="RF417" s="31"/>
      <c r="RG417" s="31"/>
      <c r="RH417" s="31"/>
      <c r="RI417" s="31"/>
      <c r="RJ417" s="31"/>
      <c r="RK417" s="31"/>
      <c r="RL417" s="31"/>
      <c r="RM417" s="31"/>
      <c r="RN417" s="31"/>
      <c r="RO417" s="31"/>
      <c r="RP417" s="31"/>
      <c r="RQ417" s="31"/>
      <c r="RR417" s="31"/>
      <c r="RS417" s="31"/>
      <c r="RT417" s="31"/>
      <c r="RU417" s="31"/>
      <c r="RV417" s="31"/>
      <c r="RW417" s="31"/>
      <c r="RX417" s="31"/>
      <c r="RY417" s="31"/>
      <c r="RZ417" s="31"/>
      <c r="SA417" s="31"/>
      <c r="SB417" s="31"/>
      <c r="SC417" s="31"/>
      <c r="SD417" s="31"/>
      <c r="SE417" s="31"/>
      <c r="SF417" s="31"/>
      <c r="SG417" s="31"/>
      <c r="SH417" s="31"/>
      <c r="SI417" s="31"/>
      <c r="SJ417" s="31"/>
      <c r="SK417" s="31"/>
      <c r="SL417" s="31"/>
      <c r="SM417" s="31"/>
      <c r="SN417" s="31"/>
      <c r="SO417" s="31"/>
      <c r="SP417" s="31"/>
      <c r="SQ417" s="31"/>
      <c r="SR417" s="31"/>
      <c r="SS417" s="31"/>
      <c r="ST417" s="31"/>
      <c r="SU417" s="31"/>
      <c r="SV417" s="31"/>
      <c r="SW417" s="31"/>
      <c r="SX417" s="31"/>
      <c r="SY417" s="31"/>
      <c r="SZ417" s="31"/>
      <c r="TA417" s="31"/>
      <c r="TB417" s="31"/>
      <c r="TC417" s="31"/>
      <c r="TD417" s="31"/>
      <c r="TE417" s="31"/>
      <c r="TF417" s="31"/>
      <c r="TG417" s="31"/>
      <c r="TH417" s="31"/>
      <c r="TI417" s="31"/>
      <c r="TJ417" s="31"/>
      <c r="TK417" s="31"/>
      <c r="TL417" s="31"/>
      <c r="TM417" s="31"/>
      <c r="TN417" s="31"/>
      <c r="TO417" s="31"/>
      <c r="TP417" s="31"/>
      <c r="TQ417" s="31"/>
      <c r="TR417" s="31"/>
      <c r="TS417" s="31"/>
      <c r="TT417" s="31"/>
      <c r="TU417" s="31"/>
      <c r="TV417" s="31"/>
      <c r="TW417" s="31"/>
      <c r="TX417" s="31"/>
      <c r="TY417" s="31"/>
      <c r="TZ417" s="31"/>
      <c r="UA417" s="31"/>
      <c r="UB417" s="31"/>
      <c r="UC417" s="31"/>
      <c r="UD417" s="31"/>
      <c r="UE417" s="31"/>
      <c r="UF417" s="31"/>
      <c r="UG417" s="33"/>
    </row>
    <row r="418" spans="1:553" ht="114.75" customHeight="1">
      <c r="A418" s="356" t="s">
        <v>15</v>
      </c>
      <c r="B418" s="356"/>
      <c r="C418" s="384" t="s">
        <v>69</v>
      </c>
      <c r="D418" s="376" t="s">
        <v>20</v>
      </c>
      <c r="E418" s="376" t="s">
        <v>325</v>
      </c>
      <c r="F418" s="385">
        <v>1</v>
      </c>
      <c r="G418" s="385" t="s">
        <v>935</v>
      </c>
      <c r="H418" s="376">
        <v>86.5</v>
      </c>
      <c r="I418" s="422">
        <v>86.5</v>
      </c>
      <c r="J418" s="477">
        <v>55000</v>
      </c>
      <c r="K418" s="388"/>
      <c r="L418" s="366">
        <f t="shared" si="86"/>
        <v>4757500</v>
      </c>
      <c r="M418" s="366"/>
      <c r="N418" s="366"/>
      <c r="O418" s="366"/>
      <c r="P418" s="366"/>
      <c r="Q418" s="1036" t="s">
        <v>322</v>
      </c>
      <c r="R418" s="1452"/>
      <c r="S418" s="308"/>
      <c r="T418" s="303"/>
      <c r="U418" s="306"/>
      <c r="V418" s="307"/>
      <c r="W418" s="306"/>
      <c r="X418" s="306">
        <f>I418</f>
        <v>86.5</v>
      </c>
      <c r="Y418" s="306"/>
      <c r="Z418" s="306"/>
      <c r="AA418" s="306"/>
      <c r="AB418" s="306"/>
      <c r="AC418" s="449"/>
      <c r="AD418" s="452"/>
      <c r="AE418" s="452"/>
      <c r="AF418" s="452"/>
      <c r="AG418" s="452"/>
      <c r="AH418" s="452"/>
      <c r="AI418" s="452"/>
      <c r="AJ418" s="452"/>
      <c r="AK418" s="452"/>
      <c r="AL418" s="106"/>
      <c r="AM418" s="31"/>
      <c r="AN418" s="31"/>
      <c r="AO418" s="31"/>
      <c r="AP418" s="31"/>
      <c r="AQ418" s="31"/>
      <c r="AR418" s="31"/>
      <c r="AS418" s="31"/>
      <c r="AT418" s="31"/>
      <c r="AU418" s="31"/>
      <c r="AV418" s="31"/>
      <c r="AW418" s="31"/>
      <c r="AX418" s="31"/>
      <c r="AY418" s="31"/>
      <c r="AZ418" s="31"/>
      <c r="BA418" s="31"/>
      <c r="BB418" s="31"/>
      <c r="BC418" s="31"/>
      <c r="BD418" s="31"/>
      <c r="BE418" s="31"/>
      <c r="BF418" s="31"/>
      <c r="BG418" s="31"/>
      <c r="BH418" s="31"/>
      <c r="BI418" s="31"/>
      <c r="BJ418" s="31"/>
      <c r="BK418" s="31"/>
      <c r="BL418" s="31"/>
      <c r="BM418" s="31"/>
      <c r="BN418" s="31"/>
      <c r="BO418" s="31"/>
      <c r="BP418" s="31"/>
      <c r="BQ418" s="31"/>
      <c r="BR418" s="31"/>
      <c r="BS418" s="31"/>
      <c r="BT418" s="31"/>
      <c r="BU418" s="31"/>
      <c r="BV418" s="31"/>
      <c r="BW418" s="31"/>
      <c r="BX418" s="31"/>
      <c r="BY418" s="31"/>
      <c r="BZ418" s="31"/>
      <c r="CA418" s="31"/>
      <c r="CB418" s="31"/>
      <c r="CC418" s="31"/>
      <c r="CD418" s="31"/>
      <c r="CE418" s="31"/>
      <c r="CF418" s="31"/>
      <c r="CG418" s="31"/>
      <c r="CH418" s="31"/>
      <c r="CI418" s="31"/>
      <c r="CJ418" s="31"/>
      <c r="CK418" s="31"/>
      <c r="CL418" s="31"/>
      <c r="CM418" s="31"/>
      <c r="CN418" s="31"/>
      <c r="CO418" s="31"/>
      <c r="CP418" s="31"/>
      <c r="CQ418" s="31"/>
      <c r="CR418" s="31"/>
      <c r="CS418" s="31"/>
      <c r="CT418" s="31"/>
      <c r="CU418" s="31"/>
      <c r="CV418" s="31"/>
      <c r="CW418" s="31"/>
      <c r="CX418" s="31"/>
      <c r="CY418" s="31"/>
      <c r="CZ418" s="31"/>
      <c r="DA418" s="31"/>
      <c r="DB418" s="31"/>
      <c r="DC418" s="31"/>
      <c r="DD418" s="31"/>
      <c r="DE418" s="31"/>
      <c r="DF418" s="31"/>
      <c r="DG418" s="31"/>
      <c r="DH418" s="31"/>
      <c r="DI418" s="31"/>
      <c r="DJ418" s="31"/>
      <c r="DK418" s="31"/>
      <c r="DL418" s="31"/>
      <c r="DM418" s="31"/>
      <c r="DN418" s="31"/>
      <c r="DO418" s="31"/>
      <c r="DP418" s="31"/>
      <c r="DQ418" s="31"/>
      <c r="DR418" s="31"/>
      <c r="DS418" s="31"/>
      <c r="DT418" s="31"/>
      <c r="DU418" s="31"/>
      <c r="DV418" s="31"/>
      <c r="DW418" s="31"/>
      <c r="DX418" s="31"/>
      <c r="DY418" s="31"/>
      <c r="DZ418" s="31"/>
      <c r="EA418" s="31"/>
      <c r="EB418" s="31"/>
      <c r="EC418" s="31"/>
      <c r="ED418" s="31"/>
      <c r="EE418" s="31"/>
      <c r="EF418" s="31"/>
      <c r="EG418" s="31"/>
      <c r="EH418" s="31"/>
      <c r="EI418" s="31"/>
      <c r="EJ418" s="31"/>
      <c r="EK418" s="31"/>
      <c r="EL418" s="31"/>
      <c r="EM418" s="31"/>
      <c r="EN418" s="31"/>
      <c r="EO418" s="31"/>
      <c r="EP418" s="31"/>
      <c r="EQ418" s="31"/>
      <c r="ER418" s="31"/>
      <c r="ES418" s="31"/>
      <c r="ET418" s="31"/>
      <c r="EU418" s="31"/>
      <c r="EV418" s="31"/>
      <c r="EW418" s="31"/>
      <c r="EX418" s="31"/>
      <c r="EY418" s="31"/>
      <c r="EZ418" s="31"/>
      <c r="FA418" s="31"/>
      <c r="FB418" s="31"/>
      <c r="FC418" s="31"/>
      <c r="FD418" s="31"/>
      <c r="FE418" s="31"/>
      <c r="FF418" s="31"/>
      <c r="FG418" s="31"/>
      <c r="FH418" s="31"/>
      <c r="FI418" s="31"/>
      <c r="FJ418" s="31"/>
      <c r="FK418" s="31"/>
      <c r="FL418" s="31"/>
      <c r="FM418" s="31"/>
      <c r="FN418" s="31"/>
      <c r="FO418" s="31"/>
      <c r="FP418" s="31"/>
      <c r="FQ418" s="31"/>
      <c r="FR418" s="31"/>
      <c r="FS418" s="31"/>
      <c r="FT418" s="31"/>
      <c r="FU418" s="31"/>
      <c r="FV418" s="31"/>
      <c r="FW418" s="31"/>
      <c r="FX418" s="31"/>
      <c r="FY418" s="31"/>
      <c r="FZ418" s="31"/>
      <c r="GA418" s="31"/>
      <c r="GB418" s="31"/>
      <c r="GC418" s="31"/>
      <c r="GD418" s="31"/>
      <c r="GE418" s="31"/>
      <c r="GF418" s="31"/>
      <c r="GG418" s="31"/>
      <c r="GH418" s="31"/>
      <c r="GI418" s="31"/>
      <c r="GJ418" s="31"/>
      <c r="GK418" s="31"/>
      <c r="GL418" s="31"/>
      <c r="GM418" s="31"/>
      <c r="GN418" s="31"/>
      <c r="GO418" s="31"/>
      <c r="GP418" s="31"/>
      <c r="GQ418" s="31"/>
      <c r="GR418" s="31"/>
      <c r="GS418" s="31"/>
      <c r="GT418" s="31"/>
      <c r="GU418" s="31"/>
      <c r="GV418" s="31"/>
      <c r="GW418" s="31"/>
      <c r="GX418" s="31"/>
      <c r="GY418" s="31"/>
      <c r="GZ418" s="31"/>
      <c r="HA418" s="31"/>
      <c r="HB418" s="31"/>
      <c r="HC418" s="31"/>
      <c r="HD418" s="31"/>
      <c r="HE418" s="31"/>
      <c r="HF418" s="31"/>
      <c r="HG418" s="31"/>
      <c r="HH418" s="31"/>
      <c r="HI418" s="31"/>
      <c r="HJ418" s="31"/>
      <c r="HK418" s="31"/>
      <c r="HL418" s="31"/>
      <c r="HM418" s="31"/>
      <c r="HN418" s="31"/>
      <c r="HO418" s="31"/>
      <c r="HP418" s="31"/>
      <c r="HQ418" s="31"/>
      <c r="HR418" s="31"/>
      <c r="HS418" s="31"/>
      <c r="HT418" s="31"/>
      <c r="HU418" s="31"/>
      <c r="HV418" s="31"/>
      <c r="HW418" s="31"/>
      <c r="HX418" s="31"/>
      <c r="HY418" s="31"/>
      <c r="HZ418" s="31"/>
      <c r="IA418" s="31"/>
      <c r="IB418" s="31"/>
      <c r="IC418" s="31"/>
      <c r="ID418" s="31"/>
      <c r="IE418" s="31"/>
      <c r="IF418" s="31"/>
      <c r="IG418" s="31"/>
      <c r="IH418" s="31"/>
      <c r="II418" s="31"/>
      <c r="IJ418" s="31"/>
      <c r="IK418" s="31"/>
      <c r="IL418" s="31"/>
      <c r="IM418" s="31"/>
      <c r="IN418" s="31"/>
      <c r="IO418" s="31"/>
      <c r="IP418" s="31"/>
      <c r="IQ418" s="31"/>
      <c r="IR418" s="31"/>
      <c r="IS418" s="31"/>
      <c r="IT418" s="31"/>
      <c r="IU418" s="31"/>
      <c r="IV418" s="31"/>
      <c r="IW418" s="31"/>
      <c r="IX418" s="31"/>
      <c r="IY418" s="31"/>
      <c r="IZ418" s="31"/>
      <c r="JA418" s="31"/>
      <c r="JB418" s="31"/>
      <c r="JC418" s="31"/>
      <c r="JD418" s="31"/>
      <c r="JE418" s="31"/>
      <c r="JF418" s="31"/>
      <c r="JG418" s="31"/>
      <c r="JH418" s="31"/>
      <c r="JI418" s="31"/>
      <c r="JJ418" s="31"/>
      <c r="JK418" s="31"/>
      <c r="JL418" s="31"/>
      <c r="JM418" s="31"/>
      <c r="JN418" s="31"/>
      <c r="JO418" s="31"/>
      <c r="JP418" s="31"/>
      <c r="JQ418" s="31"/>
      <c r="JR418" s="31"/>
      <c r="JS418" s="31"/>
      <c r="JT418" s="31"/>
      <c r="JU418" s="31"/>
      <c r="JV418" s="31"/>
      <c r="JW418" s="31"/>
      <c r="JX418" s="31"/>
      <c r="JY418" s="31"/>
      <c r="JZ418" s="31"/>
      <c r="KA418" s="31"/>
      <c r="KB418" s="31"/>
      <c r="KC418" s="31"/>
      <c r="KD418" s="31"/>
      <c r="KE418" s="31"/>
      <c r="KF418" s="31"/>
      <c r="KG418" s="31"/>
      <c r="KH418" s="31"/>
      <c r="KI418" s="31"/>
      <c r="KJ418" s="31"/>
      <c r="KK418" s="31"/>
      <c r="KL418" s="31"/>
      <c r="KM418" s="31"/>
      <c r="KN418" s="31"/>
      <c r="KO418" s="31"/>
      <c r="KP418" s="31"/>
      <c r="KQ418" s="31"/>
      <c r="KR418" s="31"/>
      <c r="KS418" s="31"/>
      <c r="KT418" s="31"/>
      <c r="KU418" s="31"/>
      <c r="KV418" s="31"/>
      <c r="KW418" s="31"/>
      <c r="KX418" s="31"/>
      <c r="KY418" s="31"/>
      <c r="KZ418" s="31"/>
      <c r="LA418" s="31"/>
      <c r="LB418" s="31"/>
      <c r="LC418" s="31"/>
      <c r="LD418" s="31"/>
      <c r="LE418" s="31"/>
      <c r="LF418" s="31"/>
      <c r="LG418" s="31"/>
      <c r="LH418" s="31"/>
      <c r="LI418" s="31"/>
      <c r="LJ418" s="31"/>
      <c r="LK418" s="31"/>
      <c r="LL418" s="31"/>
      <c r="LM418" s="31"/>
      <c r="LN418" s="31"/>
      <c r="LO418" s="31"/>
      <c r="LP418" s="31"/>
      <c r="LQ418" s="31"/>
      <c r="LR418" s="31"/>
      <c r="LS418" s="31"/>
      <c r="LT418" s="31"/>
      <c r="LU418" s="31"/>
      <c r="LV418" s="31"/>
      <c r="LW418" s="31"/>
      <c r="LX418" s="31"/>
      <c r="LY418" s="31"/>
      <c r="LZ418" s="31"/>
      <c r="MA418" s="31"/>
      <c r="MB418" s="31"/>
      <c r="MC418" s="31"/>
      <c r="MD418" s="31"/>
      <c r="ME418" s="31"/>
      <c r="MF418" s="31"/>
      <c r="MG418" s="31"/>
      <c r="MH418" s="31"/>
      <c r="MI418" s="31"/>
      <c r="MJ418" s="31"/>
      <c r="MK418" s="31"/>
      <c r="ML418" s="31"/>
      <c r="MM418" s="31"/>
      <c r="MN418" s="31"/>
      <c r="MO418" s="31"/>
      <c r="MP418" s="31"/>
      <c r="MQ418" s="31"/>
      <c r="MR418" s="31"/>
      <c r="MS418" s="31"/>
      <c r="MT418" s="31"/>
      <c r="MU418" s="31"/>
      <c r="MV418" s="31"/>
      <c r="MW418" s="31"/>
      <c r="MX418" s="31"/>
      <c r="MY418" s="31"/>
      <c r="MZ418" s="31"/>
      <c r="NA418" s="31"/>
      <c r="NB418" s="31"/>
      <c r="NC418" s="31"/>
      <c r="ND418" s="31"/>
      <c r="NE418" s="31"/>
      <c r="NF418" s="31"/>
      <c r="NG418" s="31"/>
      <c r="NH418" s="31"/>
      <c r="NI418" s="31"/>
      <c r="NJ418" s="31"/>
      <c r="NK418" s="31"/>
      <c r="NL418" s="31"/>
      <c r="NM418" s="31"/>
      <c r="NN418" s="31"/>
      <c r="NO418" s="31"/>
      <c r="NP418" s="31"/>
      <c r="NQ418" s="31"/>
      <c r="NR418" s="31"/>
      <c r="NS418" s="31"/>
      <c r="NT418" s="31"/>
      <c r="NU418" s="31"/>
      <c r="NV418" s="31"/>
      <c r="NW418" s="31"/>
      <c r="NX418" s="31"/>
      <c r="NY418" s="31"/>
      <c r="NZ418" s="31"/>
      <c r="OA418" s="31"/>
      <c r="OB418" s="31"/>
      <c r="OC418" s="31"/>
      <c r="OD418" s="31"/>
      <c r="OE418" s="31"/>
      <c r="OF418" s="31"/>
      <c r="OG418" s="31"/>
      <c r="OH418" s="31"/>
      <c r="OI418" s="31"/>
      <c r="OJ418" s="31"/>
      <c r="OK418" s="31"/>
      <c r="OL418" s="31"/>
      <c r="OM418" s="31"/>
      <c r="ON418" s="31"/>
      <c r="OO418" s="31"/>
      <c r="OP418" s="31"/>
      <c r="OQ418" s="31"/>
      <c r="OR418" s="31"/>
      <c r="OS418" s="31"/>
      <c r="OT418" s="31"/>
      <c r="OU418" s="31"/>
      <c r="OV418" s="31"/>
      <c r="OW418" s="31"/>
      <c r="OX418" s="31"/>
      <c r="OY418" s="31"/>
      <c r="OZ418" s="31"/>
      <c r="PA418" s="31"/>
      <c r="PB418" s="31"/>
      <c r="PC418" s="31"/>
      <c r="PD418" s="31"/>
      <c r="PE418" s="31"/>
      <c r="PF418" s="31"/>
      <c r="PG418" s="31"/>
      <c r="PH418" s="31"/>
      <c r="PI418" s="31"/>
      <c r="PJ418" s="31"/>
      <c r="PK418" s="31"/>
      <c r="PL418" s="31"/>
      <c r="PM418" s="31"/>
      <c r="PN418" s="31"/>
      <c r="PO418" s="31"/>
      <c r="PP418" s="31"/>
      <c r="PQ418" s="31"/>
      <c r="PR418" s="31"/>
      <c r="PS418" s="31"/>
      <c r="PT418" s="31"/>
      <c r="PU418" s="31"/>
      <c r="PV418" s="31"/>
      <c r="PW418" s="31"/>
      <c r="PX418" s="31"/>
      <c r="PY418" s="31"/>
      <c r="PZ418" s="31"/>
      <c r="QA418" s="31"/>
      <c r="QB418" s="31"/>
      <c r="QC418" s="31"/>
      <c r="QD418" s="31"/>
      <c r="QE418" s="31"/>
      <c r="QF418" s="31"/>
      <c r="QG418" s="31"/>
      <c r="QH418" s="31"/>
      <c r="QI418" s="31"/>
      <c r="QJ418" s="31"/>
      <c r="QK418" s="31"/>
      <c r="QL418" s="31"/>
      <c r="QM418" s="31"/>
      <c r="QN418" s="31"/>
      <c r="QO418" s="31"/>
      <c r="QP418" s="31"/>
      <c r="QQ418" s="31"/>
      <c r="QR418" s="31"/>
      <c r="QS418" s="31"/>
      <c r="QT418" s="31"/>
      <c r="QU418" s="31"/>
      <c r="QV418" s="31"/>
      <c r="QW418" s="31"/>
      <c r="QX418" s="31"/>
      <c r="QY418" s="31"/>
      <c r="QZ418" s="31"/>
      <c r="RA418" s="31"/>
      <c r="RB418" s="31"/>
      <c r="RC418" s="31"/>
      <c r="RD418" s="31"/>
      <c r="RE418" s="31"/>
      <c r="RF418" s="31"/>
      <c r="RG418" s="31"/>
      <c r="RH418" s="31"/>
      <c r="RI418" s="31"/>
      <c r="RJ418" s="31"/>
      <c r="RK418" s="31"/>
      <c r="RL418" s="31"/>
      <c r="RM418" s="31"/>
      <c r="RN418" s="31"/>
      <c r="RO418" s="31"/>
      <c r="RP418" s="31"/>
      <c r="RQ418" s="31"/>
      <c r="RR418" s="31"/>
      <c r="RS418" s="31"/>
      <c r="RT418" s="31"/>
      <c r="RU418" s="31"/>
      <c r="RV418" s="31"/>
      <c r="RW418" s="31"/>
      <c r="RX418" s="31"/>
      <c r="RY418" s="31"/>
      <c r="RZ418" s="31"/>
      <c r="SA418" s="31"/>
      <c r="SB418" s="31"/>
      <c r="SC418" s="31"/>
      <c r="SD418" s="31"/>
      <c r="SE418" s="31"/>
      <c r="SF418" s="31"/>
      <c r="SG418" s="31"/>
      <c r="SH418" s="31"/>
      <c r="SI418" s="31"/>
      <c r="SJ418" s="31"/>
      <c r="SK418" s="31"/>
      <c r="SL418" s="31"/>
      <c r="SM418" s="31"/>
      <c r="SN418" s="31"/>
      <c r="SO418" s="31"/>
      <c r="SP418" s="31"/>
      <c r="SQ418" s="31"/>
      <c r="SR418" s="31"/>
      <c r="SS418" s="31"/>
      <c r="ST418" s="31"/>
      <c r="SU418" s="31"/>
      <c r="SV418" s="31"/>
      <c r="SW418" s="31"/>
      <c r="SX418" s="31"/>
      <c r="SY418" s="31"/>
      <c r="SZ418" s="31"/>
      <c r="TA418" s="31"/>
      <c r="TB418" s="31"/>
      <c r="TC418" s="31"/>
      <c r="TD418" s="31"/>
      <c r="TE418" s="31"/>
      <c r="TF418" s="31"/>
      <c r="TG418" s="31"/>
      <c r="TH418" s="31"/>
      <c r="TI418" s="31"/>
      <c r="TJ418" s="31"/>
      <c r="TK418" s="31"/>
      <c r="TL418" s="31"/>
      <c r="TM418" s="31"/>
      <c r="TN418" s="31"/>
      <c r="TO418" s="31"/>
      <c r="TP418" s="31"/>
      <c r="TQ418" s="31"/>
      <c r="TR418" s="31"/>
      <c r="TS418" s="31"/>
      <c r="TT418" s="31"/>
      <c r="TU418" s="31"/>
      <c r="TV418" s="31"/>
      <c r="TW418" s="31"/>
      <c r="TX418" s="31"/>
      <c r="TY418" s="31"/>
      <c r="TZ418" s="31"/>
      <c r="UA418" s="31"/>
      <c r="UB418" s="31"/>
      <c r="UC418" s="31"/>
      <c r="UD418" s="31"/>
      <c r="UE418" s="31"/>
      <c r="UF418" s="31"/>
      <c r="UG418" s="33"/>
    </row>
    <row r="419" spans="1:553" ht="30.75" customHeight="1">
      <c r="A419" s="356" t="s">
        <v>27</v>
      </c>
      <c r="B419" s="356"/>
      <c r="C419" s="1413" t="s">
        <v>28</v>
      </c>
      <c r="D419" s="1389"/>
      <c r="E419" s="1389"/>
      <c r="F419" s="1390"/>
      <c r="G419" s="366"/>
      <c r="H419" s="370"/>
      <c r="I419" s="359"/>
      <c r="J419" s="368"/>
      <c r="K419" s="371"/>
      <c r="L419" s="356">
        <f>SUM(L421:L477)</f>
        <v>552262664.66666675</v>
      </c>
      <c r="M419" s="356"/>
      <c r="N419" s="356"/>
      <c r="O419" s="356"/>
      <c r="P419" s="356">
        <f>L419</f>
        <v>552262664.66666675</v>
      </c>
      <c r="Q419" s="610"/>
      <c r="R419" s="1226"/>
      <c r="S419" s="302"/>
      <c r="T419" s="303"/>
      <c r="U419" s="304"/>
      <c r="V419" s="304"/>
      <c r="W419" s="304"/>
      <c r="X419" s="304"/>
      <c r="Y419" s="304"/>
      <c r="Z419" s="304"/>
      <c r="AA419" s="304"/>
      <c r="AB419" s="304"/>
      <c r="AC419" s="449"/>
      <c r="AD419" s="449"/>
      <c r="AE419" s="449"/>
      <c r="AF419" s="449"/>
      <c r="AG419" s="449"/>
      <c r="AH419" s="449"/>
      <c r="AI419" s="449"/>
      <c r="AJ419" s="449"/>
      <c r="AK419" s="452"/>
      <c r="AL419" s="104"/>
      <c r="AM419" s="32"/>
      <c r="AN419" s="32"/>
      <c r="AO419" s="32"/>
      <c r="AP419" s="32"/>
      <c r="AQ419" s="32"/>
      <c r="AR419" s="32"/>
      <c r="AS419" s="31"/>
      <c r="AT419" s="31"/>
      <c r="AU419" s="31"/>
      <c r="AV419" s="31"/>
      <c r="AW419" s="31"/>
      <c r="AX419" s="31"/>
      <c r="AY419" s="31"/>
      <c r="AZ419" s="31"/>
      <c r="BA419" s="31"/>
      <c r="BB419" s="31"/>
      <c r="BC419" s="31"/>
      <c r="BD419" s="31"/>
      <c r="BE419" s="31"/>
      <c r="BF419" s="31"/>
      <c r="BG419" s="31"/>
      <c r="BH419" s="31"/>
      <c r="BI419" s="31"/>
      <c r="BJ419" s="31"/>
      <c r="BK419" s="31"/>
      <c r="BL419" s="31"/>
      <c r="BM419" s="31"/>
      <c r="BN419" s="31"/>
      <c r="BO419" s="31"/>
      <c r="BP419" s="25"/>
      <c r="BQ419" s="25"/>
      <c r="BR419" s="25"/>
      <c r="BS419" s="25"/>
      <c r="BT419" s="25"/>
      <c r="BU419" s="25"/>
      <c r="BV419" s="25"/>
      <c r="BW419" s="25"/>
      <c r="BX419" s="25"/>
      <c r="BY419" s="25"/>
      <c r="BZ419" s="25"/>
      <c r="CA419" s="25"/>
      <c r="CB419" s="25"/>
      <c r="CC419" s="25"/>
      <c r="CD419" s="25"/>
      <c r="CE419" s="25"/>
      <c r="CF419" s="25"/>
      <c r="CG419" s="25"/>
      <c r="CH419" s="25"/>
      <c r="CI419" s="25"/>
      <c r="CJ419" s="25"/>
      <c r="CK419" s="25"/>
      <c r="CL419" s="25"/>
      <c r="CM419" s="25"/>
      <c r="CN419" s="25"/>
      <c r="CO419" s="25"/>
      <c r="CP419" s="25"/>
      <c r="CQ419" s="25"/>
      <c r="CR419" s="25"/>
      <c r="CS419" s="25"/>
      <c r="CT419" s="25"/>
      <c r="CU419" s="25"/>
      <c r="CV419" s="25"/>
      <c r="CW419" s="25"/>
      <c r="CX419" s="25"/>
      <c r="CY419" s="25"/>
      <c r="CZ419" s="25"/>
      <c r="DA419" s="25"/>
      <c r="DB419" s="25"/>
      <c r="DC419" s="25"/>
      <c r="DD419" s="25"/>
      <c r="DE419" s="25"/>
      <c r="DF419" s="25"/>
      <c r="DG419" s="25"/>
      <c r="DH419" s="25"/>
      <c r="DI419" s="25"/>
      <c r="DJ419" s="25"/>
      <c r="DK419" s="25"/>
      <c r="DL419" s="25"/>
      <c r="DM419" s="25"/>
      <c r="DN419" s="25"/>
      <c r="DO419" s="25"/>
      <c r="DP419" s="25"/>
      <c r="DQ419" s="25"/>
      <c r="DR419" s="25"/>
      <c r="DS419" s="25"/>
      <c r="DT419" s="25"/>
      <c r="DU419" s="25"/>
      <c r="DV419" s="25"/>
      <c r="DW419" s="25"/>
      <c r="DX419" s="25"/>
      <c r="DY419" s="25"/>
      <c r="DZ419" s="25"/>
      <c r="EA419" s="25"/>
      <c r="EB419" s="25"/>
      <c r="EC419" s="25"/>
      <c r="ED419" s="25"/>
      <c r="EE419" s="25"/>
      <c r="EF419" s="25"/>
      <c r="EG419" s="25"/>
      <c r="EH419" s="25"/>
      <c r="EI419" s="25"/>
      <c r="EJ419" s="25"/>
      <c r="EK419" s="25"/>
      <c r="EL419" s="25"/>
      <c r="EM419" s="25"/>
      <c r="EN419" s="25"/>
      <c r="EO419" s="25"/>
      <c r="EP419" s="25"/>
      <c r="EQ419" s="25"/>
      <c r="ER419" s="25"/>
      <c r="ES419" s="25"/>
      <c r="ET419" s="25"/>
      <c r="EU419" s="25"/>
      <c r="EV419" s="25"/>
      <c r="EW419" s="25"/>
      <c r="EX419" s="25"/>
      <c r="EY419" s="25"/>
      <c r="EZ419" s="25"/>
      <c r="FA419" s="25"/>
      <c r="FB419" s="25"/>
      <c r="FC419" s="25"/>
      <c r="FD419" s="25"/>
      <c r="FE419" s="25"/>
      <c r="FF419" s="25"/>
      <c r="FG419" s="25"/>
      <c r="FH419" s="25"/>
      <c r="FI419" s="25"/>
      <c r="FJ419" s="25"/>
      <c r="FK419" s="25"/>
      <c r="FL419" s="25"/>
      <c r="FM419" s="25"/>
      <c r="FN419" s="25"/>
      <c r="FO419" s="25"/>
      <c r="FP419" s="25"/>
      <c r="FQ419" s="25"/>
      <c r="FR419" s="25"/>
      <c r="FS419" s="25"/>
      <c r="FT419" s="25"/>
      <c r="FU419" s="25"/>
      <c r="FV419" s="25"/>
      <c r="FW419" s="25"/>
      <c r="FX419" s="25"/>
      <c r="FY419" s="25"/>
      <c r="FZ419" s="25"/>
      <c r="GA419" s="25"/>
      <c r="GB419" s="25"/>
      <c r="GC419" s="25"/>
      <c r="GD419" s="25"/>
      <c r="GE419" s="25"/>
      <c r="GF419" s="25"/>
      <c r="GG419" s="25"/>
      <c r="GH419" s="25"/>
      <c r="GI419" s="25"/>
      <c r="GJ419" s="25"/>
      <c r="GK419" s="25"/>
      <c r="GL419" s="25"/>
      <c r="GM419" s="25"/>
      <c r="GN419" s="25"/>
      <c r="GO419" s="25"/>
      <c r="GP419" s="25"/>
      <c r="GQ419" s="25"/>
      <c r="GR419" s="25"/>
      <c r="GS419" s="25"/>
      <c r="GT419" s="25"/>
      <c r="GU419" s="25"/>
      <c r="GV419" s="25"/>
      <c r="GW419" s="25"/>
      <c r="GX419" s="25"/>
      <c r="GY419" s="25"/>
      <c r="GZ419" s="25"/>
      <c r="HA419" s="25"/>
      <c r="HB419" s="25"/>
      <c r="HC419" s="25"/>
      <c r="HD419" s="25"/>
      <c r="HE419" s="25"/>
      <c r="HF419" s="25"/>
      <c r="HG419" s="25"/>
      <c r="HH419" s="25"/>
      <c r="HI419" s="25"/>
      <c r="HJ419" s="25"/>
      <c r="HK419" s="25"/>
      <c r="HL419" s="25"/>
      <c r="HM419" s="25"/>
      <c r="HN419" s="25"/>
      <c r="HO419" s="25"/>
      <c r="HP419" s="25"/>
      <c r="HQ419" s="25"/>
      <c r="HR419" s="25"/>
      <c r="HS419" s="25"/>
      <c r="HT419" s="25"/>
      <c r="HU419" s="25"/>
      <c r="HV419" s="25"/>
      <c r="HW419" s="25"/>
      <c r="HX419" s="25"/>
      <c r="HY419" s="25"/>
      <c r="HZ419" s="25"/>
      <c r="IA419" s="25"/>
      <c r="IB419" s="25"/>
      <c r="IC419" s="25"/>
      <c r="ID419" s="25"/>
      <c r="IE419" s="25"/>
      <c r="IF419" s="25"/>
      <c r="IG419" s="25"/>
      <c r="IH419" s="25"/>
      <c r="II419" s="25"/>
      <c r="IJ419" s="25"/>
      <c r="IK419" s="25"/>
      <c r="IL419" s="25"/>
      <c r="IM419" s="25"/>
      <c r="IN419" s="25"/>
      <c r="IO419" s="25"/>
      <c r="IP419" s="25"/>
      <c r="IQ419" s="25"/>
      <c r="IR419" s="25"/>
      <c r="IS419" s="25"/>
      <c r="IT419" s="25"/>
      <c r="IU419" s="25"/>
      <c r="IV419" s="25"/>
      <c r="IW419" s="25"/>
      <c r="IX419" s="25"/>
      <c r="IY419" s="25"/>
      <c r="IZ419" s="25"/>
      <c r="JA419" s="25"/>
      <c r="JB419" s="25"/>
      <c r="JC419" s="25"/>
      <c r="JD419" s="25"/>
      <c r="JE419" s="25"/>
      <c r="JF419" s="25"/>
      <c r="JG419" s="25"/>
      <c r="JH419" s="25"/>
      <c r="JI419" s="25"/>
      <c r="JJ419" s="25"/>
      <c r="JK419" s="25"/>
      <c r="JL419" s="25"/>
      <c r="JM419" s="25"/>
      <c r="JN419" s="25"/>
      <c r="JO419" s="25"/>
      <c r="JP419" s="25"/>
      <c r="JQ419" s="25"/>
      <c r="JR419" s="25"/>
      <c r="JS419" s="25"/>
      <c r="JT419" s="25"/>
      <c r="JU419" s="25"/>
      <c r="JV419" s="25"/>
      <c r="JW419" s="25"/>
      <c r="JX419" s="25"/>
      <c r="JY419" s="25"/>
      <c r="JZ419" s="25"/>
      <c r="KA419" s="25"/>
      <c r="KB419" s="25"/>
      <c r="KC419" s="25"/>
      <c r="KD419" s="25"/>
      <c r="KE419" s="25"/>
      <c r="KF419" s="25"/>
      <c r="KG419" s="25"/>
      <c r="KH419" s="25"/>
      <c r="KI419" s="25"/>
      <c r="KJ419" s="25"/>
      <c r="KK419" s="25"/>
      <c r="KL419" s="25"/>
      <c r="KM419" s="25"/>
      <c r="KN419" s="25"/>
      <c r="KO419" s="25"/>
      <c r="KP419" s="25"/>
      <c r="KQ419" s="25"/>
      <c r="KR419" s="25"/>
      <c r="KS419" s="25"/>
      <c r="KT419" s="25"/>
      <c r="KU419" s="25"/>
      <c r="KV419" s="25"/>
      <c r="KW419" s="25"/>
      <c r="KX419" s="25"/>
      <c r="KY419" s="25"/>
      <c r="KZ419" s="25"/>
      <c r="LA419" s="25"/>
      <c r="LB419" s="25"/>
      <c r="LC419" s="25"/>
      <c r="LD419" s="25"/>
      <c r="LE419" s="25"/>
      <c r="LF419" s="25"/>
      <c r="LG419" s="25"/>
      <c r="LH419" s="25"/>
      <c r="LI419" s="25"/>
      <c r="LJ419" s="25"/>
      <c r="LK419" s="25"/>
      <c r="LL419" s="25"/>
      <c r="LM419" s="25"/>
      <c r="LN419" s="25"/>
      <c r="LO419" s="25"/>
      <c r="LP419" s="25"/>
      <c r="LQ419" s="25"/>
      <c r="LR419" s="25"/>
      <c r="LS419" s="25"/>
      <c r="LT419" s="25"/>
      <c r="LU419" s="25"/>
      <c r="LV419" s="25"/>
      <c r="LW419" s="25"/>
      <c r="LX419" s="25"/>
      <c r="LY419" s="25"/>
      <c r="LZ419" s="25"/>
      <c r="MA419" s="25"/>
      <c r="MB419" s="25"/>
      <c r="MC419" s="25"/>
      <c r="MD419" s="25"/>
      <c r="ME419" s="25"/>
      <c r="MF419" s="25"/>
      <c r="MG419" s="25"/>
      <c r="MH419" s="25"/>
      <c r="MI419" s="25"/>
      <c r="MJ419" s="25"/>
      <c r="MK419" s="25"/>
      <c r="ML419" s="25"/>
      <c r="MM419" s="25"/>
      <c r="MN419" s="25"/>
      <c r="MO419" s="25"/>
      <c r="MP419" s="25"/>
      <c r="MQ419" s="25"/>
      <c r="MR419" s="25"/>
      <c r="MS419" s="25"/>
      <c r="MT419" s="25"/>
      <c r="MU419" s="25"/>
      <c r="MV419" s="25"/>
      <c r="MW419" s="25"/>
      <c r="MX419" s="25"/>
      <c r="MY419" s="25"/>
      <c r="MZ419" s="25"/>
      <c r="NA419" s="25"/>
      <c r="NB419" s="25"/>
      <c r="NC419" s="25"/>
      <c r="ND419" s="25"/>
      <c r="NE419" s="25"/>
      <c r="NF419" s="25"/>
      <c r="NG419" s="25"/>
      <c r="NH419" s="25"/>
      <c r="NI419" s="25"/>
      <c r="NJ419" s="25"/>
      <c r="NK419" s="25"/>
      <c r="NL419" s="25"/>
      <c r="NM419" s="25"/>
      <c r="NN419" s="25"/>
      <c r="NO419" s="25"/>
      <c r="NP419" s="25"/>
      <c r="NQ419" s="25"/>
      <c r="NR419" s="25"/>
      <c r="NS419" s="25"/>
      <c r="NT419" s="25"/>
      <c r="NU419" s="25"/>
      <c r="NV419" s="25"/>
      <c r="NW419" s="25"/>
      <c r="NX419" s="25"/>
      <c r="NY419" s="25"/>
      <c r="NZ419" s="25"/>
      <c r="OA419" s="25"/>
      <c r="OB419" s="25"/>
      <c r="OC419" s="25"/>
      <c r="OD419" s="25"/>
      <c r="OE419" s="25"/>
      <c r="OF419" s="25"/>
      <c r="OG419" s="25"/>
      <c r="OH419" s="25"/>
      <c r="OI419" s="25"/>
      <c r="OJ419" s="25"/>
      <c r="OK419" s="25"/>
      <c r="OL419" s="25"/>
      <c r="OM419" s="25"/>
      <c r="ON419" s="25"/>
      <c r="OO419" s="25"/>
      <c r="OP419" s="25"/>
      <c r="OQ419" s="25"/>
      <c r="OR419" s="25"/>
      <c r="OS419" s="25"/>
      <c r="OT419" s="25"/>
      <c r="OU419" s="25"/>
      <c r="OV419" s="25"/>
      <c r="OW419" s="25"/>
      <c r="OX419" s="25"/>
      <c r="OY419" s="25"/>
      <c r="OZ419" s="25"/>
      <c r="PA419" s="25"/>
      <c r="PB419" s="25"/>
      <c r="PC419" s="25"/>
      <c r="PD419" s="25"/>
      <c r="PE419" s="25"/>
      <c r="PF419" s="25"/>
      <c r="PG419" s="25"/>
      <c r="PH419" s="25"/>
      <c r="PI419" s="25"/>
      <c r="PJ419" s="25"/>
      <c r="PK419" s="25"/>
      <c r="PL419" s="25"/>
      <c r="PM419" s="25"/>
      <c r="PN419" s="25"/>
      <c r="PO419" s="25"/>
      <c r="PP419" s="25"/>
      <c r="PQ419" s="25"/>
      <c r="PR419" s="25"/>
      <c r="PS419" s="25"/>
      <c r="PT419" s="25"/>
      <c r="PU419" s="25"/>
      <c r="PV419" s="25"/>
      <c r="PW419" s="25"/>
      <c r="PX419" s="25"/>
      <c r="PY419" s="25"/>
      <c r="PZ419" s="25"/>
      <c r="QA419" s="25"/>
      <c r="QB419" s="25"/>
      <c r="QC419" s="25"/>
      <c r="QD419" s="25"/>
      <c r="QE419" s="25"/>
      <c r="QF419" s="25"/>
      <c r="QG419" s="25"/>
      <c r="QH419" s="25"/>
      <c r="QI419" s="25"/>
      <c r="QJ419" s="25"/>
      <c r="QK419" s="25"/>
      <c r="QL419" s="25"/>
      <c r="QM419" s="25"/>
      <c r="QN419" s="25"/>
      <c r="QO419" s="25"/>
      <c r="QP419" s="25"/>
      <c r="QQ419" s="25"/>
      <c r="QR419" s="25"/>
      <c r="QS419" s="25"/>
      <c r="QT419" s="25"/>
      <c r="QU419" s="25"/>
      <c r="QV419" s="25"/>
      <c r="QW419" s="25"/>
      <c r="QX419" s="25"/>
      <c r="QY419" s="25"/>
      <c r="QZ419" s="25"/>
      <c r="RA419" s="25"/>
      <c r="RB419" s="25"/>
      <c r="RC419" s="25"/>
      <c r="RD419" s="25"/>
      <c r="RE419" s="25"/>
      <c r="RF419" s="25"/>
      <c r="RG419" s="25"/>
      <c r="RH419" s="25"/>
      <c r="RI419" s="25"/>
      <c r="RJ419" s="25"/>
      <c r="RK419" s="25"/>
      <c r="RL419" s="25"/>
      <c r="RM419" s="25"/>
      <c r="RN419" s="25"/>
      <c r="RO419" s="25"/>
      <c r="RP419" s="25"/>
      <c r="RQ419" s="25"/>
      <c r="RR419" s="25"/>
      <c r="RS419" s="25"/>
      <c r="RT419" s="25"/>
      <c r="RU419" s="25"/>
      <c r="RV419" s="25"/>
      <c r="RW419" s="25"/>
      <c r="RX419" s="25"/>
      <c r="RY419" s="25"/>
      <c r="RZ419" s="25"/>
      <c r="SA419" s="25"/>
      <c r="SB419" s="25"/>
      <c r="SC419" s="25"/>
      <c r="SD419" s="25"/>
      <c r="SE419" s="25"/>
      <c r="SF419" s="25"/>
      <c r="SG419" s="25"/>
      <c r="SH419" s="25"/>
      <c r="SI419" s="25"/>
      <c r="SJ419" s="25"/>
      <c r="SK419" s="25"/>
      <c r="SL419" s="25"/>
      <c r="SM419" s="25"/>
      <c r="SN419" s="25"/>
      <c r="SO419" s="25"/>
      <c r="SP419" s="25"/>
      <c r="SQ419" s="25"/>
      <c r="SR419" s="25"/>
      <c r="SS419" s="25"/>
      <c r="ST419" s="25"/>
      <c r="SU419" s="25"/>
      <c r="SV419" s="25"/>
      <c r="SW419" s="25"/>
      <c r="SX419" s="25"/>
      <c r="SY419" s="25"/>
      <c r="SZ419" s="25"/>
      <c r="TA419" s="25"/>
      <c r="TB419" s="25"/>
      <c r="TC419" s="25"/>
      <c r="TD419" s="25"/>
      <c r="TE419" s="25"/>
      <c r="TF419" s="25"/>
      <c r="TG419" s="25"/>
      <c r="TH419" s="25"/>
      <c r="TI419" s="25"/>
      <c r="TJ419" s="25"/>
      <c r="TK419" s="25"/>
      <c r="TL419" s="25"/>
      <c r="TM419" s="25"/>
      <c r="TN419" s="25"/>
      <c r="TO419" s="25"/>
      <c r="TP419" s="25"/>
      <c r="TQ419" s="25"/>
      <c r="TR419" s="25"/>
      <c r="TS419" s="25"/>
      <c r="TT419" s="25"/>
      <c r="TU419" s="25"/>
      <c r="TV419" s="25"/>
      <c r="TW419" s="25"/>
      <c r="TX419" s="25"/>
      <c r="TY419" s="25"/>
      <c r="TZ419" s="25"/>
      <c r="UA419" s="25"/>
      <c r="UB419" s="25"/>
      <c r="UC419" s="25"/>
      <c r="UD419" s="25"/>
      <c r="UE419" s="25"/>
      <c r="UF419" s="25"/>
      <c r="UG419" s="26"/>
    </row>
    <row r="420" spans="1:553" ht="30.75" customHeight="1">
      <c r="A420" s="356"/>
      <c r="B420" s="356"/>
      <c r="C420" s="1401" t="s">
        <v>326</v>
      </c>
      <c r="D420" s="1455"/>
      <c r="E420" s="1455"/>
      <c r="F420" s="1456"/>
      <c r="G420" s="366"/>
      <c r="H420" s="370"/>
      <c r="I420" s="359"/>
      <c r="J420" s="368"/>
      <c r="K420" s="371"/>
      <c r="L420" s="356"/>
      <c r="M420" s="356"/>
      <c r="N420" s="356"/>
      <c r="O420" s="356"/>
      <c r="P420" s="356"/>
      <c r="Q420" s="610"/>
      <c r="R420" s="1226"/>
      <c r="S420" s="305"/>
      <c r="T420" s="303"/>
      <c r="U420" s="306"/>
      <c r="V420" s="307"/>
      <c r="W420" s="306"/>
      <c r="X420" s="306"/>
      <c r="Y420" s="306"/>
      <c r="Z420" s="306"/>
      <c r="AA420" s="306"/>
      <c r="AB420" s="306"/>
      <c r="AC420" s="449"/>
      <c r="AD420" s="449"/>
      <c r="AE420" s="449"/>
      <c r="AF420" s="449"/>
      <c r="AG420" s="449"/>
      <c r="AH420" s="449"/>
      <c r="AI420" s="449"/>
      <c r="AJ420" s="449"/>
      <c r="AK420" s="452"/>
      <c r="AL420" s="104"/>
      <c r="AM420" s="32"/>
      <c r="AN420" s="32"/>
      <c r="AO420" s="32"/>
      <c r="AP420" s="32"/>
      <c r="AQ420" s="32"/>
      <c r="AR420" s="32"/>
      <c r="AS420" s="31"/>
      <c r="AT420" s="31"/>
      <c r="AU420" s="31"/>
      <c r="AV420" s="31"/>
      <c r="AW420" s="31"/>
      <c r="AX420" s="31"/>
      <c r="AY420" s="31"/>
      <c r="AZ420" s="31"/>
      <c r="BA420" s="31"/>
      <c r="BB420" s="31"/>
      <c r="BC420" s="31"/>
      <c r="BD420" s="31"/>
      <c r="BE420" s="31"/>
      <c r="BF420" s="31"/>
      <c r="BG420" s="31"/>
      <c r="BH420" s="31"/>
      <c r="BI420" s="31"/>
      <c r="BJ420" s="31"/>
      <c r="BK420" s="31"/>
      <c r="BL420" s="31"/>
      <c r="BM420" s="31"/>
      <c r="BN420" s="31"/>
      <c r="BO420" s="31"/>
      <c r="BP420" s="25"/>
      <c r="BQ420" s="25"/>
      <c r="BR420" s="25"/>
      <c r="BS420" s="25"/>
      <c r="BT420" s="25"/>
      <c r="BU420" s="25"/>
      <c r="BV420" s="25"/>
      <c r="BW420" s="25"/>
      <c r="BX420" s="25"/>
      <c r="BY420" s="25"/>
      <c r="BZ420" s="25"/>
      <c r="CA420" s="25"/>
      <c r="CB420" s="25"/>
      <c r="CC420" s="25"/>
      <c r="CD420" s="25"/>
      <c r="CE420" s="25"/>
      <c r="CF420" s="25"/>
      <c r="CG420" s="25"/>
      <c r="CH420" s="25"/>
      <c r="CI420" s="25"/>
      <c r="CJ420" s="25"/>
      <c r="CK420" s="25"/>
      <c r="CL420" s="25"/>
      <c r="CM420" s="25"/>
      <c r="CN420" s="25"/>
      <c r="CO420" s="25"/>
      <c r="CP420" s="25"/>
      <c r="CQ420" s="25"/>
      <c r="CR420" s="25"/>
      <c r="CS420" s="25"/>
      <c r="CT420" s="25"/>
      <c r="CU420" s="25"/>
      <c r="CV420" s="25"/>
      <c r="CW420" s="25"/>
      <c r="CX420" s="25"/>
      <c r="CY420" s="25"/>
      <c r="CZ420" s="25"/>
      <c r="DA420" s="25"/>
      <c r="DB420" s="25"/>
      <c r="DC420" s="25"/>
      <c r="DD420" s="25"/>
      <c r="DE420" s="25"/>
      <c r="DF420" s="25"/>
      <c r="DG420" s="25"/>
      <c r="DH420" s="25"/>
      <c r="DI420" s="25"/>
      <c r="DJ420" s="25"/>
      <c r="DK420" s="25"/>
      <c r="DL420" s="25"/>
      <c r="DM420" s="25"/>
      <c r="DN420" s="25"/>
      <c r="DO420" s="25"/>
      <c r="DP420" s="25"/>
      <c r="DQ420" s="25"/>
      <c r="DR420" s="25"/>
      <c r="DS420" s="25"/>
      <c r="DT420" s="25"/>
      <c r="DU420" s="25"/>
      <c r="DV420" s="25"/>
      <c r="DW420" s="25"/>
      <c r="DX420" s="25"/>
      <c r="DY420" s="25"/>
      <c r="DZ420" s="25"/>
      <c r="EA420" s="25"/>
      <c r="EB420" s="25"/>
      <c r="EC420" s="25"/>
      <c r="ED420" s="25"/>
      <c r="EE420" s="25"/>
      <c r="EF420" s="25"/>
      <c r="EG420" s="25"/>
      <c r="EH420" s="25"/>
      <c r="EI420" s="25"/>
      <c r="EJ420" s="25"/>
      <c r="EK420" s="25"/>
      <c r="EL420" s="25"/>
      <c r="EM420" s="25"/>
      <c r="EN420" s="25"/>
      <c r="EO420" s="25"/>
      <c r="EP420" s="25"/>
      <c r="EQ420" s="25"/>
      <c r="ER420" s="25"/>
      <c r="ES420" s="25"/>
      <c r="ET420" s="25"/>
      <c r="EU420" s="25"/>
      <c r="EV420" s="25"/>
      <c r="EW420" s="25"/>
      <c r="EX420" s="25"/>
      <c r="EY420" s="25"/>
      <c r="EZ420" s="25"/>
      <c r="FA420" s="25"/>
      <c r="FB420" s="25"/>
      <c r="FC420" s="25"/>
      <c r="FD420" s="25"/>
      <c r="FE420" s="25"/>
      <c r="FF420" s="25"/>
      <c r="FG420" s="25"/>
      <c r="FH420" s="25"/>
      <c r="FI420" s="25"/>
      <c r="FJ420" s="25"/>
      <c r="FK420" s="25"/>
      <c r="FL420" s="25"/>
      <c r="FM420" s="25"/>
      <c r="FN420" s="25"/>
      <c r="FO420" s="25"/>
      <c r="FP420" s="25"/>
      <c r="FQ420" s="25"/>
      <c r="FR420" s="25"/>
      <c r="FS420" s="25"/>
      <c r="FT420" s="25"/>
      <c r="FU420" s="25"/>
      <c r="FV420" s="25"/>
      <c r="FW420" s="25"/>
      <c r="FX420" s="25"/>
      <c r="FY420" s="25"/>
      <c r="FZ420" s="25"/>
      <c r="GA420" s="25"/>
      <c r="GB420" s="25"/>
      <c r="GC420" s="25"/>
      <c r="GD420" s="25"/>
      <c r="GE420" s="25"/>
      <c r="GF420" s="25"/>
      <c r="GG420" s="25"/>
      <c r="GH420" s="25"/>
      <c r="GI420" s="25"/>
      <c r="GJ420" s="25"/>
      <c r="GK420" s="25"/>
      <c r="GL420" s="25"/>
      <c r="GM420" s="25"/>
      <c r="GN420" s="25"/>
      <c r="GO420" s="25"/>
      <c r="GP420" s="25"/>
      <c r="GQ420" s="25"/>
      <c r="GR420" s="25"/>
      <c r="GS420" s="25"/>
      <c r="GT420" s="25"/>
      <c r="GU420" s="25"/>
      <c r="GV420" s="25"/>
      <c r="GW420" s="25"/>
      <c r="GX420" s="25"/>
      <c r="GY420" s="25"/>
      <c r="GZ420" s="25"/>
      <c r="HA420" s="25"/>
      <c r="HB420" s="25"/>
      <c r="HC420" s="25"/>
      <c r="HD420" s="25"/>
      <c r="HE420" s="25"/>
      <c r="HF420" s="25"/>
      <c r="HG420" s="25"/>
      <c r="HH420" s="25"/>
      <c r="HI420" s="25"/>
      <c r="HJ420" s="25"/>
      <c r="HK420" s="25"/>
      <c r="HL420" s="25"/>
      <c r="HM420" s="25"/>
      <c r="HN420" s="25"/>
      <c r="HO420" s="25"/>
      <c r="HP420" s="25"/>
      <c r="HQ420" s="25"/>
      <c r="HR420" s="25"/>
      <c r="HS420" s="25"/>
      <c r="HT420" s="25"/>
      <c r="HU420" s="25"/>
      <c r="HV420" s="25"/>
      <c r="HW420" s="25"/>
      <c r="HX420" s="25"/>
      <c r="HY420" s="25"/>
      <c r="HZ420" s="25"/>
      <c r="IA420" s="25"/>
      <c r="IB420" s="25"/>
      <c r="IC420" s="25"/>
      <c r="ID420" s="25"/>
      <c r="IE420" s="25"/>
      <c r="IF420" s="25"/>
      <c r="IG420" s="25"/>
      <c r="IH420" s="25"/>
      <c r="II420" s="25"/>
      <c r="IJ420" s="25"/>
      <c r="IK420" s="25"/>
      <c r="IL420" s="25"/>
      <c r="IM420" s="25"/>
      <c r="IN420" s="25"/>
      <c r="IO420" s="25"/>
      <c r="IP420" s="25"/>
      <c r="IQ420" s="25"/>
      <c r="IR420" s="25"/>
      <c r="IS420" s="25"/>
      <c r="IT420" s="25"/>
      <c r="IU420" s="25"/>
      <c r="IV420" s="25"/>
      <c r="IW420" s="25"/>
      <c r="IX420" s="25"/>
      <c r="IY420" s="25"/>
      <c r="IZ420" s="25"/>
      <c r="JA420" s="25"/>
      <c r="JB420" s="25"/>
      <c r="JC420" s="25"/>
      <c r="JD420" s="25"/>
      <c r="JE420" s="25"/>
      <c r="JF420" s="25"/>
      <c r="JG420" s="25"/>
      <c r="JH420" s="25"/>
      <c r="JI420" s="25"/>
      <c r="JJ420" s="25"/>
      <c r="JK420" s="25"/>
      <c r="JL420" s="25"/>
      <c r="JM420" s="25"/>
      <c r="JN420" s="25"/>
      <c r="JO420" s="25"/>
      <c r="JP420" s="25"/>
      <c r="JQ420" s="25"/>
      <c r="JR420" s="25"/>
      <c r="JS420" s="25"/>
      <c r="JT420" s="25"/>
      <c r="JU420" s="25"/>
      <c r="JV420" s="25"/>
      <c r="JW420" s="25"/>
      <c r="JX420" s="25"/>
      <c r="JY420" s="25"/>
      <c r="JZ420" s="25"/>
      <c r="KA420" s="25"/>
      <c r="KB420" s="25"/>
      <c r="KC420" s="25"/>
      <c r="KD420" s="25"/>
      <c r="KE420" s="25"/>
      <c r="KF420" s="25"/>
      <c r="KG420" s="25"/>
      <c r="KH420" s="25"/>
      <c r="KI420" s="25"/>
      <c r="KJ420" s="25"/>
      <c r="KK420" s="25"/>
      <c r="KL420" s="25"/>
      <c r="KM420" s="25"/>
      <c r="KN420" s="25"/>
      <c r="KO420" s="25"/>
      <c r="KP420" s="25"/>
      <c r="KQ420" s="25"/>
      <c r="KR420" s="25"/>
      <c r="KS420" s="25"/>
      <c r="KT420" s="25"/>
      <c r="KU420" s="25"/>
      <c r="KV420" s="25"/>
      <c r="KW420" s="25"/>
      <c r="KX420" s="25"/>
      <c r="KY420" s="25"/>
      <c r="KZ420" s="25"/>
      <c r="LA420" s="25"/>
      <c r="LB420" s="25"/>
      <c r="LC420" s="25"/>
      <c r="LD420" s="25"/>
      <c r="LE420" s="25"/>
      <c r="LF420" s="25"/>
      <c r="LG420" s="25"/>
      <c r="LH420" s="25"/>
      <c r="LI420" s="25"/>
      <c r="LJ420" s="25"/>
      <c r="LK420" s="25"/>
      <c r="LL420" s="25"/>
      <c r="LM420" s="25"/>
      <c r="LN420" s="25"/>
      <c r="LO420" s="25"/>
      <c r="LP420" s="25"/>
      <c r="LQ420" s="25"/>
      <c r="LR420" s="25"/>
      <c r="LS420" s="25"/>
      <c r="LT420" s="25"/>
      <c r="LU420" s="25"/>
      <c r="LV420" s="25"/>
      <c r="LW420" s="25"/>
      <c r="LX420" s="25"/>
      <c r="LY420" s="25"/>
      <c r="LZ420" s="25"/>
      <c r="MA420" s="25"/>
      <c r="MB420" s="25"/>
      <c r="MC420" s="25"/>
      <c r="MD420" s="25"/>
      <c r="ME420" s="25"/>
      <c r="MF420" s="25"/>
      <c r="MG420" s="25"/>
      <c r="MH420" s="25"/>
      <c r="MI420" s="25"/>
      <c r="MJ420" s="25"/>
      <c r="MK420" s="25"/>
      <c r="ML420" s="25"/>
      <c r="MM420" s="25"/>
      <c r="MN420" s="25"/>
      <c r="MO420" s="25"/>
      <c r="MP420" s="25"/>
      <c r="MQ420" s="25"/>
      <c r="MR420" s="25"/>
      <c r="MS420" s="25"/>
      <c r="MT420" s="25"/>
      <c r="MU420" s="25"/>
      <c r="MV420" s="25"/>
      <c r="MW420" s="25"/>
      <c r="MX420" s="25"/>
      <c r="MY420" s="25"/>
      <c r="MZ420" s="25"/>
      <c r="NA420" s="25"/>
      <c r="NB420" s="25"/>
      <c r="NC420" s="25"/>
      <c r="ND420" s="25"/>
      <c r="NE420" s="25"/>
      <c r="NF420" s="25"/>
      <c r="NG420" s="25"/>
      <c r="NH420" s="25"/>
      <c r="NI420" s="25"/>
      <c r="NJ420" s="25"/>
      <c r="NK420" s="25"/>
      <c r="NL420" s="25"/>
      <c r="NM420" s="25"/>
      <c r="NN420" s="25"/>
      <c r="NO420" s="25"/>
      <c r="NP420" s="25"/>
      <c r="NQ420" s="25"/>
      <c r="NR420" s="25"/>
      <c r="NS420" s="25"/>
      <c r="NT420" s="25"/>
      <c r="NU420" s="25"/>
      <c r="NV420" s="25"/>
      <c r="NW420" s="25"/>
      <c r="NX420" s="25"/>
      <c r="NY420" s="25"/>
      <c r="NZ420" s="25"/>
      <c r="OA420" s="25"/>
      <c r="OB420" s="25"/>
      <c r="OC420" s="25"/>
      <c r="OD420" s="25"/>
      <c r="OE420" s="25"/>
      <c r="OF420" s="25"/>
      <c r="OG420" s="25"/>
      <c r="OH420" s="25"/>
      <c r="OI420" s="25"/>
      <c r="OJ420" s="25"/>
      <c r="OK420" s="25"/>
      <c r="OL420" s="25"/>
      <c r="OM420" s="25"/>
      <c r="ON420" s="25"/>
      <c r="OO420" s="25"/>
      <c r="OP420" s="25"/>
      <c r="OQ420" s="25"/>
      <c r="OR420" s="25"/>
      <c r="OS420" s="25"/>
      <c r="OT420" s="25"/>
      <c r="OU420" s="25"/>
      <c r="OV420" s="25"/>
      <c r="OW420" s="25"/>
      <c r="OX420" s="25"/>
      <c r="OY420" s="25"/>
      <c r="OZ420" s="25"/>
      <c r="PA420" s="25"/>
      <c r="PB420" s="25"/>
      <c r="PC420" s="25"/>
      <c r="PD420" s="25"/>
      <c r="PE420" s="25"/>
      <c r="PF420" s="25"/>
      <c r="PG420" s="25"/>
      <c r="PH420" s="25"/>
      <c r="PI420" s="25"/>
      <c r="PJ420" s="25"/>
      <c r="PK420" s="25"/>
      <c r="PL420" s="25"/>
      <c r="PM420" s="25"/>
      <c r="PN420" s="25"/>
      <c r="PO420" s="25"/>
      <c r="PP420" s="25"/>
      <c r="PQ420" s="25"/>
      <c r="PR420" s="25"/>
      <c r="PS420" s="25"/>
      <c r="PT420" s="25"/>
      <c r="PU420" s="25"/>
      <c r="PV420" s="25"/>
      <c r="PW420" s="25"/>
      <c r="PX420" s="25"/>
      <c r="PY420" s="25"/>
      <c r="PZ420" s="25"/>
      <c r="QA420" s="25"/>
      <c r="QB420" s="25"/>
      <c r="QC420" s="25"/>
      <c r="QD420" s="25"/>
      <c r="QE420" s="25"/>
      <c r="QF420" s="25"/>
      <c r="QG420" s="25"/>
      <c r="QH420" s="25"/>
      <c r="QI420" s="25"/>
      <c r="QJ420" s="25"/>
      <c r="QK420" s="25"/>
      <c r="QL420" s="25"/>
      <c r="QM420" s="25"/>
      <c r="QN420" s="25"/>
      <c r="QO420" s="25"/>
      <c r="QP420" s="25"/>
      <c r="QQ420" s="25"/>
      <c r="QR420" s="25"/>
      <c r="QS420" s="25"/>
      <c r="QT420" s="25"/>
      <c r="QU420" s="25"/>
      <c r="QV420" s="25"/>
      <c r="QW420" s="25"/>
      <c r="QX420" s="25"/>
      <c r="QY420" s="25"/>
      <c r="QZ420" s="25"/>
      <c r="RA420" s="25"/>
      <c r="RB420" s="25"/>
      <c r="RC420" s="25"/>
      <c r="RD420" s="25"/>
      <c r="RE420" s="25"/>
      <c r="RF420" s="25"/>
      <c r="RG420" s="25"/>
      <c r="RH420" s="25"/>
      <c r="RI420" s="25"/>
      <c r="RJ420" s="25"/>
      <c r="RK420" s="25"/>
      <c r="RL420" s="25"/>
      <c r="RM420" s="25"/>
      <c r="RN420" s="25"/>
      <c r="RO420" s="25"/>
      <c r="RP420" s="25"/>
      <c r="RQ420" s="25"/>
      <c r="RR420" s="25"/>
      <c r="RS420" s="25"/>
      <c r="RT420" s="25"/>
      <c r="RU420" s="25"/>
      <c r="RV420" s="25"/>
      <c r="RW420" s="25"/>
      <c r="RX420" s="25"/>
      <c r="RY420" s="25"/>
      <c r="RZ420" s="25"/>
      <c r="SA420" s="25"/>
      <c r="SB420" s="25"/>
      <c r="SC420" s="25"/>
      <c r="SD420" s="25"/>
      <c r="SE420" s="25"/>
      <c r="SF420" s="25"/>
      <c r="SG420" s="25"/>
      <c r="SH420" s="25"/>
      <c r="SI420" s="25"/>
      <c r="SJ420" s="25"/>
      <c r="SK420" s="25"/>
      <c r="SL420" s="25"/>
      <c r="SM420" s="25"/>
      <c r="SN420" s="25"/>
      <c r="SO420" s="25"/>
      <c r="SP420" s="25"/>
      <c r="SQ420" s="25"/>
      <c r="SR420" s="25"/>
      <c r="SS420" s="25"/>
      <c r="ST420" s="25"/>
      <c r="SU420" s="25"/>
      <c r="SV420" s="25"/>
      <c r="SW420" s="25"/>
      <c r="SX420" s="25"/>
      <c r="SY420" s="25"/>
      <c r="SZ420" s="25"/>
      <c r="TA420" s="25"/>
      <c r="TB420" s="25"/>
      <c r="TC420" s="25"/>
      <c r="TD420" s="25"/>
      <c r="TE420" s="25"/>
      <c r="TF420" s="25"/>
      <c r="TG420" s="25"/>
      <c r="TH420" s="25"/>
      <c r="TI420" s="25"/>
      <c r="TJ420" s="25"/>
      <c r="TK420" s="25"/>
      <c r="TL420" s="25"/>
      <c r="TM420" s="25"/>
      <c r="TN420" s="25"/>
      <c r="TO420" s="25"/>
      <c r="TP420" s="25"/>
      <c r="TQ420" s="25"/>
      <c r="TR420" s="25"/>
      <c r="TS420" s="25"/>
      <c r="TT420" s="25"/>
      <c r="TU420" s="25"/>
      <c r="TV420" s="25"/>
      <c r="TW420" s="25"/>
      <c r="TX420" s="25"/>
      <c r="TY420" s="25"/>
      <c r="TZ420" s="25"/>
      <c r="UA420" s="25"/>
      <c r="UB420" s="25"/>
      <c r="UC420" s="25"/>
      <c r="UD420" s="25"/>
      <c r="UE420" s="25"/>
      <c r="UF420" s="25"/>
      <c r="UG420" s="26"/>
    </row>
    <row r="421" spans="1:553" ht="80.5" customHeight="1">
      <c r="A421" s="356" t="s">
        <v>15</v>
      </c>
      <c r="B421" s="385" t="s">
        <v>29</v>
      </c>
      <c r="C421" s="1404" t="s">
        <v>1277</v>
      </c>
      <c r="D421" s="1389"/>
      <c r="E421" s="1389"/>
      <c r="F421" s="1390"/>
      <c r="G421" s="386" t="s">
        <v>935</v>
      </c>
      <c r="H421" s="370"/>
      <c r="I421" s="417">
        <f>12.2*13.1+8.7*2.9</f>
        <v>185.04999999999998</v>
      </c>
      <c r="J421" s="368">
        <v>2204600</v>
      </c>
      <c r="K421" s="371"/>
      <c r="L421" s="391">
        <f t="shared" ref="L421:L474" si="87">ROUND(PRODUCT(I421:K421),0)</f>
        <v>407961230</v>
      </c>
      <c r="M421" s="395"/>
      <c r="N421" s="395"/>
      <c r="O421" s="366"/>
      <c r="P421" s="396"/>
      <c r="Q421" s="473"/>
      <c r="R421" s="1039"/>
      <c r="S421" s="305"/>
      <c r="T421" s="303"/>
      <c r="U421" s="306"/>
      <c r="V421" s="307"/>
      <c r="W421" s="306"/>
      <c r="X421" s="306"/>
      <c r="Y421" s="306"/>
      <c r="Z421" s="306"/>
      <c r="AA421" s="306"/>
      <c r="AB421" s="306"/>
      <c r="AC421" s="449"/>
      <c r="AD421" s="449"/>
      <c r="AE421" s="449"/>
      <c r="AF421" s="449"/>
      <c r="AG421" s="452"/>
      <c r="AH421" s="452"/>
      <c r="AI421" s="452"/>
      <c r="AJ421" s="452"/>
      <c r="AK421" s="452"/>
      <c r="AL421" s="104"/>
      <c r="AM421" s="32"/>
      <c r="AN421" s="32"/>
      <c r="AO421" s="32"/>
      <c r="AP421" s="32"/>
      <c r="AQ421" s="31"/>
      <c r="AR421" s="31"/>
      <c r="AS421" s="31"/>
      <c r="AT421" s="31"/>
      <c r="AU421" s="31"/>
      <c r="AV421" s="31"/>
      <c r="AW421" s="31"/>
      <c r="AX421" s="31"/>
      <c r="AY421" s="31"/>
      <c r="AZ421" s="31"/>
      <c r="BA421" s="31"/>
      <c r="BB421" s="31"/>
      <c r="BC421" s="31"/>
      <c r="BD421" s="31"/>
      <c r="BE421" s="31"/>
      <c r="BF421" s="31"/>
      <c r="BG421" s="31"/>
      <c r="BH421" s="31"/>
      <c r="BI421" s="31"/>
      <c r="BJ421" s="31"/>
      <c r="BK421" s="31"/>
      <c r="BL421" s="31"/>
      <c r="BM421" s="25"/>
      <c r="BN421" s="25"/>
      <c r="BO421" s="25"/>
      <c r="BP421" s="25"/>
      <c r="BQ421" s="25"/>
      <c r="BR421" s="25"/>
      <c r="BS421" s="25"/>
      <c r="BT421" s="25"/>
      <c r="BU421" s="25"/>
      <c r="BV421" s="25"/>
      <c r="BW421" s="25"/>
      <c r="BX421" s="25"/>
      <c r="BY421" s="25"/>
      <c r="BZ421" s="25"/>
      <c r="CA421" s="25"/>
      <c r="CB421" s="25"/>
      <c r="CC421" s="25"/>
      <c r="CD421" s="25"/>
      <c r="CE421" s="25"/>
      <c r="CF421" s="25"/>
      <c r="CG421" s="25"/>
      <c r="CH421" s="25"/>
      <c r="CI421" s="25"/>
      <c r="CJ421" s="25"/>
      <c r="CK421" s="25"/>
      <c r="CL421" s="25"/>
      <c r="CM421" s="25"/>
      <c r="CN421" s="25"/>
      <c r="CO421" s="25"/>
      <c r="CP421" s="25"/>
      <c r="CQ421" s="25"/>
      <c r="CR421" s="25"/>
      <c r="CS421" s="25"/>
      <c r="CT421" s="25"/>
      <c r="CU421" s="25"/>
      <c r="CV421" s="25"/>
      <c r="CW421" s="25"/>
      <c r="CX421" s="25"/>
      <c r="CY421" s="25"/>
      <c r="CZ421" s="25"/>
      <c r="DA421" s="25"/>
      <c r="DB421" s="25"/>
      <c r="DC421" s="25"/>
      <c r="DD421" s="25"/>
      <c r="DE421" s="25"/>
      <c r="DF421" s="25"/>
      <c r="DG421" s="25"/>
      <c r="DH421" s="25"/>
      <c r="DI421" s="25"/>
      <c r="DJ421" s="25"/>
      <c r="DK421" s="25"/>
      <c r="DL421" s="25"/>
      <c r="DM421" s="25"/>
      <c r="DN421" s="25"/>
      <c r="DO421" s="25"/>
      <c r="DP421" s="25"/>
      <c r="DQ421" s="25"/>
      <c r="DR421" s="25"/>
      <c r="DS421" s="25"/>
      <c r="DT421" s="25"/>
      <c r="DU421" s="25"/>
      <c r="DV421" s="25"/>
      <c r="DW421" s="25"/>
      <c r="DX421" s="25"/>
      <c r="DY421" s="25"/>
      <c r="DZ421" s="25"/>
      <c r="EA421" s="25"/>
      <c r="EB421" s="25"/>
      <c r="EC421" s="25"/>
      <c r="ED421" s="25"/>
      <c r="EE421" s="25"/>
      <c r="EF421" s="25"/>
      <c r="EG421" s="25"/>
      <c r="EH421" s="25"/>
      <c r="EI421" s="25"/>
      <c r="EJ421" s="25"/>
      <c r="EK421" s="25"/>
      <c r="EL421" s="25"/>
      <c r="EM421" s="25"/>
      <c r="EN421" s="25"/>
      <c r="EO421" s="25"/>
      <c r="EP421" s="25"/>
      <c r="EQ421" s="25"/>
      <c r="ER421" s="25"/>
      <c r="ES421" s="25"/>
      <c r="ET421" s="25"/>
      <c r="EU421" s="25"/>
      <c r="EV421" s="25"/>
      <c r="EW421" s="25"/>
      <c r="EX421" s="25"/>
      <c r="EY421" s="25"/>
      <c r="EZ421" s="25"/>
      <c r="FA421" s="25"/>
      <c r="FB421" s="25"/>
      <c r="FC421" s="25"/>
      <c r="FD421" s="25"/>
      <c r="FE421" s="25"/>
      <c r="FF421" s="25"/>
      <c r="FG421" s="25"/>
      <c r="FH421" s="25"/>
      <c r="FI421" s="25"/>
      <c r="FJ421" s="25"/>
      <c r="FK421" s="25"/>
      <c r="FL421" s="25"/>
      <c r="FM421" s="25"/>
      <c r="FN421" s="25"/>
      <c r="FO421" s="25"/>
      <c r="FP421" s="25"/>
      <c r="FQ421" s="25"/>
      <c r="FR421" s="25"/>
      <c r="FS421" s="25"/>
      <c r="FT421" s="25"/>
      <c r="FU421" s="25"/>
      <c r="FV421" s="25"/>
      <c r="FW421" s="25"/>
      <c r="FX421" s="25"/>
      <c r="FY421" s="25"/>
      <c r="FZ421" s="25"/>
      <c r="GA421" s="25"/>
      <c r="GB421" s="25"/>
      <c r="GC421" s="25"/>
      <c r="GD421" s="25"/>
      <c r="GE421" s="25"/>
      <c r="GF421" s="25"/>
      <c r="GG421" s="25"/>
      <c r="GH421" s="25"/>
      <c r="GI421" s="25"/>
      <c r="GJ421" s="25"/>
      <c r="GK421" s="25"/>
      <c r="GL421" s="25"/>
      <c r="GM421" s="25"/>
      <c r="GN421" s="25"/>
      <c r="GO421" s="25"/>
      <c r="GP421" s="25"/>
      <c r="GQ421" s="25"/>
      <c r="GR421" s="25"/>
      <c r="GS421" s="25"/>
      <c r="GT421" s="25"/>
      <c r="GU421" s="25"/>
      <c r="GV421" s="25"/>
      <c r="GW421" s="25"/>
      <c r="GX421" s="25"/>
      <c r="GY421" s="25"/>
      <c r="GZ421" s="25"/>
      <c r="HA421" s="25"/>
      <c r="HB421" s="25"/>
      <c r="HC421" s="25"/>
      <c r="HD421" s="25"/>
      <c r="HE421" s="25"/>
      <c r="HF421" s="25"/>
      <c r="HG421" s="25"/>
      <c r="HH421" s="25"/>
      <c r="HI421" s="25"/>
      <c r="HJ421" s="25"/>
      <c r="HK421" s="25"/>
      <c r="HL421" s="25"/>
      <c r="HM421" s="25"/>
      <c r="HN421" s="25"/>
      <c r="HO421" s="25"/>
      <c r="HP421" s="25"/>
      <c r="HQ421" s="25"/>
      <c r="HR421" s="25"/>
      <c r="HS421" s="25"/>
      <c r="HT421" s="25"/>
      <c r="HU421" s="25"/>
      <c r="HV421" s="25"/>
      <c r="HW421" s="25"/>
      <c r="HX421" s="25"/>
      <c r="HY421" s="25"/>
      <c r="HZ421" s="25"/>
      <c r="IA421" s="25"/>
      <c r="IB421" s="25"/>
      <c r="IC421" s="25"/>
      <c r="ID421" s="25"/>
      <c r="IE421" s="25"/>
      <c r="IF421" s="25"/>
      <c r="IG421" s="25"/>
      <c r="IH421" s="25"/>
      <c r="II421" s="25"/>
      <c r="IJ421" s="25"/>
      <c r="IK421" s="25"/>
      <c r="IL421" s="25"/>
      <c r="IM421" s="25"/>
      <c r="IN421" s="25"/>
      <c r="IO421" s="25"/>
      <c r="IP421" s="25"/>
      <c r="IQ421" s="25"/>
      <c r="IR421" s="25"/>
      <c r="IS421" s="25"/>
      <c r="IT421" s="25"/>
      <c r="IU421" s="25"/>
      <c r="IV421" s="25"/>
      <c r="IW421" s="25"/>
      <c r="IX421" s="25"/>
      <c r="IY421" s="25"/>
      <c r="IZ421" s="25"/>
      <c r="JA421" s="25"/>
      <c r="JB421" s="25"/>
      <c r="JC421" s="25"/>
      <c r="JD421" s="25"/>
      <c r="JE421" s="25"/>
      <c r="JF421" s="25"/>
      <c r="JG421" s="25"/>
      <c r="JH421" s="25"/>
      <c r="JI421" s="25"/>
      <c r="JJ421" s="25"/>
      <c r="JK421" s="25"/>
      <c r="JL421" s="25"/>
      <c r="JM421" s="25"/>
      <c r="JN421" s="25"/>
      <c r="JO421" s="25"/>
      <c r="JP421" s="25"/>
      <c r="JQ421" s="25"/>
      <c r="JR421" s="25"/>
      <c r="JS421" s="25"/>
      <c r="JT421" s="25"/>
      <c r="JU421" s="25"/>
      <c r="JV421" s="25"/>
      <c r="JW421" s="25"/>
      <c r="JX421" s="25"/>
      <c r="JY421" s="25"/>
      <c r="JZ421" s="25"/>
      <c r="KA421" s="25"/>
      <c r="KB421" s="25"/>
      <c r="KC421" s="25"/>
      <c r="KD421" s="25"/>
      <c r="KE421" s="25"/>
      <c r="KF421" s="25"/>
      <c r="KG421" s="25"/>
      <c r="KH421" s="25"/>
      <c r="KI421" s="25"/>
      <c r="KJ421" s="25"/>
      <c r="KK421" s="25"/>
      <c r="KL421" s="25"/>
      <c r="KM421" s="25"/>
      <c r="KN421" s="25"/>
      <c r="KO421" s="25"/>
      <c r="KP421" s="25"/>
      <c r="KQ421" s="25"/>
      <c r="KR421" s="25"/>
      <c r="KS421" s="25"/>
      <c r="KT421" s="25"/>
      <c r="KU421" s="25"/>
      <c r="KV421" s="25"/>
      <c r="KW421" s="25"/>
      <c r="KX421" s="25"/>
      <c r="KY421" s="25"/>
      <c r="KZ421" s="25"/>
      <c r="LA421" s="25"/>
      <c r="LB421" s="25"/>
      <c r="LC421" s="25"/>
      <c r="LD421" s="25"/>
      <c r="LE421" s="25"/>
      <c r="LF421" s="25"/>
      <c r="LG421" s="25"/>
      <c r="LH421" s="25"/>
      <c r="LI421" s="25"/>
      <c r="LJ421" s="25"/>
      <c r="LK421" s="25"/>
      <c r="LL421" s="25"/>
      <c r="LM421" s="25"/>
      <c r="LN421" s="25"/>
      <c r="LO421" s="25"/>
      <c r="LP421" s="25"/>
      <c r="LQ421" s="25"/>
      <c r="LR421" s="25"/>
      <c r="LS421" s="25"/>
      <c r="LT421" s="25"/>
      <c r="LU421" s="25"/>
      <c r="LV421" s="25"/>
      <c r="LW421" s="25"/>
      <c r="LX421" s="25"/>
      <c r="LY421" s="25"/>
      <c r="LZ421" s="25"/>
      <c r="MA421" s="25"/>
      <c r="MB421" s="25"/>
      <c r="MC421" s="25"/>
      <c r="MD421" s="25"/>
      <c r="ME421" s="25"/>
      <c r="MF421" s="25"/>
      <c r="MG421" s="25"/>
      <c r="MH421" s="25"/>
      <c r="MI421" s="25"/>
      <c r="MJ421" s="25"/>
      <c r="MK421" s="25"/>
      <c r="ML421" s="25"/>
      <c r="MM421" s="25"/>
      <c r="MN421" s="25"/>
      <c r="MO421" s="25"/>
      <c r="MP421" s="25"/>
      <c r="MQ421" s="25"/>
      <c r="MR421" s="25"/>
      <c r="MS421" s="25"/>
      <c r="MT421" s="25"/>
      <c r="MU421" s="25"/>
      <c r="MV421" s="25"/>
      <c r="MW421" s="25"/>
      <c r="MX421" s="25"/>
      <c r="MY421" s="25"/>
      <c r="MZ421" s="25"/>
      <c r="NA421" s="25"/>
      <c r="NB421" s="25"/>
      <c r="NC421" s="25"/>
      <c r="ND421" s="25"/>
      <c r="NE421" s="25"/>
      <c r="NF421" s="25"/>
      <c r="NG421" s="25"/>
      <c r="NH421" s="25"/>
      <c r="NI421" s="25"/>
      <c r="NJ421" s="25"/>
      <c r="NK421" s="25"/>
      <c r="NL421" s="25"/>
      <c r="NM421" s="25"/>
      <c r="NN421" s="25"/>
      <c r="NO421" s="25"/>
      <c r="NP421" s="25"/>
      <c r="NQ421" s="25"/>
      <c r="NR421" s="25"/>
      <c r="NS421" s="25"/>
      <c r="NT421" s="25"/>
      <c r="NU421" s="25"/>
      <c r="NV421" s="25"/>
      <c r="NW421" s="25"/>
      <c r="NX421" s="25"/>
      <c r="NY421" s="25"/>
      <c r="NZ421" s="25"/>
      <c r="OA421" s="25"/>
      <c r="OB421" s="25"/>
      <c r="OC421" s="25"/>
      <c r="OD421" s="25"/>
      <c r="OE421" s="25"/>
      <c r="OF421" s="25"/>
      <c r="OG421" s="25"/>
      <c r="OH421" s="25"/>
      <c r="OI421" s="25"/>
      <c r="OJ421" s="25"/>
      <c r="OK421" s="25"/>
      <c r="OL421" s="25"/>
      <c r="OM421" s="25"/>
      <c r="ON421" s="25"/>
      <c r="OO421" s="25"/>
      <c r="OP421" s="25"/>
      <c r="OQ421" s="25"/>
      <c r="OR421" s="25"/>
      <c r="OS421" s="25"/>
      <c r="OT421" s="25"/>
      <c r="OU421" s="25"/>
      <c r="OV421" s="25"/>
      <c r="OW421" s="25"/>
      <c r="OX421" s="25"/>
      <c r="OY421" s="25"/>
      <c r="OZ421" s="25"/>
      <c r="PA421" s="25"/>
      <c r="PB421" s="25"/>
      <c r="PC421" s="25"/>
      <c r="PD421" s="25"/>
      <c r="PE421" s="25"/>
      <c r="PF421" s="25"/>
      <c r="PG421" s="25"/>
      <c r="PH421" s="25"/>
      <c r="PI421" s="25"/>
      <c r="PJ421" s="25"/>
      <c r="PK421" s="25"/>
      <c r="PL421" s="25"/>
      <c r="PM421" s="25"/>
      <c r="PN421" s="25"/>
      <c r="PO421" s="25"/>
      <c r="PP421" s="25"/>
      <c r="PQ421" s="25"/>
      <c r="PR421" s="25"/>
      <c r="PS421" s="25"/>
      <c r="PT421" s="25"/>
      <c r="PU421" s="25"/>
      <c r="PV421" s="25"/>
      <c r="PW421" s="25"/>
      <c r="PX421" s="25"/>
      <c r="PY421" s="25"/>
      <c r="PZ421" s="25"/>
      <c r="QA421" s="25"/>
      <c r="QB421" s="25"/>
      <c r="QC421" s="25"/>
      <c r="QD421" s="25"/>
      <c r="QE421" s="25"/>
      <c r="QF421" s="25"/>
      <c r="QG421" s="25"/>
      <c r="QH421" s="25"/>
      <c r="QI421" s="25"/>
      <c r="QJ421" s="25"/>
      <c r="QK421" s="25"/>
      <c r="QL421" s="25"/>
      <c r="QM421" s="25"/>
      <c r="QN421" s="25"/>
      <c r="QO421" s="25"/>
      <c r="QP421" s="25"/>
      <c r="QQ421" s="25"/>
      <c r="QR421" s="25"/>
      <c r="QS421" s="25"/>
      <c r="QT421" s="25"/>
      <c r="QU421" s="25"/>
      <c r="QV421" s="25"/>
      <c r="QW421" s="25"/>
      <c r="QX421" s="25"/>
      <c r="QY421" s="25"/>
      <c r="QZ421" s="25"/>
      <c r="RA421" s="25"/>
      <c r="RB421" s="25"/>
      <c r="RC421" s="25"/>
      <c r="RD421" s="25"/>
      <c r="RE421" s="25"/>
      <c r="RF421" s="25"/>
      <c r="RG421" s="25"/>
      <c r="RH421" s="25"/>
      <c r="RI421" s="25"/>
      <c r="RJ421" s="25"/>
      <c r="RK421" s="25"/>
      <c r="RL421" s="25"/>
      <c r="RM421" s="25"/>
      <c r="RN421" s="25"/>
      <c r="RO421" s="25"/>
      <c r="RP421" s="25"/>
      <c r="RQ421" s="25"/>
      <c r="RR421" s="25"/>
      <c r="RS421" s="25"/>
      <c r="RT421" s="25"/>
      <c r="RU421" s="25"/>
      <c r="RV421" s="25"/>
      <c r="RW421" s="25"/>
      <c r="RX421" s="25"/>
      <c r="RY421" s="25"/>
      <c r="RZ421" s="25"/>
      <c r="SA421" s="25"/>
      <c r="SB421" s="25"/>
      <c r="SC421" s="25"/>
      <c r="SD421" s="25"/>
      <c r="SE421" s="25"/>
      <c r="SF421" s="25"/>
      <c r="SG421" s="25"/>
      <c r="SH421" s="25"/>
      <c r="SI421" s="25"/>
      <c r="SJ421" s="25"/>
      <c r="SK421" s="25"/>
      <c r="SL421" s="25"/>
      <c r="SM421" s="25"/>
      <c r="SN421" s="25"/>
      <c r="SO421" s="25"/>
      <c r="SP421" s="25"/>
      <c r="SQ421" s="25"/>
      <c r="SR421" s="25"/>
      <c r="SS421" s="25"/>
      <c r="ST421" s="25"/>
      <c r="SU421" s="25"/>
      <c r="SV421" s="25"/>
      <c r="SW421" s="25"/>
      <c r="SX421" s="25"/>
      <c r="SY421" s="25"/>
      <c r="SZ421" s="25"/>
      <c r="TA421" s="25"/>
      <c r="TB421" s="25"/>
      <c r="TC421" s="25"/>
      <c r="TD421" s="25"/>
      <c r="TE421" s="25"/>
      <c r="TF421" s="25"/>
      <c r="TG421" s="25"/>
      <c r="TH421" s="25"/>
      <c r="TI421" s="25"/>
      <c r="TJ421" s="25"/>
      <c r="TK421" s="25"/>
      <c r="TL421" s="25"/>
      <c r="TM421" s="25"/>
      <c r="TN421" s="25"/>
      <c r="TO421" s="25"/>
      <c r="TP421" s="25"/>
      <c r="TQ421" s="25"/>
      <c r="TR421" s="25"/>
      <c r="TS421" s="25"/>
      <c r="TT421" s="25"/>
      <c r="TU421" s="25"/>
      <c r="TV421" s="25"/>
      <c r="TW421" s="25"/>
      <c r="TX421" s="25"/>
      <c r="TY421" s="25"/>
      <c r="TZ421" s="25"/>
      <c r="UA421" s="25"/>
      <c r="UB421" s="25"/>
      <c r="UC421" s="25"/>
      <c r="UD421" s="25"/>
      <c r="UE421" s="25"/>
      <c r="UF421" s="25"/>
      <c r="UG421" s="26"/>
    </row>
    <row r="422" spans="1:553" ht="30.75" customHeight="1">
      <c r="A422" s="356" t="s">
        <v>30</v>
      </c>
      <c r="B422" s="398" t="s">
        <v>634</v>
      </c>
      <c r="C422" s="1404" t="s">
        <v>911</v>
      </c>
      <c r="D422" s="1389"/>
      <c r="E422" s="1389"/>
      <c r="F422" s="1390"/>
      <c r="G422" s="386" t="s">
        <v>935</v>
      </c>
      <c r="H422" s="370"/>
      <c r="I422" s="834">
        <f>-12.2*13.1</f>
        <v>-159.82</v>
      </c>
      <c r="J422" s="368">
        <f>185700-137200</f>
        <v>48500</v>
      </c>
      <c r="K422" s="371"/>
      <c r="L422" s="391">
        <f t="shared" si="87"/>
        <v>-7751270</v>
      </c>
      <c r="M422" s="395"/>
      <c r="N422" s="395"/>
      <c r="O422" s="366"/>
      <c r="P422" s="396"/>
      <c r="Q422" s="473"/>
      <c r="R422" s="1039"/>
      <c r="S422" s="305"/>
      <c r="T422" s="303"/>
      <c r="U422" s="306"/>
      <c r="V422" s="307"/>
      <c r="W422" s="306"/>
      <c r="X422" s="306"/>
      <c r="Y422" s="306"/>
      <c r="Z422" s="306"/>
      <c r="AA422" s="306"/>
      <c r="AB422" s="306"/>
      <c r="AC422" s="449"/>
      <c r="AD422" s="449"/>
      <c r="AE422" s="449"/>
      <c r="AF422" s="449"/>
      <c r="AG422" s="452"/>
      <c r="AH422" s="452"/>
      <c r="AI422" s="452"/>
      <c r="AJ422" s="452"/>
      <c r="AK422" s="452"/>
      <c r="AL422" s="104"/>
      <c r="AM422" s="32"/>
      <c r="AN422" s="32"/>
      <c r="AO422" s="32"/>
      <c r="AP422" s="32"/>
      <c r="AQ422" s="31"/>
      <c r="AR422" s="31"/>
      <c r="AS422" s="31"/>
      <c r="AT422" s="31"/>
      <c r="AU422" s="31"/>
      <c r="AV422" s="31"/>
      <c r="AW422" s="31"/>
      <c r="AX422" s="31"/>
      <c r="AY422" s="31"/>
      <c r="AZ422" s="31"/>
      <c r="BA422" s="31"/>
      <c r="BB422" s="31"/>
      <c r="BC422" s="31"/>
      <c r="BD422" s="31"/>
      <c r="BE422" s="31"/>
      <c r="BF422" s="31"/>
      <c r="BG422" s="31"/>
      <c r="BH422" s="31"/>
      <c r="BI422" s="31"/>
      <c r="BJ422" s="31"/>
      <c r="BK422" s="31"/>
      <c r="BL422" s="31"/>
      <c r="BM422" s="25"/>
      <c r="BN422" s="25"/>
      <c r="BO422" s="25"/>
      <c r="BP422" s="25"/>
      <c r="BQ422" s="25"/>
      <c r="BR422" s="25"/>
      <c r="BS422" s="25"/>
      <c r="BT422" s="25"/>
      <c r="BU422" s="25"/>
      <c r="BV422" s="25"/>
      <c r="BW422" s="25"/>
      <c r="BX422" s="25"/>
      <c r="BY422" s="25"/>
      <c r="BZ422" s="25"/>
      <c r="CA422" s="25"/>
      <c r="CB422" s="25"/>
      <c r="CC422" s="25"/>
      <c r="CD422" s="25"/>
      <c r="CE422" s="25"/>
      <c r="CF422" s="25"/>
      <c r="CG422" s="25"/>
      <c r="CH422" s="25"/>
      <c r="CI422" s="25"/>
      <c r="CJ422" s="25"/>
      <c r="CK422" s="25"/>
      <c r="CL422" s="25"/>
      <c r="CM422" s="25"/>
      <c r="CN422" s="25"/>
      <c r="CO422" s="25"/>
      <c r="CP422" s="25"/>
      <c r="CQ422" s="25"/>
      <c r="CR422" s="25"/>
      <c r="CS422" s="25"/>
      <c r="CT422" s="25"/>
      <c r="CU422" s="25"/>
      <c r="CV422" s="25"/>
      <c r="CW422" s="25"/>
      <c r="CX422" s="25"/>
      <c r="CY422" s="25"/>
      <c r="CZ422" s="25"/>
      <c r="DA422" s="25"/>
      <c r="DB422" s="25"/>
      <c r="DC422" s="25"/>
      <c r="DD422" s="25"/>
      <c r="DE422" s="25"/>
      <c r="DF422" s="25"/>
      <c r="DG422" s="25"/>
      <c r="DH422" s="25"/>
      <c r="DI422" s="25"/>
      <c r="DJ422" s="25"/>
      <c r="DK422" s="25"/>
      <c r="DL422" s="25"/>
      <c r="DM422" s="25"/>
      <c r="DN422" s="25"/>
      <c r="DO422" s="25"/>
      <c r="DP422" s="25"/>
      <c r="DQ422" s="25"/>
      <c r="DR422" s="25"/>
      <c r="DS422" s="25"/>
      <c r="DT422" s="25"/>
      <c r="DU422" s="25"/>
      <c r="DV422" s="25"/>
      <c r="DW422" s="25"/>
      <c r="DX422" s="25"/>
      <c r="DY422" s="25"/>
      <c r="DZ422" s="25"/>
      <c r="EA422" s="25"/>
      <c r="EB422" s="25"/>
      <c r="EC422" s="25"/>
      <c r="ED422" s="25"/>
      <c r="EE422" s="25"/>
      <c r="EF422" s="25"/>
      <c r="EG422" s="25"/>
      <c r="EH422" s="25"/>
      <c r="EI422" s="25"/>
      <c r="EJ422" s="25"/>
      <c r="EK422" s="25"/>
      <c r="EL422" s="25"/>
      <c r="EM422" s="25"/>
      <c r="EN422" s="25"/>
      <c r="EO422" s="25"/>
      <c r="EP422" s="25"/>
      <c r="EQ422" s="25"/>
      <c r="ER422" s="25"/>
      <c r="ES422" s="25"/>
      <c r="ET422" s="25"/>
      <c r="EU422" s="25"/>
      <c r="EV422" s="25"/>
      <c r="EW422" s="25"/>
      <c r="EX422" s="25"/>
      <c r="EY422" s="25"/>
      <c r="EZ422" s="25"/>
      <c r="FA422" s="25"/>
      <c r="FB422" s="25"/>
      <c r="FC422" s="25"/>
      <c r="FD422" s="25"/>
      <c r="FE422" s="25"/>
      <c r="FF422" s="25"/>
      <c r="FG422" s="25"/>
      <c r="FH422" s="25"/>
      <c r="FI422" s="25"/>
      <c r="FJ422" s="25"/>
      <c r="FK422" s="25"/>
      <c r="FL422" s="25"/>
      <c r="FM422" s="25"/>
      <c r="FN422" s="25"/>
      <c r="FO422" s="25"/>
      <c r="FP422" s="25"/>
      <c r="FQ422" s="25"/>
      <c r="FR422" s="25"/>
      <c r="FS422" s="25"/>
      <c r="FT422" s="25"/>
      <c r="FU422" s="25"/>
      <c r="FV422" s="25"/>
      <c r="FW422" s="25"/>
      <c r="FX422" s="25"/>
      <c r="FY422" s="25"/>
      <c r="FZ422" s="25"/>
      <c r="GA422" s="25"/>
      <c r="GB422" s="25"/>
      <c r="GC422" s="25"/>
      <c r="GD422" s="25"/>
      <c r="GE422" s="25"/>
      <c r="GF422" s="25"/>
      <c r="GG422" s="25"/>
      <c r="GH422" s="25"/>
      <c r="GI422" s="25"/>
      <c r="GJ422" s="25"/>
      <c r="GK422" s="25"/>
      <c r="GL422" s="25"/>
      <c r="GM422" s="25"/>
      <c r="GN422" s="25"/>
      <c r="GO422" s="25"/>
      <c r="GP422" s="25"/>
      <c r="GQ422" s="25"/>
      <c r="GR422" s="25"/>
      <c r="GS422" s="25"/>
      <c r="GT422" s="25"/>
      <c r="GU422" s="25"/>
      <c r="GV422" s="25"/>
      <c r="GW422" s="25"/>
      <c r="GX422" s="25"/>
      <c r="GY422" s="25"/>
      <c r="GZ422" s="25"/>
      <c r="HA422" s="25"/>
      <c r="HB422" s="25"/>
      <c r="HC422" s="25"/>
      <c r="HD422" s="25"/>
      <c r="HE422" s="25"/>
      <c r="HF422" s="25"/>
      <c r="HG422" s="25"/>
      <c r="HH422" s="25"/>
      <c r="HI422" s="25"/>
      <c r="HJ422" s="25"/>
      <c r="HK422" s="25"/>
      <c r="HL422" s="25"/>
      <c r="HM422" s="25"/>
      <c r="HN422" s="25"/>
      <c r="HO422" s="25"/>
      <c r="HP422" s="25"/>
      <c r="HQ422" s="25"/>
      <c r="HR422" s="25"/>
      <c r="HS422" s="25"/>
      <c r="HT422" s="25"/>
      <c r="HU422" s="25"/>
      <c r="HV422" s="25"/>
      <c r="HW422" s="25"/>
      <c r="HX422" s="25"/>
      <c r="HY422" s="25"/>
      <c r="HZ422" s="25"/>
      <c r="IA422" s="25"/>
      <c r="IB422" s="25"/>
      <c r="IC422" s="25"/>
      <c r="ID422" s="25"/>
      <c r="IE422" s="25"/>
      <c r="IF422" s="25"/>
      <c r="IG422" s="25"/>
      <c r="IH422" s="25"/>
      <c r="II422" s="25"/>
      <c r="IJ422" s="25"/>
      <c r="IK422" s="25"/>
      <c r="IL422" s="25"/>
      <c r="IM422" s="25"/>
      <c r="IN422" s="25"/>
      <c r="IO422" s="25"/>
      <c r="IP422" s="25"/>
      <c r="IQ422" s="25"/>
      <c r="IR422" s="25"/>
      <c r="IS422" s="25"/>
      <c r="IT422" s="25"/>
      <c r="IU422" s="25"/>
      <c r="IV422" s="25"/>
      <c r="IW422" s="25"/>
      <c r="IX422" s="25"/>
      <c r="IY422" s="25"/>
      <c r="IZ422" s="25"/>
      <c r="JA422" s="25"/>
      <c r="JB422" s="25"/>
      <c r="JC422" s="25"/>
      <c r="JD422" s="25"/>
      <c r="JE422" s="25"/>
      <c r="JF422" s="25"/>
      <c r="JG422" s="25"/>
      <c r="JH422" s="25"/>
      <c r="JI422" s="25"/>
      <c r="JJ422" s="25"/>
      <c r="JK422" s="25"/>
      <c r="JL422" s="25"/>
      <c r="JM422" s="25"/>
      <c r="JN422" s="25"/>
      <c r="JO422" s="25"/>
      <c r="JP422" s="25"/>
      <c r="JQ422" s="25"/>
      <c r="JR422" s="25"/>
      <c r="JS422" s="25"/>
      <c r="JT422" s="25"/>
      <c r="JU422" s="25"/>
      <c r="JV422" s="25"/>
      <c r="JW422" s="25"/>
      <c r="JX422" s="25"/>
      <c r="JY422" s="25"/>
      <c r="JZ422" s="25"/>
      <c r="KA422" s="25"/>
      <c r="KB422" s="25"/>
      <c r="KC422" s="25"/>
      <c r="KD422" s="25"/>
      <c r="KE422" s="25"/>
      <c r="KF422" s="25"/>
      <c r="KG422" s="25"/>
      <c r="KH422" s="25"/>
      <c r="KI422" s="25"/>
      <c r="KJ422" s="25"/>
      <c r="KK422" s="25"/>
      <c r="KL422" s="25"/>
      <c r="KM422" s="25"/>
      <c r="KN422" s="25"/>
      <c r="KO422" s="25"/>
      <c r="KP422" s="25"/>
      <c r="KQ422" s="25"/>
      <c r="KR422" s="25"/>
      <c r="KS422" s="25"/>
      <c r="KT422" s="25"/>
      <c r="KU422" s="25"/>
      <c r="KV422" s="25"/>
      <c r="KW422" s="25"/>
      <c r="KX422" s="25"/>
      <c r="KY422" s="25"/>
      <c r="KZ422" s="25"/>
      <c r="LA422" s="25"/>
      <c r="LB422" s="25"/>
      <c r="LC422" s="25"/>
      <c r="LD422" s="25"/>
      <c r="LE422" s="25"/>
      <c r="LF422" s="25"/>
      <c r="LG422" s="25"/>
      <c r="LH422" s="25"/>
      <c r="LI422" s="25"/>
      <c r="LJ422" s="25"/>
      <c r="LK422" s="25"/>
      <c r="LL422" s="25"/>
      <c r="LM422" s="25"/>
      <c r="LN422" s="25"/>
      <c r="LO422" s="25"/>
      <c r="LP422" s="25"/>
      <c r="LQ422" s="25"/>
      <c r="LR422" s="25"/>
      <c r="LS422" s="25"/>
      <c r="LT422" s="25"/>
      <c r="LU422" s="25"/>
      <c r="LV422" s="25"/>
      <c r="LW422" s="25"/>
      <c r="LX422" s="25"/>
      <c r="LY422" s="25"/>
      <c r="LZ422" s="25"/>
      <c r="MA422" s="25"/>
      <c r="MB422" s="25"/>
      <c r="MC422" s="25"/>
      <c r="MD422" s="25"/>
      <c r="ME422" s="25"/>
      <c r="MF422" s="25"/>
      <c r="MG422" s="25"/>
      <c r="MH422" s="25"/>
      <c r="MI422" s="25"/>
      <c r="MJ422" s="25"/>
      <c r="MK422" s="25"/>
      <c r="ML422" s="25"/>
      <c r="MM422" s="25"/>
      <c r="MN422" s="25"/>
      <c r="MO422" s="25"/>
      <c r="MP422" s="25"/>
      <c r="MQ422" s="25"/>
      <c r="MR422" s="25"/>
      <c r="MS422" s="25"/>
      <c r="MT422" s="25"/>
      <c r="MU422" s="25"/>
      <c r="MV422" s="25"/>
      <c r="MW422" s="25"/>
      <c r="MX422" s="25"/>
      <c r="MY422" s="25"/>
      <c r="MZ422" s="25"/>
      <c r="NA422" s="25"/>
      <c r="NB422" s="25"/>
      <c r="NC422" s="25"/>
      <c r="ND422" s="25"/>
      <c r="NE422" s="25"/>
      <c r="NF422" s="25"/>
      <c r="NG422" s="25"/>
      <c r="NH422" s="25"/>
      <c r="NI422" s="25"/>
      <c r="NJ422" s="25"/>
      <c r="NK422" s="25"/>
      <c r="NL422" s="25"/>
      <c r="NM422" s="25"/>
      <c r="NN422" s="25"/>
      <c r="NO422" s="25"/>
      <c r="NP422" s="25"/>
      <c r="NQ422" s="25"/>
      <c r="NR422" s="25"/>
      <c r="NS422" s="25"/>
      <c r="NT422" s="25"/>
      <c r="NU422" s="25"/>
      <c r="NV422" s="25"/>
      <c r="NW422" s="25"/>
      <c r="NX422" s="25"/>
      <c r="NY422" s="25"/>
      <c r="NZ422" s="25"/>
      <c r="OA422" s="25"/>
      <c r="OB422" s="25"/>
      <c r="OC422" s="25"/>
      <c r="OD422" s="25"/>
      <c r="OE422" s="25"/>
      <c r="OF422" s="25"/>
      <c r="OG422" s="25"/>
      <c r="OH422" s="25"/>
      <c r="OI422" s="25"/>
      <c r="OJ422" s="25"/>
      <c r="OK422" s="25"/>
      <c r="OL422" s="25"/>
      <c r="OM422" s="25"/>
      <c r="ON422" s="25"/>
      <c r="OO422" s="25"/>
      <c r="OP422" s="25"/>
      <c r="OQ422" s="25"/>
      <c r="OR422" s="25"/>
      <c r="OS422" s="25"/>
      <c r="OT422" s="25"/>
      <c r="OU422" s="25"/>
      <c r="OV422" s="25"/>
      <c r="OW422" s="25"/>
      <c r="OX422" s="25"/>
      <c r="OY422" s="25"/>
      <c r="OZ422" s="25"/>
      <c r="PA422" s="25"/>
      <c r="PB422" s="25"/>
      <c r="PC422" s="25"/>
      <c r="PD422" s="25"/>
      <c r="PE422" s="25"/>
      <c r="PF422" s="25"/>
      <c r="PG422" s="25"/>
      <c r="PH422" s="25"/>
      <c r="PI422" s="25"/>
      <c r="PJ422" s="25"/>
      <c r="PK422" s="25"/>
      <c r="PL422" s="25"/>
      <c r="PM422" s="25"/>
      <c r="PN422" s="25"/>
      <c r="PO422" s="25"/>
      <c r="PP422" s="25"/>
      <c r="PQ422" s="25"/>
      <c r="PR422" s="25"/>
      <c r="PS422" s="25"/>
      <c r="PT422" s="25"/>
      <c r="PU422" s="25"/>
      <c r="PV422" s="25"/>
      <c r="PW422" s="25"/>
      <c r="PX422" s="25"/>
      <c r="PY422" s="25"/>
      <c r="PZ422" s="25"/>
      <c r="QA422" s="25"/>
      <c r="QB422" s="25"/>
      <c r="QC422" s="25"/>
      <c r="QD422" s="25"/>
      <c r="QE422" s="25"/>
      <c r="QF422" s="25"/>
      <c r="QG422" s="25"/>
      <c r="QH422" s="25"/>
      <c r="QI422" s="25"/>
      <c r="QJ422" s="25"/>
      <c r="QK422" s="25"/>
      <c r="QL422" s="25"/>
      <c r="QM422" s="25"/>
      <c r="QN422" s="25"/>
      <c r="QO422" s="25"/>
      <c r="QP422" s="25"/>
      <c r="QQ422" s="25"/>
      <c r="QR422" s="25"/>
      <c r="QS422" s="25"/>
      <c r="QT422" s="25"/>
      <c r="QU422" s="25"/>
      <c r="QV422" s="25"/>
      <c r="QW422" s="25"/>
      <c r="QX422" s="25"/>
      <c r="QY422" s="25"/>
      <c r="QZ422" s="25"/>
      <c r="RA422" s="25"/>
      <c r="RB422" s="25"/>
      <c r="RC422" s="25"/>
      <c r="RD422" s="25"/>
      <c r="RE422" s="25"/>
      <c r="RF422" s="25"/>
      <c r="RG422" s="25"/>
      <c r="RH422" s="25"/>
      <c r="RI422" s="25"/>
      <c r="RJ422" s="25"/>
      <c r="RK422" s="25"/>
      <c r="RL422" s="25"/>
      <c r="RM422" s="25"/>
      <c r="RN422" s="25"/>
      <c r="RO422" s="25"/>
      <c r="RP422" s="25"/>
      <c r="RQ422" s="25"/>
      <c r="RR422" s="25"/>
      <c r="RS422" s="25"/>
      <c r="RT422" s="25"/>
      <c r="RU422" s="25"/>
      <c r="RV422" s="25"/>
      <c r="RW422" s="25"/>
      <c r="RX422" s="25"/>
      <c r="RY422" s="25"/>
      <c r="RZ422" s="25"/>
      <c r="SA422" s="25"/>
      <c r="SB422" s="25"/>
      <c r="SC422" s="25"/>
      <c r="SD422" s="25"/>
      <c r="SE422" s="25"/>
      <c r="SF422" s="25"/>
      <c r="SG422" s="25"/>
      <c r="SH422" s="25"/>
      <c r="SI422" s="25"/>
      <c r="SJ422" s="25"/>
      <c r="SK422" s="25"/>
      <c r="SL422" s="25"/>
      <c r="SM422" s="25"/>
      <c r="SN422" s="25"/>
      <c r="SO422" s="25"/>
      <c r="SP422" s="25"/>
      <c r="SQ422" s="25"/>
      <c r="SR422" s="25"/>
      <c r="SS422" s="25"/>
      <c r="ST422" s="25"/>
      <c r="SU422" s="25"/>
      <c r="SV422" s="25"/>
      <c r="SW422" s="25"/>
      <c r="SX422" s="25"/>
      <c r="SY422" s="25"/>
      <c r="SZ422" s="25"/>
      <c r="TA422" s="25"/>
      <c r="TB422" s="25"/>
      <c r="TC422" s="25"/>
      <c r="TD422" s="25"/>
      <c r="TE422" s="25"/>
      <c r="TF422" s="25"/>
      <c r="TG422" s="25"/>
      <c r="TH422" s="25"/>
      <c r="TI422" s="25"/>
      <c r="TJ422" s="25"/>
      <c r="TK422" s="25"/>
      <c r="TL422" s="25"/>
      <c r="TM422" s="25"/>
      <c r="TN422" s="25"/>
      <c r="TO422" s="25"/>
      <c r="TP422" s="25"/>
      <c r="TQ422" s="25"/>
      <c r="TR422" s="25"/>
      <c r="TS422" s="25"/>
      <c r="TT422" s="25"/>
      <c r="TU422" s="25"/>
      <c r="TV422" s="25"/>
      <c r="TW422" s="25"/>
      <c r="TX422" s="25"/>
      <c r="TY422" s="25"/>
      <c r="TZ422" s="25"/>
      <c r="UA422" s="25"/>
      <c r="UB422" s="25"/>
      <c r="UC422" s="25"/>
      <c r="UD422" s="25"/>
      <c r="UE422" s="25"/>
      <c r="UF422" s="25"/>
      <c r="UG422" s="26"/>
    </row>
    <row r="423" spans="1:553" ht="30.75" customHeight="1">
      <c r="A423" s="356" t="s">
        <v>30</v>
      </c>
      <c r="B423" s="398" t="s">
        <v>31</v>
      </c>
      <c r="C423" s="1404" t="s">
        <v>912</v>
      </c>
      <c r="D423" s="1389"/>
      <c r="E423" s="1389"/>
      <c r="F423" s="1390"/>
      <c r="G423" s="386" t="s">
        <v>34</v>
      </c>
      <c r="H423" s="370"/>
      <c r="I423" s="834">
        <f>-36*2*0.22</f>
        <v>-15.84</v>
      </c>
      <c r="J423" s="368">
        <v>1748702</v>
      </c>
      <c r="K423" s="371"/>
      <c r="L423" s="391">
        <f t="shared" si="87"/>
        <v>-27699440</v>
      </c>
      <c r="M423" s="395"/>
      <c r="N423" s="395"/>
      <c r="O423" s="366"/>
      <c r="P423" s="396"/>
      <c r="Q423" s="473"/>
      <c r="R423" s="1039"/>
      <c r="S423" s="435"/>
      <c r="T423" s="436"/>
      <c r="U423" s="304"/>
      <c r="V423" s="393"/>
      <c r="W423" s="304"/>
      <c r="X423" s="304"/>
      <c r="Y423" s="304"/>
      <c r="Z423" s="304"/>
      <c r="AA423" s="304"/>
      <c r="AB423" s="304"/>
      <c r="AC423" s="449"/>
      <c r="AD423" s="449"/>
      <c r="AE423" s="449"/>
      <c r="AF423" s="449"/>
      <c r="AG423" s="452"/>
      <c r="AH423" s="452"/>
      <c r="AI423" s="452"/>
      <c r="AJ423" s="452"/>
      <c r="AK423" s="452"/>
      <c r="AL423" s="104"/>
      <c r="AM423" s="32"/>
      <c r="AN423" s="32"/>
      <c r="AO423" s="32"/>
      <c r="AP423" s="32"/>
      <c r="AQ423" s="31"/>
      <c r="AR423" s="31"/>
      <c r="AS423" s="31"/>
      <c r="AT423" s="31"/>
      <c r="AU423" s="31"/>
      <c r="AV423" s="31"/>
      <c r="AW423" s="31"/>
      <c r="AX423" s="31"/>
      <c r="AY423" s="31"/>
      <c r="AZ423" s="31"/>
      <c r="BA423" s="31"/>
      <c r="BB423" s="31"/>
      <c r="BC423" s="31"/>
      <c r="BD423" s="31"/>
      <c r="BE423" s="31"/>
      <c r="BF423" s="31"/>
      <c r="BG423" s="31"/>
      <c r="BH423" s="31"/>
      <c r="BI423" s="31"/>
      <c r="BJ423" s="31"/>
      <c r="BK423" s="31"/>
      <c r="BL423" s="31"/>
      <c r="BM423" s="25"/>
      <c r="BN423" s="25"/>
      <c r="BO423" s="25"/>
      <c r="BP423" s="25"/>
      <c r="BQ423" s="25"/>
      <c r="BR423" s="25"/>
      <c r="BS423" s="25"/>
      <c r="BT423" s="25"/>
      <c r="BU423" s="25"/>
      <c r="BV423" s="25"/>
      <c r="BW423" s="25"/>
      <c r="BX423" s="25"/>
      <c r="BY423" s="25"/>
      <c r="BZ423" s="25"/>
      <c r="CA423" s="25"/>
      <c r="CB423" s="25"/>
      <c r="CC423" s="25"/>
      <c r="CD423" s="25"/>
      <c r="CE423" s="25"/>
      <c r="CF423" s="25"/>
      <c r="CG423" s="25"/>
      <c r="CH423" s="25"/>
      <c r="CI423" s="25"/>
      <c r="CJ423" s="25"/>
      <c r="CK423" s="25"/>
      <c r="CL423" s="25"/>
      <c r="CM423" s="25"/>
      <c r="CN423" s="25"/>
      <c r="CO423" s="25"/>
      <c r="CP423" s="25"/>
      <c r="CQ423" s="25"/>
      <c r="CR423" s="25"/>
      <c r="CS423" s="25"/>
      <c r="CT423" s="25"/>
      <c r="CU423" s="25"/>
      <c r="CV423" s="25"/>
      <c r="CW423" s="25"/>
      <c r="CX423" s="25"/>
      <c r="CY423" s="25"/>
      <c r="CZ423" s="25"/>
      <c r="DA423" s="25"/>
      <c r="DB423" s="25"/>
      <c r="DC423" s="25"/>
      <c r="DD423" s="25"/>
      <c r="DE423" s="25"/>
      <c r="DF423" s="25"/>
      <c r="DG423" s="25"/>
      <c r="DH423" s="25"/>
      <c r="DI423" s="25"/>
      <c r="DJ423" s="25"/>
      <c r="DK423" s="25"/>
      <c r="DL423" s="25"/>
      <c r="DM423" s="25"/>
      <c r="DN423" s="25"/>
      <c r="DO423" s="25"/>
      <c r="DP423" s="25"/>
      <c r="DQ423" s="25"/>
      <c r="DR423" s="25"/>
      <c r="DS423" s="25"/>
      <c r="DT423" s="25"/>
      <c r="DU423" s="25"/>
      <c r="DV423" s="25"/>
      <c r="DW423" s="25"/>
      <c r="DX423" s="25"/>
      <c r="DY423" s="25"/>
      <c r="DZ423" s="25"/>
      <c r="EA423" s="25"/>
      <c r="EB423" s="25"/>
      <c r="EC423" s="25"/>
      <c r="ED423" s="25"/>
      <c r="EE423" s="25"/>
      <c r="EF423" s="25"/>
      <c r="EG423" s="25"/>
      <c r="EH423" s="25"/>
      <c r="EI423" s="25"/>
      <c r="EJ423" s="25"/>
      <c r="EK423" s="25"/>
      <c r="EL423" s="25"/>
      <c r="EM423" s="25"/>
      <c r="EN423" s="25"/>
      <c r="EO423" s="25"/>
      <c r="EP423" s="25"/>
      <c r="EQ423" s="25"/>
      <c r="ER423" s="25"/>
      <c r="ES423" s="25"/>
      <c r="ET423" s="25"/>
      <c r="EU423" s="25"/>
      <c r="EV423" s="25"/>
      <c r="EW423" s="25"/>
      <c r="EX423" s="25"/>
      <c r="EY423" s="25"/>
      <c r="EZ423" s="25"/>
      <c r="FA423" s="25"/>
      <c r="FB423" s="25"/>
      <c r="FC423" s="25"/>
      <c r="FD423" s="25"/>
      <c r="FE423" s="25"/>
      <c r="FF423" s="25"/>
      <c r="FG423" s="25"/>
      <c r="FH423" s="25"/>
      <c r="FI423" s="25"/>
      <c r="FJ423" s="25"/>
      <c r="FK423" s="25"/>
      <c r="FL423" s="25"/>
      <c r="FM423" s="25"/>
      <c r="FN423" s="25"/>
      <c r="FO423" s="25"/>
      <c r="FP423" s="25"/>
      <c r="FQ423" s="25"/>
      <c r="FR423" s="25"/>
      <c r="FS423" s="25"/>
      <c r="FT423" s="25"/>
      <c r="FU423" s="25"/>
      <c r="FV423" s="25"/>
      <c r="FW423" s="25"/>
      <c r="FX423" s="25"/>
      <c r="FY423" s="25"/>
      <c r="FZ423" s="25"/>
      <c r="GA423" s="25"/>
      <c r="GB423" s="25"/>
      <c r="GC423" s="25"/>
      <c r="GD423" s="25"/>
      <c r="GE423" s="25"/>
      <c r="GF423" s="25"/>
      <c r="GG423" s="25"/>
      <c r="GH423" s="25"/>
      <c r="GI423" s="25"/>
      <c r="GJ423" s="25"/>
      <c r="GK423" s="25"/>
      <c r="GL423" s="25"/>
      <c r="GM423" s="25"/>
      <c r="GN423" s="25"/>
      <c r="GO423" s="25"/>
      <c r="GP423" s="25"/>
      <c r="GQ423" s="25"/>
      <c r="GR423" s="25"/>
      <c r="GS423" s="25"/>
      <c r="GT423" s="25"/>
      <c r="GU423" s="25"/>
      <c r="GV423" s="25"/>
      <c r="GW423" s="25"/>
      <c r="GX423" s="25"/>
      <c r="GY423" s="25"/>
      <c r="GZ423" s="25"/>
      <c r="HA423" s="25"/>
      <c r="HB423" s="25"/>
      <c r="HC423" s="25"/>
      <c r="HD423" s="25"/>
      <c r="HE423" s="25"/>
      <c r="HF423" s="25"/>
      <c r="HG423" s="25"/>
      <c r="HH423" s="25"/>
      <c r="HI423" s="25"/>
      <c r="HJ423" s="25"/>
      <c r="HK423" s="25"/>
      <c r="HL423" s="25"/>
      <c r="HM423" s="25"/>
      <c r="HN423" s="25"/>
      <c r="HO423" s="25"/>
      <c r="HP423" s="25"/>
      <c r="HQ423" s="25"/>
      <c r="HR423" s="25"/>
      <c r="HS423" s="25"/>
      <c r="HT423" s="25"/>
      <c r="HU423" s="25"/>
      <c r="HV423" s="25"/>
      <c r="HW423" s="25"/>
      <c r="HX423" s="25"/>
      <c r="HY423" s="25"/>
      <c r="HZ423" s="25"/>
      <c r="IA423" s="25"/>
      <c r="IB423" s="25"/>
      <c r="IC423" s="25"/>
      <c r="ID423" s="25"/>
      <c r="IE423" s="25"/>
      <c r="IF423" s="25"/>
      <c r="IG423" s="25"/>
      <c r="IH423" s="25"/>
      <c r="II423" s="25"/>
      <c r="IJ423" s="25"/>
      <c r="IK423" s="25"/>
      <c r="IL423" s="25"/>
      <c r="IM423" s="25"/>
      <c r="IN423" s="25"/>
      <c r="IO423" s="25"/>
      <c r="IP423" s="25"/>
      <c r="IQ423" s="25"/>
      <c r="IR423" s="25"/>
      <c r="IS423" s="25"/>
      <c r="IT423" s="25"/>
      <c r="IU423" s="25"/>
      <c r="IV423" s="25"/>
      <c r="IW423" s="25"/>
      <c r="IX423" s="25"/>
      <c r="IY423" s="25"/>
      <c r="IZ423" s="25"/>
      <c r="JA423" s="25"/>
      <c r="JB423" s="25"/>
      <c r="JC423" s="25"/>
      <c r="JD423" s="25"/>
      <c r="JE423" s="25"/>
      <c r="JF423" s="25"/>
      <c r="JG423" s="25"/>
      <c r="JH423" s="25"/>
      <c r="JI423" s="25"/>
      <c r="JJ423" s="25"/>
      <c r="JK423" s="25"/>
      <c r="JL423" s="25"/>
      <c r="JM423" s="25"/>
      <c r="JN423" s="25"/>
      <c r="JO423" s="25"/>
      <c r="JP423" s="25"/>
      <c r="JQ423" s="25"/>
      <c r="JR423" s="25"/>
      <c r="JS423" s="25"/>
      <c r="JT423" s="25"/>
      <c r="JU423" s="25"/>
      <c r="JV423" s="25"/>
      <c r="JW423" s="25"/>
      <c r="JX423" s="25"/>
      <c r="JY423" s="25"/>
      <c r="JZ423" s="25"/>
      <c r="KA423" s="25"/>
      <c r="KB423" s="25"/>
      <c r="KC423" s="25"/>
      <c r="KD423" s="25"/>
      <c r="KE423" s="25"/>
      <c r="KF423" s="25"/>
      <c r="KG423" s="25"/>
      <c r="KH423" s="25"/>
      <c r="KI423" s="25"/>
      <c r="KJ423" s="25"/>
      <c r="KK423" s="25"/>
      <c r="KL423" s="25"/>
      <c r="KM423" s="25"/>
      <c r="KN423" s="25"/>
      <c r="KO423" s="25"/>
      <c r="KP423" s="25"/>
      <c r="KQ423" s="25"/>
      <c r="KR423" s="25"/>
      <c r="KS423" s="25"/>
      <c r="KT423" s="25"/>
      <c r="KU423" s="25"/>
      <c r="KV423" s="25"/>
      <c r="KW423" s="25"/>
      <c r="KX423" s="25"/>
      <c r="KY423" s="25"/>
      <c r="KZ423" s="25"/>
      <c r="LA423" s="25"/>
      <c r="LB423" s="25"/>
      <c r="LC423" s="25"/>
      <c r="LD423" s="25"/>
      <c r="LE423" s="25"/>
      <c r="LF423" s="25"/>
      <c r="LG423" s="25"/>
      <c r="LH423" s="25"/>
      <c r="LI423" s="25"/>
      <c r="LJ423" s="25"/>
      <c r="LK423" s="25"/>
      <c r="LL423" s="25"/>
      <c r="LM423" s="25"/>
      <c r="LN423" s="25"/>
      <c r="LO423" s="25"/>
      <c r="LP423" s="25"/>
      <c r="LQ423" s="25"/>
      <c r="LR423" s="25"/>
      <c r="LS423" s="25"/>
      <c r="LT423" s="25"/>
      <c r="LU423" s="25"/>
      <c r="LV423" s="25"/>
      <c r="LW423" s="25"/>
      <c r="LX423" s="25"/>
      <c r="LY423" s="25"/>
      <c r="LZ423" s="25"/>
      <c r="MA423" s="25"/>
      <c r="MB423" s="25"/>
      <c r="MC423" s="25"/>
      <c r="MD423" s="25"/>
      <c r="ME423" s="25"/>
      <c r="MF423" s="25"/>
      <c r="MG423" s="25"/>
      <c r="MH423" s="25"/>
      <c r="MI423" s="25"/>
      <c r="MJ423" s="25"/>
      <c r="MK423" s="25"/>
      <c r="ML423" s="25"/>
      <c r="MM423" s="25"/>
      <c r="MN423" s="25"/>
      <c r="MO423" s="25"/>
      <c r="MP423" s="25"/>
      <c r="MQ423" s="25"/>
      <c r="MR423" s="25"/>
      <c r="MS423" s="25"/>
      <c r="MT423" s="25"/>
      <c r="MU423" s="25"/>
      <c r="MV423" s="25"/>
      <c r="MW423" s="25"/>
      <c r="MX423" s="25"/>
      <c r="MY423" s="25"/>
      <c r="MZ423" s="25"/>
      <c r="NA423" s="25"/>
      <c r="NB423" s="25"/>
      <c r="NC423" s="25"/>
      <c r="ND423" s="25"/>
      <c r="NE423" s="25"/>
      <c r="NF423" s="25"/>
      <c r="NG423" s="25"/>
      <c r="NH423" s="25"/>
      <c r="NI423" s="25"/>
      <c r="NJ423" s="25"/>
      <c r="NK423" s="25"/>
      <c r="NL423" s="25"/>
      <c r="NM423" s="25"/>
      <c r="NN423" s="25"/>
      <c r="NO423" s="25"/>
      <c r="NP423" s="25"/>
      <c r="NQ423" s="25"/>
      <c r="NR423" s="25"/>
      <c r="NS423" s="25"/>
      <c r="NT423" s="25"/>
      <c r="NU423" s="25"/>
      <c r="NV423" s="25"/>
      <c r="NW423" s="25"/>
      <c r="NX423" s="25"/>
      <c r="NY423" s="25"/>
      <c r="NZ423" s="25"/>
      <c r="OA423" s="25"/>
      <c r="OB423" s="25"/>
      <c r="OC423" s="25"/>
      <c r="OD423" s="25"/>
      <c r="OE423" s="25"/>
      <c r="OF423" s="25"/>
      <c r="OG423" s="25"/>
      <c r="OH423" s="25"/>
      <c r="OI423" s="25"/>
      <c r="OJ423" s="25"/>
      <c r="OK423" s="25"/>
      <c r="OL423" s="25"/>
      <c r="OM423" s="25"/>
      <c r="ON423" s="25"/>
      <c r="OO423" s="25"/>
      <c r="OP423" s="25"/>
      <c r="OQ423" s="25"/>
      <c r="OR423" s="25"/>
      <c r="OS423" s="25"/>
      <c r="OT423" s="25"/>
      <c r="OU423" s="25"/>
      <c r="OV423" s="25"/>
      <c r="OW423" s="25"/>
      <c r="OX423" s="25"/>
      <c r="OY423" s="25"/>
      <c r="OZ423" s="25"/>
      <c r="PA423" s="25"/>
      <c r="PB423" s="25"/>
      <c r="PC423" s="25"/>
      <c r="PD423" s="25"/>
      <c r="PE423" s="25"/>
      <c r="PF423" s="25"/>
      <c r="PG423" s="25"/>
      <c r="PH423" s="25"/>
      <c r="PI423" s="25"/>
      <c r="PJ423" s="25"/>
      <c r="PK423" s="25"/>
      <c r="PL423" s="25"/>
      <c r="PM423" s="25"/>
      <c r="PN423" s="25"/>
      <c r="PO423" s="25"/>
      <c r="PP423" s="25"/>
      <c r="PQ423" s="25"/>
      <c r="PR423" s="25"/>
      <c r="PS423" s="25"/>
      <c r="PT423" s="25"/>
      <c r="PU423" s="25"/>
      <c r="PV423" s="25"/>
      <c r="PW423" s="25"/>
      <c r="PX423" s="25"/>
      <c r="PY423" s="25"/>
      <c r="PZ423" s="25"/>
      <c r="QA423" s="25"/>
      <c r="QB423" s="25"/>
      <c r="QC423" s="25"/>
      <c r="QD423" s="25"/>
      <c r="QE423" s="25"/>
      <c r="QF423" s="25"/>
      <c r="QG423" s="25"/>
      <c r="QH423" s="25"/>
      <c r="QI423" s="25"/>
      <c r="QJ423" s="25"/>
      <c r="QK423" s="25"/>
      <c r="QL423" s="25"/>
      <c r="QM423" s="25"/>
      <c r="QN423" s="25"/>
      <c r="QO423" s="25"/>
      <c r="QP423" s="25"/>
      <c r="QQ423" s="25"/>
      <c r="QR423" s="25"/>
      <c r="QS423" s="25"/>
      <c r="QT423" s="25"/>
      <c r="QU423" s="25"/>
      <c r="QV423" s="25"/>
      <c r="QW423" s="25"/>
      <c r="QX423" s="25"/>
      <c r="QY423" s="25"/>
      <c r="QZ423" s="25"/>
      <c r="RA423" s="25"/>
      <c r="RB423" s="25"/>
      <c r="RC423" s="25"/>
      <c r="RD423" s="25"/>
      <c r="RE423" s="25"/>
      <c r="RF423" s="25"/>
      <c r="RG423" s="25"/>
      <c r="RH423" s="25"/>
      <c r="RI423" s="25"/>
      <c r="RJ423" s="25"/>
      <c r="RK423" s="25"/>
      <c r="RL423" s="25"/>
      <c r="RM423" s="25"/>
      <c r="RN423" s="25"/>
      <c r="RO423" s="25"/>
      <c r="RP423" s="25"/>
      <c r="RQ423" s="25"/>
      <c r="RR423" s="25"/>
      <c r="RS423" s="25"/>
      <c r="RT423" s="25"/>
      <c r="RU423" s="25"/>
      <c r="RV423" s="25"/>
      <c r="RW423" s="25"/>
      <c r="RX423" s="25"/>
      <c r="RY423" s="25"/>
      <c r="RZ423" s="25"/>
      <c r="SA423" s="25"/>
      <c r="SB423" s="25"/>
      <c r="SC423" s="25"/>
      <c r="SD423" s="25"/>
      <c r="SE423" s="25"/>
      <c r="SF423" s="25"/>
      <c r="SG423" s="25"/>
      <c r="SH423" s="25"/>
      <c r="SI423" s="25"/>
      <c r="SJ423" s="25"/>
      <c r="SK423" s="25"/>
      <c r="SL423" s="25"/>
      <c r="SM423" s="25"/>
      <c r="SN423" s="25"/>
      <c r="SO423" s="25"/>
      <c r="SP423" s="25"/>
      <c r="SQ423" s="25"/>
      <c r="SR423" s="25"/>
      <c r="SS423" s="25"/>
      <c r="ST423" s="25"/>
      <c r="SU423" s="25"/>
      <c r="SV423" s="25"/>
      <c r="SW423" s="25"/>
      <c r="SX423" s="25"/>
      <c r="SY423" s="25"/>
      <c r="SZ423" s="25"/>
      <c r="TA423" s="25"/>
      <c r="TB423" s="25"/>
      <c r="TC423" s="25"/>
      <c r="TD423" s="25"/>
      <c r="TE423" s="25"/>
      <c r="TF423" s="25"/>
      <c r="TG423" s="25"/>
      <c r="TH423" s="25"/>
      <c r="TI423" s="25"/>
      <c r="TJ423" s="25"/>
      <c r="TK423" s="25"/>
      <c r="TL423" s="25"/>
      <c r="TM423" s="25"/>
      <c r="TN423" s="25"/>
      <c r="TO423" s="25"/>
      <c r="TP423" s="25"/>
      <c r="TQ423" s="25"/>
      <c r="TR423" s="25"/>
      <c r="TS423" s="25"/>
      <c r="TT423" s="25"/>
      <c r="TU423" s="25"/>
      <c r="TV423" s="25"/>
      <c r="TW423" s="25"/>
      <c r="TX423" s="25"/>
      <c r="TY423" s="25"/>
      <c r="TZ423" s="25"/>
      <c r="UA423" s="25"/>
      <c r="UB423" s="25"/>
      <c r="UC423" s="25"/>
      <c r="UD423" s="25"/>
      <c r="UE423" s="25"/>
      <c r="UF423" s="25"/>
      <c r="UG423" s="26"/>
    </row>
    <row r="424" spans="1:553" ht="30.75" customHeight="1">
      <c r="A424" s="356" t="s">
        <v>15</v>
      </c>
      <c r="B424" s="398" t="s">
        <v>31</v>
      </c>
      <c r="C424" s="1404" t="s">
        <v>1278</v>
      </c>
      <c r="D424" s="1389"/>
      <c r="E424" s="1389"/>
      <c r="F424" s="1390"/>
      <c r="G424" s="386" t="s">
        <v>113</v>
      </c>
      <c r="H424" s="370"/>
      <c r="I424" s="834">
        <f>36*2/1.8</f>
        <v>40</v>
      </c>
      <c r="J424" s="368">
        <v>815000</v>
      </c>
      <c r="K424" s="371"/>
      <c r="L424" s="391">
        <f t="shared" si="87"/>
        <v>32600000</v>
      </c>
      <c r="M424" s="395"/>
      <c r="N424" s="395"/>
      <c r="O424" s="366"/>
      <c r="P424" s="396"/>
      <c r="Q424" s="473"/>
      <c r="R424" s="1039"/>
      <c r="S424" s="308"/>
      <c r="T424" s="303"/>
      <c r="U424" s="306"/>
      <c r="V424" s="307"/>
      <c r="W424" s="307"/>
      <c r="X424" s="307"/>
      <c r="Y424" s="307"/>
      <c r="Z424" s="307"/>
      <c r="AA424" s="307"/>
      <c r="AB424" s="307"/>
      <c r="AC424" s="449"/>
      <c r="AD424" s="449"/>
      <c r="AE424" s="449"/>
      <c r="AF424" s="449"/>
      <c r="AG424" s="452"/>
      <c r="AH424" s="452"/>
      <c r="AI424" s="452"/>
      <c r="AJ424" s="452"/>
      <c r="AK424" s="452"/>
      <c r="AL424" s="104"/>
      <c r="AM424" s="32"/>
      <c r="AN424" s="32"/>
      <c r="AO424" s="32"/>
      <c r="AP424" s="32"/>
      <c r="AQ424" s="31"/>
      <c r="AR424" s="31"/>
      <c r="AS424" s="31"/>
      <c r="AT424" s="31"/>
      <c r="AU424" s="31"/>
      <c r="AV424" s="31"/>
      <c r="AW424" s="31"/>
      <c r="AX424" s="31"/>
      <c r="AY424" s="31"/>
      <c r="AZ424" s="31"/>
      <c r="BA424" s="31"/>
      <c r="BB424" s="31"/>
      <c r="BC424" s="31"/>
      <c r="BD424" s="31"/>
      <c r="BE424" s="31"/>
      <c r="BF424" s="31"/>
      <c r="BG424" s="31"/>
      <c r="BH424" s="31"/>
      <c r="BI424" s="31"/>
      <c r="BJ424" s="31"/>
      <c r="BK424" s="31"/>
      <c r="BL424" s="31"/>
      <c r="BM424" s="25"/>
      <c r="BN424" s="25"/>
      <c r="BO424" s="25"/>
      <c r="BP424" s="25"/>
      <c r="BQ424" s="25"/>
      <c r="BR424" s="25"/>
      <c r="BS424" s="25"/>
      <c r="BT424" s="25"/>
      <c r="BU424" s="25"/>
      <c r="BV424" s="25"/>
      <c r="BW424" s="25"/>
      <c r="BX424" s="25"/>
      <c r="BY424" s="25"/>
      <c r="BZ424" s="25"/>
      <c r="CA424" s="25"/>
      <c r="CB424" s="25"/>
      <c r="CC424" s="25"/>
      <c r="CD424" s="25"/>
      <c r="CE424" s="25"/>
      <c r="CF424" s="25"/>
      <c r="CG424" s="25"/>
      <c r="CH424" s="25"/>
      <c r="CI424" s="25"/>
      <c r="CJ424" s="25"/>
      <c r="CK424" s="25"/>
      <c r="CL424" s="25"/>
      <c r="CM424" s="25"/>
      <c r="CN424" s="25"/>
      <c r="CO424" s="25"/>
      <c r="CP424" s="25"/>
      <c r="CQ424" s="25"/>
      <c r="CR424" s="25"/>
      <c r="CS424" s="25"/>
      <c r="CT424" s="25"/>
      <c r="CU424" s="25"/>
      <c r="CV424" s="25"/>
      <c r="CW424" s="25"/>
      <c r="CX424" s="25"/>
      <c r="CY424" s="25"/>
      <c r="CZ424" s="25"/>
      <c r="DA424" s="25"/>
      <c r="DB424" s="25"/>
      <c r="DC424" s="25"/>
      <c r="DD424" s="25"/>
      <c r="DE424" s="25"/>
      <c r="DF424" s="25"/>
      <c r="DG424" s="25"/>
      <c r="DH424" s="25"/>
      <c r="DI424" s="25"/>
      <c r="DJ424" s="25"/>
      <c r="DK424" s="25"/>
      <c r="DL424" s="25"/>
      <c r="DM424" s="25"/>
      <c r="DN424" s="25"/>
      <c r="DO424" s="25"/>
      <c r="DP424" s="25"/>
      <c r="DQ424" s="25"/>
      <c r="DR424" s="25"/>
      <c r="DS424" s="25"/>
      <c r="DT424" s="25"/>
      <c r="DU424" s="25"/>
      <c r="DV424" s="25"/>
      <c r="DW424" s="25"/>
      <c r="DX424" s="25"/>
      <c r="DY424" s="25"/>
      <c r="DZ424" s="25"/>
      <c r="EA424" s="25"/>
      <c r="EB424" s="25"/>
      <c r="EC424" s="25"/>
      <c r="ED424" s="25"/>
      <c r="EE424" s="25"/>
      <c r="EF424" s="25"/>
      <c r="EG424" s="25"/>
      <c r="EH424" s="25"/>
      <c r="EI424" s="25"/>
      <c r="EJ424" s="25"/>
      <c r="EK424" s="25"/>
      <c r="EL424" s="25"/>
      <c r="EM424" s="25"/>
      <c r="EN424" s="25"/>
      <c r="EO424" s="25"/>
      <c r="EP424" s="25"/>
      <c r="EQ424" s="25"/>
      <c r="ER424" s="25"/>
      <c r="ES424" s="25"/>
      <c r="ET424" s="25"/>
      <c r="EU424" s="25"/>
      <c r="EV424" s="25"/>
      <c r="EW424" s="25"/>
      <c r="EX424" s="25"/>
      <c r="EY424" s="25"/>
      <c r="EZ424" s="25"/>
      <c r="FA424" s="25"/>
      <c r="FB424" s="25"/>
      <c r="FC424" s="25"/>
      <c r="FD424" s="25"/>
      <c r="FE424" s="25"/>
      <c r="FF424" s="25"/>
      <c r="FG424" s="25"/>
      <c r="FH424" s="25"/>
      <c r="FI424" s="25"/>
      <c r="FJ424" s="25"/>
      <c r="FK424" s="25"/>
      <c r="FL424" s="25"/>
      <c r="FM424" s="25"/>
      <c r="FN424" s="25"/>
      <c r="FO424" s="25"/>
      <c r="FP424" s="25"/>
      <c r="FQ424" s="25"/>
      <c r="FR424" s="25"/>
      <c r="FS424" s="25"/>
      <c r="FT424" s="25"/>
      <c r="FU424" s="25"/>
      <c r="FV424" s="25"/>
      <c r="FW424" s="25"/>
      <c r="FX424" s="25"/>
      <c r="FY424" s="25"/>
      <c r="FZ424" s="25"/>
      <c r="GA424" s="25"/>
      <c r="GB424" s="25"/>
      <c r="GC424" s="25"/>
      <c r="GD424" s="25"/>
      <c r="GE424" s="25"/>
      <c r="GF424" s="25"/>
      <c r="GG424" s="25"/>
      <c r="GH424" s="25"/>
      <c r="GI424" s="25"/>
      <c r="GJ424" s="25"/>
      <c r="GK424" s="25"/>
      <c r="GL424" s="25"/>
      <c r="GM424" s="25"/>
      <c r="GN424" s="25"/>
      <c r="GO424" s="25"/>
      <c r="GP424" s="25"/>
      <c r="GQ424" s="25"/>
      <c r="GR424" s="25"/>
      <c r="GS424" s="25"/>
      <c r="GT424" s="25"/>
      <c r="GU424" s="25"/>
      <c r="GV424" s="25"/>
      <c r="GW424" s="25"/>
      <c r="GX424" s="25"/>
      <c r="GY424" s="25"/>
      <c r="GZ424" s="25"/>
      <c r="HA424" s="25"/>
      <c r="HB424" s="25"/>
      <c r="HC424" s="25"/>
      <c r="HD424" s="25"/>
      <c r="HE424" s="25"/>
      <c r="HF424" s="25"/>
      <c r="HG424" s="25"/>
      <c r="HH424" s="25"/>
      <c r="HI424" s="25"/>
      <c r="HJ424" s="25"/>
      <c r="HK424" s="25"/>
      <c r="HL424" s="25"/>
      <c r="HM424" s="25"/>
      <c r="HN424" s="25"/>
      <c r="HO424" s="25"/>
      <c r="HP424" s="25"/>
      <c r="HQ424" s="25"/>
      <c r="HR424" s="25"/>
      <c r="HS424" s="25"/>
      <c r="HT424" s="25"/>
      <c r="HU424" s="25"/>
      <c r="HV424" s="25"/>
      <c r="HW424" s="25"/>
      <c r="HX424" s="25"/>
      <c r="HY424" s="25"/>
      <c r="HZ424" s="25"/>
      <c r="IA424" s="25"/>
      <c r="IB424" s="25"/>
      <c r="IC424" s="25"/>
      <c r="ID424" s="25"/>
      <c r="IE424" s="25"/>
      <c r="IF424" s="25"/>
      <c r="IG424" s="25"/>
      <c r="IH424" s="25"/>
      <c r="II424" s="25"/>
      <c r="IJ424" s="25"/>
      <c r="IK424" s="25"/>
      <c r="IL424" s="25"/>
      <c r="IM424" s="25"/>
      <c r="IN424" s="25"/>
      <c r="IO424" s="25"/>
      <c r="IP424" s="25"/>
      <c r="IQ424" s="25"/>
      <c r="IR424" s="25"/>
      <c r="IS424" s="25"/>
      <c r="IT424" s="25"/>
      <c r="IU424" s="25"/>
      <c r="IV424" s="25"/>
      <c r="IW424" s="25"/>
      <c r="IX424" s="25"/>
      <c r="IY424" s="25"/>
      <c r="IZ424" s="25"/>
      <c r="JA424" s="25"/>
      <c r="JB424" s="25"/>
      <c r="JC424" s="25"/>
      <c r="JD424" s="25"/>
      <c r="JE424" s="25"/>
      <c r="JF424" s="25"/>
      <c r="JG424" s="25"/>
      <c r="JH424" s="25"/>
      <c r="JI424" s="25"/>
      <c r="JJ424" s="25"/>
      <c r="JK424" s="25"/>
      <c r="JL424" s="25"/>
      <c r="JM424" s="25"/>
      <c r="JN424" s="25"/>
      <c r="JO424" s="25"/>
      <c r="JP424" s="25"/>
      <c r="JQ424" s="25"/>
      <c r="JR424" s="25"/>
      <c r="JS424" s="25"/>
      <c r="JT424" s="25"/>
      <c r="JU424" s="25"/>
      <c r="JV424" s="25"/>
      <c r="JW424" s="25"/>
      <c r="JX424" s="25"/>
      <c r="JY424" s="25"/>
      <c r="JZ424" s="25"/>
      <c r="KA424" s="25"/>
      <c r="KB424" s="25"/>
      <c r="KC424" s="25"/>
      <c r="KD424" s="25"/>
      <c r="KE424" s="25"/>
      <c r="KF424" s="25"/>
      <c r="KG424" s="25"/>
      <c r="KH424" s="25"/>
      <c r="KI424" s="25"/>
      <c r="KJ424" s="25"/>
      <c r="KK424" s="25"/>
      <c r="KL424" s="25"/>
      <c r="KM424" s="25"/>
      <c r="KN424" s="25"/>
      <c r="KO424" s="25"/>
      <c r="KP424" s="25"/>
      <c r="KQ424" s="25"/>
      <c r="KR424" s="25"/>
      <c r="KS424" s="25"/>
      <c r="KT424" s="25"/>
      <c r="KU424" s="25"/>
      <c r="KV424" s="25"/>
      <c r="KW424" s="25"/>
      <c r="KX424" s="25"/>
      <c r="KY424" s="25"/>
      <c r="KZ424" s="25"/>
      <c r="LA424" s="25"/>
      <c r="LB424" s="25"/>
      <c r="LC424" s="25"/>
      <c r="LD424" s="25"/>
      <c r="LE424" s="25"/>
      <c r="LF424" s="25"/>
      <c r="LG424" s="25"/>
      <c r="LH424" s="25"/>
      <c r="LI424" s="25"/>
      <c r="LJ424" s="25"/>
      <c r="LK424" s="25"/>
      <c r="LL424" s="25"/>
      <c r="LM424" s="25"/>
      <c r="LN424" s="25"/>
      <c r="LO424" s="25"/>
      <c r="LP424" s="25"/>
      <c r="LQ424" s="25"/>
      <c r="LR424" s="25"/>
      <c r="LS424" s="25"/>
      <c r="LT424" s="25"/>
      <c r="LU424" s="25"/>
      <c r="LV424" s="25"/>
      <c r="LW424" s="25"/>
      <c r="LX424" s="25"/>
      <c r="LY424" s="25"/>
      <c r="LZ424" s="25"/>
      <c r="MA424" s="25"/>
      <c r="MB424" s="25"/>
      <c r="MC424" s="25"/>
      <c r="MD424" s="25"/>
      <c r="ME424" s="25"/>
      <c r="MF424" s="25"/>
      <c r="MG424" s="25"/>
      <c r="MH424" s="25"/>
      <c r="MI424" s="25"/>
      <c r="MJ424" s="25"/>
      <c r="MK424" s="25"/>
      <c r="ML424" s="25"/>
      <c r="MM424" s="25"/>
      <c r="MN424" s="25"/>
      <c r="MO424" s="25"/>
      <c r="MP424" s="25"/>
      <c r="MQ424" s="25"/>
      <c r="MR424" s="25"/>
      <c r="MS424" s="25"/>
      <c r="MT424" s="25"/>
      <c r="MU424" s="25"/>
      <c r="MV424" s="25"/>
      <c r="MW424" s="25"/>
      <c r="MX424" s="25"/>
      <c r="MY424" s="25"/>
      <c r="MZ424" s="25"/>
      <c r="NA424" s="25"/>
      <c r="NB424" s="25"/>
      <c r="NC424" s="25"/>
      <c r="ND424" s="25"/>
      <c r="NE424" s="25"/>
      <c r="NF424" s="25"/>
      <c r="NG424" s="25"/>
      <c r="NH424" s="25"/>
      <c r="NI424" s="25"/>
      <c r="NJ424" s="25"/>
      <c r="NK424" s="25"/>
      <c r="NL424" s="25"/>
      <c r="NM424" s="25"/>
      <c r="NN424" s="25"/>
      <c r="NO424" s="25"/>
      <c r="NP424" s="25"/>
      <c r="NQ424" s="25"/>
      <c r="NR424" s="25"/>
      <c r="NS424" s="25"/>
      <c r="NT424" s="25"/>
      <c r="NU424" s="25"/>
      <c r="NV424" s="25"/>
      <c r="NW424" s="25"/>
      <c r="NX424" s="25"/>
      <c r="NY424" s="25"/>
      <c r="NZ424" s="25"/>
      <c r="OA424" s="25"/>
      <c r="OB424" s="25"/>
      <c r="OC424" s="25"/>
      <c r="OD424" s="25"/>
      <c r="OE424" s="25"/>
      <c r="OF424" s="25"/>
      <c r="OG424" s="25"/>
      <c r="OH424" s="25"/>
      <c r="OI424" s="25"/>
      <c r="OJ424" s="25"/>
      <c r="OK424" s="25"/>
      <c r="OL424" s="25"/>
      <c r="OM424" s="25"/>
      <c r="ON424" s="25"/>
      <c r="OO424" s="25"/>
      <c r="OP424" s="25"/>
      <c r="OQ424" s="25"/>
      <c r="OR424" s="25"/>
      <c r="OS424" s="25"/>
      <c r="OT424" s="25"/>
      <c r="OU424" s="25"/>
      <c r="OV424" s="25"/>
      <c r="OW424" s="25"/>
      <c r="OX424" s="25"/>
      <c r="OY424" s="25"/>
      <c r="OZ424" s="25"/>
      <c r="PA424" s="25"/>
      <c r="PB424" s="25"/>
      <c r="PC424" s="25"/>
      <c r="PD424" s="25"/>
      <c r="PE424" s="25"/>
      <c r="PF424" s="25"/>
      <c r="PG424" s="25"/>
      <c r="PH424" s="25"/>
      <c r="PI424" s="25"/>
      <c r="PJ424" s="25"/>
      <c r="PK424" s="25"/>
      <c r="PL424" s="25"/>
      <c r="PM424" s="25"/>
      <c r="PN424" s="25"/>
      <c r="PO424" s="25"/>
      <c r="PP424" s="25"/>
      <c r="PQ424" s="25"/>
      <c r="PR424" s="25"/>
      <c r="PS424" s="25"/>
      <c r="PT424" s="25"/>
      <c r="PU424" s="25"/>
      <c r="PV424" s="25"/>
      <c r="PW424" s="25"/>
      <c r="PX424" s="25"/>
      <c r="PY424" s="25"/>
      <c r="PZ424" s="25"/>
      <c r="QA424" s="25"/>
      <c r="QB424" s="25"/>
      <c r="QC424" s="25"/>
      <c r="QD424" s="25"/>
      <c r="QE424" s="25"/>
      <c r="QF424" s="25"/>
      <c r="QG424" s="25"/>
      <c r="QH424" s="25"/>
      <c r="QI424" s="25"/>
      <c r="QJ424" s="25"/>
      <c r="QK424" s="25"/>
      <c r="QL424" s="25"/>
      <c r="QM424" s="25"/>
      <c r="QN424" s="25"/>
      <c r="QO424" s="25"/>
      <c r="QP424" s="25"/>
      <c r="QQ424" s="25"/>
      <c r="QR424" s="25"/>
      <c r="QS424" s="25"/>
      <c r="QT424" s="25"/>
      <c r="QU424" s="25"/>
      <c r="QV424" s="25"/>
      <c r="QW424" s="25"/>
      <c r="QX424" s="25"/>
      <c r="QY424" s="25"/>
      <c r="QZ424" s="25"/>
      <c r="RA424" s="25"/>
      <c r="RB424" s="25"/>
      <c r="RC424" s="25"/>
      <c r="RD424" s="25"/>
      <c r="RE424" s="25"/>
      <c r="RF424" s="25"/>
      <c r="RG424" s="25"/>
      <c r="RH424" s="25"/>
      <c r="RI424" s="25"/>
      <c r="RJ424" s="25"/>
      <c r="RK424" s="25"/>
      <c r="RL424" s="25"/>
      <c r="RM424" s="25"/>
      <c r="RN424" s="25"/>
      <c r="RO424" s="25"/>
      <c r="RP424" s="25"/>
      <c r="RQ424" s="25"/>
      <c r="RR424" s="25"/>
      <c r="RS424" s="25"/>
      <c r="RT424" s="25"/>
      <c r="RU424" s="25"/>
      <c r="RV424" s="25"/>
      <c r="RW424" s="25"/>
      <c r="RX424" s="25"/>
      <c r="RY424" s="25"/>
      <c r="RZ424" s="25"/>
      <c r="SA424" s="25"/>
      <c r="SB424" s="25"/>
      <c r="SC424" s="25"/>
      <c r="SD424" s="25"/>
      <c r="SE424" s="25"/>
      <c r="SF424" s="25"/>
      <c r="SG424" s="25"/>
      <c r="SH424" s="25"/>
      <c r="SI424" s="25"/>
      <c r="SJ424" s="25"/>
      <c r="SK424" s="25"/>
      <c r="SL424" s="25"/>
      <c r="SM424" s="25"/>
      <c r="SN424" s="25"/>
      <c r="SO424" s="25"/>
      <c r="SP424" s="25"/>
      <c r="SQ424" s="25"/>
      <c r="SR424" s="25"/>
      <c r="SS424" s="25"/>
      <c r="ST424" s="25"/>
      <c r="SU424" s="25"/>
      <c r="SV424" s="25"/>
      <c r="SW424" s="25"/>
      <c r="SX424" s="25"/>
      <c r="SY424" s="25"/>
      <c r="SZ424" s="25"/>
      <c r="TA424" s="25"/>
      <c r="TB424" s="25"/>
      <c r="TC424" s="25"/>
      <c r="TD424" s="25"/>
      <c r="TE424" s="25"/>
      <c r="TF424" s="25"/>
      <c r="TG424" s="25"/>
      <c r="TH424" s="25"/>
      <c r="TI424" s="25"/>
      <c r="TJ424" s="25"/>
      <c r="TK424" s="25"/>
      <c r="TL424" s="25"/>
      <c r="TM424" s="25"/>
      <c r="TN424" s="25"/>
      <c r="TO424" s="25"/>
      <c r="TP424" s="25"/>
      <c r="TQ424" s="25"/>
      <c r="TR424" s="25"/>
      <c r="TS424" s="25"/>
      <c r="TT424" s="25"/>
      <c r="TU424" s="25"/>
      <c r="TV424" s="25"/>
      <c r="TW424" s="25"/>
      <c r="TX424" s="25"/>
      <c r="TY424" s="25"/>
      <c r="TZ424" s="25"/>
      <c r="UA424" s="25"/>
      <c r="UB424" s="25"/>
      <c r="UC424" s="25"/>
      <c r="UD424" s="25"/>
      <c r="UE424" s="25"/>
      <c r="UF424" s="25"/>
      <c r="UG424" s="26"/>
    </row>
    <row r="425" spans="1:553" s="109" customFormat="1" ht="34.5" customHeight="1">
      <c r="A425" s="356" t="s">
        <v>30</v>
      </c>
      <c r="B425" s="385">
        <v>2</v>
      </c>
      <c r="C425" s="1451" t="s">
        <v>891</v>
      </c>
      <c r="D425" s="1389"/>
      <c r="E425" s="1389"/>
      <c r="F425" s="1390"/>
      <c r="G425" s="386" t="s">
        <v>33</v>
      </c>
      <c r="H425" s="370"/>
      <c r="I425" s="834">
        <f>-36*2*2</f>
        <v>-144</v>
      </c>
      <c r="J425" s="368">
        <v>52000</v>
      </c>
      <c r="K425" s="371"/>
      <c r="L425" s="391">
        <f t="shared" ref="L425:L426" si="88">I425*J425</f>
        <v>-7488000</v>
      </c>
      <c r="M425" s="395"/>
      <c r="N425" s="395"/>
      <c r="O425" s="366"/>
      <c r="P425" s="396"/>
      <c r="Q425" s="473"/>
      <c r="R425" s="1039"/>
      <c r="S425" s="308"/>
      <c r="T425" s="303"/>
      <c r="U425" s="306"/>
      <c r="V425" s="307"/>
      <c r="W425" s="307"/>
      <c r="X425" s="307"/>
      <c r="Y425" s="307"/>
      <c r="Z425" s="307"/>
      <c r="AA425" s="307"/>
      <c r="AB425" s="307"/>
      <c r="AC425" s="449"/>
      <c r="AD425" s="449"/>
      <c r="AE425" s="449"/>
      <c r="AF425" s="449"/>
      <c r="AG425" s="452"/>
      <c r="AH425" s="452"/>
      <c r="AI425" s="452"/>
      <c r="AJ425" s="452"/>
      <c r="AK425" s="452"/>
      <c r="AL425" s="116"/>
      <c r="AM425" s="116"/>
      <c r="AN425" s="116"/>
      <c r="AO425" s="116"/>
      <c r="AP425" s="116"/>
      <c r="AQ425" s="117"/>
      <c r="AR425" s="117"/>
      <c r="AS425" s="117"/>
      <c r="AT425" s="117"/>
      <c r="AU425" s="117"/>
      <c r="AV425" s="117"/>
      <c r="AW425" s="117"/>
      <c r="AX425" s="117"/>
      <c r="AY425" s="117"/>
      <c r="AZ425" s="117"/>
      <c r="BA425" s="117"/>
      <c r="BB425" s="117"/>
      <c r="BC425" s="117"/>
      <c r="BD425" s="117"/>
      <c r="BE425" s="117"/>
      <c r="BF425" s="117"/>
      <c r="BG425" s="117"/>
      <c r="BH425" s="117"/>
      <c r="BI425" s="117"/>
      <c r="BJ425" s="117"/>
      <c r="BK425" s="117"/>
      <c r="BL425" s="117"/>
      <c r="BM425" s="118"/>
      <c r="BN425" s="118"/>
      <c r="BO425" s="118"/>
      <c r="BP425" s="118"/>
      <c r="BQ425" s="118"/>
      <c r="BR425" s="118"/>
      <c r="BS425" s="118"/>
      <c r="BT425" s="118"/>
      <c r="BU425" s="118"/>
      <c r="BV425" s="118"/>
      <c r="BW425" s="118"/>
      <c r="BX425" s="118"/>
      <c r="BY425" s="118"/>
      <c r="BZ425" s="118"/>
      <c r="CA425" s="118"/>
      <c r="CB425" s="118"/>
      <c r="CC425" s="118"/>
      <c r="CD425" s="118"/>
      <c r="CE425" s="118"/>
      <c r="CF425" s="118"/>
      <c r="CG425" s="118"/>
      <c r="CH425" s="118"/>
      <c r="CI425" s="118"/>
      <c r="CJ425" s="118"/>
      <c r="CK425" s="118"/>
      <c r="CL425" s="118"/>
      <c r="CM425" s="118"/>
      <c r="CN425" s="118"/>
      <c r="CO425" s="118"/>
      <c r="CP425" s="118"/>
      <c r="CQ425" s="118"/>
      <c r="CR425" s="118"/>
      <c r="CS425" s="118"/>
      <c r="CT425" s="118"/>
      <c r="CU425" s="118"/>
      <c r="CV425" s="118"/>
      <c r="CW425" s="118"/>
      <c r="CX425" s="118"/>
      <c r="CY425" s="118"/>
      <c r="CZ425" s="118"/>
      <c r="DA425" s="118"/>
      <c r="DB425" s="118"/>
      <c r="DC425" s="118"/>
      <c r="DD425" s="118"/>
      <c r="DE425" s="118"/>
      <c r="DF425" s="118"/>
      <c r="DG425" s="118"/>
      <c r="DH425" s="118"/>
      <c r="DI425" s="118"/>
      <c r="DJ425" s="118"/>
      <c r="DK425" s="118"/>
      <c r="DL425" s="118"/>
      <c r="DM425" s="118"/>
      <c r="DN425" s="118"/>
      <c r="DO425" s="118"/>
      <c r="DP425" s="118"/>
      <c r="DQ425" s="118"/>
      <c r="DR425" s="118"/>
      <c r="DS425" s="118"/>
      <c r="DT425" s="118"/>
      <c r="DU425" s="118"/>
      <c r="DV425" s="118"/>
      <c r="DW425" s="118"/>
      <c r="DX425" s="118"/>
      <c r="DY425" s="118"/>
      <c r="DZ425" s="118"/>
      <c r="EA425" s="118"/>
      <c r="EB425" s="118"/>
      <c r="EC425" s="118"/>
      <c r="ED425" s="118"/>
      <c r="EE425" s="118"/>
      <c r="EF425" s="118"/>
      <c r="EG425" s="118"/>
      <c r="EH425" s="118"/>
      <c r="EI425" s="118"/>
      <c r="EJ425" s="118"/>
      <c r="EK425" s="118"/>
      <c r="EL425" s="118"/>
      <c r="EM425" s="118"/>
      <c r="EN425" s="118"/>
      <c r="EO425" s="118"/>
      <c r="EP425" s="118"/>
      <c r="EQ425" s="118"/>
      <c r="ER425" s="118"/>
      <c r="ES425" s="118"/>
      <c r="ET425" s="118"/>
      <c r="EU425" s="118"/>
      <c r="EV425" s="118"/>
      <c r="EW425" s="118"/>
      <c r="EX425" s="118"/>
      <c r="EY425" s="118"/>
      <c r="EZ425" s="118"/>
      <c r="FA425" s="118"/>
      <c r="FB425" s="118"/>
      <c r="FC425" s="118"/>
      <c r="FD425" s="118"/>
      <c r="FE425" s="118"/>
      <c r="FF425" s="118"/>
      <c r="FG425" s="118"/>
      <c r="FH425" s="118"/>
      <c r="FI425" s="118"/>
      <c r="FJ425" s="118"/>
      <c r="FK425" s="118"/>
      <c r="FL425" s="118"/>
      <c r="FM425" s="118"/>
      <c r="FN425" s="118"/>
      <c r="FO425" s="118"/>
      <c r="FP425" s="118"/>
      <c r="FQ425" s="118"/>
      <c r="FR425" s="118"/>
      <c r="FS425" s="118"/>
      <c r="FT425" s="118"/>
      <c r="FU425" s="118"/>
      <c r="FV425" s="118"/>
      <c r="FW425" s="118"/>
      <c r="FX425" s="118"/>
      <c r="FY425" s="118"/>
      <c r="FZ425" s="118"/>
      <c r="GA425" s="118"/>
      <c r="GB425" s="118"/>
      <c r="GC425" s="118"/>
      <c r="GD425" s="118"/>
      <c r="GE425" s="118"/>
      <c r="GF425" s="118"/>
      <c r="GG425" s="118"/>
      <c r="GH425" s="118"/>
      <c r="GI425" s="118"/>
      <c r="GJ425" s="118"/>
      <c r="GK425" s="118"/>
      <c r="GL425" s="118"/>
      <c r="GM425" s="118"/>
      <c r="GN425" s="118"/>
      <c r="GO425" s="118"/>
      <c r="GP425" s="118"/>
      <c r="GQ425" s="118"/>
      <c r="GR425" s="118"/>
      <c r="GS425" s="118"/>
      <c r="GT425" s="118"/>
      <c r="GU425" s="118"/>
      <c r="GV425" s="118"/>
      <c r="GW425" s="118"/>
      <c r="GX425" s="118"/>
      <c r="GY425" s="118"/>
      <c r="GZ425" s="118"/>
      <c r="HA425" s="118"/>
      <c r="HB425" s="118"/>
      <c r="HC425" s="118"/>
      <c r="HD425" s="118"/>
      <c r="HE425" s="118"/>
      <c r="HF425" s="118"/>
      <c r="HG425" s="118"/>
      <c r="HH425" s="118"/>
      <c r="HI425" s="118"/>
      <c r="HJ425" s="118"/>
      <c r="HK425" s="118"/>
      <c r="HL425" s="118"/>
      <c r="HM425" s="118"/>
      <c r="HN425" s="118"/>
      <c r="HO425" s="118"/>
      <c r="HP425" s="118"/>
      <c r="HQ425" s="118"/>
      <c r="HR425" s="118"/>
      <c r="HS425" s="118"/>
      <c r="HT425" s="118"/>
      <c r="HU425" s="118"/>
      <c r="HV425" s="118"/>
      <c r="HW425" s="118"/>
      <c r="HX425" s="118"/>
      <c r="HY425" s="118"/>
      <c r="HZ425" s="118"/>
      <c r="IA425" s="118"/>
      <c r="IB425" s="118"/>
      <c r="IC425" s="118"/>
      <c r="ID425" s="118"/>
      <c r="IE425" s="118"/>
      <c r="IF425" s="118"/>
      <c r="IG425" s="118"/>
      <c r="IH425" s="118"/>
      <c r="II425" s="118"/>
      <c r="IJ425" s="118"/>
      <c r="IK425" s="118"/>
      <c r="IL425" s="118"/>
      <c r="IM425" s="118"/>
      <c r="IN425" s="118"/>
      <c r="IO425" s="118"/>
      <c r="IP425" s="118"/>
      <c r="IQ425" s="118"/>
      <c r="IR425" s="118"/>
      <c r="IS425" s="118"/>
      <c r="IT425" s="118"/>
      <c r="IU425" s="118"/>
      <c r="IV425" s="118"/>
      <c r="IW425" s="118"/>
      <c r="IX425" s="118"/>
      <c r="IY425" s="118"/>
      <c r="IZ425" s="118"/>
      <c r="JA425" s="118"/>
      <c r="JB425" s="118"/>
      <c r="JC425" s="118"/>
      <c r="JD425" s="118"/>
      <c r="JE425" s="118"/>
      <c r="JF425" s="118"/>
      <c r="JG425" s="118"/>
      <c r="JH425" s="118"/>
      <c r="JI425" s="118"/>
      <c r="JJ425" s="118"/>
      <c r="JK425" s="118"/>
      <c r="JL425" s="118"/>
      <c r="JM425" s="118"/>
      <c r="JN425" s="118"/>
      <c r="JO425" s="118"/>
      <c r="JP425" s="118"/>
      <c r="JQ425" s="118"/>
      <c r="JR425" s="118"/>
      <c r="JS425" s="118"/>
      <c r="JT425" s="118"/>
      <c r="JU425" s="118"/>
      <c r="JV425" s="118"/>
      <c r="JW425" s="118"/>
      <c r="JX425" s="118"/>
      <c r="JY425" s="118"/>
      <c r="JZ425" s="118"/>
      <c r="KA425" s="118"/>
      <c r="KB425" s="118"/>
      <c r="KC425" s="118"/>
      <c r="KD425" s="118"/>
      <c r="KE425" s="118"/>
      <c r="KF425" s="118"/>
      <c r="KG425" s="118"/>
      <c r="KH425" s="118"/>
      <c r="KI425" s="118"/>
      <c r="KJ425" s="118"/>
      <c r="KK425" s="118"/>
      <c r="KL425" s="118"/>
      <c r="KM425" s="118"/>
      <c r="KN425" s="118"/>
      <c r="KO425" s="118"/>
      <c r="KP425" s="118"/>
      <c r="KQ425" s="118"/>
      <c r="KR425" s="118"/>
      <c r="KS425" s="118"/>
      <c r="KT425" s="118"/>
      <c r="KU425" s="118"/>
      <c r="KV425" s="118"/>
      <c r="KW425" s="118"/>
      <c r="KX425" s="118"/>
      <c r="KY425" s="118"/>
      <c r="KZ425" s="118"/>
      <c r="LA425" s="118"/>
      <c r="LB425" s="118"/>
      <c r="LC425" s="118"/>
      <c r="LD425" s="118"/>
      <c r="LE425" s="118"/>
      <c r="LF425" s="118"/>
      <c r="LG425" s="118"/>
      <c r="LH425" s="118"/>
      <c r="LI425" s="118"/>
      <c r="LJ425" s="118"/>
      <c r="LK425" s="118"/>
      <c r="LL425" s="118"/>
      <c r="LM425" s="118"/>
      <c r="LN425" s="118"/>
      <c r="LO425" s="118"/>
      <c r="LP425" s="118"/>
      <c r="LQ425" s="118"/>
      <c r="LR425" s="118"/>
      <c r="LS425" s="118"/>
      <c r="LT425" s="118"/>
      <c r="LU425" s="118"/>
      <c r="LV425" s="118"/>
      <c r="LW425" s="118"/>
      <c r="LX425" s="118"/>
      <c r="LY425" s="118"/>
      <c r="LZ425" s="118"/>
      <c r="MA425" s="118"/>
      <c r="MB425" s="118"/>
      <c r="MC425" s="118"/>
      <c r="MD425" s="118"/>
      <c r="ME425" s="118"/>
      <c r="MF425" s="118"/>
      <c r="MG425" s="118"/>
      <c r="MH425" s="118"/>
      <c r="MI425" s="118"/>
      <c r="MJ425" s="118"/>
      <c r="MK425" s="118"/>
      <c r="ML425" s="118"/>
      <c r="MM425" s="118"/>
      <c r="MN425" s="118"/>
      <c r="MO425" s="118"/>
      <c r="MP425" s="118"/>
      <c r="MQ425" s="118"/>
      <c r="MR425" s="118"/>
      <c r="MS425" s="118"/>
      <c r="MT425" s="118"/>
      <c r="MU425" s="118"/>
      <c r="MV425" s="118"/>
      <c r="MW425" s="118"/>
      <c r="MX425" s="118"/>
      <c r="MY425" s="118"/>
      <c r="MZ425" s="118"/>
      <c r="NA425" s="118"/>
      <c r="NB425" s="118"/>
      <c r="NC425" s="118"/>
      <c r="ND425" s="118"/>
      <c r="NE425" s="118"/>
      <c r="NF425" s="118"/>
      <c r="NG425" s="118"/>
      <c r="NH425" s="118"/>
      <c r="NI425" s="118"/>
      <c r="NJ425" s="118"/>
      <c r="NK425" s="118"/>
      <c r="NL425" s="118"/>
      <c r="NM425" s="118"/>
      <c r="NN425" s="118"/>
      <c r="NO425" s="118"/>
      <c r="NP425" s="118"/>
      <c r="NQ425" s="118"/>
      <c r="NR425" s="118"/>
      <c r="NS425" s="118"/>
      <c r="NT425" s="118"/>
      <c r="NU425" s="118"/>
      <c r="NV425" s="118"/>
      <c r="NW425" s="118"/>
      <c r="NX425" s="118"/>
      <c r="NY425" s="118"/>
      <c r="NZ425" s="118"/>
      <c r="OA425" s="118"/>
      <c r="OB425" s="118"/>
      <c r="OC425" s="118"/>
      <c r="OD425" s="118"/>
      <c r="OE425" s="118"/>
      <c r="OF425" s="118"/>
      <c r="OG425" s="118"/>
      <c r="OH425" s="118"/>
      <c r="OI425" s="118"/>
      <c r="OJ425" s="118"/>
      <c r="OK425" s="118"/>
      <c r="OL425" s="118"/>
      <c r="OM425" s="118"/>
      <c r="ON425" s="118"/>
      <c r="OO425" s="118"/>
      <c r="OP425" s="118"/>
      <c r="OQ425" s="118"/>
      <c r="OR425" s="118"/>
      <c r="OS425" s="118"/>
      <c r="OT425" s="118"/>
      <c r="OU425" s="118"/>
      <c r="OV425" s="118"/>
      <c r="OW425" s="118"/>
      <c r="OX425" s="118"/>
      <c r="OY425" s="118"/>
      <c r="OZ425" s="118"/>
      <c r="PA425" s="118"/>
      <c r="PB425" s="118"/>
      <c r="PC425" s="118"/>
      <c r="PD425" s="118"/>
      <c r="PE425" s="118"/>
      <c r="PF425" s="118"/>
      <c r="PG425" s="118"/>
      <c r="PH425" s="118"/>
      <c r="PI425" s="118"/>
      <c r="PJ425" s="118"/>
      <c r="PK425" s="118"/>
      <c r="PL425" s="118"/>
      <c r="PM425" s="118"/>
      <c r="PN425" s="118"/>
      <c r="PO425" s="118"/>
      <c r="PP425" s="118"/>
      <c r="PQ425" s="118"/>
      <c r="PR425" s="118"/>
      <c r="PS425" s="118"/>
      <c r="PT425" s="118"/>
      <c r="PU425" s="118"/>
      <c r="PV425" s="118"/>
      <c r="PW425" s="118"/>
      <c r="PX425" s="118"/>
      <c r="PY425" s="118"/>
      <c r="PZ425" s="118"/>
      <c r="QA425" s="118"/>
      <c r="QB425" s="118"/>
      <c r="QC425" s="118"/>
      <c r="QD425" s="118"/>
      <c r="QE425" s="118"/>
      <c r="QF425" s="118"/>
      <c r="QG425" s="118"/>
      <c r="QH425" s="118"/>
      <c r="QI425" s="118"/>
      <c r="QJ425" s="118"/>
      <c r="QK425" s="118"/>
      <c r="QL425" s="118"/>
      <c r="QM425" s="118"/>
      <c r="QN425" s="118"/>
      <c r="QO425" s="118"/>
      <c r="QP425" s="118"/>
      <c r="QQ425" s="118"/>
      <c r="QR425" s="118"/>
      <c r="QS425" s="118"/>
      <c r="QT425" s="118"/>
      <c r="QU425" s="118"/>
      <c r="QV425" s="118"/>
      <c r="QW425" s="118"/>
      <c r="QX425" s="118"/>
      <c r="QY425" s="118"/>
      <c r="QZ425" s="118"/>
      <c r="RA425" s="118"/>
      <c r="RB425" s="118"/>
      <c r="RC425" s="118"/>
      <c r="RD425" s="118"/>
      <c r="RE425" s="118"/>
      <c r="RF425" s="118"/>
      <c r="RG425" s="118"/>
      <c r="RH425" s="118"/>
      <c r="RI425" s="118"/>
      <c r="RJ425" s="118"/>
      <c r="RK425" s="118"/>
      <c r="RL425" s="118"/>
      <c r="RM425" s="118"/>
      <c r="RN425" s="118"/>
      <c r="RO425" s="118"/>
      <c r="RP425" s="118"/>
      <c r="RQ425" s="118"/>
      <c r="RR425" s="118"/>
      <c r="RS425" s="118"/>
      <c r="RT425" s="118"/>
      <c r="RU425" s="118"/>
      <c r="RV425" s="118"/>
      <c r="RW425" s="118"/>
      <c r="RX425" s="118"/>
      <c r="RY425" s="118"/>
      <c r="RZ425" s="118"/>
      <c r="SA425" s="118"/>
      <c r="SB425" s="118"/>
      <c r="SC425" s="118"/>
      <c r="SD425" s="118"/>
      <c r="SE425" s="118"/>
      <c r="SF425" s="118"/>
      <c r="SG425" s="118"/>
      <c r="SH425" s="118"/>
      <c r="SI425" s="118"/>
      <c r="SJ425" s="118"/>
      <c r="SK425" s="118"/>
      <c r="SL425" s="118"/>
      <c r="SM425" s="118"/>
      <c r="SN425" s="118"/>
      <c r="SO425" s="118"/>
      <c r="SP425" s="118"/>
      <c r="SQ425" s="118"/>
      <c r="SR425" s="118"/>
      <c r="SS425" s="118"/>
      <c r="ST425" s="118"/>
      <c r="SU425" s="118"/>
      <c r="SV425" s="118"/>
      <c r="SW425" s="118"/>
      <c r="SX425" s="118"/>
      <c r="SY425" s="118"/>
      <c r="SZ425" s="118"/>
      <c r="TA425" s="118"/>
      <c r="TB425" s="118"/>
      <c r="TC425" s="118"/>
      <c r="TD425" s="118"/>
      <c r="TE425" s="118"/>
      <c r="TF425" s="118"/>
      <c r="TG425" s="118"/>
      <c r="TH425" s="118"/>
      <c r="TI425" s="118"/>
      <c r="TJ425" s="118"/>
      <c r="TK425" s="118"/>
      <c r="TL425" s="118"/>
      <c r="TM425" s="118"/>
      <c r="TN425" s="118"/>
      <c r="TO425" s="118"/>
      <c r="TP425" s="118"/>
      <c r="TQ425" s="118"/>
      <c r="TR425" s="118"/>
      <c r="TS425" s="118"/>
      <c r="TT425" s="118"/>
      <c r="TU425" s="118"/>
      <c r="TV425" s="118"/>
      <c r="TW425" s="118"/>
      <c r="TX425" s="118"/>
      <c r="TY425" s="118"/>
      <c r="TZ425" s="118"/>
      <c r="UA425" s="118"/>
      <c r="UB425" s="118"/>
      <c r="UC425" s="118"/>
      <c r="UD425" s="118"/>
      <c r="UE425" s="118"/>
      <c r="UF425" s="118"/>
      <c r="UG425" s="115"/>
    </row>
    <row r="426" spans="1:553" s="109" customFormat="1" ht="34.5" customHeight="1">
      <c r="A426" s="356" t="s">
        <v>30</v>
      </c>
      <c r="B426" s="385">
        <v>5</v>
      </c>
      <c r="C426" s="1451" t="s">
        <v>892</v>
      </c>
      <c r="D426" s="1389"/>
      <c r="E426" s="1389"/>
      <c r="F426" s="1390"/>
      <c r="G426" s="386" t="s">
        <v>33</v>
      </c>
      <c r="H426" s="370"/>
      <c r="I426" s="834">
        <f>-36*2*2</f>
        <v>-144</v>
      </c>
      <c r="J426" s="368">
        <v>41700</v>
      </c>
      <c r="K426" s="371"/>
      <c r="L426" s="391">
        <f t="shared" si="88"/>
        <v>-6004800</v>
      </c>
      <c r="M426" s="395"/>
      <c r="N426" s="395"/>
      <c r="O426" s="366"/>
      <c r="P426" s="396"/>
      <c r="Q426" s="473"/>
      <c r="R426" s="1039"/>
      <c r="S426" s="308"/>
      <c r="T426" s="303"/>
      <c r="U426" s="306"/>
      <c r="V426" s="307"/>
      <c r="W426" s="307"/>
      <c r="X426" s="307"/>
      <c r="Y426" s="307"/>
      <c r="Z426" s="307"/>
      <c r="AA426" s="307"/>
      <c r="AB426" s="307"/>
      <c r="AC426" s="449"/>
      <c r="AD426" s="449"/>
      <c r="AE426" s="449"/>
      <c r="AF426" s="449"/>
      <c r="AG426" s="452"/>
      <c r="AH426" s="452"/>
      <c r="AI426" s="452"/>
      <c r="AJ426" s="452"/>
      <c r="AK426" s="452"/>
      <c r="AL426" s="116"/>
      <c r="AM426" s="116"/>
      <c r="AN426" s="116"/>
      <c r="AO426" s="116"/>
      <c r="AP426" s="116"/>
      <c r="AQ426" s="117"/>
      <c r="AR426" s="117"/>
      <c r="AS426" s="117"/>
      <c r="AT426" s="117"/>
      <c r="AU426" s="117"/>
      <c r="AV426" s="117"/>
      <c r="AW426" s="117"/>
      <c r="AX426" s="117"/>
      <c r="AY426" s="117"/>
      <c r="AZ426" s="117"/>
      <c r="BA426" s="117"/>
      <c r="BB426" s="117"/>
      <c r="BC426" s="117"/>
      <c r="BD426" s="117"/>
      <c r="BE426" s="117"/>
      <c r="BF426" s="117"/>
      <c r="BG426" s="117"/>
      <c r="BH426" s="117"/>
      <c r="BI426" s="117"/>
      <c r="BJ426" s="117"/>
      <c r="BK426" s="117"/>
      <c r="BL426" s="117"/>
      <c r="BM426" s="118"/>
      <c r="BN426" s="118"/>
      <c r="BO426" s="118"/>
      <c r="BP426" s="118"/>
      <c r="BQ426" s="118"/>
      <c r="BR426" s="118"/>
      <c r="BS426" s="118"/>
      <c r="BT426" s="118"/>
      <c r="BU426" s="118"/>
      <c r="BV426" s="118"/>
      <c r="BW426" s="118"/>
      <c r="BX426" s="118"/>
      <c r="BY426" s="118"/>
      <c r="BZ426" s="118"/>
      <c r="CA426" s="118"/>
      <c r="CB426" s="118"/>
      <c r="CC426" s="118"/>
      <c r="CD426" s="118"/>
      <c r="CE426" s="118"/>
      <c r="CF426" s="118"/>
      <c r="CG426" s="118"/>
      <c r="CH426" s="118"/>
      <c r="CI426" s="118"/>
      <c r="CJ426" s="118"/>
      <c r="CK426" s="118"/>
      <c r="CL426" s="118"/>
      <c r="CM426" s="118"/>
      <c r="CN426" s="118"/>
      <c r="CO426" s="118"/>
      <c r="CP426" s="118"/>
      <c r="CQ426" s="118"/>
      <c r="CR426" s="118"/>
      <c r="CS426" s="118"/>
      <c r="CT426" s="118"/>
      <c r="CU426" s="118"/>
      <c r="CV426" s="118"/>
      <c r="CW426" s="118"/>
      <c r="CX426" s="118"/>
      <c r="CY426" s="118"/>
      <c r="CZ426" s="118"/>
      <c r="DA426" s="118"/>
      <c r="DB426" s="118"/>
      <c r="DC426" s="118"/>
      <c r="DD426" s="118"/>
      <c r="DE426" s="118"/>
      <c r="DF426" s="118"/>
      <c r="DG426" s="118"/>
      <c r="DH426" s="118"/>
      <c r="DI426" s="118"/>
      <c r="DJ426" s="118"/>
      <c r="DK426" s="118"/>
      <c r="DL426" s="118"/>
      <c r="DM426" s="118"/>
      <c r="DN426" s="118"/>
      <c r="DO426" s="118"/>
      <c r="DP426" s="118"/>
      <c r="DQ426" s="118"/>
      <c r="DR426" s="118"/>
      <c r="DS426" s="118"/>
      <c r="DT426" s="118"/>
      <c r="DU426" s="118"/>
      <c r="DV426" s="118"/>
      <c r="DW426" s="118"/>
      <c r="DX426" s="118"/>
      <c r="DY426" s="118"/>
      <c r="DZ426" s="118"/>
      <c r="EA426" s="118"/>
      <c r="EB426" s="118"/>
      <c r="EC426" s="118"/>
      <c r="ED426" s="118"/>
      <c r="EE426" s="118"/>
      <c r="EF426" s="118"/>
      <c r="EG426" s="118"/>
      <c r="EH426" s="118"/>
      <c r="EI426" s="118"/>
      <c r="EJ426" s="118"/>
      <c r="EK426" s="118"/>
      <c r="EL426" s="118"/>
      <c r="EM426" s="118"/>
      <c r="EN426" s="118"/>
      <c r="EO426" s="118"/>
      <c r="EP426" s="118"/>
      <c r="EQ426" s="118"/>
      <c r="ER426" s="118"/>
      <c r="ES426" s="118"/>
      <c r="ET426" s="118"/>
      <c r="EU426" s="118"/>
      <c r="EV426" s="118"/>
      <c r="EW426" s="118"/>
      <c r="EX426" s="118"/>
      <c r="EY426" s="118"/>
      <c r="EZ426" s="118"/>
      <c r="FA426" s="118"/>
      <c r="FB426" s="118"/>
      <c r="FC426" s="118"/>
      <c r="FD426" s="118"/>
      <c r="FE426" s="118"/>
      <c r="FF426" s="118"/>
      <c r="FG426" s="118"/>
      <c r="FH426" s="118"/>
      <c r="FI426" s="118"/>
      <c r="FJ426" s="118"/>
      <c r="FK426" s="118"/>
      <c r="FL426" s="118"/>
      <c r="FM426" s="118"/>
      <c r="FN426" s="118"/>
      <c r="FO426" s="118"/>
      <c r="FP426" s="118"/>
      <c r="FQ426" s="118"/>
      <c r="FR426" s="118"/>
      <c r="FS426" s="118"/>
      <c r="FT426" s="118"/>
      <c r="FU426" s="118"/>
      <c r="FV426" s="118"/>
      <c r="FW426" s="118"/>
      <c r="FX426" s="118"/>
      <c r="FY426" s="118"/>
      <c r="FZ426" s="118"/>
      <c r="GA426" s="118"/>
      <c r="GB426" s="118"/>
      <c r="GC426" s="118"/>
      <c r="GD426" s="118"/>
      <c r="GE426" s="118"/>
      <c r="GF426" s="118"/>
      <c r="GG426" s="118"/>
      <c r="GH426" s="118"/>
      <c r="GI426" s="118"/>
      <c r="GJ426" s="118"/>
      <c r="GK426" s="118"/>
      <c r="GL426" s="118"/>
      <c r="GM426" s="118"/>
      <c r="GN426" s="118"/>
      <c r="GO426" s="118"/>
      <c r="GP426" s="118"/>
      <c r="GQ426" s="118"/>
      <c r="GR426" s="118"/>
      <c r="GS426" s="118"/>
      <c r="GT426" s="118"/>
      <c r="GU426" s="118"/>
      <c r="GV426" s="118"/>
      <c r="GW426" s="118"/>
      <c r="GX426" s="118"/>
      <c r="GY426" s="118"/>
      <c r="GZ426" s="118"/>
      <c r="HA426" s="118"/>
      <c r="HB426" s="118"/>
      <c r="HC426" s="118"/>
      <c r="HD426" s="118"/>
      <c r="HE426" s="118"/>
      <c r="HF426" s="118"/>
      <c r="HG426" s="118"/>
      <c r="HH426" s="118"/>
      <c r="HI426" s="118"/>
      <c r="HJ426" s="118"/>
      <c r="HK426" s="118"/>
      <c r="HL426" s="118"/>
      <c r="HM426" s="118"/>
      <c r="HN426" s="118"/>
      <c r="HO426" s="118"/>
      <c r="HP426" s="118"/>
      <c r="HQ426" s="118"/>
      <c r="HR426" s="118"/>
      <c r="HS426" s="118"/>
      <c r="HT426" s="118"/>
      <c r="HU426" s="118"/>
      <c r="HV426" s="118"/>
      <c r="HW426" s="118"/>
      <c r="HX426" s="118"/>
      <c r="HY426" s="118"/>
      <c r="HZ426" s="118"/>
      <c r="IA426" s="118"/>
      <c r="IB426" s="118"/>
      <c r="IC426" s="118"/>
      <c r="ID426" s="118"/>
      <c r="IE426" s="118"/>
      <c r="IF426" s="118"/>
      <c r="IG426" s="118"/>
      <c r="IH426" s="118"/>
      <c r="II426" s="118"/>
      <c r="IJ426" s="118"/>
      <c r="IK426" s="118"/>
      <c r="IL426" s="118"/>
      <c r="IM426" s="118"/>
      <c r="IN426" s="118"/>
      <c r="IO426" s="118"/>
      <c r="IP426" s="118"/>
      <c r="IQ426" s="118"/>
      <c r="IR426" s="118"/>
      <c r="IS426" s="118"/>
      <c r="IT426" s="118"/>
      <c r="IU426" s="118"/>
      <c r="IV426" s="118"/>
      <c r="IW426" s="118"/>
      <c r="IX426" s="118"/>
      <c r="IY426" s="118"/>
      <c r="IZ426" s="118"/>
      <c r="JA426" s="118"/>
      <c r="JB426" s="118"/>
      <c r="JC426" s="118"/>
      <c r="JD426" s="118"/>
      <c r="JE426" s="118"/>
      <c r="JF426" s="118"/>
      <c r="JG426" s="118"/>
      <c r="JH426" s="118"/>
      <c r="JI426" s="118"/>
      <c r="JJ426" s="118"/>
      <c r="JK426" s="118"/>
      <c r="JL426" s="118"/>
      <c r="JM426" s="118"/>
      <c r="JN426" s="118"/>
      <c r="JO426" s="118"/>
      <c r="JP426" s="118"/>
      <c r="JQ426" s="118"/>
      <c r="JR426" s="118"/>
      <c r="JS426" s="118"/>
      <c r="JT426" s="118"/>
      <c r="JU426" s="118"/>
      <c r="JV426" s="118"/>
      <c r="JW426" s="118"/>
      <c r="JX426" s="118"/>
      <c r="JY426" s="118"/>
      <c r="JZ426" s="118"/>
      <c r="KA426" s="118"/>
      <c r="KB426" s="118"/>
      <c r="KC426" s="118"/>
      <c r="KD426" s="118"/>
      <c r="KE426" s="118"/>
      <c r="KF426" s="118"/>
      <c r="KG426" s="118"/>
      <c r="KH426" s="118"/>
      <c r="KI426" s="118"/>
      <c r="KJ426" s="118"/>
      <c r="KK426" s="118"/>
      <c r="KL426" s="118"/>
      <c r="KM426" s="118"/>
      <c r="KN426" s="118"/>
      <c r="KO426" s="118"/>
      <c r="KP426" s="118"/>
      <c r="KQ426" s="118"/>
      <c r="KR426" s="118"/>
      <c r="KS426" s="118"/>
      <c r="KT426" s="118"/>
      <c r="KU426" s="118"/>
      <c r="KV426" s="118"/>
      <c r="KW426" s="118"/>
      <c r="KX426" s="118"/>
      <c r="KY426" s="118"/>
      <c r="KZ426" s="118"/>
      <c r="LA426" s="118"/>
      <c r="LB426" s="118"/>
      <c r="LC426" s="118"/>
      <c r="LD426" s="118"/>
      <c r="LE426" s="118"/>
      <c r="LF426" s="118"/>
      <c r="LG426" s="118"/>
      <c r="LH426" s="118"/>
      <c r="LI426" s="118"/>
      <c r="LJ426" s="118"/>
      <c r="LK426" s="118"/>
      <c r="LL426" s="118"/>
      <c r="LM426" s="118"/>
      <c r="LN426" s="118"/>
      <c r="LO426" s="118"/>
      <c r="LP426" s="118"/>
      <c r="LQ426" s="118"/>
      <c r="LR426" s="118"/>
      <c r="LS426" s="118"/>
      <c r="LT426" s="118"/>
      <c r="LU426" s="118"/>
      <c r="LV426" s="118"/>
      <c r="LW426" s="118"/>
      <c r="LX426" s="118"/>
      <c r="LY426" s="118"/>
      <c r="LZ426" s="118"/>
      <c r="MA426" s="118"/>
      <c r="MB426" s="118"/>
      <c r="MC426" s="118"/>
      <c r="MD426" s="118"/>
      <c r="ME426" s="118"/>
      <c r="MF426" s="118"/>
      <c r="MG426" s="118"/>
      <c r="MH426" s="118"/>
      <c r="MI426" s="118"/>
      <c r="MJ426" s="118"/>
      <c r="MK426" s="118"/>
      <c r="ML426" s="118"/>
      <c r="MM426" s="118"/>
      <c r="MN426" s="118"/>
      <c r="MO426" s="118"/>
      <c r="MP426" s="118"/>
      <c r="MQ426" s="118"/>
      <c r="MR426" s="118"/>
      <c r="MS426" s="118"/>
      <c r="MT426" s="118"/>
      <c r="MU426" s="118"/>
      <c r="MV426" s="118"/>
      <c r="MW426" s="118"/>
      <c r="MX426" s="118"/>
      <c r="MY426" s="118"/>
      <c r="MZ426" s="118"/>
      <c r="NA426" s="118"/>
      <c r="NB426" s="118"/>
      <c r="NC426" s="118"/>
      <c r="ND426" s="118"/>
      <c r="NE426" s="118"/>
      <c r="NF426" s="118"/>
      <c r="NG426" s="118"/>
      <c r="NH426" s="118"/>
      <c r="NI426" s="118"/>
      <c r="NJ426" s="118"/>
      <c r="NK426" s="118"/>
      <c r="NL426" s="118"/>
      <c r="NM426" s="118"/>
      <c r="NN426" s="118"/>
      <c r="NO426" s="118"/>
      <c r="NP426" s="118"/>
      <c r="NQ426" s="118"/>
      <c r="NR426" s="118"/>
      <c r="NS426" s="118"/>
      <c r="NT426" s="118"/>
      <c r="NU426" s="118"/>
      <c r="NV426" s="118"/>
      <c r="NW426" s="118"/>
      <c r="NX426" s="118"/>
      <c r="NY426" s="118"/>
      <c r="NZ426" s="118"/>
      <c r="OA426" s="118"/>
      <c r="OB426" s="118"/>
      <c r="OC426" s="118"/>
      <c r="OD426" s="118"/>
      <c r="OE426" s="118"/>
      <c r="OF426" s="118"/>
      <c r="OG426" s="118"/>
      <c r="OH426" s="118"/>
      <c r="OI426" s="118"/>
      <c r="OJ426" s="118"/>
      <c r="OK426" s="118"/>
      <c r="OL426" s="118"/>
      <c r="OM426" s="118"/>
      <c r="ON426" s="118"/>
      <c r="OO426" s="118"/>
      <c r="OP426" s="118"/>
      <c r="OQ426" s="118"/>
      <c r="OR426" s="118"/>
      <c r="OS426" s="118"/>
      <c r="OT426" s="118"/>
      <c r="OU426" s="118"/>
      <c r="OV426" s="118"/>
      <c r="OW426" s="118"/>
      <c r="OX426" s="118"/>
      <c r="OY426" s="118"/>
      <c r="OZ426" s="118"/>
      <c r="PA426" s="118"/>
      <c r="PB426" s="118"/>
      <c r="PC426" s="118"/>
      <c r="PD426" s="118"/>
      <c r="PE426" s="118"/>
      <c r="PF426" s="118"/>
      <c r="PG426" s="118"/>
      <c r="PH426" s="118"/>
      <c r="PI426" s="118"/>
      <c r="PJ426" s="118"/>
      <c r="PK426" s="118"/>
      <c r="PL426" s="118"/>
      <c r="PM426" s="118"/>
      <c r="PN426" s="118"/>
      <c r="PO426" s="118"/>
      <c r="PP426" s="118"/>
      <c r="PQ426" s="118"/>
      <c r="PR426" s="118"/>
      <c r="PS426" s="118"/>
      <c r="PT426" s="118"/>
      <c r="PU426" s="118"/>
      <c r="PV426" s="118"/>
      <c r="PW426" s="118"/>
      <c r="PX426" s="118"/>
      <c r="PY426" s="118"/>
      <c r="PZ426" s="118"/>
      <c r="QA426" s="118"/>
      <c r="QB426" s="118"/>
      <c r="QC426" s="118"/>
      <c r="QD426" s="118"/>
      <c r="QE426" s="118"/>
      <c r="QF426" s="118"/>
      <c r="QG426" s="118"/>
      <c r="QH426" s="118"/>
      <c r="QI426" s="118"/>
      <c r="QJ426" s="118"/>
      <c r="QK426" s="118"/>
      <c r="QL426" s="118"/>
      <c r="QM426" s="118"/>
      <c r="QN426" s="118"/>
      <c r="QO426" s="118"/>
      <c r="QP426" s="118"/>
      <c r="QQ426" s="118"/>
      <c r="QR426" s="118"/>
      <c r="QS426" s="118"/>
      <c r="QT426" s="118"/>
      <c r="QU426" s="118"/>
      <c r="QV426" s="118"/>
      <c r="QW426" s="118"/>
      <c r="QX426" s="118"/>
      <c r="QY426" s="118"/>
      <c r="QZ426" s="118"/>
      <c r="RA426" s="118"/>
      <c r="RB426" s="118"/>
      <c r="RC426" s="118"/>
      <c r="RD426" s="118"/>
      <c r="RE426" s="118"/>
      <c r="RF426" s="118"/>
      <c r="RG426" s="118"/>
      <c r="RH426" s="118"/>
      <c r="RI426" s="118"/>
      <c r="RJ426" s="118"/>
      <c r="RK426" s="118"/>
      <c r="RL426" s="118"/>
      <c r="RM426" s="118"/>
      <c r="RN426" s="118"/>
      <c r="RO426" s="118"/>
      <c r="RP426" s="118"/>
      <c r="RQ426" s="118"/>
      <c r="RR426" s="118"/>
      <c r="RS426" s="118"/>
      <c r="RT426" s="118"/>
      <c r="RU426" s="118"/>
      <c r="RV426" s="118"/>
      <c r="RW426" s="118"/>
      <c r="RX426" s="118"/>
      <c r="RY426" s="118"/>
      <c r="RZ426" s="118"/>
      <c r="SA426" s="118"/>
      <c r="SB426" s="118"/>
      <c r="SC426" s="118"/>
      <c r="SD426" s="118"/>
      <c r="SE426" s="118"/>
      <c r="SF426" s="118"/>
      <c r="SG426" s="118"/>
      <c r="SH426" s="118"/>
      <c r="SI426" s="118"/>
      <c r="SJ426" s="118"/>
      <c r="SK426" s="118"/>
      <c r="SL426" s="118"/>
      <c r="SM426" s="118"/>
      <c r="SN426" s="118"/>
      <c r="SO426" s="118"/>
      <c r="SP426" s="118"/>
      <c r="SQ426" s="118"/>
      <c r="SR426" s="118"/>
      <c r="SS426" s="118"/>
      <c r="ST426" s="118"/>
      <c r="SU426" s="118"/>
      <c r="SV426" s="118"/>
      <c r="SW426" s="118"/>
      <c r="SX426" s="118"/>
      <c r="SY426" s="118"/>
      <c r="SZ426" s="118"/>
      <c r="TA426" s="118"/>
      <c r="TB426" s="118"/>
      <c r="TC426" s="118"/>
      <c r="TD426" s="118"/>
      <c r="TE426" s="118"/>
      <c r="TF426" s="118"/>
      <c r="TG426" s="118"/>
      <c r="TH426" s="118"/>
      <c r="TI426" s="118"/>
      <c r="TJ426" s="118"/>
      <c r="TK426" s="118"/>
      <c r="TL426" s="118"/>
      <c r="TM426" s="118"/>
      <c r="TN426" s="118"/>
      <c r="TO426" s="118"/>
      <c r="TP426" s="118"/>
      <c r="TQ426" s="118"/>
      <c r="TR426" s="118"/>
      <c r="TS426" s="118"/>
      <c r="TT426" s="118"/>
      <c r="TU426" s="118"/>
      <c r="TV426" s="118"/>
      <c r="TW426" s="118"/>
      <c r="TX426" s="118"/>
      <c r="TY426" s="118"/>
      <c r="TZ426" s="118"/>
      <c r="UA426" s="118"/>
      <c r="UB426" s="118"/>
      <c r="UC426" s="118"/>
      <c r="UD426" s="118"/>
      <c r="UE426" s="118"/>
      <c r="UF426" s="118"/>
      <c r="UG426" s="115"/>
    </row>
    <row r="427" spans="1:553" ht="30.75" customHeight="1">
      <c r="A427" s="356" t="s">
        <v>30</v>
      </c>
      <c r="B427" s="385" t="s">
        <v>31</v>
      </c>
      <c r="C427" s="1404" t="s">
        <v>91</v>
      </c>
      <c r="D427" s="1389"/>
      <c r="E427" s="1389"/>
      <c r="F427" s="1390"/>
      <c r="G427" s="386" t="s">
        <v>34</v>
      </c>
      <c r="H427" s="370"/>
      <c r="I427" s="422">
        <f>((0.1*0.1*3.14)-(0.15*0.15*3.14))*4.2*16</f>
        <v>-2.6375999999999999</v>
      </c>
      <c r="J427" s="368">
        <v>4000000</v>
      </c>
      <c r="K427" s="371"/>
      <c r="L427" s="391">
        <f t="shared" si="87"/>
        <v>-10550400</v>
      </c>
      <c r="M427" s="391"/>
      <c r="N427" s="391"/>
      <c r="O427" s="391"/>
      <c r="P427" s="391"/>
      <c r="Q427" s="1444"/>
      <c r="R427" s="1226"/>
      <c r="S427" s="435"/>
      <c r="T427" s="436"/>
      <c r="U427" s="304"/>
      <c r="V427" s="393"/>
      <c r="W427" s="304"/>
      <c r="X427" s="304"/>
      <c r="Y427" s="304"/>
      <c r="Z427" s="304"/>
      <c r="AA427" s="304"/>
      <c r="AB427" s="304"/>
      <c r="AC427" s="449"/>
      <c r="AD427" s="449"/>
      <c r="AE427" s="449"/>
      <c r="AF427" s="449"/>
      <c r="AG427" s="449"/>
      <c r="AH427" s="449"/>
      <c r="AI427" s="449"/>
      <c r="AJ427" s="449"/>
      <c r="AK427" s="452"/>
      <c r="AL427" s="104"/>
      <c r="AM427" s="32"/>
      <c r="AN427" s="32"/>
      <c r="AO427" s="32"/>
      <c r="AP427" s="32"/>
      <c r="AQ427" s="32"/>
      <c r="AR427" s="32"/>
      <c r="AS427" s="31"/>
      <c r="AT427" s="31"/>
      <c r="AU427" s="31"/>
      <c r="AV427" s="31"/>
      <c r="AW427" s="31"/>
      <c r="AX427" s="31"/>
      <c r="AY427" s="31"/>
      <c r="AZ427" s="31"/>
      <c r="BA427" s="31"/>
      <c r="BB427" s="31"/>
      <c r="BC427" s="31"/>
      <c r="BD427" s="31"/>
      <c r="BE427" s="31"/>
      <c r="BF427" s="31"/>
      <c r="BG427" s="31"/>
      <c r="BH427" s="31"/>
      <c r="BI427" s="31"/>
      <c r="BJ427" s="31"/>
      <c r="BK427" s="31"/>
      <c r="BL427" s="31"/>
      <c r="BM427" s="31"/>
      <c r="BN427" s="31"/>
      <c r="BO427" s="31"/>
      <c r="BP427" s="31"/>
      <c r="BQ427" s="31"/>
      <c r="BR427" s="31"/>
      <c r="BS427" s="31"/>
      <c r="BT427" s="31"/>
      <c r="BU427" s="31"/>
      <c r="BV427" s="31"/>
      <c r="BW427" s="31"/>
      <c r="BX427" s="31"/>
      <c r="BY427" s="31"/>
      <c r="BZ427" s="31"/>
      <c r="CA427" s="31"/>
      <c r="CB427" s="31"/>
      <c r="CC427" s="31"/>
      <c r="CD427" s="31"/>
      <c r="CE427" s="31"/>
      <c r="CF427" s="31"/>
      <c r="CG427" s="31"/>
      <c r="CH427" s="31"/>
      <c r="CI427" s="31"/>
      <c r="CJ427" s="31"/>
      <c r="CK427" s="31"/>
      <c r="CL427" s="31"/>
      <c r="CM427" s="31"/>
      <c r="CN427" s="31"/>
      <c r="CO427" s="31"/>
      <c r="CP427" s="31"/>
      <c r="CQ427" s="31"/>
      <c r="CR427" s="31"/>
      <c r="CS427" s="31"/>
      <c r="CT427" s="31"/>
      <c r="CU427" s="31"/>
      <c r="CV427" s="31"/>
      <c r="CW427" s="31"/>
      <c r="CX427" s="31"/>
      <c r="CY427" s="31"/>
      <c r="CZ427" s="31"/>
      <c r="DA427" s="31"/>
      <c r="DB427" s="31"/>
      <c r="DC427" s="31"/>
      <c r="DD427" s="31"/>
      <c r="DE427" s="31"/>
      <c r="DF427" s="31"/>
      <c r="DG427" s="31"/>
      <c r="DH427" s="31"/>
      <c r="DI427" s="31"/>
      <c r="DJ427" s="31"/>
      <c r="DK427" s="31"/>
      <c r="DL427" s="31"/>
      <c r="DM427" s="31"/>
      <c r="DN427" s="31"/>
      <c r="DO427" s="31"/>
      <c r="DP427" s="31"/>
      <c r="DQ427" s="31"/>
      <c r="DR427" s="31"/>
      <c r="DS427" s="31"/>
      <c r="DT427" s="31"/>
      <c r="DU427" s="31"/>
      <c r="DV427" s="31"/>
      <c r="DW427" s="31"/>
      <c r="DX427" s="31"/>
      <c r="DY427" s="31"/>
      <c r="DZ427" s="31"/>
      <c r="EA427" s="31"/>
      <c r="EB427" s="31"/>
      <c r="EC427" s="31"/>
      <c r="ED427" s="31"/>
      <c r="EE427" s="31"/>
      <c r="EF427" s="31"/>
      <c r="EG427" s="31"/>
      <c r="EH427" s="31"/>
      <c r="EI427" s="31"/>
      <c r="EJ427" s="31"/>
      <c r="EK427" s="31"/>
      <c r="EL427" s="31"/>
      <c r="EM427" s="31"/>
      <c r="EN427" s="31"/>
      <c r="EO427" s="31"/>
      <c r="EP427" s="31"/>
      <c r="EQ427" s="31"/>
      <c r="ER427" s="31"/>
      <c r="ES427" s="31"/>
      <c r="ET427" s="31"/>
      <c r="EU427" s="31"/>
      <c r="EV427" s="31"/>
      <c r="EW427" s="31"/>
      <c r="EX427" s="31"/>
      <c r="EY427" s="31"/>
      <c r="EZ427" s="31"/>
      <c r="FA427" s="31"/>
      <c r="FB427" s="31"/>
      <c r="FC427" s="31"/>
      <c r="FD427" s="31"/>
      <c r="FE427" s="31"/>
      <c r="FF427" s="31"/>
      <c r="FG427" s="31"/>
      <c r="FH427" s="31"/>
      <c r="FI427" s="31"/>
      <c r="FJ427" s="31"/>
      <c r="FK427" s="31"/>
      <c r="FL427" s="31"/>
      <c r="FM427" s="31"/>
      <c r="FN427" s="31"/>
      <c r="FO427" s="31"/>
      <c r="FP427" s="31"/>
      <c r="FQ427" s="31"/>
      <c r="FR427" s="31"/>
      <c r="FS427" s="31"/>
      <c r="FT427" s="31"/>
      <c r="FU427" s="31"/>
      <c r="FV427" s="31"/>
      <c r="FW427" s="31"/>
      <c r="FX427" s="31"/>
      <c r="FY427" s="31"/>
      <c r="FZ427" s="31"/>
      <c r="GA427" s="31"/>
      <c r="GB427" s="31"/>
      <c r="GC427" s="31"/>
      <c r="GD427" s="31"/>
      <c r="GE427" s="31"/>
      <c r="GF427" s="31"/>
      <c r="GG427" s="31"/>
      <c r="GH427" s="31"/>
      <c r="GI427" s="31"/>
      <c r="GJ427" s="31"/>
      <c r="GK427" s="31"/>
      <c r="GL427" s="31"/>
      <c r="GM427" s="31"/>
      <c r="GN427" s="31"/>
      <c r="GO427" s="31"/>
      <c r="GP427" s="31"/>
      <c r="GQ427" s="31"/>
      <c r="GR427" s="31"/>
      <c r="GS427" s="31"/>
      <c r="GT427" s="31"/>
      <c r="GU427" s="31"/>
      <c r="GV427" s="31"/>
      <c r="GW427" s="31"/>
      <c r="GX427" s="31"/>
      <c r="GY427" s="31"/>
      <c r="GZ427" s="31"/>
      <c r="HA427" s="31"/>
      <c r="HB427" s="31"/>
      <c r="HC427" s="31"/>
      <c r="HD427" s="31"/>
      <c r="HE427" s="31"/>
      <c r="HF427" s="31"/>
      <c r="HG427" s="31"/>
      <c r="HH427" s="31"/>
      <c r="HI427" s="31"/>
      <c r="HJ427" s="31"/>
      <c r="HK427" s="31"/>
      <c r="HL427" s="31"/>
      <c r="HM427" s="31"/>
      <c r="HN427" s="31"/>
      <c r="HO427" s="31"/>
      <c r="HP427" s="31"/>
      <c r="HQ427" s="31"/>
      <c r="HR427" s="31"/>
      <c r="HS427" s="31"/>
      <c r="HT427" s="31"/>
      <c r="HU427" s="31"/>
      <c r="HV427" s="31"/>
      <c r="HW427" s="31"/>
      <c r="HX427" s="31"/>
      <c r="HY427" s="31"/>
      <c r="HZ427" s="31"/>
      <c r="IA427" s="31"/>
      <c r="IB427" s="31"/>
      <c r="IC427" s="31"/>
      <c r="ID427" s="31"/>
      <c r="IE427" s="31"/>
      <c r="IF427" s="31"/>
      <c r="IG427" s="31"/>
      <c r="IH427" s="31"/>
      <c r="II427" s="31"/>
      <c r="IJ427" s="31"/>
      <c r="IK427" s="31"/>
      <c r="IL427" s="31"/>
      <c r="IM427" s="31"/>
      <c r="IN427" s="31"/>
      <c r="IO427" s="31"/>
      <c r="IP427" s="31"/>
      <c r="IQ427" s="31"/>
      <c r="IR427" s="31"/>
      <c r="IS427" s="31"/>
      <c r="IT427" s="31"/>
      <c r="IU427" s="31"/>
      <c r="IV427" s="31"/>
      <c r="IW427" s="31"/>
      <c r="IX427" s="31"/>
      <c r="IY427" s="31"/>
      <c r="IZ427" s="31"/>
      <c r="JA427" s="31"/>
      <c r="JB427" s="31"/>
      <c r="JC427" s="31"/>
      <c r="JD427" s="31"/>
      <c r="JE427" s="31"/>
      <c r="JF427" s="31"/>
      <c r="JG427" s="31"/>
      <c r="JH427" s="31"/>
      <c r="JI427" s="31"/>
      <c r="JJ427" s="31"/>
      <c r="JK427" s="31"/>
      <c r="JL427" s="31"/>
      <c r="JM427" s="31"/>
      <c r="JN427" s="31"/>
      <c r="JO427" s="31"/>
      <c r="JP427" s="31"/>
      <c r="JQ427" s="31"/>
      <c r="JR427" s="31"/>
      <c r="JS427" s="31"/>
      <c r="JT427" s="31"/>
      <c r="JU427" s="31"/>
      <c r="JV427" s="31"/>
      <c r="JW427" s="31"/>
      <c r="JX427" s="31"/>
      <c r="JY427" s="31"/>
      <c r="JZ427" s="31"/>
      <c r="KA427" s="31"/>
      <c r="KB427" s="31"/>
      <c r="KC427" s="31"/>
      <c r="KD427" s="31"/>
      <c r="KE427" s="31"/>
      <c r="KF427" s="31"/>
      <c r="KG427" s="31"/>
      <c r="KH427" s="31"/>
      <c r="KI427" s="31"/>
      <c r="KJ427" s="31"/>
      <c r="KK427" s="31"/>
      <c r="KL427" s="31"/>
      <c r="KM427" s="31"/>
      <c r="KN427" s="31"/>
      <c r="KO427" s="31"/>
      <c r="KP427" s="31"/>
      <c r="KQ427" s="31"/>
      <c r="KR427" s="31"/>
      <c r="KS427" s="31"/>
      <c r="KT427" s="31"/>
      <c r="KU427" s="31"/>
      <c r="KV427" s="31"/>
      <c r="KW427" s="31"/>
      <c r="KX427" s="31"/>
      <c r="KY427" s="31"/>
      <c r="KZ427" s="31"/>
      <c r="LA427" s="31"/>
      <c r="LB427" s="31"/>
      <c r="LC427" s="31"/>
      <c r="LD427" s="31"/>
      <c r="LE427" s="31"/>
      <c r="LF427" s="31"/>
      <c r="LG427" s="31"/>
      <c r="LH427" s="31"/>
      <c r="LI427" s="31"/>
      <c r="LJ427" s="31"/>
      <c r="LK427" s="31"/>
      <c r="LL427" s="31"/>
      <c r="LM427" s="31"/>
      <c r="LN427" s="31"/>
      <c r="LO427" s="31"/>
      <c r="LP427" s="31"/>
      <c r="LQ427" s="31"/>
      <c r="LR427" s="31"/>
      <c r="LS427" s="31"/>
      <c r="LT427" s="31"/>
      <c r="LU427" s="31"/>
      <c r="LV427" s="31"/>
      <c r="LW427" s="31"/>
      <c r="LX427" s="31"/>
      <c r="LY427" s="31"/>
      <c r="LZ427" s="31"/>
      <c r="MA427" s="31"/>
      <c r="MB427" s="31"/>
      <c r="MC427" s="31"/>
      <c r="MD427" s="31"/>
      <c r="ME427" s="31"/>
      <c r="MF427" s="31"/>
      <c r="MG427" s="31"/>
      <c r="MH427" s="31"/>
      <c r="MI427" s="31"/>
      <c r="MJ427" s="31"/>
      <c r="MK427" s="31"/>
      <c r="ML427" s="31"/>
      <c r="MM427" s="31"/>
      <c r="MN427" s="31"/>
      <c r="MO427" s="31"/>
      <c r="MP427" s="31"/>
      <c r="MQ427" s="31"/>
      <c r="MR427" s="31"/>
      <c r="MS427" s="31"/>
      <c r="MT427" s="31"/>
      <c r="MU427" s="31"/>
      <c r="MV427" s="31"/>
      <c r="MW427" s="31"/>
      <c r="MX427" s="31"/>
      <c r="MY427" s="31"/>
      <c r="MZ427" s="31"/>
      <c r="NA427" s="31"/>
      <c r="NB427" s="31"/>
      <c r="NC427" s="31"/>
      <c r="ND427" s="31"/>
      <c r="NE427" s="31"/>
      <c r="NF427" s="31"/>
      <c r="NG427" s="31"/>
      <c r="NH427" s="31"/>
      <c r="NI427" s="31"/>
      <c r="NJ427" s="31"/>
      <c r="NK427" s="31"/>
      <c r="NL427" s="31"/>
      <c r="NM427" s="31"/>
      <c r="NN427" s="31"/>
      <c r="NO427" s="31"/>
      <c r="NP427" s="31"/>
      <c r="NQ427" s="31"/>
      <c r="NR427" s="31"/>
      <c r="NS427" s="31"/>
      <c r="NT427" s="31"/>
      <c r="NU427" s="31"/>
      <c r="NV427" s="31"/>
      <c r="NW427" s="31"/>
      <c r="NX427" s="31"/>
      <c r="NY427" s="31"/>
      <c r="NZ427" s="31"/>
      <c r="OA427" s="31"/>
      <c r="OB427" s="31"/>
      <c r="OC427" s="31"/>
      <c r="OD427" s="31"/>
      <c r="OE427" s="31"/>
      <c r="OF427" s="31"/>
      <c r="OG427" s="31"/>
      <c r="OH427" s="31"/>
      <c r="OI427" s="31"/>
      <c r="OJ427" s="31"/>
      <c r="OK427" s="31"/>
      <c r="OL427" s="31"/>
      <c r="OM427" s="31"/>
      <c r="ON427" s="31"/>
      <c r="OO427" s="31"/>
      <c r="OP427" s="31"/>
      <c r="OQ427" s="31"/>
      <c r="OR427" s="31"/>
      <c r="OS427" s="31"/>
      <c r="OT427" s="31"/>
      <c r="OU427" s="31"/>
      <c r="OV427" s="31"/>
      <c r="OW427" s="31"/>
      <c r="OX427" s="31"/>
      <c r="OY427" s="31"/>
      <c r="OZ427" s="31"/>
      <c r="PA427" s="31"/>
      <c r="PB427" s="31"/>
      <c r="PC427" s="31"/>
      <c r="PD427" s="31"/>
      <c r="PE427" s="31"/>
      <c r="PF427" s="31"/>
      <c r="PG427" s="31"/>
      <c r="PH427" s="31"/>
      <c r="PI427" s="31"/>
      <c r="PJ427" s="31"/>
      <c r="PK427" s="31"/>
      <c r="PL427" s="31"/>
      <c r="PM427" s="31"/>
      <c r="PN427" s="31"/>
      <c r="PO427" s="31"/>
      <c r="PP427" s="31"/>
      <c r="PQ427" s="31"/>
      <c r="PR427" s="31"/>
      <c r="PS427" s="31"/>
      <c r="PT427" s="31"/>
      <c r="PU427" s="31"/>
      <c r="PV427" s="31"/>
      <c r="PW427" s="31"/>
      <c r="PX427" s="31"/>
      <c r="PY427" s="31"/>
      <c r="PZ427" s="31"/>
      <c r="QA427" s="31"/>
      <c r="QB427" s="31"/>
      <c r="QC427" s="31"/>
      <c r="QD427" s="31"/>
      <c r="QE427" s="31"/>
      <c r="QF427" s="31"/>
      <c r="QG427" s="31"/>
      <c r="QH427" s="31"/>
      <c r="QI427" s="31"/>
      <c r="QJ427" s="31"/>
      <c r="QK427" s="31"/>
      <c r="QL427" s="31"/>
      <c r="QM427" s="31"/>
      <c r="QN427" s="31"/>
      <c r="QO427" s="31"/>
      <c r="QP427" s="31"/>
      <c r="QQ427" s="31"/>
      <c r="QR427" s="31"/>
      <c r="QS427" s="31"/>
      <c r="QT427" s="31"/>
      <c r="QU427" s="31"/>
      <c r="QV427" s="31"/>
      <c r="QW427" s="31"/>
      <c r="QX427" s="31"/>
      <c r="QY427" s="31"/>
      <c r="QZ427" s="31"/>
      <c r="RA427" s="31"/>
      <c r="RB427" s="31"/>
      <c r="RC427" s="31"/>
      <c r="RD427" s="31"/>
      <c r="RE427" s="31"/>
      <c r="RF427" s="31"/>
      <c r="RG427" s="31"/>
      <c r="RH427" s="31"/>
      <c r="RI427" s="31"/>
      <c r="RJ427" s="31"/>
      <c r="RK427" s="31"/>
      <c r="RL427" s="31"/>
      <c r="RM427" s="31"/>
      <c r="RN427" s="31"/>
      <c r="RO427" s="31"/>
      <c r="RP427" s="31"/>
      <c r="RQ427" s="31"/>
      <c r="RR427" s="31"/>
      <c r="RS427" s="31"/>
      <c r="RT427" s="31"/>
      <c r="RU427" s="31"/>
      <c r="RV427" s="31"/>
      <c r="RW427" s="31"/>
      <c r="RX427" s="31"/>
      <c r="RY427" s="31"/>
      <c r="RZ427" s="31"/>
      <c r="SA427" s="31"/>
      <c r="SB427" s="31"/>
      <c r="SC427" s="31"/>
      <c r="SD427" s="31"/>
      <c r="SE427" s="31"/>
      <c r="SF427" s="31"/>
      <c r="SG427" s="31"/>
      <c r="SH427" s="31"/>
      <c r="SI427" s="31"/>
      <c r="SJ427" s="31"/>
      <c r="SK427" s="31"/>
      <c r="SL427" s="31"/>
      <c r="SM427" s="31"/>
      <c r="SN427" s="31"/>
      <c r="SO427" s="31"/>
      <c r="SP427" s="31"/>
      <c r="SQ427" s="31"/>
      <c r="SR427" s="31"/>
      <c r="SS427" s="31"/>
      <c r="ST427" s="31"/>
      <c r="SU427" s="31"/>
      <c r="SV427" s="31"/>
      <c r="SW427" s="31"/>
      <c r="SX427" s="31"/>
      <c r="SY427" s="31"/>
      <c r="SZ427" s="31"/>
      <c r="TA427" s="31"/>
      <c r="TB427" s="31"/>
      <c r="TC427" s="31"/>
      <c r="TD427" s="31"/>
      <c r="TE427" s="31"/>
      <c r="TF427" s="31"/>
      <c r="TG427" s="31"/>
      <c r="TH427" s="31"/>
      <c r="TI427" s="31"/>
      <c r="TJ427" s="31"/>
      <c r="TK427" s="31"/>
      <c r="TL427" s="31"/>
      <c r="TM427" s="31"/>
      <c r="TN427" s="31"/>
      <c r="TO427" s="31"/>
      <c r="TP427" s="31"/>
      <c r="TQ427" s="31"/>
      <c r="TR427" s="31"/>
      <c r="TS427" s="31"/>
      <c r="TT427" s="31"/>
      <c r="TU427" s="31"/>
      <c r="TV427" s="31"/>
      <c r="TW427" s="31"/>
      <c r="TX427" s="31"/>
      <c r="TY427" s="31"/>
      <c r="TZ427" s="31"/>
      <c r="UA427" s="31"/>
      <c r="UB427" s="31"/>
      <c r="UC427" s="31"/>
      <c r="UD427" s="31"/>
      <c r="UE427" s="31"/>
      <c r="UF427" s="31"/>
      <c r="UG427" s="33"/>
    </row>
    <row r="428" spans="1:553" s="125" customFormat="1" ht="30.75" customHeight="1">
      <c r="A428" s="431" t="s">
        <v>30</v>
      </c>
      <c r="B428" s="541" t="s">
        <v>31</v>
      </c>
      <c r="C428" s="1471" t="s">
        <v>92</v>
      </c>
      <c r="D428" s="1389"/>
      <c r="E428" s="1389"/>
      <c r="F428" s="1390"/>
      <c r="G428" s="542" t="s">
        <v>34</v>
      </c>
      <c r="H428" s="543"/>
      <c r="I428" s="583">
        <f>((0.1*0.1*3.14)-(0.15*0.15*3.14))*5.2*6</f>
        <v>-1.2246000000000001</v>
      </c>
      <c r="J428" s="990">
        <v>4000000</v>
      </c>
      <c r="K428" s="584"/>
      <c r="L428" s="585">
        <f t="shared" si="87"/>
        <v>-4898400</v>
      </c>
      <c r="M428" s="585"/>
      <c r="N428" s="585"/>
      <c r="O428" s="585"/>
      <c r="P428" s="585"/>
      <c r="Q428" s="1445"/>
      <c r="R428" s="1241"/>
      <c r="S428" s="435"/>
      <c r="T428" s="436"/>
      <c r="U428" s="304"/>
      <c r="V428" s="393"/>
      <c r="W428" s="304"/>
      <c r="X428" s="304"/>
      <c r="Y428" s="304"/>
      <c r="Z428" s="304"/>
      <c r="AA428" s="304"/>
      <c r="AB428" s="304"/>
      <c r="AC428" s="545"/>
      <c r="AD428" s="545"/>
      <c r="AE428" s="545"/>
      <c r="AF428" s="545"/>
      <c r="AG428" s="545"/>
      <c r="AH428" s="545"/>
      <c r="AI428" s="545"/>
      <c r="AJ428" s="545"/>
      <c r="AK428" s="546"/>
      <c r="AL428" s="300"/>
      <c r="AM428" s="122"/>
      <c r="AN428" s="122"/>
      <c r="AO428" s="122"/>
      <c r="AP428" s="122"/>
      <c r="AQ428" s="122"/>
      <c r="AR428" s="122"/>
      <c r="AS428" s="123"/>
      <c r="AT428" s="123"/>
      <c r="AU428" s="123"/>
      <c r="AV428" s="123"/>
      <c r="AW428" s="123"/>
      <c r="AX428" s="123"/>
      <c r="AY428" s="123"/>
      <c r="AZ428" s="123"/>
      <c r="BA428" s="123"/>
      <c r="BB428" s="123"/>
      <c r="BC428" s="123"/>
      <c r="BD428" s="123"/>
      <c r="BE428" s="123"/>
      <c r="BF428" s="123"/>
      <c r="BG428" s="123"/>
      <c r="BH428" s="123"/>
      <c r="BI428" s="123"/>
      <c r="BJ428" s="123"/>
      <c r="BK428" s="123"/>
      <c r="BL428" s="123"/>
      <c r="BM428" s="123"/>
      <c r="BN428" s="123"/>
      <c r="BO428" s="123"/>
      <c r="BP428" s="123"/>
      <c r="BQ428" s="123"/>
      <c r="BR428" s="123"/>
      <c r="BS428" s="123"/>
      <c r="BT428" s="123"/>
      <c r="BU428" s="123"/>
      <c r="BV428" s="123"/>
      <c r="BW428" s="123"/>
      <c r="BX428" s="123"/>
      <c r="BY428" s="123"/>
      <c r="BZ428" s="123"/>
      <c r="CA428" s="123"/>
      <c r="CB428" s="123"/>
      <c r="CC428" s="123"/>
      <c r="CD428" s="123"/>
      <c r="CE428" s="123"/>
      <c r="CF428" s="123"/>
      <c r="CG428" s="123"/>
      <c r="CH428" s="123"/>
      <c r="CI428" s="123"/>
      <c r="CJ428" s="123"/>
      <c r="CK428" s="123"/>
      <c r="CL428" s="123"/>
      <c r="CM428" s="123"/>
      <c r="CN428" s="123"/>
      <c r="CO428" s="123"/>
      <c r="CP428" s="123"/>
      <c r="CQ428" s="123"/>
      <c r="CR428" s="123"/>
      <c r="CS428" s="123"/>
      <c r="CT428" s="123"/>
      <c r="CU428" s="123"/>
      <c r="CV428" s="123"/>
      <c r="CW428" s="123"/>
      <c r="CX428" s="123"/>
      <c r="CY428" s="123"/>
      <c r="CZ428" s="123"/>
      <c r="DA428" s="123"/>
      <c r="DB428" s="123"/>
      <c r="DC428" s="123"/>
      <c r="DD428" s="123"/>
      <c r="DE428" s="123"/>
      <c r="DF428" s="123"/>
      <c r="DG428" s="123"/>
      <c r="DH428" s="123"/>
      <c r="DI428" s="123"/>
      <c r="DJ428" s="123"/>
      <c r="DK428" s="123"/>
      <c r="DL428" s="123"/>
      <c r="DM428" s="123"/>
      <c r="DN428" s="123"/>
      <c r="DO428" s="123"/>
      <c r="DP428" s="123"/>
      <c r="DQ428" s="123"/>
      <c r="DR428" s="123"/>
      <c r="DS428" s="123"/>
      <c r="DT428" s="123"/>
      <c r="DU428" s="123"/>
      <c r="DV428" s="123"/>
      <c r="DW428" s="123"/>
      <c r="DX428" s="123"/>
      <c r="DY428" s="123"/>
      <c r="DZ428" s="123"/>
      <c r="EA428" s="123"/>
      <c r="EB428" s="123"/>
      <c r="EC428" s="123"/>
      <c r="ED428" s="123"/>
      <c r="EE428" s="123"/>
      <c r="EF428" s="123"/>
      <c r="EG428" s="123"/>
      <c r="EH428" s="123"/>
      <c r="EI428" s="123"/>
      <c r="EJ428" s="123"/>
      <c r="EK428" s="123"/>
      <c r="EL428" s="123"/>
      <c r="EM428" s="123"/>
      <c r="EN428" s="123"/>
      <c r="EO428" s="123"/>
      <c r="EP428" s="123"/>
      <c r="EQ428" s="123"/>
      <c r="ER428" s="123"/>
      <c r="ES428" s="123"/>
      <c r="ET428" s="123"/>
      <c r="EU428" s="123"/>
      <c r="EV428" s="123"/>
      <c r="EW428" s="123"/>
      <c r="EX428" s="123"/>
      <c r="EY428" s="123"/>
      <c r="EZ428" s="123"/>
      <c r="FA428" s="123"/>
      <c r="FB428" s="123"/>
      <c r="FC428" s="123"/>
      <c r="FD428" s="123"/>
      <c r="FE428" s="123"/>
      <c r="FF428" s="123"/>
      <c r="FG428" s="123"/>
      <c r="FH428" s="123"/>
      <c r="FI428" s="123"/>
      <c r="FJ428" s="123"/>
      <c r="FK428" s="123"/>
      <c r="FL428" s="123"/>
      <c r="FM428" s="123"/>
      <c r="FN428" s="123"/>
      <c r="FO428" s="123"/>
      <c r="FP428" s="123"/>
      <c r="FQ428" s="123"/>
      <c r="FR428" s="123"/>
      <c r="FS428" s="123"/>
      <c r="FT428" s="123"/>
      <c r="FU428" s="123"/>
      <c r="FV428" s="123"/>
      <c r="FW428" s="123"/>
      <c r="FX428" s="123"/>
      <c r="FY428" s="123"/>
      <c r="FZ428" s="123"/>
      <c r="GA428" s="123"/>
      <c r="GB428" s="123"/>
      <c r="GC428" s="123"/>
      <c r="GD428" s="123"/>
      <c r="GE428" s="123"/>
      <c r="GF428" s="123"/>
      <c r="GG428" s="123"/>
      <c r="GH428" s="123"/>
      <c r="GI428" s="123"/>
      <c r="GJ428" s="123"/>
      <c r="GK428" s="123"/>
      <c r="GL428" s="123"/>
      <c r="GM428" s="123"/>
      <c r="GN428" s="123"/>
      <c r="GO428" s="123"/>
      <c r="GP428" s="123"/>
      <c r="GQ428" s="123"/>
      <c r="GR428" s="123"/>
      <c r="GS428" s="123"/>
      <c r="GT428" s="123"/>
      <c r="GU428" s="123"/>
      <c r="GV428" s="123"/>
      <c r="GW428" s="123"/>
      <c r="GX428" s="123"/>
      <c r="GY428" s="123"/>
      <c r="GZ428" s="123"/>
      <c r="HA428" s="123"/>
      <c r="HB428" s="123"/>
      <c r="HC428" s="123"/>
      <c r="HD428" s="123"/>
      <c r="HE428" s="123"/>
      <c r="HF428" s="123"/>
      <c r="HG428" s="123"/>
      <c r="HH428" s="123"/>
      <c r="HI428" s="123"/>
      <c r="HJ428" s="123"/>
      <c r="HK428" s="123"/>
      <c r="HL428" s="123"/>
      <c r="HM428" s="123"/>
      <c r="HN428" s="123"/>
      <c r="HO428" s="123"/>
      <c r="HP428" s="123"/>
      <c r="HQ428" s="123"/>
      <c r="HR428" s="123"/>
      <c r="HS428" s="123"/>
      <c r="HT428" s="123"/>
      <c r="HU428" s="123"/>
      <c r="HV428" s="123"/>
      <c r="HW428" s="123"/>
      <c r="HX428" s="123"/>
      <c r="HY428" s="123"/>
      <c r="HZ428" s="123"/>
      <c r="IA428" s="123"/>
      <c r="IB428" s="123"/>
      <c r="IC428" s="123"/>
      <c r="ID428" s="123"/>
      <c r="IE428" s="123"/>
      <c r="IF428" s="123"/>
      <c r="IG428" s="123"/>
      <c r="IH428" s="123"/>
      <c r="II428" s="123"/>
      <c r="IJ428" s="123"/>
      <c r="IK428" s="123"/>
      <c r="IL428" s="123"/>
      <c r="IM428" s="123"/>
      <c r="IN428" s="123"/>
      <c r="IO428" s="123"/>
      <c r="IP428" s="123"/>
      <c r="IQ428" s="123"/>
      <c r="IR428" s="123"/>
      <c r="IS428" s="123"/>
      <c r="IT428" s="123"/>
      <c r="IU428" s="123"/>
      <c r="IV428" s="123"/>
      <c r="IW428" s="123"/>
      <c r="IX428" s="123"/>
      <c r="IY428" s="123"/>
      <c r="IZ428" s="123"/>
      <c r="JA428" s="123"/>
      <c r="JB428" s="123"/>
      <c r="JC428" s="123"/>
      <c r="JD428" s="123"/>
      <c r="JE428" s="123"/>
      <c r="JF428" s="123"/>
      <c r="JG428" s="123"/>
      <c r="JH428" s="123"/>
      <c r="JI428" s="123"/>
      <c r="JJ428" s="123"/>
      <c r="JK428" s="123"/>
      <c r="JL428" s="123"/>
      <c r="JM428" s="123"/>
      <c r="JN428" s="123"/>
      <c r="JO428" s="123"/>
      <c r="JP428" s="123"/>
      <c r="JQ428" s="123"/>
      <c r="JR428" s="123"/>
      <c r="JS428" s="123"/>
      <c r="JT428" s="123"/>
      <c r="JU428" s="123"/>
      <c r="JV428" s="123"/>
      <c r="JW428" s="123"/>
      <c r="JX428" s="123"/>
      <c r="JY428" s="123"/>
      <c r="JZ428" s="123"/>
      <c r="KA428" s="123"/>
      <c r="KB428" s="123"/>
      <c r="KC428" s="123"/>
      <c r="KD428" s="123"/>
      <c r="KE428" s="123"/>
      <c r="KF428" s="123"/>
      <c r="KG428" s="123"/>
      <c r="KH428" s="123"/>
      <c r="KI428" s="123"/>
      <c r="KJ428" s="123"/>
      <c r="KK428" s="123"/>
      <c r="KL428" s="123"/>
      <c r="KM428" s="123"/>
      <c r="KN428" s="123"/>
      <c r="KO428" s="123"/>
      <c r="KP428" s="123"/>
      <c r="KQ428" s="123"/>
      <c r="KR428" s="123"/>
      <c r="KS428" s="123"/>
      <c r="KT428" s="123"/>
      <c r="KU428" s="123"/>
      <c r="KV428" s="123"/>
      <c r="KW428" s="123"/>
      <c r="KX428" s="123"/>
      <c r="KY428" s="123"/>
      <c r="KZ428" s="123"/>
      <c r="LA428" s="123"/>
      <c r="LB428" s="123"/>
      <c r="LC428" s="123"/>
      <c r="LD428" s="123"/>
      <c r="LE428" s="123"/>
      <c r="LF428" s="123"/>
      <c r="LG428" s="123"/>
      <c r="LH428" s="123"/>
      <c r="LI428" s="123"/>
      <c r="LJ428" s="123"/>
      <c r="LK428" s="123"/>
      <c r="LL428" s="123"/>
      <c r="LM428" s="123"/>
      <c r="LN428" s="123"/>
      <c r="LO428" s="123"/>
      <c r="LP428" s="123"/>
      <c r="LQ428" s="123"/>
      <c r="LR428" s="123"/>
      <c r="LS428" s="123"/>
      <c r="LT428" s="123"/>
      <c r="LU428" s="123"/>
      <c r="LV428" s="123"/>
      <c r="LW428" s="123"/>
      <c r="LX428" s="123"/>
      <c r="LY428" s="123"/>
      <c r="LZ428" s="123"/>
      <c r="MA428" s="123"/>
      <c r="MB428" s="123"/>
      <c r="MC428" s="123"/>
      <c r="MD428" s="123"/>
      <c r="ME428" s="123"/>
      <c r="MF428" s="123"/>
      <c r="MG428" s="123"/>
      <c r="MH428" s="123"/>
      <c r="MI428" s="123"/>
      <c r="MJ428" s="123"/>
      <c r="MK428" s="123"/>
      <c r="ML428" s="123"/>
      <c r="MM428" s="123"/>
      <c r="MN428" s="123"/>
      <c r="MO428" s="123"/>
      <c r="MP428" s="123"/>
      <c r="MQ428" s="123"/>
      <c r="MR428" s="123"/>
      <c r="MS428" s="123"/>
      <c r="MT428" s="123"/>
      <c r="MU428" s="123"/>
      <c r="MV428" s="123"/>
      <c r="MW428" s="123"/>
      <c r="MX428" s="123"/>
      <c r="MY428" s="123"/>
      <c r="MZ428" s="123"/>
      <c r="NA428" s="123"/>
      <c r="NB428" s="123"/>
      <c r="NC428" s="123"/>
      <c r="ND428" s="123"/>
      <c r="NE428" s="123"/>
      <c r="NF428" s="123"/>
      <c r="NG428" s="123"/>
      <c r="NH428" s="123"/>
      <c r="NI428" s="123"/>
      <c r="NJ428" s="123"/>
      <c r="NK428" s="123"/>
      <c r="NL428" s="123"/>
      <c r="NM428" s="123"/>
      <c r="NN428" s="123"/>
      <c r="NO428" s="123"/>
      <c r="NP428" s="123"/>
      <c r="NQ428" s="123"/>
      <c r="NR428" s="123"/>
      <c r="NS428" s="123"/>
      <c r="NT428" s="123"/>
      <c r="NU428" s="123"/>
      <c r="NV428" s="123"/>
      <c r="NW428" s="123"/>
      <c r="NX428" s="123"/>
      <c r="NY428" s="123"/>
      <c r="NZ428" s="123"/>
      <c r="OA428" s="123"/>
      <c r="OB428" s="123"/>
      <c r="OC428" s="123"/>
      <c r="OD428" s="123"/>
      <c r="OE428" s="123"/>
      <c r="OF428" s="123"/>
      <c r="OG428" s="123"/>
      <c r="OH428" s="123"/>
      <c r="OI428" s="123"/>
      <c r="OJ428" s="123"/>
      <c r="OK428" s="123"/>
      <c r="OL428" s="123"/>
      <c r="OM428" s="123"/>
      <c r="ON428" s="123"/>
      <c r="OO428" s="123"/>
      <c r="OP428" s="123"/>
      <c r="OQ428" s="123"/>
      <c r="OR428" s="123"/>
      <c r="OS428" s="123"/>
      <c r="OT428" s="123"/>
      <c r="OU428" s="123"/>
      <c r="OV428" s="123"/>
      <c r="OW428" s="123"/>
      <c r="OX428" s="123"/>
      <c r="OY428" s="123"/>
      <c r="OZ428" s="123"/>
      <c r="PA428" s="123"/>
      <c r="PB428" s="123"/>
      <c r="PC428" s="123"/>
      <c r="PD428" s="123"/>
      <c r="PE428" s="123"/>
      <c r="PF428" s="123"/>
      <c r="PG428" s="123"/>
      <c r="PH428" s="123"/>
      <c r="PI428" s="123"/>
      <c r="PJ428" s="123"/>
      <c r="PK428" s="123"/>
      <c r="PL428" s="123"/>
      <c r="PM428" s="123"/>
      <c r="PN428" s="123"/>
      <c r="PO428" s="123"/>
      <c r="PP428" s="123"/>
      <c r="PQ428" s="123"/>
      <c r="PR428" s="123"/>
      <c r="PS428" s="123"/>
      <c r="PT428" s="123"/>
      <c r="PU428" s="123"/>
      <c r="PV428" s="123"/>
      <c r="PW428" s="123"/>
      <c r="PX428" s="123"/>
      <c r="PY428" s="123"/>
      <c r="PZ428" s="123"/>
      <c r="QA428" s="123"/>
      <c r="QB428" s="123"/>
      <c r="QC428" s="123"/>
      <c r="QD428" s="123"/>
      <c r="QE428" s="123"/>
      <c r="QF428" s="123"/>
      <c r="QG428" s="123"/>
      <c r="QH428" s="123"/>
      <c r="QI428" s="123"/>
      <c r="QJ428" s="123"/>
      <c r="QK428" s="123"/>
      <c r="QL428" s="123"/>
      <c r="QM428" s="123"/>
      <c r="QN428" s="123"/>
      <c r="QO428" s="123"/>
      <c r="QP428" s="123"/>
      <c r="QQ428" s="123"/>
      <c r="QR428" s="123"/>
      <c r="QS428" s="123"/>
      <c r="QT428" s="123"/>
      <c r="QU428" s="123"/>
      <c r="QV428" s="123"/>
      <c r="QW428" s="123"/>
      <c r="QX428" s="123"/>
      <c r="QY428" s="123"/>
      <c r="QZ428" s="123"/>
      <c r="RA428" s="123"/>
      <c r="RB428" s="123"/>
      <c r="RC428" s="123"/>
      <c r="RD428" s="123"/>
      <c r="RE428" s="123"/>
      <c r="RF428" s="123"/>
      <c r="RG428" s="123"/>
      <c r="RH428" s="123"/>
      <c r="RI428" s="123"/>
      <c r="RJ428" s="123"/>
      <c r="RK428" s="123"/>
      <c r="RL428" s="123"/>
      <c r="RM428" s="123"/>
      <c r="RN428" s="123"/>
      <c r="RO428" s="123"/>
      <c r="RP428" s="123"/>
      <c r="RQ428" s="123"/>
      <c r="RR428" s="123"/>
      <c r="RS428" s="123"/>
      <c r="RT428" s="123"/>
      <c r="RU428" s="123"/>
      <c r="RV428" s="123"/>
      <c r="RW428" s="123"/>
      <c r="RX428" s="123"/>
      <c r="RY428" s="123"/>
      <c r="RZ428" s="123"/>
      <c r="SA428" s="123"/>
      <c r="SB428" s="123"/>
      <c r="SC428" s="123"/>
      <c r="SD428" s="123"/>
      <c r="SE428" s="123"/>
      <c r="SF428" s="123"/>
      <c r="SG428" s="123"/>
      <c r="SH428" s="123"/>
      <c r="SI428" s="123"/>
      <c r="SJ428" s="123"/>
      <c r="SK428" s="123"/>
      <c r="SL428" s="123"/>
      <c r="SM428" s="123"/>
      <c r="SN428" s="123"/>
      <c r="SO428" s="123"/>
      <c r="SP428" s="123"/>
      <c r="SQ428" s="123"/>
      <c r="SR428" s="123"/>
      <c r="SS428" s="123"/>
      <c r="ST428" s="123"/>
      <c r="SU428" s="123"/>
      <c r="SV428" s="123"/>
      <c r="SW428" s="123"/>
      <c r="SX428" s="123"/>
      <c r="SY428" s="123"/>
      <c r="SZ428" s="123"/>
      <c r="TA428" s="123"/>
      <c r="TB428" s="123"/>
      <c r="TC428" s="123"/>
      <c r="TD428" s="123"/>
      <c r="TE428" s="123"/>
      <c r="TF428" s="123"/>
      <c r="TG428" s="123"/>
      <c r="TH428" s="123"/>
      <c r="TI428" s="123"/>
      <c r="TJ428" s="123"/>
      <c r="TK428" s="123"/>
      <c r="TL428" s="123"/>
      <c r="TM428" s="123"/>
      <c r="TN428" s="123"/>
      <c r="TO428" s="123"/>
      <c r="TP428" s="123"/>
      <c r="TQ428" s="123"/>
      <c r="TR428" s="123"/>
      <c r="TS428" s="123"/>
      <c r="TT428" s="123"/>
      <c r="TU428" s="123"/>
      <c r="TV428" s="123"/>
      <c r="TW428" s="123"/>
      <c r="TX428" s="123"/>
      <c r="TY428" s="123"/>
      <c r="TZ428" s="123"/>
      <c r="UA428" s="123"/>
      <c r="UB428" s="123"/>
      <c r="UC428" s="123"/>
      <c r="UD428" s="123"/>
      <c r="UE428" s="123"/>
      <c r="UF428" s="123"/>
      <c r="UG428" s="124"/>
    </row>
    <row r="429" spans="1:553" ht="30.75" customHeight="1">
      <c r="A429" s="356" t="s">
        <v>30</v>
      </c>
      <c r="B429" s="385" t="s">
        <v>31</v>
      </c>
      <c r="C429" s="1404" t="s">
        <v>327</v>
      </c>
      <c r="D429" s="1389"/>
      <c r="E429" s="1389"/>
      <c r="F429" s="1390"/>
      <c r="G429" s="386"/>
      <c r="H429" s="370"/>
      <c r="I429" s="422"/>
      <c r="J429" s="368"/>
      <c r="K429" s="371"/>
      <c r="L429" s="391">
        <f t="shared" si="87"/>
        <v>0</v>
      </c>
      <c r="M429" s="391"/>
      <c r="N429" s="391"/>
      <c r="O429" s="391"/>
      <c r="P429" s="391"/>
      <c r="Q429" s="1444"/>
      <c r="R429" s="1226"/>
      <c r="S429" s="308"/>
      <c r="T429" s="303"/>
      <c r="U429" s="306"/>
      <c r="V429" s="307"/>
      <c r="W429" s="306"/>
      <c r="X429" s="306"/>
      <c r="Y429" s="306"/>
      <c r="Z429" s="306"/>
      <c r="AA429" s="306"/>
      <c r="AB429" s="306"/>
      <c r="AC429" s="449"/>
      <c r="AD429" s="449"/>
      <c r="AE429" s="449"/>
      <c r="AF429" s="449"/>
      <c r="AG429" s="449"/>
      <c r="AH429" s="449"/>
      <c r="AI429" s="449"/>
      <c r="AJ429" s="449"/>
      <c r="AK429" s="452"/>
      <c r="AL429" s="104"/>
      <c r="AM429" s="32"/>
      <c r="AN429" s="32"/>
      <c r="AO429" s="32"/>
      <c r="AP429" s="32"/>
      <c r="AQ429" s="32"/>
      <c r="AR429" s="32"/>
      <c r="AS429" s="31"/>
      <c r="AT429" s="31"/>
      <c r="AU429" s="31"/>
      <c r="AV429" s="31"/>
      <c r="AW429" s="31"/>
      <c r="AX429" s="31"/>
      <c r="AY429" s="31"/>
      <c r="AZ429" s="31"/>
      <c r="BA429" s="31"/>
      <c r="BB429" s="31"/>
      <c r="BC429" s="31"/>
      <c r="BD429" s="31"/>
      <c r="BE429" s="31"/>
      <c r="BF429" s="31"/>
      <c r="BG429" s="31"/>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c r="CH429" s="31"/>
      <c r="CI429" s="31"/>
      <c r="CJ429" s="31"/>
      <c r="CK429" s="31"/>
      <c r="CL429" s="31"/>
      <c r="CM429" s="31"/>
      <c r="CN429" s="31"/>
      <c r="CO429" s="31"/>
      <c r="CP429" s="31"/>
      <c r="CQ429" s="31"/>
      <c r="CR429" s="31"/>
      <c r="CS429" s="31"/>
      <c r="CT429" s="31"/>
      <c r="CU429" s="31"/>
      <c r="CV429" s="31"/>
      <c r="CW429" s="31"/>
      <c r="CX429" s="31"/>
      <c r="CY429" s="31"/>
      <c r="CZ429" s="31"/>
      <c r="DA429" s="31"/>
      <c r="DB429" s="31"/>
      <c r="DC429" s="31"/>
      <c r="DD429" s="31"/>
      <c r="DE429" s="31"/>
      <c r="DF429" s="31"/>
      <c r="DG429" s="31"/>
      <c r="DH429" s="31"/>
      <c r="DI429" s="31"/>
      <c r="DJ429" s="31"/>
      <c r="DK429" s="31"/>
      <c r="DL429" s="31"/>
      <c r="DM429" s="31"/>
      <c r="DN429" s="31"/>
      <c r="DO429" s="31"/>
      <c r="DP429" s="31"/>
      <c r="DQ429" s="31"/>
      <c r="DR429" s="31"/>
      <c r="DS429" s="31"/>
      <c r="DT429" s="31"/>
      <c r="DU429" s="31"/>
      <c r="DV429" s="31"/>
      <c r="DW429" s="31"/>
      <c r="DX429" s="31"/>
      <c r="DY429" s="31"/>
      <c r="DZ429" s="31"/>
      <c r="EA429" s="31"/>
      <c r="EB429" s="31"/>
      <c r="EC429" s="31"/>
      <c r="ED429" s="31"/>
      <c r="EE429" s="31"/>
      <c r="EF429" s="31"/>
      <c r="EG429" s="31"/>
      <c r="EH429" s="31"/>
      <c r="EI429" s="31"/>
      <c r="EJ429" s="31"/>
      <c r="EK429" s="31"/>
      <c r="EL429" s="31"/>
      <c r="EM429" s="31"/>
      <c r="EN429" s="31"/>
      <c r="EO429" s="31"/>
      <c r="EP429" s="31"/>
      <c r="EQ429" s="31"/>
      <c r="ER429" s="31"/>
      <c r="ES429" s="31"/>
      <c r="ET429" s="31"/>
      <c r="EU429" s="31"/>
      <c r="EV429" s="31"/>
      <c r="EW429" s="31"/>
      <c r="EX429" s="31"/>
      <c r="EY429" s="31"/>
      <c r="EZ429" s="31"/>
      <c r="FA429" s="31"/>
      <c r="FB429" s="31"/>
      <c r="FC429" s="31"/>
      <c r="FD429" s="31"/>
      <c r="FE429" s="31"/>
      <c r="FF429" s="31"/>
      <c r="FG429" s="31"/>
      <c r="FH429" s="31"/>
      <c r="FI429" s="31"/>
      <c r="FJ429" s="31"/>
      <c r="FK429" s="31"/>
      <c r="FL429" s="31"/>
      <c r="FM429" s="31"/>
      <c r="FN429" s="31"/>
      <c r="FO429" s="31"/>
      <c r="FP429" s="31"/>
      <c r="FQ429" s="31"/>
      <c r="FR429" s="31"/>
      <c r="FS429" s="31"/>
      <c r="FT429" s="31"/>
      <c r="FU429" s="31"/>
      <c r="FV429" s="31"/>
      <c r="FW429" s="31"/>
      <c r="FX429" s="31"/>
      <c r="FY429" s="31"/>
      <c r="FZ429" s="31"/>
      <c r="GA429" s="31"/>
      <c r="GB429" s="31"/>
      <c r="GC429" s="31"/>
      <c r="GD429" s="31"/>
      <c r="GE429" s="31"/>
      <c r="GF429" s="31"/>
      <c r="GG429" s="31"/>
      <c r="GH429" s="31"/>
      <c r="GI429" s="31"/>
      <c r="GJ429" s="31"/>
      <c r="GK429" s="31"/>
      <c r="GL429" s="31"/>
      <c r="GM429" s="31"/>
      <c r="GN429" s="31"/>
      <c r="GO429" s="31"/>
      <c r="GP429" s="31"/>
      <c r="GQ429" s="31"/>
      <c r="GR429" s="31"/>
      <c r="GS429" s="31"/>
      <c r="GT429" s="31"/>
      <c r="GU429" s="31"/>
      <c r="GV429" s="31"/>
      <c r="GW429" s="31"/>
      <c r="GX429" s="31"/>
      <c r="GY429" s="31"/>
      <c r="GZ429" s="31"/>
      <c r="HA429" s="31"/>
      <c r="HB429" s="31"/>
      <c r="HC429" s="31"/>
      <c r="HD429" s="31"/>
      <c r="HE429" s="31"/>
      <c r="HF429" s="31"/>
      <c r="HG429" s="31"/>
      <c r="HH429" s="31"/>
      <c r="HI429" s="31"/>
      <c r="HJ429" s="31"/>
      <c r="HK429" s="31"/>
      <c r="HL429" s="31"/>
      <c r="HM429" s="31"/>
      <c r="HN429" s="31"/>
      <c r="HO429" s="31"/>
      <c r="HP429" s="31"/>
      <c r="HQ429" s="31"/>
      <c r="HR429" s="31"/>
      <c r="HS429" s="31"/>
      <c r="HT429" s="31"/>
      <c r="HU429" s="31"/>
      <c r="HV429" s="31"/>
      <c r="HW429" s="31"/>
      <c r="HX429" s="31"/>
      <c r="HY429" s="31"/>
      <c r="HZ429" s="31"/>
      <c r="IA429" s="31"/>
      <c r="IB429" s="31"/>
      <c r="IC429" s="31"/>
      <c r="ID429" s="31"/>
      <c r="IE429" s="31"/>
      <c r="IF429" s="31"/>
      <c r="IG429" s="31"/>
      <c r="IH429" s="31"/>
      <c r="II429" s="31"/>
      <c r="IJ429" s="31"/>
      <c r="IK429" s="31"/>
      <c r="IL429" s="31"/>
      <c r="IM429" s="31"/>
      <c r="IN429" s="31"/>
      <c r="IO429" s="31"/>
      <c r="IP429" s="31"/>
      <c r="IQ429" s="31"/>
      <c r="IR429" s="31"/>
      <c r="IS429" s="31"/>
      <c r="IT429" s="31"/>
      <c r="IU429" s="31"/>
      <c r="IV429" s="31"/>
      <c r="IW429" s="31"/>
      <c r="IX429" s="31"/>
      <c r="IY429" s="31"/>
      <c r="IZ429" s="31"/>
      <c r="JA429" s="31"/>
      <c r="JB429" s="31"/>
      <c r="JC429" s="31"/>
      <c r="JD429" s="31"/>
      <c r="JE429" s="31"/>
      <c r="JF429" s="31"/>
      <c r="JG429" s="31"/>
      <c r="JH429" s="31"/>
      <c r="JI429" s="31"/>
      <c r="JJ429" s="31"/>
      <c r="JK429" s="31"/>
      <c r="JL429" s="31"/>
      <c r="JM429" s="31"/>
      <c r="JN429" s="31"/>
      <c r="JO429" s="31"/>
      <c r="JP429" s="31"/>
      <c r="JQ429" s="31"/>
      <c r="JR429" s="31"/>
      <c r="JS429" s="31"/>
      <c r="JT429" s="31"/>
      <c r="JU429" s="31"/>
      <c r="JV429" s="31"/>
      <c r="JW429" s="31"/>
      <c r="JX429" s="31"/>
      <c r="JY429" s="31"/>
      <c r="JZ429" s="31"/>
      <c r="KA429" s="31"/>
      <c r="KB429" s="31"/>
      <c r="KC429" s="31"/>
      <c r="KD429" s="31"/>
      <c r="KE429" s="31"/>
      <c r="KF429" s="31"/>
      <c r="KG429" s="31"/>
      <c r="KH429" s="31"/>
      <c r="KI429" s="31"/>
      <c r="KJ429" s="31"/>
      <c r="KK429" s="31"/>
      <c r="KL429" s="31"/>
      <c r="KM429" s="31"/>
      <c r="KN429" s="31"/>
      <c r="KO429" s="31"/>
      <c r="KP429" s="31"/>
      <c r="KQ429" s="31"/>
      <c r="KR429" s="31"/>
      <c r="KS429" s="31"/>
      <c r="KT429" s="31"/>
      <c r="KU429" s="31"/>
      <c r="KV429" s="31"/>
      <c r="KW429" s="31"/>
      <c r="KX429" s="31"/>
      <c r="KY429" s="31"/>
      <c r="KZ429" s="31"/>
      <c r="LA429" s="31"/>
      <c r="LB429" s="31"/>
      <c r="LC429" s="31"/>
      <c r="LD429" s="31"/>
      <c r="LE429" s="31"/>
      <c r="LF429" s="31"/>
      <c r="LG429" s="31"/>
      <c r="LH429" s="31"/>
      <c r="LI429" s="31"/>
      <c r="LJ429" s="31"/>
      <c r="LK429" s="31"/>
      <c r="LL429" s="31"/>
      <c r="LM429" s="31"/>
      <c r="LN429" s="31"/>
      <c r="LO429" s="31"/>
      <c r="LP429" s="31"/>
      <c r="LQ429" s="31"/>
      <c r="LR429" s="31"/>
      <c r="LS429" s="31"/>
      <c r="LT429" s="31"/>
      <c r="LU429" s="31"/>
      <c r="LV429" s="31"/>
      <c r="LW429" s="31"/>
      <c r="LX429" s="31"/>
      <c r="LY429" s="31"/>
      <c r="LZ429" s="31"/>
      <c r="MA429" s="31"/>
      <c r="MB429" s="31"/>
      <c r="MC429" s="31"/>
      <c r="MD429" s="31"/>
      <c r="ME429" s="31"/>
      <c r="MF429" s="31"/>
      <c r="MG429" s="31"/>
      <c r="MH429" s="31"/>
      <c r="MI429" s="31"/>
      <c r="MJ429" s="31"/>
      <c r="MK429" s="31"/>
      <c r="ML429" s="31"/>
      <c r="MM429" s="31"/>
      <c r="MN429" s="31"/>
      <c r="MO429" s="31"/>
      <c r="MP429" s="31"/>
      <c r="MQ429" s="31"/>
      <c r="MR429" s="31"/>
      <c r="MS429" s="31"/>
      <c r="MT429" s="31"/>
      <c r="MU429" s="31"/>
      <c r="MV429" s="31"/>
      <c r="MW429" s="31"/>
      <c r="MX429" s="31"/>
      <c r="MY429" s="31"/>
      <c r="MZ429" s="31"/>
      <c r="NA429" s="31"/>
      <c r="NB429" s="31"/>
      <c r="NC429" s="31"/>
      <c r="ND429" s="31"/>
      <c r="NE429" s="31"/>
      <c r="NF429" s="31"/>
      <c r="NG429" s="31"/>
      <c r="NH429" s="31"/>
      <c r="NI429" s="31"/>
      <c r="NJ429" s="31"/>
      <c r="NK429" s="31"/>
      <c r="NL429" s="31"/>
      <c r="NM429" s="31"/>
      <c r="NN429" s="31"/>
      <c r="NO429" s="31"/>
      <c r="NP429" s="31"/>
      <c r="NQ429" s="31"/>
      <c r="NR429" s="31"/>
      <c r="NS429" s="31"/>
      <c r="NT429" s="31"/>
      <c r="NU429" s="31"/>
      <c r="NV429" s="31"/>
      <c r="NW429" s="31"/>
      <c r="NX429" s="31"/>
      <c r="NY429" s="31"/>
      <c r="NZ429" s="31"/>
      <c r="OA429" s="31"/>
      <c r="OB429" s="31"/>
      <c r="OC429" s="31"/>
      <c r="OD429" s="31"/>
      <c r="OE429" s="31"/>
      <c r="OF429" s="31"/>
      <c r="OG429" s="31"/>
      <c r="OH429" s="31"/>
      <c r="OI429" s="31"/>
      <c r="OJ429" s="31"/>
      <c r="OK429" s="31"/>
      <c r="OL429" s="31"/>
      <c r="OM429" s="31"/>
      <c r="ON429" s="31"/>
      <c r="OO429" s="31"/>
      <c r="OP429" s="31"/>
      <c r="OQ429" s="31"/>
      <c r="OR429" s="31"/>
      <c r="OS429" s="31"/>
      <c r="OT429" s="31"/>
      <c r="OU429" s="31"/>
      <c r="OV429" s="31"/>
      <c r="OW429" s="31"/>
      <c r="OX429" s="31"/>
      <c r="OY429" s="31"/>
      <c r="OZ429" s="31"/>
      <c r="PA429" s="31"/>
      <c r="PB429" s="31"/>
      <c r="PC429" s="31"/>
      <c r="PD429" s="31"/>
      <c r="PE429" s="31"/>
      <c r="PF429" s="31"/>
      <c r="PG429" s="31"/>
      <c r="PH429" s="31"/>
      <c r="PI429" s="31"/>
      <c r="PJ429" s="31"/>
      <c r="PK429" s="31"/>
      <c r="PL429" s="31"/>
      <c r="PM429" s="31"/>
      <c r="PN429" s="31"/>
      <c r="PO429" s="31"/>
      <c r="PP429" s="31"/>
      <c r="PQ429" s="31"/>
      <c r="PR429" s="31"/>
      <c r="PS429" s="31"/>
      <c r="PT429" s="31"/>
      <c r="PU429" s="31"/>
      <c r="PV429" s="31"/>
      <c r="PW429" s="31"/>
      <c r="PX429" s="31"/>
      <c r="PY429" s="31"/>
      <c r="PZ429" s="31"/>
      <c r="QA429" s="31"/>
      <c r="QB429" s="31"/>
      <c r="QC429" s="31"/>
      <c r="QD429" s="31"/>
      <c r="QE429" s="31"/>
      <c r="QF429" s="31"/>
      <c r="QG429" s="31"/>
      <c r="QH429" s="31"/>
      <c r="QI429" s="31"/>
      <c r="QJ429" s="31"/>
      <c r="QK429" s="31"/>
      <c r="QL429" s="31"/>
      <c r="QM429" s="31"/>
      <c r="QN429" s="31"/>
      <c r="QO429" s="31"/>
      <c r="QP429" s="31"/>
      <c r="QQ429" s="31"/>
      <c r="QR429" s="31"/>
      <c r="QS429" s="31"/>
      <c r="QT429" s="31"/>
      <c r="QU429" s="31"/>
      <c r="QV429" s="31"/>
      <c r="QW429" s="31"/>
      <c r="QX429" s="31"/>
      <c r="QY429" s="31"/>
      <c r="QZ429" s="31"/>
      <c r="RA429" s="31"/>
      <c r="RB429" s="31"/>
      <c r="RC429" s="31"/>
      <c r="RD429" s="31"/>
      <c r="RE429" s="31"/>
      <c r="RF429" s="31"/>
      <c r="RG429" s="31"/>
      <c r="RH429" s="31"/>
      <c r="RI429" s="31"/>
      <c r="RJ429" s="31"/>
      <c r="RK429" s="31"/>
      <c r="RL429" s="31"/>
      <c r="RM429" s="31"/>
      <c r="RN429" s="31"/>
      <c r="RO429" s="31"/>
      <c r="RP429" s="31"/>
      <c r="RQ429" s="31"/>
      <c r="RR429" s="31"/>
      <c r="RS429" s="31"/>
      <c r="RT429" s="31"/>
      <c r="RU429" s="31"/>
      <c r="RV429" s="31"/>
      <c r="RW429" s="31"/>
      <c r="RX429" s="31"/>
      <c r="RY429" s="31"/>
      <c r="RZ429" s="31"/>
      <c r="SA429" s="31"/>
      <c r="SB429" s="31"/>
      <c r="SC429" s="31"/>
      <c r="SD429" s="31"/>
      <c r="SE429" s="31"/>
      <c r="SF429" s="31"/>
      <c r="SG429" s="31"/>
      <c r="SH429" s="31"/>
      <c r="SI429" s="31"/>
      <c r="SJ429" s="31"/>
      <c r="SK429" s="31"/>
      <c r="SL429" s="31"/>
      <c r="SM429" s="31"/>
      <c r="SN429" s="31"/>
      <c r="SO429" s="31"/>
      <c r="SP429" s="31"/>
      <c r="SQ429" s="31"/>
      <c r="SR429" s="31"/>
      <c r="SS429" s="31"/>
      <c r="ST429" s="31"/>
      <c r="SU429" s="31"/>
      <c r="SV429" s="31"/>
      <c r="SW429" s="31"/>
      <c r="SX429" s="31"/>
      <c r="SY429" s="31"/>
      <c r="SZ429" s="31"/>
      <c r="TA429" s="31"/>
      <c r="TB429" s="31"/>
      <c r="TC429" s="31"/>
      <c r="TD429" s="31"/>
      <c r="TE429" s="31"/>
      <c r="TF429" s="31"/>
      <c r="TG429" s="31"/>
      <c r="TH429" s="31"/>
      <c r="TI429" s="31"/>
      <c r="TJ429" s="31"/>
      <c r="TK429" s="31"/>
      <c r="TL429" s="31"/>
      <c r="TM429" s="31"/>
      <c r="TN429" s="31"/>
      <c r="TO429" s="31"/>
      <c r="TP429" s="31"/>
      <c r="TQ429" s="31"/>
      <c r="TR429" s="31"/>
      <c r="TS429" s="31"/>
      <c r="TT429" s="31"/>
      <c r="TU429" s="31"/>
      <c r="TV429" s="31"/>
      <c r="TW429" s="31"/>
      <c r="TX429" s="31"/>
      <c r="TY429" s="31"/>
      <c r="TZ429" s="31"/>
      <c r="UA429" s="31"/>
      <c r="UB429" s="31"/>
      <c r="UC429" s="31"/>
      <c r="UD429" s="31"/>
      <c r="UE429" s="31"/>
      <c r="UF429" s="31"/>
      <c r="UG429" s="33"/>
    </row>
    <row r="430" spans="1:553" ht="30.75" customHeight="1">
      <c r="A430" s="356" t="s">
        <v>30</v>
      </c>
      <c r="B430" s="385" t="s">
        <v>35</v>
      </c>
      <c r="C430" s="1404" t="s">
        <v>328</v>
      </c>
      <c r="D430" s="1389"/>
      <c r="E430" s="1389"/>
      <c r="F430" s="1390"/>
      <c r="G430" s="386" t="s">
        <v>935</v>
      </c>
      <c r="H430" s="370"/>
      <c r="I430" s="422">
        <f>0.34*12*7</f>
        <v>28.560000000000002</v>
      </c>
      <c r="J430" s="368">
        <v>39000</v>
      </c>
      <c r="K430" s="371"/>
      <c r="L430" s="391">
        <f t="shared" si="87"/>
        <v>1113840</v>
      </c>
      <c r="M430" s="391"/>
      <c r="N430" s="391"/>
      <c r="O430" s="391"/>
      <c r="P430" s="391"/>
      <c r="Q430" s="1445"/>
      <c r="R430" s="1226"/>
      <c r="S430" s="435"/>
      <c r="T430" s="436"/>
      <c r="U430" s="304"/>
      <c r="V430" s="393"/>
      <c r="W430" s="304"/>
      <c r="X430" s="304"/>
      <c r="Y430" s="304"/>
      <c r="Z430" s="304"/>
      <c r="AA430" s="304"/>
      <c r="AB430" s="304"/>
      <c r="AC430" s="449"/>
      <c r="AD430" s="449"/>
      <c r="AE430" s="449"/>
      <c r="AF430" s="449"/>
      <c r="AG430" s="449"/>
      <c r="AH430" s="449"/>
      <c r="AI430" s="449"/>
      <c r="AJ430" s="449"/>
      <c r="AK430" s="452"/>
      <c r="AL430" s="104"/>
      <c r="AM430" s="32"/>
      <c r="AN430" s="32"/>
      <c r="AO430" s="32"/>
      <c r="AP430" s="32"/>
      <c r="AQ430" s="32"/>
      <c r="AR430" s="32"/>
      <c r="AS430" s="31"/>
      <c r="AT430" s="31"/>
      <c r="AU430" s="31"/>
      <c r="AV430" s="31"/>
      <c r="AW430" s="31"/>
      <c r="AX430" s="31"/>
      <c r="AY430" s="31"/>
      <c r="AZ430" s="31"/>
      <c r="BA430" s="31"/>
      <c r="BB430" s="31"/>
      <c r="BC430" s="31"/>
      <c r="BD430" s="31"/>
      <c r="BE430" s="31"/>
      <c r="BF430" s="31"/>
      <c r="BG430" s="31"/>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c r="CH430" s="31"/>
      <c r="CI430" s="31"/>
      <c r="CJ430" s="31"/>
      <c r="CK430" s="31"/>
      <c r="CL430" s="31"/>
      <c r="CM430" s="31"/>
      <c r="CN430" s="31"/>
      <c r="CO430" s="31"/>
      <c r="CP430" s="31"/>
      <c r="CQ430" s="31"/>
      <c r="CR430" s="31"/>
      <c r="CS430" s="31"/>
      <c r="CT430" s="31"/>
      <c r="CU430" s="31"/>
      <c r="CV430" s="31"/>
      <c r="CW430" s="31"/>
      <c r="CX430" s="31"/>
      <c r="CY430" s="31"/>
      <c r="CZ430" s="31"/>
      <c r="DA430" s="31"/>
      <c r="DB430" s="31"/>
      <c r="DC430" s="31"/>
      <c r="DD430" s="31"/>
      <c r="DE430" s="31"/>
      <c r="DF430" s="31"/>
      <c r="DG430" s="31"/>
      <c r="DH430" s="31"/>
      <c r="DI430" s="31"/>
      <c r="DJ430" s="31"/>
      <c r="DK430" s="31"/>
      <c r="DL430" s="31"/>
      <c r="DM430" s="31"/>
      <c r="DN430" s="31"/>
      <c r="DO430" s="31"/>
      <c r="DP430" s="31"/>
      <c r="DQ430" s="31"/>
      <c r="DR430" s="31"/>
      <c r="DS430" s="31"/>
      <c r="DT430" s="31"/>
      <c r="DU430" s="31"/>
      <c r="DV430" s="31"/>
      <c r="DW430" s="31"/>
      <c r="DX430" s="31"/>
      <c r="DY430" s="31"/>
      <c r="DZ430" s="31"/>
      <c r="EA430" s="31"/>
      <c r="EB430" s="31"/>
      <c r="EC430" s="31"/>
      <c r="ED430" s="31"/>
      <c r="EE430" s="31"/>
      <c r="EF430" s="31"/>
      <c r="EG430" s="31"/>
      <c r="EH430" s="31"/>
      <c r="EI430" s="31"/>
      <c r="EJ430" s="31"/>
      <c r="EK430" s="31"/>
      <c r="EL430" s="31"/>
      <c r="EM430" s="31"/>
      <c r="EN430" s="31"/>
      <c r="EO430" s="31"/>
      <c r="EP430" s="31"/>
      <c r="EQ430" s="31"/>
      <c r="ER430" s="31"/>
      <c r="ES430" s="31"/>
      <c r="ET430" s="31"/>
      <c r="EU430" s="31"/>
      <c r="EV430" s="31"/>
      <c r="EW430" s="31"/>
      <c r="EX430" s="31"/>
      <c r="EY430" s="31"/>
      <c r="EZ430" s="31"/>
      <c r="FA430" s="31"/>
      <c r="FB430" s="31"/>
      <c r="FC430" s="31"/>
      <c r="FD430" s="31"/>
      <c r="FE430" s="31"/>
      <c r="FF430" s="31"/>
      <c r="FG430" s="31"/>
      <c r="FH430" s="31"/>
      <c r="FI430" s="31"/>
      <c r="FJ430" s="31"/>
      <c r="FK430" s="31"/>
      <c r="FL430" s="31"/>
      <c r="FM430" s="31"/>
      <c r="FN430" s="31"/>
      <c r="FO430" s="31"/>
      <c r="FP430" s="31"/>
      <c r="FQ430" s="31"/>
      <c r="FR430" s="31"/>
      <c r="FS430" s="31"/>
      <c r="FT430" s="31"/>
      <c r="FU430" s="31"/>
      <c r="FV430" s="31"/>
      <c r="FW430" s="31"/>
      <c r="FX430" s="31"/>
      <c r="FY430" s="31"/>
      <c r="FZ430" s="31"/>
      <c r="GA430" s="31"/>
      <c r="GB430" s="31"/>
      <c r="GC430" s="31"/>
      <c r="GD430" s="31"/>
      <c r="GE430" s="31"/>
      <c r="GF430" s="31"/>
      <c r="GG430" s="31"/>
      <c r="GH430" s="31"/>
      <c r="GI430" s="31"/>
      <c r="GJ430" s="31"/>
      <c r="GK430" s="31"/>
      <c r="GL430" s="31"/>
      <c r="GM430" s="31"/>
      <c r="GN430" s="31"/>
      <c r="GO430" s="31"/>
      <c r="GP430" s="31"/>
      <c r="GQ430" s="31"/>
      <c r="GR430" s="31"/>
      <c r="GS430" s="31"/>
      <c r="GT430" s="31"/>
      <c r="GU430" s="31"/>
      <c r="GV430" s="31"/>
      <c r="GW430" s="31"/>
      <c r="GX430" s="31"/>
      <c r="GY430" s="31"/>
      <c r="GZ430" s="31"/>
      <c r="HA430" s="31"/>
      <c r="HB430" s="31"/>
      <c r="HC430" s="31"/>
      <c r="HD430" s="31"/>
      <c r="HE430" s="31"/>
      <c r="HF430" s="31"/>
      <c r="HG430" s="31"/>
      <c r="HH430" s="31"/>
      <c r="HI430" s="31"/>
      <c r="HJ430" s="31"/>
      <c r="HK430" s="31"/>
      <c r="HL430" s="31"/>
      <c r="HM430" s="31"/>
      <c r="HN430" s="31"/>
      <c r="HO430" s="31"/>
      <c r="HP430" s="31"/>
      <c r="HQ430" s="31"/>
      <c r="HR430" s="31"/>
      <c r="HS430" s="31"/>
      <c r="HT430" s="31"/>
      <c r="HU430" s="31"/>
      <c r="HV430" s="31"/>
      <c r="HW430" s="31"/>
      <c r="HX430" s="31"/>
      <c r="HY430" s="31"/>
      <c r="HZ430" s="31"/>
      <c r="IA430" s="31"/>
      <c r="IB430" s="31"/>
      <c r="IC430" s="31"/>
      <c r="ID430" s="31"/>
      <c r="IE430" s="31"/>
      <c r="IF430" s="31"/>
      <c r="IG430" s="31"/>
      <c r="IH430" s="31"/>
      <c r="II430" s="31"/>
      <c r="IJ430" s="31"/>
      <c r="IK430" s="31"/>
      <c r="IL430" s="31"/>
      <c r="IM430" s="31"/>
      <c r="IN430" s="31"/>
      <c r="IO430" s="31"/>
      <c r="IP430" s="31"/>
      <c r="IQ430" s="31"/>
      <c r="IR430" s="31"/>
      <c r="IS430" s="31"/>
      <c r="IT430" s="31"/>
      <c r="IU430" s="31"/>
      <c r="IV430" s="31"/>
      <c r="IW430" s="31"/>
      <c r="IX430" s="31"/>
      <c r="IY430" s="31"/>
      <c r="IZ430" s="31"/>
      <c r="JA430" s="31"/>
      <c r="JB430" s="31"/>
      <c r="JC430" s="31"/>
      <c r="JD430" s="31"/>
      <c r="JE430" s="31"/>
      <c r="JF430" s="31"/>
      <c r="JG430" s="31"/>
      <c r="JH430" s="31"/>
      <c r="JI430" s="31"/>
      <c r="JJ430" s="31"/>
      <c r="JK430" s="31"/>
      <c r="JL430" s="31"/>
      <c r="JM430" s="31"/>
      <c r="JN430" s="31"/>
      <c r="JO430" s="31"/>
      <c r="JP430" s="31"/>
      <c r="JQ430" s="31"/>
      <c r="JR430" s="31"/>
      <c r="JS430" s="31"/>
      <c r="JT430" s="31"/>
      <c r="JU430" s="31"/>
      <c r="JV430" s="31"/>
      <c r="JW430" s="31"/>
      <c r="JX430" s="31"/>
      <c r="JY430" s="31"/>
      <c r="JZ430" s="31"/>
      <c r="KA430" s="31"/>
      <c r="KB430" s="31"/>
      <c r="KC430" s="31"/>
      <c r="KD430" s="31"/>
      <c r="KE430" s="31"/>
      <c r="KF430" s="31"/>
      <c r="KG430" s="31"/>
      <c r="KH430" s="31"/>
      <c r="KI430" s="31"/>
      <c r="KJ430" s="31"/>
      <c r="KK430" s="31"/>
      <c r="KL430" s="31"/>
      <c r="KM430" s="31"/>
      <c r="KN430" s="31"/>
      <c r="KO430" s="31"/>
      <c r="KP430" s="31"/>
      <c r="KQ430" s="31"/>
      <c r="KR430" s="31"/>
      <c r="KS430" s="31"/>
      <c r="KT430" s="31"/>
      <c r="KU430" s="31"/>
      <c r="KV430" s="31"/>
      <c r="KW430" s="31"/>
      <c r="KX430" s="31"/>
      <c r="KY430" s="31"/>
      <c r="KZ430" s="31"/>
      <c r="LA430" s="31"/>
      <c r="LB430" s="31"/>
      <c r="LC430" s="31"/>
      <c r="LD430" s="31"/>
      <c r="LE430" s="31"/>
      <c r="LF430" s="31"/>
      <c r="LG430" s="31"/>
      <c r="LH430" s="31"/>
      <c r="LI430" s="31"/>
      <c r="LJ430" s="31"/>
      <c r="LK430" s="31"/>
      <c r="LL430" s="31"/>
      <c r="LM430" s="31"/>
      <c r="LN430" s="31"/>
      <c r="LO430" s="31"/>
      <c r="LP430" s="31"/>
      <c r="LQ430" s="31"/>
      <c r="LR430" s="31"/>
      <c r="LS430" s="31"/>
      <c r="LT430" s="31"/>
      <c r="LU430" s="31"/>
      <c r="LV430" s="31"/>
      <c r="LW430" s="31"/>
      <c r="LX430" s="31"/>
      <c r="LY430" s="31"/>
      <c r="LZ430" s="31"/>
      <c r="MA430" s="31"/>
      <c r="MB430" s="31"/>
      <c r="MC430" s="31"/>
      <c r="MD430" s="31"/>
      <c r="ME430" s="31"/>
      <c r="MF430" s="31"/>
      <c r="MG430" s="31"/>
      <c r="MH430" s="31"/>
      <c r="MI430" s="31"/>
      <c r="MJ430" s="31"/>
      <c r="MK430" s="31"/>
      <c r="ML430" s="31"/>
      <c r="MM430" s="31"/>
      <c r="MN430" s="31"/>
      <c r="MO430" s="31"/>
      <c r="MP430" s="31"/>
      <c r="MQ430" s="31"/>
      <c r="MR430" s="31"/>
      <c r="MS430" s="31"/>
      <c r="MT430" s="31"/>
      <c r="MU430" s="31"/>
      <c r="MV430" s="31"/>
      <c r="MW430" s="31"/>
      <c r="MX430" s="31"/>
      <c r="MY430" s="31"/>
      <c r="MZ430" s="31"/>
      <c r="NA430" s="31"/>
      <c r="NB430" s="31"/>
      <c r="NC430" s="31"/>
      <c r="ND430" s="31"/>
      <c r="NE430" s="31"/>
      <c r="NF430" s="31"/>
      <c r="NG430" s="31"/>
      <c r="NH430" s="31"/>
      <c r="NI430" s="31"/>
      <c r="NJ430" s="31"/>
      <c r="NK430" s="31"/>
      <c r="NL430" s="31"/>
      <c r="NM430" s="31"/>
      <c r="NN430" s="31"/>
      <c r="NO430" s="31"/>
      <c r="NP430" s="31"/>
      <c r="NQ430" s="31"/>
      <c r="NR430" s="31"/>
      <c r="NS430" s="31"/>
      <c r="NT430" s="31"/>
      <c r="NU430" s="31"/>
      <c r="NV430" s="31"/>
      <c r="NW430" s="31"/>
      <c r="NX430" s="31"/>
      <c r="NY430" s="31"/>
      <c r="NZ430" s="31"/>
      <c r="OA430" s="31"/>
      <c r="OB430" s="31"/>
      <c r="OC430" s="31"/>
      <c r="OD430" s="31"/>
      <c r="OE430" s="31"/>
      <c r="OF430" s="31"/>
      <c r="OG430" s="31"/>
      <c r="OH430" s="31"/>
      <c r="OI430" s="31"/>
      <c r="OJ430" s="31"/>
      <c r="OK430" s="31"/>
      <c r="OL430" s="31"/>
      <c r="OM430" s="31"/>
      <c r="ON430" s="31"/>
      <c r="OO430" s="31"/>
      <c r="OP430" s="31"/>
      <c r="OQ430" s="31"/>
      <c r="OR430" s="31"/>
      <c r="OS430" s="31"/>
      <c r="OT430" s="31"/>
      <c r="OU430" s="31"/>
      <c r="OV430" s="31"/>
      <c r="OW430" s="31"/>
      <c r="OX430" s="31"/>
      <c r="OY430" s="31"/>
      <c r="OZ430" s="31"/>
      <c r="PA430" s="31"/>
      <c r="PB430" s="31"/>
      <c r="PC430" s="31"/>
      <c r="PD430" s="31"/>
      <c r="PE430" s="31"/>
      <c r="PF430" s="31"/>
      <c r="PG430" s="31"/>
      <c r="PH430" s="31"/>
      <c r="PI430" s="31"/>
      <c r="PJ430" s="31"/>
      <c r="PK430" s="31"/>
      <c r="PL430" s="31"/>
      <c r="PM430" s="31"/>
      <c r="PN430" s="31"/>
      <c r="PO430" s="31"/>
      <c r="PP430" s="31"/>
      <c r="PQ430" s="31"/>
      <c r="PR430" s="31"/>
      <c r="PS430" s="31"/>
      <c r="PT430" s="31"/>
      <c r="PU430" s="31"/>
      <c r="PV430" s="31"/>
      <c r="PW430" s="31"/>
      <c r="PX430" s="31"/>
      <c r="PY430" s="31"/>
      <c r="PZ430" s="31"/>
      <c r="QA430" s="31"/>
      <c r="QB430" s="31"/>
      <c r="QC430" s="31"/>
      <c r="QD430" s="31"/>
      <c r="QE430" s="31"/>
      <c r="QF430" s="31"/>
      <c r="QG430" s="31"/>
      <c r="QH430" s="31"/>
      <c r="QI430" s="31"/>
      <c r="QJ430" s="31"/>
      <c r="QK430" s="31"/>
      <c r="QL430" s="31"/>
      <c r="QM430" s="31"/>
      <c r="QN430" s="31"/>
      <c r="QO430" s="31"/>
      <c r="QP430" s="31"/>
      <c r="QQ430" s="31"/>
      <c r="QR430" s="31"/>
      <c r="QS430" s="31"/>
      <c r="QT430" s="31"/>
      <c r="QU430" s="31"/>
      <c r="QV430" s="31"/>
      <c r="QW430" s="31"/>
      <c r="QX430" s="31"/>
      <c r="QY430" s="31"/>
      <c r="QZ430" s="31"/>
      <c r="RA430" s="31"/>
      <c r="RB430" s="31"/>
      <c r="RC430" s="31"/>
      <c r="RD430" s="31"/>
      <c r="RE430" s="31"/>
      <c r="RF430" s="31"/>
      <c r="RG430" s="31"/>
      <c r="RH430" s="31"/>
      <c r="RI430" s="31"/>
      <c r="RJ430" s="31"/>
      <c r="RK430" s="31"/>
      <c r="RL430" s="31"/>
      <c r="RM430" s="31"/>
      <c r="RN430" s="31"/>
      <c r="RO430" s="31"/>
      <c r="RP430" s="31"/>
      <c r="RQ430" s="31"/>
      <c r="RR430" s="31"/>
      <c r="RS430" s="31"/>
      <c r="RT430" s="31"/>
      <c r="RU430" s="31"/>
      <c r="RV430" s="31"/>
      <c r="RW430" s="31"/>
      <c r="RX430" s="31"/>
      <c r="RY430" s="31"/>
      <c r="RZ430" s="31"/>
      <c r="SA430" s="31"/>
      <c r="SB430" s="31"/>
      <c r="SC430" s="31"/>
      <c r="SD430" s="31"/>
      <c r="SE430" s="31"/>
      <c r="SF430" s="31"/>
      <c r="SG430" s="31"/>
      <c r="SH430" s="31"/>
      <c r="SI430" s="31"/>
      <c r="SJ430" s="31"/>
      <c r="SK430" s="31"/>
      <c r="SL430" s="31"/>
      <c r="SM430" s="31"/>
      <c r="SN430" s="31"/>
      <c r="SO430" s="31"/>
      <c r="SP430" s="31"/>
      <c r="SQ430" s="31"/>
      <c r="SR430" s="31"/>
      <c r="SS430" s="31"/>
      <c r="ST430" s="31"/>
      <c r="SU430" s="31"/>
      <c r="SV430" s="31"/>
      <c r="SW430" s="31"/>
      <c r="SX430" s="31"/>
      <c r="SY430" s="31"/>
      <c r="SZ430" s="31"/>
      <c r="TA430" s="31"/>
      <c r="TB430" s="31"/>
      <c r="TC430" s="31"/>
      <c r="TD430" s="31"/>
      <c r="TE430" s="31"/>
      <c r="TF430" s="31"/>
      <c r="TG430" s="31"/>
      <c r="TH430" s="31"/>
      <c r="TI430" s="31"/>
      <c r="TJ430" s="31"/>
      <c r="TK430" s="31"/>
      <c r="TL430" s="31"/>
      <c r="TM430" s="31"/>
      <c r="TN430" s="31"/>
      <c r="TO430" s="31"/>
      <c r="TP430" s="31"/>
      <c r="TQ430" s="31"/>
      <c r="TR430" s="31"/>
      <c r="TS430" s="31"/>
      <c r="TT430" s="31"/>
      <c r="TU430" s="31"/>
      <c r="TV430" s="31"/>
      <c r="TW430" s="31"/>
      <c r="TX430" s="31"/>
      <c r="TY430" s="31"/>
      <c r="TZ430" s="31"/>
      <c r="UA430" s="31"/>
      <c r="UB430" s="31"/>
      <c r="UC430" s="31"/>
      <c r="UD430" s="31"/>
      <c r="UE430" s="31"/>
      <c r="UF430" s="31"/>
      <c r="UG430" s="33"/>
    </row>
    <row r="431" spans="1:553" ht="30.75" customHeight="1">
      <c r="A431" s="356" t="s">
        <v>30</v>
      </c>
      <c r="B431" s="385" t="s">
        <v>35</v>
      </c>
      <c r="C431" s="1404" t="s">
        <v>329</v>
      </c>
      <c r="D431" s="1389"/>
      <c r="E431" s="1389"/>
      <c r="F431" s="1390"/>
      <c r="G431" s="386" t="s">
        <v>935</v>
      </c>
      <c r="H431" s="370"/>
      <c r="I431" s="834">
        <f>0.43*11*3</f>
        <v>14.189999999999998</v>
      </c>
      <c r="J431" s="368">
        <v>39000</v>
      </c>
      <c r="K431" s="371"/>
      <c r="L431" s="391">
        <f t="shared" si="87"/>
        <v>553410</v>
      </c>
      <c r="M431" s="395"/>
      <c r="N431" s="395"/>
      <c r="O431" s="366"/>
      <c r="P431" s="396"/>
      <c r="Q431" s="473"/>
      <c r="R431" s="1039"/>
      <c r="S431" s="309"/>
      <c r="T431" s="310"/>
      <c r="U431" s="311"/>
      <c r="V431" s="312"/>
      <c r="W431" s="311"/>
      <c r="X431" s="311"/>
      <c r="Y431" s="311"/>
      <c r="Z431" s="311"/>
      <c r="AA431" s="311"/>
      <c r="AB431" s="311"/>
      <c r="AC431" s="449"/>
      <c r="AD431" s="449"/>
      <c r="AE431" s="449"/>
      <c r="AF431" s="449"/>
      <c r="AG431" s="452"/>
      <c r="AH431" s="452"/>
      <c r="AI431" s="452"/>
      <c r="AJ431" s="452"/>
      <c r="AK431" s="452"/>
      <c r="AL431" s="104"/>
      <c r="AM431" s="32"/>
      <c r="AN431" s="32"/>
      <c r="AO431" s="32"/>
      <c r="AP431" s="32"/>
      <c r="AQ431" s="31"/>
      <c r="AR431" s="31"/>
      <c r="AS431" s="31"/>
      <c r="AT431" s="31"/>
      <c r="AU431" s="31"/>
      <c r="AV431" s="31"/>
      <c r="AW431" s="31"/>
      <c r="AX431" s="31"/>
      <c r="AY431" s="31"/>
      <c r="AZ431" s="31"/>
      <c r="BA431" s="31"/>
      <c r="BB431" s="31"/>
      <c r="BC431" s="31"/>
      <c r="BD431" s="31"/>
      <c r="BE431" s="31"/>
      <c r="BF431" s="31"/>
      <c r="BG431" s="31"/>
      <c r="BH431" s="31"/>
      <c r="BI431" s="31"/>
      <c r="BJ431" s="31"/>
      <c r="BK431" s="31"/>
      <c r="BL431" s="31"/>
      <c r="BM431" s="25"/>
      <c r="BN431" s="25"/>
      <c r="BO431" s="25"/>
      <c r="BP431" s="25"/>
      <c r="BQ431" s="25"/>
      <c r="BR431" s="25"/>
      <c r="BS431" s="25"/>
      <c r="BT431" s="25"/>
      <c r="BU431" s="25"/>
      <c r="BV431" s="25"/>
      <c r="BW431" s="25"/>
      <c r="BX431" s="25"/>
      <c r="BY431" s="25"/>
      <c r="BZ431" s="25"/>
      <c r="CA431" s="25"/>
      <c r="CB431" s="25"/>
      <c r="CC431" s="25"/>
      <c r="CD431" s="25"/>
      <c r="CE431" s="25"/>
      <c r="CF431" s="25"/>
      <c r="CG431" s="25"/>
      <c r="CH431" s="25"/>
      <c r="CI431" s="25"/>
      <c r="CJ431" s="25"/>
      <c r="CK431" s="25"/>
      <c r="CL431" s="25"/>
      <c r="CM431" s="25"/>
      <c r="CN431" s="25"/>
      <c r="CO431" s="25"/>
      <c r="CP431" s="25"/>
      <c r="CQ431" s="25"/>
      <c r="CR431" s="25"/>
      <c r="CS431" s="25"/>
      <c r="CT431" s="25"/>
      <c r="CU431" s="25"/>
      <c r="CV431" s="25"/>
      <c r="CW431" s="25"/>
      <c r="CX431" s="25"/>
      <c r="CY431" s="25"/>
      <c r="CZ431" s="25"/>
      <c r="DA431" s="25"/>
      <c r="DB431" s="25"/>
      <c r="DC431" s="25"/>
      <c r="DD431" s="25"/>
      <c r="DE431" s="25"/>
      <c r="DF431" s="25"/>
      <c r="DG431" s="25"/>
      <c r="DH431" s="25"/>
      <c r="DI431" s="25"/>
      <c r="DJ431" s="25"/>
      <c r="DK431" s="25"/>
      <c r="DL431" s="25"/>
      <c r="DM431" s="25"/>
      <c r="DN431" s="25"/>
      <c r="DO431" s="25"/>
      <c r="DP431" s="25"/>
      <c r="DQ431" s="25"/>
      <c r="DR431" s="25"/>
      <c r="DS431" s="25"/>
      <c r="DT431" s="25"/>
      <c r="DU431" s="25"/>
      <c r="DV431" s="25"/>
      <c r="DW431" s="25"/>
      <c r="DX431" s="25"/>
      <c r="DY431" s="25"/>
      <c r="DZ431" s="25"/>
      <c r="EA431" s="25"/>
      <c r="EB431" s="25"/>
      <c r="EC431" s="25"/>
      <c r="ED431" s="25"/>
      <c r="EE431" s="25"/>
      <c r="EF431" s="25"/>
      <c r="EG431" s="25"/>
      <c r="EH431" s="25"/>
      <c r="EI431" s="25"/>
      <c r="EJ431" s="25"/>
      <c r="EK431" s="25"/>
      <c r="EL431" s="25"/>
      <c r="EM431" s="25"/>
      <c r="EN431" s="25"/>
      <c r="EO431" s="25"/>
      <c r="EP431" s="25"/>
      <c r="EQ431" s="25"/>
      <c r="ER431" s="25"/>
      <c r="ES431" s="25"/>
      <c r="ET431" s="25"/>
      <c r="EU431" s="25"/>
      <c r="EV431" s="25"/>
      <c r="EW431" s="25"/>
      <c r="EX431" s="25"/>
      <c r="EY431" s="25"/>
      <c r="EZ431" s="25"/>
      <c r="FA431" s="25"/>
      <c r="FB431" s="25"/>
      <c r="FC431" s="25"/>
      <c r="FD431" s="25"/>
      <c r="FE431" s="25"/>
      <c r="FF431" s="25"/>
      <c r="FG431" s="25"/>
      <c r="FH431" s="25"/>
      <c r="FI431" s="25"/>
      <c r="FJ431" s="25"/>
      <c r="FK431" s="25"/>
      <c r="FL431" s="25"/>
      <c r="FM431" s="25"/>
      <c r="FN431" s="25"/>
      <c r="FO431" s="25"/>
      <c r="FP431" s="25"/>
      <c r="FQ431" s="25"/>
      <c r="FR431" s="25"/>
      <c r="FS431" s="25"/>
      <c r="FT431" s="25"/>
      <c r="FU431" s="25"/>
      <c r="FV431" s="25"/>
      <c r="FW431" s="25"/>
      <c r="FX431" s="25"/>
      <c r="FY431" s="25"/>
      <c r="FZ431" s="25"/>
      <c r="GA431" s="25"/>
      <c r="GB431" s="25"/>
      <c r="GC431" s="25"/>
      <c r="GD431" s="25"/>
      <c r="GE431" s="25"/>
      <c r="GF431" s="25"/>
      <c r="GG431" s="25"/>
      <c r="GH431" s="25"/>
      <c r="GI431" s="25"/>
      <c r="GJ431" s="25"/>
      <c r="GK431" s="25"/>
      <c r="GL431" s="25"/>
      <c r="GM431" s="25"/>
      <c r="GN431" s="25"/>
      <c r="GO431" s="25"/>
      <c r="GP431" s="25"/>
      <c r="GQ431" s="25"/>
      <c r="GR431" s="25"/>
      <c r="GS431" s="25"/>
      <c r="GT431" s="25"/>
      <c r="GU431" s="25"/>
      <c r="GV431" s="25"/>
      <c r="GW431" s="25"/>
      <c r="GX431" s="25"/>
      <c r="GY431" s="25"/>
      <c r="GZ431" s="25"/>
      <c r="HA431" s="25"/>
      <c r="HB431" s="25"/>
      <c r="HC431" s="25"/>
      <c r="HD431" s="25"/>
      <c r="HE431" s="25"/>
      <c r="HF431" s="25"/>
      <c r="HG431" s="25"/>
      <c r="HH431" s="25"/>
      <c r="HI431" s="25"/>
      <c r="HJ431" s="25"/>
      <c r="HK431" s="25"/>
      <c r="HL431" s="25"/>
      <c r="HM431" s="25"/>
      <c r="HN431" s="25"/>
      <c r="HO431" s="25"/>
      <c r="HP431" s="25"/>
      <c r="HQ431" s="25"/>
      <c r="HR431" s="25"/>
      <c r="HS431" s="25"/>
      <c r="HT431" s="25"/>
      <c r="HU431" s="25"/>
      <c r="HV431" s="25"/>
      <c r="HW431" s="25"/>
      <c r="HX431" s="25"/>
      <c r="HY431" s="25"/>
      <c r="HZ431" s="25"/>
      <c r="IA431" s="25"/>
      <c r="IB431" s="25"/>
      <c r="IC431" s="25"/>
      <c r="ID431" s="25"/>
      <c r="IE431" s="25"/>
      <c r="IF431" s="25"/>
      <c r="IG431" s="25"/>
      <c r="IH431" s="25"/>
      <c r="II431" s="25"/>
      <c r="IJ431" s="25"/>
      <c r="IK431" s="25"/>
      <c r="IL431" s="25"/>
      <c r="IM431" s="25"/>
      <c r="IN431" s="25"/>
      <c r="IO431" s="25"/>
      <c r="IP431" s="25"/>
      <c r="IQ431" s="25"/>
      <c r="IR431" s="25"/>
      <c r="IS431" s="25"/>
      <c r="IT431" s="25"/>
      <c r="IU431" s="25"/>
      <c r="IV431" s="25"/>
      <c r="IW431" s="25"/>
      <c r="IX431" s="25"/>
      <c r="IY431" s="25"/>
      <c r="IZ431" s="25"/>
      <c r="JA431" s="25"/>
      <c r="JB431" s="25"/>
      <c r="JC431" s="25"/>
      <c r="JD431" s="25"/>
      <c r="JE431" s="25"/>
      <c r="JF431" s="25"/>
      <c r="JG431" s="25"/>
      <c r="JH431" s="25"/>
      <c r="JI431" s="25"/>
      <c r="JJ431" s="25"/>
      <c r="JK431" s="25"/>
      <c r="JL431" s="25"/>
      <c r="JM431" s="25"/>
      <c r="JN431" s="25"/>
      <c r="JO431" s="25"/>
      <c r="JP431" s="25"/>
      <c r="JQ431" s="25"/>
      <c r="JR431" s="25"/>
      <c r="JS431" s="25"/>
      <c r="JT431" s="25"/>
      <c r="JU431" s="25"/>
      <c r="JV431" s="25"/>
      <c r="JW431" s="25"/>
      <c r="JX431" s="25"/>
      <c r="JY431" s="25"/>
      <c r="JZ431" s="25"/>
      <c r="KA431" s="25"/>
      <c r="KB431" s="25"/>
      <c r="KC431" s="25"/>
      <c r="KD431" s="25"/>
      <c r="KE431" s="25"/>
      <c r="KF431" s="25"/>
      <c r="KG431" s="25"/>
      <c r="KH431" s="25"/>
      <c r="KI431" s="25"/>
      <c r="KJ431" s="25"/>
      <c r="KK431" s="25"/>
      <c r="KL431" s="25"/>
      <c r="KM431" s="25"/>
      <c r="KN431" s="25"/>
      <c r="KO431" s="25"/>
      <c r="KP431" s="25"/>
      <c r="KQ431" s="25"/>
      <c r="KR431" s="25"/>
      <c r="KS431" s="25"/>
      <c r="KT431" s="25"/>
      <c r="KU431" s="25"/>
      <c r="KV431" s="25"/>
      <c r="KW431" s="25"/>
      <c r="KX431" s="25"/>
      <c r="KY431" s="25"/>
      <c r="KZ431" s="25"/>
      <c r="LA431" s="25"/>
      <c r="LB431" s="25"/>
      <c r="LC431" s="25"/>
      <c r="LD431" s="25"/>
      <c r="LE431" s="25"/>
      <c r="LF431" s="25"/>
      <c r="LG431" s="25"/>
      <c r="LH431" s="25"/>
      <c r="LI431" s="25"/>
      <c r="LJ431" s="25"/>
      <c r="LK431" s="25"/>
      <c r="LL431" s="25"/>
      <c r="LM431" s="25"/>
      <c r="LN431" s="25"/>
      <c r="LO431" s="25"/>
      <c r="LP431" s="25"/>
      <c r="LQ431" s="25"/>
      <c r="LR431" s="25"/>
      <c r="LS431" s="25"/>
      <c r="LT431" s="25"/>
      <c r="LU431" s="25"/>
      <c r="LV431" s="25"/>
      <c r="LW431" s="25"/>
      <c r="LX431" s="25"/>
      <c r="LY431" s="25"/>
      <c r="LZ431" s="25"/>
      <c r="MA431" s="25"/>
      <c r="MB431" s="25"/>
      <c r="MC431" s="25"/>
      <c r="MD431" s="25"/>
      <c r="ME431" s="25"/>
      <c r="MF431" s="25"/>
      <c r="MG431" s="25"/>
      <c r="MH431" s="25"/>
      <c r="MI431" s="25"/>
      <c r="MJ431" s="25"/>
      <c r="MK431" s="25"/>
      <c r="ML431" s="25"/>
      <c r="MM431" s="25"/>
      <c r="MN431" s="25"/>
      <c r="MO431" s="25"/>
      <c r="MP431" s="25"/>
      <c r="MQ431" s="25"/>
      <c r="MR431" s="25"/>
      <c r="MS431" s="25"/>
      <c r="MT431" s="25"/>
      <c r="MU431" s="25"/>
      <c r="MV431" s="25"/>
      <c r="MW431" s="25"/>
      <c r="MX431" s="25"/>
      <c r="MY431" s="25"/>
      <c r="MZ431" s="25"/>
      <c r="NA431" s="25"/>
      <c r="NB431" s="25"/>
      <c r="NC431" s="25"/>
      <c r="ND431" s="25"/>
      <c r="NE431" s="25"/>
      <c r="NF431" s="25"/>
      <c r="NG431" s="25"/>
      <c r="NH431" s="25"/>
      <c r="NI431" s="25"/>
      <c r="NJ431" s="25"/>
      <c r="NK431" s="25"/>
      <c r="NL431" s="25"/>
      <c r="NM431" s="25"/>
      <c r="NN431" s="25"/>
      <c r="NO431" s="25"/>
      <c r="NP431" s="25"/>
      <c r="NQ431" s="25"/>
      <c r="NR431" s="25"/>
      <c r="NS431" s="25"/>
      <c r="NT431" s="25"/>
      <c r="NU431" s="25"/>
      <c r="NV431" s="25"/>
      <c r="NW431" s="25"/>
      <c r="NX431" s="25"/>
      <c r="NY431" s="25"/>
      <c r="NZ431" s="25"/>
      <c r="OA431" s="25"/>
      <c r="OB431" s="25"/>
      <c r="OC431" s="25"/>
      <c r="OD431" s="25"/>
      <c r="OE431" s="25"/>
      <c r="OF431" s="25"/>
      <c r="OG431" s="25"/>
      <c r="OH431" s="25"/>
      <c r="OI431" s="25"/>
      <c r="OJ431" s="25"/>
      <c r="OK431" s="25"/>
      <c r="OL431" s="25"/>
      <c r="OM431" s="25"/>
      <c r="ON431" s="25"/>
      <c r="OO431" s="25"/>
      <c r="OP431" s="25"/>
      <c r="OQ431" s="25"/>
      <c r="OR431" s="25"/>
      <c r="OS431" s="25"/>
      <c r="OT431" s="25"/>
      <c r="OU431" s="25"/>
      <c r="OV431" s="25"/>
      <c r="OW431" s="25"/>
      <c r="OX431" s="25"/>
      <c r="OY431" s="25"/>
      <c r="OZ431" s="25"/>
      <c r="PA431" s="25"/>
      <c r="PB431" s="25"/>
      <c r="PC431" s="25"/>
      <c r="PD431" s="25"/>
      <c r="PE431" s="25"/>
      <c r="PF431" s="25"/>
      <c r="PG431" s="25"/>
      <c r="PH431" s="25"/>
      <c r="PI431" s="25"/>
      <c r="PJ431" s="25"/>
      <c r="PK431" s="25"/>
      <c r="PL431" s="25"/>
      <c r="PM431" s="25"/>
      <c r="PN431" s="25"/>
      <c r="PO431" s="25"/>
      <c r="PP431" s="25"/>
      <c r="PQ431" s="25"/>
      <c r="PR431" s="25"/>
      <c r="PS431" s="25"/>
      <c r="PT431" s="25"/>
      <c r="PU431" s="25"/>
      <c r="PV431" s="25"/>
      <c r="PW431" s="25"/>
      <c r="PX431" s="25"/>
      <c r="PY431" s="25"/>
      <c r="PZ431" s="25"/>
      <c r="QA431" s="25"/>
      <c r="QB431" s="25"/>
      <c r="QC431" s="25"/>
      <c r="QD431" s="25"/>
      <c r="QE431" s="25"/>
      <c r="QF431" s="25"/>
      <c r="QG431" s="25"/>
      <c r="QH431" s="25"/>
      <c r="QI431" s="25"/>
      <c r="QJ431" s="25"/>
      <c r="QK431" s="25"/>
      <c r="QL431" s="25"/>
      <c r="QM431" s="25"/>
      <c r="QN431" s="25"/>
      <c r="QO431" s="25"/>
      <c r="QP431" s="25"/>
      <c r="QQ431" s="25"/>
      <c r="QR431" s="25"/>
      <c r="QS431" s="25"/>
      <c r="QT431" s="25"/>
      <c r="QU431" s="25"/>
      <c r="QV431" s="25"/>
      <c r="QW431" s="25"/>
      <c r="QX431" s="25"/>
      <c r="QY431" s="25"/>
      <c r="QZ431" s="25"/>
      <c r="RA431" s="25"/>
      <c r="RB431" s="25"/>
      <c r="RC431" s="25"/>
      <c r="RD431" s="25"/>
      <c r="RE431" s="25"/>
      <c r="RF431" s="25"/>
      <c r="RG431" s="25"/>
      <c r="RH431" s="25"/>
      <c r="RI431" s="25"/>
      <c r="RJ431" s="25"/>
      <c r="RK431" s="25"/>
      <c r="RL431" s="25"/>
      <c r="RM431" s="25"/>
      <c r="RN431" s="25"/>
      <c r="RO431" s="25"/>
      <c r="RP431" s="25"/>
      <c r="RQ431" s="25"/>
      <c r="RR431" s="25"/>
      <c r="RS431" s="25"/>
      <c r="RT431" s="25"/>
      <c r="RU431" s="25"/>
      <c r="RV431" s="25"/>
      <c r="RW431" s="25"/>
      <c r="RX431" s="25"/>
      <c r="RY431" s="25"/>
      <c r="RZ431" s="25"/>
      <c r="SA431" s="25"/>
      <c r="SB431" s="25"/>
      <c r="SC431" s="25"/>
      <c r="SD431" s="25"/>
      <c r="SE431" s="25"/>
      <c r="SF431" s="25"/>
      <c r="SG431" s="25"/>
      <c r="SH431" s="25"/>
      <c r="SI431" s="25"/>
      <c r="SJ431" s="25"/>
      <c r="SK431" s="25"/>
      <c r="SL431" s="25"/>
      <c r="SM431" s="25"/>
      <c r="SN431" s="25"/>
      <c r="SO431" s="25"/>
      <c r="SP431" s="25"/>
      <c r="SQ431" s="25"/>
      <c r="SR431" s="25"/>
      <c r="SS431" s="25"/>
      <c r="ST431" s="25"/>
      <c r="SU431" s="25"/>
      <c r="SV431" s="25"/>
      <c r="SW431" s="25"/>
      <c r="SX431" s="25"/>
      <c r="SY431" s="25"/>
      <c r="SZ431" s="25"/>
      <c r="TA431" s="25"/>
      <c r="TB431" s="25"/>
      <c r="TC431" s="25"/>
      <c r="TD431" s="25"/>
      <c r="TE431" s="25"/>
      <c r="TF431" s="25"/>
      <c r="TG431" s="25"/>
      <c r="TH431" s="25"/>
      <c r="TI431" s="25"/>
      <c r="TJ431" s="25"/>
      <c r="TK431" s="25"/>
      <c r="TL431" s="25"/>
      <c r="TM431" s="25"/>
      <c r="TN431" s="25"/>
      <c r="TO431" s="25"/>
      <c r="TP431" s="25"/>
      <c r="TQ431" s="25"/>
      <c r="TR431" s="25"/>
      <c r="TS431" s="25"/>
      <c r="TT431" s="25"/>
      <c r="TU431" s="25"/>
      <c r="TV431" s="25"/>
      <c r="TW431" s="25"/>
      <c r="TX431" s="25"/>
      <c r="TY431" s="25"/>
      <c r="TZ431" s="25"/>
      <c r="UA431" s="25"/>
      <c r="UB431" s="25"/>
      <c r="UC431" s="25"/>
      <c r="UD431" s="25"/>
      <c r="UE431" s="25"/>
      <c r="UF431" s="25"/>
      <c r="UG431" s="26"/>
    </row>
    <row r="432" spans="1:553" ht="30.75" customHeight="1">
      <c r="A432" s="356" t="s">
        <v>30</v>
      </c>
      <c r="B432" s="385" t="s">
        <v>35</v>
      </c>
      <c r="C432" s="1404" t="s">
        <v>330</v>
      </c>
      <c r="D432" s="1389"/>
      <c r="E432" s="1389"/>
      <c r="F432" s="1390"/>
      <c r="G432" s="386" t="s">
        <v>935</v>
      </c>
      <c r="H432" s="370"/>
      <c r="I432" s="422">
        <f>0.42*7.5*6</f>
        <v>18.899999999999999</v>
      </c>
      <c r="J432" s="368">
        <v>39000</v>
      </c>
      <c r="K432" s="371"/>
      <c r="L432" s="391">
        <f t="shared" si="87"/>
        <v>737100</v>
      </c>
      <c r="M432" s="391"/>
      <c r="N432" s="391"/>
      <c r="O432" s="391"/>
      <c r="P432" s="391"/>
      <c r="Q432" s="1444"/>
      <c r="R432" s="1226"/>
      <c r="S432" s="308"/>
      <c r="T432" s="303"/>
      <c r="U432" s="306"/>
      <c r="V432" s="307"/>
      <c r="W432" s="306"/>
      <c r="X432" s="306"/>
      <c r="Y432" s="306"/>
      <c r="Z432" s="306"/>
      <c r="AA432" s="306"/>
      <c r="AB432" s="306"/>
      <c r="AC432" s="449"/>
      <c r="AD432" s="449"/>
      <c r="AE432" s="449"/>
      <c r="AF432" s="449"/>
      <c r="AG432" s="449"/>
      <c r="AH432" s="449"/>
      <c r="AI432" s="449"/>
      <c r="AJ432" s="449"/>
      <c r="AK432" s="452"/>
      <c r="AL432" s="104"/>
      <c r="AM432" s="32"/>
      <c r="AN432" s="32"/>
      <c r="AO432" s="32"/>
      <c r="AP432" s="32"/>
      <c r="AQ432" s="32"/>
      <c r="AR432" s="32"/>
      <c r="AS432" s="31"/>
      <c r="AT432" s="31"/>
      <c r="AU432" s="31"/>
      <c r="AV432" s="31"/>
      <c r="AW432" s="31"/>
      <c r="AX432" s="31"/>
      <c r="AY432" s="31"/>
      <c r="AZ432" s="31"/>
      <c r="BA432" s="31"/>
      <c r="BB432" s="31"/>
      <c r="BC432" s="31"/>
      <c r="BD432" s="31"/>
      <c r="BE432" s="31"/>
      <c r="BF432" s="31"/>
      <c r="BG432" s="31"/>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c r="CH432" s="31"/>
      <c r="CI432" s="31"/>
      <c r="CJ432" s="31"/>
      <c r="CK432" s="31"/>
      <c r="CL432" s="31"/>
      <c r="CM432" s="31"/>
      <c r="CN432" s="31"/>
      <c r="CO432" s="31"/>
      <c r="CP432" s="31"/>
      <c r="CQ432" s="31"/>
      <c r="CR432" s="31"/>
      <c r="CS432" s="31"/>
      <c r="CT432" s="31"/>
      <c r="CU432" s="31"/>
      <c r="CV432" s="31"/>
      <c r="CW432" s="31"/>
      <c r="CX432" s="31"/>
      <c r="CY432" s="31"/>
      <c r="CZ432" s="31"/>
      <c r="DA432" s="31"/>
      <c r="DB432" s="31"/>
      <c r="DC432" s="31"/>
      <c r="DD432" s="31"/>
      <c r="DE432" s="31"/>
      <c r="DF432" s="31"/>
      <c r="DG432" s="31"/>
      <c r="DH432" s="31"/>
      <c r="DI432" s="31"/>
      <c r="DJ432" s="31"/>
      <c r="DK432" s="31"/>
      <c r="DL432" s="31"/>
      <c r="DM432" s="31"/>
      <c r="DN432" s="31"/>
      <c r="DO432" s="31"/>
      <c r="DP432" s="31"/>
      <c r="DQ432" s="31"/>
      <c r="DR432" s="31"/>
      <c r="DS432" s="31"/>
      <c r="DT432" s="31"/>
      <c r="DU432" s="31"/>
      <c r="DV432" s="31"/>
      <c r="DW432" s="31"/>
      <c r="DX432" s="31"/>
      <c r="DY432" s="31"/>
      <c r="DZ432" s="31"/>
      <c r="EA432" s="31"/>
      <c r="EB432" s="31"/>
      <c r="EC432" s="31"/>
      <c r="ED432" s="31"/>
      <c r="EE432" s="31"/>
      <c r="EF432" s="31"/>
      <c r="EG432" s="31"/>
      <c r="EH432" s="31"/>
      <c r="EI432" s="31"/>
      <c r="EJ432" s="31"/>
      <c r="EK432" s="31"/>
      <c r="EL432" s="31"/>
      <c r="EM432" s="31"/>
      <c r="EN432" s="31"/>
      <c r="EO432" s="31"/>
      <c r="EP432" s="31"/>
      <c r="EQ432" s="31"/>
      <c r="ER432" s="31"/>
      <c r="ES432" s="31"/>
      <c r="ET432" s="31"/>
      <c r="EU432" s="31"/>
      <c r="EV432" s="31"/>
      <c r="EW432" s="31"/>
      <c r="EX432" s="31"/>
      <c r="EY432" s="31"/>
      <c r="EZ432" s="31"/>
      <c r="FA432" s="31"/>
      <c r="FB432" s="31"/>
      <c r="FC432" s="31"/>
      <c r="FD432" s="31"/>
      <c r="FE432" s="31"/>
      <c r="FF432" s="31"/>
      <c r="FG432" s="31"/>
      <c r="FH432" s="31"/>
      <c r="FI432" s="31"/>
      <c r="FJ432" s="31"/>
      <c r="FK432" s="31"/>
      <c r="FL432" s="31"/>
      <c r="FM432" s="31"/>
      <c r="FN432" s="31"/>
      <c r="FO432" s="31"/>
      <c r="FP432" s="31"/>
      <c r="FQ432" s="31"/>
      <c r="FR432" s="31"/>
      <c r="FS432" s="31"/>
      <c r="FT432" s="31"/>
      <c r="FU432" s="31"/>
      <c r="FV432" s="31"/>
      <c r="FW432" s="31"/>
      <c r="FX432" s="31"/>
      <c r="FY432" s="31"/>
      <c r="FZ432" s="31"/>
      <c r="GA432" s="31"/>
      <c r="GB432" s="31"/>
      <c r="GC432" s="31"/>
      <c r="GD432" s="31"/>
      <c r="GE432" s="31"/>
      <c r="GF432" s="31"/>
      <c r="GG432" s="31"/>
      <c r="GH432" s="31"/>
      <c r="GI432" s="31"/>
      <c r="GJ432" s="31"/>
      <c r="GK432" s="31"/>
      <c r="GL432" s="31"/>
      <c r="GM432" s="31"/>
      <c r="GN432" s="31"/>
      <c r="GO432" s="31"/>
      <c r="GP432" s="31"/>
      <c r="GQ432" s="31"/>
      <c r="GR432" s="31"/>
      <c r="GS432" s="31"/>
      <c r="GT432" s="31"/>
      <c r="GU432" s="31"/>
      <c r="GV432" s="31"/>
      <c r="GW432" s="31"/>
      <c r="GX432" s="31"/>
      <c r="GY432" s="31"/>
      <c r="GZ432" s="31"/>
      <c r="HA432" s="31"/>
      <c r="HB432" s="31"/>
      <c r="HC432" s="31"/>
      <c r="HD432" s="31"/>
      <c r="HE432" s="31"/>
      <c r="HF432" s="31"/>
      <c r="HG432" s="31"/>
      <c r="HH432" s="31"/>
      <c r="HI432" s="31"/>
      <c r="HJ432" s="31"/>
      <c r="HK432" s="31"/>
      <c r="HL432" s="31"/>
      <c r="HM432" s="31"/>
      <c r="HN432" s="31"/>
      <c r="HO432" s="31"/>
      <c r="HP432" s="31"/>
      <c r="HQ432" s="31"/>
      <c r="HR432" s="31"/>
      <c r="HS432" s="31"/>
      <c r="HT432" s="31"/>
      <c r="HU432" s="31"/>
      <c r="HV432" s="31"/>
      <c r="HW432" s="31"/>
      <c r="HX432" s="31"/>
      <c r="HY432" s="31"/>
      <c r="HZ432" s="31"/>
      <c r="IA432" s="31"/>
      <c r="IB432" s="31"/>
      <c r="IC432" s="31"/>
      <c r="ID432" s="31"/>
      <c r="IE432" s="31"/>
      <c r="IF432" s="31"/>
      <c r="IG432" s="31"/>
      <c r="IH432" s="31"/>
      <c r="II432" s="31"/>
      <c r="IJ432" s="31"/>
      <c r="IK432" s="31"/>
      <c r="IL432" s="31"/>
      <c r="IM432" s="31"/>
      <c r="IN432" s="31"/>
      <c r="IO432" s="31"/>
      <c r="IP432" s="31"/>
      <c r="IQ432" s="31"/>
      <c r="IR432" s="31"/>
      <c r="IS432" s="31"/>
      <c r="IT432" s="31"/>
      <c r="IU432" s="31"/>
      <c r="IV432" s="31"/>
      <c r="IW432" s="31"/>
      <c r="IX432" s="31"/>
      <c r="IY432" s="31"/>
      <c r="IZ432" s="31"/>
      <c r="JA432" s="31"/>
      <c r="JB432" s="31"/>
      <c r="JC432" s="31"/>
      <c r="JD432" s="31"/>
      <c r="JE432" s="31"/>
      <c r="JF432" s="31"/>
      <c r="JG432" s="31"/>
      <c r="JH432" s="31"/>
      <c r="JI432" s="31"/>
      <c r="JJ432" s="31"/>
      <c r="JK432" s="31"/>
      <c r="JL432" s="31"/>
      <c r="JM432" s="31"/>
      <c r="JN432" s="31"/>
      <c r="JO432" s="31"/>
      <c r="JP432" s="31"/>
      <c r="JQ432" s="31"/>
      <c r="JR432" s="31"/>
      <c r="JS432" s="31"/>
      <c r="JT432" s="31"/>
      <c r="JU432" s="31"/>
      <c r="JV432" s="31"/>
      <c r="JW432" s="31"/>
      <c r="JX432" s="31"/>
      <c r="JY432" s="31"/>
      <c r="JZ432" s="31"/>
      <c r="KA432" s="31"/>
      <c r="KB432" s="31"/>
      <c r="KC432" s="31"/>
      <c r="KD432" s="31"/>
      <c r="KE432" s="31"/>
      <c r="KF432" s="31"/>
      <c r="KG432" s="31"/>
      <c r="KH432" s="31"/>
      <c r="KI432" s="31"/>
      <c r="KJ432" s="31"/>
      <c r="KK432" s="31"/>
      <c r="KL432" s="31"/>
      <c r="KM432" s="31"/>
      <c r="KN432" s="31"/>
      <c r="KO432" s="31"/>
      <c r="KP432" s="31"/>
      <c r="KQ432" s="31"/>
      <c r="KR432" s="31"/>
      <c r="KS432" s="31"/>
      <c r="KT432" s="31"/>
      <c r="KU432" s="31"/>
      <c r="KV432" s="31"/>
      <c r="KW432" s="31"/>
      <c r="KX432" s="31"/>
      <c r="KY432" s="31"/>
      <c r="KZ432" s="31"/>
      <c r="LA432" s="31"/>
      <c r="LB432" s="31"/>
      <c r="LC432" s="31"/>
      <c r="LD432" s="31"/>
      <c r="LE432" s="31"/>
      <c r="LF432" s="31"/>
      <c r="LG432" s="31"/>
      <c r="LH432" s="31"/>
      <c r="LI432" s="31"/>
      <c r="LJ432" s="31"/>
      <c r="LK432" s="31"/>
      <c r="LL432" s="31"/>
      <c r="LM432" s="31"/>
      <c r="LN432" s="31"/>
      <c r="LO432" s="31"/>
      <c r="LP432" s="31"/>
      <c r="LQ432" s="31"/>
      <c r="LR432" s="31"/>
      <c r="LS432" s="31"/>
      <c r="LT432" s="31"/>
      <c r="LU432" s="31"/>
      <c r="LV432" s="31"/>
      <c r="LW432" s="31"/>
      <c r="LX432" s="31"/>
      <c r="LY432" s="31"/>
      <c r="LZ432" s="31"/>
      <c r="MA432" s="31"/>
      <c r="MB432" s="31"/>
      <c r="MC432" s="31"/>
      <c r="MD432" s="31"/>
      <c r="ME432" s="31"/>
      <c r="MF432" s="31"/>
      <c r="MG432" s="31"/>
      <c r="MH432" s="31"/>
      <c r="MI432" s="31"/>
      <c r="MJ432" s="31"/>
      <c r="MK432" s="31"/>
      <c r="ML432" s="31"/>
      <c r="MM432" s="31"/>
      <c r="MN432" s="31"/>
      <c r="MO432" s="31"/>
      <c r="MP432" s="31"/>
      <c r="MQ432" s="31"/>
      <c r="MR432" s="31"/>
      <c r="MS432" s="31"/>
      <c r="MT432" s="31"/>
      <c r="MU432" s="31"/>
      <c r="MV432" s="31"/>
      <c r="MW432" s="31"/>
      <c r="MX432" s="31"/>
      <c r="MY432" s="31"/>
      <c r="MZ432" s="31"/>
      <c r="NA432" s="31"/>
      <c r="NB432" s="31"/>
      <c r="NC432" s="31"/>
      <c r="ND432" s="31"/>
      <c r="NE432" s="31"/>
      <c r="NF432" s="31"/>
      <c r="NG432" s="31"/>
      <c r="NH432" s="31"/>
      <c r="NI432" s="31"/>
      <c r="NJ432" s="31"/>
      <c r="NK432" s="31"/>
      <c r="NL432" s="31"/>
      <c r="NM432" s="31"/>
      <c r="NN432" s="31"/>
      <c r="NO432" s="31"/>
      <c r="NP432" s="31"/>
      <c r="NQ432" s="31"/>
      <c r="NR432" s="31"/>
      <c r="NS432" s="31"/>
      <c r="NT432" s="31"/>
      <c r="NU432" s="31"/>
      <c r="NV432" s="31"/>
      <c r="NW432" s="31"/>
      <c r="NX432" s="31"/>
      <c r="NY432" s="31"/>
      <c r="NZ432" s="31"/>
      <c r="OA432" s="31"/>
      <c r="OB432" s="31"/>
      <c r="OC432" s="31"/>
      <c r="OD432" s="31"/>
      <c r="OE432" s="31"/>
      <c r="OF432" s="31"/>
      <c r="OG432" s="31"/>
      <c r="OH432" s="31"/>
      <c r="OI432" s="31"/>
      <c r="OJ432" s="31"/>
      <c r="OK432" s="31"/>
      <c r="OL432" s="31"/>
      <c r="OM432" s="31"/>
      <c r="ON432" s="31"/>
      <c r="OO432" s="31"/>
      <c r="OP432" s="31"/>
      <c r="OQ432" s="31"/>
      <c r="OR432" s="31"/>
      <c r="OS432" s="31"/>
      <c r="OT432" s="31"/>
      <c r="OU432" s="31"/>
      <c r="OV432" s="31"/>
      <c r="OW432" s="31"/>
      <c r="OX432" s="31"/>
      <c r="OY432" s="31"/>
      <c r="OZ432" s="31"/>
      <c r="PA432" s="31"/>
      <c r="PB432" s="31"/>
      <c r="PC432" s="31"/>
      <c r="PD432" s="31"/>
      <c r="PE432" s="31"/>
      <c r="PF432" s="31"/>
      <c r="PG432" s="31"/>
      <c r="PH432" s="31"/>
      <c r="PI432" s="31"/>
      <c r="PJ432" s="31"/>
      <c r="PK432" s="31"/>
      <c r="PL432" s="31"/>
      <c r="PM432" s="31"/>
      <c r="PN432" s="31"/>
      <c r="PO432" s="31"/>
      <c r="PP432" s="31"/>
      <c r="PQ432" s="31"/>
      <c r="PR432" s="31"/>
      <c r="PS432" s="31"/>
      <c r="PT432" s="31"/>
      <c r="PU432" s="31"/>
      <c r="PV432" s="31"/>
      <c r="PW432" s="31"/>
      <c r="PX432" s="31"/>
      <c r="PY432" s="31"/>
      <c r="PZ432" s="31"/>
      <c r="QA432" s="31"/>
      <c r="QB432" s="31"/>
      <c r="QC432" s="31"/>
      <c r="QD432" s="31"/>
      <c r="QE432" s="31"/>
      <c r="QF432" s="31"/>
      <c r="QG432" s="31"/>
      <c r="QH432" s="31"/>
      <c r="QI432" s="31"/>
      <c r="QJ432" s="31"/>
      <c r="QK432" s="31"/>
      <c r="QL432" s="31"/>
      <c r="QM432" s="31"/>
      <c r="QN432" s="31"/>
      <c r="QO432" s="31"/>
      <c r="QP432" s="31"/>
      <c r="QQ432" s="31"/>
      <c r="QR432" s="31"/>
      <c r="QS432" s="31"/>
      <c r="QT432" s="31"/>
      <c r="QU432" s="31"/>
      <c r="QV432" s="31"/>
      <c r="QW432" s="31"/>
      <c r="QX432" s="31"/>
      <c r="QY432" s="31"/>
      <c r="QZ432" s="31"/>
      <c r="RA432" s="31"/>
      <c r="RB432" s="31"/>
      <c r="RC432" s="31"/>
      <c r="RD432" s="31"/>
      <c r="RE432" s="31"/>
      <c r="RF432" s="31"/>
      <c r="RG432" s="31"/>
      <c r="RH432" s="31"/>
      <c r="RI432" s="31"/>
      <c r="RJ432" s="31"/>
      <c r="RK432" s="31"/>
      <c r="RL432" s="31"/>
      <c r="RM432" s="31"/>
      <c r="RN432" s="31"/>
      <c r="RO432" s="31"/>
      <c r="RP432" s="31"/>
      <c r="RQ432" s="31"/>
      <c r="RR432" s="31"/>
      <c r="RS432" s="31"/>
      <c r="RT432" s="31"/>
      <c r="RU432" s="31"/>
      <c r="RV432" s="31"/>
      <c r="RW432" s="31"/>
      <c r="RX432" s="31"/>
      <c r="RY432" s="31"/>
      <c r="RZ432" s="31"/>
      <c r="SA432" s="31"/>
      <c r="SB432" s="31"/>
      <c r="SC432" s="31"/>
      <c r="SD432" s="31"/>
      <c r="SE432" s="31"/>
      <c r="SF432" s="31"/>
      <c r="SG432" s="31"/>
      <c r="SH432" s="31"/>
      <c r="SI432" s="31"/>
      <c r="SJ432" s="31"/>
      <c r="SK432" s="31"/>
      <c r="SL432" s="31"/>
      <c r="SM432" s="31"/>
      <c r="SN432" s="31"/>
      <c r="SO432" s="31"/>
      <c r="SP432" s="31"/>
      <c r="SQ432" s="31"/>
      <c r="SR432" s="31"/>
      <c r="SS432" s="31"/>
      <c r="ST432" s="31"/>
      <c r="SU432" s="31"/>
      <c r="SV432" s="31"/>
      <c r="SW432" s="31"/>
      <c r="SX432" s="31"/>
      <c r="SY432" s="31"/>
      <c r="SZ432" s="31"/>
      <c r="TA432" s="31"/>
      <c r="TB432" s="31"/>
      <c r="TC432" s="31"/>
      <c r="TD432" s="31"/>
      <c r="TE432" s="31"/>
      <c r="TF432" s="31"/>
      <c r="TG432" s="31"/>
      <c r="TH432" s="31"/>
      <c r="TI432" s="31"/>
      <c r="TJ432" s="31"/>
      <c r="TK432" s="31"/>
      <c r="TL432" s="31"/>
      <c r="TM432" s="31"/>
      <c r="TN432" s="31"/>
      <c r="TO432" s="31"/>
      <c r="TP432" s="31"/>
      <c r="TQ432" s="31"/>
      <c r="TR432" s="31"/>
      <c r="TS432" s="31"/>
      <c r="TT432" s="31"/>
      <c r="TU432" s="31"/>
      <c r="TV432" s="31"/>
      <c r="TW432" s="31"/>
      <c r="TX432" s="31"/>
      <c r="TY432" s="31"/>
      <c r="TZ432" s="31"/>
      <c r="UA432" s="31"/>
      <c r="UB432" s="31"/>
      <c r="UC432" s="31"/>
      <c r="UD432" s="31"/>
      <c r="UE432" s="31"/>
      <c r="UF432" s="31"/>
      <c r="UG432" s="33"/>
    </row>
    <row r="433" spans="1:553" ht="30.75" customHeight="1">
      <c r="A433" s="356" t="s">
        <v>30</v>
      </c>
      <c r="B433" s="385" t="s">
        <v>35</v>
      </c>
      <c r="C433" s="1404" t="s">
        <v>331</v>
      </c>
      <c r="D433" s="1389"/>
      <c r="E433" s="1389"/>
      <c r="F433" s="1390"/>
      <c r="G433" s="386" t="s">
        <v>935</v>
      </c>
      <c r="H433" s="370"/>
      <c r="I433" s="422">
        <f>0.36*2.85*4</f>
        <v>4.1040000000000001</v>
      </c>
      <c r="J433" s="368">
        <v>39000</v>
      </c>
      <c r="K433" s="371"/>
      <c r="L433" s="391">
        <f t="shared" si="87"/>
        <v>160056</v>
      </c>
      <c r="M433" s="391"/>
      <c r="N433" s="391"/>
      <c r="O433" s="391"/>
      <c r="P433" s="391"/>
      <c r="Q433" s="1445"/>
      <c r="R433" s="1226"/>
      <c r="S433" s="308"/>
      <c r="T433" s="303"/>
      <c r="U433" s="306"/>
      <c r="V433" s="307"/>
      <c r="W433" s="306"/>
      <c r="X433" s="306"/>
      <c r="Y433" s="306"/>
      <c r="Z433" s="306"/>
      <c r="AA433" s="306"/>
      <c r="AB433" s="306"/>
      <c r="AC433" s="449"/>
      <c r="AD433" s="449"/>
      <c r="AE433" s="449"/>
      <c r="AF433" s="449"/>
      <c r="AG433" s="449"/>
      <c r="AH433" s="449"/>
      <c r="AI433" s="449"/>
      <c r="AJ433" s="449"/>
      <c r="AK433" s="452"/>
      <c r="AL433" s="104"/>
      <c r="AM433" s="32"/>
      <c r="AN433" s="32"/>
      <c r="AO433" s="32"/>
      <c r="AP433" s="32"/>
      <c r="AQ433" s="32"/>
      <c r="AR433" s="32"/>
      <c r="AS433" s="31"/>
      <c r="AT433" s="31"/>
      <c r="AU433" s="31"/>
      <c r="AV433" s="31"/>
      <c r="AW433" s="31"/>
      <c r="AX433" s="31"/>
      <c r="AY433" s="31"/>
      <c r="AZ433" s="31"/>
      <c r="BA433" s="31"/>
      <c r="BB433" s="31"/>
      <c r="BC433" s="31"/>
      <c r="BD433" s="31"/>
      <c r="BE433" s="31"/>
      <c r="BF433" s="31"/>
      <c r="BG433" s="31"/>
      <c r="BH433" s="31"/>
      <c r="BI433" s="31"/>
      <c r="BJ433" s="31"/>
      <c r="BK433" s="31"/>
      <c r="BL433" s="31"/>
      <c r="BM433" s="31"/>
      <c r="BN433" s="31"/>
      <c r="BO433" s="31"/>
      <c r="BP433" s="31"/>
      <c r="BQ433" s="31"/>
      <c r="BR433" s="31"/>
      <c r="BS433" s="31"/>
      <c r="BT433" s="31"/>
      <c r="BU433" s="31"/>
      <c r="BV433" s="31"/>
      <c r="BW433" s="31"/>
      <c r="BX433" s="31"/>
      <c r="BY433" s="31"/>
      <c r="BZ433" s="31"/>
      <c r="CA433" s="31"/>
      <c r="CB433" s="31"/>
      <c r="CC433" s="31"/>
      <c r="CD433" s="31"/>
      <c r="CE433" s="31"/>
      <c r="CF433" s="31"/>
      <c r="CG433" s="31"/>
      <c r="CH433" s="31"/>
      <c r="CI433" s="31"/>
      <c r="CJ433" s="31"/>
      <c r="CK433" s="31"/>
      <c r="CL433" s="31"/>
      <c r="CM433" s="31"/>
      <c r="CN433" s="31"/>
      <c r="CO433" s="31"/>
      <c r="CP433" s="31"/>
      <c r="CQ433" s="31"/>
      <c r="CR433" s="31"/>
      <c r="CS433" s="31"/>
      <c r="CT433" s="31"/>
      <c r="CU433" s="31"/>
      <c r="CV433" s="31"/>
      <c r="CW433" s="31"/>
      <c r="CX433" s="31"/>
      <c r="CY433" s="31"/>
      <c r="CZ433" s="31"/>
      <c r="DA433" s="31"/>
      <c r="DB433" s="31"/>
      <c r="DC433" s="31"/>
      <c r="DD433" s="31"/>
      <c r="DE433" s="31"/>
      <c r="DF433" s="31"/>
      <c r="DG433" s="31"/>
      <c r="DH433" s="31"/>
      <c r="DI433" s="31"/>
      <c r="DJ433" s="31"/>
      <c r="DK433" s="31"/>
      <c r="DL433" s="31"/>
      <c r="DM433" s="31"/>
      <c r="DN433" s="31"/>
      <c r="DO433" s="31"/>
      <c r="DP433" s="31"/>
      <c r="DQ433" s="31"/>
      <c r="DR433" s="31"/>
      <c r="DS433" s="31"/>
      <c r="DT433" s="31"/>
      <c r="DU433" s="31"/>
      <c r="DV433" s="31"/>
      <c r="DW433" s="31"/>
      <c r="DX433" s="31"/>
      <c r="DY433" s="31"/>
      <c r="DZ433" s="31"/>
      <c r="EA433" s="31"/>
      <c r="EB433" s="31"/>
      <c r="EC433" s="31"/>
      <c r="ED433" s="31"/>
      <c r="EE433" s="31"/>
      <c r="EF433" s="31"/>
      <c r="EG433" s="31"/>
      <c r="EH433" s="31"/>
      <c r="EI433" s="31"/>
      <c r="EJ433" s="31"/>
      <c r="EK433" s="31"/>
      <c r="EL433" s="31"/>
      <c r="EM433" s="31"/>
      <c r="EN433" s="31"/>
      <c r="EO433" s="31"/>
      <c r="EP433" s="31"/>
      <c r="EQ433" s="31"/>
      <c r="ER433" s="31"/>
      <c r="ES433" s="31"/>
      <c r="ET433" s="31"/>
      <c r="EU433" s="31"/>
      <c r="EV433" s="31"/>
      <c r="EW433" s="31"/>
      <c r="EX433" s="31"/>
      <c r="EY433" s="31"/>
      <c r="EZ433" s="31"/>
      <c r="FA433" s="31"/>
      <c r="FB433" s="31"/>
      <c r="FC433" s="31"/>
      <c r="FD433" s="31"/>
      <c r="FE433" s="31"/>
      <c r="FF433" s="31"/>
      <c r="FG433" s="31"/>
      <c r="FH433" s="31"/>
      <c r="FI433" s="31"/>
      <c r="FJ433" s="31"/>
      <c r="FK433" s="31"/>
      <c r="FL433" s="31"/>
      <c r="FM433" s="31"/>
      <c r="FN433" s="31"/>
      <c r="FO433" s="31"/>
      <c r="FP433" s="31"/>
      <c r="FQ433" s="31"/>
      <c r="FR433" s="31"/>
      <c r="FS433" s="31"/>
      <c r="FT433" s="31"/>
      <c r="FU433" s="31"/>
      <c r="FV433" s="31"/>
      <c r="FW433" s="31"/>
      <c r="FX433" s="31"/>
      <c r="FY433" s="31"/>
      <c r="FZ433" s="31"/>
      <c r="GA433" s="31"/>
      <c r="GB433" s="31"/>
      <c r="GC433" s="31"/>
      <c r="GD433" s="31"/>
      <c r="GE433" s="31"/>
      <c r="GF433" s="31"/>
      <c r="GG433" s="31"/>
      <c r="GH433" s="31"/>
      <c r="GI433" s="31"/>
      <c r="GJ433" s="31"/>
      <c r="GK433" s="31"/>
      <c r="GL433" s="31"/>
      <c r="GM433" s="31"/>
      <c r="GN433" s="31"/>
      <c r="GO433" s="31"/>
      <c r="GP433" s="31"/>
      <c r="GQ433" s="31"/>
      <c r="GR433" s="31"/>
      <c r="GS433" s="31"/>
      <c r="GT433" s="31"/>
      <c r="GU433" s="31"/>
      <c r="GV433" s="31"/>
      <c r="GW433" s="31"/>
      <c r="GX433" s="31"/>
      <c r="GY433" s="31"/>
      <c r="GZ433" s="31"/>
      <c r="HA433" s="31"/>
      <c r="HB433" s="31"/>
      <c r="HC433" s="31"/>
      <c r="HD433" s="31"/>
      <c r="HE433" s="31"/>
      <c r="HF433" s="31"/>
      <c r="HG433" s="31"/>
      <c r="HH433" s="31"/>
      <c r="HI433" s="31"/>
      <c r="HJ433" s="31"/>
      <c r="HK433" s="31"/>
      <c r="HL433" s="31"/>
      <c r="HM433" s="31"/>
      <c r="HN433" s="31"/>
      <c r="HO433" s="31"/>
      <c r="HP433" s="31"/>
      <c r="HQ433" s="31"/>
      <c r="HR433" s="31"/>
      <c r="HS433" s="31"/>
      <c r="HT433" s="31"/>
      <c r="HU433" s="31"/>
      <c r="HV433" s="31"/>
      <c r="HW433" s="31"/>
      <c r="HX433" s="31"/>
      <c r="HY433" s="31"/>
      <c r="HZ433" s="31"/>
      <c r="IA433" s="31"/>
      <c r="IB433" s="31"/>
      <c r="IC433" s="31"/>
      <c r="ID433" s="31"/>
      <c r="IE433" s="31"/>
      <c r="IF433" s="31"/>
      <c r="IG433" s="31"/>
      <c r="IH433" s="31"/>
      <c r="II433" s="31"/>
      <c r="IJ433" s="31"/>
      <c r="IK433" s="31"/>
      <c r="IL433" s="31"/>
      <c r="IM433" s="31"/>
      <c r="IN433" s="31"/>
      <c r="IO433" s="31"/>
      <c r="IP433" s="31"/>
      <c r="IQ433" s="31"/>
      <c r="IR433" s="31"/>
      <c r="IS433" s="31"/>
      <c r="IT433" s="31"/>
      <c r="IU433" s="31"/>
      <c r="IV433" s="31"/>
      <c r="IW433" s="31"/>
      <c r="IX433" s="31"/>
      <c r="IY433" s="31"/>
      <c r="IZ433" s="31"/>
      <c r="JA433" s="31"/>
      <c r="JB433" s="31"/>
      <c r="JC433" s="31"/>
      <c r="JD433" s="31"/>
      <c r="JE433" s="31"/>
      <c r="JF433" s="31"/>
      <c r="JG433" s="31"/>
      <c r="JH433" s="31"/>
      <c r="JI433" s="31"/>
      <c r="JJ433" s="31"/>
      <c r="JK433" s="31"/>
      <c r="JL433" s="31"/>
      <c r="JM433" s="31"/>
      <c r="JN433" s="31"/>
      <c r="JO433" s="31"/>
      <c r="JP433" s="31"/>
      <c r="JQ433" s="31"/>
      <c r="JR433" s="31"/>
      <c r="JS433" s="31"/>
      <c r="JT433" s="31"/>
      <c r="JU433" s="31"/>
      <c r="JV433" s="31"/>
      <c r="JW433" s="31"/>
      <c r="JX433" s="31"/>
      <c r="JY433" s="31"/>
      <c r="JZ433" s="31"/>
      <c r="KA433" s="31"/>
      <c r="KB433" s="31"/>
      <c r="KC433" s="31"/>
      <c r="KD433" s="31"/>
      <c r="KE433" s="31"/>
      <c r="KF433" s="31"/>
      <c r="KG433" s="31"/>
      <c r="KH433" s="31"/>
      <c r="KI433" s="31"/>
      <c r="KJ433" s="31"/>
      <c r="KK433" s="31"/>
      <c r="KL433" s="31"/>
      <c r="KM433" s="31"/>
      <c r="KN433" s="31"/>
      <c r="KO433" s="31"/>
      <c r="KP433" s="31"/>
      <c r="KQ433" s="31"/>
      <c r="KR433" s="31"/>
      <c r="KS433" s="31"/>
      <c r="KT433" s="31"/>
      <c r="KU433" s="31"/>
      <c r="KV433" s="31"/>
      <c r="KW433" s="31"/>
      <c r="KX433" s="31"/>
      <c r="KY433" s="31"/>
      <c r="KZ433" s="31"/>
      <c r="LA433" s="31"/>
      <c r="LB433" s="31"/>
      <c r="LC433" s="31"/>
      <c r="LD433" s="31"/>
      <c r="LE433" s="31"/>
      <c r="LF433" s="31"/>
      <c r="LG433" s="31"/>
      <c r="LH433" s="31"/>
      <c r="LI433" s="31"/>
      <c r="LJ433" s="31"/>
      <c r="LK433" s="31"/>
      <c r="LL433" s="31"/>
      <c r="LM433" s="31"/>
      <c r="LN433" s="31"/>
      <c r="LO433" s="31"/>
      <c r="LP433" s="31"/>
      <c r="LQ433" s="31"/>
      <c r="LR433" s="31"/>
      <c r="LS433" s="31"/>
      <c r="LT433" s="31"/>
      <c r="LU433" s="31"/>
      <c r="LV433" s="31"/>
      <c r="LW433" s="31"/>
      <c r="LX433" s="31"/>
      <c r="LY433" s="31"/>
      <c r="LZ433" s="31"/>
      <c r="MA433" s="31"/>
      <c r="MB433" s="31"/>
      <c r="MC433" s="31"/>
      <c r="MD433" s="31"/>
      <c r="ME433" s="31"/>
      <c r="MF433" s="31"/>
      <c r="MG433" s="31"/>
      <c r="MH433" s="31"/>
      <c r="MI433" s="31"/>
      <c r="MJ433" s="31"/>
      <c r="MK433" s="31"/>
      <c r="ML433" s="31"/>
      <c r="MM433" s="31"/>
      <c r="MN433" s="31"/>
      <c r="MO433" s="31"/>
      <c r="MP433" s="31"/>
      <c r="MQ433" s="31"/>
      <c r="MR433" s="31"/>
      <c r="MS433" s="31"/>
      <c r="MT433" s="31"/>
      <c r="MU433" s="31"/>
      <c r="MV433" s="31"/>
      <c r="MW433" s="31"/>
      <c r="MX433" s="31"/>
      <c r="MY433" s="31"/>
      <c r="MZ433" s="31"/>
      <c r="NA433" s="31"/>
      <c r="NB433" s="31"/>
      <c r="NC433" s="31"/>
      <c r="ND433" s="31"/>
      <c r="NE433" s="31"/>
      <c r="NF433" s="31"/>
      <c r="NG433" s="31"/>
      <c r="NH433" s="31"/>
      <c r="NI433" s="31"/>
      <c r="NJ433" s="31"/>
      <c r="NK433" s="31"/>
      <c r="NL433" s="31"/>
      <c r="NM433" s="31"/>
      <c r="NN433" s="31"/>
      <c r="NO433" s="31"/>
      <c r="NP433" s="31"/>
      <c r="NQ433" s="31"/>
      <c r="NR433" s="31"/>
      <c r="NS433" s="31"/>
      <c r="NT433" s="31"/>
      <c r="NU433" s="31"/>
      <c r="NV433" s="31"/>
      <c r="NW433" s="31"/>
      <c r="NX433" s="31"/>
      <c r="NY433" s="31"/>
      <c r="NZ433" s="31"/>
      <c r="OA433" s="31"/>
      <c r="OB433" s="31"/>
      <c r="OC433" s="31"/>
      <c r="OD433" s="31"/>
      <c r="OE433" s="31"/>
      <c r="OF433" s="31"/>
      <c r="OG433" s="31"/>
      <c r="OH433" s="31"/>
      <c r="OI433" s="31"/>
      <c r="OJ433" s="31"/>
      <c r="OK433" s="31"/>
      <c r="OL433" s="31"/>
      <c r="OM433" s="31"/>
      <c r="ON433" s="31"/>
      <c r="OO433" s="31"/>
      <c r="OP433" s="31"/>
      <c r="OQ433" s="31"/>
      <c r="OR433" s="31"/>
      <c r="OS433" s="31"/>
      <c r="OT433" s="31"/>
      <c r="OU433" s="31"/>
      <c r="OV433" s="31"/>
      <c r="OW433" s="31"/>
      <c r="OX433" s="31"/>
      <c r="OY433" s="31"/>
      <c r="OZ433" s="31"/>
      <c r="PA433" s="31"/>
      <c r="PB433" s="31"/>
      <c r="PC433" s="31"/>
      <c r="PD433" s="31"/>
      <c r="PE433" s="31"/>
      <c r="PF433" s="31"/>
      <c r="PG433" s="31"/>
      <c r="PH433" s="31"/>
      <c r="PI433" s="31"/>
      <c r="PJ433" s="31"/>
      <c r="PK433" s="31"/>
      <c r="PL433" s="31"/>
      <c r="PM433" s="31"/>
      <c r="PN433" s="31"/>
      <c r="PO433" s="31"/>
      <c r="PP433" s="31"/>
      <c r="PQ433" s="31"/>
      <c r="PR433" s="31"/>
      <c r="PS433" s="31"/>
      <c r="PT433" s="31"/>
      <c r="PU433" s="31"/>
      <c r="PV433" s="31"/>
      <c r="PW433" s="31"/>
      <c r="PX433" s="31"/>
      <c r="PY433" s="31"/>
      <c r="PZ433" s="31"/>
      <c r="QA433" s="31"/>
      <c r="QB433" s="31"/>
      <c r="QC433" s="31"/>
      <c r="QD433" s="31"/>
      <c r="QE433" s="31"/>
      <c r="QF433" s="31"/>
      <c r="QG433" s="31"/>
      <c r="QH433" s="31"/>
      <c r="QI433" s="31"/>
      <c r="QJ433" s="31"/>
      <c r="QK433" s="31"/>
      <c r="QL433" s="31"/>
      <c r="QM433" s="31"/>
      <c r="QN433" s="31"/>
      <c r="QO433" s="31"/>
      <c r="QP433" s="31"/>
      <c r="QQ433" s="31"/>
      <c r="QR433" s="31"/>
      <c r="QS433" s="31"/>
      <c r="QT433" s="31"/>
      <c r="QU433" s="31"/>
      <c r="QV433" s="31"/>
      <c r="QW433" s="31"/>
      <c r="QX433" s="31"/>
      <c r="QY433" s="31"/>
      <c r="QZ433" s="31"/>
      <c r="RA433" s="31"/>
      <c r="RB433" s="31"/>
      <c r="RC433" s="31"/>
      <c r="RD433" s="31"/>
      <c r="RE433" s="31"/>
      <c r="RF433" s="31"/>
      <c r="RG433" s="31"/>
      <c r="RH433" s="31"/>
      <c r="RI433" s="31"/>
      <c r="RJ433" s="31"/>
      <c r="RK433" s="31"/>
      <c r="RL433" s="31"/>
      <c r="RM433" s="31"/>
      <c r="RN433" s="31"/>
      <c r="RO433" s="31"/>
      <c r="RP433" s="31"/>
      <c r="RQ433" s="31"/>
      <c r="RR433" s="31"/>
      <c r="RS433" s="31"/>
      <c r="RT433" s="31"/>
      <c r="RU433" s="31"/>
      <c r="RV433" s="31"/>
      <c r="RW433" s="31"/>
      <c r="RX433" s="31"/>
      <c r="RY433" s="31"/>
      <c r="RZ433" s="31"/>
      <c r="SA433" s="31"/>
      <c r="SB433" s="31"/>
      <c r="SC433" s="31"/>
      <c r="SD433" s="31"/>
      <c r="SE433" s="31"/>
      <c r="SF433" s="31"/>
      <c r="SG433" s="31"/>
      <c r="SH433" s="31"/>
      <c r="SI433" s="31"/>
      <c r="SJ433" s="31"/>
      <c r="SK433" s="31"/>
      <c r="SL433" s="31"/>
      <c r="SM433" s="31"/>
      <c r="SN433" s="31"/>
      <c r="SO433" s="31"/>
      <c r="SP433" s="31"/>
      <c r="SQ433" s="31"/>
      <c r="SR433" s="31"/>
      <c r="SS433" s="31"/>
      <c r="ST433" s="31"/>
      <c r="SU433" s="31"/>
      <c r="SV433" s="31"/>
      <c r="SW433" s="31"/>
      <c r="SX433" s="31"/>
      <c r="SY433" s="31"/>
      <c r="SZ433" s="31"/>
      <c r="TA433" s="31"/>
      <c r="TB433" s="31"/>
      <c r="TC433" s="31"/>
      <c r="TD433" s="31"/>
      <c r="TE433" s="31"/>
      <c r="TF433" s="31"/>
      <c r="TG433" s="31"/>
      <c r="TH433" s="31"/>
      <c r="TI433" s="31"/>
      <c r="TJ433" s="31"/>
      <c r="TK433" s="31"/>
      <c r="TL433" s="31"/>
      <c r="TM433" s="31"/>
      <c r="TN433" s="31"/>
      <c r="TO433" s="31"/>
      <c r="TP433" s="31"/>
      <c r="TQ433" s="31"/>
      <c r="TR433" s="31"/>
      <c r="TS433" s="31"/>
      <c r="TT433" s="31"/>
      <c r="TU433" s="31"/>
      <c r="TV433" s="31"/>
      <c r="TW433" s="31"/>
      <c r="TX433" s="31"/>
      <c r="TY433" s="31"/>
      <c r="TZ433" s="31"/>
      <c r="UA433" s="31"/>
      <c r="UB433" s="31"/>
      <c r="UC433" s="31"/>
      <c r="UD433" s="31"/>
      <c r="UE433" s="31"/>
      <c r="UF433" s="31"/>
      <c r="UG433" s="33"/>
    </row>
    <row r="434" spans="1:553" ht="30.75" customHeight="1">
      <c r="A434" s="356" t="s">
        <v>30</v>
      </c>
      <c r="B434" s="385" t="s">
        <v>35</v>
      </c>
      <c r="C434" s="1404" t="s">
        <v>332</v>
      </c>
      <c r="D434" s="1389"/>
      <c r="E434" s="1389"/>
      <c r="F434" s="1390"/>
      <c r="G434" s="386" t="s">
        <v>935</v>
      </c>
      <c r="H434" s="370"/>
      <c r="I434" s="834">
        <f>0.3*7.5*6</f>
        <v>13.5</v>
      </c>
      <c r="J434" s="368">
        <v>39000</v>
      </c>
      <c r="K434" s="371"/>
      <c r="L434" s="391">
        <f t="shared" si="87"/>
        <v>526500</v>
      </c>
      <c r="M434" s="395"/>
      <c r="N434" s="395"/>
      <c r="O434" s="366"/>
      <c r="P434" s="396"/>
      <c r="Q434" s="473"/>
      <c r="R434" s="1039"/>
      <c r="S434" s="308"/>
      <c r="T434" s="303"/>
      <c r="U434" s="306"/>
      <c r="V434" s="307"/>
      <c r="W434" s="306"/>
      <c r="X434" s="306"/>
      <c r="Y434" s="306"/>
      <c r="Z434" s="306"/>
      <c r="AA434" s="306"/>
      <c r="AB434" s="306"/>
      <c r="AC434" s="449"/>
      <c r="AD434" s="449"/>
      <c r="AE434" s="449"/>
      <c r="AF434" s="449"/>
      <c r="AG434" s="452"/>
      <c r="AH434" s="452"/>
      <c r="AI434" s="452"/>
      <c r="AJ434" s="452"/>
      <c r="AK434" s="452"/>
      <c r="AL434" s="104"/>
      <c r="AM434" s="32"/>
      <c r="AN434" s="32"/>
      <c r="AO434" s="32"/>
      <c r="AP434" s="32"/>
      <c r="AQ434" s="31"/>
      <c r="AR434" s="31"/>
      <c r="AS434" s="31"/>
      <c r="AT434" s="31"/>
      <c r="AU434" s="31"/>
      <c r="AV434" s="31"/>
      <c r="AW434" s="31"/>
      <c r="AX434" s="31"/>
      <c r="AY434" s="31"/>
      <c r="AZ434" s="31"/>
      <c r="BA434" s="31"/>
      <c r="BB434" s="31"/>
      <c r="BC434" s="31"/>
      <c r="BD434" s="31"/>
      <c r="BE434" s="31"/>
      <c r="BF434" s="31"/>
      <c r="BG434" s="31"/>
      <c r="BH434" s="31"/>
      <c r="BI434" s="31"/>
      <c r="BJ434" s="31"/>
      <c r="BK434" s="31"/>
      <c r="BL434" s="31"/>
      <c r="BM434" s="25"/>
      <c r="BN434" s="25"/>
      <c r="BO434" s="25"/>
      <c r="BP434" s="25"/>
      <c r="BQ434" s="25"/>
      <c r="BR434" s="25"/>
      <c r="BS434" s="25"/>
      <c r="BT434" s="25"/>
      <c r="BU434" s="25"/>
      <c r="BV434" s="25"/>
      <c r="BW434" s="25"/>
      <c r="BX434" s="25"/>
      <c r="BY434" s="25"/>
      <c r="BZ434" s="25"/>
      <c r="CA434" s="25"/>
      <c r="CB434" s="25"/>
      <c r="CC434" s="25"/>
      <c r="CD434" s="25"/>
      <c r="CE434" s="25"/>
      <c r="CF434" s="25"/>
      <c r="CG434" s="25"/>
      <c r="CH434" s="25"/>
      <c r="CI434" s="25"/>
      <c r="CJ434" s="25"/>
      <c r="CK434" s="25"/>
      <c r="CL434" s="25"/>
      <c r="CM434" s="25"/>
      <c r="CN434" s="25"/>
      <c r="CO434" s="25"/>
      <c r="CP434" s="25"/>
      <c r="CQ434" s="25"/>
      <c r="CR434" s="25"/>
      <c r="CS434" s="25"/>
      <c r="CT434" s="25"/>
      <c r="CU434" s="25"/>
      <c r="CV434" s="25"/>
      <c r="CW434" s="25"/>
      <c r="CX434" s="25"/>
      <c r="CY434" s="25"/>
      <c r="CZ434" s="25"/>
      <c r="DA434" s="25"/>
      <c r="DB434" s="25"/>
      <c r="DC434" s="25"/>
      <c r="DD434" s="25"/>
      <c r="DE434" s="25"/>
      <c r="DF434" s="25"/>
      <c r="DG434" s="25"/>
      <c r="DH434" s="25"/>
      <c r="DI434" s="25"/>
      <c r="DJ434" s="25"/>
      <c r="DK434" s="25"/>
      <c r="DL434" s="25"/>
      <c r="DM434" s="25"/>
      <c r="DN434" s="25"/>
      <c r="DO434" s="25"/>
      <c r="DP434" s="25"/>
      <c r="DQ434" s="25"/>
      <c r="DR434" s="25"/>
      <c r="DS434" s="25"/>
      <c r="DT434" s="25"/>
      <c r="DU434" s="25"/>
      <c r="DV434" s="25"/>
      <c r="DW434" s="25"/>
      <c r="DX434" s="25"/>
      <c r="DY434" s="25"/>
      <c r="DZ434" s="25"/>
      <c r="EA434" s="25"/>
      <c r="EB434" s="25"/>
      <c r="EC434" s="25"/>
      <c r="ED434" s="25"/>
      <c r="EE434" s="25"/>
      <c r="EF434" s="25"/>
      <c r="EG434" s="25"/>
      <c r="EH434" s="25"/>
      <c r="EI434" s="25"/>
      <c r="EJ434" s="25"/>
      <c r="EK434" s="25"/>
      <c r="EL434" s="25"/>
      <c r="EM434" s="25"/>
      <c r="EN434" s="25"/>
      <c r="EO434" s="25"/>
      <c r="EP434" s="25"/>
      <c r="EQ434" s="25"/>
      <c r="ER434" s="25"/>
      <c r="ES434" s="25"/>
      <c r="ET434" s="25"/>
      <c r="EU434" s="25"/>
      <c r="EV434" s="25"/>
      <c r="EW434" s="25"/>
      <c r="EX434" s="25"/>
      <c r="EY434" s="25"/>
      <c r="EZ434" s="25"/>
      <c r="FA434" s="25"/>
      <c r="FB434" s="25"/>
      <c r="FC434" s="25"/>
      <c r="FD434" s="25"/>
      <c r="FE434" s="25"/>
      <c r="FF434" s="25"/>
      <c r="FG434" s="25"/>
      <c r="FH434" s="25"/>
      <c r="FI434" s="25"/>
      <c r="FJ434" s="25"/>
      <c r="FK434" s="25"/>
      <c r="FL434" s="25"/>
      <c r="FM434" s="25"/>
      <c r="FN434" s="25"/>
      <c r="FO434" s="25"/>
      <c r="FP434" s="25"/>
      <c r="FQ434" s="25"/>
      <c r="FR434" s="25"/>
      <c r="FS434" s="25"/>
      <c r="FT434" s="25"/>
      <c r="FU434" s="25"/>
      <c r="FV434" s="25"/>
      <c r="FW434" s="25"/>
      <c r="FX434" s="25"/>
      <c r="FY434" s="25"/>
      <c r="FZ434" s="25"/>
      <c r="GA434" s="25"/>
      <c r="GB434" s="25"/>
      <c r="GC434" s="25"/>
      <c r="GD434" s="25"/>
      <c r="GE434" s="25"/>
      <c r="GF434" s="25"/>
      <c r="GG434" s="25"/>
      <c r="GH434" s="25"/>
      <c r="GI434" s="25"/>
      <c r="GJ434" s="25"/>
      <c r="GK434" s="25"/>
      <c r="GL434" s="25"/>
      <c r="GM434" s="25"/>
      <c r="GN434" s="25"/>
      <c r="GO434" s="25"/>
      <c r="GP434" s="25"/>
      <c r="GQ434" s="25"/>
      <c r="GR434" s="25"/>
      <c r="GS434" s="25"/>
      <c r="GT434" s="25"/>
      <c r="GU434" s="25"/>
      <c r="GV434" s="25"/>
      <c r="GW434" s="25"/>
      <c r="GX434" s="25"/>
      <c r="GY434" s="25"/>
      <c r="GZ434" s="25"/>
      <c r="HA434" s="25"/>
      <c r="HB434" s="25"/>
      <c r="HC434" s="25"/>
      <c r="HD434" s="25"/>
      <c r="HE434" s="25"/>
      <c r="HF434" s="25"/>
      <c r="HG434" s="25"/>
      <c r="HH434" s="25"/>
      <c r="HI434" s="25"/>
      <c r="HJ434" s="25"/>
      <c r="HK434" s="25"/>
      <c r="HL434" s="25"/>
      <c r="HM434" s="25"/>
      <c r="HN434" s="25"/>
      <c r="HO434" s="25"/>
      <c r="HP434" s="25"/>
      <c r="HQ434" s="25"/>
      <c r="HR434" s="25"/>
      <c r="HS434" s="25"/>
      <c r="HT434" s="25"/>
      <c r="HU434" s="25"/>
      <c r="HV434" s="25"/>
      <c r="HW434" s="25"/>
      <c r="HX434" s="25"/>
      <c r="HY434" s="25"/>
      <c r="HZ434" s="25"/>
      <c r="IA434" s="25"/>
      <c r="IB434" s="25"/>
      <c r="IC434" s="25"/>
      <c r="ID434" s="25"/>
      <c r="IE434" s="25"/>
      <c r="IF434" s="25"/>
      <c r="IG434" s="25"/>
      <c r="IH434" s="25"/>
      <c r="II434" s="25"/>
      <c r="IJ434" s="25"/>
      <c r="IK434" s="25"/>
      <c r="IL434" s="25"/>
      <c r="IM434" s="25"/>
      <c r="IN434" s="25"/>
      <c r="IO434" s="25"/>
      <c r="IP434" s="25"/>
      <c r="IQ434" s="25"/>
      <c r="IR434" s="25"/>
      <c r="IS434" s="25"/>
      <c r="IT434" s="25"/>
      <c r="IU434" s="25"/>
      <c r="IV434" s="25"/>
      <c r="IW434" s="25"/>
      <c r="IX434" s="25"/>
      <c r="IY434" s="25"/>
      <c r="IZ434" s="25"/>
      <c r="JA434" s="25"/>
      <c r="JB434" s="25"/>
      <c r="JC434" s="25"/>
      <c r="JD434" s="25"/>
      <c r="JE434" s="25"/>
      <c r="JF434" s="25"/>
      <c r="JG434" s="25"/>
      <c r="JH434" s="25"/>
      <c r="JI434" s="25"/>
      <c r="JJ434" s="25"/>
      <c r="JK434" s="25"/>
      <c r="JL434" s="25"/>
      <c r="JM434" s="25"/>
      <c r="JN434" s="25"/>
      <c r="JO434" s="25"/>
      <c r="JP434" s="25"/>
      <c r="JQ434" s="25"/>
      <c r="JR434" s="25"/>
      <c r="JS434" s="25"/>
      <c r="JT434" s="25"/>
      <c r="JU434" s="25"/>
      <c r="JV434" s="25"/>
      <c r="JW434" s="25"/>
      <c r="JX434" s="25"/>
      <c r="JY434" s="25"/>
      <c r="JZ434" s="25"/>
      <c r="KA434" s="25"/>
      <c r="KB434" s="25"/>
      <c r="KC434" s="25"/>
      <c r="KD434" s="25"/>
      <c r="KE434" s="25"/>
      <c r="KF434" s="25"/>
      <c r="KG434" s="25"/>
      <c r="KH434" s="25"/>
      <c r="KI434" s="25"/>
      <c r="KJ434" s="25"/>
      <c r="KK434" s="25"/>
      <c r="KL434" s="25"/>
      <c r="KM434" s="25"/>
      <c r="KN434" s="25"/>
      <c r="KO434" s="25"/>
      <c r="KP434" s="25"/>
      <c r="KQ434" s="25"/>
      <c r="KR434" s="25"/>
      <c r="KS434" s="25"/>
      <c r="KT434" s="25"/>
      <c r="KU434" s="25"/>
      <c r="KV434" s="25"/>
      <c r="KW434" s="25"/>
      <c r="KX434" s="25"/>
      <c r="KY434" s="25"/>
      <c r="KZ434" s="25"/>
      <c r="LA434" s="25"/>
      <c r="LB434" s="25"/>
      <c r="LC434" s="25"/>
      <c r="LD434" s="25"/>
      <c r="LE434" s="25"/>
      <c r="LF434" s="25"/>
      <c r="LG434" s="25"/>
      <c r="LH434" s="25"/>
      <c r="LI434" s="25"/>
      <c r="LJ434" s="25"/>
      <c r="LK434" s="25"/>
      <c r="LL434" s="25"/>
      <c r="LM434" s="25"/>
      <c r="LN434" s="25"/>
      <c r="LO434" s="25"/>
      <c r="LP434" s="25"/>
      <c r="LQ434" s="25"/>
      <c r="LR434" s="25"/>
      <c r="LS434" s="25"/>
      <c r="LT434" s="25"/>
      <c r="LU434" s="25"/>
      <c r="LV434" s="25"/>
      <c r="LW434" s="25"/>
      <c r="LX434" s="25"/>
      <c r="LY434" s="25"/>
      <c r="LZ434" s="25"/>
      <c r="MA434" s="25"/>
      <c r="MB434" s="25"/>
      <c r="MC434" s="25"/>
      <c r="MD434" s="25"/>
      <c r="ME434" s="25"/>
      <c r="MF434" s="25"/>
      <c r="MG434" s="25"/>
      <c r="MH434" s="25"/>
      <c r="MI434" s="25"/>
      <c r="MJ434" s="25"/>
      <c r="MK434" s="25"/>
      <c r="ML434" s="25"/>
      <c r="MM434" s="25"/>
      <c r="MN434" s="25"/>
      <c r="MO434" s="25"/>
      <c r="MP434" s="25"/>
      <c r="MQ434" s="25"/>
      <c r="MR434" s="25"/>
      <c r="MS434" s="25"/>
      <c r="MT434" s="25"/>
      <c r="MU434" s="25"/>
      <c r="MV434" s="25"/>
      <c r="MW434" s="25"/>
      <c r="MX434" s="25"/>
      <c r="MY434" s="25"/>
      <c r="MZ434" s="25"/>
      <c r="NA434" s="25"/>
      <c r="NB434" s="25"/>
      <c r="NC434" s="25"/>
      <c r="ND434" s="25"/>
      <c r="NE434" s="25"/>
      <c r="NF434" s="25"/>
      <c r="NG434" s="25"/>
      <c r="NH434" s="25"/>
      <c r="NI434" s="25"/>
      <c r="NJ434" s="25"/>
      <c r="NK434" s="25"/>
      <c r="NL434" s="25"/>
      <c r="NM434" s="25"/>
      <c r="NN434" s="25"/>
      <c r="NO434" s="25"/>
      <c r="NP434" s="25"/>
      <c r="NQ434" s="25"/>
      <c r="NR434" s="25"/>
      <c r="NS434" s="25"/>
      <c r="NT434" s="25"/>
      <c r="NU434" s="25"/>
      <c r="NV434" s="25"/>
      <c r="NW434" s="25"/>
      <c r="NX434" s="25"/>
      <c r="NY434" s="25"/>
      <c r="NZ434" s="25"/>
      <c r="OA434" s="25"/>
      <c r="OB434" s="25"/>
      <c r="OC434" s="25"/>
      <c r="OD434" s="25"/>
      <c r="OE434" s="25"/>
      <c r="OF434" s="25"/>
      <c r="OG434" s="25"/>
      <c r="OH434" s="25"/>
      <c r="OI434" s="25"/>
      <c r="OJ434" s="25"/>
      <c r="OK434" s="25"/>
      <c r="OL434" s="25"/>
      <c r="OM434" s="25"/>
      <c r="ON434" s="25"/>
      <c r="OO434" s="25"/>
      <c r="OP434" s="25"/>
      <c r="OQ434" s="25"/>
      <c r="OR434" s="25"/>
      <c r="OS434" s="25"/>
      <c r="OT434" s="25"/>
      <c r="OU434" s="25"/>
      <c r="OV434" s="25"/>
      <c r="OW434" s="25"/>
      <c r="OX434" s="25"/>
      <c r="OY434" s="25"/>
      <c r="OZ434" s="25"/>
      <c r="PA434" s="25"/>
      <c r="PB434" s="25"/>
      <c r="PC434" s="25"/>
      <c r="PD434" s="25"/>
      <c r="PE434" s="25"/>
      <c r="PF434" s="25"/>
      <c r="PG434" s="25"/>
      <c r="PH434" s="25"/>
      <c r="PI434" s="25"/>
      <c r="PJ434" s="25"/>
      <c r="PK434" s="25"/>
      <c r="PL434" s="25"/>
      <c r="PM434" s="25"/>
      <c r="PN434" s="25"/>
      <c r="PO434" s="25"/>
      <c r="PP434" s="25"/>
      <c r="PQ434" s="25"/>
      <c r="PR434" s="25"/>
      <c r="PS434" s="25"/>
      <c r="PT434" s="25"/>
      <c r="PU434" s="25"/>
      <c r="PV434" s="25"/>
      <c r="PW434" s="25"/>
      <c r="PX434" s="25"/>
      <c r="PY434" s="25"/>
      <c r="PZ434" s="25"/>
      <c r="QA434" s="25"/>
      <c r="QB434" s="25"/>
      <c r="QC434" s="25"/>
      <c r="QD434" s="25"/>
      <c r="QE434" s="25"/>
      <c r="QF434" s="25"/>
      <c r="QG434" s="25"/>
      <c r="QH434" s="25"/>
      <c r="QI434" s="25"/>
      <c r="QJ434" s="25"/>
      <c r="QK434" s="25"/>
      <c r="QL434" s="25"/>
      <c r="QM434" s="25"/>
      <c r="QN434" s="25"/>
      <c r="QO434" s="25"/>
      <c r="QP434" s="25"/>
      <c r="QQ434" s="25"/>
      <c r="QR434" s="25"/>
      <c r="QS434" s="25"/>
      <c r="QT434" s="25"/>
      <c r="QU434" s="25"/>
      <c r="QV434" s="25"/>
      <c r="QW434" s="25"/>
      <c r="QX434" s="25"/>
      <c r="QY434" s="25"/>
      <c r="QZ434" s="25"/>
      <c r="RA434" s="25"/>
      <c r="RB434" s="25"/>
      <c r="RC434" s="25"/>
      <c r="RD434" s="25"/>
      <c r="RE434" s="25"/>
      <c r="RF434" s="25"/>
      <c r="RG434" s="25"/>
      <c r="RH434" s="25"/>
      <c r="RI434" s="25"/>
      <c r="RJ434" s="25"/>
      <c r="RK434" s="25"/>
      <c r="RL434" s="25"/>
      <c r="RM434" s="25"/>
      <c r="RN434" s="25"/>
      <c r="RO434" s="25"/>
      <c r="RP434" s="25"/>
      <c r="RQ434" s="25"/>
      <c r="RR434" s="25"/>
      <c r="RS434" s="25"/>
      <c r="RT434" s="25"/>
      <c r="RU434" s="25"/>
      <c r="RV434" s="25"/>
      <c r="RW434" s="25"/>
      <c r="RX434" s="25"/>
      <c r="RY434" s="25"/>
      <c r="RZ434" s="25"/>
      <c r="SA434" s="25"/>
      <c r="SB434" s="25"/>
      <c r="SC434" s="25"/>
      <c r="SD434" s="25"/>
      <c r="SE434" s="25"/>
      <c r="SF434" s="25"/>
      <c r="SG434" s="25"/>
      <c r="SH434" s="25"/>
      <c r="SI434" s="25"/>
      <c r="SJ434" s="25"/>
      <c r="SK434" s="25"/>
      <c r="SL434" s="25"/>
      <c r="SM434" s="25"/>
      <c r="SN434" s="25"/>
      <c r="SO434" s="25"/>
      <c r="SP434" s="25"/>
      <c r="SQ434" s="25"/>
      <c r="SR434" s="25"/>
      <c r="SS434" s="25"/>
      <c r="ST434" s="25"/>
      <c r="SU434" s="25"/>
      <c r="SV434" s="25"/>
      <c r="SW434" s="25"/>
      <c r="SX434" s="25"/>
      <c r="SY434" s="25"/>
      <c r="SZ434" s="25"/>
      <c r="TA434" s="25"/>
      <c r="TB434" s="25"/>
      <c r="TC434" s="25"/>
      <c r="TD434" s="25"/>
      <c r="TE434" s="25"/>
      <c r="TF434" s="25"/>
      <c r="TG434" s="25"/>
      <c r="TH434" s="25"/>
      <c r="TI434" s="25"/>
      <c r="TJ434" s="25"/>
      <c r="TK434" s="25"/>
      <c r="TL434" s="25"/>
      <c r="TM434" s="25"/>
      <c r="TN434" s="25"/>
      <c r="TO434" s="25"/>
      <c r="TP434" s="25"/>
      <c r="TQ434" s="25"/>
      <c r="TR434" s="25"/>
      <c r="TS434" s="25"/>
      <c r="TT434" s="25"/>
      <c r="TU434" s="25"/>
      <c r="TV434" s="25"/>
      <c r="TW434" s="25"/>
      <c r="TX434" s="25"/>
      <c r="TY434" s="25"/>
      <c r="TZ434" s="25"/>
      <c r="UA434" s="25"/>
      <c r="UB434" s="25"/>
      <c r="UC434" s="25"/>
      <c r="UD434" s="25"/>
      <c r="UE434" s="25"/>
      <c r="UF434" s="25"/>
      <c r="UG434" s="26"/>
    </row>
    <row r="435" spans="1:553" ht="30.75" customHeight="1">
      <c r="A435" s="356" t="s">
        <v>30</v>
      </c>
      <c r="B435" s="385" t="s">
        <v>35</v>
      </c>
      <c r="C435" s="1404" t="s">
        <v>333</v>
      </c>
      <c r="D435" s="1389"/>
      <c r="E435" s="1389"/>
      <c r="F435" s="1390"/>
      <c r="G435" s="386" t="s">
        <v>935</v>
      </c>
      <c r="H435" s="370"/>
      <c r="I435" s="834">
        <f>0.6 *6.2* 4</f>
        <v>14.879999999999999</v>
      </c>
      <c r="J435" s="368">
        <v>39000</v>
      </c>
      <c r="K435" s="371"/>
      <c r="L435" s="391">
        <f t="shared" si="87"/>
        <v>580320</v>
      </c>
      <c r="M435" s="395"/>
      <c r="N435" s="395"/>
      <c r="O435" s="366"/>
      <c r="P435" s="396"/>
      <c r="Q435" s="473"/>
      <c r="R435" s="1039"/>
      <c r="S435" s="302"/>
      <c r="T435" s="303"/>
      <c r="U435" s="304"/>
      <c r="V435" s="304"/>
      <c r="W435" s="304"/>
      <c r="X435" s="304"/>
      <c r="Y435" s="304"/>
      <c r="Z435" s="304"/>
      <c r="AA435" s="304"/>
      <c r="AB435" s="304"/>
      <c r="AC435" s="449"/>
      <c r="AD435" s="449"/>
      <c r="AE435" s="449"/>
      <c r="AF435" s="449"/>
      <c r="AG435" s="452"/>
      <c r="AH435" s="452"/>
      <c r="AI435" s="452"/>
      <c r="AJ435" s="452"/>
      <c r="AK435" s="452"/>
      <c r="AL435" s="104"/>
      <c r="AM435" s="32"/>
      <c r="AN435" s="32"/>
      <c r="AO435" s="32"/>
      <c r="AP435" s="32"/>
      <c r="AQ435" s="31"/>
      <c r="AR435" s="31"/>
      <c r="AS435" s="31"/>
      <c r="AT435" s="31"/>
      <c r="AU435" s="31"/>
      <c r="AV435" s="31"/>
      <c r="AW435" s="31"/>
      <c r="AX435" s="31"/>
      <c r="AY435" s="31"/>
      <c r="AZ435" s="31"/>
      <c r="BA435" s="31"/>
      <c r="BB435" s="31"/>
      <c r="BC435" s="31"/>
      <c r="BD435" s="31"/>
      <c r="BE435" s="31"/>
      <c r="BF435" s="31"/>
      <c r="BG435" s="31"/>
      <c r="BH435" s="31"/>
      <c r="BI435" s="31"/>
      <c r="BJ435" s="31"/>
      <c r="BK435" s="31"/>
      <c r="BL435" s="31"/>
      <c r="BM435" s="25"/>
      <c r="BN435" s="25"/>
      <c r="BO435" s="25"/>
      <c r="BP435" s="25"/>
      <c r="BQ435" s="25"/>
      <c r="BR435" s="25"/>
      <c r="BS435" s="25"/>
      <c r="BT435" s="25"/>
      <c r="BU435" s="25"/>
      <c r="BV435" s="25"/>
      <c r="BW435" s="25"/>
      <c r="BX435" s="25"/>
      <c r="BY435" s="25"/>
      <c r="BZ435" s="25"/>
      <c r="CA435" s="25"/>
      <c r="CB435" s="25"/>
      <c r="CC435" s="25"/>
      <c r="CD435" s="25"/>
      <c r="CE435" s="25"/>
      <c r="CF435" s="25"/>
      <c r="CG435" s="25"/>
      <c r="CH435" s="25"/>
      <c r="CI435" s="25"/>
      <c r="CJ435" s="25"/>
      <c r="CK435" s="25"/>
      <c r="CL435" s="25"/>
      <c r="CM435" s="25"/>
      <c r="CN435" s="25"/>
      <c r="CO435" s="25"/>
      <c r="CP435" s="25"/>
      <c r="CQ435" s="25"/>
      <c r="CR435" s="25"/>
      <c r="CS435" s="25"/>
      <c r="CT435" s="25"/>
      <c r="CU435" s="25"/>
      <c r="CV435" s="25"/>
      <c r="CW435" s="25"/>
      <c r="CX435" s="25"/>
      <c r="CY435" s="25"/>
      <c r="CZ435" s="25"/>
      <c r="DA435" s="25"/>
      <c r="DB435" s="25"/>
      <c r="DC435" s="25"/>
      <c r="DD435" s="25"/>
      <c r="DE435" s="25"/>
      <c r="DF435" s="25"/>
      <c r="DG435" s="25"/>
      <c r="DH435" s="25"/>
      <c r="DI435" s="25"/>
      <c r="DJ435" s="25"/>
      <c r="DK435" s="25"/>
      <c r="DL435" s="25"/>
      <c r="DM435" s="25"/>
      <c r="DN435" s="25"/>
      <c r="DO435" s="25"/>
      <c r="DP435" s="25"/>
      <c r="DQ435" s="25"/>
      <c r="DR435" s="25"/>
      <c r="DS435" s="25"/>
      <c r="DT435" s="25"/>
      <c r="DU435" s="25"/>
      <c r="DV435" s="25"/>
      <c r="DW435" s="25"/>
      <c r="DX435" s="25"/>
      <c r="DY435" s="25"/>
      <c r="DZ435" s="25"/>
      <c r="EA435" s="25"/>
      <c r="EB435" s="25"/>
      <c r="EC435" s="25"/>
      <c r="ED435" s="25"/>
      <c r="EE435" s="25"/>
      <c r="EF435" s="25"/>
      <c r="EG435" s="25"/>
      <c r="EH435" s="25"/>
      <c r="EI435" s="25"/>
      <c r="EJ435" s="25"/>
      <c r="EK435" s="25"/>
      <c r="EL435" s="25"/>
      <c r="EM435" s="25"/>
      <c r="EN435" s="25"/>
      <c r="EO435" s="25"/>
      <c r="EP435" s="25"/>
      <c r="EQ435" s="25"/>
      <c r="ER435" s="25"/>
      <c r="ES435" s="25"/>
      <c r="ET435" s="25"/>
      <c r="EU435" s="25"/>
      <c r="EV435" s="25"/>
      <c r="EW435" s="25"/>
      <c r="EX435" s="25"/>
      <c r="EY435" s="25"/>
      <c r="EZ435" s="25"/>
      <c r="FA435" s="25"/>
      <c r="FB435" s="25"/>
      <c r="FC435" s="25"/>
      <c r="FD435" s="25"/>
      <c r="FE435" s="25"/>
      <c r="FF435" s="25"/>
      <c r="FG435" s="25"/>
      <c r="FH435" s="25"/>
      <c r="FI435" s="25"/>
      <c r="FJ435" s="25"/>
      <c r="FK435" s="25"/>
      <c r="FL435" s="25"/>
      <c r="FM435" s="25"/>
      <c r="FN435" s="25"/>
      <c r="FO435" s="25"/>
      <c r="FP435" s="25"/>
      <c r="FQ435" s="25"/>
      <c r="FR435" s="25"/>
      <c r="FS435" s="25"/>
      <c r="FT435" s="25"/>
      <c r="FU435" s="25"/>
      <c r="FV435" s="25"/>
      <c r="FW435" s="25"/>
      <c r="FX435" s="25"/>
      <c r="FY435" s="25"/>
      <c r="FZ435" s="25"/>
      <c r="GA435" s="25"/>
      <c r="GB435" s="25"/>
      <c r="GC435" s="25"/>
      <c r="GD435" s="25"/>
      <c r="GE435" s="25"/>
      <c r="GF435" s="25"/>
      <c r="GG435" s="25"/>
      <c r="GH435" s="25"/>
      <c r="GI435" s="25"/>
      <c r="GJ435" s="25"/>
      <c r="GK435" s="25"/>
      <c r="GL435" s="25"/>
      <c r="GM435" s="25"/>
      <c r="GN435" s="25"/>
      <c r="GO435" s="25"/>
      <c r="GP435" s="25"/>
      <c r="GQ435" s="25"/>
      <c r="GR435" s="25"/>
      <c r="GS435" s="25"/>
      <c r="GT435" s="25"/>
      <c r="GU435" s="25"/>
      <c r="GV435" s="25"/>
      <c r="GW435" s="25"/>
      <c r="GX435" s="25"/>
      <c r="GY435" s="25"/>
      <c r="GZ435" s="25"/>
      <c r="HA435" s="25"/>
      <c r="HB435" s="25"/>
      <c r="HC435" s="25"/>
      <c r="HD435" s="25"/>
      <c r="HE435" s="25"/>
      <c r="HF435" s="25"/>
      <c r="HG435" s="25"/>
      <c r="HH435" s="25"/>
      <c r="HI435" s="25"/>
      <c r="HJ435" s="25"/>
      <c r="HK435" s="25"/>
      <c r="HL435" s="25"/>
      <c r="HM435" s="25"/>
      <c r="HN435" s="25"/>
      <c r="HO435" s="25"/>
      <c r="HP435" s="25"/>
      <c r="HQ435" s="25"/>
      <c r="HR435" s="25"/>
      <c r="HS435" s="25"/>
      <c r="HT435" s="25"/>
      <c r="HU435" s="25"/>
      <c r="HV435" s="25"/>
      <c r="HW435" s="25"/>
      <c r="HX435" s="25"/>
      <c r="HY435" s="25"/>
      <c r="HZ435" s="25"/>
      <c r="IA435" s="25"/>
      <c r="IB435" s="25"/>
      <c r="IC435" s="25"/>
      <c r="ID435" s="25"/>
      <c r="IE435" s="25"/>
      <c r="IF435" s="25"/>
      <c r="IG435" s="25"/>
      <c r="IH435" s="25"/>
      <c r="II435" s="25"/>
      <c r="IJ435" s="25"/>
      <c r="IK435" s="25"/>
      <c r="IL435" s="25"/>
      <c r="IM435" s="25"/>
      <c r="IN435" s="25"/>
      <c r="IO435" s="25"/>
      <c r="IP435" s="25"/>
      <c r="IQ435" s="25"/>
      <c r="IR435" s="25"/>
      <c r="IS435" s="25"/>
      <c r="IT435" s="25"/>
      <c r="IU435" s="25"/>
      <c r="IV435" s="25"/>
      <c r="IW435" s="25"/>
      <c r="IX435" s="25"/>
      <c r="IY435" s="25"/>
      <c r="IZ435" s="25"/>
      <c r="JA435" s="25"/>
      <c r="JB435" s="25"/>
      <c r="JC435" s="25"/>
      <c r="JD435" s="25"/>
      <c r="JE435" s="25"/>
      <c r="JF435" s="25"/>
      <c r="JG435" s="25"/>
      <c r="JH435" s="25"/>
      <c r="JI435" s="25"/>
      <c r="JJ435" s="25"/>
      <c r="JK435" s="25"/>
      <c r="JL435" s="25"/>
      <c r="JM435" s="25"/>
      <c r="JN435" s="25"/>
      <c r="JO435" s="25"/>
      <c r="JP435" s="25"/>
      <c r="JQ435" s="25"/>
      <c r="JR435" s="25"/>
      <c r="JS435" s="25"/>
      <c r="JT435" s="25"/>
      <c r="JU435" s="25"/>
      <c r="JV435" s="25"/>
      <c r="JW435" s="25"/>
      <c r="JX435" s="25"/>
      <c r="JY435" s="25"/>
      <c r="JZ435" s="25"/>
      <c r="KA435" s="25"/>
      <c r="KB435" s="25"/>
      <c r="KC435" s="25"/>
      <c r="KD435" s="25"/>
      <c r="KE435" s="25"/>
      <c r="KF435" s="25"/>
      <c r="KG435" s="25"/>
      <c r="KH435" s="25"/>
      <c r="KI435" s="25"/>
      <c r="KJ435" s="25"/>
      <c r="KK435" s="25"/>
      <c r="KL435" s="25"/>
      <c r="KM435" s="25"/>
      <c r="KN435" s="25"/>
      <c r="KO435" s="25"/>
      <c r="KP435" s="25"/>
      <c r="KQ435" s="25"/>
      <c r="KR435" s="25"/>
      <c r="KS435" s="25"/>
      <c r="KT435" s="25"/>
      <c r="KU435" s="25"/>
      <c r="KV435" s="25"/>
      <c r="KW435" s="25"/>
      <c r="KX435" s="25"/>
      <c r="KY435" s="25"/>
      <c r="KZ435" s="25"/>
      <c r="LA435" s="25"/>
      <c r="LB435" s="25"/>
      <c r="LC435" s="25"/>
      <c r="LD435" s="25"/>
      <c r="LE435" s="25"/>
      <c r="LF435" s="25"/>
      <c r="LG435" s="25"/>
      <c r="LH435" s="25"/>
      <c r="LI435" s="25"/>
      <c r="LJ435" s="25"/>
      <c r="LK435" s="25"/>
      <c r="LL435" s="25"/>
      <c r="LM435" s="25"/>
      <c r="LN435" s="25"/>
      <c r="LO435" s="25"/>
      <c r="LP435" s="25"/>
      <c r="LQ435" s="25"/>
      <c r="LR435" s="25"/>
      <c r="LS435" s="25"/>
      <c r="LT435" s="25"/>
      <c r="LU435" s="25"/>
      <c r="LV435" s="25"/>
      <c r="LW435" s="25"/>
      <c r="LX435" s="25"/>
      <c r="LY435" s="25"/>
      <c r="LZ435" s="25"/>
      <c r="MA435" s="25"/>
      <c r="MB435" s="25"/>
      <c r="MC435" s="25"/>
      <c r="MD435" s="25"/>
      <c r="ME435" s="25"/>
      <c r="MF435" s="25"/>
      <c r="MG435" s="25"/>
      <c r="MH435" s="25"/>
      <c r="MI435" s="25"/>
      <c r="MJ435" s="25"/>
      <c r="MK435" s="25"/>
      <c r="ML435" s="25"/>
      <c r="MM435" s="25"/>
      <c r="MN435" s="25"/>
      <c r="MO435" s="25"/>
      <c r="MP435" s="25"/>
      <c r="MQ435" s="25"/>
      <c r="MR435" s="25"/>
      <c r="MS435" s="25"/>
      <c r="MT435" s="25"/>
      <c r="MU435" s="25"/>
      <c r="MV435" s="25"/>
      <c r="MW435" s="25"/>
      <c r="MX435" s="25"/>
      <c r="MY435" s="25"/>
      <c r="MZ435" s="25"/>
      <c r="NA435" s="25"/>
      <c r="NB435" s="25"/>
      <c r="NC435" s="25"/>
      <c r="ND435" s="25"/>
      <c r="NE435" s="25"/>
      <c r="NF435" s="25"/>
      <c r="NG435" s="25"/>
      <c r="NH435" s="25"/>
      <c r="NI435" s="25"/>
      <c r="NJ435" s="25"/>
      <c r="NK435" s="25"/>
      <c r="NL435" s="25"/>
      <c r="NM435" s="25"/>
      <c r="NN435" s="25"/>
      <c r="NO435" s="25"/>
      <c r="NP435" s="25"/>
      <c r="NQ435" s="25"/>
      <c r="NR435" s="25"/>
      <c r="NS435" s="25"/>
      <c r="NT435" s="25"/>
      <c r="NU435" s="25"/>
      <c r="NV435" s="25"/>
      <c r="NW435" s="25"/>
      <c r="NX435" s="25"/>
      <c r="NY435" s="25"/>
      <c r="NZ435" s="25"/>
      <c r="OA435" s="25"/>
      <c r="OB435" s="25"/>
      <c r="OC435" s="25"/>
      <c r="OD435" s="25"/>
      <c r="OE435" s="25"/>
      <c r="OF435" s="25"/>
      <c r="OG435" s="25"/>
      <c r="OH435" s="25"/>
      <c r="OI435" s="25"/>
      <c r="OJ435" s="25"/>
      <c r="OK435" s="25"/>
      <c r="OL435" s="25"/>
      <c r="OM435" s="25"/>
      <c r="ON435" s="25"/>
      <c r="OO435" s="25"/>
      <c r="OP435" s="25"/>
      <c r="OQ435" s="25"/>
      <c r="OR435" s="25"/>
      <c r="OS435" s="25"/>
      <c r="OT435" s="25"/>
      <c r="OU435" s="25"/>
      <c r="OV435" s="25"/>
      <c r="OW435" s="25"/>
      <c r="OX435" s="25"/>
      <c r="OY435" s="25"/>
      <c r="OZ435" s="25"/>
      <c r="PA435" s="25"/>
      <c r="PB435" s="25"/>
      <c r="PC435" s="25"/>
      <c r="PD435" s="25"/>
      <c r="PE435" s="25"/>
      <c r="PF435" s="25"/>
      <c r="PG435" s="25"/>
      <c r="PH435" s="25"/>
      <c r="PI435" s="25"/>
      <c r="PJ435" s="25"/>
      <c r="PK435" s="25"/>
      <c r="PL435" s="25"/>
      <c r="PM435" s="25"/>
      <c r="PN435" s="25"/>
      <c r="PO435" s="25"/>
      <c r="PP435" s="25"/>
      <c r="PQ435" s="25"/>
      <c r="PR435" s="25"/>
      <c r="PS435" s="25"/>
      <c r="PT435" s="25"/>
      <c r="PU435" s="25"/>
      <c r="PV435" s="25"/>
      <c r="PW435" s="25"/>
      <c r="PX435" s="25"/>
      <c r="PY435" s="25"/>
      <c r="PZ435" s="25"/>
      <c r="QA435" s="25"/>
      <c r="QB435" s="25"/>
      <c r="QC435" s="25"/>
      <c r="QD435" s="25"/>
      <c r="QE435" s="25"/>
      <c r="QF435" s="25"/>
      <c r="QG435" s="25"/>
      <c r="QH435" s="25"/>
      <c r="QI435" s="25"/>
      <c r="QJ435" s="25"/>
      <c r="QK435" s="25"/>
      <c r="QL435" s="25"/>
      <c r="QM435" s="25"/>
      <c r="QN435" s="25"/>
      <c r="QO435" s="25"/>
      <c r="QP435" s="25"/>
      <c r="QQ435" s="25"/>
      <c r="QR435" s="25"/>
      <c r="QS435" s="25"/>
      <c r="QT435" s="25"/>
      <c r="QU435" s="25"/>
      <c r="QV435" s="25"/>
      <c r="QW435" s="25"/>
      <c r="QX435" s="25"/>
      <c r="QY435" s="25"/>
      <c r="QZ435" s="25"/>
      <c r="RA435" s="25"/>
      <c r="RB435" s="25"/>
      <c r="RC435" s="25"/>
      <c r="RD435" s="25"/>
      <c r="RE435" s="25"/>
      <c r="RF435" s="25"/>
      <c r="RG435" s="25"/>
      <c r="RH435" s="25"/>
      <c r="RI435" s="25"/>
      <c r="RJ435" s="25"/>
      <c r="RK435" s="25"/>
      <c r="RL435" s="25"/>
      <c r="RM435" s="25"/>
      <c r="RN435" s="25"/>
      <c r="RO435" s="25"/>
      <c r="RP435" s="25"/>
      <c r="RQ435" s="25"/>
      <c r="RR435" s="25"/>
      <c r="RS435" s="25"/>
      <c r="RT435" s="25"/>
      <c r="RU435" s="25"/>
      <c r="RV435" s="25"/>
      <c r="RW435" s="25"/>
      <c r="RX435" s="25"/>
      <c r="RY435" s="25"/>
      <c r="RZ435" s="25"/>
      <c r="SA435" s="25"/>
      <c r="SB435" s="25"/>
      <c r="SC435" s="25"/>
      <c r="SD435" s="25"/>
      <c r="SE435" s="25"/>
      <c r="SF435" s="25"/>
      <c r="SG435" s="25"/>
      <c r="SH435" s="25"/>
      <c r="SI435" s="25"/>
      <c r="SJ435" s="25"/>
      <c r="SK435" s="25"/>
      <c r="SL435" s="25"/>
      <c r="SM435" s="25"/>
      <c r="SN435" s="25"/>
      <c r="SO435" s="25"/>
      <c r="SP435" s="25"/>
      <c r="SQ435" s="25"/>
      <c r="SR435" s="25"/>
      <c r="SS435" s="25"/>
      <c r="ST435" s="25"/>
      <c r="SU435" s="25"/>
      <c r="SV435" s="25"/>
      <c r="SW435" s="25"/>
      <c r="SX435" s="25"/>
      <c r="SY435" s="25"/>
      <c r="SZ435" s="25"/>
      <c r="TA435" s="25"/>
      <c r="TB435" s="25"/>
      <c r="TC435" s="25"/>
      <c r="TD435" s="25"/>
      <c r="TE435" s="25"/>
      <c r="TF435" s="25"/>
      <c r="TG435" s="25"/>
      <c r="TH435" s="25"/>
      <c r="TI435" s="25"/>
      <c r="TJ435" s="25"/>
      <c r="TK435" s="25"/>
      <c r="TL435" s="25"/>
      <c r="TM435" s="25"/>
      <c r="TN435" s="25"/>
      <c r="TO435" s="25"/>
      <c r="TP435" s="25"/>
      <c r="TQ435" s="25"/>
      <c r="TR435" s="25"/>
      <c r="TS435" s="25"/>
      <c r="TT435" s="25"/>
      <c r="TU435" s="25"/>
      <c r="TV435" s="25"/>
      <c r="TW435" s="25"/>
      <c r="TX435" s="25"/>
      <c r="TY435" s="25"/>
      <c r="TZ435" s="25"/>
      <c r="UA435" s="25"/>
      <c r="UB435" s="25"/>
      <c r="UC435" s="25"/>
      <c r="UD435" s="25"/>
      <c r="UE435" s="25"/>
      <c r="UF435" s="25"/>
      <c r="UG435" s="26"/>
    </row>
    <row r="436" spans="1:553" ht="30.75" customHeight="1">
      <c r="A436" s="356" t="s">
        <v>30</v>
      </c>
      <c r="B436" s="385" t="s">
        <v>35</v>
      </c>
      <c r="C436" s="1404" t="s">
        <v>334</v>
      </c>
      <c r="D436" s="1389"/>
      <c r="E436" s="1389"/>
      <c r="F436" s="1390"/>
      <c r="G436" s="386" t="s">
        <v>935</v>
      </c>
      <c r="H436" s="370"/>
      <c r="I436" s="834">
        <f>4.9*0.6* 20</f>
        <v>58.8</v>
      </c>
      <c r="J436" s="368">
        <v>39000</v>
      </c>
      <c r="K436" s="371"/>
      <c r="L436" s="391">
        <f t="shared" si="87"/>
        <v>2293200</v>
      </c>
      <c r="M436" s="395"/>
      <c r="N436" s="395"/>
      <c r="O436" s="366"/>
      <c r="P436" s="396"/>
      <c r="Q436" s="473"/>
      <c r="R436" s="1039"/>
      <c r="S436" s="305"/>
      <c r="T436" s="303"/>
      <c r="U436" s="306"/>
      <c r="V436" s="307"/>
      <c r="W436" s="306"/>
      <c r="X436" s="306"/>
      <c r="Y436" s="306"/>
      <c r="Z436" s="306"/>
      <c r="AA436" s="306"/>
      <c r="AB436" s="306"/>
      <c r="AC436" s="449"/>
      <c r="AD436" s="449"/>
      <c r="AE436" s="449"/>
      <c r="AF436" s="449"/>
      <c r="AG436" s="452"/>
      <c r="AH436" s="452"/>
      <c r="AI436" s="452"/>
      <c r="AJ436" s="452"/>
      <c r="AK436" s="452"/>
      <c r="AL436" s="104"/>
      <c r="AM436" s="32"/>
      <c r="AN436" s="32"/>
      <c r="AO436" s="32"/>
      <c r="AP436" s="32"/>
      <c r="AQ436" s="31"/>
      <c r="AR436" s="31"/>
      <c r="AS436" s="31"/>
      <c r="AT436" s="31"/>
      <c r="AU436" s="31"/>
      <c r="AV436" s="31"/>
      <c r="AW436" s="31"/>
      <c r="AX436" s="31"/>
      <c r="AY436" s="31"/>
      <c r="AZ436" s="31"/>
      <c r="BA436" s="31"/>
      <c r="BB436" s="31"/>
      <c r="BC436" s="31"/>
      <c r="BD436" s="31"/>
      <c r="BE436" s="31"/>
      <c r="BF436" s="31"/>
      <c r="BG436" s="31"/>
      <c r="BH436" s="31"/>
      <c r="BI436" s="31"/>
      <c r="BJ436" s="31"/>
      <c r="BK436" s="31"/>
      <c r="BL436" s="31"/>
      <c r="BM436" s="25"/>
      <c r="BN436" s="25"/>
      <c r="BO436" s="25"/>
      <c r="BP436" s="25"/>
      <c r="BQ436" s="25"/>
      <c r="BR436" s="25"/>
      <c r="BS436" s="25"/>
      <c r="BT436" s="25"/>
      <c r="BU436" s="25"/>
      <c r="BV436" s="25"/>
      <c r="BW436" s="25"/>
      <c r="BX436" s="25"/>
      <c r="BY436" s="25"/>
      <c r="BZ436" s="25"/>
      <c r="CA436" s="25"/>
      <c r="CB436" s="25"/>
      <c r="CC436" s="25"/>
      <c r="CD436" s="25"/>
      <c r="CE436" s="25"/>
      <c r="CF436" s="25"/>
      <c r="CG436" s="25"/>
      <c r="CH436" s="25"/>
      <c r="CI436" s="25"/>
      <c r="CJ436" s="25"/>
      <c r="CK436" s="25"/>
      <c r="CL436" s="25"/>
      <c r="CM436" s="25"/>
      <c r="CN436" s="25"/>
      <c r="CO436" s="25"/>
      <c r="CP436" s="25"/>
      <c r="CQ436" s="25"/>
      <c r="CR436" s="25"/>
      <c r="CS436" s="25"/>
      <c r="CT436" s="25"/>
      <c r="CU436" s="25"/>
      <c r="CV436" s="25"/>
      <c r="CW436" s="25"/>
      <c r="CX436" s="25"/>
      <c r="CY436" s="25"/>
      <c r="CZ436" s="25"/>
      <c r="DA436" s="25"/>
      <c r="DB436" s="25"/>
      <c r="DC436" s="25"/>
      <c r="DD436" s="25"/>
      <c r="DE436" s="25"/>
      <c r="DF436" s="25"/>
      <c r="DG436" s="25"/>
      <c r="DH436" s="25"/>
      <c r="DI436" s="25"/>
      <c r="DJ436" s="25"/>
      <c r="DK436" s="25"/>
      <c r="DL436" s="25"/>
      <c r="DM436" s="25"/>
      <c r="DN436" s="25"/>
      <c r="DO436" s="25"/>
      <c r="DP436" s="25"/>
      <c r="DQ436" s="25"/>
      <c r="DR436" s="25"/>
      <c r="DS436" s="25"/>
      <c r="DT436" s="25"/>
      <c r="DU436" s="25"/>
      <c r="DV436" s="25"/>
      <c r="DW436" s="25"/>
      <c r="DX436" s="25"/>
      <c r="DY436" s="25"/>
      <c r="DZ436" s="25"/>
      <c r="EA436" s="25"/>
      <c r="EB436" s="25"/>
      <c r="EC436" s="25"/>
      <c r="ED436" s="25"/>
      <c r="EE436" s="25"/>
      <c r="EF436" s="25"/>
      <c r="EG436" s="25"/>
      <c r="EH436" s="25"/>
      <c r="EI436" s="25"/>
      <c r="EJ436" s="25"/>
      <c r="EK436" s="25"/>
      <c r="EL436" s="25"/>
      <c r="EM436" s="25"/>
      <c r="EN436" s="25"/>
      <c r="EO436" s="25"/>
      <c r="EP436" s="25"/>
      <c r="EQ436" s="25"/>
      <c r="ER436" s="25"/>
      <c r="ES436" s="25"/>
      <c r="ET436" s="25"/>
      <c r="EU436" s="25"/>
      <c r="EV436" s="25"/>
      <c r="EW436" s="25"/>
      <c r="EX436" s="25"/>
      <c r="EY436" s="25"/>
      <c r="EZ436" s="25"/>
      <c r="FA436" s="25"/>
      <c r="FB436" s="25"/>
      <c r="FC436" s="25"/>
      <c r="FD436" s="25"/>
      <c r="FE436" s="25"/>
      <c r="FF436" s="25"/>
      <c r="FG436" s="25"/>
      <c r="FH436" s="25"/>
      <c r="FI436" s="25"/>
      <c r="FJ436" s="25"/>
      <c r="FK436" s="25"/>
      <c r="FL436" s="25"/>
      <c r="FM436" s="25"/>
      <c r="FN436" s="25"/>
      <c r="FO436" s="25"/>
      <c r="FP436" s="25"/>
      <c r="FQ436" s="25"/>
      <c r="FR436" s="25"/>
      <c r="FS436" s="25"/>
      <c r="FT436" s="25"/>
      <c r="FU436" s="25"/>
      <c r="FV436" s="25"/>
      <c r="FW436" s="25"/>
      <c r="FX436" s="25"/>
      <c r="FY436" s="25"/>
      <c r="FZ436" s="25"/>
      <c r="GA436" s="25"/>
      <c r="GB436" s="25"/>
      <c r="GC436" s="25"/>
      <c r="GD436" s="25"/>
      <c r="GE436" s="25"/>
      <c r="GF436" s="25"/>
      <c r="GG436" s="25"/>
      <c r="GH436" s="25"/>
      <c r="GI436" s="25"/>
      <c r="GJ436" s="25"/>
      <c r="GK436" s="25"/>
      <c r="GL436" s="25"/>
      <c r="GM436" s="25"/>
      <c r="GN436" s="25"/>
      <c r="GO436" s="25"/>
      <c r="GP436" s="25"/>
      <c r="GQ436" s="25"/>
      <c r="GR436" s="25"/>
      <c r="GS436" s="25"/>
      <c r="GT436" s="25"/>
      <c r="GU436" s="25"/>
      <c r="GV436" s="25"/>
      <c r="GW436" s="25"/>
      <c r="GX436" s="25"/>
      <c r="GY436" s="25"/>
      <c r="GZ436" s="25"/>
      <c r="HA436" s="25"/>
      <c r="HB436" s="25"/>
      <c r="HC436" s="25"/>
      <c r="HD436" s="25"/>
      <c r="HE436" s="25"/>
      <c r="HF436" s="25"/>
      <c r="HG436" s="25"/>
      <c r="HH436" s="25"/>
      <c r="HI436" s="25"/>
      <c r="HJ436" s="25"/>
      <c r="HK436" s="25"/>
      <c r="HL436" s="25"/>
      <c r="HM436" s="25"/>
      <c r="HN436" s="25"/>
      <c r="HO436" s="25"/>
      <c r="HP436" s="25"/>
      <c r="HQ436" s="25"/>
      <c r="HR436" s="25"/>
      <c r="HS436" s="25"/>
      <c r="HT436" s="25"/>
      <c r="HU436" s="25"/>
      <c r="HV436" s="25"/>
      <c r="HW436" s="25"/>
      <c r="HX436" s="25"/>
      <c r="HY436" s="25"/>
      <c r="HZ436" s="25"/>
      <c r="IA436" s="25"/>
      <c r="IB436" s="25"/>
      <c r="IC436" s="25"/>
      <c r="ID436" s="25"/>
      <c r="IE436" s="25"/>
      <c r="IF436" s="25"/>
      <c r="IG436" s="25"/>
      <c r="IH436" s="25"/>
      <c r="II436" s="25"/>
      <c r="IJ436" s="25"/>
      <c r="IK436" s="25"/>
      <c r="IL436" s="25"/>
      <c r="IM436" s="25"/>
      <c r="IN436" s="25"/>
      <c r="IO436" s="25"/>
      <c r="IP436" s="25"/>
      <c r="IQ436" s="25"/>
      <c r="IR436" s="25"/>
      <c r="IS436" s="25"/>
      <c r="IT436" s="25"/>
      <c r="IU436" s="25"/>
      <c r="IV436" s="25"/>
      <c r="IW436" s="25"/>
      <c r="IX436" s="25"/>
      <c r="IY436" s="25"/>
      <c r="IZ436" s="25"/>
      <c r="JA436" s="25"/>
      <c r="JB436" s="25"/>
      <c r="JC436" s="25"/>
      <c r="JD436" s="25"/>
      <c r="JE436" s="25"/>
      <c r="JF436" s="25"/>
      <c r="JG436" s="25"/>
      <c r="JH436" s="25"/>
      <c r="JI436" s="25"/>
      <c r="JJ436" s="25"/>
      <c r="JK436" s="25"/>
      <c r="JL436" s="25"/>
      <c r="JM436" s="25"/>
      <c r="JN436" s="25"/>
      <c r="JO436" s="25"/>
      <c r="JP436" s="25"/>
      <c r="JQ436" s="25"/>
      <c r="JR436" s="25"/>
      <c r="JS436" s="25"/>
      <c r="JT436" s="25"/>
      <c r="JU436" s="25"/>
      <c r="JV436" s="25"/>
      <c r="JW436" s="25"/>
      <c r="JX436" s="25"/>
      <c r="JY436" s="25"/>
      <c r="JZ436" s="25"/>
      <c r="KA436" s="25"/>
      <c r="KB436" s="25"/>
      <c r="KC436" s="25"/>
      <c r="KD436" s="25"/>
      <c r="KE436" s="25"/>
      <c r="KF436" s="25"/>
      <c r="KG436" s="25"/>
      <c r="KH436" s="25"/>
      <c r="KI436" s="25"/>
      <c r="KJ436" s="25"/>
      <c r="KK436" s="25"/>
      <c r="KL436" s="25"/>
      <c r="KM436" s="25"/>
      <c r="KN436" s="25"/>
      <c r="KO436" s="25"/>
      <c r="KP436" s="25"/>
      <c r="KQ436" s="25"/>
      <c r="KR436" s="25"/>
      <c r="KS436" s="25"/>
      <c r="KT436" s="25"/>
      <c r="KU436" s="25"/>
      <c r="KV436" s="25"/>
      <c r="KW436" s="25"/>
      <c r="KX436" s="25"/>
      <c r="KY436" s="25"/>
      <c r="KZ436" s="25"/>
      <c r="LA436" s="25"/>
      <c r="LB436" s="25"/>
      <c r="LC436" s="25"/>
      <c r="LD436" s="25"/>
      <c r="LE436" s="25"/>
      <c r="LF436" s="25"/>
      <c r="LG436" s="25"/>
      <c r="LH436" s="25"/>
      <c r="LI436" s="25"/>
      <c r="LJ436" s="25"/>
      <c r="LK436" s="25"/>
      <c r="LL436" s="25"/>
      <c r="LM436" s="25"/>
      <c r="LN436" s="25"/>
      <c r="LO436" s="25"/>
      <c r="LP436" s="25"/>
      <c r="LQ436" s="25"/>
      <c r="LR436" s="25"/>
      <c r="LS436" s="25"/>
      <c r="LT436" s="25"/>
      <c r="LU436" s="25"/>
      <c r="LV436" s="25"/>
      <c r="LW436" s="25"/>
      <c r="LX436" s="25"/>
      <c r="LY436" s="25"/>
      <c r="LZ436" s="25"/>
      <c r="MA436" s="25"/>
      <c r="MB436" s="25"/>
      <c r="MC436" s="25"/>
      <c r="MD436" s="25"/>
      <c r="ME436" s="25"/>
      <c r="MF436" s="25"/>
      <c r="MG436" s="25"/>
      <c r="MH436" s="25"/>
      <c r="MI436" s="25"/>
      <c r="MJ436" s="25"/>
      <c r="MK436" s="25"/>
      <c r="ML436" s="25"/>
      <c r="MM436" s="25"/>
      <c r="MN436" s="25"/>
      <c r="MO436" s="25"/>
      <c r="MP436" s="25"/>
      <c r="MQ436" s="25"/>
      <c r="MR436" s="25"/>
      <c r="MS436" s="25"/>
      <c r="MT436" s="25"/>
      <c r="MU436" s="25"/>
      <c r="MV436" s="25"/>
      <c r="MW436" s="25"/>
      <c r="MX436" s="25"/>
      <c r="MY436" s="25"/>
      <c r="MZ436" s="25"/>
      <c r="NA436" s="25"/>
      <c r="NB436" s="25"/>
      <c r="NC436" s="25"/>
      <c r="ND436" s="25"/>
      <c r="NE436" s="25"/>
      <c r="NF436" s="25"/>
      <c r="NG436" s="25"/>
      <c r="NH436" s="25"/>
      <c r="NI436" s="25"/>
      <c r="NJ436" s="25"/>
      <c r="NK436" s="25"/>
      <c r="NL436" s="25"/>
      <c r="NM436" s="25"/>
      <c r="NN436" s="25"/>
      <c r="NO436" s="25"/>
      <c r="NP436" s="25"/>
      <c r="NQ436" s="25"/>
      <c r="NR436" s="25"/>
      <c r="NS436" s="25"/>
      <c r="NT436" s="25"/>
      <c r="NU436" s="25"/>
      <c r="NV436" s="25"/>
      <c r="NW436" s="25"/>
      <c r="NX436" s="25"/>
      <c r="NY436" s="25"/>
      <c r="NZ436" s="25"/>
      <c r="OA436" s="25"/>
      <c r="OB436" s="25"/>
      <c r="OC436" s="25"/>
      <c r="OD436" s="25"/>
      <c r="OE436" s="25"/>
      <c r="OF436" s="25"/>
      <c r="OG436" s="25"/>
      <c r="OH436" s="25"/>
      <c r="OI436" s="25"/>
      <c r="OJ436" s="25"/>
      <c r="OK436" s="25"/>
      <c r="OL436" s="25"/>
      <c r="OM436" s="25"/>
      <c r="ON436" s="25"/>
      <c r="OO436" s="25"/>
      <c r="OP436" s="25"/>
      <c r="OQ436" s="25"/>
      <c r="OR436" s="25"/>
      <c r="OS436" s="25"/>
      <c r="OT436" s="25"/>
      <c r="OU436" s="25"/>
      <c r="OV436" s="25"/>
      <c r="OW436" s="25"/>
      <c r="OX436" s="25"/>
      <c r="OY436" s="25"/>
      <c r="OZ436" s="25"/>
      <c r="PA436" s="25"/>
      <c r="PB436" s="25"/>
      <c r="PC436" s="25"/>
      <c r="PD436" s="25"/>
      <c r="PE436" s="25"/>
      <c r="PF436" s="25"/>
      <c r="PG436" s="25"/>
      <c r="PH436" s="25"/>
      <c r="PI436" s="25"/>
      <c r="PJ436" s="25"/>
      <c r="PK436" s="25"/>
      <c r="PL436" s="25"/>
      <c r="PM436" s="25"/>
      <c r="PN436" s="25"/>
      <c r="PO436" s="25"/>
      <c r="PP436" s="25"/>
      <c r="PQ436" s="25"/>
      <c r="PR436" s="25"/>
      <c r="PS436" s="25"/>
      <c r="PT436" s="25"/>
      <c r="PU436" s="25"/>
      <c r="PV436" s="25"/>
      <c r="PW436" s="25"/>
      <c r="PX436" s="25"/>
      <c r="PY436" s="25"/>
      <c r="PZ436" s="25"/>
      <c r="QA436" s="25"/>
      <c r="QB436" s="25"/>
      <c r="QC436" s="25"/>
      <c r="QD436" s="25"/>
      <c r="QE436" s="25"/>
      <c r="QF436" s="25"/>
      <c r="QG436" s="25"/>
      <c r="QH436" s="25"/>
      <c r="QI436" s="25"/>
      <c r="QJ436" s="25"/>
      <c r="QK436" s="25"/>
      <c r="QL436" s="25"/>
      <c r="QM436" s="25"/>
      <c r="QN436" s="25"/>
      <c r="QO436" s="25"/>
      <c r="QP436" s="25"/>
      <c r="QQ436" s="25"/>
      <c r="QR436" s="25"/>
      <c r="QS436" s="25"/>
      <c r="QT436" s="25"/>
      <c r="QU436" s="25"/>
      <c r="QV436" s="25"/>
      <c r="QW436" s="25"/>
      <c r="QX436" s="25"/>
      <c r="QY436" s="25"/>
      <c r="QZ436" s="25"/>
      <c r="RA436" s="25"/>
      <c r="RB436" s="25"/>
      <c r="RC436" s="25"/>
      <c r="RD436" s="25"/>
      <c r="RE436" s="25"/>
      <c r="RF436" s="25"/>
      <c r="RG436" s="25"/>
      <c r="RH436" s="25"/>
      <c r="RI436" s="25"/>
      <c r="RJ436" s="25"/>
      <c r="RK436" s="25"/>
      <c r="RL436" s="25"/>
      <c r="RM436" s="25"/>
      <c r="RN436" s="25"/>
      <c r="RO436" s="25"/>
      <c r="RP436" s="25"/>
      <c r="RQ436" s="25"/>
      <c r="RR436" s="25"/>
      <c r="RS436" s="25"/>
      <c r="RT436" s="25"/>
      <c r="RU436" s="25"/>
      <c r="RV436" s="25"/>
      <c r="RW436" s="25"/>
      <c r="RX436" s="25"/>
      <c r="RY436" s="25"/>
      <c r="RZ436" s="25"/>
      <c r="SA436" s="25"/>
      <c r="SB436" s="25"/>
      <c r="SC436" s="25"/>
      <c r="SD436" s="25"/>
      <c r="SE436" s="25"/>
      <c r="SF436" s="25"/>
      <c r="SG436" s="25"/>
      <c r="SH436" s="25"/>
      <c r="SI436" s="25"/>
      <c r="SJ436" s="25"/>
      <c r="SK436" s="25"/>
      <c r="SL436" s="25"/>
      <c r="SM436" s="25"/>
      <c r="SN436" s="25"/>
      <c r="SO436" s="25"/>
      <c r="SP436" s="25"/>
      <c r="SQ436" s="25"/>
      <c r="SR436" s="25"/>
      <c r="SS436" s="25"/>
      <c r="ST436" s="25"/>
      <c r="SU436" s="25"/>
      <c r="SV436" s="25"/>
      <c r="SW436" s="25"/>
      <c r="SX436" s="25"/>
      <c r="SY436" s="25"/>
      <c r="SZ436" s="25"/>
      <c r="TA436" s="25"/>
      <c r="TB436" s="25"/>
      <c r="TC436" s="25"/>
      <c r="TD436" s="25"/>
      <c r="TE436" s="25"/>
      <c r="TF436" s="25"/>
      <c r="TG436" s="25"/>
      <c r="TH436" s="25"/>
      <c r="TI436" s="25"/>
      <c r="TJ436" s="25"/>
      <c r="TK436" s="25"/>
      <c r="TL436" s="25"/>
      <c r="TM436" s="25"/>
      <c r="TN436" s="25"/>
      <c r="TO436" s="25"/>
      <c r="TP436" s="25"/>
      <c r="TQ436" s="25"/>
      <c r="TR436" s="25"/>
      <c r="TS436" s="25"/>
      <c r="TT436" s="25"/>
      <c r="TU436" s="25"/>
      <c r="TV436" s="25"/>
      <c r="TW436" s="25"/>
      <c r="TX436" s="25"/>
      <c r="TY436" s="25"/>
      <c r="TZ436" s="25"/>
      <c r="UA436" s="25"/>
      <c r="UB436" s="25"/>
      <c r="UC436" s="25"/>
      <c r="UD436" s="25"/>
      <c r="UE436" s="25"/>
      <c r="UF436" s="25"/>
      <c r="UG436" s="26"/>
    </row>
    <row r="437" spans="1:553" ht="30.75" customHeight="1">
      <c r="A437" s="356" t="s">
        <v>30</v>
      </c>
      <c r="B437" s="385" t="s">
        <v>35</v>
      </c>
      <c r="C437" s="1404" t="s">
        <v>335</v>
      </c>
      <c r="D437" s="1389"/>
      <c r="E437" s="1389"/>
      <c r="F437" s="1390"/>
      <c r="G437" s="386" t="s">
        <v>935</v>
      </c>
      <c r="H437" s="370"/>
      <c r="I437" s="422">
        <f>0.6*1.8*2</f>
        <v>2.16</v>
      </c>
      <c r="J437" s="368">
        <v>39000</v>
      </c>
      <c r="K437" s="371"/>
      <c r="L437" s="391">
        <f t="shared" si="87"/>
        <v>84240</v>
      </c>
      <c r="M437" s="391"/>
      <c r="N437" s="391"/>
      <c r="O437" s="391"/>
      <c r="P437" s="391"/>
      <c r="Q437" s="1444"/>
      <c r="R437" s="1226"/>
      <c r="S437" s="305"/>
      <c r="T437" s="303"/>
      <c r="U437" s="306"/>
      <c r="V437" s="307"/>
      <c r="W437" s="306"/>
      <c r="X437" s="306"/>
      <c r="Y437" s="306"/>
      <c r="Z437" s="306"/>
      <c r="AA437" s="306"/>
      <c r="AB437" s="306"/>
      <c r="AC437" s="449"/>
      <c r="AD437" s="449"/>
      <c r="AE437" s="449"/>
      <c r="AF437" s="449"/>
      <c r="AG437" s="449"/>
      <c r="AH437" s="449"/>
      <c r="AI437" s="449"/>
      <c r="AJ437" s="449"/>
      <c r="AK437" s="452"/>
      <c r="AL437" s="104"/>
      <c r="AM437" s="32"/>
      <c r="AN437" s="32"/>
      <c r="AO437" s="32"/>
      <c r="AP437" s="32"/>
      <c r="AQ437" s="32"/>
      <c r="AR437" s="32"/>
      <c r="AS437" s="31"/>
      <c r="AT437" s="31"/>
      <c r="AU437" s="31"/>
      <c r="AV437" s="31"/>
      <c r="AW437" s="31"/>
      <c r="AX437" s="31"/>
      <c r="AY437" s="31"/>
      <c r="AZ437" s="31"/>
      <c r="BA437" s="31"/>
      <c r="BB437" s="31"/>
      <c r="BC437" s="31"/>
      <c r="BD437" s="31"/>
      <c r="BE437" s="31"/>
      <c r="BF437" s="31"/>
      <c r="BG437" s="31"/>
      <c r="BH437" s="31"/>
      <c r="BI437" s="31"/>
      <c r="BJ437" s="31"/>
      <c r="BK437" s="31"/>
      <c r="BL437" s="31"/>
      <c r="BM437" s="31"/>
      <c r="BN437" s="31"/>
      <c r="BO437" s="31"/>
      <c r="BP437" s="31"/>
      <c r="BQ437" s="31"/>
      <c r="BR437" s="31"/>
      <c r="BS437" s="31"/>
      <c r="BT437" s="31"/>
      <c r="BU437" s="31"/>
      <c r="BV437" s="31"/>
      <c r="BW437" s="31"/>
      <c r="BX437" s="31"/>
      <c r="BY437" s="31"/>
      <c r="BZ437" s="31"/>
      <c r="CA437" s="31"/>
      <c r="CB437" s="31"/>
      <c r="CC437" s="31"/>
      <c r="CD437" s="31"/>
      <c r="CE437" s="31"/>
      <c r="CF437" s="31"/>
      <c r="CG437" s="31"/>
      <c r="CH437" s="31"/>
      <c r="CI437" s="31"/>
      <c r="CJ437" s="31"/>
      <c r="CK437" s="31"/>
      <c r="CL437" s="31"/>
      <c r="CM437" s="31"/>
      <c r="CN437" s="31"/>
      <c r="CO437" s="31"/>
      <c r="CP437" s="31"/>
      <c r="CQ437" s="31"/>
      <c r="CR437" s="31"/>
      <c r="CS437" s="31"/>
      <c r="CT437" s="31"/>
      <c r="CU437" s="31"/>
      <c r="CV437" s="31"/>
      <c r="CW437" s="31"/>
      <c r="CX437" s="31"/>
      <c r="CY437" s="31"/>
      <c r="CZ437" s="31"/>
      <c r="DA437" s="31"/>
      <c r="DB437" s="31"/>
      <c r="DC437" s="31"/>
      <c r="DD437" s="31"/>
      <c r="DE437" s="31"/>
      <c r="DF437" s="31"/>
      <c r="DG437" s="31"/>
      <c r="DH437" s="31"/>
      <c r="DI437" s="31"/>
      <c r="DJ437" s="31"/>
      <c r="DK437" s="31"/>
      <c r="DL437" s="31"/>
      <c r="DM437" s="31"/>
      <c r="DN437" s="31"/>
      <c r="DO437" s="31"/>
      <c r="DP437" s="31"/>
      <c r="DQ437" s="31"/>
      <c r="DR437" s="31"/>
      <c r="DS437" s="31"/>
      <c r="DT437" s="31"/>
      <c r="DU437" s="31"/>
      <c r="DV437" s="31"/>
      <c r="DW437" s="31"/>
      <c r="DX437" s="31"/>
      <c r="DY437" s="31"/>
      <c r="DZ437" s="31"/>
      <c r="EA437" s="31"/>
      <c r="EB437" s="31"/>
      <c r="EC437" s="31"/>
      <c r="ED437" s="31"/>
      <c r="EE437" s="31"/>
      <c r="EF437" s="31"/>
      <c r="EG437" s="31"/>
      <c r="EH437" s="31"/>
      <c r="EI437" s="31"/>
      <c r="EJ437" s="31"/>
      <c r="EK437" s="31"/>
      <c r="EL437" s="31"/>
      <c r="EM437" s="31"/>
      <c r="EN437" s="31"/>
      <c r="EO437" s="31"/>
      <c r="EP437" s="31"/>
      <c r="EQ437" s="31"/>
      <c r="ER437" s="31"/>
      <c r="ES437" s="31"/>
      <c r="ET437" s="31"/>
      <c r="EU437" s="31"/>
      <c r="EV437" s="31"/>
      <c r="EW437" s="31"/>
      <c r="EX437" s="31"/>
      <c r="EY437" s="31"/>
      <c r="EZ437" s="31"/>
      <c r="FA437" s="31"/>
      <c r="FB437" s="31"/>
      <c r="FC437" s="31"/>
      <c r="FD437" s="31"/>
      <c r="FE437" s="31"/>
      <c r="FF437" s="31"/>
      <c r="FG437" s="31"/>
      <c r="FH437" s="31"/>
      <c r="FI437" s="31"/>
      <c r="FJ437" s="31"/>
      <c r="FK437" s="31"/>
      <c r="FL437" s="31"/>
      <c r="FM437" s="31"/>
      <c r="FN437" s="31"/>
      <c r="FO437" s="31"/>
      <c r="FP437" s="31"/>
      <c r="FQ437" s="31"/>
      <c r="FR437" s="31"/>
      <c r="FS437" s="31"/>
      <c r="FT437" s="31"/>
      <c r="FU437" s="31"/>
      <c r="FV437" s="31"/>
      <c r="FW437" s="31"/>
      <c r="FX437" s="31"/>
      <c r="FY437" s="31"/>
      <c r="FZ437" s="31"/>
      <c r="GA437" s="31"/>
      <c r="GB437" s="31"/>
      <c r="GC437" s="31"/>
      <c r="GD437" s="31"/>
      <c r="GE437" s="31"/>
      <c r="GF437" s="31"/>
      <c r="GG437" s="31"/>
      <c r="GH437" s="31"/>
      <c r="GI437" s="31"/>
      <c r="GJ437" s="31"/>
      <c r="GK437" s="31"/>
      <c r="GL437" s="31"/>
      <c r="GM437" s="31"/>
      <c r="GN437" s="31"/>
      <c r="GO437" s="31"/>
      <c r="GP437" s="31"/>
      <c r="GQ437" s="31"/>
      <c r="GR437" s="31"/>
      <c r="GS437" s="31"/>
      <c r="GT437" s="31"/>
      <c r="GU437" s="31"/>
      <c r="GV437" s="31"/>
      <c r="GW437" s="31"/>
      <c r="GX437" s="31"/>
      <c r="GY437" s="31"/>
      <c r="GZ437" s="31"/>
      <c r="HA437" s="31"/>
      <c r="HB437" s="31"/>
      <c r="HC437" s="31"/>
      <c r="HD437" s="31"/>
      <c r="HE437" s="31"/>
      <c r="HF437" s="31"/>
      <c r="HG437" s="31"/>
      <c r="HH437" s="31"/>
      <c r="HI437" s="31"/>
      <c r="HJ437" s="31"/>
      <c r="HK437" s="31"/>
      <c r="HL437" s="31"/>
      <c r="HM437" s="31"/>
      <c r="HN437" s="31"/>
      <c r="HO437" s="31"/>
      <c r="HP437" s="31"/>
      <c r="HQ437" s="31"/>
      <c r="HR437" s="31"/>
      <c r="HS437" s="31"/>
      <c r="HT437" s="31"/>
      <c r="HU437" s="31"/>
      <c r="HV437" s="31"/>
      <c r="HW437" s="31"/>
      <c r="HX437" s="31"/>
      <c r="HY437" s="31"/>
      <c r="HZ437" s="31"/>
      <c r="IA437" s="31"/>
      <c r="IB437" s="31"/>
      <c r="IC437" s="31"/>
      <c r="ID437" s="31"/>
      <c r="IE437" s="31"/>
      <c r="IF437" s="31"/>
      <c r="IG437" s="31"/>
      <c r="IH437" s="31"/>
      <c r="II437" s="31"/>
      <c r="IJ437" s="31"/>
      <c r="IK437" s="31"/>
      <c r="IL437" s="31"/>
      <c r="IM437" s="31"/>
      <c r="IN437" s="31"/>
      <c r="IO437" s="31"/>
      <c r="IP437" s="31"/>
      <c r="IQ437" s="31"/>
      <c r="IR437" s="31"/>
      <c r="IS437" s="31"/>
      <c r="IT437" s="31"/>
      <c r="IU437" s="31"/>
      <c r="IV437" s="31"/>
      <c r="IW437" s="31"/>
      <c r="IX437" s="31"/>
      <c r="IY437" s="31"/>
      <c r="IZ437" s="31"/>
      <c r="JA437" s="31"/>
      <c r="JB437" s="31"/>
      <c r="JC437" s="31"/>
      <c r="JD437" s="31"/>
      <c r="JE437" s="31"/>
      <c r="JF437" s="31"/>
      <c r="JG437" s="31"/>
      <c r="JH437" s="31"/>
      <c r="JI437" s="31"/>
      <c r="JJ437" s="31"/>
      <c r="JK437" s="31"/>
      <c r="JL437" s="31"/>
      <c r="JM437" s="31"/>
      <c r="JN437" s="31"/>
      <c r="JO437" s="31"/>
      <c r="JP437" s="31"/>
      <c r="JQ437" s="31"/>
      <c r="JR437" s="31"/>
      <c r="JS437" s="31"/>
      <c r="JT437" s="31"/>
      <c r="JU437" s="31"/>
      <c r="JV437" s="31"/>
      <c r="JW437" s="31"/>
      <c r="JX437" s="31"/>
      <c r="JY437" s="31"/>
      <c r="JZ437" s="31"/>
      <c r="KA437" s="31"/>
      <c r="KB437" s="31"/>
      <c r="KC437" s="31"/>
      <c r="KD437" s="31"/>
      <c r="KE437" s="31"/>
      <c r="KF437" s="31"/>
      <c r="KG437" s="31"/>
      <c r="KH437" s="31"/>
      <c r="KI437" s="31"/>
      <c r="KJ437" s="31"/>
      <c r="KK437" s="31"/>
      <c r="KL437" s="31"/>
      <c r="KM437" s="31"/>
      <c r="KN437" s="31"/>
      <c r="KO437" s="31"/>
      <c r="KP437" s="31"/>
      <c r="KQ437" s="31"/>
      <c r="KR437" s="31"/>
      <c r="KS437" s="31"/>
      <c r="KT437" s="31"/>
      <c r="KU437" s="31"/>
      <c r="KV437" s="31"/>
      <c r="KW437" s="31"/>
      <c r="KX437" s="31"/>
      <c r="KY437" s="31"/>
      <c r="KZ437" s="31"/>
      <c r="LA437" s="31"/>
      <c r="LB437" s="31"/>
      <c r="LC437" s="31"/>
      <c r="LD437" s="31"/>
      <c r="LE437" s="31"/>
      <c r="LF437" s="31"/>
      <c r="LG437" s="31"/>
      <c r="LH437" s="31"/>
      <c r="LI437" s="31"/>
      <c r="LJ437" s="31"/>
      <c r="LK437" s="31"/>
      <c r="LL437" s="31"/>
      <c r="LM437" s="31"/>
      <c r="LN437" s="31"/>
      <c r="LO437" s="31"/>
      <c r="LP437" s="31"/>
      <c r="LQ437" s="31"/>
      <c r="LR437" s="31"/>
      <c r="LS437" s="31"/>
      <c r="LT437" s="31"/>
      <c r="LU437" s="31"/>
      <c r="LV437" s="31"/>
      <c r="LW437" s="31"/>
      <c r="LX437" s="31"/>
      <c r="LY437" s="31"/>
      <c r="LZ437" s="31"/>
      <c r="MA437" s="31"/>
      <c r="MB437" s="31"/>
      <c r="MC437" s="31"/>
      <c r="MD437" s="31"/>
      <c r="ME437" s="31"/>
      <c r="MF437" s="31"/>
      <c r="MG437" s="31"/>
      <c r="MH437" s="31"/>
      <c r="MI437" s="31"/>
      <c r="MJ437" s="31"/>
      <c r="MK437" s="31"/>
      <c r="ML437" s="31"/>
      <c r="MM437" s="31"/>
      <c r="MN437" s="31"/>
      <c r="MO437" s="31"/>
      <c r="MP437" s="31"/>
      <c r="MQ437" s="31"/>
      <c r="MR437" s="31"/>
      <c r="MS437" s="31"/>
      <c r="MT437" s="31"/>
      <c r="MU437" s="31"/>
      <c r="MV437" s="31"/>
      <c r="MW437" s="31"/>
      <c r="MX437" s="31"/>
      <c r="MY437" s="31"/>
      <c r="MZ437" s="31"/>
      <c r="NA437" s="31"/>
      <c r="NB437" s="31"/>
      <c r="NC437" s="31"/>
      <c r="ND437" s="31"/>
      <c r="NE437" s="31"/>
      <c r="NF437" s="31"/>
      <c r="NG437" s="31"/>
      <c r="NH437" s="31"/>
      <c r="NI437" s="31"/>
      <c r="NJ437" s="31"/>
      <c r="NK437" s="31"/>
      <c r="NL437" s="31"/>
      <c r="NM437" s="31"/>
      <c r="NN437" s="31"/>
      <c r="NO437" s="31"/>
      <c r="NP437" s="31"/>
      <c r="NQ437" s="31"/>
      <c r="NR437" s="31"/>
      <c r="NS437" s="31"/>
      <c r="NT437" s="31"/>
      <c r="NU437" s="31"/>
      <c r="NV437" s="31"/>
      <c r="NW437" s="31"/>
      <c r="NX437" s="31"/>
      <c r="NY437" s="31"/>
      <c r="NZ437" s="31"/>
      <c r="OA437" s="31"/>
      <c r="OB437" s="31"/>
      <c r="OC437" s="31"/>
      <c r="OD437" s="31"/>
      <c r="OE437" s="31"/>
      <c r="OF437" s="31"/>
      <c r="OG437" s="31"/>
      <c r="OH437" s="31"/>
      <c r="OI437" s="31"/>
      <c r="OJ437" s="31"/>
      <c r="OK437" s="31"/>
      <c r="OL437" s="31"/>
      <c r="OM437" s="31"/>
      <c r="ON437" s="31"/>
      <c r="OO437" s="31"/>
      <c r="OP437" s="31"/>
      <c r="OQ437" s="31"/>
      <c r="OR437" s="31"/>
      <c r="OS437" s="31"/>
      <c r="OT437" s="31"/>
      <c r="OU437" s="31"/>
      <c r="OV437" s="31"/>
      <c r="OW437" s="31"/>
      <c r="OX437" s="31"/>
      <c r="OY437" s="31"/>
      <c r="OZ437" s="31"/>
      <c r="PA437" s="31"/>
      <c r="PB437" s="31"/>
      <c r="PC437" s="31"/>
      <c r="PD437" s="31"/>
      <c r="PE437" s="31"/>
      <c r="PF437" s="31"/>
      <c r="PG437" s="31"/>
      <c r="PH437" s="31"/>
      <c r="PI437" s="31"/>
      <c r="PJ437" s="31"/>
      <c r="PK437" s="31"/>
      <c r="PL437" s="31"/>
      <c r="PM437" s="31"/>
      <c r="PN437" s="31"/>
      <c r="PO437" s="31"/>
      <c r="PP437" s="31"/>
      <c r="PQ437" s="31"/>
      <c r="PR437" s="31"/>
      <c r="PS437" s="31"/>
      <c r="PT437" s="31"/>
      <c r="PU437" s="31"/>
      <c r="PV437" s="31"/>
      <c r="PW437" s="31"/>
      <c r="PX437" s="31"/>
      <c r="PY437" s="31"/>
      <c r="PZ437" s="31"/>
      <c r="QA437" s="31"/>
      <c r="QB437" s="31"/>
      <c r="QC437" s="31"/>
      <c r="QD437" s="31"/>
      <c r="QE437" s="31"/>
      <c r="QF437" s="31"/>
      <c r="QG437" s="31"/>
      <c r="QH437" s="31"/>
      <c r="QI437" s="31"/>
      <c r="QJ437" s="31"/>
      <c r="QK437" s="31"/>
      <c r="QL437" s="31"/>
      <c r="QM437" s="31"/>
      <c r="QN437" s="31"/>
      <c r="QO437" s="31"/>
      <c r="QP437" s="31"/>
      <c r="QQ437" s="31"/>
      <c r="QR437" s="31"/>
      <c r="QS437" s="31"/>
      <c r="QT437" s="31"/>
      <c r="QU437" s="31"/>
      <c r="QV437" s="31"/>
      <c r="QW437" s="31"/>
      <c r="QX437" s="31"/>
      <c r="QY437" s="31"/>
      <c r="QZ437" s="31"/>
      <c r="RA437" s="31"/>
      <c r="RB437" s="31"/>
      <c r="RC437" s="31"/>
      <c r="RD437" s="31"/>
      <c r="RE437" s="31"/>
      <c r="RF437" s="31"/>
      <c r="RG437" s="31"/>
      <c r="RH437" s="31"/>
      <c r="RI437" s="31"/>
      <c r="RJ437" s="31"/>
      <c r="RK437" s="31"/>
      <c r="RL437" s="31"/>
      <c r="RM437" s="31"/>
      <c r="RN437" s="31"/>
      <c r="RO437" s="31"/>
      <c r="RP437" s="31"/>
      <c r="RQ437" s="31"/>
      <c r="RR437" s="31"/>
      <c r="RS437" s="31"/>
      <c r="RT437" s="31"/>
      <c r="RU437" s="31"/>
      <c r="RV437" s="31"/>
      <c r="RW437" s="31"/>
      <c r="RX437" s="31"/>
      <c r="RY437" s="31"/>
      <c r="RZ437" s="31"/>
      <c r="SA437" s="31"/>
      <c r="SB437" s="31"/>
      <c r="SC437" s="31"/>
      <c r="SD437" s="31"/>
      <c r="SE437" s="31"/>
      <c r="SF437" s="31"/>
      <c r="SG437" s="31"/>
      <c r="SH437" s="31"/>
      <c r="SI437" s="31"/>
      <c r="SJ437" s="31"/>
      <c r="SK437" s="31"/>
      <c r="SL437" s="31"/>
      <c r="SM437" s="31"/>
      <c r="SN437" s="31"/>
      <c r="SO437" s="31"/>
      <c r="SP437" s="31"/>
      <c r="SQ437" s="31"/>
      <c r="SR437" s="31"/>
      <c r="SS437" s="31"/>
      <c r="ST437" s="31"/>
      <c r="SU437" s="31"/>
      <c r="SV437" s="31"/>
      <c r="SW437" s="31"/>
      <c r="SX437" s="31"/>
      <c r="SY437" s="31"/>
      <c r="SZ437" s="31"/>
      <c r="TA437" s="31"/>
      <c r="TB437" s="31"/>
      <c r="TC437" s="31"/>
      <c r="TD437" s="31"/>
      <c r="TE437" s="31"/>
      <c r="TF437" s="31"/>
      <c r="TG437" s="31"/>
      <c r="TH437" s="31"/>
      <c r="TI437" s="31"/>
      <c r="TJ437" s="31"/>
      <c r="TK437" s="31"/>
      <c r="TL437" s="31"/>
      <c r="TM437" s="31"/>
      <c r="TN437" s="31"/>
      <c r="TO437" s="31"/>
      <c r="TP437" s="31"/>
      <c r="TQ437" s="31"/>
      <c r="TR437" s="31"/>
      <c r="TS437" s="31"/>
      <c r="TT437" s="31"/>
      <c r="TU437" s="31"/>
      <c r="TV437" s="31"/>
      <c r="TW437" s="31"/>
      <c r="TX437" s="31"/>
      <c r="TY437" s="31"/>
      <c r="TZ437" s="31"/>
      <c r="UA437" s="31"/>
      <c r="UB437" s="31"/>
      <c r="UC437" s="31"/>
      <c r="UD437" s="31"/>
      <c r="UE437" s="31"/>
      <c r="UF437" s="31"/>
      <c r="UG437" s="33"/>
    </row>
    <row r="438" spans="1:553" ht="30.75" customHeight="1">
      <c r="A438" s="356" t="s">
        <v>30</v>
      </c>
      <c r="B438" s="385" t="s">
        <v>35</v>
      </c>
      <c r="C438" s="1404" t="s">
        <v>336</v>
      </c>
      <c r="D438" s="1389"/>
      <c r="E438" s="1389"/>
      <c r="F438" s="1390"/>
      <c r="G438" s="386" t="s">
        <v>935</v>
      </c>
      <c r="H438" s="370"/>
      <c r="I438" s="422">
        <f>0.4*10.6*3</f>
        <v>12.72</v>
      </c>
      <c r="J438" s="368">
        <v>39000</v>
      </c>
      <c r="K438" s="371"/>
      <c r="L438" s="391">
        <f t="shared" si="87"/>
        <v>496080</v>
      </c>
      <c r="M438" s="391"/>
      <c r="N438" s="391"/>
      <c r="O438" s="391"/>
      <c r="P438" s="391"/>
      <c r="Q438" s="1445"/>
      <c r="R438" s="1226"/>
      <c r="S438" s="305"/>
      <c r="T438" s="303"/>
      <c r="U438" s="306"/>
      <c r="V438" s="307"/>
      <c r="W438" s="306"/>
      <c r="X438" s="306"/>
      <c r="Y438" s="306"/>
      <c r="Z438" s="306"/>
      <c r="AA438" s="306"/>
      <c r="AB438" s="306"/>
      <c r="AC438" s="449"/>
      <c r="AD438" s="449"/>
      <c r="AE438" s="449"/>
      <c r="AF438" s="449"/>
      <c r="AG438" s="449"/>
      <c r="AH438" s="449"/>
      <c r="AI438" s="449"/>
      <c r="AJ438" s="449"/>
      <c r="AK438" s="452"/>
      <c r="AL438" s="104"/>
      <c r="AM438" s="32"/>
      <c r="AN438" s="32"/>
      <c r="AO438" s="32"/>
      <c r="AP438" s="32"/>
      <c r="AQ438" s="32"/>
      <c r="AR438" s="32"/>
      <c r="AS438" s="31"/>
      <c r="AT438" s="31"/>
      <c r="AU438" s="31"/>
      <c r="AV438" s="31"/>
      <c r="AW438" s="31"/>
      <c r="AX438" s="31"/>
      <c r="AY438" s="31"/>
      <c r="AZ438" s="31"/>
      <c r="BA438" s="31"/>
      <c r="BB438" s="31"/>
      <c r="BC438" s="31"/>
      <c r="BD438" s="31"/>
      <c r="BE438" s="31"/>
      <c r="BF438" s="31"/>
      <c r="BG438" s="31"/>
      <c r="BH438" s="31"/>
      <c r="BI438" s="31"/>
      <c r="BJ438" s="31"/>
      <c r="BK438" s="31"/>
      <c r="BL438" s="31"/>
      <c r="BM438" s="31"/>
      <c r="BN438" s="31"/>
      <c r="BO438" s="31"/>
      <c r="BP438" s="31"/>
      <c r="BQ438" s="31"/>
      <c r="BR438" s="31"/>
      <c r="BS438" s="31"/>
      <c r="BT438" s="31"/>
      <c r="BU438" s="31"/>
      <c r="BV438" s="31"/>
      <c r="BW438" s="31"/>
      <c r="BX438" s="31"/>
      <c r="BY438" s="31"/>
      <c r="BZ438" s="31"/>
      <c r="CA438" s="31"/>
      <c r="CB438" s="31"/>
      <c r="CC438" s="31"/>
      <c r="CD438" s="31"/>
      <c r="CE438" s="31"/>
      <c r="CF438" s="31"/>
      <c r="CG438" s="31"/>
      <c r="CH438" s="31"/>
      <c r="CI438" s="31"/>
      <c r="CJ438" s="31"/>
      <c r="CK438" s="31"/>
      <c r="CL438" s="31"/>
      <c r="CM438" s="31"/>
      <c r="CN438" s="31"/>
      <c r="CO438" s="31"/>
      <c r="CP438" s="31"/>
      <c r="CQ438" s="31"/>
      <c r="CR438" s="31"/>
      <c r="CS438" s="31"/>
      <c r="CT438" s="31"/>
      <c r="CU438" s="31"/>
      <c r="CV438" s="31"/>
      <c r="CW438" s="31"/>
      <c r="CX438" s="31"/>
      <c r="CY438" s="31"/>
      <c r="CZ438" s="31"/>
      <c r="DA438" s="31"/>
      <c r="DB438" s="31"/>
      <c r="DC438" s="31"/>
      <c r="DD438" s="31"/>
      <c r="DE438" s="31"/>
      <c r="DF438" s="31"/>
      <c r="DG438" s="31"/>
      <c r="DH438" s="31"/>
      <c r="DI438" s="31"/>
      <c r="DJ438" s="31"/>
      <c r="DK438" s="31"/>
      <c r="DL438" s="31"/>
      <c r="DM438" s="31"/>
      <c r="DN438" s="31"/>
      <c r="DO438" s="31"/>
      <c r="DP438" s="31"/>
      <c r="DQ438" s="31"/>
      <c r="DR438" s="31"/>
      <c r="DS438" s="31"/>
      <c r="DT438" s="31"/>
      <c r="DU438" s="31"/>
      <c r="DV438" s="31"/>
      <c r="DW438" s="31"/>
      <c r="DX438" s="31"/>
      <c r="DY438" s="31"/>
      <c r="DZ438" s="31"/>
      <c r="EA438" s="31"/>
      <c r="EB438" s="31"/>
      <c r="EC438" s="31"/>
      <c r="ED438" s="31"/>
      <c r="EE438" s="31"/>
      <c r="EF438" s="31"/>
      <c r="EG438" s="31"/>
      <c r="EH438" s="31"/>
      <c r="EI438" s="31"/>
      <c r="EJ438" s="31"/>
      <c r="EK438" s="31"/>
      <c r="EL438" s="31"/>
      <c r="EM438" s="31"/>
      <c r="EN438" s="31"/>
      <c r="EO438" s="31"/>
      <c r="EP438" s="31"/>
      <c r="EQ438" s="31"/>
      <c r="ER438" s="31"/>
      <c r="ES438" s="31"/>
      <c r="ET438" s="31"/>
      <c r="EU438" s="31"/>
      <c r="EV438" s="31"/>
      <c r="EW438" s="31"/>
      <c r="EX438" s="31"/>
      <c r="EY438" s="31"/>
      <c r="EZ438" s="31"/>
      <c r="FA438" s="31"/>
      <c r="FB438" s="31"/>
      <c r="FC438" s="31"/>
      <c r="FD438" s="31"/>
      <c r="FE438" s="31"/>
      <c r="FF438" s="31"/>
      <c r="FG438" s="31"/>
      <c r="FH438" s="31"/>
      <c r="FI438" s="31"/>
      <c r="FJ438" s="31"/>
      <c r="FK438" s="31"/>
      <c r="FL438" s="31"/>
      <c r="FM438" s="31"/>
      <c r="FN438" s="31"/>
      <c r="FO438" s="31"/>
      <c r="FP438" s="31"/>
      <c r="FQ438" s="31"/>
      <c r="FR438" s="31"/>
      <c r="FS438" s="31"/>
      <c r="FT438" s="31"/>
      <c r="FU438" s="31"/>
      <c r="FV438" s="31"/>
      <c r="FW438" s="31"/>
      <c r="FX438" s="31"/>
      <c r="FY438" s="31"/>
      <c r="FZ438" s="31"/>
      <c r="GA438" s="31"/>
      <c r="GB438" s="31"/>
      <c r="GC438" s="31"/>
      <c r="GD438" s="31"/>
      <c r="GE438" s="31"/>
      <c r="GF438" s="31"/>
      <c r="GG438" s="31"/>
      <c r="GH438" s="31"/>
      <c r="GI438" s="31"/>
      <c r="GJ438" s="31"/>
      <c r="GK438" s="31"/>
      <c r="GL438" s="31"/>
      <c r="GM438" s="31"/>
      <c r="GN438" s="31"/>
      <c r="GO438" s="31"/>
      <c r="GP438" s="31"/>
      <c r="GQ438" s="31"/>
      <c r="GR438" s="31"/>
      <c r="GS438" s="31"/>
      <c r="GT438" s="31"/>
      <c r="GU438" s="31"/>
      <c r="GV438" s="31"/>
      <c r="GW438" s="31"/>
      <c r="GX438" s="31"/>
      <c r="GY438" s="31"/>
      <c r="GZ438" s="31"/>
      <c r="HA438" s="31"/>
      <c r="HB438" s="31"/>
      <c r="HC438" s="31"/>
      <c r="HD438" s="31"/>
      <c r="HE438" s="31"/>
      <c r="HF438" s="31"/>
      <c r="HG438" s="31"/>
      <c r="HH438" s="31"/>
      <c r="HI438" s="31"/>
      <c r="HJ438" s="31"/>
      <c r="HK438" s="31"/>
      <c r="HL438" s="31"/>
      <c r="HM438" s="31"/>
      <c r="HN438" s="31"/>
      <c r="HO438" s="31"/>
      <c r="HP438" s="31"/>
      <c r="HQ438" s="31"/>
      <c r="HR438" s="31"/>
      <c r="HS438" s="31"/>
      <c r="HT438" s="31"/>
      <c r="HU438" s="31"/>
      <c r="HV438" s="31"/>
      <c r="HW438" s="31"/>
      <c r="HX438" s="31"/>
      <c r="HY438" s="31"/>
      <c r="HZ438" s="31"/>
      <c r="IA438" s="31"/>
      <c r="IB438" s="31"/>
      <c r="IC438" s="31"/>
      <c r="ID438" s="31"/>
      <c r="IE438" s="31"/>
      <c r="IF438" s="31"/>
      <c r="IG438" s="31"/>
      <c r="IH438" s="31"/>
      <c r="II438" s="31"/>
      <c r="IJ438" s="31"/>
      <c r="IK438" s="31"/>
      <c r="IL438" s="31"/>
      <c r="IM438" s="31"/>
      <c r="IN438" s="31"/>
      <c r="IO438" s="31"/>
      <c r="IP438" s="31"/>
      <c r="IQ438" s="31"/>
      <c r="IR438" s="31"/>
      <c r="IS438" s="31"/>
      <c r="IT438" s="31"/>
      <c r="IU438" s="31"/>
      <c r="IV438" s="31"/>
      <c r="IW438" s="31"/>
      <c r="IX438" s="31"/>
      <c r="IY438" s="31"/>
      <c r="IZ438" s="31"/>
      <c r="JA438" s="31"/>
      <c r="JB438" s="31"/>
      <c r="JC438" s="31"/>
      <c r="JD438" s="31"/>
      <c r="JE438" s="31"/>
      <c r="JF438" s="31"/>
      <c r="JG438" s="31"/>
      <c r="JH438" s="31"/>
      <c r="JI438" s="31"/>
      <c r="JJ438" s="31"/>
      <c r="JK438" s="31"/>
      <c r="JL438" s="31"/>
      <c r="JM438" s="31"/>
      <c r="JN438" s="31"/>
      <c r="JO438" s="31"/>
      <c r="JP438" s="31"/>
      <c r="JQ438" s="31"/>
      <c r="JR438" s="31"/>
      <c r="JS438" s="31"/>
      <c r="JT438" s="31"/>
      <c r="JU438" s="31"/>
      <c r="JV438" s="31"/>
      <c r="JW438" s="31"/>
      <c r="JX438" s="31"/>
      <c r="JY438" s="31"/>
      <c r="JZ438" s="31"/>
      <c r="KA438" s="31"/>
      <c r="KB438" s="31"/>
      <c r="KC438" s="31"/>
      <c r="KD438" s="31"/>
      <c r="KE438" s="31"/>
      <c r="KF438" s="31"/>
      <c r="KG438" s="31"/>
      <c r="KH438" s="31"/>
      <c r="KI438" s="31"/>
      <c r="KJ438" s="31"/>
      <c r="KK438" s="31"/>
      <c r="KL438" s="31"/>
      <c r="KM438" s="31"/>
      <c r="KN438" s="31"/>
      <c r="KO438" s="31"/>
      <c r="KP438" s="31"/>
      <c r="KQ438" s="31"/>
      <c r="KR438" s="31"/>
      <c r="KS438" s="31"/>
      <c r="KT438" s="31"/>
      <c r="KU438" s="31"/>
      <c r="KV438" s="31"/>
      <c r="KW438" s="31"/>
      <c r="KX438" s="31"/>
      <c r="KY438" s="31"/>
      <c r="KZ438" s="31"/>
      <c r="LA438" s="31"/>
      <c r="LB438" s="31"/>
      <c r="LC438" s="31"/>
      <c r="LD438" s="31"/>
      <c r="LE438" s="31"/>
      <c r="LF438" s="31"/>
      <c r="LG438" s="31"/>
      <c r="LH438" s="31"/>
      <c r="LI438" s="31"/>
      <c r="LJ438" s="31"/>
      <c r="LK438" s="31"/>
      <c r="LL438" s="31"/>
      <c r="LM438" s="31"/>
      <c r="LN438" s="31"/>
      <c r="LO438" s="31"/>
      <c r="LP438" s="31"/>
      <c r="LQ438" s="31"/>
      <c r="LR438" s="31"/>
      <c r="LS438" s="31"/>
      <c r="LT438" s="31"/>
      <c r="LU438" s="31"/>
      <c r="LV438" s="31"/>
      <c r="LW438" s="31"/>
      <c r="LX438" s="31"/>
      <c r="LY438" s="31"/>
      <c r="LZ438" s="31"/>
      <c r="MA438" s="31"/>
      <c r="MB438" s="31"/>
      <c r="MC438" s="31"/>
      <c r="MD438" s="31"/>
      <c r="ME438" s="31"/>
      <c r="MF438" s="31"/>
      <c r="MG438" s="31"/>
      <c r="MH438" s="31"/>
      <c r="MI438" s="31"/>
      <c r="MJ438" s="31"/>
      <c r="MK438" s="31"/>
      <c r="ML438" s="31"/>
      <c r="MM438" s="31"/>
      <c r="MN438" s="31"/>
      <c r="MO438" s="31"/>
      <c r="MP438" s="31"/>
      <c r="MQ438" s="31"/>
      <c r="MR438" s="31"/>
      <c r="MS438" s="31"/>
      <c r="MT438" s="31"/>
      <c r="MU438" s="31"/>
      <c r="MV438" s="31"/>
      <c r="MW438" s="31"/>
      <c r="MX438" s="31"/>
      <c r="MY438" s="31"/>
      <c r="MZ438" s="31"/>
      <c r="NA438" s="31"/>
      <c r="NB438" s="31"/>
      <c r="NC438" s="31"/>
      <c r="ND438" s="31"/>
      <c r="NE438" s="31"/>
      <c r="NF438" s="31"/>
      <c r="NG438" s="31"/>
      <c r="NH438" s="31"/>
      <c r="NI438" s="31"/>
      <c r="NJ438" s="31"/>
      <c r="NK438" s="31"/>
      <c r="NL438" s="31"/>
      <c r="NM438" s="31"/>
      <c r="NN438" s="31"/>
      <c r="NO438" s="31"/>
      <c r="NP438" s="31"/>
      <c r="NQ438" s="31"/>
      <c r="NR438" s="31"/>
      <c r="NS438" s="31"/>
      <c r="NT438" s="31"/>
      <c r="NU438" s="31"/>
      <c r="NV438" s="31"/>
      <c r="NW438" s="31"/>
      <c r="NX438" s="31"/>
      <c r="NY438" s="31"/>
      <c r="NZ438" s="31"/>
      <c r="OA438" s="31"/>
      <c r="OB438" s="31"/>
      <c r="OC438" s="31"/>
      <c r="OD438" s="31"/>
      <c r="OE438" s="31"/>
      <c r="OF438" s="31"/>
      <c r="OG438" s="31"/>
      <c r="OH438" s="31"/>
      <c r="OI438" s="31"/>
      <c r="OJ438" s="31"/>
      <c r="OK438" s="31"/>
      <c r="OL438" s="31"/>
      <c r="OM438" s="31"/>
      <c r="ON438" s="31"/>
      <c r="OO438" s="31"/>
      <c r="OP438" s="31"/>
      <c r="OQ438" s="31"/>
      <c r="OR438" s="31"/>
      <c r="OS438" s="31"/>
      <c r="OT438" s="31"/>
      <c r="OU438" s="31"/>
      <c r="OV438" s="31"/>
      <c r="OW438" s="31"/>
      <c r="OX438" s="31"/>
      <c r="OY438" s="31"/>
      <c r="OZ438" s="31"/>
      <c r="PA438" s="31"/>
      <c r="PB438" s="31"/>
      <c r="PC438" s="31"/>
      <c r="PD438" s="31"/>
      <c r="PE438" s="31"/>
      <c r="PF438" s="31"/>
      <c r="PG438" s="31"/>
      <c r="PH438" s="31"/>
      <c r="PI438" s="31"/>
      <c r="PJ438" s="31"/>
      <c r="PK438" s="31"/>
      <c r="PL438" s="31"/>
      <c r="PM438" s="31"/>
      <c r="PN438" s="31"/>
      <c r="PO438" s="31"/>
      <c r="PP438" s="31"/>
      <c r="PQ438" s="31"/>
      <c r="PR438" s="31"/>
      <c r="PS438" s="31"/>
      <c r="PT438" s="31"/>
      <c r="PU438" s="31"/>
      <c r="PV438" s="31"/>
      <c r="PW438" s="31"/>
      <c r="PX438" s="31"/>
      <c r="PY438" s="31"/>
      <c r="PZ438" s="31"/>
      <c r="QA438" s="31"/>
      <c r="QB438" s="31"/>
      <c r="QC438" s="31"/>
      <c r="QD438" s="31"/>
      <c r="QE438" s="31"/>
      <c r="QF438" s="31"/>
      <c r="QG438" s="31"/>
      <c r="QH438" s="31"/>
      <c r="QI438" s="31"/>
      <c r="QJ438" s="31"/>
      <c r="QK438" s="31"/>
      <c r="QL438" s="31"/>
      <c r="QM438" s="31"/>
      <c r="QN438" s="31"/>
      <c r="QO438" s="31"/>
      <c r="QP438" s="31"/>
      <c r="QQ438" s="31"/>
      <c r="QR438" s="31"/>
      <c r="QS438" s="31"/>
      <c r="QT438" s="31"/>
      <c r="QU438" s="31"/>
      <c r="QV438" s="31"/>
      <c r="QW438" s="31"/>
      <c r="QX438" s="31"/>
      <c r="QY438" s="31"/>
      <c r="QZ438" s="31"/>
      <c r="RA438" s="31"/>
      <c r="RB438" s="31"/>
      <c r="RC438" s="31"/>
      <c r="RD438" s="31"/>
      <c r="RE438" s="31"/>
      <c r="RF438" s="31"/>
      <c r="RG438" s="31"/>
      <c r="RH438" s="31"/>
      <c r="RI438" s="31"/>
      <c r="RJ438" s="31"/>
      <c r="RK438" s="31"/>
      <c r="RL438" s="31"/>
      <c r="RM438" s="31"/>
      <c r="RN438" s="31"/>
      <c r="RO438" s="31"/>
      <c r="RP438" s="31"/>
      <c r="RQ438" s="31"/>
      <c r="RR438" s="31"/>
      <c r="RS438" s="31"/>
      <c r="RT438" s="31"/>
      <c r="RU438" s="31"/>
      <c r="RV438" s="31"/>
      <c r="RW438" s="31"/>
      <c r="RX438" s="31"/>
      <c r="RY438" s="31"/>
      <c r="RZ438" s="31"/>
      <c r="SA438" s="31"/>
      <c r="SB438" s="31"/>
      <c r="SC438" s="31"/>
      <c r="SD438" s="31"/>
      <c r="SE438" s="31"/>
      <c r="SF438" s="31"/>
      <c r="SG438" s="31"/>
      <c r="SH438" s="31"/>
      <c r="SI438" s="31"/>
      <c r="SJ438" s="31"/>
      <c r="SK438" s="31"/>
      <c r="SL438" s="31"/>
      <c r="SM438" s="31"/>
      <c r="SN438" s="31"/>
      <c r="SO438" s="31"/>
      <c r="SP438" s="31"/>
      <c r="SQ438" s="31"/>
      <c r="SR438" s="31"/>
      <c r="SS438" s="31"/>
      <c r="ST438" s="31"/>
      <c r="SU438" s="31"/>
      <c r="SV438" s="31"/>
      <c r="SW438" s="31"/>
      <c r="SX438" s="31"/>
      <c r="SY438" s="31"/>
      <c r="SZ438" s="31"/>
      <c r="TA438" s="31"/>
      <c r="TB438" s="31"/>
      <c r="TC438" s="31"/>
      <c r="TD438" s="31"/>
      <c r="TE438" s="31"/>
      <c r="TF438" s="31"/>
      <c r="TG438" s="31"/>
      <c r="TH438" s="31"/>
      <c r="TI438" s="31"/>
      <c r="TJ438" s="31"/>
      <c r="TK438" s="31"/>
      <c r="TL438" s="31"/>
      <c r="TM438" s="31"/>
      <c r="TN438" s="31"/>
      <c r="TO438" s="31"/>
      <c r="TP438" s="31"/>
      <c r="TQ438" s="31"/>
      <c r="TR438" s="31"/>
      <c r="TS438" s="31"/>
      <c r="TT438" s="31"/>
      <c r="TU438" s="31"/>
      <c r="TV438" s="31"/>
      <c r="TW438" s="31"/>
      <c r="TX438" s="31"/>
      <c r="TY438" s="31"/>
      <c r="TZ438" s="31"/>
      <c r="UA438" s="31"/>
      <c r="UB438" s="31"/>
      <c r="UC438" s="31"/>
      <c r="UD438" s="31"/>
      <c r="UE438" s="31"/>
      <c r="UF438" s="31"/>
      <c r="UG438" s="33"/>
    </row>
    <row r="439" spans="1:553" ht="30.75" customHeight="1">
      <c r="A439" s="356" t="s">
        <v>30</v>
      </c>
      <c r="B439" s="385" t="s">
        <v>35</v>
      </c>
      <c r="C439" s="1404" t="s">
        <v>337</v>
      </c>
      <c r="D439" s="1389"/>
      <c r="E439" s="1389"/>
      <c r="F439" s="1390"/>
      <c r="G439" s="386" t="s">
        <v>935</v>
      </c>
      <c r="H439" s="370"/>
      <c r="I439" s="834">
        <f>0.48*6.9* 4</f>
        <v>13.247999999999999</v>
      </c>
      <c r="J439" s="368">
        <v>39000</v>
      </c>
      <c r="K439" s="371"/>
      <c r="L439" s="391">
        <f t="shared" si="87"/>
        <v>516672</v>
      </c>
      <c r="M439" s="395"/>
      <c r="N439" s="395"/>
      <c r="O439" s="366"/>
      <c r="P439" s="396"/>
      <c r="Q439" s="473"/>
      <c r="R439" s="1039"/>
      <c r="S439" s="435"/>
      <c r="T439" s="436"/>
      <c r="U439" s="304"/>
      <c r="V439" s="393"/>
      <c r="W439" s="304"/>
      <c r="X439" s="304"/>
      <c r="Y439" s="304"/>
      <c r="Z439" s="304"/>
      <c r="AA439" s="304"/>
      <c r="AB439" s="304"/>
      <c r="AC439" s="449"/>
      <c r="AD439" s="449"/>
      <c r="AE439" s="449"/>
      <c r="AF439" s="449"/>
      <c r="AG439" s="452"/>
      <c r="AH439" s="452"/>
      <c r="AI439" s="452"/>
      <c r="AJ439" s="452"/>
      <c r="AK439" s="452"/>
      <c r="AL439" s="104"/>
      <c r="AM439" s="32"/>
      <c r="AN439" s="32"/>
      <c r="AO439" s="32"/>
      <c r="AP439" s="32"/>
      <c r="AQ439" s="31"/>
      <c r="AR439" s="31"/>
      <c r="AS439" s="31"/>
      <c r="AT439" s="31"/>
      <c r="AU439" s="31"/>
      <c r="AV439" s="31"/>
      <c r="AW439" s="31"/>
      <c r="AX439" s="31"/>
      <c r="AY439" s="31"/>
      <c r="AZ439" s="31"/>
      <c r="BA439" s="31"/>
      <c r="BB439" s="31"/>
      <c r="BC439" s="31"/>
      <c r="BD439" s="31"/>
      <c r="BE439" s="31"/>
      <c r="BF439" s="31"/>
      <c r="BG439" s="31"/>
      <c r="BH439" s="31"/>
      <c r="BI439" s="31"/>
      <c r="BJ439" s="31"/>
      <c r="BK439" s="31"/>
      <c r="BL439" s="31"/>
      <c r="BM439" s="25"/>
      <c r="BN439" s="25"/>
      <c r="BO439" s="25"/>
      <c r="BP439" s="25"/>
      <c r="BQ439" s="25"/>
      <c r="BR439" s="25"/>
      <c r="BS439" s="25"/>
      <c r="BT439" s="25"/>
      <c r="BU439" s="25"/>
      <c r="BV439" s="25"/>
      <c r="BW439" s="25"/>
      <c r="BX439" s="25"/>
      <c r="BY439" s="25"/>
      <c r="BZ439" s="25"/>
      <c r="CA439" s="25"/>
      <c r="CB439" s="25"/>
      <c r="CC439" s="25"/>
      <c r="CD439" s="25"/>
      <c r="CE439" s="25"/>
      <c r="CF439" s="25"/>
      <c r="CG439" s="25"/>
      <c r="CH439" s="25"/>
      <c r="CI439" s="25"/>
      <c r="CJ439" s="25"/>
      <c r="CK439" s="25"/>
      <c r="CL439" s="25"/>
      <c r="CM439" s="25"/>
      <c r="CN439" s="25"/>
      <c r="CO439" s="25"/>
      <c r="CP439" s="25"/>
      <c r="CQ439" s="25"/>
      <c r="CR439" s="25"/>
      <c r="CS439" s="25"/>
      <c r="CT439" s="25"/>
      <c r="CU439" s="25"/>
      <c r="CV439" s="25"/>
      <c r="CW439" s="25"/>
      <c r="CX439" s="25"/>
      <c r="CY439" s="25"/>
      <c r="CZ439" s="25"/>
      <c r="DA439" s="25"/>
      <c r="DB439" s="25"/>
      <c r="DC439" s="25"/>
      <c r="DD439" s="25"/>
      <c r="DE439" s="25"/>
      <c r="DF439" s="25"/>
      <c r="DG439" s="25"/>
      <c r="DH439" s="25"/>
      <c r="DI439" s="25"/>
      <c r="DJ439" s="25"/>
      <c r="DK439" s="25"/>
      <c r="DL439" s="25"/>
      <c r="DM439" s="25"/>
      <c r="DN439" s="25"/>
      <c r="DO439" s="25"/>
      <c r="DP439" s="25"/>
      <c r="DQ439" s="25"/>
      <c r="DR439" s="25"/>
      <c r="DS439" s="25"/>
      <c r="DT439" s="25"/>
      <c r="DU439" s="25"/>
      <c r="DV439" s="25"/>
      <c r="DW439" s="25"/>
      <c r="DX439" s="25"/>
      <c r="DY439" s="25"/>
      <c r="DZ439" s="25"/>
      <c r="EA439" s="25"/>
      <c r="EB439" s="25"/>
      <c r="EC439" s="25"/>
      <c r="ED439" s="25"/>
      <c r="EE439" s="25"/>
      <c r="EF439" s="25"/>
      <c r="EG439" s="25"/>
      <c r="EH439" s="25"/>
      <c r="EI439" s="25"/>
      <c r="EJ439" s="25"/>
      <c r="EK439" s="25"/>
      <c r="EL439" s="25"/>
      <c r="EM439" s="25"/>
      <c r="EN439" s="25"/>
      <c r="EO439" s="25"/>
      <c r="EP439" s="25"/>
      <c r="EQ439" s="25"/>
      <c r="ER439" s="25"/>
      <c r="ES439" s="25"/>
      <c r="ET439" s="25"/>
      <c r="EU439" s="25"/>
      <c r="EV439" s="25"/>
      <c r="EW439" s="25"/>
      <c r="EX439" s="25"/>
      <c r="EY439" s="25"/>
      <c r="EZ439" s="25"/>
      <c r="FA439" s="25"/>
      <c r="FB439" s="25"/>
      <c r="FC439" s="25"/>
      <c r="FD439" s="25"/>
      <c r="FE439" s="25"/>
      <c r="FF439" s="25"/>
      <c r="FG439" s="25"/>
      <c r="FH439" s="25"/>
      <c r="FI439" s="25"/>
      <c r="FJ439" s="25"/>
      <c r="FK439" s="25"/>
      <c r="FL439" s="25"/>
      <c r="FM439" s="25"/>
      <c r="FN439" s="25"/>
      <c r="FO439" s="25"/>
      <c r="FP439" s="25"/>
      <c r="FQ439" s="25"/>
      <c r="FR439" s="25"/>
      <c r="FS439" s="25"/>
      <c r="FT439" s="25"/>
      <c r="FU439" s="25"/>
      <c r="FV439" s="25"/>
      <c r="FW439" s="25"/>
      <c r="FX439" s="25"/>
      <c r="FY439" s="25"/>
      <c r="FZ439" s="25"/>
      <c r="GA439" s="25"/>
      <c r="GB439" s="25"/>
      <c r="GC439" s="25"/>
      <c r="GD439" s="25"/>
      <c r="GE439" s="25"/>
      <c r="GF439" s="25"/>
      <c r="GG439" s="25"/>
      <c r="GH439" s="25"/>
      <c r="GI439" s="25"/>
      <c r="GJ439" s="25"/>
      <c r="GK439" s="25"/>
      <c r="GL439" s="25"/>
      <c r="GM439" s="25"/>
      <c r="GN439" s="25"/>
      <c r="GO439" s="25"/>
      <c r="GP439" s="25"/>
      <c r="GQ439" s="25"/>
      <c r="GR439" s="25"/>
      <c r="GS439" s="25"/>
      <c r="GT439" s="25"/>
      <c r="GU439" s="25"/>
      <c r="GV439" s="25"/>
      <c r="GW439" s="25"/>
      <c r="GX439" s="25"/>
      <c r="GY439" s="25"/>
      <c r="GZ439" s="25"/>
      <c r="HA439" s="25"/>
      <c r="HB439" s="25"/>
      <c r="HC439" s="25"/>
      <c r="HD439" s="25"/>
      <c r="HE439" s="25"/>
      <c r="HF439" s="25"/>
      <c r="HG439" s="25"/>
      <c r="HH439" s="25"/>
      <c r="HI439" s="25"/>
      <c r="HJ439" s="25"/>
      <c r="HK439" s="25"/>
      <c r="HL439" s="25"/>
      <c r="HM439" s="25"/>
      <c r="HN439" s="25"/>
      <c r="HO439" s="25"/>
      <c r="HP439" s="25"/>
      <c r="HQ439" s="25"/>
      <c r="HR439" s="25"/>
      <c r="HS439" s="25"/>
      <c r="HT439" s="25"/>
      <c r="HU439" s="25"/>
      <c r="HV439" s="25"/>
      <c r="HW439" s="25"/>
      <c r="HX439" s="25"/>
      <c r="HY439" s="25"/>
      <c r="HZ439" s="25"/>
      <c r="IA439" s="25"/>
      <c r="IB439" s="25"/>
      <c r="IC439" s="25"/>
      <c r="ID439" s="25"/>
      <c r="IE439" s="25"/>
      <c r="IF439" s="25"/>
      <c r="IG439" s="25"/>
      <c r="IH439" s="25"/>
      <c r="II439" s="25"/>
      <c r="IJ439" s="25"/>
      <c r="IK439" s="25"/>
      <c r="IL439" s="25"/>
      <c r="IM439" s="25"/>
      <c r="IN439" s="25"/>
      <c r="IO439" s="25"/>
      <c r="IP439" s="25"/>
      <c r="IQ439" s="25"/>
      <c r="IR439" s="25"/>
      <c r="IS439" s="25"/>
      <c r="IT439" s="25"/>
      <c r="IU439" s="25"/>
      <c r="IV439" s="25"/>
      <c r="IW439" s="25"/>
      <c r="IX439" s="25"/>
      <c r="IY439" s="25"/>
      <c r="IZ439" s="25"/>
      <c r="JA439" s="25"/>
      <c r="JB439" s="25"/>
      <c r="JC439" s="25"/>
      <c r="JD439" s="25"/>
      <c r="JE439" s="25"/>
      <c r="JF439" s="25"/>
      <c r="JG439" s="25"/>
      <c r="JH439" s="25"/>
      <c r="JI439" s="25"/>
      <c r="JJ439" s="25"/>
      <c r="JK439" s="25"/>
      <c r="JL439" s="25"/>
      <c r="JM439" s="25"/>
      <c r="JN439" s="25"/>
      <c r="JO439" s="25"/>
      <c r="JP439" s="25"/>
      <c r="JQ439" s="25"/>
      <c r="JR439" s="25"/>
      <c r="JS439" s="25"/>
      <c r="JT439" s="25"/>
      <c r="JU439" s="25"/>
      <c r="JV439" s="25"/>
      <c r="JW439" s="25"/>
      <c r="JX439" s="25"/>
      <c r="JY439" s="25"/>
      <c r="JZ439" s="25"/>
      <c r="KA439" s="25"/>
      <c r="KB439" s="25"/>
      <c r="KC439" s="25"/>
      <c r="KD439" s="25"/>
      <c r="KE439" s="25"/>
      <c r="KF439" s="25"/>
      <c r="KG439" s="25"/>
      <c r="KH439" s="25"/>
      <c r="KI439" s="25"/>
      <c r="KJ439" s="25"/>
      <c r="KK439" s="25"/>
      <c r="KL439" s="25"/>
      <c r="KM439" s="25"/>
      <c r="KN439" s="25"/>
      <c r="KO439" s="25"/>
      <c r="KP439" s="25"/>
      <c r="KQ439" s="25"/>
      <c r="KR439" s="25"/>
      <c r="KS439" s="25"/>
      <c r="KT439" s="25"/>
      <c r="KU439" s="25"/>
      <c r="KV439" s="25"/>
      <c r="KW439" s="25"/>
      <c r="KX439" s="25"/>
      <c r="KY439" s="25"/>
      <c r="KZ439" s="25"/>
      <c r="LA439" s="25"/>
      <c r="LB439" s="25"/>
      <c r="LC439" s="25"/>
      <c r="LD439" s="25"/>
      <c r="LE439" s="25"/>
      <c r="LF439" s="25"/>
      <c r="LG439" s="25"/>
      <c r="LH439" s="25"/>
      <c r="LI439" s="25"/>
      <c r="LJ439" s="25"/>
      <c r="LK439" s="25"/>
      <c r="LL439" s="25"/>
      <c r="LM439" s="25"/>
      <c r="LN439" s="25"/>
      <c r="LO439" s="25"/>
      <c r="LP439" s="25"/>
      <c r="LQ439" s="25"/>
      <c r="LR439" s="25"/>
      <c r="LS439" s="25"/>
      <c r="LT439" s="25"/>
      <c r="LU439" s="25"/>
      <c r="LV439" s="25"/>
      <c r="LW439" s="25"/>
      <c r="LX439" s="25"/>
      <c r="LY439" s="25"/>
      <c r="LZ439" s="25"/>
      <c r="MA439" s="25"/>
      <c r="MB439" s="25"/>
      <c r="MC439" s="25"/>
      <c r="MD439" s="25"/>
      <c r="ME439" s="25"/>
      <c r="MF439" s="25"/>
      <c r="MG439" s="25"/>
      <c r="MH439" s="25"/>
      <c r="MI439" s="25"/>
      <c r="MJ439" s="25"/>
      <c r="MK439" s="25"/>
      <c r="ML439" s="25"/>
      <c r="MM439" s="25"/>
      <c r="MN439" s="25"/>
      <c r="MO439" s="25"/>
      <c r="MP439" s="25"/>
      <c r="MQ439" s="25"/>
      <c r="MR439" s="25"/>
      <c r="MS439" s="25"/>
      <c r="MT439" s="25"/>
      <c r="MU439" s="25"/>
      <c r="MV439" s="25"/>
      <c r="MW439" s="25"/>
      <c r="MX439" s="25"/>
      <c r="MY439" s="25"/>
      <c r="MZ439" s="25"/>
      <c r="NA439" s="25"/>
      <c r="NB439" s="25"/>
      <c r="NC439" s="25"/>
      <c r="ND439" s="25"/>
      <c r="NE439" s="25"/>
      <c r="NF439" s="25"/>
      <c r="NG439" s="25"/>
      <c r="NH439" s="25"/>
      <c r="NI439" s="25"/>
      <c r="NJ439" s="25"/>
      <c r="NK439" s="25"/>
      <c r="NL439" s="25"/>
      <c r="NM439" s="25"/>
      <c r="NN439" s="25"/>
      <c r="NO439" s="25"/>
      <c r="NP439" s="25"/>
      <c r="NQ439" s="25"/>
      <c r="NR439" s="25"/>
      <c r="NS439" s="25"/>
      <c r="NT439" s="25"/>
      <c r="NU439" s="25"/>
      <c r="NV439" s="25"/>
      <c r="NW439" s="25"/>
      <c r="NX439" s="25"/>
      <c r="NY439" s="25"/>
      <c r="NZ439" s="25"/>
      <c r="OA439" s="25"/>
      <c r="OB439" s="25"/>
      <c r="OC439" s="25"/>
      <c r="OD439" s="25"/>
      <c r="OE439" s="25"/>
      <c r="OF439" s="25"/>
      <c r="OG439" s="25"/>
      <c r="OH439" s="25"/>
      <c r="OI439" s="25"/>
      <c r="OJ439" s="25"/>
      <c r="OK439" s="25"/>
      <c r="OL439" s="25"/>
      <c r="OM439" s="25"/>
      <c r="ON439" s="25"/>
      <c r="OO439" s="25"/>
      <c r="OP439" s="25"/>
      <c r="OQ439" s="25"/>
      <c r="OR439" s="25"/>
      <c r="OS439" s="25"/>
      <c r="OT439" s="25"/>
      <c r="OU439" s="25"/>
      <c r="OV439" s="25"/>
      <c r="OW439" s="25"/>
      <c r="OX439" s="25"/>
      <c r="OY439" s="25"/>
      <c r="OZ439" s="25"/>
      <c r="PA439" s="25"/>
      <c r="PB439" s="25"/>
      <c r="PC439" s="25"/>
      <c r="PD439" s="25"/>
      <c r="PE439" s="25"/>
      <c r="PF439" s="25"/>
      <c r="PG439" s="25"/>
      <c r="PH439" s="25"/>
      <c r="PI439" s="25"/>
      <c r="PJ439" s="25"/>
      <c r="PK439" s="25"/>
      <c r="PL439" s="25"/>
      <c r="PM439" s="25"/>
      <c r="PN439" s="25"/>
      <c r="PO439" s="25"/>
      <c r="PP439" s="25"/>
      <c r="PQ439" s="25"/>
      <c r="PR439" s="25"/>
      <c r="PS439" s="25"/>
      <c r="PT439" s="25"/>
      <c r="PU439" s="25"/>
      <c r="PV439" s="25"/>
      <c r="PW439" s="25"/>
      <c r="PX439" s="25"/>
      <c r="PY439" s="25"/>
      <c r="PZ439" s="25"/>
      <c r="QA439" s="25"/>
      <c r="QB439" s="25"/>
      <c r="QC439" s="25"/>
      <c r="QD439" s="25"/>
      <c r="QE439" s="25"/>
      <c r="QF439" s="25"/>
      <c r="QG439" s="25"/>
      <c r="QH439" s="25"/>
      <c r="QI439" s="25"/>
      <c r="QJ439" s="25"/>
      <c r="QK439" s="25"/>
      <c r="QL439" s="25"/>
      <c r="QM439" s="25"/>
      <c r="QN439" s="25"/>
      <c r="QO439" s="25"/>
      <c r="QP439" s="25"/>
      <c r="QQ439" s="25"/>
      <c r="QR439" s="25"/>
      <c r="QS439" s="25"/>
      <c r="QT439" s="25"/>
      <c r="QU439" s="25"/>
      <c r="QV439" s="25"/>
      <c r="QW439" s="25"/>
      <c r="QX439" s="25"/>
      <c r="QY439" s="25"/>
      <c r="QZ439" s="25"/>
      <c r="RA439" s="25"/>
      <c r="RB439" s="25"/>
      <c r="RC439" s="25"/>
      <c r="RD439" s="25"/>
      <c r="RE439" s="25"/>
      <c r="RF439" s="25"/>
      <c r="RG439" s="25"/>
      <c r="RH439" s="25"/>
      <c r="RI439" s="25"/>
      <c r="RJ439" s="25"/>
      <c r="RK439" s="25"/>
      <c r="RL439" s="25"/>
      <c r="RM439" s="25"/>
      <c r="RN439" s="25"/>
      <c r="RO439" s="25"/>
      <c r="RP439" s="25"/>
      <c r="RQ439" s="25"/>
      <c r="RR439" s="25"/>
      <c r="RS439" s="25"/>
      <c r="RT439" s="25"/>
      <c r="RU439" s="25"/>
      <c r="RV439" s="25"/>
      <c r="RW439" s="25"/>
      <c r="RX439" s="25"/>
      <c r="RY439" s="25"/>
      <c r="RZ439" s="25"/>
      <c r="SA439" s="25"/>
      <c r="SB439" s="25"/>
      <c r="SC439" s="25"/>
      <c r="SD439" s="25"/>
      <c r="SE439" s="25"/>
      <c r="SF439" s="25"/>
      <c r="SG439" s="25"/>
      <c r="SH439" s="25"/>
      <c r="SI439" s="25"/>
      <c r="SJ439" s="25"/>
      <c r="SK439" s="25"/>
      <c r="SL439" s="25"/>
      <c r="SM439" s="25"/>
      <c r="SN439" s="25"/>
      <c r="SO439" s="25"/>
      <c r="SP439" s="25"/>
      <c r="SQ439" s="25"/>
      <c r="SR439" s="25"/>
      <c r="SS439" s="25"/>
      <c r="ST439" s="25"/>
      <c r="SU439" s="25"/>
      <c r="SV439" s="25"/>
      <c r="SW439" s="25"/>
      <c r="SX439" s="25"/>
      <c r="SY439" s="25"/>
      <c r="SZ439" s="25"/>
      <c r="TA439" s="25"/>
      <c r="TB439" s="25"/>
      <c r="TC439" s="25"/>
      <c r="TD439" s="25"/>
      <c r="TE439" s="25"/>
      <c r="TF439" s="25"/>
      <c r="TG439" s="25"/>
      <c r="TH439" s="25"/>
      <c r="TI439" s="25"/>
      <c r="TJ439" s="25"/>
      <c r="TK439" s="25"/>
      <c r="TL439" s="25"/>
      <c r="TM439" s="25"/>
      <c r="TN439" s="25"/>
      <c r="TO439" s="25"/>
      <c r="TP439" s="25"/>
      <c r="TQ439" s="25"/>
      <c r="TR439" s="25"/>
      <c r="TS439" s="25"/>
      <c r="TT439" s="25"/>
      <c r="TU439" s="25"/>
      <c r="TV439" s="25"/>
      <c r="TW439" s="25"/>
      <c r="TX439" s="25"/>
      <c r="TY439" s="25"/>
      <c r="TZ439" s="25"/>
      <c r="UA439" s="25"/>
      <c r="UB439" s="25"/>
      <c r="UC439" s="25"/>
      <c r="UD439" s="25"/>
      <c r="UE439" s="25"/>
      <c r="UF439" s="25"/>
      <c r="UG439" s="26"/>
    </row>
    <row r="440" spans="1:553" ht="30.75" customHeight="1">
      <c r="A440" s="356" t="s">
        <v>30</v>
      </c>
      <c r="B440" s="385" t="s">
        <v>35</v>
      </c>
      <c r="C440" s="1404" t="s">
        <v>338</v>
      </c>
      <c r="D440" s="1389"/>
      <c r="E440" s="1389"/>
      <c r="F440" s="1390"/>
      <c r="G440" s="386" t="s">
        <v>935</v>
      </c>
      <c r="H440" s="370"/>
      <c r="I440" s="422">
        <f>0.4*4*2</f>
        <v>3.2</v>
      </c>
      <c r="J440" s="368">
        <v>39000</v>
      </c>
      <c r="K440" s="371"/>
      <c r="L440" s="391">
        <f t="shared" si="87"/>
        <v>124800</v>
      </c>
      <c r="M440" s="391"/>
      <c r="N440" s="391"/>
      <c r="O440" s="391"/>
      <c r="P440" s="391"/>
      <c r="Q440" s="1444"/>
      <c r="R440" s="1226"/>
      <c r="S440" s="308"/>
      <c r="T440" s="303"/>
      <c r="U440" s="306"/>
      <c r="V440" s="307"/>
      <c r="W440" s="307"/>
      <c r="X440" s="307"/>
      <c r="Y440" s="307"/>
      <c r="Z440" s="307"/>
      <c r="AA440" s="307"/>
      <c r="AB440" s="307"/>
      <c r="AC440" s="449"/>
      <c r="AD440" s="449"/>
      <c r="AE440" s="449"/>
      <c r="AF440" s="449"/>
      <c r="AG440" s="449"/>
      <c r="AH440" s="449"/>
      <c r="AI440" s="449"/>
      <c r="AJ440" s="449"/>
      <c r="AK440" s="452"/>
      <c r="AL440" s="104"/>
      <c r="AM440" s="32"/>
      <c r="AN440" s="32"/>
      <c r="AO440" s="32"/>
      <c r="AP440" s="32"/>
      <c r="AQ440" s="32"/>
      <c r="AR440" s="32"/>
      <c r="AS440" s="31"/>
      <c r="AT440" s="31"/>
      <c r="AU440" s="31"/>
      <c r="AV440" s="31"/>
      <c r="AW440" s="31"/>
      <c r="AX440" s="31"/>
      <c r="AY440" s="31"/>
      <c r="AZ440" s="31"/>
      <c r="BA440" s="31"/>
      <c r="BB440" s="31"/>
      <c r="BC440" s="31"/>
      <c r="BD440" s="31"/>
      <c r="BE440" s="31"/>
      <c r="BF440" s="31"/>
      <c r="BG440" s="31"/>
      <c r="BH440" s="31"/>
      <c r="BI440" s="31"/>
      <c r="BJ440" s="31"/>
      <c r="BK440" s="31"/>
      <c r="BL440" s="31"/>
      <c r="BM440" s="31"/>
      <c r="BN440" s="31"/>
      <c r="BO440" s="31"/>
      <c r="BP440" s="31"/>
      <c r="BQ440" s="31"/>
      <c r="BR440" s="31"/>
      <c r="BS440" s="31"/>
      <c r="BT440" s="31"/>
      <c r="BU440" s="31"/>
      <c r="BV440" s="31"/>
      <c r="BW440" s="31"/>
      <c r="BX440" s="31"/>
      <c r="BY440" s="31"/>
      <c r="BZ440" s="31"/>
      <c r="CA440" s="31"/>
      <c r="CB440" s="31"/>
      <c r="CC440" s="31"/>
      <c r="CD440" s="31"/>
      <c r="CE440" s="31"/>
      <c r="CF440" s="31"/>
      <c r="CG440" s="31"/>
      <c r="CH440" s="31"/>
      <c r="CI440" s="31"/>
      <c r="CJ440" s="31"/>
      <c r="CK440" s="31"/>
      <c r="CL440" s="31"/>
      <c r="CM440" s="31"/>
      <c r="CN440" s="31"/>
      <c r="CO440" s="31"/>
      <c r="CP440" s="31"/>
      <c r="CQ440" s="31"/>
      <c r="CR440" s="31"/>
      <c r="CS440" s="31"/>
      <c r="CT440" s="31"/>
      <c r="CU440" s="31"/>
      <c r="CV440" s="31"/>
      <c r="CW440" s="31"/>
      <c r="CX440" s="31"/>
      <c r="CY440" s="31"/>
      <c r="CZ440" s="31"/>
      <c r="DA440" s="31"/>
      <c r="DB440" s="31"/>
      <c r="DC440" s="31"/>
      <c r="DD440" s="31"/>
      <c r="DE440" s="31"/>
      <c r="DF440" s="31"/>
      <c r="DG440" s="31"/>
      <c r="DH440" s="31"/>
      <c r="DI440" s="31"/>
      <c r="DJ440" s="31"/>
      <c r="DK440" s="31"/>
      <c r="DL440" s="31"/>
      <c r="DM440" s="31"/>
      <c r="DN440" s="31"/>
      <c r="DO440" s="31"/>
      <c r="DP440" s="31"/>
      <c r="DQ440" s="31"/>
      <c r="DR440" s="31"/>
      <c r="DS440" s="31"/>
      <c r="DT440" s="31"/>
      <c r="DU440" s="31"/>
      <c r="DV440" s="31"/>
      <c r="DW440" s="31"/>
      <c r="DX440" s="31"/>
      <c r="DY440" s="31"/>
      <c r="DZ440" s="31"/>
      <c r="EA440" s="31"/>
      <c r="EB440" s="31"/>
      <c r="EC440" s="31"/>
      <c r="ED440" s="31"/>
      <c r="EE440" s="31"/>
      <c r="EF440" s="31"/>
      <c r="EG440" s="31"/>
      <c r="EH440" s="31"/>
      <c r="EI440" s="31"/>
      <c r="EJ440" s="31"/>
      <c r="EK440" s="31"/>
      <c r="EL440" s="31"/>
      <c r="EM440" s="31"/>
      <c r="EN440" s="31"/>
      <c r="EO440" s="31"/>
      <c r="EP440" s="31"/>
      <c r="EQ440" s="31"/>
      <c r="ER440" s="31"/>
      <c r="ES440" s="31"/>
      <c r="ET440" s="31"/>
      <c r="EU440" s="31"/>
      <c r="EV440" s="31"/>
      <c r="EW440" s="31"/>
      <c r="EX440" s="31"/>
      <c r="EY440" s="31"/>
      <c r="EZ440" s="31"/>
      <c r="FA440" s="31"/>
      <c r="FB440" s="31"/>
      <c r="FC440" s="31"/>
      <c r="FD440" s="31"/>
      <c r="FE440" s="31"/>
      <c r="FF440" s="31"/>
      <c r="FG440" s="31"/>
      <c r="FH440" s="31"/>
      <c r="FI440" s="31"/>
      <c r="FJ440" s="31"/>
      <c r="FK440" s="31"/>
      <c r="FL440" s="31"/>
      <c r="FM440" s="31"/>
      <c r="FN440" s="31"/>
      <c r="FO440" s="31"/>
      <c r="FP440" s="31"/>
      <c r="FQ440" s="31"/>
      <c r="FR440" s="31"/>
      <c r="FS440" s="31"/>
      <c r="FT440" s="31"/>
      <c r="FU440" s="31"/>
      <c r="FV440" s="31"/>
      <c r="FW440" s="31"/>
      <c r="FX440" s="31"/>
      <c r="FY440" s="31"/>
      <c r="FZ440" s="31"/>
      <c r="GA440" s="31"/>
      <c r="GB440" s="31"/>
      <c r="GC440" s="31"/>
      <c r="GD440" s="31"/>
      <c r="GE440" s="31"/>
      <c r="GF440" s="31"/>
      <c r="GG440" s="31"/>
      <c r="GH440" s="31"/>
      <c r="GI440" s="31"/>
      <c r="GJ440" s="31"/>
      <c r="GK440" s="31"/>
      <c r="GL440" s="31"/>
      <c r="GM440" s="31"/>
      <c r="GN440" s="31"/>
      <c r="GO440" s="31"/>
      <c r="GP440" s="31"/>
      <c r="GQ440" s="31"/>
      <c r="GR440" s="31"/>
      <c r="GS440" s="31"/>
      <c r="GT440" s="31"/>
      <c r="GU440" s="31"/>
      <c r="GV440" s="31"/>
      <c r="GW440" s="31"/>
      <c r="GX440" s="31"/>
      <c r="GY440" s="31"/>
      <c r="GZ440" s="31"/>
      <c r="HA440" s="31"/>
      <c r="HB440" s="31"/>
      <c r="HC440" s="31"/>
      <c r="HD440" s="31"/>
      <c r="HE440" s="31"/>
      <c r="HF440" s="31"/>
      <c r="HG440" s="31"/>
      <c r="HH440" s="31"/>
      <c r="HI440" s="31"/>
      <c r="HJ440" s="31"/>
      <c r="HK440" s="31"/>
      <c r="HL440" s="31"/>
      <c r="HM440" s="31"/>
      <c r="HN440" s="31"/>
      <c r="HO440" s="31"/>
      <c r="HP440" s="31"/>
      <c r="HQ440" s="31"/>
      <c r="HR440" s="31"/>
      <c r="HS440" s="31"/>
      <c r="HT440" s="31"/>
      <c r="HU440" s="31"/>
      <c r="HV440" s="31"/>
      <c r="HW440" s="31"/>
      <c r="HX440" s="31"/>
      <c r="HY440" s="31"/>
      <c r="HZ440" s="31"/>
      <c r="IA440" s="31"/>
      <c r="IB440" s="31"/>
      <c r="IC440" s="31"/>
      <c r="ID440" s="31"/>
      <c r="IE440" s="31"/>
      <c r="IF440" s="31"/>
      <c r="IG440" s="31"/>
      <c r="IH440" s="31"/>
      <c r="II440" s="31"/>
      <c r="IJ440" s="31"/>
      <c r="IK440" s="31"/>
      <c r="IL440" s="31"/>
      <c r="IM440" s="31"/>
      <c r="IN440" s="31"/>
      <c r="IO440" s="31"/>
      <c r="IP440" s="31"/>
      <c r="IQ440" s="31"/>
      <c r="IR440" s="31"/>
      <c r="IS440" s="31"/>
      <c r="IT440" s="31"/>
      <c r="IU440" s="31"/>
      <c r="IV440" s="31"/>
      <c r="IW440" s="31"/>
      <c r="IX440" s="31"/>
      <c r="IY440" s="31"/>
      <c r="IZ440" s="31"/>
      <c r="JA440" s="31"/>
      <c r="JB440" s="31"/>
      <c r="JC440" s="31"/>
      <c r="JD440" s="31"/>
      <c r="JE440" s="31"/>
      <c r="JF440" s="31"/>
      <c r="JG440" s="31"/>
      <c r="JH440" s="31"/>
      <c r="JI440" s="31"/>
      <c r="JJ440" s="31"/>
      <c r="JK440" s="31"/>
      <c r="JL440" s="31"/>
      <c r="JM440" s="31"/>
      <c r="JN440" s="31"/>
      <c r="JO440" s="31"/>
      <c r="JP440" s="31"/>
      <c r="JQ440" s="31"/>
      <c r="JR440" s="31"/>
      <c r="JS440" s="31"/>
      <c r="JT440" s="31"/>
      <c r="JU440" s="31"/>
      <c r="JV440" s="31"/>
      <c r="JW440" s="31"/>
      <c r="JX440" s="31"/>
      <c r="JY440" s="31"/>
      <c r="JZ440" s="31"/>
      <c r="KA440" s="31"/>
      <c r="KB440" s="31"/>
      <c r="KC440" s="31"/>
      <c r="KD440" s="31"/>
      <c r="KE440" s="31"/>
      <c r="KF440" s="31"/>
      <c r="KG440" s="31"/>
      <c r="KH440" s="31"/>
      <c r="KI440" s="31"/>
      <c r="KJ440" s="31"/>
      <c r="KK440" s="31"/>
      <c r="KL440" s="31"/>
      <c r="KM440" s="31"/>
      <c r="KN440" s="31"/>
      <c r="KO440" s="31"/>
      <c r="KP440" s="31"/>
      <c r="KQ440" s="31"/>
      <c r="KR440" s="31"/>
      <c r="KS440" s="31"/>
      <c r="KT440" s="31"/>
      <c r="KU440" s="31"/>
      <c r="KV440" s="31"/>
      <c r="KW440" s="31"/>
      <c r="KX440" s="31"/>
      <c r="KY440" s="31"/>
      <c r="KZ440" s="31"/>
      <c r="LA440" s="31"/>
      <c r="LB440" s="31"/>
      <c r="LC440" s="31"/>
      <c r="LD440" s="31"/>
      <c r="LE440" s="31"/>
      <c r="LF440" s="31"/>
      <c r="LG440" s="31"/>
      <c r="LH440" s="31"/>
      <c r="LI440" s="31"/>
      <c r="LJ440" s="31"/>
      <c r="LK440" s="31"/>
      <c r="LL440" s="31"/>
      <c r="LM440" s="31"/>
      <c r="LN440" s="31"/>
      <c r="LO440" s="31"/>
      <c r="LP440" s="31"/>
      <c r="LQ440" s="31"/>
      <c r="LR440" s="31"/>
      <c r="LS440" s="31"/>
      <c r="LT440" s="31"/>
      <c r="LU440" s="31"/>
      <c r="LV440" s="31"/>
      <c r="LW440" s="31"/>
      <c r="LX440" s="31"/>
      <c r="LY440" s="31"/>
      <c r="LZ440" s="31"/>
      <c r="MA440" s="31"/>
      <c r="MB440" s="31"/>
      <c r="MC440" s="31"/>
      <c r="MD440" s="31"/>
      <c r="ME440" s="31"/>
      <c r="MF440" s="31"/>
      <c r="MG440" s="31"/>
      <c r="MH440" s="31"/>
      <c r="MI440" s="31"/>
      <c r="MJ440" s="31"/>
      <c r="MK440" s="31"/>
      <c r="ML440" s="31"/>
      <c r="MM440" s="31"/>
      <c r="MN440" s="31"/>
      <c r="MO440" s="31"/>
      <c r="MP440" s="31"/>
      <c r="MQ440" s="31"/>
      <c r="MR440" s="31"/>
      <c r="MS440" s="31"/>
      <c r="MT440" s="31"/>
      <c r="MU440" s="31"/>
      <c r="MV440" s="31"/>
      <c r="MW440" s="31"/>
      <c r="MX440" s="31"/>
      <c r="MY440" s="31"/>
      <c r="MZ440" s="31"/>
      <c r="NA440" s="31"/>
      <c r="NB440" s="31"/>
      <c r="NC440" s="31"/>
      <c r="ND440" s="31"/>
      <c r="NE440" s="31"/>
      <c r="NF440" s="31"/>
      <c r="NG440" s="31"/>
      <c r="NH440" s="31"/>
      <c r="NI440" s="31"/>
      <c r="NJ440" s="31"/>
      <c r="NK440" s="31"/>
      <c r="NL440" s="31"/>
      <c r="NM440" s="31"/>
      <c r="NN440" s="31"/>
      <c r="NO440" s="31"/>
      <c r="NP440" s="31"/>
      <c r="NQ440" s="31"/>
      <c r="NR440" s="31"/>
      <c r="NS440" s="31"/>
      <c r="NT440" s="31"/>
      <c r="NU440" s="31"/>
      <c r="NV440" s="31"/>
      <c r="NW440" s="31"/>
      <c r="NX440" s="31"/>
      <c r="NY440" s="31"/>
      <c r="NZ440" s="31"/>
      <c r="OA440" s="31"/>
      <c r="OB440" s="31"/>
      <c r="OC440" s="31"/>
      <c r="OD440" s="31"/>
      <c r="OE440" s="31"/>
      <c r="OF440" s="31"/>
      <c r="OG440" s="31"/>
      <c r="OH440" s="31"/>
      <c r="OI440" s="31"/>
      <c r="OJ440" s="31"/>
      <c r="OK440" s="31"/>
      <c r="OL440" s="31"/>
      <c r="OM440" s="31"/>
      <c r="ON440" s="31"/>
      <c r="OO440" s="31"/>
      <c r="OP440" s="31"/>
      <c r="OQ440" s="31"/>
      <c r="OR440" s="31"/>
      <c r="OS440" s="31"/>
      <c r="OT440" s="31"/>
      <c r="OU440" s="31"/>
      <c r="OV440" s="31"/>
      <c r="OW440" s="31"/>
      <c r="OX440" s="31"/>
      <c r="OY440" s="31"/>
      <c r="OZ440" s="31"/>
      <c r="PA440" s="31"/>
      <c r="PB440" s="31"/>
      <c r="PC440" s="31"/>
      <c r="PD440" s="31"/>
      <c r="PE440" s="31"/>
      <c r="PF440" s="31"/>
      <c r="PG440" s="31"/>
      <c r="PH440" s="31"/>
      <c r="PI440" s="31"/>
      <c r="PJ440" s="31"/>
      <c r="PK440" s="31"/>
      <c r="PL440" s="31"/>
      <c r="PM440" s="31"/>
      <c r="PN440" s="31"/>
      <c r="PO440" s="31"/>
      <c r="PP440" s="31"/>
      <c r="PQ440" s="31"/>
      <c r="PR440" s="31"/>
      <c r="PS440" s="31"/>
      <c r="PT440" s="31"/>
      <c r="PU440" s="31"/>
      <c r="PV440" s="31"/>
      <c r="PW440" s="31"/>
      <c r="PX440" s="31"/>
      <c r="PY440" s="31"/>
      <c r="PZ440" s="31"/>
      <c r="QA440" s="31"/>
      <c r="QB440" s="31"/>
      <c r="QC440" s="31"/>
      <c r="QD440" s="31"/>
      <c r="QE440" s="31"/>
      <c r="QF440" s="31"/>
      <c r="QG440" s="31"/>
      <c r="QH440" s="31"/>
      <c r="QI440" s="31"/>
      <c r="QJ440" s="31"/>
      <c r="QK440" s="31"/>
      <c r="QL440" s="31"/>
      <c r="QM440" s="31"/>
      <c r="QN440" s="31"/>
      <c r="QO440" s="31"/>
      <c r="QP440" s="31"/>
      <c r="QQ440" s="31"/>
      <c r="QR440" s="31"/>
      <c r="QS440" s="31"/>
      <c r="QT440" s="31"/>
      <c r="QU440" s="31"/>
      <c r="QV440" s="31"/>
      <c r="QW440" s="31"/>
      <c r="QX440" s="31"/>
      <c r="QY440" s="31"/>
      <c r="QZ440" s="31"/>
      <c r="RA440" s="31"/>
      <c r="RB440" s="31"/>
      <c r="RC440" s="31"/>
      <c r="RD440" s="31"/>
      <c r="RE440" s="31"/>
      <c r="RF440" s="31"/>
      <c r="RG440" s="31"/>
      <c r="RH440" s="31"/>
      <c r="RI440" s="31"/>
      <c r="RJ440" s="31"/>
      <c r="RK440" s="31"/>
      <c r="RL440" s="31"/>
      <c r="RM440" s="31"/>
      <c r="RN440" s="31"/>
      <c r="RO440" s="31"/>
      <c r="RP440" s="31"/>
      <c r="RQ440" s="31"/>
      <c r="RR440" s="31"/>
      <c r="RS440" s="31"/>
      <c r="RT440" s="31"/>
      <c r="RU440" s="31"/>
      <c r="RV440" s="31"/>
      <c r="RW440" s="31"/>
      <c r="RX440" s="31"/>
      <c r="RY440" s="31"/>
      <c r="RZ440" s="31"/>
      <c r="SA440" s="31"/>
      <c r="SB440" s="31"/>
      <c r="SC440" s="31"/>
      <c r="SD440" s="31"/>
      <c r="SE440" s="31"/>
      <c r="SF440" s="31"/>
      <c r="SG440" s="31"/>
      <c r="SH440" s="31"/>
      <c r="SI440" s="31"/>
      <c r="SJ440" s="31"/>
      <c r="SK440" s="31"/>
      <c r="SL440" s="31"/>
      <c r="SM440" s="31"/>
      <c r="SN440" s="31"/>
      <c r="SO440" s="31"/>
      <c r="SP440" s="31"/>
      <c r="SQ440" s="31"/>
      <c r="SR440" s="31"/>
      <c r="SS440" s="31"/>
      <c r="ST440" s="31"/>
      <c r="SU440" s="31"/>
      <c r="SV440" s="31"/>
      <c r="SW440" s="31"/>
      <c r="SX440" s="31"/>
      <c r="SY440" s="31"/>
      <c r="SZ440" s="31"/>
      <c r="TA440" s="31"/>
      <c r="TB440" s="31"/>
      <c r="TC440" s="31"/>
      <c r="TD440" s="31"/>
      <c r="TE440" s="31"/>
      <c r="TF440" s="31"/>
      <c r="TG440" s="31"/>
      <c r="TH440" s="31"/>
      <c r="TI440" s="31"/>
      <c r="TJ440" s="31"/>
      <c r="TK440" s="31"/>
      <c r="TL440" s="31"/>
      <c r="TM440" s="31"/>
      <c r="TN440" s="31"/>
      <c r="TO440" s="31"/>
      <c r="TP440" s="31"/>
      <c r="TQ440" s="31"/>
      <c r="TR440" s="31"/>
      <c r="TS440" s="31"/>
      <c r="TT440" s="31"/>
      <c r="TU440" s="31"/>
      <c r="TV440" s="31"/>
      <c r="TW440" s="31"/>
      <c r="TX440" s="31"/>
      <c r="TY440" s="31"/>
      <c r="TZ440" s="31"/>
      <c r="UA440" s="31"/>
      <c r="UB440" s="31"/>
      <c r="UC440" s="31"/>
      <c r="UD440" s="31"/>
      <c r="UE440" s="31"/>
      <c r="UF440" s="31"/>
      <c r="UG440" s="33"/>
    </row>
    <row r="441" spans="1:553" ht="30.75" customHeight="1">
      <c r="A441" s="356" t="s">
        <v>30</v>
      </c>
      <c r="B441" s="385" t="s">
        <v>35</v>
      </c>
      <c r="C441" s="1404" t="s">
        <v>339</v>
      </c>
      <c r="D441" s="1389"/>
      <c r="E441" s="1389"/>
      <c r="F441" s="1390"/>
      <c r="G441" s="386" t="s">
        <v>935</v>
      </c>
      <c r="H441" s="370"/>
      <c r="I441" s="422">
        <f>0.4*7.02*4</f>
        <v>11.231999999999999</v>
      </c>
      <c r="J441" s="368">
        <v>39000</v>
      </c>
      <c r="K441" s="371"/>
      <c r="L441" s="391">
        <f t="shared" si="87"/>
        <v>438048</v>
      </c>
      <c r="M441" s="391"/>
      <c r="N441" s="391"/>
      <c r="O441" s="391"/>
      <c r="P441" s="391"/>
      <c r="Q441" s="1445"/>
      <c r="R441" s="1226"/>
      <c r="S441" s="308"/>
      <c r="T441" s="303"/>
      <c r="U441" s="306"/>
      <c r="V441" s="307"/>
      <c r="W441" s="307"/>
      <c r="X441" s="307"/>
      <c r="Y441" s="307"/>
      <c r="Z441" s="307"/>
      <c r="AA441" s="307"/>
      <c r="AB441" s="307"/>
      <c r="AC441" s="449"/>
      <c r="AD441" s="449"/>
      <c r="AE441" s="449"/>
      <c r="AF441" s="449"/>
      <c r="AG441" s="449"/>
      <c r="AH441" s="449"/>
      <c r="AI441" s="449"/>
      <c r="AJ441" s="449"/>
      <c r="AK441" s="452"/>
      <c r="AL441" s="104"/>
      <c r="AM441" s="32"/>
      <c r="AN441" s="32"/>
      <c r="AO441" s="32"/>
      <c r="AP441" s="32"/>
      <c r="AQ441" s="32"/>
      <c r="AR441" s="32"/>
      <c r="AS441" s="31"/>
      <c r="AT441" s="31"/>
      <c r="AU441" s="31"/>
      <c r="AV441" s="31"/>
      <c r="AW441" s="31"/>
      <c r="AX441" s="31"/>
      <c r="AY441" s="31"/>
      <c r="AZ441" s="31"/>
      <c r="BA441" s="31"/>
      <c r="BB441" s="31"/>
      <c r="BC441" s="31"/>
      <c r="BD441" s="31"/>
      <c r="BE441" s="31"/>
      <c r="BF441" s="31"/>
      <c r="BG441" s="31"/>
      <c r="BH441" s="31"/>
      <c r="BI441" s="31"/>
      <c r="BJ441" s="31"/>
      <c r="BK441" s="31"/>
      <c r="BL441" s="31"/>
      <c r="BM441" s="31"/>
      <c r="BN441" s="31"/>
      <c r="BO441" s="31"/>
      <c r="BP441" s="31"/>
      <c r="BQ441" s="31"/>
      <c r="BR441" s="31"/>
      <c r="BS441" s="31"/>
      <c r="BT441" s="31"/>
      <c r="BU441" s="31"/>
      <c r="BV441" s="31"/>
      <c r="BW441" s="31"/>
      <c r="BX441" s="31"/>
      <c r="BY441" s="31"/>
      <c r="BZ441" s="31"/>
      <c r="CA441" s="31"/>
      <c r="CB441" s="31"/>
      <c r="CC441" s="31"/>
      <c r="CD441" s="31"/>
      <c r="CE441" s="31"/>
      <c r="CF441" s="31"/>
      <c r="CG441" s="31"/>
      <c r="CH441" s="31"/>
      <c r="CI441" s="31"/>
      <c r="CJ441" s="31"/>
      <c r="CK441" s="31"/>
      <c r="CL441" s="31"/>
      <c r="CM441" s="31"/>
      <c r="CN441" s="31"/>
      <c r="CO441" s="31"/>
      <c r="CP441" s="31"/>
      <c r="CQ441" s="31"/>
      <c r="CR441" s="31"/>
      <c r="CS441" s="31"/>
      <c r="CT441" s="31"/>
      <c r="CU441" s="31"/>
      <c r="CV441" s="31"/>
      <c r="CW441" s="31"/>
      <c r="CX441" s="31"/>
      <c r="CY441" s="31"/>
      <c r="CZ441" s="31"/>
      <c r="DA441" s="31"/>
      <c r="DB441" s="31"/>
      <c r="DC441" s="31"/>
      <c r="DD441" s="31"/>
      <c r="DE441" s="31"/>
      <c r="DF441" s="31"/>
      <c r="DG441" s="31"/>
      <c r="DH441" s="31"/>
      <c r="DI441" s="31"/>
      <c r="DJ441" s="31"/>
      <c r="DK441" s="31"/>
      <c r="DL441" s="31"/>
      <c r="DM441" s="31"/>
      <c r="DN441" s="31"/>
      <c r="DO441" s="31"/>
      <c r="DP441" s="31"/>
      <c r="DQ441" s="31"/>
      <c r="DR441" s="31"/>
      <c r="DS441" s="31"/>
      <c r="DT441" s="31"/>
      <c r="DU441" s="31"/>
      <c r="DV441" s="31"/>
      <c r="DW441" s="31"/>
      <c r="DX441" s="31"/>
      <c r="DY441" s="31"/>
      <c r="DZ441" s="31"/>
      <c r="EA441" s="31"/>
      <c r="EB441" s="31"/>
      <c r="EC441" s="31"/>
      <c r="ED441" s="31"/>
      <c r="EE441" s="31"/>
      <c r="EF441" s="31"/>
      <c r="EG441" s="31"/>
      <c r="EH441" s="31"/>
      <c r="EI441" s="31"/>
      <c r="EJ441" s="31"/>
      <c r="EK441" s="31"/>
      <c r="EL441" s="31"/>
      <c r="EM441" s="31"/>
      <c r="EN441" s="31"/>
      <c r="EO441" s="31"/>
      <c r="EP441" s="31"/>
      <c r="EQ441" s="31"/>
      <c r="ER441" s="31"/>
      <c r="ES441" s="31"/>
      <c r="ET441" s="31"/>
      <c r="EU441" s="31"/>
      <c r="EV441" s="31"/>
      <c r="EW441" s="31"/>
      <c r="EX441" s="31"/>
      <c r="EY441" s="31"/>
      <c r="EZ441" s="31"/>
      <c r="FA441" s="31"/>
      <c r="FB441" s="31"/>
      <c r="FC441" s="31"/>
      <c r="FD441" s="31"/>
      <c r="FE441" s="31"/>
      <c r="FF441" s="31"/>
      <c r="FG441" s="31"/>
      <c r="FH441" s="31"/>
      <c r="FI441" s="31"/>
      <c r="FJ441" s="31"/>
      <c r="FK441" s="31"/>
      <c r="FL441" s="31"/>
      <c r="FM441" s="31"/>
      <c r="FN441" s="31"/>
      <c r="FO441" s="31"/>
      <c r="FP441" s="31"/>
      <c r="FQ441" s="31"/>
      <c r="FR441" s="31"/>
      <c r="FS441" s="31"/>
      <c r="FT441" s="31"/>
      <c r="FU441" s="31"/>
      <c r="FV441" s="31"/>
      <c r="FW441" s="31"/>
      <c r="FX441" s="31"/>
      <c r="FY441" s="31"/>
      <c r="FZ441" s="31"/>
      <c r="GA441" s="31"/>
      <c r="GB441" s="31"/>
      <c r="GC441" s="31"/>
      <c r="GD441" s="31"/>
      <c r="GE441" s="31"/>
      <c r="GF441" s="31"/>
      <c r="GG441" s="31"/>
      <c r="GH441" s="31"/>
      <c r="GI441" s="31"/>
      <c r="GJ441" s="31"/>
      <c r="GK441" s="31"/>
      <c r="GL441" s="31"/>
      <c r="GM441" s="31"/>
      <c r="GN441" s="31"/>
      <c r="GO441" s="31"/>
      <c r="GP441" s="31"/>
      <c r="GQ441" s="31"/>
      <c r="GR441" s="31"/>
      <c r="GS441" s="31"/>
      <c r="GT441" s="31"/>
      <c r="GU441" s="31"/>
      <c r="GV441" s="31"/>
      <c r="GW441" s="31"/>
      <c r="GX441" s="31"/>
      <c r="GY441" s="31"/>
      <c r="GZ441" s="31"/>
      <c r="HA441" s="31"/>
      <c r="HB441" s="31"/>
      <c r="HC441" s="31"/>
      <c r="HD441" s="31"/>
      <c r="HE441" s="31"/>
      <c r="HF441" s="31"/>
      <c r="HG441" s="31"/>
      <c r="HH441" s="31"/>
      <c r="HI441" s="31"/>
      <c r="HJ441" s="31"/>
      <c r="HK441" s="31"/>
      <c r="HL441" s="31"/>
      <c r="HM441" s="31"/>
      <c r="HN441" s="31"/>
      <c r="HO441" s="31"/>
      <c r="HP441" s="31"/>
      <c r="HQ441" s="31"/>
      <c r="HR441" s="31"/>
      <c r="HS441" s="31"/>
      <c r="HT441" s="31"/>
      <c r="HU441" s="31"/>
      <c r="HV441" s="31"/>
      <c r="HW441" s="31"/>
      <c r="HX441" s="31"/>
      <c r="HY441" s="31"/>
      <c r="HZ441" s="31"/>
      <c r="IA441" s="31"/>
      <c r="IB441" s="31"/>
      <c r="IC441" s="31"/>
      <c r="ID441" s="31"/>
      <c r="IE441" s="31"/>
      <c r="IF441" s="31"/>
      <c r="IG441" s="31"/>
      <c r="IH441" s="31"/>
      <c r="II441" s="31"/>
      <c r="IJ441" s="31"/>
      <c r="IK441" s="31"/>
      <c r="IL441" s="31"/>
      <c r="IM441" s="31"/>
      <c r="IN441" s="31"/>
      <c r="IO441" s="31"/>
      <c r="IP441" s="31"/>
      <c r="IQ441" s="31"/>
      <c r="IR441" s="31"/>
      <c r="IS441" s="31"/>
      <c r="IT441" s="31"/>
      <c r="IU441" s="31"/>
      <c r="IV441" s="31"/>
      <c r="IW441" s="31"/>
      <c r="IX441" s="31"/>
      <c r="IY441" s="31"/>
      <c r="IZ441" s="31"/>
      <c r="JA441" s="31"/>
      <c r="JB441" s="31"/>
      <c r="JC441" s="31"/>
      <c r="JD441" s="31"/>
      <c r="JE441" s="31"/>
      <c r="JF441" s="31"/>
      <c r="JG441" s="31"/>
      <c r="JH441" s="31"/>
      <c r="JI441" s="31"/>
      <c r="JJ441" s="31"/>
      <c r="JK441" s="31"/>
      <c r="JL441" s="31"/>
      <c r="JM441" s="31"/>
      <c r="JN441" s="31"/>
      <c r="JO441" s="31"/>
      <c r="JP441" s="31"/>
      <c r="JQ441" s="31"/>
      <c r="JR441" s="31"/>
      <c r="JS441" s="31"/>
      <c r="JT441" s="31"/>
      <c r="JU441" s="31"/>
      <c r="JV441" s="31"/>
      <c r="JW441" s="31"/>
      <c r="JX441" s="31"/>
      <c r="JY441" s="31"/>
      <c r="JZ441" s="31"/>
      <c r="KA441" s="31"/>
      <c r="KB441" s="31"/>
      <c r="KC441" s="31"/>
      <c r="KD441" s="31"/>
      <c r="KE441" s="31"/>
      <c r="KF441" s="31"/>
      <c r="KG441" s="31"/>
      <c r="KH441" s="31"/>
      <c r="KI441" s="31"/>
      <c r="KJ441" s="31"/>
      <c r="KK441" s="31"/>
      <c r="KL441" s="31"/>
      <c r="KM441" s="31"/>
      <c r="KN441" s="31"/>
      <c r="KO441" s="31"/>
      <c r="KP441" s="31"/>
      <c r="KQ441" s="31"/>
      <c r="KR441" s="31"/>
      <c r="KS441" s="31"/>
      <c r="KT441" s="31"/>
      <c r="KU441" s="31"/>
      <c r="KV441" s="31"/>
      <c r="KW441" s="31"/>
      <c r="KX441" s="31"/>
      <c r="KY441" s="31"/>
      <c r="KZ441" s="31"/>
      <c r="LA441" s="31"/>
      <c r="LB441" s="31"/>
      <c r="LC441" s="31"/>
      <c r="LD441" s="31"/>
      <c r="LE441" s="31"/>
      <c r="LF441" s="31"/>
      <c r="LG441" s="31"/>
      <c r="LH441" s="31"/>
      <c r="LI441" s="31"/>
      <c r="LJ441" s="31"/>
      <c r="LK441" s="31"/>
      <c r="LL441" s="31"/>
      <c r="LM441" s="31"/>
      <c r="LN441" s="31"/>
      <c r="LO441" s="31"/>
      <c r="LP441" s="31"/>
      <c r="LQ441" s="31"/>
      <c r="LR441" s="31"/>
      <c r="LS441" s="31"/>
      <c r="LT441" s="31"/>
      <c r="LU441" s="31"/>
      <c r="LV441" s="31"/>
      <c r="LW441" s="31"/>
      <c r="LX441" s="31"/>
      <c r="LY441" s="31"/>
      <c r="LZ441" s="31"/>
      <c r="MA441" s="31"/>
      <c r="MB441" s="31"/>
      <c r="MC441" s="31"/>
      <c r="MD441" s="31"/>
      <c r="ME441" s="31"/>
      <c r="MF441" s="31"/>
      <c r="MG441" s="31"/>
      <c r="MH441" s="31"/>
      <c r="MI441" s="31"/>
      <c r="MJ441" s="31"/>
      <c r="MK441" s="31"/>
      <c r="ML441" s="31"/>
      <c r="MM441" s="31"/>
      <c r="MN441" s="31"/>
      <c r="MO441" s="31"/>
      <c r="MP441" s="31"/>
      <c r="MQ441" s="31"/>
      <c r="MR441" s="31"/>
      <c r="MS441" s="31"/>
      <c r="MT441" s="31"/>
      <c r="MU441" s="31"/>
      <c r="MV441" s="31"/>
      <c r="MW441" s="31"/>
      <c r="MX441" s="31"/>
      <c r="MY441" s="31"/>
      <c r="MZ441" s="31"/>
      <c r="NA441" s="31"/>
      <c r="NB441" s="31"/>
      <c r="NC441" s="31"/>
      <c r="ND441" s="31"/>
      <c r="NE441" s="31"/>
      <c r="NF441" s="31"/>
      <c r="NG441" s="31"/>
      <c r="NH441" s="31"/>
      <c r="NI441" s="31"/>
      <c r="NJ441" s="31"/>
      <c r="NK441" s="31"/>
      <c r="NL441" s="31"/>
      <c r="NM441" s="31"/>
      <c r="NN441" s="31"/>
      <c r="NO441" s="31"/>
      <c r="NP441" s="31"/>
      <c r="NQ441" s="31"/>
      <c r="NR441" s="31"/>
      <c r="NS441" s="31"/>
      <c r="NT441" s="31"/>
      <c r="NU441" s="31"/>
      <c r="NV441" s="31"/>
      <c r="NW441" s="31"/>
      <c r="NX441" s="31"/>
      <c r="NY441" s="31"/>
      <c r="NZ441" s="31"/>
      <c r="OA441" s="31"/>
      <c r="OB441" s="31"/>
      <c r="OC441" s="31"/>
      <c r="OD441" s="31"/>
      <c r="OE441" s="31"/>
      <c r="OF441" s="31"/>
      <c r="OG441" s="31"/>
      <c r="OH441" s="31"/>
      <c r="OI441" s="31"/>
      <c r="OJ441" s="31"/>
      <c r="OK441" s="31"/>
      <c r="OL441" s="31"/>
      <c r="OM441" s="31"/>
      <c r="ON441" s="31"/>
      <c r="OO441" s="31"/>
      <c r="OP441" s="31"/>
      <c r="OQ441" s="31"/>
      <c r="OR441" s="31"/>
      <c r="OS441" s="31"/>
      <c r="OT441" s="31"/>
      <c r="OU441" s="31"/>
      <c r="OV441" s="31"/>
      <c r="OW441" s="31"/>
      <c r="OX441" s="31"/>
      <c r="OY441" s="31"/>
      <c r="OZ441" s="31"/>
      <c r="PA441" s="31"/>
      <c r="PB441" s="31"/>
      <c r="PC441" s="31"/>
      <c r="PD441" s="31"/>
      <c r="PE441" s="31"/>
      <c r="PF441" s="31"/>
      <c r="PG441" s="31"/>
      <c r="PH441" s="31"/>
      <c r="PI441" s="31"/>
      <c r="PJ441" s="31"/>
      <c r="PK441" s="31"/>
      <c r="PL441" s="31"/>
      <c r="PM441" s="31"/>
      <c r="PN441" s="31"/>
      <c r="PO441" s="31"/>
      <c r="PP441" s="31"/>
      <c r="PQ441" s="31"/>
      <c r="PR441" s="31"/>
      <c r="PS441" s="31"/>
      <c r="PT441" s="31"/>
      <c r="PU441" s="31"/>
      <c r="PV441" s="31"/>
      <c r="PW441" s="31"/>
      <c r="PX441" s="31"/>
      <c r="PY441" s="31"/>
      <c r="PZ441" s="31"/>
      <c r="QA441" s="31"/>
      <c r="QB441" s="31"/>
      <c r="QC441" s="31"/>
      <c r="QD441" s="31"/>
      <c r="QE441" s="31"/>
      <c r="QF441" s="31"/>
      <c r="QG441" s="31"/>
      <c r="QH441" s="31"/>
      <c r="QI441" s="31"/>
      <c r="QJ441" s="31"/>
      <c r="QK441" s="31"/>
      <c r="QL441" s="31"/>
      <c r="QM441" s="31"/>
      <c r="QN441" s="31"/>
      <c r="QO441" s="31"/>
      <c r="QP441" s="31"/>
      <c r="QQ441" s="31"/>
      <c r="QR441" s="31"/>
      <c r="QS441" s="31"/>
      <c r="QT441" s="31"/>
      <c r="QU441" s="31"/>
      <c r="QV441" s="31"/>
      <c r="QW441" s="31"/>
      <c r="QX441" s="31"/>
      <c r="QY441" s="31"/>
      <c r="QZ441" s="31"/>
      <c r="RA441" s="31"/>
      <c r="RB441" s="31"/>
      <c r="RC441" s="31"/>
      <c r="RD441" s="31"/>
      <c r="RE441" s="31"/>
      <c r="RF441" s="31"/>
      <c r="RG441" s="31"/>
      <c r="RH441" s="31"/>
      <c r="RI441" s="31"/>
      <c r="RJ441" s="31"/>
      <c r="RK441" s="31"/>
      <c r="RL441" s="31"/>
      <c r="RM441" s="31"/>
      <c r="RN441" s="31"/>
      <c r="RO441" s="31"/>
      <c r="RP441" s="31"/>
      <c r="RQ441" s="31"/>
      <c r="RR441" s="31"/>
      <c r="RS441" s="31"/>
      <c r="RT441" s="31"/>
      <c r="RU441" s="31"/>
      <c r="RV441" s="31"/>
      <c r="RW441" s="31"/>
      <c r="RX441" s="31"/>
      <c r="RY441" s="31"/>
      <c r="RZ441" s="31"/>
      <c r="SA441" s="31"/>
      <c r="SB441" s="31"/>
      <c r="SC441" s="31"/>
      <c r="SD441" s="31"/>
      <c r="SE441" s="31"/>
      <c r="SF441" s="31"/>
      <c r="SG441" s="31"/>
      <c r="SH441" s="31"/>
      <c r="SI441" s="31"/>
      <c r="SJ441" s="31"/>
      <c r="SK441" s="31"/>
      <c r="SL441" s="31"/>
      <c r="SM441" s="31"/>
      <c r="SN441" s="31"/>
      <c r="SO441" s="31"/>
      <c r="SP441" s="31"/>
      <c r="SQ441" s="31"/>
      <c r="SR441" s="31"/>
      <c r="SS441" s="31"/>
      <c r="ST441" s="31"/>
      <c r="SU441" s="31"/>
      <c r="SV441" s="31"/>
      <c r="SW441" s="31"/>
      <c r="SX441" s="31"/>
      <c r="SY441" s="31"/>
      <c r="SZ441" s="31"/>
      <c r="TA441" s="31"/>
      <c r="TB441" s="31"/>
      <c r="TC441" s="31"/>
      <c r="TD441" s="31"/>
      <c r="TE441" s="31"/>
      <c r="TF441" s="31"/>
      <c r="TG441" s="31"/>
      <c r="TH441" s="31"/>
      <c r="TI441" s="31"/>
      <c r="TJ441" s="31"/>
      <c r="TK441" s="31"/>
      <c r="TL441" s="31"/>
      <c r="TM441" s="31"/>
      <c r="TN441" s="31"/>
      <c r="TO441" s="31"/>
      <c r="TP441" s="31"/>
      <c r="TQ441" s="31"/>
      <c r="TR441" s="31"/>
      <c r="TS441" s="31"/>
      <c r="TT441" s="31"/>
      <c r="TU441" s="31"/>
      <c r="TV441" s="31"/>
      <c r="TW441" s="31"/>
      <c r="TX441" s="31"/>
      <c r="TY441" s="31"/>
      <c r="TZ441" s="31"/>
      <c r="UA441" s="31"/>
      <c r="UB441" s="31"/>
      <c r="UC441" s="31"/>
      <c r="UD441" s="31"/>
      <c r="UE441" s="31"/>
      <c r="UF441" s="31"/>
      <c r="UG441" s="33"/>
    </row>
    <row r="442" spans="1:553" ht="30.75" customHeight="1">
      <c r="A442" s="356" t="s">
        <v>30</v>
      </c>
      <c r="B442" s="385" t="s">
        <v>35</v>
      </c>
      <c r="C442" s="1404" t="s">
        <v>340</v>
      </c>
      <c r="D442" s="1389"/>
      <c r="E442" s="1389"/>
      <c r="F442" s="1390"/>
      <c r="G442" s="386" t="s">
        <v>935</v>
      </c>
      <c r="H442" s="370"/>
      <c r="I442" s="834">
        <f t="shared" ref="I442:I443" si="89">0.4*1.53*2</f>
        <v>1.2240000000000002</v>
      </c>
      <c r="J442" s="368">
        <v>39000</v>
      </c>
      <c r="K442" s="371"/>
      <c r="L442" s="391">
        <f t="shared" si="87"/>
        <v>47736</v>
      </c>
      <c r="M442" s="395"/>
      <c r="N442" s="395"/>
      <c r="O442" s="366"/>
      <c r="P442" s="396"/>
      <c r="Q442" s="473"/>
      <c r="R442" s="1039"/>
      <c r="S442" s="308"/>
      <c r="T442" s="303"/>
      <c r="U442" s="306"/>
      <c r="V442" s="307"/>
      <c r="W442" s="307"/>
      <c r="X442" s="307"/>
      <c r="Y442" s="307"/>
      <c r="Z442" s="307"/>
      <c r="AA442" s="307"/>
      <c r="AB442" s="307"/>
      <c r="AC442" s="449"/>
      <c r="AD442" s="449"/>
      <c r="AE442" s="449"/>
      <c r="AF442" s="449"/>
      <c r="AG442" s="452"/>
      <c r="AH442" s="452"/>
      <c r="AI442" s="452"/>
      <c r="AJ442" s="452"/>
      <c r="AK442" s="452"/>
      <c r="AL442" s="104"/>
      <c r="AM442" s="32"/>
      <c r="AN442" s="32"/>
      <c r="AO442" s="32"/>
      <c r="AP442" s="32"/>
      <c r="AQ442" s="31"/>
      <c r="AR442" s="31"/>
      <c r="AS442" s="31"/>
      <c r="AT442" s="31"/>
      <c r="AU442" s="31"/>
      <c r="AV442" s="31"/>
      <c r="AW442" s="31"/>
      <c r="AX442" s="31"/>
      <c r="AY442" s="31"/>
      <c r="AZ442" s="31"/>
      <c r="BA442" s="31"/>
      <c r="BB442" s="31"/>
      <c r="BC442" s="31"/>
      <c r="BD442" s="31"/>
      <c r="BE442" s="31"/>
      <c r="BF442" s="31"/>
      <c r="BG442" s="31"/>
      <c r="BH442" s="31"/>
      <c r="BI442" s="31"/>
      <c r="BJ442" s="31"/>
      <c r="BK442" s="31"/>
      <c r="BL442" s="31"/>
      <c r="BM442" s="25"/>
      <c r="BN442" s="25"/>
      <c r="BO442" s="25"/>
      <c r="BP442" s="25"/>
      <c r="BQ442" s="25"/>
      <c r="BR442" s="25"/>
      <c r="BS442" s="25"/>
      <c r="BT442" s="25"/>
      <c r="BU442" s="25"/>
      <c r="BV442" s="25"/>
      <c r="BW442" s="25"/>
      <c r="BX442" s="25"/>
      <c r="BY442" s="25"/>
      <c r="BZ442" s="25"/>
      <c r="CA442" s="25"/>
      <c r="CB442" s="25"/>
      <c r="CC442" s="25"/>
      <c r="CD442" s="25"/>
      <c r="CE442" s="25"/>
      <c r="CF442" s="25"/>
      <c r="CG442" s="25"/>
      <c r="CH442" s="25"/>
      <c r="CI442" s="25"/>
      <c r="CJ442" s="25"/>
      <c r="CK442" s="25"/>
      <c r="CL442" s="25"/>
      <c r="CM442" s="25"/>
      <c r="CN442" s="25"/>
      <c r="CO442" s="25"/>
      <c r="CP442" s="25"/>
      <c r="CQ442" s="25"/>
      <c r="CR442" s="25"/>
      <c r="CS442" s="25"/>
      <c r="CT442" s="25"/>
      <c r="CU442" s="25"/>
      <c r="CV442" s="25"/>
      <c r="CW442" s="25"/>
      <c r="CX442" s="25"/>
      <c r="CY442" s="25"/>
      <c r="CZ442" s="25"/>
      <c r="DA442" s="25"/>
      <c r="DB442" s="25"/>
      <c r="DC442" s="25"/>
      <c r="DD442" s="25"/>
      <c r="DE442" s="25"/>
      <c r="DF442" s="25"/>
      <c r="DG442" s="25"/>
      <c r="DH442" s="25"/>
      <c r="DI442" s="25"/>
      <c r="DJ442" s="25"/>
      <c r="DK442" s="25"/>
      <c r="DL442" s="25"/>
      <c r="DM442" s="25"/>
      <c r="DN442" s="25"/>
      <c r="DO442" s="25"/>
      <c r="DP442" s="25"/>
      <c r="DQ442" s="25"/>
      <c r="DR442" s="25"/>
      <c r="DS442" s="25"/>
      <c r="DT442" s="25"/>
      <c r="DU442" s="25"/>
      <c r="DV442" s="25"/>
      <c r="DW442" s="25"/>
      <c r="DX442" s="25"/>
      <c r="DY442" s="25"/>
      <c r="DZ442" s="25"/>
      <c r="EA442" s="25"/>
      <c r="EB442" s="25"/>
      <c r="EC442" s="25"/>
      <c r="ED442" s="25"/>
      <c r="EE442" s="25"/>
      <c r="EF442" s="25"/>
      <c r="EG442" s="25"/>
      <c r="EH442" s="25"/>
      <c r="EI442" s="25"/>
      <c r="EJ442" s="25"/>
      <c r="EK442" s="25"/>
      <c r="EL442" s="25"/>
      <c r="EM442" s="25"/>
      <c r="EN442" s="25"/>
      <c r="EO442" s="25"/>
      <c r="EP442" s="25"/>
      <c r="EQ442" s="25"/>
      <c r="ER442" s="25"/>
      <c r="ES442" s="25"/>
      <c r="ET442" s="25"/>
      <c r="EU442" s="25"/>
      <c r="EV442" s="25"/>
      <c r="EW442" s="25"/>
      <c r="EX442" s="25"/>
      <c r="EY442" s="25"/>
      <c r="EZ442" s="25"/>
      <c r="FA442" s="25"/>
      <c r="FB442" s="25"/>
      <c r="FC442" s="25"/>
      <c r="FD442" s="25"/>
      <c r="FE442" s="25"/>
      <c r="FF442" s="25"/>
      <c r="FG442" s="25"/>
      <c r="FH442" s="25"/>
      <c r="FI442" s="25"/>
      <c r="FJ442" s="25"/>
      <c r="FK442" s="25"/>
      <c r="FL442" s="25"/>
      <c r="FM442" s="25"/>
      <c r="FN442" s="25"/>
      <c r="FO442" s="25"/>
      <c r="FP442" s="25"/>
      <c r="FQ442" s="25"/>
      <c r="FR442" s="25"/>
      <c r="FS442" s="25"/>
      <c r="FT442" s="25"/>
      <c r="FU442" s="25"/>
      <c r="FV442" s="25"/>
      <c r="FW442" s="25"/>
      <c r="FX442" s="25"/>
      <c r="FY442" s="25"/>
      <c r="FZ442" s="25"/>
      <c r="GA442" s="25"/>
      <c r="GB442" s="25"/>
      <c r="GC442" s="25"/>
      <c r="GD442" s="25"/>
      <c r="GE442" s="25"/>
      <c r="GF442" s="25"/>
      <c r="GG442" s="25"/>
      <c r="GH442" s="25"/>
      <c r="GI442" s="25"/>
      <c r="GJ442" s="25"/>
      <c r="GK442" s="25"/>
      <c r="GL442" s="25"/>
      <c r="GM442" s="25"/>
      <c r="GN442" s="25"/>
      <c r="GO442" s="25"/>
      <c r="GP442" s="25"/>
      <c r="GQ442" s="25"/>
      <c r="GR442" s="25"/>
      <c r="GS442" s="25"/>
      <c r="GT442" s="25"/>
      <c r="GU442" s="25"/>
      <c r="GV442" s="25"/>
      <c r="GW442" s="25"/>
      <c r="GX442" s="25"/>
      <c r="GY442" s="25"/>
      <c r="GZ442" s="25"/>
      <c r="HA442" s="25"/>
      <c r="HB442" s="25"/>
      <c r="HC442" s="25"/>
      <c r="HD442" s="25"/>
      <c r="HE442" s="25"/>
      <c r="HF442" s="25"/>
      <c r="HG442" s="25"/>
      <c r="HH442" s="25"/>
      <c r="HI442" s="25"/>
      <c r="HJ442" s="25"/>
      <c r="HK442" s="25"/>
      <c r="HL442" s="25"/>
      <c r="HM442" s="25"/>
      <c r="HN442" s="25"/>
      <c r="HO442" s="25"/>
      <c r="HP442" s="25"/>
      <c r="HQ442" s="25"/>
      <c r="HR442" s="25"/>
      <c r="HS442" s="25"/>
      <c r="HT442" s="25"/>
      <c r="HU442" s="25"/>
      <c r="HV442" s="25"/>
      <c r="HW442" s="25"/>
      <c r="HX442" s="25"/>
      <c r="HY442" s="25"/>
      <c r="HZ442" s="25"/>
      <c r="IA442" s="25"/>
      <c r="IB442" s="25"/>
      <c r="IC442" s="25"/>
      <c r="ID442" s="25"/>
      <c r="IE442" s="25"/>
      <c r="IF442" s="25"/>
      <c r="IG442" s="25"/>
      <c r="IH442" s="25"/>
      <c r="II442" s="25"/>
      <c r="IJ442" s="25"/>
      <c r="IK442" s="25"/>
      <c r="IL442" s="25"/>
      <c r="IM442" s="25"/>
      <c r="IN442" s="25"/>
      <c r="IO442" s="25"/>
      <c r="IP442" s="25"/>
      <c r="IQ442" s="25"/>
      <c r="IR442" s="25"/>
      <c r="IS442" s="25"/>
      <c r="IT442" s="25"/>
      <c r="IU442" s="25"/>
      <c r="IV442" s="25"/>
      <c r="IW442" s="25"/>
      <c r="IX442" s="25"/>
      <c r="IY442" s="25"/>
      <c r="IZ442" s="25"/>
      <c r="JA442" s="25"/>
      <c r="JB442" s="25"/>
      <c r="JC442" s="25"/>
      <c r="JD442" s="25"/>
      <c r="JE442" s="25"/>
      <c r="JF442" s="25"/>
      <c r="JG442" s="25"/>
      <c r="JH442" s="25"/>
      <c r="JI442" s="25"/>
      <c r="JJ442" s="25"/>
      <c r="JK442" s="25"/>
      <c r="JL442" s="25"/>
      <c r="JM442" s="25"/>
      <c r="JN442" s="25"/>
      <c r="JO442" s="25"/>
      <c r="JP442" s="25"/>
      <c r="JQ442" s="25"/>
      <c r="JR442" s="25"/>
      <c r="JS442" s="25"/>
      <c r="JT442" s="25"/>
      <c r="JU442" s="25"/>
      <c r="JV442" s="25"/>
      <c r="JW442" s="25"/>
      <c r="JX442" s="25"/>
      <c r="JY442" s="25"/>
      <c r="JZ442" s="25"/>
      <c r="KA442" s="25"/>
      <c r="KB442" s="25"/>
      <c r="KC442" s="25"/>
      <c r="KD442" s="25"/>
      <c r="KE442" s="25"/>
      <c r="KF442" s="25"/>
      <c r="KG442" s="25"/>
      <c r="KH442" s="25"/>
      <c r="KI442" s="25"/>
      <c r="KJ442" s="25"/>
      <c r="KK442" s="25"/>
      <c r="KL442" s="25"/>
      <c r="KM442" s="25"/>
      <c r="KN442" s="25"/>
      <c r="KO442" s="25"/>
      <c r="KP442" s="25"/>
      <c r="KQ442" s="25"/>
      <c r="KR442" s="25"/>
      <c r="KS442" s="25"/>
      <c r="KT442" s="25"/>
      <c r="KU442" s="25"/>
      <c r="KV442" s="25"/>
      <c r="KW442" s="25"/>
      <c r="KX442" s="25"/>
      <c r="KY442" s="25"/>
      <c r="KZ442" s="25"/>
      <c r="LA442" s="25"/>
      <c r="LB442" s="25"/>
      <c r="LC442" s="25"/>
      <c r="LD442" s="25"/>
      <c r="LE442" s="25"/>
      <c r="LF442" s="25"/>
      <c r="LG442" s="25"/>
      <c r="LH442" s="25"/>
      <c r="LI442" s="25"/>
      <c r="LJ442" s="25"/>
      <c r="LK442" s="25"/>
      <c r="LL442" s="25"/>
      <c r="LM442" s="25"/>
      <c r="LN442" s="25"/>
      <c r="LO442" s="25"/>
      <c r="LP442" s="25"/>
      <c r="LQ442" s="25"/>
      <c r="LR442" s="25"/>
      <c r="LS442" s="25"/>
      <c r="LT442" s="25"/>
      <c r="LU442" s="25"/>
      <c r="LV442" s="25"/>
      <c r="LW442" s="25"/>
      <c r="LX442" s="25"/>
      <c r="LY442" s="25"/>
      <c r="LZ442" s="25"/>
      <c r="MA442" s="25"/>
      <c r="MB442" s="25"/>
      <c r="MC442" s="25"/>
      <c r="MD442" s="25"/>
      <c r="ME442" s="25"/>
      <c r="MF442" s="25"/>
      <c r="MG442" s="25"/>
      <c r="MH442" s="25"/>
      <c r="MI442" s="25"/>
      <c r="MJ442" s="25"/>
      <c r="MK442" s="25"/>
      <c r="ML442" s="25"/>
      <c r="MM442" s="25"/>
      <c r="MN442" s="25"/>
      <c r="MO442" s="25"/>
      <c r="MP442" s="25"/>
      <c r="MQ442" s="25"/>
      <c r="MR442" s="25"/>
      <c r="MS442" s="25"/>
      <c r="MT442" s="25"/>
      <c r="MU442" s="25"/>
      <c r="MV442" s="25"/>
      <c r="MW442" s="25"/>
      <c r="MX442" s="25"/>
      <c r="MY442" s="25"/>
      <c r="MZ442" s="25"/>
      <c r="NA442" s="25"/>
      <c r="NB442" s="25"/>
      <c r="NC442" s="25"/>
      <c r="ND442" s="25"/>
      <c r="NE442" s="25"/>
      <c r="NF442" s="25"/>
      <c r="NG442" s="25"/>
      <c r="NH442" s="25"/>
      <c r="NI442" s="25"/>
      <c r="NJ442" s="25"/>
      <c r="NK442" s="25"/>
      <c r="NL442" s="25"/>
      <c r="NM442" s="25"/>
      <c r="NN442" s="25"/>
      <c r="NO442" s="25"/>
      <c r="NP442" s="25"/>
      <c r="NQ442" s="25"/>
      <c r="NR442" s="25"/>
      <c r="NS442" s="25"/>
      <c r="NT442" s="25"/>
      <c r="NU442" s="25"/>
      <c r="NV442" s="25"/>
      <c r="NW442" s="25"/>
      <c r="NX442" s="25"/>
      <c r="NY442" s="25"/>
      <c r="NZ442" s="25"/>
      <c r="OA442" s="25"/>
      <c r="OB442" s="25"/>
      <c r="OC442" s="25"/>
      <c r="OD442" s="25"/>
      <c r="OE442" s="25"/>
      <c r="OF442" s="25"/>
      <c r="OG442" s="25"/>
      <c r="OH442" s="25"/>
      <c r="OI442" s="25"/>
      <c r="OJ442" s="25"/>
      <c r="OK442" s="25"/>
      <c r="OL442" s="25"/>
      <c r="OM442" s="25"/>
      <c r="ON442" s="25"/>
      <c r="OO442" s="25"/>
      <c r="OP442" s="25"/>
      <c r="OQ442" s="25"/>
      <c r="OR442" s="25"/>
      <c r="OS442" s="25"/>
      <c r="OT442" s="25"/>
      <c r="OU442" s="25"/>
      <c r="OV442" s="25"/>
      <c r="OW442" s="25"/>
      <c r="OX442" s="25"/>
      <c r="OY442" s="25"/>
      <c r="OZ442" s="25"/>
      <c r="PA442" s="25"/>
      <c r="PB442" s="25"/>
      <c r="PC442" s="25"/>
      <c r="PD442" s="25"/>
      <c r="PE442" s="25"/>
      <c r="PF442" s="25"/>
      <c r="PG442" s="25"/>
      <c r="PH442" s="25"/>
      <c r="PI442" s="25"/>
      <c r="PJ442" s="25"/>
      <c r="PK442" s="25"/>
      <c r="PL442" s="25"/>
      <c r="PM442" s="25"/>
      <c r="PN442" s="25"/>
      <c r="PO442" s="25"/>
      <c r="PP442" s="25"/>
      <c r="PQ442" s="25"/>
      <c r="PR442" s="25"/>
      <c r="PS442" s="25"/>
      <c r="PT442" s="25"/>
      <c r="PU442" s="25"/>
      <c r="PV442" s="25"/>
      <c r="PW442" s="25"/>
      <c r="PX442" s="25"/>
      <c r="PY442" s="25"/>
      <c r="PZ442" s="25"/>
      <c r="QA442" s="25"/>
      <c r="QB442" s="25"/>
      <c r="QC442" s="25"/>
      <c r="QD442" s="25"/>
      <c r="QE442" s="25"/>
      <c r="QF442" s="25"/>
      <c r="QG442" s="25"/>
      <c r="QH442" s="25"/>
      <c r="QI442" s="25"/>
      <c r="QJ442" s="25"/>
      <c r="QK442" s="25"/>
      <c r="QL442" s="25"/>
      <c r="QM442" s="25"/>
      <c r="QN442" s="25"/>
      <c r="QO442" s="25"/>
      <c r="QP442" s="25"/>
      <c r="QQ442" s="25"/>
      <c r="QR442" s="25"/>
      <c r="QS442" s="25"/>
      <c r="QT442" s="25"/>
      <c r="QU442" s="25"/>
      <c r="QV442" s="25"/>
      <c r="QW442" s="25"/>
      <c r="QX442" s="25"/>
      <c r="QY442" s="25"/>
      <c r="QZ442" s="25"/>
      <c r="RA442" s="25"/>
      <c r="RB442" s="25"/>
      <c r="RC442" s="25"/>
      <c r="RD442" s="25"/>
      <c r="RE442" s="25"/>
      <c r="RF442" s="25"/>
      <c r="RG442" s="25"/>
      <c r="RH442" s="25"/>
      <c r="RI442" s="25"/>
      <c r="RJ442" s="25"/>
      <c r="RK442" s="25"/>
      <c r="RL442" s="25"/>
      <c r="RM442" s="25"/>
      <c r="RN442" s="25"/>
      <c r="RO442" s="25"/>
      <c r="RP442" s="25"/>
      <c r="RQ442" s="25"/>
      <c r="RR442" s="25"/>
      <c r="RS442" s="25"/>
      <c r="RT442" s="25"/>
      <c r="RU442" s="25"/>
      <c r="RV442" s="25"/>
      <c r="RW442" s="25"/>
      <c r="RX442" s="25"/>
      <c r="RY442" s="25"/>
      <c r="RZ442" s="25"/>
      <c r="SA442" s="25"/>
      <c r="SB442" s="25"/>
      <c r="SC442" s="25"/>
      <c r="SD442" s="25"/>
      <c r="SE442" s="25"/>
      <c r="SF442" s="25"/>
      <c r="SG442" s="25"/>
      <c r="SH442" s="25"/>
      <c r="SI442" s="25"/>
      <c r="SJ442" s="25"/>
      <c r="SK442" s="25"/>
      <c r="SL442" s="25"/>
      <c r="SM442" s="25"/>
      <c r="SN442" s="25"/>
      <c r="SO442" s="25"/>
      <c r="SP442" s="25"/>
      <c r="SQ442" s="25"/>
      <c r="SR442" s="25"/>
      <c r="SS442" s="25"/>
      <c r="ST442" s="25"/>
      <c r="SU442" s="25"/>
      <c r="SV442" s="25"/>
      <c r="SW442" s="25"/>
      <c r="SX442" s="25"/>
      <c r="SY442" s="25"/>
      <c r="SZ442" s="25"/>
      <c r="TA442" s="25"/>
      <c r="TB442" s="25"/>
      <c r="TC442" s="25"/>
      <c r="TD442" s="25"/>
      <c r="TE442" s="25"/>
      <c r="TF442" s="25"/>
      <c r="TG442" s="25"/>
      <c r="TH442" s="25"/>
      <c r="TI442" s="25"/>
      <c r="TJ442" s="25"/>
      <c r="TK442" s="25"/>
      <c r="TL442" s="25"/>
      <c r="TM442" s="25"/>
      <c r="TN442" s="25"/>
      <c r="TO442" s="25"/>
      <c r="TP442" s="25"/>
      <c r="TQ442" s="25"/>
      <c r="TR442" s="25"/>
      <c r="TS442" s="25"/>
      <c r="TT442" s="25"/>
      <c r="TU442" s="25"/>
      <c r="TV442" s="25"/>
      <c r="TW442" s="25"/>
      <c r="TX442" s="25"/>
      <c r="TY442" s="25"/>
      <c r="TZ442" s="25"/>
      <c r="UA442" s="25"/>
      <c r="UB442" s="25"/>
      <c r="UC442" s="25"/>
      <c r="UD442" s="25"/>
      <c r="UE442" s="25"/>
      <c r="UF442" s="25"/>
      <c r="UG442" s="26"/>
    </row>
    <row r="443" spans="1:553" ht="30.75" customHeight="1">
      <c r="A443" s="356" t="s">
        <v>30</v>
      </c>
      <c r="B443" s="385" t="s">
        <v>35</v>
      </c>
      <c r="C443" s="1404" t="s">
        <v>340</v>
      </c>
      <c r="D443" s="1389"/>
      <c r="E443" s="1389"/>
      <c r="F443" s="1390"/>
      <c r="G443" s="386" t="s">
        <v>935</v>
      </c>
      <c r="H443" s="370"/>
      <c r="I443" s="834">
        <f t="shared" si="89"/>
        <v>1.2240000000000002</v>
      </c>
      <c r="J443" s="368">
        <v>39000</v>
      </c>
      <c r="K443" s="371"/>
      <c r="L443" s="391">
        <f t="shared" si="87"/>
        <v>47736</v>
      </c>
      <c r="M443" s="395"/>
      <c r="N443" s="395"/>
      <c r="O443" s="366"/>
      <c r="P443" s="396"/>
      <c r="Q443" s="473"/>
      <c r="R443" s="1039"/>
      <c r="S443" s="308"/>
      <c r="T443" s="303"/>
      <c r="U443" s="306"/>
      <c r="V443" s="307"/>
      <c r="W443" s="307"/>
      <c r="X443" s="307"/>
      <c r="Y443" s="307"/>
      <c r="Z443" s="307"/>
      <c r="AA443" s="307"/>
      <c r="AB443" s="307"/>
      <c r="AC443" s="449"/>
      <c r="AD443" s="449"/>
      <c r="AE443" s="449"/>
      <c r="AF443" s="449"/>
      <c r="AG443" s="452"/>
      <c r="AH443" s="452"/>
      <c r="AI443" s="452"/>
      <c r="AJ443" s="452"/>
      <c r="AK443" s="452"/>
      <c r="AL443" s="104"/>
      <c r="AM443" s="32"/>
      <c r="AN443" s="32"/>
      <c r="AO443" s="32"/>
      <c r="AP443" s="32"/>
      <c r="AQ443" s="31"/>
      <c r="AR443" s="31"/>
      <c r="AS443" s="31"/>
      <c r="AT443" s="31"/>
      <c r="AU443" s="31"/>
      <c r="AV443" s="31"/>
      <c r="AW443" s="31"/>
      <c r="AX443" s="31"/>
      <c r="AY443" s="31"/>
      <c r="AZ443" s="31"/>
      <c r="BA443" s="31"/>
      <c r="BB443" s="31"/>
      <c r="BC443" s="31"/>
      <c r="BD443" s="31"/>
      <c r="BE443" s="31"/>
      <c r="BF443" s="31"/>
      <c r="BG443" s="31"/>
      <c r="BH443" s="31"/>
      <c r="BI443" s="31"/>
      <c r="BJ443" s="31"/>
      <c r="BK443" s="31"/>
      <c r="BL443" s="31"/>
      <c r="BM443" s="25"/>
      <c r="BN443" s="25"/>
      <c r="BO443" s="25"/>
      <c r="BP443" s="25"/>
      <c r="BQ443" s="25"/>
      <c r="BR443" s="25"/>
      <c r="BS443" s="25"/>
      <c r="BT443" s="25"/>
      <c r="BU443" s="25"/>
      <c r="BV443" s="25"/>
      <c r="BW443" s="25"/>
      <c r="BX443" s="25"/>
      <c r="BY443" s="25"/>
      <c r="BZ443" s="25"/>
      <c r="CA443" s="25"/>
      <c r="CB443" s="25"/>
      <c r="CC443" s="25"/>
      <c r="CD443" s="25"/>
      <c r="CE443" s="25"/>
      <c r="CF443" s="25"/>
      <c r="CG443" s="25"/>
      <c r="CH443" s="25"/>
      <c r="CI443" s="25"/>
      <c r="CJ443" s="25"/>
      <c r="CK443" s="25"/>
      <c r="CL443" s="25"/>
      <c r="CM443" s="25"/>
      <c r="CN443" s="25"/>
      <c r="CO443" s="25"/>
      <c r="CP443" s="25"/>
      <c r="CQ443" s="25"/>
      <c r="CR443" s="25"/>
      <c r="CS443" s="25"/>
      <c r="CT443" s="25"/>
      <c r="CU443" s="25"/>
      <c r="CV443" s="25"/>
      <c r="CW443" s="25"/>
      <c r="CX443" s="25"/>
      <c r="CY443" s="25"/>
      <c r="CZ443" s="25"/>
      <c r="DA443" s="25"/>
      <c r="DB443" s="25"/>
      <c r="DC443" s="25"/>
      <c r="DD443" s="25"/>
      <c r="DE443" s="25"/>
      <c r="DF443" s="25"/>
      <c r="DG443" s="25"/>
      <c r="DH443" s="25"/>
      <c r="DI443" s="25"/>
      <c r="DJ443" s="25"/>
      <c r="DK443" s="25"/>
      <c r="DL443" s="25"/>
      <c r="DM443" s="25"/>
      <c r="DN443" s="25"/>
      <c r="DO443" s="25"/>
      <c r="DP443" s="25"/>
      <c r="DQ443" s="25"/>
      <c r="DR443" s="25"/>
      <c r="DS443" s="25"/>
      <c r="DT443" s="25"/>
      <c r="DU443" s="25"/>
      <c r="DV443" s="25"/>
      <c r="DW443" s="25"/>
      <c r="DX443" s="25"/>
      <c r="DY443" s="25"/>
      <c r="DZ443" s="25"/>
      <c r="EA443" s="25"/>
      <c r="EB443" s="25"/>
      <c r="EC443" s="25"/>
      <c r="ED443" s="25"/>
      <c r="EE443" s="25"/>
      <c r="EF443" s="25"/>
      <c r="EG443" s="25"/>
      <c r="EH443" s="25"/>
      <c r="EI443" s="25"/>
      <c r="EJ443" s="25"/>
      <c r="EK443" s="25"/>
      <c r="EL443" s="25"/>
      <c r="EM443" s="25"/>
      <c r="EN443" s="25"/>
      <c r="EO443" s="25"/>
      <c r="EP443" s="25"/>
      <c r="EQ443" s="25"/>
      <c r="ER443" s="25"/>
      <c r="ES443" s="25"/>
      <c r="ET443" s="25"/>
      <c r="EU443" s="25"/>
      <c r="EV443" s="25"/>
      <c r="EW443" s="25"/>
      <c r="EX443" s="25"/>
      <c r="EY443" s="25"/>
      <c r="EZ443" s="25"/>
      <c r="FA443" s="25"/>
      <c r="FB443" s="25"/>
      <c r="FC443" s="25"/>
      <c r="FD443" s="25"/>
      <c r="FE443" s="25"/>
      <c r="FF443" s="25"/>
      <c r="FG443" s="25"/>
      <c r="FH443" s="25"/>
      <c r="FI443" s="25"/>
      <c r="FJ443" s="25"/>
      <c r="FK443" s="25"/>
      <c r="FL443" s="25"/>
      <c r="FM443" s="25"/>
      <c r="FN443" s="25"/>
      <c r="FO443" s="25"/>
      <c r="FP443" s="25"/>
      <c r="FQ443" s="25"/>
      <c r="FR443" s="25"/>
      <c r="FS443" s="25"/>
      <c r="FT443" s="25"/>
      <c r="FU443" s="25"/>
      <c r="FV443" s="25"/>
      <c r="FW443" s="25"/>
      <c r="FX443" s="25"/>
      <c r="FY443" s="25"/>
      <c r="FZ443" s="25"/>
      <c r="GA443" s="25"/>
      <c r="GB443" s="25"/>
      <c r="GC443" s="25"/>
      <c r="GD443" s="25"/>
      <c r="GE443" s="25"/>
      <c r="GF443" s="25"/>
      <c r="GG443" s="25"/>
      <c r="GH443" s="25"/>
      <c r="GI443" s="25"/>
      <c r="GJ443" s="25"/>
      <c r="GK443" s="25"/>
      <c r="GL443" s="25"/>
      <c r="GM443" s="25"/>
      <c r="GN443" s="25"/>
      <c r="GO443" s="25"/>
      <c r="GP443" s="25"/>
      <c r="GQ443" s="25"/>
      <c r="GR443" s="25"/>
      <c r="GS443" s="25"/>
      <c r="GT443" s="25"/>
      <c r="GU443" s="25"/>
      <c r="GV443" s="25"/>
      <c r="GW443" s="25"/>
      <c r="GX443" s="25"/>
      <c r="GY443" s="25"/>
      <c r="GZ443" s="25"/>
      <c r="HA443" s="25"/>
      <c r="HB443" s="25"/>
      <c r="HC443" s="25"/>
      <c r="HD443" s="25"/>
      <c r="HE443" s="25"/>
      <c r="HF443" s="25"/>
      <c r="HG443" s="25"/>
      <c r="HH443" s="25"/>
      <c r="HI443" s="25"/>
      <c r="HJ443" s="25"/>
      <c r="HK443" s="25"/>
      <c r="HL443" s="25"/>
      <c r="HM443" s="25"/>
      <c r="HN443" s="25"/>
      <c r="HO443" s="25"/>
      <c r="HP443" s="25"/>
      <c r="HQ443" s="25"/>
      <c r="HR443" s="25"/>
      <c r="HS443" s="25"/>
      <c r="HT443" s="25"/>
      <c r="HU443" s="25"/>
      <c r="HV443" s="25"/>
      <c r="HW443" s="25"/>
      <c r="HX443" s="25"/>
      <c r="HY443" s="25"/>
      <c r="HZ443" s="25"/>
      <c r="IA443" s="25"/>
      <c r="IB443" s="25"/>
      <c r="IC443" s="25"/>
      <c r="ID443" s="25"/>
      <c r="IE443" s="25"/>
      <c r="IF443" s="25"/>
      <c r="IG443" s="25"/>
      <c r="IH443" s="25"/>
      <c r="II443" s="25"/>
      <c r="IJ443" s="25"/>
      <c r="IK443" s="25"/>
      <c r="IL443" s="25"/>
      <c r="IM443" s="25"/>
      <c r="IN443" s="25"/>
      <c r="IO443" s="25"/>
      <c r="IP443" s="25"/>
      <c r="IQ443" s="25"/>
      <c r="IR443" s="25"/>
      <c r="IS443" s="25"/>
      <c r="IT443" s="25"/>
      <c r="IU443" s="25"/>
      <c r="IV443" s="25"/>
      <c r="IW443" s="25"/>
      <c r="IX443" s="25"/>
      <c r="IY443" s="25"/>
      <c r="IZ443" s="25"/>
      <c r="JA443" s="25"/>
      <c r="JB443" s="25"/>
      <c r="JC443" s="25"/>
      <c r="JD443" s="25"/>
      <c r="JE443" s="25"/>
      <c r="JF443" s="25"/>
      <c r="JG443" s="25"/>
      <c r="JH443" s="25"/>
      <c r="JI443" s="25"/>
      <c r="JJ443" s="25"/>
      <c r="JK443" s="25"/>
      <c r="JL443" s="25"/>
      <c r="JM443" s="25"/>
      <c r="JN443" s="25"/>
      <c r="JO443" s="25"/>
      <c r="JP443" s="25"/>
      <c r="JQ443" s="25"/>
      <c r="JR443" s="25"/>
      <c r="JS443" s="25"/>
      <c r="JT443" s="25"/>
      <c r="JU443" s="25"/>
      <c r="JV443" s="25"/>
      <c r="JW443" s="25"/>
      <c r="JX443" s="25"/>
      <c r="JY443" s="25"/>
      <c r="JZ443" s="25"/>
      <c r="KA443" s="25"/>
      <c r="KB443" s="25"/>
      <c r="KC443" s="25"/>
      <c r="KD443" s="25"/>
      <c r="KE443" s="25"/>
      <c r="KF443" s="25"/>
      <c r="KG443" s="25"/>
      <c r="KH443" s="25"/>
      <c r="KI443" s="25"/>
      <c r="KJ443" s="25"/>
      <c r="KK443" s="25"/>
      <c r="KL443" s="25"/>
      <c r="KM443" s="25"/>
      <c r="KN443" s="25"/>
      <c r="KO443" s="25"/>
      <c r="KP443" s="25"/>
      <c r="KQ443" s="25"/>
      <c r="KR443" s="25"/>
      <c r="KS443" s="25"/>
      <c r="KT443" s="25"/>
      <c r="KU443" s="25"/>
      <c r="KV443" s="25"/>
      <c r="KW443" s="25"/>
      <c r="KX443" s="25"/>
      <c r="KY443" s="25"/>
      <c r="KZ443" s="25"/>
      <c r="LA443" s="25"/>
      <c r="LB443" s="25"/>
      <c r="LC443" s="25"/>
      <c r="LD443" s="25"/>
      <c r="LE443" s="25"/>
      <c r="LF443" s="25"/>
      <c r="LG443" s="25"/>
      <c r="LH443" s="25"/>
      <c r="LI443" s="25"/>
      <c r="LJ443" s="25"/>
      <c r="LK443" s="25"/>
      <c r="LL443" s="25"/>
      <c r="LM443" s="25"/>
      <c r="LN443" s="25"/>
      <c r="LO443" s="25"/>
      <c r="LP443" s="25"/>
      <c r="LQ443" s="25"/>
      <c r="LR443" s="25"/>
      <c r="LS443" s="25"/>
      <c r="LT443" s="25"/>
      <c r="LU443" s="25"/>
      <c r="LV443" s="25"/>
      <c r="LW443" s="25"/>
      <c r="LX443" s="25"/>
      <c r="LY443" s="25"/>
      <c r="LZ443" s="25"/>
      <c r="MA443" s="25"/>
      <c r="MB443" s="25"/>
      <c r="MC443" s="25"/>
      <c r="MD443" s="25"/>
      <c r="ME443" s="25"/>
      <c r="MF443" s="25"/>
      <c r="MG443" s="25"/>
      <c r="MH443" s="25"/>
      <c r="MI443" s="25"/>
      <c r="MJ443" s="25"/>
      <c r="MK443" s="25"/>
      <c r="ML443" s="25"/>
      <c r="MM443" s="25"/>
      <c r="MN443" s="25"/>
      <c r="MO443" s="25"/>
      <c r="MP443" s="25"/>
      <c r="MQ443" s="25"/>
      <c r="MR443" s="25"/>
      <c r="MS443" s="25"/>
      <c r="MT443" s="25"/>
      <c r="MU443" s="25"/>
      <c r="MV443" s="25"/>
      <c r="MW443" s="25"/>
      <c r="MX443" s="25"/>
      <c r="MY443" s="25"/>
      <c r="MZ443" s="25"/>
      <c r="NA443" s="25"/>
      <c r="NB443" s="25"/>
      <c r="NC443" s="25"/>
      <c r="ND443" s="25"/>
      <c r="NE443" s="25"/>
      <c r="NF443" s="25"/>
      <c r="NG443" s="25"/>
      <c r="NH443" s="25"/>
      <c r="NI443" s="25"/>
      <c r="NJ443" s="25"/>
      <c r="NK443" s="25"/>
      <c r="NL443" s="25"/>
      <c r="NM443" s="25"/>
      <c r="NN443" s="25"/>
      <c r="NO443" s="25"/>
      <c r="NP443" s="25"/>
      <c r="NQ443" s="25"/>
      <c r="NR443" s="25"/>
      <c r="NS443" s="25"/>
      <c r="NT443" s="25"/>
      <c r="NU443" s="25"/>
      <c r="NV443" s="25"/>
      <c r="NW443" s="25"/>
      <c r="NX443" s="25"/>
      <c r="NY443" s="25"/>
      <c r="NZ443" s="25"/>
      <c r="OA443" s="25"/>
      <c r="OB443" s="25"/>
      <c r="OC443" s="25"/>
      <c r="OD443" s="25"/>
      <c r="OE443" s="25"/>
      <c r="OF443" s="25"/>
      <c r="OG443" s="25"/>
      <c r="OH443" s="25"/>
      <c r="OI443" s="25"/>
      <c r="OJ443" s="25"/>
      <c r="OK443" s="25"/>
      <c r="OL443" s="25"/>
      <c r="OM443" s="25"/>
      <c r="ON443" s="25"/>
      <c r="OO443" s="25"/>
      <c r="OP443" s="25"/>
      <c r="OQ443" s="25"/>
      <c r="OR443" s="25"/>
      <c r="OS443" s="25"/>
      <c r="OT443" s="25"/>
      <c r="OU443" s="25"/>
      <c r="OV443" s="25"/>
      <c r="OW443" s="25"/>
      <c r="OX443" s="25"/>
      <c r="OY443" s="25"/>
      <c r="OZ443" s="25"/>
      <c r="PA443" s="25"/>
      <c r="PB443" s="25"/>
      <c r="PC443" s="25"/>
      <c r="PD443" s="25"/>
      <c r="PE443" s="25"/>
      <c r="PF443" s="25"/>
      <c r="PG443" s="25"/>
      <c r="PH443" s="25"/>
      <c r="PI443" s="25"/>
      <c r="PJ443" s="25"/>
      <c r="PK443" s="25"/>
      <c r="PL443" s="25"/>
      <c r="PM443" s="25"/>
      <c r="PN443" s="25"/>
      <c r="PO443" s="25"/>
      <c r="PP443" s="25"/>
      <c r="PQ443" s="25"/>
      <c r="PR443" s="25"/>
      <c r="PS443" s="25"/>
      <c r="PT443" s="25"/>
      <c r="PU443" s="25"/>
      <c r="PV443" s="25"/>
      <c r="PW443" s="25"/>
      <c r="PX443" s="25"/>
      <c r="PY443" s="25"/>
      <c r="PZ443" s="25"/>
      <c r="QA443" s="25"/>
      <c r="QB443" s="25"/>
      <c r="QC443" s="25"/>
      <c r="QD443" s="25"/>
      <c r="QE443" s="25"/>
      <c r="QF443" s="25"/>
      <c r="QG443" s="25"/>
      <c r="QH443" s="25"/>
      <c r="QI443" s="25"/>
      <c r="QJ443" s="25"/>
      <c r="QK443" s="25"/>
      <c r="QL443" s="25"/>
      <c r="QM443" s="25"/>
      <c r="QN443" s="25"/>
      <c r="QO443" s="25"/>
      <c r="QP443" s="25"/>
      <c r="QQ443" s="25"/>
      <c r="QR443" s="25"/>
      <c r="QS443" s="25"/>
      <c r="QT443" s="25"/>
      <c r="QU443" s="25"/>
      <c r="QV443" s="25"/>
      <c r="QW443" s="25"/>
      <c r="QX443" s="25"/>
      <c r="QY443" s="25"/>
      <c r="QZ443" s="25"/>
      <c r="RA443" s="25"/>
      <c r="RB443" s="25"/>
      <c r="RC443" s="25"/>
      <c r="RD443" s="25"/>
      <c r="RE443" s="25"/>
      <c r="RF443" s="25"/>
      <c r="RG443" s="25"/>
      <c r="RH443" s="25"/>
      <c r="RI443" s="25"/>
      <c r="RJ443" s="25"/>
      <c r="RK443" s="25"/>
      <c r="RL443" s="25"/>
      <c r="RM443" s="25"/>
      <c r="RN443" s="25"/>
      <c r="RO443" s="25"/>
      <c r="RP443" s="25"/>
      <c r="RQ443" s="25"/>
      <c r="RR443" s="25"/>
      <c r="RS443" s="25"/>
      <c r="RT443" s="25"/>
      <c r="RU443" s="25"/>
      <c r="RV443" s="25"/>
      <c r="RW443" s="25"/>
      <c r="RX443" s="25"/>
      <c r="RY443" s="25"/>
      <c r="RZ443" s="25"/>
      <c r="SA443" s="25"/>
      <c r="SB443" s="25"/>
      <c r="SC443" s="25"/>
      <c r="SD443" s="25"/>
      <c r="SE443" s="25"/>
      <c r="SF443" s="25"/>
      <c r="SG443" s="25"/>
      <c r="SH443" s="25"/>
      <c r="SI443" s="25"/>
      <c r="SJ443" s="25"/>
      <c r="SK443" s="25"/>
      <c r="SL443" s="25"/>
      <c r="SM443" s="25"/>
      <c r="SN443" s="25"/>
      <c r="SO443" s="25"/>
      <c r="SP443" s="25"/>
      <c r="SQ443" s="25"/>
      <c r="SR443" s="25"/>
      <c r="SS443" s="25"/>
      <c r="ST443" s="25"/>
      <c r="SU443" s="25"/>
      <c r="SV443" s="25"/>
      <c r="SW443" s="25"/>
      <c r="SX443" s="25"/>
      <c r="SY443" s="25"/>
      <c r="SZ443" s="25"/>
      <c r="TA443" s="25"/>
      <c r="TB443" s="25"/>
      <c r="TC443" s="25"/>
      <c r="TD443" s="25"/>
      <c r="TE443" s="25"/>
      <c r="TF443" s="25"/>
      <c r="TG443" s="25"/>
      <c r="TH443" s="25"/>
      <c r="TI443" s="25"/>
      <c r="TJ443" s="25"/>
      <c r="TK443" s="25"/>
      <c r="TL443" s="25"/>
      <c r="TM443" s="25"/>
      <c r="TN443" s="25"/>
      <c r="TO443" s="25"/>
      <c r="TP443" s="25"/>
      <c r="TQ443" s="25"/>
      <c r="TR443" s="25"/>
      <c r="TS443" s="25"/>
      <c r="TT443" s="25"/>
      <c r="TU443" s="25"/>
      <c r="TV443" s="25"/>
      <c r="TW443" s="25"/>
      <c r="TX443" s="25"/>
      <c r="TY443" s="25"/>
      <c r="TZ443" s="25"/>
      <c r="UA443" s="25"/>
      <c r="UB443" s="25"/>
      <c r="UC443" s="25"/>
      <c r="UD443" s="25"/>
      <c r="UE443" s="25"/>
      <c r="UF443" s="25"/>
      <c r="UG443" s="26"/>
    </row>
    <row r="444" spans="1:553" ht="30.75" customHeight="1">
      <c r="A444" s="356" t="s">
        <v>30</v>
      </c>
      <c r="B444" s="385" t="s">
        <v>35</v>
      </c>
      <c r="C444" s="1404" t="s">
        <v>341</v>
      </c>
      <c r="D444" s="1389"/>
      <c r="E444" s="1389"/>
      <c r="F444" s="1390"/>
      <c r="G444" s="386" t="s">
        <v>935</v>
      </c>
      <c r="H444" s="370"/>
      <c r="I444" s="834">
        <f>0.46*2.15*6</f>
        <v>5.9340000000000002</v>
      </c>
      <c r="J444" s="368">
        <v>39000</v>
      </c>
      <c r="K444" s="371"/>
      <c r="L444" s="391">
        <f t="shared" si="87"/>
        <v>231426</v>
      </c>
      <c r="M444" s="395"/>
      <c r="N444" s="395"/>
      <c r="O444" s="366"/>
      <c r="P444" s="396"/>
      <c r="Q444" s="473"/>
      <c r="R444" s="1039"/>
      <c r="S444" s="308"/>
      <c r="T444" s="303"/>
      <c r="U444" s="306"/>
      <c r="V444" s="307"/>
      <c r="W444" s="307"/>
      <c r="X444" s="307"/>
      <c r="Y444" s="307"/>
      <c r="Z444" s="307"/>
      <c r="AA444" s="307"/>
      <c r="AB444" s="307"/>
      <c r="AC444" s="449"/>
      <c r="AD444" s="449"/>
      <c r="AE444" s="449"/>
      <c r="AF444" s="449"/>
      <c r="AG444" s="452"/>
      <c r="AH444" s="452"/>
      <c r="AI444" s="452"/>
      <c r="AJ444" s="452"/>
      <c r="AK444" s="452"/>
      <c r="AL444" s="104"/>
      <c r="AM444" s="32"/>
      <c r="AN444" s="32"/>
      <c r="AO444" s="32"/>
      <c r="AP444" s="32"/>
      <c r="AQ444" s="31"/>
      <c r="AR444" s="31"/>
      <c r="AS444" s="31"/>
      <c r="AT444" s="31"/>
      <c r="AU444" s="31"/>
      <c r="AV444" s="31"/>
      <c r="AW444" s="31"/>
      <c r="AX444" s="31"/>
      <c r="AY444" s="31"/>
      <c r="AZ444" s="31"/>
      <c r="BA444" s="31"/>
      <c r="BB444" s="31"/>
      <c r="BC444" s="31"/>
      <c r="BD444" s="31"/>
      <c r="BE444" s="31"/>
      <c r="BF444" s="31"/>
      <c r="BG444" s="31"/>
      <c r="BH444" s="31"/>
      <c r="BI444" s="31"/>
      <c r="BJ444" s="31"/>
      <c r="BK444" s="31"/>
      <c r="BL444" s="31"/>
      <c r="BM444" s="25"/>
      <c r="BN444" s="25"/>
      <c r="BO444" s="25"/>
      <c r="BP444" s="25"/>
      <c r="BQ444" s="25"/>
      <c r="BR444" s="25"/>
      <c r="BS444" s="25"/>
      <c r="BT444" s="25"/>
      <c r="BU444" s="25"/>
      <c r="BV444" s="25"/>
      <c r="BW444" s="25"/>
      <c r="BX444" s="25"/>
      <c r="BY444" s="25"/>
      <c r="BZ444" s="25"/>
      <c r="CA444" s="25"/>
      <c r="CB444" s="25"/>
      <c r="CC444" s="25"/>
      <c r="CD444" s="25"/>
      <c r="CE444" s="25"/>
      <c r="CF444" s="25"/>
      <c r="CG444" s="25"/>
      <c r="CH444" s="25"/>
      <c r="CI444" s="25"/>
      <c r="CJ444" s="25"/>
      <c r="CK444" s="25"/>
      <c r="CL444" s="25"/>
      <c r="CM444" s="25"/>
      <c r="CN444" s="25"/>
      <c r="CO444" s="25"/>
      <c r="CP444" s="25"/>
      <c r="CQ444" s="25"/>
      <c r="CR444" s="25"/>
      <c r="CS444" s="25"/>
      <c r="CT444" s="25"/>
      <c r="CU444" s="25"/>
      <c r="CV444" s="25"/>
      <c r="CW444" s="25"/>
      <c r="CX444" s="25"/>
      <c r="CY444" s="25"/>
      <c r="CZ444" s="25"/>
      <c r="DA444" s="25"/>
      <c r="DB444" s="25"/>
      <c r="DC444" s="25"/>
      <c r="DD444" s="25"/>
      <c r="DE444" s="25"/>
      <c r="DF444" s="25"/>
      <c r="DG444" s="25"/>
      <c r="DH444" s="25"/>
      <c r="DI444" s="25"/>
      <c r="DJ444" s="25"/>
      <c r="DK444" s="25"/>
      <c r="DL444" s="25"/>
      <c r="DM444" s="25"/>
      <c r="DN444" s="25"/>
      <c r="DO444" s="25"/>
      <c r="DP444" s="25"/>
      <c r="DQ444" s="25"/>
      <c r="DR444" s="25"/>
      <c r="DS444" s="25"/>
      <c r="DT444" s="25"/>
      <c r="DU444" s="25"/>
      <c r="DV444" s="25"/>
      <c r="DW444" s="25"/>
      <c r="DX444" s="25"/>
      <c r="DY444" s="25"/>
      <c r="DZ444" s="25"/>
      <c r="EA444" s="25"/>
      <c r="EB444" s="25"/>
      <c r="EC444" s="25"/>
      <c r="ED444" s="25"/>
      <c r="EE444" s="25"/>
      <c r="EF444" s="25"/>
      <c r="EG444" s="25"/>
      <c r="EH444" s="25"/>
      <c r="EI444" s="25"/>
      <c r="EJ444" s="25"/>
      <c r="EK444" s="25"/>
      <c r="EL444" s="25"/>
      <c r="EM444" s="25"/>
      <c r="EN444" s="25"/>
      <c r="EO444" s="25"/>
      <c r="EP444" s="25"/>
      <c r="EQ444" s="25"/>
      <c r="ER444" s="25"/>
      <c r="ES444" s="25"/>
      <c r="ET444" s="25"/>
      <c r="EU444" s="25"/>
      <c r="EV444" s="25"/>
      <c r="EW444" s="25"/>
      <c r="EX444" s="25"/>
      <c r="EY444" s="25"/>
      <c r="EZ444" s="25"/>
      <c r="FA444" s="25"/>
      <c r="FB444" s="25"/>
      <c r="FC444" s="25"/>
      <c r="FD444" s="25"/>
      <c r="FE444" s="25"/>
      <c r="FF444" s="25"/>
      <c r="FG444" s="25"/>
      <c r="FH444" s="25"/>
      <c r="FI444" s="25"/>
      <c r="FJ444" s="25"/>
      <c r="FK444" s="25"/>
      <c r="FL444" s="25"/>
      <c r="FM444" s="25"/>
      <c r="FN444" s="25"/>
      <c r="FO444" s="25"/>
      <c r="FP444" s="25"/>
      <c r="FQ444" s="25"/>
      <c r="FR444" s="25"/>
      <c r="FS444" s="25"/>
      <c r="FT444" s="25"/>
      <c r="FU444" s="25"/>
      <c r="FV444" s="25"/>
      <c r="FW444" s="25"/>
      <c r="FX444" s="25"/>
      <c r="FY444" s="25"/>
      <c r="FZ444" s="25"/>
      <c r="GA444" s="25"/>
      <c r="GB444" s="25"/>
      <c r="GC444" s="25"/>
      <c r="GD444" s="25"/>
      <c r="GE444" s="25"/>
      <c r="GF444" s="25"/>
      <c r="GG444" s="25"/>
      <c r="GH444" s="25"/>
      <c r="GI444" s="25"/>
      <c r="GJ444" s="25"/>
      <c r="GK444" s="25"/>
      <c r="GL444" s="25"/>
      <c r="GM444" s="25"/>
      <c r="GN444" s="25"/>
      <c r="GO444" s="25"/>
      <c r="GP444" s="25"/>
      <c r="GQ444" s="25"/>
      <c r="GR444" s="25"/>
      <c r="GS444" s="25"/>
      <c r="GT444" s="25"/>
      <c r="GU444" s="25"/>
      <c r="GV444" s="25"/>
      <c r="GW444" s="25"/>
      <c r="GX444" s="25"/>
      <c r="GY444" s="25"/>
      <c r="GZ444" s="25"/>
      <c r="HA444" s="25"/>
      <c r="HB444" s="25"/>
      <c r="HC444" s="25"/>
      <c r="HD444" s="25"/>
      <c r="HE444" s="25"/>
      <c r="HF444" s="25"/>
      <c r="HG444" s="25"/>
      <c r="HH444" s="25"/>
      <c r="HI444" s="25"/>
      <c r="HJ444" s="25"/>
      <c r="HK444" s="25"/>
      <c r="HL444" s="25"/>
      <c r="HM444" s="25"/>
      <c r="HN444" s="25"/>
      <c r="HO444" s="25"/>
      <c r="HP444" s="25"/>
      <c r="HQ444" s="25"/>
      <c r="HR444" s="25"/>
      <c r="HS444" s="25"/>
      <c r="HT444" s="25"/>
      <c r="HU444" s="25"/>
      <c r="HV444" s="25"/>
      <c r="HW444" s="25"/>
      <c r="HX444" s="25"/>
      <c r="HY444" s="25"/>
      <c r="HZ444" s="25"/>
      <c r="IA444" s="25"/>
      <c r="IB444" s="25"/>
      <c r="IC444" s="25"/>
      <c r="ID444" s="25"/>
      <c r="IE444" s="25"/>
      <c r="IF444" s="25"/>
      <c r="IG444" s="25"/>
      <c r="IH444" s="25"/>
      <c r="II444" s="25"/>
      <c r="IJ444" s="25"/>
      <c r="IK444" s="25"/>
      <c r="IL444" s="25"/>
      <c r="IM444" s="25"/>
      <c r="IN444" s="25"/>
      <c r="IO444" s="25"/>
      <c r="IP444" s="25"/>
      <c r="IQ444" s="25"/>
      <c r="IR444" s="25"/>
      <c r="IS444" s="25"/>
      <c r="IT444" s="25"/>
      <c r="IU444" s="25"/>
      <c r="IV444" s="25"/>
      <c r="IW444" s="25"/>
      <c r="IX444" s="25"/>
      <c r="IY444" s="25"/>
      <c r="IZ444" s="25"/>
      <c r="JA444" s="25"/>
      <c r="JB444" s="25"/>
      <c r="JC444" s="25"/>
      <c r="JD444" s="25"/>
      <c r="JE444" s="25"/>
      <c r="JF444" s="25"/>
      <c r="JG444" s="25"/>
      <c r="JH444" s="25"/>
      <c r="JI444" s="25"/>
      <c r="JJ444" s="25"/>
      <c r="JK444" s="25"/>
      <c r="JL444" s="25"/>
      <c r="JM444" s="25"/>
      <c r="JN444" s="25"/>
      <c r="JO444" s="25"/>
      <c r="JP444" s="25"/>
      <c r="JQ444" s="25"/>
      <c r="JR444" s="25"/>
      <c r="JS444" s="25"/>
      <c r="JT444" s="25"/>
      <c r="JU444" s="25"/>
      <c r="JV444" s="25"/>
      <c r="JW444" s="25"/>
      <c r="JX444" s="25"/>
      <c r="JY444" s="25"/>
      <c r="JZ444" s="25"/>
      <c r="KA444" s="25"/>
      <c r="KB444" s="25"/>
      <c r="KC444" s="25"/>
      <c r="KD444" s="25"/>
      <c r="KE444" s="25"/>
      <c r="KF444" s="25"/>
      <c r="KG444" s="25"/>
      <c r="KH444" s="25"/>
      <c r="KI444" s="25"/>
      <c r="KJ444" s="25"/>
      <c r="KK444" s="25"/>
      <c r="KL444" s="25"/>
      <c r="KM444" s="25"/>
      <c r="KN444" s="25"/>
      <c r="KO444" s="25"/>
      <c r="KP444" s="25"/>
      <c r="KQ444" s="25"/>
      <c r="KR444" s="25"/>
      <c r="KS444" s="25"/>
      <c r="KT444" s="25"/>
      <c r="KU444" s="25"/>
      <c r="KV444" s="25"/>
      <c r="KW444" s="25"/>
      <c r="KX444" s="25"/>
      <c r="KY444" s="25"/>
      <c r="KZ444" s="25"/>
      <c r="LA444" s="25"/>
      <c r="LB444" s="25"/>
      <c r="LC444" s="25"/>
      <c r="LD444" s="25"/>
      <c r="LE444" s="25"/>
      <c r="LF444" s="25"/>
      <c r="LG444" s="25"/>
      <c r="LH444" s="25"/>
      <c r="LI444" s="25"/>
      <c r="LJ444" s="25"/>
      <c r="LK444" s="25"/>
      <c r="LL444" s="25"/>
      <c r="LM444" s="25"/>
      <c r="LN444" s="25"/>
      <c r="LO444" s="25"/>
      <c r="LP444" s="25"/>
      <c r="LQ444" s="25"/>
      <c r="LR444" s="25"/>
      <c r="LS444" s="25"/>
      <c r="LT444" s="25"/>
      <c r="LU444" s="25"/>
      <c r="LV444" s="25"/>
      <c r="LW444" s="25"/>
      <c r="LX444" s="25"/>
      <c r="LY444" s="25"/>
      <c r="LZ444" s="25"/>
      <c r="MA444" s="25"/>
      <c r="MB444" s="25"/>
      <c r="MC444" s="25"/>
      <c r="MD444" s="25"/>
      <c r="ME444" s="25"/>
      <c r="MF444" s="25"/>
      <c r="MG444" s="25"/>
      <c r="MH444" s="25"/>
      <c r="MI444" s="25"/>
      <c r="MJ444" s="25"/>
      <c r="MK444" s="25"/>
      <c r="ML444" s="25"/>
      <c r="MM444" s="25"/>
      <c r="MN444" s="25"/>
      <c r="MO444" s="25"/>
      <c r="MP444" s="25"/>
      <c r="MQ444" s="25"/>
      <c r="MR444" s="25"/>
      <c r="MS444" s="25"/>
      <c r="MT444" s="25"/>
      <c r="MU444" s="25"/>
      <c r="MV444" s="25"/>
      <c r="MW444" s="25"/>
      <c r="MX444" s="25"/>
      <c r="MY444" s="25"/>
      <c r="MZ444" s="25"/>
      <c r="NA444" s="25"/>
      <c r="NB444" s="25"/>
      <c r="NC444" s="25"/>
      <c r="ND444" s="25"/>
      <c r="NE444" s="25"/>
      <c r="NF444" s="25"/>
      <c r="NG444" s="25"/>
      <c r="NH444" s="25"/>
      <c r="NI444" s="25"/>
      <c r="NJ444" s="25"/>
      <c r="NK444" s="25"/>
      <c r="NL444" s="25"/>
      <c r="NM444" s="25"/>
      <c r="NN444" s="25"/>
      <c r="NO444" s="25"/>
      <c r="NP444" s="25"/>
      <c r="NQ444" s="25"/>
      <c r="NR444" s="25"/>
      <c r="NS444" s="25"/>
      <c r="NT444" s="25"/>
      <c r="NU444" s="25"/>
      <c r="NV444" s="25"/>
      <c r="NW444" s="25"/>
      <c r="NX444" s="25"/>
      <c r="NY444" s="25"/>
      <c r="NZ444" s="25"/>
      <c r="OA444" s="25"/>
      <c r="OB444" s="25"/>
      <c r="OC444" s="25"/>
      <c r="OD444" s="25"/>
      <c r="OE444" s="25"/>
      <c r="OF444" s="25"/>
      <c r="OG444" s="25"/>
      <c r="OH444" s="25"/>
      <c r="OI444" s="25"/>
      <c r="OJ444" s="25"/>
      <c r="OK444" s="25"/>
      <c r="OL444" s="25"/>
      <c r="OM444" s="25"/>
      <c r="ON444" s="25"/>
      <c r="OO444" s="25"/>
      <c r="OP444" s="25"/>
      <c r="OQ444" s="25"/>
      <c r="OR444" s="25"/>
      <c r="OS444" s="25"/>
      <c r="OT444" s="25"/>
      <c r="OU444" s="25"/>
      <c r="OV444" s="25"/>
      <c r="OW444" s="25"/>
      <c r="OX444" s="25"/>
      <c r="OY444" s="25"/>
      <c r="OZ444" s="25"/>
      <c r="PA444" s="25"/>
      <c r="PB444" s="25"/>
      <c r="PC444" s="25"/>
      <c r="PD444" s="25"/>
      <c r="PE444" s="25"/>
      <c r="PF444" s="25"/>
      <c r="PG444" s="25"/>
      <c r="PH444" s="25"/>
      <c r="PI444" s="25"/>
      <c r="PJ444" s="25"/>
      <c r="PK444" s="25"/>
      <c r="PL444" s="25"/>
      <c r="PM444" s="25"/>
      <c r="PN444" s="25"/>
      <c r="PO444" s="25"/>
      <c r="PP444" s="25"/>
      <c r="PQ444" s="25"/>
      <c r="PR444" s="25"/>
      <c r="PS444" s="25"/>
      <c r="PT444" s="25"/>
      <c r="PU444" s="25"/>
      <c r="PV444" s="25"/>
      <c r="PW444" s="25"/>
      <c r="PX444" s="25"/>
      <c r="PY444" s="25"/>
      <c r="PZ444" s="25"/>
      <c r="QA444" s="25"/>
      <c r="QB444" s="25"/>
      <c r="QC444" s="25"/>
      <c r="QD444" s="25"/>
      <c r="QE444" s="25"/>
      <c r="QF444" s="25"/>
      <c r="QG444" s="25"/>
      <c r="QH444" s="25"/>
      <c r="QI444" s="25"/>
      <c r="QJ444" s="25"/>
      <c r="QK444" s="25"/>
      <c r="QL444" s="25"/>
      <c r="QM444" s="25"/>
      <c r="QN444" s="25"/>
      <c r="QO444" s="25"/>
      <c r="QP444" s="25"/>
      <c r="QQ444" s="25"/>
      <c r="QR444" s="25"/>
      <c r="QS444" s="25"/>
      <c r="QT444" s="25"/>
      <c r="QU444" s="25"/>
      <c r="QV444" s="25"/>
      <c r="QW444" s="25"/>
      <c r="QX444" s="25"/>
      <c r="QY444" s="25"/>
      <c r="QZ444" s="25"/>
      <c r="RA444" s="25"/>
      <c r="RB444" s="25"/>
      <c r="RC444" s="25"/>
      <c r="RD444" s="25"/>
      <c r="RE444" s="25"/>
      <c r="RF444" s="25"/>
      <c r="RG444" s="25"/>
      <c r="RH444" s="25"/>
      <c r="RI444" s="25"/>
      <c r="RJ444" s="25"/>
      <c r="RK444" s="25"/>
      <c r="RL444" s="25"/>
      <c r="RM444" s="25"/>
      <c r="RN444" s="25"/>
      <c r="RO444" s="25"/>
      <c r="RP444" s="25"/>
      <c r="RQ444" s="25"/>
      <c r="RR444" s="25"/>
      <c r="RS444" s="25"/>
      <c r="RT444" s="25"/>
      <c r="RU444" s="25"/>
      <c r="RV444" s="25"/>
      <c r="RW444" s="25"/>
      <c r="RX444" s="25"/>
      <c r="RY444" s="25"/>
      <c r="RZ444" s="25"/>
      <c r="SA444" s="25"/>
      <c r="SB444" s="25"/>
      <c r="SC444" s="25"/>
      <c r="SD444" s="25"/>
      <c r="SE444" s="25"/>
      <c r="SF444" s="25"/>
      <c r="SG444" s="25"/>
      <c r="SH444" s="25"/>
      <c r="SI444" s="25"/>
      <c r="SJ444" s="25"/>
      <c r="SK444" s="25"/>
      <c r="SL444" s="25"/>
      <c r="SM444" s="25"/>
      <c r="SN444" s="25"/>
      <c r="SO444" s="25"/>
      <c r="SP444" s="25"/>
      <c r="SQ444" s="25"/>
      <c r="SR444" s="25"/>
      <c r="SS444" s="25"/>
      <c r="ST444" s="25"/>
      <c r="SU444" s="25"/>
      <c r="SV444" s="25"/>
      <c r="SW444" s="25"/>
      <c r="SX444" s="25"/>
      <c r="SY444" s="25"/>
      <c r="SZ444" s="25"/>
      <c r="TA444" s="25"/>
      <c r="TB444" s="25"/>
      <c r="TC444" s="25"/>
      <c r="TD444" s="25"/>
      <c r="TE444" s="25"/>
      <c r="TF444" s="25"/>
      <c r="TG444" s="25"/>
      <c r="TH444" s="25"/>
      <c r="TI444" s="25"/>
      <c r="TJ444" s="25"/>
      <c r="TK444" s="25"/>
      <c r="TL444" s="25"/>
      <c r="TM444" s="25"/>
      <c r="TN444" s="25"/>
      <c r="TO444" s="25"/>
      <c r="TP444" s="25"/>
      <c r="TQ444" s="25"/>
      <c r="TR444" s="25"/>
      <c r="TS444" s="25"/>
      <c r="TT444" s="25"/>
      <c r="TU444" s="25"/>
      <c r="TV444" s="25"/>
      <c r="TW444" s="25"/>
      <c r="TX444" s="25"/>
      <c r="TY444" s="25"/>
      <c r="TZ444" s="25"/>
      <c r="UA444" s="25"/>
      <c r="UB444" s="25"/>
      <c r="UC444" s="25"/>
      <c r="UD444" s="25"/>
      <c r="UE444" s="25"/>
      <c r="UF444" s="25"/>
      <c r="UG444" s="26"/>
    </row>
    <row r="445" spans="1:553" ht="30.75" customHeight="1">
      <c r="A445" s="356" t="s">
        <v>30</v>
      </c>
      <c r="B445" s="385" t="s">
        <v>35</v>
      </c>
      <c r="C445" s="1404" t="s">
        <v>342</v>
      </c>
      <c r="D445" s="1389"/>
      <c r="E445" s="1389"/>
      <c r="F445" s="1390"/>
      <c r="G445" s="386" t="s">
        <v>935</v>
      </c>
      <c r="H445" s="370"/>
      <c r="I445" s="422">
        <f>0.42*9.6* 1</f>
        <v>4.032</v>
      </c>
      <c r="J445" s="368">
        <v>39000</v>
      </c>
      <c r="K445" s="371"/>
      <c r="L445" s="391">
        <f t="shared" si="87"/>
        <v>157248</v>
      </c>
      <c r="M445" s="391"/>
      <c r="N445" s="391"/>
      <c r="O445" s="391"/>
      <c r="P445" s="391"/>
      <c r="Q445" s="1444"/>
      <c r="R445" s="1226"/>
      <c r="S445" s="308"/>
      <c r="T445" s="303"/>
      <c r="U445" s="306"/>
      <c r="V445" s="307"/>
      <c r="W445" s="307"/>
      <c r="X445" s="307"/>
      <c r="Y445" s="307"/>
      <c r="Z445" s="307"/>
      <c r="AA445" s="307"/>
      <c r="AB445" s="307"/>
      <c r="AC445" s="449"/>
      <c r="AD445" s="449"/>
      <c r="AE445" s="449"/>
      <c r="AF445" s="449"/>
      <c r="AG445" s="449"/>
      <c r="AH445" s="449"/>
      <c r="AI445" s="449"/>
      <c r="AJ445" s="449"/>
      <c r="AK445" s="452"/>
      <c r="AL445" s="104"/>
      <c r="AM445" s="32"/>
      <c r="AN445" s="32"/>
      <c r="AO445" s="32"/>
      <c r="AP445" s="32"/>
      <c r="AQ445" s="32"/>
      <c r="AR445" s="32"/>
      <c r="AS445" s="31"/>
      <c r="AT445" s="31"/>
      <c r="AU445" s="31"/>
      <c r="AV445" s="31"/>
      <c r="AW445" s="31"/>
      <c r="AX445" s="31"/>
      <c r="AY445" s="31"/>
      <c r="AZ445" s="31"/>
      <c r="BA445" s="31"/>
      <c r="BB445" s="31"/>
      <c r="BC445" s="31"/>
      <c r="BD445" s="31"/>
      <c r="BE445" s="31"/>
      <c r="BF445" s="31"/>
      <c r="BG445" s="31"/>
      <c r="BH445" s="31"/>
      <c r="BI445" s="31"/>
      <c r="BJ445" s="31"/>
      <c r="BK445" s="31"/>
      <c r="BL445" s="31"/>
      <c r="BM445" s="31"/>
      <c r="BN445" s="31"/>
      <c r="BO445" s="31"/>
      <c r="BP445" s="31"/>
      <c r="BQ445" s="31"/>
      <c r="BR445" s="31"/>
      <c r="BS445" s="31"/>
      <c r="BT445" s="31"/>
      <c r="BU445" s="31"/>
      <c r="BV445" s="31"/>
      <c r="BW445" s="31"/>
      <c r="BX445" s="31"/>
      <c r="BY445" s="31"/>
      <c r="BZ445" s="31"/>
      <c r="CA445" s="31"/>
      <c r="CB445" s="31"/>
      <c r="CC445" s="31"/>
      <c r="CD445" s="31"/>
      <c r="CE445" s="31"/>
      <c r="CF445" s="31"/>
      <c r="CG445" s="31"/>
      <c r="CH445" s="31"/>
      <c r="CI445" s="31"/>
      <c r="CJ445" s="31"/>
      <c r="CK445" s="31"/>
      <c r="CL445" s="31"/>
      <c r="CM445" s="31"/>
      <c r="CN445" s="31"/>
      <c r="CO445" s="31"/>
      <c r="CP445" s="31"/>
      <c r="CQ445" s="31"/>
      <c r="CR445" s="31"/>
      <c r="CS445" s="31"/>
      <c r="CT445" s="31"/>
      <c r="CU445" s="31"/>
      <c r="CV445" s="31"/>
      <c r="CW445" s="31"/>
      <c r="CX445" s="31"/>
      <c r="CY445" s="31"/>
      <c r="CZ445" s="31"/>
      <c r="DA445" s="31"/>
      <c r="DB445" s="31"/>
      <c r="DC445" s="31"/>
      <c r="DD445" s="31"/>
      <c r="DE445" s="31"/>
      <c r="DF445" s="31"/>
      <c r="DG445" s="31"/>
      <c r="DH445" s="31"/>
      <c r="DI445" s="31"/>
      <c r="DJ445" s="31"/>
      <c r="DK445" s="31"/>
      <c r="DL445" s="31"/>
      <c r="DM445" s="31"/>
      <c r="DN445" s="31"/>
      <c r="DO445" s="31"/>
      <c r="DP445" s="31"/>
      <c r="DQ445" s="31"/>
      <c r="DR445" s="31"/>
      <c r="DS445" s="31"/>
      <c r="DT445" s="31"/>
      <c r="DU445" s="31"/>
      <c r="DV445" s="31"/>
      <c r="DW445" s="31"/>
      <c r="DX445" s="31"/>
      <c r="DY445" s="31"/>
      <c r="DZ445" s="31"/>
      <c r="EA445" s="31"/>
      <c r="EB445" s="31"/>
      <c r="EC445" s="31"/>
      <c r="ED445" s="31"/>
      <c r="EE445" s="31"/>
      <c r="EF445" s="31"/>
      <c r="EG445" s="31"/>
      <c r="EH445" s="31"/>
      <c r="EI445" s="31"/>
      <c r="EJ445" s="31"/>
      <c r="EK445" s="31"/>
      <c r="EL445" s="31"/>
      <c r="EM445" s="31"/>
      <c r="EN445" s="31"/>
      <c r="EO445" s="31"/>
      <c r="EP445" s="31"/>
      <c r="EQ445" s="31"/>
      <c r="ER445" s="31"/>
      <c r="ES445" s="31"/>
      <c r="ET445" s="31"/>
      <c r="EU445" s="31"/>
      <c r="EV445" s="31"/>
      <c r="EW445" s="31"/>
      <c r="EX445" s="31"/>
      <c r="EY445" s="31"/>
      <c r="EZ445" s="31"/>
      <c r="FA445" s="31"/>
      <c r="FB445" s="31"/>
      <c r="FC445" s="31"/>
      <c r="FD445" s="31"/>
      <c r="FE445" s="31"/>
      <c r="FF445" s="31"/>
      <c r="FG445" s="31"/>
      <c r="FH445" s="31"/>
      <c r="FI445" s="31"/>
      <c r="FJ445" s="31"/>
      <c r="FK445" s="31"/>
      <c r="FL445" s="31"/>
      <c r="FM445" s="31"/>
      <c r="FN445" s="31"/>
      <c r="FO445" s="31"/>
      <c r="FP445" s="31"/>
      <c r="FQ445" s="31"/>
      <c r="FR445" s="31"/>
      <c r="FS445" s="31"/>
      <c r="FT445" s="31"/>
      <c r="FU445" s="31"/>
      <c r="FV445" s="31"/>
      <c r="FW445" s="31"/>
      <c r="FX445" s="31"/>
      <c r="FY445" s="31"/>
      <c r="FZ445" s="31"/>
      <c r="GA445" s="31"/>
      <c r="GB445" s="31"/>
      <c r="GC445" s="31"/>
      <c r="GD445" s="31"/>
      <c r="GE445" s="31"/>
      <c r="GF445" s="31"/>
      <c r="GG445" s="31"/>
      <c r="GH445" s="31"/>
      <c r="GI445" s="31"/>
      <c r="GJ445" s="31"/>
      <c r="GK445" s="31"/>
      <c r="GL445" s="31"/>
      <c r="GM445" s="31"/>
      <c r="GN445" s="31"/>
      <c r="GO445" s="31"/>
      <c r="GP445" s="31"/>
      <c r="GQ445" s="31"/>
      <c r="GR445" s="31"/>
      <c r="GS445" s="31"/>
      <c r="GT445" s="31"/>
      <c r="GU445" s="31"/>
      <c r="GV445" s="31"/>
      <c r="GW445" s="31"/>
      <c r="GX445" s="31"/>
      <c r="GY445" s="31"/>
      <c r="GZ445" s="31"/>
      <c r="HA445" s="31"/>
      <c r="HB445" s="31"/>
      <c r="HC445" s="31"/>
      <c r="HD445" s="31"/>
      <c r="HE445" s="31"/>
      <c r="HF445" s="31"/>
      <c r="HG445" s="31"/>
      <c r="HH445" s="31"/>
      <c r="HI445" s="31"/>
      <c r="HJ445" s="31"/>
      <c r="HK445" s="31"/>
      <c r="HL445" s="31"/>
      <c r="HM445" s="31"/>
      <c r="HN445" s="31"/>
      <c r="HO445" s="31"/>
      <c r="HP445" s="31"/>
      <c r="HQ445" s="31"/>
      <c r="HR445" s="31"/>
      <c r="HS445" s="31"/>
      <c r="HT445" s="31"/>
      <c r="HU445" s="31"/>
      <c r="HV445" s="31"/>
      <c r="HW445" s="31"/>
      <c r="HX445" s="31"/>
      <c r="HY445" s="31"/>
      <c r="HZ445" s="31"/>
      <c r="IA445" s="31"/>
      <c r="IB445" s="31"/>
      <c r="IC445" s="31"/>
      <c r="ID445" s="31"/>
      <c r="IE445" s="31"/>
      <c r="IF445" s="31"/>
      <c r="IG445" s="31"/>
      <c r="IH445" s="31"/>
      <c r="II445" s="31"/>
      <c r="IJ445" s="31"/>
      <c r="IK445" s="31"/>
      <c r="IL445" s="31"/>
      <c r="IM445" s="31"/>
      <c r="IN445" s="31"/>
      <c r="IO445" s="31"/>
      <c r="IP445" s="31"/>
      <c r="IQ445" s="31"/>
      <c r="IR445" s="31"/>
      <c r="IS445" s="31"/>
      <c r="IT445" s="31"/>
      <c r="IU445" s="31"/>
      <c r="IV445" s="31"/>
      <c r="IW445" s="31"/>
      <c r="IX445" s="31"/>
      <c r="IY445" s="31"/>
      <c r="IZ445" s="31"/>
      <c r="JA445" s="31"/>
      <c r="JB445" s="31"/>
      <c r="JC445" s="31"/>
      <c r="JD445" s="31"/>
      <c r="JE445" s="31"/>
      <c r="JF445" s="31"/>
      <c r="JG445" s="31"/>
      <c r="JH445" s="31"/>
      <c r="JI445" s="31"/>
      <c r="JJ445" s="31"/>
      <c r="JK445" s="31"/>
      <c r="JL445" s="31"/>
      <c r="JM445" s="31"/>
      <c r="JN445" s="31"/>
      <c r="JO445" s="31"/>
      <c r="JP445" s="31"/>
      <c r="JQ445" s="31"/>
      <c r="JR445" s="31"/>
      <c r="JS445" s="31"/>
      <c r="JT445" s="31"/>
      <c r="JU445" s="31"/>
      <c r="JV445" s="31"/>
      <c r="JW445" s="31"/>
      <c r="JX445" s="31"/>
      <c r="JY445" s="31"/>
      <c r="JZ445" s="31"/>
      <c r="KA445" s="31"/>
      <c r="KB445" s="31"/>
      <c r="KC445" s="31"/>
      <c r="KD445" s="31"/>
      <c r="KE445" s="31"/>
      <c r="KF445" s="31"/>
      <c r="KG445" s="31"/>
      <c r="KH445" s="31"/>
      <c r="KI445" s="31"/>
      <c r="KJ445" s="31"/>
      <c r="KK445" s="31"/>
      <c r="KL445" s="31"/>
      <c r="KM445" s="31"/>
      <c r="KN445" s="31"/>
      <c r="KO445" s="31"/>
      <c r="KP445" s="31"/>
      <c r="KQ445" s="31"/>
      <c r="KR445" s="31"/>
      <c r="KS445" s="31"/>
      <c r="KT445" s="31"/>
      <c r="KU445" s="31"/>
      <c r="KV445" s="31"/>
      <c r="KW445" s="31"/>
      <c r="KX445" s="31"/>
      <c r="KY445" s="31"/>
      <c r="KZ445" s="31"/>
      <c r="LA445" s="31"/>
      <c r="LB445" s="31"/>
      <c r="LC445" s="31"/>
      <c r="LD445" s="31"/>
      <c r="LE445" s="31"/>
      <c r="LF445" s="31"/>
      <c r="LG445" s="31"/>
      <c r="LH445" s="31"/>
      <c r="LI445" s="31"/>
      <c r="LJ445" s="31"/>
      <c r="LK445" s="31"/>
      <c r="LL445" s="31"/>
      <c r="LM445" s="31"/>
      <c r="LN445" s="31"/>
      <c r="LO445" s="31"/>
      <c r="LP445" s="31"/>
      <c r="LQ445" s="31"/>
      <c r="LR445" s="31"/>
      <c r="LS445" s="31"/>
      <c r="LT445" s="31"/>
      <c r="LU445" s="31"/>
      <c r="LV445" s="31"/>
      <c r="LW445" s="31"/>
      <c r="LX445" s="31"/>
      <c r="LY445" s="31"/>
      <c r="LZ445" s="31"/>
      <c r="MA445" s="31"/>
      <c r="MB445" s="31"/>
      <c r="MC445" s="31"/>
      <c r="MD445" s="31"/>
      <c r="ME445" s="31"/>
      <c r="MF445" s="31"/>
      <c r="MG445" s="31"/>
      <c r="MH445" s="31"/>
      <c r="MI445" s="31"/>
      <c r="MJ445" s="31"/>
      <c r="MK445" s="31"/>
      <c r="ML445" s="31"/>
      <c r="MM445" s="31"/>
      <c r="MN445" s="31"/>
      <c r="MO445" s="31"/>
      <c r="MP445" s="31"/>
      <c r="MQ445" s="31"/>
      <c r="MR445" s="31"/>
      <c r="MS445" s="31"/>
      <c r="MT445" s="31"/>
      <c r="MU445" s="31"/>
      <c r="MV445" s="31"/>
      <c r="MW445" s="31"/>
      <c r="MX445" s="31"/>
      <c r="MY445" s="31"/>
      <c r="MZ445" s="31"/>
      <c r="NA445" s="31"/>
      <c r="NB445" s="31"/>
      <c r="NC445" s="31"/>
      <c r="ND445" s="31"/>
      <c r="NE445" s="31"/>
      <c r="NF445" s="31"/>
      <c r="NG445" s="31"/>
      <c r="NH445" s="31"/>
      <c r="NI445" s="31"/>
      <c r="NJ445" s="31"/>
      <c r="NK445" s="31"/>
      <c r="NL445" s="31"/>
      <c r="NM445" s="31"/>
      <c r="NN445" s="31"/>
      <c r="NO445" s="31"/>
      <c r="NP445" s="31"/>
      <c r="NQ445" s="31"/>
      <c r="NR445" s="31"/>
      <c r="NS445" s="31"/>
      <c r="NT445" s="31"/>
      <c r="NU445" s="31"/>
      <c r="NV445" s="31"/>
      <c r="NW445" s="31"/>
      <c r="NX445" s="31"/>
      <c r="NY445" s="31"/>
      <c r="NZ445" s="31"/>
      <c r="OA445" s="31"/>
      <c r="OB445" s="31"/>
      <c r="OC445" s="31"/>
      <c r="OD445" s="31"/>
      <c r="OE445" s="31"/>
      <c r="OF445" s="31"/>
      <c r="OG445" s="31"/>
      <c r="OH445" s="31"/>
      <c r="OI445" s="31"/>
      <c r="OJ445" s="31"/>
      <c r="OK445" s="31"/>
      <c r="OL445" s="31"/>
      <c r="OM445" s="31"/>
      <c r="ON445" s="31"/>
      <c r="OO445" s="31"/>
      <c r="OP445" s="31"/>
      <c r="OQ445" s="31"/>
      <c r="OR445" s="31"/>
      <c r="OS445" s="31"/>
      <c r="OT445" s="31"/>
      <c r="OU445" s="31"/>
      <c r="OV445" s="31"/>
      <c r="OW445" s="31"/>
      <c r="OX445" s="31"/>
      <c r="OY445" s="31"/>
      <c r="OZ445" s="31"/>
      <c r="PA445" s="31"/>
      <c r="PB445" s="31"/>
      <c r="PC445" s="31"/>
      <c r="PD445" s="31"/>
      <c r="PE445" s="31"/>
      <c r="PF445" s="31"/>
      <c r="PG445" s="31"/>
      <c r="PH445" s="31"/>
      <c r="PI445" s="31"/>
      <c r="PJ445" s="31"/>
      <c r="PK445" s="31"/>
      <c r="PL445" s="31"/>
      <c r="PM445" s="31"/>
      <c r="PN445" s="31"/>
      <c r="PO445" s="31"/>
      <c r="PP445" s="31"/>
      <c r="PQ445" s="31"/>
      <c r="PR445" s="31"/>
      <c r="PS445" s="31"/>
      <c r="PT445" s="31"/>
      <c r="PU445" s="31"/>
      <c r="PV445" s="31"/>
      <c r="PW445" s="31"/>
      <c r="PX445" s="31"/>
      <c r="PY445" s="31"/>
      <c r="PZ445" s="31"/>
      <c r="QA445" s="31"/>
      <c r="QB445" s="31"/>
      <c r="QC445" s="31"/>
      <c r="QD445" s="31"/>
      <c r="QE445" s="31"/>
      <c r="QF445" s="31"/>
      <c r="QG445" s="31"/>
      <c r="QH445" s="31"/>
      <c r="QI445" s="31"/>
      <c r="QJ445" s="31"/>
      <c r="QK445" s="31"/>
      <c r="QL445" s="31"/>
      <c r="QM445" s="31"/>
      <c r="QN445" s="31"/>
      <c r="QO445" s="31"/>
      <c r="QP445" s="31"/>
      <c r="QQ445" s="31"/>
      <c r="QR445" s="31"/>
      <c r="QS445" s="31"/>
      <c r="QT445" s="31"/>
      <c r="QU445" s="31"/>
      <c r="QV445" s="31"/>
      <c r="QW445" s="31"/>
      <c r="QX445" s="31"/>
      <c r="QY445" s="31"/>
      <c r="QZ445" s="31"/>
      <c r="RA445" s="31"/>
      <c r="RB445" s="31"/>
      <c r="RC445" s="31"/>
      <c r="RD445" s="31"/>
      <c r="RE445" s="31"/>
      <c r="RF445" s="31"/>
      <c r="RG445" s="31"/>
      <c r="RH445" s="31"/>
      <c r="RI445" s="31"/>
      <c r="RJ445" s="31"/>
      <c r="RK445" s="31"/>
      <c r="RL445" s="31"/>
      <c r="RM445" s="31"/>
      <c r="RN445" s="31"/>
      <c r="RO445" s="31"/>
      <c r="RP445" s="31"/>
      <c r="RQ445" s="31"/>
      <c r="RR445" s="31"/>
      <c r="RS445" s="31"/>
      <c r="RT445" s="31"/>
      <c r="RU445" s="31"/>
      <c r="RV445" s="31"/>
      <c r="RW445" s="31"/>
      <c r="RX445" s="31"/>
      <c r="RY445" s="31"/>
      <c r="RZ445" s="31"/>
      <c r="SA445" s="31"/>
      <c r="SB445" s="31"/>
      <c r="SC445" s="31"/>
      <c r="SD445" s="31"/>
      <c r="SE445" s="31"/>
      <c r="SF445" s="31"/>
      <c r="SG445" s="31"/>
      <c r="SH445" s="31"/>
      <c r="SI445" s="31"/>
      <c r="SJ445" s="31"/>
      <c r="SK445" s="31"/>
      <c r="SL445" s="31"/>
      <c r="SM445" s="31"/>
      <c r="SN445" s="31"/>
      <c r="SO445" s="31"/>
      <c r="SP445" s="31"/>
      <c r="SQ445" s="31"/>
      <c r="SR445" s="31"/>
      <c r="SS445" s="31"/>
      <c r="ST445" s="31"/>
      <c r="SU445" s="31"/>
      <c r="SV445" s="31"/>
      <c r="SW445" s="31"/>
      <c r="SX445" s="31"/>
      <c r="SY445" s="31"/>
      <c r="SZ445" s="31"/>
      <c r="TA445" s="31"/>
      <c r="TB445" s="31"/>
      <c r="TC445" s="31"/>
      <c r="TD445" s="31"/>
      <c r="TE445" s="31"/>
      <c r="TF445" s="31"/>
      <c r="TG445" s="31"/>
      <c r="TH445" s="31"/>
      <c r="TI445" s="31"/>
      <c r="TJ445" s="31"/>
      <c r="TK445" s="31"/>
      <c r="TL445" s="31"/>
      <c r="TM445" s="31"/>
      <c r="TN445" s="31"/>
      <c r="TO445" s="31"/>
      <c r="TP445" s="31"/>
      <c r="TQ445" s="31"/>
      <c r="TR445" s="31"/>
      <c r="TS445" s="31"/>
      <c r="TT445" s="31"/>
      <c r="TU445" s="31"/>
      <c r="TV445" s="31"/>
      <c r="TW445" s="31"/>
      <c r="TX445" s="31"/>
      <c r="TY445" s="31"/>
      <c r="TZ445" s="31"/>
      <c r="UA445" s="31"/>
      <c r="UB445" s="31"/>
      <c r="UC445" s="31"/>
      <c r="UD445" s="31"/>
      <c r="UE445" s="31"/>
      <c r="UF445" s="31"/>
      <c r="UG445" s="33"/>
    </row>
    <row r="446" spans="1:553" ht="30.75" customHeight="1">
      <c r="A446" s="356" t="s">
        <v>30</v>
      </c>
      <c r="B446" s="385" t="s">
        <v>35</v>
      </c>
      <c r="C446" s="1404" t="s">
        <v>343</v>
      </c>
      <c r="D446" s="1389"/>
      <c r="E446" s="1389"/>
      <c r="F446" s="1390"/>
      <c r="G446" s="386" t="s">
        <v>935</v>
      </c>
      <c r="H446" s="370"/>
      <c r="I446" s="422">
        <f>0.4*4*8</f>
        <v>12.8</v>
      </c>
      <c r="J446" s="368">
        <v>39000</v>
      </c>
      <c r="K446" s="371"/>
      <c r="L446" s="391">
        <f t="shared" si="87"/>
        <v>499200</v>
      </c>
      <c r="M446" s="391"/>
      <c r="N446" s="391"/>
      <c r="O446" s="391"/>
      <c r="P446" s="391"/>
      <c r="Q446" s="1445"/>
      <c r="R446" s="1226"/>
      <c r="S446" s="308"/>
      <c r="T446" s="303"/>
      <c r="U446" s="306"/>
      <c r="V446" s="307"/>
      <c r="W446" s="307"/>
      <c r="X446" s="307"/>
      <c r="Y446" s="307"/>
      <c r="Z446" s="307"/>
      <c r="AA446" s="307"/>
      <c r="AB446" s="307"/>
      <c r="AC446" s="449"/>
      <c r="AD446" s="449"/>
      <c r="AE446" s="449"/>
      <c r="AF446" s="449"/>
      <c r="AG446" s="449"/>
      <c r="AH446" s="449"/>
      <c r="AI446" s="449"/>
      <c r="AJ446" s="449"/>
      <c r="AK446" s="452"/>
      <c r="AL446" s="104"/>
      <c r="AM446" s="32"/>
      <c r="AN446" s="32"/>
      <c r="AO446" s="32"/>
      <c r="AP446" s="32"/>
      <c r="AQ446" s="32"/>
      <c r="AR446" s="32"/>
      <c r="AS446" s="31"/>
      <c r="AT446" s="31"/>
      <c r="AU446" s="31"/>
      <c r="AV446" s="31"/>
      <c r="AW446" s="31"/>
      <c r="AX446" s="31"/>
      <c r="AY446" s="31"/>
      <c r="AZ446" s="31"/>
      <c r="BA446" s="31"/>
      <c r="BB446" s="31"/>
      <c r="BC446" s="31"/>
      <c r="BD446" s="31"/>
      <c r="BE446" s="31"/>
      <c r="BF446" s="31"/>
      <c r="BG446" s="31"/>
      <c r="BH446" s="31"/>
      <c r="BI446" s="31"/>
      <c r="BJ446" s="31"/>
      <c r="BK446" s="31"/>
      <c r="BL446" s="31"/>
      <c r="BM446" s="31"/>
      <c r="BN446" s="31"/>
      <c r="BO446" s="31"/>
      <c r="BP446" s="31"/>
      <c r="BQ446" s="31"/>
      <c r="BR446" s="31"/>
      <c r="BS446" s="31"/>
      <c r="BT446" s="31"/>
      <c r="BU446" s="31"/>
      <c r="BV446" s="31"/>
      <c r="BW446" s="31"/>
      <c r="BX446" s="31"/>
      <c r="BY446" s="31"/>
      <c r="BZ446" s="31"/>
      <c r="CA446" s="31"/>
      <c r="CB446" s="31"/>
      <c r="CC446" s="31"/>
      <c r="CD446" s="31"/>
      <c r="CE446" s="31"/>
      <c r="CF446" s="31"/>
      <c r="CG446" s="31"/>
      <c r="CH446" s="31"/>
      <c r="CI446" s="31"/>
      <c r="CJ446" s="31"/>
      <c r="CK446" s="31"/>
      <c r="CL446" s="31"/>
      <c r="CM446" s="31"/>
      <c r="CN446" s="31"/>
      <c r="CO446" s="31"/>
      <c r="CP446" s="31"/>
      <c r="CQ446" s="31"/>
      <c r="CR446" s="31"/>
      <c r="CS446" s="31"/>
      <c r="CT446" s="31"/>
      <c r="CU446" s="31"/>
      <c r="CV446" s="31"/>
      <c r="CW446" s="31"/>
      <c r="CX446" s="31"/>
      <c r="CY446" s="31"/>
      <c r="CZ446" s="31"/>
      <c r="DA446" s="31"/>
      <c r="DB446" s="31"/>
      <c r="DC446" s="31"/>
      <c r="DD446" s="31"/>
      <c r="DE446" s="31"/>
      <c r="DF446" s="31"/>
      <c r="DG446" s="31"/>
      <c r="DH446" s="31"/>
      <c r="DI446" s="31"/>
      <c r="DJ446" s="31"/>
      <c r="DK446" s="31"/>
      <c r="DL446" s="31"/>
      <c r="DM446" s="31"/>
      <c r="DN446" s="31"/>
      <c r="DO446" s="31"/>
      <c r="DP446" s="31"/>
      <c r="DQ446" s="31"/>
      <c r="DR446" s="31"/>
      <c r="DS446" s="31"/>
      <c r="DT446" s="31"/>
      <c r="DU446" s="31"/>
      <c r="DV446" s="31"/>
      <c r="DW446" s="31"/>
      <c r="DX446" s="31"/>
      <c r="DY446" s="31"/>
      <c r="DZ446" s="31"/>
      <c r="EA446" s="31"/>
      <c r="EB446" s="31"/>
      <c r="EC446" s="31"/>
      <c r="ED446" s="31"/>
      <c r="EE446" s="31"/>
      <c r="EF446" s="31"/>
      <c r="EG446" s="31"/>
      <c r="EH446" s="31"/>
      <c r="EI446" s="31"/>
      <c r="EJ446" s="31"/>
      <c r="EK446" s="31"/>
      <c r="EL446" s="31"/>
      <c r="EM446" s="31"/>
      <c r="EN446" s="31"/>
      <c r="EO446" s="31"/>
      <c r="EP446" s="31"/>
      <c r="EQ446" s="31"/>
      <c r="ER446" s="31"/>
      <c r="ES446" s="31"/>
      <c r="ET446" s="31"/>
      <c r="EU446" s="31"/>
      <c r="EV446" s="31"/>
      <c r="EW446" s="31"/>
      <c r="EX446" s="31"/>
      <c r="EY446" s="31"/>
      <c r="EZ446" s="31"/>
      <c r="FA446" s="31"/>
      <c r="FB446" s="31"/>
      <c r="FC446" s="31"/>
      <c r="FD446" s="31"/>
      <c r="FE446" s="31"/>
      <c r="FF446" s="31"/>
      <c r="FG446" s="31"/>
      <c r="FH446" s="31"/>
      <c r="FI446" s="31"/>
      <c r="FJ446" s="31"/>
      <c r="FK446" s="31"/>
      <c r="FL446" s="31"/>
      <c r="FM446" s="31"/>
      <c r="FN446" s="31"/>
      <c r="FO446" s="31"/>
      <c r="FP446" s="31"/>
      <c r="FQ446" s="31"/>
      <c r="FR446" s="31"/>
      <c r="FS446" s="31"/>
      <c r="FT446" s="31"/>
      <c r="FU446" s="31"/>
      <c r="FV446" s="31"/>
      <c r="FW446" s="31"/>
      <c r="FX446" s="31"/>
      <c r="FY446" s="31"/>
      <c r="FZ446" s="31"/>
      <c r="GA446" s="31"/>
      <c r="GB446" s="31"/>
      <c r="GC446" s="31"/>
      <c r="GD446" s="31"/>
      <c r="GE446" s="31"/>
      <c r="GF446" s="31"/>
      <c r="GG446" s="31"/>
      <c r="GH446" s="31"/>
      <c r="GI446" s="31"/>
      <c r="GJ446" s="31"/>
      <c r="GK446" s="31"/>
      <c r="GL446" s="31"/>
      <c r="GM446" s="31"/>
      <c r="GN446" s="31"/>
      <c r="GO446" s="31"/>
      <c r="GP446" s="31"/>
      <c r="GQ446" s="31"/>
      <c r="GR446" s="31"/>
      <c r="GS446" s="31"/>
      <c r="GT446" s="31"/>
      <c r="GU446" s="31"/>
      <c r="GV446" s="31"/>
      <c r="GW446" s="31"/>
      <c r="GX446" s="31"/>
      <c r="GY446" s="31"/>
      <c r="GZ446" s="31"/>
      <c r="HA446" s="31"/>
      <c r="HB446" s="31"/>
      <c r="HC446" s="31"/>
      <c r="HD446" s="31"/>
      <c r="HE446" s="31"/>
      <c r="HF446" s="31"/>
      <c r="HG446" s="31"/>
      <c r="HH446" s="31"/>
      <c r="HI446" s="31"/>
      <c r="HJ446" s="31"/>
      <c r="HK446" s="31"/>
      <c r="HL446" s="31"/>
      <c r="HM446" s="31"/>
      <c r="HN446" s="31"/>
      <c r="HO446" s="31"/>
      <c r="HP446" s="31"/>
      <c r="HQ446" s="31"/>
      <c r="HR446" s="31"/>
      <c r="HS446" s="31"/>
      <c r="HT446" s="31"/>
      <c r="HU446" s="31"/>
      <c r="HV446" s="31"/>
      <c r="HW446" s="31"/>
      <c r="HX446" s="31"/>
      <c r="HY446" s="31"/>
      <c r="HZ446" s="31"/>
      <c r="IA446" s="31"/>
      <c r="IB446" s="31"/>
      <c r="IC446" s="31"/>
      <c r="ID446" s="31"/>
      <c r="IE446" s="31"/>
      <c r="IF446" s="31"/>
      <c r="IG446" s="31"/>
      <c r="IH446" s="31"/>
      <c r="II446" s="31"/>
      <c r="IJ446" s="31"/>
      <c r="IK446" s="31"/>
      <c r="IL446" s="31"/>
      <c r="IM446" s="31"/>
      <c r="IN446" s="31"/>
      <c r="IO446" s="31"/>
      <c r="IP446" s="31"/>
      <c r="IQ446" s="31"/>
      <c r="IR446" s="31"/>
      <c r="IS446" s="31"/>
      <c r="IT446" s="31"/>
      <c r="IU446" s="31"/>
      <c r="IV446" s="31"/>
      <c r="IW446" s="31"/>
      <c r="IX446" s="31"/>
      <c r="IY446" s="31"/>
      <c r="IZ446" s="31"/>
      <c r="JA446" s="31"/>
      <c r="JB446" s="31"/>
      <c r="JC446" s="31"/>
      <c r="JD446" s="31"/>
      <c r="JE446" s="31"/>
      <c r="JF446" s="31"/>
      <c r="JG446" s="31"/>
      <c r="JH446" s="31"/>
      <c r="JI446" s="31"/>
      <c r="JJ446" s="31"/>
      <c r="JK446" s="31"/>
      <c r="JL446" s="31"/>
      <c r="JM446" s="31"/>
      <c r="JN446" s="31"/>
      <c r="JO446" s="31"/>
      <c r="JP446" s="31"/>
      <c r="JQ446" s="31"/>
      <c r="JR446" s="31"/>
      <c r="JS446" s="31"/>
      <c r="JT446" s="31"/>
      <c r="JU446" s="31"/>
      <c r="JV446" s="31"/>
      <c r="JW446" s="31"/>
      <c r="JX446" s="31"/>
      <c r="JY446" s="31"/>
      <c r="JZ446" s="31"/>
      <c r="KA446" s="31"/>
      <c r="KB446" s="31"/>
      <c r="KC446" s="31"/>
      <c r="KD446" s="31"/>
      <c r="KE446" s="31"/>
      <c r="KF446" s="31"/>
      <c r="KG446" s="31"/>
      <c r="KH446" s="31"/>
      <c r="KI446" s="31"/>
      <c r="KJ446" s="31"/>
      <c r="KK446" s="31"/>
      <c r="KL446" s="31"/>
      <c r="KM446" s="31"/>
      <c r="KN446" s="31"/>
      <c r="KO446" s="31"/>
      <c r="KP446" s="31"/>
      <c r="KQ446" s="31"/>
      <c r="KR446" s="31"/>
      <c r="KS446" s="31"/>
      <c r="KT446" s="31"/>
      <c r="KU446" s="31"/>
      <c r="KV446" s="31"/>
      <c r="KW446" s="31"/>
      <c r="KX446" s="31"/>
      <c r="KY446" s="31"/>
      <c r="KZ446" s="31"/>
      <c r="LA446" s="31"/>
      <c r="LB446" s="31"/>
      <c r="LC446" s="31"/>
      <c r="LD446" s="31"/>
      <c r="LE446" s="31"/>
      <c r="LF446" s="31"/>
      <c r="LG446" s="31"/>
      <c r="LH446" s="31"/>
      <c r="LI446" s="31"/>
      <c r="LJ446" s="31"/>
      <c r="LK446" s="31"/>
      <c r="LL446" s="31"/>
      <c r="LM446" s="31"/>
      <c r="LN446" s="31"/>
      <c r="LO446" s="31"/>
      <c r="LP446" s="31"/>
      <c r="LQ446" s="31"/>
      <c r="LR446" s="31"/>
      <c r="LS446" s="31"/>
      <c r="LT446" s="31"/>
      <c r="LU446" s="31"/>
      <c r="LV446" s="31"/>
      <c r="LW446" s="31"/>
      <c r="LX446" s="31"/>
      <c r="LY446" s="31"/>
      <c r="LZ446" s="31"/>
      <c r="MA446" s="31"/>
      <c r="MB446" s="31"/>
      <c r="MC446" s="31"/>
      <c r="MD446" s="31"/>
      <c r="ME446" s="31"/>
      <c r="MF446" s="31"/>
      <c r="MG446" s="31"/>
      <c r="MH446" s="31"/>
      <c r="MI446" s="31"/>
      <c r="MJ446" s="31"/>
      <c r="MK446" s="31"/>
      <c r="ML446" s="31"/>
      <c r="MM446" s="31"/>
      <c r="MN446" s="31"/>
      <c r="MO446" s="31"/>
      <c r="MP446" s="31"/>
      <c r="MQ446" s="31"/>
      <c r="MR446" s="31"/>
      <c r="MS446" s="31"/>
      <c r="MT446" s="31"/>
      <c r="MU446" s="31"/>
      <c r="MV446" s="31"/>
      <c r="MW446" s="31"/>
      <c r="MX446" s="31"/>
      <c r="MY446" s="31"/>
      <c r="MZ446" s="31"/>
      <c r="NA446" s="31"/>
      <c r="NB446" s="31"/>
      <c r="NC446" s="31"/>
      <c r="ND446" s="31"/>
      <c r="NE446" s="31"/>
      <c r="NF446" s="31"/>
      <c r="NG446" s="31"/>
      <c r="NH446" s="31"/>
      <c r="NI446" s="31"/>
      <c r="NJ446" s="31"/>
      <c r="NK446" s="31"/>
      <c r="NL446" s="31"/>
      <c r="NM446" s="31"/>
      <c r="NN446" s="31"/>
      <c r="NO446" s="31"/>
      <c r="NP446" s="31"/>
      <c r="NQ446" s="31"/>
      <c r="NR446" s="31"/>
      <c r="NS446" s="31"/>
      <c r="NT446" s="31"/>
      <c r="NU446" s="31"/>
      <c r="NV446" s="31"/>
      <c r="NW446" s="31"/>
      <c r="NX446" s="31"/>
      <c r="NY446" s="31"/>
      <c r="NZ446" s="31"/>
      <c r="OA446" s="31"/>
      <c r="OB446" s="31"/>
      <c r="OC446" s="31"/>
      <c r="OD446" s="31"/>
      <c r="OE446" s="31"/>
      <c r="OF446" s="31"/>
      <c r="OG446" s="31"/>
      <c r="OH446" s="31"/>
      <c r="OI446" s="31"/>
      <c r="OJ446" s="31"/>
      <c r="OK446" s="31"/>
      <c r="OL446" s="31"/>
      <c r="OM446" s="31"/>
      <c r="ON446" s="31"/>
      <c r="OO446" s="31"/>
      <c r="OP446" s="31"/>
      <c r="OQ446" s="31"/>
      <c r="OR446" s="31"/>
      <c r="OS446" s="31"/>
      <c r="OT446" s="31"/>
      <c r="OU446" s="31"/>
      <c r="OV446" s="31"/>
      <c r="OW446" s="31"/>
      <c r="OX446" s="31"/>
      <c r="OY446" s="31"/>
      <c r="OZ446" s="31"/>
      <c r="PA446" s="31"/>
      <c r="PB446" s="31"/>
      <c r="PC446" s="31"/>
      <c r="PD446" s="31"/>
      <c r="PE446" s="31"/>
      <c r="PF446" s="31"/>
      <c r="PG446" s="31"/>
      <c r="PH446" s="31"/>
      <c r="PI446" s="31"/>
      <c r="PJ446" s="31"/>
      <c r="PK446" s="31"/>
      <c r="PL446" s="31"/>
      <c r="PM446" s="31"/>
      <c r="PN446" s="31"/>
      <c r="PO446" s="31"/>
      <c r="PP446" s="31"/>
      <c r="PQ446" s="31"/>
      <c r="PR446" s="31"/>
      <c r="PS446" s="31"/>
      <c r="PT446" s="31"/>
      <c r="PU446" s="31"/>
      <c r="PV446" s="31"/>
      <c r="PW446" s="31"/>
      <c r="PX446" s="31"/>
      <c r="PY446" s="31"/>
      <c r="PZ446" s="31"/>
      <c r="QA446" s="31"/>
      <c r="QB446" s="31"/>
      <c r="QC446" s="31"/>
      <c r="QD446" s="31"/>
      <c r="QE446" s="31"/>
      <c r="QF446" s="31"/>
      <c r="QG446" s="31"/>
      <c r="QH446" s="31"/>
      <c r="QI446" s="31"/>
      <c r="QJ446" s="31"/>
      <c r="QK446" s="31"/>
      <c r="QL446" s="31"/>
      <c r="QM446" s="31"/>
      <c r="QN446" s="31"/>
      <c r="QO446" s="31"/>
      <c r="QP446" s="31"/>
      <c r="QQ446" s="31"/>
      <c r="QR446" s="31"/>
      <c r="QS446" s="31"/>
      <c r="QT446" s="31"/>
      <c r="QU446" s="31"/>
      <c r="QV446" s="31"/>
      <c r="QW446" s="31"/>
      <c r="QX446" s="31"/>
      <c r="QY446" s="31"/>
      <c r="QZ446" s="31"/>
      <c r="RA446" s="31"/>
      <c r="RB446" s="31"/>
      <c r="RC446" s="31"/>
      <c r="RD446" s="31"/>
      <c r="RE446" s="31"/>
      <c r="RF446" s="31"/>
      <c r="RG446" s="31"/>
      <c r="RH446" s="31"/>
      <c r="RI446" s="31"/>
      <c r="RJ446" s="31"/>
      <c r="RK446" s="31"/>
      <c r="RL446" s="31"/>
      <c r="RM446" s="31"/>
      <c r="RN446" s="31"/>
      <c r="RO446" s="31"/>
      <c r="RP446" s="31"/>
      <c r="RQ446" s="31"/>
      <c r="RR446" s="31"/>
      <c r="RS446" s="31"/>
      <c r="RT446" s="31"/>
      <c r="RU446" s="31"/>
      <c r="RV446" s="31"/>
      <c r="RW446" s="31"/>
      <c r="RX446" s="31"/>
      <c r="RY446" s="31"/>
      <c r="RZ446" s="31"/>
      <c r="SA446" s="31"/>
      <c r="SB446" s="31"/>
      <c r="SC446" s="31"/>
      <c r="SD446" s="31"/>
      <c r="SE446" s="31"/>
      <c r="SF446" s="31"/>
      <c r="SG446" s="31"/>
      <c r="SH446" s="31"/>
      <c r="SI446" s="31"/>
      <c r="SJ446" s="31"/>
      <c r="SK446" s="31"/>
      <c r="SL446" s="31"/>
      <c r="SM446" s="31"/>
      <c r="SN446" s="31"/>
      <c r="SO446" s="31"/>
      <c r="SP446" s="31"/>
      <c r="SQ446" s="31"/>
      <c r="SR446" s="31"/>
      <c r="SS446" s="31"/>
      <c r="ST446" s="31"/>
      <c r="SU446" s="31"/>
      <c r="SV446" s="31"/>
      <c r="SW446" s="31"/>
      <c r="SX446" s="31"/>
      <c r="SY446" s="31"/>
      <c r="SZ446" s="31"/>
      <c r="TA446" s="31"/>
      <c r="TB446" s="31"/>
      <c r="TC446" s="31"/>
      <c r="TD446" s="31"/>
      <c r="TE446" s="31"/>
      <c r="TF446" s="31"/>
      <c r="TG446" s="31"/>
      <c r="TH446" s="31"/>
      <c r="TI446" s="31"/>
      <c r="TJ446" s="31"/>
      <c r="TK446" s="31"/>
      <c r="TL446" s="31"/>
      <c r="TM446" s="31"/>
      <c r="TN446" s="31"/>
      <c r="TO446" s="31"/>
      <c r="TP446" s="31"/>
      <c r="TQ446" s="31"/>
      <c r="TR446" s="31"/>
      <c r="TS446" s="31"/>
      <c r="TT446" s="31"/>
      <c r="TU446" s="31"/>
      <c r="TV446" s="31"/>
      <c r="TW446" s="31"/>
      <c r="TX446" s="31"/>
      <c r="TY446" s="31"/>
      <c r="TZ446" s="31"/>
      <c r="UA446" s="31"/>
      <c r="UB446" s="31"/>
      <c r="UC446" s="31"/>
      <c r="UD446" s="31"/>
      <c r="UE446" s="31"/>
      <c r="UF446" s="31"/>
      <c r="UG446" s="33"/>
    </row>
    <row r="447" spans="1:553" ht="30.75" customHeight="1">
      <c r="A447" s="356" t="s">
        <v>30</v>
      </c>
      <c r="B447" s="385" t="s">
        <v>35</v>
      </c>
      <c r="C447" s="1404" t="s">
        <v>344</v>
      </c>
      <c r="D447" s="1389"/>
      <c r="E447" s="1389"/>
      <c r="F447" s="1390"/>
      <c r="G447" s="386" t="s">
        <v>935</v>
      </c>
      <c r="H447" s="370"/>
      <c r="I447" s="834">
        <f>0.46*6* 8</f>
        <v>22.080000000000002</v>
      </c>
      <c r="J447" s="368">
        <v>39000</v>
      </c>
      <c r="K447" s="371"/>
      <c r="L447" s="391">
        <f t="shared" si="87"/>
        <v>861120</v>
      </c>
      <c r="M447" s="395"/>
      <c r="N447" s="395"/>
      <c r="O447" s="366"/>
      <c r="P447" s="396"/>
      <c r="Q447" s="473"/>
      <c r="R447" s="1039"/>
      <c r="S447" s="308"/>
      <c r="T447" s="303"/>
      <c r="U447" s="306"/>
      <c r="V447" s="307"/>
      <c r="W447" s="307"/>
      <c r="X447" s="307"/>
      <c r="Y447" s="307"/>
      <c r="Z447" s="307"/>
      <c r="AA447" s="307"/>
      <c r="AB447" s="307"/>
      <c r="AC447" s="449"/>
      <c r="AD447" s="449"/>
      <c r="AE447" s="449"/>
      <c r="AF447" s="449"/>
      <c r="AG447" s="452"/>
      <c r="AH447" s="452"/>
      <c r="AI447" s="452"/>
      <c r="AJ447" s="452"/>
      <c r="AK447" s="452"/>
      <c r="AL447" s="104"/>
      <c r="AM447" s="32"/>
      <c r="AN447" s="32"/>
      <c r="AO447" s="32"/>
      <c r="AP447" s="32"/>
      <c r="AQ447" s="31"/>
      <c r="AR447" s="31"/>
      <c r="AS447" s="31"/>
      <c r="AT447" s="31"/>
      <c r="AU447" s="31"/>
      <c r="AV447" s="31"/>
      <c r="AW447" s="31"/>
      <c r="AX447" s="31"/>
      <c r="AY447" s="31"/>
      <c r="AZ447" s="31"/>
      <c r="BA447" s="31"/>
      <c r="BB447" s="31"/>
      <c r="BC447" s="31"/>
      <c r="BD447" s="31"/>
      <c r="BE447" s="31"/>
      <c r="BF447" s="31"/>
      <c r="BG447" s="31"/>
      <c r="BH447" s="31"/>
      <c r="BI447" s="31"/>
      <c r="BJ447" s="31"/>
      <c r="BK447" s="31"/>
      <c r="BL447" s="31"/>
      <c r="BM447" s="25"/>
      <c r="BN447" s="25"/>
      <c r="BO447" s="25"/>
      <c r="BP447" s="25"/>
      <c r="BQ447" s="25"/>
      <c r="BR447" s="25"/>
      <c r="BS447" s="25"/>
      <c r="BT447" s="25"/>
      <c r="BU447" s="25"/>
      <c r="BV447" s="25"/>
      <c r="BW447" s="25"/>
      <c r="BX447" s="25"/>
      <c r="BY447" s="25"/>
      <c r="BZ447" s="25"/>
      <c r="CA447" s="25"/>
      <c r="CB447" s="25"/>
      <c r="CC447" s="25"/>
      <c r="CD447" s="25"/>
      <c r="CE447" s="25"/>
      <c r="CF447" s="25"/>
      <c r="CG447" s="25"/>
      <c r="CH447" s="25"/>
      <c r="CI447" s="25"/>
      <c r="CJ447" s="25"/>
      <c r="CK447" s="25"/>
      <c r="CL447" s="25"/>
      <c r="CM447" s="25"/>
      <c r="CN447" s="25"/>
      <c r="CO447" s="25"/>
      <c r="CP447" s="25"/>
      <c r="CQ447" s="25"/>
      <c r="CR447" s="25"/>
      <c r="CS447" s="25"/>
      <c r="CT447" s="25"/>
      <c r="CU447" s="25"/>
      <c r="CV447" s="25"/>
      <c r="CW447" s="25"/>
      <c r="CX447" s="25"/>
      <c r="CY447" s="25"/>
      <c r="CZ447" s="25"/>
      <c r="DA447" s="25"/>
      <c r="DB447" s="25"/>
      <c r="DC447" s="25"/>
      <c r="DD447" s="25"/>
      <c r="DE447" s="25"/>
      <c r="DF447" s="25"/>
      <c r="DG447" s="25"/>
      <c r="DH447" s="25"/>
      <c r="DI447" s="25"/>
      <c r="DJ447" s="25"/>
      <c r="DK447" s="25"/>
      <c r="DL447" s="25"/>
      <c r="DM447" s="25"/>
      <c r="DN447" s="25"/>
      <c r="DO447" s="25"/>
      <c r="DP447" s="25"/>
      <c r="DQ447" s="25"/>
      <c r="DR447" s="25"/>
      <c r="DS447" s="25"/>
      <c r="DT447" s="25"/>
      <c r="DU447" s="25"/>
      <c r="DV447" s="25"/>
      <c r="DW447" s="25"/>
      <c r="DX447" s="25"/>
      <c r="DY447" s="25"/>
      <c r="DZ447" s="25"/>
      <c r="EA447" s="25"/>
      <c r="EB447" s="25"/>
      <c r="EC447" s="25"/>
      <c r="ED447" s="25"/>
      <c r="EE447" s="25"/>
      <c r="EF447" s="25"/>
      <c r="EG447" s="25"/>
      <c r="EH447" s="25"/>
      <c r="EI447" s="25"/>
      <c r="EJ447" s="25"/>
      <c r="EK447" s="25"/>
      <c r="EL447" s="25"/>
      <c r="EM447" s="25"/>
      <c r="EN447" s="25"/>
      <c r="EO447" s="25"/>
      <c r="EP447" s="25"/>
      <c r="EQ447" s="25"/>
      <c r="ER447" s="25"/>
      <c r="ES447" s="25"/>
      <c r="ET447" s="25"/>
      <c r="EU447" s="25"/>
      <c r="EV447" s="25"/>
      <c r="EW447" s="25"/>
      <c r="EX447" s="25"/>
      <c r="EY447" s="25"/>
      <c r="EZ447" s="25"/>
      <c r="FA447" s="25"/>
      <c r="FB447" s="25"/>
      <c r="FC447" s="25"/>
      <c r="FD447" s="25"/>
      <c r="FE447" s="25"/>
      <c r="FF447" s="25"/>
      <c r="FG447" s="25"/>
      <c r="FH447" s="25"/>
      <c r="FI447" s="25"/>
      <c r="FJ447" s="25"/>
      <c r="FK447" s="25"/>
      <c r="FL447" s="25"/>
      <c r="FM447" s="25"/>
      <c r="FN447" s="25"/>
      <c r="FO447" s="25"/>
      <c r="FP447" s="25"/>
      <c r="FQ447" s="25"/>
      <c r="FR447" s="25"/>
      <c r="FS447" s="25"/>
      <c r="FT447" s="25"/>
      <c r="FU447" s="25"/>
      <c r="FV447" s="25"/>
      <c r="FW447" s="25"/>
      <c r="FX447" s="25"/>
      <c r="FY447" s="25"/>
      <c r="FZ447" s="25"/>
      <c r="GA447" s="25"/>
      <c r="GB447" s="25"/>
      <c r="GC447" s="25"/>
      <c r="GD447" s="25"/>
      <c r="GE447" s="25"/>
      <c r="GF447" s="25"/>
      <c r="GG447" s="25"/>
      <c r="GH447" s="25"/>
      <c r="GI447" s="25"/>
      <c r="GJ447" s="25"/>
      <c r="GK447" s="25"/>
      <c r="GL447" s="25"/>
      <c r="GM447" s="25"/>
      <c r="GN447" s="25"/>
      <c r="GO447" s="25"/>
      <c r="GP447" s="25"/>
      <c r="GQ447" s="25"/>
      <c r="GR447" s="25"/>
      <c r="GS447" s="25"/>
      <c r="GT447" s="25"/>
      <c r="GU447" s="25"/>
      <c r="GV447" s="25"/>
      <c r="GW447" s="25"/>
      <c r="GX447" s="25"/>
      <c r="GY447" s="25"/>
      <c r="GZ447" s="25"/>
      <c r="HA447" s="25"/>
      <c r="HB447" s="25"/>
      <c r="HC447" s="25"/>
      <c r="HD447" s="25"/>
      <c r="HE447" s="25"/>
      <c r="HF447" s="25"/>
      <c r="HG447" s="25"/>
      <c r="HH447" s="25"/>
      <c r="HI447" s="25"/>
      <c r="HJ447" s="25"/>
      <c r="HK447" s="25"/>
      <c r="HL447" s="25"/>
      <c r="HM447" s="25"/>
      <c r="HN447" s="25"/>
      <c r="HO447" s="25"/>
      <c r="HP447" s="25"/>
      <c r="HQ447" s="25"/>
      <c r="HR447" s="25"/>
      <c r="HS447" s="25"/>
      <c r="HT447" s="25"/>
      <c r="HU447" s="25"/>
      <c r="HV447" s="25"/>
      <c r="HW447" s="25"/>
      <c r="HX447" s="25"/>
      <c r="HY447" s="25"/>
      <c r="HZ447" s="25"/>
      <c r="IA447" s="25"/>
      <c r="IB447" s="25"/>
      <c r="IC447" s="25"/>
      <c r="ID447" s="25"/>
      <c r="IE447" s="25"/>
      <c r="IF447" s="25"/>
      <c r="IG447" s="25"/>
      <c r="IH447" s="25"/>
      <c r="II447" s="25"/>
      <c r="IJ447" s="25"/>
      <c r="IK447" s="25"/>
      <c r="IL447" s="25"/>
      <c r="IM447" s="25"/>
      <c r="IN447" s="25"/>
      <c r="IO447" s="25"/>
      <c r="IP447" s="25"/>
      <c r="IQ447" s="25"/>
      <c r="IR447" s="25"/>
      <c r="IS447" s="25"/>
      <c r="IT447" s="25"/>
      <c r="IU447" s="25"/>
      <c r="IV447" s="25"/>
      <c r="IW447" s="25"/>
      <c r="IX447" s="25"/>
      <c r="IY447" s="25"/>
      <c r="IZ447" s="25"/>
      <c r="JA447" s="25"/>
      <c r="JB447" s="25"/>
      <c r="JC447" s="25"/>
      <c r="JD447" s="25"/>
      <c r="JE447" s="25"/>
      <c r="JF447" s="25"/>
      <c r="JG447" s="25"/>
      <c r="JH447" s="25"/>
      <c r="JI447" s="25"/>
      <c r="JJ447" s="25"/>
      <c r="JK447" s="25"/>
      <c r="JL447" s="25"/>
      <c r="JM447" s="25"/>
      <c r="JN447" s="25"/>
      <c r="JO447" s="25"/>
      <c r="JP447" s="25"/>
      <c r="JQ447" s="25"/>
      <c r="JR447" s="25"/>
      <c r="JS447" s="25"/>
      <c r="JT447" s="25"/>
      <c r="JU447" s="25"/>
      <c r="JV447" s="25"/>
      <c r="JW447" s="25"/>
      <c r="JX447" s="25"/>
      <c r="JY447" s="25"/>
      <c r="JZ447" s="25"/>
      <c r="KA447" s="25"/>
      <c r="KB447" s="25"/>
      <c r="KC447" s="25"/>
      <c r="KD447" s="25"/>
      <c r="KE447" s="25"/>
      <c r="KF447" s="25"/>
      <c r="KG447" s="25"/>
      <c r="KH447" s="25"/>
      <c r="KI447" s="25"/>
      <c r="KJ447" s="25"/>
      <c r="KK447" s="25"/>
      <c r="KL447" s="25"/>
      <c r="KM447" s="25"/>
      <c r="KN447" s="25"/>
      <c r="KO447" s="25"/>
      <c r="KP447" s="25"/>
      <c r="KQ447" s="25"/>
      <c r="KR447" s="25"/>
      <c r="KS447" s="25"/>
      <c r="KT447" s="25"/>
      <c r="KU447" s="25"/>
      <c r="KV447" s="25"/>
      <c r="KW447" s="25"/>
      <c r="KX447" s="25"/>
      <c r="KY447" s="25"/>
      <c r="KZ447" s="25"/>
      <c r="LA447" s="25"/>
      <c r="LB447" s="25"/>
      <c r="LC447" s="25"/>
      <c r="LD447" s="25"/>
      <c r="LE447" s="25"/>
      <c r="LF447" s="25"/>
      <c r="LG447" s="25"/>
      <c r="LH447" s="25"/>
      <c r="LI447" s="25"/>
      <c r="LJ447" s="25"/>
      <c r="LK447" s="25"/>
      <c r="LL447" s="25"/>
      <c r="LM447" s="25"/>
      <c r="LN447" s="25"/>
      <c r="LO447" s="25"/>
      <c r="LP447" s="25"/>
      <c r="LQ447" s="25"/>
      <c r="LR447" s="25"/>
      <c r="LS447" s="25"/>
      <c r="LT447" s="25"/>
      <c r="LU447" s="25"/>
      <c r="LV447" s="25"/>
      <c r="LW447" s="25"/>
      <c r="LX447" s="25"/>
      <c r="LY447" s="25"/>
      <c r="LZ447" s="25"/>
      <c r="MA447" s="25"/>
      <c r="MB447" s="25"/>
      <c r="MC447" s="25"/>
      <c r="MD447" s="25"/>
      <c r="ME447" s="25"/>
      <c r="MF447" s="25"/>
      <c r="MG447" s="25"/>
      <c r="MH447" s="25"/>
      <c r="MI447" s="25"/>
      <c r="MJ447" s="25"/>
      <c r="MK447" s="25"/>
      <c r="ML447" s="25"/>
      <c r="MM447" s="25"/>
      <c r="MN447" s="25"/>
      <c r="MO447" s="25"/>
      <c r="MP447" s="25"/>
      <c r="MQ447" s="25"/>
      <c r="MR447" s="25"/>
      <c r="MS447" s="25"/>
      <c r="MT447" s="25"/>
      <c r="MU447" s="25"/>
      <c r="MV447" s="25"/>
      <c r="MW447" s="25"/>
      <c r="MX447" s="25"/>
      <c r="MY447" s="25"/>
      <c r="MZ447" s="25"/>
      <c r="NA447" s="25"/>
      <c r="NB447" s="25"/>
      <c r="NC447" s="25"/>
      <c r="ND447" s="25"/>
      <c r="NE447" s="25"/>
      <c r="NF447" s="25"/>
      <c r="NG447" s="25"/>
      <c r="NH447" s="25"/>
      <c r="NI447" s="25"/>
      <c r="NJ447" s="25"/>
      <c r="NK447" s="25"/>
      <c r="NL447" s="25"/>
      <c r="NM447" s="25"/>
      <c r="NN447" s="25"/>
      <c r="NO447" s="25"/>
      <c r="NP447" s="25"/>
      <c r="NQ447" s="25"/>
      <c r="NR447" s="25"/>
      <c r="NS447" s="25"/>
      <c r="NT447" s="25"/>
      <c r="NU447" s="25"/>
      <c r="NV447" s="25"/>
      <c r="NW447" s="25"/>
      <c r="NX447" s="25"/>
      <c r="NY447" s="25"/>
      <c r="NZ447" s="25"/>
      <c r="OA447" s="25"/>
      <c r="OB447" s="25"/>
      <c r="OC447" s="25"/>
      <c r="OD447" s="25"/>
      <c r="OE447" s="25"/>
      <c r="OF447" s="25"/>
      <c r="OG447" s="25"/>
      <c r="OH447" s="25"/>
      <c r="OI447" s="25"/>
      <c r="OJ447" s="25"/>
      <c r="OK447" s="25"/>
      <c r="OL447" s="25"/>
      <c r="OM447" s="25"/>
      <c r="ON447" s="25"/>
      <c r="OO447" s="25"/>
      <c r="OP447" s="25"/>
      <c r="OQ447" s="25"/>
      <c r="OR447" s="25"/>
      <c r="OS447" s="25"/>
      <c r="OT447" s="25"/>
      <c r="OU447" s="25"/>
      <c r="OV447" s="25"/>
      <c r="OW447" s="25"/>
      <c r="OX447" s="25"/>
      <c r="OY447" s="25"/>
      <c r="OZ447" s="25"/>
      <c r="PA447" s="25"/>
      <c r="PB447" s="25"/>
      <c r="PC447" s="25"/>
      <c r="PD447" s="25"/>
      <c r="PE447" s="25"/>
      <c r="PF447" s="25"/>
      <c r="PG447" s="25"/>
      <c r="PH447" s="25"/>
      <c r="PI447" s="25"/>
      <c r="PJ447" s="25"/>
      <c r="PK447" s="25"/>
      <c r="PL447" s="25"/>
      <c r="PM447" s="25"/>
      <c r="PN447" s="25"/>
      <c r="PO447" s="25"/>
      <c r="PP447" s="25"/>
      <c r="PQ447" s="25"/>
      <c r="PR447" s="25"/>
      <c r="PS447" s="25"/>
      <c r="PT447" s="25"/>
      <c r="PU447" s="25"/>
      <c r="PV447" s="25"/>
      <c r="PW447" s="25"/>
      <c r="PX447" s="25"/>
      <c r="PY447" s="25"/>
      <c r="PZ447" s="25"/>
      <c r="QA447" s="25"/>
      <c r="QB447" s="25"/>
      <c r="QC447" s="25"/>
      <c r="QD447" s="25"/>
      <c r="QE447" s="25"/>
      <c r="QF447" s="25"/>
      <c r="QG447" s="25"/>
      <c r="QH447" s="25"/>
      <c r="QI447" s="25"/>
      <c r="QJ447" s="25"/>
      <c r="QK447" s="25"/>
      <c r="QL447" s="25"/>
      <c r="QM447" s="25"/>
      <c r="QN447" s="25"/>
      <c r="QO447" s="25"/>
      <c r="QP447" s="25"/>
      <c r="QQ447" s="25"/>
      <c r="QR447" s="25"/>
      <c r="QS447" s="25"/>
      <c r="QT447" s="25"/>
      <c r="QU447" s="25"/>
      <c r="QV447" s="25"/>
      <c r="QW447" s="25"/>
      <c r="QX447" s="25"/>
      <c r="QY447" s="25"/>
      <c r="QZ447" s="25"/>
      <c r="RA447" s="25"/>
      <c r="RB447" s="25"/>
      <c r="RC447" s="25"/>
      <c r="RD447" s="25"/>
      <c r="RE447" s="25"/>
      <c r="RF447" s="25"/>
      <c r="RG447" s="25"/>
      <c r="RH447" s="25"/>
      <c r="RI447" s="25"/>
      <c r="RJ447" s="25"/>
      <c r="RK447" s="25"/>
      <c r="RL447" s="25"/>
      <c r="RM447" s="25"/>
      <c r="RN447" s="25"/>
      <c r="RO447" s="25"/>
      <c r="RP447" s="25"/>
      <c r="RQ447" s="25"/>
      <c r="RR447" s="25"/>
      <c r="RS447" s="25"/>
      <c r="RT447" s="25"/>
      <c r="RU447" s="25"/>
      <c r="RV447" s="25"/>
      <c r="RW447" s="25"/>
      <c r="RX447" s="25"/>
      <c r="RY447" s="25"/>
      <c r="RZ447" s="25"/>
      <c r="SA447" s="25"/>
      <c r="SB447" s="25"/>
      <c r="SC447" s="25"/>
      <c r="SD447" s="25"/>
      <c r="SE447" s="25"/>
      <c r="SF447" s="25"/>
      <c r="SG447" s="25"/>
      <c r="SH447" s="25"/>
      <c r="SI447" s="25"/>
      <c r="SJ447" s="25"/>
      <c r="SK447" s="25"/>
      <c r="SL447" s="25"/>
      <c r="SM447" s="25"/>
      <c r="SN447" s="25"/>
      <c r="SO447" s="25"/>
      <c r="SP447" s="25"/>
      <c r="SQ447" s="25"/>
      <c r="SR447" s="25"/>
      <c r="SS447" s="25"/>
      <c r="ST447" s="25"/>
      <c r="SU447" s="25"/>
      <c r="SV447" s="25"/>
      <c r="SW447" s="25"/>
      <c r="SX447" s="25"/>
      <c r="SY447" s="25"/>
      <c r="SZ447" s="25"/>
      <c r="TA447" s="25"/>
      <c r="TB447" s="25"/>
      <c r="TC447" s="25"/>
      <c r="TD447" s="25"/>
      <c r="TE447" s="25"/>
      <c r="TF447" s="25"/>
      <c r="TG447" s="25"/>
      <c r="TH447" s="25"/>
      <c r="TI447" s="25"/>
      <c r="TJ447" s="25"/>
      <c r="TK447" s="25"/>
      <c r="TL447" s="25"/>
      <c r="TM447" s="25"/>
      <c r="TN447" s="25"/>
      <c r="TO447" s="25"/>
      <c r="TP447" s="25"/>
      <c r="TQ447" s="25"/>
      <c r="TR447" s="25"/>
      <c r="TS447" s="25"/>
      <c r="TT447" s="25"/>
      <c r="TU447" s="25"/>
      <c r="TV447" s="25"/>
      <c r="TW447" s="25"/>
      <c r="TX447" s="25"/>
      <c r="TY447" s="25"/>
      <c r="TZ447" s="25"/>
      <c r="UA447" s="25"/>
      <c r="UB447" s="25"/>
      <c r="UC447" s="25"/>
      <c r="UD447" s="25"/>
      <c r="UE447" s="25"/>
      <c r="UF447" s="25"/>
      <c r="UG447" s="26"/>
    </row>
    <row r="448" spans="1:553" ht="30.75" customHeight="1">
      <c r="A448" s="356" t="s">
        <v>30</v>
      </c>
      <c r="B448" s="385" t="s">
        <v>35</v>
      </c>
      <c r="C448" s="1404" t="s">
        <v>345</v>
      </c>
      <c r="D448" s="1389"/>
      <c r="E448" s="1389"/>
      <c r="F448" s="1390"/>
      <c r="G448" s="386" t="s">
        <v>935</v>
      </c>
      <c r="H448" s="370"/>
      <c r="I448" s="422">
        <f>28.3*2.3* 2</f>
        <v>130.18</v>
      </c>
      <c r="J448" s="368">
        <v>39000</v>
      </c>
      <c r="K448" s="371"/>
      <c r="L448" s="391">
        <f t="shared" si="87"/>
        <v>5077020</v>
      </c>
      <c r="M448" s="391"/>
      <c r="N448" s="391"/>
      <c r="O448" s="391"/>
      <c r="P448" s="391"/>
      <c r="Q448" s="1444"/>
      <c r="R448" s="1226"/>
      <c r="S448" s="308"/>
      <c r="T448" s="303"/>
      <c r="U448" s="306"/>
      <c r="V448" s="307"/>
      <c r="W448" s="307"/>
      <c r="X448" s="307"/>
      <c r="Y448" s="307"/>
      <c r="Z448" s="307"/>
      <c r="AA448" s="307"/>
      <c r="AB448" s="307"/>
      <c r="AC448" s="449"/>
      <c r="AD448" s="449"/>
      <c r="AE448" s="449"/>
      <c r="AF448" s="449"/>
      <c r="AG448" s="449"/>
      <c r="AH448" s="449"/>
      <c r="AI448" s="449"/>
      <c r="AJ448" s="449"/>
      <c r="AK448" s="452"/>
      <c r="AL448" s="104"/>
      <c r="AM448" s="32"/>
      <c r="AN448" s="32"/>
      <c r="AO448" s="32"/>
      <c r="AP448" s="32"/>
      <c r="AQ448" s="32"/>
      <c r="AR448" s="32"/>
      <c r="AS448" s="31"/>
      <c r="AT448" s="31"/>
      <c r="AU448" s="31"/>
      <c r="AV448" s="31"/>
      <c r="AW448" s="31"/>
      <c r="AX448" s="31"/>
      <c r="AY448" s="31"/>
      <c r="AZ448" s="31"/>
      <c r="BA448" s="31"/>
      <c r="BB448" s="31"/>
      <c r="BC448" s="31"/>
      <c r="BD448" s="31"/>
      <c r="BE448" s="31"/>
      <c r="BF448" s="31"/>
      <c r="BG448" s="31"/>
      <c r="BH448" s="31"/>
      <c r="BI448" s="31"/>
      <c r="BJ448" s="31"/>
      <c r="BK448" s="31"/>
      <c r="BL448" s="31"/>
      <c r="BM448" s="31"/>
      <c r="BN448" s="31"/>
      <c r="BO448" s="31"/>
      <c r="BP448" s="31"/>
      <c r="BQ448" s="31"/>
      <c r="BR448" s="31"/>
      <c r="BS448" s="31"/>
      <c r="BT448" s="31"/>
      <c r="BU448" s="31"/>
      <c r="BV448" s="31"/>
      <c r="BW448" s="31"/>
      <c r="BX448" s="31"/>
      <c r="BY448" s="31"/>
      <c r="BZ448" s="31"/>
      <c r="CA448" s="31"/>
      <c r="CB448" s="31"/>
      <c r="CC448" s="31"/>
      <c r="CD448" s="31"/>
      <c r="CE448" s="31"/>
      <c r="CF448" s="31"/>
      <c r="CG448" s="31"/>
      <c r="CH448" s="31"/>
      <c r="CI448" s="31"/>
      <c r="CJ448" s="31"/>
      <c r="CK448" s="31"/>
      <c r="CL448" s="31"/>
      <c r="CM448" s="31"/>
      <c r="CN448" s="31"/>
      <c r="CO448" s="31"/>
      <c r="CP448" s="31"/>
      <c r="CQ448" s="31"/>
      <c r="CR448" s="31"/>
      <c r="CS448" s="31"/>
      <c r="CT448" s="31"/>
      <c r="CU448" s="31"/>
      <c r="CV448" s="31"/>
      <c r="CW448" s="31"/>
      <c r="CX448" s="31"/>
      <c r="CY448" s="31"/>
      <c r="CZ448" s="31"/>
      <c r="DA448" s="31"/>
      <c r="DB448" s="31"/>
      <c r="DC448" s="31"/>
      <c r="DD448" s="31"/>
      <c r="DE448" s="31"/>
      <c r="DF448" s="31"/>
      <c r="DG448" s="31"/>
      <c r="DH448" s="31"/>
      <c r="DI448" s="31"/>
      <c r="DJ448" s="31"/>
      <c r="DK448" s="31"/>
      <c r="DL448" s="31"/>
      <c r="DM448" s="31"/>
      <c r="DN448" s="31"/>
      <c r="DO448" s="31"/>
      <c r="DP448" s="31"/>
      <c r="DQ448" s="31"/>
      <c r="DR448" s="31"/>
      <c r="DS448" s="31"/>
      <c r="DT448" s="31"/>
      <c r="DU448" s="31"/>
      <c r="DV448" s="31"/>
      <c r="DW448" s="31"/>
      <c r="DX448" s="31"/>
      <c r="DY448" s="31"/>
      <c r="DZ448" s="31"/>
      <c r="EA448" s="31"/>
      <c r="EB448" s="31"/>
      <c r="EC448" s="31"/>
      <c r="ED448" s="31"/>
      <c r="EE448" s="31"/>
      <c r="EF448" s="31"/>
      <c r="EG448" s="31"/>
      <c r="EH448" s="31"/>
      <c r="EI448" s="31"/>
      <c r="EJ448" s="31"/>
      <c r="EK448" s="31"/>
      <c r="EL448" s="31"/>
      <c r="EM448" s="31"/>
      <c r="EN448" s="31"/>
      <c r="EO448" s="31"/>
      <c r="EP448" s="31"/>
      <c r="EQ448" s="31"/>
      <c r="ER448" s="31"/>
      <c r="ES448" s="31"/>
      <c r="ET448" s="31"/>
      <c r="EU448" s="31"/>
      <c r="EV448" s="31"/>
      <c r="EW448" s="31"/>
      <c r="EX448" s="31"/>
      <c r="EY448" s="31"/>
      <c r="EZ448" s="31"/>
      <c r="FA448" s="31"/>
      <c r="FB448" s="31"/>
      <c r="FC448" s="31"/>
      <c r="FD448" s="31"/>
      <c r="FE448" s="31"/>
      <c r="FF448" s="31"/>
      <c r="FG448" s="31"/>
      <c r="FH448" s="31"/>
      <c r="FI448" s="31"/>
      <c r="FJ448" s="31"/>
      <c r="FK448" s="31"/>
      <c r="FL448" s="31"/>
      <c r="FM448" s="31"/>
      <c r="FN448" s="31"/>
      <c r="FO448" s="31"/>
      <c r="FP448" s="31"/>
      <c r="FQ448" s="31"/>
      <c r="FR448" s="31"/>
      <c r="FS448" s="31"/>
      <c r="FT448" s="31"/>
      <c r="FU448" s="31"/>
      <c r="FV448" s="31"/>
      <c r="FW448" s="31"/>
      <c r="FX448" s="31"/>
      <c r="FY448" s="31"/>
      <c r="FZ448" s="31"/>
      <c r="GA448" s="31"/>
      <c r="GB448" s="31"/>
      <c r="GC448" s="31"/>
      <c r="GD448" s="31"/>
      <c r="GE448" s="31"/>
      <c r="GF448" s="31"/>
      <c r="GG448" s="31"/>
      <c r="GH448" s="31"/>
      <c r="GI448" s="31"/>
      <c r="GJ448" s="31"/>
      <c r="GK448" s="31"/>
      <c r="GL448" s="31"/>
      <c r="GM448" s="31"/>
      <c r="GN448" s="31"/>
      <c r="GO448" s="31"/>
      <c r="GP448" s="31"/>
      <c r="GQ448" s="31"/>
      <c r="GR448" s="31"/>
      <c r="GS448" s="31"/>
      <c r="GT448" s="31"/>
      <c r="GU448" s="31"/>
      <c r="GV448" s="31"/>
      <c r="GW448" s="31"/>
      <c r="GX448" s="31"/>
      <c r="GY448" s="31"/>
      <c r="GZ448" s="31"/>
      <c r="HA448" s="31"/>
      <c r="HB448" s="31"/>
      <c r="HC448" s="31"/>
      <c r="HD448" s="31"/>
      <c r="HE448" s="31"/>
      <c r="HF448" s="31"/>
      <c r="HG448" s="31"/>
      <c r="HH448" s="31"/>
      <c r="HI448" s="31"/>
      <c r="HJ448" s="31"/>
      <c r="HK448" s="31"/>
      <c r="HL448" s="31"/>
      <c r="HM448" s="31"/>
      <c r="HN448" s="31"/>
      <c r="HO448" s="31"/>
      <c r="HP448" s="31"/>
      <c r="HQ448" s="31"/>
      <c r="HR448" s="31"/>
      <c r="HS448" s="31"/>
      <c r="HT448" s="31"/>
      <c r="HU448" s="31"/>
      <c r="HV448" s="31"/>
      <c r="HW448" s="31"/>
      <c r="HX448" s="31"/>
      <c r="HY448" s="31"/>
      <c r="HZ448" s="31"/>
      <c r="IA448" s="31"/>
      <c r="IB448" s="31"/>
      <c r="IC448" s="31"/>
      <c r="ID448" s="31"/>
      <c r="IE448" s="31"/>
      <c r="IF448" s="31"/>
      <c r="IG448" s="31"/>
      <c r="IH448" s="31"/>
      <c r="II448" s="31"/>
      <c r="IJ448" s="31"/>
      <c r="IK448" s="31"/>
      <c r="IL448" s="31"/>
      <c r="IM448" s="31"/>
      <c r="IN448" s="31"/>
      <c r="IO448" s="31"/>
      <c r="IP448" s="31"/>
      <c r="IQ448" s="31"/>
      <c r="IR448" s="31"/>
      <c r="IS448" s="31"/>
      <c r="IT448" s="31"/>
      <c r="IU448" s="31"/>
      <c r="IV448" s="31"/>
      <c r="IW448" s="31"/>
      <c r="IX448" s="31"/>
      <c r="IY448" s="31"/>
      <c r="IZ448" s="31"/>
      <c r="JA448" s="31"/>
      <c r="JB448" s="31"/>
      <c r="JC448" s="31"/>
      <c r="JD448" s="31"/>
      <c r="JE448" s="31"/>
      <c r="JF448" s="31"/>
      <c r="JG448" s="31"/>
      <c r="JH448" s="31"/>
      <c r="JI448" s="31"/>
      <c r="JJ448" s="31"/>
      <c r="JK448" s="31"/>
      <c r="JL448" s="31"/>
      <c r="JM448" s="31"/>
      <c r="JN448" s="31"/>
      <c r="JO448" s="31"/>
      <c r="JP448" s="31"/>
      <c r="JQ448" s="31"/>
      <c r="JR448" s="31"/>
      <c r="JS448" s="31"/>
      <c r="JT448" s="31"/>
      <c r="JU448" s="31"/>
      <c r="JV448" s="31"/>
      <c r="JW448" s="31"/>
      <c r="JX448" s="31"/>
      <c r="JY448" s="31"/>
      <c r="JZ448" s="31"/>
      <c r="KA448" s="31"/>
      <c r="KB448" s="31"/>
      <c r="KC448" s="31"/>
      <c r="KD448" s="31"/>
      <c r="KE448" s="31"/>
      <c r="KF448" s="31"/>
      <c r="KG448" s="31"/>
      <c r="KH448" s="31"/>
      <c r="KI448" s="31"/>
      <c r="KJ448" s="31"/>
      <c r="KK448" s="31"/>
      <c r="KL448" s="31"/>
      <c r="KM448" s="31"/>
      <c r="KN448" s="31"/>
      <c r="KO448" s="31"/>
      <c r="KP448" s="31"/>
      <c r="KQ448" s="31"/>
      <c r="KR448" s="31"/>
      <c r="KS448" s="31"/>
      <c r="KT448" s="31"/>
      <c r="KU448" s="31"/>
      <c r="KV448" s="31"/>
      <c r="KW448" s="31"/>
      <c r="KX448" s="31"/>
      <c r="KY448" s="31"/>
      <c r="KZ448" s="31"/>
      <c r="LA448" s="31"/>
      <c r="LB448" s="31"/>
      <c r="LC448" s="31"/>
      <c r="LD448" s="31"/>
      <c r="LE448" s="31"/>
      <c r="LF448" s="31"/>
      <c r="LG448" s="31"/>
      <c r="LH448" s="31"/>
      <c r="LI448" s="31"/>
      <c r="LJ448" s="31"/>
      <c r="LK448" s="31"/>
      <c r="LL448" s="31"/>
      <c r="LM448" s="31"/>
      <c r="LN448" s="31"/>
      <c r="LO448" s="31"/>
      <c r="LP448" s="31"/>
      <c r="LQ448" s="31"/>
      <c r="LR448" s="31"/>
      <c r="LS448" s="31"/>
      <c r="LT448" s="31"/>
      <c r="LU448" s="31"/>
      <c r="LV448" s="31"/>
      <c r="LW448" s="31"/>
      <c r="LX448" s="31"/>
      <c r="LY448" s="31"/>
      <c r="LZ448" s="31"/>
      <c r="MA448" s="31"/>
      <c r="MB448" s="31"/>
      <c r="MC448" s="31"/>
      <c r="MD448" s="31"/>
      <c r="ME448" s="31"/>
      <c r="MF448" s="31"/>
      <c r="MG448" s="31"/>
      <c r="MH448" s="31"/>
      <c r="MI448" s="31"/>
      <c r="MJ448" s="31"/>
      <c r="MK448" s="31"/>
      <c r="ML448" s="31"/>
      <c r="MM448" s="31"/>
      <c r="MN448" s="31"/>
      <c r="MO448" s="31"/>
      <c r="MP448" s="31"/>
      <c r="MQ448" s="31"/>
      <c r="MR448" s="31"/>
      <c r="MS448" s="31"/>
      <c r="MT448" s="31"/>
      <c r="MU448" s="31"/>
      <c r="MV448" s="31"/>
      <c r="MW448" s="31"/>
      <c r="MX448" s="31"/>
      <c r="MY448" s="31"/>
      <c r="MZ448" s="31"/>
      <c r="NA448" s="31"/>
      <c r="NB448" s="31"/>
      <c r="NC448" s="31"/>
      <c r="ND448" s="31"/>
      <c r="NE448" s="31"/>
      <c r="NF448" s="31"/>
      <c r="NG448" s="31"/>
      <c r="NH448" s="31"/>
      <c r="NI448" s="31"/>
      <c r="NJ448" s="31"/>
      <c r="NK448" s="31"/>
      <c r="NL448" s="31"/>
      <c r="NM448" s="31"/>
      <c r="NN448" s="31"/>
      <c r="NO448" s="31"/>
      <c r="NP448" s="31"/>
      <c r="NQ448" s="31"/>
      <c r="NR448" s="31"/>
      <c r="NS448" s="31"/>
      <c r="NT448" s="31"/>
      <c r="NU448" s="31"/>
      <c r="NV448" s="31"/>
      <c r="NW448" s="31"/>
      <c r="NX448" s="31"/>
      <c r="NY448" s="31"/>
      <c r="NZ448" s="31"/>
      <c r="OA448" s="31"/>
      <c r="OB448" s="31"/>
      <c r="OC448" s="31"/>
      <c r="OD448" s="31"/>
      <c r="OE448" s="31"/>
      <c r="OF448" s="31"/>
      <c r="OG448" s="31"/>
      <c r="OH448" s="31"/>
      <c r="OI448" s="31"/>
      <c r="OJ448" s="31"/>
      <c r="OK448" s="31"/>
      <c r="OL448" s="31"/>
      <c r="OM448" s="31"/>
      <c r="ON448" s="31"/>
      <c r="OO448" s="31"/>
      <c r="OP448" s="31"/>
      <c r="OQ448" s="31"/>
      <c r="OR448" s="31"/>
      <c r="OS448" s="31"/>
      <c r="OT448" s="31"/>
      <c r="OU448" s="31"/>
      <c r="OV448" s="31"/>
      <c r="OW448" s="31"/>
      <c r="OX448" s="31"/>
      <c r="OY448" s="31"/>
      <c r="OZ448" s="31"/>
      <c r="PA448" s="31"/>
      <c r="PB448" s="31"/>
      <c r="PC448" s="31"/>
      <c r="PD448" s="31"/>
      <c r="PE448" s="31"/>
      <c r="PF448" s="31"/>
      <c r="PG448" s="31"/>
      <c r="PH448" s="31"/>
      <c r="PI448" s="31"/>
      <c r="PJ448" s="31"/>
      <c r="PK448" s="31"/>
      <c r="PL448" s="31"/>
      <c r="PM448" s="31"/>
      <c r="PN448" s="31"/>
      <c r="PO448" s="31"/>
      <c r="PP448" s="31"/>
      <c r="PQ448" s="31"/>
      <c r="PR448" s="31"/>
      <c r="PS448" s="31"/>
      <c r="PT448" s="31"/>
      <c r="PU448" s="31"/>
      <c r="PV448" s="31"/>
      <c r="PW448" s="31"/>
      <c r="PX448" s="31"/>
      <c r="PY448" s="31"/>
      <c r="PZ448" s="31"/>
      <c r="QA448" s="31"/>
      <c r="QB448" s="31"/>
      <c r="QC448" s="31"/>
      <c r="QD448" s="31"/>
      <c r="QE448" s="31"/>
      <c r="QF448" s="31"/>
      <c r="QG448" s="31"/>
      <c r="QH448" s="31"/>
      <c r="QI448" s="31"/>
      <c r="QJ448" s="31"/>
      <c r="QK448" s="31"/>
      <c r="QL448" s="31"/>
      <c r="QM448" s="31"/>
      <c r="QN448" s="31"/>
      <c r="QO448" s="31"/>
      <c r="QP448" s="31"/>
      <c r="QQ448" s="31"/>
      <c r="QR448" s="31"/>
      <c r="QS448" s="31"/>
      <c r="QT448" s="31"/>
      <c r="QU448" s="31"/>
      <c r="QV448" s="31"/>
      <c r="QW448" s="31"/>
      <c r="QX448" s="31"/>
      <c r="QY448" s="31"/>
      <c r="QZ448" s="31"/>
      <c r="RA448" s="31"/>
      <c r="RB448" s="31"/>
      <c r="RC448" s="31"/>
      <c r="RD448" s="31"/>
      <c r="RE448" s="31"/>
      <c r="RF448" s="31"/>
      <c r="RG448" s="31"/>
      <c r="RH448" s="31"/>
      <c r="RI448" s="31"/>
      <c r="RJ448" s="31"/>
      <c r="RK448" s="31"/>
      <c r="RL448" s="31"/>
      <c r="RM448" s="31"/>
      <c r="RN448" s="31"/>
      <c r="RO448" s="31"/>
      <c r="RP448" s="31"/>
      <c r="RQ448" s="31"/>
      <c r="RR448" s="31"/>
      <c r="RS448" s="31"/>
      <c r="RT448" s="31"/>
      <c r="RU448" s="31"/>
      <c r="RV448" s="31"/>
      <c r="RW448" s="31"/>
      <c r="RX448" s="31"/>
      <c r="RY448" s="31"/>
      <c r="RZ448" s="31"/>
      <c r="SA448" s="31"/>
      <c r="SB448" s="31"/>
      <c r="SC448" s="31"/>
      <c r="SD448" s="31"/>
      <c r="SE448" s="31"/>
      <c r="SF448" s="31"/>
      <c r="SG448" s="31"/>
      <c r="SH448" s="31"/>
      <c r="SI448" s="31"/>
      <c r="SJ448" s="31"/>
      <c r="SK448" s="31"/>
      <c r="SL448" s="31"/>
      <c r="SM448" s="31"/>
      <c r="SN448" s="31"/>
      <c r="SO448" s="31"/>
      <c r="SP448" s="31"/>
      <c r="SQ448" s="31"/>
      <c r="SR448" s="31"/>
      <c r="SS448" s="31"/>
      <c r="ST448" s="31"/>
      <c r="SU448" s="31"/>
      <c r="SV448" s="31"/>
      <c r="SW448" s="31"/>
      <c r="SX448" s="31"/>
      <c r="SY448" s="31"/>
      <c r="SZ448" s="31"/>
      <c r="TA448" s="31"/>
      <c r="TB448" s="31"/>
      <c r="TC448" s="31"/>
      <c r="TD448" s="31"/>
      <c r="TE448" s="31"/>
      <c r="TF448" s="31"/>
      <c r="TG448" s="31"/>
      <c r="TH448" s="31"/>
      <c r="TI448" s="31"/>
      <c r="TJ448" s="31"/>
      <c r="TK448" s="31"/>
      <c r="TL448" s="31"/>
      <c r="TM448" s="31"/>
      <c r="TN448" s="31"/>
      <c r="TO448" s="31"/>
      <c r="TP448" s="31"/>
      <c r="TQ448" s="31"/>
      <c r="TR448" s="31"/>
      <c r="TS448" s="31"/>
      <c r="TT448" s="31"/>
      <c r="TU448" s="31"/>
      <c r="TV448" s="31"/>
      <c r="TW448" s="31"/>
      <c r="TX448" s="31"/>
      <c r="TY448" s="31"/>
      <c r="TZ448" s="31"/>
      <c r="UA448" s="31"/>
      <c r="UB448" s="31"/>
      <c r="UC448" s="31"/>
      <c r="UD448" s="31"/>
      <c r="UE448" s="31"/>
      <c r="UF448" s="31"/>
      <c r="UG448" s="33"/>
    </row>
    <row r="449" spans="1:553" ht="30.75" customHeight="1">
      <c r="A449" s="356" t="s">
        <v>30</v>
      </c>
      <c r="B449" s="385" t="s">
        <v>35</v>
      </c>
      <c r="C449" s="1404" t="s">
        <v>346</v>
      </c>
      <c r="D449" s="1389"/>
      <c r="E449" s="1389"/>
      <c r="F449" s="1390"/>
      <c r="G449" s="386" t="s">
        <v>935</v>
      </c>
      <c r="H449" s="370"/>
      <c r="I449" s="422">
        <f>(6.9*10.3*2) + (3.03*7.36*2)</f>
        <v>186.74160000000001</v>
      </c>
      <c r="J449" s="368">
        <v>39000</v>
      </c>
      <c r="K449" s="371"/>
      <c r="L449" s="391">
        <f t="shared" si="87"/>
        <v>7282922</v>
      </c>
      <c r="M449" s="391"/>
      <c r="N449" s="391"/>
      <c r="O449" s="391"/>
      <c r="P449" s="391"/>
      <c r="Q449" s="1445"/>
      <c r="R449" s="1226"/>
      <c r="S449" s="308"/>
      <c r="T449" s="303"/>
      <c r="U449" s="306"/>
      <c r="V449" s="307"/>
      <c r="W449" s="307"/>
      <c r="X449" s="307"/>
      <c r="Y449" s="307"/>
      <c r="Z449" s="307"/>
      <c r="AA449" s="307"/>
      <c r="AB449" s="307"/>
      <c r="AC449" s="449"/>
      <c r="AD449" s="449"/>
      <c r="AE449" s="449"/>
      <c r="AF449" s="449"/>
      <c r="AG449" s="449"/>
      <c r="AH449" s="449"/>
      <c r="AI449" s="449"/>
      <c r="AJ449" s="449"/>
      <c r="AK449" s="452"/>
      <c r="AL449" s="104"/>
      <c r="AM449" s="32"/>
      <c r="AN449" s="32"/>
      <c r="AO449" s="32"/>
      <c r="AP449" s="32"/>
      <c r="AQ449" s="32"/>
      <c r="AR449" s="32"/>
      <c r="AS449" s="31"/>
      <c r="AT449" s="31"/>
      <c r="AU449" s="31"/>
      <c r="AV449" s="31"/>
      <c r="AW449" s="31"/>
      <c r="AX449" s="31"/>
      <c r="AY449" s="31"/>
      <c r="AZ449" s="31"/>
      <c r="BA449" s="31"/>
      <c r="BB449" s="31"/>
      <c r="BC449" s="31"/>
      <c r="BD449" s="31"/>
      <c r="BE449" s="31"/>
      <c r="BF449" s="31"/>
      <c r="BG449" s="31"/>
      <c r="BH449" s="31"/>
      <c r="BI449" s="31"/>
      <c r="BJ449" s="31"/>
      <c r="BK449" s="31"/>
      <c r="BL449" s="31"/>
      <c r="BM449" s="31"/>
      <c r="BN449" s="31"/>
      <c r="BO449" s="31"/>
      <c r="BP449" s="31"/>
      <c r="BQ449" s="31"/>
      <c r="BR449" s="31"/>
      <c r="BS449" s="31"/>
      <c r="BT449" s="31"/>
      <c r="BU449" s="31"/>
      <c r="BV449" s="31"/>
      <c r="BW449" s="31"/>
      <c r="BX449" s="31"/>
      <c r="BY449" s="31"/>
      <c r="BZ449" s="31"/>
      <c r="CA449" s="31"/>
      <c r="CB449" s="31"/>
      <c r="CC449" s="31"/>
      <c r="CD449" s="31"/>
      <c r="CE449" s="31"/>
      <c r="CF449" s="31"/>
      <c r="CG449" s="31"/>
      <c r="CH449" s="31"/>
      <c r="CI449" s="31"/>
      <c r="CJ449" s="31"/>
      <c r="CK449" s="31"/>
      <c r="CL449" s="31"/>
      <c r="CM449" s="31"/>
      <c r="CN449" s="31"/>
      <c r="CO449" s="31"/>
      <c r="CP449" s="31"/>
      <c r="CQ449" s="31"/>
      <c r="CR449" s="31"/>
      <c r="CS449" s="31"/>
      <c r="CT449" s="31"/>
      <c r="CU449" s="31"/>
      <c r="CV449" s="31"/>
      <c r="CW449" s="31"/>
      <c r="CX449" s="31"/>
      <c r="CY449" s="31"/>
      <c r="CZ449" s="31"/>
      <c r="DA449" s="31"/>
      <c r="DB449" s="31"/>
      <c r="DC449" s="31"/>
      <c r="DD449" s="31"/>
      <c r="DE449" s="31"/>
      <c r="DF449" s="31"/>
      <c r="DG449" s="31"/>
      <c r="DH449" s="31"/>
      <c r="DI449" s="31"/>
      <c r="DJ449" s="31"/>
      <c r="DK449" s="31"/>
      <c r="DL449" s="31"/>
      <c r="DM449" s="31"/>
      <c r="DN449" s="31"/>
      <c r="DO449" s="31"/>
      <c r="DP449" s="31"/>
      <c r="DQ449" s="31"/>
      <c r="DR449" s="31"/>
      <c r="DS449" s="31"/>
      <c r="DT449" s="31"/>
      <c r="DU449" s="31"/>
      <c r="DV449" s="31"/>
      <c r="DW449" s="31"/>
      <c r="DX449" s="31"/>
      <c r="DY449" s="31"/>
      <c r="DZ449" s="31"/>
      <c r="EA449" s="31"/>
      <c r="EB449" s="31"/>
      <c r="EC449" s="31"/>
      <c r="ED449" s="31"/>
      <c r="EE449" s="31"/>
      <c r="EF449" s="31"/>
      <c r="EG449" s="31"/>
      <c r="EH449" s="31"/>
      <c r="EI449" s="31"/>
      <c r="EJ449" s="31"/>
      <c r="EK449" s="31"/>
      <c r="EL449" s="31"/>
      <c r="EM449" s="31"/>
      <c r="EN449" s="31"/>
      <c r="EO449" s="31"/>
      <c r="EP449" s="31"/>
      <c r="EQ449" s="31"/>
      <c r="ER449" s="31"/>
      <c r="ES449" s="31"/>
      <c r="ET449" s="31"/>
      <c r="EU449" s="31"/>
      <c r="EV449" s="31"/>
      <c r="EW449" s="31"/>
      <c r="EX449" s="31"/>
      <c r="EY449" s="31"/>
      <c r="EZ449" s="31"/>
      <c r="FA449" s="31"/>
      <c r="FB449" s="31"/>
      <c r="FC449" s="31"/>
      <c r="FD449" s="31"/>
      <c r="FE449" s="31"/>
      <c r="FF449" s="31"/>
      <c r="FG449" s="31"/>
      <c r="FH449" s="31"/>
      <c r="FI449" s="31"/>
      <c r="FJ449" s="31"/>
      <c r="FK449" s="31"/>
      <c r="FL449" s="31"/>
      <c r="FM449" s="31"/>
      <c r="FN449" s="31"/>
      <c r="FO449" s="31"/>
      <c r="FP449" s="31"/>
      <c r="FQ449" s="31"/>
      <c r="FR449" s="31"/>
      <c r="FS449" s="31"/>
      <c r="FT449" s="31"/>
      <c r="FU449" s="31"/>
      <c r="FV449" s="31"/>
      <c r="FW449" s="31"/>
      <c r="FX449" s="31"/>
      <c r="FY449" s="31"/>
      <c r="FZ449" s="31"/>
      <c r="GA449" s="31"/>
      <c r="GB449" s="31"/>
      <c r="GC449" s="31"/>
      <c r="GD449" s="31"/>
      <c r="GE449" s="31"/>
      <c r="GF449" s="31"/>
      <c r="GG449" s="31"/>
      <c r="GH449" s="31"/>
      <c r="GI449" s="31"/>
      <c r="GJ449" s="31"/>
      <c r="GK449" s="31"/>
      <c r="GL449" s="31"/>
      <c r="GM449" s="31"/>
      <c r="GN449" s="31"/>
      <c r="GO449" s="31"/>
      <c r="GP449" s="31"/>
      <c r="GQ449" s="31"/>
      <c r="GR449" s="31"/>
      <c r="GS449" s="31"/>
      <c r="GT449" s="31"/>
      <c r="GU449" s="31"/>
      <c r="GV449" s="31"/>
      <c r="GW449" s="31"/>
      <c r="GX449" s="31"/>
      <c r="GY449" s="31"/>
      <c r="GZ449" s="31"/>
      <c r="HA449" s="31"/>
      <c r="HB449" s="31"/>
      <c r="HC449" s="31"/>
      <c r="HD449" s="31"/>
      <c r="HE449" s="31"/>
      <c r="HF449" s="31"/>
      <c r="HG449" s="31"/>
      <c r="HH449" s="31"/>
      <c r="HI449" s="31"/>
      <c r="HJ449" s="31"/>
      <c r="HK449" s="31"/>
      <c r="HL449" s="31"/>
      <c r="HM449" s="31"/>
      <c r="HN449" s="31"/>
      <c r="HO449" s="31"/>
      <c r="HP449" s="31"/>
      <c r="HQ449" s="31"/>
      <c r="HR449" s="31"/>
      <c r="HS449" s="31"/>
      <c r="HT449" s="31"/>
      <c r="HU449" s="31"/>
      <c r="HV449" s="31"/>
      <c r="HW449" s="31"/>
      <c r="HX449" s="31"/>
      <c r="HY449" s="31"/>
      <c r="HZ449" s="31"/>
      <c r="IA449" s="31"/>
      <c r="IB449" s="31"/>
      <c r="IC449" s="31"/>
      <c r="ID449" s="31"/>
      <c r="IE449" s="31"/>
      <c r="IF449" s="31"/>
      <c r="IG449" s="31"/>
      <c r="IH449" s="31"/>
      <c r="II449" s="31"/>
      <c r="IJ449" s="31"/>
      <c r="IK449" s="31"/>
      <c r="IL449" s="31"/>
      <c r="IM449" s="31"/>
      <c r="IN449" s="31"/>
      <c r="IO449" s="31"/>
      <c r="IP449" s="31"/>
      <c r="IQ449" s="31"/>
      <c r="IR449" s="31"/>
      <c r="IS449" s="31"/>
      <c r="IT449" s="31"/>
      <c r="IU449" s="31"/>
      <c r="IV449" s="31"/>
      <c r="IW449" s="31"/>
      <c r="IX449" s="31"/>
      <c r="IY449" s="31"/>
      <c r="IZ449" s="31"/>
      <c r="JA449" s="31"/>
      <c r="JB449" s="31"/>
      <c r="JC449" s="31"/>
      <c r="JD449" s="31"/>
      <c r="JE449" s="31"/>
      <c r="JF449" s="31"/>
      <c r="JG449" s="31"/>
      <c r="JH449" s="31"/>
      <c r="JI449" s="31"/>
      <c r="JJ449" s="31"/>
      <c r="JK449" s="31"/>
      <c r="JL449" s="31"/>
      <c r="JM449" s="31"/>
      <c r="JN449" s="31"/>
      <c r="JO449" s="31"/>
      <c r="JP449" s="31"/>
      <c r="JQ449" s="31"/>
      <c r="JR449" s="31"/>
      <c r="JS449" s="31"/>
      <c r="JT449" s="31"/>
      <c r="JU449" s="31"/>
      <c r="JV449" s="31"/>
      <c r="JW449" s="31"/>
      <c r="JX449" s="31"/>
      <c r="JY449" s="31"/>
      <c r="JZ449" s="31"/>
      <c r="KA449" s="31"/>
      <c r="KB449" s="31"/>
      <c r="KC449" s="31"/>
      <c r="KD449" s="31"/>
      <c r="KE449" s="31"/>
      <c r="KF449" s="31"/>
      <c r="KG449" s="31"/>
      <c r="KH449" s="31"/>
      <c r="KI449" s="31"/>
      <c r="KJ449" s="31"/>
      <c r="KK449" s="31"/>
      <c r="KL449" s="31"/>
      <c r="KM449" s="31"/>
      <c r="KN449" s="31"/>
      <c r="KO449" s="31"/>
      <c r="KP449" s="31"/>
      <c r="KQ449" s="31"/>
      <c r="KR449" s="31"/>
      <c r="KS449" s="31"/>
      <c r="KT449" s="31"/>
      <c r="KU449" s="31"/>
      <c r="KV449" s="31"/>
      <c r="KW449" s="31"/>
      <c r="KX449" s="31"/>
      <c r="KY449" s="31"/>
      <c r="KZ449" s="31"/>
      <c r="LA449" s="31"/>
      <c r="LB449" s="31"/>
      <c r="LC449" s="31"/>
      <c r="LD449" s="31"/>
      <c r="LE449" s="31"/>
      <c r="LF449" s="31"/>
      <c r="LG449" s="31"/>
      <c r="LH449" s="31"/>
      <c r="LI449" s="31"/>
      <c r="LJ449" s="31"/>
      <c r="LK449" s="31"/>
      <c r="LL449" s="31"/>
      <c r="LM449" s="31"/>
      <c r="LN449" s="31"/>
      <c r="LO449" s="31"/>
      <c r="LP449" s="31"/>
      <c r="LQ449" s="31"/>
      <c r="LR449" s="31"/>
      <c r="LS449" s="31"/>
      <c r="LT449" s="31"/>
      <c r="LU449" s="31"/>
      <c r="LV449" s="31"/>
      <c r="LW449" s="31"/>
      <c r="LX449" s="31"/>
      <c r="LY449" s="31"/>
      <c r="LZ449" s="31"/>
      <c r="MA449" s="31"/>
      <c r="MB449" s="31"/>
      <c r="MC449" s="31"/>
      <c r="MD449" s="31"/>
      <c r="ME449" s="31"/>
      <c r="MF449" s="31"/>
      <c r="MG449" s="31"/>
      <c r="MH449" s="31"/>
      <c r="MI449" s="31"/>
      <c r="MJ449" s="31"/>
      <c r="MK449" s="31"/>
      <c r="ML449" s="31"/>
      <c r="MM449" s="31"/>
      <c r="MN449" s="31"/>
      <c r="MO449" s="31"/>
      <c r="MP449" s="31"/>
      <c r="MQ449" s="31"/>
      <c r="MR449" s="31"/>
      <c r="MS449" s="31"/>
      <c r="MT449" s="31"/>
      <c r="MU449" s="31"/>
      <c r="MV449" s="31"/>
      <c r="MW449" s="31"/>
      <c r="MX449" s="31"/>
      <c r="MY449" s="31"/>
      <c r="MZ449" s="31"/>
      <c r="NA449" s="31"/>
      <c r="NB449" s="31"/>
      <c r="NC449" s="31"/>
      <c r="ND449" s="31"/>
      <c r="NE449" s="31"/>
      <c r="NF449" s="31"/>
      <c r="NG449" s="31"/>
      <c r="NH449" s="31"/>
      <c r="NI449" s="31"/>
      <c r="NJ449" s="31"/>
      <c r="NK449" s="31"/>
      <c r="NL449" s="31"/>
      <c r="NM449" s="31"/>
      <c r="NN449" s="31"/>
      <c r="NO449" s="31"/>
      <c r="NP449" s="31"/>
      <c r="NQ449" s="31"/>
      <c r="NR449" s="31"/>
      <c r="NS449" s="31"/>
      <c r="NT449" s="31"/>
      <c r="NU449" s="31"/>
      <c r="NV449" s="31"/>
      <c r="NW449" s="31"/>
      <c r="NX449" s="31"/>
      <c r="NY449" s="31"/>
      <c r="NZ449" s="31"/>
      <c r="OA449" s="31"/>
      <c r="OB449" s="31"/>
      <c r="OC449" s="31"/>
      <c r="OD449" s="31"/>
      <c r="OE449" s="31"/>
      <c r="OF449" s="31"/>
      <c r="OG449" s="31"/>
      <c r="OH449" s="31"/>
      <c r="OI449" s="31"/>
      <c r="OJ449" s="31"/>
      <c r="OK449" s="31"/>
      <c r="OL449" s="31"/>
      <c r="OM449" s="31"/>
      <c r="ON449" s="31"/>
      <c r="OO449" s="31"/>
      <c r="OP449" s="31"/>
      <c r="OQ449" s="31"/>
      <c r="OR449" s="31"/>
      <c r="OS449" s="31"/>
      <c r="OT449" s="31"/>
      <c r="OU449" s="31"/>
      <c r="OV449" s="31"/>
      <c r="OW449" s="31"/>
      <c r="OX449" s="31"/>
      <c r="OY449" s="31"/>
      <c r="OZ449" s="31"/>
      <c r="PA449" s="31"/>
      <c r="PB449" s="31"/>
      <c r="PC449" s="31"/>
      <c r="PD449" s="31"/>
      <c r="PE449" s="31"/>
      <c r="PF449" s="31"/>
      <c r="PG449" s="31"/>
      <c r="PH449" s="31"/>
      <c r="PI449" s="31"/>
      <c r="PJ449" s="31"/>
      <c r="PK449" s="31"/>
      <c r="PL449" s="31"/>
      <c r="PM449" s="31"/>
      <c r="PN449" s="31"/>
      <c r="PO449" s="31"/>
      <c r="PP449" s="31"/>
      <c r="PQ449" s="31"/>
      <c r="PR449" s="31"/>
      <c r="PS449" s="31"/>
      <c r="PT449" s="31"/>
      <c r="PU449" s="31"/>
      <c r="PV449" s="31"/>
      <c r="PW449" s="31"/>
      <c r="PX449" s="31"/>
      <c r="PY449" s="31"/>
      <c r="PZ449" s="31"/>
      <c r="QA449" s="31"/>
      <c r="QB449" s="31"/>
      <c r="QC449" s="31"/>
      <c r="QD449" s="31"/>
      <c r="QE449" s="31"/>
      <c r="QF449" s="31"/>
      <c r="QG449" s="31"/>
      <c r="QH449" s="31"/>
      <c r="QI449" s="31"/>
      <c r="QJ449" s="31"/>
      <c r="QK449" s="31"/>
      <c r="QL449" s="31"/>
      <c r="QM449" s="31"/>
      <c r="QN449" s="31"/>
      <c r="QO449" s="31"/>
      <c r="QP449" s="31"/>
      <c r="QQ449" s="31"/>
      <c r="QR449" s="31"/>
      <c r="QS449" s="31"/>
      <c r="QT449" s="31"/>
      <c r="QU449" s="31"/>
      <c r="QV449" s="31"/>
      <c r="QW449" s="31"/>
      <c r="QX449" s="31"/>
      <c r="QY449" s="31"/>
      <c r="QZ449" s="31"/>
      <c r="RA449" s="31"/>
      <c r="RB449" s="31"/>
      <c r="RC449" s="31"/>
      <c r="RD449" s="31"/>
      <c r="RE449" s="31"/>
      <c r="RF449" s="31"/>
      <c r="RG449" s="31"/>
      <c r="RH449" s="31"/>
      <c r="RI449" s="31"/>
      <c r="RJ449" s="31"/>
      <c r="RK449" s="31"/>
      <c r="RL449" s="31"/>
      <c r="RM449" s="31"/>
      <c r="RN449" s="31"/>
      <c r="RO449" s="31"/>
      <c r="RP449" s="31"/>
      <c r="RQ449" s="31"/>
      <c r="RR449" s="31"/>
      <c r="RS449" s="31"/>
      <c r="RT449" s="31"/>
      <c r="RU449" s="31"/>
      <c r="RV449" s="31"/>
      <c r="RW449" s="31"/>
      <c r="RX449" s="31"/>
      <c r="RY449" s="31"/>
      <c r="RZ449" s="31"/>
      <c r="SA449" s="31"/>
      <c r="SB449" s="31"/>
      <c r="SC449" s="31"/>
      <c r="SD449" s="31"/>
      <c r="SE449" s="31"/>
      <c r="SF449" s="31"/>
      <c r="SG449" s="31"/>
      <c r="SH449" s="31"/>
      <c r="SI449" s="31"/>
      <c r="SJ449" s="31"/>
      <c r="SK449" s="31"/>
      <c r="SL449" s="31"/>
      <c r="SM449" s="31"/>
      <c r="SN449" s="31"/>
      <c r="SO449" s="31"/>
      <c r="SP449" s="31"/>
      <c r="SQ449" s="31"/>
      <c r="SR449" s="31"/>
      <c r="SS449" s="31"/>
      <c r="ST449" s="31"/>
      <c r="SU449" s="31"/>
      <c r="SV449" s="31"/>
      <c r="SW449" s="31"/>
      <c r="SX449" s="31"/>
      <c r="SY449" s="31"/>
      <c r="SZ449" s="31"/>
      <c r="TA449" s="31"/>
      <c r="TB449" s="31"/>
      <c r="TC449" s="31"/>
      <c r="TD449" s="31"/>
      <c r="TE449" s="31"/>
      <c r="TF449" s="31"/>
      <c r="TG449" s="31"/>
      <c r="TH449" s="31"/>
      <c r="TI449" s="31"/>
      <c r="TJ449" s="31"/>
      <c r="TK449" s="31"/>
      <c r="TL449" s="31"/>
      <c r="TM449" s="31"/>
      <c r="TN449" s="31"/>
      <c r="TO449" s="31"/>
      <c r="TP449" s="31"/>
      <c r="TQ449" s="31"/>
      <c r="TR449" s="31"/>
      <c r="TS449" s="31"/>
      <c r="TT449" s="31"/>
      <c r="TU449" s="31"/>
      <c r="TV449" s="31"/>
      <c r="TW449" s="31"/>
      <c r="TX449" s="31"/>
      <c r="TY449" s="31"/>
      <c r="TZ449" s="31"/>
      <c r="UA449" s="31"/>
      <c r="UB449" s="31"/>
      <c r="UC449" s="31"/>
      <c r="UD449" s="31"/>
      <c r="UE449" s="31"/>
      <c r="UF449" s="31"/>
      <c r="UG449" s="33"/>
    </row>
    <row r="450" spans="1:553" ht="30.75" customHeight="1">
      <c r="A450" s="356" t="s">
        <v>30</v>
      </c>
      <c r="B450" s="385" t="s">
        <v>35</v>
      </c>
      <c r="C450" s="1404" t="s">
        <v>347</v>
      </c>
      <c r="D450" s="1389"/>
      <c r="E450" s="1389"/>
      <c r="F450" s="1390"/>
      <c r="G450" s="386" t="s">
        <v>935</v>
      </c>
      <c r="H450" s="370"/>
      <c r="I450" s="834">
        <f>0.35*3.03* 4</f>
        <v>4.2419999999999991</v>
      </c>
      <c r="J450" s="368">
        <v>39000</v>
      </c>
      <c r="K450" s="371"/>
      <c r="L450" s="391">
        <f t="shared" si="87"/>
        <v>165438</v>
      </c>
      <c r="M450" s="395"/>
      <c r="N450" s="395"/>
      <c r="O450" s="366"/>
      <c r="P450" s="396"/>
      <c r="Q450" s="473"/>
      <c r="R450" s="1039"/>
      <c r="S450" s="435"/>
      <c r="T450" s="436"/>
      <c r="U450" s="304"/>
      <c r="V450" s="393"/>
      <c r="W450" s="304"/>
      <c r="X450" s="304"/>
      <c r="Y450" s="304"/>
      <c r="Z450" s="304"/>
      <c r="AA450" s="304"/>
      <c r="AB450" s="304"/>
      <c r="AC450" s="449"/>
      <c r="AD450" s="449"/>
      <c r="AE450" s="449"/>
      <c r="AF450" s="449"/>
      <c r="AG450" s="452"/>
      <c r="AH450" s="452"/>
      <c r="AI450" s="452"/>
      <c r="AJ450" s="452"/>
      <c r="AK450" s="452"/>
      <c r="AL450" s="104"/>
      <c r="AM450" s="32"/>
      <c r="AN450" s="32"/>
      <c r="AO450" s="32"/>
      <c r="AP450" s="32"/>
      <c r="AQ450" s="31"/>
      <c r="AR450" s="31"/>
      <c r="AS450" s="31"/>
      <c r="AT450" s="31"/>
      <c r="AU450" s="31"/>
      <c r="AV450" s="31"/>
      <c r="AW450" s="31"/>
      <c r="AX450" s="31"/>
      <c r="AY450" s="31"/>
      <c r="AZ450" s="31"/>
      <c r="BA450" s="31"/>
      <c r="BB450" s="31"/>
      <c r="BC450" s="31"/>
      <c r="BD450" s="31"/>
      <c r="BE450" s="31"/>
      <c r="BF450" s="31"/>
      <c r="BG450" s="31"/>
      <c r="BH450" s="31"/>
      <c r="BI450" s="31"/>
      <c r="BJ450" s="31"/>
      <c r="BK450" s="31"/>
      <c r="BL450" s="31"/>
      <c r="BM450" s="25"/>
      <c r="BN450" s="25"/>
      <c r="BO450" s="25"/>
      <c r="BP450" s="25"/>
      <c r="BQ450" s="25"/>
      <c r="BR450" s="25"/>
      <c r="BS450" s="25"/>
      <c r="BT450" s="25"/>
      <c r="BU450" s="25"/>
      <c r="BV450" s="25"/>
      <c r="BW450" s="25"/>
      <c r="BX450" s="25"/>
      <c r="BY450" s="25"/>
      <c r="BZ450" s="25"/>
      <c r="CA450" s="25"/>
      <c r="CB450" s="25"/>
      <c r="CC450" s="25"/>
      <c r="CD450" s="25"/>
      <c r="CE450" s="25"/>
      <c r="CF450" s="25"/>
      <c r="CG450" s="25"/>
      <c r="CH450" s="25"/>
      <c r="CI450" s="25"/>
      <c r="CJ450" s="25"/>
      <c r="CK450" s="25"/>
      <c r="CL450" s="25"/>
      <c r="CM450" s="25"/>
      <c r="CN450" s="25"/>
      <c r="CO450" s="25"/>
      <c r="CP450" s="25"/>
      <c r="CQ450" s="25"/>
      <c r="CR450" s="25"/>
      <c r="CS450" s="25"/>
      <c r="CT450" s="25"/>
      <c r="CU450" s="25"/>
      <c r="CV450" s="25"/>
      <c r="CW450" s="25"/>
      <c r="CX450" s="25"/>
      <c r="CY450" s="25"/>
      <c r="CZ450" s="25"/>
      <c r="DA450" s="25"/>
      <c r="DB450" s="25"/>
      <c r="DC450" s="25"/>
      <c r="DD450" s="25"/>
      <c r="DE450" s="25"/>
      <c r="DF450" s="25"/>
      <c r="DG450" s="25"/>
      <c r="DH450" s="25"/>
      <c r="DI450" s="25"/>
      <c r="DJ450" s="25"/>
      <c r="DK450" s="25"/>
      <c r="DL450" s="25"/>
      <c r="DM450" s="25"/>
      <c r="DN450" s="25"/>
      <c r="DO450" s="25"/>
      <c r="DP450" s="25"/>
      <c r="DQ450" s="25"/>
      <c r="DR450" s="25"/>
      <c r="DS450" s="25"/>
      <c r="DT450" s="25"/>
      <c r="DU450" s="25"/>
      <c r="DV450" s="25"/>
      <c r="DW450" s="25"/>
      <c r="DX450" s="25"/>
      <c r="DY450" s="25"/>
      <c r="DZ450" s="25"/>
      <c r="EA450" s="25"/>
      <c r="EB450" s="25"/>
      <c r="EC450" s="25"/>
      <c r="ED450" s="25"/>
      <c r="EE450" s="25"/>
      <c r="EF450" s="25"/>
      <c r="EG450" s="25"/>
      <c r="EH450" s="25"/>
      <c r="EI450" s="25"/>
      <c r="EJ450" s="25"/>
      <c r="EK450" s="25"/>
      <c r="EL450" s="25"/>
      <c r="EM450" s="25"/>
      <c r="EN450" s="25"/>
      <c r="EO450" s="25"/>
      <c r="EP450" s="25"/>
      <c r="EQ450" s="25"/>
      <c r="ER450" s="25"/>
      <c r="ES450" s="25"/>
      <c r="ET450" s="25"/>
      <c r="EU450" s="25"/>
      <c r="EV450" s="25"/>
      <c r="EW450" s="25"/>
      <c r="EX450" s="25"/>
      <c r="EY450" s="25"/>
      <c r="EZ450" s="25"/>
      <c r="FA450" s="25"/>
      <c r="FB450" s="25"/>
      <c r="FC450" s="25"/>
      <c r="FD450" s="25"/>
      <c r="FE450" s="25"/>
      <c r="FF450" s="25"/>
      <c r="FG450" s="25"/>
      <c r="FH450" s="25"/>
      <c r="FI450" s="25"/>
      <c r="FJ450" s="25"/>
      <c r="FK450" s="25"/>
      <c r="FL450" s="25"/>
      <c r="FM450" s="25"/>
      <c r="FN450" s="25"/>
      <c r="FO450" s="25"/>
      <c r="FP450" s="25"/>
      <c r="FQ450" s="25"/>
      <c r="FR450" s="25"/>
      <c r="FS450" s="25"/>
      <c r="FT450" s="25"/>
      <c r="FU450" s="25"/>
      <c r="FV450" s="25"/>
      <c r="FW450" s="25"/>
      <c r="FX450" s="25"/>
      <c r="FY450" s="25"/>
      <c r="FZ450" s="25"/>
      <c r="GA450" s="25"/>
      <c r="GB450" s="25"/>
      <c r="GC450" s="25"/>
      <c r="GD450" s="25"/>
      <c r="GE450" s="25"/>
      <c r="GF450" s="25"/>
      <c r="GG450" s="25"/>
      <c r="GH450" s="25"/>
      <c r="GI450" s="25"/>
      <c r="GJ450" s="25"/>
      <c r="GK450" s="25"/>
      <c r="GL450" s="25"/>
      <c r="GM450" s="25"/>
      <c r="GN450" s="25"/>
      <c r="GO450" s="25"/>
      <c r="GP450" s="25"/>
      <c r="GQ450" s="25"/>
      <c r="GR450" s="25"/>
      <c r="GS450" s="25"/>
      <c r="GT450" s="25"/>
      <c r="GU450" s="25"/>
      <c r="GV450" s="25"/>
      <c r="GW450" s="25"/>
      <c r="GX450" s="25"/>
      <c r="GY450" s="25"/>
      <c r="GZ450" s="25"/>
      <c r="HA450" s="25"/>
      <c r="HB450" s="25"/>
      <c r="HC450" s="25"/>
      <c r="HD450" s="25"/>
      <c r="HE450" s="25"/>
      <c r="HF450" s="25"/>
      <c r="HG450" s="25"/>
      <c r="HH450" s="25"/>
      <c r="HI450" s="25"/>
      <c r="HJ450" s="25"/>
      <c r="HK450" s="25"/>
      <c r="HL450" s="25"/>
      <c r="HM450" s="25"/>
      <c r="HN450" s="25"/>
      <c r="HO450" s="25"/>
      <c r="HP450" s="25"/>
      <c r="HQ450" s="25"/>
      <c r="HR450" s="25"/>
      <c r="HS450" s="25"/>
      <c r="HT450" s="25"/>
      <c r="HU450" s="25"/>
      <c r="HV450" s="25"/>
      <c r="HW450" s="25"/>
      <c r="HX450" s="25"/>
      <c r="HY450" s="25"/>
      <c r="HZ450" s="25"/>
      <c r="IA450" s="25"/>
      <c r="IB450" s="25"/>
      <c r="IC450" s="25"/>
      <c r="ID450" s="25"/>
      <c r="IE450" s="25"/>
      <c r="IF450" s="25"/>
      <c r="IG450" s="25"/>
      <c r="IH450" s="25"/>
      <c r="II450" s="25"/>
      <c r="IJ450" s="25"/>
      <c r="IK450" s="25"/>
      <c r="IL450" s="25"/>
      <c r="IM450" s="25"/>
      <c r="IN450" s="25"/>
      <c r="IO450" s="25"/>
      <c r="IP450" s="25"/>
      <c r="IQ450" s="25"/>
      <c r="IR450" s="25"/>
      <c r="IS450" s="25"/>
      <c r="IT450" s="25"/>
      <c r="IU450" s="25"/>
      <c r="IV450" s="25"/>
      <c r="IW450" s="25"/>
      <c r="IX450" s="25"/>
      <c r="IY450" s="25"/>
      <c r="IZ450" s="25"/>
      <c r="JA450" s="25"/>
      <c r="JB450" s="25"/>
      <c r="JC450" s="25"/>
      <c r="JD450" s="25"/>
      <c r="JE450" s="25"/>
      <c r="JF450" s="25"/>
      <c r="JG450" s="25"/>
      <c r="JH450" s="25"/>
      <c r="JI450" s="25"/>
      <c r="JJ450" s="25"/>
      <c r="JK450" s="25"/>
      <c r="JL450" s="25"/>
      <c r="JM450" s="25"/>
      <c r="JN450" s="25"/>
      <c r="JO450" s="25"/>
      <c r="JP450" s="25"/>
      <c r="JQ450" s="25"/>
      <c r="JR450" s="25"/>
      <c r="JS450" s="25"/>
      <c r="JT450" s="25"/>
      <c r="JU450" s="25"/>
      <c r="JV450" s="25"/>
      <c r="JW450" s="25"/>
      <c r="JX450" s="25"/>
      <c r="JY450" s="25"/>
      <c r="JZ450" s="25"/>
      <c r="KA450" s="25"/>
      <c r="KB450" s="25"/>
      <c r="KC450" s="25"/>
      <c r="KD450" s="25"/>
      <c r="KE450" s="25"/>
      <c r="KF450" s="25"/>
      <c r="KG450" s="25"/>
      <c r="KH450" s="25"/>
      <c r="KI450" s="25"/>
      <c r="KJ450" s="25"/>
      <c r="KK450" s="25"/>
      <c r="KL450" s="25"/>
      <c r="KM450" s="25"/>
      <c r="KN450" s="25"/>
      <c r="KO450" s="25"/>
      <c r="KP450" s="25"/>
      <c r="KQ450" s="25"/>
      <c r="KR450" s="25"/>
      <c r="KS450" s="25"/>
      <c r="KT450" s="25"/>
      <c r="KU450" s="25"/>
      <c r="KV450" s="25"/>
      <c r="KW450" s="25"/>
      <c r="KX450" s="25"/>
      <c r="KY450" s="25"/>
      <c r="KZ450" s="25"/>
      <c r="LA450" s="25"/>
      <c r="LB450" s="25"/>
      <c r="LC450" s="25"/>
      <c r="LD450" s="25"/>
      <c r="LE450" s="25"/>
      <c r="LF450" s="25"/>
      <c r="LG450" s="25"/>
      <c r="LH450" s="25"/>
      <c r="LI450" s="25"/>
      <c r="LJ450" s="25"/>
      <c r="LK450" s="25"/>
      <c r="LL450" s="25"/>
      <c r="LM450" s="25"/>
      <c r="LN450" s="25"/>
      <c r="LO450" s="25"/>
      <c r="LP450" s="25"/>
      <c r="LQ450" s="25"/>
      <c r="LR450" s="25"/>
      <c r="LS450" s="25"/>
      <c r="LT450" s="25"/>
      <c r="LU450" s="25"/>
      <c r="LV450" s="25"/>
      <c r="LW450" s="25"/>
      <c r="LX450" s="25"/>
      <c r="LY450" s="25"/>
      <c r="LZ450" s="25"/>
      <c r="MA450" s="25"/>
      <c r="MB450" s="25"/>
      <c r="MC450" s="25"/>
      <c r="MD450" s="25"/>
      <c r="ME450" s="25"/>
      <c r="MF450" s="25"/>
      <c r="MG450" s="25"/>
      <c r="MH450" s="25"/>
      <c r="MI450" s="25"/>
      <c r="MJ450" s="25"/>
      <c r="MK450" s="25"/>
      <c r="ML450" s="25"/>
      <c r="MM450" s="25"/>
      <c r="MN450" s="25"/>
      <c r="MO450" s="25"/>
      <c r="MP450" s="25"/>
      <c r="MQ450" s="25"/>
      <c r="MR450" s="25"/>
      <c r="MS450" s="25"/>
      <c r="MT450" s="25"/>
      <c r="MU450" s="25"/>
      <c r="MV450" s="25"/>
      <c r="MW450" s="25"/>
      <c r="MX450" s="25"/>
      <c r="MY450" s="25"/>
      <c r="MZ450" s="25"/>
      <c r="NA450" s="25"/>
      <c r="NB450" s="25"/>
      <c r="NC450" s="25"/>
      <c r="ND450" s="25"/>
      <c r="NE450" s="25"/>
      <c r="NF450" s="25"/>
      <c r="NG450" s="25"/>
      <c r="NH450" s="25"/>
      <c r="NI450" s="25"/>
      <c r="NJ450" s="25"/>
      <c r="NK450" s="25"/>
      <c r="NL450" s="25"/>
      <c r="NM450" s="25"/>
      <c r="NN450" s="25"/>
      <c r="NO450" s="25"/>
      <c r="NP450" s="25"/>
      <c r="NQ450" s="25"/>
      <c r="NR450" s="25"/>
      <c r="NS450" s="25"/>
      <c r="NT450" s="25"/>
      <c r="NU450" s="25"/>
      <c r="NV450" s="25"/>
      <c r="NW450" s="25"/>
      <c r="NX450" s="25"/>
      <c r="NY450" s="25"/>
      <c r="NZ450" s="25"/>
      <c r="OA450" s="25"/>
      <c r="OB450" s="25"/>
      <c r="OC450" s="25"/>
      <c r="OD450" s="25"/>
      <c r="OE450" s="25"/>
      <c r="OF450" s="25"/>
      <c r="OG450" s="25"/>
      <c r="OH450" s="25"/>
      <c r="OI450" s="25"/>
      <c r="OJ450" s="25"/>
      <c r="OK450" s="25"/>
      <c r="OL450" s="25"/>
      <c r="OM450" s="25"/>
      <c r="ON450" s="25"/>
      <c r="OO450" s="25"/>
      <c r="OP450" s="25"/>
      <c r="OQ450" s="25"/>
      <c r="OR450" s="25"/>
      <c r="OS450" s="25"/>
      <c r="OT450" s="25"/>
      <c r="OU450" s="25"/>
      <c r="OV450" s="25"/>
      <c r="OW450" s="25"/>
      <c r="OX450" s="25"/>
      <c r="OY450" s="25"/>
      <c r="OZ450" s="25"/>
      <c r="PA450" s="25"/>
      <c r="PB450" s="25"/>
      <c r="PC450" s="25"/>
      <c r="PD450" s="25"/>
      <c r="PE450" s="25"/>
      <c r="PF450" s="25"/>
      <c r="PG450" s="25"/>
      <c r="PH450" s="25"/>
      <c r="PI450" s="25"/>
      <c r="PJ450" s="25"/>
      <c r="PK450" s="25"/>
      <c r="PL450" s="25"/>
      <c r="PM450" s="25"/>
      <c r="PN450" s="25"/>
      <c r="PO450" s="25"/>
      <c r="PP450" s="25"/>
      <c r="PQ450" s="25"/>
      <c r="PR450" s="25"/>
      <c r="PS450" s="25"/>
      <c r="PT450" s="25"/>
      <c r="PU450" s="25"/>
      <c r="PV450" s="25"/>
      <c r="PW450" s="25"/>
      <c r="PX450" s="25"/>
      <c r="PY450" s="25"/>
      <c r="PZ450" s="25"/>
      <c r="QA450" s="25"/>
      <c r="QB450" s="25"/>
      <c r="QC450" s="25"/>
      <c r="QD450" s="25"/>
      <c r="QE450" s="25"/>
      <c r="QF450" s="25"/>
      <c r="QG450" s="25"/>
      <c r="QH450" s="25"/>
      <c r="QI450" s="25"/>
      <c r="QJ450" s="25"/>
      <c r="QK450" s="25"/>
      <c r="QL450" s="25"/>
      <c r="QM450" s="25"/>
      <c r="QN450" s="25"/>
      <c r="QO450" s="25"/>
      <c r="QP450" s="25"/>
      <c r="QQ450" s="25"/>
      <c r="QR450" s="25"/>
      <c r="QS450" s="25"/>
      <c r="QT450" s="25"/>
      <c r="QU450" s="25"/>
      <c r="QV450" s="25"/>
      <c r="QW450" s="25"/>
      <c r="QX450" s="25"/>
      <c r="QY450" s="25"/>
      <c r="QZ450" s="25"/>
      <c r="RA450" s="25"/>
      <c r="RB450" s="25"/>
      <c r="RC450" s="25"/>
      <c r="RD450" s="25"/>
      <c r="RE450" s="25"/>
      <c r="RF450" s="25"/>
      <c r="RG450" s="25"/>
      <c r="RH450" s="25"/>
      <c r="RI450" s="25"/>
      <c r="RJ450" s="25"/>
      <c r="RK450" s="25"/>
      <c r="RL450" s="25"/>
      <c r="RM450" s="25"/>
      <c r="RN450" s="25"/>
      <c r="RO450" s="25"/>
      <c r="RP450" s="25"/>
      <c r="RQ450" s="25"/>
      <c r="RR450" s="25"/>
      <c r="RS450" s="25"/>
      <c r="RT450" s="25"/>
      <c r="RU450" s="25"/>
      <c r="RV450" s="25"/>
      <c r="RW450" s="25"/>
      <c r="RX450" s="25"/>
      <c r="RY450" s="25"/>
      <c r="RZ450" s="25"/>
      <c r="SA450" s="25"/>
      <c r="SB450" s="25"/>
      <c r="SC450" s="25"/>
      <c r="SD450" s="25"/>
      <c r="SE450" s="25"/>
      <c r="SF450" s="25"/>
      <c r="SG450" s="25"/>
      <c r="SH450" s="25"/>
      <c r="SI450" s="25"/>
      <c r="SJ450" s="25"/>
      <c r="SK450" s="25"/>
      <c r="SL450" s="25"/>
      <c r="SM450" s="25"/>
      <c r="SN450" s="25"/>
      <c r="SO450" s="25"/>
      <c r="SP450" s="25"/>
      <c r="SQ450" s="25"/>
      <c r="SR450" s="25"/>
      <c r="SS450" s="25"/>
      <c r="ST450" s="25"/>
      <c r="SU450" s="25"/>
      <c r="SV450" s="25"/>
      <c r="SW450" s="25"/>
      <c r="SX450" s="25"/>
      <c r="SY450" s="25"/>
      <c r="SZ450" s="25"/>
      <c r="TA450" s="25"/>
      <c r="TB450" s="25"/>
      <c r="TC450" s="25"/>
      <c r="TD450" s="25"/>
      <c r="TE450" s="25"/>
      <c r="TF450" s="25"/>
      <c r="TG450" s="25"/>
      <c r="TH450" s="25"/>
      <c r="TI450" s="25"/>
      <c r="TJ450" s="25"/>
      <c r="TK450" s="25"/>
      <c r="TL450" s="25"/>
      <c r="TM450" s="25"/>
      <c r="TN450" s="25"/>
      <c r="TO450" s="25"/>
      <c r="TP450" s="25"/>
      <c r="TQ450" s="25"/>
      <c r="TR450" s="25"/>
      <c r="TS450" s="25"/>
      <c r="TT450" s="25"/>
      <c r="TU450" s="25"/>
      <c r="TV450" s="25"/>
      <c r="TW450" s="25"/>
      <c r="TX450" s="25"/>
      <c r="TY450" s="25"/>
      <c r="TZ450" s="25"/>
      <c r="UA450" s="25"/>
      <c r="UB450" s="25"/>
      <c r="UC450" s="25"/>
      <c r="UD450" s="25"/>
      <c r="UE450" s="25"/>
      <c r="UF450" s="25"/>
      <c r="UG450" s="26"/>
    </row>
    <row r="451" spans="1:553" ht="30.75" customHeight="1">
      <c r="A451" s="356" t="s">
        <v>30</v>
      </c>
      <c r="B451" s="385" t="s">
        <v>35</v>
      </c>
      <c r="C451" s="1404" t="s">
        <v>348</v>
      </c>
      <c r="D451" s="1389"/>
      <c r="E451" s="1389"/>
      <c r="F451" s="1390"/>
      <c r="G451" s="386" t="s">
        <v>935</v>
      </c>
      <c r="H451" s="370"/>
      <c r="I451" s="834">
        <f>0.28*4.2*4</f>
        <v>4.7040000000000006</v>
      </c>
      <c r="J451" s="368">
        <v>39000</v>
      </c>
      <c r="K451" s="371"/>
      <c r="L451" s="391">
        <f t="shared" si="87"/>
        <v>183456</v>
      </c>
      <c r="M451" s="395"/>
      <c r="N451" s="395"/>
      <c r="O451" s="366"/>
      <c r="P451" s="396"/>
      <c r="Q451" s="473"/>
      <c r="R451" s="1039"/>
      <c r="S451" s="435"/>
      <c r="T451" s="436"/>
      <c r="U451" s="304"/>
      <c r="V451" s="393"/>
      <c r="W451" s="304"/>
      <c r="X451" s="304"/>
      <c r="Y451" s="304"/>
      <c r="Z451" s="304"/>
      <c r="AA451" s="304"/>
      <c r="AB451" s="304"/>
      <c r="AC451" s="449"/>
      <c r="AD451" s="449"/>
      <c r="AE451" s="449"/>
      <c r="AF451" s="449"/>
      <c r="AG451" s="452"/>
      <c r="AH451" s="452"/>
      <c r="AI451" s="452"/>
      <c r="AJ451" s="452"/>
      <c r="AK451" s="452"/>
      <c r="AL451" s="104"/>
      <c r="AM451" s="32"/>
      <c r="AN451" s="32"/>
      <c r="AO451" s="32"/>
      <c r="AP451" s="32"/>
      <c r="AQ451" s="31"/>
      <c r="AR451" s="31"/>
      <c r="AS451" s="31"/>
      <c r="AT451" s="31"/>
      <c r="AU451" s="31"/>
      <c r="AV451" s="31"/>
      <c r="AW451" s="31"/>
      <c r="AX451" s="31"/>
      <c r="AY451" s="31"/>
      <c r="AZ451" s="31"/>
      <c r="BA451" s="31"/>
      <c r="BB451" s="31"/>
      <c r="BC451" s="31"/>
      <c r="BD451" s="31"/>
      <c r="BE451" s="31"/>
      <c r="BF451" s="31"/>
      <c r="BG451" s="31"/>
      <c r="BH451" s="31"/>
      <c r="BI451" s="31"/>
      <c r="BJ451" s="31"/>
      <c r="BK451" s="31"/>
      <c r="BL451" s="31"/>
      <c r="BM451" s="25"/>
      <c r="BN451" s="25"/>
      <c r="BO451" s="25"/>
      <c r="BP451" s="25"/>
      <c r="BQ451" s="25"/>
      <c r="BR451" s="25"/>
      <c r="BS451" s="25"/>
      <c r="BT451" s="25"/>
      <c r="BU451" s="25"/>
      <c r="BV451" s="25"/>
      <c r="BW451" s="25"/>
      <c r="BX451" s="25"/>
      <c r="BY451" s="25"/>
      <c r="BZ451" s="25"/>
      <c r="CA451" s="25"/>
      <c r="CB451" s="25"/>
      <c r="CC451" s="25"/>
      <c r="CD451" s="25"/>
      <c r="CE451" s="25"/>
      <c r="CF451" s="25"/>
      <c r="CG451" s="25"/>
      <c r="CH451" s="25"/>
      <c r="CI451" s="25"/>
      <c r="CJ451" s="25"/>
      <c r="CK451" s="25"/>
      <c r="CL451" s="25"/>
      <c r="CM451" s="25"/>
      <c r="CN451" s="25"/>
      <c r="CO451" s="25"/>
      <c r="CP451" s="25"/>
      <c r="CQ451" s="25"/>
      <c r="CR451" s="25"/>
      <c r="CS451" s="25"/>
      <c r="CT451" s="25"/>
      <c r="CU451" s="25"/>
      <c r="CV451" s="25"/>
      <c r="CW451" s="25"/>
      <c r="CX451" s="25"/>
      <c r="CY451" s="25"/>
      <c r="CZ451" s="25"/>
      <c r="DA451" s="25"/>
      <c r="DB451" s="25"/>
      <c r="DC451" s="25"/>
      <c r="DD451" s="25"/>
      <c r="DE451" s="25"/>
      <c r="DF451" s="25"/>
      <c r="DG451" s="25"/>
      <c r="DH451" s="25"/>
      <c r="DI451" s="25"/>
      <c r="DJ451" s="25"/>
      <c r="DK451" s="25"/>
      <c r="DL451" s="25"/>
      <c r="DM451" s="25"/>
      <c r="DN451" s="25"/>
      <c r="DO451" s="25"/>
      <c r="DP451" s="25"/>
      <c r="DQ451" s="25"/>
      <c r="DR451" s="25"/>
      <c r="DS451" s="25"/>
      <c r="DT451" s="25"/>
      <c r="DU451" s="25"/>
      <c r="DV451" s="25"/>
      <c r="DW451" s="25"/>
      <c r="DX451" s="25"/>
      <c r="DY451" s="25"/>
      <c r="DZ451" s="25"/>
      <c r="EA451" s="25"/>
      <c r="EB451" s="25"/>
      <c r="EC451" s="25"/>
      <c r="ED451" s="25"/>
      <c r="EE451" s="25"/>
      <c r="EF451" s="25"/>
      <c r="EG451" s="25"/>
      <c r="EH451" s="25"/>
      <c r="EI451" s="25"/>
      <c r="EJ451" s="25"/>
      <c r="EK451" s="25"/>
      <c r="EL451" s="25"/>
      <c r="EM451" s="25"/>
      <c r="EN451" s="25"/>
      <c r="EO451" s="25"/>
      <c r="EP451" s="25"/>
      <c r="EQ451" s="25"/>
      <c r="ER451" s="25"/>
      <c r="ES451" s="25"/>
      <c r="ET451" s="25"/>
      <c r="EU451" s="25"/>
      <c r="EV451" s="25"/>
      <c r="EW451" s="25"/>
      <c r="EX451" s="25"/>
      <c r="EY451" s="25"/>
      <c r="EZ451" s="25"/>
      <c r="FA451" s="25"/>
      <c r="FB451" s="25"/>
      <c r="FC451" s="25"/>
      <c r="FD451" s="25"/>
      <c r="FE451" s="25"/>
      <c r="FF451" s="25"/>
      <c r="FG451" s="25"/>
      <c r="FH451" s="25"/>
      <c r="FI451" s="25"/>
      <c r="FJ451" s="25"/>
      <c r="FK451" s="25"/>
      <c r="FL451" s="25"/>
      <c r="FM451" s="25"/>
      <c r="FN451" s="25"/>
      <c r="FO451" s="25"/>
      <c r="FP451" s="25"/>
      <c r="FQ451" s="25"/>
      <c r="FR451" s="25"/>
      <c r="FS451" s="25"/>
      <c r="FT451" s="25"/>
      <c r="FU451" s="25"/>
      <c r="FV451" s="25"/>
      <c r="FW451" s="25"/>
      <c r="FX451" s="25"/>
      <c r="FY451" s="25"/>
      <c r="FZ451" s="25"/>
      <c r="GA451" s="25"/>
      <c r="GB451" s="25"/>
      <c r="GC451" s="25"/>
      <c r="GD451" s="25"/>
      <c r="GE451" s="25"/>
      <c r="GF451" s="25"/>
      <c r="GG451" s="25"/>
      <c r="GH451" s="25"/>
      <c r="GI451" s="25"/>
      <c r="GJ451" s="25"/>
      <c r="GK451" s="25"/>
      <c r="GL451" s="25"/>
      <c r="GM451" s="25"/>
      <c r="GN451" s="25"/>
      <c r="GO451" s="25"/>
      <c r="GP451" s="25"/>
      <c r="GQ451" s="25"/>
      <c r="GR451" s="25"/>
      <c r="GS451" s="25"/>
      <c r="GT451" s="25"/>
      <c r="GU451" s="25"/>
      <c r="GV451" s="25"/>
      <c r="GW451" s="25"/>
      <c r="GX451" s="25"/>
      <c r="GY451" s="25"/>
      <c r="GZ451" s="25"/>
      <c r="HA451" s="25"/>
      <c r="HB451" s="25"/>
      <c r="HC451" s="25"/>
      <c r="HD451" s="25"/>
      <c r="HE451" s="25"/>
      <c r="HF451" s="25"/>
      <c r="HG451" s="25"/>
      <c r="HH451" s="25"/>
      <c r="HI451" s="25"/>
      <c r="HJ451" s="25"/>
      <c r="HK451" s="25"/>
      <c r="HL451" s="25"/>
      <c r="HM451" s="25"/>
      <c r="HN451" s="25"/>
      <c r="HO451" s="25"/>
      <c r="HP451" s="25"/>
      <c r="HQ451" s="25"/>
      <c r="HR451" s="25"/>
      <c r="HS451" s="25"/>
      <c r="HT451" s="25"/>
      <c r="HU451" s="25"/>
      <c r="HV451" s="25"/>
      <c r="HW451" s="25"/>
      <c r="HX451" s="25"/>
      <c r="HY451" s="25"/>
      <c r="HZ451" s="25"/>
      <c r="IA451" s="25"/>
      <c r="IB451" s="25"/>
      <c r="IC451" s="25"/>
      <c r="ID451" s="25"/>
      <c r="IE451" s="25"/>
      <c r="IF451" s="25"/>
      <c r="IG451" s="25"/>
      <c r="IH451" s="25"/>
      <c r="II451" s="25"/>
      <c r="IJ451" s="25"/>
      <c r="IK451" s="25"/>
      <c r="IL451" s="25"/>
      <c r="IM451" s="25"/>
      <c r="IN451" s="25"/>
      <c r="IO451" s="25"/>
      <c r="IP451" s="25"/>
      <c r="IQ451" s="25"/>
      <c r="IR451" s="25"/>
      <c r="IS451" s="25"/>
      <c r="IT451" s="25"/>
      <c r="IU451" s="25"/>
      <c r="IV451" s="25"/>
      <c r="IW451" s="25"/>
      <c r="IX451" s="25"/>
      <c r="IY451" s="25"/>
      <c r="IZ451" s="25"/>
      <c r="JA451" s="25"/>
      <c r="JB451" s="25"/>
      <c r="JC451" s="25"/>
      <c r="JD451" s="25"/>
      <c r="JE451" s="25"/>
      <c r="JF451" s="25"/>
      <c r="JG451" s="25"/>
      <c r="JH451" s="25"/>
      <c r="JI451" s="25"/>
      <c r="JJ451" s="25"/>
      <c r="JK451" s="25"/>
      <c r="JL451" s="25"/>
      <c r="JM451" s="25"/>
      <c r="JN451" s="25"/>
      <c r="JO451" s="25"/>
      <c r="JP451" s="25"/>
      <c r="JQ451" s="25"/>
      <c r="JR451" s="25"/>
      <c r="JS451" s="25"/>
      <c r="JT451" s="25"/>
      <c r="JU451" s="25"/>
      <c r="JV451" s="25"/>
      <c r="JW451" s="25"/>
      <c r="JX451" s="25"/>
      <c r="JY451" s="25"/>
      <c r="JZ451" s="25"/>
      <c r="KA451" s="25"/>
      <c r="KB451" s="25"/>
      <c r="KC451" s="25"/>
      <c r="KD451" s="25"/>
      <c r="KE451" s="25"/>
      <c r="KF451" s="25"/>
      <c r="KG451" s="25"/>
      <c r="KH451" s="25"/>
      <c r="KI451" s="25"/>
      <c r="KJ451" s="25"/>
      <c r="KK451" s="25"/>
      <c r="KL451" s="25"/>
      <c r="KM451" s="25"/>
      <c r="KN451" s="25"/>
      <c r="KO451" s="25"/>
      <c r="KP451" s="25"/>
      <c r="KQ451" s="25"/>
      <c r="KR451" s="25"/>
      <c r="KS451" s="25"/>
      <c r="KT451" s="25"/>
      <c r="KU451" s="25"/>
      <c r="KV451" s="25"/>
      <c r="KW451" s="25"/>
      <c r="KX451" s="25"/>
      <c r="KY451" s="25"/>
      <c r="KZ451" s="25"/>
      <c r="LA451" s="25"/>
      <c r="LB451" s="25"/>
      <c r="LC451" s="25"/>
      <c r="LD451" s="25"/>
      <c r="LE451" s="25"/>
      <c r="LF451" s="25"/>
      <c r="LG451" s="25"/>
      <c r="LH451" s="25"/>
      <c r="LI451" s="25"/>
      <c r="LJ451" s="25"/>
      <c r="LK451" s="25"/>
      <c r="LL451" s="25"/>
      <c r="LM451" s="25"/>
      <c r="LN451" s="25"/>
      <c r="LO451" s="25"/>
      <c r="LP451" s="25"/>
      <c r="LQ451" s="25"/>
      <c r="LR451" s="25"/>
      <c r="LS451" s="25"/>
      <c r="LT451" s="25"/>
      <c r="LU451" s="25"/>
      <c r="LV451" s="25"/>
      <c r="LW451" s="25"/>
      <c r="LX451" s="25"/>
      <c r="LY451" s="25"/>
      <c r="LZ451" s="25"/>
      <c r="MA451" s="25"/>
      <c r="MB451" s="25"/>
      <c r="MC451" s="25"/>
      <c r="MD451" s="25"/>
      <c r="ME451" s="25"/>
      <c r="MF451" s="25"/>
      <c r="MG451" s="25"/>
      <c r="MH451" s="25"/>
      <c r="MI451" s="25"/>
      <c r="MJ451" s="25"/>
      <c r="MK451" s="25"/>
      <c r="ML451" s="25"/>
      <c r="MM451" s="25"/>
      <c r="MN451" s="25"/>
      <c r="MO451" s="25"/>
      <c r="MP451" s="25"/>
      <c r="MQ451" s="25"/>
      <c r="MR451" s="25"/>
      <c r="MS451" s="25"/>
      <c r="MT451" s="25"/>
      <c r="MU451" s="25"/>
      <c r="MV451" s="25"/>
      <c r="MW451" s="25"/>
      <c r="MX451" s="25"/>
      <c r="MY451" s="25"/>
      <c r="MZ451" s="25"/>
      <c r="NA451" s="25"/>
      <c r="NB451" s="25"/>
      <c r="NC451" s="25"/>
      <c r="ND451" s="25"/>
      <c r="NE451" s="25"/>
      <c r="NF451" s="25"/>
      <c r="NG451" s="25"/>
      <c r="NH451" s="25"/>
      <c r="NI451" s="25"/>
      <c r="NJ451" s="25"/>
      <c r="NK451" s="25"/>
      <c r="NL451" s="25"/>
      <c r="NM451" s="25"/>
      <c r="NN451" s="25"/>
      <c r="NO451" s="25"/>
      <c r="NP451" s="25"/>
      <c r="NQ451" s="25"/>
      <c r="NR451" s="25"/>
      <c r="NS451" s="25"/>
      <c r="NT451" s="25"/>
      <c r="NU451" s="25"/>
      <c r="NV451" s="25"/>
      <c r="NW451" s="25"/>
      <c r="NX451" s="25"/>
      <c r="NY451" s="25"/>
      <c r="NZ451" s="25"/>
      <c r="OA451" s="25"/>
      <c r="OB451" s="25"/>
      <c r="OC451" s="25"/>
      <c r="OD451" s="25"/>
      <c r="OE451" s="25"/>
      <c r="OF451" s="25"/>
      <c r="OG451" s="25"/>
      <c r="OH451" s="25"/>
      <c r="OI451" s="25"/>
      <c r="OJ451" s="25"/>
      <c r="OK451" s="25"/>
      <c r="OL451" s="25"/>
      <c r="OM451" s="25"/>
      <c r="ON451" s="25"/>
      <c r="OO451" s="25"/>
      <c r="OP451" s="25"/>
      <c r="OQ451" s="25"/>
      <c r="OR451" s="25"/>
      <c r="OS451" s="25"/>
      <c r="OT451" s="25"/>
      <c r="OU451" s="25"/>
      <c r="OV451" s="25"/>
      <c r="OW451" s="25"/>
      <c r="OX451" s="25"/>
      <c r="OY451" s="25"/>
      <c r="OZ451" s="25"/>
      <c r="PA451" s="25"/>
      <c r="PB451" s="25"/>
      <c r="PC451" s="25"/>
      <c r="PD451" s="25"/>
      <c r="PE451" s="25"/>
      <c r="PF451" s="25"/>
      <c r="PG451" s="25"/>
      <c r="PH451" s="25"/>
      <c r="PI451" s="25"/>
      <c r="PJ451" s="25"/>
      <c r="PK451" s="25"/>
      <c r="PL451" s="25"/>
      <c r="PM451" s="25"/>
      <c r="PN451" s="25"/>
      <c r="PO451" s="25"/>
      <c r="PP451" s="25"/>
      <c r="PQ451" s="25"/>
      <c r="PR451" s="25"/>
      <c r="PS451" s="25"/>
      <c r="PT451" s="25"/>
      <c r="PU451" s="25"/>
      <c r="PV451" s="25"/>
      <c r="PW451" s="25"/>
      <c r="PX451" s="25"/>
      <c r="PY451" s="25"/>
      <c r="PZ451" s="25"/>
      <c r="QA451" s="25"/>
      <c r="QB451" s="25"/>
      <c r="QC451" s="25"/>
      <c r="QD451" s="25"/>
      <c r="QE451" s="25"/>
      <c r="QF451" s="25"/>
      <c r="QG451" s="25"/>
      <c r="QH451" s="25"/>
      <c r="QI451" s="25"/>
      <c r="QJ451" s="25"/>
      <c r="QK451" s="25"/>
      <c r="QL451" s="25"/>
      <c r="QM451" s="25"/>
      <c r="QN451" s="25"/>
      <c r="QO451" s="25"/>
      <c r="QP451" s="25"/>
      <c r="QQ451" s="25"/>
      <c r="QR451" s="25"/>
      <c r="QS451" s="25"/>
      <c r="QT451" s="25"/>
      <c r="QU451" s="25"/>
      <c r="QV451" s="25"/>
      <c r="QW451" s="25"/>
      <c r="QX451" s="25"/>
      <c r="QY451" s="25"/>
      <c r="QZ451" s="25"/>
      <c r="RA451" s="25"/>
      <c r="RB451" s="25"/>
      <c r="RC451" s="25"/>
      <c r="RD451" s="25"/>
      <c r="RE451" s="25"/>
      <c r="RF451" s="25"/>
      <c r="RG451" s="25"/>
      <c r="RH451" s="25"/>
      <c r="RI451" s="25"/>
      <c r="RJ451" s="25"/>
      <c r="RK451" s="25"/>
      <c r="RL451" s="25"/>
      <c r="RM451" s="25"/>
      <c r="RN451" s="25"/>
      <c r="RO451" s="25"/>
      <c r="RP451" s="25"/>
      <c r="RQ451" s="25"/>
      <c r="RR451" s="25"/>
      <c r="RS451" s="25"/>
      <c r="RT451" s="25"/>
      <c r="RU451" s="25"/>
      <c r="RV451" s="25"/>
      <c r="RW451" s="25"/>
      <c r="RX451" s="25"/>
      <c r="RY451" s="25"/>
      <c r="RZ451" s="25"/>
      <c r="SA451" s="25"/>
      <c r="SB451" s="25"/>
      <c r="SC451" s="25"/>
      <c r="SD451" s="25"/>
      <c r="SE451" s="25"/>
      <c r="SF451" s="25"/>
      <c r="SG451" s="25"/>
      <c r="SH451" s="25"/>
      <c r="SI451" s="25"/>
      <c r="SJ451" s="25"/>
      <c r="SK451" s="25"/>
      <c r="SL451" s="25"/>
      <c r="SM451" s="25"/>
      <c r="SN451" s="25"/>
      <c r="SO451" s="25"/>
      <c r="SP451" s="25"/>
      <c r="SQ451" s="25"/>
      <c r="SR451" s="25"/>
      <c r="SS451" s="25"/>
      <c r="ST451" s="25"/>
      <c r="SU451" s="25"/>
      <c r="SV451" s="25"/>
      <c r="SW451" s="25"/>
      <c r="SX451" s="25"/>
      <c r="SY451" s="25"/>
      <c r="SZ451" s="25"/>
      <c r="TA451" s="25"/>
      <c r="TB451" s="25"/>
      <c r="TC451" s="25"/>
      <c r="TD451" s="25"/>
      <c r="TE451" s="25"/>
      <c r="TF451" s="25"/>
      <c r="TG451" s="25"/>
      <c r="TH451" s="25"/>
      <c r="TI451" s="25"/>
      <c r="TJ451" s="25"/>
      <c r="TK451" s="25"/>
      <c r="TL451" s="25"/>
      <c r="TM451" s="25"/>
      <c r="TN451" s="25"/>
      <c r="TO451" s="25"/>
      <c r="TP451" s="25"/>
      <c r="TQ451" s="25"/>
      <c r="TR451" s="25"/>
      <c r="TS451" s="25"/>
      <c r="TT451" s="25"/>
      <c r="TU451" s="25"/>
      <c r="TV451" s="25"/>
      <c r="TW451" s="25"/>
      <c r="TX451" s="25"/>
      <c r="TY451" s="25"/>
      <c r="TZ451" s="25"/>
      <c r="UA451" s="25"/>
      <c r="UB451" s="25"/>
      <c r="UC451" s="25"/>
      <c r="UD451" s="25"/>
      <c r="UE451" s="25"/>
      <c r="UF451" s="25"/>
      <c r="UG451" s="26"/>
    </row>
    <row r="452" spans="1:553" ht="30.75" customHeight="1">
      <c r="A452" s="356" t="s">
        <v>30</v>
      </c>
      <c r="B452" s="385" t="s">
        <v>35</v>
      </c>
      <c r="C452" s="1404" t="s">
        <v>349</v>
      </c>
      <c r="D452" s="1389"/>
      <c r="E452" s="1389"/>
      <c r="F452" s="1390"/>
      <c r="G452" s="386" t="s">
        <v>935</v>
      </c>
      <c r="H452" s="370"/>
      <c r="I452" s="834">
        <f>0.44*7.36*2</f>
        <v>6.4767999999999999</v>
      </c>
      <c r="J452" s="368">
        <v>39000</v>
      </c>
      <c r="K452" s="371"/>
      <c r="L452" s="391">
        <f t="shared" si="87"/>
        <v>252595</v>
      </c>
      <c r="M452" s="395"/>
      <c r="N452" s="395"/>
      <c r="O452" s="366"/>
      <c r="P452" s="396"/>
      <c r="Q452" s="473"/>
      <c r="R452" s="1039"/>
      <c r="S452" s="308"/>
      <c r="T452" s="303"/>
      <c r="U452" s="306"/>
      <c r="V452" s="307"/>
      <c r="W452" s="306"/>
      <c r="X452" s="306"/>
      <c r="Y452" s="306"/>
      <c r="Z452" s="306"/>
      <c r="AA452" s="306"/>
      <c r="AB452" s="306"/>
      <c r="AC452" s="449"/>
      <c r="AD452" s="449"/>
      <c r="AE452" s="449"/>
      <c r="AF452" s="449"/>
      <c r="AG452" s="452"/>
      <c r="AH452" s="452"/>
      <c r="AI452" s="452"/>
      <c r="AJ452" s="452"/>
      <c r="AK452" s="452"/>
      <c r="AL452" s="104"/>
      <c r="AM452" s="32"/>
      <c r="AN452" s="32"/>
      <c r="AO452" s="32"/>
      <c r="AP452" s="32"/>
      <c r="AQ452" s="31"/>
      <c r="AR452" s="31"/>
      <c r="AS452" s="31"/>
      <c r="AT452" s="31"/>
      <c r="AU452" s="31"/>
      <c r="AV452" s="31"/>
      <c r="AW452" s="31"/>
      <c r="AX452" s="31"/>
      <c r="AY452" s="31"/>
      <c r="AZ452" s="31"/>
      <c r="BA452" s="31"/>
      <c r="BB452" s="31"/>
      <c r="BC452" s="31"/>
      <c r="BD452" s="31"/>
      <c r="BE452" s="31"/>
      <c r="BF452" s="31"/>
      <c r="BG452" s="31"/>
      <c r="BH452" s="31"/>
      <c r="BI452" s="31"/>
      <c r="BJ452" s="31"/>
      <c r="BK452" s="31"/>
      <c r="BL452" s="31"/>
      <c r="BM452" s="25"/>
      <c r="BN452" s="25"/>
      <c r="BO452" s="25"/>
      <c r="BP452" s="25"/>
      <c r="BQ452" s="25"/>
      <c r="BR452" s="25"/>
      <c r="BS452" s="25"/>
      <c r="BT452" s="25"/>
      <c r="BU452" s="25"/>
      <c r="BV452" s="25"/>
      <c r="BW452" s="25"/>
      <c r="BX452" s="25"/>
      <c r="BY452" s="25"/>
      <c r="BZ452" s="25"/>
      <c r="CA452" s="25"/>
      <c r="CB452" s="25"/>
      <c r="CC452" s="25"/>
      <c r="CD452" s="25"/>
      <c r="CE452" s="25"/>
      <c r="CF452" s="25"/>
      <c r="CG452" s="25"/>
      <c r="CH452" s="25"/>
      <c r="CI452" s="25"/>
      <c r="CJ452" s="25"/>
      <c r="CK452" s="25"/>
      <c r="CL452" s="25"/>
      <c r="CM452" s="25"/>
      <c r="CN452" s="25"/>
      <c r="CO452" s="25"/>
      <c r="CP452" s="25"/>
      <c r="CQ452" s="25"/>
      <c r="CR452" s="25"/>
      <c r="CS452" s="25"/>
      <c r="CT452" s="25"/>
      <c r="CU452" s="25"/>
      <c r="CV452" s="25"/>
      <c r="CW452" s="25"/>
      <c r="CX452" s="25"/>
      <c r="CY452" s="25"/>
      <c r="CZ452" s="25"/>
      <c r="DA452" s="25"/>
      <c r="DB452" s="25"/>
      <c r="DC452" s="25"/>
      <c r="DD452" s="25"/>
      <c r="DE452" s="25"/>
      <c r="DF452" s="25"/>
      <c r="DG452" s="25"/>
      <c r="DH452" s="25"/>
      <c r="DI452" s="25"/>
      <c r="DJ452" s="25"/>
      <c r="DK452" s="25"/>
      <c r="DL452" s="25"/>
      <c r="DM452" s="25"/>
      <c r="DN452" s="25"/>
      <c r="DO452" s="25"/>
      <c r="DP452" s="25"/>
      <c r="DQ452" s="25"/>
      <c r="DR452" s="25"/>
      <c r="DS452" s="25"/>
      <c r="DT452" s="25"/>
      <c r="DU452" s="25"/>
      <c r="DV452" s="25"/>
      <c r="DW452" s="25"/>
      <c r="DX452" s="25"/>
      <c r="DY452" s="25"/>
      <c r="DZ452" s="25"/>
      <c r="EA452" s="25"/>
      <c r="EB452" s="25"/>
      <c r="EC452" s="25"/>
      <c r="ED452" s="25"/>
      <c r="EE452" s="25"/>
      <c r="EF452" s="25"/>
      <c r="EG452" s="25"/>
      <c r="EH452" s="25"/>
      <c r="EI452" s="25"/>
      <c r="EJ452" s="25"/>
      <c r="EK452" s="25"/>
      <c r="EL452" s="25"/>
      <c r="EM452" s="25"/>
      <c r="EN452" s="25"/>
      <c r="EO452" s="25"/>
      <c r="EP452" s="25"/>
      <c r="EQ452" s="25"/>
      <c r="ER452" s="25"/>
      <c r="ES452" s="25"/>
      <c r="ET452" s="25"/>
      <c r="EU452" s="25"/>
      <c r="EV452" s="25"/>
      <c r="EW452" s="25"/>
      <c r="EX452" s="25"/>
      <c r="EY452" s="25"/>
      <c r="EZ452" s="25"/>
      <c r="FA452" s="25"/>
      <c r="FB452" s="25"/>
      <c r="FC452" s="25"/>
      <c r="FD452" s="25"/>
      <c r="FE452" s="25"/>
      <c r="FF452" s="25"/>
      <c r="FG452" s="25"/>
      <c r="FH452" s="25"/>
      <c r="FI452" s="25"/>
      <c r="FJ452" s="25"/>
      <c r="FK452" s="25"/>
      <c r="FL452" s="25"/>
      <c r="FM452" s="25"/>
      <c r="FN452" s="25"/>
      <c r="FO452" s="25"/>
      <c r="FP452" s="25"/>
      <c r="FQ452" s="25"/>
      <c r="FR452" s="25"/>
      <c r="FS452" s="25"/>
      <c r="FT452" s="25"/>
      <c r="FU452" s="25"/>
      <c r="FV452" s="25"/>
      <c r="FW452" s="25"/>
      <c r="FX452" s="25"/>
      <c r="FY452" s="25"/>
      <c r="FZ452" s="25"/>
      <c r="GA452" s="25"/>
      <c r="GB452" s="25"/>
      <c r="GC452" s="25"/>
      <c r="GD452" s="25"/>
      <c r="GE452" s="25"/>
      <c r="GF452" s="25"/>
      <c r="GG452" s="25"/>
      <c r="GH452" s="25"/>
      <c r="GI452" s="25"/>
      <c r="GJ452" s="25"/>
      <c r="GK452" s="25"/>
      <c r="GL452" s="25"/>
      <c r="GM452" s="25"/>
      <c r="GN452" s="25"/>
      <c r="GO452" s="25"/>
      <c r="GP452" s="25"/>
      <c r="GQ452" s="25"/>
      <c r="GR452" s="25"/>
      <c r="GS452" s="25"/>
      <c r="GT452" s="25"/>
      <c r="GU452" s="25"/>
      <c r="GV452" s="25"/>
      <c r="GW452" s="25"/>
      <c r="GX452" s="25"/>
      <c r="GY452" s="25"/>
      <c r="GZ452" s="25"/>
      <c r="HA452" s="25"/>
      <c r="HB452" s="25"/>
      <c r="HC452" s="25"/>
      <c r="HD452" s="25"/>
      <c r="HE452" s="25"/>
      <c r="HF452" s="25"/>
      <c r="HG452" s="25"/>
      <c r="HH452" s="25"/>
      <c r="HI452" s="25"/>
      <c r="HJ452" s="25"/>
      <c r="HK452" s="25"/>
      <c r="HL452" s="25"/>
      <c r="HM452" s="25"/>
      <c r="HN452" s="25"/>
      <c r="HO452" s="25"/>
      <c r="HP452" s="25"/>
      <c r="HQ452" s="25"/>
      <c r="HR452" s="25"/>
      <c r="HS452" s="25"/>
      <c r="HT452" s="25"/>
      <c r="HU452" s="25"/>
      <c r="HV452" s="25"/>
      <c r="HW452" s="25"/>
      <c r="HX452" s="25"/>
      <c r="HY452" s="25"/>
      <c r="HZ452" s="25"/>
      <c r="IA452" s="25"/>
      <c r="IB452" s="25"/>
      <c r="IC452" s="25"/>
      <c r="ID452" s="25"/>
      <c r="IE452" s="25"/>
      <c r="IF452" s="25"/>
      <c r="IG452" s="25"/>
      <c r="IH452" s="25"/>
      <c r="II452" s="25"/>
      <c r="IJ452" s="25"/>
      <c r="IK452" s="25"/>
      <c r="IL452" s="25"/>
      <c r="IM452" s="25"/>
      <c r="IN452" s="25"/>
      <c r="IO452" s="25"/>
      <c r="IP452" s="25"/>
      <c r="IQ452" s="25"/>
      <c r="IR452" s="25"/>
      <c r="IS452" s="25"/>
      <c r="IT452" s="25"/>
      <c r="IU452" s="25"/>
      <c r="IV452" s="25"/>
      <c r="IW452" s="25"/>
      <c r="IX452" s="25"/>
      <c r="IY452" s="25"/>
      <c r="IZ452" s="25"/>
      <c r="JA452" s="25"/>
      <c r="JB452" s="25"/>
      <c r="JC452" s="25"/>
      <c r="JD452" s="25"/>
      <c r="JE452" s="25"/>
      <c r="JF452" s="25"/>
      <c r="JG452" s="25"/>
      <c r="JH452" s="25"/>
      <c r="JI452" s="25"/>
      <c r="JJ452" s="25"/>
      <c r="JK452" s="25"/>
      <c r="JL452" s="25"/>
      <c r="JM452" s="25"/>
      <c r="JN452" s="25"/>
      <c r="JO452" s="25"/>
      <c r="JP452" s="25"/>
      <c r="JQ452" s="25"/>
      <c r="JR452" s="25"/>
      <c r="JS452" s="25"/>
      <c r="JT452" s="25"/>
      <c r="JU452" s="25"/>
      <c r="JV452" s="25"/>
      <c r="JW452" s="25"/>
      <c r="JX452" s="25"/>
      <c r="JY452" s="25"/>
      <c r="JZ452" s="25"/>
      <c r="KA452" s="25"/>
      <c r="KB452" s="25"/>
      <c r="KC452" s="25"/>
      <c r="KD452" s="25"/>
      <c r="KE452" s="25"/>
      <c r="KF452" s="25"/>
      <c r="KG452" s="25"/>
      <c r="KH452" s="25"/>
      <c r="KI452" s="25"/>
      <c r="KJ452" s="25"/>
      <c r="KK452" s="25"/>
      <c r="KL452" s="25"/>
      <c r="KM452" s="25"/>
      <c r="KN452" s="25"/>
      <c r="KO452" s="25"/>
      <c r="KP452" s="25"/>
      <c r="KQ452" s="25"/>
      <c r="KR452" s="25"/>
      <c r="KS452" s="25"/>
      <c r="KT452" s="25"/>
      <c r="KU452" s="25"/>
      <c r="KV452" s="25"/>
      <c r="KW452" s="25"/>
      <c r="KX452" s="25"/>
      <c r="KY452" s="25"/>
      <c r="KZ452" s="25"/>
      <c r="LA452" s="25"/>
      <c r="LB452" s="25"/>
      <c r="LC452" s="25"/>
      <c r="LD452" s="25"/>
      <c r="LE452" s="25"/>
      <c r="LF452" s="25"/>
      <c r="LG452" s="25"/>
      <c r="LH452" s="25"/>
      <c r="LI452" s="25"/>
      <c r="LJ452" s="25"/>
      <c r="LK452" s="25"/>
      <c r="LL452" s="25"/>
      <c r="LM452" s="25"/>
      <c r="LN452" s="25"/>
      <c r="LO452" s="25"/>
      <c r="LP452" s="25"/>
      <c r="LQ452" s="25"/>
      <c r="LR452" s="25"/>
      <c r="LS452" s="25"/>
      <c r="LT452" s="25"/>
      <c r="LU452" s="25"/>
      <c r="LV452" s="25"/>
      <c r="LW452" s="25"/>
      <c r="LX452" s="25"/>
      <c r="LY452" s="25"/>
      <c r="LZ452" s="25"/>
      <c r="MA452" s="25"/>
      <c r="MB452" s="25"/>
      <c r="MC452" s="25"/>
      <c r="MD452" s="25"/>
      <c r="ME452" s="25"/>
      <c r="MF452" s="25"/>
      <c r="MG452" s="25"/>
      <c r="MH452" s="25"/>
      <c r="MI452" s="25"/>
      <c r="MJ452" s="25"/>
      <c r="MK452" s="25"/>
      <c r="ML452" s="25"/>
      <c r="MM452" s="25"/>
      <c r="MN452" s="25"/>
      <c r="MO452" s="25"/>
      <c r="MP452" s="25"/>
      <c r="MQ452" s="25"/>
      <c r="MR452" s="25"/>
      <c r="MS452" s="25"/>
      <c r="MT452" s="25"/>
      <c r="MU452" s="25"/>
      <c r="MV452" s="25"/>
      <c r="MW452" s="25"/>
      <c r="MX452" s="25"/>
      <c r="MY452" s="25"/>
      <c r="MZ452" s="25"/>
      <c r="NA452" s="25"/>
      <c r="NB452" s="25"/>
      <c r="NC452" s="25"/>
      <c r="ND452" s="25"/>
      <c r="NE452" s="25"/>
      <c r="NF452" s="25"/>
      <c r="NG452" s="25"/>
      <c r="NH452" s="25"/>
      <c r="NI452" s="25"/>
      <c r="NJ452" s="25"/>
      <c r="NK452" s="25"/>
      <c r="NL452" s="25"/>
      <c r="NM452" s="25"/>
      <c r="NN452" s="25"/>
      <c r="NO452" s="25"/>
      <c r="NP452" s="25"/>
      <c r="NQ452" s="25"/>
      <c r="NR452" s="25"/>
      <c r="NS452" s="25"/>
      <c r="NT452" s="25"/>
      <c r="NU452" s="25"/>
      <c r="NV452" s="25"/>
      <c r="NW452" s="25"/>
      <c r="NX452" s="25"/>
      <c r="NY452" s="25"/>
      <c r="NZ452" s="25"/>
      <c r="OA452" s="25"/>
      <c r="OB452" s="25"/>
      <c r="OC452" s="25"/>
      <c r="OD452" s="25"/>
      <c r="OE452" s="25"/>
      <c r="OF452" s="25"/>
      <c r="OG452" s="25"/>
      <c r="OH452" s="25"/>
      <c r="OI452" s="25"/>
      <c r="OJ452" s="25"/>
      <c r="OK452" s="25"/>
      <c r="OL452" s="25"/>
      <c r="OM452" s="25"/>
      <c r="ON452" s="25"/>
      <c r="OO452" s="25"/>
      <c r="OP452" s="25"/>
      <c r="OQ452" s="25"/>
      <c r="OR452" s="25"/>
      <c r="OS452" s="25"/>
      <c r="OT452" s="25"/>
      <c r="OU452" s="25"/>
      <c r="OV452" s="25"/>
      <c r="OW452" s="25"/>
      <c r="OX452" s="25"/>
      <c r="OY452" s="25"/>
      <c r="OZ452" s="25"/>
      <c r="PA452" s="25"/>
      <c r="PB452" s="25"/>
      <c r="PC452" s="25"/>
      <c r="PD452" s="25"/>
      <c r="PE452" s="25"/>
      <c r="PF452" s="25"/>
      <c r="PG452" s="25"/>
      <c r="PH452" s="25"/>
      <c r="PI452" s="25"/>
      <c r="PJ452" s="25"/>
      <c r="PK452" s="25"/>
      <c r="PL452" s="25"/>
      <c r="PM452" s="25"/>
      <c r="PN452" s="25"/>
      <c r="PO452" s="25"/>
      <c r="PP452" s="25"/>
      <c r="PQ452" s="25"/>
      <c r="PR452" s="25"/>
      <c r="PS452" s="25"/>
      <c r="PT452" s="25"/>
      <c r="PU452" s="25"/>
      <c r="PV452" s="25"/>
      <c r="PW452" s="25"/>
      <c r="PX452" s="25"/>
      <c r="PY452" s="25"/>
      <c r="PZ452" s="25"/>
      <c r="QA452" s="25"/>
      <c r="QB452" s="25"/>
      <c r="QC452" s="25"/>
      <c r="QD452" s="25"/>
      <c r="QE452" s="25"/>
      <c r="QF452" s="25"/>
      <c r="QG452" s="25"/>
      <c r="QH452" s="25"/>
      <c r="QI452" s="25"/>
      <c r="QJ452" s="25"/>
      <c r="QK452" s="25"/>
      <c r="QL452" s="25"/>
      <c r="QM452" s="25"/>
      <c r="QN452" s="25"/>
      <c r="QO452" s="25"/>
      <c r="QP452" s="25"/>
      <c r="QQ452" s="25"/>
      <c r="QR452" s="25"/>
      <c r="QS452" s="25"/>
      <c r="QT452" s="25"/>
      <c r="QU452" s="25"/>
      <c r="QV452" s="25"/>
      <c r="QW452" s="25"/>
      <c r="QX452" s="25"/>
      <c r="QY452" s="25"/>
      <c r="QZ452" s="25"/>
      <c r="RA452" s="25"/>
      <c r="RB452" s="25"/>
      <c r="RC452" s="25"/>
      <c r="RD452" s="25"/>
      <c r="RE452" s="25"/>
      <c r="RF452" s="25"/>
      <c r="RG452" s="25"/>
      <c r="RH452" s="25"/>
      <c r="RI452" s="25"/>
      <c r="RJ452" s="25"/>
      <c r="RK452" s="25"/>
      <c r="RL452" s="25"/>
      <c r="RM452" s="25"/>
      <c r="RN452" s="25"/>
      <c r="RO452" s="25"/>
      <c r="RP452" s="25"/>
      <c r="RQ452" s="25"/>
      <c r="RR452" s="25"/>
      <c r="RS452" s="25"/>
      <c r="RT452" s="25"/>
      <c r="RU452" s="25"/>
      <c r="RV452" s="25"/>
      <c r="RW452" s="25"/>
      <c r="RX452" s="25"/>
      <c r="RY452" s="25"/>
      <c r="RZ452" s="25"/>
      <c r="SA452" s="25"/>
      <c r="SB452" s="25"/>
      <c r="SC452" s="25"/>
      <c r="SD452" s="25"/>
      <c r="SE452" s="25"/>
      <c r="SF452" s="25"/>
      <c r="SG452" s="25"/>
      <c r="SH452" s="25"/>
      <c r="SI452" s="25"/>
      <c r="SJ452" s="25"/>
      <c r="SK452" s="25"/>
      <c r="SL452" s="25"/>
      <c r="SM452" s="25"/>
      <c r="SN452" s="25"/>
      <c r="SO452" s="25"/>
      <c r="SP452" s="25"/>
      <c r="SQ452" s="25"/>
      <c r="SR452" s="25"/>
      <c r="SS452" s="25"/>
      <c r="ST452" s="25"/>
      <c r="SU452" s="25"/>
      <c r="SV452" s="25"/>
      <c r="SW452" s="25"/>
      <c r="SX452" s="25"/>
      <c r="SY452" s="25"/>
      <c r="SZ452" s="25"/>
      <c r="TA452" s="25"/>
      <c r="TB452" s="25"/>
      <c r="TC452" s="25"/>
      <c r="TD452" s="25"/>
      <c r="TE452" s="25"/>
      <c r="TF452" s="25"/>
      <c r="TG452" s="25"/>
      <c r="TH452" s="25"/>
      <c r="TI452" s="25"/>
      <c r="TJ452" s="25"/>
      <c r="TK452" s="25"/>
      <c r="TL452" s="25"/>
      <c r="TM452" s="25"/>
      <c r="TN452" s="25"/>
      <c r="TO452" s="25"/>
      <c r="TP452" s="25"/>
      <c r="TQ452" s="25"/>
      <c r="TR452" s="25"/>
      <c r="TS452" s="25"/>
      <c r="TT452" s="25"/>
      <c r="TU452" s="25"/>
      <c r="TV452" s="25"/>
      <c r="TW452" s="25"/>
      <c r="TX452" s="25"/>
      <c r="TY452" s="25"/>
      <c r="TZ452" s="25"/>
      <c r="UA452" s="25"/>
      <c r="UB452" s="25"/>
      <c r="UC452" s="25"/>
      <c r="UD452" s="25"/>
      <c r="UE452" s="25"/>
      <c r="UF452" s="25"/>
      <c r="UG452" s="26"/>
    </row>
    <row r="453" spans="1:553" ht="30.75" customHeight="1">
      <c r="A453" s="356" t="s">
        <v>30</v>
      </c>
      <c r="B453" s="385" t="s">
        <v>35</v>
      </c>
      <c r="C453" s="1404" t="s">
        <v>350</v>
      </c>
      <c r="D453" s="1389"/>
      <c r="E453" s="1389"/>
      <c r="F453" s="1390"/>
      <c r="G453" s="386" t="s">
        <v>935</v>
      </c>
      <c r="H453" s="370"/>
      <c r="I453" s="422">
        <f>0.32*8*1</f>
        <v>2.56</v>
      </c>
      <c r="J453" s="368">
        <v>39000</v>
      </c>
      <c r="K453" s="371"/>
      <c r="L453" s="391">
        <f t="shared" si="87"/>
        <v>99840</v>
      </c>
      <c r="M453" s="391"/>
      <c r="N453" s="391"/>
      <c r="O453" s="391"/>
      <c r="P453" s="391"/>
      <c r="Q453" s="1444"/>
      <c r="R453" s="1226"/>
      <c r="S453" s="435"/>
      <c r="T453" s="436"/>
      <c r="U453" s="304"/>
      <c r="V453" s="393"/>
      <c r="W453" s="304"/>
      <c r="X453" s="304"/>
      <c r="Y453" s="304"/>
      <c r="Z453" s="304"/>
      <c r="AA453" s="304"/>
      <c r="AB453" s="304"/>
      <c r="AC453" s="449"/>
      <c r="AD453" s="449"/>
      <c r="AE453" s="449"/>
      <c r="AF453" s="449"/>
      <c r="AG453" s="449"/>
      <c r="AH453" s="449"/>
      <c r="AI453" s="449"/>
      <c r="AJ453" s="449"/>
      <c r="AK453" s="452"/>
      <c r="AL453" s="104"/>
      <c r="AM453" s="32"/>
      <c r="AN453" s="32"/>
      <c r="AO453" s="32"/>
      <c r="AP453" s="32"/>
      <c r="AQ453" s="32"/>
      <c r="AR453" s="32"/>
      <c r="AS453" s="31"/>
      <c r="AT453" s="31"/>
      <c r="AU453" s="31"/>
      <c r="AV453" s="31"/>
      <c r="AW453" s="31"/>
      <c r="AX453" s="31"/>
      <c r="AY453" s="31"/>
      <c r="AZ453" s="31"/>
      <c r="BA453" s="31"/>
      <c r="BB453" s="31"/>
      <c r="BC453" s="31"/>
      <c r="BD453" s="31"/>
      <c r="BE453" s="31"/>
      <c r="BF453" s="31"/>
      <c r="BG453" s="31"/>
      <c r="BH453" s="31"/>
      <c r="BI453" s="31"/>
      <c r="BJ453" s="31"/>
      <c r="BK453" s="31"/>
      <c r="BL453" s="31"/>
      <c r="BM453" s="31"/>
      <c r="BN453" s="31"/>
      <c r="BO453" s="31"/>
      <c r="BP453" s="31"/>
      <c r="BQ453" s="31"/>
      <c r="BR453" s="31"/>
      <c r="BS453" s="31"/>
      <c r="BT453" s="31"/>
      <c r="BU453" s="31"/>
      <c r="BV453" s="31"/>
      <c r="BW453" s="31"/>
      <c r="BX453" s="31"/>
      <c r="BY453" s="31"/>
      <c r="BZ453" s="31"/>
      <c r="CA453" s="31"/>
      <c r="CB453" s="31"/>
      <c r="CC453" s="31"/>
      <c r="CD453" s="31"/>
      <c r="CE453" s="31"/>
      <c r="CF453" s="31"/>
      <c r="CG453" s="31"/>
      <c r="CH453" s="31"/>
      <c r="CI453" s="31"/>
      <c r="CJ453" s="31"/>
      <c r="CK453" s="31"/>
      <c r="CL453" s="31"/>
      <c r="CM453" s="31"/>
      <c r="CN453" s="31"/>
      <c r="CO453" s="31"/>
      <c r="CP453" s="31"/>
      <c r="CQ453" s="31"/>
      <c r="CR453" s="31"/>
      <c r="CS453" s="31"/>
      <c r="CT453" s="31"/>
      <c r="CU453" s="31"/>
      <c r="CV453" s="31"/>
      <c r="CW453" s="31"/>
      <c r="CX453" s="31"/>
      <c r="CY453" s="31"/>
      <c r="CZ453" s="31"/>
      <c r="DA453" s="31"/>
      <c r="DB453" s="31"/>
      <c r="DC453" s="31"/>
      <c r="DD453" s="31"/>
      <c r="DE453" s="31"/>
      <c r="DF453" s="31"/>
      <c r="DG453" s="31"/>
      <c r="DH453" s="31"/>
      <c r="DI453" s="31"/>
      <c r="DJ453" s="31"/>
      <c r="DK453" s="31"/>
      <c r="DL453" s="31"/>
      <c r="DM453" s="31"/>
      <c r="DN453" s="31"/>
      <c r="DO453" s="31"/>
      <c r="DP453" s="31"/>
      <c r="DQ453" s="31"/>
      <c r="DR453" s="31"/>
      <c r="DS453" s="31"/>
      <c r="DT453" s="31"/>
      <c r="DU453" s="31"/>
      <c r="DV453" s="31"/>
      <c r="DW453" s="31"/>
      <c r="DX453" s="31"/>
      <c r="DY453" s="31"/>
      <c r="DZ453" s="31"/>
      <c r="EA453" s="31"/>
      <c r="EB453" s="31"/>
      <c r="EC453" s="31"/>
      <c r="ED453" s="31"/>
      <c r="EE453" s="31"/>
      <c r="EF453" s="31"/>
      <c r="EG453" s="31"/>
      <c r="EH453" s="31"/>
      <c r="EI453" s="31"/>
      <c r="EJ453" s="31"/>
      <c r="EK453" s="31"/>
      <c r="EL453" s="31"/>
      <c r="EM453" s="31"/>
      <c r="EN453" s="31"/>
      <c r="EO453" s="31"/>
      <c r="EP453" s="31"/>
      <c r="EQ453" s="31"/>
      <c r="ER453" s="31"/>
      <c r="ES453" s="31"/>
      <c r="ET453" s="31"/>
      <c r="EU453" s="31"/>
      <c r="EV453" s="31"/>
      <c r="EW453" s="31"/>
      <c r="EX453" s="31"/>
      <c r="EY453" s="31"/>
      <c r="EZ453" s="31"/>
      <c r="FA453" s="31"/>
      <c r="FB453" s="31"/>
      <c r="FC453" s="31"/>
      <c r="FD453" s="31"/>
      <c r="FE453" s="31"/>
      <c r="FF453" s="31"/>
      <c r="FG453" s="31"/>
      <c r="FH453" s="31"/>
      <c r="FI453" s="31"/>
      <c r="FJ453" s="31"/>
      <c r="FK453" s="31"/>
      <c r="FL453" s="31"/>
      <c r="FM453" s="31"/>
      <c r="FN453" s="31"/>
      <c r="FO453" s="31"/>
      <c r="FP453" s="31"/>
      <c r="FQ453" s="31"/>
      <c r="FR453" s="31"/>
      <c r="FS453" s="31"/>
      <c r="FT453" s="31"/>
      <c r="FU453" s="31"/>
      <c r="FV453" s="31"/>
      <c r="FW453" s="31"/>
      <c r="FX453" s="31"/>
      <c r="FY453" s="31"/>
      <c r="FZ453" s="31"/>
      <c r="GA453" s="31"/>
      <c r="GB453" s="31"/>
      <c r="GC453" s="31"/>
      <c r="GD453" s="31"/>
      <c r="GE453" s="31"/>
      <c r="GF453" s="31"/>
      <c r="GG453" s="31"/>
      <c r="GH453" s="31"/>
      <c r="GI453" s="31"/>
      <c r="GJ453" s="31"/>
      <c r="GK453" s="31"/>
      <c r="GL453" s="31"/>
      <c r="GM453" s="31"/>
      <c r="GN453" s="31"/>
      <c r="GO453" s="31"/>
      <c r="GP453" s="31"/>
      <c r="GQ453" s="31"/>
      <c r="GR453" s="31"/>
      <c r="GS453" s="31"/>
      <c r="GT453" s="31"/>
      <c r="GU453" s="31"/>
      <c r="GV453" s="31"/>
      <c r="GW453" s="31"/>
      <c r="GX453" s="31"/>
      <c r="GY453" s="31"/>
      <c r="GZ453" s="31"/>
      <c r="HA453" s="31"/>
      <c r="HB453" s="31"/>
      <c r="HC453" s="31"/>
      <c r="HD453" s="31"/>
      <c r="HE453" s="31"/>
      <c r="HF453" s="31"/>
      <c r="HG453" s="31"/>
      <c r="HH453" s="31"/>
      <c r="HI453" s="31"/>
      <c r="HJ453" s="31"/>
      <c r="HK453" s="31"/>
      <c r="HL453" s="31"/>
      <c r="HM453" s="31"/>
      <c r="HN453" s="31"/>
      <c r="HO453" s="31"/>
      <c r="HP453" s="31"/>
      <c r="HQ453" s="31"/>
      <c r="HR453" s="31"/>
      <c r="HS453" s="31"/>
      <c r="HT453" s="31"/>
      <c r="HU453" s="31"/>
      <c r="HV453" s="31"/>
      <c r="HW453" s="31"/>
      <c r="HX453" s="31"/>
      <c r="HY453" s="31"/>
      <c r="HZ453" s="31"/>
      <c r="IA453" s="31"/>
      <c r="IB453" s="31"/>
      <c r="IC453" s="31"/>
      <c r="ID453" s="31"/>
      <c r="IE453" s="31"/>
      <c r="IF453" s="31"/>
      <c r="IG453" s="31"/>
      <c r="IH453" s="31"/>
      <c r="II453" s="31"/>
      <c r="IJ453" s="31"/>
      <c r="IK453" s="31"/>
      <c r="IL453" s="31"/>
      <c r="IM453" s="31"/>
      <c r="IN453" s="31"/>
      <c r="IO453" s="31"/>
      <c r="IP453" s="31"/>
      <c r="IQ453" s="31"/>
      <c r="IR453" s="31"/>
      <c r="IS453" s="31"/>
      <c r="IT453" s="31"/>
      <c r="IU453" s="31"/>
      <c r="IV453" s="31"/>
      <c r="IW453" s="31"/>
      <c r="IX453" s="31"/>
      <c r="IY453" s="31"/>
      <c r="IZ453" s="31"/>
      <c r="JA453" s="31"/>
      <c r="JB453" s="31"/>
      <c r="JC453" s="31"/>
      <c r="JD453" s="31"/>
      <c r="JE453" s="31"/>
      <c r="JF453" s="31"/>
      <c r="JG453" s="31"/>
      <c r="JH453" s="31"/>
      <c r="JI453" s="31"/>
      <c r="JJ453" s="31"/>
      <c r="JK453" s="31"/>
      <c r="JL453" s="31"/>
      <c r="JM453" s="31"/>
      <c r="JN453" s="31"/>
      <c r="JO453" s="31"/>
      <c r="JP453" s="31"/>
      <c r="JQ453" s="31"/>
      <c r="JR453" s="31"/>
      <c r="JS453" s="31"/>
      <c r="JT453" s="31"/>
      <c r="JU453" s="31"/>
      <c r="JV453" s="31"/>
      <c r="JW453" s="31"/>
      <c r="JX453" s="31"/>
      <c r="JY453" s="31"/>
      <c r="JZ453" s="31"/>
      <c r="KA453" s="31"/>
      <c r="KB453" s="31"/>
      <c r="KC453" s="31"/>
      <c r="KD453" s="31"/>
      <c r="KE453" s="31"/>
      <c r="KF453" s="31"/>
      <c r="KG453" s="31"/>
      <c r="KH453" s="31"/>
      <c r="KI453" s="31"/>
      <c r="KJ453" s="31"/>
      <c r="KK453" s="31"/>
      <c r="KL453" s="31"/>
      <c r="KM453" s="31"/>
      <c r="KN453" s="31"/>
      <c r="KO453" s="31"/>
      <c r="KP453" s="31"/>
      <c r="KQ453" s="31"/>
      <c r="KR453" s="31"/>
      <c r="KS453" s="31"/>
      <c r="KT453" s="31"/>
      <c r="KU453" s="31"/>
      <c r="KV453" s="31"/>
      <c r="KW453" s="31"/>
      <c r="KX453" s="31"/>
      <c r="KY453" s="31"/>
      <c r="KZ453" s="31"/>
      <c r="LA453" s="31"/>
      <c r="LB453" s="31"/>
      <c r="LC453" s="31"/>
      <c r="LD453" s="31"/>
      <c r="LE453" s="31"/>
      <c r="LF453" s="31"/>
      <c r="LG453" s="31"/>
      <c r="LH453" s="31"/>
      <c r="LI453" s="31"/>
      <c r="LJ453" s="31"/>
      <c r="LK453" s="31"/>
      <c r="LL453" s="31"/>
      <c r="LM453" s="31"/>
      <c r="LN453" s="31"/>
      <c r="LO453" s="31"/>
      <c r="LP453" s="31"/>
      <c r="LQ453" s="31"/>
      <c r="LR453" s="31"/>
      <c r="LS453" s="31"/>
      <c r="LT453" s="31"/>
      <c r="LU453" s="31"/>
      <c r="LV453" s="31"/>
      <c r="LW453" s="31"/>
      <c r="LX453" s="31"/>
      <c r="LY453" s="31"/>
      <c r="LZ453" s="31"/>
      <c r="MA453" s="31"/>
      <c r="MB453" s="31"/>
      <c r="MC453" s="31"/>
      <c r="MD453" s="31"/>
      <c r="ME453" s="31"/>
      <c r="MF453" s="31"/>
      <c r="MG453" s="31"/>
      <c r="MH453" s="31"/>
      <c r="MI453" s="31"/>
      <c r="MJ453" s="31"/>
      <c r="MK453" s="31"/>
      <c r="ML453" s="31"/>
      <c r="MM453" s="31"/>
      <c r="MN453" s="31"/>
      <c r="MO453" s="31"/>
      <c r="MP453" s="31"/>
      <c r="MQ453" s="31"/>
      <c r="MR453" s="31"/>
      <c r="MS453" s="31"/>
      <c r="MT453" s="31"/>
      <c r="MU453" s="31"/>
      <c r="MV453" s="31"/>
      <c r="MW453" s="31"/>
      <c r="MX453" s="31"/>
      <c r="MY453" s="31"/>
      <c r="MZ453" s="31"/>
      <c r="NA453" s="31"/>
      <c r="NB453" s="31"/>
      <c r="NC453" s="31"/>
      <c r="ND453" s="31"/>
      <c r="NE453" s="31"/>
      <c r="NF453" s="31"/>
      <c r="NG453" s="31"/>
      <c r="NH453" s="31"/>
      <c r="NI453" s="31"/>
      <c r="NJ453" s="31"/>
      <c r="NK453" s="31"/>
      <c r="NL453" s="31"/>
      <c r="NM453" s="31"/>
      <c r="NN453" s="31"/>
      <c r="NO453" s="31"/>
      <c r="NP453" s="31"/>
      <c r="NQ453" s="31"/>
      <c r="NR453" s="31"/>
      <c r="NS453" s="31"/>
      <c r="NT453" s="31"/>
      <c r="NU453" s="31"/>
      <c r="NV453" s="31"/>
      <c r="NW453" s="31"/>
      <c r="NX453" s="31"/>
      <c r="NY453" s="31"/>
      <c r="NZ453" s="31"/>
      <c r="OA453" s="31"/>
      <c r="OB453" s="31"/>
      <c r="OC453" s="31"/>
      <c r="OD453" s="31"/>
      <c r="OE453" s="31"/>
      <c r="OF453" s="31"/>
      <c r="OG453" s="31"/>
      <c r="OH453" s="31"/>
      <c r="OI453" s="31"/>
      <c r="OJ453" s="31"/>
      <c r="OK453" s="31"/>
      <c r="OL453" s="31"/>
      <c r="OM453" s="31"/>
      <c r="ON453" s="31"/>
      <c r="OO453" s="31"/>
      <c r="OP453" s="31"/>
      <c r="OQ453" s="31"/>
      <c r="OR453" s="31"/>
      <c r="OS453" s="31"/>
      <c r="OT453" s="31"/>
      <c r="OU453" s="31"/>
      <c r="OV453" s="31"/>
      <c r="OW453" s="31"/>
      <c r="OX453" s="31"/>
      <c r="OY453" s="31"/>
      <c r="OZ453" s="31"/>
      <c r="PA453" s="31"/>
      <c r="PB453" s="31"/>
      <c r="PC453" s="31"/>
      <c r="PD453" s="31"/>
      <c r="PE453" s="31"/>
      <c r="PF453" s="31"/>
      <c r="PG453" s="31"/>
      <c r="PH453" s="31"/>
      <c r="PI453" s="31"/>
      <c r="PJ453" s="31"/>
      <c r="PK453" s="31"/>
      <c r="PL453" s="31"/>
      <c r="PM453" s="31"/>
      <c r="PN453" s="31"/>
      <c r="PO453" s="31"/>
      <c r="PP453" s="31"/>
      <c r="PQ453" s="31"/>
      <c r="PR453" s="31"/>
      <c r="PS453" s="31"/>
      <c r="PT453" s="31"/>
      <c r="PU453" s="31"/>
      <c r="PV453" s="31"/>
      <c r="PW453" s="31"/>
      <c r="PX453" s="31"/>
      <c r="PY453" s="31"/>
      <c r="PZ453" s="31"/>
      <c r="QA453" s="31"/>
      <c r="QB453" s="31"/>
      <c r="QC453" s="31"/>
      <c r="QD453" s="31"/>
      <c r="QE453" s="31"/>
      <c r="QF453" s="31"/>
      <c r="QG453" s="31"/>
      <c r="QH453" s="31"/>
      <c r="QI453" s="31"/>
      <c r="QJ453" s="31"/>
      <c r="QK453" s="31"/>
      <c r="QL453" s="31"/>
      <c r="QM453" s="31"/>
      <c r="QN453" s="31"/>
      <c r="QO453" s="31"/>
      <c r="QP453" s="31"/>
      <c r="QQ453" s="31"/>
      <c r="QR453" s="31"/>
      <c r="QS453" s="31"/>
      <c r="QT453" s="31"/>
      <c r="QU453" s="31"/>
      <c r="QV453" s="31"/>
      <c r="QW453" s="31"/>
      <c r="QX453" s="31"/>
      <c r="QY453" s="31"/>
      <c r="QZ453" s="31"/>
      <c r="RA453" s="31"/>
      <c r="RB453" s="31"/>
      <c r="RC453" s="31"/>
      <c r="RD453" s="31"/>
      <c r="RE453" s="31"/>
      <c r="RF453" s="31"/>
      <c r="RG453" s="31"/>
      <c r="RH453" s="31"/>
      <c r="RI453" s="31"/>
      <c r="RJ453" s="31"/>
      <c r="RK453" s="31"/>
      <c r="RL453" s="31"/>
      <c r="RM453" s="31"/>
      <c r="RN453" s="31"/>
      <c r="RO453" s="31"/>
      <c r="RP453" s="31"/>
      <c r="RQ453" s="31"/>
      <c r="RR453" s="31"/>
      <c r="RS453" s="31"/>
      <c r="RT453" s="31"/>
      <c r="RU453" s="31"/>
      <c r="RV453" s="31"/>
      <c r="RW453" s="31"/>
      <c r="RX453" s="31"/>
      <c r="RY453" s="31"/>
      <c r="RZ453" s="31"/>
      <c r="SA453" s="31"/>
      <c r="SB453" s="31"/>
      <c r="SC453" s="31"/>
      <c r="SD453" s="31"/>
      <c r="SE453" s="31"/>
      <c r="SF453" s="31"/>
      <c r="SG453" s="31"/>
      <c r="SH453" s="31"/>
      <c r="SI453" s="31"/>
      <c r="SJ453" s="31"/>
      <c r="SK453" s="31"/>
      <c r="SL453" s="31"/>
      <c r="SM453" s="31"/>
      <c r="SN453" s="31"/>
      <c r="SO453" s="31"/>
      <c r="SP453" s="31"/>
      <c r="SQ453" s="31"/>
      <c r="SR453" s="31"/>
      <c r="SS453" s="31"/>
      <c r="ST453" s="31"/>
      <c r="SU453" s="31"/>
      <c r="SV453" s="31"/>
      <c r="SW453" s="31"/>
      <c r="SX453" s="31"/>
      <c r="SY453" s="31"/>
      <c r="SZ453" s="31"/>
      <c r="TA453" s="31"/>
      <c r="TB453" s="31"/>
      <c r="TC453" s="31"/>
      <c r="TD453" s="31"/>
      <c r="TE453" s="31"/>
      <c r="TF453" s="31"/>
      <c r="TG453" s="31"/>
      <c r="TH453" s="31"/>
      <c r="TI453" s="31"/>
      <c r="TJ453" s="31"/>
      <c r="TK453" s="31"/>
      <c r="TL453" s="31"/>
      <c r="TM453" s="31"/>
      <c r="TN453" s="31"/>
      <c r="TO453" s="31"/>
      <c r="TP453" s="31"/>
      <c r="TQ453" s="31"/>
      <c r="TR453" s="31"/>
      <c r="TS453" s="31"/>
      <c r="TT453" s="31"/>
      <c r="TU453" s="31"/>
      <c r="TV453" s="31"/>
      <c r="TW453" s="31"/>
      <c r="TX453" s="31"/>
      <c r="TY453" s="31"/>
      <c r="TZ453" s="31"/>
      <c r="UA453" s="31"/>
      <c r="UB453" s="31"/>
      <c r="UC453" s="31"/>
      <c r="UD453" s="31"/>
      <c r="UE453" s="31"/>
      <c r="UF453" s="31"/>
      <c r="UG453" s="33"/>
    </row>
    <row r="454" spans="1:553" ht="30.75" customHeight="1">
      <c r="A454" s="356" t="s">
        <v>30</v>
      </c>
      <c r="B454" s="385" t="s">
        <v>35</v>
      </c>
      <c r="C454" s="1404" t="s">
        <v>351</v>
      </c>
      <c r="D454" s="1389"/>
      <c r="E454" s="1389"/>
      <c r="F454" s="1390"/>
      <c r="G454" s="386" t="s">
        <v>935</v>
      </c>
      <c r="H454" s="370"/>
      <c r="I454" s="422">
        <f>0.46*12*1</f>
        <v>5.5200000000000005</v>
      </c>
      <c r="J454" s="368">
        <v>39000</v>
      </c>
      <c r="K454" s="371"/>
      <c r="L454" s="391">
        <f t="shared" si="87"/>
        <v>215280</v>
      </c>
      <c r="M454" s="391"/>
      <c r="N454" s="391"/>
      <c r="O454" s="391"/>
      <c r="P454" s="391"/>
      <c r="Q454" s="1445"/>
      <c r="R454" s="1226"/>
      <c r="S454" s="309"/>
      <c r="T454" s="310"/>
      <c r="U454" s="311"/>
      <c r="V454" s="312"/>
      <c r="W454" s="311"/>
      <c r="X454" s="311"/>
      <c r="Y454" s="311"/>
      <c r="Z454" s="311"/>
      <c r="AA454" s="311"/>
      <c r="AB454" s="311"/>
      <c r="AC454" s="449"/>
      <c r="AD454" s="449"/>
      <c r="AE454" s="449"/>
      <c r="AF454" s="449"/>
      <c r="AG454" s="449"/>
      <c r="AH454" s="449"/>
      <c r="AI454" s="449"/>
      <c r="AJ454" s="449"/>
      <c r="AK454" s="452"/>
      <c r="AL454" s="104"/>
      <c r="AM454" s="32"/>
      <c r="AN454" s="32"/>
      <c r="AO454" s="32"/>
      <c r="AP454" s="32"/>
      <c r="AQ454" s="32"/>
      <c r="AR454" s="32"/>
      <c r="AS454" s="31"/>
      <c r="AT454" s="31"/>
      <c r="AU454" s="31"/>
      <c r="AV454" s="31"/>
      <c r="AW454" s="31"/>
      <c r="AX454" s="31"/>
      <c r="AY454" s="31"/>
      <c r="AZ454" s="31"/>
      <c r="BA454" s="31"/>
      <c r="BB454" s="31"/>
      <c r="BC454" s="31"/>
      <c r="BD454" s="31"/>
      <c r="BE454" s="31"/>
      <c r="BF454" s="31"/>
      <c r="BG454" s="31"/>
      <c r="BH454" s="31"/>
      <c r="BI454" s="31"/>
      <c r="BJ454" s="31"/>
      <c r="BK454" s="31"/>
      <c r="BL454" s="31"/>
      <c r="BM454" s="31"/>
      <c r="BN454" s="31"/>
      <c r="BO454" s="31"/>
      <c r="BP454" s="31"/>
      <c r="BQ454" s="31"/>
      <c r="BR454" s="31"/>
      <c r="BS454" s="31"/>
      <c r="BT454" s="31"/>
      <c r="BU454" s="31"/>
      <c r="BV454" s="31"/>
      <c r="BW454" s="31"/>
      <c r="BX454" s="31"/>
      <c r="BY454" s="31"/>
      <c r="BZ454" s="31"/>
      <c r="CA454" s="31"/>
      <c r="CB454" s="31"/>
      <c r="CC454" s="31"/>
      <c r="CD454" s="31"/>
      <c r="CE454" s="31"/>
      <c r="CF454" s="31"/>
      <c r="CG454" s="31"/>
      <c r="CH454" s="31"/>
      <c r="CI454" s="31"/>
      <c r="CJ454" s="31"/>
      <c r="CK454" s="31"/>
      <c r="CL454" s="31"/>
      <c r="CM454" s="31"/>
      <c r="CN454" s="31"/>
      <c r="CO454" s="31"/>
      <c r="CP454" s="31"/>
      <c r="CQ454" s="31"/>
      <c r="CR454" s="31"/>
      <c r="CS454" s="31"/>
      <c r="CT454" s="31"/>
      <c r="CU454" s="31"/>
      <c r="CV454" s="31"/>
      <c r="CW454" s="31"/>
      <c r="CX454" s="31"/>
      <c r="CY454" s="31"/>
      <c r="CZ454" s="31"/>
      <c r="DA454" s="31"/>
      <c r="DB454" s="31"/>
      <c r="DC454" s="31"/>
      <c r="DD454" s="31"/>
      <c r="DE454" s="31"/>
      <c r="DF454" s="31"/>
      <c r="DG454" s="31"/>
      <c r="DH454" s="31"/>
      <c r="DI454" s="31"/>
      <c r="DJ454" s="31"/>
      <c r="DK454" s="31"/>
      <c r="DL454" s="31"/>
      <c r="DM454" s="31"/>
      <c r="DN454" s="31"/>
      <c r="DO454" s="31"/>
      <c r="DP454" s="31"/>
      <c r="DQ454" s="31"/>
      <c r="DR454" s="31"/>
      <c r="DS454" s="31"/>
      <c r="DT454" s="31"/>
      <c r="DU454" s="31"/>
      <c r="DV454" s="31"/>
      <c r="DW454" s="31"/>
      <c r="DX454" s="31"/>
      <c r="DY454" s="31"/>
      <c r="DZ454" s="31"/>
      <c r="EA454" s="31"/>
      <c r="EB454" s="31"/>
      <c r="EC454" s="31"/>
      <c r="ED454" s="31"/>
      <c r="EE454" s="31"/>
      <c r="EF454" s="31"/>
      <c r="EG454" s="31"/>
      <c r="EH454" s="31"/>
      <c r="EI454" s="31"/>
      <c r="EJ454" s="31"/>
      <c r="EK454" s="31"/>
      <c r="EL454" s="31"/>
      <c r="EM454" s="31"/>
      <c r="EN454" s="31"/>
      <c r="EO454" s="31"/>
      <c r="EP454" s="31"/>
      <c r="EQ454" s="31"/>
      <c r="ER454" s="31"/>
      <c r="ES454" s="31"/>
      <c r="ET454" s="31"/>
      <c r="EU454" s="31"/>
      <c r="EV454" s="31"/>
      <c r="EW454" s="31"/>
      <c r="EX454" s="31"/>
      <c r="EY454" s="31"/>
      <c r="EZ454" s="31"/>
      <c r="FA454" s="31"/>
      <c r="FB454" s="31"/>
      <c r="FC454" s="31"/>
      <c r="FD454" s="31"/>
      <c r="FE454" s="31"/>
      <c r="FF454" s="31"/>
      <c r="FG454" s="31"/>
      <c r="FH454" s="31"/>
      <c r="FI454" s="31"/>
      <c r="FJ454" s="31"/>
      <c r="FK454" s="31"/>
      <c r="FL454" s="31"/>
      <c r="FM454" s="31"/>
      <c r="FN454" s="31"/>
      <c r="FO454" s="31"/>
      <c r="FP454" s="31"/>
      <c r="FQ454" s="31"/>
      <c r="FR454" s="31"/>
      <c r="FS454" s="31"/>
      <c r="FT454" s="31"/>
      <c r="FU454" s="31"/>
      <c r="FV454" s="31"/>
      <c r="FW454" s="31"/>
      <c r="FX454" s="31"/>
      <c r="FY454" s="31"/>
      <c r="FZ454" s="31"/>
      <c r="GA454" s="31"/>
      <c r="GB454" s="31"/>
      <c r="GC454" s="31"/>
      <c r="GD454" s="31"/>
      <c r="GE454" s="31"/>
      <c r="GF454" s="31"/>
      <c r="GG454" s="31"/>
      <c r="GH454" s="31"/>
      <c r="GI454" s="31"/>
      <c r="GJ454" s="31"/>
      <c r="GK454" s="31"/>
      <c r="GL454" s="31"/>
      <c r="GM454" s="31"/>
      <c r="GN454" s="31"/>
      <c r="GO454" s="31"/>
      <c r="GP454" s="31"/>
      <c r="GQ454" s="31"/>
      <c r="GR454" s="31"/>
      <c r="GS454" s="31"/>
      <c r="GT454" s="31"/>
      <c r="GU454" s="31"/>
      <c r="GV454" s="31"/>
      <c r="GW454" s="31"/>
      <c r="GX454" s="31"/>
      <c r="GY454" s="31"/>
      <c r="GZ454" s="31"/>
      <c r="HA454" s="31"/>
      <c r="HB454" s="31"/>
      <c r="HC454" s="31"/>
      <c r="HD454" s="31"/>
      <c r="HE454" s="31"/>
      <c r="HF454" s="31"/>
      <c r="HG454" s="31"/>
      <c r="HH454" s="31"/>
      <c r="HI454" s="31"/>
      <c r="HJ454" s="31"/>
      <c r="HK454" s="31"/>
      <c r="HL454" s="31"/>
      <c r="HM454" s="31"/>
      <c r="HN454" s="31"/>
      <c r="HO454" s="31"/>
      <c r="HP454" s="31"/>
      <c r="HQ454" s="31"/>
      <c r="HR454" s="31"/>
      <c r="HS454" s="31"/>
      <c r="HT454" s="31"/>
      <c r="HU454" s="31"/>
      <c r="HV454" s="31"/>
      <c r="HW454" s="31"/>
      <c r="HX454" s="31"/>
      <c r="HY454" s="31"/>
      <c r="HZ454" s="31"/>
      <c r="IA454" s="31"/>
      <c r="IB454" s="31"/>
      <c r="IC454" s="31"/>
      <c r="ID454" s="31"/>
      <c r="IE454" s="31"/>
      <c r="IF454" s="31"/>
      <c r="IG454" s="31"/>
      <c r="IH454" s="31"/>
      <c r="II454" s="31"/>
      <c r="IJ454" s="31"/>
      <c r="IK454" s="31"/>
      <c r="IL454" s="31"/>
      <c r="IM454" s="31"/>
      <c r="IN454" s="31"/>
      <c r="IO454" s="31"/>
      <c r="IP454" s="31"/>
      <c r="IQ454" s="31"/>
      <c r="IR454" s="31"/>
      <c r="IS454" s="31"/>
      <c r="IT454" s="31"/>
      <c r="IU454" s="31"/>
      <c r="IV454" s="31"/>
      <c r="IW454" s="31"/>
      <c r="IX454" s="31"/>
      <c r="IY454" s="31"/>
      <c r="IZ454" s="31"/>
      <c r="JA454" s="31"/>
      <c r="JB454" s="31"/>
      <c r="JC454" s="31"/>
      <c r="JD454" s="31"/>
      <c r="JE454" s="31"/>
      <c r="JF454" s="31"/>
      <c r="JG454" s="31"/>
      <c r="JH454" s="31"/>
      <c r="JI454" s="31"/>
      <c r="JJ454" s="31"/>
      <c r="JK454" s="31"/>
      <c r="JL454" s="31"/>
      <c r="JM454" s="31"/>
      <c r="JN454" s="31"/>
      <c r="JO454" s="31"/>
      <c r="JP454" s="31"/>
      <c r="JQ454" s="31"/>
      <c r="JR454" s="31"/>
      <c r="JS454" s="31"/>
      <c r="JT454" s="31"/>
      <c r="JU454" s="31"/>
      <c r="JV454" s="31"/>
      <c r="JW454" s="31"/>
      <c r="JX454" s="31"/>
      <c r="JY454" s="31"/>
      <c r="JZ454" s="31"/>
      <c r="KA454" s="31"/>
      <c r="KB454" s="31"/>
      <c r="KC454" s="31"/>
      <c r="KD454" s="31"/>
      <c r="KE454" s="31"/>
      <c r="KF454" s="31"/>
      <c r="KG454" s="31"/>
      <c r="KH454" s="31"/>
      <c r="KI454" s="31"/>
      <c r="KJ454" s="31"/>
      <c r="KK454" s="31"/>
      <c r="KL454" s="31"/>
      <c r="KM454" s="31"/>
      <c r="KN454" s="31"/>
      <c r="KO454" s="31"/>
      <c r="KP454" s="31"/>
      <c r="KQ454" s="31"/>
      <c r="KR454" s="31"/>
      <c r="KS454" s="31"/>
      <c r="KT454" s="31"/>
      <c r="KU454" s="31"/>
      <c r="KV454" s="31"/>
      <c r="KW454" s="31"/>
      <c r="KX454" s="31"/>
      <c r="KY454" s="31"/>
      <c r="KZ454" s="31"/>
      <c r="LA454" s="31"/>
      <c r="LB454" s="31"/>
      <c r="LC454" s="31"/>
      <c r="LD454" s="31"/>
      <c r="LE454" s="31"/>
      <c r="LF454" s="31"/>
      <c r="LG454" s="31"/>
      <c r="LH454" s="31"/>
      <c r="LI454" s="31"/>
      <c r="LJ454" s="31"/>
      <c r="LK454" s="31"/>
      <c r="LL454" s="31"/>
      <c r="LM454" s="31"/>
      <c r="LN454" s="31"/>
      <c r="LO454" s="31"/>
      <c r="LP454" s="31"/>
      <c r="LQ454" s="31"/>
      <c r="LR454" s="31"/>
      <c r="LS454" s="31"/>
      <c r="LT454" s="31"/>
      <c r="LU454" s="31"/>
      <c r="LV454" s="31"/>
      <c r="LW454" s="31"/>
      <c r="LX454" s="31"/>
      <c r="LY454" s="31"/>
      <c r="LZ454" s="31"/>
      <c r="MA454" s="31"/>
      <c r="MB454" s="31"/>
      <c r="MC454" s="31"/>
      <c r="MD454" s="31"/>
      <c r="ME454" s="31"/>
      <c r="MF454" s="31"/>
      <c r="MG454" s="31"/>
      <c r="MH454" s="31"/>
      <c r="MI454" s="31"/>
      <c r="MJ454" s="31"/>
      <c r="MK454" s="31"/>
      <c r="ML454" s="31"/>
      <c r="MM454" s="31"/>
      <c r="MN454" s="31"/>
      <c r="MO454" s="31"/>
      <c r="MP454" s="31"/>
      <c r="MQ454" s="31"/>
      <c r="MR454" s="31"/>
      <c r="MS454" s="31"/>
      <c r="MT454" s="31"/>
      <c r="MU454" s="31"/>
      <c r="MV454" s="31"/>
      <c r="MW454" s="31"/>
      <c r="MX454" s="31"/>
      <c r="MY454" s="31"/>
      <c r="MZ454" s="31"/>
      <c r="NA454" s="31"/>
      <c r="NB454" s="31"/>
      <c r="NC454" s="31"/>
      <c r="ND454" s="31"/>
      <c r="NE454" s="31"/>
      <c r="NF454" s="31"/>
      <c r="NG454" s="31"/>
      <c r="NH454" s="31"/>
      <c r="NI454" s="31"/>
      <c r="NJ454" s="31"/>
      <c r="NK454" s="31"/>
      <c r="NL454" s="31"/>
      <c r="NM454" s="31"/>
      <c r="NN454" s="31"/>
      <c r="NO454" s="31"/>
      <c r="NP454" s="31"/>
      <c r="NQ454" s="31"/>
      <c r="NR454" s="31"/>
      <c r="NS454" s="31"/>
      <c r="NT454" s="31"/>
      <c r="NU454" s="31"/>
      <c r="NV454" s="31"/>
      <c r="NW454" s="31"/>
      <c r="NX454" s="31"/>
      <c r="NY454" s="31"/>
      <c r="NZ454" s="31"/>
      <c r="OA454" s="31"/>
      <c r="OB454" s="31"/>
      <c r="OC454" s="31"/>
      <c r="OD454" s="31"/>
      <c r="OE454" s="31"/>
      <c r="OF454" s="31"/>
      <c r="OG454" s="31"/>
      <c r="OH454" s="31"/>
      <c r="OI454" s="31"/>
      <c r="OJ454" s="31"/>
      <c r="OK454" s="31"/>
      <c r="OL454" s="31"/>
      <c r="OM454" s="31"/>
      <c r="ON454" s="31"/>
      <c r="OO454" s="31"/>
      <c r="OP454" s="31"/>
      <c r="OQ454" s="31"/>
      <c r="OR454" s="31"/>
      <c r="OS454" s="31"/>
      <c r="OT454" s="31"/>
      <c r="OU454" s="31"/>
      <c r="OV454" s="31"/>
      <c r="OW454" s="31"/>
      <c r="OX454" s="31"/>
      <c r="OY454" s="31"/>
      <c r="OZ454" s="31"/>
      <c r="PA454" s="31"/>
      <c r="PB454" s="31"/>
      <c r="PC454" s="31"/>
      <c r="PD454" s="31"/>
      <c r="PE454" s="31"/>
      <c r="PF454" s="31"/>
      <c r="PG454" s="31"/>
      <c r="PH454" s="31"/>
      <c r="PI454" s="31"/>
      <c r="PJ454" s="31"/>
      <c r="PK454" s="31"/>
      <c r="PL454" s="31"/>
      <c r="PM454" s="31"/>
      <c r="PN454" s="31"/>
      <c r="PO454" s="31"/>
      <c r="PP454" s="31"/>
      <c r="PQ454" s="31"/>
      <c r="PR454" s="31"/>
      <c r="PS454" s="31"/>
      <c r="PT454" s="31"/>
      <c r="PU454" s="31"/>
      <c r="PV454" s="31"/>
      <c r="PW454" s="31"/>
      <c r="PX454" s="31"/>
      <c r="PY454" s="31"/>
      <c r="PZ454" s="31"/>
      <c r="QA454" s="31"/>
      <c r="QB454" s="31"/>
      <c r="QC454" s="31"/>
      <c r="QD454" s="31"/>
      <c r="QE454" s="31"/>
      <c r="QF454" s="31"/>
      <c r="QG454" s="31"/>
      <c r="QH454" s="31"/>
      <c r="QI454" s="31"/>
      <c r="QJ454" s="31"/>
      <c r="QK454" s="31"/>
      <c r="QL454" s="31"/>
      <c r="QM454" s="31"/>
      <c r="QN454" s="31"/>
      <c r="QO454" s="31"/>
      <c r="QP454" s="31"/>
      <c r="QQ454" s="31"/>
      <c r="QR454" s="31"/>
      <c r="QS454" s="31"/>
      <c r="QT454" s="31"/>
      <c r="QU454" s="31"/>
      <c r="QV454" s="31"/>
      <c r="QW454" s="31"/>
      <c r="QX454" s="31"/>
      <c r="QY454" s="31"/>
      <c r="QZ454" s="31"/>
      <c r="RA454" s="31"/>
      <c r="RB454" s="31"/>
      <c r="RC454" s="31"/>
      <c r="RD454" s="31"/>
      <c r="RE454" s="31"/>
      <c r="RF454" s="31"/>
      <c r="RG454" s="31"/>
      <c r="RH454" s="31"/>
      <c r="RI454" s="31"/>
      <c r="RJ454" s="31"/>
      <c r="RK454" s="31"/>
      <c r="RL454" s="31"/>
      <c r="RM454" s="31"/>
      <c r="RN454" s="31"/>
      <c r="RO454" s="31"/>
      <c r="RP454" s="31"/>
      <c r="RQ454" s="31"/>
      <c r="RR454" s="31"/>
      <c r="RS454" s="31"/>
      <c r="RT454" s="31"/>
      <c r="RU454" s="31"/>
      <c r="RV454" s="31"/>
      <c r="RW454" s="31"/>
      <c r="RX454" s="31"/>
      <c r="RY454" s="31"/>
      <c r="RZ454" s="31"/>
      <c r="SA454" s="31"/>
      <c r="SB454" s="31"/>
      <c r="SC454" s="31"/>
      <c r="SD454" s="31"/>
      <c r="SE454" s="31"/>
      <c r="SF454" s="31"/>
      <c r="SG454" s="31"/>
      <c r="SH454" s="31"/>
      <c r="SI454" s="31"/>
      <c r="SJ454" s="31"/>
      <c r="SK454" s="31"/>
      <c r="SL454" s="31"/>
      <c r="SM454" s="31"/>
      <c r="SN454" s="31"/>
      <c r="SO454" s="31"/>
      <c r="SP454" s="31"/>
      <c r="SQ454" s="31"/>
      <c r="SR454" s="31"/>
      <c r="SS454" s="31"/>
      <c r="ST454" s="31"/>
      <c r="SU454" s="31"/>
      <c r="SV454" s="31"/>
      <c r="SW454" s="31"/>
      <c r="SX454" s="31"/>
      <c r="SY454" s="31"/>
      <c r="SZ454" s="31"/>
      <c r="TA454" s="31"/>
      <c r="TB454" s="31"/>
      <c r="TC454" s="31"/>
      <c r="TD454" s="31"/>
      <c r="TE454" s="31"/>
      <c r="TF454" s="31"/>
      <c r="TG454" s="31"/>
      <c r="TH454" s="31"/>
      <c r="TI454" s="31"/>
      <c r="TJ454" s="31"/>
      <c r="TK454" s="31"/>
      <c r="TL454" s="31"/>
      <c r="TM454" s="31"/>
      <c r="TN454" s="31"/>
      <c r="TO454" s="31"/>
      <c r="TP454" s="31"/>
      <c r="TQ454" s="31"/>
      <c r="TR454" s="31"/>
      <c r="TS454" s="31"/>
      <c r="TT454" s="31"/>
      <c r="TU454" s="31"/>
      <c r="TV454" s="31"/>
      <c r="TW454" s="31"/>
      <c r="TX454" s="31"/>
      <c r="TY454" s="31"/>
      <c r="TZ454" s="31"/>
      <c r="UA454" s="31"/>
      <c r="UB454" s="31"/>
      <c r="UC454" s="31"/>
      <c r="UD454" s="31"/>
      <c r="UE454" s="31"/>
      <c r="UF454" s="31"/>
      <c r="UG454" s="33"/>
    </row>
    <row r="455" spans="1:553" ht="30.75" customHeight="1">
      <c r="A455" s="356" t="s">
        <v>15</v>
      </c>
      <c r="B455" s="366" t="s">
        <v>287</v>
      </c>
      <c r="C455" s="1404" t="s">
        <v>913</v>
      </c>
      <c r="D455" s="1389"/>
      <c r="E455" s="1389"/>
      <c r="F455" s="1390"/>
      <c r="G455" s="386" t="s">
        <v>935</v>
      </c>
      <c r="H455" s="370"/>
      <c r="I455" s="834">
        <f>10.5*2</f>
        <v>21</v>
      </c>
      <c r="J455" s="368">
        <v>178600</v>
      </c>
      <c r="K455" s="371"/>
      <c r="L455" s="391">
        <f t="shared" si="87"/>
        <v>3750600</v>
      </c>
      <c r="M455" s="395"/>
      <c r="N455" s="395"/>
      <c r="O455" s="366"/>
      <c r="P455" s="396"/>
      <c r="Q455" s="473"/>
      <c r="R455" s="1039"/>
      <c r="S455" s="308"/>
      <c r="T455" s="303"/>
      <c r="U455" s="306"/>
      <c r="V455" s="307"/>
      <c r="W455" s="306"/>
      <c r="X455" s="306"/>
      <c r="Y455" s="306"/>
      <c r="Z455" s="306"/>
      <c r="AA455" s="306"/>
      <c r="AB455" s="306"/>
      <c r="AC455" s="449"/>
      <c r="AD455" s="449"/>
      <c r="AE455" s="449"/>
      <c r="AF455" s="449"/>
      <c r="AG455" s="452"/>
      <c r="AH455" s="452"/>
      <c r="AI455" s="452"/>
      <c r="AJ455" s="452"/>
      <c r="AK455" s="452"/>
      <c r="AL455" s="104"/>
      <c r="AM455" s="32"/>
      <c r="AN455" s="32"/>
      <c r="AO455" s="32"/>
      <c r="AP455" s="32"/>
      <c r="AQ455" s="31"/>
      <c r="AR455" s="31"/>
      <c r="AS455" s="31"/>
      <c r="AT455" s="31"/>
      <c r="AU455" s="31"/>
      <c r="AV455" s="31"/>
      <c r="AW455" s="31"/>
      <c r="AX455" s="31"/>
      <c r="AY455" s="31"/>
      <c r="AZ455" s="31"/>
      <c r="BA455" s="31"/>
      <c r="BB455" s="31"/>
      <c r="BC455" s="31"/>
      <c r="BD455" s="31"/>
      <c r="BE455" s="31"/>
      <c r="BF455" s="31"/>
      <c r="BG455" s="31"/>
      <c r="BH455" s="31"/>
      <c r="BI455" s="31"/>
      <c r="BJ455" s="31"/>
      <c r="BK455" s="31"/>
      <c r="BL455" s="31"/>
      <c r="BM455" s="25"/>
      <c r="BN455" s="25"/>
      <c r="BO455" s="25"/>
      <c r="BP455" s="25"/>
      <c r="BQ455" s="25"/>
      <c r="BR455" s="25"/>
      <c r="BS455" s="25"/>
      <c r="BT455" s="25"/>
      <c r="BU455" s="25"/>
      <c r="BV455" s="25"/>
      <c r="BW455" s="25"/>
      <c r="BX455" s="25"/>
      <c r="BY455" s="25"/>
      <c r="BZ455" s="25"/>
      <c r="CA455" s="25"/>
      <c r="CB455" s="25"/>
      <c r="CC455" s="25"/>
      <c r="CD455" s="25"/>
      <c r="CE455" s="25"/>
      <c r="CF455" s="25"/>
      <c r="CG455" s="25"/>
      <c r="CH455" s="25"/>
      <c r="CI455" s="25"/>
      <c r="CJ455" s="25"/>
      <c r="CK455" s="25"/>
      <c r="CL455" s="25"/>
      <c r="CM455" s="25"/>
      <c r="CN455" s="25"/>
      <c r="CO455" s="25"/>
      <c r="CP455" s="25"/>
      <c r="CQ455" s="25"/>
      <c r="CR455" s="25"/>
      <c r="CS455" s="25"/>
      <c r="CT455" s="25"/>
      <c r="CU455" s="25"/>
      <c r="CV455" s="25"/>
      <c r="CW455" s="25"/>
      <c r="CX455" s="25"/>
      <c r="CY455" s="25"/>
      <c r="CZ455" s="25"/>
      <c r="DA455" s="25"/>
      <c r="DB455" s="25"/>
      <c r="DC455" s="25"/>
      <c r="DD455" s="25"/>
      <c r="DE455" s="25"/>
      <c r="DF455" s="25"/>
      <c r="DG455" s="25"/>
      <c r="DH455" s="25"/>
      <c r="DI455" s="25"/>
      <c r="DJ455" s="25"/>
      <c r="DK455" s="25"/>
      <c r="DL455" s="25"/>
      <c r="DM455" s="25"/>
      <c r="DN455" s="25"/>
      <c r="DO455" s="25"/>
      <c r="DP455" s="25"/>
      <c r="DQ455" s="25"/>
      <c r="DR455" s="25"/>
      <c r="DS455" s="25"/>
      <c r="DT455" s="25"/>
      <c r="DU455" s="25"/>
      <c r="DV455" s="25"/>
      <c r="DW455" s="25"/>
      <c r="DX455" s="25"/>
      <c r="DY455" s="25"/>
      <c r="DZ455" s="25"/>
      <c r="EA455" s="25"/>
      <c r="EB455" s="25"/>
      <c r="EC455" s="25"/>
      <c r="ED455" s="25"/>
      <c r="EE455" s="25"/>
      <c r="EF455" s="25"/>
      <c r="EG455" s="25"/>
      <c r="EH455" s="25"/>
      <c r="EI455" s="25"/>
      <c r="EJ455" s="25"/>
      <c r="EK455" s="25"/>
      <c r="EL455" s="25"/>
      <c r="EM455" s="25"/>
      <c r="EN455" s="25"/>
      <c r="EO455" s="25"/>
      <c r="EP455" s="25"/>
      <c r="EQ455" s="25"/>
      <c r="ER455" s="25"/>
      <c r="ES455" s="25"/>
      <c r="ET455" s="25"/>
      <c r="EU455" s="25"/>
      <c r="EV455" s="25"/>
      <c r="EW455" s="25"/>
      <c r="EX455" s="25"/>
      <c r="EY455" s="25"/>
      <c r="EZ455" s="25"/>
      <c r="FA455" s="25"/>
      <c r="FB455" s="25"/>
      <c r="FC455" s="25"/>
      <c r="FD455" s="25"/>
      <c r="FE455" s="25"/>
      <c r="FF455" s="25"/>
      <c r="FG455" s="25"/>
      <c r="FH455" s="25"/>
      <c r="FI455" s="25"/>
      <c r="FJ455" s="25"/>
      <c r="FK455" s="25"/>
      <c r="FL455" s="25"/>
      <c r="FM455" s="25"/>
      <c r="FN455" s="25"/>
      <c r="FO455" s="25"/>
      <c r="FP455" s="25"/>
      <c r="FQ455" s="25"/>
      <c r="FR455" s="25"/>
      <c r="FS455" s="25"/>
      <c r="FT455" s="25"/>
      <c r="FU455" s="25"/>
      <c r="FV455" s="25"/>
      <c r="FW455" s="25"/>
      <c r="FX455" s="25"/>
      <c r="FY455" s="25"/>
      <c r="FZ455" s="25"/>
      <c r="GA455" s="25"/>
      <c r="GB455" s="25"/>
      <c r="GC455" s="25"/>
      <c r="GD455" s="25"/>
      <c r="GE455" s="25"/>
      <c r="GF455" s="25"/>
      <c r="GG455" s="25"/>
      <c r="GH455" s="25"/>
      <c r="GI455" s="25"/>
      <c r="GJ455" s="25"/>
      <c r="GK455" s="25"/>
      <c r="GL455" s="25"/>
      <c r="GM455" s="25"/>
      <c r="GN455" s="25"/>
      <c r="GO455" s="25"/>
      <c r="GP455" s="25"/>
      <c r="GQ455" s="25"/>
      <c r="GR455" s="25"/>
      <c r="GS455" s="25"/>
      <c r="GT455" s="25"/>
      <c r="GU455" s="25"/>
      <c r="GV455" s="25"/>
      <c r="GW455" s="25"/>
      <c r="GX455" s="25"/>
      <c r="GY455" s="25"/>
      <c r="GZ455" s="25"/>
      <c r="HA455" s="25"/>
      <c r="HB455" s="25"/>
      <c r="HC455" s="25"/>
      <c r="HD455" s="25"/>
      <c r="HE455" s="25"/>
      <c r="HF455" s="25"/>
      <c r="HG455" s="25"/>
      <c r="HH455" s="25"/>
      <c r="HI455" s="25"/>
      <c r="HJ455" s="25"/>
      <c r="HK455" s="25"/>
      <c r="HL455" s="25"/>
      <c r="HM455" s="25"/>
      <c r="HN455" s="25"/>
      <c r="HO455" s="25"/>
      <c r="HP455" s="25"/>
      <c r="HQ455" s="25"/>
      <c r="HR455" s="25"/>
      <c r="HS455" s="25"/>
      <c r="HT455" s="25"/>
      <c r="HU455" s="25"/>
      <c r="HV455" s="25"/>
      <c r="HW455" s="25"/>
      <c r="HX455" s="25"/>
      <c r="HY455" s="25"/>
      <c r="HZ455" s="25"/>
      <c r="IA455" s="25"/>
      <c r="IB455" s="25"/>
      <c r="IC455" s="25"/>
      <c r="ID455" s="25"/>
      <c r="IE455" s="25"/>
      <c r="IF455" s="25"/>
      <c r="IG455" s="25"/>
      <c r="IH455" s="25"/>
      <c r="II455" s="25"/>
      <c r="IJ455" s="25"/>
      <c r="IK455" s="25"/>
      <c r="IL455" s="25"/>
      <c r="IM455" s="25"/>
      <c r="IN455" s="25"/>
      <c r="IO455" s="25"/>
      <c r="IP455" s="25"/>
      <c r="IQ455" s="25"/>
      <c r="IR455" s="25"/>
      <c r="IS455" s="25"/>
      <c r="IT455" s="25"/>
      <c r="IU455" s="25"/>
      <c r="IV455" s="25"/>
      <c r="IW455" s="25"/>
      <c r="IX455" s="25"/>
      <c r="IY455" s="25"/>
      <c r="IZ455" s="25"/>
      <c r="JA455" s="25"/>
      <c r="JB455" s="25"/>
      <c r="JC455" s="25"/>
      <c r="JD455" s="25"/>
      <c r="JE455" s="25"/>
      <c r="JF455" s="25"/>
      <c r="JG455" s="25"/>
      <c r="JH455" s="25"/>
      <c r="JI455" s="25"/>
      <c r="JJ455" s="25"/>
      <c r="JK455" s="25"/>
      <c r="JL455" s="25"/>
      <c r="JM455" s="25"/>
      <c r="JN455" s="25"/>
      <c r="JO455" s="25"/>
      <c r="JP455" s="25"/>
      <c r="JQ455" s="25"/>
      <c r="JR455" s="25"/>
      <c r="JS455" s="25"/>
      <c r="JT455" s="25"/>
      <c r="JU455" s="25"/>
      <c r="JV455" s="25"/>
      <c r="JW455" s="25"/>
      <c r="JX455" s="25"/>
      <c r="JY455" s="25"/>
      <c r="JZ455" s="25"/>
      <c r="KA455" s="25"/>
      <c r="KB455" s="25"/>
      <c r="KC455" s="25"/>
      <c r="KD455" s="25"/>
      <c r="KE455" s="25"/>
      <c r="KF455" s="25"/>
      <c r="KG455" s="25"/>
      <c r="KH455" s="25"/>
      <c r="KI455" s="25"/>
      <c r="KJ455" s="25"/>
      <c r="KK455" s="25"/>
      <c r="KL455" s="25"/>
      <c r="KM455" s="25"/>
      <c r="KN455" s="25"/>
      <c r="KO455" s="25"/>
      <c r="KP455" s="25"/>
      <c r="KQ455" s="25"/>
      <c r="KR455" s="25"/>
      <c r="KS455" s="25"/>
      <c r="KT455" s="25"/>
      <c r="KU455" s="25"/>
      <c r="KV455" s="25"/>
      <c r="KW455" s="25"/>
      <c r="KX455" s="25"/>
      <c r="KY455" s="25"/>
      <c r="KZ455" s="25"/>
      <c r="LA455" s="25"/>
      <c r="LB455" s="25"/>
      <c r="LC455" s="25"/>
      <c r="LD455" s="25"/>
      <c r="LE455" s="25"/>
      <c r="LF455" s="25"/>
      <c r="LG455" s="25"/>
      <c r="LH455" s="25"/>
      <c r="LI455" s="25"/>
      <c r="LJ455" s="25"/>
      <c r="LK455" s="25"/>
      <c r="LL455" s="25"/>
      <c r="LM455" s="25"/>
      <c r="LN455" s="25"/>
      <c r="LO455" s="25"/>
      <c r="LP455" s="25"/>
      <c r="LQ455" s="25"/>
      <c r="LR455" s="25"/>
      <c r="LS455" s="25"/>
      <c r="LT455" s="25"/>
      <c r="LU455" s="25"/>
      <c r="LV455" s="25"/>
      <c r="LW455" s="25"/>
      <c r="LX455" s="25"/>
      <c r="LY455" s="25"/>
      <c r="LZ455" s="25"/>
      <c r="MA455" s="25"/>
      <c r="MB455" s="25"/>
      <c r="MC455" s="25"/>
      <c r="MD455" s="25"/>
      <c r="ME455" s="25"/>
      <c r="MF455" s="25"/>
      <c r="MG455" s="25"/>
      <c r="MH455" s="25"/>
      <c r="MI455" s="25"/>
      <c r="MJ455" s="25"/>
      <c r="MK455" s="25"/>
      <c r="ML455" s="25"/>
      <c r="MM455" s="25"/>
      <c r="MN455" s="25"/>
      <c r="MO455" s="25"/>
      <c r="MP455" s="25"/>
      <c r="MQ455" s="25"/>
      <c r="MR455" s="25"/>
      <c r="MS455" s="25"/>
      <c r="MT455" s="25"/>
      <c r="MU455" s="25"/>
      <c r="MV455" s="25"/>
      <c r="MW455" s="25"/>
      <c r="MX455" s="25"/>
      <c r="MY455" s="25"/>
      <c r="MZ455" s="25"/>
      <c r="NA455" s="25"/>
      <c r="NB455" s="25"/>
      <c r="NC455" s="25"/>
      <c r="ND455" s="25"/>
      <c r="NE455" s="25"/>
      <c r="NF455" s="25"/>
      <c r="NG455" s="25"/>
      <c r="NH455" s="25"/>
      <c r="NI455" s="25"/>
      <c r="NJ455" s="25"/>
      <c r="NK455" s="25"/>
      <c r="NL455" s="25"/>
      <c r="NM455" s="25"/>
      <c r="NN455" s="25"/>
      <c r="NO455" s="25"/>
      <c r="NP455" s="25"/>
      <c r="NQ455" s="25"/>
      <c r="NR455" s="25"/>
      <c r="NS455" s="25"/>
      <c r="NT455" s="25"/>
      <c r="NU455" s="25"/>
      <c r="NV455" s="25"/>
      <c r="NW455" s="25"/>
      <c r="NX455" s="25"/>
      <c r="NY455" s="25"/>
      <c r="NZ455" s="25"/>
      <c r="OA455" s="25"/>
      <c r="OB455" s="25"/>
      <c r="OC455" s="25"/>
      <c r="OD455" s="25"/>
      <c r="OE455" s="25"/>
      <c r="OF455" s="25"/>
      <c r="OG455" s="25"/>
      <c r="OH455" s="25"/>
      <c r="OI455" s="25"/>
      <c r="OJ455" s="25"/>
      <c r="OK455" s="25"/>
      <c r="OL455" s="25"/>
      <c r="OM455" s="25"/>
      <c r="ON455" s="25"/>
      <c r="OO455" s="25"/>
      <c r="OP455" s="25"/>
      <c r="OQ455" s="25"/>
      <c r="OR455" s="25"/>
      <c r="OS455" s="25"/>
      <c r="OT455" s="25"/>
      <c r="OU455" s="25"/>
      <c r="OV455" s="25"/>
      <c r="OW455" s="25"/>
      <c r="OX455" s="25"/>
      <c r="OY455" s="25"/>
      <c r="OZ455" s="25"/>
      <c r="PA455" s="25"/>
      <c r="PB455" s="25"/>
      <c r="PC455" s="25"/>
      <c r="PD455" s="25"/>
      <c r="PE455" s="25"/>
      <c r="PF455" s="25"/>
      <c r="PG455" s="25"/>
      <c r="PH455" s="25"/>
      <c r="PI455" s="25"/>
      <c r="PJ455" s="25"/>
      <c r="PK455" s="25"/>
      <c r="PL455" s="25"/>
      <c r="PM455" s="25"/>
      <c r="PN455" s="25"/>
      <c r="PO455" s="25"/>
      <c r="PP455" s="25"/>
      <c r="PQ455" s="25"/>
      <c r="PR455" s="25"/>
      <c r="PS455" s="25"/>
      <c r="PT455" s="25"/>
      <c r="PU455" s="25"/>
      <c r="PV455" s="25"/>
      <c r="PW455" s="25"/>
      <c r="PX455" s="25"/>
      <c r="PY455" s="25"/>
      <c r="PZ455" s="25"/>
      <c r="QA455" s="25"/>
      <c r="QB455" s="25"/>
      <c r="QC455" s="25"/>
      <c r="QD455" s="25"/>
      <c r="QE455" s="25"/>
      <c r="QF455" s="25"/>
      <c r="QG455" s="25"/>
      <c r="QH455" s="25"/>
      <c r="QI455" s="25"/>
      <c r="QJ455" s="25"/>
      <c r="QK455" s="25"/>
      <c r="QL455" s="25"/>
      <c r="QM455" s="25"/>
      <c r="QN455" s="25"/>
      <c r="QO455" s="25"/>
      <c r="QP455" s="25"/>
      <c r="QQ455" s="25"/>
      <c r="QR455" s="25"/>
      <c r="QS455" s="25"/>
      <c r="QT455" s="25"/>
      <c r="QU455" s="25"/>
      <c r="QV455" s="25"/>
      <c r="QW455" s="25"/>
      <c r="QX455" s="25"/>
      <c r="QY455" s="25"/>
      <c r="QZ455" s="25"/>
      <c r="RA455" s="25"/>
      <c r="RB455" s="25"/>
      <c r="RC455" s="25"/>
      <c r="RD455" s="25"/>
      <c r="RE455" s="25"/>
      <c r="RF455" s="25"/>
      <c r="RG455" s="25"/>
      <c r="RH455" s="25"/>
      <c r="RI455" s="25"/>
      <c r="RJ455" s="25"/>
      <c r="RK455" s="25"/>
      <c r="RL455" s="25"/>
      <c r="RM455" s="25"/>
      <c r="RN455" s="25"/>
      <c r="RO455" s="25"/>
      <c r="RP455" s="25"/>
      <c r="RQ455" s="25"/>
      <c r="RR455" s="25"/>
      <c r="RS455" s="25"/>
      <c r="RT455" s="25"/>
      <c r="RU455" s="25"/>
      <c r="RV455" s="25"/>
      <c r="RW455" s="25"/>
      <c r="RX455" s="25"/>
      <c r="RY455" s="25"/>
      <c r="RZ455" s="25"/>
      <c r="SA455" s="25"/>
      <c r="SB455" s="25"/>
      <c r="SC455" s="25"/>
      <c r="SD455" s="25"/>
      <c r="SE455" s="25"/>
      <c r="SF455" s="25"/>
      <c r="SG455" s="25"/>
      <c r="SH455" s="25"/>
      <c r="SI455" s="25"/>
      <c r="SJ455" s="25"/>
      <c r="SK455" s="25"/>
      <c r="SL455" s="25"/>
      <c r="SM455" s="25"/>
      <c r="SN455" s="25"/>
      <c r="SO455" s="25"/>
      <c r="SP455" s="25"/>
      <c r="SQ455" s="25"/>
      <c r="SR455" s="25"/>
      <c r="SS455" s="25"/>
      <c r="ST455" s="25"/>
      <c r="SU455" s="25"/>
      <c r="SV455" s="25"/>
      <c r="SW455" s="25"/>
      <c r="SX455" s="25"/>
      <c r="SY455" s="25"/>
      <c r="SZ455" s="25"/>
      <c r="TA455" s="25"/>
      <c r="TB455" s="25"/>
      <c r="TC455" s="25"/>
      <c r="TD455" s="25"/>
      <c r="TE455" s="25"/>
      <c r="TF455" s="25"/>
      <c r="TG455" s="25"/>
      <c r="TH455" s="25"/>
      <c r="TI455" s="25"/>
      <c r="TJ455" s="25"/>
      <c r="TK455" s="25"/>
      <c r="TL455" s="25"/>
      <c r="TM455" s="25"/>
      <c r="TN455" s="25"/>
      <c r="TO455" s="25"/>
      <c r="TP455" s="25"/>
      <c r="TQ455" s="25"/>
      <c r="TR455" s="25"/>
      <c r="TS455" s="25"/>
      <c r="TT455" s="25"/>
      <c r="TU455" s="25"/>
      <c r="TV455" s="25"/>
      <c r="TW455" s="25"/>
      <c r="TX455" s="25"/>
      <c r="TY455" s="25"/>
      <c r="TZ455" s="25"/>
      <c r="UA455" s="25"/>
      <c r="UB455" s="25"/>
      <c r="UC455" s="25"/>
      <c r="UD455" s="25"/>
      <c r="UE455" s="25"/>
      <c r="UF455" s="25"/>
      <c r="UG455" s="26"/>
    </row>
    <row r="456" spans="1:553" ht="30.75" customHeight="1">
      <c r="A456" s="356" t="s">
        <v>15</v>
      </c>
      <c r="B456" s="366" t="s">
        <v>31</v>
      </c>
      <c r="C456" s="1404" t="s">
        <v>352</v>
      </c>
      <c r="D456" s="1389"/>
      <c r="E456" s="1389"/>
      <c r="F456" s="1390"/>
      <c r="G456" s="386" t="s">
        <v>34</v>
      </c>
      <c r="H456" s="370"/>
      <c r="I456" s="422">
        <f>11*0.4*0.11</f>
        <v>0.48400000000000004</v>
      </c>
      <c r="J456" s="368">
        <v>1913917</v>
      </c>
      <c r="K456" s="371"/>
      <c r="L456" s="391">
        <f t="shared" si="87"/>
        <v>926336</v>
      </c>
      <c r="M456" s="391"/>
      <c r="N456" s="391"/>
      <c r="O456" s="391"/>
      <c r="P456" s="391"/>
      <c r="Q456" s="1444"/>
      <c r="R456" s="1226"/>
      <c r="S456" s="308"/>
      <c r="T456" s="303"/>
      <c r="U456" s="306"/>
      <c r="V456" s="307"/>
      <c r="W456" s="306"/>
      <c r="X456" s="306"/>
      <c r="Y456" s="306"/>
      <c r="Z456" s="306"/>
      <c r="AA456" s="306"/>
      <c r="AB456" s="306"/>
      <c r="AC456" s="449"/>
      <c r="AD456" s="449"/>
      <c r="AE456" s="449"/>
      <c r="AF456" s="449"/>
      <c r="AG456" s="449"/>
      <c r="AH456" s="449"/>
      <c r="AI456" s="449"/>
      <c r="AJ456" s="449"/>
      <c r="AK456" s="452"/>
      <c r="AL456" s="104"/>
      <c r="AM456" s="32"/>
      <c r="AN456" s="32"/>
      <c r="AO456" s="32"/>
      <c r="AP456" s="32"/>
      <c r="AQ456" s="32"/>
      <c r="AR456" s="32"/>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1"/>
      <c r="FH456" s="31"/>
      <c r="FI456" s="31"/>
      <c r="FJ456" s="31"/>
      <c r="FK456" s="31"/>
      <c r="FL456" s="31"/>
      <c r="FM456" s="31"/>
      <c r="FN456" s="31"/>
      <c r="FO456" s="31"/>
      <c r="FP456" s="31"/>
      <c r="FQ456" s="31"/>
      <c r="FR456" s="31"/>
      <c r="FS456" s="31"/>
      <c r="FT456" s="31"/>
      <c r="FU456" s="31"/>
      <c r="FV456" s="31"/>
      <c r="FW456" s="31"/>
      <c r="FX456" s="31"/>
      <c r="FY456" s="31"/>
      <c r="FZ456" s="31"/>
      <c r="GA456" s="31"/>
      <c r="GB456" s="31"/>
      <c r="GC456" s="31"/>
      <c r="GD456" s="31"/>
      <c r="GE456" s="31"/>
      <c r="GF456" s="31"/>
      <c r="GG456" s="31"/>
      <c r="GH456" s="31"/>
      <c r="GI456" s="31"/>
      <c r="GJ456" s="31"/>
      <c r="GK456" s="31"/>
      <c r="GL456" s="31"/>
      <c r="GM456" s="31"/>
      <c r="GN456" s="31"/>
      <c r="GO456" s="31"/>
      <c r="GP456" s="31"/>
      <c r="GQ456" s="31"/>
      <c r="GR456" s="31"/>
      <c r="GS456" s="31"/>
      <c r="GT456" s="31"/>
      <c r="GU456" s="31"/>
      <c r="GV456" s="31"/>
      <c r="GW456" s="31"/>
      <c r="GX456" s="31"/>
      <c r="GY456" s="31"/>
      <c r="GZ456" s="31"/>
      <c r="HA456" s="31"/>
      <c r="HB456" s="31"/>
      <c r="HC456" s="31"/>
      <c r="HD456" s="31"/>
      <c r="HE456" s="31"/>
      <c r="HF456" s="31"/>
      <c r="HG456" s="31"/>
      <c r="HH456" s="31"/>
      <c r="HI456" s="31"/>
      <c r="HJ456" s="31"/>
      <c r="HK456" s="31"/>
      <c r="HL456" s="31"/>
      <c r="HM456" s="31"/>
      <c r="HN456" s="31"/>
      <c r="HO456" s="31"/>
      <c r="HP456" s="31"/>
      <c r="HQ456" s="31"/>
      <c r="HR456" s="31"/>
      <c r="HS456" s="31"/>
      <c r="HT456" s="31"/>
      <c r="HU456" s="31"/>
      <c r="HV456" s="31"/>
      <c r="HW456" s="31"/>
      <c r="HX456" s="31"/>
      <c r="HY456" s="31"/>
      <c r="HZ456" s="31"/>
      <c r="IA456" s="31"/>
      <c r="IB456" s="31"/>
      <c r="IC456" s="31"/>
      <c r="ID456" s="31"/>
      <c r="IE456" s="31"/>
      <c r="IF456" s="31"/>
      <c r="IG456" s="31"/>
      <c r="IH456" s="31"/>
      <c r="II456" s="31"/>
      <c r="IJ456" s="31"/>
      <c r="IK456" s="31"/>
      <c r="IL456" s="31"/>
      <c r="IM456" s="31"/>
      <c r="IN456" s="31"/>
      <c r="IO456" s="31"/>
      <c r="IP456" s="31"/>
      <c r="IQ456" s="31"/>
      <c r="IR456" s="31"/>
      <c r="IS456" s="31"/>
      <c r="IT456" s="31"/>
      <c r="IU456" s="31"/>
      <c r="IV456" s="31"/>
      <c r="IW456" s="31"/>
      <c r="IX456" s="31"/>
      <c r="IY456" s="31"/>
      <c r="IZ456" s="31"/>
      <c r="JA456" s="31"/>
      <c r="JB456" s="31"/>
      <c r="JC456" s="31"/>
      <c r="JD456" s="31"/>
      <c r="JE456" s="31"/>
      <c r="JF456" s="31"/>
      <c r="JG456" s="31"/>
      <c r="JH456" s="31"/>
      <c r="JI456" s="31"/>
      <c r="JJ456" s="31"/>
      <c r="JK456" s="31"/>
      <c r="JL456" s="31"/>
      <c r="JM456" s="31"/>
      <c r="JN456" s="31"/>
      <c r="JO456" s="31"/>
      <c r="JP456" s="31"/>
      <c r="JQ456" s="31"/>
      <c r="JR456" s="31"/>
      <c r="JS456" s="31"/>
      <c r="JT456" s="31"/>
      <c r="JU456" s="31"/>
      <c r="JV456" s="31"/>
      <c r="JW456" s="31"/>
      <c r="JX456" s="31"/>
      <c r="JY456" s="31"/>
      <c r="JZ456" s="31"/>
      <c r="KA456" s="31"/>
      <c r="KB456" s="31"/>
      <c r="KC456" s="31"/>
      <c r="KD456" s="31"/>
      <c r="KE456" s="31"/>
      <c r="KF456" s="31"/>
      <c r="KG456" s="31"/>
      <c r="KH456" s="31"/>
      <c r="KI456" s="31"/>
      <c r="KJ456" s="31"/>
      <c r="KK456" s="31"/>
      <c r="KL456" s="31"/>
      <c r="KM456" s="31"/>
      <c r="KN456" s="31"/>
      <c r="KO456" s="31"/>
      <c r="KP456" s="31"/>
      <c r="KQ456" s="31"/>
      <c r="KR456" s="31"/>
      <c r="KS456" s="31"/>
      <c r="KT456" s="31"/>
      <c r="KU456" s="31"/>
      <c r="KV456" s="31"/>
      <c r="KW456" s="31"/>
      <c r="KX456" s="31"/>
      <c r="KY456" s="31"/>
      <c r="KZ456" s="31"/>
      <c r="LA456" s="31"/>
      <c r="LB456" s="31"/>
      <c r="LC456" s="31"/>
      <c r="LD456" s="31"/>
      <c r="LE456" s="31"/>
      <c r="LF456" s="31"/>
      <c r="LG456" s="31"/>
      <c r="LH456" s="31"/>
      <c r="LI456" s="31"/>
      <c r="LJ456" s="31"/>
      <c r="LK456" s="31"/>
      <c r="LL456" s="31"/>
      <c r="LM456" s="31"/>
      <c r="LN456" s="31"/>
      <c r="LO456" s="31"/>
      <c r="LP456" s="31"/>
      <c r="LQ456" s="31"/>
      <c r="LR456" s="31"/>
      <c r="LS456" s="31"/>
      <c r="LT456" s="31"/>
      <c r="LU456" s="31"/>
      <c r="LV456" s="31"/>
      <c r="LW456" s="31"/>
      <c r="LX456" s="31"/>
      <c r="LY456" s="31"/>
      <c r="LZ456" s="31"/>
      <c r="MA456" s="31"/>
      <c r="MB456" s="31"/>
      <c r="MC456" s="31"/>
      <c r="MD456" s="31"/>
      <c r="ME456" s="31"/>
      <c r="MF456" s="31"/>
      <c r="MG456" s="31"/>
      <c r="MH456" s="31"/>
      <c r="MI456" s="31"/>
      <c r="MJ456" s="31"/>
      <c r="MK456" s="31"/>
      <c r="ML456" s="31"/>
      <c r="MM456" s="31"/>
      <c r="MN456" s="31"/>
      <c r="MO456" s="31"/>
      <c r="MP456" s="31"/>
      <c r="MQ456" s="31"/>
      <c r="MR456" s="31"/>
      <c r="MS456" s="31"/>
      <c r="MT456" s="31"/>
      <c r="MU456" s="31"/>
      <c r="MV456" s="31"/>
      <c r="MW456" s="31"/>
      <c r="MX456" s="31"/>
      <c r="MY456" s="31"/>
      <c r="MZ456" s="31"/>
      <c r="NA456" s="31"/>
      <c r="NB456" s="31"/>
      <c r="NC456" s="31"/>
      <c r="ND456" s="31"/>
      <c r="NE456" s="31"/>
      <c r="NF456" s="31"/>
      <c r="NG456" s="31"/>
      <c r="NH456" s="31"/>
      <c r="NI456" s="31"/>
      <c r="NJ456" s="31"/>
      <c r="NK456" s="31"/>
      <c r="NL456" s="31"/>
      <c r="NM456" s="31"/>
      <c r="NN456" s="31"/>
      <c r="NO456" s="31"/>
      <c r="NP456" s="31"/>
      <c r="NQ456" s="31"/>
      <c r="NR456" s="31"/>
      <c r="NS456" s="31"/>
      <c r="NT456" s="31"/>
      <c r="NU456" s="31"/>
      <c r="NV456" s="31"/>
      <c r="NW456" s="31"/>
      <c r="NX456" s="31"/>
      <c r="NY456" s="31"/>
      <c r="NZ456" s="31"/>
      <c r="OA456" s="31"/>
      <c r="OB456" s="31"/>
      <c r="OC456" s="31"/>
      <c r="OD456" s="31"/>
      <c r="OE456" s="31"/>
      <c r="OF456" s="31"/>
      <c r="OG456" s="31"/>
      <c r="OH456" s="31"/>
      <c r="OI456" s="31"/>
      <c r="OJ456" s="31"/>
      <c r="OK456" s="31"/>
      <c r="OL456" s="31"/>
      <c r="OM456" s="31"/>
      <c r="ON456" s="31"/>
      <c r="OO456" s="31"/>
      <c r="OP456" s="31"/>
      <c r="OQ456" s="31"/>
      <c r="OR456" s="31"/>
      <c r="OS456" s="31"/>
      <c r="OT456" s="31"/>
      <c r="OU456" s="31"/>
      <c r="OV456" s="31"/>
      <c r="OW456" s="31"/>
      <c r="OX456" s="31"/>
      <c r="OY456" s="31"/>
      <c r="OZ456" s="31"/>
      <c r="PA456" s="31"/>
      <c r="PB456" s="31"/>
      <c r="PC456" s="31"/>
      <c r="PD456" s="31"/>
      <c r="PE456" s="31"/>
      <c r="PF456" s="31"/>
      <c r="PG456" s="31"/>
      <c r="PH456" s="31"/>
      <c r="PI456" s="31"/>
      <c r="PJ456" s="31"/>
      <c r="PK456" s="31"/>
      <c r="PL456" s="31"/>
      <c r="PM456" s="31"/>
      <c r="PN456" s="31"/>
      <c r="PO456" s="31"/>
      <c r="PP456" s="31"/>
      <c r="PQ456" s="31"/>
      <c r="PR456" s="31"/>
      <c r="PS456" s="31"/>
      <c r="PT456" s="31"/>
      <c r="PU456" s="31"/>
      <c r="PV456" s="31"/>
      <c r="PW456" s="31"/>
      <c r="PX456" s="31"/>
      <c r="PY456" s="31"/>
      <c r="PZ456" s="31"/>
      <c r="QA456" s="31"/>
      <c r="QB456" s="31"/>
      <c r="QC456" s="31"/>
      <c r="QD456" s="31"/>
      <c r="QE456" s="31"/>
      <c r="QF456" s="31"/>
      <c r="QG456" s="31"/>
      <c r="QH456" s="31"/>
      <c r="QI456" s="31"/>
      <c r="QJ456" s="31"/>
      <c r="QK456" s="31"/>
      <c r="QL456" s="31"/>
      <c r="QM456" s="31"/>
      <c r="QN456" s="31"/>
      <c r="QO456" s="31"/>
      <c r="QP456" s="31"/>
      <c r="QQ456" s="31"/>
      <c r="QR456" s="31"/>
      <c r="QS456" s="31"/>
      <c r="QT456" s="31"/>
      <c r="QU456" s="31"/>
      <c r="QV456" s="31"/>
      <c r="QW456" s="31"/>
      <c r="QX456" s="31"/>
      <c r="QY456" s="31"/>
      <c r="QZ456" s="31"/>
      <c r="RA456" s="31"/>
      <c r="RB456" s="31"/>
      <c r="RC456" s="31"/>
      <c r="RD456" s="31"/>
      <c r="RE456" s="31"/>
      <c r="RF456" s="31"/>
      <c r="RG456" s="31"/>
      <c r="RH456" s="31"/>
      <c r="RI456" s="31"/>
      <c r="RJ456" s="31"/>
      <c r="RK456" s="31"/>
      <c r="RL456" s="31"/>
      <c r="RM456" s="31"/>
      <c r="RN456" s="31"/>
      <c r="RO456" s="31"/>
      <c r="RP456" s="31"/>
      <c r="RQ456" s="31"/>
      <c r="RR456" s="31"/>
      <c r="RS456" s="31"/>
      <c r="RT456" s="31"/>
      <c r="RU456" s="31"/>
      <c r="RV456" s="31"/>
      <c r="RW456" s="31"/>
      <c r="RX456" s="31"/>
      <c r="RY456" s="31"/>
      <c r="RZ456" s="31"/>
      <c r="SA456" s="31"/>
      <c r="SB456" s="31"/>
      <c r="SC456" s="31"/>
      <c r="SD456" s="31"/>
      <c r="SE456" s="31"/>
      <c r="SF456" s="31"/>
      <c r="SG456" s="31"/>
      <c r="SH456" s="31"/>
      <c r="SI456" s="31"/>
      <c r="SJ456" s="31"/>
      <c r="SK456" s="31"/>
      <c r="SL456" s="31"/>
      <c r="SM456" s="31"/>
      <c r="SN456" s="31"/>
      <c r="SO456" s="31"/>
      <c r="SP456" s="31"/>
      <c r="SQ456" s="31"/>
      <c r="SR456" s="31"/>
      <c r="SS456" s="31"/>
      <c r="ST456" s="31"/>
      <c r="SU456" s="31"/>
      <c r="SV456" s="31"/>
      <c r="SW456" s="31"/>
      <c r="SX456" s="31"/>
      <c r="SY456" s="31"/>
      <c r="SZ456" s="31"/>
      <c r="TA456" s="31"/>
      <c r="TB456" s="31"/>
      <c r="TC456" s="31"/>
      <c r="TD456" s="31"/>
      <c r="TE456" s="31"/>
      <c r="TF456" s="31"/>
      <c r="TG456" s="31"/>
      <c r="TH456" s="31"/>
      <c r="TI456" s="31"/>
      <c r="TJ456" s="31"/>
      <c r="TK456" s="31"/>
      <c r="TL456" s="31"/>
      <c r="TM456" s="31"/>
      <c r="TN456" s="31"/>
      <c r="TO456" s="31"/>
      <c r="TP456" s="31"/>
      <c r="TQ456" s="31"/>
      <c r="TR456" s="31"/>
      <c r="TS456" s="31"/>
      <c r="TT456" s="31"/>
      <c r="TU456" s="31"/>
      <c r="TV456" s="31"/>
      <c r="TW456" s="31"/>
      <c r="TX456" s="31"/>
      <c r="TY456" s="31"/>
      <c r="TZ456" s="31"/>
      <c r="UA456" s="31"/>
      <c r="UB456" s="31"/>
      <c r="UC456" s="31"/>
      <c r="UD456" s="31"/>
      <c r="UE456" s="31"/>
      <c r="UF456" s="31"/>
      <c r="UG456" s="33"/>
    </row>
    <row r="457" spans="1:553" ht="30.75" customHeight="1">
      <c r="A457" s="356" t="s">
        <v>15</v>
      </c>
      <c r="B457" s="366" t="s">
        <v>75</v>
      </c>
      <c r="C457" s="1404" t="s">
        <v>915</v>
      </c>
      <c r="D457" s="1389"/>
      <c r="E457" s="1389"/>
      <c r="F457" s="1390"/>
      <c r="G457" s="386" t="s">
        <v>935</v>
      </c>
      <c r="H457" s="370"/>
      <c r="I457" s="422">
        <f>2.7*1.8</f>
        <v>4.8600000000000003</v>
      </c>
      <c r="J457" s="368">
        <v>569800</v>
      </c>
      <c r="K457" s="371"/>
      <c r="L457" s="391">
        <f t="shared" si="87"/>
        <v>2769228</v>
      </c>
      <c r="M457" s="391"/>
      <c r="N457" s="391"/>
      <c r="O457" s="391"/>
      <c r="P457" s="391"/>
      <c r="Q457" s="1445"/>
      <c r="R457" s="1226"/>
      <c r="S457" s="308"/>
      <c r="T457" s="303"/>
      <c r="U457" s="306"/>
      <c r="V457" s="307"/>
      <c r="W457" s="306"/>
      <c r="X457" s="306"/>
      <c r="Y457" s="306"/>
      <c r="Z457" s="306"/>
      <c r="AA457" s="306"/>
      <c r="AB457" s="306"/>
      <c r="AC457" s="449"/>
      <c r="AD457" s="449"/>
      <c r="AE457" s="449"/>
      <c r="AF457" s="449"/>
      <c r="AG457" s="449"/>
      <c r="AH457" s="449"/>
      <c r="AI457" s="449"/>
      <c r="AJ457" s="449"/>
      <c r="AK457" s="452"/>
      <c r="AL457" s="104"/>
      <c r="AM457" s="32"/>
      <c r="AN457" s="32"/>
      <c r="AO457" s="32"/>
      <c r="AP457" s="32"/>
      <c r="AQ457" s="32"/>
      <c r="AR457" s="32"/>
      <c r="AS457" s="31"/>
      <c r="AT457" s="31"/>
      <c r="AU457" s="31"/>
      <c r="AV457" s="31"/>
      <c r="AW457" s="31"/>
      <c r="AX457" s="31"/>
      <c r="AY457" s="31"/>
      <c r="AZ457" s="31"/>
      <c r="BA457" s="31"/>
      <c r="BB457" s="31"/>
      <c r="BC457" s="31"/>
      <c r="BD457" s="31"/>
      <c r="BE457" s="31"/>
      <c r="BF457" s="31"/>
      <c r="BG457" s="31"/>
      <c r="BH457" s="31"/>
      <c r="BI457" s="31"/>
      <c r="BJ457" s="31"/>
      <c r="BK457" s="31"/>
      <c r="BL457" s="31"/>
      <c r="BM457" s="31"/>
      <c r="BN457" s="31"/>
      <c r="BO457" s="31"/>
      <c r="BP457" s="31"/>
      <c r="BQ457" s="31"/>
      <c r="BR457" s="31"/>
      <c r="BS457" s="31"/>
      <c r="BT457" s="31"/>
      <c r="BU457" s="31"/>
      <c r="BV457" s="31"/>
      <c r="BW457" s="31"/>
      <c r="BX457" s="31"/>
      <c r="BY457" s="31"/>
      <c r="BZ457" s="31"/>
      <c r="CA457" s="31"/>
      <c r="CB457" s="31"/>
      <c r="CC457" s="31"/>
      <c r="CD457" s="31"/>
      <c r="CE457" s="31"/>
      <c r="CF457" s="31"/>
      <c r="CG457" s="31"/>
      <c r="CH457" s="31"/>
      <c r="CI457" s="31"/>
      <c r="CJ457" s="31"/>
      <c r="CK457" s="31"/>
      <c r="CL457" s="31"/>
      <c r="CM457" s="31"/>
      <c r="CN457" s="31"/>
      <c r="CO457" s="31"/>
      <c r="CP457" s="31"/>
      <c r="CQ457" s="31"/>
      <c r="CR457" s="31"/>
      <c r="CS457" s="31"/>
      <c r="CT457" s="31"/>
      <c r="CU457" s="31"/>
      <c r="CV457" s="31"/>
      <c r="CW457" s="31"/>
      <c r="CX457" s="31"/>
      <c r="CY457" s="31"/>
      <c r="CZ457" s="31"/>
      <c r="DA457" s="31"/>
      <c r="DB457" s="31"/>
      <c r="DC457" s="31"/>
      <c r="DD457" s="31"/>
      <c r="DE457" s="31"/>
      <c r="DF457" s="31"/>
      <c r="DG457" s="31"/>
      <c r="DH457" s="31"/>
      <c r="DI457" s="31"/>
      <c r="DJ457" s="31"/>
      <c r="DK457" s="31"/>
      <c r="DL457" s="31"/>
      <c r="DM457" s="31"/>
      <c r="DN457" s="31"/>
      <c r="DO457" s="31"/>
      <c r="DP457" s="31"/>
      <c r="DQ457" s="31"/>
      <c r="DR457" s="31"/>
      <c r="DS457" s="31"/>
      <c r="DT457" s="31"/>
      <c r="DU457" s="31"/>
      <c r="DV457" s="31"/>
      <c r="DW457" s="31"/>
      <c r="DX457" s="31"/>
      <c r="DY457" s="31"/>
      <c r="DZ457" s="31"/>
      <c r="EA457" s="31"/>
      <c r="EB457" s="31"/>
      <c r="EC457" s="31"/>
      <c r="ED457" s="31"/>
      <c r="EE457" s="31"/>
      <c r="EF457" s="31"/>
      <c r="EG457" s="31"/>
      <c r="EH457" s="31"/>
      <c r="EI457" s="31"/>
      <c r="EJ457" s="31"/>
      <c r="EK457" s="31"/>
      <c r="EL457" s="31"/>
      <c r="EM457" s="31"/>
      <c r="EN457" s="31"/>
      <c r="EO457" s="31"/>
      <c r="EP457" s="31"/>
      <c r="EQ457" s="31"/>
      <c r="ER457" s="31"/>
      <c r="ES457" s="31"/>
      <c r="ET457" s="31"/>
      <c r="EU457" s="31"/>
      <c r="EV457" s="31"/>
      <c r="EW457" s="31"/>
      <c r="EX457" s="31"/>
      <c r="EY457" s="31"/>
      <c r="EZ457" s="31"/>
      <c r="FA457" s="31"/>
      <c r="FB457" s="31"/>
      <c r="FC457" s="31"/>
      <c r="FD457" s="31"/>
      <c r="FE457" s="31"/>
      <c r="FF457" s="31"/>
      <c r="FG457" s="31"/>
      <c r="FH457" s="31"/>
      <c r="FI457" s="31"/>
      <c r="FJ457" s="31"/>
      <c r="FK457" s="31"/>
      <c r="FL457" s="31"/>
      <c r="FM457" s="31"/>
      <c r="FN457" s="31"/>
      <c r="FO457" s="31"/>
      <c r="FP457" s="31"/>
      <c r="FQ457" s="31"/>
      <c r="FR457" s="31"/>
      <c r="FS457" s="31"/>
      <c r="FT457" s="31"/>
      <c r="FU457" s="31"/>
      <c r="FV457" s="31"/>
      <c r="FW457" s="31"/>
      <c r="FX457" s="31"/>
      <c r="FY457" s="31"/>
      <c r="FZ457" s="31"/>
      <c r="GA457" s="31"/>
      <c r="GB457" s="31"/>
      <c r="GC457" s="31"/>
      <c r="GD457" s="31"/>
      <c r="GE457" s="31"/>
      <c r="GF457" s="31"/>
      <c r="GG457" s="31"/>
      <c r="GH457" s="31"/>
      <c r="GI457" s="31"/>
      <c r="GJ457" s="31"/>
      <c r="GK457" s="31"/>
      <c r="GL457" s="31"/>
      <c r="GM457" s="31"/>
      <c r="GN457" s="31"/>
      <c r="GO457" s="31"/>
      <c r="GP457" s="31"/>
      <c r="GQ457" s="31"/>
      <c r="GR457" s="31"/>
      <c r="GS457" s="31"/>
      <c r="GT457" s="31"/>
      <c r="GU457" s="31"/>
      <c r="GV457" s="31"/>
      <c r="GW457" s="31"/>
      <c r="GX457" s="31"/>
      <c r="GY457" s="31"/>
      <c r="GZ457" s="31"/>
      <c r="HA457" s="31"/>
      <c r="HB457" s="31"/>
      <c r="HC457" s="31"/>
      <c r="HD457" s="31"/>
      <c r="HE457" s="31"/>
      <c r="HF457" s="31"/>
      <c r="HG457" s="31"/>
      <c r="HH457" s="31"/>
      <c r="HI457" s="31"/>
      <c r="HJ457" s="31"/>
      <c r="HK457" s="31"/>
      <c r="HL457" s="31"/>
      <c r="HM457" s="31"/>
      <c r="HN457" s="31"/>
      <c r="HO457" s="31"/>
      <c r="HP457" s="31"/>
      <c r="HQ457" s="31"/>
      <c r="HR457" s="31"/>
      <c r="HS457" s="31"/>
      <c r="HT457" s="31"/>
      <c r="HU457" s="31"/>
      <c r="HV457" s="31"/>
      <c r="HW457" s="31"/>
      <c r="HX457" s="31"/>
      <c r="HY457" s="31"/>
      <c r="HZ457" s="31"/>
      <c r="IA457" s="31"/>
      <c r="IB457" s="31"/>
      <c r="IC457" s="31"/>
      <c r="ID457" s="31"/>
      <c r="IE457" s="31"/>
      <c r="IF457" s="31"/>
      <c r="IG457" s="31"/>
      <c r="IH457" s="31"/>
      <c r="II457" s="31"/>
      <c r="IJ457" s="31"/>
      <c r="IK457" s="31"/>
      <c r="IL457" s="31"/>
      <c r="IM457" s="31"/>
      <c r="IN457" s="31"/>
      <c r="IO457" s="31"/>
      <c r="IP457" s="31"/>
      <c r="IQ457" s="31"/>
      <c r="IR457" s="31"/>
      <c r="IS457" s="31"/>
      <c r="IT457" s="31"/>
      <c r="IU457" s="31"/>
      <c r="IV457" s="31"/>
      <c r="IW457" s="31"/>
      <c r="IX457" s="31"/>
      <c r="IY457" s="31"/>
      <c r="IZ457" s="31"/>
      <c r="JA457" s="31"/>
      <c r="JB457" s="31"/>
      <c r="JC457" s="31"/>
      <c r="JD457" s="31"/>
      <c r="JE457" s="31"/>
      <c r="JF457" s="31"/>
      <c r="JG457" s="31"/>
      <c r="JH457" s="31"/>
      <c r="JI457" s="31"/>
      <c r="JJ457" s="31"/>
      <c r="JK457" s="31"/>
      <c r="JL457" s="31"/>
      <c r="JM457" s="31"/>
      <c r="JN457" s="31"/>
      <c r="JO457" s="31"/>
      <c r="JP457" s="31"/>
      <c r="JQ457" s="31"/>
      <c r="JR457" s="31"/>
      <c r="JS457" s="31"/>
      <c r="JT457" s="31"/>
      <c r="JU457" s="31"/>
      <c r="JV457" s="31"/>
      <c r="JW457" s="31"/>
      <c r="JX457" s="31"/>
      <c r="JY457" s="31"/>
      <c r="JZ457" s="31"/>
      <c r="KA457" s="31"/>
      <c r="KB457" s="31"/>
      <c r="KC457" s="31"/>
      <c r="KD457" s="31"/>
      <c r="KE457" s="31"/>
      <c r="KF457" s="31"/>
      <c r="KG457" s="31"/>
      <c r="KH457" s="31"/>
      <c r="KI457" s="31"/>
      <c r="KJ457" s="31"/>
      <c r="KK457" s="31"/>
      <c r="KL457" s="31"/>
      <c r="KM457" s="31"/>
      <c r="KN457" s="31"/>
      <c r="KO457" s="31"/>
      <c r="KP457" s="31"/>
      <c r="KQ457" s="31"/>
      <c r="KR457" s="31"/>
      <c r="KS457" s="31"/>
      <c r="KT457" s="31"/>
      <c r="KU457" s="31"/>
      <c r="KV457" s="31"/>
      <c r="KW457" s="31"/>
      <c r="KX457" s="31"/>
      <c r="KY457" s="31"/>
      <c r="KZ457" s="31"/>
      <c r="LA457" s="31"/>
      <c r="LB457" s="31"/>
      <c r="LC457" s="31"/>
      <c r="LD457" s="31"/>
      <c r="LE457" s="31"/>
      <c r="LF457" s="31"/>
      <c r="LG457" s="31"/>
      <c r="LH457" s="31"/>
      <c r="LI457" s="31"/>
      <c r="LJ457" s="31"/>
      <c r="LK457" s="31"/>
      <c r="LL457" s="31"/>
      <c r="LM457" s="31"/>
      <c r="LN457" s="31"/>
      <c r="LO457" s="31"/>
      <c r="LP457" s="31"/>
      <c r="LQ457" s="31"/>
      <c r="LR457" s="31"/>
      <c r="LS457" s="31"/>
      <c r="LT457" s="31"/>
      <c r="LU457" s="31"/>
      <c r="LV457" s="31"/>
      <c r="LW457" s="31"/>
      <c r="LX457" s="31"/>
      <c r="LY457" s="31"/>
      <c r="LZ457" s="31"/>
      <c r="MA457" s="31"/>
      <c r="MB457" s="31"/>
      <c r="MC457" s="31"/>
      <c r="MD457" s="31"/>
      <c r="ME457" s="31"/>
      <c r="MF457" s="31"/>
      <c r="MG457" s="31"/>
      <c r="MH457" s="31"/>
      <c r="MI457" s="31"/>
      <c r="MJ457" s="31"/>
      <c r="MK457" s="31"/>
      <c r="ML457" s="31"/>
      <c r="MM457" s="31"/>
      <c r="MN457" s="31"/>
      <c r="MO457" s="31"/>
      <c r="MP457" s="31"/>
      <c r="MQ457" s="31"/>
      <c r="MR457" s="31"/>
      <c r="MS457" s="31"/>
      <c r="MT457" s="31"/>
      <c r="MU457" s="31"/>
      <c r="MV457" s="31"/>
      <c r="MW457" s="31"/>
      <c r="MX457" s="31"/>
      <c r="MY457" s="31"/>
      <c r="MZ457" s="31"/>
      <c r="NA457" s="31"/>
      <c r="NB457" s="31"/>
      <c r="NC457" s="31"/>
      <c r="ND457" s="31"/>
      <c r="NE457" s="31"/>
      <c r="NF457" s="31"/>
      <c r="NG457" s="31"/>
      <c r="NH457" s="31"/>
      <c r="NI457" s="31"/>
      <c r="NJ457" s="31"/>
      <c r="NK457" s="31"/>
      <c r="NL457" s="31"/>
      <c r="NM457" s="31"/>
      <c r="NN457" s="31"/>
      <c r="NO457" s="31"/>
      <c r="NP457" s="31"/>
      <c r="NQ457" s="31"/>
      <c r="NR457" s="31"/>
      <c r="NS457" s="31"/>
      <c r="NT457" s="31"/>
      <c r="NU457" s="31"/>
      <c r="NV457" s="31"/>
      <c r="NW457" s="31"/>
      <c r="NX457" s="31"/>
      <c r="NY457" s="31"/>
      <c r="NZ457" s="31"/>
      <c r="OA457" s="31"/>
      <c r="OB457" s="31"/>
      <c r="OC457" s="31"/>
      <c r="OD457" s="31"/>
      <c r="OE457" s="31"/>
      <c r="OF457" s="31"/>
      <c r="OG457" s="31"/>
      <c r="OH457" s="31"/>
      <c r="OI457" s="31"/>
      <c r="OJ457" s="31"/>
      <c r="OK457" s="31"/>
      <c r="OL457" s="31"/>
      <c r="OM457" s="31"/>
      <c r="ON457" s="31"/>
      <c r="OO457" s="31"/>
      <c r="OP457" s="31"/>
      <c r="OQ457" s="31"/>
      <c r="OR457" s="31"/>
      <c r="OS457" s="31"/>
      <c r="OT457" s="31"/>
      <c r="OU457" s="31"/>
      <c r="OV457" s="31"/>
      <c r="OW457" s="31"/>
      <c r="OX457" s="31"/>
      <c r="OY457" s="31"/>
      <c r="OZ457" s="31"/>
      <c r="PA457" s="31"/>
      <c r="PB457" s="31"/>
      <c r="PC457" s="31"/>
      <c r="PD457" s="31"/>
      <c r="PE457" s="31"/>
      <c r="PF457" s="31"/>
      <c r="PG457" s="31"/>
      <c r="PH457" s="31"/>
      <c r="PI457" s="31"/>
      <c r="PJ457" s="31"/>
      <c r="PK457" s="31"/>
      <c r="PL457" s="31"/>
      <c r="PM457" s="31"/>
      <c r="PN457" s="31"/>
      <c r="PO457" s="31"/>
      <c r="PP457" s="31"/>
      <c r="PQ457" s="31"/>
      <c r="PR457" s="31"/>
      <c r="PS457" s="31"/>
      <c r="PT457" s="31"/>
      <c r="PU457" s="31"/>
      <c r="PV457" s="31"/>
      <c r="PW457" s="31"/>
      <c r="PX457" s="31"/>
      <c r="PY457" s="31"/>
      <c r="PZ457" s="31"/>
      <c r="QA457" s="31"/>
      <c r="QB457" s="31"/>
      <c r="QC457" s="31"/>
      <c r="QD457" s="31"/>
      <c r="QE457" s="31"/>
      <c r="QF457" s="31"/>
      <c r="QG457" s="31"/>
      <c r="QH457" s="31"/>
      <c r="QI457" s="31"/>
      <c r="QJ457" s="31"/>
      <c r="QK457" s="31"/>
      <c r="QL457" s="31"/>
      <c r="QM457" s="31"/>
      <c r="QN457" s="31"/>
      <c r="QO457" s="31"/>
      <c r="QP457" s="31"/>
      <c r="QQ457" s="31"/>
      <c r="QR457" s="31"/>
      <c r="QS457" s="31"/>
      <c r="QT457" s="31"/>
      <c r="QU457" s="31"/>
      <c r="QV457" s="31"/>
      <c r="QW457" s="31"/>
      <c r="QX457" s="31"/>
      <c r="QY457" s="31"/>
      <c r="QZ457" s="31"/>
      <c r="RA457" s="31"/>
      <c r="RB457" s="31"/>
      <c r="RC457" s="31"/>
      <c r="RD457" s="31"/>
      <c r="RE457" s="31"/>
      <c r="RF457" s="31"/>
      <c r="RG457" s="31"/>
      <c r="RH457" s="31"/>
      <c r="RI457" s="31"/>
      <c r="RJ457" s="31"/>
      <c r="RK457" s="31"/>
      <c r="RL457" s="31"/>
      <c r="RM457" s="31"/>
      <c r="RN457" s="31"/>
      <c r="RO457" s="31"/>
      <c r="RP457" s="31"/>
      <c r="RQ457" s="31"/>
      <c r="RR457" s="31"/>
      <c r="RS457" s="31"/>
      <c r="RT457" s="31"/>
      <c r="RU457" s="31"/>
      <c r="RV457" s="31"/>
      <c r="RW457" s="31"/>
      <c r="RX457" s="31"/>
      <c r="RY457" s="31"/>
      <c r="RZ457" s="31"/>
      <c r="SA457" s="31"/>
      <c r="SB457" s="31"/>
      <c r="SC457" s="31"/>
      <c r="SD457" s="31"/>
      <c r="SE457" s="31"/>
      <c r="SF457" s="31"/>
      <c r="SG457" s="31"/>
      <c r="SH457" s="31"/>
      <c r="SI457" s="31"/>
      <c r="SJ457" s="31"/>
      <c r="SK457" s="31"/>
      <c r="SL457" s="31"/>
      <c r="SM457" s="31"/>
      <c r="SN457" s="31"/>
      <c r="SO457" s="31"/>
      <c r="SP457" s="31"/>
      <c r="SQ457" s="31"/>
      <c r="SR457" s="31"/>
      <c r="SS457" s="31"/>
      <c r="ST457" s="31"/>
      <c r="SU457" s="31"/>
      <c r="SV457" s="31"/>
      <c r="SW457" s="31"/>
      <c r="SX457" s="31"/>
      <c r="SY457" s="31"/>
      <c r="SZ457" s="31"/>
      <c r="TA457" s="31"/>
      <c r="TB457" s="31"/>
      <c r="TC457" s="31"/>
      <c r="TD457" s="31"/>
      <c r="TE457" s="31"/>
      <c r="TF457" s="31"/>
      <c r="TG457" s="31"/>
      <c r="TH457" s="31"/>
      <c r="TI457" s="31"/>
      <c r="TJ457" s="31"/>
      <c r="TK457" s="31"/>
      <c r="TL457" s="31"/>
      <c r="TM457" s="31"/>
      <c r="TN457" s="31"/>
      <c r="TO457" s="31"/>
      <c r="TP457" s="31"/>
      <c r="TQ457" s="31"/>
      <c r="TR457" s="31"/>
      <c r="TS457" s="31"/>
      <c r="TT457" s="31"/>
      <c r="TU457" s="31"/>
      <c r="TV457" s="31"/>
      <c r="TW457" s="31"/>
      <c r="TX457" s="31"/>
      <c r="TY457" s="31"/>
      <c r="TZ457" s="31"/>
      <c r="UA457" s="31"/>
      <c r="UB457" s="31"/>
      <c r="UC457" s="31"/>
      <c r="UD457" s="31"/>
      <c r="UE457" s="31"/>
      <c r="UF457" s="31"/>
      <c r="UG457" s="33"/>
    </row>
    <row r="458" spans="1:553" ht="69" customHeight="1">
      <c r="A458" s="356" t="s">
        <v>15</v>
      </c>
      <c r="B458" s="398" t="s">
        <v>353</v>
      </c>
      <c r="C458" s="1404" t="s">
        <v>914</v>
      </c>
      <c r="D458" s="1389"/>
      <c r="E458" s="1389"/>
      <c r="F458" s="1390"/>
      <c r="G458" s="386" t="s">
        <v>935</v>
      </c>
      <c r="H458" s="370"/>
      <c r="I458" s="834">
        <f>3.8*6</f>
        <v>22.799999999999997</v>
      </c>
      <c r="J458" s="368">
        <v>1746300</v>
      </c>
      <c r="K458" s="371"/>
      <c r="L458" s="391">
        <f t="shared" si="87"/>
        <v>39815640</v>
      </c>
      <c r="M458" s="395"/>
      <c r="N458" s="395"/>
      <c r="O458" s="366"/>
      <c r="P458" s="396"/>
      <c r="Q458" s="473"/>
      <c r="R458" s="1039"/>
      <c r="S458" s="308"/>
      <c r="T458" s="303"/>
      <c r="U458" s="306"/>
      <c r="V458" s="307"/>
      <c r="W458" s="306"/>
      <c r="X458" s="306"/>
      <c r="Y458" s="306"/>
      <c r="Z458" s="306"/>
      <c r="AA458" s="306"/>
      <c r="AB458" s="306"/>
      <c r="AC458" s="449"/>
      <c r="AD458" s="449"/>
      <c r="AE458" s="449"/>
      <c r="AF458" s="449"/>
      <c r="AG458" s="452"/>
      <c r="AH458" s="452"/>
      <c r="AI458" s="452"/>
      <c r="AJ458" s="452"/>
      <c r="AK458" s="452"/>
      <c r="AL458" s="104"/>
      <c r="AM458" s="32"/>
      <c r="AN458" s="32"/>
      <c r="AO458" s="32"/>
      <c r="AP458" s="32"/>
      <c r="AQ458" s="31"/>
      <c r="AR458" s="31"/>
      <c r="AS458" s="31"/>
      <c r="AT458" s="31"/>
      <c r="AU458" s="31"/>
      <c r="AV458" s="31"/>
      <c r="AW458" s="31"/>
      <c r="AX458" s="31"/>
      <c r="AY458" s="31"/>
      <c r="AZ458" s="31"/>
      <c r="BA458" s="31"/>
      <c r="BB458" s="31"/>
      <c r="BC458" s="31"/>
      <c r="BD458" s="31"/>
      <c r="BE458" s="31"/>
      <c r="BF458" s="31"/>
      <c r="BG458" s="31"/>
      <c r="BH458" s="31"/>
      <c r="BI458" s="31"/>
      <c r="BJ458" s="31"/>
      <c r="BK458" s="31"/>
      <c r="BL458" s="31"/>
      <c r="BM458" s="25"/>
      <c r="BN458" s="25"/>
      <c r="BO458" s="25"/>
      <c r="BP458" s="25"/>
      <c r="BQ458" s="25"/>
      <c r="BR458" s="25"/>
      <c r="BS458" s="25"/>
      <c r="BT458" s="25"/>
      <c r="BU458" s="25"/>
      <c r="BV458" s="25"/>
      <c r="BW458" s="25"/>
      <c r="BX458" s="25"/>
      <c r="BY458" s="25"/>
      <c r="BZ458" s="25"/>
      <c r="CA458" s="25"/>
      <c r="CB458" s="25"/>
      <c r="CC458" s="25"/>
      <c r="CD458" s="25"/>
      <c r="CE458" s="25"/>
      <c r="CF458" s="25"/>
      <c r="CG458" s="25"/>
      <c r="CH458" s="25"/>
      <c r="CI458" s="25"/>
      <c r="CJ458" s="25"/>
      <c r="CK458" s="25"/>
      <c r="CL458" s="25"/>
      <c r="CM458" s="25"/>
      <c r="CN458" s="25"/>
      <c r="CO458" s="25"/>
      <c r="CP458" s="25"/>
      <c r="CQ458" s="25"/>
      <c r="CR458" s="25"/>
      <c r="CS458" s="25"/>
      <c r="CT458" s="25"/>
      <c r="CU458" s="25"/>
      <c r="CV458" s="25"/>
      <c r="CW458" s="25"/>
      <c r="CX458" s="25"/>
      <c r="CY458" s="25"/>
      <c r="CZ458" s="25"/>
      <c r="DA458" s="25"/>
      <c r="DB458" s="25"/>
      <c r="DC458" s="25"/>
      <c r="DD458" s="25"/>
      <c r="DE458" s="25"/>
      <c r="DF458" s="25"/>
      <c r="DG458" s="25"/>
      <c r="DH458" s="25"/>
      <c r="DI458" s="25"/>
      <c r="DJ458" s="25"/>
      <c r="DK458" s="25"/>
      <c r="DL458" s="25"/>
      <c r="DM458" s="25"/>
      <c r="DN458" s="25"/>
      <c r="DO458" s="25"/>
      <c r="DP458" s="25"/>
      <c r="DQ458" s="25"/>
      <c r="DR458" s="25"/>
      <c r="DS458" s="25"/>
      <c r="DT458" s="25"/>
      <c r="DU458" s="25"/>
      <c r="DV458" s="25"/>
      <c r="DW458" s="25"/>
      <c r="DX458" s="25"/>
      <c r="DY458" s="25"/>
      <c r="DZ458" s="25"/>
      <c r="EA458" s="25"/>
      <c r="EB458" s="25"/>
      <c r="EC458" s="25"/>
      <c r="ED458" s="25"/>
      <c r="EE458" s="25"/>
      <c r="EF458" s="25"/>
      <c r="EG458" s="25"/>
      <c r="EH458" s="25"/>
      <c r="EI458" s="25"/>
      <c r="EJ458" s="25"/>
      <c r="EK458" s="25"/>
      <c r="EL458" s="25"/>
      <c r="EM458" s="25"/>
      <c r="EN458" s="25"/>
      <c r="EO458" s="25"/>
      <c r="EP458" s="25"/>
      <c r="EQ458" s="25"/>
      <c r="ER458" s="25"/>
      <c r="ES458" s="25"/>
      <c r="ET458" s="25"/>
      <c r="EU458" s="25"/>
      <c r="EV458" s="25"/>
      <c r="EW458" s="25"/>
      <c r="EX458" s="25"/>
      <c r="EY458" s="25"/>
      <c r="EZ458" s="25"/>
      <c r="FA458" s="25"/>
      <c r="FB458" s="25"/>
      <c r="FC458" s="25"/>
      <c r="FD458" s="25"/>
      <c r="FE458" s="25"/>
      <c r="FF458" s="25"/>
      <c r="FG458" s="25"/>
      <c r="FH458" s="25"/>
      <c r="FI458" s="25"/>
      <c r="FJ458" s="25"/>
      <c r="FK458" s="25"/>
      <c r="FL458" s="25"/>
      <c r="FM458" s="25"/>
      <c r="FN458" s="25"/>
      <c r="FO458" s="25"/>
      <c r="FP458" s="25"/>
      <c r="FQ458" s="25"/>
      <c r="FR458" s="25"/>
      <c r="FS458" s="25"/>
      <c r="FT458" s="25"/>
      <c r="FU458" s="25"/>
      <c r="FV458" s="25"/>
      <c r="FW458" s="25"/>
      <c r="FX458" s="25"/>
      <c r="FY458" s="25"/>
      <c r="FZ458" s="25"/>
      <c r="GA458" s="25"/>
      <c r="GB458" s="25"/>
      <c r="GC458" s="25"/>
      <c r="GD458" s="25"/>
      <c r="GE458" s="25"/>
      <c r="GF458" s="25"/>
      <c r="GG458" s="25"/>
      <c r="GH458" s="25"/>
      <c r="GI458" s="25"/>
      <c r="GJ458" s="25"/>
      <c r="GK458" s="25"/>
      <c r="GL458" s="25"/>
      <c r="GM458" s="25"/>
      <c r="GN458" s="25"/>
      <c r="GO458" s="25"/>
      <c r="GP458" s="25"/>
      <c r="GQ458" s="25"/>
      <c r="GR458" s="25"/>
      <c r="GS458" s="25"/>
      <c r="GT458" s="25"/>
      <c r="GU458" s="25"/>
      <c r="GV458" s="25"/>
      <c r="GW458" s="25"/>
      <c r="GX458" s="25"/>
      <c r="GY458" s="25"/>
      <c r="GZ458" s="25"/>
      <c r="HA458" s="25"/>
      <c r="HB458" s="25"/>
      <c r="HC458" s="25"/>
      <c r="HD458" s="25"/>
      <c r="HE458" s="25"/>
      <c r="HF458" s="25"/>
      <c r="HG458" s="25"/>
      <c r="HH458" s="25"/>
      <c r="HI458" s="25"/>
      <c r="HJ458" s="25"/>
      <c r="HK458" s="25"/>
      <c r="HL458" s="25"/>
      <c r="HM458" s="25"/>
      <c r="HN458" s="25"/>
      <c r="HO458" s="25"/>
      <c r="HP458" s="25"/>
      <c r="HQ458" s="25"/>
      <c r="HR458" s="25"/>
      <c r="HS458" s="25"/>
      <c r="HT458" s="25"/>
      <c r="HU458" s="25"/>
      <c r="HV458" s="25"/>
      <c r="HW458" s="25"/>
      <c r="HX458" s="25"/>
      <c r="HY458" s="25"/>
      <c r="HZ458" s="25"/>
      <c r="IA458" s="25"/>
      <c r="IB458" s="25"/>
      <c r="IC458" s="25"/>
      <c r="ID458" s="25"/>
      <c r="IE458" s="25"/>
      <c r="IF458" s="25"/>
      <c r="IG458" s="25"/>
      <c r="IH458" s="25"/>
      <c r="II458" s="25"/>
      <c r="IJ458" s="25"/>
      <c r="IK458" s="25"/>
      <c r="IL458" s="25"/>
      <c r="IM458" s="25"/>
      <c r="IN458" s="25"/>
      <c r="IO458" s="25"/>
      <c r="IP458" s="25"/>
      <c r="IQ458" s="25"/>
      <c r="IR458" s="25"/>
      <c r="IS458" s="25"/>
      <c r="IT458" s="25"/>
      <c r="IU458" s="25"/>
      <c r="IV458" s="25"/>
      <c r="IW458" s="25"/>
      <c r="IX458" s="25"/>
      <c r="IY458" s="25"/>
      <c r="IZ458" s="25"/>
      <c r="JA458" s="25"/>
      <c r="JB458" s="25"/>
      <c r="JC458" s="25"/>
      <c r="JD458" s="25"/>
      <c r="JE458" s="25"/>
      <c r="JF458" s="25"/>
      <c r="JG458" s="25"/>
      <c r="JH458" s="25"/>
      <c r="JI458" s="25"/>
      <c r="JJ458" s="25"/>
      <c r="JK458" s="25"/>
      <c r="JL458" s="25"/>
      <c r="JM458" s="25"/>
      <c r="JN458" s="25"/>
      <c r="JO458" s="25"/>
      <c r="JP458" s="25"/>
      <c r="JQ458" s="25"/>
      <c r="JR458" s="25"/>
      <c r="JS458" s="25"/>
      <c r="JT458" s="25"/>
      <c r="JU458" s="25"/>
      <c r="JV458" s="25"/>
      <c r="JW458" s="25"/>
      <c r="JX458" s="25"/>
      <c r="JY458" s="25"/>
      <c r="JZ458" s="25"/>
      <c r="KA458" s="25"/>
      <c r="KB458" s="25"/>
      <c r="KC458" s="25"/>
      <c r="KD458" s="25"/>
      <c r="KE458" s="25"/>
      <c r="KF458" s="25"/>
      <c r="KG458" s="25"/>
      <c r="KH458" s="25"/>
      <c r="KI458" s="25"/>
      <c r="KJ458" s="25"/>
      <c r="KK458" s="25"/>
      <c r="KL458" s="25"/>
      <c r="KM458" s="25"/>
      <c r="KN458" s="25"/>
      <c r="KO458" s="25"/>
      <c r="KP458" s="25"/>
      <c r="KQ458" s="25"/>
      <c r="KR458" s="25"/>
      <c r="KS458" s="25"/>
      <c r="KT458" s="25"/>
      <c r="KU458" s="25"/>
      <c r="KV458" s="25"/>
      <c r="KW458" s="25"/>
      <c r="KX458" s="25"/>
      <c r="KY458" s="25"/>
      <c r="KZ458" s="25"/>
      <c r="LA458" s="25"/>
      <c r="LB458" s="25"/>
      <c r="LC458" s="25"/>
      <c r="LD458" s="25"/>
      <c r="LE458" s="25"/>
      <c r="LF458" s="25"/>
      <c r="LG458" s="25"/>
      <c r="LH458" s="25"/>
      <c r="LI458" s="25"/>
      <c r="LJ458" s="25"/>
      <c r="LK458" s="25"/>
      <c r="LL458" s="25"/>
      <c r="LM458" s="25"/>
      <c r="LN458" s="25"/>
      <c r="LO458" s="25"/>
      <c r="LP458" s="25"/>
      <c r="LQ458" s="25"/>
      <c r="LR458" s="25"/>
      <c r="LS458" s="25"/>
      <c r="LT458" s="25"/>
      <c r="LU458" s="25"/>
      <c r="LV458" s="25"/>
      <c r="LW458" s="25"/>
      <c r="LX458" s="25"/>
      <c r="LY458" s="25"/>
      <c r="LZ458" s="25"/>
      <c r="MA458" s="25"/>
      <c r="MB458" s="25"/>
      <c r="MC458" s="25"/>
      <c r="MD458" s="25"/>
      <c r="ME458" s="25"/>
      <c r="MF458" s="25"/>
      <c r="MG458" s="25"/>
      <c r="MH458" s="25"/>
      <c r="MI458" s="25"/>
      <c r="MJ458" s="25"/>
      <c r="MK458" s="25"/>
      <c r="ML458" s="25"/>
      <c r="MM458" s="25"/>
      <c r="MN458" s="25"/>
      <c r="MO458" s="25"/>
      <c r="MP458" s="25"/>
      <c r="MQ458" s="25"/>
      <c r="MR458" s="25"/>
      <c r="MS458" s="25"/>
      <c r="MT458" s="25"/>
      <c r="MU458" s="25"/>
      <c r="MV458" s="25"/>
      <c r="MW458" s="25"/>
      <c r="MX458" s="25"/>
      <c r="MY458" s="25"/>
      <c r="MZ458" s="25"/>
      <c r="NA458" s="25"/>
      <c r="NB458" s="25"/>
      <c r="NC458" s="25"/>
      <c r="ND458" s="25"/>
      <c r="NE458" s="25"/>
      <c r="NF458" s="25"/>
      <c r="NG458" s="25"/>
      <c r="NH458" s="25"/>
      <c r="NI458" s="25"/>
      <c r="NJ458" s="25"/>
      <c r="NK458" s="25"/>
      <c r="NL458" s="25"/>
      <c r="NM458" s="25"/>
      <c r="NN458" s="25"/>
      <c r="NO458" s="25"/>
      <c r="NP458" s="25"/>
      <c r="NQ458" s="25"/>
      <c r="NR458" s="25"/>
      <c r="NS458" s="25"/>
      <c r="NT458" s="25"/>
      <c r="NU458" s="25"/>
      <c r="NV458" s="25"/>
      <c r="NW458" s="25"/>
      <c r="NX458" s="25"/>
      <c r="NY458" s="25"/>
      <c r="NZ458" s="25"/>
      <c r="OA458" s="25"/>
      <c r="OB458" s="25"/>
      <c r="OC458" s="25"/>
      <c r="OD458" s="25"/>
      <c r="OE458" s="25"/>
      <c r="OF458" s="25"/>
      <c r="OG458" s="25"/>
      <c r="OH458" s="25"/>
      <c r="OI458" s="25"/>
      <c r="OJ458" s="25"/>
      <c r="OK458" s="25"/>
      <c r="OL458" s="25"/>
      <c r="OM458" s="25"/>
      <c r="ON458" s="25"/>
      <c r="OO458" s="25"/>
      <c r="OP458" s="25"/>
      <c r="OQ458" s="25"/>
      <c r="OR458" s="25"/>
      <c r="OS458" s="25"/>
      <c r="OT458" s="25"/>
      <c r="OU458" s="25"/>
      <c r="OV458" s="25"/>
      <c r="OW458" s="25"/>
      <c r="OX458" s="25"/>
      <c r="OY458" s="25"/>
      <c r="OZ458" s="25"/>
      <c r="PA458" s="25"/>
      <c r="PB458" s="25"/>
      <c r="PC458" s="25"/>
      <c r="PD458" s="25"/>
      <c r="PE458" s="25"/>
      <c r="PF458" s="25"/>
      <c r="PG458" s="25"/>
      <c r="PH458" s="25"/>
      <c r="PI458" s="25"/>
      <c r="PJ458" s="25"/>
      <c r="PK458" s="25"/>
      <c r="PL458" s="25"/>
      <c r="PM458" s="25"/>
      <c r="PN458" s="25"/>
      <c r="PO458" s="25"/>
      <c r="PP458" s="25"/>
      <c r="PQ458" s="25"/>
      <c r="PR458" s="25"/>
      <c r="PS458" s="25"/>
      <c r="PT458" s="25"/>
      <c r="PU458" s="25"/>
      <c r="PV458" s="25"/>
      <c r="PW458" s="25"/>
      <c r="PX458" s="25"/>
      <c r="PY458" s="25"/>
      <c r="PZ458" s="25"/>
      <c r="QA458" s="25"/>
      <c r="QB458" s="25"/>
      <c r="QC458" s="25"/>
      <c r="QD458" s="25"/>
      <c r="QE458" s="25"/>
      <c r="QF458" s="25"/>
      <c r="QG458" s="25"/>
      <c r="QH458" s="25"/>
      <c r="QI458" s="25"/>
      <c r="QJ458" s="25"/>
      <c r="QK458" s="25"/>
      <c r="QL458" s="25"/>
      <c r="QM458" s="25"/>
      <c r="QN458" s="25"/>
      <c r="QO458" s="25"/>
      <c r="QP458" s="25"/>
      <c r="QQ458" s="25"/>
      <c r="QR458" s="25"/>
      <c r="QS458" s="25"/>
      <c r="QT458" s="25"/>
      <c r="QU458" s="25"/>
      <c r="QV458" s="25"/>
      <c r="QW458" s="25"/>
      <c r="QX458" s="25"/>
      <c r="QY458" s="25"/>
      <c r="QZ458" s="25"/>
      <c r="RA458" s="25"/>
      <c r="RB458" s="25"/>
      <c r="RC458" s="25"/>
      <c r="RD458" s="25"/>
      <c r="RE458" s="25"/>
      <c r="RF458" s="25"/>
      <c r="RG458" s="25"/>
      <c r="RH458" s="25"/>
      <c r="RI458" s="25"/>
      <c r="RJ458" s="25"/>
      <c r="RK458" s="25"/>
      <c r="RL458" s="25"/>
      <c r="RM458" s="25"/>
      <c r="RN458" s="25"/>
      <c r="RO458" s="25"/>
      <c r="RP458" s="25"/>
      <c r="RQ458" s="25"/>
      <c r="RR458" s="25"/>
      <c r="RS458" s="25"/>
      <c r="RT458" s="25"/>
      <c r="RU458" s="25"/>
      <c r="RV458" s="25"/>
      <c r="RW458" s="25"/>
      <c r="RX458" s="25"/>
      <c r="RY458" s="25"/>
      <c r="RZ458" s="25"/>
      <c r="SA458" s="25"/>
      <c r="SB458" s="25"/>
      <c r="SC458" s="25"/>
      <c r="SD458" s="25"/>
      <c r="SE458" s="25"/>
      <c r="SF458" s="25"/>
      <c r="SG458" s="25"/>
      <c r="SH458" s="25"/>
      <c r="SI458" s="25"/>
      <c r="SJ458" s="25"/>
      <c r="SK458" s="25"/>
      <c r="SL458" s="25"/>
      <c r="SM458" s="25"/>
      <c r="SN458" s="25"/>
      <c r="SO458" s="25"/>
      <c r="SP458" s="25"/>
      <c r="SQ458" s="25"/>
      <c r="SR458" s="25"/>
      <c r="SS458" s="25"/>
      <c r="ST458" s="25"/>
      <c r="SU458" s="25"/>
      <c r="SV458" s="25"/>
      <c r="SW458" s="25"/>
      <c r="SX458" s="25"/>
      <c r="SY458" s="25"/>
      <c r="SZ458" s="25"/>
      <c r="TA458" s="25"/>
      <c r="TB458" s="25"/>
      <c r="TC458" s="25"/>
      <c r="TD458" s="25"/>
      <c r="TE458" s="25"/>
      <c r="TF458" s="25"/>
      <c r="TG458" s="25"/>
      <c r="TH458" s="25"/>
      <c r="TI458" s="25"/>
      <c r="TJ458" s="25"/>
      <c r="TK458" s="25"/>
      <c r="TL458" s="25"/>
      <c r="TM458" s="25"/>
      <c r="TN458" s="25"/>
      <c r="TO458" s="25"/>
      <c r="TP458" s="25"/>
      <c r="TQ458" s="25"/>
      <c r="TR458" s="25"/>
      <c r="TS458" s="25"/>
      <c r="TT458" s="25"/>
      <c r="TU458" s="25"/>
      <c r="TV458" s="25"/>
      <c r="TW458" s="25"/>
      <c r="TX458" s="25"/>
      <c r="TY458" s="25"/>
      <c r="TZ458" s="25"/>
      <c r="UA458" s="25"/>
      <c r="UB458" s="25"/>
      <c r="UC458" s="25"/>
      <c r="UD458" s="25"/>
      <c r="UE458" s="25"/>
      <c r="UF458" s="25"/>
      <c r="UG458" s="26"/>
    </row>
    <row r="459" spans="1:553" ht="51" customHeight="1">
      <c r="A459" s="356" t="s">
        <v>15</v>
      </c>
      <c r="B459" s="398" t="s">
        <v>295</v>
      </c>
      <c r="C459" s="1404" t="s">
        <v>916</v>
      </c>
      <c r="D459" s="1389"/>
      <c r="E459" s="1389"/>
      <c r="F459" s="1390"/>
      <c r="G459" s="386" t="s">
        <v>935</v>
      </c>
      <c r="H459" s="370"/>
      <c r="I459" s="834">
        <f>2.4*2.8</f>
        <v>6.72</v>
      </c>
      <c r="J459" s="368">
        <v>1000000</v>
      </c>
      <c r="K459" s="371"/>
      <c r="L459" s="391">
        <f t="shared" si="87"/>
        <v>6720000</v>
      </c>
      <c r="M459" s="395"/>
      <c r="N459" s="395"/>
      <c r="O459" s="366"/>
      <c r="P459" s="396"/>
      <c r="Q459" s="473"/>
      <c r="R459" s="1039"/>
      <c r="S459" s="308"/>
      <c r="T459" s="303"/>
      <c r="U459" s="306"/>
      <c r="V459" s="307"/>
      <c r="W459" s="306"/>
      <c r="X459" s="306"/>
      <c r="Y459" s="306"/>
      <c r="Z459" s="306"/>
      <c r="AA459" s="306"/>
      <c r="AB459" s="306"/>
      <c r="AC459" s="449"/>
      <c r="AD459" s="449"/>
      <c r="AE459" s="449"/>
      <c r="AF459" s="449"/>
      <c r="AG459" s="452"/>
      <c r="AH459" s="452"/>
      <c r="AI459" s="452"/>
      <c r="AJ459" s="452"/>
      <c r="AK459" s="452"/>
      <c r="AL459" s="104"/>
      <c r="AM459" s="32"/>
      <c r="AN459" s="32"/>
      <c r="AO459" s="32"/>
      <c r="AP459" s="32"/>
      <c r="AQ459" s="31"/>
      <c r="AR459" s="31"/>
      <c r="AS459" s="31"/>
      <c r="AT459" s="31"/>
      <c r="AU459" s="31"/>
      <c r="AV459" s="31"/>
      <c r="AW459" s="31"/>
      <c r="AX459" s="31"/>
      <c r="AY459" s="31"/>
      <c r="AZ459" s="31"/>
      <c r="BA459" s="31"/>
      <c r="BB459" s="31"/>
      <c r="BC459" s="31"/>
      <c r="BD459" s="31"/>
      <c r="BE459" s="31"/>
      <c r="BF459" s="31"/>
      <c r="BG459" s="31"/>
      <c r="BH459" s="31"/>
      <c r="BI459" s="31"/>
      <c r="BJ459" s="31"/>
      <c r="BK459" s="31"/>
      <c r="BL459" s="31"/>
      <c r="BM459" s="25"/>
      <c r="BN459" s="25"/>
      <c r="BO459" s="25"/>
      <c r="BP459" s="25"/>
      <c r="BQ459" s="25"/>
      <c r="BR459" s="25"/>
      <c r="BS459" s="25"/>
      <c r="BT459" s="25"/>
      <c r="BU459" s="25"/>
      <c r="BV459" s="25"/>
      <c r="BW459" s="25"/>
      <c r="BX459" s="25"/>
      <c r="BY459" s="25"/>
      <c r="BZ459" s="25"/>
      <c r="CA459" s="25"/>
      <c r="CB459" s="25"/>
      <c r="CC459" s="25"/>
      <c r="CD459" s="25"/>
      <c r="CE459" s="25"/>
      <c r="CF459" s="25"/>
      <c r="CG459" s="25"/>
      <c r="CH459" s="25"/>
      <c r="CI459" s="25"/>
      <c r="CJ459" s="25"/>
      <c r="CK459" s="25"/>
      <c r="CL459" s="25"/>
      <c r="CM459" s="25"/>
      <c r="CN459" s="25"/>
      <c r="CO459" s="25"/>
      <c r="CP459" s="25"/>
      <c r="CQ459" s="25"/>
      <c r="CR459" s="25"/>
      <c r="CS459" s="25"/>
      <c r="CT459" s="25"/>
      <c r="CU459" s="25"/>
      <c r="CV459" s="25"/>
      <c r="CW459" s="25"/>
      <c r="CX459" s="25"/>
      <c r="CY459" s="25"/>
      <c r="CZ459" s="25"/>
      <c r="DA459" s="25"/>
      <c r="DB459" s="25"/>
      <c r="DC459" s="25"/>
      <c r="DD459" s="25"/>
      <c r="DE459" s="25"/>
      <c r="DF459" s="25"/>
      <c r="DG459" s="25"/>
      <c r="DH459" s="25"/>
      <c r="DI459" s="25"/>
      <c r="DJ459" s="25"/>
      <c r="DK459" s="25"/>
      <c r="DL459" s="25"/>
      <c r="DM459" s="25"/>
      <c r="DN459" s="25"/>
      <c r="DO459" s="25"/>
      <c r="DP459" s="25"/>
      <c r="DQ459" s="25"/>
      <c r="DR459" s="25"/>
      <c r="DS459" s="25"/>
      <c r="DT459" s="25"/>
      <c r="DU459" s="25"/>
      <c r="DV459" s="25"/>
      <c r="DW459" s="25"/>
      <c r="DX459" s="25"/>
      <c r="DY459" s="25"/>
      <c r="DZ459" s="25"/>
      <c r="EA459" s="25"/>
      <c r="EB459" s="25"/>
      <c r="EC459" s="25"/>
      <c r="ED459" s="25"/>
      <c r="EE459" s="25"/>
      <c r="EF459" s="25"/>
      <c r="EG459" s="25"/>
      <c r="EH459" s="25"/>
      <c r="EI459" s="25"/>
      <c r="EJ459" s="25"/>
      <c r="EK459" s="25"/>
      <c r="EL459" s="25"/>
      <c r="EM459" s="25"/>
      <c r="EN459" s="25"/>
      <c r="EO459" s="25"/>
      <c r="EP459" s="25"/>
      <c r="EQ459" s="25"/>
      <c r="ER459" s="25"/>
      <c r="ES459" s="25"/>
      <c r="ET459" s="25"/>
      <c r="EU459" s="25"/>
      <c r="EV459" s="25"/>
      <c r="EW459" s="25"/>
      <c r="EX459" s="25"/>
      <c r="EY459" s="25"/>
      <c r="EZ459" s="25"/>
      <c r="FA459" s="25"/>
      <c r="FB459" s="25"/>
      <c r="FC459" s="25"/>
      <c r="FD459" s="25"/>
      <c r="FE459" s="25"/>
      <c r="FF459" s="25"/>
      <c r="FG459" s="25"/>
      <c r="FH459" s="25"/>
      <c r="FI459" s="25"/>
      <c r="FJ459" s="25"/>
      <c r="FK459" s="25"/>
      <c r="FL459" s="25"/>
      <c r="FM459" s="25"/>
      <c r="FN459" s="25"/>
      <c r="FO459" s="25"/>
      <c r="FP459" s="25"/>
      <c r="FQ459" s="25"/>
      <c r="FR459" s="25"/>
      <c r="FS459" s="25"/>
      <c r="FT459" s="25"/>
      <c r="FU459" s="25"/>
      <c r="FV459" s="25"/>
      <c r="FW459" s="25"/>
      <c r="FX459" s="25"/>
      <c r="FY459" s="25"/>
      <c r="FZ459" s="25"/>
      <c r="GA459" s="25"/>
      <c r="GB459" s="25"/>
      <c r="GC459" s="25"/>
      <c r="GD459" s="25"/>
      <c r="GE459" s="25"/>
      <c r="GF459" s="25"/>
      <c r="GG459" s="25"/>
      <c r="GH459" s="25"/>
      <c r="GI459" s="25"/>
      <c r="GJ459" s="25"/>
      <c r="GK459" s="25"/>
      <c r="GL459" s="25"/>
      <c r="GM459" s="25"/>
      <c r="GN459" s="25"/>
      <c r="GO459" s="25"/>
      <c r="GP459" s="25"/>
      <c r="GQ459" s="25"/>
      <c r="GR459" s="25"/>
      <c r="GS459" s="25"/>
      <c r="GT459" s="25"/>
      <c r="GU459" s="25"/>
      <c r="GV459" s="25"/>
      <c r="GW459" s="25"/>
      <c r="GX459" s="25"/>
      <c r="GY459" s="25"/>
      <c r="GZ459" s="25"/>
      <c r="HA459" s="25"/>
      <c r="HB459" s="25"/>
      <c r="HC459" s="25"/>
      <c r="HD459" s="25"/>
      <c r="HE459" s="25"/>
      <c r="HF459" s="25"/>
      <c r="HG459" s="25"/>
      <c r="HH459" s="25"/>
      <c r="HI459" s="25"/>
      <c r="HJ459" s="25"/>
      <c r="HK459" s="25"/>
      <c r="HL459" s="25"/>
      <c r="HM459" s="25"/>
      <c r="HN459" s="25"/>
      <c r="HO459" s="25"/>
      <c r="HP459" s="25"/>
      <c r="HQ459" s="25"/>
      <c r="HR459" s="25"/>
      <c r="HS459" s="25"/>
      <c r="HT459" s="25"/>
      <c r="HU459" s="25"/>
      <c r="HV459" s="25"/>
      <c r="HW459" s="25"/>
      <c r="HX459" s="25"/>
      <c r="HY459" s="25"/>
      <c r="HZ459" s="25"/>
      <c r="IA459" s="25"/>
      <c r="IB459" s="25"/>
      <c r="IC459" s="25"/>
      <c r="ID459" s="25"/>
      <c r="IE459" s="25"/>
      <c r="IF459" s="25"/>
      <c r="IG459" s="25"/>
      <c r="IH459" s="25"/>
      <c r="II459" s="25"/>
      <c r="IJ459" s="25"/>
      <c r="IK459" s="25"/>
      <c r="IL459" s="25"/>
      <c r="IM459" s="25"/>
      <c r="IN459" s="25"/>
      <c r="IO459" s="25"/>
      <c r="IP459" s="25"/>
      <c r="IQ459" s="25"/>
      <c r="IR459" s="25"/>
      <c r="IS459" s="25"/>
      <c r="IT459" s="25"/>
      <c r="IU459" s="25"/>
      <c r="IV459" s="25"/>
      <c r="IW459" s="25"/>
      <c r="IX459" s="25"/>
      <c r="IY459" s="25"/>
      <c r="IZ459" s="25"/>
      <c r="JA459" s="25"/>
      <c r="JB459" s="25"/>
      <c r="JC459" s="25"/>
      <c r="JD459" s="25"/>
      <c r="JE459" s="25"/>
      <c r="JF459" s="25"/>
      <c r="JG459" s="25"/>
      <c r="JH459" s="25"/>
      <c r="JI459" s="25"/>
      <c r="JJ459" s="25"/>
      <c r="JK459" s="25"/>
      <c r="JL459" s="25"/>
      <c r="JM459" s="25"/>
      <c r="JN459" s="25"/>
      <c r="JO459" s="25"/>
      <c r="JP459" s="25"/>
      <c r="JQ459" s="25"/>
      <c r="JR459" s="25"/>
      <c r="JS459" s="25"/>
      <c r="JT459" s="25"/>
      <c r="JU459" s="25"/>
      <c r="JV459" s="25"/>
      <c r="JW459" s="25"/>
      <c r="JX459" s="25"/>
      <c r="JY459" s="25"/>
      <c r="JZ459" s="25"/>
      <c r="KA459" s="25"/>
      <c r="KB459" s="25"/>
      <c r="KC459" s="25"/>
      <c r="KD459" s="25"/>
      <c r="KE459" s="25"/>
      <c r="KF459" s="25"/>
      <c r="KG459" s="25"/>
      <c r="KH459" s="25"/>
      <c r="KI459" s="25"/>
      <c r="KJ459" s="25"/>
      <c r="KK459" s="25"/>
      <c r="KL459" s="25"/>
      <c r="KM459" s="25"/>
      <c r="KN459" s="25"/>
      <c r="KO459" s="25"/>
      <c r="KP459" s="25"/>
      <c r="KQ459" s="25"/>
      <c r="KR459" s="25"/>
      <c r="KS459" s="25"/>
      <c r="KT459" s="25"/>
      <c r="KU459" s="25"/>
      <c r="KV459" s="25"/>
      <c r="KW459" s="25"/>
      <c r="KX459" s="25"/>
      <c r="KY459" s="25"/>
      <c r="KZ459" s="25"/>
      <c r="LA459" s="25"/>
      <c r="LB459" s="25"/>
      <c r="LC459" s="25"/>
      <c r="LD459" s="25"/>
      <c r="LE459" s="25"/>
      <c r="LF459" s="25"/>
      <c r="LG459" s="25"/>
      <c r="LH459" s="25"/>
      <c r="LI459" s="25"/>
      <c r="LJ459" s="25"/>
      <c r="LK459" s="25"/>
      <c r="LL459" s="25"/>
      <c r="LM459" s="25"/>
      <c r="LN459" s="25"/>
      <c r="LO459" s="25"/>
      <c r="LP459" s="25"/>
      <c r="LQ459" s="25"/>
      <c r="LR459" s="25"/>
      <c r="LS459" s="25"/>
      <c r="LT459" s="25"/>
      <c r="LU459" s="25"/>
      <c r="LV459" s="25"/>
      <c r="LW459" s="25"/>
      <c r="LX459" s="25"/>
      <c r="LY459" s="25"/>
      <c r="LZ459" s="25"/>
      <c r="MA459" s="25"/>
      <c r="MB459" s="25"/>
      <c r="MC459" s="25"/>
      <c r="MD459" s="25"/>
      <c r="ME459" s="25"/>
      <c r="MF459" s="25"/>
      <c r="MG459" s="25"/>
      <c r="MH459" s="25"/>
      <c r="MI459" s="25"/>
      <c r="MJ459" s="25"/>
      <c r="MK459" s="25"/>
      <c r="ML459" s="25"/>
      <c r="MM459" s="25"/>
      <c r="MN459" s="25"/>
      <c r="MO459" s="25"/>
      <c r="MP459" s="25"/>
      <c r="MQ459" s="25"/>
      <c r="MR459" s="25"/>
      <c r="MS459" s="25"/>
      <c r="MT459" s="25"/>
      <c r="MU459" s="25"/>
      <c r="MV459" s="25"/>
      <c r="MW459" s="25"/>
      <c r="MX459" s="25"/>
      <c r="MY459" s="25"/>
      <c r="MZ459" s="25"/>
      <c r="NA459" s="25"/>
      <c r="NB459" s="25"/>
      <c r="NC459" s="25"/>
      <c r="ND459" s="25"/>
      <c r="NE459" s="25"/>
      <c r="NF459" s="25"/>
      <c r="NG459" s="25"/>
      <c r="NH459" s="25"/>
      <c r="NI459" s="25"/>
      <c r="NJ459" s="25"/>
      <c r="NK459" s="25"/>
      <c r="NL459" s="25"/>
      <c r="NM459" s="25"/>
      <c r="NN459" s="25"/>
      <c r="NO459" s="25"/>
      <c r="NP459" s="25"/>
      <c r="NQ459" s="25"/>
      <c r="NR459" s="25"/>
      <c r="NS459" s="25"/>
      <c r="NT459" s="25"/>
      <c r="NU459" s="25"/>
      <c r="NV459" s="25"/>
      <c r="NW459" s="25"/>
      <c r="NX459" s="25"/>
      <c r="NY459" s="25"/>
      <c r="NZ459" s="25"/>
      <c r="OA459" s="25"/>
      <c r="OB459" s="25"/>
      <c r="OC459" s="25"/>
      <c r="OD459" s="25"/>
      <c r="OE459" s="25"/>
      <c r="OF459" s="25"/>
      <c r="OG459" s="25"/>
      <c r="OH459" s="25"/>
      <c r="OI459" s="25"/>
      <c r="OJ459" s="25"/>
      <c r="OK459" s="25"/>
      <c r="OL459" s="25"/>
      <c r="OM459" s="25"/>
      <c r="ON459" s="25"/>
      <c r="OO459" s="25"/>
      <c r="OP459" s="25"/>
      <c r="OQ459" s="25"/>
      <c r="OR459" s="25"/>
      <c r="OS459" s="25"/>
      <c r="OT459" s="25"/>
      <c r="OU459" s="25"/>
      <c r="OV459" s="25"/>
      <c r="OW459" s="25"/>
      <c r="OX459" s="25"/>
      <c r="OY459" s="25"/>
      <c r="OZ459" s="25"/>
      <c r="PA459" s="25"/>
      <c r="PB459" s="25"/>
      <c r="PC459" s="25"/>
      <c r="PD459" s="25"/>
      <c r="PE459" s="25"/>
      <c r="PF459" s="25"/>
      <c r="PG459" s="25"/>
      <c r="PH459" s="25"/>
      <c r="PI459" s="25"/>
      <c r="PJ459" s="25"/>
      <c r="PK459" s="25"/>
      <c r="PL459" s="25"/>
      <c r="PM459" s="25"/>
      <c r="PN459" s="25"/>
      <c r="PO459" s="25"/>
      <c r="PP459" s="25"/>
      <c r="PQ459" s="25"/>
      <c r="PR459" s="25"/>
      <c r="PS459" s="25"/>
      <c r="PT459" s="25"/>
      <c r="PU459" s="25"/>
      <c r="PV459" s="25"/>
      <c r="PW459" s="25"/>
      <c r="PX459" s="25"/>
      <c r="PY459" s="25"/>
      <c r="PZ459" s="25"/>
      <c r="QA459" s="25"/>
      <c r="QB459" s="25"/>
      <c r="QC459" s="25"/>
      <c r="QD459" s="25"/>
      <c r="QE459" s="25"/>
      <c r="QF459" s="25"/>
      <c r="QG459" s="25"/>
      <c r="QH459" s="25"/>
      <c r="QI459" s="25"/>
      <c r="QJ459" s="25"/>
      <c r="QK459" s="25"/>
      <c r="QL459" s="25"/>
      <c r="QM459" s="25"/>
      <c r="QN459" s="25"/>
      <c r="QO459" s="25"/>
      <c r="QP459" s="25"/>
      <c r="QQ459" s="25"/>
      <c r="QR459" s="25"/>
      <c r="QS459" s="25"/>
      <c r="QT459" s="25"/>
      <c r="QU459" s="25"/>
      <c r="QV459" s="25"/>
      <c r="QW459" s="25"/>
      <c r="QX459" s="25"/>
      <c r="QY459" s="25"/>
      <c r="QZ459" s="25"/>
      <c r="RA459" s="25"/>
      <c r="RB459" s="25"/>
      <c r="RC459" s="25"/>
      <c r="RD459" s="25"/>
      <c r="RE459" s="25"/>
      <c r="RF459" s="25"/>
      <c r="RG459" s="25"/>
      <c r="RH459" s="25"/>
      <c r="RI459" s="25"/>
      <c r="RJ459" s="25"/>
      <c r="RK459" s="25"/>
      <c r="RL459" s="25"/>
      <c r="RM459" s="25"/>
      <c r="RN459" s="25"/>
      <c r="RO459" s="25"/>
      <c r="RP459" s="25"/>
      <c r="RQ459" s="25"/>
      <c r="RR459" s="25"/>
      <c r="RS459" s="25"/>
      <c r="RT459" s="25"/>
      <c r="RU459" s="25"/>
      <c r="RV459" s="25"/>
      <c r="RW459" s="25"/>
      <c r="RX459" s="25"/>
      <c r="RY459" s="25"/>
      <c r="RZ459" s="25"/>
      <c r="SA459" s="25"/>
      <c r="SB459" s="25"/>
      <c r="SC459" s="25"/>
      <c r="SD459" s="25"/>
      <c r="SE459" s="25"/>
      <c r="SF459" s="25"/>
      <c r="SG459" s="25"/>
      <c r="SH459" s="25"/>
      <c r="SI459" s="25"/>
      <c r="SJ459" s="25"/>
      <c r="SK459" s="25"/>
      <c r="SL459" s="25"/>
      <c r="SM459" s="25"/>
      <c r="SN459" s="25"/>
      <c r="SO459" s="25"/>
      <c r="SP459" s="25"/>
      <c r="SQ459" s="25"/>
      <c r="SR459" s="25"/>
      <c r="SS459" s="25"/>
      <c r="ST459" s="25"/>
      <c r="SU459" s="25"/>
      <c r="SV459" s="25"/>
      <c r="SW459" s="25"/>
      <c r="SX459" s="25"/>
      <c r="SY459" s="25"/>
      <c r="SZ459" s="25"/>
      <c r="TA459" s="25"/>
      <c r="TB459" s="25"/>
      <c r="TC459" s="25"/>
      <c r="TD459" s="25"/>
      <c r="TE459" s="25"/>
      <c r="TF459" s="25"/>
      <c r="TG459" s="25"/>
      <c r="TH459" s="25"/>
      <c r="TI459" s="25"/>
      <c r="TJ459" s="25"/>
      <c r="TK459" s="25"/>
      <c r="TL459" s="25"/>
      <c r="TM459" s="25"/>
      <c r="TN459" s="25"/>
      <c r="TO459" s="25"/>
      <c r="TP459" s="25"/>
      <c r="TQ459" s="25"/>
      <c r="TR459" s="25"/>
      <c r="TS459" s="25"/>
      <c r="TT459" s="25"/>
      <c r="TU459" s="25"/>
      <c r="TV459" s="25"/>
      <c r="TW459" s="25"/>
      <c r="TX459" s="25"/>
      <c r="TY459" s="25"/>
      <c r="TZ459" s="25"/>
      <c r="UA459" s="25"/>
      <c r="UB459" s="25"/>
      <c r="UC459" s="25"/>
      <c r="UD459" s="25"/>
      <c r="UE459" s="25"/>
      <c r="UF459" s="25"/>
      <c r="UG459" s="26"/>
    </row>
    <row r="460" spans="1:553" ht="64.5" customHeight="1">
      <c r="A460" s="356" t="s">
        <v>15</v>
      </c>
      <c r="B460" s="398" t="s">
        <v>41</v>
      </c>
      <c r="C460" s="1404" t="s">
        <v>917</v>
      </c>
      <c r="D460" s="1389"/>
      <c r="E460" s="1389"/>
      <c r="F460" s="1390"/>
      <c r="G460" s="386" t="s">
        <v>935</v>
      </c>
      <c r="H460" s="370"/>
      <c r="I460" s="834">
        <f>1.2*1.6</f>
        <v>1.92</v>
      </c>
      <c r="J460" s="368">
        <v>3900000</v>
      </c>
      <c r="K460" s="371"/>
      <c r="L460" s="391">
        <f t="shared" si="87"/>
        <v>7488000</v>
      </c>
      <c r="M460" s="395"/>
      <c r="N460" s="395"/>
      <c r="O460" s="366"/>
      <c r="P460" s="396"/>
      <c r="Q460" s="473"/>
      <c r="R460" s="1039"/>
      <c r="S460" s="308"/>
      <c r="T460" s="303"/>
      <c r="U460" s="306"/>
      <c r="V460" s="307"/>
      <c r="W460" s="306"/>
      <c r="X460" s="306"/>
      <c r="Y460" s="306"/>
      <c r="Z460" s="306"/>
      <c r="AA460" s="306"/>
      <c r="AB460" s="306"/>
      <c r="AC460" s="449"/>
      <c r="AD460" s="449"/>
      <c r="AE460" s="449"/>
      <c r="AF460" s="449"/>
      <c r="AG460" s="452"/>
      <c r="AH460" s="452"/>
      <c r="AI460" s="452"/>
      <c r="AJ460" s="452"/>
      <c r="AK460" s="452"/>
      <c r="AL460" s="104"/>
      <c r="AM460" s="32"/>
      <c r="AN460" s="32"/>
      <c r="AO460" s="32"/>
      <c r="AP460" s="32"/>
      <c r="AQ460" s="31"/>
      <c r="AR460" s="31"/>
      <c r="AS460" s="31"/>
      <c r="AT460" s="31"/>
      <c r="AU460" s="31"/>
      <c r="AV460" s="31"/>
      <c r="AW460" s="31"/>
      <c r="AX460" s="31"/>
      <c r="AY460" s="31"/>
      <c r="AZ460" s="31"/>
      <c r="BA460" s="31"/>
      <c r="BB460" s="31"/>
      <c r="BC460" s="31"/>
      <c r="BD460" s="31"/>
      <c r="BE460" s="31"/>
      <c r="BF460" s="31"/>
      <c r="BG460" s="31"/>
      <c r="BH460" s="31"/>
      <c r="BI460" s="31"/>
      <c r="BJ460" s="31"/>
      <c r="BK460" s="31"/>
      <c r="BL460" s="31"/>
      <c r="BM460" s="25"/>
      <c r="BN460" s="25"/>
      <c r="BO460" s="25"/>
      <c r="BP460" s="25"/>
      <c r="BQ460" s="25"/>
      <c r="BR460" s="25"/>
      <c r="BS460" s="25"/>
      <c r="BT460" s="25"/>
      <c r="BU460" s="25"/>
      <c r="BV460" s="25"/>
      <c r="BW460" s="25"/>
      <c r="BX460" s="25"/>
      <c r="BY460" s="25"/>
      <c r="BZ460" s="25"/>
      <c r="CA460" s="25"/>
      <c r="CB460" s="25"/>
      <c r="CC460" s="25"/>
      <c r="CD460" s="25"/>
      <c r="CE460" s="25"/>
      <c r="CF460" s="25"/>
      <c r="CG460" s="25"/>
      <c r="CH460" s="25"/>
      <c r="CI460" s="25"/>
      <c r="CJ460" s="25"/>
      <c r="CK460" s="25"/>
      <c r="CL460" s="25"/>
      <c r="CM460" s="25"/>
      <c r="CN460" s="25"/>
      <c r="CO460" s="25"/>
      <c r="CP460" s="25"/>
      <c r="CQ460" s="25"/>
      <c r="CR460" s="25"/>
      <c r="CS460" s="25"/>
      <c r="CT460" s="25"/>
      <c r="CU460" s="25"/>
      <c r="CV460" s="25"/>
      <c r="CW460" s="25"/>
      <c r="CX460" s="25"/>
      <c r="CY460" s="25"/>
      <c r="CZ460" s="25"/>
      <c r="DA460" s="25"/>
      <c r="DB460" s="25"/>
      <c r="DC460" s="25"/>
      <c r="DD460" s="25"/>
      <c r="DE460" s="25"/>
      <c r="DF460" s="25"/>
      <c r="DG460" s="25"/>
      <c r="DH460" s="25"/>
      <c r="DI460" s="25"/>
      <c r="DJ460" s="25"/>
      <c r="DK460" s="25"/>
      <c r="DL460" s="25"/>
      <c r="DM460" s="25"/>
      <c r="DN460" s="25"/>
      <c r="DO460" s="25"/>
      <c r="DP460" s="25"/>
      <c r="DQ460" s="25"/>
      <c r="DR460" s="25"/>
      <c r="DS460" s="25"/>
      <c r="DT460" s="25"/>
      <c r="DU460" s="25"/>
      <c r="DV460" s="25"/>
      <c r="DW460" s="25"/>
      <c r="DX460" s="25"/>
      <c r="DY460" s="25"/>
      <c r="DZ460" s="25"/>
      <c r="EA460" s="25"/>
      <c r="EB460" s="25"/>
      <c r="EC460" s="25"/>
      <c r="ED460" s="25"/>
      <c r="EE460" s="25"/>
      <c r="EF460" s="25"/>
      <c r="EG460" s="25"/>
      <c r="EH460" s="25"/>
      <c r="EI460" s="25"/>
      <c r="EJ460" s="25"/>
      <c r="EK460" s="25"/>
      <c r="EL460" s="25"/>
      <c r="EM460" s="25"/>
      <c r="EN460" s="25"/>
      <c r="EO460" s="25"/>
      <c r="EP460" s="25"/>
      <c r="EQ460" s="25"/>
      <c r="ER460" s="25"/>
      <c r="ES460" s="25"/>
      <c r="ET460" s="25"/>
      <c r="EU460" s="25"/>
      <c r="EV460" s="25"/>
      <c r="EW460" s="25"/>
      <c r="EX460" s="25"/>
      <c r="EY460" s="25"/>
      <c r="EZ460" s="25"/>
      <c r="FA460" s="25"/>
      <c r="FB460" s="25"/>
      <c r="FC460" s="25"/>
      <c r="FD460" s="25"/>
      <c r="FE460" s="25"/>
      <c r="FF460" s="25"/>
      <c r="FG460" s="25"/>
      <c r="FH460" s="25"/>
      <c r="FI460" s="25"/>
      <c r="FJ460" s="25"/>
      <c r="FK460" s="25"/>
      <c r="FL460" s="25"/>
      <c r="FM460" s="25"/>
      <c r="FN460" s="25"/>
      <c r="FO460" s="25"/>
      <c r="FP460" s="25"/>
      <c r="FQ460" s="25"/>
      <c r="FR460" s="25"/>
      <c r="FS460" s="25"/>
      <c r="FT460" s="25"/>
      <c r="FU460" s="25"/>
      <c r="FV460" s="25"/>
      <c r="FW460" s="25"/>
      <c r="FX460" s="25"/>
      <c r="FY460" s="25"/>
      <c r="FZ460" s="25"/>
      <c r="GA460" s="25"/>
      <c r="GB460" s="25"/>
      <c r="GC460" s="25"/>
      <c r="GD460" s="25"/>
      <c r="GE460" s="25"/>
      <c r="GF460" s="25"/>
      <c r="GG460" s="25"/>
      <c r="GH460" s="25"/>
      <c r="GI460" s="25"/>
      <c r="GJ460" s="25"/>
      <c r="GK460" s="25"/>
      <c r="GL460" s="25"/>
      <c r="GM460" s="25"/>
      <c r="GN460" s="25"/>
      <c r="GO460" s="25"/>
      <c r="GP460" s="25"/>
      <c r="GQ460" s="25"/>
      <c r="GR460" s="25"/>
      <c r="GS460" s="25"/>
      <c r="GT460" s="25"/>
      <c r="GU460" s="25"/>
      <c r="GV460" s="25"/>
      <c r="GW460" s="25"/>
      <c r="GX460" s="25"/>
      <c r="GY460" s="25"/>
      <c r="GZ460" s="25"/>
      <c r="HA460" s="25"/>
      <c r="HB460" s="25"/>
      <c r="HC460" s="25"/>
      <c r="HD460" s="25"/>
      <c r="HE460" s="25"/>
      <c r="HF460" s="25"/>
      <c r="HG460" s="25"/>
      <c r="HH460" s="25"/>
      <c r="HI460" s="25"/>
      <c r="HJ460" s="25"/>
      <c r="HK460" s="25"/>
      <c r="HL460" s="25"/>
      <c r="HM460" s="25"/>
      <c r="HN460" s="25"/>
      <c r="HO460" s="25"/>
      <c r="HP460" s="25"/>
      <c r="HQ460" s="25"/>
      <c r="HR460" s="25"/>
      <c r="HS460" s="25"/>
      <c r="HT460" s="25"/>
      <c r="HU460" s="25"/>
      <c r="HV460" s="25"/>
      <c r="HW460" s="25"/>
      <c r="HX460" s="25"/>
      <c r="HY460" s="25"/>
      <c r="HZ460" s="25"/>
      <c r="IA460" s="25"/>
      <c r="IB460" s="25"/>
      <c r="IC460" s="25"/>
      <c r="ID460" s="25"/>
      <c r="IE460" s="25"/>
      <c r="IF460" s="25"/>
      <c r="IG460" s="25"/>
      <c r="IH460" s="25"/>
      <c r="II460" s="25"/>
      <c r="IJ460" s="25"/>
      <c r="IK460" s="25"/>
      <c r="IL460" s="25"/>
      <c r="IM460" s="25"/>
      <c r="IN460" s="25"/>
      <c r="IO460" s="25"/>
      <c r="IP460" s="25"/>
      <c r="IQ460" s="25"/>
      <c r="IR460" s="25"/>
      <c r="IS460" s="25"/>
      <c r="IT460" s="25"/>
      <c r="IU460" s="25"/>
      <c r="IV460" s="25"/>
      <c r="IW460" s="25"/>
      <c r="IX460" s="25"/>
      <c r="IY460" s="25"/>
      <c r="IZ460" s="25"/>
      <c r="JA460" s="25"/>
      <c r="JB460" s="25"/>
      <c r="JC460" s="25"/>
      <c r="JD460" s="25"/>
      <c r="JE460" s="25"/>
      <c r="JF460" s="25"/>
      <c r="JG460" s="25"/>
      <c r="JH460" s="25"/>
      <c r="JI460" s="25"/>
      <c r="JJ460" s="25"/>
      <c r="JK460" s="25"/>
      <c r="JL460" s="25"/>
      <c r="JM460" s="25"/>
      <c r="JN460" s="25"/>
      <c r="JO460" s="25"/>
      <c r="JP460" s="25"/>
      <c r="JQ460" s="25"/>
      <c r="JR460" s="25"/>
      <c r="JS460" s="25"/>
      <c r="JT460" s="25"/>
      <c r="JU460" s="25"/>
      <c r="JV460" s="25"/>
      <c r="JW460" s="25"/>
      <c r="JX460" s="25"/>
      <c r="JY460" s="25"/>
      <c r="JZ460" s="25"/>
      <c r="KA460" s="25"/>
      <c r="KB460" s="25"/>
      <c r="KC460" s="25"/>
      <c r="KD460" s="25"/>
      <c r="KE460" s="25"/>
      <c r="KF460" s="25"/>
      <c r="KG460" s="25"/>
      <c r="KH460" s="25"/>
      <c r="KI460" s="25"/>
      <c r="KJ460" s="25"/>
      <c r="KK460" s="25"/>
      <c r="KL460" s="25"/>
      <c r="KM460" s="25"/>
      <c r="KN460" s="25"/>
      <c r="KO460" s="25"/>
      <c r="KP460" s="25"/>
      <c r="KQ460" s="25"/>
      <c r="KR460" s="25"/>
      <c r="KS460" s="25"/>
      <c r="KT460" s="25"/>
      <c r="KU460" s="25"/>
      <c r="KV460" s="25"/>
      <c r="KW460" s="25"/>
      <c r="KX460" s="25"/>
      <c r="KY460" s="25"/>
      <c r="KZ460" s="25"/>
      <c r="LA460" s="25"/>
      <c r="LB460" s="25"/>
      <c r="LC460" s="25"/>
      <c r="LD460" s="25"/>
      <c r="LE460" s="25"/>
      <c r="LF460" s="25"/>
      <c r="LG460" s="25"/>
      <c r="LH460" s="25"/>
      <c r="LI460" s="25"/>
      <c r="LJ460" s="25"/>
      <c r="LK460" s="25"/>
      <c r="LL460" s="25"/>
      <c r="LM460" s="25"/>
      <c r="LN460" s="25"/>
      <c r="LO460" s="25"/>
      <c r="LP460" s="25"/>
      <c r="LQ460" s="25"/>
      <c r="LR460" s="25"/>
      <c r="LS460" s="25"/>
      <c r="LT460" s="25"/>
      <c r="LU460" s="25"/>
      <c r="LV460" s="25"/>
      <c r="LW460" s="25"/>
      <c r="LX460" s="25"/>
      <c r="LY460" s="25"/>
      <c r="LZ460" s="25"/>
      <c r="MA460" s="25"/>
      <c r="MB460" s="25"/>
      <c r="MC460" s="25"/>
      <c r="MD460" s="25"/>
      <c r="ME460" s="25"/>
      <c r="MF460" s="25"/>
      <c r="MG460" s="25"/>
      <c r="MH460" s="25"/>
      <c r="MI460" s="25"/>
      <c r="MJ460" s="25"/>
      <c r="MK460" s="25"/>
      <c r="ML460" s="25"/>
      <c r="MM460" s="25"/>
      <c r="MN460" s="25"/>
      <c r="MO460" s="25"/>
      <c r="MP460" s="25"/>
      <c r="MQ460" s="25"/>
      <c r="MR460" s="25"/>
      <c r="MS460" s="25"/>
      <c r="MT460" s="25"/>
      <c r="MU460" s="25"/>
      <c r="MV460" s="25"/>
      <c r="MW460" s="25"/>
      <c r="MX460" s="25"/>
      <c r="MY460" s="25"/>
      <c r="MZ460" s="25"/>
      <c r="NA460" s="25"/>
      <c r="NB460" s="25"/>
      <c r="NC460" s="25"/>
      <c r="ND460" s="25"/>
      <c r="NE460" s="25"/>
      <c r="NF460" s="25"/>
      <c r="NG460" s="25"/>
      <c r="NH460" s="25"/>
      <c r="NI460" s="25"/>
      <c r="NJ460" s="25"/>
      <c r="NK460" s="25"/>
      <c r="NL460" s="25"/>
      <c r="NM460" s="25"/>
      <c r="NN460" s="25"/>
      <c r="NO460" s="25"/>
      <c r="NP460" s="25"/>
      <c r="NQ460" s="25"/>
      <c r="NR460" s="25"/>
      <c r="NS460" s="25"/>
      <c r="NT460" s="25"/>
      <c r="NU460" s="25"/>
      <c r="NV460" s="25"/>
      <c r="NW460" s="25"/>
      <c r="NX460" s="25"/>
      <c r="NY460" s="25"/>
      <c r="NZ460" s="25"/>
      <c r="OA460" s="25"/>
      <c r="OB460" s="25"/>
      <c r="OC460" s="25"/>
      <c r="OD460" s="25"/>
      <c r="OE460" s="25"/>
      <c r="OF460" s="25"/>
      <c r="OG460" s="25"/>
      <c r="OH460" s="25"/>
      <c r="OI460" s="25"/>
      <c r="OJ460" s="25"/>
      <c r="OK460" s="25"/>
      <c r="OL460" s="25"/>
      <c r="OM460" s="25"/>
      <c r="ON460" s="25"/>
      <c r="OO460" s="25"/>
      <c r="OP460" s="25"/>
      <c r="OQ460" s="25"/>
      <c r="OR460" s="25"/>
      <c r="OS460" s="25"/>
      <c r="OT460" s="25"/>
      <c r="OU460" s="25"/>
      <c r="OV460" s="25"/>
      <c r="OW460" s="25"/>
      <c r="OX460" s="25"/>
      <c r="OY460" s="25"/>
      <c r="OZ460" s="25"/>
      <c r="PA460" s="25"/>
      <c r="PB460" s="25"/>
      <c r="PC460" s="25"/>
      <c r="PD460" s="25"/>
      <c r="PE460" s="25"/>
      <c r="PF460" s="25"/>
      <c r="PG460" s="25"/>
      <c r="PH460" s="25"/>
      <c r="PI460" s="25"/>
      <c r="PJ460" s="25"/>
      <c r="PK460" s="25"/>
      <c r="PL460" s="25"/>
      <c r="PM460" s="25"/>
      <c r="PN460" s="25"/>
      <c r="PO460" s="25"/>
      <c r="PP460" s="25"/>
      <c r="PQ460" s="25"/>
      <c r="PR460" s="25"/>
      <c r="PS460" s="25"/>
      <c r="PT460" s="25"/>
      <c r="PU460" s="25"/>
      <c r="PV460" s="25"/>
      <c r="PW460" s="25"/>
      <c r="PX460" s="25"/>
      <c r="PY460" s="25"/>
      <c r="PZ460" s="25"/>
      <c r="QA460" s="25"/>
      <c r="QB460" s="25"/>
      <c r="QC460" s="25"/>
      <c r="QD460" s="25"/>
      <c r="QE460" s="25"/>
      <c r="QF460" s="25"/>
      <c r="QG460" s="25"/>
      <c r="QH460" s="25"/>
      <c r="QI460" s="25"/>
      <c r="QJ460" s="25"/>
      <c r="QK460" s="25"/>
      <c r="QL460" s="25"/>
      <c r="QM460" s="25"/>
      <c r="QN460" s="25"/>
      <c r="QO460" s="25"/>
      <c r="QP460" s="25"/>
      <c r="QQ460" s="25"/>
      <c r="QR460" s="25"/>
      <c r="QS460" s="25"/>
      <c r="QT460" s="25"/>
      <c r="QU460" s="25"/>
      <c r="QV460" s="25"/>
      <c r="QW460" s="25"/>
      <c r="QX460" s="25"/>
      <c r="QY460" s="25"/>
      <c r="QZ460" s="25"/>
      <c r="RA460" s="25"/>
      <c r="RB460" s="25"/>
      <c r="RC460" s="25"/>
      <c r="RD460" s="25"/>
      <c r="RE460" s="25"/>
      <c r="RF460" s="25"/>
      <c r="RG460" s="25"/>
      <c r="RH460" s="25"/>
      <c r="RI460" s="25"/>
      <c r="RJ460" s="25"/>
      <c r="RK460" s="25"/>
      <c r="RL460" s="25"/>
      <c r="RM460" s="25"/>
      <c r="RN460" s="25"/>
      <c r="RO460" s="25"/>
      <c r="RP460" s="25"/>
      <c r="RQ460" s="25"/>
      <c r="RR460" s="25"/>
      <c r="RS460" s="25"/>
      <c r="RT460" s="25"/>
      <c r="RU460" s="25"/>
      <c r="RV460" s="25"/>
      <c r="RW460" s="25"/>
      <c r="RX460" s="25"/>
      <c r="RY460" s="25"/>
      <c r="RZ460" s="25"/>
      <c r="SA460" s="25"/>
      <c r="SB460" s="25"/>
      <c r="SC460" s="25"/>
      <c r="SD460" s="25"/>
      <c r="SE460" s="25"/>
      <c r="SF460" s="25"/>
      <c r="SG460" s="25"/>
      <c r="SH460" s="25"/>
      <c r="SI460" s="25"/>
      <c r="SJ460" s="25"/>
      <c r="SK460" s="25"/>
      <c r="SL460" s="25"/>
      <c r="SM460" s="25"/>
      <c r="SN460" s="25"/>
      <c r="SO460" s="25"/>
      <c r="SP460" s="25"/>
      <c r="SQ460" s="25"/>
      <c r="SR460" s="25"/>
      <c r="SS460" s="25"/>
      <c r="ST460" s="25"/>
      <c r="SU460" s="25"/>
      <c r="SV460" s="25"/>
      <c r="SW460" s="25"/>
      <c r="SX460" s="25"/>
      <c r="SY460" s="25"/>
      <c r="SZ460" s="25"/>
      <c r="TA460" s="25"/>
      <c r="TB460" s="25"/>
      <c r="TC460" s="25"/>
      <c r="TD460" s="25"/>
      <c r="TE460" s="25"/>
      <c r="TF460" s="25"/>
      <c r="TG460" s="25"/>
      <c r="TH460" s="25"/>
      <c r="TI460" s="25"/>
      <c r="TJ460" s="25"/>
      <c r="TK460" s="25"/>
      <c r="TL460" s="25"/>
      <c r="TM460" s="25"/>
      <c r="TN460" s="25"/>
      <c r="TO460" s="25"/>
      <c r="TP460" s="25"/>
      <c r="TQ460" s="25"/>
      <c r="TR460" s="25"/>
      <c r="TS460" s="25"/>
      <c r="TT460" s="25"/>
      <c r="TU460" s="25"/>
      <c r="TV460" s="25"/>
      <c r="TW460" s="25"/>
      <c r="TX460" s="25"/>
      <c r="TY460" s="25"/>
      <c r="TZ460" s="25"/>
      <c r="UA460" s="25"/>
      <c r="UB460" s="25"/>
      <c r="UC460" s="25"/>
      <c r="UD460" s="25"/>
      <c r="UE460" s="25"/>
      <c r="UF460" s="25"/>
      <c r="UG460" s="26"/>
    </row>
    <row r="461" spans="1:553" ht="30.75" customHeight="1">
      <c r="A461" s="356" t="s">
        <v>30</v>
      </c>
      <c r="B461" s="385" t="s">
        <v>116</v>
      </c>
      <c r="C461" s="1404" t="s">
        <v>354</v>
      </c>
      <c r="D461" s="1389"/>
      <c r="E461" s="1389"/>
      <c r="F461" s="1390"/>
      <c r="G461" s="386" t="s">
        <v>935</v>
      </c>
      <c r="H461" s="370"/>
      <c r="I461" s="422">
        <f>-4.4*1.7</f>
        <v>-7.48</v>
      </c>
      <c r="J461" s="368">
        <v>251000</v>
      </c>
      <c r="K461" s="371"/>
      <c r="L461" s="391">
        <f t="shared" si="87"/>
        <v>-1877480</v>
      </c>
      <c r="M461" s="391"/>
      <c r="N461" s="391"/>
      <c r="O461" s="391"/>
      <c r="P461" s="391"/>
      <c r="Q461" s="1444"/>
      <c r="R461" s="1226"/>
      <c r="S461" s="308"/>
      <c r="T461" s="303"/>
      <c r="U461" s="306"/>
      <c r="V461" s="307"/>
      <c r="W461" s="306"/>
      <c r="X461" s="306"/>
      <c r="Y461" s="306"/>
      <c r="Z461" s="306"/>
      <c r="AA461" s="306"/>
      <c r="AB461" s="306"/>
      <c r="AC461" s="449"/>
      <c r="AD461" s="449"/>
      <c r="AE461" s="449"/>
      <c r="AF461" s="449"/>
      <c r="AG461" s="449"/>
      <c r="AH461" s="449"/>
      <c r="AI461" s="449"/>
      <c r="AJ461" s="449"/>
      <c r="AK461" s="452"/>
      <c r="AL461" s="104"/>
      <c r="AM461" s="32"/>
      <c r="AN461" s="32"/>
      <c r="AO461" s="32"/>
      <c r="AP461" s="32"/>
      <c r="AQ461" s="32"/>
      <c r="AR461" s="32"/>
      <c r="AS461" s="31"/>
      <c r="AT461" s="31"/>
      <c r="AU461" s="31"/>
      <c r="AV461" s="31"/>
      <c r="AW461" s="31"/>
      <c r="AX461" s="31"/>
      <c r="AY461" s="31"/>
      <c r="AZ461" s="31"/>
      <c r="BA461" s="31"/>
      <c r="BB461" s="31"/>
      <c r="BC461" s="31"/>
      <c r="BD461" s="31"/>
      <c r="BE461" s="31"/>
      <c r="BF461" s="31"/>
      <c r="BG461" s="31"/>
      <c r="BH461" s="31"/>
      <c r="BI461" s="31"/>
      <c r="BJ461" s="31"/>
      <c r="BK461" s="31"/>
      <c r="BL461" s="31"/>
      <c r="BM461" s="31"/>
      <c r="BN461" s="31"/>
      <c r="BO461" s="31"/>
      <c r="BP461" s="31"/>
      <c r="BQ461" s="31"/>
      <c r="BR461" s="31"/>
      <c r="BS461" s="31"/>
      <c r="BT461" s="31"/>
      <c r="BU461" s="31"/>
      <c r="BV461" s="31"/>
      <c r="BW461" s="31"/>
      <c r="BX461" s="31"/>
      <c r="BY461" s="31"/>
      <c r="BZ461" s="31"/>
      <c r="CA461" s="31"/>
      <c r="CB461" s="31"/>
      <c r="CC461" s="31"/>
      <c r="CD461" s="31"/>
      <c r="CE461" s="31"/>
      <c r="CF461" s="31"/>
      <c r="CG461" s="31"/>
      <c r="CH461" s="31"/>
      <c r="CI461" s="31"/>
      <c r="CJ461" s="31"/>
      <c r="CK461" s="31"/>
      <c r="CL461" s="31"/>
      <c r="CM461" s="31"/>
      <c r="CN461" s="31"/>
      <c r="CO461" s="31"/>
      <c r="CP461" s="31"/>
      <c r="CQ461" s="31"/>
      <c r="CR461" s="31"/>
      <c r="CS461" s="31"/>
      <c r="CT461" s="31"/>
      <c r="CU461" s="31"/>
      <c r="CV461" s="31"/>
      <c r="CW461" s="31"/>
      <c r="CX461" s="31"/>
      <c r="CY461" s="31"/>
      <c r="CZ461" s="31"/>
      <c r="DA461" s="31"/>
      <c r="DB461" s="31"/>
      <c r="DC461" s="31"/>
      <c r="DD461" s="31"/>
      <c r="DE461" s="31"/>
      <c r="DF461" s="31"/>
      <c r="DG461" s="31"/>
      <c r="DH461" s="31"/>
      <c r="DI461" s="31"/>
      <c r="DJ461" s="31"/>
      <c r="DK461" s="31"/>
      <c r="DL461" s="31"/>
      <c r="DM461" s="31"/>
      <c r="DN461" s="31"/>
      <c r="DO461" s="31"/>
      <c r="DP461" s="31"/>
      <c r="DQ461" s="31"/>
      <c r="DR461" s="31"/>
      <c r="DS461" s="31"/>
      <c r="DT461" s="31"/>
      <c r="DU461" s="31"/>
      <c r="DV461" s="31"/>
      <c r="DW461" s="31"/>
      <c r="DX461" s="31"/>
      <c r="DY461" s="31"/>
      <c r="DZ461" s="31"/>
      <c r="EA461" s="31"/>
      <c r="EB461" s="31"/>
      <c r="EC461" s="31"/>
      <c r="ED461" s="31"/>
      <c r="EE461" s="31"/>
      <c r="EF461" s="31"/>
      <c r="EG461" s="31"/>
      <c r="EH461" s="31"/>
      <c r="EI461" s="31"/>
      <c r="EJ461" s="31"/>
      <c r="EK461" s="31"/>
      <c r="EL461" s="31"/>
      <c r="EM461" s="31"/>
      <c r="EN461" s="31"/>
      <c r="EO461" s="31"/>
      <c r="EP461" s="31"/>
      <c r="EQ461" s="31"/>
      <c r="ER461" s="31"/>
      <c r="ES461" s="31"/>
      <c r="ET461" s="31"/>
      <c r="EU461" s="31"/>
      <c r="EV461" s="31"/>
      <c r="EW461" s="31"/>
      <c r="EX461" s="31"/>
      <c r="EY461" s="31"/>
      <c r="EZ461" s="31"/>
      <c r="FA461" s="31"/>
      <c r="FB461" s="31"/>
      <c r="FC461" s="31"/>
      <c r="FD461" s="31"/>
      <c r="FE461" s="31"/>
      <c r="FF461" s="31"/>
      <c r="FG461" s="31"/>
      <c r="FH461" s="31"/>
      <c r="FI461" s="31"/>
      <c r="FJ461" s="31"/>
      <c r="FK461" s="31"/>
      <c r="FL461" s="31"/>
      <c r="FM461" s="31"/>
      <c r="FN461" s="31"/>
      <c r="FO461" s="31"/>
      <c r="FP461" s="31"/>
      <c r="FQ461" s="31"/>
      <c r="FR461" s="31"/>
      <c r="FS461" s="31"/>
      <c r="FT461" s="31"/>
      <c r="FU461" s="31"/>
      <c r="FV461" s="31"/>
      <c r="FW461" s="31"/>
      <c r="FX461" s="31"/>
      <c r="FY461" s="31"/>
      <c r="FZ461" s="31"/>
      <c r="GA461" s="31"/>
      <c r="GB461" s="31"/>
      <c r="GC461" s="31"/>
      <c r="GD461" s="31"/>
      <c r="GE461" s="31"/>
      <c r="GF461" s="31"/>
      <c r="GG461" s="31"/>
      <c r="GH461" s="31"/>
      <c r="GI461" s="31"/>
      <c r="GJ461" s="31"/>
      <c r="GK461" s="31"/>
      <c r="GL461" s="31"/>
      <c r="GM461" s="31"/>
      <c r="GN461" s="31"/>
      <c r="GO461" s="31"/>
      <c r="GP461" s="31"/>
      <c r="GQ461" s="31"/>
      <c r="GR461" s="31"/>
      <c r="GS461" s="31"/>
      <c r="GT461" s="31"/>
      <c r="GU461" s="31"/>
      <c r="GV461" s="31"/>
      <c r="GW461" s="31"/>
      <c r="GX461" s="31"/>
      <c r="GY461" s="31"/>
      <c r="GZ461" s="31"/>
      <c r="HA461" s="31"/>
      <c r="HB461" s="31"/>
      <c r="HC461" s="31"/>
      <c r="HD461" s="31"/>
      <c r="HE461" s="31"/>
      <c r="HF461" s="31"/>
      <c r="HG461" s="31"/>
      <c r="HH461" s="31"/>
      <c r="HI461" s="31"/>
      <c r="HJ461" s="31"/>
      <c r="HK461" s="31"/>
      <c r="HL461" s="31"/>
      <c r="HM461" s="31"/>
      <c r="HN461" s="31"/>
      <c r="HO461" s="31"/>
      <c r="HP461" s="31"/>
      <c r="HQ461" s="31"/>
      <c r="HR461" s="31"/>
      <c r="HS461" s="31"/>
      <c r="HT461" s="31"/>
      <c r="HU461" s="31"/>
      <c r="HV461" s="31"/>
      <c r="HW461" s="31"/>
      <c r="HX461" s="31"/>
      <c r="HY461" s="31"/>
      <c r="HZ461" s="31"/>
      <c r="IA461" s="31"/>
      <c r="IB461" s="31"/>
      <c r="IC461" s="31"/>
      <c r="ID461" s="31"/>
      <c r="IE461" s="31"/>
      <c r="IF461" s="31"/>
      <c r="IG461" s="31"/>
      <c r="IH461" s="31"/>
      <c r="II461" s="31"/>
      <c r="IJ461" s="31"/>
      <c r="IK461" s="31"/>
      <c r="IL461" s="31"/>
      <c r="IM461" s="31"/>
      <c r="IN461" s="31"/>
      <c r="IO461" s="31"/>
      <c r="IP461" s="31"/>
      <c r="IQ461" s="31"/>
      <c r="IR461" s="31"/>
      <c r="IS461" s="31"/>
      <c r="IT461" s="31"/>
      <c r="IU461" s="31"/>
      <c r="IV461" s="31"/>
      <c r="IW461" s="31"/>
      <c r="IX461" s="31"/>
      <c r="IY461" s="31"/>
      <c r="IZ461" s="31"/>
      <c r="JA461" s="31"/>
      <c r="JB461" s="31"/>
      <c r="JC461" s="31"/>
      <c r="JD461" s="31"/>
      <c r="JE461" s="31"/>
      <c r="JF461" s="31"/>
      <c r="JG461" s="31"/>
      <c r="JH461" s="31"/>
      <c r="JI461" s="31"/>
      <c r="JJ461" s="31"/>
      <c r="JK461" s="31"/>
      <c r="JL461" s="31"/>
      <c r="JM461" s="31"/>
      <c r="JN461" s="31"/>
      <c r="JO461" s="31"/>
      <c r="JP461" s="31"/>
      <c r="JQ461" s="31"/>
      <c r="JR461" s="31"/>
      <c r="JS461" s="31"/>
      <c r="JT461" s="31"/>
      <c r="JU461" s="31"/>
      <c r="JV461" s="31"/>
      <c r="JW461" s="31"/>
      <c r="JX461" s="31"/>
      <c r="JY461" s="31"/>
      <c r="JZ461" s="31"/>
      <c r="KA461" s="31"/>
      <c r="KB461" s="31"/>
      <c r="KC461" s="31"/>
      <c r="KD461" s="31"/>
      <c r="KE461" s="31"/>
      <c r="KF461" s="31"/>
      <c r="KG461" s="31"/>
      <c r="KH461" s="31"/>
      <c r="KI461" s="31"/>
      <c r="KJ461" s="31"/>
      <c r="KK461" s="31"/>
      <c r="KL461" s="31"/>
      <c r="KM461" s="31"/>
      <c r="KN461" s="31"/>
      <c r="KO461" s="31"/>
      <c r="KP461" s="31"/>
      <c r="KQ461" s="31"/>
      <c r="KR461" s="31"/>
      <c r="KS461" s="31"/>
      <c r="KT461" s="31"/>
      <c r="KU461" s="31"/>
      <c r="KV461" s="31"/>
      <c r="KW461" s="31"/>
      <c r="KX461" s="31"/>
      <c r="KY461" s="31"/>
      <c r="KZ461" s="31"/>
      <c r="LA461" s="31"/>
      <c r="LB461" s="31"/>
      <c r="LC461" s="31"/>
      <c r="LD461" s="31"/>
      <c r="LE461" s="31"/>
      <c r="LF461" s="31"/>
      <c r="LG461" s="31"/>
      <c r="LH461" s="31"/>
      <c r="LI461" s="31"/>
      <c r="LJ461" s="31"/>
      <c r="LK461" s="31"/>
      <c r="LL461" s="31"/>
      <c r="LM461" s="31"/>
      <c r="LN461" s="31"/>
      <c r="LO461" s="31"/>
      <c r="LP461" s="31"/>
      <c r="LQ461" s="31"/>
      <c r="LR461" s="31"/>
      <c r="LS461" s="31"/>
      <c r="LT461" s="31"/>
      <c r="LU461" s="31"/>
      <c r="LV461" s="31"/>
      <c r="LW461" s="31"/>
      <c r="LX461" s="31"/>
      <c r="LY461" s="31"/>
      <c r="LZ461" s="31"/>
      <c r="MA461" s="31"/>
      <c r="MB461" s="31"/>
      <c r="MC461" s="31"/>
      <c r="MD461" s="31"/>
      <c r="ME461" s="31"/>
      <c r="MF461" s="31"/>
      <c r="MG461" s="31"/>
      <c r="MH461" s="31"/>
      <c r="MI461" s="31"/>
      <c r="MJ461" s="31"/>
      <c r="MK461" s="31"/>
      <c r="ML461" s="31"/>
      <c r="MM461" s="31"/>
      <c r="MN461" s="31"/>
      <c r="MO461" s="31"/>
      <c r="MP461" s="31"/>
      <c r="MQ461" s="31"/>
      <c r="MR461" s="31"/>
      <c r="MS461" s="31"/>
      <c r="MT461" s="31"/>
      <c r="MU461" s="31"/>
      <c r="MV461" s="31"/>
      <c r="MW461" s="31"/>
      <c r="MX461" s="31"/>
      <c r="MY461" s="31"/>
      <c r="MZ461" s="31"/>
      <c r="NA461" s="31"/>
      <c r="NB461" s="31"/>
      <c r="NC461" s="31"/>
      <c r="ND461" s="31"/>
      <c r="NE461" s="31"/>
      <c r="NF461" s="31"/>
      <c r="NG461" s="31"/>
      <c r="NH461" s="31"/>
      <c r="NI461" s="31"/>
      <c r="NJ461" s="31"/>
      <c r="NK461" s="31"/>
      <c r="NL461" s="31"/>
      <c r="NM461" s="31"/>
      <c r="NN461" s="31"/>
      <c r="NO461" s="31"/>
      <c r="NP461" s="31"/>
      <c r="NQ461" s="31"/>
      <c r="NR461" s="31"/>
      <c r="NS461" s="31"/>
      <c r="NT461" s="31"/>
      <c r="NU461" s="31"/>
      <c r="NV461" s="31"/>
      <c r="NW461" s="31"/>
      <c r="NX461" s="31"/>
      <c r="NY461" s="31"/>
      <c r="NZ461" s="31"/>
      <c r="OA461" s="31"/>
      <c r="OB461" s="31"/>
      <c r="OC461" s="31"/>
      <c r="OD461" s="31"/>
      <c r="OE461" s="31"/>
      <c r="OF461" s="31"/>
      <c r="OG461" s="31"/>
      <c r="OH461" s="31"/>
      <c r="OI461" s="31"/>
      <c r="OJ461" s="31"/>
      <c r="OK461" s="31"/>
      <c r="OL461" s="31"/>
      <c r="OM461" s="31"/>
      <c r="ON461" s="31"/>
      <c r="OO461" s="31"/>
      <c r="OP461" s="31"/>
      <c r="OQ461" s="31"/>
      <c r="OR461" s="31"/>
      <c r="OS461" s="31"/>
      <c r="OT461" s="31"/>
      <c r="OU461" s="31"/>
      <c r="OV461" s="31"/>
      <c r="OW461" s="31"/>
      <c r="OX461" s="31"/>
      <c r="OY461" s="31"/>
      <c r="OZ461" s="31"/>
      <c r="PA461" s="31"/>
      <c r="PB461" s="31"/>
      <c r="PC461" s="31"/>
      <c r="PD461" s="31"/>
      <c r="PE461" s="31"/>
      <c r="PF461" s="31"/>
      <c r="PG461" s="31"/>
      <c r="PH461" s="31"/>
      <c r="PI461" s="31"/>
      <c r="PJ461" s="31"/>
      <c r="PK461" s="31"/>
      <c r="PL461" s="31"/>
      <c r="PM461" s="31"/>
      <c r="PN461" s="31"/>
      <c r="PO461" s="31"/>
      <c r="PP461" s="31"/>
      <c r="PQ461" s="31"/>
      <c r="PR461" s="31"/>
      <c r="PS461" s="31"/>
      <c r="PT461" s="31"/>
      <c r="PU461" s="31"/>
      <c r="PV461" s="31"/>
      <c r="PW461" s="31"/>
      <c r="PX461" s="31"/>
      <c r="PY461" s="31"/>
      <c r="PZ461" s="31"/>
      <c r="QA461" s="31"/>
      <c r="QB461" s="31"/>
      <c r="QC461" s="31"/>
      <c r="QD461" s="31"/>
      <c r="QE461" s="31"/>
      <c r="QF461" s="31"/>
      <c r="QG461" s="31"/>
      <c r="QH461" s="31"/>
      <c r="QI461" s="31"/>
      <c r="QJ461" s="31"/>
      <c r="QK461" s="31"/>
      <c r="QL461" s="31"/>
      <c r="QM461" s="31"/>
      <c r="QN461" s="31"/>
      <c r="QO461" s="31"/>
      <c r="QP461" s="31"/>
      <c r="QQ461" s="31"/>
      <c r="QR461" s="31"/>
      <c r="QS461" s="31"/>
      <c r="QT461" s="31"/>
      <c r="QU461" s="31"/>
      <c r="QV461" s="31"/>
      <c r="QW461" s="31"/>
      <c r="QX461" s="31"/>
      <c r="QY461" s="31"/>
      <c r="QZ461" s="31"/>
      <c r="RA461" s="31"/>
      <c r="RB461" s="31"/>
      <c r="RC461" s="31"/>
      <c r="RD461" s="31"/>
      <c r="RE461" s="31"/>
      <c r="RF461" s="31"/>
      <c r="RG461" s="31"/>
      <c r="RH461" s="31"/>
      <c r="RI461" s="31"/>
      <c r="RJ461" s="31"/>
      <c r="RK461" s="31"/>
      <c r="RL461" s="31"/>
      <c r="RM461" s="31"/>
      <c r="RN461" s="31"/>
      <c r="RO461" s="31"/>
      <c r="RP461" s="31"/>
      <c r="RQ461" s="31"/>
      <c r="RR461" s="31"/>
      <c r="RS461" s="31"/>
      <c r="RT461" s="31"/>
      <c r="RU461" s="31"/>
      <c r="RV461" s="31"/>
      <c r="RW461" s="31"/>
      <c r="RX461" s="31"/>
      <c r="RY461" s="31"/>
      <c r="RZ461" s="31"/>
      <c r="SA461" s="31"/>
      <c r="SB461" s="31"/>
      <c r="SC461" s="31"/>
      <c r="SD461" s="31"/>
      <c r="SE461" s="31"/>
      <c r="SF461" s="31"/>
      <c r="SG461" s="31"/>
      <c r="SH461" s="31"/>
      <c r="SI461" s="31"/>
      <c r="SJ461" s="31"/>
      <c r="SK461" s="31"/>
      <c r="SL461" s="31"/>
      <c r="SM461" s="31"/>
      <c r="SN461" s="31"/>
      <c r="SO461" s="31"/>
      <c r="SP461" s="31"/>
      <c r="SQ461" s="31"/>
      <c r="SR461" s="31"/>
      <c r="SS461" s="31"/>
      <c r="ST461" s="31"/>
      <c r="SU461" s="31"/>
      <c r="SV461" s="31"/>
      <c r="SW461" s="31"/>
      <c r="SX461" s="31"/>
      <c r="SY461" s="31"/>
      <c r="SZ461" s="31"/>
      <c r="TA461" s="31"/>
      <c r="TB461" s="31"/>
      <c r="TC461" s="31"/>
      <c r="TD461" s="31"/>
      <c r="TE461" s="31"/>
      <c r="TF461" s="31"/>
      <c r="TG461" s="31"/>
      <c r="TH461" s="31"/>
      <c r="TI461" s="31"/>
      <c r="TJ461" s="31"/>
      <c r="TK461" s="31"/>
      <c r="TL461" s="31"/>
      <c r="TM461" s="31"/>
      <c r="TN461" s="31"/>
      <c r="TO461" s="31"/>
      <c r="TP461" s="31"/>
      <c r="TQ461" s="31"/>
      <c r="TR461" s="31"/>
      <c r="TS461" s="31"/>
      <c r="TT461" s="31"/>
      <c r="TU461" s="31"/>
      <c r="TV461" s="31"/>
      <c r="TW461" s="31"/>
      <c r="TX461" s="31"/>
      <c r="TY461" s="31"/>
      <c r="TZ461" s="31"/>
      <c r="UA461" s="31"/>
      <c r="UB461" s="31"/>
      <c r="UC461" s="31"/>
      <c r="UD461" s="31"/>
      <c r="UE461" s="31"/>
      <c r="UF461" s="31"/>
      <c r="UG461" s="33"/>
    </row>
    <row r="462" spans="1:553" ht="30.75" customHeight="1">
      <c r="A462" s="356" t="s">
        <v>30</v>
      </c>
      <c r="B462" s="385" t="s">
        <v>634</v>
      </c>
      <c r="C462" s="1404" t="s">
        <v>918</v>
      </c>
      <c r="D462" s="1389"/>
      <c r="E462" s="1389"/>
      <c r="F462" s="1390"/>
      <c r="G462" s="386" t="s">
        <v>935</v>
      </c>
      <c r="H462" s="370"/>
      <c r="I462" s="422">
        <f>-1.2*1.6</f>
        <v>-1.92</v>
      </c>
      <c r="J462" s="368">
        <f>185700-137200</f>
        <v>48500</v>
      </c>
      <c r="K462" s="371"/>
      <c r="L462" s="391">
        <f t="shared" si="87"/>
        <v>-93120</v>
      </c>
      <c r="M462" s="391"/>
      <c r="N462" s="391"/>
      <c r="O462" s="391"/>
      <c r="P462" s="391"/>
      <c r="Q462" s="1445"/>
      <c r="R462" s="1226"/>
      <c r="S462" s="308"/>
      <c r="T462" s="303"/>
      <c r="U462" s="306"/>
      <c r="V462" s="307"/>
      <c r="W462" s="306"/>
      <c r="X462" s="306"/>
      <c r="Y462" s="306"/>
      <c r="Z462" s="306"/>
      <c r="AA462" s="306"/>
      <c r="AB462" s="306"/>
      <c r="AC462" s="449"/>
      <c r="AD462" s="449"/>
      <c r="AE462" s="449"/>
      <c r="AF462" s="449"/>
      <c r="AG462" s="449"/>
      <c r="AH462" s="449"/>
      <c r="AI462" s="449"/>
      <c r="AJ462" s="449"/>
      <c r="AK462" s="452"/>
      <c r="AL462" s="104"/>
      <c r="AM462" s="32"/>
      <c r="AN462" s="32"/>
      <c r="AO462" s="32"/>
      <c r="AP462" s="32"/>
      <c r="AQ462" s="32"/>
      <c r="AR462" s="32"/>
      <c r="AS462" s="31"/>
      <c r="AT462" s="31"/>
      <c r="AU462" s="31"/>
      <c r="AV462" s="31"/>
      <c r="AW462" s="31"/>
      <c r="AX462" s="31"/>
      <c r="AY462" s="31"/>
      <c r="AZ462" s="31"/>
      <c r="BA462" s="31"/>
      <c r="BB462" s="31"/>
      <c r="BC462" s="31"/>
      <c r="BD462" s="31"/>
      <c r="BE462" s="31"/>
      <c r="BF462" s="31"/>
      <c r="BG462" s="31"/>
      <c r="BH462" s="31"/>
      <c r="BI462" s="31"/>
      <c r="BJ462" s="31"/>
      <c r="BK462" s="31"/>
      <c r="BL462" s="31"/>
      <c r="BM462" s="31"/>
      <c r="BN462" s="31"/>
      <c r="BO462" s="31"/>
      <c r="BP462" s="31"/>
      <c r="BQ462" s="31"/>
      <c r="BR462" s="31"/>
      <c r="BS462" s="31"/>
      <c r="BT462" s="31"/>
      <c r="BU462" s="31"/>
      <c r="BV462" s="31"/>
      <c r="BW462" s="31"/>
      <c r="BX462" s="31"/>
      <c r="BY462" s="31"/>
      <c r="BZ462" s="31"/>
      <c r="CA462" s="31"/>
      <c r="CB462" s="31"/>
      <c r="CC462" s="31"/>
      <c r="CD462" s="31"/>
      <c r="CE462" s="31"/>
      <c r="CF462" s="31"/>
      <c r="CG462" s="31"/>
      <c r="CH462" s="31"/>
      <c r="CI462" s="31"/>
      <c r="CJ462" s="31"/>
      <c r="CK462" s="31"/>
      <c r="CL462" s="31"/>
      <c r="CM462" s="31"/>
      <c r="CN462" s="31"/>
      <c r="CO462" s="31"/>
      <c r="CP462" s="31"/>
      <c r="CQ462" s="31"/>
      <c r="CR462" s="31"/>
      <c r="CS462" s="31"/>
      <c r="CT462" s="31"/>
      <c r="CU462" s="31"/>
      <c r="CV462" s="31"/>
      <c r="CW462" s="31"/>
      <c r="CX462" s="31"/>
      <c r="CY462" s="31"/>
      <c r="CZ462" s="31"/>
      <c r="DA462" s="31"/>
      <c r="DB462" s="31"/>
      <c r="DC462" s="31"/>
      <c r="DD462" s="31"/>
      <c r="DE462" s="31"/>
      <c r="DF462" s="31"/>
      <c r="DG462" s="31"/>
      <c r="DH462" s="31"/>
      <c r="DI462" s="31"/>
      <c r="DJ462" s="31"/>
      <c r="DK462" s="31"/>
      <c r="DL462" s="31"/>
      <c r="DM462" s="31"/>
      <c r="DN462" s="31"/>
      <c r="DO462" s="31"/>
      <c r="DP462" s="31"/>
      <c r="DQ462" s="31"/>
      <c r="DR462" s="31"/>
      <c r="DS462" s="31"/>
      <c r="DT462" s="31"/>
      <c r="DU462" s="31"/>
      <c r="DV462" s="31"/>
      <c r="DW462" s="31"/>
      <c r="DX462" s="31"/>
      <c r="DY462" s="31"/>
      <c r="DZ462" s="31"/>
      <c r="EA462" s="31"/>
      <c r="EB462" s="31"/>
      <c r="EC462" s="31"/>
      <c r="ED462" s="31"/>
      <c r="EE462" s="31"/>
      <c r="EF462" s="31"/>
      <c r="EG462" s="31"/>
      <c r="EH462" s="31"/>
      <c r="EI462" s="31"/>
      <c r="EJ462" s="31"/>
      <c r="EK462" s="31"/>
      <c r="EL462" s="31"/>
      <c r="EM462" s="31"/>
      <c r="EN462" s="31"/>
      <c r="EO462" s="31"/>
      <c r="EP462" s="31"/>
      <c r="EQ462" s="31"/>
      <c r="ER462" s="31"/>
      <c r="ES462" s="31"/>
      <c r="ET462" s="31"/>
      <c r="EU462" s="31"/>
      <c r="EV462" s="31"/>
      <c r="EW462" s="31"/>
      <c r="EX462" s="31"/>
      <c r="EY462" s="31"/>
      <c r="EZ462" s="31"/>
      <c r="FA462" s="31"/>
      <c r="FB462" s="31"/>
      <c r="FC462" s="31"/>
      <c r="FD462" s="31"/>
      <c r="FE462" s="31"/>
      <c r="FF462" s="31"/>
      <c r="FG462" s="31"/>
      <c r="FH462" s="31"/>
      <c r="FI462" s="31"/>
      <c r="FJ462" s="31"/>
      <c r="FK462" s="31"/>
      <c r="FL462" s="31"/>
      <c r="FM462" s="31"/>
      <c r="FN462" s="31"/>
      <c r="FO462" s="31"/>
      <c r="FP462" s="31"/>
      <c r="FQ462" s="31"/>
      <c r="FR462" s="31"/>
      <c r="FS462" s="31"/>
      <c r="FT462" s="31"/>
      <c r="FU462" s="31"/>
      <c r="FV462" s="31"/>
      <c r="FW462" s="31"/>
      <c r="FX462" s="31"/>
      <c r="FY462" s="31"/>
      <c r="FZ462" s="31"/>
      <c r="GA462" s="31"/>
      <c r="GB462" s="31"/>
      <c r="GC462" s="31"/>
      <c r="GD462" s="31"/>
      <c r="GE462" s="31"/>
      <c r="GF462" s="31"/>
      <c r="GG462" s="31"/>
      <c r="GH462" s="31"/>
      <c r="GI462" s="31"/>
      <c r="GJ462" s="31"/>
      <c r="GK462" s="31"/>
      <c r="GL462" s="31"/>
      <c r="GM462" s="31"/>
      <c r="GN462" s="31"/>
      <c r="GO462" s="31"/>
      <c r="GP462" s="31"/>
      <c r="GQ462" s="31"/>
      <c r="GR462" s="31"/>
      <c r="GS462" s="31"/>
      <c r="GT462" s="31"/>
      <c r="GU462" s="31"/>
      <c r="GV462" s="31"/>
      <c r="GW462" s="31"/>
      <c r="GX462" s="31"/>
      <c r="GY462" s="31"/>
      <c r="GZ462" s="31"/>
      <c r="HA462" s="31"/>
      <c r="HB462" s="31"/>
      <c r="HC462" s="31"/>
      <c r="HD462" s="31"/>
      <c r="HE462" s="31"/>
      <c r="HF462" s="31"/>
      <c r="HG462" s="31"/>
      <c r="HH462" s="31"/>
      <c r="HI462" s="31"/>
      <c r="HJ462" s="31"/>
      <c r="HK462" s="31"/>
      <c r="HL462" s="31"/>
      <c r="HM462" s="31"/>
      <c r="HN462" s="31"/>
      <c r="HO462" s="31"/>
      <c r="HP462" s="31"/>
      <c r="HQ462" s="31"/>
      <c r="HR462" s="31"/>
      <c r="HS462" s="31"/>
      <c r="HT462" s="31"/>
      <c r="HU462" s="31"/>
      <c r="HV462" s="31"/>
      <c r="HW462" s="31"/>
      <c r="HX462" s="31"/>
      <c r="HY462" s="31"/>
      <c r="HZ462" s="31"/>
      <c r="IA462" s="31"/>
      <c r="IB462" s="31"/>
      <c r="IC462" s="31"/>
      <c r="ID462" s="31"/>
      <c r="IE462" s="31"/>
      <c r="IF462" s="31"/>
      <c r="IG462" s="31"/>
      <c r="IH462" s="31"/>
      <c r="II462" s="31"/>
      <c r="IJ462" s="31"/>
      <c r="IK462" s="31"/>
      <c r="IL462" s="31"/>
      <c r="IM462" s="31"/>
      <c r="IN462" s="31"/>
      <c r="IO462" s="31"/>
      <c r="IP462" s="31"/>
      <c r="IQ462" s="31"/>
      <c r="IR462" s="31"/>
      <c r="IS462" s="31"/>
      <c r="IT462" s="31"/>
      <c r="IU462" s="31"/>
      <c r="IV462" s="31"/>
      <c r="IW462" s="31"/>
      <c r="IX462" s="31"/>
      <c r="IY462" s="31"/>
      <c r="IZ462" s="31"/>
      <c r="JA462" s="31"/>
      <c r="JB462" s="31"/>
      <c r="JC462" s="31"/>
      <c r="JD462" s="31"/>
      <c r="JE462" s="31"/>
      <c r="JF462" s="31"/>
      <c r="JG462" s="31"/>
      <c r="JH462" s="31"/>
      <c r="JI462" s="31"/>
      <c r="JJ462" s="31"/>
      <c r="JK462" s="31"/>
      <c r="JL462" s="31"/>
      <c r="JM462" s="31"/>
      <c r="JN462" s="31"/>
      <c r="JO462" s="31"/>
      <c r="JP462" s="31"/>
      <c r="JQ462" s="31"/>
      <c r="JR462" s="31"/>
      <c r="JS462" s="31"/>
      <c r="JT462" s="31"/>
      <c r="JU462" s="31"/>
      <c r="JV462" s="31"/>
      <c r="JW462" s="31"/>
      <c r="JX462" s="31"/>
      <c r="JY462" s="31"/>
      <c r="JZ462" s="31"/>
      <c r="KA462" s="31"/>
      <c r="KB462" s="31"/>
      <c r="KC462" s="31"/>
      <c r="KD462" s="31"/>
      <c r="KE462" s="31"/>
      <c r="KF462" s="31"/>
      <c r="KG462" s="31"/>
      <c r="KH462" s="31"/>
      <c r="KI462" s="31"/>
      <c r="KJ462" s="31"/>
      <c r="KK462" s="31"/>
      <c r="KL462" s="31"/>
      <c r="KM462" s="31"/>
      <c r="KN462" s="31"/>
      <c r="KO462" s="31"/>
      <c r="KP462" s="31"/>
      <c r="KQ462" s="31"/>
      <c r="KR462" s="31"/>
      <c r="KS462" s="31"/>
      <c r="KT462" s="31"/>
      <c r="KU462" s="31"/>
      <c r="KV462" s="31"/>
      <c r="KW462" s="31"/>
      <c r="KX462" s="31"/>
      <c r="KY462" s="31"/>
      <c r="KZ462" s="31"/>
      <c r="LA462" s="31"/>
      <c r="LB462" s="31"/>
      <c r="LC462" s="31"/>
      <c r="LD462" s="31"/>
      <c r="LE462" s="31"/>
      <c r="LF462" s="31"/>
      <c r="LG462" s="31"/>
      <c r="LH462" s="31"/>
      <c r="LI462" s="31"/>
      <c r="LJ462" s="31"/>
      <c r="LK462" s="31"/>
      <c r="LL462" s="31"/>
      <c r="LM462" s="31"/>
      <c r="LN462" s="31"/>
      <c r="LO462" s="31"/>
      <c r="LP462" s="31"/>
      <c r="LQ462" s="31"/>
      <c r="LR462" s="31"/>
      <c r="LS462" s="31"/>
      <c r="LT462" s="31"/>
      <c r="LU462" s="31"/>
      <c r="LV462" s="31"/>
      <c r="LW462" s="31"/>
      <c r="LX462" s="31"/>
      <c r="LY462" s="31"/>
      <c r="LZ462" s="31"/>
      <c r="MA462" s="31"/>
      <c r="MB462" s="31"/>
      <c r="MC462" s="31"/>
      <c r="MD462" s="31"/>
      <c r="ME462" s="31"/>
      <c r="MF462" s="31"/>
      <c r="MG462" s="31"/>
      <c r="MH462" s="31"/>
      <c r="MI462" s="31"/>
      <c r="MJ462" s="31"/>
      <c r="MK462" s="31"/>
      <c r="ML462" s="31"/>
      <c r="MM462" s="31"/>
      <c r="MN462" s="31"/>
      <c r="MO462" s="31"/>
      <c r="MP462" s="31"/>
      <c r="MQ462" s="31"/>
      <c r="MR462" s="31"/>
      <c r="MS462" s="31"/>
      <c r="MT462" s="31"/>
      <c r="MU462" s="31"/>
      <c r="MV462" s="31"/>
      <c r="MW462" s="31"/>
      <c r="MX462" s="31"/>
      <c r="MY462" s="31"/>
      <c r="MZ462" s="31"/>
      <c r="NA462" s="31"/>
      <c r="NB462" s="31"/>
      <c r="NC462" s="31"/>
      <c r="ND462" s="31"/>
      <c r="NE462" s="31"/>
      <c r="NF462" s="31"/>
      <c r="NG462" s="31"/>
      <c r="NH462" s="31"/>
      <c r="NI462" s="31"/>
      <c r="NJ462" s="31"/>
      <c r="NK462" s="31"/>
      <c r="NL462" s="31"/>
      <c r="NM462" s="31"/>
      <c r="NN462" s="31"/>
      <c r="NO462" s="31"/>
      <c r="NP462" s="31"/>
      <c r="NQ462" s="31"/>
      <c r="NR462" s="31"/>
      <c r="NS462" s="31"/>
      <c r="NT462" s="31"/>
      <c r="NU462" s="31"/>
      <c r="NV462" s="31"/>
      <c r="NW462" s="31"/>
      <c r="NX462" s="31"/>
      <c r="NY462" s="31"/>
      <c r="NZ462" s="31"/>
      <c r="OA462" s="31"/>
      <c r="OB462" s="31"/>
      <c r="OC462" s="31"/>
      <c r="OD462" s="31"/>
      <c r="OE462" s="31"/>
      <c r="OF462" s="31"/>
      <c r="OG462" s="31"/>
      <c r="OH462" s="31"/>
      <c r="OI462" s="31"/>
      <c r="OJ462" s="31"/>
      <c r="OK462" s="31"/>
      <c r="OL462" s="31"/>
      <c r="OM462" s="31"/>
      <c r="ON462" s="31"/>
      <c r="OO462" s="31"/>
      <c r="OP462" s="31"/>
      <c r="OQ462" s="31"/>
      <c r="OR462" s="31"/>
      <c r="OS462" s="31"/>
      <c r="OT462" s="31"/>
      <c r="OU462" s="31"/>
      <c r="OV462" s="31"/>
      <c r="OW462" s="31"/>
      <c r="OX462" s="31"/>
      <c r="OY462" s="31"/>
      <c r="OZ462" s="31"/>
      <c r="PA462" s="31"/>
      <c r="PB462" s="31"/>
      <c r="PC462" s="31"/>
      <c r="PD462" s="31"/>
      <c r="PE462" s="31"/>
      <c r="PF462" s="31"/>
      <c r="PG462" s="31"/>
      <c r="PH462" s="31"/>
      <c r="PI462" s="31"/>
      <c r="PJ462" s="31"/>
      <c r="PK462" s="31"/>
      <c r="PL462" s="31"/>
      <c r="PM462" s="31"/>
      <c r="PN462" s="31"/>
      <c r="PO462" s="31"/>
      <c r="PP462" s="31"/>
      <c r="PQ462" s="31"/>
      <c r="PR462" s="31"/>
      <c r="PS462" s="31"/>
      <c r="PT462" s="31"/>
      <c r="PU462" s="31"/>
      <c r="PV462" s="31"/>
      <c r="PW462" s="31"/>
      <c r="PX462" s="31"/>
      <c r="PY462" s="31"/>
      <c r="PZ462" s="31"/>
      <c r="QA462" s="31"/>
      <c r="QB462" s="31"/>
      <c r="QC462" s="31"/>
      <c r="QD462" s="31"/>
      <c r="QE462" s="31"/>
      <c r="QF462" s="31"/>
      <c r="QG462" s="31"/>
      <c r="QH462" s="31"/>
      <c r="QI462" s="31"/>
      <c r="QJ462" s="31"/>
      <c r="QK462" s="31"/>
      <c r="QL462" s="31"/>
      <c r="QM462" s="31"/>
      <c r="QN462" s="31"/>
      <c r="QO462" s="31"/>
      <c r="QP462" s="31"/>
      <c r="QQ462" s="31"/>
      <c r="QR462" s="31"/>
      <c r="QS462" s="31"/>
      <c r="QT462" s="31"/>
      <c r="QU462" s="31"/>
      <c r="QV462" s="31"/>
      <c r="QW462" s="31"/>
      <c r="QX462" s="31"/>
      <c r="QY462" s="31"/>
      <c r="QZ462" s="31"/>
      <c r="RA462" s="31"/>
      <c r="RB462" s="31"/>
      <c r="RC462" s="31"/>
      <c r="RD462" s="31"/>
      <c r="RE462" s="31"/>
      <c r="RF462" s="31"/>
      <c r="RG462" s="31"/>
      <c r="RH462" s="31"/>
      <c r="RI462" s="31"/>
      <c r="RJ462" s="31"/>
      <c r="RK462" s="31"/>
      <c r="RL462" s="31"/>
      <c r="RM462" s="31"/>
      <c r="RN462" s="31"/>
      <c r="RO462" s="31"/>
      <c r="RP462" s="31"/>
      <c r="RQ462" s="31"/>
      <c r="RR462" s="31"/>
      <c r="RS462" s="31"/>
      <c r="RT462" s="31"/>
      <c r="RU462" s="31"/>
      <c r="RV462" s="31"/>
      <c r="RW462" s="31"/>
      <c r="RX462" s="31"/>
      <c r="RY462" s="31"/>
      <c r="RZ462" s="31"/>
      <c r="SA462" s="31"/>
      <c r="SB462" s="31"/>
      <c r="SC462" s="31"/>
      <c r="SD462" s="31"/>
      <c r="SE462" s="31"/>
      <c r="SF462" s="31"/>
      <c r="SG462" s="31"/>
      <c r="SH462" s="31"/>
      <c r="SI462" s="31"/>
      <c r="SJ462" s="31"/>
      <c r="SK462" s="31"/>
      <c r="SL462" s="31"/>
      <c r="SM462" s="31"/>
      <c r="SN462" s="31"/>
      <c r="SO462" s="31"/>
      <c r="SP462" s="31"/>
      <c r="SQ462" s="31"/>
      <c r="SR462" s="31"/>
      <c r="SS462" s="31"/>
      <c r="ST462" s="31"/>
      <c r="SU462" s="31"/>
      <c r="SV462" s="31"/>
      <c r="SW462" s="31"/>
      <c r="SX462" s="31"/>
      <c r="SY462" s="31"/>
      <c r="SZ462" s="31"/>
      <c r="TA462" s="31"/>
      <c r="TB462" s="31"/>
      <c r="TC462" s="31"/>
      <c r="TD462" s="31"/>
      <c r="TE462" s="31"/>
      <c r="TF462" s="31"/>
      <c r="TG462" s="31"/>
      <c r="TH462" s="31"/>
      <c r="TI462" s="31"/>
      <c r="TJ462" s="31"/>
      <c r="TK462" s="31"/>
      <c r="TL462" s="31"/>
      <c r="TM462" s="31"/>
      <c r="TN462" s="31"/>
      <c r="TO462" s="31"/>
      <c r="TP462" s="31"/>
      <c r="TQ462" s="31"/>
      <c r="TR462" s="31"/>
      <c r="TS462" s="31"/>
      <c r="TT462" s="31"/>
      <c r="TU462" s="31"/>
      <c r="TV462" s="31"/>
      <c r="TW462" s="31"/>
      <c r="TX462" s="31"/>
      <c r="TY462" s="31"/>
      <c r="TZ462" s="31"/>
      <c r="UA462" s="31"/>
      <c r="UB462" s="31"/>
      <c r="UC462" s="31"/>
      <c r="UD462" s="31"/>
      <c r="UE462" s="31"/>
      <c r="UF462" s="31"/>
      <c r="UG462" s="33"/>
    </row>
    <row r="463" spans="1:553" ht="30.75" customHeight="1">
      <c r="A463" s="356" t="s">
        <v>15</v>
      </c>
      <c r="B463" s="385" t="s">
        <v>79</v>
      </c>
      <c r="C463" s="1404" t="s">
        <v>355</v>
      </c>
      <c r="D463" s="1389"/>
      <c r="E463" s="1389"/>
      <c r="F463" s="1390"/>
      <c r="G463" s="386" t="s">
        <v>935</v>
      </c>
      <c r="H463" s="370"/>
      <c r="I463" s="834">
        <f t="shared" ref="I463:I464" si="90">1.7*2.9</f>
        <v>4.93</v>
      </c>
      <c r="J463" s="368">
        <v>60200</v>
      </c>
      <c r="K463" s="371"/>
      <c r="L463" s="391">
        <f t="shared" si="87"/>
        <v>296786</v>
      </c>
      <c r="M463" s="395"/>
      <c r="N463" s="395"/>
      <c r="O463" s="366"/>
      <c r="P463" s="396"/>
      <c r="Q463" s="473"/>
      <c r="R463" s="1039"/>
      <c r="S463" s="308"/>
      <c r="T463" s="303"/>
      <c r="U463" s="306"/>
      <c r="V463" s="307"/>
      <c r="W463" s="306"/>
      <c r="X463" s="306"/>
      <c r="Y463" s="306"/>
      <c r="Z463" s="306"/>
      <c r="AA463" s="306"/>
      <c r="AB463" s="306"/>
      <c r="AC463" s="449"/>
      <c r="AD463" s="449"/>
      <c r="AE463" s="449"/>
      <c r="AF463" s="449"/>
      <c r="AG463" s="452"/>
      <c r="AH463" s="452"/>
      <c r="AI463" s="452"/>
      <c r="AJ463" s="452"/>
      <c r="AK463" s="452"/>
      <c r="AL463" s="104"/>
      <c r="AM463" s="32"/>
      <c r="AN463" s="32"/>
      <c r="AO463" s="32"/>
      <c r="AP463" s="32"/>
      <c r="AQ463" s="31"/>
      <c r="AR463" s="31"/>
      <c r="AS463" s="31"/>
      <c r="AT463" s="31"/>
      <c r="AU463" s="31"/>
      <c r="AV463" s="31"/>
      <c r="AW463" s="31"/>
      <c r="AX463" s="31"/>
      <c r="AY463" s="31"/>
      <c r="AZ463" s="31"/>
      <c r="BA463" s="31"/>
      <c r="BB463" s="31"/>
      <c r="BC463" s="31"/>
      <c r="BD463" s="31"/>
      <c r="BE463" s="31"/>
      <c r="BF463" s="31"/>
      <c r="BG463" s="31"/>
      <c r="BH463" s="31"/>
      <c r="BI463" s="31"/>
      <c r="BJ463" s="31"/>
      <c r="BK463" s="31"/>
      <c r="BL463" s="31"/>
      <c r="BM463" s="25"/>
      <c r="BN463" s="25"/>
      <c r="BO463" s="25"/>
      <c r="BP463" s="25"/>
      <c r="BQ463" s="25"/>
      <c r="BR463" s="25"/>
      <c r="BS463" s="25"/>
      <c r="BT463" s="25"/>
      <c r="BU463" s="25"/>
      <c r="BV463" s="25"/>
      <c r="BW463" s="25"/>
      <c r="BX463" s="25"/>
      <c r="BY463" s="25"/>
      <c r="BZ463" s="25"/>
      <c r="CA463" s="25"/>
      <c r="CB463" s="25"/>
      <c r="CC463" s="25"/>
      <c r="CD463" s="25"/>
      <c r="CE463" s="25"/>
      <c r="CF463" s="25"/>
      <c r="CG463" s="25"/>
      <c r="CH463" s="25"/>
      <c r="CI463" s="25"/>
      <c r="CJ463" s="25"/>
      <c r="CK463" s="25"/>
      <c r="CL463" s="25"/>
      <c r="CM463" s="25"/>
      <c r="CN463" s="25"/>
      <c r="CO463" s="25"/>
      <c r="CP463" s="25"/>
      <c r="CQ463" s="25"/>
      <c r="CR463" s="25"/>
      <c r="CS463" s="25"/>
      <c r="CT463" s="25"/>
      <c r="CU463" s="25"/>
      <c r="CV463" s="25"/>
      <c r="CW463" s="25"/>
      <c r="CX463" s="25"/>
      <c r="CY463" s="25"/>
      <c r="CZ463" s="25"/>
      <c r="DA463" s="25"/>
      <c r="DB463" s="25"/>
      <c r="DC463" s="25"/>
      <c r="DD463" s="25"/>
      <c r="DE463" s="25"/>
      <c r="DF463" s="25"/>
      <c r="DG463" s="25"/>
      <c r="DH463" s="25"/>
      <c r="DI463" s="25"/>
      <c r="DJ463" s="25"/>
      <c r="DK463" s="25"/>
      <c r="DL463" s="25"/>
      <c r="DM463" s="25"/>
      <c r="DN463" s="25"/>
      <c r="DO463" s="25"/>
      <c r="DP463" s="25"/>
      <c r="DQ463" s="25"/>
      <c r="DR463" s="25"/>
      <c r="DS463" s="25"/>
      <c r="DT463" s="25"/>
      <c r="DU463" s="25"/>
      <c r="DV463" s="25"/>
      <c r="DW463" s="25"/>
      <c r="DX463" s="25"/>
      <c r="DY463" s="25"/>
      <c r="DZ463" s="25"/>
      <c r="EA463" s="25"/>
      <c r="EB463" s="25"/>
      <c r="EC463" s="25"/>
      <c r="ED463" s="25"/>
      <c r="EE463" s="25"/>
      <c r="EF463" s="25"/>
      <c r="EG463" s="25"/>
      <c r="EH463" s="25"/>
      <c r="EI463" s="25"/>
      <c r="EJ463" s="25"/>
      <c r="EK463" s="25"/>
      <c r="EL463" s="25"/>
      <c r="EM463" s="25"/>
      <c r="EN463" s="25"/>
      <c r="EO463" s="25"/>
      <c r="EP463" s="25"/>
      <c r="EQ463" s="25"/>
      <c r="ER463" s="25"/>
      <c r="ES463" s="25"/>
      <c r="ET463" s="25"/>
      <c r="EU463" s="25"/>
      <c r="EV463" s="25"/>
      <c r="EW463" s="25"/>
      <c r="EX463" s="25"/>
      <c r="EY463" s="25"/>
      <c r="EZ463" s="25"/>
      <c r="FA463" s="25"/>
      <c r="FB463" s="25"/>
      <c r="FC463" s="25"/>
      <c r="FD463" s="25"/>
      <c r="FE463" s="25"/>
      <c r="FF463" s="25"/>
      <c r="FG463" s="25"/>
      <c r="FH463" s="25"/>
      <c r="FI463" s="25"/>
      <c r="FJ463" s="25"/>
      <c r="FK463" s="25"/>
      <c r="FL463" s="25"/>
      <c r="FM463" s="25"/>
      <c r="FN463" s="25"/>
      <c r="FO463" s="25"/>
      <c r="FP463" s="25"/>
      <c r="FQ463" s="25"/>
      <c r="FR463" s="25"/>
      <c r="FS463" s="25"/>
      <c r="FT463" s="25"/>
      <c r="FU463" s="25"/>
      <c r="FV463" s="25"/>
      <c r="FW463" s="25"/>
      <c r="FX463" s="25"/>
      <c r="FY463" s="25"/>
      <c r="FZ463" s="25"/>
      <c r="GA463" s="25"/>
      <c r="GB463" s="25"/>
      <c r="GC463" s="25"/>
      <c r="GD463" s="25"/>
      <c r="GE463" s="25"/>
      <c r="GF463" s="25"/>
      <c r="GG463" s="25"/>
      <c r="GH463" s="25"/>
      <c r="GI463" s="25"/>
      <c r="GJ463" s="25"/>
      <c r="GK463" s="25"/>
      <c r="GL463" s="25"/>
      <c r="GM463" s="25"/>
      <c r="GN463" s="25"/>
      <c r="GO463" s="25"/>
      <c r="GP463" s="25"/>
      <c r="GQ463" s="25"/>
      <c r="GR463" s="25"/>
      <c r="GS463" s="25"/>
      <c r="GT463" s="25"/>
      <c r="GU463" s="25"/>
      <c r="GV463" s="25"/>
      <c r="GW463" s="25"/>
      <c r="GX463" s="25"/>
      <c r="GY463" s="25"/>
      <c r="GZ463" s="25"/>
      <c r="HA463" s="25"/>
      <c r="HB463" s="25"/>
      <c r="HC463" s="25"/>
      <c r="HD463" s="25"/>
      <c r="HE463" s="25"/>
      <c r="HF463" s="25"/>
      <c r="HG463" s="25"/>
      <c r="HH463" s="25"/>
      <c r="HI463" s="25"/>
      <c r="HJ463" s="25"/>
      <c r="HK463" s="25"/>
      <c r="HL463" s="25"/>
      <c r="HM463" s="25"/>
      <c r="HN463" s="25"/>
      <c r="HO463" s="25"/>
      <c r="HP463" s="25"/>
      <c r="HQ463" s="25"/>
      <c r="HR463" s="25"/>
      <c r="HS463" s="25"/>
      <c r="HT463" s="25"/>
      <c r="HU463" s="25"/>
      <c r="HV463" s="25"/>
      <c r="HW463" s="25"/>
      <c r="HX463" s="25"/>
      <c r="HY463" s="25"/>
      <c r="HZ463" s="25"/>
      <c r="IA463" s="25"/>
      <c r="IB463" s="25"/>
      <c r="IC463" s="25"/>
      <c r="ID463" s="25"/>
      <c r="IE463" s="25"/>
      <c r="IF463" s="25"/>
      <c r="IG463" s="25"/>
      <c r="IH463" s="25"/>
      <c r="II463" s="25"/>
      <c r="IJ463" s="25"/>
      <c r="IK463" s="25"/>
      <c r="IL463" s="25"/>
      <c r="IM463" s="25"/>
      <c r="IN463" s="25"/>
      <c r="IO463" s="25"/>
      <c r="IP463" s="25"/>
      <c r="IQ463" s="25"/>
      <c r="IR463" s="25"/>
      <c r="IS463" s="25"/>
      <c r="IT463" s="25"/>
      <c r="IU463" s="25"/>
      <c r="IV463" s="25"/>
      <c r="IW463" s="25"/>
      <c r="IX463" s="25"/>
      <c r="IY463" s="25"/>
      <c r="IZ463" s="25"/>
      <c r="JA463" s="25"/>
      <c r="JB463" s="25"/>
      <c r="JC463" s="25"/>
      <c r="JD463" s="25"/>
      <c r="JE463" s="25"/>
      <c r="JF463" s="25"/>
      <c r="JG463" s="25"/>
      <c r="JH463" s="25"/>
      <c r="JI463" s="25"/>
      <c r="JJ463" s="25"/>
      <c r="JK463" s="25"/>
      <c r="JL463" s="25"/>
      <c r="JM463" s="25"/>
      <c r="JN463" s="25"/>
      <c r="JO463" s="25"/>
      <c r="JP463" s="25"/>
      <c r="JQ463" s="25"/>
      <c r="JR463" s="25"/>
      <c r="JS463" s="25"/>
      <c r="JT463" s="25"/>
      <c r="JU463" s="25"/>
      <c r="JV463" s="25"/>
      <c r="JW463" s="25"/>
      <c r="JX463" s="25"/>
      <c r="JY463" s="25"/>
      <c r="JZ463" s="25"/>
      <c r="KA463" s="25"/>
      <c r="KB463" s="25"/>
      <c r="KC463" s="25"/>
      <c r="KD463" s="25"/>
      <c r="KE463" s="25"/>
      <c r="KF463" s="25"/>
      <c r="KG463" s="25"/>
      <c r="KH463" s="25"/>
      <c r="KI463" s="25"/>
      <c r="KJ463" s="25"/>
      <c r="KK463" s="25"/>
      <c r="KL463" s="25"/>
      <c r="KM463" s="25"/>
      <c r="KN463" s="25"/>
      <c r="KO463" s="25"/>
      <c r="KP463" s="25"/>
      <c r="KQ463" s="25"/>
      <c r="KR463" s="25"/>
      <c r="KS463" s="25"/>
      <c r="KT463" s="25"/>
      <c r="KU463" s="25"/>
      <c r="KV463" s="25"/>
      <c r="KW463" s="25"/>
      <c r="KX463" s="25"/>
      <c r="KY463" s="25"/>
      <c r="KZ463" s="25"/>
      <c r="LA463" s="25"/>
      <c r="LB463" s="25"/>
      <c r="LC463" s="25"/>
      <c r="LD463" s="25"/>
      <c r="LE463" s="25"/>
      <c r="LF463" s="25"/>
      <c r="LG463" s="25"/>
      <c r="LH463" s="25"/>
      <c r="LI463" s="25"/>
      <c r="LJ463" s="25"/>
      <c r="LK463" s="25"/>
      <c r="LL463" s="25"/>
      <c r="LM463" s="25"/>
      <c r="LN463" s="25"/>
      <c r="LO463" s="25"/>
      <c r="LP463" s="25"/>
      <c r="LQ463" s="25"/>
      <c r="LR463" s="25"/>
      <c r="LS463" s="25"/>
      <c r="LT463" s="25"/>
      <c r="LU463" s="25"/>
      <c r="LV463" s="25"/>
      <c r="LW463" s="25"/>
      <c r="LX463" s="25"/>
      <c r="LY463" s="25"/>
      <c r="LZ463" s="25"/>
      <c r="MA463" s="25"/>
      <c r="MB463" s="25"/>
      <c r="MC463" s="25"/>
      <c r="MD463" s="25"/>
      <c r="ME463" s="25"/>
      <c r="MF463" s="25"/>
      <c r="MG463" s="25"/>
      <c r="MH463" s="25"/>
      <c r="MI463" s="25"/>
      <c r="MJ463" s="25"/>
      <c r="MK463" s="25"/>
      <c r="ML463" s="25"/>
      <c r="MM463" s="25"/>
      <c r="MN463" s="25"/>
      <c r="MO463" s="25"/>
      <c r="MP463" s="25"/>
      <c r="MQ463" s="25"/>
      <c r="MR463" s="25"/>
      <c r="MS463" s="25"/>
      <c r="MT463" s="25"/>
      <c r="MU463" s="25"/>
      <c r="MV463" s="25"/>
      <c r="MW463" s="25"/>
      <c r="MX463" s="25"/>
      <c r="MY463" s="25"/>
      <c r="MZ463" s="25"/>
      <c r="NA463" s="25"/>
      <c r="NB463" s="25"/>
      <c r="NC463" s="25"/>
      <c r="ND463" s="25"/>
      <c r="NE463" s="25"/>
      <c r="NF463" s="25"/>
      <c r="NG463" s="25"/>
      <c r="NH463" s="25"/>
      <c r="NI463" s="25"/>
      <c r="NJ463" s="25"/>
      <c r="NK463" s="25"/>
      <c r="NL463" s="25"/>
      <c r="NM463" s="25"/>
      <c r="NN463" s="25"/>
      <c r="NO463" s="25"/>
      <c r="NP463" s="25"/>
      <c r="NQ463" s="25"/>
      <c r="NR463" s="25"/>
      <c r="NS463" s="25"/>
      <c r="NT463" s="25"/>
      <c r="NU463" s="25"/>
      <c r="NV463" s="25"/>
      <c r="NW463" s="25"/>
      <c r="NX463" s="25"/>
      <c r="NY463" s="25"/>
      <c r="NZ463" s="25"/>
      <c r="OA463" s="25"/>
      <c r="OB463" s="25"/>
      <c r="OC463" s="25"/>
      <c r="OD463" s="25"/>
      <c r="OE463" s="25"/>
      <c r="OF463" s="25"/>
      <c r="OG463" s="25"/>
      <c r="OH463" s="25"/>
      <c r="OI463" s="25"/>
      <c r="OJ463" s="25"/>
      <c r="OK463" s="25"/>
      <c r="OL463" s="25"/>
      <c r="OM463" s="25"/>
      <c r="ON463" s="25"/>
      <c r="OO463" s="25"/>
      <c r="OP463" s="25"/>
      <c r="OQ463" s="25"/>
      <c r="OR463" s="25"/>
      <c r="OS463" s="25"/>
      <c r="OT463" s="25"/>
      <c r="OU463" s="25"/>
      <c r="OV463" s="25"/>
      <c r="OW463" s="25"/>
      <c r="OX463" s="25"/>
      <c r="OY463" s="25"/>
      <c r="OZ463" s="25"/>
      <c r="PA463" s="25"/>
      <c r="PB463" s="25"/>
      <c r="PC463" s="25"/>
      <c r="PD463" s="25"/>
      <c r="PE463" s="25"/>
      <c r="PF463" s="25"/>
      <c r="PG463" s="25"/>
      <c r="PH463" s="25"/>
      <c r="PI463" s="25"/>
      <c r="PJ463" s="25"/>
      <c r="PK463" s="25"/>
      <c r="PL463" s="25"/>
      <c r="PM463" s="25"/>
      <c r="PN463" s="25"/>
      <c r="PO463" s="25"/>
      <c r="PP463" s="25"/>
      <c r="PQ463" s="25"/>
      <c r="PR463" s="25"/>
      <c r="PS463" s="25"/>
      <c r="PT463" s="25"/>
      <c r="PU463" s="25"/>
      <c r="PV463" s="25"/>
      <c r="PW463" s="25"/>
      <c r="PX463" s="25"/>
      <c r="PY463" s="25"/>
      <c r="PZ463" s="25"/>
      <c r="QA463" s="25"/>
      <c r="QB463" s="25"/>
      <c r="QC463" s="25"/>
      <c r="QD463" s="25"/>
      <c r="QE463" s="25"/>
      <c r="QF463" s="25"/>
      <c r="QG463" s="25"/>
      <c r="QH463" s="25"/>
      <c r="QI463" s="25"/>
      <c r="QJ463" s="25"/>
      <c r="QK463" s="25"/>
      <c r="QL463" s="25"/>
      <c r="QM463" s="25"/>
      <c r="QN463" s="25"/>
      <c r="QO463" s="25"/>
      <c r="QP463" s="25"/>
      <c r="QQ463" s="25"/>
      <c r="QR463" s="25"/>
      <c r="QS463" s="25"/>
      <c r="QT463" s="25"/>
      <c r="QU463" s="25"/>
      <c r="QV463" s="25"/>
      <c r="QW463" s="25"/>
      <c r="QX463" s="25"/>
      <c r="QY463" s="25"/>
      <c r="QZ463" s="25"/>
      <c r="RA463" s="25"/>
      <c r="RB463" s="25"/>
      <c r="RC463" s="25"/>
      <c r="RD463" s="25"/>
      <c r="RE463" s="25"/>
      <c r="RF463" s="25"/>
      <c r="RG463" s="25"/>
      <c r="RH463" s="25"/>
      <c r="RI463" s="25"/>
      <c r="RJ463" s="25"/>
      <c r="RK463" s="25"/>
      <c r="RL463" s="25"/>
      <c r="RM463" s="25"/>
      <c r="RN463" s="25"/>
      <c r="RO463" s="25"/>
      <c r="RP463" s="25"/>
      <c r="RQ463" s="25"/>
      <c r="RR463" s="25"/>
      <c r="RS463" s="25"/>
      <c r="RT463" s="25"/>
      <c r="RU463" s="25"/>
      <c r="RV463" s="25"/>
      <c r="RW463" s="25"/>
      <c r="RX463" s="25"/>
      <c r="RY463" s="25"/>
      <c r="RZ463" s="25"/>
      <c r="SA463" s="25"/>
      <c r="SB463" s="25"/>
      <c r="SC463" s="25"/>
      <c r="SD463" s="25"/>
      <c r="SE463" s="25"/>
      <c r="SF463" s="25"/>
      <c r="SG463" s="25"/>
      <c r="SH463" s="25"/>
      <c r="SI463" s="25"/>
      <c r="SJ463" s="25"/>
      <c r="SK463" s="25"/>
      <c r="SL463" s="25"/>
      <c r="SM463" s="25"/>
      <c r="SN463" s="25"/>
      <c r="SO463" s="25"/>
      <c r="SP463" s="25"/>
      <c r="SQ463" s="25"/>
      <c r="SR463" s="25"/>
      <c r="SS463" s="25"/>
      <c r="ST463" s="25"/>
      <c r="SU463" s="25"/>
      <c r="SV463" s="25"/>
      <c r="SW463" s="25"/>
      <c r="SX463" s="25"/>
      <c r="SY463" s="25"/>
      <c r="SZ463" s="25"/>
      <c r="TA463" s="25"/>
      <c r="TB463" s="25"/>
      <c r="TC463" s="25"/>
      <c r="TD463" s="25"/>
      <c r="TE463" s="25"/>
      <c r="TF463" s="25"/>
      <c r="TG463" s="25"/>
      <c r="TH463" s="25"/>
      <c r="TI463" s="25"/>
      <c r="TJ463" s="25"/>
      <c r="TK463" s="25"/>
      <c r="TL463" s="25"/>
      <c r="TM463" s="25"/>
      <c r="TN463" s="25"/>
      <c r="TO463" s="25"/>
      <c r="TP463" s="25"/>
      <c r="TQ463" s="25"/>
      <c r="TR463" s="25"/>
      <c r="TS463" s="25"/>
      <c r="TT463" s="25"/>
      <c r="TU463" s="25"/>
      <c r="TV463" s="25"/>
      <c r="TW463" s="25"/>
      <c r="TX463" s="25"/>
      <c r="TY463" s="25"/>
      <c r="TZ463" s="25"/>
      <c r="UA463" s="25"/>
      <c r="UB463" s="25"/>
      <c r="UC463" s="25"/>
      <c r="UD463" s="25"/>
      <c r="UE463" s="25"/>
      <c r="UF463" s="25"/>
      <c r="UG463" s="26"/>
    </row>
    <row r="464" spans="1:553" ht="30.75" customHeight="1">
      <c r="A464" s="356" t="s">
        <v>15</v>
      </c>
      <c r="B464" s="385" t="s">
        <v>37</v>
      </c>
      <c r="C464" s="1404" t="s">
        <v>356</v>
      </c>
      <c r="D464" s="1389"/>
      <c r="E464" s="1389"/>
      <c r="F464" s="1390"/>
      <c r="G464" s="386" t="s">
        <v>935</v>
      </c>
      <c r="H464" s="370"/>
      <c r="I464" s="422">
        <f t="shared" si="90"/>
        <v>4.93</v>
      </c>
      <c r="J464" s="368">
        <v>137200</v>
      </c>
      <c r="K464" s="371"/>
      <c r="L464" s="391">
        <f t="shared" si="87"/>
        <v>676396</v>
      </c>
      <c r="M464" s="391"/>
      <c r="N464" s="391"/>
      <c r="O464" s="391"/>
      <c r="P464" s="391"/>
      <c r="Q464" s="1444"/>
      <c r="R464" s="1226"/>
      <c r="S464" s="308"/>
      <c r="T464" s="303"/>
      <c r="U464" s="306"/>
      <c r="V464" s="307"/>
      <c r="W464" s="306"/>
      <c r="X464" s="306"/>
      <c r="Y464" s="306"/>
      <c r="Z464" s="306"/>
      <c r="AA464" s="306"/>
      <c r="AB464" s="306"/>
      <c r="AC464" s="449"/>
      <c r="AD464" s="449"/>
      <c r="AE464" s="449"/>
      <c r="AF464" s="449"/>
      <c r="AG464" s="449"/>
      <c r="AH464" s="449"/>
      <c r="AI464" s="449"/>
      <c r="AJ464" s="449"/>
      <c r="AK464" s="452"/>
      <c r="AL464" s="104"/>
      <c r="AM464" s="32"/>
      <c r="AN464" s="32"/>
      <c r="AO464" s="32"/>
      <c r="AP464" s="32"/>
      <c r="AQ464" s="32"/>
      <c r="AR464" s="32"/>
      <c r="AS464" s="31"/>
      <c r="AT464" s="31"/>
      <c r="AU464" s="31"/>
      <c r="AV464" s="31"/>
      <c r="AW464" s="31"/>
      <c r="AX464" s="31"/>
      <c r="AY464" s="31"/>
      <c r="AZ464" s="31"/>
      <c r="BA464" s="31"/>
      <c r="BB464" s="31"/>
      <c r="BC464" s="31"/>
      <c r="BD464" s="31"/>
      <c r="BE464" s="31"/>
      <c r="BF464" s="31"/>
      <c r="BG464" s="31"/>
      <c r="BH464" s="31"/>
      <c r="BI464" s="31"/>
      <c r="BJ464" s="31"/>
      <c r="BK464" s="31"/>
      <c r="BL464" s="31"/>
      <c r="BM464" s="31"/>
      <c r="BN464" s="31"/>
      <c r="BO464" s="31"/>
      <c r="BP464" s="31"/>
      <c r="BQ464" s="31"/>
      <c r="BR464" s="31"/>
      <c r="BS464" s="31"/>
      <c r="BT464" s="31"/>
      <c r="BU464" s="31"/>
      <c r="BV464" s="31"/>
      <c r="BW464" s="31"/>
      <c r="BX464" s="31"/>
      <c r="BY464" s="31"/>
      <c r="BZ464" s="31"/>
      <c r="CA464" s="31"/>
      <c r="CB464" s="31"/>
      <c r="CC464" s="31"/>
      <c r="CD464" s="31"/>
      <c r="CE464" s="31"/>
      <c r="CF464" s="31"/>
      <c r="CG464" s="31"/>
      <c r="CH464" s="31"/>
      <c r="CI464" s="31"/>
      <c r="CJ464" s="31"/>
      <c r="CK464" s="31"/>
      <c r="CL464" s="31"/>
      <c r="CM464" s="31"/>
      <c r="CN464" s="31"/>
      <c r="CO464" s="31"/>
      <c r="CP464" s="31"/>
      <c r="CQ464" s="31"/>
      <c r="CR464" s="31"/>
      <c r="CS464" s="31"/>
      <c r="CT464" s="31"/>
      <c r="CU464" s="31"/>
      <c r="CV464" s="31"/>
      <c r="CW464" s="31"/>
      <c r="CX464" s="31"/>
      <c r="CY464" s="31"/>
      <c r="CZ464" s="31"/>
      <c r="DA464" s="31"/>
      <c r="DB464" s="31"/>
      <c r="DC464" s="31"/>
      <c r="DD464" s="31"/>
      <c r="DE464" s="31"/>
      <c r="DF464" s="31"/>
      <c r="DG464" s="31"/>
      <c r="DH464" s="31"/>
      <c r="DI464" s="31"/>
      <c r="DJ464" s="31"/>
      <c r="DK464" s="31"/>
      <c r="DL464" s="31"/>
      <c r="DM464" s="31"/>
      <c r="DN464" s="31"/>
      <c r="DO464" s="31"/>
      <c r="DP464" s="31"/>
      <c r="DQ464" s="31"/>
      <c r="DR464" s="31"/>
      <c r="DS464" s="31"/>
      <c r="DT464" s="31"/>
      <c r="DU464" s="31"/>
      <c r="DV464" s="31"/>
      <c r="DW464" s="31"/>
      <c r="DX464" s="31"/>
      <c r="DY464" s="31"/>
      <c r="DZ464" s="31"/>
      <c r="EA464" s="31"/>
      <c r="EB464" s="31"/>
      <c r="EC464" s="31"/>
      <c r="ED464" s="31"/>
      <c r="EE464" s="31"/>
      <c r="EF464" s="31"/>
      <c r="EG464" s="31"/>
      <c r="EH464" s="31"/>
      <c r="EI464" s="31"/>
      <c r="EJ464" s="31"/>
      <c r="EK464" s="31"/>
      <c r="EL464" s="31"/>
      <c r="EM464" s="31"/>
      <c r="EN464" s="31"/>
      <c r="EO464" s="31"/>
      <c r="EP464" s="31"/>
      <c r="EQ464" s="31"/>
      <c r="ER464" s="31"/>
      <c r="ES464" s="31"/>
      <c r="ET464" s="31"/>
      <c r="EU464" s="31"/>
      <c r="EV464" s="31"/>
      <c r="EW464" s="31"/>
      <c r="EX464" s="31"/>
      <c r="EY464" s="31"/>
      <c r="EZ464" s="31"/>
      <c r="FA464" s="31"/>
      <c r="FB464" s="31"/>
      <c r="FC464" s="31"/>
      <c r="FD464" s="31"/>
      <c r="FE464" s="31"/>
      <c r="FF464" s="31"/>
      <c r="FG464" s="31"/>
      <c r="FH464" s="31"/>
      <c r="FI464" s="31"/>
      <c r="FJ464" s="31"/>
      <c r="FK464" s="31"/>
      <c r="FL464" s="31"/>
      <c r="FM464" s="31"/>
      <c r="FN464" s="31"/>
      <c r="FO464" s="31"/>
      <c r="FP464" s="31"/>
      <c r="FQ464" s="31"/>
      <c r="FR464" s="31"/>
      <c r="FS464" s="31"/>
      <c r="FT464" s="31"/>
      <c r="FU464" s="31"/>
      <c r="FV464" s="31"/>
      <c r="FW464" s="31"/>
      <c r="FX464" s="31"/>
      <c r="FY464" s="31"/>
      <c r="FZ464" s="31"/>
      <c r="GA464" s="31"/>
      <c r="GB464" s="31"/>
      <c r="GC464" s="31"/>
      <c r="GD464" s="31"/>
      <c r="GE464" s="31"/>
      <c r="GF464" s="31"/>
      <c r="GG464" s="31"/>
      <c r="GH464" s="31"/>
      <c r="GI464" s="31"/>
      <c r="GJ464" s="31"/>
      <c r="GK464" s="31"/>
      <c r="GL464" s="31"/>
      <c r="GM464" s="31"/>
      <c r="GN464" s="31"/>
      <c r="GO464" s="31"/>
      <c r="GP464" s="31"/>
      <c r="GQ464" s="31"/>
      <c r="GR464" s="31"/>
      <c r="GS464" s="31"/>
      <c r="GT464" s="31"/>
      <c r="GU464" s="31"/>
      <c r="GV464" s="31"/>
      <c r="GW464" s="31"/>
      <c r="GX464" s="31"/>
      <c r="GY464" s="31"/>
      <c r="GZ464" s="31"/>
      <c r="HA464" s="31"/>
      <c r="HB464" s="31"/>
      <c r="HC464" s="31"/>
      <c r="HD464" s="31"/>
      <c r="HE464" s="31"/>
      <c r="HF464" s="31"/>
      <c r="HG464" s="31"/>
      <c r="HH464" s="31"/>
      <c r="HI464" s="31"/>
      <c r="HJ464" s="31"/>
      <c r="HK464" s="31"/>
      <c r="HL464" s="31"/>
      <c r="HM464" s="31"/>
      <c r="HN464" s="31"/>
      <c r="HO464" s="31"/>
      <c r="HP464" s="31"/>
      <c r="HQ464" s="31"/>
      <c r="HR464" s="31"/>
      <c r="HS464" s="31"/>
      <c r="HT464" s="31"/>
      <c r="HU464" s="31"/>
      <c r="HV464" s="31"/>
      <c r="HW464" s="31"/>
      <c r="HX464" s="31"/>
      <c r="HY464" s="31"/>
      <c r="HZ464" s="31"/>
      <c r="IA464" s="31"/>
      <c r="IB464" s="31"/>
      <c r="IC464" s="31"/>
      <c r="ID464" s="31"/>
      <c r="IE464" s="31"/>
      <c r="IF464" s="31"/>
      <c r="IG464" s="31"/>
      <c r="IH464" s="31"/>
      <c r="II464" s="31"/>
      <c r="IJ464" s="31"/>
      <c r="IK464" s="31"/>
      <c r="IL464" s="31"/>
      <c r="IM464" s="31"/>
      <c r="IN464" s="31"/>
      <c r="IO464" s="31"/>
      <c r="IP464" s="31"/>
      <c r="IQ464" s="31"/>
      <c r="IR464" s="31"/>
      <c r="IS464" s="31"/>
      <c r="IT464" s="31"/>
      <c r="IU464" s="31"/>
      <c r="IV464" s="31"/>
      <c r="IW464" s="31"/>
      <c r="IX464" s="31"/>
      <c r="IY464" s="31"/>
      <c r="IZ464" s="31"/>
      <c r="JA464" s="31"/>
      <c r="JB464" s="31"/>
      <c r="JC464" s="31"/>
      <c r="JD464" s="31"/>
      <c r="JE464" s="31"/>
      <c r="JF464" s="31"/>
      <c r="JG464" s="31"/>
      <c r="JH464" s="31"/>
      <c r="JI464" s="31"/>
      <c r="JJ464" s="31"/>
      <c r="JK464" s="31"/>
      <c r="JL464" s="31"/>
      <c r="JM464" s="31"/>
      <c r="JN464" s="31"/>
      <c r="JO464" s="31"/>
      <c r="JP464" s="31"/>
      <c r="JQ464" s="31"/>
      <c r="JR464" s="31"/>
      <c r="JS464" s="31"/>
      <c r="JT464" s="31"/>
      <c r="JU464" s="31"/>
      <c r="JV464" s="31"/>
      <c r="JW464" s="31"/>
      <c r="JX464" s="31"/>
      <c r="JY464" s="31"/>
      <c r="JZ464" s="31"/>
      <c r="KA464" s="31"/>
      <c r="KB464" s="31"/>
      <c r="KC464" s="31"/>
      <c r="KD464" s="31"/>
      <c r="KE464" s="31"/>
      <c r="KF464" s="31"/>
      <c r="KG464" s="31"/>
      <c r="KH464" s="31"/>
      <c r="KI464" s="31"/>
      <c r="KJ464" s="31"/>
      <c r="KK464" s="31"/>
      <c r="KL464" s="31"/>
      <c r="KM464" s="31"/>
      <c r="KN464" s="31"/>
      <c r="KO464" s="31"/>
      <c r="KP464" s="31"/>
      <c r="KQ464" s="31"/>
      <c r="KR464" s="31"/>
      <c r="KS464" s="31"/>
      <c r="KT464" s="31"/>
      <c r="KU464" s="31"/>
      <c r="KV464" s="31"/>
      <c r="KW464" s="31"/>
      <c r="KX464" s="31"/>
      <c r="KY464" s="31"/>
      <c r="KZ464" s="31"/>
      <c r="LA464" s="31"/>
      <c r="LB464" s="31"/>
      <c r="LC464" s="31"/>
      <c r="LD464" s="31"/>
      <c r="LE464" s="31"/>
      <c r="LF464" s="31"/>
      <c r="LG464" s="31"/>
      <c r="LH464" s="31"/>
      <c r="LI464" s="31"/>
      <c r="LJ464" s="31"/>
      <c r="LK464" s="31"/>
      <c r="LL464" s="31"/>
      <c r="LM464" s="31"/>
      <c r="LN464" s="31"/>
      <c r="LO464" s="31"/>
      <c r="LP464" s="31"/>
      <c r="LQ464" s="31"/>
      <c r="LR464" s="31"/>
      <c r="LS464" s="31"/>
      <c r="LT464" s="31"/>
      <c r="LU464" s="31"/>
      <c r="LV464" s="31"/>
      <c r="LW464" s="31"/>
      <c r="LX464" s="31"/>
      <c r="LY464" s="31"/>
      <c r="LZ464" s="31"/>
      <c r="MA464" s="31"/>
      <c r="MB464" s="31"/>
      <c r="MC464" s="31"/>
      <c r="MD464" s="31"/>
      <c r="ME464" s="31"/>
      <c r="MF464" s="31"/>
      <c r="MG464" s="31"/>
      <c r="MH464" s="31"/>
      <c r="MI464" s="31"/>
      <c r="MJ464" s="31"/>
      <c r="MK464" s="31"/>
      <c r="ML464" s="31"/>
      <c r="MM464" s="31"/>
      <c r="MN464" s="31"/>
      <c r="MO464" s="31"/>
      <c r="MP464" s="31"/>
      <c r="MQ464" s="31"/>
      <c r="MR464" s="31"/>
      <c r="MS464" s="31"/>
      <c r="MT464" s="31"/>
      <c r="MU464" s="31"/>
      <c r="MV464" s="31"/>
      <c r="MW464" s="31"/>
      <c r="MX464" s="31"/>
      <c r="MY464" s="31"/>
      <c r="MZ464" s="31"/>
      <c r="NA464" s="31"/>
      <c r="NB464" s="31"/>
      <c r="NC464" s="31"/>
      <c r="ND464" s="31"/>
      <c r="NE464" s="31"/>
      <c r="NF464" s="31"/>
      <c r="NG464" s="31"/>
      <c r="NH464" s="31"/>
      <c r="NI464" s="31"/>
      <c r="NJ464" s="31"/>
      <c r="NK464" s="31"/>
      <c r="NL464" s="31"/>
      <c r="NM464" s="31"/>
      <c r="NN464" s="31"/>
      <c r="NO464" s="31"/>
      <c r="NP464" s="31"/>
      <c r="NQ464" s="31"/>
      <c r="NR464" s="31"/>
      <c r="NS464" s="31"/>
      <c r="NT464" s="31"/>
      <c r="NU464" s="31"/>
      <c r="NV464" s="31"/>
      <c r="NW464" s="31"/>
      <c r="NX464" s="31"/>
      <c r="NY464" s="31"/>
      <c r="NZ464" s="31"/>
      <c r="OA464" s="31"/>
      <c r="OB464" s="31"/>
      <c r="OC464" s="31"/>
      <c r="OD464" s="31"/>
      <c r="OE464" s="31"/>
      <c r="OF464" s="31"/>
      <c r="OG464" s="31"/>
      <c r="OH464" s="31"/>
      <c r="OI464" s="31"/>
      <c r="OJ464" s="31"/>
      <c r="OK464" s="31"/>
      <c r="OL464" s="31"/>
      <c r="OM464" s="31"/>
      <c r="ON464" s="31"/>
      <c r="OO464" s="31"/>
      <c r="OP464" s="31"/>
      <c r="OQ464" s="31"/>
      <c r="OR464" s="31"/>
      <c r="OS464" s="31"/>
      <c r="OT464" s="31"/>
      <c r="OU464" s="31"/>
      <c r="OV464" s="31"/>
      <c r="OW464" s="31"/>
      <c r="OX464" s="31"/>
      <c r="OY464" s="31"/>
      <c r="OZ464" s="31"/>
      <c r="PA464" s="31"/>
      <c r="PB464" s="31"/>
      <c r="PC464" s="31"/>
      <c r="PD464" s="31"/>
      <c r="PE464" s="31"/>
      <c r="PF464" s="31"/>
      <c r="PG464" s="31"/>
      <c r="PH464" s="31"/>
      <c r="PI464" s="31"/>
      <c r="PJ464" s="31"/>
      <c r="PK464" s="31"/>
      <c r="PL464" s="31"/>
      <c r="PM464" s="31"/>
      <c r="PN464" s="31"/>
      <c r="PO464" s="31"/>
      <c r="PP464" s="31"/>
      <c r="PQ464" s="31"/>
      <c r="PR464" s="31"/>
      <c r="PS464" s="31"/>
      <c r="PT464" s="31"/>
      <c r="PU464" s="31"/>
      <c r="PV464" s="31"/>
      <c r="PW464" s="31"/>
      <c r="PX464" s="31"/>
      <c r="PY464" s="31"/>
      <c r="PZ464" s="31"/>
      <c r="QA464" s="31"/>
      <c r="QB464" s="31"/>
      <c r="QC464" s="31"/>
      <c r="QD464" s="31"/>
      <c r="QE464" s="31"/>
      <c r="QF464" s="31"/>
      <c r="QG464" s="31"/>
      <c r="QH464" s="31"/>
      <c r="QI464" s="31"/>
      <c r="QJ464" s="31"/>
      <c r="QK464" s="31"/>
      <c r="QL464" s="31"/>
      <c r="QM464" s="31"/>
      <c r="QN464" s="31"/>
      <c r="QO464" s="31"/>
      <c r="QP464" s="31"/>
      <c r="QQ464" s="31"/>
      <c r="QR464" s="31"/>
      <c r="QS464" s="31"/>
      <c r="QT464" s="31"/>
      <c r="QU464" s="31"/>
      <c r="QV464" s="31"/>
      <c r="QW464" s="31"/>
      <c r="QX464" s="31"/>
      <c r="QY464" s="31"/>
      <c r="QZ464" s="31"/>
      <c r="RA464" s="31"/>
      <c r="RB464" s="31"/>
      <c r="RC464" s="31"/>
      <c r="RD464" s="31"/>
      <c r="RE464" s="31"/>
      <c r="RF464" s="31"/>
      <c r="RG464" s="31"/>
      <c r="RH464" s="31"/>
      <c r="RI464" s="31"/>
      <c r="RJ464" s="31"/>
      <c r="RK464" s="31"/>
      <c r="RL464" s="31"/>
      <c r="RM464" s="31"/>
      <c r="RN464" s="31"/>
      <c r="RO464" s="31"/>
      <c r="RP464" s="31"/>
      <c r="RQ464" s="31"/>
      <c r="RR464" s="31"/>
      <c r="RS464" s="31"/>
      <c r="RT464" s="31"/>
      <c r="RU464" s="31"/>
      <c r="RV464" s="31"/>
      <c r="RW464" s="31"/>
      <c r="RX464" s="31"/>
      <c r="RY464" s="31"/>
      <c r="RZ464" s="31"/>
      <c r="SA464" s="31"/>
      <c r="SB464" s="31"/>
      <c r="SC464" s="31"/>
      <c r="SD464" s="31"/>
      <c r="SE464" s="31"/>
      <c r="SF464" s="31"/>
      <c r="SG464" s="31"/>
      <c r="SH464" s="31"/>
      <c r="SI464" s="31"/>
      <c r="SJ464" s="31"/>
      <c r="SK464" s="31"/>
      <c r="SL464" s="31"/>
      <c r="SM464" s="31"/>
      <c r="SN464" s="31"/>
      <c r="SO464" s="31"/>
      <c r="SP464" s="31"/>
      <c r="SQ464" s="31"/>
      <c r="SR464" s="31"/>
      <c r="SS464" s="31"/>
      <c r="ST464" s="31"/>
      <c r="SU464" s="31"/>
      <c r="SV464" s="31"/>
      <c r="SW464" s="31"/>
      <c r="SX464" s="31"/>
      <c r="SY464" s="31"/>
      <c r="SZ464" s="31"/>
      <c r="TA464" s="31"/>
      <c r="TB464" s="31"/>
      <c r="TC464" s="31"/>
      <c r="TD464" s="31"/>
      <c r="TE464" s="31"/>
      <c r="TF464" s="31"/>
      <c r="TG464" s="31"/>
      <c r="TH464" s="31"/>
      <c r="TI464" s="31"/>
      <c r="TJ464" s="31"/>
      <c r="TK464" s="31"/>
      <c r="TL464" s="31"/>
      <c r="TM464" s="31"/>
      <c r="TN464" s="31"/>
      <c r="TO464" s="31"/>
      <c r="TP464" s="31"/>
      <c r="TQ464" s="31"/>
      <c r="TR464" s="31"/>
      <c r="TS464" s="31"/>
      <c r="TT464" s="31"/>
      <c r="TU464" s="31"/>
      <c r="TV464" s="31"/>
      <c r="TW464" s="31"/>
      <c r="TX464" s="31"/>
      <c r="TY464" s="31"/>
      <c r="TZ464" s="31"/>
      <c r="UA464" s="31"/>
      <c r="UB464" s="31"/>
      <c r="UC464" s="31"/>
      <c r="UD464" s="31"/>
      <c r="UE464" s="31"/>
      <c r="UF464" s="31"/>
      <c r="UG464" s="33"/>
    </row>
    <row r="465" spans="1:553" ht="30.75" customHeight="1">
      <c r="A465" s="356" t="s">
        <v>15</v>
      </c>
      <c r="B465" s="366" t="s">
        <v>31</v>
      </c>
      <c r="C465" s="1404" t="s">
        <v>357</v>
      </c>
      <c r="D465" s="1389"/>
      <c r="E465" s="1389"/>
      <c r="F465" s="1390"/>
      <c r="G465" s="386" t="s">
        <v>34</v>
      </c>
      <c r="H465" s="370"/>
      <c r="I465" s="422">
        <f>3.7*1*0.11</f>
        <v>0.40700000000000003</v>
      </c>
      <c r="J465" s="368">
        <v>1913917</v>
      </c>
      <c r="K465" s="371"/>
      <c r="L465" s="391">
        <f t="shared" si="87"/>
        <v>778964</v>
      </c>
      <c r="M465" s="391"/>
      <c r="N465" s="391"/>
      <c r="O465" s="391"/>
      <c r="P465" s="391"/>
      <c r="Q465" s="1445"/>
      <c r="R465" s="1226"/>
      <c r="S465" s="302"/>
      <c r="T465" s="399"/>
      <c r="U465" s="304"/>
      <c r="V465" s="304"/>
      <c r="W465" s="304"/>
      <c r="X465" s="304"/>
      <c r="Y465" s="304"/>
      <c r="Z465" s="304"/>
      <c r="AA465" s="304"/>
      <c r="AB465" s="304"/>
      <c r="AC465" s="449"/>
      <c r="AD465" s="449"/>
      <c r="AE465" s="449"/>
      <c r="AF465" s="449"/>
      <c r="AG465" s="449"/>
      <c r="AH465" s="449"/>
      <c r="AI465" s="449"/>
      <c r="AJ465" s="449"/>
      <c r="AK465" s="452"/>
      <c r="AL465" s="104"/>
      <c r="AM465" s="32"/>
      <c r="AN465" s="32"/>
      <c r="AO465" s="32"/>
      <c r="AP465" s="32"/>
      <c r="AQ465" s="32"/>
      <c r="AR465" s="32"/>
      <c r="AS465" s="31"/>
      <c r="AT465" s="31"/>
      <c r="AU465" s="31"/>
      <c r="AV465" s="31"/>
      <c r="AW465" s="31"/>
      <c r="AX465" s="31"/>
      <c r="AY465" s="31"/>
      <c r="AZ465" s="31"/>
      <c r="BA465" s="31"/>
      <c r="BB465" s="31"/>
      <c r="BC465" s="31"/>
      <c r="BD465" s="31"/>
      <c r="BE465" s="31"/>
      <c r="BF465" s="31"/>
      <c r="BG465" s="31"/>
      <c r="BH465" s="31"/>
      <c r="BI465" s="31"/>
      <c r="BJ465" s="31"/>
      <c r="BK465" s="31"/>
      <c r="BL465" s="31"/>
      <c r="BM465" s="31"/>
      <c r="BN465" s="31"/>
      <c r="BO465" s="31"/>
      <c r="BP465" s="31"/>
      <c r="BQ465" s="31"/>
      <c r="BR465" s="31"/>
      <c r="BS465" s="31"/>
      <c r="BT465" s="31"/>
      <c r="BU465" s="31"/>
      <c r="BV465" s="31"/>
      <c r="BW465" s="31"/>
      <c r="BX465" s="31"/>
      <c r="BY465" s="31"/>
      <c r="BZ465" s="31"/>
      <c r="CA465" s="31"/>
      <c r="CB465" s="31"/>
      <c r="CC465" s="31"/>
      <c r="CD465" s="31"/>
      <c r="CE465" s="31"/>
      <c r="CF465" s="31"/>
      <c r="CG465" s="31"/>
      <c r="CH465" s="31"/>
      <c r="CI465" s="31"/>
      <c r="CJ465" s="31"/>
      <c r="CK465" s="31"/>
      <c r="CL465" s="31"/>
      <c r="CM465" s="31"/>
      <c r="CN465" s="31"/>
      <c r="CO465" s="31"/>
      <c r="CP465" s="31"/>
      <c r="CQ465" s="31"/>
      <c r="CR465" s="31"/>
      <c r="CS465" s="31"/>
      <c r="CT465" s="31"/>
      <c r="CU465" s="31"/>
      <c r="CV465" s="31"/>
      <c r="CW465" s="31"/>
      <c r="CX465" s="31"/>
      <c r="CY465" s="31"/>
      <c r="CZ465" s="31"/>
      <c r="DA465" s="31"/>
      <c r="DB465" s="31"/>
      <c r="DC465" s="31"/>
      <c r="DD465" s="31"/>
      <c r="DE465" s="31"/>
      <c r="DF465" s="31"/>
      <c r="DG465" s="31"/>
      <c r="DH465" s="31"/>
      <c r="DI465" s="31"/>
      <c r="DJ465" s="31"/>
      <c r="DK465" s="31"/>
      <c r="DL465" s="31"/>
      <c r="DM465" s="31"/>
      <c r="DN465" s="31"/>
      <c r="DO465" s="31"/>
      <c r="DP465" s="31"/>
      <c r="DQ465" s="31"/>
      <c r="DR465" s="31"/>
      <c r="DS465" s="31"/>
      <c r="DT465" s="31"/>
      <c r="DU465" s="31"/>
      <c r="DV465" s="31"/>
      <c r="DW465" s="31"/>
      <c r="DX465" s="31"/>
      <c r="DY465" s="31"/>
      <c r="DZ465" s="31"/>
      <c r="EA465" s="31"/>
      <c r="EB465" s="31"/>
      <c r="EC465" s="31"/>
      <c r="ED465" s="31"/>
      <c r="EE465" s="31"/>
      <c r="EF465" s="31"/>
      <c r="EG465" s="31"/>
      <c r="EH465" s="31"/>
      <c r="EI465" s="31"/>
      <c r="EJ465" s="31"/>
      <c r="EK465" s="31"/>
      <c r="EL465" s="31"/>
      <c r="EM465" s="31"/>
      <c r="EN465" s="31"/>
      <c r="EO465" s="31"/>
      <c r="EP465" s="31"/>
      <c r="EQ465" s="31"/>
      <c r="ER465" s="31"/>
      <c r="ES465" s="31"/>
      <c r="ET465" s="31"/>
      <c r="EU465" s="31"/>
      <c r="EV465" s="31"/>
      <c r="EW465" s="31"/>
      <c r="EX465" s="31"/>
      <c r="EY465" s="31"/>
      <c r="EZ465" s="31"/>
      <c r="FA465" s="31"/>
      <c r="FB465" s="31"/>
      <c r="FC465" s="31"/>
      <c r="FD465" s="31"/>
      <c r="FE465" s="31"/>
      <c r="FF465" s="31"/>
      <c r="FG465" s="31"/>
      <c r="FH465" s="31"/>
      <c r="FI465" s="31"/>
      <c r="FJ465" s="31"/>
      <c r="FK465" s="31"/>
      <c r="FL465" s="31"/>
      <c r="FM465" s="31"/>
      <c r="FN465" s="31"/>
      <c r="FO465" s="31"/>
      <c r="FP465" s="31"/>
      <c r="FQ465" s="31"/>
      <c r="FR465" s="31"/>
      <c r="FS465" s="31"/>
      <c r="FT465" s="31"/>
      <c r="FU465" s="31"/>
      <c r="FV465" s="31"/>
      <c r="FW465" s="31"/>
      <c r="FX465" s="31"/>
      <c r="FY465" s="31"/>
      <c r="FZ465" s="31"/>
      <c r="GA465" s="31"/>
      <c r="GB465" s="31"/>
      <c r="GC465" s="31"/>
      <c r="GD465" s="31"/>
      <c r="GE465" s="31"/>
      <c r="GF465" s="31"/>
      <c r="GG465" s="31"/>
      <c r="GH465" s="31"/>
      <c r="GI465" s="31"/>
      <c r="GJ465" s="31"/>
      <c r="GK465" s="31"/>
      <c r="GL465" s="31"/>
      <c r="GM465" s="31"/>
      <c r="GN465" s="31"/>
      <c r="GO465" s="31"/>
      <c r="GP465" s="31"/>
      <c r="GQ465" s="31"/>
      <c r="GR465" s="31"/>
      <c r="GS465" s="31"/>
      <c r="GT465" s="31"/>
      <c r="GU465" s="31"/>
      <c r="GV465" s="31"/>
      <c r="GW465" s="31"/>
      <c r="GX465" s="31"/>
      <c r="GY465" s="31"/>
      <c r="GZ465" s="31"/>
      <c r="HA465" s="31"/>
      <c r="HB465" s="31"/>
      <c r="HC465" s="31"/>
      <c r="HD465" s="31"/>
      <c r="HE465" s="31"/>
      <c r="HF465" s="31"/>
      <c r="HG465" s="31"/>
      <c r="HH465" s="31"/>
      <c r="HI465" s="31"/>
      <c r="HJ465" s="31"/>
      <c r="HK465" s="31"/>
      <c r="HL465" s="31"/>
      <c r="HM465" s="31"/>
      <c r="HN465" s="31"/>
      <c r="HO465" s="31"/>
      <c r="HP465" s="31"/>
      <c r="HQ465" s="31"/>
      <c r="HR465" s="31"/>
      <c r="HS465" s="31"/>
      <c r="HT465" s="31"/>
      <c r="HU465" s="31"/>
      <c r="HV465" s="31"/>
      <c r="HW465" s="31"/>
      <c r="HX465" s="31"/>
      <c r="HY465" s="31"/>
      <c r="HZ465" s="31"/>
      <c r="IA465" s="31"/>
      <c r="IB465" s="31"/>
      <c r="IC465" s="31"/>
      <c r="ID465" s="31"/>
      <c r="IE465" s="31"/>
      <c r="IF465" s="31"/>
      <c r="IG465" s="31"/>
      <c r="IH465" s="31"/>
      <c r="II465" s="31"/>
      <c r="IJ465" s="31"/>
      <c r="IK465" s="31"/>
      <c r="IL465" s="31"/>
      <c r="IM465" s="31"/>
      <c r="IN465" s="31"/>
      <c r="IO465" s="31"/>
      <c r="IP465" s="31"/>
      <c r="IQ465" s="31"/>
      <c r="IR465" s="31"/>
      <c r="IS465" s="31"/>
      <c r="IT465" s="31"/>
      <c r="IU465" s="31"/>
      <c r="IV465" s="31"/>
      <c r="IW465" s="31"/>
      <c r="IX465" s="31"/>
      <c r="IY465" s="31"/>
      <c r="IZ465" s="31"/>
      <c r="JA465" s="31"/>
      <c r="JB465" s="31"/>
      <c r="JC465" s="31"/>
      <c r="JD465" s="31"/>
      <c r="JE465" s="31"/>
      <c r="JF465" s="31"/>
      <c r="JG465" s="31"/>
      <c r="JH465" s="31"/>
      <c r="JI465" s="31"/>
      <c r="JJ465" s="31"/>
      <c r="JK465" s="31"/>
      <c r="JL465" s="31"/>
      <c r="JM465" s="31"/>
      <c r="JN465" s="31"/>
      <c r="JO465" s="31"/>
      <c r="JP465" s="31"/>
      <c r="JQ465" s="31"/>
      <c r="JR465" s="31"/>
      <c r="JS465" s="31"/>
      <c r="JT465" s="31"/>
      <c r="JU465" s="31"/>
      <c r="JV465" s="31"/>
      <c r="JW465" s="31"/>
      <c r="JX465" s="31"/>
      <c r="JY465" s="31"/>
      <c r="JZ465" s="31"/>
      <c r="KA465" s="31"/>
      <c r="KB465" s="31"/>
      <c r="KC465" s="31"/>
      <c r="KD465" s="31"/>
      <c r="KE465" s="31"/>
      <c r="KF465" s="31"/>
      <c r="KG465" s="31"/>
      <c r="KH465" s="31"/>
      <c r="KI465" s="31"/>
      <c r="KJ465" s="31"/>
      <c r="KK465" s="31"/>
      <c r="KL465" s="31"/>
      <c r="KM465" s="31"/>
      <c r="KN465" s="31"/>
      <c r="KO465" s="31"/>
      <c r="KP465" s="31"/>
      <c r="KQ465" s="31"/>
      <c r="KR465" s="31"/>
      <c r="KS465" s="31"/>
      <c r="KT465" s="31"/>
      <c r="KU465" s="31"/>
      <c r="KV465" s="31"/>
      <c r="KW465" s="31"/>
      <c r="KX465" s="31"/>
      <c r="KY465" s="31"/>
      <c r="KZ465" s="31"/>
      <c r="LA465" s="31"/>
      <c r="LB465" s="31"/>
      <c r="LC465" s="31"/>
      <c r="LD465" s="31"/>
      <c r="LE465" s="31"/>
      <c r="LF465" s="31"/>
      <c r="LG465" s="31"/>
      <c r="LH465" s="31"/>
      <c r="LI465" s="31"/>
      <c r="LJ465" s="31"/>
      <c r="LK465" s="31"/>
      <c r="LL465" s="31"/>
      <c r="LM465" s="31"/>
      <c r="LN465" s="31"/>
      <c r="LO465" s="31"/>
      <c r="LP465" s="31"/>
      <c r="LQ465" s="31"/>
      <c r="LR465" s="31"/>
      <c r="LS465" s="31"/>
      <c r="LT465" s="31"/>
      <c r="LU465" s="31"/>
      <c r="LV465" s="31"/>
      <c r="LW465" s="31"/>
      <c r="LX465" s="31"/>
      <c r="LY465" s="31"/>
      <c r="LZ465" s="31"/>
      <c r="MA465" s="31"/>
      <c r="MB465" s="31"/>
      <c r="MC465" s="31"/>
      <c r="MD465" s="31"/>
      <c r="ME465" s="31"/>
      <c r="MF465" s="31"/>
      <c r="MG465" s="31"/>
      <c r="MH465" s="31"/>
      <c r="MI465" s="31"/>
      <c r="MJ465" s="31"/>
      <c r="MK465" s="31"/>
      <c r="ML465" s="31"/>
      <c r="MM465" s="31"/>
      <c r="MN465" s="31"/>
      <c r="MO465" s="31"/>
      <c r="MP465" s="31"/>
      <c r="MQ465" s="31"/>
      <c r="MR465" s="31"/>
      <c r="MS465" s="31"/>
      <c r="MT465" s="31"/>
      <c r="MU465" s="31"/>
      <c r="MV465" s="31"/>
      <c r="MW465" s="31"/>
      <c r="MX465" s="31"/>
      <c r="MY465" s="31"/>
      <c r="MZ465" s="31"/>
      <c r="NA465" s="31"/>
      <c r="NB465" s="31"/>
      <c r="NC465" s="31"/>
      <c r="ND465" s="31"/>
      <c r="NE465" s="31"/>
      <c r="NF465" s="31"/>
      <c r="NG465" s="31"/>
      <c r="NH465" s="31"/>
      <c r="NI465" s="31"/>
      <c r="NJ465" s="31"/>
      <c r="NK465" s="31"/>
      <c r="NL465" s="31"/>
      <c r="NM465" s="31"/>
      <c r="NN465" s="31"/>
      <c r="NO465" s="31"/>
      <c r="NP465" s="31"/>
      <c r="NQ465" s="31"/>
      <c r="NR465" s="31"/>
      <c r="NS465" s="31"/>
      <c r="NT465" s="31"/>
      <c r="NU465" s="31"/>
      <c r="NV465" s="31"/>
      <c r="NW465" s="31"/>
      <c r="NX465" s="31"/>
      <c r="NY465" s="31"/>
      <c r="NZ465" s="31"/>
      <c r="OA465" s="31"/>
      <c r="OB465" s="31"/>
      <c r="OC465" s="31"/>
      <c r="OD465" s="31"/>
      <c r="OE465" s="31"/>
      <c r="OF465" s="31"/>
      <c r="OG465" s="31"/>
      <c r="OH465" s="31"/>
      <c r="OI465" s="31"/>
      <c r="OJ465" s="31"/>
      <c r="OK465" s="31"/>
      <c r="OL465" s="31"/>
      <c r="OM465" s="31"/>
      <c r="ON465" s="31"/>
      <c r="OO465" s="31"/>
      <c r="OP465" s="31"/>
      <c r="OQ465" s="31"/>
      <c r="OR465" s="31"/>
      <c r="OS465" s="31"/>
      <c r="OT465" s="31"/>
      <c r="OU465" s="31"/>
      <c r="OV465" s="31"/>
      <c r="OW465" s="31"/>
      <c r="OX465" s="31"/>
      <c r="OY465" s="31"/>
      <c r="OZ465" s="31"/>
      <c r="PA465" s="31"/>
      <c r="PB465" s="31"/>
      <c r="PC465" s="31"/>
      <c r="PD465" s="31"/>
      <c r="PE465" s="31"/>
      <c r="PF465" s="31"/>
      <c r="PG465" s="31"/>
      <c r="PH465" s="31"/>
      <c r="PI465" s="31"/>
      <c r="PJ465" s="31"/>
      <c r="PK465" s="31"/>
      <c r="PL465" s="31"/>
      <c r="PM465" s="31"/>
      <c r="PN465" s="31"/>
      <c r="PO465" s="31"/>
      <c r="PP465" s="31"/>
      <c r="PQ465" s="31"/>
      <c r="PR465" s="31"/>
      <c r="PS465" s="31"/>
      <c r="PT465" s="31"/>
      <c r="PU465" s="31"/>
      <c r="PV465" s="31"/>
      <c r="PW465" s="31"/>
      <c r="PX465" s="31"/>
      <c r="PY465" s="31"/>
      <c r="PZ465" s="31"/>
      <c r="QA465" s="31"/>
      <c r="QB465" s="31"/>
      <c r="QC465" s="31"/>
      <c r="QD465" s="31"/>
      <c r="QE465" s="31"/>
      <c r="QF465" s="31"/>
      <c r="QG465" s="31"/>
      <c r="QH465" s="31"/>
      <c r="QI465" s="31"/>
      <c r="QJ465" s="31"/>
      <c r="QK465" s="31"/>
      <c r="QL465" s="31"/>
      <c r="QM465" s="31"/>
      <c r="QN465" s="31"/>
      <c r="QO465" s="31"/>
      <c r="QP465" s="31"/>
      <c r="QQ465" s="31"/>
      <c r="QR465" s="31"/>
      <c r="QS465" s="31"/>
      <c r="QT465" s="31"/>
      <c r="QU465" s="31"/>
      <c r="QV465" s="31"/>
      <c r="QW465" s="31"/>
      <c r="QX465" s="31"/>
      <c r="QY465" s="31"/>
      <c r="QZ465" s="31"/>
      <c r="RA465" s="31"/>
      <c r="RB465" s="31"/>
      <c r="RC465" s="31"/>
      <c r="RD465" s="31"/>
      <c r="RE465" s="31"/>
      <c r="RF465" s="31"/>
      <c r="RG465" s="31"/>
      <c r="RH465" s="31"/>
      <c r="RI465" s="31"/>
      <c r="RJ465" s="31"/>
      <c r="RK465" s="31"/>
      <c r="RL465" s="31"/>
      <c r="RM465" s="31"/>
      <c r="RN465" s="31"/>
      <c r="RO465" s="31"/>
      <c r="RP465" s="31"/>
      <c r="RQ465" s="31"/>
      <c r="RR465" s="31"/>
      <c r="RS465" s="31"/>
      <c r="RT465" s="31"/>
      <c r="RU465" s="31"/>
      <c r="RV465" s="31"/>
      <c r="RW465" s="31"/>
      <c r="RX465" s="31"/>
      <c r="RY465" s="31"/>
      <c r="RZ465" s="31"/>
      <c r="SA465" s="31"/>
      <c r="SB465" s="31"/>
      <c r="SC465" s="31"/>
      <c r="SD465" s="31"/>
      <c r="SE465" s="31"/>
      <c r="SF465" s="31"/>
      <c r="SG465" s="31"/>
      <c r="SH465" s="31"/>
      <c r="SI465" s="31"/>
      <c r="SJ465" s="31"/>
      <c r="SK465" s="31"/>
      <c r="SL465" s="31"/>
      <c r="SM465" s="31"/>
      <c r="SN465" s="31"/>
      <c r="SO465" s="31"/>
      <c r="SP465" s="31"/>
      <c r="SQ465" s="31"/>
      <c r="SR465" s="31"/>
      <c r="SS465" s="31"/>
      <c r="ST465" s="31"/>
      <c r="SU465" s="31"/>
      <c r="SV465" s="31"/>
      <c r="SW465" s="31"/>
      <c r="SX465" s="31"/>
      <c r="SY465" s="31"/>
      <c r="SZ465" s="31"/>
      <c r="TA465" s="31"/>
      <c r="TB465" s="31"/>
      <c r="TC465" s="31"/>
      <c r="TD465" s="31"/>
      <c r="TE465" s="31"/>
      <c r="TF465" s="31"/>
      <c r="TG465" s="31"/>
      <c r="TH465" s="31"/>
      <c r="TI465" s="31"/>
      <c r="TJ465" s="31"/>
      <c r="TK465" s="31"/>
      <c r="TL465" s="31"/>
      <c r="TM465" s="31"/>
      <c r="TN465" s="31"/>
      <c r="TO465" s="31"/>
      <c r="TP465" s="31"/>
      <c r="TQ465" s="31"/>
      <c r="TR465" s="31"/>
      <c r="TS465" s="31"/>
      <c r="TT465" s="31"/>
      <c r="TU465" s="31"/>
      <c r="TV465" s="31"/>
      <c r="TW465" s="31"/>
      <c r="TX465" s="31"/>
      <c r="TY465" s="31"/>
      <c r="TZ465" s="31"/>
      <c r="UA465" s="31"/>
      <c r="UB465" s="31"/>
      <c r="UC465" s="31"/>
      <c r="UD465" s="31"/>
      <c r="UE465" s="31"/>
      <c r="UF465" s="31"/>
      <c r="UG465" s="33"/>
    </row>
    <row r="466" spans="1:553" ht="30.75" customHeight="1">
      <c r="A466" s="356" t="s">
        <v>30</v>
      </c>
      <c r="B466" s="366">
        <v>2</v>
      </c>
      <c r="C466" s="1401" t="s">
        <v>919</v>
      </c>
      <c r="D466" s="1455"/>
      <c r="E466" s="1455"/>
      <c r="F466" s="1456"/>
      <c r="G466" s="386" t="s">
        <v>33</v>
      </c>
      <c r="H466" s="370"/>
      <c r="I466" s="422">
        <f>3.7*1*2</f>
        <v>7.4</v>
      </c>
      <c r="J466" s="368">
        <v>52000</v>
      </c>
      <c r="K466" s="371"/>
      <c r="L466" s="391">
        <f t="shared" si="87"/>
        <v>384800</v>
      </c>
      <c r="M466" s="391"/>
      <c r="N466" s="391"/>
      <c r="O466" s="391"/>
      <c r="P466" s="391"/>
      <c r="Q466" s="1225"/>
      <c r="R466" s="1226"/>
      <c r="S466" s="305"/>
      <c r="T466" s="303"/>
      <c r="U466" s="306"/>
      <c r="V466" s="307"/>
      <c r="W466" s="306"/>
      <c r="X466" s="306"/>
      <c r="Y466" s="306"/>
      <c r="Z466" s="306"/>
      <c r="AA466" s="306"/>
      <c r="AB466" s="306"/>
      <c r="AC466" s="449"/>
      <c r="AD466" s="449"/>
      <c r="AE466" s="449"/>
      <c r="AF466" s="449"/>
      <c r="AG466" s="449"/>
      <c r="AH466" s="449"/>
      <c r="AI466" s="449"/>
      <c r="AJ466" s="449"/>
      <c r="AK466" s="452"/>
      <c r="AL466" s="104"/>
      <c r="AM466" s="104"/>
      <c r="AN466" s="104"/>
      <c r="AO466" s="104"/>
      <c r="AP466" s="104"/>
      <c r="AQ466" s="104"/>
      <c r="AR466" s="104"/>
      <c r="AS466" s="106"/>
      <c r="AT466" s="106"/>
      <c r="AU466" s="106"/>
      <c r="AV466" s="106"/>
      <c r="AW466" s="106"/>
      <c r="AX466" s="106"/>
      <c r="AY466" s="106"/>
      <c r="AZ466" s="106"/>
      <c r="BA466" s="106"/>
      <c r="BB466" s="106"/>
      <c r="BC466" s="106"/>
      <c r="BD466" s="106"/>
      <c r="BE466" s="106"/>
      <c r="BF466" s="106"/>
      <c r="BG466" s="106"/>
      <c r="BH466" s="106"/>
      <c r="BI466" s="106"/>
      <c r="BJ466" s="106"/>
      <c r="BK466" s="106"/>
      <c r="BL466" s="106"/>
      <c r="BM466" s="106"/>
      <c r="BN466" s="106"/>
      <c r="BO466" s="106"/>
      <c r="BP466" s="106"/>
      <c r="BQ466" s="106"/>
      <c r="BR466" s="106"/>
      <c r="BS466" s="106"/>
      <c r="BT466" s="106"/>
      <c r="BU466" s="106"/>
      <c r="BV466" s="106"/>
      <c r="BW466" s="106"/>
      <c r="BX466" s="106"/>
      <c r="BY466" s="106"/>
      <c r="BZ466" s="106"/>
      <c r="CA466" s="106"/>
      <c r="CB466" s="106"/>
      <c r="CC466" s="106"/>
      <c r="CD466" s="106"/>
      <c r="CE466" s="106"/>
      <c r="CF466" s="106"/>
      <c r="CG466" s="106"/>
      <c r="CH466" s="106"/>
      <c r="CI466" s="106"/>
      <c r="CJ466" s="106"/>
      <c r="CK466" s="106"/>
      <c r="CL466" s="106"/>
      <c r="CM466" s="106"/>
      <c r="CN466" s="106"/>
      <c r="CO466" s="106"/>
      <c r="CP466" s="106"/>
      <c r="CQ466" s="106"/>
      <c r="CR466" s="106"/>
      <c r="CS466" s="106"/>
      <c r="CT466" s="106"/>
      <c r="CU466" s="106"/>
      <c r="CV466" s="106"/>
      <c r="CW466" s="106"/>
      <c r="CX466" s="106"/>
      <c r="CY466" s="106"/>
      <c r="CZ466" s="106"/>
      <c r="DA466" s="106"/>
      <c r="DB466" s="106"/>
      <c r="DC466" s="106"/>
      <c r="DD466" s="106"/>
      <c r="DE466" s="106"/>
      <c r="DF466" s="106"/>
      <c r="DG466" s="106"/>
      <c r="DH466" s="106"/>
      <c r="DI466" s="106"/>
      <c r="DJ466" s="106"/>
      <c r="DK466" s="106"/>
      <c r="DL466" s="106"/>
      <c r="DM466" s="106"/>
      <c r="DN466" s="106"/>
      <c r="DO466" s="106"/>
      <c r="DP466" s="106"/>
      <c r="DQ466" s="106"/>
      <c r="DR466" s="106"/>
      <c r="DS466" s="106"/>
      <c r="DT466" s="106"/>
      <c r="DU466" s="106"/>
      <c r="DV466" s="106"/>
      <c r="DW466" s="106"/>
      <c r="DX466" s="106"/>
      <c r="DY466" s="106"/>
      <c r="DZ466" s="106"/>
      <c r="EA466" s="106"/>
      <c r="EB466" s="106"/>
      <c r="EC466" s="106"/>
      <c r="ED466" s="106"/>
      <c r="EE466" s="106"/>
      <c r="EF466" s="106"/>
      <c r="EG466" s="106"/>
      <c r="EH466" s="106"/>
      <c r="EI466" s="106"/>
      <c r="EJ466" s="106"/>
      <c r="EK466" s="106"/>
      <c r="EL466" s="106"/>
      <c r="EM466" s="106"/>
      <c r="EN466" s="106"/>
      <c r="EO466" s="106"/>
      <c r="EP466" s="106"/>
      <c r="EQ466" s="106"/>
      <c r="ER466" s="106"/>
      <c r="ES466" s="106"/>
      <c r="ET466" s="106"/>
      <c r="EU466" s="106"/>
      <c r="EV466" s="106"/>
      <c r="EW466" s="106"/>
      <c r="EX466" s="106"/>
      <c r="EY466" s="106"/>
      <c r="EZ466" s="106"/>
      <c r="FA466" s="106"/>
      <c r="FB466" s="106"/>
      <c r="FC466" s="106"/>
      <c r="FD466" s="106"/>
      <c r="FE466" s="106"/>
      <c r="FF466" s="106"/>
      <c r="FG466" s="106"/>
      <c r="FH466" s="106"/>
      <c r="FI466" s="106"/>
      <c r="FJ466" s="106"/>
      <c r="FK466" s="106"/>
      <c r="FL466" s="106"/>
      <c r="FM466" s="106"/>
      <c r="FN466" s="106"/>
      <c r="FO466" s="106"/>
      <c r="FP466" s="106"/>
      <c r="FQ466" s="106"/>
      <c r="FR466" s="106"/>
      <c r="FS466" s="106"/>
      <c r="FT466" s="106"/>
      <c r="FU466" s="106"/>
      <c r="FV466" s="106"/>
      <c r="FW466" s="106"/>
      <c r="FX466" s="106"/>
      <c r="FY466" s="106"/>
      <c r="FZ466" s="106"/>
      <c r="GA466" s="106"/>
      <c r="GB466" s="106"/>
      <c r="GC466" s="106"/>
      <c r="GD466" s="106"/>
      <c r="GE466" s="106"/>
      <c r="GF466" s="106"/>
      <c r="GG466" s="106"/>
      <c r="GH466" s="106"/>
      <c r="GI466" s="106"/>
      <c r="GJ466" s="106"/>
      <c r="GK466" s="106"/>
      <c r="GL466" s="106"/>
      <c r="GM466" s="106"/>
      <c r="GN466" s="106"/>
      <c r="GO466" s="106"/>
      <c r="GP466" s="106"/>
      <c r="GQ466" s="106"/>
      <c r="GR466" s="106"/>
      <c r="GS466" s="106"/>
      <c r="GT466" s="106"/>
      <c r="GU466" s="106"/>
      <c r="GV466" s="106"/>
      <c r="GW466" s="106"/>
      <c r="GX466" s="106"/>
      <c r="GY466" s="106"/>
      <c r="GZ466" s="106"/>
      <c r="HA466" s="106"/>
      <c r="HB466" s="106"/>
      <c r="HC466" s="106"/>
      <c r="HD466" s="106"/>
      <c r="HE466" s="106"/>
      <c r="HF466" s="106"/>
      <c r="HG466" s="106"/>
      <c r="HH466" s="106"/>
      <c r="HI466" s="106"/>
      <c r="HJ466" s="106"/>
      <c r="HK466" s="106"/>
      <c r="HL466" s="106"/>
      <c r="HM466" s="106"/>
      <c r="HN466" s="106"/>
      <c r="HO466" s="106"/>
      <c r="HP466" s="106"/>
      <c r="HQ466" s="106"/>
      <c r="HR466" s="106"/>
      <c r="HS466" s="106"/>
      <c r="HT466" s="106"/>
      <c r="HU466" s="106"/>
      <c r="HV466" s="106"/>
      <c r="HW466" s="106"/>
      <c r="HX466" s="106"/>
      <c r="HY466" s="106"/>
      <c r="HZ466" s="106"/>
      <c r="IA466" s="106"/>
      <c r="IB466" s="106"/>
      <c r="IC466" s="106"/>
      <c r="ID466" s="106"/>
      <c r="IE466" s="106"/>
      <c r="IF466" s="106"/>
      <c r="IG466" s="106"/>
      <c r="IH466" s="106"/>
      <c r="II466" s="106"/>
      <c r="IJ466" s="106"/>
      <c r="IK466" s="106"/>
      <c r="IL466" s="106"/>
      <c r="IM466" s="106"/>
      <c r="IN466" s="106"/>
      <c r="IO466" s="106"/>
      <c r="IP466" s="106"/>
      <c r="IQ466" s="106"/>
      <c r="IR466" s="106"/>
      <c r="IS466" s="106"/>
      <c r="IT466" s="106"/>
      <c r="IU466" s="106"/>
      <c r="IV466" s="106"/>
      <c r="IW466" s="106"/>
      <c r="IX466" s="106"/>
      <c r="IY466" s="106"/>
      <c r="IZ466" s="106"/>
      <c r="JA466" s="106"/>
      <c r="JB466" s="106"/>
      <c r="JC466" s="106"/>
      <c r="JD466" s="106"/>
      <c r="JE466" s="106"/>
      <c r="JF466" s="106"/>
      <c r="JG466" s="106"/>
      <c r="JH466" s="106"/>
      <c r="JI466" s="106"/>
      <c r="JJ466" s="106"/>
      <c r="JK466" s="106"/>
      <c r="JL466" s="106"/>
      <c r="JM466" s="106"/>
      <c r="JN466" s="106"/>
      <c r="JO466" s="106"/>
      <c r="JP466" s="106"/>
      <c r="JQ466" s="106"/>
      <c r="JR466" s="106"/>
      <c r="JS466" s="106"/>
      <c r="JT466" s="106"/>
      <c r="JU466" s="106"/>
      <c r="JV466" s="106"/>
      <c r="JW466" s="106"/>
      <c r="JX466" s="106"/>
      <c r="JY466" s="106"/>
      <c r="JZ466" s="106"/>
      <c r="KA466" s="106"/>
      <c r="KB466" s="106"/>
      <c r="KC466" s="106"/>
      <c r="KD466" s="106"/>
      <c r="KE466" s="106"/>
      <c r="KF466" s="106"/>
      <c r="KG466" s="106"/>
      <c r="KH466" s="106"/>
      <c r="KI466" s="106"/>
      <c r="KJ466" s="106"/>
      <c r="KK466" s="106"/>
      <c r="KL466" s="106"/>
      <c r="KM466" s="106"/>
      <c r="KN466" s="106"/>
      <c r="KO466" s="106"/>
      <c r="KP466" s="106"/>
      <c r="KQ466" s="106"/>
      <c r="KR466" s="106"/>
      <c r="KS466" s="106"/>
      <c r="KT466" s="106"/>
      <c r="KU466" s="106"/>
      <c r="KV466" s="106"/>
      <c r="KW466" s="106"/>
      <c r="KX466" s="106"/>
      <c r="KY466" s="106"/>
      <c r="KZ466" s="106"/>
      <c r="LA466" s="106"/>
      <c r="LB466" s="106"/>
      <c r="LC466" s="106"/>
      <c r="LD466" s="106"/>
      <c r="LE466" s="106"/>
      <c r="LF466" s="106"/>
      <c r="LG466" s="106"/>
      <c r="LH466" s="106"/>
      <c r="LI466" s="106"/>
      <c r="LJ466" s="106"/>
      <c r="LK466" s="106"/>
      <c r="LL466" s="106"/>
      <c r="LM466" s="106"/>
      <c r="LN466" s="106"/>
      <c r="LO466" s="106"/>
      <c r="LP466" s="106"/>
      <c r="LQ466" s="106"/>
      <c r="LR466" s="106"/>
      <c r="LS466" s="106"/>
      <c r="LT466" s="106"/>
      <c r="LU466" s="106"/>
      <c r="LV466" s="106"/>
      <c r="LW466" s="106"/>
      <c r="LX466" s="106"/>
      <c r="LY466" s="106"/>
      <c r="LZ466" s="106"/>
      <c r="MA466" s="106"/>
      <c r="MB466" s="106"/>
      <c r="MC466" s="106"/>
      <c r="MD466" s="106"/>
      <c r="ME466" s="106"/>
      <c r="MF466" s="106"/>
      <c r="MG466" s="106"/>
      <c r="MH466" s="106"/>
      <c r="MI466" s="106"/>
      <c r="MJ466" s="106"/>
      <c r="MK466" s="106"/>
      <c r="ML466" s="106"/>
      <c r="MM466" s="106"/>
      <c r="MN466" s="106"/>
      <c r="MO466" s="106"/>
      <c r="MP466" s="106"/>
      <c r="MQ466" s="106"/>
      <c r="MR466" s="106"/>
      <c r="MS466" s="106"/>
      <c r="MT466" s="106"/>
      <c r="MU466" s="106"/>
      <c r="MV466" s="106"/>
      <c r="MW466" s="106"/>
      <c r="MX466" s="106"/>
      <c r="MY466" s="106"/>
      <c r="MZ466" s="106"/>
      <c r="NA466" s="106"/>
      <c r="NB466" s="106"/>
      <c r="NC466" s="106"/>
      <c r="ND466" s="106"/>
      <c r="NE466" s="106"/>
      <c r="NF466" s="106"/>
      <c r="NG466" s="106"/>
      <c r="NH466" s="106"/>
      <c r="NI466" s="106"/>
      <c r="NJ466" s="106"/>
      <c r="NK466" s="106"/>
      <c r="NL466" s="106"/>
      <c r="NM466" s="106"/>
      <c r="NN466" s="106"/>
      <c r="NO466" s="106"/>
      <c r="NP466" s="106"/>
      <c r="NQ466" s="106"/>
      <c r="NR466" s="106"/>
      <c r="NS466" s="106"/>
      <c r="NT466" s="106"/>
      <c r="NU466" s="106"/>
      <c r="NV466" s="106"/>
      <c r="NW466" s="106"/>
      <c r="NX466" s="106"/>
      <c r="NY466" s="106"/>
      <c r="NZ466" s="106"/>
      <c r="OA466" s="106"/>
      <c r="OB466" s="106"/>
      <c r="OC466" s="106"/>
      <c r="OD466" s="106"/>
      <c r="OE466" s="106"/>
      <c r="OF466" s="106"/>
      <c r="OG466" s="106"/>
      <c r="OH466" s="106"/>
      <c r="OI466" s="106"/>
      <c r="OJ466" s="106"/>
      <c r="OK466" s="106"/>
      <c r="OL466" s="106"/>
      <c r="OM466" s="106"/>
      <c r="ON466" s="106"/>
      <c r="OO466" s="106"/>
      <c r="OP466" s="106"/>
      <c r="OQ466" s="106"/>
      <c r="OR466" s="106"/>
      <c r="OS466" s="106"/>
      <c r="OT466" s="106"/>
      <c r="OU466" s="106"/>
      <c r="OV466" s="106"/>
      <c r="OW466" s="106"/>
      <c r="OX466" s="106"/>
      <c r="OY466" s="106"/>
      <c r="OZ466" s="106"/>
      <c r="PA466" s="106"/>
      <c r="PB466" s="106"/>
      <c r="PC466" s="106"/>
      <c r="PD466" s="106"/>
      <c r="PE466" s="106"/>
      <c r="PF466" s="106"/>
      <c r="PG466" s="106"/>
      <c r="PH466" s="106"/>
      <c r="PI466" s="106"/>
      <c r="PJ466" s="106"/>
      <c r="PK466" s="106"/>
      <c r="PL466" s="106"/>
      <c r="PM466" s="106"/>
      <c r="PN466" s="106"/>
      <c r="PO466" s="106"/>
      <c r="PP466" s="106"/>
      <c r="PQ466" s="106"/>
      <c r="PR466" s="106"/>
      <c r="PS466" s="106"/>
      <c r="PT466" s="106"/>
      <c r="PU466" s="106"/>
      <c r="PV466" s="106"/>
      <c r="PW466" s="106"/>
      <c r="PX466" s="106"/>
      <c r="PY466" s="106"/>
      <c r="PZ466" s="106"/>
      <c r="QA466" s="106"/>
      <c r="QB466" s="106"/>
      <c r="QC466" s="106"/>
      <c r="QD466" s="106"/>
      <c r="QE466" s="106"/>
      <c r="QF466" s="106"/>
      <c r="QG466" s="106"/>
      <c r="QH466" s="106"/>
      <c r="QI466" s="106"/>
      <c r="QJ466" s="106"/>
      <c r="QK466" s="106"/>
      <c r="QL466" s="106"/>
      <c r="QM466" s="106"/>
      <c r="QN466" s="106"/>
      <c r="QO466" s="106"/>
      <c r="QP466" s="106"/>
      <c r="QQ466" s="106"/>
      <c r="QR466" s="106"/>
      <c r="QS466" s="106"/>
      <c r="QT466" s="106"/>
      <c r="QU466" s="106"/>
      <c r="QV466" s="106"/>
      <c r="QW466" s="106"/>
      <c r="QX466" s="106"/>
      <c r="QY466" s="106"/>
      <c r="QZ466" s="106"/>
      <c r="RA466" s="106"/>
      <c r="RB466" s="106"/>
      <c r="RC466" s="106"/>
      <c r="RD466" s="106"/>
      <c r="RE466" s="106"/>
      <c r="RF466" s="106"/>
      <c r="RG466" s="106"/>
      <c r="RH466" s="106"/>
      <c r="RI466" s="106"/>
      <c r="RJ466" s="106"/>
      <c r="RK466" s="106"/>
      <c r="RL466" s="106"/>
      <c r="RM466" s="106"/>
      <c r="RN466" s="106"/>
      <c r="RO466" s="106"/>
      <c r="RP466" s="106"/>
      <c r="RQ466" s="106"/>
      <c r="RR466" s="106"/>
      <c r="RS466" s="106"/>
      <c r="RT466" s="106"/>
      <c r="RU466" s="106"/>
      <c r="RV466" s="106"/>
      <c r="RW466" s="106"/>
      <c r="RX466" s="106"/>
      <c r="RY466" s="106"/>
      <c r="RZ466" s="106"/>
      <c r="SA466" s="106"/>
      <c r="SB466" s="106"/>
      <c r="SC466" s="106"/>
      <c r="SD466" s="106"/>
      <c r="SE466" s="106"/>
      <c r="SF466" s="106"/>
      <c r="SG466" s="106"/>
      <c r="SH466" s="106"/>
      <c r="SI466" s="106"/>
      <c r="SJ466" s="106"/>
      <c r="SK466" s="106"/>
      <c r="SL466" s="106"/>
      <c r="SM466" s="106"/>
      <c r="SN466" s="106"/>
      <c r="SO466" s="106"/>
      <c r="SP466" s="106"/>
      <c r="SQ466" s="106"/>
      <c r="SR466" s="106"/>
      <c r="SS466" s="106"/>
      <c r="ST466" s="106"/>
      <c r="SU466" s="106"/>
      <c r="SV466" s="106"/>
      <c r="SW466" s="106"/>
      <c r="SX466" s="106"/>
      <c r="SY466" s="106"/>
      <c r="SZ466" s="106"/>
      <c r="TA466" s="106"/>
      <c r="TB466" s="106"/>
      <c r="TC466" s="106"/>
      <c r="TD466" s="106"/>
      <c r="TE466" s="106"/>
      <c r="TF466" s="106"/>
      <c r="TG466" s="106"/>
      <c r="TH466" s="106"/>
      <c r="TI466" s="106"/>
      <c r="TJ466" s="106"/>
      <c r="TK466" s="106"/>
      <c r="TL466" s="106"/>
      <c r="TM466" s="106"/>
      <c r="TN466" s="106"/>
      <c r="TO466" s="106"/>
      <c r="TP466" s="106"/>
      <c r="TQ466" s="106"/>
      <c r="TR466" s="106"/>
      <c r="TS466" s="106"/>
      <c r="TT466" s="106"/>
      <c r="TU466" s="106"/>
      <c r="TV466" s="106"/>
      <c r="TW466" s="106"/>
      <c r="TX466" s="106"/>
      <c r="TY466" s="106"/>
      <c r="TZ466" s="106"/>
      <c r="UA466" s="106"/>
      <c r="UB466" s="106"/>
      <c r="UC466" s="106"/>
      <c r="UD466" s="106"/>
      <c r="UE466" s="106"/>
      <c r="UF466" s="106"/>
      <c r="UG466" s="33"/>
    </row>
    <row r="467" spans="1:553" ht="32.5" customHeight="1">
      <c r="A467" s="356" t="s">
        <v>15</v>
      </c>
      <c r="B467" s="385" t="s">
        <v>78</v>
      </c>
      <c r="C467" s="1404" t="s">
        <v>358</v>
      </c>
      <c r="D467" s="1389"/>
      <c r="E467" s="1389"/>
      <c r="F467" s="1390"/>
      <c r="G467" s="386" t="s">
        <v>935</v>
      </c>
      <c r="H467" s="370"/>
      <c r="I467" s="834">
        <f>5.9*3.05</f>
        <v>17.995000000000001</v>
      </c>
      <c r="J467" s="368">
        <v>130500</v>
      </c>
      <c r="K467" s="371"/>
      <c r="L467" s="391">
        <f t="shared" si="87"/>
        <v>2348348</v>
      </c>
      <c r="M467" s="395"/>
      <c r="N467" s="395"/>
      <c r="O467" s="366"/>
      <c r="P467" s="396"/>
      <c r="Q467" s="473"/>
      <c r="R467" s="1039"/>
      <c r="S467" s="305"/>
      <c r="T467" s="303"/>
      <c r="U467" s="306"/>
      <c r="V467" s="307"/>
      <c r="W467" s="306"/>
      <c r="X467" s="306"/>
      <c r="Y467" s="306"/>
      <c r="Z467" s="306"/>
      <c r="AA467" s="306"/>
      <c r="AB467" s="306"/>
      <c r="AC467" s="449"/>
      <c r="AD467" s="449"/>
      <c r="AE467" s="449"/>
      <c r="AF467" s="449"/>
      <c r="AG467" s="452"/>
      <c r="AH467" s="452"/>
      <c r="AI467" s="452"/>
      <c r="AJ467" s="452"/>
      <c r="AK467" s="452"/>
      <c r="AL467" s="104"/>
      <c r="AM467" s="32"/>
      <c r="AN467" s="32"/>
      <c r="AO467" s="32"/>
      <c r="AP467" s="32"/>
      <c r="AQ467" s="31"/>
      <c r="AR467" s="31"/>
      <c r="AS467" s="31"/>
      <c r="AT467" s="31"/>
      <c r="AU467" s="31"/>
      <c r="AV467" s="31"/>
      <c r="AW467" s="31"/>
      <c r="AX467" s="31"/>
      <c r="AY467" s="31"/>
      <c r="AZ467" s="31"/>
      <c r="BA467" s="31"/>
      <c r="BB467" s="31"/>
      <c r="BC467" s="31"/>
      <c r="BD467" s="31"/>
      <c r="BE467" s="31"/>
      <c r="BF467" s="31"/>
      <c r="BG467" s="31"/>
      <c r="BH467" s="31"/>
      <c r="BI467" s="31"/>
      <c r="BJ467" s="31"/>
      <c r="BK467" s="31"/>
      <c r="BL467" s="31"/>
      <c r="BM467" s="25"/>
      <c r="BN467" s="25"/>
      <c r="BO467" s="25"/>
      <c r="BP467" s="25"/>
      <c r="BQ467" s="25"/>
      <c r="BR467" s="25"/>
      <c r="BS467" s="25"/>
      <c r="BT467" s="25"/>
      <c r="BU467" s="25"/>
      <c r="BV467" s="25"/>
      <c r="BW467" s="25"/>
      <c r="BX467" s="25"/>
      <c r="BY467" s="25"/>
      <c r="BZ467" s="25"/>
      <c r="CA467" s="25"/>
      <c r="CB467" s="25"/>
      <c r="CC467" s="25"/>
      <c r="CD467" s="25"/>
      <c r="CE467" s="25"/>
      <c r="CF467" s="25"/>
      <c r="CG467" s="25"/>
      <c r="CH467" s="25"/>
      <c r="CI467" s="25"/>
      <c r="CJ467" s="25"/>
      <c r="CK467" s="25"/>
      <c r="CL467" s="25"/>
      <c r="CM467" s="25"/>
      <c r="CN467" s="25"/>
      <c r="CO467" s="25"/>
      <c r="CP467" s="25"/>
      <c r="CQ467" s="25"/>
      <c r="CR467" s="25"/>
      <c r="CS467" s="25"/>
      <c r="CT467" s="25"/>
      <c r="CU467" s="25"/>
      <c r="CV467" s="25"/>
      <c r="CW467" s="25"/>
      <c r="CX467" s="25"/>
      <c r="CY467" s="25"/>
      <c r="CZ467" s="25"/>
      <c r="DA467" s="25"/>
      <c r="DB467" s="25"/>
      <c r="DC467" s="25"/>
      <c r="DD467" s="25"/>
      <c r="DE467" s="25"/>
      <c r="DF467" s="25"/>
      <c r="DG467" s="25"/>
      <c r="DH467" s="25"/>
      <c r="DI467" s="25"/>
      <c r="DJ467" s="25"/>
      <c r="DK467" s="25"/>
      <c r="DL467" s="25"/>
      <c r="DM467" s="25"/>
      <c r="DN467" s="25"/>
      <c r="DO467" s="25"/>
      <c r="DP467" s="25"/>
      <c r="DQ467" s="25"/>
      <c r="DR467" s="25"/>
      <c r="DS467" s="25"/>
      <c r="DT467" s="25"/>
      <c r="DU467" s="25"/>
      <c r="DV467" s="25"/>
      <c r="DW467" s="25"/>
      <c r="DX467" s="25"/>
      <c r="DY467" s="25"/>
      <c r="DZ467" s="25"/>
      <c r="EA467" s="25"/>
      <c r="EB467" s="25"/>
      <c r="EC467" s="25"/>
      <c r="ED467" s="25"/>
      <c r="EE467" s="25"/>
      <c r="EF467" s="25"/>
      <c r="EG467" s="25"/>
      <c r="EH467" s="25"/>
      <c r="EI467" s="25"/>
      <c r="EJ467" s="25"/>
      <c r="EK467" s="25"/>
      <c r="EL467" s="25"/>
      <c r="EM467" s="25"/>
      <c r="EN467" s="25"/>
      <c r="EO467" s="25"/>
      <c r="EP467" s="25"/>
      <c r="EQ467" s="25"/>
      <c r="ER467" s="25"/>
      <c r="ES467" s="25"/>
      <c r="ET467" s="25"/>
      <c r="EU467" s="25"/>
      <c r="EV467" s="25"/>
      <c r="EW467" s="25"/>
      <c r="EX467" s="25"/>
      <c r="EY467" s="25"/>
      <c r="EZ467" s="25"/>
      <c r="FA467" s="25"/>
      <c r="FB467" s="25"/>
      <c r="FC467" s="25"/>
      <c r="FD467" s="25"/>
      <c r="FE467" s="25"/>
      <c r="FF467" s="25"/>
      <c r="FG467" s="25"/>
      <c r="FH467" s="25"/>
      <c r="FI467" s="25"/>
      <c r="FJ467" s="25"/>
      <c r="FK467" s="25"/>
      <c r="FL467" s="25"/>
      <c r="FM467" s="25"/>
      <c r="FN467" s="25"/>
      <c r="FO467" s="25"/>
      <c r="FP467" s="25"/>
      <c r="FQ467" s="25"/>
      <c r="FR467" s="25"/>
      <c r="FS467" s="25"/>
      <c r="FT467" s="25"/>
      <c r="FU467" s="25"/>
      <c r="FV467" s="25"/>
      <c r="FW467" s="25"/>
      <c r="FX467" s="25"/>
      <c r="FY467" s="25"/>
      <c r="FZ467" s="25"/>
      <c r="GA467" s="25"/>
      <c r="GB467" s="25"/>
      <c r="GC467" s="25"/>
      <c r="GD467" s="25"/>
      <c r="GE467" s="25"/>
      <c r="GF467" s="25"/>
      <c r="GG467" s="25"/>
      <c r="GH467" s="25"/>
      <c r="GI467" s="25"/>
      <c r="GJ467" s="25"/>
      <c r="GK467" s="25"/>
      <c r="GL467" s="25"/>
      <c r="GM467" s="25"/>
      <c r="GN467" s="25"/>
      <c r="GO467" s="25"/>
      <c r="GP467" s="25"/>
      <c r="GQ467" s="25"/>
      <c r="GR467" s="25"/>
      <c r="GS467" s="25"/>
      <c r="GT467" s="25"/>
      <c r="GU467" s="25"/>
      <c r="GV467" s="25"/>
      <c r="GW467" s="25"/>
      <c r="GX467" s="25"/>
      <c r="GY467" s="25"/>
      <c r="GZ467" s="25"/>
      <c r="HA467" s="25"/>
      <c r="HB467" s="25"/>
      <c r="HC467" s="25"/>
      <c r="HD467" s="25"/>
      <c r="HE467" s="25"/>
      <c r="HF467" s="25"/>
      <c r="HG467" s="25"/>
      <c r="HH467" s="25"/>
      <c r="HI467" s="25"/>
      <c r="HJ467" s="25"/>
      <c r="HK467" s="25"/>
      <c r="HL467" s="25"/>
      <c r="HM467" s="25"/>
      <c r="HN467" s="25"/>
      <c r="HO467" s="25"/>
      <c r="HP467" s="25"/>
      <c r="HQ467" s="25"/>
      <c r="HR467" s="25"/>
      <c r="HS467" s="25"/>
      <c r="HT467" s="25"/>
      <c r="HU467" s="25"/>
      <c r="HV467" s="25"/>
      <c r="HW467" s="25"/>
      <c r="HX467" s="25"/>
      <c r="HY467" s="25"/>
      <c r="HZ467" s="25"/>
      <c r="IA467" s="25"/>
      <c r="IB467" s="25"/>
      <c r="IC467" s="25"/>
      <c r="ID467" s="25"/>
      <c r="IE467" s="25"/>
      <c r="IF467" s="25"/>
      <c r="IG467" s="25"/>
      <c r="IH467" s="25"/>
      <c r="II467" s="25"/>
      <c r="IJ467" s="25"/>
      <c r="IK467" s="25"/>
      <c r="IL467" s="25"/>
      <c r="IM467" s="25"/>
      <c r="IN467" s="25"/>
      <c r="IO467" s="25"/>
      <c r="IP467" s="25"/>
      <c r="IQ467" s="25"/>
      <c r="IR467" s="25"/>
      <c r="IS467" s="25"/>
      <c r="IT467" s="25"/>
      <c r="IU467" s="25"/>
      <c r="IV467" s="25"/>
      <c r="IW467" s="25"/>
      <c r="IX467" s="25"/>
      <c r="IY467" s="25"/>
      <c r="IZ467" s="25"/>
      <c r="JA467" s="25"/>
      <c r="JB467" s="25"/>
      <c r="JC467" s="25"/>
      <c r="JD467" s="25"/>
      <c r="JE467" s="25"/>
      <c r="JF467" s="25"/>
      <c r="JG467" s="25"/>
      <c r="JH467" s="25"/>
      <c r="JI467" s="25"/>
      <c r="JJ467" s="25"/>
      <c r="JK467" s="25"/>
      <c r="JL467" s="25"/>
      <c r="JM467" s="25"/>
      <c r="JN467" s="25"/>
      <c r="JO467" s="25"/>
      <c r="JP467" s="25"/>
      <c r="JQ467" s="25"/>
      <c r="JR467" s="25"/>
      <c r="JS467" s="25"/>
      <c r="JT467" s="25"/>
      <c r="JU467" s="25"/>
      <c r="JV467" s="25"/>
      <c r="JW467" s="25"/>
      <c r="JX467" s="25"/>
      <c r="JY467" s="25"/>
      <c r="JZ467" s="25"/>
      <c r="KA467" s="25"/>
      <c r="KB467" s="25"/>
      <c r="KC467" s="25"/>
      <c r="KD467" s="25"/>
      <c r="KE467" s="25"/>
      <c r="KF467" s="25"/>
      <c r="KG467" s="25"/>
      <c r="KH467" s="25"/>
      <c r="KI467" s="25"/>
      <c r="KJ467" s="25"/>
      <c r="KK467" s="25"/>
      <c r="KL467" s="25"/>
      <c r="KM467" s="25"/>
      <c r="KN467" s="25"/>
      <c r="KO467" s="25"/>
      <c r="KP467" s="25"/>
      <c r="KQ467" s="25"/>
      <c r="KR467" s="25"/>
      <c r="KS467" s="25"/>
      <c r="KT467" s="25"/>
      <c r="KU467" s="25"/>
      <c r="KV467" s="25"/>
      <c r="KW467" s="25"/>
      <c r="KX467" s="25"/>
      <c r="KY467" s="25"/>
      <c r="KZ467" s="25"/>
      <c r="LA467" s="25"/>
      <c r="LB467" s="25"/>
      <c r="LC467" s="25"/>
      <c r="LD467" s="25"/>
      <c r="LE467" s="25"/>
      <c r="LF467" s="25"/>
      <c r="LG467" s="25"/>
      <c r="LH467" s="25"/>
      <c r="LI467" s="25"/>
      <c r="LJ467" s="25"/>
      <c r="LK467" s="25"/>
      <c r="LL467" s="25"/>
      <c r="LM467" s="25"/>
      <c r="LN467" s="25"/>
      <c r="LO467" s="25"/>
      <c r="LP467" s="25"/>
      <c r="LQ467" s="25"/>
      <c r="LR467" s="25"/>
      <c r="LS467" s="25"/>
      <c r="LT467" s="25"/>
      <c r="LU467" s="25"/>
      <c r="LV467" s="25"/>
      <c r="LW467" s="25"/>
      <c r="LX467" s="25"/>
      <c r="LY467" s="25"/>
      <c r="LZ467" s="25"/>
      <c r="MA467" s="25"/>
      <c r="MB467" s="25"/>
      <c r="MC467" s="25"/>
      <c r="MD467" s="25"/>
      <c r="ME467" s="25"/>
      <c r="MF467" s="25"/>
      <c r="MG467" s="25"/>
      <c r="MH467" s="25"/>
      <c r="MI467" s="25"/>
      <c r="MJ467" s="25"/>
      <c r="MK467" s="25"/>
      <c r="ML467" s="25"/>
      <c r="MM467" s="25"/>
      <c r="MN467" s="25"/>
      <c r="MO467" s="25"/>
      <c r="MP467" s="25"/>
      <c r="MQ467" s="25"/>
      <c r="MR467" s="25"/>
      <c r="MS467" s="25"/>
      <c r="MT467" s="25"/>
      <c r="MU467" s="25"/>
      <c r="MV467" s="25"/>
      <c r="MW467" s="25"/>
      <c r="MX467" s="25"/>
      <c r="MY467" s="25"/>
      <c r="MZ467" s="25"/>
      <c r="NA467" s="25"/>
      <c r="NB467" s="25"/>
      <c r="NC467" s="25"/>
      <c r="ND467" s="25"/>
      <c r="NE467" s="25"/>
      <c r="NF467" s="25"/>
      <c r="NG467" s="25"/>
      <c r="NH467" s="25"/>
      <c r="NI467" s="25"/>
      <c r="NJ467" s="25"/>
      <c r="NK467" s="25"/>
      <c r="NL467" s="25"/>
      <c r="NM467" s="25"/>
      <c r="NN467" s="25"/>
      <c r="NO467" s="25"/>
      <c r="NP467" s="25"/>
      <c r="NQ467" s="25"/>
      <c r="NR467" s="25"/>
      <c r="NS467" s="25"/>
      <c r="NT467" s="25"/>
      <c r="NU467" s="25"/>
      <c r="NV467" s="25"/>
      <c r="NW467" s="25"/>
      <c r="NX467" s="25"/>
      <c r="NY467" s="25"/>
      <c r="NZ467" s="25"/>
      <c r="OA467" s="25"/>
      <c r="OB467" s="25"/>
      <c r="OC467" s="25"/>
      <c r="OD467" s="25"/>
      <c r="OE467" s="25"/>
      <c r="OF467" s="25"/>
      <c r="OG467" s="25"/>
      <c r="OH467" s="25"/>
      <c r="OI467" s="25"/>
      <c r="OJ467" s="25"/>
      <c r="OK467" s="25"/>
      <c r="OL467" s="25"/>
      <c r="OM467" s="25"/>
      <c r="ON467" s="25"/>
      <c r="OO467" s="25"/>
      <c r="OP467" s="25"/>
      <c r="OQ467" s="25"/>
      <c r="OR467" s="25"/>
      <c r="OS467" s="25"/>
      <c r="OT467" s="25"/>
      <c r="OU467" s="25"/>
      <c r="OV467" s="25"/>
      <c r="OW467" s="25"/>
      <c r="OX467" s="25"/>
      <c r="OY467" s="25"/>
      <c r="OZ467" s="25"/>
      <c r="PA467" s="25"/>
      <c r="PB467" s="25"/>
      <c r="PC467" s="25"/>
      <c r="PD467" s="25"/>
      <c r="PE467" s="25"/>
      <c r="PF467" s="25"/>
      <c r="PG467" s="25"/>
      <c r="PH467" s="25"/>
      <c r="PI467" s="25"/>
      <c r="PJ467" s="25"/>
      <c r="PK467" s="25"/>
      <c r="PL467" s="25"/>
      <c r="PM467" s="25"/>
      <c r="PN467" s="25"/>
      <c r="PO467" s="25"/>
      <c r="PP467" s="25"/>
      <c r="PQ467" s="25"/>
      <c r="PR467" s="25"/>
      <c r="PS467" s="25"/>
      <c r="PT467" s="25"/>
      <c r="PU467" s="25"/>
      <c r="PV467" s="25"/>
      <c r="PW467" s="25"/>
      <c r="PX467" s="25"/>
      <c r="PY467" s="25"/>
      <c r="PZ467" s="25"/>
      <c r="QA467" s="25"/>
      <c r="QB467" s="25"/>
      <c r="QC467" s="25"/>
      <c r="QD467" s="25"/>
      <c r="QE467" s="25"/>
      <c r="QF467" s="25"/>
      <c r="QG467" s="25"/>
      <c r="QH467" s="25"/>
      <c r="QI467" s="25"/>
      <c r="QJ467" s="25"/>
      <c r="QK467" s="25"/>
      <c r="QL467" s="25"/>
      <c r="QM467" s="25"/>
      <c r="QN467" s="25"/>
      <c r="QO467" s="25"/>
      <c r="QP467" s="25"/>
      <c r="QQ467" s="25"/>
      <c r="QR467" s="25"/>
      <c r="QS467" s="25"/>
      <c r="QT467" s="25"/>
      <c r="QU467" s="25"/>
      <c r="QV467" s="25"/>
      <c r="QW467" s="25"/>
      <c r="QX467" s="25"/>
      <c r="QY467" s="25"/>
      <c r="QZ467" s="25"/>
      <c r="RA467" s="25"/>
      <c r="RB467" s="25"/>
      <c r="RC467" s="25"/>
      <c r="RD467" s="25"/>
      <c r="RE467" s="25"/>
      <c r="RF467" s="25"/>
      <c r="RG467" s="25"/>
      <c r="RH467" s="25"/>
      <c r="RI467" s="25"/>
      <c r="RJ467" s="25"/>
      <c r="RK467" s="25"/>
      <c r="RL467" s="25"/>
      <c r="RM467" s="25"/>
      <c r="RN467" s="25"/>
      <c r="RO467" s="25"/>
      <c r="RP467" s="25"/>
      <c r="RQ467" s="25"/>
      <c r="RR467" s="25"/>
      <c r="RS467" s="25"/>
      <c r="RT467" s="25"/>
      <c r="RU467" s="25"/>
      <c r="RV467" s="25"/>
      <c r="RW467" s="25"/>
      <c r="RX467" s="25"/>
      <c r="RY467" s="25"/>
      <c r="RZ467" s="25"/>
      <c r="SA467" s="25"/>
      <c r="SB467" s="25"/>
      <c r="SC467" s="25"/>
      <c r="SD467" s="25"/>
      <c r="SE467" s="25"/>
      <c r="SF467" s="25"/>
      <c r="SG467" s="25"/>
      <c r="SH467" s="25"/>
      <c r="SI467" s="25"/>
      <c r="SJ467" s="25"/>
      <c r="SK467" s="25"/>
      <c r="SL467" s="25"/>
      <c r="SM467" s="25"/>
      <c r="SN467" s="25"/>
      <c r="SO467" s="25"/>
      <c r="SP467" s="25"/>
      <c r="SQ467" s="25"/>
      <c r="SR467" s="25"/>
      <c r="SS467" s="25"/>
      <c r="ST467" s="25"/>
      <c r="SU467" s="25"/>
      <c r="SV467" s="25"/>
      <c r="SW467" s="25"/>
      <c r="SX467" s="25"/>
      <c r="SY467" s="25"/>
      <c r="SZ467" s="25"/>
      <c r="TA467" s="25"/>
      <c r="TB467" s="25"/>
      <c r="TC467" s="25"/>
      <c r="TD467" s="25"/>
      <c r="TE467" s="25"/>
      <c r="TF467" s="25"/>
      <c r="TG467" s="25"/>
      <c r="TH467" s="25"/>
      <c r="TI467" s="25"/>
      <c r="TJ467" s="25"/>
      <c r="TK467" s="25"/>
      <c r="TL467" s="25"/>
      <c r="TM467" s="25"/>
      <c r="TN467" s="25"/>
      <c r="TO467" s="25"/>
      <c r="TP467" s="25"/>
      <c r="TQ467" s="25"/>
      <c r="TR467" s="25"/>
      <c r="TS467" s="25"/>
      <c r="TT467" s="25"/>
      <c r="TU467" s="25"/>
      <c r="TV467" s="25"/>
      <c r="TW467" s="25"/>
      <c r="TX467" s="25"/>
      <c r="TY467" s="25"/>
      <c r="TZ467" s="25"/>
      <c r="UA467" s="25"/>
      <c r="UB467" s="25"/>
      <c r="UC467" s="25"/>
      <c r="UD467" s="25"/>
      <c r="UE467" s="25"/>
      <c r="UF467" s="25"/>
      <c r="UG467" s="26"/>
    </row>
    <row r="468" spans="1:553" ht="30.75" customHeight="1">
      <c r="A468" s="356" t="s">
        <v>15</v>
      </c>
      <c r="B468" s="385" t="s">
        <v>359</v>
      </c>
      <c r="C468" s="1404" t="s">
        <v>360</v>
      </c>
      <c r="D468" s="1389"/>
      <c r="E468" s="1389"/>
      <c r="F468" s="1390"/>
      <c r="G468" s="386" t="s">
        <v>935</v>
      </c>
      <c r="H468" s="370"/>
      <c r="I468" s="834">
        <f>6.95*4.9</f>
        <v>34.055000000000007</v>
      </c>
      <c r="J468" s="368">
        <v>279800</v>
      </c>
      <c r="K468" s="371"/>
      <c r="L468" s="391">
        <f t="shared" si="87"/>
        <v>9528589</v>
      </c>
      <c r="M468" s="395"/>
      <c r="N468" s="395"/>
      <c r="O468" s="366"/>
      <c r="P468" s="396"/>
      <c r="Q468" s="473"/>
      <c r="R468" s="1039"/>
      <c r="S468" s="305"/>
      <c r="T468" s="303"/>
      <c r="U468" s="306"/>
      <c r="V468" s="307"/>
      <c r="W468" s="306"/>
      <c r="X468" s="306"/>
      <c r="Y468" s="306"/>
      <c r="Z468" s="306"/>
      <c r="AA468" s="306"/>
      <c r="AB468" s="306"/>
      <c r="AC468" s="449"/>
      <c r="AD468" s="449"/>
      <c r="AE468" s="449"/>
      <c r="AF468" s="449"/>
      <c r="AG468" s="452"/>
      <c r="AH468" s="452"/>
      <c r="AI468" s="452"/>
      <c r="AJ468" s="452"/>
      <c r="AK468" s="452"/>
      <c r="AL468" s="104"/>
      <c r="AM468" s="32"/>
      <c r="AN468" s="32"/>
      <c r="AO468" s="32"/>
      <c r="AP468" s="32"/>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25"/>
      <c r="BN468" s="25"/>
      <c r="BO468" s="25"/>
      <c r="BP468" s="25"/>
      <c r="BQ468" s="25"/>
      <c r="BR468" s="25"/>
      <c r="BS468" s="25"/>
      <c r="BT468" s="25"/>
      <c r="BU468" s="25"/>
      <c r="BV468" s="25"/>
      <c r="BW468" s="25"/>
      <c r="BX468" s="25"/>
      <c r="BY468" s="25"/>
      <c r="BZ468" s="25"/>
      <c r="CA468" s="25"/>
      <c r="CB468" s="25"/>
      <c r="CC468" s="25"/>
      <c r="CD468" s="25"/>
      <c r="CE468" s="25"/>
      <c r="CF468" s="25"/>
      <c r="CG468" s="25"/>
      <c r="CH468" s="25"/>
      <c r="CI468" s="25"/>
      <c r="CJ468" s="25"/>
      <c r="CK468" s="25"/>
      <c r="CL468" s="25"/>
      <c r="CM468" s="25"/>
      <c r="CN468" s="25"/>
      <c r="CO468" s="25"/>
      <c r="CP468" s="25"/>
      <c r="CQ468" s="25"/>
      <c r="CR468" s="25"/>
      <c r="CS468" s="25"/>
      <c r="CT468" s="25"/>
      <c r="CU468" s="25"/>
      <c r="CV468" s="25"/>
      <c r="CW468" s="25"/>
      <c r="CX468" s="25"/>
      <c r="CY468" s="25"/>
      <c r="CZ468" s="25"/>
      <c r="DA468" s="25"/>
      <c r="DB468" s="25"/>
      <c r="DC468" s="25"/>
      <c r="DD468" s="25"/>
      <c r="DE468" s="25"/>
      <c r="DF468" s="25"/>
      <c r="DG468" s="25"/>
      <c r="DH468" s="25"/>
      <c r="DI468" s="25"/>
      <c r="DJ468" s="25"/>
      <c r="DK468" s="25"/>
      <c r="DL468" s="25"/>
      <c r="DM468" s="25"/>
      <c r="DN468" s="25"/>
      <c r="DO468" s="25"/>
      <c r="DP468" s="25"/>
      <c r="DQ468" s="25"/>
      <c r="DR468" s="25"/>
      <c r="DS468" s="25"/>
      <c r="DT468" s="25"/>
      <c r="DU468" s="25"/>
      <c r="DV468" s="25"/>
      <c r="DW468" s="25"/>
      <c r="DX468" s="25"/>
      <c r="DY468" s="25"/>
      <c r="DZ468" s="25"/>
      <c r="EA468" s="25"/>
      <c r="EB468" s="25"/>
      <c r="EC468" s="25"/>
      <c r="ED468" s="25"/>
      <c r="EE468" s="25"/>
      <c r="EF468" s="25"/>
      <c r="EG468" s="25"/>
      <c r="EH468" s="25"/>
      <c r="EI468" s="25"/>
      <c r="EJ468" s="25"/>
      <c r="EK468" s="25"/>
      <c r="EL468" s="25"/>
      <c r="EM468" s="25"/>
      <c r="EN468" s="25"/>
      <c r="EO468" s="25"/>
      <c r="EP468" s="25"/>
      <c r="EQ468" s="25"/>
      <c r="ER468" s="25"/>
      <c r="ES468" s="25"/>
      <c r="ET468" s="25"/>
      <c r="EU468" s="25"/>
      <c r="EV468" s="25"/>
      <c r="EW468" s="25"/>
      <c r="EX468" s="25"/>
      <c r="EY468" s="25"/>
      <c r="EZ468" s="25"/>
      <c r="FA468" s="25"/>
      <c r="FB468" s="25"/>
      <c r="FC468" s="25"/>
      <c r="FD468" s="25"/>
      <c r="FE468" s="25"/>
      <c r="FF468" s="25"/>
      <c r="FG468" s="25"/>
      <c r="FH468" s="25"/>
      <c r="FI468" s="25"/>
      <c r="FJ468" s="25"/>
      <c r="FK468" s="25"/>
      <c r="FL468" s="25"/>
      <c r="FM468" s="25"/>
      <c r="FN468" s="25"/>
      <c r="FO468" s="25"/>
      <c r="FP468" s="25"/>
      <c r="FQ468" s="25"/>
      <c r="FR468" s="25"/>
      <c r="FS468" s="25"/>
      <c r="FT468" s="25"/>
      <c r="FU468" s="25"/>
      <c r="FV468" s="25"/>
      <c r="FW468" s="25"/>
      <c r="FX468" s="25"/>
      <c r="FY468" s="25"/>
      <c r="FZ468" s="25"/>
      <c r="GA468" s="25"/>
      <c r="GB468" s="25"/>
      <c r="GC468" s="25"/>
      <c r="GD468" s="25"/>
      <c r="GE468" s="25"/>
      <c r="GF468" s="25"/>
      <c r="GG468" s="25"/>
      <c r="GH468" s="25"/>
      <c r="GI468" s="25"/>
      <c r="GJ468" s="25"/>
      <c r="GK468" s="25"/>
      <c r="GL468" s="25"/>
      <c r="GM468" s="25"/>
      <c r="GN468" s="25"/>
      <c r="GO468" s="25"/>
      <c r="GP468" s="25"/>
      <c r="GQ468" s="25"/>
      <c r="GR468" s="25"/>
      <c r="GS468" s="25"/>
      <c r="GT468" s="25"/>
      <c r="GU468" s="25"/>
      <c r="GV468" s="25"/>
      <c r="GW468" s="25"/>
      <c r="GX468" s="25"/>
      <c r="GY468" s="25"/>
      <c r="GZ468" s="25"/>
      <c r="HA468" s="25"/>
      <c r="HB468" s="25"/>
      <c r="HC468" s="25"/>
      <c r="HD468" s="25"/>
      <c r="HE468" s="25"/>
      <c r="HF468" s="25"/>
      <c r="HG468" s="25"/>
      <c r="HH468" s="25"/>
      <c r="HI468" s="25"/>
      <c r="HJ468" s="25"/>
      <c r="HK468" s="25"/>
      <c r="HL468" s="25"/>
      <c r="HM468" s="25"/>
      <c r="HN468" s="25"/>
      <c r="HO468" s="25"/>
      <c r="HP468" s="25"/>
      <c r="HQ468" s="25"/>
      <c r="HR468" s="25"/>
      <c r="HS468" s="25"/>
      <c r="HT468" s="25"/>
      <c r="HU468" s="25"/>
      <c r="HV468" s="25"/>
      <c r="HW468" s="25"/>
      <c r="HX468" s="25"/>
      <c r="HY468" s="25"/>
      <c r="HZ468" s="25"/>
      <c r="IA468" s="25"/>
      <c r="IB468" s="25"/>
      <c r="IC468" s="25"/>
      <c r="ID468" s="25"/>
      <c r="IE468" s="25"/>
      <c r="IF468" s="25"/>
      <c r="IG468" s="25"/>
      <c r="IH468" s="25"/>
      <c r="II468" s="25"/>
      <c r="IJ468" s="25"/>
      <c r="IK468" s="25"/>
      <c r="IL468" s="25"/>
      <c r="IM468" s="25"/>
      <c r="IN468" s="25"/>
      <c r="IO468" s="25"/>
      <c r="IP468" s="25"/>
      <c r="IQ468" s="25"/>
      <c r="IR468" s="25"/>
      <c r="IS468" s="25"/>
      <c r="IT468" s="25"/>
      <c r="IU468" s="25"/>
      <c r="IV468" s="25"/>
      <c r="IW468" s="25"/>
      <c r="IX468" s="25"/>
      <c r="IY468" s="25"/>
      <c r="IZ468" s="25"/>
      <c r="JA468" s="25"/>
      <c r="JB468" s="25"/>
      <c r="JC468" s="25"/>
      <c r="JD468" s="25"/>
      <c r="JE468" s="25"/>
      <c r="JF468" s="25"/>
      <c r="JG468" s="25"/>
      <c r="JH468" s="25"/>
      <c r="JI468" s="25"/>
      <c r="JJ468" s="25"/>
      <c r="JK468" s="25"/>
      <c r="JL468" s="25"/>
      <c r="JM468" s="25"/>
      <c r="JN468" s="25"/>
      <c r="JO468" s="25"/>
      <c r="JP468" s="25"/>
      <c r="JQ468" s="25"/>
      <c r="JR468" s="25"/>
      <c r="JS468" s="25"/>
      <c r="JT468" s="25"/>
      <c r="JU468" s="25"/>
      <c r="JV468" s="25"/>
      <c r="JW468" s="25"/>
      <c r="JX468" s="25"/>
      <c r="JY468" s="25"/>
      <c r="JZ468" s="25"/>
      <c r="KA468" s="25"/>
      <c r="KB468" s="25"/>
      <c r="KC468" s="25"/>
      <c r="KD468" s="25"/>
      <c r="KE468" s="25"/>
      <c r="KF468" s="25"/>
      <c r="KG468" s="25"/>
      <c r="KH468" s="25"/>
      <c r="KI468" s="25"/>
      <c r="KJ468" s="25"/>
      <c r="KK468" s="25"/>
      <c r="KL468" s="25"/>
      <c r="KM468" s="25"/>
      <c r="KN468" s="25"/>
      <c r="KO468" s="25"/>
      <c r="KP468" s="25"/>
      <c r="KQ468" s="25"/>
      <c r="KR468" s="25"/>
      <c r="KS468" s="25"/>
      <c r="KT468" s="25"/>
      <c r="KU468" s="25"/>
      <c r="KV468" s="25"/>
      <c r="KW468" s="25"/>
      <c r="KX468" s="25"/>
      <c r="KY468" s="25"/>
      <c r="KZ468" s="25"/>
      <c r="LA468" s="25"/>
      <c r="LB468" s="25"/>
      <c r="LC468" s="25"/>
      <c r="LD468" s="25"/>
      <c r="LE468" s="25"/>
      <c r="LF468" s="25"/>
      <c r="LG468" s="25"/>
      <c r="LH468" s="25"/>
      <c r="LI468" s="25"/>
      <c r="LJ468" s="25"/>
      <c r="LK468" s="25"/>
      <c r="LL468" s="25"/>
      <c r="LM468" s="25"/>
      <c r="LN468" s="25"/>
      <c r="LO468" s="25"/>
      <c r="LP468" s="25"/>
      <c r="LQ468" s="25"/>
      <c r="LR468" s="25"/>
      <c r="LS468" s="25"/>
      <c r="LT468" s="25"/>
      <c r="LU468" s="25"/>
      <c r="LV468" s="25"/>
      <c r="LW468" s="25"/>
      <c r="LX468" s="25"/>
      <c r="LY468" s="25"/>
      <c r="LZ468" s="25"/>
      <c r="MA468" s="25"/>
      <c r="MB468" s="25"/>
      <c r="MC468" s="25"/>
      <c r="MD468" s="25"/>
      <c r="ME468" s="25"/>
      <c r="MF468" s="25"/>
      <c r="MG468" s="25"/>
      <c r="MH468" s="25"/>
      <c r="MI468" s="25"/>
      <c r="MJ468" s="25"/>
      <c r="MK468" s="25"/>
      <c r="ML468" s="25"/>
      <c r="MM468" s="25"/>
      <c r="MN468" s="25"/>
      <c r="MO468" s="25"/>
      <c r="MP468" s="25"/>
      <c r="MQ468" s="25"/>
      <c r="MR468" s="25"/>
      <c r="MS468" s="25"/>
      <c r="MT468" s="25"/>
      <c r="MU468" s="25"/>
      <c r="MV468" s="25"/>
      <c r="MW468" s="25"/>
      <c r="MX468" s="25"/>
      <c r="MY468" s="25"/>
      <c r="MZ468" s="25"/>
      <c r="NA468" s="25"/>
      <c r="NB468" s="25"/>
      <c r="NC468" s="25"/>
      <c r="ND468" s="25"/>
      <c r="NE468" s="25"/>
      <c r="NF468" s="25"/>
      <c r="NG468" s="25"/>
      <c r="NH468" s="25"/>
      <c r="NI468" s="25"/>
      <c r="NJ468" s="25"/>
      <c r="NK468" s="25"/>
      <c r="NL468" s="25"/>
      <c r="NM468" s="25"/>
      <c r="NN468" s="25"/>
      <c r="NO468" s="25"/>
      <c r="NP468" s="25"/>
      <c r="NQ468" s="25"/>
      <c r="NR468" s="25"/>
      <c r="NS468" s="25"/>
      <c r="NT468" s="25"/>
      <c r="NU468" s="25"/>
      <c r="NV468" s="25"/>
      <c r="NW468" s="25"/>
      <c r="NX468" s="25"/>
      <c r="NY468" s="25"/>
      <c r="NZ468" s="25"/>
      <c r="OA468" s="25"/>
      <c r="OB468" s="25"/>
      <c r="OC468" s="25"/>
      <c r="OD468" s="25"/>
      <c r="OE468" s="25"/>
      <c r="OF468" s="25"/>
      <c r="OG468" s="25"/>
      <c r="OH468" s="25"/>
      <c r="OI468" s="25"/>
      <c r="OJ468" s="25"/>
      <c r="OK468" s="25"/>
      <c r="OL468" s="25"/>
      <c r="OM468" s="25"/>
      <c r="ON468" s="25"/>
      <c r="OO468" s="25"/>
      <c r="OP468" s="25"/>
      <c r="OQ468" s="25"/>
      <c r="OR468" s="25"/>
      <c r="OS468" s="25"/>
      <c r="OT468" s="25"/>
      <c r="OU468" s="25"/>
      <c r="OV468" s="25"/>
      <c r="OW468" s="25"/>
      <c r="OX468" s="25"/>
      <c r="OY468" s="25"/>
      <c r="OZ468" s="25"/>
      <c r="PA468" s="25"/>
      <c r="PB468" s="25"/>
      <c r="PC468" s="25"/>
      <c r="PD468" s="25"/>
      <c r="PE468" s="25"/>
      <c r="PF468" s="25"/>
      <c r="PG468" s="25"/>
      <c r="PH468" s="25"/>
      <c r="PI468" s="25"/>
      <c r="PJ468" s="25"/>
      <c r="PK468" s="25"/>
      <c r="PL468" s="25"/>
      <c r="PM468" s="25"/>
      <c r="PN468" s="25"/>
      <c r="PO468" s="25"/>
      <c r="PP468" s="25"/>
      <c r="PQ468" s="25"/>
      <c r="PR468" s="25"/>
      <c r="PS468" s="25"/>
      <c r="PT468" s="25"/>
      <c r="PU468" s="25"/>
      <c r="PV468" s="25"/>
      <c r="PW468" s="25"/>
      <c r="PX468" s="25"/>
      <c r="PY468" s="25"/>
      <c r="PZ468" s="25"/>
      <c r="QA468" s="25"/>
      <c r="QB468" s="25"/>
      <c r="QC468" s="25"/>
      <c r="QD468" s="25"/>
      <c r="QE468" s="25"/>
      <c r="QF468" s="25"/>
      <c r="QG468" s="25"/>
      <c r="QH468" s="25"/>
      <c r="QI468" s="25"/>
      <c r="QJ468" s="25"/>
      <c r="QK468" s="25"/>
      <c r="QL468" s="25"/>
      <c r="QM468" s="25"/>
      <c r="QN468" s="25"/>
      <c r="QO468" s="25"/>
      <c r="QP468" s="25"/>
      <c r="QQ468" s="25"/>
      <c r="QR468" s="25"/>
      <c r="QS468" s="25"/>
      <c r="QT468" s="25"/>
      <c r="QU468" s="25"/>
      <c r="QV468" s="25"/>
      <c r="QW468" s="25"/>
      <c r="QX468" s="25"/>
      <c r="QY468" s="25"/>
      <c r="QZ468" s="25"/>
      <c r="RA468" s="25"/>
      <c r="RB468" s="25"/>
      <c r="RC468" s="25"/>
      <c r="RD468" s="25"/>
      <c r="RE468" s="25"/>
      <c r="RF468" s="25"/>
      <c r="RG468" s="25"/>
      <c r="RH468" s="25"/>
      <c r="RI468" s="25"/>
      <c r="RJ468" s="25"/>
      <c r="RK468" s="25"/>
      <c r="RL468" s="25"/>
      <c r="RM468" s="25"/>
      <c r="RN468" s="25"/>
      <c r="RO468" s="25"/>
      <c r="RP468" s="25"/>
      <c r="RQ468" s="25"/>
      <c r="RR468" s="25"/>
      <c r="RS468" s="25"/>
      <c r="RT468" s="25"/>
      <c r="RU468" s="25"/>
      <c r="RV468" s="25"/>
      <c r="RW468" s="25"/>
      <c r="RX468" s="25"/>
      <c r="RY468" s="25"/>
      <c r="RZ468" s="25"/>
      <c r="SA468" s="25"/>
      <c r="SB468" s="25"/>
      <c r="SC468" s="25"/>
      <c r="SD468" s="25"/>
      <c r="SE468" s="25"/>
      <c r="SF468" s="25"/>
      <c r="SG468" s="25"/>
      <c r="SH468" s="25"/>
      <c r="SI468" s="25"/>
      <c r="SJ468" s="25"/>
      <c r="SK468" s="25"/>
      <c r="SL468" s="25"/>
      <c r="SM468" s="25"/>
      <c r="SN468" s="25"/>
      <c r="SO468" s="25"/>
      <c r="SP468" s="25"/>
      <c r="SQ468" s="25"/>
      <c r="SR468" s="25"/>
      <c r="SS468" s="25"/>
      <c r="ST468" s="25"/>
      <c r="SU468" s="25"/>
      <c r="SV468" s="25"/>
      <c r="SW468" s="25"/>
      <c r="SX468" s="25"/>
      <c r="SY468" s="25"/>
      <c r="SZ468" s="25"/>
      <c r="TA468" s="25"/>
      <c r="TB468" s="25"/>
      <c r="TC468" s="25"/>
      <c r="TD468" s="25"/>
      <c r="TE468" s="25"/>
      <c r="TF468" s="25"/>
      <c r="TG468" s="25"/>
      <c r="TH468" s="25"/>
      <c r="TI468" s="25"/>
      <c r="TJ468" s="25"/>
      <c r="TK468" s="25"/>
      <c r="TL468" s="25"/>
      <c r="TM468" s="25"/>
      <c r="TN468" s="25"/>
      <c r="TO468" s="25"/>
      <c r="TP468" s="25"/>
      <c r="TQ468" s="25"/>
      <c r="TR468" s="25"/>
      <c r="TS468" s="25"/>
      <c r="TT468" s="25"/>
      <c r="TU468" s="25"/>
      <c r="TV468" s="25"/>
      <c r="TW468" s="25"/>
      <c r="TX468" s="25"/>
      <c r="TY468" s="25"/>
      <c r="TZ468" s="25"/>
      <c r="UA468" s="25"/>
      <c r="UB468" s="25"/>
      <c r="UC468" s="25"/>
      <c r="UD468" s="25"/>
      <c r="UE468" s="25"/>
      <c r="UF468" s="25"/>
      <c r="UG468" s="26"/>
    </row>
    <row r="469" spans="1:553" ht="30.75" customHeight="1">
      <c r="A469" s="356" t="s">
        <v>15</v>
      </c>
      <c r="B469" s="385" t="s">
        <v>79</v>
      </c>
      <c r="C469" s="1404" t="s">
        <v>361</v>
      </c>
      <c r="D469" s="1389"/>
      <c r="E469" s="1389"/>
      <c r="F469" s="1390"/>
      <c r="G469" s="386" t="s">
        <v>935</v>
      </c>
      <c r="H469" s="370"/>
      <c r="I469" s="834">
        <f>6.17*2.2+3.5*1.4+2.5*1.4+4*4.8</f>
        <v>41.173999999999999</v>
      </c>
      <c r="J469" s="368">
        <v>60200</v>
      </c>
      <c r="K469" s="371"/>
      <c r="L469" s="391">
        <f t="shared" si="87"/>
        <v>2478675</v>
      </c>
      <c r="M469" s="395"/>
      <c r="N469" s="395"/>
      <c r="O469" s="366"/>
      <c r="P469" s="396"/>
      <c r="Q469" s="473"/>
      <c r="R469" s="1039"/>
      <c r="S469" s="435"/>
      <c r="T469" s="436"/>
      <c r="U469" s="304"/>
      <c r="V469" s="393"/>
      <c r="W469" s="304"/>
      <c r="X469" s="304"/>
      <c r="Y469" s="304"/>
      <c r="Z469" s="304"/>
      <c r="AA469" s="304"/>
      <c r="AB469" s="304"/>
      <c r="AC469" s="449"/>
      <c r="AD469" s="449"/>
      <c r="AE469" s="449"/>
      <c r="AF469" s="449"/>
      <c r="AG469" s="452"/>
      <c r="AH469" s="452"/>
      <c r="AI469" s="452"/>
      <c r="AJ469" s="452"/>
      <c r="AK469" s="452"/>
      <c r="AL469" s="104"/>
      <c r="AM469" s="32"/>
      <c r="AN469" s="32"/>
      <c r="AO469" s="32"/>
      <c r="AP469" s="32"/>
      <c r="AQ469" s="31"/>
      <c r="AR469" s="31"/>
      <c r="AS469" s="31"/>
      <c r="AT469" s="31"/>
      <c r="AU469" s="31"/>
      <c r="AV469" s="31"/>
      <c r="AW469" s="31"/>
      <c r="AX469" s="31"/>
      <c r="AY469" s="31"/>
      <c r="AZ469" s="31"/>
      <c r="BA469" s="31"/>
      <c r="BB469" s="31"/>
      <c r="BC469" s="31"/>
      <c r="BD469" s="31"/>
      <c r="BE469" s="31"/>
      <c r="BF469" s="31"/>
      <c r="BG469" s="31"/>
      <c r="BH469" s="31"/>
      <c r="BI469" s="31"/>
      <c r="BJ469" s="31"/>
      <c r="BK469" s="31"/>
      <c r="BL469" s="31"/>
      <c r="BM469" s="25"/>
      <c r="BN469" s="25"/>
      <c r="BO469" s="25"/>
      <c r="BP469" s="25"/>
      <c r="BQ469" s="25"/>
      <c r="BR469" s="25"/>
      <c r="BS469" s="25"/>
      <c r="BT469" s="25"/>
      <c r="BU469" s="25"/>
      <c r="BV469" s="25"/>
      <c r="BW469" s="25"/>
      <c r="BX469" s="25"/>
      <c r="BY469" s="25"/>
      <c r="BZ469" s="25"/>
      <c r="CA469" s="25"/>
      <c r="CB469" s="25"/>
      <c r="CC469" s="25"/>
      <c r="CD469" s="25"/>
      <c r="CE469" s="25"/>
      <c r="CF469" s="25"/>
      <c r="CG469" s="25"/>
      <c r="CH469" s="25"/>
      <c r="CI469" s="25"/>
      <c r="CJ469" s="25"/>
      <c r="CK469" s="25"/>
      <c r="CL469" s="25"/>
      <c r="CM469" s="25"/>
      <c r="CN469" s="25"/>
      <c r="CO469" s="25"/>
      <c r="CP469" s="25"/>
      <c r="CQ469" s="25"/>
      <c r="CR469" s="25"/>
      <c r="CS469" s="25"/>
      <c r="CT469" s="25"/>
      <c r="CU469" s="25"/>
      <c r="CV469" s="25"/>
      <c r="CW469" s="25"/>
      <c r="CX469" s="25"/>
      <c r="CY469" s="25"/>
      <c r="CZ469" s="25"/>
      <c r="DA469" s="25"/>
      <c r="DB469" s="25"/>
      <c r="DC469" s="25"/>
      <c r="DD469" s="25"/>
      <c r="DE469" s="25"/>
      <c r="DF469" s="25"/>
      <c r="DG469" s="25"/>
      <c r="DH469" s="25"/>
      <c r="DI469" s="25"/>
      <c r="DJ469" s="25"/>
      <c r="DK469" s="25"/>
      <c r="DL469" s="25"/>
      <c r="DM469" s="25"/>
      <c r="DN469" s="25"/>
      <c r="DO469" s="25"/>
      <c r="DP469" s="25"/>
      <c r="DQ469" s="25"/>
      <c r="DR469" s="25"/>
      <c r="DS469" s="25"/>
      <c r="DT469" s="25"/>
      <c r="DU469" s="25"/>
      <c r="DV469" s="25"/>
      <c r="DW469" s="25"/>
      <c r="DX469" s="25"/>
      <c r="DY469" s="25"/>
      <c r="DZ469" s="25"/>
      <c r="EA469" s="25"/>
      <c r="EB469" s="25"/>
      <c r="EC469" s="25"/>
      <c r="ED469" s="25"/>
      <c r="EE469" s="25"/>
      <c r="EF469" s="25"/>
      <c r="EG469" s="25"/>
      <c r="EH469" s="25"/>
      <c r="EI469" s="25"/>
      <c r="EJ469" s="25"/>
      <c r="EK469" s="25"/>
      <c r="EL469" s="25"/>
      <c r="EM469" s="25"/>
      <c r="EN469" s="25"/>
      <c r="EO469" s="25"/>
      <c r="EP469" s="25"/>
      <c r="EQ469" s="25"/>
      <c r="ER469" s="25"/>
      <c r="ES469" s="25"/>
      <c r="ET469" s="25"/>
      <c r="EU469" s="25"/>
      <c r="EV469" s="25"/>
      <c r="EW469" s="25"/>
      <c r="EX469" s="25"/>
      <c r="EY469" s="25"/>
      <c r="EZ469" s="25"/>
      <c r="FA469" s="25"/>
      <c r="FB469" s="25"/>
      <c r="FC469" s="25"/>
      <c r="FD469" s="25"/>
      <c r="FE469" s="25"/>
      <c r="FF469" s="25"/>
      <c r="FG469" s="25"/>
      <c r="FH469" s="25"/>
      <c r="FI469" s="25"/>
      <c r="FJ469" s="25"/>
      <c r="FK469" s="25"/>
      <c r="FL469" s="25"/>
      <c r="FM469" s="25"/>
      <c r="FN469" s="25"/>
      <c r="FO469" s="25"/>
      <c r="FP469" s="25"/>
      <c r="FQ469" s="25"/>
      <c r="FR469" s="25"/>
      <c r="FS469" s="25"/>
      <c r="FT469" s="25"/>
      <c r="FU469" s="25"/>
      <c r="FV469" s="25"/>
      <c r="FW469" s="25"/>
      <c r="FX469" s="25"/>
      <c r="FY469" s="25"/>
      <c r="FZ469" s="25"/>
      <c r="GA469" s="25"/>
      <c r="GB469" s="25"/>
      <c r="GC469" s="25"/>
      <c r="GD469" s="25"/>
      <c r="GE469" s="25"/>
      <c r="GF469" s="25"/>
      <c r="GG469" s="25"/>
      <c r="GH469" s="25"/>
      <c r="GI469" s="25"/>
      <c r="GJ469" s="25"/>
      <c r="GK469" s="25"/>
      <c r="GL469" s="25"/>
      <c r="GM469" s="25"/>
      <c r="GN469" s="25"/>
      <c r="GO469" s="25"/>
      <c r="GP469" s="25"/>
      <c r="GQ469" s="25"/>
      <c r="GR469" s="25"/>
      <c r="GS469" s="25"/>
      <c r="GT469" s="25"/>
      <c r="GU469" s="25"/>
      <c r="GV469" s="25"/>
      <c r="GW469" s="25"/>
      <c r="GX469" s="25"/>
      <c r="GY469" s="25"/>
      <c r="GZ469" s="25"/>
      <c r="HA469" s="25"/>
      <c r="HB469" s="25"/>
      <c r="HC469" s="25"/>
      <c r="HD469" s="25"/>
      <c r="HE469" s="25"/>
      <c r="HF469" s="25"/>
      <c r="HG469" s="25"/>
      <c r="HH469" s="25"/>
      <c r="HI469" s="25"/>
      <c r="HJ469" s="25"/>
      <c r="HK469" s="25"/>
      <c r="HL469" s="25"/>
      <c r="HM469" s="25"/>
      <c r="HN469" s="25"/>
      <c r="HO469" s="25"/>
      <c r="HP469" s="25"/>
      <c r="HQ469" s="25"/>
      <c r="HR469" s="25"/>
      <c r="HS469" s="25"/>
      <c r="HT469" s="25"/>
      <c r="HU469" s="25"/>
      <c r="HV469" s="25"/>
      <c r="HW469" s="25"/>
      <c r="HX469" s="25"/>
      <c r="HY469" s="25"/>
      <c r="HZ469" s="25"/>
      <c r="IA469" s="25"/>
      <c r="IB469" s="25"/>
      <c r="IC469" s="25"/>
      <c r="ID469" s="25"/>
      <c r="IE469" s="25"/>
      <c r="IF469" s="25"/>
      <c r="IG469" s="25"/>
      <c r="IH469" s="25"/>
      <c r="II469" s="25"/>
      <c r="IJ469" s="25"/>
      <c r="IK469" s="25"/>
      <c r="IL469" s="25"/>
      <c r="IM469" s="25"/>
      <c r="IN469" s="25"/>
      <c r="IO469" s="25"/>
      <c r="IP469" s="25"/>
      <c r="IQ469" s="25"/>
      <c r="IR469" s="25"/>
      <c r="IS469" s="25"/>
      <c r="IT469" s="25"/>
      <c r="IU469" s="25"/>
      <c r="IV469" s="25"/>
      <c r="IW469" s="25"/>
      <c r="IX469" s="25"/>
      <c r="IY469" s="25"/>
      <c r="IZ469" s="25"/>
      <c r="JA469" s="25"/>
      <c r="JB469" s="25"/>
      <c r="JC469" s="25"/>
      <c r="JD469" s="25"/>
      <c r="JE469" s="25"/>
      <c r="JF469" s="25"/>
      <c r="JG469" s="25"/>
      <c r="JH469" s="25"/>
      <c r="JI469" s="25"/>
      <c r="JJ469" s="25"/>
      <c r="JK469" s="25"/>
      <c r="JL469" s="25"/>
      <c r="JM469" s="25"/>
      <c r="JN469" s="25"/>
      <c r="JO469" s="25"/>
      <c r="JP469" s="25"/>
      <c r="JQ469" s="25"/>
      <c r="JR469" s="25"/>
      <c r="JS469" s="25"/>
      <c r="JT469" s="25"/>
      <c r="JU469" s="25"/>
      <c r="JV469" s="25"/>
      <c r="JW469" s="25"/>
      <c r="JX469" s="25"/>
      <c r="JY469" s="25"/>
      <c r="JZ469" s="25"/>
      <c r="KA469" s="25"/>
      <c r="KB469" s="25"/>
      <c r="KC469" s="25"/>
      <c r="KD469" s="25"/>
      <c r="KE469" s="25"/>
      <c r="KF469" s="25"/>
      <c r="KG469" s="25"/>
      <c r="KH469" s="25"/>
      <c r="KI469" s="25"/>
      <c r="KJ469" s="25"/>
      <c r="KK469" s="25"/>
      <c r="KL469" s="25"/>
      <c r="KM469" s="25"/>
      <c r="KN469" s="25"/>
      <c r="KO469" s="25"/>
      <c r="KP469" s="25"/>
      <c r="KQ469" s="25"/>
      <c r="KR469" s="25"/>
      <c r="KS469" s="25"/>
      <c r="KT469" s="25"/>
      <c r="KU469" s="25"/>
      <c r="KV469" s="25"/>
      <c r="KW469" s="25"/>
      <c r="KX469" s="25"/>
      <c r="KY469" s="25"/>
      <c r="KZ469" s="25"/>
      <c r="LA469" s="25"/>
      <c r="LB469" s="25"/>
      <c r="LC469" s="25"/>
      <c r="LD469" s="25"/>
      <c r="LE469" s="25"/>
      <c r="LF469" s="25"/>
      <c r="LG469" s="25"/>
      <c r="LH469" s="25"/>
      <c r="LI469" s="25"/>
      <c r="LJ469" s="25"/>
      <c r="LK469" s="25"/>
      <c r="LL469" s="25"/>
      <c r="LM469" s="25"/>
      <c r="LN469" s="25"/>
      <c r="LO469" s="25"/>
      <c r="LP469" s="25"/>
      <c r="LQ469" s="25"/>
      <c r="LR469" s="25"/>
      <c r="LS469" s="25"/>
      <c r="LT469" s="25"/>
      <c r="LU469" s="25"/>
      <c r="LV469" s="25"/>
      <c r="LW469" s="25"/>
      <c r="LX469" s="25"/>
      <c r="LY469" s="25"/>
      <c r="LZ469" s="25"/>
      <c r="MA469" s="25"/>
      <c r="MB469" s="25"/>
      <c r="MC469" s="25"/>
      <c r="MD469" s="25"/>
      <c r="ME469" s="25"/>
      <c r="MF469" s="25"/>
      <c r="MG469" s="25"/>
      <c r="MH469" s="25"/>
      <c r="MI469" s="25"/>
      <c r="MJ469" s="25"/>
      <c r="MK469" s="25"/>
      <c r="ML469" s="25"/>
      <c r="MM469" s="25"/>
      <c r="MN469" s="25"/>
      <c r="MO469" s="25"/>
      <c r="MP469" s="25"/>
      <c r="MQ469" s="25"/>
      <c r="MR469" s="25"/>
      <c r="MS469" s="25"/>
      <c r="MT469" s="25"/>
      <c r="MU469" s="25"/>
      <c r="MV469" s="25"/>
      <c r="MW469" s="25"/>
      <c r="MX469" s="25"/>
      <c r="MY469" s="25"/>
      <c r="MZ469" s="25"/>
      <c r="NA469" s="25"/>
      <c r="NB469" s="25"/>
      <c r="NC469" s="25"/>
      <c r="ND469" s="25"/>
      <c r="NE469" s="25"/>
      <c r="NF469" s="25"/>
      <c r="NG469" s="25"/>
      <c r="NH469" s="25"/>
      <c r="NI469" s="25"/>
      <c r="NJ469" s="25"/>
      <c r="NK469" s="25"/>
      <c r="NL469" s="25"/>
      <c r="NM469" s="25"/>
      <c r="NN469" s="25"/>
      <c r="NO469" s="25"/>
      <c r="NP469" s="25"/>
      <c r="NQ469" s="25"/>
      <c r="NR469" s="25"/>
      <c r="NS469" s="25"/>
      <c r="NT469" s="25"/>
      <c r="NU469" s="25"/>
      <c r="NV469" s="25"/>
      <c r="NW469" s="25"/>
      <c r="NX469" s="25"/>
      <c r="NY469" s="25"/>
      <c r="NZ469" s="25"/>
      <c r="OA469" s="25"/>
      <c r="OB469" s="25"/>
      <c r="OC469" s="25"/>
      <c r="OD469" s="25"/>
      <c r="OE469" s="25"/>
      <c r="OF469" s="25"/>
      <c r="OG469" s="25"/>
      <c r="OH469" s="25"/>
      <c r="OI469" s="25"/>
      <c r="OJ469" s="25"/>
      <c r="OK469" s="25"/>
      <c r="OL469" s="25"/>
      <c r="OM469" s="25"/>
      <c r="ON469" s="25"/>
      <c r="OO469" s="25"/>
      <c r="OP469" s="25"/>
      <c r="OQ469" s="25"/>
      <c r="OR469" s="25"/>
      <c r="OS469" s="25"/>
      <c r="OT469" s="25"/>
      <c r="OU469" s="25"/>
      <c r="OV469" s="25"/>
      <c r="OW469" s="25"/>
      <c r="OX469" s="25"/>
      <c r="OY469" s="25"/>
      <c r="OZ469" s="25"/>
      <c r="PA469" s="25"/>
      <c r="PB469" s="25"/>
      <c r="PC469" s="25"/>
      <c r="PD469" s="25"/>
      <c r="PE469" s="25"/>
      <c r="PF469" s="25"/>
      <c r="PG469" s="25"/>
      <c r="PH469" s="25"/>
      <c r="PI469" s="25"/>
      <c r="PJ469" s="25"/>
      <c r="PK469" s="25"/>
      <c r="PL469" s="25"/>
      <c r="PM469" s="25"/>
      <c r="PN469" s="25"/>
      <c r="PO469" s="25"/>
      <c r="PP469" s="25"/>
      <c r="PQ469" s="25"/>
      <c r="PR469" s="25"/>
      <c r="PS469" s="25"/>
      <c r="PT469" s="25"/>
      <c r="PU469" s="25"/>
      <c r="PV469" s="25"/>
      <c r="PW469" s="25"/>
      <c r="PX469" s="25"/>
      <c r="PY469" s="25"/>
      <c r="PZ469" s="25"/>
      <c r="QA469" s="25"/>
      <c r="QB469" s="25"/>
      <c r="QC469" s="25"/>
      <c r="QD469" s="25"/>
      <c r="QE469" s="25"/>
      <c r="QF469" s="25"/>
      <c r="QG469" s="25"/>
      <c r="QH469" s="25"/>
      <c r="QI469" s="25"/>
      <c r="QJ469" s="25"/>
      <c r="QK469" s="25"/>
      <c r="QL469" s="25"/>
      <c r="QM469" s="25"/>
      <c r="QN469" s="25"/>
      <c r="QO469" s="25"/>
      <c r="QP469" s="25"/>
      <c r="QQ469" s="25"/>
      <c r="QR469" s="25"/>
      <c r="QS469" s="25"/>
      <c r="QT469" s="25"/>
      <c r="QU469" s="25"/>
      <c r="QV469" s="25"/>
      <c r="QW469" s="25"/>
      <c r="QX469" s="25"/>
      <c r="QY469" s="25"/>
      <c r="QZ469" s="25"/>
      <c r="RA469" s="25"/>
      <c r="RB469" s="25"/>
      <c r="RC469" s="25"/>
      <c r="RD469" s="25"/>
      <c r="RE469" s="25"/>
      <c r="RF469" s="25"/>
      <c r="RG469" s="25"/>
      <c r="RH469" s="25"/>
      <c r="RI469" s="25"/>
      <c r="RJ469" s="25"/>
      <c r="RK469" s="25"/>
      <c r="RL469" s="25"/>
      <c r="RM469" s="25"/>
      <c r="RN469" s="25"/>
      <c r="RO469" s="25"/>
      <c r="RP469" s="25"/>
      <c r="RQ469" s="25"/>
      <c r="RR469" s="25"/>
      <c r="RS469" s="25"/>
      <c r="RT469" s="25"/>
      <c r="RU469" s="25"/>
      <c r="RV469" s="25"/>
      <c r="RW469" s="25"/>
      <c r="RX469" s="25"/>
      <c r="RY469" s="25"/>
      <c r="RZ469" s="25"/>
      <c r="SA469" s="25"/>
      <c r="SB469" s="25"/>
      <c r="SC469" s="25"/>
      <c r="SD469" s="25"/>
      <c r="SE469" s="25"/>
      <c r="SF469" s="25"/>
      <c r="SG469" s="25"/>
      <c r="SH469" s="25"/>
      <c r="SI469" s="25"/>
      <c r="SJ469" s="25"/>
      <c r="SK469" s="25"/>
      <c r="SL469" s="25"/>
      <c r="SM469" s="25"/>
      <c r="SN469" s="25"/>
      <c r="SO469" s="25"/>
      <c r="SP469" s="25"/>
      <c r="SQ469" s="25"/>
      <c r="SR469" s="25"/>
      <c r="SS469" s="25"/>
      <c r="ST469" s="25"/>
      <c r="SU469" s="25"/>
      <c r="SV469" s="25"/>
      <c r="SW469" s="25"/>
      <c r="SX469" s="25"/>
      <c r="SY469" s="25"/>
      <c r="SZ469" s="25"/>
      <c r="TA469" s="25"/>
      <c r="TB469" s="25"/>
      <c r="TC469" s="25"/>
      <c r="TD469" s="25"/>
      <c r="TE469" s="25"/>
      <c r="TF469" s="25"/>
      <c r="TG469" s="25"/>
      <c r="TH469" s="25"/>
      <c r="TI469" s="25"/>
      <c r="TJ469" s="25"/>
      <c r="TK469" s="25"/>
      <c r="TL469" s="25"/>
      <c r="TM469" s="25"/>
      <c r="TN469" s="25"/>
      <c r="TO469" s="25"/>
      <c r="TP469" s="25"/>
      <c r="TQ469" s="25"/>
      <c r="TR469" s="25"/>
      <c r="TS469" s="25"/>
      <c r="TT469" s="25"/>
      <c r="TU469" s="25"/>
      <c r="TV469" s="25"/>
      <c r="TW469" s="25"/>
      <c r="TX469" s="25"/>
      <c r="TY469" s="25"/>
      <c r="TZ469" s="25"/>
      <c r="UA469" s="25"/>
      <c r="UB469" s="25"/>
      <c r="UC469" s="25"/>
      <c r="UD469" s="25"/>
      <c r="UE469" s="25"/>
      <c r="UF469" s="25"/>
      <c r="UG469" s="26"/>
    </row>
    <row r="470" spans="1:553" ht="39" customHeight="1">
      <c r="A470" s="356" t="s">
        <v>15</v>
      </c>
      <c r="B470" s="366" t="s">
        <v>362</v>
      </c>
      <c r="C470" s="1404" t="s">
        <v>920</v>
      </c>
      <c r="D470" s="1389"/>
      <c r="E470" s="1389"/>
      <c r="F470" s="1390"/>
      <c r="G470" s="386" t="s">
        <v>935</v>
      </c>
      <c r="H470" s="370"/>
      <c r="I470" s="422">
        <f>1.4*1.7*6</f>
        <v>14.28</v>
      </c>
      <c r="J470" s="368">
        <v>62500</v>
      </c>
      <c r="K470" s="371"/>
      <c r="L470" s="391">
        <f t="shared" si="87"/>
        <v>892500</v>
      </c>
      <c r="M470" s="391"/>
      <c r="N470" s="391"/>
      <c r="O470" s="391"/>
      <c r="P470" s="391"/>
      <c r="Q470" s="1444"/>
      <c r="R470" s="1226"/>
      <c r="S470" s="308"/>
      <c r="T470" s="303"/>
      <c r="U470" s="306"/>
      <c r="V470" s="307"/>
      <c r="W470" s="307"/>
      <c r="X470" s="307"/>
      <c r="Y470" s="307"/>
      <c r="Z470" s="307"/>
      <c r="AA470" s="307"/>
      <c r="AB470" s="307"/>
      <c r="AC470" s="449"/>
      <c r="AD470" s="449"/>
      <c r="AE470" s="449"/>
      <c r="AF470" s="449"/>
      <c r="AG470" s="449"/>
      <c r="AH470" s="449"/>
      <c r="AI470" s="449"/>
      <c r="AJ470" s="449"/>
      <c r="AK470" s="452"/>
      <c r="AL470" s="104"/>
      <c r="AM470" s="32"/>
      <c r="AN470" s="32"/>
      <c r="AO470" s="32"/>
      <c r="AP470" s="32"/>
      <c r="AQ470" s="32"/>
      <c r="AR470" s="32"/>
      <c r="AS470" s="31"/>
      <c r="AT470" s="31"/>
      <c r="AU470" s="31"/>
      <c r="AV470" s="31"/>
      <c r="AW470" s="31"/>
      <c r="AX470" s="31"/>
      <c r="AY470" s="31"/>
      <c r="AZ470" s="31"/>
      <c r="BA470" s="31"/>
      <c r="BB470" s="31"/>
      <c r="BC470" s="31"/>
      <c r="BD470" s="31"/>
      <c r="BE470" s="31"/>
      <c r="BF470" s="31"/>
      <c r="BG470" s="31"/>
      <c r="BH470" s="31"/>
      <c r="BI470" s="31"/>
      <c r="BJ470" s="31"/>
      <c r="BK470" s="31"/>
      <c r="BL470" s="31"/>
      <c r="BM470" s="31"/>
      <c r="BN470" s="31"/>
      <c r="BO470" s="31"/>
      <c r="BP470" s="31"/>
      <c r="BQ470" s="31"/>
      <c r="BR470" s="31"/>
      <c r="BS470" s="31"/>
      <c r="BT470" s="31"/>
      <c r="BU470" s="31"/>
      <c r="BV470" s="31"/>
      <c r="BW470" s="31"/>
      <c r="BX470" s="31"/>
      <c r="BY470" s="31"/>
      <c r="BZ470" s="31"/>
      <c r="CA470" s="31"/>
      <c r="CB470" s="31"/>
      <c r="CC470" s="31"/>
      <c r="CD470" s="31"/>
      <c r="CE470" s="31"/>
      <c r="CF470" s="31"/>
      <c r="CG470" s="31"/>
      <c r="CH470" s="31"/>
      <c r="CI470" s="31"/>
      <c r="CJ470" s="31"/>
      <c r="CK470" s="31"/>
      <c r="CL470" s="31"/>
      <c r="CM470" s="31"/>
      <c r="CN470" s="31"/>
      <c r="CO470" s="31"/>
      <c r="CP470" s="31"/>
      <c r="CQ470" s="31"/>
      <c r="CR470" s="31"/>
      <c r="CS470" s="31"/>
      <c r="CT470" s="31"/>
      <c r="CU470" s="31"/>
      <c r="CV470" s="31"/>
      <c r="CW470" s="31"/>
      <c r="CX470" s="31"/>
      <c r="CY470" s="31"/>
      <c r="CZ470" s="31"/>
      <c r="DA470" s="31"/>
      <c r="DB470" s="31"/>
      <c r="DC470" s="31"/>
      <c r="DD470" s="31"/>
      <c r="DE470" s="31"/>
      <c r="DF470" s="31"/>
      <c r="DG470" s="31"/>
      <c r="DH470" s="31"/>
      <c r="DI470" s="31"/>
      <c r="DJ470" s="31"/>
      <c r="DK470" s="31"/>
      <c r="DL470" s="31"/>
      <c r="DM470" s="31"/>
      <c r="DN470" s="31"/>
      <c r="DO470" s="31"/>
      <c r="DP470" s="31"/>
      <c r="DQ470" s="31"/>
      <c r="DR470" s="31"/>
      <c r="DS470" s="31"/>
      <c r="DT470" s="31"/>
      <c r="DU470" s="31"/>
      <c r="DV470" s="31"/>
      <c r="DW470" s="31"/>
      <c r="DX470" s="31"/>
      <c r="DY470" s="31"/>
      <c r="DZ470" s="31"/>
      <c r="EA470" s="31"/>
      <c r="EB470" s="31"/>
      <c r="EC470" s="31"/>
      <c r="ED470" s="31"/>
      <c r="EE470" s="31"/>
      <c r="EF470" s="31"/>
      <c r="EG470" s="31"/>
      <c r="EH470" s="31"/>
      <c r="EI470" s="31"/>
      <c r="EJ470" s="31"/>
      <c r="EK470" s="31"/>
      <c r="EL470" s="31"/>
      <c r="EM470" s="31"/>
      <c r="EN470" s="31"/>
      <c r="EO470" s="31"/>
      <c r="EP470" s="31"/>
      <c r="EQ470" s="31"/>
      <c r="ER470" s="31"/>
      <c r="ES470" s="31"/>
      <c r="ET470" s="31"/>
      <c r="EU470" s="31"/>
      <c r="EV470" s="31"/>
      <c r="EW470" s="31"/>
      <c r="EX470" s="31"/>
      <c r="EY470" s="31"/>
      <c r="EZ470" s="31"/>
      <c r="FA470" s="31"/>
      <c r="FB470" s="31"/>
      <c r="FC470" s="31"/>
      <c r="FD470" s="31"/>
      <c r="FE470" s="31"/>
      <c r="FF470" s="31"/>
      <c r="FG470" s="31"/>
      <c r="FH470" s="31"/>
      <c r="FI470" s="31"/>
      <c r="FJ470" s="31"/>
      <c r="FK470" s="31"/>
      <c r="FL470" s="31"/>
      <c r="FM470" s="31"/>
      <c r="FN470" s="31"/>
      <c r="FO470" s="31"/>
      <c r="FP470" s="31"/>
      <c r="FQ470" s="31"/>
      <c r="FR470" s="31"/>
      <c r="FS470" s="31"/>
      <c r="FT470" s="31"/>
      <c r="FU470" s="31"/>
      <c r="FV470" s="31"/>
      <c r="FW470" s="31"/>
      <c r="FX470" s="31"/>
      <c r="FY470" s="31"/>
      <c r="FZ470" s="31"/>
      <c r="GA470" s="31"/>
      <c r="GB470" s="31"/>
      <c r="GC470" s="31"/>
      <c r="GD470" s="31"/>
      <c r="GE470" s="31"/>
      <c r="GF470" s="31"/>
      <c r="GG470" s="31"/>
      <c r="GH470" s="31"/>
      <c r="GI470" s="31"/>
      <c r="GJ470" s="31"/>
      <c r="GK470" s="31"/>
      <c r="GL470" s="31"/>
      <c r="GM470" s="31"/>
      <c r="GN470" s="31"/>
      <c r="GO470" s="31"/>
      <c r="GP470" s="31"/>
      <c r="GQ470" s="31"/>
      <c r="GR470" s="31"/>
      <c r="GS470" s="31"/>
      <c r="GT470" s="31"/>
      <c r="GU470" s="31"/>
      <c r="GV470" s="31"/>
      <c r="GW470" s="31"/>
      <c r="GX470" s="31"/>
      <c r="GY470" s="31"/>
      <c r="GZ470" s="31"/>
      <c r="HA470" s="31"/>
      <c r="HB470" s="31"/>
      <c r="HC470" s="31"/>
      <c r="HD470" s="31"/>
      <c r="HE470" s="31"/>
      <c r="HF470" s="31"/>
      <c r="HG470" s="31"/>
      <c r="HH470" s="31"/>
      <c r="HI470" s="31"/>
      <c r="HJ470" s="31"/>
      <c r="HK470" s="31"/>
      <c r="HL470" s="31"/>
      <c r="HM470" s="31"/>
      <c r="HN470" s="31"/>
      <c r="HO470" s="31"/>
      <c r="HP470" s="31"/>
      <c r="HQ470" s="31"/>
      <c r="HR470" s="31"/>
      <c r="HS470" s="31"/>
      <c r="HT470" s="31"/>
      <c r="HU470" s="31"/>
      <c r="HV470" s="31"/>
      <c r="HW470" s="31"/>
      <c r="HX470" s="31"/>
      <c r="HY470" s="31"/>
      <c r="HZ470" s="31"/>
      <c r="IA470" s="31"/>
      <c r="IB470" s="31"/>
      <c r="IC470" s="31"/>
      <c r="ID470" s="31"/>
      <c r="IE470" s="31"/>
      <c r="IF470" s="31"/>
      <c r="IG470" s="31"/>
      <c r="IH470" s="31"/>
      <c r="II470" s="31"/>
      <c r="IJ470" s="31"/>
      <c r="IK470" s="31"/>
      <c r="IL470" s="31"/>
      <c r="IM470" s="31"/>
      <c r="IN470" s="31"/>
      <c r="IO470" s="31"/>
      <c r="IP470" s="31"/>
      <c r="IQ470" s="31"/>
      <c r="IR470" s="31"/>
      <c r="IS470" s="31"/>
      <c r="IT470" s="31"/>
      <c r="IU470" s="31"/>
      <c r="IV470" s="31"/>
      <c r="IW470" s="31"/>
      <c r="IX470" s="31"/>
      <c r="IY470" s="31"/>
      <c r="IZ470" s="31"/>
      <c r="JA470" s="31"/>
      <c r="JB470" s="31"/>
      <c r="JC470" s="31"/>
      <c r="JD470" s="31"/>
      <c r="JE470" s="31"/>
      <c r="JF470" s="31"/>
      <c r="JG470" s="31"/>
      <c r="JH470" s="31"/>
      <c r="JI470" s="31"/>
      <c r="JJ470" s="31"/>
      <c r="JK470" s="31"/>
      <c r="JL470" s="31"/>
      <c r="JM470" s="31"/>
      <c r="JN470" s="31"/>
      <c r="JO470" s="31"/>
      <c r="JP470" s="31"/>
      <c r="JQ470" s="31"/>
      <c r="JR470" s="31"/>
      <c r="JS470" s="31"/>
      <c r="JT470" s="31"/>
      <c r="JU470" s="31"/>
      <c r="JV470" s="31"/>
      <c r="JW470" s="31"/>
      <c r="JX470" s="31"/>
      <c r="JY470" s="31"/>
      <c r="JZ470" s="31"/>
      <c r="KA470" s="31"/>
      <c r="KB470" s="31"/>
      <c r="KC470" s="31"/>
      <c r="KD470" s="31"/>
      <c r="KE470" s="31"/>
      <c r="KF470" s="31"/>
      <c r="KG470" s="31"/>
      <c r="KH470" s="31"/>
      <c r="KI470" s="31"/>
      <c r="KJ470" s="31"/>
      <c r="KK470" s="31"/>
      <c r="KL470" s="31"/>
      <c r="KM470" s="31"/>
      <c r="KN470" s="31"/>
      <c r="KO470" s="31"/>
      <c r="KP470" s="31"/>
      <c r="KQ470" s="31"/>
      <c r="KR470" s="31"/>
      <c r="KS470" s="31"/>
      <c r="KT470" s="31"/>
      <c r="KU470" s="31"/>
      <c r="KV470" s="31"/>
      <c r="KW470" s="31"/>
      <c r="KX470" s="31"/>
      <c r="KY470" s="31"/>
      <c r="KZ470" s="31"/>
      <c r="LA470" s="31"/>
      <c r="LB470" s="31"/>
      <c r="LC470" s="31"/>
      <c r="LD470" s="31"/>
      <c r="LE470" s="31"/>
      <c r="LF470" s="31"/>
      <c r="LG470" s="31"/>
      <c r="LH470" s="31"/>
      <c r="LI470" s="31"/>
      <c r="LJ470" s="31"/>
      <c r="LK470" s="31"/>
      <c r="LL470" s="31"/>
      <c r="LM470" s="31"/>
      <c r="LN470" s="31"/>
      <c r="LO470" s="31"/>
      <c r="LP470" s="31"/>
      <c r="LQ470" s="31"/>
      <c r="LR470" s="31"/>
      <c r="LS470" s="31"/>
      <c r="LT470" s="31"/>
      <c r="LU470" s="31"/>
      <c r="LV470" s="31"/>
      <c r="LW470" s="31"/>
      <c r="LX470" s="31"/>
      <c r="LY470" s="31"/>
      <c r="LZ470" s="31"/>
      <c r="MA470" s="31"/>
      <c r="MB470" s="31"/>
      <c r="MC470" s="31"/>
      <c r="MD470" s="31"/>
      <c r="ME470" s="31"/>
      <c r="MF470" s="31"/>
      <c r="MG470" s="31"/>
      <c r="MH470" s="31"/>
      <c r="MI470" s="31"/>
      <c r="MJ470" s="31"/>
      <c r="MK470" s="31"/>
      <c r="ML470" s="31"/>
      <c r="MM470" s="31"/>
      <c r="MN470" s="31"/>
      <c r="MO470" s="31"/>
      <c r="MP470" s="31"/>
      <c r="MQ470" s="31"/>
      <c r="MR470" s="31"/>
      <c r="MS470" s="31"/>
      <c r="MT470" s="31"/>
      <c r="MU470" s="31"/>
      <c r="MV470" s="31"/>
      <c r="MW470" s="31"/>
      <c r="MX470" s="31"/>
      <c r="MY470" s="31"/>
      <c r="MZ470" s="31"/>
      <c r="NA470" s="31"/>
      <c r="NB470" s="31"/>
      <c r="NC470" s="31"/>
      <c r="ND470" s="31"/>
      <c r="NE470" s="31"/>
      <c r="NF470" s="31"/>
      <c r="NG470" s="31"/>
      <c r="NH470" s="31"/>
      <c r="NI470" s="31"/>
      <c r="NJ470" s="31"/>
      <c r="NK470" s="31"/>
      <c r="NL470" s="31"/>
      <c r="NM470" s="31"/>
      <c r="NN470" s="31"/>
      <c r="NO470" s="31"/>
      <c r="NP470" s="31"/>
      <c r="NQ470" s="31"/>
      <c r="NR470" s="31"/>
      <c r="NS470" s="31"/>
      <c r="NT470" s="31"/>
      <c r="NU470" s="31"/>
      <c r="NV470" s="31"/>
      <c r="NW470" s="31"/>
      <c r="NX470" s="31"/>
      <c r="NY470" s="31"/>
      <c r="NZ470" s="31"/>
      <c r="OA470" s="31"/>
      <c r="OB470" s="31"/>
      <c r="OC470" s="31"/>
      <c r="OD470" s="31"/>
      <c r="OE470" s="31"/>
      <c r="OF470" s="31"/>
      <c r="OG470" s="31"/>
      <c r="OH470" s="31"/>
      <c r="OI470" s="31"/>
      <c r="OJ470" s="31"/>
      <c r="OK470" s="31"/>
      <c r="OL470" s="31"/>
      <c r="OM470" s="31"/>
      <c r="ON470" s="31"/>
      <c r="OO470" s="31"/>
      <c r="OP470" s="31"/>
      <c r="OQ470" s="31"/>
      <c r="OR470" s="31"/>
      <c r="OS470" s="31"/>
      <c r="OT470" s="31"/>
      <c r="OU470" s="31"/>
      <c r="OV470" s="31"/>
      <c r="OW470" s="31"/>
      <c r="OX470" s="31"/>
      <c r="OY470" s="31"/>
      <c r="OZ470" s="31"/>
      <c r="PA470" s="31"/>
      <c r="PB470" s="31"/>
      <c r="PC470" s="31"/>
      <c r="PD470" s="31"/>
      <c r="PE470" s="31"/>
      <c r="PF470" s="31"/>
      <c r="PG470" s="31"/>
      <c r="PH470" s="31"/>
      <c r="PI470" s="31"/>
      <c r="PJ470" s="31"/>
      <c r="PK470" s="31"/>
      <c r="PL470" s="31"/>
      <c r="PM470" s="31"/>
      <c r="PN470" s="31"/>
      <c r="PO470" s="31"/>
      <c r="PP470" s="31"/>
      <c r="PQ470" s="31"/>
      <c r="PR470" s="31"/>
      <c r="PS470" s="31"/>
      <c r="PT470" s="31"/>
      <c r="PU470" s="31"/>
      <c r="PV470" s="31"/>
      <c r="PW470" s="31"/>
      <c r="PX470" s="31"/>
      <c r="PY470" s="31"/>
      <c r="PZ470" s="31"/>
      <c r="QA470" s="31"/>
      <c r="QB470" s="31"/>
      <c r="QC470" s="31"/>
      <c r="QD470" s="31"/>
      <c r="QE470" s="31"/>
      <c r="QF470" s="31"/>
      <c r="QG470" s="31"/>
      <c r="QH470" s="31"/>
      <c r="QI470" s="31"/>
      <c r="QJ470" s="31"/>
      <c r="QK470" s="31"/>
      <c r="QL470" s="31"/>
      <c r="QM470" s="31"/>
      <c r="QN470" s="31"/>
      <c r="QO470" s="31"/>
      <c r="QP470" s="31"/>
      <c r="QQ470" s="31"/>
      <c r="QR470" s="31"/>
      <c r="QS470" s="31"/>
      <c r="QT470" s="31"/>
      <c r="QU470" s="31"/>
      <c r="QV470" s="31"/>
      <c r="QW470" s="31"/>
      <c r="QX470" s="31"/>
      <c r="QY470" s="31"/>
      <c r="QZ470" s="31"/>
      <c r="RA470" s="31"/>
      <c r="RB470" s="31"/>
      <c r="RC470" s="31"/>
      <c r="RD470" s="31"/>
      <c r="RE470" s="31"/>
      <c r="RF470" s="31"/>
      <c r="RG470" s="31"/>
      <c r="RH470" s="31"/>
      <c r="RI470" s="31"/>
      <c r="RJ470" s="31"/>
      <c r="RK470" s="31"/>
      <c r="RL470" s="31"/>
      <c r="RM470" s="31"/>
      <c r="RN470" s="31"/>
      <c r="RO470" s="31"/>
      <c r="RP470" s="31"/>
      <c r="RQ470" s="31"/>
      <c r="RR470" s="31"/>
      <c r="RS470" s="31"/>
      <c r="RT470" s="31"/>
      <c r="RU470" s="31"/>
      <c r="RV470" s="31"/>
      <c r="RW470" s="31"/>
      <c r="RX470" s="31"/>
      <c r="RY470" s="31"/>
      <c r="RZ470" s="31"/>
      <c r="SA470" s="31"/>
      <c r="SB470" s="31"/>
      <c r="SC470" s="31"/>
      <c r="SD470" s="31"/>
      <c r="SE470" s="31"/>
      <c r="SF470" s="31"/>
      <c r="SG470" s="31"/>
      <c r="SH470" s="31"/>
      <c r="SI470" s="31"/>
      <c r="SJ470" s="31"/>
      <c r="SK470" s="31"/>
      <c r="SL470" s="31"/>
      <c r="SM470" s="31"/>
      <c r="SN470" s="31"/>
      <c r="SO470" s="31"/>
      <c r="SP470" s="31"/>
      <c r="SQ470" s="31"/>
      <c r="SR470" s="31"/>
      <c r="SS470" s="31"/>
      <c r="ST470" s="31"/>
      <c r="SU470" s="31"/>
      <c r="SV470" s="31"/>
      <c r="SW470" s="31"/>
      <c r="SX470" s="31"/>
      <c r="SY470" s="31"/>
      <c r="SZ470" s="31"/>
      <c r="TA470" s="31"/>
      <c r="TB470" s="31"/>
      <c r="TC470" s="31"/>
      <c r="TD470" s="31"/>
      <c r="TE470" s="31"/>
      <c r="TF470" s="31"/>
      <c r="TG470" s="31"/>
      <c r="TH470" s="31"/>
      <c r="TI470" s="31"/>
      <c r="TJ470" s="31"/>
      <c r="TK470" s="31"/>
      <c r="TL470" s="31"/>
      <c r="TM470" s="31"/>
      <c r="TN470" s="31"/>
      <c r="TO470" s="31"/>
      <c r="TP470" s="31"/>
      <c r="TQ470" s="31"/>
      <c r="TR470" s="31"/>
      <c r="TS470" s="31"/>
      <c r="TT470" s="31"/>
      <c r="TU470" s="31"/>
      <c r="TV470" s="31"/>
      <c r="TW470" s="31"/>
      <c r="TX470" s="31"/>
      <c r="TY470" s="31"/>
      <c r="TZ470" s="31"/>
      <c r="UA470" s="31"/>
      <c r="UB470" s="31"/>
      <c r="UC470" s="31"/>
      <c r="UD470" s="31"/>
      <c r="UE470" s="31"/>
      <c r="UF470" s="31"/>
      <c r="UG470" s="33"/>
    </row>
    <row r="471" spans="1:553" ht="51" customHeight="1">
      <c r="A471" s="356" t="s">
        <v>15</v>
      </c>
      <c r="B471" s="366" t="s">
        <v>38</v>
      </c>
      <c r="C471" s="1404" t="s">
        <v>363</v>
      </c>
      <c r="D471" s="1389"/>
      <c r="E471" s="1389"/>
      <c r="F471" s="1390"/>
      <c r="G471" s="386" t="s">
        <v>935</v>
      </c>
      <c r="H471" s="370"/>
      <c r="I471" s="422">
        <f>4.5*5</f>
        <v>22.5</v>
      </c>
      <c r="J471" s="368">
        <v>1088500</v>
      </c>
      <c r="K471" s="371"/>
      <c r="L471" s="391">
        <f t="shared" si="87"/>
        <v>24491250</v>
      </c>
      <c r="M471" s="391"/>
      <c r="N471" s="391"/>
      <c r="O471" s="391"/>
      <c r="P471" s="391"/>
      <c r="Q471" s="1445"/>
      <c r="R471" s="1226"/>
      <c r="S471" s="308"/>
      <c r="T471" s="303"/>
      <c r="U471" s="306"/>
      <c r="V471" s="307"/>
      <c r="W471" s="307"/>
      <c r="X471" s="307"/>
      <c r="Y471" s="307"/>
      <c r="Z471" s="307"/>
      <c r="AA471" s="307"/>
      <c r="AB471" s="307"/>
      <c r="AC471" s="449"/>
      <c r="AD471" s="449"/>
      <c r="AE471" s="449"/>
      <c r="AF471" s="449"/>
      <c r="AG471" s="449"/>
      <c r="AH471" s="449"/>
      <c r="AI471" s="449"/>
      <c r="AJ471" s="449"/>
      <c r="AK471" s="452"/>
      <c r="AL471" s="104"/>
      <c r="AM471" s="32"/>
      <c r="AN471" s="32"/>
      <c r="AO471" s="32"/>
      <c r="AP471" s="32"/>
      <c r="AQ471" s="32"/>
      <c r="AR471" s="32"/>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c r="CT471" s="31"/>
      <c r="CU471" s="31"/>
      <c r="CV471" s="31"/>
      <c r="CW471" s="31"/>
      <c r="CX471" s="31"/>
      <c r="CY471" s="31"/>
      <c r="CZ471" s="31"/>
      <c r="DA471" s="31"/>
      <c r="DB471" s="31"/>
      <c r="DC471" s="31"/>
      <c r="DD471" s="31"/>
      <c r="DE471" s="31"/>
      <c r="DF471" s="31"/>
      <c r="DG471" s="31"/>
      <c r="DH471" s="31"/>
      <c r="DI471" s="31"/>
      <c r="DJ471" s="31"/>
      <c r="DK471" s="31"/>
      <c r="DL471" s="31"/>
      <c r="DM471" s="31"/>
      <c r="DN471" s="31"/>
      <c r="DO471" s="31"/>
      <c r="DP471" s="31"/>
      <c r="DQ471" s="31"/>
      <c r="DR471" s="31"/>
      <c r="DS471" s="31"/>
      <c r="DT471" s="31"/>
      <c r="DU471" s="31"/>
      <c r="DV471" s="31"/>
      <c r="DW471" s="31"/>
      <c r="DX471" s="31"/>
      <c r="DY471" s="31"/>
      <c r="DZ471" s="31"/>
      <c r="EA471" s="31"/>
      <c r="EB471" s="31"/>
      <c r="EC471" s="31"/>
      <c r="ED471" s="31"/>
      <c r="EE471" s="31"/>
      <c r="EF471" s="31"/>
      <c r="EG471" s="31"/>
      <c r="EH471" s="31"/>
      <c r="EI471" s="31"/>
      <c r="EJ471" s="31"/>
      <c r="EK471" s="31"/>
      <c r="EL471" s="31"/>
      <c r="EM471" s="31"/>
      <c r="EN471" s="31"/>
      <c r="EO471" s="31"/>
      <c r="EP471" s="31"/>
      <c r="EQ471" s="31"/>
      <c r="ER471" s="31"/>
      <c r="ES471" s="31"/>
      <c r="ET471" s="31"/>
      <c r="EU471" s="31"/>
      <c r="EV471" s="31"/>
      <c r="EW471" s="31"/>
      <c r="EX471" s="31"/>
      <c r="EY471" s="31"/>
      <c r="EZ471" s="31"/>
      <c r="FA471" s="31"/>
      <c r="FB471" s="31"/>
      <c r="FC471" s="31"/>
      <c r="FD471" s="31"/>
      <c r="FE471" s="31"/>
      <c r="FF471" s="31"/>
      <c r="FG471" s="31"/>
      <c r="FH471" s="31"/>
      <c r="FI471" s="31"/>
      <c r="FJ471" s="31"/>
      <c r="FK471" s="31"/>
      <c r="FL471" s="31"/>
      <c r="FM471" s="31"/>
      <c r="FN471" s="31"/>
      <c r="FO471" s="31"/>
      <c r="FP471" s="31"/>
      <c r="FQ471" s="31"/>
      <c r="FR471" s="31"/>
      <c r="FS471" s="31"/>
      <c r="FT471" s="31"/>
      <c r="FU471" s="31"/>
      <c r="FV471" s="31"/>
      <c r="FW471" s="31"/>
      <c r="FX471" s="31"/>
      <c r="FY471" s="31"/>
      <c r="FZ471" s="31"/>
      <c r="GA471" s="31"/>
      <c r="GB471" s="31"/>
      <c r="GC471" s="31"/>
      <c r="GD471" s="31"/>
      <c r="GE471" s="31"/>
      <c r="GF471" s="31"/>
      <c r="GG471" s="31"/>
      <c r="GH471" s="31"/>
      <c r="GI471" s="31"/>
      <c r="GJ471" s="31"/>
      <c r="GK471" s="31"/>
      <c r="GL471" s="31"/>
      <c r="GM471" s="31"/>
      <c r="GN471" s="31"/>
      <c r="GO471" s="31"/>
      <c r="GP471" s="31"/>
      <c r="GQ471" s="31"/>
      <c r="GR471" s="31"/>
      <c r="GS471" s="31"/>
      <c r="GT471" s="31"/>
      <c r="GU471" s="31"/>
      <c r="GV471" s="31"/>
      <c r="GW471" s="31"/>
      <c r="GX471" s="31"/>
      <c r="GY471" s="31"/>
      <c r="GZ471" s="31"/>
      <c r="HA471" s="31"/>
      <c r="HB471" s="31"/>
      <c r="HC471" s="31"/>
      <c r="HD471" s="31"/>
      <c r="HE471" s="31"/>
      <c r="HF471" s="31"/>
      <c r="HG471" s="31"/>
      <c r="HH471" s="31"/>
      <c r="HI471" s="31"/>
      <c r="HJ471" s="31"/>
      <c r="HK471" s="31"/>
      <c r="HL471" s="31"/>
      <c r="HM471" s="31"/>
      <c r="HN471" s="31"/>
      <c r="HO471" s="31"/>
      <c r="HP471" s="31"/>
      <c r="HQ471" s="31"/>
      <c r="HR471" s="31"/>
      <c r="HS471" s="31"/>
      <c r="HT471" s="31"/>
      <c r="HU471" s="31"/>
      <c r="HV471" s="31"/>
      <c r="HW471" s="31"/>
      <c r="HX471" s="31"/>
      <c r="HY471" s="31"/>
      <c r="HZ471" s="31"/>
      <c r="IA471" s="31"/>
      <c r="IB471" s="31"/>
      <c r="IC471" s="31"/>
      <c r="ID471" s="31"/>
      <c r="IE471" s="31"/>
      <c r="IF471" s="31"/>
      <c r="IG471" s="31"/>
      <c r="IH471" s="31"/>
      <c r="II471" s="31"/>
      <c r="IJ471" s="31"/>
      <c r="IK471" s="31"/>
      <c r="IL471" s="31"/>
      <c r="IM471" s="31"/>
      <c r="IN471" s="31"/>
      <c r="IO471" s="31"/>
      <c r="IP471" s="31"/>
      <c r="IQ471" s="31"/>
      <c r="IR471" s="31"/>
      <c r="IS471" s="31"/>
      <c r="IT471" s="31"/>
      <c r="IU471" s="31"/>
      <c r="IV471" s="31"/>
      <c r="IW471" s="31"/>
      <c r="IX471" s="31"/>
      <c r="IY471" s="31"/>
      <c r="IZ471" s="31"/>
      <c r="JA471" s="31"/>
      <c r="JB471" s="31"/>
      <c r="JC471" s="31"/>
      <c r="JD471" s="31"/>
      <c r="JE471" s="31"/>
      <c r="JF471" s="31"/>
      <c r="JG471" s="31"/>
      <c r="JH471" s="31"/>
      <c r="JI471" s="31"/>
      <c r="JJ471" s="31"/>
      <c r="JK471" s="31"/>
      <c r="JL471" s="31"/>
      <c r="JM471" s="31"/>
      <c r="JN471" s="31"/>
      <c r="JO471" s="31"/>
      <c r="JP471" s="31"/>
      <c r="JQ471" s="31"/>
      <c r="JR471" s="31"/>
      <c r="JS471" s="31"/>
      <c r="JT471" s="31"/>
      <c r="JU471" s="31"/>
      <c r="JV471" s="31"/>
      <c r="JW471" s="31"/>
      <c r="JX471" s="31"/>
      <c r="JY471" s="31"/>
      <c r="JZ471" s="31"/>
      <c r="KA471" s="31"/>
      <c r="KB471" s="31"/>
      <c r="KC471" s="31"/>
      <c r="KD471" s="31"/>
      <c r="KE471" s="31"/>
      <c r="KF471" s="31"/>
      <c r="KG471" s="31"/>
      <c r="KH471" s="31"/>
      <c r="KI471" s="31"/>
      <c r="KJ471" s="31"/>
      <c r="KK471" s="31"/>
      <c r="KL471" s="31"/>
      <c r="KM471" s="31"/>
      <c r="KN471" s="31"/>
      <c r="KO471" s="31"/>
      <c r="KP471" s="31"/>
      <c r="KQ471" s="31"/>
      <c r="KR471" s="31"/>
      <c r="KS471" s="31"/>
      <c r="KT471" s="31"/>
      <c r="KU471" s="31"/>
      <c r="KV471" s="31"/>
      <c r="KW471" s="31"/>
      <c r="KX471" s="31"/>
      <c r="KY471" s="31"/>
      <c r="KZ471" s="31"/>
      <c r="LA471" s="31"/>
      <c r="LB471" s="31"/>
      <c r="LC471" s="31"/>
      <c r="LD471" s="31"/>
      <c r="LE471" s="31"/>
      <c r="LF471" s="31"/>
      <c r="LG471" s="31"/>
      <c r="LH471" s="31"/>
      <c r="LI471" s="31"/>
      <c r="LJ471" s="31"/>
      <c r="LK471" s="31"/>
      <c r="LL471" s="31"/>
      <c r="LM471" s="31"/>
      <c r="LN471" s="31"/>
      <c r="LO471" s="31"/>
      <c r="LP471" s="31"/>
      <c r="LQ471" s="31"/>
      <c r="LR471" s="31"/>
      <c r="LS471" s="31"/>
      <c r="LT471" s="31"/>
      <c r="LU471" s="31"/>
      <c r="LV471" s="31"/>
      <c r="LW471" s="31"/>
      <c r="LX471" s="31"/>
      <c r="LY471" s="31"/>
      <c r="LZ471" s="31"/>
      <c r="MA471" s="31"/>
      <c r="MB471" s="31"/>
      <c r="MC471" s="31"/>
      <c r="MD471" s="31"/>
      <c r="ME471" s="31"/>
      <c r="MF471" s="31"/>
      <c r="MG471" s="31"/>
      <c r="MH471" s="31"/>
      <c r="MI471" s="31"/>
      <c r="MJ471" s="31"/>
      <c r="MK471" s="31"/>
      <c r="ML471" s="31"/>
      <c r="MM471" s="31"/>
      <c r="MN471" s="31"/>
      <c r="MO471" s="31"/>
      <c r="MP471" s="31"/>
      <c r="MQ471" s="31"/>
      <c r="MR471" s="31"/>
      <c r="MS471" s="31"/>
      <c r="MT471" s="31"/>
      <c r="MU471" s="31"/>
      <c r="MV471" s="31"/>
      <c r="MW471" s="31"/>
      <c r="MX471" s="31"/>
      <c r="MY471" s="31"/>
      <c r="MZ471" s="31"/>
      <c r="NA471" s="31"/>
      <c r="NB471" s="31"/>
      <c r="NC471" s="31"/>
      <c r="ND471" s="31"/>
      <c r="NE471" s="31"/>
      <c r="NF471" s="31"/>
      <c r="NG471" s="31"/>
      <c r="NH471" s="31"/>
      <c r="NI471" s="31"/>
      <c r="NJ471" s="31"/>
      <c r="NK471" s="31"/>
      <c r="NL471" s="31"/>
      <c r="NM471" s="31"/>
      <c r="NN471" s="31"/>
      <c r="NO471" s="31"/>
      <c r="NP471" s="31"/>
      <c r="NQ471" s="31"/>
      <c r="NR471" s="31"/>
      <c r="NS471" s="31"/>
      <c r="NT471" s="31"/>
      <c r="NU471" s="31"/>
      <c r="NV471" s="31"/>
      <c r="NW471" s="31"/>
      <c r="NX471" s="31"/>
      <c r="NY471" s="31"/>
      <c r="NZ471" s="31"/>
      <c r="OA471" s="31"/>
      <c r="OB471" s="31"/>
      <c r="OC471" s="31"/>
      <c r="OD471" s="31"/>
      <c r="OE471" s="31"/>
      <c r="OF471" s="31"/>
      <c r="OG471" s="31"/>
      <c r="OH471" s="31"/>
      <c r="OI471" s="31"/>
      <c r="OJ471" s="31"/>
      <c r="OK471" s="31"/>
      <c r="OL471" s="31"/>
      <c r="OM471" s="31"/>
      <c r="ON471" s="31"/>
      <c r="OO471" s="31"/>
      <c r="OP471" s="31"/>
      <c r="OQ471" s="31"/>
      <c r="OR471" s="31"/>
      <c r="OS471" s="31"/>
      <c r="OT471" s="31"/>
      <c r="OU471" s="31"/>
      <c r="OV471" s="31"/>
      <c r="OW471" s="31"/>
      <c r="OX471" s="31"/>
      <c r="OY471" s="31"/>
      <c r="OZ471" s="31"/>
      <c r="PA471" s="31"/>
      <c r="PB471" s="31"/>
      <c r="PC471" s="31"/>
      <c r="PD471" s="31"/>
      <c r="PE471" s="31"/>
      <c r="PF471" s="31"/>
      <c r="PG471" s="31"/>
      <c r="PH471" s="31"/>
      <c r="PI471" s="31"/>
      <c r="PJ471" s="31"/>
      <c r="PK471" s="31"/>
      <c r="PL471" s="31"/>
      <c r="PM471" s="31"/>
      <c r="PN471" s="31"/>
      <c r="PO471" s="31"/>
      <c r="PP471" s="31"/>
      <c r="PQ471" s="31"/>
      <c r="PR471" s="31"/>
      <c r="PS471" s="31"/>
      <c r="PT471" s="31"/>
      <c r="PU471" s="31"/>
      <c r="PV471" s="31"/>
      <c r="PW471" s="31"/>
      <c r="PX471" s="31"/>
      <c r="PY471" s="31"/>
      <c r="PZ471" s="31"/>
      <c r="QA471" s="31"/>
      <c r="QB471" s="31"/>
      <c r="QC471" s="31"/>
      <c r="QD471" s="31"/>
      <c r="QE471" s="31"/>
      <c r="QF471" s="31"/>
      <c r="QG471" s="31"/>
      <c r="QH471" s="31"/>
      <c r="QI471" s="31"/>
      <c r="QJ471" s="31"/>
      <c r="QK471" s="31"/>
      <c r="QL471" s="31"/>
      <c r="QM471" s="31"/>
      <c r="QN471" s="31"/>
      <c r="QO471" s="31"/>
      <c r="QP471" s="31"/>
      <c r="QQ471" s="31"/>
      <c r="QR471" s="31"/>
      <c r="QS471" s="31"/>
      <c r="QT471" s="31"/>
      <c r="QU471" s="31"/>
      <c r="QV471" s="31"/>
      <c r="QW471" s="31"/>
      <c r="QX471" s="31"/>
      <c r="QY471" s="31"/>
      <c r="QZ471" s="31"/>
      <c r="RA471" s="31"/>
      <c r="RB471" s="31"/>
      <c r="RC471" s="31"/>
      <c r="RD471" s="31"/>
      <c r="RE471" s="31"/>
      <c r="RF471" s="31"/>
      <c r="RG471" s="31"/>
      <c r="RH471" s="31"/>
      <c r="RI471" s="31"/>
      <c r="RJ471" s="31"/>
      <c r="RK471" s="31"/>
      <c r="RL471" s="31"/>
      <c r="RM471" s="31"/>
      <c r="RN471" s="31"/>
      <c r="RO471" s="31"/>
      <c r="RP471" s="31"/>
      <c r="RQ471" s="31"/>
      <c r="RR471" s="31"/>
      <c r="RS471" s="31"/>
      <c r="RT471" s="31"/>
      <c r="RU471" s="31"/>
      <c r="RV471" s="31"/>
      <c r="RW471" s="31"/>
      <c r="RX471" s="31"/>
      <c r="RY471" s="31"/>
      <c r="RZ471" s="31"/>
      <c r="SA471" s="31"/>
      <c r="SB471" s="31"/>
      <c r="SC471" s="31"/>
      <c r="SD471" s="31"/>
      <c r="SE471" s="31"/>
      <c r="SF471" s="31"/>
      <c r="SG471" s="31"/>
      <c r="SH471" s="31"/>
      <c r="SI471" s="31"/>
      <c r="SJ471" s="31"/>
      <c r="SK471" s="31"/>
      <c r="SL471" s="31"/>
      <c r="SM471" s="31"/>
      <c r="SN471" s="31"/>
      <c r="SO471" s="31"/>
      <c r="SP471" s="31"/>
      <c r="SQ471" s="31"/>
      <c r="SR471" s="31"/>
      <c r="SS471" s="31"/>
      <c r="ST471" s="31"/>
      <c r="SU471" s="31"/>
      <c r="SV471" s="31"/>
      <c r="SW471" s="31"/>
      <c r="SX471" s="31"/>
      <c r="SY471" s="31"/>
      <c r="SZ471" s="31"/>
      <c r="TA471" s="31"/>
      <c r="TB471" s="31"/>
      <c r="TC471" s="31"/>
      <c r="TD471" s="31"/>
      <c r="TE471" s="31"/>
      <c r="TF471" s="31"/>
      <c r="TG471" s="31"/>
      <c r="TH471" s="31"/>
      <c r="TI471" s="31"/>
      <c r="TJ471" s="31"/>
      <c r="TK471" s="31"/>
      <c r="TL471" s="31"/>
      <c r="TM471" s="31"/>
      <c r="TN471" s="31"/>
      <c r="TO471" s="31"/>
      <c r="TP471" s="31"/>
      <c r="TQ471" s="31"/>
      <c r="TR471" s="31"/>
      <c r="TS471" s="31"/>
      <c r="TT471" s="31"/>
      <c r="TU471" s="31"/>
      <c r="TV471" s="31"/>
      <c r="TW471" s="31"/>
      <c r="TX471" s="31"/>
      <c r="TY471" s="31"/>
      <c r="TZ471" s="31"/>
      <c r="UA471" s="31"/>
      <c r="UB471" s="31"/>
      <c r="UC471" s="31"/>
      <c r="UD471" s="31"/>
      <c r="UE471" s="31"/>
      <c r="UF471" s="31"/>
      <c r="UG471" s="33"/>
    </row>
    <row r="472" spans="1:553" ht="30.75" customHeight="1">
      <c r="A472" s="356" t="s">
        <v>15</v>
      </c>
      <c r="B472" s="385" t="s">
        <v>37</v>
      </c>
      <c r="C472" s="1404" t="s">
        <v>364</v>
      </c>
      <c r="D472" s="1389"/>
      <c r="E472" s="1389"/>
      <c r="F472" s="1390"/>
      <c r="G472" s="386" t="s">
        <v>935</v>
      </c>
      <c r="H472" s="370"/>
      <c r="I472" s="834">
        <f>3.2*6</f>
        <v>19.200000000000003</v>
      </c>
      <c r="J472" s="368">
        <v>137200</v>
      </c>
      <c r="K472" s="371"/>
      <c r="L472" s="391">
        <f t="shared" si="87"/>
        <v>2634240</v>
      </c>
      <c r="M472" s="395"/>
      <c r="N472" s="395"/>
      <c r="O472" s="366"/>
      <c r="P472" s="396"/>
      <c r="Q472" s="473"/>
      <c r="R472" s="1039"/>
      <c r="S472" s="308"/>
      <c r="T472" s="303"/>
      <c r="U472" s="306"/>
      <c r="V472" s="307"/>
      <c r="W472" s="307"/>
      <c r="X472" s="307"/>
      <c r="Y472" s="307"/>
      <c r="Z472" s="307"/>
      <c r="AA472" s="307"/>
      <c r="AB472" s="307"/>
      <c r="AC472" s="449"/>
      <c r="AD472" s="449"/>
      <c r="AE472" s="449"/>
      <c r="AF472" s="449"/>
      <c r="AG472" s="452"/>
      <c r="AH472" s="452"/>
      <c r="AI472" s="452"/>
      <c r="AJ472" s="452"/>
      <c r="AK472" s="452"/>
      <c r="AL472" s="104"/>
      <c r="AM472" s="32"/>
      <c r="AN472" s="32"/>
      <c r="AO472" s="32"/>
      <c r="AP472" s="32"/>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25"/>
      <c r="BN472" s="25"/>
      <c r="BO472" s="25"/>
      <c r="BP472" s="25"/>
      <c r="BQ472" s="25"/>
      <c r="BR472" s="25"/>
      <c r="BS472" s="25"/>
      <c r="BT472" s="25"/>
      <c r="BU472" s="25"/>
      <c r="BV472" s="25"/>
      <c r="BW472" s="25"/>
      <c r="BX472" s="25"/>
      <c r="BY472" s="25"/>
      <c r="BZ472" s="25"/>
      <c r="CA472" s="25"/>
      <c r="CB472" s="25"/>
      <c r="CC472" s="25"/>
      <c r="CD472" s="25"/>
      <c r="CE472" s="25"/>
      <c r="CF472" s="25"/>
      <c r="CG472" s="25"/>
      <c r="CH472" s="25"/>
      <c r="CI472" s="25"/>
      <c r="CJ472" s="25"/>
      <c r="CK472" s="25"/>
      <c r="CL472" s="25"/>
      <c r="CM472" s="25"/>
      <c r="CN472" s="25"/>
      <c r="CO472" s="25"/>
      <c r="CP472" s="25"/>
      <c r="CQ472" s="25"/>
      <c r="CR472" s="25"/>
      <c r="CS472" s="25"/>
      <c r="CT472" s="25"/>
      <c r="CU472" s="25"/>
      <c r="CV472" s="25"/>
      <c r="CW472" s="25"/>
      <c r="CX472" s="25"/>
      <c r="CY472" s="25"/>
      <c r="CZ472" s="25"/>
      <c r="DA472" s="25"/>
      <c r="DB472" s="25"/>
      <c r="DC472" s="25"/>
      <c r="DD472" s="25"/>
      <c r="DE472" s="25"/>
      <c r="DF472" s="25"/>
      <c r="DG472" s="25"/>
      <c r="DH472" s="25"/>
      <c r="DI472" s="25"/>
      <c r="DJ472" s="25"/>
      <c r="DK472" s="25"/>
      <c r="DL472" s="25"/>
      <c r="DM472" s="25"/>
      <c r="DN472" s="25"/>
      <c r="DO472" s="25"/>
      <c r="DP472" s="25"/>
      <c r="DQ472" s="25"/>
      <c r="DR472" s="25"/>
      <c r="DS472" s="25"/>
      <c r="DT472" s="25"/>
      <c r="DU472" s="25"/>
      <c r="DV472" s="25"/>
      <c r="DW472" s="25"/>
      <c r="DX472" s="25"/>
      <c r="DY472" s="25"/>
      <c r="DZ472" s="25"/>
      <c r="EA472" s="25"/>
      <c r="EB472" s="25"/>
      <c r="EC472" s="25"/>
      <c r="ED472" s="25"/>
      <c r="EE472" s="25"/>
      <c r="EF472" s="25"/>
      <c r="EG472" s="25"/>
      <c r="EH472" s="25"/>
      <c r="EI472" s="25"/>
      <c r="EJ472" s="25"/>
      <c r="EK472" s="25"/>
      <c r="EL472" s="25"/>
      <c r="EM472" s="25"/>
      <c r="EN472" s="25"/>
      <c r="EO472" s="25"/>
      <c r="EP472" s="25"/>
      <c r="EQ472" s="25"/>
      <c r="ER472" s="25"/>
      <c r="ES472" s="25"/>
      <c r="ET472" s="25"/>
      <c r="EU472" s="25"/>
      <c r="EV472" s="25"/>
      <c r="EW472" s="25"/>
      <c r="EX472" s="25"/>
      <c r="EY472" s="25"/>
      <c r="EZ472" s="25"/>
      <c r="FA472" s="25"/>
      <c r="FB472" s="25"/>
      <c r="FC472" s="25"/>
      <c r="FD472" s="25"/>
      <c r="FE472" s="25"/>
      <c r="FF472" s="25"/>
      <c r="FG472" s="25"/>
      <c r="FH472" s="25"/>
      <c r="FI472" s="25"/>
      <c r="FJ472" s="25"/>
      <c r="FK472" s="25"/>
      <c r="FL472" s="25"/>
      <c r="FM472" s="25"/>
      <c r="FN472" s="25"/>
      <c r="FO472" s="25"/>
      <c r="FP472" s="25"/>
      <c r="FQ472" s="25"/>
      <c r="FR472" s="25"/>
      <c r="FS472" s="25"/>
      <c r="FT472" s="25"/>
      <c r="FU472" s="25"/>
      <c r="FV472" s="25"/>
      <c r="FW472" s="25"/>
      <c r="FX472" s="25"/>
      <c r="FY472" s="25"/>
      <c r="FZ472" s="25"/>
      <c r="GA472" s="25"/>
      <c r="GB472" s="25"/>
      <c r="GC472" s="25"/>
      <c r="GD472" s="25"/>
      <c r="GE472" s="25"/>
      <c r="GF472" s="25"/>
      <c r="GG472" s="25"/>
      <c r="GH472" s="25"/>
      <c r="GI472" s="25"/>
      <c r="GJ472" s="25"/>
      <c r="GK472" s="25"/>
      <c r="GL472" s="25"/>
      <c r="GM472" s="25"/>
      <c r="GN472" s="25"/>
      <c r="GO472" s="25"/>
      <c r="GP472" s="25"/>
      <c r="GQ472" s="25"/>
      <c r="GR472" s="25"/>
      <c r="GS472" s="25"/>
      <c r="GT472" s="25"/>
      <c r="GU472" s="25"/>
      <c r="GV472" s="25"/>
      <c r="GW472" s="25"/>
      <c r="GX472" s="25"/>
      <c r="GY472" s="25"/>
      <c r="GZ472" s="25"/>
      <c r="HA472" s="25"/>
      <c r="HB472" s="25"/>
      <c r="HC472" s="25"/>
      <c r="HD472" s="25"/>
      <c r="HE472" s="25"/>
      <c r="HF472" s="25"/>
      <c r="HG472" s="25"/>
      <c r="HH472" s="25"/>
      <c r="HI472" s="25"/>
      <c r="HJ472" s="25"/>
      <c r="HK472" s="25"/>
      <c r="HL472" s="25"/>
      <c r="HM472" s="25"/>
      <c r="HN472" s="25"/>
      <c r="HO472" s="25"/>
      <c r="HP472" s="25"/>
      <c r="HQ472" s="25"/>
      <c r="HR472" s="25"/>
      <c r="HS472" s="25"/>
      <c r="HT472" s="25"/>
      <c r="HU472" s="25"/>
      <c r="HV472" s="25"/>
      <c r="HW472" s="25"/>
      <c r="HX472" s="25"/>
      <c r="HY472" s="25"/>
      <c r="HZ472" s="25"/>
      <c r="IA472" s="25"/>
      <c r="IB472" s="25"/>
      <c r="IC472" s="25"/>
      <c r="ID472" s="25"/>
      <c r="IE472" s="25"/>
      <c r="IF472" s="25"/>
      <c r="IG472" s="25"/>
      <c r="IH472" s="25"/>
      <c r="II472" s="25"/>
      <c r="IJ472" s="25"/>
      <c r="IK472" s="25"/>
      <c r="IL472" s="25"/>
      <c r="IM472" s="25"/>
      <c r="IN472" s="25"/>
      <c r="IO472" s="25"/>
      <c r="IP472" s="25"/>
      <c r="IQ472" s="25"/>
      <c r="IR472" s="25"/>
      <c r="IS472" s="25"/>
      <c r="IT472" s="25"/>
      <c r="IU472" s="25"/>
      <c r="IV472" s="25"/>
      <c r="IW472" s="25"/>
      <c r="IX472" s="25"/>
      <c r="IY472" s="25"/>
      <c r="IZ472" s="25"/>
      <c r="JA472" s="25"/>
      <c r="JB472" s="25"/>
      <c r="JC472" s="25"/>
      <c r="JD472" s="25"/>
      <c r="JE472" s="25"/>
      <c r="JF472" s="25"/>
      <c r="JG472" s="25"/>
      <c r="JH472" s="25"/>
      <c r="JI472" s="25"/>
      <c r="JJ472" s="25"/>
      <c r="JK472" s="25"/>
      <c r="JL472" s="25"/>
      <c r="JM472" s="25"/>
      <c r="JN472" s="25"/>
      <c r="JO472" s="25"/>
      <c r="JP472" s="25"/>
      <c r="JQ472" s="25"/>
      <c r="JR472" s="25"/>
      <c r="JS472" s="25"/>
      <c r="JT472" s="25"/>
      <c r="JU472" s="25"/>
      <c r="JV472" s="25"/>
      <c r="JW472" s="25"/>
      <c r="JX472" s="25"/>
      <c r="JY472" s="25"/>
      <c r="JZ472" s="25"/>
      <c r="KA472" s="25"/>
      <c r="KB472" s="25"/>
      <c r="KC472" s="25"/>
      <c r="KD472" s="25"/>
      <c r="KE472" s="25"/>
      <c r="KF472" s="25"/>
      <c r="KG472" s="25"/>
      <c r="KH472" s="25"/>
      <c r="KI472" s="25"/>
      <c r="KJ472" s="25"/>
      <c r="KK472" s="25"/>
      <c r="KL472" s="25"/>
      <c r="KM472" s="25"/>
      <c r="KN472" s="25"/>
      <c r="KO472" s="25"/>
      <c r="KP472" s="25"/>
      <c r="KQ472" s="25"/>
      <c r="KR472" s="25"/>
      <c r="KS472" s="25"/>
      <c r="KT472" s="25"/>
      <c r="KU472" s="25"/>
      <c r="KV472" s="25"/>
      <c r="KW472" s="25"/>
      <c r="KX472" s="25"/>
      <c r="KY472" s="25"/>
      <c r="KZ472" s="25"/>
      <c r="LA472" s="25"/>
      <c r="LB472" s="25"/>
      <c r="LC472" s="25"/>
      <c r="LD472" s="25"/>
      <c r="LE472" s="25"/>
      <c r="LF472" s="25"/>
      <c r="LG472" s="25"/>
      <c r="LH472" s="25"/>
      <c r="LI472" s="25"/>
      <c r="LJ472" s="25"/>
      <c r="LK472" s="25"/>
      <c r="LL472" s="25"/>
      <c r="LM472" s="25"/>
      <c r="LN472" s="25"/>
      <c r="LO472" s="25"/>
      <c r="LP472" s="25"/>
      <c r="LQ472" s="25"/>
      <c r="LR472" s="25"/>
      <c r="LS472" s="25"/>
      <c r="LT472" s="25"/>
      <c r="LU472" s="25"/>
      <c r="LV472" s="25"/>
      <c r="LW472" s="25"/>
      <c r="LX472" s="25"/>
      <c r="LY472" s="25"/>
      <c r="LZ472" s="25"/>
      <c r="MA472" s="25"/>
      <c r="MB472" s="25"/>
      <c r="MC472" s="25"/>
      <c r="MD472" s="25"/>
      <c r="ME472" s="25"/>
      <c r="MF472" s="25"/>
      <c r="MG472" s="25"/>
      <c r="MH472" s="25"/>
      <c r="MI472" s="25"/>
      <c r="MJ472" s="25"/>
      <c r="MK472" s="25"/>
      <c r="ML472" s="25"/>
      <c r="MM472" s="25"/>
      <c r="MN472" s="25"/>
      <c r="MO472" s="25"/>
      <c r="MP472" s="25"/>
      <c r="MQ472" s="25"/>
      <c r="MR472" s="25"/>
      <c r="MS472" s="25"/>
      <c r="MT472" s="25"/>
      <c r="MU472" s="25"/>
      <c r="MV472" s="25"/>
      <c r="MW472" s="25"/>
      <c r="MX472" s="25"/>
      <c r="MY472" s="25"/>
      <c r="MZ472" s="25"/>
      <c r="NA472" s="25"/>
      <c r="NB472" s="25"/>
      <c r="NC472" s="25"/>
      <c r="ND472" s="25"/>
      <c r="NE472" s="25"/>
      <c r="NF472" s="25"/>
      <c r="NG472" s="25"/>
      <c r="NH472" s="25"/>
      <c r="NI472" s="25"/>
      <c r="NJ472" s="25"/>
      <c r="NK472" s="25"/>
      <c r="NL472" s="25"/>
      <c r="NM472" s="25"/>
      <c r="NN472" s="25"/>
      <c r="NO472" s="25"/>
      <c r="NP472" s="25"/>
      <c r="NQ472" s="25"/>
      <c r="NR472" s="25"/>
      <c r="NS472" s="25"/>
      <c r="NT472" s="25"/>
      <c r="NU472" s="25"/>
      <c r="NV472" s="25"/>
      <c r="NW472" s="25"/>
      <c r="NX472" s="25"/>
      <c r="NY472" s="25"/>
      <c r="NZ472" s="25"/>
      <c r="OA472" s="25"/>
      <c r="OB472" s="25"/>
      <c r="OC472" s="25"/>
      <c r="OD472" s="25"/>
      <c r="OE472" s="25"/>
      <c r="OF472" s="25"/>
      <c r="OG472" s="25"/>
      <c r="OH472" s="25"/>
      <c r="OI472" s="25"/>
      <c r="OJ472" s="25"/>
      <c r="OK472" s="25"/>
      <c r="OL472" s="25"/>
      <c r="OM472" s="25"/>
      <c r="ON472" s="25"/>
      <c r="OO472" s="25"/>
      <c r="OP472" s="25"/>
      <c r="OQ472" s="25"/>
      <c r="OR472" s="25"/>
      <c r="OS472" s="25"/>
      <c r="OT472" s="25"/>
      <c r="OU472" s="25"/>
      <c r="OV472" s="25"/>
      <c r="OW472" s="25"/>
      <c r="OX472" s="25"/>
      <c r="OY472" s="25"/>
      <c r="OZ472" s="25"/>
      <c r="PA472" s="25"/>
      <c r="PB472" s="25"/>
      <c r="PC472" s="25"/>
      <c r="PD472" s="25"/>
      <c r="PE472" s="25"/>
      <c r="PF472" s="25"/>
      <c r="PG472" s="25"/>
      <c r="PH472" s="25"/>
      <c r="PI472" s="25"/>
      <c r="PJ472" s="25"/>
      <c r="PK472" s="25"/>
      <c r="PL472" s="25"/>
      <c r="PM472" s="25"/>
      <c r="PN472" s="25"/>
      <c r="PO472" s="25"/>
      <c r="PP472" s="25"/>
      <c r="PQ472" s="25"/>
      <c r="PR472" s="25"/>
      <c r="PS472" s="25"/>
      <c r="PT472" s="25"/>
      <c r="PU472" s="25"/>
      <c r="PV472" s="25"/>
      <c r="PW472" s="25"/>
      <c r="PX472" s="25"/>
      <c r="PY472" s="25"/>
      <c r="PZ472" s="25"/>
      <c r="QA472" s="25"/>
      <c r="QB472" s="25"/>
      <c r="QC472" s="25"/>
      <c r="QD472" s="25"/>
      <c r="QE472" s="25"/>
      <c r="QF472" s="25"/>
      <c r="QG472" s="25"/>
      <c r="QH472" s="25"/>
      <c r="QI472" s="25"/>
      <c r="QJ472" s="25"/>
      <c r="QK472" s="25"/>
      <c r="QL472" s="25"/>
      <c r="QM472" s="25"/>
      <c r="QN472" s="25"/>
      <c r="QO472" s="25"/>
      <c r="QP472" s="25"/>
      <c r="QQ472" s="25"/>
      <c r="QR472" s="25"/>
      <c r="QS472" s="25"/>
      <c r="QT472" s="25"/>
      <c r="QU472" s="25"/>
      <c r="QV472" s="25"/>
      <c r="QW472" s="25"/>
      <c r="QX472" s="25"/>
      <c r="QY472" s="25"/>
      <c r="QZ472" s="25"/>
      <c r="RA472" s="25"/>
      <c r="RB472" s="25"/>
      <c r="RC472" s="25"/>
      <c r="RD472" s="25"/>
      <c r="RE472" s="25"/>
      <c r="RF472" s="25"/>
      <c r="RG472" s="25"/>
      <c r="RH472" s="25"/>
      <c r="RI472" s="25"/>
      <c r="RJ472" s="25"/>
      <c r="RK472" s="25"/>
      <c r="RL472" s="25"/>
      <c r="RM472" s="25"/>
      <c r="RN472" s="25"/>
      <c r="RO472" s="25"/>
      <c r="RP472" s="25"/>
      <c r="RQ472" s="25"/>
      <c r="RR472" s="25"/>
      <c r="RS472" s="25"/>
      <c r="RT472" s="25"/>
      <c r="RU472" s="25"/>
      <c r="RV472" s="25"/>
      <c r="RW472" s="25"/>
      <c r="RX472" s="25"/>
      <c r="RY472" s="25"/>
      <c r="RZ472" s="25"/>
      <c r="SA472" s="25"/>
      <c r="SB472" s="25"/>
      <c r="SC472" s="25"/>
      <c r="SD472" s="25"/>
      <c r="SE472" s="25"/>
      <c r="SF472" s="25"/>
      <c r="SG472" s="25"/>
      <c r="SH472" s="25"/>
      <c r="SI472" s="25"/>
      <c r="SJ472" s="25"/>
      <c r="SK472" s="25"/>
      <c r="SL472" s="25"/>
      <c r="SM472" s="25"/>
      <c r="SN472" s="25"/>
      <c r="SO472" s="25"/>
      <c r="SP472" s="25"/>
      <c r="SQ472" s="25"/>
      <c r="SR472" s="25"/>
      <c r="SS472" s="25"/>
      <c r="ST472" s="25"/>
      <c r="SU472" s="25"/>
      <c r="SV472" s="25"/>
      <c r="SW472" s="25"/>
      <c r="SX472" s="25"/>
      <c r="SY472" s="25"/>
      <c r="SZ472" s="25"/>
      <c r="TA472" s="25"/>
      <c r="TB472" s="25"/>
      <c r="TC472" s="25"/>
      <c r="TD472" s="25"/>
      <c r="TE472" s="25"/>
      <c r="TF472" s="25"/>
      <c r="TG472" s="25"/>
      <c r="TH472" s="25"/>
      <c r="TI472" s="25"/>
      <c r="TJ472" s="25"/>
      <c r="TK472" s="25"/>
      <c r="TL472" s="25"/>
      <c r="TM472" s="25"/>
      <c r="TN472" s="25"/>
      <c r="TO472" s="25"/>
      <c r="TP472" s="25"/>
      <c r="TQ472" s="25"/>
      <c r="TR472" s="25"/>
      <c r="TS472" s="25"/>
      <c r="TT472" s="25"/>
      <c r="TU472" s="25"/>
      <c r="TV472" s="25"/>
      <c r="TW472" s="25"/>
      <c r="TX472" s="25"/>
      <c r="TY472" s="25"/>
      <c r="TZ472" s="25"/>
      <c r="UA472" s="25"/>
      <c r="UB472" s="25"/>
      <c r="UC472" s="25"/>
      <c r="UD472" s="25"/>
      <c r="UE472" s="25"/>
      <c r="UF472" s="25"/>
      <c r="UG472" s="26"/>
    </row>
    <row r="473" spans="1:553" ht="30.75" customHeight="1">
      <c r="A473" s="356" t="s">
        <v>15</v>
      </c>
      <c r="B473" s="366" t="s">
        <v>365</v>
      </c>
      <c r="C473" s="1404" t="s">
        <v>921</v>
      </c>
      <c r="D473" s="1389"/>
      <c r="E473" s="1389"/>
      <c r="F473" s="1390"/>
      <c r="G473" s="386" t="s">
        <v>935</v>
      </c>
      <c r="H473" s="370"/>
      <c r="I473" s="422">
        <f>1.2*1.8*5</f>
        <v>10.8</v>
      </c>
      <c r="J473" s="368">
        <v>400000</v>
      </c>
      <c r="K473" s="371"/>
      <c r="L473" s="391">
        <f t="shared" si="87"/>
        <v>4320000</v>
      </c>
      <c r="M473" s="391"/>
      <c r="N473" s="391"/>
      <c r="O473" s="391"/>
      <c r="P473" s="391"/>
      <c r="Q473" s="1444"/>
      <c r="R473" s="1226"/>
      <c r="S473" s="308"/>
      <c r="T473" s="303"/>
      <c r="U473" s="306"/>
      <c r="V473" s="307"/>
      <c r="W473" s="307"/>
      <c r="X473" s="307"/>
      <c r="Y473" s="307"/>
      <c r="Z473" s="307"/>
      <c r="AA473" s="307"/>
      <c r="AB473" s="307"/>
      <c r="AC473" s="449"/>
      <c r="AD473" s="449"/>
      <c r="AE473" s="449"/>
      <c r="AF473" s="449"/>
      <c r="AG473" s="449"/>
      <c r="AH473" s="449"/>
      <c r="AI473" s="449"/>
      <c r="AJ473" s="449"/>
      <c r="AK473" s="452"/>
      <c r="AL473" s="104"/>
      <c r="AM473" s="32"/>
      <c r="AN473" s="32"/>
      <c r="AO473" s="32"/>
      <c r="AP473" s="32"/>
      <c r="AQ473" s="32"/>
      <c r="AR473" s="32"/>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c r="CT473" s="31"/>
      <c r="CU473" s="31"/>
      <c r="CV473" s="31"/>
      <c r="CW473" s="31"/>
      <c r="CX473" s="31"/>
      <c r="CY473" s="31"/>
      <c r="CZ473" s="31"/>
      <c r="DA473" s="31"/>
      <c r="DB473" s="31"/>
      <c r="DC473" s="31"/>
      <c r="DD473" s="31"/>
      <c r="DE473" s="31"/>
      <c r="DF473" s="31"/>
      <c r="DG473" s="31"/>
      <c r="DH473" s="31"/>
      <c r="DI473" s="31"/>
      <c r="DJ473" s="31"/>
      <c r="DK473" s="31"/>
      <c r="DL473" s="31"/>
      <c r="DM473" s="31"/>
      <c r="DN473" s="31"/>
      <c r="DO473" s="31"/>
      <c r="DP473" s="31"/>
      <c r="DQ473" s="31"/>
      <c r="DR473" s="31"/>
      <c r="DS473" s="31"/>
      <c r="DT473" s="31"/>
      <c r="DU473" s="31"/>
      <c r="DV473" s="31"/>
      <c r="DW473" s="31"/>
      <c r="DX473" s="31"/>
      <c r="DY473" s="31"/>
      <c r="DZ473" s="31"/>
      <c r="EA473" s="31"/>
      <c r="EB473" s="31"/>
      <c r="EC473" s="31"/>
      <c r="ED473" s="31"/>
      <c r="EE473" s="31"/>
      <c r="EF473" s="31"/>
      <c r="EG473" s="31"/>
      <c r="EH473" s="31"/>
      <c r="EI473" s="31"/>
      <c r="EJ473" s="31"/>
      <c r="EK473" s="31"/>
      <c r="EL473" s="31"/>
      <c r="EM473" s="31"/>
      <c r="EN473" s="31"/>
      <c r="EO473" s="31"/>
      <c r="EP473" s="31"/>
      <c r="EQ473" s="31"/>
      <c r="ER473" s="31"/>
      <c r="ES473" s="31"/>
      <c r="ET473" s="31"/>
      <c r="EU473" s="31"/>
      <c r="EV473" s="31"/>
      <c r="EW473" s="31"/>
      <c r="EX473" s="31"/>
      <c r="EY473" s="31"/>
      <c r="EZ473" s="31"/>
      <c r="FA473" s="31"/>
      <c r="FB473" s="31"/>
      <c r="FC473" s="31"/>
      <c r="FD473" s="31"/>
      <c r="FE473" s="31"/>
      <c r="FF473" s="31"/>
      <c r="FG473" s="31"/>
      <c r="FH473" s="31"/>
      <c r="FI473" s="31"/>
      <c r="FJ473" s="31"/>
      <c r="FK473" s="31"/>
      <c r="FL473" s="31"/>
      <c r="FM473" s="31"/>
      <c r="FN473" s="31"/>
      <c r="FO473" s="31"/>
      <c r="FP473" s="31"/>
      <c r="FQ473" s="31"/>
      <c r="FR473" s="31"/>
      <c r="FS473" s="31"/>
      <c r="FT473" s="31"/>
      <c r="FU473" s="31"/>
      <c r="FV473" s="31"/>
      <c r="FW473" s="31"/>
      <c r="FX473" s="31"/>
      <c r="FY473" s="31"/>
      <c r="FZ473" s="31"/>
      <c r="GA473" s="31"/>
      <c r="GB473" s="31"/>
      <c r="GC473" s="31"/>
      <c r="GD473" s="31"/>
      <c r="GE473" s="31"/>
      <c r="GF473" s="31"/>
      <c r="GG473" s="31"/>
      <c r="GH473" s="31"/>
      <c r="GI473" s="31"/>
      <c r="GJ473" s="31"/>
      <c r="GK473" s="31"/>
      <c r="GL473" s="31"/>
      <c r="GM473" s="31"/>
      <c r="GN473" s="31"/>
      <c r="GO473" s="31"/>
      <c r="GP473" s="31"/>
      <c r="GQ473" s="31"/>
      <c r="GR473" s="31"/>
      <c r="GS473" s="31"/>
      <c r="GT473" s="31"/>
      <c r="GU473" s="31"/>
      <c r="GV473" s="31"/>
      <c r="GW473" s="31"/>
      <c r="GX473" s="31"/>
      <c r="GY473" s="31"/>
      <c r="GZ473" s="31"/>
      <c r="HA473" s="31"/>
      <c r="HB473" s="31"/>
      <c r="HC473" s="31"/>
      <c r="HD473" s="31"/>
      <c r="HE473" s="31"/>
      <c r="HF473" s="31"/>
      <c r="HG473" s="31"/>
      <c r="HH473" s="31"/>
      <c r="HI473" s="31"/>
      <c r="HJ473" s="31"/>
      <c r="HK473" s="31"/>
      <c r="HL473" s="31"/>
      <c r="HM473" s="31"/>
      <c r="HN473" s="31"/>
      <c r="HO473" s="31"/>
      <c r="HP473" s="31"/>
      <c r="HQ473" s="31"/>
      <c r="HR473" s="31"/>
      <c r="HS473" s="31"/>
      <c r="HT473" s="31"/>
      <c r="HU473" s="31"/>
      <c r="HV473" s="31"/>
      <c r="HW473" s="31"/>
      <c r="HX473" s="31"/>
      <c r="HY473" s="31"/>
      <c r="HZ473" s="31"/>
      <c r="IA473" s="31"/>
      <c r="IB473" s="31"/>
      <c r="IC473" s="31"/>
      <c r="ID473" s="31"/>
      <c r="IE473" s="31"/>
      <c r="IF473" s="31"/>
      <c r="IG473" s="31"/>
      <c r="IH473" s="31"/>
      <c r="II473" s="31"/>
      <c r="IJ473" s="31"/>
      <c r="IK473" s="31"/>
      <c r="IL473" s="31"/>
      <c r="IM473" s="31"/>
      <c r="IN473" s="31"/>
      <c r="IO473" s="31"/>
      <c r="IP473" s="31"/>
      <c r="IQ473" s="31"/>
      <c r="IR473" s="31"/>
      <c r="IS473" s="31"/>
      <c r="IT473" s="31"/>
      <c r="IU473" s="31"/>
      <c r="IV473" s="31"/>
      <c r="IW473" s="31"/>
      <c r="IX473" s="31"/>
      <c r="IY473" s="31"/>
      <c r="IZ473" s="31"/>
      <c r="JA473" s="31"/>
      <c r="JB473" s="31"/>
      <c r="JC473" s="31"/>
      <c r="JD473" s="31"/>
      <c r="JE473" s="31"/>
      <c r="JF473" s="31"/>
      <c r="JG473" s="31"/>
      <c r="JH473" s="31"/>
      <c r="JI473" s="31"/>
      <c r="JJ473" s="31"/>
      <c r="JK473" s="31"/>
      <c r="JL473" s="31"/>
      <c r="JM473" s="31"/>
      <c r="JN473" s="31"/>
      <c r="JO473" s="31"/>
      <c r="JP473" s="31"/>
      <c r="JQ473" s="31"/>
      <c r="JR473" s="31"/>
      <c r="JS473" s="31"/>
      <c r="JT473" s="31"/>
      <c r="JU473" s="31"/>
      <c r="JV473" s="31"/>
      <c r="JW473" s="31"/>
      <c r="JX473" s="31"/>
      <c r="JY473" s="31"/>
      <c r="JZ473" s="31"/>
      <c r="KA473" s="31"/>
      <c r="KB473" s="31"/>
      <c r="KC473" s="31"/>
      <c r="KD473" s="31"/>
      <c r="KE473" s="31"/>
      <c r="KF473" s="31"/>
      <c r="KG473" s="31"/>
      <c r="KH473" s="31"/>
      <c r="KI473" s="31"/>
      <c r="KJ473" s="31"/>
      <c r="KK473" s="31"/>
      <c r="KL473" s="31"/>
      <c r="KM473" s="31"/>
      <c r="KN473" s="31"/>
      <c r="KO473" s="31"/>
      <c r="KP473" s="31"/>
      <c r="KQ473" s="31"/>
      <c r="KR473" s="31"/>
      <c r="KS473" s="31"/>
      <c r="KT473" s="31"/>
      <c r="KU473" s="31"/>
      <c r="KV473" s="31"/>
      <c r="KW473" s="31"/>
      <c r="KX473" s="31"/>
      <c r="KY473" s="31"/>
      <c r="KZ473" s="31"/>
      <c r="LA473" s="31"/>
      <c r="LB473" s="31"/>
      <c r="LC473" s="31"/>
      <c r="LD473" s="31"/>
      <c r="LE473" s="31"/>
      <c r="LF473" s="31"/>
      <c r="LG473" s="31"/>
      <c r="LH473" s="31"/>
      <c r="LI473" s="31"/>
      <c r="LJ473" s="31"/>
      <c r="LK473" s="31"/>
      <c r="LL473" s="31"/>
      <c r="LM473" s="31"/>
      <c r="LN473" s="31"/>
      <c r="LO473" s="31"/>
      <c r="LP473" s="31"/>
      <c r="LQ473" s="31"/>
      <c r="LR473" s="31"/>
      <c r="LS473" s="31"/>
      <c r="LT473" s="31"/>
      <c r="LU473" s="31"/>
      <c r="LV473" s="31"/>
      <c r="LW473" s="31"/>
      <c r="LX473" s="31"/>
      <c r="LY473" s="31"/>
      <c r="LZ473" s="31"/>
      <c r="MA473" s="31"/>
      <c r="MB473" s="31"/>
      <c r="MC473" s="31"/>
      <c r="MD473" s="31"/>
      <c r="ME473" s="31"/>
      <c r="MF473" s="31"/>
      <c r="MG473" s="31"/>
      <c r="MH473" s="31"/>
      <c r="MI473" s="31"/>
      <c r="MJ473" s="31"/>
      <c r="MK473" s="31"/>
      <c r="ML473" s="31"/>
      <c r="MM473" s="31"/>
      <c r="MN473" s="31"/>
      <c r="MO473" s="31"/>
      <c r="MP473" s="31"/>
      <c r="MQ473" s="31"/>
      <c r="MR473" s="31"/>
      <c r="MS473" s="31"/>
      <c r="MT473" s="31"/>
      <c r="MU473" s="31"/>
      <c r="MV473" s="31"/>
      <c r="MW473" s="31"/>
      <c r="MX473" s="31"/>
      <c r="MY473" s="31"/>
      <c r="MZ473" s="31"/>
      <c r="NA473" s="31"/>
      <c r="NB473" s="31"/>
      <c r="NC473" s="31"/>
      <c r="ND473" s="31"/>
      <c r="NE473" s="31"/>
      <c r="NF473" s="31"/>
      <c r="NG473" s="31"/>
      <c r="NH473" s="31"/>
      <c r="NI473" s="31"/>
      <c r="NJ473" s="31"/>
      <c r="NK473" s="31"/>
      <c r="NL473" s="31"/>
      <c r="NM473" s="31"/>
      <c r="NN473" s="31"/>
      <c r="NO473" s="31"/>
      <c r="NP473" s="31"/>
      <c r="NQ473" s="31"/>
      <c r="NR473" s="31"/>
      <c r="NS473" s="31"/>
      <c r="NT473" s="31"/>
      <c r="NU473" s="31"/>
      <c r="NV473" s="31"/>
      <c r="NW473" s="31"/>
      <c r="NX473" s="31"/>
      <c r="NY473" s="31"/>
      <c r="NZ473" s="31"/>
      <c r="OA473" s="31"/>
      <c r="OB473" s="31"/>
      <c r="OC473" s="31"/>
      <c r="OD473" s="31"/>
      <c r="OE473" s="31"/>
      <c r="OF473" s="31"/>
      <c r="OG473" s="31"/>
      <c r="OH473" s="31"/>
      <c r="OI473" s="31"/>
      <c r="OJ473" s="31"/>
      <c r="OK473" s="31"/>
      <c r="OL473" s="31"/>
      <c r="OM473" s="31"/>
      <c r="ON473" s="31"/>
      <c r="OO473" s="31"/>
      <c r="OP473" s="31"/>
      <c r="OQ473" s="31"/>
      <c r="OR473" s="31"/>
      <c r="OS473" s="31"/>
      <c r="OT473" s="31"/>
      <c r="OU473" s="31"/>
      <c r="OV473" s="31"/>
      <c r="OW473" s="31"/>
      <c r="OX473" s="31"/>
      <c r="OY473" s="31"/>
      <c r="OZ473" s="31"/>
      <c r="PA473" s="31"/>
      <c r="PB473" s="31"/>
      <c r="PC473" s="31"/>
      <c r="PD473" s="31"/>
      <c r="PE473" s="31"/>
      <c r="PF473" s="31"/>
      <c r="PG473" s="31"/>
      <c r="PH473" s="31"/>
      <c r="PI473" s="31"/>
      <c r="PJ473" s="31"/>
      <c r="PK473" s="31"/>
      <c r="PL473" s="31"/>
      <c r="PM473" s="31"/>
      <c r="PN473" s="31"/>
      <c r="PO473" s="31"/>
      <c r="PP473" s="31"/>
      <c r="PQ473" s="31"/>
      <c r="PR473" s="31"/>
      <c r="PS473" s="31"/>
      <c r="PT473" s="31"/>
      <c r="PU473" s="31"/>
      <c r="PV473" s="31"/>
      <c r="PW473" s="31"/>
      <c r="PX473" s="31"/>
      <c r="PY473" s="31"/>
      <c r="PZ473" s="31"/>
      <c r="QA473" s="31"/>
      <c r="QB473" s="31"/>
      <c r="QC473" s="31"/>
      <c r="QD473" s="31"/>
      <c r="QE473" s="31"/>
      <c r="QF473" s="31"/>
      <c r="QG473" s="31"/>
      <c r="QH473" s="31"/>
      <c r="QI473" s="31"/>
      <c r="QJ473" s="31"/>
      <c r="QK473" s="31"/>
      <c r="QL473" s="31"/>
      <c r="QM473" s="31"/>
      <c r="QN473" s="31"/>
      <c r="QO473" s="31"/>
      <c r="QP473" s="31"/>
      <c r="QQ473" s="31"/>
      <c r="QR473" s="31"/>
      <c r="QS473" s="31"/>
      <c r="QT473" s="31"/>
      <c r="QU473" s="31"/>
      <c r="QV473" s="31"/>
      <c r="QW473" s="31"/>
      <c r="QX473" s="31"/>
      <c r="QY473" s="31"/>
      <c r="QZ473" s="31"/>
      <c r="RA473" s="31"/>
      <c r="RB473" s="31"/>
      <c r="RC473" s="31"/>
      <c r="RD473" s="31"/>
      <c r="RE473" s="31"/>
      <c r="RF473" s="31"/>
      <c r="RG473" s="31"/>
      <c r="RH473" s="31"/>
      <c r="RI473" s="31"/>
      <c r="RJ473" s="31"/>
      <c r="RK473" s="31"/>
      <c r="RL473" s="31"/>
      <c r="RM473" s="31"/>
      <c r="RN473" s="31"/>
      <c r="RO473" s="31"/>
      <c r="RP473" s="31"/>
      <c r="RQ473" s="31"/>
      <c r="RR473" s="31"/>
      <c r="RS473" s="31"/>
      <c r="RT473" s="31"/>
      <c r="RU473" s="31"/>
      <c r="RV473" s="31"/>
      <c r="RW473" s="31"/>
      <c r="RX473" s="31"/>
      <c r="RY473" s="31"/>
      <c r="RZ473" s="31"/>
      <c r="SA473" s="31"/>
      <c r="SB473" s="31"/>
      <c r="SC473" s="31"/>
      <c r="SD473" s="31"/>
      <c r="SE473" s="31"/>
      <c r="SF473" s="31"/>
      <c r="SG473" s="31"/>
      <c r="SH473" s="31"/>
      <c r="SI473" s="31"/>
      <c r="SJ473" s="31"/>
      <c r="SK473" s="31"/>
      <c r="SL473" s="31"/>
      <c r="SM473" s="31"/>
      <c r="SN473" s="31"/>
      <c r="SO473" s="31"/>
      <c r="SP473" s="31"/>
      <c r="SQ473" s="31"/>
      <c r="SR473" s="31"/>
      <c r="SS473" s="31"/>
      <c r="ST473" s="31"/>
      <c r="SU473" s="31"/>
      <c r="SV473" s="31"/>
      <c r="SW473" s="31"/>
      <c r="SX473" s="31"/>
      <c r="SY473" s="31"/>
      <c r="SZ473" s="31"/>
      <c r="TA473" s="31"/>
      <c r="TB473" s="31"/>
      <c r="TC473" s="31"/>
      <c r="TD473" s="31"/>
      <c r="TE473" s="31"/>
      <c r="TF473" s="31"/>
      <c r="TG473" s="31"/>
      <c r="TH473" s="31"/>
      <c r="TI473" s="31"/>
      <c r="TJ473" s="31"/>
      <c r="TK473" s="31"/>
      <c r="TL473" s="31"/>
      <c r="TM473" s="31"/>
      <c r="TN473" s="31"/>
      <c r="TO473" s="31"/>
      <c r="TP473" s="31"/>
      <c r="TQ473" s="31"/>
      <c r="TR473" s="31"/>
      <c r="TS473" s="31"/>
      <c r="TT473" s="31"/>
      <c r="TU473" s="31"/>
      <c r="TV473" s="31"/>
      <c r="TW473" s="31"/>
      <c r="TX473" s="31"/>
      <c r="TY473" s="31"/>
      <c r="TZ473" s="31"/>
      <c r="UA473" s="31"/>
      <c r="UB473" s="31"/>
      <c r="UC473" s="31"/>
      <c r="UD473" s="31"/>
      <c r="UE473" s="31"/>
      <c r="UF473" s="31"/>
      <c r="UG473" s="33"/>
    </row>
    <row r="474" spans="1:553" ht="30.75" customHeight="1">
      <c r="A474" s="356" t="s">
        <v>15</v>
      </c>
      <c r="B474" s="366" t="s">
        <v>31</v>
      </c>
      <c r="C474" s="1404" t="s">
        <v>297</v>
      </c>
      <c r="D474" s="1389"/>
      <c r="E474" s="1389"/>
      <c r="F474" s="1390"/>
      <c r="G474" s="566" t="s">
        <v>34</v>
      </c>
      <c r="H474" s="370"/>
      <c r="I474" s="422">
        <f>0.5*0.9*2*0.22</f>
        <v>0.19800000000000001</v>
      </c>
      <c r="J474" s="368">
        <v>1748701.9281893002</v>
      </c>
      <c r="K474" s="371"/>
      <c r="L474" s="391">
        <f t="shared" si="87"/>
        <v>346243</v>
      </c>
      <c r="M474" s="391"/>
      <c r="N474" s="391"/>
      <c r="O474" s="391"/>
      <c r="P474" s="391"/>
      <c r="Q474" s="1445"/>
      <c r="R474" s="1226"/>
      <c r="S474" s="308"/>
      <c r="T474" s="303"/>
      <c r="U474" s="306"/>
      <c r="V474" s="307"/>
      <c r="W474" s="307"/>
      <c r="X474" s="307"/>
      <c r="Y474" s="307"/>
      <c r="Z474" s="307"/>
      <c r="AA474" s="307"/>
      <c r="AB474" s="307"/>
      <c r="AC474" s="449"/>
      <c r="AD474" s="449"/>
      <c r="AE474" s="449"/>
      <c r="AF474" s="449"/>
      <c r="AG474" s="449"/>
      <c r="AH474" s="449"/>
      <c r="AI474" s="449"/>
      <c r="AJ474" s="449"/>
      <c r="AK474" s="452"/>
      <c r="AL474" s="104"/>
      <c r="AM474" s="32"/>
      <c r="AN474" s="32"/>
      <c r="AO474" s="32"/>
      <c r="AP474" s="32"/>
      <c r="AQ474" s="32"/>
      <c r="AR474" s="32"/>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c r="CT474" s="31"/>
      <c r="CU474" s="31"/>
      <c r="CV474" s="31"/>
      <c r="CW474" s="31"/>
      <c r="CX474" s="31"/>
      <c r="CY474" s="31"/>
      <c r="CZ474" s="31"/>
      <c r="DA474" s="31"/>
      <c r="DB474" s="31"/>
      <c r="DC474" s="31"/>
      <c r="DD474" s="31"/>
      <c r="DE474" s="31"/>
      <c r="DF474" s="31"/>
      <c r="DG474" s="31"/>
      <c r="DH474" s="31"/>
      <c r="DI474" s="31"/>
      <c r="DJ474" s="31"/>
      <c r="DK474" s="31"/>
      <c r="DL474" s="31"/>
      <c r="DM474" s="31"/>
      <c r="DN474" s="31"/>
      <c r="DO474" s="31"/>
      <c r="DP474" s="31"/>
      <c r="DQ474" s="31"/>
      <c r="DR474" s="31"/>
      <c r="DS474" s="31"/>
      <c r="DT474" s="31"/>
      <c r="DU474" s="31"/>
      <c r="DV474" s="31"/>
      <c r="DW474" s="31"/>
      <c r="DX474" s="31"/>
      <c r="DY474" s="31"/>
      <c r="DZ474" s="31"/>
      <c r="EA474" s="31"/>
      <c r="EB474" s="31"/>
      <c r="EC474" s="31"/>
      <c r="ED474" s="31"/>
      <c r="EE474" s="31"/>
      <c r="EF474" s="31"/>
      <c r="EG474" s="31"/>
      <c r="EH474" s="31"/>
      <c r="EI474" s="31"/>
      <c r="EJ474" s="31"/>
      <c r="EK474" s="31"/>
      <c r="EL474" s="31"/>
      <c r="EM474" s="31"/>
      <c r="EN474" s="31"/>
      <c r="EO474" s="31"/>
      <c r="EP474" s="31"/>
      <c r="EQ474" s="31"/>
      <c r="ER474" s="31"/>
      <c r="ES474" s="31"/>
      <c r="ET474" s="31"/>
      <c r="EU474" s="31"/>
      <c r="EV474" s="31"/>
      <c r="EW474" s="31"/>
      <c r="EX474" s="31"/>
      <c r="EY474" s="31"/>
      <c r="EZ474" s="31"/>
      <c r="FA474" s="31"/>
      <c r="FB474" s="31"/>
      <c r="FC474" s="31"/>
      <c r="FD474" s="31"/>
      <c r="FE474" s="31"/>
      <c r="FF474" s="31"/>
      <c r="FG474" s="31"/>
      <c r="FH474" s="31"/>
      <c r="FI474" s="31"/>
      <c r="FJ474" s="31"/>
      <c r="FK474" s="31"/>
      <c r="FL474" s="31"/>
      <c r="FM474" s="31"/>
      <c r="FN474" s="31"/>
      <c r="FO474" s="31"/>
      <c r="FP474" s="31"/>
      <c r="FQ474" s="31"/>
      <c r="FR474" s="31"/>
      <c r="FS474" s="31"/>
      <c r="FT474" s="31"/>
      <c r="FU474" s="31"/>
      <c r="FV474" s="31"/>
      <c r="FW474" s="31"/>
      <c r="FX474" s="31"/>
      <c r="FY474" s="31"/>
      <c r="FZ474" s="31"/>
      <c r="GA474" s="31"/>
      <c r="GB474" s="31"/>
      <c r="GC474" s="31"/>
      <c r="GD474" s="31"/>
      <c r="GE474" s="31"/>
      <c r="GF474" s="31"/>
      <c r="GG474" s="31"/>
      <c r="GH474" s="31"/>
      <c r="GI474" s="31"/>
      <c r="GJ474" s="31"/>
      <c r="GK474" s="31"/>
      <c r="GL474" s="31"/>
      <c r="GM474" s="31"/>
      <c r="GN474" s="31"/>
      <c r="GO474" s="31"/>
      <c r="GP474" s="31"/>
      <c r="GQ474" s="31"/>
      <c r="GR474" s="31"/>
      <c r="GS474" s="31"/>
      <c r="GT474" s="31"/>
      <c r="GU474" s="31"/>
      <c r="GV474" s="31"/>
      <c r="GW474" s="31"/>
      <c r="GX474" s="31"/>
      <c r="GY474" s="31"/>
      <c r="GZ474" s="31"/>
      <c r="HA474" s="31"/>
      <c r="HB474" s="31"/>
      <c r="HC474" s="31"/>
      <c r="HD474" s="31"/>
      <c r="HE474" s="31"/>
      <c r="HF474" s="31"/>
      <c r="HG474" s="31"/>
      <c r="HH474" s="31"/>
      <c r="HI474" s="31"/>
      <c r="HJ474" s="31"/>
      <c r="HK474" s="31"/>
      <c r="HL474" s="31"/>
      <c r="HM474" s="31"/>
      <c r="HN474" s="31"/>
      <c r="HO474" s="31"/>
      <c r="HP474" s="31"/>
      <c r="HQ474" s="31"/>
      <c r="HR474" s="31"/>
      <c r="HS474" s="31"/>
      <c r="HT474" s="31"/>
      <c r="HU474" s="31"/>
      <c r="HV474" s="31"/>
      <c r="HW474" s="31"/>
      <c r="HX474" s="31"/>
      <c r="HY474" s="31"/>
      <c r="HZ474" s="31"/>
      <c r="IA474" s="31"/>
      <c r="IB474" s="31"/>
      <c r="IC474" s="31"/>
      <c r="ID474" s="31"/>
      <c r="IE474" s="31"/>
      <c r="IF474" s="31"/>
      <c r="IG474" s="31"/>
      <c r="IH474" s="31"/>
      <c r="II474" s="31"/>
      <c r="IJ474" s="31"/>
      <c r="IK474" s="31"/>
      <c r="IL474" s="31"/>
      <c r="IM474" s="31"/>
      <c r="IN474" s="31"/>
      <c r="IO474" s="31"/>
      <c r="IP474" s="31"/>
      <c r="IQ474" s="31"/>
      <c r="IR474" s="31"/>
      <c r="IS474" s="31"/>
      <c r="IT474" s="31"/>
      <c r="IU474" s="31"/>
      <c r="IV474" s="31"/>
      <c r="IW474" s="31"/>
      <c r="IX474" s="31"/>
      <c r="IY474" s="31"/>
      <c r="IZ474" s="31"/>
      <c r="JA474" s="31"/>
      <c r="JB474" s="31"/>
      <c r="JC474" s="31"/>
      <c r="JD474" s="31"/>
      <c r="JE474" s="31"/>
      <c r="JF474" s="31"/>
      <c r="JG474" s="31"/>
      <c r="JH474" s="31"/>
      <c r="JI474" s="31"/>
      <c r="JJ474" s="31"/>
      <c r="JK474" s="31"/>
      <c r="JL474" s="31"/>
      <c r="JM474" s="31"/>
      <c r="JN474" s="31"/>
      <c r="JO474" s="31"/>
      <c r="JP474" s="31"/>
      <c r="JQ474" s="31"/>
      <c r="JR474" s="31"/>
      <c r="JS474" s="31"/>
      <c r="JT474" s="31"/>
      <c r="JU474" s="31"/>
      <c r="JV474" s="31"/>
      <c r="JW474" s="31"/>
      <c r="JX474" s="31"/>
      <c r="JY474" s="31"/>
      <c r="JZ474" s="31"/>
      <c r="KA474" s="31"/>
      <c r="KB474" s="31"/>
      <c r="KC474" s="31"/>
      <c r="KD474" s="31"/>
      <c r="KE474" s="31"/>
      <c r="KF474" s="31"/>
      <c r="KG474" s="31"/>
      <c r="KH474" s="31"/>
      <c r="KI474" s="31"/>
      <c r="KJ474" s="31"/>
      <c r="KK474" s="31"/>
      <c r="KL474" s="31"/>
      <c r="KM474" s="31"/>
      <c r="KN474" s="31"/>
      <c r="KO474" s="31"/>
      <c r="KP474" s="31"/>
      <c r="KQ474" s="31"/>
      <c r="KR474" s="31"/>
      <c r="KS474" s="31"/>
      <c r="KT474" s="31"/>
      <c r="KU474" s="31"/>
      <c r="KV474" s="31"/>
      <c r="KW474" s="31"/>
      <c r="KX474" s="31"/>
      <c r="KY474" s="31"/>
      <c r="KZ474" s="31"/>
      <c r="LA474" s="31"/>
      <c r="LB474" s="31"/>
      <c r="LC474" s="31"/>
      <c r="LD474" s="31"/>
      <c r="LE474" s="31"/>
      <c r="LF474" s="31"/>
      <c r="LG474" s="31"/>
      <c r="LH474" s="31"/>
      <c r="LI474" s="31"/>
      <c r="LJ474" s="31"/>
      <c r="LK474" s="31"/>
      <c r="LL474" s="31"/>
      <c r="LM474" s="31"/>
      <c r="LN474" s="31"/>
      <c r="LO474" s="31"/>
      <c r="LP474" s="31"/>
      <c r="LQ474" s="31"/>
      <c r="LR474" s="31"/>
      <c r="LS474" s="31"/>
      <c r="LT474" s="31"/>
      <c r="LU474" s="31"/>
      <c r="LV474" s="31"/>
      <c r="LW474" s="31"/>
      <c r="LX474" s="31"/>
      <c r="LY474" s="31"/>
      <c r="LZ474" s="31"/>
      <c r="MA474" s="31"/>
      <c r="MB474" s="31"/>
      <c r="MC474" s="31"/>
      <c r="MD474" s="31"/>
      <c r="ME474" s="31"/>
      <c r="MF474" s="31"/>
      <c r="MG474" s="31"/>
      <c r="MH474" s="31"/>
      <c r="MI474" s="31"/>
      <c r="MJ474" s="31"/>
      <c r="MK474" s="31"/>
      <c r="ML474" s="31"/>
      <c r="MM474" s="31"/>
      <c r="MN474" s="31"/>
      <c r="MO474" s="31"/>
      <c r="MP474" s="31"/>
      <c r="MQ474" s="31"/>
      <c r="MR474" s="31"/>
      <c r="MS474" s="31"/>
      <c r="MT474" s="31"/>
      <c r="MU474" s="31"/>
      <c r="MV474" s="31"/>
      <c r="MW474" s="31"/>
      <c r="MX474" s="31"/>
      <c r="MY474" s="31"/>
      <c r="MZ474" s="31"/>
      <c r="NA474" s="31"/>
      <c r="NB474" s="31"/>
      <c r="NC474" s="31"/>
      <c r="ND474" s="31"/>
      <c r="NE474" s="31"/>
      <c r="NF474" s="31"/>
      <c r="NG474" s="31"/>
      <c r="NH474" s="31"/>
      <c r="NI474" s="31"/>
      <c r="NJ474" s="31"/>
      <c r="NK474" s="31"/>
      <c r="NL474" s="31"/>
      <c r="NM474" s="31"/>
      <c r="NN474" s="31"/>
      <c r="NO474" s="31"/>
      <c r="NP474" s="31"/>
      <c r="NQ474" s="31"/>
      <c r="NR474" s="31"/>
      <c r="NS474" s="31"/>
      <c r="NT474" s="31"/>
      <c r="NU474" s="31"/>
      <c r="NV474" s="31"/>
      <c r="NW474" s="31"/>
      <c r="NX474" s="31"/>
      <c r="NY474" s="31"/>
      <c r="NZ474" s="31"/>
      <c r="OA474" s="31"/>
      <c r="OB474" s="31"/>
      <c r="OC474" s="31"/>
      <c r="OD474" s="31"/>
      <c r="OE474" s="31"/>
      <c r="OF474" s="31"/>
      <c r="OG474" s="31"/>
      <c r="OH474" s="31"/>
      <c r="OI474" s="31"/>
      <c r="OJ474" s="31"/>
      <c r="OK474" s="31"/>
      <c r="OL474" s="31"/>
      <c r="OM474" s="31"/>
      <c r="ON474" s="31"/>
      <c r="OO474" s="31"/>
      <c r="OP474" s="31"/>
      <c r="OQ474" s="31"/>
      <c r="OR474" s="31"/>
      <c r="OS474" s="31"/>
      <c r="OT474" s="31"/>
      <c r="OU474" s="31"/>
      <c r="OV474" s="31"/>
      <c r="OW474" s="31"/>
      <c r="OX474" s="31"/>
      <c r="OY474" s="31"/>
      <c r="OZ474" s="31"/>
      <c r="PA474" s="31"/>
      <c r="PB474" s="31"/>
      <c r="PC474" s="31"/>
      <c r="PD474" s="31"/>
      <c r="PE474" s="31"/>
      <c r="PF474" s="31"/>
      <c r="PG474" s="31"/>
      <c r="PH474" s="31"/>
      <c r="PI474" s="31"/>
      <c r="PJ474" s="31"/>
      <c r="PK474" s="31"/>
      <c r="PL474" s="31"/>
      <c r="PM474" s="31"/>
      <c r="PN474" s="31"/>
      <c r="PO474" s="31"/>
      <c r="PP474" s="31"/>
      <c r="PQ474" s="31"/>
      <c r="PR474" s="31"/>
      <c r="PS474" s="31"/>
      <c r="PT474" s="31"/>
      <c r="PU474" s="31"/>
      <c r="PV474" s="31"/>
      <c r="PW474" s="31"/>
      <c r="PX474" s="31"/>
      <c r="PY474" s="31"/>
      <c r="PZ474" s="31"/>
      <c r="QA474" s="31"/>
      <c r="QB474" s="31"/>
      <c r="QC474" s="31"/>
      <c r="QD474" s="31"/>
      <c r="QE474" s="31"/>
      <c r="QF474" s="31"/>
      <c r="QG474" s="31"/>
      <c r="QH474" s="31"/>
      <c r="QI474" s="31"/>
      <c r="QJ474" s="31"/>
      <c r="QK474" s="31"/>
      <c r="QL474" s="31"/>
      <c r="QM474" s="31"/>
      <c r="QN474" s="31"/>
      <c r="QO474" s="31"/>
      <c r="QP474" s="31"/>
      <c r="QQ474" s="31"/>
      <c r="QR474" s="31"/>
      <c r="QS474" s="31"/>
      <c r="QT474" s="31"/>
      <c r="QU474" s="31"/>
      <c r="QV474" s="31"/>
      <c r="QW474" s="31"/>
      <c r="QX474" s="31"/>
      <c r="QY474" s="31"/>
      <c r="QZ474" s="31"/>
      <c r="RA474" s="31"/>
      <c r="RB474" s="31"/>
      <c r="RC474" s="31"/>
      <c r="RD474" s="31"/>
      <c r="RE474" s="31"/>
      <c r="RF474" s="31"/>
      <c r="RG474" s="31"/>
      <c r="RH474" s="31"/>
      <c r="RI474" s="31"/>
      <c r="RJ474" s="31"/>
      <c r="RK474" s="31"/>
      <c r="RL474" s="31"/>
      <c r="RM474" s="31"/>
      <c r="RN474" s="31"/>
      <c r="RO474" s="31"/>
      <c r="RP474" s="31"/>
      <c r="RQ474" s="31"/>
      <c r="RR474" s="31"/>
      <c r="RS474" s="31"/>
      <c r="RT474" s="31"/>
      <c r="RU474" s="31"/>
      <c r="RV474" s="31"/>
      <c r="RW474" s="31"/>
      <c r="RX474" s="31"/>
      <c r="RY474" s="31"/>
      <c r="RZ474" s="31"/>
      <c r="SA474" s="31"/>
      <c r="SB474" s="31"/>
      <c r="SC474" s="31"/>
      <c r="SD474" s="31"/>
      <c r="SE474" s="31"/>
      <c r="SF474" s="31"/>
      <c r="SG474" s="31"/>
      <c r="SH474" s="31"/>
      <c r="SI474" s="31"/>
      <c r="SJ474" s="31"/>
      <c r="SK474" s="31"/>
      <c r="SL474" s="31"/>
      <c r="SM474" s="31"/>
      <c r="SN474" s="31"/>
      <c r="SO474" s="31"/>
      <c r="SP474" s="31"/>
      <c r="SQ474" s="31"/>
      <c r="SR474" s="31"/>
      <c r="SS474" s="31"/>
      <c r="ST474" s="31"/>
      <c r="SU474" s="31"/>
      <c r="SV474" s="31"/>
      <c r="SW474" s="31"/>
      <c r="SX474" s="31"/>
      <c r="SY474" s="31"/>
      <c r="SZ474" s="31"/>
      <c r="TA474" s="31"/>
      <c r="TB474" s="31"/>
      <c r="TC474" s="31"/>
      <c r="TD474" s="31"/>
      <c r="TE474" s="31"/>
      <c r="TF474" s="31"/>
      <c r="TG474" s="31"/>
      <c r="TH474" s="31"/>
      <c r="TI474" s="31"/>
      <c r="TJ474" s="31"/>
      <c r="TK474" s="31"/>
      <c r="TL474" s="31"/>
      <c r="TM474" s="31"/>
      <c r="TN474" s="31"/>
      <c r="TO474" s="31"/>
      <c r="TP474" s="31"/>
      <c r="TQ474" s="31"/>
      <c r="TR474" s="31"/>
      <c r="TS474" s="31"/>
      <c r="TT474" s="31"/>
      <c r="TU474" s="31"/>
      <c r="TV474" s="31"/>
      <c r="TW474" s="31"/>
      <c r="TX474" s="31"/>
      <c r="TY474" s="31"/>
      <c r="TZ474" s="31"/>
      <c r="UA474" s="31"/>
      <c r="UB474" s="31"/>
      <c r="UC474" s="31"/>
      <c r="UD474" s="31"/>
      <c r="UE474" s="31"/>
      <c r="UF474" s="31"/>
      <c r="UG474" s="33"/>
    </row>
    <row r="475" spans="1:553" ht="30.75" customHeight="1">
      <c r="A475" s="401" t="s">
        <v>15</v>
      </c>
      <c r="B475" s="402">
        <v>178</v>
      </c>
      <c r="C475" s="1448" t="s">
        <v>254</v>
      </c>
      <c r="D475" s="1449"/>
      <c r="E475" s="1449"/>
      <c r="F475" s="1449"/>
      <c r="G475" s="569" t="s">
        <v>113</v>
      </c>
      <c r="H475" s="605"/>
      <c r="I475" s="575">
        <v>152</v>
      </c>
      <c r="J475" s="989">
        <v>114600</v>
      </c>
      <c r="K475" s="587"/>
      <c r="L475" s="1302">
        <f>ROUND(PRODUCT(I475:K475),0)</f>
        <v>17419200</v>
      </c>
      <c r="M475" s="391"/>
      <c r="N475" s="391"/>
      <c r="O475" s="391"/>
      <c r="P475" s="391"/>
      <c r="Q475" s="1225"/>
      <c r="R475" s="1226"/>
      <c r="S475" s="308"/>
      <c r="T475" s="303"/>
      <c r="U475" s="306"/>
      <c r="V475" s="307"/>
      <c r="W475" s="307"/>
      <c r="X475" s="307"/>
      <c r="Y475" s="307"/>
      <c r="Z475" s="307"/>
      <c r="AA475" s="307"/>
      <c r="AB475" s="307"/>
      <c r="AC475" s="449"/>
      <c r="AD475" s="449"/>
      <c r="AE475" s="449"/>
      <c r="AF475" s="449"/>
      <c r="AG475" s="449"/>
      <c r="AH475" s="449"/>
      <c r="AI475" s="449"/>
      <c r="AJ475" s="449"/>
      <c r="AK475" s="452"/>
      <c r="AL475" s="104"/>
      <c r="AM475" s="104"/>
      <c r="AN475" s="104"/>
      <c r="AO475" s="104"/>
      <c r="AP475" s="104"/>
      <c r="AQ475" s="104"/>
      <c r="AR475" s="104"/>
      <c r="AS475" s="106"/>
      <c r="AT475" s="106"/>
      <c r="AU475" s="106"/>
      <c r="AV475" s="106"/>
      <c r="AW475" s="106"/>
      <c r="AX475" s="106"/>
      <c r="AY475" s="106"/>
      <c r="AZ475" s="106"/>
      <c r="BA475" s="106"/>
      <c r="BB475" s="106"/>
      <c r="BC475" s="106"/>
      <c r="BD475" s="106"/>
      <c r="BE475" s="106"/>
      <c r="BF475" s="106"/>
      <c r="BG475" s="106"/>
      <c r="BH475" s="106"/>
      <c r="BI475" s="106"/>
      <c r="BJ475" s="106"/>
      <c r="BK475" s="106"/>
      <c r="BL475" s="106"/>
      <c r="BM475" s="106"/>
      <c r="BN475" s="106"/>
      <c r="BO475" s="106"/>
      <c r="BP475" s="106"/>
      <c r="BQ475" s="106"/>
      <c r="BR475" s="106"/>
      <c r="BS475" s="106"/>
      <c r="BT475" s="106"/>
      <c r="BU475" s="106"/>
      <c r="BV475" s="106"/>
      <c r="BW475" s="106"/>
      <c r="BX475" s="106"/>
      <c r="BY475" s="106"/>
      <c r="BZ475" s="106"/>
      <c r="CA475" s="106"/>
      <c r="CB475" s="106"/>
      <c r="CC475" s="106"/>
      <c r="CD475" s="106"/>
      <c r="CE475" s="106"/>
      <c r="CF475" s="106"/>
      <c r="CG475" s="106"/>
      <c r="CH475" s="106"/>
      <c r="CI475" s="106"/>
      <c r="CJ475" s="106"/>
      <c r="CK475" s="106"/>
      <c r="CL475" s="106"/>
      <c r="CM475" s="106"/>
      <c r="CN475" s="106"/>
      <c r="CO475" s="106"/>
      <c r="CP475" s="106"/>
      <c r="CQ475" s="106"/>
      <c r="CR475" s="106"/>
      <c r="CS475" s="106"/>
      <c r="CT475" s="106"/>
      <c r="CU475" s="106"/>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106"/>
      <c r="EM475" s="106"/>
      <c r="EN475" s="106"/>
      <c r="EO475" s="106"/>
      <c r="EP475" s="106"/>
      <c r="EQ475" s="106"/>
      <c r="ER475" s="106"/>
      <c r="ES475" s="106"/>
      <c r="ET475" s="106"/>
      <c r="EU475" s="106"/>
      <c r="EV475" s="106"/>
      <c r="EW475" s="106"/>
      <c r="EX475" s="106"/>
      <c r="EY475" s="106"/>
      <c r="EZ475" s="106"/>
      <c r="FA475" s="106"/>
      <c r="FB475" s="106"/>
      <c r="FC475" s="106"/>
      <c r="FD475" s="106"/>
      <c r="FE475" s="106"/>
      <c r="FF475" s="106"/>
      <c r="FG475" s="106"/>
      <c r="FH475" s="106"/>
      <c r="FI475" s="106"/>
      <c r="FJ475" s="106"/>
      <c r="FK475" s="106"/>
      <c r="FL475" s="106"/>
      <c r="FM475" s="106"/>
      <c r="FN475" s="106"/>
      <c r="FO475" s="106"/>
      <c r="FP475" s="106"/>
      <c r="FQ475" s="106"/>
      <c r="FR475" s="106"/>
      <c r="FS475" s="106"/>
      <c r="FT475" s="106"/>
      <c r="FU475" s="106"/>
      <c r="FV475" s="106"/>
      <c r="FW475" s="106"/>
      <c r="FX475" s="106"/>
      <c r="FY475" s="106"/>
      <c r="FZ475" s="106"/>
      <c r="GA475" s="106"/>
      <c r="GB475" s="106"/>
      <c r="GC475" s="106"/>
      <c r="GD475" s="106"/>
      <c r="GE475" s="106"/>
      <c r="GF475" s="106"/>
      <c r="GG475" s="106"/>
      <c r="GH475" s="106"/>
      <c r="GI475" s="106"/>
      <c r="GJ475" s="106"/>
      <c r="GK475" s="106"/>
      <c r="GL475" s="106"/>
      <c r="GM475" s="106"/>
      <c r="GN475" s="106"/>
      <c r="GO475" s="106"/>
      <c r="GP475" s="106"/>
      <c r="GQ475" s="106"/>
      <c r="GR475" s="106"/>
      <c r="GS475" s="106"/>
      <c r="GT475" s="106"/>
      <c r="GU475" s="106"/>
      <c r="GV475" s="106"/>
      <c r="GW475" s="106"/>
      <c r="GX475" s="106"/>
      <c r="GY475" s="106"/>
      <c r="GZ475" s="106"/>
      <c r="HA475" s="106"/>
      <c r="HB475" s="106"/>
      <c r="HC475" s="106"/>
      <c r="HD475" s="106"/>
      <c r="HE475" s="106"/>
      <c r="HF475" s="106"/>
      <c r="HG475" s="106"/>
      <c r="HH475" s="106"/>
      <c r="HI475" s="106"/>
      <c r="HJ475" s="106"/>
      <c r="HK475" s="106"/>
      <c r="HL475" s="106"/>
      <c r="HM475" s="106"/>
      <c r="HN475" s="106"/>
      <c r="HO475" s="106"/>
      <c r="HP475" s="106"/>
      <c r="HQ475" s="106"/>
      <c r="HR475" s="106"/>
      <c r="HS475" s="106"/>
      <c r="HT475" s="106"/>
      <c r="HU475" s="106"/>
      <c r="HV475" s="106"/>
      <c r="HW475" s="106"/>
      <c r="HX475" s="106"/>
      <c r="HY475" s="106"/>
      <c r="HZ475" s="106"/>
      <c r="IA475" s="106"/>
      <c r="IB475" s="106"/>
      <c r="IC475" s="106"/>
      <c r="ID475" s="106"/>
      <c r="IE475" s="106"/>
      <c r="IF475" s="106"/>
      <c r="IG475" s="106"/>
      <c r="IH475" s="106"/>
      <c r="II475" s="106"/>
      <c r="IJ475" s="106"/>
      <c r="IK475" s="106"/>
      <c r="IL475" s="106"/>
      <c r="IM475" s="106"/>
      <c r="IN475" s="106"/>
      <c r="IO475" s="106"/>
      <c r="IP475" s="106"/>
      <c r="IQ475" s="106"/>
      <c r="IR475" s="106"/>
      <c r="IS475" s="106"/>
      <c r="IT475" s="106"/>
      <c r="IU475" s="106"/>
      <c r="IV475" s="106"/>
      <c r="IW475" s="106"/>
      <c r="IX475" s="106"/>
      <c r="IY475" s="106"/>
      <c r="IZ475" s="106"/>
      <c r="JA475" s="106"/>
      <c r="JB475" s="106"/>
      <c r="JC475" s="106"/>
      <c r="JD475" s="106"/>
      <c r="JE475" s="106"/>
      <c r="JF475" s="106"/>
      <c r="JG475" s="106"/>
      <c r="JH475" s="106"/>
      <c r="JI475" s="106"/>
      <c r="JJ475" s="106"/>
      <c r="JK475" s="106"/>
      <c r="JL475" s="106"/>
      <c r="JM475" s="106"/>
      <c r="JN475" s="106"/>
      <c r="JO475" s="106"/>
      <c r="JP475" s="106"/>
      <c r="JQ475" s="106"/>
      <c r="JR475" s="106"/>
      <c r="JS475" s="106"/>
      <c r="JT475" s="106"/>
      <c r="JU475" s="106"/>
      <c r="JV475" s="106"/>
      <c r="JW475" s="106"/>
      <c r="JX475" s="106"/>
      <c r="JY475" s="106"/>
      <c r="JZ475" s="106"/>
      <c r="KA475" s="106"/>
      <c r="KB475" s="106"/>
      <c r="KC475" s="106"/>
      <c r="KD475" s="106"/>
      <c r="KE475" s="106"/>
      <c r="KF475" s="106"/>
      <c r="KG475" s="106"/>
      <c r="KH475" s="106"/>
      <c r="KI475" s="106"/>
      <c r="KJ475" s="106"/>
      <c r="KK475" s="106"/>
      <c r="KL475" s="106"/>
      <c r="KM475" s="106"/>
      <c r="KN475" s="106"/>
      <c r="KO475" s="106"/>
      <c r="KP475" s="106"/>
      <c r="KQ475" s="106"/>
      <c r="KR475" s="106"/>
      <c r="KS475" s="106"/>
      <c r="KT475" s="106"/>
      <c r="KU475" s="106"/>
      <c r="KV475" s="106"/>
      <c r="KW475" s="106"/>
      <c r="KX475" s="106"/>
      <c r="KY475" s="106"/>
      <c r="KZ475" s="106"/>
      <c r="LA475" s="106"/>
      <c r="LB475" s="106"/>
      <c r="LC475" s="106"/>
      <c r="LD475" s="106"/>
      <c r="LE475" s="106"/>
      <c r="LF475" s="106"/>
      <c r="LG475" s="106"/>
      <c r="LH475" s="106"/>
      <c r="LI475" s="106"/>
      <c r="LJ475" s="106"/>
      <c r="LK475" s="106"/>
      <c r="LL475" s="106"/>
      <c r="LM475" s="106"/>
      <c r="LN475" s="106"/>
      <c r="LO475" s="106"/>
      <c r="LP475" s="106"/>
      <c r="LQ475" s="106"/>
      <c r="LR475" s="106"/>
      <c r="LS475" s="106"/>
      <c r="LT475" s="106"/>
      <c r="LU475" s="106"/>
      <c r="LV475" s="106"/>
      <c r="LW475" s="106"/>
      <c r="LX475" s="106"/>
      <c r="LY475" s="106"/>
      <c r="LZ475" s="106"/>
      <c r="MA475" s="106"/>
      <c r="MB475" s="106"/>
      <c r="MC475" s="106"/>
      <c r="MD475" s="106"/>
      <c r="ME475" s="106"/>
      <c r="MF475" s="106"/>
      <c r="MG475" s="106"/>
      <c r="MH475" s="106"/>
      <c r="MI475" s="106"/>
      <c r="MJ475" s="106"/>
      <c r="MK475" s="106"/>
      <c r="ML475" s="106"/>
      <c r="MM475" s="106"/>
      <c r="MN475" s="106"/>
      <c r="MO475" s="106"/>
      <c r="MP475" s="106"/>
      <c r="MQ475" s="106"/>
      <c r="MR475" s="106"/>
      <c r="MS475" s="106"/>
      <c r="MT475" s="106"/>
      <c r="MU475" s="106"/>
      <c r="MV475" s="106"/>
      <c r="MW475" s="106"/>
      <c r="MX475" s="106"/>
      <c r="MY475" s="106"/>
      <c r="MZ475" s="106"/>
      <c r="NA475" s="106"/>
      <c r="NB475" s="106"/>
      <c r="NC475" s="106"/>
      <c r="ND475" s="106"/>
      <c r="NE475" s="106"/>
      <c r="NF475" s="106"/>
      <c r="NG475" s="106"/>
      <c r="NH475" s="106"/>
      <c r="NI475" s="106"/>
      <c r="NJ475" s="106"/>
      <c r="NK475" s="106"/>
      <c r="NL475" s="106"/>
      <c r="NM475" s="106"/>
      <c r="NN475" s="106"/>
      <c r="NO475" s="106"/>
      <c r="NP475" s="106"/>
      <c r="NQ475" s="106"/>
      <c r="NR475" s="106"/>
      <c r="NS475" s="106"/>
      <c r="NT475" s="106"/>
      <c r="NU475" s="106"/>
      <c r="NV475" s="106"/>
      <c r="NW475" s="106"/>
      <c r="NX475" s="106"/>
      <c r="NY475" s="106"/>
      <c r="NZ475" s="106"/>
      <c r="OA475" s="106"/>
      <c r="OB475" s="106"/>
      <c r="OC475" s="106"/>
      <c r="OD475" s="106"/>
      <c r="OE475" s="106"/>
      <c r="OF475" s="106"/>
      <c r="OG475" s="106"/>
      <c r="OH475" s="106"/>
      <c r="OI475" s="106"/>
      <c r="OJ475" s="106"/>
      <c r="OK475" s="106"/>
      <c r="OL475" s="106"/>
      <c r="OM475" s="106"/>
      <c r="ON475" s="106"/>
      <c r="OO475" s="106"/>
      <c r="OP475" s="106"/>
      <c r="OQ475" s="106"/>
      <c r="OR475" s="106"/>
      <c r="OS475" s="106"/>
      <c r="OT475" s="106"/>
      <c r="OU475" s="106"/>
      <c r="OV475" s="106"/>
      <c r="OW475" s="106"/>
      <c r="OX475" s="106"/>
      <c r="OY475" s="106"/>
      <c r="OZ475" s="106"/>
      <c r="PA475" s="106"/>
      <c r="PB475" s="106"/>
      <c r="PC475" s="106"/>
      <c r="PD475" s="106"/>
      <c r="PE475" s="106"/>
      <c r="PF475" s="106"/>
      <c r="PG475" s="106"/>
      <c r="PH475" s="106"/>
      <c r="PI475" s="106"/>
      <c r="PJ475" s="106"/>
      <c r="PK475" s="106"/>
      <c r="PL475" s="106"/>
      <c r="PM475" s="106"/>
      <c r="PN475" s="106"/>
      <c r="PO475" s="106"/>
      <c r="PP475" s="106"/>
      <c r="PQ475" s="106"/>
      <c r="PR475" s="106"/>
      <c r="PS475" s="106"/>
      <c r="PT475" s="106"/>
      <c r="PU475" s="106"/>
      <c r="PV475" s="106"/>
      <c r="PW475" s="106"/>
      <c r="PX475" s="106"/>
      <c r="PY475" s="106"/>
      <c r="PZ475" s="106"/>
      <c r="QA475" s="106"/>
      <c r="QB475" s="106"/>
      <c r="QC475" s="106"/>
      <c r="QD475" s="106"/>
      <c r="QE475" s="106"/>
      <c r="QF475" s="106"/>
      <c r="QG475" s="106"/>
      <c r="QH475" s="106"/>
      <c r="QI475" s="106"/>
      <c r="QJ475" s="106"/>
      <c r="QK475" s="106"/>
      <c r="QL475" s="106"/>
      <c r="QM475" s="106"/>
      <c r="QN475" s="106"/>
      <c r="QO475" s="106"/>
      <c r="QP475" s="106"/>
      <c r="QQ475" s="106"/>
      <c r="QR475" s="106"/>
      <c r="QS475" s="106"/>
      <c r="QT475" s="106"/>
      <c r="QU475" s="106"/>
      <c r="QV475" s="106"/>
      <c r="QW475" s="106"/>
      <c r="QX475" s="106"/>
      <c r="QY475" s="106"/>
      <c r="QZ475" s="106"/>
      <c r="RA475" s="106"/>
      <c r="RB475" s="106"/>
      <c r="RC475" s="106"/>
      <c r="RD475" s="106"/>
      <c r="RE475" s="106"/>
      <c r="RF475" s="106"/>
      <c r="RG475" s="106"/>
      <c r="RH475" s="106"/>
      <c r="RI475" s="106"/>
      <c r="RJ475" s="106"/>
      <c r="RK475" s="106"/>
      <c r="RL475" s="106"/>
      <c r="RM475" s="106"/>
      <c r="RN475" s="106"/>
      <c r="RO475" s="106"/>
      <c r="RP475" s="106"/>
      <c r="RQ475" s="106"/>
      <c r="RR475" s="106"/>
      <c r="RS475" s="106"/>
      <c r="RT475" s="106"/>
      <c r="RU475" s="106"/>
      <c r="RV475" s="106"/>
      <c r="RW475" s="106"/>
      <c r="RX475" s="106"/>
      <c r="RY475" s="106"/>
      <c r="RZ475" s="106"/>
      <c r="SA475" s="106"/>
      <c r="SB475" s="106"/>
      <c r="SC475" s="106"/>
      <c r="SD475" s="106"/>
      <c r="SE475" s="106"/>
      <c r="SF475" s="106"/>
      <c r="SG475" s="106"/>
      <c r="SH475" s="106"/>
      <c r="SI475" s="106"/>
      <c r="SJ475" s="106"/>
      <c r="SK475" s="106"/>
      <c r="SL475" s="106"/>
      <c r="SM475" s="106"/>
      <c r="SN475" s="106"/>
      <c r="SO475" s="106"/>
      <c r="SP475" s="106"/>
      <c r="SQ475" s="106"/>
      <c r="SR475" s="106"/>
      <c r="SS475" s="106"/>
      <c r="ST475" s="106"/>
      <c r="SU475" s="106"/>
      <c r="SV475" s="106"/>
      <c r="SW475" s="106"/>
      <c r="SX475" s="106"/>
      <c r="SY475" s="106"/>
      <c r="SZ475" s="106"/>
      <c r="TA475" s="106"/>
      <c r="TB475" s="106"/>
      <c r="TC475" s="106"/>
      <c r="TD475" s="106"/>
      <c r="TE475" s="106"/>
      <c r="TF475" s="106"/>
      <c r="TG475" s="106"/>
      <c r="TH475" s="106"/>
      <c r="TI475" s="106"/>
      <c r="TJ475" s="106"/>
      <c r="TK475" s="106"/>
      <c r="TL475" s="106"/>
      <c r="TM475" s="106"/>
      <c r="TN475" s="106"/>
      <c r="TO475" s="106"/>
      <c r="TP475" s="106"/>
      <c r="TQ475" s="106"/>
      <c r="TR475" s="106"/>
      <c r="TS475" s="106"/>
      <c r="TT475" s="106"/>
      <c r="TU475" s="106"/>
      <c r="TV475" s="106"/>
      <c r="TW475" s="106"/>
      <c r="TX475" s="106"/>
      <c r="TY475" s="106"/>
      <c r="TZ475" s="106"/>
      <c r="UA475" s="106"/>
      <c r="UB475" s="106"/>
      <c r="UC475" s="106"/>
      <c r="UD475" s="106"/>
      <c r="UE475" s="106"/>
      <c r="UF475" s="106"/>
      <c r="UG475" s="33"/>
    </row>
    <row r="476" spans="1:553" s="1255" customFormat="1" ht="60" customHeight="1">
      <c r="A476" s="401" t="s">
        <v>15</v>
      </c>
      <c r="B476" s="1226">
        <v>192</v>
      </c>
      <c r="C476" s="1367" t="s">
        <v>1415</v>
      </c>
      <c r="D476" s="1368"/>
      <c r="E476" s="1368"/>
      <c r="F476" s="1369"/>
      <c r="G476" s="501" t="s">
        <v>113</v>
      </c>
      <c r="H476" s="502"/>
      <c r="I476" s="1307">
        <f>1.2/1.8*11</f>
        <v>7.333333333333333</v>
      </c>
      <c r="J476" s="1308">
        <v>292400</v>
      </c>
      <c r="K476" s="1288"/>
      <c r="L476" s="932">
        <f>I476*J476</f>
        <v>2144266.6666666665</v>
      </c>
      <c r="M476" s="1301"/>
      <c r="N476" s="391"/>
      <c r="O476" s="391"/>
      <c r="P476" s="391"/>
      <c r="Q476" s="610"/>
      <c r="R476" s="1226"/>
      <c r="S476" s="308"/>
      <c r="T476" s="303"/>
      <c r="U476" s="306"/>
      <c r="V476" s="307"/>
      <c r="W476" s="307"/>
      <c r="X476" s="307"/>
      <c r="Y476" s="307"/>
      <c r="Z476" s="307"/>
      <c r="AA476" s="307"/>
      <c r="AB476" s="307"/>
      <c r="AC476" s="449"/>
      <c r="AD476" s="449"/>
      <c r="AE476" s="449"/>
      <c r="AF476" s="449"/>
      <c r="AG476" s="449"/>
      <c r="AH476" s="449"/>
      <c r="AI476" s="449"/>
      <c r="AJ476" s="449"/>
      <c r="AK476" s="452"/>
      <c r="AL476" s="104"/>
      <c r="AM476" s="104"/>
      <c r="AN476" s="104"/>
      <c r="AO476" s="104"/>
      <c r="AP476" s="104"/>
      <c r="AQ476" s="104"/>
      <c r="AR476" s="104"/>
      <c r="AS476" s="106"/>
      <c r="AT476" s="106"/>
      <c r="AU476" s="106"/>
      <c r="AV476" s="106"/>
      <c r="AW476" s="106"/>
      <c r="AX476" s="106"/>
      <c r="AY476" s="106"/>
      <c r="AZ476" s="106"/>
      <c r="BA476" s="106"/>
      <c r="BB476" s="106"/>
      <c r="BC476" s="106"/>
      <c r="BD476" s="106"/>
      <c r="BE476" s="106"/>
      <c r="BF476" s="106"/>
      <c r="BG476" s="106"/>
      <c r="BH476" s="106"/>
      <c r="BI476" s="106"/>
      <c r="BJ476" s="106"/>
      <c r="BK476" s="106"/>
      <c r="BL476" s="106"/>
      <c r="BM476" s="106"/>
      <c r="BN476" s="106"/>
      <c r="BO476" s="106"/>
      <c r="BP476" s="106"/>
      <c r="BQ476" s="106"/>
      <c r="BR476" s="106"/>
      <c r="BS476" s="106"/>
      <c r="BT476" s="106"/>
      <c r="BU476" s="106"/>
      <c r="BV476" s="106"/>
      <c r="BW476" s="106"/>
      <c r="BX476" s="106"/>
      <c r="BY476" s="106"/>
      <c r="BZ476" s="106"/>
      <c r="CA476" s="106"/>
      <c r="CB476" s="106"/>
      <c r="CC476" s="106"/>
      <c r="CD476" s="106"/>
      <c r="CE476" s="106"/>
      <c r="CF476" s="106"/>
      <c r="CG476" s="106"/>
      <c r="CH476" s="106"/>
      <c r="CI476" s="106"/>
      <c r="CJ476" s="106"/>
      <c r="CK476" s="106"/>
      <c r="CL476" s="106"/>
      <c r="CM476" s="106"/>
      <c r="CN476" s="106"/>
      <c r="CO476" s="106"/>
      <c r="CP476" s="106"/>
      <c r="CQ476" s="106"/>
      <c r="CR476" s="106"/>
      <c r="CS476" s="106"/>
      <c r="CT476" s="106"/>
      <c r="CU476" s="106"/>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106"/>
      <c r="EM476" s="106"/>
      <c r="EN476" s="106"/>
      <c r="EO476" s="106"/>
      <c r="EP476" s="106"/>
      <c r="EQ476" s="106"/>
      <c r="ER476" s="106"/>
      <c r="ES476" s="106"/>
      <c r="ET476" s="106"/>
      <c r="EU476" s="106"/>
      <c r="EV476" s="106"/>
      <c r="EW476" s="106"/>
      <c r="EX476" s="106"/>
      <c r="EY476" s="106"/>
      <c r="EZ476" s="106"/>
      <c r="FA476" s="106"/>
      <c r="FB476" s="106"/>
      <c r="FC476" s="106"/>
      <c r="FD476" s="106"/>
      <c r="FE476" s="106"/>
      <c r="FF476" s="106"/>
      <c r="FG476" s="106"/>
      <c r="FH476" s="106"/>
      <c r="FI476" s="106"/>
      <c r="FJ476" s="106"/>
      <c r="FK476" s="106"/>
      <c r="FL476" s="106"/>
      <c r="FM476" s="106"/>
      <c r="FN476" s="106"/>
      <c r="FO476" s="106"/>
      <c r="FP476" s="106"/>
      <c r="FQ476" s="106"/>
      <c r="FR476" s="106"/>
      <c r="FS476" s="106"/>
      <c r="FT476" s="106"/>
      <c r="FU476" s="106"/>
      <c r="FV476" s="106"/>
      <c r="FW476" s="106"/>
      <c r="FX476" s="106"/>
      <c r="FY476" s="106"/>
      <c r="FZ476" s="106"/>
      <c r="GA476" s="106"/>
      <c r="GB476" s="106"/>
      <c r="GC476" s="106"/>
      <c r="GD476" s="106"/>
      <c r="GE476" s="106"/>
      <c r="GF476" s="106"/>
      <c r="GG476" s="106"/>
      <c r="GH476" s="106"/>
      <c r="GI476" s="106"/>
      <c r="GJ476" s="106"/>
      <c r="GK476" s="106"/>
      <c r="GL476" s="106"/>
      <c r="GM476" s="106"/>
      <c r="GN476" s="106"/>
      <c r="GO476" s="106"/>
      <c r="GP476" s="106"/>
      <c r="GQ476" s="106"/>
      <c r="GR476" s="106"/>
      <c r="GS476" s="106"/>
      <c r="GT476" s="106"/>
      <c r="GU476" s="106"/>
      <c r="GV476" s="106"/>
      <c r="GW476" s="106"/>
      <c r="GX476" s="106"/>
      <c r="GY476" s="106"/>
      <c r="GZ476" s="106"/>
      <c r="HA476" s="106"/>
      <c r="HB476" s="106"/>
      <c r="HC476" s="106"/>
      <c r="HD476" s="106"/>
      <c r="HE476" s="106"/>
      <c r="HF476" s="106"/>
      <c r="HG476" s="106"/>
      <c r="HH476" s="106"/>
      <c r="HI476" s="106"/>
      <c r="HJ476" s="106"/>
      <c r="HK476" s="106"/>
      <c r="HL476" s="106"/>
      <c r="HM476" s="106"/>
      <c r="HN476" s="106"/>
      <c r="HO476" s="106"/>
      <c r="HP476" s="106"/>
      <c r="HQ476" s="106"/>
      <c r="HR476" s="106"/>
      <c r="HS476" s="106"/>
      <c r="HT476" s="106"/>
      <c r="HU476" s="106"/>
      <c r="HV476" s="106"/>
      <c r="HW476" s="106"/>
      <c r="HX476" s="106"/>
      <c r="HY476" s="106"/>
      <c r="HZ476" s="106"/>
      <c r="IA476" s="106"/>
      <c r="IB476" s="106"/>
      <c r="IC476" s="106"/>
      <c r="ID476" s="106"/>
      <c r="IE476" s="106"/>
      <c r="IF476" s="106"/>
      <c r="IG476" s="106"/>
      <c r="IH476" s="106"/>
      <c r="II476" s="106"/>
      <c r="IJ476" s="106"/>
      <c r="IK476" s="106"/>
      <c r="IL476" s="106"/>
      <c r="IM476" s="106"/>
      <c r="IN476" s="106"/>
      <c r="IO476" s="106"/>
      <c r="IP476" s="106"/>
      <c r="IQ476" s="106"/>
      <c r="IR476" s="106"/>
      <c r="IS476" s="106"/>
      <c r="IT476" s="106"/>
      <c r="IU476" s="106"/>
      <c r="IV476" s="106"/>
      <c r="IW476" s="106"/>
      <c r="IX476" s="106"/>
      <c r="IY476" s="106"/>
      <c r="IZ476" s="106"/>
      <c r="JA476" s="106"/>
      <c r="JB476" s="106"/>
      <c r="JC476" s="106"/>
      <c r="JD476" s="106"/>
      <c r="JE476" s="106"/>
      <c r="JF476" s="106"/>
      <c r="JG476" s="106"/>
      <c r="JH476" s="106"/>
      <c r="JI476" s="106"/>
      <c r="JJ476" s="106"/>
      <c r="JK476" s="106"/>
      <c r="JL476" s="106"/>
      <c r="JM476" s="106"/>
      <c r="JN476" s="106"/>
      <c r="JO476" s="106"/>
      <c r="JP476" s="106"/>
      <c r="JQ476" s="106"/>
      <c r="JR476" s="106"/>
      <c r="JS476" s="106"/>
      <c r="JT476" s="106"/>
      <c r="JU476" s="106"/>
      <c r="JV476" s="106"/>
      <c r="JW476" s="106"/>
      <c r="JX476" s="106"/>
      <c r="JY476" s="106"/>
      <c r="JZ476" s="106"/>
      <c r="KA476" s="106"/>
      <c r="KB476" s="106"/>
      <c r="KC476" s="106"/>
      <c r="KD476" s="106"/>
      <c r="KE476" s="106"/>
      <c r="KF476" s="106"/>
      <c r="KG476" s="106"/>
      <c r="KH476" s="106"/>
      <c r="KI476" s="106"/>
      <c r="KJ476" s="106"/>
      <c r="KK476" s="106"/>
      <c r="KL476" s="106"/>
      <c r="KM476" s="106"/>
      <c r="KN476" s="106"/>
      <c r="KO476" s="106"/>
      <c r="KP476" s="106"/>
      <c r="KQ476" s="106"/>
      <c r="KR476" s="106"/>
      <c r="KS476" s="106"/>
      <c r="KT476" s="106"/>
      <c r="KU476" s="106"/>
      <c r="KV476" s="106"/>
      <c r="KW476" s="106"/>
      <c r="KX476" s="106"/>
      <c r="KY476" s="106"/>
      <c r="KZ476" s="106"/>
      <c r="LA476" s="106"/>
      <c r="LB476" s="106"/>
      <c r="LC476" s="106"/>
      <c r="LD476" s="106"/>
      <c r="LE476" s="106"/>
      <c r="LF476" s="106"/>
      <c r="LG476" s="106"/>
      <c r="LH476" s="106"/>
      <c r="LI476" s="106"/>
      <c r="LJ476" s="106"/>
      <c r="LK476" s="106"/>
      <c r="LL476" s="106"/>
      <c r="LM476" s="106"/>
      <c r="LN476" s="106"/>
      <c r="LO476" s="106"/>
      <c r="LP476" s="106"/>
      <c r="LQ476" s="106"/>
      <c r="LR476" s="106"/>
      <c r="LS476" s="106"/>
      <c r="LT476" s="106"/>
      <c r="LU476" s="106"/>
      <c r="LV476" s="106"/>
      <c r="LW476" s="106"/>
      <c r="LX476" s="106"/>
      <c r="LY476" s="106"/>
      <c r="LZ476" s="106"/>
      <c r="MA476" s="106"/>
      <c r="MB476" s="106"/>
      <c r="MC476" s="106"/>
      <c r="MD476" s="106"/>
      <c r="ME476" s="106"/>
      <c r="MF476" s="106"/>
      <c r="MG476" s="106"/>
      <c r="MH476" s="106"/>
      <c r="MI476" s="106"/>
      <c r="MJ476" s="106"/>
      <c r="MK476" s="106"/>
      <c r="ML476" s="106"/>
      <c r="MM476" s="106"/>
      <c r="MN476" s="106"/>
      <c r="MO476" s="106"/>
      <c r="MP476" s="106"/>
      <c r="MQ476" s="106"/>
      <c r="MR476" s="106"/>
      <c r="MS476" s="106"/>
      <c r="MT476" s="106"/>
      <c r="MU476" s="106"/>
      <c r="MV476" s="106"/>
      <c r="MW476" s="106"/>
      <c r="MX476" s="106"/>
      <c r="MY476" s="106"/>
      <c r="MZ476" s="106"/>
      <c r="NA476" s="106"/>
      <c r="NB476" s="106"/>
      <c r="NC476" s="106"/>
      <c r="ND476" s="106"/>
      <c r="NE476" s="106"/>
      <c r="NF476" s="106"/>
      <c r="NG476" s="106"/>
      <c r="NH476" s="106"/>
      <c r="NI476" s="106"/>
      <c r="NJ476" s="106"/>
      <c r="NK476" s="106"/>
      <c r="NL476" s="106"/>
      <c r="NM476" s="106"/>
      <c r="NN476" s="106"/>
      <c r="NO476" s="106"/>
      <c r="NP476" s="106"/>
      <c r="NQ476" s="106"/>
      <c r="NR476" s="106"/>
      <c r="NS476" s="106"/>
      <c r="NT476" s="106"/>
      <c r="NU476" s="106"/>
      <c r="NV476" s="106"/>
      <c r="NW476" s="106"/>
      <c r="NX476" s="106"/>
      <c r="NY476" s="106"/>
      <c r="NZ476" s="106"/>
      <c r="OA476" s="106"/>
      <c r="OB476" s="106"/>
      <c r="OC476" s="106"/>
      <c r="OD476" s="106"/>
      <c r="OE476" s="106"/>
      <c r="OF476" s="106"/>
      <c r="OG476" s="106"/>
      <c r="OH476" s="106"/>
      <c r="OI476" s="106"/>
      <c r="OJ476" s="106"/>
      <c r="OK476" s="106"/>
      <c r="OL476" s="106"/>
      <c r="OM476" s="106"/>
      <c r="ON476" s="106"/>
      <c r="OO476" s="106"/>
      <c r="OP476" s="106"/>
      <c r="OQ476" s="106"/>
      <c r="OR476" s="106"/>
      <c r="OS476" s="106"/>
      <c r="OT476" s="106"/>
      <c r="OU476" s="106"/>
      <c r="OV476" s="106"/>
      <c r="OW476" s="106"/>
      <c r="OX476" s="106"/>
      <c r="OY476" s="106"/>
      <c r="OZ476" s="106"/>
      <c r="PA476" s="106"/>
      <c r="PB476" s="106"/>
      <c r="PC476" s="106"/>
      <c r="PD476" s="106"/>
      <c r="PE476" s="106"/>
      <c r="PF476" s="106"/>
      <c r="PG476" s="106"/>
      <c r="PH476" s="106"/>
      <c r="PI476" s="106"/>
      <c r="PJ476" s="106"/>
      <c r="PK476" s="106"/>
      <c r="PL476" s="106"/>
      <c r="PM476" s="106"/>
      <c r="PN476" s="106"/>
      <c r="PO476" s="106"/>
      <c r="PP476" s="106"/>
      <c r="PQ476" s="106"/>
      <c r="PR476" s="106"/>
      <c r="PS476" s="106"/>
      <c r="PT476" s="106"/>
      <c r="PU476" s="106"/>
      <c r="PV476" s="106"/>
      <c r="PW476" s="106"/>
      <c r="PX476" s="106"/>
      <c r="PY476" s="106"/>
      <c r="PZ476" s="106"/>
      <c r="QA476" s="106"/>
      <c r="QB476" s="106"/>
      <c r="QC476" s="106"/>
      <c r="QD476" s="106"/>
      <c r="QE476" s="106"/>
      <c r="QF476" s="106"/>
      <c r="QG476" s="106"/>
      <c r="QH476" s="106"/>
      <c r="QI476" s="106"/>
      <c r="QJ476" s="106"/>
      <c r="QK476" s="106"/>
      <c r="QL476" s="106"/>
      <c r="QM476" s="106"/>
      <c r="QN476" s="106"/>
      <c r="QO476" s="106"/>
      <c r="QP476" s="106"/>
      <c r="QQ476" s="106"/>
      <c r="QR476" s="106"/>
      <c r="QS476" s="106"/>
      <c r="QT476" s="106"/>
      <c r="QU476" s="106"/>
      <c r="QV476" s="106"/>
      <c r="QW476" s="106"/>
      <c r="QX476" s="106"/>
      <c r="QY476" s="106"/>
      <c r="QZ476" s="106"/>
      <c r="RA476" s="106"/>
      <c r="RB476" s="106"/>
      <c r="RC476" s="106"/>
      <c r="RD476" s="106"/>
      <c r="RE476" s="106"/>
      <c r="RF476" s="106"/>
      <c r="RG476" s="106"/>
      <c r="RH476" s="106"/>
      <c r="RI476" s="106"/>
      <c r="RJ476" s="106"/>
      <c r="RK476" s="106"/>
      <c r="RL476" s="106"/>
      <c r="RM476" s="106"/>
      <c r="RN476" s="106"/>
      <c r="RO476" s="106"/>
      <c r="RP476" s="106"/>
      <c r="RQ476" s="106"/>
      <c r="RR476" s="106"/>
      <c r="RS476" s="106"/>
      <c r="RT476" s="106"/>
      <c r="RU476" s="106"/>
      <c r="RV476" s="106"/>
      <c r="RW476" s="106"/>
      <c r="RX476" s="106"/>
      <c r="RY476" s="106"/>
      <c r="RZ476" s="106"/>
      <c r="SA476" s="106"/>
      <c r="SB476" s="106"/>
      <c r="SC476" s="106"/>
      <c r="SD476" s="106"/>
      <c r="SE476" s="106"/>
      <c r="SF476" s="106"/>
      <c r="SG476" s="106"/>
      <c r="SH476" s="106"/>
      <c r="SI476" s="106"/>
      <c r="SJ476" s="106"/>
      <c r="SK476" s="106"/>
      <c r="SL476" s="106"/>
      <c r="SM476" s="106"/>
      <c r="SN476" s="106"/>
      <c r="SO476" s="106"/>
      <c r="SP476" s="106"/>
      <c r="SQ476" s="106"/>
      <c r="SR476" s="106"/>
      <c r="SS476" s="106"/>
      <c r="ST476" s="106"/>
      <c r="SU476" s="106"/>
      <c r="SV476" s="106"/>
      <c r="SW476" s="106"/>
      <c r="SX476" s="106"/>
      <c r="SY476" s="106"/>
      <c r="SZ476" s="106"/>
      <c r="TA476" s="106"/>
      <c r="TB476" s="106"/>
      <c r="TC476" s="106"/>
      <c r="TD476" s="106"/>
      <c r="TE476" s="106"/>
      <c r="TF476" s="106"/>
      <c r="TG476" s="106"/>
      <c r="TH476" s="106"/>
      <c r="TI476" s="106"/>
      <c r="TJ476" s="106"/>
      <c r="TK476" s="106"/>
      <c r="TL476" s="106"/>
      <c r="TM476" s="106"/>
      <c r="TN476" s="106"/>
      <c r="TO476" s="106"/>
      <c r="TP476" s="106"/>
      <c r="TQ476" s="106"/>
      <c r="TR476" s="106"/>
      <c r="TS476" s="106"/>
      <c r="TT476" s="106"/>
      <c r="TU476" s="106"/>
      <c r="TV476" s="106"/>
      <c r="TW476" s="106"/>
      <c r="TX476" s="106"/>
      <c r="TY476" s="106"/>
      <c r="TZ476" s="106"/>
      <c r="UA476" s="106"/>
      <c r="UB476" s="106"/>
      <c r="UC476" s="106"/>
      <c r="UD476" s="106"/>
      <c r="UE476" s="106"/>
      <c r="UF476" s="106"/>
      <c r="UG476" s="33"/>
    </row>
    <row r="477" spans="1:553" ht="30.75" customHeight="1">
      <c r="A477" s="414" t="s">
        <v>15</v>
      </c>
      <c r="B477" s="1010"/>
      <c r="C477" s="1412" t="s">
        <v>366</v>
      </c>
      <c r="D477" s="1412"/>
      <c r="E477" s="530">
        <v>2</v>
      </c>
      <c r="F477" s="530">
        <v>436</v>
      </c>
      <c r="G477" s="588" t="s">
        <v>113</v>
      </c>
      <c r="H477" s="504"/>
      <c r="I477" s="1303">
        <v>70</v>
      </c>
      <c r="J477" s="1304">
        <v>358700</v>
      </c>
      <c r="K477" s="1305"/>
      <c r="L477" s="1306">
        <f>PRODUCT(I477:K477)</f>
        <v>25109000</v>
      </c>
      <c r="M477" s="391"/>
      <c r="N477" s="391"/>
      <c r="O477" s="391"/>
      <c r="P477" s="391"/>
      <c r="Q477" s="610"/>
      <c r="R477" s="1226"/>
      <c r="S477" s="308"/>
      <c r="T477" s="303"/>
      <c r="U477" s="306"/>
      <c r="V477" s="307"/>
      <c r="W477" s="307"/>
      <c r="X477" s="307"/>
      <c r="Y477" s="307"/>
      <c r="Z477" s="307"/>
      <c r="AA477" s="307"/>
      <c r="AB477" s="307"/>
      <c r="AC477" s="449"/>
      <c r="AD477" s="449"/>
      <c r="AE477" s="449"/>
      <c r="AF477" s="449"/>
      <c r="AG477" s="449"/>
      <c r="AH477" s="449"/>
      <c r="AI477" s="449"/>
      <c r="AJ477" s="449"/>
      <c r="AK477" s="452"/>
      <c r="AL477" s="104"/>
      <c r="AM477" s="32"/>
      <c r="AN477" s="32"/>
      <c r="AO477" s="32"/>
      <c r="AP477" s="32"/>
      <c r="AQ477" s="32"/>
      <c r="AR477" s="32"/>
      <c r="AS477" s="31"/>
      <c r="AT477" s="31"/>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c r="CT477" s="31"/>
      <c r="CU477" s="31"/>
      <c r="CV477" s="31"/>
      <c r="CW477" s="31"/>
      <c r="CX477" s="31"/>
      <c r="CY477" s="31"/>
      <c r="CZ477" s="31"/>
      <c r="DA477" s="31"/>
      <c r="DB477" s="31"/>
      <c r="DC477" s="31"/>
      <c r="DD477" s="31"/>
      <c r="DE477" s="31"/>
      <c r="DF477" s="31"/>
      <c r="DG477" s="31"/>
      <c r="DH477" s="31"/>
      <c r="DI477" s="31"/>
      <c r="DJ477" s="31"/>
      <c r="DK477" s="31"/>
      <c r="DL477" s="31"/>
      <c r="DM477" s="31"/>
      <c r="DN477" s="31"/>
      <c r="DO477" s="31"/>
      <c r="DP477" s="31"/>
      <c r="DQ477" s="31"/>
      <c r="DR477" s="31"/>
      <c r="DS477" s="31"/>
      <c r="DT477" s="31"/>
      <c r="DU477" s="31"/>
      <c r="DV477" s="31"/>
      <c r="DW477" s="31"/>
      <c r="DX477" s="31"/>
      <c r="DY477" s="31"/>
      <c r="DZ477" s="31"/>
      <c r="EA477" s="31"/>
      <c r="EB477" s="31"/>
      <c r="EC477" s="31"/>
      <c r="ED477" s="31"/>
      <c r="EE477" s="31"/>
      <c r="EF477" s="31"/>
      <c r="EG477" s="31"/>
      <c r="EH477" s="31"/>
      <c r="EI477" s="31"/>
      <c r="EJ477" s="31"/>
      <c r="EK477" s="31"/>
      <c r="EL477" s="31"/>
      <c r="EM477" s="31"/>
      <c r="EN477" s="31"/>
      <c r="EO477" s="31"/>
      <c r="EP477" s="31"/>
      <c r="EQ477" s="31"/>
      <c r="ER477" s="31"/>
      <c r="ES477" s="31"/>
      <c r="ET477" s="31"/>
      <c r="EU477" s="31"/>
      <c r="EV477" s="31"/>
      <c r="EW477" s="31"/>
      <c r="EX477" s="31"/>
      <c r="EY477" s="31"/>
      <c r="EZ477" s="31"/>
      <c r="FA477" s="31"/>
      <c r="FB477" s="31"/>
      <c r="FC477" s="31"/>
      <c r="FD477" s="31"/>
      <c r="FE477" s="31"/>
      <c r="FF477" s="31"/>
      <c r="FG477" s="31"/>
      <c r="FH477" s="31"/>
      <c r="FI477" s="31"/>
      <c r="FJ477" s="31"/>
      <c r="FK477" s="31"/>
      <c r="FL477" s="31"/>
      <c r="FM477" s="31"/>
      <c r="FN477" s="31"/>
      <c r="FO477" s="31"/>
      <c r="FP477" s="31"/>
      <c r="FQ477" s="31"/>
      <c r="FR477" s="31"/>
      <c r="FS477" s="31"/>
      <c r="FT477" s="31"/>
      <c r="FU477" s="31"/>
      <c r="FV477" s="31"/>
      <c r="FW477" s="31"/>
      <c r="FX477" s="31"/>
      <c r="FY477" s="31"/>
      <c r="FZ477" s="31"/>
      <c r="GA477" s="31"/>
      <c r="GB477" s="31"/>
      <c r="GC477" s="31"/>
      <c r="GD477" s="31"/>
      <c r="GE477" s="31"/>
      <c r="GF477" s="31"/>
      <c r="GG477" s="31"/>
      <c r="GH477" s="31"/>
      <c r="GI477" s="31"/>
      <c r="GJ477" s="31"/>
      <c r="GK477" s="31"/>
      <c r="GL477" s="31"/>
      <c r="GM477" s="31"/>
      <c r="GN477" s="31"/>
      <c r="GO477" s="31"/>
      <c r="GP477" s="31"/>
      <c r="GQ477" s="31"/>
      <c r="GR477" s="31"/>
      <c r="GS477" s="31"/>
      <c r="GT477" s="31"/>
      <c r="GU477" s="31"/>
      <c r="GV477" s="31"/>
      <c r="GW477" s="31"/>
      <c r="GX477" s="31"/>
      <c r="GY477" s="31"/>
      <c r="GZ477" s="31"/>
      <c r="HA477" s="31"/>
      <c r="HB477" s="31"/>
      <c r="HC477" s="31"/>
      <c r="HD477" s="31"/>
      <c r="HE477" s="31"/>
      <c r="HF477" s="31"/>
      <c r="HG477" s="31"/>
      <c r="HH477" s="31"/>
      <c r="HI477" s="31"/>
      <c r="HJ477" s="31"/>
      <c r="HK477" s="31"/>
      <c r="HL477" s="31"/>
      <c r="HM477" s="31"/>
      <c r="HN477" s="31"/>
      <c r="HO477" s="31"/>
      <c r="HP477" s="31"/>
      <c r="HQ477" s="31"/>
      <c r="HR477" s="31"/>
      <c r="HS477" s="31"/>
      <c r="HT477" s="31"/>
      <c r="HU477" s="31"/>
      <c r="HV477" s="31"/>
      <c r="HW477" s="31"/>
      <c r="HX477" s="31"/>
      <c r="HY477" s="31"/>
      <c r="HZ477" s="31"/>
      <c r="IA477" s="31"/>
      <c r="IB477" s="31"/>
      <c r="IC477" s="31"/>
      <c r="ID477" s="31"/>
      <c r="IE477" s="31"/>
      <c r="IF477" s="31"/>
      <c r="IG477" s="31"/>
      <c r="IH477" s="31"/>
      <c r="II477" s="31"/>
      <c r="IJ477" s="31"/>
      <c r="IK477" s="31"/>
      <c r="IL477" s="31"/>
      <c r="IM477" s="31"/>
      <c r="IN477" s="31"/>
      <c r="IO477" s="31"/>
      <c r="IP477" s="31"/>
      <c r="IQ477" s="31"/>
      <c r="IR477" s="31"/>
      <c r="IS477" s="31"/>
      <c r="IT477" s="31"/>
      <c r="IU477" s="31"/>
      <c r="IV477" s="31"/>
      <c r="IW477" s="31"/>
      <c r="IX477" s="31"/>
      <c r="IY477" s="31"/>
      <c r="IZ477" s="31"/>
      <c r="JA477" s="31"/>
      <c r="JB477" s="31"/>
      <c r="JC477" s="31"/>
      <c r="JD477" s="31"/>
      <c r="JE477" s="31"/>
      <c r="JF477" s="31"/>
      <c r="JG477" s="31"/>
      <c r="JH477" s="31"/>
      <c r="JI477" s="31"/>
      <c r="JJ477" s="31"/>
      <c r="JK477" s="31"/>
      <c r="JL477" s="31"/>
      <c r="JM477" s="31"/>
      <c r="JN477" s="31"/>
      <c r="JO477" s="31"/>
      <c r="JP477" s="31"/>
      <c r="JQ477" s="31"/>
      <c r="JR477" s="31"/>
      <c r="JS477" s="31"/>
      <c r="JT477" s="31"/>
      <c r="JU477" s="31"/>
      <c r="JV477" s="31"/>
      <c r="JW477" s="31"/>
      <c r="JX477" s="31"/>
      <c r="JY477" s="31"/>
      <c r="JZ477" s="31"/>
      <c r="KA477" s="31"/>
      <c r="KB477" s="31"/>
      <c r="KC477" s="31"/>
      <c r="KD477" s="31"/>
      <c r="KE477" s="31"/>
      <c r="KF477" s="31"/>
      <c r="KG477" s="31"/>
      <c r="KH477" s="31"/>
      <c r="KI477" s="31"/>
      <c r="KJ477" s="31"/>
      <c r="KK477" s="31"/>
      <c r="KL477" s="31"/>
      <c r="KM477" s="31"/>
      <c r="KN477" s="31"/>
      <c r="KO477" s="31"/>
      <c r="KP477" s="31"/>
      <c r="KQ477" s="31"/>
      <c r="KR477" s="31"/>
      <c r="KS477" s="31"/>
      <c r="KT477" s="31"/>
      <c r="KU477" s="31"/>
      <c r="KV477" s="31"/>
      <c r="KW477" s="31"/>
      <c r="KX477" s="31"/>
      <c r="KY477" s="31"/>
      <c r="KZ477" s="31"/>
      <c r="LA477" s="31"/>
      <c r="LB477" s="31"/>
      <c r="LC477" s="31"/>
      <c r="LD477" s="31"/>
      <c r="LE477" s="31"/>
      <c r="LF477" s="31"/>
      <c r="LG477" s="31"/>
      <c r="LH477" s="31"/>
      <c r="LI477" s="31"/>
      <c r="LJ477" s="31"/>
      <c r="LK477" s="31"/>
      <c r="LL477" s="31"/>
      <c r="LM477" s="31"/>
      <c r="LN477" s="31"/>
      <c r="LO477" s="31"/>
      <c r="LP477" s="31"/>
      <c r="LQ477" s="31"/>
      <c r="LR477" s="31"/>
      <c r="LS477" s="31"/>
      <c r="LT477" s="31"/>
      <c r="LU477" s="31"/>
      <c r="LV477" s="31"/>
      <c r="LW477" s="31"/>
      <c r="LX477" s="31"/>
      <c r="LY477" s="31"/>
      <c r="LZ477" s="31"/>
      <c r="MA477" s="31"/>
      <c r="MB477" s="31"/>
      <c r="MC477" s="31"/>
      <c r="MD477" s="31"/>
      <c r="ME477" s="31"/>
      <c r="MF477" s="31"/>
      <c r="MG477" s="31"/>
      <c r="MH477" s="31"/>
      <c r="MI477" s="31"/>
      <c r="MJ477" s="31"/>
      <c r="MK477" s="31"/>
      <c r="ML477" s="31"/>
      <c r="MM477" s="31"/>
      <c r="MN477" s="31"/>
      <c r="MO477" s="31"/>
      <c r="MP477" s="31"/>
      <c r="MQ477" s="31"/>
      <c r="MR477" s="31"/>
      <c r="MS477" s="31"/>
      <c r="MT477" s="31"/>
      <c r="MU477" s="31"/>
      <c r="MV477" s="31"/>
      <c r="MW477" s="31"/>
      <c r="MX477" s="31"/>
      <c r="MY477" s="31"/>
      <c r="MZ477" s="31"/>
      <c r="NA477" s="31"/>
      <c r="NB477" s="31"/>
      <c r="NC477" s="31"/>
      <c r="ND477" s="31"/>
      <c r="NE477" s="31"/>
      <c r="NF477" s="31"/>
      <c r="NG477" s="31"/>
      <c r="NH477" s="31"/>
      <c r="NI477" s="31"/>
      <c r="NJ477" s="31"/>
      <c r="NK477" s="31"/>
      <c r="NL477" s="31"/>
      <c r="NM477" s="31"/>
      <c r="NN477" s="31"/>
      <c r="NO477" s="31"/>
      <c r="NP477" s="31"/>
      <c r="NQ477" s="31"/>
      <c r="NR477" s="31"/>
      <c r="NS477" s="31"/>
      <c r="NT477" s="31"/>
      <c r="NU477" s="31"/>
      <c r="NV477" s="31"/>
      <c r="NW477" s="31"/>
      <c r="NX477" s="31"/>
      <c r="NY477" s="31"/>
      <c r="NZ477" s="31"/>
      <c r="OA477" s="31"/>
      <c r="OB477" s="31"/>
      <c r="OC477" s="31"/>
      <c r="OD477" s="31"/>
      <c r="OE477" s="31"/>
      <c r="OF477" s="31"/>
      <c r="OG477" s="31"/>
      <c r="OH477" s="31"/>
      <c r="OI477" s="31"/>
      <c r="OJ477" s="31"/>
      <c r="OK477" s="31"/>
      <c r="OL477" s="31"/>
      <c r="OM477" s="31"/>
      <c r="ON477" s="31"/>
      <c r="OO477" s="31"/>
      <c r="OP477" s="31"/>
      <c r="OQ477" s="31"/>
      <c r="OR477" s="31"/>
      <c r="OS477" s="31"/>
      <c r="OT477" s="31"/>
      <c r="OU477" s="31"/>
      <c r="OV477" s="31"/>
      <c r="OW477" s="31"/>
      <c r="OX477" s="31"/>
      <c r="OY477" s="31"/>
      <c r="OZ477" s="31"/>
      <c r="PA477" s="31"/>
      <c r="PB477" s="31"/>
      <c r="PC477" s="31"/>
      <c r="PD477" s="31"/>
      <c r="PE477" s="31"/>
      <c r="PF477" s="31"/>
      <c r="PG477" s="31"/>
      <c r="PH477" s="31"/>
      <c r="PI477" s="31"/>
      <c r="PJ477" s="31"/>
      <c r="PK477" s="31"/>
      <c r="PL477" s="31"/>
      <c r="PM477" s="31"/>
      <c r="PN477" s="31"/>
      <c r="PO477" s="31"/>
      <c r="PP477" s="31"/>
      <c r="PQ477" s="31"/>
      <c r="PR477" s="31"/>
      <c r="PS477" s="31"/>
      <c r="PT477" s="31"/>
      <c r="PU477" s="31"/>
      <c r="PV477" s="31"/>
      <c r="PW477" s="31"/>
      <c r="PX477" s="31"/>
      <c r="PY477" s="31"/>
      <c r="PZ477" s="31"/>
      <c r="QA477" s="31"/>
      <c r="QB477" s="31"/>
      <c r="QC477" s="31"/>
      <c r="QD477" s="31"/>
      <c r="QE477" s="31"/>
      <c r="QF477" s="31"/>
      <c r="QG477" s="31"/>
      <c r="QH477" s="31"/>
      <c r="QI477" s="31"/>
      <c r="QJ477" s="31"/>
      <c r="QK477" s="31"/>
      <c r="QL477" s="31"/>
      <c r="QM477" s="31"/>
      <c r="QN477" s="31"/>
      <c r="QO477" s="31"/>
      <c r="QP477" s="31"/>
      <c r="QQ477" s="31"/>
      <c r="QR477" s="31"/>
      <c r="QS477" s="31"/>
      <c r="QT477" s="31"/>
      <c r="QU477" s="31"/>
      <c r="QV477" s="31"/>
      <c r="QW477" s="31"/>
      <c r="QX477" s="31"/>
      <c r="QY477" s="31"/>
      <c r="QZ477" s="31"/>
      <c r="RA477" s="31"/>
      <c r="RB477" s="31"/>
      <c r="RC477" s="31"/>
      <c r="RD477" s="31"/>
      <c r="RE477" s="31"/>
      <c r="RF477" s="31"/>
      <c r="RG477" s="31"/>
      <c r="RH477" s="31"/>
      <c r="RI477" s="31"/>
      <c r="RJ477" s="31"/>
      <c r="RK477" s="31"/>
      <c r="RL477" s="31"/>
      <c r="RM477" s="31"/>
      <c r="RN477" s="31"/>
      <c r="RO477" s="31"/>
      <c r="RP477" s="31"/>
      <c r="RQ477" s="31"/>
      <c r="RR477" s="31"/>
      <c r="RS477" s="31"/>
      <c r="RT477" s="31"/>
      <c r="RU477" s="31"/>
      <c r="RV477" s="31"/>
      <c r="RW477" s="31"/>
      <c r="RX477" s="31"/>
      <c r="RY477" s="31"/>
      <c r="RZ477" s="31"/>
      <c r="SA477" s="31"/>
      <c r="SB477" s="31"/>
      <c r="SC477" s="31"/>
      <c r="SD477" s="31"/>
      <c r="SE477" s="31"/>
      <c r="SF477" s="31"/>
      <c r="SG477" s="31"/>
      <c r="SH477" s="31"/>
      <c r="SI477" s="31"/>
      <c r="SJ477" s="31"/>
      <c r="SK477" s="31"/>
      <c r="SL477" s="31"/>
      <c r="SM477" s="31"/>
      <c r="SN477" s="31"/>
      <c r="SO477" s="31"/>
      <c r="SP477" s="31"/>
      <c r="SQ477" s="31"/>
      <c r="SR477" s="31"/>
      <c r="SS477" s="31"/>
      <c r="ST477" s="31"/>
      <c r="SU477" s="31"/>
      <c r="SV477" s="31"/>
      <c r="SW477" s="31"/>
      <c r="SX477" s="31"/>
      <c r="SY477" s="31"/>
      <c r="SZ477" s="31"/>
      <c r="TA477" s="31"/>
      <c r="TB477" s="31"/>
      <c r="TC477" s="31"/>
      <c r="TD477" s="31"/>
      <c r="TE477" s="31"/>
      <c r="TF477" s="31"/>
      <c r="TG477" s="31"/>
      <c r="TH477" s="31"/>
      <c r="TI477" s="31"/>
      <c r="TJ477" s="31"/>
      <c r="TK477" s="31"/>
      <c r="TL477" s="31"/>
      <c r="TM477" s="31"/>
      <c r="TN477" s="31"/>
      <c r="TO477" s="31"/>
      <c r="TP477" s="31"/>
      <c r="TQ477" s="31"/>
      <c r="TR477" s="31"/>
      <c r="TS477" s="31"/>
      <c r="TT477" s="31"/>
      <c r="TU477" s="31"/>
      <c r="TV477" s="31"/>
      <c r="TW477" s="31"/>
      <c r="TX477" s="31"/>
      <c r="TY477" s="31"/>
      <c r="TZ477" s="31"/>
      <c r="UA477" s="31"/>
      <c r="UB477" s="31"/>
      <c r="UC477" s="31"/>
      <c r="UD477" s="31"/>
      <c r="UE477" s="31"/>
      <c r="UF477" s="31"/>
      <c r="UG477" s="33"/>
    </row>
    <row r="478" spans="1:553" ht="30.75" customHeight="1">
      <c r="A478" s="356" t="s">
        <v>43</v>
      </c>
      <c r="B478" s="356"/>
      <c r="C478" s="1514" t="s">
        <v>44</v>
      </c>
      <c r="D478" s="1461"/>
      <c r="E478" s="1461"/>
      <c r="F478" s="1462"/>
      <c r="G478" s="366"/>
      <c r="H478" s="370"/>
      <c r="I478" s="370"/>
      <c r="J478" s="368"/>
      <c r="K478" s="371"/>
      <c r="L478" s="356">
        <f>SUM(L479:L532)</f>
        <v>192656518.919</v>
      </c>
      <c r="M478" s="356"/>
      <c r="N478" s="356"/>
      <c r="O478" s="356"/>
      <c r="P478" s="356">
        <f>L478</f>
        <v>192656518.919</v>
      </c>
      <c r="Q478" s="610"/>
      <c r="R478" s="1447" t="s">
        <v>45</v>
      </c>
      <c r="S478" s="308"/>
      <c r="T478" s="303"/>
      <c r="U478" s="306"/>
      <c r="V478" s="307"/>
      <c r="W478" s="307"/>
      <c r="X478" s="307"/>
      <c r="Y478" s="307"/>
      <c r="Z478" s="307"/>
      <c r="AA478" s="307"/>
      <c r="AB478" s="307"/>
      <c r="AC478" s="449"/>
      <c r="AD478" s="449"/>
      <c r="AE478" s="449"/>
      <c r="AF478" s="449"/>
      <c r="AG478" s="449"/>
      <c r="AH478" s="449"/>
      <c r="AI478" s="449"/>
      <c r="AJ478" s="449"/>
      <c r="AK478" s="452"/>
      <c r="AL478" s="104"/>
      <c r="AM478" s="32"/>
      <c r="AN478" s="32"/>
      <c r="AO478" s="32"/>
      <c r="AP478" s="32"/>
      <c r="AQ478" s="32"/>
      <c r="AR478" s="32"/>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25"/>
      <c r="BQ478" s="25"/>
      <c r="BR478" s="25"/>
      <c r="BS478" s="25"/>
      <c r="BT478" s="25"/>
      <c r="BU478" s="25"/>
      <c r="BV478" s="25"/>
      <c r="BW478" s="25"/>
      <c r="BX478" s="25"/>
      <c r="BY478" s="25"/>
      <c r="BZ478" s="25"/>
      <c r="CA478" s="25"/>
      <c r="CB478" s="25"/>
      <c r="CC478" s="25"/>
      <c r="CD478" s="25"/>
      <c r="CE478" s="25"/>
      <c r="CF478" s="25"/>
      <c r="CG478" s="25"/>
      <c r="CH478" s="25"/>
      <c r="CI478" s="25"/>
      <c r="CJ478" s="25"/>
      <c r="CK478" s="25"/>
      <c r="CL478" s="25"/>
      <c r="CM478" s="25"/>
      <c r="CN478" s="25"/>
      <c r="CO478" s="25"/>
      <c r="CP478" s="25"/>
      <c r="CQ478" s="25"/>
      <c r="CR478" s="25"/>
      <c r="CS478" s="25"/>
      <c r="CT478" s="25"/>
      <c r="CU478" s="25"/>
      <c r="CV478" s="25"/>
      <c r="CW478" s="25"/>
      <c r="CX478" s="25"/>
      <c r="CY478" s="25"/>
      <c r="CZ478" s="25"/>
      <c r="DA478" s="25"/>
      <c r="DB478" s="25"/>
      <c r="DC478" s="25"/>
      <c r="DD478" s="25"/>
      <c r="DE478" s="25"/>
      <c r="DF478" s="25"/>
      <c r="DG478" s="25"/>
      <c r="DH478" s="25"/>
      <c r="DI478" s="25"/>
      <c r="DJ478" s="25"/>
      <c r="DK478" s="25"/>
      <c r="DL478" s="25"/>
      <c r="DM478" s="25"/>
      <c r="DN478" s="25"/>
      <c r="DO478" s="25"/>
      <c r="DP478" s="25"/>
      <c r="DQ478" s="25"/>
      <c r="DR478" s="25"/>
      <c r="DS478" s="25"/>
      <c r="DT478" s="25"/>
      <c r="DU478" s="25"/>
      <c r="DV478" s="25"/>
      <c r="DW478" s="25"/>
      <c r="DX478" s="25"/>
      <c r="DY478" s="25"/>
      <c r="DZ478" s="25"/>
      <c r="EA478" s="25"/>
      <c r="EB478" s="25"/>
      <c r="EC478" s="25"/>
      <c r="ED478" s="25"/>
      <c r="EE478" s="25"/>
      <c r="EF478" s="25"/>
      <c r="EG478" s="25"/>
      <c r="EH478" s="25"/>
      <c r="EI478" s="25"/>
      <c r="EJ478" s="25"/>
      <c r="EK478" s="25"/>
      <c r="EL478" s="25"/>
      <c r="EM478" s="25"/>
      <c r="EN478" s="25"/>
      <c r="EO478" s="25"/>
      <c r="EP478" s="25"/>
      <c r="EQ478" s="25"/>
      <c r="ER478" s="25"/>
      <c r="ES478" s="25"/>
      <c r="ET478" s="25"/>
      <c r="EU478" s="25"/>
      <c r="EV478" s="25"/>
      <c r="EW478" s="25"/>
      <c r="EX478" s="25"/>
      <c r="EY478" s="25"/>
      <c r="EZ478" s="25"/>
      <c r="FA478" s="25"/>
      <c r="FB478" s="25"/>
      <c r="FC478" s="25"/>
      <c r="FD478" s="25"/>
      <c r="FE478" s="25"/>
      <c r="FF478" s="25"/>
      <c r="FG478" s="25"/>
      <c r="FH478" s="25"/>
      <c r="FI478" s="25"/>
      <c r="FJ478" s="25"/>
      <c r="FK478" s="25"/>
      <c r="FL478" s="25"/>
      <c r="FM478" s="25"/>
      <c r="FN478" s="25"/>
      <c r="FO478" s="25"/>
      <c r="FP478" s="25"/>
      <c r="FQ478" s="25"/>
      <c r="FR478" s="25"/>
      <c r="FS478" s="25"/>
      <c r="FT478" s="25"/>
      <c r="FU478" s="25"/>
      <c r="FV478" s="25"/>
      <c r="FW478" s="25"/>
      <c r="FX478" s="25"/>
      <c r="FY478" s="25"/>
      <c r="FZ478" s="25"/>
      <c r="GA478" s="25"/>
      <c r="GB478" s="25"/>
      <c r="GC478" s="25"/>
      <c r="GD478" s="25"/>
      <c r="GE478" s="25"/>
      <c r="GF478" s="25"/>
      <c r="GG478" s="25"/>
      <c r="GH478" s="25"/>
      <c r="GI478" s="25"/>
      <c r="GJ478" s="25"/>
      <c r="GK478" s="25"/>
      <c r="GL478" s="25"/>
      <c r="GM478" s="25"/>
      <c r="GN478" s="25"/>
      <c r="GO478" s="25"/>
      <c r="GP478" s="25"/>
      <c r="GQ478" s="25"/>
      <c r="GR478" s="25"/>
      <c r="GS478" s="25"/>
      <c r="GT478" s="25"/>
      <c r="GU478" s="25"/>
      <c r="GV478" s="25"/>
      <c r="GW478" s="25"/>
      <c r="GX478" s="25"/>
      <c r="GY478" s="25"/>
      <c r="GZ478" s="25"/>
      <c r="HA478" s="25"/>
      <c r="HB478" s="25"/>
      <c r="HC478" s="25"/>
      <c r="HD478" s="25"/>
      <c r="HE478" s="25"/>
      <c r="HF478" s="25"/>
      <c r="HG478" s="25"/>
      <c r="HH478" s="25"/>
      <c r="HI478" s="25"/>
      <c r="HJ478" s="25"/>
      <c r="HK478" s="25"/>
      <c r="HL478" s="25"/>
      <c r="HM478" s="25"/>
      <c r="HN478" s="25"/>
      <c r="HO478" s="25"/>
      <c r="HP478" s="25"/>
      <c r="HQ478" s="25"/>
      <c r="HR478" s="25"/>
      <c r="HS478" s="25"/>
      <c r="HT478" s="25"/>
      <c r="HU478" s="25"/>
      <c r="HV478" s="25"/>
      <c r="HW478" s="25"/>
      <c r="HX478" s="25"/>
      <c r="HY478" s="25"/>
      <c r="HZ478" s="25"/>
      <c r="IA478" s="25"/>
      <c r="IB478" s="25"/>
      <c r="IC478" s="25"/>
      <c r="ID478" s="25"/>
      <c r="IE478" s="25"/>
      <c r="IF478" s="25"/>
      <c r="IG478" s="25"/>
      <c r="IH478" s="25"/>
      <c r="II478" s="25"/>
      <c r="IJ478" s="25"/>
      <c r="IK478" s="25"/>
      <c r="IL478" s="25"/>
      <c r="IM478" s="25"/>
      <c r="IN478" s="25"/>
      <c r="IO478" s="25"/>
      <c r="IP478" s="25"/>
      <c r="IQ478" s="25"/>
      <c r="IR478" s="25"/>
      <c r="IS478" s="25"/>
      <c r="IT478" s="25"/>
      <c r="IU478" s="25"/>
      <c r="IV478" s="25"/>
      <c r="IW478" s="25"/>
      <c r="IX478" s="25"/>
      <c r="IY478" s="25"/>
      <c r="IZ478" s="25"/>
      <c r="JA478" s="25"/>
      <c r="JB478" s="25"/>
      <c r="JC478" s="25"/>
      <c r="JD478" s="25"/>
      <c r="JE478" s="25"/>
      <c r="JF478" s="25"/>
      <c r="JG478" s="25"/>
      <c r="JH478" s="25"/>
      <c r="JI478" s="25"/>
      <c r="JJ478" s="25"/>
      <c r="JK478" s="25"/>
      <c r="JL478" s="25"/>
      <c r="JM478" s="25"/>
      <c r="JN478" s="25"/>
      <c r="JO478" s="25"/>
      <c r="JP478" s="25"/>
      <c r="JQ478" s="25"/>
      <c r="JR478" s="25"/>
      <c r="JS478" s="25"/>
      <c r="JT478" s="25"/>
      <c r="JU478" s="25"/>
      <c r="JV478" s="25"/>
      <c r="JW478" s="25"/>
      <c r="JX478" s="25"/>
      <c r="JY478" s="25"/>
      <c r="JZ478" s="25"/>
      <c r="KA478" s="25"/>
      <c r="KB478" s="25"/>
      <c r="KC478" s="25"/>
      <c r="KD478" s="25"/>
      <c r="KE478" s="25"/>
      <c r="KF478" s="25"/>
      <c r="KG478" s="25"/>
      <c r="KH478" s="25"/>
      <c r="KI478" s="25"/>
      <c r="KJ478" s="25"/>
      <c r="KK478" s="25"/>
      <c r="KL478" s="25"/>
      <c r="KM478" s="25"/>
      <c r="KN478" s="25"/>
      <c r="KO478" s="25"/>
      <c r="KP478" s="25"/>
      <c r="KQ478" s="25"/>
      <c r="KR478" s="25"/>
      <c r="KS478" s="25"/>
      <c r="KT478" s="25"/>
      <c r="KU478" s="25"/>
      <c r="KV478" s="25"/>
      <c r="KW478" s="25"/>
      <c r="KX478" s="25"/>
      <c r="KY478" s="25"/>
      <c r="KZ478" s="25"/>
      <c r="LA478" s="25"/>
      <c r="LB478" s="25"/>
      <c r="LC478" s="25"/>
      <c r="LD478" s="25"/>
      <c r="LE478" s="25"/>
      <c r="LF478" s="25"/>
      <c r="LG478" s="25"/>
      <c r="LH478" s="25"/>
      <c r="LI478" s="25"/>
      <c r="LJ478" s="25"/>
      <c r="LK478" s="25"/>
      <c r="LL478" s="25"/>
      <c r="LM478" s="25"/>
      <c r="LN478" s="25"/>
      <c r="LO478" s="25"/>
      <c r="LP478" s="25"/>
      <c r="LQ478" s="25"/>
      <c r="LR478" s="25"/>
      <c r="LS478" s="25"/>
      <c r="LT478" s="25"/>
      <c r="LU478" s="25"/>
      <c r="LV478" s="25"/>
      <c r="LW478" s="25"/>
      <c r="LX478" s="25"/>
      <c r="LY478" s="25"/>
      <c r="LZ478" s="25"/>
      <c r="MA478" s="25"/>
      <c r="MB478" s="25"/>
      <c r="MC478" s="25"/>
      <c r="MD478" s="25"/>
      <c r="ME478" s="25"/>
      <c r="MF478" s="25"/>
      <c r="MG478" s="25"/>
      <c r="MH478" s="25"/>
      <c r="MI478" s="25"/>
      <c r="MJ478" s="25"/>
      <c r="MK478" s="25"/>
      <c r="ML478" s="25"/>
      <c r="MM478" s="25"/>
      <c r="MN478" s="25"/>
      <c r="MO478" s="25"/>
      <c r="MP478" s="25"/>
      <c r="MQ478" s="25"/>
      <c r="MR478" s="25"/>
      <c r="MS478" s="25"/>
      <c r="MT478" s="25"/>
      <c r="MU478" s="25"/>
      <c r="MV478" s="25"/>
      <c r="MW478" s="25"/>
      <c r="MX478" s="25"/>
      <c r="MY478" s="25"/>
      <c r="MZ478" s="25"/>
      <c r="NA478" s="25"/>
      <c r="NB478" s="25"/>
      <c r="NC478" s="25"/>
      <c r="ND478" s="25"/>
      <c r="NE478" s="25"/>
      <c r="NF478" s="25"/>
      <c r="NG478" s="25"/>
      <c r="NH478" s="25"/>
      <c r="NI478" s="25"/>
      <c r="NJ478" s="25"/>
      <c r="NK478" s="25"/>
      <c r="NL478" s="25"/>
      <c r="NM478" s="25"/>
      <c r="NN478" s="25"/>
      <c r="NO478" s="25"/>
      <c r="NP478" s="25"/>
      <c r="NQ478" s="25"/>
      <c r="NR478" s="25"/>
      <c r="NS478" s="25"/>
      <c r="NT478" s="25"/>
      <c r="NU478" s="25"/>
      <c r="NV478" s="25"/>
      <c r="NW478" s="25"/>
      <c r="NX478" s="25"/>
      <c r="NY478" s="25"/>
      <c r="NZ478" s="25"/>
      <c r="OA478" s="25"/>
      <c r="OB478" s="25"/>
      <c r="OC478" s="25"/>
      <c r="OD478" s="25"/>
      <c r="OE478" s="25"/>
      <c r="OF478" s="25"/>
      <c r="OG478" s="25"/>
      <c r="OH478" s="25"/>
      <c r="OI478" s="25"/>
      <c r="OJ478" s="25"/>
      <c r="OK478" s="25"/>
      <c r="OL478" s="25"/>
      <c r="OM478" s="25"/>
      <c r="ON478" s="25"/>
      <c r="OO478" s="25"/>
      <c r="OP478" s="25"/>
      <c r="OQ478" s="25"/>
      <c r="OR478" s="25"/>
      <c r="OS478" s="25"/>
      <c r="OT478" s="25"/>
      <c r="OU478" s="25"/>
      <c r="OV478" s="25"/>
      <c r="OW478" s="25"/>
      <c r="OX478" s="25"/>
      <c r="OY478" s="25"/>
      <c r="OZ478" s="25"/>
      <c r="PA478" s="25"/>
      <c r="PB478" s="25"/>
      <c r="PC478" s="25"/>
      <c r="PD478" s="25"/>
      <c r="PE478" s="25"/>
      <c r="PF478" s="25"/>
      <c r="PG478" s="25"/>
      <c r="PH478" s="25"/>
      <c r="PI478" s="25"/>
      <c r="PJ478" s="25"/>
      <c r="PK478" s="25"/>
      <c r="PL478" s="25"/>
      <c r="PM478" s="25"/>
      <c r="PN478" s="25"/>
      <c r="PO478" s="25"/>
      <c r="PP478" s="25"/>
      <c r="PQ478" s="25"/>
      <c r="PR478" s="25"/>
      <c r="PS478" s="25"/>
      <c r="PT478" s="25"/>
      <c r="PU478" s="25"/>
      <c r="PV478" s="25"/>
      <c r="PW478" s="25"/>
      <c r="PX478" s="25"/>
      <c r="PY478" s="25"/>
      <c r="PZ478" s="25"/>
      <c r="QA478" s="25"/>
      <c r="QB478" s="25"/>
      <c r="QC478" s="25"/>
      <c r="QD478" s="25"/>
      <c r="QE478" s="25"/>
      <c r="QF478" s="25"/>
      <c r="QG478" s="25"/>
      <c r="QH478" s="25"/>
      <c r="QI478" s="25"/>
      <c r="QJ478" s="25"/>
      <c r="QK478" s="25"/>
      <c r="QL478" s="25"/>
      <c r="QM478" s="25"/>
      <c r="QN478" s="25"/>
      <c r="QO478" s="25"/>
      <c r="QP478" s="25"/>
      <c r="QQ478" s="25"/>
      <c r="QR478" s="25"/>
      <c r="QS478" s="25"/>
      <c r="QT478" s="25"/>
      <c r="QU478" s="25"/>
      <c r="QV478" s="25"/>
      <c r="QW478" s="25"/>
      <c r="QX478" s="25"/>
      <c r="QY478" s="25"/>
      <c r="QZ478" s="25"/>
      <c r="RA478" s="25"/>
      <c r="RB478" s="25"/>
      <c r="RC478" s="25"/>
      <c r="RD478" s="25"/>
      <c r="RE478" s="25"/>
      <c r="RF478" s="25"/>
      <c r="RG478" s="25"/>
      <c r="RH478" s="25"/>
      <c r="RI478" s="25"/>
      <c r="RJ478" s="25"/>
      <c r="RK478" s="25"/>
      <c r="RL478" s="25"/>
      <c r="RM478" s="25"/>
      <c r="RN478" s="25"/>
      <c r="RO478" s="25"/>
      <c r="RP478" s="25"/>
      <c r="RQ478" s="25"/>
      <c r="RR478" s="25"/>
      <c r="RS478" s="25"/>
      <c r="RT478" s="25"/>
      <c r="RU478" s="25"/>
      <c r="RV478" s="25"/>
      <c r="RW478" s="25"/>
      <c r="RX478" s="25"/>
      <c r="RY478" s="25"/>
      <c r="RZ478" s="25"/>
      <c r="SA478" s="25"/>
      <c r="SB478" s="25"/>
      <c r="SC478" s="25"/>
      <c r="SD478" s="25"/>
      <c r="SE478" s="25"/>
      <c r="SF478" s="25"/>
      <c r="SG478" s="25"/>
      <c r="SH478" s="25"/>
      <c r="SI478" s="25"/>
      <c r="SJ478" s="25"/>
      <c r="SK478" s="25"/>
      <c r="SL478" s="25"/>
      <c r="SM478" s="25"/>
      <c r="SN478" s="25"/>
      <c r="SO478" s="25"/>
      <c r="SP478" s="25"/>
      <c r="SQ478" s="25"/>
      <c r="SR478" s="25"/>
      <c r="SS478" s="25"/>
      <c r="ST478" s="25"/>
      <c r="SU478" s="25"/>
      <c r="SV478" s="25"/>
      <c r="SW478" s="25"/>
      <c r="SX478" s="25"/>
      <c r="SY478" s="25"/>
      <c r="SZ478" s="25"/>
      <c r="TA478" s="25"/>
      <c r="TB478" s="25"/>
      <c r="TC478" s="25"/>
      <c r="TD478" s="25"/>
      <c r="TE478" s="25"/>
      <c r="TF478" s="25"/>
      <c r="TG478" s="25"/>
      <c r="TH478" s="25"/>
      <c r="TI478" s="25"/>
      <c r="TJ478" s="25"/>
      <c r="TK478" s="25"/>
      <c r="TL478" s="25"/>
      <c r="TM478" s="25"/>
      <c r="TN478" s="25"/>
      <c r="TO478" s="25"/>
      <c r="TP478" s="25"/>
      <c r="TQ478" s="25"/>
      <c r="TR478" s="25"/>
      <c r="TS478" s="25"/>
      <c r="TT478" s="25"/>
      <c r="TU478" s="25"/>
      <c r="TV478" s="25"/>
      <c r="TW478" s="25"/>
      <c r="TX478" s="25"/>
      <c r="TY478" s="25"/>
      <c r="TZ478" s="25"/>
      <c r="UA478" s="25"/>
      <c r="UB478" s="25"/>
      <c r="UC478" s="25"/>
      <c r="UD478" s="25"/>
      <c r="UE478" s="25"/>
      <c r="UF478" s="25"/>
      <c r="UG478" s="26"/>
    </row>
    <row r="479" spans="1:553" s="109" customFormat="1" ht="30.75" customHeight="1">
      <c r="A479" s="366" t="s">
        <v>15</v>
      </c>
      <c r="B479" s="366"/>
      <c r="C479" s="1404" t="s">
        <v>367</v>
      </c>
      <c r="D479" s="1389"/>
      <c r="E479" s="1389"/>
      <c r="F479" s="1390"/>
      <c r="G479" s="366"/>
      <c r="H479" s="370"/>
      <c r="I479" s="422"/>
      <c r="J479" s="368"/>
      <c r="K479" s="388"/>
      <c r="L479" s="366"/>
      <c r="M479" s="366"/>
      <c r="N479" s="366"/>
      <c r="O479" s="366"/>
      <c r="P479" s="366"/>
      <c r="Q479" s="1135"/>
      <c r="R479" s="1452"/>
      <c r="S479" s="308"/>
      <c r="T479" s="303"/>
      <c r="U479" s="306"/>
      <c r="V479" s="307"/>
      <c r="W479" s="307"/>
      <c r="X479" s="307"/>
      <c r="Y479" s="307"/>
      <c r="Z479" s="307"/>
      <c r="AA479" s="307"/>
      <c r="AB479" s="307"/>
      <c r="AC479" s="449"/>
      <c r="AD479" s="452"/>
      <c r="AE479" s="452"/>
      <c r="AF479" s="452"/>
      <c r="AG479" s="452"/>
      <c r="AH479" s="452"/>
      <c r="AI479" s="452"/>
      <c r="AJ479" s="452"/>
      <c r="AK479" s="452"/>
      <c r="AL479" s="117"/>
      <c r="AM479" s="113"/>
      <c r="AN479" s="113"/>
      <c r="AO479" s="113"/>
      <c r="AP479" s="113"/>
      <c r="AQ479" s="113"/>
      <c r="AR479" s="113"/>
      <c r="AS479" s="113"/>
      <c r="AT479" s="113"/>
      <c r="AU479" s="113"/>
      <c r="AV479" s="113"/>
      <c r="AW479" s="113"/>
      <c r="AX479" s="113"/>
      <c r="AY479" s="113"/>
      <c r="AZ479" s="113"/>
      <c r="BA479" s="113"/>
      <c r="BB479" s="113"/>
      <c r="BC479" s="113"/>
      <c r="BD479" s="113"/>
      <c r="BE479" s="113"/>
      <c r="BF479" s="113"/>
      <c r="BG479" s="113"/>
      <c r="BH479" s="113"/>
      <c r="BI479" s="113"/>
      <c r="BJ479" s="113"/>
      <c r="BK479" s="113"/>
      <c r="BL479" s="113"/>
      <c r="BM479" s="113"/>
      <c r="BN479" s="113"/>
      <c r="BO479" s="113"/>
      <c r="BP479" s="113"/>
      <c r="BQ479" s="113"/>
      <c r="BR479" s="113"/>
      <c r="BS479" s="113"/>
      <c r="BT479" s="113"/>
      <c r="BU479" s="113"/>
      <c r="BV479" s="113"/>
      <c r="BW479" s="113"/>
      <c r="BX479" s="113"/>
      <c r="BY479" s="113"/>
      <c r="BZ479" s="113"/>
      <c r="CA479" s="113"/>
      <c r="CB479" s="113"/>
      <c r="CC479" s="113"/>
      <c r="CD479" s="113"/>
      <c r="CE479" s="113"/>
      <c r="CF479" s="113"/>
      <c r="CG479" s="113"/>
      <c r="CH479" s="113"/>
      <c r="CI479" s="113"/>
      <c r="CJ479" s="113"/>
      <c r="CK479" s="113"/>
      <c r="CL479" s="113"/>
      <c r="CM479" s="113"/>
      <c r="CN479" s="113"/>
      <c r="CO479" s="113"/>
      <c r="CP479" s="113"/>
      <c r="CQ479" s="113"/>
      <c r="CR479" s="113"/>
      <c r="CS479" s="113"/>
      <c r="CT479" s="113"/>
      <c r="CU479" s="113"/>
      <c r="CV479" s="113"/>
      <c r="CW479" s="113"/>
      <c r="CX479" s="113"/>
      <c r="CY479" s="113"/>
      <c r="CZ479" s="113"/>
      <c r="DA479" s="113"/>
      <c r="DB479" s="113"/>
      <c r="DC479" s="113"/>
      <c r="DD479" s="113"/>
      <c r="DE479" s="113"/>
      <c r="DF479" s="113"/>
      <c r="DG479" s="113"/>
      <c r="DH479" s="113"/>
      <c r="DI479" s="113"/>
      <c r="DJ479" s="113"/>
      <c r="DK479" s="113"/>
      <c r="DL479" s="113"/>
      <c r="DM479" s="113"/>
      <c r="DN479" s="113"/>
      <c r="DO479" s="113"/>
      <c r="DP479" s="113"/>
      <c r="DQ479" s="113"/>
      <c r="DR479" s="113"/>
      <c r="DS479" s="113"/>
      <c r="DT479" s="113"/>
      <c r="DU479" s="113"/>
      <c r="DV479" s="113"/>
      <c r="DW479" s="113"/>
      <c r="DX479" s="113"/>
      <c r="DY479" s="113"/>
      <c r="DZ479" s="113"/>
      <c r="EA479" s="113"/>
      <c r="EB479" s="113"/>
      <c r="EC479" s="113"/>
      <c r="ED479" s="113"/>
      <c r="EE479" s="113"/>
      <c r="EF479" s="113"/>
      <c r="EG479" s="113"/>
      <c r="EH479" s="113"/>
      <c r="EI479" s="113"/>
      <c r="EJ479" s="113"/>
      <c r="EK479" s="113"/>
      <c r="EL479" s="113"/>
      <c r="EM479" s="113"/>
      <c r="EN479" s="113"/>
      <c r="EO479" s="113"/>
      <c r="EP479" s="113"/>
      <c r="EQ479" s="113"/>
      <c r="ER479" s="113"/>
      <c r="ES479" s="113"/>
      <c r="ET479" s="113"/>
      <c r="EU479" s="113"/>
      <c r="EV479" s="113"/>
      <c r="EW479" s="113"/>
      <c r="EX479" s="113"/>
      <c r="EY479" s="113"/>
      <c r="EZ479" s="113"/>
      <c r="FA479" s="113"/>
      <c r="FB479" s="113"/>
      <c r="FC479" s="113"/>
      <c r="FD479" s="113"/>
      <c r="FE479" s="113"/>
      <c r="FF479" s="113"/>
      <c r="FG479" s="113"/>
      <c r="FH479" s="113"/>
      <c r="FI479" s="113"/>
      <c r="FJ479" s="113"/>
      <c r="FK479" s="113"/>
      <c r="FL479" s="113"/>
      <c r="FM479" s="113"/>
      <c r="FN479" s="113"/>
      <c r="FO479" s="113"/>
      <c r="FP479" s="113"/>
      <c r="FQ479" s="113"/>
      <c r="FR479" s="113"/>
      <c r="FS479" s="113"/>
      <c r="FT479" s="113"/>
      <c r="FU479" s="113"/>
      <c r="FV479" s="113"/>
      <c r="FW479" s="113"/>
      <c r="FX479" s="113"/>
      <c r="FY479" s="113"/>
      <c r="FZ479" s="113"/>
      <c r="GA479" s="113"/>
      <c r="GB479" s="113"/>
      <c r="GC479" s="113"/>
      <c r="GD479" s="113"/>
      <c r="GE479" s="113"/>
      <c r="GF479" s="113"/>
      <c r="GG479" s="113"/>
      <c r="GH479" s="113"/>
      <c r="GI479" s="113"/>
      <c r="GJ479" s="113"/>
      <c r="GK479" s="113"/>
      <c r="GL479" s="113"/>
      <c r="GM479" s="113"/>
      <c r="GN479" s="113"/>
      <c r="GO479" s="113"/>
      <c r="GP479" s="113"/>
      <c r="GQ479" s="113"/>
      <c r="GR479" s="113"/>
      <c r="GS479" s="113"/>
      <c r="GT479" s="113"/>
      <c r="GU479" s="113"/>
      <c r="GV479" s="113"/>
      <c r="GW479" s="113"/>
      <c r="GX479" s="113"/>
      <c r="GY479" s="113"/>
      <c r="GZ479" s="113"/>
      <c r="HA479" s="113"/>
      <c r="HB479" s="113"/>
      <c r="HC479" s="113"/>
      <c r="HD479" s="113"/>
      <c r="HE479" s="113"/>
      <c r="HF479" s="113"/>
      <c r="HG479" s="113"/>
      <c r="HH479" s="113"/>
      <c r="HI479" s="113"/>
      <c r="HJ479" s="113"/>
      <c r="HK479" s="113"/>
      <c r="HL479" s="113"/>
      <c r="HM479" s="113"/>
      <c r="HN479" s="113"/>
      <c r="HO479" s="113"/>
      <c r="HP479" s="113"/>
      <c r="HQ479" s="113"/>
      <c r="HR479" s="113"/>
      <c r="HS479" s="113"/>
      <c r="HT479" s="113"/>
      <c r="HU479" s="113"/>
      <c r="HV479" s="113"/>
      <c r="HW479" s="113"/>
      <c r="HX479" s="113"/>
      <c r="HY479" s="113"/>
      <c r="HZ479" s="113"/>
      <c r="IA479" s="113"/>
      <c r="IB479" s="113"/>
      <c r="IC479" s="113"/>
      <c r="ID479" s="113"/>
      <c r="IE479" s="113"/>
      <c r="IF479" s="113"/>
      <c r="IG479" s="113"/>
      <c r="IH479" s="113"/>
      <c r="II479" s="113"/>
      <c r="IJ479" s="113"/>
      <c r="IK479" s="113"/>
      <c r="IL479" s="113"/>
      <c r="IM479" s="113"/>
      <c r="IN479" s="113"/>
      <c r="IO479" s="113"/>
      <c r="IP479" s="113"/>
      <c r="IQ479" s="113"/>
      <c r="IR479" s="113"/>
      <c r="IS479" s="113"/>
      <c r="IT479" s="113"/>
      <c r="IU479" s="113"/>
      <c r="IV479" s="113"/>
      <c r="IW479" s="113"/>
      <c r="IX479" s="113"/>
      <c r="IY479" s="113"/>
      <c r="IZ479" s="113"/>
      <c r="JA479" s="113"/>
      <c r="JB479" s="113"/>
      <c r="JC479" s="113"/>
      <c r="JD479" s="113"/>
      <c r="JE479" s="113"/>
      <c r="JF479" s="113"/>
      <c r="JG479" s="113"/>
      <c r="JH479" s="113"/>
      <c r="JI479" s="113"/>
      <c r="JJ479" s="113"/>
      <c r="JK479" s="113"/>
      <c r="JL479" s="113"/>
      <c r="JM479" s="113"/>
      <c r="JN479" s="113"/>
      <c r="JO479" s="113"/>
      <c r="JP479" s="113"/>
      <c r="JQ479" s="113"/>
      <c r="JR479" s="113"/>
      <c r="JS479" s="113"/>
      <c r="JT479" s="113"/>
      <c r="JU479" s="113"/>
      <c r="JV479" s="113"/>
      <c r="JW479" s="113"/>
      <c r="JX479" s="113"/>
      <c r="JY479" s="113"/>
      <c r="JZ479" s="113"/>
      <c r="KA479" s="113"/>
      <c r="KB479" s="113"/>
      <c r="KC479" s="113"/>
      <c r="KD479" s="113"/>
      <c r="KE479" s="113"/>
      <c r="KF479" s="113"/>
      <c r="KG479" s="113"/>
      <c r="KH479" s="113"/>
      <c r="KI479" s="113"/>
      <c r="KJ479" s="113"/>
      <c r="KK479" s="113"/>
      <c r="KL479" s="113"/>
      <c r="KM479" s="113"/>
      <c r="KN479" s="113"/>
      <c r="KO479" s="113"/>
      <c r="KP479" s="113"/>
      <c r="KQ479" s="113"/>
      <c r="KR479" s="113"/>
      <c r="KS479" s="113"/>
      <c r="KT479" s="113"/>
      <c r="KU479" s="113"/>
      <c r="KV479" s="113"/>
      <c r="KW479" s="113"/>
      <c r="KX479" s="113"/>
      <c r="KY479" s="113"/>
      <c r="KZ479" s="113"/>
      <c r="LA479" s="113"/>
      <c r="LB479" s="113"/>
      <c r="LC479" s="113"/>
      <c r="LD479" s="113"/>
      <c r="LE479" s="113"/>
      <c r="LF479" s="113"/>
      <c r="LG479" s="113"/>
      <c r="LH479" s="113"/>
      <c r="LI479" s="113"/>
      <c r="LJ479" s="113"/>
      <c r="LK479" s="113"/>
      <c r="LL479" s="113"/>
      <c r="LM479" s="113"/>
      <c r="LN479" s="113"/>
      <c r="LO479" s="113"/>
      <c r="LP479" s="113"/>
      <c r="LQ479" s="113"/>
      <c r="LR479" s="113"/>
      <c r="LS479" s="113"/>
      <c r="LT479" s="113"/>
      <c r="LU479" s="113"/>
      <c r="LV479" s="113"/>
      <c r="LW479" s="113"/>
      <c r="LX479" s="113"/>
      <c r="LY479" s="113"/>
      <c r="LZ479" s="113"/>
      <c r="MA479" s="113"/>
      <c r="MB479" s="113"/>
      <c r="MC479" s="113"/>
      <c r="MD479" s="113"/>
      <c r="ME479" s="113"/>
      <c r="MF479" s="113"/>
      <c r="MG479" s="113"/>
      <c r="MH479" s="113"/>
      <c r="MI479" s="113"/>
      <c r="MJ479" s="113"/>
      <c r="MK479" s="113"/>
      <c r="ML479" s="113"/>
      <c r="MM479" s="113"/>
      <c r="MN479" s="113"/>
      <c r="MO479" s="113"/>
      <c r="MP479" s="113"/>
      <c r="MQ479" s="113"/>
      <c r="MR479" s="113"/>
      <c r="MS479" s="113"/>
      <c r="MT479" s="113"/>
      <c r="MU479" s="113"/>
      <c r="MV479" s="113"/>
      <c r="MW479" s="113"/>
      <c r="MX479" s="113"/>
      <c r="MY479" s="113"/>
      <c r="MZ479" s="113"/>
      <c r="NA479" s="113"/>
      <c r="NB479" s="113"/>
      <c r="NC479" s="113"/>
      <c r="ND479" s="113"/>
      <c r="NE479" s="113"/>
      <c r="NF479" s="113"/>
      <c r="NG479" s="113"/>
      <c r="NH479" s="113"/>
      <c r="NI479" s="113"/>
      <c r="NJ479" s="113"/>
      <c r="NK479" s="113"/>
      <c r="NL479" s="113"/>
      <c r="NM479" s="113"/>
      <c r="NN479" s="113"/>
      <c r="NO479" s="113"/>
      <c r="NP479" s="113"/>
      <c r="NQ479" s="113"/>
      <c r="NR479" s="113"/>
      <c r="NS479" s="113"/>
      <c r="NT479" s="113"/>
      <c r="NU479" s="113"/>
      <c r="NV479" s="113"/>
      <c r="NW479" s="113"/>
      <c r="NX479" s="113"/>
      <c r="NY479" s="113"/>
      <c r="NZ479" s="113"/>
      <c r="OA479" s="113"/>
      <c r="OB479" s="113"/>
      <c r="OC479" s="113"/>
      <c r="OD479" s="113"/>
      <c r="OE479" s="113"/>
      <c r="OF479" s="113"/>
      <c r="OG479" s="113"/>
      <c r="OH479" s="113"/>
      <c r="OI479" s="113"/>
      <c r="OJ479" s="113"/>
      <c r="OK479" s="113"/>
      <c r="OL479" s="113"/>
      <c r="OM479" s="113"/>
      <c r="ON479" s="113"/>
      <c r="OO479" s="113"/>
      <c r="OP479" s="113"/>
      <c r="OQ479" s="113"/>
      <c r="OR479" s="113"/>
      <c r="OS479" s="113"/>
      <c r="OT479" s="113"/>
      <c r="OU479" s="113"/>
      <c r="OV479" s="113"/>
      <c r="OW479" s="113"/>
      <c r="OX479" s="113"/>
      <c r="OY479" s="113"/>
      <c r="OZ479" s="113"/>
      <c r="PA479" s="113"/>
      <c r="PB479" s="113"/>
      <c r="PC479" s="113"/>
      <c r="PD479" s="113"/>
      <c r="PE479" s="113"/>
      <c r="PF479" s="113"/>
      <c r="PG479" s="113"/>
      <c r="PH479" s="113"/>
      <c r="PI479" s="113"/>
      <c r="PJ479" s="113"/>
      <c r="PK479" s="113"/>
      <c r="PL479" s="113"/>
      <c r="PM479" s="113"/>
      <c r="PN479" s="113"/>
      <c r="PO479" s="113"/>
      <c r="PP479" s="113"/>
      <c r="PQ479" s="113"/>
      <c r="PR479" s="113"/>
      <c r="PS479" s="113"/>
      <c r="PT479" s="113"/>
      <c r="PU479" s="113"/>
      <c r="PV479" s="113"/>
      <c r="PW479" s="113"/>
      <c r="PX479" s="113"/>
      <c r="PY479" s="113"/>
      <c r="PZ479" s="113"/>
      <c r="QA479" s="113"/>
      <c r="QB479" s="113"/>
      <c r="QC479" s="113"/>
      <c r="QD479" s="113"/>
      <c r="QE479" s="113"/>
      <c r="QF479" s="113"/>
      <c r="QG479" s="113"/>
      <c r="QH479" s="113"/>
      <c r="QI479" s="113"/>
      <c r="QJ479" s="113"/>
      <c r="QK479" s="113"/>
      <c r="QL479" s="113"/>
      <c r="QM479" s="113"/>
      <c r="QN479" s="113"/>
      <c r="QO479" s="113"/>
      <c r="QP479" s="113"/>
      <c r="QQ479" s="113"/>
      <c r="QR479" s="113"/>
      <c r="QS479" s="113"/>
      <c r="QT479" s="113"/>
      <c r="QU479" s="113"/>
      <c r="QV479" s="113"/>
      <c r="QW479" s="113"/>
      <c r="QX479" s="113"/>
      <c r="QY479" s="113"/>
      <c r="QZ479" s="113"/>
      <c r="RA479" s="113"/>
      <c r="RB479" s="113"/>
      <c r="RC479" s="113"/>
      <c r="RD479" s="113"/>
      <c r="RE479" s="113"/>
      <c r="RF479" s="113"/>
      <c r="RG479" s="113"/>
      <c r="RH479" s="113"/>
      <c r="RI479" s="113"/>
      <c r="RJ479" s="113"/>
      <c r="RK479" s="113"/>
      <c r="RL479" s="113"/>
      <c r="RM479" s="113"/>
      <c r="RN479" s="113"/>
      <c r="RO479" s="113"/>
      <c r="RP479" s="113"/>
      <c r="RQ479" s="113"/>
      <c r="RR479" s="113"/>
      <c r="RS479" s="113"/>
      <c r="RT479" s="113"/>
      <c r="RU479" s="113"/>
      <c r="RV479" s="113"/>
      <c r="RW479" s="113"/>
      <c r="RX479" s="113"/>
      <c r="RY479" s="113"/>
      <c r="RZ479" s="113"/>
      <c r="SA479" s="113"/>
      <c r="SB479" s="113"/>
      <c r="SC479" s="113"/>
      <c r="SD479" s="113"/>
      <c r="SE479" s="113"/>
      <c r="SF479" s="113"/>
      <c r="SG479" s="113"/>
      <c r="SH479" s="113"/>
      <c r="SI479" s="113"/>
      <c r="SJ479" s="113"/>
      <c r="SK479" s="113"/>
      <c r="SL479" s="113"/>
      <c r="SM479" s="113"/>
      <c r="SN479" s="113"/>
      <c r="SO479" s="113"/>
      <c r="SP479" s="113"/>
      <c r="SQ479" s="113"/>
      <c r="SR479" s="113"/>
      <c r="SS479" s="113"/>
      <c r="ST479" s="113"/>
      <c r="SU479" s="113"/>
      <c r="SV479" s="113"/>
      <c r="SW479" s="113"/>
      <c r="SX479" s="113"/>
      <c r="SY479" s="113"/>
      <c r="SZ479" s="113"/>
      <c r="TA479" s="113"/>
      <c r="TB479" s="113"/>
      <c r="TC479" s="113"/>
      <c r="TD479" s="113"/>
      <c r="TE479" s="113"/>
      <c r="TF479" s="113"/>
      <c r="TG479" s="113"/>
      <c r="TH479" s="113"/>
      <c r="TI479" s="113"/>
      <c r="TJ479" s="113"/>
      <c r="TK479" s="113"/>
      <c r="TL479" s="113"/>
      <c r="TM479" s="113"/>
      <c r="TN479" s="113"/>
      <c r="TO479" s="113"/>
      <c r="TP479" s="113"/>
      <c r="TQ479" s="113"/>
      <c r="TR479" s="113"/>
      <c r="TS479" s="113"/>
      <c r="TT479" s="113"/>
      <c r="TU479" s="113"/>
      <c r="TV479" s="113"/>
      <c r="TW479" s="113"/>
      <c r="TX479" s="113"/>
      <c r="TY479" s="113"/>
      <c r="TZ479" s="113"/>
      <c r="UA479" s="113"/>
      <c r="UB479" s="113"/>
      <c r="UC479" s="113"/>
      <c r="UD479" s="113"/>
      <c r="UE479" s="113"/>
      <c r="UF479" s="113"/>
      <c r="UG479" s="126"/>
    </row>
    <row r="480" spans="1:553" s="109" customFormat="1" ht="30.75" customHeight="1">
      <c r="A480" s="366"/>
      <c r="B480" s="366"/>
      <c r="C480" s="1394" t="s">
        <v>910</v>
      </c>
      <c r="D480" s="1395"/>
      <c r="E480" s="1395"/>
      <c r="F480" s="1396"/>
      <c r="G480" s="366"/>
      <c r="H480" s="370"/>
      <c r="I480" s="422"/>
      <c r="J480" s="368"/>
      <c r="K480" s="388"/>
      <c r="L480" s="480"/>
      <c r="M480" s="366"/>
      <c r="N480" s="366"/>
      <c r="O480" s="366"/>
      <c r="P480" s="366"/>
      <c r="Q480" s="1135"/>
      <c r="R480" s="1452"/>
      <c r="S480" s="308"/>
      <c r="T480" s="303"/>
      <c r="U480" s="306"/>
      <c r="V480" s="307"/>
      <c r="W480" s="307"/>
      <c r="X480" s="307"/>
      <c r="Y480" s="307"/>
      <c r="Z480" s="307"/>
      <c r="AA480" s="307"/>
      <c r="AB480" s="307"/>
      <c r="AC480" s="449"/>
      <c r="AD480" s="452"/>
      <c r="AE480" s="452"/>
      <c r="AF480" s="452"/>
      <c r="AG480" s="452"/>
      <c r="AH480" s="452"/>
      <c r="AI480" s="452"/>
      <c r="AJ480" s="452"/>
      <c r="AK480" s="452"/>
      <c r="AL480" s="117"/>
      <c r="AM480" s="113"/>
      <c r="AN480" s="113"/>
      <c r="AO480" s="113"/>
      <c r="AP480" s="113"/>
      <c r="AQ480" s="113"/>
      <c r="AR480" s="113"/>
      <c r="AS480" s="113"/>
      <c r="AT480" s="113"/>
      <c r="AU480" s="113"/>
      <c r="AV480" s="113"/>
      <c r="AW480" s="113"/>
      <c r="AX480" s="113"/>
      <c r="AY480" s="113"/>
      <c r="AZ480" s="113"/>
      <c r="BA480" s="113"/>
      <c r="BB480" s="113"/>
      <c r="BC480" s="113"/>
      <c r="BD480" s="113"/>
      <c r="BE480" s="113"/>
      <c r="BF480" s="113"/>
      <c r="BG480" s="113"/>
      <c r="BH480" s="113"/>
      <c r="BI480" s="113"/>
      <c r="BJ480" s="113"/>
      <c r="BK480" s="113"/>
      <c r="BL480" s="113"/>
      <c r="BM480" s="113"/>
      <c r="BN480" s="113"/>
      <c r="BO480" s="113"/>
      <c r="BP480" s="113"/>
      <c r="BQ480" s="113"/>
      <c r="BR480" s="113"/>
      <c r="BS480" s="113"/>
      <c r="BT480" s="113"/>
      <c r="BU480" s="113"/>
      <c r="BV480" s="113"/>
      <c r="BW480" s="113"/>
      <c r="BX480" s="113"/>
      <c r="BY480" s="113"/>
      <c r="BZ480" s="113"/>
      <c r="CA480" s="113"/>
      <c r="CB480" s="113"/>
      <c r="CC480" s="113"/>
      <c r="CD480" s="113"/>
      <c r="CE480" s="113"/>
      <c r="CF480" s="113"/>
      <c r="CG480" s="113"/>
      <c r="CH480" s="113"/>
      <c r="CI480" s="113"/>
      <c r="CJ480" s="113"/>
      <c r="CK480" s="113"/>
      <c r="CL480" s="113"/>
      <c r="CM480" s="113"/>
      <c r="CN480" s="113"/>
      <c r="CO480" s="113"/>
      <c r="CP480" s="113"/>
      <c r="CQ480" s="113"/>
      <c r="CR480" s="113"/>
      <c r="CS480" s="113"/>
      <c r="CT480" s="113"/>
      <c r="CU480" s="113"/>
      <c r="CV480" s="113"/>
      <c r="CW480" s="113"/>
      <c r="CX480" s="113"/>
      <c r="CY480" s="113"/>
      <c r="CZ480" s="113"/>
      <c r="DA480" s="113"/>
      <c r="DB480" s="113"/>
      <c r="DC480" s="113"/>
      <c r="DD480" s="113"/>
      <c r="DE480" s="113"/>
      <c r="DF480" s="113"/>
      <c r="DG480" s="113"/>
      <c r="DH480" s="113"/>
      <c r="DI480" s="113"/>
      <c r="DJ480" s="113"/>
      <c r="DK480" s="113"/>
      <c r="DL480" s="113"/>
      <c r="DM480" s="113"/>
      <c r="DN480" s="113"/>
      <c r="DO480" s="113"/>
      <c r="DP480" s="113"/>
      <c r="DQ480" s="113"/>
      <c r="DR480" s="113"/>
      <c r="DS480" s="113"/>
      <c r="DT480" s="113"/>
      <c r="DU480" s="113"/>
      <c r="DV480" s="113"/>
      <c r="DW480" s="113"/>
      <c r="DX480" s="113"/>
      <c r="DY480" s="113"/>
      <c r="DZ480" s="113"/>
      <c r="EA480" s="113"/>
      <c r="EB480" s="113"/>
      <c r="EC480" s="113"/>
      <c r="ED480" s="113"/>
      <c r="EE480" s="113"/>
      <c r="EF480" s="113"/>
      <c r="EG480" s="113"/>
      <c r="EH480" s="113"/>
      <c r="EI480" s="113"/>
      <c r="EJ480" s="113"/>
      <c r="EK480" s="113"/>
      <c r="EL480" s="113"/>
      <c r="EM480" s="113"/>
      <c r="EN480" s="113"/>
      <c r="EO480" s="113"/>
      <c r="EP480" s="113"/>
      <c r="EQ480" s="113"/>
      <c r="ER480" s="113"/>
      <c r="ES480" s="113"/>
      <c r="ET480" s="113"/>
      <c r="EU480" s="113"/>
      <c r="EV480" s="113"/>
      <c r="EW480" s="113"/>
      <c r="EX480" s="113"/>
      <c r="EY480" s="113"/>
      <c r="EZ480" s="113"/>
      <c r="FA480" s="113"/>
      <c r="FB480" s="113"/>
      <c r="FC480" s="113"/>
      <c r="FD480" s="113"/>
      <c r="FE480" s="113"/>
      <c r="FF480" s="113"/>
      <c r="FG480" s="113"/>
      <c r="FH480" s="113"/>
      <c r="FI480" s="113"/>
      <c r="FJ480" s="113"/>
      <c r="FK480" s="113"/>
      <c r="FL480" s="113"/>
      <c r="FM480" s="113"/>
      <c r="FN480" s="113"/>
      <c r="FO480" s="113"/>
      <c r="FP480" s="113"/>
      <c r="FQ480" s="113"/>
      <c r="FR480" s="113"/>
      <c r="FS480" s="113"/>
      <c r="FT480" s="113"/>
      <c r="FU480" s="113"/>
      <c r="FV480" s="113"/>
      <c r="FW480" s="113"/>
      <c r="FX480" s="113"/>
      <c r="FY480" s="113"/>
      <c r="FZ480" s="113"/>
      <c r="GA480" s="113"/>
      <c r="GB480" s="113"/>
      <c r="GC480" s="113"/>
      <c r="GD480" s="113"/>
      <c r="GE480" s="113"/>
      <c r="GF480" s="113"/>
      <c r="GG480" s="113"/>
      <c r="GH480" s="113"/>
      <c r="GI480" s="113"/>
      <c r="GJ480" s="113"/>
      <c r="GK480" s="113"/>
      <c r="GL480" s="113"/>
      <c r="GM480" s="113"/>
      <c r="GN480" s="113"/>
      <c r="GO480" s="113"/>
      <c r="GP480" s="113"/>
      <c r="GQ480" s="113"/>
      <c r="GR480" s="113"/>
      <c r="GS480" s="113"/>
      <c r="GT480" s="113"/>
      <c r="GU480" s="113"/>
      <c r="GV480" s="113"/>
      <c r="GW480" s="113"/>
      <c r="GX480" s="113"/>
      <c r="GY480" s="113"/>
      <c r="GZ480" s="113"/>
      <c r="HA480" s="113"/>
      <c r="HB480" s="113"/>
      <c r="HC480" s="113"/>
      <c r="HD480" s="113"/>
      <c r="HE480" s="113"/>
      <c r="HF480" s="113"/>
      <c r="HG480" s="113"/>
      <c r="HH480" s="113"/>
      <c r="HI480" s="113"/>
      <c r="HJ480" s="113"/>
      <c r="HK480" s="113"/>
      <c r="HL480" s="113"/>
      <c r="HM480" s="113"/>
      <c r="HN480" s="113"/>
      <c r="HO480" s="113"/>
      <c r="HP480" s="113"/>
      <c r="HQ480" s="113"/>
      <c r="HR480" s="113"/>
      <c r="HS480" s="113"/>
      <c r="HT480" s="113"/>
      <c r="HU480" s="113"/>
      <c r="HV480" s="113"/>
      <c r="HW480" s="113"/>
      <c r="HX480" s="113"/>
      <c r="HY480" s="113"/>
      <c r="HZ480" s="113"/>
      <c r="IA480" s="113"/>
      <c r="IB480" s="113"/>
      <c r="IC480" s="113"/>
      <c r="ID480" s="113"/>
      <c r="IE480" s="113"/>
      <c r="IF480" s="113"/>
      <c r="IG480" s="113"/>
      <c r="IH480" s="113"/>
      <c r="II480" s="113"/>
      <c r="IJ480" s="113"/>
      <c r="IK480" s="113"/>
      <c r="IL480" s="113"/>
      <c r="IM480" s="113"/>
      <c r="IN480" s="113"/>
      <c r="IO480" s="113"/>
      <c r="IP480" s="113"/>
      <c r="IQ480" s="113"/>
      <c r="IR480" s="113"/>
      <c r="IS480" s="113"/>
      <c r="IT480" s="113"/>
      <c r="IU480" s="113"/>
      <c r="IV480" s="113"/>
      <c r="IW480" s="113"/>
      <c r="IX480" s="113"/>
      <c r="IY480" s="113"/>
      <c r="IZ480" s="113"/>
      <c r="JA480" s="113"/>
      <c r="JB480" s="113"/>
      <c r="JC480" s="113"/>
      <c r="JD480" s="113"/>
      <c r="JE480" s="113"/>
      <c r="JF480" s="113"/>
      <c r="JG480" s="113"/>
      <c r="JH480" s="113"/>
      <c r="JI480" s="113"/>
      <c r="JJ480" s="113"/>
      <c r="JK480" s="113"/>
      <c r="JL480" s="113"/>
      <c r="JM480" s="113"/>
      <c r="JN480" s="113"/>
      <c r="JO480" s="113"/>
      <c r="JP480" s="113"/>
      <c r="JQ480" s="113"/>
      <c r="JR480" s="113"/>
      <c r="JS480" s="113"/>
      <c r="JT480" s="113"/>
      <c r="JU480" s="113"/>
      <c r="JV480" s="113"/>
      <c r="JW480" s="113"/>
      <c r="JX480" s="113"/>
      <c r="JY480" s="113"/>
      <c r="JZ480" s="113"/>
      <c r="KA480" s="113"/>
      <c r="KB480" s="113"/>
      <c r="KC480" s="113"/>
      <c r="KD480" s="113"/>
      <c r="KE480" s="113"/>
      <c r="KF480" s="113"/>
      <c r="KG480" s="113"/>
      <c r="KH480" s="113"/>
      <c r="KI480" s="113"/>
      <c r="KJ480" s="113"/>
      <c r="KK480" s="113"/>
      <c r="KL480" s="113"/>
      <c r="KM480" s="113"/>
      <c r="KN480" s="113"/>
      <c r="KO480" s="113"/>
      <c r="KP480" s="113"/>
      <c r="KQ480" s="113"/>
      <c r="KR480" s="113"/>
      <c r="KS480" s="113"/>
      <c r="KT480" s="113"/>
      <c r="KU480" s="113"/>
      <c r="KV480" s="113"/>
      <c r="KW480" s="113"/>
      <c r="KX480" s="113"/>
      <c r="KY480" s="113"/>
      <c r="KZ480" s="113"/>
      <c r="LA480" s="113"/>
      <c r="LB480" s="113"/>
      <c r="LC480" s="113"/>
      <c r="LD480" s="113"/>
      <c r="LE480" s="113"/>
      <c r="LF480" s="113"/>
      <c r="LG480" s="113"/>
      <c r="LH480" s="113"/>
      <c r="LI480" s="113"/>
      <c r="LJ480" s="113"/>
      <c r="LK480" s="113"/>
      <c r="LL480" s="113"/>
      <c r="LM480" s="113"/>
      <c r="LN480" s="113"/>
      <c r="LO480" s="113"/>
      <c r="LP480" s="113"/>
      <c r="LQ480" s="113"/>
      <c r="LR480" s="113"/>
      <c r="LS480" s="113"/>
      <c r="LT480" s="113"/>
      <c r="LU480" s="113"/>
      <c r="LV480" s="113"/>
      <c r="LW480" s="113"/>
      <c r="LX480" s="113"/>
      <c r="LY480" s="113"/>
      <c r="LZ480" s="113"/>
      <c r="MA480" s="113"/>
      <c r="MB480" s="113"/>
      <c r="MC480" s="113"/>
      <c r="MD480" s="113"/>
      <c r="ME480" s="113"/>
      <c r="MF480" s="113"/>
      <c r="MG480" s="113"/>
      <c r="MH480" s="113"/>
      <c r="MI480" s="113"/>
      <c r="MJ480" s="113"/>
      <c r="MK480" s="113"/>
      <c r="ML480" s="113"/>
      <c r="MM480" s="113"/>
      <c r="MN480" s="113"/>
      <c r="MO480" s="113"/>
      <c r="MP480" s="113"/>
      <c r="MQ480" s="113"/>
      <c r="MR480" s="113"/>
      <c r="MS480" s="113"/>
      <c r="MT480" s="113"/>
      <c r="MU480" s="113"/>
      <c r="MV480" s="113"/>
      <c r="MW480" s="113"/>
      <c r="MX480" s="113"/>
      <c r="MY480" s="113"/>
      <c r="MZ480" s="113"/>
      <c r="NA480" s="113"/>
      <c r="NB480" s="113"/>
      <c r="NC480" s="113"/>
      <c r="ND480" s="113"/>
      <c r="NE480" s="113"/>
      <c r="NF480" s="113"/>
      <c r="NG480" s="113"/>
      <c r="NH480" s="113"/>
      <c r="NI480" s="113"/>
      <c r="NJ480" s="113"/>
      <c r="NK480" s="113"/>
      <c r="NL480" s="113"/>
      <c r="NM480" s="113"/>
      <c r="NN480" s="113"/>
      <c r="NO480" s="113"/>
      <c r="NP480" s="113"/>
      <c r="NQ480" s="113"/>
      <c r="NR480" s="113"/>
      <c r="NS480" s="113"/>
      <c r="NT480" s="113"/>
      <c r="NU480" s="113"/>
      <c r="NV480" s="113"/>
      <c r="NW480" s="113"/>
      <c r="NX480" s="113"/>
      <c r="NY480" s="113"/>
      <c r="NZ480" s="113"/>
      <c r="OA480" s="113"/>
      <c r="OB480" s="113"/>
      <c r="OC480" s="113"/>
      <c r="OD480" s="113"/>
      <c r="OE480" s="113"/>
      <c r="OF480" s="113"/>
      <c r="OG480" s="113"/>
      <c r="OH480" s="113"/>
      <c r="OI480" s="113"/>
      <c r="OJ480" s="113"/>
      <c r="OK480" s="113"/>
      <c r="OL480" s="113"/>
      <c r="OM480" s="113"/>
      <c r="ON480" s="113"/>
      <c r="OO480" s="113"/>
      <c r="OP480" s="113"/>
      <c r="OQ480" s="113"/>
      <c r="OR480" s="113"/>
      <c r="OS480" s="113"/>
      <c r="OT480" s="113"/>
      <c r="OU480" s="113"/>
      <c r="OV480" s="113"/>
      <c r="OW480" s="113"/>
      <c r="OX480" s="113"/>
      <c r="OY480" s="113"/>
      <c r="OZ480" s="113"/>
      <c r="PA480" s="113"/>
      <c r="PB480" s="113"/>
      <c r="PC480" s="113"/>
      <c r="PD480" s="113"/>
      <c r="PE480" s="113"/>
      <c r="PF480" s="113"/>
      <c r="PG480" s="113"/>
      <c r="PH480" s="113"/>
      <c r="PI480" s="113"/>
      <c r="PJ480" s="113"/>
      <c r="PK480" s="113"/>
      <c r="PL480" s="113"/>
      <c r="PM480" s="113"/>
      <c r="PN480" s="113"/>
      <c r="PO480" s="113"/>
      <c r="PP480" s="113"/>
      <c r="PQ480" s="113"/>
      <c r="PR480" s="113"/>
      <c r="PS480" s="113"/>
      <c r="PT480" s="113"/>
      <c r="PU480" s="113"/>
      <c r="PV480" s="113"/>
      <c r="PW480" s="113"/>
      <c r="PX480" s="113"/>
      <c r="PY480" s="113"/>
      <c r="PZ480" s="113"/>
      <c r="QA480" s="113"/>
      <c r="QB480" s="113"/>
      <c r="QC480" s="113"/>
      <c r="QD480" s="113"/>
      <c r="QE480" s="113"/>
      <c r="QF480" s="113"/>
      <c r="QG480" s="113"/>
      <c r="QH480" s="113"/>
      <c r="QI480" s="113"/>
      <c r="QJ480" s="113"/>
      <c r="QK480" s="113"/>
      <c r="QL480" s="113"/>
      <c r="QM480" s="113"/>
      <c r="QN480" s="113"/>
      <c r="QO480" s="113"/>
      <c r="QP480" s="113"/>
      <c r="QQ480" s="113"/>
      <c r="QR480" s="113"/>
      <c r="QS480" s="113"/>
      <c r="QT480" s="113"/>
      <c r="QU480" s="113"/>
      <c r="QV480" s="113"/>
      <c r="QW480" s="113"/>
      <c r="QX480" s="113"/>
      <c r="QY480" s="113"/>
      <c r="QZ480" s="113"/>
      <c r="RA480" s="113"/>
      <c r="RB480" s="113"/>
      <c r="RC480" s="113"/>
      <c r="RD480" s="113"/>
      <c r="RE480" s="113"/>
      <c r="RF480" s="113"/>
      <c r="RG480" s="113"/>
      <c r="RH480" s="113"/>
      <c r="RI480" s="113"/>
      <c r="RJ480" s="113"/>
      <c r="RK480" s="113"/>
      <c r="RL480" s="113"/>
      <c r="RM480" s="113"/>
      <c r="RN480" s="113"/>
      <c r="RO480" s="113"/>
      <c r="RP480" s="113"/>
      <c r="RQ480" s="113"/>
      <c r="RR480" s="113"/>
      <c r="RS480" s="113"/>
      <c r="RT480" s="113"/>
      <c r="RU480" s="113"/>
      <c r="RV480" s="113"/>
      <c r="RW480" s="113"/>
      <c r="RX480" s="113"/>
      <c r="RY480" s="113"/>
      <c r="RZ480" s="113"/>
      <c r="SA480" s="113"/>
      <c r="SB480" s="113"/>
      <c r="SC480" s="113"/>
      <c r="SD480" s="113"/>
      <c r="SE480" s="113"/>
      <c r="SF480" s="113"/>
      <c r="SG480" s="113"/>
      <c r="SH480" s="113"/>
      <c r="SI480" s="113"/>
      <c r="SJ480" s="113"/>
      <c r="SK480" s="113"/>
      <c r="SL480" s="113"/>
      <c r="SM480" s="113"/>
      <c r="SN480" s="113"/>
      <c r="SO480" s="113"/>
      <c r="SP480" s="113"/>
      <c r="SQ480" s="113"/>
      <c r="SR480" s="113"/>
      <c r="SS480" s="113"/>
      <c r="ST480" s="113"/>
      <c r="SU480" s="113"/>
      <c r="SV480" s="113"/>
      <c r="SW480" s="113"/>
      <c r="SX480" s="113"/>
      <c r="SY480" s="113"/>
      <c r="SZ480" s="113"/>
      <c r="TA480" s="113"/>
      <c r="TB480" s="113"/>
      <c r="TC480" s="113"/>
      <c r="TD480" s="113"/>
      <c r="TE480" s="113"/>
      <c r="TF480" s="113"/>
      <c r="TG480" s="113"/>
      <c r="TH480" s="113"/>
      <c r="TI480" s="113"/>
      <c r="TJ480" s="113"/>
      <c r="TK480" s="113"/>
      <c r="TL480" s="113"/>
      <c r="TM480" s="113"/>
      <c r="TN480" s="113"/>
      <c r="TO480" s="113"/>
      <c r="TP480" s="113"/>
      <c r="TQ480" s="113"/>
      <c r="TR480" s="113"/>
      <c r="TS480" s="113"/>
      <c r="TT480" s="113"/>
      <c r="TU480" s="113"/>
      <c r="TV480" s="113"/>
      <c r="TW480" s="113"/>
      <c r="TX480" s="113"/>
      <c r="TY480" s="113"/>
      <c r="TZ480" s="113"/>
      <c r="UA480" s="113"/>
      <c r="UB480" s="113"/>
      <c r="UC480" s="113"/>
      <c r="UD480" s="113"/>
      <c r="UE480" s="113"/>
      <c r="UF480" s="113"/>
      <c r="UG480" s="126"/>
    </row>
    <row r="481" spans="1:553" s="109" customFormat="1" ht="30.75" customHeight="1">
      <c r="A481" s="366" t="s">
        <v>15</v>
      </c>
      <c r="B481" s="366"/>
      <c r="C481" s="1404" t="s">
        <v>52</v>
      </c>
      <c r="D481" s="1389"/>
      <c r="E481" s="1389"/>
      <c r="F481" s="1390"/>
      <c r="G481" s="366" t="s">
        <v>255</v>
      </c>
      <c r="H481" s="370"/>
      <c r="I481" s="422">
        <f>I408</f>
        <v>47.5</v>
      </c>
      <c r="J481" s="368">
        <v>16000</v>
      </c>
      <c r="K481" s="388"/>
      <c r="L481" s="480">
        <f>ROUND(PRODUCT(I481:K481),0)</f>
        <v>760000</v>
      </c>
      <c r="M481" s="366"/>
      <c r="N481" s="366"/>
      <c r="O481" s="366"/>
      <c r="P481" s="366"/>
      <c r="Q481" s="1135"/>
      <c r="R481" s="1452"/>
      <c r="S481" s="308"/>
      <c r="T481" s="303"/>
      <c r="U481" s="306"/>
      <c r="V481" s="307"/>
      <c r="W481" s="307"/>
      <c r="X481" s="307"/>
      <c r="Y481" s="307"/>
      <c r="Z481" s="307"/>
      <c r="AA481" s="307"/>
      <c r="AB481" s="307"/>
      <c r="AC481" s="449"/>
      <c r="AD481" s="452"/>
      <c r="AE481" s="452"/>
      <c r="AF481" s="452"/>
      <c r="AG481" s="452"/>
      <c r="AH481" s="452"/>
      <c r="AI481" s="452"/>
      <c r="AJ481" s="452"/>
      <c r="AK481" s="452"/>
      <c r="AL481" s="117"/>
      <c r="AM481" s="113"/>
      <c r="AN481" s="113"/>
      <c r="AO481" s="113"/>
      <c r="AP481" s="113"/>
      <c r="AQ481" s="113"/>
      <c r="AR481" s="113"/>
      <c r="AS481" s="113"/>
      <c r="AT481" s="113"/>
      <c r="AU481" s="113"/>
      <c r="AV481" s="113"/>
      <c r="AW481" s="113"/>
      <c r="AX481" s="113"/>
      <c r="AY481" s="113"/>
      <c r="AZ481" s="113"/>
      <c r="BA481" s="113"/>
      <c r="BB481" s="113"/>
      <c r="BC481" s="113"/>
      <c r="BD481" s="113"/>
      <c r="BE481" s="113"/>
      <c r="BF481" s="113"/>
      <c r="BG481" s="113"/>
      <c r="BH481" s="113"/>
      <c r="BI481" s="113"/>
      <c r="BJ481" s="113"/>
      <c r="BK481" s="113"/>
      <c r="BL481" s="113"/>
      <c r="BM481" s="113"/>
      <c r="BN481" s="113"/>
      <c r="BO481" s="113"/>
      <c r="BP481" s="113"/>
      <c r="BQ481" s="113"/>
      <c r="BR481" s="113"/>
      <c r="BS481" s="113"/>
      <c r="BT481" s="113"/>
      <c r="BU481" s="113"/>
      <c r="BV481" s="113"/>
      <c r="BW481" s="113"/>
      <c r="BX481" s="113"/>
      <c r="BY481" s="113"/>
      <c r="BZ481" s="113"/>
      <c r="CA481" s="113"/>
      <c r="CB481" s="113"/>
      <c r="CC481" s="113"/>
      <c r="CD481" s="113"/>
      <c r="CE481" s="113"/>
      <c r="CF481" s="113"/>
      <c r="CG481" s="113"/>
      <c r="CH481" s="113"/>
      <c r="CI481" s="113"/>
      <c r="CJ481" s="113"/>
      <c r="CK481" s="113"/>
      <c r="CL481" s="113"/>
      <c r="CM481" s="113"/>
      <c r="CN481" s="113"/>
      <c r="CO481" s="113"/>
      <c r="CP481" s="113"/>
      <c r="CQ481" s="113"/>
      <c r="CR481" s="113"/>
      <c r="CS481" s="113"/>
      <c r="CT481" s="113"/>
      <c r="CU481" s="113"/>
      <c r="CV481" s="113"/>
      <c r="CW481" s="113"/>
      <c r="CX481" s="113"/>
      <c r="CY481" s="113"/>
      <c r="CZ481" s="113"/>
      <c r="DA481" s="113"/>
      <c r="DB481" s="113"/>
      <c r="DC481" s="113"/>
      <c r="DD481" s="113"/>
      <c r="DE481" s="113"/>
      <c r="DF481" s="113"/>
      <c r="DG481" s="113"/>
      <c r="DH481" s="113"/>
      <c r="DI481" s="113"/>
      <c r="DJ481" s="113"/>
      <c r="DK481" s="113"/>
      <c r="DL481" s="113"/>
      <c r="DM481" s="113"/>
      <c r="DN481" s="113"/>
      <c r="DO481" s="113"/>
      <c r="DP481" s="113"/>
      <c r="DQ481" s="113"/>
      <c r="DR481" s="113"/>
      <c r="DS481" s="113"/>
      <c r="DT481" s="113"/>
      <c r="DU481" s="113"/>
      <c r="DV481" s="113"/>
      <c r="DW481" s="113"/>
      <c r="DX481" s="113"/>
      <c r="DY481" s="113"/>
      <c r="DZ481" s="113"/>
      <c r="EA481" s="113"/>
      <c r="EB481" s="113"/>
      <c r="EC481" s="113"/>
      <c r="ED481" s="113"/>
      <c r="EE481" s="113"/>
      <c r="EF481" s="113"/>
      <c r="EG481" s="113"/>
      <c r="EH481" s="113"/>
      <c r="EI481" s="113"/>
      <c r="EJ481" s="113"/>
      <c r="EK481" s="113"/>
      <c r="EL481" s="113"/>
      <c r="EM481" s="113"/>
      <c r="EN481" s="113"/>
      <c r="EO481" s="113"/>
      <c r="EP481" s="113"/>
      <c r="EQ481" s="113"/>
      <c r="ER481" s="113"/>
      <c r="ES481" s="113"/>
      <c r="ET481" s="113"/>
      <c r="EU481" s="113"/>
      <c r="EV481" s="113"/>
      <c r="EW481" s="113"/>
      <c r="EX481" s="113"/>
      <c r="EY481" s="113"/>
      <c r="EZ481" s="113"/>
      <c r="FA481" s="113"/>
      <c r="FB481" s="113"/>
      <c r="FC481" s="113"/>
      <c r="FD481" s="113"/>
      <c r="FE481" s="113"/>
      <c r="FF481" s="113"/>
      <c r="FG481" s="113"/>
      <c r="FH481" s="113"/>
      <c r="FI481" s="113"/>
      <c r="FJ481" s="113"/>
      <c r="FK481" s="113"/>
      <c r="FL481" s="113"/>
      <c r="FM481" s="113"/>
      <c r="FN481" s="113"/>
      <c r="FO481" s="113"/>
      <c r="FP481" s="113"/>
      <c r="FQ481" s="113"/>
      <c r="FR481" s="113"/>
      <c r="FS481" s="113"/>
      <c r="FT481" s="113"/>
      <c r="FU481" s="113"/>
      <c r="FV481" s="113"/>
      <c r="FW481" s="113"/>
      <c r="FX481" s="113"/>
      <c r="FY481" s="113"/>
      <c r="FZ481" s="113"/>
      <c r="GA481" s="113"/>
      <c r="GB481" s="113"/>
      <c r="GC481" s="113"/>
      <c r="GD481" s="113"/>
      <c r="GE481" s="113"/>
      <c r="GF481" s="113"/>
      <c r="GG481" s="113"/>
      <c r="GH481" s="113"/>
      <c r="GI481" s="113"/>
      <c r="GJ481" s="113"/>
      <c r="GK481" s="113"/>
      <c r="GL481" s="113"/>
      <c r="GM481" s="113"/>
      <c r="GN481" s="113"/>
      <c r="GO481" s="113"/>
      <c r="GP481" s="113"/>
      <c r="GQ481" s="113"/>
      <c r="GR481" s="113"/>
      <c r="GS481" s="113"/>
      <c r="GT481" s="113"/>
      <c r="GU481" s="113"/>
      <c r="GV481" s="113"/>
      <c r="GW481" s="113"/>
      <c r="GX481" s="113"/>
      <c r="GY481" s="113"/>
      <c r="GZ481" s="113"/>
      <c r="HA481" s="113"/>
      <c r="HB481" s="113"/>
      <c r="HC481" s="113"/>
      <c r="HD481" s="113"/>
      <c r="HE481" s="113"/>
      <c r="HF481" s="113"/>
      <c r="HG481" s="113"/>
      <c r="HH481" s="113"/>
      <c r="HI481" s="113"/>
      <c r="HJ481" s="113"/>
      <c r="HK481" s="113"/>
      <c r="HL481" s="113"/>
      <c r="HM481" s="113"/>
      <c r="HN481" s="113"/>
      <c r="HO481" s="113"/>
      <c r="HP481" s="113"/>
      <c r="HQ481" s="113"/>
      <c r="HR481" s="113"/>
      <c r="HS481" s="113"/>
      <c r="HT481" s="113"/>
      <c r="HU481" s="113"/>
      <c r="HV481" s="113"/>
      <c r="HW481" s="113"/>
      <c r="HX481" s="113"/>
      <c r="HY481" s="113"/>
      <c r="HZ481" s="113"/>
      <c r="IA481" s="113"/>
      <c r="IB481" s="113"/>
      <c r="IC481" s="113"/>
      <c r="ID481" s="113"/>
      <c r="IE481" s="113"/>
      <c r="IF481" s="113"/>
      <c r="IG481" s="113"/>
      <c r="IH481" s="113"/>
      <c r="II481" s="113"/>
      <c r="IJ481" s="113"/>
      <c r="IK481" s="113"/>
      <c r="IL481" s="113"/>
      <c r="IM481" s="113"/>
      <c r="IN481" s="113"/>
      <c r="IO481" s="113"/>
      <c r="IP481" s="113"/>
      <c r="IQ481" s="113"/>
      <c r="IR481" s="113"/>
      <c r="IS481" s="113"/>
      <c r="IT481" s="113"/>
      <c r="IU481" s="113"/>
      <c r="IV481" s="113"/>
      <c r="IW481" s="113"/>
      <c r="IX481" s="113"/>
      <c r="IY481" s="113"/>
      <c r="IZ481" s="113"/>
      <c r="JA481" s="113"/>
      <c r="JB481" s="113"/>
      <c r="JC481" s="113"/>
      <c r="JD481" s="113"/>
      <c r="JE481" s="113"/>
      <c r="JF481" s="113"/>
      <c r="JG481" s="113"/>
      <c r="JH481" s="113"/>
      <c r="JI481" s="113"/>
      <c r="JJ481" s="113"/>
      <c r="JK481" s="113"/>
      <c r="JL481" s="113"/>
      <c r="JM481" s="113"/>
      <c r="JN481" s="113"/>
      <c r="JO481" s="113"/>
      <c r="JP481" s="113"/>
      <c r="JQ481" s="113"/>
      <c r="JR481" s="113"/>
      <c r="JS481" s="113"/>
      <c r="JT481" s="113"/>
      <c r="JU481" s="113"/>
      <c r="JV481" s="113"/>
      <c r="JW481" s="113"/>
      <c r="JX481" s="113"/>
      <c r="JY481" s="113"/>
      <c r="JZ481" s="113"/>
      <c r="KA481" s="113"/>
      <c r="KB481" s="113"/>
      <c r="KC481" s="113"/>
      <c r="KD481" s="113"/>
      <c r="KE481" s="113"/>
      <c r="KF481" s="113"/>
      <c r="KG481" s="113"/>
      <c r="KH481" s="113"/>
      <c r="KI481" s="113"/>
      <c r="KJ481" s="113"/>
      <c r="KK481" s="113"/>
      <c r="KL481" s="113"/>
      <c r="KM481" s="113"/>
      <c r="KN481" s="113"/>
      <c r="KO481" s="113"/>
      <c r="KP481" s="113"/>
      <c r="KQ481" s="113"/>
      <c r="KR481" s="113"/>
      <c r="KS481" s="113"/>
      <c r="KT481" s="113"/>
      <c r="KU481" s="113"/>
      <c r="KV481" s="113"/>
      <c r="KW481" s="113"/>
      <c r="KX481" s="113"/>
      <c r="KY481" s="113"/>
      <c r="KZ481" s="113"/>
      <c r="LA481" s="113"/>
      <c r="LB481" s="113"/>
      <c r="LC481" s="113"/>
      <c r="LD481" s="113"/>
      <c r="LE481" s="113"/>
      <c r="LF481" s="113"/>
      <c r="LG481" s="113"/>
      <c r="LH481" s="113"/>
      <c r="LI481" s="113"/>
      <c r="LJ481" s="113"/>
      <c r="LK481" s="113"/>
      <c r="LL481" s="113"/>
      <c r="LM481" s="113"/>
      <c r="LN481" s="113"/>
      <c r="LO481" s="113"/>
      <c r="LP481" s="113"/>
      <c r="LQ481" s="113"/>
      <c r="LR481" s="113"/>
      <c r="LS481" s="113"/>
      <c r="LT481" s="113"/>
      <c r="LU481" s="113"/>
      <c r="LV481" s="113"/>
      <c r="LW481" s="113"/>
      <c r="LX481" s="113"/>
      <c r="LY481" s="113"/>
      <c r="LZ481" s="113"/>
      <c r="MA481" s="113"/>
      <c r="MB481" s="113"/>
      <c r="MC481" s="113"/>
      <c r="MD481" s="113"/>
      <c r="ME481" s="113"/>
      <c r="MF481" s="113"/>
      <c r="MG481" s="113"/>
      <c r="MH481" s="113"/>
      <c r="MI481" s="113"/>
      <c r="MJ481" s="113"/>
      <c r="MK481" s="113"/>
      <c r="ML481" s="113"/>
      <c r="MM481" s="113"/>
      <c r="MN481" s="113"/>
      <c r="MO481" s="113"/>
      <c r="MP481" s="113"/>
      <c r="MQ481" s="113"/>
      <c r="MR481" s="113"/>
      <c r="MS481" s="113"/>
      <c r="MT481" s="113"/>
      <c r="MU481" s="113"/>
      <c r="MV481" s="113"/>
      <c r="MW481" s="113"/>
      <c r="MX481" s="113"/>
      <c r="MY481" s="113"/>
      <c r="MZ481" s="113"/>
      <c r="NA481" s="113"/>
      <c r="NB481" s="113"/>
      <c r="NC481" s="113"/>
      <c r="ND481" s="113"/>
      <c r="NE481" s="113"/>
      <c r="NF481" s="113"/>
      <c r="NG481" s="113"/>
      <c r="NH481" s="113"/>
      <c r="NI481" s="113"/>
      <c r="NJ481" s="113"/>
      <c r="NK481" s="113"/>
      <c r="NL481" s="113"/>
      <c r="NM481" s="113"/>
      <c r="NN481" s="113"/>
      <c r="NO481" s="113"/>
      <c r="NP481" s="113"/>
      <c r="NQ481" s="113"/>
      <c r="NR481" s="113"/>
      <c r="NS481" s="113"/>
      <c r="NT481" s="113"/>
      <c r="NU481" s="113"/>
      <c r="NV481" s="113"/>
      <c r="NW481" s="113"/>
      <c r="NX481" s="113"/>
      <c r="NY481" s="113"/>
      <c r="NZ481" s="113"/>
      <c r="OA481" s="113"/>
      <c r="OB481" s="113"/>
      <c r="OC481" s="113"/>
      <c r="OD481" s="113"/>
      <c r="OE481" s="113"/>
      <c r="OF481" s="113"/>
      <c r="OG481" s="113"/>
      <c r="OH481" s="113"/>
      <c r="OI481" s="113"/>
      <c r="OJ481" s="113"/>
      <c r="OK481" s="113"/>
      <c r="OL481" s="113"/>
      <c r="OM481" s="113"/>
      <c r="ON481" s="113"/>
      <c r="OO481" s="113"/>
      <c r="OP481" s="113"/>
      <c r="OQ481" s="113"/>
      <c r="OR481" s="113"/>
      <c r="OS481" s="113"/>
      <c r="OT481" s="113"/>
      <c r="OU481" s="113"/>
      <c r="OV481" s="113"/>
      <c r="OW481" s="113"/>
      <c r="OX481" s="113"/>
      <c r="OY481" s="113"/>
      <c r="OZ481" s="113"/>
      <c r="PA481" s="113"/>
      <c r="PB481" s="113"/>
      <c r="PC481" s="113"/>
      <c r="PD481" s="113"/>
      <c r="PE481" s="113"/>
      <c r="PF481" s="113"/>
      <c r="PG481" s="113"/>
      <c r="PH481" s="113"/>
      <c r="PI481" s="113"/>
      <c r="PJ481" s="113"/>
      <c r="PK481" s="113"/>
      <c r="PL481" s="113"/>
      <c r="PM481" s="113"/>
      <c r="PN481" s="113"/>
      <c r="PO481" s="113"/>
      <c r="PP481" s="113"/>
      <c r="PQ481" s="113"/>
      <c r="PR481" s="113"/>
      <c r="PS481" s="113"/>
      <c r="PT481" s="113"/>
      <c r="PU481" s="113"/>
      <c r="PV481" s="113"/>
      <c r="PW481" s="113"/>
      <c r="PX481" s="113"/>
      <c r="PY481" s="113"/>
      <c r="PZ481" s="113"/>
      <c r="QA481" s="113"/>
      <c r="QB481" s="113"/>
      <c r="QC481" s="113"/>
      <c r="QD481" s="113"/>
      <c r="QE481" s="113"/>
      <c r="QF481" s="113"/>
      <c r="QG481" s="113"/>
      <c r="QH481" s="113"/>
      <c r="QI481" s="113"/>
      <c r="QJ481" s="113"/>
      <c r="QK481" s="113"/>
      <c r="QL481" s="113"/>
      <c r="QM481" s="113"/>
      <c r="QN481" s="113"/>
      <c r="QO481" s="113"/>
      <c r="QP481" s="113"/>
      <c r="QQ481" s="113"/>
      <c r="QR481" s="113"/>
      <c r="QS481" s="113"/>
      <c r="QT481" s="113"/>
      <c r="QU481" s="113"/>
      <c r="QV481" s="113"/>
      <c r="QW481" s="113"/>
      <c r="QX481" s="113"/>
      <c r="QY481" s="113"/>
      <c r="QZ481" s="113"/>
      <c r="RA481" s="113"/>
      <c r="RB481" s="113"/>
      <c r="RC481" s="113"/>
      <c r="RD481" s="113"/>
      <c r="RE481" s="113"/>
      <c r="RF481" s="113"/>
      <c r="RG481" s="113"/>
      <c r="RH481" s="113"/>
      <c r="RI481" s="113"/>
      <c r="RJ481" s="113"/>
      <c r="RK481" s="113"/>
      <c r="RL481" s="113"/>
      <c r="RM481" s="113"/>
      <c r="RN481" s="113"/>
      <c r="RO481" s="113"/>
      <c r="RP481" s="113"/>
      <c r="RQ481" s="113"/>
      <c r="RR481" s="113"/>
      <c r="RS481" s="113"/>
      <c r="RT481" s="113"/>
      <c r="RU481" s="113"/>
      <c r="RV481" s="113"/>
      <c r="RW481" s="113"/>
      <c r="RX481" s="113"/>
      <c r="RY481" s="113"/>
      <c r="RZ481" s="113"/>
      <c r="SA481" s="113"/>
      <c r="SB481" s="113"/>
      <c r="SC481" s="113"/>
      <c r="SD481" s="113"/>
      <c r="SE481" s="113"/>
      <c r="SF481" s="113"/>
      <c r="SG481" s="113"/>
      <c r="SH481" s="113"/>
      <c r="SI481" s="113"/>
      <c r="SJ481" s="113"/>
      <c r="SK481" s="113"/>
      <c r="SL481" s="113"/>
      <c r="SM481" s="113"/>
      <c r="SN481" s="113"/>
      <c r="SO481" s="113"/>
      <c r="SP481" s="113"/>
      <c r="SQ481" s="113"/>
      <c r="SR481" s="113"/>
      <c r="SS481" s="113"/>
      <c r="ST481" s="113"/>
      <c r="SU481" s="113"/>
      <c r="SV481" s="113"/>
      <c r="SW481" s="113"/>
      <c r="SX481" s="113"/>
      <c r="SY481" s="113"/>
      <c r="SZ481" s="113"/>
      <c r="TA481" s="113"/>
      <c r="TB481" s="113"/>
      <c r="TC481" s="113"/>
      <c r="TD481" s="113"/>
      <c r="TE481" s="113"/>
      <c r="TF481" s="113"/>
      <c r="TG481" s="113"/>
      <c r="TH481" s="113"/>
      <c r="TI481" s="113"/>
      <c r="TJ481" s="113"/>
      <c r="TK481" s="113"/>
      <c r="TL481" s="113"/>
      <c r="TM481" s="113"/>
      <c r="TN481" s="113"/>
      <c r="TO481" s="113"/>
      <c r="TP481" s="113"/>
      <c r="TQ481" s="113"/>
      <c r="TR481" s="113"/>
      <c r="TS481" s="113"/>
      <c r="TT481" s="113"/>
      <c r="TU481" s="113"/>
      <c r="TV481" s="113"/>
      <c r="TW481" s="113"/>
      <c r="TX481" s="113"/>
      <c r="TY481" s="113"/>
      <c r="TZ481" s="113"/>
      <c r="UA481" s="113"/>
      <c r="UB481" s="113"/>
      <c r="UC481" s="113"/>
      <c r="UD481" s="113"/>
      <c r="UE481" s="113"/>
      <c r="UF481" s="113"/>
      <c r="UG481" s="126"/>
    </row>
    <row r="482" spans="1:553" s="109" customFormat="1" ht="30.75" customHeight="1">
      <c r="A482" s="366"/>
      <c r="B482" s="366"/>
      <c r="C482" s="1453" t="s">
        <v>909</v>
      </c>
      <c r="D482" s="1389"/>
      <c r="E482" s="1389"/>
      <c r="F482" s="1390"/>
      <c r="G482" s="366"/>
      <c r="H482" s="370"/>
      <c r="I482" s="422"/>
      <c r="J482" s="368"/>
      <c r="K482" s="388"/>
      <c r="L482" s="480"/>
      <c r="M482" s="366"/>
      <c r="N482" s="366"/>
      <c r="O482" s="366"/>
      <c r="P482" s="366"/>
      <c r="Q482" s="1135"/>
      <c r="R482" s="1452"/>
      <c r="S482" s="308"/>
      <c r="T482" s="303"/>
      <c r="U482" s="306"/>
      <c r="V482" s="307"/>
      <c r="W482" s="307"/>
      <c r="X482" s="307"/>
      <c r="Y482" s="307"/>
      <c r="Z482" s="307"/>
      <c r="AA482" s="307"/>
      <c r="AB482" s="307"/>
      <c r="AC482" s="449"/>
      <c r="AD482" s="452"/>
      <c r="AE482" s="452"/>
      <c r="AF482" s="452"/>
      <c r="AG482" s="452"/>
      <c r="AH482" s="452"/>
      <c r="AI482" s="452"/>
      <c r="AJ482" s="452"/>
      <c r="AK482" s="452"/>
      <c r="AL482" s="117"/>
      <c r="AM482" s="113"/>
      <c r="AN482" s="113"/>
      <c r="AO482" s="113"/>
      <c r="AP482" s="113"/>
      <c r="AQ482" s="113"/>
      <c r="AR482" s="113"/>
      <c r="AS482" s="113"/>
      <c r="AT482" s="113"/>
      <c r="AU482" s="113"/>
      <c r="AV482" s="113"/>
      <c r="AW482" s="113"/>
      <c r="AX482" s="113"/>
      <c r="AY482" s="113"/>
      <c r="AZ482" s="113"/>
      <c r="BA482" s="113"/>
      <c r="BB482" s="113"/>
      <c r="BC482" s="113"/>
      <c r="BD482" s="113"/>
      <c r="BE482" s="113"/>
      <c r="BF482" s="113"/>
      <c r="BG482" s="113"/>
      <c r="BH482" s="113"/>
      <c r="BI482" s="113"/>
      <c r="BJ482" s="113"/>
      <c r="BK482" s="113"/>
      <c r="BL482" s="113"/>
      <c r="BM482" s="113"/>
      <c r="BN482" s="113"/>
      <c r="BO482" s="113"/>
      <c r="BP482" s="113"/>
      <c r="BQ482" s="113"/>
      <c r="BR482" s="113"/>
      <c r="BS482" s="113"/>
      <c r="BT482" s="113"/>
      <c r="BU482" s="113"/>
      <c r="BV482" s="113"/>
      <c r="BW482" s="113"/>
      <c r="BX482" s="113"/>
      <c r="BY482" s="113"/>
      <c r="BZ482" s="113"/>
      <c r="CA482" s="113"/>
      <c r="CB482" s="113"/>
      <c r="CC482" s="113"/>
      <c r="CD482" s="113"/>
      <c r="CE482" s="113"/>
      <c r="CF482" s="113"/>
      <c r="CG482" s="113"/>
      <c r="CH482" s="113"/>
      <c r="CI482" s="113"/>
      <c r="CJ482" s="113"/>
      <c r="CK482" s="113"/>
      <c r="CL482" s="113"/>
      <c r="CM482" s="113"/>
      <c r="CN482" s="113"/>
      <c r="CO482" s="113"/>
      <c r="CP482" s="113"/>
      <c r="CQ482" s="113"/>
      <c r="CR482" s="113"/>
      <c r="CS482" s="113"/>
      <c r="CT482" s="113"/>
      <c r="CU482" s="113"/>
      <c r="CV482" s="113"/>
      <c r="CW482" s="113"/>
      <c r="CX482" s="113"/>
      <c r="CY482" s="113"/>
      <c r="CZ482" s="113"/>
      <c r="DA482" s="113"/>
      <c r="DB482" s="113"/>
      <c r="DC482" s="113"/>
      <c r="DD482" s="113"/>
      <c r="DE482" s="113"/>
      <c r="DF482" s="113"/>
      <c r="DG482" s="113"/>
      <c r="DH482" s="113"/>
      <c r="DI482" s="113"/>
      <c r="DJ482" s="113"/>
      <c r="DK482" s="113"/>
      <c r="DL482" s="113"/>
      <c r="DM482" s="113"/>
      <c r="DN482" s="113"/>
      <c r="DO482" s="113"/>
      <c r="DP482" s="113"/>
      <c r="DQ482" s="113"/>
      <c r="DR482" s="113"/>
      <c r="DS482" s="113"/>
      <c r="DT482" s="113"/>
      <c r="DU482" s="113"/>
      <c r="DV482" s="113"/>
      <c r="DW482" s="113"/>
      <c r="DX482" s="113"/>
      <c r="DY482" s="113"/>
      <c r="DZ482" s="113"/>
      <c r="EA482" s="113"/>
      <c r="EB482" s="113"/>
      <c r="EC482" s="113"/>
      <c r="ED482" s="113"/>
      <c r="EE482" s="113"/>
      <c r="EF482" s="113"/>
      <c r="EG482" s="113"/>
      <c r="EH482" s="113"/>
      <c r="EI482" s="113"/>
      <c r="EJ482" s="113"/>
      <c r="EK482" s="113"/>
      <c r="EL482" s="113"/>
      <c r="EM482" s="113"/>
      <c r="EN482" s="113"/>
      <c r="EO482" s="113"/>
      <c r="EP482" s="113"/>
      <c r="EQ482" s="113"/>
      <c r="ER482" s="113"/>
      <c r="ES482" s="113"/>
      <c r="ET482" s="113"/>
      <c r="EU482" s="113"/>
      <c r="EV482" s="113"/>
      <c r="EW482" s="113"/>
      <c r="EX482" s="113"/>
      <c r="EY482" s="113"/>
      <c r="EZ482" s="113"/>
      <c r="FA482" s="113"/>
      <c r="FB482" s="113"/>
      <c r="FC482" s="113"/>
      <c r="FD482" s="113"/>
      <c r="FE482" s="113"/>
      <c r="FF482" s="113"/>
      <c r="FG482" s="113"/>
      <c r="FH482" s="113"/>
      <c r="FI482" s="113"/>
      <c r="FJ482" s="113"/>
      <c r="FK482" s="113"/>
      <c r="FL482" s="113"/>
      <c r="FM482" s="113"/>
      <c r="FN482" s="113"/>
      <c r="FO482" s="113"/>
      <c r="FP482" s="113"/>
      <c r="FQ482" s="113"/>
      <c r="FR482" s="113"/>
      <c r="FS482" s="113"/>
      <c r="FT482" s="113"/>
      <c r="FU482" s="113"/>
      <c r="FV482" s="113"/>
      <c r="FW482" s="113"/>
      <c r="FX482" s="113"/>
      <c r="FY482" s="113"/>
      <c r="FZ482" s="113"/>
      <c r="GA482" s="113"/>
      <c r="GB482" s="113"/>
      <c r="GC482" s="113"/>
      <c r="GD482" s="113"/>
      <c r="GE482" s="113"/>
      <c r="GF482" s="113"/>
      <c r="GG482" s="113"/>
      <c r="GH482" s="113"/>
      <c r="GI482" s="113"/>
      <c r="GJ482" s="113"/>
      <c r="GK482" s="113"/>
      <c r="GL482" s="113"/>
      <c r="GM482" s="113"/>
      <c r="GN482" s="113"/>
      <c r="GO482" s="113"/>
      <c r="GP482" s="113"/>
      <c r="GQ482" s="113"/>
      <c r="GR482" s="113"/>
      <c r="GS482" s="113"/>
      <c r="GT482" s="113"/>
      <c r="GU482" s="113"/>
      <c r="GV482" s="113"/>
      <c r="GW482" s="113"/>
      <c r="GX482" s="113"/>
      <c r="GY482" s="113"/>
      <c r="GZ482" s="113"/>
      <c r="HA482" s="113"/>
      <c r="HB482" s="113"/>
      <c r="HC482" s="113"/>
      <c r="HD482" s="113"/>
      <c r="HE482" s="113"/>
      <c r="HF482" s="113"/>
      <c r="HG482" s="113"/>
      <c r="HH482" s="113"/>
      <c r="HI482" s="113"/>
      <c r="HJ482" s="113"/>
      <c r="HK482" s="113"/>
      <c r="HL482" s="113"/>
      <c r="HM482" s="113"/>
      <c r="HN482" s="113"/>
      <c r="HO482" s="113"/>
      <c r="HP482" s="113"/>
      <c r="HQ482" s="113"/>
      <c r="HR482" s="113"/>
      <c r="HS482" s="113"/>
      <c r="HT482" s="113"/>
      <c r="HU482" s="113"/>
      <c r="HV482" s="113"/>
      <c r="HW482" s="113"/>
      <c r="HX482" s="113"/>
      <c r="HY482" s="113"/>
      <c r="HZ482" s="113"/>
      <c r="IA482" s="113"/>
      <c r="IB482" s="113"/>
      <c r="IC482" s="113"/>
      <c r="ID482" s="113"/>
      <c r="IE482" s="113"/>
      <c r="IF482" s="113"/>
      <c r="IG482" s="113"/>
      <c r="IH482" s="113"/>
      <c r="II482" s="113"/>
      <c r="IJ482" s="113"/>
      <c r="IK482" s="113"/>
      <c r="IL482" s="113"/>
      <c r="IM482" s="113"/>
      <c r="IN482" s="113"/>
      <c r="IO482" s="113"/>
      <c r="IP482" s="113"/>
      <c r="IQ482" s="113"/>
      <c r="IR482" s="113"/>
      <c r="IS482" s="113"/>
      <c r="IT482" s="113"/>
      <c r="IU482" s="113"/>
      <c r="IV482" s="113"/>
      <c r="IW482" s="113"/>
      <c r="IX482" s="113"/>
      <c r="IY482" s="113"/>
      <c r="IZ482" s="113"/>
      <c r="JA482" s="113"/>
      <c r="JB482" s="113"/>
      <c r="JC482" s="113"/>
      <c r="JD482" s="113"/>
      <c r="JE482" s="113"/>
      <c r="JF482" s="113"/>
      <c r="JG482" s="113"/>
      <c r="JH482" s="113"/>
      <c r="JI482" s="113"/>
      <c r="JJ482" s="113"/>
      <c r="JK482" s="113"/>
      <c r="JL482" s="113"/>
      <c r="JM482" s="113"/>
      <c r="JN482" s="113"/>
      <c r="JO482" s="113"/>
      <c r="JP482" s="113"/>
      <c r="JQ482" s="113"/>
      <c r="JR482" s="113"/>
      <c r="JS482" s="113"/>
      <c r="JT482" s="113"/>
      <c r="JU482" s="113"/>
      <c r="JV482" s="113"/>
      <c r="JW482" s="113"/>
      <c r="JX482" s="113"/>
      <c r="JY482" s="113"/>
      <c r="JZ482" s="113"/>
      <c r="KA482" s="113"/>
      <c r="KB482" s="113"/>
      <c r="KC482" s="113"/>
      <c r="KD482" s="113"/>
      <c r="KE482" s="113"/>
      <c r="KF482" s="113"/>
      <c r="KG482" s="113"/>
      <c r="KH482" s="113"/>
      <c r="KI482" s="113"/>
      <c r="KJ482" s="113"/>
      <c r="KK482" s="113"/>
      <c r="KL482" s="113"/>
      <c r="KM482" s="113"/>
      <c r="KN482" s="113"/>
      <c r="KO482" s="113"/>
      <c r="KP482" s="113"/>
      <c r="KQ482" s="113"/>
      <c r="KR482" s="113"/>
      <c r="KS482" s="113"/>
      <c r="KT482" s="113"/>
      <c r="KU482" s="113"/>
      <c r="KV482" s="113"/>
      <c r="KW482" s="113"/>
      <c r="KX482" s="113"/>
      <c r="KY482" s="113"/>
      <c r="KZ482" s="113"/>
      <c r="LA482" s="113"/>
      <c r="LB482" s="113"/>
      <c r="LC482" s="113"/>
      <c r="LD482" s="113"/>
      <c r="LE482" s="113"/>
      <c r="LF482" s="113"/>
      <c r="LG482" s="113"/>
      <c r="LH482" s="113"/>
      <c r="LI482" s="113"/>
      <c r="LJ482" s="113"/>
      <c r="LK482" s="113"/>
      <c r="LL482" s="113"/>
      <c r="LM482" s="113"/>
      <c r="LN482" s="113"/>
      <c r="LO482" s="113"/>
      <c r="LP482" s="113"/>
      <c r="LQ482" s="113"/>
      <c r="LR482" s="113"/>
      <c r="LS482" s="113"/>
      <c r="LT482" s="113"/>
      <c r="LU482" s="113"/>
      <c r="LV482" s="113"/>
      <c r="LW482" s="113"/>
      <c r="LX482" s="113"/>
      <c r="LY482" s="113"/>
      <c r="LZ482" s="113"/>
      <c r="MA482" s="113"/>
      <c r="MB482" s="113"/>
      <c r="MC482" s="113"/>
      <c r="MD482" s="113"/>
      <c r="ME482" s="113"/>
      <c r="MF482" s="113"/>
      <c r="MG482" s="113"/>
      <c r="MH482" s="113"/>
      <c r="MI482" s="113"/>
      <c r="MJ482" s="113"/>
      <c r="MK482" s="113"/>
      <c r="ML482" s="113"/>
      <c r="MM482" s="113"/>
      <c r="MN482" s="113"/>
      <c r="MO482" s="113"/>
      <c r="MP482" s="113"/>
      <c r="MQ482" s="113"/>
      <c r="MR482" s="113"/>
      <c r="MS482" s="113"/>
      <c r="MT482" s="113"/>
      <c r="MU482" s="113"/>
      <c r="MV482" s="113"/>
      <c r="MW482" s="113"/>
      <c r="MX482" s="113"/>
      <c r="MY482" s="113"/>
      <c r="MZ482" s="113"/>
      <c r="NA482" s="113"/>
      <c r="NB482" s="113"/>
      <c r="NC482" s="113"/>
      <c r="ND482" s="113"/>
      <c r="NE482" s="113"/>
      <c r="NF482" s="113"/>
      <c r="NG482" s="113"/>
      <c r="NH482" s="113"/>
      <c r="NI482" s="113"/>
      <c r="NJ482" s="113"/>
      <c r="NK482" s="113"/>
      <c r="NL482" s="113"/>
      <c r="NM482" s="113"/>
      <c r="NN482" s="113"/>
      <c r="NO482" s="113"/>
      <c r="NP482" s="113"/>
      <c r="NQ482" s="113"/>
      <c r="NR482" s="113"/>
      <c r="NS482" s="113"/>
      <c r="NT482" s="113"/>
      <c r="NU482" s="113"/>
      <c r="NV482" s="113"/>
      <c r="NW482" s="113"/>
      <c r="NX482" s="113"/>
      <c r="NY482" s="113"/>
      <c r="NZ482" s="113"/>
      <c r="OA482" s="113"/>
      <c r="OB482" s="113"/>
      <c r="OC482" s="113"/>
      <c r="OD482" s="113"/>
      <c r="OE482" s="113"/>
      <c r="OF482" s="113"/>
      <c r="OG482" s="113"/>
      <c r="OH482" s="113"/>
      <c r="OI482" s="113"/>
      <c r="OJ482" s="113"/>
      <c r="OK482" s="113"/>
      <c r="OL482" s="113"/>
      <c r="OM482" s="113"/>
      <c r="ON482" s="113"/>
      <c r="OO482" s="113"/>
      <c r="OP482" s="113"/>
      <c r="OQ482" s="113"/>
      <c r="OR482" s="113"/>
      <c r="OS482" s="113"/>
      <c r="OT482" s="113"/>
      <c r="OU482" s="113"/>
      <c r="OV482" s="113"/>
      <c r="OW482" s="113"/>
      <c r="OX482" s="113"/>
      <c r="OY482" s="113"/>
      <c r="OZ482" s="113"/>
      <c r="PA482" s="113"/>
      <c r="PB482" s="113"/>
      <c r="PC482" s="113"/>
      <c r="PD482" s="113"/>
      <c r="PE482" s="113"/>
      <c r="PF482" s="113"/>
      <c r="PG482" s="113"/>
      <c r="PH482" s="113"/>
      <c r="PI482" s="113"/>
      <c r="PJ482" s="113"/>
      <c r="PK482" s="113"/>
      <c r="PL482" s="113"/>
      <c r="PM482" s="113"/>
      <c r="PN482" s="113"/>
      <c r="PO482" s="113"/>
      <c r="PP482" s="113"/>
      <c r="PQ482" s="113"/>
      <c r="PR482" s="113"/>
      <c r="PS482" s="113"/>
      <c r="PT482" s="113"/>
      <c r="PU482" s="113"/>
      <c r="PV482" s="113"/>
      <c r="PW482" s="113"/>
      <c r="PX482" s="113"/>
      <c r="PY482" s="113"/>
      <c r="PZ482" s="113"/>
      <c r="QA482" s="113"/>
      <c r="QB482" s="113"/>
      <c r="QC482" s="113"/>
      <c r="QD482" s="113"/>
      <c r="QE482" s="113"/>
      <c r="QF482" s="113"/>
      <c r="QG482" s="113"/>
      <c r="QH482" s="113"/>
      <c r="QI482" s="113"/>
      <c r="QJ482" s="113"/>
      <c r="QK482" s="113"/>
      <c r="QL482" s="113"/>
      <c r="QM482" s="113"/>
      <c r="QN482" s="113"/>
      <c r="QO482" s="113"/>
      <c r="QP482" s="113"/>
      <c r="QQ482" s="113"/>
      <c r="QR482" s="113"/>
      <c r="QS482" s="113"/>
      <c r="QT482" s="113"/>
      <c r="QU482" s="113"/>
      <c r="QV482" s="113"/>
      <c r="QW482" s="113"/>
      <c r="QX482" s="113"/>
      <c r="QY482" s="113"/>
      <c r="QZ482" s="113"/>
      <c r="RA482" s="113"/>
      <c r="RB482" s="113"/>
      <c r="RC482" s="113"/>
      <c r="RD482" s="113"/>
      <c r="RE482" s="113"/>
      <c r="RF482" s="113"/>
      <c r="RG482" s="113"/>
      <c r="RH482" s="113"/>
      <c r="RI482" s="113"/>
      <c r="RJ482" s="113"/>
      <c r="RK482" s="113"/>
      <c r="RL482" s="113"/>
      <c r="RM482" s="113"/>
      <c r="RN482" s="113"/>
      <c r="RO482" s="113"/>
      <c r="RP482" s="113"/>
      <c r="RQ482" s="113"/>
      <c r="RR482" s="113"/>
      <c r="RS482" s="113"/>
      <c r="RT482" s="113"/>
      <c r="RU482" s="113"/>
      <c r="RV482" s="113"/>
      <c r="RW482" s="113"/>
      <c r="RX482" s="113"/>
      <c r="RY482" s="113"/>
      <c r="RZ482" s="113"/>
      <c r="SA482" s="113"/>
      <c r="SB482" s="113"/>
      <c r="SC482" s="113"/>
      <c r="SD482" s="113"/>
      <c r="SE482" s="113"/>
      <c r="SF482" s="113"/>
      <c r="SG482" s="113"/>
      <c r="SH482" s="113"/>
      <c r="SI482" s="113"/>
      <c r="SJ482" s="113"/>
      <c r="SK482" s="113"/>
      <c r="SL482" s="113"/>
      <c r="SM482" s="113"/>
      <c r="SN482" s="113"/>
      <c r="SO482" s="113"/>
      <c r="SP482" s="113"/>
      <c r="SQ482" s="113"/>
      <c r="SR482" s="113"/>
      <c r="SS482" s="113"/>
      <c r="ST482" s="113"/>
      <c r="SU482" s="113"/>
      <c r="SV482" s="113"/>
      <c r="SW482" s="113"/>
      <c r="SX482" s="113"/>
      <c r="SY482" s="113"/>
      <c r="SZ482" s="113"/>
      <c r="TA482" s="113"/>
      <c r="TB482" s="113"/>
      <c r="TC482" s="113"/>
      <c r="TD482" s="113"/>
      <c r="TE482" s="113"/>
      <c r="TF482" s="113"/>
      <c r="TG482" s="113"/>
      <c r="TH482" s="113"/>
      <c r="TI482" s="113"/>
      <c r="TJ482" s="113"/>
      <c r="TK482" s="113"/>
      <c r="TL482" s="113"/>
      <c r="TM482" s="113"/>
      <c r="TN482" s="113"/>
      <c r="TO482" s="113"/>
      <c r="TP482" s="113"/>
      <c r="TQ482" s="113"/>
      <c r="TR482" s="113"/>
      <c r="TS482" s="113"/>
      <c r="TT482" s="113"/>
      <c r="TU482" s="113"/>
      <c r="TV482" s="113"/>
      <c r="TW482" s="113"/>
      <c r="TX482" s="113"/>
      <c r="TY482" s="113"/>
      <c r="TZ482" s="113"/>
      <c r="UA482" s="113"/>
      <c r="UB482" s="113"/>
      <c r="UC482" s="113"/>
      <c r="UD482" s="113"/>
      <c r="UE482" s="113"/>
      <c r="UF482" s="113"/>
      <c r="UG482" s="126"/>
    </row>
    <row r="483" spans="1:553" s="109" customFormat="1" ht="30.75" customHeight="1">
      <c r="A483" s="366" t="s">
        <v>15</v>
      </c>
      <c r="B483" s="366"/>
      <c r="C483" s="1404" t="s">
        <v>52</v>
      </c>
      <c r="D483" s="1389"/>
      <c r="E483" s="1389"/>
      <c r="F483" s="1390"/>
      <c r="G483" s="366" t="s">
        <v>255</v>
      </c>
      <c r="H483" s="370"/>
      <c r="I483" s="422">
        <f>I412</f>
        <v>63.8</v>
      </c>
      <c r="J483" s="368">
        <v>16000</v>
      </c>
      <c r="K483" s="388"/>
      <c r="L483" s="480">
        <f>ROUND(PRODUCT(I483:K483),0)</f>
        <v>1020800</v>
      </c>
      <c r="M483" s="366"/>
      <c r="N483" s="366"/>
      <c r="O483" s="366"/>
      <c r="P483" s="366"/>
      <c r="Q483" s="1135"/>
      <c r="R483" s="1452"/>
      <c r="S483" s="308"/>
      <c r="T483" s="303"/>
      <c r="U483" s="306"/>
      <c r="V483" s="307"/>
      <c r="W483" s="307"/>
      <c r="X483" s="307"/>
      <c r="Y483" s="307"/>
      <c r="Z483" s="307"/>
      <c r="AA483" s="307"/>
      <c r="AB483" s="307"/>
      <c r="AC483" s="449"/>
      <c r="AD483" s="452"/>
      <c r="AE483" s="452"/>
      <c r="AF483" s="452"/>
      <c r="AG483" s="452"/>
      <c r="AH483" s="452"/>
      <c r="AI483" s="452"/>
      <c r="AJ483" s="452"/>
      <c r="AK483" s="452"/>
      <c r="AL483" s="117"/>
      <c r="AM483" s="113"/>
      <c r="AN483" s="113"/>
      <c r="AO483" s="113"/>
      <c r="AP483" s="113"/>
      <c r="AQ483" s="113"/>
      <c r="AR483" s="113"/>
      <c r="AS483" s="113"/>
      <c r="AT483" s="113"/>
      <c r="AU483" s="113"/>
      <c r="AV483" s="113"/>
      <c r="AW483" s="113"/>
      <c r="AX483" s="113"/>
      <c r="AY483" s="113"/>
      <c r="AZ483" s="113"/>
      <c r="BA483" s="113"/>
      <c r="BB483" s="113"/>
      <c r="BC483" s="113"/>
      <c r="BD483" s="113"/>
      <c r="BE483" s="113"/>
      <c r="BF483" s="113"/>
      <c r="BG483" s="113"/>
      <c r="BH483" s="113"/>
      <c r="BI483" s="113"/>
      <c r="BJ483" s="113"/>
      <c r="BK483" s="113"/>
      <c r="BL483" s="113"/>
      <c r="BM483" s="113"/>
      <c r="BN483" s="113"/>
      <c r="BO483" s="113"/>
      <c r="BP483" s="113"/>
      <c r="BQ483" s="113"/>
      <c r="BR483" s="113"/>
      <c r="BS483" s="113"/>
      <c r="BT483" s="113"/>
      <c r="BU483" s="113"/>
      <c r="BV483" s="113"/>
      <c r="BW483" s="113"/>
      <c r="BX483" s="113"/>
      <c r="BY483" s="113"/>
      <c r="BZ483" s="113"/>
      <c r="CA483" s="113"/>
      <c r="CB483" s="113"/>
      <c r="CC483" s="113"/>
      <c r="CD483" s="113"/>
      <c r="CE483" s="113"/>
      <c r="CF483" s="113"/>
      <c r="CG483" s="113"/>
      <c r="CH483" s="113"/>
      <c r="CI483" s="113"/>
      <c r="CJ483" s="113"/>
      <c r="CK483" s="113"/>
      <c r="CL483" s="113"/>
      <c r="CM483" s="113"/>
      <c r="CN483" s="113"/>
      <c r="CO483" s="113"/>
      <c r="CP483" s="113"/>
      <c r="CQ483" s="113"/>
      <c r="CR483" s="113"/>
      <c r="CS483" s="113"/>
      <c r="CT483" s="113"/>
      <c r="CU483" s="113"/>
      <c r="CV483" s="113"/>
      <c r="CW483" s="113"/>
      <c r="CX483" s="113"/>
      <c r="CY483" s="113"/>
      <c r="CZ483" s="113"/>
      <c r="DA483" s="113"/>
      <c r="DB483" s="113"/>
      <c r="DC483" s="113"/>
      <c r="DD483" s="113"/>
      <c r="DE483" s="113"/>
      <c r="DF483" s="113"/>
      <c r="DG483" s="113"/>
      <c r="DH483" s="113"/>
      <c r="DI483" s="113"/>
      <c r="DJ483" s="113"/>
      <c r="DK483" s="113"/>
      <c r="DL483" s="113"/>
      <c r="DM483" s="113"/>
      <c r="DN483" s="113"/>
      <c r="DO483" s="113"/>
      <c r="DP483" s="113"/>
      <c r="DQ483" s="113"/>
      <c r="DR483" s="113"/>
      <c r="DS483" s="113"/>
      <c r="DT483" s="113"/>
      <c r="DU483" s="113"/>
      <c r="DV483" s="113"/>
      <c r="DW483" s="113"/>
      <c r="DX483" s="113"/>
      <c r="DY483" s="113"/>
      <c r="DZ483" s="113"/>
      <c r="EA483" s="113"/>
      <c r="EB483" s="113"/>
      <c r="EC483" s="113"/>
      <c r="ED483" s="113"/>
      <c r="EE483" s="113"/>
      <c r="EF483" s="113"/>
      <c r="EG483" s="113"/>
      <c r="EH483" s="113"/>
      <c r="EI483" s="113"/>
      <c r="EJ483" s="113"/>
      <c r="EK483" s="113"/>
      <c r="EL483" s="113"/>
      <c r="EM483" s="113"/>
      <c r="EN483" s="113"/>
      <c r="EO483" s="113"/>
      <c r="EP483" s="113"/>
      <c r="EQ483" s="113"/>
      <c r="ER483" s="113"/>
      <c r="ES483" s="113"/>
      <c r="ET483" s="113"/>
      <c r="EU483" s="113"/>
      <c r="EV483" s="113"/>
      <c r="EW483" s="113"/>
      <c r="EX483" s="113"/>
      <c r="EY483" s="113"/>
      <c r="EZ483" s="113"/>
      <c r="FA483" s="113"/>
      <c r="FB483" s="113"/>
      <c r="FC483" s="113"/>
      <c r="FD483" s="113"/>
      <c r="FE483" s="113"/>
      <c r="FF483" s="113"/>
      <c r="FG483" s="113"/>
      <c r="FH483" s="113"/>
      <c r="FI483" s="113"/>
      <c r="FJ483" s="113"/>
      <c r="FK483" s="113"/>
      <c r="FL483" s="113"/>
      <c r="FM483" s="113"/>
      <c r="FN483" s="113"/>
      <c r="FO483" s="113"/>
      <c r="FP483" s="113"/>
      <c r="FQ483" s="113"/>
      <c r="FR483" s="113"/>
      <c r="FS483" s="113"/>
      <c r="FT483" s="113"/>
      <c r="FU483" s="113"/>
      <c r="FV483" s="113"/>
      <c r="FW483" s="113"/>
      <c r="FX483" s="113"/>
      <c r="FY483" s="113"/>
      <c r="FZ483" s="113"/>
      <c r="GA483" s="113"/>
      <c r="GB483" s="113"/>
      <c r="GC483" s="113"/>
      <c r="GD483" s="113"/>
      <c r="GE483" s="113"/>
      <c r="GF483" s="113"/>
      <c r="GG483" s="113"/>
      <c r="GH483" s="113"/>
      <c r="GI483" s="113"/>
      <c r="GJ483" s="113"/>
      <c r="GK483" s="113"/>
      <c r="GL483" s="113"/>
      <c r="GM483" s="113"/>
      <c r="GN483" s="113"/>
      <c r="GO483" s="113"/>
      <c r="GP483" s="113"/>
      <c r="GQ483" s="113"/>
      <c r="GR483" s="113"/>
      <c r="GS483" s="113"/>
      <c r="GT483" s="113"/>
      <c r="GU483" s="113"/>
      <c r="GV483" s="113"/>
      <c r="GW483" s="113"/>
      <c r="GX483" s="113"/>
      <c r="GY483" s="113"/>
      <c r="GZ483" s="113"/>
      <c r="HA483" s="113"/>
      <c r="HB483" s="113"/>
      <c r="HC483" s="113"/>
      <c r="HD483" s="113"/>
      <c r="HE483" s="113"/>
      <c r="HF483" s="113"/>
      <c r="HG483" s="113"/>
      <c r="HH483" s="113"/>
      <c r="HI483" s="113"/>
      <c r="HJ483" s="113"/>
      <c r="HK483" s="113"/>
      <c r="HL483" s="113"/>
      <c r="HM483" s="113"/>
      <c r="HN483" s="113"/>
      <c r="HO483" s="113"/>
      <c r="HP483" s="113"/>
      <c r="HQ483" s="113"/>
      <c r="HR483" s="113"/>
      <c r="HS483" s="113"/>
      <c r="HT483" s="113"/>
      <c r="HU483" s="113"/>
      <c r="HV483" s="113"/>
      <c r="HW483" s="113"/>
      <c r="HX483" s="113"/>
      <c r="HY483" s="113"/>
      <c r="HZ483" s="113"/>
      <c r="IA483" s="113"/>
      <c r="IB483" s="113"/>
      <c r="IC483" s="113"/>
      <c r="ID483" s="113"/>
      <c r="IE483" s="113"/>
      <c r="IF483" s="113"/>
      <c r="IG483" s="113"/>
      <c r="IH483" s="113"/>
      <c r="II483" s="113"/>
      <c r="IJ483" s="113"/>
      <c r="IK483" s="113"/>
      <c r="IL483" s="113"/>
      <c r="IM483" s="113"/>
      <c r="IN483" s="113"/>
      <c r="IO483" s="113"/>
      <c r="IP483" s="113"/>
      <c r="IQ483" s="113"/>
      <c r="IR483" s="113"/>
      <c r="IS483" s="113"/>
      <c r="IT483" s="113"/>
      <c r="IU483" s="113"/>
      <c r="IV483" s="113"/>
      <c r="IW483" s="113"/>
      <c r="IX483" s="113"/>
      <c r="IY483" s="113"/>
      <c r="IZ483" s="113"/>
      <c r="JA483" s="113"/>
      <c r="JB483" s="113"/>
      <c r="JC483" s="113"/>
      <c r="JD483" s="113"/>
      <c r="JE483" s="113"/>
      <c r="JF483" s="113"/>
      <c r="JG483" s="113"/>
      <c r="JH483" s="113"/>
      <c r="JI483" s="113"/>
      <c r="JJ483" s="113"/>
      <c r="JK483" s="113"/>
      <c r="JL483" s="113"/>
      <c r="JM483" s="113"/>
      <c r="JN483" s="113"/>
      <c r="JO483" s="113"/>
      <c r="JP483" s="113"/>
      <c r="JQ483" s="113"/>
      <c r="JR483" s="113"/>
      <c r="JS483" s="113"/>
      <c r="JT483" s="113"/>
      <c r="JU483" s="113"/>
      <c r="JV483" s="113"/>
      <c r="JW483" s="113"/>
      <c r="JX483" s="113"/>
      <c r="JY483" s="113"/>
      <c r="JZ483" s="113"/>
      <c r="KA483" s="113"/>
      <c r="KB483" s="113"/>
      <c r="KC483" s="113"/>
      <c r="KD483" s="113"/>
      <c r="KE483" s="113"/>
      <c r="KF483" s="113"/>
      <c r="KG483" s="113"/>
      <c r="KH483" s="113"/>
      <c r="KI483" s="113"/>
      <c r="KJ483" s="113"/>
      <c r="KK483" s="113"/>
      <c r="KL483" s="113"/>
      <c r="KM483" s="113"/>
      <c r="KN483" s="113"/>
      <c r="KO483" s="113"/>
      <c r="KP483" s="113"/>
      <c r="KQ483" s="113"/>
      <c r="KR483" s="113"/>
      <c r="KS483" s="113"/>
      <c r="KT483" s="113"/>
      <c r="KU483" s="113"/>
      <c r="KV483" s="113"/>
      <c r="KW483" s="113"/>
      <c r="KX483" s="113"/>
      <c r="KY483" s="113"/>
      <c r="KZ483" s="113"/>
      <c r="LA483" s="113"/>
      <c r="LB483" s="113"/>
      <c r="LC483" s="113"/>
      <c r="LD483" s="113"/>
      <c r="LE483" s="113"/>
      <c r="LF483" s="113"/>
      <c r="LG483" s="113"/>
      <c r="LH483" s="113"/>
      <c r="LI483" s="113"/>
      <c r="LJ483" s="113"/>
      <c r="LK483" s="113"/>
      <c r="LL483" s="113"/>
      <c r="LM483" s="113"/>
      <c r="LN483" s="113"/>
      <c r="LO483" s="113"/>
      <c r="LP483" s="113"/>
      <c r="LQ483" s="113"/>
      <c r="LR483" s="113"/>
      <c r="LS483" s="113"/>
      <c r="LT483" s="113"/>
      <c r="LU483" s="113"/>
      <c r="LV483" s="113"/>
      <c r="LW483" s="113"/>
      <c r="LX483" s="113"/>
      <c r="LY483" s="113"/>
      <c r="LZ483" s="113"/>
      <c r="MA483" s="113"/>
      <c r="MB483" s="113"/>
      <c r="MC483" s="113"/>
      <c r="MD483" s="113"/>
      <c r="ME483" s="113"/>
      <c r="MF483" s="113"/>
      <c r="MG483" s="113"/>
      <c r="MH483" s="113"/>
      <c r="MI483" s="113"/>
      <c r="MJ483" s="113"/>
      <c r="MK483" s="113"/>
      <c r="ML483" s="113"/>
      <c r="MM483" s="113"/>
      <c r="MN483" s="113"/>
      <c r="MO483" s="113"/>
      <c r="MP483" s="113"/>
      <c r="MQ483" s="113"/>
      <c r="MR483" s="113"/>
      <c r="MS483" s="113"/>
      <c r="MT483" s="113"/>
      <c r="MU483" s="113"/>
      <c r="MV483" s="113"/>
      <c r="MW483" s="113"/>
      <c r="MX483" s="113"/>
      <c r="MY483" s="113"/>
      <c r="MZ483" s="113"/>
      <c r="NA483" s="113"/>
      <c r="NB483" s="113"/>
      <c r="NC483" s="113"/>
      <c r="ND483" s="113"/>
      <c r="NE483" s="113"/>
      <c r="NF483" s="113"/>
      <c r="NG483" s="113"/>
      <c r="NH483" s="113"/>
      <c r="NI483" s="113"/>
      <c r="NJ483" s="113"/>
      <c r="NK483" s="113"/>
      <c r="NL483" s="113"/>
      <c r="NM483" s="113"/>
      <c r="NN483" s="113"/>
      <c r="NO483" s="113"/>
      <c r="NP483" s="113"/>
      <c r="NQ483" s="113"/>
      <c r="NR483" s="113"/>
      <c r="NS483" s="113"/>
      <c r="NT483" s="113"/>
      <c r="NU483" s="113"/>
      <c r="NV483" s="113"/>
      <c r="NW483" s="113"/>
      <c r="NX483" s="113"/>
      <c r="NY483" s="113"/>
      <c r="NZ483" s="113"/>
      <c r="OA483" s="113"/>
      <c r="OB483" s="113"/>
      <c r="OC483" s="113"/>
      <c r="OD483" s="113"/>
      <c r="OE483" s="113"/>
      <c r="OF483" s="113"/>
      <c r="OG483" s="113"/>
      <c r="OH483" s="113"/>
      <c r="OI483" s="113"/>
      <c r="OJ483" s="113"/>
      <c r="OK483" s="113"/>
      <c r="OL483" s="113"/>
      <c r="OM483" s="113"/>
      <c r="ON483" s="113"/>
      <c r="OO483" s="113"/>
      <c r="OP483" s="113"/>
      <c r="OQ483" s="113"/>
      <c r="OR483" s="113"/>
      <c r="OS483" s="113"/>
      <c r="OT483" s="113"/>
      <c r="OU483" s="113"/>
      <c r="OV483" s="113"/>
      <c r="OW483" s="113"/>
      <c r="OX483" s="113"/>
      <c r="OY483" s="113"/>
      <c r="OZ483" s="113"/>
      <c r="PA483" s="113"/>
      <c r="PB483" s="113"/>
      <c r="PC483" s="113"/>
      <c r="PD483" s="113"/>
      <c r="PE483" s="113"/>
      <c r="PF483" s="113"/>
      <c r="PG483" s="113"/>
      <c r="PH483" s="113"/>
      <c r="PI483" s="113"/>
      <c r="PJ483" s="113"/>
      <c r="PK483" s="113"/>
      <c r="PL483" s="113"/>
      <c r="PM483" s="113"/>
      <c r="PN483" s="113"/>
      <c r="PO483" s="113"/>
      <c r="PP483" s="113"/>
      <c r="PQ483" s="113"/>
      <c r="PR483" s="113"/>
      <c r="PS483" s="113"/>
      <c r="PT483" s="113"/>
      <c r="PU483" s="113"/>
      <c r="PV483" s="113"/>
      <c r="PW483" s="113"/>
      <c r="PX483" s="113"/>
      <c r="PY483" s="113"/>
      <c r="PZ483" s="113"/>
      <c r="QA483" s="113"/>
      <c r="QB483" s="113"/>
      <c r="QC483" s="113"/>
      <c r="QD483" s="113"/>
      <c r="QE483" s="113"/>
      <c r="QF483" s="113"/>
      <c r="QG483" s="113"/>
      <c r="QH483" s="113"/>
      <c r="QI483" s="113"/>
      <c r="QJ483" s="113"/>
      <c r="QK483" s="113"/>
      <c r="QL483" s="113"/>
      <c r="QM483" s="113"/>
      <c r="QN483" s="113"/>
      <c r="QO483" s="113"/>
      <c r="QP483" s="113"/>
      <c r="QQ483" s="113"/>
      <c r="QR483" s="113"/>
      <c r="QS483" s="113"/>
      <c r="QT483" s="113"/>
      <c r="QU483" s="113"/>
      <c r="QV483" s="113"/>
      <c r="QW483" s="113"/>
      <c r="QX483" s="113"/>
      <c r="QY483" s="113"/>
      <c r="QZ483" s="113"/>
      <c r="RA483" s="113"/>
      <c r="RB483" s="113"/>
      <c r="RC483" s="113"/>
      <c r="RD483" s="113"/>
      <c r="RE483" s="113"/>
      <c r="RF483" s="113"/>
      <c r="RG483" s="113"/>
      <c r="RH483" s="113"/>
      <c r="RI483" s="113"/>
      <c r="RJ483" s="113"/>
      <c r="RK483" s="113"/>
      <c r="RL483" s="113"/>
      <c r="RM483" s="113"/>
      <c r="RN483" s="113"/>
      <c r="RO483" s="113"/>
      <c r="RP483" s="113"/>
      <c r="RQ483" s="113"/>
      <c r="RR483" s="113"/>
      <c r="RS483" s="113"/>
      <c r="RT483" s="113"/>
      <c r="RU483" s="113"/>
      <c r="RV483" s="113"/>
      <c r="RW483" s="113"/>
      <c r="RX483" s="113"/>
      <c r="RY483" s="113"/>
      <c r="RZ483" s="113"/>
      <c r="SA483" s="113"/>
      <c r="SB483" s="113"/>
      <c r="SC483" s="113"/>
      <c r="SD483" s="113"/>
      <c r="SE483" s="113"/>
      <c r="SF483" s="113"/>
      <c r="SG483" s="113"/>
      <c r="SH483" s="113"/>
      <c r="SI483" s="113"/>
      <c r="SJ483" s="113"/>
      <c r="SK483" s="113"/>
      <c r="SL483" s="113"/>
      <c r="SM483" s="113"/>
      <c r="SN483" s="113"/>
      <c r="SO483" s="113"/>
      <c r="SP483" s="113"/>
      <c r="SQ483" s="113"/>
      <c r="SR483" s="113"/>
      <c r="SS483" s="113"/>
      <c r="ST483" s="113"/>
      <c r="SU483" s="113"/>
      <c r="SV483" s="113"/>
      <c r="SW483" s="113"/>
      <c r="SX483" s="113"/>
      <c r="SY483" s="113"/>
      <c r="SZ483" s="113"/>
      <c r="TA483" s="113"/>
      <c r="TB483" s="113"/>
      <c r="TC483" s="113"/>
      <c r="TD483" s="113"/>
      <c r="TE483" s="113"/>
      <c r="TF483" s="113"/>
      <c r="TG483" s="113"/>
      <c r="TH483" s="113"/>
      <c r="TI483" s="113"/>
      <c r="TJ483" s="113"/>
      <c r="TK483" s="113"/>
      <c r="TL483" s="113"/>
      <c r="TM483" s="113"/>
      <c r="TN483" s="113"/>
      <c r="TO483" s="113"/>
      <c r="TP483" s="113"/>
      <c r="TQ483" s="113"/>
      <c r="TR483" s="113"/>
      <c r="TS483" s="113"/>
      <c r="TT483" s="113"/>
      <c r="TU483" s="113"/>
      <c r="TV483" s="113"/>
      <c r="TW483" s="113"/>
      <c r="TX483" s="113"/>
      <c r="TY483" s="113"/>
      <c r="TZ483" s="113"/>
      <c r="UA483" s="113"/>
      <c r="UB483" s="113"/>
      <c r="UC483" s="113"/>
      <c r="UD483" s="113"/>
      <c r="UE483" s="113"/>
      <c r="UF483" s="113"/>
      <c r="UG483" s="126"/>
    </row>
    <row r="484" spans="1:553" s="109" customFormat="1" ht="30.75" customHeight="1">
      <c r="A484" s="366"/>
      <c r="B484" s="366"/>
      <c r="C484" s="1453" t="s">
        <v>907</v>
      </c>
      <c r="D484" s="1389"/>
      <c r="E484" s="1389"/>
      <c r="F484" s="1390"/>
      <c r="G484" s="366"/>
      <c r="H484" s="370"/>
      <c r="I484" s="422"/>
      <c r="J484" s="368"/>
      <c r="K484" s="388"/>
      <c r="L484" s="480"/>
      <c r="M484" s="366"/>
      <c r="N484" s="366"/>
      <c r="O484" s="366"/>
      <c r="P484" s="366"/>
      <c r="Q484" s="1135"/>
      <c r="R484" s="1452"/>
      <c r="S484" s="435"/>
      <c r="T484" s="436"/>
      <c r="U484" s="304"/>
      <c r="V484" s="393"/>
      <c r="W484" s="304"/>
      <c r="X484" s="304"/>
      <c r="Y484" s="304"/>
      <c r="Z484" s="304"/>
      <c r="AA484" s="304"/>
      <c r="AB484" s="304"/>
      <c r="AC484" s="449"/>
      <c r="AD484" s="452"/>
      <c r="AE484" s="452"/>
      <c r="AF484" s="452"/>
      <c r="AG484" s="452"/>
      <c r="AH484" s="452"/>
      <c r="AI484" s="452"/>
      <c r="AJ484" s="452"/>
      <c r="AK484" s="452"/>
      <c r="AL484" s="117"/>
      <c r="AM484" s="113"/>
      <c r="AN484" s="113"/>
      <c r="AO484" s="113"/>
      <c r="AP484" s="113"/>
      <c r="AQ484" s="113"/>
      <c r="AR484" s="113"/>
      <c r="AS484" s="113"/>
      <c r="AT484" s="113"/>
      <c r="AU484" s="113"/>
      <c r="AV484" s="113"/>
      <c r="AW484" s="113"/>
      <c r="AX484" s="113"/>
      <c r="AY484" s="113"/>
      <c r="AZ484" s="113"/>
      <c r="BA484" s="113"/>
      <c r="BB484" s="113"/>
      <c r="BC484" s="113"/>
      <c r="BD484" s="113"/>
      <c r="BE484" s="113"/>
      <c r="BF484" s="113"/>
      <c r="BG484" s="113"/>
      <c r="BH484" s="113"/>
      <c r="BI484" s="113"/>
      <c r="BJ484" s="113"/>
      <c r="BK484" s="113"/>
      <c r="BL484" s="113"/>
      <c r="BM484" s="113"/>
      <c r="BN484" s="113"/>
      <c r="BO484" s="113"/>
      <c r="BP484" s="113"/>
      <c r="BQ484" s="113"/>
      <c r="BR484" s="113"/>
      <c r="BS484" s="113"/>
      <c r="BT484" s="113"/>
      <c r="BU484" s="113"/>
      <c r="BV484" s="113"/>
      <c r="BW484" s="113"/>
      <c r="BX484" s="113"/>
      <c r="BY484" s="113"/>
      <c r="BZ484" s="113"/>
      <c r="CA484" s="113"/>
      <c r="CB484" s="113"/>
      <c r="CC484" s="113"/>
      <c r="CD484" s="113"/>
      <c r="CE484" s="113"/>
      <c r="CF484" s="113"/>
      <c r="CG484" s="113"/>
      <c r="CH484" s="113"/>
      <c r="CI484" s="113"/>
      <c r="CJ484" s="113"/>
      <c r="CK484" s="113"/>
      <c r="CL484" s="113"/>
      <c r="CM484" s="113"/>
      <c r="CN484" s="113"/>
      <c r="CO484" s="113"/>
      <c r="CP484" s="113"/>
      <c r="CQ484" s="113"/>
      <c r="CR484" s="113"/>
      <c r="CS484" s="113"/>
      <c r="CT484" s="113"/>
      <c r="CU484" s="113"/>
      <c r="CV484" s="113"/>
      <c r="CW484" s="113"/>
      <c r="CX484" s="113"/>
      <c r="CY484" s="113"/>
      <c r="CZ484" s="113"/>
      <c r="DA484" s="113"/>
      <c r="DB484" s="113"/>
      <c r="DC484" s="113"/>
      <c r="DD484" s="113"/>
      <c r="DE484" s="113"/>
      <c r="DF484" s="113"/>
      <c r="DG484" s="113"/>
      <c r="DH484" s="113"/>
      <c r="DI484" s="113"/>
      <c r="DJ484" s="113"/>
      <c r="DK484" s="113"/>
      <c r="DL484" s="113"/>
      <c r="DM484" s="113"/>
      <c r="DN484" s="113"/>
      <c r="DO484" s="113"/>
      <c r="DP484" s="113"/>
      <c r="DQ484" s="113"/>
      <c r="DR484" s="113"/>
      <c r="DS484" s="113"/>
      <c r="DT484" s="113"/>
      <c r="DU484" s="113"/>
      <c r="DV484" s="113"/>
      <c r="DW484" s="113"/>
      <c r="DX484" s="113"/>
      <c r="DY484" s="113"/>
      <c r="DZ484" s="113"/>
      <c r="EA484" s="113"/>
      <c r="EB484" s="113"/>
      <c r="EC484" s="113"/>
      <c r="ED484" s="113"/>
      <c r="EE484" s="113"/>
      <c r="EF484" s="113"/>
      <c r="EG484" s="113"/>
      <c r="EH484" s="113"/>
      <c r="EI484" s="113"/>
      <c r="EJ484" s="113"/>
      <c r="EK484" s="113"/>
      <c r="EL484" s="113"/>
      <c r="EM484" s="113"/>
      <c r="EN484" s="113"/>
      <c r="EO484" s="113"/>
      <c r="EP484" s="113"/>
      <c r="EQ484" s="113"/>
      <c r="ER484" s="113"/>
      <c r="ES484" s="113"/>
      <c r="ET484" s="113"/>
      <c r="EU484" s="113"/>
      <c r="EV484" s="113"/>
      <c r="EW484" s="113"/>
      <c r="EX484" s="113"/>
      <c r="EY484" s="113"/>
      <c r="EZ484" s="113"/>
      <c r="FA484" s="113"/>
      <c r="FB484" s="113"/>
      <c r="FC484" s="113"/>
      <c r="FD484" s="113"/>
      <c r="FE484" s="113"/>
      <c r="FF484" s="113"/>
      <c r="FG484" s="113"/>
      <c r="FH484" s="113"/>
      <c r="FI484" s="113"/>
      <c r="FJ484" s="113"/>
      <c r="FK484" s="113"/>
      <c r="FL484" s="113"/>
      <c r="FM484" s="113"/>
      <c r="FN484" s="113"/>
      <c r="FO484" s="113"/>
      <c r="FP484" s="113"/>
      <c r="FQ484" s="113"/>
      <c r="FR484" s="113"/>
      <c r="FS484" s="113"/>
      <c r="FT484" s="113"/>
      <c r="FU484" s="113"/>
      <c r="FV484" s="113"/>
      <c r="FW484" s="113"/>
      <c r="FX484" s="113"/>
      <c r="FY484" s="113"/>
      <c r="FZ484" s="113"/>
      <c r="GA484" s="113"/>
      <c r="GB484" s="113"/>
      <c r="GC484" s="113"/>
      <c r="GD484" s="113"/>
      <c r="GE484" s="113"/>
      <c r="GF484" s="113"/>
      <c r="GG484" s="113"/>
      <c r="GH484" s="113"/>
      <c r="GI484" s="113"/>
      <c r="GJ484" s="113"/>
      <c r="GK484" s="113"/>
      <c r="GL484" s="113"/>
      <c r="GM484" s="113"/>
      <c r="GN484" s="113"/>
      <c r="GO484" s="113"/>
      <c r="GP484" s="113"/>
      <c r="GQ484" s="113"/>
      <c r="GR484" s="113"/>
      <c r="GS484" s="113"/>
      <c r="GT484" s="113"/>
      <c r="GU484" s="113"/>
      <c r="GV484" s="113"/>
      <c r="GW484" s="113"/>
      <c r="GX484" s="113"/>
      <c r="GY484" s="113"/>
      <c r="GZ484" s="113"/>
      <c r="HA484" s="113"/>
      <c r="HB484" s="113"/>
      <c r="HC484" s="113"/>
      <c r="HD484" s="113"/>
      <c r="HE484" s="113"/>
      <c r="HF484" s="113"/>
      <c r="HG484" s="113"/>
      <c r="HH484" s="113"/>
      <c r="HI484" s="113"/>
      <c r="HJ484" s="113"/>
      <c r="HK484" s="113"/>
      <c r="HL484" s="113"/>
      <c r="HM484" s="113"/>
      <c r="HN484" s="113"/>
      <c r="HO484" s="113"/>
      <c r="HP484" s="113"/>
      <c r="HQ484" s="113"/>
      <c r="HR484" s="113"/>
      <c r="HS484" s="113"/>
      <c r="HT484" s="113"/>
      <c r="HU484" s="113"/>
      <c r="HV484" s="113"/>
      <c r="HW484" s="113"/>
      <c r="HX484" s="113"/>
      <c r="HY484" s="113"/>
      <c r="HZ484" s="113"/>
      <c r="IA484" s="113"/>
      <c r="IB484" s="113"/>
      <c r="IC484" s="113"/>
      <c r="ID484" s="113"/>
      <c r="IE484" s="113"/>
      <c r="IF484" s="113"/>
      <c r="IG484" s="113"/>
      <c r="IH484" s="113"/>
      <c r="II484" s="113"/>
      <c r="IJ484" s="113"/>
      <c r="IK484" s="113"/>
      <c r="IL484" s="113"/>
      <c r="IM484" s="113"/>
      <c r="IN484" s="113"/>
      <c r="IO484" s="113"/>
      <c r="IP484" s="113"/>
      <c r="IQ484" s="113"/>
      <c r="IR484" s="113"/>
      <c r="IS484" s="113"/>
      <c r="IT484" s="113"/>
      <c r="IU484" s="113"/>
      <c r="IV484" s="113"/>
      <c r="IW484" s="113"/>
      <c r="IX484" s="113"/>
      <c r="IY484" s="113"/>
      <c r="IZ484" s="113"/>
      <c r="JA484" s="113"/>
      <c r="JB484" s="113"/>
      <c r="JC484" s="113"/>
      <c r="JD484" s="113"/>
      <c r="JE484" s="113"/>
      <c r="JF484" s="113"/>
      <c r="JG484" s="113"/>
      <c r="JH484" s="113"/>
      <c r="JI484" s="113"/>
      <c r="JJ484" s="113"/>
      <c r="JK484" s="113"/>
      <c r="JL484" s="113"/>
      <c r="JM484" s="113"/>
      <c r="JN484" s="113"/>
      <c r="JO484" s="113"/>
      <c r="JP484" s="113"/>
      <c r="JQ484" s="113"/>
      <c r="JR484" s="113"/>
      <c r="JS484" s="113"/>
      <c r="JT484" s="113"/>
      <c r="JU484" s="113"/>
      <c r="JV484" s="113"/>
      <c r="JW484" s="113"/>
      <c r="JX484" s="113"/>
      <c r="JY484" s="113"/>
      <c r="JZ484" s="113"/>
      <c r="KA484" s="113"/>
      <c r="KB484" s="113"/>
      <c r="KC484" s="113"/>
      <c r="KD484" s="113"/>
      <c r="KE484" s="113"/>
      <c r="KF484" s="113"/>
      <c r="KG484" s="113"/>
      <c r="KH484" s="113"/>
      <c r="KI484" s="113"/>
      <c r="KJ484" s="113"/>
      <c r="KK484" s="113"/>
      <c r="KL484" s="113"/>
      <c r="KM484" s="113"/>
      <c r="KN484" s="113"/>
      <c r="KO484" s="113"/>
      <c r="KP484" s="113"/>
      <c r="KQ484" s="113"/>
      <c r="KR484" s="113"/>
      <c r="KS484" s="113"/>
      <c r="KT484" s="113"/>
      <c r="KU484" s="113"/>
      <c r="KV484" s="113"/>
      <c r="KW484" s="113"/>
      <c r="KX484" s="113"/>
      <c r="KY484" s="113"/>
      <c r="KZ484" s="113"/>
      <c r="LA484" s="113"/>
      <c r="LB484" s="113"/>
      <c r="LC484" s="113"/>
      <c r="LD484" s="113"/>
      <c r="LE484" s="113"/>
      <c r="LF484" s="113"/>
      <c r="LG484" s="113"/>
      <c r="LH484" s="113"/>
      <c r="LI484" s="113"/>
      <c r="LJ484" s="113"/>
      <c r="LK484" s="113"/>
      <c r="LL484" s="113"/>
      <c r="LM484" s="113"/>
      <c r="LN484" s="113"/>
      <c r="LO484" s="113"/>
      <c r="LP484" s="113"/>
      <c r="LQ484" s="113"/>
      <c r="LR484" s="113"/>
      <c r="LS484" s="113"/>
      <c r="LT484" s="113"/>
      <c r="LU484" s="113"/>
      <c r="LV484" s="113"/>
      <c r="LW484" s="113"/>
      <c r="LX484" s="113"/>
      <c r="LY484" s="113"/>
      <c r="LZ484" s="113"/>
      <c r="MA484" s="113"/>
      <c r="MB484" s="113"/>
      <c r="MC484" s="113"/>
      <c r="MD484" s="113"/>
      <c r="ME484" s="113"/>
      <c r="MF484" s="113"/>
      <c r="MG484" s="113"/>
      <c r="MH484" s="113"/>
      <c r="MI484" s="113"/>
      <c r="MJ484" s="113"/>
      <c r="MK484" s="113"/>
      <c r="ML484" s="113"/>
      <c r="MM484" s="113"/>
      <c r="MN484" s="113"/>
      <c r="MO484" s="113"/>
      <c r="MP484" s="113"/>
      <c r="MQ484" s="113"/>
      <c r="MR484" s="113"/>
      <c r="MS484" s="113"/>
      <c r="MT484" s="113"/>
      <c r="MU484" s="113"/>
      <c r="MV484" s="113"/>
      <c r="MW484" s="113"/>
      <c r="MX484" s="113"/>
      <c r="MY484" s="113"/>
      <c r="MZ484" s="113"/>
      <c r="NA484" s="113"/>
      <c r="NB484" s="113"/>
      <c r="NC484" s="113"/>
      <c r="ND484" s="113"/>
      <c r="NE484" s="113"/>
      <c r="NF484" s="113"/>
      <c r="NG484" s="113"/>
      <c r="NH484" s="113"/>
      <c r="NI484" s="113"/>
      <c r="NJ484" s="113"/>
      <c r="NK484" s="113"/>
      <c r="NL484" s="113"/>
      <c r="NM484" s="113"/>
      <c r="NN484" s="113"/>
      <c r="NO484" s="113"/>
      <c r="NP484" s="113"/>
      <c r="NQ484" s="113"/>
      <c r="NR484" s="113"/>
      <c r="NS484" s="113"/>
      <c r="NT484" s="113"/>
      <c r="NU484" s="113"/>
      <c r="NV484" s="113"/>
      <c r="NW484" s="113"/>
      <c r="NX484" s="113"/>
      <c r="NY484" s="113"/>
      <c r="NZ484" s="113"/>
      <c r="OA484" s="113"/>
      <c r="OB484" s="113"/>
      <c r="OC484" s="113"/>
      <c r="OD484" s="113"/>
      <c r="OE484" s="113"/>
      <c r="OF484" s="113"/>
      <c r="OG484" s="113"/>
      <c r="OH484" s="113"/>
      <c r="OI484" s="113"/>
      <c r="OJ484" s="113"/>
      <c r="OK484" s="113"/>
      <c r="OL484" s="113"/>
      <c r="OM484" s="113"/>
      <c r="ON484" s="113"/>
      <c r="OO484" s="113"/>
      <c r="OP484" s="113"/>
      <c r="OQ484" s="113"/>
      <c r="OR484" s="113"/>
      <c r="OS484" s="113"/>
      <c r="OT484" s="113"/>
      <c r="OU484" s="113"/>
      <c r="OV484" s="113"/>
      <c r="OW484" s="113"/>
      <c r="OX484" s="113"/>
      <c r="OY484" s="113"/>
      <c r="OZ484" s="113"/>
      <c r="PA484" s="113"/>
      <c r="PB484" s="113"/>
      <c r="PC484" s="113"/>
      <c r="PD484" s="113"/>
      <c r="PE484" s="113"/>
      <c r="PF484" s="113"/>
      <c r="PG484" s="113"/>
      <c r="PH484" s="113"/>
      <c r="PI484" s="113"/>
      <c r="PJ484" s="113"/>
      <c r="PK484" s="113"/>
      <c r="PL484" s="113"/>
      <c r="PM484" s="113"/>
      <c r="PN484" s="113"/>
      <c r="PO484" s="113"/>
      <c r="PP484" s="113"/>
      <c r="PQ484" s="113"/>
      <c r="PR484" s="113"/>
      <c r="PS484" s="113"/>
      <c r="PT484" s="113"/>
      <c r="PU484" s="113"/>
      <c r="PV484" s="113"/>
      <c r="PW484" s="113"/>
      <c r="PX484" s="113"/>
      <c r="PY484" s="113"/>
      <c r="PZ484" s="113"/>
      <c r="QA484" s="113"/>
      <c r="QB484" s="113"/>
      <c r="QC484" s="113"/>
      <c r="QD484" s="113"/>
      <c r="QE484" s="113"/>
      <c r="QF484" s="113"/>
      <c r="QG484" s="113"/>
      <c r="QH484" s="113"/>
      <c r="QI484" s="113"/>
      <c r="QJ484" s="113"/>
      <c r="QK484" s="113"/>
      <c r="QL484" s="113"/>
      <c r="QM484" s="113"/>
      <c r="QN484" s="113"/>
      <c r="QO484" s="113"/>
      <c r="QP484" s="113"/>
      <c r="QQ484" s="113"/>
      <c r="QR484" s="113"/>
      <c r="QS484" s="113"/>
      <c r="QT484" s="113"/>
      <c r="QU484" s="113"/>
      <c r="QV484" s="113"/>
      <c r="QW484" s="113"/>
      <c r="QX484" s="113"/>
      <c r="QY484" s="113"/>
      <c r="QZ484" s="113"/>
      <c r="RA484" s="113"/>
      <c r="RB484" s="113"/>
      <c r="RC484" s="113"/>
      <c r="RD484" s="113"/>
      <c r="RE484" s="113"/>
      <c r="RF484" s="113"/>
      <c r="RG484" s="113"/>
      <c r="RH484" s="113"/>
      <c r="RI484" s="113"/>
      <c r="RJ484" s="113"/>
      <c r="RK484" s="113"/>
      <c r="RL484" s="113"/>
      <c r="RM484" s="113"/>
      <c r="RN484" s="113"/>
      <c r="RO484" s="113"/>
      <c r="RP484" s="113"/>
      <c r="RQ484" s="113"/>
      <c r="RR484" s="113"/>
      <c r="RS484" s="113"/>
      <c r="RT484" s="113"/>
      <c r="RU484" s="113"/>
      <c r="RV484" s="113"/>
      <c r="RW484" s="113"/>
      <c r="RX484" s="113"/>
      <c r="RY484" s="113"/>
      <c r="RZ484" s="113"/>
      <c r="SA484" s="113"/>
      <c r="SB484" s="113"/>
      <c r="SC484" s="113"/>
      <c r="SD484" s="113"/>
      <c r="SE484" s="113"/>
      <c r="SF484" s="113"/>
      <c r="SG484" s="113"/>
      <c r="SH484" s="113"/>
      <c r="SI484" s="113"/>
      <c r="SJ484" s="113"/>
      <c r="SK484" s="113"/>
      <c r="SL484" s="113"/>
      <c r="SM484" s="113"/>
      <c r="SN484" s="113"/>
      <c r="SO484" s="113"/>
      <c r="SP484" s="113"/>
      <c r="SQ484" s="113"/>
      <c r="SR484" s="113"/>
      <c r="SS484" s="113"/>
      <c r="ST484" s="113"/>
      <c r="SU484" s="113"/>
      <c r="SV484" s="113"/>
      <c r="SW484" s="113"/>
      <c r="SX484" s="113"/>
      <c r="SY484" s="113"/>
      <c r="SZ484" s="113"/>
      <c r="TA484" s="113"/>
      <c r="TB484" s="113"/>
      <c r="TC484" s="113"/>
      <c r="TD484" s="113"/>
      <c r="TE484" s="113"/>
      <c r="TF484" s="113"/>
      <c r="TG484" s="113"/>
      <c r="TH484" s="113"/>
      <c r="TI484" s="113"/>
      <c r="TJ484" s="113"/>
      <c r="TK484" s="113"/>
      <c r="TL484" s="113"/>
      <c r="TM484" s="113"/>
      <c r="TN484" s="113"/>
      <c r="TO484" s="113"/>
      <c r="TP484" s="113"/>
      <c r="TQ484" s="113"/>
      <c r="TR484" s="113"/>
      <c r="TS484" s="113"/>
      <c r="TT484" s="113"/>
      <c r="TU484" s="113"/>
      <c r="TV484" s="113"/>
      <c r="TW484" s="113"/>
      <c r="TX484" s="113"/>
      <c r="TY484" s="113"/>
      <c r="TZ484" s="113"/>
      <c r="UA484" s="113"/>
      <c r="UB484" s="113"/>
      <c r="UC484" s="113"/>
      <c r="UD484" s="113"/>
      <c r="UE484" s="113"/>
      <c r="UF484" s="113"/>
      <c r="UG484" s="126"/>
    </row>
    <row r="485" spans="1:553" s="109" customFormat="1" ht="30.75" customHeight="1">
      <c r="A485" s="366" t="s">
        <v>15</v>
      </c>
      <c r="B485" s="366"/>
      <c r="C485" s="1404" t="s">
        <v>52</v>
      </c>
      <c r="D485" s="1389"/>
      <c r="E485" s="1389"/>
      <c r="F485" s="1390"/>
      <c r="G485" s="366" t="s">
        <v>255</v>
      </c>
      <c r="H485" s="370"/>
      <c r="I485" s="422">
        <f>I414</f>
        <v>233.4</v>
      </c>
      <c r="J485" s="368">
        <v>16000</v>
      </c>
      <c r="K485" s="388"/>
      <c r="L485" s="480">
        <f>ROUND(PRODUCT(I485:K485),0)</f>
        <v>3734400</v>
      </c>
      <c r="M485" s="366"/>
      <c r="N485" s="366"/>
      <c r="O485" s="366"/>
      <c r="P485" s="366"/>
      <c r="Q485" s="1135"/>
      <c r="R485" s="1452"/>
      <c r="S485" s="435"/>
      <c r="T485" s="436"/>
      <c r="U485" s="304"/>
      <c r="V485" s="393"/>
      <c r="W485" s="304"/>
      <c r="X485" s="304"/>
      <c r="Y485" s="304"/>
      <c r="Z485" s="304"/>
      <c r="AA485" s="304"/>
      <c r="AB485" s="304"/>
      <c r="AC485" s="449"/>
      <c r="AD485" s="452"/>
      <c r="AE485" s="452"/>
      <c r="AF485" s="452"/>
      <c r="AG485" s="452"/>
      <c r="AH485" s="452"/>
      <c r="AI485" s="452"/>
      <c r="AJ485" s="452"/>
      <c r="AK485" s="452"/>
      <c r="AL485" s="117"/>
      <c r="AM485" s="113"/>
      <c r="AN485" s="113"/>
      <c r="AO485" s="113"/>
      <c r="AP485" s="113"/>
      <c r="AQ485" s="113"/>
      <c r="AR485" s="113"/>
      <c r="AS485" s="113"/>
      <c r="AT485" s="113"/>
      <c r="AU485" s="113"/>
      <c r="AV485" s="113"/>
      <c r="AW485" s="113"/>
      <c r="AX485" s="113"/>
      <c r="AY485" s="113"/>
      <c r="AZ485" s="113"/>
      <c r="BA485" s="113"/>
      <c r="BB485" s="113"/>
      <c r="BC485" s="113"/>
      <c r="BD485" s="113"/>
      <c r="BE485" s="113"/>
      <c r="BF485" s="113"/>
      <c r="BG485" s="113"/>
      <c r="BH485" s="113"/>
      <c r="BI485" s="113"/>
      <c r="BJ485" s="113"/>
      <c r="BK485" s="113"/>
      <c r="BL485" s="113"/>
      <c r="BM485" s="113"/>
      <c r="BN485" s="113"/>
      <c r="BO485" s="113"/>
      <c r="BP485" s="113"/>
      <c r="BQ485" s="113"/>
      <c r="BR485" s="113"/>
      <c r="BS485" s="113"/>
      <c r="BT485" s="113"/>
      <c r="BU485" s="113"/>
      <c r="BV485" s="113"/>
      <c r="BW485" s="113"/>
      <c r="BX485" s="113"/>
      <c r="BY485" s="113"/>
      <c r="BZ485" s="113"/>
      <c r="CA485" s="113"/>
      <c r="CB485" s="113"/>
      <c r="CC485" s="113"/>
      <c r="CD485" s="113"/>
      <c r="CE485" s="113"/>
      <c r="CF485" s="113"/>
      <c r="CG485" s="113"/>
      <c r="CH485" s="113"/>
      <c r="CI485" s="113"/>
      <c r="CJ485" s="113"/>
      <c r="CK485" s="113"/>
      <c r="CL485" s="113"/>
      <c r="CM485" s="113"/>
      <c r="CN485" s="113"/>
      <c r="CO485" s="113"/>
      <c r="CP485" s="113"/>
      <c r="CQ485" s="113"/>
      <c r="CR485" s="113"/>
      <c r="CS485" s="113"/>
      <c r="CT485" s="113"/>
      <c r="CU485" s="113"/>
      <c r="CV485" s="113"/>
      <c r="CW485" s="113"/>
      <c r="CX485" s="113"/>
      <c r="CY485" s="113"/>
      <c r="CZ485" s="113"/>
      <c r="DA485" s="113"/>
      <c r="DB485" s="113"/>
      <c r="DC485" s="113"/>
      <c r="DD485" s="113"/>
      <c r="DE485" s="113"/>
      <c r="DF485" s="113"/>
      <c r="DG485" s="113"/>
      <c r="DH485" s="113"/>
      <c r="DI485" s="113"/>
      <c r="DJ485" s="113"/>
      <c r="DK485" s="113"/>
      <c r="DL485" s="113"/>
      <c r="DM485" s="113"/>
      <c r="DN485" s="113"/>
      <c r="DO485" s="113"/>
      <c r="DP485" s="113"/>
      <c r="DQ485" s="113"/>
      <c r="DR485" s="113"/>
      <c r="DS485" s="113"/>
      <c r="DT485" s="113"/>
      <c r="DU485" s="113"/>
      <c r="DV485" s="113"/>
      <c r="DW485" s="113"/>
      <c r="DX485" s="113"/>
      <c r="DY485" s="113"/>
      <c r="DZ485" s="113"/>
      <c r="EA485" s="113"/>
      <c r="EB485" s="113"/>
      <c r="EC485" s="113"/>
      <c r="ED485" s="113"/>
      <c r="EE485" s="113"/>
      <c r="EF485" s="113"/>
      <c r="EG485" s="113"/>
      <c r="EH485" s="113"/>
      <c r="EI485" s="113"/>
      <c r="EJ485" s="113"/>
      <c r="EK485" s="113"/>
      <c r="EL485" s="113"/>
      <c r="EM485" s="113"/>
      <c r="EN485" s="113"/>
      <c r="EO485" s="113"/>
      <c r="EP485" s="113"/>
      <c r="EQ485" s="113"/>
      <c r="ER485" s="113"/>
      <c r="ES485" s="113"/>
      <c r="ET485" s="113"/>
      <c r="EU485" s="113"/>
      <c r="EV485" s="113"/>
      <c r="EW485" s="113"/>
      <c r="EX485" s="113"/>
      <c r="EY485" s="113"/>
      <c r="EZ485" s="113"/>
      <c r="FA485" s="113"/>
      <c r="FB485" s="113"/>
      <c r="FC485" s="113"/>
      <c r="FD485" s="113"/>
      <c r="FE485" s="113"/>
      <c r="FF485" s="113"/>
      <c r="FG485" s="113"/>
      <c r="FH485" s="113"/>
      <c r="FI485" s="113"/>
      <c r="FJ485" s="113"/>
      <c r="FK485" s="113"/>
      <c r="FL485" s="113"/>
      <c r="FM485" s="113"/>
      <c r="FN485" s="113"/>
      <c r="FO485" s="113"/>
      <c r="FP485" s="113"/>
      <c r="FQ485" s="113"/>
      <c r="FR485" s="113"/>
      <c r="FS485" s="113"/>
      <c r="FT485" s="113"/>
      <c r="FU485" s="113"/>
      <c r="FV485" s="113"/>
      <c r="FW485" s="113"/>
      <c r="FX485" s="113"/>
      <c r="FY485" s="113"/>
      <c r="FZ485" s="113"/>
      <c r="GA485" s="113"/>
      <c r="GB485" s="113"/>
      <c r="GC485" s="113"/>
      <c r="GD485" s="113"/>
      <c r="GE485" s="113"/>
      <c r="GF485" s="113"/>
      <c r="GG485" s="113"/>
      <c r="GH485" s="113"/>
      <c r="GI485" s="113"/>
      <c r="GJ485" s="113"/>
      <c r="GK485" s="113"/>
      <c r="GL485" s="113"/>
      <c r="GM485" s="113"/>
      <c r="GN485" s="113"/>
      <c r="GO485" s="113"/>
      <c r="GP485" s="113"/>
      <c r="GQ485" s="113"/>
      <c r="GR485" s="113"/>
      <c r="GS485" s="113"/>
      <c r="GT485" s="113"/>
      <c r="GU485" s="113"/>
      <c r="GV485" s="113"/>
      <c r="GW485" s="113"/>
      <c r="GX485" s="113"/>
      <c r="GY485" s="113"/>
      <c r="GZ485" s="113"/>
      <c r="HA485" s="113"/>
      <c r="HB485" s="113"/>
      <c r="HC485" s="113"/>
      <c r="HD485" s="113"/>
      <c r="HE485" s="113"/>
      <c r="HF485" s="113"/>
      <c r="HG485" s="113"/>
      <c r="HH485" s="113"/>
      <c r="HI485" s="113"/>
      <c r="HJ485" s="113"/>
      <c r="HK485" s="113"/>
      <c r="HL485" s="113"/>
      <c r="HM485" s="113"/>
      <c r="HN485" s="113"/>
      <c r="HO485" s="113"/>
      <c r="HP485" s="113"/>
      <c r="HQ485" s="113"/>
      <c r="HR485" s="113"/>
      <c r="HS485" s="113"/>
      <c r="HT485" s="113"/>
      <c r="HU485" s="113"/>
      <c r="HV485" s="113"/>
      <c r="HW485" s="113"/>
      <c r="HX485" s="113"/>
      <c r="HY485" s="113"/>
      <c r="HZ485" s="113"/>
      <c r="IA485" s="113"/>
      <c r="IB485" s="113"/>
      <c r="IC485" s="113"/>
      <c r="ID485" s="113"/>
      <c r="IE485" s="113"/>
      <c r="IF485" s="113"/>
      <c r="IG485" s="113"/>
      <c r="IH485" s="113"/>
      <c r="II485" s="113"/>
      <c r="IJ485" s="113"/>
      <c r="IK485" s="113"/>
      <c r="IL485" s="113"/>
      <c r="IM485" s="113"/>
      <c r="IN485" s="113"/>
      <c r="IO485" s="113"/>
      <c r="IP485" s="113"/>
      <c r="IQ485" s="113"/>
      <c r="IR485" s="113"/>
      <c r="IS485" s="113"/>
      <c r="IT485" s="113"/>
      <c r="IU485" s="113"/>
      <c r="IV485" s="113"/>
      <c r="IW485" s="113"/>
      <c r="IX485" s="113"/>
      <c r="IY485" s="113"/>
      <c r="IZ485" s="113"/>
      <c r="JA485" s="113"/>
      <c r="JB485" s="113"/>
      <c r="JC485" s="113"/>
      <c r="JD485" s="113"/>
      <c r="JE485" s="113"/>
      <c r="JF485" s="113"/>
      <c r="JG485" s="113"/>
      <c r="JH485" s="113"/>
      <c r="JI485" s="113"/>
      <c r="JJ485" s="113"/>
      <c r="JK485" s="113"/>
      <c r="JL485" s="113"/>
      <c r="JM485" s="113"/>
      <c r="JN485" s="113"/>
      <c r="JO485" s="113"/>
      <c r="JP485" s="113"/>
      <c r="JQ485" s="113"/>
      <c r="JR485" s="113"/>
      <c r="JS485" s="113"/>
      <c r="JT485" s="113"/>
      <c r="JU485" s="113"/>
      <c r="JV485" s="113"/>
      <c r="JW485" s="113"/>
      <c r="JX485" s="113"/>
      <c r="JY485" s="113"/>
      <c r="JZ485" s="113"/>
      <c r="KA485" s="113"/>
      <c r="KB485" s="113"/>
      <c r="KC485" s="113"/>
      <c r="KD485" s="113"/>
      <c r="KE485" s="113"/>
      <c r="KF485" s="113"/>
      <c r="KG485" s="113"/>
      <c r="KH485" s="113"/>
      <c r="KI485" s="113"/>
      <c r="KJ485" s="113"/>
      <c r="KK485" s="113"/>
      <c r="KL485" s="113"/>
      <c r="KM485" s="113"/>
      <c r="KN485" s="113"/>
      <c r="KO485" s="113"/>
      <c r="KP485" s="113"/>
      <c r="KQ485" s="113"/>
      <c r="KR485" s="113"/>
      <c r="KS485" s="113"/>
      <c r="KT485" s="113"/>
      <c r="KU485" s="113"/>
      <c r="KV485" s="113"/>
      <c r="KW485" s="113"/>
      <c r="KX485" s="113"/>
      <c r="KY485" s="113"/>
      <c r="KZ485" s="113"/>
      <c r="LA485" s="113"/>
      <c r="LB485" s="113"/>
      <c r="LC485" s="113"/>
      <c r="LD485" s="113"/>
      <c r="LE485" s="113"/>
      <c r="LF485" s="113"/>
      <c r="LG485" s="113"/>
      <c r="LH485" s="113"/>
      <c r="LI485" s="113"/>
      <c r="LJ485" s="113"/>
      <c r="LK485" s="113"/>
      <c r="LL485" s="113"/>
      <c r="LM485" s="113"/>
      <c r="LN485" s="113"/>
      <c r="LO485" s="113"/>
      <c r="LP485" s="113"/>
      <c r="LQ485" s="113"/>
      <c r="LR485" s="113"/>
      <c r="LS485" s="113"/>
      <c r="LT485" s="113"/>
      <c r="LU485" s="113"/>
      <c r="LV485" s="113"/>
      <c r="LW485" s="113"/>
      <c r="LX485" s="113"/>
      <c r="LY485" s="113"/>
      <c r="LZ485" s="113"/>
      <c r="MA485" s="113"/>
      <c r="MB485" s="113"/>
      <c r="MC485" s="113"/>
      <c r="MD485" s="113"/>
      <c r="ME485" s="113"/>
      <c r="MF485" s="113"/>
      <c r="MG485" s="113"/>
      <c r="MH485" s="113"/>
      <c r="MI485" s="113"/>
      <c r="MJ485" s="113"/>
      <c r="MK485" s="113"/>
      <c r="ML485" s="113"/>
      <c r="MM485" s="113"/>
      <c r="MN485" s="113"/>
      <c r="MO485" s="113"/>
      <c r="MP485" s="113"/>
      <c r="MQ485" s="113"/>
      <c r="MR485" s="113"/>
      <c r="MS485" s="113"/>
      <c r="MT485" s="113"/>
      <c r="MU485" s="113"/>
      <c r="MV485" s="113"/>
      <c r="MW485" s="113"/>
      <c r="MX485" s="113"/>
      <c r="MY485" s="113"/>
      <c r="MZ485" s="113"/>
      <c r="NA485" s="113"/>
      <c r="NB485" s="113"/>
      <c r="NC485" s="113"/>
      <c r="ND485" s="113"/>
      <c r="NE485" s="113"/>
      <c r="NF485" s="113"/>
      <c r="NG485" s="113"/>
      <c r="NH485" s="113"/>
      <c r="NI485" s="113"/>
      <c r="NJ485" s="113"/>
      <c r="NK485" s="113"/>
      <c r="NL485" s="113"/>
      <c r="NM485" s="113"/>
      <c r="NN485" s="113"/>
      <c r="NO485" s="113"/>
      <c r="NP485" s="113"/>
      <c r="NQ485" s="113"/>
      <c r="NR485" s="113"/>
      <c r="NS485" s="113"/>
      <c r="NT485" s="113"/>
      <c r="NU485" s="113"/>
      <c r="NV485" s="113"/>
      <c r="NW485" s="113"/>
      <c r="NX485" s="113"/>
      <c r="NY485" s="113"/>
      <c r="NZ485" s="113"/>
      <c r="OA485" s="113"/>
      <c r="OB485" s="113"/>
      <c r="OC485" s="113"/>
      <c r="OD485" s="113"/>
      <c r="OE485" s="113"/>
      <c r="OF485" s="113"/>
      <c r="OG485" s="113"/>
      <c r="OH485" s="113"/>
      <c r="OI485" s="113"/>
      <c r="OJ485" s="113"/>
      <c r="OK485" s="113"/>
      <c r="OL485" s="113"/>
      <c r="OM485" s="113"/>
      <c r="ON485" s="113"/>
      <c r="OO485" s="113"/>
      <c r="OP485" s="113"/>
      <c r="OQ485" s="113"/>
      <c r="OR485" s="113"/>
      <c r="OS485" s="113"/>
      <c r="OT485" s="113"/>
      <c r="OU485" s="113"/>
      <c r="OV485" s="113"/>
      <c r="OW485" s="113"/>
      <c r="OX485" s="113"/>
      <c r="OY485" s="113"/>
      <c r="OZ485" s="113"/>
      <c r="PA485" s="113"/>
      <c r="PB485" s="113"/>
      <c r="PC485" s="113"/>
      <c r="PD485" s="113"/>
      <c r="PE485" s="113"/>
      <c r="PF485" s="113"/>
      <c r="PG485" s="113"/>
      <c r="PH485" s="113"/>
      <c r="PI485" s="113"/>
      <c r="PJ485" s="113"/>
      <c r="PK485" s="113"/>
      <c r="PL485" s="113"/>
      <c r="PM485" s="113"/>
      <c r="PN485" s="113"/>
      <c r="PO485" s="113"/>
      <c r="PP485" s="113"/>
      <c r="PQ485" s="113"/>
      <c r="PR485" s="113"/>
      <c r="PS485" s="113"/>
      <c r="PT485" s="113"/>
      <c r="PU485" s="113"/>
      <c r="PV485" s="113"/>
      <c r="PW485" s="113"/>
      <c r="PX485" s="113"/>
      <c r="PY485" s="113"/>
      <c r="PZ485" s="113"/>
      <c r="QA485" s="113"/>
      <c r="QB485" s="113"/>
      <c r="QC485" s="113"/>
      <c r="QD485" s="113"/>
      <c r="QE485" s="113"/>
      <c r="QF485" s="113"/>
      <c r="QG485" s="113"/>
      <c r="QH485" s="113"/>
      <c r="QI485" s="113"/>
      <c r="QJ485" s="113"/>
      <c r="QK485" s="113"/>
      <c r="QL485" s="113"/>
      <c r="QM485" s="113"/>
      <c r="QN485" s="113"/>
      <c r="QO485" s="113"/>
      <c r="QP485" s="113"/>
      <c r="QQ485" s="113"/>
      <c r="QR485" s="113"/>
      <c r="QS485" s="113"/>
      <c r="QT485" s="113"/>
      <c r="QU485" s="113"/>
      <c r="QV485" s="113"/>
      <c r="QW485" s="113"/>
      <c r="QX485" s="113"/>
      <c r="QY485" s="113"/>
      <c r="QZ485" s="113"/>
      <c r="RA485" s="113"/>
      <c r="RB485" s="113"/>
      <c r="RC485" s="113"/>
      <c r="RD485" s="113"/>
      <c r="RE485" s="113"/>
      <c r="RF485" s="113"/>
      <c r="RG485" s="113"/>
      <c r="RH485" s="113"/>
      <c r="RI485" s="113"/>
      <c r="RJ485" s="113"/>
      <c r="RK485" s="113"/>
      <c r="RL485" s="113"/>
      <c r="RM485" s="113"/>
      <c r="RN485" s="113"/>
      <c r="RO485" s="113"/>
      <c r="RP485" s="113"/>
      <c r="RQ485" s="113"/>
      <c r="RR485" s="113"/>
      <c r="RS485" s="113"/>
      <c r="RT485" s="113"/>
      <c r="RU485" s="113"/>
      <c r="RV485" s="113"/>
      <c r="RW485" s="113"/>
      <c r="RX485" s="113"/>
      <c r="RY485" s="113"/>
      <c r="RZ485" s="113"/>
      <c r="SA485" s="113"/>
      <c r="SB485" s="113"/>
      <c r="SC485" s="113"/>
      <c r="SD485" s="113"/>
      <c r="SE485" s="113"/>
      <c r="SF485" s="113"/>
      <c r="SG485" s="113"/>
      <c r="SH485" s="113"/>
      <c r="SI485" s="113"/>
      <c r="SJ485" s="113"/>
      <c r="SK485" s="113"/>
      <c r="SL485" s="113"/>
      <c r="SM485" s="113"/>
      <c r="SN485" s="113"/>
      <c r="SO485" s="113"/>
      <c r="SP485" s="113"/>
      <c r="SQ485" s="113"/>
      <c r="SR485" s="113"/>
      <c r="SS485" s="113"/>
      <c r="ST485" s="113"/>
      <c r="SU485" s="113"/>
      <c r="SV485" s="113"/>
      <c r="SW485" s="113"/>
      <c r="SX485" s="113"/>
      <c r="SY485" s="113"/>
      <c r="SZ485" s="113"/>
      <c r="TA485" s="113"/>
      <c r="TB485" s="113"/>
      <c r="TC485" s="113"/>
      <c r="TD485" s="113"/>
      <c r="TE485" s="113"/>
      <c r="TF485" s="113"/>
      <c r="TG485" s="113"/>
      <c r="TH485" s="113"/>
      <c r="TI485" s="113"/>
      <c r="TJ485" s="113"/>
      <c r="TK485" s="113"/>
      <c r="TL485" s="113"/>
      <c r="TM485" s="113"/>
      <c r="TN485" s="113"/>
      <c r="TO485" s="113"/>
      <c r="TP485" s="113"/>
      <c r="TQ485" s="113"/>
      <c r="TR485" s="113"/>
      <c r="TS485" s="113"/>
      <c r="TT485" s="113"/>
      <c r="TU485" s="113"/>
      <c r="TV485" s="113"/>
      <c r="TW485" s="113"/>
      <c r="TX485" s="113"/>
      <c r="TY485" s="113"/>
      <c r="TZ485" s="113"/>
      <c r="UA485" s="113"/>
      <c r="UB485" s="113"/>
      <c r="UC485" s="113"/>
      <c r="UD485" s="113"/>
      <c r="UE485" s="113"/>
      <c r="UF485" s="113"/>
      <c r="UG485" s="126"/>
    </row>
    <row r="486" spans="1:553" s="109" customFormat="1" ht="30.75" customHeight="1">
      <c r="A486" s="366"/>
      <c r="B486" s="356"/>
      <c r="C486" s="1454" t="s">
        <v>908</v>
      </c>
      <c r="D486" s="1389"/>
      <c r="E486" s="1389"/>
      <c r="F486" s="1390"/>
      <c r="G486" s="366"/>
      <c r="H486" s="370"/>
      <c r="I486" s="422"/>
      <c r="J486" s="368"/>
      <c r="K486" s="388"/>
      <c r="L486" s="480"/>
      <c r="M486" s="366"/>
      <c r="N486" s="366"/>
      <c r="O486" s="366"/>
      <c r="P486" s="366"/>
      <c r="Q486" s="1135"/>
      <c r="R486" s="1452"/>
      <c r="S486" s="308"/>
      <c r="T486" s="303"/>
      <c r="U486" s="306"/>
      <c r="V486" s="307"/>
      <c r="W486" s="306"/>
      <c r="X486" s="306"/>
      <c r="Y486" s="306"/>
      <c r="Z486" s="306"/>
      <c r="AA486" s="306"/>
      <c r="AB486" s="306"/>
      <c r="AC486" s="449"/>
      <c r="AD486" s="452"/>
      <c r="AE486" s="452"/>
      <c r="AF486" s="452"/>
      <c r="AG486" s="452"/>
      <c r="AH486" s="452"/>
      <c r="AI486" s="452"/>
      <c r="AJ486" s="452"/>
      <c r="AK486" s="452"/>
      <c r="AL486" s="117"/>
      <c r="AM486" s="113"/>
      <c r="AN486" s="113"/>
      <c r="AO486" s="113"/>
      <c r="AP486" s="113"/>
      <c r="AQ486" s="113"/>
      <c r="AR486" s="113"/>
      <c r="AS486" s="113"/>
      <c r="AT486" s="113"/>
      <c r="AU486" s="113"/>
      <c r="AV486" s="113"/>
      <c r="AW486" s="113"/>
      <c r="AX486" s="113"/>
      <c r="AY486" s="113"/>
      <c r="AZ486" s="113"/>
      <c r="BA486" s="113"/>
      <c r="BB486" s="113"/>
      <c r="BC486" s="113"/>
      <c r="BD486" s="113"/>
      <c r="BE486" s="113"/>
      <c r="BF486" s="113"/>
      <c r="BG486" s="113"/>
      <c r="BH486" s="113"/>
      <c r="BI486" s="113"/>
      <c r="BJ486" s="113"/>
      <c r="BK486" s="113"/>
      <c r="BL486" s="113"/>
      <c r="BM486" s="113"/>
      <c r="BN486" s="113"/>
      <c r="BO486" s="113"/>
      <c r="BP486" s="113"/>
      <c r="BQ486" s="113"/>
      <c r="BR486" s="113"/>
      <c r="BS486" s="113"/>
      <c r="BT486" s="113"/>
      <c r="BU486" s="113"/>
      <c r="BV486" s="113"/>
      <c r="BW486" s="113"/>
      <c r="BX486" s="113"/>
      <c r="BY486" s="113"/>
      <c r="BZ486" s="113"/>
      <c r="CA486" s="113"/>
      <c r="CB486" s="113"/>
      <c r="CC486" s="113"/>
      <c r="CD486" s="113"/>
      <c r="CE486" s="113"/>
      <c r="CF486" s="113"/>
      <c r="CG486" s="113"/>
      <c r="CH486" s="113"/>
      <c r="CI486" s="113"/>
      <c r="CJ486" s="113"/>
      <c r="CK486" s="113"/>
      <c r="CL486" s="113"/>
      <c r="CM486" s="113"/>
      <c r="CN486" s="113"/>
      <c r="CO486" s="113"/>
      <c r="CP486" s="113"/>
      <c r="CQ486" s="113"/>
      <c r="CR486" s="113"/>
      <c r="CS486" s="113"/>
      <c r="CT486" s="113"/>
      <c r="CU486" s="113"/>
      <c r="CV486" s="113"/>
      <c r="CW486" s="113"/>
      <c r="CX486" s="113"/>
      <c r="CY486" s="113"/>
      <c r="CZ486" s="113"/>
      <c r="DA486" s="113"/>
      <c r="DB486" s="113"/>
      <c r="DC486" s="113"/>
      <c r="DD486" s="113"/>
      <c r="DE486" s="113"/>
      <c r="DF486" s="113"/>
      <c r="DG486" s="113"/>
      <c r="DH486" s="113"/>
      <c r="DI486" s="113"/>
      <c r="DJ486" s="113"/>
      <c r="DK486" s="113"/>
      <c r="DL486" s="113"/>
      <c r="DM486" s="113"/>
      <c r="DN486" s="113"/>
      <c r="DO486" s="113"/>
      <c r="DP486" s="113"/>
      <c r="DQ486" s="113"/>
      <c r="DR486" s="113"/>
      <c r="DS486" s="113"/>
      <c r="DT486" s="113"/>
      <c r="DU486" s="113"/>
      <c r="DV486" s="113"/>
      <c r="DW486" s="113"/>
      <c r="DX486" s="113"/>
      <c r="DY486" s="113"/>
      <c r="DZ486" s="113"/>
      <c r="EA486" s="113"/>
      <c r="EB486" s="113"/>
      <c r="EC486" s="113"/>
      <c r="ED486" s="113"/>
      <c r="EE486" s="113"/>
      <c r="EF486" s="113"/>
      <c r="EG486" s="113"/>
      <c r="EH486" s="113"/>
      <c r="EI486" s="113"/>
      <c r="EJ486" s="113"/>
      <c r="EK486" s="113"/>
      <c r="EL486" s="113"/>
      <c r="EM486" s="113"/>
      <c r="EN486" s="113"/>
      <c r="EO486" s="113"/>
      <c r="EP486" s="113"/>
      <c r="EQ486" s="113"/>
      <c r="ER486" s="113"/>
      <c r="ES486" s="113"/>
      <c r="ET486" s="113"/>
      <c r="EU486" s="113"/>
      <c r="EV486" s="113"/>
      <c r="EW486" s="113"/>
      <c r="EX486" s="113"/>
      <c r="EY486" s="113"/>
      <c r="EZ486" s="113"/>
      <c r="FA486" s="113"/>
      <c r="FB486" s="113"/>
      <c r="FC486" s="113"/>
      <c r="FD486" s="113"/>
      <c r="FE486" s="113"/>
      <c r="FF486" s="113"/>
      <c r="FG486" s="113"/>
      <c r="FH486" s="113"/>
      <c r="FI486" s="113"/>
      <c r="FJ486" s="113"/>
      <c r="FK486" s="113"/>
      <c r="FL486" s="113"/>
      <c r="FM486" s="113"/>
      <c r="FN486" s="113"/>
      <c r="FO486" s="113"/>
      <c r="FP486" s="113"/>
      <c r="FQ486" s="113"/>
      <c r="FR486" s="113"/>
      <c r="FS486" s="113"/>
      <c r="FT486" s="113"/>
      <c r="FU486" s="113"/>
      <c r="FV486" s="113"/>
      <c r="FW486" s="113"/>
      <c r="FX486" s="113"/>
      <c r="FY486" s="113"/>
      <c r="FZ486" s="113"/>
      <c r="GA486" s="113"/>
      <c r="GB486" s="113"/>
      <c r="GC486" s="113"/>
      <c r="GD486" s="113"/>
      <c r="GE486" s="113"/>
      <c r="GF486" s="113"/>
      <c r="GG486" s="113"/>
      <c r="GH486" s="113"/>
      <c r="GI486" s="113"/>
      <c r="GJ486" s="113"/>
      <c r="GK486" s="113"/>
      <c r="GL486" s="113"/>
      <c r="GM486" s="113"/>
      <c r="GN486" s="113"/>
      <c r="GO486" s="113"/>
      <c r="GP486" s="113"/>
      <c r="GQ486" s="113"/>
      <c r="GR486" s="113"/>
      <c r="GS486" s="113"/>
      <c r="GT486" s="113"/>
      <c r="GU486" s="113"/>
      <c r="GV486" s="113"/>
      <c r="GW486" s="113"/>
      <c r="GX486" s="113"/>
      <c r="GY486" s="113"/>
      <c r="GZ486" s="113"/>
      <c r="HA486" s="113"/>
      <c r="HB486" s="113"/>
      <c r="HC486" s="113"/>
      <c r="HD486" s="113"/>
      <c r="HE486" s="113"/>
      <c r="HF486" s="113"/>
      <c r="HG486" s="113"/>
      <c r="HH486" s="113"/>
      <c r="HI486" s="113"/>
      <c r="HJ486" s="113"/>
      <c r="HK486" s="113"/>
      <c r="HL486" s="113"/>
      <c r="HM486" s="113"/>
      <c r="HN486" s="113"/>
      <c r="HO486" s="113"/>
      <c r="HP486" s="113"/>
      <c r="HQ486" s="113"/>
      <c r="HR486" s="113"/>
      <c r="HS486" s="113"/>
      <c r="HT486" s="113"/>
      <c r="HU486" s="113"/>
      <c r="HV486" s="113"/>
      <c r="HW486" s="113"/>
      <c r="HX486" s="113"/>
      <c r="HY486" s="113"/>
      <c r="HZ486" s="113"/>
      <c r="IA486" s="113"/>
      <c r="IB486" s="113"/>
      <c r="IC486" s="113"/>
      <c r="ID486" s="113"/>
      <c r="IE486" s="113"/>
      <c r="IF486" s="113"/>
      <c r="IG486" s="113"/>
      <c r="IH486" s="113"/>
      <c r="II486" s="113"/>
      <c r="IJ486" s="113"/>
      <c r="IK486" s="113"/>
      <c r="IL486" s="113"/>
      <c r="IM486" s="113"/>
      <c r="IN486" s="113"/>
      <c r="IO486" s="113"/>
      <c r="IP486" s="113"/>
      <c r="IQ486" s="113"/>
      <c r="IR486" s="113"/>
      <c r="IS486" s="113"/>
      <c r="IT486" s="113"/>
      <c r="IU486" s="113"/>
      <c r="IV486" s="113"/>
      <c r="IW486" s="113"/>
      <c r="IX486" s="113"/>
      <c r="IY486" s="113"/>
      <c r="IZ486" s="113"/>
      <c r="JA486" s="113"/>
      <c r="JB486" s="113"/>
      <c r="JC486" s="113"/>
      <c r="JD486" s="113"/>
      <c r="JE486" s="113"/>
      <c r="JF486" s="113"/>
      <c r="JG486" s="113"/>
      <c r="JH486" s="113"/>
      <c r="JI486" s="113"/>
      <c r="JJ486" s="113"/>
      <c r="JK486" s="113"/>
      <c r="JL486" s="113"/>
      <c r="JM486" s="113"/>
      <c r="JN486" s="113"/>
      <c r="JO486" s="113"/>
      <c r="JP486" s="113"/>
      <c r="JQ486" s="113"/>
      <c r="JR486" s="113"/>
      <c r="JS486" s="113"/>
      <c r="JT486" s="113"/>
      <c r="JU486" s="113"/>
      <c r="JV486" s="113"/>
      <c r="JW486" s="113"/>
      <c r="JX486" s="113"/>
      <c r="JY486" s="113"/>
      <c r="JZ486" s="113"/>
      <c r="KA486" s="113"/>
      <c r="KB486" s="113"/>
      <c r="KC486" s="113"/>
      <c r="KD486" s="113"/>
      <c r="KE486" s="113"/>
      <c r="KF486" s="113"/>
      <c r="KG486" s="113"/>
      <c r="KH486" s="113"/>
      <c r="KI486" s="113"/>
      <c r="KJ486" s="113"/>
      <c r="KK486" s="113"/>
      <c r="KL486" s="113"/>
      <c r="KM486" s="113"/>
      <c r="KN486" s="113"/>
      <c r="KO486" s="113"/>
      <c r="KP486" s="113"/>
      <c r="KQ486" s="113"/>
      <c r="KR486" s="113"/>
      <c r="KS486" s="113"/>
      <c r="KT486" s="113"/>
      <c r="KU486" s="113"/>
      <c r="KV486" s="113"/>
      <c r="KW486" s="113"/>
      <c r="KX486" s="113"/>
      <c r="KY486" s="113"/>
      <c r="KZ486" s="113"/>
      <c r="LA486" s="113"/>
      <c r="LB486" s="113"/>
      <c r="LC486" s="113"/>
      <c r="LD486" s="113"/>
      <c r="LE486" s="113"/>
      <c r="LF486" s="113"/>
      <c r="LG486" s="113"/>
      <c r="LH486" s="113"/>
      <c r="LI486" s="113"/>
      <c r="LJ486" s="113"/>
      <c r="LK486" s="113"/>
      <c r="LL486" s="113"/>
      <c r="LM486" s="113"/>
      <c r="LN486" s="113"/>
      <c r="LO486" s="113"/>
      <c r="LP486" s="113"/>
      <c r="LQ486" s="113"/>
      <c r="LR486" s="113"/>
      <c r="LS486" s="113"/>
      <c r="LT486" s="113"/>
      <c r="LU486" s="113"/>
      <c r="LV486" s="113"/>
      <c r="LW486" s="113"/>
      <c r="LX486" s="113"/>
      <c r="LY486" s="113"/>
      <c r="LZ486" s="113"/>
      <c r="MA486" s="113"/>
      <c r="MB486" s="113"/>
      <c r="MC486" s="113"/>
      <c r="MD486" s="113"/>
      <c r="ME486" s="113"/>
      <c r="MF486" s="113"/>
      <c r="MG486" s="113"/>
      <c r="MH486" s="113"/>
      <c r="MI486" s="113"/>
      <c r="MJ486" s="113"/>
      <c r="MK486" s="113"/>
      <c r="ML486" s="113"/>
      <c r="MM486" s="113"/>
      <c r="MN486" s="113"/>
      <c r="MO486" s="113"/>
      <c r="MP486" s="113"/>
      <c r="MQ486" s="113"/>
      <c r="MR486" s="113"/>
      <c r="MS486" s="113"/>
      <c r="MT486" s="113"/>
      <c r="MU486" s="113"/>
      <c r="MV486" s="113"/>
      <c r="MW486" s="113"/>
      <c r="MX486" s="113"/>
      <c r="MY486" s="113"/>
      <c r="MZ486" s="113"/>
      <c r="NA486" s="113"/>
      <c r="NB486" s="113"/>
      <c r="NC486" s="113"/>
      <c r="ND486" s="113"/>
      <c r="NE486" s="113"/>
      <c r="NF486" s="113"/>
      <c r="NG486" s="113"/>
      <c r="NH486" s="113"/>
      <c r="NI486" s="113"/>
      <c r="NJ486" s="113"/>
      <c r="NK486" s="113"/>
      <c r="NL486" s="113"/>
      <c r="NM486" s="113"/>
      <c r="NN486" s="113"/>
      <c r="NO486" s="113"/>
      <c r="NP486" s="113"/>
      <c r="NQ486" s="113"/>
      <c r="NR486" s="113"/>
      <c r="NS486" s="113"/>
      <c r="NT486" s="113"/>
      <c r="NU486" s="113"/>
      <c r="NV486" s="113"/>
      <c r="NW486" s="113"/>
      <c r="NX486" s="113"/>
      <c r="NY486" s="113"/>
      <c r="NZ486" s="113"/>
      <c r="OA486" s="113"/>
      <c r="OB486" s="113"/>
      <c r="OC486" s="113"/>
      <c r="OD486" s="113"/>
      <c r="OE486" s="113"/>
      <c r="OF486" s="113"/>
      <c r="OG486" s="113"/>
      <c r="OH486" s="113"/>
      <c r="OI486" s="113"/>
      <c r="OJ486" s="113"/>
      <c r="OK486" s="113"/>
      <c r="OL486" s="113"/>
      <c r="OM486" s="113"/>
      <c r="ON486" s="113"/>
      <c r="OO486" s="113"/>
      <c r="OP486" s="113"/>
      <c r="OQ486" s="113"/>
      <c r="OR486" s="113"/>
      <c r="OS486" s="113"/>
      <c r="OT486" s="113"/>
      <c r="OU486" s="113"/>
      <c r="OV486" s="113"/>
      <c r="OW486" s="113"/>
      <c r="OX486" s="113"/>
      <c r="OY486" s="113"/>
      <c r="OZ486" s="113"/>
      <c r="PA486" s="113"/>
      <c r="PB486" s="113"/>
      <c r="PC486" s="113"/>
      <c r="PD486" s="113"/>
      <c r="PE486" s="113"/>
      <c r="PF486" s="113"/>
      <c r="PG486" s="113"/>
      <c r="PH486" s="113"/>
      <c r="PI486" s="113"/>
      <c r="PJ486" s="113"/>
      <c r="PK486" s="113"/>
      <c r="PL486" s="113"/>
      <c r="PM486" s="113"/>
      <c r="PN486" s="113"/>
      <c r="PO486" s="113"/>
      <c r="PP486" s="113"/>
      <c r="PQ486" s="113"/>
      <c r="PR486" s="113"/>
      <c r="PS486" s="113"/>
      <c r="PT486" s="113"/>
      <c r="PU486" s="113"/>
      <c r="PV486" s="113"/>
      <c r="PW486" s="113"/>
      <c r="PX486" s="113"/>
      <c r="PY486" s="113"/>
      <c r="PZ486" s="113"/>
      <c r="QA486" s="113"/>
      <c r="QB486" s="113"/>
      <c r="QC486" s="113"/>
      <c r="QD486" s="113"/>
      <c r="QE486" s="113"/>
      <c r="QF486" s="113"/>
      <c r="QG486" s="113"/>
      <c r="QH486" s="113"/>
      <c r="QI486" s="113"/>
      <c r="QJ486" s="113"/>
      <c r="QK486" s="113"/>
      <c r="QL486" s="113"/>
      <c r="QM486" s="113"/>
      <c r="QN486" s="113"/>
      <c r="QO486" s="113"/>
      <c r="QP486" s="113"/>
      <c r="QQ486" s="113"/>
      <c r="QR486" s="113"/>
      <c r="QS486" s="113"/>
      <c r="QT486" s="113"/>
      <c r="QU486" s="113"/>
      <c r="QV486" s="113"/>
      <c r="QW486" s="113"/>
      <c r="QX486" s="113"/>
      <c r="QY486" s="113"/>
      <c r="QZ486" s="113"/>
      <c r="RA486" s="113"/>
      <c r="RB486" s="113"/>
      <c r="RC486" s="113"/>
      <c r="RD486" s="113"/>
      <c r="RE486" s="113"/>
      <c r="RF486" s="113"/>
      <c r="RG486" s="113"/>
      <c r="RH486" s="113"/>
      <c r="RI486" s="113"/>
      <c r="RJ486" s="113"/>
      <c r="RK486" s="113"/>
      <c r="RL486" s="113"/>
      <c r="RM486" s="113"/>
      <c r="RN486" s="113"/>
      <c r="RO486" s="113"/>
      <c r="RP486" s="113"/>
      <c r="RQ486" s="113"/>
      <c r="RR486" s="113"/>
      <c r="RS486" s="113"/>
      <c r="RT486" s="113"/>
      <c r="RU486" s="113"/>
      <c r="RV486" s="113"/>
      <c r="RW486" s="113"/>
      <c r="RX486" s="113"/>
      <c r="RY486" s="113"/>
      <c r="RZ486" s="113"/>
      <c r="SA486" s="113"/>
      <c r="SB486" s="113"/>
      <c r="SC486" s="113"/>
      <c r="SD486" s="113"/>
      <c r="SE486" s="113"/>
      <c r="SF486" s="113"/>
      <c r="SG486" s="113"/>
      <c r="SH486" s="113"/>
      <c r="SI486" s="113"/>
      <c r="SJ486" s="113"/>
      <c r="SK486" s="113"/>
      <c r="SL486" s="113"/>
      <c r="SM486" s="113"/>
      <c r="SN486" s="113"/>
      <c r="SO486" s="113"/>
      <c r="SP486" s="113"/>
      <c r="SQ486" s="113"/>
      <c r="SR486" s="113"/>
      <c r="SS486" s="113"/>
      <c r="ST486" s="113"/>
      <c r="SU486" s="113"/>
      <c r="SV486" s="113"/>
      <c r="SW486" s="113"/>
      <c r="SX486" s="113"/>
      <c r="SY486" s="113"/>
      <c r="SZ486" s="113"/>
      <c r="TA486" s="113"/>
      <c r="TB486" s="113"/>
      <c r="TC486" s="113"/>
      <c r="TD486" s="113"/>
      <c r="TE486" s="113"/>
      <c r="TF486" s="113"/>
      <c r="TG486" s="113"/>
      <c r="TH486" s="113"/>
      <c r="TI486" s="113"/>
      <c r="TJ486" s="113"/>
      <c r="TK486" s="113"/>
      <c r="TL486" s="113"/>
      <c r="TM486" s="113"/>
      <c r="TN486" s="113"/>
      <c r="TO486" s="113"/>
      <c r="TP486" s="113"/>
      <c r="TQ486" s="113"/>
      <c r="TR486" s="113"/>
      <c r="TS486" s="113"/>
      <c r="TT486" s="113"/>
      <c r="TU486" s="113"/>
      <c r="TV486" s="113"/>
      <c r="TW486" s="113"/>
      <c r="TX486" s="113"/>
      <c r="TY486" s="113"/>
      <c r="TZ486" s="113"/>
      <c r="UA486" s="113"/>
      <c r="UB486" s="113"/>
      <c r="UC486" s="113"/>
      <c r="UD486" s="113"/>
      <c r="UE486" s="113"/>
      <c r="UF486" s="113"/>
      <c r="UG486" s="126"/>
    </row>
    <row r="487" spans="1:553" s="1262" customFormat="1" ht="30.75" customHeight="1">
      <c r="A487" s="366" t="s">
        <v>15</v>
      </c>
      <c r="B487" s="366"/>
      <c r="C487" s="1450" t="s">
        <v>368</v>
      </c>
      <c r="D487" s="1389"/>
      <c r="E487" s="1389"/>
      <c r="F487" s="1390"/>
      <c r="G487" s="386" t="s">
        <v>193</v>
      </c>
      <c r="H487" s="370"/>
      <c r="I487" s="443">
        <v>190</v>
      </c>
      <c r="J487" s="797">
        <v>31800</v>
      </c>
      <c r="K487" s="612">
        <v>0.7</v>
      </c>
      <c r="L487" s="480">
        <f t="shared" ref="L487:L492" si="91">ROUND(PRODUCT(I487:K487),0)</f>
        <v>4229400</v>
      </c>
      <c r="M487" s="366"/>
      <c r="N487" s="366"/>
      <c r="O487" s="366"/>
      <c r="P487" s="366"/>
      <c r="Q487" s="1144"/>
      <c r="R487" s="1452"/>
      <c r="S487" s="435"/>
      <c r="T487" s="436"/>
      <c r="U487" s="304"/>
      <c r="V487" s="393"/>
      <c r="W487" s="304"/>
      <c r="X487" s="304"/>
      <c r="Y487" s="304"/>
      <c r="Z487" s="304"/>
      <c r="AA487" s="304"/>
      <c r="AB487" s="304"/>
      <c r="AC487" s="449"/>
      <c r="AD487" s="452"/>
      <c r="AE487" s="452"/>
      <c r="AF487" s="452"/>
      <c r="AG487" s="452"/>
      <c r="AH487" s="452"/>
      <c r="AI487" s="452"/>
      <c r="AJ487" s="452"/>
      <c r="AK487" s="452"/>
      <c r="AL487" s="1259"/>
      <c r="AM487" s="1260"/>
      <c r="AN487" s="1260"/>
      <c r="AO487" s="1260"/>
      <c r="AP487" s="1260"/>
      <c r="AQ487" s="1260"/>
      <c r="AR487" s="1260"/>
      <c r="AS487" s="1260"/>
      <c r="AT487" s="1260"/>
      <c r="AU487" s="1260"/>
      <c r="AV487" s="1260"/>
      <c r="AW487" s="1260"/>
      <c r="AX487" s="1260"/>
      <c r="AY487" s="1260"/>
      <c r="AZ487" s="1260"/>
      <c r="BA487" s="1260"/>
      <c r="BB487" s="1260"/>
      <c r="BC487" s="1260"/>
      <c r="BD487" s="1260"/>
      <c r="BE487" s="1260"/>
      <c r="BF487" s="1260"/>
      <c r="BG487" s="1260"/>
      <c r="BH487" s="1260"/>
      <c r="BI487" s="1260"/>
      <c r="BJ487" s="1260"/>
      <c r="BK487" s="1260"/>
      <c r="BL487" s="1260"/>
      <c r="BM487" s="1260"/>
      <c r="BN487" s="1260"/>
      <c r="BO487" s="1260"/>
      <c r="BP487" s="1260"/>
      <c r="BQ487" s="1260"/>
      <c r="BR487" s="1260"/>
      <c r="BS487" s="1260"/>
      <c r="BT487" s="1260"/>
      <c r="BU487" s="1260"/>
      <c r="BV487" s="1260"/>
      <c r="BW487" s="1260"/>
      <c r="BX487" s="1260"/>
      <c r="BY487" s="1260"/>
      <c r="BZ487" s="1260"/>
      <c r="CA487" s="1260"/>
      <c r="CB487" s="1260"/>
      <c r="CC487" s="1260"/>
      <c r="CD487" s="1260"/>
      <c r="CE487" s="1260"/>
      <c r="CF487" s="1260"/>
      <c r="CG487" s="1260"/>
      <c r="CH487" s="1260"/>
      <c r="CI487" s="1260"/>
      <c r="CJ487" s="1260"/>
      <c r="CK487" s="1260"/>
      <c r="CL487" s="1260"/>
      <c r="CM487" s="1260"/>
      <c r="CN487" s="1260"/>
      <c r="CO487" s="1260"/>
      <c r="CP487" s="1260"/>
      <c r="CQ487" s="1260"/>
      <c r="CR487" s="1260"/>
      <c r="CS487" s="1260"/>
      <c r="CT487" s="1260"/>
      <c r="CU487" s="1260"/>
      <c r="CV487" s="1260"/>
      <c r="CW487" s="1260"/>
      <c r="CX487" s="1260"/>
      <c r="CY487" s="1260"/>
      <c r="CZ487" s="1260"/>
      <c r="DA487" s="1260"/>
      <c r="DB487" s="1260"/>
      <c r="DC487" s="1260"/>
      <c r="DD487" s="1260"/>
      <c r="DE487" s="1260"/>
      <c r="DF487" s="1260"/>
      <c r="DG487" s="1260"/>
      <c r="DH487" s="1260"/>
      <c r="DI487" s="1260"/>
      <c r="DJ487" s="1260"/>
      <c r="DK487" s="1260"/>
      <c r="DL487" s="1260"/>
      <c r="DM487" s="1260"/>
      <c r="DN487" s="1260"/>
      <c r="DO487" s="1260"/>
      <c r="DP487" s="1260"/>
      <c r="DQ487" s="1260"/>
      <c r="DR487" s="1260"/>
      <c r="DS487" s="1260"/>
      <c r="DT487" s="1260"/>
      <c r="DU487" s="1260"/>
      <c r="DV487" s="1260"/>
      <c r="DW487" s="1260"/>
      <c r="DX487" s="1260"/>
      <c r="DY487" s="1260"/>
      <c r="DZ487" s="1260"/>
      <c r="EA487" s="1260"/>
      <c r="EB487" s="1260"/>
      <c r="EC487" s="1260"/>
      <c r="ED487" s="1260"/>
      <c r="EE487" s="1260"/>
      <c r="EF487" s="1260"/>
      <c r="EG487" s="1260"/>
      <c r="EH487" s="1260"/>
      <c r="EI487" s="1260"/>
      <c r="EJ487" s="1260"/>
      <c r="EK487" s="1260"/>
      <c r="EL487" s="1260"/>
      <c r="EM487" s="1260"/>
      <c r="EN487" s="1260"/>
      <c r="EO487" s="1260"/>
      <c r="EP487" s="1260"/>
      <c r="EQ487" s="1260"/>
      <c r="ER487" s="1260"/>
      <c r="ES487" s="1260"/>
      <c r="ET487" s="1260"/>
      <c r="EU487" s="1260"/>
      <c r="EV487" s="1260"/>
      <c r="EW487" s="1260"/>
      <c r="EX487" s="1260"/>
      <c r="EY487" s="1260"/>
      <c r="EZ487" s="1260"/>
      <c r="FA487" s="1260"/>
      <c r="FB487" s="1260"/>
      <c r="FC487" s="1260"/>
      <c r="FD487" s="1260"/>
      <c r="FE487" s="1260"/>
      <c r="FF487" s="1260"/>
      <c r="FG487" s="1260"/>
      <c r="FH487" s="1260"/>
      <c r="FI487" s="1260"/>
      <c r="FJ487" s="1260"/>
      <c r="FK487" s="1260"/>
      <c r="FL487" s="1260"/>
      <c r="FM487" s="1260"/>
      <c r="FN487" s="1260"/>
      <c r="FO487" s="1260"/>
      <c r="FP487" s="1260"/>
      <c r="FQ487" s="1260"/>
      <c r="FR487" s="1260"/>
      <c r="FS487" s="1260"/>
      <c r="FT487" s="1260"/>
      <c r="FU487" s="1260"/>
      <c r="FV487" s="1260"/>
      <c r="FW487" s="1260"/>
      <c r="FX487" s="1260"/>
      <c r="FY487" s="1260"/>
      <c r="FZ487" s="1260"/>
      <c r="GA487" s="1260"/>
      <c r="GB487" s="1260"/>
      <c r="GC487" s="1260"/>
      <c r="GD487" s="1260"/>
      <c r="GE487" s="1260"/>
      <c r="GF487" s="1260"/>
      <c r="GG487" s="1260"/>
      <c r="GH487" s="1260"/>
      <c r="GI487" s="1260"/>
      <c r="GJ487" s="1260"/>
      <c r="GK487" s="1260"/>
      <c r="GL487" s="1260"/>
      <c r="GM487" s="1260"/>
      <c r="GN487" s="1260"/>
      <c r="GO487" s="1260"/>
      <c r="GP487" s="1260"/>
      <c r="GQ487" s="1260"/>
      <c r="GR487" s="1260"/>
      <c r="GS487" s="1260"/>
      <c r="GT487" s="1260"/>
      <c r="GU487" s="1260"/>
      <c r="GV487" s="1260"/>
      <c r="GW487" s="1260"/>
      <c r="GX487" s="1260"/>
      <c r="GY487" s="1260"/>
      <c r="GZ487" s="1260"/>
      <c r="HA487" s="1260"/>
      <c r="HB487" s="1260"/>
      <c r="HC487" s="1260"/>
      <c r="HD487" s="1260"/>
      <c r="HE487" s="1260"/>
      <c r="HF487" s="1260"/>
      <c r="HG487" s="1260"/>
      <c r="HH487" s="1260"/>
      <c r="HI487" s="1260"/>
      <c r="HJ487" s="1260"/>
      <c r="HK487" s="1260"/>
      <c r="HL487" s="1260"/>
      <c r="HM487" s="1260"/>
      <c r="HN487" s="1260"/>
      <c r="HO487" s="1260"/>
      <c r="HP487" s="1260"/>
      <c r="HQ487" s="1260"/>
      <c r="HR487" s="1260"/>
      <c r="HS487" s="1260"/>
      <c r="HT487" s="1260"/>
      <c r="HU487" s="1260"/>
      <c r="HV487" s="1260"/>
      <c r="HW487" s="1260"/>
      <c r="HX487" s="1260"/>
      <c r="HY487" s="1260"/>
      <c r="HZ487" s="1260"/>
      <c r="IA487" s="1260"/>
      <c r="IB487" s="1260"/>
      <c r="IC487" s="1260"/>
      <c r="ID487" s="1260"/>
      <c r="IE487" s="1260"/>
      <c r="IF487" s="1260"/>
      <c r="IG487" s="1260"/>
      <c r="IH487" s="1260"/>
      <c r="II487" s="1260"/>
      <c r="IJ487" s="1260"/>
      <c r="IK487" s="1260"/>
      <c r="IL487" s="1260"/>
      <c r="IM487" s="1260"/>
      <c r="IN487" s="1260"/>
      <c r="IO487" s="1260"/>
      <c r="IP487" s="1260"/>
      <c r="IQ487" s="1260"/>
      <c r="IR487" s="1260"/>
      <c r="IS487" s="1260"/>
      <c r="IT487" s="1260"/>
      <c r="IU487" s="1260"/>
      <c r="IV487" s="1260"/>
      <c r="IW487" s="1260"/>
      <c r="IX487" s="1260"/>
      <c r="IY487" s="1260"/>
      <c r="IZ487" s="1260"/>
      <c r="JA487" s="1260"/>
      <c r="JB487" s="1260"/>
      <c r="JC487" s="1260"/>
      <c r="JD487" s="1260"/>
      <c r="JE487" s="1260"/>
      <c r="JF487" s="1260"/>
      <c r="JG487" s="1260"/>
      <c r="JH487" s="1260"/>
      <c r="JI487" s="1260"/>
      <c r="JJ487" s="1260"/>
      <c r="JK487" s="1260"/>
      <c r="JL487" s="1260"/>
      <c r="JM487" s="1260"/>
      <c r="JN487" s="1260"/>
      <c r="JO487" s="1260"/>
      <c r="JP487" s="1260"/>
      <c r="JQ487" s="1260"/>
      <c r="JR487" s="1260"/>
      <c r="JS487" s="1260"/>
      <c r="JT487" s="1260"/>
      <c r="JU487" s="1260"/>
      <c r="JV487" s="1260"/>
      <c r="JW487" s="1260"/>
      <c r="JX487" s="1260"/>
      <c r="JY487" s="1260"/>
      <c r="JZ487" s="1260"/>
      <c r="KA487" s="1260"/>
      <c r="KB487" s="1260"/>
      <c r="KC487" s="1260"/>
      <c r="KD487" s="1260"/>
      <c r="KE487" s="1260"/>
      <c r="KF487" s="1260"/>
      <c r="KG487" s="1260"/>
      <c r="KH487" s="1260"/>
      <c r="KI487" s="1260"/>
      <c r="KJ487" s="1260"/>
      <c r="KK487" s="1260"/>
      <c r="KL487" s="1260"/>
      <c r="KM487" s="1260"/>
      <c r="KN487" s="1260"/>
      <c r="KO487" s="1260"/>
      <c r="KP487" s="1260"/>
      <c r="KQ487" s="1260"/>
      <c r="KR487" s="1260"/>
      <c r="KS487" s="1260"/>
      <c r="KT487" s="1260"/>
      <c r="KU487" s="1260"/>
      <c r="KV487" s="1260"/>
      <c r="KW487" s="1260"/>
      <c r="KX487" s="1260"/>
      <c r="KY487" s="1260"/>
      <c r="KZ487" s="1260"/>
      <c r="LA487" s="1260"/>
      <c r="LB487" s="1260"/>
      <c r="LC487" s="1260"/>
      <c r="LD487" s="1260"/>
      <c r="LE487" s="1260"/>
      <c r="LF487" s="1260"/>
      <c r="LG487" s="1260"/>
      <c r="LH487" s="1260"/>
      <c r="LI487" s="1260"/>
      <c r="LJ487" s="1260"/>
      <c r="LK487" s="1260"/>
      <c r="LL487" s="1260"/>
      <c r="LM487" s="1260"/>
      <c r="LN487" s="1260"/>
      <c r="LO487" s="1260"/>
      <c r="LP487" s="1260"/>
      <c r="LQ487" s="1260"/>
      <c r="LR487" s="1260"/>
      <c r="LS487" s="1260"/>
      <c r="LT487" s="1260"/>
      <c r="LU487" s="1260"/>
      <c r="LV487" s="1260"/>
      <c r="LW487" s="1260"/>
      <c r="LX487" s="1260"/>
      <c r="LY487" s="1260"/>
      <c r="LZ487" s="1260"/>
      <c r="MA487" s="1260"/>
      <c r="MB487" s="1260"/>
      <c r="MC487" s="1260"/>
      <c r="MD487" s="1260"/>
      <c r="ME487" s="1260"/>
      <c r="MF487" s="1260"/>
      <c r="MG487" s="1260"/>
      <c r="MH487" s="1260"/>
      <c r="MI487" s="1260"/>
      <c r="MJ487" s="1260"/>
      <c r="MK487" s="1260"/>
      <c r="ML487" s="1260"/>
      <c r="MM487" s="1260"/>
      <c r="MN487" s="1260"/>
      <c r="MO487" s="1260"/>
      <c r="MP487" s="1260"/>
      <c r="MQ487" s="1260"/>
      <c r="MR487" s="1260"/>
      <c r="MS487" s="1260"/>
      <c r="MT487" s="1260"/>
      <c r="MU487" s="1260"/>
      <c r="MV487" s="1260"/>
      <c r="MW487" s="1260"/>
      <c r="MX487" s="1260"/>
      <c r="MY487" s="1260"/>
      <c r="MZ487" s="1260"/>
      <c r="NA487" s="1260"/>
      <c r="NB487" s="1260"/>
      <c r="NC487" s="1260"/>
      <c r="ND487" s="1260"/>
      <c r="NE487" s="1260"/>
      <c r="NF487" s="1260"/>
      <c r="NG487" s="1260"/>
      <c r="NH487" s="1260"/>
      <c r="NI487" s="1260"/>
      <c r="NJ487" s="1260"/>
      <c r="NK487" s="1260"/>
      <c r="NL487" s="1260"/>
      <c r="NM487" s="1260"/>
      <c r="NN487" s="1260"/>
      <c r="NO487" s="1260"/>
      <c r="NP487" s="1260"/>
      <c r="NQ487" s="1260"/>
      <c r="NR487" s="1260"/>
      <c r="NS487" s="1260"/>
      <c r="NT487" s="1260"/>
      <c r="NU487" s="1260"/>
      <c r="NV487" s="1260"/>
      <c r="NW487" s="1260"/>
      <c r="NX487" s="1260"/>
      <c r="NY487" s="1260"/>
      <c r="NZ487" s="1260"/>
      <c r="OA487" s="1260"/>
      <c r="OB487" s="1260"/>
      <c r="OC487" s="1260"/>
      <c r="OD487" s="1260"/>
      <c r="OE487" s="1260"/>
      <c r="OF487" s="1260"/>
      <c r="OG487" s="1260"/>
      <c r="OH487" s="1260"/>
      <c r="OI487" s="1260"/>
      <c r="OJ487" s="1260"/>
      <c r="OK487" s="1260"/>
      <c r="OL487" s="1260"/>
      <c r="OM487" s="1260"/>
      <c r="ON487" s="1260"/>
      <c r="OO487" s="1260"/>
      <c r="OP487" s="1260"/>
      <c r="OQ487" s="1260"/>
      <c r="OR487" s="1260"/>
      <c r="OS487" s="1260"/>
      <c r="OT487" s="1260"/>
      <c r="OU487" s="1260"/>
      <c r="OV487" s="1260"/>
      <c r="OW487" s="1260"/>
      <c r="OX487" s="1260"/>
      <c r="OY487" s="1260"/>
      <c r="OZ487" s="1260"/>
      <c r="PA487" s="1260"/>
      <c r="PB487" s="1260"/>
      <c r="PC487" s="1260"/>
      <c r="PD487" s="1260"/>
      <c r="PE487" s="1260"/>
      <c r="PF487" s="1260"/>
      <c r="PG487" s="1260"/>
      <c r="PH487" s="1260"/>
      <c r="PI487" s="1260"/>
      <c r="PJ487" s="1260"/>
      <c r="PK487" s="1260"/>
      <c r="PL487" s="1260"/>
      <c r="PM487" s="1260"/>
      <c r="PN487" s="1260"/>
      <c r="PO487" s="1260"/>
      <c r="PP487" s="1260"/>
      <c r="PQ487" s="1260"/>
      <c r="PR487" s="1260"/>
      <c r="PS487" s="1260"/>
      <c r="PT487" s="1260"/>
      <c r="PU487" s="1260"/>
      <c r="PV487" s="1260"/>
      <c r="PW487" s="1260"/>
      <c r="PX487" s="1260"/>
      <c r="PY487" s="1260"/>
      <c r="PZ487" s="1260"/>
      <c r="QA487" s="1260"/>
      <c r="QB487" s="1260"/>
      <c r="QC487" s="1260"/>
      <c r="QD487" s="1260"/>
      <c r="QE487" s="1260"/>
      <c r="QF487" s="1260"/>
      <c r="QG487" s="1260"/>
      <c r="QH487" s="1260"/>
      <c r="QI487" s="1260"/>
      <c r="QJ487" s="1260"/>
      <c r="QK487" s="1260"/>
      <c r="QL487" s="1260"/>
      <c r="QM487" s="1260"/>
      <c r="QN487" s="1260"/>
      <c r="QO487" s="1260"/>
      <c r="QP487" s="1260"/>
      <c r="QQ487" s="1260"/>
      <c r="QR487" s="1260"/>
      <c r="QS487" s="1260"/>
      <c r="QT487" s="1260"/>
      <c r="QU487" s="1260"/>
      <c r="QV487" s="1260"/>
      <c r="QW487" s="1260"/>
      <c r="QX487" s="1260"/>
      <c r="QY487" s="1260"/>
      <c r="QZ487" s="1260"/>
      <c r="RA487" s="1260"/>
      <c r="RB487" s="1260"/>
      <c r="RC487" s="1260"/>
      <c r="RD487" s="1260"/>
      <c r="RE487" s="1260"/>
      <c r="RF487" s="1260"/>
      <c r="RG487" s="1260"/>
      <c r="RH487" s="1260"/>
      <c r="RI487" s="1260"/>
      <c r="RJ487" s="1260"/>
      <c r="RK487" s="1260"/>
      <c r="RL487" s="1260"/>
      <c r="RM487" s="1260"/>
      <c r="RN487" s="1260"/>
      <c r="RO487" s="1260"/>
      <c r="RP487" s="1260"/>
      <c r="RQ487" s="1260"/>
      <c r="RR487" s="1260"/>
      <c r="RS487" s="1260"/>
      <c r="RT487" s="1260"/>
      <c r="RU487" s="1260"/>
      <c r="RV487" s="1260"/>
      <c r="RW487" s="1260"/>
      <c r="RX487" s="1260"/>
      <c r="RY487" s="1260"/>
      <c r="RZ487" s="1260"/>
      <c r="SA487" s="1260"/>
      <c r="SB487" s="1260"/>
      <c r="SC487" s="1260"/>
      <c r="SD487" s="1260"/>
      <c r="SE487" s="1260"/>
      <c r="SF487" s="1260"/>
      <c r="SG487" s="1260"/>
      <c r="SH487" s="1260"/>
      <c r="SI487" s="1260"/>
      <c r="SJ487" s="1260"/>
      <c r="SK487" s="1260"/>
      <c r="SL487" s="1260"/>
      <c r="SM487" s="1260"/>
      <c r="SN487" s="1260"/>
      <c r="SO487" s="1260"/>
      <c r="SP487" s="1260"/>
      <c r="SQ487" s="1260"/>
      <c r="SR487" s="1260"/>
      <c r="SS487" s="1260"/>
      <c r="ST487" s="1260"/>
      <c r="SU487" s="1260"/>
      <c r="SV487" s="1260"/>
      <c r="SW487" s="1260"/>
      <c r="SX487" s="1260"/>
      <c r="SY487" s="1260"/>
      <c r="SZ487" s="1260"/>
      <c r="TA487" s="1260"/>
      <c r="TB487" s="1260"/>
      <c r="TC487" s="1260"/>
      <c r="TD487" s="1260"/>
      <c r="TE487" s="1260"/>
      <c r="TF487" s="1260"/>
      <c r="TG487" s="1260"/>
      <c r="TH487" s="1260"/>
      <c r="TI487" s="1260"/>
      <c r="TJ487" s="1260"/>
      <c r="TK487" s="1260"/>
      <c r="TL487" s="1260"/>
      <c r="TM487" s="1260"/>
      <c r="TN487" s="1260"/>
      <c r="TO487" s="1260"/>
      <c r="TP487" s="1260"/>
      <c r="TQ487" s="1260"/>
      <c r="TR487" s="1260"/>
      <c r="TS487" s="1260"/>
      <c r="TT487" s="1260"/>
      <c r="TU487" s="1260"/>
      <c r="TV487" s="1260"/>
      <c r="TW487" s="1260"/>
      <c r="TX487" s="1260"/>
      <c r="TY487" s="1260"/>
      <c r="TZ487" s="1260"/>
      <c r="UA487" s="1260"/>
      <c r="UB487" s="1260"/>
      <c r="UC487" s="1260"/>
      <c r="UD487" s="1260"/>
      <c r="UE487" s="1260"/>
      <c r="UF487" s="1260"/>
      <c r="UG487" s="1261"/>
    </row>
    <row r="488" spans="1:553" s="1262" customFormat="1" ht="30.75" customHeight="1">
      <c r="A488" s="366" t="s">
        <v>15</v>
      </c>
      <c r="B488" s="366"/>
      <c r="C488" s="1451" t="s">
        <v>268</v>
      </c>
      <c r="D488" s="1389"/>
      <c r="E488" s="1389"/>
      <c r="F488" s="1390"/>
      <c r="G488" s="386" t="s">
        <v>193</v>
      </c>
      <c r="H488" s="370"/>
      <c r="I488" s="443">
        <v>16</v>
      </c>
      <c r="J488" s="368">
        <v>472000</v>
      </c>
      <c r="K488" s="388"/>
      <c r="L488" s="480">
        <f t="shared" si="91"/>
        <v>7552000</v>
      </c>
      <c r="M488" s="366"/>
      <c r="N488" s="366"/>
      <c r="O488" s="366"/>
      <c r="P488" s="366"/>
      <c r="Q488" s="1144"/>
      <c r="R488" s="1452"/>
      <c r="S488" s="309"/>
      <c r="T488" s="310"/>
      <c r="U488" s="311"/>
      <c r="V488" s="312"/>
      <c r="W488" s="311"/>
      <c r="X488" s="311"/>
      <c r="Y488" s="311"/>
      <c r="Z488" s="311"/>
      <c r="AA488" s="311"/>
      <c r="AB488" s="311"/>
      <c r="AC488" s="449"/>
      <c r="AD488" s="452"/>
      <c r="AE488" s="452"/>
      <c r="AF488" s="452"/>
      <c r="AG488" s="452"/>
      <c r="AH488" s="452"/>
      <c r="AI488" s="452"/>
      <c r="AJ488" s="452"/>
      <c r="AK488" s="452"/>
      <c r="AL488" s="1259"/>
      <c r="AM488" s="1260"/>
      <c r="AN488" s="1260"/>
      <c r="AO488" s="1260"/>
      <c r="AP488" s="1260"/>
      <c r="AQ488" s="1260"/>
      <c r="AR488" s="1260"/>
      <c r="AS488" s="1260"/>
      <c r="AT488" s="1260"/>
      <c r="AU488" s="1260"/>
      <c r="AV488" s="1260"/>
      <c r="AW488" s="1260"/>
      <c r="AX488" s="1260"/>
      <c r="AY488" s="1260"/>
      <c r="AZ488" s="1260"/>
      <c r="BA488" s="1260"/>
      <c r="BB488" s="1260"/>
      <c r="BC488" s="1260"/>
      <c r="BD488" s="1260"/>
      <c r="BE488" s="1260"/>
      <c r="BF488" s="1260"/>
      <c r="BG488" s="1260"/>
      <c r="BH488" s="1260"/>
      <c r="BI488" s="1260"/>
      <c r="BJ488" s="1260"/>
      <c r="BK488" s="1260"/>
      <c r="BL488" s="1260"/>
      <c r="BM488" s="1260"/>
      <c r="BN488" s="1260"/>
      <c r="BO488" s="1260"/>
      <c r="BP488" s="1260"/>
      <c r="BQ488" s="1260"/>
      <c r="BR488" s="1260"/>
      <c r="BS488" s="1260"/>
      <c r="BT488" s="1260"/>
      <c r="BU488" s="1260"/>
      <c r="BV488" s="1260"/>
      <c r="BW488" s="1260"/>
      <c r="BX488" s="1260"/>
      <c r="BY488" s="1260"/>
      <c r="BZ488" s="1260"/>
      <c r="CA488" s="1260"/>
      <c r="CB488" s="1260"/>
      <c r="CC488" s="1260"/>
      <c r="CD488" s="1260"/>
      <c r="CE488" s="1260"/>
      <c r="CF488" s="1260"/>
      <c r="CG488" s="1260"/>
      <c r="CH488" s="1260"/>
      <c r="CI488" s="1260"/>
      <c r="CJ488" s="1260"/>
      <c r="CK488" s="1260"/>
      <c r="CL488" s="1260"/>
      <c r="CM488" s="1260"/>
      <c r="CN488" s="1260"/>
      <c r="CO488" s="1260"/>
      <c r="CP488" s="1260"/>
      <c r="CQ488" s="1260"/>
      <c r="CR488" s="1260"/>
      <c r="CS488" s="1260"/>
      <c r="CT488" s="1260"/>
      <c r="CU488" s="1260"/>
      <c r="CV488" s="1260"/>
      <c r="CW488" s="1260"/>
      <c r="CX488" s="1260"/>
      <c r="CY488" s="1260"/>
      <c r="CZ488" s="1260"/>
      <c r="DA488" s="1260"/>
      <c r="DB488" s="1260"/>
      <c r="DC488" s="1260"/>
      <c r="DD488" s="1260"/>
      <c r="DE488" s="1260"/>
      <c r="DF488" s="1260"/>
      <c r="DG488" s="1260"/>
      <c r="DH488" s="1260"/>
      <c r="DI488" s="1260"/>
      <c r="DJ488" s="1260"/>
      <c r="DK488" s="1260"/>
      <c r="DL488" s="1260"/>
      <c r="DM488" s="1260"/>
      <c r="DN488" s="1260"/>
      <c r="DO488" s="1260"/>
      <c r="DP488" s="1260"/>
      <c r="DQ488" s="1260"/>
      <c r="DR488" s="1260"/>
      <c r="DS488" s="1260"/>
      <c r="DT488" s="1260"/>
      <c r="DU488" s="1260"/>
      <c r="DV488" s="1260"/>
      <c r="DW488" s="1260"/>
      <c r="DX488" s="1260"/>
      <c r="DY488" s="1260"/>
      <c r="DZ488" s="1260"/>
      <c r="EA488" s="1260"/>
      <c r="EB488" s="1260"/>
      <c r="EC488" s="1260"/>
      <c r="ED488" s="1260"/>
      <c r="EE488" s="1260"/>
      <c r="EF488" s="1260"/>
      <c r="EG488" s="1260"/>
      <c r="EH488" s="1260"/>
      <c r="EI488" s="1260"/>
      <c r="EJ488" s="1260"/>
      <c r="EK488" s="1260"/>
      <c r="EL488" s="1260"/>
      <c r="EM488" s="1260"/>
      <c r="EN488" s="1260"/>
      <c r="EO488" s="1260"/>
      <c r="EP488" s="1260"/>
      <c r="EQ488" s="1260"/>
      <c r="ER488" s="1260"/>
      <c r="ES488" s="1260"/>
      <c r="ET488" s="1260"/>
      <c r="EU488" s="1260"/>
      <c r="EV488" s="1260"/>
      <c r="EW488" s="1260"/>
      <c r="EX488" s="1260"/>
      <c r="EY488" s="1260"/>
      <c r="EZ488" s="1260"/>
      <c r="FA488" s="1260"/>
      <c r="FB488" s="1260"/>
      <c r="FC488" s="1260"/>
      <c r="FD488" s="1260"/>
      <c r="FE488" s="1260"/>
      <c r="FF488" s="1260"/>
      <c r="FG488" s="1260"/>
      <c r="FH488" s="1260"/>
      <c r="FI488" s="1260"/>
      <c r="FJ488" s="1260"/>
      <c r="FK488" s="1260"/>
      <c r="FL488" s="1260"/>
      <c r="FM488" s="1260"/>
      <c r="FN488" s="1260"/>
      <c r="FO488" s="1260"/>
      <c r="FP488" s="1260"/>
      <c r="FQ488" s="1260"/>
      <c r="FR488" s="1260"/>
      <c r="FS488" s="1260"/>
      <c r="FT488" s="1260"/>
      <c r="FU488" s="1260"/>
      <c r="FV488" s="1260"/>
      <c r="FW488" s="1260"/>
      <c r="FX488" s="1260"/>
      <c r="FY488" s="1260"/>
      <c r="FZ488" s="1260"/>
      <c r="GA488" s="1260"/>
      <c r="GB488" s="1260"/>
      <c r="GC488" s="1260"/>
      <c r="GD488" s="1260"/>
      <c r="GE488" s="1260"/>
      <c r="GF488" s="1260"/>
      <c r="GG488" s="1260"/>
      <c r="GH488" s="1260"/>
      <c r="GI488" s="1260"/>
      <c r="GJ488" s="1260"/>
      <c r="GK488" s="1260"/>
      <c r="GL488" s="1260"/>
      <c r="GM488" s="1260"/>
      <c r="GN488" s="1260"/>
      <c r="GO488" s="1260"/>
      <c r="GP488" s="1260"/>
      <c r="GQ488" s="1260"/>
      <c r="GR488" s="1260"/>
      <c r="GS488" s="1260"/>
      <c r="GT488" s="1260"/>
      <c r="GU488" s="1260"/>
      <c r="GV488" s="1260"/>
      <c r="GW488" s="1260"/>
      <c r="GX488" s="1260"/>
      <c r="GY488" s="1260"/>
      <c r="GZ488" s="1260"/>
      <c r="HA488" s="1260"/>
      <c r="HB488" s="1260"/>
      <c r="HC488" s="1260"/>
      <c r="HD488" s="1260"/>
      <c r="HE488" s="1260"/>
      <c r="HF488" s="1260"/>
      <c r="HG488" s="1260"/>
      <c r="HH488" s="1260"/>
      <c r="HI488" s="1260"/>
      <c r="HJ488" s="1260"/>
      <c r="HK488" s="1260"/>
      <c r="HL488" s="1260"/>
      <c r="HM488" s="1260"/>
      <c r="HN488" s="1260"/>
      <c r="HO488" s="1260"/>
      <c r="HP488" s="1260"/>
      <c r="HQ488" s="1260"/>
      <c r="HR488" s="1260"/>
      <c r="HS488" s="1260"/>
      <c r="HT488" s="1260"/>
      <c r="HU488" s="1260"/>
      <c r="HV488" s="1260"/>
      <c r="HW488" s="1260"/>
      <c r="HX488" s="1260"/>
      <c r="HY488" s="1260"/>
      <c r="HZ488" s="1260"/>
      <c r="IA488" s="1260"/>
      <c r="IB488" s="1260"/>
      <c r="IC488" s="1260"/>
      <c r="ID488" s="1260"/>
      <c r="IE488" s="1260"/>
      <c r="IF488" s="1260"/>
      <c r="IG488" s="1260"/>
      <c r="IH488" s="1260"/>
      <c r="II488" s="1260"/>
      <c r="IJ488" s="1260"/>
      <c r="IK488" s="1260"/>
      <c r="IL488" s="1260"/>
      <c r="IM488" s="1260"/>
      <c r="IN488" s="1260"/>
      <c r="IO488" s="1260"/>
      <c r="IP488" s="1260"/>
      <c r="IQ488" s="1260"/>
      <c r="IR488" s="1260"/>
      <c r="IS488" s="1260"/>
      <c r="IT488" s="1260"/>
      <c r="IU488" s="1260"/>
      <c r="IV488" s="1260"/>
      <c r="IW488" s="1260"/>
      <c r="IX488" s="1260"/>
      <c r="IY488" s="1260"/>
      <c r="IZ488" s="1260"/>
      <c r="JA488" s="1260"/>
      <c r="JB488" s="1260"/>
      <c r="JC488" s="1260"/>
      <c r="JD488" s="1260"/>
      <c r="JE488" s="1260"/>
      <c r="JF488" s="1260"/>
      <c r="JG488" s="1260"/>
      <c r="JH488" s="1260"/>
      <c r="JI488" s="1260"/>
      <c r="JJ488" s="1260"/>
      <c r="JK488" s="1260"/>
      <c r="JL488" s="1260"/>
      <c r="JM488" s="1260"/>
      <c r="JN488" s="1260"/>
      <c r="JO488" s="1260"/>
      <c r="JP488" s="1260"/>
      <c r="JQ488" s="1260"/>
      <c r="JR488" s="1260"/>
      <c r="JS488" s="1260"/>
      <c r="JT488" s="1260"/>
      <c r="JU488" s="1260"/>
      <c r="JV488" s="1260"/>
      <c r="JW488" s="1260"/>
      <c r="JX488" s="1260"/>
      <c r="JY488" s="1260"/>
      <c r="JZ488" s="1260"/>
      <c r="KA488" s="1260"/>
      <c r="KB488" s="1260"/>
      <c r="KC488" s="1260"/>
      <c r="KD488" s="1260"/>
      <c r="KE488" s="1260"/>
      <c r="KF488" s="1260"/>
      <c r="KG488" s="1260"/>
      <c r="KH488" s="1260"/>
      <c r="KI488" s="1260"/>
      <c r="KJ488" s="1260"/>
      <c r="KK488" s="1260"/>
      <c r="KL488" s="1260"/>
      <c r="KM488" s="1260"/>
      <c r="KN488" s="1260"/>
      <c r="KO488" s="1260"/>
      <c r="KP488" s="1260"/>
      <c r="KQ488" s="1260"/>
      <c r="KR488" s="1260"/>
      <c r="KS488" s="1260"/>
      <c r="KT488" s="1260"/>
      <c r="KU488" s="1260"/>
      <c r="KV488" s="1260"/>
      <c r="KW488" s="1260"/>
      <c r="KX488" s="1260"/>
      <c r="KY488" s="1260"/>
      <c r="KZ488" s="1260"/>
      <c r="LA488" s="1260"/>
      <c r="LB488" s="1260"/>
      <c r="LC488" s="1260"/>
      <c r="LD488" s="1260"/>
      <c r="LE488" s="1260"/>
      <c r="LF488" s="1260"/>
      <c r="LG488" s="1260"/>
      <c r="LH488" s="1260"/>
      <c r="LI488" s="1260"/>
      <c r="LJ488" s="1260"/>
      <c r="LK488" s="1260"/>
      <c r="LL488" s="1260"/>
      <c r="LM488" s="1260"/>
      <c r="LN488" s="1260"/>
      <c r="LO488" s="1260"/>
      <c r="LP488" s="1260"/>
      <c r="LQ488" s="1260"/>
      <c r="LR488" s="1260"/>
      <c r="LS488" s="1260"/>
      <c r="LT488" s="1260"/>
      <c r="LU488" s="1260"/>
      <c r="LV488" s="1260"/>
      <c r="LW488" s="1260"/>
      <c r="LX488" s="1260"/>
      <c r="LY488" s="1260"/>
      <c r="LZ488" s="1260"/>
      <c r="MA488" s="1260"/>
      <c r="MB488" s="1260"/>
      <c r="MC488" s="1260"/>
      <c r="MD488" s="1260"/>
      <c r="ME488" s="1260"/>
      <c r="MF488" s="1260"/>
      <c r="MG488" s="1260"/>
      <c r="MH488" s="1260"/>
      <c r="MI488" s="1260"/>
      <c r="MJ488" s="1260"/>
      <c r="MK488" s="1260"/>
      <c r="ML488" s="1260"/>
      <c r="MM488" s="1260"/>
      <c r="MN488" s="1260"/>
      <c r="MO488" s="1260"/>
      <c r="MP488" s="1260"/>
      <c r="MQ488" s="1260"/>
      <c r="MR488" s="1260"/>
      <c r="MS488" s="1260"/>
      <c r="MT488" s="1260"/>
      <c r="MU488" s="1260"/>
      <c r="MV488" s="1260"/>
      <c r="MW488" s="1260"/>
      <c r="MX488" s="1260"/>
      <c r="MY488" s="1260"/>
      <c r="MZ488" s="1260"/>
      <c r="NA488" s="1260"/>
      <c r="NB488" s="1260"/>
      <c r="NC488" s="1260"/>
      <c r="ND488" s="1260"/>
      <c r="NE488" s="1260"/>
      <c r="NF488" s="1260"/>
      <c r="NG488" s="1260"/>
      <c r="NH488" s="1260"/>
      <c r="NI488" s="1260"/>
      <c r="NJ488" s="1260"/>
      <c r="NK488" s="1260"/>
      <c r="NL488" s="1260"/>
      <c r="NM488" s="1260"/>
      <c r="NN488" s="1260"/>
      <c r="NO488" s="1260"/>
      <c r="NP488" s="1260"/>
      <c r="NQ488" s="1260"/>
      <c r="NR488" s="1260"/>
      <c r="NS488" s="1260"/>
      <c r="NT488" s="1260"/>
      <c r="NU488" s="1260"/>
      <c r="NV488" s="1260"/>
      <c r="NW488" s="1260"/>
      <c r="NX488" s="1260"/>
      <c r="NY488" s="1260"/>
      <c r="NZ488" s="1260"/>
      <c r="OA488" s="1260"/>
      <c r="OB488" s="1260"/>
      <c r="OC488" s="1260"/>
      <c r="OD488" s="1260"/>
      <c r="OE488" s="1260"/>
      <c r="OF488" s="1260"/>
      <c r="OG488" s="1260"/>
      <c r="OH488" s="1260"/>
      <c r="OI488" s="1260"/>
      <c r="OJ488" s="1260"/>
      <c r="OK488" s="1260"/>
      <c r="OL488" s="1260"/>
      <c r="OM488" s="1260"/>
      <c r="ON488" s="1260"/>
      <c r="OO488" s="1260"/>
      <c r="OP488" s="1260"/>
      <c r="OQ488" s="1260"/>
      <c r="OR488" s="1260"/>
      <c r="OS488" s="1260"/>
      <c r="OT488" s="1260"/>
      <c r="OU488" s="1260"/>
      <c r="OV488" s="1260"/>
      <c r="OW488" s="1260"/>
      <c r="OX488" s="1260"/>
      <c r="OY488" s="1260"/>
      <c r="OZ488" s="1260"/>
      <c r="PA488" s="1260"/>
      <c r="PB488" s="1260"/>
      <c r="PC488" s="1260"/>
      <c r="PD488" s="1260"/>
      <c r="PE488" s="1260"/>
      <c r="PF488" s="1260"/>
      <c r="PG488" s="1260"/>
      <c r="PH488" s="1260"/>
      <c r="PI488" s="1260"/>
      <c r="PJ488" s="1260"/>
      <c r="PK488" s="1260"/>
      <c r="PL488" s="1260"/>
      <c r="PM488" s="1260"/>
      <c r="PN488" s="1260"/>
      <c r="PO488" s="1260"/>
      <c r="PP488" s="1260"/>
      <c r="PQ488" s="1260"/>
      <c r="PR488" s="1260"/>
      <c r="PS488" s="1260"/>
      <c r="PT488" s="1260"/>
      <c r="PU488" s="1260"/>
      <c r="PV488" s="1260"/>
      <c r="PW488" s="1260"/>
      <c r="PX488" s="1260"/>
      <c r="PY488" s="1260"/>
      <c r="PZ488" s="1260"/>
      <c r="QA488" s="1260"/>
      <c r="QB488" s="1260"/>
      <c r="QC488" s="1260"/>
      <c r="QD488" s="1260"/>
      <c r="QE488" s="1260"/>
      <c r="QF488" s="1260"/>
      <c r="QG488" s="1260"/>
      <c r="QH488" s="1260"/>
      <c r="QI488" s="1260"/>
      <c r="QJ488" s="1260"/>
      <c r="QK488" s="1260"/>
      <c r="QL488" s="1260"/>
      <c r="QM488" s="1260"/>
      <c r="QN488" s="1260"/>
      <c r="QO488" s="1260"/>
      <c r="QP488" s="1260"/>
      <c r="QQ488" s="1260"/>
      <c r="QR488" s="1260"/>
      <c r="QS488" s="1260"/>
      <c r="QT488" s="1260"/>
      <c r="QU488" s="1260"/>
      <c r="QV488" s="1260"/>
      <c r="QW488" s="1260"/>
      <c r="QX488" s="1260"/>
      <c r="QY488" s="1260"/>
      <c r="QZ488" s="1260"/>
      <c r="RA488" s="1260"/>
      <c r="RB488" s="1260"/>
      <c r="RC488" s="1260"/>
      <c r="RD488" s="1260"/>
      <c r="RE488" s="1260"/>
      <c r="RF488" s="1260"/>
      <c r="RG488" s="1260"/>
      <c r="RH488" s="1260"/>
      <c r="RI488" s="1260"/>
      <c r="RJ488" s="1260"/>
      <c r="RK488" s="1260"/>
      <c r="RL488" s="1260"/>
      <c r="RM488" s="1260"/>
      <c r="RN488" s="1260"/>
      <c r="RO488" s="1260"/>
      <c r="RP488" s="1260"/>
      <c r="RQ488" s="1260"/>
      <c r="RR488" s="1260"/>
      <c r="RS488" s="1260"/>
      <c r="RT488" s="1260"/>
      <c r="RU488" s="1260"/>
      <c r="RV488" s="1260"/>
      <c r="RW488" s="1260"/>
      <c r="RX488" s="1260"/>
      <c r="RY488" s="1260"/>
      <c r="RZ488" s="1260"/>
      <c r="SA488" s="1260"/>
      <c r="SB488" s="1260"/>
      <c r="SC488" s="1260"/>
      <c r="SD488" s="1260"/>
      <c r="SE488" s="1260"/>
      <c r="SF488" s="1260"/>
      <c r="SG488" s="1260"/>
      <c r="SH488" s="1260"/>
      <c r="SI488" s="1260"/>
      <c r="SJ488" s="1260"/>
      <c r="SK488" s="1260"/>
      <c r="SL488" s="1260"/>
      <c r="SM488" s="1260"/>
      <c r="SN488" s="1260"/>
      <c r="SO488" s="1260"/>
      <c r="SP488" s="1260"/>
      <c r="SQ488" s="1260"/>
      <c r="SR488" s="1260"/>
      <c r="SS488" s="1260"/>
      <c r="ST488" s="1260"/>
      <c r="SU488" s="1260"/>
      <c r="SV488" s="1260"/>
      <c r="SW488" s="1260"/>
      <c r="SX488" s="1260"/>
      <c r="SY488" s="1260"/>
      <c r="SZ488" s="1260"/>
      <c r="TA488" s="1260"/>
      <c r="TB488" s="1260"/>
      <c r="TC488" s="1260"/>
      <c r="TD488" s="1260"/>
      <c r="TE488" s="1260"/>
      <c r="TF488" s="1260"/>
      <c r="TG488" s="1260"/>
      <c r="TH488" s="1260"/>
      <c r="TI488" s="1260"/>
      <c r="TJ488" s="1260"/>
      <c r="TK488" s="1260"/>
      <c r="TL488" s="1260"/>
      <c r="TM488" s="1260"/>
      <c r="TN488" s="1260"/>
      <c r="TO488" s="1260"/>
      <c r="TP488" s="1260"/>
      <c r="TQ488" s="1260"/>
      <c r="TR488" s="1260"/>
      <c r="TS488" s="1260"/>
      <c r="TT488" s="1260"/>
      <c r="TU488" s="1260"/>
      <c r="TV488" s="1260"/>
      <c r="TW488" s="1260"/>
      <c r="TX488" s="1260"/>
      <c r="TY488" s="1260"/>
      <c r="TZ488" s="1260"/>
      <c r="UA488" s="1260"/>
      <c r="UB488" s="1260"/>
      <c r="UC488" s="1260"/>
      <c r="UD488" s="1260"/>
      <c r="UE488" s="1260"/>
      <c r="UF488" s="1260"/>
      <c r="UG488" s="1261"/>
    </row>
    <row r="489" spans="1:553" s="1262" customFormat="1" ht="30.75" customHeight="1">
      <c r="A489" s="366" t="s">
        <v>15</v>
      </c>
      <c r="B489" s="366"/>
      <c r="C489" s="1451" t="s">
        <v>369</v>
      </c>
      <c r="D489" s="1389"/>
      <c r="E489" s="1389"/>
      <c r="F489" s="1390"/>
      <c r="G489" s="386" t="s">
        <v>193</v>
      </c>
      <c r="H489" s="370"/>
      <c r="I489" s="443">
        <v>3</v>
      </c>
      <c r="J489" s="368">
        <v>946000</v>
      </c>
      <c r="K489" s="388"/>
      <c r="L489" s="480">
        <f t="shared" si="91"/>
        <v>2838000</v>
      </c>
      <c r="M489" s="366"/>
      <c r="N489" s="366"/>
      <c r="O489" s="366"/>
      <c r="P489" s="366"/>
      <c r="Q489" s="1144"/>
      <c r="R489" s="1452"/>
      <c r="S489" s="308"/>
      <c r="T489" s="303"/>
      <c r="U489" s="306"/>
      <c r="V489" s="307"/>
      <c r="W489" s="306"/>
      <c r="X489" s="306"/>
      <c r="Y489" s="306"/>
      <c r="Z489" s="306"/>
      <c r="AA489" s="306"/>
      <c r="AB489" s="306"/>
      <c r="AC489" s="449"/>
      <c r="AD489" s="452"/>
      <c r="AE489" s="452"/>
      <c r="AF489" s="452"/>
      <c r="AG489" s="452"/>
      <c r="AH489" s="452"/>
      <c r="AI489" s="452"/>
      <c r="AJ489" s="452"/>
      <c r="AK489" s="452"/>
      <c r="AL489" s="1259"/>
      <c r="AM489" s="1260"/>
      <c r="AN489" s="1260"/>
      <c r="AO489" s="1260"/>
      <c r="AP489" s="1260"/>
      <c r="AQ489" s="1260"/>
      <c r="AR489" s="1260"/>
      <c r="AS489" s="1260"/>
      <c r="AT489" s="1260"/>
      <c r="AU489" s="1260"/>
      <c r="AV489" s="1260"/>
      <c r="AW489" s="1260"/>
      <c r="AX489" s="1260"/>
      <c r="AY489" s="1260"/>
      <c r="AZ489" s="1260"/>
      <c r="BA489" s="1260"/>
      <c r="BB489" s="1260"/>
      <c r="BC489" s="1260"/>
      <c r="BD489" s="1260"/>
      <c r="BE489" s="1260"/>
      <c r="BF489" s="1260"/>
      <c r="BG489" s="1260"/>
      <c r="BH489" s="1260"/>
      <c r="BI489" s="1260"/>
      <c r="BJ489" s="1260"/>
      <c r="BK489" s="1260"/>
      <c r="BL489" s="1260"/>
      <c r="BM489" s="1260"/>
      <c r="BN489" s="1260"/>
      <c r="BO489" s="1260"/>
      <c r="BP489" s="1260"/>
      <c r="BQ489" s="1260"/>
      <c r="BR489" s="1260"/>
      <c r="BS489" s="1260"/>
      <c r="BT489" s="1260"/>
      <c r="BU489" s="1260"/>
      <c r="BV489" s="1260"/>
      <c r="BW489" s="1260"/>
      <c r="BX489" s="1260"/>
      <c r="BY489" s="1260"/>
      <c r="BZ489" s="1260"/>
      <c r="CA489" s="1260"/>
      <c r="CB489" s="1260"/>
      <c r="CC489" s="1260"/>
      <c r="CD489" s="1260"/>
      <c r="CE489" s="1260"/>
      <c r="CF489" s="1260"/>
      <c r="CG489" s="1260"/>
      <c r="CH489" s="1260"/>
      <c r="CI489" s="1260"/>
      <c r="CJ489" s="1260"/>
      <c r="CK489" s="1260"/>
      <c r="CL489" s="1260"/>
      <c r="CM489" s="1260"/>
      <c r="CN489" s="1260"/>
      <c r="CO489" s="1260"/>
      <c r="CP489" s="1260"/>
      <c r="CQ489" s="1260"/>
      <c r="CR489" s="1260"/>
      <c r="CS489" s="1260"/>
      <c r="CT489" s="1260"/>
      <c r="CU489" s="1260"/>
      <c r="CV489" s="1260"/>
      <c r="CW489" s="1260"/>
      <c r="CX489" s="1260"/>
      <c r="CY489" s="1260"/>
      <c r="CZ489" s="1260"/>
      <c r="DA489" s="1260"/>
      <c r="DB489" s="1260"/>
      <c r="DC489" s="1260"/>
      <c r="DD489" s="1260"/>
      <c r="DE489" s="1260"/>
      <c r="DF489" s="1260"/>
      <c r="DG489" s="1260"/>
      <c r="DH489" s="1260"/>
      <c r="DI489" s="1260"/>
      <c r="DJ489" s="1260"/>
      <c r="DK489" s="1260"/>
      <c r="DL489" s="1260"/>
      <c r="DM489" s="1260"/>
      <c r="DN489" s="1260"/>
      <c r="DO489" s="1260"/>
      <c r="DP489" s="1260"/>
      <c r="DQ489" s="1260"/>
      <c r="DR489" s="1260"/>
      <c r="DS489" s="1260"/>
      <c r="DT489" s="1260"/>
      <c r="DU489" s="1260"/>
      <c r="DV489" s="1260"/>
      <c r="DW489" s="1260"/>
      <c r="DX489" s="1260"/>
      <c r="DY489" s="1260"/>
      <c r="DZ489" s="1260"/>
      <c r="EA489" s="1260"/>
      <c r="EB489" s="1260"/>
      <c r="EC489" s="1260"/>
      <c r="ED489" s="1260"/>
      <c r="EE489" s="1260"/>
      <c r="EF489" s="1260"/>
      <c r="EG489" s="1260"/>
      <c r="EH489" s="1260"/>
      <c r="EI489" s="1260"/>
      <c r="EJ489" s="1260"/>
      <c r="EK489" s="1260"/>
      <c r="EL489" s="1260"/>
      <c r="EM489" s="1260"/>
      <c r="EN489" s="1260"/>
      <c r="EO489" s="1260"/>
      <c r="EP489" s="1260"/>
      <c r="EQ489" s="1260"/>
      <c r="ER489" s="1260"/>
      <c r="ES489" s="1260"/>
      <c r="ET489" s="1260"/>
      <c r="EU489" s="1260"/>
      <c r="EV489" s="1260"/>
      <c r="EW489" s="1260"/>
      <c r="EX489" s="1260"/>
      <c r="EY489" s="1260"/>
      <c r="EZ489" s="1260"/>
      <c r="FA489" s="1260"/>
      <c r="FB489" s="1260"/>
      <c r="FC489" s="1260"/>
      <c r="FD489" s="1260"/>
      <c r="FE489" s="1260"/>
      <c r="FF489" s="1260"/>
      <c r="FG489" s="1260"/>
      <c r="FH489" s="1260"/>
      <c r="FI489" s="1260"/>
      <c r="FJ489" s="1260"/>
      <c r="FK489" s="1260"/>
      <c r="FL489" s="1260"/>
      <c r="FM489" s="1260"/>
      <c r="FN489" s="1260"/>
      <c r="FO489" s="1260"/>
      <c r="FP489" s="1260"/>
      <c r="FQ489" s="1260"/>
      <c r="FR489" s="1260"/>
      <c r="FS489" s="1260"/>
      <c r="FT489" s="1260"/>
      <c r="FU489" s="1260"/>
      <c r="FV489" s="1260"/>
      <c r="FW489" s="1260"/>
      <c r="FX489" s="1260"/>
      <c r="FY489" s="1260"/>
      <c r="FZ489" s="1260"/>
      <c r="GA489" s="1260"/>
      <c r="GB489" s="1260"/>
      <c r="GC489" s="1260"/>
      <c r="GD489" s="1260"/>
      <c r="GE489" s="1260"/>
      <c r="GF489" s="1260"/>
      <c r="GG489" s="1260"/>
      <c r="GH489" s="1260"/>
      <c r="GI489" s="1260"/>
      <c r="GJ489" s="1260"/>
      <c r="GK489" s="1260"/>
      <c r="GL489" s="1260"/>
      <c r="GM489" s="1260"/>
      <c r="GN489" s="1260"/>
      <c r="GO489" s="1260"/>
      <c r="GP489" s="1260"/>
      <c r="GQ489" s="1260"/>
      <c r="GR489" s="1260"/>
      <c r="GS489" s="1260"/>
      <c r="GT489" s="1260"/>
      <c r="GU489" s="1260"/>
      <c r="GV489" s="1260"/>
      <c r="GW489" s="1260"/>
      <c r="GX489" s="1260"/>
      <c r="GY489" s="1260"/>
      <c r="GZ489" s="1260"/>
      <c r="HA489" s="1260"/>
      <c r="HB489" s="1260"/>
      <c r="HC489" s="1260"/>
      <c r="HD489" s="1260"/>
      <c r="HE489" s="1260"/>
      <c r="HF489" s="1260"/>
      <c r="HG489" s="1260"/>
      <c r="HH489" s="1260"/>
      <c r="HI489" s="1260"/>
      <c r="HJ489" s="1260"/>
      <c r="HK489" s="1260"/>
      <c r="HL489" s="1260"/>
      <c r="HM489" s="1260"/>
      <c r="HN489" s="1260"/>
      <c r="HO489" s="1260"/>
      <c r="HP489" s="1260"/>
      <c r="HQ489" s="1260"/>
      <c r="HR489" s="1260"/>
      <c r="HS489" s="1260"/>
      <c r="HT489" s="1260"/>
      <c r="HU489" s="1260"/>
      <c r="HV489" s="1260"/>
      <c r="HW489" s="1260"/>
      <c r="HX489" s="1260"/>
      <c r="HY489" s="1260"/>
      <c r="HZ489" s="1260"/>
      <c r="IA489" s="1260"/>
      <c r="IB489" s="1260"/>
      <c r="IC489" s="1260"/>
      <c r="ID489" s="1260"/>
      <c r="IE489" s="1260"/>
      <c r="IF489" s="1260"/>
      <c r="IG489" s="1260"/>
      <c r="IH489" s="1260"/>
      <c r="II489" s="1260"/>
      <c r="IJ489" s="1260"/>
      <c r="IK489" s="1260"/>
      <c r="IL489" s="1260"/>
      <c r="IM489" s="1260"/>
      <c r="IN489" s="1260"/>
      <c r="IO489" s="1260"/>
      <c r="IP489" s="1260"/>
      <c r="IQ489" s="1260"/>
      <c r="IR489" s="1260"/>
      <c r="IS489" s="1260"/>
      <c r="IT489" s="1260"/>
      <c r="IU489" s="1260"/>
      <c r="IV489" s="1260"/>
      <c r="IW489" s="1260"/>
      <c r="IX489" s="1260"/>
      <c r="IY489" s="1260"/>
      <c r="IZ489" s="1260"/>
      <c r="JA489" s="1260"/>
      <c r="JB489" s="1260"/>
      <c r="JC489" s="1260"/>
      <c r="JD489" s="1260"/>
      <c r="JE489" s="1260"/>
      <c r="JF489" s="1260"/>
      <c r="JG489" s="1260"/>
      <c r="JH489" s="1260"/>
      <c r="JI489" s="1260"/>
      <c r="JJ489" s="1260"/>
      <c r="JK489" s="1260"/>
      <c r="JL489" s="1260"/>
      <c r="JM489" s="1260"/>
      <c r="JN489" s="1260"/>
      <c r="JO489" s="1260"/>
      <c r="JP489" s="1260"/>
      <c r="JQ489" s="1260"/>
      <c r="JR489" s="1260"/>
      <c r="JS489" s="1260"/>
      <c r="JT489" s="1260"/>
      <c r="JU489" s="1260"/>
      <c r="JV489" s="1260"/>
      <c r="JW489" s="1260"/>
      <c r="JX489" s="1260"/>
      <c r="JY489" s="1260"/>
      <c r="JZ489" s="1260"/>
      <c r="KA489" s="1260"/>
      <c r="KB489" s="1260"/>
      <c r="KC489" s="1260"/>
      <c r="KD489" s="1260"/>
      <c r="KE489" s="1260"/>
      <c r="KF489" s="1260"/>
      <c r="KG489" s="1260"/>
      <c r="KH489" s="1260"/>
      <c r="KI489" s="1260"/>
      <c r="KJ489" s="1260"/>
      <c r="KK489" s="1260"/>
      <c r="KL489" s="1260"/>
      <c r="KM489" s="1260"/>
      <c r="KN489" s="1260"/>
      <c r="KO489" s="1260"/>
      <c r="KP489" s="1260"/>
      <c r="KQ489" s="1260"/>
      <c r="KR489" s="1260"/>
      <c r="KS489" s="1260"/>
      <c r="KT489" s="1260"/>
      <c r="KU489" s="1260"/>
      <c r="KV489" s="1260"/>
      <c r="KW489" s="1260"/>
      <c r="KX489" s="1260"/>
      <c r="KY489" s="1260"/>
      <c r="KZ489" s="1260"/>
      <c r="LA489" s="1260"/>
      <c r="LB489" s="1260"/>
      <c r="LC489" s="1260"/>
      <c r="LD489" s="1260"/>
      <c r="LE489" s="1260"/>
      <c r="LF489" s="1260"/>
      <c r="LG489" s="1260"/>
      <c r="LH489" s="1260"/>
      <c r="LI489" s="1260"/>
      <c r="LJ489" s="1260"/>
      <c r="LK489" s="1260"/>
      <c r="LL489" s="1260"/>
      <c r="LM489" s="1260"/>
      <c r="LN489" s="1260"/>
      <c r="LO489" s="1260"/>
      <c r="LP489" s="1260"/>
      <c r="LQ489" s="1260"/>
      <c r="LR489" s="1260"/>
      <c r="LS489" s="1260"/>
      <c r="LT489" s="1260"/>
      <c r="LU489" s="1260"/>
      <c r="LV489" s="1260"/>
      <c r="LW489" s="1260"/>
      <c r="LX489" s="1260"/>
      <c r="LY489" s="1260"/>
      <c r="LZ489" s="1260"/>
      <c r="MA489" s="1260"/>
      <c r="MB489" s="1260"/>
      <c r="MC489" s="1260"/>
      <c r="MD489" s="1260"/>
      <c r="ME489" s="1260"/>
      <c r="MF489" s="1260"/>
      <c r="MG489" s="1260"/>
      <c r="MH489" s="1260"/>
      <c r="MI489" s="1260"/>
      <c r="MJ489" s="1260"/>
      <c r="MK489" s="1260"/>
      <c r="ML489" s="1260"/>
      <c r="MM489" s="1260"/>
      <c r="MN489" s="1260"/>
      <c r="MO489" s="1260"/>
      <c r="MP489" s="1260"/>
      <c r="MQ489" s="1260"/>
      <c r="MR489" s="1260"/>
      <c r="MS489" s="1260"/>
      <c r="MT489" s="1260"/>
      <c r="MU489" s="1260"/>
      <c r="MV489" s="1260"/>
      <c r="MW489" s="1260"/>
      <c r="MX489" s="1260"/>
      <c r="MY489" s="1260"/>
      <c r="MZ489" s="1260"/>
      <c r="NA489" s="1260"/>
      <c r="NB489" s="1260"/>
      <c r="NC489" s="1260"/>
      <c r="ND489" s="1260"/>
      <c r="NE489" s="1260"/>
      <c r="NF489" s="1260"/>
      <c r="NG489" s="1260"/>
      <c r="NH489" s="1260"/>
      <c r="NI489" s="1260"/>
      <c r="NJ489" s="1260"/>
      <c r="NK489" s="1260"/>
      <c r="NL489" s="1260"/>
      <c r="NM489" s="1260"/>
      <c r="NN489" s="1260"/>
      <c r="NO489" s="1260"/>
      <c r="NP489" s="1260"/>
      <c r="NQ489" s="1260"/>
      <c r="NR489" s="1260"/>
      <c r="NS489" s="1260"/>
      <c r="NT489" s="1260"/>
      <c r="NU489" s="1260"/>
      <c r="NV489" s="1260"/>
      <c r="NW489" s="1260"/>
      <c r="NX489" s="1260"/>
      <c r="NY489" s="1260"/>
      <c r="NZ489" s="1260"/>
      <c r="OA489" s="1260"/>
      <c r="OB489" s="1260"/>
      <c r="OC489" s="1260"/>
      <c r="OD489" s="1260"/>
      <c r="OE489" s="1260"/>
      <c r="OF489" s="1260"/>
      <c r="OG489" s="1260"/>
      <c r="OH489" s="1260"/>
      <c r="OI489" s="1260"/>
      <c r="OJ489" s="1260"/>
      <c r="OK489" s="1260"/>
      <c r="OL489" s="1260"/>
      <c r="OM489" s="1260"/>
      <c r="ON489" s="1260"/>
      <c r="OO489" s="1260"/>
      <c r="OP489" s="1260"/>
      <c r="OQ489" s="1260"/>
      <c r="OR489" s="1260"/>
      <c r="OS489" s="1260"/>
      <c r="OT489" s="1260"/>
      <c r="OU489" s="1260"/>
      <c r="OV489" s="1260"/>
      <c r="OW489" s="1260"/>
      <c r="OX489" s="1260"/>
      <c r="OY489" s="1260"/>
      <c r="OZ489" s="1260"/>
      <c r="PA489" s="1260"/>
      <c r="PB489" s="1260"/>
      <c r="PC489" s="1260"/>
      <c r="PD489" s="1260"/>
      <c r="PE489" s="1260"/>
      <c r="PF489" s="1260"/>
      <c r="PG489" s="1260"/>
      <c r="PH489" s="1260"/>
      <c r="PI489" s="1260"/>
      <c r="PJ489" s="1260"/>
      <c r="PK489" s="1260"/>
      <c r="PL489" s="1260"/>
      <c r="PM489" s="1260"/>
      <c r="PN489" s="1260"/>
      <c r="PO489" s="1260"/>
      <c r="PP489" s="1260"/>
      <c r="PQ489" s="1260"/>
      <c r="PR489" s="1260"/>
      <c r="PS489" s="1260"/>
      <c r="PT489" s="1260"/>
      <c r="PU489" s="1260"/>
      <c r="PV489" s="1260"/>
      <c r="PW489" s="1260"/>
      <c r="PX489" s="1260"/>
      <c r="PY489" s="1260"/>
      <c r="PZ489" s="1260"/>
      <c r="QA489" s="1260"/>
      <c r="QB489" s="1260"/>
      <c r="QC489" s="1260"/>
      <c r="QD489" s="1260"/>
      <c r="QE489" s="1260"/>
      <c r="QF489" s="1260"/>
      <c r="QG489" s="1260"/>
      <c r="QH489" s="1260"/>
      <c r="QI489" s="1260"/>
      <c r="QJ489" s="1260"/>
      <c r="QK489" s="1260"/>
      <c r="QL489" s="1260"/>
      <c r="QM489" s="1260"/>
      <c r="QN489" s="1260"/>
      <c r="QO489" s="1260"/>
      <c r="QP489" s="1260"/>
      <c r="QQ489" s="1260"/>
      <c r="QR489" s="1260"/>
      <c r="QS489" s="1260"/>
      <c r="QT489" s="1260"/>
      <c r="QU489" s="1260"/>
      <c r="QV489" s="1260"/>
      <c r="QW489" s="1260"/>
      <c r="QX489" s="1260"/>
      <c r="QY489" s="1260"/>
      <c r="QZ489" s="1260"/>
      <c r="RA489" s="1260"/>
      <c r="RB489" s="1260"/>
      <c r="RC489" s="1260"/>
      <c r="RD489" s="1260"/>
      <c r="RE489" s="1260"/>
      <c r="RF489" s="1260"/>
      <c r="RG489" s="1260"/>
      <c r="RH489" s="1260"/>
      <c r="RI489" s="1260"/>
      <c r="RJ489" s="1260"/>
      <c r="RK489" s="1260"/>
      <c r="RL489" s="1260"/>
      <c r="RM489" s="1260"/>
      <c r="RN489" s="1260"/>
      <c r="RO489" s="1260"/>
      <c r="RP489" s="1260"/>
      <c r="RQ489" s="1260"/>
      <c r="RR489" s="1260"/>
      <c r="RS489" s="1260"/>
      <c r="RT489" s="1260"/>
      <c r="RU489" s="1260"/>
      <c r="RV489" s="1260"/>
      <c r="RW489" s="1260"/>
      <c r="RX489" s="1260"/>
      <c r="RY489" s="1260"/>
      <c r="RZ489" s="1260"/>
      <c r="SA489" s="1260"/>
      <c r="SB489" s="1260"/>
      <c r="SC489" s="1260"/>
      <c r="SD489" s="1260"/>
      <c r="SE489" s="1260"/>
      <c r="SF489" s="1260"/>
      <c r="SG489" s="1260"/>
      <c r="SH489" s="1260"/>
      <c r="SI489" s="1260"/>
      <c r="SJ489" s="1260"/>
      <c r="SK489" s="1260"/>
      <c r="SL489" s="1260"/>
      <c r="SM489" s="1260"/>
      <c r="SN489" s="1260"/>
      <c r="SO489" s="1260"/>
      <c r="SP489" s="1260"/>
      <c r="SQ489" s="1260"/>
      <c r="SR489" s="1260"/>
      <c r="SS489" s="1260"/>
      <c r="ST489" s="1260"/>
      <c r="SU489" s="1260"/>
      <c r="SV489" s="1260"/>
      <c r="SW489" s="1260"/>
      <c r="SX489" s="1260"/>
      <c r="SY489" s="1260"/>
      <c r="SZ489" s="1260"/>
      <c r="TA489" s="1260"/>
      <c r="TB489" s="1260"/>
      <c r="TC489" s="1260"/>
      <c r="TD489" s="1260"/>
      <c r="TE489" s="1260"/>
      <c r="TF489" s="1260"/>
      <c r="TG489" s="1260"/>
      <c r="TH489" s="1260"/>
      <c r="TI489" s="1260"/>
      <c r="TJ489" s="1260"/>
      <c r="TK489" s="1260"/>
      <c r="TL489" s="1260"/>
      <c r="TM489" s="1260"/>
      <c r="TN489" s="1260"/>
      <c r="TO489" s="1260"/>
      <c r="TP489" s="1260"/>
      <c r="TQ489" s="1260"/>
      <c r="TR489" s="1260"/>
      <c r="TS489" s="1260"/>
      <c r="TT489" s="1260"/>
      <c r="TU489" s="1260"/>
      <c r="TV489" s="1260"/>
      <c r="TW489" s="1260"/>
      <c r="TX489" s="1260"/>
      <c r="TY489" s="1260"/>
      <c r="TZ489" s="1260"/>
      <c r="UA489" s="1260"/>
      <c r="UB489" s="1260"/>
      <c r="UC489" s="1260"/>
      <c r="UD489" s="1260"/>
      <c r="UE489" s="1260"/>
      <c r="UF489" s="1260"/>
      <c r="UG489" s="1261"/>
    </row>
    <row r="490" spans="1:553" s="1262" customFormat="1" ht="30.75" customHeight="1">
      <c r="A490" s="366" t="s">
        <v>15</v>
      </c>
      <c r="B490" s="366"/>
      <c r="C490" s="1451" t="s">
        <v>370</v>
      </c>
      <c r="D490" s="1389"/>
      <c r="E490" s="1389"/>
      <c r="F490" s="1390"/>
      <c r="G490" s="366" t="s">
        <v>193</v>
      </c>
      <c r="H490" s="370"/>
      <c r="I490" s="443">
        <v>12</v>
      </c>
      <c r="J490" s="368">
        <v>125000</v>
      </c>
      <c r="K490" s="388"/>
      <c r="L490" s="480">
        <f t="shared" si="91"/>
        <v>1500000</v>
      </c>
      <c r="M490" s="366"/>
      <c r="N490" s="366"/>
      <c r="O490" s="366"/>
      <c r="P490" s="366"/>
      <c r="Q490" s="1144"/>
      <c r="R490" s="1452"/>
      <c r="S490" s="308"/>
      <c r="T490" s="303"/>
      <c r="U490" s="306"/>
      <c r="V490" s="307"/>
      <c r="W490" s="306"/>
      <c r="X490" s="306"/>
      <c r="Y490" s="306"/>
      <c r="Z490" s="306"/>
      <c r="AA490" s="306"/>
      <c r="AB490" s="306"/>
      <c r="AC490" s="449"/>
      <c r="AD490" s="452"/>
      <c r="AE490" s="452"/>
      <c r="AF490" s="452"/>
      <c r="AG490" s="452"/>
      <c r="AH490" s="452"/>
      <c r="AI490" s="452"/>
      <c r="AJ490" s="452"/>
      <c r="AK490" s="452"/>
      <c r="AL490" s="1259"/>
      <c r="AM490" s="1260"/>
      <c r="AN490" s="1260"/>
      <c r="AO490" s="1260"/>
      <c r="AP490" s="1260"/>
      <c r="AQ490" s="1260"/>
      <c r="AR490" s="1260"/>
      <c r="AS490" s="1260"/>
      <c r="AT490" s="1260"/>
      <c r="AU490" s="1260"/>
      <c r="AV490" s="1260"/>
      <c r="AW490" s="1260"/>
      <c r="AX490" s="1260"/>
      <c r="AY490" s="1260"/>
      <c r="AZ490" s="1260"/>
      <c r="BA490" s="1260"/>
      <c r="BB490" s="1260"/>
      <c r="BC490" s="1260"/>
      <c r="BD490" s="1260"/>
      <c r="BE490" s="1260"/>
      <c r="BF490" s="1260"/>
      <c r="BG490" s="1260"/>
      <c r="BH490" s="1260"/>
      <c r="BI490" s="1260"/>
      <c r="BJ490" s="1260"/>
      <c r="BK490" s="1260"/>
      <c r="BL490" s="1260"/>
      <c r="BM490" s="1260"/>
      <c r="BN490" s="1260"/>
      <c r="BO490" s="1260"/>
      <c r="BP490" s="1260"/>
      <c r="BQ490" s="1260"/>
      <c r="BR490" s="1260"/>
      <c r="BS490" s="1260"/>
      <c r="BT490" s="1260"/>
      <c r="BU490" s="1260"/>
      <c r="BV490" s="1260"/>
      <c r="BW490" s="1260"/>
      <c r="BX490" s="1260"/>
      <c r="BY490" s="1260"/>
      <c r="BZ490" s="1260"/>
      <c r="CA490" s="1260"/>
      <c r="CB490" s="1260"/>
      <c r="CC490" s="1260"/>
      <c r="CD490" s="1260"/>
      <c r="CE490" s="1260"/>
      <c r="CF490" s="1260"/>
      <c r="CG490" s="1260"/>
      <c r="CH490" s="1260"/>
      <c r="CI490" s="1260"/>
      <c r="CJ490" s="1260"/>
      <c r="CK490" s="1260"/>
      <c r="CL490" s="1260"/>
      <c r="CM490" s="1260"/>
      <c r="CN490" s="1260"/>
      <c r="CO490" s="1260"/>
      <c r="CP490" s="1260"/>
      <c r="CQ490" s="1260"/>
      <c r="CR490" s="1260"/>
      <c r="CS490" s="1260"/>
      <c r="CT490" s="1260"/>
      <c r="CU490" s="1260"/>
      <c r="CV490" s="1260"/>
      <c r="CW490" s="1260"/>
      <c r="CX490" s="1260"/>
      <c r="CY490" s="1260"/>
      <c r="CZ490" s="1260"/>
      <c r="DA490" s="1260"/>
      <c r="DB490" s="1260"/>
      <c r="DC490" s="1260"/>
      <c r="DD490" s="1260"/>
      <c r="DE490" s="1260"/>
      <c r="DF490" s="1260"/>
      <c r="DG490" s="1260"/>
      <c r="DH490" s="1260"/>
      <c r="DI490" s="1260"/>
      <c r="DJ490" s="1260"/>
      <c r="DK490" s="1260"/>
      <c r="DL490" s="1260"/>
      <c r="DM490" s="1260"/>
      <c r="DN490" s="1260"/>
      <c r="DO490" s="1260"/>
      <c r="DP490" s="1260"/>
      <c r="DQ490" s="1260"/>
      <c r="DR490" s="1260"/>
      <c r="DS490" s="1260"/>
      <c r="DT490" s="1260"/>
      <c r="DU490" s="1260"/>
      <c r="DV490" s="1260"/>
      <c r="DW490" s="1260"/>
      <c r="DX490" s="1260"/>
      <c r="DY490" s="1260"/>
      <c r="DZ490" s="1260"/>
      <c r="EA490" s="1260"/>
      <c r="EB490" s="1260"/>
      <c r="EC490" s="1260"/>
      <c r="ED490" s="1260"/>
      <c r="EE490" s="1260"/>
      <c r="EF490" s="1260"/>
      <c r="EG490" s="1260"/>
      <c r="EH490" s="1260"/>
      <c r="EI490" s="1260"/>
      <c r="EJ490" s="1260"/>
      <c r="EK490" s="1260"/>
      <c r="EL490" s="1260"/>
      <c r="EM490" s="1260"/>
      <c r="EN490" s="1260"/>
      <c r="EO490" s="1260"/>
      <c r="EP490" s="1260"/>
      <c r="EQ490" s="1260"/>
      <c r="ER490" s="1260"/>
      <c r="ES490" s="1260"/>
      <c r="ET490" s="1260"/>
      <c r="EU490" s="1260"/>
      <c r="EV490" s="1260"/>
      <c r="EW490" s="1260"/>
      <c r="EX490" s="1260"/>
      <c r="EY490" s="1260"/>
      <c r="EZ490" s="1260"/>
      <c r="FA490" s="1260"/>
      <c r="FB490" s="1260"/>
      <c r="FC490" s="1260"/>
      <c r="FD490" s="1260"/>
      <c r="FE490" s="1260"/>
      <c r="FF490" s="1260"/>
      <c r="FG490" s="1260"/>
      <c r="FH490" s="1260"/>
      <c r="FI490" s="1260"/>
      <c r="FJ490" s="1260"/>
      <c r="FK490" s="1260"/>
      <c r="FL490" s="1260"/>
      <c r="FM490" s="1260"/>
      <c r="FN490" s="1260"/>
      <c r="FO490" s="1260"/>
      <c r="FP490" s="1260"/>
      <c r="FQ490" s="1260"/>
      <c r="FR490" s="1260"/>
      <c r="FS490" s="1260"/>
      <c r="FT490" s="1260"/>
      <c r="FU490" s="1260"/>
      <c r="FV490" s="1260"/>
      <c r="FW490" s="1260"/>
      <c r="FX490" s="1260"/>
      <c r="FY490" s="1260"/>
      <c r="FZ490" s="1260"/>
      <c r="GA490" s="1260"/>
      <c r="GB490" s="1260"/>
      <c r="GC490" s="1260"/>
      <c r="GD490" s="1260"/>
      <c r="GE490" s="1260"/>
      <c r="GF490" s="1260"/>
      <c r="GG490" s="1260"/>
      <c r="GH490" s="1260"/>
      <c r="GI490" s="1260"/>
      <c r="GJ490" s="1260"/>
      <c r="GK490" s="1260"/>
      <c r="GL490" s="1260"/>
      <c r="GM490" s="1260"/>
      <c r="GN490" s="1260"/>
      <c r="GO490" s="1260"/>
      <c r="GP490" s="1260"/>
      <c r="GQ490" s="1260"/>
      <c r="GR490" s="1260"/>
      <c r="GS490" s="1260"/>
      <c r="GT490" s="1260"/>
      <c r="GU490" s="1260"/>
      <c r="GV490" s="1260"/>
      <c r="GW490" s="1260"/>
      <c r="GX490" s="1260"/>
      <c r="GY490" s="1260"/>
      <c r="GZ490" s="1260"/>
      <c r="HA490" s="1260"/>
      <c r="HB490" s="1260"/>
      <c r="HC490" s="1260"/>
      <c r="HD490" s="1260"/>
      <c r="HE490" s="1260"/>
      <c r="HF490" s="1260"/>
      <c r="HG490" s="1260"/>
      <c r="HH490" s="1260"/>
      <c r="HI490" s="1260"/>
      <c r="HJ490" s="1260"/>
      <c r="HK490" s="1260"/>
      <c r="HL490" s="1260"/>
      <c r="HM490" s="1260"/>
      <c r="HN490" s="1260"/>
      <c r="HO490" s="1260"/>
      <c r="HP490" s="1260"/>
      <c r="HQ490" s="1260"/>
      <c r="HR490" s="1260"/>
      <c r="HS490" s="1260"/>
      <c r="HT490" s="1260"/>
      <c r="HU490" s="1260"/>
      <c r="HV490" s="1260"/>
      <c r="HW490" s="1260"/>
      <c r="HX490" s="1260"/>
      <c r="HY490" s="1260"/>
      <c r="HZ490" s="1260"/>
      <c r="IA490" s="1260"/>
      <c r="IB490" s="1260"/>
      <c r="IC490" s="1260"/>
      <c r="ID490" s="1260"/>
      <c r="IE490" s="1260"/>
      <c r="IF490" s="1260"/>
      <c r="IG490" s="1260"/>
      <c r="IH490" s="1260"/>
      <c r="II490" s="1260"/>
      <c r="IJ490" s="1260"/>
      <c r="IK490" s="1260"/>
      <c r="IL490" s="1260"/>
      <c r="IM490" s="1260"/>
      <c r="IN490" s="1260"/>
      <c r="IO490" s="1260"/>
      <c r="IP490" s="1260"/>
      <c r="IQ490" s="1260"/>
      <c r="IR490" s="1260"/>
      <c r="IS490" s="1260"/>
      <c r="IT490" s="1260"/>
      <c r="IU490" s="1260"/>
      <c r="IV490" s="1260"/>
      <c r="IW490" s="1260"/>
      <c r="IX490" s="1260"/>
      <c r="IY490" s="1260"/>
      <c r="IZ490" s="1260"/>
      <c r="JA490" s="1260"/>
      <c r="JB490" s="1260"/>
      <c r="JC490" s="1260"/>
      <c r="JD490" s="1260"/>
      <c r="JE490" s="1260"/>
      <c r="JF490" s="1260"/>
      <c r="JG490" s="1260"/>
      <c r="JH490" s="1260"/>
      <c r="JI490" s="1260"/>
      <c r="JJ490" s="1260"/>
      <c r="JK490" s="1260"/>
      <c r="JL490" s="1260"/>
      <c r="JM490" s="1260"/>
      <c r="JN490" s="1260"/>
      <c r="JO490" s="1260"/>
      <c r="JP490" s="1260"/>
      <c r="JQ490" s="1260"/>
      <c r="JR490" s="1260"/>
      <c r="JS490" s="1260"/>
      <c r="JT490" s="1260"/>
      <c r="JU490" s="1260"/>
      <c r="JV490" s="1260"/>
      <c r="JW490" s="1260"/>
      <c r="JX490" s="1260"/>
      <c r="JY490" s="1260"/>
      <c r="JZ490" s="1260"/>
      <c r="KA490" s="1260"/>
      <c r="KB490" s="1260"/>
      <c r="KC490" s="1260"/>
      <c r="KD490" s="1260"/>
      <c r="KE490" s="1260"/>
      <c r="KF490" s="1260"/>
      <c r="KG490" s="1260"/>
      <c r="KH490" s="1260"/>
      <c r="KI490" s="1260"/>
      <c r="KJ490" s="1260"/>
      <c r="KK490" s="1260"/>
      <c r="KL490" s="1260"/>
      <c r="KM490" s="1260"/>
      <c r="KN490" s="1260"/>
      <c r="KO490" s="1260"/>
      <c r="KP490" s="1260"/>
      <c r="KQ490" s="1260"/>
      <c r="KR490" s="1260"/>
      <c r="KS490" s="1260"/>
      <c r="KT490" s="1260"/>
      <c r="KU490" s="1260"/>
      <c r="KV490" s="1260"/>
      <c r="KW490" s="1260"/>
      <c r="KX490" s="1260"/>
      <c r="KY490" s="1260"/>
      <c r="KZ490" s="1260"/>
      <c r="LA490" s="1260"/>
      <c r="LB490" s="1260"/>
      <c r="LC490" s="1260"/>
      <c r="LD490" s="1260"/>
      <c r="LE490" s="1260"/>
      <c r="LF490" s="1260"/>
      <c r="LG490" s="1260"/>
      <c r="LH490" s="1260"/>
      <c r="LI490" s="1260"/>
      <c r="LJ490" s="1260"/>
      <c r="LK490" s="1260"/>
      <c r="LL490" s="1260"/>
      <c r="LM490" s="1260"/>
      <c r="LN490" s="1260"/>
      <c r="LO490" s="1260"/>
      <c r="LP490" s="1260"/>
      <c r="LQ490" s="1260"/>
      <c r="LR490" s="1260"/>
      <c r="LS490" s="1260"/>
      <c r="LT490" s="1260"/>
      <c r="LU490" s="1260"/>
      <c r="LV490" s="1260"/>
      <c r="LW490" s="1260"/>
      <c r="LX490" s="1260"/>
      <c r="LY490" s="1260"/>
      <c r="LZ490" s="1260"/>
      <c r="MA490" s="1260"/>
      <c r="MB490" s="1260"/>
      <c r="MC490" s="1260"/>
      <c r="MD490" s="1260"/>
      <c r="ME490" s="1260"/>
      <c r="MF490" s="1260"/>
      <c r="MG490" s="1260"/>
      <c r="MH490" s="1260"/>
      <c r="MI490" s="1260"/>
      <c r="MJ490" s="1260"/>
      <c r="MK490" s="1260"/>
      <c r="ML490" s="1260"/>
      <c r="MM490" s="1260"/>
      <c r="MN490" s="1260"/>
      <c r="MO490" s="1260"/>
      <c r="MP490" s="1260"/>
      <c r="MQ490" s="1260"/>
      <c r="MR490" s="1260"/>
      <c r="MS490" s="1260"/>
      <c r="MT490" s="1260"/>
      <c r="MU490" s="1260"/>
      <c r="MV490" s="1260"/>
      <c r="MW490" s="1260"/>
      <c r="MX490" s="1260"/>
      <c r="MY490" s="1260"/>
      <c r="MZ490" s="1260"/>
      <c r="NA490" s="1260"/>
      <c r="NB490" s="1260"/>
      <c r="NC490" s="1260"/>
      <c r="ND490" s="1260"/>
      <c r="NE490" s="1260"/>
      <c r="NF490" s="1260"/>
      <c r="NG490" s="1260"/>
      <c r="NH490" s="1260"/>
      <c r="NI490" s="1260"/>
      <c r="NJ490" s="1260"/>
      <c r="NK490" s="1260"/>
      <c r="NL490" s="1260"/>
      <c r="NM490" s="1260"/>
      <c r="NN490" s="1260"/>
      <c r="NO490" s="1260"/>
      <c r="NP490" s="1260"/>
      <c r="NQ490" s="1260"/>
      <c r="NR490" s="1260"/>
      <c r="NS490" s="1260"/>
      <c r="NT490" s="1260"/>
      <c r="NU490" s="1260"/>
      <c r="NV490" s="1260"/>
      <c r="NW490" s="1260"/>
      <c r="NX490" s="1260"/>
      <c r="NY490" s="1260"/>
      <c r="NZ490" s="1260"/>
      <c r="OA490" s="1260"/>
      <c r="OB490" s="1260"/>
      <c r="OC490" s="1260"/>
      <c r="OD490" s="1260"/>
      <c r="OE490" s="1260"/>
      <c r="OF490" s="1260"/>
      <c r="OG490" s="1260"/>
      <c r="OH490" s="1260"/>
      <c r="OI490" s="1260"/>
      <c r="OJ490" s="1260"/>
      <c r="OK490" s="1260"/>
      <c r="OL490" s="1260"/>
      <c r="OM490" s="1260"/>
      <c r="ON490" s="1260"/>
      <c r="OO490" s="1260"/>
      <c r="OP490" s="1260"/>
      <c r="OQ490" s="1260"/>
      <c r="OR490" s="1260"/>
      <c r="OS490" s="1260"/>
      <c r="OT490" s="1260"/>
      <c r="OU490" s="1260"/>
      <c r="OV490" s="1260"/>
      <c r="OW490" s="1260"/>
      <c r="OX490" s="1260"/>
      <c r="OY490" s="1260"/>
      <c r="OZ490" s="1260"/>
      <c r="PA490" s="1260"/>
      <c r="PB490" s="1260"/>
      <c r="PC490" s="1260"/>
      <c r="PD490" s="1260"/>
      <c r="PE490" s="1260"/>
      <c r="PF490" s="1260"/>
      <c r="PG490" s="1260"/>
      <c r="PH490" s="1260"/>
      <c r="PI490" s="1260"/>
      <c r="PJ490" s="1260"/>
      <c r="PK490" s="1260"/>
      <c r="PL490" s="1260"/>
      <c r="PM490" s="1260"/>
      <c r="PN490" s="1260"/>
      <c r="PO490" s="1260"/>
      <c r="PP490" s="1260"/>
      <c r="PQ490" s="1260"/>
      <c r="PR490" s="1260"/>
      <c r="PS490" s="1260"/>
      <c r="PT490" s="1260"/>
      <c r="PU490" s="1260"/>
      <c r="PV490" s="1260"/>
      <c r="PW490" s="1260"/>
      <c r="PX490" s="1260"/>
      <c r="PY490" s="1260"/>
      <c r="PZ490" s="1260"/>
      <c r="QA490" s="1260"/>
      <c r="QB490" s="1260"/>
      <c r="QC490" s="1260"/>
      <c r="QD490" s="1260"/>
      <c r="QE490" s="1260"/>
      <c r="QF490" s="1260"/>
      <c r="QG490" s="1260"/>
      <c r="QH490" s="1260"/>
      <c r="QI490" s="1260"/>
      <c r="QJ490" s="1260"/>
      <c r="QK490" s="1260"/>
      <c r="QL490" s="1260"/>
      <c r="QM490" s="1260"/>
      <c r="QN490" s="1260"/>
      <c r="QO490" s="1260"/>
      <c r="QP490" s="1260"/>
      <c r="QQ490" s="1260"/>
      <c r="QR490" s="1260"/>
      <c r="QS490" s="1260"/>
      <c r="QT490" s="1260"/>
      <c r="QU490" s="1260"/>
      <c r="QV490" s="1260"/>
      <c r="QW490" s="1260"/>
      <c r="QX490" s="1260"/>
      <c r="QY490" s="1260"/>
      <c r="QZ490" s="1260"/>
      <c r="RA490" s="1260"/>
      <c r="RB490" s="1260"/>
      <c r="RC490" s="1260"/>
      <c r="RD490" s="1260"/>
      <c r="RE490" s="1260"/>
      <c r="RF490" s="1260"/>
      <c r="RG490" s="1260"/>
      <c r="RH490" s="1260"/>
      <c r="RI490" s="1260"/>
      <c r="RJ490" s="1260"/>
      <c r="RK490" s="1260"/>
      <c r="RL490" s="1260"/>
      <c r="RM490" s="1260"/>
      <c r="RN490" s="1260"/>
      <c r="RO490" s="1260"/>
      <c r="RP490" s="1260"/>
      <c r="RQ490" s="1260"/>
      <c r="RR490" s="1260"/>
      <c r="RS490" s="1260"/>
      <c r="RT490" s="1260"/>
      <c r="RU490" s="1260"/>
      <c r="RV490" s="1260"/>
      <c r="RW490" s="1260"/>
      <c r="RX490" s="1260"/>
      <c r="RY490" s="1260"/>
      <c r="RZ490" s="1260"/>
      <c r="SA490" s="1260"/>
      <c r="SB490" s="1260"/>
      <c r="SC490" s="1260"/>
      <c r="SD490" s="1260"/>
      <c r="SE490" s="1260"/>
      <c r="SF490" s="1260"/>
      <c r="SG490" s="1260"/>
      <c r="SH490" s="1260"/>
      <c r="SI490" s="1260"/>
      <c r="SJ490" s="1260"/>
      <c r="SK490" s="1260"/>
      <c r="SL490" s="1260"/>
      <c r="SM490" s="1260"/>
      <c r="SN490" s="1260"/>
      <c r="SO490" s="1260"/>
      <c r="SP490" s="1260"/>
      <c r="SQ490" s="1260"/>
      <c r="SR490" s="1260"/>
      <c r="SS490" s="1260"/>
      <c r="ST490" s="1260"/>
      <c r="SU490" s="1260"/>
      <c r="SV490" s="1260"/>
      <c r="SW490" s="1260"/>
      <c r="SX490" s="1260"/>
      <c r="SY490" s="1260"/>
      <c r="SZ490" s="1260"/>
      <c r="TA490" s="1260"/>
      <c r="TB490" s="1260"/>
      <c r="TC490" s="1260"/>
      <c r="TD490" s="1260"/>
      <c r="TE490" s="1260"/>
      <c r="TF490" s="1260"/>
      <c r="TG490" s="1260"/>
      <c r="TH490" s="1260"/>
      <c r="TI490" s="1260"/>
      <c r="TJ490" s="1260"/>
      <c r="TK490" s="1260"/>
      <c r="TL490" s="1260"/>
      <c r="TM490" s="1260"/>
      <c r="TN490" s="1260"/>
      <c r="TO490" s="1260"/>
      <c r="TP490" s="1260"/>
      <c r="TQ490" s="1260"/>
      <c r="TR490" s="1260"/>
      <c r="TS490" s="1260"/>
      <c r="TT490" s="1260"/>
      <c r="TU490" s="1260"/>
      <c r="TV490" s="1260"/>
      <c r="TW490" s="1260"/>
      <c r="TX490" s="1260"/>
      <c r="TY490" s="1260"/>
      <c r="TZ490" s="1260"/>
      <c r="UA490" s="1260"/>
      <c r="UB490" s="1260"/>
      <c r="UC490" s="1260"/>
      <c r="UD490" s="1260"/>
      <c r="UE490" s="1260"/>
      <c r="UF490" s="1260"/>
      <c r="UG490" s="1261"/>
    </row>
    <row r="491" spans="1:553" s="1262" customFormat="1" ht="30.75" customHeight="1">
      <c r="A491" s="366" t="s">
        <v>15</v>
      </c>
      <c r="B491" s="366"/>
      <c r="C491" s="1451" t="s">
        <v>371</v>
      </c>
      <c r="D491" s="1389"/>
      <c r="E491" s="1389"/>
      <c r="F491" s="1390"/>
      <c r="G491" s="386" t="s">
        <v>193</v>
      </c>
      <c r="H491" s="370"/>
      <c r="I491" s="443">
        <v>20</v>
      </c>
      <c r="J491" s="368">
        <v>65000</v>
      </c>
      <c r="K491" s="388"/>
      <c r="L491" s="480">
        <f t="shared" si="91"/>
        <v>1300000</v>
      </c>
      <c r="M491" s="366"/>
      <c r="N491" s="366"/>
      <c r="O491" s="366"/>
      <c r="P491" s="366"/>
      <c r="Q491" s="1144"/>
      <c r="R491" s="1452"/>
      <c r="S491" s="308"/>
      <c r="T491" s="303"/>
      <c r="U491" s="306"/>
      <c r="V491" s="307"/>
      <c r="W491" s="306"/>
      <c r="X491" s="306"/>
      <c r="Y491" s="306"/>
      <c r="Z491" s="306"/>
      <c r="AA491" s="306"/>
      <c r="AB491" s="306"/>
      <c r="AC491" s="449"/>
      <c r="AD491" s="452"/>
      <c r="AE491" s="452"/>
      <c r="AF491" s="452"/>
      <c r="AG491" s="452"/>
      <c r="AH491" s="452"/>
      <c r="AI491" s="452"/>
      <c r="AJ491" s="452"/>
      <c r="AK491" s="452"/>
      <c r="AL491" s="1259"/>
      <c r="AM491" s="1260"/>
      <c r="AN491" s="1260"/>
      <c r="AO491" s="1260"/>
      <c r="AP491" s="1260"/>
      <c r="AQ491" s="1260"/>
      <c r="AR491" s="1260"/>
      <c r="AS491" s="1260"/>
      <c r="AT491" s="1260"/>
      <c r="AU491" s="1260"/>
      <c r="AV491" s="1260"/>
      <c r="AW491" s="1260"/>
      <c r="AX491" s="1260"/>
      <c r="AY491" s="1260"/>
      <c r="AZ491" s="1260"/>
      <c r="BA491" s="1260"/>
      <c r="BB491" s="1260"/>
      <c r="BC491" s="1260"/>
      <c r="BD491" s="1260"/>
      <c r="BE491" s="1260"/>
      <c r="BF491" s="1260"/>
      <c r="BG491" s="1260"/>
      <c r="BH491" s="1260"/>
      <c r="BI491" s="1260"/>
      <c r="BJ491" s="1260"/>
      <c r="BK491" s="1260"/>
      <c r="BL491" s="1260"/>
      <c r="BM491" s="1260"/>
      <c r="BN491" s="1260"/>
      <c r="BO491" s="1260"/>
      <c r="BP491" s="1260"/>
      <c r="BQ491" s="1260"/>
      <c r="BR491" s="1260"/>
      <c r="BS491" s="1260"/>
      <c r="BT491" s="1260"/>
      <c r="BU491" s="1260"/>
      <c r="BV491" s="1260"/>
      <c r="BW491" s="1260"/>
      <c r="BX491" s="1260"/>
      <c r="BY491" s="1260"/>
      <c r="BZ491" s="1260"/>
      <c r="CA491" s="1260"/>
      <c r="CB491" s="1260"/>
      <c r="CC491" s="1260"/>
      <c r="CD491" s="1260"/>
      <c r="CE491" s="1260"/>
      <c r="CF491" s="1260"/>
      <c r="CG491" s="1260"/>
      <c r="CH491" s="1260"/>
      <c r="CI491" s="1260"/>
      <c r="CJ491" s="1260"/>
      <c r="CK491" s="1260"/>
      <c r="CL491" s="1260"/>
      <c r="CM491" s="1260"/>
      <c r="CN491" s="1260"/>
      <c r="CO491" s="1260"/>
      <c r="CP491" s="1260"/>
      <c r="CQ491" s="1260"/>
      <c r="CR491" s="1260"/>
      <c r="CS491" s="1260"/>
      <c r="CT491" s="1260"/>
      <c r="CU491" s="1260"/>
      <c r="CV491" s="1260"/>
      <c r="CW491" s="1260"/>
      <c r="CX491" s="1260"/>
      <c r="CY491" s="1260"/>
      <c r="CZ491" s="1260"/>
      <c r="DA491" s="1260"/>
      <c r="DB491" s="1260"/>
      <c r="DC491" s="1260"/>
      <c r="DD491" s="1260"/>
      <c r="DE491" s="1260"/>
      <c r="DF491" s="1260"/>
      <c r="DG491" s="1260"/>
      <c r="DH491" s="1260"/>
      <c r="DI491" s="1260"/>
      <c r="DJ491" s="1260"/>
      <c r="DK491" s="1260"/>
      <c r="DL491" s="1260"/>
      <c r="DM491" s="1260"/>
      <c r="DN491" s="1260"/>
      <c r="DO491" s="1260"/>
      <c r="DP491" s="1260"/>
      <c r="DQ491" s="1260"/>
      <c r="DR491" s="1260"/>
      <c r="DS491" s="1260"/>
      <c r="DT491" s="1260"/>
      <c r="DU491" s="1260"/>
      <c r="DV491" s="1260"/>
      <c r="DW491" s="1260"/>
      <c r="DX491" s="1260"/>
      <c r="DY491" s="1260"/>
      <c r="DZ491" s="1260"/>
      <c r="EA491" s="1260"/>
      <c r="EB491" s="1260"/>
      <c r="EC491" s="1260"/>
      <c r="ED491" s="1260"/>
      <c r="EE491" s="1260"/>
      <c r="EF491" s="1260"/>
      <c r="EG491" s="1260"/>
      <c r="EH491" s="1260"/>
      <c r="EI491" s="1260"/>
      <c r="EJ491" s="1260"/>
      <c r="EK491" s="1260"/>
      <c r="EL491" s="1260"/>
      <c r="EM491" s="1260"/>
      <c r="EN491" s="1260"/>
      <c r="EO491" s="1260"/>
      <c r="EP491" s="1260"/>
      <c r="EQ491" s="1260"/>
      <c r="ER491" s="1260"/>
      <c r="ES491" s="1260"/>
      <c r="ET491" s="1260"/>
      <c r="EU491" s="1260"/>
      <c r="EV491" s="1260"/>
      <c r="EW491" s="1260"/>
      <c r="EX491" s="1260"/>
      <c r="EY491" s="1260"/>
      <c r="EZ491" s="1260"/>
      <c r="FA491" s="1260"/>
      <c r="FB491" s="1260"/>
      <c r="FC491" s="1260"/>
      <c r="FD491" s="1260"/>
      <c r="FE491" s="1260"/>
      <c r="FF491" s="1260"/>
      <c r="FG491" s="1260"/>
      <c r="FH491" s="1260"/>
      <c r="FI491" s="1260"/>
      <c r="FJ491" s="1260"/>
      <c r="FK491" s="1260"/>
      <c r="FL491" s="1260"/>
      <c r="FM491" s="1260"/>
      <c r="FN491" s="1260"/>
      <c r="FO491" s="1260"/>
      <c r="FP491" s="1260"/>
      <c r="FQ491" s="1260"/>
      <c r="FR491" s="1260"/>
      <c r="FS491" s="1260"/>
      <c r="FT491" s="1260"/>
      <c r="FU491" s="1260"/>
      <c r="FV491" s="1260"/>
      <c r="FW491" s="1260"/>
      <c r="FX491" s="1260"/>
      <c r="FY491" s="1260"/>
      <c r="FZ491" s="1260"/>
      <c r="GA491" s="1260"/>
      <c r="GB491" s="1260"/>
      <c r="GC491" s="1260"/>
      <c r="GD491" s="1260"/>
      <c r="GE491" s="1260"/>
      <c r="GF491" s="1260"/>
      <c r="GG491" s="1260"/>
      <c r="GH491" s="1260"/>
      <c r="GI491" s="1260"/>
      <c r="GJ491" s="1260"/>
      <c r="GK491" s="1260"/>
      <c r="GL491" s="1260"/>
      <c r="GM491" s="1260"/>
      <c r="GN491" s="1260"/>
      <c r="GO491" s="1260"/>
      <c r="GP491" s="1260"/>
      <c r="GQ491" s="1260"/>
      <c r="GR491" s="1260"/>
      <c r="GS491" s="1260"/>
      <c r="GT491" s="1260"/>
      <c r="GU491" s="1260"/>
      <c r="GV491" s="1260"/>
      <c r="GW491" s="1260"/>
      <c r="GX491" s="1260"/>
      <c r="GY491" s="1260"/>
      <c r="GZ491" s="1260"/>
      <c r="HA491" s="1260"/>
      <c r="HB491" s="1260"/>
      <c r="HC491" s="1260"/>
      <c r="HD491" s="1260"/>
      <c r="HE491" s="1260"/>
      <c r="HF491" s="1260"/>
      <c r="HG491" s="1260"/>
      <c r="HH491" s="1260"/>
      <c r="HI491" s="1260"/>
      <c r="HJ491" s="1260"/>
      <c r="HK491" s="1260"/>
      <c r="HL491" s="1260"/>
      <c r="HM491" s="1260"/>
      <c r="HN491" s="1260"/>
      <c r="HO491" s="1260"/>
      <c r="HP491" s="1260"/>
      <c r="HQ491" s="1260"/>
      <c r="HR491" s="1260"/>
      <c r="HS491" s="1260"/>
      <c r="HT491" s="1260"/>
      <c r="HU491" s="1260"/>
      <c r="HV491" s="1260"/>
      <c r="HW491" s="1260"/>
      <c r="HX491" s="1260"/>
      <c r="HY491" s="1260"/>
      <c r="HZ491" s="1260"/>
      <c r="IA491" s="1260"/>
      <c r="IB491" s="1260"/>
      <c r="IC491" s="1260"/>
      <c r="ID491" s="1260"/>
      <c r="IE491" s="1260"/>
      <c r="IF491" s="1260"/>
      <c r="IG491" s="1260"/>
      <c r="IH491" s="1260"/>
      <c r="II491" s="1260"/>
      <c r="IJ491" s="1260"/>
      <c r="IK491" s="1260"/>
      <c r="IL491" s="1260"/>
      <c r="IM491" s="1260"/>
      <c r="IN491" s="1260"/>
      <c r="IO491" s="1260"/>
      <c r="IP491" s="1260"/>
      <c r="IQ491" s="1260"/>
      <c r="IR491" s="1260"/>
      <c r="IS491" s="1260"/>
      <c r="IT491" s="1260"/>
      <c r="IU491" s="1260"/>
      <c r="IV491" s="1260"/>
      <c r="IW491" s="1260"/>
      <c r="IX491" s="1260"/>
      <c r="IY491" s="1260"/>
      <c r="IZ491" s="1260"/>
      <c r="JA491" s="1260"/>
      <c r="JB491" s="1260"/>
      <c r="JC491" s="1260"/>
      <c r="JD491" s="1260"/>
      <c r="JE491" s="1260"/>
      <c r="JF491" s="1260"/>
      <c r="JG491" s="1260"/>
      <c r="JH491" s="1260"/>
      <c r="JI491" s="1260"/>
      <c r="JJ491" s="1260"/>
      <c r="JK491" s="1260"/>
      <c r="JL491" s="1260"/>
      <c r="JM491" s="1260"/>
      <c r="JN491" s="1260"/>
      <c r="JO491" s="1260"/>
      <c r="JP491" s="1260"/>
      <c r="JQ491" s="1260"/>
      <c r="JR491" s="1260"/>
      <c r="JS491" s="1260"/>
      <c r="JT491" s="1260"/>
      <c r="JU491" s="1260"/>
      <c r="JV491" s="1260"/>
      <c r="JW491" s="1260"/>
      <c r="JX491" s="1260"/>
      <c r="JY491" s="1260"/>
      <c r="JZ491" s="1260"/>
      <c r="KA491" s="1260"/>
      <c r="KB491" s="1260"/>
      <c r="KC491" s="1260"/>
      <c r="KD491" s="1260"/>
      <c r="KE491" s="1260"/>
      <c r="KF491" s="1260"/>
      <c r="KG491" s="1260"/>
      <c r="KH491" s="1260"/>
      <c r="KI491" s="1260"/>
      <c r="KJ491" s="1260"/>
      <c r="KK491" s="1260"/>
      <c r="KL491" s="1260"/>
      <c r="KM491" s="1260"/>
      <c r="KN491" s="1260"/>
      <c r="KO491" s="1260"/>
      <c r="KP491" s="1260"/>
      <c r="KQ491" s="1260"/>
      <c r="KR491" s="1260"/>
      <c r="KS491" s="1260"/>
      <c r="KT491" s="1260"/>
      <c r="KU491" s="1260"/>
      <c r="KV491" s="1260"/>
      <c r="KW491" s="1260"/>
      <c r="KX491" s="1260"/>
      <c r="KY491" s="1260"/>
      <c r="KZ491" s="1260"/>
      <c r="LA491" s="1260"/>
      <c r="LB491" s="1260"/>
      <c r="LC491" s="1260"/>
      <c r="LD491" s="1260"/>
      <c r="LE491" s="1260"/>
      <c r="LF491" s="1260"/>
      <c r="LG491" s="1260"/>
      <c r="LH491" s="1260"/>
      <c r="LI491" s="1260"/>
      <c r="LJ491" s="1260"/>
      <c r="LK491" s="1260"/>
      <c r="LL491" s="1260"/>
      <c r="LM491" s="1260"/>
      <c r="LN491" s="1260"/>
      <c r="LO491" s="1260"/>
      <c r="LP491" s="1260"/>
      <c r="LQ491" s="1260"/>
      <c r="LR491" s="1260"/>
      <c r="LS491" s="1260"/>
      <c r="LT491" s="1260"/>
      <c r="LU491" s="1260"/>
      <c r="LV491" s="1260"/>
      <c r="LW491" s="1260"/>
      <c r="LX491" s="1260"/>
      <c r="LY491" s="1260"/>
      <c r="LZ491" s="1260"/>
      <c r="MA491" s="1260"/>
      <c r="MB491" s="1260"/>
      <c r="MC491" s="1260"/>
      <c r="MD491" s="1260"/>
      <c r="ME491" s="1260"/>
      <c r="MF491" s="1260"/>
      <c r="MG491" s="1260"/>
      <c r="MH491" s="1260"/>
      <c r="MI491" s="1260"/>
      <c r="MJ491" s="1260"/>
      <c r="MK491" s="1260"/>
      <c r="ML491" s="1260"/>
      <c r="MM491" s="1260"/>
      <c r="MN491" s="1260"/>
      <c r="MO491" s="1260"/>
      <c r="MP491" s="1260"/>
      <c r="MQ491" s="1260"/>
      <c r="MR491" s="1260"/>
      <c r="MS491" s="1260"/>
      <c r="MT491" s="1260"/>
      <c r="MU491" s="1260"/>
      <c r="MV491" s="1260"/>
      <c r="MW491" s="1260"/>
      <c r="MX491" s="1260"/>
      <c r="MY491" s="1260"/>
      <c r="MZ491" s="1260"/>
      <c r="NA491" s="1260"/>
      <c r="NB491" s="1260"/>
      <c r="NC491" s="1260"/>
      <c r="ND491" s="1260"/>
      <c r="NE491" s="1260"/>
      <c r="NF491" s="1260"/>
      <c r="NG491" s="1260"/>
      <c r="NH491" s="1260"/>
      <c r="NI491" s="1260"/>
      <c r="NJ491" s="1260"/>
      <c r="NK491" s="1260"/>
      <c r="NL491" s="1260"/>
      <c r="NM491" s="1260"/>
      <c r="NN491" s="1260"/>
      <c r="NO491" s="1260"/>
      <c r="NP491" s="1260"/>
      <c r="NQ491" s="1260"/>
      <c r="NR491" s="1260"/>
      <c r="NS491" s="1260"/>
      <c r="NT491" s="1260"/>
      <c r="NU491" s="1260"/>
      <c r="NV491" s="1260"/>
      <c r="NW491" s="1260"/>
      <c r="NX491" s="1260"/>
      <c r="NY491" s="1260"/>
      <c r="NZ491" s="1260"/>
      <c r="OA491" s="1260"/>
      <c r="OB491" s="1260"/>
      <c r="OC491" s="1260"/>
      <c r="OD491" s="1260"/>
      <c r="OE491" s="1260"/>
      <c r="OF491" s="1260"/>
      <c r="OG491" s="1260"/>
      <c r="OH491" s="1260"/>
      <c r="OI491" s="1260"/>
      <c r="OJ491" s="1260"/>
      <c r="OK491" s="1260"/>
      <c r="OL491" s="1260"/>
      <c r="OM491" s="1260"/>
      <c r="ON491" s="1260"/>
      <c r="OO491" s="1260"/>
      <c r="OP491" s="1260"/>
      <c r="OQ491" s="1260"/>
      <c r="OR491" s="1260"/>
      <c r="OS491" s="1260"/>
      <c r="OT491" s="1260"/>
      <c r="OU491" s="1260"/>
      <c r="OV491" s="1260"/>
      <c r="OW491" s="1260"/>
      <c r="OX491" s="1260"/>
      <c r="OY491" s="1260"/>
      <c r="OZ491" s="1260"/>
      <c r="PA491" s="1260"/>
      <c r="PB491" s="1260"/>
      <c r="PC491" s="1260"/>
      <c r="PD491" s="1260"/>
      <c r="PE491" s="1260"/>
      <c r="PF491" s="1260"/>
      <c r="PG491" s="1260"/>
      <c r="PH491" s="1260"/>
      <c r="PI491" s="1260"/>
      <c r="PJ491" s="1260"/>
      <c r="PK491" s="1260"/>
      <c r="PL491" s="1260"/>
      <c r="PM491" s="1260"/>
      <c r="PN491" s="1260"/>
      <c r="PO491" s="1260"/>
      <c r="PP491" s="1260"/>
      <c r="PQ491" s="1260"/>
      <c r="PR491" s="1260"/>
      <c r="PS491" s="1260"/>
      <c r="PT491" s="1260"/>
      <c r="PU491" s="1260"/>
      <c r="PV491" s="1260"/>
      <c r="PW491" s="1260"/>
      <c r="PX491" s="1260"/>
      <c r="PY491" s="1260"/>
      <c r="PZ491" s="1260"/>
      <c r="QA491" s="1260"/>
      <c r="QB491" s="1260"/>
      <c r="QC491" s="1260"/>
      <c r="QD491" s="1260"/>
      <c r="QE491" s="1260"/>
      <c r="QF491" s="1260"/>
      <c r="QG491" s="1260"/>
      <c r="QH491" s="1260"/>
      <c r="QI491" s="1260"/>
      <c r="QJ491" s="1260"/>
      <c r="QK491" s="1260"/>
      <c r="QL491" s="1260"/>
      <c r="QM491" s="1260"/>
      <c r="QN491" s="1260"/>
      <c r="QO491" s="1260"/>
      <c r="QP491" s="1260"/>
      <c r="QQ491" s="1260"/>
      <c r="QR491" s="1260"/>
      <c r="QS491" s="1260"/>
      <c r="QT491" s="1260"/>
      <c r="QU491" s="1260"/>
      <c r="QV491" s="1260"/>
      <c r="QW491" s="1260"/>
      <c r="QX491" s="1260"/>
      <c r="QY491" s="1260"/>
      <c r="QZ491" s="1260"/>
      <c r="RA491" s="1260"/>
      <c r="RB491" s="1260"/>
      <c r="RC491" s="1260"/>
      <c r="RD491" s="1260"/>
      <c r="RE491" s="1260"/>
      <c r="RF491" s="1260"/>
      <c r="RG491" s="1260"/>
      <c r="RH491" s="1260"/>
      <c r="RI491" s="1260"/>
      <c r="RJ491" s="1260"/>
      <c r="RK491" s="1260"/>
      <c r="RL491" s="1260"/>
      <c r="RM491" s="1260"/>
      <c r="RN491" s="1260"/>
      <c r="RO491" s="1260"/>
      <c r="RP491" s="1260"/>
      <c r="RQ491" s="1260"/>
      <c r="RR491" s="1260"/>
      <c r="RS491" s="1260"/>
      <c r="RT491" s="1260"/>
      <c r="RU491" s="1260"/>
      <c r="RV491" s="1260"/>
      <c r="RW491" s="1260"/>
      <c r="RX491" s="1260"/>
      <c r="RY491" s="1260"/>
      <c r="RZ491" s="1260"/>
      <c r="SA491" s="1260"/>
      <c r="SB491" s="1260"/>
      <c r="SC491" s="1260"/>
      <c r="SD491" s="1260"/>
      <c r="SE491" s="1260"/>
      <c r="SF491" s="1260"/>
      <c r="SG491" s="1260"/>
      <c r="SH491" s="1260"/>
      <c r="SI491" s="1260"/>
      <c r="SJ491" s="1260"/>
      <c r="SK491" s="1260"/>
      <c r="SL491" s="1260"/>
      <c r="SM491" s="1260"/>
      <c r="SN491" s="1260"/>
      <c r="SO491" s="1260"/>
      <c r="SP491" s="1260"/>
      <c r="SQ491" s="1260"/>
      <c r="SR491" s="1260"/>
      <c r="SS491" s="1260"/>
      <c r="ST491" s="1260"/>
      <c r="SU491" s="1260"/>
      <c r="SV491" s="1260"/>
      <c r="SW491" s="1260"/>
      <c r="SX491" s="1260"/>
      <c r="SY491" s="1260"/>
      <c r="SZ491" s="1260"/>
      <c r="TA491" s="1260"/>
      <c r="TB491" s="1260"/>
      <c r="TC491" s="1260"/>
      <c r="TD491" s="1260"/>
      <c r="TE491" s="1260"/>
      <c r="TF491" s="1260"/>
      <c r="TG491" s="1260"/>
      <c r="TH491" s="1260"/>
      <c r="TI491" s="1260"/>
      <c r="TJ491" s="1260"/>
      <c r="TK491" s="1260"/>
      <c r="TL491" s="1260"/>
      <c r="TM491" s="1260"/>
      <c r="TN491" s="1260"/>
      <c r="TO491" s="1260"/>
      <c r="TP491" s="1260"/>
      <c r="TQ491" s="1260"/>
      <c r="TR491" s="1260"/>
      <c r="TS491" s="1260"/>
      <c r="TT491" s="1260"/>
      <c r="TU491" s="1260"/>
      <c r="TV491" s="1260"/>
      <c r="TW491" s="1260"/>
      <c r="TX491" s="1260"/>
      <c r="TY491" s="1260"/>
      <c r="TZ491" s="1260"/>
      <c r="UA491" s="1260"/>
      <c r="UB491" s="1260"/>
      <c r="UC491" s="1260"/>
      <c r="UD491" s="1260"/>
      <c r="UE491" s="1260"/>
      <c r="UF491" s="1260"/>
      <c r="UG491" s="1261"/>
    </row>
    <row r="492" spans="1:553" s="1262" customFormat="1" ht="30.75" customHeight="1">
      <c r="A492" s="366" t="s">
        <v>15</v>
      </c>
      <c r="B492" s="366"/>
      <c r="C492" s="1451" t="s">
        <v>372</v>
      </c>
      <c r="D492" s="1389"/>
      <c r="E492" s="1389"/>
      <c r="F492" s="1390"/>
      <c r="G492" s="386" t="s">
        <v>193</v>
      </c>
      <c r="H492" s="370"/>
      <c r="I492" s="443">
        <v>16</v>
      </c>
      <c r="J492" s="797">
        <v>160000</v>
      </c>
      <c r="K492" s="388"/>
      <c r="L492" s="480">
        <f t="shared" si="91"/>
        <v>2560000</v>
      </c>
      <c r="M492" s="366"/>
      <c r="N492" s="366"/>
      <c r="O492" s="366"/>
      <c r="P492" s="366"/>
      <c r="Q492" s="1144"/>
      <c r="R492" s="1452"/>
      <c r="S492" s="308"/>
      <c r="T492" s="303"/>
      <c r="U492" s="306"/>
      <c r="V492" s="307"/>
      <c r="W492" s="306"/>
      <c r="X492" s="306"/>
      <c r="Y492" s="306"/>
      <c r="Z492" s="306"/>
      <c r="AA492" s="306"/>
      <c r="AB492" s="306"/>
      <c r="AC492" s="449"/>
      <c r="AD492" s="452"/>
      <c r="AE492" s="452"/>
      <c r="AF492" s="452"/>
      <c r="AG492" s="452"/>
      <c r="AH492" s="452"/>
      <c r="AI492" s="452"/>
      <c r="AJ492" s="452"/>
      <c r="AK492" s="452"/>
      <c r="AL492" s="1259"/>
      <c r="AM492" s="1260"/>
      <c r="AN492" s="1260"/>
      <c r="AO492" s="1260"/>
      <c r="AP492" s="1260"/>
      <c r="AQ492" s="1260"/>
      <c r="AR492" s="1260"/>
      <c r="AS492" s="1260"/>
      <c r="AT492" s="1260"/>
      <c r="AU492" s="1260"/>
      <c r="AV492" s="1260"/>
      <c r="AW492" s="1260"/>
      <c r="AX492" s="1260"/>
      <c r="AY492" s="1260"/>
      <c r="AZ492" s="1260"/>
      <c r="BA492" s="1260"/>
      <c r="BB492" s="1260"/>
      <c r="BC492" s="1260"/>
      <c r="BD492" s="1260"/>
      <c r="BE492" s="1260"/>
      <c r="BF492" s="1260"/>
      <c r="BG492" s="1260"/>
      <c r="BH492" s="1260"/>
      <c r="BI492" s="1260"/>
      <c r="BJ492" s="1260"/>
      <c r="BK492" s="1260"/>
      <c r="BL492" s="1260"/>
      <c r="BM492" s="1260"/>
      <c r="BN492" s="1260"/>
      <c r="BO492" s="1260"/>
      <c r="BP492" s="1260"/>
      <c r="BQ492" s="1260"/>
      <c r="BR492" s="1260"/>
      <c r="BS492" s="1260"/>
      <c r="BT492" s="1260"/>
      <c r="BU492" s="1260"/>
      <c r="BV492" s="1260"/>
      <c r="BW492" s="1260"/>
      <c r="BX492" s="1260"/>
      <c r="BY492" s="1260"/>
      <c r="BZ492" s="1260"/>
      <c r="CA492" s="1260"/>
      <c r="CB492" s="1260"/>
      <c r="CC492" s="1260"/>
      <c r="CD492" s="1260"/>
      <c r="CE492" s="1260"/>
      <c r="CF492" s="1260"/>
      <c r="CG492" s="1260"/>
      <c r="CH492" s="1260"/>
      <c r="CI492" s="1260"/>
      <c r="CJ492" s="1260"/>
      <c r="CK492" s="1260"/>
      <c r="CL492" s="1260"/>
      <c r="CM492" s="1260"/>
      <c r="CN492" s="1260"/>
      <c r="CO492" s="1260"/>
      <c r="CP492" s="1260"/>
      <c r="CQ492" s="1260"/>
      <c r="CR492" s="1260"/>
      <c r="CS492" s="1260"/>
      <c r="CT492" s="1260"/>
      <c r="CU492" s="1260"/>
      <c r="CV492" s="1260"/>
      <c r="CW492" s="1260"/>
      <c r="CX492" s="1260"/>
      <c r="CY492" s="1260"/>
      <c r="CZ492" s="1260"/>
      <c r="DA492" s="1260"/>
      <c r="DB492" s="1260"/>
      <c r="DC492" s="1260"/>
      <c r="DD492" s="1260"/>
      <c r="DE492" s="1260"/>
      <c r="DF492" s="1260"/>
      <c r="DG492" s="1260"/>
      <c r="DH492" s="1260"/>
      <c r="DI492" s="1260"/>
      <c r="DJ492" s="1260"/>
      <c r="DK492" s="1260"/>
      <c r="DL492" s="1260"/>
      <c r="DM492" s="1260"/>
      <c r="DN492" s="1260"/>
      <c r="DO492" s="1260"/>
      <c r="DP492" s="1260"/>
      <c r="DQ492" s="1260"/>
      <c r="DR492" s="1260"/>
      <c r="DS492" s="1260"/>
      <c r="DT492" s="1260"/>
      <c r="DU492" s="1260"/>
      <c r="DV492" s="1260"/>
      <c r="DW492" s="1260"/>
      <c r="DX492" s="1260"/>
      <c r="DY492" s="1260"/>
      <c r="DZ492" s="1260"/>
      <c r="EA492" s="1260"/>
      <c r="EB492" s="1260"/>
      <c r="EC492" s="1260"/>
      <c r="ED492" s="1260"/>
      <c r="EE492" s="1260"/>
      <c r="EF492" s="1260"/>
      <c r="EG492" s="1260"/>
      <c r="EH492" s="1260"/>
      <c r="EI492" s="1260"/>
      <c r="EJ492" s="1260"/>
      <c r="EK492" s="1260"/>
      <c r="EL492" s="1260"/>
      <c r="EM492" s="1260"/>
      <c r="EN492" s="1260"/>
      <c r="EO492" s="1260"/>
      <c r="EP492" s="1260"/>
      <c r="EQ492" s="1260"/>
      <c r="ER492" s="1260"/>
      <c r="ES492" s="1260"/>
      <c r="ET492" s="1260"/>
      <c r="EU492" s="1260"/>
      <c r="EV492" s="1260"/>
      <c r="EW492" s="1260"/>
      <c r="EX492" s="1260"/>
      <c r="EY492" s="1260"/>
      <c r="EZ492" s="1260"/>
      <c r="FA492" s="1260"/>
      <c r="FB492" s="1260"/>
      <c r="FC492" s="1260"/>
      <c r="FD492" s="1260"/>
      <c r="FE492" s="1260"/>
      <c r="FF492" s="1260"/>
      <c r="FG492" s="1260"/>
      <c r="FH492" s="1260"/>
      <c r="FI492" s="1260"/>
      <c r="FJ492" s="1260"/>
      <c r="FK492" s="1260"/>
      <c r="FL492" s="1260"/>
      <c r="FM492" s="1260"/>
      <c r="FN492" s="1260"/>
      <c r="FO492" s="1260"/>
      <c r="FP492" s="1260"/>
      <c r="FQ492" s="1260"/>
      <c r="FR492" s="1260"/>
      <c r="FS492" s="1260"/>
      <c r="FT492" s="1260"/>
      <c r="FU492" s="1260"/>
      <c r="FV492" s="1260"/>
      <c r="FW492" s="1260"/>
      <c r="FX492" s="1260"/>
      <c r="FY492" s="1260"/>
      <c r="FZ492" s="1260"/>
      <c r="GA492" s="1260"/>
      <c r="GB492" s="1260"/>
      <c r="GC492" s="1260"/>
      <c r="GD492" s="1260"/>
      <c r="GE492" s="1260"/>
      <c r="GF492" s="1260"/>
      <c r="GG492" s="1260"/>
      <c r="GH492" s="1260"/>
      <c r="GI492" s="1260"/>
      <c r="GJ492" s="1260"/>
      <c r="GK492" s="1260"/>
      <c r="GL492" s="1260"/>
      <c r="GM492" s="1260"/>
      <c r="GN492" s="1260"/>
      <c r="GO492" s="1260"/>
      <c r="GP492" s="1260"/>
      <c r="GQ492" s="1260"/>
      <c r="GR492" s="1260"/>
      <c r="GS492" s="1260"/>
      <c r="GT492" s="1260"/>
      <c r="GU492" s="1260"/>
      <c r="GV492" s="1260"/>
      <c r="GW492" s="1260"/>
      <c r="GX492" s="1260"/>
      <c r="GY492" s="1260"/>
      <c r="GZ492" s="1260"/>
      <c r="HA492" s="1260"/>
      <c r="HB492" s="1260"/>
      <c r="HC492" s="1260"/>
      <c r="HD492" s="1260"/>
      <c r="HE492" s="1260"/>
      <c r="HF492" s="1260"/>
      <c r="HG492" s="1260"/>
      <c r="HH492" s="1260"/>
      <c r="HI492" s="1260"/>
      <c r="HJ492" s="1260"/>
      <c r="HK492" s="1260"/>
      <c r="HL492" s="1260"/>
      <c r="HM492" s="1260"/>
      <c r="HN492" s="1260"/>
      <c r="HO492" s="1260"/>
      <c r="HP492" s="1260"/>
      <c r="HQ492" s="1260"/>
      <c r="HR492" s="1260"/>
      <c r="HS492" s="1260"/>
      <c r="HT492" s="1260"/>
      <c r="HU492" s="1260"/>
      <c r="HV492" s="1260"/>
      <c r="HW492" s="1260"/>
      <c r="HX492" s="1260"/>
      <c r="HY492" s="1260"/>
      <c r="HZ492" s="1260"/>
      <c r="IA492" s="1260"/>
      <c r="IB492" s="1260"/>
      <c r="IC492" s="1260"/>
      <c r="ID492" s="1260"/>
      <c r="IE492" s="1260"/>
      <c r="IF492" s="1260"/>
      <c r="IG492" s="1260"/>
      <c r="IH492" s="1260"/>
      <c r="II492" s="1260"/>
      <c r="IJ492" s="1260"/>
      <c r="IK492" s="1260"/>
      <c r="IL492" s="1260"/>
      <c r="IM492" s="1260"/>
      <c r="IN492" s="1260"/>
      <c r="IO492" s="1260"/>
      <c r="IP492" s="1260"/>
      <c r="IQ492" s="1260"/>
      <c r="IR492" s="1260"/>
      <c r="IS492" s="1260"/>
      <c r="IT492" s="1260"/>
      <c r="IU492" s="1260"/>
      <c r="IV492" s="1260"/>
      <c r="IW492" s="1260"/>
      <c r="IX492" s="1260"/>
      <c r="IY492" s="1260"/>
      <c r="IZ492" s="1260"/>
      <c r="JA492" s="1260"/>
      <c r="JB492" s="1260"/>
      <c r="JC492" s="1260"/>
      <c r="JD492" s="1260"/>
      <c r="JE492" s="1260"/>
      <c r="JF492" s="1260"/>
      <c r="JG492" s="1260"/>
      <c r="JH492" s="1260"/>
      <c r="JI492" s="1260"/>
      <c r="JJ492" s="1260"/>
      <c r="JK492" s="1260"/>
      <c r="JL492" s="1260"/>
      <c r="JM492" s="1260"/>
      <c r="JN492" s="1260"/>
      <c r="JO492" s="1260"/>
      <c r="JP492" s="1260"/>
      <c r="JQ492" s="1260"/>
      <c r="JR492" s="1260"/>
      <c r="JS492" s="1260"/>
      <c r="JT492" s="1260"/>
      <c r="JU492" s="1260"/>
      <c r="JV492" s="1260"/>
      <c r="JW492" s="1260"/>
      <c r="JX492" s="1260"/>
      <c r="JY492" s="1260"/>
      <c r="JZ492" s="1260"/>
      <c r="KA492" s="1260"/>
      <c r="KB492" s="1260"/>
      <c r="KC492" s="1260"/>
      <c r="KD492" s="1260"/>
      <c r="KE492" s="1260"/>
      <c r="KF492" s="1260"/>
      <c r="KG492" s="1260"/>
      <c r="KH492" s="1260"/>
      <c r="KI492" s="1260"/>
      <c r="KJ492" s="1260"/>
      <c r="KK492" s="1260"/>
      <c r="KL492" s="1260"/>
      <c r="KM492" s="1260"/>
      <c r="KN492" s="1260"/>
      <c r="KO492" s="1260"/>
      <c r="KP492" s="1260"/>
      <c r="KQ492" s="1260"/>
      <c r="KR492" s="1260"/>
      <c r="KS492" s="1260"/>
      <c r="KT492" s="1260"/>
      <c r="KU492" s="1260"/>
      <c r="KV492" s="1260"/>
      <c r="KW492" s="1260"/>
      <c r="KX492" s="1260"/>
      <c r="KY492" s="1260"/>
      <c r="KZ492" s="1260"/>
      <c r="LA492" s="1260"/>
      <c r="LB492" s="1260"/>
      <c r="LC492" s="1260"/>
      <c r="LD492" s="1260"/>
      <c r="LE492" s="1260"/>
      <c r="LF492" s="1260"/>
      <c r="LG492" s="1260"/>
      <c r="LH492" s="1260"/>
      <c r="LI492" s="1260"/>
      <c r="LJ492" s="1260"/>
      <c r="LK492" s="1260"/>
      <c r="LL492" s="1260"/>
      <c r="LM492" s="1260"/>
      <c r="LN492" s="1260"/>
      <c r="LO492" s="1260"/>
      <c r="LP492" s="1260"/>
      <c r="LQ492" s="1260"/>
      <c r="LR492" s="1260"/>
      <c r="LS492" s="1260"/>
      <c r="LT492" s="1260"/>
      <c r="LU492" s="1260"/>
      <c r="LV492" s="1260"/>
      <c r="LW492" s="1260"/>
      <c r="LX492" s="1260"/>
      <c r="LY492" s="1260"/>
      <c r="LZ492" s="1260"/>
      <c r="MA492" s="1260"/>
      <c r="MB492" s="1260"/>
      <c r="MC492" s="1260"/>
      <c r="MD492" s="1260"/>
      <c r="ME492" s="1260"/>
      <c r="MF492" s="1260"/>
      <c r="MG492" s="1260"/>
      <c r="MH492" s="1260"/>
      <c r="MI492" s="1260"/>
      <c r="MJ492" s="1260"/>
      <c r="MK492" s="1260"/>
      <c r="ML492" s="1260"/>
      <c r="MM492" s="1260"/>
      <c r="MN492" s="1260"/>
      <c r="MO492" s="1260"/>
      <c r="MP492" s="1260"/>
      <c r="MQ492" s="1260"/>
      <c r="MR492" s="1260"/>
      <c r="MS492" s="1260"/>
      <c r="MT492" s="1260"/>
      <c r="MU492" s="1260"/>
      <c r="MV492" s="1260"/>
      <c r="MW492" s="1260"/>
      <c r="MX492" s="1260"/>
      <c r="MY492" s="1260"/>
      <c r="MZ492" s="1260"/>
      <c r="NA492" s="1260"/>
      <c r="NB492" s="1260"/>
      <c r="NC492" s="1260"/>
      <c r="ND492" s="1260"/>
      <c r="NE492" s="1260"/>
      <c r="NF492" s="1260"/>
      <c r="NG492" s="1260"/>
      <c r="NH492" s="1260"/>
      <c r="NI492" s="1260"/>
      <c r="NJ492" s="1260"/>
      <c r="NK492" s="1260"/>
      <c r="NL492" s="1260"/>
      <c r="NM492" s="1260"/>
      <c r="NN492" s="1260"/>
      <c r="NO492" s="1260"/>
      <c r="NP492" s="1260"/>
      <c r="NQ492" s="1260"/>
      <c r="NR492" s="1260"/>
      <c r="NS492" s="1260"/>
      <c r="NT492" s="1260"/>
      <c r="NU492" s="1260"/>
      <c r="NV492" s="1260"/>
      <c r="NW492" s="1260"/>
      <c r="NX492" s="1260"/>
      <c r="NY492" s="1260"/>
      <c r="NZ492" s="1260"/>
      <c r="OA492" s="1260"/>
      <c r="OB492" s="1260"/>
      <c r="OC492" s="1260"/>
      <c r="OD492" s="1260"/>
      <c r="OE492" s="1260"/>
      <c r="OF492" s="1260"/>
      <c r="OG492" s="1260"/>
      <c r="OH492" s="1260"/>
      <c r="OI492" s="1260"/>
      <c r="OJ492" s="1260"/>
      <c r="OK492" s="1260"/>
      <c r="OL492" s="1260"/>
      <c r="OM492" s="1260"/>
      <c r="ON492" s="1260"/>
      <c r="OO492" s="1260"/>
      <c r="OP492" s="1260"/>
      <c r="OQ492" s="1260"/>
      <c r="OR492" s="1260"/>
      <c r="OS492" s="1260"/>
      <c r="OT492" s="1260"/>
      <c r="OU492" s="1260"/>
      <c r="OV492" s="1260"/>
      <c r="OW492" s="1260"/>
      <c r="OX492" s="1260"/>
      <c r="OY492" s="1260"/>
      <c r="OZ492" s="1260"/>
      <c r="PA492" s="1260"/>
      <c r="PB492" s="1260"/>
      <c r="PC492" s="1260"/>
      <c r="PD492" s="1260"/>
      <c r="PE492" s="1260"/>
      <c r="PF492" s="1260"/>
      <c r="PG492" s="1260"/>
      <c r="PH492" s="1260"/>
      <c r="PI492" s="1260"/>
      <c r="PJ492" s="1260"/>
      <c r="PK492" s="1260"/>
      <c r="PL492" s="1260"/>
      <c r="PM492" s="1260"/>
      <c r="PN492" s="1260"/>
      <c r="PO492" s="1260"/>
      <c r="PP492" s="1260"/>
      <c r="PQ492" s="1260"/>
      <c r="PR492" s="1260"/>
      <c r="PS492" s="1260"/>
      <c r="PT492" s="1260"/>
      <c r="PU492" s="1260"/>
      <c r="PV492" s="1260"/>
      <c r="PW492" s="1260"/>
      <c r="PX492" s="1260"/>
      <c r="PY492" s="1260"/>
      <c r="PZ492" s="1260"/>
      <c r="QA492" s="1260"/>
      <c r="QB492" s="1260"/>
      <c r="QC492" s="1260"/>
      <c r="QD492" s="1260"/>
      <c r="QE492" s="1260"/>
      <c r="QF492" s="1260"/>
      <c r="QG492" s="1260"/>
      <c r="QH492" s="1260"/>
      <c r="QI492" s="1260"/>
      <c r="QJ492" s="1260"/>
      <c r="QK492" s="1260"/>
      <c r="QL492" s="1260"/>
      <c r="QM492" s="1260"/>
      <c r="QN492" s="1260"/>
      <c r="QO492" s="1260"/>
      <c r="QP492" s="1260"/>
      <c r="QQ492" s="1260"/>
      <c r="QR492" s="1260"/>
      <c r="QS492" s="1260"/>
      <c r="QT492" s="1260"/>
      <c r="QU492" s="1260"/>
      <c r="QV492" s="1260"/>
      <c r="QW492" s="1260"/>
      <c r="QX492" s="1260"/>
      <c r="QY492" s="1260"/>
      <c r="QZ492" s="1260"/>
      <c r="RA492" s="1260"/>
      <c r="RB492" s="1260"/>
      <c r="RC492" s="1260"/>
      <c r="RD492" s="1260"/>
      <c r="RE492" s="1260"/>
      <c r="RF492" s="1260"/>
      <c r="RG492" s="1260"/>
      <c r="RH492" s="1260"/>
      <c r="RI492" s="1260"/>
      <c r="RJ492" s="1260"/>
      <c r="RK492" s="1260"/>
      <c r="RL492" s="1260"/>
      <c r="RM492" s="1260"/>
      <c r="RN492" s="1260"/>
      <c r="RO492" s="1260"/>
      <c r="RP492" s="1260"/>
      <c r="RQ492" s="1260"/>
      <c r="RR492" s="1260"/>
      <c r="RS492" s="1260"/>
      <c r="RT492" s="1260"/>
      <c r="RU492" s="1260"/>
      <c r="RV492" s="1260"/>
      <c r="RW492" s="1260"/>
      <c r="RX492" s="1260"/>
      <c r="RY492" s="1260"/>
      <c r="RZ492" s="1260"/>
      <c r="SA492" s="1260"/>
      <c r="SB492" s="1260"/>
      <c r="SC492" s="1260"/>
      <c r="SD492" s="1260"/>
      <c r="SE492" s="1260"/>
      <c r="SF492" s="1260"/>
      <c r="SG492" s="1260"/>
      <c r="SH492" s="1260"/>
      <c r="SI492" s="1260"/>
      <c r="SJ492" s="1260"/>
      <c r="SK492" s="1260"/>
      <c r="SL492" s="1260"/>
      <c r="SM492" s="1260"/>
      <c r="SN492" s="1260"/>
      <c r="SO492" s="1260"/>
      <c r="SP492" s="1260"/>
      <c r="SQ492" s="1260"/>
      <c r="SR492" s="1260"/>
      <c r="SS492" s="1260"/>
      <c r="ST492" s="1260"/>
      <c r="SU492" s="1260"/>
      <c r="SV492" s="1260"/>
      <c r="SW492" s="1260"/>
      <c r="SX492" s="1260"/>
      <c r="SY492" s="1260"/>
      <c r="SZ492" s="1260"/>
      <c r="TA492" s="1260"/>
      <c r="TB492" s="1260"/>
      <c r="TC492" s="1260"/>
      <c r="TD492" s="1260"/>
      <c r="TE492" s="1260"/>
      <c r="TF492" s="1260"/>
      <c r="TG492" s="1260"/>
      <c r="TH492" s="1260"/>
      <c r="TI492" s="1260"/>
      <c r="TJ492" s="1260"/>
      <c r="TK492" s="1260"/>
      <c r="TL492" s="1260"/>
      <c r="TM492" s="1260"/>
      <c r="TN492" s="1260"/>
      <c r="TO492" s="1260"/>
      <c r="TP492" s="1260"/>
      <c r="TQ492" s="1260"/>
      <c r="TR492" s="1260"/>
      <c r="TS492" s="1260"/>
      <c r="TT492" s="1260"/>
      <c r="TU492" s="1260"/>
      <c r="TV492" s="1260"/>
      <c r="TW492" s="1260"/>
      <c r="TX492" s="1260"/>
      <c r="TY492" s="1260"/>
      <c r="TZ492" s="1260"/>
      <c r="UA492" s="1260"/>
      <c r="UB492" s="1260"/>
      <c r="UC492" s="1260"/>
      <c r="UD492" s="1260"/>
      <c r="UE492" s="1260"/>
      <c r="UF492" s="1260"/>
      <c r="UG492" s="1261"/>
    </row>
    <row r="493" spans="1:553" s="109" customFormat="1" ht="30.75" customHeight="1">
      <c r="A493" s="366"/>
      <c r="B493" s="549"/>
      <c r="C493" s="1454" t="s">
        <v>1108</v>
      </c>
      <c r="D493" s="1389"/>
      <c r="E493" s="1389"/>
      <c r="F493" s="1390"/>
      <c r="G493" s="386"/>
      <c r="H493" s="370"/>
      <c r="I493" s="443"/>
      <c r="J493" s="797"/>
      <c r="K493" s="388"/>
      <c r="L493" s="480"/>
      <c r="M493" s="366"/>
      <c r="N493" s="366"/>
      <c r="O493" s="366"/>
      <c r="P493" s="366"/>
      <c r="Q493" s="1144"/>
      <c r="R493" s="1452"/>
      <c r="S493" s="308"/>
      <c r="T493" s="303"/>
      <c r="U493" s="306"/>
      <c r="V493" s="307"/>
      <c r="W493" s="306"/>
      <c r="X493" s="306"/>
      <c r="Y493" s="306"/>
      <c r="Z493" s="306"/>
      <c r="AA493" s="306"/>
      <c r="AB493" s="306"/>
      <c r="AC493" s="449"/>
      <c r="AD493" s="452"/>
      <c r="AE493" s="452"/>
      <c r="AF493" s="452"/>
      <c r="AG493" s="452"/>
      <c r="AH493" s="452"/>
      <c r="AI493" s="452"/>
      <c r="AJ493" s="452"/>
      <c r="AK493" s="452"/>
      <c r="AL493" s="117"/>
      <c r="AM493" s="113"/>
      <c r="AN493" s="113"/>
      <c r="AO493" s="113"/>
      <c r="AP493" s="113"/>
      <c r="AQ493" s="113"/>
      <c r="AR493" s="113"/>
      <c r="AS493" s="113"/>
      <c r="AT493" s="113"/>
      <c r="AU493" s="113"/>
      <c r="AV493" s="113"/>
      <c r="AW493" s="113"/>
      <c r="AX493" s="113"/>
      <c r="AY493" s="113"/>
      <c r="AZ493" s="113"/>
      <c r="BA493" s="113"/>
      <c r="BB493" s="113"/>
      <c r="BC493" s="113"/>
      <c r="BD493" s="113"/>
      <c r="BE493" s="113"/>
      <c r="BF493" s="113"/>
      <c r="BG493" s="113"/>
      <c r="BH493" s="113"/>
      <c r="BI493" s="113"/>
      <c r="BJ493" s="113"/>
      <c r="BK493" s="113"/>
      <c r="BL493" s="113"/>
      <c r="BM493" s="113"/>
      <c r="BN493" s="113"/>
      <c r="BO493" s="113"/>
      <c r="BP493" s="113"/>
      <c r="BQ493" s="113"/>
      <c r="BR493" s="113"/>
      <c r="BS493" s="113"/>
      <c r="BT493" s="113"/>
      <c r="BU493" s="113"/>
      <c r="BV493" s="113"/>
      <c r="BW493" s="113"/>
      <c r="BX493" s="113"/>
      <c r="BY493" s="113"/>
      <c r="BZ493" s="113"/>
      <c r="CA493" s="113"/>
      <c r="CB493" s="113"/>
      <c r="CC493" s="113"/>
      <c r="CD493" s="113"/>
      <c r="CE493" s="113"/>
      <c r="CF493" s="113"/>
      <c r="CG493" s="113"/>
      <c r="CH493" s="113"/>
      <c r="CI493" s="113"/>
      <c r="CJ493" s="113"/>
      <c r="CK493" s="113"/>
      <c r="CL493" s="113"/>
      <c r="CM493" s="113"/>
      <c r="CN493" s="113"/>
      <c r="CO493" s="113"/>
      <c r="CP493" s="113"/>
      <c r="CQ493" s="113"/>
      <c r="CR493" s="113"/>
      <c r="CS493" s="113"/>
      <c r="CT493" s="113"/>
      <c r="CU493" s="113"/>
      <c r="CV493" s="113"/>
      <c r="CW493" s="113"/>
      <c r="CX493" s="113"/>
      <c r="CY493" s="113"/>
      <c r="CZ493" s="113"/>
      <c r="DA493" s="113"/>
      <c r="DB493" s="113"/>
      <c r="DC493" s="113"/>
      <c r="DD493" s="113"/>
      <c r="DE493" s="113"/>
      <c r="DF493" s="113"/>
      <c r="DG493" s="113"/>
      <c r="DH493" s="113"/>
      <c r="DI493" s="113"/>
      <c r="DJ493" s="113"/>
      <c r="DK493" s="113"/>
      <c r="DL493" s="113"/>
      <c r="DM493" s="113"/>
      <c r="DN493" s="113"/>
      <c r="DO493" s="113"/>
      <c r="DP493" s="113"/>
      <c r="DQ493" s="113"/>
      <c r="DR493" s="113"/>
      <c r="DS493" s="113"/>
      <c r="DT493" s="113"/>
      <c r="DU493" s="113"/>
      <c r="DV493" s="113"/>
      <c r="DW493" s="113"/>
      <c r="DX493" s="113"/>
      <c r="DY493" s="113"/>
      <c r="DZ493" s="113"/>
      <c r="EA493" s="113"/>
      <c r="EB493" s="113"/>
      <c r="EC493" s="113"/>
      <c r="ED493" s="113"/>
      <c r="EE493" s="113"/>
      <c r="EF493" s="113"/>
      <c r="EG493" s="113"/>
      <c r="EH493" s="113"/>
      <c r="EI493" s="113"/>
      <c r="EJ493" s="113"/>
      <c r="EK493" s="113"/>
      <c r="EL493" s="113"/>
      <c r="EM493" s="113"/>
      <c r="EN493" s="113"/>
      <c r="EO493" s="113"/>
      <c r="EP493" s="113"/>
      <c r="EQ493" s="113"/>
      <c r="ER493" s="113"/>
      <c r="ES493" s="113"/>
      <c r="ET493" s="113"/>
      <c r="EU493" s="113"/>
      <c r="EV493" s="113"/>
      <c r="EW493" s="113"/>
      <c r="EX493" s="113"/>
      <c r="EY493" s="113"/>
      <c r="EZ493" s="113"/>
      <c r="FA493" s="113"/>
      <c r="FB493" s="113"/>
      <c r="FC493" s="113"/>
      <c r="FD493" s="113"/>
      <c r="FE493" s="113"/>
      <c r="FF493" s="113"/>
      <c r="FG493" s="113"/>
      <c r="FH493" s="113"/>
      <c r="FI493" s="113"/>
      <c r="FJ493" s="113"/>
      <c r="FK493" s="113"/>
      <c r="FL493" s="113"/>
      <c r="FM493" s="113"/>
      <c r="FN493" s="113"/>
      <c r="FO493" s="113"/>
      <c r="FP493" s="113"/>
      <c r="FQ493" s="113"/>
      <c r="FR493" s="113"/>
      <c r="FS493" s="113"/>
      <c r="FT493" s="113"/>
      <c r="FU493" s="113"/>
      <c r="FV493" s="113"/>
      <c r="FW493" s="113"/>
      <c r="FX493" s="113"/>
      <c r="FY493" s="113"/>
      <c r="FZ493" s="113"/>
      <c r="GA493" s="113"/>
      <c r="GB493" s="113"/>
      <c r="GC493" s="113"/>
      <c r="GD493" s="113"/>
      <c r="GE493" s="113"/>
      <c r="GF493" s="113"/>
      <c r="GG493" s="113"/>
      <c r="GH493" s="113"/>
      <c r="GI493" s="113"/>
      <c r="GJ493" s="113"/>
      <c r="GK493" s="113"/>
      <c r="GL493" s="113"/>
      <c r="GM493" s="113"/>
      <c r="GN493" s="113"/>
      <c r="GO493" s="113"/>
      <c r="GP493" s="113"/>
      <c r="GQ493" s="113"/>
      <c r="GR493" s="113"/>
      <c r="GS493" s="113"/>
      <c r="GT493" s="113"/>
      <c r="GU493" s="113"/>
      <c r="GV493" s="113"/>
      <c r="GW493" s="113"/>
      <c r="GX493" s="113"/>
      <c r="GY493" s="113"/>
      <c r="GZ493" s="113"/>
      <c r="HA493" s="113"/>
      <c r="HB493" s="113"/>
      <c r="HC493" s="113"/>
      <c r="HD493" s="113"/>
      <c r="HE493" s="113"/>
      <c r="HF493" s="113"/>
      <c r="HG493" s="113"/>
      <c r="HH493" s="113"/>
      <c r="HI493" s="113"/>
      <c r="HJ493" s="113"/>
      <c r="HK493" s="113"/>
      <c r="HL493" s="113"/>
      <c r="HM493" s="113"/>
      <c r="HN493" s="113"/>
      <c r="HO493" s="113"/>
      <c r="HP493" s="113"/>
      <c r="HQ493" s="113"/>
      <c r="HR493" s="113"/>
      <c r="HS493" s="113"/>
      <c r="HT493" s="113"/>
      <c r="HU493" s="113"/>
      <c r="HV493" s="113"/>
      <c r="HW493" s="113"/>
      <c r="HX493" s="113"/>
      <c r="HY493" s="113"/>
      <c r="HZ493" s="113"/>
      <c r="IA493" s="113"/>
      <c r="IB493" s="113"/>
      <c r="IC493" s="113"/>
      <c r="ID493" s="113"/>
      <c r="IE493" s="113"/>
      <c r="IF493" s="113"/>
      <c r="IG493" s="113"/>
      <c r="IH493" s="113"/>
      <c r="II493" s="113"/>
      <c r="IJ493" s="113"/>
      <c r="IK493" s="113"/>
      <c r="IL493" s="113"/>
      <c r="IM493" s="113"/>
      <c r="IN493" s="113"/>
      <c r="IO493" s="113"/>
      <c r="IP493" s="113"/>
      <c r="IQ493" s="113"/>
      <c r="IR493" s="113"/>
      <c r="IS493" s="113"/>
      <c r="IT493" s="113"/>
      <c r="IU493" s="113"/>
      <c r="IV493" s="113"/>
      <c r="IW493" s="113"/>
      <c r="IX493" s="113"/>
      <c r="IY493" s="113"/>
      <c r="IZ493" s="113"/>
      <c r="JA493" s="113"/>
      <c r="JB493" s="113"/>
      <c r="JC493" s="113"/>
      <c r="JD493" s="113"/>
      <c r="JE493" s="113"/>
      <c r="JF493" s="113"/>
      <c r="JG493" s="113"/>
      <c r="JH493" s="113"/>
      <c r="JI493" s="113"/>
      <c r="JJ493" s="113"/>
      <c r="JK493" s="113"/>
      <c r="JL493" s="113"/>
      <c r="JM493" s="113"/>
      <c r="JN493" s="113"/>
      <c r="JO493" s="113"/>
      <c r="JP493" s="113"/>
      <c r="JQ493" s="113"/>
      <c r="JR493" s="113"/>
      <c r="JS493" s="113"/>
      <c r="JT493" s="113"/>
      <c r="JU493" s="113"/>
      <c r="JV493" s="113"/>
      <c r="JW493" s="113"/>
      <c r="JX493" s="113"/>
      <c r="JY493" s="113"/>
      <c r="JZ493" s="113"/>
      <c r="KA493" s="113"/>
      <c r="KB493" s="113"/>
      <c r="KC493" s="113"/>
      <c r="KD493" s="113"/>
      <c r="KE493" s="113"/>
      <c r="KF493" s="113"/>
      <c r="KG493" s="113"/>
      <c r="KH493" s="113"/>
      <c r="KI493" s="113"/>
      <c r="KJ493" s="113"/>
      <c r="KK493" s="113"/>
      <c r="KL493" s="113"/>
      <c r="KM493" s="113"/>
      <c r="KN493" s="113"/>
      <c r="KO493" s="113"/>
      <c r="KP493" s="113"/>
      <c r="KQ493" s="113"/>
      <c r="KR493" s="113"/>
      <c r="KS493" s="113"/>
      <c r="KT493" s="113"/>
      <c r="KU493" s="113"/>
      <c r="KV493" s="113"/>
      <c r="KW493" s="113"/>
      <c r="KX493" s="113"/>
      <c r="KY493" s="113"/>
      <c r="KZ493" s="113"/>
      <c r="LA493" s="113"/>
      <c r="LB493" s="113"/>
      <c r="LC493" s="113"/>
      <c r="LD493" s="113"/>
      <c r="LE493" s="113"/>
      <c r="LF493" s="113"/>
      <c r="LG493" s="113"/>
      <c r="LH493" s="113"/>
      <c r="LI493" s="113"/>
      <c r="LJ493" s="113"/>
      <c r="LK493" s="113"/>
      <c r="LL493" s="113"/>
      <c r="LM493" s="113"/>
      <c r="LN493" s="113"/>
      <c r="LO493" s="113"/>
      <c r="LP493" s="113"/>
      <c r="LQ493" s="113"/>
      <c r="LR493" s="113"/>
      <c r="LS493" s="113"/>
      <c r="LT493" s="113"/>
      <c r="LU493" s="113"/>
      <c r="LV493" s="113"/>
      <c r="LW493" s="113"/>
      <c r="LX493" s="113"/>
      <c r="LY493" s="113"/>
      <c r="LZ493" s="113"/>
      <c r="MA493" s="113"/>
      <c r="MB493" s="113"/>
      <c r="MC493" s="113"/>
      <c r="MD493" s="113"/>
      <c r="ME493" s="113"/>
      <c r="MF493" s="113"/>
      <c r="MG493" s="113"/>
      <c r="MH493" s="113"/>
      <c r="MI493" s="113"/>
      <c r="MJ493" s="113"/>
      <c r="MK493" s="113"/>
      <c r="ML493" s="113"/>
      <c r="MM493" s="113"/>
      <c r="MN493" s="113"/>
      <c r="MO493" s="113"/>
      <c r="MP493" s="113"/>
      <c r="MQ493" s="113"/>
      <c r="MR493" s="113"/>
      <c r="MS493" s="113"/>
      <c r="MT493" s="113"/>
      <c r="MU493" s="113"/>
      <c r="MV493" s="113"/>
      <c r="MW493" s="113"/>
      <c r="MX493" s="113"/>
      <c r="MY493" s="113"/>
      <c r="MZ493" s="113"/>
      <c r="NA493" s="113"/>
      <c r="NB493" s="113"/>
      <c r="NC493" s="113"/>
      <c r="ND493" s="113"/>
      <c r="NE493" s="113"/>
      <c r="NF493" s="113"/>
      <c r="NG493" s="113"/>
      <c r="NH493" s="113"/>
      <c r="NI493" s="113"/>
      <c r="NJ493" s="113"/>
      <c r="NK493" s="113"/>
      <c r="NL493" s="113"/>
      <c r="NM493" s="113"/>
      <c r="NN493" s="113"/>
      <c r="NO493" s="113"/>
      <c r="NP493" s="113"/>
      <c r="NQ493" s="113"/>
      <c r="NR493" s="113"/>
      <c r="NS493" s="113"/>
      <c r="NT493" s="113"/>
      <c r="NU493" s="113"/>
      <c r="NV493" s="113"/>
      <c r="NW493" s="113"/>
      <c r="NX493" s="113"/>
      <c r="NY493" s="113"/>
      <c r="NZ493" s="113"/>
      <c r="OA493" s="113"/>
      <c r="OB493" s="113"/>
      <c r="OC493" s="113"/>
      <c r="OD493" s="113"/>
      <c r="OE493" s="113"/>
      <c r="OF493" s="113"/>
      <c r="OG493" s="113"/>
      <c r="OH493" s="113"/>
      <c r="OI493" s="113"/>
      <c r="OJ493" s="113"/>
      <c r="OK493" s="113"/>
      <c r="OL493" s="113"/>
      <c r="OM493" s="113"/>
      <c r="ON493" s="113"/>
      <c r="OO493" s="113"/>
      <c r="OP493" s="113"/>
      <c r="OQ493" s="113"/>
      <c r="OR493" s="113"/>
      <c r="OS493" s="113"/>
      <c r="OT493" s="113"/>
      <c r="OU493" s="113"/>
      <c r="OV493" s="113"/>
      <c r="OW493" s="113"/>
      <c r="OX493" s="113"/>
      <c r="OY493" s="113"/>
      <c r="OZ493" s="113"/>
      <c r="PA493" s="113"/>
      <c r="PB493" s="113"/>
      <c r="PC493" s="113"/>
      <c r="PD493" s="113"/>
      <c r="PE493" s="113"/>
      <c r="PF493" s="113"/>
      <c r="PG493" s="113"/>
      <c r="PH493" s="113"/>
      <c r="PI493" s="113"/>
      <c r="PJ493" s="113"/>
      <c r="PK493" s="113"/>
      <c r="PL493" s="113"/>
      <c r="PM493" s="113"/>
      <c r="PN493" s="113"/>
      <c r="PO493" s="113"/>
      <c r="PP493" s="113"/>
      <c r="PQ493" s="113"/>
      <c r="PR493" s="113"/>
      <c r="PS493" s="113"/>
      <c r="PT493" s="113"/>
      <c r="PU493" s="113"/>
      <c r="PV493" s="113"/>
      <c r="PW493" s="113"/>
      <c r="PX493" s="113"/>
      <c r="PY493" s="113"/>
      <c r="PZ493" s="113"/>
      <c r="QA493" s="113"/>
      <c r="QB493" s="113"/>
      <c r="QC493" s="113"/>
      <c r="QD493" s="113"/>
      <c r="QE493" s="113"/>
      <c r="QF493" s="113"/>
      <c r="QG493" s="113"/>
      <c r="QH493" s="113"/>
      <c r="QI493" s="113"/>
      <c r="QJ493" s="113"/>
      <c r="QK493" s="113"/>
      <c r="QL493" s="113"/>
      <c r="QM493" s="113"/>
      <c r="QN493" s="113"/>
      <c r="QO493" s="113"/>
      <c r="QP493" s="113"/>
      <c r="QQ493" s="113"/>
      <c r="QR493" s="113"/>
      <c r="QS493" s="113"/>
      <c r="QT493" s="113"/>
      <c r="QU493" s="113"/>
      <c r="QV493" s="113"/>
      <c r="QW493" s="113"/>
      <c r="QX493" s="113"/>
      <c r="QY493" s="113"/>
      <c r="QZ493" s="113"/>
      <c r="RA493" s="113"/>
      <c r="RB493" s="113"/>
      <c r="RC493" s="113"/>
      <c r="RD493" s="113"/>
      <c r="RE493" s="113"/>
      <c r="RF493" s="113"/>
      <c r="RG493" s="113"/>
      <c r="RH493" s="113"/>
      <c r="RI493" s="113"/>
      <c r="RJ493" s="113"/>
      <c r="RK493" s="113"/>
      <c r="RL493" s="113"/>
      <c r="RM493" s="113"/>
      <c r="RN493" s="113"/>
      <c r="RO493" s="113"/>
      <c r="RP493" s="113"/>
      <c r="RQ493" s="113"/>
      <c r="RR493" s="113"/>
      <c r="RS493" s="113"/>
      <c r="RT493" s="113"/>
      <c r="RU493" s="113"/>
      <c r="RV493" s="113"/>
      <c r="RW493" s="113"/>
      <c r="RX493" s="113"/>
      <c r="RY493" s="113"/>
      <c r="RZ493" s="113"/>
      <c r="SA493" s="113"/>
      <c r="SB493" s="113"/>
      <c r="SC493" s="113"/>
      <c r="SD493" s="113"/>
      <c r="SE493" s="113"/>
      <c r="SF493" s="113"/>
      <c r="SG493" s="113"/>
      <c r="SH493" s="113"/>
      <c r="SI493" s="113"/>
      <c r="SJ493" s="113"/>
      <c r="SK493" s="113"/>
      <c r="SL493" s="113"/>
      <c r="SM493" s="113"/>
      <c r="SN493" s="113"/>
      <c r="SO493" s="113"/>
      <c r="SP493" s="113"/>
      <c r="SQ493" s="113"/>
      <c r="SR493" s="113"/>
      <c r="SS493" s="113"/>
      <c r="ST493" s="113"/>
      <c r="SU493" s="113"/>
      <c r="SV493" s="113"/>
      <c r="SW493" s="113"/>
      <c r="SX493" s="113"/>
      <c r="SY493" s="113"/>
      <c r="SZ493" s="113"/>
      <c r="TA493" s="113"/>
      <c r="TB493" s="113"/>
      <c r="TC493" s="113"/>
      <c r="TD493" s="113"/>
      <c r="TE493" s="113"/>
      <c r="TF493" s="113"/>
      <c r="TG493" s="113"/>
      <c r="TH493" s="113"/>
      <c r="TI493" s="113"/>
      <c r="TJ493" s="113"/>
      <c r="TK493" s="113"/>
      <c r="TL493" s="113"/>
      <c r="TM493" s="113"/>
      <c r="TN493" s="113"/>
      <c r="TO493" s="113"/>
      <c r="TP493" s="113"/>
      <c r="TQ493" s="113"/>
      <c r="TR493" s="113"/>
      <c r="TS493" s="113"/>
      <c r="TT493" s="113"/>
      <c r="TU493" s="113"/>
      <c r="TV493" s="113"/>
      <c r="TW493" s="113"/>
      <c r="TX493" s="113"/>
      <c r="TY493" s="113"/>
      <c r="TZ493" s="113"/>
      <c r="UA493" s="113"/>
      <c r="UB493" s="113"/>
      <c r="UC493" s="113"/>
      <c r="UD493" s="113"/>
      <c r="UE493" s="113"/>
      <c r="UF493" s="113"/>
      <c r="UG493" s="126"/>
    </row>
    <row r="494" spans="1:553" s="1262" customFormat="1" ht="30.75" customHeight="1">
      <c r="A494" s="402"/>
      <c r="B494" s="402"/>
      <c r="C494" s="1465" t="s">
        <v>1109</v>
      </c>
      <c r="D494" s="1492"/>
      <c r="E494" s="1492"/>
      <c r="F494" s="1493"/>
      <c r="G494" s="566" t="s">
        <v>46</v>
      </c>
      <c r="H494" s="499"/>
      <c r="I494" s="1062">
        <f>(58.72*100/625)*(12-(4-3))*3</f>
        <v>310.04160000000002</v>
      </c>
      <c r="J494" s="986">
        <v>10700</v>
      </c>
      <c r="K494" s="660">
        <v>0.7</v>
      </c>
      <c r="L494" s="589">
        <f>I494*J494*K494</f>
        <v>2322211.5839999998</v>
      </c>
      <c r="M494" s="366"/>
      <c r="N494" s="366"/>
      <c r="O494" s="366"/>
      <c r="P494" s="366"/>
      <c r="Q494" s="1144"/>
      <c r="R494" s="1452"/>
      <c r="S494" s="308"/>
      <c r="T494" s="303"/>
      <c r="U494" s="306"/>
      <c r="V494" s="307"/>
      <c r="W494" s="306"/>
      <c r="X494" s="306"/>
      <c r="Y494" s="306"/>
      <c r="Z494" s="306"/>
      <c r="AA494" s="306"/>
      <c r="AB494" s="306"/>
      <c r="AC494" s="449"/>
      <c r="AD494" s="452"/>
      <c r="AE494" s="452"/>
      <c r="AF494" s="452"/>
      <c r="AG494" s="452"/>
      <c r="AH494" s="452"/>
      <c r="AI494" s="452"/>
      <c r="AJ494" s="452"/>
      <c r="AK494" s="452"/>
      <c r="AL494" s="1259"/>
      <c r="AM494" s="1260"/>
      <c r="AN494" s="1260"/>
      <c r="AO494" s="1260"/>
      <c r="AP494" s="1260"/>
      <c r="AQ494" s="1260"/>
      <c r="AR494" s="1260"/>
      <c r="AS494" s="1260"/>
      <c r="AT494" s="1260"/>
      <c r="AU494" s="1260"/>
      <c r="AV494" s="1260"/>
      <c r="AW494" s="1260"/>
      <c r="AX494" s="1260"/>
      <c r="AY494" s="1260"/>
      <c r="AZ494" s="1260"/>
      <c r="BA494" s="1260"/>
      <c r="BB494" s="1260"/>
      <c r="BC494" s="1260"/>
      <c r="BD494" s="1260"/>
      <c r="BE494" s="1260"/>
      <c r="BF494" s="1260"/>
      <c r="BG494" s="1260"/>
      <c r="BH494" s="1260"/>
      <c r="BI494" s="1260"/>
      <c r="BJ494" s="1260"/>
      <c r="BK494" s="1260"/>
      <c r="BL494" s="1260"/>
      <c r="BM494" s="1260"/>
      <c r="BN494" s="1260"/>
      <c r="BO494" s="1260"/>
      <c r="BP494" s="1260"/>
      <c r="BQ494" s="1260"/>
      <c r="BR494" s="1260"/>
      <c r="BS494" s="1260"/>
      <c r="BT494" s="1260"/>
      <c r="BU494" s="1260"/>
      <c r="BV494" s="1260"/>
      <c r="BW494" s="1260"/>
      <c r="BX494" s="1260"/>
      <c r="BY494" s="1260"/>
      <c r="BZ494" s="1260"/>
      <c r="CA494" s="1260"/>
      <c r="CB494" s="1260"/>
      <c r="CC494" s="1260"/>
      <c r="CD494" s="1260"/>
      <c r="CE494" s="1260"/>
      <c r="CF494" s="1260"/>
      <c r="CG494" s="1260"/>
      <c r="CH494" s="1260"/>
      <c r="CI494" s="1260"/>
      <c r="CJ494" s="1260"/>
      <c r="CK494" s="1260"/>
      <c r="CL494" s="1260"/>
      <c r="CM494" s="1260"/>
      <c r="CN494" s="1260"/>
      <c r="CO494" s="1260"/>
      <c r="CP494" s="1260"/>
      <c r="CQ494" s="1260"/>
      <c r="CR494" s="1260"/>
      <c r="CS494" s="1260"/>
      <c r="CT494" s="1260"/>
      <c r="CU494" s="1260"/>
      <c r="CV494" s="1260"/>
      <c r="CW494" s="1260"/>
      <c r="CX494" s="1260"/>
      <c r="CY494" s="1260"/>
      <c r="CZ494" s="1260"/>
      <c r="DA494" s="1260"/>
      <c r="DB494" s="1260"/>
      <c r="DC494" s="1260"/>
      <c r="DD494" s="1260"/>
      <c r="DE494" s="1260"/>
      <c r="DF494" s="1260"/>
      <c r="DG494" s="1260"/>
      <c r="DH494" s="1260"/>
      <c r="DI494" s="1260"/>
      <c r="DJ494" s="1260"/>
      <c r="DK494" s="1260"/>
      <c r="DL494" s="1260"/>
      <c r="DM494" s="1260"/>
      <c r="DN494" s="1260"/>
      <c r="DO494" s="1260"/>
      <c r="DP494" s="1260"/>
      <c r="DQ494" s="1260"/>
      <c r="DR494" s="1260"/>
      <c r="DS494" s="1260"/>
      <c r="DT494" s="1260"/>
      <c r="DU494" s="1260"/>
      <c r="DV494" s="1260"/>
      <c r="DW494" s="1260"/>
      <c r="DX494" s="1260"/>
      <c r="DY494" s="1260"/>
      <c r="DZ494" s="1260"/>
      <c r="EA494" s="1260"/>
      <c r="EB494" s="1260"/>
      <c r="EC494" s="1260"/>
      <c r="ED494" s="1260"/>
      <c r="EE494" s="1260"/>
      <c r="EF494" s="1260"/>
      <c r="EG494" s="1260"/>
      <c r="EH494" s="1260"/>
      <c r="EI494" s="1260"/>
      <c r="EJ494" s="1260"/>
      <c r="EK494" s="1260"/>
      <c r="EL494" s="1260"/>
      <c r="EM494" s="1260"/>
      <c r="EN494" s="1260"/>
      <c r="EO494" s="1260"/>
      <c r="EP494" s="1260"/>
      <c r="EQ494" s="1260"/>
      <c r="ER494" s="1260"/>
      <c r="ES494" s="1260"/>
      <c r="ET494" s="1260"/>
      <c r="EU494" s="1260"/>
      <c r="EV494" s="1260"/>
      <c r="EW494" s="1260"/>
      <c r="EX494" s="1260"/>
      <c r="EY494" s="1260"/>
      <c r="EZ494" s="1260"/>
      <c r="FA494" s="1260"/>
      <c r="FB494" s="1260"/>
      <c r="FC494" s="1260"/>
      <c r="FD494" s="1260"/>
      <c r="FE494" s="1260"/>
      <c r="FF494" s="1260"/>
      <c r="FG494" s="1260"/>
      <c r="FH494" s="1260"/>
      <c r="FI494" s="1260"/>
      <c r="FJ494" s="1260"/>
      <c r="FK494" s="1260"/>
      <c r="FL494" s="1260"/>
      <c r="FM494" s="1260"/>
      <c r="FN494" s="1260"/>
      <c r="FO494" s="1260"/>
      <c r="FP494" s="1260"/>
      <c r="FQ494" s="1260"/>
      <c r="FR494" s="1260"/>
      <c r="FS494" s="1260"/>
      <c r="FT494" s="1260"/>
      <c r="FU494" s="1260"/>
      <c r="FV494" s="1260"/>
      <c r="FW494" s="1260"/>
      <c r="FX494" s="1260"/>
      <c r="FY494" s="1260"/>
      <c r="FZ494" s="1260"/>
      <c r="GA494" s="1260"/>
      <c r="GB494" s="1260"/>
      <c r="GC494" s="1260"/>
      <c r="GD494" s="1260"/>
      <c r="GE494" s="1260"/>
      <c r="GF494" s="1260"/>
      <c r="GG494" s="1260"/>
      <c r="GH494" s="1260"/>
      <c r="GI494" s="1260"/>
      <c r="GJ494" s="1260"/>
      <c r="GK494" s="1260"/>
      <c r="GL494" s="1260"/>
      <c r="GM494" s="1260"/>
      <c r="GN494" s="1260"/>
      <c r="GO494" s="1260"/>
      <c r="GP494" s="1260"/>
      <c r="GQ494" s="1260"/>
      <c r="GR494" s="1260"/>
      <c r="GS494" s="1260"/>
      <c r="GT494" s="1260"/>
      <c r="GU494" s="1260"/>
      <c r="GV494" s="1260"/>
      <c r="GW494" s="1260"/>
      <c r="GX494" s="1260"/>
      <c r="GY494" s="1260"/>
      <c r="GZ494" s="1260"/>
      <c r="HA494" s="1260"/>
      <c r="HB494" s="1260"/>
      <c r="HC494" s="1260"/>
      <c r="HD494" s="1260"/>
      <c r="HE494" s="1260"/>
      <c r="HF494" s="1260"/>
      <c r="HG494" s="1260"/>
      <c r="HH494" s="1260"/>
      <c r="HI494" s="1260"/>
      <c r="HJ494" s="1260"/>
      <c r="HK494" s="1260"/>
      <c r="HL494" s="1260"/>
      <c r="HM494" s="1260"/>
      <c r="HN494" s="1260"/>
      <c r="HO494" s="1260"/>
      <c r="HP494" s="1260"/>
      <c r="HQ494" s="1260"/>
      <c r="HR494" s="1260"/>
      <c r="HS494" s="1260"/>
      <c r="HT494" s="1260"/>
      <c r="HU494" s="1260"/>
      <c r="HV494" s="1260"/>
      <c r="HW494" s="1260"/>
      <c r="HX494" s="1260"/>
      <c r="HY494" s="1260"/>
      <c r="HZ494" s="1260"/>
      <c r="IA494" s="1260"/>
      <c r="IB494" s="1260"/>
      <c r="IC494" s="1260"/>
      <c r="ID494" s="1260"/>
      <c r="IE494" s="1260"/>
      <c r="IF494" s="1260"/>
      <c r="IG494" s="1260"/>
      <c r="IH494" s="1260"/>
      <c r="II494" s="1260"/>
      <c r="IJ494" s="1260"/>
      <c r="IK494" s="1260"/>
      <c r="IL494" s="1260"/>
      <c r="IM494" s="1260"/>
      <c r="IN494" s="1260"/>
      <c r="IO494" s="1260"/>
      <c r="IP494" s="1260"/>
      <c r="IQ494" s="1260"/>
      <c r="IR494" s="1260"/>
      <c r="IS494" s="1260"/>
      <c r="IT494" s="1260"/>
      <c r="IU494" s="1260"/>
      <c r="IV494" s="1260"/>
      <c r="IW494" s="1260"/>
      <c r="IX494" s="1260"/>
      <c r="IY494" s="1260"/>
      <c r="IZ494" s="1260"/>
      <c r="JA494" s="1260"/>
      <c r="JB494" s="1260"/>
      <c r="JC494" s="1260"/>
      <c r="JD494" s="1260"/>
      <c r="JE494" s="1260"/>
      <c r="JF494" s="1260"/>
      <c r="JG494" s="1260"/>
      <c r="JH494" s="1260"/>
      <c r="JI494" s="1260"/>
      <c r="JJ494" s="1260"/>
      <c r="JK494" s="1260"/>
      <c r="JL494" s="1260"/>
      <c r="JM494" s="1260"/>
      <c r="JN494" s="1260"/>
      <c r="JO494" s="1260"/>
      <c r="JP494" s="1260"/>
      <c r="JQ494" s="1260"/>
      <c r="JR494" s="1260"/>
      <c r="JS494" s="1260"/>
      <c r="JT494" s="1260"/>
      <c r="JU494" s="1260"/>
      <c r="JV494" s="1260"/>
      <c r="JW494" s="1260"/>
      <c r="JX494" s="1260"/>
      <c r="JY494" s="1260"/>
      <c r="JZ494" s="1260"/>
      <c r="KA494" s="1260"/>
      <c r="KB494" s="1260"/>
      <c r="KC494" s="1260"/>
      <c r="KD494" s="1260"/>
      <c r="KE494" s="1260"/>
      <c r="KF494" s="1260"/>
      <c r="KG494" s="1260"/>
      <c r="KH494" s="1260"/>
      <c r="KI494" s="1260"/>
      <c r="KJ494" s="1260"/>
      <c r="KK494" s="1260"/>
      <c r="KL494" s="1260"/>
      <c r="KM494" s="1260"/>
      <c r="KN494" s="1260"/>
      <c r="KO494" s="1260"/>
      <c r="KP494" s="1260"/>
      <c r="KQ494" s="1260"/>
      <c r="KR494" s="1260"/>
      <c r="KS494" s="1260"/>
      <c r="KT494" s="1260"/>
      <c r="KU494" s="1260"/>
      <c r="KV494" s="1260"/>
      <c r="KW494" s="1260"/>
      <c r="KX494" s="1260"/>
      <c r="KY494" s="1260"/>
      <c r="KZ494" s="1260"/>
      <c r="LA494" s="1260"/>
      <c r="LB494" s="1260"/>
      <c r="LC494" s="1260"/>
      <c r="LD494" s="1260"/>
      <c r="LE494" s="1260"/>
      <c r="LF494" s="1260"/>
      <c r="LG494" s="1260"/>
      <c r="LH494" s="1260"/>
      <c r="LI494" s="1260"/>
      <c r="LJ494" s="1260"/>
      <c r="LK494" s="1260"/>
      <c r="LL494" s="1260"/>
      <c r="LM494" s="1260"/>
      <c r="LN494" s="1260"/>
      <c r="LO494" s="1260"/>
      <c r="LP494" s="1260"/>
      <c r="LQ494" s="1260"/>
      <c r="LR494" s="1260"/>
      <c r="LS494" s="1260"/>
      <c r="LT494" s="1260"/>
      <c r="LU494" s="1260"/>
      <c r="LV494" s="1260"/>
      <c r="LW494" s="1260"/>
      <c r="LX494" s="1260"/>
      <c r="LY494" s="1260"/>
      <c r="LZ494" s="1260"/>
      <c r="MA494" s="1260"/>
      <c r="MB494" s="1260"/>
      <c r="MC494" s="1260"/>
      <c r="MD494" s="1260"/>
      <c r="ME494" s="1260"/>
      <c r="MF494" s="1260"/>
      <c r="MG494" s="1260"/>
      <c r="MH494" s="1260"/>
      <c r="MI494" s="1260"/>
      <c r="MJ494" s="1260"/>
      <c r="MK494" s="1260"/>
      <c r="ML494" s="1260"/>
      <c r="MM494" s="1260"/>
      <c r="MN494" s="1260"/>
      <c r="MO494" s="1260"/>
      <c r="MP494" s="1260"/>
      <c r="MQ494" s="1260"/>
      <c r="MR494" s="1260"/>
      <c r="MS494" s="1260"/>
      <c r="MT494" s="1260"/>
      <c r="MU494" s="1260"/>
      <c r="MV494" s="1260"/>
      <c r="MW494" s="1260"/>
      <c r="MX494" s="1260"/>
      <c r="MY494" s="1260"/>
      <c r="MZ494" s="1260"/>
      <c r="NA494" s="1260"/>
      <c r="NB494" s="1260"/>
      <c r="NC494" s="1260"/>
      <c r="ND494" s="1260"/>
      <c r="NE494" s="1260"/>
      <c r="NF494" s="1260"/>
      <c r="NG494" s="1260"/>
      <c r="NH494" s="1260"/>
      <c r="NI494" s="1260"/>
      <c r="NJ494" s="1260"/>
      <c r="NK494" s="1260"/>
      <c r="NL494" s="1260"/>
      <c r="NM494" s="1260"/>
      <c r="NN494" s="1260"/>
      <c r="NO494" s="1260"/>
      <c r="NP494" s="1260"/>
      <c r="NQ494" s="1260"/>
      <c r="NR494" s="1260"/>
      <c r="NS494" s="1260"/>
      <c r="NT494" s="1260"/>
      <c r="NU494" s="1260"/>
      <c r="NV494" s="1260"/>
      <c r="NW494" s="1260"/>
      <c r="NX494" s="1260"/>
      <c r="NY494" s="1260"/>
      <c r="NZ494" s="1260"/>
      <c r="OA494" s="1260"/>
      <c r="OB494" s="1260"/>
      <c r="OC494" s="1260"/>
      <c r="OD494" s="1260"/>
      <c r="OE494" s="1260"/>
      <c r="OF494" s="1260"/>
      <c r="OG494" s="1260"/>
      <c r="OH494" s="1260"/>
      <c r="OI494" s="1260"/>
      <c r="OJ494" s="1260"/>
      <c r="OK494" s="1260"/>
      <c r="OL494" s="1260"/>
      <c r="OM494" s="1260"/>
      <c r="ON494" s="1260"/>
      <c r="OO494" s="1260"/>
      <c r="OP494" s="1260"/>
      <c r="OQ494" s="1260"/>
      <c r="OR494" s="1260"/>
      <c r="OS494" s="1260"/>
      <c r="OT494" s="1260"/>
      <c r="OU494" s="1260"/>
      <c r="OV494" s="1260"/>
      <c r="OW494" s="1260"/>
      <c r="OX494" s="1260"/>
      <c r="OY494" s="1260"/>
      <c r="OZ494" s="1260"/>
      <c r="PA494" s="1260"/>
      <c r="PB494" s="1260"/>
      <c r="PC494" s="1260"/>
      <c r="PD494" s="1260"/>
      <c r="PE494" s="1260"/>
      <c r="PF494" s="1260"/>
      <c r="PG494" s="1260"/>
      <c r="PH494" s="1260"/>
      <c r="PI494" s="1260"/>
      <c r="PJ494" s="1260"/>
      <c r="PK494" s="1260"/>
      <c r="PL494" s="1260"/>
      <c r="PM494" s="1260"/>
      <c r="PN494" s="1260"/>
      <c r="PO494" s="1260"/>
      <c r="PP494" s="1260"/>
      <c r="PQ494" s="1260"/>
      <c r="PR494" s="1260"/>
      <c r="PS494" s="1260"/>
      <c r="PT494" s="1260"/>
      <c r="PU494" s="1260"/>
      <c r="PV494" s="1260"/>
      <c r="PW494" s="1260"/>
      <c r="PX494" s="1260"/>
      <c r="PY494" s="1260"/>
      <c r="PZ494" s="1260"/>
      <c r="QA494" s="1260"/>
      <c r="QB494" s="1260"/>
      <c r="QC494" s="1260"/>
      <c r="QD494" s="1260"/>
      <c r="QE494" s="1260"/>
      <c r="QF494" s="1260"/>
      <c r="QG494" s="1260"/>
      <c r="QH494" s="1260"/>
      <c r="QI494" s="1260"/>
      <c r="QJ494" s="1260"/>
      <c r="QK494" s="1260"/>
      <c r="QL494" s="1260"/>
      <c r="QM494" s="1260"/>
      <c r="QN494" s="1260"/>
      <c r="QO494" s="1260"/>
      <c r="QP494" s="1260"/>
      <c r="QQ494" s="1260"/>
      <c r="QR494" s="1260"/>
      <c r="QS494" s="1260"/>
      <c r="QT494" s="1260"/>
      <c r="QU494" s="1260"/>
      <c r="QV494" s="1260"/>
      <c r="QW494" s="1260"/>
      <c r="QX494" s="1260"/>
      <c r="QY494" s="1260"/>
      <c r="QZ494" s="1260"/>
      <c r="RA494" s="1260"/>
      <c r="RB494" s="1260"/>
      <c r="RC494" s="1260"/>
      <c r="RD494" s="1260"/>
      <c r="RE494" s="1260"/>
      <c r="RF494" s="1260"/>
      <c r="RG494" s="1260"/>
      <c r="RH494" s="1260"/>
      <c r="RI494" s="1260"/>
      <c r="RJ494" s="1260"/>
      <c r="RK494" s="1260"/>
      <c r="RL494" s="1260"/>
      <c r="RM494" s="1260"/>
      <c r="RN494" s="1260"/>
      <c r="RO494" s="1260"/>
      <c r="RP494" s="1260"/>
      <c r="RQ494" s="1260"/>
      <c r="RR494" s="1260"/>
      <c r="RS494" s="1260"/>
      <c r="RT494" s="1260"/>
      <c r="RU494" s="1260"/>
      <c r="RV494" s="1260"/>
      <c r="RW494" s="1260"/>
      <c r="RX494" s="1260"/>
      <c r="RY494" s="1260"/>
      <c r="RZ494" s="1260"/>
      <c r="SA494" s="1260"/>
      <c r="SB494" s="1260"/>
      <c r="SC494" s="1260"/>
      <c r="SD494" s="1260"/>
      <c r="SE494" s="1260"/>
      <c r="SF494" s="1260"/>
      <c r="SG494" s="1260"/>
      <c r="SH494" s="1260"/>
      <c r="SI494" s="1260"/>
      <c r="SJ494" s="1260"/>
      <c r="SK494" s="1260"/>
      <c r="SL494" s="1260"/>
      <c r="SM494" s="1260"/>
      <c r="SN494" s="1260"/>
      <c r="SO494" s="1260"/>
      <c r="SP494" s="1260"/>
      <c r="SQ494" s="1260"/>
      <c r="SR494" s="1260"/>
      <c r="SS494" s="1260"/>
      <c r="ST494" s="1260"/>
      <c r="SU494" s="1260"/>
      <c r="SV494" s="1260"/>
      <c r="SW494" s="1260"/>
      <c r="SX494" s="1260"/>
      <c r="SY494" s="1260"/>
      <c r="SZ494" s="1260"/>
      <c r="TA494" s="1260"/>
      <c r="TB494" s="1260"/>
      <c r="TC494" s="1260"/>
      <c r="TD494" s="1260"/>
      <c r="TE494" s="1260"/>
      <c r="TF494" s="1260"/>
      <c r="TG494" s="1260"/>
      <c r="TH494" s="1260"/>
      <c r="TI494" s="1260"/>
      <c r="TJ494" s="1260"/>
      <c r="TK494" s="1260"/>
      <c r="TL494" s="1260"/>
      <c r="TM494" s="1260"/>
      <c r="TN494" s="1260"/>
      <c r="TO494" s="1260"/>
      <c r="TP494" s="1260"/>
      <c r="TQ494" s="1260"/>
      <c r="TR494" s="1260"/>
      <c r="TS494" s="1260"/>
      <c r="TT494" s="1260"/>
      <c r="TU494" s="1260"/>
      <c r="TV494" s="1260"/>
      <c r="TW494" s="1260"/>
      <c r="TX494" s="1260"/>
      <c r="TY494" s="1260"/>
      <c r="TZ494" s="1260"/>
      <c r="UA494" s="1260"/>
      <c r="UB494" s="1260"/>
      <c r="UC494" s="1260"/>
      <c r="UD494" s="1260"/>
      <c r="UE494" s="1260"/>
      <c r="UF494" s="1260"/>
      <c r="UG494" s="1261"/>
    </row>
    <row r="495" spans="1:553" s="1262" customFormat="1" ht="30.75" customHeight="1">
      <c r="A495" s="406"/>
      <c r="B495" s="406"/>
      <c r="C495" s="1494" t="s">
        <v>1404</v>
      </c>
      <c r="D495" s="1494" t="s">
        <v>1110</v>
      </c>
      <c r="E495" s="1494" t="s">
        <v>1110</v>
      </c>
      <c r="F495" s="1494" t="s">
        <v>1110</v>
      </c>
      <c r="G495" s="406" t="s">
        <v>193</v>
      </c>
      <c r="H495" s="519"/>
      <c r="I495" s="590">
        <v>5</v>
      </c>
      <c r="J495" s="521">
        <v>15100</v>
      </c>
      <c r="K495" s="568">
        <v>0.7</v>
      </c>
      <c r="L495" s="523">
        <f>ROUND(PRODUCT(I495:K495),0)</f>
        <v>52850</v>
      </c>
      <c r="M495" s="366"/>
      <c r="N495" s="366"/>
      <c r="O495" s="366"/>
      <c r="P495" s="366"/>
      <c r="Q495" s="1144"/>
      <c r="R495" s="1452"/>
      <c r="S495" s="308"/>
      <c r="T495" s="303"/>
      <c r="U495" s="306"/>
      <c r="V495" s="307"/>
      <c r="W495" s="306"/>
      <c r="X495" s="306"/>
      <c r="Y495" s="306"/>
      <c r="Z495" s="306"/>
      <c r="AA495" s="306"/>
      <c r="AB495" s="306"/>
      <c r="AC495" s="449"/>
      <c r="AD495" s="452"/>
      <c r="AE495" s="452"/>
      <c r="AF495" s="452"/>
      <c r="AG495" s="452"/>
      <c r="AH495" s="452"/>
      <c r="AI495" s="452"/>
      <c r="AJ495" s="452"/>
      <c r="AK495" s="452"/>
      <c r="AL495" s="1259"/>
      <c r="AM495" s="1260"/>
      <c r="AN495" s="1260"/>
      <c r="AO495" s="1260"/>
      <c r="AP495" s="1260"/>
      <c r="AQ495" s="1260"/>
      <c r="AR495" s="1260"/>
      <c r="AS495" s="1260"/>
      <c r="AT495" s="1260"/>
      <c r="AU495" s="1260"/>
      <c r="AV495" s="1260"/>
      <c r="AW495" s="1260"/>
      <c r="AX495" s="1260"/>
      <c r="AY495" s="1260"/>
      <c r="AZ495" s="1260"/>
      <c r="BA495" s="1260"/>
      <c r="BB495" s="1260"/>
      <c r="BC495" s="1260"/>
      <c r="BD495" s="1260"/>
      <c r="BE495" s="1260"/>
      <c r="BF495" s="1260"/>
      <c r="BG495" s="1260"/>
      <c r="BH495" s="1260"/>
      <c r="BI495" s="1260"/>
      <c r="BJ495" s="1260"/>
      <c r="BK495" s="1260"/>
      <c r="BL495" s="1260"/>
      <c r="BM495" s="1260"/>
      <c r="BN495" s="1260"/>
      <c r="BO495" s="1260"/>
      <c r="BP495" s="1260"/>
      <c r="BQ495" s="1260"/>
      <c r="BR495" s="1260"/>
      <c r="BS495" s="1260"/>
      <c r="BT495" s="1260"/>
      <c r="BU495" s="1260"/>
      <c r="BV495" s="1260"/>
      <c r="BW495" s="1260"/>
      <c r="BX495" s="1260"/>
      <c r="BY495" s="1260"/>
      <c r="BZ495" s="1260"/>
      <c r="CA495" s="1260"/>
      <c r="CB495" s="1260"/>
      <c r="CC495" s="1260"/>
      <c r="CD495" s="1260"/>
      <c r="CE495" s="1260"/>
      <c r="CF495" s="1260"/>
      <c r="CG495" s="1260"/>
      <c r="CH495" s="1260"/>
      <c r="CI495" s="1260"/>
      <c r="CJ495" s="1260"/>
      <c r="CK495" s="1260"/>
      <c r="CL495" s="1260"/>
      <c r="CM495" s="1260"/>
      <c r="CN495" s="1260"/>
      <c r="CO495" s="1260"/>
      <c r="CP495" s="1260"/>
      <c r="CQ495" s="1260"/>
      <c r="CR495" s="1260"/>
      <c r="CS495" s="1260"/>
      <c r="CT495" s="1260"/>
      <c r="CU495" s="1260"/>
      <c r="CV495" s="1260"/>
      <c r="CW495" s="1260"/>
      <c r="CX495" s="1260"/>
      <c r="CY495" s="1260"/>
      <c r="CZ495" s="1260"/>
      <c r="DA495" s="1260"/>
      <c r="DB495" s="1260"/>
      <c r="DC495" s="1260"/>
      <c r="DD495" s="1260"/>
      <c r="DE495" s="1260"/>
      <c r="DF495" s="1260"/>
      <c r="DG495" s="1260"/>
      <c r="DH495" s="1260"/>
      <c r="DI495" s="1260"/>
      <c r="DJ495" s="1260"/>
      <c r="DK495" s="1260"/>
      <c r="DL495" s="1260"/>
      <c r="DM495" s="1260"/>
      <c r="DN495" s="1260"/>
      <c r="DO495" s="1260"/>
      <c r="DP495" s="1260"/>
      <c r="DQ495" s="1260"/>
      <c r="DR495" s="1260"/>
      <c r="DS495" s="1260"/>
      <c r="DT495" s="1260"/>
      <c r="DU495" s="1260"/>
      <c r="DV495" s="1260"/>
      <c r="DW495" s="1260"/>
      <c r="DX495" s="1260"/>
      <c r="DY495" s="1260"/>
      <c r="DZ495" s="1260"/>
      <c r="EA495" s="1260"/>
      <c r="EB495" s="1260"/>
      <c r="EC495" s="1260"/>
      <c r="ED495" s="1260"/>
      <c r="EE495" s="1260"/>
      <c r="EF495" s="1260"/>
      <c r="EG495" s="1260"/>
      <c r="EH495" s="1260"/>
      <c r="EI495" s="1260"/>
      <c r="EJ495" s="1260"/>
      <c r="EK495" s="1260"/>
      <c r="EL495" s="1260"/>
      <c r="EM495" s="1260"/>
      <c r="EN495" s="1260"/>
      <c r="EO495" s="1260"/>
      <c r="EP495" s="1260"/>
      <c r="EQ495" s="1260"/>
      <c r="ER495" s="1260"/>
      <c r="ES495" s="1260"/>
      <c r="ET495" s="1260"/>
      <c r="EU495" s="1260"/>
      <c r="EV495" s="1260"/>
      <c r="EW495" s="1260"/>
      <c r="EX495" s="1260"/>
      <c r="EY495" s="1260"/>
      <c r="EZ495" s="1260"/>
      <c r="FA495" s="1260"/>
      <c r="FB495" s="1260"/>
      <c r="FC495" s="1260"/>
      <c r="FD495" s="1260"/>
      <c r="FE495" s="1260"/>
      <c r="FF495" s="1260"/>
      <c r="FG495" s="1260"/>
      <c r="FH495" s="1260"/>
      <c r="FI495" s="1260"/>
      <c r="FJ495" s="1260"/>
      <c r="FK495" s="1260"/>
      <c r="FL495" s="1260"/>
      <c r="FM495" s="1260"/>
      <c r="FN495" s="1260"/>
      <c r="FO495" s="1260"/>
      <c r="FP495" s="1260"/>
      <c r="FQ495" s="1260"/>
      <c r="FR495" s="1260"/>
      <c r="FS495" s="1260"/>
      <c r="FT495" s="1260"/>
      <c r="FU495" s="1260"/>
      <c r="FV495" s="1260"/>
      <c r="FW495" s="1260"/>
      <c r="FX495" s="1260"/>
      <c r="FY495" s="1260"/>
      <c r="FZ495" s="1260"/>
      <c r="GA495" s="1260"/>
      <c r="GB495" s="1260"/>
      <c r="GC495" s="1260"/>
      <c r="GD495" s="1260"/>
      <c r="GE495" s="1260"/>
      <c r="GF495" s="1260"/>
      <c r="GG495" s="1260"/>
      <c r="GH495" s="1260"/>
      <c r="GI495" s="1260"/>
      <c r="GJ495" s="1260"/>
      <c r="GK495" s="1260"/>
      <c r="GL495" s="1260"/>
      <c r="GM495" s="1260"/>
      <c r="GN495" s="1260"/>
      <c r="GO495" s="1260"/>
      <c r="GP495" s="1260"/>
      <c r="GQ495" s="1260"/>
      <c r="GR495" s="1260"/>
      <c r="GS495" s="1260"/>
      <c r="GT495" s="1260"/>
      <c r="GU495" s="1260"/>
      <c r="GV495" s="1260"/>
      <c r="GW495" s="1260"/>
      <c r="GX495" s="1260"/>
      <c r="GY495" s="1260"/>
      <c r="GZ495" s="1260"/>
      <c r="HA495" s="1260"/>
      <c r="HB495" s="1260"/>
      <c r="HC495" s="1260"/>
      <c r="HD495" s="1260"/>
      <c r="HE495" s="1260"/>
      <c r="HF495" s="1260"/>
      <c r="HG495" s="1260"/>
      <c r="HH495" s="1260"/>
      <c r="HI495" s="1260"/>
      <c r="HJ495" s="1260"/>
      <c r="HK495" s="1260"/>
      <c r="HL495" s="1260"/>
      <c r="HM495" s="1260"/>
      <c r="HN495" s="1260"/>
      <c r="HO495" s="1260"/>
      <c r="HP495" s="1260"/>
      <c r="HQ495" s="1260"/>
      <c r="HR495" s="1260"/>
      <c r="HS495" s="1260"/>
      <c r="HT495" s="1260"/>
      <c r="HU495" s="1260"/>
      <c r="HV495" s="1260"/>
      <c r="HW495" s="1260"/>
      <c r="HX495" s="1260"/>
      <c r="HY495" s="1260"/>
      <c r="HZ495" s="1260"/>
      <c r="IA495" s="1260"/>
      <c r="IB495" s="1260"/>
      <c r="IC495" s="1260"/>
      <c r="ID495" s="1260"/>
      <c r="IE495" s="1260"/>
      <c r="IF495" s="1260"/>
      <c r="IG495" s="1260"/>
      <c r="IH495" s="1260"/>
      <c r="II495" s="1260"/>
      <c r="IJ495" s="1260"/>
      <c r="IK495" s="1260"/>
      <c r="IL495" s="1260"/>
      <c r="IM495" s="1260"/>
      <c r="IN495" s="1260"/>
      <c r="IO495" s="1260"/>
      <c r="IP495" s="1260"/>
      <c r="IQ495" s="1260"/>
      <c r="IR495" s="1260"/>
      <c r="IS495" s="1260"/>
      <c r="IT495" s="1260"/>
      <c r="IU495" s="1260"/>
      <c r="IV495" s="1260"/>
      <c r="IW495" s="1260"/>
      <c r="IX495" s="1260"/>
      <c r="IY495" s="1260"/>
      <c r="IZ495" s="1260"/>
      <c r="JA495" s="1260"/>
      <c r="JB495" s="1260"/>
      <c r="JC495" s="1260"/>
      <c r="JD495" s="1260"/>
      <c r="JE495" s="1260"/>
      <c r="JF495" s="1260"/>
      <c r="JG495" s="1260"/>
      <c r="JH495" s="1260"/>
      <c r="JI495" s="1260"/>
      <c r="JJ495" s="1260"/>
      <c r="JK495" s="1260"/>
      <c r="JL495" s="1260"/>
      <c r="JM495" s="1260"/>
      <c r="JN495" s="1260"/>
      <c r="JO495" s="1260"/>
      <c r="JP495" s="1260"/>
      <c r="JQ495" s="1260"/>
      <c r="JR495" s="1260"/>
      <c r="JS495" s="1260"/>
      <c r="JT495" s="1260"/>
      <c r="JU495" s="1260"/>
      <c r="JV495" s="1260"/>
      <c r="JW495" s="1260"/>
      <c r="JX495" s="1260"/>
      <c r="JY495" s="1260"/>
      <c r="JZ495" s="1260"/>
      <c r="KA495" s="1260"/>
      <c r="KB495" s="1260"/>
      <c r="KC495" s="1260"/>
      <c r="KD495" s="1260"/>
      <c r="KE495" s="1260"/>
      <c r="KF495" s="1260"/>
      <c r="KG495" s="1260"/>
      <c r="KH495" s="1260"/>
      <c r="KI495" s="1260"/>
      <c r="KJ495" s="1260"/>
      <c r="KK495" s="1260"/>
      <c r="KL495" s="1260"/>
      <c r="KM495" s="1260"/>
      <c r="KN495" s="1260"/>
      <c r="KO495" s="1260"/>
      <c r="KP495" s="1260"/>
      <c r="KQ495" s="1260"/>
      <c r="KR495" s="1260"/>
      <c r="KS495" s="1260"/>
      <c r="KT495" s="1260"/>
      <c r="KU495" s="1260"/>
      <c r="KV495" s="1260"/>
      <c r="KW495" s="1260"/>
      <c r="KX495" s="1260"/>
      <c r="KY495" s="1260"/>
      <c r="KZ495" s="1260"/>
      <c r="LA495" s="1260"/>
      <c r="LB495" s="1260"/>
      <c r="LC495" s="1260"/>
      <c r="LD495" s="1260"/>
      <c r="LE495" s="1260"/>
      <c r="LF495" s="1260"/>
      <c r="LG495" s="1260"/>
      <c r="LH495" s="1260"/>
      <c r="LI495" s="1260"/>
      <c r="LJ495" s="1260"/>
      <c r="LK495" s="1260"/>
      <c r="LL495" s="1260"/>
      <c r="LM495" s="1260"/>
      <c r="LN495" s="1260"/>
      <c r="LO495" s="1260"/>
      <c r="LP495" s="1260"/>
      <c r="LQ495" s="1260"/>
      <c r="LR495" s="1260"/>
      <c r="LS495" s="1260"/>
      <c r="LT495" s="1260"/>
      <c r="LU495" s="1260"/>
      <c r="LV495" s="1260"/>
      <c r="LW495" s="1260"/>
      <c r="LX495" s="1260"/>
      <c r="LY495" s="1260"/>
      <c r="LZ495" s="1260"/>
      <c r="MA495" s="1260"/>
      <c r="MB495" s="1260"/>
      <c r="MC495" s="1260"/>
      <c r="MD495" s="1260"/>
      <c r="ME495" s="1260"/>
      <c r="MF495" s="1260"/>
      <c r="MG495" s="1260"/>
      <c r="MH495" s="1260"/>
      <c r="MI495" s="1260"/>
      <c r="MJ495" s="1260"/>
      <c r="MK495" s="1260"/>
      <c r="ML495" s="1260"/>
      <c r="MM495" s="1260"/>
      <c r="MN495" s="1260"/>
      <c r="MO495" s="1260"/>
      <c r="MP495" s="1260"/>
      <c r="MQ495" s="1260"/>
      <c r="MR495" s="1260"/>
      <c r="MS495" s="1260"/>
      <c r="MT495" s="1260"/>
      <c r="MU495" s="1260"/>
      <c r="MV495" s="1260"/>
      <c r="MW495" s="1260"/>
      <c r="MX495" s="1260"/>
      <c r="MY495" s="1260"/>
      <c r="MZ495" s="1260"/>
      <c r="NA495" s="1260"/>
      <c r="NB495" s="1260"/>
      <c r="NC495" s="1260"/>
      <c r="ND495" s="1260"/>
      <c r="NE495" s="1260"/>
      <c r="NF495" s="1260"/>
      <c r="NG495" s="1260"/>
      <c r="NH495" s="1260"/>
      <c r="NI495" s="1260"/>
      <c r="NJ495" s="1260"/>
      <c r="NK495" s="1260"/>
      <c r="NL495" s="1260"/>
      <c r="NM495" s="1260"/>
      <c r="NN495" s="1260"/>
      <c r="NO495" s="1260"/>
      <c r="NP495" s="1260"/>
      <c r="NQ495" s="1260"/>
      <c r="NR495" s="1260"/>
      <c r="NS495" s="1260"/>
      <c r="NT495" s="1260"/>
      <c r="NU495" s="1260"/>
      <c r="NV495" s="1260"/>
      <c r="NW495" s="1260"/>
      <c r="NX495" s="1260"/>
      <c r="NY495" s="1260"/>
      <c r="NZ495" s="1260"/>
      <c r="OA495" s="1260"/>
      <c r="OB495" s="1260"/>
      <c r="OC495" s="1260"/>
      <c r="OD495" s="1260"/>
      <c r="OE495" s="1260"/>
      <c r="OF495" s="1260"/>
      <c r="OG495" s="1260"/>
      <c r="OH495" s="1260"/>
      <c r="OI495" s="1260"/>
      <c r="OJ495" s="1260"/>
      <c r="OK495" s="1260"/>
      <c r="OL495" s="1260"/>
      <c r="OM495" s="1260"/>
      <c r="ON495" s="1260"/>
      <c r="OO495" s="1260"/>
      <c r="OP495" s="1260"/>
      <c r="OQ495" s="1260"/>
      <c r="OR495" s="1260"/>
      <c r="OS495" s="1260"/>
      <c r="OT495" s="1260"/>
      <c r="OU495" s="1260"/>
      <c r="OV495" s="1260"/>
      <c r="OW495" s="1260"/>
      <c r="OX495" s="1260"/>
      <c r="OY495" s="1260"/>
      <c r="OZ495" s="1260"/>
      <c r="PA495" s="1260"/>
      <c r="PB495" s="1260"/>
      <c r="PC495" s="1260"/>
      <c r="PD495" s="1260"/>
      <c r="PE495" s="1260"/>
      <c r="PF495" s="1260"/>
      <c r="PG495" s="1260"/>
      <c r="PH495" s="1260"/>
      <c r="PI495" s="1260"/>
      <c r="PJ495" s="1260"/>
      <c r="PK495" s="1260"/>
      <c r="PL495" s="1260"/>
      <c r="PM495" s="1260"/>
      <c r="PN495" s="1260"/>
      <c r="PO495" s="1260"/>
      <c r="PP495" s="1260"/>
      <c r="PQ495" s="1260"/>
      <c r="PR495" s="1260"/>
      <c r="PS495" s="1260"/>
      <c r="PT495" s="1260"/>
      <c r="PU495" s="1260"/>
      <c r="PV495" s="1260"/>
      <c r="PW495" s="1260"/>
      <c r="PX495" s="1260"/>
      <c r="PY495" s="1260"/>
      <c r="PZ495" s="1260"/>
      <c r="QA495" s="1260"/>
      <c r="QB495" s="1260"/>
      <c r="QC495" s="1260"/>
      <c r="QD495" s="1260"/>
      <c r="QE495" s="1260"/>
      <c r="QF495" s="1260"/>
      <c r="QG495" s="1260"/>
      <c r="QH495" s="1260"/>
      <c r="QI495" s="1260"/>
      <c r="QJ495" s="1260"/>
      <c r="QK495" s="1260"/>
      <c r="QL495" s="1260"/>
      <c r="QM495" s="1260"/>
      <c r="QN495" s="1260"/>
      <c r="QO495" s="1260"/>
      <c r="QP495" s="1260"/>
      <c r="QQ495" s="1260"/>
      <c r="QR495" s="1260"/>
      <c r="QS495" s="1260"/>
      <c r="QT495" s="1260"/>
      <c r="QU495" s="1260"/>
      <c r="QV495" s="1260"/>
      <c r="QW495" s="1260"/>
      <c r="QX495" s="1260"/>
      <c r="QY495" s="1260"/>
      <c r="QZ495" s="1260"/>
      <c r="RA495" s="1260"/>
      <c r="RB495" s="1260"/>
      <c r="RC495" s="1260"/>
      <c r="RD495" s="1260"/>
      <c r="RE495" s="1260"/>
      <c r="RF495" s="1260"/>
      <c r="RG495" s="1260"/>
      <c r="RH495" s="1260"/>
      <c r="RI495" s="1260"/>
      <c r="RJ495" s="1260"/>
      <c r="RK495" s="1260"/>
      <c r="RL495" s="1260"/>
      <c r="RM495" s="1260"/>
      <c r="RN495" s="1260"/>
      <c r="RO495" s="1260"/>
      <c r="RP495" s="1260"/>
      <c r="RQ495" s="1260"/>
      <c r="RR495" s="1260"/>
      <c r="RS495" s="1260"/>
      <c r="RT495" s="1260"/>
      <c r="RU495" s="1260"/>
      <c r="RV495" s="1260"/>
      <c r="RW495" s="1260"/>
      <c r="RX495" s="1260"/>
      <c r="RY495" s="1260"/>
      <c r="RZ495" s="1260"/>
      <c r="SA495" s="1260"/>
      <c r="SB495" s="1260"/>
      <c r="SC495" s="1260"/>
      <c r="SD495" s="1260"/>
      <c r="SE495" s="1260"/>
      <c r="SF495" s="1260"/>
      <c r="SG495" s="1260"/>
      <c r="SH495" s="1260"/>
      <c r="SI495" s="1260"/>
      <c r="SJ495" s="1260"/>
      <c r="SK495" s="1260"/>
      <c r="SL495" s="1260"/>
      <c r="SM495" s="1260"/>
      <c r="SN495" s="1260"/>
      <c r="SO495" s="1260"/>
      <c r="SP495" s="1260"/>
      <c r="SQ495" s="1260"/>
      <c r="SR495" s="1260"/>
      <c r="SS495" s="1260"/>
      <c r="ST495" s="1260"/>
      <c r="SU495" s="1260"/>
      <c r="SV495" s="1260"/>
      <c r="SW495" s="1260"/>
      <c r="SX495" s="1260"/>
      <c r="SY495" s="1260"/>
      <c r="SZ495" s="1260"/>
      <c r="TA495" s="1260"/>
      <c r="TB495" s="1260"/>
      <c r="TC495" s="1260"/>
      <c r="TD495" s="1260"/>
      <c r="TE495" s="1260"/>
      <c r="TF495" s="1260"/>
      <c r="TG495" s="1260"/>
      <c r="TH495" s="1260"/>
      <c r="TI495" s="1260"/>
      <c r="TJ495" s="1260"/>
      <c r="TK495" s="1260"/>
      <c r="TL495" s="1260"/>
      <c r="TM495" s="1260"/>
      <c r="TN495" s="1260"/>
      <c r="TO495" s="1260"/>
      <c r="TP495" s="1260"/>
      <c r="TQ495" s="1260"/>
      <c r="TR495" s="1260"/>
      <c r="TS495" s="1260"/>
      <c r="TT495" s="1260"/>
      <c r="TU495" s="1260"/>
      <c r="TV495" s="1260"/>
      <c r="TW495" s="1260"/>
      <c r="TX495" s="1260"/>
      <c r="TY495" s="1260"/>
      <c r="TZ495" s="1260"/>
      <c r="UA495" s="1260"/>
      <c r="UB495" s="1260"/>
      <c r="UC495" s="1260"/>
      <c r="UD495" s="1260"/>
      <c r="UE495" s="1260"/>
      <c r="UF495" s="1260"/>
      <c r="UG495" s="1261"/>
    </row>
    <row r="496" spans="1:553" s="1262" customFormat="1" ht="30.75" customHeight="1">
      <c r="A496" s="1226"/>
      <c r="B496" s="1226"/>
      <c r="C496" s="1463" t="s">
        <v>269</v>
      </c>
      <c r="D496" s="1463" t="s">
        <v>269</v>
      </c>
      <c r="E496" s="1463" t="s">
        <v>269</v>
      </c>
      <c r="F496" s="1463" t="s">
        <v>269</v>
      </c>
      <c r="G496" s="1226" t="s">
        <v>196</v>
      </c>
      <c r="H496" s="502"/>
      <c r="I496" s="502">
        <f>(132.2*100/1200)*1</f>
        <v>11.016666666666666</v>
      </c>
      <c r="J496" s="1243">
        <v>6600</v>
      </c>
      <c r="K496" s="509"/>
      <c r="L496" s="679">
        <f>J496*I496</f>
        <v>72710</v>
      </c>
      <c r="M496" s="366"/>
      <c r="N496" s="366"/>
      <c r="O496" s="366"/>
      <c r="P496" s="366"/>
      <c r="Q496" s="1144"/>
      <c r="R496" s="1452"/>
      <c r="S496" s="308"/>
      <c r="T496" s="303"/>
      <c r="U496" s="306"/>
      <c r="V496" s="307"/>
      <c r="W496" s="306"/>
      <c r="X496" s="306"/>
      <c r="Y496" s="306"/>
      <c r="Z496" s="306"/>
      <c r="AA496" s="306"/>
      <c r="AB496" s="306"/>
      <c r="AC496" s="449"/>
      <c r="AD496" s="452"/>
      <c r="AE496" s="452"/>
      <c r="AF496" s="452"/>
      <c r="AG496" s="452"/>
      <c r="AH496" s="452"/>
      <c r="AI496" s="452"/>
      <c r="AJ496" s="452"/>
      <c r="AK496" s="452"/>
      <c r="AL496" s="1259"/>
      <c r="AM496" s="1260"/>
      <c r="AN496" s="1260"/>
      <c r="AO496" s="1260"/>
      <c r="AP496" s="1260"/>
      <c r="AQ496" s="1260"/>
      <c r="AR496" s="1260"/>
      <c r="AS496" s="1260"/>
      <c r="AT496" s="1260"/>
      <c r="AU496" s="1260"/>
      <c r="AV496" s="1260"/>
      <c r="AW496" s="1260"/>
      <c r="AX496" s="1260"/>
      <c r="AY496" s="1260"/>
      <c r="AZ496" s="1260"/>
      <c r="BA496" s="1260"/>
      <c r="BB496" s="1260"/>
      <c r="BC496" s="1260"/>
      <c r="BD496" s="1260"/>
      <c r="BE496" s="1260"/>
      <c r="BF496" s="1260"/>
      <c r="BG496" s="1260"/>
      <c r="BH496" s="1260"/>
      <c r="BI496" s="1260"/>
      <c r="BJ496" s="1260"/>
      <c r="BK496" s="1260"/>
      <c r="BL496" s="1260"/>
      <c r="BM496" s="1260"/>
      <c r="BN496" s="1260"/>
      <c r="BO496" s="1260"/>
      <c r="BP496" s="1260"/>
      <c r="BQ496" s="1260"/>
      <c r="BR496" s="1260"/>
      <c r="BS496" s="1260"/>
      <c r="BT496" s="1260"/>
      <c r="BU496" s="1260"/>
      <c r="BV496" s="1260"/>
      <c r="BW496" s="1260"/>
      <c r="BX496" s="1260"/>
      <c r="BY496" s="1260"/>
      <c r="BZ496" s="1260"/>
      <c r="CA496" s="1260"/>
      <c r="CB496" s="1260"/>
      <c r="CC496" s="1260"/>
      <c r="CD496" s="1260"/>
      <c r="CE496" s="1260"/>
      <c r="CF496" s="1260"/>
      <c r="CG496" s="1260"/>
      <c r="CH496" s="1260"/>
      <c r="CI496" s="1260"/>
      <c r="CJ496" s="1260"/>
      <c r="CK496" s="1260"/>
      <c r="CL496" s="1260"/>
      <c r="CM496" s="1260"/>
      <c r="CN496" s="1260"/>
      <c r="CO496" s="1260"/>
      <c r="CP496" s="1260"/>
      <c r="CQ496" s="1260"/>
      <c r="CR496" s="1260"/>
      <c r="CS496" s="1260"/>
      <c r="CT496" s="1260"/>
      <c r="CU496" s="1260"/>
      <c r="CV496" s="1260"/>
      <c r="CW496" s="1260"/>
      <c r="CX496" s="1260"/>
      <c r="CY496" s="1260"/>
      <c r="CZ496" s="1260"/>
      <c r="DA496" s="1260"/>
      <c r="DB496" s="1260"/>
      <c r="DC496" s="1260"/>
      <c r="DD496" s="1260"/>
      <c r="DE496" s="1260"/>
      <c r="DF496" s="1260"/>
      <c r="DG496" s="1260"/>
      <c r="DH496" s="1260"/>
      <c r="DI496" s="1260"/>
      <c r="DJ496" s="1260"/>
      <c r="DK496" s="1260"/>
      <c r="DL496" s="1260"/>
      <c r="DM496" s="1260"/>
      <c r="DN496" s="1260"/>
      <c r="DO496" s="1260"/>
      <c r="DP496" s="1260"/>
      <c r="DQ496" s="1260"/>
      <c r="DR496" s="1260"/>
      <c r="DS496" s="1260"/>
      <c r="DT496" s="1260"/>
      <c r="DU496" s="1260"/>
      <c r="DV496" s="1260"/>
      <c r="DW496" s="1260"/>
      <c r="DX496" s="1260"/>
      <c r="DY496" s="1260"/>
      <c r="DZ496" s="1260"/>
      <c r="EA496" s="1260"/>
      <c r="EB496" s="1260"/>
      <c r="EC496" s="1260"/>
      <c r="ED496" s="1260"/>
      <c r="EE496" s="1260"/>
      <c r="EF496" s="1260"/>
      <c r="EG496" s="1260"/>
      <c r="EH496" s="1260"/>
      <c r="EI496" s="1260"/>
      <c r="EJ496" s="1260"/>
      <c r="EK496" s="1260"/>
      <c r="EL496" s="1260"/>
      <c r="EM496" s="1260"/>
      <c r="EN496" s="1260"/>
      <c r="EO496" s="1260"/>
      <c r="EP496" s="1260"/>
      <c r="EQ496" s="1260"/>
      <c r="ER496" s="1260"/>
      <c r="ES496" s="1260"/>
      <c r="ET496" s="1260"/>
      <c r="EU496" s="1260"/>
      <c r="EV496" s="1260"/>
      <c r="EW496" s="1260"/>
      <c r="EX496" s="1260"/>
      <c r="EY496" s="1260"/>
      <c r="EZ496" s="1260"/>
      <c r="FA496" s="1260"/>
      <c r="FB496" s="1260"/>
      <c r="FC496" s="1260"/>
      <c r="FD496" s="1260"/>
      <c r="FE496" s="1260"/>
      <c r="FF496" s="1260"/>
      <c r="FG496" s="1260"/>
      <c r="FH496" s="1260"/>
      <c r="FI496" s="1260"/>
      <c r="FJ496" s="1260"/>
      <c r="FK496" s="1260"/>
      <c r="FL496" s="1260"/>
      <c r="FM496" s="1260"/>
      <c r="FN496" s="1260"/>
      <c r="FO496" s="1260"/>
      <c r="FP496" s="1260"/>
      <c r="FQ496" s="1260"/>
      <c r="FR496" s="1260"/>
      <c r="FS496" s="1260"/>
      <c r="FT496" s="1260"/>
      <c r="FU496" s="1260"/>
      <c r="FV496" s="1260"/>
      <c r="FW496" s="1260"/>
      <c r="FX496" s="1260"/>
      <c r="FY496" s="1260"/>
      <c r="FZ496" s="1260"/>
      <c r="GA496" s="1260"/>
      <c r="GB496" s="1260"/>
      <c r="GC496" s="1260"/>
      <c r="GD496" s="1260"/>
      <c r="GE496" s="1260"/>
      <c r="GF496" s="1260"/>
      <c r="GG496" s="1260"/>
      <c r="GH496" s="1260"/>
      <c r="GI496" s="1260"/>
      <c r="GJ496" s="1260"/>
      <c r="GK496" s="1260"/>
      <c r="GL496" s="1260"/>
      <c r="GM496" s="1260"/>
      <c r="GN496" s="1260"/>
      <c r="GO496" s="1260"/>
      <c r="GP496" s="1260"/>
      <c r="GQ496" s="1260"/>
      <c r="GR496" s="1260"/>
      <c r="GS496" s="1260"/>
      <c r="GT496" s="1260"/>
      <c r="GU496" s="1260"/>
      <c r="GV496" s="1260"/>
      <c r="GW496" s="1260"/>
      <c r="GX496" s="1260"/>
      <c r="GY496" s="1260"/>
      <c r="GZ496" s="1260"/>
      <c r="HA496" s="1260"/>
      <c r="HB496" s="1260"/>
      <c r="HC496" s="1260"/>
      <c r="HD496" s="1260"/>
      <c r="HE496" s="1260"/>
      <c r="HF496" s="1260"/>
      <c r="HG496" s="1260"/>
      <c r="HH496" s="1260"/>
      <c r="HI496" s="1260"/>
      <c r="HJ496" s="1260"/>
      <c r="HK496" s="1260"/>
      <c r="HL496" s="1260"/>
      <c r="HM496" s="1260"/>
      <c r="HN496" s="1260"/>
      <c r="HO496" s="1260"/>
      <c r="HP496" s="1260"/>
      <c r="HQ496" s="1260"/>
      <c r="HR496" s="1260"/>
      <c r="HS496" s="1260"/>
      <c r="HT496" s="1260"/>
      <c r="HU496" s="1260"/>
      <c r="HV496" s="1260"/>
      <c r="HW496" s="1260"/>
      <c r="HX496" s="1260"/>
      <c r="HY496" s="1260"/>
      <c r="HZ496" s="1260"/>
      <c r="IA496" s="1260"/>
      <c r="IB496" s="1260"/>
      <c r="IC496" s="1260"/>
      <c r="ID496" s="1260"/>
      <c r="IE496" s="1260"/>
      <c r="IF496" s="1260"/>
      <c r="IG496" s="1260"/>
      <c r="IH496" s="1260"/>
      <c r="II496" s="1260"/>
      <c r="IJ496" s="1260"/>
      <c r="IK496" s="1260"/>
      <c r="IL496" s="1260"/>
      <c r="IM496" s="1260"/>
      <c r="IN496" s="1260"/>
      <c r="IO496" s="1260"/>
      <c r="IP496" s="1260"/>
      <c r="IQ496" s="1260"/>
      <c r="IR496" s="1260"/>
      <c r="IS496" s="1260"/>
      <c r="IT496" s="1260"/>
      <c r="IU496" s="1260"/>
      <c r="IV496" s="1260"/>
      <c r="IW496" s="1260"/>
      <c r="IX496" s="1260"/>
      <c r="IY496" s="1260"/>
      <c r="IZ496" s="1260"/>
      <c r="JA496" s="1260"/>
      <c r="JB496" s="1260"/>
      <c r="JC496" s="1260"/>
      <c r="JD496" s="1260"/>
      <c r="JE496" s="1260"/>
      <c r="JF496" s="1260"/>
      <c r="JG496" s="1260"/>
      <c r="JH496" s="1260"/>
      <c r="JI496" s="1260"/>
      <c r="JJ496" s="1260"/>
      <c r="JK496" s="1260"/>
      <c r="JL496" s="1260"/>
      <c r="JM496" s="1260"/>
      <c r="JN496" s="1260"/>
      <c r="JO496" s="1260"/>
      <c r="JP496" s="1260"/>
      <c r="JQ496" s="1260"/>
      <c r="JR496" s="1260"/>
      <c r="JS496" s="1260"/>
      <c r="JT496" s="1260"/>
      <c r="JU496" s="1260"/>
      <c r="JV496" s="1260"/>
      <c r="JW496" s="1260"/>
      <c r="JX496" s="1260"/>
      <c r="JY496" s="1260"/>
      <c r="JZ496" s="1260"/>
      <c r="KA496" s="1260"/>
      <c r="KB496" s="1260"/>
      <c r="KC496" s="1260"/>
      <c r="KD496" s="1260"/>
      <c r="KE496" s="1260"/>
      <c r="KF496" s="1260"/>
      <c r="KG496" s="1260"/>
      <c r="KH496" s="1260"/>
      <c r="KI496" s="1260"/>
      <c r="KJ496" s="1260"/>
      <c r="KK496" s="1260"/>
      <c r="KL496" s="1260"/>
      <c r="KM496" s="1260"/>
      <c r="KN496" s="1260"/>
      <c r="KO496" s="1260"/>
      <c r="KP496" s="1260"/>
      <c r="KQ496" s="1260"/>
      <c r="KR496" s="1260"/>
      <c r="KS496" s="1260"/>
      <c r="KT496" s="1260"/>
      <c r="KU496" s="1260"/>
      <c r="KV496" s="1260"/>
      <c r="KW496" s="1260"/>
      <c r="KX496" s="1260"/>
      <c r="KY496" s="1260"/>
      <c r="KZ496" s="1260"/>
      <c r="LA496" s="1260"/>
      <c r="LB496" s="1260"/>
      <c r="LC496" s="1260"/>
      <c r="LD496" s="1260"/>
      <c r="LE496" s="1260"/>
      <c r="LF496" s="1260"/>
      <c r="LG496" s="1260"/>
      <c r="LH496" s="1260"/>
      <c r="LI496" s="1260"/>
      <c r="LJ496" s="1260"/>
      <c r="LK496" s="1260"/>
      <c r="LL496" s="1260"/>
      <c r="LM496" s="1260"/>
      <c r="LN496" s="1260"/>
      <c r="LO496" s="1260"/>
      <c r="LP496" s="1260"/>
      <c r="LQ496" s="1260"/>
      <c r="LR496" s="1260"/>
      <c r="LS496" s="1260"/>
      <c r="LT496" s="1260"/>
      <c r="LU496" s="1260"/>
      <c r="LV496" s="1260"/>
      <c r="LW496" s="1260"/>
      <c r="LX496" s="1260"/>
      <c r="LY496" s="1260"/>
      <c r="LZ496" s="1260"/>
      <c r="MA496" s="1260"/>
      <c r="MB496" s="1260"/>
      <c r="MC496" s="1260"/>
      <c r="MD496" s="1260"/>
      <c r="ME496" s="1260"/>
      <c r="MF496" s="1260"/>
      <c r="MG496" s="1260"/>
      <c r="MH496" s="1260"/>
      <c r="MI496" s="1260"/>
      <c r="MJ496" s="1260"/>
      <c r="MK496" s="1260"/>
      <c r="ML496" s="1260"/>
      <c r="MM496" s="1260"/>
      <c r="MN496" s="1260"/>
      <c r="MO496" s="1260"/>
      <c r="MP496" s="1260"/>
      <c r="MQ496" s="1260"/>
      <c r="MR496" s="1260"/>
      <c r="MS496" s="1260"/>
      <c r="MT496" s="1260"/>
      <c r="MU496" s="1260"/>
      <c r="MV496" s="1260"/>
      <c r="MW496" s="1260"/>
      <c r="MX496" s="1260"/>
      <c r="MY496" s="1260"/>
      <c r="MZ496" s="1260"/>
      <c r="NA496" s="1260"/>
      <c r="NB496" s="1260"/>
      <c r="NC496" s="1260"/>
      <c r="ND496" s="1260"/>
      <c r="NE496" s="1260"/>
      <c r="NF496" s="1260"/>
      <c r="NG496" s="1260"/>
      <c r="NH496" s="1260"/>
      <c r="NI496" s="1260"/>
      <c r="NJ496" s="1260"/>
      <c r="NK496" s="1260"/>
      <c r="NL496" s="1260"/>
      <c r="NM496" s="1260"/>
      <c r="NN496" s="1260"/>
      <c r="NO496" s="1260"/>
      <c r="NP496" s="1260"/>
      <c r="NQ496" s="1260"/>
      <c r="NR496" s="1260"/>
      <c r="NS496" s="1260"/>
      <c r="NT496" s="1260"/>
      <c r="NU496" s="1260"/>
      <c r="NV496" s="1260"/>
      <c r="NW496" s="1260"/>
      <c r="NX496" s="1260"/>
      <c r="NY496" s="1260"/>
      <c r="NZ496" s="1260"/>
      <c r="OA496" s="1260"/>
      <c r="OB496" s="1260"/>
      <c r="OC496" s="1260"/>
      <c r="OD496" s="1260"/>
      <c r="OE496" s="1260"/>
      <c r="OF496" s="1260"/>
      <c r="OG496" s="1260"/>
      <c r="OH496" s="1260"/>
      <c r="OI496" s="1260"/>
      <c r="OJ496" s="1260"/>
      <c r="OK496" s="1260"/>
      <c r="OL496" s="1260"/>
      <c r="OM496" s="1260"/>
      <c r="ON496" s="1260"/>
      <c r="OO496" s="1260"/>
      <c r="OP496" s="1260"/>
      <c r="OQ496" s="1260"/>
      <c r="OR496" s="1260"/>
      <c r="OS496" s="1260"/>
      <c r="OT496" s="1260"/>
      <c r="OU496" s="1260"/>
      <c r="OV496" s="1260"/>
      <c r="OW496" s="1260"/>
      <c r="OX496" s="1260"/>
      <c r="OY496" s="1260"/>
      <c r="OZ496" s="1260"/>
      <c r="PA496" s="1260"/>
      <c r="PB496" s="1260"/>
      <c r="PC496" s="1260"/>
      <c r="PD496" s="1260"/>
      <c r="PE496" s="1260"/>
      <c r="PF496" s="1260"/>
      <c r="PG496" s="1260"/>
      <c r="PH496" s="1260"/>
      <c r="PI496" s="1260"/>
      <c r="PJ496" s="1260"/>
      <c r="PK496" s="1260"/>
      <c r="PL496" s="1260"/>
      <c r="PM496" s="1260"/>
      <c r="PN496" s="1260"/>
      <c r="PO496" s="1260"/>
      <c r="PP496" s="1260"/>
      <c r="PQ496" s="1260"/>
      <c r="PR496" s="1260"/>
      <c r="PS496" s="1260"/>
      <c r="PT496" s="1260"/>
      <c r="PU496" s="1260"/>
      <c r="PV496" s="1260"/>
      <c r="PW496" s="1260"/>
      <c r="PX496" s="1260"/>
      <c r="PY496" s="1260"/>
      <c r="PZ496" s="1260"/>
      <c r="QA496" s="1260"/>
      <c r="QB496" s="1260"/>
      <c r="QC496" s="1260"/>
      <c r="QD496" s="1260"/>
      <c r="QE496" s="1260"/>
      <c r="QF496" s="1260"/>
      <c r="QG496" s="1260"/>
      <c r="QH496" s="1260"/>
      <c r="QI496" s="1260"/>
      <c r="QJ496" s="1260"/>
      <c r="QK496" s="1260"/>
      <c r="QL496" s="1260"/>
      <c r="QM496" s="1260"/>
      <c r="QN496" s="1260"/>
      <c r="QO496" s="1260"/>
      <c r="QP496" s="1260"/>
      <c r="QQ496" s="1260"/>
      <c r="QR496" s="1260"/>
      <c r="QS496" s="1260"/>
      <c r="QT496" s="1260"/>
      <c r="QU496" s="1260"/>
      <c r="QV496" s="1260"/>
      <c r="QW496" s="1260"/>
      <c r="QX496" s="1260"/>
      <c r="QY496" s="1260"/>
      <c r="QZ496" s="1260"/>
      <c r="RA496" s="1260"/>
      <c r="RB496" s="1260"/>
      <c r="RC496" s="1260"/>
      <c r="RD496" s="1260"/>
      <c r="RE496" s="1260"/>
      <c r="RF496" s="1260"/>
      <c r="RG496" s="1260"/>
      <c r="RH496" s="1260"/>
      <c r="RI496" s="1260"/>
      <c r="RJ496" s="1260"/>
      <c r="RK496" s="1260"/>
      <c r="RL496" s="1260"/>
      <c r="RM496" s="1260"/>
      <c r="RN496" s="1260"/>
      <c r="RO496" s="1260"/>
      <c r="RP496" s="1260"/>
      <c r="RQ496" s="1260"/>
      <c r="RR496" s="1260"/>
      <c r="RS496" s="1260"/>
      <c r="RT496" s="1260"/>
      <c r="RU496" s="1260"/>
      <c r="RV496" s="1260"/>
      <c r="RW496" s="1260"/>
      <c r="RX496" s="1260"/>
      <c r="RY496" s="1260"/>
      <c r="RZ496" s="1260"/>
      <c r="SA496" s="1260"/>
      <c r="SB496" s="1260"/>
      <c r="SC496" s="1260"/>
      <c r="SD496" s="1260"/>
      <c r="SE496" s="1260"/>
      <c r="SF496" s="1260"/>
      <c r="SG496" s="1260"/>
      <c r="SH496" s="1260"/>
      <c r="SI496" s="1260"/>
      <c r="SJ496" s="1260"/>
      <c r="SK496" s="1260"/>
      <c r="SL496" s="1260"/>
      <c r="SM496" s="1260"/>
      <c r="SN496" s="1260"/>
      <c r="SO496" s="1260"/>
      <c r="SP496" s="1260"/>
      <c r="SQ496" s="1260"/>
      <c r="SR496" s="1260"/>
      <c r="SS496" s="1260"/>
      <c r="ST496" s="1260"/>
      <c r="SU496" s="1260"/>
      <c r="SV496" s="1260"/>
      <c r="SW496" s="1260"/>
      <c r="SX496" s="1260"/>
      <c r="SY496" s="1260"/>
      <c r="SZ496" s="1260"/>
      <c r="TA496" s="1260"/>
      <c r="TB496" s="1260"/>
      <c r="TC496" s="1260"/>
      <c r="TD496" s="1260"/>
      <c r="TE496" s="1260"/>
      <c r="TF496" s="1260"/>
      <c r="TG496" s="1260"/>
      <c r="TH496" s="1260"/>
      <c r="TI496" s="1260"/>
      <c r="TJ496" s="1260"/>
      <c r="TK496" s="1260"/>
      <c r="TL496" s="1260"/>
      <c r="TM496" s="1260"/>
      <c r="TN496" s="1260"/>
      <c r="TO496" s="1260"/>
      <c r="TP496" s="1260"/>
      <c r="TQ496" s="1260"/>
      <c r="TR496" s="1260"/>
      <c r="TS496" s="1260"/>
      <c r="TT496" s="1260"/>
      <c r="TU496" s="1260"/>
      <c r="TV496" s="1260"/>
      <c r="TW496" s="1260"/>
      <c r="TX496" s="1260"/>
      <c r="TY496" s="1260"/>
      <c r="TZ496" s="1260"/>
      <c r="UA496" s="1260"/>
      <c r="UB496" s="1260"/>
      <c r="UC496" s="1260"/>
      <c r="UD496" s="1260"/>
      <c r="UE496" s="1260"/>
      <c r="UF496" s="1260"/>
      <c r="UG496" s="1261"/>
    </row>
    <row r="497" spans="1:553" s="1262" customFormat="1" ht="30.75" customHeight="1">
      <c r="A497" s="554"/>
      <c r="B497" s="554"/>
      <c r="C497" s="1495" t="s">
        <v>1111</v>
      </c>
      <c r="D497" s="1496" t="s">
        <v>822</v>
      </c>
      <c r="E497" s="1496" t="s">
        <v>822</v>
      </c>
      <c r="F497" s="1497" t="s">
        <v>822</v>
      </c>
      <c r="G497" s="591" t="s">
        <v>196</v>
      </c>
      <c r="H497" s="592"/>
      <c r="I497" s="529">
        <f>(20.51*100/400)*(12-(6-3))*1</f>
        <v>46.147500000000001</v>
      </c>
      <c r="J497" s="1248">
        <v>3100</v>
      </c>
      <c r="K497" s="593">
        <v>0.7</v>
      </c>
      <c r="L497" s="562">
        <f t="shared" ref="L497:L498" si="92">ROUND(PRODUCT(I497:K497),0)</f>
        <v>100140</v>
      </c>
      <c r="M497" s="366"/>
      <c r="N497" s="366"/>
      <c r="O497" s="366"/>
      <c r="P497" s="366"/>
      <c r="Q497" s="1144"/>
      <c r="R497" s="1452"/>
      <c r="S497" s="308"/>
      <c r="T497" s="303"/>
      <c r="U497" s="306"/>
      <c r="V497" s="307"/>
      <c r="W497" s="306"/>
      <c r="X497" s="306"/>
      <c r="Y497" s="306"/>
      <c r="Z497" s="306"/>
      <c r="AA497" s="306"/>
      <c r="AB497" s="306"/>
      <c r="AC497" s="449"/>
      <c r="AD497" s="452"/>
      <c r="AE497" s="452"/>
      <c r="AF497" s="452"/>
      <c r="AG497" s="452"/>
      <c r="AH497" s="452"/>
      <c r="AI497" s="452"/>
      <c r="AJ497" s="452"/>
      <c r="AK497" s="452"/>
      <c r="AL497" s="1259"/>
      <c r="AM497" s="1260"/>
      <c r="AN497" s="1260"/>
      <c r="AO497" s="1260"/>
      <c r="AP497" s="1260"/>
      <c r="AQ497" s="1260"/>
      <c r="AR497" s="1260"/>
      <c r="AS497" s="1260"/>
      <c r="AT497" s="1260"/>
      <c r="AU497" s="1260"/>
      <c r="AV497" s="1260"/>
      <c r="AW497" s="1260"/>
      <c r="AX497" s="1260"/>
      <c r="AY497" s="1260"/>
      <c r="AZ497" s="1260"/>
      <c r="BA497" s="1260"/>
      <c r="BB497" s="1260"/>
      <c r="BC497" s="1260"/>
      <c r="BD497" s="1260"/>
      <c r="BE497" s="1260"/>
      <c r="BF497" s="1260"/>
      <c r="BG497" s="1260"/>
      <c r="BH497" s="1260"/>
      <c r="BI497" s="1260"/>
      <c r="BJ497" s="1260"/>
      <c r="BK497" s="1260"/>
      <c r="BL497" s="1260"/>
      <c r="BM497" s="1260"/>
      <c r="BN497" s="1260"/>
      <c r="BO497" s="1260"/>
      <c r="BP497" s="1260"/>
      <c r="BQ497" s="1260"/>
      <c r="BR497" s="1260"/>
      <c r="BS497" s="1260"/>
      <c r="BT497" s="1260"/>
      <c r="BU497" s="1260"/>
      <c r="BV497" s="1260"/>
      <c r="BW497" s="1260"/>
      <c r="BX497" s="1260"/>
      <c r="BY497" s="1260"/>
      <c r="BZ497" s="1260"/>
      <c r="CA497" s="1260"/>
      <c r="CB497" s="1260"/>
      <c r="CC497" s="1260"/>
      <c r="CD497" s="1260"/>
      <c r="CE497" s="1260"/>
      <c r="CF497" s="1260"/>
      <c r="CG497" s="1260"/>
      <c r="CH497" s="1260"/>
      <c r="CI497" s="1260"/>
      <c r="CJ497" s="1260"/>
      <c r="CK497" s="1260"/>
      <c r="CL497" s="1260"/>
      <c r="CM497" s="1260"/>
      <c r="CN497" s="1260"/>
      <c r="CO497" s="1260"/>
      <c r="CP497" s="1260"/>
      <c r="CQ497" s="1260"/>
      <c r="CR497" s="1260"/>
      <c r="CS497" s="1260"/>
      <c r="CT497" s="1260"/>
      <c r="CU497" s="1260"/>
      <c r="CV497" s="1260"/>
      <c r="CW497" s="1260"/>
      <c r="CX497" s="1260"/>
      <c r="CY497" s="1260"/>
      <c r="CZ497" s="1260"/>
      <c r="DA497" s="1260"/>
      <c r="DB497" s="1260"/>
      <c r="DC497" s="1260"/>
      <c r="DD497" s="1260"/>
      <c r="DE497" s="1260"/>
      <c r="DF497" s="1260"/>
      <c r="DG497" s="1260"/>
      <c r="DH497" s="1260"/>
      <c r="DI497" s="1260"/>
      <c r="DJ497" s="1260"/>
      <c r="DK497" s="1260"/>
      <c r="DL497" s="1260"/>
      <c r="DM497" s="1260"/>
      <c r="DN497" s="1260"/>
      <c r="DO497" s="1260"/>
      <c r="DP497" s="1260"/>
      <c r="DQ497" s="1260"/>
      <c r="DR497" s="1260"/>
      <c r="DS497" s="1260"/>
      <c r="DT497" s="1260"/>
      <c r="DU497" s="1260"/>
      <c r="DV497" s="1260"/>
      <c r="DW497" s="1260"/>
      <c r="DX497" s="1260"/>
      <c r="DY497" s="1260"/>
      <c r="DZ497" s="1260"/>
      <c r="EA497" s="1260"/>
      <c r="EB497" s="1260"/>
      <c r="EC497" s="1260"/>
      <c r="ED497" s="1260"/>
      <c r="EE497" s="1260"/>
      <c r="EF497" s="1260"/>
      <c r="EG497" s="1260"/>
      <c r="EH497" s="1260"/>
      <c r="EI497" s="1260"/>
      <c r="EJ497" s="1260"/>
      <c r="EK497" s="1260"/>
      <c r="EL497" s="1260"/>
      <c r="EM497" s="1260"/>
      <c r="EN497" s="1260"/>
      <c r="EO497" s="1260"/>
      <c r="EP497" s="1260"/>
      <c r="EQ497" s="1260"/>
      <c r="ER497" s="1260"/>
      <c r="ES497" s="1260"/>
      <c r="ET497" s="1260"/>
      <c r="EU497" s="1260"/>
      <c r="EV497" s="1260"/>
      <c r="EW497" s="1260"/>
      <c r="EX497" s="1260"/>
      <c r="EY497" s="1260"/>
      <c r="EZ497" s="1260"/>
      <c r="FA497" s="1260"/>
      <c r="FB497" s="1260"/>
      <c r="FC497" s="1260"/>
      <c r="FD497" s="1260"/>
      <c r="FE497" s="1260"/>
      <c r="FF497" s="1260"/>
      <c r="FG497" s="1260"/>
      <c r="FH497" s="1260"/>
      <c r="FI497" s="1260"/>
      <c r="FJ497" s="1260"/>
      <c r="FK497" s="1260"/>
      <c r="FL497" s="1260"/>
      <c r="FM497" s="1260"/>
      <c r="FN497" s="1260"/>
      <c r="FO497" s="1260"/>
      <c r="FP497" s="1260"/>
      <c r="FQ497" s="1260"/>
      <c r="FR497" s="1260"/>
      <c r="FS497" s="1260"/>
      <c r="FT497" s="1260"/>
      <c r="FU497" s="1260"/>
      <c r="FV497" s="1260"/>
      <c r="FW497" s="1260"/>
      <c r="FX497" s="1260"/>
      <c r="FY497" s="1260"/>
      <c r="FZ497" s="1260"/>
      <c r="GA497" s="1260"/>
      <c r="GB497" s="1260"/>
      <c r="GC497" s="1260"/>
      <c r="GD497" s="1260"/>
      <c r="GE497" s="1260"/>
      <c r="GF497" s="1260"/>
      <c r="GG497" s="1260"/>
      <c r="GH497" s="1260"/>
      <c r="GI497" s="1260"/>
      <c r="GJ497" s="1260"/>
      <c r="GK497" s="1260"/>
      <c r="GL497" s="1260"/>
      <c r="GM497" s="1260"/>
      <c r="GN497" s="1260"/>
      <c r="GO497" s="1260"/>
      <c r="GP497" s="1260"/>
      <c r="GQ497" s="1260"/>
      <c r="GR497" s="1260"/>
      <c r="GS497" s="1260"/>
      <c r="GT497" s="1260"/>
      <c r="GU497" s="1260"/>
      <c r="GV497" s="1260"/>
      <c r="GW497" s="1260"/>
      <c r="GX497" s="1260"/>
      <c r="GY497" s="1260"/>
      <c r="GZ497" s="1260"/>
      <c r="HA497" s="1260"/>
      <c r="HB497" s="1260"/>
      <c r="HC497" s="1260"/>
      <c r="HD497" s="1260"/>
      <c r="HE497" s="1260"/>
      <c r="HF497" s="1260"/>
      <c r="HG497" s="1260"/>
      <c r="HH497" s="1260"/>
      <c r="HI497" s="1260"/>
      <c r="HJ497" s="1260"/>
      <c r="HK497" s="1260"/>
      <c r="HL497" s="1260"/>
      <c r="HM497" s="1260"/>
      <c r="HN497" s="1260"/>
      <c r="HO497" s="1260"/>
      <c r="HP497" s="1260"/>
      <c r="HQ497" s="1260"/>
      <c r="HR497" s="1260"/>
      <c r="HS497" s="1260"/>
      <c r="HT497" s="1260"/>
      <c r="HU497" s="1260"/>
      <c r="HV497" s="1260"/>
      <c r="HW497" s="1260"/>
      <c r="HX497" s="1260"/>
      <c r="HY497" s="1260"/>
      <c r="HZ497" s="1260"/>
      <c r="IA497" s="1260"/>
      <c r="IB497" s="1260"/>
      <c r="IC497" s="1260"/>
      <c r="ID497" s="1260"/>
      <c r="IE497" s="1260"/>
      <c r="IF497" s="1260"/>
      <c r="IG497" s="1260"/>
      <c r="IH497" s="1260"/>
      <c r="II497" s="1260"/>
      <c r="IJ497" s="1260"/>
      <c r="IK497" s="1260"/>
      <c r="IL497" s="1260"/>
      <c r="IM497" s="1260"/>
      <c r="IN497" s="1260"/>
      <c r="IO497" s="1260"/>
      <c r="IP497" s="1260"/>
      <c r="IQ497" s="1260"/>
      <c r="IR497" s="1260"/>
      <c r="IS497" s="1260"/>
      <c r="IT497" s="1260"/>
      <c r="IU497" s="1260"/>
      <c r="IV497" s="1260"/>
      <c r="IW497" s="1260"/>
      <c r="IX497" s="1260"/>
      <c r="IY497" s="1260"/>
      <c r="IZ497" s="1260"/>
      <c r="JA497" s="1260"/>
      <c r="JB497" s="1260"/>
      <c r="JC497" s="1260"/>
      <c r="JD497" s="1260"/>
      <c r="JE497" s="1260"/>
      <c r="JF497" s="1260"/>
      <c r="JG497" s="1260"/>
      <c r="JH497" s="1260"/>
      <c r="JI497" s="1260"/>
      <c r="JJ497" s="1260"/>
      <c r="JK497" s="1260"/>
      <c r="JL497" s="1260"/>
      <c r="JM497" s="1260"/>
      <c r="JN497" s="1260"/>
      <c r="JO497" s="1260"/>
      <c r="JP497" s="1260"/>
      <c r="JQ497" s="1260"/>
      <c r="JR497" s="1260"/>
      <c r="JS497" s="1260"/>
      <c r="JT497" s="1260"/>
      <c r="JU497" s="1260"/>
      <c r="JV497" s="1260"/>
      <c r="JW497" s="1260"/>
      <c r="JX497" s="1260"/>
      <c r="JY497" s="1260"/>
      <c r="JZ497" s="1260"/>
      <c r="KA497" s="1260"/>
      <c r="KB497" s="1260"/>
      <c r="KC497" s="1260"/>
      <c r="KD497" s="1260"/>
      <c r="KE497" s="1260"/>
      <c r="KF497" s="1260"/>
      <c r="KG497" s="1260"/>
      <c r="KH497" s="1260"/>
      <c r="KI497" s="1260"/>
      <c r="KJ497" s="1260"/>
      <c r="KK497" s="1260"/>
      <c r="KL497" s="1260"/>
      <c r="KM497" s="1260"/>
      <c r="KN497" s="1260"/>
      <c r="KO497" s="1260"/>
      <c r="KP497" s="1260"/>
      <c r="KQ497" s="1260"/>
      <c r="KR497" s="1260"/>
      <c r="KS497" s="1260"/>
      <c r="KT497" s="1260"/>
      <c r="KU497" s="1260"/>
      <c r="KV497" s="1260"/>
      <c r="KW497" s="1260"/>
      <c r="KX497" s="1260"/>
      <c r="KY497" s="1260"/>
      <c r="KZ497" s="1260"/>
      <c r="LA497" s="1260"/>
      <c r="LB497" s="1260"/>
      <c r="LC497" s="1260"/>
      <c r="LD497" s="1260"/>
      <c r="LE497" s="1260"/>
      <c r="LF497" s="1260"/>
      <c r="LG497" s="1260"/>
      <c r="LH497" s="1260"/>
      <c r="LI497" s="1260"/>
      <c r="LJ497" s="1260"/>
      <c r="LK497" s="1260"/>
      <c r="LL497" s="1260"/>
      <c r="LM497" s="1260"/>
      <c r="LN497" s="1260"/>
      <c r="LO497" s="1260"/>
      <c r="LP497" s="1260"/>
      <c r="LQ497" s="1260"/>
      <c r="LR497" s="1260"/>
      <c r="LS497" s="1260"/>
      <c r="LT497" s="1260"/>
      <c r="LU497" s="1260"/>
      <c r="LV497" s="1260"/>
      <c r="LW497" s="1260"/>
      <c r="LX497" s="1260"/>
      <c r="LY497" s="1260"/>
      <c r="LZ497" s="1260"/>
      <c r="MA497" s="1260"/>
      <c r="MB497" s="1260"/>
      <c r="MC497" s="1260"/>
      <c r="MD497" s="1260"/>
      <c r="ME497" s="1260"/>
      <c r="MF497" s="1260"/>
      <c r="MG497" s="1260"/>
      <c r="MH497" s="1260"/>
      <c r="MI497" s="1260"/>
      <c r="MJ497" s="1260"/>
      <c r="MK497" s="1260"/>
      <c r="ML497" s="1260"/>
      <c r="MM497" s="1260"/>
      <c r="MN497" s="1260"/>
      <c r="MO497" s="1260"/>
      <c r="MP497" s="1260"/>
      <c r="MQ497" s="1260"/>
      <c r="MR497" s="1260"/>
      <c r="MS497" s="1260"/>
      <c r="MT497" s="1260"/>
      <c r="MU497" s="1260"/>
      <c r="MV497" s="1260"/>
      <c r="MW497" s="1260"/>
      <c r="MX497" s="1260"/>
      <c r="MY497" s="1260"/>
      <c r="MZ497" s="1260"/>
      <c r="NA497" s="1260"/>
      <c r="NB497" s="1260"/>
      <c r="NC497" s="1260"/>
      <c r="ND497" s="1260"/>
      <c r="NE497" s="1260"/>
      <c r="NF497" s="1260"/>
      <c r="NG497" s="1260"/>
      <c r="NH497" s="1260"/>
      <c r="NI497" s="1260"/>
      <c r="NJ497" s="1260"/>
      <c r="NK497" s="1260"/>
      <c r="NL497" s="1260"/>
      <c r="NM497" s="1260"/>
      <c r="NN497" s="1260"/>
      <c r="NO497" s="1260"/>
      <c r="NP497" s="1260"/>
      <c r="NQ497" s="1260"/>
      <c r="NR497" s="1260"/>
      <c r="NS497" s="1260"/>
      <c r="NT497" s="1260"/>
      <c r="NU497" s="1260"/>
      <c r="NV497" s="1260"/>
      <c r="NW497" s="1260"/>
      <c r="NX497" s="1260"/>
      <c r="NY497" s="1260"/>
      <c r="NZ497" s="1260"/>
      <c r="OA497" s="1260"/>
      <c r="OB497" s="1260"/>
      <c r="OC497" s="1260"/>
      <c r="OD497" s="1260"/>
      <c r="OE497" s="1260"/>
      <c r="OF497" s="1260"/>
      <c r="OG497" s="1260"/>
      <c r="OH497" s="1260"/>
      <c r="OI497" s="1260"/>
      <c r="OJ497" s="1260"/>
      <c r="OK497" s="1260"/>
      <c r="OL497" s="1260"/>
      <c r="OM497" s="1260"/>
      <c r="ON497" s="1260"/>
      <c r="OO497" s="1260"/>
      <c r="OP497" s="1260"/>
      <c r="OQ497" s="1260"/>
      <c r="OR497" s="1260"/>
      <c r="OS497" s="1260"/>
      <c r="OT497" s="1260"/>
      <c r="OU497" s="1260"/>
      <c r="OV497" s="1260"/>
      <c r="OW497" s="1260"/>
      <c r="OX497" s="1260"/>
      <c r="OY497" s="1260"/>
      <c r="OZ497" s="1260"/>
      <c r="PA497" s="1260"/>
      <c r="PB497" s="1260"/>
      <c r="PC497" s="1260"/>
      <c r="PD497" s="1260"/>
      <c r="PE497" s="1260"/>
      <c r="PF497" s="1260"/>
      <c r="PG497" s="1260"/>
      <c r="PH497" s="1260"/>
      <c r="PI497" s="1260"/>
      <c r="PJ497" s="1260"/>
      <c r="PK497" s="1260"/>
      <c r="PL497" s="1260"/>
      <c r="PM497" s="1260"/>
      <c r="PN497" s="1260"/>
      <c r="PO497" s="1260"/>
      <c r="PP497" s="1260"/>
      <c r="PQ497" s="1260"/>
      <c r="PR497" s="1260"/>
      <c r="PS497" s="1260"/>
      <c r="PT497" s="1260"/>
      <c r="PU497" s="1260"/>
      <c r="PV497" s="1260"/>
      <c r="PW497" s="1260"/>
      <c r="PX497" s="1260"/>
      <c r="PY497" s="1260"/>
      <c r="PZ497" s="1260"/>
      <c r="QA497" s="1260"/>
      <c r="QB497" s="1260"/>
      <c r="QC497" s="1260"/>
      <c r="QD497" s="1260"/>
      <c r="QE497" s="1260"/>
      <c r="QF497" s="1260"/>
      <c r="QG497" s="1260"/>
      <c r="QH497" s="1260"/>
      <c r="QI497" s="1260"/>
      <c r="QJ497" s="1260"/>
      <c r="QK497" s="1260"/>
      <c r="QL497" s="1260"/>
      <c r="QM497" s="1260"/>
      <c r="QN497" s="1260"/>
      <c r="QO497" s="1260"/>
      <c r="QP497" s="1260"/>
      <c r="QQ497" s="1260"/>
      <c r="QR497" s="1260"/>
      <c r="QS497" s="1260"/>
      <c r="QT497" s="1260"/>
      <c r="QU497" s="1260"/>
      <c r="QV497" s="1260"/>
      <c r="QW497" s="1260"/>
      <c r="QX497" s="1260"/>
      <c r="QY497" s="1260"/>
      <c r="QZ497" s="1260"/>
      <c r="RA497" s="1260"/>
      <c r="RB497" s="1260"/>
      <c r="RC497" s="1260"/>
      <c r="RD497" s="1260"/>
      <c r="RE497" s="1260"/>
      <c r="RF497" s="1260"/>
      <c r="RG497" s="1260"/>
      <c r="RH497" s="1260"/>
      <c r="RI497" s="1260"/>
      <c r="RJ497" s="1260"/>
      <c r="RK497" s="1260"/>
      <c r="RL497" s="1260"/>
      <c r="RM497" s="1260"/>
      <c r="RN497" s="1260"/>
      <c r="RO497" s="1260"/>
      <c r="RP497" s="1260"/>
      <c r="RQ497" s="1260"/>
      <c r="RR497" s="1260"/>
      <c r="RS497" s="1260"/>
      <c r="RT497" s="1260"/>
      <c r="RU497" s="1260"/>
      <c r="RV497" s="1260"/>
      <c r="RW497" s="1260"/>
      <c r="RX497" s="1260"/>
      <c r="RY497" s="1260"/>
      <c r="RZ497" s="1260"/>
      <c r="SA497" s="1260"/>
      <c r="SB497" s="1260"/>
      <c r="SC497" s="1260"/>
      <c r="SD497" s="1260"/>
      <c r="SE497" s="1260"/>
      <c r="SF497" s="1260"/>
      <c r="SG497" s="1260"/>
      <c r="SH497" s="1260"/>
      <c r="SI497" s="1260"/>
      <c r="SJ497" s="1260"/>
      <c r="SK497" s="1260"/>
      <c r="SL497" s="1260"/>
      <c r="SM497" s="1260"/>
      <c r="SN497" s="1260"/>
      <c r="SO497" s="1260"/>
      <c r="SP497" s="1260"/>
      <c r="SQ497" s="1260"/>
      <c r="SR497" s="1260"/>
      <c r="SS497" s="1260"/>
      <c r="ST497" s="1260"/>
      <c r="SU497" s="1260"/>
      <c r="SV497" s="1260"/>
      <c r="SW497" s="1260"/>
      <c r="SX497" s="1260"/>
      <c r="SY497" s="1260"/>
      <c r="SZ497" s="1260"/>
      <c r="TA497" s="1260"/>
      <c r="TB497" s="1260"/>
      <c r="TC497" s="1260"/>
      <c r="TD497" s="1260"/>
      <c r="TE497" s="1260"/>
      <c r="TF497" s="1260"/>
      <c r="TG497" s="1260"/>
      <c r="TH497" s="1260"/>
      <c r="TI497" s="1260"/>
      <c r="TJ497" s="1260"/>
      <c r="TK497" s="1260"/>
      <c r="TL497" s="1260"/>
      <c r="TM497" s="1260"/>
      <c r="TN497" s="1260"/>
      <c r="TO497" s="1260"/>
      <c r="TP497" s="1260"/>
      <c r="TQ497" s="1260"/>
      <c r="TR497" s="1260"/>
      <c r="TS497" s="1260"/>
      <c r="TT497" s="1260"/>
      <c r="TU497" s="1260"/>
      <c r="TV497" s="1260"/>
      <c r="TW497" s="1260"/>
      <c r="TX497" s="1260"/>
      <c r="TY497" s="1260"/>
      <c r="TZ497" s="1260"/>
      <c r="UA497" s="1260"/>
      <c r="UB497" s="1260"/>
      <c r="UC497" s="1260"/>
      <c r="UD497" s="1260"/>
      <c r="UE497" s="1260"/>
      <c r="UF497" s="1260"/>
      <c r="UG497" s="1261"/>
    </row>
    <row r="498" spans="1:553" s="1262" customFormat="1" ht="30.75" customHeight="1">
      <c r="A498" s="406"/>
      <c r="B498" s="406"/>
      <c r="C498" s="1420" t="s">
        <v>1112</v>
      </c>
      <c r="D498" s="1466"/>
      <c r="E498" s="1466"/>
      <c r="F498" s="1498"/>
      <c r="G498" s="409" t="s">
        <v>196</v>
      </c>
      <c r="H498" s="519"/>
      <c r="I498" s="567">
        <f>(20.51*100/400)*(12-(7-3))*1</f>
        <v>41.02</v>
      </c>
      <c r="J498" s="521">
        <v>3100</v>
      </c>
      <c r="K498" s="593">
        <v>0.7</v>
      </c>
      <c r="L498" s="594">
        <f t="shared" si="92"/>
        <v>89013</v>
      </c>
      <c r="M498" s="366"/>
      <c r="N498" s="366"/>
      <c r="O498" s="366"/>
      <c r="P498" s="366"/>
      <c r="Q498" s="1144"/>
      <c r="R498" s="1452"/>
      <c r="S498" s="308"/>
      <c r="T498" s="303"/>
      <c r="U498" s="306"/>
      <c r="V498" s="307"/>
      <c r="W498" s="306"/>
      <c r="X498" s="306"/>
      <c r="Y498" s="306"/>
      <c r="Z498" s="306"/>
      <c r="AA498" s="306"/>
      <c r="AB498" s="306"/>
      <c r="AC498" s="449"/>
      <c r="AD498" s="452"/>
      <c r="AE498" s="452"/>
      <c r="AF498" s="452"/>
      <c r="AG498" s="452"/>
      <c r="AH498" s="452"/>
      <c r="AI498" s="452"/>
      <c r="AJ498" s="452"/>
      <c r="AK498" s="452"/>
      <c r="AL498" s="1259"/>
      <c r="AM498" s="1260"/>
      <c r="AN498" s="1260"/>
      <c r="AO498" s="1260"/>
      <c r="AP498" s="1260"/>
      <c r="AQ498" s="1260"/>
      <c r="AR498" s="1260"/>
      <c r="AS498" s="1260"/>
      <c r="AT498" s="1260"/>
      <c r="AU498" s="1260"/>
      <c r="AV498" s="1260"/>
      <c r="AW498" s="1260"/>
      <c r="AX498" s="1260"/>
      <c r="AY498" s="1260"/>
      <c r="AZ498" s="1260"/>
      <c r="BA498" s="1260"/>
      <c r="BB498" s="1260"/>
      <c r="BC498" s="1260"/>
      <c r="BD498" s="1260"/>
      <c r="BE498" s="1260"/>
      <c r="BF498" s="1260"/>
      <c r="BG498" s="1260"/>
      <c r="BH498" s="1260"/>
      <c r="BI498" s="1260"/>
      <c r="BJ498" s="1260"/>
      <c r="BK498" s="1260"/>
      <c r="BL498" s="1260"/>
      <c r="BM498" s="1260"/>
      <c r="BN498" s="1260"/>
      <c r="BO498" s="1260"/>
      <c r="BP498" s="1260"/>
      <c r="BQ498" s="1260"/>
      <c r="BR498" s="1260"/>
      <c r="BS498" s="1260"/>
      <c r="BT498" s="1260"/>
      <c r="BU498" s="1260"/>
      <c r="BV498" s="1260"/>
      <c r="BW498" s="1260"/>
      <c r="BX498" s="1260"/>
      <c r="BY498" s="1260"/>
      <c r="BZ498" s="1260"/>
      <c r="CA498" s="1260"/>
      <c r="CB498" s="1260"/>
      <c r="CC498" s="1260"/>
      <c r="CD498" s="1260"/>
      <c r="CE498" s="1260"/>
      <c r="CF498" s="1260"/>
      <c r="CG498" s="1260"/>
      <c r="CH498" s="1260"/>
      <c r="CI498" s="1260"/>
      <c r="CJ498" s="1260"/>
      <c r="CK498" s="1260"/>
      <c r="CL498" s="1260"/>
      <c r="CM498" s="1260"/>
      <c r="CN498" s="1260"/>
      <c r="CO498" s="1260"/>
      <c r="CP498" s="1260"/>
      <c r="CQ498" s="1260"/>
      <c r="CR498" s="1260"/>
      <c r="CS498" s="1260"/>
      <c r="CT498" s="1260"/>
      <c r="CU498" s="1260"/>
      <c r="CV498" s="1260"/>
      <c r="CW498" s="1260"/>
      <c r="CX498" s="1260"/>
      <c r="CY498" s="1260"/>
      <c r="CZ498" s="1260"/>
      <c r="DA498" s="1260"/>
      <c r="DB498" s="1260"/>
      <c r="DC498" s="1260"/>
      <c r="DD498" s="1260"/>
      <c r="DE498" s="1260"/>
      <c r="DF498" s="1260"/>
      <c r="DG498" s="1260"/>
      <c r="DH498" s="1260"/>
      <c r="DI498" s="1260"/>
      <c r="DJ498" s="1260"/>
      <c r="DK498" s="1260"/>
      <c r="DL498" s="1260"/>
      <c r="DM498" s="1260"/>
      <c r="DN498" s="1260"/>
      <c r="DO498" s="1260"/>
      <c r="DP498" s="1260"/>
      <c r="DQ498" s="1260"/>
      <c r="DR498" s="1260"/>
      <c r="DS498" s="1260"/>
      <c r="DT498" s="1260"/>
      <c r="DU498" s="1260"/>
      <c r="DV498" s="1260"/>
      <c r="DW498" s="1260"/>
      <c r="DX498" s="1260"/>
      <c r="DY498" s="1260"/>
      <c r="DZ498" s="1260"/>
      <c r="EA498" s="1260"/>
      <c r="EB498" s="1260"/>
      <c r="EC498" s="1260"/>
      <c r="ED498" s="1260"/>
      <c r="EE498" s="1260"/>
      <c r="EF498" s="1260"/>
      <c r="EG498" s="1260"/>
      <c r="EH498" s="1260"/>
      <c r="EI498" s="1260"/>
      <c r="EJ498" s="1260"/>
      <c r="EK498" s="1260"/>
      <c r="EL498" s="1260"/>
      <c r="EM498" s="1260"/>
      <c r="EN498" s="1260"/>
      <c r="EO498" s="1260"/>
      <c r="EP498" s="1260"/>
      <c r="EQ498" s="1260"/>
      <c r="ER498" s="1260"/>
      <c r="ES498" s="1260"/>
      <c r="ET498" s="1260"/>
      <c r="EU498" s="1260"/>
      <c r="EV498" s="1260"/>
      <c r="EW498" s="1260"/>
      <c r="EX498" s="1260"/>
      <c r="EY498" s="1260"/>
      <c r="EZ498" s="1260"/>
      <c r="FA498" s="1260"/>
      <c r="FB498" s="1260"/>
      <c r="FC498" s="1260"/>
      <c r="FD498" s="1260"/>
      <c r="FE498" s="1260"/>
      <c r="FF498" s="1260"/>
      <c r="FG498" s="1260"/>
      <c r="FH498" s="1260"/>
      <c r="FI498" s="1260"/>
      <c r="FJ498" s="1260"/>
      <c r="FK498" s="1260"/>
      <c r="FL498" s="1260"/>
      <c r="FM498" s="1260"/>
      <c r="FN498" s="1260"/>
      <c r="FO498" s="1260"/>
      <c r="FP498" s="1260"/>
      <c r="FQ498" s="1260"/>
      <c r="FR498" s="1260"/>
      <c r="FS498" s="1260"/>
      <c r="FT498" s="1260"/>
      <c r="FU498" s="1260"/>
      <c r="FV498" s="1260"/>
      <c r="FW498" s="1260"/>
      <c r="FX498" s="1260"/>
      <c r="FY498" s="1260"/>
      <c r="FZ498" s="1260"/>
      <c r="GA498" s="1260"/>
      <c r="GB498" s="1260"/>
      <c r="GC498" s="1260"/>
      <c r="GD498" s="1260"/>
      <c r="GE498" s="1260"/>
      <c r="GF498" s="1260"/>
      <c r="GG498" s="1260"/>
      <c r="GH498" s="1260"/>
      <c r="GI498" s="1260"/>
      <c r="GJ498" s="1260"/>
      <c r="GK498" s="1260"/>
      <c r="GL498" s="1260"/>
      <c r="GM498" s="1260"/>
      <c r="GN498" s="1260"/>
      <c r="GO498" s="1260"/>
      <c r="GP498" s="1260"/>
      <c r="GQ498" s="1260"/>
      <c r="GR498" s="1260"/>
      <c r="GS498" s="1260"/>
      <c r="GT498" s="1260"/>
      <c r="GU498" s="1260"/>
      <c r="GV498" s="1260"/>
      <c r="GW498" s="1260"/>
      <c r="GX498" s="1260"/>
      <c r="GY498" s="1260"/>
      <c r="GZ498" s="1260"/>
      <c r="HA498" s="1260"/>
      <c r="HB498" s="1260"/>
      <c r="HC498" s="1260"/>
      <c r="HD498" s="1260"/>
      <c r="HE498" s="1260"/>
      <c r="HF498" s="1260"/>
      <c r="HG498" s="1260"/>
      <c r="HH498" s="1260"/>
      <c r="HI498" s="1260"/>
      <c r="HJ498" s="1260"/>
      <c r="HK498" s="1260"/>
      <c r="HL498" s="1260"/>
      <c r="HM498" s="1260"/>
      <c r="HN498" s="1260"/>
      <c r="HO498" s="1260"/>
      <c r="HP498" s="1260"/>
      <c r="HQ498" s="1260"/>
      <c r="HR498" s="1260"/>
      <c r="HS498" s="1260"/>
      <c r="HT498" s="1260"/>
      <c r="HU498" s="1260"/>
      <c r="HV498" s="1260"/>
      <c r="HW498" s="1260"/>
      <c r="HX498" s="1260"/>
      <c r="HY498" s="1260"/>
      <c r="HZ498" s="1260"/>
      <c r="IA498" s="1260"/>
      <c r="IB498" s="1260"/>
      <c r="IC498" s="1260"/>
      <c r="ID498" s="1260"/>
      <c r="IE498" s="1260"/>
      <c r="IF498" s="1260"/>
      <c r="IG498" s="1260"/>
      <c r="IH498" s="1260"/>
      <c r="II498" s="1260"/>
      <c r="IJ498" s="1260"/>
      <c r="IK498" s="1260"/>
      <c r="IL498" s="1260"/>
      <c r="IM498" s="1260"/>
      <c r="IN498" s="1260"/>
      <c r="IO498" s="1260"/>
      <c r="IP498" s="1260"/>
      <c r="IQ498" s="1260"/>
      <c r="IR498" s="1260"/>
      <c r="IS498" s="1260"/>
      <c r="IT498" s="1260"/>
      <c r="IU498" s="1260"/>
      <c r="IV498" s="1260"/>
      <c r="IW498" s="1260"/>
      <c r="IX498" s="1260"/>
      <c r="IY498" s="1260"/>
      <c r="IZ498" s="1260"/>
      <c r="JA498" s="1260"/>
      <c r="JB498" s="1260"/>
      <c r="JC498" s="1260"/>
      <c r="JD498" s="1260"/>
      <c r="JE498" s="1260"/>
      <c r="JF498" s="1260"/>
      <c r="JG498" s="1260"/>
      <c r="JH498" s="1260"/>
      <c r="JI498" s="1260"/>
      <c r="JJ498" s="1260"/>
      <c r="JK498" s="1260"/>
      <c r="JL498" s="1260"/>
      <c r="JM498" s="1260"/>
      <c r="JN498" s="1260"/>
      <c r="JO498" s="1260"/>
      <c r="JP498" s="1260"/>
      <c r="JQ498" s="1260"/>
      <c r="JR498" s="1260"/>
      <c r="JS498" s="1260"/>
      <c r="JT498" s="1260"/>
      <c r="JU498" s="1260"/>
      <c r="JV498" s="1260"/>
      <c r="JW498" s="1260"/>
      <c r="JX498" s="1260"/>
      <c r="JY498" s="1260"/>
      <c r="JZ498" s="1260"/>
      <c r="KA498" s="1260"/>
      <c r="KB498" s="1260"/>
      <c r="KC498" s="1260"/>
      <c r="KD498" s="1260"/>
      <c r="KE498" s="1260"/>
      <c r="KF498" s="1260"/>
      <c r="KG498" s="1260"/>
      <c r="KH498" s="1260"/>
      <c r="KI498" s="1260"/>
      <c r="KJ498" s="1260"/>
      <c r="KK498" s="1260"/>
      <c r="KL498" s="1260"/>
      <c r="KM498" s="1260"/>
      <c r="KN498" s="1260"/>
      <c r="KO498" s="1260"/>
      <c r="KP498" s="1260"/>
      <c r="KQ498" s="1260"/>
      <c r="KR498" s="1260"/>
      <c r="KS498" s="1260"/>
      <c r="KT498" s="1260"/>
      <c r="KU498" s="1260"/>
      <c r="KV498" s="1260"/>
      <c r="KW498" s="1260"/>
      <c r="KX498" s="1260"/>
      <c r="KY498" s="1260"/>
      <c r="KZ498" s="1260"/>
      <c r="LA498" s="1260"/>
      <c r="LB498" s="1260"/>
      <c r="LC498" s="1260"/>
      <c r="LD498" s="1260"/>
      <c r="LE498" s="1260"/>
      <c r="LF498" s="1260"/>
      <c r="LG498" s="1260"/>
      <c r="LH498" s="1260"/>
      <c r="LI498" s="1260"/>
      <c r="LJ498" s="1260"/>
      <c r="LK498" s="1260"/>
      <c r="LL498" s="1260"/>
      <c r="LM498" s="1260"/>
      <c r="LN498" s="1260"/>
      <c r="LO498" s="1260"/>
      <c r="LP498" s="1260"/>
      <c r="LQ498" s="1260"/>
      <c r="LR498" s="1260"/>
      <c r="LS498" s="1260"/>
      <c r="LT498" s="1260"/>
      <c r="LU498" s="1260"/>
      <c r="LV498" s="1260"/>
      <c r="LW498" s="1260"/>
      <c r="LX498" s="1260"/>
      <c r="LY498" s="1260"/>
      <c r="LZ498" s="1260"/>
      <c r="MA498" s="1260"/>
      <c r="MB498" s="1260"/>
      <c r="MC498" s="1260"/>
      <c r="MD498" s="1260"/>
      <c r="ME498" s="1260"/>
      <c r="MF498" s="1260"/>
      <c r="MG498" s="1260"/>
      <c r="MH498" s="1260"/>
      <c r="MI498" s="1260"/>
      <c r="MJ498" s="1260"/>
      <c r="MK498" s="1260"/>
      <c r="ML498" s="1260"/>
      <c r="MM498" s="1260"/>
      <c r="MN498" s="1260"/>
      <c r="MO498" s="1260"/>
      <c r="MP498" s="1260"/>
      <c r="MQ498" s="1260"/>
      <c r="MR498" s="1260"/>
      <c r="MS498" s="1260"/>
      <c r="MT498" s="1260"/>
      <c r="MU498" s="1260"/>
      <c r="MV498" s="1260"/>
      <c r="MW498" s="1260"/>
      <c r="MX498" s="1260"/>
      <c r="MY498" s="1260"/>
      <c r="MZ498" s="1260"/>
      <c r="NA498" s="1260"/>
      <c r="NB498" s="1260"/>
      <c r="NC498" s="1260"/>
      <c r="ND498" s="1260"/>
      <c r="NE498" s="1260"/>
      <c r="NF498" s="1260"/>
      <c r="NG498" s="1260"/>
      <c r="NH498" s="1260"/>
      <c r="NI498" s="1260"/>
      <c r="NJ498" s="1260"/>
      <c r="NK498" s="1260"/>
      <c r="NL498" s="1260"/>
      <c r="NM498" s="1260"/>
      <c r="NN498" s="1260"/>
      <c r="NO498" s="1260"/>
      <c r="NP498" s="1260"/>
      <c r="NQ498" s="1260"/>
      <c r="NR498" s="1260"/>
      <c r="NS498" s="1260"/>
      <c r="NT498" s="1260"/>
      <c r="NU498" s="1260"/>
      <c r="NV498" s="1260"/>
      <c r="NW498" s="1260"/>
      <c r="NX498" s="1260"/>
      <c r="NY498" s="1260"/>
      <c r="NZ498" s="1260"/>
      <c r="OA498" s="1260"/>
      <c r="OB498" s="1260"/>
      <c r="OC498" s="1260"/>
      <c r="OD498" s="1260"/>
      <c r="OE498" s="1260"/>
      <c r="OF498" s="1260"/>
      <c r="OG498" s="1260"/>
      <c r="OH498" s="1260"/>
      <c r="OI498" s="1260"/>
      <c r="OJ498" s="1260"/>
      <c r="OK498" s="1260"/>
      <c r="OL498" s="1260"/>
      <c r="OM498" s="1260"/>
      <c r="ON498" s="1260"/>
      <c r="OO498" s="1260"/>
      <c r="OP498" s="1260"/>
      <c r="OQ498" s="1260"/>
      <c r="OR498" s="1260"/>
      <c r="OS498" s="1260"/>
      <c r="OT498" s="1260"/>
      <c r="OU498" s="1260"/>
      <c r="OV498" s="1260"/>
      <c r="OW498" s="1260"/>
      <c r="OX498" s="1260"/>
      <c r="OY498" s="1260"/>
      <c r="OZ498" s="1260"/>
      <c r="PA498" s="1260"/>
      <c r="PB498" s="1260"/>
      <c r="PC498" s="1260"/>
      <c r="PD498" s="1260"/>
      <c r="PE498" s="1260"/>
      <c r="PF498" s="1260"/>
      <c r="PG498" s="1260"/>
      <c r="PH498" s="1260"/>
      <c r="PI498" s="1260"/>
      <c r="PJ498" s="1260"/>
      <c r="PK498" s="1260"/>
      <c r="PL498" s="1260"/>
      <c r="PM498" s="1260"/>
      <c r="PN498" s="1260"/>
      <c r="PO498" s="1260"/>
      <c r="PP498" s="1260"/>
      <c r="PQ498" s="1260"/>
      <c r="PR498" s="1260"/>
      <c r="PS498" s="1260"/>
      <c r="PT498" s="1260"/>
      <c r="PU498" s="1260"/>
      <c r="PV498" s="1260"/>
      <c r="PW498" s="1260"/>
      <c r="PX498" s="1260"/>
      <c r="PY498" s="1260"/>
      <c r="PZ498" s="1260"/>
      <c r="QA498" s="1260"/>
      <c r="QB498" s="1260"/>
      <c r="QC498" s="1260"/>
      <c r="QD498" s="1260"/>
      <c r="QE498" s="1260"/>
      <c r="QF498" s="1260"/>
      <c r="QG498" s="1260"/>
      <c r="QH498" s="1260"/>
      <c r="QI498" s="1260"/>
      <c r="QJ498" s="1260"/>
      <c r="QK498" s="1260"/>
      <c r="QL498" s="1260"/>
      <c r="QM498" s="1260"/>
      <c r="QN498" s="1260"/>
      <c r="QO498" s="1260"/>
      <c r="QP498" s="1260"/>
      <c r="QQ498" s="1260"/>
      <c r="QR498" s="1260"/>
      <c r="QS498" s="1260"/>
      <c r="QT498" s="1260"/>
      <c r="QU498" s="1260"/>
      <c r="QV498" s="1260"/>
      <c r="QW498" s="1260"/>
      <c r="QX498" s="1260"/>
      <c r="QY498" s="1260"/>
      <c r="QZ498" s="1260"/>
      <c r="RA498" s="1260"/>
      <c r="RB498" s="1260"/>
      <c r="RC498" s="1260"/>
      <c r="RD498" s="1260"/>
      <c r="RE498" s="1260"/>
      <c r="RF498" s="1260"/>
      <c r="RG498" s="1260"/>
      <c r="RH498" s="1260"/>
      <c r="RI498" s="1260"/>
      <c r="RJ498" s="1260"/>
      <c r="RK498" s="1260"/>
      <c r="RL498" s="1260"/>
      <c r="RM498" s="1260"/>
      <c r="RN498" s="1260"/>
      <c r="RO498" s="1260"/>
      <c r="RP498" s="1260"/>
      <c r="RQ498" s="1260"/>
      <c r="RR498" s="1260"/>
      <c r="RS498" s="1260"/>
      <c r="RT498" s="1260"/>
      <c r="RU498" s="1260"/>
      <c r="RV498" s="1260"/>
      <c r="RW498" s="1260"/>
      <c r="RX498" s="1260"/>
      <c r="RY498" s="1260"/>
      <c r="RZ498" s="1260"/>
      <c r="SA498" s="1260"/>
      <c r="SB498" s="1260"/>
      <c r="SC498" s="1260"/>
      <c r="SD498" s="1260"/>
      <c r="SE498" s="1260"/>
      <c r="SF498" s="1260"/>
      <c r="SG498" s="1260"/>
      <c r="SH498" s="1260"/>
      <c r="SI498" s="1260"/>
      <c r="SJ498" s="1260"/>
      <c r="SK498" s="1260"/>
      <c r="SL498" s="1260"/>
      <c r="SM498" s="1260"/>
      <c r="SN498" s="1260"/>
      <c r="SO498" s="1260"/>
      <c r="SP498" s="1260"/>
      <c r="SQ498" s="1260"/>
      <c r="SR498" s="1260"/>
      <c r="SS498" s="1260"/>
      <c r="ST498" s="1260"/>
      <c r="SU498" s="1260"/>
      <c r="SV498" s="1260"/>
      <c r="SW498" s="1260"/>
      <c r="SX498" s="1260"/>
      <c r="SY498" s="1260"/>
      <c r="SZ498" s="1260"/>
      <c r="TA498" s="1260"/>
      <c r="TB498" s="1260"/>
      <c r="TC498" s="1260"/>
      <c r="TD498" s="1260"/>
      <c r="TE498" s="1260"/>
      <c r="TF498" s="1260"/>
      <c r="TG498" s="1260"/>
      <c r="TH498" s="1260"/>
      <c r="TI498" s="1260"/>
      <c r="TJ498" s="1260"/>
      <c r="TK498" s="1260"/>
      <c r="TL498" s="1260"/>
      <c r="TM498" s="1260"/>
      <c r="TN498" s="1260"/>
      <c r="TO498" s="1260"/>
      <c r="TP498" s="1260"/>
      <c r="TQ498" s="1260"/>
      <c r="TR498" s="1260"/>
      <c r="TS498" s="1260"/>
      <c r="TT498" s="1260"/>
      <c r="TU498" s="1260"/>
      <c r="TV498" s="1260"/>
      <c r="TW498" s="1260"/>
      <c r="TX498" s="1260"/>
      <c r="TY498" s="1260"/>
      <c r="TZ498" s="1260"/>
      <c r="UA498" s="1260"/>
      <c r="UB498" s="1260"/>
      <c r="UC498" s="1260"/>
      <c r="UD498" s="1260"/>
      <c r="UE498" s="1260"/>
      <c r="UF498" s="1260"/>
      <c r="UG498" s="1261"/>
    </row>
    <row r="499" spans="1:553" s="1262" customFormat="1" ht="30.75" customHeight="1">
      <c r="A499" s="1226"/>
      <c r="B499" s="1226"/>
      <c r="C499" s="1463" t="s">
        <v>1113</v>
      </c>
      <c r="D499" s="1463" t="s">
        <v>1114</v>
      </c>
      <c r="E499" s="1463" t="s">
        <v>1114</v>
      </c>
      <c r="F499" s="1463" t="s">
        <v>1114</v>
      </c>
      <c r="G499" s="1226" t="s">
        <v>46</v>
      </c>
      <c r="H499" s="502"/>
      <c r="I499" s="546">
        <f>(86.32*100/400)*(17-(7-3))*1</f>
        <v>280.53999999999996</v>
      </c>
      <c r="J499" s="985">
        <v>9800</v>
      </c>
      <c r="K499" s="578">
        <v>0.7</v>
      </c>
      <c r="L499" s="679">
        <f>I499*J499*K499</f>
        <v>1924504.3999999994</v>
      </c>
      <c r="M499" s="366"/>
      <c r="N499" s="366"/>
      <c r="O499" s="366"/>
      <c r="P499" s="366"/>
      <c r="Q499" s="1144"/>
      <c r="R499" s="1452"/>
      <c r="S499" s="308"/>
      <c r="T499" s="303"/>
      <c r="U499" s="306"/>
      <c r="V499" s="307"/>
      <c r="W499" s="306"/>
      <c r="X499" s="306"/>
      <c r="Y499" s="306"/>
      <c r="Z499" s="306"/>
      <c r="AA499" s="306"/>
      <c r="AB499" s="306"/>
      <c r="AC499" s="449"/>
      <c r="AD499" s="452"/>
      <c r="AE499" s="452"/>
      <c r="AF499" s="452"/>
      <c r="AG499" s="452"/>
      <c r="AH499" s="452"/>
      <c r="AI499" s="452"/>
      <c r="AJ499" s="452"/>
      <c r="AK499" s="452"/>
      <c r="AL499" s="1259"/>
      <c r="AM499" s="1260"/>
      <c r="AN499" s="1260"/>
      <c r="AO499" s="1260"/>
      <c r="AP499" s="1260"/>
      <c r="AQ499" s="1260"/>
      <c r="AR499" s="1260"/>
      <c r="AS499" s="1260"/>
      <c r="AT499" s="1260"/>
      <c r="AU499" s="1260"/>
      <c r="AV499" s="1260"/>
      <c r="AW499" s="1260"/>
      <c r="AX499" s="1260"/>
      <c r="AY499" s="1260"/>
      <c r="AZ499" s="1260"/>
      <c r="BA499" s="1260"/>
      <c r="BB499" s="1260"/>
      <c r="BC499" s="1260"/>
      <c r="BD499" s="1260"/>
      <c r="BE499" s="1260"/>
      <c r="BF499" s="1260"/>
      <c r="BG499" s="1260"/>
      <c r="BH499" s="1260"/>
      <c r="BI499" s="1260"/>
      <c r="BJ499" s="1260"/>
      <c r="BK499" s="1260"/>
      <c r="BL499" s="1260"/>
      <c r="BM499" s="1260"/>
      <c r="BN499" s="1260"/>
      <c r="BO499" s="1260"/>
      <c r="BP499" s="1260"/>
      <c r="BQ499" s="1260"/>
      <c r="BR499" s="1260"/>
      <c r="BS499" s="1260"/>
      <c r="BT499" s="1260"/>
      <c r="BU499" s="1260"/>
      <c r="BV499" s="1260"/>
      <c r="BW499" s="1260"/>
      <c r="BX499" s="1260"/>
      <c r="BY499" s="1260"/>
      <c r="BZ499" s="1260"/>
      <c r="CA499" s="1260"/>
      <c r="CB499" s="1260"/>
      <c r="CC499" s="1260"/>
      <c r="CD499" s="1260"/>
      <c r="CE499" s="1260"/>
      <c r="CF499" s="1260"/>
      <c r="CG499" s="1260"/>
      <c r="CH499" s="1260"/>
      <c r="CI499" s="1260"/>
      <c r="CJ499" s="1260"/>
      <c r="CK499" s="1260"/>
      <c r="CL499" s="1260"/>
      <c r="CM499" s="1260"/>
      <c r="CN499" s="1260"/>
      <c r="CO499" s="1260"/>
      <c r="CP499" s="1260"/>
      <c r="CQ499" s="1260"/>
      <c r="CR499" s="1260"/>
      <c r="CS499" s="1260"/>
      <c r="CT499" s="1260"/>
      <c r="CU499" s="1260"/>
      <c r="CV499" s="1260"/>
      <c r="CW499" s="1260"/>
      <c r="CX499" s="1260"/>
      <c r="CY499" s="1260"/>
      <c r="CZ499" s="1260"/>
      <c r="DA499" s="1260"/>
      <c r="DB499" s="1260"/>
      <c r="DC499" s="1260"/>
      <c r="DD499" s="1260"/>
      <c r="DE499" s="1260"/>
      <c r="DF499" s="1260"/>
      <c r="DG499" s="1260"/>
      <c r="DH499" s="1260"/>
      <c r="DI499" s="1260"/>
      <c r="DJ499" s="1260"/>
      <c r="DK499" s="1260"/>
      <c r="DL499" s="1260"/>
      <c r="DM499" s="1260"/>
      <c r="DN499" s="1260"/>
      <c r="DO499" s="1260"/>
      <c r="DP499" s="1260"/>
      <c r="DQ499" s="1260"/>
      <c r="DR499" s="1260"/>
      <c r="DS499" s="1260"/>
      <c r="DT499" s="1260"/>
      <c r="DU499" s="1260"/>
      <c r="DV499" s="1260"/>
      <c r="DW499" s="1260"/>
      <c r="DX499" s="1260"/>
      <c r="DY499" s="1260"/>
      <c r="DZ499" s="1260"/>
      <c r="EA499" s="1260"/>
      <c r="EB499" s="1260"/>
      <c r="EC499" s="1260"/>
      <c r="ED499" s="1260"/>
      <c r="EE499" s="1260"/>
      <c r="EF499" s="1260"/>
      <c r="EG499" s="1260"/>
      <c r="EH499" s="1260"/>
      <c r="EI499" s="1260"/>
      <c r="EJ499" s="1260"/>
      <c r="EK499" s="1260"/>
      <c r="EL499" s="1260"/>
      <c r="EM499" s="1260"/>
      <c r="EN499" s="1260"/>
      <c r="EO499" s="1260"/>
      <c r="EP499" s="1260"/>
      <c r="EQ499" s="1260"/>
      <c r="ER499" s="1260"/>
      <c r="ES499" s="1260"/>
      <c r="ET499" s="1260"/>
      <c r="EU499" s="1260"/>
      <c r="EV499" s="1260"/>
      <c r="EW499" s="1260"/>
      <c r="EX499" s="1260"/>
      <c r="EY499" s="1260"/>
      <c r="EZ499" s="1260"/>
      <c r="FA499" s="1260"/>
      <c r="FB499" s="1260"/>
      <c r="FC499" s="1260"/>
      <c r="FD499" s="1260"/>
      <c r="FE499" s="1260"/>
      <c r="FF499" s="1260"/>
      <c r="FG499" s="1260"/>
      <c r="FH499" s="1260"/>
      <c r="FI499" s="1260"/>
      <c r="FJ499" s="1260"/>
      <c r="FK499" s="1260"/>
      <c r="FL499" s="1260"/>
      <c r="FM499" s="1260"/>
      <c r="FN499" s="1260"/>
      <c r="FO499" s="1260"/>
      <c r="FP499" s="1260"/>
      <c r="FQ499" s="1260"/>
      <c r="FR499" s="1260"/>
      <c r="FS499" s="1260"/>
      <c r="FT499" s="1260"/>
      <c r="FU499" s="1260"/>
      <c r="FV499" s="1260"/>
      <c r="FW499" s="1260"/>
      <c r="FX499" s="1260"/>
      <c r="FY499" s="1260"/>
      <c r="FZ499" s="1260"/>
      <c r="GA499" s="1260"/>
      <c r="GB499" s="1260"/>
      <c r="GC499" s="1260"/>
      <c r="GD499" s="1260"/>
      <c r="GE499" s="1260"/>
      <c r="GF499" s="1260"/>
      <c r="GG499" s="1260"/>
      <c r="GH499" s="1260"/>
      <c r="GI499" s="1260"/>
      <c r="GJ499" s="1260"/>
      <c r="GK499" s="1260"/>
      <c r="GL499" s="1260"/>
      <c r="GM499" s="1260"/>
      <c r="GN499" s="1260"/>
      <c r="GO499" s="1260"/>
      <c r="GP499" s="1260"/>
      <c r="GQ499" s="1260"/>
      <c r="GR499" s="1260"/>
      <c r="GS499" s="1260"/>
      <c r="GT499" s="1260"/>
      <c r="GU499" s="1260"/>
      <c r="GV499" s="1260"/>
      <c r="GW499" s="1260"/>
      <c r="GX499" s="1260"/>
      <c r="GY499" s="1260"/>
      <c r="GZ499" s="1260"/>
      <c r="HA499" s="1260"/>
      <c r="HB499" s="1260"/>
      <c r="HC499" s="1260"/>
      <c r="HD499" s="1260"/>
      <c r="HE499" s="1260"/>
      <c r="HF499" s="1260"/>
      <c r="HG499" s="1260"/>
      <c r="HH499" s="1260"/>
      <c r="HI499" s="1260"/>
      <c r="HJ499" s="1260"/>
      <c r="HK499" s="1260"/>
      <c r="HL499" s="1260"/>
      <c r="HM499" s="1260"/>
      <c r="HN499" s="1260"/>
      <c r="HO499" s="1260"/>
      <c r="HP499" s="1260"/>
      <c r="HQ499" s="1260"/>
      <c r="HR499" s="1260"/>
      <c r="HS499" s="1260"/>
      <c r="HT499" s="1260"/>
      <c r="HU499" s="1260"/>
      <c r="HV499" s="1260"/>
      <c r="HW499" s="1260"/>
      <c r="HX499" s="1260"/>
      <c r="HY499" s="1260"/>
      <c r="HZ499" s="1260"/>
      <c r="IA499" s="1260"/>
      <c r="IB499" s="1260"/>
      <c r="IC499" s="1260"/>
      <c r="ID499" s="1260"/>
      <c r="IE499" s="1260"/>
      <c r="IF499" s="1260"/>
      <c r="IG499" s="1260"/>
      <c r="IH499" s="1260"/>
      <c r="II499" s="1260"/>
      <c r="IJ499" s="1260"/>
      <c r="IK499" s="1260"/>
      <c r="IL499" s="1260"/>
      <c r="IM499" s="1260"/>
      <c r="IN499" s="1260"/>
      <c r="IO499" s="1260"/>
      <c r="IP499" s="1260"/>
      <c r="IQ499" s="1260"/>
      <c r="IR499" s="1260"/>
      <c r="IS499" s="1260"/>
      <c r="IT499" s="1260"/>
      <c r="IU499" s="1260"/>
      <c r="IV499" s="1260"/>
      <c r="IW499" s="1260"/>
      <c r="IX499" s="1260"/>
      <c r="IY499" s="1260"/>
      <c r="IZ499" s="1260"/>
      <c r="JA499" s="1260"/>
      <c r="JB499" s="1260"/>
      <c r="JC499" s="1260"/>
      <c r="JD499" s="1260"/>
      <c r="JE499" s="1260"/>
      <c r="JF499" s="1260"/>
      <c r="JG499" s="1260"/>
      <c r="JH499" s="1260"/>
      <c r="JI499" s="1260"/>
      <c r="JJ499" s="1260"/>
      <c r="JK499" s="1260"/>
      <c r="JL499" s="1260"/>
      <c r="JM499" s="1260"/>
      <c r="JN499" s="1260"/>
      <c r="JO499" s="1260"/>
      <c r="JP499" s="1260"/>
      <c r="JQ499" s="1260"/>
      <c r="JR499" s="1260"/>
      <c r="JS499" s="1260"/>
      <c r="JT499" s="1260"/>
      <c r="JU499" s="1260"/>
      <c r="JV499" s="1260"/>
      <c r="JW499" s="1260"/>
      <c r="JX499" s="1260"/>
      <c r="JY499" s="1260"/>
      <c r="JZ499" s="1260"/>
      <c r="KA499" s="1260"/>
      <c r="KB499" s="1260"/>
      <c r="KC499" s="1260"/>
      <c r="KD499" s="1260"/>
      <c r="KE499" s="1260"/>
      <c r="KF499" s="1260"/>
      <c r="KG499" s="1260"/>
      <c r="KH499" s="1260"/>
      <c r="KI499" s="1260"/>
      <c r="KJ499" s="1260"/>
      <c r="KK499" s="1260"/>
      <c r="KL499" s="1260"/>
      <c r="KM499" s="1260"/>
      <c r="KN499" s="1260"/>
      <c r="KO499" s="1260"/>
      <c r="KP499" s="1260"/>
      <c r="KQ499" s="1260"/>
      <c r="KR499" s="1260"/>
      <c r="KS499" s="1260"/>
      <c r="KT499" s="1260"/>
      <c r="KU499" s="1260"/>
      <c r="KV499" s="1260"/>
      <c r="KW499" s="1260"/>
      <c r="KX499" s="1260"/>
      <c r="KY499" s="1260"/>
      <c r="KZ499" s="1260"/>
      <c r="LA499" s="1260"/>
      <c r="LB499" s="1260"/>
      <c r="LC499" s="1260"/>
      <c r="LD499" s="1260"/>
      <c r="LE499" s="1260"/>
      <c r="LF499" s="1260"/>
      <c r="LG499" s="1260"/>
      <c r="LH499" s="1260"/>
      <c r="LI499" s="1260"/>
      <c r="LJ499" s="1260"/>
      <c r="LK499" s="1260"/>
      <c r="LL499" s="1260"/>
      <c r="LM499" s="1260"/>
      <c r="LN499" s="1260"/>
      <c r="LO499" s="1260"/>
      <c r="LP499" s="1260"/>
      <c r="LQ499" s="1260"/>
      <c r="LR499" s="1260"/>
      <c r="LS499" s="1260"/>
      <c r="LT499" s="1260"/>
      <c r="LU499" s="1260"/>
      <c r="LV499" s="1260"/>
      <c r="LW499" s="1260"/>
      <c r="LX499" s="1260"/>
      <c r="LY499" s="1260"/>
      <c r="LZ499" s="1260"/>
      <c r="MA499" s="1260"/>
      <c r="MB499" s="1260"/>
      <c r="MC499" s="1260"/>
      <c r="MD499" s="1260"/>
      <c r="ME499" s="1260"/>
      <c r="MF499" s="1260"/>
      <c r="MG499" s="1260"/>
      <c r="MH499" s="1260"/>
      <c r="MI499" s="1260"/>
      <c r="MJ499" s="1260"/>
      <c r="MK499" s="1260"/>
      <c r="ML499" s="1260"/>
      <c r="MM499" s="1260"/>
      <c r="MN499" s="1260"/>
      <c r="MO499" s="1260"/>
      <c r="MP499" s="1260"/>
      <c r="MQ499" s="1260"/>
      <c r="MR499" s="1260"/>
      <c r="MS499" s="1260"/>
      <c r="MT499" s="1260"/>
      <c r="MU499" s="1260"/>
      <c r="MV499" s="1260"/>
      <c r="MW499" s="1260"/>
      <c r="MX499" s="1260"/>
      <c r="MY499" s="1260"/>
      <c r="MZ499" s="1260"/>
      <c r="NA499" s="1260"/>
      <c r="NB499" s="1260"/>
      <c r="NC499" s="1260"/>
      <c r="ND499" s="1260"/>
      <c r="NE499" s="1260"/>
      <c r="NF499" s="1260"/>
      <c r="NG499" s="1260"/>
      <c r="NH499" s="1260"/>
      <c r="NI499" s="1260"/>
      <c r="NJ499" s="1260"/>
      <c r="NK499" s="1260"/>
      <c r="NL499" s="1260"/>
      <c r="NM499" s="1260"/>
      <c r="NN499" s="1260"/>
      <c r="NO499" s="1260"/>
      <c r="NP499" s="1260"/>
      <c r="NQ499" s="1260"/>
      <c r="NR499" s="1260"/>
      <c r="NS499" s="1260"/>
      <c r="NT499" s="1260"/>
      <c r="NU499" s="1260"/>
      <c r="NV499" s="1260"/>
      <c r="NW499" s="1260"/>
      <c r="NX499" s="1260"/>
      <c r="NY499" s="1260"/>
      <c r="NZ499" s="1260"/>
      <c r="OA499" s="1260"/>
      <c r="OB499" s="1260"/>
      <c r="OC499" s="1260"/>
      <c r="OD499" s="1260"/>
      <c r="OE499" s="1260"/>
      <c r="OF499" s="1260"/>
      <c r="OG499" s="1260"/>
      <c r="OH499" s="1260"/>
      <c r="OI499" s="1260"/>
      <c r="OJ499" s="1260"/>
      <c r="OK499" s="1260"/>
      <c r="OL499" s="1260"/>
      <c r="OM499" s="1260"/>
      <c r="ON499" s="1260"/>
      <c r="OO499" s="1260"/>
      <c r="OP499" s="1260"/>
      <c r="OQ499" s="1260"/>
      <c r="OR499" s="1260"/>
      <c r="OS499" s="1260"/>
      <c r="OT499" s="1260"/>
      <c r="OU499" s="1260"/>
      <c r="OV499" s="1260"/>
      <c r="OW499" s="1260"/>
      <c r="OX499" s="1260"/>
      <c r="OY499" s="1260"/>
      <c r="OZ499" s="1260"/>
      <c r="PA499" s="1260"/>
      <c r="PB499" s="1260"/>
      <c r="PC499" s="1260"/>
      <c r="PD499" s="1260"/>
      <c r="PE499" s="1260"/>
      <c r="PF499" s="1260"/>
      <c r="PG499" s="1260"/>
      <c r="PH499" s="1260"/>
      <c r="PI499" s="1260"/>
      <c r="PJ499" s="1260"/>
      <c r="PK499" s="1260"/>
      <c r="PL499" s="1260"/>
      <c r="PM499" s="1260"/>
      <c r="PN499" s="1260"/>
      <c r="PO499" s="1260"/>
      <c r="PP499" s="1260"/>
      <c r="PQ499" s="1260"/>
      <c r="PR499" s="1260"/>
      <c r="PS499" s="1260"/>
      <c r="PT499" s="1260"/>
      <c r="PU499" s="1260"/>
      <c r="PV499" s="1260"/>
      <c r="PW499" s="1260"/>
      <c r="PX499" s="1260"/>
      <c r="PY499" s="1260"/>
      <c r="PZ499" s="1260"/>
      <c r="QA499" s="1260"/>
      <c r="QB499" s="1260"/>
      <c r="QC499" s="1260"/>
      <c r="QD499" s="1260"/>
      <c r="QE499" s="1260"/>
      <c r="QF499" s="1260"/>
      <c r="QG499" s="1260"/>
      <c r="QH499" s="1260"/>
      <c r="QI499" s="1260"/>
      <c r="QJ499" s="1260"/>
      <c r="QK499" s="1260"/>
      <c r="QL499" s="1260"/>
      <c r="QM499" s="1260"/>
      <c r="QN499" s="1260"/>
      <c r="QO499" s="1260"/>
      <c r="QP499" s="1260"/>
      <c r="QQ499" s="1260"/>
      <c r="QR499" s="1260"/>
      <c r="QS499" s="1260"/>
      <c r="QT499" s="1260"/>
      <c r="QU499" s="1260"/>
      <c r="QV499" s="1260"/>
      <c r="QW499" s="1260"/>
      <c r="QX499" s="1260"/>
      <c r="QY499" s="1260"/>
      <c r="QZ499" s="1260"/>
      <c r="RA499" s="1260"/>
      <c r="RB499" s="1260"/>
      <c r="RC499" s="1260"/>
      <c r="RD499" s="1260"/>
      <c r="RE499" s="1260"/>
      <c r="RF499" s="1260"/>
      <c r="RG499" s="1260"/>
      <c r="RH499" s="1260"/>
      <c r="RI499" s="1260"/>
      <c r="RJ499" s="1260"/>
      <c r="RK499" s="1260"/>
      <c r="RL499" s="1260"/>
      <c r="RM499" s="1260"/>
      <c r="RN499" s="1260"/>
      <c r="RO499" s="1260"/>
      <c r="RP499" s="1260"/>
      <c r="RQ499" s="1260"/>
      <c r="RR499" s="1260"/>
      <c r="RS499" s="1260"/>
      <c r="RT499" s="1260"/>
      <c r="RU499" s="1260"/>
      <c r="RV499" s="1260"/>
      <c r="RW499" s="1260"/>
      <c r="RX499" s="1260"/>
      <c r="RY499" s="1260"/>
      <c r="RZ499" s="1260"/>
      <c r="SA499" s="1260"/>
      <c r="SB499" s="1260"/>
      <c r="SC499" s="1260"/>
      <c r="SD499" s="1260"/>
      <c r="SE499" s="1260"/>
      <c r="SF499" s="1260"/>
      <c r="SG499" s="1260"/>
      <c r="SH499" s="1260"/>
      <c r="SI499" s="1260"/>
      <c r="SJ499" s="1260"/>
      <c r="SK499" s="1260"/>
      <c r="SL499" s="1260"/>
      <c r="SM499" s="1260"/>
      <c r="SN499" s="1260"/>
      <c r="SO499" s="1260"/>
      <c r="SP499" s="1260"/>
      <c r="SQ499" s="1260"/>
      <c r="SR499" s="1260"/>
      <c r="SS499" s="1260"/>
      <c r="ST499" s="1260"/>
      <c r="SU499" s="1260"/>
      <c r="SV499" s="1260"/>
      <c r="SW499" s="1260"/>
      <c r="SX499" s="1260"/>
      <c r="SY499" s="1260"/>
      <c r="SZ499" s="1260"/>
      <c r="TA499" s="1260"/>
      <c r="TB499" s="1260"/>
      <c r="TC499" s="1260"/>
      <c r="TD499" s="1260"/>
      <c r="TE499" s="1260"/>
      <c r="TF499" s="1260"/>
      <c r="TG499" s="1260"/>
      <c r="TH499" s="1260"/>
      <c r="TI499" s="1260"/>
      <c r="TJ499" s="1260"/>
      <c r="TK499" s="1260"/>
      <c r="TL499" s="1260"/>
      <c r="TM499" s="1260"/>
      <c r="TN499" s="1260"/>
      <c r="TO499" s="1260"/>
      <c r="TP499" s="1260"/>
      <c r="TQ499" s="1260"/>
      <c r="TR499" s="1260"/>
      <c r="TS499" s="1260"/>
      <c r="TT499" s="1260"/>
      <c r="TU499" s="1260"/>
      <c r="TV499" s="1260"/>
      <c r="TW499" s="1260"/>
      <c r="TX499" s="1260"/>
      <c r="TY499" s="1260"/>
      <c r="TZ499" s="1260"/>
      <c r="UA499" s="1260"/>
      <c r="UB499" s="1260"/>
      <c r="UC499" s="1260"/>
      <c r="UD499" s="1260"/>
      <c r="UE499" s="1260"/>
      <c r="UF499" s="1260"/>
      <c r="UG499" s="1261"/>
    </row>
    <row r="500" spans="1:553" s="1262" customFormat="1" ht="30.75" customHeight="1">
      <c r="A500" s="415"/>
      <c r="B500" s="415"/>
      <c r="C500" s="1499" t="s">
        <v>1115</v>
      </c>
      <c r="D500" s="1500" t="s">
        <v>1116</v>
      </c>
      <c r="E500" s="1500" t="s">
        <v>1116</v>
      </c>
      <c r="F500" s="1501" t="s">
        <v>1116</v>
      </c>
      <c r="G500" s="1218" t="s">
        <v>196</v>
      </c>
      <c r="H500" s="504"/>
      <c r="I500" s="595">
        <f>(75.22*100/500)*(17-(7-3))*1</f>
        <v>195.572</v>
      </c>
      <c r="J500" s="1248">
        <v>10800</v>
      </c>
      <c r="K500" s="596">
        <v>0.7</v>
      </c>
      <c r="L500" s="1317">
        <f t="shared" ref="L500" si="93">ROUND(PRODUCT(I500:K500),0)</f>
        <v>1478524</v>
      </c>
      <c r="M500" s="366"/>
      <c r="N500" s="366"/>
      <c r="O500" s="366"/>
      <c r="P500" s="366"/>
      <c r="Q500" s="1144"/>
      <c r="R500" s="1452"/>
      <c r="S500" s="308"/>
      <c r="T500" s="303"/>
      <c r="U500" s="306"/>
      <c r="V500" s="307"/>
      <c r="W500" s="306"/>
      <c r="X500" s="306"/>
      <c r="Y500" s="306"/>
      <c r="Z500" s="306"/>
      <c r="AA500" s="306"/>
      <c r="AB500" s="306"/>
      <c r="AC500" s="449"/>
      <c r="AD500" s="452"/>
      <c r="AE500" s="452"/>
      <c r="AF500" s="452"/>
      <c r="AG500" s="452"/>
      <c r="AH500" s="452"/>
      <c r="AI500" s="452"/>
      <c r="AJ500" s="452"/>
      <c r="AK500" s="452"/>
      <c r="AL500" s="1259"/>
      <c r="AM500" s="1260"/>
      <c r="AN500" s="1260"/>
      <c r="AO500" s="1260"/>
      <c r="AP500" s="1260"/>
      <c r="AQ500" s="1260"/>
      <c r="AR500" s="1260"/>
      <c r="AS500" s="1260"/>
      <c r="AT500" s="1260"/>
      <c r="AU500" s="1260"/>
      <c r="AV500" s="1260"/>
      <c r="AW500" s="1260"/>
      <c r="AX500" s="1260"/>
      <c r="AY500" s="1260"/>
      <c r="AZ500" s="1260"/>
      <c r="BA500" s="1260"/>
      <c r="BB500" s="1260"/>
      <c r="BC500" s="1260"/>
      <c r="BD500" s="1260"/>
      <c r="BE500" s="1260"/>
      <c r="BF500" s="1260"/>
      <c r="BG500" s="1260"/>
      <c r="BH500" s="1260"/>
      <c r="BI500" s="1260"/>
      <c r="BJ500" s="1260"/>
      <c r="BK500" s="1260"/>
      <c r="BL500" s="1260"/>
      <c r="BM500" s="1260"/>
      <c r="BN500" s="1260"/>
      <c r="BO500" s="1260"/>
      <c r="BP500" s="1260"/>
      <c r="BQ500" s="1260"/>
      <c r="BR500" s="1260"/>
      <c r="BS500" s="1260"/>
      <c r="BT500" s="1260"/>
      <c r="BU500" s="1260"/>
      <c r="BV500" s="1260"/>
      <c r="BW500" s="1260"/>
      <c r="BX500" s="1260"/>
      <c r="BY500" s="1260"/>
      <c r="BZ500" s="1260"/>
      <c r="CA500" s="1260"/>
      <c r="CB500" s="1260"/>
      <c r="CC500" s="1260"/>
      <c r="CD500" s="1260"/>
      <c r="CE500" s="1260"/>
      <c r="CF500" s="1260"/>
      <c r="CG500" s="1260"/>
      <c r="CH500" s="1260"/>
      <c r="CI500" s="1260"/>
      <c r="CJ500" s="1260"/>
      <c r="CK500" s="1260"/>
      <c r="CL500" s="1260"/>
      <c r="CM500" s="1260"/>
      <c r="CN500" s="1260"/>
      <c r="CO500" s="1260"/>
      <c r="CP500" s="1260"/>
      <c r="CQ500" s="1260"/>
      <c r="CR500" s="1260"/>
      <c r="CS500" s="1260"/>
      <c r="CT500" s="1260"/>
      <c r="CU500" s="1260"/>
      <c r="CV500" s="1260"/>
      <c r="CW500" s="1260"/>
      <c r="CX500" s="1260"/>
      <c r="CY500" s="1260"/>
      <c r="CZ500" s="1260"/>
      <c r="DA500" s="1260"/>
      <c r="DB500" s="1260"/>
      <c r="DC500" s="1260"/>
      <c r="DD500" s="1260"/>
      <c r="DE500" s="1260"/>
      <c r="DF500" s="1260"/>
      <c r="DG500" s="1260"/>
      <c r="DH500" s="1260"/>
      <c r="DI500" s="1260"/>
      <c r="DJ500" s="1260"/>
      <c r="DK500" s="1260"/>
      <c r="DL500" s="1260"/>
      <c r="DM500" s="1260"/>
      <c r="DN500" s="1260"/>
      <c r="DO500" s="1260"/>
      <c r="DP500" s="1260"/>
      <c r="DQ500" s="1260"/>
      <c r="DR500" s="1260"/>
      <c r="DS500" s="1260"/>
      <c r="DT500" s="1260"/>
      <c r="DU500" s="1260"/>
      <c r="DV500" s="1260"/>
      <c r="DW500" s="1260"/>
      <c r="DX500" s="1260"/>
      <c r="DY500" s="1260"/>
      <c r="DZ500" s="1260"/>
      <c r="EA500" s="1260"/>
      <c r="EB500" s="1260"/>
      <c r="EC500" s="1260"/>
      <c r="ED500" s="1260"/>
      <c r="EE500" s="1260"/>
      <c r="EF500" s="1260"/>
      <c r="EG500" s="1260"/>
      <c r="EH500" s="1260"/>
      <c r="EI500" s="1260"/>
      <c r="EJ500" s="1260"/>
      <c r="EK500" s="1260"/>
      <c r="EL500" s="1260"/>
      <c r="EM500" s="1260"/>
      <c r="EN500" s="1260"/>
      <c r="EO500" s="1260"/>
      <c r="EP500" s="1260"/>
      <c r="EQ500" s="1260"/>
      <c r="ER500" s="1260"/>
      <c r="ES500" s="1260"/>
      <c r="ET500" s="1260"/>
      <c r="EU500" s="1260"/>
      <c r="EV500" s="1260"/>
      <c r="EW500" s="1260"/>
      <c r="EX500" s="1260"/>
      <c r="EY500" s="1260"/>
      <c r="EZ500" s="1260"/>
      <c r="FA500" s="1260"/>
      <c r="FB500" s="1260"/>
      <c r="FC500" s="1260"/>
      <c r="FD500" s="1260"/>
      <c r="FE500" s="1260"/>
      <c r="FF500" s="1260"/>
      <c r="FG500" s="1260"/>
      <c r="FH500" s="1260"/>
      <c r="FI500" s="1260"/>
      <c r="FJ500" s="1260"/>
      <c r="FK500" s="1260"/>
      <c r="FL500" s="1260"/>
      <c r="FM500" s="1260"/>
      <c r="FN500" s="1260"/>
      <c r="FO500" s="1260"/>
      <c r="FP500" s="1260"/>
      <c r="FQ500" s="1260"/>
      <c r="FR500" s="1260"/>
      <c r="FS500" s="1260"/>
      <c r="FT500" s="1260"/>
      <c r="FU500" s="1260"/>
      <c r="FV500" s="1260"/>
      <c r="FW500" s="1260"/>
      <c r="FX500" s="1260"/>
      <c r="FY500" s="1260"/>
      <c r="FZ500" s="1260"/>
      <c r="GA500" s="1260"/>
      <c r="GB500" s="1260"/>
      <c r="GC500" s="1260"/>
      <c r="GD500" s="1260"/>
      <c r="GE500" s="1260"/>
      <c r="GF500" s="1260"/>
      <c r="GG500" s="1260"/>
      <c r="GH500" s="1260"/>
      <c r="GI500" s="1260"/>
      <c r="GJ500" s="1260"/>
      <c r="GK500" s="1260"/>
      <c r="GL500" s="1260"/>
      <c r="GM500" s="1260"/>
      <c r="GN500" s="1260"/>
      <c r="GO500" s="1260"/>
      <c r="GP500" s="1260"/>
      <c r="GQ500" s="1260"/>
      <c r="GR500" s="1260"/>
      <c r="GS500" s="1260"/>
      <c r="GT500" s="1260"/>
      <c r="GU500" s="1260"/>
      <c r="GV500" s="1260"/>
      <c r="GW500" s="1260"/>
      <c r="GX500" s="1260"/>
      <c r="GY500" s="1260"/>
      <c r="GZ500" s="1260"/>
      <c r="HA500" s="1260"/>
      <c r="HB500" s="1260"/>
      <c r="HC500" s="1260"/>
      <c r="HD500" s="1260"/>
      <c r="HE500" s="1260"/>
      <c r="HF500" s="1260"/>
      <c r="HG500" s="1260"/>
      <c r="HH500" s="1260"/>
      <c r="HI500" s="1260"/>
      <c r="HJ500" s="1260"/>
      <c r="HK500" s="1260"/>
      <c r="HL500" s="1260"/>
      <c r="HM500" s="1260"/>
      <c r="HN500" s="1260"/>
      <c r="HO500" s="1260"/>
      <c r="HP500" s="1260"/>
      <c r="HQ500" s="1260"/>
      <c r="HR500" s="1260"/>
      <c r="HS500" s="1260"/>
      <c r="HT500" s="1260"/>
      <c r="HU500" s="1260"/>
      <c r="HV500" s="1260"/>
      <c r="HW500" s="1260"/>
      <c r="HX500" s="1260"/>
      <c r="HY500" s="1260"/>
      <c r="HZ500" s="1260"/>
      <c r="IA500" s="1260"/>
      <c r="IB500" s="1260"/>
      <c r="IC500" s="1260"/>
      <c r="ID500" s="1260"/>
      <c r="IE500" s="1260"/>
      <c r="IF500" s="1260"/>
      <c r="IG500" s="1260"/>
      <c r="IH500" s="1260"/>
      <c r="II500" s="1260"/>
      <c r="IJ500" s="1260"/>
      <c r="IK500" s="1260"/>
      <c r="IL500" s="1260"/>
      <c r="IM500" s="1260"/>
      <c r="IN500" s="1260"/>
      <c r="IO500" s="1260"/>
      <c r="IP500" s="1260"/>
      <c r="IQ500" s="1260"/>
      <c r="IR500" s="1260"/>
      <c r="IS500" s="1260"/>
      <c r="IT500" s="1260"/>
      <c r="IU500" s="1260"/>
      <c r="IV500" s="1260"/>
      <c r="IW500" s="1260"/>
      <c r="IX500" s="1260"/>
      <c r="IY500" s="1260"/>
      <c r="IZ500" s="1260"/>
      <c r="JA500" s="1260"/>
      <c r="JB500" s="1260"/>
      <c r="JC500" s="1260"/>
      <c r="JD500" s="1260"/>
      <c r="JE500" s="1260"/>
      <c r="JF500" s="1260"/>
      <c r="JG500" s="1260"/>
      <c r="JH500" s="1260"/>
      <c r="JI500" s="1260"/>
      <c r="JJ500" s="1260"/>
      <c r="JK500" s="1260"/>
      <c r="JL500" s="1260"/>
      <c r="JM500" s="1260"/>
      <c r="JN500" s="1260"/>
      <c r="JO500" s="1260"/>
      <c r="JP500" s="1260"/>
      <c r="JQ500" s="1260"/>
      <c r="JR500" s="1260"/>
      <c r="JS500" s="1260"/>
      <c r="JT500" s="1260"/>
      <c r="JU500" s="1260"/>
      <c r="JV500" s="1260"/>
      <c r="JW500" s="1260"/>
      <c r="JX500" s="1260"/>
      <c r="JY500" s="1260"/>
      <c r="JZ500" s="1260"/>
      <c r="KA500" s="1260"/>
      <c r="KB500" s="1260"/>
      <c r="KC500" s="1260"/>
      <c r="KD500" s="1260"/>
      <c r="KE500" s="1260"/>
      <c r="KF500" s="1260"/>
      <c r="KG500" s="1260"/>
      <c r="KH500" s="1260"/>
      <c r="KI500" s="1260"/>
      <c r="KJ500" s="1260"/>
      <c r="KK500" s="1260"/>
      <c r="KL500" s="1260"/>
      <c r="KM500" s="1260"/>
      <c r="KN500" s="1260"/>
      <c r="KO500" s="1260"/>
      <c r="KP500" s="1260"/>
      <c r="KQ500" s="1260"/>
      <c r="KR500" s="1260"/>
      <c r="KS500" s="1260"/>
      <c r="KT500" s="1260"/>
      <c r="KU500" s="1260"/>
      <c r="KV500" s="1260"/>
      <c r="KW500" s="1260"/>
      <c r="KX500" s="1260"/>
      <c r="KY500" s="1260"/>
      <c r="KZ500" s="1260"/>
      <c r="LA500" s="1260"/>
      <c r="LB500" s="1260"/>
      <c r="LC500" s="1260"/>
      <c r="LD500" s="1260"/>
      <c r="LE500" s="1260"/>
      <c r="LF500" s="1260"/>
      <c r="LG500" s="1260"/>
      <c r="LH500" s="1260"/>
      <c r="LI500" s="1260"/>
      <c r="LJ500" s="1260"/>
      <c r="LK500" s="1260"/>
      <c r="LL500" s="1260"/>
      <c r="LM500" s="1260"/>
      <c r="LN500" s="1260"/>
      <c r="LO500" s="1260"/>
      <c r="LP500" s="1260"/>
      <c r="LQ500" s="1260"/>
      <c r="LR500" s="1260"/>
      <c r="LS500" s="1260"/>
      <c r="LT500" s="1260"/>
      <c r="LU500" s="1260"/>
      <c r="LV500" s="1260"/>
      <c r="LW500" s="1260"/>
      <c r="LX500" s="1260"/>
      <c r="LY500" s="1260"/>
      <c r="LZ500" s="1260"/>
      <c r="MA500" s="1260"/>
      <c r="MB500" s="1260"/>
      <c r="MC500" s="1260"/>
      <c r="MD500" s="1260"/>
      <c r="ME500" s="1260"/>
      <c r="MF500" s="1260"/>
      <c r="MG500" s="1260"/>
      <c r="MH500" s="1260"/>
      <c r="MI500" s="1260"/>
      <c r="MJ500" s="1260"/>
      <c r="MK500" s="1260"/>
      <c r="ML500" s="1260"/>
      <c r="MM500" s="1260"/>
      <c r="MN500" s="1260"/>
      <c r="MO500" s="1260"/>
      <c r="MP500" s="1260"/>
      <c r="MQ500" s="1260"/>
      <c r="MR500" s="1260"/>
      <c r="MS500" s="1260"/>
      <c r="MT500" s="1260"/>
      <c r="MU500" s="1260"/>
      <c r="MV500" s="1260"/>
      <c r="MW500" s="1260"/>
      <c r="MX500" s="1260"/>
      <c r="MY500" s="1260"/>
      <c r="MZ500" s="1260"/>
      <c r="NA500" s="1260"/>
      <c r="NB500" s="1260"/>
      <c r="NC500" s="1260"/>
      <c r="ND500" s="1260"/>
      <c r="NE500" s="1260"/>
      <c r="NF500" s="1260"/>
      <c r="NG500" s="1260"/>
      <c r="NH500" s="1260"/>
      <c r="NI500" s="1260"/>
      <c r="NJ500" s="1260"/>
      <c r="NK500" s="1260"/>
      <c r="NL500" s="1260"/>
      <c r="NM500" s="1260"/>
      <c r="NN500" s="1260"/>
      <c r="NO500" s="1260"/>
      <c r="NP500" s="1260"/>
      <c r="NQ500" s="1260"/>
      <c r="NR500" s="1260"/>
      <c r="NS500" s="1260"/>
      <c r="NT500" s="1260"/>
      <c r="NU500" s="1260"/>
      <c r="NV500" s="1260"/>
      <c r="NW500" s="1260"/>
      <c r="NX500" s="1260"/>
      <c r="NY500" s="1260"/>
      <c r="NZ500" s="1260"/>
      <c r="OA500" s="1260"/>
      <c r="OB500" s="1260"/>
      <c r="OC500" s="1260"/>
      <c r="OD500" s="1260"/>
      <c r="OE500" s="1260"/>
      <c r="OF500" s="1260"/>
      <c r="OG500" s="1260"/>
      <c r="OH500" s="1260"/>
      <c r="OI500" s="1260"/>
      <c r="OJ500" s="1260"/>
      <c r="OK500" s="1260"/>
      <c r="OL500" s="1260"/>
      <c r="OM500" s="1260"/>
      <c r="ON500" s="1260"/>
      <c r="OO500" s="1260"/>
      <c r="OP500" s="1260"/>
      <c r="OQ500" s="1260"/>
      <c r="OR500" s="1260"/>
      <c r="OS500" s="1260"/>
      <c r="OT500" s="1260"/>
      <c r="OU500" s="1260"/>
      <c r="OV500" s="1260"/>
      <c r="OW500" s="1260"/>
      <c r="OX500" s="1260"/>
      <c r="OY500" s="1260"/>
      <c r="OZ500" s="1260"/>
      <c r="PA500" s="1260"/>
      <c r="PB500" s="1260"/>
      <c r="PC500" s="1260"/>
      <c r="PD500" s="1260"/>
      <c r="PE500" s="1260"/>
      <c r="PF500" s="1260"/>
      <c r="PG500" s="1260"/>
      <c r="PH500" s="1260"/>
      <c r="PI500" s="1260"/>
      <c r="PJ500" s="1260"/>
      <c r="PK500" s="1260"/>
      <c r="PL500" s="1260"/>
      <c r="PM500" s="1260"/>
      <c r="PN500" s="1260"/>
      <c r="PO500" s="1260"/>
      <c r="PP500" s="1260"/>
      <c r="PQ500" s="1260"/>
      <c r="PR500" s="1260"/>
      <c r="PS500" s="1260"/>
      <c r="PT500" s="1260"/>
      <c r="PU500" s="1260"/>
      <c r="PV500" s="1260"/>
      <c r="PW500" s="1260"/>
      <c r="PX500" s="1260"/>
      <c r="PY500" s="1260"/>
      <c r="PZ500" s="1260"/>
      <c r="QA500" s="1260"/>
      <c r="QB500" s="1260"/>
      <c r="QC500" s="1260"/>
      <c r="QD500" s="1260"/>
      <c r="QE500" s="1260"/>
      <c r="QF500" s="1260"/>
      <c r="QG500" s="1260"/>
      <c r="QH500" s="1260"/>
      <c r="QI500" s="1260"/>
      <c r="QJ500" s="1260"/>
      <c r="QK500" s="1260"/>
      <c r="QL500" s="1260"/>
      <c r="QM500" s="1260"/>
      <c r="QN500" s="1260"/>
      <c r="QO500" s="1260"/>
      <c r="QP500" s="1260"/>
      <c r="QQ500" s="1260"/>
      <c r="QR500" s="1260"/>
      <c r="QS500" s="1260"/>
      <c r="QT500" s="1260"/>
      <c r="QU500" s="1260"/>
      <c r="QV500" s="1260"/>
      <c r="QW500" s="1260"/>
      <c r="QX500" s="1260"/>
      <c r="QY500" s="1260"/>
      <c r="QZ500" s="1260"/>
      <c r="RA500" s="1260"/>
      <c r="RB500" s="1260"/>
      <c r="RC500" s="1260"/>
      <c r="RD500" s="1260"/>
      <c r="RE500" s="1260"/>
      <c r="RF500" s="1260"/>
      <c r="RG500" s="1260"/>
      <c r="RH500" s="1260"/>
      <c r="RI500" s="1260"/>
      <c r="RJ500" s="1260"/>
      <c r="RK500" s="1260"/>
      <c r="RL500" s="1260"/>
      <c r="RM500" s="1260"/>
      <c r="RN500" s="1260"/>
      <c r="RO500" s="1260"/>
      <c r="RP500" s="1260"/>
      <c r="RQ500" s="1260"/>
      <c r="RR500" s="1260"/>
      <c r="RS500" s="1260"/>
      <c r="RT500" s="1260"/>
      <c r="RU500" s="1260"/>
      <c r="RV500" s="1260"/>
      <c r="RW500" s="1260"/>
      <c r="RX500" s="1260"/>
      <c r="RY500" s="1260"/>
      <c r="RZ500" s="1260"/>
      <c r="SA500" s="1260"/>
      <c r="SB500" s="1260"/>
      <c r="SC500" s="1260"/>
      <c r="SD500" s="1260"/>
      <c r="SE500" s="1260"/>
      <c r="SF500" s="1260"/>
      <c r="SG500" s="1260"/>
      <c r="SH500" s="1260"/>
      <c r="SI500" s="1260"/>
      <c r="SJ500" s="1260"/>
      <c r="SK500" s="1260"/>
      <c r="SL500" s="1260"/>
      <c r="SM500" s="1260"/>
      <c r="SN500" s="1260"/>
      <c r="SO500" s="1260"/>
      <c r="SP500" s="1260"/>
      <c r="SQ500" s="1260"/>
      <c r="SR500" s="1260"/>
      <c r="SS500" s="1260"/>
      <c r="ST500" s="1260"/>
      <c r="SU500" s="1260"/>
      <c r="SV500" s="1260"/>
      <c r="SW500" s="1260"/>
      <c r="SX500" s="1260"/>
      <c r="SY500" s="1260"/>
      <c r="SZ500" s="1260"/>
      <c r="TA500" s="1260"/>
      <c r="TB500" s="1260"/>
      <c r="TC500" s="1260"/>
      <c r="TD500" s="1260"/>
      <c r="TE500" s="1260"/>
      <c r="TF500" s="1260"/>
      <c r="TG500" s="1260"/>
      <c r="TH500" s="1260"/>
      <c r="TI500" s="1260"/>
      <c r="TJ500" s="1260"/>
      <c r="TK500" s="1260"/>
      <c r="TL500" s="1260"/>
      <c r="TM500" s="1260"/>
      <c r="TN500" s="1260"/>
      <c r="TO500" s="1260"/>
      <c r="TP500" s="1260"/>
      <c r="TQ500" s="1260"/>
      <c r="TR500" s="1260"/>
      <c r="TS500" s="1260"/>
      <c r="TT500" s="1260"/>
      <c r="TU500" s="1260"/>
      <c r="TV500" s="1260"/>
      <c r="TW500" s="1260"/>
      <c r="TX500" s="1260"/>
      <c r="TY500" s="1260"/>
      <c r="TZ500" s="1260"/>
      <c r="UA500" s="1260"/>
      <c r="UB500" s="1260"/>
      <c r="UC500" s="1260"/>
      <c r="UD500" s="1260"/>
      <c r="UE500" s="1260"/>
      <c r="UF500" s="1260"/>
      <c r="UG500" s="1261"/>
    </row>
    <row r="501" spans="1:553" s="1262" customFormat="1" ht="30.75" customHeight="1">
      <c r="A501" s="366"/>
      <c r="B501" s="366"/>
      <c r="C501" s="1446" t="s">
        <v>806</v>
      </c>
      <c r="D501" s="1502" t="s">
        <v>843</v>
      </c>
      <c r="E501" s="1502" t="s">
        <v>843</v>
      </c>
      <c r="F501" s="1503" t="s">
        <v>843</v>
      </c>
      <c r="G501" s="366" t="s">
        <v>196</v>
      </c>
      <c r="H501" s="370"/>
      <c r="I501" s="422">
        <f>(161.02*100/400)*(12-(5-3))*1</f>
        <v>402.55</v>
      </c>
      <c r="J501" s="368">
        <v>10600</v>
      </c>
      <c r="K501" s="495">
        <v>0.7</v>
      </c>
      <c r="L501" s="480">
        <f>ROUND(PRODUCT(I501:K501),0)</f>
        <v>2986921</v>
      </c>
      <c r="M501" s="366"/>
      <c r="N501" s="366"/>
      <c r="O501" s="366"/>
      <c r="P501" s="366"/>
      <c r="Q501" s="1144"/>
      <c r="R501" s="1452"/>
      <c r="S501" s="308"/>
      <c r="T501" s="303"/>
      <c r="U501" s="306"/>
      <c r="V501" s="307"/>
      <c r="W501" s="306"/>
      <c r="X501" s="306"/>
      <c r="Y501" s="306"/>
      <c r="Z501" s="306"/>
      <c r="AA501" s="306"/>
      <c r="AB501" s="306"/>
      <c r="AC501" s="449"/>
      <c r="AD501" s="452"/>
      <c r="AE501" s="452"/>
      <c r="AF501" s="452"/>
      <c r="AG501" s="452"/>
      <c r="AH501" s="452"/>
      <c r="AI501" s="452"/>
      <c r="AJ501" s="452"/>
      <c r="AK501" s="452"/>
      <c r="AL501" s="1259"/>
      <c r="AM501" s="1260"/>
      <c r="AN501" s="1260"/>
      <c r="AO501" s="1260"/>
      <c r="AP501" s="1260"/>
      <c r="AQ501" s="1260"/>
      <c r="AR501" s="1260"/>
      <c r="AS501" s="1260"/>
      <c r="AT501" s="1260"/>
      <c r="AU501" s="1260"/>
      <c r="AV501" s="1260"/>
      <c r="AW501" s="1260"/>
      <c r="AX501" s="1260"/>
      <c r="AY501" s="1260"/>
      <c r="AZ501" s="1260"/>
      <c r="BA501" s="1260"/>
      <c r="BB501" s="1260"/>
      <c r="BC501" s="1260"/>
      <c r="BD501" s="1260"/>
      <c r="BE501" s="1260"/>
      <c r="BF501" s="1260"/>
      <c r="BG501" s="1260"/>
      <c r="BH501" s="1260"/>
      <c r="BI501" s="1260"/>
      <c r="BJ501" s="1260"/>
      <c r="BK501" s="1260"/>
      <c r="BL501" s="1260"/>
      <c r="BM501" s="1260"/>
      <c r="BN501" s="1260"/>
      <c r="BO501" s="1260"/>
      <c r="BP501" s="1260"/>
      <c r="BQ501" s="1260"/>
      <c r="BR501" s="1260"/>
      <c r="BS501" s="1260"/>
      <c r="BT501" s="1260"/>
      <c r="BU501" s="1260"/>
      <c r="BV501" s="1260"/>
      <c r="BW501" s="1260"/>
      <c r="BX501" s="1260"/>
      <c r="BY501" s="1260"/>
      <c r="BZ501" s="1260"/>
      <c r="CA501" s="1260"/>
      <c r="CB501" s="1260"/>
      <c r="CC501" s="1260"/>
      <c r="CD501" s="1260"/>
      <c r="CE501" s="1260"/>
      <c r="CF501" s="1260"/>
      <c r="CG501" s="1260"/>
      <c r="CH501" s="1260"/>
      <c r="CI501" s="1260"/>
      <c r="CJ501" s="1260"/>
      <c r="CK501" s="1260"/>
      <c r="CL501" s="1260"/>
      <c r="CM501" s="1260"/>
      <c r="CN501" s="1260"/>
      <c r="CO501" s="1260"/>
      <c r="CP501" s="1260"/>
      <c r="CQ501" s="1260"/>
      <c r="CR501" s="1260"/>
      <c r="CS501" s="1260"/>
      <c r="CT501" s="1260"/>
      <c r="CU501" s="1260"/>
      <c r="CV501" s="1260"/>
      <c r="CW501" s="1260"/>
      <c r="CX501" s="1260"/>
      <c r="CY501" s="1260"/>
      <c r="CZ501" s="1260"/>
      <c r="DA501" s="1260"/>
      <c r="DB501" s="1260"/>
      <c r="DC501" s="1260"/>
      <c r="DD501" s="1260"/>
      <c r="DE501" s="1260"/>
      <c r="DF501" s="1260"/>
      <c r="DG501" s="1260"/>
      <c r="DH501" s="1260"/>
      <c r="DI501" s="1260"/>
      <c r="DJ501" s="1260"/>
      <c r="DK501" s="1260"/>
      <c r="DL501" s="1260"/>
      <c r="DM501" s="1260"/>
      <c r="DN501" s="1260"/>
      <c r="DO501" s="1260"/>
      <c r="DP501" s="1260"/>
      <c r="DQ501" s="1260"/>
      <c r="DR501" s="1260"/>
      <c r="DS501" s="1260"/>
      <c r="DT501" s="1260"/>
      <c r="DU501" s="1260"/>
      <c r="DV501" s="1260"/>
      <c r="DW501" s="1260"/>
      <c r="DX501" s="1260"/>
      <c r="DY501" s="1260"/>
      <c r="DZ501" s="1260"/>
      <c r="EA501" s="1260"/>
      <c r="EB501" s="1260"/>
      <c r="EC501" s="1260"/>
      <c r="ED501" s="1260"/>
      <c r="EE501" s="1260"/>
      <c r="EF501" s="1260"/>
      <c r="EG501" s="1260"/>
      <c r="EH501" s="1260"/>
      <c r="EI501" s="1260"/>
      <c r="EJ501" s="1260"/>
      <c r="EK501" s="1260"/>
      <c r="EL501" s="1260"/>
      <c r="EM501" s="1260"/>
      <c r="EN501" s="1260"/>
      <c r="EO501" s="1260"/>
      <c r="EP501" s="1260"/>
      <c r="EQ501" s="1260"/>
      <c r="ER501" s="1260"/>
      <c r="ES501" s="1260"/>
      <c r="ET501" s="1260"/>
      <c r="EU501" s="1260"/>
      <c r="EV501" s="1260"/>
      <c r="EW501" s="1260"/>
      <c r="EX501" s="1260"/>
      <c r="EY501" s="1260"/>
      <c r="EZ501" s="1260"/>
      <c r="FA501" s="1260"/>
      <c r="FB501" s="1260"/>
      <c r="FC501" s="1260"/>
      <c r="FD501" s="1260"/>
      <c r="FE501" s="1260"/>
      <c r="FF501" s="1260"/>
      <c r="FG501" s="1260"/>
      <c r="FH501" s="1260"/>
      <c r="FI501" s="1260"/>
      <c r="FJ501" s="1260"/>
      <c r="FK501" s="1260"/>
      <c r="FL501" s="1260"/>
      <c r="FM501" s="1260"/>
      <c r="FN501" s="1260"/>
      <c r="FO501" s="1260"/>
      <c r="FP501" s="1260"/>
      <c r="FQ501" s="1260"/>
      <c r="FR501" s="1260"/>
      <c r="FS501" s="1260"/>
      <c r="FT501" s="1260"/>
      <c r="FU501" s="1260"/>
      <c r="FV501" s="1260"/>
      <c r="FW501" s="1260"/>
      <c r="FX501" s="1260"/>
      <c r="FY501" s="1260"/>
      <c r="FZ501" s="1260"/>
      <c r="GA501" s="1260"/>
      <c r="GB501" s="1260"/>
      <c r="GC501" s="1260"/>
      <c r="GD501" s="1260"/>
      <c r="GE501" s="1260"/>
      <c r="GF501" s="1260"/>
      <c r="GG501" s="1260"/>
      <c r="GH501" s="1260"/>
      <c r="GI501" s="1260"/>
      <c r="GJ501" s="1260"/>
      <c r="GK501" s="1260"/>
      <c r="GL501" s="1260"/>
      <c r="GM501" s="1260"/>
      <c r="GN501" s="1260"/>
      <c r="GO501" s="1260"/>
      <c r="GP501" s="1260"/>
      <c r="GQ501" s="1260"/>
      <c r="GR501" s="1260"/>
      <c r="GS501" s="1260"/>
      <c r="GT501" s="1260"/>
      <c r="GU501" s="1260"/>
      <c r="GV501" s="1260"/>
      <c r="GW501" s="1260"/>
      <c r="GX501" s="1260"/>
      <c r="GY501" s="1260"/>
      <c r="GZ501" s="1260"/>
      <c r="HA501" s="1260"/>
      <c r="HB501" s="1260"/>
      <c r="HC501" s="1260"/>
      <c r="HD501" s="1260"/>
      <c r="HE501" s="1260"/>
      <c r="HF501" s="1260"/>
      <c r="HG501" s="1260"/>
      <c r="HH501" s="1260"/>
      <c r="HI501" s="1260"/>
      <c r="HJ501" s="1260"/>
      <c r="HK501" s="1260"/>
      <c r="HL501" s="1260"/>
      <c r="HM501" s="1260"/>
      <c r="HN501" s="1260"/>
      <c r="HO501" s="1260"/>
      <c r="HP501" s="1260"/>
      <c r="HQ501" s="1260"/>
      <c r="HR501" s="1260"/>
      <c r="HS501" s="1260"/>
      <c r="HT501" s="1260"/>
      <c r="HU501" s="1260"/>
      <c r="HV501" s="1260"/>
      <c r="HW501" s="1260"/>
      <c r="HX501" s="1260"/>
      <c r="HY501" s="1260"/>
      <c r="HZ501" s="1260"/>
      <c r="IA501" s="1260"/>
      <c r="IB501" s="1260"/>
      <c r="IC501" s="1260"/>
      <c r="ID501" s="1260"/>
      <c r="IE501" s="1260"/>
      <c r="IF501" s="1260"/>
      <c r="IG501" s="1260"/>
      <c r="IH501" s="1260"/>
      <c r="II501" s="1260"/>
      <c r="IJ501" s="1260"/>
      <c r="IK501" s="1260"/>
      <c r="IL501" s="1260"/>
      <c r="IM501" s="1260"/>
      <c r="IN501" s="1260"/>
      <c r="IO501" s="1260"/>
      <c r="IP501" s="1260"/>
      <c r="IQ501" s="1260"/>
      <c r="IR501" s="1260"/>
      <c r="IS501" s="1260"/>
      <c r="IT501" s="1260"/>
      <c r="IU501" s="1260"/>
      <c r="IV501" s="1260"/>
      <c r="IW501" s="1260"/>
      <c r="IX501" s="1260"/>
      <c r="IY501" s="1260"/>
      <c r="IZ501" s="1260"/>
      <c r="JA501" s="1260"/>
      <c r="JB501" s="1260"/>
      <c r="JC501" s="1260"/>
      <c r="JD501" s="1260"/>
      <c r="JE501" s="1260"/>
      <c r="JF501" s="1260"/>
      <c r="JG501" s="1260"/>
      <c r="JH501" s="1260"/>
      <c r="JI501" s="1260"/>
      <c r="JJ501" s="1260"/>
      <c r="JK501" s="1260"/>
      <c r="JL501" s="1260"/>
      <c r="JM501" s="1260"/>
      <c r="JN501" s="1260"/>
      <c r="JO501" s="1260"/>
      <c r="JP501" s="1260"/>
      <c r="JQ501" s="1260"/>
      <c r="JR501" s="1260"/>
      <c r="JS501" s="1260"/>
      <c r="JT501" s="1260"/>
      <c r="JU501" s="1260"/>
      <c r="JV501" s="1260"/>
      <c r="JW501" s="1260"/>
      <c r="JX501" s="1260"/>
      <c r="JY501" s="1260"/>
      <c r="JZ501" s="1260"/>
      <c r="KA501" s="1260"/>
      <c r="KB501" s="1260"/>
      <c r="KC501" s="1260"/>
      <c r="KD501" s="1260"/>
      <c r="KE501" s="1260"/>
      <c r="KF501" s="1260"/>
      <c r="KG501" s="1260"/>
      <c r="KH501" s="1260"/>
      <c r="KI501" s="1260"/>
      <c r="KJ501" s="1260"/>
      <c r="KK501" s="1260"/>
      <c r="KL501" s="1260"/>
      <c r="KM501" s="1260"/>
      <c r="KN501" s="1260"/>
      <c r="KO501" s="1260"/>
      <c r="KP501" s="1260"/>
      <c r="KQ501" s="1260"/>
      <c r="KR501" s="1260"/>
      <c r="KS501" s="1260"/>
      <c r="KT501" s="1260"/>
      <c r="KU501" s="1260"/>
      <c r="KV501" s="1260"/>
      <c r="KW501" s="1260"/>
      <c r="KX501" s="1260"/>
      <c r="KY501" s="1260"/>
      <c r="KZ501" s="1260"/>
      <c r="LA501" s="1260"/>
      <c r="LB501" s="1260"/>
      <c r="LC501" s="1260"/>
      <c r="LD501" s="1260"/>
      <c r="LE501" s="1260"/>
      <c r="LF501" s="1260"/>
      <c r="LG501" s="1260"/>
      <c r="LH501" s="1260"/>
      <c r="LI501" s="1260"/>
      <c r="LJ501" s="1260"/>
      <c r="LK501" s="1260"/>
      <c r="LL501" s="1260"/>
      <c r="LM501" s="1260"/>
      <c r="LN501" s="1260"/>
      <c r="LO501" s="1260"/>
      <c r="LP501" s="1260"/>
      <c r="LQ501" s="1260"/>
      <c r="LR501" s="1260"/>
      <c r="LS501" s="1260"/>
      <c r="LT501" s="1260"/>
      <c r="LU501" s="1260"/>
      <c r="LV501" s="1260"/>
      <c r="LW501" s="1260"/>
      <c r="LX501" s="1260"/>
      <c r="LY501" s="1260"/>
      <c r="LZ501" s="1260"/>
      <c r="MA501" s="1260"/>
      <c r="MB501" s="1260"/>
      <c r="MC501" s="1260"/>
      <c r="MD501" s="1260"/>
      <c r="ME501" s="1260"/>
      <c r="MF501" s="1260"/>
      <c r="MG501" s="1260"/>
      <c r="MH501" s="1260"/>
      <c r="MI501" s="1260"/>
      <c r="MJ501" s="1260"/>
      <c r="MK501" s="1260"/>
      <c r="ML501" s="1260"/>
      <c r="MM501" s="1260"/>
      <c r="MN501" s="1260"/>
      <c r="MO501" s="1260"/>
      <c r="MP501" s="1260"/>
      <c r="MQ501" s="1260"/>
      <c r="MR501" s="1260"/>
      <c r="MS501" s="1260"/>
      <c r="MT501" s="1260"/>
      <c r="MU501" s="1260"/>
      <c r="MV501" s="1260"/>
      <c r="MW501" s="1260"/>
      <c r="MX501" s="1260"/>
      <c r="MY501" s="1260"/>
      <c r="MZ501" s="1260"/>
      <c r="NA501" s="1260"/>
      <c r="NB501" s="1260"/>
      <c r="NC501" s="1260"/>
      <c r="ND501" s="1260"/>
      <c r="NE501" s="1260"/>
      <c r="NF501" s="1260"/>
      <c r="NG501" s="1260"/>
      <c r="NH501" s="1260"/>
      <c r="NI501" s="1260"/>
      <c r="NJ501" s="1260"/>
      <c r="NK501" s="1260"/>
      <c r="NL501" s="1260"/>
      <c r="NM501" s="1260"/>
      <c r="NN501" s="1260"/>
      <c r="NO501" s="1260"/>
      <c r="NP501" s="1260"/>
      <c r="NQ501" s="1260"/>
      <c r="NR501" s="1260"/>
      <c r="NS501" s="1260"/>
      <c r="NT501" s="1260"/>
      <c r="NU501" s="1260"/>
      <c r="NV501" s="1260"/>
      <c r="NW501" s="1260"/>
      <c r="NX501" s="1260"/>
      <c r="NY501" s="1260"/>
      <c r="NZ501" s="1260"/>
      <c r="OA501" s="1260"/>
      <c r="OB501" s="1260"/>
      <c r="OC501" s="1260"/>
      <c r="OD501" s="1260"/>
      <c r="OE501" s="1260"/>
      <c r="OF501" s="1260"/>
      <c r="OG501" s="1260"/>
      <c r="OH501" s="1260"/>
      <c r="OI501" s="1260"/>
      <c r="OJ501" s="1260"/>
      <c r="OK501" s="1260"/>
      <c r="OL501" s="1260"/>
      <c r="OM501" s="1260"/>
      <c r="ON501" s="1260"/>
      <c r="OO501" s="1260"/>
      <c r="OP501" s="1260"/>
      <c r="OQ501" s="1260"/>
      <c r="OR501" s="1260"/>
      <c r="OS501" s="1260"/>
      <c r="OT501" s="1260"/>
      <c r="OU501" s="1260"/>
      <c r="OV501" s="1260"/>
      <c r="OW501" s="1260"/>
      <c r="OX501" s="1260"/>
      <c r="OY501" s="1260"/>
      <c r="OZ501" s="1260"/>
      <c r="PA501" s="1260"/>
      <c r="PB501" s="1260"/>
      <c r="PC501" s="1260"/>
      <c r="PD501" s="1260"/>
      <c r="PE501" s="1260"/>
      <c r="PF501" s="1260"/>
      <c r="PG501" s="1260"/>
      <c r="PH501" s="1260"/>
      <c r="PI501" s="1260"/>
      <c r="PJ501" s="1260"/>
      <c r="PK501" s="1260"/>
      <c r="PL501" s="1260"/>
      <c r="PM501" s="1260"/>
      <c r="PN501" s="1260"/>
      <c r="PO501" s="1260"/>
      <c r="PP501" s="1260"/>
      <c r="PQ501" s="1260"/>
      <c r="PR501" s="1260"/>
      <c r="PS501" s="1260"/>
      <c r="PT501" s="1260"/>
      <c r="PU501" s="1260"/>
      <c r="PV501" s="1260"/>
      <c r="PW501" s="1260"/>
      <c r="PX501" s="1260"/>
      <c r="PY501" s="1260"/>
      <c r="PZ501" s="1260"/>
      <c r="QA501" s="1260"/>
      <c r="QB501" s="1260"/>
      <c r="QC501" s="1260"/>
      <c r="QD501" s="1260"/>
      <c r="QE501" s="1260"/>
      <c r="QF501" s="1260"/>
      <c r="QG501" s="1260"/>
      <c r="QH501" s="1260"/>
      <c r="QI501" s="1260"/>
      <c r="QJ501" s="1260"/>
      <c r="QK501" s="1260"/>
      <c r="QL501" s="1260"/>
      <c r="QM501" s="1260"/>
      <c r="QN501" s="1260"/>
      <c r="QO501" s="1260"/>
      <c r="QP501" s="1260"/>
      <c r="QQ501" s="1260"/>
      <c r="QR501" s="1260"/>
      <c r="QS501" s="1260"/>
      <c r="QT501" s="1260"/>
      <c r="QU501" s="1260"/>
      <c r="QV501" s="1260"/>
      <c r="QW501" s="1260"/>
      <c r="QX501" s="1260"/>
      <c r="QY501" s="1260"/>
      <c r="QZ501" s="1260"/>
      <c r="RA501" s="1260"/>
      <c r="RB501" s="1260"/>
      <c r="RC501" s="1260"/>
      <c r="RD501" s="1260"/>
      <c r="RE501" s="1260"/>
      <c r="RF501" s="1260"/>
      <c r="RG501" s="1260"/>
      <c r="RH501" s="1260"/>
      <c r="RI501" s="1260"/>
      <c r="RJ501" s="1260"/>
      <c r="RK501" s="1260"/>
      <c r="RL501" s="1260"/>
      <c r="RM501" s="1260"/>
      <c r="RN501" s="1260"/>
      <c r="RO501" s="1260"/>
      <c r="RP501" s="1260"/>
      <c r="RQ501" s="1260"/>
      <c r="RR501" s="1260"/>
      <c r="RS501" s="1260"/>
      <c r="RT501" s="1260"/>
      <c r="RU501" s="1260"/>
      <c r="RV501" s="1260"/>
      <c r="RW501" s="1260"/>
      <c r="RX501" s="1260"/>
      <c r="RY501" s="1260"/>
      <c r="RZ501" s="1260"/>
      <c r="SA501" s="1260"/>
      <c r="SB501" s="1260"/>
      <c r="SC501" s="1260"/>
      <c r="SD501" s="1260"/>
      <c r="SE501" s="1260"/>
      <c r="SF501" s="1260"/>
      <c r="SG501" s="1260"/>
      <c r="SH501" s="1260"/>
      <c r="SI501" s="1260"/>
      <c r="SJ501" s="1260"/>
      <c r="SK501" s="1260"/>
      <c r="SL501" s="1260"/>
      <c r="SM501" s="1260"/>
      <c r="SN501" s="1260"/>
      <c r="SO501" s="1260"/>
      <c r="SP501" s="1260"/>
      <c r="SQ501" s="1260"/>
      <c r="SR501" s="1260"/>
      <c r="SS501" s="1260"/>
      <c r="ST501" s="1260"/>
      <c r="SU501" s="1260"/>
      <c r="SV501" s="1260"/>
      <c r="SW501" s="1260"/>
      <c r="SX501" s="1260"/>
      <c r="SY501" s="1260"/>
      <c r="SZ501" s="1260"/>
      <c r="TA501" s="1260"/>
      <c r="TB501" s="1260"/>
      <c r="TC501" s="1260"/>
      <c r="TD501" s="1260"/>
      <c r="TE501" s="1260"/>
      <c r="TF501" s="1260"/>
      <c r="TG501" s="1260"/>
      <c r="TH501" s="1260"/>
      <c r="TI501" s="1260"/>
      <c r="TJ501" s="1260"/>
      <c r="TK501" s="1260"/>
      <c r="TL501" s="1260"/>
      <c r="TM501" s="1260"/>
      <c r="TN501" s="1260"/>
      <c r="TO501" s="1260"/>
      <c r="TP501" s="1260"/>
      <c r="TQ501" s="1260"/>
      <c r="TR501" s="1260"/>
      <c r="TS501" s="1260"/>
      <c r="TT501" s="1260"/>
      <c r="TU501" s="1260"/>
      <c r="TV501" s="1260"/>
      <c r="TW501" s="1260"/>
      <c r="TX501" s="1260"/>
      <c r="TY501" s="1260"/>
      <c r="TZ501" s="1260"/>
      <c r="UA501" s="1260"/>
      <c r="UB501" s="1260"/>
      <c r="UC501" s="1260"/>
      <c r="UD501" s="1260"/>
      <c r="UE501" s="1260"/>
      <c r="UF501" s="1260"/>
      <c r="UG501" s="1261"/>
    </row>
    <row r="502" spans="1:553" s="1262" customFormat="1" ht="30.75" customHeight="1">
      <c r="A502" s="402"/>
      <c r="B502" s="402"/>
      <c r="C502" s="1465" t="s">
        <v>1117</v>
      </c>
      <c r="D502" s="1492" t="s">
        <v>1118</v>
      </c>
      <c r="E502" s="1492" t="s">
        <v>1118</v>
      </c>
      <c r="F502" s="1493" t="s">
        <v>1118</v>
      </c>
      <c r="G502" s="402" t="s">
        <v>196</v>
      </c>
      <c r="H502" s="499"/>
      <c r="I502" s="420">
        <f>(161.02*100/400)*(12-(8-3))*1</f>
        <v>281.78500000000003</v>
      </c>
      <c r="J502" s="985">
        <v>10600</v>
      </c>
      <c r="K502" s="1021">
        <v>0.7</v>
      </c>
      <c r="L502" s="1013">
        <f>ROUND(PRODUCT(I502:K502),0)</f>
        <v>2090845</v>
      </c>
      <c r="M502" s="366"/>
      <c r="N502" s="366"/>
      <c r="O502" s="366"/>
      <c r="P502" s="366"/>
      <c r="Q502" s="1144"/>
      <c r="R502" s="1452"/>
      <c r="S502" s="308"/>
      <c r="T502" s="308"/>
      <c r="U502" s="308"/>
      <c r="V502" s="308"/>
      <c r="W502" s="308"/>
      <c r="X502" s="308"/>
      <c r="Y502" s="308"/>
      <c r="Z502" s="604"/>
      <c r="AA502" s="308"/>
      <c r="AB502" s="308"/>
      <c r="AC502" s="449"/>
      <c r="AD502" s="452"/>
      <c r="AE502" s="452"/>
      <c r="AF502" s="452"/>
      <c r="AG502" s="452"/>
      <c r="AH502" s="452"/>
      <c r="AI502" s="452"/>
      <c r="AJ502" s="452"/>
      <c r="AK502" s="452"/>
      <c r="AL502" s="1259"/>
      <c r="AM502" s="1260"/>
      <c r="AN502" s="1260"/>
      <c r="AO502" s="1260"/>
      <c r="AP502" s="1260"/>
      <c r="AQ502" s="1260"/>
      <c r="AR502" s="1260"/>
      <c r="AS502" s="1260"/>
      <c r="AT502" s="1260"/>
      <c r="AU502" s="1260"/>
      <c r="AV502" s="1260"/>
      <c r="AW502" s="1260"/>
      <c r="AX502" s="1260"/>
      <c r="AY502" s="1260"/>
      <c r="AZ502" s="1260"/>
      <c r="BA502" s="1260"/>
      <c r="BB502" s="1260"/>
      <c r="BC502" s="1260"/>
      <c r="BD502" s="1260"/>
      <c r="BE502" s="1260"/>
      <c r="BF502" s="1260"/>
      <c r="BG502" s="1260"/>
      <c r="BH502" s="1260"/>
      <c r="BI502" s="1260"/>
      <c r="BJ502" s="1260"/>
      <c r="BK502" s="1260"/>
      <c r="BL502" s="1260"/>
      <c r="BM502" s="1260"/>
      <c r="BN502" s="1260"/>
      <c r="BO502" s="1260"/>
      <c r="BP502" s="1260"/>
      <c r="BQ502" s="1260"/>
      <c r="BR502" s="1260"/>
      <c r="BS502" s="1260"/>
      <c r="BT502" s="1260"/>
      <c r="BU502" s="1260"/>
      <c r="BV502" s="1260"/>
      <c r="BW502" s="1260"/>
      <c r="BX502" s="1260"/>
      <c r="BY502" s="1260"/>
      <c r="BZ502" s="1260"/>
      <c r="CA502" s="1260"/>
      <c r="CB502" s="1260"/>
      <c r="CC502" s="1260"/>
      <c r="CD502" s="1260"/>
      <c r="CE502" s="1260"/>
      <c r="CF502" s="1260"/>
      <c r="CG502" s="1260"/>
      <c r="CH502" s="1260"/>
      <c r="CI502" s="1260"/>
      <c r="CJ502" s="1260"/>
      <c r="CK502" s="1260"/>
      <c r="CL502" s="1260"/>
      <c r="CM502" s="1260"/>
      <c r="CN502" s="1260"/>
      <c r="CO502" s="1260"/>
      <c r="CP502" s="1260"/>
      <c r="CQ502" s="1260"/>
      <c r="CR502" s="1260"/>
      <c r="CS502" s="1260"/>
      <c r="CT502" s="1260"/>
      <c r="CU502" s="1260"/>
      <c r="CV502" s="1260"/>
      <c r="CW502" s="1260"/>
      <c r="CX502" s="1260"/>
      <c r="CY502" s="1260"/>
      <c r="CZ502" s="1260"/>
      <c r="DA502" s="1260"/>
      <c r="DB502" s="1260"/>
      <c r="DC502" s="1260"/>
      <c r="DD502" s="1260"/>
      <c r="DE502" s="1260"/>
      <c r="DF502" s="1260"/>
      <c r="DG502" s="1260"/>
      <c r="DH502" s="1260"/>
      <c r="DI502" s="1260"/>
      <c r="DJ502" s="1260"/>
      <c r="DK502" s="1260"/>
      <c r="DL502" s="1260"/>
      <c r="DM502" s="1260"/>
      <c r="DN502" s="1260"/>
      <c r="DO502" s="1260"/>
      <c r="DP502" s="1260"/>
      <c r="DQ502" s="1260"/>
      <c r="DR502" s="1260"/>
      <c r="DS502" s="1260"/>
      <c r="DT502" s="1260"/>
      <c r="DU502" s="1260"/>
      <c r="DV502" s="1260"/>
      <c r="DW502" s="1260"/>
      <c r="DX502" s="1260"/>
      <c r="DY502" s="1260"/>
      <c r="DZ502" s="1260"/>
      <c r="EA502" s="1260"/>
      <c r="EB502" s="1260"/>
      <c r="EC502" s="1260"/>
      <c r="ED502" s="1260"/>
      <c r="EE502" s="1260"/>
      <c r="EF502" s="1260"/>
      <c r="EG502" s="1260"/>
      <c r="EH502" s="1260"/>
      <c r="EI502" s="1260"/>
      <c r="EJ502" s="1260"/>
      <c r="EK502" s="1260"/>
      <c r="EL502" s="1260"/>
      <c r="EM502" s="1260"/>
      <c r="EN502" s="1260"/>
      <c r="EO502" s="1260"/>
      <c r="EP502" s="1260"/>
      <c r="EQ502" s="1260"/>
      <c r="ER502" s="1260"/>
      <c r="ES502" s="1260"/>
      <c r="ET502" s="1260"/>
      <c r="EU502" s="1260"/>
      <c r="EV502" s="1260"/>
      <c r="EW502" s="1260"/>
      <c r="EX502" s="1260"/>
      <c r="EY502" s="1260"/>
      <c r="EZ502" s="1260"/>
      <c r="FA502" s="1260"/>
      <c r="FB502" s="1260"/>
      <c r="FC502" s="1260"/>
      <c r="FD502" s="1260"/>
      <c r="FE502" s="1260"/>
      <c r="FF502" s="1260"/>
      <c r="FG502" s="1260"/>
      <c r="FH502" s="1260"/>
      <c r="FI502" s="1260"/>
      <c r="FJ502" s="1260"/>
      <c r="FK502" s="1260"/>
      <c r="FL502" s="1260"/>
      <c r="FM502" s="1260"/>
      <c r="FN502" s="1260"/>
      <c r="FO502" s="1260"/>
      <c r="FP502" s="1260"/>
      <c r="FQ502" s="1260"/>
      <c r="FR502" s="1260"/>
      <c r="FS502" s="1260"/>
      <c r="FT502" s="1260"/>
      <c r="FU502" s="1260"/>
      <c r="FV502" s="1260"/>
      <c r="FW502" s="1260"/>
      <c r="FX502" s="1260"/>
      <c r="FY502" s="1260"/>
      <c r="FZ502" s="1260"/>
      <c r="GA502" s="1260"/>
      <c r="GB502" s="1260"/>
      <c r="GC502" s="1260"/>
      <c r="GD502" s="1260"/>
      <c r="GE502" s="1260"/>
      <c r="GF502" s="1260"/>
      <c r="GG502" s="1260"/>
      <c r="GH502" s="1260"/>
      <c r="GI502" s="1260"/>
      <c r="GJ502" s="1260"/>
      <c r="GK502" s="1260"/>
      <c r="GL502" s="1260"/>
      <c r="GM502" s="1260"/>
      <c r="GN502" s="1260"/>
      <c r="GO502" s="1260"/>
      <c r="GP502" s="1260"/>
      <c r="GQ502" s="1260"/>
      <c r="GR502" s="1260"/>
      <c r="GS502" s="1260"/>
      <c r="GT502" s="1260"/>
      <c r="GU502" s="1260"/>
      <c r="GV502" s="1260"/>
      <c r="GW502" s="1260"/>
      <c r="GX502" s="1260"/>
      <c r="GY502" s="1260"/>
      <c r="GZ502" s="1260"/>
      <c r="HA502" s="1260"/>
      <c r="HB502" s="1260"/>
      <c r="HC502" s="1260"/>
      <c r="HD502" s="1260"/>
      <c r="HE502" s="1260"/>
      <c r="HF502" s="1260"/>
      <c r="HG502" s="1260"/>
      <c r="HH502" s="1260"/>
      <c r="HI502" s="1260"/>
      <c r="HJ502" s="1260"/>
      <c r="HK502" s="1260"/>
      <c r="HL502" s="1260"/>
      <c r="HM502" s="1260"/>
      <c r="HN502" s="1260"/>
      <c r="HO502" s="1260"/>
      <c r="HP502" s="1260"/>
      <c r="HQ502" s="1260"/>
      <c r="HR502" s="1260"/>
      <c r="HS502" s="1260"/>
      <c r="HT502" s="1260"/>
      <c r="HU502" s="1260"/>
      <c r="HV502" s="1260"/>
      <c r="HW502" s="1260"/>
      <c r="HX502" s="1260"/>
      <c r="HY502" s="1260"/>
      <c r="HZ502" s="1260"/>
      <c r="IA502" s="1260"/>
      <c r="IB502" s="1260"/>
      <c r="IC502" s="1260"/>
      <c r="ID502" s="1260"/>
      <c r="IE502" s="1260"/>
      <c r="IF502" s="1260"/>
      <c r="IG502" s="1260"/>
      <c r="IH502" s="1260"/>
      <c r="II502" s="1260"/>
      <c r="IJ502" s="1260"/>
      <c r="IK502" s="1260"/>
      <c r="IL502" s="1260"/>
      <c r="IM502" s="1260"/>
      <c r="IN502" s="1260"/>
      <c r="IO502" s="1260"/>
      <c r="IP502" s="1260"/>
      <c r="IQ502" s="1260"/>
      <c r="IR502" s="1260"/>
      <c r="IS502" s="1260"/>
      <c r="IT502" s="1260"/>
      <c r="IU502" s="1260"/>
      <c r="IV502" s="1260"/>
      <c r="IW502" s="1260"/>
      <c r="IX502" s="1260"/>
      <c r="IY502" s="1260"/>
      <c r="IZ502" s="1260"/>
      <c r="JA502" s="1260"/>
      <c r="JB502" s="1260"/>
      <c r="JC502" s="1260"/>
      <c r="JD502" s="1260"/>
      <c r="JE502" s="1260"/>
      <c r="JF502" s="1260"/>
      <c r="JG502" s="1260"/>
      <c r="JH502" s="1260"/>
      <c r="JI502" s="1260"/>
      <c r="JJ502" s="1260"/>
      <c r="JK502" s="1260"/>
      <c r="JL502" s="1260"/>
      <c r="JM502" s="1260"/>
      <c r="JN502" s="1260"/>
      <c r="JO502" s="1260"/>
      <c r="JP502" s="1260"/>
      <c r="JQ502" s="1260"/>
      <c r="JR502" s="1260"/>
      <c r="JS502" s="1260"/>
      <c r="JT502" s="1260"/>
      <c r="JU502" s="1260"/>
      <c r="JV502" s="1260"/>
      <c r="JW502" s="1260"/>
      <c r="JX502" s="1260"/>
      <c r="JY502" s="1260"/>
      <c r="JZ502" s="1260"/>
      <c r="KA502" s="1260"/>
      <c r="KB502" s="1260"/>
      <c r="KC502" s="1260"/>
      <c r="KD502" s="1260"/>
      <c r="KE502" s="1260"/>
      <c r="KF502" s="1260"/>
      <c r="KG502" s="1260"/>
      <c r="KH502" s="1260"/>
      <c r="KI502" s="1260"/>
      <c r="KJ502" s="1260"/>
      <c r="KK502" s="1260"/>
      <c r="KL502" s="1260"/>
      <c r="KM502" s="1260"/>
      <c r="KN502" s="1260"/>
      <c r="KO502" s="1260"/>
      <c r="KP502" s="1260"/>
      <c r="KQ502" s="1260"/>
      <c r="KR502" s="1260"/>
      <c r="KS502" s="1260"/>
      <c r="KT502" s="1260"/>
      <c r="KU502" s="1260"/>
      <c r="KV502" s="1260"/>
      <c r="KW502" s="1260"/>
      <c r="KX502" s="1260"/>
      <c r="KY502" s="1260"/>
      <c r="KZ502" s="1260"/>
      <c r="LA502" s="1260"/>
      <c r="LB502" s="1260"/>
      <c r="LC502" s="1260"/>
      <c r="LD502" s="1260"/>
      <c r="LE502" s="1260"/>
      <c r="LF502" s="1260"/>
      <c r="LG502" s="1260"/>
      <c r="LH502" s="1260"/>
      <c r="LI502" s="1260"/>
      <c r="LJ502" s="1260"/>
      <c r="LK502" s="1260"/>
      <c r="LL502" s="1260"/>
      <c r="LM502" s="1260"/>
      <c r="LN502" s="1260"/>
      <c r="LO502" s="1260"/>
      <c r="LP502" s="1260"/>
      <c r="LQ502" s="1260"/>
      <c r="LR502" s="1260"/>
      <c r="LS502" s="1260"/>
      <c r="LT502" s="1260"/>
      <c r="LU502" s="1260"/>
      <c r="LV502" s="1260"/>
      <c r="LW502" s="1260"/>
      <c r="LX502" s="1260"/>
      <c r="LY502" s="1260"/>
      <c r="LZ502" s="1260"/>
      <c r="MA502" s="1260"/>
      <c r="MB502" s="1260"/>
      <c r="MC502" s="1260"/>
      <c r="MD502" s="1260"/>
      <c r="ME502" s="1260"/>
      <c r="MF502" s="1260"/>
      <c r="MG502" s="1260"/>
      <c r="MH502" s="1260"/>
      <c r="MI502" s="1260"/>
      <c r="MJ502" s="1260"/>
      <c r="MK502" s="1260"/>
      <c r="ML502" s="1260"/>
      <c r="MM502" s="1260"/>
      <c r="MN502" s="1260"/>
      <c r="MO502" s="1260"/>
      <c r="MP502" s="1260"/>
      <c r="MQ502" s="1260"/>
      <c r="MR502" s="1260"/>
      <c r="MS502" s="1260"/>
      <c r="MT502" s="1260"/>
      <c r="MU502" s="1260"/>
      <c r="MV502" s="1260"/>
      <c r="MW502" s="1260"/>
      <c r="MX502" s="1260"/>
      <c r="MY502" s="1260"/>
      <c r="MZ502" s="1260"/>
      <c r="NA502" s="1260"/>
      <c r="NB502" s="1260"/>
      <c r="NC502" s="1260"/>
      <c r="ND502" s="1260"/>
      <c r="NE502" s="1260"/>
      <c r="NF502" s="1260"/>
      <c r="NG502" s="1260"/>
      <c r="NH502" s="1260"/>
      <c r="NI502" s="1260"/>
      <c r="NJ502" s="1260"/>
      <c r="NK502" s="1260"/>
      <c r="NL502" s="1260"/>
      <c r="NM502" s="1260"/>
      <c r="NN502" s="1260"/>
      <c r="NO502" s="1260"/>
      <c r="NP502" s="1260"/>
      <c r="NQ502" s="1260"/>
      <c r="NR502" s="1260"/>
      <c r="NS502" s="1260"/>
      <c r="NT502" s="1260"/>
      <c r="NU502" s="1260"/>
      <c r="NV502" s="1260"/>
      <c r="NW502" s="1260"/>
      <c r="NX502" s="1260"/>
      <c r="NY502" s="1260"/>
      <c r="NZ502" s="1260"/>
      <c r="OA502" s="1260"/>
      <c r="OB502" s="1260"/>
      <c r="OC502" s="1260"/>
      <c r="OD502" s="1260"/>
      <c r="OE502" s="1260"/>
      <c r="OF502" s="1260"/>
      <c r="OG502" s="1260"/>
      <c r="OH502" s="1260"/>
      <c r="OI502" s="1260"/>
      <c r="OJ502" s="1260"/>
      <c r="OK502" s="1260"/>
      <c r="OL502" s="1260"/>
      <c r="OM502" s="1260"/>
      <c r="ON502" s="1260"/>
      <c r="OO502" s="1260"/>
      <c r="OP502" s="1260"/>
      <c r="OQ502" s="1260"/>
      <c r="OR502" s="1260"/>
      <c r="OS502" s="1260"/>
      <c r="OT502" s="1260"/>
      <c r="OU502" s="1260"/>
      <c r="OV502" s="1260"/>
      <c r="OW502" s="1260"/>
      <c r="OX502" s="1260"/>
      <c r="OY502" s="1260"/>
      <c r="OZ502" s="1260"/>
      <c r="PA502" s="1260"/>
      <c r="PB502" s="1260"/>
      <c r="PC502" s="1260"/>
      <c r="PD502" s="1260"/>
      <c r="PE502" s="1260"/>
      <c r="PF502" s="1260"/>
      <c r="PG502" s="1260"/>
      <c r="PH502" s="1260"/>
      <c r="PI502" s="1260"/>
      <c r="PJ502" s="1260"/>
      <c r="PK502" s="1260"/>
      <c r="PL502" s="1260"/>
      <c r="PM502" s="1260"/>
      <c r="PN502" s="1260"/>
      <c r="PO502" s="1260"/>
      <c r="PP502" s="1260"/>
      <c r="PQ502" s="1260"/>
      <c r="PR502" s="1260"/>
      <c r="PS502" s="1260"/>
      <c r="PT502" s="1260"/>
      <c r="PU502" s="1260"/>
      <c r="PV502" s="1260"/>
      <c r="PW502" s="1260"/>
      <c r="PX502" s="1260"/>
      <c r="PY502" s="1260"/>
      <c r="PZ502" s="1260"/>
      <c r="QA502" s="1260"/>
      <c r="QB502" s="1260"/>
      <c r="QC502" s="1260"/>
      <c r="QD502" s="1260"/>
      <c r="QE502" s="1260"/>
      <c r="QF502" s="1260"/>
      <c r="QG502" s="1260"/>
      <c r="QH502" s="1260"/>
      <c r="QI502" s="1260"/>
      <c r="QJ502" s="1260"/>
      <c r="QK502" s="1260"/>
      <c r="QL502" s="1260"/>
      <c r="QM502" s="1260"/>
      <c r="QN502" s="1260"/>
      <c r="QO502" s="1260"/>
      <c r="QP502" s="1260"/>
      <c r="QQ502" s="1260"/>
      <c r="QR502" s="1260"/>
      <c r="QS502" s="1260"/>
      <c r="QT502" s="1260"/>
      <c r="QU502" s="1260"/>
      <c r="QV502" s="1260"/>
      <c r="QW502" s="1260"/>
      <c r="QX502" s="1260"/>
      <c r="QY502" s="1260"/>
      <c r="QZ502" s="1260"/>
      <c r="RA502" s="1260"/>
      <c r="RB502" s="1260"/>
      <c r="RC502" s="1260"/>
      <c r="RD502" s="1260"/>
      <c r="RE502" s="1260"/>
      <c r="RF502" s="1260"/>
      <c r="RG502" s="1260"/>
      <c r="RH502" s="1260"/>
      <c r="RI502" s="1260"/>
      <c r="RJ502" s="1260"/>
      <c r="RK502" s="1260"/>
      <c r="RL502" s="1260"/>
      <c r="RM502" s="1260"/>
      <c r="RN502" s="1260"/>
      <c r="RO502" s="1260"/>
      <c r="RP502" s="1260"/>
      <c r="RQ502" s="1260"/>
      <c r="RR502" s="1260"/>
      <c r="RS502" s="1260"/>
      <c r="RT502" s="1260"/>
      <c r="RU502" s="1260"/>
      <c r="RV502" s="1260"/>
      <c r="RW502" s="1260"/>
      <c r="RX502" s="1260"/>
      <c r="RY502" s="1260"/>
      <c r="RZ502" s="1260"/>
      <c r="SA502" s="1260"/>
      <c r="SB502" s="1260"/>
      <c r="SC502" s="1260"/>
      <c r="SD502" s="1260"/>
      <c r="SE502" s="1260"/>
      <c r="SF502" s="1260"/>
      <c r="SG502" s="1260"/>
      <c r="SH502" s="1260"/>
      <c r="SI502" s="1260"/>
      <c r="SJ502" s="1260"/>
      <c r="SK502" s="1260"/>
      <c r="SL502" s="1260"/>
      <c r="SM502" s="1260"/>
      <c r="SN502" s="1260"/>
      <c r="SO502" s="1260"/>
      <c r="SP502" s="1260"/>
      <c r="SQ502" s="1260"/>
      <c r="SR502" s="1260"/>
      <c r="SS502" s="1260"/>
      <c r="ST502" s="1260"/>
      <c r="SU502" s="1260"/>
      <c r="SV502" s="1260"/>
      <c r="SW502" s="1260"/>
      <c r="SX502" s="1260"/>
      <c r="SY502" s="1260"/>
      <c r="SZ502" s="1260"/>
      <c r="TA502" s="1260"/>
      <c r="TB502" s="1260"/>
      <c r="TC502" s="1260"/>
      <c r="TD502" s="1260"/>
      <c r="TE502" s="1260"/>
      <c r="TF502" s="1260"/>
      <c r="TG502" s="1260"/>
      <c r="TH502" s="1260"/>
      <c r="TI502" s="1260"/>
      <c r="TJ502" s="1260"/>
      <c r="TK502" s="1260"/>
      <c r="TL502" s="1260"/>
      <c r="TM502" s="1260"/>
      <c r="TN502" s="1260"/>
      <c r="TO502" s="1260"/>
      <c r="TP502" s="1260"/>
      <c r="TQ502" s="1260"/>
      <c r="TR502" s="1260"/>
      <c r="TS502" s="1260"/>
      <c r="TT502" s="1260"/>
      <c r="TU502" s="1260"/>
      <c r="TV502" s="1260"/>
      <c r="TW502" s="1260"/>
      <c r="TX502" s="1260"/>
      <c r="TY502" s="1260"/>
      <c r="TZ502" s="1260"/>
      <c r="UA502" s="1260"/>
      <c r="UB502" s="1260"/>
      <c r="UC502" s="1260"/>
      <c r="UD502" s="1260"/>
      <c r="UE502" s="1260"/>
      <c r="UF502" s="1260"/>
      <c r="UG502" s="1261"/>
    </row>
    <row r="503" spans="1:553" s="1262" customFormat="1" ht="30.75" customHeight="1">
      <c r="A503" s="1226"/>
      <c r="B503" s="1226"/>
      <c r="C503" s="1463" t="s">
        <v>590</v>
      </c>
      <c r="D503" s="1463" t="s">
        <v>1119</v>
      </c>
      <c r="E503" s="1463" t="s">
        <v>1119</v>
      </c>
      <c r="F503" s="1463" t="s">
        <v>1119</v>
      </c>
      <c r="G503" s="597" t="s">
        <v>46</v>
      </c>
      <c r="H503" s="502"/>
      <c r="I503" s="502">
        <f>(55.03*100/400)*(32-(6-3))*1</f>
        <v>398.96750000000003</v>
      </c>
      <c r="J503" s="1243">
        <v>7300</v>
      </c>
      <c r="K503" s="578">
        <v>0.7</v>
      </c>
      <c r="L503" s="573">
        <f>I503*J503*K503</f>
        <v>2038723.9249999998</v>
      </c>
      <c r="M503" s="366"/>
      <c r="N503" s="366"/>
      <c r="O503" s="366"/>
      <c r="P503" s="366"/>
      <c r="Q503" s="1144"/>
      <c r="R503" s="1452"/>
      <c r="S503" s="308"/>
      <c r="T503" s="308"/>
      <c r="U503" s="308"/>
      <c r="V503" s="308"/>
      <c r="W503" s="308"/>
      <c r="X503" s="308"/>
      <c r="Y503" s="308"/>
      <c r="Z503" s="604"/>
      <c r="AA503" s="308"/>
      <c r="AB503" s="308"/>
      <c r="AC503" s="449"/>
      <c r="AD503" s="452"/>
      <c r="AE503" s="452"/>
      <c r="AF503" s="452"/>
      <c r="AG503" s="452"/>
      <c r="AH503" s="452"/>
      <c r="AI503" s="452"/>
      <c r="AJ503" s="452"/>
      <c r="AK503" s="452"/>
      <c r="AL503" s="1259"/>
      <c r="AM503" s="1260"/>
      <c r="AN503" s="1260"/>
      <c r="AO503" s="1260"/>
      <c r="AP503" s="1260"/>
      <c r="AQ503" s="1260"/>
      <c r="AR503" s="1260"/>
      <c r="AS503" s="1260"/>
      <c r="AT503" s="1260"/>
      <c r="AU503" s="1260"/>
      <c r="AV503" s="1260"/>
      <c r="AW503" s="1260"/>
      <c r="AX503" s="1260"/>
      <c r="AY503" s="1260"/>
      <c r="AZ503" s="1260"/>
      <c r="BA503" s="1260"/>
      <c r="BB503" s="1260"/>
      <c r="BC503" s="1260"/>
      <c r="BD503" s="1260"/>
      <c r="BE503" s="1260"/>
      <c r="BF503" s="1260"/>
      <c r="BG503" s="1260"/>
      <c r="BH503" s="1260"/>
      <c r="BI503" s="1260"/>
      <c r="BJ503" s="1260"/>
      <c r="BK503" s="1260"/>
      <c r="BL503" s="1260"/>
      <c r="BM503" s="1260"/>
      <c r="BN503" s="1260"/>
      <c r="BO503" s="1260"/>
      <c r="BP503" s="1260"/>
      <c r="BQ503" s="1260"/>
      <c r="BR503" s="1260"/>
      <c r="BS503" s="1260"/>
      <c r="BT503" s="1260"/>
      <c r="BU503" s="1260"/>
      <c r="BV503" s="1260"/>
      <c r="BW503" s="1260"/>
      <c r="BX503" s="1260"/>
      <c r="BY503" s="1260"/>
      <c r="BZ503" s="1260"/>
      <c r="CA503" s="1260"/>
      <c r="CB503" s="1260"/>
      <c r="CC503" s="1260"/>
      <c r="CD503" s="1260"/>
      <c r="CE503" s="1260"/>
      <c r="CF503" s="1260"/>
      <c r="CG503" s="1260"/>
      <c r="CH503" s="1260"/>
      <c r="CI503" s="1260"/>
      <c r="CJ503" s="1260"/>
      <c r="CK503" s="1260"/>
      <c r="CL503" s="1260"/>
      <c r="CM503" s="1260"/>
      <c r="CN503" s="1260"/>
      <c r="CO503" s="1260"/>
      <c r="CP503" s="1260"/>
      <c r="CQ503" s="1260"/>
      <c r="CR503" s="1260"/>
      <c r="CS503" s="1260"/>
      <c r="CT503" s="1260"/>
      <c r="CU503" s="1260"/>
      <c r="CV503" s="1260"/>
      <c r="CW503" s="1260"/>
      <c r="CX503" s="1260"/>
      <c r="CY503" s="1260"/>
      <c r="CZ503" s="1260"/>
      <c r="DA503" s="1260"/>
      <c r="DB503" s="1260"/>
      <c r="DC503" s="1260"/>
      <c r="DD503" s="1260"/>
      <c r="DE503" s="1260"/>
      <c r="DF503" s="1260"/>
      <c r="DG503" s="1260"/>
      <c r="DH503" s="1260"/>
      <c r="DI503" s="1260"/>
      <c r="DJ503" s="1260"/>
      <c r="DK503" s="1260"/>
      <c r="DL503" s="1260"/>
      <c r="DM503" s="1260"/>
      <c r="DN503" s="1260"/>
      <c r="DO503" s="1260"/>
      <c r="DP503" s="1260"/>
      <c r="DQ503" s="1260"/>
      <c r="DR503" s="1260"/>
      <c r="DS503" s="1260"/>
      <c r="DT503" s="1260"/>
      <c r="DU503" s="1260"/>
      <c r="DV503" s="1260"/>
      <c r="DW503" s="1260"/>
      <c r="DX503" s="1260"/>
      <c r="DY503" s="1260"/>
      <c r="DZ503" s="1260"/>
      <c r="EA503" s="1260"/>
      <c r="EB503" s="1260"/>
      <c r="EC503" s="1260"/>
      <c r="ED503" s="1260"/>
      <c r="EE503" s="1260"/>
      <c r="EF503" s="1260"/>
      <c r="EG503" s="1260"/>
      <c r="EH503" s="1260"/>
      <c r="EI503" s="1260"/>
      <c r="EJ503" s="1260"/>
      <c r="EK503" s="1260"/>
      <c r="EL503" s="1260"/>
      <c r="EM503" s="1260"/>
      <c r="EN503" s="1260"/>
      <c r="EO503" s="1260"/>
      <c r="EP503" s="1260"/>
      <c r="EQ503" s="1260"/>
      <c r="ER503" s="1260"/>
      <c r="ES503" s="1260"/>
      <c r="ET503" s="1260"/>
      <c r="EU503" s="1260"/>
      <c r="EV503" s="1260"/>
      <c r="EW503" s="1260"/>
      <c r="EX503" s="1260"/>
      <c r="EY503" s="1260"/>
      <c r="EZ503" s="1260"/>
      <c r="FA503" s="1260"/>
      <c r="FB503" s="1260"/>
      <c r="FC503" s="1260"/>
      <c r="FD503" s="1260"/>
      <c r="FE503" s="1260"/>
      <c r="FF503" s="1260"/>
      <c r="FG503" s="1260"/>
      <c r="FH503" s="1260"/>
      <c r="FI503" s="1260"/>
      <c r="FJ503" s="1260"/>
      <c r="FK503" s="1260"/>
      <c r="FL503" s="1260"/>
      <c r="FM503" s="1260"/>
      <c r="FN503" s="1260"/>
      <c r="FO503" s="1260"/>
      <c r="FP503" s="1260"/>
      <c r="FQ503" s="1260"/>
      <c r="FR503" s="1260"/>
      <c r="FS503" s="1260"/>
      <c r="FT503" s="1260"/>
      <c r="FU503" s="1260"/>
      <c r="FV503" s="1260"/>
      <c r="FW503" s="1260"/>
      <c r="FX503" s="1260"/>
      <c r="FY503" s="1260"/>
      <c r="FZ503" s="1260"/>
      <c r="GA503" s="1260"/>
      <c r="GB503" s="1260"/>
      <c r="GC503" s="1260"/>
      <c r="GD503" s="1260"/>
      <c r="GE503" s="1260"/>
      <c r="GF503" s="1260"/>
      <c r="GG503" s="1260"/>
      <c r="GH503" s="1260"/>
      <c r="GI503" s="1260"/>
      <c r="GJ503" s="1260"/>
      <c r="GK503" s="1260"/>
      <c r="GL503" s="1260"/>
      <c r="GM503" s="1260"/>
      <c r="GN503" s="1260"/>
      <c r="GO503" s="1260"/>
      <c r="GP503" s="1260"/>
      <c r="GQ503" s="1260"/>
      <c r="GR503" s="1260"/>
      <c r="GS503" s="1260"/>
      <c r="GT503" s="1260"/>
      <c r="GU503" s="1260"/>
      <c r="GV503" s="1260"/>
      <c r="GW503" s="1260"/>
      <c r="GX503" s="1260"/>
      <c r="GY503" s="1260"/>
      <c r="GZ503" s="1260"/>
      <c r="HA503" s="1260"/>
      <c r="HB503" s="1260"/>
      <c r="HC503" s="1260"/>
      <c r="HD503" s="1260"/>
      <c r="HE503" s="1260"/>
      <c r="HF503" s="1260"/>
      <c r="HG503" s="1260"/>
      <c r="HH503" s="1260"/>
      <c r="HI503" s="1260"/>
      <c r="HJ503" s="1260"/>
      <c r="HK503" s="1260"/>
      <c r="HL503" s="1260"/>
      <c r="HM503" s="1260"/>
      <c r="HN503" s="1260"/>
      <c r="HO503" s="1260"/>
      <c r="HP503" s="1260"/>
      <c r="HQ503" s="1260"/>
      <c r="HR503" s="1260"/>
      <c r="HS503" s="1260"/>
      <c r="HT503" s="1260"/>
      <c r="HU503" s="1260"/>
      <c r="HV503" s="1260"/>
      <c r="HW503" s="1260"/>
      <c r="HX503" s="1260"/>
      <c r="HY503" s="1260"/>
      <c r="HZ503" s="1260"/>
      <c r="IA503" s="1260"/>
      <c r="IB503" s="1260"/>
      <c r="IC503" s="1260"/>
      <c r="ID503" s="1260"/>
      <c r="IE503" s="1260"/>
      <c r="IF503" s="1260"/>
      <c r="IG503" s="1260"/>
      <c r="IH503" s="1260"/>
      <c r="II503" s="1260"/>
      <c r="IJ503" s="1260"/>
      <c r="IK503" s="1260"/>
      <c r="IL503" s="1260"/>
      <c r="IM503" s="1260"/>
      <c r="IN503" s="1260"/>
      <c r="IO503" s="1260"/>
      <c r="IP503" s="1260"/>
      <c r="IQ503" s="1260"/>
      <c r="IR503" s="1260"/>
      <c r="IS503" s="1260"/>
      <c r="IT503" s="1260"/>
      <c r="IU503" s="1260"/>
      <c r="IV503" s="1260"/>
      <c r="IW503" s="1260"/>
      <c r="IX503" s="1260"/>
      <c r="IY503" s="1260"/>
      <c r="IZ503" s="1260"/>
      <c r="JA503" s="1260"/>
      <c r="JB503" s="1260"/>
      <c r="JC503" s="1260"/>
      <c r="JD503" s="1260"/>
      <c r="JE503" s="1260"/>
      <c r="JF503" s="1260"/>
      <c r="JG503" s="1260"/>
      <c r="JH503" s="1260"/>
      <c r="JI503" s="1260"/>
      <c r="JJ503" s="1260"/>
      <c r="JK503" s="1260"/>
      <c r="JL503" s="1260"/>
      <c r="JM503" s="1260"/>
      <c r="JN503" s="1260"/>
      <c r="JO503" s="1260"/>
      <c r="JP503" s="1260"/>
      <c r="JQ503" s="1260"/>
      <c r="JR503" s="1260"/>
      <c r="JS503" s="1260"/>
      <c r="JT503" s="1260"/>
      <c r="JU503" s="1260"/>
      <c r="JV503" s="1260"/>
      <c r="JW503" s="1260"/>
      <c r="JX503" s="1260"/>
      <c r="JY503" s="1260"/>
      <c r="JZ503" s="1260"/>
      <c r="KA503" s="1260"/>
      <c r="KB503" s="1260"/>
      <c r="KC503" s="1260"/>
      <c r="KD503" s="1260"/>
      <c r="KE503" s="1260"/>
      <c r="KF503" s="1260"/>
      <c r="KG503" s="1260"/>
      <c r="KH503" s="1260"/>
      <c r="KI503" s="1260"/>
      <c r="KJ503" s="1260"/>
      <c r="KK503" s="1260"/>
      <c r="KL503" s="1260"/>
      <c r="KM503" s="1260"/>
      <c r="KN503" s="1260"/>
      <c r="KO503" s="1260"/>
      <c r="KP503" s="1260"/>
      <c r="KQ503" s="1260"/>
      <c r="KR503" s="1260"/>
      <c r="KS503" s="1260"/>
      <c r="KT503" s="1260"/>
      <c r="KU503" s="1260"/>
      <c r="KV503" s="1260"/>
      <c r="KW503" s="1260"/>
      <c r="KX503" s="1260"/>
      <c r="KY503" s="1260"/>
      <c r="KZ503" s="1260"/>
      <c r="LA503" s="1260"/>
      <c r="LB503" s="1260"/>
      <c r="LC503" s="1260"/>
      <c r="LD503" s="1260"/>
      <c r="LE503" s="1260"/>
      <c r="LF503" s="1260"/>
      <c r="LG503" s="1260"/>
      <c r="LH503" s="1260"/>
      <c r="LI503" s="1260"/>
      <c r="LJ503" s="1260"/>
      <c r="LK503" s="1260"/>
      <c r="LL503" s="1260"/>
      <c r="LM503" s="1260"/>
      <c r="LN503" s="1260"/>
      <c r="LO503" s="1260"/>
      <c r="LP503" s="1260"/>
      <c r="LQ503" s="1260"/>
      <c r="LR503" s="1260"/>
      <c r="LS503" s="1260"/>
      <c r="LT503" s="1260"/>
      <c r="LU503" s="1260"/>
      <c r="LV503" s="1260"/>
      <c r="LW503" s="1260"/>
      <c r="LX503" s="1260"/>
      <c r="LY503" s="1260"/>
      <c r="LZ503" s="1260"/>
      <c r="MA503" s="1260"/>
      <c r="MB503" s="1260"/>
      <c r="MC503" s="1260"/>
      <c r="MD503" s="1260"/>
      <c r="ME503" s="1260"/>
      <c r="MF503" s="1260"/>
      <c r="MG503" s="1260"/>
      <c r="MH503" s="1260"/>
      <c r="MI503" s="1260"/>
      <c r="MJ503" s="1260"/>
      <c r="MK503" s="1260"/>
      <c r="ML503" s="1260"/>
      <c r="MM503" s="1260"/>
      <c r="MN503" s="1260"/>
      <c r="MO503" s="1260"/>
      <c r="MP503" s="1260"/>
      <c r="MQ503" s="1260"/>
      <c r="MR503" s="1260"/>
      <c r="MS503" s="1260"/>
      <c r="MT503" s="1260"/>
      <c r="MU503" s="1260"/>
      <c r="MV503" s="1260"/>
      <c r="MW503" s="1260"/>
      <c r="MX503" s="1260"/>
      <c r="MY503" s="1260"/>
      <c r="MZ503" s="1260"/>
      <c r="NA503" s="1260"/>
      <c r="NB503" s="1260"/>
      <c r="NC503" s="1260"/>
      <c r="ND503" s="1260"/>
      <c r="NE503" s="1260"/>
      <c r="NF503" s="1260"/>
      <c r="NG503" s="1260"/>
      <c r="NH503" s="1260"/>
      <c r="NI503" s="1260"/>
      <c r="NJ503" s="1260"/>
      <c r="NK503" s="1260"/>
      <c r="NL503" s="1260"/>
      <c r="NM503" s="1260"/>
      <c r="NN503" s="1260"/>
      <c r="NO503" s="1260"/>
      <c r="NP503" s="1260"/>
      <c r="NQ503" s="1260"/>
      <c r="NR503" s="1260"/>
      <c r="NS503" s="1260"/>
      <c r="NT503" s="1260"/>
      <c r="NU503" s="1260"/>
      <c r="NV503" s="1260"/>
      <c r="NW503" s="1260"/>
      <c r="NX503" s="1260"/>
      <c r="NY503" s="1260"/>
      <c r="NZ503" s="1260"/>
      <c r="OA503" s="1260"/>
      <c r="OB503" s="1260"/>
      <c r="OC503" s="1260"/>
      <c r="OD503" s="1260"/>
      <c r="OE503" s="1260"/>
      <c r="OF503" s="1260"/>
      <c r="OG503" s="1260"/>
      <c r="OH503" s="1260"/>
      <c r="OI503" s="1260"/>
      <c r="OJ503" s="1260"/>
      <c r="OK503" s="1260"/>
      <c r="OL503" s="1260"/>
      <c r="OM503" s="1260"/>
      <c r="ON503" s="1260"/>
      <c r="OO503" s="1260"/>
      <c r="OP503" s="1260"/>
      <c r="OQ503" s="1260"/>
      <c r="OR503" s="1260"/>
      <c r="OS503" s="1260"/>
      <c r="OT503" s="1260"/>
      <c r="OU503" s="1260"/>
      <c r="OV503" s="1260"/>
      <c r="OW503" s="1260"/>
      <c r="OX503" s="1260"/>
      <c r="OY503" s="1260"/>
      <c r="OZ503" s="1260"/>
      <c r="PA503" s="1260"/>
      <c r="PB503" s="1260"/>
      <c r="PC503" s="1260"/>
      <c r="PD503" s="1260"/>
      <c r="PE503" s="1260"/>
      <c r="PF503" s="1260"/>
      <c r="PG503" s="1260"/>
      <c r="PH503" s="1260"/>
      <c r="PI503" s="1260"/>
      <c r="PJ503" s="1260"/>
      <c r="PK503" s="1260"/>
      <c r="PL503" s="1260"/>
      <c r="PM503" s="1260"/>
      <c r="PN503" s="1260"/>
      <c r="PO503" s="1260"/>
      <c r="PP503" s="1260"/>
      <c r="PQ503" s="1260"/>
      <c r="PR503" s="1260"/>
      <c r="PS503" s="1260"/>
      <c r="PT503" s="1260"/>
      <c r="PU503" s="1260"/>
      <c r="PV503" s="1260"/>
      <c r="PW503" s="1260"/>
      <c r="PX503" s="1260"/>
      <c r="PY503" s="1260"/>
      <c r="PZ503" s="1260"/>
      <c r="QA503" s="1260"/>
      <c r="QB503" s="1260"/>
      <c r="QC503" s="1260"/>
      <c r="QD503" s="1260"/>
      <c r="QE503" s="1260"/>
      <c r="QF503" s="1260"/>
      <c r="QG503" s="1260"/>
      <c r="QH503" s="1260"/>
      <c r="QI503" s="1260"/>
      <c r="QJ503" s="1260"/>
      <c r="QK503" s="1260"/>
      <c r="QL503" s="1260"/>
      <c r="QM503" s="1260"/>
      <c r="QN503" s="1260"/>
      <c r="QO503" s="1260"/>
      <c r="QP503" s="1260"/>
      <c r="QQ503" s="1260"/>
      <c r="QR503" s="1260"/>
      <c r="QS503" s="1260"/>
      <c r="QT503" s="1260"/>
      <c r="QU503" s="1260"/>
      <c r="QV503" s="1260"/>
      <c r="QW503" s="1260"/>
      <c r="QX503" s="1260"/>
      <c r="QY503" s="1260"/>
      <c r="QZ503" s="1260"/>
      <c r="RA503" s="1260"/>
      <c r="RB503" s="1260"/>
      <c r="RC503" s="1260"/>
      <c r="RD503" s="1260"/>
      <c r="RE503" s="1260"/>
      <c r="RF503" s="1260"/>
      <c r="RG503" s="1260"/>
      <c r="RH503" s="1260"/>
      <c r="RI503" s="1260"/>
      <c r="RJ503" s="1260"/>
      <c r="RK503" s="1260"/>
      <c r="RL503" s="1260"/>
      <c r="RM503" s="1260"/>
      <c r="RN503" s="1260"/>
      <c r="RO503" s="1260"/>
      <c r="RP503" s="1260"/>
      <c r="RQ503" s="1260"/>
      <c r="RR503" s="1260"/>
      <c r="RS503" s="1260"/>
      <c r="RT503" s="1260"/>
      <c r="RU503" s="1260"/>
      <c r="RV503" s="1260"/>
      <c r="RW503" s="1260"/>
      <c r="RX503" s="1260"/>
      <c r="RY503" s="1260"/>
      <c r="RZ503" s="1260"/>
      <c r="SA503" s="1260"/>
      <c r="SB503" s="1260"/>
      <c r="SC503" s="1260"/>
      <c r="SD503" s="1260"/>
      <c r="SE503" s="1260"/>
      <c r="SF503" s="1260"/>
      <c r="SG503" s="1260"/>
      <c r="SH503" s="1260"/>
      <c r="SI503" s="1260"/>
      <c r="SJ503" s="1260"/>
      <c r="SK503" s="1260"/>
      <c r="SL503" s="1260"/>
      <c r="SM503" s="1260"/>
      <c r="SN503" s="1260"/>
      <c r="SO503" s="1260"/>
      <c r="SP503" s="1260"/>
      <c r="SQ503" s="1260"/>
      <c r="SR503" s="1260"/>
      <c r="SS503" s="1260"/>
      <c r="ST503" s="1260"/>
      <c r="SU503" s="1260"/>
      <c r="SV503" s="1260"/>
      <c r="SW503" s="1260"/>
      <c r="SX503" s="1260"/>
      <c r="SY503" s="1260"/>
      <c r="SZ503" s="1260"/>
      <c r="TA503" s="1260"/>
      <c r="TB503" s="1260"/>
      <c r="TC503" s="1260"/>
      <c r="TD503" s="1260"/>
      <c r="TE503" s="1260"/>
      <c r="TF503" s="1260"/>
      <c r="TG503" s="1260"/>
      <c r="TH503" s="1260"/>
      <c r="TI503" s="1260"/>
      <c r="TJ503" s="1260"/>
      <c r="TK503" s="1260"/>
      <c r="TL503" s="1260"/>
      <c r="TM503" s="1260"/>
      <c r="TN503" s="1260"/>
      <c r="TO503" s="1260"/>
      <c r="TP503" s="1260"/>
      <c r="TQ503" s="1260"/>
      <c r="TR503" s="1260"/>
      <c r="TS503" s="1260"/>
      <c r="TT503" s="1260"/>
      <c r="TU503" s="1260"/>
      <c r="TV503" s="1260"/>
      <c r="TW503" s="1260"/>
      <c r="TX503" s="1260"/>
      <c r="TY503" s="1260"/>
      <c r="TZ503" s="1260"/>
      <c r="UA503" s="1260"/>
      <c r="UB503" s="1260"/>
      <c r="UC503" s="1260"/>
      <c r="UD503" s="1260"/>
      <c r="UE503" s="1260"/>
      <c r="UF503" s="1260"/>
      <c r="UG503" s="1261"/>
    </row>
    <row r="504" spans="1:553" s="1262" customFormat="1" ht="30.75" customHeight="1">
      <c r="A504" s="554"/>
      <c r="B504" s="554"/>
      <c r="C504" s="1504" t="s">
        <v>1120</v>
      </c>
      <c r="D504" s="1505" t="s">
        <v>1120</v>
      </c>
      <c r="E504" s="1505" t="s">
        <v>1120</v>
      </c>
      <c r="F504" s="1505" t="s">
        <v>1120</v>
      </c>
      <c r="G504" s="1226" t="s">
        <v>196</v>
      </c>
      <c r="H504" s="598"/>
      <c r="I504" s="599">
        <v>2</v>
      </c>
      <c r="J504" s="991">
        <v>65000</v>
      </c>
      <c r="K504" s="579"/>
      <c r="L504" s="1012">
        <f>I504*J504</f>
        <v>130000</v>
      </c>
      <c r="M504" s="366"/>
      <c r="N504" s="366"/>
      <c r="O504" s="366"/>
      <c r="P504" s="366"/>
      <c r="Q504" s="1144"/>
      <c r="R504" s="1452"/>
      <c r="S504" s="308"/>
      <c r="T504" s="308"/>
      <c r="U504" s="308"/>
      <c r="V504" s="308"/>
      <c r="W504" s="308"/>
      <c r="X504" s="308"/>
      <c r="Y504" s="308"/>
      <c r="Z504" s="604"/>
      <c r="AA504" s="308"/>
      <c r="AB504" s="308"/>
      <c r="AC504" s="449"/>
      <c r="AD504" s="452"/>
      <c r="AE504" s="452"/>
      <c r="AF504" s="452"/>
      <c r="AG504" s="452"/>
      <c r="AH504" s="452"/>
      <c r="AI504" s="452"/>
      <c r="AJ504" s="452"/>
      <c r="AK504" s="452"/>
      <c r="AL504" s="1259"/>
      <c r="AM504" s="1260"/>
      <c r="AN504" s="1260"/>
      <c r="AO504" s="1260"/>
      <c r="AP504" s="1260"/>
      <c r="AQ504" s="1260"/>
      <c r="AR504" s="1260"/>
      <c r="AS504" s="1260"/>
      <c r="AT504" s="1260"/>
      <c r="AU504" s="1260"/>
      <c r="AV504" s="1260"/>
      <c r="AW504" s="1260"/>
      <c r="AX504" s="1260"/>
      <c r="AY504" s="1260"/>
      <c r="AZ504" s="1260"/>
      <c r="BA504" s="1260"/>
      <c r="BB504" s="1260"/>
      <c r="BC504" s="1260"/>
      <c r="BD504" s="1260"/>
      <c r="BE504" s="1260"/>
      <c r="BF504" s="1260"/>
      <c r="BG504" s="1260"/>
      <c r="BH504" s="1260"/>
      <c r="BI504" s="1260"/>
      <c r="BJ504" s="1260"/>
      <c r="BK504" s="1260"/>
      <c r="BL504" s="1260"/>
      <c r="BM504" s="1260"/>
      <c r="BN504" s="1260"/>
      <c r="BO504" s="1260"/>
      <c r="BP504" s="1260"/>
      <c r="BQ504" s="1260"/>
      <c r="BR504" s="1260"/>
      <c r="BS504" s="1260"/>
      <c r="BT504" s="1260"/>
      <c r="BU504" s="1260"/>
      <c r="BV504" s="1260"/>
      <c r="BW504" s="1260"/>
      <c r="BX504" s="1260"/>
      <c r="BY504" s="1260"/>
      <c r="BZ504" s="1260"/>
      <c r="CA504" s="1260"/>
      <c r="CB504" s="1260"/>
      <c r="CC504" s="1260"/>
      <c r="CD504" s="1260"/>
      <c r="CE504" s="1260"/>
      <c r="CF504" s="1260"/>
      <c r="CG504" s="1260"/>
      <c r="CH504" s="1260"/>
      <c r="CI504" s="1260"/>
      <c r="CJ504" s="1260"/>
      <c r="CK504" s="1260"/>
      <c r="CL504" s="1260"/>
      <c r="CM504" s="1260"/>
      <c r="CN504" s="1260"/>
      <c r="CO504" s="1260"/>
      <c r="CP504" s="1260"/>
      <c r="CQ504" s="1260"/>
      <c r="CR504" s="1260"/>
      <c r="CS504" s="1260"/>
      <c r="CT504" s="1260"/>
      <c r="CU504" s="1260"/>
      <c r="CV504" s="1260"/>
      <c r="CW504" s="1260"/>
      <c r="CX504" s="1260"/>
      <c r="CY504" s="1260"/>
      <c r="CZ504" s="1260"/>
      <c r="DA504" s="1260"/>
      <c r="DB504" s="1260"/>
      <c r="DC504" s="1260"/>
      <c r="DD504" s="1260"/>
      <c r="DE504" s="1260"/>
      <c r="DF504" s="1260"/>
      <c r="DG504" s="1260"/>
      <c r="DH504" s="1260"/>
      <c r="DI504" s="1260"/>
      <c r="DJ504" s="1260"/>
      <c r="DK504" s="1260"/>
      <c r="DL504" s="1260"/>
      <c r="DM504" s="1260"/>
      <c r="DN504" s="1260"/>
      <c r="DO504" s="1260"/>
      <c r="DP504" s="1260"/>
      <c r="DQ504" s="1260"/>
      <c r="DR504" s="1260"/>
      <c r="DS504" s="1260"/>
      <c r="DT504" s="1260"/>
      <c r="DU504" s="1260"/>
      <c r="DV504" s="1260"/>
      <c r="DW504" s="1260"/>
      <c r="DX504" s="1260"/>
      <c r="DY504" s="1260"/>
      <c r="DZ504" s="1260"/>
      <c r="EA504" s="1260"/>
      <c r="EB504" s="1260"/>
      <c r="EC504" s="1260"/>
      <c r="ED504" s="1260"/>
      <c r="EE504" s="1260"/>
      <c r="EF504" s="1260"/>
      <c r="EG504" s="1260"/>
      <c r="EH504" s="1260"/>
      <c r="EI504" s="1260"/>
      <c r="EJ504" s="1260"/>
      <c r="EK504" s="1260"/>
      <c r="EL504" s="1260"/>
      <c r="EM504" s="1260"/>
      <c r="EN504" s="1260"/>
      <c r="EO504" s="1260"/>
      <c r="EP504" s="1260"/>
      <c r="EQ504" s="1260"/>
      <c r="ER504" s="1260"/>
      <c r="ES504" s="1260"/>
      <c r="ET504" s="1260"/>
      <c r="EU504" s="1260"/>
      <c r="EV504" s="1260"/>
      <c r="EW504" s="1260"/>
      <c r="EX504" s="1260"/>
      <c r="EY504" s="1260"/>
      <c r="EZ504" s="1260"/>
      <c r="FA504" s="1260"/>
      <c r="FB504" s="1260"/>
      <c r="FC504" s="1260"/>
      <c r="FD504" s="1260"/>
      <c r="FE504" s="1260"/>
      <c r="FF504" s="1260"/>
      <c r="FG504" s="1260"/>
      <c r="FH504" s="1260"/>
      <c r="FI504" s="1260"/>
      <c r="FJ504" s="1260"/>
      <c r="FK504" s="1260"/>
      <c r="FL504" s="1260"/>
      <c r="FM504" s="1260"/>
      <c r="FN504" s="1260"/>
      <c r="FO504" s="1260"/>
      <c r="FP504" s="1260"/>
      <c r="FQ504" s="1260"/>
      <c r="FR504" s="1260"/>
      <c r="FS504" s="1260"/>
      <c r="FT504" s="1260"/>
      <c r="FU504" s="1260"/>
      <c r="FV504" s="1260"/>
      <c r="FW504" s="1260"/>
      <c r="FX504" s="1260"/>
      <c r="FY504" s="1260"/>
      <c r="FZ504" s="1260"/>
      <c r="GA504" s="1260"/>
      <c r="GB504" s="1260"/>
      <c r="GC504" s="1260"/>
      <c r="GD504" s="1260"/>
      <c r="GE504" s="1260"/>
      <c r="GF504" s="1260"/>
      <c r="GG504" s="1260"/>
      <c r="GH504" s="1260"/>
      <c r="GI504" s="1260"/>
      <c r="GJ504" s="1260"/>
      <c r="GK504" s="1260"/>
      <c r="GL504" s="1260"/>
      <c r="GM504" s="1260"/>
      <c r="GN504" s="1260"/>
      <c r="GO504" s="1260"/>
      <c r="GP504" s="1260"/>
      <c r="GQ504" s="1260"/>
      <c r="GR504" s="1260"/>
      <c r="GS504" s="1260"/>
      <c r="GT504" s="1260"/>
      <c r="GU504" s="1260"/>
      <c r="GV504" s="1260"/>
      <c r="GW504" s="1260"/>
      <c r="GX504" s="1260"/>
      <c r="GY504" s="1260"/>
      <c r="GZ504" s="1260"/>
      <c r="HA504" s="1260"/>
      <c r="HB504" s="1260"/>
      <c r="HC504" s="1260"/>
      <c r="HD504" s="1260"/>
      <c r="HE504" s="1260"/>
      <c r="HF504" s="1260"/>
      <c r="HG504" s="1260"/>
      <c r="HH504" s="1260"/>
      <c r="HI504" s="1260"/>
      <c r="HJ504" s="1260"/>
      <c r="HK504" s="1260"/>
      <c r="HL504" s="1260"/>
      <c r="HM504" s="1260"/>
      <c r="HN504" s="1260"/>
      <c r="HO504" s="1260"/>
      <c r="HP504" s="1260"/>
      <c r="HQ504" s="1260"/>
      <c r="HR504" s="1260"/>
      <c r="HS504" s="1260"/>
      <c r="HT504" s="1260"/>
      <c r="HU504" s="1260"/>
      <c r="HV504" s="1260"/>
      <c r="HW504" s="1260"/>
      <c r="HX504" s="1260"/>
      <c r="HY504" s="1260"/>
      <c r="HZ504" s="1260"/>
      <c r="IA504" s="1260"/>
      <c r="IB504" s="1260"/>
      <c r="IC504" s="1260"/>
      <c r="ID504" s="1260"/>
      <c r="IE504" s="1260"/>
      <c r="IF504" s="1260"/>
      <c r="IG504" s="1260"/>
      <c r="IH504" s="1260"/>
      <c r="II504" s="1260"/>
      <c r="IJ504" s="1260"/>
      <c r="IK504" s="1260"/>
      <c r="IL504" s="1260"/>
      <c r="IM504" s="1260"/>
      <c r="IN504" s="1260"/>
      <c r="IO504" s="1260"/>
      <c r="IP504" s="1260"/>
      <c r="IQ504" s="1260"/>
      <c r="IR504" s="1260"/>
      <c r="IS504" s="1260"/>
      <c r="IT504" s="1260"/>
      <c r="IU504" s="1260"/>
      <c r="IV504" s="1260"/>
      <c r="IW504" s="1260"/>
      <c r="IX504" s="1260"/>
      <c r="IY504" s="1260"/>
      <c r="IZ504" s="1260"/>
      <c r="JA504" s="1260"/>
      <c r="JB504" s="1260"/>
      <c r="JC504" s="1260"/>
      <c r="JD504" s="1260"/>
      <c r="JE504" s="1260"/>
      <c r="JF504" s="1260"/>
      <c r="JG504" s="1260"/>
      <c r="JH504" s="1260"/>
      <c r="JI504" s="1260"/>
      <c r="JJ504" s="1260"/>
      <c r="JK504" s="1260"/>
      <c r="JL504" s="1260"/>
      <c r="JM504" s="1260"/>
      <c r="JN504" s="1260"/>
      <c r="JO504" s="1260"/>
      <c r="JP504" s="1260"/>
      <c r="JQ504" s="1260"/>
      <c r="JR504" s="1260"/>
      <c r="JS504" s="1260"/>
      <c r="JT504" s="1260"/>
      <c r="JU504" s="1260"/>
      <c r="JV504" s="1260"/>
      <c r="JW504" s="1260"/>
      <c r="JX504" s="1260"/>
      <c r="JY504" s="1260"/>
      <c r="JZ504" s="1260"/>
      <c r="KA504" s="1260"/>
      <c r="KB504" s="1260"/>
      <c r="KC504" s="1260"/>
      <c r="KD504" s="1260"/>
      <c r="KE504" s="1260"/>
      <c r="KF504" s="1260"/>
      <c r="KG504" s="1260"/>
      <c r="KH504" s="1260"/>
      <c r="KI504" s="1260"/>
      <c r="KJ504" s="1260"/>
      <c r="KK504" s="1260"/>
      <c r="KL504" s="1260"/>
      <c r="KM504" s="1260"/>
      <c r="KN504" s="1260"/>
      <c r="KO504" s="1260"/>
      <c r="KP504" s="1260"/>
      <c r="KQ504" s="1260"/>
      <c r="KR504" s="1260"/>
      <c r="KS504" s="1260"/>
      <c r="KT504" s="1260"/>
      <c r="KU504" s="1260"/>
      <c r="KV504" s="1260"/>
      <c r="KW504" s="1260"/>
      <c r="KX504" s="1260"/>
      <c r="KY504" s="1260"/>
      <c r="KZ504" s="1260"/>
      <c r="LA504" s="1260"/>
      <c r="LB504" s="1260"/>
      <c r="LC504" s="1260"/>
      <c r="LD504" s="1260"/>
      <c r="LE504" s="1260"/>
      <c r="LF504" s="1260"/>
      <c r="LG504" s="1260"/>
      <c r="LH504" s="1260"/>
      <c r="LI504" s="1260"/>
      <c r="LJ504" s="1260"/>
      <c r="LK504" s="1260"/>
      <c r="LL504" s="1260"/>
      <c r="LM504" s="1260"/>
      <c r="LN504" s="1260"/>
      <c r="LO504" s="1260"/>
      <c r="LP504" s="1260"/>
      <c r="LQ504" s="1260"/>
      <c r="LR504" s="1260"/>
      <c r="LS504" s="1260"/>
      <c r="LT504" s="1260"/>
      <c r="LU504" s="1260"/>
      <c r="LV504" s="1260"/>
      <c r="LW504" s="1260"/>
      <c r="LX504" s="1260"/>
      <c r="LY504" s="1260"/>
      <c r="LZ504" s="1260"/>
      <c r="MA504" s="1260"/>
      <c r="MB504" s="1260"/>
      <c r="MC504" s="1260"/>
      <c r="MD504" s="1260"/>
      <c r="ME504" s="1260"/>
      <c r="MF504" s="1260"/>
      <c r="MG504" s="1260"/>
      <c r="MH504" s="1260"/>
      <c r="MI504" s="1260"/>
      <c r="MJ504" s="1260"/>
      <c r="MK504" s="1260"/>
      <c r="ML504" s="1260"/>
      <c r="MM504" s="1260"/>
      <c r="MN504" s="1260"/>
      <c r="MO504" s="1260"/>
      <c r="MP504" s="1260"/>
      <c r="MQ504" s="1260"/>
      <c r="MR504" s="1260"/>
      <c r="MS504" s="1260"/>
      <c r="MT504" s="1260"/>
      <c r="MU504" s="1260"/>
      <c r="MV504" s="1260"/>
      <c r="MW504" s="1260"/>
      <c r="MX504" s="1260"/>
      <c r="MY504" s="1260"/>
      <c r="MZ504" s="1260"/>
      <c r="NA504" s="1260"/>
      <c r="NB504" s="1260"/>
      <c r="NC504" s="1260"/>
      <c r="ND504" s="1260"/>
      <c r="NE504" s="1260"/>
      <c r="NF504" s="1260"/>
      <c r="NG504" s="1260"/>
      <c r="NH504" s="1260"/>
      <c r="NI504" s="1260"/>
      <c r="NJ504" s="1260"/>
      <c r="NK504" s="1260"/>
      <c r="NL504" s="1260"/>
      <c r="NM504" s="1260"/>
      <c r="NN504" s="1260"/>
      <c r="NO504" s="1260"/>
      <c r="NP504" s="1260"/>
      <c r="NQ504" s="1260"/>
      <c r="NR504" s="1260"/>
      <c r="NS504" s="1260"/>
      <c r="NT504" s="1260"/>
      <c r="NU504" s="1260"/>
      <c r="NV504" s="1260"/>
      <c r="NW504" s="1260"/>
      <c r="NX504" s="1260"/>
      <c r="NY504" s="1260"/>
      <c r="NZ504" s="1260"/>
      <c r="OA504" s="1260"/>
      <c r="OB504" s="1260"/>
      <c r="OC504" s="1260"/>
      <c r="OD504" s="1260"/>
      <c r="OE504" s="1260"/>
      <c r="OF504" s="1260"/>
      <c r="OG504" s="1260"/>
      <c r="OH504" s="1260"/>
      <c r="OI504" s="1260"/>
      <c r="OJ504" s="1260"/>
      <c r="OK504" s="1260"/>
      <c r="OL504" s="1260"/>
      <c r="OM504" s="1260"/>
      <c r="ON504" s="1260"/>
      <c r="OO504" s="1260"/>
      <c r="OP504" s="1260"/>
      <c r="OQ504" s="1260"/>
      <c r="OR504" s="1260"/>
      <c r="OS504" s="1260"/>
      <c r="OT504" s="1260"/>
      <c r="OU504" s="1260"/>
      <c r="OV504" s="1260"/>
      <c r="OW504" s="1260"/>
      <c r="OX504" s="1260"/>
      <c r="OY504" s="1260"/>
      <c r="OZ504" s="1260"/>
      <c r="PA504" s="1260"/>
      <c r="PB504" s="1260"/>
      <c r="PC504" s="1260"/>
      <c r="PD504" s="1260"/>
      <c r="PE504" s="1260"/>
      <c r="PF504" s="1260"/>
      <c r="PG504" s="1260"/>
      <c r="PH504" s="1260"/>
      <c r="PI504" s="1260"/>
      <c r="PJ504" s="1260"/>
      <c r="PK504" s="1260"/>
      <c r="PL504" s="1260"/>
      <c r="PM504" s="1260"/>
      <c r="PN504" s="1260"/>
      <c r="PO504" s="1260"/>
      <c r="PP504" s="1260"/>
      <c r="PQ504" s="1260"/>
      <c r="PR504" s="1260"/>
      <c r="PS504" s="1260"/>
      <c r="PT504" s="1260"/>
      <c r="PU504" s="1260"/>
      <c r="PV504" s="1260"/>
      <c r="PW504" s="1260"/>
      <c r="PX504" s="1260"/>
      <c r="PY504" s="1260"/>
      <c r="PZ504" s="1260"/>
      <c r="QA504" s="1260"/>
      <c r="QB504" s="1260"/>
      <c r="QC504" s="1260"/>
      <c r="QD504" s="1260"/>
      <c r="QE504" s="1260"/>
      <c r="QF504" s="1260"/>
      <c r="QG504" s="1260"/>
      <c r="QH504" s="1260"/>
      <c r="QI504" s="1260"/>
      <c r="QJ504" s="1260"/>
      <c r="QK504" s="1260"/>
      <c r="QL504" s="1260"/>
      <c r="QM504" s="1260"/>
      <c r="QN504" s="1260"/>
      <c r="QO504" s="1260"/>
      <c r="QP504" s="1260"/>
      <c r="QQ504" s="1260"/>
      <c r="QR504" s="1260"/>
      <c r="QS504" s="1260"/>
      <c r="QT504" s="1260"/>
      <c r="QU504" s="1260"/>
      <c r="QV504" s="1260"/>
      <c r="QW504" s="1260"/>
      <c r="QX504" s="1260"/>
      <c r="QY504" s="1260"/>
      <c r="QZ504" s="1260"/>
      <c r="RA504" s="1260"/>
      <c r="RB504" s="1260"/>
      <c r="RC504" s="1260"/>
      <c r="RD504" s="1260"/>
      <c r="RE504" s="1260"/>
      <c r="RF504" s="1260"/>
      <c r="RG504" s="1260"/>
      <c r="RH504" s="1260"/>
      <c r="RI504" s="1260"/>
      <c r="RJ504" s="1260"/>
      <c r="RK504" s="1260"/>
      <c r="RL504" s="1260"/>
      <c r="RM504" s="1260"/>
      <c r="RN504" s="1260"/>
      <c r="RO504" s="1260"/>
      <c r="RP504" s="1260"/>
      <c r="RQ504" s="1260"/>
      <c r="RR504" s="1260"/>
      <c r="RS504" s="1260"/>
      <c r="RT504" s="1260"/>
      <c r="RU504" s="1260"/>
      <c r="RV504" s="1260"/>
      <c r="RW504" s="1260"/>
      <c r="RX504" s="1260"/>
      <c r="RY504" s="1260"/>
      <c r="RZ504" s="1260"/>
      <c r="SA504" s="1260"/>
      <c r="SB504" s="1260"/>
      <c r="SC504" s="1260"/>
      <c r="SD504" s="1260"/>
      <c r="SE504" s="1260"/>
      <c r="SF504" s="1260"/>
      <c r="SG504" s="1260"/>
      <c r="SH504" s="1260"/>
      <c r="SI504" s="1260"/>
      <c r="SJ504" s="1260"/>
      <c r="SK504" s="1260"/>
      <c r="SL504" s="1260"/>
      <c r="SM504" s="1260"/>
      <c r="SN504" s="1260"/>
      <c r="SO504" s="1260"/>
      <c r="SP504" s="1260"/>
      <c r="SQ504" s="1260"/>
      <c r="SR504" s="1260"/>
      <c r="SS504" s="1260"/>
      <c r="ST504" s="1260"/>
      <c r="SU504" s="1260"/>
      <c r="SV504" s="1260"/>
      <c r="SW504" s="1260"/>
      <c r="SX504" s="1260"/>
      <c r="SY504" s="1260"/>
      <c r="SZ504" s="1260"/>
      <c r="TA504" s="1260"/>
      <c r="TB504" s="1260"/>
      <c r="TC504" s="1260"/>
      <c r="TD504" s="1260"/>
      <c r="TE504" s="1260"/>
      <c r="TF504" s="1260"/>
      <c r="TG504" s="1260"/>
      <c r="TH504" s="1260"/>
      <c r="TI504" s="1260"/>
      <c r="TJ504" s="1260"/>
      <c r="TK504" s="1260"/>
      <c r="TL504" s="1260"/>
      <c r="TM504" s="1260"/>
      <c r="TN504" s="1260"/>
      <c r="TO504" s="1260"/>
      <c r="TP504" s="1260"/>
      <c r="TQ504" s="1260"/>
      <c r="TR504" s="1260"/>
      <c r="TS504" s="1260"/>
      <c r="TT504" s="1260"/>
      <c r="TU504" s="1260"/>
      <c r="TV504" s="1260"/>
      <c r="TW504" s="1260"/>
      <c r="TX504" s="1260"/>
      <c r="TY504" s="1260"/>
      <c r="TZ504" s="1260"/>
      <c r="UA504" s="1260"/>
      <c r="UB504" s="1260"/>
      <c r="UC504" s="1260"/>
      <c r="UD504" s="1260"/>
      <c r="UE504" s="1260"/>
      <c r="UF504" s="1260"/>
      <c r="UG504" s="1261"/>
    </row>
    <row r="505" spans="1:553" s="1262" customFormat="1" ht="30.75" customHeight="1">
      <c r="A505" s="1226"/>
      <c r="B505" s="1226"/>
      <c r="C505" s="1463" t="s">
        <v>1121</v>
      </c>
      <c r="D505" s="1463"/>
      <c r="E505" s="1463"/>
      <c r="F505" s="1510"/>
      <c r="G505" s="1226" t="s">
        <v>196</v>
      </c>
      <c r="H505" s="600"/>
      <c r="I505" s="1072">
        <f>(107.17*100/500)*(7-(6-3))*1</f>
        <v>85.736000000000004</v>
      </c>
      <c r="J505" s="1088">
        <v>10800</v>
      </c>
      <c r="K505" s="712">
        <v>0.7</v>
      </c>
      <c r="L505" s="679">
        <f t="shared" ref="L505" si="94">I505*J505*K505</f>
        <v>648164.16</v>
      </c>
      <c r="M505" s="366"/>
      <c r="N505" s="366"/>
      <c r="O505" s="366"/>
      <c r="P505" s="366"/>
      <c r="Q505" s="1144"/>
      <c r="R505" s="1452"/>
      <c r="S505" s="308"/>
      <c r="T505" s="308"/>
      <c r="U505" s="308"/>
      <c r="V505" s="308"/>
      <c r="W505" s="308"/>
      <c r="X505" s="308"/>
      <c r="Y505" s="308"/>
      <c r="Z505" s="604"/>
      <c r="AA505" s="308"/>
      <c r="AB505" s="308"/>
      <c r="AC505" s="449"/>
      <c r="AD505" s="452"/>
      <c r="AE505" s="452"/>
      <c r="AF505" s="452"/>
      <c r="AG505" s="452"/>
      <c r="AH505" s="452"/>
      <c r="AI505" s="452"/>
      <c r="AJ505" s="452"/>
      <c r="AK505" s="452"/>
      <c r="AL505" s="1259"/>
      <c r="AM505" s="1260"/>
      <c r="AN505" s="1260"/>
      <c r="AO505" s="1260"/>
      <c r="AP505" s="1260"/>
      <c r="AQ505" s="1260"/>
      <c r="AR505" s="1260"/>
      <c r="AS505" s="1260"/>
      <c r="AT505" s="1260"/>
      <c r="AU505" s="1260"/>
      <c r="AV505" s="1260"/>
      <c r="AW505" s="1260"/>
      <c r="AX505" s="1260"/>
      <c r="AY505" s="1260"/>
      <c r="AZ505" s="1260"/>
      <c r="BA505" s="1260"/>
      <c r="BB505" s="1260"/>
      <c r="BC505" s="1260"/>
      <c r="BD505" s="1260"/>
      <c r="BE505" s="1260"/>
      <c r="BF505" s="1260"/>
      <c r="BG505" s="1260"/>
      <c r="BH505" s="1260"/>
      <c r="BI505" s="1260"/>
      <c r="BJ505" s="1260"/>
      <c r="BK505" s="1260"/>
      <c r="BL505" s="1260"/>
      <c r="BM505" s="1260"/>
      <c r="BN505" s="1260"/>
      <c r="BO505" s="1260"/>
      <c r="BP505" s="1260"/>
      <c r="BQ505" s="1260"/>
      <c r="BR505" s="1260"/>
      <c r="BS505" s="1260"/>
      <c r="BT505" s="1260"/>
      <c r="BU505" s="1260"/>
      <c r="BV505" s="1260"/>
      <c r="BW505" s="1260"/>
      <c r="BX505" s="1260"/>
      <c r="BY505" s="1260"/>
      <c r="BZ505" s="1260"/>
      <c r="CA505" s="1260"/>
      <c r="CB505" s="1260"/>
      <c r="CC505" s="1260"/>
      <c r="CD505" s="1260"/>
      <c r="CE505" s="1260"/>
      <c r="CF505" s="1260"/>
      <c r="CG505" s="1260"/>
      <c r="CH505" s="1260"/>
      <c r="CI505" s="1260"/>
      <c r="CJ505" s="1260"/>
      <c r="CK505" s="1260"/>
      <c r="CL505" s="1260"/>
      <c r="CM505" s="1260"/>
      <c r="CN505" s="1260"/>
      <c r="CO505" s="1260"/>
      <c r="CP505" s="1260"/>
      <c r="CQ505" s="1260"/>
      <c r="CR505" s="1260"/>
      <c r="CS505" s="1260"/>
      <c r="CT505" s="1260"/>
      <c r="CU505" s="1260"/>
      <c r="CV505" s="1260"/>
      <c r="CW505" s="1260"/>
      <c r="CX505" s="1260"/>
      <c r="CY505" s="1260"/>
      <c r="CZ505" s="1260"/>
      <c r="DA505" s="1260"/>
      <c r="DB505" s="1260"/>
      <c r="DC505" s="1260"/>
      <c r="DD505" s="1260"/>
      <c r="DE505" s="1260"/>
      <c r="DF505" s="1260"/>
      <c r="DG505" s="1260"/>
      <c r="DH505" s="1260"/>
      <c r="DI505" s="1260"/>
      <c r="DJ505" s="1260"/>
      <c r="DK505" s="1260"/>
      <c r="DL505" s="1260"/>
      <c r="DM505" s="1260"/>
      <c r="DN505" s="1260"/>
      <c r="DO505" s="1260"/>
      <c r="DP505" s="1260"/>
      <c r="DQ505" s="1260"/>
      <c r="DR505" s="1260"/>
      <c r="DS505" s="1260"/>
      <c r="DT505" s="1260"/>
      <c r="DU505" s="1260"/>
      <c r="DV505" s="1260"/>
      <c r="DW505" s="1260"/>
      <c r="DX505" s="1260"/>
      <c r="DY505" s="1260"/>
      <c r="DZ505" s="1260"/>
      <c r="EA505" s="1260"/>
      <c r="EB505" s="1260"/>
      <c r="EC505" s="1260"/>
      <c r="ED505" s="1260"/>
      <c r="EE505" s="1260"/>
      <c r="EF505" s="1260"/>
      <c r="EG505" s="1260"/>
      <c r="EH505" s="1260"/>
      <c r="EI505" s="1260"/>
      <c r="EJ505" s="1260"/>
      <c r="EK505" s="1260"/>
      <c r="EL505" s="1260"/>
      <c r="EM505" s="1260"/>
      <c r="EN505" s="1260"/>
      <c r="EO505" s="1260"/>
      <c r="EP505" s="1260"/>
      <c r="EQ505" s="1260"/>
      <c r="ER505" s="1260"/>
      <c r="ES505" s="1260"/>
      <c r="ET505" s="1260"/>
      <c r="EU505" s="1260"/>
      <c r="EV505" s="1260"/>
      <c r="EW505" s="1260"/>
      <c r="EX505" s="1260"/>
      <c r="EY505" s="1260"/>
      <c r="EZ505" s="1260"/>
      <c r="FA505" s="1260"/>
      <c r="FB505" s="1260"/>
      <c r="FC505" s="1260"/>
      <c r="FD505" s="1260"/>
      <c r="FE505" s="1260"/>
      <c r="FF505" s="1260"/>
      <c r="FG505" s="1260"/>
      <c r="FH505" s="1260"/>
      <c r="FI505" s="1260"/>
      <c r="FJ505" s="1260"/>
      <c r="FK505" s="1260"/>
      <c r="FL505" s="1260"/>
      <c r="FM505" s="1260"/>
      <c r="FN505" s="1260"/>
      <c r="FO505" s="1260"/>
      <c r="FP505" s="1260"/>
      <c r="FQ505" s="1260"/>
      <c r="FR505" s="1260"/>
      <c r="FS505" s="1260"/>
      <c r="FT505" s="1260"/>
      <c r="FU505" s="1260"/>
      <c r="FV505" s="1260"/>
      <c r="FW505" s="1260"/>
      <c r="FX505" s="1260"/>
      <c r="FY505" s="1260"/>
      <c r="FZ505" s="1260"/>
      <c r="GA505" s="1260"/>
      <c r="GB505" s="1260"/>
      <c r="GC505" s="1260"/>
      <c r="GD505" s="1260"/>
      <c r="GE505" s="1260"/>
      <c r="GF505" s="1260"/>
      <c r="GG505" s="1260"/>
      <c r="GH505" s="1260"/>
      <c r="GI505" s="1260"/>
      <c r="GJ505" s="1260"/>
      <c r="GK505" s="1260"/>
      <c r="GL505" s="1260"/>
      <c r="GM505" s="1260"/>
      <c r="GN505" s="1260"/>
      <c r="GO505" s="1260"/>
      <c r="GP505" s="1260"/>
      <c r="GQ505" s="1260"/>
      <c r="GR505" s="1260"/>
      <c r="GS505" s="1260"/>
      <c r="GT505" s="1260"/>
      <c r="GU505" s="1260"/>
      <c r="GV505" s="1260"/>
      <c r="GW505" s="1260"/>
      <c r="GX505" s="1260"/>
      <c r="GY505" s="1260"/>
      <c r="GZ505" s="1260"/>
      <c r="HA505" s="1260"/>
      <c r="HB505" s="1260"/>
      <c r="HC505" s="1260"/>
      <c r="HD505" s="1260"/>
      <c r="HE505" s="1260"/>
      <c r="HF505" s="1260"/>
      <c r="HG505" s="1260"/>
      <c r="HH505" s="1260"/>
      <c r="HI505" s="1260"/>
      <c r="HJ505" s="1260"/>
      <c r="HK505" s="1260"/>
      <c r="HL505" s="1260"/>
      <c r="HM505" s="1260"/>
      <c r="HN505" s="1260"/>
      <c r="HO505" s="1260"/>
      <c r="HP505" s="1260"/>
      <c r="HQ505" s="1260"/>
      <c r="HR505" s="1260"/>
      <c r="HS505" s="1260"/>
      <c r="HT505" s="1260"/>
      <c r="HU505" s="1260"/>
      <c r="HV505" s="1260"/>
      <c r="HW505" s="1260"/>
      <c r="HX505" s="1260"/>
      <c r="HY505" s="1260"/>
      <c r="HZ505" s="1260"/>
      <c r="IA505" s="1260"/>
      <c r="IB505" s="1260"/>
      <c r="IC505" s="1260"/>
      <c r="ID505" s="1260"/>
      <c r="IE505" s="1260"/>
      <c r="IF505" s="1260"/>
      <c r="IG505" s="1260"/>
      <c r="IH505" s="1260"/>
      <c r="II505" s="1260"/>
      <c r="IJ505" s="1260"/>
      <c r="IK505" s="1260"/>
      <c r="IL505" s="1260"/>
      <c r="IM505" s="1260"/>
      <c r="IN505" s="1260"/>
      <c r="IO505" s="1260"/>
      <c r="IP505" s="1260"/>
      <c r="IQ505" s="1260"/>
      <c r="IR505" s="1260"/>
      <c r="IS505" s="1260"/>
      <c r="IT505" s="1260"/>
      <c r="IU505" s="1260"/>
      <c r="IV505" s="1260"/>
      <c r="IW505" s="1260"/>
      <c r="IX505" s="1260"/>
      <c r="IY505" s="1260"/>
      <c r="IZ505" s="1260"/>
      <c r="JA505" s="1260"/>
      <c r="JB505" s="1260"/>
      <c r="JC505" s="1260"/>
      <c r="JD505" s="1260"/>
      <c r="JE505" s="1260"/>
      <c r="JF505" s="1260"/>
      <c r="JG505" s="1260"/>
      <c r="JH505" s="1260"/>
      <c r="JI505" s="1260"/>
      <c r="JJ505" s="1260"/>
      <c r="JK505" s="1260"/>
      <c r="JL505" s="1260"/>
      <c r="JM505" s="1260"/>
      <c r="JN505" s="1260"/>
      <c r="JO505" s="1260"/>
      <c r="JP505" s="1260"/>
      <c r="JQ505" s="1260"/>
      <c r="JR505" s="1260"/>
      <c r="JS505" s="1260"/>
      <c r="JT505" s="1260"/>
      <c r="JU505" s="1260"/>
      <c r="JV505" s="1260"/>
      <c r="JW505" s="1260"/>
      <c r="JX505" s="1260"/>
      <c r="JY505" s="1260"/>
      <c r="JZ505" s="1260"/>
      <c r="KA505" s="1260"/>
      <c r="KB505" s="1260"/>
      <c r="KC505" s="1260"/>
      <c r="KD505" s="1260"/>
      <c r="KE505" s="1260"/>
      <c r="KF505" s="1260"/>
      <c r="KG505" s="1260"/>
      <c r="KH505" s="1260"/>
      <c r="KI505" s="1260"/>
      <c r="KJ505" s="1260"/>
      <c r="KK505" s="1260"/>
      <c r="KL505" s="1260"/>
      <c r="KM505" s="1260"/>
      <c r="KN505" s="1260"/>
      <c r="KO505" s="1260"/>
      <c r="KP505" s="1260"/>
      <c r="KQ505" s="1260"/>
      <c r="KR505" s="1260"/>
      <c r="KS505" s="1260"/>
      <c r="KT505" s="1260"/>
      <c r="KU505" s="1260"/>
      <c r="KV505" s="1260"/>
      <c r="KW505" s="1260"/>
      <c r="KX505" s="1260"/>
      <c r="KY505" s="1260"/>
      <c r="KZ505" s="1260"/>
      <c r="LA505" s="1260"/>
      <c r="LB505" s="1260"/>
      <c r="LC505" s="1260"/>
      <c r="LD505" s="1260"/>
      <c r="LE505" s="1260"/>
      <c r="LF505" s="1260"/>
      <c r="LG505" s="1260"/>
      <c r="LH505" s="1260"/>
      <c r="LI505" s="1260"/>
      <c r="LJ505" s="1260"/>
      <c r="LK505" s="1260"/>
      <c r="LL505" s="1260"/>
      <c r="LM505" s="1260"/>
      <c r="LN505" s="1260"/>
      <c r="LO505" s="1260"/>
      <c r="LP505" s="1260"/>
      <c r="LQ505" s="1260"/>
      <c r="LR505" s="1260"/>
      <c r="LS505" s="1260"/>
      <c r="LT505" s="1260"/>
      <c r="LU505" s="1260"/>
      <c r="LV505" s="1260"/>
      <c r="LW505" s="1260"/>
      <c r="LX505" s="1260"/>
      <c r="LY505" s="1260"/>
      <c r="LZ505" s="1260"/>
      <c r="MA505" s="1260"/>
      <c r="MB505" s="1260"/>
      <c r="MC505" s="1260"/>
      <c r="MD505" s="1260"/>
      <c r="ME505" s="1260"/>
      <c r="MF505" s="1260"/>
      <c r="MG505" s="1260"/>
      <c r="MH505" s="1260"/>
      <c r="MI505" s="1260"/>
      <c r="MJ505" s="1260"/>
      <c r="MK505" s="1260"/>
      <c r="ML505" s="1260"/>
      <c r="MM505" s="1260"/>
      <c r="MN505" s="1260"/>
      <c r="MO505" s="1260"/>
      <c r="MP505" s="1260"/>
      <c r="MQ505" s="1260"/>
      <c r="MR505" s="1260"/>
      <c r="MS505" s="1260"/>
      <c r="MT505" s="1260"/>
      <c r="MU505" s="1260"/>
      <c r="MV505" s="1260"/>
      <c r="MW505" s="1260"/>
      <c r="MX505" s="1260"/>
      <c r="MY505" s="1260"/>
      <c r="MZ505" s="1260"/>
      <c r="NA505" s="1260"/>
      <c r="NB505" s="1260"/>
      <c r="NC505" s="1260"/>
      <c r="ND505" s="1260"/>
      <c r="NE505" s="1260"/>
      <c r="NF505" s="1260"/>
      <c r="NG505" s="1260"/>
      <c r="NH505" s="1260"/>
      <c r="NI505" s="1260"/>
      <c r="NJ505" s="1260"/>
      <c r="NK505" s="1260"/>
      <c r="NL505" s="1260"/>
      <c r="NM505" s="1260"/>
      <c r="NN505" s="1260"/>
      <c r="NO505" s="1260"/>
      <c r="NP505" s="1260"/>
      <c r="NQ505" s="1260"/>
      <c r="NR505" s="1260"/>
      <c r="NS505" s="1260"/>
      <c r="NT505" s="1260"/>
      <c r="NU505" s="1260"/>
      <c r="NV505" s="1260"/>
      <c r="NW505" s="1260"/>
      <c r="NX505" s="1260"/>
      <c r="NY505" s="1260"/>
      <c r="NZ505" s="1260"/>
      <c r="OA505" s="1260"/>
      <c r="OB505" s="1260"/>
      <c r="OC505" s="1260"/>
      <c r="OD505" s="1260"/>
      <c r="OE505" s="1260"/>
      <c r="OF505" s="1260"/>
      <c r="OG505" s="1260"/>
      <c r="OH505" s="1260"/>
      <c r="OI505" s="1260"/>
      <c r="OJ505" s="1260"/>
      <c r="OK505" s="1260"/>
      <c r="OL505" s="1260"/>
      <c r="OM505" s="1260"/>
      <c r="ON505" s="1260"/>
      <c r="OO505" s="1260"/>
      <c r="OP505" s="1260"/>
      <c r="OQ505" s="1260"/>
      <c r="OR505" s="1260"/>
      <c r="OS505" s="1260"/>
      <c r="OT505" s="1260"/>
      <c r="OU505" s="1260"/>
      <c r="OV505" s="1260"/>
      <c r="OW505" s="1260"/>
      <c r="OX505" s="1260"/>
      <c r="OY505" s="1260"/>
      <c r="OZ505" s="1260"/>
      <c r="PA505" s="1260"/>
      <c r="PB505" s="1260"/>
      <c r="PC505" s="1260"/>
      <c r="PD505" s="1260"/>
      <c r="PE505" s="1260"/>
      <c r="PF505" s="1260"/>
      <c r="PG505" s="1260"/>
      <c r="PH505" s="1260"/>
      <c r="PI505" s="1260"/>
      <c r="PJ505" s="1260"/>
      <c r="PK505" s="1260"/>
      <c r="PL505" s="1260"/>
      <c r="PM505" s="1260"/>
      <c r="PN505" s="1260"/>
      <c r="PO505" s="1260"/>
      <c r="PP505" s="1260"/>
      <c r="PQ505" s="1260"/>
      <c r="PR505" s="1260"/>
      <c r="PS505" s="1260"/>
      <c r="PT505" s="1260"/>
      <c r="PU505" s="1260"/>
      <c r="PV505" s="1260"/>
      <c r="PW505" s="1260"/>
      <c r="PX505" s="1260"/>
      <c r="PY505" s="1260"/>
      <c r="PZ505" s="1260"/>
      <c r="QA505" s="1260"/>
      <c r="QB505" s="1260"/>
      <c r="QC505" s="1260"/>
      <c r="QD505" s="1260"/>
      <c r="QE505" s="1260"/>
      <c r="QF505" s="1260"/>
      <c r="QG505" s="1260"/>
      <c r="QH505" s="1260"/>
      <c r="QI505" s="1260"/>
      <c r="QJ505" s="1260"/>
      <c r="QK505" s="1260"/>
      <c r="QL505" s="1260"/>
      <c r="QM505" s="1260"/>
      <c r="QN505" s="1260"/>
      <c r="QO505" s="1260"/>
      <c r="QP505" s="1260"/>
      <c r="QQ505" s="1260"/>
      <c r="QR505" s="1260"/>
      <c r="QS505" s="1260"/>
      <c r="QT505" s="1260"/>
      <c r="QU505" s="1260"/>
      <c r="QV505" s="1260"/>
      <c r="QW505" s="1260"/>
      <c r="QX505" s="1260"/>
      <c r="QY505" s="1260"/>
      <c r="QZ505" s="1260"/>
      <c r="RA505" s="1260"/>
      <c r="RB505" s="1260"/>
      <c r="RC505" s="1260"/>
      <c r="RD505" s="1260"/>
      <c r="RE505" s="1260"/>
      <c r="RF505" s="1260"/>
      <c r="RG505" s="1260"/>
      <c r="RH505" s="1260"/>
      <c r="RI505" s="1260"/>
      <c r="RJ505" s="1260"/>
      <c r="RK505" s="1260"/>
      <c r="RL505" s="1260"/>
      <c r="RM505" s="1260"/>
      <c r="RN505" s="1260"/>
      <c r="RO505" s="1260"/>
      <c r="RP505" s="1260"/>
      <c r="RQ505" s="1260"/>
      <c r="RR505" s="1260"/>
      <c r="RS505" s="1260"/>
      <c r="RT505" s="1260"/>
      <c r="RU505" s="1260"/>
      <c r="RV505" s="1260"/>
      <c r="RW505" s="1260"/>
      <c r="RX505" s="1260"/>
      <c r="RY505" s="1260"/>
      <c r="RZ505" s="1260"/>
      <c r="SA505" s="1260"/>
      <c r="SB505" s="1260"/>
      <c r="SC505" s="1260"/>
      <c r="SD505" s="1260"/>
      <c r="SE505" s="1260"/>
      <c r="SF505" s="1260"/>
      <c r="SG505" s="1260"/>
      <c r="SH505" s="1260"/>
      <c r="SI505" s="1260"/>
      <c r="SJ505" s="1260"/>
      <c r="SK505" s="1260"/>
      <c r="SL505" s="1260"/>
      <c r="SM505" s="1260"/>
      <c r="SN505" s="1260"/>
      <c r="SO505" s="1260"/>
      <c r="SP505" s="1260"/>
      <c r="SQ505" s="1260"/>
      <c r="SR505" s="1260"/>
      <c r="SS505" s="1260"/>
      <c r="ST505" s="1260"/>
      <c r="SU505" s="1260"/>
      <c r="SV505" s="1260"/>
      <c r="SW505" s="1260"/>
      <c r="SX505" s="1260"/>
      <c r="SY505" s="1260"/>
      <c r="SZ505" s="1260"/>
      <c r="TA505" s="1260"/>
      <c r="TB505" s="1260"/>
      <c r="TC505" s="1260"/>
      <c r="TD505" s="1260"/>
      <c r="TE505" s="1260"/>
      <c r="TF505" s="1260"/>
      <c r="TG505" s="1260"/>
      <c r="TH505" s="1260"/>
      <c r="TI505" s="1260"/>
      <c r="TJ505" s="1260"/>
      <c r="TK505" s="1260"/>
      <c r="TL505" s="1260"/>
      <c r="TM505" s="1260"/>
      <c r="TN505" s="1260"/>
      <c r="TO505" s="1260"/>
      <c r="TP505" s="1260"/>
      <c r="TQ505" s="1260"/>
      <c r="TR505" s="1260"/>
      <c r="TS505" s="1260"/>
      <c r="TT505" s="1260"/>
      <c r="TU505" s="1260"/>
      <c r="TV505" s="1260"/>
      <c r="TW505" s="1260"/>
      <c r="TX505" s="1260"/>
      <c r="TY505" s="1260"/>
      <c r="TZ505" s="1260"/>
      <c r="UA505" s="1260"/>
      <c r="UB505" s="1260"/>
      <c r="UC505" s="1260"/>
      <c r="UD505" s="1260"/>
      <c r="UE505" s="1260"/>
      <c r="UF505" s="1260"/>
      <c r="UG505" s="1261"/>
    </row>
    <row r="506" spans="1:553" s="1262" customFormat="1" ht="30.75" customHeight="1">
      <c r="A506" s="524"/>
      <c r="B506" s="524"/>
      <c r="C506" s="1511" t="s">
        <v>1409</v>
      </c>
      <c r="D506" s="1511"/>
      <c r="E506" s="1511"/>
      <c r="F506" s="1512"/>
      <c r="G506" s="1226" t="s">
        <v>196</v>
      </c>
      <c r="H506" s="601"/>
      <c r="I506" s="1090">
        <f>(20.51*100/400)*(12-(4-3))*2</f>
        <v>112.80500000000001</v>
      </c>
      <c r="J506" s="1091">
        <v>3100</v>
      </c>
      <c r="K506" s="720">
        <v>0.7</v>
      </c>
      <c r="L506" s="1193">
        <f>I506*J506*K506</f>
        <v>244786.84999999998</v>
      </c>
      <c r="M506" s="366"/>
      <c r="N506" s="366"/>
      <c r="O506" s="366"/>
      <c r="P506" s="366"/>
      <c r="Q506" s="1144"/>
      <c r="R506" s="1452"/>
      <c r="S506" s="308"/>
      <c r="T506" s="308"/>
      <c r="U506" s="308"/>
      <c r="V506" s="308"/>
      <c r="W506" s="308"/>
      <c r="X506" s="308"/>
      <c r="Y506" s="308"/>
      <c r="Z506" s="604"/>
      <c r="AA506" s="308"/>
      <c r="AB506" s="308"/>
      <c r="AC506" s="449"/>
      <c r="AD506" s="452"/>
      <c r="AE506" s="452"/>
      <c r="AF506" s="452"/>
      <c r="AG506" s="452"/>
      <c r="AH506" s="452"/>
      <c r="AI506" s="452"/>
      <c r="AJ506" s="452"/>
      <c r="AK506" s="452"/>
      <c r="AL506" s="1259"/>
      <c r="AM506" s="1260"/>
      <c r="AN506" s="1260"/>
      <c r="AO506" s="1260"/>
      <c r="AP506" s="1260"/>
      <c r="AQ506" s="1260"/>
      <c r="AR506" s="1260"/>
      <c r="AS506" s="1260"/>
      <c r="AT506" s="1260"/>
      <c r="AU506" s="1260"/>
      <c r="AV506" s="1260"/>
      <c r="AW506" s="1260"/>
      <c r="AX506" s="1260"/>
      <c r="AY506" s="1260"/>
      <c r="AZ506" s="1260"/>
      <c r="BA506" s="1260"/>
      <c r="BB506" s="1260"/>
      <c r="BC506" s="1260"/>
      <c r="BD506" s="1260"/>
      <c r="BE506" s="1260"/>
      <c r="BF506" s="1260"/>
      <c r="BG506" s="1260"/>
      <c r="BH506" s="1260"/>
      <c r="BI506" s="1260"/>
      <c r="BJ506" s="1260"/>
      <c r="BK506" s="1260"/>
      <c r="BL506" s="1260"/>
      <c r="BM506" s="1260"/>
      <c r="BN506" s="1260"/>
      <c r="BO506" s="1260"/>
      <c r="BP506" s="1260"/>
      <c r="BQ506" s="1260"/>
      <c r="BR506" s="1260"/>
      <c r="BS506" s="1260"/>
      <c r="BT506" s="1260"/>
      <c r="BU506" s="1260"/>
      <c r="BV506" s="1260"/>
      <c r="BW506" s="1260"/>
      <c r="BX506" s="1260"/>
      <c r="BY506" s="1260"/>
      <c r="BZ506" s="1260"/>
      <c r="CA506" s="1260"/>
      <c r="CB506" s="1260"/>
      <c r="CC506" s="1260"/>
      <c r="CD506" s="1260"/>
      <c r="CE506" s="1260"/>
      <c r="CF506" s="1260"/>
      <c r="CG506" s="1260"/>
      <c r="CH506" s="1260"/>
      <c r="CI506" s="1260"/>
      <c r="CJ506" s="1260"/>
      <c r="CK506" s="1260"/>
      <c r="CL506" s="1260"/>
      <c r="CM506" s="1260"/>
      <c r="CN506" s="1260"/>
      <c r="CO506" s="1260"/>
      <c r="CP506" s="1260"/>
      <c r="CQ506" s="1260"/>
      <c r="CR506" s="1260"/>
      <c r="CS506" s="1260"/>
      <c r="CT506" s="1260"/>
      <c r="CU506" s="1260"/>
      <c r="CV506" s="1260"/>
      <c r="CW506" s="1260"/>
      <c r="CX506" s="1260"/>
      <c r="CY506" s="1260"/>
      <c r="CZ506" s="1260"/>
      <c r="DA506" s="1260"/>
      <c r="DB506" s="1260"/>
      <c r="DC506" s="1260"/>
      <c r="DD506" s="1260"/>
      <c r="DE506" s="1260"/>
      <c r="DF506" s="1260"/>
      <c r="DG506" s="1260"/>
      <c r="DH506" s="1260"/>
      <c r="DI506" s="1260"/>
      <c r="DJ506" s="1260"/>
      <c r="DK506" s="1260"/>
      <c r="DL506" s="1260"/>
      <c r="DM506" s="1260"/>
      <c r="DN506" s="1260"/>
      <c r="DO506" s="1260"/>
      <c r="DP506" s="1260"/>
      <c r="DQ506" s="1260"/>
      <c r="DR506" s="1260"/>
      <c r="DS506" s="1260"/>
      <c r="DT506" s="1260"/>
      <c r="DU506" s="1260"/>
      <c r="DV506" s="1260"/>
      <c r="DW506" s="1260"/>
      <c r="DX506" s="1260"/>
      <c r="DY506" s="1260"/>
      <c r="DZ506" s="1260"/>
      <c r="EA506" s="1260"/>
      <c r="EB506" s="1260"/>
      <c r="EC506" s="1260"/>
      <c r="ED506" s="1260"/>
      <c r="EE506" s="1260"/>
      <c r="EF506" s="1260"/>
      <c r="EG506" s="1260"/>
      <c r="EH506" s="1260"/>
      <c r="EI506" s="1260"/>
      <c r="EJ506" s="1260"/>
      <c r="EK506" s="1260"/>
      <c r="EL506" s="1260"/>
      <c r="EM506" s="1260"/>
      <c r="EN506" s="1260"/>
      <c r="EO506" s="1260"/>
      <c r="EP506" s="1260"/>
      <c r="EQ506" s="1260"/>
      <c r="ER506" s="1260"/>
      <c r="ES506" s="1260"/>
      <c r="ET506" s="1260"/>
      <c r="EU506" s="1260"/>
      <c r="EV506" s="1260"/>
      <c r="EW506" s="1260"/>
      <c r="EX506" s="1260"/>
      <c r="EY506" s="1260"/>
      <c r="EZ506" s="1260"/>
      <c r="FA506" s="1260"/>
      <c r="FB506" s="1260"/>
      <c r="FC506" s="1260"/>
      <c r="FD506" s="1260"/>
      <c r="FE506" s="1260"/>
      <c r="FF506" s="1260"/>
      <c r="FG506" s="1260"/>
      <c r="FH506" s="1260"/>
      <c r="FI506" s="1260"/>
      <c r="FJ506" s="1260"/>
      <c r="FK506" s="1260"/>
      <c r="FL506" s="1260"/>
      <c r="FM506" s="1260"/>
      <c r="FN506" s="1260"/>
      <c r="FO506" s="1260"/>
      <c r="FP506" s="1260"/>
      <c r="FQ506" s="1260"/>
      <c r="FR506" s="1260"/>
      <c r="FS506" s="1260"/>
      <c r="FT506" s="1260"/>
      <c r="FU506" s="1260"/>
      <c r="FV506" s="1260"/>
      <c r="FW506" s="1260"/>
      <c r="FX506" s="1260"/>
      <c r="FY506" s="1260"/>
      <c r="FZ506" s="1260"/>
      <c r="GA506" s="1260"/>
      <c r="GB506" s="1260"/>
      <c r="GC506" s="1260"/>
      <c r="GD506" s="1260"/>
      <c r="GE506" s="1260"/>
      <c r="GF506" s="1260"/>
      <c r="GG506" s="1260"/>
      <c r="GH506" s="1260"/>
      <c r="GI506" s="1260"/>
      <c r="GJ506" s="1260"/>
      <c r="GK506" s="1260"/>
      <c r="GL506" s="1260"/>
      <c r="GM506" s="1260"/>
      <c r="GN506" s="1260"/>
      <c r="GO506" s="1260"/>
      <c r="GP506" s="1260"/>
      <c r="GQ506" s="1260"/>
      <c r="GR506" s="1260"/>
      <c r="GS506" s="1260"/>
      <c r="GT506" s="1260"/>
      <c r="GU506" s="1260"/>
      <c r="GV506" s="1260"/>
      <c r="GW506" s="1260"/>
      <c r="GX506" s="1260"/>
      <c r="GY506" s="1260"/>
      <c r="GZ506" s="1260"/>
      <c r="HA506" s="1260"/>
      <c r="HB506" s="1260"/>
      <c r="HC506" s="1260"/>
      <c r="HD506" s="1260"/>
      <c r="HE506" s="1260"/>
      <c r="HF506" s="1260"/>
      <c r="HG506" s="1260"/>
      <c r="HH506" s="1260"/>
      <c r="HI506" s="1260"/>
      <c r="HJ506" s="1260"/>
      <c r="HK506" s="1260"/>
      <c r="HL506" s="1260"/>
      <c r="HM506" s="1260"/>
      <c r="HN506" s="1260"/>
      <c r="HO506" s="1260"/>
      <c r="HP506" s="1260"/>
      <c r="HQ506" s="1260"/>
      <c r="HR506" s="1260"/>
      <c r="HS506" s="1260"/>
      <c r="HT506" s="1260"/>
      <c r="HU506" s="1260"/>
      <c r="HV506" s="1260"/>
      <c r="HW506" s="1260"/>
      <c r="HX506" s="1260"/>
      <c r="HY506" s="1260"/>
      <c r="HZ506" s="1260"/>
      <c r="IA506" s="1260"/>
      <c r="IB506" s="1260"/>
      <c r="IC506" s="1260"/>
      <c r="ID506" s="1260"/>
      <c r="IE506" s="1260"/>
      <c r="IF506" s="1260"/>
      <c r="IG506" s="1260"/>
      <c r="IH506" s="1260"/>
      <c r="II506" s="1260"/>
      <c r="IJ506" s="1260"/>
      <c r="IK506" s="1260"/>
      <c r="IL506" s="1260"/>
      <c r="IM506" s="1260"/>
      <c r="IN506" s="1260"/>
      <c r="IO506" s="1260"/>
      <c r="IP506" s="1260"/>
      <c r="IQ506" s="1260"/>
      <c r="IR506" s="1260"/>
      <c r="IS506" s="1260"/>
      <c r="IT506" s="1260"/>
      <c r="IU506" s="1260"/>
      <c r="IV506" s="1260"/>
      <c r="IW506" s="1260"/>
      <c r="IX506" s="1260"/>
      <c r="IY506" s="1260"/>
      <c r="IZ506" s="1260"/>
      <c r="JA506" s="1260"/>
      <c r="JB506" s="1260"/>
      <c r="JC506" s="1260"/>
      <c r="JD506" s="1260"/>
      <c r="JE506" s="1260"/>
      <c r="JF506" s="1260"/>
      <c r="JG506" s="1260"/>
      <c r="JH506" s="1260"/>
      <c r="JI506" s="1260"/>
      <c r="JJ506" s="1260"/>
      <c r="JK506" s="1260"/>
      <c r="JL506" s="1260"/>
      <c r="JM506" s="1260"/>
      <c r="JN506" s="1260"/>
      <c r="JO506" s="1260"/>
      <c r="JP506" s="1260"/>
      <c r="JQ506" s="1260"/>
      <c r="JR506" s="1260"/>
      <c r="JS506" s="1260"/>
      <c r="JT506" s="1260"/>
      <c r="JU506" s="1260"/>
      <c r="JV506" s="1260"/>
      <c r="JW506" s="1260"/>
      <c r="JX506" s="1260"/>
      <c r="JY506" s="1260"/>
      <c r="JZ506" s="1260"/>
      <c r="KA506" s="1260"/>
      <c r="KB506" s="1260"/>
      <c r="KC506" s="1260"/>
      <c r="KD506" s="1260"/>
      <c r="KE506" s="1260"/>
      <c r="KF506" s="1260"/>
      <c r="KG506" s="1260"/>
      <c r="KH506" s="1260"/>
      <c r="KI506" s="1260"/>
      <c r="KJ506" s="1260"/>
      <c r="KK506" s="1260"/>
      <c r="KL506" s="1260"/>
      <c r="KM506" s="1260"/>
      <c r="KN506" s="1260"/>
      <c r="KO506" s="1260"/>
      <c r="KP506" s="1260"/>
      <c r="KQ506" s="1260"/>
      <c r="KR506" s="1260"/>
      <c r="KS506" s="1260"/>
      <c r="KT506" s="1260"/>
      <c r="KU506" s="1260"/>
      <c r="KV506" s="1260"/>
      <c r="KW506" s="1260"/>
      <c r="KX506" s="1260"/>
      <c r="KY506" s="1260"/>
      <c r="KZ506" s="1260"/>
      <c r="LA506" s="1260"/>
      <c r="LB506" s="1260"/>
      <c r="LC506" s="1260"/>
      <c r="LD506" s="1260"/>
      <c r="LE506" s="1260"/>
      <c r="LF506" s="1260"/>
      <c r="LG506" s="1260"/>
      <c r="LH506" s="1260"/>
      <c r="LI506" s="1260"/>
      <c r="LJ506" s="1260"/>
      <c r="LK506" s="1260"/>
      <c r="LL506" s="1260"/>
      <c r="LM506" s="1260"/>
      <c r="LN506" s="1260"/>
      <c r="LO506" s="1260"/>
      <c r="LP506" s="1260"/>
      <c r="LQ506" s="1260"/>
      <c r="LR506" s="1260"/>
      <c r="LS506" s="1260"/>
      <c r="LT506" s="1260"/>
      <c r="LU506" s="1260"/>
      <c r="LV506" s="1260"/>
      <c r="LW506" s="1260"/>
      <c r="LX506" s="1260"/>
      <c r="LY506" s="1260"/>
      <c r="LZ506" s="1260"/>
      <c r="MA506" s="1260"/>
      <c r="MB506" s="1260"/>
      <c r="MC506" s="1260"/>
      <c r="MD506" s="1260"/>
      <c r="ME506" s="1260"/>
      <c r="MF506" s="1260"/>
      <c r="MG506" s="1260"/>
      <c r="MH506" s="1260"/>
      <c r="MI506" s="1260"/>
      <c r="MJ506" s="1260"/>
      <c r="MK506" s="1260"/>
      <c r="ML506" s="1260"/>
      <c r="MM506" s="1260"/>
      <c r="MN506" s="1260"/>
      <c r="MO506" s="1260"/>
      <c r="MP506" s="1260"/>
      <c r="MQ506" s="1260"/>
      <c r="MR506" s="1260"/>
      <c r="MS506" s="1260"/>
      <c r="MT506" s="1260"/>
      <c r="MU506" s="1260"/>
      <c r="MV506" s="1260"/>
      <c r="MW506" s="1260"/>
      <c r="MX506" s="1260"/>
      <c r="MY506" s="1260"/>
      <c r="MZ506" s="1260"/>
      <c r="NA506" s="1260"/>
      <c r="NB506" s="1260"/>
      <c r="NC506" s="1260"/>
      <c r="ND506" s="1260"/>
      <c r="NE506" s="1260"/>
      <c r="NF506" s="1260"/>
      <c r="NG506" s="1260"/>
      <c r="NH506" s="1260"/>
      <c r="NI506" s="1260"/>
      <c r="NJ506" s="1260"/>
      <c r="NK506" s="1260"/>
      <c r="NL506" s="1260"/>
      <c r="NM506" s="1260"/>
      <c r="NN506" s="1260"/>
      <c r="NO506" s="1260"/>
      <c r="NP506" s="1260"/>
      <c r="NQ506" s="1260"/>
      <c r="NR506" s="1260"/>
      <c r="NS506" s="1260"/>
      <c r="NT506" s="1260"/>
      <c r="NU506" s="1260"/>
      <c r="NV506" s="1260"/>
      <c r="NW506" s="1260"/>
      <c r="NX506" s="1260"/>
      <c r="NY506" s="1260"/>
      <c r="NZ506" s="1260"/>
      <c r="OA506" s="1260"/>
      <c r="OB506" s="1260"/>
      <c r="OC506" s="1260"/>
      <c r="OD506" s="1260"/>
      <c r="OE506" s="1260"/>
      <c r="OF506" s="1260"/>
      <c r="OG506" s="1260"/>
      <c r="OH506" s="1260"/>
      <c r="OI506" s="1260"/>
      <c r="OJ506" s="1260"/>
      <c r="OK506" s="1260"/>
      <c r="OL506" s="1260"/>
      <c r="OM506" s="1260"/>
      <c r="ON506" s="1260"/>
      <c r="OO506" s="1260"/>
      <c r="OP506" s="1260"/>
      <c r="OQ506" s="1260"/>
      <c r="OR506" s="1260"/>
      <c r="OS506" s="1260"/>
      <c r="OT506" s="1260"/>
      <c r="OU506" s="1260"/>
      <c r="OV506" s="1260"/>
      <c r="OW506" s="1260"/>
      <c r="OX506" s="1260"/>
      <c r="OY506" s="1260"/>
      <c r="OZ506" s="1260"/>
      <c r="PA506" s="1260"/>
      <c r="PB506" s="1260"/>
      <c r="PC506" s="1260"/>
      <c r="PD506" s="1260"/>
      <c r="PE506" s="1260"/>
      <c r="PF506" s="1260"/>
      <c r="PG506" s="1260"/>
      <c r="PH506" s="1260"/>
      <c r="PI506" s="1260"/>
      <c r="PJ506" s="1260"/>
      <c r="PK506" s="1260"/>
      <c r="PL506" s="1260"/>
      <c r="PM506" s="1260"/>
      <c r="PN506" s="1260"/>
      <c r="PO506" s="1260"/>
      <c r="PP506" s="1260"/>
      <c r="PQ506" s="1260"/>
      <c r="PR506" s="1260"/>
      <c r="PS506" s="1260"/>
      <c r="PT506" s="1260"/>
      <c r="PU506" s="1260"/>
      <c r="PV506" s="1260"/>
      <c r="PW506" s="1260"/>
      <c r="PX506" s="1260"/>
      <c r="PY506" s="1260"/>
      <c r="PZ506" s="1260"/>
      <c r="QA506" s="1260"/>
      <c r="QB506" s="1260"/>
      <c r="QC506" s="1260"/>
      <c r="QD506" s="1260"/>
      <c r="QE506" s="1260"/>
      <c r="QF506" s="1260"/>
      <c r="QG506" s="1260"/>
      <c r="QH506" s="1260"/>
      <c r="QI506" s="1260"/>
      <c r="QJ506" s="1260"/>
      <c r="QK506" s="1260"/>
      <c r="QL506" s="1260"/>
      <c r="QM506" s="1260"/>
      <c r="QN506" s="1260"/>
      <c r="QO506" s="1260"/>
      <c r="QP506" s="1260"/>
      <c r="QQ506" s="1260"/>
      <c r="QR506" s="1260"/>
      <c r="QS506" s="1260"/>
      <c r="QT506" s="1260"/>
      <c r="QU506" s="1260"/>
      <c r="QV506" s="1260"/>
      <c r="QW506" s="1260"/>
      <c r="QX506" s="1260"/>
      <c r="QY506" s="1260"/>
      <c r="QZ506" s="1260"/>
      <c r="RA506" s="1260"/>
      <c r="RB506" s="1260"/>
      <c r="RC506" s="1260"/>
      <c r="RD506" s="1260"/>
      <c r="RE506" s="1260"/>
      <c r="RF506" s="1260"/>
      <c r="RG506" s="1260"/>
      <c r="RH506" s="1260"/>
      <c r="RI506" s="1260"/>
      <c r="RJ506" s="1260"/>
      <c r="RK506" s="1260"/>
      <c r="RL506" s="1260"/>
      <c r="RM506" s="1260"/>
      <c r="RN506" s="1260"/>
      <c r="RO506" s="1260"/>
      <c r="RP506" s="1260"/>
      <c r="RQ506" s="1260"/>
      <c r="RR506" s="1260"/>
      <c r="RS506" s="1260"/>
      <c r="RT506" s="1260"/>
      <c r="RU506" s="1260"/>
      <c r="RV506" s="1260"/>
      <c r="RW506" s="1260"/>
      <c r="RX506" s="1260"/>
      <c r="RY506" s="1260"/>
      <c r="RZ506" s="1260"/>
      <c r="SA506" s="1260"/>
      <c r="SB506" s="1260"/>
      <c r="SC506" s="1260"/>
      <c r="SD506" s="1260"/>
      <c r="SE506" s="1260"/>
      <c r="SF506" s="1260"/>
      <c r="SG506" s="1260"/>
      <c r="SH506" s="1260"/>
      <c r="SI506" s="1260"/>
      <c r="SJ506" s="1260"/>
      <c r="SK506" s="1260"/>
      <c r="SL506" s="1260"/>
      <c r="SM506" s="1260"/>
      <c r="SN506" s="1260"/>
      <c r="SO506" s="1260"/>
      <c r="SP506" s="1260"/>
      <c r="SQ506" s="1260"/>
      <c r="SR506" s="1260"/>
      <c r="SS506" s="1260"/>
      <c r="ST506" s="1260"/>
      <c r="SU506" s="1260"/>
      <c r="SV506" s="1260"/>
      <c r="SW506" s="1260"/>
      <c r="SX506" s="1260"/>
      <c r="SY506" s="1260"/>
      <c r="SZ506" s="1260"/>
      <c r="TA506" s="1260"/>
      <c r="TB506" s="1260"/>
      <c r="TC506" s="1260"/>
      <c r="TD506" s="1260"/>
      <c r="TE506" s="1260"/>
      <c r="TF506" s="1260"/>
      <c r="TG506" s="1260"/>
      <c r="TH506" s="1260"/>
      <c r="TI506" s="1260"/>
      <c r="TJ506" s="1260"/>
      <c r="TK506" s="1260"/>
      <c r="TL506" s="1260"/>
      <c r="TM506" s="1260"/>
      <c r="TN506" s="1260"/>
      <c r="TO506" s="1260"/>
      <c r="TP506" s="1260"/>
      <c r="TQ506" s="1260"/>
      <c r="TR506" s="1260"/>
      <c r="TS506" s="1260"/>
      <c r="TT506" s="1260"/>
      <c r="TU506" s="1260"/>
      <c r="TV506" s="1260"/>
      <c r="TW506" s="1260"/>
      <c r="TX506" s="1260"/>
      <c r="TY506" s="1260"/>
      <c r="TZ506" s="1260"/>
      <c r="UA506" s="1260"/>
      <c r="UB506" s="1260"/>
      <c r="UC506" s="1260"/>
      <c r="UD506" s="1260"/>
      <c r="UE506" s="1260"/>
      <c r="UF506" s="1260"/>
      <c r="UG506" s="1261"/>
    </row>
    <row r="507" spans="1:553" s="109" customFormat="1" ht="30.75" customHeight="1">
      <c r="A507" s="415"/>
      <c r="B507" s="602"/>
      <c r="C507" s="1513" t="s">
        <v>1122</v>
      </c>
      <c r="D507" s="1461"/>
      <c r="E507" s="1461"/>
      <c r="F507" s="1461"/>
      <c r="G507" s="1226"/>
      <c r="H507" s="603"/>
      <c r="I507" s="505"/>
      <c r="J507" s="572"/>
      <c r="K507" s="506"/>
      <c r="L507" s="1012"/>
      <c r="M507" s="366"/>
      <c r="N507" s="366"/>
      <c r="O507" s="366"/>
      <c r="P507" s="366"/>
      <c r="Q507" s="1144"/>
      <c r="R507" s="1452"/>
      <c r="S507" s="308"/>
      <c r="T507" s="308"/>
      <c r="U507" s="308"/>
      <c r="V507" s="308"/>
      <c r="W507" s="308"/>
      <c r="X507" s="308"/>
      <c r="Y507" s="308"/>
      <c r="Z507" s="604"/>
      <c r="AA507" s="308"/>
      <c r="AB507" s="308"/>
      <c r="AC507" s="449"/>
      <c r="AD507" s="452"/>
      <c r="AE507" s="452"/>
      <c r="AF507" s="452"/>
      <c r="AG507" s="452"/>
      <c r="AH507" s="452"/>
      <c r="AI507" s="452"/>
      <c r="AJ507" s="452"/>
      <c r="AK507" s="452"/>
      <c r="AL507" s="117"/>
      <c r="AM507" s="113"/>
      <c r="AN507" s="113"/>
      <c r="AO507" s="113"/>
      <c r="AP507" s="113"/>
      <c r="AQ507" s="113"/>
      <c r="AR507" s="113"/>
      <c r="AS507" s="113"/>
      <c r="AT507" s="113"/>
      <c r="AU507" s="113"/>
      <c r="AV507" s="113"/>
      <c r="AW507" s="113"/>
      <c r="AX507" s="113"/>
      <c r="AY507" s="113"/>
      <c r="AZ507" s="113"/>
      <c r="BA507" s="113"/>
      <c r="BB507" s="113"/>
      <c r="BC507" s="113"/>
      <c r="BD507" s="113"/>
      <c r="BE507" s="113"/>
      <c r="BF507" s="113"/>
      <c r="BG507" s="113"/>
      <c r="BH507" s="113"/>
      <c r="BI507" s="113"/>
      <c r="BJ507" s="113"/>
      <c r="BK507" s="113"/>
      <c r="BL507" s="113"/>
      <c r="BM507" s="113"/>
      <c r="BN507" s="113"/>
      <c r="BO507" s="113"/>
      <c r="BP507" s="113"/>
      <c r="BQ507" s="113"/>
      <c r="BR507" s="113"/>
      <c r="BS507" s="113"/>
      <c r="BT507" s="113"/>
      <c r="BU507" s="113"/>
      <c r="BV507" s="113"/>
      <c r="BW507" s="113"/>
      <c r="BX507" s="113"/>
      <c r="BY507" s="113"/>
      <c r="BZ507" s="113"/>
      <c r="CA507" s="113"/>
      <c r="CB507" s="113"/>
      <c r="CC507" s="113"/>
      <c r="CD507" s="113"/>
      <c r="CE507" s="113"/>
      <c r="CF507" s="113"/>
      <c r="CG507" s="113"/>
      <c r="CH507" s="113"/>
      <c r="CI507" s="113"/>
      <c r="CJ507" s="113"/>
      <c r="CK507" s="113"/>
      <c r="CL507" s="113"/>
      <c r="CM507" s="113"/>
      <c r="CN507" s="113"/>
      <c r="CO507" s="113"/>
      <c r="CP507" s="113"/>
      <c r="CQ507" s="113"/>
      <c r="CR507" s="113"/>
      <c r="CS507" s="113"/>
      <c r="CT507" s="113"/>
      <c r="CU507" s="113"/>
      <c r="CV507" s="113"/>
      <c r="CW507" s="113"/>
      <c r="CX507" s="113"/>
      <c r="CY507" s="113"/>
      <c r="CZ507" s="113"/>
      <c r="DA507" s="113"/>
      <c r="DB507" s="113"/>
      <c r="DC507" s="113"/>
      <c r="DD507" s="113"/>
      <c r="DE507" s="113"/>
      <c r="DF507" s="113"/>
      <c r="DG507" s="113"/>
      <c r="DH507" s="113"/>
      <c r="DI507" s="113"/>
      <c r="DJ507" s="113"/>
      <c r="DK507" s="113"/>
      <c r="DL507" s="113"/>
      <c r="DM507" s="113"/>
      <c r="DN507" s="113"/>
      <c r="DO507" s="113"/>
      <c r="DP507" s="113"/>
      <c r="DQ507" s="113"/>
      <c r="DR507" s="113"/>
      <c r="DS507" s="113"/>
      <c r="DT507" s="113"/>
      <c r="DU507" s="113"/>
      <c r="DV507" s="113"/>
      <c r="DW507" s="113"/>
      <c r="DX507" s="113"/>
      <c r="DY507" s="113"/>
      <c r="DZ507" s="113"/>
      <c r="EA507" s="113"/>
      <c r="EB507" s="113"/>
      <c r="EC507" s="113"/>
      <c r="ED507" s="113"/>
      <c r="EE507" s="113"/>
      <c r="EF507" s="113"/>
      <c r="EG507" s="113"/>
      <c r="EH507" s="113"/>
      <c r="EI507" s="113"/>
      <c r="EJ507" s="113"/>
      <c r="EK507" s="113"/>
      <c r="EL507" s="113"/>
      <c r="EM507" s="113"/>
      <c r="EN507" s="113"/>
      <c r="EO507" s="113"/>
      <c r="EP507" s="113"/>
      <c r="EQ507" s="113"/>
      <c r="ER507" s="113"/>
      <c r="ES507" s="113"/>
      <c r="ET507" s="113"/>
      <c r="EU507" s="113"/>
      <c r="EV507" s="113"/>
      <c r="EW507" s="113"/>
      <c r="EX507" s="113"/>
      <c r="EY507" s="113"/>
      <c r="EZ507" s="113"/>
      <c r="FA507" s="113"/>
      <c r="FB507" s="113"/>
      <c r="FC507" s="113"/>
      <c r="FD507" s="113"/>
      <c r="FE507" s="113"/>
      <c r="FF507" s="113"/>
      <c r="FG507" s="113"/>
      <c r="FH507" s="113"/>
      <c r="FI507" s="113"/>
      <c r="FJ507" s="113"/>
      <c r="FK507" s="113"/>
      <c r="FL507" s="113"/>
      <c r="FM507" s="113"/>
      <c r="FN507" s="113"/>
      <c r="FO507" s="113"/>
      <c r="FP507" s="113"/>
      <c r="FQ507" s="113"/>
      <c r="FR507" s="113"/>
      <c r="FS507" s="113"/>
      <c r="FT507" s="113"/>
      <c r="FU507" s="113"/>
      <c r="FV507" s="113"/>
      <c r="FW507" s="113"/>
      <c r="FX507" s="113"/>
      <c r="FY507" s="113"/>
      <c r="FZ507" s="113"/>
      <c r="GA507" s="113"/>
      <c r="GB507" s="113"/>
      <c r="GC507" s="113"/>
      <c r="GD507" s="113"/>
      <c r="GE507" s="113"/>
      <c r="GF507" s="113"/>
      <c r="GG507" s="113"/>
      <c r="GH507" s="113"/>
      <c r="GI507" s="113"/>
      <c r="GJ507" s="113"/>
      <c r="GK507" s="113"/>
      <c r="GL507" s="113"/>
      <c r="GM507" s="113"/>
      <c r="GN507" s="113"/>
      <c r="GO507" s="113"/>
      <c r="GP507" s="113"/>
      <c r="GQ507" s="113"/>
      <c r="GR507" s="113"/>
      <c r="GS507" s="113"/>
      <c r="GT507" s="113"/>
      <c r="GU507" s="113"/>
      <c r="GV507" s="113"/>
      <c r="GW507" s="113"/>
      <c r="GX507" s="113"/>
      <c r="GY507" s="113"/>
      <c r="GZ507" s="113"/>
      <c r="HA507" s="113"/>
      <c r="HB507" s="113"/>
      <c r="HC507" s="113"/>
      <c r="HD507" s="113"/>
      <c r="HE507" s="113"/>
      <c r="HF507" s="113"/>
      <c r="HG507" s="113"/>
      <c r="HH507" s="113"/>
      <c r="HI507" s="113"/>
      <c r="HJ507" s="113"/>
      <c r="HK507" s="113"/>
      <c r="HL507" s="113"/>
      <c r="HM507" s="113"/>
      <c r="HN507" s="113"/>
      <c r="HO507" s="113"/>
      <c r="HP507" s="113"/>
      <c r="HQ507" s="113"/>
      <c r="HR507" s="113"/>
      <c r="HS507" s="113"/>
      <c r="HT507" s="113"/>
      <c r="HU507" s="113"/>
      <c r="HV507" s="113"/>
      <c r="HW507" s="113"/>
      <c r="HX507" s="113"/>
      <c r="HY507" s="113"/>
      <c r="HZ507" s="113"/>
      <c r="IA507" s="113"/>
      <c r="IB507" s="113"/>
      <c r="IC507" s="113"/>
      <c r="ID507" s="113"/>
      <c r="IE507" s="113"/>
      <c r="IF507" s="113"/>
      <c r="IG507" s="113"/>
      <c r="IH507" s="113"/>
      <c r="II507" s="113"/>
      <c r="IJ507" s="113"/>
      <c r="IK507" s="113"/>
      <c r="IL507" s="113"/>
      <c r="IM507" s="113"/>
      <c r="IN507" s="113"/>
      <c r="IO507" s="113"/>
      <c r="IP507" s="113"/>
      <c r="IQ507" s="113"/>
      <c r="IR507" s="113"/>
      <c r="IS507" s="113"/>
      <c r="IT507" s="113"/>
      <c r="IU507" s="113"/>
      <c r="IV507" s="113"/>
      <c r="IW507" s="113"/>
      <c r="IX507" s="113"/>
      <c r="IY507" s="113"/>
      <c r="IZ507" s="113"/>
      <c r="JA507" s="113"/>
      <c r="JB507" s="113"/>
      <c r="JC507" s="113"/>
      <c r="JD507" s="113"/>
      <c r="JE507" s="113"/>
      <c r="JF507" s="113"/>
      <c r="JG507" s="113"/>
      <c r="JH507" s="113"/>
      <c r="JI507" s="113"/>
      <c r="JJ507" s="113"/>
      <c r="JK507" s="113"/>
      <c r="JL507" s="113"/>
      <c r="JM507" s="113"/>
      <c r="JN507" s="113"/>
      <c r="JO507" s="113"/>
      <c r="JP507" s="113"/>
      <c r="JQ507" s="113"/>
      <c r="JR507" s="113"/>
      <c r="JS507" s="113"/>
      <c r="JT507" s="113"/>
      <c r="JU507" s="113"/>
      <c r="JV507" s="113"/>
      <c r="JW507" s="113"/>
      <c r="JX507" s="113"/>
      <c r="JY507" s="113"/>
      <c r="JZ507" s="113"/>
      <c r="KA507" s="113"/>
      <c r="KB507" s="113"/>
      <c r="KC507" s="113"/>
      <c r="KD507" s="113"/>
      <c r="KE507" s="113"/>
      <c r="KF507" s="113"/>
      <c r="KG507" s="113"/>
      <c r="KH507" s="113"/>
      <c r="KI507" s="113"/>
      <c r="KJ507" s="113"/>
      <c r="KK507" s="113"/>
      <c r="KL507" s="113"/>
      <c r="KM507" s="113"/>
      <c r="KN507" s="113"/>
      <c r="KO507" s="113"/>
      <c r="KP507" s="113"/>
      <c r="KQ507" s="113"/>
      <c r="KR507" s="113"/>
      <c r="KS507" s="113"/>
      <c r="KT507" s="113"/>
      <c r="KU507" s="113"/>
      <c r="KV507" s="113"/>
      <c r="KW507" s="113"/>
      <c r="KX507" s="113"/>
      <c r="KY507" s="113"/>
      <c r="KZ507" s="113"/>
      <c r="LA507" s="113"/>
      <c r="LB507" s="113"/>
      <c r="LC507" s="113"/>
      <c r="LD507" s="113"/>
      <c r="LE507" s="113"/>
      <c r="LF507" s="113"/>
      <c r="LG507" s="113"/>
      <c r="LH507" s="113"/>
      <c r="LI507" s="113"/>
      <c r="LJ507" s="113"/>
      <c r="LK507" s="113"/>
      <c r="LL507" s="113"/>
      <c r="LM507" s="113"/>
      <c r="LN507" s="113"/>
      <c r="LO507" s="113"/>
      <c r="LP507" s="113"/>
      <c r="LQ507" s="113"/>
      <c r="LR507" s="113"/>
      <c r="LS507" s="113"/>
      <c r="LT507" s="113"/>
      <c r="LU507" s="113"/>
      <c r="LV507" s="113"/>
      <c r="LW507" s="113"/>
      <c r="LX507" s="113"/>
      <c r="LY507" s="113"/>
      <c r="LZ507" s="113"/>
      <c r="MA507" s="113"/>
      <c r="MB507" s="113"/>
      <c r="MC507" s="113"/>
      <c r="MD507" s="113"/>
      <c r="ME507" s="113"/>
      <c r="MF507" s="113"/>
      <c r="MG507" s="113"/>
      <c r="MH507" s="113"/>
      <c r="MI507" s="113"/>
      <c r="MJ507" s="113"/>
      <c r="MK507" s="113"/>
      <c r="ML507" s="113"/>
      <c r="MM507" s="113"/>
      <c r="MN507" s="113"/>
      <c r="MO507" s="113"/>
      <c r="MP507" s="113"/>
      <c r="MQ507" s="113"/>
      <c r="MR507" s="113"/>
      <c r="MS507" s="113"/>
      <c r="MT507" s="113"/>
      <c r="MU507" s="113"/>
      <c r="MV507" s="113"/>
      <c r="MW507" s="113"/>
      <c r="MX507" s="113"/>
      <c r="MY507" s="113"/>
      <c r="MZ507" s="113"/>
      <c r="NA507" s="113"/>
      <c r="NB507" s="113"/>
      <c r="NC507" s="113"/>
      <c r="ND507" s="113"/>
      <c r="NE507" s="113"/>
      <c r="NF507" s="113"/>
      <c r="NG507" s="113"/>
      <c r="NH507" s="113"/>
      <c r="NI507" s="113"/>
      <c r="NJ507" s="113"/>
      <c r="NK507" s="113"/>
      <c r="NL507" s="113"/>
      <c r="NM507" s="113"/>
      <c r="NN507" s="113"/>
      <c r="NO507" s="113"/>
      <c r="NP507" s="113"/>
      <c r="NQ507" s="113"/>
      <c r="NR507" s="113"/>
      <c r="NS507" s="113"/>
      <c r="NT507" s="113"/>
      <c r="NU507" s="113"/>
      <c r="NV507" s="113"/>
      <c r="NW507" s="113"/>
      <c r="NX507" s="113"/>
      <c r="NY507" s="113"/>
      <c r="NZ507" s="113"/>
      <c r="OA507" s="113"/>
      <c r="OB507" s="113"/>
      <c r="OC507" s="113"/>
      <c r="OD507" s="113"/>
      <c r="OE507" s="113"/>
      <c r="OF507" s="113"/>
      <c r="OG507" s="113"/>
      <c r="OH507" s="113"/>
      <c r="OI507" s="113"/>
      <c r="OJ507" s="113"/>
      <c r="OK507" s="113"/>
      <c r="OL507" s="113"/>
      <c r="OM507" s="113"/>
      <c r="ON507" s="113"/>
      <c r="OO507" s="113"/>
      <c r="OP507" s="113"/>
      <c r="OQ507" s="113"/>
      <c r="OR507" s="113"/>
      <c r="OS507" s="113"/>
      <c r="OT507" s="113"/>
      <c r="OU507" s="113"/>
      <c r="OV507" s="113"/>
      <c r="OW507" s="113"/>
      <c r="OX507" s="113"/>
      <c r="OY507" s="113"/>
      <c r="OZ507" s="113"/>
      <c r="PA507" s="113"/>
      <c r="PB507" s="113"/>
      <c r="PC507" s="113"/>
      <c r="PD507" s="113"/>
      <c r="PE507" s="113"/>
      <c r="PF507" s="113"/>
      <c r="PG507" s="113"/>
      <c r="PH507" s="113"/>
      <c r="PI507" s="113"/>
      <c r="PJ507" s="113"/>
      <c r="PK507" s="113"/>
      <c r="PL507" s="113"/>
      <c r="PM507" s="113"/>
      <c r="PN507" s="113"/>
      <c r="PO507" s="113"/>
      <c r="PP507" s="113"/>
      <c r="PQ507" s="113"/>
      <c r="PR507" s="113"/>
      <c r="PS507" s="113"/>
      <c r="PT507" s="113"/>
      <c r="PU507" s="113"/>
      <c r="PV507" s="113"/>
      <c r="PW507" s="113"/>
      <c r="PX507" s="113"/>
      <c r="PY507" s="113"/>
      <c r="PZ507" s="113"/>
      <c r="QA507" s="113"/>
      <c r="QB507" s="113"/>
      <c r="QC507" s="113"/>
      <c r="QD507" s="113"/>
      <c r="QE507" s="113"/>
      <c r="QF507" s="113"/>
      <c r="QG507" s="113"/>
      <c r="QH507" s="113"/>
      <c r="QI507" s="113"/>
      <c r="QJ507" s="113"/>
      <c r="QK507" s="113"/>
      <c r="QL507" s="113"/>
      <c r="QM507" s="113"/>
      <c r="QN507" s="113"/>
      <c r="QO507" s="113"/>
      <c r="QP507" s="113"/>
      <c r="QQ507" s="113"/>
      <c r="QR507" s="113"/>
      <c r="QS507" s="113"/>
      <c r="QT507" s="113"/>
      <c r="QU507" s="113"/>
      <c r="QV507" s="113"/>
      <c r="QW507" s="113"/>
      <c r="QX507" s="113"/>
      <c r="QY507" s="113"/>
      <c r="QZ507" s="113"/>
      <c r="RA507" s="113"/>
      <c r="RB507" s="113"/>
      <c r="RC507" s="113"/>
      <c r="RD507" s="113"/>
      <c r="RE507" s="113"/>
      <c r="RF507" s="113"/>
      <c r="RG507" s="113"/>
      <c r="RH507" s="113"/>
      <c r="RI507" s="113"/>
      <c r="RJ507" s="113"/>
      <c r="RK507" s="113"/>
      <c r="RL507" s="113"/>
      <c r="RM507" s="113"/>
      <c r="RN507" s="113"/>
      <c r="RO507" s="113"/>
      <c r="RP507" s="113"/>
      <c r="RQ507" s="113"/>
      <c r="RR507" s="113"/>
      <c r="RS507" s="113"/>
      <c r="RT507" s="113"/>
      <c r="RU507" s="113"/>
      <c r="RV507" s="113"/>
      <c r="RW507" s="113"/>
      <c r="RX507" s="113"/>
      <c r="RY507" s="113"/>
      <c r="RZ507" s="113"/>
      <c r="SA507" s="113"/>
      <c r="SB507" s="113"/>
      <c r="SC507" s="113"/>
      <c r="SD507" s="113"/>
      <c r="SE507" s="113"/>
      <c r="SF507" s="113"/>
      <c r="SG507" s="113"/>
      <c r="SH507" s="113"/>
      <c r="SI507" s="113"/>
      <c r="SJ507" s="113"/>
      <c r="SK507" s="113"/>
      <c r="SL507" s="113"/>
      <c r="SM507" s="113"/>
      <c r="SN507" s="113"/>
      <c r="SO507" s="113"/>
      <c r="SP507" s="113"/>
      <c r="SQ507" s="113"/>
      <c r="SR507" s="113"/>
      <c r="SS507" s="113"/>
      <c r="ST507" s="113"/>
      <c r="SU507" s="113"/>
      <c r="SV507" s="113"/>
      <c r="SW507" s="113"/>
      <c r="SX507" s="113"/>
      <c r="SY507" s="113"/>
      <c r="SZ507" s="113"/>
      <c r="TA507" s="113"/>
      <c r="TB507" s="113"/>
      <c r="TC507" s="113"/>
      <c r="TD507" s="113"/>
      <c r="TE507" s="113"/>
      <c r="TF507" s="113"/>
      <c r="TG507" s="113"/>
      <c r="TH507" s="113"/>
      <c r="TI507" s="113"/>
      <c r="TJ507" s="113"/>
      <c r="TK507" s="113"/>
      <c r="TL507" s="113"/>
      <c r="TM507" s="113"/>
      <c r="TN507" s="113"/>
      <c r="TO507" s="113"/>
      <c r="TP507" s="113"/>
      <c r="TQ507" s="113"/>
      <c r="TR507" s="113"/>
      <c r="TS507" s="113"/>
      <c r="TT507" s="113"/>
      <c r="TU507" s="113"/>
      <c r="TV507" s="113"/>
      <c r="TW507" s="113"/>
      <c r="TX507" s="113"/>
      <c r="TY507" s="113"/>
      <c r="TZ507" s="113"/>
      <c r="UA507" s="113"/>
      <c r="UB507" s="113"/>
      <c r="UC507" s="113"/>
      <c r="UD507" s="113"/>
      <c r="UE507" s="113"/>
      <c r="UF507" s="113"/>
      <c r="UG507" s="126"/>
    </row>
    <row r="508" spans="1:553" s="1262" customFormat="1" ht="30.75" customHeight="1">
      <c r="A508" s="496" t="s">
        <v>15</v>
      </c>
      <c r="B508" s="366"/>
      <c r="C508" s="1446" t="s">
        <v>1403</v>
      </c>
      <c r="D508" s="1389"/>
      <c r="E508" s="1389"/>
      <c r="F508" s="1389"/>
      <c r="G508" s="1226" t="s">
        <v>193</v>
      </c>
      <c r="H508" s="586"/>
      <c r="I508" s="422">
        <v>4</v>
      </c>
      <c r="J508" s="368">
        <v>75000</v>
      </c>
      <c r="K508" s="388"/>
      <c r="L508" s="480">
        <f>ROUND(PRODUCT(I508:K508),0)</f>
        <v>300000</v>
      </c>
      <c r="M508" s="366"/>
      <c r="N508" s="366"/>
      <c r="O508" s="366"/>
      <c r="P508" s="366"/>
      <c r="Q508" s="1144"/>
      <c r="R508" s="1452"/>
      <c r="S508" s="308"/>
      <c r="T508" s="308"/>
      <c r="U508" s="308"/>
      <c r="V508" s="308"/>
      <c r="W508" s="308"/>
      <c r="X508" s="308"/>
      <c r="Y508" s="308"/>
      <c r="Z508" s="604"/>
      <c r="AA508" s="308"/>
      <c r="AB508" s="308"/>
      <c r="AC508" s="449"/>
      <c r="AD508" s="452"/>
      <c r="AE508" s="452"/>
      <c r="AF508" s="452"/>
      <c r="AG508" s="452"/>
      <c r="AH508" s="452"/>
      <c r="AI508" s="452"/>
      <c r="AJ508" s="452"/>
      <c r="AK508" s="452"/>
      <c r="AL508" s="1259"/>
      <c r="AM508" s="1260"/>
      <c r="AN508" s="1260"/>
      <c r="AO508" s="1260"/>
      <c r="AP508" s="1260"/>
      <c r="AQ508" s="1260"/>
      <c r="AR508" s="1260"/>
      <c r="AS508" s="1260"/>
      <c r="AT508" s="1260"/>
      <c r="AU508" s="1260"/>
      <c r="AV508" s="1260"/>
      <c r="AW508" s="1260"/>
      <c r="AX508" s="1260"/>
      <c r="AY508" s="1260"/>
      <c r="AZ508" s="1260"/>
      <c r="BA508" s="1260"/>
      <c r="BB508" s="1260"/>
      <c r="BC508" s="1260"/>
      <c r="BD508" s="1260"/>
      <c r="BE508" s="1260"/>
      <c r="BF508" s="1260"/>
      <c r="BG508" s="1260"/>
      <c r="BH508" s="1260"/>
      <c r="BI508" s="1260"/>
      <c r="BJ508" s="1260"/>
      <c r="BK508" s="1260"/>
      <c r="BL508" s="1260"/>
      <c r="BM508" s="1260"/>
      <c r="BN508" s="1260"/>
      <c r="BO508" s="1260"/>
      <c r="BP508" s="1260"/>
      <c r="BQ508" s="1260"/>
      <c r="BR508" s="1260"/>
      <c r="BS508" s="1260"/>
      <c r="BT508" s="1260"/>
      <c r="BU508" s="1260"/>
      <c r="BV508" s="1260"/>
      <c r="BW508" s="1260"/>
      <c r="BX508" s="1260"/>
      <c r="BY508" s="1260"/>
      <c r="BZ508" s="1260"/>
      <c r="CA508" s="1260"/>
      <c r="CB508" s="1260"/>
      <c r="CC508" s="1260"/>
      <c r="CD508" s="1260"/>
      <c r="CE508" s="1260"/>
      <c r="CF508" s="1260"/>
      <c r="CG508" s="1260"/>
      <c r="CH508" s="1260"/>
      <c r="CI508" s="1260"/>
      <c r="CJ508" s="1260"/>
      <c r="CK508" s="1260"/>
      <c r="CL508" s="1260"/>
      <c r="CM508" s="1260"/>
      <c r="CN508" s="1260"/>
      <c r="CO508" s="1260"/>
      <c r="CP508" s="1260"/>
      <c r="CQ508" s="1260"/>
      <c r="CR508" s="1260"/>
      <c r="CS508" s="1260"/>
      <c r="CT508" s="1260"/>
      <c r="CU508" s="1260"/>
      <c r="CV508" s="1260"/>
      <c r="CW508" s="1260"/>
      <c r="CX508" s="1260"/>
      <c r="CY508" s="1260"/>
      <c r="CZ508" s="1260"/>
      <c r="DA508" s="1260"/>
      <c r="DB508" s="1260"/>
      <c r="DC508" s="1260"/>
      <c r="DD508" s="1260"/>
      <c r="DE508" s="1260"/>
      <c r="DF508" s="1260"/>
      <c r="DG508" s="1260"/>
      <c r="DH508" s="1260"/>
      <c r="DI508" s="1260"/>
      <c r="DJ508" s="1260"/>
      <c r="DK508" s="1260"/>
      <c r="DL508" s="1260"/>
      <c r="DM508" s="1260"/>
      <c r="DN508" s="1260"/>
      <c r="DO508" s="1260"/>
      <c r="DP508" s="1260"/>
      <c r="DQ508" s="1260"/>
      <c r="DR508" s="1260"/>
      <c r="DS508" s="1260"/>
      <c r="DT508" s="1260"/>
      <c r="DU508" s="1260"/>
      <c r="DV508" s="1260"/>
      <c r="DW508" s="1260"/>
      <c r="DX508" s="1260"/>
      <c r="DY508" s="1260"/>
      <c r="DZ508" s="1260"/>
      <c r="EA508" s="1260"/>
      <c r="EB508" s="1260"/>
      <c r="EC508" s="1260"/>
      <c r="ED508" s="1260"/>
      <c r="EE508" s="1260"/>
      <c r="EF508" s="1260"/>
      <c r="EG508" s="1260"/>
      <c r="EH508" s="1260"/>
      <c r="EI508" s="1260"/>
      <c r="EJ508" s="1260"/>
      <c r="EK508" s="1260"/>
      <c r="EL508" s="1260"/>
      <c r="EM508" s="1260"/>
      <c r="EN508" s="1260"/>
      <c r="EO508" s="1260"/>
      <c r="EP508" s="1260"/>
      <c r="EQ508" s="1260"/>
      <c r="ER508" s="1260"/>
      <c r="ES508" s="1260"/>
      <c r="ET508" s="1260"/>
      <c r="EU508" s="1260"/>
      <c r="EV508" s="1260"/>
      <c r="EW508" s="1260"/>
      <c r="EX508" s="1260"/>
      <c r="EY508" s="1260"/>
      <c r="EZ508" s="1260"/>
      <c r="FA508" s="1260"/>
      <c r="FB508" s="1260"/>
      <c r="FC508" s="1260"/>
      <c r="FD508" s="1260"/>
      <c r="FE508" s="1260"/>
      <c r="FF508" s="1260"/>
      <c r="FG508" s="1260"/>
      <c r="FH508" s="1260"/>
      <c r="FI508" s="1260"/>
      <c r="FJ508" s="1260"/>
      <c r="FK508" s="1260"/>
      <c r="FL508" s="1260"/>
      <c r="FM508" s="1260"/>
      <c r="FN508" s="1260"/>
      <c r="FO508" s="1260"/>
      <c r="FP508" s="1260"/>
      <c r="FQ508" s="1260"/>
      <c r="FR508" s="1260"/>
      <c r="FS508" s="1260"/>
      <c r="FT508" s="1260"/>
      <c r="FU508" s="1260"/>
      <c r="FV508" s="1260"/>
      <c r="FW508" s="1260"/>
      <c r="FX508" s="1260"/>
      <c r="FY508" s="1260"/>
      <c r="FZ508" s="1260"/>
      <c r="GA508" s="1260"/>
      <c r="GB508" s="1260"/>
      <c r="GC508" s="1260"/>
      <c r="GD508" s="1260"/>
      <c r="GE508" s="1260"/>
      <c r="GF508" s="1260"/>
      <c r="GG508" s="1260"/>
      <c r="GH508" s="1260"/>
      <c r="GI508" s="1260"/>
      <c r="GJ508" s="1260"/>
      <c r="GK508" s="1260"/>
      <c r="GL508" s="1260"/>
      <c r="GM508" s="1260"/>
      <c r="GN508" s="1260"/>
      <c r="GO508" s="1260"/>
      <c r="GP508" s="1260"/>
      <c r="GQ508" s="1260"/>
      <c r="GR508" s="1260"/>
      <c r="GS508" s="1260"/>
      <c r="GT508" s="1260"/>
      <c r="GU508" s="1260"/>
      <c r="GV508" s="1260"/>
      <c r="GW508" s="1260"/>
      <c r="GX508" s="1260"/>
      <c r="GY508" s="1260"/>
      <c r="GZ508" s="1260"/>
      <c r="HA508" s="1260"/>
      <c r="HB508" s="1260"/>
      <c r="HC508" s="1260"/>
      <c r="HD508" s="1260"/>
      <c r="HE508" s="1260"/>
      <c r="HF508" s="1260"/>
      <c r="HG508" s="1260"/>
      <c r="HH508" s="1260"/>
      <c r="HI508" s="1260"/>
      <c r="HJ508" s="1260"/>
      <c r="HK508" s="1260"/>
      <c r="HL508" s="1260"/>
      <c r="HM508" s="1260"/>
      <c r="HN508" s="1260"/>
      <c r="HO508" s="1260"/>
      <c r="HP508" s="1260"/>
      <c r="HQ508" s="1260"/>
      <c r="HR508" s="1260"/>
      <c r="HS508" s="1260"/>
      <c r="HT508" s="1260"/>
      <c r="HU508" s="1260"/>
      <c r="HV508" s="1260"/>
      <c r="HW508" s="1260"/>
      <c r="HX508" s="1260"/>
      <c r="HY508" s="1260"/>
      <c r="HZ508" s="1260"/>
      <c r="IA508" s="1260"/>
      <c r="IB508" s="1260"/>
      <c r="IC508" s="1260"/>
      <c r="ID508" s="1260"/>
      <c r="IE508" s="1260"/>
      <c r="IF508" s="1260"/>
      <c r="IG508" s="1260"/>
      <c r="IH508" s="1260"/>
      <c r="II508" s="1260"/>
      <c r="IJ508" s="1260"/>
      <c r="IK508" s="1260"/>
      <c r="IL508" s="1260"/>
      <c r="IM508" s="1260"/>
      <c r="IN508" s="1260"/>
      <c r="IO508" s="1260"/>
      <c r="IP508" s="1260"/>
      <c r="IQ508" s="1260"/>
      <c r="IR508" s="1260"/>
      <c r="IS508" s="1260"/>
      <c r="IT508" s="1260"/>
      <c r="IU508" s="1260"/>
      <c r="IV508" s="1260"/>
      <c r="IW508" s="1260"/>
      <c r="IX508" s="1260"/>
      <c r="IY508" s="1260"/>
      <c r="IZ508" s="1260"/>
      <c r="JA508" s="1260"/>
      <c r="JB508" s="1260"/>
      <c r="JC508" s="1260"/>
      <c r="JD508" s="1260"/>
      <c r="JE508" s="1260"/>
      <c r="JF508" s="1260"/>
      <c r="JG508" s="1260"/>
      <c r="JH508" s="1260"/>
      <c r="JI508" s="1260"/>
      <c r="JJ508" s="1260"/>
      <c r="JK508" s="1260"/>
      <c r="JL508" s="1260"/>
      <c r="JM508" s="1260"/>
      <c r="JN508" s="1260"/>
      <c r="JO508" s="1260"/>
      <c r="JP508" s="1260"/>
      <c r="JQ508" s="1260"/>
      <c r="JR508" s="1260"/>
      <c r="JS508" s="1260"/>
      <c r="JT508" s="1260"/>
      <c r="JU508" s="1260"/>
      <c r="JV508" s="1260"/>
      <c r="JW508" s="1260"/>
      <c r="JX508" s="1260"/>
      <c r="JY508" s="1260"/>
      <c r="JZ508" s="1260"/>
      <c r="KA508" s="1260"/>
      <c r="KB508" s="1260"/>
      <c r="KC508" s="1260"/>
      <c r="KD508" s="1260"/>
      <c r="KE508" s="1260"/>
      <c r="KF508" s="1260"/>
      <c r="KG508" s="1260"/>
      <c r="KH508" s="1260"/>
      <c r="KI508" s="1260"/>
      <c r="KJ508" s="1260"/>
      <c r="KK508" s="1260"/>
      <c r="KL508" s="1260"/>
      <c r="KM508" s="1260"/>
      <c r="KN508" s="1260"/>
      <c r="KO508" s="1260"/>
      <c r="KP508" s="1260"/>
      <c r="KQ508" s="1260"/>
      <c r="KR508" s="1260"/>
      <c r="KS508" s="1260"/>
      <c r="KT508" s="1260"/>
      <c r="KU508" s="1260"/>
      <c r="KV508" s="1260"/>
      <c r="KW508" s="1260"/>
      <c r="KX508" s="1260"/>
      <c r="KY508" s="1260"/>
      <c r="KZ508" s="1260"/>
      <c r="LA508" s="1260"/>
      <c r="LB508" s="1260"/>
      <c r="LC508" s="1260"/>
      <c r="LD508" s="1260"/>
      <c r="LE508" s="1260"/>
      <c r="LF508" s="1260"/>
      <c r="LG508" s="1260"/>
      <c r="LH508" s="1260"/>
      <c r="LI508" s="1260"/>
      <c r="LJ508" s="1260"/>
      <c r="LK508" s="1260"/>
      <c r="LL508" s="1260"/>
      <c r="LM508" s="1260"/>
      <c r="LN508" s="1260"/>
      <c r="LO508" s="1260"/>
      <c r="LP508" s="1260"/>
      <c r="LQ508" s="1260"/>
      <c r="LR508" s="1260"/>
      <c r="LS508" s="1260"/>
      <c r="LT508" s="1260"/>
      <c r="LU508" s="1260"/>
      <c r="LV508" s="1260"/>
      <c r="LW508" s="1260"/>
      <c r="LX508" s="1260"/>
      <c r="LY508" s="1260"/>
      <c r="LZ508" s="1260"/>
      <c r="MA508" s="1260"/>
      <c r="MB508" s="1260"/>
      <c r="MC508" s="1260"/>
      <c r="MD508" s="1260"/>
      <c r="ME508" s="1260"/>
      <c r="MF508" s="1260"/>
      <c r="MG508" s="1260"/>
      <c r="MH508" s="1260"/>
      <c r="MI508" s="1260"/>
      <c r="MJ508" s="1260"/>
      <c r="MK508" s="1260"/>
      <c r="ML508" s="1260"/>
      <c r="MM508" s="1260"/>
      <c r="MN508" s="1260"/>
      <c r="MO508" s="1260"/>
      <c r="MP508" s="1260"/>
      <c r="MQ508" s="1260"/>
      <c r="MR508" s="1260"/>
      <c r="MS508" s="1260"/>
      <c r="MT508" s="1260"/>
      <c r="MU508" s="1260"/>
      <c r="MV508" s="1260"/>
      <c r="MW508" s="1260"/>
      <c r="MX508" s="1260"/>
      <c r="MY508" s="1260"/>
      <c r="MZ508" s="1260"/>
      <c r="NA508" s="1260"/>
      <c r="NB508" s="1260"/>
      <c r="NC508" s="1260"/>
      <c r="ND508" s="1260"/>
      <c r="NE508" s="1260"/>
      <c r="NF508" s="1260"/>
      <c r="NG508" s="1260"/>
      <c r="NH508" s="1260"/>
      <c r="NI508" s="1260"/>
      <c r="NJ508" s="1260"/>
      <c r="NK508" s="1260"/>
      <c r="NL508" s="1260"/>
      <c r="NM508" s="1260"/>
      <c r="NN508" s="1260"/>
      <c r="NO508" s="1260"/>
      <c r="NP508" s="1260"/>
      <c r="NQ508" s="1260"/>
      <c r="NR508" s="1260"/>
      <c r="NS508" s="1260"/>
      <c r="NT508" s="1260"/>
      <c r="NU508" s="1260"/>
      <c r="NV508" s="1260"/>
      <c r="NW508" s="1260"/>
      <c r="NX508" s="1260"/>
      <c r="NY508" s="1260"/>
      <c r="NZ508" s="1260"/>
      <c r="OA508" s="1260"/>
      <c r="OB508" s="1260"/>
      <c r="OC508" s="1260"/>
      <c r="OD508" s="1260"/>
      <c r="OE508" s="1260"/>
      <c r="OF508" s="1260"/>
      <c r="OG508" s="1260"/>
      <c r="OH508" s="1260"/>
      <c r="OI508" s="1260"/>
      <c r="OJ508" s="1260"/>
      <c r="OK508" s="1260"/>
      <c r="OL508" s="1260"/>
      <c r="OM508" s="1260"/>
      <c r="ON508" s="1260"/>
      <c r="OO508" s="1260"/>
      <c r="OP508" s="1260"/>
      <c r="OQ508" s="1260"/>
      <c r="OR508" s="1260"/>
      <c r="OS508" s="1260"/>
      <c r="OT508" s="1260"/>
      <c r="OU508" s="1260"/>
      <c r="OV508" s="1260"/>
      <c r="OW508" s="1260"/>
      <c r="OX508" s="1260"/>
      <c r="OY508" s="1260"/>
      <c r="OZ508" s="1260"/>
      <c r="PA508" s="1260"/>
      <c r="PB508" s="1260"/>
      <c r="PC508" s="1260"/>
      <c r="PD508" s="1260"/>
      <c r="PE508" s="1260"/>
      <c r="PF508" s="1260"/>
      <c r="PG508" s="1260"/>
      <c r="PH508" s="1260"/>
      <c r="PI508" s="1260"/>
      <c r="PJ508" s="1260"/>
      <c r="PK508" s="1260"/>
      <c r="PL508" s="1260"/>
      <c r="PM508" s="1260"/>
      <c r="PN508" s="1260"/>
      <c r="PO508" s="1260"/>
      <c r="PP508" s="1260"/>
      <c r="PQ508" s="1260"/>
      <c r="PR508" s="1260"/>
      <c r="PS508" s="1260"/>
      <c r="PT508" s="1260"/>
      <c r="PU508" s="1260"/>
      <c r="PV508" s="1260"/>
      <c r="PW508" s="1260"/>
      <c r="PX508" s="1260"/>
      <c r="PY508" s="1260"/>
      <c r="PZ508" s="1260"/>
      <c r="QA508" s="1260"/>
      <c r="QB508" s="1260"/>
      <c r="QC508" s="1260"/>
      <c r="QD508" s="1260"/>
      <c r="QE508" s="1260"/>
      <c r="QF508" s="1260"/>
      <c r="QG508" s="1260"/>
      <c r="QH508" s="1260"/>
      <c r="QI508" s="1260"/>
      <c r="QJ508" s="1260"/>
      <c r="QK508" s="1260"/>
      <c r="QL508" s="1260"/>
      <c r="QM508" s="1260"/>
      <c r="QN508" s="1260"/>
      <c r="QO508" s="1260"/>
      <c r="QP508" s="1260"/>
      <c r="QQ508" s="1260"/>
      <c r="QR508" s="1260"/>
      <c r="QS508" s="1260"/>
      <c r="QT508" s="1260"/>
      <c r="QU508" s="1260"/>
      <c r="QV508" s="1260"/>
      <c r="QW508" s="1260"/>
      <c r="QX508" s="1260"/>
      <c r="QY508" s="1260"/>
      <c r="QZ508" s="1260"/>
      <c r="RA508" s="1260"/>
      <c r="RB508" s="1260"/>
      <c r="RC508" s="1260"/>
      <c r="RD508" s="1260"/>
      <c r="RE508" s="1260"/>
      <c r="RF508" s="1260"/>
      <c r="RG508" s="1260"/>
      <c r="RH508" s="1260"/>
      <c r="RI508" s="1260"/>
      <c r="RJ508" s="1260"/>
      <c r="RK508" s="1260"/>
      <c r="RL508" s="1260"/>
      <c r="RM508" s="1260"/>
      <c r="RN508" s="1260"/>
      <c r="RO508" s="1260"/>
      <c r="RP508" s="1260"/>
      <c r="RQ508" s="1260"/>
      <c r="RR508" s="1260"/>
      <c r="RS508" s="1260"/>
      <c r="RT508" s="1260"/>
      <c r="RU508" s="1260"/>
      <c r="RV508" s="1260"/>
      <c r="RW508" s="1260"/>
      <c r="RX508" s="1260"/>
      <c r="RY508" s="1260"/>
      <c r="RZ508" s="1260"/>
      <c r="SA508" s="1260"/>
      <c r="SB508" s="1260"/>
      <c r="SC508" s="1260"/>
      <c r="SD508" s="1260"/>
      <c r="SE508" s="1260"/>
      <c r="SF508" s="1260"/>
      <c r="SG508" s="1260"/>
      <c r="SH508" s="1260"/>
      <c r="SI508" s="1260"/>
      <c r="SJ508" s="1260"/>
      <c r="SK508" s="1260"/>
      <c r="SL508" s="1260"/>
      <c r="SM508" s="1260"/>
      <c r="SN508" s="1260"/>
      <c r="SO508" s="1260"/>
      <c r="SP508" s="1260"/>
      <c r="SQ508" s="1260"/>
      <c r="SR508" s="1260"/>
      <c r="SS508" s="1260"/>
      <c r="ST508" s="1260"/>
      <c r="SU508" s="1260"/>
      <c r="SV508" s="1260"/>
      <c r="SW508" s="1260"/>
      <c r="SX508" s="1260"/>
      <c r="SY508" s="1260"/>
      <c r="SZ508" s="1260"/>
      <c r="TA508" s="1260"/>
      <c r="TB508" s="1260"/>
      <c r="TC508" s="1260"/>
      <c r="TD508" s="1260"/>
      <c r="TE508" s="1260"/>
      <c r="TF508" s="1260"/>
      <c r="TG508" s="1260"/>
      <c r="TH508" s="1260"/>
      <c r="TI508" s="1260"/>
      <c r="TJ508" s="1260"/>
      <c r="TK508" s="1260"/>
      <c r="TL508" s="1260"/>
      <c r="TM508" s="1260"/>
      <c r="TN508" s="1260"/>
      <c r="TO508" s="1260"/>
      <c r="TP508" s="1260"/>
      <c r="TQ508" s="1260"/>
      <c r="TR508" s="1260"/>
      <c r="TS508" s="1260"/>
      <c r="TT508" s="1260"/>
      <c r="TU508" s="1260"/>
      <c r="TV508" s="1260"/>
      <c r="TW508" s="1260"/>
      <c r="TX508" s="1260"/>
      <c r="TY508" s="1260"/>
      <c r="TZ508" s="1260"/>
      <c r="UA508" s="1260"/>
      <c r="UB508" s="1260"/>
      <c r="UC508" s="1260"/>
      <c r="UD508" s="1260"/>
      <c r="UE508" s="1260"/>
      <c r="UF508" s="1260"/>
      <c r="UG508" s="1261"/>
    </row>
    <row r="509" spans="1:553" s="1262" customFormat="1" ht="30.75" customHeight="1">
      <c r="A509" s="366" t="s">
        <v>15</v>
      </c>
      <c r="B509" s="366"/>
      <c r="C509" s="1446" t="s">
        <v>199</v>
      </c>
      <c r="D509" s="1389"/>
      <c r="E509" s="1389"/>
      <c r="F509" s="1389"/>
      <c r="G509" s="1226" t="s">
        <v>193</v>
      </c>
      <c r="H509" s="586"/>
      <c r="I509" s="794">
        <v>10</v>
      </c>
      <c r="J509" s="368">
        <v>391100</v>
      </c>
      <c r="K509" s="495">
        <v>0.7</v>
      </c>
      <c r="L509" s="480">
        <f t="shared" ref="L509:L522" si="95">ROUND(PRODUCT(I509:K509),0)</f>
        <v>2737700</v>
      </c>
      <c r="M509" s="366"/>
      <c r="N509" s="366"/>
      <c r="O509" s="366"/>
      <c r="P509" s="366"/>
      <c r="Q509" s="1144"/>
      <c r="R509" s="1452"/>
      <c r="S509" s="308"/>
      <c r="T509" s="308"/>
      <c r="U509" s="308"/>
      <c r="V509" s="308"/>
      <c r="W509" s="308"/>
      <c r="X509" s="308"/>
      <c r="Y509" s="308"/>
      <c r="Z509" s="604"/>
      <c r="AA509" s="308"/>
      <c r="AB509" s="308"/>
      <c r="AC509" s="449"/>
      <c r="AD509" s="452"/>
      <c r="AE509" s="452"/>
      <c r="AF509" s="452"/>
      <c r="AG509" s="452"/>
      <c r="AH509" s="452"/>
      <c r="AI509" s="452"/>
      <c r="AJ509" s="452"/>
      <c r="AK509" s="452"/>
      <c r="AL509" s="1259"/>
      <c r="AM509" s="1260"/>
      <c r="AN509" s="1260"/>
      <c r="AO509" s="1260"/>
      <c r="AP509" s="1260"/>
      <c r="AQ509" s="1260"/>
      <c r="AR509" s="1260"/>
      <c r="AS509" s="1260"/>
      <c r="AT509" s="1260"/>
      <c r="AU509" s="1260"/>
      <c r="AV509" s="1260"/>
      <c r="AW509" s="1260"/>
      <c r="AX509" s="1260"/>
      <c r="AY509" s="1260"/>
      <c r="AZ509" s="1260"/>
      <c r="BA509" s="1260"/>
      <c r="BB509" s="1260"/>
      <c r="BC509" s="1260"/>
      <c r="BD509" s="1260"/>
      <c r="BE509" s="1260"/>
      <c r="BF509" s="1260"/>
      <c r="BG509" s="1260"/>
      <c r="BH509" s="1260"/>
      <c r="BI509" s="1260"/>
      <c r="BJ509" s="1260"/>
      <c r="BK509" s="1260"/>
      <c r="BL509" s="1260"/>
      <c r="BM509" s="1260"/>
      <c r="BN509" s="1260"/>
      <c r="BO509" s="1260"/>
      <c r="BP509" s="1260"/>
      <c r="BQ509" s="1260"/>
      <c r="BR509" s="1260"/>
      <c r="BS509" s="1260"/>
      <c r="BT509" s="1260"/>
      <c r="BU509" s="1260"/>
      <c r="BV509" s="1260"/>
      <c r="BW509" s="1260"/>
      <c r="BX509" s="1260"/>
      <c r="BY509" s="1260"/>
      <c r="BZ509" s="1260"/>
      <c r="CA509" s="1260"/>
      <c r="CB509" s="1260"/>
      <c r="CC509" s="1260"/>
      <c r="CD509" s="1260"/>
      <c r="CE509" s="1260"/>
      <c r="CF509" s="1260"/>
      <c r="CG509" s="1260"/>
      <c r="CH509" s="1260"/>
      <c r="CI509" s="1260"/>
      <c r="CJ509" s="1260"/>
      <c r="CK509" s="1260"/>
      <c r="CL509" s="1260"/>
      <c r="CM509" s="1260"/>
      <c r="CN509" s="1260"/>
      <c r="CO509" s="1260"/>
      <c r="CP509" s="1260"/>
      <c r="CQ509" s="1260"/>
      <c r="CR509" s="1260"/>
      <c r="CS509" s="1260"/>
      <c r="CT509" s="1260"/>
      <c r="CU509" s="1260"/>
      <c r="CV509" s="1260"/>
      <c r="CW509" s="1260"/>
      <c r="CX509" s="1260"/>
      <c r="CY509" s="1260"/>
      <c r="CZ509" s="1260"/>
      <c r="DA509" s="1260"/>
      <c r="DB509" s="1260"/>
      <c r="DC509" s="1260"/>
      <c r="DD509" s="1260"/>
      <c r="DE509" s="1260"/>
      <c r="DF509" s="1260"/>
      <c r="DG509" s="1260"/>
      <c r="DH509" s="1260"/>
      <c r="DI509" s="1260"/>
      <c r="DJ509" s="1260"/>
      <c r="DK509" s="1260"/>
      <c r="DL509" s="1260"/>
      <c r="DM509" s="1260"/>
      <c r="DN509" s="1260"/>
      <c r="DO509" s="1260"/>
      <c r="DP509" s="1260"/>
      <c r="DQ509" s="1260"/>
      <c r="DR509" s="1260"/>
      <c r="DS509" s="1260"/>
      <c r="DT509" s="1260"/>
      <c r="DU509" s="1260"/>
      <c r="DV509" s="1260"/>
      <c r="DW509" s="1260"/>
      <c r="DX509" s="1260"/>
      <c r="DY509" s="1260"/>
      <c r="DZ509" s="1260"/>
      <c r="EA509" s="1260"/>
      <c r="EB509" s="1260"/>
      <c r="EC509" s="1260"/>
      <c r="ED509" s="1260"/>
      <c r="EE509" s="1260"/>
      <c r="EF509" s="1260"/>
      <c r="EG509" s="1260"/>
      <c r="EH509" s="1260"/>
      <c r="EI509" s="1260"/>
      <c r="EJ509" s="1260"/>
      <c r="EK509" s="1260"/>
      <c r="EL509" s="1260"/>
      <c r="EM509" s="1260"/>
      <c r="EN509" s="1260"/>
      <c r="EO509" s="1260"/>
      <c r="EP509" s="1260"/>
      <c r="EQ509" s="1260"/>
      <c r="ER509" s="1260"/>
      <c r="ES509" s="1260"/>
      <c r="ET509" s="1260"/>
      <c r="EU509" s="1260"/>
      <c r="EV509" s="1260"/>
      <c r="EW509" s="1260"/>
      <c r="EX509" s="1260"/>
      <c r="EY509" s="1260"/>
      <c r="EZ509" s="1260"/>
      <c r="FA509" s="1260"/>
      <c r="FB509" s="1260"/>
      <c r="FC509" s="1260"/>
      <c r="FD509" s="1260"/>
      <c r="FE509" s="1260"/>
      <c r="FF509" s="1260"/>
      <c r="FG509" s="1260"/>
      <c r="FH509" s="1260"/>
      <c r="FI509" s="1260"/>
      <c r="FJ509" s="1260"/>
      <c r="FK509" s="1260"/>
      <c r="FL509" s="1260"/>
      <c r="FM509" s="1260"/>
      <c r="FN509" s="1260"/>
      <c r="FO509" s="1260"/>
      <c r="FP509" s="1260"/>
      <c r="FQ509" s="1260"/>
      <c r="FR509" s="1260"/>
      <c r="FS509" s="1260"/>
      <c r="FT509" s="1260"/>
      <c r="FU509" s="1260"/>
      <c r="FV509" s="1260"/>
      <c r="FW509" s="1260"/>
      <c r="FX509" s="1260"/>
      <c r="FY509" s="1260"/>
      <c r="FZ509" s="1260"/>
      <c r="GA509" s="1260"/>
      <c r="GB509" s="1260"/>
      <c r="GC509" s="1260"/>
      <c r="GD509" s="1260"/>
      <c r="GE509" s="1260"/>
      <c r="GF509" s="1260"/>
      <c r="GG509" s="1260"/>
      <c r="GH509" s="1260"/>
      <c r="GI509" s="1260"/>
      <c r="GJ509" s="1260"/>
      <c r="GK509" s="1260"/>
      <c r="GL509" s="1260"/>
      <c r="GM509" s="1260"/>
      <c r="GN509" s="1260"/>
      <c r="GO509" s="1260"/>
      <c r="GP509" s="1260"/>
      <c r="GQ509" s="1260"/>
      <c r="GR509" s="1260"/>
      <c r="GS509" s="1260"/>
      <c r="GT509" s="1260"/>
      <c r="GU509" s="1260"/>
      <c r="GV509" s="1260"/>
      <c r="GW509" s="1260"/>
      <c r="GX509" s="1260"/>
      <c r="GY509" s="1260"/>
      <c r="GZ509" s="1260"/>
      <c r="HA509" s="1260"/>
      <c r="HB509" s="1260"/>
      <c r="HC509" s="1260"/>
      <c r="HD509" s="1260"/>
      <c r="HE509" s="1260"/>
      <c r="HF509" s="1260"/>
      <c r="HG509" s="1260"/>
      <c r="HH509" s="1260"/>
      <c r="HI509" s="1260"/>
      <c r="HJ509" s="1260"/>
      <c r="HK509" s="1260"/>
      <c r="HL509" s="1260"/>
      <c r="HM509" s="1260"/>
      <c r="HN509" s="1260"/>
      <c r="HO509" s="1260"/>
      <c r="HP509" s="1260"/>
      <c r="HQ509" s="1260"/>
      <c r="HR509" s="1260"/>
      <c r="HS509" s="1260"/>
      <c r="HT509" s="1260"/>
      <c r="HU509" s="1260"/>
      <c r="HV509" s="1260"/>
      <c r="HW509" s="1260"/>
      <c r="HX509" s="1260"/>
      <c r="HY509" s="1260"/>
      <c r="HZ509" s="1260"/>
      <c r="IA509" s="1260"/>
      <c r="IB509" s="1260"/>
      <c r="IC509" s="1260"/>
      <c r="ID509" s="1260"/>
      <c r="IE509" s="1260"/>
      <c r="IF509" s="1260"/>
      <c r="IG509" s="1260"/>
      <c r="IH509" s="1260"/>
      <c r="II509" s="1260"/>
      <c r="IJ509" s="1260"/>
      <c r="IK509" s="1260"/>
      <c r="IL509" s="1260"/>
      <c r="IM509" s="1260"/>
      <c r="IN509" s="1260"/>
      <c r="IO509" s="1260"/>
      <c r="IP509" s="1260"/>
      <c r="IQ509" s="1260"/>
      <c r="IR509" s="1260"/>
      <c r="IS509" s="1260"/>
      <c r="IT509" s="1260"/>
      <c r="IU509" s="1260"/>
      <c r="IV509" s="1260"/>
      <c r="IW509" s="1260"/>
      <c r="IX509" s="1260"/>
      <c r="IY509" s="1260"/>
      <c r="IZ509" s="1260"/>
      <c r="JA509" s="1260"/>
      <c r="JB509" s="1260"/>
      <c r="JC509" s="1260"/>
      <c r="JD509" s="1260"/>
      <c r="JE509" s="1260"/>
      <c r="JF509" s="1260"/>
      <c r="JG509" s="1260"/>
      <c r="JH509" s="1260"/>
      <c r="JI509" s="1260"/>
      <c r="JJ509" s="1260"/>
      <c r="JK509" s="1260"/>
      <c r="JL509" s="1260"/>
      <c r="JM509" s="1260"/>
      <c r="JN509" s="1260"/>
      <c r="JO509" s="1260"/>
      <c r="JP509" s="1260"/>
      <c r="JQ509" s="1260"/>
      <c r="JR509" s="1260"/>
      <c r="JS509" s="1260"/>
      <c r="JT509" s="1260"/>
      <c r="JU509" s="1260"/>
      <c r="JV509" s="1260"/>
      <c r="JW509" s="1260"/>
      <c r="JX509" s="1260"/>
      <c r="JY509" s="1260"/>
      <c r="JZ509" s="1260"/>
      <c r="KA509" s="1260"/>
      <c r="KB509" s="1260"/>
      <c r="KC509" s="1260"/>
      <c r="KD509" s="1260"/>
      <c r="KE509" s="1260"/>
      <c r="KF509" s="1260"/>
      <c r="KG509" s="1260"/>
      <c r="KH509" s="1260"/>
      <c r="KI509" s="1260"/>
      <c r="KJ509" s="1260"/>
      <c r="KK509" s="1260"/>
      <c r="KL509" s="1260"/>
      <c r="KM509" s="1260"/>
      <c r="KN509" s="1260"/>
      <c r="KO509" s="1260"/>
      <c r="KP509" s="1260"/>
      <c r="KQ509" s="1260"/>
      <c r="KR509" s="1260"/>
      <c r="KS509" s="1260"/>
      <c r="KT509" s="1260"/>
      <c r="KU509" s="1260"/>
      <c r="KV509" s="1260"/>
      <c r="KW509" s="1260"/>
      <c r="KX509" s="1260"/>
      <c r="KY509" s="1260"/>
      <c r="KZ509" s="1260"/>
      <c r="LA509" s="1260"/>
      <c r="LB509" s="1260"/>
      <c r="LC509" s="1260"/>
      <c r="LD509" s="1260"/>
      <c r="LE509" s="1260"/>
      <c r="LF509" s="1260"/>
      <c r="LG509" s="1260"/>
      <c r="LH509" s="1260"/>
      <c r="LI509" s="1260"/>
      <c r="LJ509" s="1260"/>
      <c r="LK509" s="1260"/>
      <c r="LL509" s="1260"/>
      <c r="LM509" s="1260"/>
      <c r="LN509" s="1260"/>
      <c r="LO509" s="1260"/>
      <c r="LP509" s="1260"/>
      <c r="LQ509" s="1260"/>
      <c r="LR509" s="1260"/>
      <c r="LS509" s="1260"/>
      <c r="LT509" s="1260"/>
      <c r="LU509" s="1260"/>
      <c r="LV509" s="1260"/>
      <c r="LW509" s="1260"/>
      <c r="LX509" s="1260"/>
      <c r="LY509" s="1260"/>
      <c r="LZ509" s="1260"/>
      <c r="MA509" s="1260"/>
      <c r="MB509" s="1260"/>
      <c r="MC509" s="1260"/>
      <c r="MD509" s="1260"/>
      <c r="ME509" s="1260"/>
      <c r="MF509" s="1260"/>
      <c r="MG509" s="1260"/>
      <c r="MH509" s="1260"/>
      <c r="MI509" s="1260"/>
      <c r="MJ509" s="1260"/>
      <c r="MK509" s="1260"/>
      <c r="ML509" s="1260"/>
      <c r="MM509" s="1260"/>
      <c r="MN509" s="1260"/>
      <c r="MO509" s="1260"/>
      <c r="MP509" s="1260"/>
      <c r="MQ509" s="1260"/>
      <c r="MR509" s="1260"/>
      <c r="MS509" s="1260"/>
      <c r="MT509" s="1260"/>
      <c r="MU509" s="1260"/>
      <c r="MV509" s="1260"/>
      <c r="MW509" s="1260"/>
      <c r="MX509" s="1260"/>
      <c r="MY509" s="1260"/>
      <c r="MZ509" s="1260"/>
      <c r="NA509" s="1260"/>
      <c r="NB509" s="1260"/>
      <c r="NC509" s="1260"/>
      <c r="ND509" s="1260"/>
      <c r="NE509" s="1260"/>
      <c r="NF509" s="1260"/>
      <c r="NG509" s="1260"/>
      <c r="NH509" s="1260"/>
      <c r="NI509" s="1260"/>
      <c r="NJ509" s="1260"/>
      <c r="NK509" s="1260"/>
      <c r="NL509" s="1260"/>
      <c r="NM509" s="1260"/>
      <c r="NN509" s="1260"/>
      <c r="NO509" s="1260"/>
      <c r="NP509" s="1260"/>
      <c r="NQ509" s="1260"/>
      <c r="NR509" s="1260"/>
      <c r="NS509" s="1260"/>
      <c r="NT509" s="1260"/>
      <c r="NU509" s="1260"/>
      <c r="NV509" s="1260"/>
      <c r="NW509" s="1260"/>
      <c r="NX509" s="1260"/>
      <c r="NY509" s="1260"/>
      <c r="NZ509" s="1260"/>
      <c r="OA509" s="1260"/>
      <c r="OB509" s="1260"/>
      <c r="OC509" s="1260"/>
      <c r="OD509" s="1260"/>
      <c r="OE509" s="1260"/>
      <c r="OF509" s="1260"/>
      <c r="OG509" s="1260"/>
      <c r="OH509" s="1260"/>
      <c r="OI509" s="1260"/>
      <c r="OJ509" s="1260"/>
      <c r="OK509" s="1260"/>
      <c r="OL509" s="1260"/>
      <c r="OM509" s="1260"/>
      <c r="ON509" s="1260"/>
      <c r="OO509" s="1260"/>
      <c r="OP509" s="1260"/>
      <c r="OQ509" s="1260"/>
      <c r="OR509" s="1260"/>
      <c r="OS509" s="1260"/>
      <c r="OT509" s="1260"/>
      <c r="OU509" s="1260"/>
      <c r="OV509" s="1260"/>
      <c r="OW509" s="1260"/>
      <c r="OX509" s="1260"/>
      <c r="OY509" s="1260"/>
      <c r="OZ509" s="1260"/>
      <c r="PA509" s="1260"/>
      <c r="PB509" s="1260"/>
      <c r="PC509" s="1260"/>
      <c r="PD509" s="1260"/>
      <c r="PE509" s="1260"/>
      <c r="PF509" s="1260"/>
      <c r="PG509" s="1260"/>
      <c r="PH509" s="1260"/>
      <c r="PI509" s="1260"/>
      <c r="PJ509" s="1260"/>
      <c r="PK509" s="1260"/>
      <c r="PL509" s="1260"/>
      <c r="PM509" s="1260"/>
      <c r="PN509" s="1260"/>
      <c r="PO509" s="1260"/>
      <c r="PP509" s="1260"/>
      <c r="PQ509" s="1260"/>
      <c r="PR509" s="1260"/>
      <c r="PS509" s="1260"/>
      <c r="PT509" s="1260"/>
      <c r="PU509" s="1260"/>
      <c r="PV509" s="1260"/>
      <c r="PW509" s="1260"/>
      <c r="PX509" s="1260"/>
      <c r="PY509" s="1260"/>
      <c r="PZ509" s="1260"/>
      <c r="QA509" s="1260"/>
      <c r="QB509" s="1260"/>
      <c r="QC509" s="1260"/>
      <c r="QD509" s="1260"/>
      <c r="QE509" s="1260"/>
      <c r="QF509" s="1260"/>
      <c r="QG509" s="1260"/>
      <c r="QH509" s="1260"/>
      <c r="QI509" s="1260"/>
      <c r="QJ509" s="1260"/>
      <c r="QK509" s="1260"/>
      <c r="QL509" s="1260"/>
      <c r="QM509" s="1260"/>
      <c r="QN509" s="1260"/>
      <c r="QO509" s="1260"/>
      <c r="QP509" s="1260"/>
      <c r="QQ509" s="1260"/>
      <c r="QR509" s="1260"/>
      <c r="QS509" s="1260"/>
      <c r="QT509" s="1260"/>
      <c r="QU509" s="1260"/>
      <c r="QV509" s="1260"/>
      <c r="QW509" s="1260"/>
      <c r="QX509" s="1260"/>
      <c r="QY509" s="1260"/>
      <c r="QZ509" s="1260"/>
      <c r="RA509" s="1260"/>
      <c r="RB509" s="1260"/>
      <c r="RC509" s="1260"/>
      <c r="RD509" s="1260"/>
      <c r="RE509" s="1260"/>
      <c r="RF509" s="1260"/>
      <c r="RG509" s="1260"/>
      <c r="RH509" s="1260"/>
      <c r="RI509" s="1260"/>
      <c r="RJ509" s="1260"/>
      <c r="RK509" s="1260"/>
      <c r="RL509" s="1260"/>
      <c r="RM509" s="1260"/>
      <c r="RN509" s="1260"/>
      <c r="RO509" s="1260"/>
      <c r="RP509" s="1260"/>
      <c r="RQ509" s="1260"/>
      <c r="RR509" s="1260"/>
      <c r="RS509" s="1260"/>
      <c r="RT509" s="1260"/>
      <c r="RU509" s="1260"/>
      <c r="RV509" s="1260"/>
      <c r="RW509" s="1260"/>
      <c r="RX509" s="1260"/>
      <c r="RY509" s="1260"/>
      <c r="RZ509" s="1260"/>
      <c r="SA509" s="1260"/>
      <c r="SB509" s="1260"/>
      <c r="SC509" s="1260"/>
      <c r="SD509" s="1260"/>
      <c r="SE509" s="1260"/>
      <c r="SF509" s="1260"/>
      <c r="SG509" s="1260"/>
      <c r="SH509" s="1260"/>
      <c r="SI509" s="1260"/>
      <c r="SJ509" s="1260"/>
      <c r="SK509" s="1260"/>
      <c r="SL509" s="1260"/>
      <c r="SM509" s="1260"/>
      <c r="SN509" s="1260"/>
      <c r="SO509" s="1260"/>
      <c r="SP509" s="1260"/>
      <c r="SQ509" s="1260"/>
      <c r="SR509" s="1260"/>
      <c r="SS509" s="1260"/>
      <c r="ST509" s="1260"/>
      <c r="SU509" s="1260"/>
      <c r="SV509" s="1260"/>
      <c r="SW509" s="1260"/>
      <c r="SX509" s="1260"/>
      <c r="SY509" s="1260"/>
      <c r="SZ509" s="1260"/>
      <c r="TA509" s="1260"/>
      <c r="TB509" s="1260"/>
      <c r="TC509" s="1260"/>
      <c r="TD509" s="1260"/>
      <c r="TE509" s="1260"/>
      <c r="TF509" s="1260"/>
      <c r="TG509" s="1260"/>
      <c r="TH509" s="1260"/>
      <c r="TI509" s="1260"/>
      <c r="TJ509" s="1260"/>
      <c r="TK509" s="1260"/>
      <c r="TL509" s="1260"/>
      <c r="TM509" s="1260"/>
      <c r="TN509" s="1260"/>
      <c r="TO509" s="1260"/>
      <c r="TP509" s="1260"/>
      <c r="TQ509" s="1260"/>
      <c r="TR509" s="1260"/>
      <c r="TS509" s="1260"/>
      <c r="TT509" s="1260"/>
      <c r="TU509" s="1260"/>
      <c r="TV509" s="1260"/>
      <c r="TW509" s="1260"/>
      <c r="TX509" s="1260"/>
      <c r="TY509" s="1260"/>
      <c r="TZ509" s="1260"/>
      <c r="UA509" s="1260"/>
      <c r="UB509" s="1260"/>
      <c r="UC509" s="1260"/>
      <c r="UD509" s="1260"/>
      <c r="UE509" s="1260"/>
      <c r="UF509" s="1260"/>
      <c r="UG509" s="1261"/>
    </row>
    <row r="510" spans="1:553" s="1262" customFormat="1" ht="30.75" customHeight="1">
      <c r="A510" s="366" t="s">
        <v>15</v>
      </c>
      <c r="B510" s="366"/>
      <c r="C510" s="1446" t="s">
        <v>373</v>
      </c>
      <c r="D510" s="1389"/>
      <c r="E510" s="1389"/>
      <c r="F510" s="1389"/>
      <c r="G510" s="1226" t="s">
        <v>196</v>
      </c>
      <c r="H510" s="586"/>
      <c r="I510" s="794">
        <f>(95.03*100/500)*(23-(4-3))*12</f>
        <v>5017.5839999999998</v>
      </c>
      <c r="J510" s="368">
        <v>11000</v>
      </c>
      <c r="K510" s="717">
        <v>0.7</v>
      </c>
      <c r="L510" s="480">
        <f t="shared" si="95"/>
        <v>38635397</v>
      </c>
      <c r="M510" s="366"/>
      <c r="N510" s="366"/>
      <c r="O510" s="366"/>
      <c r="P510" s="366"/>
      <c r="Q510" s="1144"/>
      <c r="R510" s="1452"/>
      <c r="S510" s="308"/>
      <c r="T510" s="308"/>
      <c r="U510" s="308"/>
      <c r="V510" s="308"/>
      <c r="W510" s="308"/>
      <c r="X510" s="308"/>
      <c r="Y510" s="308"/>
      <c r="Z510" s="604"/>
      <c r="AA510" s="308"/>
      <c r="AB510" s="308"/>
      <c r="AC510" s="449"/>
      <c r="AD510" s="452"/>
      <c r="AE510" s="452"/>
      <c r="AF510" s="452"/>
      <c r="AG510" s="452"/>
      <c r="AH510" s="452"/>
      <c r="AI510" s="452"/>
      <c r="AJ510" s="452"/>
      <c r="AK510" s="452"/>
      <c r="AL510" s="1259"/>
      <c r="AM510" s="1260"/>
      <c r="AN510" s="1260"/>
      <c r="AO510" s="1260"/>
      <c r="AP510" s="1260"/>
      <c r="AQ510" s="1260"/>
      <c r="AR510" s="1260"/>
      <c r="AS510" s="1260"/>
      <c r="AT510" s="1260"/>
      <c r="AU510" s="1260"/>
      <c r="AV510" s="1260"/>
      <c r="AW510" s="1260"/>
      <c r="AX510" s="1260"/>
      <c r="AY510" s="1260"/>
      <c r="AZ510" s="1260"/>
      <c r="BA510" s="1260"/>
      <c r="BB510" s="1260"/>
      <c r="BC510" s="1260"/>
      <c r="BD510" s="1260"/>
      <c r="BE510" s="1260"/>
      <c r="BF510" s="1260"/>
      <c r="BG510" s="1260"/>
      <c r="BH510" s="1260"/>
      <c r="BI510" s="1260"/>
      <c r="BJ510" s="1260"/>
      <c r="BK510" s="1260"/>
      <c r="BL510" s="1260"/>
      <c r="BM510" s="1260"/>
      <c r="BN510" s="1260"/>
      <c r="BO510" s="1260"/>
      <c r="BP510" s="1260"/>
      <c r="BQ510" s="1260"/>
      <c r="BR510" s="1260"/>
      <c r="BS510" s="1260"/>
      <c r="BT510" s="1260"/>
      <c r="BU510" s="1260"/>
      <c r="BV510" s="1260"/>
      <c r="BW510" s="1260"/>
      <c r="BX510" s="1260"/>
      <c r="BY510" s="1260"/>
      <c r="BZ510" s="1260"/>
      <c r="CA510" s="1260"/>
      <c r="CB510" s="1260"/>
      <c r="CC510" s="1260"/>
      <c r="CD510" s="1260"/>
      <c r="CE510" s="1260"/>
      <c r="CF510" s="1260"/>
      <c r="CG510" s="1260"/>
      <c r="CH510" s="1260"/>
      <c r="CI510" s="1260"/>
      <c r="CJ510" s="1260"/>
      <c r="CK510" s="1260"/>
      <c r="CL510" s="1260"/>
      <c r="CM510" s="1260"/>
      <c r="CN510" s="1260"/>
      <c r="CO510" s="1260"/>
      <c r="CP510" s="1260"/>
      <c r="CQ510" s="1260"/>
      <c r="CR510" s="1260"/>
      <c r="CS510" s="1260"/>
      <c r="CT510" s="1260"/>
      <c r="CU510" s="1260"/>
      <c r="CV510" s="1260"/>
      <c r="CW510" s="1260"/>
      <c r="CX510" s="1260"/>
      <c r="CY510" s="1260"/>
      <c r="CZ510" s="1260"/>
      <c r="DA510" s="1260"/>
      <c r="DB510" s="1260"/>
      <c r="DC510" s="1260"/>
      <c r="DD510" s="1260"/>
      <c r="DE510" s="1260"/>
      <c r="DF510" s="1260"/>
      <c r="DG510" s="1260"/>
      <c r="DH510" s="1260"/>
      <c r="DI510" s="1260"/>
      <c r="DJ510" s="1260"/>
      <c r="DK510" s="1260"/>
      <c r="DL510" s="1260"/>
      <c r="DM510" s="1260"/>
      <c r="DN510" s="1260"/>
      <c r="DO510" s="1260"/>
      <c r="DP510" s="1260"/>
      <c r="DQ510" s="1260"/>
      <c r="DR510" s="1260"/>
      <c r="DS510" s="1260"/>
      <c r="DT510" s="1260"/>
      <c r="DU510" s="1260"/>
      <c r="DV510" s="1260"/>
      <c r="DW510" s="1260"/>
      <c r="DX510" s="1260"/>
      <c r="DY510" s="1260"/>
      <c r="DZ510" s="1260"/>
      <c r="EA510" s="1260"/>
      <c r="EB510" s="1260"/>
      <c r="EC510" s="1260"/>
      <c r="ED510" s="1260"/>
      <c r="EE510" s="1260"/>
      <c r="EF510" s="1260"/>
      <c r="EG510" s="1260"/>
      <c r="EH510" s="1260"/>
      <c r="EI510" s="1260"/>
      <c r="EJ510" s="1260"/>
      <c r="EK510" s="1260"/>
      <c r="EL510" s="1260"/>
      <c r="EM510" s="1260"/>
      <c r="EN510" s="1260"/>
      <c r="EO510" s="1260"/>
      <c r="EP510" s="1260"/>
      <c r="EQ510" s="1260"/>
      <c r="ER510" s="1260"/>
      <c r="ES510" s="1260"/>
      <c r="ET510" s="1260"/>
      <c r="EU510" s="1260"/>
      <c r="EV510" s="1260"/>
      <c r="EW510" s="1260"/>
      <c r="EX510" s="1260"/>
      <c r="EY510" s="1260"/>
      <c r="EZ510" s="1260"/>
      <c r="FA510" s="1260"/>
      <c r="FB510" s="1260"/>
      <c r="FC510" s="1260"/>
      <c r="FD510" s="1260"/>
      <c r="FE510" s="1260"/>
      <c r="FF510" s="1260"/>
      <c r="FG510" s="1260"/>
      <c r="FH510" s="1260"/>
      <c r="FI510" s="1260"/>
      <c r="FJ510" s="1260"/>
      <c r="FK510" s="1260"/>
      <c r="FL510" s="1260"/>
      <c r="FM510" s="1260"/>
      <c r="FN510" s="1260"/>
      <c r="FO510" s="1260"/>
      <c r="FP510" s="1260"/>
      <c r="FQ510" s="1260"/>
      <c r="FR510" s="1260"/>
      <c r="FS510" s="1260"/>
      <c r="FT510" s="1260"/>
      <c r="FU510" s="1260"/>
      <c r="FV510" s="1260"/>
      <c r="FW510" s="1260"/>
      <c r="FX510" s="1260"/>
      <c r="FY510" s="1260"/>
      <c r="FZ510" s="1260"/>
      <c r="GA510" s="1260"/>
      <c r="GB510" s="1260"/>
      <c r="GC510" s="1260"/>
      <c r="GD510" s="1260"/>
      <c r="GE510" s="1260"/>
      <c r="GF510" s="1260"/>
      <c r="GG510" s="1260"/>
      <c r="GH510" s="1260"/>
      <c r="GI510" s="1260"/>
      <c r="GJ510" s="1260"/>
      <c r="GK510" s="1260"/>
      <c r="GL510" s="1260"/>
      <c r="GM510" s="1260"/>
      <c r="GN510" s="1260"/>
      <c r="GO510" s="1260"/>
      <c r="GP510" s="1260"/>
      <c r="GQ510" s="1260"/>
      <c r="GR510" s="1260"/>
      <c r="GS510" s="1260"/>
      <c r="GT510" s="1260"/>
      <c r="GU510" s="1260"/>
      <c r="GV510" s="1260"/>
      <c r="GW510" s="1260"/>
      <c r="GX510" s="1260"/>
      <c r="GY510" s="1260"/>
      <c r="GZ510" s="1260"/>
      <c r="HA510" s="1260"/>
      <c r="HB510" s="1260"/>
      <c r="HC510" s="1260"/>
      <c r="HD510" s="1260"/>
      <c r="HE510" s="1260"/>
      <c r="HF510" s="1260"/>
      <c r="HG510" s="1260"/>
      <c r="HH510" s="1260"/>
      <c r="HI510" s="1260"/>
      <c r="HJ510" s="1260"/>
      <c r="HK510" s="1260"/>
      <c r="HL510" s="1260"/>
      <c r="HM510" s="1260"/>
      <c r="HN510" s="1260"/>
      <c r="HO510" s="1260"/>
      <c r="HP510" s="1260"/>
      <c r="HQ510" s="1260"/>
      <c r="HR510" s="1260"/>
      <c r="HS510" s="1260"/>
      <c r="HT510" s="1260"/>
      <c r="HU510" s="1260"/>
      <c r="HV510" s="1260"/>
      <c r="HW510" s="1260"/>
      <c r="HX510" s="1260"/>
      <c r="HY510" s="1260"/>
      <c r="HZ510" s="1260"/>
      <c r="IA510" s="1260"/>
      <c r="IB510" s="1260"/>
      <c r="IC510" s="1260"/>
      <c r="ID510" s="1260"/>
      <c r="IE510" s="1260"/>
      <c r="IF510" s="1260"/>
      <c r="IG510" s="1260"/>
      <c r="IH510" s="1260"/>
      <c r="II510" s="1260"/>
      <c r="IJ510" s="1260"/>
      <c r="IK510" s="1260"/>
      <c r="IL510" s="1260"/>
      <c r="IM510" s="1260"/>
      <c r="IN510" s="1260"/>
      <c r="IO510" s="1260"/>
      <c r="IP510" s="1260"/>
      <c r="IQ510" s="1260"/>
      <c r="IR510" s="1260"/>
      <c r="IS510" s="1260"/>
      <c r="IT510" s="1260"/>
      <c r="IU510" s="1260"/>
      <c r="IV510" s="1260"/>
      <c r="IW510" s="1260"/>
      <c r="IX510" s="1260"/>
      <c r="IY510" s="1260"/>
      <c r="IZ510" s="1260"/>
      <c r="JA510" s="1260"/>
      <c r="JB510" s="1260"/>
      <c r="JC510" s="1260"/>
      <c r="JD510" s="1260"/>
      <c r="JE510" s="1260"/>
      <c r="JF510" s="1260"/>
      <c r="JG510" s="1260"/>
      <c r="JH510" s="1260"/>
      <c r="JI510" s="1260"/>
      <c r="JJ510" s="1260"/>
      <c r="JK510" s="1260"/>
      <c r="JL510" s="1260"/>
      <c r="JM510" s="1260"/>
      <c r="JN510" s="1260"/>
      <c r="JO510" s="1260"/>
      <c r="JP510" s="1260"/>
      <c r="JQ510" s="1260"/>
      <c r="JR510" s="1260"/>
      <c r="JS510" s="1260"/>
      <c r="JT510" s="1260"/>
      <c r="JU510" s="1260"/>
      <c r="JV510" s="1260"/>
      <c r="JW510" s="1260"/>
      <c r="JX510" s="1260"/>
      <c r="JY510" s="1260"/>
      <c r="JZ510" s="1260"/>
      <c r="KA510" s="1260"/>
      <c r="KB510" s="1260"/>
      <c r="KC510" s="1260"/>
      <c r="KD510" s="1260"/>
      <c r="KE510" s="1260"/>
      <c r="KF510" s="1260"/>
      <c r="KG510" s="1260"/>
      <c r="KH510" s="1260"/>
      <c r="KI510" s="1260"/>
      <c r="KJ510" s="1260"/>
      <c r="KK510" s="1260"/>
      <c r="KL510" s="1260"/>
      <c r="KM510" s="1260"/>
      <c r="KN510" s="1260"/>
      <c r="KO510" s="1260"/>
      <c r="KP510" s="1260"/>
      <c r="KQ510" s="1260"/>
      <c r="KR510" s="1260"/>
      <c r="KS510" s="1260"/>
      <c r="KT510" s="1260"/>
      <c r="KU510" s="1260"/>
      <c r="KV510" s="1260"/>
      <c r="KW510" s="1260"/>
      <c r="KX510" s="1260"/>
      <c r="KY510" s="1260"/>
      <c r="KZ510" s="1260"/>
      <c r="LA510" s="1260"/>
      <c r="LB510" s="1260"/>
      <c r="LC510" s="1260"/>
      <c r="LD510" s="1260"/>
      <c r="LE510" s="1260"/>
      <c r="LF510" s="1260"/>
      <c r="LG510" s="1260"/>
      <c r="LH510" s="1260"/>
      <c r="LI510" s="1260"/>
      <c r="LJ510" s="1260"/>
      <c r="LK510" s="1260"/>
      <c r="LL510" s="1260"/>
      <c r="LM510" s="1260"/>
      <c r="LN510" s="1260"/>
      <c r="LO510" s="1260"/>
      <c r="LP510" s="1260"/>
      <c r="LQ510" s="1260"/>
      <c r="LR510" s="1260"/>
      <c r="LS510" s="1260"/>
      <c r="LT510" s="1260"/>
      <c r="LU510" s="1260"/>
      <c r="LV510" s="1260"/>
      <c r="LW510" s="1260"/>
      <c r="LX510" s="1260"/>
      <c r="LY510" s="1260"/>
      <c r="LZ510" s="1260"/>
      <c r="MA510" s="1260"/>
      <c r="MB510" s="1260"/>
      <c r="MC510" s="1260"/>
      <c r="MD510" s="1260"/>
      <c r="ME510" s="1260"/>
      <c r="MF510" s="1260"/>
      <c r="MG510" s="1260"/>
      <c r="MH510" s="1260"/>
      <c r="MI510" s="1260"/>
      <c r="MJ510" s="1260"/>
      <c r="MK510" s="1260"/>
      <c r="ML510" s="1260"/>
      <c r="MM510" s="1260"/>
      <c r="MN510" s="1260"/>
      <c r="MO510" s="1260"/>
      <c r="MP510" s="1260"/>
      <c r="MQ510" s="1260"/>
      <c r="MR510" s="1260"/>
      <c r="MS510" s="1260"/>
      <c r="MT510" s="1260"/>
      <c r="MU510" s="1260"/>
      <c r="MV510" s="1260"/>
      <c r="MW510" s="1260"/>
      <c r="MX510" s="1260"/>
      <c r="MY510" s="1260"/>
      <c r="MZ510" s="1260"/>
      <c r="NA510" s="1260"/>
      <c r="NB510" s="1260"/>
      <c r="NC510" s="1260"/>
      <c r="ND510" s="1260"/>
      <c r="NE510" s="1260"/>
      <c r="NF510" s="1260"/>
      <c r="NG510" s="1260"/>
      <c r="NH510" s="1260"/>
      <c r="NI510" s="1260"/>
      <c r="NJ510" s="1260"/>
      <c r="NK510" s="1260"/>
      <c r="NL510" s="1260"/>
      <c r="NM510" s="1260"/>
      <c r="NN510" s="1260"/>
      <c r="NO510" s="1260"/>
      <c r="NP510" s="1260"/>
      <c r="NQ510" s="1260"/>
      <c r="NR510" s="1260"/>
      <c r="NS510" s="1260"/>
      <c r="NT510" s="1260"/>
      <c r="NU510" s="1260"/>
      <c r="NV510" s="1260"/>
      <c r="NW510" s="1260"/>
      <c r="NX510" s="1260"/>
      <c r="NY510" s="1260"/>
      <c r="NZ510" s="1260"/>
      <c r="OA510" s="1260"/>
      <c r="OB510" s="1260"/>
      <c r="OC510" s="1260"/>
      <c r="OD510" s="1260"/>
      <c r="OE510" s="1260"/>
      <c r="OF510" s="1260"/>
      <c r="OG510" s="1260"/>
      <c r="OH510" s="1260"/>
      <c r="OI510" s="1260"/>
      <c r="OJ510" s="1260"/>
      <c r="OK510" s="1260"/>
      <c r="OL510" s="1260"/>
      <c r="OM510" s="1260"/>
      <c r="ON510" s="1260"/>
      <c r="OO510" s="1260"/>
      <c r="OP510" s="1260"/>
      <c r="OQ510" s="1260"/>
      <c r="OR510" s="1260"/>
      <c r="OS510" s="1260"/>
      <c r="OT510" s="1260"/>
      <c r="OU510" s="1260"/>
      <c r="OV510" s="1260"/>
      <c r="OW510" s="1260"/>
      <c r="OX510" s="1260"/>
      <c r="OY510" s="1260"/>
      <c r="OZ510" s="1260"/>
      <c r="PA510" s="1260"/>
      <c r="PB510" s="1260"/>
      <c r="PC510" s="1260"/>
      <c r="PD510" s="1260"/>
      <c r="PE510" s="1260"/>
      <c r="PF510" s="1260"/>
      <c r="PG510" s="1260"/>
      <c r="PH510" s="1260"/>
      <c r="PI510" s="1260"/>
      <c r="PJ510" s="1260"/>
      <c r="PK510" s="1260"/>
      <c r="PL510" s="1260"/>
      <c r="PM510" s="1260"/>
      <c r="PN510" s="1260"/>
      <c r="PO510" s="1260"/>
      <c r="PP510" s="1260"/>
      <c r="PQ510" s="1260"/>
      <c r="PR510" s="1260"/>
      <c r="PS510" s="1260"/>
      <c r="PT510" s="1260"/>
      <c r="PU510" s="1260"/>
      <c r="PV510" s="1260"/>
      <c r="PW510" s="1260"/>
      <c r="PX510" s="1260"/>
      <c r="PY510" s="1260"/>
      <c r="PZ510" s="1260"/>
      <c r="QA510" s="1260"/>
      <c r="QB510" s="1260"/>
      <c r="QC510" s="1260"/>
      <c r="QD510" s="1260"/>
      <c r="QE510" s="1260"/>
      <c r="QF510" s="1260"/>
      <c r="QG510" s="1260"/>
      <c r="QH510" s="1260"/>
      <c r="QI510" s="1260"/>
      <c r="QJ510" s="1260"/>
      <c r="QK510" s="1260"/>
      <c r="QL510" s="1260"/>
      <c r="QM510" s="1260"/>
      <c r="QN510" s="1260"/>
      <c r="QO510" s="1260"/>
      <c r="QP510" s="1260"/>
      <c r="QQ510" s="1260"/>
      <c r="QR510" s="1260"/>
      <c r="QS510" s="1260"/>
      <c r="QT510" s="1260"/>
      <c r="QU510" s="1260"/>
      <c r="QV510" s="1260"/>
      <c r="QW510" s="1260"/>
      <c r="QX510" s="1260"/>
      <c r="QY510" s="1260"/>
      <c r="QZ510" s="1260"/>
      <c r="RA510" s="1260"/>
      <c r="RB510" s="1260"/>
      <c r="RC510" s="1260"/>
      <c r="RD510" s="1260"/>
      <c r="RE510" s="1260"/>
      <c r="RF510" s="1260"/>
      <c r="RG510" s="1260"/>
      <c r="RH510" s="1260"/>
      <c r="RI510" s="1260"/>
      <c r="RJ510" s="1260"/>
      <c r="RK510" s="1260"/>
      <c r="RL510" s="1260"/>
      <c r="RM510" s="1260"/>
      <c r="RN510" s="1260"/>
      <c r="RO510" s="1260"/>
      <c r="RP510" s="1260"/>
      <c r="RQ510" s="1260"/>
      <c r="RR510" s="1260"/>
      <c r="RS510" s="1260"/>
      <c r="RT510" s="1260"/>
      <c r="RU510" s="1260"/>
      <c r="RV510" s="1260"/>
      <c r="RW510" s="1260"/>
      <c r="RX510" s="1260"/>
      <c r="RY510" s="1260"/>
      <c r="RZ510" s="1260"/>
      <c r="SA510" s="1260"/>
      <c r="SB510" s="1260"/>
      <c r="SC510" s="1260"/>
      <c r="SD510" s="1260"/>
      <c r="SE510" s="1260"/>
      <c r="SF510" s="1260"/>
      <c r="SG510" s="1260"/>
      <c r="SH510" s="1260"/>
      <c r="SI510" s="1260"/>
      <c r="SJ510" s="1260"/>
      <c r="SK510" s="1260"/>
      <c r="SL510" s="1260"/>
      <c r="SM510" s="1260"/>
      <c r="SN510" s="1260"/>
      <c r="SO510" s="1260"/>
      <c r="SP510" s="1260"/>
      <c r="SQ510" s="1260"/>
      <c r="SR510" s="1260"/>
      <c r="SS510" s="1260"/>
      <c r="ST510" s="1260"/>
      <c r="SU510" s="1260"/>
      <c r="SV510" s="1260"/>
      <c r="SW510" s="1260"/>
      <c r="SX510" s="1260"/>
      <c r="SY510" s="1260"/>
      <c r="SZ510" s="1260"/>
      <c r="TA510" s="1260"/>
      <c r="TB510" s="1260"/>
      <c r="TC510" s="1260"/>
      <c r="TD510" s="1260"/>
      <c r="TE510" s="1260"/>
      <c r="TF510" s="1260"/>
      <c r="TG510" s="1260"/>
      <c r="TH510" s="1260"/>
      <c r="TI510" s="1260"/>
      <c r="TJ510" s="1260"/>
      <c r="TK510" s="1260"/>
      <c r="TL510" s="1260"/>
      <c r="TM510" s="1260"/>
      <c r="TN510" s="1260"/>
      <c r="TO510" s="1260"/>
      <c r="TP510" s="1260"/>
      <c r="TQ510" s="1260"/>
      <c r="TR510" s="1260"/>
      <c r="TS510" s="1260"/>
      <c r="TT510" s="1260"/>
      <c r="TU510" s="1260"/>
      <c r="TV510" s="1260"/>
      <c r="TW510" s="1260"/>
      <c r="TX510" s="1260"/>
      <c r="TY510" s="1260"/>
      <c r="TZ510" s="1260"/>
      <c r="UA510" s="1260"/>
      <c r="UB510" s="1260"/>
      <c r="UC510" s="1260"/>
      <c r="UD510" s="1260"/>
      <c r="UE510" s="1260"/>
      <c r="UF510" s="1260"/>
      <c r="UG510" s="1261"/>
    </row>
    <row r="511" spans="1:553" s="1262" customFormat="1" ht="30.75" customHeight="1">
      <c r="A511" s="366" t="s">
        <v>15</v>
      </c>
      <c r="B511" s="366"/>
      <c r="C511" s="1446" t="s">
        <v>374</v>
      </c>
      <c r="D511" s="1389"/>
      <c r="E511" s="1389"/>
      <c r="F511" s="1389"/>
      <c r="G511" s="1226" t="s">
        <v>196</v>
      </c>
      <c r="H511" s="586"/>
      <c r="I511" s="794">
        <f>(95.03*100/500)*(23-(6-3))*2</f>
        <v>760.24</v>
      </c>
      <c r="J511" s="368">
        <v>11000</v>
      </c>
      <c r="K511" s="495">
        <v>0.7</v>
      </c>
      <c r="L511" s="480">
        <f t="shared" si="95"/>
        <v>5853848</v>
      </c>
      <c r="M511" s="366"/>
      <c r="N511" s="366"/>
      <c r="O511" s="366"/>
      <c r="P511" s="366"/>
      <c r="Q511" s="1144"/>
      <c r="R511" s="1452"/>
      <c r="S511" s="308"/>
      <c r="T511" s="308"/>
      <c r="U511" s="308"/>
      <c r="V511" s="308"/>
      <c r="W511" s="308"/>
      <c r="X511" s="308"/>
      <c r="Y511" s="308"/>
      <c r="Z511" s="604"/>
      <c r="AA511" s="308"/>
      <c r="AB511" s="308"/>
      <c r="AC511" s="449"/>
      <c r="AD511" s="452"/>
      <c r="AE511" s="452"/>
      <c r="AF511" s="452"/>
      <c r="AG511" s="452"/>
      <c r="AH511" s="452"/>
      <c r="AI511" s="452"/>
      <c r="AJ511" s="452"/>
      <c r="AK511" s="452"/>
      <c r="AL511" s="1259"/>
      <c r="AM511" s="1260"/>
      <c r="AN511" s="1260"/>
      <c r="AO511" s="1260"/>
      <c r="AP511" s="1260"/>
      <c r="AQ511" s="1260"/>
      <c r="AR511" s="1260"/>
      <c r="AS511" s="1260"/>
      <c r="AT511" s="1260"/>
      <c r="AU511" s="1260"/>
      <c r="AV511" s="1260"/>
      <c r="AW511" s="1260"/>
      <c r="AX511" s="1260"/>
      <c r="AY511" s="1260"/>
      <c r="AZ511" s="1260"/>
      <c r="BA511" s="1260"/>
      <c r="BB511" s="1260"/>
      <c r="BC511" s="1260"/>
      <c r="BD511" s="1260"/>
      <c r="BE511" s="1260"/>
      <c r="BF511" s="1260"/>
      <c r="BG511" s="1260"/>
      <c r="BH511" s="1260"/>
      <c r="BI511" s="1260"/>
      <c r="BJ511" s="1260"/>
      <c r="BK511" s="1260"/>
      <c r="BL511" s="1260"/>
      <c r="BM511" s="1260"/>
      <c r="BN511" s="1260"/>
      <c r="BO511" s="1260"/>
      <c r="BP511" s="1260"/>
      <c r="BQ511" s="1260"/>
      <c r="BR511" s="1260"/>
      <c r="BS511" s="1260"/>
      <c r="BT511" s="1260"/>
      <c r="BU511" s="1260"/>
      <c r="BV511" s="1260"/>
      <c r="BW511" s="1260"/>
      <c r="BX511" s="1260"/>
      <c r="BY511" s="1260"/>
      <c r="BZ511" s="1260"/>
      <c r="CA511" s="1260"/>
      <c r="CB511" s="1260"/>
      <c r="CC511" s="1260"/>
      <c r="CD511" s="1260"/>
      <c r="CE511" s="1260"/>
      <c r="CF511" s="1260"/>
      <c r="CG511" s="1260"/>
      <c r="CH511" s="1260"/>
      <c r="CI511" s="1260"/>
      <c r="CJ511" s="1260"/>
      <c r="CK511" s="1260"/>
      <c r="CL511" s="1260"/>
      <c r="CM511" s="1260"/>
      <c r="CN511" s="1260"/>
      <c r="CO511" s="1260"/>
      <c r="CP511" s="1260"/>
      <c r="CQ511" s="1260"/>
      <c r="CR511" s="1260"/>
      <c r="CS511" s="1260"/>
      <c r="CT511" s="1260"/>
      <c r="CU511" s="1260"/>
      <c r="CV511" s="1260"/>
      <c r="CW511" s="1260"/>
      <c r="CX511" s="1260"/>
      <c r="CY511" s="1260"/>
      <c r="CZ511" s="1260"/>
      <c r="DA511" s="1260"/>
      <c r="DB511" s="1260"/>
      <c r="DC511" s="1260"/>
      <c r="DD511" s="1260"/>
      <c r="DE511" s="1260"/>
      <c r="DF511" s="1260"/>
      <c r="DG511" s="1260"/>
      <c r="DH511" s="1260"/>
      <c r="DI511" s="1260"/>
      <c r="DJ511" s="1260"/>
      <c r="DK511" s="1260"/>
      <c r="DL511" s="1260"/>
      <c r="DM511" s="1260"/>
      <c r="DN511" s="1260"/>
      <c r="DO511" s="1260"/>
      <c r="DP511" s="1260"/>
      <c r="DQ511" s="1260"/>
      <c r="DR511" s="1260"/>
      <c r="DS511" s="1260"/>
      <c r="DT511" s="1260"/>
      <c r="DU511" s="1260"/>
      <c r="DV511" s="1260"/>
      <c r="DW511" s="1260"/>
      <c r="DX511" s="1260"/>
      <c r="DY511" s="1260"/>
      <c r="DZ511" s="1260"/>
      <c r="EA511" s="1260"/>
      <c r="EB511" s="1260"/>
      <c r="EC511" s="1260"/>
      <c r="ED511" s="1260"/>
      <c r="EE511" s="1260"/>
      <c r="EF511" s="1260"/>
      <c r="EG511" s="1260"/>
      <c r="EH511" s="1260"/>
      <c r="EI511" s="1260"/>
      <c r="EJ511" s="1260"/>
      <c r="EK511" s="1260"/>
      <c r="EL511" s="1260"/>
      <c r="EM511" s="1260"/>
      <c r="EN511" s="1260"/>
      <c r="EO511" s="1260"/>
      <c r="EP511" s="1260"/>
      <c r="EQ511" s="1260"/>
      <c r="ER511" s="1260"/>
      <c r="ES511" s="1260"/>
      <c r="ET511" s="1260"/>
      <c r="EU511" s="1260"/>
      <c r="EV511" s="1260"/>
      <c r="EW511" s="1260"/>
      <c r="EX511" s="1260"/>
      <c r="EY511" s="1260"/>
      <c r="EZ511" s="1260"/>
      <c r="FA511" s="1260"/>
      <c r="FB511" s="1260"/>
      <c r="FC511" s="1260"/>
      <c r="FD511" s="1260"/>
      <c r="FE511" s="1260"/>
      <c r="FF511" s="1260"/>
      <c r="FG511" s="1260"/>
      <c r="FH511" s="1260"/>
      <c r="FI511" s="1260"/>
      <c r="FJ511" s="1260"/>
      <c r="FK511" s="1260"/>
      <c r="FL511" s="1260"/>
      <c r="FM511" s="1260"/>
      <c r="FN511" s="1260"/>
      <c r="FO511" s="1260"/>
      <c r="FP511" s="1260"/>
      <c r="FQ511" s="1260"/>
      <c r="FR511" s="1260"/>
      <c r="FS511" s="1260"/>
      <c r="FT511" s="1260"/>
      <c r="FU511" s="1260"/>
      <c r="FV511" s="1260"/>
      <c r="FW511" s="1260"/>
      <c r="FX511" s="1260"/>
      <c r="FY511" s="1260"/>
      <c r="FZ511" s="1260"/>
      <c r="GA511" s="1260"/>
      <c r="GB511" s="1260"/>
      <c r="GC511" s="1260"/>
      <c r="GD511" s="1260"/>
      <c r="GE511" s="1260"/>
      <c r="GF511" s="1260"/>
      <c r="GG511" s="1260"/>
      <c r="GH511" s="1260"/>
      <c r="GI511" s="1260"/>
      <c r="GJ511" s="1260"/>
      <c r="GK511" s="1260"/>
      <c r="GL511" s="1260"/>
      <c r="GM511" s="1260"/>
      <c r="GN511" s="1260"/>
      <c r="GO511" s="1260"/>
      <c r="GP511" s="1260"/>
      <c r="GQ511" s="1260"/>
      <c r="GR511" s="1260"/>
      <c r="GS511" s="1260"/>
      <c r="GT511" s="1260"/>
      <c r="GU511" s="1260"/>
      <c r="GV511" s="1260"/>
      <c r="GW511" s="1260"/>
      <c r="GX511" s="1260"/>
      <c r="GY511" s="1260"/>
      <c r="GZ511" s="1260"/>
      <c r="HA511" s="1260"/>
      <c r="HB511" s="1260"/>
      <c r="HC511" s="1260"/>
      <c r="HD511" s="1260"/>
      <c r="HE511" s="1260"/>
      <c r="HF511" s="1260"/>
      <c r="HG511" s="1260"/>
      <c r="HH511" s="1260"/>
      <c r="HI511" s="1260"/>
      <c r="HJ511" s="1260"/>
      <c r="HK511" s="1260"/>
      <c r="HL511" s="1260"/>
      <c r="HM511" s="1260"/>
      <c r="HN511" s="1260"/>
      <c r="HO511" s="1260"/>
      <c r="HP511" s="1260"/>
      <c r="HQ511" s="1260"/>
      <c r="HR511" s="1260"/>
      <c r="HS511" s="1260"/>
      <c r="HT511" s="1260"/>
      <c r="HU511" s="1260"/>
      <c r="HV511" s="1260"/>
      <c r="HW511" s="1260"/>
      <c r="HX511" s="1260"/>
      <c r="HY511" s="1260"/>
      <c r="HZ511" s="1260"/>
      <c r="IA511" s="1260"/>
      <c r="IB511" s="1260"/>
      <c r="IC511" s="1260"/>
      <c r="ID511" s="1260"/>
      <c r="IE511" s="1260"/>
      <c r="IF511" s="1260"/>
      <c r="IG511" s="1260"/>
      <c r="IH511" s="1260"/>
      <c r="II511" s="1260"/>
      <c r="IJ511" s="1260"/>
      <c r="IK511" s="1260"/>
      <c r="IL511" s="1260"/>
      <c r="IM511" s="1260"/>
      <c r="IN511" s="1260"/>
      <c r="IO511" s="1260"/>
      <c r="IP511" s="1260"/>
      <c r="IQ511" s="1260"/>
      <c r="IR511" s="1260"/>
      <c r="IS511" s="1260"/>
      <c r="IT511" s="1260"/>
      <c r="IU511" s="1260"/>
      <c r="IV511" s="1260"/>
      <c r="IW511" s="1260"/>
      <c r="IX511" s="1260"/>
      <c r="IY511" s="1260"/>
      <c r="IZ511" s="1260"/>
      <c r="JA511" s="1260"/>
      <c r="JB511" s="1260"/>
      <c r="JC511" s="1260"/>
      <c r="JD511" s="1260"/>
      <c r="JE511" s="1260"/>
      <c r="JF511" s="1260"/>
      <c r="JG511" s="1260"/>
      <c r="JH511" s="1260"/>
      <c r="JI511" s="1260"/>
      <c r="JJ511" s="1260"/>
      <c r="JK511" s="1260"/>
      <c r="JL511" s="1260"/>
      <c r="JM511" s="1260"/>
      <c r="JN511" s="1260"/>
      <c r="JO511" s="1260"/>
      <c r="JP511" s="1260"/>
      <c r="JQ511" s="1260"/>
      <c r="JR511" s="1260"/>
      <c r="JS511" s="1260"/>
      <c r="JT511" s="1260"/>
      <c r="JU511" s="1260"/>
      <c r="JV511" s="1260"/>
      <c r="JW511" s="1260"/>
      <c r="JX511" s="1260"/>
      <c r="JY511" s="1260"/>
      <c r="JZ511" s="1260"/>
      <c r="KA511" s="1260"/>
      <c r="KB511" s="1260"/>
      <c r="KC511" s="1260"/>
      <c r="KD511" s="1260"/>
      <c r="KE511" s="1260"/>
      <c r="KF511" s="1260"/>
      <c r="KG511" s="1260"/>
      <c r="KH511" s="1260"/>
      <c r="KI511" s="1260"/>
      <c r="KJ511" s="1260"/>
      <c r="KK511" s="1260"/>
      <c r="KL511" s="1260"/>
      <c r="KM511" s="1260"/>
      <c r="KN511" s="1260"/>
      <c r="KO511" s="1260"/>
      <c r="KP511" s="1260"/>
      <c r="KQ511" s="1260"/>
      <c r="KR511" s="1260"/>
      <c r="KS511" s="1260"/>
      <c r="KT511" s="1260"/>
      <c r="KU511" s="1260"/>
      <c r="KV511" s="1260"/>
      <c r="KW511" s="1260"/>
      <c r="KX511" s="1260"/>
      <c r="KY511" s="1260"/>
      <c r="KZ511" s="1260"/>
      <c r="LA511" s="1260"/>
      <c r="LB511" s="1260"/>
      <c r="LC511" s="1260"/>
      <c r="LD511" s="1260"/>
      <c r="LE511" s="1260"/>
      <c r="LF511" s="1260"/>
      <c r="LG511" s="1260"/>
      <c r="LH511" s="1260"/>
      <c r="LI511" s="1260"/>
      <c r="LJ511" s="1260"/>
      <c r="LK511" s="1260"/>
      <c r="LL511" s="1260"/>
      <c r="LM511" s="1260"/>
      <c r="LN511" s="1260"/>
      <c r="LO511" s="1260"/>
      <c r="LP511" s="1260"/>
      <c r="LQ511" s="1260"/>
      <c r="LR511" s="1260"/>
      <c r="LS511" s="1260"/>
      <c r="LT511" s="1260"/>
      <c r="LU511" s="1260"/>
      <c r="LV511" s="1260"/>
      <c r="LW511" s="1260"/>
      <c r="LX511" s="1260"/>
      <c r="LY511" s="1260"/>
      <c r="LZ511" s="1260"/>
      <c r="MA511" s="1260"/>
      <c r="MB511" s="1260"/>
      <c r="MC511" s="1260"/>
      <c r="MD511" s="1260"/>
      <c r="ME511" s="1260"/>
      <c r="MF511" s="1260"/>
      <c r="MG511" s="1260"/>
      <c r="MH511" s="1260"/>
      <c r="MI511" s="1260"/>
      <c r="MJ511" s="1260"/>
      <c r="MK511" s="1260"/>
      <c r="ML511" s="1260"/>
      <c r="MM511" s="1260"/>
      <c r="MN511" s="1260"/>
      <c r="MO511" s="1260"/>
      <c r="MP511" s="1260"/>
      <c r="MQ511" s="1260"/>
      <c r="MR511" s="1260"/>
      <c r="MS511" s="1260"/>
      <c r="MT511" s="1260"/>
      <c r="MU511" s="1260"/>
      <c r="MV511" s="1260"/>
      <c r="MW511" s="1260"/>
      <c r="MX511" s="1260"/>
      <c r="MY511" s="1260"/>
      <c r="MZ511" s="1260"/>
      <c r="NA511" s="1260"/>
      <c r="NB511" s="1260"/>
      <c r="NC511" s="1260"/>
      <c r="ND511" s="1260"/>
      <c r="NE511" s="1260"/>
      <c r="NF511" s="1260"/>
      <c r="NG511" s="1260"/>
      <c r="NH511" s="1260"/>
      <c r="NI511" s="1260"/>
      <c r="NJ511" s="1260"/>
      <c r="NK511" s="1260"/>
      <c r="NL511" s="1260"/>
      <c r="NM511" s="1260"/>
      <c r="NN511" s="1260"/>
      <c r="NO511" s="1260"/>
      <c r="NP511" s="1260"/>
      <c r="NQ511" s="1260"/>
      <c r="NR511" s="1260"/>
      <c r="NS511" s="1260"/>
      <c r="NT511" s="1260"/>
      <c r="NU511" s="1260"/>
      <c r="NV511" s="1260"/>
      <c r="NW511" s="1260"/>
      <c r="NX511" s="1260"/>
      <c r="NY511" s="1260"/>
      <c r="NZ511" s="1260"/>
      <c r="OA511" s="1260"/>
      <c r="OB511" s="1260"/>
      <c r="OC511" s="1260"/>
      <c r="OD511" s="1260"/>
      <c r="OE511" s="1260"/>
      <c r="OF511" s="1260"/>
      <c r="OG511" s="1260"/>
      <c r="OH511" s="1260"/>
      <c r="OI511" s="1260"/>
      <c r="OJ511" s="1260"/>
      <c r="OK511" s="1260"/>
      <c r="OL511" s="1260"/>
      <c r="OM511" s="1260"/>
      <c r="ON511" s="1260"/>
      <c r="OO511" s="1260"/>
      <c r="OP511" s="1260"/>
      <c r="OQ511" s="1260"/>
      <c r="OR511" s="1260"/>
      <c r="OS511" s="1260"/>
      <c r="OT511" s="1260"/>
      <c r="OU511" s="1260"/>
      <c r="OV511" s="1260"/>
      <c r="OW511" s="1260"/>
      <c r="OX511" s="1260"/>
      <c r="OY511" s="1260"/>
      <c r="OZ511" s="1260"/>
      <c r="PA511" s="1260"/>
      <c r="PB511" s="1260"/>
      <c r="PC511" s="1260"/>
      <c r="PD511" s="1260"/>
      <c r="PE511" s="1260"/>
      <c r="PF511" s="1260"/>
      <c r="PG511" s="1260"/>
      <c r="PH511" s="1260"/>
      <c r="PI511" s="1260"/>
      <c r="PJ511" s="1260"/>
      <c r="PK511" s="1260"/>
      <c r="PL511" s="1260"/>
      <c r="PM511" s="1260"/>
      <c r="PN511" s="1260"/>
      <c r="PO511" s="1260"/>
      <c r="PP511" s="1260"/>
      <c r="PQ511" s="1260"/>
      <c r="PR511" s="1260"/>
      <c r="PS511" s="1260"/>
      <c r="PT511" s="1260"/>
      <c r="PU511" s="1260"/>
      <c r="PV511" s="1260"/>
      <c r="PW511" s="1260"/>
      <c r="PX511" s="1260"/>
      <c r="PY511" s="1260"/>
      <c r="PZ511" s="1260"/>
      <c r="QA511" s="1260"/>
      <c r="QB511" s="1260"/>
      <c r="QC511" s="1260"/>
      <c r="QD511" s="1260"/>
      <c r="QE511" s="1260"/>
      <c r="QF511" s="1260"/>
      <c r="QG511" s="1260"/>
      <c r="QH511" s="1260"/>
      <c r="QI511" s="1260"/>
      <c r="QJ511" s="1260"/>
      <c r="QK511" s="1260"/>
      <c r="QL511" s="1260"/>
      <c r="QM511" s="1260"/>
      <c r="QN511" s="1260"/>
      <c r="QO511" s="1260"/>
      <c r="QP511" s="1260"/>
      <c r="QQ511" s="1260"/>
      <c r="QR511" s="1260"/>
      <c r="QS511" s="1260"/>
      <c r="QT511" s="1260"/>
      <c r="QU511" s="1260"/>
      <c r="QV511" s="1260"/>
      <c r="QW511" s="1260"/>
      <c r="QX511" s="1260"/>
      <c r="QY511" s="1260"/>
      <c r="QZ511" s="1260"/>
      <c r="RA511" s="1260"/>
      <c r="RB511" s="1260"/>
      <c r="RC511" s="1260"/>
      <c r="RD511" s="1260"/>
      <c r="RE511" s="1260"/>
      <c r="RF511" s="1260"/>
      <c r="RG511" s="1260"/>
      <c r="RH511" s="1260"/>
      <c r="RI511" s="1260"/>
      <c r="RJ511" s="1260"/>
      <c r="RK511" s="1260"/>
      <c r="RL511" s="1260"/>
      <c r="RM511" s="1260"/>
      <c r="RN511" s="1260"/>
      <c r="RO511" s="1260"/>
      <c r="RP511" s="1260"/>
      <c r="RQ511" s="1260"/>
      <c r="RR511" s="1260"/>
      <c r="RS511" s="1260"/>
      <c r="RT511" s="1260"/>
      <c r="RU511" s="1260"/>
      <c r="RV511" s="1260"/>
      <c r="RW511" s="1260"/>
      <c r="RX511" s="1260"/>
      <c r="RY511" s="1260"/>
      <c r="RZ511" s="1260"/>
      <c r="SA511" s="1260"/>
      <c r="SB511" s="1260"/>
      <c r="SC511" s="1260"/>
      <c r="SD511" s="1260"/>
      <c r="SE511" s="1260"/>
      <c r="SF511" s="1260"/>
      <c r="SG511" s="1260"/>
      <c r="SH511" s="1260"/>
      <c r="SI511" s="1260"/>
      <c r="SJ511" s="1260"/>
      <c r="SK511" s="1260"/>
      <c r="SL511" s="1260"/>
      <c r="SM511" s="1260"/>
      <c r="SN511" s="1260"/>
      <c r="SO511" s="1260"/>
      <c r="SP511" s="1260"/>
      <c r="SQ511" s="1260"/>
      <c r="SR511" s="1260"/>
      <c r="SS511" s="1260"/>
      <c r="ST511" s="1260"/>
      <c r="SU511" s="1260"/>
      <c r="SV511" s="1260"/>
      <c r="SW511" s="1260"/>
      <c r="SX511" s="1260"/>
      <c r="SY511" s="1260"/>
      <c r="SZ511" s="1260"/>
      <c r="TA511" s="1260"/>
      <c r="TB511" s="1260"/>
      <c r="TC511" s="1260"/>
      <c r="TD511" s="1260"/>
      <c r="TE511" s="1260"/>
      <c r="TF511" s="1260"/>
      <c r="TG511" s="1260"/>
      <c r="TH511" s="1260"/>
      <c r="TI511" s="1260"/>
      <c r="TJ511" s="1260"/>
      <c r="TK511" s="1260"/>
      <c r="TL511" s="1260"/>
      <c r="TM511" s="1260"/>
      <c r="TN511" s="1260"/>
      <c r="TO511" s="1260"/>
      <c r="TP511" s="1260"/>
      <c r="TQ511" s="1260"/>
      <c r="TR511" s="1260"/>
      <c r="TS511" s="1260"/>
      <c r="TT511" s="1260"/>
      <c r="TU511" s="1260"/>
      <c r="TV511" s="1260"/>
      <c r="TW511" s="1260"/>
      <c r="TX511" s="1260"/>
      <c r="TY511" s="1260"/>
      <c r="TZ511" s="1260"/>
      <c r="UA511" s="1260"/>
      <c r="UB511" s="1260"/>
      <c r="UC511" s="1260"/>
      <c r="UD511" s="1260"/>
      <c r="UE511" s="1260"/>
      <c r="UF511" s="1260"/>
      <c r="UG511" s="1261"/>
    </row>
    <row r="512" spans="1:553" s="1262" customFormat="1" ht="30.75" customHeight="1">
      <c r="A512" s="366" t="s">
        <v>15</v>
      </c>
      <c r="B512" s="366"/>
      <c r="C512" s="1446" t="s">
        <v>375</v>
      </c>
      <c r="D512" s="1389"/>
      <c r="E512" s="1389"/>
      <c r="F512" s="1389"/>
      <c r="G512" s="1226" t="s">
        <v>193</v>
      </c>
      <c r="H512" s="586"/>
      <c r="I512" s="614">
        <v>20</v>
      </c>
      <c r="J512" s="368">
        <v>102700</v>
      </c>
      <c r="K512" s="495">
        <v>0.7</v>
      </c>
      <c r="L512" s="480">
        <f>ROUND(PRODUCT(I512:K512),0)</f>
        <v>1437800</v>
      </c>
      <c r="M512" s="366"/>
      <c r="N512" s="366"/>
      <c r="O512" s="366"/>
      <c r="P512" s="366"/>
      <c r="Q512" s="1144"/>
      <c r="R512" s="1452"/>
      <c r="S512" s="308"/>
      <c r="T512" s="308"/>
      <c r="U512" s="308"/>
      <c r="V512" s="308"/>
      <c r="W512" s="308"/>
      <c r="X512" s="308"/>
      <c r="Y512" s="308"/>
      <c r="Z512" s="604"/>
      <c r="AA512" s="308"/>
      <c r="AB512" s="308"/>
      <c r="AC512" s="449"/>
      <c r="AD512" s="452"/>
      <c r="AE512" s="452"/>
      <c r="AF512" s="452"/>
      <c r="AG512" s="452"/>
      <c r="AH512" s="452"/>
      <c r="AI512" s="452"/>
      <c r="AJ512" s="452"/>
      <c r="AK512" s="452"/>
      <c r="AL512" s="1259"/>
      <c r="AM512" s="1260"/>
      <c r="AN512" s="1260"/>
      <c r="AO512" s="1260"/>
      <c r="AP512" s="1260"/>
      <c r="AQ512" s="1260"/>
      <c r="AR512" s="1260"/>
      <c r="AS512" s="1260"/>
      <c r="AT512" s="1260"/>
      <c r="AU512" s="1260"/>
      <c r="AV512" s="1260"/>
      <c r="AW512" s="1260"/>
      <c r="AX512" s="1260"/>
      <c r="AY512" s="1260"/>
      <c r="AZ512" s="1260"/>
      <c r="BA512" s="1260"/>
      <c r="BB512" s="1260"/>
      <c r="BC512" s="1260"/>
      <c r="BD512" s="1260"/>
      <c r="BE512" s="1260"/>
      <c r="BF512" s="1260"/>
      <c r="BG512" s="1260"/>
      <c r="BH512" s="1260"/>
      <c r="BI512" s="1260"/>
      <c r="BJ512" s="1260"/>
      <c r="BK512" s="1260"/>
      <c r="BL512" s="1260"/>
      <c r="BM512" s="1260"/>
      <c r="BN512" s="1260"/>
      <c r="BO512" s="1260"/>
      <c r="BP512" s="1260"/>
      <c r="BQ512" s="1260"/>
      <c r="BR512" s="1260"/>
      <c r="BS512" s="1260"/>
      <c r="BT512" s="1260"/>
      <c r="BU512" s="1260"/>
      <c r="BV512" s="1260"/>
      <c r="BW512" s="1260"/>
      <c r="BX512" s="1260"/>
      <c r="BY512" s="1260"/>
      <c r="BZ512" s="1260"/>
      <c r="CA512" s="1260"/>
      <c r="CB512" s="1260"/>
      <c r="CC512" s="1260"/>
      <c r="CD512" s="1260"/>
      <c r="CE512" s="1260"/>
      <c r="CF512" s="1260"/>
      <c r="CG512" s="1260"/>
      <c r="CH512" s="1260"/>
      <c r="CI512" s="1260"/>
      <c r="CJ512" s="1260"/>
      <c r="CK512" s="1260"/>
      <c r="CL512" s="1260"/>
      <c r="CM512" s="1260"/>
      <c r="CN512" s="1260"/>
      <c r="CO512" s="1260"/>
      <c r="CP512" s="1260"/>
      <c r="CQ512" s="1260"/>
      <c r="CR512" s="1260"/>
      <c r="CS512" s="1260"/>
      <c r="CT512" s="1260"/>
      <c r="CU512" s="1260"/>
      <c r="CV512" s="1260"/>
      <c r="CW512" s="1260"/>
      <c r="CX512" s="1260"/>
      <c r="CY512" s="1260"/>
      <c r="CZ512" s="1260"/>
      <c r="DA512" s="1260"/>
      <c r="DB512" s="1260"/>
      <c r="DC512" s="1260"/>
      <c r="DD512" s="1260"/>
      <c r="DE512" s="1260"/>
      <c r="DF512" s="1260"/>
      <c r="DG512" s="1260"/>
      <c r="DH512" s="1260"/>
      <c r="DI512" s="1260"/>
      <c r="DJ512" s="1260"/>
      <c r="DK512" s="1260"/>
      <c r="DL512" s="1260"/>
      <c r="DM512" s="1260"/>
      <c r="DN512" s="1260"/>
      <c r="DO512" s="1260"/>
      <c r="DP512" s="1260"/>
      <c r="DQ512" s="1260"/>
      <c r="DR512" s="1260"/>
      <c r="DS512" s="1260"/>
      <c r="DT512" s="1260"/>
      <c r="DU512" s="1260"/>
      <c r="DV512" s="1260"/>
      <c r="DW512" s="1260"/>
      <c r="DX512" s="1260"/>
      <c r="DY512" s="1260"/>
      <c r="DZ512" s="1260"/>
      <c r="EA512" s="1260"/>
      <c r="EB512" s="1260"/>
      <c r="EC512" s="1260"/>
      <c r="ED512" s="1260"/>
      <c r="EE512" s="1260"/>
      <c r="EF512" s="1260"/>
      <c r="EG512" s="1260"/>
      <c r="EH512" s="1260"/>
      <c r="EI512" s="1260"/>
      <c r="EJ512" s="1260"/>
      <c r="EK512" s="1260"/>
      <c r="EL512" s="1260"/>
      <c r="EM512" s="1260"/>
      <c r="EN512" s="1260"/>
      <c r="EO512" s="1260"/>
      <c r="EP512" s="1260"/>
      <c r="EQ512" s="1260"/>
      <c r="ER512" s="1260"/>
      <c r="ES512" s="1260"/>
      <c r="ET512" s="1260"/>
      <c r="EU512" s="1260"/>
      <c r="EV512" s="1260"/>
      <c r="EW512" s="1260"/>
      <c r="EX512" s="1260"/>
      <c r="EY512" s="1260"/>
      <c r="EZ512" s="1260"/>
      <c r="FA512" s="1260"/>
      <c r="FB512" s="1260"/>
      <c r="FC512" s="1260"/>
      <c r="FD512" s="1260"/>
      <c r="FE512" s="1260"/>
      <c r="FF512" s="1260"/>
      <c r="FG512" s="1260"/>
      <c r="FH512" s="1260"/>
      <c r="FI512" s="1260"/>
      <c r="FJ512" s="1260"/>
      <c r="FK512" s="1260"/>
      <c r="FL512" s="1260"/>
      <c r="FM512" s="1260"/>
      <c r="FN512" s="1260"/>
      <c r="FO512" s="1260"/>
      <c r="FP512" s="1260"/>
      <c r="FQ512" s="1260"/>
      <c r="FR512" s="1260"/>
      <c r="FS512" s="1260"/>
      <c r="FT512" s="1260"/>
      <c r="FU512" s="1260"/>
      <c r="FV512" s="1260"/>
      <c r="FW512" s="1260"/>
      <c r="FX512" s="1260"/>
      <c r="FY512" s="1260"/>
      <c r="FZ512" s="1260"/>
      <c r="GA512" s="1260"/>
      <c r="GB512" s="1260"/>
      <c r="GC512" s="1260"/>
      <c r="GD512" s="1260"/>
      <c r="GE512" s="1260"/>
      <c r="GF512" s="1260"/>
      <c r="GG512" s="1260"/>
      <c r="GH512" s="1260"/>
      <c r="GI512" s="1260"/>
      <c r="GJ512" s="1260"/>
      <c r="GK512" s="1260"/>
      <c r="GL512" s="1260"/>
      <c r="GM512" s="1260"/>
      <c r="GN512" s="1260"/>
      <c r="GO512" s="1260"/>
      <c r="GP512" s="1260"/>
      <c r="GQ512" s="1260"/>
      <c r="GR512" s="1260"/>
      <c r="GS512" s="1260"/>
      <c r="GT512" s="1260"/>
      <c r="GU512" s="1260"/>
      <c r="GV512" s="1260"/>
      <c r="GW512" s="1260"/>
      <c r="GX512" s="1260"/>
      <c r="GY512" s="1260"/>
      <c r="GZ512" s="1260"/>
      <c r="HA512" s="1260"/>
      <c r="HB512" s="1260"/>
      <c r="HC512" s="1260"/>
      <c r="HD512" s="1260"/>
      <c r="HE512" s="1260"/>
      <c r="HF512" s="1260"/>
      <c r="HG512" s="1260"/>
      <c r="HH512" s="1260"/>
      <c r="HI512" s="1260"/>
      <c r="HJ512" s="1260"/>
      <c r="HK512" s="1260"/>
      <c r="HL512" s="1260"/>
      <c r="HM512" s="1260"/>
      <c r="HN512" s="1260"/>
      <c r="HO512" s="1260"/>
      <c r="HP512" s="1260"/>
      <c r="HQ512" s="1260"/>
      <c r="HR512" s="1260"/>
      <c r="HS512" s="1260"/>
      <c r="HT512" s="1260"/>
      <c r="HU512" s="1260"/>
      <c r="HV512" s="1260"/>
      <c r="HW512" s="1260"/>
      <c r="HX512" s="1260"/>
      <c r="HY512" s="1260"/>
      <c r="HZ512" s="1260"/>
      <c r="IA512" s="1260"/>
      <c r="IB512" s="1260"/>
      <c r="IC512" s="1260"/>
      <c r="ID512" s="1260"/>
      <c r="IE512" s="1260"/>
      <c r="IF512" s="1260"/>
      <c r="IG512" s="1260"/>
      <c r="IH512" s="1260"/>
      <c r="II512" s="1260"/>
      <c r="IJ512" s="1260"/>
      <c r="IK512" s="1260"/>
      <c r="IL512" s="1260"/>
      <c r="IM512" s="1260"/>
      <c r="IN512" s="1260"/>
      <c r="IO512" s="1260"/>
      <c r="IP512" s="1260"/>
      <c r="IQ512" s="1260"/>
      <c r="IR512" s="1260"/>
      <c r="IS512" s="1260"/>
      <c r="IT512" s="1260"/>
      <c r="IU512" s="1260"/>
      <c r="IV512" s="1260"/>
      <c r="IW512" s="1260"/>
      <c r="IX512" s="1260"/>
      <c r="IY512" s="1260"/>
      <c r="IZ512" s="1260"/>
      <c r="JA512" s="1260"/>
      <c r="JB512" s="1260"/>
      <c r="JC512" s="1260"/>
      <c r="JD512" s="1260"/>
      <c r="JE512" s="1260"/>
      <c r="JF512" s="1260"/>
      <c r="JG512" s="1260"/>
      <c r="JH512" s="1260"/>
      <c r="JI512" s="1260"/>
      <c r="JJ512" s="1260"/>
      <c r="JK512" s="1260"/>
      <c r="JL512" s="1260"/>
      <c r="JM512" s="1260"/>
      <c r="JN512" s="1260"/>
      <c r="JO512" s="1260"/>
      <c r="JP512" s="1260"/>
      <c r="JQ512" s="1260"/>
      <c r="JR512" s="1260"/>
      <c r="JS512" s="1260"/>
      <c r="JT512" s="1260"/>
      <c r="JU512" s="1260"/>
      <c r="JV512" s="1260"/>
      <c r="JW512" s="1260"/>
      <c r="JX512" s="1260"/>
      <c r="JY512" s="1260"/>
      <c r="JZ512" s="1260"/>
      <c r="KA512" s="1260"/>
      <c r="KB512" s="1260"/>
      <c r="KC512" s="1260"/>
      <c r="KD512" s="1260"/>
      <c r="KE512" s="1260"/>
      <c r="KF512" s="1260"/>
      <c r="KG512" s="1260"/>
      <c r="KH512" s="1260"/>
      <c r="KI512" s="1260"/>
      <c r="KJ512" s="1260"/>
      <c r="KK512" s="1260"/>
      <c r="KL512" s="1260"/>
      <c r="KM512" s="1260"/>
      <c r="KN512" s="1260"/>
      <c r="KO512" s="1260"/>
      <c r="KP512" s="1260"/>
      <c r="KQ512" s="1260"/>
      <c r="KR512" s="1260"/>
      <c r="KS512" s="1260"/>
      <c r="KT512" s="1260"/>
      <c r="KU512" s="1260"/>
      <c r="KV512" s="1260"/>
      <c r="KW512" s="1260"/>
      <c r="KX512" s="1260"/>
      <c r="KY512" s="1260"/>
      <c r="KZ512" s="1260"/>
      <c r="LA512" s="1260"/>
      <c r="LB512" s="1260"/>
      <c r="LC512" s="1260"/>
      <c r="LD512" s="1260"/>
      <c r="LE512" s="1260"/>
      <c r="LF512" s="1260"/>
      <c r="LG512" s="1260"/>
      <c r="LH512" s="1260"/>
      <c r="LI512" s="1260"/>
      <c r="LJ512" s="1260"/>
      <c r="LK512" s="1260"/>
      <c r="LL512" s="1260"/>
      <c r="LM512" s="1260"/>
      <c r="LN512" s="1260"/>
      <c r="LO512" s="1260"/>
      <c r="LP512" s="1260"/>
      <c r="LQ512" s="1260"/>
      <c r="LR512" s="1260"/>
      <c r="LS512" s="1260"/>
      <c r="LT512" s="1260"/>
      <c r="LU512" s="1260"/>
      <c r="LV512" s="1260"/>
      <c r="LW512" s="1260"/>
      <c r="LX512" s="1260"/>
      <c r="LY512" s="1260"/>
      <c r="LZ512" s="1260"/>
      <c r="MA512" s="1260"/>
      <c r="MB512" s="1260"/>
      <c r="MC512" s="1260"/>
      <c r="MD512" s="1260"/>
      <c r="ME512" s="1260"/>
      <c r="MF512" s="1260"/>
      <c r="MG512" s="1260"/>
      <c r="MH512" s="1260"/>
      <c r="MI512" s="1260"/>
      <c r="MJ512" s="1260"/>
      <c r="MK512" s="1260"/>
      <c r="ML512" s="1260"/>
      <c r="MM512" s="1260"/>
      <c r="MN512" s="1260"/>
      <c r="MO512" s="1260"/>
      <c r="MP512" s="1260"/>
      <c r="MQ512" s="1260"/>
      <c r="MR512" s="1260"/>
      <c r="MS512" s="1260"/>
      <c r="MT512" s="1260"/>
      <c r="MU512" s="1260"/>
      <c r="MV512" s="1260"/>
      <c r="MW512" s="1260"/>
      <c r="MX512" s="1260"/>
      <c r="MY512" s="1260"/>
      <c r="MZ512" s="1260"/>
      <c r="NA512" s="1260"/>
      <c r="NB512" s="1260"/>
      <c r="NC512" s="1260"/>
      <c r="ND512" s="1260"/>
      <c r="NE512" s="1260"/>
      <c r="NF512" s="1260"/>
      <c r="NG512" s="1260"/>
      <c r="NH512" s="1260"/>
      <c r="NI512" s="1260"/>
      <c r="NJ512" s="1260"/>
      <c r="NK512" s="1260"/>
      <c r="NL512" s="1260"/>
      <c r="NM512" s="1260"/>
      <c r="NN512" s="1260"/>
      <c r="NO512" s="1260"/>
      <c r="NP512" s="1260"/>
      <c r="NQ512" s="1260"/>
      <c r="NR512" s="1260"/>
      <c r="NS512" s="1260"/>
      <c r="NT512" s="1260"/>
      <c r="NU512" s="1260"/>
      <c r="NV512" s="1260"/>
      <c r="NW512" s="1260"/>
      <c r="NX512" s="1260"/>
      <c r="NY512" s="1260"/>
      <c r="NZ512" s="1260"/>
      <c r="OA512" s="1260"/>
      <c r="OB512" s="1260"/>
      <c r="OC512" s="1260"/>
      <c r="OD512" s="1260"/>
      <c r="OE512" s="1260"/>
      <c r="OF512" s="1260"/>
      <c r="OG512" s="1260"/>
      <c r="OH512" s="1260"/>
      <c r="OI512" s="1260"/>
      <c r="OJ512" s="1260"/>
      <c r="OK512" s="1260"/>
      <c r="OL512" s="1260"/>
      <c r="OM512" s="1260"/>
      <c r="ON512" s="1260"/>
      <c r="OO512" s="1260"/>
      <c r="OP512" s="1260"/>
      <c r="OQ512" s="1260"/>
      <c r="OR512" s="1260"/>
      <c r="OS512" s="1260"/>
      <c r="OT512" s="1260"/>
      <c r="OU512" s="1260"/>
      <c r="OV512" s="1260"/>
      <c r="OW512" s="1260"/>
      <c r="OX512" s="1260"/>
      <c r="OY512" s="1260"/>
      <c r="OZ512" s="1260"/>
      <c r="PA512" s="1260"/>
      <c r="PB512" s="1260"/>
      <c r="PC512" s="1260"/>
      <c r="PD512" s="1260"/>
      <c r="PE512" s="1260"/>
      <c r="PF512" s="1260"/>
      <c r="PG512" s="1260"/>
      <c r="PH512" s="1260"/>
      <c r="PI512" s="1260"/>
      <c r="PJ512" s="1260"/>
      <c r="PK512" s="1260"/>
      <c r="PL512" s="1260"/>
      <c r="PM512" s="1260"/>
      <c r="PN512" s="1260"/>
      <c r="PO512" s="1260"/>
      <c r="PP512" s="1260"/>
      <c r="PQ512" s="1260"/>
      <c r="PR512" s="1260"/>
      <c r="PS512" s="1260"/>
      <c r="PT512" s="1260"/>
      <c r="PU512" s="1260"/>
      <c r="PV512" s="1260"/>
      <c r="PW512" s="1260"/>
      <c r="PX512" s="1260"/>
      <c r="PY512" s="1260"/>
      <c r="PZ512" s="1260"/>
      <c r="QA512" s="1260"/>
      <c r="QB512" s="1260"/>
      <c r="QC512" s="1260"/>
      <c r="QD512" s="1260"/>
      <c r="QE512" s="1260"/>
      <c r="QF512" s="1260"/>
      <c r="QG512" s="1260"/>
      <c r="QH512" s="1260"/>
      <c r="QI512" s="1260"/>
      <c r="QJ512" s="1260"/>
      <c r="QK512" s="1260"/>
      <c r="QL512" s="1260"/>
      <c r="QM512" s="1260"/>
      <c r="QN512" s="1260"/>
      <c r="QO512" s="1260"/>
      <c r="QP512" s="1260"/>
      <c r="QQ512" s="1260"/>
      <c r="QR512" s="1260"/>
      <c r="QS512" s="1260"/>
      <c r="QT512" s="1260"/>
      <c r="QU512" s="1260"/>
      <c r="QV512" s="1260"/>
      <c r="QW512" s="1260"/>
      <c r="QX512" s="1260"/>
      <c r="QY512" s="1260"/>
      <c r="QZ512" s="1260"/>
      <c r="RA512" s="1260"/>
      <c r="RB512" s="1260"/>
      <c r="RC512" s="1260"/>
      <c r="RD512" s="1260"/>
      <c r="RE512" s="1260"/>
      <c r="RF512" s="1260"/>
      <c r="RG512" s="1260"/>
      <c r="RH512" s="1260"/>
      <c r="RI512" s="1260"/>
      <c r="RJ512" s="1260"/>
      <c r="RK512" s="1260"/>
      <c r="RL512" s="1260"/>
      <c r="RM512" s="1260"/>
      <c r="RN512" s="1260"/>
      <c r="RO512" s="1260"/>
      <c r="RP512" s="1260"/>
      <c r="RQ512" s="1260"/>
      <c r="RR512" s="1260"/>
      <c r="RS512" s="1260"/>
      <c r="RT512" s="1260"/>
      <c r="RU512" s="1260"/>
      <c r="RV512" s="1260"/>
      <c r="RW512" s="1260"/>
      <c r="RX512" s="1260"/>
      <c r="RY512" s="1260"/>
      <c r="RZ512" s="1260"/>
      <c r="SA512" s="1260"/>
      <c r="SB512" s="1260"/>
      <c r="SC512" s="1260"/>
      <c r="SD512" s="1260"/>
      <c r="SE512" s="1260"/>
      <c r="SF512" s="1260"/>
      <c r="SG512" s="1260"/>
      <c r="SH512" s="1260"/>
      <c r="SI512" s="1260"/>
      <c r="SJ512" s="1260"/>
      <c r="SK512" s="1260"/>
      <c r="SL512" s="1260"/>
      <c r="SM512" s="1260"/>
      <c r="SN512" s="1260"/>
      <c r="SO512" s="1260"/>
      <c r="SP512" s="1260"/>
      <c r="SQ512" s="1260"/>
      <c r="SR512" s="1260"/>
      <c r="SS512" s="1260"/>
      <c r="ST512" s="1260"/>
      <c r="SU512" s="1260"/>
      <c r="SV512" s="1260"/>
      <c r="SW512" s="1260"/>
      <c r="SX512" s="1260"/>
      <c r="SY512" s="1260"/>
      <c r="SZ512" s="1260"/>
      <c r="TA512" s="1260"/>
      <c r="TB512" s="1260"/>
      <c r="TC512" s="1260"/>
      <c r="TD512" s="1260"/>
      <c r="TE512" s="1260"/>
      <c r="TF512" s="1260"/>
      <c r="TG512" s="1260"/>
      <c r="TH512" s="1260"/>
      <c r="TI512" s="1260"/>
      <c r="TJ512" s="1260"/>
      <c r="TK512" s="1260"/>
      <c r="TL512" s="1260"/>
      <c r="TM512" s="1260"/>
      <c r="TN512" s="1260"/>
      <c r="TO512" s="1260"/>
      <c r="TP512" s="1260"/>
      <c r="TQ512" s="1260"/>
      <c r="TR512" s="1260"/>
      <c r="TS512" s="1260"/>
      <c r="TT512" s="1260"/>
      <c r="TU512" s="1260"/>
      <c r="TV512" s="1260"/>
      <c r="TW512" s="1260"/>
      <c r="TX512" s="1260"/>
      <c r="TY512" s="1260"/>
      <c r="TZ512" s="1260"/>
      <c r="UA512" s="1260"/>
      <c r="UB512" s="1260"/>
      <c r="UC512" s="1260"/>
      <c r="UD512" s="1260"/>
      <c r="UE512" s="1260"/>
      <c r="UF512" s="1260"/>
      <c r="UG512" s="1261"/>
    </row>
    <row r="513" spans="1:553" s="1262" customFormat="1" ht="30.75" customHeight="1">
      <c r="A513" s="496" t="s">
        <v>15</v>
      </c>
      <c r="B513" s="366"/>
      <c r="C513" s="1446" t="s">
        <v>376</v>
      </c>
      <c r="D513" s="1389"/>
      <c r="E513" s="1389"/>
      <c r="F513" s="1389"/>
      <c r="G513" s="1226" t="s">
        <v>196</v>
      </c>
      <c r="H513" s="586"/>
      <c r="I513" s="794">
        <f>(157.21*100/1100)*(12-(3-2))*2</f>
        <v>314.41999999999996</v>
      </c>
      <c r="J513" s="368">
        <v>15400</v>
      </c>
      <c r="K513" s="495">
        <v>0.7</v>
      </c>
      <c r="L513" s="480">
        <f>ROUND(PRODUCT(I513:K513),0)</f>
        <v>3389448</v>
      </c>
      <c r="M513" s="366"/>
      <c r="N513" s="366"/>
      <c r="O513" s="366"/>
      <c r="P513" s="366"/>
      <c r="Q513" s="1144"/>
      <c r="R513" s="1452"/>
      <c r="S513" s="308"/>
      <c r="T513" s="308"/>
      <c r="U513" s="308"/>
      <c r="V513" s="308"/>
      <c r="W513" s="308"/>
      <c r="X513" s="308"/>
      <c r="Y513" s="308"/>
      <c r="Z513" s="604"/>
      <c r="AA513" s="308"/>
      <c r="AB513" s="308"/>
      <c r="AC513" s="449"/>
      <c r="AD513" s="452"/>
      <c r="AE513" s="452"/>
      <c r="AF513" s="452"/>
      <c r="AG513" s="452"/>
      <c r="AH513" s="452"/>
      <c r="AI513" s="452"/>
      <c r="AJ513" s="452"/>
      <c r="AK513" s="452"/>
      <c r="AL513" s="1259"/>
      <c r="AM513" s="1260"/>
      <c r="AN513" s="1260"/>
      <c r="AO513" s="1260"/>
      <c r="AP513" s="1260"/>
      <c r="AQ513" s="1260"/>
      <c r="AR513" s="1260"/>
      <c r="AS513" s="1260"/>
      <c r="AT513" s="1260"/>
      <c r="AU513" s="1260"/>
      <c r="AV513" s="1260"/>
      <c r="AW513" s="1260"/>
      <c r="AX513" s="1260"/>
      <c r="AY513" s="1260"/>
      <c r="AZ513" s="1260"/>
      <c r="BA513" s="1260"/>
      <c r="BB513" s="1260"/>
      <c r="BC513" s="1260"/>
      <c r="BD513" s="1260"/>
      <c r="BE513" s="1260"/>
      <c r="BF513" s="1260"/>
      <c r="BG513" s="1260"/>
      <c r="BH513" s="1260"/>
      <c r="BI513" s="1260"/>
      <c r="BJ513" s="1260"/>
      <c r="BK513" s="1260"/>
      <c r="BL513" s="1260"/>
      <c r="BM513" s="1260"/>
      <c r="BN513" s="1260"/>
      <c r="BO513" s="1260"/>
      <c r="BP513" s="1260"/>
      <c r="BQ513" s="1260"/>
      <c r="BR513" s="1260"/>
      <c r="BS513" s="1260"/>
      <c r="BT513" s="1260"/>
      <c r="BU513" s="1260"/>
      <c r="BV513" s="1260"/>
      <c r="BW513" s="1260"/>
      <c r="BX513" s="1260"/>
      <c r="BY513" s="1260"/>
      <c r="BZ513" s="1260"/>
      <c r="CA513" s="1260"/>
      <c r="CB513" s="1260"/>
      <c r="CC513" s="1260"/>
      <c r="CD513" s="1260"/>
      <c r="CE513" s="1260"/>
      <c r="CF513" s="1260"/>
      <c r="CG513" s="1260"/>
      <c r="CH513" s="1260"/>
      <c r="CI513" s="1260"/>
      <c r="CJ513" s="1260"/>
      <c r="CK513" s="1260"/>
      <c r="CL513" s="1260"/>
      <c r="CM513" s="1260"/>
      <c r="CN513" s="1260"/>
      <c r="CO513" s="1260"/>
      <c r="CP513" s="1260"/>
      <c r="CQ513" s="1260"/>
      <c r="CR513" s="1260"/>
      <c r="CS513" s="1260"/>
      <c r="CT513" s="1260"/>
      <c r="CU513" s="1260"/>
      <c r="CV513" s="1260"/>
      <c r="CW513" s="1260"/>
      <c r="CX513" s="1260"/>
      <c r="CY513" s="1260"/>
      <c r="CZ513" s="1260"/>
      <c r="DA513" s="1260"/>
      <c r="DB513" s="1260"/>
      <c r="DC513" s="1260"/>
      <c r="DD513" s="1260"/>
      <c r="DE513" s="1260"/>
      <c r="DF513" s="1260"/>
      <c r="DG513" s="1260"/>
      <c r="DH513" s="1260"/>
      <c r="DI513" s="1260"/>
      <c r="DJ513" s="1260"/>
      <c r="DK513" s="1260"/>
      <c r="DL513" s="1260"/>
      <c r="DM513" s="1260"/>
      <c r="DN513" s="1260"/>
      <c r="DO513" s="1260"/>
      <c r="DP513" s="1260"/>
      <c r="DQ513" s="1260"/>
      <c r="DR513" s="1260"/>
      <c r="DS513" s="1260"/>
      <c r="DT513" s="1260"/>
      <c r="DU513" s="1260"/>
      <c r="DV513" s="1260"/>
      <c r="DW513" s="1260"/>
      <c r="DX513" s="1260"/>
      <c r="DY513" s="1260"/>
      <c r="DZ513" s="1260"/>
      <c r="EA513" s="1260"/>
      <c r="EB513" s="1260"/>
      <c r="EC513" s="1260"/>
      <c r="ED513" s="1260"/>
      <c r="EE513" s="1260"/>
      <c r="EF513" s="1260"/>
      <c r="EG513" s="1260"/>
      <c r="EH513" s="1260"/>
      <c r="EI513" s="1260"/>
      <c r="EJ513" s="1260"/>
      <c r="EK513" s="1260"/>
      <c r="EL513" s="1260"/>
      <c r="EM513" s="1260"/>
      <c r="EN513" s="1260"/>
      <c r="EO513" s="1260"/>
      <c r="EP513" s="1260"/>
      <c r="EQ513" s="1260"/>
      <c r="ER513" s="1260"/>
      <c r="ES513" s="1260"/>
      <c r="ET513" s="1260"/>
      <c r="EU513" s="1260"/>
      <c r="EV513" s="1260"/>
      <c r="EW513" s="1260"/>
      <c r="EX513" s="1260"/>
      <c r="EY513" s="1260"/>
      <c r="EZ513" s="1260"/>
      <c r="FA513" s="1260"/>
      <c r="FB513" s="1260"/>
      <c r="FC513" s="1260"/>
      <c r="FD513" s="1260"/>
      <c r="FE513" s="1260"/>
      <c r="FF513" s="1260"/>
      <c r="FG513" s="1260"/>
      <c r="FH513" s="1260"/>
      <c r="FI513" s="1260"/>
      <c r="FJ513" s="1260"/>
      <c r="FK513" s="1260"/>
      <c r="FL513" s="1260"/>
      <c r="FM513" s="1260"/>
      <c r="FN513" s="1260"/>
      <c r="FO513" s="1260"/>
      <c r="FP513" s="1260"/>
      <c r="FQ513" s="1260"/>
      <c r="FR513" s="1260"/>
      <c r="FS513" s="1260"/>
      <c r="FT513" s="1260"/>
      <c r="FU513" s="1260"/>
      <c r="FV513" s="1260"/>
      <c r="FW513" s="1260"/>
      <c r="FX513" s="1260"/>
      <c r="FY513" s="1260"/>
      <c r="FZ513" s="1260"/>
      <c r="GA513" s="1260"/>
      <c r="GB513" s="1260"/>
      <c r="GC513" s="1260"/>
      <c r="GD513" s="1260"/>
      <c r="GE513" s="1260"/>
      <c r="GF513" s="1260"/>
      <c r="GG513" s="1260"/>
      <c r="GH513" s="1260"/>
      <c r="GI513" s="1260"/>
      <c r="GJ513" s="1260"/>
      <c r="GK513" s="1260"/>
      <c r="GL513" s="1260"/>
      <c r="GM513" s="1260"/>
      <c r="GN513" s="1260"/>
      <c r="GO513" s="1260"/>
      <c r="GP513" s="1260"/>
      <c r="GQ513" s="1260"/>
      <c r="GR513" s="1260"/>
      <c r="GS513" s="1260"/>
      <c r="GT513" s="1260"/>
      <c r="GU513" s="1260"/>
      <c r="GV513" s="1260"/>
      <c r="GW513" s="1260"/>
      <c r="GX513" s="1260"/>
      <c r="GY513" s="1260"/>
      <c r="GZ513" s="1260"/>
      <c r="HA513" s="1260"/>
      <c r="HB513" s="1260"/>
      <c r="HC513" s="1260"/>
      <c r="HD513" s="1260"/>
      <c r="HE513" s="1260"/>
      <c r="HF513" s="1260"/>
      <c r="HG513" s="1260"/>
      <c r="HH513" s="1260"/>
      <c r="HI513" s="1260"/>
      <c r="HJ513" s="1260"/>
      <c r="HK513" s="1260"/>
      <c r="HL513" s="1260"/>
      <c r="HM513" s="1260"/>
      <c r="HN513" s="1260"/>
      <c r="HO513" s="1260"/>
      <c r="HP513" s="1260"/>
      <c r="HQ513" s="1260"/>
      <c r="HR513" s="1260"/>
      <c r="HS513" s="1260"/>
      <c r="HT513" s="1260"/>
      <c r="HU513" s="1260"/>
      <c r="HV513" s="1260"/>
      <c r="HW513" s="1260"/>
      <c r="HX513" s="1260"/>
      <c r="HY513" s="1260"/>
      <c r="HZ513" s="1260"/>
      <c r="IA513" s="1260"/>
      <c r="IB513" s="1260"/>
      <c r="IC513" s="1260"/>
      <c r="ID513" s="1260"/>
      <c r="IE513" s="1260"/>
      <c r="IF513" s="1260"/>
      <c r="IG513" s="1260"/>
      <c r="IH513" s="1260"/>
      <c r="II513" s="1260"/>
      <c r="IJ513" s="1260"/>
      <c r="IK513" s="1260"/>
      <c r="IL513" s="1260"/>
      <c r="IM513" s="1260"/>
      <c r="IN513" s="1260"/>
      <c r="IO513" s="1260"/>
      <c r="IP513" s="1260"/>
      <c r="IQ513" s="1260"/>
      <c r="IR513" s="1260"/>
      <c r="IS513" s="1260"/>
      <c r="IT513" s="1260"/>
      <c r="IU513" s="1260"/>
      <c r="IV513" s="1260"/>
      <c r="IW513" s="1260"/>
      <c r="IX513" s="1260"/>
      <c r="IY513" s="1260"/>
      <c r="IZ513" s="1260"/>
      <c r="JA513" s="1260"/>
      <c r="JB513" s="1260"/>
      <c r="JC513" s="1260"/>
      <c r="JD513" s="1260"/>
      <c r="JE513" s="1260"/>
      <c r="JF513" s="1260"/>
      <c r="JG513" s="1260"/>
      <c r="JH513" s="1260"/>
      <c r="JI513" s="1260"/>
      <c r="JJ513" s="1260"/>
      <c r="JK513" s="1260"/>
      <c r="JL513" s="1260"/>
      <c r="JM513" s="1260"/>
      <c r="JN513" s="1260"/>
      <c r="JO513" s="1260"/>
      <c r="JP513" s="1260"/>
      <c r="JQ513" s="1260"/>
      <c r="JR513" s="1260"/>
      <c r="JS513" s="1260"/>
      <c r="JT513" s="1260"/>
      <c r="JU513" s="1260"/>
      <c r="JV513" s="1260"/>
      <c r="JW513" s="1260"/>
      <c r="JX513" s="1260"/>
      <c r="JY513" s="1260"/>
      <c r="JZ513" s="1260"/>
      <c r="KA513" s="1260"/>
      <c r="KB513" s="1260"/>
      <c r="KC513" s="1260"/>
      <c r="KD513" s="1260"/>
      <c r="KE513" s="1260"/>
      <c r="KF513" s="1260"/>
      <c r="KG513" s="1260"/>
      <c r="KH513" s="1260"/>
      <c r="KI513" s="1260"/>
      <c r="KJ513" s="1260"/>
      <c r="KK513" s="1260"/>
      <c r="KL513" s="1260"/>
      <c r="KM513" s="1260"/>
      <c r="KN513" s="1260"/>
      <c r="KO513" s="1260"/>
      <c r="KP513" s="1260"/>
      <c r="KQ513" s="1260"/>
      <c r="KR513" s="1260"/>
      <c r="KS513" s="1260"/>
      <c r="KT513" s="1260"/>
      <c r="KU513" s="1260"/>
      <c r="KV513" s="1260"/>
      <c r="KW513" s="1260"/>
      <c r="KX513" s="1260"/>
      <c r="KY513" s="1260"/>
      <c r="KZ513" s="1260"/>
      <c r="LA513" s="1260"/>
      <c r="LB513" s="1260"/>
      <c r="LC513" s="1260"/>
      <c r="LD513" s="1260"/>
      <c r="LE513" s="1260"/>
      <c r="LF513" s="1260"/>
      <c r="LG513" s="1260"/>
      <c r="LH513" s="1260"/>
      <c r="LI513" s="1260"/>
      <c r="LJ513" s="1260"/>
      <c r="LK513" s="1260"/>
      <c r="LL513" s="1260"/>
      <c r="LM513" s="1260"/>
      <c r="LN513" s="1260"/>
      <c r="LO513" s="1260"/>
      <c r="LP513" s="1260"/>
      <c r="LQ513" s="1260"/>
      <c r="LR513" s="1260"/>
      <c r="LS513" s="1260"/>
      <c r="LT513" s="1260"/>
      <c r="LU513" s="1260"/>
      <c r="LV513" s="1260"/>
      <c r="LW513" s="1260"/>
      <c r="LX513" s="1260"/>
      <c r="LY513" s="1260"/>
      <c r="LZ513" s="1260"/>
      <c r="MA513" s="1260"/>
      <c r="MB513" s="1260"/>
      <c r="MC513" s="1260"/>
      <c r="MD513" s="1260"/>
      <c r="ME513" s="1260"/>
      <c r="MF513" s="1260"/>
      <c r="MG513" s="1260"/>
      <c r="MH513" s="1260"/>
      <c r="MI513" s="1260"/>
      <c r="MJ513" s="1260"/>
      <c r="MK513" s="1260"/>
      <c r="ML513" s="1260"/>
      <c r="MM513" s="1260"/>
      <c r="MN513" s="1260"/>
      <c r="MO513" s="1260"/>
      <c r="MP513" s="1260"/>
      <c r="MQ513" s="1260"/>
      <c r="MR513" s="1260"/>
      <c r="MS513" s="1260"/>
      <c r="MT513" s="1260"/>
      <c r="MU513" s="1260"/>
      <c r="MV513" s="1260"/>
      <c r="MW513" s="1260"/>
      <c r="MX513" s="1260"/>
      <c r="MY513" s="1260"/>
      <c r="MZ513" s="1260"/>
      <c r="NA513" s="1260"/>
      <c r="NB513" s="1260"/>
      <c r="NC513" s="1260"/>
      <c r="ND513" s="1260"/>
      <c r="NE513" s="1260"/>
      <c r="NF513" s="1260"/>
      <c r="NG513" s="1260"/>
      <c r="NH513" s="1260"/>
      <c r="NI513" s="1260"/>
      <c r="NJ513" s="1260"/>
      <c r="NK513" s="1260"/>
      <c r="NL513" s="1260"/>
      <c r="NM513" s="1260"/>
      <c r="NN513" s="1260"/>
      <c r="NO513" s="1260"/>
      <c r="NP513" s="1260"/>
      <c r="NQ513" s="1260"/>
      <c r="NR513" s="1260"/>
      <c r="NS513" s="1260"/>
      <c r="NT513" s="1260"/>
      <c r="NU513" s="1260"/>
      <c r="NV513" s="1260"/>
      <c r="NW513" s="1260"/>
      <c r="NX513" s="1260"/>
      <c r="NY513" s="1260"/>
      <c r="NZ513" s="1260"/>
      <c r="OA513" s="1260"/>
      <c r="OB513" s="1260"/>
      <c r="OC513" s="1260"/>
      <c r="OD513" s="1260"/>
      <c r="OE513" s="1260"/>
      <c r="OF513" s="1260"/>
      <c r="OG513" s="1260"/>
      <c r="OH513" s="1260"/>
      <c r="OI513" s="1260"/>
      <c r="OJ513" s="1260"/>
      <c r="OK513" s="1260"/>
      <c r="OL513" s="1260"/>
      <c r="OM513" s="1260"/>
      <c r="ON513" s="1260"/>
      <c r="OO513" s="1260"/>
      <c r="OP513" s="1260"/>
      <c r="OQ513" s="1260"/>
      <c r="OR513" s="1260"/>
      <c r="OS513" s="1260"/>
      <c r="OT513" s="1260"/>
      <c r="OU513" s="1260"/>
      <c r="OV513" s="1260"/>
      <c r="OW513" s="1260"/>
      <c r="OX513" s="1260"/>
      <c r="OY513" s="1260"/>
      <c r="OZ513" s="1260"/>
      <c r="PA513" s="1260"/>
      <c r="PB513" s="1260"/>
      <c r="PC513" s="1260"/>
      <c r="PD513" s="1260"/>
      <c r="PE513" s="1260"/>
      <c r="PF513" s="1260"/>
      <c r="PG513" s="1260"/>
      <c r="PH513" s="1260"/>
      <c r="PI513" s="1260"/>
      <c r="PJ513" s="1260"/>
      <c r="PK513" s="1260"/>
      <c r="PL513" s="1260"/>
      <c r="PM513" s="1260"/>
      <c r="PN513" s="1260"/>
      <c r="PO513" s="1260"/>
      <c r="PP513" s="1260"/>
      <c r="PQ513" s="1260"/>
      <c r="PR513" s="1260"/>
      <c r="PS513" s="1260"/>
      <c r="PT513" s="1260"/>
      <c r="PU513" s="1260"/>
      <c r="PV513" s="1260"/>
      <c r="PW513" s="1260"/>
      <c r="PX513" s="1260"/>
      <c r="PY513" s="1260"/>
      <c r="PZ513" s="1260"/>
      <c r="QA513" s="1260"/>
      <c r="QB513" s="1260"/>
      <c r="QC513" s="1260"/>
      <c r="QD513" s="1260"/>
      <c r="QE513" s="1260"/>
      <c r="QF513" s="1260"/>
      <c r="QG513" s="1260"/>
      <c r="QH513" s="1260"/>
      <c r="QI513" s="1260"/>
      <c r="QJ513" s="1260"/>
      <c r="QK513" s="1260"/>
      <c r="QL513" s="1260"/>
      <c r="QM513" s="1260"/>
      <c r="QN513" s="1260"/>
      <c r="QO513" s="1260"/>
      <c r="QP513" s="1260"/>
      <c r="QQ513" s="1260"/>
      <c r="QR513" s="1260"/>
      <c r="QS513" s="1260"/>
      <c r="QT513" s="1260"/>
      <c r="QU513" s="1260"/>
      <c r="QV513" s="1260"/>
      <c r="QW513" s="1260"/>
      <c r="QX513" s="1260"/>
      <c r="QY513" s="1260"/>
      <c r="QZ513" s="1260"/>
      <c r="RA513" s="1260"/>
      <c r="RB513" s="1260"/>
      <c r="RC513" s="1260"/>
      <c r="RD513" s="1260"/>
      <c r="RE513" s="1260"/>
      <c r="RF513" s="1260"/>
      <c r="RG513" s="1260"/>
      <c r="RH513" s="1260"/>
      <c r="RI513" s="1260"/>
      <c r="RJ513" s="1260"/>
      <c r="RK513" s="1260"/>
      <c r="RL513" s="1260"/>
      <c r="RM513" s="1260"/>
      <c r="RN513" s="1260"/>
      <c r="RO513" s="1260"/>
      <c r="RP513" s="1260"/>
      <c r="RQ513" s="1260"/>
      <c r="RR513" s="1260"/>
      <c r="RS513" s="1260"/>
      <c r="RT513" s="1260"/>
      <c r="RU513" s="1260"/>
      <c r="RV513" s="1260"/>
      <c r="RW513" s="1260"/>
      <c r="RX513" s="1260"/>
      <c r="RY513" s="1260"/>
      <c r="RZ513" s="1260"/>
      <c r="SA513" s="1260"/>
      <c r="SB513" s="1260"/>
      <c r="SC513" s="1260"/>
      <c r="SD513" s="1260"/>
      <c r="SE513" s="1260"/>
      <c r="SF513" s="1260"/>
      <c r="SG513" s="1260"/>
      <c r="SH513" s="1260"/>
      <c r="SI513" s="1260"/>
      <c r="SJ513" s="1260"/>
      <c r="SK513" s="1260"/>
      <c r="SL513" s="1260"/>
      <c r="SM513" s="1260"/>
      <c r="SN513" s="1260"/>
      <c r="SO513" s="1260"/>
      <c r="SP513" s="1260"/>
      <c r="SQ513" s="1260"/>
      <c r="SR513" s="1260"/>
      <c r="SS513" s="1260"/>
      <c r="ST513" s="1260"/>
      <c r="SU513" s="1260"/>
      <c r="SV513" s="1260"/>
      <c r="SW513" s="1260"/>
      <c r="SX513" s="1260"/>
      <c r="SY513" s="1260"/>
      <c r="SZ513" s="1260"/>
      <c r="TA513" s="1260"/>
      <c r="TB513" s="1260"/>
      <c r="TC513" s="1260"/>
      <c r="TD513" s="1260"/>
      <c r="TE513" s="1260"/>
      <c r="TF513" s="1260"/>
      <c r="TG513" s="1260"/>
      <c r="TH513" s="1260"/>
      <c r="TI513" s="1260"/>
      <c r="TJ513" s="1260"/>
      <c r="TK513" s="1260"/>
      <c r="TL513" s="1260"/>
      <c r="TM513" s="1260"/>
      <c r="TN513" s="1260"/>
      <c r="TO513" s="1260"/>
      <c r="TP513" s="1260"/>
      <c r="TQ513" s="1260"/>
      <c r="TR513" s="1260"/>
      <c r="TS513" s="1260"/>
      <c r="TT513" s="1260"/>
      <c r="TU513" s="1260"/>
      <c r="TV513" s="1260"/>
      <c r="TW513" s="1260"/>
      <c r="TX513" s="1260"/>
      <c r="TY513" s="1260"/>
      <c r="TZ513" s="1260"/>
      <c r="UA513" s="1260"/>
      <c r="UB513" s="1260"/>
      <c r="UC513" s="1260"/>
      <c r="UD513" s="1260"/>
      <c r="UE513" s="1260"/>
      <c r="UF513" s="1260"/>
      <c r="UG513" s="1261"/>
    </row>
    <row r="514" spans="1:553" s="1262" customFormat="1" ht="30.75" customHeight="1">
      <c r="A514" s="356" t="s">
        <v>15</v>
      </c>
      <c r="B514" s="356"/>
      <c r="C514" s="1446" t="s">
        <v>377</v>
      </c>
      <c r="D514" s="1389"/>
      <c r="E514" s="1389"/>
      <c r="F514" s="1389"/>
      <c r="G514" s="1226" t="s">
        <v>196</v>
      </c>
      <c r="H514" s="586"/>
      <c r="I514" s="794">
        <f>(157.21*100/1100)*(12-(6-2))*2</f>
        <v>228.6690909090909</v>
      </c>
      <c r="J514" s="368">
        <v>15400</v>
      </c>
      <c r="K514" s="495">
        <v>0.7</v>
      </c>
      <c r="L514" s="480">
        <f>ROUND(PRODUCT(I514:K514),0)</f>
        <v>2465053</v>
      </c>
      <c r="M514" s="366"/>
      <c r="N514" s="366"/>
      <c r="O514" s="366"/>
      <c r="P514" s="366"/>
      <c r="Q514" s="1144"/>
      <c r="R514" s="1452"/>
      <c r="S514" s="308"/>
      <c r="T514" s="308"/>
      <c r="U514" s="308"/>
      <c r="V514" s="308"/>
      <c r="W514" s="308"/>
      <c r="X514" s="308"/>
      <c r="Y514" s="308"/>
      <c r="Z514" s="604"/>
      <c r="AA514" s="308"/>
      <c r="AB514" s="308"/>
      <c r="AC514" s="449"/>
      <c r="AD514" s="452"/>
      <c r="AE514" s="452"/>
      <c r="AF514" s="452"/>
      <c r="AG514" s="452"/>
      <c r="AH514" s="452"/>
      <c r="AI514" s="452"/>
      <c r="AJ514" s="452"/>
      <c r="AK514" s="452"/>
      <c r="AL514" s="1259"/>
      <c r="AM514" s="1260"/>
      <c r="AN514" s="1260"/>
      <c r="AO514" s="1260"/>
      <c r="AP514" s="1260"/>
      <c r="AQ514" s="1260"/>
      <c r="AR514" s="1260"/>
      <c r="AS514" s="1260"/>
      <c r="AT514" s="1260"/>
      <c r="AU514" s="1260"/>
      <c r="AV514" s="1260"/>
      <c r="AW514" s="1260"/>
      <c r="AX514" s="1260"/>
      <c r="AY514" s="1260"/>
      <c r="AZ514" s="1260"/>
      <c r="BA514" s="1260"/>
      <c r="BB514" s="1260"/>
      <c r="BC514" s="1260"/>
      <c r="BD514" s="1260"/>
      <c r="BE514" s="1260"/>
      <c r="BF514" s="1260"/>
      <c r="BG514" s="1260"/>
      <c r="BH514" s="1260"/>
      <c r="BI514" s="1260"/>
      <c r="BJ514" s="1260"/>
      <c r="BK514" s="1260"/>
      <c r="BL514" s="1260"/>
      <c r="BM514" s="1260"/>
      <c r="BN514" s="1260"/>
      <c r="BO514" s="1260"/>
      <c r="BP514" s="1260"/>
      <c r="BQ514" s="1260"/>
      <c r="BR514" s="1260"/>
      <c r="BS514" s="1260"/>
      <c r="BT514" s="1260"/>
      <c r="BU514" s="1260"/>
      <c r="BV514" s="1260"/>
      <c r="BW514" s="1260"/>
      <c r="BX514" s="1260"/>
      <c r="BY514" s="1260"/>
      <c r="BZ514" s="1260"/>
      <c r="CA514" s="1260"/>
      <c r="CB514" s="1260"/>
      <c r="CC514" s="1260"/>
      <c r="CD514" s="1260"/>
      <c r="CE514" s="1260"/>
      <c r="CF514" s="1260"/>
      <c r="CG514" s="1260"/>
      <c r="CH514" s="1260"/>
      <c r="CI514" s="1260"/>
      <c r="CJ514" s="1260"/>
      <c r="CK514" s="1260"/>
      <c r="CL514" s="1260"/>
      <c r="CM514" s="1260"/>
      <c r="CN514" s="1260"/>
      <c r="CO514" s="1260"/>
      <c r="CP514" s="1260"/>
      <c r="CQ514" s="1260"/>
      <c r="CR514" s="1260"/>
      <c r="CS514" s="1260"/>
      <c r="CT514" s="1260"/>
      <c r="CU514" s="1260"/>
      <c r="CV514" s="1260"/>
      <c r="CW514" s="1260"/>
      <c r="CX514" s="1260"/>
      <c r="CY514" s="1260"/>
      <c r="CZ514" s="1260"/>
      <c r="DA514" s="1260"/>
      <c r="DB514" s="1260"/>
      <c r="DC514" s="1260"/>
      <c r="DD514" s="1260"/>
      <c r="DE514" s="1260"/>
      <c r="DF514" s="1260"/>
      <c r="DG514" s="1260"/>
      <c r="DH514" s="1260"/>
      <c r="DI514" s="1260"/>
      <c r="DJ514" s="1260"/>
      <c r="DK514" s="1260"/>
      <c r="DL514" s="1260"/>
      <c r="DM514" s="1260"/>
      <c r="DN514" s="1260"/>
      <c r="DO514" s="1260"/>
      <c r="DP514" s="1260"/>
      <c r="DQ514" s="1260"/>
      <c r="DR514" s="1260"/>
      <c r="DS514" s="1260"/>
      <c r="DT514" s="1260"/>
      <c r="DU514" s="1260"/>
      <c r="DV514" s="1260"/>
      <c r="DW514" s="1260"/>
      <c r="DX514" s="1260"/>
      <c r="DY514" s="1260"/>
      <c r="DZ514" s="1260"/>
      <c r="EA514" s="1260"/>
      <c r="EB514" s="1260"/>
      <c r="EC514" s="1260"/>
      <c r="ED514" s="1260"/>
      <c r="EE514" s="1260"/>
      <c r="EF514" s="1260"/>
      <c r="EG514" s="1260"/>
      <c r="EH514" s="1260"/>
      <c r="EI514" s="1260"/>
      <c r="EJ514" s="1260"/>
      <c r="EK514" s="1260"/>
      <c r="EL514" s="1260"/>
      <c r="EM514" s="1260"/>
      <c r="EN514" s="1260"/>
      <c r="EO514" s="1260"/>
      <c r="EP514" s="1260"/>
      <c r="EQ514" s="1260"/>
      <c r="ER514" s="1260"/>
      <c r="ES514" s="1260"/>
      <c r="ET514" s="1260"/>
      <c r="EU514" s="1260"/>
      <c r="EV514" s="1260"/>
      <c r="EW514" s="1260"/>
      <c r="EX514" s="1260"/>
      <c r="EY514" s="1260"/>
      <c r="EZ514" s="1260"/>
      <c r="FA514" s="1260"/>
      <c r="FB514" s="1260"/>
      <c r="FC514" s="1260"/>
      <c r="FD514" s="1260"/>
      <c r="FE514" s="1260"/>
      <c r="FF514" s="1260"/>
      <c r="FG514" s="1260"/>
      <c r="FH514" s="1260"/>
      <c r="FI514" s="1260"/>
      <c r="FJ514" s="1260"/>
      <c r="FK514" s="1260"/>
      <c r="FL514" s="1260"/>
      <c r="FM514" s="1260"/>
      <c r="FN514" s="1260"/>
      <c r="FO514" s="1260"/>
      <c r="FP514" s="1260"/>
      <c r="FQ514" s="1260"/>
      <c r="FR514" s="1260"/>
      <c r="FS514" s="1260"/>
      <c r="FT514" s="1260"/>
      <c r="FU514" s="1260"/>
      <c r="FV514" s="1260"/>
      <c r="FW514" s="1260"/>
      <c r="FX514" s="1260"/>
      <c r="FY514" s="1260"/>
      <c r="FZ514" s="1260"/>
      <c r="GA514" s="1260"/>
      <c r="GB514" s="1260"/>
      <c r="GC514" s="1260"/>
      <c r="GD514" s="1260"/>
      <c r="GE514" s="1260"/>
      <c r="GF514" s="1260"/>
      <c r="GG514" s="1260"/>
      <c r="GH514" s="1260"/>
      <c r="GI514" s="1260"/>
      <c r="GJ514" s="1260"/>
      <c r="GK514" s="1260"/>
      <c r="GL514" s="1260"/>
      <c r="GM514" s="1260"/>
      <c r="GN514" s="1260"/>
      <c r="GO514" s="1260"/>
      <c r="GP514" s="1260"/>
      <c r="GQ514" s="1260"/>
      <c r="GR514" s="1260"/>
      <c r="GS514" s="1260"/>
      <c r="GT514" s="1260"/>
      <c r="GU514" s="1260"/>
      <c r="GV514" s="1260"/>
      <c r="GW514" s="1260"/>
      <c r="GX514" s="1260"/>
      <c r="GY514" s="1260"/>
      <c r="GZ514" s="1260"/>
      <c r="HA514" s="1260"/>
      <c r="HB514" s="1260"/>
      <c r="HC514" s="1260"/>
      <c r="HD514" s="1260"/>
      <c r="HE514" s="1260"/>
      <c r="HF514" s="1260"/>
      <c r="HG514" s="1260"/>
      <c r="HH514" s="1260"/>
      <c r="HI514" s="1260"/>
      <c r="HJ514" s="1260"/>
      <c r="HK514" s="1260"/>
      <c r="HL514" s="1260"/>
      <c r="HM514" s="1260"/>
      <c r="HN514" s="1260"/>
      <c r="HO514" s="1260"/>
      <c r="HP514" s="1260"/>
      <c r="HQ514" s="1260"/>
      <c r="HR514" s="1260"/>
      <c r="HS514" s="1260"/>
      <c r="HT514" s="1260"/>
      <c r="HU514" s="1260"/>
      <c r="HV514" s="1260"/>
      <c r="HW514" s="1260"/>
      <c r="HX514" s="1260"/>
      <c r="HY514" s="1260"/>
      <c r="HZ514" s="1260"/>
      <c r="IA514" s="1260"/>
      <c r="IB514" s="1260"/>
      <c r="IC514" s="1260"/>
      <c r="ID514" s="1260"/>
      <c r="IE514" s="1260"/>
      <c r="IF514" s="1260"/>
      <c r="IG514" s="1260"/>
      <c r="IH514" s="1260"/>
      <c r="II514" s="1260"/>
      <c r="IJ514" s="1260"/>
      <c r="IK514" s="1260"/>
      <c r="IL514" s="1260"/>
      <c r="IM514" s="1260"/>
      <c r="IN514" s="1260"/>
      <c r="IO514" s="1260"/>
      <c r="IP514" s="1260"/>
      <c r="IQ514" s="1260"/>
      <c r="IR514" s="1260"/>
      <c r="IS514" s="1260"/>
      <c r="IT514" s="1260"/>
      <c r="IU514" s="1260"/>
      <c r="IV514" s="1260"/>
      <c r="IW514" s="1260"/>
      <c r="IX514" s="1260"/>
      <c r="IY514" s="1260"/>
      <c r="IZ514" s="1260"/>
      <c r="JA514" s="1260"/>
      <c r="JB514" s="1260"/>
      <c r="JC514" s="1260"/>
      <c r="JD514" s="1260"/>
      <c r="JE514" s="1260"/>
      <c r="JF514" s="1260"/>
      <c r="JG514" s="1260"/>
      <c r="JH514" s="1260"/>
      <c r="JI514" s="1260"/>
      <c r="JJ514" s="1260"/>
      <c r="JK514" s="1260"/>
      <c r="JL514" s="1260"/>
      <c r="JM514" s="1260"/>
      <c r="JN514" s="1260"/>
      <c r="JO514" s="1260"/>
      <c r="JP514" s="1260"/>
      <c r="JQ514" s="1260"/>
      <c r="JR514" s="1260"/>
      <c r="JS514" s="1260"/>
      <c r="JT514" s="1260"/>
      <c r="JU514" s="1260"/>
      <c r="JV514" s="1260"/>
      <c r="JW514" s="1260"/>
      <c r="JX514" s="1260"/>
      <c r="JY514" s="1260"/>
      <c r="JZ514" s="1260"/>
      <c r="KA514" s="1260"/>
      <c r="KB514" s="1260"/>
      <c r="KC514" s="1260"/>
      <c r="KD514" s="1260"/>
      <c r="KE514" s="1260"/>
      <c r="KF514" s="1260"/>
      <c r="KG514" s="1260"/>
      <c r="KH514" s="1260"/>
      <c r="KI514" s="1260"/>
      <c r="KJ514" s="1260"/>
      <c r="KK514" s="1260"/>
      <c r="KL514" s="1260"/>
      <c r="KM514" s="1260"/>
      <c r="KN514" s="1260"/>
      <c r="KO514" s="1260"/>
      <c r="KP514" s="1260"/>
      <c r="KQ514" s="1260"/>
      <c r="KR514" s="1260"/>
      <c r="KS514" s="1260"/>
      <c r="KT514" s="1260"/>
      <c r="KU514" s="1260"/>
      <c r="KV514" s="1260"/>
      <c r="KW514" s="1260"/>
      <c r="KX514" s="1260"/>
      <c r="KY514" s="1260"/>
      <c r="KZ514" s="1260"/>
      <c r="LA514" s="1260"/>
      <c r="LB514" s="1260"/>
      <c r="LC514" s="1260"/>
      <c r="LD514" s="1260"/>
      <c r="LE514" s="1260"/>
      <c r="LF514" s="1260"/>
      <c r="LG514" s="1260"/>
      <c r="LH514" s="1260"/>
      <c r="LI514" s="1260"/>
      <c r="LJ514" s="1260"/>
      <c r="LK514" s="1260"/>
      <c r="LL514" s="1260"/>
      <c r="LM514" s="1260"/>
      <c r="LN514" s="1260"/>
      <c r="LO514" s="1260"/>
      <c r="LP514" s="1260"/>
      <c r="LQ514" s="1260"/>
      <c r="LR514" s="1260"/>
      <c r="LS514" s="1260"/>
      <c r="LT514" s="1260"/>
      <c r="LU514" s="1260"/>
      <c r="LV514" s="1260"/>
      <c r="LW514" s="1260"/>
      <c r="LX514" s="1260"/>
      <c r="LY514" s="1260"/>
      <c r="LZ514" s="1260"/>
      <c r="MA514" s="1260"/>
      <c r="MB514" s="1260"/>
      <c r="MC514" s="1260"/>
      <c r="MD514" s="1260"/>
      <c r="ME514" s="1260"/>
      <c r="MF514" s="1260"/>
      <c r="MG514" s="1260"/>
      <c r="MH514" s="1260"/>
      <c r="MI514" s="1260"/>
      <c r="MJ514" s="1260"/>
      <c r="MK514" s="1260"/>
      <c r="ML514" s="1260"/>
      <c r="MM514" s="1260"/>
      <c r="MN514" s="1260"/>
      <c r="MO514" s="1260"/>
      <c r="MP514" s="1260"/>
      <c r="MQ514" s="1260"/>
      <c r="MR514" s="1260"/>
      <c r="MS514" s="1260"/>
      <c r="MT514" s="1260"/>
      <c r="MU514" s="1260"/>
      <c r="MV514" s="1260"/>
      <c r="MW514" s="1260"/>
      <c r="MX514" s="1260"/>
      <c r="MY514" s="1260"/>
      <c r="MZ514" s="1260"/>
      <c r="NA514" s="1260"/>
      <c r="NB514" s="1260"/>
      <c r="NC514" s="1260"/>
      <c r="ND514" s="1260"/>
      <c r="NE514" s="1260"/>
      <c r="NF514" s="1260"/>
      <c r="NG514" s="1260"/>
      <c r="NH514" s="1260"/>
      <c r="NI514" s="1260"/>
      <c r="NJ514" s="1260"/>
      <c r="NK514" s="1260"/>
      <c r="NL514" s="1260"/>
      <c r="NM514" s="1260"/>
      <c r="NN514" s="1260"/>
      <c r="NO514" s="1260"/>
      <c r="NP514" s="1260"/>
      <c r="NQ514" s="1260"/>
      <c r="NR514" s="1260"/>
      <c r="NS514" s="1260"/>
      <c r="NT514" s="1260"/>
      <c r="NU514" s="1260"/>
      <c r="NV514" s="1260"/>
      <c r="NW514" s="1260"/>
      <c r="NX514" s="1260"/>
      <c r="NY514" s="1260"/>
      <c r="NZ514" s="1260"/>
      <c r="OA514" s="1260"/>
      <c r="OB514" s="1260"/>
      <c r="OC514" s="1260"/>
      <c r="OD514" s="1260"/>
      <c r="OE514" s="1260"/>
      <c r="OF514" s="1260"/>
      <c r="OG514" s="1260"/>
      <c r="OH514" s="1260"/>
      <c r="OI514" s="1260"/>
      <c r="OJ514" s="1260"/>
      <c r="OK514" s="1260"/>
      <c r="OL514" s="1260"/>
      <c r="OM514" s="1260"/>
      <c r="ON514" s="1260"/>
      <c r="OO514" s="1260"/>
      <c r="OP514" s="1260"/>
      <c r="OQ514" s="1260"/>
      <c r="OR514" s="1260"/>
      <c r="OS514" s="1260"/>
      <c r="OT514" s="1260"/>
      <c r="OU514" s="1260"/>
      <c r="OV514" s="1260"/>
      <c r="OW514" s="1260"/>
      <c r="OX514" s="1260"/>
      <c r="OY514" s="1260"/>
      <c r="OZ514" s="1260"/>
      <c r="PA514" s="1260"/>
      <c r="PB514" s="1260"/>
      <c r="PC514" s="1260"/>
      <c r="PD514" s="1260"/>
      <c r="PE514" s="1260"/>
      <c r="PF514" s="1260"/>
      <c r="PG514" s="1260"/>
      <c r="PH514" s="1260"/>
      <c r="PI514" s="1260"/>
      <c r="PJ514" s="1260"/>
      <c r="PK514" s="1260"/>
      <c r="PL514" s="1260"/>
      <c r="PM514" s="1260"/>
      <c r="PN514" s="1260"/>
      <c r="PO514" s="1260"/>
      <c r="PP514" s="1260"/>
      <c r="PQ514" s="1260"/>
      <c r="PR514" s="1260"/>
      <c r="PS514" s="1260"/>
      <c r="PT514" s="1260"/>
      <c r="PU514" s="1260"/>
      <c r="PV514" s="1260"/>
      <c r="PW514" s="1260"/>
      <c r="PX514" s="1260"/>
      <c r="PY514" s="1260"/>
      <c r="PZ514" s="1260"/>
      <c r="QA514" s="1260"/>
      <c r="QB514" s="1260"/>
      <c r="QC514" s="1260"/>
      <c r="QD514" s="1260"/>
      <c r="QE514" s="1260"/>
      <c r="QF514" s="1260"/>
      <c r="QG514" s="1260"/>
      <c r="QH514" s="1260"/>
      <c r="QI514" s="1260"/>
      <c r="QJ514" s="1260"/>
      <c r="QK514" s="1260"/>
      <c r="QL514" s="1260"/>
      <c r="QM514" s="1260"/>
      <c r="QN514" s="1260"/>
      <c r="QO514" s="1260"/>
      <c r="QP514" s="1260"/>
      <c r="QQ514" s="1260"/>
      <c r="QR514" s="1260"/>
      <c r="QS514" s="1260"/>
      <c r="QT514" s="1260"/>
      <c r="QU514" s="1260"/>
      <c r="QV514" s="1260"/>
      <c r="QW514" s="1260"/>
      <c r="QX514" s="1260"/>
      <c r="QY514" s="1260"/>
      <c r="QZ514" s="1260"/>
      <c r="RA514" s="1260"/>
      <c r="RB514" s="1260"/>
      <c r="RC514" s="1260"/>
      <c r="RD514" s="1260"/>
      <c r="RE514" s="1260"/>
      <c r="RF514" s="1260"/>
      <c r="RG514" s="1260"/>
      <c r="RH514" s="1260"/>
      <c r="RI514" s="1260"/>
      <c r="RJ514" s="1260"/>
      <c r="RK514" s="1260"/>
      <c r="RL514" s="1260"/>
      <c r="RM514" s="1260"/>
      <c r="RN514" s="1260"/>
      <c r="RO514" s="1260"/>
      <c r="RP514" s="1260"/>
      <c r="RQ514" s="1260"/>
      <c r="RR514" s="1260"/>
      <c r="RS514" s="1260"/>
      <c r="RT514" s="1260"/>
      <c r="RU514" s="1260"/>
      <c r="RV514" s="1260"/>
      <c r="RW514" s="1260"/>
      <c r="RX514" s="1260"/>
      <c r="RY514" s="1260"/>
      <c r="RZ514" s="1260"/>
      <c r="SA514" s="1260"/>
      <c r="SB514" s="1260"/>
      <c r="SC514" s="1260"/>
      <c r="SD514" s="1260"/>
      <c r="SE514" s="1260"/>
      <c r="SF514" s="1260"/>
      <c r="SG514" s="1260"/>
      <c r="SH514" s="1260"/>
      <c r="SI514" s="1260"/>
      <c r="SJ514" s="1260"/>
      <c r="SK514" s="1260"/>
      <c r="SL514" s="1260"/>
      <c r="SM514" s="1260"/>
      <c r="SN514" s="1260"/>
      <c r="SO514" s="1260"/>
      <c r="SP514" s="1260"/>
      <c r="SQ514" s="1260"/>
      <c r="SR514" s="1260"/>
      <c r="SS514" s="1260"/>
      <c r="ST514" s="1260"/>
      <c r="SU514" s="1260"/>
      <c r="SV514" s="1260"/>
      <c r="SW514" s="1260"/>
      <c r="SX514" s="1260"/>
      <c r="SY514" s="1260"/>
      <c r="SZ514" s="1260"/>
      <c r="TA514" s="1260"/>
      <c r="TB514" s="1260"/>
      <c r="TC514" s="1260"/>
      <c r="TD514" s="1260"/>
      <c r="TE514" s="1260"/>
      <c r="TF514" s="1260"/>
      <c r="TG514" s="1260"/>
      <c r="TH514" s="1260"/>
      <c r="TI514" s="1260"/>
      <c r="TJ514" s="1260"/>
      <c r="TK514" s="1260"/>
      <c r="TL514" s="1260"/>
      <c r="TM514" s="1260"/>
      <c r="TN514" s="1260"/>
      <c r="TO514" s="1260"/>
      <c r="TP514" s="1260"/>
      <c r="TQ514" s="1260"/>
      <c r="TR514" s="1260"/>
      <c r="TS514" s="1260"/>
      <c r="TT514" s="1260"/>
      <c r="TU514" s="1260"/>
      <c r="TV514" s="1260"/>
      <c r="TW514" s="1260"/>
      <c r="TX514" s="1260"/>
      <c r="TY514" s="1260"/>
      <c r="TZ514" s="1260"/>
      <c r="UA514" s="1260"/>
      <c r="UB514" s="1260"/>
      <c r="UC514" s="1260"/>
      <c r="UD514" s="1260"/>
      <c r="UE514" s="1260"/>
      <c r="UF514" s="1260"/>
      <c r="UG514" s="1261"/>
    </row>
    <row r="515" spans="1:553" s="1262" customFormat="1" ht="30.75" customHeight="1">
      <c r="A515" s="366" t="s">
        <v>15</v>
      </c>
      <c r="B515" s="366"/>
      <c r="C515" s="1446" t="s">
        <v>378</v>
      </c>
      <c r="D515" s="1389"/>
      <c r="E515" s="1389"/>
      <c r="F515" s="1389"/>
      <c r="G515" s="1226" t="s">
        <v>196</v>
      </c>
      <c r="H515" s="586"/>
      <c r="I515" s="422">
        <f>(45.69*100/625)*(12-(5-3))*2</f>
        <v>146.208</v>
      </c>
      <c r="J515" s="368">
        <v>10700</v>
      </c>
      <c r="K515" s="495">
        <v>0.7</v>
      </c>
      <c r="L515" s="480">
        <f t="shared" si="95"/>
        <v>1095098</v>
      </c>
      <c r="M515" s="366"/>
      <c r="N515" s="366"/>
      <c r="O515" s="366"/>
      <c r="P515" s="366"/>
      <c r="Q515" s="1144"/>
      <c r="R515" s="1452"/>
      <c r="S515" s="308"/>
      <c r="T515" s="308"/>
      <c r="U515" s="308"/>
      <c r="V515" s="308"/>
      <c r="W515" s="308"/>
      <c r="X515" s="308"/>
      <c r="Y515" s="308"/>
      <c r="Z515" s="604"/>
      <c r="AA515" s="308"/>
      <c r="AB515" s="308"/>
      <c r="AC515" s="449"/>
      <c r="AD515" s="452"/>
      <c r="AE515" s="452"/>
      <c r="AF515" s="452"/>
      <c r="AG515" s="452"/>
      <c r="AH515" s="452"/>
      <c r="AI515" s="452"/>
      <c r="AJ515" s="452"/>
      <c r="AK515" s="452"/>
      <c r="AL515" s="1259"/>
      <c r="AM515" s="1260"/>
      <c r="AN515" s="1260"/>
      <c r="AO515" s="1260"/>
      <c r="AP515" s="1260"/>
      <c r="AQ515" s="1260"/>
      <c r="AR515" s="1260"/>
      <c r="AS515" s="1260"/>
      <c r="AT515" s="1260"/>
      <c r="AU515" s="1260"/>
      <c r="AV515" s="1260"/>
      <c r="AW515" s="1260"/>
      <c r="AX515" s="1260"/>
      <c r="AY515" s="1260"/>
      <c r="AZ515" s="1260"/>
      <c r="BA515" s="1260"/>
      <c r="BB515" s="1260"/>
      <c r="BC515" s="1260"/>
      <c r="BD515" s="1260"/>
      <c r="BE515" s="1260"/>
      <c r="BF515" s="1260"/>
      <c r="BG515" s="1260"/>
      <c r="BH515" s="1260"/>
      <c r="BI515" s="1260"/>
      <c r="BJ515" s="1260"/>
      <c r="BK515" s="1260"/>
      <c r="BL515" s="1260"/>
      <c r="BM515" s="1260"/>
      <c r="BN515" s="1260"/>
      <c r="BO515" s="1260"/>
      <c r="BP515" s="1260"/>
      <c r="BQ515" s="1260"/>
      <c r="BR515" s="1260"/>
      <c r="BS515" s="1260"/>
      <c r="BT515" s="1260"/>
      <c r="BU515" s="1260"/>
      <c r="BV515" s="1260"/>
      <c r="BW515" s="1260"/>
      <c r="BX515" s="1260"/>
      <c r="BY515" s="1260"/>
      <c r="BZ515" s="1260"/>
      <c r="CA515" s="1260"/>
      <c r="CB515" s="1260"/>
      <c r="CC515" s="1260"/>
      <c r="CD515" s="1260"/>
      <c r="CE515" s="1260"/>
      <c r="CF515" s="1260"/>
      <c r="CG515" s="1260"/>
      <c r="CH515" s="1260"/>
      <c r="CI515" s="1260"/>
      <c r="CJ515" s="1260"/>
      <c r="CK515" s="1260"/>
      <c r="CL515" s="1260"/>
      <c r="CM515" s="1260"/>
      <c r="CN515" s="1260"/>
      <c r="CO515" s="1260"/>
      <c r="CP515" s="1260"/>
      <c r="CQ515" s="1260"/>
      <c r="CR515" s="1260"/>
      <c r="CS515" s="1260"/>
      <c r="CT515" s="1260"/>
      <c r="CU515" s="1260"/>
      <c r="CV515" s="1260"/>
      <c r="CW515" s="1260"/>
      <c r="CX515" s="1260"/>
      <c r="CY515" s="1260"/>
      <c r="CZ515" s="1260"/>
      <c r="DA515" s="1260"/>
      <c r="DB515" s="1260"/>
      <c r="DC515" s="1260"/>
      <c r="DD515" s="1260"/>
      <c r="DE515" s="1260"/>
      <c r="DF515" s="1260"/>
      <c r="DG515" s="1260"/>
      <c r="DH515" s="1260"/>
      <c r="DI515" s="1260"/>
      <c r="DJ515" s="1260"/>
      <c r="DK515" s="1260"/>
      <c r="DL515" s="1260"/>
      <c r="DM515" s="1260"/>
      <c r="DN515" s="1260"/>
      <c r="DO515" s="1260"/>
      <c r="DP515" s="1260"/>
      <c r="DQ515" s="1260"/>
      <c r="DR515" s="1260"/>
      <c r="DS515" s="1260"/>
      <c r="DT515" s="1260"/>
      <c r="DU515" s="1260"/>
      <c r="DV515" s="1260"/>
      <c r="DW515" s="1260"/>
      <c r="DX515" s="1260"/>
      <c r="DY515" s="1260"/>
      <c r="DZ515" s="1260"/>
      <c r="EA515" s="1260"/>
      <c r="EB515" s="1260"/>
      <c r="EC515" s="1260"/>
      <c r="ED515" s="1260"/>
      <c r="EE515" s="1260"/>
      <c r="EF515" s="1260"/>
      <c r="EG515" s="1260"/>
      <c r="EH515" s="1260"/>
      <c r="EI515" s="1260"/>
      <c r="EJ515" s="1260"/>
      <c r="EK515" s="1260"/>
      <c r="EL515" s="1260"/>
      <c r="EM515" s="1260"/>
      <c r="EN515" s="1260"/>
      <c r="EO515" s="1260"/>
      <c r="EP515" s="1260"/>
      <c r="EQ515" s="1260"/>
      <c r="ER515" s="1260"/>
      <c r="ES515" s="1260"/>
      <c r="ET515" s="1260"/>
      <c r="EU515" s="1260"/>
      <c r="EV515" s="1260"/>
      <c r="EW515" s="1260"/>
      <c r="EX515" s="1260"/>
      <c r="EY515" s="1260"/>
      <c r="EZ515" s="1260"/>
      <c r="FA515" s="1260"/>
      <c r="FB515" s="1260"/>
      <c r="FC515" s="1260"/>
      <c r="FD515" s="1260"/>
      <c r="FE515" s="1260"/>
      <c r="FF515" s="1260"/>
      <c r="FG515" s="1260"/>
      <c r="FH515" s="1260"/>
      <c r="FI515" s="1260"/>
      <c r="FJ515" s="1260"/>
      <c r="FK515" s="1260"/>
      <c r="FL515" s="1260"/>
      <c r="FM515" s="1260"/>
      <c r="FN515" s="1260"/>
      <c r="FO515" s="1260"/>
      <c r="FP515" s="1260"/>
      <c r="FQ515" s="1260"/>
      <c r="FR515" s="1260"/>
      <c r="FS515" s="1260"/>
      <c r="FT515" s="1260"/>
      <c r="FU515" s="1260"/>
      <c r="FV515" s="1260"/>
      <c r="FW515" s="1260"/>
      <c r="FX515" s="1260"/>
      <c r="FY515" s="1260"/>
      <c r="FZ515" s="1260"/>
      <c r="GA515" s="1260"/>
      <c r="GB515" s="1260"/>
      <c r="GC515" s="1260"/>
      <c r="GD515" s="1260"/>
      <c r="GE515" s="1260"/>
      <c r="GF515" s="1260"/>
      <c r="GG515" s="1260"/>
      <c r="GH515" s="1260"/>
      <c r="GI515" s="1260"/>
      <c r="GJ515" s="1260"/>
      <c r="GK515" s="1260"/>
      <c r="GL515" s="1260"/>
      <c r="GM515" s="1260"/>
      <c r="GN515" s="1260"/>
      <c r="GO515" s="1260"/>
      <c r="GP515" s="1260"/>
      <c r="GQ515" s="1260"/>
      <c r="GR515" s="1260"/>
      <c r="GS515" s="1260"/>
      <c r="GT515" s="1260"/>
      <c r="GU515" s="1260"/>
      <c r="GV515" s="1260"/>
      <c r="GW515" s="1260"/>
      <c r="GX515" s="1260"/>
      <c r="GY515" s="1260"/>
      <c r="GZ515" s="1260"/>
      <c r="HA515" s="1260"/>
      <c r="HB515" s="1260"/>
      <c r="HC515" s="1260"/>
      <c r="HD515" s="1260"/>
      <c r="HE515" s="1260"/>
      <c r="HF515" s="1260"/>
      <c r="HG515" s="1260"/>
      <c r="HH515" s="1260"/>
      <c r="HI515" s="1260"/>
      <c r="HJ515" s="1260"/>
      <c r="HK515" s="1260"/>
      <c r="HL515" s="1260"/>
      <c r="HM515" s="1260"/>
      <c r="HN515" s="1260"/>
      <c r="HO515" s="1260"/>
      <c r="HP515" s="1260"/>
      <c r="HQ515" s="1260"/>
      <c r="HR515" s="1260"/>
      <c r="HS515" s="1260"/>
      <c r="HT515" s="1260"/>
      <c r="HU515" s="1260"/>
      <c r="HV515" s="1260"/>
      <c r="HW515" s="1260"/>
      <c r="HX515" s="1260"/>
      <c r="HY515" s="1260"/>
      <c r="HZ515" s="1260"/>
      <c r="IA515" s="1260"/>
      <c r="IB515" s="1260"/>
      <c r="IC515" s="1260"/>
      <c r="ID515" s="1260"/>
      <c r="IE515" s="1260"/>
      <c r="IF515" s="1260"/>
      <c r="IG515" s="1260"/>
      <c r="IH515" s="1260"/>
      <c r="II515" s="1260"/>
      <c r="IJ515" s="1260"/>
      <c r="IK515" s="1260"/>
      <c r="IL515" s="1260"/>
      <c r="IM515" s="1260"/>
      <c r="IN515" s="1260"/>
      <c r="IO515" s="1260"/>
      <c r="IP515" s="1260"/>
      <c r="IQ515" s="1260"/>
      <c r="IR515" s="1260"/>
      <c r="IS515" s="1260"/>
      <c r="IT515" s="1260"/>
      <c r="IU515" s="1260"/>
      <c r="IV515" s="1260"/>
      <c r="IW515" s="1260"/>
      <c r="IX515" s="1260"/>
      <c r="IY515" s="1260"/>
      <c r="IZ515" s="1260"/>
      <c r="JA515" s="1260"/>
      <c r="JB515" s="1260"/>
      <c r="JC515" s="1260"/>
      <c r="JD515" s="1260"/>
      <c r="JE515" s="1260"/>
      <c r="JF515" s="1260"/>
      <c r="JG515" s="1260"/>
      <c r="JH515" s="1260"/>
      <c r="JI515" s="1260"/>
      <c r="JJ515" s="1260"/>
      <c r="JK515" s="1260"/>
      <c r="JL515" s="1260"/>
      <c r="JM515" s="1260"/>
      <c r="JN515" s="1260"/>
      <c r="JO515" s="1260"/>
      <c r="JP515" s="1260"/>
      <c r="JQ515" s="1260"/>
      <c r="JR515" s="1260"/>
      <c r="JS515" s="1260"/>
      <c r="JT515" s="1260"/>
      <c r="JU515" s="1260"/>
      <c r="JV515" s="1260"/>
      <c r="JW515" s="1260"/>
      <c r="JX515" s="1260"/>
      <c r="JY515" s="1260"/>
      <c r="JZ515" s="1260"/>
      <c r="KA515" s="1260"/>
      <c r="KB515" s="1260"/>
      <c r="KC515" s="1260"/>
      <c r="KD515" s="1260"/>
      <c r="KE515" s="1260"/>
      <c r="KF515" s="1260"/>
      <c r="KG515" s="1260"/>
      <c r="KH515" s="1260"/>
      <c r="KI515" s="1260"/>
      <c r="KJ515" s="1260"/>
      <c r="KK515" s="1260"/>
      <c r="KL515" s="1260"/>
      <c r="KM515" s="1260"/>
      <c r="KN515" s="1260"/>
      <c r="KO515" s="1260"/>
      <c r="KP515" s="1260"/>
      <c r="KQ515" s="1260"/>
      <c r="KR515" s="1260"/>
      <c r="KS515" s="1260"/>
      <c r="KT515" s="1260"/>
      <c r="KU515" s="1260"/>
      <c r="KV515" s="1260"/>
      <c r="KW515" s="1260"/>
      <c r="KX515" s="1260"/>
      <c r="KY515" s="1260"/>
      <c r="KZ515" s="1260"/>
      <c r="LA515" s="1260"/>
      <c r="LB515" s="1260"/>
      <c r="LC515" s="1260"/>
      <c r="LD515" s="1260"/>
      <c r="LE515" s="1260"/>
      <c r="LF515" s="1260"/>
      <c r="LG515" s="1260"/>
      <c r="LH515" s="1260"/>
      <c r="LI515" s="1260"/>
      <c r="LJ515" s="1260"/>
      <c r="LK515" s="1260"/>
      <c r="LL515" s="1260"/>
      <c r="LM515" s="1260"/>
      <c r="LN515" s="1260"/>
      <c r="LO515" s="1260"/>
      <c r="LP515" s="1260"/>
      <c r="LQ515" s="1260"/>
      <c r="LR515" s="1260"/>
      <c r="LS515" s="1260"/>
      <c r="LT515" s="1260"/>
      <c r="LU515" s="1260"/>
      <c r="LV515" s="1260"/>
      <c r="LW515" s="1260"/>
      <c r="LX515" s="1260"/>
      <c r="LY515" s="1260"/>
      <c r="LZ515" s="1260"/>
      <c r="MA515" s="1260"/>
      <c r="MB515" s="1260"/>
      <c r="MC515" s="1260"/>
      <c r="MD515" s="1260"/>
      <c r="ME515" s="1260"/>
      <c r="MF515" s="1260"/>
      <c r="MG515" s="1260"/>
      <c r="MH515" s="1260"/>
      <c r="MI515" s="1260"/>
      <c r="MJ515" s="1260"/>
      <c r="MK515" s="1260"/>
      <c r="ML515" s="1260"/>
      <c r="MM515" s="1260"/>
      <c r="MN515" s="1260"/>
      <c r="MO515" s="1260"/>
      <c r="MP515" s="1260"/>
      <c r="MQ515" s="1260"/>
      <c r="MR515" s="1260"/>
      <c r="MS515" s="1260"/>
      <c r="MT515" s="1260"/>
      <c r="MU515" s="1260"/>
      <c r="MV515" s="1260"/>
      <c r="MW515" s="1260"/>
      <c r="MX515" s="1260"/>
      <c r="MY515" s="1260"/>
      <c r="MZ515" s="1260"/>
      <c r="NA515" s="1260"/>
      <c r="NB515" s="1260"/>
      <c r="NC515" s="1260"/>
      <c r="ND515" s="1260"/>
      <c r="NE515" s="1260"/>
      <c r="NF515" s="1260"/>
      <c r="NG515" s="1260"/>
      <c r="NH515" s="1260"/>
      <c r="NI515" s="1260"/>
      <c r="NJ515" s="1260"/>
      <c r="NK515" s="1260"/>
      <c r="NL515" s="1260"/>
      <c r="NM515" s="1260"/>
      <c r="NN515" s="1260"/>
      <c r="NO515" s="1260"/>
      <c r="NP515" s="1260"/>
      <c r="NQ515" s="1260"/>
      <c r="NR515" s="1260"/>
      <c r="NS515" s="1260"/>
      <c r="NT515" s="1260"/>
      <c r="NU515" s="1260"/>
      <c r="NV515" s="1260"/>
      <c r="NW515" s="1260"/>
      <c r="NX515" s="1260"/>
      <c r="NY515" s="1260"/>
      <c r="NZ515" s="1260"/>
      <c r="OA515" s="1260"/>
      <c r="OB515" s="1260"/>
      <c r="OC515" s="1260"/>
      <c r="OD515" s="1260"/>
      <c r="OE515" s="1260"/>
      <c r="OF515" s="1260"/>
      <c r="OG515" s="1260"/>
      <c r="OH515" s="1260"/>
      <c r="OI515" s="1260"/>
      <c r="OJ515" s="1260"/>
      <c r="OK515" s="1260"/>
      <c r="OL515" s="1260"/>
      <c r="OM515" s="1260"/>
      <c r="ON515" s="1260"/>
      <c r="OO515" s="1260"/>
      <c r="OP515" s="1260"/>
      <c r="OQ515" s="1260"/>
      <c r="OR515" s="1260"/>
      <c r="OS515" s="1260"/>
      <c r="OT515" s="1260"/>
      <c r="OU515" s="1260"/>
      <c r="OV515" s="1260"/>
      <c r="OW515" s="1260"/>
      <c r="OX515" s="1260"/>
      <c r="OY515" s="1260"/>
      <c r="OZ515" s="1260"/>
      <c r="PA515" s="1260"/>
      <c r="PB515" s="1260"/>
      <c r="PC515" s="1260"/>
      <c r="PD515" s="1260"/>
      <c r="PE515" s="1260"/>
      <c r="PF515" s="1260"/>
      <c r="PG515" s="1260"/>
      <c r="PH515" s="1260"/>
      <c r="PI515" s="1260"/>
      <c r="PJ515" s="1260"/>
      <c r="PK515" s="1260"/>
      <c r="PL515" s="1260"/>
      <c r="PM515" s="1260"/>
      <c r="PN515" s="1260"/>
      <c r="PO515" s="1260"/>
      <c r="PP515" s="1260"/>
      <c r="PQ515" s="1260"/>
      <c r="PR515" s="1260"/>
      <c r="PS515" s="1260"/>
      <c r="PT515" s="1260"/>
      <c r="PU515" s="1260"/>
      <c r="PV515" s="1260"/>
      <c r="PW515" s="1260"/>
      <c r="PX515" s="1260"/>
      <c r="PY515" s="1260"/>
      <c r="PZ515" s="1260"/>
      <c r="QA515" s="1260"/>
      <c r="QB515" s="1260"/>
      <c r="QC515" s="1260"/>
      <c r="QD515" s="1260"/>
      <c r="QE515" s="1260"/>
      <c r="QF515" s="1260"/>
      <c r="QG515" s="1260"/>
      <c r="QH515" s="1260"/>
      <c r="QI515" s="1260"/>
      <c r="QJ515" s="1260"/>
      <c r="QK515" s="1260"/>
      <c r="QL515" s="1260"/>
      <c r="QM515" s="1260"/>
      <c r="QN515" s="1260"/>
      <c r="QO515" s="1260"/>
      <c r="QP515" s="1260"/>
      <c r="QQ515" s="1260"/>
      <c r="QR515" s="1260"/>
      <c r="QS515" s="1260"/>
      <c r="QT515" s="1260"/>
      <c r="QU515" s="1260"/>
      <c r="QV515" s="1260"/>
      <c r="QW515" s="1260"/>
      <c r="QX515" s="1260"/>
      <c r="QY515" s="1260"/>
      <c r="QZ515" s="1260"/>
      <c r="RA515" s="1260"/>
      <c r="RB515" s="1260"/>
      <c r="RC515" s="1260"/>
      <c r="RD515" s="1260"/>
      <c r="RE515" s="1260"/>
      <c r="RF515" s="1260"/>
      <c r="RG515" s="1260"/>
      <c r="RH515" s="1260"/>
      <c r="RI515" s="1260"/>
      <c r="RJ515" s="1260"/>
      <c r="RK515" s="1260"/>
      <c r="RL515" s="1260"/>
      <c r="RM515" s="1260"/>
      <c r="RN515" s="1260"/>
      <c r="RO515" s="1260"/>
      <c r="RP515" s="1260"/>
      <c r="RQ515" s="1260"/>
      <c r="RR515" s="1260"/>
      <c r="RS515" s="1260"/>
      <c r="RT515" s="1260"/>
      <c r="RU515" s="1260"/>
      <c r="RV515" s="1260"/>
      <c r="RW515" s="1260"/>
      <c r="RX515" s="1260"/>
      <c r="RY515" s="1260"/>
      <c r="RZ515" s="1260"/>
      <c r="SA515" s="1260"/>
      <c r="SB515" s="1260"/>
      <c r="SC515" s="1260"/>
      <c r="SD515" s="1260"/>
      <c r="SE515" s="1260"/>
      <c r="SF515" s="1260"/>
      <c r="SG515" s="1260"/>
      <c r="SH515" s="1260"/>
      <c r="SI515" s="1260"/>
      <c r="SJ515" s="1260"/>
      <c r="SK515" s="1260"/>
      <c r="SL515" s="1260"/>
      <c r="SM515" s="1260"/>
      <c r="SN515" s="1260"/>
      <c r="SO515" s="1260"/>
      <c r="SP515" s="1260"/>
      <c r="SQ515" s="1260"/>
      <c r="SR515" s="1260"/>
      <c r="SS515" s="1260"/>
      <c r="ST515" s="1260"/>
      <c r="SU515" s="1260"/>
      <c r="SV515" s="1260"/>
      <c r="SW515" s="1260"/>
      <c r="SX515" s="1260"/>
      <c r="SY515" s="1260"/>
      <c r="SZ515" s="1260"/>
      <c r="TA515" s="1260"/>
      <c r="TB515" s="1260"/>
      <c r="TC515" s="1260"/>
      <c r="TD515" s="1260"/>
      <c r="TE515" s="1260"/>
      <c r="TF515" s="1260"/>
      <c r="TG515" s="1260"/>
      <c r="TH515" s="1260"/>
      <c r="TI515" s="1260"/>
      <c r="TJ515" s="1260"/>
      <c r="TK515" s="1260"/>
      <c r="TL515" s="1260"/>
      <c r="TM515" s="1260"/>
      <c r="TN515" s="1260"/>
      <c r="TO515" s="1260"/>
      <c r="TP515" s="1260"/>
      <c r="TQ515" s="1260"/>
      <c r="TR515" s="1260"/>
      <c r="TS515" s="1260"/>
      <c r="TT515" s="1260"/>
      <c r="TU515" s="1260"/>
      <c r="TV515" s="1260"/>
      <c r="TW515" s="1260"/>
      <c r="TX515" s="1260"/>
      <c r="TY515" s="1260"/>
      <c r="TZ515" s="1260"/>
      <c r="UA515" s="1260"/>
      <c r="UB515" s="1260"/>
      <c r="UC515" s="1260"/>
      <c r="UD515" s="1260"/>
      <c r="UE515" s="1260"/>
      <c r="UF515" s="1260"/>
      <c r="UG515" s="1261"/>
    </row>
    <row r="516" spans="1:553" s="1262" customFormat="1" ht="30.75" customHeight="1">
      <c r="A516" s="402" t="s">
        <v>15</v>
      </c>
      <c r="B516" s="402"/>
      <c r="C516" s="1465" t="s">
        <v>379</v>
      </c>
      <c r="D516" s="1466"/>
      <c r="E516" s="1466"/>
      <c r="F516" s="1466"/>
      <c r="G516" s="1226" t="s">
        <v>196</v>
      </c>
      <c r="H516" s="605"/>
      <c r="I516" s="420">
        <f>(161.02*100/400)*(12-(4-3))*4</f>
        <v>1771.22</v>
      </c>
      <c r="J516" s="985">
        <v>10600</v>
      </c>
      <c r="K516" s="1282">
        <v>0.7</v>
      </c>
      <c r="L516" s="1013">
        <f t="shared" si="95"/>
        <v>13142452</v>
      </c>
      <c r="M516" s="366"/>
      <c r="N516" s="366"/>
      <c r="O516" s="366"/>
      <c r="P516" s="366"/>
      <c r="Q516" s="1144"/>
      <c r="R516" s="1452"/>
      <c r="S516" s="308"/>
      <c r="T516" s="308"/>
      <c r="U516" s="308"/>
      <c r="V516" s="308"/>
      <c r="W516" s="308"/>
      <c r="X516" s="308"/>
      <c r="Y516" s="308"/>
      <c r="Z516" s="604"/>
      <c r="AA516" s="308"/>
      <c r="AB516" s="308"/>
      <c r="AC516" s="449"/>
      <c r="AD516" s="452"/>
      <c r="AE516" s="452"/>
      <c r="AF516" s="452"/>
      <c r="AG516" s="452"/>
      <c r="AH516" s="452"/>
      <c r="AI516" s="452"/>
      <c r="AJ516" s="452"/>
      <c r="AK516" s="452"/>
      <c r="AL516" s="1259"/>
      <c r="AM516" s="1260"/>
      <c r="AN516" s="1260"/>
      <c r="AO516" s="1260"/>
      <c r="AP516" s="1260"/>
      <c r="AQ516" s="1260"/>
      <c r="AR516" s="1260"/>
      <c r="AS516" s="1260"/>
      <c r="AT516" s="1260"/>
      <c r="AU516" s="1260"/>
      <c r="AV516" s="1260"/>
      <c r="AW516" s="1260"/>
      <c r="AX516" s="1260"/>
      <c r="AY516" s="1260"/>
      <c r="AZ516" s="1260"/>
      <c r="BA516" s="1260"/>
      <c r="BB516" s="1260"/>
      <c r="BC516" s="1260"/>
      <c r="BD516" s="1260"/>
      <c r="BE516" s="1260"/>
      <c r="BF516" s="1260"/>
      <c r="BG516" s="1260"/>
      <c r="BH516" s="1260"/>
      <c r="BI516" s="1260"/>
      <c r="BJ516" s="1260"/>
      <c r="BK516" s="1260"/>
      <c r="BL516" s="1260"/>
      <c r="BM516" s="1260"/>
      <c r="BN516" s="1260"/>
      <c r="BO516" s="1260"/>
      <c r="BP516" s="1260"/>
      <c r="BQ516" s="1260"/>
      <c r="BR516" s="1260"/>
      <c r="BS516" s="1260"/>
      <c r="BT516" s="1260"/>
      <c r="BU516" s="1260"/>
      <c r="BV516" s="1260"/>
      <c r="BW516" s="1260"/>
      <c r="BX516" s="1260"/>
      <c r="BY516" s="1260"/>
      <c r="BZ516" s="1260"/>
      <c r="CA516" s="1260"/>
      <c r="CB516" s="1260"/>
      <c r="CC516" s="1260"/>
      <c r="CD516" s="1260"/>
      <c r="CE516" s="1260"/>
      <c r="CF516" s="1260"/>
      <c r="CG516" s="1260"/>
      <c r="CH516" s="1260"/>
      <c r="CI516" s="1260"/>
      <c r="CJ516" s="1260"/>
      <c r="CK516" s="1260"/>
      <c r="CL516" s="1260"/>
      <c r="CM516" s="1260"/>
      <c r="CN516" s="1260"/>
      <c r="CO516" s="1260"/>
      <c r="CP516" s="1260"/>
      <c r="CQ516" s="1260"/>
      <c r="CR516" s="1260"/>
      <c r="CS516" s="1260"/>
      <c r="CT516" s="1260"/>
      <c r="CU516" s="1260"/>
      <c r="CV516" s="1260"/>
      <c r="CW516" s="1260"/>
      <c r="CX516" s="1260"/>
      <c r="CY516" s="1260"/>
      <c r="CZ516" s="1260"/>
      <c r="DA516" s="1260"/>
      <c r="DB516" s="1260"/>
      <c r="DC516" s="1260"/>
      <c r="DD516" s="1260"/>
      <c r="DE516" s="1260"/>
      <c r="DF516" s="1260"/>
      <c r="DG516" s="1260"/>
      <c r="DH516" s="1260"/>
      <c r="DI516" s="1260"/>
      <c r="DJ516" s="1260"/>
      <c r="DK516" s="1260"/>
      <c r="DL516" s="1260"/>
      <c r="DM516" s="1260"/>
      <c r="DN516" s="1260"/>
      <c r="DO516" s="1260"/>
      <c r="DP516" s="1260"/>
      <c r="DQ516" s="1260"/>
      <c r="DR516" s="1260"/>
      <c r="DS516" s="1260"/>
      <c r="DT516" s="1260"/>
      <c r="DU516" s="1260"/>
      <c r="DV516" s="1260"/>
      <c r="DW516" s="1260"/>
      <c r="DX516" s="1260"/>
      <c r="DY516" s="1260"/>
      <c r="DZ516" s="1260"/>
      <c r="EA516" s="1260"/>
      <c r="EB516" s="1260"/>
      <c r="EC516" s="1260"/>
      <c r="ED516" s="1260"/>
      <c r="EE516" s="1260"/>
      <c r="EF516" s="1260"/>
      <c r="EG516" s="1260"/>
      <c r="EH516" s="1260"/>
      <c r="EI516" s="1260"/>
      <c r="EJ516" s="1260"/>
      <c r="EK516" s="1260"/>
      <c r="EL516" s="1260"/>
      <c r="EM516" s="1260"/>
      <c r="EN516" s="1260"/>
      <c r="EO516" s="1260"/>
      <c r="EP516" s="1260"/>
      <c r="EQ516" s="1260"/>
      <c r="ER516" s="1260"/>
      <c r="ES516" s="1260"/>
      <c r="ET516" s="1260"/>
      <c r="EU516" s="1260"/>
      <c r="EV516" s="1260"/>
      <c r="EW516" s="1260"/>
      <c r="EX516" s="1260"/>
      <c r="EY516" s="1260"/>
      <c r="EZ516" s="1260"/>
      <c r="FA516" s="1260"/>
      <c r="FB516" s="1260"/>
      <c r="FC516" s="1260"/>
      <c r="FD516" s="1260"/>
      <c r="FE516" s="1260"/>
      <c r="FF516" s="1260"/>
      <c r="FG516" s="1260"/>
      <c r="FH516" s="1260"/>
      <c r="FI516" s="1260"/>
      <c r="FJ516" s="1260"/>
      <c r="FK516" s="1260"/>
      <c r="FL516" s="1260"/>
      <c r="FM516" s="1260"/>
      <c r="FN516" s="1260"/>
      <c r="FO516" s="1260"/>
      <c r="FP516" s="1260"/>
      <c r="FQ516" s="1260"/>
      <c r="FR516" s="1260"/>
      <c r="FS516" s="1260"/>
      <c r="FT516" s="1260"/>
      <c r="FU516" s="1260"/>
      <c r="FV516" s="1260"/>
      <c r="FW516" s="1260"/>
      <c r="FX516" s="1260"/>
      <c r="FY516" s="1260"/>
      <c r="FZ516" s="1260"/>
      <c r="GA516" s="1260"/>
      <c r="GB516" s="1260"/>
      <c r="GC516" s="1260"/>
      <c r="GD516" s="1260"/>
      <c r="GE516" s="1260"/>
      <c r="GF516" s="1260"/>
      <c r="GG516" s="1260"/>
      <c r="GH516" s="1260"/>
      <c r="GI516" s="1260"/>
      <c r="GJ516" s="1260"/>
      <c r="GK516" s="1260"/>
      <c r="GL516" s="1260"/>
      <c r="GM516" s="1260"/>
      <c r="GN516" s="1260"/>
      <c r="GO516" s="1260"/>
      <c r="GP516" s="1260"/>
      <c r="GQ516" s="1260"/>
      <c r="GR516" s="1260"/>
      <c r="GS516" s="1260"/>
      <c r="GT516" s="1260"/>
      <c r="GU516" s="1260"/>
      <c r="GV516" s="1260"/>
      <c r="GW516" s="1260"/>
      <c r="GX516" s="1260"/>
      <c r="GY516" s="1260"/>
      <c r="GZ516" s="1260"/>
      <c r="HA516" s="1260"/>
      <c r="HB516" s="1260"/>
      <c r="HC516" s="1260"/>
      <c r="HD516" s="1260"/>
      <c r="HE516" s="1260"/>
      <c r="HF516" s="1260"/>
      <c r="HG516" s="1260"/>
      <c r="HH516" s="1260"/>
      <c r="HI516" s="1260"/>
      <c r="HJ516" s="1260"/>
      <c r="HK516" s="1260"/>
      <c r="HL516" s="1260"/>
      <c r="HM516" s="1260"/>
      <c r="HN516" s="1260"/>
      <c r="HO516" s="1260"/>
      <c r="HP516" s="1260"/>
      <c r="HQ516" s="1260"/>
      <c r="HR516" s="1260"/>
      <c r="HS516" s="1260"/>
      <c r="HT516" s="1260"/>
      <c r="HU516" s="1260"/>
      <c r="HV516" s="1260"/>
      <c r="HW516" s="1260"/>
      <c r="HX516" s="1260"/>
      <c r="HY516" s="1260"/>
      <c r="HZ516" s="1260"/>
      <c r="IA516" s="1260"/>
      <c r="IB516" s="1260"/>
      <c r="IC516" s="1260"/>
      <c r="ID516" s="1260"/>
      <c r="IE516" s="1260"/>
      <c r="IF516" s="1260"/>
      <c r="IG516" s="1260"/>
      <c r="IH516" s="1260"/>
      <c r="II516" s="1260"/>
      <c r="IJ516" s="1260"/>
      <c r="IK516" s="1260"/>
      <c r="IL516" s="1260"/>
      <c r="IM516" s="1260"/>
      <c r="IN516" s="1260"/>
      <c r="IO516" s="1260"/>
      <c r="IP516" s="1260"/>
      <c r="IQ516" s="1260"/>
      <c r="IR516" s="1260"/>
      <c r="IS516" s="1260"/>
      <c r="IT516" s="1260"/>
      <c r="IU516" s="1260"/>
      <c r="IV516" s="1260"/>
      <c r="IW516" s="1260"/>
      <c r="IX516" s="1260"/>
      <c r="IY516" s="1260"/>
      <c r="IZ516" s="1260"/>
      <c r="JA516" s="1260"/>
      <c r="JB516" s="1260"/>
      <c r="JC516" s="1260"/>
      <c r="JD516" s="1260"/>
      <c r="JE516" s="1260"/>
      <c r="JF516" s="1260"/>
      <c r="JG516" s="1260"/>
      <c r="JH516" s="1260"/>
      <c r="JI516" s="1260"/>
      <c r="JJ516" s="1260"/>
      <c r="JK516" s="1260"/>
      <c r="JL516" s="1260"/>
      <c r="JM516" s="1260"/>
      <c r="JN516" s="1260"/>
      <c r="JO516" s="1260"/>
      <c r="JP516" s="1260"/>
      <c r="JQ516" s="1260"/>
      <c r="JR516" s="1260"/>
      <c r="JS516" s="1260"/>
      <c r="JT516" s="1260"/>
      <c r="JU516" s="1260"/>
      <c r="JV516" s="1260"/>
      <c r="JW516" s="1260"/>
      <c r="JX516" s="1260"/>
      <c r="JY516" s="1260"/>
      <c r="JZ516" s="1260"/>
      <c r="KA516" s="1260"/>
      <c r="KB516" s="1260"/>
      <c r="KC516" s="1260"/>
      <c r="KD516" s="1260"/>
      <c r="KE516" s="1260"/>
      <c r="KF516" s="1260"/>
      <c r="KG516" s="1260"/>
      <c r="KH516" s="1260"/>
      <c r="KI516" s="1260"/>
      <c r="KJ516" s="1260"/>
      <c r="KK516" s="1260"/>
      <c r="KL516" s="1260"/>
      <c r="KM516" s="1260"/>
      <c r="KN516" s="1260"/>
      <c r="KO516" s="1260"/>
      <c r="KP516" s="1260"/>
      <c r="KQ516" s="1260"/>
      <c r="KR516" s="1260"/>
      <c r="KS516" s="1260"/>
      <c r="KT516" s="1260"/>
      <c r="KU516" s="1260"/>
      <c r="KV516" s="1260"/>
      <c r="KW516" s="1260"/>
      <c r="KX516" s="1260"/>
      <c r="KY516" s="1260"/>
      <c r="KZ516" s="1260"/>
      <c r="LA516" s="1260"/>
      <c r="LB516" s="1260"/>
      <c r="LC516" s="1260"/>
      <c r="LD516" s="1260"/>
      <c r="LE516" s="1260"/>
      <c r="LF516" s="1260"/>
      <c r="LG516" s="1260"/>
      <c r="LH516" s="1260"/>
      <c r="LI516" s="1260"/>
      <c r="LJ516" s="1260"/>
      <c r="LK516" s="1260"/>
      <c r="LL516" s="1260"/>
      <c r="LM516" s="1260"/>
      <c r="LN516" s="1260"/>
      <c r="LO516" s="1260"/>
      <c r="LP516" s="1260"/>
      <c r="LQ516" s="1260"/>
      <c r="LR516" s="1260"/>
      <c r="LS516" s="1260"/>
      <c r="LT516" s="1260"/>
      <c r="LU516" s="1260"/>
      <c r="LV516" s="1260"/>
      <c r="LW516" s="1260"/>
      <c r="LX516" s="1260"/>
      <c r="LY516" s="1260"/>
      <c r="LZ516" s="1260"/>
      <c r="MA516" s="1260"/>
      <c r="MB516" s="1260"/>
      <c r="MC516" s="1260"/>
      <c r="MD516" s="1260"/>
      <c r="ME516" s="1260"/>
      <c r="MF516" s="1260"/>
      <c r="MG516" s="1260"/>
      <c r="MH516" s="1260"/>
      <c r="MI516" s="1260"/>
      <c r="MJ516" s="1260"/>
      <c r="MK516" s="1260"/>
      <c r="ML516" s="1260"/>
      <c r="MM516" s="1260"/>
      <c r="MN516" s="1260"/>
      <c r="MO516" s="1260"/>
      <c r="MP516" s="1260"/>
      <c r="MQ516" s="1260"/>
      <c r="MR516" s="1260"/>
      <c r="MS516" s="1260"/>
      <c r="MT516" s="1260"/>
      <c r="MU516" s="1260"/>
      <c r="MV516" s="1260"/>
      <c r="MW516" s="1260"/>
      <c r="MX516" s="1260"/>
      <c r="MY516" s="1260"/>
      <c r="MZ516" s="1260"/>
      <c r="NA516" s="1260"/>
      <c r="NB516" s="1260"/>
      <c r="NC516" s="1260"/>
      <c r="ND516" s="1260"/>
      <c r="NE516" s="1260"/>
      <c r="NF516" s="1260"/>
      <c r="NG516" s="1260"/>
      <c r="NH516" s="1260"/>
      <c r="NI516" s="1260"/>
      <c r="NJ516" s="1260"/>
      <c r="NK516" s="1260"/>
      <c r="NL516" s="1260"/>
      <c r="NM516" s="1260"/>
      <c r="NN516" s="1260"/>
      <c r="NO516" s="1260"/>
      <c r="NP516" s="1260"/>
      <c r="NQ516" s="1260"/>
      <c r="NR516" s="1260"/>
      <c r="NS516" s="1260"/>
      <c r="NT516" s="1260"/>
      <c r="NU516" s="1260"/>
      <c r="NV516" s="1260"/>
      <c r="NW516" s="1260"/>
      <c r="NX516" s="1260"/>
      <c r="NY516" s="1260"/>
      <c r="NZ516" s="1260"/>
      <c r="OA516" s="1260"/>
      <c r="OB516" s="1260"/>
      <c r="OC516" s="1260"/>
      <c r="OD516" s="1260"/>
      <c r="OE516" s="1260"/>
      <c r="OF516" s="1260"/>
      <c r="OG516" s="1260"/>
      <c r="OH516" s="1260"/>
      <c r="OI516" s="1260"/>
      <c r="OJ516" s="1260"/>
      <c r="OK516" s="1260"/>
      <c r="OL516" s="1260"/>
      <c r="OM516" s="1260"/>
      <c r="ON516" s="1260"/>
      <c r="OO516" s="1260"/>
      <c r="OP516" s="1260"/>
      <c r="OQ516" s="1260"/>
      <c r="OR516" s="1260"/>
      <c r="OS516" s="1260"/>
      <c r="OT516" s="1260"/>
      <c r="OU516" s="1260"/>
      <c r="OV516" s="1260"/>
      <c r="OW516" s="1260"/>
      <c r="OX516" s="1260"/>
      <c r="OY516" s="1260"/>
      <c r="OZ516" s="1260"/>
      <c r="PA516" s="1260"/>
      <c r="PB516" s="1260"/>
      <c r="PC516" s="1260"/>
      <c r="PD516" s="1260"/>
      <c r="PE516" s="1260"/>
      <c r="PF516" s="1260"/>
      <c r="PG516" s="1260"/>
      <c r="PH516" s="1260"/>
      <c r="PI516" s="1260"/>
      <c r="PJ516" s="1260"/>
      <c r="PK516" s="1260"/>
      <c r="PL516" s="1260"/>
      <c r="PM516" s="1260"/>
      <c r="PN516" s="1260"/>
      <c r="PO516" s="1260"/>
      <c r="PP516" s="1260"/>
      <c r="PQ516" s="1260"/>
      <c r="PR516" s="1260"/>
      <c r="PS516" s="1260"/>
      <c r="PT516" s="1260"/>
      <c r="PU516" s="1260"/>
      <c r="PV516" s="1260"/>
      <c r="PW516" s="1260"/>
      <c r="PX516" s="1260"/>
      <c r="PY516" s="1260"/>
      <c r="PZ516" s="1260"/>
      <c r="QA516" s="1260"/>
      <c r="QB516" s="1260"/>
      <c r="QC516" s="1260"/>
      <c r="QD516" s="1260"/>
      <c r="QE516" s="1260"/>
      <c r="QF516" s="1260"/>
      <c r="QG516" s="1260"/>
      <c r="QH516" s="1260"/>
      <c r="QI516" s="1260"/>
      <c r="QJ516" s="1260"/>
      <c r="QK516" s="1260"/>
      <c r="QL516" s="1260"/>
      <c r="QM516" s="1260"/>
      <c r="QN516" s="1260"/>
      <c r="QO516" s="1260"/>
      <c r="QP516" s="1260"/>
      <c r="QQ516" s="1260"/>
      <c r="QR516" s="1260"/>
      <c r="QS516" s="1260"/>
      <c r="QT516" s="1260"/>
      <c r="QU516" s="1260"/>
      <c r="QV516" s="1260"/>
      <c r="QW516" s="1260"/>
      <c r="QX516" s="1260"/>
      <c r="QY516" s="1260"/>
      <c r="QZ516" s="1260"/>
      <c r="RA516" s="1260"/>
      <c r="RB516" s="1260"/>
      <c r="RC516" s="1260"/>
      <c r="RD516" s="1260"/>
      <c r="RE516" s="1260"/>
      <c r="RF516" s="1260"/>
      <c r="RG516" s="1260"/>
      <c r="RH516" s="1260"/>
      <c r="RI516" s="1260"/>
      <c r="RJ516" s="1260"/>
      <c r="RK516" s="1260"/>
      <c r="RL516" s="1260"/>
      <c r="RM516" s="1260"/>
      <c r="RN516" s="1260"/>
      <c r="RO516" s="1260"/>
      <c r="RP516" s="1260"/>
      <c r="RQ516" s="1260"/>
      <c r="RR516" s="1260"/>
      <c r="RS516" s="1260"/>
      <c r="RT516" s="1260"/>
      <c r="RU516" s="1260"/>
      <c r="RV516" s="1260"/>
      <c r="RW516" s="1260"/>
      <c r="RX516" s="1260"/>
      <c r="RY516" s="1260"/>
      <c r="RZ516" s="1260"/>
      <c r="SA516" s="1260"/>
      <c r="SB516" s="1260"/>
      <c r="SC516" s="1260"/>
      <c r="SD516" s="1260"/>
      <c r="SE516" s="1260"/>
      <c r="SF516" s="1260"/>
      <c r="SG516" s="1260"/>
      <c r="SH516" s="1260"/>
      <c r="SI516" s="1260"/>
      <c r="SJ516" s="1260"/>
      <c r="SK516" s="1260"/>
      <c r="SL516" s="1260"/>
      <c r="SM516" s="1260"/>
      <c r="SN516" s="1260"/>
      <c r="SO516" s="1260"/>
      <c r="SP516" s="1260"/>
      <c r="SQ516" s="1260"/>
      <c r="SR516" s="1260"/>
      <c r="SS516" s="1260"/>
      <c r="ST516" s="1260"/>
      <c r="SU516" s="1260"/>
      <c r="SV516" s="1260"/>
      <c r="SW516" s="1260"/>
      <c r="SX516" s="1260"/>
      <c r="SY516" s="1260"/>
      <c r="SZ516" s="1260"/>
      <c r="TA516" s="1260"/>
      <c r="TB516" s="1260"/>
      <c r="TC516" s="1260"/>
      <c r="TD516" s="1260"/>
      <c r="TE516" s="1260"/>
      <c r="TF516" s="1260"/>
      <c r="TG516" s="1260"/>
      <c r="TH516" s="1260"/>
      <c r="TI516" s="1260"/>
      <c r="TJ516" s="1260"/>
      <c r="TK516" s="1260"/>
      <c r="TL516" s="1260"/>
      <c r="TM516" s="1260"/>
      <c r="TN516" s="1260"/>
      <c r="TO516" s="1260"/>
      <c r="TP516" s="1260"/>
      <c r="TQ516" s="1260"/>
      <c r="TR516" s="1260"/>
      <c r="TS516" s="1260"/>
      <c r="TT516" s="1260"/>
      <c r="TU516" s="1260"/>
      <c r="TV516" s="1260"/>
      <c r="TW516" s="1260"/>
      <c r="TX516" s="1260"/>
      <c r="TY516" s="1260"/>
      <c r="TZ516" s="1260"/>
      <c r="UA516" s="1260"/>
      <c r="UB516" s="1260"/>
      <c r="UC516" s="1260"/>
      <c r="UD516" s="1260"/>
      <c r="UE516" s="1260"/>
      <c r="UF516" s="1260"/>
      <c r="UG516" s="1261"/>
    </row>
    <row r="517" spans="1:553" s="1262" customFormat="1" ht="30.75" customHeight="1">
      <c r="A517" s="606" t="s">
        <v>15</v>
      </c>
      <c r="B517" s="1226"/>
      <c r="C517" s="1463" t="s">
        <v>380</v>
      </c>
      <c r="D517" s="1452"/>
      <c r="E517" s="1452"/>
      <c r="F517" s="1464"/>
      <c r="G517" s="1226" t="s">
        <v>193</v>
      </c>
      <c r="H517" s="600"/>
      <c r="I517" s="607">
        <v>3</v>
      </c>
      <c r="J517" s="1243">
        <v>129000</v>
      </c>
      <c r="K517" s="712"/>
      <c r="L517" s="679">
        <f t="shared" si="95"/>
        <v>387000</v>
      </c>
      <c r="M517" s="366"/>
      <c r="N517" s="366"/>
      <c r="O517" s="366"/>
      <c r="P517" s="366"/>
      <c r="Q517" s="1040"/>
      <c r="R517" s="1452"/>
      <c r="S517" s="308"/>
      <c r="T517" s="308"/>
      <c r="U517" s="308"/>
      <c r="V517" s="308"/>
      <c r="W517" s="308"/>
      <c r="X517" s="308"/>
      <c r="Y517" s="308"/>
      <c r="Z517" s="604"/>
      <c r="AA517" s="308"/>
      <c r="AB517" s="308"/>
      <c r="AC517" s="449"/>
      <c r="AD517" s="452"/>
      <c r="AE517" s="452"/>
      <c r="AF517" s="452"/>
      <c r="AG517" s="452"/>
      <c r="AH517" s="452"/>
      <c r="AI517" s="452"/>
      <c r="AJ517" s="452"/>
      <c r="AK517" s="452"/>
      <c r="AL517" s="1259"/>
      <c r="AM517" s="1260"/>
      <c r="AN517" s="1260"/>
      <c r="AO517" s="1260"/>
      <c r="AP517" s="1260"/>
      <c r="AQ517" s="1260"/>
      <c r="AR517" s="1260"/>
      <c r="AS517" s="1260"/>
      <c r="AT517" s="1260"/>
      <c r="AU517" s="1260"/>
      <c r="AV517" s="1260"/>
      <c r="AW517" s="1260"/>
      <c r="AX517" s="1260"/>
      <c r="AY517" s="1260"/>
      <c r="AZ517" s="1260"/>
      <c r="BA517" s="1260"/>
      <c r="BB517" s="1260"/>
      <c r="BC517" s="1260"/>
      <c r="BD517" s="1260"/>
      <c r="BE517" s="1260"/>
      <c r="BF517" s="1260"/>
      <c r="BG517" s="1260"/>
      <c r="BH517" s="1260"/>
      <c r="BI517" s="1260"/>
      <c r="BJ517" s="1260"/>
      <c r="BK517" s="1260"/>
      <c r="BL517" s="1260"/>
      <c r="BM517" s="1260"/>
      <c r="BN517" s="1260"/>
      <c r="BO517" s="1260"/>
      <c r="BP517" s="1260"/>
      <c r="BQ517" s="1260"/>
      <c r="BR517" s="1260"/>
      <c r="BS517" s="1260"/>
      <c r="BT517" s="1260"/>
      <c r="BU517" s="1260"/>
      <c r="BV517" s="1260"/>
      <c r="BW517" s="1260"/>
      <c r="BX517" s="1260"/>
      <c r="BY517" s="1260"/>
      <c r="BZ517" s="1260"/>
      <c r="CA517" s="1260"/>
      <c r="CB517" s="1260"/>
      <c r="CC517" s="1260"/>
      <c r="CD517" s="1260"/>
      <c r="CE517" s="1260"/>
      <c r="CF517" s="1260"/>
      <c r="CG517" s="1260"/>
      <c r="CH517" s="1260"/>
      <c r="CI517" s="1260"/>
      <c r="CJ517" s="1260"/>
      <c r="CK517" s="1260"/>
      <c r="CL517" s="1260"/>
      <c r="CM517" s="1260"/>
      <c r="CN517" s="1260"/>
      <c r="CO517" s="1260"/>
      <c r="CP517" s="1260"/>
      <c r="CQ517" s="1260"/>
      <c r="CR517" s="1260"/>
      <c r="CS517" s="1260"/>
      <c r="CT517" s="1260"/>
      <c r="CU517" s="1260"/>
      <c r="CV517" s="1260"/>
      <c r="CW517" s="1260"/>
      <c r="CX517" s="1260"/>
      <c r="CY517" s="1260"/>
      <c r="CZ517" s="1260"/>
      <c r="DA517" s="1260"/>
      <c r="DB517" s="1260"/>
      <c r="DC517" s="1260"/>
      <c r="DD517" s="1260"/>
      <c r="DE517" s="1260"/>
      <c r="DF517" s="1260"/>
      <c r="DG517" s="1260"/>
      <c r="DH517" s="1260"/>
      <c r="DI517" s="1260"/>
      <c r="DJ517" s="1260"/>
      <c r="DK517" s="1260"/>
      <c r="DL517" s="1260"/>
      <c r="DM517" s="1260"/>
      <c r="DN517" s="1260"/>
      <c r="DO517" s="1260"/>
      <c r="DP517" s="1260"/>
      <c r="DQ517" s="1260"/>
      <c r="DR517" s="1260"/>
      <c r="DS517" s="1260"/>
      <c r="DT517" s="1260"/>
      <c r="DU517" s="1260"/>
      <c r="DV517" s="1260"/>
      <c r="DW517" s="1260"/>
      <c r="DX517" s="1260"/>
      <c r="DY517" s="1260"/>
      <c r="DZ517" s="1260"/>
      <c r="EA517" s="1260"/>
      <c r="EB517" s="1260"/>
      <c r="EC517" s="1260"/>
      <c r="ED517" s="1260"/>
      <c r="EE517" s="1260"/>
      <c r="EF517" s="1260"/>
      <c r="EG517" s="1260"/>
      <c r="EH517" s="1260"/>
      <c r="EI517" s="1260"/>
      <c r="EJ517" s="1260"/>
      <c r="EK517" s="1260"/>
      <c r="EL517" s="1260"/>
      <c r="EM517" s="1260"/>
      <c r="EN517" s="1260"/>
      <c r="EO517" s="1260"/>
      <c r="EP517" s="1260"/>
      <c r="EQ517" s="1260"/>
      <c r="ER517" s="1260"/>
      <c r="ES517" s="1260"/>
      <c r="ET517" s="1260"/>
      <c r="EU517" s="1260"/>
      <c r="EV517" s="1260"/>
      <c r="EW517" s="1260"/>
      <c r="EX517" s="1260"/>
      <c r="EY517" s="1260"/>
      <c r="EZ517" s="1260"/>
      <c r="FA517" s="1260"/>
      <c r="FB517" s="1260"/>
      <c r="FC517" s="1260"/>
      <c r="FD517" s="1260"/>
      <c r="FE517" s="1260"/>
      <c r="FF517" s="1260"/>
      <c r="FG517" s="1260"/>
      <c r="FH517" s="1260"/>
      <c r="FI517" s="1260"/>
      <c r="FJ517" s="1260"/>
      <c r="FK517" s="1260"/>
      <c r="FL517" s="1260"/>
      <c r="FM517" s="1260"/>
      <c r="FN517" s="1260"/>
      <c r="FO517" s="1260"/>
      <c r="FP517" s="1260"/>
      <c r="FQ517" s="1260"/>
      <c r="FR517" s="1260"/>
      <c r="FS517" s="1260"/>
      <c r="FT517" s="1260"/>
      <c r="FU517" s="1260"/>
      <c r="FV517" s="1260"/>
      <c r="FW517" s="1260"/>
      <c r="FX517" s="1260"/>
      <c r="FY517" s="1260"/>
      <c r="FZ517" s="1260"/>
      <c r="GA517" s="1260"/>
      <c r="GB517" s="1260"/>
      <c r="GC517" s="1260"/>
      <c r="GD517" s="1260"/>
      <c r="GE517" s="1260"/>
      <c r="GF517" s="1260"/>
      <c r="GG517" s="1260"/>
      <c r="GH517" s="1260"/>
      <c r="GI517" s="1260"/>
      <c r="GJ517" s="1260"/>
      <c r="GK517" s="1260"/>
      <c r="GL517" s="1260"/>
      <c r="GM517" s="1260"/>
      <c r="GN517" s="1260"/>
      <c r="GO517" s="1260"/>
      <c r="GP517" s="1260"/>
      <c r="GQ517" s="1260"/>
      <c r="GR517" s="1260"/>
      <c r="GS517" s="1260"/>
      <c r="GT517" s="1260"/>
      <c r="GU517" s="1260"/>
      <c r="GV517" s="1260"/>
      <c r="GW517" s="1260"/>
      <c r="GX517" s="1260"/>
      <c r="GY517" s="1260"/>
      <c r="GZ517" s="1260"/>
      <c r="HA517" s="1260"/>
      <c r="HB517" s="1260"/>
      <c r="HC517" s="1260"/>
      <c r="HD517" s="1260"/>
      <c r="HE517" s="1260"/>
      <c r="HF517" s="1260"/>
      <c r="HG517" s="1260"/>
      <c r="HH517" s="1260"/>
      <c r="HI517" s="1260"/>
      <c r="HJ517" s="1260"/>
      <c r="HK517" s="1260"/>
      <c r="HL517" s="1260"/>
      <c r="HM517" s="1260"/>
      <c r="HN517" s="1260"/>
      <c r="HO517" s="1260"/>
      <c r="HP517" s="1260"/>
      <c r="HQ517" s="1260"/>
      <c r="HR517" s="1260"/>
      <c r="HS517" s="1260"/>
      <c r="HT517" s="1260"/>
      <c r="HU517" s="1260"/>
      <c r="HV517" s="1260"/>
      <c r="HW517" s="1260"/>
      <c r="HX517" s="1260"/>
      <c r="HY517" s="1260"/>
      <c r="HZ517" s="1260"/>
      <c r="IA517" s="1260"/>
      <c r="IB517" s="1260"/>
      <c r="IC517" s="1260"/>
      <c r="ID517" s="1260"/>
      <c r="IE517" s="1260"/>
      <c r="IF517" s="1260"/>
      <c r="IG517" s="1260"/>
      <c r="IH517" s="1260"/>
      <c r="II517" s="1260"/>
      <c r="IJ517" s="1260"/>
      <c r="IK517" s="1260"/>
      <c r="IL517" s="1260"/>
      <c r="IM517" s="1260"/>
      <c r="IN517" s="1260"/>
      <c r="IO517" s="1260"/>
      <c r="IP517" s="1260"/>
      <c r="IQ517" s="1260"/>
      <c r="IR517" s="1260"/>
      <c r="IS517" s="1260"/>
      <c r="IT517" s="1260"/>
      <c r="IU517" s="1260"/>
      <c r="IV517" s="1260"/>
      <c r="IW517" s="1260"/>
      <c r="IX517" s="1260"/>
      <c r="IY517" s="1260"/>
      <c r="IZ517" s="1260"/>
      <c r="JA517" s="1260"/>
      <c r="JB517" s="1260"/>
      <c r="JC517" s="1260"/>
      <c r="JD517" s="1260"/>
      <c r="JE517" s="1260"/>
      <c r="JF517" s="1260"/>
      <c r="JG517" s="1260"/>
      <c r="JH517" s="1260"/>
      <c r="JI517" s="1260"/>
      <c r="JJ517" s="1260"/>
      <c r="JK517" s="1260"/>
      <c r="JL517" s="1260"/>
      <c r="JM517" s="1260"/>
      <c r="JN517" s="1260"/>
      <c r="JO517" s="1260"/>
      <c r="JP517" s="1260"/>
      <c r="JQ517" s="1260"/>
      <c r="JR517" s="1260"/>
      <c r="JS517" s="1260"/>
      <c r="JT517" s="1260"/>
      <c r="JU517" s="1260"/>
      <c r="JV517" s="1260"/>
      <c r="JW517" s="1260"/>
      <c r="JX517" s="1260"/>
      <c r="JY517" s="1260"/>
      <c r="JZ517" s="1260"/>
      <c r="KA517" s="1260"/>
      <c r="KB517" s="1260"/>
      <c r="KC517" s="1260"/>
      <c r="KD517" s="1260"/>
      <c r="KE517" s="1260"/>
      <c r="KF517" s="1260"/>
      <c r="KG517" s="1260"/>
      <c r="KH517" s="1260"/>
      <c r="KI517" s="1260"/>
      <c r="KJ517" s="1260"/>
      <c r="KK517" s="1260"/>
      <c r="KL517" s="1260"/>
      <c r="KM517" s="1260"/>
      <c r="KN517" s="1260"/>
      <c r="KO517" s="1260"/>
      <c r="KP517" s="1260"/>
      <c r="KQ517" s="1260"/>
      <c r="KR517" s="1260"/>
      <c r="KS517" s="1260"/>
      <c r="KT517" s="1260"/>
      <c r="KU517" s="1260"/>
      <c r="KV517" s="1260"/>
      <c r="KW517" s="1260"/>
      <c r="KX517" s="1260"/>
      <c r="KY517" s="1260"/>
      <c r="KZ517" s="1260"/>
      <c r="LA517" s="1260"/>
      <c r="LB517" s="1260"/>
      <c r="LC517" s="1260"/>
      <c r="LD517" s="1260"/>
      <c r="LE517" s="1260"/>
      <c r="LF517" s="1260"/>
      <c r="LG517" s="1260"/>
      <c r="LH517" s="1260"/>
      <c r="LI517" s="1260"/>
      <c r="LJ517" s="1260"/>
      <c r="LK517" s="1260"/>
      <c r="LL517" s="1260"/>
      <c r="LM517" s="1260"/>
      <c r="LN517" s="1260"/>
      <c r="LO517" s="1260"/>
      <c r="LP517" s="1260"/>
      <c r="LQ517" s="1260"/>
      <c r="LR517" s="1260"/>
      <c r="LS517" s="1260"/>
      <c r="LT517" s="1260"/>
      <c r="LU517" s="1260"/>
      <c r="LV517" s="1260"/>
      <c r="LW517" s="1260"/>
      <c r="LX517" s="1260"/>
      <c r="LY517" s="1260"/>
      <c r="LZ517" s="1260"/>
      <c r="MA517" s="1260"/>
      <c r="MB517" s="1260"/>
      <c r="MC517" s="1260"/>
      <c r="MD517" s="1260"/>
      <c r="ME517" s="1260"/>
      <c r="MF517" s="1260"/>
      <c r="MG517" s="1260"/>
      <c r="MH517" s="1260"/>
      <c r="MI517" s="1260"/>
      <c r="MJ517" s="1260"/>
      <c r="MK517" s="1260"/>
      <c r="ML517" s="1260"/>
      <c r="MM517" s="1260"/>
      <c r="MN517" s="1260"/>
      <c r="MO517" s="1260"/>
      <c r="MP517" s="1260"/>
      <c r="MQ517" s="1260"/>
      <c r="MR517" s="1260"/>
      <c r="MS517" s="1260"/>
      <c r="MT517" s="1260"/>
      <c r="MU517" s="1260"/>
      <c r="MV517" s="1260"/>
      <c r="MW517" s="1260"/>
      <c r="MX517" s="1260"/>
      <c r="MY517" s="1260"/>
      <c r="MZ517" s="1260"/>
      <c r="NA517" s="1260"/>
      <c r="NB517" s="1260"/>
      <c r="NC517" s="1260"/>
      <c r="ND517" s="1260"/>
      <c r="NE517" s="1260"/>
      <c r="NF517" s="1260"/>
      <c r="NG517" s="1260"/>
      <c r="NH517" s="1260"/>
      <c r="NI517" s="1260"/>
      <c r="NJ517" s="1260"/>
      <c r="NK517" s="1260"/>
      <c r="NL517" s="1260"/>
      <c r="NM517" s="1260"/>
      <c r="NN517" s="1260"/>
      <c r="NO517" s="1260"/>
      <c r="NP517" s="1260"/>
      <c r="NQ517" s="1260"/>
      <c r="NR517" s="1260"/>
      <c r="NS517" s="1260"/>
      <c r="NT517" s="1260"/>
      <c r="NU517" s="1260"/>
      <c r="NV517" s="1260"/>
      <c r="NW517" s="1260"/>
      <c r="NX517" s="1260"/>
      <c r="NY517" s="1260"/>
      <c r="NZ517" s="1260"/>
      <c r="OA517" s="1260"/>
      <c r="OB517" s="1260"/>
      <c r="OC517" s="1260"/>
      <c r="OD517" s="1260"/>
      <c r="OE517" s="1260"/>
      <c r="OF517" s="1260"/>
      <c r="OG517" s="1260"/>
      <c r="OH517" s="1260"/>
      <c r="OI517" s="1260"/>
      <c r="OJ517" s="1260"/>
      <c r="OK517" s="1260"/>
      <c r="OL517" s="1260"/>
      <c r="OM517" s="1260"/>
      <c r="ON517" s="1260"/>
      <c r="OO517" s="1260"/>
      <c r="OP517" s="1260"/>
      <c r="OQ517" s="1260"/>
      <c r="OR517" s="1260"/>
      <c r="OS517" s="1260"/>
      <c r="OT517" s="1260"/>
      <c r="OU517" s="1260"/>
      <c r="OV517" s="1260"/>
      <c r="OW517" s="1260"/>
      <c r="OX517" s="1260"/>
      <c r="OY517" s="1260"/>
      <c r="OZ517" s="1260"/>
      <c r="PA517" s="1260"/>
      <c r="PB517" s="1260"/>
      <c r="PC517" s="1260"/>
      <c r="PD517" s="1260"/>
      <c r="PE517" s="1260"/>
      <c r="PF517" s="1260"/>
      <c r="PG517" s="1260"/>
      <c r="PH517" s="1260"/>
      <c r="PI517" s="1260"/>
      <c r="PJ517" s="1260"/>
      <c r="PK517" s="1260"/>
      <c r="PL517" s="1260"/>
      <c r="PM517" s="1260"/>
      <c r="PN517" s="1260"/>
      <c r="PO517" s="1260"/>
      <c r="PP517" s="1260"/>
      <c r="PQ517" s="1260"/>
      <c r="PR517" s="1260"/>
      <c r="PS517" s="1260"/>
      <c r="PT517" s="1260"/>
      <c r="PU517" s="1260"/>
      <c r="PV517" s="1260"/>
      <c r="PW517" s="1260"/>
      <c r="PX517" s="1260"/>
      <c r="PY517" s="1260"/>
      <c r="PZ517" s="1260"/>
      <c r="QA517" s="1260"/>
      <c r="QB517" s="1260"/>
      <c r="QC517" s="1260"/>
      <c r="QD517" s="1260"/>
      <c r="QE517" s="1260"/>
      <c r="QF517" s="1260"/>
      <c r="QG517" s="1260"/>
      <c r="QH517" s="1260"/>
      <c r="QI517" s="1260"/>
      <c r="QJ517" s="1260"/>
      <c r="QK517" s="1260"/>
      <c r="QL517" s="1260"/>
      <c r="QM517" s="1260"/>
      <c r="QN517" s="1260"/>
      <c r="QO517" s="1260"/>
      <c r="QP517" s="1260"/>
      <c r="QQ517" s="1260"/>
      <c r="QR517" s="1260"/>
      <c r="QS517" s="1260"/>
      <c r="QT517" s="1260"/>
      <c r="QU517" s="1260"/>
      <c r="QV517" s="1260"/>
      <c r="QW517" s="1260"/>
      <c r="QX517" s="1260"/>
      <c r="QY517" s="1260"/>
      <c r="QZ517" s="1260"/>
      <c r="RA517" s="1260"/>
      <c r="RB517" s="1260"/>
      <c r="RC517" s="1260"/>
      <c r="RD517" s="1260"/>
      <c r="RE517" s="1260"/>
      <c r="RF517" s="1260"/>
      <c r="RG517" s="1260"/>
      <c r="RH517" s="1260"/>
      <c r="RI517" s="1260"/>
      <c r="RJ517" s="1260"/>
      <c r="RK517" s="1260"/>
      <c r="RL517" s="1260"/>
      <c r="RM517" s="1260"/>
      <c r="RN517" s="1260"/>
      <c r="RO517" s="1260"/>
      <c r="RP517" s="1260"/>
      <c r="RQ517" s="1260"/>
      <c r="RR517" s="1260"/>
      <c r="RS517" s="1260"/>
      <c r="RT517" s="1260"/>
      <c r="RU517" s="1260"/>
      <c r="RV517" s="1260"/>
      <c r="RW517" s="1260"/>
      <c r="RX517" s="1260"/>
      <c r="RY517" s="1260"/>
      <c r="RZ517" s="1260"/>
      <c r="SA517" s="1260"/>
      <c r="SB517" s="1260"/>
      <c r="SC517" s="1260"/>
      <c r="SD517" s="1260"/>
      <c r="SE517" s="1260"/>
      <c r="SF517" s="1260"/>
      <c r="SG517" s="1260"/>
      <c r="SH517" s="1260"/>
      <c r="SI517" s="1260"/>
      <c r="SJ517" s="1260"/>
      <c r="SK517" s="1260"/>
      <c r="SL517" s="1260"/>
      <c r="SM517" s="1260"/>
      <c r="SN517" s="1260"/>
      <c r="SO517" s="1260"/>
      <c r="SP517" s="1260"/>
      <c r="SQ517" s="1260"/>
      <c r="SR517" s="1260"/>
      <c r="SS517" s="1260"/>
      <c r="ST517" s="1260"/>
      <c r="SU517" s="1260"/>
      <c r="SV517" s="1260"/>
      <c r="SW517" s="1260"/>
      <c r="SX517" s="1260"/>
      <c r="SY517" s="1260"/>
      <c r="SZ517" s="1260"/>
      <c r="TA517" s="1260"/>
      <c r="TB517" s="1260"/>
      <c r="TC517" s="1260"/>
      <c r="TD517" s="1260"/>
      <c r="TE517" s="1260"/>
      <c r="TF517" s="1260"/>
      <c r="TG517" s="1260"/>
      <c r="TH517" s="1260"/>
      <c r="TI517" s="1260"/>
      <c r="TJ517" s="1260"/>
      <c r="TK517" s="1260"/>
      <c r="TL517" s="1260"/>
      <c r="TM517" s="1260"/>
      <c r="TN517" s="1260"/>
      <c r="TO517" s="1260"/>
      <c r="TP517" s="1260"/>
      <c r="TQ517" s="1260"/>
      <c r="TR517" s="1260"/>
      <c r="TS517" s="1260"/>
      <c r="TT517" s="1260"/>
      <c r="TU517" s="1260"/>
      <c r="TV517" s="1260"/>
      <c r="TW517" s="1260"/>
      <c r="TX517" s="1260"/>
      <c r="TY517" s="1260"/>
      <c r="TZ517" s="1260"/>
      <c r="UA517" s="1260"/>
      <c r="UB517" s="1260"/>
      <c r="UC517" s="1260"/>
      <c r="UD517" s="1260"/>
      <c r="UE517" s="1260"/>
      <c r="UF517" s="1260"/>
      <c r="UG517" s="1261"/>
    </row>
    <row r="518" spans="1:553" s="1262" customFormat="1" ht="30.75" customHeight="1">
      <c r="A518" s="554" t="s">
        <v>15</v>
      </c>
      <c r="B518" s="554"/>
      <c r="C518" s="1495" t="s">
        <v>381</v>
      </c>
      <c r="D518" s="1509"/>
      <c r="E518" s="1509"/>
      <c r="F518" s="1509"/>
      <c r="G518" s="1226" t="s">
        <v>196</v>
      </c>
      <c r="H518" s="598"/>
      <c r="I518" s="575">
        <f>(161.02*100/400)*(12-(5-3))*6</f>
        <v>2415.3000000000002</v>
      </c>
      <c r="J518" s="989">
        <v>10600</v>
      </c>
      <c r="K518" s="613">
        <v>0.7</v>
      </c>
      <c r="L518" s="1148">
        <f t="shared" si="95"/>
        <v>17921526</v>
      </c>
      <c r="M518" s="366"/>
      <c r="N518" s="366"/>
      <c r="O518" s="366"/>
      <c r="P518" s="366"/>
      <c r="Q518" s="1040"/>
      <c r="R518" s="1452"/>
      <c r="S518" s="308"/>
      <c r="T518" s="308"/>
      <c r="U518" s="308"/>
      <c r="V518" s="308"/>
      <c r="W518" s="308"/>
      <c r="X518" s="308"/>
      <c r="Y518" s="308"/>
      <c r="Z518" s="604"/>
      <c r="AA518" s="308"/>
      <c r="AB518" s="308"/>
      <c r="AC518" s="449"/>
      <c r="AD518" s="452"/>
      <c r="AE518" s="452"/>
      <c r="AF518" s="452"/>
      <c r="AG518" s="452"/>
      <c r="AH518" s="452"/>
      <c r="AI518" s="452"/>
      <c r="AJ518" s="452"/>
      <c r="AK518" s="452"/>
      <c r="AL518" s="1259"/>
      <c r="AM518" s="1260"/>
      <c r="AN518" s="1260"/>
      <c r="AO518" s="1260"/>
      <c r="AP518" s="1260"/>
      <c r="AQ518" s="1260"/>
      <c r="AR518" s="1260"/>
      <c r="AS518" s="1260"/>
      <c r="AT518" s="1260"/>
      <c r="AU518" s="1260"/>
      <c r="AV518" s="1260"/>
      <c r="AW518" s="1260"/>
      <c r="AX518" s="1260"/>
      <c r="AY518" s="1260"/>
      <c r="AZ518" s="1260"/>
      <c r="BA518" s="1260"/>
      <c r="BB518" s="1260"/>
      <c r="BC518" s="1260"/>
      <c r="BD518" s="1260"/>
      <c r="BE518" s="1260"/>
      <c r="BF518" s="1260"/>
      <c r="BG518" s="1260"/>
      <c r="BH518" s="1260"/>
      <c r="BI518" s="1260"/>
      <c r="BJ518" s="1260"/>
      <c r="BK518" s="1260"/>
      <c r="BL518" s="1260"/>
      <c r="BM518" s="1260"/>
      <c r="BN518" s="1260"/>
      <c r="BO518" s="1260"/>
      <c r="BP518" s="1260"/>
      <c r="BQ518" s="1260"/>
      <c r="BR518" s="1260"/>
      <c r="BS518" s="1260"/>
      <c r="BT518" s="1260"/>
      <c r="BU518" s="1260"/>
      <c r="BV518" s="1260"/>
      <c r="BW518" s="1260"/>
      <c r="BX518" s="1260"/>
      <c r="BY518" s="1260"/>
      <c r="BZ518" s="1260"/>
      <c r="CA518" s="1260"/>
      <c r="CB518" s="1260"/>
      <c r="CC518" s="1260"/>
      <c r="CD518" s="1260"/>
      <c r="CE518" s="1260"/>
      <c r="CF518" s="1260"/>
      <c r="CG518" s="1260"/>
      <c r="CH518" s="1260"/>
      <c r="CI518" s="1260"/>
      <c r="CJ518" s="1260"/>
      <c r="CK518" s="1260"/>
      <c r="CL518" s="1260"/>
      <c r="CM518" s="1260"/>
      <c r="CN518" s="1260"/>
      <c r="CO518" s="1260"/>
      <c r="CP518" s="1260"/>
      <c r="CQ518" s="1260"/>
      <c r="CR518" s="1260"/>
      <c r="CS518" s="1260"/>
      <c r="CT518" s="1260"/>
      <c r="CU518" s="1260"/>
      <c r="CV518" s="1260"/>
      <c r="CW518" s="1260"/>
      <c r="CX518" s="1260"/>
      <c r="CY518" s="1260"/>
      <c r="CZ518" s="1260"/>
      <c r="DA518" s="1260"/>
      <c r="DB518" s="1260"/>
      <c r="DC518" s="1260"/>
      <c r="DD518" s="1260"/>
      <c r="DE518" s="1260"/>
      <c r="DF518" s="1260"/>
      <c r="DG518" s="1260"/>
      <c r="DH518" s="1260"/>
      <c r="DI518" s="1260"/>
      <c r="DJ518" s="1260"/>
      <c r="DK518" s="1260"/>
      <c r="DL518" s="1260"/>
      <c r="DM518" s="1260"/>
      <c r="DN518" s="1260"/>
      <c r="DO518" s="1260"/>
      <c r="DP518" s="1260"/>
      <c r="DQ518" s="1260"/>
      <c r="DR518" s="1260"/>
      <c r="DS518" s="1260"/>
      <c r="DT518" s="1260"/>
      <c r="DU518" s="1260"/>
      <c r="DV518" s="1260"/>
      <c r="DW518" s="1260"/>
      <c r="DX518" s="1260"/>
      <c r="DY518" s="1260"/>
      <c r="DZ518" s="1260"/>
      <c r="EA518" s="1260"/>
      <c r="EB518" s="1260"/>
      <c r="EC518" s="1260"/>
      <c r="ED518" s="1260"/>
      <c r="EE518" s="1260"/>
      <c r="EF518" s="1260"/>
      <c r="EG518" s="1260"/>
      <c r="EH518" s="1260"/>
      <c r="EI518" s="1260"/>
      <c r="EJ518" s="1260"/>
      <c r="EK518" s="1260"/>
      <c r="EL518" s="1260"/>
      <c r="EM518" s="1260"/>
      <c r="EN518" s="1260"/>
      <c r="EO518" s="1260"/>
      <c r="EP518" s="1260"/>
      <c r="EQ518" s="1260"/>
      <c r="ER518" s="1260"/>
      <c r="ES518" s="1260"/>
      <c r="ET518" s="1260"/>
      <c r="EU518" s="1260"/>
      <c r="EV518" s="1260"/>
      <c r="EW518" s="1260"/>
      <c r="EX518" s="1260"/>
      <c r="EY518" s="1260"/>
      <c r="EZ518" s="1260"/>
      <c r="FA518" s="1260"/>
      <c r="FB518" s="1260"/>
      <c r="FC518" s="1260"/>
      <c r="FD518" s="1260"/>
      <c r="FE518" s="1260"/>
      <c r="FF518" s="1260"/>
      <c r="FG518" s="1260"/>
      <c r="FH518" s="1260"/>
      <c r="FI518" s="1260"/>
      <c r="FJ518" s="1260"/>
      <c r="FK518" s="1260"/>
      <c r="FL518" s="1260"/>
      <c r="FM518" s="1260"/>
      <c r="FN518" s="1260"/>
      <c r="FO518" s="1260"/>
      <c r="FP518" s="1260"/>
      <c r="FQ518" s="1260"/>
      <c r="FR518" s="1260"/>
      <c r="FS518" s="1260"/>
      <c r="FT518" s="1260"/>
      <c r="FU518" s="1260"/>
      <c r="FV518" s="1260"/>
      <c r="FW518" s="1260"/>
      <c r="FX518" s="1260"/>
      <c r="FY518" s="1260"/>
      <c r="FZ518" s="1260"/>
      <c r="GA518" s="1260"/>
      <c r="GB518" s="1260"/>
      <c r="GC518" s="1260"/>
      <c r="GD518" s="1260"/>
      <c r="GE518" s="1260"/>
      <c r="GF518" s="1260"/>
      <c r="GG518" s="1260"/>
      <c r="GH518" s="1260"/>
      <c r="GI518" s="1260"/>
      <c r="GJ518" s="1260"/>
      <c r="GK518" s="1260"/>
      <c r="GL518" s="1260"/>
      <c r="GM518" s="1260"/>
      <c r="GN518" s="1260"/>
      <c r="GO518" s="1260"/>
      <c r="GP518" s="1260"/>
      <c r="GQ518" s="1260"/>
      <c r="GR518" s="1260"/>
      <c r="GS518" s="1260"/>
      <c r="GT518" s="1260"/>
      <c r="GU518" s="1260"/>
      <c r="GV518" s="1260"/>
      <c r="GW518" s="1260"/>
      <c r="GX518" s="1260"/>
      <c r="GY518" s="1260"/>
      <c r="GZ518" s="1260"/>
      <c r="HA518" s="1260"/>
      <c r="HB518" s="1260"/>
      <c r="HC518" s="1260"/>
      <c r="HD518" s="1260"/>
      <c r="HE518" s="1260"/>
      <c r="HF518" s="1260"/>
      <c r="HG518" s="1260"/>
      <c r="HH518" s="1260"/>
      <c r="HI518" s="1260"/>
      <c r="HJ518" s="1260"/>
      <c r="HK518" s="1260"/>
      <c r="HL518" s="1260"/>
      <c r="HM518" s="1260"/>
      <c r="HN518" s="1260"/>
      <c r="HO518" s="1260"/>
      <c r="HP518" s="1260"/>
      <c r="HQ518" s="1260"/>
      <c r="HR518" s="1260"/>
      <c r="HS518" s="1260"/>
      <c r="HT518" s="1260"/>
      <c r="HU518" s="1260"/>
      <c r="HV518" s="1260"/>
      <c r="HW518" s="1260"/>
      <c r="HX518" s="1260"/>
      <c r="HY518" s="1260"/>
      <c r="HZ518" s="1260"/>
      <c r="IA518" s="1260"/>
      <c r="IB518" s="1260"/>
      <c r="IC518" s="1260"/>
      <c r="ID518" s="1260"/>
      <c r="IE518" s="1260"/>
      <c r="IF518" s="1260"/>
      <c r="IG518" s="1260"/>
      <c r="IH518" s="1260"/>
      <c r="II518" s="1260"/>
      <c r="IJ518" s="1260"/>
      <c r="IK518" s="1260"/>
      <c r="IL518" s="1260"/>
      <c r="IM518" s="1260"/>
      <c r="IN518" s="1260"/>
      <c r="IO518" s="1260"/>
      <c r="IP518" s="1260"/>
      <c r="IQ518" s="1260"/>
      <c r="IR518" s="1260"/>
      <c r="IS518" s="1260"/>
      <c r="IT518" s="1260"/>
      <c r="IU518" s="1260"/>
      <c r="IV518" s="1260"/>
      <c r="IW518" s="1260"/>
      <c r="IX518" s="1260"/>
      <c r="IY518" s="1260"/>
      <c r="IZ518" s="1260"/>
      <c r="JA518" s="1260"/>
      <c r="JB518" s="1260"/>
      <c r="JC518" s="1260"/>
      <c r="JD518" s="1260"/>
      <c r="JE518" s="1260"/>
      <c r="JF518" s="1260"/>
      <c r="JG518" s="1260"/>
      <c r="JH518" s="1260"/>
      <c r="JI518" s="1260"/>
      <c r="JJ518" s="1260"/>
      <c r="JK518" s="1260"/>
      <c r="JL518" s="1260"/>
      <c r="JM518" s="1260"/>
      <c r="JN518" s="1260"/>
      <c r="JO518" s="1260"/>
      <c r="JP518" s="1260"/>
      <c r="JQ518" s="1260"/>
      <c r="JR518" s="1260"/>
      <c r="JS518" s="1260"/>
      <c r="JT518" s="1260"/>
      <c r="JU518" s="1260"/>
      <c r="JV518" s="1260"/>
      <c r="JW518" s="1260"/>
      <c r="JX518" s="1260"/>
      <c r="JY518" s="1260"/>
      <c r="JZ518" s="1260"/>
      <c r="KA518" s="1260"/>
      <c r="KB518" s="1260"/>
      <c r="KC518" s="1260"/>
      <c r="KD518" s="1260"/>
      <c r="KE518" s="1260"/>
      <c r="KF518" s="1260"/>
      <c r="KG518" s="1260"/>
      <c r="KH518" s="1260"/>
      <c r="KI518" s="1260"/>
      <c r="KJ518" s="1260"/>
      <c r="KK518" s="1260"/>
      <c r="KL518" s="1260"/>
      <c r="KM518" s="1260"/>
      <c r="KN518" s="1260"/>
      <c r="KO518" s="1260"/>
      <c r="KP518" s="1260"/>
      <c r="KQ518" s="1260"/>
      <c r="KR518" s="1260"/>
      <c r="KS518" s="1260"/>
      <c r="KT518" s="1260"/>
      <c r="KU518" s="1260"/>
      <c r="KV518" s="1260"/>
      <c r="KW518" s="1260"/>
      <c r="KX518" s="1260"/>
      <c r="KY518" s="1260"/>
      <c r="KZ518" s="1260"/>
      <c r="LA518" s="1260"/>
      <c r="LB518" s="1260"/>
      <c r="LC518" s="1260"/>
      <c r="LD518" s="1260"/>
      <c r="LE518" s="1260"/>
      <c r="LF518" s="1260"/>
      <c r="LG518" s="1260"/>
      <c r="LH518" s="1260"/>
      <c r="LI518" s="1260"/>
      <c r="LJ518" s="1260"/>
      <c r="LK518" s="1260"/>
      <c r="LL518" s="1260"/>
      <c r="LM518" s="1260"/>
      <c r="LN518" s="1260"/>
      <c r="LO518" s="1260"/>
      <c r="LP518" s="1260"/>
      <c r="LQ518" s="1260"/>
      <c r="LR518" s="1260"/>
      <c r="LS518" s="1260"/>
      <c r="LT518" s="1260"/>
      <c r="LU518" s="1260"/>
      <c r="LV518" s="1260"/>
      <c r="LW518" s="1260"/>
      <c r="LX518" s="1260"/>
      <c r="LY518" s="1260"/>
      <c r="LZ518" s="1260"/>
      <c r="MA518" s="1260"/>
      <c r="MB518" s="1260"/>
      <c r="MC518" s="1260"/>
      <c r="MD518" s="1260"/>
      <c r="ME518" s="1260"/>
      <c r="MF518" s="1260"/>
      <c r="MG518" s="1260"/>
      <c r="MH518" s="1260"/>
      <c r="MI518" s="1260"/>
      <c r="MJ518" s="1260"/>
      <c r="MK518" s="1260"/>
      <c r="ML518" s="1260"/>
      <c r="MM518" s="1260"/>
      <c r="MN518" s="1260"/>
      <c r="MO518" s="1260"/>
      <c r="MP518" s="1260"/>
      <c r="MQ518" s="1260"/>
      <c r="MR518" s="1260"/>
      <c r="MS518" s="1260"/>
      <c r="MT518" s="1260"/>
      <c r="MU518" s="1260"/>
      <c r="MV518" s="1260"/>
      <c r="MW518" s="1260"/>
      <c r="MX518" s="1260"/>
      <c r="MY518" s="1260"/>
      <c r="MZ518" s="1260"/>
      <c r="NA518" s="1260"/>
      <c r="NB518" s="1260"/>
      <c r="NC518" s="1260"/>
      <c r="ND518" s="1260"/>
      <c r="NE518" s="1260"/>
      <c r="NF518" s="1260"/>
      <c r="NG518" s="1260"/>
      <c r="NH518" s="1260"/>
      <c r="NI518" s="1260"/>
      <c r="NJ518" s="1260"/>
      <c r="NK518" s="1260"/>
      <c r="NL518" s="1260"/>
      <c r="NM518" s="1260"/>
      <c r="NN518" s="1260"/>
      <c r="NO518" s="1260"/>
      <c r="NP518" s="1260"/>
      <c r="NQ518" s="1260"/>
      <c r="NR518" s="1260"/>
      <c r="NS518" s="1260"/>
      <c r="NT518" s="1260"/>
      <c r="NU518" s="1260"/>
      <c r="NV518" s="1260"/>
      <c r="NW518" s="1260"/>
      <c r="NX518" s="1260"/>
      <c r="NY518" s="1260"/>
      <c r="NZ518" s="1260"/>
      <c r="OA518" s="1260"/>
      <c r="OB518" s="1260"/>
      <c r="OC518" s="1260"/>
      <c r="OD518" s="1260"/>
      <c r="OE518" s="1260"/>
      <c r="OF518" s="1260"/>
      <c r="OG518" s="1260"/>
      <c r="OH518" s="1260"/>
      <c r="OI518" s="1260"/>
      <c r="OJ518" s="1260"/>
      <c r="OK518" s="1260"/>
      <c r="OL518" s="1260"/>
      <c r="OM518" s="1260"/>
      <c r="ON518" s="1260"/>
      <c r="OO518" s="1260"/>
      <c r="OP518" s="1260"/>
      <c r="OQ518" s="1260"/>
      <c r="OR518" s="1260"/>
      <c r="OS518" s="1260"/>
      <c r="OT518" s="1260"/>
      <c r="OU518" s="1260"/>
      <c r="OV518" s="1260"/>
      <c r="OW518" s="1260"/>
      <c r="OX518" s="1260"/>
      <c r="OY518" s="1260"/>
      <c r="OZ518" s="1260"/>
      <c r="PA518" s="1260"/>
      <c r="PB518" s="1260"/>
      <c r="PC518" s="1260"/>
      <c r="PD518" s="1260"/>
      <c r="PE518" s="1260"/>
      <c r="PF518" s="1260"/>
      <c r="PG518" s="1260"/>
      <c r="PH518" s="1260"/>
      <c r="PI518" s="1260"/>
      <c r="PJ518" s="1260"/>
      <c r="PK518" s="1260"/>
      <c r="PL518" s="1260"/>
      <c r="PM518" s="1260"/>
      <c r="PN518" s="1260"/>
      <c r="PO518" s="1260"/>
      <c r="PP518" s="1260"/>
      <c r="PQ518" s="1260"/>
      <c r="PR518" s="1260"/>
      <c r="PS518" s="1260"/>
      <c r="PT518" s="1260"/>
      <c r="PU518" s="1260"/>
      <c r="PV518" s="1260"/>
      <c r="PW518" s="1260"/>
      <c r="PX518" s="1260"/>
      <c r="PY518" s="1260"/>
      <c r="PZ518" s="1260"/>
      <c r="QA518" s="1260"/>
      <c r="QB518" s="1260"/>
      <c r="QC518" s="1260"/>
      <c r="QD518" s="1260"/>
      <c r="QE518" s="1260"/>
      <c r="QF518" s="1260"/>
      <c r="QG518" s="1260"/>
      <c r="QH518" s="1260"/>
      <c r="QI518" s="1260"/>
      <c r="QJ518" s="1260"/>
      <c r="QK518" s="1260"/>
      <c r="QL518" s="1260"/>
      <c r="QM518" s="1260"/>
      <c r="QN518" s="1260"/>
      <c r="QO518" s="1260"/>
      <c r="QP518" s="1260"/>
      <c r="QQ518" s="1260"/>
      <c r="QR518" s="1260"/>
      <c r="QS518" s="1260"/>
      <c r="QT518" s="1260"/>
      <c r="QU518" s="1260"/>
      <c r="QV518" s="1260"/>
      <c r="QW518" s="1260"/>
      <c r="QX518" s="1260"/>
      <c r="QY518" s="1260"/>
      <c r="QZ518" s="1260"/>
      <c r="RA518" s="1260"/>
      <c r="RB518" s="1260"/>
      <c r="RC518" s="1260"/>
      <c r="RD518" s="1260"/>
      <c r="RE518" s="1260"/>
      <c r="RF518" s="1260"/>
      <c r="RG518" s="1260"/>
      <c r="RH518" s="1260"/>
      <c r="RI518" s="1260"/>
      <c r="RJ518" s="1260"/>
      <c r="RK518" s="1260"/>
      <c r="RL518" s="1260"/>
      <c r="RM518" s="1260"/>
      <c r="RN518" s="1260"/>
      <c r="RO518" s="1260"/>
      <c r="RP518" s="1260"/>
      <c r="RQ518" s="1260"/>
      <c r="RR518" s="1260"/>
      <c r="RS518" s="1260"/>
      <c r="RT518" s="1260"/>
      <c r="RU518" s="1260"/>
      <c r="RV518" s="1260"/>
      <c r="RW518" s="1260"/>
      <c r="RX518" s="1260"/>
      <c r="RY518" s="1260"/>
      <c r="RZ518" s="1260"/>
      <c r="SA518" s="1260"/>
      <c r="SB518" s="1260"/>
      <c r="SC518" s="1260"/>
      <c r="SD518" s="1260"/>
      <c r="SE518" s="1260"/>
      <c r="SF518" s="1260"/>
      <c r="SG518" s="1260"/>
      <c r="SH518" s="1260"/>
      <c r="SI518" s="1260"/>
      <c r="SJ518" s="1260"/>
      <c r="SK518" s="1260"/>
      <c r="SL518" s="1260"/>
      <c r="SM518" s="1260"/>
      <c r="SN518" s="1260"/>
      <c r="SO518" s="1260"/>
      <c r="SP518" s="1260"/>
      <c r="SQ518" s="1260"/>
      <c r="SR518" s="1260"/>
      <c r="SS518" s="1260"/>
      <c r="ST518" s="1260"/>
      <c r="SU518" s="1260"/>
      <c r="SV518" s="1260"/>
      <c r="SW518" s="1260"/>
      <c r="SX518" s="1260"/>
      <c r="SY518" s="1260"/>
      <c r="SZ518" s="1260"/>
      <c r="TA518" s="1260"/>
      <c r="TB518" s="1260"/>
      <c r="TC518" s="1260"/>
      <c r="TD518" s="1260"/>
      <c r="TE518" s="1260"/>
      <c r="TF518" s="1260"/>
      <c r="TG518" s="1260"/>
      <c r="TH518" s="1260"/>
      <c r="TI518" s="1260"/>
      <c r="TJ518" s="1260"/>
      <c r="TK518" s="1260"/>
      <c r="TL518" s="1260"/>
      <c r="TM518" s="1260"/>
      <c r="TN518" s="1260"/>
      <c r="TO518" s="1260"/>
      <c r="TP518" s="1260"/>
      <c r="TQ518" s="1260"/>
      <c r="TR518" s="1260"/>
      <c r="TS518" s="1260"/>
      <c r="TT518" s="1260"/>
      <c r="TU518" s="1260"/>
      <c r="TV518" s="1260"/>
      <c r="TW518" s="1260"/>
      <c r="TX518" s="1260"/>
      <c r="TY518" s="1260"/>
      <c r="TZ518" s="1260"/>
      <c r="UA518" s="1260"/>
      <c r="UB518" s="1260"/>
      <c r="UC518" s="1260"/>
      <c r="UD518" s="1260"/>
      <c r="UE518" s="1260"/>
      <c r="UF518" s="1260"/>
      <c r="UG518" s="1261"/>
    </row>
    <row r="519" spans="1:553" s="1262" customFormat="1" ht="30.75" customHeight="1">
      <c r="A519" s="1226" t="s">
        <v>15</v>
      </c>
      <c r="B519" s="1226"/>
      <c r="C519" s="1463" t="s">
        <v>382</v>
      </c>
      <c r="D519" s="1452"/>
      <c r="E519" s="1452"/>
      <c r="F519" s="1464"/>
      <c r="G519" s="1226" t="s">
        <v>196</v>
      </c>
      <c r="H519" s="600"/>
      <c r="I519" s="423">
        <f>(55.03*100/400)*(32-(4-3))*17</f>
        <v>7250.2025000000003</v>
      </c>
      <c r="J519" s="1243">
        <v>7300</v>
      </c>
      <c r="K519" s="1286">
        <v>0.7</v>
      </c>
      <c r="L519" s="679">
        <f>ROUND(PRODUCT(I519:K519),0)</f>
        <v>37048535</v>
      </c>
      <c r="M519" s="366"/>
      <c r="N519" s="366"/>
      <c r="O519" s="366"/>
      <c r="P519" s="366"/>
      <c r="Q519" s="1040"/>
      <c r="R519" s="1228"/>
      <c r="S519" s="308"/>
      <c r="T519" s="308"/>
      <c r="U519" s="308"/>
      <c r="V519" s="308"/>
      <c r="W519" s="308"/>
      <c r="X519" s="308"/>
      <c r="Y519" s="308"/>
      <c r="Z519" s="604"/>
      <c r="AA519" s="308"/>
      <c r="AB519" s="308"/>
      <c r="AC519" s="449"/>
      <c r="AD519" s="452"/>
      <c r="AE519" s="452"/>
      <c r="AF519" s="452"/>
      <c r="AG519" s="452"/>
      <c r="AH519" s="452"/>
      <c r="AI519" s="452"/>
      <c r="AJ519" s="452"/>
      <c r="AK519" s="452"/>
      <c r="AL519" s="1259"/>
      <c r="AM519" s="1259"/>
      <c r="AN519" s="1259"/>
      <c r="AO519" s="1259"/>
      <c r="AP519" s="1259"/>
      <c r="AQ519" s="1259"/>
      <c r="AR519" s="1259"/>
      <c r="AS519" s="1259"/>
      <c r="AT519" s="1259"/>
      <c r="AU519" s="1259"/>
      <c r="AV519" s="1259"/>
      <c r="AW519" s="1259"/>
      <c r="AX519" s="1259"/>
      <c r="AY519" s="1259"/>
      <c r="AZ519" s="1259"/>
      <c r="BA519" s="1259"/>
      <c r="BB519" s="1259"/>
      <c r="BC519" s="1259"/>
      <c r="BD519" s="1259"/>
      <c r="BE519" s="1259"/>
      <c r="BF519" s="1259"/>
      <c r="BG519" s="1259"/>
      <c r="BH519" s="1259"/>
      <c r="BI519" s="1259"/>
      <c r="BJ519" s="1259"/>
      <c r="BK519" s="1259"/>
      <c r="BL519" s="1259"/>
      <c r="BM519" s="1259"/>
      <c r="BN519" s="1259"/>
      <c r="BO519" s="1259"/>
      <c r="BP519" s="1259"/>
      <c r="BQ519" s="1259"/>
      <c r="BR519" s="1259"/>
      <c r="BS519" s="1259"/>
      <c r="BT519" s="1259"/>
      <c r="BU519" s="1259"/>
      <c r="BV519" s="1259"/>
      <c r="BW519" s="1259"/>
      <c r="BX519" s="1259"/>
      <c r="BY519" s="1259"/>
      <c r="BZ519" s="1259"/>
      <c r="CA519" s="1259"/>
      <c r="CB519" s="1259"/>
      <c r="CC519" s="1259"/>
      <c r="CD519" s="1259"/>
      <c r="CE519" s="1259"/>
      <c r="CF519" s="1259"/>
      <c r="CG519" s="1259"/>
      <c r="CH519" s="1259"/>
      <c r="CI519" s="1259"/>
      <c r="CJ519" s="1259"/>
      <c r="CK519" s="1259"/>
      <c r="CL519" s="1259"/>
      <c r="CM519" s="1259"/>
      <c r="CN519" s="1259"/>
      <c r="CO519" s="1259"/>
      <c r="CP519" s="1259"/>
      <c r="CQ519" s="1259"/>
      <c r="CR519" s="1259"/>
      <c r="CS519" s="1259"/>
      <c r="CT519" s="1259"/>
      <c r="CU519" s="1259"/>
      <c r="CV519" s="1259"/>
      <c r="CW519" s="1259"/>
      <c r="CX519" s="1259"/>
      <c r="CY519" s="1259"/>
      <c r="CZ519" s="1259"/>
      <c r="DA519" s="1259"/>
      <c r="DB519" s="1259"/>
      <c r="DC519" s="1259"/>
      <c r="DD519" s="1259"/>
      <c r="DE519" s="1259"/>
      <c r="DF519" s="1259"/>
      <c r="DG519" s="1259"/>
      <c r="DH519" s="1259"/>
      <c r="DI519" s="1259"/>
      <c r="DJ519" s="1259"/>
      <c r="DK519" s="1259"/>
      <c r="DL519" s="1259"/>
      <c r="DM519" s="1259"/>
      <c r="DN519" s="1259"/>
      <c r="DO519" s="1259"/>
      <c r="DP519" s="1259"/>
      <c r="DQ519" s="1259"/>
      <c r="DR519" s="1259"/>
      <c r="DS519" s="1259"/>
      <c r="DT519" s="1259"/>
      <c r="DU519" s="1259"/>
      <c r="DV519" s="1259"/>
      <c r="DW519" s="1259"/>
      <c r="DX519" s="1259"/>
      <c r="DY519" s="1259"/>
      <c r="DZ519" s="1259"/>
      <c r="EA519" s="1259"/>
      <c r="EB519" s="1259"/>
      <c r="EC519" s="1259"/>
      <c r="ED519" s="1259"/>
      <c r="EE519" s="1259"/>
      <c r="EF519" s="1259"/>
      <c r="EG519" s="1259"/>
      <c r="EH519" s="1259"/>
      <c r="EI519" s="1259"/>
      <c r="EJ519" s="1259"/>
      <c r="EK519" s="1259"/>
      <c r="EL519" s="1259"/>
      <c r="EM519" s="1259"/>
      <c r="EN519" s="1259"/>
      <c r="EO519" s="1259"/>
      <c r="EP519" s="1259"/>
      <c r="EQ519" s="1259"/>
      <c r="ER519" s="1259"/>
      <c r="ES519" s="1259"/>
      <c r="ET519" s="1259"/>
      <c r="EU519" s="1259"/>
      <c r="EV519" s="1259"/>
      <c r="EW519" s="1259"/>
      <c r="EX519" s="1259"/>
      <c r="EY519" s="1259"/>
      <c r="EZ519" s="1259"/>
      <c r="FA519" s="1259"/>
      <c r="FB519" s="1259"/>
      <c r="FC519" s="1259"/>
      <c r="FD519" s="1259"/>
      <c r="FE519" s="1259"/>
      <c r="FF519" s="1259"/>
      <c r="FG519" s="1259"/>
      <c r="FH519" s="1259"/>
      <c r="FI519" s="1259"/>
      <c r="FJ519" s="1259"/>
      <c r="FK519" s="1259"/>
      <c r="FL519" s="1259"/>
      <c r="FM519" s="1259"/>
      <c r="FN519" s="1259"/>
      <c r="FO519" s="1259"/>
      <c r="FP519" s="1259"/>
      <c r="FQ519" s="1259"/>
      <c r="FR519" s="1259"/>
      <c r="FS519" s="1259"/>
      <c r="FT519" s="1259"/>
      <c r="FU519" s="1259"/>
      <c r="FV519" s="1259"/>
      <c r="FW519" s="1259"/>
      <c r="FX519" s="1259"/>
      <c r="FY519" s="1259"/>
      <c r="FZ519" s="1259"/>
      <c r="GA519" s="1259"/>
      <c r="GB519" s="1259"/>
      <c r="GC519" s="1259"/>
      <c r="GD519" s="1259"/>
      <c r="GE519" s="1259"/>
      <c r="GF519" s="1259"/>
      <c r="GG519" s="1259"/>
      <c r="GH519" s="1259"/>
      <c r="GI519" s="1259"/>
      <c r="GJ519" s="1259"/>
      <c r="GK519" s="1259"/>
      <c r="GL519" s="1259"/>
      <c r="GM519" s="1259"/>
      <c r="GN519" s="1259"/>
      <c r="GO519" s="1259"/>
      <c r="GP519" s="1259"/>
      <c r="GQ519" s="1259"/>
      <c r="GR519" s="1259"/>
      <c r="GS519" s="1259"/>
      <c r="GT519" s="1259"/>
      <c r="GU519" s="1259"/>
      <c r="GV519" s="1259"/>
      <c r="GW519" s="1259"/>
      <c r="GX519" s="1259"/>
      <c r="GY519" s="1259"/>
      <c r="GZ519" s="1259"/>
      <c r="HA519" s="1259"/>
      <c r="HB519" s="1259"/>
      <c r="HC519" s="1259"/>
      <c r="HD519" s="1259"/>
      <c r="HE519" s="1259"/>
      <c r="HF519" s="1259"/>
      <c r="HG519" s="1259"/>
      <c r="HH519" s="1259"/>
      <c r="HI519" s="1259"/>
      <c r="HJ519" s="1259"/>
      <c r="HK519" s="1259"/>
      <c r="HL519" s="1259"/>
      <c r="HM519" s="1259"/>
      <c r="HN519" s="1259"/>
      <c r="HO519" s="1259"/>
      <c r="HP519" s="1259"/>
      <c r="HQ519" s="1259"/>
      <c r="HR519" s="1259"/>
      <c r="HS519" s="1259"/>
      <c r="HT519" s="1259"/>
      <c r="HU519" s="1259"/>
      <c r="HV519" s="1259"/>
      <c r="HW519" s="1259"/>
      <c r="HX519" s="1259"/>
      <c r="HY519" s="1259"/>
      <c r="HZ519" s="1259"/>
      <c r="IA519" s="1259"/>
      <c r="IB519" s="1259"/>
      <c r="IC519" s="1259"/>
      <c r="ID519" s="1259"/>
      <c r="IE519" s="1259"/>
      <c r="IF519" s="1259"/>
      <c r="IG519" s="1259"/>
      <c r="IH519" s="1259"/>
      <c r="II519" s="1259"/>
      <c r="IJ519" s="1259"/>
      <c r="IK519" s="1259"/>
      <c r="IL519" s="1259"/>
      <c r="IM519" s="1259"/>
      <c r="IN519" s="1259"/>
      <c r="IO519" s="1259"/>
      <c r="IP519" s="1259"/>
      <c r="IQ519" s="1259"/>
      <c r="IR519" s="1259"/>
      <c r="IS519" s="1259"/>
      <c r="IT519" s="1259"/>
      <c r="IU519" s="1259"/>
      <c r="IV519" s="1259"/>
      <c r="IW519" s="1259"/>
      <c r="IX519" s="1259"/>
      <c r="IY519" s="1259"/>
      <c r="IZ519" s="1259"/>
      <c r="JA519" s="1259"/>
      <c r="JB519" s="1259"/>
      <c r="JC519" s="1259"/>
      <c r="JD519" s="1259"/>
      <c r="JE519" s="1259"/>
      <c r="JF519" s="1259"/>
      <c r="JG519" s="1259"/>
      <c r="JH519" s="1259"/>
      <c r="JI519" s="1259"/>
      <c r="JJ519" s="1259"/>
      <c r="JK519" s="1259"/>
      <c r="JL519" s="1259"/>
      <c r="JM519" s="1259"/>
      <c r="JN519" s="1259"/>
      <c r="JO519" s="1259"/>
      <c r="JP519" s="1259"/>
      <c r="JQ519" s="1259"/>
      <c r="JR519" s="1259"/>
      <c r="JS519" s="1259"/>
      <c r="JT519" s="1259"/>
      <c r="JU519" s="1259"/>
      <c r="JV519" s="1259"/>
      <c r="JW519" s="1259"/>
      <c r="JX519" s="1259"/>
      <c r="JY519" s="1259"/>
      <c r="JZ519" s="1259"/>
      <c r="KA519" s="1259"/>
      <c r="KB519" s="1259"/>
      <c r="KC519" s="1259"/>
      <c r="KD519" s="1259"/>
      <c r="KE519" s="1259"/>
      <c r="KF519" s="1259"/>
      <c r="KG519" s="1259"/>
      <c r="KH519" s="1259"/>
      <c r="KI519" s="1259"/>
      <c r="KJ519" s="1259"/>
      <c r="KK519" s="1259"/>
      <c r="KL519" s="1259"/>
      <c r="KM519" s="1259"/>
      <c r="KN519" s="1259"/>
      <c r="KO519" s="1259"/>
      <c r="KP519" s="1259"/>
      <c r="KQ519" s="1259"/>
      <c r="KR519" s="1259"/>
      <c r="KS519" s="1259"/>
      <c r="KT519" s="1259"/>
      <c r="KU519" s="1259"/>
      <c r="KV519" s="1259"/>
      <c r="KW519" s="1259"/>
      <c r="KX519" s="1259"/>
      <c r="KY519" s="1259"/>
      <c r="KZ519" s="1259"/>
      <c r="LA519" s="1259"/>
      <c r="LB519" s="1259"/>
      <c r="LC519" s="1259"/>
      <c r="LD519" s="1259"/>
      <c r="LE519" s="1259"/>
      <c r="LF519" s="1259"/>
      <c r="LG519" s="1259"/>
      <c r="LH519" s="1259"/>
      <c r="LI519" s="1259"/>
      <c r="LJ519" s="1259"/>
      <c r="LK519" s="1259"/>
      <c r="LL519" s="1259"/>
      <c r="LM519" s="1259"/>
      <c r="LN519" s="1259"/>
      <c r="LO519" s="1259"/>
      <c r="LP519" s="1259"/>
      <c r="LQ519" s="1259"/>
      <c r="LR519" s="1259"/>
      <c r="LS519" s="1259"/>
      <c r="LT519" s="1259"/>
      <c r="LU519" s="1259"/>
      <c r="LV519" s="1259"/>
      <c r="LW519" s="1259"/>
      <c r="LX519" s="1259"/>
      <c r="LY519" s="1259"/>
      <c r="LZ519" s="1259"/>
      <c r="MA519" s="1259"/>
      <c r="MB519" s="1259"/>
      <c r="MC519" s="1259"/>
      <c r="MD519" s="1259"/>
      <c r="ME519" s="1259"/>
      <c r="MF519" s="1259"/>
      <c r="MG519" s="1259"/>
      <c r="MH519" s="1259"/>
      <c r="MI519" s="1259"/>
      <c r="MJ519" s="1259"/>
      <c r="MK519" s="1259"/>
      <c r="ML519" s="1259"/>
      <c r="MM519" s="1259"/>
      <c r="MN519" s="1259"/>
      <c r="MO519" s="1259"/>
      <c r="MP519" s="1259"/>
      <c r="MQ519" s="1259"/>
      <c r="MR519" s="1259"/>
      <c r="MS519" s="1259"/>
      <c r="MT519" s="1259"/>
      <c r="MU519" s="1259"/>
      <c r="MV519" s="1259"/>
      <c r="MW519" s="1259"/>
      <c r="MX519" s="1259"/>
      <c r="MY519" s="1259"/>
      <c r="MZ519" s="1259"/>
      <c r="NA519" s="1259"/>
      <c r="NB519" s="1259"/>
      <c r="NC519" s="1259"/>
      <c r="ND519" s="1259"/>
      <c r="NE519" s="1259"/>
      <c r="NF519" s="1259"/>
      <c r="NG519" s="1259"/>
      <c r="NH519" s="1259"/>
      <c r="NI519" s="1259"/>
      <c r="NJ519" s="1259"/>
      <c r="NK519" s="1259"/>
      <c r="NL519" s="1259"/>
      <c r="NM519" s="1259"/>
      <c r="NN519" s="1259"/>
      <c r="NO519" s="1259"/>
      <c r="NP519" s="1259"/>
      <c r="NQ519" s="1259"/>
      <c r="NR519" s="1259"/>
      <c r="NS519" s="1259"/>
      <c r="NT519" s="1259"/>
      <c r="NU519" s="1259"/>
      <c r="NV519" s="1259"/>
      <c r="NW519" s="1259"/>
      <c r="NX519" s="1259"/>
      <c r="NY519" s="1259"/>
      <c r="NZ519" s="1259"/>
      <c r="OA519" s="1259"/>
      <c r="OB519" s="1259"/>
      <c r="OC519" s="1259"/>
      <c r="OD519" s="1259"/>
      <c r="OE519" s="1259"/>
      <c r="OF519" s="1259"/>
      <c r="OG519" s="1259"/>
      <c r="OH519" s="1259"/>
      <c r="OI519" s="1259"/>
      <c r="OJ519" s="1259"/>
      <c r="OK519" s="1259"/>
      <c r="OL519" s="1259"/>
      <c r="OM519" s="1259"/>
      <c r="ON519" s="1259"/>
      <c r="OO519" s="1259"/>
      <c r="OP519" s="1259"/>
      <c r="OQ519" s="1259"/>
      <c r="OR519" s="1259"/>
      <c r="OS519" s="1259"/>
      <c r="OT519" s="1259"/>
      <c r="OU519" s="1259"/>
      <c r="OV519" s="1259"/>
      <c r="OW519" s="1259"/>
      <c r="OX519" s="1259"/>
      <c r="OY519" s="1259"/>
      <c r="OZ519" s="1259"/>
      <c r="PA519" s="1259"/>
      <c r="PB519" s="1259"/>
      <c r="PC519" s="1259"/>
      <c r="PD519" s="1259"/>
      <c r="PE519" s="1259"/>
      <c r="PF519" s="1259"/>
      <c r="PG519" s="1259"/>
      <c r="PH519" s="1259"/>
      <c r="PI519" s="1259"/>
      <c r="PJ519" s="1259"/>
      <c r="PK519" s="1259"/>
      <c r="PL519" s="1259"/>
      <c r="PM519" s="1259"/>
      <c r="PN519" s="1259"/>
      <c r="PO519" s="1259"/>
      <c r="PP519" s="1259"/>
      <c r="PQ519" s="1259"/>
      <c r="PR519" s="1259"/>
      <c r="PS519" s="1259"/>
      <c r="PT519" s="1259"/>
      <c r="PU519" s="1259"/>
      <c r="PV519" s="1259"/>
      <c r="PW519" s="1259"/>
      <c r="PX519" s="1259"/>
      <c r="PY519" s="1259"/>
      <c r="PZ519" s="1259"/>
      <c r="QA519" s="1259"/>
      <c r="QB519" s="1259"/>
      <c r="QC519" s="1259"/>
      <c r="QD519" s="1259"/>
      <c r="QE519" s="1259"/>
      <c r="QF519" s="1259"/>
      <c r="QG519" s="1259"/>
      <c r="QH519" s="1259"/>
      <c r="QI519" s="1259"/>
      <c r="QJ519" s="1259"/>
      <c r="QK519" s="1259"/>
      <c r="QL519" s="1259"/>
      <c r="QM519" s="1259"/>
      <c r="QN519" s="1259"/>
      <c r="QO519" s="1259"/>
      <c r="QP519" s="1259"/>
      <c r="QQ519" s="1259"/>
      <c r="QR519" s="1259"/>
      <c r="QS519" s="1259"/>
      <c r="QT519" s="1259"/>
      <c r="QU519" s="1259"/>
      <c r="QV519" s="1259"/>
      <c r="QW519" s="1259"/>
      <c r="QX519" s="1259"/>
      <c r="QY519" s="1259"/>
      <c r="QZ519" s="1259"/>
      <c r="RA519" s="1259"/>
      <c r="RB519" s="1259"/>
      <c r="RC519" s="1259"/>
      <c r="RD519" s="1259"/>
      <c r="RE519" s="1259"/>
      <c r="RF519" s="1259"/>
      <c r="RG519" s="1259"/>
      <c r="RH519" s="1259"/>
      <c r="RI519" s="1259"/>
      <c r="RJ519" s="1259"/>
      <c r="RK519" s="1259"/>
      <c r="RL519" s="1259"/>
      <c r="RM519" s="1259"/>
      <c r="RN519" s="1259"/>
      <c r="RO519" s="1259"/>
      <c r="RP519" s="1259"/>
      <c r="RQ519" s="1259"/>
      <c r="RR519" s="1259"/>
      <c r="RS519" s="1259"/>
      <c r="RT519" s="1259"/>
      <c r="RU519" s="1259"/>
      <c r="RV519" s="1259"/>
      <c r="RW519" s="1259"/>
      <c r="RX519" s="1259"/>
      <c r="RY519" s="1259"/>
      <c r="RZ519" s="1259"/>
      <c r="SA519" s="1259"/>
      <c r="SB519" s="1259"/>
      <c r="SC519" s="1259"/>
      <c r="SD519" s="1259"/>
      <c r="SE519" s="1259"/>
      <c r="SF519" s="1259"/>
      <c r="SG519" s="1259"/>
      <c r="SH519" s="1259"/>
      <c r="SI519" s="1259"/>
      <c r="SJ519" s="1259"/>
      <c r="SK519" s="1259"/>
      <c r="SL519" s="1259"/>
      <c r="SM519" s="1259"/>
      <c r="SN519" s="1259"/>
      <c r="SO519" s="1259"/>
      <c r="SP519" s="1259"/>
      <c r="SQ519" s="1259"/>
      <c r="SR519" s="1259"/>
      <c r="SS519" s="1259"/>
      <c r="ST519" s="1259"/>
      <c r="SU519" s="1259"/>
      <c r="SV519" s="1259"/>
      <c r="SW519" s="1259"/>
      <c r="SX519" s="1259"/>
      <c r="SY519" s="1259"/>
      <c r="SZ519" s="1259"/>
      <c r="TA519" s="1259"/>
      <c r="TB519" s="1259"/>
      <c r="TC519" s="1259"/>
      <c r="TD519" s="1259"/>
      <c r="TE519" s="1259"/>
      <c r="TF519" s="1259"/>
      <c r="TG519" s="1259"/>
      <c r="TH519" s="1259"/>
      <c r="TI519" s="1259"/>
      <c r="TJ519" s="1259"/>
      <c r="TK519" s="1259"/>
      <c r="TL519" s="1259"/>
      <c r="TM519" s="1259"/>
      <c r="TN519" s="1259"/>
      <c r="TO519" s="1259"/>
      <c r="TP519" s="1259"/>
      <c r="TQ519" s="1259"/>
      <c r="TR519" s="1259"/>
      <c r="TS519" s="1259"/>
      <c r="TT519" s="1259"/>
      <c r="TU519" s="1259"/>
      <c r="TV519" s="1259"/>
      <c r="TW519" s="1259"/>
      <c r="TX519" s="1259"/>
      <c r="TY519" s="1259"/>
      <c r="TZ519" s="1259"/>
      <c r="UA519" s="1259"/>
      <c r="UB519" s="1259"/>
      <c r="UC519" s="1259"/>
      <c r="UD519" s="1259"/>
      <c r="UE519" s="1259"/>
      <c r="UF519" s="1259"/>
      <c r="UG519" s="1261"/>
    </row>
    <row r="520" spans="1:553" s="1262" customFormat="1" ht="30.75" customHeight="1">
      <c r="A520" s="415" t="s">
        <v>15</v>
      </c>
      <c r="B520" s="415"/>
      <c r="C520" s="1499" t="s">
        <v>372</v>
      </c>
      <c r="D520" s="1461"/>
      <c r="E520" s="1461"/>
      <c r="F520" s="1461"/>
      <c r="G520" s="1226" t="s">
        <v>193</v>
      </c>
      <c r="H520" s="603"/>
      <c r="I520" s="505">
        <v>1</v>
      </c>
      <c r="J520" s="512">
        <v>160000</v>
      </c>
      <c r="K520" s="506"/>
      <c r="L520" s="1012">
        <f t="shared" si="95"/>
        <v>160000</v>
      </c>
      <c r="M520" s="366"/>
      <c r="N520" s="366"/>
      <c r="O520" s="366"/>
      <c r="P520" s="366"/>
      <c r="Q520" s="1040"/>
      <c r="R520" s="1228"/>
      <c r="S520" s="308"/>
      <c r="T520" s="308"/>
      <c r="U520" s="308"/>
      <c r="V520" s="308"/>
      <c r="W520" s="308"/>
      <c r="X520" s="308"/>
      <c r="Y520" s="308"/>
      <c r="Z520" s="604"/>
      <c r="AA520" s="308"/>
      <c r="AB520" s="308"/>
      <c r="AC520" s="449"/>
      <c r="AD520" s="452"/>
      <c r="AE520" s="452"/>
      <c r="AF520" s="452"/>
      <c r="AG520" s="452"/>
      <c r="AH520" s="452"/>
      <c r="AI520" s="452"/>
      <c r="AJ520" s="452"/>
      <c r="AK520" s="452"/>
      <c r="AL520" s="1259"/>
      <c r="AM520" s="1259"/>
      <c r="AN520" s="1259"/>
      <c r="AO520" s="1259"/>
      <c r="AP520" s="1259"/>
      <c r="AQ520" s="1259"/>
      <c r="AR520" s="1259"/>
      <c r="AS520" s="1259"/>
      <c r="AT520" s="1259"/>
      <c r="AU520" s="1259"/>
      <c r="AV520" s="1259"/>
      <c r="AW520" s="1259"/>
      <c r="AX520" s="1259"/>
      <c r="AY520" s="1259"/>
      <c r="AZ520" s="1259"/>
      <c r="BA520" s="1259"/>
      <c r="BB520" s="1259"/>
      <c r="BC520" s="1259"/>
      <c r="BD520" s="1259"/>
      <c r="BE520" s="1259"/>
      <c r="BF520" s="1259"/>
      <c r="BG520" s="1259"/>
      <c r="BH520" s="1259"/>
      <c r="BI520" s="1259"/>
      <c r="BJ520" s="1259"/>
      <c r="BK520" s="1259"/>
      <c r="BL520" s="1259"/>
      <c r="BM520" s="1259"/>
      <c r="BN520" s="1259"/>
      <c r="BO520" s="1259"/>
      <c r="BP520" s="1259"/>
      <c r="BQ520" s="1259"/>
      <c r="BR520" s="1259"/>
      <c r="BS520" s="1259"/>
      <c r="BT520" s="1259"/>
      <c r="BU520" s="1259"/>
      <c r="BV520" s="1259"/>
      <c r="BW520" s="1259"/>
      <c r="BX520" s="1259"/>
      <c r="BY520" s="1259"/>
      <c r="BZ520" s="1259"/>
      <c r="CA520" s="1259"/>
      <c r="CB520" s="1259"/>
      <c r="CC520" s="1259"/>
      <c r="CD520" s="1259"/>
      <c r="CE520" s="1259"/>
      <c r="CF520" s="1259"/>
      <c r="CG520" s="1259"/>
      <c r="CH520" s="1259"/>
      <c r="CI520" s="1259"/>
      <c r="CJ520" s="1259"/>
      <c r="CK520" s="1259"/>
      <c r="CL520" s="1259"/>
      <c r="CM520" s="1259"/>
      <c r="CN520" s="1259"/>
      <c r="CO520" s="1259"/>
      <c r="CP520" s="1259"/>
      <c r="CQ520" s="1259"/>
      <c r="CR520" s="1259"/>
      <c r="CS520" s="1259"/>
      <c r="CT520" s="1259"/>
      <c r="CU520" s="1259"/>
      <c r="CV520" s="1259"/>
      <c r="CW520" s="1259"/>
      <c r="CX520" s="1259"/>
      <c r="CY520" s="1259"/>
      <c r="CZ520" s="1259"/>
      <c r="DA520" s="1259"/>
      <c r="DB520" s="1259"/>
      <c r="DC520" s="1259"/>
      <c r="DD520" s="1259"/>
      <c r="DE520" s="1259"/>
      <c r="DF520" s="1259"/>
      <c r="DG520" s="1259"/>
      <c r="DH520" s="1259"/>
      <c r="DI520" s="1259"/>
      <c r="DJ520" s="1259"/>
      <c r="DK520" s="1259"/>
      <c r="DL520" s="1259"/>
      <c r="DM520" s="1259"/>
      <c r="DN520" s="1259"/>
      <c r="DO520" s="1259"/>
      <c r="DP520" s="1259"/>
      <c r="DQ520" s="1259"/>
      <c r="DR520" s="1259"/>
      <c r="DS520" s="1259"/>
      <c r="DT520" s="1259"/>
      <c r="DU520" s="1259"/>
      <c r="DV520" s="1259"/>
      <c r="DW520" s="1259"/>
      <c r="DX520" s="1259"/>
      <c r="DY520" s="1259"/>
      <c r="DZ520" s="1259"/>
      <c r="EA520" s="1259"/>
      <c r="EB520" s="1259"/>
      <c r="EC520" s="1259"/>
      <c r="ED520" s="1259"/>
      <c r="EE520" s="1259"/>
      <c r="EF520" s="1259"/>
      <c r="EG520" s="1259"/>
      <c r="EH520" s="1259"/>
      <c r="EI520" s="1259"/>
      <c r="EJ520" s="1259"/>
      <c r="EK520" s="1259"/>
      <c r="EL520" s="1259"/>
      <c r="EM520" s="1259"/>
      <c r="EN520" s="1259"/>
      <c r="EO520" s="1259"/>
      <c r="EP520" s="1259"/>
      <c r="EQ520" s="1259"/>
      <c r="ER520" s="1259"/>
      <c r="ES520" s="1259"/>
      <c r="ET520" s="1259"/>
      <c r="EU520" s="1259"/>
      <c r="EV520" s="1259"/>
      <c r="EW520" s="1259"/>
      <c r="EX520" s="1259"/>
      <c r="EY520" s="1259"/>
      <c r="EZ520" s="1259"/>
      <c r="FA520" s="1259"/>
      <c r="FB520" s="1259"/>
      <c r="FC520" s="1259"/>
      <c r="FD520" s="1259"/>
      <c r="FE520" s="1259"/>
      <c r="FF520" s="1259"/>
      <c r="FG520" s="1259"/>
      <c r="FH520" s="1259"/>
      <c r="FI520" s="1259"/>
      <c r="FJ520" s="1259"/>
      <c r="FK520" s="1259"/>
      <c r="FL520" s="1259"/>
      <c r="FM520" s="1259"/>
      <c r="FN520" s="1259"/>
      <c r="FO520" s="1259"/>
      <c r="FP520" s="1259"/>
      <c r="FQ520" s="1259"/>
      <c r="FR520" s="1259"/>
      <c r="FS520" s="1259"/>
      <c r="FT520" s="1259"/>
      <c r="FU520" s="1259"/>
      <c r="FV520" s="1259"/>
      <c r="FW520" s="1259"/>
      <c r="FX520" s="1259"/>
      <c r="FY520" s="1259"/>
      <c r="FZ520" s="1259"/>
      <c r="GA520" s="1259"/>
      <c r="GB520" s="1259"/>
      <c r="GC520" s="1259"/>
      <c r="GD520" s="1259"/>
      <c r="GE520" s="1259"/>
      <c r="GF520" s="1259"/>
      <c r="GG520" s="1259"/>
      <c r="GH520" s="1259"/>
      <c r="GI520" s="1259"/>
      <c r="GJ520" s="1259"/>
      <c r="GK520" s="1259"/>
      <c r="GL520" s="1259"/>
      <c r="GM520" s="1259"/>
      <c r="GN520" s="1259"/>
      <c r="GO520" s="1259"/>
      <c r="GP520" s="1259"/>
      <c r="GQ520" s="1259"/>
      <c r="GR520" s="1259"/>
      <c r="GS520" s="1259"/>
      <c r="GT520" s="1259"/>
      <c r="GU520" s="1259"/>
      <c r="GV520" s="1259"/>
      <c r="GW520" s="1259"/>
      <c r="GX520" s="1259"/>
      <c r="GY520" s="1259"/>
      <c r="GZ520" s="1259"/>
      <c r="HA520" s="1259"/>
      <c r="HB520" s="1259"/>
      <c r="HC520" s="1259"/>
      <c r="HD520" s="1259"/>
      <c r="HE520" s="1259"/>
      <c r="HF520" s="1259"/>
      <c r="HG520" s="1259"/>
      <c r="HH520" s="1259"/>
      <c r="HI520" s="1259"/>
      <c r="HJ520" s="1259"/>
      <c r="HK520" s="1259"/>
      <c r="HL520" s="1259"/>
      <c r="HM520" s="1259"/>
      <c r="HN520" s="1259"/>
      <c r="HO520" s="1259"/>
      <c r="HP520" s="1259"/>
      <c r="HQ520" s="1259"/>
      <c r="HR520" s="1259"/>
      <c r="HS520" s="1259"/>
      <c r="HT520" s="1259"/>
      <c r="HU520" s="1259"/>
      <c r="HV520" s="1259"/>
      <c r="HW520" s="1259"/>
      <c r="HX520" s="1259"/>
      <c r="HY520" s="1259"/>
      <c r="HZ520" s="1259"/>
      <c r="IA520" s="1259"/>
      <c r="IB520" s="1259"/>
      <c r="IC520" s="1259"/>
      <c r="ID520" s="1259"/>
      <c r="IE520" s="1259"/>
      <c r="IF520" s="1259"/>
      <c r="IG520" s="1259"/>
      <c r="IH520" s="1259"/>
      <c r="II520" s="1259"/>
      <c r="IJ520" s="1259"/>
      <c r="IK520" s="1259"/>
      <c r="IL520" s="1259"/>
      <c r="IM520" s="1259"/>
      <c r="IN520" s="1259"/>
      <c r="IO520" s="1259"/>
      <c r="IP520" s="1259"/>
      <c r="IQ520" s="1259"/>
      <c r="IR520" s="1259"/>
      <c r="IS520" s="1259"/>
      <c r="IT520" s="1259"/>
      <c r="IU520" s="1259"/>
      <c r="IV520" s="1259"/>
      <c r="IW520" s="1259"/>
      <c r="IX520" s="1259"/>
      <c r="IY520" s="1259"/>
      <c r="IZ520" s="1259"/>
      <c r="JA520" s="1259"/>
      <c r="JB520" s="1259"/>
      <c r="JC520" s="1259"/>
      <c r="JD520" s="1259"/>
      <c r="JE520" s="1259"/>
      <c r="JF520" s="1259"/>
      <c r="JG520" s="1259"/>
      <c r="JH520" s="1259"/>
      <c r="JI520" s="1259"/>
      <c r="JJ520" s="1259"/>
      <c r="JK520" s="1259"/>
      <c r="JL520" s="1259"/>
      <c r="JM520" s="1259"/>
      <c r="JN520" s="1259"/>
      <c r="JO520" s="1259"/>
      <c r="JP520" s="1259"/>
      <c r="JQ520" s="1259"/>
      <c r="JR520" s="1259"/>
      <c r="JS520" s="1259"/>
      <c r="JT520" s="1259"/>
      <c r="JU520" s="1259"/>
      <c r="JV520" s="1259"/>
      <c r="JW520" s="1259"/>
      <c r="JX520" s="1259"/>
      <c r="JY520" s="1259"/>
      <c r="JZ520" s="1259"/>
      <c r="KA520" s="1259"/>
      <c r="KB520" s="1259"/>
      <c r="KC520" s="1259"/>
      <c r="KD520" s="1259"/>
      <c r="KE520" s="1259"/>
      <c r="KF520" s="1259"/>
      <c r="KG520" s="1259"/>
      <c r="KH520" s="1259"/>
      <c r="KI520" s="1259"/>
      <c r="KJ520" s="1259"/>
      <c r="KK520" s="1259"/>
      <c r="KL520" s="1259"/>
      <c r="KM520" s="1259"/>
      <c r="KN520" s="1259"/>
      <c r="KO520" s="1259"/>
      <c r="KP520" s="1259"/>
      <c r="KQ520" s="1259"/>
      <c r="KR520" s="1259"/>
      <c r="KS520" s="1259"/>
      <c r="KT520" s="1259"/>
      <c r="KU520" s="1259"/>
      <c r="KV520" s="1259"/>
      <c r="KW520" s="1259"/>
      <c r="KX520" s="1259"/>
      <c r="KY520" s="1259"/>
      <c r="KZ520" s="1259"/>
      <c r="LA520" s="1259"/>
      <c r="LB520" s="1259"/>
      <c r="LC520" s="1259"/>
      <c r="LD520" s="1259"/>
      <c r="LE520" s="1259"/>
      <c r="LF520" s="1259"/>
      <c r="LG520" s="1259"/>
      <c r="LH520" s="1259"/>
      <c r="LI520" s="1259"/>
      <c r="LJ520" s="1259"/>
      <c r="LK520" s="1259"/>
      <c r="LL520" s="1259"/>
      <c r="LM520" s="1259"/>
      <c r="LN520" s="1259"/>
      <c r="LO520" s="1259"/>
      <c r="LP520" s="1259"/>
      <c r="LQ520" s="1259"/>
      <c r="LR520" s="1259"/>
      <c r="LS520" s="1259"/>
      <c r="LT520" s="1259"/>
      <c r="LU520" s="1259"/>
      <c r="LV520" s="1259"/>
      <c r="LW520" s="1259"/>
      <c r="LX520" s="1259"/>
      <c r="LY520" s="1259"/>
      <c r="LZ520" s="1259"/>
      <c r="MA520" s="1259"/>
      <c r="MB520" s="1259"/>
      <c r="MC520" s="1259"/>
      <c r="MD520" s="1259"/>
      <c r="ME520" s="1259"/>
      <c r="MF520" s="1259"/>
      <c r="MG520" s="1259"/>
      <c r="MH520" s="1259"/>
      <c r="MI520" s="1259"/>
      <c r="MJ520" s="1259"/>
      <c r="MK520" s="1259"/>
      <c r="ML520" s="1259"/>
      <c r="MM520" s="1259"/>
      <c r="MN520" s="1259"/>
      <c r="MO520" s="1259"/>
      <c r="MP520" s="1259"/>
      <c r="MQ520" s="1259"/>
      <c r="MR520" s="1259"/>
      <c r="MS520" s="1259"/>
      <c r="MT520" s="1259"/>
      <c r="MU520" s="1259"/>
      <c r="MV520" s="1259"/>
      <c r="MW520" s="1259"/>
      <c r="MX520" s="1259"/>
      <c r="MY520" s="1259"/>
      <c r="MZ520" s="1259"/>
      <c r="NA520" s="1259"/>
      <c r="NB520" s="1259"/>
      <c r="NC520" s="1259"/>
      <c r="ND520" s="1259"/>
      <c r="NE520" s="1259"/>
      <c r="NF520" s="1259"/>
      <c r="NG520" s="1259"/>
      <c r="NH520" s="1259"/>
      <c r="NI520" s="1259"/>
      <c r="NJ520" s="1259"/>
      <c r="NK520" s="1259"/>
      <c r="NL520" s="1259"/>
      <c r="NM520" s="1259"/>
      <c r="NN520" s="1259"/>
      <c r="NO520" s="1259"/>
      <c r="NP520" s="1259"/>
      <c r="NQ520" s="1259"/>
      <c r="NR520" s="1259"/>
      <c r="NS520" s="1259"/>
      <c r="NT520" s="1259"/>
      <c r="NU520" s="1259"/>
      <c r="NV520" s="1259"/>
      <c r="NW520" s="1259"/>
      <c r="NX520" s="1259"/>
      <c r="NY520" s="1259"/>
      <c r="NZ520" s="1259"/>
      <c r="OA520" s="1259"/>
      <c r="OB520" s="1259"/>
      <c r="OC520" s="1259"/>
      <c r="OD520" s="1259"/>
      <c r="OE520" s="1259"/>
      <c r="OF520" s="1259"/>
      <c r="OG520" s="1259"/>
      <c r="OH520" s="1259"/>
      <c r="OI520" s="1259"/>
      <c r="OJ520" s="1259"/>
      <c r="OK520" s="1259"/>
      <c r="OL520" s="1259"/>
      <c r="OM520" s="1259"/>
      <c r="ON520" s="1259"/>
      <c r="OO520" s="1259"/>
      <c r="OP520" s="1259"/>
      <c r="OQ520" s="1259"/>
      <c r="OR520" s="1259"/>
      <c r="OS520" s="1259"/>
      <c r="OT520" s="1259"/>
      <c r="OU520" s="1259"/>
      <c r="OV520" s="1259"/>
      <c r="OW520" s="1259"/>
      <c r="OX520" s="1259"/>
      <c r="OY520" s="1259"/>
      <c r="OZ520" s="1259"/>
      <c r="PA520" s="1259"/>
      <c r="PB520" s="1259"/>
      <c r="PC520" s="1259"/>
      <c r="PD520" s="1259"/>
      <c r="PE520" s="1259"/>
      <c r="PF520" s="1259"/>
      <c r="PG520" s="1259"/>
      <c r="PH520" s="1259"/>
      <c r="PI520" s="1259"/>
      <c r="PJ520" s="1259"/>
      <c r="PK520" s="1259"/>
      <c r="PL520" s="1259"/>
      <c r="PM520" s="1259"/>
      <c r="PN520" s="1259"/>
      <c r="PO520" s="1259"/>
      <c r="PP520" s="1259"/>
      <c r="PQ520" s="1259"/>
      <c r="PR520" s="1259"/>
      <c r="PS520" s="1259"/>
      <c r="PT520" s="1259"/>
      <c r="PU520" s="1259"/>
      <c r="PV520" s="1259"/>
      <c r="PW520" s="1259"/>
      <c r="PX520" s="1259"/>
      <c r="PY520" s="1259"/>
      <c r="PZ520" s="1259"/>
      <c r="QA520" s="1259"/>
      <c r="QB520" s="1259"/>
      <c r="QC520" s="1259"/>
      <c r="QD520" s="1259"/>
      <c r="QE520" s="1259"/>
      <c r="QF520" s="1259"/>
      <c r="QG520" s="1259"/>
      <c r="QH520" s="1259"/>
      <c r="QI520" s="1259"/>
      <c r="QJ520" s="1259"/>
      <c r="QK520" s="1259"/>
      <c r="QL520" s="1259"/>
      <c r="QM520" s="1259"/>
      <c r="QN520" s="1259"/>
      <c r="QO520" s="1259"/>
      <c r="QP520" s="1259"/>
      <c r="QQ520" s="1259"/>
      <c r="QR520" s="1259"/>
      <c r="QS520" s="1259"/>
      <c r="QT520" s="1259"/>
      <c r="QU520" s="1259"/>
      <c r="QV520" s="1259"/>
      <c r="QW520" s="1259"/>
      <c r="QX520" s="1259"/>
      <c r="QY520" s="1259"/>
      <c r="QZ520" s="1259"/>
      <c r="RA520" s="1259"/>
      <c r="RB520" s="1259"/>
      <c r="RC520" s="1259"/>
      <c r="RD520" s="1259"/>
      <c r="RE520" s="1259"/>
      <c r="RF520" s="1259"/>
      <c r="RG520" s="1259"/>
      <c r="RH520" s="1259"/>
      <c r="RI520" s="1259"/>
      <c r="RJ520" s="1259"/>
      <c r="RK520" s="1259"/>
      <c r="RL520" s="1259"/>
      <c r="RM520" s="1259"/>
      <c r="RN520" s="1259"/>
      <c r="RO520" s="1259"/>
      <c r="RP520" s="1259"/>
      <c r="RQ520" s="1259"/>
      <c r="RR520" s="1259"/>
      <c r="RS520" s="1259"/>
      <c r="RT520" s="1259"/>
      <c r="RU520" s="1259"/>
      <c r="RV520" s="1259"/>
      <c r="RW520" s="1259"/>
      <c r="RX520" s="1259"/>
      <c r="RY520" s="1259"/>
      <c r="RZ520" s="1259"/>
      <c r="SA520" s="1259"/>
      <c r="SB520" s="1259"/>
      <c r="SC520" s="1259"/>
      <c r="SD520" s="1259"/>
      <c r="SE520" s="1259"/>
      <c r="SF520" s="1259"/>
      <c r="SG520" s="1259"/>
      <c r="SH520" s="1259"/>
      <c r="SI520" s="1259"/>
      <c r="SJ520" s="1259"/>
      <c r="SK520" s="1259"/>
      <c r="SL520" s="1259"/>
      <c r="SM520" s="1259"/>
      <c r="SN520" s="1259"/>
      <c r="SO520" s="1259"/>
      <c r="SP520" s="1259"/>
      <c r="SQ520" s="1259"/>
      <c r="SR520" s="1259"/>
      <c r="SS520" s="1259"/>
      <c r="ST520" s="1259"/>
      <c r="SU520" s="1259"/>
      <c r="SV520" s="1259"/>
      <c r="SW520" s="1259"/>
      <c r="SX520" s="1259"/>
      <c r="SY520" s="1259"/>
      <c r="SZ520" s="1259"/>
      <c r="TA520" s="1259"/>
      <c r="TB520" s="1259"/>
      <c r="TC520" s="1259"/>
      <c r="TD520" s="1259"/>
      <c r="TE520" s="1259"/>
      <c r="TF520" s="1259"/>
      <c r="TG520" s="1259"/>
      <c r="TH520" s="1259"/>
      <c r="TI520" s="1259"/>
      <c r="TJ520" s="1259"/>
      <c r="TK520" s="1259"/>
      <c r="TL520" s="1259"/>
      <c r="TM520" s="1259"/>
      <c r="TN520" s="1259"/>
      <c r="TO520" s="1259"/>
      <c r="TP520" s="1259"/>
      <c r="TQ520" s="1259"/>
      <c r="TR520" s="1259"/>
      <c r="TS520" s="1259"/>
      <c r="TT520" s="1259"/>
      <c r="TU520" s="1259"/>
      <c r="TV520" s="1259"/>
      <c r="TW520" s="1259"/>
      <c r="TX520" s="1259"/>
      <c r="TY520" s="1259"/>
      <c r="TZ520" s="1259"/>
      <c r="UA520" s="1259"/>
      <c r="UB520" s="1259"/>
      <c r="UC520" s="1259"/>
      <c r="UD520" s="1259"/>
      <c r="UE520" s="1259"/>
      <c r="UF520" s="1259"/>
      <c r="UG520" s="1261"/>
    </row>
    <row r="521" spans="1:553" s="1262" customFormat="1" ht="30.75" customHeight="1">
      <c r="A521" s="366" t="s">
        <v>15</v>
      </c>
      <c r="B521" s="366"/>
      <c r="C521" s="1446" t="s">
        <v>266</v>
      </c>
      <c r="D521" s="1389"/>
      <c r="E521" s="1389"/>
      <c r="F521" s="1389"/>
      <c r="G521" s="1226" t="s">
        <v>193</v>
      </c>
      <c r="H521" s="586"/>
      <c r="I521" s="443">
        <v>300</v>
      </c>
      <c r="J521" s="368">
        <v>30000</v>
      </c>
      <c r="K521" s="388"/>
      <c r="L521" s="480">
        <f>ROUND(PRODUCT(I521:K521),0)</f>
        <v>9000000</v>
      </c>
      <c r="M521" s="366"/>
      <c r="N521" s="366"/>
      <c r="O521" s="366"/>
      <c r="P521" s="366"/>
      <c r="Q521" s="1040"/>
      <c r="R521" s="1228"/>
      <c r="S521" s="308"/>
      <c r="T521" s="308"/>
      <c r="U521" s="308"/>
      <c r="V521" s="308"/>
      <c r="W521" s="308"/>
      <c r="X521" s="308"/>
      <c r="Y521" s="308"/>
      <c r="Z521" s="604"/>
      <c r="AA521" s="308"/>
      <c r="AB521" s="308"/>
      <c r="AC521" s="449"/>
      <c r="AD521" s="452"/>
      <c r="AE521" s="452"/>
      <c r="AF521" s="452"/>
      <c r="AG521" s="452"/>
      <c r="AH521" s="452"/>
      <c r="AI521" s="452"/>
      <c r="AJ521" s="452"/>
      <c r="AK521" s="452"/>
      <c r="AL521" s="1259"/>
      <c r="AM521" s="1259"/>
      <c r="AN521" s="1259"/>
      <c r="AO521" s="1259"/>
      <c r="AP521" s="1259"/>
      <c r="AQ521" s="1259"/>
      <c r="AR521" s="1259"/>
      <c r="AS521" s="1259"/>
      <c r="AT521" s="1259"/>
      <c r="AU521" s="1259"/>
      <c r="AV521" s="1259"/>
      <c r="AW521" s="1259"/>
      <c r="AX521" s="1259"/>
      <c r="AY521" s="1259"/>
      <c r="AZ521" s="1259"/>
      <c r="BA521" s="1259"/>
      <c r="BB521" s="1259"/>
      <c r="BC521" s="1259"/>
      <c r="BD521" s="1259"/>
      <c r="BE521" s="1259"/>
      <c r="BF521" s="1259"/>
      <c r="BG521" s="1259"/>
      <c r="BH521" s="1259"/>
      <c r="BI521" s="1259"/>
      <c r="BJ521" s="1259"/>
      <c r="BK521" s="1259"/>
      <c r="BL521" s="1259"/>
      <c r="BM521" s="1259"/>
      <c r="BN521" s="1259"/>
      <c r="BO521" s="1259"/>
      <c r="BP521" s="1259"/>
      <c r="BQ521" s="1259"/>
      <c r="BR521" s="1259"/>
      <c r="BS521" s="1259"/>
      <c r="BT521" s="1259"/>
      <c r="BU521" s="1259"/>
      <c r="BV521" s="1259"/>
      <c r="BW521" s="1259"/>
      <c r="BX521" s="1259"/>
      <c r="BY521" s="1259"/>
      <c r="BZ521" s="1259"/>
      <c r="CA521" s="1259"/>
      <c r="CB521" s="1259"/>
      <c r="CC521" s="1259"/>
      <c r="CD521" s="1259"/>
      <c r="CE521" s="1259"/>
      <c r="CF521" s="1259"/>
      <c r="CG521" s="1259"/>
      <c r="CH521" s="1259"/>
      <c r="CI521" s="1259"/>
      <c r="CJ521" s="1259"/>
      <c r="CK521" s="1259"/>
      <c r="CL521" s="1259"/>
      <c r="CM521" s="1259"/>
      <c r="CN521" s="1259"/>
      <c r="CO521" s="1259"/>
      <c r="CP521" s="1259"/>
      <c r="CQ521" s="1259"/>
      <c r="CR521" s="1259"/>
      <c r="CS521" s="1259"/>
      <c r="CT521" s="1259"/>
      <c r="CU521" s="1259"/>
      <c r="CV521" s="1259"/>
      <c r="CW521" s="1259"/>
      <c r="CX521" s="1259"/>
      <c r="CY521" s="1259"/>
      <c r="CZ521" s="1259"/>
      <c r="DA521" s="1259"/>
      <c r="DB521" s="1259"/>
      <c r="DC521" s="1259"/>
      <c r="DD521" s="1259"/>
      <c r="DE521" s="1259"/>
      <c r="DF521" s="1259"/>
      <c r="DG521" s="1259"/>
      <c r="DH521" s="1259"/>
      <c r="DI521" s="1259"/>
      <c r="DJ521" s="1259"/>
      <c r="DK521" s="1259"/>
      <c r="DL521" s="1259"/>
      <c r="DM521" s="1259"/>
      <c r="DN521" s="1259"/>
      <c r="DO521" s="1259"/>
      <c r="DP521" s="1259"/>
      <c r="DQ521" s="1259"/>
      <c r="DR521" s="1259"/>
      <c r="DS521" s="1259"/>
      <c r="DT521" s="1259"/>
      <c r="DU521" s="1259"/>
      <c r="DV521" s="1259"/>
      <c r="DW521" s="1259"/>
      <c r="DX521" s="1259"/>
      <c r="DY521" s="1259"/>
      <c r="DZ521" s="1259"/>
      <c r="EA521" s="1259"/>
      <c r="EB521" s="1259"/>
      <c r="EC521" s="1259"/>
      <c r="ED521" s="1259"/>
      <c r="EE521" s="1259"/>
      <c r="EF521" s="1259"/>
      <c r="EG521" s="1259"/>
      <c r="EH521" s="1259"/>
      <c r="EI521" s="1259"/>
      <c r="EJ521" s="1259"/>
      <c r="EK521" s="1259"/>
      <c r="EL521" s="1259"/>
      <c r="EM521" s="1259"/>
      <c r="EN521" s="1259"/>
      <c r="EO521" s="1259"/>
      <c r="EP521" s="1259"/>
      <c r="EQ521" s="1259"/>
      <c r="ER521" s="1259"/>
      <c r="ES521" s="1259"/>
      <c r="ET521" s="1259"/>
      <c r="EU521" s="1259"/>
      <c r="EV521" s="1259"/>
      <c r="EW521" s="1259"/>
      <c r="EX521" s="1259"/>
      <c r="EY521" s="1259"/>
      <c r="EZ521" s="1259"/>
      <c r="FA521" s="1259"/>
      <c r="FB521" s="1259"/>
      <c r="FC521" s="1259"/>
      <c r="FD521" s="1259"/>
      <c r="FE521" s="1259"/>
      <c r="FF521" s="1259"/>
      <c r="FG521" s="1259"/>
      <c r="FH521" s="1259"/>
      <c r="FI521" s="1259"/>
      <c r="FJ521" s="1259"/>
      <c r="FK521" s="1259"/>
      <c r="FL521" s="1259"/>
      <c r="FM521" s="1259"/>
      <c r="FN521" s="1259"/>
      <c r="FO521" s="1259"/>
      <c r="FP521" s="1259"/>
      <c r="FQ521" s="1259"/>
      <c r="FR521" s="1259"/>
      <c r="FS521" s="1259"/>
      <c r="FT521" s="1259"/>
      <c r="FU521" s="1259"/>
      <c r="FV521" s="1259"/>
      <c r="FW521" s="1259"/>
      <c r="FX521" s="1259"/>
      <c r="FY521" s="1259"/>
      <c r="FZ521" s="1259"/>
      <c r="GA521" s="1259"/>
      <c r="GB521" s="1259"/>
      <c r="GC521" s="1259"/>
      <c r="GD521" s="1259"/>
      <c r="GE521" s="1259"/>
      <c r="GF521" s="1259"/>
      <c r="GG521" s="1259"/>
      <c r="GH521" s="1259"/>
      <c r="GI521" s="1259"/>
      <c r="GJ521" s="1259"/>
      <c r="GK521" s="1259"/>
      <c r="GL521" s="1259"/>
      <c r="GM521" s="1259"/>
      <c r="GN521" s="1259"/>
      <c r="GO521" s="1259"/>
      <c r="GP521" s="1259"/>
      <c r="GQ521" s="1259"/>
      <c r="GR521" s="1259"/>
      <c r="GS521" s="1259"/>
      <c r="GT521" s="1259"/>
      <c r="GU521" s="1259"/>
      <c r="GV521" s="1259"/>
      <c r="GW521" s="1259"/>
      <c r="GX521" s="1259"/>
      <c r="GY521" s="1259"/>
      <c r="GZ521" s="1259"/>
      <c r="HA521" s="1259"/>
      <c r="HB521" s="1259"/>
      <c r="HC521" s="1259"/>
      <c r="HD521" s="1259"/>
      <c r="HE521" s="1259"/>
      <c r="HF521" s="1259"/>
      <c r="HG521" s="1259"/>
      <c r="HH521" s="1259"/>
      <c r="HI521" s="1259"/>
      <c r="HJ521" s="1259"/>
      <c r="HK521" s="1259"/>
      <c r="HL521" s="1259"/>
      <c r="HM521" s="1259"/>
      <c r="HN521" s="1259"/>
      <c r="HO521" s="1259"/>
      <c r="HP521" s="1259"/>
      <c r="HQ521" s="1259"/>
      <c r="HR521" s="1259"/>
      <c r="HS521" s="1259"/>
      <c r="HT521" s="1259"/>
      <c r="HU521" s="1259"/>
      <c r="HV521" s="1259"/>
      <c r="HW521" s="1259"/>
      <c r="HX521" s="1259"/>
      <c r="HY521" s="1259"/>
      <c r="HZ521" s="1259"/>
      <c r="IA521" s="1259"/>
      <c r="IB521" s="1259"/>
      <c r="IC521" s="1259"/>
      <c r="ID521" s="1259"/>
      <c r="IE521" s="1259"/>
      <c r="IF521" s="1259"/>
      <c r="IG521" s="1259"/>
      <c r="IH521" s="1259"/>
      <c r="II521" s="1259"/>
      <c r="IJ521" s="1259"/>
      <c r="IK521" s="1259"/>
      <c r="IL521" s="1259"/>
      <c r="IM521" s="1259"/>
      <c r="IN521" s="1259"/>
      <c r="IO521" s="1259"/>
      <c r="IP521" s="1259"/>
      <c r="IQ521" s="1259"/>
      <c r="IR521" s="1259"/>
      <c r="IS521" s="1259"/>
      <c r="IT521" s="1259"/>
      <c r="IU521" s="1259"/>
      <c r="IV521" s="1259"/>
      <c r="IW521" s="1259"/>
      <c r="IX521" s="1259"/>
      <c r="IY521" s="1259"/>
      <c r="IZ521" s="1259"/>
      <c r="JA521" s="1259"/>
      <c r="JB521" s="1259"/>
      <c r="JC521" s="1259"/>
      <c r="JD521" s="1259"/>
      <c r="JE521" s="1259"/>
      <c r="JF521" s="1259"/>
      <c r="JG521" s="1259"/>
      <c r="JH521" s="1259"/>
      <c r="JI521" s="1259"/>
      <c r="JJ521" s="1259"/>
      <c r="JK521" s="1259"/>
      <c r="JL521" s="1259"/>
      <c r="JM521" s="1259"/>
      <c r="JN521" s="1259"/>
      <c r="JO521" s="1259"/>
      <c r="JP521" s="1259"/>
      <c r="JQ521" s="1259"/>
      <c r="JR521" s="1259"/>
      <c r="JS521" s="1259"/>
      <c r="JT521" s="1259"/>
      <c r="JU521" s="1259"/>
      <c r="JV521" s="1259"/>
      <c r="JW521" s="1259"/>
      <c r="JX521" s="1259"/>
      <c r="JY521" s="1259"/>
      <c r="JZ521" s="1259"/>
      <c r="KA521" s="1259"/>
      <c r="KB521" s="1259"/>
      <c r="KC521" s="1259"/>
      <c r="KD521" s="1259"/>
      <c r="KE521" s="1259"/>
      <c r="KF521" s="1259"/>
      <c r="KG521" s="1259"/>
      <c r="KH521" s="1259"/>
      <c r="KI521" s="1259"/>
      <c r="KJ521" s="1259"/>
      <c r="KK521" s="1259"/>
      <c r="KL521" s="1259"/>
      <c r="KM521" s="1259"/>
      <c r="KN521" s="1259"/>
      <c r="KO521" s="1259"/>
      <c r="KP521" s="1259"/>
      <c r="KQ521" s="1259"/>
      <c r="KR521" s="1259"/>
      <c r="KS521" s="1259"/>
      <c r="KT521" s="1259"/>
      <c r="KU521" s="1259"/>
      <c r="KV521" s="1259"/>
      <c r="KW521" s="1259"/>
      <c r="KX521" s="1259"/>
      <c r="KY521" s="1259"/>
      <c r="KZ521" s="1259"/>
      <c r="LA521" s="1259"/>
      <c r="LB521" s="1259"/>
      <c r="LC521" s="1259"/>
      <c r="LD521" s="1259"/>
      <c r="LE521" s="1259"/>
      <c r="LF521" s="1259"/>
      <c r="LG521" s="1259"/>
      <c r="LH521" s="1259"/>
      <c r="LI521" s="1259"/>
      <c r="LJ521" s="1259"/>
      <c r="LK521" s="1259"/>
      <c r="LL521" s="1259"/>
      <c r="LM521" s="1259"/>
      <c r="LN521" s="1259"/>
      <c r="LO521" s="1259"/>
      <c r="LP521" s="1259"/>
      <c r="LQ521" s="1259"/>
      <c r="LR521" s="1259"/>
      <c r="LS521" s="1259"/>
      <c r="LT521" s="1259"/>
      <c r="LU521" s="1259"/>
      <c r="LV521" s="1259"/>
      <c r="LW521" s="1259"/>
      <c r="LX521" s="1259"/>
      <c r="LY521" s="1259"/>
      <c r="LZ521" s="1259"/>
      <c r="MA521" s="1259"/>
      <c r="MB521" s="1259"/>
      <c r="MC521" s="1259"/>
      <c r="MD521" s="1259"/>
      <c r="ME521" s="1259"/>
      <c r="MF521" s="1259"/>
      <c r="MG521" s="1259"/>
      <c r="MH521" s="1259"/>
      <c r="MI521" s="1259"/>
      <c r="MJ521" s="1259"/>
      <c r="MK521" s="1259"/>
      <c r="ML521" s="1259"/>
      <c r="MM521" s="1259"/>
      <c r="MN521" s="1259"/>
      <c r="MO521" s="1259"/>
      <c r="MP521" s="1259"/>
      <c r="MQ521" s="1259"/>
      <c r="MR521" s="1259"/>
      <c r="MS521" s="1259"/>
      <c r="MT521" s="1259"/>
      <c r="MU521" s="1259"/>
      <c r="MV521" s="1259"/>
      <c r="MW521" s="1259"/>
      <c r="MX521" s="1259"/>
      <c r="MY521" s="1259"/>
      <c r="MZ521" s="1259"/>
      <c r="NA521" s="1259"/>
      <c r="NB521" s="1259"/>
      <c r="NC521" s="1259"/>
      <c r="ND521" s="1259"/>
      <c r="NE521" s="1259"/>
      <c r="NF521" s="1259"/>
      <c r="NG521" s="1259"/>
      <c r="NH521" s="1259"/>
      <c r="NI521" s="1259"/>
      <c r="NJ521" s="1259"/>
      <c r="NK521" s="1259"/>
      <c r="NL521" s="1259"/>
      <c r="NM521" s="1259"/>
      <c r="NN521" s="1259"/>
      <c r="NO521" s="1259"/>
      <c r="NP521" s="1259"/>
      <c r="NQ521" s="1259"/>
      <c r="NR521" s="1259"/>
      <c r="NS521" s="1259"/>
      <c r="NT521" s="1259"/>
      <c r="NU521" s="1259"/>
      <c r="NV521" s="1259"/>
      <c r="NW521" s="1259"/>
      <c r="NX521" s="1259"/>
      <c r="NY521" s="1259"/>
      <c r="NZ521" s="1259"/>
      <c r="OA521" s="1259"/>
      <c r="OB521" s="1259"/>
      <c r="OC521" s="1259"/>
      <c r="OD521" s="1259"/>
      <c r="OE521" s="1259"/>
      <c r="OF521" s="1259"/>
      <c r="OG521" s="1259"/>
      <c r="OH521" s="1259"/>
      <c r="OI521" s="1259"/>
      <c r="OJ521" s="1259"/>
      <c r="OK521" s="1259"/>
      <c r="OL521" s="1259"/>
      <c r="OM521" s="1259"/>
      <c r="ON521" s="1259"/>
      <c r="OO521" s="1259"/>
      <c r="OP521" s="1259"/>
      <c r="OQ521" s="1259"/>
      <c r="OR521" s="1259"/>
      <c r="OS521" s="1259"/>
      <c r="OT521" s="1259"/>
      <c r="OU521" s="1259"/>
      <c r="OV521" s="1259"/>
      <c r="OW521" s="1259"/>
      <c r="OX521" s="1259"/>
      <c r="OY521" s="1259"/>
      <c r="OZ521" s="1259"/>
      <c r="PA521" s="1259"/>
      <c r="PB521" s="1259"/>
      <c r="PC521" s="1259"/>
      <c r="PD521" s="1259"/>
      <c r="PE521" s="1259"/>
      <c r="PF521" s="1259"/>
      <c r="PG521" s="1259"/>
      <c r="PH521" s="1259"/>
      <c r="PI521" s="1259"/>
      <c r="PJ521" s="1259"/>
      <c r="PK521" s="1259"/>
      <c r="PL521" s="1259"/>
      <c r="PM521" s="1259"/>
      <c r="PN521" s="1259"/>
      <c r="PO521" s="1259"/>
      <c r="PP521" s="1259"/>
      <c r="PQ521" s="1259"/>
      <c r="PR521" s="1259"/>
      <c r="PS521" s="1259"/>
      <c r="PT521" s="1259"/>
      <c r="PU521" s="1259"/>
      <c r="PV521" s="1259"/>
      <c r="PW521" s="1259"/>
      <c r="PX521" s="1259"/>
      <c r="PY521" s="1259"/>
      <c r="PZ521" s="1259"/>
      <c r="QA521" s="1259"/>
      <c r="QB521" s="1259"/>
      <c r="QC521" s="1259"/>
      <c r="QD521" s="1259"/>
      <c r="QE521" s="1259"/>
      <c r="QF521" s="1259"/>
      <c r="QG521" s="1259"/>
      <c r="QH521" s="1259"/>
      <c r="QI521" s="1259"/>
      <c r="QJ521" s="1259"/>
      <c r="QK521" s="1259"/>
      <c r="QL521" s="1259"/>
      <c r="QM521" s="1259"/>
      <c r="QN521" s="1259"/>
      <c r="QO521" s="1259"/>
      <c r="QP521" s="1259"/>
      <c r="QQ521" s="1259"/>
      <c r="QR521" s="1259"/>
      <c r="QS521" s="1259"/>
      <c r="QT521" s="1259"/>
      <c r="QU521" s="1259"/>
      <c r="QV521" s="1259"/>
      <c r="QW521" s="1259"/>
      <c r="QX521" s="1259"/>
      <c r="QY521" s="1259"/>
      <c r="QZ521" s="1259"/>
      <c r="RA521" s="1259"/>
      <c r="RB521" s="1259"/>
      <c r="RC521" s="1259"/>
      <c r="RD521" s="1259"/>
      <c r="RE521" s="1259"/>
      <c r="RF521" s="1259"/>
      <c r="RG521" s="1259"/>
      <c r="RH521" s="1259"/>
      <c r="RI521" s="1259"/>
      <c r="RJ521" s="1259"/>
      <c r="RK521" s="1259"/>
      <c r="RL521" s="1259"/>
      <c r="RM521" s="1259"/>
      <c r="RN521" s="1259"/>
      <c r="RO521" s="1259"/>
      <c r="RP521" s="1259"/>
      <c r="RQ521" s="1259"/>
      <c r="RR521" s="1259"/>
      <c r="RS521" s="1259"/>
      <c r="RT521" s="1259"/>
      <c r="RU521" s="1259"/>
      <c r="RV521" s="1259"/>
      <c r="RW521" s="1259"/>
      <c r="RX521" s="1259"/>
      <c r="RY521" s="1259"/>
      <c r="RZ521" s="1259"/>
      <c r="SA521" s="1259"/>
      <c r="SB521" s="1259"/>
      <c r="SC521" s="1259"/>
      <c r="SD521" s="1259"/>
      <c r="SE521" s="1259"/>
      <c r="SF521" s="1259"/>
      <c r="SG521" s="1259"/>
      <c r="SH521" s="1259"/>
      <c r="SI521" s="1259"/>
      <c r="SJ521" s="1259"/>
      <c r="SK521" s="1259"/>
      <c r="SL521" s="1259"/>
      <c r="SM521" s="1259"/>
      <c r="SN521" s="1259"/>
      <c r="SO521" s="1259"/>
      <c r="SP521" s="1259"/>
      <c r="SQ521" s="1259"/>
      <c r="SR521" s="1259"/>
      <c r="SS521" s="1259"/>
      <c r="ST521" s="1259"/>
      <c r="SU521" s="1259"/>
      <c r="SV521" s="1259"/>
      <c r="SW521" s="1259"/>
      <c r="SX521" s="1259"/>
      <c r="SY521" s="1259"/>
      <c r="SZ521" s="1259"/>
      <c r="TA521" s="1259"/>
      <c r="TB521" s="1259"/>
      <c r="TC521" s="1259"/>
      <c r="TD521" s="1259"/>
      <c r="TE521" s="1259"/>
      <c r="TF521" s="1259"/>
      <c r="TG521" s="1259"/>
      <c r="TH521" s="1259"/>
      <c r="TI521" s="1259"/>
      <c r="TJ521" s="1259"/>
      <c r="TK521" s="1259"/>
      <c r="TL521" s="1259"/>
      <c r="TM521" s="1259"/>
      <c r="TN521" s="1259"/>
      <c r="TO521" s="1259"/>
      <c r="TP521" s="1259"/>
      <c r="TQ521" s="1259"/>
      <c r="TR521" s="1259"/>
      <c r="TS521" s="1259"/>
      <c r="TT521" s="1259"/>
      <c r="TU521" s="1259"/>
      <c r="TV521" s="1259"/>
      <c r="TW521" s="1259"/>
      <c r="TX521" s="1259"/>
      <c r="TY521" s="1259"/>
      <c r="TZ521" s="1259"/>
      <c r="UA521" s="1259"/>
      <c r="UB521" s="1259"/>
      <c r="UC521" s="1259"/>
      <c r="UD521" s="1259"/>
      <c r="UE521" s="1259"/>
      <c r="UF521" s="1259"/>
      <c r="UG521" s="1261"/>
    </row>
    <row r="522" spans="1:553" s="1262" customFormat="1" ht="30.75" customHeight="1">
      <c r="A522" s="366" t="s">
        <v>15</v>
      </c>
      <c r="B522" s="366"/>
      <c r="C522" s="1446" t="s">
        <v>383</v>
      </c>
      <c r="D522" s="1389"/>
      <c r="E522" s="1389"/>
      <c r="F522" s="1389"/>
      <c r="G522" s="1226" t="s">
        <v>193</v>
      </c>
      <c r="H522" s="586"/>
      <c r="I522" s="443">
        <v>2</v>
      </c>
      <c r="J522" s="368">
        <v>75000</v>
      </c>
      <c r="K522" s="474"/>
      <c r="L522" s="480">
        <f t="shared" si="95"/>
        <v>150000</v>
      </c>
      <c r="M522" s="366"/>
      <c r="N522" s="366"/>
      <c r="O522" s="366"/>
      <c r="P522" s="366"/>
      <c r="Q522" s="1040"/>
      <c r="R522" s="1228"/>
      <c r="S522" s="308"/>
      <c r="T522" s="308"/>
      <c r="U522" s="308"/>
      <c r="V522" s="308"/>
      <c r="W522" s="308"/>
      <c r="X522" s="308"/>
      <c r="Y522" s="308"/>
      <c r="Z522" s="604"/>
      <c r="AA522" s="308"/>
      <c r="AB522" s="308"/>
      <c r="AC522" s="449"/>
      <c r="AD522" s="452"/>
      <c r="AE522" s="452"/>
      <c r="AF522" s="452"/>
      <c r="AG522" s="452"/>
      <c r="AH522" s="452"/>
      <c r="AI522" s="452"/>
      <c r="AJ522" s="452"/>
      <c r="AK522" s="452"/>
      <c r="AL522" s="1259"/>
      <c r="AM522" s="1259"/>
      <c r="AN522" s="1259"/>
      <c r="AO522" s="1259"/>
      <c r="AP522" s="1259"/>
      <c r="AQ522" s="1259"/>
      <c r="AR522" s="1259"/>
      <c r="AS522" s="1259"/>
      <c r="AT522" s="1259"/>
      <c r="AU522" s="1259"/>
      <c r="AV522" s="1259"/>
      <c r="AW522" s="1259"/>
      <c r="AX522" s="1259"/>
      <c r="AY522" s="1259"/>
      <c r="AZ522" s="1259"/>
      <c r="BA522" s="1259"/>
      <c r="BB522" s="1259"/>
      <c r="BC522" s="1259"/>
      <c r="BD522" s="1259"/>
      <c r="BE522" s="1259"/>
      <c r="BF522" s="1259"/>
      <c r="BG522" s="1259"/>
      <c r="BH522" s="1259"/>
      <c r="BI522" s="1259"/>
      <c r="BJ522" s="1259"/>
      <c r="BK522" s="1259"/>
      <c r="BL522" s="1259"/>
      <c r="BM522" s="1259"/>
      <c r="BN522" s="1259"/>
      <c r="BO522" s="1259"/>
      <c r="BP522" s="1259"/>
      <c r="BQ522" s="1259"/>
      <c r="BR522" s="1259"/>
      <c r="BS522" s="1259"/>
      <c r="BT522" s="1259"/>
      <c r="BU522" s="1259"/>
      <c r="BV522" s="1259"/>
      <c r="BW522" s="1259"/>
      <c r="BX522" s="1259"/>
      <c r="BY522" s="1259"/>
      <c r="BZ522" s="1259"/>
      <c r="CA522" s="1259"/>
      <c r="CB522" s="1259"/>
      <c r="CC522" s="1259"/>
      <c r="CD522" s="1259"/>
      <c r="CE522" s="1259"/>
      <c r="CF522" s="1259"/>
      <c r="CG522" s="1259"/>
      <c r="CH522" s="1259"/>
      <c r="CI522" s="1259"/>
      <c r="CJ522" s="1259"/>
      <c r="CK522" s="1259"/>
      <c r="CL522" s="1259"/>
      <c r="CM522" s="1259"/>
      <c r="CN522" s="1259"/>
      <c r="CO522" s="1259"/>
      <c r="CP522" s="1259"/>
      <c r="CQ522" s="1259"/>
      <c r="CR522" s="1259"/>
      <c r="CS522" s="1259"/>
      <c r="CT522" s="1259"/>
      <c r="CU522" s="1259"/>
      <c r="CV522" s="1259"/>
      <c r="CW522" s="1259"/>
      <c r="CX522" s="1259"/>
      <c r="CY522" s="1259"/>
      <c r="CZ522" s="1259"/>
      <c r="DA522" s="1259"/>
      <c r="DB522" s="1259"/>
      <c r="DC522" s="1259"/>
      <c r="DD522" s="1259"/>
      <c r="DE522" s="1259"/>
      <c r="DF522" s="1259"/>
      <c r="DG522" s="1259"/>
      <c r="DH522" s="1259"/>
      <c r="DI522" s="1259"/>
      <c r="DJ522" s="1259"/>
      <c r="DK522" s="1259"/>
      <c r="DL522" s="1259"/>
      <c r="DM522" s="1259"/>
      <c r="DN522" s="1259"/>
      <c r="DO522" s="1259"/>
      <c r="DP522" s="1259"/>
      <c r="DQ522" s="1259"/>
      <c r="DR522" s="1259"/>
      <c r="DS522" s="1259"/>
      <c r="DT522" s="1259"/>
      <c r="DU522" s="1259"/>
      <c r="DV522" s="1259"/>
      <c r="DW522" s="1259"/>
      <c r="DX522" s="1259"/>
      <c r="DY522" s="1259"/>
      <c r="DZ522" s="1259"/>
      <c r="EA522" s="1259"/>
      <c r="EB522" s="1259"/>
      <c r="EC522" s="1259"/>
      <c r="ED522" s="1259"/>
      <c r="EE522" s="1259"/>
      <c r="EF522" s="1259"/>
      <c r="EG522" s="1259"/>
      <c r="EH522" s="1259"/>
      <c r="EI522" s="1259"/>
      <c r="EJ522" s="1259"/>
      <c r="EK522" s="1259"/>
      <c r="EL522" s="1259"/>
      <c r="EM522" s="1259"/>
      <c r="EN522" s="1259"/>
      <c r="EO522" s="1259"/>
      <c r="EP522" s="1259"/>
      <c r="EQ522" s="1259"/>
      <c r="ER522" s="1259"/>
      <c r="ES522" s="1259"/>
      <c r="ET522" s="1259"/>
      <c r="EU522" s="1259"/>
      <c r="EV522" s="1259"/>
      <c r="EW522" s="1259"/>
      <c r="EX522" s="1259"/>
      <c r="EY522" s="1259"/>
      <c r="EZ522" s="1259"/>
      <c r="FA522" s="1259"/>
      <c r="FB522" s="1259"/>
      <c r="FC522" s="1259"/>
      <c r="FD522" s="1259"/>
      <c r="FE522" s="1259"/>
      <c r="FF522" s="1259"/>
      <c r="FG522" s="1259"/>
      <c r="FH522" s="1259"/>
      <c r="FI522" s="1259"/>
      <c r="FJ522" s="1259"/>
      <c r="FK522" s="1259"/>
      <c r="FL522" s="1259"/>
      <c r="FM522" s="1259"/>
      <c r="FN522" s="1259"/>
      <c r="FO522" s="1259"/>
      <c r="FP522" s="1259"/>
      <c r="FQ522" s="1259"/>
      <c r="FR522" s="1259"/>
      <c r="FS522" s="1259"/>
      <c r="FT522" s="1259"/>
      <c r="FU522" s="1259"/>
      <c r="FV522" s="1259"/>
      <c r="FW522" s="1259"/>
      <c r="FX522" s="1259"/>
      <c r="FY522" s="1259"/>
      <c r="FZ522" s="1259"/>
      <c r="GA522" s="1259"/>
      <c r="GB522" s="1259"/>
      <c r="GC522" s="1259"/>
      <c r="GD522" s="1259"/>
      <c r="GE522" s="1259"/>
      <c r="GF522" s="1259"/>
      <c r="GG522" s="1259"/>
      <c r="GH522" s="1259"/>
      <c r="GI522" s="1259"/>
      <c r="GJ522" s="1259"/>
      <c r="GK522" s="1259"/>
      <c r="GL522" s="1259"/>
      <c r="GM522" s="1259"/>
      <c r="GN522" s="1259"/>
      <c r="GO522" s="1259"/>
      <c r="GP522" s="1259"/>
      <c r="GQ522" s="1259"/>
      <c r="GR522" s="1259"/>
      <c r="GS522" s="1259"/>
      <c r="GT522" s="1259"/>
      <c r="GU522" s="1259"/>
      <c r="GV522" s="1259"/>
      <c r="GW522" s="1259"/>
      <c r="GX522" s="1259"/>
      <c r="GY522" s="1259"/>
      <c r="GZ522" s="1259"/>
      <c r="HA522" s="1259"/>
      <c r="HB522" s="1259"/>
      <c r="HC522" s="1259"/>
      <c r="HD522" s="1259"/>
      <c r="HE522" s="1259"/>
      <c r="HF522" s="1259"/>
      <c r="HG522" s="1259"/>
      <c r="HH522" s="1259"/>
      <c r="HI522" s="1259"/>
      <c r="HJ522" s="1259"/>
      <c r="HK522" s="1259"/>
      <c r="HL522" s="1259"/>
      <c r="HM522" s="1259"/>
      <c r="HN522" s="1259"/>
      <c r="HO522" s="1259"/>
      <c r="HP522" s="1259"/>
      <c r="HQ522" s="1259"/>
      <c r="HR522" s="1259"/>
      <c r="HS522" s="1259"/>
      <c r="HT522" s="1259"/>
      <c r="HU522" s="1259"/>
      <c r="HV522" s="1259"/>
      <c r="HW522" s="1259"/>
      <c r="HX522" s="1259"/>
      <c r="HY522" s="1259"/>
      <c r="HZ522" s="1259"/>
      <c r="IA522" s="1259"/>
      <c r="IB522" s="1259"/>
      <c r="IC522" s="1259"/>
      <c r="ID522" s="1259"/>
      <c r="IE522" s="1259"/>
      <c r="IF522" s="1259"/>
      <c r="IG522" s="1259"/>
      <c r="IH522" s="1259"/>
      <c r="II522" s="1259"/>
      <c r="IJ522" s="1259"/>
      <c r="IK522" s="1259"/>
      <c r="IL522" s="1259"/>
      <c r="IM522" s="1259"/>
      <c r="IN522" s="1259"/>
      <c r="IO522" s="1259"/>
      <c r="IP522" s="1259"/>
      <c r="IQ522" s="1259"/>
      <c r="IR522" s="1259"/>
      <c r="IS522" s="1259"/>
      <c r="IT522" s="1259"/>
      <c r="IU522" s="1259"/>
      <c r="IV522" s="1259"/>
      <c r="IW522" s="1259"/>
      <c r="IX522" s="1259"/>
      <c r="IY522" s="1259"/>
      <c r="IZ522" s="1259"/>
      <c r="JA522" s="1259"/>
      <c r="JB522" s="1259"/>
      <c r="JC522" s="1259"/>
      <c r="JD522" s="1259"/>
      <c r="JE522" s="1259"/>
      <c r="JF522" s="1259"/>
      <c r="JG522" s="1259"/>
      <c r="JH522" s="1259"/>
      <c r="JI522" s="1259"/>
      <c r="JJ522" s="1259"/>
      <c r="JK522" s="1259"/>
      <c r="JL522" s="1259"/>
      <c r="JM522" s="1259"/>
      <c r="JN522" s="1259"/>
      <c r="JO522" s="1259"/>
      <c r="JP522" s="1259"/>
      <c r="JQ522" s="1259"/>
      <c r="JR522" s="1259"/>
      <c r="JS522" s="1259"/>
      <c r="JT522" s="1259"/>
      <c r="JU522" s="1259"/>
      <c r="JV522" s="1259"/>
      <c r="JW522" s="1259"/>
      <c r="JX522" s="1259"/>
      <c r="JY522" s="1259"/>
      <c r="JZ522" s="1259"/>
      <c r="KA522" s="1259"/>
      <c r="KB522" s="1259"/>
      <c r="KC522" s="1259"/>
      <c r="KD522" s="1259"/>
      <c r="KE522" s="1259"/>
      <c r="KF522" s="1259"/>
      <c r="KG522" s="1259"/>
      <c r="KH522" s="1259"/>
      <c r="KI522" s="1259"/>
      <c r="KJ522" s="1259"/>
      <c r="KK522" s="1259"/>
      <c r="KL522" s="1259"/>
      <c r="KM522" s="1259"/>
      <c r="KN522" s="1259"/>
      <c r="KO522" s="1259"/>
      <c r="KP522" s="1259"/>
      <c r="KQ522" s="1259"/>
      <c r="KR522" s="1259"/>
      <c r="KS522" s="1259"/>
      <c r="KT522" s="1259"/>
      <c r="KU522" s="1259"/>
      <c r="KV522" s="1259"/>
      <c r="KW522" s="1259"/>
      <c r="KX522" s="1259"/>
      <c r="KY522" s="1259"/>
      <c r="KZ522" s="1259"/>
      <c r="LA522" s="1259"/>
      <c r="LB522" s="1259"/>
      <c r="LC522" s="1259"/>
      <c r="LD522" s="1259"/>
      <c r="LE522" s="1259"/>
      <c r="LF522" s="1259"/>
      <c r="LG522" s="1259"/>
      <c r="LH522" s="1259"/>
      <c r="LI522" s="1259"/>
      <c r="LJ522" s="1259"/>
      <c r="LK522" s="1259"/>
      <c r="LL522" s="1259"/>
      <c r="LM522" s="1259"/>
      <c r="LN522" s="1259"/>
      <c r="LO522" s="1259"/>
      <c r="LP522" s="1259"/>
      <c r="LQ522" s="1259"/>
      <c r="LR522" s="1259"/>
      <c r="LS522" s="1259"/>
      <c r="LT522" s="1259"/>
      <c r="LU522" s="1259"/>
      <c r="LV522" s="1259"/>
      <c r="LW522" s="1259"/>
      <c r="LX522" s="1259"/>
      <c r="LY522" s="1259"/>
      <c r="LZ522" s="1259"/>
      <c r="MA522" s="1259"/>
      <c r="MB522" s="1259"/>
      <c r="MC522" s="1259"/>
      <c r="MD522" s="1259"/>
      <c r="ME522" s="1259"/>
      <c r="MF522" s="1259"/>
      <c r="MG522" s="1259"/>
      <c r="MH522" s="1259"/>
      <c r="MI522" s="1259"/>
      <c r="MJ522" s="1259"/>
      <c r="MK522" s="1259"/>
      <c r="ML522" s="1259"/>
      <c r="MM522" s="1259"/>
      <c r="MN522" s="1259"/>
      <c r="MO522" s="1259"/>
      <c r="MP522" s="1259"/>
      <c r="MQ522" s="1259"/>
      <c r="MR522" s="1259"/>
      <c r="MS522" s="1259"/>
      <c r="MT522" s="1259"/>
      <c r="MU522" s="1259"/>
      <c r="MV522" s="1259"/>
      <c r="MW522" s="1259"/>
      <c r="MX522" s="1259"/>
      <c r="MY522" s="1259"/>
      <c r="MZ522" s="1259"/>
      <c r="NA522" s="1259"/>
      <c r="NB522" s="1259"/>
      <c r="NC522" s="1259"/>
      <c r="ND522" s="1259"/>
      <c r="NE522" s="1259"/>
      <c r="NF522" s="1259"/>
      <c r="NG522" s="1259"/>
      <c r="NH522" s="1259"/>
      <c r="NI522" s="1259"/>
      <c r="NJ522" s="1259"/>
      <c r="NK522" s="1259"/>
      <c r="NL522" s="1259"/>
      <c r="NM522" s="1259"/>
      <c r="NN522" s="1259"/>
      <c r="NO522" s="1259"/>
      <c r="NP522" s="1259"/>
      <c r="NQ522" s="1259"/>
      <c r="NR522" s="1259"/>
      <c r="NS522" s="1259"/>
      <c r="NT522" s="1259"/>
      <c r="NU522" s="1259"/>
      <c r="NV522" s="1259"/>
      <c r="NW522" s="1259"/>
      <c r="NX522" s="1259"/>
      <c r="NY522" s="1259"/>
      <c r="NZ522" s="1259"/>
      <c r="OA522" s="1259"/>
      <c r="OB522" s="1259"/>
      <c r="OC522" s="1259"/>
      <c r="OD522" s="1259"/>
      <c r="OE522" s="1259"/>
      <c r="OF522" s="1259"/>
      <c r="OG522" s="1259"/>
      <c r="OH522" s="1259"/>
      <c r="OI522" s="1259"/>
      <c r="OJ522" s="1259"/>
      <c r="OK522" s="1259"/>
      <c r="OL522" s="1259"/>
      <c r="OM522" s="1259"/>
      <c r="ON522" s="1259"/>
      <c r="OO522" s="1259"/>
      <c r="OP522" s="1259"/>
      <c r="OQ522" s="1259"/>
      <c r="OR522" s="1259"/>
      <c r="OS522" s="1259"/>
      <c r="OT522" s="1259"/>
      <c r="OU522" s="1259"/>
      <c r="OV522" s="1259"/>
      <c r="OW522" s="1259"/>
      <c r="OX522" s="1259"/>
      <c r="OY522" s="1259"/>
      <c r="OZ522" s="1259"/>
      <c r="PA522" s="1259"/>
      <c r="PB522" s="1259"/>
      <c r="PC522" s="1259"/>
      <c r="PD522" s="1259"/>
      <c r="PE522" s="1259"/>
      <c r="PF522" s="1259"/>
      <c r="PG522" s="1259"/>
      <c r="PH522" s="1259"/>
      <c r="PI522" s="1259"/>
      <c r="PJ522" s="1259"/>
      <c r="PK522" s="1259"/>
      <c r="PL522" s="1259"/>
      <c r="PM522" s="1259"/>
      <c r="PN522" s="1259"/>
      <c r="PO522" s="1259"/>
      <c r="PP522" s="1259"/>
      <c r="PQ522" s="1259"/>
      <c r="PR522" s="1259"/>
      <c r="PS522" s="1259"/>
      <c r="PT522" s="1259"/>
      <c r="PU522" s="1259"/>
      <c r="PV522" s="1259"/>
      <c r="PW522" s="1259"/>
      <c r="PX522" s="1259"/>
      <c r="PY522" s="1259"/>
      <c r="PZ522" s="1259"/>
      <c r="QA522" s="1259"/>
      <c r="QB522" s="1259"/>
      <c r="QC522" s="1259"/>
      <c r="QD522" s="1259"/>
      <c r="QE522" s="1259"/>
      <c r="QF522" s="1259"/>
      <c r="QG522" s="1259"/>
      <c r="QH522" s="1259"/>
      <c r="QI522" s="1259"/>
      <c r="QJ522" s="1259"/>
      <c r="QK522" s="1259"/>
      <c r="QL522" s="1259"/>
      <c r="QM522" s="1259"/>
      <c r="QN522" s="1259"/>
      <c r="QO522" s="1259"/>
      <c r="QP522" s="1259"/>
      <c r="QQ522" s="1259"/>
      <c r="QR522" s="1259"/>
      <c r="QS522" s="1259"/>
      <c r="QT522" s="1259"/>
      <c r="QU522" s="1259"/>
      <c r="QV522" s="1259"/>
      <c r="QW522" s="1259"/>
      <c r="QX522" s="1259"/>
      <c r="QY522" s="1259"/>
      <c r="QZ522" s="1259"/>
      <c r="RA522" s="1259"/>
      <c r="RB522" s="1259"/>
      <c r="RC522" s="1259"/>
      <c r="RD522" s="1259"/>
      <c r="RE522" s="1259"/>
      <c r="RF522" s="1259"/>
      <c r="RG522" s="1259"/>
      <c r="RH522" s="1259"/>
      <c r="RI522" s="1259"/>
      <c r="RJ522" s="1259"/>
      <c r="RK522" s="1259"/>
      <c r="RL522" s="1259"/>
      <c r="RM522" s="1259"/>
      <c r="RN522" s="1259"/>
      <c r="RO522" s="1259"/>
      <c r="RP522" s="1259"/>
      <c r="RQ522" s="1259"/>
      <c r="RR522" s="1259"/>
      <c r="RS522" s="1259"/>
      <c r="RT522" s="1259"/>
      <c r="RU522" s="1259"/>
      <c r="RV522" s="1259"/>
      <c r="RW522" s="1259"/>
      <c r="RX522" s="1259"/>
      <c r="RY522" s="1259"/>
      <c r="RZ522" s="1259"/>
      <c r="SA522" s="1259"/>
      <c r="SB522" s="1259"/>
      <c r="SC522" s="1259"/>
      <c r="SD522" s="1259"/>
      <c r="SE522" s="1259"/>
      <c r="SF522" s="1259"/>
      <c r="SG522" s="1259"/>
      <c r="SH522" s="1259"/>
      <c r="SI522" s="1259"/>
      <c r="SJ522" s="1259"/>
      <c r="SK522" s="1259"/>
      <c r="SL522" s="1259"/>
      <c r="SM522" s="1259"/>
      <c r="SN522" s="1259"/>
      <c r="SO522" s="1259"/>
      <c r="SP522" s="1259"/>
      <c r="SQ522" s="1259"/>
      <c r="SR522" s="1259"/>
      <c r="SS522" s="1259"/>
      <c r="ST522" s="1259"/>
      <c r="SU522" s="1259"/>
      <c r="SV522" s="1259"/>
      <c r="SW522" s="1259"/>
      <c r="SX522" s="1259"/>
      <c r="SY522" s="1259"/>
      <c r="SZ522" s="1259"/>
      <c r="TA522" s="1259"/>
      <c r="TB522" s="1259"/>
      <c r="TC522" s="1259"/>
      <c r="TD522" s="1259"/>
      <c r="TE522" s="1259"/>
      <c r="TF522" s="1259"/>
      <c r="TG522" s="1259"/>
      <c r="TH522" s="1259"/>
      <c r="TI522" s="1259"/>
      <c r="TJ522" s="1259"/>
      <c r="TK522" s="1259"/>
      <c r="TL522" s="1259"/>
      <c r="TM522" s="1259"/>
      <c r="TN522" s="1259"/>
      <c r="TO522" s="1259"/>
      <c r="TP522" s="1259"/>
      <c r="TQ522" s="1259"/>
      <c r="TR522" s="1259"/>
      <c r="TS522" s="1259"/>
      <c r="TT522" s="1259"/>
      <c r="TU522" s="1259"/>
      <c r="TV522" s="1259"/>
      <c r="TW522" s="1259"/>
      <c r="TX522" s="1259"/>
      <c r="TY522" s="1259"/>
      <c r="TZ522" s="1259"/>
      <c r="UA522" s="1259"/>
      <c r="UB522" s="1259"/>
      <c r="UC522" s="1259"/>
      <c r="UD522" s="1259"/>
      <c r="UE522" s="1259"/>
      <c r="UF522" s="1259"/>
      <c r="UG522" s="1261"/>
    </row>
    <row r="523" spans="1:553" s="1262" customFormat="1" ht="30.75" customHeight="1">
      <c r="A523" s="366" t="s">
        <v>15</v>
      </c>
      <c r="B523" s="366"/>
      <c r="C523" s="1446" t="s">
        <v>384</v>
      </c>
      <c r="D523" s="1389"/>
      <c r="E523" s="1389"/>
      <c r="F523" s="1389"/>
      <c r="G523" s="1226" t="s">
        <v>196</v>
      </c>
      <c r="H523" s="586"/>
      <c r="I523" s="422">
        <f>(31.98*100/400)*(17-(5-3))*19</f>
        <v>2278.5749999999998</v>
      </c>
      <c r="J523" s="797">
        <v>5800</v>
      </c>
      <c r="K523" s="495">
        <v>0.7</v>
      </c>
      <c r="L523" s="480">
        <f>ROUND(PRODUCT(I523:K523),0)</f>
        <v>9251015</v>
      </c>
      <c r="M523" s="366"/>
      <c r="N523" s="366"/>
      <c r="O523" s="366"/>
      <c r="P523" s="366"/>
      <c r="Q523" s="1040"/>
      <c r="R523" s="1228"/>
      <c r="S523" s="308"/>
      <c r="T523" s="308"/>
      <c r="U523" s="308"/>
      <c r="V523" s="308"/>
      <c r="W523" s="308"/>
      <c r="X523" s="308"/>
      <c r="Y523" s="308"/>
      <c r="Z523" s="604"/>
      <c r="AA523" s="308"/>
      <c r="AB523" s="308"/>
      <c r="AC523" s="449"/>
      <c r="AD523" s="452"/>
      <c r="AE523" s="452"/>
      <c r="AF523" s="452"/>
      <c r="AG523" s="452"/>
      <c r="AH523" s="452"/>
      <c r="AI523" s="452"/>
      <c r="AJ523" s="452"/>
      <c r="AK523" s="452"/>
      <c r="AL523" s="1259"/>
      <c r="AM523" s="1259"/>
      <c r="AN523" s="1259"/>
      <c r="AO523" s="1259"/>
      <c r="AP523" s="1259"/>
      <c r="AQ523" s="1259"/>
      <c r="AR523" s="1259"/>
      <c r="AS523" s="1259"/>
      <c r="AT523" s="1259"/>
      <c r="AU523" s="1259"/>
      <c r="AV523" s="1259"/>
      <c r="AW523" s="1259"/>
      <c r="AX523" s="1259"/>
      <c r="AY523" s="1259"/>
      <c r="AZ523" s="1259"/>
      <c r="BA523" s="1259"/>
      <c r="BB523" s="1259"/>
      <c r="BC523" s="1259"/>
      <c r="BD523" s="1259"/>
      <c r="BE523" s="1259"/>
      <c r="BF523" s="1259"/>
      <c r="BG523" s="1259"/>
      <c r="BH523" s="1259"/>
      <c r="BI523" s="1259"/>
      <c r="BJ523" s="1259"/>
      <c r="BK523" s="1259"/>
      <c r="BL523" s="1259"/>
      <c r="BM523" s="1259"/>
      <c r="BN523" s="1259"/>
      <c r="BO523" s="1259"/>
      <c r="BP523" s="1259"/>
      <c r="BQ523" s="1259"/>
      <c r="BR523" s="1259"/>
      <c r="BS523" s="1259"/>
      <c r="BT523" s="1259"/>
      <c r="BU523" s="1259"/>
      <c r="BV523" s="1259"/>
      <c r="BW523" s="1259"/>
      <c r="BX523" s="1259"/>
      <c r="BY523" s="1259"/>
      <c r="BZ523" s="1259"/>
      <c r="CA523" s="1259"/>
      <c r="CB523" s="1259"/>
      <c r="CC523" s="1259"/>
      <c r="CD523" s="1259"/>
      <c r="CE523" s="1259"/>
      <c r="CF523" s="1259"/>
      <c r="CG523" s="1259"/>
      <c r="CH523" s="1259"/>
      <c r="CI523" s="1259"/>
      <c r="CJ523" s="1259"/>
      <c r="CK523" s="1259"/>
      <c r="CL523" s="1259"/>
      <c r="CM523" s="1259"/>
      <c r="CN523" s="1259"/>
      <c r="CO523" s="1259"/>
      <c r="CP523" s="1259"/>
      <c r="CQ523" s="1259"/>
      <c r="CR523" s="1259"/>
      <c r="CS523" s="1259"/>
      <c r="CT523" s="1259"/>
      <c r="CU523" s="1259"/>
      <c r="CV523" s="1259"/>
      <c r="CW523" s="1259"/>
      <c r="CX523" s="1259"/>
      <c r="CY523" s="1259"/>
      <c r="CZ523" s="1259"/>
      <c r="DA523" s="1259"/>
      <c r="DB523" s="1259"/>
      <c r="DC523" s="1259"/>
      <c r="DD523" s="1259"/>
      <c r="DE523" s="1259"/>
      <c r="DF523" s="1259"/>
      <c r="DG523" s="1259"/>
      <c r="DH523" s="1259"/>
      <c r="DI523" s="1259"/>
      <c r="DJ523" s="1259"/>
      <c r="DK523" s="1259"/>
      <c r="DL523" s="1259"/>
      <c r="DM523" s="1259"/>
      <c r="DN523" s="1259"/>
      <c r="DO523" s="1259"/>
      <c r="DP523" s="1259"/>
      <c r="DQ523" s="1259"/>
      <c r="DR523" s="1259"/>
      <c r="DS523" s="1259"/>
      <c r="DT523" s="1259"/>
      <c r="DU523" s="1259"/>
      <c r="DV523" s="1259"/>
      <c r="DW523" s="1259"/>
      <c r="DX523" s="1259"/>
      <c r="DY523" s="1259"/>
      <c r="DZ523" s="1259"/>
      <c r="EA523" s="1259"/>
      <c r="EB523" s="1259"/>
      <c r="EC523" s="1259"/>
      <c r="ED523" s="1259"/>
      <c r="EE523" s="1259"/>
      <c r="EF523" s="1259"/>
      <c r="EG523" s="1259"/>
      <c r="EH523" s="1259"/>
      <c r="EI523" s="1259"/>
      <c r="EJ523" s="1259"/>
      <c r="EK523" s="1259"/>
      <c r="EL523" s="1259"/>
      <c r="EM523" s="1259"/>
      <c r="EN523" s="1259"/>
      <c r="EO523" s="1259"/>
      <c r="EP523" s="1259"/>
      <c r="EQ523" s="1259"/>
      <c r="ER523" s="1259"/>
      <c r="ES523" s="1259"/>
      <c r="ET523" s="1259"/>
      <c r="EU523" s="1259"/>
      <c r="EV523" s="1259"/>
      <c r="EW523" s="1259"/>
      <c r="EX523" s="1259"/>
      <c r="EY523" s="1259"/>
      <c r="EZ523" s="1259"/>
      <c r="FA523" s="1259"/>
      <c r="FB523" s="1259"/>
      <c r="FC523" s="1259"/>
      <c r="FD523" s="1259"/>
      <c r="FE523" s="1259"/>
      <c r="FF523" s="1259"/>
      <c r="FG523" s="1259"/>
      <c r="FH523" s="1259"/>
      <c r="FI523" s="1259"/>
      <c r="FJ523" s="1259"/>
      <c r="FK523" s="1259"/>
      <c r="FL523" s="1259"/>
      <c r="FM523" s="1259"/>
      <c r="FN523" s="1259"/>
      <c r="FO523" s="1259"/>
      <c r="FP523" s="1259"/>
      <c r="FQ523" s="1259"/>
      <c r="FR523" s="1259"/>
      <c r="FS523" s="1259"/>
      <c r="FT523" s="1259"/>
      <c r="FU523" s="1259"/>
      <c r="FV523" s="1259"/>
      <c r="FW523" s="1259"/>
      <c r="FX523" s="1259"/>
      <c r="FY523" s="1259"/>
      <c r="FZ523" s="1259"/>
      <c r="GA523" s="1259"/>
      <c r="GB523" s="1259"/>
      <c r="GC523" s="1259"/>
      <c r="GD523" s="1259"/>
      <c r="GE523" s="1259"/>
      <c r="GF523" s="1259"/>
      <c r="GG523" s="1259"/>
      <c r="GH523" s="1259"/>
      <c r="GI523" s="1259"/>
      <c r="GJ523" s="1259"/>
      <c r="GK523" s="1259"/>
      <c r="GL523" s="1259"/>
      <c r="GM523" s="1259"/>
      <c r="GN523" s="1259"/>
      <c r="GO523" s="1259"/>
      <c r="GP523" s="1259"/>
      <c r="GQ523" s="1259"/>
      <c r="GR523" s="1259"/>
      <c r="GS523" s="1259"/>
      <c r="GT523" s="1259"/>
      <c r="GU523" s="1259"/>
      <c r="GV523" s="1259"/>
      <c r="GW523" s="1259"/>
      <c r="GX523" s="1259"/>
      <c r="GY523" s="1259"/>
      <c r="GZ523" s="1259"/>
      <c r="HA523" s="1259"/>
      <c r="HB523" s="1259"/>
      <c r="HC523" s="1259"/>
      <c r="HD523" s="1259"/>
      <c r="HE523" s="1259"/>
      <c r="HF523" s="1259"/>
      <c r="HG523" s="1259"/>
      <c r="HH523" s="1259"/>
      <c r="HI523" s="1259"/>
      <c r="HJ523" s="1259"/>
      <c r="HK523" s="1259"/>
      <c r="HL523" s="1259"/>
      <c r="HM523" s="1259"/>
      <c r="HN523" s="1259"/>
      <c r="HO523" s="1259"/>
      <c r="HP523" s="1259"/>
      <c r="HQ523" s="1259"/>
      <c r="HR523" s="1259"/>
      <c r="HS523" s="1259"/>
      <c r="HT523" s="1259"/>
      <c r="HU523" s="1259"/>
      <c r="HV523" s="1259"/>
      <c r="HW523" s="1259"/>
      <c r="HX523" s="1259"/>
      <c r="HY523" s="1259"/>
      <c r="HZ523" s="1259"/>
      <c r="IA523" s="1259"/>
      <c r="IB523" s="1259"/>
      <c r="IC523" s="1259"/>
      <c r="ID523" s="1259"/>
      <c r="IE523" s="1259"/>
      <c r="IF523" s="1259"/>
      <c r="IG523" s="1259"/>
      <c r="IH523" s="1259"/>
      <c r="II523" s="1259"/>
      <c r="IJ523" s="1259"/>
      <c r="IK523" s="1259"/>
      <c r="IL523" s="1259"/>
      <c r="IM523" s="1259"/>
      <c r="IN523" s="1259"/>
      <c r="IO523" s="1259"/>
      <c r="IP523" s="1259"/>
      <c r="IQ523" s="1259"/>
      <c r="IR523" s="1259"/>
      <c r="IS523" s="1259"/>
      <c r="IT523" s="1259"/>
      <c r="IU523" s="1259"/>
      <c r="IV523" s="1259"/>
      <c r="IW523" s="1259"/>
      <c r="IX523" s="1259"/>
      <c r="IY523" s="1259"/>
      <c r="IZ523" s="1259"/>
      <c r="JA523" s="1259"/>
      <c r="JB523" s="1259"/>
      <c r="JC523" s="1259"/>
      <c r="JD523" s="1259"/>
      <c r="JE523" s="1259"/>
      <c r="JF523" s="1259"/>
      <c r="JG523" s="1259"/>
      <c r="JH523" s="1259"/>
      <c r="JI523" s="1259"/>
      <c r="JJ523" s="1259"/>
      <c r="JK523" s="1259"/>
      <c r="JL523" s="1259"/>
      <c r="JM523" s="1259"/>
      <c r="JN523" s="1259"/>
      <c r="JO523" s="1259"/>
      <c r="JP523" s="1259"/>
      <c r="JQ523" s="1259"/>
      <c r="JR523" s="1259"/>
      <c r="JS523" s="1259"/>
      <c r="JT523" s="1259"/>
      <c r="JU523" s="1259"/>
      <c r="JV523" s="1259"/>
      <c r="JW523" s="1259"/>
      <c r="JX523" s="1259"/>
      <c r="JY523" s="1259"/>
      <c r="JZ523" s="1259"/>
      <c r="KA523" s="1259"/>
      <c r="KB523" s="1259"/>
      <c r="KC523" s="1259"/>
      <c r="KD523" s="1259"/>
      <c r="KE523" s="1259"/>
      <c r="KF523" s="1259"/>
      <c r="KG523" s="1259"/>
      <c r="KH523" s="1259"/>
      <c r="KI523" s="1259"/>
      <c r="KJ523" s="1259"/>
      <c r="KK523" s="1259"/>
      <c r="KL523" s="1259"/>
      <c r="KM523" s="1259"/>
      <c r="KN523" s="1259"/>
      <c r="KO523" s="1259"/>
      <c r="KP523" s="1259"/>
      <c r="KQ523" s="1259"/>
      <c r="KR523" s="1259"/>
      <c r="KS523" s="1259"/>
      <c r="KT523" s="1259"/>
      <c r="KU523" s="1259"/>
      <c r="KV523" s="1259"/>
      <c r="KW523" s="1259"/>
      <c r="KX523" s="1259"/>
      <c r="KY523" s="1259"/>
      <c r="KZ523" s="1259"/>
      <c r="LA523" s="1259"/>
      <c r="LB523" s="1259"/>
      <c r="LC523" s="1259"/>
      <c r="LD523" s="1259"/>
      <c r="LE523" s="1259"/>
      <c r="LF523" s="1259"/>
      <c r="LG523" s="1259"/>
      <c r="LH523" s="1259"/>
      <c r="LI523" s="1259"/>
      <c r="LJ523" s="1259"/>
      <c r="LK523" s="1259"/>
      <c r="LL523" s="1259"/>
      <c r="LM523" s="1259"/>
      <c r="LN523" s="1259"/>
      <c r="LO523" s="1259"/>
      <c r="LP523" s="1259"/>
      <c r="LQ523" s="1259"/>
      <c r="LR523" s="1259"/>
      <c r="LS523" s="1259"/>
      <c r="LT523" s="1259"/>
      <c r="LU523" s="1259"/>
      <c r="LV523" s="1259"/>
      <c r="LW523" s="1259"/>
      <c r="LX523" s="1259"/>
      <c r="LY523" s="1259"/>
      <c r="LZ523" s="1259"/>
      <c r="MA523" s="1259"/>
      <c r="MB523" s="1259"/>
      <c r="MC523" s="1259"/>
      <c r="MD523" s="1259"/>
      <c r="ME523" s="1259"/>
      <c r="MF523" s="1259"/>
      <c r="MG523" s="1259"/>
      <c r="MH523" s="1259"/>
      <c r="MI523" s="1259"/>
      <c r="MJ523" s="1259"/>
      <c r="MK523" s="1259"/>
      <c r="ML523" s="1259"/>
      <c r="MM523" s="1259"/>
      <c r="MN523" s="1259"/>
      <c r="MO523" s="1259"/>
      <c r="MP523" s="1259"/>
      <c r="MQ523" s="1259"/>
      <c r="MR523" s="1259"/>
      <c r="MS523" s="1259"/>
      <c r="MT523" s="1259"/>
      <c r="MU523" s="1259"/>
      <c r="MV523" s="1259"/>
      <c r="MW523" s="1259"/>
      <c r="MX523" s="1259"/>
      <c r="MY523" s="1259"/>
      <c r="MZ523" s="1259"/>
      <c r="NA523" s="1259"/>
      <c r="NB523" s="1259"/>
      <c r="NC523" s="1259"/>
      <c r="ND523" s="1259"/>
      <c r="NE523" s="1259"/>
      <c r="NF523" s="1259"/>
      <c r="NG523" s="1259"/>
      <c r="NH523" s="1259"/>
      <c r="NI523" s="1259"/>
      <c r="NJ523" s="1259"/>
      <c r="NK523" s="1259"/>
      <c r="NL523" s="1259"/>
      <c r="NM523" s="1259"/>
      <c r="NN523" s="1259"/>
      <c r="NO523" s="1259"/>
      <c r="NP523" s="1259"/>
      <c r="NQ523" s="1259"/>
      <c r="NR523" s="1259"/>
      <c r="NS523" s="1259"/>
      <c r="NT523" s="1259"/>
      <c r="NU523" s="1259"/>
      <c r="NV523" s="1259"/>
      <c r="NW523" s="1259"/>
      <c r="NX523" s="1259"/>
      <c r="NY523" s="1259"/>
      <c r="NZ523" s="1259"/>
      <c r="OA523" s="1259"/>
      <c r="OB523" s="1259"/>
      <c r="OC523" s="1259"/>
      <c r="OD523" s="1259"/>
      <c r="OE523" s="1259"/>
      <c r="OF523" s="1259"/>
      <c r="OG523" s="1259"/>
      <c r="OH523" s="1259"/>
      <c r="OI523" s="1259"/>
      <c r="OJ523" s="1259"/>
      <c r="OK523" s="1259"/>
      <c r="OL523" s="1259"/>
      <c r="OM523" s="1259"/>
      <c r="ON523" s="1259"/>
      <c r="OO523" s="1259"/>
      <c r="OP523" s="1259"/>
      <c r="OQ523" s="1259"/>
      <c r="OR523" s="1259"/>
      <c r="OS523" s="1259"/>
      <c r="OT523" s="1259"/>
      <c r="OU523" s="1259"/>
      <c r="OV523" s="1259"/>
      <c r="OW523" s="1259"/>
      <c r="OX523" s="1259"/>
      <c r="OY523" s="1259"/>
      <c r="OZ523" s="1259"/>
      <c r="PA523" s="1259"/>
      <c r="PB523" s="1259"/>
      <c r="PC523" s="1259"/>
      <c r="PD523" s="1259"/>
      <c r="PE523" s="1259"/>
      <c r="PF523" s="1259"/>
      <c r="PG523" s="1259"/>
      <c r="PH523" s="1259"/>
      <c r="PI523" s="1259"/>
      <c r="PJ523" s="1259"/>
      <c r="PK523" s="1259"/>
      <c r="PL523" s="1259"/>
      <c r="PM523" s="1259"/>
      <c r="PN523" s="1259"/>
      <c r="PO523" s="1259"/>
      <c r="PP523" s="1259"/>
      <c r="PQ523" s="1259"/>
      <c r="PR523" s="1259"/>
      <c r="PS523" s="1259"/>
      <c r="PT523" s="1259"/>
      <c r="PU523" s="1259"/>
      <c r="PV523" s="1259"/>
      <c r="PW523" s="1259"/>
      <c r="PX523" s="1259"/>
      <c r="PY523" s="1259"/>
      <c r="PZ523" s="1259"/>
      <c r="QA523" s="1259"/>
      <c r="QB523" s="1259"/>
      <c r="QC523" s="1259"/>
      <c r="QD523" s="1259"/>
      <c r="QE523" s="1259"/>
      <c r="QF523" s="1259"/>
      <c r="QG523" s="1259"/>
      <c r="QH523" s="1259"/>
      <c r="QI523" s="1259"/>
      <c r="QJ523" s="1259"/>
      <c r="QK523" s="1259"/>
      <c r="QL523" s="1259"/>
      <c r="QM523" s="1259"/>
      <c r="QN523" s="1259"/>
      <c r="QO523" s="1259"/>
      <c r="QP523" s="1259"/>
      <c r="QQ523" s="1259"/>
      <c r="QR523" s="1259"/>
      <c r="QS523" s="1259"/>
      <c r="QT523" s="1259"/>
      <c r="QU523" s="1259"/>
      <c r="QV523" s="1259"/>
      <c r="QW523" s="1259"/>
      <c r="QX523" s="1259"/>
      <c r="QY523" s="1259"/>
      <c r="QZ523" s="1259"/>
      <c r="RA523" s="1259"/>
      <c r="RB523" s="1259"/>
      <c r="RC523" s="1259"/>
      <c r="RD523" s="1259"/>
      <c r="RE523" s="1259"/>
      <c r="RF523" s="1259"/>
      <c r="RG523" s="1259"/>
      <c r="RH523" s="1259"/>
      <c r="RI523" s="1259"/>
      <c r="RJ523" s="1259"/>
      <c r="RK523" s="1259"/>
      <c r="RL523" s="1259"/>
      <c r="RM523" s="1259"/>
      <c r="RN523" s="1259"/>
      <c r="RO523" s="1259"/>
      <c r="RP523" s="1259"/>
      <c r="RQ523" s="1259"/>
      <c r="RR523" s="1259"/>
      <c r="RS523" s="1259"/>
      <c r="RT523" s="1259"/>
      <c r="RU523" s="1259"/>
      <c r="RV523" s="1259"/>
      <c r="RW523" s="1259"/>
      <c r="RX523" s="1259"/>
      <c r="RY523" s="1259"/>
      <c r="RZ523" s="1259"/>
      <c r="SA523" s="1259"/>
      <c r="SB523" s="1259"/>
      <c r="SC523" s="1259"/>
      <c r="SD523" s="1259"/>
      <c r="SE523" s="1259"/>
      <c r="SF523" s="1259"/>
      <c r="SG523" s="1259"/>
      <c r="SH523" s="1259"/>
      <c r="SI523" s="1259"/>
      <c r="SJ523" s="1259"/>
      <c r="SK523" s="1259"/>
      <c r="SL523" s="1259"/>
      <c r="SM523" s="1259"/>
      <c r="SN523" s="1259"/>
      <c r="SO523" s="1259"/>
      <c r="SP523" s="1259"/>
      <c r="SQ523" s="1259"/>
      <c r="SR523" s="1259"/>
      <c r="SS523" s="1259"/>
      <c r="ST523" s="1259"/>
      <c r="SU523" s="1259"/>
      <c r="SV523" s="1259"/>
      <c r="SW523" s="1259"/>
      <c r="SX523" s="1259"/>
      <c r="SY523" s="1259"/>
      <c r="SZ523" s="1259"/>
      <c r="TA523" s="1259"/>
      <c r="TB523" s="1259"/>
      <c r="TC523" s="1259"/>
      <c r="TD523" s="1259"/>
      <c r="TE523" s="1259"/>
      <c r="TF523" s="1259"/>
      <c r="TG523" s="1259"/>
      <c r="TH523" s="1259"/>
      <c r="TI523" s="1259"/>
      <c r="TJ523" s="1259"/>
      <c r="TK523" s="1259"/>
      <c r="TL523" s="1259"/>
      <c r="TM523" s="1259"/>
      <c r="TN523" s="1259"/>
      <c r="TO523" s="1259"/>
      <c r="TP523" s="1259"/>
      <c r="TQ523" s="1259"/>
      <c r="TR523" s="1259"/>
      <c r="TS523" s="1259"/>
      <c r="TT523" s="1259"/>
      <c r="TU523" s="1259"/>
      <c r="TV523" s="1259"/>
      <c r="TW523" s="1259"/>
      <c r="TX523" s="1259"/>
      <c r="TY523" s="1259"/>
      <c r="TZ523" s="1259"/>
      <c r="UA523" s="1259"/>
      <c r="UB523" s="1259"/>
      <c r="UC523" s="1259"/>
      <c r="UD523" s="1259"/>
      <c r="UE523" s="1259"/>
      <c r="UF523" s="1259"/>
      <c r="UG523" s="1261"/>
    </row>
    <row r="524" spans="1:553" s="1262" customFormat="1" ht="30.75" customHeight="1">
      <c r="A524" s="366" t="s">
        <v>15</v>
      </c>
      <c r="B524" s="366"/>
      <c r="C524" s="1446" t="s">
        <v>1410</v>
      </c>
      <c r="D524" s="1389"/>
      <c r="E524" s="1389"/>
      <c r="F524" s="1389"/>
      <c r="G524" s="1226" t="s">
        <v>196</v>
      </c>
      <c r="H524" s="586"/>
      <c r="I524" s="794">
        <f>(42.76*100/400)*(32-(6-3))*3</f>
        <v>930.03</v>
      </c>
      <c r="J524" s="797">
        <v>7300</v>
      </c>
      <c r="K524" s="495">
        <v>0.7</v>
      </c>
      <c r="L524" s="480">
        <f>ROUND(PRODUCT(I524:K524),0)</f>
        <v>4752453</v>
      </c>
      <c r="M524" s="366"/>
      <c r="N524" s="366"/>
      <c r="O524" s="366"/>
      <c r="P524" s="366"/>
      <c r="Q524" s="1040"/>
      <c r="R524" s="1228"/>
      <c r="S524" s="308"/>
      <c r="T524" s="308"/>
      <c r="U524" s="308"/>
      <c r="V524" s="308"/>
      <c r="W524" s="308"/>
      <c r="X524" s="308"/>
      <c r="Y524" s="308"/>
      <c r="Z524" s="604"/>
      <c r="AA524" s="308"/>
      <c r="AB524" s="308"/>
      <c r="AC524" s="449"/>
      <c r="AD524" s="452"/>
      <c r="AE524" s="452"/>
      <c r="AF524" s="452"/>
      <c r="AG524" s="452"/>
      <c r="AH524" s="452"/>
      <c r="AI524" s="452"/>
      <c r="AJ524" s="452"/>
      <c r="AK524" s="452"/>
      <c r="AL524" s="1259"/>
      <c r="AM524" s="1259"/>
      <c r="AN524" s="1259"/>
      <c r="AO524" s="1259"/>
      <c r="AP524" s="1259"/>
      <c r="AQ524" s="1259"/>
      <c r="AR524" s="1259"/>
      <c r="AS524" s="1259"/>
      <c r="AT524" s="1259"/>
      <c r="AU524" s="1259"/>
      <c r="AV524" s="1259"/>
      <c r="AW524" s="1259"/>
      <c r="AX524" s="1259"/>
      <c r="AY524" s="1259"/>
      <c r="AZ524" s="1259"/>
      <c r="BA524" s="1259"/>
      <c r="BB524" s="1259"/>
      <c r="BC524" s="1259"/>
      <c r="BD524" s="1259"/>
      <c r="BE524" s="1259"/>
      <c r="BF524" s="1259"/>
      <c r="BG524" s="1259"/>
      <c r="BH524" s="1259"/>
      <c r="BI524" s="1259"/>
      <c r="BJ524" s="1259"/>
      <c r="BK524" s="1259"/>
      <c r="BL524" s="1259"/>
      <c r="BM524" s="1259"/>
      <c r="BN524" s="1259"/>
      <c r="BO524" s="1259"/>
      <c r="BP524" s="1259"/>
      <c r="BQ524" s="1259"/>
      <c r="BR524" s="1259"/>
      <c r="BS524" s="1259"/>
      <c r="BT524" s="1259"/>
      <c r="BU524" s="1259"/>
      <c r="BV524" s="1259"/>
      <c r="BW524" s="1259"/>
      <c r="BX524" s="1259"/>
      <c r="BY524" s="1259"/>
      <c r="BZ524" s="1259"/>
      <c r="CA524" s="1259"/>
      <c r="CB524" s="1259"/>
      <c r="CC524" s="1259"/>
      <c r="CD524" s="1259"/>
      <c r="CE524" s="1259"/>
      <c r="CF524" s="1259"/>
      <c r="CG524" s="1259"/>
      <c r="CH524" s="1259"/>
      <c r="CI524" s="1259"/>
      <c r="CJ524" s="1259"/>
      <c r="CK524" s="1259"/>
      <c r="CL524" s="1259"/>
      <c r="CM524" s="1259"/>
      <c r="CN524" s="1259"/>
      <c r="CO524" s="1259"/>
      <c r="CP524" s="1259"/>
      <c r="CQ524" s="1259"/>
      <c r="CR524" s="1259"/>
      <c r="CS524" s="1259"/>
      <c r="CT524" s="1259"/>
      <c r="CU524" s="1259"/>
      <c r="CV524" s="1259"/>
      <c r="CW524" s="1259"/>
      <c r="CX524" s="1259"/>
      <c r="CY524" s="1259"/>
      <c r="CZ524" s="1259"/>
      <c r="DA524" s="1259"/>
      <c r="DB524" s="1259"/>
      <c r="DC524" s="1259"/>
      <c r="DD524" s="1259"/>
      <c r="DE524" s="1259"/>
      <c r="DF524" s="1259"/>
      <c r="DG524" s="1259"/>
      <c r="DH524" s="1259"/>
      <c r="DI524" s="1259"/>
      <c r="DJ524" s="1259"/>
      <c r="DK524" s="1259"/>
      <c r="DL524" s="1259"/>
      <c r="DM524" s="1259"/>
      <c r="DN524" s="1259"/>
      <c r="DO524" s="1259"/>
      <c r="DP524" s="1259"/>
      <c r="DQ524" s="1259"/>
      <c r="DR524" s="1259"/>
      <c r="DS524" s="1259"/>
      <c r="DT524" s="1259"/>
      <c r="DU524" s="1259"/>
      <c r="DV524" s="1259"/>
      <c r="DW524" s="1259"/>
      <c r="DX524" s="1259"/>
      <c r="DY524" s="1259"/>
      <c r="DZ524" s="1259"/>
      <c r="EA524" s="1259"/>
      <c r="EB524" s="1259"/>
      <c r="EC524" s="1259"/>
      <c r="ED524" s="1259"/>
      <c r="EE524" s="1259"/>
      <c r="EF524" s="1259"/>
      <c r="EG524" s="1259"/>
      <c r="EH524" s="1259"/>
      <c r="EI524" s="1259"/>
      <c r="EJ524" s="1259"/>
      <c r="EK524" s="1259"/>
      <c r="EL524" s="1259"/>
      <c r="EM524" s="1259"/>
      <c r="EN524" s="1259"/>
      <c r="EO524" s="1259"/>
      <c r="EP524" s="1259"/>
      <c r="EQ524" s="1259"/>
      <c r="ER524" s="1259"/>
      <c r="ES524" s="1259"/>
      <c r="ET524" s="1259"/>
      <c r="EU524" s="1259"/>
      <c r="EV524" s="1259"/>
      <c r="EW524" s="1259"/>
      <c r="EX524" s="1259"/>
      <c r="EY524" s="1259"/>
      <c r="EZ524" s="1259"/>
      <c r="FA524" s="1259"/>
      <c r="FB524" s="1259"/>
      <c r="FC524" s="1259"/>
      <c r="FD524" s="1259"/>
      <c r="FE524" s="1259"/>
      <c r="FF524" s="1259"/>
      <c r="FG524" s="1259"/>
      <c r="FH524" s="1259"/>
      <c r="FI524" s="1259"/>
      <c r="FJ524" s="1259"/>
      <c r="FK524" s="1259"/>
      <c r="FL524" s="1259"/>
      <c r="FM524" s="1259"/>
      <c r="FN524" s="1259"/>
      <c r="FO524" s="1259"/>
      <c r="FP524" s="1259"/>
      <c r="FQ524" s="1259"/>
      <c r="FR524" s="1259"/>
      <c r="FS524" s="1259"/>
      <c r="FT524" s="1259"/>
      <c r="FU524" s="1259"/>
      <c r="FV524" s="1259"/>
      <c r="FW524" s="1259"/>
      <c r="FX524" s="1259"/>
      <c r="FY524" s="1259"/>
      <c r="FZ524" s="1259"/>
      <c r="GA524" s="1259"/>
      <c r="GB524" s="1259"/>
      <c r="GC524" s="1259"/>
      <c r="GD524" s="1259"/>
      <c r="GE524" s="1259"/>
      <c r="GF524" s="1259"/>
      <c r="GG524" s="1259"/>
      <c r="GH524" s="1259"/>
      <c r="GI524" s="1259"/>
      <c r="GJ524" s="1259"/>
      <c r="GK524" s="1259"/>
      <c r="GL524" s="1259"/>
      <c r="GM524" s="1259"/>
      <c r="GN524" s="1259"/>
      <c r="GO524" s="1259"/>
      <c r="GP524" s="1259"/>
      <c r="GQ524" s="1259"/>
      <c r="GR524" s="1259"/>
      <c r="GS524" s="1259"/>
      <c r="GT524" s="1259"/>
      <c r="GU524" s="1259"/>
      <c r="GV524" s="1259"/>
      <c r="GW524" s="1259"/>
      <c r="GX524" s="1259"/>
      <c r="GY524" s="1259"/>
      <c r="GZ524" s="1259"/>
      <c r="HA524" s="1259"/>
      <c r="HB524" s="1259"/>
      <c r="HC524" s="1259"/>
      <c r="HD524" s="1259"/>
      <c r="HE524" s="1259"/>
      <c r="HF524" s="1259"/>
      <c r="HG524" s="1259"/>
      <c r="HH524" s="1259"/>
      <c r="HI524" s="1259"/>
      <c r="HJ524" s="1259"/>
      <c r="HK524" s="1259"/>
      <c r="HL524" s="1259"/>
      <c r="HM524" s="1259"/>
      <c r="HN524" s="1259"/>
      <c r="HO524" s="1259"/>
      <c r="HP524" s="1259"/>
      <c r="HQ524" s="1259"/>
      <c r="HR524" s="1259"/>
      <c r="HS524" s="1259"/>
      <c r="HT524" s="1259"/>
      <c r="HU524" s="1259"/>
      <c r="HV524" s="1259"/>
      <c r="HW524" s="1259"/>
      <c r="HX524" s="1259"/>
      <c r="HY524" s="1259"/>
      <c r="HZ524" s="1259"/>
      <c r="IA524" s="1259"/>
      <c r="IB524" s="1259"/>
      <c r="IC524" s="1259"/>
      <c r="ID524" s="1259"/>
      <c r="IE524" s="1259"/>
      <c r="IF524" s="1259"/>
      <c r="IG524" s="1259"/>
      <c r="IH524" s="1259"/>
      <c r="II524" s="1259"/>
      <c r="IJ524" s="1259"/>
      <c r="IK524" s="1259"/>
      <c r="IL524" s="1259"/>
      <c r="IM524" s="1259"/>
      <c r="IN524" s="1259"/>
      <c r="IO524" s="1259"/>
      <c r="IP524" s="1259"/>
      <c r="IQ524" s="1259"/>
      <c r="IR524" s="1259"/>
      <c r="IS524" s="1259"/>
      <c r="IT524" s="1259"/>
      <c r="IU524" s="1259"/>
      <c r="IV524" s="1259"/>
      <c r="IW524" s="1259"/>
      <c r="IX524" s="1259"/>
      <c r="IY524" s="1259"/>
      <c r="IZ524" s="1259"/>
      <c r="JA524" s="1259"/>
      <c r="JB524" s="1259"/>
      <c r="JC524" s="1259"/>
      <c r="JD524" s="1259"/>
      <c r="JE524" s="1259"/>
      <c r="JF524" s="1259"/>
      <c r="JG524" s="1259"/>
      <c r="JH524" s="1259"/>
      <c r="JI524" s="1259"/>
      <c r="JJ524" s="1259"/>
      <c r="JK524" s="1259"/>
      <c r="JL524" s="1259"/>
      <c r="JM524" s="1259"/>
      <c r="JN524" s="1259"/>
      <c r="JO524" s="1259"/>
      <c r="JP524" s="1259"/>
      <c r="JQ524" s="1259"/>
      <c r="JR524" s="1259"/>
      <c r="JS524" s="1259"/>
      <c r="JT524" s="1259"/>
      <c r="JU524" s="1259"/>
      <c r="JV524" s="1259"/>
      <c r="JW524" s="1259"/>
      <c r="JX524" s="1259"/>
      <c r="JY524" s="1259"/>
      <c r="JZ524" s="1259"/>
      <c r="KA524" s="1259"/>
      <c r="KB524" s="1259"/>
      <c r="KC524" s="1259"/>
      <c r="KD524" s="1259"/>
      <c r="KE524" s="1259"/>
      <c r="KF524" s="1259"/>
      <c r="KG524" s="1259"/>
      <c r="KH524" s="1259"/>
      <c r="KI524" s="1259"/>
      <c r="KJ524" s="1259"/>
      <c r="KK524" s="1259"/>
      <c r="KL524" s="1259"/>
      <c r="KM524" s="1259"/>
      <c r="KN524" s="1259"/>
      <c r="KO524" s="1259"/>
      <c r="KP524" s="1259"/>
      <c r="KQ524" s="1259"/>
      <c r="KR524" s="1259"/>
      <c r="KS524" s="1259"/>
      <c r="KT524" s="1259"/>
      <c r="KU524" s="1259"/>
      <c r="KV524" s="1259"/>
      <c r="KW524" s="1259"/>
      <c r="KX524" s="1259"/>
      <c r="KY524" s="1259"/>
      <c r="KZ524" s="1259"/>
      <c r="LA524" s="1259"/>
      <c r="LB524" s="1259"/>
      <c r="LC524" s="1259"/>
      <c r="LD524" s="1259"/>
      <c r="LE524" s="1259"/>
      <c r="LF524" s="1259"/>
      <c r="LG524" s="1259"/>
      <c r="LH524" s="1259"/>
      <c r="LI524" s="1259"/>
      <c r="LJ524" s="1259"/>
      <c r="LK524" s="1259"/>
      <c r="LL524" s="1259"/>
      <c r="LM524" s="1259"/>
      <c r="LN524" s="1259"/>
      <c r="LO524" s="1259"/>
      <c r="LP524" s="1259"/>
      <c r="LQ524" s="1259"/>
      <c r="LR524" s="1259"/>
      <c r="LS524" s="1259"/>
      <c r="LT524" s="1259"/>
      <c r="LU524" s="1259"/>
      <c r="LV524" s="1259"/>
      <c r="LW524" s="1259"/>
      <c r="LX524" s="1259"/>
      <c r="LY524" s="1259"/>
      <c r="LZ524" s="1259"/>
      <c r="MA524" s="1259"/>
      <c r="MB524" s="1259"/>
      <c r="MC524" s="1259"/>
      <c r="MD524" s="1259"/>
      <c r="ME524" s="1259"/>
      <c r="MF524" s="1259"/>
      <c r="MG524" s="1259"/>
      <c r="MH524" s="1259"/>
      <c r="MI524" s="1259"/>
      <c r="MJ524" s="1259"/>
      <c r="MK524" s="1259"/>
      <c r="ML524" s="1259"/>
      <c r="MM524" s="1259"/>
      <c r="MN524" s="1259"/>
      <c r="MO524" s="1259"/>
      <c r="MP524" s="1259"/>
      <c r="MQ524" s="1259"/>
      <c r="MR524" s="1259"/>
      <c r="MS524" s="1259"/>
      <c r="MT524" s="1259"/>
      <c r="MU524" s="1259"/>
      <c r="MV524" s="1259"/>
      <c r="MW524" s="1259"/>
      <c r="MX524" s="1259"/>
      <c r="MY524" s="1259"/>
      <c r="MZ524" s="1259"/>
      <c r="NA524" s="1259"/>
      <c r="NB524" s="1259"/>
      <c r="NC524" s="1259"/>
      <c r="ND524" s="1259"/>
      <c r="NE524" s="1259"/>
      <c r="NF524" s="1259"/>
      <c r="NG524" s="1259"/>
      <c r="NH524" s="1259"/>
      <c r="NI524" s="1259"/>
      <c r="NJ524" s="1259"/>
      <c r="NK524" s="1259"/>
      <c r="NL524" s="1259"/>
      <c r="NM524" s="1259"/>
      <c r="NN524" s="1259"/>
      <c r="NO524" s="1259"/>
      <c r="NP524" s="1259"/>
      <c r="NQ524" s="1259"/>
      <c r="NR524" s="1259"/>
      <c r="NS524" s="1259"/>
      <c r="NT524" s="1259"/>
      <c r="NU524" s="1259"/>
      <c r="NV524" s="1259"/>
      <c r="NW524" s="1259"/>
      <c r="NX524" s="1259"/>
      <c r="NY524" s="1259"/>
      <c r="NZ524" s="1259"/>
      <c r="OA524" s="1259"/>
      <c r="OB524" s="1259"/>
      <c r="OC524" s="1259"/>
      <c r="OD524" s="1259"/>
      <c r="OE524" s="1259"/>
      <c r="OF524" s="1259"/>
      <c r="OG524" s="1259"/>
      <c r="OH524" s="1259"/>
      <c r="OI524" s="1259"/>
      <c r="OJ524" s="1259"/>
      <c r="OK524" s="1259"/>
      <c r="OL524" s="1259"/>
      <c r="OM524" s="1259"/>
      <c r="ON524" s="1259"/>
      <c r="OO524" s="1259"/>
      <c r="OP524" s="1259"/>
      <c r="OQ524" s="1259"/>
      <c r="OR524" s="1259"/>
      <c r="OS524" s="1259"/>
      <c r="OT524" s="1259"/>
      <c r="OU524" s="1259"/>
      <c r="OV524" s="1259"/>
      <c r="OW524" s="1259"/>
      <c r="OX524" s="1259"/>
      <c r="OY524" s="1259"/>
      <c r="OZ524" s="1259"/>
      <c r="PA524" s="1259"/>
      <c r="PB524" s="1259"/>
      <c r="PC524" s="1259"/>
      <c r="PD524" s="1259"/>
      <c r="PE524" s="1259"/>
      <c r="PF524" s="1259"/>
      <c r="PG524" s="1259"/>
      <c r="PH524" s="1259"/>
      <c r="PI524" s="1259"/>
      <c r="PJ524" s="1259"/>
      <c r="PK524" s="1259"/>
      <c r="PL524" s="1259"/>
      <c r="PM524" s="1259"/>
      <c r="PN524" s="1259"/>
      <c r="PO524" s="1259"/>
      <c r="PP524" s="1259"/>
      <c r="PQ524" s="1259"/>
      <c r="PR524" s="1259"/>
      <c r="PS524" s="1259"/>
      <c r="PT524" s="1259"/>
      <c r="PU524" s="1259"/>
      <c r="PV524" s="1259"/>
      <c r="PW524" s="1259"/>
      <c r="PX524" s="1259"/>
      <c r="PY524" s="1259"/>
      <c r="PZ524" s="1259"/>
      <c r="QA524" s="1259"/>
      <c r="QB524" s="1259"/>
      <c r="QC524" s="1259"/>
      <c r="QD524" s="1259"/>
      <c r="QE524" s="1259"/>
      <c r="QF524" s="1259"/>
      <c r="QG524" s="1259"/>
      <c r="QH524" s="1259"/>
      <c r="QI524" s="1259"/>
      <c r="QJ524" s="1259"/>
      <c r="QK524" s="1259"/>
      <c r="QL524" s="1259"/>
      <c r="QM524" s="1259"/>
      <c r="QN524" s="1259"/>
      <c r="QO524" s="1259"/>
      <c r="QP524" s="1259"/>
      <c r="QQ524" s="1259"/>
      <c r="QR524" s="1259"/>
      <c r="QS524" s="1259"/>
      <c r="QT524" s="1259"/>
      <c r="QU524" s="1259"/>
      <c r="QV524" s="1259"/>
      <c r="QW524" s="1259"/>
      <c r="QX524" s="1259"/>
      <c r="QY524" s="1259"/>
      <c r="QZ524" s="1259"/>
      <c r="RA524" s="1259"/>
      <c r="RB524" s="1259"/>
      <c r="RC524" s="1259"/>
      <c r="RD524" s="1259"/>
      <c r="RE524" s="1259"/>
      <c r="RF524" s="1259"/>
      <c r="RG524" s="1259"/>
      <c r="RH524" s="1259"/>
      <c r="RI524" s="1259"/>
      <c r="RJ524" s="1259"/>
      <c r="RK524" s="1259"/>
      <c r="RL524" s="1259"/>
      <c r="RM524" s="1259"/>
      <c r="RN524" s="1259"/>
      <c r="RO524" s="1259"/>
      <c r="RP524" s="1259"/>
      <c r="RQ524" s="1259"/>
      <c r="RR524" s="1259"/>
      <c r="RS524" s="1259"/>
      <c r="RT524" s="1259"/>
      <c r="RU524" s="1259"/>
      <c r="RV524" s="1259"/>
      <c r="RW524" s="1259"/>
      <c r="RX524" s="1259"/>
      <c r="RY524" s="1259"/>
      <c r="RZ524" s="1259"/>
      <c r="SA524" s="1259"/>
      <c r="SB524" s="1259"/>
      <c r="SC524" s="1259"/>
      <c r="SD524" s="1259"/>
      <c r="SE524" s="1259"/>
      <c r="SF524" s="1259"/>
      <c r="SG524" s="1259"/>
      <c r="SH524" s="1259"/>
      <c r="SI524" s="1259"/>
      <c r="SJ524" s="1259"/>
      <c r="SK524" s="1259"/>
      <c r="SL524" s="1259"/>
      <c r="SM524" s="1259"/>
      <c r="SN524" s="1259"/>
      <c r="SO524" s="1259"/>
      <c r="SP524" s="1259"/>
      <c r="SQ524" s="1259"/>
      <c r="SR524" s="1259"/>
      <c r="SS524" s="1259"/>
      <c r="ST524" s="1259"/>
      <c r="SU524" s="1259"/>
      <c r="SV524" s="1259"/>
      <c r="SW524" s="1259"/>
      <c r="SX524" s="1259"/>
      <c r="SY524" s="1259"/>
      <c r="SZ524" s="1259"/>
      <c r="TA524" s="1259"/>
      <c r="TB524" s="1259"/>
      <c r="TC524" s="1259"/>
      <c r="TD524" s="1259"/>
      <c r="TE524" s="1259"/>
      <c r="TF524" s="1259"/>
      <c r="TG524" s="1259"/>
      <c r="TH524" s="1259"/>
      <c r="TI524" s="1259"/>
      <c r="TJ524" s="1259"/>
      <c r="TK524" s="1259"/>
      <c r="TL524" s="1259"/>
      <c r="TM524" s="1259"/>
      <c r="TN524" s="1259"/>
      <c r="TO524" s="1259"/>
      <c r="TP524" s="1259"/>
      <c r="TQ524" s="1259"/>
      <c r="TR524" s="1259"/>
      <c r="TS524" s="1259"/>
      <c r="TT524" s="1259"/>
      <c r="TU524" s="1259"/>
      <c r="TV524" s="1259"/>
      <c r="TW524" s="1259"/>
      <c r="TX524" s="1259"/>
      <c r="TY524" s="1259"/>
      <c r="TZ524" s="1259"/>
      <c r="UA524" s="1259"/>
      <c r="UB524" s="1259"/>
      <c r="UC524" s="1259"/>
      <c r="UD524" s="1259"/>
      <c r="UE524" s="1259"/>
      <c r="UF524" s="1259"/>
      <c r="UG524" s="1261"/>
    </row>
    <row r="525" spans="1:553" s="109" customFormat="1" ht="30.75" customHeight="1">
      <c r="A525" s="402"/>
      <c r="B525" s="608"/>
      <c r="C525" s="1571" t="s">
        <v>1123</v>
      </c>
      <c r="D525" s="1466"/>
      <c r="E525" s="1466"/>
      <c r="F525" s="1466"/>
      <c r="G525" s="1226"/>
      <c r="H525" s="605"/>
      <c r="I525" s="420"/>
      <c r="J525" s="986"/>
      <c r="K525" s="500"/>
      <c r="L525" s="1013"/>
      <c r="M525" s="366"/>
      <c r="N525" s="366"/>
      <c r="O525" s="366"/>
      <c r="P525" s="366"/>
      <c r="Q525" s="1040"/>
      <c r="R525" s="1228"/>
      <c r="S525" s="308"/>
      <c r="T525" s="308"/>
      <c r="U525" s="308"/>
      <c r="V525" s="308"/>
      <c r="W525" s="308"/>
      <c r="X525" s="308"/>
      <c r="Y525" s="308"/>
      <c r="Z525" s="604"/>
      <c r="AA525" s="308"/>
      <c r="AB525" s="308"/>
      <c r="AC525" s="449"/>
      <c r="AD525" s="452"/>
      <c r="AE525" s="452"/>
      <c r="AF525" s="452"/>
      <c r="AG525" s="452"/>
      <c r="AH525" s="452"/>
      <c r="AI525" s="452"/>
      <c r="AJ525" s="452"/>
      <c r="AK525" s="452"/>
      <c r="AL525" s="117"/>
      <c r="AM525" s="117"/>
      <c r="AN525" s="117"/>
      <c r="AO525" s="117"/>
      <c r="AP525" s="117"/>
      <c r="AQ525" s="117"/>
      <c r="AR525" s="117"/>
      <c r="AS525" s="117"/>
      <c r="AT525" s="117"/>
      <c r="AU525" s="117"/>
      <c r="AV525" s="117"/>
      <c r="AW525" s="117"/>
      <c r="AX525" s="117"/>
      <c r="AY525" s="117"/>
      <c r="AZ525" s="117"/>
      <c r="BA525" s="117"/>
      <c r="BB525" s="117"/>
      <c r="BC525" s="117"/>
      <c r="BD525" s="117"/>
      <c r="BE525" s="117"/>
      <c r="BF525" s="117"/>
      <c r="BG525" s="117"/>
      <c r="BH525" s="117"/>
      <c r="BI525" s="117"/>
      <c r="BJ525" s="117"/>
      <c r="BK525" s="117"/>
      <c r="BL525" s="117"/>
      <c r="BM525" s="117"/>
      <c r="BN525" s="117"/>
      <c r="BO525" s="117"/>
      <c r="BP525" s="117"/>
      <c r="BQ525" s="117"/>
      <c r="BR525" s="117"/>
      <c r="BS525" s="117"/>
      <c r="BT525" s="117"/>
      <c r="BU525" s="117"/>
      <c r="BV525" s="117"/>
      <c r="BW525" s="117"/>
      <c r="BX525" s="117"/>
      <c r="BY525" s="117"/>
      <c r="BZ525" s="117"/>
      <c r="CA525" s="117"/>
      <c r="CB525" s="117"/>
      <c r="CC525" s="117"/>
      <c r="CD525" s="117"/>
      <c r="CE525" s="117"/>
      <c r="CF525" s="117"/>
      <c r="CG525" s="117"/>
      <c r="CH525" s="117"/>
      <c r="CI525" s="117"/>
      <c r="CJ525" s="117"/>
      <c r="CK525" s="117"/>
      <c r="CL525" s="117"/>
      <c r="CM525" s="117"/>
      <c r="CN525" s="117"/>
      <c r="CO525" s="117"/>
      <c r="CP525" s="117"/>
      <c r="CQ525" s="117"/>
      <c r="CR525" s="117"/>
      <c r="CS525" s="117"/>
      <c r="CT525" s="117"/>
      <c r="CU525" s="117"/>
      <c r="CV525" s="117"/>
      <c r="CW525" s="117"/>
      <c r="CX525" s="117"/>
      <c r="CY525" s="117"/>
      <c r="CZ525" s="117"/>
      <c r="DA525" s="117"/>
      <c r="DB525" s="117"/>
      <c r="DC525" s="117"/>
      <c r="DD525" s="117"/>
      <c r="DE525" s="117"/>
      <c r="DF525" s="117"/>
      <c r="DG525" s="117"/>
      <c r="DH525" s="117"/>
      <c r="DI525" s="117"/>
      <c r="DJ525" s="117"/>
      <c r="DK525" s="117"/>
      <c r="DL525" s="117"/>
      <c r="DM525" s="117"/>
      <c r="DN525" s="117"/>
      <c r="DO525" s="117"/>
      <c r="DP525" s="117"/>
      <c r="DQ525" s="117"/>
      <c r="DR525" s="117"/>
      <c r="DS525" s="117"/>
      <c r="DT525" s="117"/>
      <c r="DU525" s="117"/>
      <c r="DV525" s="117"/>
      <c r="DW525" s="117"/>
      <c r="DX525" s="117"/>
      <c r="DY525" s="117"/>
      <c r="DZ525" s="117"/>
      <c r="EA525" s="117"/>
      <c r="EB525" s="117"/>
      <c r="EC525" s="117"/>
      <c r="ED525" s="117"/>
      <c r="EE525" s="117"/>
      <c r="EF525" s="117"/>
      <c r="EG525" s="117"/>
      <c r="EH525" s="117"/>
      <c r="EI525" s="117"/>
      <c r="EJ525" s="117"/>
      <c r="EK525" s="117"/>
      <c r="EL525" s="117"/>
      <c r="EM525" s="117"/>
      <c r="EN525" s="117"/>
      <c r="EO525" s="117"/>
      <c r="EP525" s="117"/>
      <c r="EQ525" s="117"/>
      <c r="ER525" s="117"/>
      <c r="ES525" s="117"/>
      <c r="ET525" s="117"/>
      <c r="EU525" s="117"/>
      <c r="EV525" s="117"/>
      <c r="EW525" s="117"/>
      <c r="EX525" s="117"/>
      <c r="EY525" s="117"/>
      <c r="EZ525" s="117"/>
      <c r="FA525" s="117"/>
      <c r="FB525" s="117"/>
      <c r="FC525" s="117"/>
      <c r="FD525" s="117"/>
      <c r="FE525" s="117"/>
      <c r="FF525" s="117"/>
      <c r="FG525" s="117"/>
      <c r="FH525" s="117"/>
      <c r="FI525" s="117"/>
      <c r="FJ525" s="117"/>
      <c r="FK525" s="117"/>
      <c r="FL525" s="117"/>
      <c r="FM525" s="117"/>
      <c r="FN525" s="117"/>
      <c r="FO525" s="117"/>
      <c r="FP525" s="117"/>
      <c r="FQ525" s="117"/>
      <c r="FR525" s="117"/>
      <c r="FS525" s="117"/>
      <c r="FT525" s="117"/>
      <c r="FU525" s="117"/>
      <c r="FV525" s="117"/>
      <c r="FW525" s="117"/>
      <c r="FX525" s="117"/>
      <c r="FY525" s="117"/>
      <c r="FZ525" s="117"/>
      <c r="GA525" s="117"/>
      <c r="GB525" s="117"/>
      <c r="GC525" s="117"/>
      <c r="GD525" s="117"/>
      <c r="GE525" s="117"/>
      <c r="GF525" s="117"/>
      <c r="GG525" s="117"/>
      <c r="GH525" s="117"/>
      <c r="GI525" s="117"/>
      <c r="GJ525" s="117"/>
      <c r="GK525" s="117"/>
      <c r="GL525" s="117"/>
      <c r="GM525" s="117"/>
      <c r="GN525" s="117"/>
      <c r="GO525" s="117"/>
      <c r="GP525" s="117"/>
      <c r="GQ525" s="117"/>
      <c r="GR525" s="117"/>
      <c r="GS525" s="117"/>
      <c r="GT525" s="117"/>
      <c r="GU525" s="117"/>
      <c r="GV525" s="117"/>
      <c r="GW525" s="117"/>
      <c r="GX525" s="117"/>
      <c r="GY525" s="117"/>
      <c r="GZ525" s="117"/>
      <c r="HA525" s="117"/>
      <c r="HB525" s="117"/>
      <c r="HC525" s="117"/>
      <c r="HD525" s="117"/>
      <c r="HE525" s="117"/>
      <c r="HF525" s="117"/>
      <c r="HG525" s="117"/>
      <c r="HH525" s="117"/>
      <c r="HI525" s="117"/>
      <c r="HJ525" s="117"/>
      <c r="HK525" s="117"/>
      <c r="HL525" s="117"/>
      <c r="HM525" s="117"/>
      <c r="HN525" s="117"/>
      <c r="HO525" s="117"/>
      <c r="HP525" s="117"/>
      <c r="HQ525" s="117"/>
      <c r="HR525" s="117"/>
      <c r="HS525" s="117"/>
      <c r="HT525" s="117"/>
      <c r="HU525" s="117"/>
      <c r="HV525" s="117"/>
      <c r="HW525" s="117"/>
      <c r="HX525" s="117"/>
      <c r="HY525" s="117"/>
      <c r="HZ525" s="117"/>
      <c r="IA525" s="117"/>
      <c r="IB525" s="117"/>
      <c r="IC525" s="117"/>
      <c r="ID525" s="117"/>
      <c r="IE525" s="117"/>
      <c r="IF525" s="117"/>
      <c r="IG525" s="117"/>
      <c r="IH525" s="117"/>
      <c r="II525" s="117"/>
      <c r="IJ525" s="117"/>
      <c r="IK525" s="117"/>
      <c r="IL525" s="117"/>
      <c r="IM525" s="117"/>
      <c r="IN525" s="117"/>
      <c r="IO525" s="117"/>
      <c r="IP525" s="117"/>
      <c r="IQ525" s="117"/>
      <c r="IR525" s="117"/>
      <c r="IS525" s="117"/>
      <c r="IT525" s="117"/>
      <c r="IU525" s="117"/>
      <c r="IV525" s="117"/>
      <c r="IW525" s="117"/>
      <c r="IX525" s="117"/>
      <c r="IY525" s="117"/>
      <c r="IZ525" s="117"/>
      <c r="JA525" s="117"/>
      <c r="JB525" s="117"/>
      <c r="JC525" s="117"/>
      <c r="JD525" s="117"/>
      <c r="JE525" s="117"/>
      <c r="JF525" s="117"/>
      <c r="JG525" s="117"/>
      <c r="JH525" s="117"/>
      <c r="JI525" s="117"/>
      <c r="JJ525" s="117"/>
      <c r="JK525" s="117"/>
      <c r="JL525" s="117"/>
      <c r="JM525" s="117"/>
      <c r="JN525" s="117"/>
      <c r="JO525" s="117"/>
      <c r="JP525" s="117"/>
      <c r="JQ525" s="117"/>
      <c r="JR525" s="117"/>
      <c r="JS525" s="117"/>
      <c r="JT525" s="117"/>
      <c r="JU525" s="117"/>
      <c r="JV525" s="117"/>
      <c r="JW525" s="117"/>
      <c r="JX525" s="117"/>
      <c r="JY525" s="117"/>
      <c r="JZ525" s="117"/>
      <c r="KA525" s="117"/>
      <c r="KB525" s="117"/>
      <c r="KC525" s="117"/>
      <c r="KD525" s="117"/>
      <c r="KE525" s="117"/>
      <c r="KF525" s="117"/>
      <c r="KG525" s="117"/>
      <c r="KH525" s="117"/>
      <c r="KI525" s="117"/>
      <c r="KJ525" s="117"/>
      <c r="KK525" s="117"/>
      <c r="KL525" s="117"/>
      <c r="KM525" s="117"/>
      <c r="KN525" s="117"/>
      <c r="KO525" s="117"/>
      <c r="KP525" s="117"/>
      <c r="KQ525" s="117"/>
      <c r="KR525" s="117"/>
      <c r="KS525" s="117"/>
      <c r="KT525" s="117"/>
      <c r="KU525" s="117"/>
      <c r="KV525" s="117"/>
      <c r="KW525" s="117"/>
      <c r="KX525" s="117"/>
      <c r="KY525" s="117"/>
      <c r="KZ525" s="117"/>
      <c r="LA525" s="117"/>
      <c r="LB525" s="117"/>
      <c r="LC525" s="117"/>
      <c r="LD525" s="117"/>
      <c r="LE525" s="117"/>
      <c r="LF525" s="117"/>
      <c r="LG525" s="117"/>
      <c r="LH525" s="117"/>
      <c r="LI525" s="117"/>
      <c r="LJ525" s="117"/>
      <c r="LK525" s="117"/>
      <c r="LL525" s="117"/>
      <c r="LM525" s="117"/>
      <c r="LN525" s="117"/>
      <c r="LO525" s="117"/>
      <c r="LP525" s="117"/>
      <c r="LQ525" s="117"/>
      <c r="LR525" s="117"/>
      <c r="LS525" s="117"/>
      <c r="LT525" s="117"/>
      <c r="LU525" s="117"/>
      <c r="LV525" s="117"/>
      <c r="LW525" s="117"/>
      <c r="LX525" s="117"/>
      <c r="LY525" s="117"/>
      <c r="LZ525" s="117"/>
      <c r="MA525" s="117"/>
      <c r="MB525" s="117"/>
      <c r="MC525" s="117"/>
      <c r="MD525" s="117"/>
      <c r="ME525" s="117"/>
      <c r="MF525" s="117"/>
      <c r="MG525" s="117"/>
      <c r="MH525" s="117"/>
      <c r="MI525" s="117"/>
      <c r="MJ525" s="117"/>
      <c r="MK525" s="117"/>
      <c r="ML525" s="117"/>
      <c r="MM525" s="117"/>
      <c r="MN525" s="117"/>
      <c r="MO525" s="117"/>
      <c r="MP525" s="117"/>
      <c r="MQ525" s="117"/>
      <c r="MR525" s="117"/>
      <c r="MS525" s="117"/>
      <c r="MT525" s="117"/>
      <c r="MU525" s="117"/>
      <c r="MV525" s="117"/>
      <c r="MW525" s="117"/>
      <c r="MX525" s="117"/>
      <c r="MY525" s="117"/>
      <c r="MZ525" s="117"/>
      <c r="NA525" s="117"/>
      <c r="NB525" s="117"/>
      <c r="NC525" s="117"/>
      <c r="ND525" s="117"/>
      <c r="NE525" s="117"/>
      <c r="NF525" s="117"/>
      <c r="NG525" s="117"/>
      <c r="NH525" s="117"/>
      <c r="NI525" s="117"/>
      <c r="NJ525" s="117"/>
      <c r="NK525" s="117"/>
      <c r="NL525" s="117"/>
      <c r="NM525" s="117"/>
      <c r="NN525" s="117"/>
      <c r="NO525" s="117"/>
      <c r="NP525" s="117"/>
      <c r="NQ525" s="117"/>
      <c r="NR525" s="117"/>
      <c r="NS525" s="117"/>
      <c r="NT525" s="117"/>
      <c r="NU525" s="117"/>
      <c r="NV525" s="117"/>
      <c r="NW525" s="117"/>
      <c r="NX525" s="117"/>
      <c r="NY525" s="117"/>
      <c r="NZ525" s="117"/>
      <c r="OA525" s="117"/>
      <c r="OB525" s="117"/>
      <c r="OC525" s="117"/>
      <c r="OD525" s="117"/>
      <c r="OE525" s="117"/>
      <c r="OF525" s="117"/>
      <c r="OG525" s="117"/>
      <c r="OH525" s="117"/>
      <c r="OI525" s="117"/>
      <c r="OJ525" s="117"/>
      <c r="OK525" s="117"/>
      <c r="OL525" s="117"/>
      <c r="OM525" s="117"/>
      <c r="ON525" s="117"/>
      <c r="OO525" s="117"/>
      <c r="OP525" s="117"/>
      <c r="OQ525" s="117"/>
      <c r="OR525" s="117"/>
      <c r="OS525" s="117"/>
      <c r="OT525" s="117"/>
      <c r="OU525" s="117"/>
      <c r="OV525" s="117"/>
      <c r="OW525" s="117"/>
      <c r="OX525" s="117"/>
      <c r="OY525" s="117"/>
      <c r="OZ525" s="117"/>
      <c r="PA525" s="117"/>
      <c r="PB525" s="117"/>
      <c r="PC525" s="117"/>
      <c r="PD525" s="117"/>
      <c r="PE525" s="117"/>
      <c r="PF525" s="117"/>
      <c r="PG525" s="117"/>
      <c r="PH525" s="117"/>
      <c r="PI525" s="117"/>
      <c r="PJ525" s="117"/>
      <c r="PK525" s="117"/>
      <c r="PL525" s="117"/>
      <c r="PM525" s="117"/>
      <c r="PN525" s="117"/>
      <c r="PO525" s="117"/>
      <c r="PP525" s="117"/>
      <c r="PQ525" s="117"/>
      <c r="PR525" s="117"/>
      <c r="PS525" s="117"/>
      <c r="PT525" s="117"/>
      <c r="PU525" s="117"/>
      <c r="PV525" s="117"/>
      <c r="PW525" s="117"/>
      <c r="PX525" s="117"/>
      <c r="PY525" s="117"/>
      <c r="PZ525" s="117"/>
      <c r="QA525" s="117"/>
      <c r="QB525" s="117"/>
      <c r="QC525" s="117"/>
      <c r="QD525" s="117"/>
      <c r="QE525" s="117"/>
      <c r="QF525" s="117"/>
      <c r="QG525" s="117"/>
      <c r="QH525" s="117"/>
      <c r="QI525" s="117"/>
      <c r="QJ525" s="117"/>
      <c r="QK525" s="117"/>
      <c r="QL525" s="117"/>
      <c r="QM525" s="117"/>
      <c r="QN525" s="117"/>
      <c r="QO525" s="117"/>
      <c r="QP525" s="117"/>
      <c r="QQ525" s="117"/>
      <c r="QR525" s="117"/>
      <c r="QS525" s="117"/>
      <c r="QT525" s="117"/>
      <c r="QU525" s="117"/>
      <c r="QV525" s="117"/>
      <c r="QW525" s="117"/>
      <c r="QX525" s="117"/>
      <c r="QY525" s="117"/>
      <c r="QZ525" s="117"/>
      <c r="RA525" s="117"/>
      <c r="RB525" s="117"/>
      <c r="RC525" s="117"/>
      <c r="RD525" s="117"/>
      <c r="RE525" s="117"/>
      <c r="RF525" s="117"/>
      <c r="RG525" s="117"/>
      <c r="RH525" s="117"/>
      <c r="RI525" s="117"/>
      <c r="RJ525" s="117"/>
      <c r="RK525" s="117"/>
      <c r="RL525" s="117"/>
      <c r="RM525" s="117"/>
      <c r="RN525" s="117"/>
      <c r="RO525" s="117"/>
      <c r="RP525" s="117"/>
      <c r="RQ525" s="117"/>
      <c r="RR525" s="117"/>
      <c r="RS525" s="117"/>
      <c r="RT525" s="117"/>
      <c r="RU525" s="117"/>
      <c r="RV525" s="117"/>
      <c r="RW525" s="117"/>
      <c r="RX525" s="117"/>
      <c r="RY525" s="117"/>
      <c r="RZ525" s="117"/>
      <c r="SA525" s="117"/>
      <c r="SB525" s="117"/>
      <c r="SC525" s="117"/>
      <c r="SD525" s="117"/>
      <c r="SE525" s="117"/>
      <c r="SF525" s="117"/>
      <c r="SG525" s="117"/>
      <c r="SH525" s="117"/>
      <c r="SI525" s="117"/>
      <c r="SJ525" s="117"/>
      <c r="SK525" s="117"/>
      <c r="SL525" s="117"/>
      <c r="SM525" s="117"/>
      <c r="SN525" s="117"/>
      <c r="SO525" s="117"/>
      <c r="SP525" s="117"/>
      <c r="SQ525" s="117"/>
      <c r="SR525" s="117"/>
      <c r="SS525" s="117"/>
      <c r="ST525" s="117"/>
      <c r="SU525" s="117"/>
      <c r="SV525" s="117"/>
      <c r="SW525" s="117"/>
      <c r="SX525" s="117"/>
      <c r="SY525" s="117"/>
      <c r="SZ525" s="117"/>
      <c r="TA525" s="117"/>
      <c r="TB525" s="117"/>
      <c r="TC525" s="117"/>
      <c r="TD525" s="117"/>
      <c r="TE525" s="117"/>
      <c r="TF525" s="117"/>
      <c r="TG525" s="117"/>
      <c r="TH525" s="117"/>
      <c r="TI525" s="117"/>
      <c r="TJ525" s="117"/>
      <c r="TK525" s="117"/>
      <c r="TL525" s="117"/>
      <c r="TM525" s="117"/>
      <c r="TN525" s="117"/>
      <c r="TO525" s="117"/>
      <c r="TP525" s="117"/>
      <c r="TQ525" s="117"/>
      <c r="TR525" s="117"/>
      <c r="TS525" s="117"/>
      <c r="TT525" s="117"/>
      <c r="TU525" s="117"/>
      <c r="TV525" s="117"/>
      <c r="TW525" s="117"/>
      <c r="TX525" s="117"/>
      <c r="TY525" s="117"/>
      <c r="TZ525" s="117"/>
      <c r="UA525" s="117"/>
      <c r="UB525" s="117"/>
      <c r="UC525" s="117"/>
      <c r="UD525" s="117"/>
      <c r="UE525" s="117"/>
      <c r="UF525" s="117"/>
      <c r="UG525" s="126"/>
    </row>
    <row r="526" spans="1:553" s="1262" customFormat="1" ht="30.75" customHeight="1">
      <c r="A526" s="1226" t="s">
        <v>15</v>
      </c>
      <c r="B526" s="1226"/>
      <c r="C526" s="1463" t="s">
        <v>385</v>
      </c>
      <c r="D526" s="1452"/>
      <c r="E526" s="1452"/>
      <c r="F526" s="1464"/>
      <c r="G526" s="1226" t="s">
        <v>46</v>
      </c>
      <c r="H526" s="600"/>
      <c r="I526" s="423">
        <f>(206.62*100/2000)*40</f>
        <v>413.24</v>
      </c>
      <c r="J526" s="1243">
        <v>6200</v>
      </c>
      <c r="K526" s="413"/>
      <c r="L526" s="679">
        <f>ROUND(PRODUCT(I526:K526),0)</f>
        <v>2562088</v>
      </c>
      <c r="M526" s="366"/>
      <c r="N526" s="366"/>
      <c r="O526" s="366"/>
      <c r="P526" s="366"/>
      <c r="Q526" s="1040"/>
      <c r="R526" s="1228"/>
      <c r="S526" s="308"/>
      <c r="T526" s="308"/>
      <c r="U526" s="308"/>
      <c r="V526" s="308"/>
      <c r="W526" s="308"/>
      <c r="X526" s="308"/>
      <c r="Y526" s="308"/>
      <c r="Z526" s="604"/>
      <c r="AA526" s="308"/>
      <c r="AB526" s="308"/>
      <c r="AC526" s="449"/>
      <c r="AD526" s="452"/>
      <c r="AE526" s="452"/>
      <c r="AF526" s="452"/>
      <c r="AG526" s="452"/>
      <c r="AH526" s="452"/>
      <c r="AI526" s="452"/>
      <c r="AJ526" s="452"/>
      <c r="AK526" s="452"/>
      <c r="AL526" s="1259"/>
      <c r="AM526" s="1259"/>
      <c r="AN526" s="1259"/>
      <c r="AO526" s="1259"/>
      <c r="AP526" s="1259"/>
      <c r="AQ526" s="1259"/>
      <c r="AR526" s="1259"/>
      <c r="AS526" s="1259"/>
      <c r="AT526" s="1259"/>
      <c r="AU526" s="1259"/>
      <c r="AV526" s="1259"/>
      <c r="AW526" s="1259"/>
      <c r="AX526" s="1259"/>
      <c r="AY526" s="1259"/>
      <c r="AZ526" s="1259"/>
      <c r="BA526" s="1259"/>
      <c r="BB526" s="1259"/>
      <c r="BC526" s="1259"/>
      <c r="BD526" s="1259"/>
      <c r="BE526" s="1259"/>
      <c r="BF526" s="1259"/>
      <c r="BG526" s="1259"/>
      <c r="BH526" s="1259"/>
      <c r="BI526" s="1259"/>
      <c r="BJ526" s="1259"/>
      <c r="BK526" s="1259"/>
      <c r="BL526" s="1259"/>
      <c r="BM526" s="1259"/>
      <c r="BN526" s="1259"/>
      <c r="BO526" s="1259"/>
      <c r="BP526" s="1259"/>
      <c r="BQ526" s="1259"/>
      <c r="BR526" s="1259"/>
      <c r="BS526" s="1259"/>
      <c r="BT526" s="1259"/>
      <c r="BU526" s="1259"/>
      <c r="BV526" s="1259"/>
      <c r="BW526" s="1259"/>
      <c r="BX526" s="1259"/>
      <c r="BY526" s="1259"/>
      <c r="BZ526" s="1259"/>
      <c r="CA526" s="1259"/>
      <c r="CB526" s="1259"/>
      <c r="CC526" s="1259"/>
      <c r="CD526" s="1259"/>
      <c r="CE526" s="1259"/>
      <c r="CF526" s="1259"/>
      <c r="CG526" s="1259"/>
      <c r="CH526" s="1259"/>
      <c r="CI526" s="1259"/>
      <c r="CJ526" s="1259"/>
      <c r="CK526" s="1259"/>
      <c r="CL526" s="1259"/>
      <c r="CM526" s="1259"/>
      <c r="CN526" s="1259"/>
      <c r="CO526" s="1259"/>
      <c r="CP526" s="1259"/>
      <c r="CQ526" s="1259"/>
      <c r="CR526" s="1259"/>
      <c r="CS526" s="1259"/>
      <c r="CT526" s="1259"/>
      <c r="CU526" s="1259"/>
      <c r="CV526" s="1259"/>
      <c r="CW526" s="1259"/>
      <c r="CX526" s="1259"/>
      <c r="CY526" s="1259"/>
      <c r="CZ526" s="1259"/>
      <c r="DA526" s="1259"/>
      <c r="DB526" s="1259"/>
      <c r="DC526" s="1259"/>
      <c r="DD526" s="1259"/>
      <c r="DE526" s="1259"/>
      <c r="DF526" s="1259"/>
      <c r="DG526" s="1259"/>
      <c r="DH526" s="1259"/>
      <c r="DI526" s="1259"/>
      <c r="DJ526" s="1259"/>
      <c r="DK526" s="1259"/>
      <c r="DL526" s="1259"/>
      <c r="DM526" s="1259"/>
      <c r="DN526" s="1259"/>
      <c r="DO526" s="1259"/>
      <c r="DP526" s="1259"/>
      <c r="DQ526" s="1259"/>
      <c r="DR526" s="1259"/>
      <c r="DS526" s="1259"/>
      <c r="DT526" s="1259"/>
      <c r="DU526" s="1259"/>
      <c r="DV526" s="1259"/>
      <c r="DW526" s="1259"/>
      <c r="DX526" s="1259"/>
      <c r="DY526" s="1259"/>
      <c r="DZ526" s="1259"/>
      <c r="EA526" s="1259"/>
      <c r="EB526" s="1259"/>
      <c r="EC526" s="1259"/>
      <c r="ED526" s="1259"/>
      <c r="EE526" s="1259"/>
      <c r="EF526" s="1259"/>
      <c r="EG526" s="1259"/>
      <c r="EH526" s="1259"/>
      <c r="EI526" s="1259"/>
      <c r="EJ526" s="1259"/>
      <c r="EK526" s="1259"/>
      <c r="EL526" s="1259"/>
      <c r="EM526" s="1259"/>
      <c r="EN526" s="1259"/>
      <c r="EO526" s="1259"/>
      <c r="EP526" s="1259"/>
      <c r="EQ526" s="1259"/>
      <c r="ER526" s="1259"/>
      <c r="ES526" s="1259"/>
      <c r="ET526" s="1259"/>
      <c r="EU526" s="1259"/>
      <c r="EV526" s="1259"/>
      <c r="EW526" s="1259"/>
      <c r="EX526" s="1259"/>
      <c r="EY526" s="1259"/>
      <c r="EZ526" s="1259"/>
      <c r="FA526" s="1259"/>
      <c r="FB526" s="1259"/>
      <c r="FC526" s="1259"/>
      <c r="FD526" s="1259"/>
      <c r="FE526" s="1259"/>
      <c r="FF526" s="1259"/>
      <c r="FG526" s="1259"/>
      <c r="FH526" s="1259"/>
      <c r="FI526" s="1259"/>
      <c r="FJ526" s="1259"/>
      <c r="FK526" s="1259"/>
      <c r="FL526" s="1259"/>
      <c r="FM526" s="1259"/>
      <c r="FN526" s="1259"/>
      <c r="FO526" s="1259"/>
      <c r="FP526" s="1259"/>
      <c r="FQ526" s="1259"/>
      <c r="FR526" s="1259"/>
      <c r="FS526" s="1259"/>
      <c r="FT526" s="1259"/>
      <c r="FU526" s="1259"/>
      <c r="FV526" s="1259"/>
      <c r="FW526" s="1259"/>
      <c r="FX526" s="1259"/>
      <c r="FY526" s="1259"/>
      <c r="FZ526" s="1259"/>
      <c r="GA526" s="1259"/>
      <c r="GB526" s="1259"/>
      <c r="GC526" s="1259"/>
      <c r="GD526" s="1259"/>
      <c r="GE526" s="1259"/>
      <c r="GF526" s="1259"/>
      <c r="GG526" s="1259"/>
      <c r="GH526" s="1259"/>
      <c r="GI526" s="1259"/>
      <c r="GJ526" s="1259"/>
      <c r="GK526" s="1259"/>
      <c r="GL526" s="1259"/>
      <c r="GM526" s="1259"/>
      <c r="GN526" s="1259"/>
      <c r="GO526" s="1259"/>
      <c r="GP526" s="1259"/>
      <c r="GQ526" s="1259"/>
      <c r="GR526" s="1259"/>
      <c r="GS526" s="1259"/>
      <c r="GT526" s="1259"/>
      <c r="GU526" s="1259"/>
      <c r="GV526" s="1259"/>
      <c r="GW526" s="1259"/>
      <c r="GX526" s="1259"/>
      <c r="GY526" s="1259"/>
      <c r="GZ526" s="1259"/>
      <c r="HA526" s="1259"/>
      <c r="HB526" s="1259"/>
      <c r="HC526" s="1259"/>
      <c r="HD526" s="1259"/>
      <c r="HE526" s="1259"/>
      <c r="HF526" s="1259"/>
      <c r="HG526" s="1259"/>
      <c r="HH526" s="1259"/>
      <c r="HI526" s="1259"/>
      <c r="HJ526" s="1259"/>
      <c r="HK526" s="1259"/>
      <c r="HL526" s="1259"/>
      <c r="HM526" s="1259"/>
      <c r="HN526" s="1259"/>
      <c r="HO526" s="1259"/>
      <c r="HP526" s="1259"/>
      <c r="HQ526" s="1259"/>
      <c r="HR526" s="1259"/>
      <c r="HS526" s="1259"/>
      <c r="HT526" s="1259"/>
      <c r="HU526" s="1259"/>
      <c r="HV526" s="1259"/>
      <c r="HW526" s="1259"/>
      <c r="HX526" s="1259"/>
      <c r="HY526" s="1259"/>
      <c r="HZ526" s="1259"/>
      <c r="IA526" s="1259"/>
      <c r="IB526" s="1259"/>
      <c r="IC526" s="1259"/>
      <c r="ID526" s="1259"/>
      <c r="IE526" s="1259"/>
      <c r="IF526" s="1259"/>
      <c r="IG526" s="1259"/>
      <c r="IH526" s="1259"/>
      <c r="II526" s="1259"/>
      <c r="IJ526" s="1259"/>
      <c r="IK526" s="1259"/>
      <c r="IL526" s="1259"/>
      <c r="IM526" s="1259"/>
      <c r="IN526" s="1259"/>
      <c r="IO526" s="1259"/>
      <c r="IP526" s="1259"/>
      <c r="IQ526" s="1259"/>
      <c r="IR526" s="1259"/>
      <c r="IS526" s="1259"/>
      <c r="IT526" s="1259"/>
      <c r="IU526" s="1259"/>
      <c r="IV526" s="1259"/>
      <c r="IW526" s="1259"/>
      <c r="IX526" s="1259"/>
      <c r="IY526" s="1259"/>
      <c r="IZ526" s="1259"/>
      <c r="JA526" s="1259"/>
      <c r="JB526" s="1259"/>
      <c r="JC526" s="1259"/>
      <c r="JD526" s="1259"/>
      <c r="JE526" s="1259"/>
      <c r="JF526" s="1259"/>
      <c r="JG526" s="1259"/>
      <c r="JH526" s="1259"/>
      <c r="JI526" s="1259"/>
      <c r="JJ526" s="1259"/>
      <c r="JK526" s="1259"/>
      <c r="JL526" s="1259"/>
      <c r="JM526" s="1259"/>
      <c r="JN526" s="1259"/>
      <c r="JO526" s="1259"/>
      <c r="JP526" s="1259"/>
      <c r="JQ526" s="1259"/>
      <c r="JR526" s="1259"/>
      <c r="JS526" s="1259"/>
      <c r="JT526" s="1259"/>
      <c r="JU526" s="1259"/>
      <c r="JV526" s="1259"/>
      <c r="JW526" s="1259"/>
      <c r="JX526" s="1259"/>
      <c r="JY526" s="1259"/>
      <c r="JZ526" s="1259"/>
      <c r="KA526" s="1259"/>
      <c r="KB526" s="1259"/>
      <c r="KC526" s="1259"/>
      <c r="KD526" s="1259"/>
      <c r="KE526" s="1259"/>
      <c r="KF526" s="1259"/>
      <c r="KG526" s="1259"/>
      <c r="KH526" s="1259"/>
      <c r="KI526" s="1259"/>
      <c r="KJ526" s="1259"/>
      <c r="KK526" s="1259"/>
      <c r="KL526" s="1259"/>
      <c r="KM526" s="1259"/>
      <c r="KN526" s="1259"/>
      <c r="KO526" s="1259"/>
      <c r="KP526" s="1259"/>
      <c r="KQ526" s="1259"/>
      <c r="KR526" s="1259"/>
      <c r="KS526" s="1259"/>
      <c r="KT526" s="1259"/>
      <c r="KU526" s="1259"/>
      <c r="KV526" s="1259"/>
      <c r="KW526" s="1259"/>
      <c r="KX526" s="1259"/>
      <c r="KY526" s="1259"/>
      <c r="KZ526" s="1259"/>
      <c r="LA526" s="1259"/>
      <c r="LB526" s="1259"/>
      <c r="LC526" s="1259"/>
      <c r="LD526" s="1259"/>
      <c r="LE526" s="1259"/>
      <c r="LF526" s="1259"/>
      <c r="LG526" s="1259"/>
      <c r="LH526" s="1259"/>
      <c r="LI526" s="1259"/>
      <c r="LJ526" s="1259"/>
      <c r="LK526" s="1259"/>
      <c r="LL526" s="1259"/>
      <c r="LM526" s="1259"/>
      <c r="LN526" s="1259"/>
      <c r="LO526" s="1259"/>
      <c r="LP526" s="1259"/>
      <c r="LQ526" s="1259"/>
      <c r="LR526" s="1259"/>
      <c r="LS526" s="1259"/>
      <c r="LT526" s="1259"/>
      <c r="LU526" s="1259"/>
      <c r="LV526" s="1259"/>
      <c r="LW526" s="1259"/>
      <c r="LX526" s="1259"/>
      <c r="LY526" s="1259"/>
      <c r="LZ526" s="1259"/>
      <c r="MA526" s="1259"/>
      <c r="MB526" s="1259"/>
      <c r="MC526" s="1259"/>
      <c r="MD526" s="1259"/>
      <c r="ME526" s="1259"/>
      <c r="MF526" s="1259"/>
      <c r="MG526" s="1259"/>
      <c r="MH526" s="1259"/>
      <c r="MI526" s="1259"/>
      <c r="MJ526" s="1259"/>
      <c r="MK526" s="1259"/>
      <c r="ML526" s="1259"/>
      <c r="MM526" s="1259"/>
      <c r="MN526" s="1259"/>
      <c r="MO526" s="1259"/>
      <c r="MP526" s="1259"/>
      <c r="MQ526" s="1259"/>
      <c r="MR526" s="1259"/>
      <c r="MS526" s="1259"/>
      <c r="MT526" s="1259"/>
      <c r="MU526" s="1259"/>
      <c r="MV526" s="1259"/>
      <c r="MW526" s="1259"/>
      <c r="MX526" s="1259"/>
      <c r="MY526" s="1259"/>
      <c r="MZ526" s="1259"/>
      <c r="NA526" s="1259"/>
      <c r="NB526" s="1259"/>
      <c r="NC526" s="1259"/>
      <c r="ND526" s="1259"/>
      <c r="NE526" s="1259"/>
      <c r="NF526" s="1259"/>
      <c r="NG526" s="1259"/>
      <c r="NH526" s="1259"/>
      <c r="NI526" s="1259"/>
      <c r="NJ526" s="1259"/>
      <c r="NK526" s="1259"/>
      <c r="NL526" s="1259"/>
      <c r="NM526" s="1259"/>
      <c r="NN526" s="1259"/>
      <c r="NO526" s="1259"/>
      <c r="NP526" s="1259"/>
      <c r="NQ526" s="1259"/>
      <c r="NR526" s="1259"/>
      <c r="NS526" s="1259"/>
      <c r="NT526" s="1259"/>
      <c r="NU526" s="1259"/>
      <c r="NV526" s="1259"/>
      <c r="NW526" s="1259"/>
      <c r="NX526" s="1259"/>
      <c r="NY526" s="1259"/>
      <c r="NZ526" s="1259"/>
      <c r="OA526" s="1259"/>
      <c r="OB526" s="1259"/>
      <c r="OC526" s="1259"/>
      <c r="OD526" s="1259"/>
      <c r="OE526" s="1259"/>
      <c r="OF526" s="1259"/>
      <c r="OG526" s="1259"/>
      <c r="OH526" s="1259"/>
      <c r="OI526" s="1259"/>
      <c r="OJ526" s="1259"/>
      <c r="OK526" s="1259"/>
      <c r="OL526" s="1259"/>
      <c r="OM526" s="1259"/>
      <c r="ON526" s="1259"/>
      <c r="OO526" s="1259"/>
      <c r="OP526" s="1259"/>
      <c r="OQ526" s="1259"/>
      <c r="OR526" s="1259"/>
      <c r="OS526" s="1259"/>
      <c r="OT526" s="1259"/>
      <c r="OU526" s="1259"/>
      <c r="OV526" s="1259"/>
      <c r="OW526" s="1259"/>
      <c r="OX526" s="1259"/>
      <c r="OY526" s="1259"/>
      <c r="OZ526" s="1259"/>
      <c r="PA526" s="1259"/>
      <c r="PB526" s="1259"/>
      <c r="PC526" s="1259"/>
      <c r="PD526" s="1259"/>
      <c r="PE526" s="1259"/>
      <c r="PF526" s="1259"/>
      <c r="PG526" s="1259"/>
      <c r="PH526" s="1259"/>
      <c r="PI526" s="1259"/>
      <c r="PJ526" s="1259"/>
      <c r="PK526" s="1259"/>
      <c r="PL526" s="1259"/>
      <c r="PM526" s="1259"/>
      <c r="PN526" s="1259"/>
      <c r="PO526" s="1259"/>
      <c r="PP526" s="1259"/>
      <c r="PQ526" s="1259"/>
      <c r="PR526" s="1259"/>
      <c r="PS526" s="1259"/>
      <c r="PT526" s="1259"/>
      <c r="PU526" s="1259"/>
      <c r="PV526" s="1259"/>
      <c r="PW526" s="1259"/>
      <c r="PX526" s="1259"/>
      <c r="PY526" s="1259"/>
      <c r="PZ526" s="1259"/>
      <c r="QA526" s="1259"/>
      <c r="QB526" s="1259"/>
      <c r="QC526" s="1259"/>
      <c r="QD526" s="1259"/>
      <c r="QE526" s="1259"/>
      <c r="QF526" s="1259"/>
      <c r="QG526" s="1259"/>
      <c r="QH526" s="1259"/>
      <c r="QI526" s="1259"/>
      <c r="QJ526" s="1259"/>
      <c r="QK526" s="1259"/>
      <c r="QL526" s="1259"/>
      <c r="QM526" s="1259"/>
      <c r="QN526" s="1259"/>
      <c r="QO526" s="1259"/>
      <c r="QP526" s="1259"/>
      <c r="QQ526" s="1259"/>
      <c r="QR526" s="1259"/>
      <c r="QS526" s="1259"/>
      <c r="QT526" s="1259"/>
      <c r="QU526" s="1259"/>
      <c r="QV526" s="1259"/>
      <c r="QW526" s="1259"/>
      <c r="QX526" s="1259"/>
      <c r="QY526" s="1259"/>
      <c r="QZ526" s="1259"/>
      <c r="RA526" s="1259"/>
      <c r="RB526" s="1259"/>
      <c r="RC526" s="1259"/>
      <c r="RD526" s="1259"/>
      <c r="RE526" s="1259"/>
      <c r="RF526" s="1259"/>
      <c r="RG526" s="1259"/>
      <c r="RH526" s="1259"/>
      <c r="RI526" s="1259"/>
      <c r="RJ526" s="1259"/>
      <c r="RK526" s="1259"/>
      <c r="RL526" s="1259"/>
      <c r="RM526" s="1259"/>
      <c r="RN526" s="1259"/>
      <c r="RO526" s="1259"/>
      <c r="RP526" s="1259"/>
      <c r="RQ526" s="1259"/>
      <c r="RR526" s="1259"/>
      <c r="RS526" s="1259"/>
      <c r="RT526" s="1259"/>
      <c r="RU526" s="1259"/>
      <c r="RV526" s="1259"/>
      <c r="RW526" s="1259"/>
      <c r="RX526" s="1259"/>
      <c r="RY526" s="1259"/>
      <c r="RZ526" s="1259"/>
      <c r="SA526" s="1259"/>
      <c r="SB526" s="1259"/>
      <c r="SC526" s="1259"/>
      <c r="SD526" s="1259"/>
      <c r="SE526" s="1259"/>
      <c r="SF526" s="1259"/>
      <c r="SG526" s="1259"/>
      <c r="SH526" s="1259"/>
      <c r="SI526" s="1259"/>
      <c r="SJ526" s="1259"/>
      <c r="SK526" s="1259"/>
      <c r="SL526" s="1259"/>
      <c r="SM526" s="1259"/>
      <c r="SN526" s="1259"/>
      <c r="SO526" s="1259"/>
      <c r="SP526" s="1259"/>
      <c r="SQ526" s="1259"/>
      <c r="SR526" s="1259"/>
      <c r="SS526" s="1259"/>
      <c r="ST526" s="1259"/>
      <c r="SU526" s="1259"/>
      <c r="SV526" s="1259"/>
      <c r="SW526" s="1259"/>
      <c r="SX526" s="1259"/>
      <c r="SY526" s="1259"/>
      <c r="SZ526" s="1259"/>
      <c r="TA526" s="1259"/>
      <c r="TB526" s="1259"/>
      <c r="TC526" s="1259"/>
      <c r="TD526" s="1259"/>
      <c r="TE526" s="1259"/>
      <c r="TF526" s="1259"/>
      <c r="TG526" s="1259"/>
      <c r="TH526" s="1259"/>
      <c r="TI526" s="1259"/>
      <c r="TJ526" s="1259"/>
      <c r="TK526" s="1259"/>
      <c r="TL526" s="1259"/>
      <c r="TM526" s="1259"/>
      <c r="TN526" s="1259"/>
      <c r="TO526" s="1259"/>
      <c r="TP526" s="1259"/>
      <c r="TQ526" s="1259"/>
      <c r="TR526" s="1259"/>
      <c r="TS526" s="1259"/>
      <c r="TT526" s="1259"/>
      <c r="TU526" s="1259"/>
      <c r="TV526" s="1259"/>
      <c r="TW526" s="1259"/>
      <c r="TX526" s="1259"/>
      <c r="TY526" s="1259"/>
      <c r="TZ526" s="1259"/>
      <c r="UA526" s="1259"/>
      <c r="UB526" s="1259"/>
      <c r="UC526" s="1259"/>
      <c r="UD526" s="1259"/>
      <c r="UE526" s="1259"/>
      <c r="UF526" s="1259"/>
      <c r="UG526" s="1261"/>
    </row>
    <row r="527" spans="1:553" s="109" customFormat="1" ht="30.75" customHeight="1">
      <c r="A527" s="415"/>
      <c r="B527" s="415"/>
      <c r="C527" s="1513" t="s">
        <v>1124</v>
      </c>
      <c r="D527" s="1461"/>
      <c r="E527" s="1461"/>
      <c r="F527" s="1461"/>
      <c r="G527" s="1226"/>
      <c r="H527" s="603"/>
      <c r="I527" s="559"/>
      <c r="J527" s="512"/>
      <c r="K527" s="506"/>
      <c r="L527" s="1012"/>
      <c r="M527" s="366"/>
      <c r="N527" s="366"/>
      <c r="O527" s="366"/>
      <c r="P527" s="366"/>
      <c r="Q527" s="1040"/>
      <c r="R527" s="1228"/>
      <c r="S527" s="308"/>
      <c r="T527" s="308"/>
      <c r="U527" s="308"/>
      <c r="V527" s="308"/>
      <c r="W527" s="308"/>
      <c r="X527" s="308"/>
      <c r="Y527" s="308"/>
      <c r="Z527" s="604"/>
      <c r="AA527" s="308"/>
      <c r="AB527" s="308"/>
      <c r="AC527" s="449"/>
      <c r="AD527" s="452"/>
      <c r="AE527" s="452"/>
      <c r="AF527" s="452"/>
      <c r="AG527" s="452"/>
      <c r="AH527" s="452"/>
      <c r="AI527" s="452"/>
      <c r="AJ527" s="452"/>
      <c r="AK527" s="452"/>
      <c r="AL527" s="117"/>
      <c r="AM527" s="117"/>
      <c r="AN527" s="117"/>
      <c r="AO527" s="117"/>
      <c r="AP527" s="117"/>
      <c r="AQ527" s="117"/>
      <c r="AR527" s="117"/>
      <c r="AS527" s="117"/>
      <c r="AT527" s="117"/>
      <c r="AU527" s="117"/>
      <c r="AV527" s="117"/>
      <c r="AW527" s="117"/>
      <c r="AX527" s="117"/>
      <c r="AY527" s="117"/>
      <c r="AZ527" s="117"/>
      <c r="BA527" s="117"/>
      <c r="BB527" s="117"/>
      <c r="BC527" s="117"/>
      <c r="BD527" s="117"/>
      <c r="BE527" s="117"/>
      <c r="BF527" s="117"/>
      <c r="BG527" s="117"/>
      <c r="BH527" s="117"/>
      <c r="BI527" s="117"/>
      <c r="BJ527" s="117"/>
      <c r="BK527" s="117"/>
      <c r="BL527" s="117"/>
      <c r="BM527" s="117"/>
      <c r="BN527" s="117"/>
      <c r="BO527" s="117"/>
      <c r="BP527" s="117"/>
      <c r="BQ527" s="117"/>
      <c r="BR527" s="117"/>
      <c r="BS527" s="117"/>
      <c r="BT527" s="117"/>
      <c r="BU527" s="117"/>
      <c r="BV527" s="117"/>
      <c r="BW527" s="117"/>
      <c r="BX527" s="117"/>
      <c r="BY527" s="117"/>
      <c r="BZ527" s="117"/>
      <c r="CA527" s="117"/>
      <c r="CB527" s="117"/>
      <c r="CC527" s="117"/>
      <c r="CD527" s="117"/>
      <c r="CE527" s="117"/>
      <c r="CF527" s="117"/>
      <c r="CG527" s="117"/>
      <c r="CH527" s="117"/>
      <c r="CI527" s="117"/>
      <c r="CJ527" s="117"/>
      <c r="CK527" s="117"/>
      <c r="CL527" s="117"/>
      <c r="CM527" s="117"/>
      <c r="CN527" s="117"/>
      <c r="CO527" s="117"/>
      <c r="CP527" s="117"/>
      <c r="CQ527" s="117"/>
      <c r="CR527" s="117"/>
      <c r="CS527" s="117"/>
      <c r="CT527" s="117"/>
      <c r="CU527" s="117"/>
      <c r="CV527" s="117"/>
      <c r="CW527" s="117"/>
      <c r="CX527" s="117"/>
      <c r="CY527" s="117"/>
      <c r="CZ527" s="117"/>
      <c r="DA527" s="117"/>
      <c r="DB527" s="117"/>
      <c r="DC527" s="117"/>
      <c r="DD527" s="117"/>
      <c r="DE527" s="117"/>
      <c r="DF527" s="117"/>
      <c r="DG527" s="117"/>
      <c r="DH527" s="117"/>
      <c r="DI527" s="117"/>
      <c r="DJ527" s="117"/>
      <c r="DK527" s="117"/>
      <c r="DL527" s="117"/>
      <c r="DM527" s="117"/>
      <c r="DN527" s="117"/>
      <c r="DO527" s="117"/>
      <c r="DP527" s="117"/>
      <c r="DQ527" s="117"/>
      <c r="DR527" s="117"/>
      <c r="DS527" s="117"/>
      <c r="DT527" s="117"/>
      <c r="DU527" s="117"/>
      <c r="DV527" s="117"/>
      <c r="DW527" s="117"/>
      <c r="DX527" s="117"/>
      <c r="DY527" s="117"/>
      <c r="DZ527" s="117"/>
      <c r="EA527" s="117"/>
      <c r="EB527" s="117"/>
      <c r="EC527" s="117"/>
      <c r="ED527" s="117"/>
      <c r="EE527" s="117"/>
      <c r="EF527" s="117"/>
      <c r="EG527" s="117"/>
      <c r="EH527" s="117"/>
      <c r="EI527" s="117"/>
      <c r="EJ527" s="117"/>
      <c r="EK527" s="117"/>
      <c r="EL527" s="117"/>
      <c r="EM527" s="117"/>
      <c r="EN527" s="117"/>
      <c r="EO527" s="117"/>
      <c r="EP527" s="117"/>
      <c r="EQ527" s="117"/>
      <c r="ER527" s="117"/>
      <c r="ES527" s="117"/>
      <c r="ET527" s="117"/>
      <c r="EU527" s="117"/>
      <c r="EV527" s="117"/>
      <c r="EW527" s="117"/>
      <c r="EX527" s="117"/>
      <c r="EY527" s="117"/>
      <c r="EZ527" s="117"/>
      <c r="FA527" s="117"/>
      <c r="FB527" s="117"/>
      <c r="FC527" s="117"/>
      <c r="FD527" s="117"/>
      <c r="FE527" s="117"/>
      <c r="FF527" s="117"/>
      <c r="FG527" s="117"/>
      <c r="FH527" s="117"/>
      <c r="FI527" s="117"/>
      <c r="FJ527" s="117"/>
      <c r="FK527" s="117"/>
      <c r="FL527" s="117"/>
      <c r="FM527" s="117"/>
      <c r="FN527" s="117"/>
      <c r="FO527" s="117"/>
      <c r="FP527" s="117"/>
      <c r="FQ527" s="117"/>
      <c r="FR527" s="117"/>
      <c r="FS527" s="117"/>
      <c r="FT527" s="117"/>
      <c r="FU527" s="117"/>
      <c r="FV527" s="117"/>
      <c r="FW527" s="117"/>
      <c r="FX527" s="117"/>
      <c r="FY527" s="117"/>
      <c r="FZ527" s="117"/>
      <c r="GA527" s="117"/>
      <c r="GB527" s="117"/>
      <c r="GC527" s="117"/>
      <c r="GD527" s="117"/>
      <c r="GE527" s="117"/>
      <c r="GF527" s="117"/>
      <c r="GG527" s="117"/>
      <c r="GH527" s="117"/>
      <c r="GI527" s="117"/>
      <c r="GJ527" s="117"/>
      <c r="GK527" s="117"/>
      <c r="GL527" s="117"/>
      <c r="GM527" s="117"/>
      <c r="GN527" s="117"/>
      <c r="GO527" s="117"/>
      <c r="GP527" s="117"/>
      <c r="GQ527" s="117"/>
      <c r="GR527" s="117"/>
      <c r="GS527" s="117"/>
      <c r="GT527" s="117"/>
      <c r="GU527" s="117"/>
      <c r="GV527" s="117"/>
      <c r="GW527" s="117"/>
      <c r="GX527" s="117"/>
      <c r="GY527" s="117"/>
      <c r="GZ527" s="117"/>
      <c r="HA527" s="117"/>
      <c r="HB527" s="117"/>
      <c r="HC527" s="117"/>
      <c r="HD527" s="117"/>
      <c r="HE527" s="117"/>
      <c r="HF527" s="117"/>
      <c r="HG527" s="117"/>
      <c r="HH527" s="117"/>
      <c r="HI527" s="117"/>
      <c r="HJ527" s="117"/>
      <c r="HK527" s="117"/>
      <c r="HL527" s="117"/>
      <c r="HM527" s="117"/>
      <c r="HN527" s="117"/>
      <c r="HO527" s="117"/>
      <c r="HP527" s="117"/>
      <c r="HQ527" s="117"/>
      <c r="HR527" s="117"/>
      <c r="HS527" s="117"/>
      <c r="HT527" s="117"/>
      <c r="HU527" s="117"/>
      <c r="HV527" s="117"/>
      <c r="HW527" s="117"/>
      <c r="HX527" s="117"/>
      <c r="HY527" s="117"/>
      <c r="HZ527" s="117"/>
      <c r="IA527" s="117"/>
      <c r="IB527" s="117"/>
      <c r="IC527" s="117"/>
      <c r="ID527" s="117"/>
      <c r="IE527" s="117"/>
      <c r="IF527" s="117"/>
      <c r="IG527" s="117"/>
      <c r="IH527" s="117"/>
      <c r="II527" s="117"/>
      <c r="IJ527" s="117"/>
      <c r="IK527" s="117"/>
      <c r="IL527" s="117"/>
      <c r="IM527" s="117"/>
      <c r="IN527" s="117"/>
      <c r="IO527" s="117"/>
      <c r="IP527" s="117"/>
      <c r="IQ527" s="117"/>
      <c r="IR527" s="117"/>
      <c r="IS527" s="117"/>
      <c r="IT527" s="117"/>
      <c r="IU527" s="117"/>
      <c r="IV527" s="117"/>
      <c r="IW527" s="117"/>
      <c r="IX527" s="117"/>
      <c r="IY527" s="117"/>
      <c r="IZ527" s="117"/>
      <c r="JA527" s="117"/>
      <c r="JB527" s="117"/>
      <c r="JC527" s="117"/>
      <c r="JD527" s="117"/>
      <c r="JE527" s="117"/>
      <c r="JF527" s="117"/>
      <c r="JG527" s="117"/>
      <c r="JH527" s="117"/>
      <c r="JI527" s="117"/>
      <c r="JJ527" s="117"/>
      <c r="JK527" s="117"/>
      <c r="JL527" s="117"/>
      <c r="JM527" s="117"/>
      <c r="JN527" s="117"/>
      <c r="JO527" s="117"/>
      <c r="JP527" s="117"/>
      <c r="JQ527" s="117"/>
      <c r="JR527" s="117"/>
      <c r="JS527" s="117"/>
      <c r="JT527" s="117"/>
      <c r="JU527" s="117"/>
      <c r="JV527" s="117"/>
      <c r="JW527" s="117"/>
      <c r="JX527" s="117"/>
      <c r="JY527" s="117"/>
      <c r="JZ527" s="117"/>
      <c r="KA527" s="117"/>
      <c r="KB527" s="117"/>
      <c r="KC527" s="117"/>
      <c r="KD527" s="117"/>
      <c r="KE527" s="117"/>
      <c r="KF527" s="117"/>
      <c r="KG527" s="117"/>
      <c r="KH527" s="117"/>
      <c r="KI527" s="117"/>
      <c r="KJ527" s="117"/>
      <c r="KK527" s="117"/>
      <c r="KL527" s="117"/>
      <c r="KM527" s="117"/>
      <c r="KN527" s="117"/>
      <c r="KO527" s="117"/>
      <c r="KP527" s="117"/>
      <c r="KQ527" s="117"/>
      <c r="KR527" s="117"/>
      <c r="KS527" s="117"/>
      <c r="KT527" s="117"/>
      <c r="KU527" s="117"/>
      <c r="KV527" s="117"/>
      <c r="KW527" s="117"/>
      <c r="KX527" s="117"/>
      <c r="KY527" s="117"/>
      <c r="KZ527" s="117"/>
      <c r="LA527" s="117"/>
      <c r="LB527" s="117"/>
      <c r="LC527" s="117"/>
      <c r="LD527" s="117"/>
      <c r="LE527" s="117"/>
      <c r="LF527" s="117"/>
      <c r="LG527" s="117"/>
      <c r="LH527" s="117"/>
      <c r="LI527" s="117"/>
      <c r="LJ527" s="117"/>
      <c r="LK527" s="117"/>
      <c r="LL527" s="117"/>
      <c r="LM527" s="117"/>
      <c r="LN527" s="117"/>
      <c r="LO527" s="117"/>
      <c r="LP527" s="117"/>
      <c r="LQ527" s="117"/>
      <c r="LR527" s="117"/>
      <c r="LS527" s="117"/>
      <c r="LT527" s="117"/>
      <c r="LU527" s="117"/>
      <c r="LV527" s="117"/>
      <c r="LW527" s="117"/>
      <c r="LX527" s="117"/>
      <c r="LY527" s="117"/>
      <c r="LZ527" s="117"/>
      <c r="MA527" s="117"/>
      <c r="MB527" s="117"/>
      <c r="MC527" s="117"/>
      <c r="MD527" s="117"/>
      <c r="ME527" s="117"/>
      <c r="MF527" s="117"/>
      <c r="MG527" s="117"/>
      <c r="MH527" s="117"/>
      <c r="MI527" s="117"/>
      <c r="MJ527" s="117"/>
      <c r="MK527" s="117"/>
      <c r="ML527" s="117"/>
      <c r="MM527" s="117"/>
      <c r="MN527" s="117"/>
      <c r="MO527" s="117"/>
      <c r="MP527" s="117"/>
      <c r="MQ527" s="117"/>
      <c r="MR527" s="117"/>
      <c r="MS527" s="117"/>
      <c r="MT527" s="117"/>
      <c r="MU527" s="117"/>
      <c r="MV527" s="117"/>
      <c r="MW527" s="117"/>
      <c r="MX527" s="117"/>
      <c r="MY527" s="117"/>
      <c r="MZ527" s="117"/>
      <c r="NA527" s="117"/>
      <c r="NB527" s="117"/>
      <c r="NC527" s="117"/>
      <c r="ND527" s="117"/>
      <c r="NE527" s="117"/>
      <c r="NF527" s="117"/>
      <c r="NG527" s="117"/>
      <c r="NH527" s="117"/>
      <c r="NI527" s="117"/>
      <c r="NJ527" s="117"/>
      <c r="NK527" s="117"/>
      <c r="NL527" s="117"/>
      <c r="NM527" s="117"/>
      <c r="NN527" s="117"/>
      <c r="NO527" s="117"/>
      <c r="NP527" s="117"/>
      <c r="NQ527" s="117"/>
      <c r="NR527" s="117"/>
      <c r="NS527" s="117"/>
      <c r="NT527" s="117"/>
      <c r="NU527" s="117"/>
      <c r="NV527" s="117"/>
      <c r="NW527" s="117"/>
      <c r="NX527" s="117"/>
      <c r="NY527" s="117"/>
      <c r="NZ527" s="117"/>
      <c r="OA527" s="117"/>
      <c r="OB527" s="117"/>
      <c r="OC527" s="117"/>
      <c r="OD527" s="117"/>
      <c r="OE527" s="117"/>
      <c r="OF527" s="117"/>
      <c r="OG527" s="117"/>
      <c r="OH527" s="117"/>
      <c r="OI527" s="117"/>
      <c r="OJ527" s="117"/>
      <c r="OK527" s="117"/>
      <c r="OL527" s="117"/>
      <c r="OM527" s="117"/>
      <c r="ON527" s="117"/>
      <c r="OO527" s="117"/>
      <c r="OP527" s="117"/>
      <c r="OQ527" s="117"/>
      <c r="OR527" s="117"/>
      <c r="OS527" s="117"/>
      <c r="OT527" s="117"/>
      <c r="OU527" s="117"/>
      <c r="OV527" s="117"/>
      <c r="OW527" s="117"/>
      <c r="OX527" s="117"/>
      <c r="OY527" s="117"/>
      <c r="OZ527" s="117"/>
      <c r="PA527" s="117"/>
      <c r="PB527" s="117"/>
      <c r="PC527" s="117"/>
      <c r="PD527" s="117"/>
      <c r="PE527" s="117"/>
      <c r="PF527" s="117"/>
      <c r="PG527" s="117"/>
      <c r="PH527" s="117"/>
      <c r="PI527" s="117"/>
      <c r="PJ527" s="117"/>
      <c r="PK527" s="117"/>
      <c r="PL527" s="117"/>
      <c r="PM527" s="117"/>
      <c r="PN527" s="117"/>
      <c r="PO527" s="117"/>
      <c r="PP527" s="117"/>
      <c r="PQ527" s="117"/>
      <c r="PR527" s="117"/>
      <c r="PS527" s="117"/>
      <c r="PT527" s="117"/>
      <c r="PU527" s="117"/>
      <c r="PV527" s="117"/>
      <c r="PW527" s="117"/>
      <c r="PX527" s="117"/>
      <c r="PY527" s="117"/>
      <c r="PZ527" s="117"/>
      <c r="QA527" s="117"/>
      <c r="QB527" s="117"/>
      <c r="QC527" s="117"/>
      <c r="QD527" s="117"/>
      <c r="QE527" s="117"/>
      <c r="QF527" s="117"/>
      <c r="QG527" s="117"/>
      <c r="QH527" s="117"/>
      <c r="QI527" s="117"/>
      <c r="QJ527" s="117"/>
      <c r="QK527" s="117"/>
      <c r="QL527" s="117"/>
      <c r="QM527" s="117"/>
      <c r="QN527" s="117"/>
      <c r="QO527" s="117"/>
      <c r="QP527" s="117"/>
      <c r="QQ527" s="117"/>
      <c r="QR527" s="117"/>
      <c r="QS527" s="117"/>
      <c r="QT527" s="117"/>
      <c r="QU527" s="117"/>
      <c r="QV527" s="117"/>
      <c r="QW527" s="117"/>
      <c r="QX527" s="117"/>
      <c r="QY527" s="117"/>
      <c r="QZ527" s="117"/>
      <c r="RA527" s="117"/>
      <c r="RB527" s="117"/>
      <c r="RC527" s="117"/>
      <c r="RD527" s="117"/>
      <c r="RE527" s="117"/>
      <c r="RF527" s="117"/>
      <c r="RG527" s="117"/>
      <c r="RH527" s="117"/>
      <c r="RI527" s="117"/>
      <c r="RJ527" s="117"/>
      <c r="RK527" s="117"/>
      <c r="RL527" s="117"/>
      <c r="RM527" s="117"/>
      <c r="RN527" s="117"/>
      <c r="RO527" s="117"/>
      <c r="RP527" s="117"/>
      <c r="RQ527" s="117"/>
      <c r="RR527" s="117"/>
      <c r="RS527" s="117"/>
      <c r="RT527" s="117"/>
      <c r="RU527" s="117"/>
      <c r="RV527" s="117"/>
      <c r="RW527" s="117"/>
      <c r="RX527" s="117"/>
      <c r="RY527" s="117"/>
      <c r="RZ527" s="117"/>
      <c r="SA527" s="117"/>
      <c r="SB527" s="117"/>
      <c r="SC527" s="117"/>
      <c r="SD527" s="117"/>
      <c r="SE527" s="117"/>
      <c r="SF527" s="117"/>
      <c r="SG527" s="117"/>
      <c r="SH527" s="117"/>
      <c r="SI527" s="117"/>
      <c r="SJ527" s="117"/>
      <c r="SK527" s="117"/>
      <c r="SL527" s="117"/>
      <c r="SM527" s="117"/>
      <c r="SN527" s="117"/>
      <c r="SO527" s="117"/>
      <c r="SP527" s="117"/>
      <c r="SQ527" s="117"/>
      <c r="SR527" s="117"/>
      <c r="SS527" s="117"/>
      <c r="ST527" s="117"/>
      <c r="SU527" s="117"/>
      <c r="SV527" s="117"/>
      <c r="SW527" s="117"/>
      <c r="SX527" s="117"/>
      <c r="SY527" s="117"/>
      <c r="SZ527" s="117"/>
      <c r="TA527" s="117"/>
      <c r="TB527" s="117"/>
      <c r="TC527" s="117"/>
      <c r="TD527" s="117"/>
      <c r="TE527" s="117"/>
      <c r="TF527" s="117"/>
      <c r="TG527" s="117"/>
      <c r="TH527" s="117"/>
      <c r="TI527" s="117"/>
      <c r="TJ527" s="117"/>
      <c r="TK527" s="117"/>
      <c r="TL527" s="117"/>
      <c r="TM527" s="117"/>
      <c r="TN527" s="117"/>
      <c r="TO527" s="117"/>
      <c r="TP527" s="117"/>
      <c r="TQ527" s="117"/>
      <c r="TR527" s="117"/>
      <c r="TS527" s="117"/>
      <c r="TT527" s="117"/>
      <c r="TU527" s="117"/>
      <c r="TV527" s="117"/>
      <c r="TW527" s="117"/>
      <c r="TX527" s="117"/>
      <c r="TY527" s="117"/>
      <c r="TZ527" s="117"/>
      <c r="UA527" s="117"/>
      <c r="UB527" s="117"/>
      <c r="UC527" s="117"/>
      <c r="UD527" s="117"/>
      <c r="UE527" s="117"/>
      <c r="UF527" s="117"/>
      <c r="UG527" s="126"/>
    </row>
    <row r="528" spans="1:553" s="1262" customFormat="1" ht="30.75" customHeight="1">
      <c r="A528" s="366" t="s">
        <v>15</v>
      </c>
      <c r="B528" s="366"/>
      <c r="C528" s="1446" t="s">
        <v>386</v>
      </c>
      <c r="D528" s="1389"/>
      <c r="E528" s="1389"/>
      <c r="F528" s="1389"/>
      <c r="G528" s="1226" t="s">
        <v>46</v>
      </c>
      <c r="H528" s="586"/>
      <c r="I528" s="422">
        <f>(54.93*100/500)*(17-(6-3))*1</f>
        <v>153.804</v>
      </c>
      <c r="J528" s="368">
        <v>10800</v>
      </c>
      <c r="K528" s="474">
        <v>0.7</v>
      </c>
      <c r="L528" s="480">
        <f>ROUND(PRODUCT(I528:K528),0)</f>
        <v>1162758</v>
      </c>
      <c r="M528" s="366"/>
      <c r="N528" s="366"/>
      <c r="O528" s="366"/>
      <c r="P528" s="366"/>
      <c r="Q528" s="1040"/>
      <c r="R528" s="1228"/>
      <c r="S528" s="308"/>
      <c r="T528" s="308"/>
      <c r="U528" s="308"/>
      <c r="V528" s="308"/>
      <c r="W528" s="308"/>
      <c r="X528" s="308"/>
      <c r="Y528" s="308"/>
      <c r="Z528" s="604"/>
      <c r="AA528" s="308"/>
      <c r="AB528" s="308"/>
      <c r="AC528" s="449"/>
      <c r="AD528" s="452"/>
      <c r="AE528" s="452"/>
      <c r="AF528" s="452"/>
      <c r="AG528" s="452"/>
      <c r="AH528" s="452"/>
      <c r="AI528" s="452"/>
      <c r="AJ528" s="452"/>
      <c r="AK528" s="452"/>
      <c r="AL528" s="1259"/>
      <c r="AM528" s="1259"/>
      <c r="AN528" s="1259"/>
      <c r="AO528" s="1259"/>
      <c r="AP528" s="1259"/>
      <c r="AQ528" s="1259"/>
      <c r="AR528" s="1259"/>
      <c r="AS528" s="1259"/>
      <c r="AT528" s="1259"/>
      <c r="AU528" s="1259"/>
      <c r="AV528" s="1259"/>
      <c r="AW528" s="1259"/>
      <c r="AX528" s="1259"/>
      <c r="AY528" s="1259"/>
      <c r="AZ528" s="1259"/>
      <c r="BA528" s="1259"/>
      <c r="BB528" s="1259"/>
      <c r="BC528" s="1259"/>
      <c r="BD528" s="1259"/>
      <c r="BE528" s="1259"/>
      <c r="BF528" s="1259"/>
      <c r="BG528" s="1259"/>
      <c r="BH528" s="1259"/>
      <c r="BI528" s="1259"/>
      <c r="BJ528" s="1259"/>
      <c r="BK528" s="1259"/>
      <c r="BL528" s="1259"/>
      <c r="BM528" s="1259"/>
      <c r="BN528" s="1259"/>
      <c r="BO528" s="1259"/>
      <c r="BP528" s="1259"/>
      <c r="BQ528" s="1259"/>
      <c r="BR528" s="1259"/>
      <c r="BS528" s="1259"/>
      <c r="BT528" s="1259"/>
      <c r="BU528" s="1259"/>
      <c r="BV528" s="1259"/>
      <c r="BW528" s="1259"/>
      <c r="BX528" s="1259"/>
      <c r="BY528" s="1259"/>
      <c r="BZ528" s="1259"/>
      <c r="CA528" s="1259"/>
      <c r="CB528" s="1259"/>
      <c r="CC528" s="1259"/>
      <c r="CD528" s="1259"/>
      <c r="CE528" s="1259"/>
      <c r="CF528" s="1259"/>
      <c r="CG528" s="1259"/>
      <c r="CH528" s="1259"/>
      <c r="CI528" s="1259"/>
      <c r="CJ528" s="1259"/>
      <c r="CK528" s="1259"/>
      <c r="CL528" s="1259"/>
      <c r="CM528" s="1259"/>
      <c r="CN528" s="1259"/>
      <c r="CO528" s="1259"/>
      <c r="CP528" s="1259"/>
      <c r="CQ528" s="1259"/>
      <c r="CR528" s="1259"/>
      <c r="CS528" s="1259"/>
      <c r="CT528" s="1259"/>
      <c r="CU528" s="1259"/>
      <c r="CV528" s="1259"/>
      <c r="CW528" s="1259"/>
      <c r="CX528" s="1259"/>
      <c r="CY528" s="1259"/>
      <c r="CZ528" s="1259"/>
      <c r="DA528" s="1259"/>
      <c r="DB528" s="1259"/>
      <c r="DC528" s="1259"/>
      <c r="DD528" s="1259"/>
      <c r="DE528" s="1259"/>
      <c r="DF528" s="1259"/>
      <c r="DG528" s="1259"/>
      <c r="DH528" s="1259"/>
      <c r="DI528" s="1259"/>
      <c r="DJ528" s="1259"/>
      <c r="DK528" s="1259"/>
      <c r="DL528" s="1259"/>
      <c r="DM528" s="1259"/>
      <c r="DN528" s="1259"/>
      <c r="DO528" s="1259"/>
      <c r="DP528" s="1259"/>
      <c r="DQ528" s="1259"/>
      <c r="DR528" s="1259"/>
      <c r="DS528" s="1259"/>
      <c r="DT528" s="1259"/>
      <c r="DU528" s="1259"/>
      <c r="DV528" s="1259"/>
      <c r="DW528" s="1259"/>
      <c r="DX528" s="1259"/>
      <c r="DY528" s="1259"/>
      <c r="DZ528" s="1259"/>
      <c r="EA528" s="1259"/>
      <c r="EB528" s="1259"/>
      <c r="EC528" s="1259"/>
      <c r="ED528" s="1259"/>
      <c r="EE528" s="1259"/>
      <c r="EF528" s="1259"/>
      <c r="EG528" s="1259"/>
      <c r="EH528" s="1259"/>
      <c r="EI528" s="1259"/>
      <c r="EJ528" s="1259"/>
      <c r="EK528" s="1259"/>
      <c r="EL528" s="1259"/>
      <c r="EM528" s="1259"/>
      <c r="EN528" s="1259"/>
      <c r="EO528" s="1259"/>
      <c r="EP528" s="1259"/>
      <c r="EQ528" s="1259"/>
      <c r="ER528" s="1259"/>
      <c r="ES528" s="1259"/>
      <c r="ET528" s="1259"/>
      <c r="EU528" s="1259"/>
      <c r="EV528" s="1259"/>
      <c r="EW528" s="1259"/>
      <c r="EX528" s="1259"/>
      <c r="EY528" s="1259"/>
      <c r="EZ528" s="1259"/>
      <c r="FA528" s="1259"/>
      <c r="FB528" s="1259"/>
      <c r="FC528" s="1259"/>
      <c r="FD528" s="1259"/>
      <c r="FE528" s="1259"/>
      <c r="FF528" s="1259"/>
      <c r="FG528" s="1259"/>
      <c r="FH528" s="1259"/>
      <c r="FI528" s="1259"/>
      <c r="FJ528" s="1259"/>
      <c r="FK528" s="1259"/>
      <c r="FL528" s="1259"/>
      <c r="FM528" s="1259"/>
      <c r="FN528" s="1259"/>
      <c r="FO528" s="1259"/>
      <c r="FP528" s="1259"/>
      <c r="FQ528" s="1259"/>
      <c r="FR528" s="1259"/>
      <c r="FS528" s="1259"/>
      <c r="FT528" s="1259"/>
      <c r="FU528" s="1259"/>
      <c r="FV528" s="1259"/>
      <c r="FW528" s="1259"/>
      <c r="FX528" s="1259"/>
      <c r="FY528" s="1259"/>
      <c r="FZ528" s="1259"/>
      <c r="GA528" s="1259"/>
      <c r="GB528" s="1259"/>
      <c r="GC528" s="1259"/>
      <c r="GD528" s="1259"/>
      <c r="GE528" s="1259"/>
      <c r="GF528" s="1259"/>
      <c r="GG528" s="1259"/>
      <c r="GH528" s="1259"/>
      <c r="GI528" s="1259"/>
      <c r="GJ528" s="1259"/>
      <c r="GK528" s="1259"/>
      <c r="GL528" s="1259"/>
      <c r="GM528" s="1259"/>
      <c r="GN528" s="1259"/>
      <c r="GO528" s="1259"/>
      <c r="GP528" s="1259"/>
      <c r="GQ528" s="1259"/>
      <c r="GR528" s="1259"/>
      <c r="GS528" s="1259"/>
      <c r="GT528" s="1259"/>
      <c r="GU528" s="1259"/>
      <c r="GV528" s="1259"/>
      <c r="GW528" s="1259"/>
      <c r="GX528" s="1259"/>
      <c r="GY528" s="1259"/>
      <c r="GZ528" s="1259"/>
      <c r="HA528" s="1259"/>
      <c r="HB528" s="1259"/>
      <c r="HC528" s="1259"/>
      <c r="HD528" s="1259"/>
      <c r="HE528" s="1259"/>
      <c r="HF528" s="1259"/>
      <c r="HG528" s="1259"/>
      <c r="HH528" s="1259"/>
      <c r="HI528" s="1259"/>
      <c r="HJ528" s="1259"/>
      <c r="HK528" s="1259"/>
      <c r="HL528" s="1259"/>
      <c r="HM528" s="1259"/>
      <c r="HN528" s="1259"/>
      <c r="HO528" s="1259"/>
      <c r="HP528" s="1259"/>
      <c r="HQ528" s="1259"/>
      <c r="HR528" s="1259"/>
      <c r="HS528" s="1259"/>
      <c r="HT528" s="1259"/>
      <c r="HU528" s="1259"/>
      <c r="HV528" s="1259"/>
      <c r="HW528" s="1259"/>
      <c r="HX528" s="1259"/>
      <c r="HY528" s="1259"/>
      <c r="HZ528" s="1259"/>
      <c r="IA528" s="1259"/>
      <c r="IB528" s="1259"/>
      <c r="IC528" s="1259"/>
      <c r="ID528" s="1259"/>
      <c r="IE528" s="1259"/>
      <c r="IF528" s="1259"/>
      <c r="IG528" s="1259"/>
      <c r="IH528" s="1259"/>
      <c r="II528" s="1259"/>
      <c r="IJ528" s="1259"/>
      <c r="IK528" s="1259"/>
      <c r="IL528" s="1259"/>
      <c r="IM528" s="1259"/>
      <c r="IN528" s="1259"/>
      <c r="IO528" s="1259"/>
      <c r="IP528" s="1259"/>
      <c r="IQ528" s="1259"/>
      <c r="IR528" s="1259"/>
      <c r="IS528" s="1259"/>
      <c r="IT528" s="1259"/>
      <c r="IU528" s="1259"/>
      <c r="IV528" s="1259"/>
      <c r="IW528" s="1259"/>
      <c r="IX528" s="1259"/>
      <c r="IY528" s="1259"/>
      <c r="IZ528" s="1259"/>
      <c r="JA528" s="1259"/>
      <c r="JB528" s="1259"/>
      <c r="JC528" s="1259"/>
      <c r="JD528" s="1259"/>
      <c r="JE528" s="1259"/>
      <c r="JF528" s="1259"/>
      <c r="JG528" s="1259"/>
      <c r="JH528" s="1259"/>
      <c r="JI528" s="1259"/>
      <c r="JJ528" s="1259"/>
      <c r="JK528" s="1259"/>
      <c r="JL528" s="1259"/>
      <c r="JM528" s="1259"/>
      <c r="JN528" s="1259"/>
      <c r="JO528" s="1259"/>
      <c r="JP528" s="1259"/>
      <c r="JQ528" s="1259"/>
      <c r="JR528" s="1259"/>
      <c r="JS528" s="1259"/>
      <c r="JT528" s="1259"/>
      <c r="JU528" s="1259"/>
      <c r="JV528" s="1259"/>
      <c r="JW528" s="1259"/>
      <c r="JX528" s="1259"/>
      <c r="JY528" s="1259"/>
      <c r="JZ528" s="1259"/>
      <c r="KA528" s="1259"/>
      <c r="KB528" s="1259"/>
      <c r="KC528" s="1259"/>
      <c r="KD528" s="1259"/>
      <c r="KE528" s="1259"/>
      <c r="KF528" s="1259"/>
      <c r="KG528" s="1259"/>
      <c r="KH528" s="1259"/>
      <c r="KI528" s="1259"/>
      <c r="KJ528" s="1259"/>
      <c r="KK528" s="1259"/>
      <c r="KL528" s="1259"/>
      <c r="KM528" s="1259"/>
      <c r="KN528" s="1259"/>
      <c r="KO528" s="1259"/>
      <c r="KP528" s="1259"/>
      <c r="KQ528" s="1259"/>
      <c r="KR528" s="1259"/>
      <c r="KS528" s="1259"/>
      <c r="KT528" s="1259"/>
      <c r="KU528" s="1259"/>
      <c r="KV528" s="1259"/>
      <c r="KW528" s="1259"/>
      <c r="KX528" s="1259"/>
      <c r="KY528" s="1259"/>
      <c r="KZ528" s="1259"/>
      <c r="LA528" s="1259"/>
      <c r="LB528" s="1259"/>
      <c r="LC528" s="1259"/>
      <c r="LD528" s="1259"/>
      <c r="LE528" s="1259"/>
      <c r="LF528" s="1259"/>
      <c r="LG528" s="1259"/>
      <c r="LH528" s="1259"/>
      <c r="LI528" s="1259"/>
      <c r="LJ528" s="1259"/>
      <c r="LK528" s="1259"/>
      <c r="LL528" s="1259"/>
      <c r="LM528" s="1259"/>
      <c r="LN528" s="1259"/>
      <c r="LO528" s="1259"/>
      <c r="LP528" s="1259"/>
      <c r="LQ528" s="1259"/>
      <c r="LR528" s="1259"/>
      <c r="LS528" s="1259"/>
      <c r="LT528" s="1259"/>
      <c r="LU528" s="1259"/>
      <c r="LV528" s="1259"/>
      <c r="LW528" s="1259"/>
      <c r="LX528" s="1259"/>
      <c r="LY528" s="1259"/>
      <c r="LZ528" s="1259"/>
      <c r="MA528" s="1259"/>
      <c r="MB528" s="1259"/>
      <c r="MC528" s="1259"/>
      <c r="MD528" s="1259"/>
      <c r="ME528" s="1259"/>
      <c r="MF528" s="1259"/>
      <c r="MG528" s="1259"/>
      <c r="MH528" s="1259"/>
      <c r="MI528" s="1259"/>
      <c r="MJ528" s="1259"/>
      <c r="MK528" s="1259"/>
      <c r="ML528" s="1259"/>
      <c r="MM528" s="1259"/>
      <c r="MN528" s="1259"/>
      <c r="MO528" s="1259"/>
      <c r="MP528" s="1259"/>
      <c r="MQ528" s="1259"/>
      <c r="MR528" s="1259"/>
      <c r="MS528" s="1259"/>
      <c r="MT528" s="1259"/>
      <c r="MU528" s="1259"/>
      <c r="MV528" s="1259"/>
      <c r="MW528" s="1259"/>
      <c r="MX528" s="1259"/>
      <c r="MY528" s="1259"/>
      <c r="MZ528" s="1259"/>
      <c r="NA528" s="1259"/>
      <c r="NB528" s="1259"/>
      <c r="NC528" s="1259"/>
      <c r="ND528" s="1259"/>
      <c r="NE528" s="1259"/>
      <c r="NF528" s="1259"/>
      <c r="NG528" s="1259"/>
      <c r="NH528" s="1259"/>
      <c r="NI528" s="1259"/>
      <c r="NJ528" s="1259"/>
      <c r="NK528" s="1259"/>
      <c r="NL528" s="1259"/>
      <c r="NM528" s="1259"/>
      <c r="NN528" s="1259"/>
      <c r="NO528" s="1259"/>
      <c r="NP528" s="1259"/>
      <c r="NQ528" s="1259"/>
      <c r="NR528" s="1259"/>
      <c r="NS528" s="1259"/>
      <c r="NT528" s="1259"/>
      <c r="NU528" s="1259"/>
      <c r="NV528" s="1259"/>
      <c r="NW528" s="1259"/>
      <c r="NX528" s="1259"/>
      <c r="NY528" s="1259"/>
      <c r="NZ528" s="1259"/>
      <c r="OA528" s="1259"/>
      <c r="OB528" s="1259"/>
      <c r="OC528" s="1259"/>
      <c r="OD528" s="1259"/>
      <c r="OE528" s="1259"/>
      <c r="OF528" s="1259"/>
      <c r="OG528" s="1259"/>
      <c r="OH528" s="1259"/>
      <c r="OI528" s="1259"/>
      <c r="OJ528" s="1259"/>
      <c r="OK528" s="1259"/>
      <c r="OL528" s="1259"/>
      <c r="OM528" s="1259"/>
      <c r="ON528" s="1259"/>
      <c r="OO528" s="1259"/>
      <c r="OP528" s="1259"/>
      <c r="OQ528" s="1259"/>
      <c r="OR528" s="1259"/>
      <c r="OS528" s="1259"/>
      <c r="OT528" s="1259"/>
      <c r="OU528" s="1259"/>
      <c r="OV528" s="1259"/>
      <c r="OW528" s="1259"/>
      <c r="OX528" s="1259"/>
      <c r="OY528" s="1259"/>
      <c r="OZ528" s="1259"/>
      <c r="PA528" s="1259"/>
      <c r="PB528" s="1259"/>
      <c r="PC528" s="1259"/>
      <c r="PD528" s="1259"/>
      <c r="PE528" s="1259"/>
      <c r="PF528" s="1259"/>
      <c r="PG528" s="1259"/>
      <c r="PH528" s="1259"/>
      <c r="PI528" s="1259"/>
      <c r="PJ528" s="1259"/>
      <c r="PK528" s="1259"/>
      <c r="PL528" s="1259"/>
      <c r="PM528" s="1259"/>
      <c r="PN528" s="1259"/>
      <c r="PO528" s="1259"/>
      <c r="PP528" s="1259"/>
      <c r="PQ528" s="1259"/>
      <c r="PR528" s="1259"/>
      <c r="PS528" s="1259"/>
      <c r="PT528" s="1259"/>
      <c r="PU528" s="1259"/>
      <c r="PV528" s="1259"/>
      <c r="PW528" s="1259"/>
      <c r="PX528" s="1259"/>
      <c r="PY528" s="1259"/>
      <c r="PZ528" s="1259"/>
      <c r="QA528" s="1259"/>
      <c r="QB528" s="1259"/>
      <c r="QC528" s="1259"/>
      <c r="QD528" s="1259"/>
      <c r="QE528" s="1259"/>
      <c r="QF528" s="1259"/>
      <c r="QG528" s="1259"/>
      <c r="QH528" s="1259"/>
      <c r="QI528" s="1259"/>
      <c r="QJ528" s="1259"/>
      <c r="QK528" s="1259"/>
      <c r="QL528" s="1259"/>
      <c r="QM528" s="1259"/>
      <c r="QN528" s="1259"/>
      <c r="QO528" s="1259"/>
      <c r="QP528" s="1259"/>
      <c r="QQ528" s="1259"/>
      <c r="QR528" s="1259"/>
      <c r="QS528" s="1259"/>
      <c r="QT528" s="1259"/>
      <c r="QU528" s="1259"/>
      <c r="QV528" s="1259"/>
      <c r="QW528" s="1259"/>
      <c r="QX528" s="1259"/>
      <c r="QY528" s="1259"/>
      <c r="QZ528" s="1259"/>
      <c r="RA528" s="1259"/>
      <c r="RB528" s="1259"/>
      <c r="RC528" s="1259"/>
      <c r="RD528" s="1259"/>
      <c r="RE528" s="1259"/>
      <c r="RF528" s="1259"/>
      <c r="RG528" s="1259"/>
      <c r="RH528" s="1259"/>
      <c r="RI528" s="1259"/>
      <c r="RJ528" s="1259"/>
      <c r="RK528" s="1259"/>
      <c r="RL528" s="1259"/>
      <c r="RM528" s="1259"/>
      <c r="RN528" s="1259"/>
      <c r="RO528" s="1259"/>
      <c r="RP528" s="1259"/>
      <c r="RQ528" s="1259"/>
      <c r="RR528" s="1259"/>
      <c r="RS528" s="1259"/>
      <c r="RT528" s="1259"/>
      <c r="RU528" s="1259"/>
      <c r="RV528" s="1259"/>
      <c r="RW528" s="1259"/>
      <c r="RX528" s="1259"/>
      <c r="RY528" s="1259"/>
      <c r="RZ528" s="1259"/>
      <c r="SA528" s="1259"/>
      <c r="SB528" s="1259"/>
      <c r="SC528" s="1259"/>
      <c r="SD528" s="1259"/>
      <c r="SE528" s="1259"/>
      <c r="SF528" s="1259"/>
      <c r="SG528" s="1259"/>
      <c r="SH528" s="1259"/>
      <c r="SI528" s="1259"/>
      <c r="SJ528" s="1259"/>
      <c r="SK528" s="1259"/>
      <c r="SL528" s="1259"/>
      <c r="SM528" s="1259"/>
      <c r="SN528" s="1259"/>
      <c r="SO528" s="1259"/>
      <c r="SP528" s="1259"/>
      <c r="SQ528" s="1259"/>
      <c r="SR528" s="1259"/>
      <c r="SS528" s="1259"/>
      <c r="ST528" s="1259"/>
      <c r="SU528" s="1259"/>
      <c r="SV528" s="1259"/>
      <c r="SW528" s="1259"/>
      <c r="SX528" s="1259"/>
      <c r="SY528" s="1259"/>
      <c r="SZ528" s="1259"/>
      <c r="TA528" s="1259"/>
      <c r="TB528" s="1259"/>
      <c r="TC528" s="1259"/>
      <c r="TD528" s="1259"/>
      <c r="TE528" s="1259"/>
      <c r="TF528" s="1259"/>
      <c r="TG528" s="1259"/>
      <c r="TH528" s="1259"/>
      <c r="TI528" s="1259"/>
      <c r="TJ528" s="1259"/>
      <c r="TK528" s="1259"/>
      <c r="TL528" s="1259"/>
      <c r="TM528" s="1259"/>
      <c r="TN528" s="1259"/>
      <c r="TO528" s="1259"/>
      <c r="TP528" s="1259"/>
      <c r="TQ528" s="1259"/>
      <c r="TR528" s="1259"/>
      <c r="TS528" s="1259"/>
      <c r="TT528" s="1259"/>
      <c r="TU528" s="1259"/>
      <c r="TV528" s="1259"/>
      <c r="TW528" s="1259"/>
      <c r="TX528" s="1259"/>
      <c r="TY528" s="1259"/>
      <c r="TZ528" s="1259"/>
      <c r="UA528" s="1259"/>
      <c r="UB528" s="1259"/>
      <c r="UC528" s="1259"/>
      <c r="UD528" s="1259"/>
      <c r="UE528" s="1259"/>
      <c r="UF528" s="1259"/>
      <c r="UG528" s="1261"/>
    </row>
    <row r="529" spans="1:553" s="1262" customFormat="1" ht="30.75" customHeight="1">
      <c r="A529" s="496" t="s">
        <v>15</v>
      </c>
      <c r="B529" s="366"/>
      <c r="C529" s="1446" t="s">
        <v>387</v>
      </c>
      <c r="D529" s="1389"/>
      <c r="E529" s="1389"/>
      <c r="F529" s="1389"/>
      <c r="G529" s="1226" t="s">
        <v>46</v>
      </c>
      <c r="H529" s="586"/>
      <c r="I529" s="422">
        <f>(83.43*100/600)*((5-(3-2))*2)</f>
        <v>111.24</v>
      </c>
      <c r="J529" s="368">
        <v>8200</v>
      </c>
      <c r="K529" s="474">
        <v>0.7</v>
      </c>
      <c r="L529" s="480">
        <f>ROUND(PRODUCT(I529:K529),0)</f>
        <v>638518</v>
      </c>
      <c r="M529" s="366"/>
      <c r="N529" s="366"/>
      <c r="O529" s="366"/>
      <c r="P529" s="366"/>
      <c r="Q529" s="1040"/>
      <c r="R529" s="1228"/>
      <c r="S529" s="308"/>
      <c r="T529" s="308"/>
      <c r="U529" s="308"/>
      <c r="V529" s="308"/>
      <c r="W529" s="308"/>
      <c r="X529" s="308"/>
      <c r="Y529" s="308"/>
      <c r="Z529" s="604"/>
      <c r="AA529" s="308"/>
      <c r="AB529" s="308"/>
      <c r="AC529" s="449"/>
      <c r="AD529" s="452"/>
      <c r="AE529" s="452"/>
      <c r="AF529" s="452"/>
      <c r="AG529" s="452"/>
      <c r="AH529" s="452"/>
      <c r="AI529" s="452"/>
      <c r="AJ529" s="452"/>
      <c r="AK529" s="452"/>
      <c r="AL529" s="1259"/>
      <c r="AM529" s="1259"/>
      <c r="AN529" s="1259"/>
      <c r="AO529" s="1259"/>
      <c r="AP529" s="1259"/>
      <c r="AQ529" s="1259"/>
      <c r="AR529" s="1259"/>
      <c r="AS529" s="1259"/>
      <c r="AT529" s="1259"/>
      <c r="AU529" s="1259"/>
      <c r="AV529" s="1259"/>
      <c r="AW529" s="1259"/>
      <c r="AX529" s="1259"/>
      <c r="AY529" s="1259"/>
      <c r="AZ529" s="1259"/>
      <c r="BA529" s="1259"/>
      <c r="BB529" s="1259"/>
      <c r="BC529" s="1259"/>
      <c r="BD529" s="1259"/>
      <c r="BE529" s="1259"/>
      <c r="BF529" s="1259"/>
      <c r="BG529" s="1259"/>
      <c r="BH529" s="1259"/>
      <c r="BI529" s="1259"/>
      <c r="BJ529" s="1259"/>
      <c r="BK529" s="1259"/>
      <c r="BL529" s="1259"/>
      <c r="BM529" s="1259"/>
      <c r="BN529" s="1259"/>
      <c r="BO529" s="1259"/>
      <c r="BP529" s="1259"/>
      <c r="BQ529" s="1259"/>
      <c r="BR529" s="1259"/>
      <c r="BS529" s="1259"/>
      <c r="BT529" s="1259"/>
      <c r="BU529" s="1259"/>
      <c r="BV529" s="1259"/>
      <c r="BW529" s="1259"/>
      <c r="BX529" s="1259"/>
      <c r="BY529" s="1259"/>
      <c r="BZ529" s="1259"/>
      <c r="CA529" s="1259"/>
      <c r="CB529" s="1259"/>
      <c r="CC529" s="1259"/>
      <c r="CD529" s="1259"/>
      <c r="CE529" s="1259"/>
      <c r="CF529" s="1259"/>
      <c r="CG529" s="1259"/>
      <c r="CH529" s="1259"/>
      <c r="CI529" s="1259"/>
      <c r="CJ529" s="1259"/>
      <c r="CK529" s="1259"/>
      <c r="CL529" s="1259"/>
      <c r="CM529" s="1259"/>
      <c r="CN529" s="1259"/>
      <c r="CO529" s="1259"/>
      <c r="CP529" s="1259"/>
      <c r="CQ529" s="1259"/>
      <c r="CR529" s="1259"/>
      <c r="CS529" s="1259"/>
      <c r="CT529" s="1259"/>
      <c r="CU529" s="1259"/>
      <c r="CV529" s="1259"/>
      <c r="CW529" s="1259"/>
      <c r="CX529" s="1259"/>
      <c r="CY529" s="1259"/>
      <c r="CZ529" s="1259"/>
      <c r="DA529" s="1259"/>
      <c r="DB529" s="1259"/>
      <c r="DC529" s="1259"/>
      <c r="DD529" s="1259"/>
      <c r="DE529" s="1259"/>
      <c r="DF529" s="1259"/>
      <c r="DG529" s="1259"/>
      <c r="DH529" s="1259"/>
      <c r="DI529" s="1259"/>
      <c r="DJ529" s="1259"/>
      <c r="DK529" s="1259"/>
      <c r="DL529" s="1259"/>
      <c r="DM529" s="1259"/>
      <c r="DN529" s="1259"/>
      <c r="DO529" s="1259"/>
      <c r="DP529" s="1259"/>
      <c r="DQ529" s="1259"/>
      <c r="DR529" s="1259"/>
      <c r="DS529" s="1259"/>
      <c r="DT529" s="1259"/>
      <c r="DU529" s="1259"/>
      <c r="DV529" s="1259"/>
      <c r="DW529" s="1259"/>
      <c r="DX529" s="1259"/>
      <c r="DY529" s="1259"/>
      <c r="DZ529" s="1259"/>
      <c r="EA529" s="1259"/>
      <c r="EB529" s="1259"/>
      <c r="EC529" s="1259"/>
      <c r="ED529" s="1259"/>
      <c r="EE529" s="1259"/>
      <c r="EF529" s="1259"/>
      <c r="EG529" s="1259"/>
      <c r="EH529" s="1259"/>
      <c r="EI529" s="1259"/>
      <c r="EJ529" s="1259"/>
      <c r="EK529" s="1259"/>
      <c r="EL529" s="1259"/>
      <c r="EM529" s="1259"/>
      <c r="EN529" s="1259"/>
      <c r="EO529" s="1259"/>
      <c r="EP529" s="1259"/>
      <c r="EQ529" s="1259"/>
      <c r="ER529" s="1259"/>
      <c r="ES529" s="1259"/>
      <c r="ET529" s="1259"/>
      <c r="EU529" s="1259"/>
      <c r="EV529" s="1259"/>
      <c r="EW529" s="1259"/>
      <c r="EX529" s="1259"/>
      <c r="EY529" s="1259"/>
      <c r="EZ529" s="1259"/>
      <c r="FA529" s="1259"/>
      <c r="FB529" s="1259"/>
      <c r="FC529" s="1259"/>
      <c r="FD529" s="1259"/>
      <c r="FE529" s="1259"/>
      <c r="FF529" s="1259"/>
      <c r="FG529" s="1259"/>
      <c r="FH529" s="1259"/>
      <c r="FI529" s="1259"/>
      <c r="FJ529" s="1259"/>
      <c r="FK529" s="1259"/>
      <c r="FL529" s="1259"/>
      <c r="FM529" s="1259"/>
      <c r="FN529" s="1259"/>
      <c r="FO529" s="1259"/>
      <c r="FP529" s="1259"/>
      <c r="FQ529" s="1259"/>
      <c r="FR529" s="1259"/>
      <c r="FS529" s="1259"/>
      <c r="FT529" s="1259"/>
      <c r="FU529" s="1259"/>
      <c r="FV529" s="1259"/>
      <c r="FW529" s="1259"/>
      <c r="FX529" s="1259"/>
      <c r="FY529" s="1259"/>
      <c r="FZ529" s="1259"/>
      <c r="GA529" s="1259"/>
      <c r="GB529" s="1259"/>
      <c r="GC529" s="1259"/>
      <c r="GD529" s="1259"/>
      <c r="GE529" s="1259"/>
      <c r="GF529" s="1259"/>
      <c r="GG529" s="1259"/>
      <c r="GH529" s="1259"/>
      <c r="GI529" s="1259"/>
      <c r="GJ529" s="1259"/>
      <c r="GK529" s="1259"/>
      <c r="GL529" s="1259"/>
      <c r="GM529" s="1259"/>
      <c r="GN529" s="1259"/>
      <c r="GO529" s="1259"/>
      <c r="GP529" s="1259"/>
      <c r="GQ529" s="1259"/>
      <c r="GR529" s="1259"/>
      <c r="GS529" s="1259"/>
      <c r="GT529" s="1259"/>
      <c r="GU529" s="1259"/>
      <c r="GV529" s="1259"/>
      <c r="GW529" s="1259"/>
      <c r="GX529" s="1259"/>
      <c r="GY529" s="1259"/>
      <c r="GZ529" s="1259"/>
      <c r="HA529" s="1259"/>
      <c r="HB529" s="1259"/>
      <c r="HC529" s="1259"/>
      <c r="HD529" s="1259"/>
      <c r="HE529" s="1259"/>
      <c r="HF529" s="1259"/>
      <c r="HG529" s="1259"/>
      <c r="HH529" s="1259"/>
      <c r="HI529" s="1259"/>
      <c r="HJ529" s="1259"/>
      <c r="HK529" s="1259"/>
      <c r="HL529" s="1259"/>
      <c r="HM529" s="1259"/>
      <c r="HN529" s="1259"/>
      <c r="HO529" s="1259"/>
      <c r="HP529" s="1259"/>
      <c r="HQ529" s="1259"/>
      <c r="HR529" s="1259"/>
      <c r="HS529" s="1259"/>
      <c r="HT529" s="1259"/>
      <c r="HU529" s="1259"/>
      <c r="HV529" s="1259"/>
      <c r="HW529" s="1259"/>
      <c r="HX529" s="1259"/>
      <c r="HY529" s="1259"/>
      <c r="HZ529" s="1259"/>
      <c r="IA529" s="1259"/>
      <c r="IB529" s="1259"/>
      <c r="IC529" s="1259"/>
      <c r="ID529" s="1259"/>
      <c r="IE529" s="1259"/>
      <c r="IF529" s="1259"/>
      <c r="IG529" s="1259"/>
      <c r="IH529" s="1259"/>
      <c r="II529" s="1259"/>
      <c r="IJ529" s="1259"/>
      <c r="IK529" s="1259"/>
      <c r="IL529" s="1259"/>
      <c r="IM529" s="1259"/>
      <c r="IN529" s="1259"/>
      <c r="IO529" s="1259"/>
      <c r="IP529" s="1259"/>
      <c r="IQ529" s="1259"/>
      <c r="IR529" s="1259"/>
      <c r="IS529" s="1259"/>
      <c r="IT529" s="1259"/>
      <c r="IU529" s="1259"/>
      <c r="IV529" s="1259"/>
      <c r="IW529" s="1259"/>
      <c r="IX529" s="1259"/>
      <c r="IY529" s="1259"/>
      <c r="IZ529" s="1259"/>
      <c r="JA529" s="1259"/>
      <c r="JB529" s="1259"/>
      <c r="JC529" s="1259"/>
      <c r="JD529" s="1259"/>
      <c r="JE529" s="1259"/>
      <c r="JF529" s="1259"/>
      <c r="JG529" s="1259"/>
      <c r="JH529" s="1259"/>
      <c r="JI529" s="1259"/>
      <c r="JJ529" s="1259"/>
      <c r="JK529" s="1259"/>
      <c r="JL529" s="1259"/>
      <c r="JM529" s="1259"/>
      <c r="JN529" s="1259"/>
      <c r="JO529" s="1259"/>
      <c r="JP529" s="1259"/>
      <c r="JQ529" s="1259"/>
      <c r="JR529" s="1259"/>
      <c r="JS529" s="1259"/>
      <c r="JT529" s="1259"/>
      <c r="JU529" s="1259"/>
      <c r="JV529" s="1259"/>
      <c r="JW529" s="1259"/>
      <c r="JX529" s="1259"/>
      <c r="JY529" s="1259"/>
      <c r="JZ529" s="1259"/>
      <c r="KA529" s="1259"/>
      <c r="KB529" s="1259"/>
      <c r="KC529" s="1259"/>
      <c r="KD529" s="1259"/>
      <c r="KE529" s="1259"/>
      <c r="KF529" s="1259"/>
      <c r="KG529" s="1259"/>
      <c r="KH529" s="1259"/>
      <c r="KI529" s="1259"/>
      <c r="KJ529" s="1259"/>
      <c r="KK529" s="1259"/>
      <c r="KL529" s="1259"/>
      <c r="KM529" s="1259"/>
      <c r="KN529" s="1259"/>
      <c r="KO529" s="1259"/>
      <c r="KP529" s="1259"/>
      <c r="KQ529" s="1259"/>
      <c r="KR529" s="1259"/>
      <c r="KS529" s="1259"/>
      <c r="KT529" s="1259"/>
      <c r="KU529" s="1259"/>
      <c r="KV529" s="1259"/>
      <c r="KW529" s="1259"/>
      <c r="KX529" s="1259"/>
      <c r="KY529" s="1259"/>
      <c r="KZ529" s="1259"/>
      <c r="LA529" s="1259"/>
      <c r="LB529" s="1259"/>
      <c r="LC529" s="1259"/>
      <c r="LD529" s="1259"/>
      <c r="LE529" s="1259"/>
      <c r="LF529" s="1259"/>
      <c r="LG529" s="1259"/>
      <c r="LH529" s="1259"/>
      <c r="LI529" s="1259"/>
      <c r="LJ529" s="1259"/>
      <c r="LK529" s="1259"/>
      <c r="LL529" s="1259"/>
      <c r="LM529" s="1259"/>
      <c r="LN529" s="1259"/>
      <c r="LO529" s="1259"/>
      <c r="LP529" s="1259"/>
      <c r="LQ529" s="1259"/>
      <c r="LR529" s="1259"/>
      <c r="LS529" s="1259"/>
      <c r="LT529" s="1259"/>
      <c r="LU529" s="1259"/>
      <c r="LV529" s="1259"/>
      <c r="LW529" s="1259"/>
      <c r="LX529" s="1259"/>
      <c r="LY529" s="1259"/>
      <c r="LZ529" s="1259"/>
      <c r="MA529" s="1259"/>
      <c r="MB529" s="1259"/>
      <c r="MC529" s="1259"/>
      <c r="MD529" s="1259"/>
      <c r="ME529" s="1259"/>
      <c r="MF529" s="1259"/>
      <c r="MG529" s="1259"/>
      <c r="MH529" s="1259"/>
      <c r="MI529" s="1259"/>
      <c r="MJ529" s="1259"/>
      <c r="MK529" s="1259"/>
      <c r="ML529" s="1259"/>
      <c r="MM529" s="1259"/>
      <c r="MN529" s="1259"/>
      <c r="MO529" s="1259"/>
      <c r="MP529" s="1259"/>
      <c r="MQ529" s="1259"/>
      <c r="MR529" s="1259"/>
      <c r="MS529" s="1259"/>
      <c r="MT529" s="1259"/>
      <c r="MU529" s="1259"/>
      <c r="MV529" s="1259"/>
      <c r="MW529" s="1259"/>
      <c r="MX529" s="1259"/>
      <c r="MY529" s="1259"/>
      <c r="MZ529" s="1259"/>
      <c r="NA529" s="1259"/>
      <c r="NB529" s="1259"/>
      <c r="NC529" s="1259"/>
      <c r="ND529" s="1259"/>
      <c r="NE529" s="1259"/>
      <c r="NF529" s="1259"/>
      <c r="NG529" s="1259"/>
      <c r="NH529" s="1259"/>
      <c r="NI529" s="1259"/>
      <c r="NJ529" s="1259"/>
      <c r="NK529" s="1259"/>
      <c r="NL529" s="1259"/>
      <c r="NM529" s="1259"/>
      <c r="NN529" s="1259"/>
      <c r="NO529" s="1259"/>
      <c r="NP529" s="1259"/>
      <c r="NQ529" s="1259"/>
      <c r="NR529" s="1259"/>
      <c r="NS529" s="1259"/>
      <c r="NT529" s="1259"/>
      <c r="NU529" s="1259"/>
      <c r="NV529" s="1259"/>
      <c r="NW529" s="1259"/>
      <c r="NX529" s="1259"/>
      <c r="NY529" s="1259"/>
      <c r="NZ529" s="1259"/>
      <c r="OA529" s="1259"/>
      <c r="OB529" s="1259"/>
      <c r="OC529" s="1259"/>
      <c r="OD529" s="1259"/>
      <c r="OE529" s="1259"/>
      <c r="OF529" s="1259"/>
      <c r="OG529" s="1259"/>
      <c r="OH529" s="1259"/>
      <c r="OI529" s="1259"/>
      <c r="OJ529" s="1259"/>
      <c r="OK529" s="1259"/>
      <c r="OL529" s="1259"/>
      <c r="OM529" s="1259"/>
      <c r="ON529" s="1259"/>
      <c r="OO529" s="1259"/>
      <c r="OP529" s="1259"/>
      <c r="OQ529" s="1259"/>
      <c r="OR529" s="1259"/>
      <c r="OS529" s="1259"/>
      <c r="OT529" s="1259"/>
      <c r="OU529" s="1259"/>
      <c r="OV529" s="1259"/>
      <c r="OW529" s="1259"/>
      <c r="OX529" s="1259"/>
      <c r="OY529" s="1259"/>
      <c r="OZ529" s="1259"/>
      <c r="PA529" s="1259"/>
      <c r="PB529" s="1259"/>
      <c r="PC529" s="1259"/>
      <c r="PD529" s="1259"/>
      <c r="PE529" s="1259"/>
      <c r="PF529" s="1259"/>
      <c r="PG529" s="1259"/>
      <c r="PH529" s="1259"/>
      <c r="PI529" s="1259"/>
      <c r="PJ529" s="1259"/>
      <c r="PK529" s="1259"/>
      <c r="PL529" s="1259"/>
      <c r="PM529" s="1259"/>
      <c r="PN529" s="1259"/>
      <c r="PO529" s="1259"/>
      <c r="PP529" s="1259"/>
      <c r="PQ529" s="1259"/>
      <c r="PR529" s="1259"/>
      <c r="PS529" s="1259"/>
      <c r="PT529" s="1259"/>
      <c r="PU529" s="1259"/>
      <c r="PV529" s="1259"/>
      <c r="PW529" s="1259"/>
      <c r="PX529" s="1259"/>
      <c r="PY529" s="1259"/>
      <c r="PZ529" s="1259"/>
      <c r="QA529" s="1259"/>
      <c r="QB529" s="1259"/>
      <c r="QC529" s="1259"/>
      <c r="QD529" s="1259"/>
      <c r="QE529" s="1259"/>
      <c r="QF529" s="1259"/>
      <c r="QG529" s="1259"/>
      <c r="QH529" s="1259"/>
      <c r="QI529" s="1259"/>
      <c r="QJ529" s="1259"/>
      <c r="QK529" s="1259"/>
      <c r="QL529" s="1259"/>
      <c r="QM529" s="1259"/>
      <c r="QN529" s="1259"/>
      <c r="QO529" s="1259"/>
      <c r="QP529" s="1259"/>
      <c r="QQ529" s="1259"/>
      <c r="QR529" s="1259"/>
      <c r="QS529" s="1259"/>
      <c r="QT529" s="1259"/>
      <c r="QU529" s="1259"/>
      <c r="QV529" s="1259"/>
      <c r="QW529" s="1259"/>
      <c r="QX529" s="1259"/>
      <c r="QY529" s="1259"/>
      <c r="QZ529" s="1259"/>
      <c r="RA529" s="1259"/>
      <c r="RB529" s="1259"/>
      <c r="RC529" s="1259"/>
      <c r="RD529" s="1259"/>
      <c r="RE529" s="1259"/>
      <c r="RF529" s="1259"/>
      <c r="RG529" s="1259"/>
      <c r="RH529" s="1259"/>
      <c r="RI529" s="1259"/>
      <c r="RJ529" s="1259"/>
      <c r="RK529" s="1259"/>
      <c r="RL529" s="1259"/>
      <c r="RM529" s="1259"/>
      <c r="RN529" s="1259"/>
      <c r="RO529" s="1259"/>
      <c r="RP529" s="1259"/>
      <c r="RQ529" s="1259"/>
      <c r="RR529" s="1259"/>
      <c r="RS529" s="1259"/>
      <c r="RT529" s="1259"/>
      <c r="RU529" s="1259"/>
      <c r="RV529" s="1259"/>
      <c r="RW529" s="1259"/>
      <c r="RX529" s="1259"/>
      <c r="RY529" s="1259"/>
      <c r="RZ529" s="1259"/>
      <c r="SA529" s="1259"/>
      <c r="SB529" s="1259"/>
      <c r="SC529" s="1259"/>
      <c r="SD529" s="1259"/>
      <c r="SE529" s="1259"/>
      <c r="SF529" s="1259"/>
      <c r="SG529" s="1259"/>
      <c r="SH529" s="1259"/>
      <c r="SI529" s="1259"/>
      <c r="SJ529" s="1259"/>
      <c r="SK529" s="1259"/>
      <c r="SL529" s="1259"/>
      <c r="SM529" s="1259"/>
      <c r="SN529" s="1259"/>
      <c r="SO529" s="1259"/>
      <c r="SP529" s="1259"/>
      <c r="SQ529" s="1259"/>
      <c r="SR529" s="1259"/>
      <c r="SS529" s="1259"/>
      <c r="ST529" s="1259"/>
      <c r="SU529" s="1259"/>
      <c r="SV529" s="1259"/>
      <c r="SW529" s="1259"/>
      <c r="SX529" s="1259"/>
      <c r="SY529" s="1259"/>
      <c r="SZ529" s="1259"/>
      <c r="TA529" s="1259"/>
      <c r="TB529" s="1259"/>
      <c r="TC529" s="1259"/>
      <c r="TD529" s="1259"/>
      <c r="TE529" s="1259"/>
      <c r="TF529" s="1259"/>
      <c r="TG529" s="1259"/>
      <c r="TH529" s="1259"/>
      <c r="TI529" s="1259"/>
      <c r="TJ529" s="1259"/>
      <c r="TK529" s="1259"/>
      <c r="TL529" s="1259"/>
      <c r="TM529" s="1259"/>
      <c r="TN529" s="1259"/>
      <c r="TO529" s="1259"/>
      <c r="TP529" s="1259"/>
      <c r="TQ529" s="1259"/>
      <c r="TR529" s="1259"/>
      <c r="TS529" s="1259"/>
      <c r="TT529" s="1259"/>
      <c r="TU529" s="1259"/>
      <c r="TV529" s="1259"/>
      <c r="TW529" s="1259"/>
      <c r="TX529" s="1259"/>
      <c r="TY529" s="1259"/>
      <c r="TZ529" s="1259"/>
      <c r="UA529" s="1259"/>
      <c r="UB529" s="1259"/>
      <c r="UC529" s="1259"/>
      <c r="UD529" s="1259"/>
      <c r="UE529" s="1259"/>
      <c r="UF529" s="1259"/>
      <c r="UG529" s="1261"/>
    </row>
    <row r="530" spans="1:553" s="109" customFormat="1" ht="30.75" customHeight="1">
      <c r="A530" s="366"/>
      <c r="B530" s="609"/>
      <c r="C530" s="1572" t="s">
        <v>1125</v>
      </c>
      <c r="D530" s="1389"/>
      <c r="E530" s="1389"/>
      <c r="F530" s="1389"/>
      <c r="G530" s="1226"/>
      <c r="H530" s="586"/>
      <c r="I530" s="422"/>
      <c r="J530" s="368"/>
      <c r="K530" s="474"/>
      <c r="L530" s="480"/>
      <c r="M530" s="366"/>
      <c r="N530" s="366"/>
      <c r="O530" s="366"/>
      <c r="P530" s="366"/>
      <c r="Q530" s="1040"/>
      <c r="R530" s="1228"/>
      <c r="S530" s="308"/>
      <c r="T530" s="308"/>
      <c r="U530" s="308"/>
      <c r="V530" s="308"/>
      <c r="W530" s="308"/>
      <c r="X530" s="308"/>
      <c r="Y530" s="308"/>
      <c r="Z530" s="604"/>
      <c r="AA530" s="308"/>
      <c r="AB530" s="308"/>
      <c r="AC530" s="449"/>
      <c r="AD530" s="452"/>
      <c r="AE530" s="452"/>
      <c r="AF530" s="452"/>
      <c r="AG530" s="452"/>
      <c r="AH530" s="452"/>
      <c r="AI530" s="452"/>
      <c r="AJ530" s="452"/>
      <c r="AK530" s="452"/>
      <c r="AL530" s="117"/>
      <c r="AM530" s="117"/>
      <c r="AN530" s="117"/>
      <c r="AO530" s="117"/>
      <c r="AP530" s="117"/>
      <c r="AQ530" s="117"/>
      <c r="AR530" s="117"/>
      <c r="AS530" s="117"/>
      <c r="AT530" s="117"/>
      <c r="AU530" s="117"/>
      <c r="AV530" s="117"/>
      <c r="AW530" s="117"/>
      <c r="AX530" s="117"/>
      <c r="AY530" s="117"/>
      <c r="AZ530" s="117"/>
      <c r="BA530" s="117"/>
      <c r="BB530" s="117"/>
      <c r="BC530" s="117"/>
      <c r="BD530" s="117"/>
      <c r="BE530" s="117"/>
      <c r="BF530" s="117"/>
      <c r="BG530" s="117"/>
      <c r="BH530" s="117"/>
      <c r="BI530" s="117"/>
      <c r="BJ530" s="117"/>
      <c r="BK530" s="117"/>
      <c r="BL530" s="117"/>
      <c r="BM530" s="117"/>
      <c r="BN530" s="117"/>
      <c r="BO530" s="117"/>
      <c r="BP530" s="117"/>
      <c r="BQ530" s="117"/>
      <c r="BR530" s="117"/>
      <c r="BS530" s="117"/>
      <c r="BT530" s="117"/>
      <c r="BU530" s="117"/>
      <c r="BV530" s="117"/>
      <c r="BW530" s="117"/>
      <c r="BX530" s="117"/>
      <c r="BY530" s="117"/>
      <c r="BZ530" s="117"/>
      <c r="CA530" s="117"/>
      <c r="CB530" s="117"/>
      <c r="CC530" s="117"/>
      <c r="CD530" s="117"/>
      <c r="CE530" s="117"/>
      <c r="CF530" s="117"/>
      <c r="CG530" s="117"/>
      <c r="CH530" s="117"/>
      <c r="CI530" s="117"/>
      <c r="CJ530" s="117"/>
      <c r="CK530" s="117"/>
      <c r="CL530" s="117"/>
      <c r="CM530" s="117"/>
      <c r="CN530" s="117"/>
      <c r="CO530" s="117"/>
      <c r="CP530" s="117"/>
      <c r="CQ530" s="117"/>
      <c r="CR530" s="117"/>
      <c r="CS530" s="117"/>
      <c r="CT530" s="117"/>
      <c r="CU530" s="117"/>
      <c r="CV530" s="117"/>
      <c r="CW530" s="117"/>
      <c r="CX530" s="117"/>
      <c r="CY530" s="117"/>
      <c r="CZ530" s="117"/>
      <c r="DA530" s="117"/>
      <c r="DB530" s="117"/>
      <c r="DC530" s="117"/>
      <c r="DD530" s="117"/>
      <c r="DE530" s="117"/>
      <c r="DF530" s="117"/>
      <c r="DG530" s="117"/>
      <c r="DH530" s="117"/>
      <c r="DI530" s="117"/>
      <c r="DJ530" s="117"/>
      <c r="DK530" s="117"/>
      <c r="DL530" s="117"/>
      <c r="DM530" s="117"/>
      <c r="DN530" s="117"/>
      <c r="DO530" s="117"/>
      <c r="DP530" s="117"/>
      <c r="DQ530" s="117"/>
      <c r="DR530" s="117"/>
      <c r="DS530" s="117"/>
      <c r="DT530" s="117"/>
      <c r="DU530" s="117"/>
      <c r="DV530" s="117"/>
      <c r="DW530" s="117"/>
      <c r="DX530" s="117"/>
      <c r="DY530" s="117"/>
      <c r="DZ530" s="117"/>
      <c r="EA530" s="117"/>
      <c r="EB530" s="117"/>
      <c r="EC530" s="117"/>
      <c r="ED530" s="117"/>
      <c r="EE530" s="117"/>
      <c r="EF530" s="117"/>
      <c r="EG530" s="117"/>
      <c r="EH530" s="117"/>
      <c r="EI530" s="117"/>
      <c r="EJ530" s="117"/>
      <c r="EK530" s="117"/>
      <c r="EL530" s="117"/>
      <c r="EM530" s="117"/>
      <c r="EN530" s="117"/>
      <c r="EO530" s="117"/>
      <c r="EP530" s="117"/>
      <c r="EQ530" s="117"/>
      <c r="ER530" s="117"/>
      <c r="ES530" s="117"/>
      <c r="ET530" s="117"/>
      <c r="EU530" s="117"/>
      <c r="EV530" s="117"/>
      <c r="EW530" s="117"/>
      <c r="EX530" s="117"/>
      <c r="EY530" s="117"/>
      <c r="EZ530" s="117"/>
      <c r="FA530" s="117"/>
      <c r="FB530" s="117"/>
      <c r="FC530" s="117"/>
      <c r="FD530" s="117"/>
      <c r="FE530" s="117"/>
      <c r="FF530" s="117"/>
      <c r="FG530" s="117"/>
      <c r="FH530" s="117"/>
      <c r="FI530" s="117"/>
      <c r="FJ530" s="117"/>
      <c r="FK530" s="117"/>
      <c r="FL530" s="117"/>
      <c r="FM530" s="117"/>
      <c r="FN530" s="117"/>
      <c r="FO530" s="117"/>
      <c r="FP530" s="117"/>
      <c r="FQ530" s="117"/>
      <c r="FR530" s="117"/>
      <c r="FS530" s="117"/>
      <c r="FT530" s="117"/>
      <c r="FU530" s="117"/>
      <c r="FV530" s="117"/>
      <c r="FW530" s="117"/>
      <c r="FX530" s="117"/>
      <c r="FY530" s="117"/>
      <c r="FZ530" s="117"/>
      <c r="GA530" s="117"/>
      <c r="GB530" s="117"/>
      <c r="GC530" s="117"/>
      <c r="GD530" s="117"/>
      <c r="GE530" s="117"/>
      <c r="GF530" s="117"/>
      <c r="GG530" s="117"/>
      <c r="GH530" s="117"/>
      <c r="GI530" s="117"/>
      <c r="GJ530" s="117"/>
      <c r="GK530" s="117"/>
      <c r="GL530" s="117"/>
      <c r="GM530" s="117"/>
      <c r="GN530" s="117"/>
      <c r="GO530" s="117"/>
      <c r="GP530" s="117"/>
      <c r="GQ530" s="117"/>
      <c r="GR530" s="117"/>
      <c r="GS530" s="117"/>
      <c r="GT530" s="117"/>
      <c r="GU530" s="117"/>
      <c r="GV530" s="117"/>
      <c r="GW530" s="117"/>
      <c r="GX530" s="117"/>
      <c r="GY530" s="117"/>
      <c r="GZ530" s="117"/>
      <c r="HA530" s="117"/>
      <c r="HB530" s="117"/>
      <c r="HC530" s="117"/>
      <c r="HD530" s="117"/>
      <c r="HE530" s="117"/>
      <c r="HF530" s="117"/>
      <c r="HG530" s="117"/>
      <c r="HH530" s="117"/>
      <c r="HI530" s="117"/>
      <c r="HJ530" s="117"/>
      <c r="HK530" s="117"/>
      <c r="HL530" s="117"/>
      <c r="HM530" s="117"/>
      <c r="HN530" s="117"/>
      <c r="HO530" s="117"/>
      <c r="HP530" s="117"/>
      <c r="HQ530" s="117"/>
      <c r="HR530" s="117"/>
      <c r="HS530" s="117"/>
      <c r="HT530" s="117"/>
      <c r="HU530" s="117"/>
      <c r="HV530" s="117"/>
      <c r="HW530" s="117"/>
      <c r="HX530" s="117"/>
      <c r="HY530" s="117"/>
      <c r="HZ530" s="117"/>
      <c r="IA530" s="117"/>
      <c r="IB530" s="117"/>
      <c r="IC530" s="117"/>
      <c r="ID530" s="117"/>
      <c r="IE530" s="117"/>
      <c r="IF530" s="117"/>
      <c r="IG530" s="117"/>
      <c r="IH530" s="117"/>
      <c r="II530" s="117"/>
      <c r="IJ530" s="117"/>
      <c r="IK530" s="117"/>
      <c r="IL530" s="117"/>
      <c r="IM530" s="117"/>
      <c r="IN530" s="117"/>
      <c r="IO530" s="117"/>
      <c r="IP530" s="117"/>
      <c r="IQ530" s="117"/>
      <c r="IR530" s="117"/>
      <c r="IS530" s="117"/>
      <c r="IT530" s="117"/>
      <c r="IU530" s="117"/>
      <c r="IV530" s="117"/>
      <c r="IW530" s="117"/>
      <c r="IX530" s="117"/>
      <c r="IY530" s="117"/>
      <c r="IZ530" s="117"/>
      <c r="JA530" s="117"/>
      <c r="JB530" s="117"/>
      <c r="JC530" s="117"/>
      <c r="JD530" s="117"/>
      <c r="JE530" s="117"/>
      <c r="JF530" s="117"/>
      <c r="JG530" s="117"/>
      <c r="JH530" s="117"/>
      <c r="JI530" s="117"/>
      <c r="JJ530" s="117"/>
      <c r="JK530" s="117"/>
      <c r="JL530" s="117"/>
      <c r="JM530" s="117"/>
      <c r="JN530" s="117"/>
      <c r="JO530" s="117"/>
      <c r="JP530" s="117"/>
      <c r="JQ530" s="117"/>
      <c r="JR530" s="117"/>
      <c r="JS530" s="117"/>
      <c r="JT530" s="117"/>
      <c r="JU530" s="117"/>
      <c r="JV530" s="117"/>
      <c r="JW530" s="117"/>
      <c r="JX530" s="117"/>
      <c r="JY530" s="117"/>
      <c r="JZ530" s="117"/>
      <c r="KA530" s="117"/>
      <c r="KB530" s="117"/>
      <c r="KC530" s="117"/>
      <c r="KD530" s="117"/>
      <c r="KE530" s="117"/>
      <c r="KF530" s="117"/>
      <c r="KG530" s="117"/>
      <c r="KH530" s="117"/>
      <c r="KI530" s="117"/>
      <c r="KJ530" s="117"/>
      <c r="KK530" s="117"/>
      <c r="KL530" s="117"/>
      <c r="KM530" s="117"/>
      <c r="KN530" s="117"/>
      <c r="KO530" s="117"/>
      <c r="KP530" s="117"/>
      <c r="KQ530" s="117"/>
      <c r="KR530" s="117"/>
      <c r="KS530" s="117"/>
      <c r="KT530" s="117"/>
      <c r="KU530" s="117"/>
      <c r="KV530" s="117"/>
      <c r="KW530" s="117"/>
      <c r="KX530" s="117"/>
      <c r="KY530" s="117"/>
      <c r="KZ530" s="117"/>
      <c r="LA530" s="117"/>
      <c r="LB530" s="117"/>
      <c r="LC530" s="117"/>
      <c r="LD530" s="117"/>
      <c r="LE530" s="117"/>
      <c r="LF530" s="117"/>
      <c r="LG530" s="117"/>
      <c r="LH530" s="117"/>
      <c r="LI530" s="117"/>
      <c r="LJ530" s="117"/>
      <c r="LK530" s="117"/>
      <c r="LL530" s="117"/>
      <c r="LM530" s="117"/>
      <c r="LN530" s="117"/>
      <c r="LO530" s="117"/>
      <c r="LP530" s="117"/>
      <c r="LQ530" s="117"/>
      <c r="LR530" s="117"/>
      <c r="LS530" s="117"/>
      <c r="LT530" s="117"/>
      <c r="LU530" s="117"/>
      <c r="LV530" s="117"/>
      <c r="LW530" s="117"/>
      <c r="LX530" s="117"/>
      <c r="LY530" s="117"/>
      <c r="LZ530" s="117"/>
      <c r="MA530" s="117"/>
      <c r="MB530" s="117"/>
      <c r="MC530" s="117"/>
      <c r="MD530" s="117"/>
      <c r="ME530" s="117"/>
      <c r="MF530" s="117"/>
      <c r="MG530" s="117"/>
      <c r="MH530" s="117"/>
      <c r="MI530" s="117"/>
      <c r="MJ530" s="117"/>
      <c r="MK530" s="117"/>
      <c r="ML530" s="117"/>
      <c r="MM530" s="117"/>
      <c r="MN530" s="117"/>
      <c r="MO530" s="117"/>
      <c r="MP530" s="117"/>
      <c r="MQ530" s="117"/>
      <c r="MR530" s="117"/>
      <c r="MS530" s="117"/>
      <c r="MT530" s="117"/>
      <c r="MU530" s="117"/>
      <c r="MV530" s="117"/>
      <c r="MW530" s="117"/>
      <c r="MX530" s="117"/>
      <c r="MY530" s="117"/>
      <c r="MZ530" s="117"/>
      <c r="NA530" s="117"/>
      <c r="NB530" s="117"/>
      <c r="NC530" s="117"/>
      <c r="ND530" s="117"/>
      <c r="NE530" s="117"/>
      <c r="NF530" s="117"/>
      <c r="NG530" s="117"/>
      <c r="NH530" s="117"/>
      <c r="NI530" s="117"/>
      <c r="NJ530" s="117"/>
      <c r="NK530" s="117"/>
      <c r="NL530" s="117"/>
      <c r="NM530" s="117"/>
      <c r="NN530" s="117"/>
      <c r="NO530" s="117"/>
      <c r="NP530" s="117"/>
      <c r="NQ530" s="117"/>
      <c r="NR530" s="117"/>
      <c r="NS530" s="117"/>
      <c r="NT530" s="117"/>
      <c r="NU530" s="117"/>
      <c r="NV530" s="117"/>
      <c r="NW530" s="117"/>
      <c r="NX530" s="117"/>
      <c r="NY530" s="117"/>
      <c r="NZ530" s="117"/>
      <c r="OA530" s="117"/>
      <c r="OB530" s="117"/>
      <c r="OC530" s="117"/>
      <c r="OD530" s="117"/>
      <c r="OE530" s="117"/>
      <c r="OF530" s="117"/>
      <c r="OG530" s="117"/>
      <c r="OH530" s="117"/>
      <c r="OI530" s="117"/>
      <c r="OJ530" s="117"/>
      <c r="OK530" s="117"/>
      <c r="OL530" s="117"/>
      <c r="OM530" s="117"/>
      <c r="ON530" s="117"/>
      <c r="OO530" s="117"/>
      <c r="OP530" s="117"/>
      <c r="OQ530" s="117"/>
      <c r="OR530" s="117"/>
      <c r="OS530" s="117"/>
      <c r="OT530" s="117"/>
      <c r="OU530" s="117"/>
      <c r="OV530" s="117"/>
      <c r="OW530" s="117"/>
      <c r="OX530" s="117"/>
      <c r="OY530" s="117"/>
      <c r="OZ530" s="117"/>
      <c r="PA530" s="117"/>
      <c r="PB530" s="117"/>
      <c r="PC530" s="117"/>
      <c r="PD530" s="117"/>
      <c r="PE530" s="117"/>
      <c r="PF530" s="117"/>
      <c r="PG530" s="117"/>
      <c r="PH530" s="117"/>
      <c r="PI530" s="117"/>
      <c r="PJ530" s="117"/>
      <c r="PK530" s="117"/>
      <c r="PL530" s="117"/>
      <c r="PM530" s="117"/>
      <c r="PN530" s="117"/>
      <c r="PO530" s="117"/>
      <c r="PP530" s="117"/>
      <c r="PQ530" s="117"/>
      <c r="PR530" s="117"/>
      <c r="PS530" s="117"/>
      <c r="PT530" s="117"/>
      <c r="PU530" s="117"/>
      <c r="PV530" s="117"/>
      <c r="PW530" s="117"/>
      <c r="PX530" s="117"/>
      <c r="PY530" s="117"/>
      <c r="PZ530" s="117"/>
      <c r="QA530" s="117"/>
      <c r="QB530" s="117"/>
      <c r="QC530" s="117"/>
      <c r="QD530" s="117"/>
      <c r="QE530" s="117"/>
      <c r="QF530" s="117"/>
      <c r="QG530" s="117"/>
      <c r="QH530" s="117"/>
      <c r="QI530" s="117"/>
      <c r="QJ530" s="117"/>
      <c r="QK530" s="117"/>
      <c r="QL530" s="117"/>
      <c r="QM530" s="117"/>
      <c r="QN530" s="117"/>
      <c r="QO530" s="117"/>
      <c r="QP530" s="117"/>
      <c r="QQ530" s="117"/>
      <c r="QR530" s="117"/>
      <c r="QS530" s="117"/>
      <c r="QT530" s="117"/>
      <c r="QU530" s="117"/>
      <c r="QV530" s="117"/>
      <c r="QW530" s="117"/>
      <c r="QX530" s="117"/>
      <c r="QY530" s="117"/>
      <c r="QZ530" s="117"/>
      <c r="RA530" s="117"/>
      <c r="RB530" s="117"/>
      <c r="RC530" s="117"/>
      <c r="RD530" s="117"/>
      <c r="RE530" s="117"/>
      <c r="RF530" s="117"/>
      <c r="RG530" s="117"/>
      <c r="RH530" s="117"/>
      <c r="RI530" s="117"/>
      <c r="RJ530" s="117"/>
      <c r="RK530" s="117"/>
      <c r="RL530" s="117"/>
      <c r="RM530" s="117"/>
      <c r="RN530" s="117"/>
      <c r="RO530" s="117"/>
      <c r="RP530" s="117"/>
      <c r="RQ530" s="117"/>
      <c r="RR530" s="117"/>
      <c r="RS530" s="117"/>
      <c r="RT530" s="117"/>
      <c r="RU530" s="117"/>
      <c r="RV530" s="117"/>
      <c r="RW530" s="117"/>
      <c r="RX530" s="117"/>
      <c r="RY530" s="117"/>
      <c r="RZ530" s="117"/>
      <c r="SA530" s="117"/>
      <c r="SB530" s="117"/>
      <c r="SC530" s="117"/>
      <c r="SD530" s="117"/>
      <c r="SE530" s="117"/>
      <c r="SF530" s="117"/>
      <c r="SG530" s="117"/>
      <c r="SH530" s="117"/>
      <c r="SI530" s="117"/>
      <c r="SJ530" s="117"/>
      <c r="SK530" s="117"/>
      <c r="SL530" s="117"/>
      <c r="SM530" s="117"/>
      <c r="SN530" s="117"/>
      <c r="SO530" s="117"/>
      <c r="SP530" s="117"/>
      <c r="SQ530" s="117"/>
      <c r="SR530" s="117"/>
      <c r="SS530" s="117"/>
      <c r="ST530" s="117"/>
      <c r="SU530" s="117"/>
      <c r="SV530" s="117"/>
      <c r="SW530" s="117"/>
      <c r="SX530" s="117"/>
      <c r="SY530" s="117"/>
      <c r="SZ530" s="117"/>
      <c r="TA530" s="117"/>
      <c r="TB530" s="117"/>
      <c r="TC530" s="117"/>
      <c r="TD530" s="117"/>
      <c r="TE530" s="117"/>
      <c r="TF530" s="117"/>
      <c r="TG530" s="117"/>
      <c r="TH530" s="117"/>
      <c r="TI530" s="117"/>
      <c r="TJ530" s="117"/>
      <c r="TK530" s="117"/>
      <c r="TL530" s="117"/>
      <c r="TM530" s="117"/>
      <c r="TN530" s="117"/>
      <c r="TO530" s="117"/>
      <c r="TP530" s="117"/>
      <c r="TQ530" s="117"/>
      <c r="TR530" s="117"/>
      <c r="TS530" s="117"/>
      <c r="TT530" s="117"/>
      <c r="TU530" s="117"/>
      <c r="TV530" s="117"/>
      <c r="TW530" s="117"/>
      <c r="TX530" s="117"/>
      <c r="TY530" s="117"/>
      <c r="TZ530" s="117"/>
      <c r="UA530" s="117"/>
      <c r="UB530" s="117"/>
      <c r="UC530" s="117"/>
      <c r="UD530" s="117"/>
      <c r="UE530" s="117"/>
      <c r="UF530" s="117"/>
      <c r="UG530" s="126"/>
    </row>
    <row r="531" spans="1:553" s="1262" customFormat="1" ht="30.75" customHeight="1">
      <c r="A531" s="402" t="s">
        <v>15</v>
      </c>
      <c r="B531" s="402"/>
      <c r="C531" s="1465" t="s">
        <v>1279</v>
      </c>
      <c r="D531" s="1466"/>
      <c r="E531" s="1466"/>
      <c r="F531" s="1466"/>
      <c r="G531" s="1226" t="s">
        <v>46</v>
      </c>
      <c r="H531" s="605"/>
      <c r="I531" s="420">
        <f>(183.63*100/10000)*(4*10)</f>
        <v>73.451999999999998</v>
      </c>
      <c r="J531" s="985">
        <v>2800</v>
      </c>
      <c r="K531" s="508"/>
      <c r="L531" s="1013">
        <f>ROUND(PRODUCT(I531:K531),0)</f>
        <v>205666</v>
      </c>
      <c r="M531" s="366"/>
      <c r="N531" s="366"/>
      <c r="O531" s="366"/>
      <c r="P531" s="366"/>
      <c r="Q531" s="1040"/>
      <c r="R531" s="1228"/>
      <c r="S531" s="308"/>
      <c r="T531" s="308"/>
      <c r="U531" s="308"/>
      <c r="V531" s="308"/>
      <c r="W531" s="308"/>
      <c r="X531" s="308"/>
      <c r="Y531" s="308"/>
      <c r="Z531" s="604"/>
      <c r="AA531" s="308"/>
      <c r="AB531" s="308"/>
      <c r="AC531" s="449"/>
      <c r="AD531" s="452"/>
      <c r="AE531" s="452"/>
      <c r="AF531" s="452"/>
      <c r="AG531" s="452"/>
      <c r="AH531" s="452"/>
      <c r="AI531" s="452"/>
      <c r="AJ531" s="452"/>
      <c r="AK531" s="452"/>
      <c r="AL531" s="1259"/>
      <c r="AM531" s="1259"/>
      <c r="AN531" s="1259"/>
      <c r="AO531" s="1259"/>
      <c r="AP531" s="1259"/>
      <c r="AQ531" s="1259"/>
      <c r="AR531" s="1259"/>
      <c r="AS531" s="1259"/>
      <c r="AT531" s="1259"/>
      <c r="AU531" s="1259"/>
      <c r="AV531" s="1259"/>
      <c r="AW531" s="1259"/>
      <c r="AX531" s="1259"/>
      <c r="AY531" s="1259"/>
      <c r="AZ531" s="1259"/>
      <c r="BA531" s="1259"/>
      <c r="BB531" s="1259"/>
      <c r="BC531" s="1259"/>
      <c r="BD531" s="1259"/>
      <c r="BE531" s="1259"/>
      <c r="BF531" s="1259"/>
      <c r="BG531" s="1259"/>
      <c r="BH531" s="1259"/>
      <c r="BI531" s="1259"/>
      <c r="BJ531" s="1259"/>
      <c r="BK531" s="1259"/>
      <c r="BL531" s="1259"/>
      <c r="BM531" s="1259"/>
      <c r="BN531" s="1259"/>
      <c r="BO531" s="1259"/>
      <c r="BP531" s="1259"/>
      <c r="BQ531" s="1259"/>
      <c r="BR531" s="1259"/>
      <c r="BS531" s="1259"/>
      <c r="BT531" s="1259"/>
      <c r="BU531" s="1259"/>
      <c r="BV531" s="1259"/>
      <c r="BW531" s="1259"/>
      <c r="BX531" s="1259"/>
      <c r="BY531" s="1259"/>
      <c r="BZ531" s="1259"/>
      <c r="CA531" s="1259"/>
      <c r="CB531" s="1259"/>
      <c r="CC531" s="1259"/>
      <c r="CD531" s="1259"/>
      <c r="CE531" s="1259"/>
      <c r="CF531" s="1259"/>
      <c r="CG531" s="1259"/>
      <c r="CH531" s="1259"/>
      <c r="CI531" s="1259"/>
      <c r="CJ531" s="1259"/>
      <c r="CK531" s="1259"/>
      <c r="CL531" s="1259"/>
      <c r="CM531" s="1259"/>
      <c r="CN531" s="1259"/>
      <c r="CO531" s="1259"/>
      <c r="CP531" s="1259"/>
      <c r="CQ531" s="1259"/>
      <c r="CR531" s="1259"/>
      <c r="CS531" s="1259"/>
      <c r="CT531" s="1259"/>
      <c r="CU531" s="1259"/>
      <c r="CV531" s="1259"/>
      <c r="CW531" s="1259"/>
      <c r="CX531" s="1259"/>
      <c r="CY531" s="1259"/>
      <c r="CZ531" s="1259"/>
      <c r="DA531" s="1259"/>
      <c r="DB531" s="1259"/>
      <c r="DC531" s="1259"/>
      <c r="DD531" s="1259"/>
      <c r="DE531" s="1259"/>
      <c r="DF531" s="1259"/>
      <c r="DG531" s="1259"/>
      <c r="DH531" s="1259"/>
      <c r="DI531" s="1259"/>
      <c r="DJ531" s="1259"/>
      <c r="DK531" s="1259"/>
      <c r="DL531" s="1259"/>
      <c r="DM531" s="1259"/>
      <c r="DN531" s="1259"/>
      <c r="DO531" s="1259"/>
      <c r="DP531" s="1259"/>
      <c r="DQ531" s="1259"/>
      <c r="DR531" s="1259"/>
      <c r="DS531" s="1259"/>
      <c r="DT531" s="1259"/>
      <c r="DU531" s="1259"/>
      <c r="DV531" s="1259"/>
      <c r="DW531" s="1259"/>
      <c r="DX531" s="1259"/>
      <c r="DY531" s="1259"/>
      <c r="DZ531" s="1259"/>
      <c r="EA531" s="1259"/>
      <c r="EB531" s="1259"/>
      <c r="EC531" s="1259"/>
      <c r="ED531" s="1259"/>
      <c r="EE531" s="1259"/>
      <c r="EF531" s="1259"/>
      <c r="EG531" s="1259"/>
      <c r="EH531" s="1259"/>
      <c r="EI531" s="1259"/>
      <c r="EJ531" s="1259"/>
      <c r="EK531" s="1259"/>
      <c r="EL531" s="1259"/>
      <c r="EM531" s="1259"/>
      <c r="EN531" s="1259"/>
      <c r="EO531" s="1259"/>
      <c r="EP531" s="1259"/>
      <c r="EQ531" s="1259"/>
      <c r="ER531" s="1259"/>
      <c r="ES531" s="1259"/>
      <c r="ET531" s="1259"/>
      <c r="EU531" s="1259"/>
      <c r="EV531" s="1259"/>
      <c r="EW531" s="1259"/>
      <c r="EX531" s="1259"/>
      <c r="EY531" s="1259"/>
      <c r="EZ531" s="1259"/>
      <c r="FA531" s="1259"/>
      <c r="FB531" s="1259"/>
      <c r="FC531" s="1259"/>
      <c r="FD531" s="1259"/>
      <c r="FE531" s="1259"/>
      <c r="FF531" s="1259"/>
      <c r="FG531" s="1259"/>
      <c r="FH531" s="1259"/>
      <c r="FI531" s="1259"/>
      <c r="FJ531" s="1259"/>
      <c r="FK531" s="1259"/>
      <c r="FL531" s="1259"/>
      <c r="FM531" s="1259"/>
      <c r="FN531" s="1259"/>
      <c r="FO531" s="1259"/>
      <c r="FP531" s="1259"/>
      <c r="FQ531" s="1259"/>
      <c r="FR531" s="1259"/>
      <c r="FS531" s="1259"/>
      <c r="FT531" s="1259"/>
      <c r="FU531" s="1259"/>
      <c r="FV531" s="1259"/>
      <c r="FW531" s="1259"/>
      <c r="FX531" s="1259"/>
      <c r="FY531" s="1259"/>
      <c r="FZ531" s="1259"/>
      <c r="GA531" s="1259"/>
      <c r="GB531" s="1259"/>
      <c r="GC531" s="1259"/>
      <c r="GD531" s="1259"/>
      <c r="GE531" s="1259"/>
      <c r="GF531" s="1259"/>
      <c r="GG531" s="1259"/>
      <c r="GH531" s="1259"/>
      <c r="GI531" s="1259"/>
      <c r="GJ531" s="1259"/>
      <c r="GK531" s="1259"/>
      <c r="GL531" s="1259"/>
      <c r="GM531" s="1259"/>
      <c r="GN531" s="1259"/>
      <c r="GO531" s="1259"/>
      <c r="GP531" s="1259"/>
      <c r="GQ531" s="1259"/>
      <c r="GR531" s="1259"/>
      <c r="GS531" s="1259"/>
      <c r="GT531" s="1259"/>
      <c r="GU531" s="1259"/>
      <c r="GV531" s="1259"/>
      <c r="GW531" s="1259"/>
      <c r="GX531" s="1259"/>
      <c r="GY531" s="1259"/>
      <c r="GZ531" s="1259"/>
      <c r="HA531" s="1259"/>
      <c r="HB531" s="1259"/>
      <c r="HC531" s="1259"/>
      <c r="HD531" s="1259"/>
      <c r="HE531" s="1259"/>
      <c r="HF531" s="1259"/>
      <c r="HG531" s="1259"/>
      <c r="HH531" s="1259"/>
      <c r="HI531" s="1259"/>
      <c r="HJ531" s="1259"/>
      <c r="HK531" s="1259"/>
      <c r="HL531" s="1259"/>
      <c r="HM531" s="1259"/>
      <c r="HN531" s="1259"/>
      <c r="HO531" s="1259"/>
      <c r="HP531" s="1259"/>
      <c r="HQ531" s="1259"/>
      <c r="HR531" s="1259"/>
      <c r="HS531" s="1259"/>
      <c r="HT531" s="1259"/>
      <c r="HU531" s="1259"/>
      <c r="HV531" s="1259"/>
      <c r="HW531" s="1259"/>
      <c r="HX531" s="1259"/>
      <c r="HY531" s="1259"/>
      <c r="HZ531" s="1259"/>
      <c r="IA531" s="1259"/>
      <c r="IB531" s="1259"/>
      <c r="IC531" s="1259"/>
      <c r="ID531" s="1259"/>
      <c r="IE531" s="1259"/>
      <c r="IF531" s="1259"/>
      <c r="IG531" s="1259"/>
      <c r="IH531" s="1259"/>
      <c r="II531" s="1259"/>
      <c r="IJ531" s="1259"/>
      <c r="IK531" s="1259"/>
      <c r="IL531" s="1259"/>
      <c r="IM531" s="1259"/>
      <c r="IN531" s="1259"/>
      <c r="IO531" s="1259"/>
      <c r="IP531" s="1259"/>
      <c r="IQ531" s="1259"/>
      <c r="IR531" s="1259"/>
      <c r="IS531" s="1259"/>
      <c r="IT531" s="1259"/>
      <c r="IU531" s="1259"/>
      <c r="IV531" s="1259"/>
      <c r="IW531" s="1259"/>
      <c r="IX531" s="1259"/>
      <c r="IY531" s="1259"/>
      <c r="IZ531" s="1259"/>
      <c r="JA531" s="1259"/>
      <c r="JB531" s="1259"/>
      <c r="JC531" s="1259"/>
      <c r="JD531" s="1259"/>
      <c r="JE531" s="1259"/>
      <c r="JF531" s="1259"/>
      <c r="JG531" s="1259"/>
      <c r="JH531" s="1259"/>
      <c r="JI531" s="1259"/>
      <c r="JJ531" s="1259"/>
      <c r="JK531" s="1259"/>
      <c r="JL531" s="1259"/>
      <c r="JM531" s="1259"/>
      <c r="JN531" s="1259"/>
      <c r="JO531" s="1259"/>
      <c r="JP531" s="1259"/>
      <c r="JQ531" s="1259"/>
      <c r="JR531" s="1259"/>
      <c r="JS531" s="1259"/>
      <c r="JT531" s="1259"/>
      <c r="JU531" s="1259"/>
      <c r="JV531" s="1259"/>
      <c r="JW531" s="1259"/>
      <c r="JX531" s="1259"/>
      <c r="JY531" s="1259"/>
      <c r="JZ531" s="1259"/>
      <c r="KA531" s="1259"/>
      <c r="KB531" s="1259"/>
      <c r="KC531" s="1259"/>
      <c r="KD531" s="1259"/>
      <c r="KE531" s="1259"/>
      <c r="KF531" s="1259"/>
      <c r="KG531" s="1259"/>
      <c r="KH531" s="1259"/>
      <c r="KI531" s="1259"/>
      <c r="KJ531" s="1259"/>
      <c r="KK531" s="1259"/>
      <c r="KL531" s="1259"/>
      <c r="KM531" s="1259"/>
      <c r="KN531" s="1259"/>
      <c r="KO531" s="1259"/>
      <c r="KP531" s="1259"/>
      <c r="KQ531" s="1259"/>
      <c r="KR531" s="1259"/>
      <c r="KS531" s="1259"/>
      <c r="KT531" s="1259"/>
      <c r="KU531" s="1259"/>
      <c r="KV531" s="1259"/>
      <c r="KW531" s="1259"/>
      <c r="KX531" s="1259"/>
      <c r="KY531" s="1259"/>
      <c r="KZ531" s="1259"/>
      <c r="LA531" s="1259"/>
      <c r="LB531" s="1259"/>
      <c r="LC531" s="1259"/>
      <c r="LD531" s="1259"/>
      <c r="LE531" s="1259"/>
      <c r="LF531" s="1259"/>
      <c r="LG531" s="1259"/>
      <c r="LH531" s="1259"/>
      <c r="LI531" s="1259"/>
      <c r="LJ531" s="1259"/>
      <c r="LK531" s="1259"/>
      <c r="LL531" s="1259"/>
      <c r="LM531" s="1259"/>
      <c r="LN531" s="1259"/>
      <c r="LO531" s="1259"/>
      <c r="LP531" s="1259"/>
      <c r="LQ531" s="1259"/>
      <c r="LR531" s="1259"/>
      <c r="LS531" s="1259"/>
      <c r="LT531" s="1259"/>
      <c r="LU531" s="1259"/>
      <c r="LV531" s="1259"/>
      <c r="LW531" s="1259"/>
      <c r="LX531" s="1259"/>
      <c r="LY531" s="1259"/>
      <c r="LZ531" s="1259"/>
      <c r="MA531" s="1259"/>
      <c r="MB531" s="1259"/>
      <c r="MC531" s="1259"/>
      <c r="MD531" s="1259"/>
      <c r="ME531" s="1259"/>
      <c r="MF531" s="1259"/>
      <c r="MG531" s="1259"/>
      <c r="MH531" s="1259"/>
      <c r="MI531" s="1259"/>
      <c r="MJ531" s="1259"/>
      <c r="MK531" s="1259"/>
      <c r="ML531" s="1259"/>
      <c r="MM531" s="1259"/>
      <c r="MN531" s="1259"/>
      <c r="MO531" s="1259"/>
      <c r="MP531" s="1259"/>
      <c r="MQ531" s="1259"/>
      <c r="MR531" s="1259"/>
      <c r="MS531" s="1259"/>
      <c r="MT531" s="1259"/>
      <c r="MU531" s="1259"/>
      <c r="MV531" s="1259"/>
      <c r="MW531" s="1259"/>
      <c r="MX531" s="1259"/>
      <c r="MY531" s="1259"/>
      <c r="MZ531" s="1259"/>
      <c r="NA531" s="1259"/>
      <c r="NB531" s="1259"/>
      <c r="NC531" s="1259"/>
      <c r="ND531" s="1259"/>
      <c r="NE531" s="1259"/>
      <c r="NF531" s="1259"/>
      <c r="NG531" s="1259"/>
      <c r="NH531" s="1259"/>
      <c r="NI531" s="1259"/>
      <c r="NJ531" s="1259"/>
      <c r="NK531" s="1259"/>
      <c r="NL531" s="1259"/>
      <c r="NM531" s="1259"/>
      <c r="NN531" s="1259"/>
      <c r="NO531" s="1259"/>
      <c r="NP531" s="1259"/>
      <c r="NQ531" s="1259"/>
      <c r="NR531" s="1259"/>
      <c r="NS531" s="1259"/>
      <c r="NT531" s="1259"/>
      <c r="NU531" s="1259"/>
      <c r="NV531" s="1259"/>
      <c r="NW531" s="1259"/>
      <c r="NX531" s="1259"/>
      <c r="NY531" s="1259"/>
      <c r="NZ531" s="1259"/>
      <c r="OA531" s="1259"/>
      <c r="OB531" s="1259"/>
      <c r="OC531" s="1259"/>
      <c r="OD531" s="1259"/>
      <c r="OE531" s="1259"/>
      <c r="OF531" s="1259"/>
      <c r="OG531" s="1259"/>
      <c r="OH531" s="1259"/>
      <c r="OI531" s="1259"/>
      <c r="OJ531" s="1259"/>
      <c r="OK531" s="1259"/>
      <c r="OL531" s="1259"/>
      <c r="OM531" s="1259"/>
      <c r="ON531" s="1259"/>
      <c r="OO531" s="1259"/>
      <c r="OP531" s="1259"/>
      <c r="OQ531" s="1259"/>
      <c r="OR531" s="1259"/>
      <c r="OS531" s="1259"/>
      <c r="OT531" s="1259"/>
      <c r="OU531" s="1259"/>
      <c r="OV531" s="1259"/>
      <c r="OW531" s="1259"/>
      <c r="OX531" s="1259"/>
      <c r="OY531" s="1259"/>
      <c r="OZ531" s="1259"/>
      <c r="PA531" s="1259"/>
      <c r="PB531" s="1259"/>
      <c r="PC531" s="1259"/>
      <c r="PD531" s="1259"/>
      <c r="PE531" s="1259"/>
      <c r="PF531" s="1259"/>
      <c r="PG531" s="1259"/>
      <c r="PH531" s="1259"/>
      <c r="PI531" s="1259"/>
      <c r="PJ531" s="1259"/>
      <c r="PK531" s="1259"/>
      <c r="PL531" s="1259"/>
      <c r="PM531" s="1259"/>
      <c r="PN531" s="1259"/>
      <c r="PO531" s="1259"/>
      <c r="PP531" s="1259"/>
      <c r="PQ531" s="1259"/>
      <c r="PR531" s="1259"/>
      <c r="PS531" s="1259"/>
      <c r="PT531" s="1259"/>
      <c r="PU531" s="1259"/>
      <c r="PV531" s="1259"/>
      <c r="PW531" s="1259"/>
      <c r="PX531" s="1259"/>
      <c r="PY531" s="1259"/>
      <c r="PZ531" s="1259"/>
      <c r="QA531" s="1259"/>
      <c r="QB531" s="1259"/>
      <c r="QC531" s="1259"/>
      <c r="QD531" s="1259"/>
      <c r="QE531" s="1259"/>
      <c r="QF531" s="1259"/>
      <c r="QG531" s="1259"/>
      <c r="QH531" s="1259"/>
      <c r="QI531" s="1259"/>
      <c r="QJ531" s="1259"/>
      <c r="QK531" s="1259"/>
      <c r="QL531" s="1259"/>
      <c r="QM531" s="1259"/>
      <c r="QN531" s="1259"/>
      <c r="QO531" s="1259"/>
      <c r="QP531" s="1259"/>
      <c r="QQ531" s="1259"/>
      <c r="QR531" s="1259"/>
      <c r="QS531" s="1259"/>
      <c r="QT531" s="1259"/>
      <c r="QU531" s="1259"/>
      <c r="QV531" s="1259"/>
      <c r="QW531" s="1259"/>
      <c r="QX531" s="1259"/>
      <c r="QY531" s="1259"/>
      <c r="QZ531" s="1259"/>
      <c r="RA531" s="1259"/>
      <c r="RB531" s="1259"/>
      <c r="RC531" s="1259"/>
      <c r="RD531" s="1259"/>
      <c r="RE531" s="1259"/>
      <c r="RF531" s="1259"/>
      <c r="RG531" s="1259"/>
      <c r="RH531" s="1259"/>
      <c r="RI531" s="1259"/>
      <c r="RJ531" s="1259"/>
      <c r="RK531" s="1259"/>
      <c r="RL531" s="1259"/>
      <c r="RM531" s="1259"/>
      <c r="RN531" s="1259"/>
      <c r="RO531" s="1259"/>
      <c r="RP531" s="1259"/>
      <c r="RQ531" s="1259"/>
      <c r="RR531" s="1259"/>
      <c r="RS531" s="1259"/>
      <c r="RT531" s="1259"/>
      <c r="RU531" s="1259"/>
      <c r="RV531" s="1259"/>
      <c r="RW531" s="1259"/>
      <c r="RX531" s="1259"/>
      <c r="RY531" s="1259"/>
      <c r="RZ531" s="1259"/>
      <c r="SA531" s="1259"/>
      <c r="SB531" s="1259"/>
      <c r="SC531" s="1259"/>
      <c r="SD531" s="1259"/>
      <c r="SE531" s="1259"/>
      <c r="SF531" s="1259"/>
      <c r="SG531" s="1259"/>
      <c r="SH531" s="1259"/>
      <c r="SI531" s="1259"/>
      <c r="SJ531" s="1259"/>
      <c r="SK531" s="1259"/>
      <c r="SL531" s="1259"/>
      <c r="SM531" s="1259"/>
      <c r="SN531" s="1259"/>
      <c r="SO531" s="1259"/>
      <c r="SP531" s="1259"/>
      <c r="SQ531" s="1259"/>
      <c r="SR531" s="1259"/>
      <c r="SS531" s="1259"/>
      <c r="ST531" s="1259"/>
      <c r="SU531" s="1259"/>
      <c r="SV531" s="1259"/>
      <c r="SW531" s="1259"/>
      <c r="SX531" s="1259"/>
      <c r="SY531" s="1259"/>
      <c r="SZ531" s="1259"/>
      <c r="TA531" s="1259"/>
      <c r="TB531" s="1259"/>
      <c r="TC531" s="1259"/>
      <c r="TD531" s="1259"/>
      <c r="TE531" s="1259"/>
      <c r="TF531" s="1259"/>
      <c r="TG531" s="1259"/>
      <c r="TH531" s="1259"/>
      <c r="TI531" s="1259"/>
      <c r="TJ531" s="1259"/>
      <c r="TK531" s="1259"/>
      <c r="TL531" s="1259"/>
      <c r="TM531" s="1259"/>
      <c r="TN531" s="1259"/>
      <c r="TO531" s="1259"/>
      <c r="TP531" s="1259"/>
      <c r="TQ531" s="1259"/>
      <c r="TR531" s="1259"/>
      <c r="TS531" s="1259"/>
      <c r="TT531" s="1259"/>
      <c r="TU531" s="1259"/>
      <c r="TV531" s="1259"/>
      <c r="TW531" s="1259"/>
      <c r="TX531" s="1259"/>
      <c r="TY531" s="1259"/>
      <c r="TZ531" s="1259"/>
      <c r="UA531" s="1259"/>
      <c r="UB531" s="1259"/>
      <c r="UC531" s="1259"/>
      <c r="UD531" s="1259"/>
      <c r="UE531" s="1259"/>
      <c r="UF531" s="1259"/>
      <c r="UG531" s="1261"/>
    </row>
    <row r="532" spans="1:553" s="1262" customFormat="1" ht="30.75" customHeight="1">
      <c r="A532" s="1226" t="s">
        <v>15</v>
      </c>
      <c r="B532" s="1226"/>
      <c r="C532" s="1463" t="s">
        <v>388</v>
      </c>
      <c r="D532" s="1452"/>
      <c r="E532" s="1452"/>
      <c r="F532" s="1464"/>
      <c r="G532" s="303" t="s">
        <v>196</v>
      </c>
      <c r="H532" s="600"/>
      <c r="I532" s="423">
        <f>178.69*100/10000*20</f>
        <v>35.738</v>
      </c>
      <c r="J532" s="1243">
        <v>19200</v>
      </c>
      <c r="K532" s="509"/>
      <c r="L532" s="679">
        <f>ROUND(PRODUCT(I532:K532),0)</f>
        <v>686170</v>
      </c>
      <c r="M532" s="366"/>
      <c r="N532" s="366"/>
      <c r="O532" s="366"/>
      <c r="P532" s="366"/>
      <c r="Q532" s="1040"/>
      <c r="R532" s="1228"/>
      <c r="S532" s="308"/>
      <c r="T532" s="308"/>
      <c r="U532" s="308"/>
      <c r="V532" s="308"/>
      <c r="W532" s="308"/>
      <c r="X532" s="308"/>
      <c r="Y532" s="308"/>
      <c r="Z532" s="604"/>
      <c r="AA532" s="308"/>
      <c r="AB532" s="308"/>
      <c r="AC532" s="449"/>
      <c r="AD532" s="452"/>
      <c r="AE532" s="452"/>
      <c r="AF532" s="452"/>
      <c r="AG532" s="452"/>
      <c r="AH532" s="452"/>
      <c r="AI532" s="452"/>
      <c r="AJ532" s="452"/>
      <c r="AK532" s="452"/>
      <c r="AL532" s="1259"/>
      <c r="AM532" s="1259"/>
      <c r="AN532" s="1259"/>
      <c r="AO532" s="1259"/>
      <c r="AP532" s="1259"/>
      <c r="AQ532" s="1259"/>
      <c r="AR532" s="1259"/>
      <c r="AS532" s="1259"/>
      <c r="AT532" s="1259"/>
      <c r="AU532" s="1259"/>
      <c r="AV532" s="1259"/>
      <c r="AW532" s="1259"/>
      <c r="AX532" s="1259"/>
      <c r="AY532" s="1259"/>
      <c r="AZ532" s="1259"/>
      <c r="BA532" s="1259"/>
      <c r="BB532" s="1259"/>
      <c r="BC532" s="1259"/>
      <c r="BD532" s="1259"/>
      <c r="BE532" s="1259"/>
      <c r="BF532" s="1259"/>
      <c r="BG532" s="1259"/>
      <c r="BH532" s="1259"/>
      <c r="BI532" s="1259"/>
      <c r="BJ532" s="1259"/>
      <c r="BK532" s="1259"/>
      <c r="BL532" s="1259"/>
      <c r="BM532" s="1259"/>
      <c r="BN532" s="1259"/>
      <c r="BO532" s="1259"/>
      <c r="BP532" s="1259"/>
      <c r="BQ532" s="1259"/>
      <c r="BR532" s="1259"/>
      <c r="BS532" s="1259"/>
      <c r="BT532" s="1259"/>
      <c r="BU532" s="1259"/>
      <c r="BV532" s="1259"/>
      <c r="BW532" s="1259"/>
      <c r="BX532" s="1259"/>
      <c r="BY532" s="1259"/>
      <c r="BZ532" s="1259"/>
      <c r="CA532" s="1259"/>
      <c r="CB532" s="1259"/>
      <c r="CC532" s="1259"/>
      <c r="CD532" s="1259"/>
      <c r="CE532" s="1259"/>
      <c r="CF532" s="1259"/>
      <c r="CG532" s="1259"/>
      <c r="CH532" s="1259"/>
      <c r="CI532" s="1259"/>
      <c r="CJ532" s="1259"/>
      <c r="CK532" s="1259"/>
      <c r="CL532" s="1259"/>
      <c r="CM532" s="1259"/>
      <c r="CN532" s="1259"/>
      <c r="CO532" s="1259"/>
      <c r="CP532" s="1259"/>
      <c r="CQ532" s="1259"/>
      <c r="CR532" s="1259"/>
      <c r="CS532" s="1259"/>
      <c r="CT532" s="1259"/>
      <c r="CU532" s="1259"/>
      <c r="CV532" s="1259"/>
      <c r="CW532" s="1259"/>
      <c r="CX532" s="1259"/>
      <c r="CY532" s="1259"/>
      <c r="CZ532" s="1259"/>
      <c r="DA532" s="1259"/>
      <c r="DB532" s="1259"/>
      <c r="DC532" s="1259"/>
      <c r="DD532" s="1259"/>
      <c r="DE532" s="1259"/>
      <c r="DF532" s="1259"/>
      <c r="DG532" s="1259"/>
      <c r="DH532" s="1259"/>
      <c r="DI532" s="1259"/>
      <c r="DJ532" s="1259"/>
      <c r="DK532" s="1259"/>
      <c r="DL532" s="1259"/>
      <c r="DM532" s="1259"/>
      <c r="DN532" s="1259"/>
      <c r="DO532" s="1259"/>
      <c r="DP532" s="1259"/>
      <c r="DQ532" s="1259"/>
      <c r="DR532" s="1259"/>
      <c r="DS532" s="1259"/>
      <c r="DT532" s="1259"/>
      <c r="DU532" s="1259"/>
      <c r="DV532" s="1259"/>
      <c r="DW532" s="1259"/>
      <c r="DX532" s="1259"/>
      <c r="DY532" s="1259"/>
      <c r="DZ532" s="1259"/>
      <c r="EA532" s="1259"/>
      <c r="EB532" s="1259"/>
      <c r="EC532" s="1259"/>
      <c r="ED532" s="1259"/>
      <c r="EE532" s="1259"/>
      <c r="EF532" s="1259"/>
      <c r="EG532" s="1259"/>
      <c r="EH532" s="1259"/>
      <c r="EI532" s="1259"/>
      <c r="EJ532" s="1259"/>
      <c r="EK532" s="1259"/>
      <c r="EL532" s="1259"/>
      <c r="EM532" s="1259"/>
      <c r="EN532" s="1259"/>
      <c r="EO532" s="1259"/>
      <c r="EP532" s="1259"/>
      <c r="EQ532" s="1259"/>
      <c r="ER532" s="1259"/>
      <c r="ES532" s="1259"/>
      <c r="ET532" s="1259"/>
      <c r="EU532" s="1259"/>
      <c r="EV532" s="1259"/>
      <c r="EW532" s="1259"/>
      <c r="EX532" s="1259"/>
      <c r="EY532" s="1259"/>
      <c r="EZ532" s="1259"/>
      <c r="FA532" s="1259"/>
      <c r="FB532" s="1259"/>
      <c r="FC532" s="1259"/>
      <c r="FD532" s="1259"/>
      <c r="FE532" s="1259"/>
      <c r="FF532" s="1259"/>
      <c r="FG532" s="1259"/>
      <c r="FH532" s="1259"/>
      <c r="FI532" s="1259"/>
      <c r="FJ532" s="1259"/>
      <c r="FK532" s="1259"/>
      <c r="FL532" s="1259"/>
      <c r="FM532" s="1259"/>
      <c r="FN532" s="1259"/>
      <c r="FO532" s="1259"/>
      <c r="FP532" s="1259"/>
      <c r="FQ532" s="1259"/>
      <c r="FR532" s="1259"/>
      <c r="FS532" s="1259"/>
      <c r="FT532" s="1259"/>
      <c r="FU532" s="1259"/>
      <c r="FV532" s="1259"/>
      <c r="FW532" s="1259"/>
      <c r="FX532" s="1259"/>
      <c r="FY532" s="1259"/>
      <c r="FZ532" s="1259"/>
      <c r="GA532" s="1259"/>
      <c r="GB532" s="1259"/>
      <c r="GC532" s="1259"/>
      <c r="GD532" s="1259"/>
      <c r="GE532" s="1259"/>
      <c r="GF532" s="1259"/>
      <c r="GG532" s="1259"/>
      <c r="GH532" s="1259"/>
      <c r="GI532" s="1259"/>
      <c r="GJ532" s="1259"/>
      <c r="GK532" s="1259"/>
      <c r="GL532" s="1259"/>
      <c r="GM532" s="1259"/>
      <c r="GN532" s="1259"/>
      <c r="GO532" s="1259"/>
      <c r="GP532" s="1259"/>
      <c r="GQ532" s="1259"/>
      <c r="GR532" s="1259"/>
      <c r="GS532" s="1259"/>
      <c r="GT532" s="1259"/>
      <c r="GU532" s="1259"/>
      <c r="GV532" s="1259"/>
      <c r="GW532" s="1259"/>
      <c r="GX532" s="1259"/>
      <c r="GY532" s="1259"/>
      <c r="GZ532" s="1259"/>
      <c r="HA532" s="1259"/>
      <c r="HB532" s="1259"/>
      <c r="HC532" s="1259"/>
      <c r="HD532" s="1259"/>
      <c r="HE532" s="1259"/>
      <c r="HF532" s="1259"/>
      <c r="HG532" s="1259"/>
      <c r="HH532" s="1259"/>
      <c r="HI532" s="1259"/>
      <c r="HJ532" s="1259"/>
      <c r="HK532" s="1259"/>
      <c r="HL532" s="1259"/>
      <c r="HM532" s="1259"/>
      <c r="HN532" s="1259"/>
      <c r="HO532" s="1259"/>
      <c r="HP532" s="1259"/>
      <c r="HQ532" s="1259"/>
      <c r="HR532" s="1259"/>
      <c r="HS532" s="1259"/>
      <c r="HT532" s="1259"/>
      <c r="HU532" s="1259"/>
      <c r="HV532" s="1259"/>
      <c r="HW532" s="1259"/>
      <c r="HX532" s="1259"/>
      <c r="HY532" s="1259"/>
      <c r="HZ532" s="1259"/>
      <c r="IA532" s="1259"/>
      <c r="IB532" s="1259"/>
      <c r="IC532" s="1259"/>
      <c r="ID532" s="1259"/>
      <c r="IE532" s="1259"/>
      <c r="IF532" s="1259"/>
      <c r="IG532" s="1259"/>
      <c r="IH532" s="1259"/>
      <c r="II532" s="1259"/>
      <c r="IJ532" s="1259"/>
      <c r="IK532" s="1259"/>
      <c r="IL532" s="1259"/>
      <c r="IM532" s="1259"/>
      <c r="IN532" s="1259"/>
      <c r="IO532" s="1259"/>
      <c r="IP532" s="1259"/>
      <c r="IQ532" s="1259"/>
      <c r="IR532" s="1259"/>
      <c r="IS532" s="1259"/>
      <c r="IT532" s="1259"/>
      <c r="IU532" s="1259"/>
      <c r="IV532" s="1259"/>
      <c r="IW532" s="1259"/>
      <c r="IX532" s="1259"/>
      <c r="IY532" s="1259"/>
      <c r="IZ532" s="1259"/>
      <c r="JA532" s="1259"/>
      <c r="JB532" s="1259"/>
      <c r="JC532" s="1259"/>
      <c r="JD532" s="1259"/>
      <c r="JE532" s="1259"/>
      <c r="JF532" s="1259"/>
      <c r="JG532" s="1259"/>
      <c r="JH532" s="1259"/>
      <c r="JI532" s="1259"/>
      <c r="JJ532" s="1259"/>
      <c r="JK532" s="1259"/>
      <c r="JL532" s="1259"/>
      <c r="JM532" s="1259"/>
      <c r="JN532" s="1259"/>
      <c r="JO532" s="1259"/>
      <c r="JP532" s="1259"/>
      <c r="JQ532" s="1259"/>
      <c r="JR532" s="1259"/>
      <c r="JS532" s="1259"/>
      <c r="JT532" s="1259"/>
      <c r="JU532" s="1259"/>
      <c r="JV532" s="1259"/>
      <c r="JW532" s="1259"/>
      <c r="JX532" s="1259"/>
      <c r="JY532" s="1259"/>
      <c r="JZ532" s="1259"/>
      <c r="KA532" s="1259"/>
      <c r="KB532" s="1259"/>
      <c r="KC532" s="1259"/>
      <c r="KD532" s="1259"/>
      <c r="KE532" s="1259"/>
      <c r="KF532" s="1259"/>
      <c r="KG532" s="1259"/>
      <c r="KH532" s="1259"/>
      <c r="KI532" s="1259"/>
      <c r="KJ532" s="1259"/>
      <c r="KK532" s="1259"/>
      <c r="KL532" s="1259"/>
      <c r="KM532" s="1259"/>
      <c r="KN532" s="1259"/>
      <c r="KO532" s="1259"/>
      <c r="KP532" s="1259"/>
      <c r="KQ532" s="1259"/>
      <c r="KR532" s="1259"/>
      <c r="KS532" s="1259"/>
      <c r="KT532" s="1259"/>
      <c r="KU532" s="1259"/>
      <c r="KV532" s="1259"/>
      <c r="KW532" s="1259"/>
      <c r="KX532" s="1259"/>
      <c r="KY532" s="1259"/>
      <c r="KZ532" s="1259"/>
      <c r="LA532" s="1259"/>
      <c r="LB532" s="1259"/>
      <c r="LC532" s="1259"/>
      <c r="LD532" s="1259"/>
      <c r="LE532" s="1259"/>
      <c r="LF532" s="1259"/>
      <c r="LG532" s="1259"/>
      <c r="LH532" s="1259"/>
      <c r="LI532" s="1259"/>
      <c r="LJ532" s="1259"/>
      <c r="LK532" s="1259"/>
      <c r="LL532" s="1259"/>
      <c r="LM532" s="1259"/>
      <c r="LN532" s="1259"/>
      <c r="LO532" s="1259"/>
      <c r="LP532" s="1259"/>
      <c r="LQ532" s="1259"/>
      <c r="LR532" s="1259"/>
      <c r="LS532" s="1259"/>
      <c r="LT532" s="1259"/>
      <c r="LU532" s="1259"/>
      <c r="LV532" s="1259"/>
      <c r="LW532" s="1259"/>
      <c r="LX532" s="1259"/>
      <c r="LY532" s="1259"/>
      <c r="LZ532" s="1259"/>
      <c r="MA532" s="1259"/>
      <c r="MB532" s="1259"/>
      <c r="MC532" s="1259"/>
      <c r="MD532" s="1259"/>
      <c r="ME532" s="1259"/>
      <c r="MF532" s="1259"/>
      <c r="MG532" s="1259"/>
      <c r="MH532" s="1259"/>
      <c r="MI532" s="1259"/>
      <c r="MJ532" s="1259"/>
      <c r="MK532" s="1259"/>
      <c r="ML532" s="1259"/>
      <c r="MM532" s="1259"/>
      <c r="MN532" s="1259"/>
      <c r="MO532" s="1259"/>
      <c r="MP532" s="1259"/>
      <c r="MQ532" s="1259"/>
      <c r="MR532" s="1259"/>
      <c r="MS532" s="1259"/>
      <c r="MT532" s="1259"/>
      <c r="MU532" s="1259"/>
      <c r="MV532" s="1259"/>
      <c r="MW532" s="1259"/>
      <c r="MX532" s="1259"/>
      <c r="MY532" s="1259"/>
      <c r="MZ532" s="1259"/>
      <c r="NA532" s="1259"/>
      <c r="NB532" s="1259"/>
      <c r="NC532" s="1259"/>
      <c r="ND532" s="1259"/>
      <c r="NE532" s="1259"/>
      <c r="NF532" s="1259"/>
      <c r="NG532" s="1259"/>
      <c r="NH532" s="1259"/>
      <c r="NI532" s="1259"/>
      <c r="NJ532" s="1259"/>
      <c r="NK532" s="1259"/>
      <c r="NL532" s="1259"/>
      <c r="NM532" s="1259"/>
      <c r="NN532" s="1259"/>
      <c r="NO532" s="1259"/>
      <c r="NP532" s="1259"/>
      <c r="NQ532" s="1259"/>
      <c r="NR532" s="1259"/>
      <c r="NS532" s="1259"/>
      <c r="NT532" s="1259"/>
      <c r="NU532" s="1259"/>
      <c r="NV532" s="1259"/>
      <c r="NW532" s="1259"/>
      <c r="NX532" s="1259"/>
      <c r="NY532" s="1259"/>
      <c r="NZ532" s="1259"/>
      <c r="OA532" s="1259"/>
      <c r="OB532" s="1259"/>
      <c r="OC532" s="1259"/>
      <c r="OD532" s="1259"/>
      <c r="OE532" s="1259"/>
      <c r="OF532" s="1259"/>
      <c r="OG532" s="1259"/>
      <c r="OH532" s="1259"/>
      <c r="OI532" s="1259"/>
      <c r="OJ532" s="1259"/>
      <c r="OK532" s="1259"/>
      <c r="OL532" s="1259"/>
      <c r="OM532" s="1259"/>
      <c r="ON532" s="1259"/>
      <c r="OO532" s="1259"/>
      <c r="OP532" s="1259"/>
      <c r="OQ532" s="1259"/>
      <c r="OR532" s="1259"/>
      <c r="OS532" s="1259"/>
      <c r="OT532" s="1259"/>
      <c r="OU532" s="1259"/>
      <c r="OV532" s="1259"/>
      <c r="OW532" s="1259"/>
      <c r="OX532" s="1259"/>
      <c r="OY532" s="1259"/>
      <c r="OZ532" s="1259"/>
      <c r="PA532" s="1259"/>
      <c r="PB532" s="1259"/>
      <c r="PC532" s="1259"/>
      <c r="PD532" s="1259"/>
      <c r="PE532" s="1259"/>
      <c r="PF532" s="1259"/>
      <c r="PG532" s="1259"/>
      <c r="PH532" s="1259"/>
      <c r="PI532" s="1259"/>
      <c r="PJ532" s="1259"/>
      <c r="PK532" s="1259"/>
      <c r="PL532" s="1259"/>
      <c r="PM532" s="1259"/>
      <c r="PN532" s="1259"/>
      <c r="PO532" s="1259"/>
      <c r="PP532" s="1259"/>
      <c r="PQ532" s="1259"/>
      <c r="PR532" s="1259"/>
      <c r="PS532" s="1259"/>
      <c r="PT532" s="1259"/>
      <c r="PU532" s="1259"/>
      <c r="PV532" s="1259"/>
      <c r="PW532" s="1259"/>
      <c r="PX532" s="1259"/>
      <c r="PY532" s="1259"/>
      <c r="PZ532" s="1259"/>
      <c r="QA532" s="1259"/>
      <c r="QB532" s="1259"/>
      <c r="QC532" s="1259"/>
      <c r="QD532" s="1259"/>
      <c r="QE532" s="1259"/>
      <c r="QF532" s="1259"/>
      <c r="QG532" s="1259"/>
      <c r="QH532" s="1259"/>
      <c r="QI532" s="1259"/>
      <c r="QJ532" s="1259"/>
      <c r="QK532" s="1259"/>
      <c r="QL532" s="1259"/>
      <c r="QM532" s="1259"/>
      <c r="QN532" s="1259"/>
      <c r="QO532" s="1259"/>
      <c r="QP532" s="1259"/>
      <c r="QQ532" s="1259"/>
      <c r="QR532" s="1259"/>
      <c r="QS532" s="1259"/>
      <c r="QT532" s="1259"/>
      <c r="QU532" s="1259"/>
      <c r="QV532" s="1259"/>
      <c r="QW532" s="1259"/>
      <c r="QX532" s="1259"/>
      <c r="QY532" s="1259"/>
      <c r="QZ532" s="1259"/>
      <c r="RA532" s="1259"/>
      <c r="RB532" s="1259"/>
      <c r="RC532" s="1259"/>
      <c r="RD532" s="1259"/>
      <c r="RE532" s="1259"/>
      <c r="RF532" s="1259"/>
      <c r="RG532" s="1259"/>
      <c r="RH532" s="1259"/>
      <c r="RI532" s="1259"/>
      <c r="RJ532" s="1259"/>
      <c r="RK532" s="1259"/>
      <c r="RL532" s="1259"/>
      <c r="RM532" s="1259"/>
      <c r="RN532" s="1259"/>
      <c r="RO532" s="1259"/>
      <c r="RP532" s="1259"/>
      <c r="RQ532" s="1259"/>
      <c r="RR532" s="1259"/>
      <c r="RS532" s="1259"/>
      <c r="RT532" s="1259"/>
      <c r="RU532" s="1259"/>
      <c r="RV532" s="1259"/>
      <c r="RW532" s="1259"/>
      <c r="RX532" s="1259"/>
      <c r="RY532" s="1259"/>
      <c r="RZ532" s="1259"/>
      <c r="SA532" s="1259"/>
      <c r="SB532" s="1259"/>
      <c r="SC532" s="1259"/>
      <c r="SD532" s="1259"/>
      <c r="SE532" s="1259"/>
      <c r="SF532" s="1259"/>
      <c r="SG532" s="1259"/>
      <c r="SH532" s="1259"/>
      <c r="SI532" s="1259"/>
      <c r="SJ532" s="1259"/>
      <c r="SK532" s="1259"/>
      <c r="SL532" s="1259"/>
      <c r="SM532" s="1259"/>
      <c r="SN532" s="1259"/>
      <c r="SO532" s="1259"/>
      <c r="SP532" s="1259"/>
      <c r="SQ532" s="1259"/>
      <c r="SR532" s="1259"/>
      <c r="SS532" s="1259"/>
      <c r="ST532" s="1259"/>
      <c r="SU532" s="1259"/>
      <c r="SV532" s="1259"/>
      <c r="SW532" s="1259"/>
      <c r="SX532" s="1259"/>
      <c r="SY532" s="1259"/>
      <c r="SZ532" s="1259"/>
      <c r="TA532" s="1259"/>
      <c r="TB532" s="1259"/>
      <c r="TC532" s="1259"/>
      <c r="TD532" s="1259"/>
      <c r="TE532" s="1259"/>
      <c r="TF532" s="1259"/>
      <c r="TG532" s="1259"/>
      <c r="TH532" s="1259"/>
      <c r="TI532" s="1259"/>
      <c r="TJ532" s="1259"/>
      <c r="TK532" s="1259"/>
      <c r="TL532" s="1259"/>
      <c r="TM532" s="1259"/>
      <c r="TN532" s="1259"/>
      <c r="TO532" s="1259"/>
      <c r="TP532" s="1259"/>
      <c r="TQ532" s="1259"/>
      <c r="TR532" s="1259"/>
      <c r="TS532" s="1259"/>
      <c r="TT532" s="1259"/>
      <c r="TU532" s="1259"/>
      <c r="TV532" s="1259"/>
      <c r="TW532" s="1259"/>
      <c r="TX532" s="1259"/>
      <c r="TY532" s="1259"/>
      <c r="TZ532" s="1259"/>
      <c r="UA532" s="1259"/>
      <c r="UB532" s="1259"/>
      <c r="UC532" s="1259"/>
      <c r="UD532" s="1259"/>
      <c r="UE532" s="1259"/>
      <c r="UF532" s="1259"/>
      <c r="UG532" s="1261"/>
    </row>
    <row r="533" spans="1:553" s="109" customFormat="1" ht="51" customHeight="1">
      <c r="A533" s="356" t="s">
        <v>53</v>
      </c>
      <c r="B533" s="356"/>
      <c r="C533" s="1457" t="s">
        <v>389</v>
      </c>
      <c r="D533" s="1458"/>
      <c r="E533" s="1458"/>
      <c r="F533" s="1459"/>
      <c r="G533" s="356"/>
      <c r="H533" s="424"/>
      <c r="I533" s="424"/>
      <c r="J533" s="357"/>
      <c r="K533" s="358"/>
      <c r="L533" s="356">
        <f>L534+L535</f>
        <v>6500000</v>
      </c>
      <c r="M533" s="356"/>
      <c r="N533" s="356"/>
      <c r="O533" s="356"/>
      <c r="P533" s="356">
        <f>L533</f>
        <v>6500000</v>
      </c>
      <c r="Q533" s="610"/>
      <c r="R533" s="1447" t="s">
        <v>55</v>
      </c>
      <c r="S533" s="308"/>
      <c r="T533" s="308"/>
      <c r="U533" s="308"/>
      <c r="V533" s="308"/>
      <c r="W533" s="308"/>
      <c r="X533" s="308"/>
      <c r="Y533" s="308"/>
      <c r="Z533" s="604"/>
      <c r="AA533" s="308"/>
      <c r="AB533" s="308"/>
      <c r="AC533" s="456"/>
      <c r="AD533" s="456"/>
      <c r="AE533" s="456"/>
      <c r="AF533" s="456"/>
      <c r="AG533" s="456"/>
      <c r="AH533" s="456"/>
      <c r="AI533" s="456"/>
      <c r="AJ533" s="456"/>
      <c r="AK533" s="456"/>
      <c r="AL533" s="187"/>
      <c r="AM533" s="188"/>
      <c r="AN533" s="188"/>
      <c r="AO533" s="188"/>
      <c r="AP533" s="188"/>
      <c r="AQ533" s="188"/>
      <c r="AR533" s="188"/>
      <c r="AS533" s="188"/>
      <c r="AT533" s="189"/>
      <c r="AU533" s="189"/>
      <c r="AV533" s="189"/>
      <c r="AW533" s="189"/>
      <c r="AX533" s="189"/>
      <c r="AY533" s="189"/>
      <c r="AZ533" s="189"/>
      <c r="BA533" s="189"/>
      <c r="BB533" s="189"/>
      <c r="BC533" s="189"/>
      <c r="BD533" s="189"/>
      <c r="BE533" s="189"/>
      <c r="BF533" s="189"/>
      <c r="BG533" s="189"/>
      <c r="BH533" s="189"/>
      <c r="BI533" s="189"/>
      <c r="BJ533" s="189"/>
      <c r="BK533" s="189"/>
      <c r="BL533" s="189"/>
      <c r="BM533" s="189"/>
      <c r="BN533" s="189"/>
      <c r="BO533" s="189"/>
      <c r="BP533" s="190"/>
      <c r="BQ533" s="190"/>
      <c r="BR533" s="190"/>
      <c r="BS533" s="190"/>
      <c r="BT533" s="190"/>
      <c r="BU533" s="190"/>
      <c r="BV533" s="190"/>
      <c r="BW533" s="190"/>
      <c r="BX533" s="190"/>
      <c r="BY533" s="190"/>
      <c r="BZ533" s="190"/>
      <c r="CA533" s="190"/>
      <c r="CB533" s="190"/>
      <c r="CC533" s="190"/>
      <c r="CD533" s="190"/>
      <c r="CE533" s="190"/>
      <c r="CF533" s="190"/>
      <c r="CG533" s="190"/>
      <c r="CH533" s="190"/>
      <c r="CI533" s="190"/>
      <c r="CJ533" s="190"/>
      <c r="CK533" s="190"/>
      <c r="CL533" s="190"/>
      <c r="CM533" s="190"/>
      <c r="CN533" s="190"/>
      <c r="CO533" s="190"/>
      <c r="CP533" s="190"/>
      <c r="CQ533" s="190"/>
      <c r="CR533" s="190"/>
      <c r="CS533" s="190"/>
      <c r="CT533" s="190"/>
      <c r="CU533" s="190"/>
      <c r="CV533" s="190"/>
      <c r="CW533" s="190"/>
      <c r="CX533" s="190"/>
      <c r="CY533" s="190"/>
      <c r="CZ533" s="190"/>
      <c r="DA533" s="190"/>
      <c r="DB533" s="190"/>
      <c r="DC533" s="190"/>
      <c r="DD533" s="190"/>
      <c r="DE533" s="190"/>
      <c r="DF533" s="190"/>
      <c r="DG533" s="190"/>
      <c r="DH533" s="190"/>
      <c r="DI533" s="190"/>
      <c r="DJ533" s="190"/>
      <c r="DK533" s="190"/>
      <c r="DL533" s="190"/>
      <c r="DM533" s="190"/>
      <c r="DN533" s="190"/>
      <c r="DO533" s="190"/>
      <c r="DP533" s="190"/>
      <c r="DQ533" s="190"/>
      <c r="DR533" s="190"/>
      <c r="DS533" s="190"/>
      <c r="DT533" s="190"/>
      <c r="DU533" s="190"/>
      <c r="DV533" s="190"/>
      <c r="DW533" s="190"/>
      <c r="DX533" s="190"/>
      <c r="DY533" s="190"/>
      <c r="DZ533" s="190"/>
      <c r="EA533" s="190"/>
      <c r="EB533" s="190"/>
      <c r="EC533" s="190"/>
      <c r="ED533" s="190"/>
      <c r="EE533" s="190"/>
      <c r="EF533" s="190"/>
      <c r="EG533" s="190"/>
      <c r="EH533" s="190"/>
      <c r="EI533" s="190"/>
      <c r="EJ533" s="190"/>
      <c r="EK533" s="190"/>
      <c r="EL533" s="190"/>
      <c r="EM533" s="190"/>
      <c r="EN533" s="190"/>
      <c r="EO533" s="190"/>
      <c r="EP533" s="190"/>
      <c r="EQ533" s="190"/>
      <c r="ER533" s="190"/>
      <c r="ES533" s="190"/>
      <c r="ET533" s="190"/>
      <c r="EU533" s="190"/>
      <c r="EV533" s="190"/>
      <c r="EW533" s="190"/>
      <c r="EX533" s="190"/>
      <c r="EY533" s="190"/>
      <c r="EZ533" s="190"/>
      <c r="FA533" s="190"/>
      <c r="FB533" s="190"/>
      <c r="FC533" s="190"/>
      <c r="FD533" s="190"/>
      <c r="FE533" s="190"/>
      <c r="FF533" s="190"/>
      <c r="FG533" s="190"/>
      <c r="FH533" s="190"/>
      <c r="FI533" s="190"/>
      <c r="FJ533" s="190"/>
      <c r="FK533" s="190"/>
      <c r="FL533" s="190"/>
      <c r="FM533" s="190"/>
      <c r="FN533" s="190"/>
      <c r="FO533" s="190"/>
      <c r="FP533" s="190"/>
      <c r="FQ533" s="190"/>
      <c r="FR533" s="190"/>
      <c r="FS533" s="190"/>
      <c r="FT533" s="190"/>
      <c r="FU533" s="190"/>
      <c r="FV533" s="190"/>
      <c r="FW533" s="190"/>
      <c r="FX533" s="190"/>
      <c r="FY533" s="190"/>
      <c r="FZ533" s="190"/>
      <c r="GA533" s="190"/>
      <c r="GB533" s="190"/>
      <c r="GC533" s="190"/>
      <c r="GD533" s="190"/>
      <c r="GE533" s="190"/>
      <c r="GF533" s="190"/>
      <c r="GG533" s="190"/>
      <c r="GH533" s="190"/>
      <c r="GI533" s="190"/>
      <c r="GJ533" s="190"/>
      <c r="GK533" s="190"/>
      <c r="GL533" s="190"/>
      <c r="GM533" s="190"/>
      <c r="GN533" s="190"/>
      <c r="GO533" s="190"/>
      <c r="GP533" s="190"/>
      <c r="GQ533" s="190"/>
      <c r="GR533" s="190"/>
      <c r="GS533" s="190"/>
      <c r="GT533" s="190"/>
      <c r="GU533" s="190"/>
      <c r="GV533" s="190"/>
      <c r="GW533" s="190"/>
      <c r="GX533" s="190"/>
      <c r="GY533" s="190"/>
      <c r="GZ533" s="190"/>
      <c r="HA533" s="190"/>
      <c r="HB533" s="190"/>
      <c r="HC533" s="190"/>
      <c r="HD533" s="190"/>
      <c r="HE533" s="190"/>
      <c r="HF533" s="190"/>
      <c r="HG533" s="190"/>
      <c r="HH533" s="190"/>
      <c r="HI533" s="190"/>
      <c r="HJ533" s="190"/>
      <c r="HK533" s="190"/>
      <c r="HL533" s="190"/>
      <c r="HM533" s="190"/>
      <c r="HN533" s="190"/>
      <c r="HO533" s="190"/>
      <c r="HP533" s="190"/>
      <c r="HQ533" s="190"/>
      <c r="HR533" s="190"/>
      <c r="HS533" s="190"/>
      <c r="HT533" s="190"/>
      <c r="HU533" s="190"/>
      <c r="HV533" s="190"/>
      <c r="HW533" s="190"/>
      <c r="HX533" s="190"/>
      <c r="HY533" s="190"/>
      <c r="HZ533" s="190"/>
      <c r="IA533" s="190"/>
      <c r="IB533" s="190"/>
      <c r="IC533" s="190"/>
      <c r="ID533" s="190"/>
      <c r="IE533" s="190"/>
      <c r="IF533" s="190"/>
      <c r="IG533" s="190"/>
      <c r="IH533" s="190"/>
      <c r="II533" s="190"/>
      <c r="IJ533" s="190"/>
      <c r="IK533" s="190"/>
      <c r="IL533" s="190"/>
      <c r="IM533" s="190"/>
      <c r="IN533" s="190"/>
      <c r="IO533" s="190"/>
      <c r="IP533" s="190"/>
      <c r="IQ533" s="190"/>
      <c r="IR533" s="190"/>
      <c r="IS533" s="190"/>
      <c r="IT533" s="190"/>
      <c r="IU533" s="190"/>
      <c r="IV533" s="190"/>
      <c r="IW533" s="190"/>
      <c r="IX533" s="190"/>
      <c r="IY533" s="190"/>
      <c r="IZ533" s="190"/>
      <c r="JA533" s="190"/>
      <c r="JB533" s="190"/>
      <c r="JC533" s="190"/>
      <c r="JD533" s="190"/>
      <c r="JE533" s="190"/>
      <c r="JF533" s="190"/>
      <c r="JG533" s="190"/>
      <c r="JH533" s="190"/>
      <c r="JI533" s="190"/>
      <c r="JJ533" s="190"/>
      <c r="JK533" s="190"/>
      <c r="JL533" s="190"/>
      <c r="JM533" s="190"/>
      <c r="JN533" s="190"/>
      <c r="JO533" s="190"/>
      <c r="JP533" s="190"/>
      <c r="JQ533" s="190"/>
      <c r="JR533" s="190"/>
      <c r="JS533" s="190"/>
      <c r="JT533" s="190"/>
      <c r="JU533" s="190"/>
      <c r="JV533" s="190"/>
      <c r="JW533" s="190"/>
      <c r="JX533" s="190"/>
      <c r="JY533" s="190"/>
      <c r="JZ533" s="190"/>
      <c r="KA533" s="190"/>
      <c r="KB533" s="190"/>
      <c r="KC533" s="190"/>
      <c r="KD533" s="190"/>
      <c r="KE533" s="190"/>
      <c r="KF533" s="190"/>
      <c r="KG533" s="190"/>
      <c r="KH533" s="190"/>
      <c r="KI533" s="190"/>
      <c r="KJ533" s="190"/>
      <c r="KK533" s="190"/>
      <c r="KL533" s="190"/>
      <c r="KM533" s="190"/>
      <c r="KN533" s="190"/>
      <c r="KO533" s="190"/>
      <c r="KP533" s="190"/>
      <c r="KQ533" s="190"/>
      <c r="KR533" s="190"/>
      <c r="KS533" s="190"/>
      <c r="KT533" s="190"/>
      <c r="KU533" s="190"/>
      <c r="KV533" s="190"/>
      <c r="KW533" s="190"/>
      <c r="KX533" s="190"/>
      <c r="KY533" s="190"/>
      <c r="KZ533" s="190"/>
      <c r="LA533" s="190"/>
      <c r="LB533" s="190"/>
      <c r="LC533" s="190"/>
      <c r="LD533" s="190"/>
      <c r="LE533" s="190"/>
      <c r="LF533" s="190"/>
      <c r="LG533" s="190"/>
      <c r="LH533" s="190"/>
      <c r="LI533" s="190"/>
      <c r="LJ533" s="190"/>
      <c r="LK533" s="190"/>
      <c r="LL533" s="190"/>
      <c r="LM533" s="190"/>
      <c r="LN533" s="190"/>
      <c r="LO533" s="190"/>
      <c r="LP533" s="190"/>
      <c r="LQ533" s="190"/>
      <c r="LR533" s="190"/>
      <c r="LS533" s="190"/>
      <c r="LT533" s="190"/>
      <c r="LU533" s="190"/>
      <c r="LV533" s="190"/>
      <c r="LW533" s="190"/>
      <c r="LX533" s="190"/>
      <c r="LY533" s="190"/>
      <c r="LZ533" s="190"/>
      <c r="MA533" s="190"/>
      <c r="MB533" s="190"/>
      <c r="MC533" s="190"/>
      <c r="MD533" s="190"/>
      <c r="ME533" s="190"/>
      <c r="MF533" s="190"/>
      <c r="MG533" s="190"/>
      <c r="MH533" s="190"/>
      <c r="MI533" s="190"/>
      <c r="MJ533" s="190"/>
      <c r="MK533" s="190"/>
      <c r="ML533" s="190"/>
      <c r="MM533" s="190"/>
      <c r="MN533" s="190"/>
      <c r="MO533" s="190"/>
      <c r="MP533" s="190"/>
      <c r="MQ533" s="190"/>
      <c r="MR533" s="190"/>
      <c r="MS533" s="190"/>
      <c r="MT533" s="190"/>
      <c r="MU533" s="190"/>
      <c r="MV533" s="190"/>
      <c r="MW533" s="190"/>
      <c r="MX533" s="190"/>
      <c r="MY533" s="190"/>
      <c r="MZ533" s="190"/>
      <c r="NA533" s="190"/>
      <c r="NB533" s="190"/>
      <c r="NC533" s="190"/>
      <c r="ND533" s="190"/>
      <c r="NE533" s="190"/>
      <c r="NF533" s="190"/>
      <c r="NG533" s="190"/>
      <c r="NH533" s="190"/>
      <c r="NI533" s="190"/>
      <c r="NJ533" s="190"/>
      <c r="NK533" s="190"/>
      <c r="NL533" s="190"/>
      <c r="NM533" s="190"/>
      <c r="NN533" s="190"/>
      <c r="NO533" s="190"/>
      <c r="NP533" s="190"/>
      <c r="NQ533" s="190"/>
      <c r="NR533" s="190"/>
      <c r="NS533" s="190"/>
      <c r="NT533" s="190"/>
      <c r="NU533" s="190"/>
      <c r="NV533" s="190"/>
      <c r="NW533" s="190"/>
      <c r="NX533" s="190"/>
      <c r="NY533" s="190"/>
      <c r="NZ533" s="190"/>
      <c r="OA533" s="190"/>
      <c r="OB533" s="190"/>
      <c r="OC533" s="190"/>
      <c r="OD533" s="190"/>
      <c r="OE533" s="190"/>
      <c r="OF533" s="190"/>
      <c r="OG533" s="190"/>
      <c r="OH533" s="190"/>
      <c r="OI533" s="190"/>
      <c r="OJ533" s="190"/>
      <c r="OK533" s="190"/>
      <c r="OL533" s="190"/>
      <c r="OM533" s="190"/>
      <c r="ON533" s="190"/>
      <c r="OO533" s="190"/>
      <c r="OP533" s="190"/>
      <c r="OQ533" s="190"/>
      <c r="OR533" s="190"/>
      <c r="OS533" s="190"/>
      <c r="OT533" s="190"/>
      <c r="OU533" s="190"/>
      <c r="OV533" s="190"/>
      <c r="OW533" s="190"/>
      <c r="OX533" s="190"/>
      <c r="OY533" s="190"/>
      <c r="OZ533" s="190"/>
      <c r="PA533" s="190"/>
      <c r="PB533" s="190"/>
      <c r="PC533" s="190"/>
      <c r="PD533" s="190"/>
      <c r="PE533" s="190"/>
      <c r="PF533" s="190"/>
      <c r="PG533" s="190"/>
      <c r="PH533" s="190"/>
      <c r="PI533" s="190"/>
      <c r="PJ533" s="190"/>
      <c r="PK533" s="190"/>
      <c r="PL533" s="190"/>
      <c r="PM533" s="190"/>
      <c r="PN533" s="190"/>
      <c r="PO533" s="190"/>
      <c r="PP533" s="190"/>
      <c r="PQ533" s="190"/>
      <c r="PR533" s="190"/>
      <c r="PS533" s="190"/>
      <c r="PT533" s="190"/>
      <c r="PU533" s="190"/>
      <c r="PV533" s="190"/>
      <c r="PW533" s="190"/>
      <c r="PX533" s="190"/>
      <c r="PY533" s="190"/>
      <c r="PZ533" s="190"/>
      <c r="QA533" s="190"/>
      <c r="QB533" s="190"/>
      <c r="QC533" s="190"/>
      <c r="QD533" s="190"/>
      <c r="QE533" s="190"/>
      <c r="QF533" s="190"/>
      <c r="QG533" s="190"/>
      <c r="QH533" s="190"/>
      <c r="QI533" s="190"/>
      <c r="QJ533" s="190"/>
      <c r="QK533" s="190"/>
      <c r="QL533" s="190"/>
      <c r="QM533" s="190"/>
      <c r="QN533" s="190"/>
      <c r="QO533" s="190"/>
      <c r="QP533" s="190"/>
      <c r="QQ533" s="190"/>
      <c r="QR533" s="190"/>
      <c r="QS533" s="190"/>
      <c r="QT533" s="190"/>
      <c r="QU533" s="190"/>
      <c r="QV533" s="190"/>
      <c r="QW533" s="190"/>
      <c r="QX533" s="190"/>
      <c r="QY533" s="190"/>
      <c r="QZ533" s="190"/>
      <c r="RA533" s="190"/>
      <c r="RB533" s="190"/>
      <c r="RC533" s="190"/>
      <c r="RD533" s="190"/>
      <c r="RE533" s="190"/>
      <c r="RF533" s="190"/>
      <c r="RG533" s="190"/>
      <c r="RH533" s="190"/>
      <c r="RI533" s="190"/>
      <c r="RJ533" s="190"/>
      <c r="RK533" s="190"/>
      <c r="RL533" s="190"/>
      <c r="RM533" s="190"/>
      <c r="RN533" s="190"/>
      <c r="RO533" s="190"/>
      <c r="RP533" s="190"/>
      <c r="RQ533" s="190"/>
      <c r="RR533" s="190"/>
      <c r="RS533" s="190"/>
      <c r="RT533" s="190"/>
      <c r="RU533" s="190"/>
      <c r="RV533" s="190"/>
      <c r="RW533" s="190"/>
      <c r="RX533" s="190"/>
      <c r="RY533" s="190"/>
      <c r="RZ533" s="190"/>
      <c r="SA533" s="190"/>
      <c r="SB533" s="190"/>
      <c r="SC533" s="190"/>
      <c r="SD533" s="190"/>
      <c r="SE533" s="190"/>
      <c r="SF533" s="190"/>
      <c r="SG533" s="190"/>
      <c r="SH533" s="190"/>
      <c r="SI533" s="190"/>
      <c r="SJ533" s="190"/>
      <c r="SK533" s="190"/>
      <c r="SL533" s="190"/>
      <c r="SM533" s="190"/>
      <c r="SN533" s="190"/>
      <c r="SO533" s="190"/>
      <c r="SP533" s="190"/>
      <c r="SQ533" s="190"/>
      <c r="SR533" s="190"/>
      <c r="SS533" s="190"/>
      <c r="ST533" s="190"/>
      <c r="SU533" s="190"/>
      <c r="SV533" s="190"/>
      <c r="SW533" s="190"/>
      <c r="SX533" s="190"/>
      <c r="SY533" s="190"/>
      <c r="SZ533" s="190"/>
      <c r="TA533" s="190"/>
      <c r="TB533" s="190"/>
      <c r="TC533" s="190"/>
      <c r="TD533" s="190"/>
      <c r="TE533" s="190"/>
      <c r="TF533" s="190"/>
      <c r="TG533" s="190"/>
      <c r="TH533" s="190"/>
      <c r="TI533" s="190"/>
      <c r="TJ533" s="190"/>
      <c r="TK533" s="190"/>
      <c r="TL533" s="190"/>
      <c r="TM533" s="190"/>
      <c r="TN533" s="190"/>
      <c r="TO533" s="190"/>
      <c r="TP533" s="190"/>
      <c r="TQ533" s="190"/>
      <c r="TR533" s="190"/>
      <c r="TS533" s="190"/>
      <c r="TT533" s="190"/>
      <c r="TU533" s="190"/>
      <c r="TV533" s="190"/>
      <c r="TW533" s="190"/>
      <c r="TX533" s="190"/>
      <c r="TY533" s="190"/>
      <c r="TZ533" s="190"/>
      <c r="UA533" s="190"/>
      <c r="UB533" s="190"/>
      <c r="UC533" s="190"/>
      <c r="UD533" s="190"/>
      <c r="UE533" s="190"/>
      <c r="UF533" s="190"/>
      <c r="UG533" s="191"/>
    </row>
    <row r="534" spans="1:553" s="109" customFormat="1" ht="30.75" customHeight="1">
      <c r="A534" s="356"/>
      <c r="B534" s="356"/>
      <c r="C534" s="1401" t="s">
        <v>56</v>
      </c>
      <c r="D534" s="1455"/>
      <c r="E534" s="1455"/>
      <c r="F534" s="1456"/>
      <c r="G534" s="366" t="s">
        <v>57</v>
      </c>
      <c r="H534" s="417"/>
      <c r="I534" s="417">
        <v>1</v>
      </c>
      <c r="J534" s="368">
        <v>5000000</v>
      </c>
      <c r="K534" s="369"/>
      <c r="L534" s="366">
        <f t="shared" ref="L534:L535" si="96">I534*J534</f>
        <v>5000000</v>
      </c>
      <c r="M534" s="356"/>
      <c r="N534" s="356"/>
      <c r="O534" s="356"/>
      <c r="P534" s="356"/>
      <c r="Q534" s="610"/>
      <c r="R534" s="1452"/>
      <c r="S534" s="308"/>
      <c r="T534" s="308"/>
      <c r="U534" s="308"/>
      <c r="V534" s="308"/>
      <c r="W534" s="308"/>
      <c r="X534" s="308"/>
      <c r="Y534" s="308"/>
      <c r="Z534" s="604"/>
      <c r="AA534" s="308"/>
      <c r="AB534" s="308"/>
      <c r="AC534" s="456"/>
      <c r="AD534" s="456"/>
      <c r="AE534" s="456"/>
      <c r="AF534" s="456"/>
      <c r="AG534" s="456"/>
      <c r="AH534" s="456"/>
      <c r="AI534" s="456"/>
      <c r="AJ534" s="456"/>
      <c r="AK534" s="456"/>
      <c r="AL534" s="187"/>
      <c r="AM534" s="188"/>
      <c r="AN534" s="188"/>
      <c r="AO534" s="188"/>
      <c r="AP534" s="188"/>
      <c r="AQ534" s="188"/>
      <c r="AR534" s="188"/>
      <c r="AS534" s="188"/>
      <c r="AT534" s="189"/>
      <c r="AU534" s="189"/>
      <c r="AV534" s="189"/>
      <c r="AW534" s="189"/>
      <c r="AX534" s="189"/>
      <c r="AY534" s="189"/>
      <c r="AZ534" s="189"/>
      <c r="BA534" s="189"/>
      <c r="BB534" s="189"/>
      <c r="BC534" s="189"/>
      <c r="BD534" s="189"/>
      <c r="BE534" s="189"/>
      <c r="BF534" s="189"/>
      <c r="BG534" s="189"/>
      <c r="BH534" s="189"/>
      <c r="BI534" s="189"/>
      <c r="BJ534" s="189"/>
      <c r="BK534" s="189"/>
      <c r="BL534" s="189"/>
      <c r="BM534" s="189"/>
      <c r="BN534" s="189"/>
      <c r="BO534" s="189"/>
      <c r="BP534" s="190"/>
      <c r="BQ534" s="190"/>
      <c r="BR534" s="190"/>
      <c r="BS534" s="190"/>
      <c r="BT534" s="190"/>
      <c r="BU534" s="190"/>
      <c r="BV534" s="190"/>
      <c r="BW534" s="190"/>
      <c r="BX534" s="190"/>
      <c r="BY534" s="190"/>
      <c r="BZ534" s="190"/>
      <c r="CA534" s="190"/>
      <c r="CB534" s="190"/>
      <c r="CC534" s="190"/>
      <c r="CD534" s="190"/>
      <c r="CE534" s="190"/>
      <c r="CF534" s="190"/>
      <c r="CG534" s="190"/>
      <c r="CH534" s="190"/>
      <c r="CI534" s="190"/>
      <c r="CJ534" s="190"/>
      <c r="CK534" s="190"/>
      <c r="CL534" s="190"/>
      <c r="CM534" s="190"/>
      <c r="CN534" s="190"/>
      <c r="CO534" s="190"/>
      <c r="CP534" s="190"/>
      <c r="CQ534" s="190"/>
      <c r="CR534" s="190"/>
      <c r="CS534" s="190"/>
      <c r="CT534" s="190"/>
      <c r="CU534" s="190"/>
      <c r="CV534" s="190"/>
      <c r="CW534" s="190"/>
      <c r="CX534" s="190"/>
      <c r="CY534" s="190"/>
      <c r="CZ534" s="190"/>
      <c r="DA534" s="190"/>
      <c r="DB534" s="190"/>
      <c r="DC534" s="190"/>
      <c r="DD534" s="190"/>
      <c r="DE534" s="190"/>
      <c r="DF534" s="190"/>
      <c r="DG534" s="190"/>
      <c r="DH534" s="190"/>
      <c r="DI534" s="190"/>
      <c r="DJ534" s="190"/>
      <c r="DK534" s="190"/>
      <c r="DL534" s="190"/>
      <c r="DM534" s="190"/>
      <c r="DN534" s="190"/>
      <c r="DO534" s="190"/>
      <c r="DP534" s="190"/>
      <c r="DQ534" s="190"/>
      <c r="DR534" s="190"/>
      <c r="DS534" s="190"/>
      <c r="DT534" s="190"/>
      <c r="DU534" s="190"/>
      <c r="DV534" s="190"/>
      <c r="DW534" s="190"/>
      <c r="DX534" s="190"/>
      <c r="DY534" s="190"/>
      <c r="DZ534" s="190"/>
      <c r="EA534" s="190"/>
      <c r="EB534" s="190"/>
      <c r="EC534" s="190"/>
      <c r="ED534" s="190"/>
      <c r="EE534" s="190"/>
      <c r="EF534" s="190"/>
      <c r="EG534" s="190"/>
      <c r="EH534" s="190"/>
      <c r="EI534" s="190"/>
      <c r="EJ534" s="190"/>
      <c r="EK534" s="190"/>
      <c r="EL534" s="190"/>
      <c r="EM534" s="190"/>
      <c r="EN534" s="190"/>
      <c r="EO534" s="190"/>
      <c r="EP534" s="190"/>
      <c r="EQ534" s="190"/>
      <c r="ER534" s="190"/>
      <c r="ES534" s="190"/>
      <c r="ET534" s="190"/>
      <c r="EU534" s="190"/>
      <c r="EV534" s="190"/>
      <c r="EW534" s="190"/>
      <c r="EX534" s="190"/>
      <c r="EY534" s="190"/>
      <c r="EZ534" s="190"/>
      <c r="FA534" s="190"/>
      <c r="FB534" s="190"/>
      <c r="FC534" s="190"/>
      <c r="FD534" s="190"/>
      <c r="FE534" s="190"/>
      <c r="FF534" s="190"/>
      <c r="FG534" s="190"/>
      <c r="FH534" s="190"/>
      <c r="FI534" s="190"/>
      <c r="FJ534" s="190"/>
      <c r="FK534" s="190"/>
      <c r="FL534" s="190"/>
      <c r="FM534" s="190"/>
      <c r="FN534" s="190"/>
      <c r="FO534" s="190"/>
      <c r="FP534" s="190"/>
      <c r="FQ534" s="190"/>
      <c r="FR534" s="190"/>
      <c r="FS534" s="190"/>
      <c r="FT534" s="190"/>
      <c r="FU534" s="190"/>
      <c r="FV534" s="190"/>
      <c r="FW534" s="190"/>
      <c r="FX534" s="190"/>
      <c r="FY534" s="190"/>
      <c r="FZ534" s="190"/>
      <c r="GA534" s="190"/>
      <c r="GB534" s="190"/>
      <c r="GC534" s="190"/>
      <c r="GD534" s="190"/>
      <c r="GE534" s="190"/>
      <c r="GF534" s="190"/>
      <c r="GG534" s="190"/>
      <c r="GH534" s="190"/>
      <c r="GI534" s="190"/>
      <c r="GJ534" s="190"/>
      <c r="GK534" s="190"/>
      <c r="GL534" s="190"/>
      <c r="GM534" s="190"/>
      <c r="GN534" s="190"/>
      <c r="GO534" s="190"/>
      <c r="GP534" s="190"/>
      <c r="GQ534" s="190"/>
      <c r="GR534" s="190"/>
      <c r="GS534" s="190"/>
      <c r="GT534" s="190"/>
      <c r="GU534" s="190"/>
      <c r="GV534" s="190"/>
      <c r="GW534" s="190"/>
      <c r="GX534" s="190"/>
      <c r="GY534" s="190"/>
      <c r="GZ534" s="190"/>
      <c r="HA534" s="190"/>
      <c r="HB534" s="190"/>
      <c r="HC534" s="190"/>
      <c r="HD534" s="190"/>
      <c r="HE534" s="190"/>
      <c r="HF534" s="190"/>
      <c r="HG534" s="190"/>
      <c r="HH534" s="190"/>
      <c r="HI534" s="190"/>
      <c r="HJ534" s="190"/>
      <c r="HK534" s="190"/>
      <c r="HL534" s="190"/>
      <c r="HM534" s="190"/>
      <c r="HN534" s="190"/>
      <c r="HO534" s="190"/>
      <c r="HP534" s="190"/>
      <c r="HQ534" s="190"/>
      <c r="HR534" s="190"/>
      <c r="HS534" s="190"/>
      <c r="HT534" s="190"/>
      <c r="HU534" s="190"/>
      <c r="HV534" s="190"/>
      <c r="HW534" s="190"/>
      <c r="HX534" s="190"/>
      <c r="HY534" s="190"/>
      <c r="HZ534" s="190"/>
      <c r="IA534" s="190"/>
      <c r="IB534" s="190"/>
      <c r="IC534" s="190"/>
      <c r="ID534" s="190"/>
      <c r="IE534" s="190"/>
      <c r="IF534" s="190"/>
      <c r="IG534" s="190"/>
      <c r="IH534" s="190"/>
      <c r="II534" s="190"/>
      <c r="IJ534" s="190"/>
      <c r="IK534" s="190"/>
      <c r="IL534" s="190"/>
      <c r="IM534" s="190"/>
      <c r="IN534" s="190"/>
      <c r="IO534" s="190"/>
      <c r="IP534" s="190"/>
      <c r="IQ534" s="190"/>
      <c r="IR534" s="190"/>
      <c r="IS534" s="190"/>
      <c r="IT534" s="190"/>
      <c r="IU534" s="190"/>
      <c r="IV534" s="190"/>
      <c r="IW534" s="190"/>
      <c r="IX534" s="190"/>
      <c r="IY534" s="190"/>
      <c r="IZ534" s="190"/>
      <c r="JA534" s="190"/>
      <c r="JB534" s="190"/>
      <c r="JC534" s="190"/>
      <c r="JD534" s="190"/>
      <c r="JE534" s="190"/>
      <c r="JF534" s="190"/>
      <c r="JG534" s="190"/>
      <c r="JH534" s="190"/>
      <c r="JI534" s="190"/>
      <c r="JJ534" s="190"/>
      <c r="JK534" s="190"/>
      <c r="JL534" s="190"/>
      <c r="JM534" s="190"/>
      <c r="JN534" s="190"/>
      <c r="JO534" s="190"/>
      <c r="JP534" s="190"/>
      <c r="JQ534" s="190"/>
      <c r="JR534" s="190"/>
      <c r="JS534" s="190"/>
      <c r="JT534" s="190"/>
      <c r="JU534" s="190"/>
      <c r="JV534" s="190"/>
      <c r="JW534" s="190"/>
      <c r="JX534" s="190"/>
      <c r="JY534" s="190"/>
      <c r="JZ534" s="190"/>
      <c r="KA534" s="190"/>
      <c r="KB534" s="190"/>
      <c r="KC534" s="190"/>
      <c r="KD534" s="190"/>
      <c r="KE534" s="190"/>
      <c r="KF534" s="190"/>
      <c r="KG534" s="190"/>
      <c r="KH534" s="190"/>
      <c r="KI534" s="190"/>
      <c r="KJ534" s="190"/>
      <c r="KK534" s="190"/>
      <c r="KL534" s="190"/>
      <c r="KM534" s="190"/>
      <c r="KN534" s="190"/>
      <c r="KO534" s="190"/>
      <c r="KP534" s="190"/>
      <c r="KQ534" s="190"/>
      <c r="KR534" s="190"/>
      <c r="KS534" s="190"/>
      <c r="KT534" s="190"/>
      <c r="KU534" s="190"/>
      <c r="KV534" s="190"/>
      <c r="KW534" s="190"/>
      <c r="KX534" s="190"/>
      <c r="KY534" s="190"/>
      <c r="KZ534" s="190"/>
      <c r="LA534" s="190"/>
      <c r="LB534" s="190"/>
      <c r="LC534" s="190"/>
      <c r="LD534" s="190"/>
      <c r="LE534" s="190"/>
      <c r="LF534" s="190"/>
      <c r="LG534" s="190"/>
      <c r="LH534" s="190"/>
      <c r="LI534" s="190"/>
      <c r="LJ534" s="190"/>
      <c r="LK534" s="190"/>
      <c r="LL534" s="190"/>
      <c r="LM534" s="190"/>
      <c r="LN534" s="190"/>
      <c r="LO534" s="190"/>
      <c r="LP534" s="190"/>
      <c r="LQ534" s="190"/>
      <c r="LR534" s="190"/>
      <c r="LS534" s="190"/>
      <c r="LT534" s="190"/>
      <c r="LU534" s="190"/>
      <c r="LV534" s="190"/>
      <c r="LW534" s="190"/>
      <c r="LX534" s="190"/>
      <c r="LY534" s="190"/>
      <c r="LZ534" s="190"/>
      <c r="MA534" s="190"/>
      <c r="MB534" s="190"/>
      <c r="MC534" s="190"/>
      <c r="MD534" s="190"/>
      <c r="ME534" s="190"/>
      <c r="MF534" s="190"/>
      <c r="MG534" s="190"/>
      <c r="MH534" s="190"/>
      <c r="MI534" s="190"/>
      <c r="MJ534" s="190"/>
      <c r="MK534" s="190"/>
      <c r="ML534" s="190"/>
      <c r="MM534" s="190"/>
      <c r="MN534" s="190"/>
      <c r="MO534" s="190"/>
      <c r="MP534" s="190"/>
      <c r="MQ534" s="190"/>
      <c r="MR534" s="190"/>
      <c r="MS534" s="190"/>
      <c r="MT534" s="190"/>
      <c r="MU534" s="190"/>
      <c r="MV534" s="190"/>
      <c r="MW534" s="190"/>
      <c r="MX534" s="190"/>
      <c r="MY534" s="190"/>
      <c r="MZ534" s="190"/>
      <c r="NA534" s="190"/>
      <c r="NB534" s="190"/>
      <c r="NC534" s="190"/>
      <c r="ND534" s="190"/>
      <c r="NE534" s="190"/>
      <c r="NF534" s="190"/>
      <c r="NG534" s="190"/>
      <c r="NH534" s="190"/>
      <c r="NI534" s="190"/>
      <c r="NJ534" s="190"/>
      <c r="NK534" s="190"/>
      <c r="NL534" s="190"/>
      <c r="NM534" s="190"/>
      <c r="NN534" s="190"/>
      <c r="NO534" s="190"/>
      <c r="NP534" s="190"/>
      <c r="NQ534" s="190"/>
      <c r="NR534" s="190"/>
      <c r="NS534" s="190"/>
      <c r="NT534" s="190"/>
      <c r="NU534" s="190"/>
      <c r="NV534" s="190"/>
      <c r="NW534" s="190"/>
      <c r="NX534" s="190"/>
      <c r="NY534" s="190"/>
      <c r="NZ534" s="190"/>
      <c r="OA534" s="190"/>
      <c r="OB534" s="190"/>
      <c r="OC534" s="190"/>
      <c r="OD534" s="190"/>
      <c r="OE534" s="190"/>
      <c r="OF534" s="190"/>
      <c r="OG534" s="190"/>
      <c r="OH534" s="190"/>
      <c r="OI534" s="190"/>
      <c r="OJ534" s="190"/>
      <c r="OK534" s="190"/>
      <c r="OL534" s="190"/>
      <c r="OM534" s="190"/>
      <c r="ON534" s="190"/>
      <c r="OO534" s="190"/>
      <c r="OP534" s="190"/>
      <c r="OQ534" s="190"/>
      <c r="OR534" s="190"/>
      <c r="OS534" s="190"/>
      <c r="OT534" s="190"/>
      <c r="OU534" s="190"/>
      <c r="OV534" s="190"/>
      <c r="OW534" s="190"/>
      <c r="OX534" s="190"/>
      <c r="OY534" s="190"/>
      <c r="OZ534" s="190"/>
      <c r="PA534" s="190"/>
      <c r="PB534" s="190"/>
      <c r="PC534" s="190"/>
      <c r="PD534" s="190"/>
      <c r="PE534" s="190"/>
      <c r="PF534" s="190"/>
      <c r="PG534" s="190"/>
      <c r="PH534" s="190"/>
      <c r="PI534" s="190"/>
      <c r="PJ534" s="190"/>
      <c r="PK534" s="190"/>
      <c r="PL534" s="190"/>
      <c r="PM534" s="190"/>
      <c r="PN534" s="190"/>
      <c r="PO534" s="190"/>
      <c r="PP534" s="190"/>
      <c r="PQ534" s="190"/>
      <c r="PR534" s="190"/>
      <c r="PS534" s="190"/>
      <c r="PT534" s="190"/>
      <c r="PU534" s="190"/>
      <c r="PV534" s="190"/>
      <c r="PW534" s="190"/>
      <c r="PX534" s="190"/>
      <c r="PY534" s="190"/>
      <c r="PZ534" s="190"/>
      <c r="QA534" s="190"/>
      <c r="QB534" s="190"/>
      <c r="QC534" s="190"/>
      <c r="QD534" s="190"/>
      <c r="QE534" s="190"/>
      <c r="QF534" s="190"/>
      <c r="QG534" s="190"/>
      <c r="QH534" s="190"/>
      <c r="QI534" s="190"/>
      <c r="QJ534" s="190"/>
      <c r="QK534" s="190"/>
      <c r="QL534" s="190"/>
      <c r="QM534" s="190"/>
      <c r="QN534" s="190"/>
      <c r="QO534" s="190"/>
      <c r="QP534" s="190"/>
      <c r="QQ534" s="190"/>
      <c r="QR534" s="190"/>
      <c r="QS534" s="190"/>
      <c r="QT534" s="190"/>
      <c r="QU534" s="190"/>
      <c r="QV534" s="190"/>
      <c r="QW534" s="190"/>
      <c r="QX534" s="190"/>
      <c r="QY534" s="190"/>
      <c r="QZ534" s="190"/>
      <c r="RA534" s="190"/>
      <c r="RB534" s="190"/>
      <c r="RC534" s="190"/>
      <c r="RD534" s="190"/>
      <c r="RE534" s="190"/>
      <c r="RF534" s="190"/>
      <c r="RG534" s="190"/>
      <c r="RH534" s="190"/>
      <c r="RI534" s="190"/>
      <c r="RJ534" s="190"/>
      <c r="RK534" s="190"/>
      <c r="RL534" s="190"/>
      <c r="RM534" s="190"/>
      <c r="RN534" s="190"/>
      <c r="RO534" s="190"/>
      <c r="RP534" s="190"/>
      <c r="RQ534" s="190"/>
      <c r="RR534" s="190"/>
      <c r="RS534" s="190"/>
      <c r="RT534" s="190"/>
      <c r="RU534" s="190"/>
      <c r="RV534" s="190"/>
      <c r="RW534" s="190"/>
      <c r="RX534" s="190"/>
      <c r="RY534" s="190"/>
      <c r="RZ534" s="190"/>
      <c r="SA534" s="190"/>
      <c r="SB534" s="190"/>
      <c r="SC534" s="190"/>
      <c r="SD534" s="190"/>
      <c r="SE534" s="190"/>
      <c r="SF534" s="190"/>
      <c r="SG534" s="190"/>
      <c r="SH534" s="190"/>
      <c r="SI534" s="190"/>
      <c r="SJ534" s="190"/>
      <c r="SK534" s="190"/>
      <c r="SL534" s="190"/>
      <c r="SM534" s="190"/>
      <c r="SN534" s="190"/>
      <c r="SO534" s="190"/>
      <c r="SP534" s="190"/>
      <c r="SQ534" s="190"/>
      <c r="SR534" s="190"/>
      <c r="SS534" s="190"/>
      <c r="ST534" s="190"/>
      <c r="SU534" s="190"/>
      <c r="SV534" s="190"/>
      <c r="SW534" s="190"/>
      <c r="SX534" s="190"/>
      <c r="SY534" s="190"/>
      <c r="SZ534" s="190"/>
      <c r="TA534" s="190"/>
      <c r="TB534" s="190"/>
      <c r="TC534" s="190"/>
      <c r="TD534" s="190"/>
      <c r="TE534" s="190"/>
      <c r="TF534" s="190"/>
      <c r="TG534" s="190"/>
      <c r="TH534" s="190"/>
      <c r="TI534" s="190"/>
      <c r="TJ534" s="190"/>
      <c r="TK534" s="190"/>
      <c r="TL534" s="190"/>
      <c r="TM534" s="190"/>
      <c r="TN534" s="190"/>
      <c r="TO534" s="190"/>
      <c r="TP534" s="190"/>
      <c r="TQ534" s="190"/>
      <c r="TR534" s="190"/>
      <c r="TS534" s="190"/>
      <c r="TT534" s="190"/>
      <c r="TU534" s="190"/>
      <c r="TV534" s="190"/>
      <c r="TW534" s="190"/>
      <c r="TX534" s="190"/>
      <c r="TY534" s="190"/>
      <c r="TZ534" s="190"/>
      <c r="UA534" s="190"/>
      <c r="UB534" s="190"/>
      <c r="UC534" s="190"/>
      <c r="UD534" s="190"/>
      <c r="UE534" s="190"/>
      <c r="UF534" s="190"/>
      <c r="UG534" s="191"/>
    </row>
    <row r="535" spans="1:553" s="109" customFormat="1" ht="30.75" customHeight="1">
      <c r="A535" s="356"/>
      <c r="B535" s="356"/>
      <c r="C535" s="1401" t="s">
        <v>204</v>
      </c>
      <c r="D535" s="1455"/>
      <c r="E535" s="1455"/>
      <c r="F535" s="1456"/>
      <c r="G535" s="366" t="s">
        <v>205</v>
      </c>
      <c r="H535" s="417"/>
      <c r="I535" s="417">
        <v>3</v>
      </c>
      <c r="J535" s="368">
        <v>500000</v>
      </c>
      <c r="K535" s="369"/>
      <c r="L535" s="366">
        <f t="shared" si="96"/>
        <v>1500000</v>
      </c>
      <c r="M535" s="356"/>
      <c r="N535" s="356"/>
      <c r="O535" s="356"/>
      <c r="P535" s="356"/>
      <c r="Q535" s="610"/>
      <c r="R535" s="1452"/>
      <c r="S535" s="308"/>
      <c r="T535" s="308"/>
      <c r="U535" s="308"/>
      <c r="V535" s="308"/>
      <c r="W535" s="308"/>
      <c r="X535" s="308"/>
      <c r="Y535" s="308"/>
      <c r="Z535" s="604"/>
      <c r="AA535" s="308"/>
      <c r="AB535" s="308"/>
      <c r="AC535" s="456"/>
      <c r="AD535" s="456"/>
      <c r="AE535" s="456"/>
      <c r="AF535" s="456"/>
      <c r="AG535" s="456"/>
      <c r="AH535" s="456"/>
      <c r="AI535" s="456"/>
      <c r="AJ535" s="456"/>
      <c r="AK535" s="456"/>
      <c r="AL535" s="187"/>
      <c r="AM535" s="188"/>
      <c r="AN535" s="188"/>
      <c r="AO535" s="188"/>
      <c r="AP535" s="188"/>
      <c r="AQ535" s="188"/>
      <c r="AR535" s="188"/>
      <c r="AS535" s="188"/>
      <c r="AT535" s="189"/>
      <c r="AU535" s="189"/>
      <c r="AV535" s="189"/>
      <c r="AW535" s="189"/>
      <c r="AX535" s="189"/>
      <c r="AY535" s="189"/>
      <c r="AZ535" s="189"/>
      <c r="BA535" s="189"/>
      <c r="BB535" s="189"/>
      <c r="BC535" s="189"/>
      <c r="BD535" s="189"/>
      <c r="BE535" s="189"/>
      <c r="BF535" s="189"/>
      <c r="BG535" s="189"/>
      <c r="BH535" s="189"/>
      <c r="BI535" s="189"/>
      <c r="BJ535" s="189"/>
      <c r="BK535" s="189"/>
      <c r="BL535" s="189"/>
      <c r="BM535" s="189"/>
      <c r="BN535" s="189"/>
      <c r="BO535" s="189"/>
      <c r="BP535" s="190"/>
      <c r="BQ535" s="190"/>
      <c r="BR535" s="190"/>
      <c r="BS535" s="190"/>
      <c r="BT535" s="190"/>
      <c r="BU535" s="190"/>
      <c r="BV535" s="190"/>
      <c r="BW535" s="190"/>
      <c r="BX535" s="190"/>
      <c r="BY535" s="190"/>
      <c r="BZ535" s="190"/>
      <c r="CA535" s="190"/>
      <c r="CB535" s="190"/>
      <c r="CC535" s="190"/>
      <c r="CD535" s="190"/>
      <c r="CE535" s="190"/>
      <c r="CF535" s="190"/>
      <c r="CG535" s="190"/>
      <c r="CH535" s="190"/>
      <c r="CI535" s="190"/>
      <c r="CJ535" s="190"/>
      <c r="CK535" s="190"/>
      <c r="CL535" s="190"/>
      <c r="CM535" s="190"/>
      <c r="CN535" s="190"/>
      <c r="CO535" s="190"/>
      <c r="CP535" s="190"/>
      <c r="CQ535" s="190"/>
      <c r="CR535" s="190"/>
      <c r="CS535" s="190"/>
      <c r="CT535" s="190"/>
      <c r="CU535" s="190"/>
      <c r="CV535" s="190"/>
      <c r="CW535" s="190"/>
      <c r="CX535" s="190"/>
      <c r="CY535" s="190"/>
      <c r="CZ535" s="190"/>
      <c r="DA535" s="190"/>
      <c r="DB535" s="190"/>
      <c r="DC535" s="190"/>
      <c r="DD535" s="190"/>
      <c r="DE535" s="190"/>
      <c r="DF535" s="190"/>
      <c r="DG535" s="190"/>
      <c r="DH535" s="190"/>
      <c r="DI535" s="190"/>
      <c r="DJ535" s="190"/>
      <c r="DK535" s="190"/>
      <c r="DL535" s="190"/>
      <c r="DM535" s="190"/>
      <c r="DN535" s="190"/>
      <c r="DO535" s="190"/>
      <c r="DP535" s="190"/>
      <c r="DQ535" s="190"/>
      <c r="DR535" s="190"/>
      <c r="DS535" s="190"/>
      <c r="DT535" s="190"/>
      <c r="DU535" s="190"/>
      <c r="DV535" s="190"/>
      <c r="DW535" s="190"/>
      <c r="DX535" s="190"/>
      <c r="DY535" s="190"/>
      <c r="DZ535" s="190"/>
      <c r="EA535" s="190"/>
      <c r="EB535" s="190"/>
      <c r="EC535" s="190"/>
      <c r="ED535" s="190"/>
      <c r="EE535" s="190"/>
      <c r="EF535" s="190"/>
      <c r="EG535" s="190"/>
      <c r="EH535" s="190"/>
      <c r="EI535" s="190"/>
      <c r="EJ535" s="190"/>
      <c r="EK535" s="190"/>
      <c r="EL535" s="190"/>
      <c r="EM535" s="190"/>
      <c r="EN535" s="190"/>
      <c r="EO535" s="190"/>
      <c r="EP535" s="190"/>
      <c r="EQ535" s="190"/>
      <c r="ER535" s="190"/>
      <c r="ES535" s="190"/>
      <c r="ET535" s="190"/>
      <c r="EU535" s="190"/>
      <c r="EV535" s="190"/>
      <c r="EW535" s="190"/>
      <c r="EX535" s="190"/>
      <c r="EY535" s="190"/>
      <c r="EZ535" s="190"/>
      <c r="FA535" s="190"/>
      <c r="FB535" s="190"/>
      <c r="FC535" s="190"/>
      <c r="FD535" s="190"/>
      <c r="FE535" s="190"/>
      <c r="FF535" s="190"/>
      <c r="FG535" s="190"/>
      <c r="FH535" s="190"/>
      <c r="FI535" s="190"/>
      <c r="FJ535" s="190"/>
      <c r="FK535" s="190"/>
      <c r="FL535" s="190"/>
      <c r="FM535" s="190"/>
      <c r="FN535" s="190"/>
      <c r="FO535" s="190"/>
      <c r="FP535" s="190"/>
      <c r="FQ535" s="190"/>
      <c r="FR535" s="190"/>
      <c r="FS535" s="190"/>
      <c r="FT535" s="190"/>
      <c r="FU535" s="190"/>
      <c r="FV535" s="190"/>
      <c r="FW535" s="190"/>
      <c r="FX535" s="190"/>
      <c r="FY535" s="190"/>
      <c r="FZ535" s="190"/>
      <c r="GA535" s="190"/>
      <c r="GB535" s="190"/>
      <c r="GC535" s="190"/>
      <c r="GD535" s="190"/>
      <c r="GE535" s="190"/>
      <c r="GF535" s="190"/>
      <c r="GG535" s="190"/>
      <c r="GH535" s="190"/>
      <c r="GI535" s="190"/>
      <c r="GJ535" s="190"/>
      <c r="GK535" s="190"/>
      <c r="GL535" s="190"/>
      <c r="GM535" s="190"/>
      <c r="GN535" s="190"/>
      <c r="GO535" s="190"/>
      <c r="GP535" s="190"/>
      <c r="GQ535" s="190"/>
      <c r="GR535" s="190"/>
      <c r="GS535" s="190"/>
      <c r="GT535" s="190"/>
      <c r="GU535" s="190"/>
      <c r="GV535" s="190"/>
      <c r="GW535" s="190"/>
      <c r="GX535" s="190"/>
      <c r="GY535" s="190"/>
      <c r="GZ535" s="190"/>
      <c r="HA535" s="190"/>
      <c r="HB535" s="190"/>
      <c r="HC535" s="190"/>
      <c r="HD535" s="190"/>
      <c r="HE535" s="190"/>
      <c r="HF535" s="190"/>
      <c r="HG535" s="190"/>
      <c r="HH535" s="190"/>
      <c r="HI535" s="190"/>
      <c r="HJ535" s="190"/>
      <c r="HK535" s="190"/>
      <c r="HL535" s="190"/>
      <c r="HM535" s="190"/>
      <c r="HN535" s="190"/>
      <c r="HO535" s="190"/>
      <c r="HP535" s="190"/>
      <c r="HQ535" s="190"/>
      <c r="HR535" s="190"/>
      <c r="HS535" s="190"/>
      <c r="HT535" s="190"/>
      <c r="HU535" s="190"/>
      <c r="HV535" s="190"/>
      <c r="HW535" s="190"/>
      <c r="HX535" s="190"/>
      <c r="HY535" s="190"/>
      <c r="HZ535" s="190"/>
      <c r="IA535" s="190"/>
      <c r="IB535" s="190"/>
      <c r="IC535" s="190"/>
      <c r="ID535" s="190"/>
      <c r="IE535" s="190"/>
      <c r="IF535" s="190"/>
      <c r="IG535" s="190"/>
      <c r="IH535" s="190"/>
      <c r="II535" s="190"/>
      <c r="IJ535" s="190"/>
      <c r="IK535" s="190"/>
      <c r="IL535" s="190"/>
      <c r="IM535" s="190"/>
      <c r="IN535" s="190"/>
      <c r="IO535" s="190"/>
      <c r="IP535" s="190"/>
      <c r="IQ535" s="190"/>
      <c r="IR535" s="190"/>
      <c r="IS535" s="190"/>
      <c r="IT535" s="190"/>
      <c r="IU535" s="190"/>
      <c r="IV535" s="190"/>
      <c r="IW535" s="190"/>
      <c r="IX535" s="190"/>
      <c r="IY535" s="190"/>
      <c r="IZ535" s="190"/>
      <c r="JA535" s="190"/>
      <c r="JB535" s="190"/>
      <c r="JC535" s="190"/>
      <c r="JD535" s="190"/>
      <c r="JE535" s="190"/>
      <c r="JF535" s="190"/>
      <c r="JG535" s="190"/>
      <c r="JH535" s="190"/>
      <c r="JI535" s="190"/>
      <c r="JJ535" s="190"/>
      <c r="JK535" s="190"/>
      <c r="JL535" s="190"/>
      <c r="JM535" s="190"/>
      <c r="JN535" s="190"/>
      <c r="JO535" s="190"/>
      <c r="JP535" s="190"/>
      <c r="JQ535" s="190"/>
      <c r="JR535" s="190"/>
      <c r="JS535" s="190"/>
      <c r="JT535" s="190"/>
      <c r="JU535" s="190"/>
      <c r="JV535" s="190"/>
      <c r="JW535" s="190"/>
      <c r="JX535" s="190"/>
      <c r="JY535" s="190"/>
      <c r="JZ535" s="190"/>
      <c r="KA535" s="190"/>
      <c r="KB535" s="190"/>
      <c r="KC535" s="190"/>
      <c r="KD535" s="190"/>
      <c r="KE535" s="190"/>
      <c r="KF535" s="190"/>
      <c r="KG535" s="190"/>
      <c r="KH535" s="190"/>
      <c r="KI535" s="190"/>
      <c r="KJ535" s="190"/>
      <c r="KK535" s="190"/>
      <c r="KL535" s="190"/>
      <c r="KM535" s="190"/>
      <c r="KN535" s="190"/>
      <c r="KO535" s="190"/>
      <c r="KP535" s="190"/>
      <c r="KQ535" s="190"/>
      <c r="KR535" s="190"/>
      <c r="KS535" s="190"/>
      <c r="KT535" s="190"/>
      <c r="KU535" s="190"/>
      <c r="KV535" s="190"/>
      <c r="KW535" s="190"/>
      <c r="KX535" s="190"/>
      <c r="KY535" s="190"/>
      <c r="KZ535" s="190"/>
      <c r="LA535" s="190"/>
      <c r="LB535" s="190"/>
      <c r="LC535" s="190"/>
      <c r="LD535" s="190"/>
      <c r="LE535" s="190"/>
      <c r="LF535" s="190"/>
      <c r="LG535" s="190"/>
      <c r="LH535" s="190"/>
      <c r="LI535" s="190"/>
      <c r="LJ535" s="190"/>
      <c r="LK535" s="190"/>
      <c r="LL535" s="190"/>
      <c r="LM535" s="190"/>
      <c r="LN535" s="190"/>
      <c r="LO535" s="190"/>
      <c r="LP535" s="190"/>
      <c r="LQ535" s="190"/>
      <c r="LR535" s="190"/>
      <c r="LS535" s="190"/>
      <c r="LT535" s="190"/>
      <c r="LU535" s="190"/>
      <c r="LV535" s="190"/>
      <c r="LW535" s="190"/>
      <c r="LX535" s="190"/>
      <c r="LY535" s="190"/>
      <c r="LZ535" s="190"/>
      <c r="MA535" s="190"/>
      <c r="MB535" s="190"/>
      <c r="MC535" s="190"/>
      <c r="MD535" s="190"/>
      <c r="ME535" s="190"/>
      <c r="MF535" s="190"/>
      <c r="MG535" s="190"/>
      <c r="MH535" s="190"/>
      <c r="MI535" s="190"/>
      <c r="MJ535" s="190"/>
      <c r="MK535" s="190"/>
      <c r="ML535" s="190"/>
      <c r="MM535" s="190"/>
      <c r="MN535" s="190"/>
      <c r="MO535" s="190"/>
      <c r="MP535" s="190"/>
      <c r="MQ535" s="190"/>
      <c r="MR535" s="190"/>
      <c r="MS535" s="190"/>
      <c r="MT535" s="190"/>
      <c r="MU535" s="190"/>
      <c r="MV535" s="190"/>
      <c r="MW535" s="190"/>
      <c r="MX535" s="190"/>
      <c r="MY535" s="190"/>
      <c r="MZ535" s="190"/>
      <c r="NA535" s="190"/>
      <c r="NB535" s="190"/>
      <c r="NC535" s="190"/>
      <c r="ND535" s="190"/>
      <c r="NE535" s="190"/>
      <c r="NF535" s="190"/>
      <c r="NG535" s="190"/>
      <c r="NH535" s="190"/>
      <c r="NI535" s="190"/>
      <c r="NJ535" s="190"/>
      <c r="NK535" s="190"/>
      <c r="NL535" s="190"/>
      <c r="NM535" s="190"/>
      <c r="NN535" s="190"/>
      <c r="NO535" s="190"/>
      <c r="NP535" s="190"/>
      <c r="NQ535" s="190"/>
      <c r="NR535" s="190"/>
      <c r="NS535" s="190"/>
      <c r="NT535" s="190"/>
      <c r="NU535" s="190"/>
      <c r="NV535" s="190"/>
      <c r="NW535" s="190"/>
      <c r="NX535" s="190"/>
      <c r="NY535" s="190"/>
      <c r="NZ535" s="190"/>
      <c r="OA535" s="190"/>
      <c r="OB535" s="190"/>
      <c r="OC535" s="190"/>
      <c r="OD535" s="190"/>
      <c r="OE535" s="190"/>
      <c r="OF535" s="190"/>
      <c r="OG535" s="190"/>
      <c r="OH535" s="190"/>
      <c r="OI535" s="190"/>
      <c r="OJ535" s="190"/>
      <c r="OK535" s="190"/>
      <c r="OL535" s="190"/>
      <c r="OM535" s="190"/>
      <c r="ON535" s="190"/>
      <c r="OO535" s="190"/>
      <c r="OP535" s="190"/>
      <c r="OQ535" s="190"/>
      <c r="OR535" s="190"/>
      <c r="OS535" s="190"/>
      <c r="OT535" s="190"/>
      <c r="OU535" s="190"/>
      <c r="OV535" s="190"/>
      <c r="OW535" s="190"/>
      <c r="OX535" s="190"/>
      <c r="OY535" s="190"/>
      <c r="OZ535" s="190"/>
      <c r="PA535" s="190"/>
      <c r="PB535" s="190"/>
      <c r="PC535" s="190"/>
      <c r="PD535" s="190"/>
      <c r="PE535" s="190"/>
      <c r="PF535" s="190"/>
      <c r="PG535" s="190"/>
      <c r="PH535" s="190"/>
      <c r="PI535" s="190"/>
      <c r="PJ535" s="190"/>
      <c r="PK535" s="190"/>
      <c r="PL535" s="190"/>
      <c r="PM535" s="190"/>
      <c r="PN535" s="190"/>
      <c r="PO535" s="190"/>
      <c r="PP535" s="190"/>
      <c r="PQ535" s="190"/>
      <c r="PR535" s="190"/>
      <c r="PS535" s="190"/>
      <c r="PT535" s="190"/>
      <c r="PU535" s="190"/>
      <c r="PV535" s="190"/>
      <c r="PW535" s="190"/>
      <c r="PX535" s="190"/>
      <c r="PY535" s="190"/>
      <c r="PZ535" s="190"/>
      <c r="QA535" s="190"/>
      <c r="QB535" s="190"/>
      <c r="QC535" s="190"/>
      <c r="QD535" s="190"/>
      <c r="QE535" s="190"/>
      <c r="QF535" s="190"/>
      <c r="QG535" s="190"/>
      <c r="QH535" s="190"/>
      <c r="QI535" s="190"/>
      <c r="QJ535" s="190"/>
      <c r="QK535" s="190"/>
      <c r="QL535" s="190"/>
      <c r="QM535" s="190"/>
      <c r="QN535" s="190"/>
      <c r="QO535" s="190"/>
      <c r="QP535" s="190"/>
      <c r="QQ535" s="190"/>
      <c r="QR535" s="190"/>
      <c r="QS535" s="190"/>
      <c r="QT535" s="190"/>
      <c r="QU535" s="190"/>
      <c r="QV535" s="190"/>
      <c r="QW535" s="190"/>
      <c r="QX535" s="190"/>
      <c r="QY535" s="190"/>
      <c r="QZ535" s="190"/>
      <c r="RA535" s="190"/>
      <c r="RB535" s="190"/>
      <c r="RC535" s="190"/>
      <c r="RD535" s="190"/>
      <c r="RE535" s="190"/>
      <c r="RF535" s="190"/>
      <c r="RG535" s="190"/>
      <c r="RH535" s="190"/>
      <c r="RI535" s="190"/>
      <c r="RJ535" s="190"/>
      <c r="RK535" s="190"/>
      <c r="RL535" s="190"/>
      <c r="RM535" s="190"/>
      <c r="RN535" s="190"/>
      <c r="RO535" s="190"/>
      <c r="RP535" s="190"/>
      <c r="RQ535" s="190"/>
      <c r="RR535" s="190"/>
      <c r="RS535" s="190"/>
      <c r="RT535" s="190"/>
      <c r="RU535" s="190"/>
      <c r="RV535" s="190"/>
      <c r="RW535" s="190"/>
      <c r="RX535" s="190"/>
      <c r="RY535" s="190"/>
      <c r="RZ535" s="190"/>
      <c r="SA535" s="190"/>
      <c r="SB535" s="190"/>
      <c r="SC535" s="190"/>
      <c r="SD535" s="190"/>
      <c r="SE535" s="190"/>
      <c r="SF535" s="190"/>
      <c r="SG535" s="190"/>
      <c r="SH535" s="190"/>
      <c r="SI535" s="190"/>
      <c r="SJ535" s="190"/>
      <c r="SK535" s="190"/>
      <c r="SL535" s="190"/>
      <c r="SM535" s="190"/>
      <c r="SN535" s="190"/>
      <c r="SO535" s="190"/>
      <c r="SP535" s="190"/>
      <c r="SQ535" s="190"/>
      <c r="SR535" s="190"/>
      <c r="SS535" s="190"/>
      <c r="ST535" s="190"/>
      <c r="SU535" s="190"/>
      <c r="SV535" s="190"/>
      <c r="SW535" s="190"/>
      <c r="SX535" s="190"/>
      <c r="SY535" s="190"/>
      <c r="SZ535" s="190"/>
      <c r="TA535" s="190"/>
      <c r="TB535" s="190"/>
      <c r="TC535" s="190"/>
      <c r="TD535" s="190"/>
      <c r="TE535" s="190"/>
      <c r="TF535" s="190"/>
      <c r="TG535" s="190"/>
      <c r="TH535" s="190"/>
      <c r="TI535" s="190"/>
      <c r="TJ535" s="190"/>
      <c r="TK535" s="190"/>
      <c r="TL535" s="190"/>
      <c r="TM535" s="190"/>
      <c r="TN535" s="190"/>
      <c r="TO535" s="190"/>
      <c r="TP535" s="190"/>
      <c r="TQ535" s="190"/>
      <c r="TR535" s="190"/>
      <c r="TS535" s="190"/>
      <c r="TT535" s="190"/>
      <c r="TU535" s="190"/>
      <c r="TV535" s="190"/>
      <c r="TW535" s="190"/>
      <c r="TX535" s="190"/>
      <c r="TY535" s="190"/>
      <c r="TZ535" s="190"/>
      <c r="UA535" s="190"/>
      <c r="UB535" s="190"/>
      <c r="UC535" s="190"/>
      <c r="UD535" s="190"/>
      <c r="UE535" s="190"/>
      <c r="UF535" s="190"/>
      <c r="UG535" s="191"/>
    </row>
    <row r="536" spans="1:553" s="109" customFormat="1" ht="30.75" customHeight="1">
      <c r="A536" s="356" t="s">
        <v>58</v>
      </c>
      <c r="B536" s="356"/>
      <c r="C536" s="1457" t="s">
        <v>59</v>
      </c>
      <c r="D536" s="1458"/>
      <c r="E536" s="1458"/>
      <c r="F536" s="1459"/>
      <c r="G536" s="366"/>
      <c r="H536" s="370"/>
      <c r="I536" s="370"/>
      <c r="J536" s="368"/>
      <c r="K536" s="371"/>
      <c r="L536" s="356">
        <f>SUM(L537:L553)</f>
        <v>675932400</v>
      </c>
      <c r="M536" s="356"/>
      <c r="N536" s="356"/>
      <c r="O536" s="356"/>
      <c r="P536" s="356">
        <f>L536</f>
        <v>675932400</v>
      </c>
      <c r="Q536" s="610"/>
      <c r="R536" s="421"/>
      <c r="S536" s="308"/>
      <c r="T536" s="308"/>
      <c r="U536" s="308"/>
      <c r="V536" s="308"/>
      <c r="W536" s="308"/>
      <c r="X536" s="308"/>
      <c r="Y536" s="308"/>
      <c r="Z536" s="604"/>
      <c r="AA536" s="308"/>
      <c r="AB536" s="308"/>
      <c r="AC536" s="449"/>
      <c r="AD536" s="449"/>
      <c r="AE536" s="449"/>
      <c r="AF536" s="449"/>
      <c r="AG536" s="449"/>
      <c r="AH536" s="449"/>
      <c r="AI536" s="449"/>
      <c r="AJ536" s="449"/>
      <c r="AK536" s="452"/>
      <c r="AL536" s="116"/>
      <c r="AM536" s="112"/>
      <c r="AN536" s="112"/>
      <c r="AO536" s="112"/>
      <c r="AP536" s="112"/>
      <c r="AQ536" s="112"/>
      <c r="AR536" s="112"/>
      <c r="AS536" s="113"/>
      <c r="AT536" s="113"/>
      <c r="AU536" s="113"/>
      <c r="AV536" s="113"/>
      <c r="AW536" s="113"/>
      <c r="AX536" s="113"/>
      <c r="AY536" s="113"/>
      <c r="AZ536" s="113"/>
      <c r="BA536" s="113"/>
      <c r="BB536" s="113"/>
      <c r="BC536" s="113"/>
      <c r="BD536" s="113"/>
      <c r="BE536" s="113"/>
      <c r="BF536" s="113"/>
      <c r="BG536" s="113"/>
      <c r="BH536" s="113"/>
      <c r="BI536" s="113"/>
      <c r="BJ536" s="113"/>
      <c r="BK536" s="113"/>
      <c r="BL536" s="113"/>
      <c r="BM536" s="113"/>
      <c r="BN536" s="113"/>
      <c r="BO536" s="113"/>
      <c r="BP536" s="114"/>
      <c r="BQ536" s="114"/>
      <c r="BR536" s="114"/>
      <c r="BS536" s="114"/>
      <c r="BT536" s="114"/>
      <c r="BU536" s="114"/>
      <c r="BV536" s="114"/>
      <c r="BW536" s="114"/>
      <c r="BX536" s="114"/>
      <c r="BY536" s="114"/>
      <c r="BZ536" s="114"/>
      <c r="CA536" s="114"/>
      <c r="CB536" s="114"/>
      <c r="CC536" s="114"/>
      <c r="CD536" s="114"/>
      <c r="CE536" s="114"/>
      <c r="CF536" s="114"/>
      <c r="CG536" s="114"/>
      <c r="CH536" s="114"/>
      <c r="CI536" s="114"/>
      <c r="CJ536" s="114"/>
      <c r="CK536" s="114"/>
      <c r="CL536" s="114"/>
      <c r="CM536" s="114"/>
      <c r="CN536" s="114"/>
      <c r="CO536" s="114"/>
      <c r="CP536" s="114"/>
      <c r="CQ536" s="114"/>
      <c r="CR536" s="114"/>
      <c r="CS536" s="114"/>
      <c r="CT536" s="114"/>
      <c r="CU536" s="114"/>
      <c r="CV536" s="114"/>
      <c r="CW536" s="114"/>
      <c r="CX536" s="114"/>
      <c r="CY536" s="114"/>
      <c r="CZ536" s="114"/>
      <c r="DA536" s="114"/>
      <c r="DB536" s="114"/>
      <c r="DC536" s="114"/>
      <c r="DD536" s="114"/>
      <c r="DE536" s="114"/>
      <c r="DF536" s="114"/>
      <c r="DG536" s="114"/>
      <c r="DH536" s="114"/>
      <c r="DI536" s="114"/>
      <c r="DJ536" s="114"/>
      <c r="DK536" s="114"/>
      <c r="DL536" s="114"/>
      <c r="DM536" s="114"/>
      <c r="DN536" s="114"/>
      <c r="DO536" s="114"/>
      <c r="DP536" s="114"/>
      <c r="DQ536" s="114"/>
      <c r="DR536" s="114"/>
      <c r="DS536" s="114"/>
      <c r="DT536" s="114"/>
      <c r="DU536" s="114"/>
      <c r="DV536" s="114"/>
      <c r="DW536" s="114"/>
      <c r="DX536" s="114"/>
      <c r="DY536" s="114"/>
      <c r="DZ536" s="114"/>
      <c r="EA536" s="114"/>
      <c r="EB536" s="114"/>
      <c r="EC536" s="114"/>
      <c r="ED536" s="114"/>
      <c r="EE536" s="114"/>
      <c r="EF536" s="114"/>
      <c r="EG536" s="114"/>
      <c r="EH536" s="114"/>
      <c r="EI536" s="114"/>
      <c r="EJ536" s="114"/>
      <c r="EK536" s="114"/>
      <c r="EL536" s="114"/>
      <c r="EM536" s="114"/>
      <c r="EN536" s="114"/>
      <c r="EO536" s="114"/>
      <c r="EP536" s="114"/>
      <c r="EQ536" s="114"/>
      <c r="ER536" s="114"/>
      <c r="ES536" s="114"/>
      <c r="ET536" s="114"/>
      <c r="EU536" s="114"/>
      <c r="EV536" s="114"/>
      <c r="EW536" s="114"/>
      <c r="EX536" s="114"/>
      <c r="EY536" s="114"/>
      <c r="EZ536" s="114"/>
      <c r="FA536" s="114"/>
      <c r="FB536" s="114"/>
      <c r="FC536" s="114"/>
      <c r="FD536" s="114"/>
      <c r="FE536" s="114"/>
      <c r="FF536" s="114"/>
      <c r="FG536" s="114"/>
      <c r="FH536" s="114"/>
      <c r="FI536" s="114"/>
      <c r="FJ536" s="114"/>
      <c r="FK536" s="114"/>
      <c r="FL536" s="114"/>
      <c r="FM536" s="114"/>
      <c r="FN536" s="114"/>
      <c r="FO536" s="114"/>
      <c r="FP536" s="114"/>
      <c r="FQ536" s="114"/>
      <c r="FR536" s="114"/>
      <c r="FS536" s="114"/>
      <c r="FT536" s="114"/>
      <c r="FU536" s="114"/>
      <c r="FV536" s="114"/>
      <c r="FW536" s="114"/>
      <c r="FX536" s="114"/>
      <c r="FY536" s="114"/>
      <c r="FZ536" s="114"/>
      <c r="GA536" s="114"/>
      <c r="GB536" s="114"/>
      <c r="GC536" s="114"/>
      <c r="GD536" s="114"/>
      <c r="GE536" s="114"/>
      <c r="GF536" s="114"/>
      <c r="GG536" s="114"/>
      <c r="GH536" s="114"/>
      <c r="GI536" s="114"/>
      <c r="GJ536" s="114"/>
      <c r="GK536" s="114"/>
      <c r="GL536" s="114"/>
      <c r="GM536" s="114"/>
      <c r="GN536" s="114"/>
      <c r="GO536" s="114"/>
      <c r="GP536" s="114"/>
      <c r="GQ536" s="114"/>
      <c r="GR536" s="114"/>
      <c r="GS536" s="114"/>
      <c r="GT536" s="114"/>
      <c r="GU536" s="114"/>
      <c r="GV536" s="114"/>
      <c r="GW536" s="114"/>
      <c r="GX536" s="114"/>
      <c r="GY536" s="114"/>
      <c r="GZ536" s="114"/>
      <c r="HA536" s="114"/>
      <c r="HB536" s="114"/>
      <c r="HC536" s="114"/>
      <c r="HD536" s="114"/>
      <c r="HE536" s="114"/>
      <c r="HF536" s="114"/>
      <c r="HG536" s="114"/>
      <c r="HH536" s="114"/>
      <c r="HI536" s="114"/>
      <c r="HJ536" s="114"/>
      <c r="HK536" s="114"/>
      <c r="HL536" s="114"/>
      <c r="HM536" s="114"/>
      <c r="HN536" s="114"/>
      <c r="HO536" s="114"/>
      <c r="HP536" s="114"/>
      <c r="HQ536" s="114"/>
      <c r="HR536" s="114"/>
      <c r="HS536" s="114"/>
      <c r="HT536" s="114"/>
      <c r="HU536" s="114"/>
      <c r="HV536" s="114"/>
      <c r="HW536" s="114"/>
      <c r="HX536" s="114"/>
      <c r="HY536" s="114"/>
      <c r="HZ536" s="114"/>
      <c r="IA536" s="114"/>
      <c r="IB536" s="114"/>
      <c r="IC536" s="114"/>
      <c r="ID536" s="114"/>
      <c r="IE536" s="114"/>
      <c r="IF536" s="114"/>
      <c r="IG536" s="114"/>
      <c r="IH536" s="114"/>
      <c r="II536" s="114"/>
      <c r="IJ536" s="114"/>
      <c r="IK536" s="114"/>
      <c r="IL536" s="114"/>
      <c r="IM536" s="114"/>
      <c r="IN536" s="114"/>
      <c r="IO536" s="114"/>
      <c r="IP536" s="114"/>
      <c r="IQ536" s="114"/>
      <c r="IR536" s="114"/>
      <c r="IS536" s="114"/>
      <c r="IT536" s="114"/>
      <c r="IU536" s="114"/>
      <c r="IV536" s="114"/>
      <c r="IW536" s="114"/>
      <c r="IX536" s="114"/>
      <c r="IY536" s="114"/>
      <c r="IZ536" s="114"/>
      <c r="JA536" s="114"/>
      <c r="JB536" s="114"/>
      <c r="JC536" s="114"/>
      <c r="JD536" s="114"/>
      <c r="JE536" s="114"/>
      <c r="JF536" s="114"/>
      <c r="JG536" s="114"/>
      <c r="JH536" s="114"/>
      <c r="JI536" s="114"/>
      <c r="JJ536" s="114"/>
      <c r="JK536" s="114"/>
      <c r="JL536" s="114"/>
      <c r="JM536" s="114"/>
      <c r="JN536" s="114"/>
      <c r="JO536" s="114"/>
      <c r="JP536" s="114"/>
      <c r="JQ536" s="114"/>
      <c r="JR536" s="114"/>
      <c r="JS536" s="114"/>
      <c r="JT536" s="114"/>
      <c r="JU536" s="114"/>
      <c r="JV536" s="114"/>
      <c r="JW536" s="114"/>
      <c r="JX536" s="114"/>
      <c r="JY536" s="114"/>
      <c r="JZ536" s="114"/>
      <c r="KA536" s="114"/>
      <c r="KB536" s="114"/>
      <c r="KC536" s="114"/>
      <c r="KD536" s="114"/>
      <c r="KE536" s="114"/>
      <c r="KF536" s="114"/>
      <c r="KG536" s="114"/>
      <c r="KH536" s="114"/>
      <c r="KI536" s="114"/>
      <c r="KJ536" s="114"/>
      <c r="KK536" s="114"/>
      <c r="KL536" s="114"/>
      <c r="KM536" s="114"/>
      <c r="KN536" s="114"/>
      <c r="KO536" s="114"/>
      <c r="KP536" s="114"/>
      <c r="KQ536" s="114"/>
      <c r="KR536" s="114"/>
      <c r="KS536" s="114"/>
      <c r="KT536" s="114"/>
      <c r="KU536" s="114"/>
      <c r="KV536" s="114"/>
      <c r="KW536" s="114"/>
      <c r="KX536" s="114"/>
      <c r="KY536" s="114"/>
      <c r="KZ536" s="114"/>
      <c r="LA536" s="114"/>
      <c r="LB536" s="114"/>
      <c r="LC536" s="114"/>
      <c r="LD536" s="114"/>
      <c r="LE536" s="114"/>
      <c r="LF536" s="114"/>
      <c r="LG536" s="114"/>
      <c r="LH536" s="114"/>
      <c r="LI536" s="114"/>
      <c r="LJ536" s="114"/>
      <c r="LK536" s="114"/>
      <c r="LL536" s="114"/>
      <c r="LM536" s="114"/>
      <c r="LN536" s="114"/>
      <c r="LO536" s="114"/>
      <c r="LP536" s="114"/>
      <c r="LQ536" s="114"/>
      <c r="LR536" s="114"/>
      <c r="LS536" s="114"/>
      <c r="LT536" s="114"/>
      <c r="LU536" s="114"/>
      <c r="LV536" s="114"/>
      <c r="LW536" s="114"/>
      <c r="LX536" s="114"/>
      <c r="LY536" s="114"/>
      <c r="LZ536" s="114"/>
      <c r="MA536" s="114"/>
      <c r="MB536" s="114"/>
      <c r="MC536" s="114"/>
      <c r="MD536" s="114"/>
      <c r="ME536" s="114"/>
      <c r="MF536" s="114"/>
      <c r="MG536" s="114"/>
      <c r="MH536" s="114"/>
      <c r="MI536" s="114"/>
      <c r="MJ536" s="114"/>
      <c r="MK536" s="114"/>
      <c r="ML536" s="114"/>
      <c r="MM536" s="114"/>
      <c r="MN536" s="114"/>
      <c r="MO536" s="114"/>
      <c r="MP536" s="114"/>
      <c r="MQ536" s="114"/>
      <c r="MR536" s="114"/>
      <c r="MS536" s="114"/>
      <c r="MT536" s="114"/>
      <c r="MU536" s="114"/>
      <c r="MV536" s="114"/>
      <c r="MW536" s="114"/>
      <c r="MX536" s="114"/>
      <c r="MY536" s="114"/>
      <c r="MZ536" s="114"/>
      <c r="NA536" s="114"/>
      <c r="NB536" s="114"/>
      <c r="NC536" s="114"/>
      <c r="ND536" s="114"/>
      <c r="NE536" s="114"/>
      <c r="NF536" s="114"/>
      <c r="NG536" s="114"/>
      <c r="NH536" s="114"/>
      <c r="NI536" s="114"/>
      <c r="NJ536" s="114"/>
      <c r="NK536" s="114"/>
      <c r="NL536" s="114"/>
      <c r="NM536" s="114"/>
      <c r="NN536" s="114"/>
      <c r="NO536" s="114"/>
      <c r="NP536" s="114"/>
      <c r="NQ536" s="114"/>
      <c r="NR536" s="114"/>
      <c r="NS536" s="114"/>
      <c r="NT536" s="114"/>
      <c r="NU536" s="114"/>
      <c r="NV536" s="114"/>
      <c r="NW536" s="114"/>
      <c r="NX536" s="114"/>
      <c r="NY536" s="114"/>
      <c r="NZ536" s="114"/>
      <c r="OA536" s="114"/>
      <c r="OB536" s="114"/>
      <c r="OC536" s="114"/>
      <c r="OD536" s="114"/>
      <c r="OE536" s="114"/>
      <c r="OF536" s="114"/>
      <c r="OG536" s="114"/>
      <c r="OH536" s="114"/>
      <c r="OI536" s="114"/>
      <c r="OJ536" s="114"/>
      <c r="OK536" s="114"/>
      <c r="OL536" s="114"/>
      <c r="OM536" s="114"/>
      <c r="ON536" s="114"/>
      <c r="OO536" s="114"/>
      <c r="OP536" s="114"/>
      <c r="OQ536" s="114"/>
      <c r="OR536" s="114"/>
      <c r="OS536" s="114"/>
      <c r="OT536" s="114"/>
      <c r="OU536" s="114"/>
      <c r="OV536" s="114"/>
      <c r="OW536" s="114"/>
      <c r="OX536" s="114"/>
      <c r="OY536" s="114"/>
      <c r="OZ536" s="114"/>
      <c r="PA536" s="114"/>
      <c r="PB536" s="114"/>
      <c r="PC536" s="114"/>
      <c r="PD536" s="114"/>
      <c r="PE536" s="114"/>
      <c r="PF536" s="114"/>
      <c r="PG536" s="114"/>
      <c r="PH536" s="114"/>
      <c r="PI536" s="114"/>
      <c r="PJ536" s="114"/>
      <c r="PK536" s="114"/>
      <c r="PL536" s="114"/>
      <c r="PM536" s="114"/>
      <c r="PN536" s="114"/>
      <c r="PO536" s="114"/>
      <c r="PP536" s="114"/>
      <c r="PQ536" s="114"/>
      <c r="PR536" s="114"/>
      <c r="PS536" s="114"/>
      <c r="PT536" s="114"/>
      <c r="PU536" s="114"/>
      <c r="PV536" s="114"/>
      <c r="PW536" s="114"/>
      <c r="PX536" s="114"/>
      <c r="PY536" s="114"/>
      <c r="PZ536" s="114"/>
      <c r="QA536" s="114"/>
      <c r="QB536" s="114"/>
      <c r="QC536" s="114"/>
      <c r="QD536" s="114"/>
      <c r="QE536" s="114"/>
      <c r="QF536" s="114"/>
      <c r="QG536" s="114"/>
      <c r="QH536" s="114"/>
      <c r="QI536" s="114"/>
      <c r="QJ536" s="114"/>
      <c r="QK536" s="114"/>
      <c r="QL536" s="114"/>
      <c r="QM536" s="114"/>
      <c r="QN536" s="114"/>
      <c r="QO536" s="114"/>
      <c r="QP536" s="114"/>
      <c r="QQ536" s="114"/>
      <c r="QR536" s="114"/>
      <c r="QS536" s="114"/>
      <c r="QT536" s="114"/>
      <c r="QU536" s="114"/>
      <c r="QV536" s="114"/>
      <c r="QW536" s="114"/>
      <c r="QX536" s="114"/>
      <c r="QY536" s="114"/>
      <c r="QZ536" s="114"/>
      <c r="RA536" s="114"/>
      <c r="RB536" s="114"/>
      <c r="RC536" s="114"/>
      <c r="RD536" s="114"/>
      <c r="RE536" s="114"/>
      <c r="RF536" s="114"/>
      <c r="RG536" s="114"/>
      <c r="RH536" s="114"/>
      <c r="RI536" s="114"/>
      <c r="RJ536" s="114"/>
      <c r="RK536" s="114"/>
      <c r="RL536" s="114"/>
      <c r="RM536" s="114"/>
      <c r="RN536" s="114"/>
      <c r="RO536" s="114"/>
      <c r="RP536" s="114"/>
      <c r="RQ536" s="114"/>
      <c r="RR536" s="114"/>
      <c r="RS536" s="114"/>
      <c r="RT536" s="114"/>
      <c r="RU536" s="114"/>
      <c r="RV536" s="114"/>
      <c r="RW536" s="114"/>
      <c r="RX536" s="114"/>
      <c r="RY536" s="114"/>
      <c r="RZ536" s="114"/>
      <c r="SA536" s="114"/>
      <c r="SB536" s="114"/>
      <c r="SC536" s="114"/>
      <c r="SD536" s="114"/>
      <c r="SE536" s="114"/>
      <c r="SF536" s="114"/>
      <c r="SG536" s="114"/>
      <c r="SH536" s="114"/>
      <c r="SI536" s="114"/>
      <c r="SJ536" s="114"/>
      <c r="SK536" s="114"/>
      <c r="SL536" s="114"/>
      <c r="SM536" s="114"/>
      <c r="SN536" s="114"/>
      <c r="SO536" s="114"/>
      <c r="SP536" s="114"/>
      <c r="SQ536" s="114"/>
      <c r="SR536" s="114"/>
      <c r="SS536" s="114"/>
      <c r="ST536" s="114"/>
      <c r="SU536" s="114"/>
      <c r="SV536" s="114"/>
      <c r="SW536" s="114"/>
      <c r="SX536" s="114"/>
      <c r="SY536" s="114"/>
      <c r="SZ536" s="114"/>
      <c r="TA536" s="114"/>
      <c r="TB536" s="114"/>
      <c r="TC536" s="114"/>
      <c r="TD536" s="114"/>
      <c r="TE536" s="114"/>
      <c r="TF536" s="114"/>
      <c r="TG536" s="114"/>
      <c r="TH536" s="114"/>
      <c r="TI536" s="114"/>
      <c r="TJ536" s="114"/>
      <c r="TK536" s="114"/>
      <c r="TL536" s="114"/>
      <c r="TM536" s="114"/>
      <c r="TN536" s="114"/>
      <c r="TO536" s="114"/>
      <c r="TP536" s="114"/>
      <c r="TQ536" s="114"/>
      <c r="TR536" s="114"/>
      <c r="TS536" s="114"/>
      <c r="TT536" s="114"/>
      <c r="TU536" s="114"/>
      <c r="TV536" s="114"/>
      <c r="TW536" s="114"/>
      <c r="TX536" s="114"/>
      <c r="TY536" s="114"/>
      <c r="TZ536" s="114"/>
      <c r="UA536" s="114"/>
      <c r="UB536" s="114"/>
      <c r="UC536" s="114"/>
      <c r="UD536" s="114"/>
      <c r="UE536" s="114"/>
      <c r="UF536" s="114"/>
      <c r="UG536" s="115"/>
    </row>
    <row r="537" spans="1:553" s="109" customFormat="1" ht="30.75" customHeight="1">
      <c r="A537" s="356" t="s">
        <v>15</v>
      </c>
      <c r="B537" s="385"/>
      <c r="C537" s="384" t="s">
        <v>22</v>
      </c>
      <c r="D537" s="418">
        <v>2</v>
      </c>
      <c r="E537" s="376">
        <f>E401</f>
        <v>448</v>
      </c>
      <c r="F537" s="385"/>
      <c r="G537" s="386" t="s">
        <v>935</v>
      </c>
      <c r="H537" s="370"/>
      <c r="I537" s="370">
        <f>I402</f>
        <v>337</v>
      </c>
      <c r="J537" s="368">
        <v>62000</v>
      </c>
      <c r="K537" s="849">
        <v>1</v>
      </c>
      <c r="L537" s="366">
        <f>I537*J537*K537</f>
        <v>20894000</v>
      </c>
      <c r="M537" s="366"/>
      <c r="N537" s="366"/>
      <c r="O537" s="366"/>
      <c r="P537" s="366"/>
      <c r="Q537" s="812"/>
      <c r="R537" s="1467" t="s">
        <v>922</v>
      </c>
      <c r="S537" s="308"/>
      <c r="T537" s="308"/>
      <c r="U537" s="308"/>
      <c r="V537" s="308"/>
      <c r="W537" s="308"/>
      <c r="X537" s="308"/>
      <c r="Y537" s="308"/>
      <c r="Z537" s="604"/>
      <c r="AA537" s="308"/>
      <c r="AB537" s="308"/>
      <c r="AC537" s="449"/>
      <c r="AD537" s="449"/>
      <c r="AE537" s="449"/>
      <c r="AF537" s="449"/>
      <c r="AG537" s="449"/>
      <c r="AH537" s="449"/>
      <c r="AI537" s="449"/>
      <c r="AJ537" s="449"/>
      <c r="AK537" s="452"/>
      <c r="AL537" s="116"/>
      <c r="AM537" s="112"/>
      <c r="AN537" s="112"/>
      <c r="AO537" s="112"/>
      <c r="AP537" s="112"/>
      <c r="AQ537" s="112"/>
      <c r="AR537" s="112"/>
      <c r="AS537" s="113"/>
      <c r="AT537" s="113"/>
      <c r="AU537" s="113"/>
      <c r="AV537" s="113"/>
      <c r="AW537" s="113"/>
      <c r="AX537" s="113"/>
      <c r="AY537" s="113"/>
      <c r="AZ537" s="113"/>
      <c r="BA537" s="113"/>
      <c r="BB537" s="113"/>
      <c r="BC537" s="113"/>
      <c r="BD537" s="113"/>
      <c r="BE537" s="113"/>
      <c r="BF537" s="113"/>
      <c r="BG537" s="113"/>
      <c r="BH537" s="113"/>
      <c r="BI537" s="113"/>
      <c r="BJ537" s="113"/>
      <c r="BK537" s="113"/>
      <c r="BL537" s="113"/>
      <c r="BM537" s="113"/>
      <c r="BN537" s="113"/>
      <c r="BO537" s="113"/>
      <c r="BP537" s="114"/>
      <c r="BQ537" s="114"/>
      <c r="BR537" s="114"/>
      <c r="BS537" s="114"/>
      <c r="BT537" s="114"/>
      <c r="BU537" s="114"/>
      <c r="BV537" s="114"/>
      <c r="BW537" s="114"/>
      <c r="BX537" s="114"/>
      <c r="BY537" s="114"/>
      <c r="BZ537" s="114"/>
      <c r="CA537" s="114"/>
      <c r="CB537" s="114"/>
      <c r="CC537" s="114"/>
      <c r="CD537" s="114"/>
      <c r="CE537" s="114"/>
      <c r="CF537" s="114"/>
      <c r="CG537" s="114"/>
      <c r="CH537" s="114"/>
      <c r="CI537" s="114"/>
      <c r="CJ537" s="114"/>
      <c r="CK537" s="114"/>
      <c r="CL537" s="114"/>
      <c r="CM537" s="114"/>
      <c r="CN537" s="114"/>
      <c r="CO537" s="114"/>
      <c r="CP537" s="114"/>
      <c r="CQ537" s="114"/>
      <c r="CR537" s="114"/>
      <c r="CS537" s="114"/>
      <c r="CT537" s="114"/>
      <c r="CU537" s="114"/>
      <c r="CV537" s="114"/>
      <c r="CW537" s="114"/>
      <c r="CX537" s="114"/>
      <c r="CY537" s="114"/>
      <c r="CZ537" s="114"/>
      <c r="DA537" s="114"/>
      <c r="DB537" s="114"/>
      <c r="DC537" s="114"/>
      <c r="DD537" s="114"/>
      <c r="DE537" s="114"/>
      <c r="DF537" s="114"/>
      <c r="DG537" s="114"/>
      <c r="DH537" s="114"/>
      <c r="DI537" s="114"/>
      <c r="DJ537" s="114"/>
      <c r="DK537" s="114"/>
      <c r="DL537" s="114"/>
      <c r="DM537" s="114"/>
      <c r="DN537" s="114"/>
      <c r="DO537" s="114"/>
      <c r="DP537" s="114"/>
      <c r="DQ537" s="114"/>
      <c r="DR537" s="114"/>
      <c r="DS537" s="114"/>
      <c r="DT537" s="114"/>
      <c r="DU537" s="114"/>
      <c r="DV537" s="114"/>
      <c r="DW537" s="114"/>
      <c r="DX537" s="114"/>
      <c r="DY537" s="114"/>
      <c r="DZ537" s="114"/>
      <c r="EA537" s="114"/>
      <c r="EB537" s="114"/>
      <c r="EC537" s="114"/>
      <c r="ED537" s="114"/>
      <c r="EE537" s="114"/>
      <c r="EF537" s="114"/>
      <c r="EG537" s="114"/>
      <c r="EH537" s="114"/>
      <c r="EI537" s="114"/>
      <c r="EJ537" s="114"/>
      <c r="EK537" s="114"/>
      <c r="EL537" s="114"/>
      <c r="EM537" s="114"/>
      <c r="EN537" s="114"/>
      <c r="EO537" s="114"/>
      <c r="EP537" s="114"/>
      <c r="EQ537" s="114"/>
      <c r="ER537" s="114"/>
      <c r="ES537" s="114"/>
      <c r="ET537" s="114"/>
      <c r="EU537" s="114"/>
      <c r="EV537" s="114"/>
      <c r="EW537" s="114"/>
      <c r="EX537" s="114"/>
      <c r="EY537" s="114"/>
      <c r="EZ537" s="114"/>
      <c r="FA537" s="114"/>
      <c r="FB537" s="114"/>
      <c r="FC537" s="114"/>
      <c r="FD537" s="114"/>
      <c r="FE537" s="114"/>
      <c r="FF537" s="114"/>
      <c r="FG537" s="114"/>
      <c r="FH537" s="114"/>
      <c r="FI537" s="114"/>
      <c r="FJ537" s="114"/>
      <c r="FK537" s="114"/>
      <c r="FL537" s="114"/>
      <c r="FM537" s="114"/>
      <c r="FN537" s="114"/>
      <c r="FO537" s="114"/>
      <c r="FP537" s="114"/>
      <c r="FQ537" s="114"/>
      <c r="FR537" s="114"/>
      <c r="FS537" s="114"/>
      <c r="FT537" s="114"/>
      <c r="FU537" s="114"/>
      <c r="FV537" s="114"/>
      <c r="FW537" s="114"/>
      <c r="FX537" s="114"/>
      <c r="FY537" s="114"/>
      <c r="FZ537" s="114"/>
      <c r="GA537" s="114"/>
      <c r="GB537" s="114"/>
      <c r="GC537" s="114"/>
      <c r="GD537" s="114"/>
      <c r="GE537" s="114"/>
      <c r="GF537" s="114"/>
      <c r="GG537" s="114"/>
      <c r="GH537" s="114"/>
      <c r="GI537" s="114"/>
      <c r="GJ537" s="114"/>
      <c r="GK537" s="114"/>
      <c r="GL537" s="114"/>
      <c r="GM537" s="114"/>
      <c r="GN537" s="114"/>
      <c r="GO537" s="114"/>
      <c r="GP537" s="114"/>
      <c r="GQ537" s="114"/>
      <c r="GR537" s="114"/>
      <c r="GS537" s="114"/>
      <c r="GT537" s="114"/>
      <c r="GU537" s="114"/>
      <c r="GV537" s="114"/>
      <c r="GW537" s="114"/>
      <c r="GX537" s="114"/>
      <c r="GY537" s="114"/>
      <c r="GZ537" s="114"/>
      <c r="HA537" s="114"/>
      <c r="HB537" s="114"/>
      <c r="HC537" s="114"/>
      <c r="HD537" s="114"/>
      <c r="HE537" s="114"/>
      <c r="HF537" s="114"/>
      <c r="HG537" s="114"/>
      <c r="HH537" s="114"/>
      <c r="HI537" s="114"/>
      <c r="HJ537" s="114"/>
      <c r="HK537" s="114"/>
      <c r="HL537" s="114"/>
      <c r="HM537" s="114"/>
      <c r="HN537" s="114"/>
      <c r="HO537" s="114"/>
      <c r="HP537" s="114"/>
      <c r="HQ537" s="114"/>
      <c r="HR537" s="114"/>
      <c r="HS537" s="114"/>
      <c r="HT537" s="114"/>
      <c r="HU537" s="114"/>
      <c r="HV537" s="114"/>
      <c r="HW537" s="114"/>
      <c r="HX537" s="114"/>
      <c r="HY537" s="114"/>
      <c r="HZ537" s="114"/>
      <c r="IA537" s="114"/>
      <c r="IB537" s="114"/>
      <c r="IC537" s="114"/>
      <c r="ID537" s="114"/>
      <c r="IE537" s="114"/>
      <c r="IF537" s="114"/>
      <c r="IG537" s="114"/>
      <c r="IH537" s="114"/>
      <c r="II537" s="114"/>
      <c r="IJ537" s="114"/>
      <c r="IK537" s="114"/>
      <c r="IL537" s="114"/>
      <c r="IM537" s="114"/>
      <c r="IN537" s="114"/>
      <c r="IO537" s="114"/>
      <c r="IP537" s="114"/>
      <c r="IQ537" s="114"/>
      <c r="IR537" s="114"/>
      <c r="IS537" s="114"/>
      <c r="IT537" s="114"/>
      <c r="IU537" s="114"/>
      <c r="IV537" s="114"/>
      <c r="IW537" s="114"/>
      <c r="IX537" s="114"/>
      <c r="IY537" s="114"/>
      <c r="IZ537" s="114"/>
      <c r="JA537" s="114"/>
      <c r="JB537" s="114"/>
      <c r="JC537" s="114"/>
      <c r="JD537" s="114"/>
      <c r="JE537" s="114"/>
      <c r="JF537" s="114"/>
      <c r="JG537" s="114"/>
      <c r="JH537" s="114"/>
      <c r="JI537" s="114"/>
      <c r="JJ537" s="114"/>
      <c r="JK537" s="114"/>
      <c r="JL537" s="114"/>
      <c r="JM537" s="114"/>
      <c r="JN537" s="114"/>
      <c r="JO537" s="114"/>
      <c r="JP537" s="114"/>
      <c r="JQ537" s="114"/>
      <c r="JR537" s="114"/>
      <c r="JS537" s="114"/>
      <c r="JT537" s="114"/>
      <c r="JU537" s="114"/>
      <c r="JV537" s="114"/>
      <c r="JW537" s="114"/>
      <c r="JX537" s="114"/>
      <c r="JY537" s="114"/>
      <c r="JZ537" s="114"/>
      <c r="KA537" s="114"/>
      <c r="KB537" s="114"/>
      <c r="KC537" s="114"/>
      <c r="KD537" s="114"/>
      <c r="KE537" s="114"/>
      <c r="KF537" s="114"/>
      <c r="KG537" s="114"/>
      <c r="KH537" s="114"/>
      <c r="KI537" s="114"/>
      <c r="KJ537" s="114"/>
      <c r="KK537" s="114"/>
      <c r="KL537" s="114"/>
      <c r="KM537" s="114"/>
      <c r="KN537" s="114"/>
      <c r="KO537" s="114"/>
      <c r="KP537" s="114"/>
      <c r="KQ537" s="114"/>
      <c r="KR537" s="114"/>
      <c r="KS537" s="114"/>
      <c r="KT537" s="114"/>
      <c r="KU537" s="114"/>
      <c r="KV537" s="114"/>
      <c r="KW537" s="114"/>
      <c r="KX537" s="114"/>
      <c r="KY537" s="114"/>
      <c r="KZ537" s="114"/>
      <c r="LA537" s="114"/>
      <c r="LB537" s="114"/>
      <c r="LC537" s="114"/>
      <c r="LD537" s="114"/>
      <c r="LE537" s="114"/>
      <c r="LF537" s="114"/>
      <c r="LG537" s="114"/>
      <c r="LH537" s="114"/>
      <c r="LI537" s="114"/>
      <c r="LJ537" s="114"/>
      <c r="LK537" s="114"/>
      <c r="LL537" s="114"/>
      <c r="LM537" s="114"/>
      <c r="LN537" s="114"/>
      <c r="LO537" s="114"/>
      <c r="LP537" s="114"/>
      <c r="LQ537" s="114"/>
      <c r="LR537" s="114"/>
      <c r="LS537" s="114"/>
      <c r="LT537" s="114"/>
      <c r="LU537" s="114"/>
      <c r="LV537" s="114"/>
      <c r="LW537" s="114"/>
      <c r="LX537" s="114"/>
      <c r="LY537" s="114"/>
      <c r="LZ537" s="114"/>
      <c r="MA537" s="114"/>
      <c r="MB537" s="114"/>
      <c r="MC537" s="114"/>
      <c r="MD537" s="114"/>
      <c r="ME537" s="114"/>
      <c r="MF537" s="114"/>
      <c r="MG537" s="114"/>
      <c r="MH537" s="114"/>
      <c r="MI537" s="114"/>
      <c r="MJ537" s="114"/>
      <c r="MK537" s="114"/>
      <c r="ML537" s="114"/>
      <c r="MM537" s="114"/>
      <c r="MN537" s="114"/>
      <c r="MO537" s="114"/>
      <c r="MP537" s="114"/>
      <c r="MQ537" s="114"/>
      <c r="MR537" s="114"/>
      <c r="MS537" s="114"/>
      <c r="MT537" s="114"/>
      <c r="MU537" s="114"/>
      <c r="MV537" s="114"/>
      <c r="MW537" s="114"/>
      <c r="MX537" s="114"/>
      <c r="MY537" s="114"/>
      <c r="MZ537" s="114"/>
      <c r="NA537" s="114"/>
      <c r="NB537" s="114"/>
      <c r="NC537" s="114"/>
      <c r="ND537" s="114"/>
      <c r="NE537" s="114"/>
      <c r="NF537" s="114"/>
      <c r="NG537" s="114"/>
      <c r="NH537" s="114"/>
      <c r="NI537" s="114"/>
      <c r="NJ537" s="114"/>
      <c r="NK537" s="114"/>
      <c r="NL537" s="114"/>
      <c r="NM537" s="114"/>
      <c r="NN537" s="114"/>
      <c r="NO537" s="114"/>
      <c r="NP537" s="114"/>
      <c r="NQ537" s="114"/>
      <c r="NR537" s="114"/>
      <c r="NS537" s="114"/>
      <c r="NT537" s="114"/>
      <c r="NU537" s="114"/>
      <c r="NV537" s="114"/>
      <c r="NW537" s="114"/>
      <c r="NX537" s="114"/>
      <c r="NY537" s="114"/>
      <c r="NZ537" s="114"/>
      <c r="OA537" s="114"/>
      <c r="OB537" s="114"/>
      <c r="OC537" s="114"/>
      <c r="OD537" s="114"/>
      <c r="OE537" s="114"/>
      <c r="OF537" s="114"/>
      <c r="OG537" s="114"/>
      <c r="OH537" s="114"/>
      <c r="OI537" s="114"/>
      <c r="OJ537" s="114"/>
      <c r="OK537" s="114"/>
      <c r="OL537" s="114"/>
      <c r="OM537" s="114"/>
      <c r="ON537" s="114"/>
      <c r="OO537" s="114"/>
      <c r="OP537" s="114"/>
      <c r="OQ537" s="114"/>
      <c r="OR537" s="114"/>
      <c r="OS537" s="114"/>
      <c r="OT537" s="114"/>
      <c r="OU537" s="114"/>
      <c r="OV537" s="114"/>
      <c r="OW537" s="114"/>
      <c r="OX537" s="114"/>
      <c r="OY537" s="114"/>
      <c r="OZ537" s="114"/>
      <c r="PA537" s="114"/>
      <c r="PB537" s="114"/>
      <c r="PC537" s="114"/>
      <c r="PD537" s="114"/>
      <c r="PE537" s="114"/>
      <c r="PF537" s="114"/>
      <c r="PG537" s="114"/>
      <c r="PH537" s="114"/>
      <c r="PI537" s="114"/>
      <c r="PJ537" s="114"/>
      <c r="PK537" s="114"/>
      <c r="PL537" s="114"/>
      <c r="PM537" s="114"/>
      <c r="PN537" s="114"/>
      <c r="PO537" s="114"/>
      <c r="PP537" s="114"/>
      <c r="PQ537" s="114"/>
      <c r="PR537" s="114"/>
      <c r="PS537" s="114"/>
      <c r="PT537" s="114"/>
      <c r="PU537" s="114"/>
      <c r="PV537" s="114"/>
      <c r="PW537" s="114"/>
      <c r="PX537" s="114"/>
      <c r="PY537" s="114"/>
      <c r="PZ537" s="114"/>
      <c r="QA537" s="114"/>
      <c r="QB537" s="114"/>
      <c r="QC537" s="114"/>
      <c r="QD537" s="114"/>
      <c r="QE537" s="114"/>
      <c r="QF537" s="114"/>
      <c r="QG537" s="114"/>
      <c r="QH537" s="114"/>
      <c r="QI537" s="114"/>
      <c r="QJ537" s="114"/>
      <c r="QK537" s="114"/>
      <c r="QL537" s="114"/>
      <c r="QM537" s="114"/>
      <c r="QN537" s="114"/>
      <c r="QO537" s="114"/>
      <c r="QP537" s="114"/>
      <c r="QQ537" s="114"/>
      <c r="QR537" s="114"/>
      <c r="QS537" s="114"/>
      <c r="QT537" s="114"/>
      <c r="QU537" s="114"/>
      <c r="QV537" s="114"/>
      <c r="QW537" s="114"/>
      <c r="QX537" s="114"/>
      <c r="QY537" s="114"/>
      <c r="QZ537" s="114"/>
      <c r="RA537" s="114"/>
      <c r="RB537" s="114"/>
      <c r="RC537" s="114"/>
      <c r="RD537" s="114"/>
      <c r="RE537" s="114"/>
      <c r="RF537" s="114"/>
      <c r="RG537" s="114"/>
      <c r="RH537" s="114"/>
      <c r="RI537" s="114"/>
      <c r="RJ537" s="114"/>
      <c r="RK537" s="114"/>
      <c r="RL537" s="114"/>
      <c r="RM537" s="114"/>
      <c r="RN537" s="114"/>
      <c r="RO537" s="114"/>
      <c r="RP537" s="114"/>
      <c r="RQ537" s="114"/>
      <c r="RR537" s="114"/>
      <c r="RS537" s="114"/>
      <c r="RT537" s="114"/>
      <c r="RU537" s="114"/>
      <c r="RV537" s="114"/>
      <c r="RW537" s="114"/>
      <c r="RX537" s="114"/>
      <c r="RY537" s="114"/>
      <c r="RZ537" s="114"/>
      <c r="SA537" s="114"/>
      <c r="SB537" s="114"/>
      <c r="SC537" s="114"/>
      <c r="SD537" s="114"/>
      <c r="SE537" s="114"/>
      <c r="SF537" s="114"/>
      <c r="SG537" s="114"/>
      <c r="SH537" s="114"/>
      <c r="SI537" s="114"/>
      <c r="SJ537" s="114"/>
      <c r="SK537" s="114"/>
      <c r="SL537" s="114"/>
      <c r="SM537" s="114"/>
      <c r="SN537" s="114"/>
      <c r="SO537" s="114"/>
      <c r="SP537" s="114"/>
      <c r="SQ537" s="114"/>
      <c r="SR537" s="114"/>
      <c r="SS537" s="114"/>
      <c r="ST537" s="114"/>
      <c r="SU537" s="114"/>
      <c r="SV537" s="114"/>
      <c r="SW537" s="114"/>
      <c r="SX537" s="114"/>
      <c r="SY537" s="114"/>
      <c r="SZ537" s="114"/>
      <c r="TA537" s="114"/>
      <c r="TB537" s="114"/>
      <c r="TC537" s="114"/>
      <c r="TD537" s="114"/>
      <c r="TE537" s="114"/>
      <c r="TF537" s="114"/>
      <c r="TG537" s="114"/>
      <c r="TH537" s="114"/>
      <c r="TI537" s="114"/>
      <c r="TJ537" s="114"/>
      <c r="TK537" s="114"/>
      <c r="TL537" s="114"/>
      <c r="TM537" s="114"/>
      <c r="TN537" s="114"/>
      <c r="TO537" s="114"/>
      <c r="TP537" s="114"/>
      <c r="TQ537" s="114"/>
      <c r="TR537" s="114"/>
      <c r="TS537" s="114"/>
      <c r="TT537" s="114"/>
      <c r="TU537" s="114"/>
      <c r="TV537" s="114"/>
      <c r="TW537" s="114"/>
      <c r="TX537" s="114"/>
      <c r="TY537" s="114"/>
      <c r="TZ537" s="114"/>
      <c r="UA537" s="114"/>
      <c r="UB537" s="114"/>
      <c r="UC537" s="114"/>
      <c r="UD537" s="114"/>
      <c r="UE537" s="114"/>
      <c r="UF537" s="114"/>
      <c r="UG537" s="115"/>
    </row>
    <row r="538" spans="1:553" s="109" customFormat="1" ht="30.75" customHeight="1">
      <c r="A538" s="356" t="s">
        <v>15</v>
      </c>
      <c r="B538" s="356"/>
      <c r="C538" s="384" t="s">
        <v>23</v>
      </c>
      <c r="D538" s="376" t="s">
        <v>70</v>
      </c>
      <c r="E538" s="376" t="s">
        <v>304</v>
      </c>
      <c r="F538" s="385"/>
      <c r="G538" s="386" t="s">
        <v>935</v>
      </c>
      <c r="H538" s="370"/>
      <c r="I538" s="422">
        <v>126.1</v>
      </c>
      <c r="J538" s="368">
        <v>72000</v>
      </c>
      <c r="K538" s="850">
        <v>3</v>
      </c>
      <c r="L538" s="366">
        <f t="shared" ref="L538:L552" si="97">PRODUCT(I538:K538)</f>
        <v>27237600</v>
      </c>
      <c r="M538" s="366"/>
      <c r="N538" s="366"/>
      <c r="O538" s="366"/>
      <c r="P538" s="366"/>
      <c r="Q538" s="1135"/>
      <c r="R538" s="1467"/>
      <c r="S538" s="308"/>
      <c r="T538" s="308"/>
      <c r="U538" s="308"/>
      <c r="V538" s="308"/>
      <c r="W538" s="308"/>
      <c r="X538" s="308"/>
      <c r="Y538" s="308"/>
      <c r="Z538" s="604"/>
      <c r="AA538" s="308"/>
      <c r="AB538" s="308"/>
      <c r="AC538" s="449"/>
      <c r="AD538" s="452"/>
      <c r="AE538" s="452"/>
      <c r="AF538" s="452"/>
      <c r="AG538" s="452"/>
      <c r="AH538" s="452"/>
      <c r="AI538" s="452"/>
      <c r="AJ538" s="452"/>
      <c r="AK538" s="452"/>
      <c r="AL538" s="117"/>
      <c r="AM538" s="113"/>
      <c r="AN538" s="113"/>
      <c r="AO538" s="113"/>
      <c r="AP538" s="113"/>
      <c r="AQ538" s="113"/>
      <c r="AR538" s="113"/>
      <c r="AS538" s="113"/>
      <c r="AT538" s="113"/>
      <c r="AU538" s="113"/>
      <c r="AV538" s="113"/>
      <c r="AW538" s="113"/>
      <c r="AX538" s="113"/>
      <c r="AY538" s="113"/>
      <c r="AZ538" s="113"/>
      <c r="BA538" s="113"/>
      <c r="BB538" s="113"/>
      <c r="BC538" s="113"/>
      <c r="BD538" s="113"/>
      <c r="BE538" s="113"/>
      <c r="BF538" s="113"/>
      <c r="BG538" s="113"/>
      <c r="BH538" s="113"/>
      <c r="BI538" s="113"/>
      <c r="BJ538" s="113"/>
      <c r="BK538" s="113"/>
      <c r="BL538" s="113"/>
      <c r="BM538" s="113"/>
      <c r="BN538" s="113"/>
      <c r="BO538" s="113"/>
      <c r="BP538" s="113"/>
      <c r="BQ538" s="113"/>
      <c r="BR538" s="113"/>
      <c r="BS538" s="113"/>
      <c r="BT538" s="113"/>
      <c r="BU538" s="113"/>
      <c r="BV538" s="113"/>
      <c r="BW538" s="113"/>
      <c r="BX538" s="113"/>
      <c r="BY538" s="113"/>
      <c r="BZ538" s="113"/>
      <c r="CA538" s="113"/>
      <c r="CB538" s="113"/>
      <c r="CC538" s="113"/>
      <c r="CD538" s="113"/>
      <c r="CE538" s="113"/>
      <c r="CF538" s="113"/>
      <c r="CG538" s="113"/>
      <c r="CH538" s="113"/>
      <c r="CI538" s="113"/>
      <c r="CJ538" s="113"/>
      <c r="CK538" s="113"/>
      <c r="CL538" s="113"/>
      <c r="CM538" s="113"/>
      <c r="CN538" s="113"/>
      <c r="CO538" s="113"/>
      <c r="CP538" s="113"/>
      <c r="CQ538" s="113"/>
      <c r="CR538" s="113"/>
      <c r="CS538" s="113"/>
      <c r="CT538" s="113"/>
      <c r="CU538" s="113"/>
      <c r="CV538" s="113"/>
      <c r="CW538" s="113"/>
      <c r="CX538" s="113"/>
      <c r="CY538" s="113"/>
      <c r="CZ538" s="113"/>
      <c r="DA538" s="113"/>
      <c r="DB538" s="113"/>
      <c r="DC538" s="113"/>
      <c r="DD538" s="113"/>
      <c r="DE538" s="113"/>
      <c r="DF538" s="113"/>
      <c r="DG538" s="113"/>
      <c r="DH538" s="113"/>
      <c r="DI538" s="113"/>
      <c r="DJ538" s="113"/>
      <c r="DK538" s="113"/>
      <c r="DL538" s="113"/>
      <c r="DM538" s="113"/>
      <c r="DN538" s="113"/>
      <c r="DO538" s="113"/>
      <c r="DP538" s="113"/>
      <c r="DQ538" s="113"/>
      <c r="DR538" s="113"/>
      <c r="DS538" s="113"/>
      <c r="DT538" s="113"/>
      <c r="DU538" s="113"/>
      <c r="DV538" s="113"/>
      <c r="DW538" s="113"/>
      <c r="DX538" s="113"/>
      <c r="DY538" s="113"/>
      <c r="DZ538" s="113"/>
      <c r="EA538" s="113"/>
      <c r="EB538" s="113"/>
      <c r="EC538" s="113"/>
      <c r="ED538" s="113"/>
      <c r="EE538" s="113"/>
      <c r="EF538" s="113"/>
      <c r="EG538" s="113"/>
      <c r="EH538" s="113"/>
      <c r="EI538" s="113"/>
      <c r="EJ538" s="113"/>
      <c r="EK538" s="113"/>
      <c r="EL538" s="113"/>
      <c r="EM538" s="113"/>
      <c r="EN538" s="113"/>
      <c r="EO538" s="113"/>
      <c r="EP538" s="113"/>
      <c r="EQ538" s="113"/>
      <c r="ER538" s="113"/>
      <c r="ES538" s="113"/>
      <c r="ET538" s="113"/>
      <c r="EU538" s="113"/>
      <c r="EV538" s="113"/>
      <c r="EW538" s="113"/>
      <c r="EX538" s="113"/>
      <c r="EY538" s="113"/>
      <c r="EZ538" s="113"/>
      <c r="FA538" s="113"/>
      <c r="FB538" s="113"/>
      <c r="FC538" s="113"/>
      <c r="FD538" s="113"/>
      <c r="FE538" s="113"/>
      <c r="FF538" s="113"/>
      <c r="FG538" s="113"/>
      <c r="FH538" s="113"/>
      <c r="FI538" s="113"/>
      <c r="FJ538" s="113"/>
      <c r="FK538" s="113"/>
      <c r="FL538" s="113"/>
      <c r="FM538" s="113"/>
      <c r="FN538" s="113"/>
      <c r="FO538" s="113"/>
      <c r="FP538" s="113"/>
      <c r="FQ538" s="113"/>
      <c r="FR538" s="113"/>
      <c r="FS538" s="113"/>
      <c r="FT538" s="113"/>
      <c r="FU538" s="113"/>
      <c r="FV538" s="113"/>
      <c r="FW538" s="113"/>
      <c r="FX538" s="113"/>
      <c r="FY538" s="113"/>
      <c r="FZ538" s="113"/>
      <c r="GA538" s="113"/>
      <c r="GB538" s="113"/>
      <c r="GC538" s="113"/>
      <c r="GD538" s="113"/>
      <c r="GE538" s="113"/>
      <c r="GF538" s="113"/>
      <c r="GG538" s="113"/>
      <c r="GH538" s="113"/>
      <c r="GI538" s="113"/>
      <c r="GJ538" s="113"/>
      <c r="GK538" s="113"/>
      <c r="GL538" s="113"/>
      <c r="GM538" s="113"/>
      <c r="GN538" s="113"/>
      <c r="GO538" s="113"/>
      <c r="GP538" s="113"/>
      <c r="GQ538" s="113"/>
      <c r="GR538" s="113"/>
      <c r="GS538" s="113"/>
      <c r="GT538" s="113"/>
      <c r="GU538" s="113"/>
      <c r="GV538" s="113"/>
      <c r="GW538" s="113"/>
      <c r="GX538" s="113"/>
      <c r="GY538" s="113"/>
      <c r="GZ538" s="113"/>
      <c r="HA538" s="113"/>
      <c r="HB538" s="113"/>
      <c r="HC538" s="113"/>
      <c r="HD538" s="113"/>
      <c r="HE538" s="113"/>
      <c r="HF538" s="113"/>
      <c r="HG538" s="113"/>
      <c r="HH538" s="113"/>
      <c r="HI538" s="113"/>
      <c r="HJ538" s="113"/>
      <c r="HK538" s="113"/>
      <c r="HL538" s="113"/>
      <c r="HM538" s="113"/>
      <c r="HN538" s="113"/>
      <c r="HO538" s="113"/>
      <c r="HP538" s="113"/>
      <c r="HQ538" s="113"/>
      <c r="HR538" s="113"/>
      <c r="HS538" s="113"/>
      <c r="HT538" s="113"/>
      <c r="HU538" s="113"/>
      <c r="HV538" s="113"/>
      <c r="HW538" s="113"/>
      <c r="HX538" s="113"/>
      <c r="HY538" s="113"/>
      <c r="HZ538" s="113"/>
      <c r="IA538" s="113"/>
      <c r="IB538" s="113"/>
      <c r="IC538" s="113"/>
      <c r="ID538" s="113"/>
      <c r="IE538" s="113"/>
      <c r="IF538" s="113"/>
      <c r="IG538" s="113"/>
      <c r="IH538" s="113"/>
      <c r="II538" s="113"/>
      <c r="IJ538" s="113"/>
      <c r="IK538" s="113"/>
      <c r="IL538" s="113"/>
      <c r="IM538" s="113"/>
      <c r="IN538" s="113"/>
      <c r="IO538" s="113"/>
      <c r="IP538" s="113"/>
      <c r="IQ538" s="113"/>
      <c r="IR538" s="113"/>
      <c r="IS538" s="113"/>
      <c r="IT538" s="113"/>
      <c r="IU538" s="113"/>
      <c r="IV538" s="113"/>
      <c r="IW538" s="113"/>
      <c r="IX538" s="113"/>
      <c r="IY538" s="113"/>
      <c r="IZ538" s="113"/>
      <c r="JA538" s="113"/>
      <c r="JB538" s="113"/>
      <c r="JC538" s="113"/>
      <c r="JD538" s="113"/>
      <c r="JE538" s="113"/>
      <c r="JF538" s="113"/>
      <c r="JG538" s="113"/>
      <c r="JH538" s="113"/>
      <c r="JI538" s="113"/>
      <c r="JJ538" s="113"/>
      <c r="JK538" s="113"/>
      <c r="JL538" s="113"/>
      <c r="JM538" s="113"/>
      <c r="JN538" s="113"/>
      <c r="JO538" s="113"/>
      <c r="JP538" s="113"/>
      <c r="JQ538" s="113"/>
      <c r="JR538" s="113"/>
      <c r="JS538" s="113"/>
      <c r="JT538" s="113"/>
      <c r="JU538" s="113"/>
      <c r="JV538" s="113"/>
      <c r="JW538" s="113"/>
      <c r="JX538" s="113"/>
      <c r="JY538" s="113"/>
      <c r="JZ538" s="113"/>
      <c r="KA538" s="113"/>
      <c r="KB538" s="113"/>
      <c r="KC538" s="113"/>
      <c r="KD538" s="113"/>
      <c r="KE538" s="113"/>
      <c r="KF538" s="113"/>
      <c r="KG538" s="113"/>
      <c r="KH538" s="113"/>
      <c r="KI538" s="113"/>
      <c r="KJ538" s="113"/>
      <c r="KK538" s="113"/>
      <c r="KL538" s="113"/>
      <c r="KM538" s="113"/>
      <c r="KN538" s="113"/>
      <c r="KO538" s="113"/>
      <c r="KP538" s="113"/>
      <c r="KQ538" s="113"/>
      <c r="KR538" s="113"/>
      <c r="KS538" s="113"/>
      <c r="KT538" s="113"/>
      <c r="KU538" s="113"/>
      <c r="KV538" s="113"/>
      <c r="KW538" s="113"/>
      <c r="KX538" s="113"/>
      <c r="KY538" s="113"/>
      <c r="KZ538" s="113"/>
      <c r="LA538" s="113"/>
      <c r="LB538" s="113"/>
      <c r="LC538" s="113"/>
      <c r="LD538" s="113"/>
      <c r="LE538" s="113"/>
      <c r="LF538" s="113"/>
      <c r="LG538" s="113"/>
      <c r="LH538" s="113"/>
      <c r="LI538" s="113"/>
      <c r="LJ538" s="113"/>
      <c r="LK538" s="113"/>
      <c r="LL538" s="113"/>
      <c r="LM538" s="113"/>
      <c r="LN538" s="113"/>
      <c r="LO538" s="113"/>
      <c r="LP538" s="113"/>
      <c r="LQ538" s="113"/>
      <c r="LR538" s="113"/>
      <c r="LS538" s="113"/>
      <c r="LT538" s="113"/>
      <c r="LU538" s="113"/>
      <c r="LV538" s="113"/>
      <c r="LW538" s="113"/>
      <c r="LX538" s="113"/>
      <c r="LY538" s="113"/>
      <c r="LZ538" s="113"/>
      <c r="MA538" s="113"/>
      <c r="MB538" s="113"/>
      <c r="MC538" s="113"/>
      <c r="MD538" s="113"/>
      <c r="ME538" s="113"/>
      <c r="MF538" s="113"/>
      <c r="MG538" s="113"/>
      <c r="MH538" s="113"/>
      <c r="MI538" s="113"/>
      <c r="MJ538" s="113"/>
      <c r="MK538" s="113"/>
      <c r="ML538" s="113"/>
      <c r="MM538" s="113"/>
      <c r="MN538" s="113"/>
      <c r="MO538" s="113"/>
      <c r="MP538" s="113"/>
      <c r="MQ538" s="113"/>
      <c r="MR538" s="113"/>
      <c r="MS538" s="113"/>
      <c r="MT538" s="113"/>
      <c r="MU538" s="113"/>
      <c r="MV538" s="113"/>
      <c r="MW538" s="113"/>
      <c r="MX538" s="113"/>
      <c r="MY538" s="113"/>
      <c r="MZ538" s="113"/>
      <c r="NA538" s="113"/>
      <c r="NB538" s="113"/>
      <c r="NC538" s="113"/>
      <c r="ND538" s="113"/>
      <c r="NE538" s="113"/>
      <c r="NF538" s="113"/>
      <c r="NG538" s="113"/>
      <c r="NH538" s="113"/>
      <c r="NI538" s="113"/>
      <c r="NJ538" s="113"/>
      <c r="NK538" s="113"/>
      <c r="NL538" s="113"/>
      <c r="NM538" s="113"/>
      <c r="NN538" s="113"/>
      <c r="NO538" s="113"/>
      <c r="NP538" s="113"/>
      <c r="NQ538" s="113"/>
      <c r="NR538" s="113"/>
      <c r="NS538" s="113"/>
      <c r="NT538" s="113"/>
      <c r="NU538" s="113"/>
      <c r="NV538" s="113"/>
      <c r="NW538" s="113"/>
      <c r="NX538" s="113"/>
      <c r="NY538" s="113"/>
      <c r="NZ538" s="113"/>
      <c r="OA538" s="113"/>
      <c r="OB538" s="113"/>
      <c r="OC538" s="113"/>
      <c r="OD538" s="113"/>
      <c r="OE538" s="113"/>
      <c r="OF538" s="113"/>
      <c r="OG538" s="113"/>
      <c r="OH538" s="113"/>
      <c r="OI538" s="113"/>
      <c r="OJ538" s="113"/>
      <c r="OK538" s="113"/>
      <c r="OL538" s="113"/>
      <c r="OM538" s="113"/>
      <c r="ON538" s="113"/>
      <c r="OO538" s="113"/>
      <c r="OP538" s="113"/>
      <c r="OQ538" s="113"/>
      <c r="OR538" s="113"/>
      <c r="OS538" s="113"/>
      <c r="OT538" s="113"/>
      <c r="OU538" s="113"/>
      <c r="OV538" s="113"/>
      <c r="OW538" s="113"/>
      <c r="OX538" s="113"/>
      <c r="OY538" s="113"/>
      <c r="OZ538" s="113"/>
      <c r="PA538" s="113"/>
      <c r="PB538" s="113"/>
      <c r="PC538" s="113"/>
      <c r="PD538" s="113"/>
      <c r="PE538" s="113"/>
      <c r="PF538" s="113"/>
      <c r="PG538" s="113"/>
      <c r="PH538" s="113"/>
      <c r="PI538" s="113"/>
      <c r="PJ538" s="113"/>
      <c r="PK538" s="113"/>
      <c r="PL538" s="113"/>
      <c r="PM538" s="113"/>
      <c r="PN538" s="113"/>
      <c r="PO538" s="113"/>
      <c r="PP538" s="113"/>
      <c r="PQ538" s="113"/>
      <c r="PR538" s="113"/>
      <c r="PS538" s="113"/>
      <c r="PT538" s="113"/>
      <c r="PU538" s="113"/>
      <c r="PV538" s="113"/>
      <c r="PW538" s="113"/>
      <c r="PX538" s="113"/>
      <c r="PY538" s="113"/>
      <c r="PZ538" s="113"/>
      <c r="QA538" s="113"/>
      <c r="QB538" s="113"/>
      <c r="QC538" s="113"/>
      <c r="QD538" s="113"/>
      <c r="QE538" s="113"/>
      <c r="QF538" s="113"/>
      <c r="QG538" s="113"/>
      <c r="QH538" s="113"/>
      <c r="QI538" s="113"/>
      <c r="QJ538" s="113"/>
      <c r="QK538" s="113"/>
      <c r="QL538" s="113"/>
      <c r="QM538" s="113"/>
      <c r="QN538" s="113"/>
      <c r="QO538" s="113"/>
      <c r="QP538" s="113"/>
      <c r="QQ538" s="113"/>
      <c r="QR538" s="113"/>
      <c r="QS538" s="113"/>
      <c r="QT538" s="113"/>
      <c r="QU538" s="113"/>
      <c r="QV538" s="113"/>
      <c r="QW538" s="113"/>
      <c r="QX538" s="113"/>
      <c r="QY538" s="113"/>
      <c r="QZ538" s="113"/>
      <c r="RA538" s="113"/>
      <c r="RB538" s="113"/>
      <c r="RC538" s="113"/>
      <c r="RD538" s="113"/>
      <c r="RE538" s="113"/>
      <c r="RF538" s="113"/>
      <c r="RG538" s="113"/>
      <c r="RH538" s="113"/>
      <c r="RI538" s="113"/>
      <c r="RJ538" s="113"/>
      <c r="RK538" s="113"/>
      <c r="RL538" s="113"/>
      <c r="RM538" s="113"/>
      <c r="RN538" s="113"/>
      <c r="RO538" s="113"/>
      <c r="RP538" s="113"/>
      <c r="RQ538" s="113"/>
      <c r="RR538" s="113"/>
      <c r="RS538" s="113"/>
      <c r="RT538" s="113"/>
      <c r="RU538" s="113"/>
      <c r="RV538" s="113"/>
      <c r="RW538" s="113"/>
      <c r="RX538" s="113"/>
      <c r="RY538" s="113"/>
      <c r="RZ538" s="113"/>
      <c r="SA538" s="113"/>
      <c r="SB538" s="113"/>
      <c r="SC538" s="113"/>
      <c r="SD538" s="113"/>
      <c r="SE538" s="113"/>
      <c r="SF538" s="113"/>
      <c r="SG538" s="113"/>
      <c r="SH538" s="113"/>
      <c r="SI538" s="113"/>
      <c r="SJ538" s="113"/>
      <c r="SK538" s="113"/>
      <c r="SL538" s="113"/>
      <c r="SM538" s="113"/>
      <c r="SN538" s="113"/>
      <c r="SO538" s="113"/>
      <c r="SP538" s="113"/>
      <c r="SQ538" s="113"/>
      <c r="SR538" s="113"/>
      <c r="SS538" s="113"/>
      <c r="ST538" s="113"/>
      <c r="SU538" s="113"/>
      <c r="SV538" s="113"/>
      <c r="SW538" s="113"/>
      <c r="SX538" s="113"/>
      <c r="SY538" s="113"/>
      <c r="SZ538" s="113"/>
      <c r="TA538" s="113"/>
      <c r="TB538" s="113"/>
      <c r="TC538" s="113"/>
      <c r="TD538" s="113"/>
      <c r="TE538" s="113"/>
      <c r="TF538" s="113"/>
      <c r="TG538" s="113"/>
      <c r="TH538" s="113"/>
      <c r="TI538" s="113"/>
      <c r="TJ538" s="113"/>
      <c r="TK538" s="113"/>
      <c r="TL538" s="113"/>
      <c r="TM538" s="113"/>
      <c r="TN538" s="113"/>
      <c r="TO538" s="113"/>
      <c r="TP538" s="113"/>
      <c r="TQ538" s="113"/>
      <c r="TR538" s="113"/>
      <c r="TS538" s="113"/>
      <c r="TT538" s="113"/>
      <c r="TU538" s="113"/>
      <c r="TV538" s="113"/>
      <c r="TW538" s="113"/>
      <c r="TX538" s="113"/>
      <c r="TY538" s="113"/>
      <c r="TZ538" s="113"/>
      <c r="UA538" s="113"/>
      <c r="UB538" s="113"/>
      <c r="UC538" s="113"/>
      <c r="UD538" s="113"/>
      <c r="UE538" s="113"/>
      <c r="UF538" s="113"/>
      <c r="UG538" s="126"/>
    </row>
    <row r="539" spans="1:553" s="109" customFormat="1" ht="30.75" customHeight="1">
      <c r="A539" s="356" t="s">
        <v>15</v>
      </c>
      <c r="B539" s="356"/>
      <c r="C539" s="384" t="s">
        <v>23</v>
      </c>
      <c r="D539" s="376" t="s">
        <v>70</v>
      </c>
      <c r="E539" s="376" t="s">
        <v>306</v>
      </c>
      <c r="F539" s="385"/>
      <c r="G539" s="386" t="s">
        <v>935</v>
      </c>
      <c r="H539" s="370"/>
      <c r="I539" s="422">
        <v>182.3</v>
      </c>
      <c r="J539" s="368">
        <v>72000</v>
      </c>
      <c r="K539" s="850">
        <v>3</v>
      </c>
      <c r="L539" s="366">
        <f t="shared" si="97"/>
        <v>39376800</v>
      </c>
      <c r="M539" s="366"/>
      <c r="N539" s="366"/>
      <c r="O539" s="366"/>
      <c r="P539" s="366"/>
      <c r="Q539" s="1135"/>
      <c r="R539" s="1467"/>
      <c r="S539" s="308"/>
      <c r="T539" s="308"/>
      <c r="U539" s="308"/>
      <c r="V539" s="308"/>
      <c r="W539" s="308"/>
      <c r="X539" s="308"/>
      <c r="Y539" s="308"/>
      <c r="Z539" s="604"/>
      <c r="AA539" s="308"/>
      <c r="AB539" s="308"/>
      <c r="AC539" s="449"/>
      <c r="AD539" s="452"/>
      <c r="AE539" s="452"/>
      <c r="AF539" s="452"/>
      <c r="AG539" s="452"/>
      <c r="AH539" s="452"/>
      <c r="AI539" s="452"/>
      <c r="AJ539" s="452"/>
      <c r="AK539" s="452"/>
      <c r="AL539" s="117"/>
      <c r="AM539" s="113"/>
      <c r="AN539" s="113"/>
      <c r="AO539" s="113"/>
      <c r="AP539" s="113"/>
      <c r="AQ539" s="113"/>
      <c r="AR539" s="113"/>
      <c r="AS539" s="113"/>
      <c r="AT539" s="113"/>
      <c r="AU539" s="113"/>
      <c r="AV539" s="113"/>
      <c r="AW539" s="113"/>
      <c r="AX539" s="113"/>
      <c r="AY539" s="113"/>
      <c r="AZ539" s="113"/>
      <c r="BA539" s="113"/>
      <c r="BB539" s="113"/>
      <c r="BC539" s="113"/>
      <c r="BD539" s="113"/>
      <c r="BE539" s="113"/>
      <c r="BF539" s="113"/>
      <c r="BG539" s="113"/>
      <c r="BH539" s="113"/>
      <c r="BI539" s="113"/>
      <c r="BJ539" s="113"/>
      <c r="BK539" s="113"/>
      <c r="BL539" s="113"/>
      <c r="BM539" s="113"/>
      <c r="BN539" s="113"/>
      <c r="BO539" s="113"/>
      <c r="BP539" s="113"/>
      <c r="BQ539" s="113"/>
      <c r="BR539" s="113"/>
      <c r="BS539" s="113"/>
      <c r="BT539" s="113"/>
      <c r="BU539" s="113"/>
      <c r="BV539" s="113"/>
      <c r="BW539" s="113"/>
      <c r="BX539" s="113"/>
      <c r="BY539" s="113"/>
      <c r="BZ539" s="113"/>
      <c r="CA539" s="113"/>
      <c r="CB539" s="113"/>
      <c r="CC539" s="113"/>
      <c r="CD539" s="113"/>
      <c r="CE539" s="113"/>
      <c r="CF539" s="113"/>
      <c r="CG539" s="113"/>
      <c r="CH539" s="113"/>
      <c r="CI539" s="113"/>
      <c r="CJ539" s="113"/>
      <c r="CK539" s="113"/>
      <c r="CL539" s="113"/>
      <c r="CM539" s="113"/>
      <c r="CN539" s="113"/>
      <c r="CO539" s="113"/>
      <c r="CP539" s="113"/>
      <c r="CQ539" s="113"/>
      <c r="CR539" s="113"/>
      <c r="CS539" s="113"/>
      <c r="CT539" s="113"/>
      <c r="CU539" s="113"/>
      <c r="CV539" s="113"/>
      <c r="CW539" s="113"/>
      <c r="CX539" s="113"/>
      <c r="CY539" s="113"/>
      <c r="CZ539" s="113"/>
      <c r="DA539" s="113"/>
      <c r="DB539" s="113"/>
      <c r="DC539" s="113"/>
      <c r="DD539" s="113"/>
      <c r="DE539" s="113"/>
      <c r="DF539" s="113"/>
      <c r="DG539" s="113"/>
      <c r="DH539" s="113"/>
      <c r="DI539" s="113"/>
      <c r="DJ539" s="113"/>
      <c r="DK539" s="113"/>
      <c r="DL539" s="113"/>
      <c r="DM539" s="113"/>
      <c r="DN539" s="113"/>
      <c r="DO539" s="113"/>
      <c r="DP539" s="113"/>
      <c r="DQ539" s="113"/>
      <c r="DR539" s="113"/>
      <c r="DS539" s="113"/>
      <c r="DT539" s="113"/>
      <c r="DU539" s="113"/>
      <c r="DV539" s="113"/>
      <c r="DW539" s="113"/>
      <c r="DX539" s="113"/>
      <c r="DY539" s="113"/>
      <c r="DZ539" s="113"/>
      <c r="EA539" s="113"/>
      <c r="EB539" s="113"/>
      <c r="EC539" s="113"/>
      <c r="ED539" s="113"/>
      <c r="EE539" s="113"/>
      <c r="EF539" s="113"/>
      <c r="EG539" s="113"/>
      <c r="EH539" s="113"/>
      <c r="EI539" s="113"/>
      <c r="EJ539" s="113"/>
      <c r="EK539" s="113"/>
      <c r="EL539" s="113"/>
      <c r="EM539" s="113"/>
      <c r="EN539" s="113"/>
      <c r="EO539" s="113"/>
      <c r="EP539" s="113"/>
      <c r="EQ539" s="113"/>
      <c r="ER539" s="113"/>
      <c r="ES539" s="113"/>
      <c r="ET539" s="113"/>
      <c r="EU539" s="113"/>
      <c r="EV539" s="113"/>
      <c r="EW539" s="113"/>
      <c r="EX539" s="113"/>
      <c r="EY539" s="113"/>
      <c r="EZ539" s="113"/>
      <c r="FA539" s="113"/>
      <c r="FB539" s="113"/>
      <c r="FC539" s="113"/>
      <c r="FD539" s="113"/>
      <c r="FE539" s="113"/>
      <c r="FF539" s="113"/>
      <c r="FG539" s="113"/>
      <c r="FH539" s="113"/>
      <c r="FI539" s="113"/>
      <c r="FJ539" s="113"/>
      <c r="FK539" s="113"/>
      <c r="FL539" s="113"/>
      <c r="FM539" s="113"/>
      <c r="FN539" s="113"/>
      <c r="FO539" s="113"/>
      <c r="FP539" s="113"/>
      <c r="FQ539" s="113"/>
      <c r="FR539" s="113"/>
      <c r="FS539" s="113"/>
      <c r="FT539" s="113"/>
      <c r="FU539" s="113"/>
      <c r="FV539" s="113"/>
      <c r="FW539" s="113"/>
      <c r="FX539" s="113"/>
      <c r="FY539" s="113"/>
      <c r="FZ539" s="113"/>
      <c r="GA539" s="113"/>
      <c r="GB539" s="113"/>
      <c r="GC539" s="113"/>
      <c r="GD539" s="113"/>
      <c r="GE539" s="113"/>
      <c r="GF539" s="113"/>
      <c r="GG539" s="113"/>
      <c r="GH539" s="113"/>
      <c r="GI539" s="113"/>
      <c r="GJ539" s="113"/>
      <c r="GK539" s="113"/>
      <c r="GL539" s="113"/>
      <c r="GM539" s="113"/>
      <c r="GN539" s="113"/>
      <c r="GO539" s="113"/>
      <c r="GP539" s="113"/>
      <c r="GQ539" s="113"/>
      <c r="GR539" s="113"/>
      <c r="GS539" s="113"/>
      <c r="GT539" s="113"/>
      <c r="GU539" s="113"/>
      <c r="GV539" s="113"/>
      <c r="GW539" s="113"/>
      <c r="GX539" s="113"/>
      <c r="GY539" s="113"/>
      <c r="GZ539" s="113"/>
      <c r="HA539" s="113"/>
      <c r="HB539" s="113"/>
      <c r="HC539" s="113"/>
      <c r="HD539" s="113"/>
      <c r="HE539" s="113"/>
      <c r="HF539" s="113"/>
      <c r="HG539" s="113"/>
      <c r="HH539" s="113"/>
      <c r="HI539" s="113"/>
      <c r="HJ539" s="113"/>
      <c r="HK539" s="113"/>
      <c r="HL539" s="113"/>
      <c r="HM539" s="113"/>
      <c r="HN539" s="113"/>
      <c r="HO539" s="113"/>
      <c r="HP539" s="113"/>
      <c r="HQ539" s="113"/>
      <c r="HR539" s="113"/>
      <c r="HS539" s="113"/>
      <c r="HT539" s="113"/>
      <c r="HU539" s="113"/>
      <c r="HV539" s="113"/>
      <c r="HW539" s="113"/>
      <c r="HX539" s="113"/>
      <c r="HY539" s="113"/>
      <c r="HZ539" s="113"/>
      <c r="IA539" s="113"/>
      <c r="IB539" s="113"/>
      <c r="IC539" s="113"/>
      <c r="ID539" s="113"/>
      <c r="IE539" s="113"/>
      <c r="IF539" s="113"/>
      <c r="IG539" s="113"/>
      <c r="IH539" s="113"/>
      <c r="II539" s="113"/>
      <c r="IJ539" s="113"/>
      <c r="IK539" s="113"/>
      <c r="IL539" s="113"/>
      <c r="IM539" s="113"/>
      <c r="IN539" s="113"/>
      <c r="IO539" s="113"/>
      <c r="IP539" s="113"/>
      <c r="IQ539" s="113"/>
      <c r="IR539" s="113"/>
      <c r="IS539" s="113"/>
      <c r="IT539" s="113"/>
      <c r="IU539" s="113"/>
      <c r="IV539" s="113"/>
      <c r="IW539" s="113"/>
      <c r="IX539" s="113"/>
      <c r="IY539" s="113"/>
      <c r="IZ539" s="113"/>
      <c r="JA539" s="113"/>
      <c r="JB539" s="113"/>
      <c r="JC539" s="113"/>
      <c r="JD539" s="113"/>
      <c r="JE539" s="113"/>
      <c r="JF539" s="113"/>
      <c r="JG539" s="113"/>
      <c r="JH539" s="113"/>
      <c r="JI539" s="113"/>
      <c r="JJ539" s="113"/>
      <c r="JK539" s="113"/>
      <c r="JL539" s="113"/>
      <c r="JM539" s="113"/>
      <c r="JN539" s="113"/>
      <c r="JO539" s="113"/>
      <c r="JP539" s="113"/>
      <c r="JQ539" s="113"/>
      <c r="JR539" s="113"/>
      <c r="JS539" s="113"/>
      <c r="JT539" s="113"/>
      <c r="JU539" s="113"/>
      <c r="JV539" s="113"/>
      <c r="JW539" s="113"/>
      <c r="JX539" s="113"/>
      <c r="JY539" s="113"/>
      <c r="JZ539" s="113"/>
      <c r="KA539" s="113"/>
      <c r="KB539" s="113"/>
      <c r="KC539" s="113"/>
      <c r="KD539" s="113"/>
      <c r="KE539" s="113"/>
      <c r="KF539" s="113"/>
      <c r="KG539" s="113"/>
      <c r="KH539" s="113"/>
      <c r="KI539" s="113"/>
      <c r="KJ539" s="113"/>
      <c r="KK539" s="113"/>
      <c r="KL539" s="113"/>
      <c r="KM539" s="113"/>
      <c r="KN539" s="113"/>
      <c r="KO539" s="113"/>
      <c r="KP539" s="113"/>
      <c r="KQ539" s="113"/>
      <c r="KR539" s="113"/>
      <c r="KS539" s="113"/>
      <c r="KT539" s="113"/>
      <c r="KU539" s="113"/>
      <c r="KV539" s="113"/>
      <c r="KW539" s="113"/>
      <c r="KX539" s="113"/>
      <c r="KY539" s="113"/>
      <c r="KZ539" s="113"/>
      <c r="LA539" s="113"/>
      <c r="LB539" s="113"/>
      <c r="LC539" s="113"/>
      <c r="LD539" s="113"/>
      <c r="LE539" s="113"/>
      <c r="LF539" s="113"/>
      <c r="LG539" s="113"/>
      <c r="LH539" s="113"/>
      <c r="LI539" s="113"/>
      <c r="LJ539" s="113"/>
      <c r="LK539" s="113"/>
      <c r="LL539" s="113"/>
      <c r="LM539" s="113"/>
      <c r="LN539" s="113"/>
      <c r="LO539" s="113"/>
      <c r="LP539" s="113"/>
      <c r="LQ539" s="113"/>
      <c r="LR539" s="113"/>
      <c r="LS539" s="113"/>
      <c r="LT539" s="113"/>
      <c r="LU539" s="113"/>
      <c r="LV539" s="113"/>
      <c r="LW539" s="113"/>
      <c r="LX539" s="113"/>
      <c r="LY539" s="113"/>
      <c r="LZ539" s="113"/>
      <c r="MA539" s="113"/>
      <c r="MB539" s="113"/>
      <c r="MC539" s="113"/>
      <c r="MD539" s="113"/>
      <c r="ME539" s="113"/>
      <c r="MF539" s="113"/>
      <c r="MG539" s="113"/>
      <c r="MH539" s="113"/>
      <c r="MI539" s="113"/>
      <c r="MJ539" s="113"/>
      <c r="MK539" s="113"/>
      <c r="ML539" s="113"/>
      <c r="MM539" s="113"/>
      <c r="MN539" s="113"/>
      <c r="MO539" s="113"/>
      <c r="MP539" s="113"/>
      <c r="MQ539" s="113"/>
      <c r="MR539" s="113"/>
      <c r="MS539" s="113"/>
      <c r="MT539" s="113"/>
      <c r="MU539" s="113"/>
      <c r="MV539" s="113"/>
      <c r="MW539" s="113"/>
      <c r="MX539" s="113"/>
      <c r="MY539" s="113"/>
      <c r="MZ539" s="113"/>
      <c r="NA539" s="113"/>
      <c r="NB539" s="113"/>
      <c r="NC539" s="113"/>
      <c r="ND539" s="113"/>
      <c r="NE539" s="113"/>
      <c r="NF539" s="113"/>
      <c r="NG539" s="113"/>
      <c r="NH539" s="113"/>
      <c r="NI539" s="113"/>
      <c r="NJ539" s="113"/>
      <c r="NK539" s="113"/>
      <c r="NL539" s="113"/>
      <c r="NM539" s="113"/>
      <c r="NN539" s="113"/>
      <c r="NO539" s="113"/>
      <c r="NP539" s="113"/>
      <c r="NQ539" s="113"/>
      <c r="NR539" s="113"/>
      <c r="NS539" s="113"/>
      <c r="NT539" s="113"/>
      <c r="NU539" s="113"/>
      <c r="NV539" s="113"/>
      <c r="NW539" s="113"/>
      <c r="NX539" s="113"/>
      <c r="NY539" s="113"/>
      <c r="NZ539" s="113"/>
      <c r="OA539" s="113"/>
      <c r="OB539" s="113"/>
      <c r="OC539" s="113"/>
      <c r="OD539" s="113"/>
      <c r="OE539" s="113"/>
      <c r="OF539" s="113"/>
      <c r="OG539" s="113"/>
      <c r="OH539" s="113"/>
      <c r="OI539" s="113"/>
      <c r="OJ539" s="113"/>
      <c r="OK539" s="113"/>
      <c r="OL539" s="113"/>
      <c r="OM539" s="113"/>
      <c r="ON539" s="113"/>
      <c r="OO539" s="113"/>
      <c r="OP539" s="113"/>
      <c r="OQ539" s="113"/>
      <c r="OR539" s="113"/>
      <c r="OS539" s="113"/>
      <c r="OT539" s="113"/>
      <c r="OU539" s="113"/>
      <c r="OV539" s="113"/>
      <c r="OW539" s="113"/>
      <c r="OX539" s="113"/>
      <c r="OY539" s="113"/>
      <c r="OZ539" s="113"/>
      <c r="PA539" s="113"/>
      <c r="PB539" s="113"/>
      <c r="PC539" s="113"/>
      <c r="PD539" s="113"/>
      <c r="PE539" s="113"/>
      <c r="PF539" s="113"/>
      <c r="PG539" s="113"/>
      <c r="PH539" s="113"/>
      <c r="PI539" s="113"/>
      <c r="PJ539" s="113"/>
      <c r="PK539" s="113"/>
      <c r="PL539" s="113"/>
      <c r="PM539" s="113"/>
      <c r="PN539" s="113"/>
      <c r="PO539" s="113"/>
      <c r="PP539" s="113"/>
      <c r="PQ539" s="113"/>
      <c r="PR539" s="113"/>
      <c r="PS539" s="113"/>
      <c r="PT539" s="113"/>
      <c r="PU539" s="113"/>
      <c r="PV539" s="113"/>
      <c r="PW539" s="113"/>
      <c r="PX539" s="113"/>
      <c r="PY539" s="113"/>
      <c r="PZ539" s="113"/>
      <c r="QA539" s="113"/>
      <c r="QB539" s="113"/>
      <c r="QC539" s="113"/>
      <c r="QD539" s="113"/>
      <c r="QE539" s="113"/>
      <c r="QF539" s="113"/>
      <c r="QG539" s="113"/>
      <c r="QH539" s="113"/>
      <c r="QI539" s="113"/>
      <c r="QJ539" s="113"/>
      <c r="QK539" s="113"/>
      <c r="QL539" s="113"/>
      <c r="QM539" s="113"/>
      <c r="QN539" s="113"/>
      <c r="QO539" s="113"/>
      <c r="QP539" s="113"/>
      <c r="QQ539" s="113"/>
      <c r="QR539" s="113"/>
      <c r="QS539" s="113"/>
      <c r="QT539" s="113"/>
      <c r="QU539" s="113"/>
      <c r="QV539" s="113"/>
      <c r="QW539" s="113"/>
      <c r="QX539" s="113"/>
      <c r="QY539" s="113"/>
      <c r="QZ539" s="113"/>
      <c r="RA539" s="113"/>
      <c r="RB539" s="113"/>
      <c r="RC539" s="113"/>
      <c r="RD539" s="113"/>
      <c r="RE539" s="113"/>
      <c r="RF539" s="113"/>
      <c r="RG539" s="113"/>
      <c r="RH539" s="113"/>
      <c r="RI539" s="113"/>
      <c r="RJ539" s="113"/>
      <c r="RK539" s="113"/>
      <c r="RL539" s="113"/>
      <c r="RM539" s="113"/>
      <c r="RN539" s="113"/>
      <c r="RO539" s="113"/>
      <c r="RP539" s="113"/>
      <c r="RQ539" s="113"/>
      <c r="RR539" s="113"/>
      <c r="RS539" s="113"/>
      <c r="RT539" s="113"/>
      <c r="RU539" s="113"/>
      <c r="RV539" s="113"/>
      <c r="RW539" s="113"/>
      <c r="RX539" s="113"/>
      <c r="RY539" s="113"/>
      <c r="RZ539" s="113"/>
      <c r="SA539" s="113"/>
      <c r="SB539" s="113"/>
      <c r="SC539" s="113"/>
      <c r="SD539" s="113"/>
      <c r="SE539" s="113"/>
      <c r="SF539" s="113"/>
      <c r="SG539" s="113"/>
      <c r="SH539" s="113"/>
      <c r="SI539" s="113"/>
      <c r="SJ539" s="113"/>
      <c r="SK539" s="113"/>
      <c r="SL539" s="113"/>
      <c r="SM539" s="113"/>
      <c r="SN539" s="113"/>
      <c r="SO539" s="113"/>
      <c r="SP539" s="113"/>
      <c r="SQ539" s="113"/>
      <c r="SR539" s="113"/>
      <c r="SS539" s="113"/>
      <c r="ST539" s="113"/>
      <c r="SU539" s="113"/>
      <c r="SV539" s="113"/>
      <c r="SW539" s="113"/>
      <c r="SX539" s="113"/>
      <c r="SY539" s="113"/>
      <c r="SZ539" s="113"/>
      <c r="TA539" s="113"/>
      <c r="TB539" s="113"/>
      <c r="TC539" s="113"/>
      <c r="TD539" s="113"/>
      <c r="TE539" s="113"/>
      <c r="TF539" s="113"/>
      <c r="TG539" s="113"/>
      <c r="TH539" s="113"/>
      <c r="TI539" s="113"/>
      <c r="TJ539" s="113"/>
      <c r="TK539" s="113"/>
      <c r="TL539" s="113"/>
      <c r="TM539" s="113"/>
      <c r="TN539" s="113"/>
      <c r="TO539" s="113"/>
      <c r="TP539" s="113"/>
      <c r="TQ539" s="113"/>
      <c r="TR539" s="113"/>
      <c r="TS539" s="113"/>
      <c r="TT539" s="113"/>
      <c r="TU539" s="113"/>
      <c r="TV539" s="113"/>
      <c r="TW539" s="113"/>
      <c r="TX539" s="113"/>
      <c r="TY539" s="113"/>
      <c r="TZ539" s="113"/>
      <c r="UA539" s="113"/>
      <c r="UB539" s="113"/>
      <c r="UC539" s="113"/>
      <c r="UD539" s="113"/>
      <c r="UE539" s="113"/>
      <c r="UF539" s="113"/>
      <c r="UG539" s="126"/>
    </row>
    <row r="540" spans="1:553" s="109" customFormat="1" ht="30.75" customHeight="1">
      <c r="A540" s="356" t="s">
        <v>15</v>
      </c>
      <c r="B540" s="356"/>
      <c r="C540" s="384" t="s">
        <v>23</v>
      </c>
      <c r="D540" s="376" t="s">
        <v>70</v>
      </c>
      <c r="E540" s="376" t="s">
        <v>308</v>
      </c>
      <c r="F540" s="385"/>
      <c r="G540" s="386" t="s">
        <v>935</v>
      </c>
      <c r="H540" s="370"/>
      <c r="I540" s="422">
        <v>279.39999999999998</v>
      </c>
      <c r="J540" s="1063">
        <v>72000</v>
      </c>
      <c r="K540" s="850">
        <v>3</v>
      </c>
      <c r="L540" s="366">
        <f t="shared" si="97"/>
        <v>60350400</v>
      </c>
      <c r="M540" s="366"/>
      <c r="N540" s="366"/>
      <c r="O540" s="366"/>
      <c r="P540" s="366"/>
      <c r="Q540" s="1135"/>
      <c r="R540" s="1467"/>
      <c r="S540" s="308"/>
      <c r="T540" s="308"/>
      <c r="U540" s="308"/>
      <c r="V540" s="308"/>
      <c r="W540" s="308"/>
      <c r="X540" s="308"/>
      <c r="Y540" s="308"/>
      <c r="Z540" s="604"/>
      <c r="AA540" s="308"/>
      <c r="AB540" s="308"/>
      <c r="AC540" s="449"/>
      <c r="AD540" s="452"/>
      <c r="AE540" s="452"/>
      <c r="AF540" s="452"/>
      <c r="AG540" s="452"/>
      <c r="AH540" s="452"/>
      <c r="AI540" s="452"/>
      <c r="AJ540" s="452"/>
      <c r="AK540" s="452"/>
      <c r="AL540" s="117"/>
      <c r="AM540" s="113"/>
      <c r="AN540" s="113"/>
      <c r="AO540" s="113"/>
      <c r="AP540" s="113"/>
      <c r="AQ540" s="113"/>
      <c r="AR540" s="113"/>
      <c r="AS540" s="113"/>
      <c r="AT540" s="113"/>
      <c r="AU540" s="113"/>
      <c r="AV540" s="113"/>
      <c r="AW540" s="113"/>
      <c r="AX540" s="113"/>
      <c r="AY540" s="113"/>
      <c r="AZ540" s="113"/>
      <c r="BA540" s="113"/>
      <c r="BB540" s="113"/>
      <c r="BC540" s="113"/>
      <c r="BD540" s="113"/>
      <c r="BE540" s="113"/>
      <c r="BF540" s="113"/>
      <c r="BG540" s="113"/>
      <c r="BH540" s="113"/>
      <c r="BI540" s="113"/>
      <c r="BJ540" s="113"/>
      <c r="BK540" s="113"/>
      <c r="BL540" s="113"/>
      <c r="BM540" s="113"/>
      <c r="BN540" s="113"/>
      <c r="BO540" s="113"/>
      <c r="BP540" s="113"/>
      <c r="BQ540" s="113"/>
      <c r="BR540" s="113"/>
      <c r="BS540" s="113"/>
      <c r="BT540" s="113"/>
      <c r="BU540" s="113"/>
      <c r="BV540" s="113"/>
      <c r="BW540" s="113"/>
      <c r="BX540" s="113"/>
      <c r="BY540" s="113"/>
      <c r="BZ540" s="113"/>
      <c r="CA540" s="113"/>
      <c r="CB540" s="113"/>
      <c r="CC540" s="113"/>
      <c r="CD540" s="113"/>
      <c r="CE540" s="113"/>
      <c r="CF540" s="113"/>
      <c r="CG540" s="113"/>
      <c r="CH540" s="113"/>
      <c r="CI540" s="113"/>
      <c r="CJ540" s="113"/>
      <c r="CK540" s="113"/>
      <c r="CL540" s="113"/>
      <c r="CM540" s="113"/>
      <c r="CN540" s="113"/>
      <c r="CO540" s="113"/>
      <c r="CP540" s="113"/>
      <c r="CQ540" s="113"/>
      <c r="CR540" s="113"/>
      <c r="CS540" s="113"/>
      <c r="CT540" s="113"/>
      <c r="CU540" s="113"/>
      <c r="CV540" s="113"/>
      <c r="CW540" s="113"/>
      <c r="CX540" s="113"/>
      <c r="CY540" s="113"/>
      <c r="CZ540" s="113"/>
      <c r="DA540" s="113"/>
      <c r="DB540" s="113"/>
      <c r="DC540" s="113"/>
      <c r="DD540" s="113"/>
      <c r="DE540" s="113"/>
      <c r="DF540" s="113"/>
      <c r="DG540" s="113"/>
      <c r="DH540" s="113"/>
      <c r="DI540" s="113"/>
      <c r="DJ540" s="113"/>
      <c r="DK540" s="113"/>
      <c r="DL540" s="113"/>
      <c r="DM540" s="113"/>
      <c r="DN540" s="113"/>
      <c r="DO540" s="113"/>
      <c r="DP540" s="113"/>
      <c r="DQ540" s="113"/>
      <c r="DR540" s="113"/>
      <c r="DS540" s="113"/>
      <c r="DT540" s="113"/>
      <c r="DU540" s="113"/>
      <c r="DV540" s="113"/>
      <c r="DW540" s="113"/>
      <c r="DX540" s="113"/>
      <c r="DY540" s="113"/>
      <c r="DZ540" s="113"/>
      <c r="EA540" s="113"/>
      <c r="EB540" s="113"/>
      <c r="EC540" s="113"/>
      <c r="ED540" s="113"/>
      <c r="EE540" s="113"/>
      <c r="EF540" s="113"/>
      <c r="EG540" s="113"/>
      <c r="EH540" s="113"/>
      <c r="EI540" s="113"/>
      <c r="EJ540" s="113"/>
      <c r="EK540" s="113"/>
      <c r="EL540" s="113"/>
      <c r="EM540" s="113"/>
      <c r="EN540" s="113"/>
      <c r="EO540" s="113"/>
      <c r="EP540" s="113"/>
      <c r="EQ540" s="113"/>
      <c r="ER540" s="113"/>
      <c r="ES540" s="113"/>
      <c r="ET540" s="113"/>
      <c r="EU540" s="113"/>
      <c r="EV540" s="113"/>
      <c r="EW540" s="113"/>
      <c r="EX540" s="113"/>
      <c r="EY540" s="113"/>
      <c r="EZ540" s="113"/>
      <c r="FA540" s="113"/>
      <c r="FB540" s="113"/>
      <c r="FC540" s="113"/>
      <c r="FD540" s="113"/>
      <c r="FE540" s="113"/>
      <c r="FF540" s="113"/>
      <c r="FG540" s="113"/>
      <c r="FH540" s="113"/>
      <c r="FI540" s="113"/>
      <c r="FJ540" s="113"/>
      <c r="FK540" s="113"/>
      <c r="FL540" s="113"/>
      <c r="FM540" s="113"/>
      <c r="FN540" s="113"/>
      <c r="FO540" s="113"/>
      <c r="FP540" s="113"/>
      <c r="FQ540" s="113"/>
      <c r="FR540" s="113"/>
      <c r="FS540" s="113"/>
      <c r="FT540" s="113"/>
      <c r="FU540" s="113"/>
      <c r="FV540" s="113"/>
      <c r="FW540" s="113"/>
      <c r="FX540" s="113"/>
      <c r="FY540" s="113"/>
      <c r="FZ540" s="113"/>
      <c r="GA540" s="113"/>
      <c r="GB540" s="113"/>
      <c r="GC540" s="113"/>
      <c r="GD540" s="113"/>
      <c r="GE540" s="113"/>
      <c r="GF540" s="113"/>
      <c r="GG540" s="113"/>
      <c r="GH540" s="113"/>
      <c r="GI540" s="113"/>
      <c r="GJ540" s="113"/>
      <c r="GK540" s="113"/>
      <c r="GL540" s="113"/>
      <c r="GM540" s="113"/>
      <c r="GN540" s="113"/>
      <c r="GO540" s="113"/>
      <c r="GP540" s="113"/>
      <c r="GQ540" s="113"/>
      <c r="GR540" s="113"/>
      <c r="GS540" s="113"/>
      <c r="GT540" s="113"/>
      <c r="GU540" s="113"/>
      <c r="GV540" s="113"/>
      <c r="GW540" s="113"/>
      <c r="GX540" s="113"/>
      <c r="GY540" s="113"/>
      <c r="GZ540" s="113"/>
      <c r="HA540" s="113"/>
      <c r="HB540" s="113"/>
      <c r="HC540" s="113"/>
      <c r="HD540" s="113"/>
      <c r="HE540" s="113"/>
      <c r="HF540" s="113"/>
      <c r="HG540" s="113"/>
      <c r="HH540" s="113"/>
      <c r="HI540" s="113"/>
      <c r="HJ540" s="113"/>
      <c r="HK540" s="113"/>
      <c r="HL540" s="113"/>
      <c r="HM540" s="113"/>
      <c r="HN540" s="113"/>
      <c r="HO540" s="113"/>
      <c r="HP540" s="113"/>
      <c r="HQ540" s="113"/>
      <c r="HR540" s="113"/>
      <c r="HS540" s="113"/>
      <c r="HT540" s="113"/>
      <c r="HU540" s="113"/>
      <c r="HV540" s="113"/>
      <c r="HW540" s="113"/>
      <c r="HX540" s="113"/>
      <c r="HY540" s="113"/>
      <c r="HZ540" s="113"/>
      <c r="IA540" s="113"/>
      <c r="IB540" s="113"/>
      <c r="IC540" s="113"/>
      <c r="ID540" s="113"/>
      <c r="IE540" s="113"/>
      <c r="IF540" s="113"/>
      <c r="IG540" s="113"/>
      <c r="IH540" s="113"/>
      <c r="II540" s="113"/>
      <c r="IJ540" s="113"/>
      <c r="IK540" s="113"/>
      <c r="IL540" s="113"/>
      <c r="IM540" s="113"/>
      <c r="IN540" s="113"/>
      <c r="IO540" s="113"/>
      <c r="IP540" s="113"/>
      <c r="IQ540" s="113"/>
      <c r="IR540" s="113"/>
      <c r="IS540" s="113"/>
      <c r="IT540" s="113"/>
      <c r="IU540" s="113"/>
      <c r="IV540" s="113"/>
      <c r="IW540" s="113"/>
      <c r="IX540" s="113"/>
      <c r="IY540" s="113"/>
      <c r="IZ540" s="113"/>
      <c r="JA540" s="113"/>
      <c r="JB540" s="113"/>
      <c r="JC540" s="113"/>
      <c r="JD540" s="113"/>
      <c r="JE540" s="113"/>
      <c r="JF540" s="113"/>
      <c r="JG540" s="113"/>
      <c r="JH540" s="113"/>
      <c r="JI540" s="113"/>
      <c r="JJ540" s="113"/>
      <c r="JK540" s="113"/>
      <c r="JL540" s="113"/>
      <c r="JM540" s="113"/>
      <c r="JN540" s="113"/>
      <c r="JO540" s="113"/>
      <c r="JP540" s="113"/>
      <c r="JQ540" s="113"/>
      <c r="JR540" s="113"/>
      <c r="JS540" s="113"/>
      <c r="JT540" s="113"/>
      <c r="JU540" s="113"/>
      <c r="JV540" s="113"/>
      <c r="JW540" s="113"/>
      <c r="JX540" s="113"/>
      <c r="JY540" s="113"/>
      <c r="JZ540" s="113"/>
      <c r="KA540" s="113"/>
      <c r="KB540" s="113"/>
      <c r="KC540" s="113"/>
      <c r="KD540" s="113"/>
      <c r="KE540" s="113"/>
      <c r="KF540" s="113"/>
      <c r="KG540" s="113"/>
      <c r="KH540" s="113"/>
      <c r="KI540" s="113"/>
      <c r="KJ540" s="113"/>
      <c r="KK540" s="113"/>
      <c r="KL540" s="113"/>
      <c r="KM540" s="113"/>
      <c r="KN540" s="113"/>
      <c r="KO540" s="113"/>
      <c r="KP540" s="113"/>
      <c r="KQ540" s="113"/>
      <c r="KR540" s="113"/>
      <c r="KS540" s="113"/>
      <c r="KT540" s="113"/>
      <c r="KU540" s="113"/>
      <c r="KV540" s="113"/>
      <c r="KW540" s="113"/>
      <c r="KX540" s="113"/>
      <c r="KY540" s="113"/>
      <c r="KZ540" s="113"/>
      <c r="LA540" s="113"/>
      <c r="LB540" s="113"/>
      <c r="LC540" s="113"/>
      <c r="LD540" s="113"/>
      <c r="LE540" s="113"/>
      <c r="LF540" s="113"/>
      <c r="LG540" s="113"/>
      <c r="LH540" s="113"/>
      <c r="LI540" s="113"/>
      <c r="LJ540" s="113"/>
      <c r="LK540" s="113"/>
      <c r="LL540" s="113"/>
      <c r="LM540" s="113"/>
      <c r="LN540" s="113"/>
      <c r="LO540" s="113"/>
      <c r="LP540" s="113"/>
      <c r="LQ540" s="113"/>
      <c r="LR540" s="113"/>
      <c r="LS540" s="113"/>
      <c r="LT540" s="113"/>
      <c r="LU540" s="113"/>
      <c r="LV540" s="113"/>
      <c r="LW540" s="113"/>
      <c r="LX540" s="113"/>
      <c r="LY540" s="113"/>
      <c r="LZ540" s="113"/>
      <c r="MA540" s="113"/>
      <c r="MB540" s="113"/>
      <c r="MC540" s="113"/>
      <c r="MD540" s="113"/>
      <c r="ME540" s="113"/>
      <c r="MF540" s="113"/>
      <c r="MG540" s="113"/>
      <c r="MH540" s="113"/>
      <c r="MI540" s="113"/>
      <c r="MJ540" s="113"/>
      <c r="MK540" s="113"/>
      <c r="ML540" s="113"/>
      <c r="MM540" s="113"/>
      <c r="MN540" s="113"/>
      <c r="MO540" s="113"/>
      <c r="MP540" s="113"/>
      <c r="MQ540" s="113"/>
      <c r="MR540" s="113"/>
      <c r="MS540" s="113"/>
      <c r="MT540" s="113"/>
      <c r="MU540" s="113"/>
      <c r="MV540" s="113"/>
      <c r="MW540" s="113"/>
      <c r="MX540" s="113"/>
      <c r="MY540" s="113"/>
      <c r="MZ540" s="113"/>
      <c r="NA540" s="113"/>
      <c r="NB540" s="113"/>
      <c r="NC540" s="113"/>
      <c r="ND540" s="113"/>
      <c r="NE540" s="113"/>
      <c r="NF540" s="113"/>
      <c r="NG540" s="113"/>
      <c r="NH540" s="113"/>
      <c r="NI540" s="113"/>
      <c r="NJ540" s="113"/>
      <c r="NK540" s="113"/>
      <c r="NL540" s="113"/>
      <c r="NM540" s="113"/>
      <c r="NN540" s="113"/>
      <c r="NO540" s="113"/>
      <c r="NP540" s="113"/>
      <c r="NQ540" s="113"/>
      <c r="NR540" s="113"/>
      <c r="NS540" s="113"/>
      <c r="NT540" s="113"/>
      <c r="NU540" s="113"/>
      <c r="NV540" s="113"/>
      <c r="NW540" s="113"/>
      <c r="NX540" s="113"/>
      <c r="NY540" s="113"/>
      <c r="NZ540" s="113"/>
      <c r="OA540" s="113"/>
      <c r="OB540" s="113"/>
      <c r="OC540" s="113"/>
      <c r="OD540" s="113"/>
      <c r="OE540" s="113"/>
      <c r="OF540" s="113"/>
      <c r="OG540" s="113"/>
      <c r="OH540" s="113"/>
      <c r="OI540" s="113"/>
      <c r="OJ540" s="113"/>
      <c r="OK540" s="113"/>
      <c r="OL540" s="113"/>
      <c r="OM540" s="113"/>
      <c r="ON540" s="113"/>
      <c r="OO540" s="113"/>
      <c r="OP540" s="113"/>
      <c r="OQ540" s="113"/>
      <c r="OR540" s="113"/>
      <c r="OS540" s="113"/>
      <c r="OT540" s="113"/>
      <c r="OU540" s="113"/>
      <c r="OV540" s="113"/>
      <c r="OW540" s="113"/>
      <c r="OX540" s="113"/>
      <c r="OY540" s="113"/>
      <c r="OZ540" s="113"/>
      <c r="PA540" s="113"/>
      <c r="PB540" s="113"/>
      <c r="PC540" s="113"/>
      <c r="PD540" s="113"/>
      <c r="PE540" s="113"/>
      <c r="PF540" s="113"/>
      <c r="PG540" s="113"/>
      <c r="PH540" s="113"/>
      <c r="PI540" s="113"/>
      <c r="PJ540" s="113"/>
      <c r="PK540" s="113"/>
      <c r="PL540" s="113"/>
      <c r="PM540" s="113"/>
      <c r="PN540" s="113"/>
      <c r="PO540" s="113"/>
      <c r="PP540" s="113"/>
      <c r="PQ540" s="113"/>
      <c r="PR540" s="113"/>
      <c r="PS540" s="113"/>
      <c r="PT540" s="113"/>
      <c r="PU540" s="113"/>
      <c r="PV540" s="113"/>
      <c r="PW540" s="113"/>
      <c r="PX540" s="113"/>
      <c r="PY540" s="113"/>
      <c r="PZ540" s="113"/>
      <c r="QA540" s="113"/>
      <c r="QB540" s="113"/>
      <c r="QC540" s="113"/>
      <c r="QD540" s="113"/>
      <c r="QE540" s="113"/>
      <c r="QF540" s="113"/>
      <c r="QG540" s="113"/>
      <c r="QH540" s="113"/>
      <c r="QI540" s="113"/>
      <c r="QJ540" s="113"/>
      <c r="QK540" s="113"/>
      <c r="QL540" s="113"/>
      <c r="QM540" s="113"/>
      <c r="QN540" s="113"/>
      <c r="QO540" s="113"/>
      <c r="QP540" s="113"/>
      <c r="QQ540" s="113"/>
      <c r="QR540" s="113"/>
      <c r="QS540" s="113"/>
      <c r="QT540" s="113"/>
      <c r="QU540" s="113"/>
      <c r="QV540" s="113"/>
      <c r="QW540" s="113"/>
      <c r="QX540" s="113"/>
      <c r="QY540" s="113"/>
      <c r="QZ540" s="113"/>
      <c r="RA540" s="113"/>
      <c r="RB540" s="113"/>
      <c r="RC540" s="113"/>
      <c r="RD540" s="113"/>
      <c r="RE540" s="113"/>
      <c r="RF540" s="113"/>
      <c r="RG540" s="113"/>
      <c r="RH540" s="113"/>
      <c r="RI540" s="113"/>
      <c r="RJ540" s="113"/>
      <c r="RK540" s="113"/>
      <c r="RL540" s="113"/>
      <c r="RM540" s="113"/>
      <c r="RN540" s="113"/>
      <c r="RO540" s="113"/>
      <c r="RP540" s="113"/>
      <c r="RQ540" s="113"/>
      <c r="RR540" s="113"/>
      <c r="RS540" s="113"/>
      <c r="RT540" s="113"/>
      <c r="RU540" s="113"/>
      <c r="RV540" s="113"/>
      <c r="RW540" s="113"/>
      <c r="RX540" s="113"/>
      <c r="RY540" s="113"/>
      <c r="RZ540" s="113"/>
      <c r="SA540" s="113"/>
      <c r="SB540" s="113"/>
      <c r="SC540" s="113"/>
      <c r="SD540" s="113"/>
      <c r="SE540" s="113"/>
      <c r="SF540" s="113"/>
      <c r="SG540" s="113"/>
      <c r="SH540" s="113"/>
      <c r="SI540" s="113"/>
      <c r="SJ540" s="113"/>
      <c r="SK540" s="113"/>
      <c r="SL540" s="113"/>
      <c r="SM540" s="113"/>
      <c r="SN540" s="113"/>
      <c r="SO540" s="113"/>
      <c r="SP540" s="113"/>
      <c r="SQ540" s="113"/>
      <c r="SR540" s="113"/>
      <c r="SS540" s="113"/>
      <c r="ST540" s="113"/>
      <c r="SU540" s="113"/>
      <c r="SV540" s="113"/>
      <c r="SW540" s="113"/>
      <c r="SX540" s="113"/>
      <c r="SY540" s="113"/>
      <c r="SZ540" s="113"/>
      <c r="TA540" s="113"/>
      <c r="TB540" s="113"/>
      <c r="TC540" s="113"/>
      <c r="TD540" s="113"/>
      <c r="TE540" s="113"/>
      <c r="TF540" s="113"/>
      <c r="TG540" s="113"/>
      <c r="TH540" s="113"/>
      <c r="TI540" s="113"/>
      <c r="TJ540" s="113"/>
      <c r="TK540" s="113"/>
      <c r="TL540" s="113"/>
      <c r="TM540" s="113"/>
      <c r="TN540" s="113"/>
      <c r="TO540" s="113"/>
      <c r="TP540" s="113"/>
      <c r="TQ540" s="113"/>
      <c r="TR540" s="113"/>
      <c r="TS540" s="113"/>
      <c r="TT540" s="113"/>
      <c r="TU540" s="113"/>
      <c r="TV540" s="113"/>
      <c r="TW540" s="113"/>
      <c r="TX540" s="113"/>
      <c r="TY540" s="113"/>
      <c r="TZ540" s="113"/>
      <c r="UA540" s="113"/>
      <c r="UB540" s="113"/>
      <c r="UC540" s="113"/>
      <c r="UD540" s="113"/>
      <c r="UE540" s="113"/>
      <c r="UF540" s="113"/>
      <c r="UG540" s="126"/>
    </row>
    <row r="541" spans="1:553" s="109" customFormat="1" ht="30.75" customHeight="1">
      <c r="A541" s="356" t="s">
        <v>15</v>
      </c>
      <c r="B541" s="356"/>
      <c r="C541" s="384" t="s">
        <v>69</v>
      </c>
      <c r="D541" s="376" t="s">
        <v>70</v>
      </c>
      <c r="E541" s="376" t="s">
        <v>310</v>
      </c>
      <c r="F541" s="385"/>
      <c r="G541" s="386" t="s">
        <v>935</v>
      </c>
      <c r="H541" s="370"/>
      <c r="I541" s="422">
        <v>459.7</v>
      </c>
      <c r="J541" s="368">
        <v>62000</v>
      </c>
      <c r="K541" s="850">
        <v>2.5</v>
      </c>
      <c r="L541" s="366">
        <f t="shared" si="97"/>
        <v>71253500</v>
      </c>
      <c r="M541" s="366"/>
      <c r="N541" s="366"/>
      <c r="O541" s="366"/>
      <c r="P541" s="366"/>
      <c r="Q541" s="1135"/>
      <c r="R541" s="1467"/>
      <c r="S541" s="308"/>
      <c r="T541" s="308"/>
      <c r="U541" s="308"/>
      <c r="V541" s="308"/>
      <c r="W541" s="308"/>
      <c r="X541" s="308"/>
      <c r="Y541" s="308"/>
      <c r="Z541" s="604"/>
      <c r="AA541" s="308"/>
      <c r="AB541" s="308"/>
      <c r="AC541" s="449"/>
      <c r="AD541" s="452"/>
      <c r="AE541" s="452"/>
      <c r="AF541" s="452"/>
      <c r="AG541" s="452"/>
      <c r="AH541" s="452"/>
      <c r="AI541" s="452"/>
      <c r="AJ541" s="452"/>
      <c r="AK541" s="452"/>
      <c r="AL541" s="117"/>
      <c r="AM541" s="113"/>
      <c r="AN541" s="113"/>
      <c r="AO541" s="113"/>
      <c r="AP541" s="113"/>
      <c r="AQ541" s="113"/>
      <c r="AR541" s="113"/>
      <c r="AS541" s="113"/>
      <c r="AT541" s="113"/>
      <c r="AU541" s="113"/>
      <c r="AV541" s="113"/>
      <c r="AW541" s="113"/>
      <c r="AX541" s="113"/>
      <c r="AY541" s="113"/>
      <c r="AZ541" s="113"/>
      <c r="BA541" s="113"/>
      <c r="BB541" s="113"/>
      <c r="BC541" s="113"/>
      <c r="BD541" s="113"/>
      <c r="BE541" s="113"/>
      <c r="BF541" s="113"/>
      <c r="BG541" s="113"/>
      <c r="BH541" s="113"/>
      <c r="BI541" s="113"/>
      <c r="BJ541" s="113"/>
      <c r="BK541" s="113"/>
      <c r="BL541" s="113"/>
      <c r="BM541" s="113"/>
      <c r="BN541" s="113"/>
      <c r="BO541" s="113"/>
      <c r="BP541" s="113"/>
      <c r="BQ541" s="113"/>
      <c r="BR541" s="113"/>
      <c r="BS541" s="113"/>
      <c r="BT541" s="113"/>
      <c r="BU541" s="113"/>
      <c r="BV541" s="113"/>
      <c r="BW541" s="113"/>
      <c r="BX541" s="113"/>
      <c r="BY541" s="113"/>
      <c r="BZ541" s="113"/>
      <c r="CA541" s="113"/>
      <c r="CB541" s="113"/>
      <c r="CC541" s="113"/>
      <c r="CD541" s="113"/>
      <c r="CE541" s="113"/>
      <c r="CF541" s="113"/>
      <c r="CG541" s="113"/>
      <c r="CH541" s="113"/>
      <c r="CI541" s="113"/>
      <c r="CJ541" s="113"/>
      <c r="CK541" s="113"/>
      <c r="CL541" s="113"/>
      <c r="CM541" s="113"/>
      <c r="CN541" s="113"/>
      <c r="CO541" s="113"/>
      <c r="CP541" s="113"/>
      <c r="CQ541" s="113"/>
      <c r="CR541" s="113"/>
      <c r="CS541" s="113"/>
      <c r="CT541" s="113"/>
      <c r="CU541" s="113"/>
      <c r="CV541" s="113"/>
      <c r="CW541" s="113"/>
      <c r="CX541" s="113"/>
      <c r="CY541" s="113"/>
      <c r="CZ541" s="113"/>
      <c r="DA541" s="113"/>
      <c r="DB541" s="113"/>
      <c r="DC541" s="113"/>
      <c r="DD541" s="113"/>
      <c r="DE541" s="113"/>
      <c r="DF541" s="113"/>
      <c r="DG541" s="113"/>
      <c r="DH541" s="113"/>
      <c r="DI541" s="113"/>
      <c r="DJ541" s="113"/>
      <c r="DK541" s="113"/>
      <c r="DL541" s="113"/>
      <c r="DM541" s="113"/>
      <c r="DN541" s="113"/>
      <c r="DO541" s="113"/>
      <c r="DP541" s="113"/>
      <c r="DQ541" s="113"/>
      <c r="DR541" s="113"/>
      <c r="DS541" s="113"/>
      <c r="DT541" s="113"/>
      <c r="DU541" s="113"/>
      <c r="DV541" s="113"/>
      <c r="DW541" s="113"/>
      <c r="DX541" s="113"/>
      <c r="DY541" s="113"/>
      <c r="DZ541" s="113"/>
      <c r="EA541" s="113"/>
      <c r="EB541" s="113"/>
      <c r="EC541" s="113"/>
      <c r="ED541" s="113"/>
      <c r="EE541" s="113"/>
      <c r="EF541" s="113"/>
      <c r="EG541" s="113"/>
      <c r="EH541" s="113"/>
      <c r="EI541" s="113"/>
      <c r="EJ541" s="113"/>
      <c r="EK541" s="113"/>
      <c r="EL541" s="113"/>
      <c r="EM541" s="113"/>
      <c r="EN541" s="113"/>
      <c r="EO541" s="113"/>
      <c r="EP541" s="113"/>
      <c r="EQ541" s="113"/>
      <c r="ER541" s="113"/>
      <c r="ES541" s="113"/>
      <c r="ET541" s="113"/>
      <c r="EU541" s="113"/>
      <c r="EV541" s="113"/>
      <c r="EW541" s="113"/>
      <c r="EX541" s="113"/>
      <c r="EY541" s="113"/>
      <c r="EZ541" s="113"/>
      <c r="FA541" s="113"/>
      <c r="FB541" s="113"/>
      <c r="FC541" s="113"/>
      <c r="FD541" s="113"/>
      <c r="FE541" s="113"/>
      <c r="FF541" s="113"/>
      <c r="FG541" s="113"/>
      <c r="FH541" s="113"/>
      <c r="FI541" s="113"/>
      <c r="FJ541" s="113"/>
      <c r="FK541" s="113"/>
      <c r="FL541" s="113"/>
      <c r="FM541" s="113"/>
      <c r="FN541" s="113"/>
      <c r="FO541" s="113"/>
      <c r="FP541" s="113"/>
      <c r="FQ541" s="113"/>
      <c r="FR541" s="113"/>
      <c r="FS541" s="113"/>
      <c r="FT541" s="113"/>
      <c r="FU541" s="113"/>
      <c r="FV541" s="113"/>
      <c r="FW541" s="113"/>
      <c r="FX541" s="113"/>
      <c r="FY541" s="113"/>
      <c r="FZ541" s="113"/>
      <c r="GA541" s="113"/>
      <c r="GB541" s="113"/>
      <c r="GC541" s="113"/>
      <c r="GD541" s="113"/>
      <c r="GE541" s="113"/>
      <c r="GF541" s="113"/>
      <c r="GG541" s="113"/>
      <c r="GH541" s="113"/>
      <c r="GI541" s="113"/>
      <c r="GJ541" s="113"/>
      <c r="GK541" s="113"/>
      <c r="GL541" s="113"/>
      <c r="GM541" s="113"/>
      <c r="GN541" s="113"/>
      <c r="GO541" s="113"/>
      <c r="GP541" s="113"/>
      <c r="GQ541" s="113"/>
      <c r="GR541" s="113"/>
      <c r="GS541" s="113"/>
      <c r="GT541" s="113"/>
      <c r="GU541" s="113"/>
      <c r="GV541" s="113"/>
      <c r="GW541" s="113"/>
      <c r="GX541" s="113"/>
      <c r="GY541" s="113"/>
      <c r="GZ541" s="113"/>
      <c r="HA541" s="113"/>
      <c r="HB541" s="113"/>
      <c r="HC541" s="113"/>
      <c r="HD541" s="113"/>
      <c r="HE541" s="113"/>
      <c r="HF541" s="113"/>
      <c r="HG541" s="113"/>
      <c r="HH541" s="113"/>
      <c r="HI541" s="113"/>
      <c r="HJ541" s="113"/>
      <c r="HK541" s="113"/>
      <c r="HL541" s="113"/>
      <c r="HM541" s="113"/>
      <c r="HN541" s="113"/>
      <c r="HO541" s="113"/>
      <c r="HP541" s="113"/>
      <c r="HQ541" s="113"/>
      <c r="HR541" s="113"/>
      <c r="HS541" s="113"/>
      <c r="HT541" s="113"/>
      <c r="HU541" s="113"/>
      <c r="HV541" s="113"/>
      <c r="HW541" s="113"/>
      <c r="HX541" s="113"/>
      <c r="HY541" s="113"/>
      <c r="HZ541" s="113"/>
      <c r="IA541" s="113"/>
      <c r="IB541" s="113"/>
      <c r="IC541" s="113"/>
      <c r="ID541" s="113"/>
      <c r="IE541" s="113"/>
      <c r="IF541" s="113"/>
      <c r="IG541" s="113"/>
      <c r="IH541" s="113"/>
      <c r="II541" s="113"/>
      <c r="IJ541" s="113"/>
      <c r="IK541" s="113"/>
      <c r="IL541" s="113"/>
      <c r="IM541" s="113"/>
      <c r="IN541" s="113"/>
      <c r="IO541" s="113"/>
      <c r="IP541" s="113"/>
      <c r="IQ541" s="113"/>
      <c r="IR541" s="113"/>
      <c r="IS541" s="113"/>
      <c r="IT541" s="113"/>
      <c r="IU541" s="113"/>
      <c r="IV541" s="113"/>
      <c r="IW541" s="113"/>
      <c r="IX541" s="113"/>
      <c r="IY541" s="113"/>
      <c r="IZ541" s="113"/>
      <c r="JA541" s="113"/>
      <c r="JB541" s="113"/>
      <c r="JC541" s="113"/>
      <c r="JD541" s="113"/>
      <c r="JE541" s="113"/>
      <c r="JF541" s="113"/>
      <c r="JG541" s="113"/>
      <c r="JH541" s="113"/>
      <c r="JI541" s="113"/>
      <c r="JJ541" s="113"/>
      <c r="JK541" s="113"/>
      <c r="JL541" s="113"/>
      <c r="JM541" s="113"/>
      <c r="JN541" s="113"/>
      <c r="JO541" s="113"/>
      <c r="JP541" s="113"/>
      <c r="JQ541" s="113"/>
      <c r="JR541" s="113"/>
      <c r="JS541" s="113"/>
      <c r="JT541" s="113"/>
      <c r="JU541" s="113"/>
      <c r="JV541" s="113"/>
      <c r="JW541" s="113"/>
      <c r="JX541" s="113"/>
      <c r="JY541" s="113"/>
      <c r="JZ541" s="113"/>
      <c r="KA541" s="113"/>
      <c r="KB541" s="113"/>
      <c r="KC541" s="113"/>
      <c r="KD541" s="113"/>
      <c r="KE541" s="113"/>
      <c r="KF541" s="113"/>
      <c r="KG541" s="113"/>
      <c r="KH541" s="113"/>
      <c r="KI541" s="113"/>
      <c r="KJ541" s="113"/>
      <c r="KK541" s="113"/>
      <c r="KL541" s="113"/>
      <c r="KM541" s="113"/>
      <c r="KN541" s="113"/>
      <c r="KO541" s="113"/>
      <c r="KP541" s="113"/>
      <c r="KQ541" s="113"/>
      <c r="KR541" s="113"/>
      <c r="KS541" s="113"/>
      <c r="KT541" s="113"/>
      <c r="KU541" s="113"/>
      <c r="KV541" s="113"/>
      <c r="KW541" s="113"/>
      <c r="KX541" s="113"/>
      <c r="KY541" s="113"/>
      <c r="KZ541" s="113"/>
      <c r="LA541" s="113"/>
      <c r="LB541" s="113"/>
      <c r="LC541" s="113"/>
      <c r="LD541" s="113"/>
      <c r="LE541" s="113"/>
      <c r="LF541" s="113"/>
      <c r="LG541" s="113"/>
      <c r="LH541" s="113"/>
      <c r="LI541" s="113"/>
      <c r="LJ541" s="113"/>
      <c r="LK541" s="113"/>
      <c r="LL541" s="113"/>
      <c r="LM541" s="113"/>
      <c r="LN541" s="113"/>
      <c r="LO541" s="113"/>
      <c r="LP541" s="113"/>
      <c r="LQ541" s="113"/>
      <c r="LR541" s="113"/>
      <c r="LS541" s="113"/>
      <c r="LT541" s="113"/>
      <c r="LU541" s="113"/>
      <c r="LV541" s="113"/>
      <c r="LW541" s="113"/>
      <c r="LX541" s="113"/>
      <c r="LY541" s="113"/>
      <c r="LZ541" s="113"/>
      <c r="MA541" s="113"/>
      <c r="MB541" s="113"/>
      <c r="MC541" s="113"/>
      <c r="MD541" s="113"/>
      <c r="ME541" s="113"/>
      <c r="MF541" s="113"/>
      <c r="MG541" s="113"/>
      <c r="MH541" s="113"/>
      <c r="MI541" s="113"/>
      <c r="MJ541" s="113"/>
      <c r="MK541" s="113"/>
      <c r="ML541" s="113"/>
      <c r="MM541" s="113"/>
      <c r="MN541" s="113"/>
      <c r="MO541" s="113"/>
      <c r="MP541" s="113"/>
      <c r="MQ541" s="113"/>
      <c r="MR541" s="113"/>
      <c r="MS541" s="113"/>
      <c r="MT541" s="113"/>
      <c r="MU541" s="113"/>
      <c r="MV541" s="113"/>
      <c r="MW541" s="113"/>
      <c r="MX541" s="113"/>
      <c r="MY541" s="113"/>
      <c r="MZ541" s="113"/>
      <c r="NA541" s="113"/>
      <c r="NB541" s="113"/>
      <c r="NC541" s="113"/>
      <c r="ND541" s="113"/>
      <c r="NE541" s="113"/>
      <c r="NF541" s="113"/>
      <c r="NG541" s="113"/>
      <c r="NH541" s="113"/>
      <c r="NI541" s="113"/>
      <c r="NJ541" s="113"/>
      <c r="NK541" s="113"/>
      <c r="NL541" s="113"/>
      <c r="NM541" s="113"/>
      <c r="NN541" s="113"/>
      <c r="NO541" s="113"/>
      <c r="NP541" s="113"/>
      <c r="NQ541" s="113"/>
      <c r="NR541" s="113"/>
      <c r="NS541" s="113"/>
      <c r="NT541" s="113"/>
      <c r="NU541" s="113"/>
      <c r="NV541" s="113"/>
      <c r="NW541" s="113"/>
      <c r="NX541" s="113"/>
      <c r="NY541" s="113"/>
      <c r="NZ541" s="113"/>
      <c r="OA541" s="113"/>
      <c r="OB541" s="113"/>
      <c r="OC541" s="113"/>
      <c r="OD541" s="113"/>
      <c r="OE541" s="113"/>
      <c r="OF541" s="113"/>
      <c r="OG541" s="113"/>
      <c r="OH541" s="113"/>
      <c r="OI541" s="113"/>
      <c r="OJ541" s="113"/>
      <c r="OK541" s="113"/>
      <c r="OL541" s="113"/>
      <c r="OM541" s="113"/>
      <c r="ON541" s="113"/>
      <c r="OO541" s="113"/>
      <c r="OP541" s="113"/>
      <c r="OQ541" s="113"/>
      <c r="OR541" s="113"/>
      <c r="OS541" s="113"/>
      <c r="OT541" s="113"/>
      <c r="OU541" s="113"/>
      <c r="OV541" s="113"/>
      <c r="OW541" s="113"/>
      <c r="OX541" s="113"/>
      <c r="OY541" s="113"/>
      <c r="OZ541" s="113"/>
      <c r="PA541" s="113"/>
      <c r="PB541" s="113"/>
      <c r="PC541" s="113"/>
      <c r="PD541" s="113"/>
      <c r="PE541" s="113"/>
      <c r="PF541" s="113"/>
      <c r="PG541" s="113"/>
      <c r="PH541" s="113"/>
      <c r="PI541" s="113"/>
      <c r="PJ541" s="113"/>
      <c r="PK541" s="113"/>
      <c r="PL541" s="113"/>
      <c r="PM541" s="113"/>
      <c r="PN541" s="113"/>
      <c r="PO541" s="113"/>
      <c r="PP541" s="113"/>
      <c r="PQ541" s="113"/>
      <c r="PR541" s="113"/>
      <c r="PS541" s="113"/>
      <c r="PT541" s="113"/>
      <c r="PU541" s="113"/>
      <c r="PV541" s="113"/>
      <c r="PW541" s="113"/>
      <c r="PX541" s="113"/>
      <c r="PY541" s="113"/>
      <c r="PZ541" s="113"/>
      <c r="QA541" s="113"/>
      <c r="QB541" s="113"/>
      <c r="QC541" s="113"/>
      <c r="QD541" s="113"/>
      <c r="QE541" s="113"/>
      <c r="QF541" s="113"/>
      <c r="QG541" s="113"/>
      <c r="QH541" s="113"/>
      <c r="QI541" s="113"/>
      <c r="QJ541" s="113"/>
      <c r="QK541" s="113"/>
      <c r="QL541" s="113"/>
      <c r="QM541" s="113"/>
      <c r="QN541" s="113"/>
      <c r="QO541" s="113"/>
      <c r="QP541" s="113"/>
      <c r="QQ541" s="113"/>
      <c r="QR541" s="113"/>
      <c r="QS541" s="113"/>
      <c r="QT541" s="113"/>
      <c r="QU541" s="113"/>
      <c r="QV541" s="113"/>
      <c r="QW541" s="113"/>
      <c r="QX541" s="113"/>
      <c r="QY541" s="113"/>
      <c r="QZ541" s="113"/>
      <c r="RA541" s="113"/>
      <c r="RB541" s="113"/>
      <c r="RC541" s="113"/>
      <c r="RD541" s="113"/>
      <c r="RE541" s="113"/>
      <c r="RF541" s="113"/>
      <c r="RG541" s="113"/>
      <c r="RH541" s="113"/>
      <c r="RI541" s="113"/>
      <c r="RJ541" s="113"/>
      <c r="RK541" s="113"/>
      <c r="RL541" s="113"/>
      <c r="RM541" s="113"/>
      <c r="RN541" s="113"/>
      <c r="RO541" s="113"/>
      <c r="RP541" s="113"/>
      <c r="RQ541" s="113"/>
      <c r="RR541" s="113"/>
      <c r="RS541" s="113"/>
      <c r="RT541" s="113"/>
      <c r="RU541" s="113"/>
      <c r="RV541" s="113"/>
      <c r="RW541" s="113"/>
      <c r="RX541" s="113"/>
      <c r="RY541" s="113"/>
      <c r="RZ541" s="113"/>
      <c r="SA541" s="113"/>
      <c r="SB541" s="113"/>
      <c r="SC541" s="113"/>
      <c r="SD541" s="113"/>
      <c r="SE541" s="113"/>
      <c r="SF541" s="113"/>
      <c r="SG541" s="113"/>
      <c r="SH541" s="113"/>
      <c r="SI541" s="113"/>
      <c r="SJ541" s="113"/>
      <c r="SK541" s="113"/>
      <c r="SL541" s="113"/>
      <c r="SM541" s="113"/>
      <c r="SN541" s="113"/>
      <c r="SO541" s="113"/>
      <c r="SP541" s="113"/>
      <c r="SQ541" s="113"/>
      <c r="SR541" s="113"/>
      <c r="SS541" s="113"/>
      <c r="ST541" s="113"/>
      <c r="SU541" s="113"/>
      <c r="SV541" s="113"/>
      <c r="SW541" s="113"/>
      <c r="SX541" s="113"/>
      <c r="SY541" s="113"/>
      <c r="SZ541" s="113"/>
      <c r="TA541" s="113"/>
      <c r="TB541" s="113"/>
      <c r="TC541" s="113"/>
      <c r="TD541" s="113"/>
      <c r="TE541" s="113"/>
      <c r="TF541" s="113"/>
      <c r="TG541" s="113"/>
      <c r="TH541" s="113"/>
      <c r="TI541" s="113"/>
      <c r="TJ541" s="113"/>
      <c r="TK541" s="113"/>
      <c r="TL541" s="113"/>
      <c r="TM541" s="113"/>
      <c r="TN541" s="113"/>
      <c r="TO541" s="113"/>
      <c r="TP541" s="113"/>
      <c r="TQ541" s="113"/>
      <c r="TR541" s="113"/>
      <c r="TS541" s="113"/>
      <c r="TT541" s="113"/>
      <c r="TU541" s="113"/>
      <c r="TV541" s="113"/>
      <c r="TW541" s="113"/>
      <c r="TX541" s="113"/>
      <c r="TY541" s="113"/>
      <c r="TZ541" s="113"/>
      <c r="UA541" s="113"/>
      <c r="UB541" s="113"/>
      <c r="UC541" s="113"/>
      <c r="UD541" s="113"/>
      <c r="UE541" s="113"/>
      <c r="UF541" s="113"/>
      <c r="UG541" s="126"/>
    </row>
    <row r="542" spans="1:553" s="109" customFormat="1" ht="30.75" customHeight="1">
      <c r="A542" s="356" t="s">
        <v>15</v>
      </c>
      <c r="B542" s="356"/>
      <c r="C542" s="384" t="s">
        <v>23</v>
      </c>
      <c r="D542" s="376" t="s">
        <v>20</v>
      </c>
      <c r="E542" s="376" t="s">
        <v>312</v>
      </c>
      <c r="F542" s="385"/>
      <c r="G542" s="386" t="s">
        <v>935</v>
      </c>
      <c r="H542" s="370"/>
      <c r="I542" s="422">
        <v>497.7</v>
      </c>
      <c r="J542" s="1063">
        <v>72000</v>
      </c>
      <c r="K542" s="850">
        <v>3</v>
      </c>
      <c r="L542" s="366">
        <f t="shared" si="97"/>
        <v>107503200</v>
      </c>
      <c r="M542" s="366"/>
      <c r="N542" s="366"/>
      <c r="O542" s="366"/>
      <c r="P542" s="366"/>
      <c r="Q542" s="1135"/>
      <c r="R542" s="1467"/>
      <c r="S542" s="308"/>
      <c r="T542" s="308"/>
      <c r="U542" s="308"/>
      <c r="V542" s="308"/>
      <c r="W542" s="308"/>
      <c r="X542" s="308"/>
      <c r="Y542" s="308"/>
      <c r="Z542" s="604"/>
      <c r="AA542" s="308"/>
      <c r="AB542" s="308"/>
      <c r="AC542" s="449"/>
      <c r="AD542" s="452"/>
      <c r="AE542" s="452"/>
      <c r="AF542" s="452"/>
      <c r="AG542" s="452"/>
      <c r="AH542" s="452"/>
      <c r="AI542" s="452"/>
      <c r="AJ542" s="452"/>
      <c r="AK542" s="452"/>
      <c r="AL542" s="117"/>
      <c r="AM542" s="113"/>
      <c r="AN542" s="113"/>
      <c r="AO542" s="113"/>
      <c r="AP542" s="113"/>
      <c r="AQ542" s="113"/>
      <c r="AR542" s="113"/>
      <c r="AS542" s="113"/>
      <c r="AT542" s="113"/>
      <c r="AU542" s="113"/>
      <c r="AV542" s="113"/>
      <c r="AW542" s="113"/>
      <c r="AX542" s="113"/>
      <c r="AY542" s="113"/>
      <c r="AZ542" s="113"/>
      <c r="BA542" s="113"/>
      <c r="BB542" s="113"/>
      <c r="BC542" s="113"/>
      <c r="BD542" s="113"/>
      <c r="BE542" s="113"/>
      <c r="BF542" s="113"/>
      <c r="BG542" s="113"/>
      <c r="BH542" s="113"/>
      <c r="BI542" s="113"/>
      <c r="BJ542" s="113"/>
      <c r="BK542" s="113"/>
      <c r="BL542" s="113"/>
      <c r="BM542" s="113"/>
      <c r="BN542" s="113"/>
      <c r="BO542" s="113"/>
      <c r="BP542" s="113"/>
      <c r="BQ542" s="113"/>
      <c r="BR542" s="113"/>
      <c r="BS542" s="113"/>
      <c r="BT542" s="113"/>
      <c r="BU542" s="113"/>
      <c r="BV542" s="113"/>
      <c r="BW542" s="113"/>
      <c r="BX542" s="113"/>
      <c r="BY542" s="113"/>
      <c r="BZ542" s="113"/>
      <c r="CA542" s="113"/>
      <c r="CB542" s="113"/>
      <c r="CC542" s="113"/>
      <c r="CD542" s="113"/>
      <c r="CE542" s="113"/>
      <c r="CF542" s="113"/>
      <c r="CG542" s="113"/>
      <c r="CH542" s="113"/>
      <c r="CI542" s="113"/>
      <c r="CJ542" s="113"/>
      <c r="CK542" s="113"/>
      <c r="CL542" s="113"/>
      <c r="CM542" s="113"/>
      <c r="CN542" s="113"/>
      <c r="CO542" s="113"/>
      <c r="CP542" s="113"/>
      <c r="CQ542" s="113"/>
      <c r="CR542" s="113"/>
      <c r="CS542" s="113"/>
      <c r="CT542" s="113"/>
      <c r="CU542" s="113"/>
      <c r="CV542" s="113"/>
      <c r="CW542" s="113"/>
      <c r="CX542" s="113"/>
      <c r="CY542" s="113"/>
      <c r="CZ542" s="113"/>
      <c r="DA542" s="113"/>
      <c r="DB542" s="113"/>
      <c r="DC542" s="113"/>
      <c r="DD542" s="113"/>
      <c r="DE542" s="113"/>
      <c r="DF542" s="113"/>
      <c r="DG542" s="113"/>
      <c r="DH542" s="113"/>
      <c r="DI542" s="113"/>
      <c r="DJ542" s="113"/>
      <c r="DK542" s="113"/>
      <c r="DL542" s="113"/>
      <c r="DM542" s="113"/>
      <c r="DN542" s="113"/>
      <c r="DO542" s="113"/>
      <c r="DP542" s="113"/>
      <c r="DQ542" s="113"/>
      <c r="DR542" s="113"/>
      <c r="DS542" s="113"/>
      <c r="DT542" s="113"/>
      <c r="DU542" s="113"/>
      <c r="DV542" s="113"/>
      <c r="DW542" s="113"/>
      <c r="DX542" s="113"/>
      <c r="DY542" s="113"/>
      <c r="DZ542" s="113"/>
      <c r="EA542" s="113"/>
      <c r="EB542" s="113"/>
      <c r="EC542" s="113"/>
      <c r="ED542" s="113"/>
      <c r="EE542" s="113"/>
      <c r="EF542" s="113"/>
      <c r="EG542" s="113"/>
      <c r="EH542" s="113"/>
      <c r="EI542" s="113"/>
      <c r="EJ542" s="113"/>
      <c r="EK542" s="113"/>
      <c r="EL542" s="113"/>
      <c r="EM542" s="113"/>
      <c r="EN542" s="113"/>
      <c r="EO542" s="113"/>
      <c r="EP542" s="113"/>
      <c r="EQ542" s="113"/>
      <c r="ER542" s="113"/>
      <c r="ES542" s="113"/>
      <c r="ET542" s="113"/>
      <c r="EU542" s="113"/>
      <c r="EV542" s="113"/>
      <c r="EW542" s="113"/>
      <c r="EX542" s="113"/>
      <c r="EY542" s="113"/>
      <c r="EZ542" s="113"/>
      <c r="FA542" s="113"/>
      <c r="FB542" s="113"/>
      <c r="FC542" s="113"/>
      <c r="FD542" s="113"/>
      <c r="FE542" s="113"/>
      <c r="FF542" s="113"/>
      <c r="FG542" s="113"/>
      <c r="FH542" s="113"/>
      <c r="FI542" s="113"/>
      <c r="FJ542" s="113"/>
      <c r="FK542" s="113"/>
      <c r="FL542" s="113"/>
      <c r="FM542" s="113"/>
      <c r="FN542" s="113"/>
      <c r="FO542" s="113"/>
      <c r="FP542" s="113"/>
      <c r="FQ542" s="113"/>
      <c r="FR542" s="113"/>
      <c r="FS542" s="113"/>
      <c r="FT542" s="113"/>
      <c r="FU542" s="113"/>
      <c r="FV542" s="113"/>
      <c r="FW542" s="113"/>
      <c r="FX542" s="113"/>
      <c r="FY542" s="113"/>
      <c r="FZ542" s="113"/>
      <c r="GA542" s="113"/>
      <c r="GB542" s="113"/>
      <c r="GC542" s="113"/>
      <c r="GD542" s="113"/>
      <c r="GE542" s="113"/>
      <c r="GF542" s="113"/>
      <c r="GG542" s="113"/>
      <c r="GH542" s="113"/>
      <c r="GI542" s="113"/>
      <c r="GJ542" s="113"/>
      <c r="GK542" s="113"/>
      <c r="GL542" s="113"/>
      <c r="GM542" s="113"/>
      <c r="GN542" s="113"/>
      <c r="GO542" s="113"/>
      <c r="GP542" s="113"/>
      <c r="GQ542" s="113"/>
      <c r="GR542" s="113"/>
      <c r="GS542" s="113"/>
      <c r="GT542" s="113"/>
      <c r="GU542" s="113"/>
      <c r="GV542" s="113"/>
      <c r="GW542" s="113"/>
      <c r="GX542" s="113"/>
      <c r="GY542" s="113"/>
      <c r="GZ542" s="113"/>
      <c r="HA542" s="113"/>
      <c r="HB542" s="113"/>
      <c r="HC542" s="113"/>
      <c r="HD542" s="113"/>
      <c r="HE542" s="113"/>
      <c r="HF542" s="113"/>
      <c r="HG542" s="113"/>
      <c r="HH542" s="113"/>
      <c r="HI542" s="113"/>
      <c r="HJ542" s="113"/>
      <c r="HK542" s="113"/>
      <c r="HL542" s="113"/>
      <c r="HM542" s="113"/>
      <c r="HN542" s="113"/>
      <c r="HO542" s="113"/>
      <c r="HP542" s="113"/>
      <c r="HQ542" s="113"/>
      <c r="HR542" s="113"/>
      <c r="HS542" s="113"/>
      <c r="HT542" s="113"/>
      <c r="HU542" s="113"/>
      <c r="HV542" s="113"/>
      <c r="HW542" s="113"/>
      <c r="HX542" s="113"/>
      <c r="HY542" s="113"/>
      <c r="HZ542" s="113"/>
      <c r="IA542" s="113"/>
      <c r="IB542" s="113"/>
      <c r="IC542" s="113"/>
      <c r="ID542" s="113"/>
      <c r="IE542" s="113"/>
      <c r="IF542" s="113"/>
      <c r="IG542" s="113"/>
      <c r="IH542" s="113"/>
      <c r="II542" s="113"/>
      <c r="IJ542" s="113"/>
      <c r="IK542" s="113"/>
      <c r="IL542" s="113"/>
      <c r="IM542" s="113"/>
      <c r="IN542" s="113"/>
      <c r="IO542" s="113"/>
      <c r="IP542" s="113"/>
      <c r="IQ542" s="113"/>
      <c r="IR542" s="113"/>
      <c r="IS542" s="113"/>
      <c r="IT542" s="113"/>
      <c r="IU542" s="113"/>
      <c r="IV542" s="113"/>
      <c r="IW542" s="113"/>
      <c r="IX542" s="113"/>
      <c r="IY542" s="113"/>
      <c r="IZ542" s="113"/>
      <c r="JA542" s="113"/>
      <c r="JB542" s="113"/>
      <c r="JC542" s="113"/>
      <c r="JD542" s="113"/>
      <c r="JE542" s="113"/>
      <c r="JF542" s="113"/>
      <c r="JG542" s="113"/>
      <c r="JH542" s="113"/>
      <c r="JI542" s="113"/>
      <c r="JJ542" s="113"/>
      <c r="JK542" s="113"/>
      <c r="JL542" s="113"/>
      <c r="JM542" s="113"/>
      <c r="JN542" s="113"/>
      <c r="JO542" s="113"/>
      <c r="JP542" s="113"/>
      <c r="JQ542" s="113"/>
      <c r="JR542" s="113"/>
      <c r="JS542" s="113"/>
      <c r="JT542" s="113"/>
      <c r="JU542" s="113"/>
      <c r="JV542" s="113"/>
      <c r="JW542" s="113"/>
      <c r="JX542" s="113"/>
      <c r="JY542" s="113"/>
      <c r="JZ542" s="113"/>
      <c r="KA542" s="113"/>
      <c r="KB542" s="113"/>
      <c r="KC542" s="113"/>
      <c r="KD542" s="113"/>
      <c r="KE542" s="113"/>
      <c r="KF542" s="113"/>
      <c r="KG542" s="113"/>
      <c r="KH542" s="113"/>
      <c r="KI542" s="113"/>
      <c r="KJ542" s="113"/>
      <c r="KK542" s="113"/>
      <c r="KL542" s="113"/>
      <c r="KM542" s="113"/>
      <c r="KN542" s="113"/>
      <c r="KO542" s="113"/>
      <c r="KP542" s="113"/>
      <c r="KQ542" s="113"/>
      <c r="KR542" s="113"/>
      <c r="KS542" s="113"/>
      <c r="KT542" s="113"/>
      <c r="KU542" s="113"/>
      <c r="KV542" s="113"/>
      <c r="KW542" s="113"/>
      <c r="KX542" s="113"/>
      <c r="KY542" s="113"/>
      <c r="KZ542" s="113"/>
      <c r="LA542" s="113"/>
      <c r="LB542" s="113"/>
      <c r="LC542" s="113"/>
      <c r="LD542" s="113"/>
      <c r="LE542" s="113"/>
      <c r="LF542" s="113"/>
      <c r="LG542" s="113"/>
      <c r="LH542" s="113"/>
      <c r="LI542" s="113"/>
      <c r="LJ542" s="113"/>
      <c r="LK542" s="113"/>
      <c r="LL542" s="113"/>
      <c r="LM542" s="113"/>
      <c r="LN542" s="113"/>
      <c r="LO542" s="113"/>
      <c r="LP542" s="113"/>
      <c r="LQ542" s="113"/>
      <c r="LR542" s="113"/>
      <c r="LS542" s="113"/>
      <c r="LT542" s="113"/>
      <c r="LU542" s="113"/>
      <c r="LV542" s="113"/>
      <c r="LW542" s="113"/>
      <c r="LX542" s="113"/>
      <c r="LY542" s="113"/>
      <c r="LZ542" s="113"/>
      <c r="MA542" s="113"/>
      <c r="MB542" s="113"/>
      <c r="MC542" s="113"/>
      <c r="MD542" s="113"/>
      <c r="ME542" s="113"/>
      <c r="MF542" s="113"/>
      <c r="MG542" s="113"/>
      <c r="MH542" s="113"/>
      <c r="MI542" s="113"/>
      <c r="MJ542" s="113"/>
      <c r="MK542" s="113"/>
      <c r="ML542" s="113"/>
      <c r="MM542" s="113"/>
      <c r="MN542" s="113"/>
      <c r="MO542" s="113"/>
      <c r="MP542" s="113"/>
      <c r="MQ542" s="113"/>
      <c r="MR542" s="113"/>
      <c r="MS542" s="113"/>
      <c r="MT542" s="113"/>
      <c r="MU542" s="113"/>
      <c r="MV542" s="113"/>
      <c r="MW542" s="113"/>
      <c r="MX542" s="113"/>
      <c r="MY542" s="113"/>
      <c r="MZ542" s="113"/>
      <c r="NA542" s="113"/>
      <c r="NB542" s="113"/>
      <c r="NC542" s="113"/>
      <c r="ND542" s="113"/>
      <c r="NE542" s="113"/>
      <c r="NF542" s="113"/>
      <c r="NG542" s="113"/>
      <c r="NH542" s="113"/>
      <c r="NI542" s="113"/>
      <c r="NJ542" s="113"/>
      <c r="NK542" s="113"/>
      <c r="NL542" s="113"/>
      <c r="NM542" s="113"/>
      <c r="NN542" s="113"/>
      <c r="NO542" s="113"/>
      <c r="NP542" s="113"/>
      <c r="NQ542" s="113"/>
      <c r="NR542" s="113"/>
      <c r="NS542" s="113"/>
      <c r="NT542" s="113"/>
      <c r="NU542" s="113"/>
      <c r="NV542" s="113"/>
      <c r="NW542" s="113"/>
      <c r="NX542" s="113"/>
      <c r="NY542" s="113"/>
      <c r="NZ542" s="113"/>
      <c r="OA542" s="113"/>
      <c r="OB542" s="113"/>
      <c r="OC542" s="113"/>
      <c r="OD542" s="113"/>
      <c r="OE542" s="113"/>
      <c r="OF542" s="113"/>
      <c r="OG542" s="113"/>
      <c r="OH542" s="113"/>
      <c r="OI542" s="113"/>
      <c r="OJ542" s="113"/>
      <c r="OK542" s="113"/>
      <c r="OL542" s="113"/>
      <c r="OM542" s="113"/>
      <c r="ON542" s="113"/>
      <c r="OO542" s="113"/>
      <c r="OP542" s="113"/>
      <c r="OQ542" s="113"/>
      <c r="OR542" s="113"/>
      <c r="OS542" s="113"/>
      <c r="OT542" s="113"/>
      <c r="OU542" s="113"/>
      <c r="OV542" s="113"/>
      <c r="OW542" s="113"/>
      <c r="OX542" s="113"/>
      <c r="OY542" s="113"/>
      <c r="OZ542" s="113"/>
      <c r="PA542" s="113"/>
      <c r="PB542" s="113"/>
      <c r="PC542" s="113"/>
      <c r="PD542" s="113"/>
      <c r="PE542" s="113"/>
      <c r="PF542" s="113"/>
      <c r="PG542" s="113"/>
      <c r="PH542" s="113"/>
      <c r="PI542" s="113"/>
      <c r="PJ542" s="113"/>
      <c r="PK542" s="113"/>
      <c r="PL542" s="113"/>
      <c r="PM542" s="113"/>
      <c r="PN542" s="113"/>
      <c r="PO542" s="113"/>
      <c r="PP542" s="113"/>
      <c r="PQ542" s="113"/>
      <c r="PR542" s="113"/>
      <c r="PS542" s="113"/>
      <c r="PT542" s="113"/>
      <c r="PU542" s="113"/>
      <c r="PV542" s="113"/>
      <c r="PW542" s="113"/>
      <c r="PX542" s="113"/>
      <c r="PY542" s="113"/>
      <c r="PZ542" s="113"/>
      <c r="QA542" s="113"/>
      <c r="QB542" s="113"/>
      <c r="QC542" s="113"/>
      <c r="QD542" s="113"/>
      <c r="QE542" s="113"/>
      <c r="QF542" s="113"/>
      <c r="QG542" s="113"/>
      <c r="QH542" s="113"/>
      <c r="QI542" s="113"/>
      <c r="QJ542" s="113"/>
      <c r="QK542" s="113"/>
      <c r="QL542" s="113"/>
      <c r="QM542" s="113"/>
      <c r="QN542" s="113"/>
      <c r="QO542" s="113"/>
      <c r="QP542" s="113"/>
      <c r="QQ542" s="113"/>
      <c r="QR542" s="113"/>
      <c r="QS542" s="113"/>
      <c r="QT542" s="113"/>
      <c r="QU542" s="113"/>
      <c r="QV542" s="113"/>
      <c r="QW542" s="113"/>
      <c r="QX542" s="113"/>
      <c r="QY542" s="113"/>
      <c r="QZ542" s="113"/>
      <c r="RA542" s="113"/>
      <c r="RB542" s="113"/>
      <c r="RC542" s="113"/>
      <c r="RD542" s="113"/>
      <c r="RE542" s="113"/>
      <c r="RF542" s="113"/>
      <c r="RG542" s="113"/>
      <c r="RH542" s="113"/>
      <c r="RI542" s="113"/>
      <c r="RJ542" s="113"/>
      <c r="RK542" s="113"/>
      <c r="RL542" s="113"/>
      <c r="RM542" s="113"/>
      <c r="RN542" s="113"/>
      <c r="RO542" s="113"/>
      <c r="RP542" s="113"/>
      <c r="RQ542" s="113"/>
      <c r="RR542" s="113"/>
      <c r="RS542" s="113"/>
      <c r="RT542" s="113"/>
      <c r="RU542" s="113"/>
      <c r="RV542" s="113"/>
      <c r="RW542" s="113"/>
      <c r="RX542" s="113"/>
      <c r="RY542" s="113"/>
      <c r="RZ542" s="113"/>
      <c r="SA542" s="113"/>
      <c r="SB542" s="113"/>
      <c r="SC542" s="113"/>
      <c r="SD542" s="113"/>
      <c r="SE542" s="113"/>
      <c r="SF542" s="113"/>
      <c r="SG542" s="113"/>
      <c r="SH542" s="113"/>
      <c r="SI542" s="113"/>
      <c r="SJ542" s="113"/>
      <c r="SK542" s="113"/>
      <c r="SL542" s="113"/>
      <c r="SM542" s="113"/>
      <c r="SN542" s="113"/>
      <c r="SO542" s="113"/>
      <c r="SP542" s="113"/>
      <c r="SQ542" s="113"/>
      <c r="SR542" s="113"/>
      <c r="SS542" s="113"/>
      <c r="ST542" s="113"/>
      <c r="SU542" s="113"/>
      <c r="SV542" s="113"/>
      <c r="SW542" s="113"/>
      <c r="SX542" s="113"/>
      <c r="SY542" s="113"/>
      <c r="SZ542" s="113"/>
      <c r="TA542" s="113"/>
      <c r="TB542" s="113"/>
      <c r="TC542" s="113"/>
      <c r="TD542" s="113"/>
      <c r="TE542" s="113"/>
      <c r="TF542" s="113"/>
      <c r="TG542" s="113"/>
      <c r="TH542" s="113"/>
      <c r="TI542" s="113"/>
      <c r="TJ542" s="113"/>
      <c r="TK542" s="113"/>
      <c r="TL542" s="113"/>
      <c r="TM542" s="113"/>
      <c r="TN542" s="113"/>
      <c r="TO542" s="113"/>
      <c r="TP542" s="113"/>
      <c r="TQ542" s="113"/>
      <c r="TR542" s="113"/>
      <c r="TS542" s="113"/>
      <c r="TT542" s="113"/>
      <c r="TU542" s="113"/>
      <c r="TV542" s="113"/>
      <c r="TW542" s="113"/>
      <c r="TX542" s="113"/>
      <c r="TY542" s="113"/>
      <c r="TZ542" s="113"/>
      <c r="UA542" s="113"/>
      <c r="UB542" s="113"/>
      <c r="UC542" s="113"/>
      <c r="UD542" s="113"/>
      <c r="UE542" s="113"/>
      <c r="UF542" s="113"/>
      <c r="UG542" s="126"/>
    </row>
    <row r="543" spans="1:553" ht="30.75" customHeight="1">
      <c r="A543" s="356" t="s">
        <v>15</v>
      </c>
      <c r="B543" s="356"/>
      <c r="C543" s="384" t="s">
        <v>25</v>
      </c>
      <c r="D543" s="376" t="s">
        <v>20</v>
      </c>
      <c r="E543" s="376" t="s">
        <v>314</v>
      </c>
      <c r="F543" s="385"/>
      <c r="G543" s="386" t="s">
        <v>935</v>
      </c>
      <c r="H543" s="370"/>
      <c r="I543" s="422">
        <v>47.5</v>
      </c>
      <c r="J543" s="368">
        <v>66000</v>
      </c>
      <c r="K543" s="850">
        <v>2.5</v>
      </c>
      <c r="L543" s="366">
        <f t="shared" si="97"/>
        <v>7837500</v>
      </c>
      <c r="M543" s="366"/>
      <c r="N543" s="366"/>
      <c r="O543" s="366"/>
      <c r="P543" s="366"/>
      <c r="Q543" s="1135"/>
      <c r="R543" s="1467"/>
      <c r="S543" s="308"/>
      <c r="T543" s="308"/>
      <c r="U543" s="308"/>
      <c r="V543" s="308"/>
      <c r="W543" s="308"/>
      <c r="X543" s="308"/>
      <c r="Y543" s="308"/>
      <c r="Z543" s="604"/>
      <c r="AA543" s="308"/>
      <c r="AB543" s="308"/>
      <c r="AC543" s="449"/>
      <c r="AD543" s="452"/>
      <c r="AE543" s="452"/>
      <c r="AF543" s="452"/>
      <c r="AG543" s="452"/>
      <c r="AH543" s="452"/>
      <c r="AI543" s="452"/>
      <c r="AJ543" s="452"/>
      <c r="AK543" s="452"/>
      <c r="AL543" s="106"/>
      <c r="AM543" s="31"/>
      <c r="AN543" s="31"/>
      <c r="AO543" s="31"/>
      <c r="AP543" s="31"/>
      <c r="AQ543" s="31"/>
      <c r="AR543" s="31"/>
      <c r="AS543" s="31"/>
      <c r="AT543" s="31"/>
      <c r="AU543" s="31"/>
      <c r="AV543" s="31"/>
      <c r="AW543" s="31"/>
      <c r="AX543" s="31"/>
      <c r="AY543" s="31"/>
      <c r="AZ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c r="CH543" s="31"/>
      <c r="CI543" s="31"/>
      <c r="CJ543" s="31"/>
      <c r="CK543" s="31"/>
      <c r="CL543" s="31"/>
      <c r="CM543" s="31"/>
      <c r="CN543" s="31"/>
      <c r="CO543" s="31"/>
      <c r="CP543" s="31"/>
      <c r="CQ543" s="31"/>
      <c r="CR543" s="31"/>
      <c r="CS543" s="31"/>
      <c r="CT543" s="31"/>
      <c r="CU543" s="31"/>
      <c r="CV543" s="31"/>
      <c r="CW543" s="31"/>
      <c r="CX543" s="31"/>
      <c r="CY543" s="31"/>
      <c r="CZ543" s="31"/>
      <c r="DA543" s="31"/>
      <c r="DB543" s="31"/>
      <c r="DC543" s="31"/>
      <c r="DD543" s="31"/>
      <c r="DE543" s="31"/>
      <c r="DF543" s="31"/>
      <c r="DG543" s="31"/>
      <c r="DH543" s="31"/>
      <c r="DI543" s="31"/>
      <c r="DJ543" s="31"/>
      <c r="DK543" s="31"/>
      <c r="DL543" s="31"/>
      <c r="DM543" s="31"/>
      <c r="DN543" s="31"/>
      <c r="DO543" s="31"/>
      <c r="DP543" s="31"/>
      <c r="DQ543" s="31"/>
      <c r="DR543" s="31"/>
      <c r="DS543" s="31"/>
      <c r="DT543" s="31"/>
      <c r="DU543" s="31"/>
      <c r="DV543" s="31"/>
      <c r="DW543" s="31"/>
      <c r="DX543" s="31"/>
      <c r="DY543" s="31"/>
      <c r="DZ543" s="31"/>
      <c r="EA543" s="31"/>
      <c r="EB543" s="31"/>
      <c r="EC543" s="31"/>
      <c r="ED543" s="31"/>
      <c r="EE543" s="31"/>
      <c r="EF543" s="31"/>
      <c r="EG543" s="31"/>
      <c r="EH543" s="31"/>
      <c r="EI543" s="31"/>
      <c r="EJ543" s="31"/>
      <c r="EK543" s="31"/>
      <c r="EL543" s="31"/>
      <c r="EM543" s="31"/>
      <c r="EN543" s="31"/>
      <c r="EO543" s="31"/>
      <c r="EP543" s="31"/>
      <c r="EQ543" s="31"/>
      <c r="ER543" s="31"/>
      <c r="ES543" s="31"/>
      <c r="ET543" s="31"/>
      <c r="EU543" s="31"/>
      <c r="EV543" s="31"/>
      <c r="EW543" s="31"/>
      <c r="EX543" s="31"/>
      <c r="EY543" s="31"/>
      <c r="EZ543" s="31"/>
      <c r="FA543" s="31"/>
      <c r="FB543" s="31"/>
      <c r="FC543" s="31"/>
      <c r="FD543" s="31"/>
      <c r="FE543" s="31"/>
      <c r="FF543" s="31"/>
      <c r="FG543" s="31"/>
      <c r="FH543" s="31"/>
      <c r="FI543" s="31"/>
      <c r="FJ543" s="31"/>
      <c r="FK543" s="31"/>
      <c r="FL543" s="31"/>
      <c r="FM543" s="31"/>
      <c r="FN543" s="31"/>
      <c r="FO543" s="31"/>
      <c r="FP543" s="31"/>
      <c r="FQ543" s="31"/>
      <c r="FR543" s="31"/>
      <c r="FS543" s="31"/>
      <c r="FT543" s="31"/>
      <c r="FU543" s="31"/>
      <c r="FV543" s="31"/>
      <c r="FW543" s="31"/>
      <c r="FX543" s="31"/>
      <c r="FY543" s="31"/>
      <c r="FZ543" s="31"/>
      <c r="GA543" s="31"/>
      <c r="GB543" s="31"/>
      <c r="GC543" s="31"/>
      <c r="GD543" s="31"/>
      <c r="GE543" s="31"/>
      <c r="GF543" s="31"/>
      <c r="GG543" s="31"/>
      <c r="GH543" s="31"/>
      <c r="GI543" s="31"/>
      <c r="GJ543" s="31"/>
      <c r="GK543" s="31"/>
      <c r="GL543" s="31"/>
      <c r="GM543" s="31"/>
      <c r="GN543" s="31"/>
      <c r="GO543" s="31"/>
      <c r="GP543" s="31"/>
      <c r="GQ543" s="31"/>
      <c r="GR543" s="31"/>
      <c r="GS543" s="31"/>
      <c r="GT543" s="31"/>
      <c r="GU543" s="31"/>
      <c r="GV543" s="31"/>
      <c r="GW543" s="31"/>
      <c r="GX543" s="31"/>
      <c r="GY543" s="31"/>
      <c r="GZ543" s="31"/>
      <c r="HA543" s="31"/>
      <c r="HB543" s="31"/>
      <c r="HC543" s="31"/>
      <c r="HD543" s="31"/>
      <c r="HE543" s="31"/>
      <c r="HF543" s="31"/>
      <c r="HG543" s="31"/>
      <c r="HH543" s="31"/>
      <c r="HI543" s="31"/>
      <c r="HJ543" s="31"/>
      <c r="HK543" s="31"/>
      <c r="HL543" s="31"/>
      <c r="HM543" s="31"/>
      <c r="HN543" s="31"/>
      <c r="HO543" s="31"/>
      <c r="HP543" s="31"/>
      <c r="HQ543" s="31"/>
      <c r="HR543" s="31"/>
      <c r="HS543" s="31"/>
      <c r="HT543" s="31"/>
      <c r="HU543" s="31"/>
      <c r="HV543" s="31"/>
      <c r="HW543" s="31"/>
      <c r="HX543" s="31"/>
      <c r="HY543" s="31"/>
      <c r="HZ543" s="31"/>
      <c r="IA543" s="31"/>
      <c r="IB543" s="31"/>
      <c r="IC543" s="31"/>
      <c r="ID543" s="31"/>
      <c r="IE543" s="31"/>
      <c r="IF543" s="31"/>
      <c r="IG543" s="31"/>
      <c r="IH543" s="31"/>
      <c r="II543" s="31"/>
      <c r="IJ543" s="31"/>
      <c r="IK543" s="31"/>
      <c r="IL543" s="31"/>
      <c r="IM543" s="31"/>
      <c r="IN543" s="31"/>
      <c r="IO543" s="31"/>
      <c r="IP543" s="31"/>
      <c r="IQ543" s="31"/>
      <c r="IR543" s="31"/>
      <c r="IS543" s="31"/>
      <c r="IT543" s="31"/>
      <c r="IU543" s="31"/>
      <c r="IV543" s="31"/>
      <c r="IW543" s="31"/>
      <c r="IX543" s="31"/>
      <c r="IY543" s="31"/>
      <c r="IZ543" s="31"/>
      <c r="JA543" s="31"/>
      <c r="JB543" s="31"/>
      <c r="JC543" s="31"/>
      <c r="JD543" s="31"/>
      <c r="JE543" s="31"/>
      <c r="JF543" s="31"/>
      <c r="JG543" s="31"/>
      <c r="JH543" s="31"/>
      <c r="JI543" s="31"/>
      <c r="JJ543" s="31"/>
      <c r="JK543" s="31"/>
      <c r="JL543" s="31"/>
      <c r="JM543" s="31"/>
      <c r="JN543" s="31"/>
      <c r="JO543" s="31"/>
      <c r="JP543" s="31"/>
      <c r="JQ543" s="31"/>
      <c r="JR543" s="31"/>
      <c r="JS543" s="31"/>
      <c r="JT543" s="31"/>
      <c r="JU543" s="31"/>
      <c r="JV543" s="31"/>
      <c r="JW543" s="31"/>
      <c r="JX543" s="31"/>
      <c r="JY543" s="31"/>
      <c r="JZ543" s="31"/>
      <c r="KA543" s="31"/>
      <c r="KB543" s="31"/>
      <c r="KC543" s="31"/>
      <c r="KD543" s="31"/>
      <c r="KE543" s="31"/>
      <c r="KF543" s="31"/>
      <c r="KG543" s="31"/>
      <c r="KH543" s="31"/>
      <c r="KI543" s="31"/>
      <c r="KJ543" s="31"/>
      <c r="KK543" s="31"/>
      <c r="KL543" s="31"/>
      <c r="KM543" s="31"/>
      <c r="KN543" s="31"/>
      <c r="KO543" s="31"/>
      <c r="KP543" s="31"/>
      <c r="KQ543" s="31"/>
      <c r="KR543" s="31"/>
      <c r="KS543" s="31"/>
      <c r="KT543" s="31"/>
      <c r="KU543" s="31"/>
      <c r="KV543" s="31"/>
      <c r="KW543" s="31"/>
      <c r="KX543" s="31"/>
      <c r="KY543" s="31"/>
      <c r="KZ543" s="31"/>
      <c r="LA543" s="31"/>
      <c r="LB543" s="31"/>
      <c r="LC543" s="31"/>
      <c r="LD543" s="31"/>
      <c r="LE543" s="31"/>
      <c r="LF543" s="31"/>
      <c r="LG543" s="31"/>
      <c r="LH543" s="31"/>
      <c r="LI543" s="31"/>
      <c r="LJ543" s="31"/>
      <c r="LK543" s="31"/>
      <c r="LL543" s="31"/>
      <c r="LM543" s="31"/>
      <c r="LN543" s="31"/>
      <c r="LO543" s="31"/>
      <c r="LP543" s="31"/>
      <c r="LQ543" s="31"/>
      <c r="LR543" s="31"/>
      <c r="LS543" s="31"/>
      <c r="LT543" s="31"/>
      <c r="LU543" s="31"/>
      <c r="LV543" s="31"/>
      <c r="LW543" s="31"/>
      <c r="LX543" s="31"/>
      <c r="LY543" s="31"/>
      <c r="LZ543" s="31"/>
      <c r="MA543" s="31"/>
      <c r="MB543" s="31"/>
      <c r="MC543" s="31"/>
      <c r="MD543" s="31"/>
      <c r="ME543" s="31"/>
      <c r="MF543" s="31"/>
      <c r="MG543" s="31"/>
      <c r="MH543" s="31"/>
      <c r="MI543" s="31"/>
      <c r="MJ543" s="31"/>
      <c r="MK543" s="31"/>
      <c r="ML543" s="31"/>
      <c r="MM543" s="31"/>
      <c r="MN543" s="31"/>
      <c r="MO543" s="31"/>
      <c r="MP543" s="31"/>
      <c r="MQ543" s="31"/>
      <c r="MR543" s="31"/>
      <c r="MS543" s="31"/>
      <c r="MT543" s="31"/>
      <c r="MU543" s="31"/>
      <c r="MV543" s="31"/>
      <c r="MW543" s="31"/>
      <c r="MX543" s="31"/>
      <c r="MY543" s="31"/>
      <c r="MZ543" s="31"/>
      <c r="NA543" s="31"/>
      <c r="NB543" s="31"/>
      <c r="NC543" s="31"/>
      <c r="ND543" s="31"/>
      <c r="NE543" s="31"/>
      <c r="NF543" s="31"/>
      <c r="NG543" s="31"/>
      <c r="NH543" s="31"/>
      <c r="NI543" s="31"/>
      <c r="NJ543" s="31"/>
      <c r="NK543" s="31"/>
      <c r="NL543" s="31"/>
      <c r="NM543" s="31"/>
      <c r="NN543" s="31"/>
      <c r="NO543" s="31"/>
      <c r="NP543" s="31"/>
      <c r="NQ543" s="31"/>
      <c r="NR543" s="31"/>
      <c r="NS543" s="31"/>
      <c r="NT543" s="31"/>
      <c r="NU543" s="31"/>
      <c r="NV543" s="31"/>
      <c r="NW543" s="31"/>
      <c r="NX543" s="31"/>
      <c r="NY543" s="31"/>
      <c r="NZ543" s="31"/>
      <c r="OA543" s="31"/>
      <c r="OB543" s="31"/>
      <c r="OC543" s="31"/>
      <c r="OD543" s="31"/>
      <c r="OE543" s="31"/>
      <c r="OF543" s="31"/>
      <c r="OG543" s="31"/>
      <c r="OH543" s="31"/>
      <c r="OI543" s="31"/>
      <c r="OJ543" s="31"/>
      <c r="OK543" s="31"/>
      <c r="OL543" s="31"/>
      <c r="OM543" s="31"/>
      <c r="ON543" s="31"/>
      <c r="OO543" s="31"/>
      <c r="OP543" s="31"/>
      <c r="OQ543" s="31"/>
      <c r="OR543" s="31"/>
      <c r="OS543" s="31"/>
      <c r="OT543" s="31"/>
      <c r="OU543" s="31"/>
      <c r="OV543" s="31"/>
      <c r="OW543" s="31"/>
      <c r="OX543" s="31"/>
      <c r="OY543" s="31"/>
      <c r="OZ543" s="31"/>
      <c r="PA543" s="31"/>
      <c r="PB543" s="31"/>
      <c r="PC543" s="31"/>
      <c r="PD543" s="31"/>
      <c r="PE543" s="31"/>
      <c r="PF543" s="31"/>
      <c r="PG543" s="31"/>
      <c r="PH543" s="31"/>
      <c r="PI543" s="31"/>
      <c r="PJ543" s="31"/>
      <c r="PK543" s="31"/>
      <c r="PL543" s="31"/>
      <c r="PM543" s="31"/>
      <c r="PN543" s="31"/>
      <c r="PO543" s="31"/>
      <c r="PP543" s="31"/>
      <c r="PQ543" s="31"/>
      <c r="PR543" s="31"/>
      <c r="PS543" s="31"/>
      <c r="PT543" s="31"/>
      <c r="PU543" s="31"/>
      <c r="PV543" s="31"/>
      <c r="PW543" s="31"/>
      <c r="PX543" s="31"/>
      <c r="PY543" s="31"/>
      <c r="PZ543" s="31"/>
      <c r="QA543" s="31"/>
      <c r="QB543" s="31"/>
      <c r="QC543" s="31"/>
      <c r="QD543" s="31"/>
      <c r="QE543" s="31"/>
      <c r="QF543" s="31"/>
      <c r="QG543" s="31"/>
      <c r="QH543" s="31"/>
      <c r="QI543" s="31"/>
      <c r="QJ543" s="31"/>
      <c r="QK543" s="31"/>
      <c r="QL543" s="31"/>
      <c r="QM543" s="31"/>
      <c r="QN543" s="31"/>
      <c r="QO543" s="31"/>
      <c r="QP543" s="31"/>
      <c r="QQ543" s="31"/>
      <c r="QR543" s="31"/>
      <c r="QS543" s="31"/>
      <c r="QT543" s="31"/>
      <c r="QU543" s="31"/>
      <c r="QV543" s="31"/>
      <c r="QW543" s="31"/>
      <c r="QX543" s="31"/>
      <c r="QY543" s="31"/>
      <c r="QZ543" s="31"/>
      <c r="RA543" s="31"/>
      <c r="RB543" s="31"/>
      <c r="RC543" s="31"/>
      <c r="RD543" s="31"/>
      <c r="RE543" s="31"/>
      <c r="RF543" s="31"/>
      <c r="RG543" s="31"/>
      <c r="RH543" s="31"/>
      <c r="RI543" s="31"/>
      <c r="RJ543" s="31"/>
      <c r="RK543" s="31"/>
      <c r="RL543" s="31"/>
      <c r="RM543" s="31"/>
      <c r="RN543" s="31"/>
      <c r="RO543" s="31"/>
      <c r="RP543" s="31"/>
      <c r="RQ543" s="31"/>
      <c r="RR543" s="31"/>
      <c r="RS543" s="31"/>
      <c r="RT543" s="31"/>
      <c r="RU543" s="31"/>
      <c r="RV543" s="31"/>
      <c r="RW543" s="31"/>
      <c r="RX543" s="31"/>
      <c r="RY543" s="31"/>
      <c r="RZ543" s="31"/>
      <c r="SA543" s="31"/>
      <c r="SB543" s="31"/>
      <c r="SC543" s="31"/>
      <c r="SD543" s="31"/>
      <c r="SE543" s="31"/>
      <c r="SF543" s="31"/>
      <c r="SG543" s="31"/>
      <c r="SH543" s="31"/>
      <c r="SI543" s="31"/>
      <c r="SJ543" s="31"/>
      <c r="SK543" s="31"/>
      <c r="SL543" s="31"/>
      <c r="SM543" s="31"/>
      <c r="SN543" s="31"/>
      <c r="SO543" s="31"/>
      <c r="SP543" s="31"/>
      <c r="SQ543" s="31"/>
      <c r="SR543" s="31"/>
      <c r="SS543" s="31"/>
      <c r="ST543" s="31"/>
      <c r="SU543" s="31"/>
      <c r="SV543" s="31"/>
      <c r="SW543" s="31"/>
      <c r="SX543" s="31"/>
      <c r="SY543" s="31"/>
      <c r="SZ543" s="31"/>
      <c r="TA543" s="31"/>
      <c r="TB543" s="31"/>
      <c r="TC543" s="31"/>
      <c r="TD543" s="31"/>
      <c r="TE543" s="31"/>
      <c r="TF543" s="31"/>
      <c r="TG543" s="31"/>
      <c r="TH543" s="31"/>
      <c r="TI543" s="31"/>
      <c r="TJ543" s="31"/>
      <c r="TK543" s="31"/>
      <c r="TL543" s="31"/>
      <c r="TM543" s="31"/>
      <c r="TN543" s="31"/>
      <c r="TO543" s="31"/>
      <c r="TP543" s="31"/>
      <c r="TQ543" s="31"/>
      <c r="TR543" s="31"/>
      <c r="TS543" s="31"/>
      <c r="TT543" s="31"/>
      <c r="TU543" s="31"/>
      <c r="TV543" s="31"/>
      <c r="TW543" s="31"/>
      <c r="TX543" s="31"/>
      <c r="TY543" s="31"/>
      <c r="TZ543" s="31"/>
      <c r="UA543" s="31"/>
      <c r="UB543" s="31"/>
      <c r="UC543" s="31"/>
      <c r="UD543" s="31"/>
      <c r="UE543" s="31"/>
      <c r="UF543" s="31"/>
      <c r="UG543" s="33"/>
    </row>
    <row r="544" spans="1:553" ht="30.75" customHeight="1">
      <c r="A544" s="356" t="s">
        <v>15</v>
      </c>
      <c r="B544" s="356"/>
      <c r="C544" s="384" t="s">
        <v>23</v>
      </c>
      <c r="D544" s="376" t="s">
        <v>20</v>
      </c>
      <c r="E544" s="376" t="s">
        <v>316</v>
      </c>
      <c r="F544" s="385"/>
      <c r="G544" s="386" t="s">
        <v>935</v>
      </c>
      <c r="H544" s="370"/>
      <c r="I544" s="422">
        <v>216.7</v>
      </c>
      <c r="J544" s="368">
        <v>72000</v>
      </c>
      <c r="K544" s="850">
        <v>3</v>
      </c>
      <c r="L544" s="366">
        <f t="shared" si="97"/>
        <v>46807200</v>
      </c>
      <c r="M544" s="366"/>
      <c r="N544" s="366"/>
      <c r="O544" s="366"/>
      <c r="P544" s="366"/>
      <c r="Q544" s="1135"/>
      <c r="R544" s="1467"/>
      <c r="S544" s="308"/>
      <c r="T544" s="308"/>
      <c r="U544" s="308"/>
      <c r="V544" s="308"/>
      <c r="W544" s="308"/>
      <c r="X544" s="308"/>
      <c r="Y544" s="308"/>
      <c r="Z544" s="604"/>
      <c r="AA544" s="308"/>
      <c r="AB544" s="308"/>
      <c r="AC544" s="449"/>
      <c r="AD544" s="452"/>
      <c r="AE544" s="452"/>
      <c r="AF544" s="452"/>
      <c r="AG544" s="452"/>
      <c r="AH544" s="452"/>
      <c r="AI544" s="452"/>
      <c r="AJ544" s="452"/>
      <c r="AK544" s="452"/>
      <c r="AL544" s="106"/>
      <c r="AM544" s="31"/>
      <c r="AN544" s="31"/>
      <c r="AO544" s="31"/>
      <c r="AP544" s="31"/>
      <c r="AQ544" s="31"/>
      <c r="AR544" s="31"/>
      <c r="AS544" s="31"/>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c r="CH544" s="31"/>
      <c r="CI544" s="31"/>
      <c r="CJ544" s="31"/>
      <c r="CK544" s="31"/>
      <c r="CL544" s="31"/>
      <c r="CM544" s="31"/>
      <c r="CN544" s="31"/>
      <c r="CO544" s="31"/>
      <c r="CP544" s="31"/>
      <c r="CQ544" s="31"/>
      <c r="CR544" s="31"/>
      <c r="CS544" s="31"/>
      <c r="CT544" s="31"/>
      <c r="CU544" s="31"/>
      <c r="CV544" s="31"/>
      <c r="CW544" s="31"/>
      <c r="CX544" s="31"/>
      <c r="CY544" s="31"/>
      <c r="CZ544" s="31"/>
      <c r="DA544" s="31"/>
      <c r="DB544" s="31"/>
      <c r="DC544" s="31"/>
      <c r="DD544" s="31"/>
      <c r="DE544" s="31"/>
      <c r="DF544" s="31"/>
      <c r="DG544" s="31"/>
      <c r="DH544" s="31"/>
      <c r="DI544" s="31"/>
      <c r="DJ544" s="31"/>
      <c r="DK544" s="31"/>
      <c r="DL544" s="31"/>
      <c r="DM544" s="31"/>
      <c r="DN544" s="31"/>
      <c r="DO544" s="31"/>
      <c r="DP544" s="31"/>
      <c r="DQ544" s="31"/>
      <c r="DR544" s="31"/>
      <c r="DS544" s="31"/>
      <c r="DT544" s="31"/>
      <c r="DU544" s="31"/>
      <c r="DV544" s="31"/>
      <c r="DW544" s="31"/>
      <c r="DX544" s="31"/>
      <c r="DY544" s="31"/>
      <c r="DZ544" s="31"/>
      <c r="EA544" s="31"/>
      <c r="EB544" s="31"/>
      <c r="EC544" s="31"/>
      <c r="ED544" s="31"/>
      <c r="EE544" s="31"/>
      <c r="EF544" s="31"/>
      <c r="EG544" s="31"/>
      <c r="EH544" s="31"/>
      <c r="EI544" s="31"/>
      <c r="EJ544" s="31"/>
      <c r="EK544" s="31"/>
      <c r="EL544" s="31"/>
      <c r="EM544" s="31"/>
      <c r="EN544" s="31"/>
      <c r="EO544" s="31"/>
      <c r="EP544" s="31"/>
      <c r="EQ544" s="31"/>
      <c r="ER544" s="31"/>
      <c r="ES544" s="31"/>
      <c r="ET544" s="31"/>
      <c r="EU544" s="31"/>
      <c r="EV544" s="31"/>
      <c r="EW544" s="31"/>
      <c r="EX544" s="31"/>
      <c r="EY544" s="31"/>
      <c r="EZ544" s="31"/>
      <c r="FA544" s="31"/>
      <c r="FB544" s="31"/>
      <c r="FC544" s="31"/>
      <c r="FD544" s="31"/>
      <c r="FE544" s="31"/>
      <c r="FF544" s="31"/>
      <c r="FG544" s="31"/>
      <c r="FH544" s="31"/>
      <c r="FI544" s="31"/>
      <c r="FJ544" s="31"/>
      <c r="FK544" s="31"/>
      <c r="FL544" s="31"/>
      <c r="FM544" s="31"/>
      <c r="FN544" s="31"/>
      <c r="FO544" s="31"/>
      <c r="FP544" s="31"/>
      <c r="FQ544" s="31"/>
      <c r="FR544" s="31"/>
      <c r="FS544" s="31"/>
      <c r="FT544" s="31"/>
      <c r="FU544" s="31"/>
      <c r="FV544" s="31"/>
      <c r="FW544" s="31"/>
      <c r="FX544" s="31"/>
      <c r="FY544" s="31"/>
      <c r="FZ544" s="31"/>
      <c r="GA544" s="31"/>
      <c r="GB544" s="31"/>
      <c r="GC544" s="31"/>
      <c r="GD544" s="31"/>
      <c r="GE544" s="31"/>
      <c r="GF544" s="31"/>
      <c r="GG544" s="31"/>
      <c r="GH544" s="31"/>
      <c r="GI544" s="31"/>
      <c r="GJ544" s="31"/>
      <c r="GK544" s="31"/>
      <c r="GL544" s="31"/>
      <c r="GM544" s="31"/>
      <c r="GN544" s="31"/>
      <c r="GO544" s="31"/>
      <c r="GP544" s="31"/>
      <c r="GQ544" s="31"/>
      <c r="GR544" s="31"/>
      <c r="GS544" s="31"/>
      <c r="GT544" s="31"/>
      <c r="GU544" s="31"/>
      <c r="GV544" s="31"/>
      <c r="GW544" s="31"/>
      <c r="GX544" s="31"/>
      <c r="GY544" s="31"/>
      <c r="GZ544" s="31"/>
      <c r="HA544" s="31"/>
      <c r="HB544" s="31"/>
      <c r="HC544" s="31"/>
      <c r="HD544" s="31"/>
      <c r="HE544" s="31"/>
      <c r="HF544" s="31"/>
      <c r="HG544" s="31"/>
      <c r="HH544" s="31"/>
      <c r="HI544" s="31"/>
      <c r="HJ544" s="31"/>
      <c r="HK544" s="31"/>
      <c r="HL544" s="31"/>
      <c r="HM544" s="31"/>
      <c r="HN544" s="31"/>
      <c r="HO544" s="31"/>
      <c r="HP544" s="31"/>
      <c r="HQ544" s="31"/>
      <c r="HR544" s="31"/>
      <c r="HS544" s="31"/>
      <c r="HT544" s="31"/>
      <c r="HU544" s="31"/>
      <c r="HV544" s="31"/>
      <c r="HW544" s="31"/>
      <c r="HX544" s="31"/>
      <c r="HY544" s="31"/>
      <c r="HZ544" s="31"/>
      <c r="IA544" s="31"/>
      <c r="IB544" s="31"/>
      <c r="IC544" s="31"/>
      <c r="ID544" s="31"/>
      <c r="IE544" s="31"/>
      <c r="IF544" s="31"/>
      <c r="IG544" s="31"/>
      <c r="IH544" s="31"/>
      <c r="II544" s="31"/>
      <c r="IJ544" s="31"/>
      <c r="IK544" s="31"/>
      <c r="IL544" s="31"/>
      <c r="IM544" s="31"/>
      <c r="IN544" s="31"/>
      <c r="IO544" s="31"/>
      <c r="IP544" s="31"/>
      <c r="IQ544" s="31"/>
      <c r="IR544" s="31"/>
      <c r="IS544" s="31"/>
      <c r="IT544" s="31"/>
      <c r="IU544" s="31"/>
      <c r="IV544" s="31"/>
      <c r="IW544" s="31"/>
      <c r="IX544" s="31"/>
      <c r="IY544" s="31"/>
      <c r="IZ544" s="31"/>
      <c r="JA544" s="31"/>
      <c r="JB544" s="31"/>
      <c r="JC544" s="31"/>
      <c r="JD544" s="31"/>
      <c r="JE544" s="31"/>
      <c r="JF544" s="31"/>
      <c r="JG544" s="31"/>
      <c r="JH544" s="31"/>
      <c r="JI544" s="31"/>
      <c r="JJ544" s="31"/>
      <c r="JK544" s="31"/>
      <c r="JL544" s="31"/>
      <c r="JM544" s="31"/>
      <c r="JN544" s="31"/>
      <c r="JO544" s="31"/>
      <c r="JP544" s="31"/>
      <c r="JQ544" s="31"/>
      <c r="JR544" s="31"/>
      <c r="JS544" s="31"/>
      <c r="JT544" s="31"/>
      <c r="JU544" s="31"/>
      <c r="JV544" s="31"/>
      <c r="JW544" s="31"/>
      <c r="JX544" s="31"/>
      <c r="JY544" s="31"/>
      <c r="JZ544" s="31"/>
      <c r="KA544" s="31"/>
      <c r="KB544" s="31"/>
      <c r="KC544" s="31"/>
      <c r="KD544" s="31"/>
      <c r="KE544" s="31"/>
      <c r="KF544" s="31"/>
      <c r="KG544" s="31"/>
      <c r="KH544" s="31"/>
      <c r="KI544" s="31"/>
      <c r="KJ544" s="31"/>
      <c r="KK544" s="31"/>
      <c r="KL544" s="31"/>
      <c r="KM544" s="31"/>
      <c r="KN544" s="31"/>
      <c r="KO544" s="31"/>
      <c r="KP544" s="31"/>
      <c r="KQ544" s="31"/>
      <c r="KR544" s="31"/>
      <c r="KS544" s="31"/>
      <c r="KT544" s="31"/>
      <c r="KU544" s="31"/>
      <c r="KV544" s="31"/>
      <c r="KW544" s="31"/>
      <c r="KX544" s="31"/>
      <c r="KY544" s="31"/>
      <c r="KZ544" s="31"/>
      <c r="LA544" s="31"/>
      <c r="LB544" s="31"/>
      <c r="LC544" s="31"/>
      <c r="LD544" s="31"/>
      <c r="LE544" s="31"/>
      <c r="LF544" s="31"/>
      <c r="LG544" s="31"/>
      <c r="LH544" s="31"/>
      <c r="LI544" s="31"/>
      <c r="LJ544" s="31"/>
      <c r="LK544" s="31"/>
      <c r="LL544" s="31"/>
      <c r="LM544" s="31"/>
      <c r="LN544" s="31"/>
      <c r="LO544" s="31"/>
      <c r="LP544" s="31"/>
      <c r="LQ544" s="31"/>
      <c r="LR544" s="31"/>
      <c r="LS544" s="31"/>
      <c r="LT544" s="31"/>
      <c r="LU544" s="31"/>
      <c r="LV544" s="31"/>
      <c r="LW544" s="31"/>
      <c r="LX544" s="31"/>
      <c r="LY544" s="31"/>
      <c r="LZ544" s="31"/>
      <c r="MA544" s="31"/>
      <c r="MB544" s="31"/>
      <c r="MC544" s="31"/>
      <c r="MD544" s="31"/>
      <c r="ME544" s="31"/>
      <c r="MF544" s="31"/>
      <c r="MG544" s="31"/>
      <c r="MH544" s="31"/>
      <c r="MI544" s="31"/>
      <c r="MJ544" s="31"/>
      <c r="MK544" s="31"/>
      <c r="ML544" s="31"/>
      <c r="MM544" s="31"/>
      <c r="MN544" s="31"/>
      <c r="MO544" s="31"/>
      <c r="MP544" s="31"/>
      <c r="MQ544" s="31"/>
      <c r="MR544" s="31"/>
      <c r="MS544" s="31"/>
      <c r="MT544" s="31"/>
      <c r="MU544" s="31"/>
      <c r="MV544" s="31"/>
      <c r="MW544" s="31"/>
      <c r="MX544" s="31"/>
      <c r="MY544" s="31"/>
      <c r="MZ544" s="31"/>
      <c r="NA544" s="31"/>
      <c r="NB544" s="31"/>
      <c r="NC544" s="31"/>
      <c r="ND544" s="31"/>
      <c r="NE544" s="31"/>
      <c r="NF544" s="31"/>
      <c r="NG544" s="31"/>
      <c r="NH544" s="31"/>
      <c r="NI544" s="31"/>
      <c r="NJ544" s="31"/>
      <c r="NK544" s="31"/>
      <c r="NL544" s="31"/>
      <c r="NM544" s="31"/>
      <c r="NN544" s="31"/>
      <c r="NO544" s="31"/>
      <c r="NP544" s="31"/>
      <c r="NQ544" s="31"/>
      <c r="NR544" s="31"/>
      <c r="NS544" s="31"/>
      <c r="NT544" s="31"/>
      <c r="NU544" s="31"/>
      <c r="NV544" s="31"/>
      <c r="NW544" s="31"/>
      <c r="NX544" s="31"/>
      <c r="NY544" s="31"/>
      <c r="NZ544" s="31"/>
      <c r="OA544" s="31"/>
      <c r="OB544" s="31"/>
      <c r="OC544" s="31"/>
      <c r="OD544" s="31"/>
      <c r="OE544" s="31"/>
      <c r="OF544" s="31"/>
      <c r="OG544" s="31"/>
      <c r="OH544" s="31"/>
      <c r="OI544" s="31"/>
      <c r="OJ544" s="31"/>
      <c r="OK544" s="31"/>
      <c r="OL544" s="31"/>
      <c r="OM544" s="31"/>
      <c r="ON544" s="31"/>
      <c r="OO544" s="31"/>
      <c r="OP544" s="31"/>
      <c r="OQ544" s="31"/>
      <c r="OR544" s="31"/>
      <c r="OS544" s="31"/>
      <c r="OT544" s="31"/>
      <c r="OU544" s="31"/>
      <c r="OV544" s="31"/>
      <c r="OW544" s="31"/>
      <c r="OX544" s="31"/>
      <c r="OY544" s="31"/>
      <c r="OZ544" s="31"/>
      <c r="PA544" s="31"/>
      <c r="PB544" s="31"/>
      <c r="PC544" s="31"/>
      <c r="PD544" s="31"/>
      <c r="PE544" s="31"/>
      <c r="PF544" s="31"/>
      <c r="PG544" s="31"/>
      <c r="PH544" s="31"/>
      <c r="PI544" s="31"/>
      <c r="PJ544" s="31"/>
      <c r="PK544" s="31"/>
      <c r="PL544" s="31"/>
      <c r="PM544" s="31"/>
      <c r="PN544" s="31"/>
      <c r="PO544" s="31"/>
      <c r="PP544" s="31"/>
      <c r="PQ544" s="31"/>
      <c r="PR544" s="31"/>
      <c r="PS544" s="31"/>
      <c r="PT544" s="31"/>
      <c r="PU544" s="31"/>
      <c r="PV544" s="31"/>
      <c r="PW544" s="31"/>
      <c r="PX544" s="31"/>
      <c r="PY544" s="31"/>
      <c r="PZ544" s="31"/>
      <c r="QA544" s="31"/>
      <c r="QB544" s="31"/>
      <c r="QC544" s="31"/>
      <c r="QD544" s="31"/>
      <c r="QE544" s="31"/>
      <c r="QF544" s="31"/>
      <c r="QG544" s="31"/>
      <c r="QH544" s="31"/>
      <c r="QI544" s="31"/>
      <c r="QJ544" s="31"/>
      <c r="QK544" s="31"/>
      <c r="QL544" s="31"/>
      <c r="QM544" s="31"/>
      <c r="QN544" s="31"/>
      <c r="QO544" s="31"/>
      <c r="QP544" s="31"/>
      <c r="QQ544" s="31"/>
      <c r="QR544" s="31"/>
      <c r="QS544" s="31"/>
      <c r="QT544" s="31"/>
      <c r="QU544" s="31"/>
      <c r="QV544" s="31"/>
      <c r="QW544" s="31"/>
      <c r="QX544" s="31"/>
      <c r="QY544" s="31"/>
      <c r="QZ544" s="31"/>
      <c r="RA544" s="31"/>
      <c r="RB544" s="31"/>
      <c r="RC544" s="31"/>
      <c r="RD544" s="31"/>
      <c r="RE544" s="31"/>
      <c r="RF544" s="31"/>
      <c r="RG544" s="31"/>
      <c r="RH544" s="31"/>
      <c r="RI544" s="31"/>
      <c r="RJ544" s="31"/>
      <c r="RK544" s="31"/>
      <c r="RL544" s="31"/>
      <c r="RM544" s="31"/>
      <c r="RN544" s="31"/>
      <c r="RO544" s="31"/>
      <c r="RP544" s="31"/>
      <c r="RQ544" s="31"/>
      <c r="RR544" s="31"/>
      <c r="RS544" s="31"/>
      <c r="RT544" s="31"/>
      <c r="RU544" s="31"/>
      <c r="RV544" s="31"/>
      <c r="RW544" s="31"/>
      <c r="RX544" s="31"/>
      <c r="RY544" s="31"/>
      <c r="RZ544" s="31"/>
      <c r="SA544" s="31"/>
      <c r="SB544" s="31"/>
      <c r="SC544" s="31"/>
      <c r="SD544" s="31"/>
      <c r="SE544" s="31"/>
      <c r="SF544" s="31"/>
      <c r="SG544" s="31"/>
      <c r="SH544" s="31"/>
      <c r="SI544" s="31"/>
      <c r="SJ544" s="31"/>
      <c r="SK544" s="31"/>
      <c r="SL544" s="31"/>
      <c r="SM544" s="31"/>
      <c r="SN544" s="31"/>
      <c r="SO544" s="31"/>
      <c r="SP544" s="31"/>
      <c r="SQ544" s="31"/>
      <c r="SR544" s="31"/>
      <c r="SS544" s="31"/>
      <c r="ST544" s="31"/>
      <c r="SU544" s="31"/>
      <c r="SV544" s="31"/>
      <c r="SW544" s="31"/>
      <c r="SX544" s="31"/>
      <c r="SY544" s="31"/>
      <c r="SZ544" s="31"/>
      <c r="TA544" s="31"/>
      <c r="TB544" s="31"/>
      <c r="TC544" s="31"/>
      <c r="TD544" s="31"/>
      <c r="TE544" s="31"/>
      <c r="TF544" s="31"/>
      <c r="TG544" s="31"/>
      <c r="TH544" s="31"/>
      <c r="TI544" s="31"/>
      <c r="TJ544" s="31"/>
      <c r="TK544" s="31"/>
      <c r="TL544" s="31"/>
      <c r="TM544" s="31"/>
      <c r="TN544" s="31"/>
      <c r="TO544" s="31"/>
      <c r="TP544" s="31"/>
      <c r="TQ544" s="31"/>
      <c r="TR544" s="31"/>
      <c r="TS544" s="31"/>
      <c r="TT544" s="31"/>
      <c r="TU544" s="31"/>
      <c r="TV544" s="31"/>
      <c r="TW544" s="31"/>
      <c r="TX544" s="31"/>
      <c r="TY544" s="31"/>
      <c r="TZ544" s="31"/>
      <c r="UA544" s="31"/>
      <c r="UB544" s="31"/>
      <c r="UC544" s="31"/>
      <c r="UD544" s="31"/>
      <c r="UE544" s="31"/>
      <c r="UF544" s="31"/>
      <c r="UG544" s="33"/>
    </row>
    <row r="545" spans="1:553" ht="30.75" customHeight="1">
      <c r="A545" s="356" t="s">
        <v>15</v>
      </c>
      <c r="B545" s="356"/>
      <c r="C545" s="384" t="s">
        <v>23</v>
      </c>
      <c r="D545" s="376" t="s">
        <v>20</v>
      </c>
      <c r="E545" s="376" t="s">
        <v>317</v>
      </c>
      <c r="F545" s="385"/>
      <c r="G545" s="386" t="s">
        <v>935</v>
      </c>
      <c r="H545" s="370"/>
      <c r="I545" s="422">
        <v>510</v>
      </c>
      <c r="J545" s="368">
        <v>72000</v>
      </c>
      <c r="K545" s="850">
        <v>3</v>
      </c>
      <c r="L545" s="366">
        <f t="shared" si="97"/>
        <v>110160000</v>
      </c>
      <c r="M545" s="366"/>
      <c r="N545" s="366"/>
      <c r="O545" s="366"/>
      <c r="P545" s="366"/>
      <c r="Q545" s="1135"/>
      <c r="R545" s="1467"/>
      <c r="S545" s="308"/>
      <c r="T545" s="308"/>
      <c r="U545" s="308"/>
      <c r="V545" s="308"/>
      <c r="W545" s="308"/>
      <c r="X545" s="308"/>
      <c r="Y545" s="308"/>
      <c r="Z545" s="604"/>
      <c r="AA545" s="308"/>
      <c r="AB545" s="308"/>
      <c r="AC545" s="449"/>
      <c r="AD545" s="452"/>
      <c r="AE545" s="452"/>
      <c r="AF545" s="452"/>
      <c r="AG545" s="452"/>
      <c r="AH545" s="452"/>
      <c r="AI545" s="452"/>
      <c r="AJ545" s="452"/>
      <c r="AK545" s="452"/>
      <c r="AL545" s="106"/>
      <c r="AM545" s="31"/>
      <c r="AN545" s="31"/>
      <c r="AO545" s="31"/>
      <c r="AP545" s="31"/>
      <c r="AQ545" s="31"/>
      <c r="AR545" s="31"/>
      <c r="AS545" s="31"/>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c r="CT545" s="31"/>
      <c r="CU545" s="31"/>
      <c r="CV545" s="31"/>
      <c r="CW545" s="31"/>
      <c r="CX545" s="31"/>
      <c r="CY545" s="31"/>
      <c r="CZ545" s="31"/>
      <c r="DA545" s="31"/>
      <c r="DB545" s="31"/>
      <c r="DC545" s="31"/>
      <c r="DD545" s="31"/>
      <c r="DE545" s="31"/>
      <c r="DF545" s="31"/>
      <c r="DG545" s="31"/>
      <c r="DH545" s="31"/>
      <c r="DI545" s="31"/>
      <c r="DJ545" s="31"/>
      <c r="DK545" s="31"/>
      <c r="DL545" s="31"/>
      <c r="DM545" s="31"/>
      <c r="DN545" s="31"/>
      <c r="DO545" s="31"/>
      <c r="DP545" s="31"/>
      <c r="DQ545" s="31"/>
      <c r="DR545" s="31"/>
      <c r="DS545" s="31"/>
      <c r="DT545" s="31"/>
      <c r="DU545" s="31"/>
      <c r="DV545" s="31"/>
      <c r="DW545" s="31"/>
      <c r="DX545" s="31"/>
      <c r="DY545" s="31"/>
      <c r="DZ545" s="31"/>
      <c r="EA545" s="31"/>
      <c r="EB545" s="31"/>
      <c r="EC545" s="31"/>
      <c r="ED545" s="31"/>
      <c r="EE545" s="31"/>
      <c r="EF545" s="31"/>
      <c r="EG545" s="31"/>
      <c r="EH545" s="31"/>
      <c r="EI545" s="31"/>
      <c r="EJ545" s="31"/>
      <c r="EK545" s="31"/>
      <c r="EL545" s="31"/>
      <c r="EM545" s="31"/>
      <c r="EN545" s="31"/>
      <c r="EO545" s="31"/>
      <c r="EP545" s="31"/>
      <c r="EQ545" s="31"/>
      <c r="ER545" s="31"/>
      <c r="ES545" s="31"/>
      <c r="ET545" s="31"/>
      <c r="EU545" s="31"/>
      <c r="EV545" s="31"/>
      <c r="EW545" s="31"/>
      <c r="EX545" s="31"/>
      <c r="EY545" s="31"/>
      <c r="EZ545" s="31"/>
      <c r="FA545" s="31"/>
      <c r="FB545" s="31"/>
      <c r="FC545" s="31"/>
      <c r="FD545" s="31"/>
      <c r="FE545" s="31"/>
      <c r="FF545" s="31"/>
      <c r="FG545" s="31"/>
      <c r="FH545" s="31"/>
      <c r="FI545" s="31"/>
      <c r="FJ545" s="31"/>
      <c r="FK545" s="31"/>
      <c r="FL545" s="31"/>
      <c r="FM545" s="31"/>
      <c r="FN545" s="31"/>
      <c r="FO545" s="31"/>
      <c r="FP545" s="31"/>
      <c r="FQ545" s="31"/>
      <c r="FR545" s="31"/>
      <c r="FS545" s="31"/>
      <c r="FT545" s="31"/>
      <c r="FU545" s="31"/>
      <c r="FV545" s="31"/>
      <c r="FW545" s="31"/>
      <c r="FX545" s="31"/>
      <c r="FY545" s="31"/>
      <c r="FZ545" s="31"/>
      <c r="GA545" s="31"/>
      <c r="GB545" s="31"/>
      <c r="GC545" s="31"/>
      <c r="GD545" s="31"/>
      <c r="GE545" s="31"/>
      <c r="GF545" s="31"/>
      <c r="GG545" s="31"/>
      <c r="GH545" s="31"/>
      <c r="GI545" s="31"/>
      <c r="GJ545" s="31"/>
      <c r="GK545" s="31"/>
      <c r="GL545" s="31"/>
      <c r="GM545" s="31"/>
      <c r="GN545" s="31"/>
      <c r="GO545" s="31"/>
      <c r="GP545" s="31"/>
      <c r="GQ545" s="31"/>
      <c r="GR545" s="31"/>
      <c r="GS545" s="31"/>
      <c r="GT545" s="31"/>
      <c r="GU545" s="31"/>
      <c r="GV545" s="31"/>
      <c r="GW545" s="31"/>
      <c r="GX545" s="31"/>
      <c r="GY545" s="31"/>
      <c r="GZ545" s="31"/>
      <c r="HA545" s="31"/>
      <c r="HB545" s="31"/>
      <c r="HC545" s="31"/>
      <c r="HD545" s="31"/>
      <c r="HE545" s="31"/>
      <c r="HF545" s="31"/>
      <c r="HG545" s="31"/>
      <c r="HH545" s="31"/>
      <c r="HI545" s="31"/>
      <c r="HJ545" s="31"/>
      <c r="HK545" s="31"/>
      <c r="HL545" s="31"/>
      <c r="HM545" s="31"/>
      <c r="HN545" s="31"/>
      <c r="HO545" s="31"/>
      <c r="HP545" s="31"/>
      <c r="HQ545" s="31"/>
      <c r="HR545" s="31"/>
      <c r="HS545" s="31"/>
      <c r="HT545" s="31"/>
      <c r="HU545" s="31"/>
      <c r="HV545" s="31"/>
      <c r="HW545" s="31"/>
      <c r="HX545" s="31"/>
      <c r="HY545" s="31"/>
      <c r="HZ545" s="31"/>
      <c r="IA545" s="31"/>
      <c r="IB545" s="31"/>
      <c r="IC545" s="31"/>
      <c r="ID545" s="31"/>
      <c r="IE545" s="31"/>
      <c r="IF545" s="31"/>
      <c r="IG545" s="31"/>
      <c r="IH545" s="31"/>
      <c r="II545" s="31"/>
      <c r="IJ545" s="31"/>
      <c r="IK545" s="31"/>
      <c r="IL545" s="31"/>
      <c r="IM545" s="31"/>
      <c r="IN545" s="31"/>
      <c r="IO545" s="31"/>
      <c r="IP545" s="31"/>
      <c r="IQ545" s="31"/>
      <c r="IR545" s="31"/>
      <c r="IS545" s="31"/>
      <c r="IT545" s="31"/>
      <c r="IU545" s="31"/>
      <c r="IV545" s="31"/>
      <c r="IW545" s="31"/>
      <c r="IX545" s="31"/>
      <c r="IY545" s="31"/>
      <c r="IZ545" s="31"/>
      <c r="JA545" s="31"/>
      <c r="JB545" s="31"/>
      <c r="JC545" s="31"/>
      <c r="JD545" s="31"/>
      <c r="JE545" s="31"/>
      <c r="JF545" s="31"/>
      <c r="JG545" s="31"/>
      <c r="JH545" s="31"/>
      <c r="JI545" s="31"/>
      <c r="JJ545" s="31"/>
      <c r="JK545" s="31"/>
      <c r="JL545" s="31"/>
      <c r="JM545" s="31"/>
      <c r="JN545" s="31"/>
      <c r="JO545" s="31"/>
      <c r="JP545" s="31"/>
      <c r="JQ545" s="31"/>
      <c r="JR545" s="31"/>
      <c r="JS545" s="31"/>
      <c r="JT545" s="31"/>
      <c r="JU545" s="31"/>
      <c r="JV545" s="31"/>
      <c r="JW545" s="31"/>
      <c r="JX545" s="31"/>
      <c r="JY545" s="31"/>
      <c r="JZ545" s="31"/>
      <c r="KA545" s="31"/>
      <c r="KB545" s="31"/>
      <c r="KC545" s="31"/>
      <c r="KD545" s="31"/>
      <c r="KE545" s="31"/>
      <c r="KF545" s="31"/>
      <c r="KG545" s="31"/>
      <c r="KH545" s="31"/>
      <c r="KI545" s="31"/>
      <c r="KJ545" s="31"/>
      <c r="KK545" s="31"/>
      <c r="KL545" s="31"/>
      <c r="KM545" s="31"/>
      <c r="KN545" s="31"/>
      <c r="KO545" s="31"/>
      <c r="KP545" s="31"/>
      <c r="KQ545" s="31"/>
      <c r="KR545" s="31"/>
      <c r="KS545" s="31"/>
      <c r="KT545" s="31"/>
      <c r="KU545" s="31"/>
      <c r="KV545" s="31"/>
      <c r="KW545" s="31"/>
      <c r="KX545" s="31"/>
      <c r="KY545" s="31"/>
      <c r="KZ545" s="31"/>
      <c r="LA545" s="31"/>
      <c r="LB545" s="31"/>
      <c r="LC545" s="31"/>
      <c r="LD545" s="31"/>
      <c r="LE545" s="31"/>
      <c r="LF545" s="31"/>
      <c r="LG545" s="31"/>
      <c r="LH545" s="31"/>
      <c r="LI545" s="31"/>
      <c r="LJ545" s="31"/>
      <c r="LK545" s="31"/>
      <c r="LL545" s="31"/>
      <c r="LM545" s="31"/>
      <c r="LN545" s="31"/>
      <c r="LO545" s="31"/>
      <c r="LP545" s="31"/>
      <c r="LQ545" s="31"/>
      <c r="LR545" s="31"/>
      <c r="LS545" s="31"/>
      <c r="LT545" s="31"/>
      <c r="LU545" s="31"/>
      <c r="LV545" s="31"/>
      <c r="LW545" s="31"/>
      <c r="LX545" s="31"/>
      <c r="LY545" s="31"/>
      <c r="LZ545" s="31"/>
      <c r="MA545" s="31"/>
      <c r="MB545" s="31"/>
      <c r="MC545" s="31"/>
      <c r="MD545" s="31"/>
      <c r="ME545" s="31"/>
      <c r="MF545" s="31"/>
      <c r="MG545" s="31"/>
      <c r="MH545" s="31"/>
      <c r="MI545" s="31"/>
      <c r="MJ545" s="31"/>
      <c r="MK545" s="31"/>
      <c r="ML545" s="31"/>
      <c r="MM545" s="31"/>
      <c r="MN545" s="31"/>
      <c r="MO545" s="31"/>
      <c r="MP545" s="31"/>
      <c r="MQ545" s="31"/>
      <c r="MR545" s="31"/>
      <c r="MS545" s="31"/>
      <c r="MT545" s="31"/>
      <c r="MU545" s="31"/>
      <c r="MV545" s="31"/>
      <c r="MW545" s="31"/>
      <c r="MX545" s="31"/>
      <c r="MY545" s="31"/>
      <c r="MZ545" s="31"/>
      <c r="NA545" s="31"/>
      <c r="NB545" s="31"/>
      <c r="NC545" s="31"/>
      <c r="ND545" s="31"/>
      <c r="NE545" s="31"/>
      <c r="NF545" s="31"/>
      <c r="NG545" s="31"/>
      <c r="NH545" s="31"/>
      <c r="NI545" s="31"/>
      <c r="NJ545" s="31"/>
      <c r="NK545" s="31"/>
      <c r="NL545" s="31"/>
      <c r="NM545" s="31"/>
      <c r="NN545" s="31"/>
      <c r="NO545" s="31"/>
      <c r="NP545" s="31"/>
      <c r="NQ545" s="31"/>
      <c r="NR545" s="31"/>
      <c r="NS545" s="31"/>
      <c r="NT545" s="31"/>
      <c r="NU545" s="31"/>
      <c r="NV545" s="31"/>
      <c r="NW545" s="31"/>
      <c r="NX545" s="31"/>
      <c r="NY545" s="31"/>
      <c r="NZ545" s="31"/>
      <c r="OA545" s="31"/>
      <c r="OB545" s="31"/>
      <c r="OC545" s="31"/>
      <c r="OD545" s="31"/>
      <c r="OE545" s="31"/>
      <c r="OF545" s="31"/>
      <c r="OG545" s="31"/>
      <c r="OH545" s="31"/>
      <c r="OI545" s="31"/>
      <c r="OJ545" s="31"/>
      <c r="OK545" s="31"/>
      <c r="OL545" s="31"/>
      <c r="OM545" s="31"/>
      <c r="ON545" s="31"/>
      <c r="OO545" s="31"/>
      <c r="OP545" s="31"/>
      <c r="OQ545" s="31"/>
      <c r="OR545" s="31"/>
      <c r="OS545" s="31"/>
      <c r="OT545" s="31"/>
      <c r="OU545" s="31"/>
      <c r="OV545" s="31"/>
      <c r="OW545" s="31"/>
      <c r="OX545" s="31"/>
      <c r="OY545" s="31"/>
      <c r="OZ545" s="31"/>
      <c r="PA545" s="31"/>
      <c r="PB545" s="31"/>
      <c r="PC545" s="31"/>
      <c r="PD545" s="31"/>
      <c r="PE545" s="31"/>
      <c r="PF545" s="31"/>
      <c r="PG545" s="31"/>
      <c r="PH545" s="31"/>
      <c r="PI545" s="31"/>
      <c r="PJ545" s="31"/>
      <c r="PK545" s="31"/>
      <c r="PL545" s="31"/>
      <c r="PM545" s="31"/>
      <c r="PN545" s="31"/>
      <c r="PO545" s="31"/>
      <c r="PP545" s="31"/>
      <c r="PQ545" s="31"/>
      <c r="PR545" s="31"/>
      <c r="PS545" s="31"/>
      <c r="PT545" s="31"/>
      <c r="PU545" s="31"/>
      <c r="PV545" s="31"/>
      <c r="PW545" s="31"/>
      <c r="PX545" s="31"/>
      <c r="PY545" s="31"/>
      <c r="PZ545" s="31"/>
      <c r="QA545" s="31"/>
      <c r="QB545" s="31"/>
      <c r="QC545" s="31"/>
      <c r="QD545" s="31"/>
      <c r="QE545" s="31"/>
      <c r="QF545" s="31"/>
      <c r="QG545" s="31"/>
      <c r="QH545" s="31"/>
      <c r="QI545" s="31"/>
      <c r="QJ545" s="31"/>
      <c r="QK545" s="31"/>
      <c r="QL545" s="31"/>
      <c r="QM545" s="31"/>
      <c r="QN545" s="31"/>
      <c r="QO545" s="31"/>
      <c r="QP545" s="31"/>
      <c r="QQ545" s="31"/>
      <c r="QR545" s="31"/>
      <c r="QS545" s="31"/>
      <c r="QT545" s="31"/>
      <c r="QU545" s="31"/>
      <c r="QV545" s="31"/>
      <c r="QW545" s="31"/>
      <c r="QX545" s="31"/>
      <c r="QY545" s="31"/>
      <c r="QZ545" s="31"/>
      <c r="RA545" s="31"/>
      <c r="RB545" s="31"/>
      <c r="RC545" s="31"/>
      <c r="RD545" s="31"/>
      <c r="RE545" s="31"/>
      <c r="RF545" s="31"/>
      <c r="RG545" s="31"/>
      <c r="RH545" s="31"/>
      <c r="RI545" s="31"/>
      <c r="RJ545" s="31"/>
      <c r="RK545" s="31"/>
      <c r="RL545" s="31"/>
      <c r="RM545" s="31"/>
      <c r="RN545" s="31"/>
      <c r="RO545" s="31"/>
      <c r="RP545" s="31"/>
      <c r="RQ545" s="31"/>
      <c r="RR545" s="31"/>
      <c r="RS545" s="31"/>
      <c r="RT545" s="31"/>
      <c r="RU545" s="31"/>
      <c r="RV545" s="31"/>
      <c r="RW545" s="31"/>
      <c r="RX545" s="31"/>
      <c r="RY545" s="31"/>
      <c r="RZ545" s="31"/>
      <c r="SA545" s="31"/>
      <c r="SB545" s="31"/>
      <c r="SC545" s="31"/>
      <c r="SD545" s="31"/>
      <c r="SE545" s="31"/>
      <c r="SF545" s="31"/>
      <c r="SG545" s="31"/>
      <c r="SH545" s="31"/>
      <c r="SI545" s="31"/>
      <c r="SJ545" s="31"/>
      <c r="SK545" s="31"/>
      <c r="SL545" s="31"/>
      <c r="SM545" s="31"/>
      <c r="SN545" s="31"/>
      <c r="SO545" s="31"/>
      <c r="SP545" s="31"/>
      <c r="SQ545" s="31"/>
      <c r="SR545" s="31"/>
      <c r="SS545" s="31"/>
      <c r="ST545" s="31"/>
      <c r="SU545" s="31"/>
      <c r="SV545" s="31"/>
      <c r="SW545" s="31"/>
      <c r="SX545" s="31"/>
      <c r="SY545" s="31"/>
      <c r="SZ545" s="31"/>
      <c r="TA545" s="31"/>
      <c r="TB545" s="31"/>
      <c r="TC545" s="31"/>
      <c r="TD545" s="31"/>
      <c r="TE545" s="31"/>
      <c r="TF545" s="31"/>
      <c r="TG545" s="31"/>
      <c r="TH545" s="31"/>
      <c r="TI545" s="31"/>
      <c r="TJ545" s="31"/>
      <c r="TK545" s="31"/>
      <c r="TL545" s="31"/>
      <c r="TM545" s="31"/>
      <c r="TN545" s="31"/>
      <c r="TO545" s="31"/>
      <c r="TP545" s="31"/>
      <c r="TQ545" s="31"/>
      <c r="TR545" s="31"/>
      <c r="TS545" s="31"/>
      <c r="TT545" s="31"/>
      <c r="TU545" s="31"/>
      <c r="TV545" s="31"/>
      <c r="TW545" s="31"/>
      <c r="TX545" s="31"/>
      <c r="TY545" s="31"/>
      <c r="TZ545" s="31"/>
      <c r="UA545" s="31"/>
      <c r="UB545" s="31"/>
      <c r="UC545" s="31"/>
      <c r="UD545" s="31"/>
      <c r="UE545" s="31"/>
      <c r="UF545" s="31"/>
      <c r="UG545" s="33"/>
    </row>
    <row r="546" spans="1:553" ht="30.75" customHeight="1">
      <c r="A546" s="356" t="s">
        <v>15</v>
      </c>
      <c r="B546" s="356"/>
      <c r="C546" s="384" t="s">
        <v>22</v>
      </c>
      <c r="D546" s="376">
        <v>2</v>
      </c>
      <c r="E546" s="376">
        <v>386</v>
      </c>
      <c r="F546" s="385"/>
      <c r="G546" s="386" t="s">
        <v>935</v>
      </c>
      <c r="H546" s="370"/>
      <c r="I546" s="422">
        <v>916.1</v>
      </c>
      <c r="J546" s="368">
        <v>62000</v>
      </c>
      <c r="K546" s="850">
        <v>1</v>
      </c>
      <c r="L546" s="366">
        <f t="shared" si="97"/>
        <v>56798200</v>
      </c>
      <c r="M546" s="366"/>
      <c r="N546" s="366"/>
      <c r="O546" s="366"/>
      <c r="P546" s="366"/>
      <c r="Q546" s="1135"/>
      <c r="R546" s="1467"/>
      <c r="S546" s="308"/>
      <c r="T546" s="308"/>
      <c r="U546" s="308"/>
      <c r="V546" s="308"/>
      <c r="W546" s="308"/>
      <c r="X546" s="308"/>
      <c r="Y546" s="308"/>
      <c r="Z546" s="604"/>
      <c r="AA546" s="308"/>
      <c r="AB546" s="308"/>
      <c r="AC546" s="449"/>
      <c r="AD546" s="452"/>
      <c r="AE546" s="452"/>
      <c r="AF546" s="452"/>
      <c r="AG546" s="452"/>
      <c r="AH546" s="452"/>
      <c r="AI546" s="452"/>
      <c r="AJ546" s="452"/>
      <c r="AK546" s="452"/>
      <c r="AL546" s="106"/>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1"/>
      <c r="FH546" s="31"/>
      <c r="FI546" s="31"/>
      <c r="FJ546" s="31"/>
      <c r="FK546" s="31"/>
      <c r="FL546" s="31"/>
      <c r="FM546" s="31"/>
      <c r="FN546" s="31"/>
      <c r="FO546" s="31"/>
      <c r="FP546" s="31"/>
      <c r="FQ546" s="31"/>
      <c r="FR546" s="31"/>
      <c r="FS546" s="31"/>
      <c r="FT546" s="31"/>
      <c r="FU546" s="31"/>
      <c r="FV546" s="31"/>
      <c r="FW546" s="31"/>
      <c r="FX546" s="31"/>
      <c r="FY546" s="31"/>
      <c r="FZ546" s="31"/>
      <c r="GA546" s="31"/>
      <c r="GB546" s="31"/>
      <c r="GC546" s="31"/>
      <c r="GD546" s="31"/>
      <c r="GE546" s="31"/>
      <c r="GF546" s="31"/>
      <c r="GG546" s="31"/>
      <c r="GH546" s="31"/>
      <c r="GI546" s="31"/>
      <c r="GJ546" s="31"/>
      <c r="GK546" s="31"/>
      <c r="GL546" s="31"/>
      <c r="GM546" s="31"/>
      <c r="GN546" s="31"/>
      <c r="GO546" s="31"/>
      <c r="GP546" s="31"/>
      <c r="GQ546" s="31"/>
      <c r="GR546" s="31"/>
      <c r="GS546" s="31"/>
      <c r="GT546" s="31"/>
      <c r="GU546" s="31"/>
      <c r="GV546" s="31"/>
      <c r="GW546" s="31"/>
      <c r="GX546" s="31"/>
      <c r="GY546" s="31"/>
      <c r="GZ546" s="31"/>
      <c r="HA546" s="31"/>
      <c r="HB546" s="31"/>
      <c r="HC546" s="31"/>
      <c r="HD546" s="31"/>
      <c r="HE546" s="31"/>
      <c r="HF546" s="31"/>
      <c r="HG546" s="31"/>
      <c r="HH546" s="31"/>
      <c r="HI546" s="31"/>
      <c r="HJ546" s="31"/>
      <c r="HK546" s="31"/>
      <c r="HL546" s="31"/>
      <c r="HM546" s="31"/>
      <c r="HN546" s="31"/>
      <c r="HO546" s="31"/>
      <c r="HP546" s="31"/>
      <c r="HQ546" s="31"/>
      <c r="HR546" s="31"/>
      <c r="HS546" s="31"/>
      <c r="HT546" s="31"/>
      <c r="HU546" s="31"/>
      <c r="HV546" s="31"/>
      <c r="HW546" s="31"/>
      <c r="HX546" s="31"/>
      <c r="HY546" s="31"/>
      <c r="HZ546" s="31"/>
      <c r="IA546" s="31"/>
      <c r="IB546" s="31"/>
      <c r="IC546" s="31"/>
      <c r="ID546" s="31"/>
      <c r="IE546" s="31"/>
      <c r="IF546" s="31"/>
      <c r="IG546" s="31"/>
      <c r="IH546" s="31"/>
      <c r="II546" s="31"/>
      <c r="IJ546" s="31"/>
      <c r="IK546" s="31"/>
      <c r="IL546" s="31"/>
      <c r="IM546" s="31"/>
      <c r="IN546" s="31"/>
      <c r="IO546" s="31"/>
      <c r="IP546" s="31"/>
      <c r="IQ546" s="31"/>
      <c r="IR546" s="31"/>
      <c r="IS546" s="31"/>
      <c r="IT546" s="31"/>
      <c r="IU546" s="31"/>
      <c r="IV546" s="31"/>
      <c r="IW546" s="31"/>
      <c r="IX546" s="31"/>
      <c r="IY546" s="31"/>
      <c r="IZ546" s="31"/>
      <c r="JA546" s="31"/>
      <c r="JB546" s="31"/>
      <c r="JC546" s="31"/>
      <c r="JD546" s="31"/>
      <c r="JE546" s="31"/>
      <c r="JF546" s="31"/>
      <c r="JG546" s="31"/>
      <c r="JH546" s="31"/>
      <c r="JI546" s="31"/>
      <c r="JJ546" s="31"/>
      <c r="JK546" s="31"/>
      <c r="JL546" s="31"/>
      <c r="JM546" s="31"/>
      <c r="JN546" s="31"/>
      <c r="JO546" s="31"/>
      <c r="JP546" s="31"/>
      <c r="JQ546" s="31"/>
      <c r="JR546" s="31"/>
      <c r="JS546" s="31"/>
      <c r="JT546" s="31"/>
      <c r="JU546" s="31"/>
      <c r="JV546" s="31"/>
      <c r="JW546" s="31"/>
      <c r="JX546" s="31"/>
      <c r="JY546" s="31"/>
      <c r="JZ546" s="31"/>
      <c r="KA546" s="31"/>
      <c r="KB546" s="31"/>
      <c r="KC546" s="31"/>
      <c r="KD546" s="31"/>
      <c r="KE546" s="31"/>
      <c r="KF546" s="31"/>
      <c r="KG546" s="31"/>
      <c r="KH546" s="31"/>
      <c r="KI546" s="31"/>
      <c r="KJ546" s="31"/>
      <c r="KK546" s="31"/>
      <c r="KL546" s="31"/>
      <c r="KM546" s="31"/>
      <c r="KN546" s="31"/>
      <c r="KO546" s="31"/>
      <c r="KP546" s="31"/>
      <c r="KQ546" s="31"/>
      <c r="KR546" s="31"/>
      <c r="KS546" s="31"/>
      <c r="KT546" s="31"/>
      <c r="KU546" s="31"/>
      <c r="KV546" s="31"/>
      <c r="KW546" s="31"/>
      <c r="KX546" s="31"/>
      <c r="KY546" s="31"/>
      <c r="KZ546" s="31"/>
      <c r="LA546" s="31"/>
      <c r="LB546" s="31"/>
      <c r="LC546" s="31"/>
      <c r="LD546" s="31"/>
      <c r="LE546" s="31"/>
      <c r="LF546" s="31"/>
      <c r="LG546" s="31"/>
      <c r="LH546" s="31"/>
      <c r="LI546" s="31"/>
      <c r="LJ546" s="31"/>
      <c r="LK546" s="31"/>
      <c r="LL546" s="31"/>
      <c r="LM546" s="31"/>
      <c r="LN546" s="31"/>
      <c r="LO546" s="31"/>
      <c r="LP546" s="31"/>
      <c r="LQ546" s="31"/>
      <c r="LR546" s="31"/>
      <c r="LS546" s="31"/>
      <c r="LT546" s="31"/>
      <c r="LU546" s="31"/>
      <c r="LV546" s="31"/>
      <c r="LW546" s="31"/>
      <c r="LX546" s="31"/>
      <c r="LY546" s="31"/>
      <c r="LZ546" s="31"/>
      <c r="MA546" s="31"/>
      <c r="MB546" s="31"/>
      <c r="MC546" s="31"/>
      <c r="MD546" s="31"/>
      <c r="ME546" s="31"/>
      <c r="MF546" s="31"/>
      <c r="MG546" s="31"/>
      <c r="MH546" s="31"/>
      <c r="MI546" s="31"/>
      <c r="MJ546" s="31"/>
      <c r="MK546" s="31"/>
      <c r="ML546" s="31"/>
      <c r="MM546" s="31"/>
      <c r="MN546" s="31"/>
      <c r="MO546" s="31"/>
      <c r="MP546" s="31"/>
      <c r="MQ546" s="31"/>
      <c r="MR546" s="31"/>
      <c r="MS546" s="31"/>
      <c r="MT546" s="31"/>
      <c r="MU546" s="31"/>
      <c r="MV546" s="31"/>
      <c r="MW546" s="31"/>
      <c r="MX546" s="31"/>
      <c r="MY546" s="31"/>
      <c r="MZ546" s="31"/>
      <c r="NA546" s="31"/>
      <c r="NB546" s="31"/>
      <c r="NC546" s="31"/>
      <c r="ND546" s="31"/>
      <c r="NE546" s="31"/>
      <c r="NF546" s="31"/>
      <c r="NG546" s="31"/>
      <c r="NH546" s="31"/>
      <c r="NI546" s="31"/>
      <c r="NJ546" s="31"/>
      <c r="NK546" s="31"/>
      <c r="NL546" s="31"/>
      <c r="NM546" s="31"/>
      <c r="NN546" s="31"/>
      <c r="NO546" s="31"/>
      <c r="NP546" s="31"/>
      <c r="NQ546" s="31"/>
      <c r="NR546" s="31"/>
      <c r="NS546" s="31"/>
      <c r="NT546" s="31"/>
      <c r="NU546" s="31"/>
      <c r="NV546" s="31"/>
      <c r="NW546" s="31"/>
      <c r="NX546" s="31"/>
      <c r="NY546" s="31"/>
      <c r="NZ546" s="31"/>
      <c r="OA546" s="31"/>
      <c r="OB546" s="31"/>
      <c r="OC546" s="31"/>
      <c r="OD546" s="31"/>
      <c r="OE546" s="31"/>
      <c r="OF546" s="31"/>
      <c r="OG546" s="31"/>
      <c r="OH546" s="31"/>
      <c r="OI546" s="31"/>
      <c r="OJ546" s="31"/>
      <c r="OK546" s="31"/>
      <c r="OL546" s="31"/>
      <c r="OM546" s="31"/>
      <c r="ON546" s="31"/>
      <c r="OO546" s="31"/>
      <c r="OP546" s="31"/>
      <c r="OQ546" s="31"/>
      <c r="OR546" s="31"/>
      <c r="OS546" s="31"/>
      <c r="OT546" s="31"/>
      <c r="OU546" s="31"/>
      <c r="OV546" s="31"/>
      <c r="OW546" s="31"/>
      <c r="OX546" s="31"/>
      <c r="OY546" s="31"/>
      <c r="OZ546" s="31"/>
      <c r="PA546" s="31"/>
      <c r="PB546" s="31"/>
      <c r="PC546" s="31"/>
      <c r="PD546" s="31"/>
      <c r="PE546" s="31"/>
      <c r="PF546" s="31"/>
      <c r="PG546" s="31"/>
      <c r="PH546" s="31"/>
      <c r="PI546" s="31"/>
      <c r="PJ546" s="31"/>
      <c r="PK546" s="31"/>
      <c r="PL546" s="31"/>
      <c r="PM546" s="31"/>
      <c r="PN546" s="31"/>
      <c r="PO546" s="31"/>
      <c r="PP546" s="31"/>
      <c r="PQ546" s="31"/>
      <c r="PR546" s="31"/>
      <c r="PS546" s="31"/>
      <c r="PT546" s="31"/>
      <c r="PU546" s="31"/>
      <c r="PV546" s="31"/>
      <c r="PW546" s="31"/>
      <c r="PX546" s="31"/>
      <c r="PY546" s="31"/>
      <c r="PZ546" s="31"/>
      <c r="QA546" s="31"/>
      <c r="QB546" s="31"/>
      <c r="QC546" s="31"/>
      <c r="QD546" s="31"/>
      <c r="QE546" s="31"/>
      <c r="QF546" s="31"/>
      <c r="QG546" s="31"/>
      <c r="QH546" s="31"/>
      <c r="QI546" s="31"/>
      <c r="QJ546" s="31"/>
      <c r="QK546" s="31"/>
      <c r="QL546" s="31"/>
      <c r="QM546" s="31"/>
      <c r="QN546" s="31"/>
      <c r="QO546" s="31"/>
      <c r="QP546" s="31"/>
      <c r="QQ546" s="31"/>
      <c r="QR546" s="31"/>
      <c r="QS546" s="31"/>
      <c r="QT546" s="31"/>
      <c r="QU546" s="31"/>
      <c r="QV546" s="31"/>
      <c r="QW546" s="31"/>
      <c r="QX546" s="31"/>
      <c r="QY546" s="31"/>
      <c r="QZ546" s="31"/>
      <c r="RA546" s="31"/>
      <c r="RB546" s="31"/>
      <c r="RC546" s="31"/>
      <c r="RD546" s="31"/>
      <c r="RE546" s="31"/>
      <c r="RF546" s="31"/>
      <c r="RG546" s="31"/>
      <c r="RH546" s="31"/>
      <c r="RI546" s="31"/>
      <c r="RJ546" s="31"/>
      <c r="RK546" s="31"/>
      <c r="RL546" s="31"/>
      <c r="RM546" s="31"/>
      <c r="RN546" s="31"/>
      <c r="RO546" s="31"/>
      <c r="RP546" s="31"/>
      <c r="RQ546" s="31"/>
      <c r="RR546" s="31"/>
      <c r="RS546" s="31"/>
      <c r="RT546" s="31"/>
      <c r="RU546" s="31"/>
      <c r="RV546" s="31"/>
      <c r="RW546" s="31"/>
      <c r="RX546" s="31"/>
      <c r="RY546" s="31"/>
      <c r="RZ546" s="31"/>
      <c r="SA546" s="31"/>
      <c r="SB546" s="31"/>
      <c r="SC546" s="31"/>
      <c r="SD546" s="31"/>
      <c r="SE546" s="31"/>
      <c r="SF546" s="31"/>
      <c r="SG546" s="31"/>
      <c r="SH546" s="31"/>
      <c r="SI546" s="31"/>
      <c r="SJ546" s="31"/>
      <c r="SK546" s="31"/>
      <c r="SL546" s="31"/>
      <c r="SM546" s="31"/>
      <c r="SN546" s="31"/>
      <c r="SO546" s="31"/>
      <c r="SP546" s="31"/>
      <c r="SQ546" s="31"/>
      <c r="SR546" s="31"/>
      <c r="SS546" s="31"/>
      <c r="ST546" s="31"/>
      <c r="SU546" s="31"/>
      <c r="SV546" s="31"/>
      <c r="SW546" s="31"/>
      <c r="SX546" s="31"/>
      <c r="SY546" s="31"/>
      <c r="SZ546" s="31"/>
      <c r="TA546" s="31"/>
      <c r="TB546" s="31"/>
      <c r="TC546" s="31"/>
      <c r="TD546" s="31"/>
      <c r="TE546" s="31"/>
      <c r="TF546" s="31"/>
      <c r="TG546" s="31"/>
      <c r="TH546" s="31"/>
      <c r="TI546" s="31"/>
      <c r="TJ546" s="31"/>
      <c r="TK546" s="31"/>
      <c r="TL546" s="31"/>
      <c r="TM546" s="31"/>
      <c r="TN546" s="31"/>
      <c r="TO546" s="31"/>
      <c r="TP546" s="31"/>
      <c r="TQ546" s="31"/>
      <c r="TR546" s="31"/>
      <c r="TS546" s="31"/>
      <c r="TT546" s="31"/>
      <c r="TU546" s="31"/>
      <c r="TV546" s="31"/>
      <c r="TW546" s="31"/>
      <c r="TX546" s="31"/>
      <c r="TY546" s="31"/>
      <c r="TZ546" s="31"/>
      <c r="UA546" s="31"/>
      <c r="UB546" s="31"/>
      <c r="UC546" s="31"/>
      <c r="UD546" s="31"/>
      <c r="UE546" s="31"/>
      <c r="UF546" s="31"/>
      <c r="UG546" s="33"/>
    </row>
    <row r="547" spans="1:553" ht="30.75" customHeight="1">
      <c r="A547" s="356" t="s">
        <v>15</v>
      </c>
      <c r="B547" s="356"/>
      <c r="C547" s="384" t="s">
        <v>213</v>
      </c>
      <c r="D547" s="376" t="s">
        <v>20</v>
      </c>
      <c r="E547" s="376" t="s">
        <v>320</v>
      </c>
      <c r="F547" s="385"/>
      <c r="G547" s="386" t="s">
        <v>935</v>
      </c>
      <c r="H547" s="370"/>
      <c r="I547" s="422">
        <v>63.8</v>
      </c>
      <c r="J547" s="368">
        <v>66000</v>
      </c>
      <c r="K547" s="850">
        <v>2.5</v>
      </c>
      <c r="L547" s="366">
        <f t="shared" si="97"/>
        <v>10527000</v>
      </c>
      <c r="M547" s="366"/>
      <c r="N547" s="366"/>
      <c r="O547" s="366"/>
      <c r="P547" s="366"/>
      <c r="Q547" s="1135"/>
      <c r="R547" s="1467"/>
      <c r="S547" s="308"/>
      <c r="T547" s="308"/>
      <c r="U547" s="308"/>
      <c r="V547" s="308"/>
      <c r="W547" s="308"/>
      <c r="X547" s="308"/>
      <c r="Y547" s="308"/>
      <c r="Z547" s="604"/>
      <c r="AA547" s="308"/>
      <c r="AB547" s="308"/>
      <c r="AC547" s="449"/>
      <c r="AD547" s="452"/>
      <c r="AE547" s="452"/>
      <c r="AF547" s="452"/>
      <c r="AG547" s="452"/>
      <c r="AH547" s="452"/>
      <c r="AI547" s="452"/>
      <c r="AJ547" s="452"/>
      <c r="AK547" s="452"/>
      <c r="AL547" s="106"/>
      <c r="AM547" s="31"/>
      <c r="AN547" s="31"/>
      <c r="AO547" s="31"/>
      <c r="AP547" s="31"/>
      <c r="AQ547" s="31"/>
      <c r="AR547" s="31"/>
      <c r="AS547" s="31"/>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c r="CT547" s="31"/>
      <c r="CU547" s="31"/>
      <c r="CV547" s="31"/>
      <c r="CW547" s="31"/>
      <c r="CX547" s="31"/>
      <c r="CY547" s="31"/>
      <c r="CZ547" s="31"/>
      <c r="DA547" s="31"/>
      <c r="DB547" s="31"/>
      <c r="DC547" s="31"/>
      <c r="DD547" s="31"/>
      <c r="DE547" s="31"/>
      <c r="DF547" s="31"/>
      <c r="DG547" s="31"/>
      <c r="DH547" s="31"/>
      <c r="DI547" s="31"/>
      <c r="DJ547" s="31"/>
      <c r="DK547" s="31"/>
      <c r="DL547" s="31"/>
      <c r="DM547" s="31"/>
      <c r="DN547" s="31"/>
      <c r="DO547" s="31"/>
      <c r="DP547" s="31"/>
      <c r="DQ547" s="31"/>
      <c r="DR547" s="31"/>
      <c r="DS547" s="31"/>
      <c r="DT547" s="31"/>
      <c r="DU547" s="31"/>
      <c r="DV547" s="31"/>
      <c r="DW547" s="31"/>
      <c r="DX547" s="31"/>
      <c r="DY547" s="31"/>
      <c r="DZ547" s="31"/>
      <c r="EA547" s="31"/>
      <c r="EB547" s="31"/>
      <c r="EC547" s="31"/>
      <c r="ED547" s="31"/>
      <c r="EE547" s="31"/>
      <c r="EF547" s="31"/>
      <c r="EG547" s="31"/>
      <c r="EH547" s="31"/>
      <c r="EI547" s="31"/>
      <c r="EJ547" s="31"/>
      <c r="EK547" s="31"/>
      <c r="EL547" s="31"/>
      <c r="EM547" s="31"/>
      <c r="EN547" s="31"/>
      <c r="EO547" s="31"/>
      <c r="EP547" s="31"/>
      <c r="EQ547" s="31"/>
      <c r="ER547" s="31"/>
      <c r="ES547" s="31"/>
      <c r="ET547" s="31"/>
      <c r="EU547" s="31"/>
      <c r="EV547" s="31"/>
      <c r="EW547" s="31"/>
      <c r="EX547" s="31"/>
      <c r="EY547" s="31"/>
      <c r="EZ547" s="31"/>
      <c r="FA547" s="31"/>
      <c r="FB547" s="31"/>
      <c r="FC547" s="31"/>
      <c r="FD547" s="31"/>
      <c r="FE547" s="31"/>
      <c r="FF547" s="31"/>
      <c r="FG547" s="31"/>
      <c r="FH547" s="31"/>
      <c r="FI547" s="31"/>
      <c r="FJ547" s="31"/>
      <c r="FK547" s="31"/>
      <c r="FL547" s="31"/>
      <c r="FM547" s="31"/>
      <c r="FN547" s="31"/>
      <c r="FO547" s="31"/>
      <c r="FP547" s="31"/>
      <c r="FQ547" s="31"/>
      <c r="FR547" s="31"/>
      <c r="FS547" s="31"/>
      <c r="FT547" s="31"/>
      <c r="FU547" s="31"/>
      <c r="FV547" s="31"/>
      <c r="FW547" s="31"/>
      <c r="FX547" s="31"/>
      <c r="FY547" s="31"/>
      <c r="FZ547" s="31"/>
      <c r="GA547" s="31"/>
      <c r="GB547" s="31"/>
      <c r="GC547" s="31"/>
      <c r="GD547" s="31"/>
      <c r="GE547" s="31"/>
      <c r="GF547" s="31"/>
      <c r="GG547" s="31"/>
      <c r="GH547" s="31"/>
      <c r="GI547" s="31"/>
      <c r="GJ547" s="31"/>
      <c r="GK547" s="31"/>
      <c r="GL547" s="31"/>
      <c r="GM547" s="31"/>
      <c r="GN547" s="31"/>
      <c r="GO547" s="31"/>
      <c r="GP547" s="31"/>
      <c r="GQ547" s="31"/>
      <c r="GR547" s="31"/>
      <c r="GS547" s="31"/>
      <c r="GT547" s="31"/>
      <c r="GU547" s="31"/>
      <c r="GV547" s="31"/>
      <c r="GW547" s="31"/>
      <c r="GX547" s="31"/>
      <c r="GY547" s="31"/>
      <c r="GZ547" s="31"/>
      <c r="HA547" s="31"/>
      <c r="HB547" s="31"/>
      <c r="HC547" s="31"/>
      <c r="HD547" s="31"/>
      <c r="HE547" s="31"/>
      <c r="HF547" s="31"/>
      <c r="HG547" s="31"/>
      <c r="HH547" s="31"/>
      <c r="HI547" s="31"/>
      <c r="HJ547" s="31"/>
      <c r="HK547" s="31"/>
      <c r="HL547" s="31"/>
      <c r="HM547" s="31"/>
      <c r="HN547" s="31"/>
      <c r="HO547" s="31"/>
      <c r="HP547" s="31"/>
      <c r="HQ547" s="31"/>
      <c r="HR547" s="31"/>
      <c r="HS547" s="31"/>
      <c r="HT547" s="31"/>
      <c r="HU547" s="31"/>
      <c r="HV547" s="31"/>
      <c r="HW547" s="31"/>
      <c r="HX547" s="31"/>
      <c r="HY547" s="31"/>
      <c r="HZ547" s="31"/>
      <c r="IA547" s="31"/>
      <c r="IB547" s="31"/>
      <c r="IC547" s="31"/>
      <c r="ID547" s="31"/>
      <c r="IE547" s="31"/>
      <c r="IF547" s="31"/>
      <c r="IG547" s="31"/>
      <c r="IH547" s="31"/>
      <c r="II547" s="31"/>
      <c r="IJ547" s="31"/>
      <c r="IK547" s="31"/>
      <c r="IL547" s="31"/>
      <c r="IM547" s="31"/>
      <c r="IN547" s="31"/>
      <c r="IO547" s="31"/>
      <c r="IP547" s="31"/>
      <c r="IQ547" s="31"/>
      <c r="IR547" s="31"/>
      <c r="IS547" s="31"/>
      <c r="IT547" s="31"/>
      <c r="IU547" s="31"/>
      <c r="IV547" s="31"/>
      <c r="IW547" s="31"/>
      <c r="IX547" s="31"/>
      <c r="IY547" s="31"/>
      <c r="IZ547" s="31"/>
      <c r="JA547" s="31"/>
      <c r="JB547" s="31"/>
      <c r="JC547" s="31"/>
      <c r="JD547" s="31"/>
      <c r="JE547" s="31"/>
      <c r="JF547" s="31"/>
      <c r="JG547" s="31"/>
      <c r="JH547" s="31"/>
      <c r="JI547" s="31"/>
      <c r="JJ547" s="31"/>
      <c r="JK547" s="31"/>
      <c r="JL547" s="31"/>
      <c r="JM547" s="31"/>
      <c r="JN547" s="31"/>
      <c r="JO547" s="31"/>
      <c r="JP547" s="31"/>
      <c r="JQ547" s="31"/>
      <c r="JR547" s="31"/>
      <c r="JS547" s="31"/>
      <c r="JT547" s="31"/>
      <c r="JU547" s="31"/>
      <c r="JV547" s="31"/>
      <c r="JW547" s="31"/>
      <c r="JX547" s="31"/>
      <c r="JY547" s="31"/>
      <c r="JZ547" s="31"/>
      <c r="KA547" s="31"/>
      <c r="KB547" s="31"/>
      <c r="KC547" s="31"/>
      <c r="KD547" s="31"/>
      <c r="KE547" s="31"/>
      <c r="KF547" s="31"/>
      <c r="KG547" s="31"/>
      <c r="KH547" s="31"/>
      <c r="KI547" s="31"/>
      <c r="KJ547" s="31"/>
      <c r="KK547" s="31"/>
      <c r="KL547" s="31"/>
      <c r="KM547" s="31"/>
      <c r="KN547" s="31"/>
      <c r="KO547" s="31"/>
      <c r="KP547" s="31"/>
      <c r="KQ547" s="31"/>
      <c r="KR547" s="31"/>
      <c r="KS547" s="31"/>
      <c r="KT547" s="31"/>
      <c r="KU547" s="31"/>
      <c r="KV547" s="31"/>
      <c r="KW547" s="31"/>
      <c r="KX547" s="31"/>
      <c r="KY547" s="31"/>
      <c r="KZ547" s="31"/>
      <c r="LA547" s="31"/>
      <c r="LB547" s="31"/>
      <c r="LC547" s="31"/>
      <c r="LD547" s="31"/>
      <c r="LE547" s="31"/>
      <c r="LF547" s="31"/>
      <c r="LG547" s="31"/>
      <c r="LH547" s="31"/>
      <c r="LI547" s="31"/>
      <c r="LJ547" s="31"/>
      <c r="LK547" s="31"/>
      <c r="LL547" s="31"/>
      <c r="LM547" s="31"/>
      <c r="LN547" s="31"/>
      <c r="LO547" s="31"/>
      <c r="LP547" s="31"/>
      <c r="LQ547" s="31"/>
      <c r="LR547" s="31"/>
      <c r="LS547" s="31"/>
      <c r="LT547" s="31"/>
      <c r="LU547" s="31"/>
      <c r="LV547" s="31"/>
      <c r="LW547" s="31"/>
      <c r="LX547" s="31"/>
      <c r="LY547" s="31"/>
      <c r="LZ547" s="31"/>
      <c r="MA547" s="31"/>
      <c r="MB547" s="31"/>
      <c r="MC547" s="31"/>
      <c r="MD547" s="31"/>
      <c r="ME547" s="31"/>
      <c r="MF547" s="31"/>
      <c r="MG547" s="31"/>
      <c r="MH547" s="31"/>
      <c r="MI547" s="31"/>
      <c r="MJ547" s="31"/>
      <c r="MK547" s="31"/>
      <c r="ML547" s="31"/>
      <c r="MM547" s="31"/>
      <c r="MN547" s="31"/>
      <c r="MO547" s="31"/>
      <c r="MP547" s="31"/>
      <c r="MQ547" s="31"/>
      <c r="MR547" s="31"/>
      <c r="MS547" s="31"/>
      <c r="MT547" s="31"/>
      <c r="MU547" s="31"/>
      <c r="MV547" s="31"/>
      <c r="MW547" s="31"/>
      <c r="MX547" s="31"/>
      <c r="MY547" s="31"/>
      <c r="MZ547" s="31"/>
      <c r="NA547" s="31"/>
      <c r="NB547" s="31"/>
      <c r="NC547" s="31"/>
      <c r="ND547" s="31"/>
      <c r="NE547" s="31"/>
      <c r="NF547" s="31"/>
      <c r="NG547" s="31"/>
      <c r="NH547" s="31"/>
      <c r="NI547" s="31"/>
      <c r="NJ547" s="31"/>
      <c r="NK547" s="31"/>
      <c r="NL547" s="31"/>
      <c r="NM547" s="31"/>
      <c r="NN547" s="31"/>
      <c r="NO547" s="31"/>
      <c r="NP547" s="31"/>
      <c r="NQ547" s="31"/>
      <c r="NR547" s="31"/>
      <c r="NS547" s="31"/>
      <c r="NT547" s="31"/>
      <c r="NU547" s="31"/>
      <c r="NV547" s="31"/>
      <c r="NW547" s="31"/>
      <c r="NX547" s="31"/>
      <c r="NY547" s="31"/>
      <c r="NZ547" s="31"/>
      <c r="OA547" s="31"/>
      <c r="OB547" s="31"/>
      <c r="OC547" s="31"/>
      <c r="OD547" s="31"/>
      <c r="OE547" s="31"/>
      <c r="OF547" s="31"/>
      <c r="OG547" s="31"/>
      <c r="OH547" s="31"/>
      <c r="OI547" s="31"/>
      <c r="OJ547" s="31"/>
      <c r="OK547" s="31"/>
      <c r="OL547" s="31"/>
      <c r="OM547" s="31"/>
      <c r="ON547" s="31"/>
      <c r="OO547" s="31"/>
      <c r="OP547" s="31"/>
      <c r="OQ547" s="31"/>
      <c r="OR547" s="31"/>
      <c r="OS547" s="31"/>
      <c r="OT547" s="31"/>
      <c r="OU547" s="31"/>
      <c r="OV547" s="31"/>
      <c r="OW547" s="31"/>
      <c r="OX547" s="31"/>
      <c r="OY547" s="31"/>
      <c r="OZ547" s="31"/>
      <c r="PA547" s="31"/>
      <c r="PB547" s="31"/>
      <c r="PC547" s="31"/>
      <c r="PD547" s="31"/>
      <c r="PE547" s="31"/>
      <c r="PF547" s="31"/>
      <c r="PG547" s="31"/>
      <c r="PH547" s="31"/>
      <c r="PI547" s="31"/>
      <c r="PJ547" s="31"/>
      <c r="PK547" s="31"/>
      <c r="PL547" s="31"/>
      <c r="PM547" s="31"/>
      <c r="PN547" s="31"/>
      <c r="PO547" s="31"/>
      <c r="PP547" s="31"/>
      <c r="PQ547" s="31"/>
      <c r="PR547" s="31"/>
      <c r="PS547" s="31"/>
      <c r="PT547" s="31"/>
      <c r="PU547" s="31"/>
      <c r="PV547" s="31"/>
      <c r="PW547" s="31"/>
      <c r="PX547" s="31"/>
      <c r="PY547" s="31"/>
      <c r="PZ547" s="31"/>
      <c r="QA547" s="31"/>
      <c r="QB547" s="31"/>
      <c r="QC547" s="31"/>
      <c r="QD547" s="31"/>
      <c r="QE547" s="31"/>
      <c r="QF547" s="31"/>
      <c r="QG547" s="31"/>
      <c r="QH547" s="31"/>
      <c r="QI547" s="31"/>
      <c r="QJ547" s="31"/>
      <c r="QK547" s="31"/>
      <c r="QL547" s="31"/>
      <c r="QM547" s="31"/>
      <c r="QN547" s="31"/>
      <c r="QO547" s="31"/>
      <c r="QP547" s="31"/>
      <c r="QQ547" s="31"/>
      <c r="QR547" s="31"/>
      <c r="QS547" s="31"/>
      <c r="QT547" s="31"/>
      <c r="QU547" s="31"/>
      <c r="QV547" s="31"/>
      <c r="QW547" s="31"/>
      <c r="QX547" s="31"/>
      <c r="QY547" s="31"/>
      <c r="QZ547" s="31"/>
      <c r="RA547" s="31"/>
      <c r="RB547" s="31"/>
      <c r="RC547" s="31"/>
      <c r="RD547" s="31"/>
      <c r="RE547" s="31"/>
      <c r="RF547" s="31"/>
      <c r="RG547" s="31"/>
      <c r="RH547" s="31"/>
      <c r="RI547" s="31"/>
      <c r="RJ547" s="31"/>
      <c r="RK547" s="31"/>
      <c r="RL547" s="31"/>
      <c r="RM547" s="31"/>
      <c r="RN547" s="31"/>
      <c r="RO547" s="31"/>
      <c r="RP547" s="31"/>
      <c r="RQ547" s="31"/>
      <c r="RR547" s="31"/>
      <c r="RS547" s="31"/>
      <c r="RT547" s="31"/>
      <c r="RU547" s="31"/>
      <c r="RV547" s="31"/>
      <c r="RW547" s="31"/>
      <c r="RX547" s="31"/>
      <c r="RY547" s="31"/>
      <c r="RZ547" s="31"/>
      <c r="SA547" s="31"/>
      <c r="SB547" s="31"/>
      <c r="SC547" s="31"/>
      <c r="SD547" s="31"/>
      <c r="SE547" s="31"/>
      <c r="SF547" s="31"/>
      <c r="SG547" s="31"/>
      <c r="SH547" s="31"/>
      <c r="SI547" s="31"/>
      <c r="SJ547" s="31"/>
      <c r="SK547" s="31"/>
      <c r="SL547" s="31"/>
      <c r="SM547" s="31"/>
      <c r="SN547" s="31"/>
      <c r="SO547" s="31"/>
      <c r="SP547" s="31"/>
      <c r="SQ547" s="31"/>
      <c r="SR547" s="31"/>
      <c r="SS547" s="31"/>
      <c r="ST547" s="31"/>
      <c r="SU547" s="31"/>
      <c r="SV547" s="31"/>
      <c r="SW547" s="31"/>
      <c r="SX547" s="31"/>
      <c r="SY547" s="31"/>
      <c r="SZ547" s="31"/>
      <c r="TA547" s="31"/>
      <c r="TB547" s="31"/>
      <c r="TC547" s="31"/>
      <c r="TD547" s="31"/>
      <c r="TE547" s="31"/>
      <c r="TF547" s="31"/>
      <c r="TG547" s="31"/>
      <c r="TH547" s="31"/>
      <c r="TI547" s="31"/>
      <c r="TJ547" s="31"/>
      <c r="TK547" s="31"/>
      <c r="TL547" s="31"/>
      <c r="TM547" s="31"/>
      <c r="TN547" s="31"/>
      <c r="TO547" s="31"/>
      <c r="TP547" s="31"/>
      <c r="TQ547" s="31"/>
      <c r="TR547" s="31"/>
      <c r="TS547" s="31"/>
      <c r="TT547" s="31"/>
      <c r="TU547" s="31"/>
      <c r="TV547" s="31"/>
      <c r="TW547" s="31"/>
      <c r="TX547" s="31"/>
      <c r="TY547" s="31"/>
      <c r="TZ547" s="31"/>
      <c r="UA547" s="31"/>
      <c r="UB547" s="31"/>
      <c r="UC547" s="31"/>
      <c r="UD547" s="31"/>
      <c r="UE547" s="31"/>
      <c r="UF547" s="31"/>
      <c r="UG547" s="33"/>
    </row>
    <row r="548" spans="1:553" ht="30.75" customHeight="1">
      <c r="A548" s="356" t="s">
        <v>15</v>
      </c>
      <c r="B548" s="356"/>
      <c r="C548" s="384" t="s">
        <v>69</v>
      </c>
      <c r="D548" s="376" t="s">
        <v>20</v>
      </c>
      <c r="E548" s="376" t="s">
        <v>321</v>
      </c>
      <c r="F548" s="385"/>
      <c r="G548" s="386" t="s">
        <v>935</v>
      </c>
      <c r="H548" s="370"/>
      <c r="I548" s="422">
        <v>272.2</v>
      </c>
      <c r="J548" s="368">
        <v>62000</v>
      </c>
      <c r="K548" s="850">
        <v>2.5</v>
      </c>
      <c r="L548" s="366">
        <f t="shared" si="97"/>
        <v>42191000</v>
      </c>
      <c r="M548" s="366"/>
      <c r="N548" s="366"/>
      <c r="O548" s="366"/>
      <c r="P548" s="366"/>
      <c r="Q548" s="1135"/>
      <c r="R548" s="1467"/>
      <c r="S548" s="308"/>
      <c r="T548" s="308"/>
      <c r="U548" s="308"/>
      <c r="V548" s="308"/>
      <c r="W548" s="308"/>
      <c r="X548" s="308"/>
      <c r="Y548" s="308"/>
      <c r="Z548" s="604"/>
      <c r="AA548" s="308"/>
      <c r="AB548" s="308"/>
      <c r="AC548" s="449"/>
      <c r="AD548" s="452"/>
      <c r="AE548" s="452"/>
      <c r="AF548" s="452"/>
      <c r="AG548" s="452"/>
      <c r="AH548" s="452"/>
      <c r="AI548" s="452"/>
      <c r="AJ548" s="452"/>
      <c r="AK548" s="452"/>
      <c r="AL548" s="106"/>
      <c r="AM548" s="31"/>
      <c r="AN548" s="31"/>
      <c r="AO548" s="31"/>
      <c r="AP548" s="31"/>
      <c r="AQ548" s="31"/>
      <c r="AR548" s="31"/>
      <c r="AS548" s="31"/>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c r="CT548" s="31"/>
      <c r="CU548" s="31"/>
      <c r="CV548" s="31"/>
      <c r="CW548" s="31"/>
      <c r="CX548" s="31"/>
      <c r="CY548" s="31"/>
      <c r="CZ548" s="31"/>
      <c r="DA548" s="31"/>
      <c r="DB548" s="31"/>
      <c r="DC548" s="31"/>
      <c r="DD548" s="31"/>
      <c r="DE548" s="31"/>
      <c r="DF548" s="31"/>
      <c r="DG548" s="31"/>
      <c r="DH548" s="31"/>
      <c r="DI548" s="31"/>
      <c r="DJ548" s="31"/>
      <c r="DK548" s="31"/>
      <c r="DL548" s="31"/>
      <c r="DM548" s="31"/>
      <c r="DN548" s="31"/>
      <c r="DO548" s="31"/>
      <c r="DP548" s="31"/>
      <c r="DQ548" s="31"/>
      <c r="DR548" s="31"/>
      <c r="DS548" s="31"/>
      <c r="DT548" s="31"/>
      <c r="DU548" s="31"/>
      <c r="DV548" s="31"/>
      <c r="DW548" s="31"/>
      <c r="DX548" s="31"/>
      <c r="DY548" s="31"/>
      <c r="DZ548" s="31"/>
      <c r="EA548" s="31"/>
      <c r="EB548" s="31"/>
      <c r="EC548" s="31"/>
      <c r="ED548" s="31"/>
      <c r="EE548" s="31"/>
      <c r="EF548" s="31"/>
      <c r="EG548" s="31"/>
      <c r="EH548" s="31"/>
      <c r="EI548" s="31"/>
      <c r="EJ548" s="31"/>
      <c r="EK548" s="31"/>
      <c r="EL548" s="31"/>
      <c r="EM548" s="31"/>
      <c r="EN548" s="31"/>
      <c r="EO548" s="31"/>
      <c r="EP548" s="31"/>
      <c r="EQ548" s="31"/>
      <c r="ER548" s="31"/>
      <c r="ES548" s="31"/>
      <c r="ET548" s="31"/>
      <c r="EU548" s="31"/>
      <c r="EV548" s="31"/>
      <c r="EW548" s="31"/>
      <c r="EX548" s="31"/>
      <c r="EY548" s="31"/>
      <c r="EZ548" s="31"/>
      <c r="FA548" s="31"/>
      <c r="FB548" s="31"/>
      <c r="FC548" s="31"/>
      <c r="FD548" s="31"/>
      <c r="FE548" s="31"/>
      <c r="FF548" s="31"/>
      <c r="FG548" s="31"/>
      <c r="FH548" s="31"/>
      <c r="FI548" s="31"/>
      <c r="FJ548" s="31"/>
      <c r="FK548" s="31"/>
      <c r="FL548" s="31"/>
      <c r="FM548" s="31"/>
      <c r="FN548" s="31"/>
      <c r="FO548" s="31"/>
      <c r="FP548" s="31"/>
      <c r="FQ548" s="31"/>
      <c r="FR548" s="31"/>
      <c r="FS548" s="31"/>
      <c r="FT548" s="31"/>
      <c r="FU548" s="31"/>
      <c r="FV548" s="31"/>
      <c r="FW548" s="31"/>
      <c r="FX548" s="31"/>
      <c r="FY548" s="31"/>
      <c r="FZ548" s="31"/>
      <c r="GA548" s="31"/>
      <c r="GB548" s="31"/>
      <c r="GC548" s="31"/>
      <c r="GD548" s="31"/>
      <c r="GE548" s="31"/>
      <c r="GF548" s="31"/>
      <c r="GG548" s="31"/>
      <c r="GH548" s="31"/>
      <c r="GI548" s="31"/>
      <c r="GJ548" s="31"/>
      <c r="GK548" s="31"/>
      <c r="GL548" s="31"/>
      <c r="GM548" s="31"/>
      <c r="GN548" s="31"/>
      <c r="GO548" s="31"/>
      <c r="GP548" s="31"/>
      <c r="GQ548" s="31"/>
      <c r="GR548" s="31"/>
      <c r="GS548" s="31"/>
      <c r="GT548" s="31"/>
      <c r="GU548" s="31"/>
      <c r="GV548" s="31"/>
      <c r="GW548" s="31"/>
      <c r="GX548" s="31"/>
      <c r="GY548" s="31"/>
      <c r="GZ548" s="31"/>
      <c r="HA548" s="31"/>
      <c r="HB548" s="31"/>
      <c r="HC548" s="31"/>
      <c r="HD548" s="31"/>
      <c r="HE548" s="31"/>
      <c r="HF548" s="31"/>
      <c r="HG548" s="31"/>
      <c r="HH548" s="31"/>
      <c r="HI548" s="31"/>
      <c r="HJ548" s="31"/>
      <c r="HK548" s="31"/>
      <c r="HL548" s="31"/>
      <c r="HM548" s="31"/>
      <c r="HN548" s="31"/>
      <c r="HO548" s="31"/>
      <c r="HP548" s="31"/>
      <c r="HQ548" s="31"/>
      <c r="HR548" s="31"/>
      <c r="HS548" s="31"/>
      <c r="HT548" s="31"/>
      <c r="HU548" s="31"/>
      <c r="HV548" s="31"/>
      <c r="HW548" s="31"/>
      <c r="HX548" s="31"/>
      <c r="HY548" s="31"/>
      <c r="HZ548" s="31"/>
      <c r="IA548" s="31"/>
      <c r="IB548" s="31"/>
      <c r="IC548" s="31"/>
      <c r="ID548" s="31"/>
      <c r="IE548" s="31"/>
      <c r="IF548" s="31"/>
      <c r="IG548" s="31"/>
      <c r="IH548" s="31"/>
      <c r="II548" s="31"/>
      <c r="IJ548" s="31"/>
      <c r="IK548" s="31"/>
      <c r="IL548" s="31"/>
      <c r="IM548" s="31"/>
      <c r="IN548" s="31"/>
      <c r="IO548" s="31"/>
      <c r="IP548" s="31"/>
      <c r="IQ548" s="31"/>
      <c r="IR548" s="31"/>
      <c r="IS548" s="31"/>
      <c r="IT548" s="31"/>
      <c r="IU548" s="31"/>
      <c r="IV548" s="31"/>
      <c r="IW548" s="31"/>
      <c r="IX548" s="31"/>
      <c r="IY548" s="31"/>
      <c r="IZ548" s="31"/>
      <c r="JA548" s="31"/>
      <c r="JB548" s="31"/>
      <c r="JC548" s="31"/>
      <c r="JD548" s="31"/>
      <c r="JE548" s="31"/>
      <c r="JF548" s="31"/>
      <c r="JG548" s="31"/>
      <c r="JH548" s="31"/>
      <c r="JI548" s="31"/>
      <c r="JJ548" s="31"/>
      <c r="JK548" s="31"/>
      <c r="JL548" s="31"/>
      <c r="JM548" s="31"/>
      <c r="JN548" s="31"/>
      <c r="JO548" s="31"/>
      <c r="JP548" s="31"/>
      <c r="JQ548" s="31"/>
      <c r="JR548" s="31"/>
      <c r="JS548" s="31"/>
      <c r="JT548" s="31"/>
      <c r="JU548" s="31"/>
      <c r="JV548" s="31"/>
      <c r="JW548" s="31"/>
      <c r="JX548" s="31"/>
      <c r="JY548" s="31"/>
      <c r="JZ548" s="31"/>
      <c r="KA548" s="31"/>
      <c r="KB548" s="31"/>
      <c r="KC548" s="31"/>
      <c r="KD548" s="31"/>
      <c r="KE548" s="31"/>
      <c r="KF548" s="31"/>
      <c r="KG548" s="31"/>
      <c r="KH548" s="31"/>
      <c r="KI548" s="31"/>
      <c r="KJ548" s="31"/>
      <c r="KK548" s="31"/>
      <c r="KL548" s="31"/>
      <c r="KM548" s="31"/>
      <c r="KN548" s="31"/>
      <c r="KO548" s="31"/>
      <c r="KP548" s="31"/>
      <c r="KQ548" s="31"/>
      <c r="KR548" s="31"/>
      <c r="KS548" s="31"/>
      <c r="KT548" s="31"/>
      <c r="KU548" s="31"/>
      <c r="KV548" s="31"/>
      <c r="KW548" s="31"/>
      <c r="KX548" s="31"/>
      <c r="KY548" s="31"/>
      <c r="KZ548" s="31"/>
      <c r="LA548" s="31"/>
      <c r="LB548" s="31"/>
      <c r="LC548" s="31"/>
      <c r="LD548" s="31"/>
      <c r="LE548" s="31"/>
      <c r="LF548" s="31"/>
      <c r="LG548" s="31"/>
      <c r="LH548" s="31"/>
      <c r="LI548" s="31"/>
      <c r="LJ548" s="31"/>
      <c r="LK548" s="31"/>
      <c r="LL548" s="31"/>
      <c r="LM548" s="31"/>
      <c r="LN548" s="31"/>
      <c r="LO548" s="31"/>
      <c r="LP548" s="31"/>
      <c r="LQ548" s="31"/>
      <c r="LR548" s="31"/>
      <c r="LS548" s="31"/>
      <c r="LT548" s="31"/>
      <c r="LU548" s="31"/>
      <c r="LV548" s="31"/>
      <c r="LW548" s="31"/>
      <c r="LX548" s="31"/>
      <c r="LY548" s="31"/>
      <c r="LZ548" s="31"/>
      <c r="MA548" s="31"/>
      <c r="MB548" s="31"/>
      <c r="MC548" s="31"/>
      <c r="MD548" s="31"/>
      <c r="ME548" s="31"/>
      <c r="MF548" s="31"/>
      <c r="MG548" s="31"/>
      <c r="MH548" s="31"/>
      <c r="MI548" s="31"/>
      <c r="MJ548" s="31"/>
      <c r="MK548" s="31"/>
      <c r="ML548" s="31"/>
      <c r="MM548" s="31"/>
      <c r="MN548" s="31"/>
      <c r="MO548" s="31"/>
      <c r="MP548" s="31"/>
      <c r="MQ548" s="31"/>
      <c r="MR548" s="31"/>
      <c r="MS548" s="31"/>
      <c r="MT548" s="31"/>
      <c r="MU548" s="31"/>
      <c r="MV548" s="31"/>
      <c r="MW548" s="31"/>
      <c r="MX548" s="31"/>
      <c r="MY548" s="31"/>
      <c r="MZ548" s="31"/>
      <c r="NA548" s="31"/>
      <c r="NB548" s="31"/>
      <c r="NC548" s="31"/>
      <c r="ND548" s="31"/>
      <c r="NE548" s="31"/>
      <c r="NF548" s="31"/>
      <c r="NG548" s="31"/>
      <c r="NH548" s="31"/>
      <c r="NI548" s="31"/>
      <c r="NJ548" s="31"/>
      <c r="NK548" s="31"/>
      <c r="NL548" s="31"/>
      <c r="NM548" s="31"/>
      <c r="NN548" s="31"/>
      <c r="NO548" s="31"/>
      <c r="NP548" s="31"/>
      <c r="NQ548" s="31"/>
      <c r="NR548" s="31"/>
      <c r="NS548" s="31"/>
      <c r="NT548" s="31"/>
      <c r="NU548" s="31"/>
      <c r="NV548" s="31"/>
      <c r="NW548" s="31"/>
      <c r="NX548" s="31"/>
      <c r="NY548" s="31"/>
      <c r="NZ548" s="31"/>
      <c r="OA548" s="31"/>
      <c r="OB548" s="31"/>
      <c r="OC548" s="31"/>
      <c r="OD548" s="31"/>
      <c r="OE548" s="31"/>
      <c r="OF548" s="31"/>
      <c r="OG548" s="31"/>
      <c r="OH548" s="31"/>
      <c r="OI548" s="31"/>
      <c r="OJ548" s="31"/>
      <c r="OK548" s="31"/>
      <c r="OL548" s="31"/>
      <c r="OM548" s="31"/>
      <c r="ON548" s="31"/>
      <c r="OO548" s="31"/>
      <c r="OP548" s="31"/>
      <c r="OQ548" s="31"/>
      <c r="OR548" s="31"/>
      <c r="OS548" s="31"/>
      <c r="OT548" s="31"/>
      <c r="OU548" s="31"/>
      <c r="OV548" s="31"/>
      <c r="OW548" s="31"/>
      <c r="OX548" s="31"/>
      <c r="OY548" s="31"/>
      <c r="OZ548" s="31"/>
      <c r="PA548" s="31"/>
      <c r="PB548" s="31"/>
      <c r="PC548" s="31"/>
      <c r="PD548" s="31"/>
      <c r="PE548" s="31"/>
      <c r="PF548" s="31"/>
      <c r="PG548" s="31"/>
      <c r="PH548" s="31"/>
      <c r="PI548" s="31"/>
      <c r="PJ548" s="31"/>
      <c r="PK548" s="31"/>
      <c r="PL548" s="31"/>
      <c r="PM548" s="31"/>
      <c r="PN548" s="31"/>
      <c r="PO548" s="31"/>
      <c r="PP548" s="31"/>
      <c r="PQ548" s="31"/>
      <c r="PR548" s="31"/>
      <c r="PS548" s="31"/>
      <c r="PT548" s="31"/>
      <c r="PU548" s="31"/>
      <c r="PV548" s="31"/>
      <c r="PW548" s="31"/>
      <c r="PX548" s="31"/>
      <c r="PY548" s="31"/>
      <c r="PZ548" s="31"/>
      <c r="QA548" s="31"/>
      <c r="QB548" s="31"/>
      <c r="QC548" s="31"/>
      <c r="QD548" s="31"/>
      <c r="QE548" s="31"/>
      <c r="QF548" s="31"/>
      <c r="QG548" s="31"/>
      <c r="QH548" s="31"/>
      <c r="QI548" s="31"/>
      <c r="QJ548" s="31"/>
      <c r="QK548" s="31"/>
      <c r="QL548" s="31"/>
      <c r="QM548" s="31"/>
      <c r="QN548" s="31"/>
      <c r="QO548" s="31"/>
      <c r="QP548" s="31"/>
      <c r="QQ548" s="31"/>
      <c r="QR548" s="31"/>
      <c r="QS548" s="31"/>
      <c r="QT548" s="31"/>
      <c r="QU548" s="31"/>
      <c r="QV548" s="31"/>
      <c r="QW548" s="31"/>
      <c r="QX548" s="31"/>
      <c r="QY548" s="31"/>
      <c r="QZ548" s="31"/>
      <c r="RA548" s="31"/>
      <c r="RB548" s="31"/>
      <c r="RC548" s="31"/>
      <c r="RD548" s="31"/>
      <c r="RE548" s="31"/>
      <c r="RF548" s="31"/>
      <c r="RG548" s="31"/>
      <c r="RH548" s="31"/>
      <c r="RI548" s="31"/>
      <c r="RJ548" s="31"/>
      <c r="RK548" s="31"/>
      <c r="RL548" s="31"/>
      <c r="RM548" s="31"/>
      <c r="RN548" s="31"/>
      <c r="RO548" s="31"/>
      <c r="RP548" s="31"/>
      <c r="RQ548" s="31"/>
      <c r="RR548" s="31"/>
      <c r="RS548" s="31"/>
      <c r="RT548" s="31"/>
      <c r="RU548" s="31"/>
      <c r="RV548" s="31"/>
      <c r="RW548" s="31"/>
      <c r="RX548" s="31"/>
      <c r="RY548" s="31"/>
      <c r="RZ548" s="31"/>
      <c r="SA548" s="31"/>
      <c r="SB548" s="31"/>
      <c r="SC548" s="31"/>
      <c r="SD548" s="31"/>
      <c r="SE548" s="31"/>
      <c r="SF548" s="31"/>
      <c r="SG548" s="31"/>
      <c r="SH548" s="31"/>
      <c r="SI548" s="31"/>
      <c r="SJ548" s="31"/>
      <c r="SK548" s="31"/>
      <c r="SL548" s="31"/>
      <c r="SM548" s="31"/>
      <c r="SN548" s="31"/>
      <c r="SO548" s="31"/>
      <c r="SP548" s="31"/>
      <c r="SQ548" s="31"/>
      <c r="SR548" s="31"/>
      <c r="SS548" s="31"/>
      <c r="ST548" s="31"/>
      <c r="SU548" s="31"/>
      <c r="SV548" s="31"/>
      <c r="SW548" s="31"/>
      <c r="SX548" s="31"/>
      <c r="SY548" s="31"/>
      <c r="SZ548" s="31"/>
      <c r="TA548" s="31"/>
      <c r="TB548" s="31"/>
      <c r="TC548" s="31"/>
      <c r="TD548" s="31"/>
      <c r="TE548" s="31"/>
      <c r="TF548" s="31"/>
      <c r="TG548" s="31"/>
      <c r="TH548" s="31"/>
      <c r="TI548" s="31"/>
      <c r="TJ548" s="31"/>
      <c r="TK548" s="31"/>
      <c r="TL548" s="31"/>
      <c r="TM548" s="31"/>
      <c r="TN548" s="31"/>
      <c r="TO548" s="31"/>
      <c r="TP548" s="31"/>
      <c r="TQ548" s="31"/>
      <c r="TR548" s="31"/>
      <c r="TS548" s="31"/>
      <c r="TT548" s="31"/>
      <c r="TU548" s="31"/>
      <c r="TV548" s="31"/>
      <c r="TW548" s="31"/>
      <c r="TX548" s="31"/>
      <c r="TY548" s="31"/>
      <c r="TZ548" s="31"/>
      <c r="UA548" s="31"/>
      <c r="UB548" s="31"/>
      <c r="UC548" s="31"/>
      <c r="UD548" s="31"/>
      <c r="UE548" s="31"/>
      <c r="UF548" s="31"/>
      <c r="UG548" s="33"/>
    </row>
    <row r="549" spans="1:553" ht="30.75" customHeight="1">
      <c r="A549" s="356" t="s">
        <v>15</v>
      </c>
      <c r="B549" s="356"/>
      <c r="C549" s="384" t="s">
        <v>213</v>
      </c>
      <c r="D549" s="376" t="s">
        <v>20</v>
      </c>
      <c r="E549" s="376" t="s">
        <v>323</v>
      </c>
      <c r="F549" s="385"/>
      <c r="G549" s="386" t="s">
        <v>935</v>
      </c>
      <c r="H549" s="370"/>
      <c r="I549" s="422">
        <v>233.4</v>
      </c>
      <c r="J549" s="1063">
        <v>66000</v>
      </c>
      <c r="K549" s="850">
        <v>2.5</v>
      </c>
      <c r="L549" s="366">
        <f t="shared" si="97"/>
        <v>38511000</v>
      </c>
      <c r="M549" s="366"/>
      <c r="N549" s="366"/>
      <c r="O549" s="366"/>
      <c r="P549" s="366"/>
      <c r="Q549" s="1135"/>
      <c r="R549" s="1467"/>
      <c r="S549" s="308"/>
      <c r="T549" s="308"/>
      <c r="U549" s="308"/>
      <c r="V549" s="308"/>
      <c r="W549" s="308"/>
      <c r="X549" s="308"/>
      <c r="Y549" s="308"/>
      <c r="Z549" s="604"/>
      <c r="AA549" s="308"/>
      <c r="AB549" s="308"/>
      <c r="AC549" s="449"/>
      <c r="AD549" s="452"/>
      <c r="AE549" s="452"/>
      <c r="AF549" s="452"/>
      <c r="AG549" s="452"/>
      <c r="AH549" s="452"/>
      <c r="AI549" s="452"/>
      <c r="AJ549" s="452"/>
      <c r="AK549" s="452"/>
      <c r="AL549" s="106"/>
      <c r="AM549" s="31"/>
      <c r="AN549" s="31"/>
      <c r="AO549" s="31"/>
      <c r="AP549" s="31"/>
      <c r="AQ549" s="31"/>
      <c r="AR549" s="31"/>
      <c r="AS549" s="31"/>
      <c r="AT549" s="31"/>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c r="CT549" s="31"/>
      <c r="CU549" s="31"/>
      <c r="CV549" s="31"/>
      <c r="CW549" s="31"/>
      <c r="CX549" s="31"/>
      <c r="CY549" s="31"/>
      <c r="CZ549" s="31"/>
      <c r="DA549" s="31"/>
      <c r="DB549" s="31"/>
      <c r="DC549" s="31"/>
      <c r="DD549" s="31"/>
      <c r="DE549" s="31"/>
      <c r="DF549" s="31"/>
      <c r="DG549" s="31"/>
      <c r="DH549" s="31"/>
      <c r="DI549" s="31"/>
      <c r="DJ549" s="31"/>
      <c r="DK549" s="31"/>
      <c r="DL549" s="31"/>
      <c r="DM549" s="31"/>
      <c r="DN549" s="31"/>
      <c r="DO549" s="31"/>
      <c r="DP549" s="31"/>
      <c r="DQ549" s="31"/>
      <c r="DR549" s="31"/>
      <c r="DS549" s="31"/>
      <c r="DT549" s="31"/>
      <c r="DU549" s="31"/>
      <c r="DV549" s="31"/>
      <c r="DW549" s="31"/>
      <c r="DX549" s="31"/>
      <c r="DY549" s="31"/>
      <c r="DZ549" s="31"/>
      <c r="EA549" s="31"/>
      <c r="EB549" s="31"/>
      <c r="EC549" s="31"/>
      <c r="ED549" s="31"/>
      <c r="EE549" s="31"/>
      <c r="EF549" s="31"/>
      <c r="EG549" s="31"/>
      <c r="EH549" s="31"/>
      <c r="EI549" s="31"/>
      <c r="EJ549" s="31"/>
      <c r="EK549" s="31"/>
      <c r="EL549" s="31"/>
      <c r="EM549" s="31"/>
      <c r="EN549" s="31"/>
      <c r="EO549" s="31"/>
      <c r="EP549" s="31"/>
      <c r="EQ549" s="31"/>
      <c r="ER549" s="31"/>
      <c r="ES549" s="31"/>
      <c r="ET549" s="31"/>
      <c r="EU549" s="31"/>
      <c r="EV549" s="31"/>
      <c r="EW549" s="31"/>
      <c r="EX549" s="31"/>
      <c r="EY549" s="31"/>
      <c r="EZ549" s="31"/>
      <c r="FA549" s="31"/>
      <c r="FB549" s="31"/>
      <c r="FC549" s="31"/>
      <c r="FD549" s="31"/>
      <c r="FE549" s="31"/>
      <c r="FF549" s="31"/>
      <c r="FG549" s="31"/>
      <c r="FH549" s="31"/>
      <c r="FI549" s="31"/>
      <c r="FJ549" s="31"/>
      <c r="FK549" s="31"/>
      <c r="FL549" s="31"/>
      <c r="FM549" s="31"/>
      <c r="FN549" s="31"/>
      <c r="FO549" s="31"/>
      <c r="FP549" s="31"/>
      <c r="FQ549" s="31"/>
      <c r="FR549" s="31"/>
      <c r="FS549" s="31"/>
      <c r="FT549" s="31"/>
      <c r="FU549" s="31"/>
      <c r="FV549" s="31"/>
      <c r="FW549" s="31"/>
      <c r="FX549" s="31"/>
      <c r="FY549" s="31"/>
      <c r="FZ549" s="31"/>
      <c r="GA549" s="31"/>
      <c r="GB549" s="31"/>
      <c r="GC549" s="31"/>
      <c r="GD549" s="31"/>
      <c r="GE549" s="31"/>
      <c r="GF549" s="31"/>
      <c r="GG549" s="31"/>
      <c r="GH549" s="31"/>
      <c r="GI549" s="31"/>
      <c r="GJ549" s="31"/>
      <c r="GK549" s="31"/>
      <c r="GL549" s="31"/>
      <c r="GM549" s="31"/>
      <c r="GN549" s="31"/>
      <c r="GO549" s="31"/>
      <c r="GP549" s="31"/>
      <c r="GQ549" s="31"/>
      <c r="GR549" s="31"/>
      <c r="GS549" s="31"/>
      <c r="GT549" s="31"/>
      <c r="GU549" s="31"/>
      <c r="GV549" s="31"/>
      <c r="GW549" s="31"/>
      <c r="GX549" s="31"/>
      <c r="GY549" s="31"/>
      <c r="GZ549" s="31"/>
      <c r="HA549" s="31"/>
      <c r="HB549" s="31"/>
      <c r="HC549" s="31"/>
      <c r="HD549" s="31"/>
      <c r="HE549" s="31"/>
      <c r="HF549" s="31"/>
      <c r="HG549" s="31"/>
      <c r="HH549" s="31"/>
      <c r="HI549" s="31"/>
      <c r="HJ549" s="31"/>
      <c r="HK549" s="31"/>
      <c r="HL549" s="31"/>
      <c r="HM549" s="31"/>
      <c r="HN549" s="31"/>
      <c r="HO549" s="31"/>
      <c r="HP549" s="31"/>
      <c r="HQ549" s="31"/>
      <c r="HR549" s="31"/>
      <c r="HS549" s="31"/>
      <c r="HT549" s="31"/>
      <c r="HU549" s="31"/>
      <c r="HV549" s="31"/>
      <c r="HW549" s="31"/>
      <c r="HX549" s="31"/>
      <c r="HY549" s="31"/>
      <c r="HZ549" s="31"/>
      <c r="IA549" s="31"/>
      <c r="IB549" s="31"/>
      <c r="IC549" s="31"/>
      <c r="ID549" s="31"/>
      <c r="IE549" s="31"/>
      <c r="IF549" s="31"/>
      <c r="IG549" s="31"/>
      <c r="IH549" s="31"/>
      <c r="II549" s="31"/>
      <c r="IJ549" s="31"/>
      <c r="IK549" s="31"/>
      <c r="IL549" s="31"/>
      <c r="IM549" s="31"/>
      <c r="IN549" s="31"/>
      <c r="IO549" s="31"/>
      <c r="IP549" s="31"/>
      <c r="IQ549" s="31"/>
      <c r="IR549" s="31"/>
      <c r="IS549" s="31"/>
      <c r="IT549" s="31"/>
      <c r="IU549" s="31"/>
      <c r="IV549" s="31"/>
      <c r="IW549" s="31"/>
      <c r="IX549" s="31"/>
      <c r="IY549" s="31"/>
      <c r="IZ549" s="31"/>
      <c r="JA549" s="31"/>
      <c r="JB549" s="31"/>
      <c r="JC549" s="31"/>
      <c r="JD549" s="31"/>
      <c r="JE549" s="31"/>
      <c r="JF549" s="31"/>
      <c r="JG549" s="31"/>
      <c r="JH549" s="31"/>
      <c r="JI549" s="31"/>
      <c r="JJ549" s="31"/>
      <c r="JK549" s="31"/>
      <c r="JL549" s="31"/>
      <c r="JM549" s="31"/>
      <c r="JN549" s="31"/>
      <c r="JO549" s="31"/>
      <c r="JP549" s="31"/>
      <c r="JQ549" s="31"/>
      <c r="JR549" s="31"/>
      <c r="JS549" s="31"/>
      <c r="JT549" s="31"/>
      <c r="JU549" s="31"/>
      <c r="JV549" s="31"/>
      <c r="JW549" s="31"/>
      <c r="JX549" s="31"/>
      <c r="JY549" s="31"/>
      <c r="JZ549" s="31"/>
      <c r="KA549" s="31"/>
      <c r="KB549" s="31"/>
      <c r="KC549" s="31"/>
      <c r="KD549" s="31"/>
      <c r="KE549" s="31"/>
      <c r="KF549" s="31"/>
      <c r="KG549" s="31"/>
      <c r="KH549" s="31"/>
      <c r="KI549" s="31"/>
      <c r="KJ549" s="31"/>
      <c r="KK549" s="31"/>
      <c r="KL549" s="31"/>
      <c r="KM549" s="31"/>
      <c r="KN549" s="31"/>
      <c r="KO549" s="31"/>
      <c r="KP549" s="31"/>
      <c r="KQ549" s="31"/>
      <c r="KR549" s="31"/>
      <c r="KS549" s="31"/>
      <c r="KT549" s="31"/>
      <c r="KU549" s="31"/>
      <c r="KV549" s="31"/>
      <c r="KW549" s="31"/>
      <c r="KX549" s="31"/>
      <c r="KY549" s="31"/>
      <c r="KZ549" s="31"/>
      <c r="LA549" s="31"/>
      <c r="LB549" s="31"/>
      <c r="LC549" s="31"/>
      <c r="LD549" s="31"/>
      <c r="LE549" s="31"/>
      <c r="LF549" s="31"/>
      <c r="LG549" s="31"/>
      <c r="LH549" s="31"/>
      <c r="LI549" s="31"/>
      <c r="LJ549" s="31"/>
      <c r="LK549" s="31"/>
      <c r="LL549" s="31"/>
      <c r="LM549" s="31"/>
      <c r="LN549" s="31"/>
      <c r="LO549" s="31"/>
      <c r="LP549" s="31"/>
      <c r="LQ549" s="31"/>
      <c r="LR549" s="31"/>
      <c r="LS549" s="31"/>
      <c r="LT549" s="31"/>
      <c r="LU549" s="31"/>
      <c r="LV549" s="31"/>
      <c r="LW549" s="31"/>
      <c r="LX549" s="31"/>
      <c r="LY549" s="31"/>
      <c r="LZ549" s="31"/>
      <c r="MA549" s="31"/>
      <c r="MB549" s="31"/>
      <c r="MC549" s="31"/>
      <c r="MD549" s="31"/>
      <c r="ME549" s="31"/>
      <c r="MF549" s="31"/>
      <c r="MG549" s="31"/>
      <c r="MH549" s="31"/>
      <c r="MI549" s="31"/>
      <c r="MJ549" s="31"/>
      <c r="MK549" s="31"/>
      <c r="ML549" s="31"/>
      <c r="MM549" s="31"/>
      <c r="MN549" s="31"/>
      <c r="MO549" s="31"/>
      <c r="MP549" s="31"/>
      <c r="MQ549" s="31"/>
      <c r="MR549" s="31"/>
      <c r="MS549" s="31"/>
      <c r="MT549" s="31"/>
      <c r="MU549" s="31"/>
      <c r="MV549" s="31"/>
      <c r="MW549" s="31"/>
      <c r="MX549" s="31"/>
      <c r="MY549" s="31"/>
      <c r="MZ549" s="31"/>
      <c r="NA549" s="31"/>
      <c r="NB549" s="31"/>
      <c r="NC549" s="31"/>
      <c r="ND549" s="31"/>
      <c r="NE549" s="31"/>
      <c r="NF549" s="31"/>
      <c r="NG549" s="31"/>
      <c r="NH549" s="31"/>
      <c r="NI549" s="31"/>
      <c r="NJ549" s="31"/>
      <c r="NK549" s="31"/>
      <c r="NL549" s="31"/>
      <c r="NM549" s="31"/>
      <c r="NN549" s="31"/>
      <c r="NO549" s="31"/>
      <c r="NP549" s="31"/>
      <c r="NQ549" s="31"/>
      <c r="NR549" s="31"/>
      <c r="NS549" s="31"/>
      <c r="NT549" s="31"/>
      <c r="NU549" s="31"/>
      <c r="NV549" s="31"/>
      <c r="NW549" s="31"/>
      <c r="NX549" s="31"/>
      <c r="NY549" s="31"/>
      <c r="NZ549" s="31"/>
      <c r="OA549" s="31"/>
      <c r="OB549" s="31"/>
      <c r="OC549" s="31"/>
      <c r="OD549" s="31"/>
      <c r="OE549" s="31"/>
      <c r="OF549" s="31"/>
      <c r="OG549" s="31"/>
      <c r="OH549" s="31"/>
      <c r="OI549" s="31"/>
      <c r="OJ549" s="31"/>
      <c r="OK549" s="31"/>
      <c r="OL549" s="31"/>
      <c r="OM549" s="31"/>
      <c r="ON549" s="31"/>
      <c r="OO549" s="31"/>
      <c r="OP549" s="31"/>
      <c r="OQ549" s="31"/>
      <c r="OR549" s="31"/>
      <c r="OS549" s="31"/>
      <c r="OT549" s="31"/>
      <c r="OU549" s="31"/>
      <c r="OV549" s="31"/>
      <c r="OW549" s="31"/>
      <c r="OX549" s="31"/>
      <c r="OY549" s="31"/>
      <c r="OZ549" s="31"/>
      <c r="PA549" s="31"/>
      <c r="PB549" s="31"/>
      <c r="PC549" s="31"/>
      <c r="PD549" s="31"/>
      <c r="PE549" s="31"/>
      <c r="PF549" s="31"/>
      <c r="PG549" s="31"/>
      <c r="PH549" s="31"/>
      <c r="PI549" s="31"/>
      <c r="PJ549" s="31"/>
      <c r="PK549" s="31"/>
      <c r="PL549" s="31"/>
      <c r="PM549" s="31"/>
      <c r="PN549" s="31"/>
      <c r="PO549" s="31"/>
      <c r="PP549" s="31"/>
      <c r="PQ549" s="31"/>
      <c r="PR549" s="31"/>
      <c r="PS549" s="31"/>
      <c r="PT549" s="31"/>
      <c r="PU549" s="31"/>
      <c r="PV549" s="31"/>
      <c r="PW549" s="31"/>
      <c r="PX549" s="31"/>
      <c r="PY549" s="31"/>
      <c r="PZ549" s="31"/>
      <c r="QA549" s="31"/>
      <c r="QB549" s="31"/>
      <c r="QC549" s="31"/>
      <c r="QD549" s="31"/>
      <c r="QE549" s="31"/>
      <c r="QF549" s="31"/>
      <c r="QG549" s="31"/>
      <c r="QH549" s="31"/>
      <c r="QI549" s="31"/>
      <c r="QJ549" s="31"/>
      <c r="QK549" s="31"/>
      <c r="QL549" s="31"/>
      <c r="QM549" s="31"/>
      <c r="QN549" s="31"/>
      <c r="QO549" s="31"/>
      <c r="QP549" s="31"/>
      <c r="QQ549" s="31"/>
      <c r="QR549" s="31"/>
      <c r="QS549" s="31"/>
      <c r="QT549" s="31"/>
      <c r="QU549" s="31"/>
      <c r="QV549" s="31"/>
      <c r="QW549" s="31"/>
      <c r="QX549" s="31"/>
      <c r="QY549" s="31"/>
      <c r="QZ549" s="31"/>
      <c r="RA549" s="31"/>
      <c r="RB549" s="31"/>
      <c r="RC549" s="31"/>
      <c r="RD549" s="31"/>
      <c r="RE549" s="31"/>
      <c r="RF549" s="31"/>
      <c r="RG549" s="31"/>
      <c r="RH549" s="31"/>
      <c r="RI549" s="31"/>
      <c r="RJ549" s="31"/>
      <c r="RK549" s="31"/>
      <c r="RL549" s="31"/>
      <c r="RM549" s="31"/>
      <c r="RN549" s="31"/>
      <c r="RO549" s="31"/>
      <c r="RP549" s="31"/>
      <c r="RQ549" s="31"/>
      <c r="RR549" s="31"/>
      <c r="RS549" s="31"/>
      <c r="RT549" s="31"/>
      <c r="RU549" s="31"/>
      <c r="RV549" s="31"/>
      <c r="RW549" s="31"/>
      <c r="RX549" s="31"/>
      <c r="RY549" s="31"/>
      <c r="RZ549" s="31"/>
      <c r="SA549" s="31"/>
      <c r="SB549" s="31"/>
      <c r="SC549" s="31"/>
      <c r="SD549" s="31"/>
      <c r="SE549" s="31"/>
      <c r="SF549" s="31"/>
      <c r="SG549" s="31"/>
      <c r="SH549" s="31"/>
      <c r="SI549" s="31"/>
      <c r="SJ549" s="31"/>
      <c r="SK549" s="31"/>
      <c r="SL549" s="31"/>
      <c r="SM549" s="31"/>
      <c r="SN549" s="31"/>
      <c r="SO549" s="31"/>
      <c r="SP549" s="31"/>
      <c r="SQ549" s="31"/>
      <c r="SR549" s="31"/>
      <c r="SS549" s="31"/>
      <c r="ST549" s="31"/>
      <c r="SU549" s="31"/>
      <c r="SV549" s="31"/>
      <c r="SW549" s="31"/>
      <c r="SX549" s="31"/>
      <c r="SY549" s="31"/>
      <c r="SZ549" s="31"/>
      <c r="TA549" s="31"/>
      <c r="TB549" s="31"/>
      <c r="TC549" s="31"/>
      <c r="TD549" s="31"/>
      <c r="TE549" s="31"/>
      <c r="TF549" s="31"/>
      <c r="TG549" s="31"/>
      <c r="TH549" s="31"/>
      <c r="TI549" s="31"/>
      <c r="TJ549" s="31"/>
      <c r="TK549" s="31"/>
      <c r="TL549" s="31"/>
      <c r="TM549" s="31"/>
      <c r="TN549" s="31"/>
      <c r="TO549" s="31"/>
      <c r="TP549" s="31"/>
      <c r="TQ549" s="31"/>
      <c r="TR549" s="31"/>
      <c r="TS549" s="31"/>
      <c r="TT549" s="31"/>
      <c r="TU549" s="31"/>
      <c r="TV549" s="31"/>
      <c r="TW549" s="31"/>
      <c r="TX549" s="31"/>
      <c r="TY549" s="31"/>
      <c r="TZ549" s="31"/>
      <c r="UA549" s="31"/>
      <c r="UB549" s="31"/>
      <c r="UC549" s="31"/>
      <c r="UD549" s="31"/>
      <c r="UE549" s="31"/>
      <c r="UF549" s="31"/>
      <c r="UG549" s="33"/>
    </row>
    <row r="550" spans="1:553" ht="30.75" customHeight="1">
      <c r="A550" s="356" t="s">
        <v>15</v>
      </c>
      <c r="B550" s="356"/>
      <c r="C550" s="384" t="s">
        <v>22</v>
      </c>
      <c r="D550" s="376">
        <v>2</v>
      </c>
      <c r="E550" s="376">
        <v>436</v>
      </c>
      <c r="F550" s="385"/>
      <c r="G550" s="386" t="s">
        <v>935</v>
      </c>
      <c r="H550" s="370"/>
      <c r="I550" s="422">
        <v>147.69999999999999</v>
      </c>
      <c r="J550" s="1063">
        <v>62000</v>
      </c>
      <c r="K550" s="850">
        <v>1</v>
      </c>
      <c r="L550" s="366">
        <f t="shared" si="97"/>
        <v>9157400</v>
      </c>
      <c r="M550" s="366"/>
      <c r="N550" s="366"/>
      <c r="O550" s="366"/>
      <c r="P550" s="366"/>
      <c r="Q550" s="1135"/>
      <c r="R550" s="1467"/>
      <c r="S550" s="308"/>
      <c r="T550" s="308"/>
      <c r="U550" s="308"/>
      <c r="V550" s="308"/>
      <c r="W550" s="308"/>
      <c r="X550" s="308"/>
      <c r="Y550" s="308"/>
      <c r="Z550" s="604"/>
      <c r="AA550" s="308"/>
      <c r="AB550" s="308"/>
      <c r="AC550" s="449"/>
      <c r="AD550" s="452"/>
      <c r="AE550" s="452"/>
      <c r="AF550" s="452"/>
      <c r="AG550" s="452"/>
      <c r="AH550" s="452"/>
      <c r="AI550" s="452"/>
      <c r="AJ550" s="452"/>
      <c r="AK550" s="452"/>
      <c r="AL550" s="106"/>
      <c r="AM550" s="31"/>
      <c r="AN550" s="31"/>
      <c r="AO550" s="31"/>
      <c r="AP550" s="31"/>
      <c r="AQ550" s="31"/>
      <c r="AR550" s="31"/>
      <c r="AS550" s="31"/>
      <c r="AT550" s="31"/>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c r="CT550" s="31"/>
      <c r="CU550" s="31"/>
      <c r="CV550" s="31"/>
      <c r="CW550" s="31"/>
      <c r="CX550" s="31"/>
      <c r="CY550" s="31"/>
      <c r="CZ550" s="31"/>
      <c r="DA550" s="31"/>
      <c r="DB550" s="31"/>
      <c r="DC550" s="31"/>
      <c r="DD550" s="31"/>
      <c r="DE550" s="31"/>
      <c r="DF550" s="31"/>
      <c r="DG550" s="31"/>
      <c r="DH550" s="31"/>
      <c r="DI550" s="31"/>
      <c r="DJ550" s="31"/>
      <c r="DK550" s="31"/>
      <c r="DL550" s="31"/>
      <c r="DM550" s="31"/>
      <c r="DN550" s="31"/>
      <c r="DO550" s="31"/>
      <c r="DP550" s="31"/>
      <c r="DQ550" s="31"/>
      <c r="DR550" s="31"/>
      <c r="DS550" s="31"/>
      <c r="DT550" s="31"/>
      <c r="DU550" s="31"/>
      <c r="DV550" s="31"/>
      <c r="DW550" s="31"/>
      <c r="DX550" s="31"/>
      <c r="DY550" s="31"/>
      <c r="DZ550" s="31"/>
      <c r="EA550" s="31"/>
      <c r="EB550" s="31"/>
      <c r="EC550" s="31"/>
      <c r="ED550" s="31"/>
      <c r="EE550" s="31"/>
      <c r="EF550" s="31"/>
      <c r="EG550" s="31"/>
      <c r="EH550" s="31"/>
      <c r="EI550" s="31"/>
      <c r="EJ550" s="31"/>
      <c r="EK550" s="31"/>
      <c r="EL550" s="31"/>
      <c r="EM550" s="31"/>
      <c r="EN550" s="31"/>
      <c r="EO550" s="31"/>
      <c r="EP550" s="31"/>
      <c r="EQ550" s="31"/>
      <c r="ER550" s="31"/>
      <c r="ES550" s="31"/>
      <c r="ET550" s="31"/>
      <c r="EU550" s="31"/>
      <c r="EV550" s="31"/>
      <c r="EW550" s="31"/>
      <c r="EX550" s="31"/>
      <c r="EY550" s="31"/>
      <c r="EZ550" s="31"/>
      <c r="FA550" s="31"/>
      <c r="FB550" s="31"/>
      <c r="FC550" s="31"/>
      <c r="FD550" s="31"/>
      <c r="FE550" s="31"/>
      <c r="FF550" s="31"/>
      <c r="FG550" s="31"/>
      <c r="FH550" s="31"/>
      <c r="FI550" s="31"/>
      <c r="FJ550" s="31"/>
      <c r="FK550" s="31"/>
      <c r="FL550" s="31"/>
      <c r="FM550" s="31"/>
      <c r="FN550" s="31"/>
      <c r="FO550" s="31"/>
      <c r="FP550" s="31"/>
      <c r="FQ550" s="31"/>
      <c r="FR550" s="31"/>
      <c r="FS550" s="31"/>
      <c r="FT550" s="31"/>
      <c r="FU550" s="31"/>
      <c r="FV550" s="31"/>
      <c r="FW550" s="31"/>
      <c r="FX550" s="31"/>
      <c r="FY550" s="31"/>
      <c r="FZ550" s="31"/>
      <c r="GA550" s="31"/>
      <c r="GB550" s="31"/>
      <c r="GC550" s="31"/>
      <c r="GD550" s="31"/>
      <c r="GE550" s="31"/>
      <c r="GF550" s="31"/>
      <c r="GG550" s="31"/>
      <c r="GH550" s="31"/>
      <c r="GI550" s="31"/>
      <c r="GJ550" s="31"/>
      <c r="GK550" s="31"/>
      <c r="GL550" s="31"/>
      <c r="GM550" s="31"/>
      <c r="GN550" s="31"/>
      <c r="GO550" s="31"/>
      <c r="GP550" s="31"/>
      <c r="GQ550" s="31"/>
      <c r="GR550" s="31"/>
      <c r="GS550" s="31"/>
      <c r="GT550" s="31"/>
      <c r="GU550" s="31"/>
      <c r="GV550" s="31"/>
      <c r="GW550" s="31"/>
      <c r="GX550" s="31"/>
      <c r="GY550" s="31"/>
      <c r="GZ550" s="31"/>
      <c r="HA550" s="31"/>
      <c r="HB550" s="31"/>
      <c r="HC550" s="31"/>
      <c r="HD550" s="31"/>
      <c r="HE550" s="31"/>
      <c r="HF550" s="31"/>
      <c r="HG550" s="31"/>
      <c r="HH550" s="31"/>
      <c r="HI550" s="31"/>
      <c r="HJ550" s="31"/>
      <c r="HK550" s="31"/>
      <c r="HL550" s="31"/>
      <c r="HM550" s="31"/>
      <c r="HN550" s="31"/>
      <c r="HO550" s="31"/>
      <c r="HP550" s="31"/>
      <c r="HQ550" s="31"/>
      <c r="HR550" s="31"/>
      <c r="HS550" s="31"/>
      <c r="HT550" s="31"/>
      <c r="HU550" s="31"/>
      <c r="HV550" s="31"/>
      <c r="HW550" s="31"/>
      <c r="HX550" s="31"/>
      <c r="HY550" s="31"/>
      <c r="HZ550" s="31"/>
      <c r="IA550" s="31"/>
      <c r="IB550" s="31"/>
      <c r="IC550" s="31"/>
      <c r="ID550" s="31"/>
      <c r="IE550" s="31"/>
      <c r="IF550" s="31"/>
      <c r="IG550" s="31"/>
      <c r="IH550" s="31"/>
      <c r="II550" s="31"/>
      <c r="IJ550" s="31"/>
      <c r="IK550" s="31"/>
      <c r="IL550" s="31"/>
      <c r="IM550" s="31"/>
      <c r="IN550" s="31"/>
      <c r="IO550" s="31"/>
      <c r="IP550" s="31"/>
      <c r="IQ550" s="31"/>
      <c r="IR550" s="31"/>
      <c r="IS550" s="31"/>
      <c r="IT550" s="31"/>
      <c r="IU550" s="31"/>
      <c r="IV550" s="31"/>
      <c r="IW550" s="31"/>
      <c r="IX550" s="31"/>
      <c r="IY550" s="31"/>
      <c r="IZ550" s="31"/>
      <c r="JA550" s="31"/>
      <c r="JB550" s="31"/>
      <c r="JC550" s="31"/>
      <c r="JD550" s="31"/>
      <c r="JE550" s="31"/>
      <c r="JF550" s="31"/>
      <c r="JG550" s="31"/>
      <c r="JH550" s="31"/>
      <c r="JI550" s="31"/>
      <c r="JJ550" s="31"/>
      <c r="JK550" s="31"/>
      <c r="JL550" s="31"/>
      <c r="JM550" s="31"/>
      <c r="JN550" s="31"/>
      <c r="JO550" s="31"/>
      <c r="JP550" s="31"/>
      <c r="JQ550" s="31"/>
      <c r="JR550" s="31"/>
      <c r="JS550" s="31"/>
      <c r="JT550" s="31"/>
      <c r="JU550" s="31"/>
      <c r="JV550" s="31"/>
      <c r="JW550" s="31"/>
      <c r="JX550" s="31"/>
      <c r="JY550" s="31"/>
      <c r="JZ550" s="31"/>
      <c r="KA550" s="31"/>
      <c r="KB550" s="31"/>
      <c r="KC550" s="31"/>
      <c r="KD550" s="31"/>
      <c r="KE550" s="31"/>
      <c r="KF550" s="31"/>
      <c r="KG550" s="31"/>
      <c r="KH550" s="31"/>
      <c r="KI550" s="31"/>
      <c r="KJ550" s="31"/>
      <c r="KK550" s="31"/>
      <c r="KL550" s="31"/>
      <c r="KM550" s="31"/>
      <c r="KN550" s="31"/>
      <c r="KO550" s="31"/>
      <c r="KP550" s="31"/>
      <c r="KQ550" s="31"/>
      <c r="KR550" s="31"/>
      <c r="KS550" s="31"/>
      <c r="KT550" s="31"/>
      <c r="KU550" s="31"/>
      <c r="KV550" s="31"/>
      <c r="KW550" s="31"/>
      <c r="KX550" s="31"/>
      <c r="KY550" s="31"/>
      <c r="KZ550" s="31"/>
      <c r="LA550" s="31"/>
      <c r="LB550" s="31"/>
      <c r="LC550" s="31"/>
      <c r="LD550" s="31"/>
      <c r="LE550" s="31"/>
      <c r="LF550" s="31"/>
      <c r="LG550" s="31"/>
      <c r="LH550" s="31"/>
      <c r="LI550" s="31"/>
      <c r="LJ550" s="31"/>
      <c r="LK550" s="31"/>
      <c r="LL550" s="31"/>
      <c r="LM550" s="31"/>
      <c r="LN550" s="31"/>
      <c r="LO550" s="31"/>
      <c r="LP550" s="31"/>
      <c r="LQ550" s="31"/>
      <c r="LR550" s="31"/>
      <c r="LS550" s="31"/>
      <c r="LT550" s="31"/>
      <c r="LU550" s="31"/>
      <c r="LV550" s="31"/>
      <c r="LW550" s="31"/>
      <c r="LX550" s="31"/>
      <c r="LY550" s="31"/>
      <c r="LZ550" s="31"/>
      <c r="MA550" s="31"/>
      <c r="MB550" s="31"/>
      <c r="MC550" s="31"/>
      <c r="MD550" s="31"/>
      <c r="ME550" s="31"/>
      <c r="MF550" s="31"/>
      <c r="MG550" s="31"/>
      <c r="MH550" s="31"/>
      <c r="MI550" s="31"/>
      <c r="MJ550" s="31"/>
      <c r="MK550" s="31"/>
      <c r="ML550" s="31"/>
      <c r="MM550" s="31"/>
      <c r="MN550" s="31"/>
      <c r="MO550" s="31"/>
      <c r="MP550" s="31"/>
      <c r="MQ550" s="31"/>
      <c r="MR550" s="31"/>
      <c r="MS550" s="31"/>
      <c r="MT550" s="31"/>
      <c r="MU550" s="31"/>
      <c r="MV550" s="31"/>
      <c r="MW550" s="31"/>
      <c r="MX550" s="31"/>
      <c r="MY550" s="31"/>
      <c r="MZ550" s="31"/>
      <c r="NA550" s="31"/>
      <c r="NB550" s="31"/>
      <c r="NC550" s="31"/>
      <c r="ND550" s="31"/>
      <c r="NE550" s="31"/>
      <c r="NF550" s="31"/>
      <c r="NG550" s="31"/>
      <c r="NH550" s="31"/>
      <c r="NI550" s="31"/>
      <c r="NJ550" s="31"/>
      <c r="NK550" s="31"/>
      <c r="NL550" s="31"/>
      <c r="NM550" s="31"/>
      <c r="NN550" s="31"/>
      <c r="NO550" s="31"/>
      <c r="NP550" s="31"/>
      <c r="NQ550" s="31"/>
      <c r="NR550" s="31"/>
      <c r="NS550" s="31"/>
      <c r="NT550" s="31"/>
      <c r="NU550" s="31"/>
      <c r="NV550" s="31"/>
      <c r="NW550" s="31"/>
      <c r="NX550" s="31"/>
      <c r="NY550" s="31"/>
      <c r="NZ550" s="31"/>
      <c r="OA550" s="31"/>
      <c r="OB550" s="31"/>
      <c r="OC550" s="31"/>
      <c r="OD550" s="31"/>
      <c r="OE550" s="31"/>
      <c r="OF550" s="31"/>
      <c r="OG550" s="31"/>
      <c r="OH550" s="31"/>
      <c r="OI550" s="31"/>
      <c r="OJ550" s="31"/>
      <c r="OK550" s="31"/>
      <c r="OL550" s="31"/>
      <c r="OM550" s="31"/>
      <c r="ON550" s="31"/>
      <c r="OO550" s="31"/>
      <c r="OP550" s="31"/>
      <c r="OQ550" s="31"/>
      <c r="OR550" s="31"/>
      <c r="OS550" s="31"/>
      <c r="OT550" s="31"/>
      <c r="OU550" s="31"/>
      <c r="OV550" s="31"/>
      <c r="OW550" s="31"/>
      <c r="OX550" s="31"/>
      <c r="OY550" s="31"/>
      <c r="OZ550" s="31"/>
      <c r="PA550" s="31"/>
      <c r="PB550" s="31"/>
      <c r="PC550" s="31"/>
      <c r="PD550" s="31"/>
      <c r="PE550" s="31"/>
      <c r="PF550" s="31"/>
      <c r="PG550" s="31"/>
      <c r="PH550" s="31"/>
      <c r="PI550" s="31"/>
      <c r="PJ550" s="31"/>
      <c r="PK550" s="31"/>
      <c r="PL550" s="31"/>
      <c r="PM550" s="31"/>
      <c r="PN550" s="31"/>
      <c r="PO550" s="31"/>
      <c r="PP550" s="31"/>
      <c r="PQ550" s="31"/>
      <c r="PR550" s="31"/>
      <c r="PS550" s="31"/>
      <c r="PT550" s="31"/>
      <c r="PU550" s="31"/>
      <c r="PV550" s="31"/>
      <c r="PW550" s="31"/>
      <c r="PX550" s="31"/>
      <c r="PY550" s="31"/>
      <c r="PZ550" s="31"/>
      <c r="QA550" s="31"/>
      <c r="QB550" s="31"/>
      <c r="QC550" s="31"/>
      <c r="QD550" s="31"/>
      <c r="QE550" s="31"/>
      <c r="QF550" s="31"/>
      <c r="QG550" s="31"/>
      <c r="QH550" s="31"/>
      <c r="QI550" s="31"/>
      <c r="QJ550" s="31"/>
      <c r="QK550" s="31"/>
      <c r="QL550" s="31"/>
      <c r="QM550" s="31"/>
      <c r="QN550" s="31"/>
      <c r="QO550" s="31"/>
      <c r="QP550" s="31"/>
      <c r="QQ550" s="31"/>
      <c r="QR550" s="31"/>
      <c r="QS550" s="31"/>
      <c r="QT550" s="31"/>
      <c r="QU550" s="31"/>
      <c r="QV550" s="31"/>
      <c r="QW550" s="31"/>
      <c r="QX550" s="31"/>
      <c r="QY550" s="31"/>
      <c r="QZ550" s="31"/>
      <c r="RA550" s="31"/>
      <c r="RB550" s="31"/>
      <c r="RC550" s="31"/>
      <c r="RD550" s="31"/>
      <c r="RE550" s="31"/>
      <c r="RF550" s="31"/>
      <c r="RG550" s="31"/>
      <c r="RH550" s="31"/>
      <c r="RI550" s="31"/>
      <c r="RJ550" s="31"/>
      <c r="RK550" s="31"/>
      <c r="RL550" s="31"/>
      <c r="RM550" s="31"/>
      <c r="RN550" s="31"/>
      <c r="RO550" s="31"/>
      <c r="RP550" s="31"/>
      <c r="RQ550" s="31"/>
      <c r="RR550" s="31"/>
      <c r="RS550" s="31"/>
      <c r="RT550" s="31"/>
      <c r="RU550" s="31"/>
      <c r="RV550" s="31"/>
      <c r="RW550" s="31"/>
      <c r="RX550" s="31"/>
      <c r="RY550" s="31"/>
      <c r="RZ550" s="31"/>
      <c r="SA550" s="31"/>
      <c r="SB550" s="31"/>
      <c r="SC550" s="31"/>
      <c r="SD550" s="31"/>
      <c r="SE550" s="31"/>
      <c r="SF550" s="31"/>
      <c r="SG550" s="31"/>
      <c r="SH550" s="31"/>
      <c r="SI550" s="31"/>
      <c r="SJ550" s="31"/>
      <c r="SK550" s="31"/>
      <c r="SL550" s="31"/>
      <c r="SM550" s="31"/>
      <c r="SN550" s="31"/>
      <c r="SO550" s="31"/>
      <c r="SP550" s="31"/>
      <c r="SQ550" s="31"/>
      <c r="SR550" s="31"/>
      <c r="SS550" s="31"/>
      <c r="ST550" s="31"/>
      <c r="SU550" s="31"/>
      <c r="SV550" s="31"/>
      <c r="SW550" s="31"/>
      <c r="SX550" s="31"/>
      <c r="SY550" s="31"/>
      <c r="SZ550" s="31"/>
      <c r="TA550" s="31"/>
      <c r="TB550" s="31"/>
      <c r="TC550" s="31"/>
      <c r="TD550" s="31"/>
      <c r="TE550" s="31"/>
      <c r="TF550" s="31"/>
      <c r="TG550" s="31"/>
      <c r="TH550" s="31"/>
      <c r="TI550" s="31"/>
      <c r="TJ550" s="31"/>
      <c r="TK550" s="31"/>
      <c r="TL550" s="31"/>
      <c r="TM550" s="31"/>
      <c r="TN550" s="31"/>
      <c r="TO550" s="31"/>
      <c r="TP550" s="31"/>
      <c r="TQ550" s="31"/>
      <c r="TR550" s="31"/>
      <c r="TS550" s="31"/>
      <c r="TT550" s="31"/>
      <c r="TU550" s="31"/>
      <c r="TV550" s="31"/>
      <c r="TW550" s="31"/>
      <c r="TX550" s="31"/>
      <c r="TY550" s="31"/>
      <c r="TZ550" s="31"/>
      <c r="UA550" s="31"/>
      <c r="UB550" s="31"/>
      <c r="UC550" s="31"/>
      <c r="UD550" s="31"/>
      <c r="UE550" s="31"/>
      <c r="UF550" s="31"/>
      <c r="UG550" s="33"/>
    </row>
    <row r="551" spans="1:553" ht="30.75" customHeight="1">
      <c r="A551" s="356" t="s">
        <v>15</v>
      </c>
      <c r="B551" s="356"/>
      <c r="C551" s="384" t="s">
        <v>26</v>
      </c>
      <c r="D551" s="376">
        <v>2</v>
      </c>
      <c r="E551" s="376">
        <v>470</v>
      </c>
      <c r="F551" s="385"/>
      <c r="G551" s="386" t="s">
        <v>935</v>
      </c>
      <c r="H551" s="370"/>
      <c r="I551" s="422">
        <v>190.7</v>
      </c>
      <c r="J551" s="1063">
        <v>53000</v>
      </c>
      <c r="K551" s="850">
        <v>1</v>
      </c>
      <c r="L551" s="366">
        <f t="shared" si="97"/>
        <v>10107100</v>
      </c>
      <c r="M551" s="366"/>
      <c r="N551" s="366"/>
      <c r="O551" s="366"/>
      <c r="P551" s="366"/>
      <c r="Q551" s="1135"/>
      <c r="R551" s="1467"/>
      <c r="S551" s="308"/>
      <c r="T551" s="308"/>
      <c r="U551" s="308"/>
      <c r="V551" s="308"/>
      <c r="W551" s="308"/>
      <c r="X551" s="308"/>
      <c r="Y551" s="308"/>
      <c r="Z551" s="604"/>
      <c r="AA551" s="308"/>
      <c r="AB551" s="308"/>
      <c r="AC551" s="449"/>
      <c r="AD551" s="452"/>
      <c r="AE551" s="452"/>
      <c r="AF551" s="452"/>
      <c r="AG551" s="452"/>
      <c r="AH551" s="452"/>
      <c r="AI551" s="452"/>
      <c r="AJ551" s="452"/>
      <c r="AK551" s="452"/>
      <c r="AL551" s="106"/>
      <c r="AM551" s="31"/>
      <c r="AN551" s="31"/>
      <c r="AO551" s="31"/>
      <c r="AP551" s="31"/>
      <c r="AQ551" s="31"/>
      <c r="AR551" s="31"/>
      <c r="AS551" s="31"/>
      <c r="AT551" s="31"/>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c r="CT551" s="31"/>
      <c r="CU551" s="31"/>
      <c r="CV551" s="31"/>
      <c r="CW551" s="31"/>
      <c r="CX551" s="31"/>
      <c r="CY551" s="31"/>
      <c r="CZ551" s="31"/>
      <c r="DA551" s="31"/>
      <c r="DB551" s="31"/>
      <c r="DC551" s="31"/>
      <c r="DD551" s="31"/>
      <c r="DE551" s="31"/>
      <c r="DF551" s="31"/>
      <c r="DG551" s="31"/>
      <c r="DH551" s="31"/>
      <c r="DI551" s="31"/>
      <c r="DJ551" s="31"/>
      <c r="DK551" s="31"/>
      <c r="DL551" s="31"/>
      <c r="DM551" s="31"/>
      <c r="DN551" s="31"/>
      <c r="DO551" s="31"/>
      <c r="DP551" s="31"/>
      <c r="DQ551" s="31"/>
      <c r="DR551" s="31"/>
      <c r="DS551" s="31"/>
      <c r="DT551" s="31"/>
      <c r="DU551" s="31"/>
      <c r="DV551" s="31"/>
      <c r="DW551" s="31"/>
      <c r="DX551" s="31"/>
      <c r="DY551" s="31"/>
      <c r="DZ551" s="31"/>
      <c r="EA551" s="31"/>
      <c r="EB551" s="31"/>
      <c r="EC551" s="31"/>
      <c r="ED551" s="31"/>
      <c r="EE551" s="31"/>
      <c r="EF551" s="31"/>
      <c r="EG551" s="31"/>
      <c r="EH551" s="31"/>
      <c r="EI551" s="31"/>
      <c r="EJ551" s="31"/>
      <c r="EK551" s="31"/>
      <c r="EL551" s="31"/>
      <c r="EM551" s="31"/>
      <c r="EN551" s="31"/>
      <c r="EO551" s="31"/>
      <c r="EP551" s="31"/>
      <c r="EQ551" s="31"/>
      <c r="ER551" s="31"/>
      <c r="ES551" s="31"/>
      <c r="ET551" s="31"/>
      <c r="EU551" s="31"/>
      <c r="EV551" s="31"/>
      <c r="EW551" s="31"/>
      <c r="EX551" s="31"/>
      <c r="EY551" s="31"/>
      <c r="EZ551" s="31"/>
      <c r="FA551" s="31"/>
      <c r="FB551" s="31"/>
      <c r="FC551" s="31"/>
      <c r="FD551" s="31"/>
      <c r="FE551" s="31"/>
      <c r="FF551" s="31"/>
      <c r="FG551" s="31"/>
      <c r="FH551" s="31"/>
      <c r="FI551" s="31"/>
      <c r="FJ551" s="31"/>
      <c r="FK551" s="31"/>
      <c r="FL551" s="31"/>
      <c r="FM551" s="31"/>
      <c r="FN551" s="31"/>
      <c r="FO551" s="31"/>
      <c r="FP551" s="31"/>
      <c r="FQ551" s="31"/>
      <c r="FR551" s="31"/>
      <c r="FS551" s="31"/>
      <c r="FT551" s="31"/>
      <c r="FU551" s="31"/>
      <c r="FV551" s="31"/>
      <c r="FW551" s="31"/>
      <c r="FX551" s="31"/>
      <c r="FY551" s="31"/>
      <c r="FZ551" s="31"/>
      <c r="GA551" s="31"/>
      <c r="GB551" s="31"/>
      <c r="GC551" s="31"/>
      <c r="GD551" s="31"/>
      <c r="GE551" s="31"/>
      <c r="GF551" s="31"/>
      <c r="GG551" s="31"/>
      <c r="GH551" s="31"/>
      <c r="GI551" s="31"/>
      <c r="GJ551" s="31"/>
      <c r="GK551" s="31"/>
      <c r="GL551" s="31"/>
      <c r="GM551" s="31"/>
      <c r="GN551" s="31"/>
      <c r="GO551" s="31"/>
      <c r="GP551" s="31"/>
      <c r="GQ551" s="31"/>
      <c r="GR551" s="31"/>
      <c r="GS551" s="31"/>
      <c r="GT551" s="31"/>
      <c r="GU551" s="31"/>
      <c r="GV551" s="31"/>
      <c r="GW551" s="31"/>
      <c r="GX551" s="31"/>
      <c r="GY551" s="31"/>
      <c r="GZ551" s="31"/>
      <c r="HA551" s="31"/>
      <c r="HB551" s="31"/>
      <c r="HC551" s="31"/>
      <c r="HD551" s="31"/>
      <c r="HE551" s="31"/>
      <c r="HF551" s="31"/>
      <c r="HG551" s="31"/>
      <c r="HH551" s="31"/>
      <c r="HI551" s="31"/>
      <c r="HJ551" s="31"/>
      <c r="HK551" s="31"/>
      <c r="HL551" s="31"/>
      <c r="HM551" s="31"/>
      <c r="HN551" s="31"/>
      <c r="HO551" s="31"/>
      <c r="HP551" s="31"/>
      <c r="HQ551" s="31"/>
      <c r="HR551" s="31"/>
      <c r="HS551" s="31"/>
      <c r="HT551" s="31"/>
      <c r="HU551" s="31"/>
      <c r="HV551" s="31"/>
      <c r="HW551" s="31"/>
      <c r="HX551" s="31"/>
      <c r="HY551" s="31"/>
      <c r="HZ551" s="31"/>
      <c r="IA551" s="31"/>
      <c r="IB551" s="31"/>
      <c r="IC551" s="31"/>
      <c r="ID551" s="31"/>
      <c r="IE551" s="31"/>
      <c r="IF551" s="31"/>
      <c r="IG551" s="31"/>
      <c r="IH551" s="31"/>
      <c r="II551" s="31"/>
      <c r="IJ551" s="31"/>
      <c r="IK551" s="31"/>
      <c r="IL551" s="31"/>
      <c r="IM551" s="31"/>
      <c r="IN551" s="31"/>
      <c r="IO551" s="31"/>
      <c r="IP551" s="31"/>
      <c r="IQ551" s="31"/>
      <c r="IR551" s="31"/>
      <c r="IS551" s="31"/>
      <c r="IT551" s="31"/>
      <c r="IU551" s="31"/>
      <c r="IV551" s="31"/>
      <c r="IW551" s="31"/>
      <c r="IX551" s="31"/>
      <c r="IY551" s="31"/>
      <c r="IZ551" s="31"/>
      <c r="JA551" s="31"/>
      <c r="JB551" s="31"/>
      <c r="JC551" s="31"/>
      <c r="JD551" s="31"/>
      <c r="JE551" s="31"/>
      <c r="JF551" s="31"/>
      <c r="JG551" s="31"/>
      <c r="JH551" s="31"/>
      <c r="JI551" s="31"/>
      <c r="JJ551" s="31"/>
      <c r="JK551" s="31"/>
      <c r="JL551" s="31"/>
      <c r="JM551" s="31"/>
      <c r="JN551" s="31"/>
      <c r="JO551" s="31"/>
      <c r="JP551" s="31"/>
      <c r="JQ551" s="31"/>
      <c r="JR551" s="31"/>
      <c r="JS551" s="31"/>
      <c r="JT551" s="31"/>
      <c r="JU551" s="31"/>
      <c r="JV551" s="31"/>
      <c r="JW551" s="31"/>
      <c r="JX551" s="31"/>
      <c r="JY551" s="31"/>
      <c r="JZ551" s="31"/>
      <c r="KA551" s="31"/>
      <c r="KB551" s="31"/>
      <c r="KC551" s="31"/>
      <c r="KD551" s="31"/>
      <c r="KE551" s="31"/>
      <c r="KF551" s="31"/>
      <c r="KG551" s="31"/>
      <c r="KH551" s="31"/>
      <c r="KI551" s="31"/>
      <c r="KJ551" s="31"/>
      <c r="KK551" s="31"/>
      <c r="KL551" s="31"/>
      <c r="KM551" s="31"/>
      <c r="KN551" s="31"/>
      <c r="KO551" s="31"/>
      <c r="KP551" s="31"/>
      <c r="KQ551" s="31"/>
      <c r="KR551" s="31"/>
      <c r="KS551" s="31"/>
      <c r="KT551" s="31"/>
      <c r="KU551" s="31"/>
      <c r="KV551" s="31"/>
      <c r="KW551" s="31"/>
      <c r="KX551" s="31"/>
      <c r="KY551" s="31"/>
      <c r="KZ551" s="31"/>
      <c r="LA551" s="31"/>
      <c r="LB551" s="31"/>
      <c r="LC551" s="31"/>
      <c r="LD551" s="31"/>
      <c r="LE551" s="31"/>
      <c r="LF551" s="31"/>
      <c r="LG551" s="31"/>
      <c r="LH551" s="31"/>
      <c r="LI551" s="31"/>
      <c r="LJ551" s="31"/>
      <c r="LK551" s="31"/>
      <c r="LL551" s="31"/>
      <c r="LM551" s="31"/>
      <c r="LN551" s="31"/>
      <c r="LO551" s="31"/>
      <c r="LP551" s="31"/>
      <c r="LQ551" s="31"/>
      <c r="LR551" s="31"/>
      <c r="LS551" s="31"/>
      <c r="LT551" s="31"/>
      <c r="LU551" s="31"/>
      <c r="LV551" s="31"/>
      <c r="LW551" s="31"/>
      <c r="LX551" s="31"/>
      <c r="LY551" s="31"/>
      <c r="LZ551" s="31"/>
      <c r="MA551" s="31"/>
      <c r="MB551" s="31"/>
      <c r="MC551" s="31"/>
      <c r="MD551" s="31"/>
      <c r="ME551" s="31"/>
      <c r="MF551" s="31"/>
      <c r="MG551" s="31"/>
      <c r="MH551" s="31"/>
      <c r="MI551" s="31"/>
      <c r="MJ551" s="31"/>
      <c r="MK551" s="31"/>
      <c r="ML551" s="31"/>
      <c r="MM551" s="31"/>
      <c r="MN551" s="31"/>
      <c r="MO551" s="31"/>
      <c r="MP551" s="31"/>
      <c r="MQ551" s="31"/>
      <c r="MR551" s="31"/>
      <c r="MS551" s="31"/>
      <c r="MT551" s="31"/>
      <c r="MU551" s="31"/>
      <c r="MV551" s="31"/>
      <c r="MW551" s="31"/>
      <c r="MX551" s="31"/>
      <c r="MY551" s="31"/>
      <c r="MZ551" s="31"/>
      <c r="NA551" s="31"/>
      <c r="NB551" s="31"/>
      <c r="NC551" s="31"/>
      <c r="ND551" s="31"/>
      <c r="NE551" s="31"/>
      <c r="NF551" s="31"/>
      <c r="NG551" s="31"/>
      <c r="NH551" s="31"/>
      <c r="NI551" s="31"/>
      <c r="NJ551" s="31"/>
      <c r="NK551" s="31"/>
      <c r="NL551" s="31"/>
      <c r="NM551" s="31"/>
      <c r="NN551" s="31"/>
      <c r="NO551" s="31"/>
      <c r="NP551" s="31"/>
      <c r="NQ551" s="31"/>
      <c r="NR551" s="31"/>
      <c r="NS551" s="31"/>
      <c r="NT551" s="31"/>
      <c r="NU551" s="31"/>
      <c r="NV551" s="31"/>
      <c r="NW551" s="31"/>
      <c r="NX551" s="31"/>
      <c r="NY551" s="31"/>
      <c r="NZ551" s="31"/>
      <c r="OA551" s="31"/>
      <c r="OB551" s="31"/>
      <c r="OC551" s="31"/>
      <c r="OD551" s="31"/>
      <c r="OE551" s="31"/>
      <c r="OF551" s="31"/>
      <c r="OG551" s="31"/>
      <c r="OH551" s="31"/>
      <c r="OI551" s="31"/>
      <c r="OJ551" s="31"/>
      <c r="OK551" s="31"/>
      <c r="OL551" s="31"/>
      <c r="OM551" s="31"/>
      <c r="ON551" s="31"/>
      <c r="OO551" s="31"/>
      <c r="OP551" s="31"/>
      <c r="OQ551" s="31"/>
      <c r="OR551" s="31"/>
      <c r="OS551" s="31"/>
      <c r="OT551" s="31"/>
      <c r="OU551" s="31"/>
      <c r="OV551" s="31"/>
      <c r="OW551" s="31"/>
      <c r="OX551" s="31"/>
      <c r="OY551" s="31"/>
      <c r="OZ551" s="31"/>
      <c r="PA551" s="31"/>
      <c r="PB551" s="31"/>
      <c r="PC551" s="31"/>
      <c r="PD551" s="31"/>
      <c r="PE551" s="31"/>
      <c r="PF551" s="31"/>
      <c r="PG551" s="31"/>
      <c r="PH551" s="31"/>
      <c r="PI551" s="31"/>
      <c r="PJ551" s="31"/>
      <c r="PK551" s="31"/>
      <c r="PL551" s="31"/>
      <c r="PM551" s="31"/>
      <c r="PN551" s="31"/>
      <c r="PO551" s="31"/>
      <c r="PP551" s="31"/>
      <c r="PQ551" s="31"/>
      <c r="PR551" s="31"/>
      <c r="PS551" s="31"/>
      <c r="PT551" s="31"/>
      <c r="PU551" s="31"/>
      <c r="PV551" s="31"/>
      <c r="PW551" s="31"/>
      <c r="PX551" s="31"/>
      <c r="PY551" s="31"/>
      <c r="PZ551" s="31"/>
      <c r="QA551" s="31"/>
      <c r="QB551" s="31"/>
      <c r="QC551" s="31"/>
      <c r="QD551" s="31"/>
      <c r="QE551" s="31"/>
      <c r="QF551" s="31"/>
      <c r="QG551" s="31"/>
      <c r="QH551" s="31"/>
      <c r="QI551" s="31"/>
      <c r="QJ551" s="31"/>
      <c r="QK551" s="31"/>
      <c r="QL551" s="31"/>
      <c r="QM551" s="31"/>
      <c r="QN551" s="31"/>
      <c r="QO551" s="31"/>
      <c r="QP551" s="31"/>
      <c r="QQ551" s="31"/>
      <c r="QR551" s="31"/>
      <c r="QS551" s="31"/>
      <c r="QT551" s="31"/>
      <c r="QU551" s="31"/>
      <c r="QV551" s="31"/>
      <c r="QW551" s="31"/>
      <c r="QX551" s="31"/>
      <c r="QY551" s="31"/>
      <c r="QZ551" s="31"/>
      <c r="RA551" s="31"/>
      <c r="RB551" s="31"/>
      <c r="RC551" s="31"/>
      <c r="RD551" s="31"/>
      <c r="RE551" s="31"/>
      <c r="RF551" s="31"/>
      <c r="RG551" s="31"/>
      <c r="RH551" s="31"/>
      <c r="RI551" s="31"/>
      <c r="RJ551" s="31"/>
      <c r="RK551" s="31"/>
      <c r="RL551" s="31"/>
      <c r="RM551" s="31"/>
      <c r="RN551" s="31"/>
      <c r="RO551" s="31"/>
      <c r="RP551" s="31"/>
      <c r="RQ551" s="31"/>
      <c r="RR551" s="31"/>
      <c r="RS551" s="31"/>
      <c r="RT551" s="31"/>
      <c r="RU551" s="31"/>
      <c r="RV551" s="31"/>
      <c r="RW551" s="31"/>
      <c r="RX551" s="31"/>
      <c r="RY551" s="31"/>
      <c r="RZ551" s="31"/>
      <c r="SA551" s="31"/>
      <c r="SB551" s="31"/>
      <c r="SC551" s="31"/>
      <c r="SD551" s="31"/>
      <c r="SE551" s="31"/>
      <c r="SF551" s="31"/>
      <c r="SG551" s="31"/>
      <c r="SH551" s="31"/>
      <c r="SI551" s="31"/>
      <c r="SJ551" s="31"/>
      <c r="SK551" s="31"/>
      <c r="SL551" s="31"/>
      <c r="SM551" s="31"/>
      <c r="SN551" s="31"/>
      <c r="SO551" s="31"/>
      <c r="SP551" s="31"/>
      <c r="SQ551" s="31"/>
      <c r="SR551" s="31"/>
      <c r="SS551" s="31"/>
      <c r="ST551" s="31"/>
      <c r="SU551" s="31"/>
      <c r="SV551" s="31"/>
      <c r="SW551" s="31"/>
      <c r="SX551" s="31"/>
      <c r="SY551" s="31"/>
      <c r="SZ551" s="31"/>
      <c r="TA551" s="31"/>
      <c r="TB551" s="31"/>
      <c r="TC551" s="31"/>
      <c r="TD551" s="31"/>
      <c r="TE551" s="31"/>
      <c r="TF551" s="31"/>
      <c r="TG551" s="31"/>
      <c r="TH551" s="31"/>
      <c r="TI551" s="31"/>
      <c r="TJ551" s="31"/>
      <c r="TK551" s="31"/>
      <c r="TL551" s="31"/>
      <c r="TM551" s="31"/>
      <c r="TN551" s="31"/>
      <c r="TO551" s="31"/>
      <c r="TP551" s="31"/>
      <c r="TQ551" s="31"/>
      <c r="TR551" s="31"/>
      <c r="TS551" s="31"/>
      <c r="TT551" s="31"/>
      <c r="TU551" s="31"/>
      <c r="TV551" s="31"/>
      <c r="TW551" s="31"/>
      <c r="TX551" s="31"/>
      <c r="TY551" s="31"/>
      <c r="TZ551" s="31"/>
      <c r="UA551" s="31"/>
      <c r="UB551" s="31"/>
      <c r="UC551" s="31"/>
      <c r="UD551" s="31"/>
      <c r="UE551" s="31"/>
      <c r="UF551" s="31"/>
      <c r="UG551" s="33"/>
    </row>
    <row r="552" spans="1:553" ht="30.75" customHeight="1">
      <c r="A552" s="356" t="s">
        <v>15</v>
      </c>
      <c r="B552" s="356"/>
      <c r="C552" s="384" t="s">
        <v>69</v>
      </c>
      <c r="D552" s="376" t="s">
        <v>20</v>
      </c>
      <c r="E552" s="376">
        <v>374</v>
      </c>
      <c r="F552" s="385"/>
      <c r="G552" s="386" t="s">
        <v>935</v>
      </c>
      <c r="H552" s="370"/>
      <c r="I552" s="422">
        <v>24.6</v>
      </c>
      <c r="J552" s="1063">
        <v>62000</v>
      </c>
      <c r="K552" s="850">
        <v>2.5</v>
      </c>
      <c r="L552" s="366">
        <f t="shared" si="97"/>
        <v>3813000</v>
      </c>
      <c r="M552" s="366"/>
      <c r="N552" s="366"/>
      <c r="O552" s="366"/>
      <c r="P552" s="366"/>
      <c r="Q552" s="1135"/>
      <c r="R552" s="1467"/>
      <c r="S552" s="308"/>
      <c r="T552" s="308"/>
      <c r="U552" s="308"/>
      <c r="V552" s="308"/>
      <c r="W552" s="308"/>
      <c r="X552" s="308"/>
      <c r="Y552" s="308"/>
      <c r="Z552" s="604"/>
      <c r="AA552" s="308"/>
      <c r="AB552" s="308"/>
      <c r="AC552" s="449"/>
      <c r="AD552" s="452"/>
      <c r="AE552" s="452"/>
      <c r="AF552" s="452"/>
      <c r="AG552" s="452"/>
      <c r="AH552" s="452"/>
      <c r="AI552" s="452"/>
      <c r="AJ552" s="452"/>
      <c r="AK552" s="452"/>
      <c r="AL552" s="106"/>
      <c r="AM552" s="31"/>
      <c r="AN552" s="31"/>
      <c r="AO552" s="31"/>
      <c r="AP552" s="31"/>
      <c r="AQ552" s="31"/>
      <c r="AR552" s="31"/>
      <c r="AS552" s="31"/>
      <c r="AT552" s="31"/>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c r="CT552" s="31"/>
      <c r="CU552" s="31"/>
      <c r="CV552" s="31"/>
      <c r="CW552" s="31"/>
      <c r="CX552" s="31"/>
      <c r="CY552" s="31"/>
      <c r="CZ552" s="31"/>
      <c r="DA552" s="31"/>
      <c r="DB552" s="31"/>
      <c r="DC552" s="31"/>
      <c r="DD552" s="31"/>
      <c r="DE552" s="31"/>
      <c r="DF552" s="31"/>
      <c r="DG552" s="31"/>
      <c r="DH552" s="31"/>
      <c r="DI552" s="31"/>
      <c r="DJ552" s="31"/>
      <c r="DK552" s="31"/>
      <c r="DL552" s="31"/>
      <c r="DM552" s="31"/>
      <c r="DN552" s="31"/>
      <c r="DO552" s="31"/>
      <c r="DP552" s="31"/>
      <c r="DQ552" s="31"/>
      <c r="DR552" s="31"/>
      <c r="DS552" s="31"/>
      <c r="DT552" s="31"/>
      <c r="DU552" s="31"/>
      <c r="DV552" s="31"/>
      <c r="DW552" s="31"/>
      <c r="DX552" s="31"/>
      <c r="DY552" s="31"/>
      <c r="DZ552" s="31"/>
      <c r="EA552" s="31"/>
      <c r="EB552" s="31"/>
      <c r="EC552" s="31"/>
      <c r="ED552" s="31"/>
      <c r="EE552" s="31"/>
      <c r="EF552" s="31"/>
      <c r="EG552" s="31"/>
      <c r="EH552" s="31"/>
      <c r="EI552" s="31"/>
      <c r="EJ552" s="31"/>
      <c r="EK552" s="31"/>
      <c r="EL552" s="31"/>
      <c r="EM552" s="31"/>
      <c r="EN552" s="31"/>
      <c r="EO552" s="31"/>
      <c r="EP552" s="31"/>
      <c r="EQ552" s="31"/>
      <c r="ER552" s="31"/>
      <c r="ES552" s="31"/>
      <c r="ET552" s="31"/>
      <c r="EU552" s="31"/>
      <c r="EV552" s="31"/>
      <c r="EW552" s="31"/>
      <c r="EX552" s="31"/>
      <c r="EY552" s="31"/>
      <c r="EZ552" s="31"/>
      <c r="FA552" s="31"/>
      <c r="FB552" s="31"/>
      <c r="FC552" s="31"/>
      <c r="FD552" s="31"/>
      <c r="FE552" s="31"/>
      <c r="FF552" s="31"/>
      <c r="FG552" s="31"/>
      <c r="FH552" s="31"/>
      <c r="FI552" s="31"/>
      <c r="FJ552" s="31"/>
      <c r="FK552" s="31"/>
      <c r="FL552" s="31"/>
      <c r="FM552" s="31"/>
      <c r="FN552" s="31"/>
      <c r="FO552" s="31"/>
      <c r="FP552" s="31"/>
      <c r="FQ552" s="31"/>
      <c r="FR552" s="31"/>
      <c r="FS552" s="31"/>
      <c r="FT552" s="31"/>
      <c r="FU552" s="31"/>
      <c r="FV552" s="31"/>
      <c r="FW552" s="31"/>
      <c r="FX552" s="31"/>
      <c r="FY552" s="31"/>
      <c r="FZ552" s="31"/>
      <c r="GA552" s="31"/>
      <c r="GB552" s="31"/>
      <c r="GC552" s="31"/>
      <c r="GD552" s="31"/>
      <c r="GE552" s="31"/>
      <c r="GF552" s="31"/>
      <c r="GG552" s="31"/>
      <c r="GH552" s="31"/>
      <c r="GI552" s="31"/>
      <c r="GJ552" s="31"/>
      <c r="GK552" s="31"/>
      <c r="GL552" s="31"/>
      <c r="GM552" s="31"/>
      <c r="GN552" s="31"/>
      <c r="GO552" s="31"/>
      <c r="GP552" s="31"/>
      <c r="GQ552" s="31"/>
      <c r="GR552" s="31"/>
      <c r="GS552" s="31"/>
      <c r="GT552" s="31"/>
      <c r="GU552" s="31"/>
      <c r="GV552" s="31"/>
      <c r="GW552" s="31"/>
      <c r="GX552" s="31"/>
      <c r="GY552" s="31"/>
      <c r="GZ552" s="31"/>
      <c r="HA552" s="31"/>
      <c r="HB552" s="31"/>
      <c r="HC552" s="31"/>
      <c r="HD552" s="31"/>
      <c r="HE552" s="31"/>
      <c r="HF552" s="31"/>
      <c r="HG552" s="31"/>
      <c r="HH552" s="31"/>
      <c r="HI552" s="31"/>
      <c r="HJ552" s="31"/>
      <c r="HK552" s="31"/>
      <c r="HL552" s="31"/>
      <c r="HM552" s="31"/>
      <c r="HN552" s="31"/>
      <c r="HO552" s="31"/>
      <c r="HP552" s="31"/>
      <c r="HQ552" s="31"/>
      <c r="HR552" s="31"/>
      <c r="HS552" s="31"/>
      <c r="HT552" s="31"/>
      <c r="HU552" s="31"/>
      <c r="HV552" s="31"/>
      <c r="HW552" s="31"/>
      <c r="HX552" s="31"/>
      <c r="HY552" s="31"/>
      <c r="HZ552" s="31"/>
      <c r="IA552" s="31"/>
      <c r="IB552" s="31"/>
      <c r="IC552" s="31"/>
      <c r="ID552" s="31"/>
      <c r="IE552" s="31"/>
      <c r="IF552" s="31"/>
      <c r="IG552" s="31"/>
      <c r="IH552" s="31"/>
      <c r="II552" s="31"/>
      <c r="IJ552" s="31"/>
      <c r="IK552" s="31"/>
      <c r="IL552" s="31"/>
      <c r="IM552" s="31"/>
      <c r="IN552" s="31"/>
      <c r="IO552" s="31"/>
      <c r="IP552" s="31"/>
      <c r="IQ552" s="31"/>
      <c r="IR552" s="31"/>
      <c r="IS552" s="31"/>
      <c r="IT552" s="31"/>
      <c r="IU552" s="31"/>
      <c r="IV552" s="31"/>
      <c r="IW552" s="31"/>
      <c r="IX552" s="31"/>
      <c r="IY552" s="31"/>
      <c r="IZ552" s="31"/>
      <c r="JA552" s="31"/>
      <c r="JB552" s="31"/>
      <c r="JC552" s="31"/>
      <c r="JD552" s="31"/>
      <c r="JE552" s="31"/>
      <c r="JF552" s="31"/>
      <c r="JG552" s="31"/>
      <c r="JH552" s="31"/>
      <c r="JI552" s="31"/>
      <c r="JJ552" s="31"/>
      <c r="JK552" s="31"/>
      <c r="JL552" s="31"/>
      <c r="JM552" s="31"/>
      <c r="JN552" s="31"/>
      <c r="JO552" s="31"/>
      <c r="JP552" s="31"/>
      <c r="JQ552" s="31"/>
      <c r="JR552" s="31"/>
      <c r="JS552" s="31"/>
      <c r="JT552" s="31"/>
      <c r="JU552" s="31"/>
      <c r="JV552" s="31"/>
      <c r="JW552" s="31"/>
      <c r="JX552" s="31"/>
      <c r="JY552" s="31"/>
      <c r="JZ552" s="31"/>
      <c r="KA552" s="31"/>
      <c r="KB552" s="31"/>
      <c r="KC552" s="31"/>
      <c r="KD552" s="31"/>
      <c r="KE552" s="31"/>
      <c r="KF552" s="31"/>
      <c r="KG552" s="31"/>
      <c r="KH552" s="31"/>
      <c r="KI552" s="31"/>
      <c r="KJ552" s="31"/>
      <c r="KK552" s="31"/>
      <c r="KL552" s="31"/>
      <c r="KM552" s="31"/>
      <c r="KN552" s="31"/>
      <c r="KO552" s="31"/>
      <c r="KP552" s="31"/>
      <c r="KQ552" s="31"/>
      <c r="KR552" s="31"/>
      <c r="KS552" s="31"/>
      <c r="KT552" s="31"/>
      <c r="KU552" s="31"/>
      <c r="KV552" s="31"/>
      <c r="KW552" s="31"/>
      <c r="KX552" s="31"/>
      <c r="KY552" s="31"/>
      <c r="KZ552" s="31"/>
      <c r="LA552" s="31"/>
      <c r="LB552" s="31"/>
      <c r="LC552" s="31"/>
      <c r="LD552" s="31"/>
      <c r="LE552" s="31"/>
      <c r="LF552" s="31"/>
      <c r="LG552" s="31"/>
      <c r="LH552" s="31"/>
      <c r="LI552" s="31"/>
      <c r="LJ552" s="31"/>
      <c r="LK552" s="31"/>
      <c r="LL552" s="31"/>
      <c r="LM552" s="31"/>
      <c r="LN552" s="31"/>
      <c r="LO552" s="31"/>
      <c r="LP552" s="31"/>
      <c r="LQ552" s="31"/>
      <c r="LR552" s="31"/>
      <c r="LS552" s="31"/>
      <c r="LT552" s="31"/>
      <c r="LU552" s="31"/>
      <c r="LV552" s="31"/>
      <c r="LW552" s="31"/>
      <c r="LX552" s="31"/>
      <c r="LY552" s="31"/>
      <c r="LZ552" s="31"/>
      <c r="MA552" s="31"/>
      <c r="MB552" s="31"/>
      <c r="MC552" s="31"/>
      <c r="MD552" s="31"/>
      <c r="ME552" s="31"/>
      <c r="MF552" s="31"/>
      <c r="MG552" s="31"/>
      <c r="MH552" s="31"/>
      <c r="MI552" s="31"/>
      <c r="MJ552" s="31"/>
      <c r="MK552" s="31"/>
      <c r="ML552" s="31"/>
      <c r="MM552" s="31"/>
      <c r="MN552" s="31"/>
      <c r="MO552" s="31"/>
      <c r="MP552" s="31"/>
      <c r="MQ552" s="31"/>
      <c r="MR552" s="31"/>
      <c r="MS552" s="31"/>
      <c r="MT552" s="31"/>
      <c r="MU552" s="31"/>
      <c r="MV552" s="31"/>
      <c r="MW552" s="31"/>
      <c r="MX552" s="31"/>
      <c r="MY552" s="31"/>
      <c r="MZ552" s="31"/>
      <c r="NA552" s="31"/>
      <c r="NB552" s="31"/>
      <c r="NC552" s="31"/>
      <c r="ND552" s="31"/>
      <c r="NE552" s="31"/>
      <c r="NF552" s="31"/>
      <c r="NG552" s="31"/>
      <c r="NH552" s="31"/>
      <c r="NI552" s="31"/>
      <c r="NJ552" s="31"/>
      <c r="NK552" s="31"/>
      <c r="NL552" s="31"/>
      <c r="NM552" s="31"/>
      <c r="NN552" s="31"/>
      <c r="NO552" s="31"/>
      <c r="NP552" s="31"/>
      <c r="NQ552" s="31"/>
      <c r="NR552" s="31"/>
      <c r="NS552" s="31"/>
      <c r="NT552" s="31"/>
      <c r="NU552" s="31"/>
      <c r="NV552" s="31"/>
      <c r="NW552" s="31"/>
      <c r="NX552" s="31"/>
      <c r="NY552" s="31"/>
      <c r="NZ552" s="31"/>
      <c r="OA552" s="31"/>
      <c r="OB552" s="31"/>
      <c r="OC552" s="31"/>
      <c r="OD552" s="31"/>
      <c r="OE552" s="31"/>
      <c r="OF552" s="31"/>
      <c r="OG552" s="31"/>
      <c r="OH552" s="31"/>
      <c r="OI552" s="31"/>
      <c r="OJ552" s="31"/>
      <c r="OK552" s="31"/>
      <c r="OL552" s="31"/>
      <c r="OM552" s="31"/>
      <c r="ON552" s="31"/>
      <c r="OO552" s="31"/>
      <c r="OP552" s="31"/>
      <c r="OQ552" s="31"/>
      <c r="OR552" s="31"/>
      <c r="OS552" s="31"/>
      <c r="OT552" s="31"/>
      <c r="OU552" s="31"/>
      <c r="OV552" s="31"/>
      <c r="OW552" s="31"/>
      <c r="OX552" s="31"/>
      <c r="OY552" s="31"/>
      <c r="OZ552" s="31"/>
      <c r="PA552" s="31"/>
      <c r="PB552" s="31"/>
      <c r="PC552" s="31"/>
      <c r="PD552" s="31"/>
      <c r="PE552" s="31"/>
      <c r="PF552" s="31"/>
      <c r="PG552" s="31"/>
      <c r="PH552" s="31"/>
      <c r="PI552" s="31"/>
      <c r="PJ552" s="31"/>
      <c r="PK552" s="31"/>
      <c r="PL552" s="31"/>
      <c r="PM552" s="31"/>
      <c r="PN552" s="31"/>
      <c r="PO552" s="31"/>
      <c r="PP552" s="31"/>
      <c r="PQ552" s="31"/>
      <c r="PR552" s="31"/>
      <c r="PS552" s="31"/>
      <c r="PT552" s="31"/>
      <c r="PU552" s="31"/>
      <c r="PV552" s="31"/>
      <c r="PW552" s="31"/>
      <c r="PX552" s="31"/>
      <c r="PY552" s="31"/>
      <c r="PZ552" s="31"/>
      <c r="QA552" s="31"/>
      <c r="QB552" s="31"/>
      <c r="QC552" s="31"/>
      <c r="QD552" s="31"/>
      <c r="QE552" s="31"/>
      <c r="QF552" s="31"/>
      <c r="QG552" s="31"/>
      <c r="QH552" s="31"/>
      <c r="QI552" s="31"/>
      <c r="QJ552" s="31"/>
      <c r="QK552" s="31"/>
      <c r="QL552" s="31"/>
      <c r="QM552" s="31"/>
      <c r="QN552" s="31"/>
      <c r="QO552" s="31"/>
      <c r="QP552" s="31"/>
      <c r="QQ552" s="31"/>
      <c r="QR552" s="31"/>
      <c r="QS552" s="31"/>
      <c r="QT552" s="31"/>
      <c r="QU552" s="31"/>
      <c r="QV552" s="31"/>
      <c r="QW552" s="31"/>
      <c r="QX552" s="31"/>
      <c r="QY552" s="31"/>
      <c r="QZ552" s="31"/>
      <c r="RA552" s="31"/>
      <c r="RB552" s="31"/>
      <c r="RC552" s="31"/>
      <c r="RD552" s="31"/>
      <c r="RE552" s="31"/>
      <c r="RF552" s="31"/>
      <c r="RG552" s="31"/>
      <c r="RH552" s="31"/>
      <c r="RI552" s="31"/>
      <c r="RJ552" s="31"/>
      <c r="RK552" s="31"/>
      <c r="RL552" s="31"/>
      <c r="RM552" s="31"/>
      <c r="RN552" s="31"/>
      <c r="RO552" s="31"/>
      <c r="RP552" s="31"/>
      <c r="RQ552" s="31"/>
      <c r="RR552" s="31"/>
      <c r="RS552" s="31"/>
      <c r="RT552" s="31"/>
      <c r="RU552" s="31"/>
      <c r="RV552" s="31"/>
      <c r="RW552" s="31"/>
      <c r="RX552" s="31"/>
      <c r="RY552" s="31"/>
      <c r="RZ552" s="31"/>
      <c r="SA552" s="31"/>
      <c r="SB552" s="31"/>
      <c r="SC552" s="31"/>
      <c r="SD552" s="31"/>
      <c r="SE552" s="31"/>
      <c r="SF552" s="31"/>
      <c r="SG552" s="31"/>
      <c r="SH552" s="31"/>
      <c r="SI552" s="31"/>
      <c r="SJ552" s="31"/>
      <c r="SK552" s="31"/>
      <c r="SL552" s="31"/>
      <c r="SM552" s="31"/>
      <c r="SN552" s="31"/>
      <c r="SO552" s="31"/>
      <c r="SP552" s="31"/>
      <c r="SQ552" s="31"/>
      <c r="SR552" s="31"/>
      <c r="SS552" s="31"/>
      <c r="ST552" s="31"/>
      <c r="SU552" s="31"/>
      <c r="SV552" s="31"/>
      <c r="SW552" s="31"/>
      <c r="SX552" s="31"/>
      <c r="SY552" s="31"/>
      <c r="SZ552" s="31"/>
      <c r="TA552" s="31"/>
      <c r="TB552" s="31"/>
      <c r="TC552" s="31"/>
      <c r="TD552" s="31"/>
      <c r="TE552" s="31"/>
      <c r="TF552" s="31"/>
      <c r="TG552" s="31"/>
      <c r="TH552" s="31"/>
      <c r="TI552" s="31"/>
      <c r="TJ552" s="31"/>
      <c r="TK552" s="31"/>
      <c r="TL552" s="31"/>
      <c r="TM552" s="31"/>
      <c r="TN552" s="31"/>
      <c r="TO552" s="31"/>
      <c r="TP552" s="31"/>
      <c r="TQ552" s="31"/>
      <c r="TR552" s="31"/>
      <c r="TS552" s="31"/>
      <c r="TT552" s="31"/>
      <c r="TU552" s="31"/>
      <c r="TV552" s="31"/>
      <c r="TW552" s="31"/>
      <c r="TX552" s="31"/>
      <c r="TY552" s="31"/>
      <c r="TZ552" s="31"/>
      <c r="UA552" s="31"/>
      <c r="UB552" s="31"/>
      <c r="UC552" s="31"/>
      <c r="UD552" s="31"/>
      <c r="UE552" s="31"/>
      <c r="UF552" s="31"/>
      <c r="UG552" s="33"/>
    </row>
    <row r="553" spans="1:553" ht="30.75" customHeight="1">
      <c r="A553" s="356" t="s">
        <v>15</v>
      </c>
      <c r="B553" s="356"/>
      <c r="C553" s="384" t="s">
        <v>69</v>
      </c>
      <c r="D553" s="376" t="s">
        <v>20</v>
      </c>
      <c r="E553" s="376" t="s">
        <v>325</v>
      </c>
      <c r="F553" s="385"/>
      <c r="G553" s="386" t="s">
        <v>935</v>
      </c>
      <c r="H553" s="370"/>
      <c r="I553" s="422">
        <v>86.5</v>
      </c>
      <c r="J553" s="1063">
        <v>62000</v>
      </c>
      <c r="K553" s="850">
        <v>2.5</v>
      </c>
      <c r="L553" s="366">
        <f>PRODUCT(I553:K553)</f>
        <v>13407500</v>
      </c>
      <c r="M553" s="366"/>
      <c r="N553" s="366"/>
      <c r="O553" s="366"/>
      <c r="P553" s="366"/>
      <c r="Q553" s="1135"/>
      <c r="R553" s="1467"/>
      <c r="S553" s="308"/>
      <c r="T553" s="308"/>
      <c r="U553" s="308"/>
      <c r="V553" s="308"/>
      <c r="W553" s="308"/>
      <c r="X553" s="308"/>
      <c r="Y553" s="308"/>
      <c r="Z553" s="604"/>
      <c r="AA553" s="308"/>
      <c r="AB553" s="308"/>
      <c r="AC553" s="449"/>
      <c r="AD553" s="452"/>
      <c r="AE553" s="452"/>
      <c r="AF553" s="452"/>
      <c r="AG553" s="452"/>
      <c r="AH553" s="452"/>
      <c r="AI553" s="452"/>
      <c r="AJ553" s="452"/>
      <c r="AK553" s="452"/>
      <c r="AL553" s="106"/>
      <c r="AM553" s="31"/>
      <c r="AN553" s="31"/>
      <c r="AO553" s="31"/>
      <c r="AP553" s="31"/>
      <c r="AQ553" s="31"/>
      <c r="AR553" s="31"/>
      <c r="AS553" s="31"/>
      <c r="AT553" s="31"/>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c r="CT553" s="31"/>
      <c r="CU553" s="31"/>
      <c r="CV553" s="31"/>
      <c r="CW553" s="31"/>
      <c r="CX553" s="31"/>
      <c r="CY553" s="31"/>
      <c r="CZ553" s="31"/>
      <c r="DA553" s="31"/>
      <c r="DB553" s="31"/>
      <c r="DC553" s="31"/>
      <c r="DD553" s="31"/>
      <c r="DE553" s="31"/>
      <c r="DF553" s="31"/>
      <c r="DG553" s="31"/>
      <c r="DH553" s="31"/>
      <c r="DI553" s="31"/>
      <c r="DJ553" s="31"/>
      <c r="DK553" s="31"/>
      <c r="DL553" s="31"/>
      <c r="DM553" s="31"/>
      <c r="DN553" s="31"/>
      <c r="DO553" s="31"/>
      <c r="DP553" s="31"/>
      <c r="DQ553" s="31"/>
      <c r="DR553" s="31"/>
      <c r="DS553" s="31"/>
      <c r="DT553" s="31"/>
      <c r="DU553" s="31"/>
      <c r="DV553" s="31"/>
      <c r="DW553" s="31"/>
      <c r="DX553" s="31"/>
      <c r="DY553" s="31"/>
      <c r="DZ553" s="31"/>
      <c r="EA553" s="31"/>
      <c r="EB553" s="31"/>
      <c r="EC553" s="31"/>
      <c r="ED553" s="31"/>
      <c r="EE553" s="31"/>
      <c r="EF553" s="31"/>
      <c r="EG553" s="31"/>
      <c r="EH553" s="31"/>
      <c r="EI553" s="31"/>
      <c r="EJ553" s="31"/>
      <c r="EK553" s="31"/>
      <c r="EL553" s="31"/>
      <c r="EM553" s="31"/>
      <c r="EN553" s="31"/>
      <c r="EO553" s="31"/>
      <c r="EP553" s="31"/>
      <c r="EQ553" s="31"/>
      <c r="ER553" s="31"/>
      <c r="ES553" s="31"/>
      <c r="ET553" s="31"/>
      <c r="EU553" s="31"/>
      <c r="EV553" s="31"/>
      <c r="EW553" s="31"/>
      <c r="EX553" s="31"/>
      <c r="EY553" s="31"/>
      <c r="EZ553" s="31"/>
      <c r="FA553" s="31"/>
      <c r="FB553" s="31"/>
      <c r="FC553" s="31"/>
      <c r="FD553" s="31"/>
      <c r="FE553" s="31"/>
      <c r="FF553" s="31"/>
      <c r="FG553" s="31"/>
      <c r="FH553" s="31"/>
      <c r="FI553" s="31"/>
      <c r="FJ553" s="31"/>
      <c r="FK553" s="31"/>
      <c r="FL553" s="31"/>
      <c r="FM553" s="31"/>
      <c r="FN553" s="31"/>
      <c r="FO553" s="31"/>
      <c r="FP553" s="31"/>
      <c r="FQ553" s="31"/>
      <c r="FR553" s="31"/>
      <c r="FS553" s="31"/>
      <c r="FT553" s="31"/>
      <c r="FU553" s="31"/>
      <c r="FV553" s="31"/>
      <c r="FW553" s="31"/>
      <c r="FX553" s="31"/>
      <c r="FY553" s="31"/>
      <c r="FZ553" s="31"/>
      <c r="GA553" s="31"/>
      <c r="GB553" s="31"/>
      <c r="GC553" s="31"/>
      <c r="GD553" s="31"/>
      <c r="GE553" s="31"/>
      <c r="GF553" s="31"/>
      <c r="GG553" s="31"/>
      <c r="GH553" s="31"/>
      <c r="GI553" s="31"/>
      <c r="GJ553" s="31"/>
      <c r="GK553" s="31"/>
      <c r="GL553" s="31"/>
      <c r="GM553" s="31"/>
      <c r="GN553" s="31"/>
      <c r="GO553" s="31"/>
      <c r="GP553" s="31"/>
      <c r="GQ553" s="31"/>
      <c r="GR553" s="31"/>
      <c r="GS553" s="31"/>
      <c r="GT553" s="31"/>
      <c r="GU553" s="31"/>
      <c r="GV553" s="31"/>
      <c r="GW553" s="31"/>
      <c r="GX553" s="31"/>
      <c r="GY553" s="31"/>
      <c r="GZ553" s="31"/>
      <c r="HA553" s="31"/>
      <c r="HB553" s="31"/>
      <c r="HC553" s="31"/>
      <c r="HD553" s="31"/>
      <c r="HE553" s="31"/>
      <c r="HF553" s="31"/>
      <c r="HG553" s="31"/>
      <c r="HH553" s="31"/>
      <c r="HI553" s="31"/>
      <c r="HJ553" s="31"/>
      <c r="HK553" s="31"/>
      <c r="HL553" s="31"/>
      <c r="HM553" s="31"/>
      <c r="HN553" s="31"/>
      <c r="HO553" s="31"/>
      <c r="HP553" s="31"/>
      <c r="HQ553" s="31"/>
      <c r="HR553" s="31"/>
      <c r="HS553" s="31"/>
      <c r="HT553" s="31"/>
      <c r="HU553" s="31"/>
      <c r="HV553" s="31"/>
      <c r="HW553" s="31"/>
      <c r="HX553" s="31"/>
      <c r="HY553" s="31"/>
      <c r="HZ553" s="31"/>
      <c r="IA553" s="31"/>
      <c r="IB553" s="31"/>
      <c r="IC553" s="31"/>
      <c r="ID553" s="31"/>
      <c r="IE553" s="31"/>
      <c r="IF553" s="31"/>
      <c r="IG553" s="31"/>
      <c r="IH553" s="31"/>
      <c r="II553" s="31"/>
      <c r="IJ553" s="31"/>
      <c r="IK553" s="31"/>
      <c r="IL553" s="31"/>
      <c r="IM553" s="31"/>
      <c r="IN553" s="31"/>
      <c r="IO553" s="31"/>
      <c r="IP553" s="31"/>
      <c r="IQ553" s="31"/>
      <c r="IR553" s="31"/>
      <c r="IS553" s="31"/>
      <c r="IT553" s="31"/>
      <c r="IU553" s="31"/>
      <c r="IV553" s="31"/>
      <c r="IW553" s="31"/>
      <c r="IX553" s="31"/>
      <c r="IY553" s="31"/>
      <c r="IZ553" s="31"/>
      <c r="JA553" s="31"/>
      <c r="JB553" s="31"/>
      <c r="JC553" s="31"/>
      <c r="JD553" s="31"/>
      <c r="JE553" s="31"/>
      <c r="JF553" s="31"/>
      <c r="JG553" s="31"/>
      <c r="JH553" s="31"/>
      <c r="JI553" s="31"/>
      <c r="JJ553" s="31"/>
      <c r="JK553" s="31"/>
      <c r="JL553" s="31"/>
      <c r="JM553" s="31"/>
      <c r="JN553" s="31"/>
      <c r="JO553" s="31"/>
      <c r="JP553" s="31"/>
      <c r="JQ553" s="31"/>
      <c r="JR553" s="31"/>
      <c r="JS553" s="31"/>
      <c r="JT553" s="31"/>
      <c r="JU553" s="31"/>
      <c r="JV553" s="31"/>
      <c r="JW553" s="31"/>
      <c r="JX553" s="31"/>
      <c r="JY553" s="31"/>
      <c r="JZ553" s="31"/>
      <c r="KA553" s="31"/>
      <c r="KB553" s="31"/>
      <c r="KC553" s="31"/>
      <c r="KD553" s="31"/>
      <c r="KE553" s="31"/>
      <c r="KF553" s="31"/>
      <c r="KG553" s="31"/>
      <c r="KH553" s="31"/>
      <c r="KI553" s="31"/>
      <c r="KJ553" s="31"/>
      <c r="KK553" s="31"/>
      <c r="KL553" s="31"/>
      <c r="KM553" s="31"/>
      <c r="KN553" s="31"/>
      <c r="KO553" s="31"/>
      <c r="KP553" s="31"/>
      <c r="KQ553" s="31"/>
      <c r="KR553" s="31"/>
      <c r="KS553" s="31"/>
      <c r="KT553" s="31"/>
      <c r="KU553" s="31"/>
      <c r="KV553" s="31"/>
      <c r="KW553" s="31"/>
      <c r="KX553" s="31"/>
      <c r="KY553" s="31"/>
      <c r="KZ553" s="31"/>
      <c r="LA553" s="31"/>
      <c r="LB553" s="31"/>
      <c r="LC553" s="31"/>
      <c r="LD553" s="31"/>
      <c r="LE553" s="31"/>
      <c r="LF553" s="31"/>
      <c r="LG553" s="31"/>
      <c r="LH553" s="31"/>
      <c r="LI553" s="31"/>
      <c r="LJ553" s="31"/>
      <c r="LK553" s="31"/>
      <c r="LL553" s="31"/>
      <c r="LM553" s="31"/>
      <c r="LN553" s="31"/>
      <c r="LO553" s="31"/>
      <c r="LP553" s="31"/>
      <c r="LQ553" s="31"/>
      <c r="LR553" s="31"/>
      <c r="LS553" s="31"/>
      <c r="LT553" s="31"/>
      <c r="LU553" s="31"/>
      <c r="LV553" s="31"/>
      <c r="LW553" s="31"/>
      <c r="LX553" s="31"/>
      <c r="LY553" s="31"/>
      <c r="LZ553" s="31"/>
      <c r="MA553" s="31"/>
      <c r="MB553" s="31"/>
      <c r="MC553" s="31"/>
      <c r="MD553" s="31"/>
      <c r="ME553" s="31"/>
      <c r="MF553" s="31"/>
      <c r="MG553" s="31"/>
      <c r="MH553" s="31"/>
      <c r="MI553" s="31"/>
      <c r="MJ553" s="31"/>
      <c r="MK553" s="31"/>
      <c r="ML553" s="31"/>
      <c r="MM553" s="31"/>
      <c r="MN553" s="31"/>
      <c r="MO553" s="31"/>
      <c r="MP553" s="31"/>
      <c r="MQ553" s="31"/>
      <c r="MR553" s="31"/>
      <c r="MS553" s="31"/>
      <c r="MT553" s="31"/>
      <c r="MU553" s="31"/>
      <c r="MV553" s="31"/>
      <c r="MW553" s="31"/>
      <c r="MX553" s="31"/>
      <c r="MY553" s="31"/>
      <c r="MZ553" s="31"/>
      <c r="NA553" s="31"/>
      <c r="NB553" s="31"/>
      <c r="NC553" s="31"/>
      <c r="ND553" s="31"/>
      <c r="NE553" s="31"/>
      <c r="NF553" s="31"/>
      <c r="NG553" s="31"/>
      <c r="NH553" s="31"/>
      <c r="NI553" s="31"/>
      <c r="NJ553" s="31"/>
      <c r="NK553" s="31"/>
      <c r="NL553" s="31"/>
      <c r="NM553" s="31"/>
      <c r="NN553" s="31"/>
      <c r="NO553" s="31"/>
      <c r="NP553" s="31"/>
      <c r="NQ553" s="31"/>
      <c r="NR553" s="31"/>
      <c r="NS553" s="31"/>
      <c r="NT553" s="31"/>
      <c r="NU553" s="31"/>
      <c r="NV553" s="31"/>
      <c r="NW553" s="31"/>
      <c r="NX553" s="31"/>
      <c r="NY553" s="31"/>
      <c r="NZ553" s="31"/>
      <c r="OA553" s="31"/>
      <c r="OB553" s="31"/>
      <c r="OC553" s="31"/>
      <c r="OD553" s="31"/>
      <c r="OE553" s="31"/>
      <c r="OF553" s="31"/>
      <c r="OG553" s="31"/>
      <c r="OH553" s="31"/>
      <c r="OI553" s="31"/>
      <c r="OJ553" s="31"/>
      <c r="OK553" s="31"/>
      <c r="OL553" s="31"/>
      <c r="OM553" s="31"/>
      <c r="ON553" s="31"/>
      <c r="OO553" s="31"/>
      <c r="OP553" s="31"/>
      <c r="OQ553" s="31"/>
      <c r="OR553" s="31"/>
      <c r="OS553" s="31"/>
      <c r="OT553" s="31"/>
      <c r="OU553" s="31"/>
      <c r="OV553" s="31"/>
      <c r="OW553" s="31"/>
      <c r="OX553" s="31"/>
      <c r="OY553" s="31"/>
      <c r="OZ553" s="31"/>
      <c r="PA553" s="31"/>
      <c r="PB553" s="31"/>
      <c r="PC553" s="31"/>
      <c r="PD553" s="31"/>
      <c r="PE553" s="31"/>
      <c r="PF553" s="31"/>
      <c r="PG553" s="31"/>
      <c r="PH553" s="31"/>
      <c r="PI553" s="31"/>
      <c r="PJ553" s="31"/>
      <c r="PK553" s="31"/>
      <c r="PL553" s="31"/>
      <c r="PM553" s="31"/>
      <c r="PN553" s="31"/>
      <c r="PO553" s="31"/>
      <c r="PP553" s="31"/>
      <c r="PQ553" s="31"/>
      <c r="PR553" s="31"/>
      <c r="PS553" s="31"/>
      <c r="PT553" s="31"/>
      <c r="PU553" s="31"/>
      <c r="PV553" s="31"/>
      <c r="PW553" s="31"/>
      <c r="PX553" s="31"/>
      <c r="PY553" s="31"/>
      <c r="PZ553" s="31"/>
      <c r="QA553" s="31"/>
      <c r="QB553" s="31"/>
      <c r="QC553" s="31"/>
      <c r="QD553" s="31"/>
      <c r="QE553" s="31"/>
      <c r="QF553" s="31"/>
      <c r="QG553" s="31"/>
      <c r="QH553" s="31"/>
      <c r="QI553" s="31"/>
      <c r="QJ553" s="31"/>
      <c r="QK553" s="31"/>
      <c r="QL553" s="31"/>
      <c r="QM553" s="31"/>
      <c r="QN553" s="31"/>
      <c r="QO553" s="31"/>
      <c r="QP553" s="31"/>
      <c r="QQ553" s="31"/>
      <c r="QR553" s="31"/>
      <c r="QS553" s="31"/>
      <c r="QT553" s="31"/>
      <c r="QU553" s="31"/>
      <c r="QV553" s="31"/>
      <c r="QW553" s="31"/>
      <c r="QX553" s="31"/>
      <c r="QY553" s="31"/>
      <c r="QZ553" s="31"/>
      <c r="RA553" s="31"/>
      <c r="RB553" s="31"/>
      <c r="RC553" s="31"/>
      <c r="RD553" s="31"/>
      <c r="RE553" s="31"/>
      <c r="RF553" s="31"/>
      <c r="RG553" s="31"/>
      <c r="RH553" s="31"/>
      <c r="RI553" s="31"/>
      <c r="RJ553" s="31"/>
      <c r="RK553" s="31"/>
      <c r="RL553" s="31"/>
      <c r="RM553" s="31"/>
      <c r="RN553" s="31"/>
      <c r="RO553" s="31"/>
      <c r="RP553" s="31"/>
      <c r="RQ553" s="31"/>
      <c r="RR553" s="31"/>
      <c r="RS553" s="31"/>
      <c r="RT553" s="31"/>
      <c r="RU553" s="31"/>
      <c r="RV553" s="31"/>
      <c r="RW553" s="31"/>
      <c r="RX553" s="31"/>
      <c r="RY553" s="31"/>
      <c r="RZ553" s="31"/>
      <c r="SA553" s="31"/>
      <c r="SB553" s="31"/>
      <c r="SC553" s="31"/>
      <c r="SD553" s="31"/>
      <c r="SE553" s="31"/>
      <c r="SF553" s="31"/>
      <c r="SG553" s="31"/>
      <c r="SH553" s="31"/>
      <c r="SI553" s="31"/>
      <c r="SJ553" s="31"/>
      <c r="SK553" s="31"/>
      <c r="SL553" s="31"/>
      <c r="SM553" s="31"/>
      <c r="SN553" s="31"/>
      <c r="SO553" s="31"/>
      <c r="SP553" s="31"/>
      <c r="SQ553" s="31"/>
      <c r="SR553" s="31"/>
      <c r="SS553" s="31"/>
      <c r="ST553" s="31"/>
      <c r="SU553" s="31"/>
      <c r="SV553" s="31"/>
      <c r="SW553" s="31"/>
      <c r="SX553" s="31"/>
      <c r="SY553" s="31"/>
      <c r="SZ553" s="31"/>
      <c r="TA553" s="31"/>
      <c r="TB553" s="31"/>
      <c r="TC553" s="31"/>
      <c r="TD553" s="31"/>
      <c r="TE553" s="31"/>
      <c r="TF553" s="31"/>
      <c r="TG553" s="31"/>
      <c r="TH553" s="31"/>
      <c r="TI553" s="31"/>
      <c r="TJ553" s="31"/>
      <c r="TK553" s="31"/>
      <c r="TL553" s="31"/>
      <c r="TM553" s="31"/>
      <c r="TN553" s="31"/>
      <c r="TO553" s="31"/>
      <c r="TP553" s="31"/>
      <c r="TQ553" s="31"/>
      <c r="TR553" s="31"/>
      <c r="TS553" s="31"/>
      <c r="TT553" s="31"/>
      <c r="TU553" s="31"/>
      <c r="TV553" s="31"/>
      <c r="TW553" s="31"/>
      <c r="TX553" s="31"/>
      <c r="TY553" s="31"/>
      <c r="TZ553" s="31"/>
      <c r="UA553" s="31"/>
      <c r="UB553" s="31"/>
      <c r="UC553" s="31"/>
      <c r="UD553" s="31"/>
      <c r="UE553" s="31"/>
      <c r="UF553" s="31"/>
      <c r="UG553" s="33"/>
    </row>
    <row r="554" spans="1:553" ht="45" customHeight="1">
      <c r="A554" s="356" t="s">
        <v>61</v>
      </c>
      <c r="B554" s="428"/>
      <c r="C554" s="1506" t="s">
        <v>62</v>
      </c>
      <c r="D554" s="1507"/>
      <c r="E554" s="1507"/>
      <c r="F554" s="1508"/>
      <c r="G554" s="429"/>
      <c r="H554" s="359"/>
      <c r="I554" s="359"/>
      <c r="J554" s="357"/>
      <c r="K554" s="364"/>
      <c r="L554" s="356"/>
      <c r="M554" s="356"/>
      <c r="N554" s="356"/>
      <c r="O554" s="356"/>
      <c r="P554" s="358">
        <f>L554</f>
        <v>0</v>
      </c>
      <c r="Q554" s="610"/>
      <c r="R554" s="1226" t="s">
        <v>63</v>
      </c>
      <c r="S554" s="308"/>
      <c r="T554" s="308"/>
      <c r="U554" s="308"/>
      <c r="V554" s="308"/>
      <c r="W554" s="308"/>
      <c r="X554" s="308"/>
      <c r="Y554" s="308"/>
      <c r="Z554" s="604"/>
      <c r="AA554" s="308"/>
      <c r="AB554" s="308"/>
      <c r="AC554" s="454"/>
      <c r="AD554" s="454"/>
      <c r="AE554" s="454"/>
      <c r="AF554" s="454"/>
      <c r="AG554" s="454"/>
      <c r="AH554" s="454"/>
      <c r="AI554" s="454"/>
      <c r="AJ554" s="454"/>
      <c r="AK554" s="455"/>
      <c r="AL554" s="110"/>
      <c r="AM554" s="34"/>
      <c r="AN554" s="34"/>
      <c r="AO554" s="34"/>
      <c r="AP554" s="34"/>
      <c r="AQ554" s="34"/>
      <c r="AR554" s="34"/>
      <c r="AS554" s="35"/>
      <c r="AT554" s="35"/>
      <c r="AU554" s="35"/>
      <c r="AV554" s="35"/>
      <c r="AW554" s="35"/>
      <c r="AX554" s="35"/>
      <c r="AY554" s="35"/>
      <c r="AZ554" s="35"/>
      <c r="BA554" s="35"/>
      <c r="BB554" s="35"/>
      <c r="BC554" s="35"/>
      <c r="BD554" s="35"/>
      <c r="BE554" s="35"/>
      <c r="BF554" s="35"/>
      <c r="BG554" s="35"/>
      <c r="BH554" s="35"/>
      <c r="BI554" s="35"/>
      <c r="BJ554" s="35"/>
      <c r="BK554" s="35"/>
      <c r="BL554" s="35"/>
      <c r="BM554" s="35"/>
      <c r="BN554" s="35"/>
      <c r="BO554" s="35"/>
      <c r="BP554" s="36"/>
      <c r="BQ554" s="36"/>
      <c r="BR554" s="36"/>
      <c r="BS554" s="36"/>
      <c r="BT554" s="36"/>
      <c r="BU554" s="36"/>
      <c r="BV554" s="36"/>
      <c r="BW554" s="36"/>
      <c r="BX554" s="36"/>
      <c r="BY554" s="36"/>
      <c r="BZ554" s="36"/>
      <c r="CA554" s="36"/>
      <c r="CB554" s="36"/>
      <c r="CC554" s="36"/>
      <c r="CD554" s="36"/>
      <c r="CE554" s="36"/>
      <c r="CF554" s="36"/>
      <c r="CG554" s="36"/>
      <c r="CH554" s="36"/>
      <c r="CI554" s="36"/>
      <c r="CJ554" s="36"/>
      <c r="CK554" s="36"/>
      <c r="CL554" s="36"/>
      <c r="CM554" s="36"/>
      <c r="CN554" s="36"/>
      <c r="CO554" s="36"/>
      <c r="CP554" s="36"/>
      <c r="CQ554" s="36"/>
      <c r="CR554" s="36"/>
      <c r="CS554" s="36"/>
      <c r="CT554" s="36"/>
      <c r="CU554" s="36"/>
      <c r="CV554" s="36"/>
      <c r="CW554" s="36"/>
      <c r="CX554" s="36"/>
      <c r="CY554" s="36"/>
      <c r="CZ554" s="36"/>
      <c r="DA554" s="36"/>
      <c r="DB554" s="36"/>
      <c r="DC554" s="36"/>
      <c r="DD554" s="36"/>
      <c r="DE554" s="36"/>
      <c r="DF554" s="36"/>
      <c r="DG554" s="36"/>
      <c r="DH554" s="36"/>
      <c r="DI554" s="36"/>
      <c r="DJ554" s="36"/>
      <c r="DK554" s="36"/>
      <c r="DL554" s="36"/>
      <c r="DM554" s="36"/>
      <c r="DN554" s="36"/>
      <c r="DO554" s="36"/>
      <c r="DP554" s="36"/>
      <c r="DQ554" s="36"/>
      <c r="DR554" s="36"/>
      <c r="DS554" s="36"/>
      <c r="DT554" s="36"/>
      <c r="DU554" s="36"/>
      <c r="DV554" s="36"/>
      <c r="DW554" s="36"/>
      <c r="DX554" s="36"/>
      <c r="DY554" s="36"/>
      <c r="DZ554" s="36"/>
      <c r="EA554" s="36"/>
      <c r="EB554" s="36"/>
      <c r="EC554" s="36"/>
      <c r="ED554" s="36"/>
      <c r="EE554" s="36"/>
      <c r="EF554" s="36"/>
      <c r="EG554" s="36"/>
      <c r="EH554" s="36"/>
      <c r="EI554" s="36"/>
      <c r="EJ554" s="36"/>
      <c r="EK554" s="36"/>
      <c r="EL554" s="36"/>
      <c r="EM554" s="36"/>
      <c r="EN554" s="36"/>
      <c r="EO554" s="36"/>
      <c r="EP554" s="36"/>
      <c r="EQ554" s="36"/>
      <c r="ER554" s="36"/>
      <c r="ES554" s="36"/>
      <c r="ET554" s="36"/>
      <c r="EU554" s="36"/>
      <c r="EV554" s="36"/>
      <c r="EW554" s="36"/>
      <c r="EX554" s="36"/>
      <c r="EY554" s="36"/>
      <c r="EZ554" s="36"/>
      <c r="FA554" s="36"/>
      <c r="FB554" s="36"/>
      <c r="FC554" s="36"/>
      <c r="FD554" s="36"/>
      <c r="FE554" s="36"/>
      <c r="FF554" s="36"/>
      <c r="FG554" s="36"/>
      <c r="FH554" s="36"/>
      <c r="FI554" s="36"/>
      <c r="FJ554" s="36"/>
      <c r="FK554" s="36"/>
      <c r="FL554" s="36"/>
      <c r="FM554" s="36"/>
      <c r="FN554" s="36"/>
      <c r="FO554" s="36"/>
      <c r="FP554" s="36"/>
      <c r="FQ554" s="36"/>
      <c r="FR554" s="36"/>
      <c r="FS554" s="36"/>
      <c r="FT554" s="36"/>
      <c r="FU554" s="36"/>
      <c r="FV554" s="36"/>
      <c r="FW554" s="36"/>
      <c r="FX554" s="36"/>
      <c r="FY554" s="36"/>
      <c r="FZ554" s="36"/>
      <c r="GA554" s="36"/>
      <c r="GB554" s="36"/>
      <c r="GC554" s="36"/>
      <c r="GD554" s="36"/>
      <c r="GE554" s="36"/>
      <c r="GF554" s="36"/>
      <c r="GG554" s="36"/>
      <c r="GH554" s="36"/>
      <c r="GI554" s="36"/>
      <c r="GJ554" s="36"/>
      <c r="GK554" s="36"/>
      <c r="GL554" s="36"/>
      <c r="GM554" s="36"/>
      <c r="GN554" s="36"/>
      <c r="GO554" s="36"/>
      <c r="GP554" s="36"/>
      <c r="GQ554" s="36"/>
      <c r="GR554" s="36"/>
      <c r="GS554" s="36"/>
      <c r="GT554" s="36"/>
      <c r="GU554" s="36"/>
      <c r="GV554" s="36"/>
      <c r="GW554" s="36"/>
      <c r="GX554" s="36"/>
      <c r="GY554" s="36"/>
      <c r="GZ554" s="36"/>
      <c r="HA554" s="36"/>
      <c r="HB554" s="36"/>
      <c r="HC554" s="36"/>
      <c r="HD554" s="36"/>
      <c r="HE554" s="36"/>
      <c r="HF554" s="36"/>
      <c r="HG554" s="36"/>
      <c r="HH554" s="36"/>
      <c r="HI554" s="36"/>
      <c r="HJ554" s="36"/>
      <c r="HK554" s="36"/>
      <c r="HL554" s="36"/>
      <c r="HM554" s="36"/>
      <c r="HN554" s="36"/>
      <c r="HO554" s="36"/>
      <c r="HP554" s="36"/>
      <c r="HQ554" s="36"/>
      <c r="HR554" s="36"/>
      <c r="HS554" s="36"/>
      <c r="HT554" s="36"/>
      <c r="HU554" s="36"/>
      <c r="HV554" s="36"/>
      <c r="HW554" s="36"/>
      <c r="HX554" s="36"/>
      <c r="HY554" s="36"/>
      <c r="HZ554" s="36"/>
      <c r="IA554" s="36"/>
      <c r="IB554" s="36"/>
      <c r="IC554" s="36"/>
      <c r="ID554" s="36"/>
      <c r="IE554" s="36"/>
      <c r="IF554" s="36"/>
      <c r="IG554" s="36"/>
      <c r="IH554" s="36"/>
      <c r="II554" s="36"/>
      <c r="IJ554" s="36"/>
      <c r="IK554" s="36"/>
      <c r="IL554" s="36"/>
      <c r="IM554" s="36"/>
      <c r="IN554" s="36"/>
      <c r="IO554" s="36"/>
      <c r="IP554" s="36"/>
      <c r="IQ554" s="36"/>
      <c r="IR554" s="36"/>
      <c r="IS554" s="36"/>
      <c r="IT554" s="36"/>
      <c r="IU554" s="36"/>
      <c r="IV554" s="36"/>
      <c r="IW554" s="36"/>
      <c r="IX554" s="36"/>
      <c r="IY554" s="36"/>
      <c r="IZ554" s="36"/>
      <c r="JA554" s="36"/>
      <c r="JB554" s="36"/>
      <c r="JC554" s="36"/>
      <c r="JD554" s="36"/>
      <c r="JE554" s="36"/>
      <c r="JF554" s="36"/>
      <c r="JG554" s="36"/>
      <c r="JH554" s="36"/>
      <c r="JI554" s="36"/>
      <c r="JJ554" s="36"/>
      <c r="JK554" s="36"/>
      <c r="JL554" s="36"/>
      <c r="JM554" s="36"/>
      <c r="JN554" s="36"/>
      <c r="JO554" s="36"/>
      <c r="JP554" s="36"/>
      <c r="JQ554" s="36"/>
      <c r="JR554" s="36"/>
      <c r="JS554" s="36"/>
      <c r="JT554" s="36"/>
      <c r="JU554" s="36"/>
      <c r="JV554" s="36"/>
      <c r="JW554" s="36"/>
      <c r="JX554" s="36"/>
      <c r="JY554" s="36"/>
      <c r="JZ554" s="36"/>
      <c r="KA554" s="36"/>
      <c r="KB554" s="36"/>
      <c r="KC554" s="36"/>
      <c r="KD554" s="36"/>
      <c r="KE554" s="36"/>
      <c r="KF554" s="36"/>
      <c r="KG554" s="36"/>
      <c r="KH554" s="36"/>
      <c r="KI554" s="36"/>
      <c r="KJ554" s="36"/>
      <c r="KK554" s="36"/>
      <c r="KL554" s="36"/>
      <c r="KM554" s="36"/>
      <c r="KN554" s="36"/>
      <c r="KO554" s="36"/>
      <c r="KP554" s="36"/>
      <c r="KQ554" s="36"/>
      <c r="KR554" s="36"/>
      <c r="KS554" s="36"/>
      <c r="KT554" s="36"/>
      <c r="KU554" s="36"/>
      <c r="KV554" s="36"/>
      <c r="KW554" s="36"/>
      <c r="KX554" s="36"/>
      <c r="KY554" s="36"/>
      <c r="KZ554" s="36"/>
      <c r="LA554" s="36"/>
      <c r="LB554" s="36"/>
      <c r="LC554" s="36"/>
      <c r="LD554" s="36"/>
      <c r="LE554" s="36"/>
      <c r="LF554" s="36"/>
      <c r="LG554" s="36"/>
      <c r="LH554" s="36"/>
      <c r="LI554" s="36"/>
      <c r="LJ554" s="36"/>
      <c r="LK554" s="36"/>
      <c r="LL554" s="36"/>
      <c r="LM554" s="36"/>
      <c r="LN554" s="36"/>
      <c r="LO554" s="36"/>
      <c r="LP554" s="36"/>
      <c r="LQ554" s="36"/>
      <c r="LR554" s="36"/>
      <c r="LS554" s="36"/>
      <c r="LT554" s="36"/>
      <c r="LU554" s="36"/>
      <c r="LV554" s="36"/>
      <c r="LW554" s="36"/>
      <c r="LX554" s="36"/>
      <c r="LY554" s="36"/>
      <c r="LZ554" s="36"/>
      <c r="MA554" s="36"/>
      <c r="MB554" s="36"/>
      <c r="MC554" s="36"/>
      <c r="MD554" s="36"/>
      <c r="ME554" s="36"/>
      <c r="MF554" s="36"/>
      <c r="MG554" s="36"/>
      <c r="MH554" s="36"/>
      <c r="MI554" s="36"/>
      <c r="MJ554" s="36"/>
      <c r="MK554" s="36"/>
      <c r="ML554" s="36"/>
      <c r="MM554" s="36"/>
      <c r="MN554" s="36"/>
      <c r="MO554" s="36"/>
      <c r="MP554" s="36"/>
      <c r="MQ554" s="36"/>
      <c r="MR554" s="36"/>
      <c r="MS554" s="36"/>
      <c r="MT554" s="36"/>
      <c r="MU554" s="36"/>
      <c r="MV554" s="36"/>
      <c r="MW554" s="36"/>
      <c r="MX554" s="36"/>
      <c r="MY554" s="36"/>
      <c r="MZ554" s="36"/>
      <c r="NA554" s="36"/>
      <c r="NB554" s="36"/>
      <c r="NC554" s="36"/>
      <c r="ND554" s="36"/>
      <c r="NE554" s="36"/>
      <c r="NF554" s="36"/>
      <c r="NG554" s="36"/>
      <c r="NH554" s="36"/>
      <c r="NI554" s="36"/>
      <c r="NJ554" s="36"/>
      <c r="NK554" s="36"/>
      <c r="NL554" s="36"/>
      <c r="NM554" s="36"/>
      <c r="NN554" s="36"/>
      <c r="NO554" s="36"/>
      <c r="NP554" s="36"/>
      <c r="NQ554" s="36"/>
      <c r="NR554" s="36"/>
      <c r="NS554" s="36"/>
      <c r="NT554" s="36"/>
      <c r="NU554" s="36"/>
      <c r="NV554" s="36"/>
      <c r="NW554" s="36"/>
      <c r="NX554" s="36"/>
      <c r="NY554" s="36"/>
      <c r="NZ554" s="36"/>
      <c r="OA554" s="36"/>
      <c r="OB554" s="36"/>
      <c r="OC554" s="36"/>
      <c r="OD554" s="36"/>
      <c r="OE554" s="36"/>
      <c r="OF554" s="36"/>
      <c r="OG554" s="36"/>
      <c r="OH554" s="36"/>
      <c r="OI554" s="36"/>
      <c r="OJ554" s="36"/>
      <c r="OK554" s="36"/>
      <c r="OL554" s="36"/>
      <c r="OM554" s="36"/>
      <c r="ON554" s="36"/>
      <c r="OO554" s="36"/>
      <c r="OP554" s="36"/>
      <c r="OQ554" s="36"/>
      <c r="OR554" s="36"/>
      <c r="OS554" s="36"/>
      <c r="OT554" s="36"/>
      <c r="OU554" s="36"/>
      <c r="OV554" s="36"/>
      <c r="OW554" s="36"/>
      <c r="OX554" s="36"/>
      <c r="OY554" s="36"/>
      <c r="OZ554" s="36"/>
      <c r="PA554" s="36"/>
      <c r="PB554" s="36"/>
      <c r="PC554" s="36"/>
      <c r="PD554" s="36"/>
      <c r="PE554" s="36"/>
      <c r="PF554" s="36"/>
      <c r="PG554" s="36"/>
      <c r="PH554" s="36"/>
      <c r="PI554" s="36"/>
      <c r="PJ554" s="36"/>
      <c r="PK554" s="36"/>
      <c r="PL554" s="36"/>
      <c r="PM554" s="36"/>
      <c r="PN554" s="36"/>
      <c r="PO554" s="36"/>
      <c r="PP554" s="36"/>
      <c r="PQ554" s="36"/>
      <c r="PR554" s="36"/>
      <c r="PS554" s="36"/>
      <c r="PT554" s="36"/>
      <c r="PU554" s="36"/>
      <c r="PV554" s="36"/>
      <c r="PW554" s="36"/>
      <c r="PX554" s="36"/>
      <c r="PY554" s="36"/>
      <c r="PZ554" s="36"/>
      <c r="QA554" s="36"/>
      <c r="QB554" s="36"/>
      <c r="QC554" s="36"/>
      <c r="QD554" s="36"/>
      <c r="QE554" s="36"/>
      <c r="QF554" s="36"/>
      <c r="QG554" s="36"/>
      <c r="QH554" s="36"/>
      <c r="QI554" s="36"/>
      <c r="QJ554" s="36"/>
      <c r="QK554" s="36"/>
      <c r="QL554" s="36"/>
      <c r="QM554" s="36"/>
      <c r="QN554" s="36"/>
      <c r="QO554" s="36"/>
      <c r="QP554" s="36"/>
      <c r="QQ554" s="36"/>
      <c r="QR554" s="36"/>
      <c r="QS554" s="36"/>
      <c r="QT554" s="36"/>
      <c r="QU554" s="36"/>
      <c r="QV554" s="36"/>
      <c r="QW554" s="36"/>
      <c r="QX554" s="36"/>
      <c r="QY554" s="36"/>
      <c r="QZ554" s="36"/>
      <c r="RA554" s="36"/>
      <c r="RB554" s="36"/>
      <c r="RC554" s="36"/>
      <c r="RD554" s="36"/>
      <c r="RE554" s="36"/>
      <c r="RF554" s="36"/>
      <c r="RG554" s="36"/>
      <c r="RH554" s="36"/>
      <c r="RI554" s="36"/>
      <c r="RJ554" s="36"/>
      <c r="RK554" s="36"/>
      <c r="RL554" s="36"/>
      <c r="RM554" s="36"/>
      <c r="RN554" s="36"/>
      <c r="RO554" s="36"/>
      <c r="RP554" s="36"/>
      <c r="RQ554" s="36"/>
      <c r="RR554" s="36"/>
      <c r="RS554" s="36"/>
      <c r="RT554" s="36"/>
      <c r="RU554" s="36"/>
      <c r="RV554" s="36"/>
      <c r="RW554" s="36"/>
      <c r="RX554" s="36"/>
      <c r="RY554" s="36"/>
      <c r="RZ554" s="36"/>
      <c r="SA554" s="36"/>
      <c r="SB554" s="36"/>
      <c r="SC554" s="36"/>
      <c r="SD554" s="36"/>
      <c r="SE554" s="36"/>
      <c r="SF554" s="36"/>
      <c r="SG554" s="36"/>
      <c r="SH554" s="36"/>
      <c r="SI554" s="36"/>
      <c r="SJ554" s="36"/>
      <c r="SK554" s="36"/>
      <c r="SL554" s="36"/>
      <c r="SM554" s="36"/>
      <c r="SN554" s="36"/>
      <c r="SO554" s="36"/>
      <c r="SP554" s="36"/>
      <c r="SQ554" s="36"/>
      <c r="SR554" s="36"/>
      <c r="SS554" s="36"/>
      <c r="ST554" s="36"/>
      <c r="SU554" s="36"/>
      <c r="SV554" s="36"/>
      <c r="SW554" s="36"/>
      <c r="SX554" s="36"/>
      <c r="SY554" s="36"/>
      <c r="SZ554" s="36"/>
      <c r="TA554" s="36"/>
      <c r="TB554" s="36"/>
      <c r="TC554" s="36"/>
      <c r="TD554" s="36"/>
      <c r="TE554" s="36"/>
      <c r="TF554" s="36"/>
      <c r="TG554" s="36"/>
      <c r="TH554" s="36"/>
      <c r="TI554" s="36"/>
      <c r="TJ554" s="36"/>
      <c r="TK554" s="36"/>
      <c r="TL554" s="36"/>
      <c r="TM554" s="36"/>
      <c r="TN554" s="36"/>
      <c r="TO554" s="36"/>
      <c r="TP554" s="36"/>
      <c r="TQ554" s="36"/>
      <c r="TR554" s="36"/>
      <c r="TS554" s="36"/>
      <c r="TT554" s="36"/>
      <c r="TU554" s="36"/>
      <c r="TV554" s="36"/>
      <c r="TW554" s="36"/>
      <c r="TX554" s="36"/>
      <c r="TY554" s="36"/>
      <c r="TZ554" s="36"/>
      <c r="UA554" s="36"/>
      <c r="UB554" s="36"/>
      <c r="UC554" s="36"/>
      <c r="UD554" s="36"/>
      <c r="UE554" s="36"/>
      <c r="UF554" s="36"/>
      <c r="UG554" s="37"/>
    </row>
    <row r="555" spans="1:553" ht="50.25" customHeight="1">
      <c r="A555" s="356"/>
      <c r="B555" s="428"/>
      <c r="C555" s="1451" t="s">
        <v>390</v>
      </c>
      <c r="D555" s="1389"/>
      <c r="E555" s="1389"/>
      <c r="F555" s="1390"/>
      <c r="G555" s="386" t="s">
        <v>65</v>
      </c>
      <c r="H555" s="370"/>
      <c r="I555" s="1056"/>
      <c r="J555" s="368"/>
      <c r="K555" s="371"/>
      <c r="L555" s="366"/>
      <c r="M555" s="356"/>
      <c r="N555" s="356"/>
      <c r="O555" s="356"/>
      <c r="P555" s="356"/>
      <c r="Q555" s="610"/>
      <c r="R555" s="1226"/>
      <c r="S555" s="308"/>
      <c r="T555" s="308"/>
      <c r="U555" s="308"/>
      <c r="V555" s="308"/>
      <c r="W555" s="308"/>
      <c r="X555" s="308"/>
      <c r="Y555" s="308"/>
      <c r="Z555" s="604"/>
      <c r="AA555" s="308"/>
      <c r="AB555" s="308"/>
      <c r="AC555" s="454"/>
      <c r="AD555" s="454"/>
      <c r="AE555" s="454"/>
      <c r="AF555" s="454"/>
      <c r="AG555" s="454"/>
      <c r="AH555" s="454"/>
      <c r="AI555" s="454"/>
      <c r="AJ555" s="454"/>
      <c r="AK555" s="455"/>
      <c r="AL555" s="110"/>
      <c r="AM555" s="34"/>
      <c r="AN555" s="34"/>
      <c r="AO555" s="34"/>
      <c r="AP555" s="34"/>
      <c r="AQ555" s="34"/>
      <c r="AR555" s="34"/>
      <c r="AS555" s="35"/>
      <c r="AT555" s="35"/>
      <c r="AU555" s="35"/>
      <c r="AV555" s="35"/>
      <c r="AW555" s="35"/>
      <c r="AX555" s="35"/>
      <c r="AY555" s="35"/>
      <c r="AZ555" s="35"/>
      <c r="BA555" s="35"/>
      <c r="BB555" s="35"/>
      <c r="BC555" s="35"/>
      <c r="BD555" s="35"/>
      <c r="BE555" s="35"/>
      <c r="BF555" s="35"/>
      <c r="BG555" s="35"/>
      <c r="BH555" s="35"/>
      <c r="BI555" s="35"/>
      <c r="BJ555" s="35"/>
      <c r="BK555" s="35"/>
      <c r="BL555" s="35"/>
      <c r="BM555" s="35"/>
      <c r="BN555" s="35"/>
      <c r="BO555" s="35"/>
      <c r="BP555" s="36"/>
      <c r="BQ555" s="36"/>
      <c r="BR555" s="36"/>
      <c r="BS555" s="36"/>
      <c r="BT555" s="36"/>
      <c r="BU555" s="36"/>
      <c r="BV555" s="36"/>
      <c r="BW555" s="36"/>
      <c r="BX555" s="36"/>
      <c r="BY555" s="36"/>
      <c r="BZ555" s="36"/>
      <c r="CA555" s="36"/>
      <c r="CB555" s="36"/>
      <c r="CC555" s="36"/>
      <c r="CD555" s="36"/>
      <c r="CE555" s="36"/>
      <c r="CF555" s="36"/>
      <c r="CG555" s="36"/>
      <c r="CH555" s="36"/>
      <c r="CI555" s="36"/>
      <c r="CJ555" s="36"/>
      <c r="CK555" s="36"/>
      <c r="CL555" s="36"/>
      <c r="CM555" s="36"/>
      <c r="CN555" s="36"/>
      <c r="CO555" s="36"/>
      <c r="CP555" s="36"/>
      <c r="CQ555" s="36"/>
      <c r="CR555" s="36"/>
      <c r="CS555" s="36"/>
      <c r="CT555" s="36"/>
      <c r="CU555" s="36"/>
      <c r="CV555" s="36"/>
      <c r="CW555" s="36"/>
      <c r="CX555" s="36"/>
      <c r="CY555" s="36"/>
      <c r="CZ555" s="36"/>
      <c r="DA555" s="36"/>
      <c r="DB555" s="36"/>
      <c r="DC555" s="36"/>
      <c r="DD555" s="36"/>
      <c r="DE555" s="36"/>
      <c r="DF555" s="36"/>
      <c r="DG555" s="36"/>
      <c r="DH555" s="36"/>
      <c r="DI555" s="36"/>
      <c r="DJ555" s="36"/>
      <c r="DK555" s="36"/>
      <c r="DL555" s="36"/>
      <c r="DM555" s="36"/>
      <c r="DN555" s="36"/>
      <c r="DO555" s="36"/>
      <c r="DP555" s="36"/>
      <c r="DQ555" s="36"/>
      <c r="DR555" s="36"/>
      <c r="DS555" s="36"/>
      <c r="DT555" s="36"/>
      <c r="DU555" s="36"/>
      <c r="DV555" s="36"/>
      <c r="DW555" s="36"/>
      <c r="DX555" s="36"/>
      <c r="DY555" s="36"/>
      <c r="DZ555" s="36"/>
      <c r="EA555" s="36"/>
      <c r="EB555" s="36"/>
      <c r="EC555" s="36"/>
      <c r="ED555" s="36"/>
      <c r="EE555" s="36"/>
      <c r="EF555" s="36"/>
      <c r="EG555" s="36"/>
      <c r="EH555" s="36"/>
      <c r="EI555" s="36"/>
      <c r="EJ555" s="36"/>
      <c r="EK555" s="36"/>
      <c r="EL555" s="36"/>
      <c r="EM555" s="36"/>
      <c r="EN555" s="36"/>
      <c r="EO555" s="36"/>
      <c r="EP555" s="36"/>
      <c r="EQ555" s="36"/>
      <c r="ER555" s="36"/>
      <c r="ES555" s="36"/>
      <c r="ET555" s="36"/>
      <c r="EU555" s="36"/>
      <c r="EV555" s="36"/>
      <c r="EW555" s="36"/>
      <c r="EX555" s="36"/>
      <c r="EY555" s="36"/>
      <c r="EZ555" s="36"/>
      <c r="FA555" s="36"/>
      <c r="FB555" s="36"/>
      <c r="FC555" s="36"/>
      <c r="FD555" s="36"/>
      <c r="FE555" s="36"/>
      <c r="FF555" s="36"/>
      <c r="FG555" s="36"/>
      <c r="FH555" s="36"/>
      <c r="FI555" s="36"/>
      <c r="FJ555" s="36"/>
      <c r="FK555" s="36"/>
      <c r="FL555" s="36"/>
      <c r="FM555" s="36"/>
      <c r="FN555" s="36"/>
      <c r="FO555" s="36"/>
      <c r="FP555" s="36"/>
      <c r="FQ555" s="36"/>
      <c r="FR555" s="36"/>
      <c r="FS555" s="36"/>
      <c r="FT555" s="36"/>
      <c r="FU555" s="36"/>
      <c r="FV555" s="36"/>
      <c r="FW555" s="36"/>
      <c r="FX555" s="36"/>
      <c r="FY555" s="36"/>
      <c r="FZ555" s="36"/>
      <c r="GA555" s="36"/>
      <c r="GB555" s="36"/>
      <c r="GC555" s="36"/>
      <c r="GD555" s="36"/>
      <c r="GE555" s="36"/>
      <c r="GF555" s="36"/>
      <c r="GG555" s="36"/>
      <c r="GH555" s="36"/>
      <c r="GI555" s="36"/>
      <c r="GJ555" s="36"/>
      <c r="GK555" s="36"/>
      <c r="GL555" s="36"/>
      <c r="GM555" s="36"/>
      <c r="GN555" s="36"/>
      <c r="GO555" s="36"/>
      <c r="GP555" s="36"/>
      <c r="GQ555" s="36"/>
      <c r="GR555" s="36"/>
      <c r="GS555" s="36"/>
      <c r="GT555" s="36"/>
      <c r="GU555" s="36"/>
      <c r="GV555" s="36"/>
      <c r="GW555" s="36"/>
      <c r="GX555" s="36"/>
      <c r="GY555" s="36"/>
      <c r="GZ555" s="36"/>
      <c r="HA555" s="36"/>
      <c r="HB555" s="36"/>
      <c r="HC555" s="36"/>
      <c r="HD555" s="36"/>
      <c r="HE555" s="36"/>
      <c r="HF555" s="36"/>
      <c r="HG555" s="36"/>
      <c r="HH555" s="36"/>
      <c r="HI555" s="36"/>
      <c r="HJ555" s="36"/>
      <c r="HK555" s="36"/>
      <c r="HL555" s="36"/>
      <c r="HM555" s="36"/>
      <c r="HN555" s="36"/>
      <c r="HO555" s="36"/>
      <c r="HP555" s="36"/>
      <c r="HQ555" s="36"/>
      <c r="HR555" s="36"/>
      <c r="HS555" s="36"/>
      <c r="HT555" s="36"/>
      <c r="HU555" s="36"/>
      <c r="HV555" s="36"/>
      <c r="HW555" s="36"/>
      <c r="HX555" s="36"/>
      <c r="HY555" s="36"/>
      <c r="HZ555" s="36"/>
      <c r="IA555" s="36"/>
      <c r="IB555" s="36"/>
      <c r="IC555" s="36"/>
      <c r="ID555" s="36"/>
      <c r="IE555" s="36"/>
      <c r="IF555" s="36"/>
      <c r="IG555" s="36"/>
      <c r="IH555" s="36"/>
      <c r="II555" s="36"/>
      <c r="IJ555" s="36"/>
      <c r="IK555" s="36"/>
      <c r="IL555" s="36"/>
      <c r="IM555" s="36"/>
      <c r="IN555" s="36"/>
      <c r="IO555" s="36"/>
      <c r="IP555" s="36"/>
      <c r="IQ555" s="36"/>
      <c r="IR555" s="36"/>
      <c r="IS555" s="36"/>
      <c r="IT555" s="36"/>
      <c r="IU555" s="36"/>
      <c r="IV555" s="36"/>
      <c r="IW555" s="36"/>
      <c r="IX555" s="36"/>
      <c r="IY555" s="36"/>
      <c r="IZ555" s="36"/>
      <c r="JA555" s="36"/>
      <c r="JB555" s="36"/>
      <c r="JC555" s="36"/>
      <c r="JD555" s="36"/>
      <c r="JE555" s="36"/>
      <c r="JF555" s="36"/>
      <c r="JG555" s="36"/>
      <c r="JH555" s="36"/>
      <c r="JI555" s="36"/>
      <c r="JJ555" s="36"/>
      <c r="JK555" s="36"/>
      <c r="JL555" s="36"/>
      <c r="JM555" s="36"/>
      <c r="JN555" s="36"/>
      <c r="JO555" s="36"/>
      <c r="JP555" s="36"/>
      <c r="JQ555" s="36"/>
      <c r="JR555" s="36"/>
      <c r="JS555" s="36"/>
      <c r="JT555" s="36"/>
      <c r="JU555" s="36"/>
      <c r="JV555" s="36"/>
      <c r="JW555" s="36"/>
      <c r="JX555" s="36"/>
      <c r="JY555" s="36"/>
      <c r="JZ555" s="36"/>
      <c r="KA555" s="36"/>
      <c r="KB555" s="36"/>
      <c r="KC555" s="36"/>
      <c r="KD555" s="36"/>
      <c r="KE555" s="36"/>
      <c r="KF555" s="36"/>
      <c r="KG555" s="36"/>
      <c r="KH555" s="36"/>
      <c r="KI555" s="36"/>
      <c r="KJ555" s="36"/>
      <c r="KK555" s="36"/>
      <c r="KL555" s="36"/>
      <c r="KM555" s="36"/>
      <c r="KN555" s="36"/>
      <c r="KO555" s="36"/>
      <c r="KP555" s="36"/>
      <c r="KQ555" s="36"/>
      <c r="KR555" s="36"/>
      <c r="KS555" s="36"/>
      <c r="KT555" s="36"/>
      <c r="KU555" s="36"/>
      <c r="KV555" s="36"/>
      <c r="KW555" s="36"/>
      <c r="KX555" s="36"/>
      <c r="KY555" s="36"/>
      <c r="KZ555" s="36"/>
      <c r="LA555" s="36"/>
      <c r="LB555" s="36"/>
      <c r="LC555" s="36"/>
      <c r="LD555" s="36"/>
      <c r="LE555" s="36"/>
      <c r="LF555" s="36"/>
      <c r="LG555" s="36"/>
      <c r="LH555" s="36"/>
      <c r="LI555" s="36"/>
      <c r="LJ555" s="36"/>
      <c r="LK555" s="36"/>
      <c r="LL555" s="36"/>
      <c r="LM555" s="36"/>
      <c r="LN555" s="36"/>
      <c r="LO555" s="36"/>
      <c r="LP555" s="36"/>
      <c r="LQ555" s="36"/>
      <c r="LR555" s="36"/>
      <c r="LS555" s="36"/>
      <c r="LT555" s="36"/>
      <c r="LU555" s="36"/>
      <c r="LV555" s="36"/>
      <c r="LW555" s="36"/>
      <c r="LX555" s="36"/>
      <c r="LY555" s="36"/>
      <c r="LZ555" s="36"/>
      <c r="MA555" s="36"/>
      <c r="MB555" s="36"/>
      <c r="MC555" s="36"/>
      <c r="MD555" s="36"/>
      <c r="ME555" s="36"/>
      <c r="MF555" s="36"/>
      <c r="MG555" s="36"/>
      <c r="MH555" s="36"/>
      <c r="MI555" s="36"/>
      <c r="MJ555" s="36"/>
      <c r="MK555" s="36"/>
      <c r="ML555" s="36"/>
      <c r="MM555" s="36"/>
      <c r="MN555" s="36"/>
      <c r="MO555" s="36"/>
      <c r="MP555" s="36"/>
      <c r="MQ555" s="36"/>
      <c r="MR555" s="36"/>
      <c r="MS555" s="36"/>
      <c r="MT555" s="36"/>
      <c r="MU555" s="36"/>
      <c r="MV555" s="36"/>
      <c r="MW555" s="36"/>
      <c r="MX555" s="36"/>
      <c r="MY555" s="36"/>
      <c r="MZ555" s="36"/>
      <c r="NA555" s="36"/>
      <c r="NB555" s="36"/>
      <c r="NC555" s="36"/>
      <c r="ND555" s="36"/>
      <c r="NE555" s="36"/>
      <c r="NF555" s="36"/>
      <c r="NG555" s="36"/>
      <c r="NH555" s="36"/>
      <c r="NI555" s="36"/>
      <c r="NJ555" s="36"/>
      <c r="NK555" s="36"/>
      <c r="NL555" s="36"/>
      <c r="NM555" s="36"/>
      <c r="NN555" s="36"/>
      <c r="NO555" s="36"/>
      <c r="NP555" s="36"/>
      <c r="NQ555" s="36"/>
      <c r="NR555" s="36"/>
      <c r="NS555" s="36"/>
      <c r="NT555" s="36"/>
      <c r="NU555" s="36"/>
      <c r="NV555" s="36"/>
      <c r="NW555" s="36"/>
      <c r="NX555" s="36"/>
      <c r="NY555" s="36"/>
      <c r="NZ555" s="36"/>
      <c r="OA555" s="36"/>
      <c r="OB555" s="36"/>
      <c r="OC555" s="36"/>
      <c r="OD555" s="36"/>
      <c r="OE555" s="36"/>
      <c r="OF555" s="36"/>
      <c r="OG555" s="36"/>
      <c r="OH555" s="36"/>
      <c r="OI555" s="36"/>
      <c r="OJ555" s="36"/>
      <c r="OK555" s="36"/>
      <c r="OL555" s="36"/>
      <c r="OM555" s="36"/>
      <c r="ON555" s="36"/>
      <c r="OO555" s="36"/>
      <c r="OP555" s="36"/>
      <c r="OQ555" s="36"/>
      <c r="OR555" s="36"/>
      <c r="OS555" s="36"/>
      <c r="OT555" s="36"/>
      <c r="OU555" s="36"/>
      <c r="OV555" s="36"/>
      <c r="OW555" s="36"/>
      <c r="OX555" s="36"/>
      <c r="OY555" s="36"/>
      <c r="OZ555" s="36"/>
      <c r="PA555" s="36"/>
      <c r="PB555" s="36"/>
      <c r="PC555" s="36"/>
      <c r="PD555" s="36"/>
      <c r="PE555" s="36"/>
      <c r="PF555" s="36"/>
      <c r="PG555" s="36"/>
      <c r="PH555" s="36"/>
      <c r="PI555" s="36"/>
      <c r="PJ555" s="36"/>
      <c r="PK555" s="36"/>
      <c r="PL555" s="36"/>
      <c r="PM555" s="36"/>
      <c r="PN555" s="36"/>
      <c r="PO555" s="36"/>
      <c r="PP555" s="36"/>
      <c r="PQ555" s="36"/>
      <c r="PR555" s="36"/>
      <c r="PS555" s="36"/>
      <c r="PT555" s="36"/>
      <c r="PU555" s="36"/>
      <c r="PV555" s="36"/>
      <c r="PW555" s="36"/>
      <c r="PX555" s="36"/>
      <c r="PY555" s="36"/>
      <c r="PZ555" s="36"/>
      <c r="QA555" s="36"/>
      <c r="QB555" s="36"/>
      <c r="QC555" s="36"/>
      <c r="QD555" s="36"/>
      <c r="QE555" s="36"/>
      <c r="QF555" s="36"/>
      <c r="QG555" s="36"/>
      <c r="QH555" s="36"/>
      <c r="QI555" s="36"/>
      <c r="QJ555" s="36"/>
      <c r="QK555" s="36"/>
      <c r="QL555" s="36"/>
      <c r="QM555" s="36"/>
      <c r="QN555" s="36"/>
      <c r="QO555" s="36"/>
      <c r="QP555" s="36"/>
      <c r="QQ555" s="36"/>
      <c r="QR555" s="36"/>
      <c r="QS555" s="36"/>
      <c r="QT555" s="36"/>
      <c r="QU555" s="36"/>
      <c r="QV555" s="36"/>
      <c r="QW555" s="36"/>
      <c r="QX555" s="36"/>
      <c r="QY555" s="36"/>
      <c r="QZ555" s="36"/>
      <c r="RA555" s="36"/>
      <c r="RB555" s="36"/>
      <c r="RC555" s="36"/>
      <c r="RD555" s="36"/>
      <c r="RE555" s="36"/>
      <c r="RF555" s="36"/>
      <c r="RG555" s="36"/>
      <c r="RH555" s="36"/>
      <c r="RI555" s="36"/>
      <c r="RJ555" s="36"/>
      <c r="RK555" s="36"/>
      <c r="RL555" s="36"/>
      <c r="RM555" s="36"/>
      <c r="RN555" s="36"/>
      <c r="RO555" s="36"/>
      <c r="RP555" s="36"/>
      <c r="RQ555" s="36"/>
      <c r="RR555" s="36"/>
      <c r="RS555" s="36"/>
      <c r="RT555" s="36"/>
      <c r="RU555" s="36"/>
      <c r="RV555" s="36"/>
      <c r="RW555" s="36"/>
      <c r="RX555" s="36"/>
      <c r="RY555" s="36"/>
      <c r="RZ555" s="36"/>
      <c r="SA555" s="36"/>
      <c r="SB555" s="36"/>
      <c r="SC555" s="36"/>
      <c r="SD555" s="36"/>
      <c r="SE555" s="36"/>
      <c r="SF555" s="36"/>
      <c r="SG555" s="36"/>
      <c r="SH555" s="36"/>
      <c r="SI555" s="36"/>
      <c r="SJ555" s="36"/>
      <c r="SK555" s="36"/>
      <c r="SL555" s="36"/>
      <c r="SM555" s="36"/>
      <c r="SN555" s="36"/>
      <c r="SO555" s="36"/>
      <c r="SP555" s="36"/>
      <c r="SQ555" s="36"/>
      <c r="SR555" s="36"/>
      <c r="SS555" s="36"/>
      <c r="ST555" s="36"/>
      <c r="SU555" s="36"/>
      <c r="SV555" s="36"/>
      <c r="SW555" s="36"/>
      <c r="SX555" s="36"/>
      <c r="SY555" s="36"/>
      <c r="SZ555" s="36"/>
      <c r="TA555" s="36"/>
      <c r="TB555" s="36"/>
      <c r="TC555" s="36"/>
      <c r="TD555" s="36"/>
      <c r="TE555" s="36"/>
      <c r="TF555" s="36"/>
      <c r="TG555" s="36"/>
      <c r="TH555" s="36"/>
      <c r="TI555" s="36"/>
      <c r="TJ555" s="36"/>
      <c r="TK555" s="36"/>
      <c r="TL555" s="36"/>
      <c r="TM555" s="36"/>
      <c r="TN555" s="36"/>
      <c r="TO555" s="36"/>
      <c r="TP555" s="36"/>
      <c r="TQ555" s="36"/>
      <c r="TR555" s="36"/>
      <c r="TS555" s="36"/>
      <c r="TT555" s="36"/>
      <c r="TU555" s="36"/>
      <c r="TV555" s="36"/>
      <c r="TW555" s="36"/>
      <c r="TX555" s="36"/>
      <c r="TY555" s="36"/>
      <c r="TZ555" s="36"/>
      <c r="UA555" s="36"/>
      <c r="UB555" s="36"/>
      <c r="UC555" s="36"/>
      <c r="UD555" s="36"/>
      <c r="UE555" s="36"/>
      <c r="UF555" s="36"/>
      <c r="UG555" s="37"/>
    </row>
    <row r="556" spans="1:553" ht="50.25" customHeight="1">
      <c r="A556" s="356"/>
      <c r="B556" s="428"/>
      <c r="C556" s="1404" t="s">
        <v>391</v>
      </c>
      <c r="D556" s="1389"/>
      <c r="E556" s="1389"/>
      <c r="F556" s="1390"/>
      <c r="G556" s="366" t="s">
        <v>205</v>
      </c>
      <c r="H556" s="417"/>
      <c r="I556" s="417"/>
      <c r="J556" s="368"/>
      <c r="K556" s="369"/>
      <c r="L556" s="366"/>
      <c r="M556" s="356"/>
      <c r="N556" s="356"/>
      <c r="O556" s="356"/>
      <c r="P556" s="356"/>
      <c r="Q556" s="610"/>
      <c r="R556" s="1226"/>
      <c r="S556" s="308"/>
      <c r="T556" s="308"/>
      <c r="U556" s="308"/>
      <c r="V556" s="308"/>
      <c r="W556" s="308"/>
      <c r="X556" s="308"/>
      <c r="Y556" s="308"/>
      <c r="Z556" s="604"/>
      <c r="AA556" s="308"/>
      <c r="AB556" s="308"/>
      <c r="AC556" s="454"/>
      <c r="AD556" s="454"/>
      <c r="AE556" s="454"/>
      <c r="AF556" s="454"/>
      <c r="AG556" s="454"/>
      <c r="AH556" s="454"/>
      <c r="AI556" s="454"/>
      <c r="AJ556" s="454"/>
      <c r="AK556" s="455"/>
      <c r="AL556" s="110"/>
      <c r="AM556" s="34"/>
      <c r="AN556" s="34"/>
      <c r="AO556" s="34"/>
      <c r="AP556" s="34"/>
      <c r="AQ556" s="34"/>
      <c r="AR556" s="34"/>
      <c r="AS556" s="35"/>
      <c r="AT556" s="35"/>
      <c r="AU556" s="35"/>
      <c r="AV556" s="35"/>
      <c r="AW556" s="35"/>
      <c r="AX556" s="35"/>
      <c r="AY556" s="35"/>
      <c r="AZ556" s="35"/>
      <c r="BA556" s="35"/>
      <c r="BB556" s="35"/>
      <c r="BC556" s="35"/>
      <c r="BD556" s="35"/>
      <c r="BE556" s="35"/>
      <c r="BF556" s="35"/>
      <c r="BG556" s="35"/>
      <c r="BH556" s="35"/>
      <c r="BI556" s="35"/>
      <c r="BJ556" s="35"/>
      <c r="BK556" s="35"/>
      <c r="BL556" s="35"/>
      <c r="BM556" s="35"/>
      <c r="BN556" s="35"/>
      <c r="BO556" s="35"/>
      <c r="BP556" s="36"/>
      <c r="BQ556" s="36"/>
      <c r="BR556" s="36"/>
      <c r="BS556" s="36"/>
      <c r="BT556" s="36"/>
      <c r="BU556" s="36"/>
      <c r="BV556" s="36"/>
      <c r="BW556" s="36"/>
      <c r="BX556" s="36"/>
      <c r="BY556" s="36"/>
      <c r="BZ556" s="36"/>
      <c r="CA556" s="36"/>
      <c r="CB556" s="36"/>
      <c r="CC556" s="36"/>
      <c r="CD556" s="36"/>
      <c r="CE556" s="36"/>
      <c r="CF556" s="36"/>
      <c r="CG556" s="36"/>
      <c r="CH556" s="36"/>
      <c r="CI556" s="36"/>
      <c r="CJ556" s="36"/>
      <c r="CK556" s="36"/>
      <c r="CL556" s="36"/>
      <c r="CM556" s="36"/>
      <c r="CN556" s="36"/>
      <c r="CO556" s="36"/>
      <c r="CP556" s="36"/>
      <c r="CQ556" s="36"/>
      <c r="CR556" s="36"/>
      <c r="CS556" s="36"/>
      <c r="CT556" s="36"/>
      <c r="CU556" s="36"/>
      <c r="CV556" s="36"/>
      <c r="CW556" s="36"/>
      <c r="CX556" s="36"/>
      <c r="CY556" s="36"/>
      <c r="CZ556" s="36"/>
      <c r="DA556" s="36"/>
      <c r="DB556" s="36"/>
      <c r="DC556" s="36"/>
      <c r="DD556" s="36"/>
      <c r="DE556" s="36"/>
      <c r="DF556" s="36"/>
      <c r="DG556" s="36"/>
      <c r="DH556" s="36"/>
      <c r="DI556" s="36"/>
      <c r="DJ556" s="36"/>
      <c r="DK556" s="36"/>
      <c r="DL556" s="36"/>
      <c r="DM556" s="36"/>
      <c r="DN556" s="36"/>
      <c r="DO556" s="36"/>
      <c r="DP556" s="36"/>
      <c r="DQ556" s="36"/>
      <c r="DR556" s="36"/>
      <c r="DS556" s="36"/>
      <c r="DT556" s="36"/>
      <c r="DU556" s="36"/>
      <c r="DV556" s="36"/>
      <c r="DW556" s="36"/>
      <c r="DX556" s="36"/>
      <c r="DY556" s="36"/>
      <c r="DZ556" s="36"/>
      <c r="EA556" s="36"/>
      <c r="EB556" s="36"/>
      <c r="EC556" s="36"/>
      <c r="ED556" s="36"/>
      <c r="EE556" s="36"/>
      <c r="EF556" s="36"/>
      <c r="EG556" s="36"/>
      <c r="EH556" s="36"/>
      <c r="EI556" s="36"/>
      <c r="EJ556" s="36"/>
      <c r="EK556" s="36"/>
      <c r="EL556" s="36"/>
      <c r="EM556" s="36"/>
      <c r="EN556" s="36"/>
      <c r="EO556" s="36"/>
      <c r="EP556" s="36"/>
      <c r="EQ556" s="36"/>
      <c r="ER556" s="36"/>
      <c r="ES556" s="36"/>
      <c r="ET556" s="36"/>
      <c r="EU556" s="36"/>
      <c r="EV556" s="36"/>
      <c r="EW556" s="36"/>
      <c r="EX556" s="36"/>
      <c r="EY556" s="36"/>
      <c r="EZ556" s="36"/>
      <c r="FA556" s="36"/>
      <c r="FB556" s="36"/>
      <c r="FC556" s="36"/>
      <c r="FD556" s="36"/>
      <c r="FE556" s="36"/>
      <c r="FF556" s="36"/>
      <c r="FG556" s="36"/>
      <c r="FH556" s="36"/>
      <c r="FI556" s="36"/>
      <c r="FJ556" s="36"/>
      <c r="FK556" s="36"/>
      <c r="FL556" s="36"/>
      <c r="FM556" s="36"/>
      <c r="FN556" s="36"/>
      <c r="FO556" s="36"/>
      <c r="FP556" s="36"/>
      <c r="FQ556" s="36"/>
      <c r="FR556" s="36"/>
      <c r="FS556" s="36"/>
      <c r="FT556" s="36"/>
      <c r="FU556" s="36"/>
      <c r="FV556" s="36"/>
      <c r="FW556" s="36"/>
      <c r="FX556" s="36"/>
      <c r="FY556" s="36"/>
      <c r="FZ556" s="36"/>
      <c r="GA556" s="36"/>
      <c r="GB556" s="36"/>
      <c r="GC556" s="36"/>
      <c r="GD556" s="36"/>
      <c r="GE556" s="36"/>
      <c r="GF556" s="36"/>
      <c r="GG556" s="36"/>
      <c r="GH556" s="36"/>
      <c r="GI556" s="36"/>
      <c r="GJ556" s="36"/>
      <c r="GK556" s="36"/>
      <c r="GL556" s="36"/>
      <c r="GM556" s="36"/>
      <c r="GN556" s="36"/>
      <c r="GO556" s="36"/>
      <c r="GP556" s="36"/>
      <c r="GQ556" s="36"/>
      <c r="GR556" s="36"/>
      <c r="GS556" s="36"/>
      <c r="GT556" s="36"/>
      <c r="GU556" s="36"/>
      <c r="GV556" s="36"/>
      <c r="GW556" s="36"/>
      <c r="GX556" s="36"/>
      <c r="GY556" s="36"/>
      <c r="GZ556" s="36"/>
      <c r="HA556" s="36"/>
      <c r="HB556" s="36"/>
      <c r="HC556" s="36"/>
      <c r="HD556" s="36"/>
      <c r="HE556" s="36"/>
      <c r="HF556" s="36"/>
      <c r="HG556" s="36"/>
      <c r="HH556" s="36"/>
      <c r="HI556" s="36"/>
      <c r="HJ556" s="36"/>
      <c r="HK556" s="36"/>
      <c r="HL556" s="36"/>
      <c r="HM556" s="36"/>
      <c r="HN556" s="36"/>
      <c r="HO556" s="36"/>
      <c r="HP556" s="36"/>
      <c r="HQ556" s="36"/>
      <c r="HR556" s="36"/>
      <c r="HS556" s="36"/>
      <c r="HT556" s="36"/>
      <c r="HU556" s="36"/>
      <c r="HV556" s="36"/>
      <c r="HW556" s="36"/>
      <c r="HX556" s="36"/>
      <c r="HY556" s="36"/>
      <c r="HZ556" s="36"/>
      <c r="IA556" s="36"/>
      <c r="IB556" s="36"/>
      <c r="IC556" s="36"/>
      <c r="ID556" s="36"/>
      <c r="IE556" s="36"/>
      <c r="IF556" s="36"/>
      <c r="IG556" s="36"/>
      <c r="IH556" s="36"/>
      <c r="II556" s="36"/>
      <c r="IJ556" s="36"/>
      <c r="IK556" s="36"/>
      <c r="IL556" s="36"/>
      <c r="IM556" s="36"/>
      <c r="IN556" s="36"/>
      <c r="IO556" s="36"/>
      <c r="IP556" s="36"/>
      <c r="IQ556" s="36"/>
      <c r="IR556" s="36"/>
      <c r="IS556" s="36"/>
      <c r="IT556" s="36"/>
      <c r="IU556" s="36"/>
      <c r="IV556" s="36"/>
      <c r="IW556" s="36"/>
      <c r="IX556" s="36"/>
      <c r="IY556" s="36"/>
      <c r="IZ556" s="36"/>
      <c r="JA556" s="36"/>
      <c r="JB556" s="36"/>
      <c r="JC556" s="36"/>
      <c r="JD556" s="36"/>
      <c r="JE556" s="36"/>
      <c r="JF556" s="36"/>
      <c r="JG556" s="36"/>
      <c r="JH556" s="36"/>
      <c r="JI556" s="36"/>
      <c r="JJ556" s="36"/>
      <c r="JK556" s="36"/>
      <c r="JL556" s="36"/>
      <c r="JM556" s="36"/>
      <c r="JN556" s="36"/>
      <c r="JO556" s="36"/>
      <c r="JP556" s="36"/>
      <c r="JQ556" s="36"/>
      <c r="JR556" s="36"/>
      <c r="JS556" s="36"/>
      <c r="JT556" s="36"/>
      <c r="JU556" s="36"/>
      <c r="JV556" s="36"/>
      <c r="JW556" s="36"/>
      <c r="JX556" s="36"/>
      <c r="JY556" s="36"/>
      <c r="JZ556" s="36"/>
      <c r="KA556" s="36"/>
      <c r="KB556" s="36"/>
      <c r="KC556" s="36"/>
      <c r="KD556" s="36"/>
      <c r="KE556" s="36"/>
      <c r="KF556" s="36"/>
      <c r="KG556" s="36"/>
      <c r="KH556" s="36"/>
      <c r="KI556" s="36"/>
      <c r="KJ556" s="36"/>
      <c r="KK556" s="36"/>
      <c r="KL556" s="36"/>
      <c r="KM556" s="36"/>
      <c r="KN556" s="36"/>
      <c r="KO556" s="36"/>
      <c r="KP556" s="36"/>
      <c r="KQ556" s="36"/>
      <c r="KR556" s="36"/>
      <c r="KS556" s="36"/>
      <c r="KT556" s="36"/>
      <c r="KU556" s="36"/>
      <c r="KV556" s="36"/>
      <c r="KW556" s="36"/>
      <c r="KX556" s="36"/>
      <c r="KY556" s="36"/>
      <c r="KZ556" s="36"/>
      <c r="LA556" s="36"/>
      <c r="LB556" s="36"/>
      <c r="LC556" s="36"/>
      <c r="LD556" s="36"/>
      <c r="LE556" s="36"/>
      <c r="LF556" s="36"/>
      <c r="LG556" s="36"/>
      <c r="LH556" s="36"/>
      <c r="LI556" s="36"/>
      <c r="LJ556" s="36"/>
      <c r="LK556" s="36"/>
      <c r="LL556" s="36"/>
      <c r="LM556" s="36"/>
      <c r="LN556" s="36"/>
      <c r="LO556" s="36"/>
      <c r="LP556" s="36"/>
      <c r="LQ556" s="36"/>
      <c r="LR556" s="36"/>
      <c r="LS556" s="36"/>
      <c r="LT556" s="36"/>
      <c r="LU556" s="36"/>
      <c r="LV556" s="36"/>
      <c r="LW556" s="36"/>
      <c r="LX556" s="36"/>
      <c r="LY556" s="36"/>
      <c r="LZ556" s="36"/>
      <c r="MA556" s="36"/>
      <c r="MB556" s="36"/>
      <c r="MC556" s="36"/>
      <c r="MD556" s="36"/>
      <c r="ME556" s="36"/>
      <c r="MF556" s="36"/>
      <c r="MG556" s="36"/>
      <c r="MH556" s="36"/>
      <c r="MI556" s="36"/>
      <c r="MJ556" s="36"/>
      <c r="MK556" s="36"/>
      <c r="ML556" s="36"/>
      <c r="MM556" s="36"/>
      <c r="MN556" s="36"/>
      <c r="MO556" s="36"/>
      <c r="MP556" s="36"/>
      <c r="MQ556" s="36"/>
      <c r="MR556" s="36"/>
      <c r="MS556" s="36"/>
      <c r="MT556" s="36"/>
      <c r="MU556" s="36"/>
      <c r="MV556" s="36"/>
      <c r="MW556" s="36"/>
      <c r="MX556" s="36"/>
      <c r="MY556" s="36"/>
      <c r="MZ556" s="36"/>
      <c r="NA556" s="36"/>
      <c r="NB556" s="36"/>
      <c r="NC556" s="36"/>
      <c r="ND556" s="36"/>
      <c r="NE556" s="36"/>
      <c r="NF556" s="36"/>
      <c r="NG556" s="36"/>
      <c r="NH556" s="36"/>
      <c r="NI556" s="36"/>
      <c r="NJ556" s="36"/>
      <c r="NK556" s="36"/>
      <c r="NL556" s="36"/>
      <c r="NM556" s="36"/>
      <c r="NN556" s="36"/>
      <c r="NO556" s="36"/>
      <c r="NP556" s="36"/>
      <c r="NQ556" s="36"/>
      <c r="NR556" s="36"/>
      <c r="NS556" s="36"/>
      <c r="NT556" s="36"/>
      <c r="NU556" s="36"/>
      <c r="NV556" s="36"/>
      <c r="NW556" s="36"/>
      <c r="NX556" s="36"/>
      <c r="NY556" s="36"/>
      <c r="NZ556" s="36"/>
      <c r="OA556" s="36"/>
      <c r="OB556" s="36"/>
      <c r="OC556" s="36"/>
      <c r="OD556" s="36"/>
      <c r="OE556" s="36"/>
      <c r="OF556" s="36"/>
      <c r="OG556" s="36"/>
      <c r="OH556" s="36"/>
      <c r="OI556" s="36"/>
      <c r="OJ556" s="36"/>
      <c r="OK556" s="36"/>
      <c r="OL556" s="36"/>
      <c r="OM556" s="36"/>
      <c r="ON556" s="36"/>
      <c r="OO556" s="36"/>
      <c r="OP556" s="36"/>
      <c r="OQ556" s="36"/>
      <c r="OR556" s="36"/>
      <c r="OS556" s="36"/>
      <c r="OT556" s="36"/>
      <c r="OU556" s="36"/>
      <c r="OV556" s="36"/>
      <c r="OW556" s="36"/>
      <c r="OX556" s="36"/>
      <c r="OY556" s="36"/>
      <c r="OZ556" s="36"/>
      <c r="PA556" s="36"/>
      <c r="PB556" s="36"/>
      <c r="PC556" s="36"/>
      <c r="PD556" s="36"/>
      <c r="PE556" s="36"/>
      <c r="PF556" s="36"/>
      <c r="PG556" s="36"/>
      <c r="PH556" s="36"/>
      <c r="PI556" s="36"/>
      <c r="PJ556" s="36"/>
      <c r="PK556" s="36"/>
      <c r="PL556" s="36"/>
      <c r="PM556" s="36"/>
      <c r="PN556" s="36"/>
      <c r="PO556" s="36"/>
      <c r="PP556" s="36"/>
      <c r="PQ556" s="36"/>
      <c r="PR556" s="36"/>
      <c r="PS556" s="36"/>
      <c r="PT556" s="36"/>
      <c r="PU556" s="36"/>
      <c r="PV556" s="36"/>
      <c r="PW556" s="36"/>
      <c r="PX556" s="36"/>
      <c r="PY556" s="36"/>
      <c r="PZ556" s="36"/>
      <c r="QA556" s="36"/>
      <c r="QB556" s="36"/>
      <c r="QC556" s="36"/>
      <c r="QD556" s="36"/>
      <c r="QE556" s="36"/>
      <c r="QF556" s="36"/>
      <c r="QG556" s="36"/>
      <c r="QH556" s="36"/>
      <c r="QI556" s="36"/>
      <c r="QJ556" s="36"/>
      <c r="QK556" s="36"/>
      <c r="QL556" s="36"/>
      <c r="QM556" s="36"/>
      <c r="QN556" s="36"/>
      <c r="QO556" s="36"/>
      <c r="QP556" s="36"/>
      <c r="QQ556" s="36"/>
      <c r="QR556" s="36"/>
      <c r="QS556" s="36"/>
      <c r="QT556" s="36"/>
      <c r="QU556" s="36"/>
      <c r="QV556" s="36"/>
      <c r="QW556" s="36"/>
      <c r="QX556" s="36"/>
      <c r="QY556" s="36"/>
      <c r="QZ556" s="36"/>
      <c r="RA556" s="36"/>
      <c r="RB556" s="36"/>
      <c r="RC556" s="36"/>
      <c r="RD556" s="36"/>
      <c r="RE556" s="36"/>
      <c r="RF556" s="36"/>
      <c r="RG556" s="36"/>
      <c r="RH556" s="36"/>
      <c r="RI556" s="36"/>
      <c r="RJ556" s="36"/>
      <c r="RK556" s="36"/>
      <c r="RL556" s="36"/>
      <c r="RM556" s="36"/>
      <c r="RN556" s="36"/>
      <c r="RO556" s="36"/>
      <c r="RP556" s="36"/>
      <c r="RQ556" s="36"/>
      <c r="RR556" s="36"/>
      <c r="RS556" s="36"/>
      <c r="RT556" s="36"/>
      <c r="RU556" s="36"/>
      <c r="RV556" s="36"/>
      <c r="RW556" s="36"/>
      <c r="RX556" s="36"/>
      <c r="RY556" s="36"/>
      <c r="RZ556" s="36"/>
      <c r="SA556" s="36"/>
      <c r="SB556" s="36"/>
      <c r="SC556" s="36"/>
      <c r="SD556" s="36"/>
      <c r="SE556" s="36"/>
      <c r="SF556" s="36"/>
      <c r="SG556" s="36"/>
      <c r="SH556" s="36"/>
      <c r="SI556" s="36"/>
      <c r="SJ556" s="36"/>
      <c r="SK556" s="36"/>
      <c r="SL556" s="36"/>
      <c r="SM556" s="36"/>
      <c r="SN556" s="36"/>
      <c r="SO556" s="36"/>
      <c r="SP556" s="36"/>
      <c r="SQ556" s="36"/>
      <c r="SR556" s="36"/>
      <c r="SS556" s="36"/>
      <c r="ST556" s="36"/>
      <c r="SU556" s="36"/>
      <c r="SV556" s="36"/>
      <c r="SW556" s="36"/>
      <c r="SX556" s="36"/>
      <c r="SY556" s="36"/>
      <c r="SZ556" s="36"/>
      <c r="TA556" s="36"/>
      <c r="TB556" s="36"/>
      <c r="TC556" s="36"/>
      <c r="TD556" s="36"/>
      <c r="TE556" s="36"/>
      <c r="TF556" s="36"/>
      <c r="TG556" s="36"/>
      <c r="TH556" s="36"/>
      <c r="TI556" s="36"/>
      <c r="TJ556" s="36"/>
      <c r="TK556" s="36"/>
      <c r="TL556" s="36"/>
      <c r="TM556" s="36"/>
      <c r="TN556" s="36"/>
      <c r="TO556" s="36"/>
      <c r="TP556" s="36"/>
      <c r="TQ556" s="36"/>
      <c r="TR556" s="36"/>
      <c r="TS556" s="36"/>
      <c r="TT556" s="36"/>
      <c r="TU556" s="36"/>
      <c r="TV556" s="36"/>
      <c r="TW556" s="36"/>
      <c r="TX556" s="36"/>
      <c r="TY556" s="36"/>
      <c r="TZ556" s="36"/>
      <c r="UA556" s="36"/>
      <c r="UB556" s="36"/>
      <c r="UC556" s="36"/>
      <c r="UD556" s="36"/>
      <c r="UE556" s="36"/>
      <c r="UF556" s="36"/>
      <c r="UG556" s="37"/>
    </row>
    <row r="557" spans="1:553" ht="30.75" customHeight="1">
      <c r="A557" s="356" t="s">
        <v>66</v>
      </c>
      <c r="B557" s="356"/>
      <c r="C557" s="1413" t="s">
        <v>67</v>
      </c>
      <c r="D557" s="1389"/>
      <c r="E557" s="1389"/>
      <c r="F557" s="1390"/>
      <c r="G557" s="356"/>
      <c r="H557" s="359"/>
      <c r="I557" s="359"/>
      <c r="J557" s="357"/>
      <c r="K557" s="364"/>
      <c r="L557" s="356"/>
      <c r="M557" s="356"/>
      <c r="N557" s="356"/>
      <c r="O557" s="356"/>
      <c r="P557" s="356"/>
      <c r="Q557" s="610"/>
      <c r="R557" s="421"/>
      <c r="S557" s="308"/>
      <c r="T557" s="308"/>
      <c r="U557" s="308"/>
      <c r="V557" s="308"/>
      <c r="W557" s="308"/>
      <c r="X557" s="308"/>
      <c r="Y557" s="308"/>
      <c r="Z557" s="604"/>
      <c r="AA557" s="308"/>
      <c r="AB557" s="308"/>
      <c r="AC557" s="454"/>
      <c r="AD557" s="454"/>
      <c r="AE557" s="454"/>
      <c r="AF557" s="454"/>
      <c r="AG557" s="454"/>
      <c r="AH557" s="454"/>
      <c r="AI557" s="454"/>
      <c r="AJ557" s="454"/>
      <c r="AK557" s="455"/>
      <c r="AL557" s="110"/>
      <c r="AM557" s="34"/>
      <c r="AN557" s="34"/>
      <c r="AO557" s="34"/>
      <c r="AP557" s="34"/>
      <c r="AQ557" s="34"/>
      <c r="AR557" s="34"/>
      <c r="AS557" s="35"/>
      <c r="AT557" s="35"/>
      <c r="AU557" s="35"/>
      <c r="AV557" s="35"/>
      <c r="AW557" s="35"/>
      <c r="AX557" s="35"/>
      <c r="AY557" s="35"/>
      <c r="AZ557" s="35"/>
      <c r="BA557" s="35"/>
      <c r="BB557" s="35"/>
      <c r="BC557" s="35"/>
      <c r="BD557" s="35"/>
      <c r="BE557" s="35"/>
      <c r="BF557" s="35"/>
      <c r="BG557" s="35"/>
      <c r="BH557" s="35"/>
      <c r="BI557" s="35"/>
      <c r="BJ557" s="35"/>
      <c r="BK557" s="35"/>
      <c r="BL557" s="35"/>
      <c r="BM557" s="35"/>
      <c r="BN557" s="35"/>
      <c r="BO557" s="35"/>
      <c r="BP557" s="36"/>
      <c r="BQ557" s="36"/>
      <c r="BR557" s="36"/>
      <c r="BS557" s="36"/>
      <c r="BT557" s="36"/>
      <c r="BU557" s="36"/>
      <c r="BV557" s="36"/>
      <c r="BW557" s="36"/>
      <c r="BX557" s="36"/>
      <c r="BY557" s="36"/>
      <c r="BZ557" s="36"/>
      <c r="CA557" s="36"/>
      <c r="CB557" s="36"/>
      <c r="CC557" s="36"/>
      <c r="CD557" s="36"/>
      <c r="CE557" s="36"/>
      <c r="CF557" s="36"/>
      <c r="CG557" s="36"/>
      <c r="CH557" s="36"/>
      <c r="CI557" s="36"/>
      <c r="CJ557" s="36"/>
      <c r="CK557" s="36"/>
      <c r="CL557" s="36"/>
      <c r="CM557" s="36"/>
      <c r="CN557" s="36"/>
      <c r="CO557" s="36"/>
      <c r="CP557" s="36"/>
      <c r="CQ557" s="36"/>
      <c r="CR557" s="36"/>
      <c r="CS557" s="36"/>
      <c r="CT557" s="36"/>
      <c r="CU557" s="36"/>
      <c r="CV557" s="36"/>
      <c r="CW557" s="36"/>
      <c r="CX557" s="36"/>
      <c r="CY557" s="36"/>
      <c r="CZ557" s="36"/>
      <c r="DA557" s="36"/>
      <c r="DB557" s="36"/>
      <c r="DC557" s="36"/>
      <c r="DD557" s="36"/>
      <c r="DE557" s="36"/>
      <c r="DF557" s="36"/>
      <c r="DG557" s="36"/>
      <c r="DH557" s="36"/>
      <c r="DI557" s="36"/>
      <c r="DJ557" s="36"/>
      <c r="DK557" s="36"/>
      <c r="DL557" s="36"/>
      <c r="DM557" s="36"/>
      <c r="DN557" s="36"/>
      <c r="DO557" s="36"/>
      <c r="DP557" s="36"/>
      <c r="DQ557" s="36"/>
      <c r="DR557" s="36"/>
      <c r="DS557" s="36"/>
      <c r="DT557" s="36"/>
      <c r="DU557" s="36"/>
      <c r="DV557" s="36"/>
      <c r="DW557" s="36"/>
      <c r="DX557" s="36"/>
      <c r="DY557" s="36"/>
      <c r="DZ557" s="36"/>
      <c r="EA557" s="36"/>
      <c r="EB557" s="36"/>
      <c r="EC557" s="36"/>
      <c r="ED557" s="36"/>
      <c r="EE557" s="36"/>
      <c r="EF557" s="36"/>
      <c r="EG557" s="36"/>
      <c r="EH557" s="36"/>
      <c r="EI557" s="36"/>
      <c r="EJ557" s="36"/>
      <c r="EK557" s="36"/>
      <c r="EL557" s="36"/>
      <c r="EM557" s="36"/>
      <c r="EN557" s="36"/>
      <c r="EO557" s="36"/>
      <c r="EP557" s="36"/>
      <c r="EQ557" s="36"/>
      <c r="ER557" s="36"/>
      <c r="ES557" s="36"/>
      <c r="ET557" s="36"/>
      <c r="EU557" s="36"/>
      <c r="EV557" s="36"/>
      <c r="EW557" s="36"/>
      <c r="EX557" s="36"/>
      <c r="EY557" s="36"/>
      <c r="EZ557" s="36"/>
      <c r="FA557" s="36"/>
      <c r="FB557" s="36"/>
      <c r="FC557" s="36"/>
      <c r="FD557" s="36"/>
      <c r="FE557" s="36"/>
      <c r="FF557" s="36"/>
      <c r="FG557" s="36"/>
      <c r="FH557" s="36"/>
      <c r="FI557" s="36"/>
      <c r="FJ557" s="36"/>
      <c r="FK557" s="36"/>
      <c r="FL557" s="36"/>
      <c r="FM557" s="36"/>
      <c r="FN557" s="36"/>
      <c r="FO557" s="36"/>
      <c r="FP557" s="36"/>
      <c r="FQ557" s="36"/>
      <c r="FR557" s="36"/>
      <c r="FS557" s="36"/>
      <c r="FT557" s="36"/>
      <c r="FU557" s="36"/>
      <c r="FV557" s="36"/>
      <c r="FW557" s="36"/>
      <c r="FX557" s="36"/>
      <c r="FY557" s="36"/>
      <c r="FZ557" s="36"/>
      <c r="GA557" s="36"/>
      <c r="GB557" s="36"/>
      <c r="GC557" s="36"/>
      <c r="GD557" s="36"/>
      <c r="GE557" s="36"/>
      <c r="GF557" s="36"/>
      <c r="GG557" s="36"/>
      <c r="GH557" s="36"/>
      <c r="GI557" s="36"/>
      <c r="GJ557" s="36"/>
      <c r="GK557" s="36"/>
      <c r="GL557" s="36"/>
      <c r="GM557" s="36"/>
      <c r="GN557" s="36"/>
      <c r="GO557" s="36"/>
      <c r="GP557" s="36"/>
      <c r="GQ557" s="36"/>
      <c r="GR557" s="36"/>
      <c r="GS557" s="36"/>
      <c r="GT557" s="36"/>
      <c r="GU557" s="36"/>
      <c r="GV557" s="36"/>
      <c r="GW557" s="36"/>
      <c r="GX557" s="36"/>
      <c r="GY557" s="36"/>
      <c r="GZ557" s="36"/>
      <c r="HA557" s="36"/>
      <c r="HB557" s="36"/>
      <c r="HC557" s="36"/>
      <c r="HD557" s="36"/>
      <c r="HE557" s="36"/>
      <c r="HF557" s="36"/>
      <c r="HG557" s="36"/>
      <c r="HH557" s="36"/>
      <c r="HI557" s="36"/>
      <c r="HJ557" s="36"/>
      <c r="HK557" s="36"/>
      <c r="HL557" s="36"/>
      <c r="HM557" s="36"/>
      <c r="HN557" s="36"/>
      <c r="HO557" s="36"/>
      <c r="HP557" s="36"/>
      <c r="HQ557" s="36"/>
      <c r="HR557" s="36"/>
      <c r="HS557" s="36"/>
      <c r="HT557" s="36"/>
      <c r="HU557" s="36"/>
      <c r="HV557" s="36"/>
      <c r="HW557" s="36"/>
      <c r="HX557" s="36"/>
      <c r="HY557" s="36"/>
      <c r="HZ557" s="36"/>
      <c r="IA557" s="36"/>
      <c r="IB557" s="36"/>
      <c r="IC557" s="36"/>
      <c r="ID557" s="36"/>
      <c r="IE557" s="36"/>
      <c r="IF557" s="36"/>
      <c r="IG557" s="36"/>
      <c r="IH557" s="36"/>
      <c r="II557" s="36"/>
      <c r="IJ557" s="36"/>
      <c r="IK557" s="36"/>
      <c r="IL557" s="36"/>
      <c r="IM557" s="36"/>
      <c r="IN557" s="36"/>
      <c r="IO557" s="36"/>
      <c r="IP557" s="36"/>
      <c r="IQ557" s="36"/>
      <c r="IR557" s="36"/>
      <c r="IS557" s="36"/>
      <c r="IT557" s="36"/>
      <c r="IU557" s="36"/>
      <c r="IV557" s="36"/>
      <c r="IW557" s="36"/>
      <c r="IX557" s="36"/>
      <c r="IY557" s="36"/>
      <c r="IZ557" s="36"/>
      <c r="JA557" s="36"/>
      <c r="JB557" s="36"/>
      <c r="JC557" s="36"/>
      <c r="JD557" s="36"/>
      <c r="JE557" s="36"/>
      <c r="JF557" s="36"/>
      <c r="JG557" s="36"/>
      <c r="JH557" s="36"/>
      <c r="JI557" s="36"/>
      <c r="JJ557" s="36"/>
      <c r="JK557" s="36"/>
      <c r="JL557" s="36"/>
      <c r="JM557" s="36"/>
      <c r="JN557" s="36"/>
      <c r="JO557" s="36"/>
      <c r="JP557" s="36"/>
      <c r="JQ557" s="36"/>
      <c r="JR557" s="36"/>
      <c r="JS557" s="36"/>
      <c r="JT557" s="36"/>
      <c r="JU557" s="36"/>
      <c r="JV557" s="36"/>
      <c r="JW557" s="36"/>
      <c r="JX557" s="36"/>
      <c r="JY557" s="36"/>
      <c r="JZ557" s="36"/>
      <c r="KA557" s="36"/>
      <c r="KB557" s="36"/>
      <c r="KC557" s="36"/>
      <c r="KD557" s="36"/>
      <c r="KE557" s="36"/>
      <c r="KF557" s="36"/>
      <c r="KG557" s="36"/>
      <c r="KH557" s="36"/>
      <c r="KI557" s="36"/>
      <c r="KJ557" s="36"/>
      <c r="KK557" s="36"/>
      <c r="KL557" s="36"/>
      <c r="KM557" s="36"/>
      <c r="KN557" s="36"/>
      <c r="KO557" s="36"/>
      <c r="KP557" s="36"/>
      <c r="KQ557" s="36"/>
      <c r="KR557" s="36"/>
      <c r="KS557" s="36"/>
      <c r="KT557" s="36"/>
      <c r="KU557" s="36"/>
      <c r="KV557" s="36"/>
      <c r="KW557" s="36"/>
      <c r="KX557" s="36"/>
      <c r="KY557" s="36"/>
      <c r="KZ557" s="36"/>
      <c r="LA557" s="36"/>
      <c r="LB557" s="36"/>
      <c r="LC557" s="36"/>
      <c r="LD557" s="36"/>
      <c r="LE557" s="36"/>
      <c r="LF557" s="36"/>
      <c r="LG557" s="36"/>
      <c r="LH557" s="36"/>
      <c r="LI557" s="36"/>
      <c r="LJ557" s="36"/>
      <c r="LK557" s="36"/>
      <c r="LL557" s="36"/>
      <c r="LM557" s="36"/>
      <c r="LN557" s="36"/>
      <c r="LO557" s="36"/>
      <c r="LP557" s="36"/>
      <c r="LQ557" s="36"/>
      <c r="LR557" s="36"/>
      <c r="LS557" s="36"/>
      <c r="LT557" s="36"/>
      <c r="LU557" s="36"/>
      <c r="LV557" s="36"/>
      <c r="LW557" s="36"/>
      <c r="LX557" s="36"/>
      <c r="LY557" s="36"/>
      <c r="LZ557" s="36"/>
      <c r="MA557" s="36"/>
      <c r="MB557" s="36"/>
      <c r="MC557" s="36"/>
      <c r="MD557" s="36"/>
      <c r="ME557" s="36"/>
      <c r="MF557" s="36"/>
      <c r="MG557" s="36"/>
      <c r="MH557" s="36"/>
      <c r="MI557" s="36"/>
      <c r="MJ557" s="36"/>
      <c r="MK557" s="36"/>
      <c r="ML557" s="36"/>
      <c r="MM557" s="36"/>
      <c r="MN557" s="36"/>
      <c r="MO557" s="36"/>
      <c r="MP557" s="36"/>
      <c r="MQ557" s="36"/>
      <c r="MR557" s="36"/>
      <c r="MS557" s="36"/>
      <c r="MT557" s="36"/>
      <c r="MU557" s="36"/>
      <c r="MV557" s="36"/>
      <c r="MW557" s="36"/>
      <c r="MX557" s="36"/>
      <c r="MY557" s="36"/>
      <c r="MZ557" s="36"/>
      <c r="NA557" s="36"/>
      <c r="NB557" s="36"/>
      <c r="NC557" s="36"/>
      <c r="ND557" s="36"/>
      <c r="NE557" s="36"/>
      <c r="NF557" s="36"/>
      <c r="NG557" s="36"/>
      <c r="NH557" s="36"/>
      <c r="NI557" s="36"/>
      <c r="NJ557" s="36"/>
      <c r="NK557" s="36"/>
      <c r="NL557" s="36"/>
      <c r="NM557" s="36"/>
      <c r="NN557" s="36"/>
      <c r="NO557" s="36"/>
      <c r="NP557" s="36"/>
      <c r="NQ557" s="36"/>
      <c r="NR557" s="36"/>
      <c r="NS557" s="36"/>
      <c r="NT557" s="36"/>
      <c r="NU557" s="36"/>
      <c r="NV557" s="36"/>
      <c r="NW557" s="36"/>
      <c r="NX557" s="36"/>
      <c r="NY557" s="36"/>
      <c r="NZ557" s="36"/>
      <c r="OA557" s="36"/>
      <c r="OB557" s="36"/>
      <c r="OC557" s="36"/>
      <c r="OD557" s="36"/>
      <c r="OE557" s="36"/>
      <c r="OF557" s="36"/>
      <c r="OG557" s="36"/>
      <c r="OH557" s="36"/>
      <c r="OI557" s="36"/>
      <c r="OJ557" s="36"/>
      <c r="OK557" s="36"/>
      <c r="OL557" s="36"/>
      <c r="OM557" s="36"/>
      <c r="ON557" s="36"/>
      <c r="OO557" s="36"/>
      <c r="OP557" s="36"/>
      <c r="OQ557" s="36"/>
      <c r="OR557" s="36"/>
      <c r="OS557" s="36"/>
      <c r="OT557" s="36"/>
      <c r="OU557" s="36"/>
      <c r="OV557" s="36"/>
      <c r="OW557" s="36"/>
      <c r="OX557" s="36"/>
      <c r="OY557" s="36"/>
      <c r="OZ557" s="36"/>
      <c r="PA557" s="36"/>
      <c r="PB557" s="36"/>
      <c r="PC557" s="36"/>
      <c r="PD557" s="36"/>
      <c r="PE557" s="36"/>
      <c r="PF557" s="36"/>
      <c r="PG557" s="36"/>
      <c r="PH557" s="36"/>
      <c r="PI557" s="36"/>
      <c r="PJ557" s="36"/>
      <c r="PK557" s="36"/>
      <c r="PL557" s="36"/>
      <c r="PM557" s="36"/>
      <c r="PN557" s="36"/>
      <c r="PO557" s="36"/>
      <c r="PP557" s="36"/>
      <c r="PQ557" s="36"/>
      <c r="PR557" s="36"/>
      <c r="PS557" s="36"/>
      <c r="PT557" s="36"/>
      <c r="PU557" s="36"/>
      <c r="PV557" s="36"/>
      <c r="PW557" s="36"/>
      <c r="PX557" s="36"/>
      <c r="PY557" s="36"/>
      <c r="PZ557" s="36"/>
      <c r="QA557" s="36"/>
      <c r="QB557" s="36"/>
      <c r="QC557" s="36"/>
      <c r="QD557" s="36"/>
      <c r="QE557" s="36"/>
      <c r="QF557" s="36"/>
      <c r="QG557" s="36"/>
      <c r="QH557" s="36"/>
      <c r="QI557" s="36"/>
      <c r="QJ557" s="36"/>
      <c r="QK557" s="36"/>
      <c r="QL557" s="36"/>
      <c r="QM557" s="36"/>
      <c r="QN557" s="36"/>
      <c r="QO557" s="36"/>
      <c r="QP557" s="36"/>
      <c r="QQ557" s="36"/>
      <c r="QR557" s="36"/>
      <c r="QS557" s="36"/>
      <c r="QT557" s="36"/>
      <c r="QU557" s="36"/>
      <c r="QV557" s="36"/>
      <c r="QW557" s="36"/>
      <c r="QX557" s="36"/>
      <c r="QY557" s="36"/>
      <c r="QZ557" s="36"/>
      <c r="RA557" s="36"/>
      <c r="RB557" s="36"/>
      <c r="RC557" s="36"/>
      <c r="RD557" s="36"/>
      <c r="RE557" s="36"/>
      <c r="RF557" s="36"/>
      <c r="RG557" s="36"/>
      <c r="RH557" s="36"/>
      <c r="RI557" s="36"/>
      <c r="RJ557" s="36"/>
      <c r="RK557" s="36"/>
      <c r="RL557" s="36"/>
      <c r="RM557" s="36"/>
      <c r="RN557" s="36"/>
      <c r="RO557" s="36"/>
      <c r="RP557" s="36"/>
      <c r="RQ557" s="36"/>
      <c r="RR557" s="36"/>
      <c r="RS557" s="36"/>
      <c r="RT557" s="36"/>
      <c r="RU557" s="36"/>
      <c r="RV557" s="36"/>
      <c r="RW557" s="36"/>
      <c r="RX557" s="36"/>
      <c r="RY557" s="36"/>
      <c r="RZ557" s="36"/>
      <c r="SA557" s="36"/>
      <c r="SB557" s="36"/>
      <c r="SC557" s="36"/>
      <c r="SD557" s="36"/>
      <c r="SE557" s="36"/>
      <c r="SF557" s="36"/>
      <c r="SG557" s="36"/>
      <c r="SH557" s="36"/>
      <c r="SI557" s="36"/>
      <c r="SJ557" s="36"/>
      <c r="SK557" s="36"/>
      <c r="SL557" s="36"/>
      <c r="SM557" s="36"/>
      <c r="SN557" s="36"/>
      <c r="SO557" s="36"/>
      <c r="SP557" s="36"/>
      <c r="SQ557" s="36"/>
      <c r="SR557" s="36"/>
      <c r="SS557" s="36"/>
      <c r="ST557" s="36"/>
      <c r="SU557" s="36"/>
      <c r="SV557" s="36"/>
      <c r="SW557" s="36"/>
      <c r="SX557" s="36"/>
      <c r="SY557" s="36"/>
      <c r="SZ557" s="36"/>
      <c r="TA557" s="36"/>
      <c r="TB557" s="36"/>
      <c r="TC557" s="36"/>
      <c r="TD557" s="36"/>
      <c r="TE557" s="36"/>
      <c r="TF557" s="36"/>
      <c r="TG557" s="36"/>
      <c r="TH557" s="36"/>
      <c r="TI557" s="36"/>
      <c r="TJ557" s="36"/>
      <c r="TK557" s="36"/>
      <c r="TL557" s="36"/>
      <c r="TM557" s="36"/>
      <c r="TN557" s="36"/>
      <c r="TO557" s="36"/>
      <c r="TP557" s="36"/>
      <c r="TQ557" s="36"/>
      <c r="TR557" s="36"/>
      <c r="TS557" s="36"/>
      <c r="TT557" s="36"/>
      <c r="TU557" s="36"/>
      <c r="TV557" s="36"/>
      <c r="TW557" s="36"/>
      <c r="TX557" s="36"/>
      <c r="TY557" s="36"/>
      <c r="TZ557" s="36"/>
      <c r="UA557" s="36"/>
      <c r="UB557" s="36"/>
      <c r="UC557" s="36"/>
      <c r="UD557" s="36"/>
      <c r="UE557" s="36"/>
      <c r="UF557" s="36"/>
      <c r="UG557" s="37"/>
    </row>
    <row r="558" spans="1:553" ht="135.75" customHeight="1">
      <c r="A558" s="356" t="s">
        <v>15</v>
      </c>
      <c r="B558" s="366"/>
      <c r="C558" s="1414" t="s">
        <v>818</v>
      </c>
      <c r="D558" s="1389"/>
      <c r="E558" s="1389"/>
      <c r="F558" s="1390"/>
      <c r="G558" s="366" t="s">
        <v>68</v>
      </c>
      <c r="H558" s="370"/>
      <c r="I558" s="370">
        <v>1</v>
      </c>
      <c r="J558" s="368"/>
      <c r="K558" s="371"/>
      <c r="L558" s="366"/>
      <c r="M558" s="366"/>
      <c r="N558" s="366"/>
      <c r="O558" s="366"/>
      <c r="P558" s="366"/>
      <c r="Q558" s="812"/>
      <c r="R558" s="421" t="s">
        <v>1042</v>
      </c>
      <c r="S558" s="308"/>
      <c r="T558" s="308"/>
      <c r="U558" s="308"/>
      <c r="V558" s="308"/>
      <c r="W558" s="308"/>
      <c r="X558" s="308"/>
      <c r="Y558" s="308"/>
      <c r="Z558" s="604"/>
      <c r="AA558" s="308"/>
      <c r="AB558" s="308"/>
      <c r="AC558" s="449"/>
      <c r="AD558" s="449"/>
      <c r="AE558" s="449"/>
      <c r="AF558" s="449"/>
      <c r="AG558" s="449"/>
      <c r="AH558" s="449"/>
      <c r="AI558" s="449"/>
      <c r="AJ558" s="449"/>
      <c r="AK558" s="452"/>
      <c r="AL558" s="104"/>
      <c r="AM558" s="32"/>
      <c r="AN558" s="32"/>
      <c r="AO558" s="32"/>
      <c r="AP558" s="32"/>
      <c r="AQ558" s="32"/>
      <c r="AR558" s="32"/>
      <c r="AS558" s="31"/>
      <c r="AT558" s="31"/>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25"/>
      <c r="BQ558" s="25"/>
      <c r="BR558" s="25"/>
      <c r="BS558" s="25"/>
      <c r="BT558" s="25"/>
      <c r="BU558" s="25"/>
      <c r="BV558" s="25"/>
      <c r="BW558" s="25"/>
      <c r="BX558" s="25"/>
      <c r="BY558" s="25"/>
      <c r="BZ558" s="25"/>
      <c r="CA558" s="25"/>
      <c r="CB558" s="25"/>
      <c r="CC558" s="25"/>
      <c r="CD558" s="25"/>
      <c r="CE558" s="25"/>
      <c r="CF558" s="25"/>
      <c r="CG558" s="25"/>
      <c r="CH558" s="25"/>
      <c r="CI558" s="25"/>
      <c r="CJ558" s="25"/>
      <c r="CK558" s="25"/>
      <c r="CL558" s="25"/>
      <c r="CM558" s="25"/>
      <c r="CN558" s="25"/>
      <c r="CO558" s="25"/>
      <c r="CP558" s="25"/>
      <c r="CQ558" s="25"/>
      <c r="CR558" s="25"/>
      <c r="CS558" s="25"/>
      <c r="CT558" s="25"/>
      <c r="CU558" s="25"/>
      <c r="CV558" s="25"/>
      <c r="CW558" s="25"/>
      <c r="CX558" s="25"/>
      <c r="CY558" s="25"/>
      <c r="CZ558" s="25"/>
      <c r="DA558" s="25"/>
      <c r="DB558" s="25"/>
      <c r="DC558" s="25"/>
      <c r="DD558" s="25"/>
      <c r="DE558" s="25"/>
      <c r="DF558" s="25"/>
      <c r="DG558" s="25"/>
      <c r="DH558" s="25"/>
      <c r="DI558" s="25"/>
      <c r="DJ558" s="25"/>
      <c r="DK558" s="25"/>
      <c r="DL558" s="25"/>
      <c r="DM558" s="25"/>
      <c r="DN558" s="25"/>
      <c r="DO558" s="25"/>
      <c r="DP558" s="25"/>
      <c r="DQ558" s="25"/>
      <c r="DR558" s="25"/>
      <c r="DS558" s="25"/>
      <c r="DT558" s="25"/>
      <c r="DU558" s="25"/>
      <c r="DV558" s="25"/>
      <c r="DW558" s="25"/>
      <c r="DX558" s="25"/>
      <c r="DY558" s="25"/>
      <c r="DZ558" s="25"/>
      <c r="EA558" s="25"/>
      <c r="EB558" s="25"/>
      <c r="EC558" s="25"/>
      <c r="ED558" s="25"/>
      <c r="EE558" s="25"/>
      <c r="EF558" s="25"/>
      <c r="EG558" s="25"/>
      <c r="EH558" s="25"/>
      <c r="EI558" s="25"/>
      <c r="EJ558" s="25"/>
      <c r="EK558" s="25"/>
      <c r="EL558" s="25"/>
      <c r="EM558" s="25"/>
      <c r="EN558" s="25"/>
      <c r="EO558" s="25"/>
      <c r="EP558" s="25"/>
      <c r="EQ558" s="25"/>
      <c r="ER558" s="25"/>
      <c r="ES558" s="25"/>
      <c r="ET558" s="25"/>
      <c r="EU558" s="25"/>
      <c r="EV558" s="25"/>
      <c r="EW558" s="25"/>
      <c r="EX558" s="25"/>
      <c r="EY558" s="25"/>
      <c r="EZ558" s="25"/>
      <c r="FA558" s="25"/>
      <c r="FB558" s="25"/>
      <c r="FC558" s="25"/>
      <c r="FD558" s="25"/>
      <c r="FE558" s="25"/>
      <c r="FF558" s="25"/>
      <c r="FG558" s="25"/>
      <c r="FH558" s="25"/>
      <c r="FI558" s="25"/>
      <c r="FJ558" s="25"/>
      <c r="FK558" s="25"/>
      <c r="FL558" s="25"/>
      <c r="FM558" s="25"/>
      <c r="FN558" s="25"/>
      <c r="FO558" s="25"/>
      <c r="FP558" s="25"/>
      <c r="FQ558" s="25"/>
      <c r="FR558" s="25"/>
      <c r="FS558" s="25"/>
      <c r="FT558" s="25"/>
      <c r="FU558" s="25"/>
      <c r="FV558" s="25"/>
      <c r="FW558" s="25"/>
      <c r="FX558" s="25"/>
      <c r="FY558" s="25"/>
      <c r="FZ558" s="25"/>
      <c r="GA558" s="25"/>
      <c r="GB558" s="25"/>
      <c r="GC558" s="25"/>
      <c r="GD558" s="25"/>
      <c r="GE558" s="25"/>
      <c r="GF558" s="25"/>
      <c r="GG558" s="25"/>
      <c r="GH558" s="25"/>
      <c r="GI558" s="25"/>
      <c r="GJ558" s="25"/>
      <c r="GK558" s="25"/>
      <c r="GL558" s="25"/>
      <c r="GM558" s="25"/>
      <c r="GN558" s="25"/>
      <c r="GO558" s="25"/>
      <c r="GP558" s="25"/>
      <c r="GQ558" s="25"/>
      <c r="GR558" s="25"/>
      <c r="GS558" s="25"/>
      <c r="GT558" s="25"/>
      <c r="GU558" s="25"/>
      <c r="GV558" s="25"/>
      <c r="GW558" s="25"/>
      <c r="GX558" s="25"/>
      <c r="GY558" s="25"/>
      <c r="GZ558" s="25"/>
      <c r="HA558" s="25"/>
      <c r="HB558" s="25"/>
      <c r="HC558" s="25"/>
      <c r="HD558" s="25"/>
      <c r="HE558" s="25"/>
      <c r="HF558" s="25"/>
      <c r="HG558" s="25"/>
      <c r="HH558" s="25"/>
      <c r="HI558" s="25"/>
      <c r="HJ558" s="25"/>
      <c r="HK558" s="25"/>
      <c r="HL558" s="25"/>
      <c r="HM558" s="25"/>
      <c r="HN558" s="25"/>
      <c r="HO558" s="25"/>
      <c r="HP558" s="25"/>
      <c r="HQ558" s="25"/>
      <c r="HR558" s="25"/>
      <c r="HS558" s="25"/>
      <c r="HT558" s="25"/>
      <c r="HU558" s="25"/>
      <c r="HV558" s="25"/>
      <c r="HW558" s="25"/>
      <c r="HX558" s="25"/>
      <c r="HY558" s="25"/>
      <c r="HZ558" s="25"/>
      <c r="IA558" s="25"/>
      <c r="IB558" s="25"/>
      <c r="IC558" s="25"/>
      <c r="ID558" s="25"/>
      <c r="IE558" s="25"/>
      <c r="IF558" s="25"/>
      <c r="IG558" s="25"/>
      <c r="IH558" s="25"/>
      <c r="II558" s="25"/>
      <c r="IJ558" s="25"/>
      <c r="IK558" s="25"/>
      <c r="IL558" s="25"/>
      <c r="IM558" s="25"/>
      <c r="IN558" s="25"/>
      <c r="IO558" s="25"/>
      <c r="IP558" s="25"/>
      <c r="IQ558" s="25"/>
      <c r="IR558" s="25"/>
      <c r="IS558" s="25"/>
      <c r="IT558" s="25"/>
      <c r="IU558" s="25"/>
      <c r="IV558" s="25"/>
      <c r="IW558" s="25"/>
      <c r="IX558" s="25"/>
      <c r="IY558" s="25"/>
      <c r="IZ558" s="25"/>
      <c r="JA558" s="25"/>
      <c r="JB558" s="25"/>
      <c r="JC558" s="25"/>
      <c r="JD558" s="25"/>
      <c r="JE558" s="25"/>
      <c r="JF558" s="25"/>
      <c r="JG558" s="25"/>
      <c r="JH558" s="25"/>
      <c r="JI558" s="25"/>
      <c r="JJ558" s="25"/>
      <c r="JK558" s="25"/>
      <c r="JL558" s="25"/>
      <c r="JM558" s="25"/>
      <c r="JN558" s="25"/>
      <c r="JO558" s="25"/>
      <c r="JP558" s="25"/>
      <c r="JQ558" s="25"/>
      <c r="JR558" s="25"/>
      <c r="JS558" s="25"/>
      <c r="JT558" s="25"/>
      <c r="JU558" s="25"/>
      <c r="JV558" s="25"/>
      <c r="JW558" s="25"/>
      <c r="JX558" s="25"/>
      <c r="JY558" s="25"/>
      <c r="JZ558" s="25"/>
      <c r="KA558" s="25"/>
      <c r="KB558" s="25"/>
      <c r="KC558" s="25"/>
      <c r="KD558" s="25"/>
      <c r="KE558" s="25"/>
      <c r="KF558" s="25"/>
      <c r="KG558" s="25"/>
      <c r="KH558" s="25"/>
      <c r="KI558" s="25"/>
      <c r="KJ558" s="25"/>
      <c r="KK558" s="25"/>
      <c r="KL558" s="25"/>
      <c r="KM558" s="25"/>
      <c r="KN558" s="25"/>
      <c r="KO558" s="25"/>
      <c r="KP558" s="25"/>
      <c r="KQ558" s="25"/>
      <c r="KR558" s="25"/>
      <c r="KS558" s="25"/>
      <c r="KT558" s="25"/>
      <c r="KU558" s="25"/>
      <c r="KV558" s="25"/>
      <c r="KW558" s="25"/>
      <c r="KX558" s="25"/>
      <c r="KY558" s="25"/>
      <c r="KZ558" s="25"/>
      <c r="LA558" s="25"/>
      <c r="LB558" s="25"/>
      <c r="LC558" s="25"/>
      <c r="LD558" s="25"/>
      <c r="LE558" s="25"/>
      <c r="LF558" s="25"/>
      <c r="LG558" s="25"/>
      <c r="LH558" s="25"/>
      <c r="LI558" s="25"/>
      <c r="LJ558" s="25"/>
      <c r="LK558" s="25"/>
      <c r="LL558" s="25"/>
      <c r="LM558" s="25"/>
      <c r="LN558" s="25"/>
      <c r="LO558" s="25"/>
      <c r="LP558" s="25"/>
      <c r="LQ558" s="25"/>
      <c r="LR558" s="25"/>
      <c r="LS558" s="25"/>
      <c r="LT558" s="25"/>
      <c r="LU558" s="25"/>
      <c r="LV558" s="25"/>
      <c r="LW558" s="25"/>
      <c r="LX558" s="25"/>
      <c r="LY558" s="25"/>
      <c r="LZ558" s="25"/>
      <c r="MA558" s="25"/>
      <c r="MB558" s="25"/>
      <c r="MC558" s="25"/>
      <c r="MD558" s="25"/>
      <c r="ME558" s="25"/>
      <c r="MF558" s="25"/>
      <c r="MG558" s="25"/>
      <c r="MH558" s="25"/>
      <c r="MI558" s="25"/>
      <c r="MJ558" s="25"/>
      <c r="MK558" s="25"/>
      <c r="ML558" s="25"/>
      <c r="MM558" s="25"/>
      <c r="MN558" s="25"/>
      <c r="MO558" s="25"/>
      <c r="MP558" s="25"/>
      <c r="MQ558" s="25"/>
      <c r="MR558" s="25"/>
      <c r="MS558" s="25"/>
      <c r="MT558" s="25"/>
      <c r="MU558" s="25"/>
      <c r="MV558" s="25"/>
      <c r="MW558" s="25"/>
      <c r="MX558" s="25"/>
      <c r="MY558" s="25"/>
      <c r="MZ558" s="25"/>
      <c r="NA558" s="25"/>
      <c r="NB558" s="25"/>
      <c r="NC558" s="25"/>
      <c r="ND558" s="25"/>
      <c r="NE558" s="25"/>
      <c r="NF558" s="25"/>
      <c r="NG558" s="25"/>
      <c r="NH558" s="25"/>
      <c r="NI558" s="25"/>
      <c r="NJ558" s="25"/>
      <c r="NK558" s="25"/>
      <c r="NL558" s="25"/>
      <c r="NM558" s="25"/>
      <c r="NN558" s="25"/>
      <c r="NO558" s="25"/>
      <c r="NP558" s="25"/>
      <c r="NQ558" s="25"/>
      <c r="NR558" s="25"/>
      <c r="NS558" s="25"/>
      <c r="NT558" s="25"/>
      <c r="NU558" s="25"/>
      <c r="NV558" s="25"/>
      <c r="NW558" s="25"/>
      <c r="NX558" s="25"/>
      <c r="NY558" s="25"/>
      <c r="NZ558" s="25"/>
      <c r="OA558" s="25"/>
      <c r="OB558" s="25"/>
      <c r="OC558" s="25"/>
      <c r="OD558" s="25"/>
      <c r="OE558" s="25"/>
      <c r="OF558" s="25"/>
      <c r="OG558" s="25"/>
      <c r="OH558" s="25"/>
      <c r="OI558" s="25"/>
      <c r="OJ558" s="25"/>
      <c r="OK558" s="25"/>
      <c r="OL558" s="25"/>
      <c r="OM558" s="25"/>
      <c r="ON558" s="25"/>
      <c r="OO558" s="25"/>
      <c r="OP558" s="25"/>
      <c r="OQ558" s="25"/>
      <c r="OR558" s="25"/>
      <c r="OS558" s="25"/>
      <c r="OT558" s="25"/>
      <c r="OU558" s="25"/>
      <c r="OV558" s="25"/>
      <c r="OW558" s="25"/>
      <c r="OX558" s="25"/>
      <c r="OY558" s="25"/>
      <c r="OZ558" s="25"/>
      <c r="PA558" s="25"/>
      <c r="PB558" s="25"/>
      <c r="PC558" s="25"/>
      <c r="PD558" s="25"/>
      <c r="PE558" s="25"/>
      <c r="PF558" s="25"/>
      <c r="PG558" s="25"/>
      <c r="PH558" s="25"/>
      <c r="PI558" s="25"/>
      <c r="PJ558" s="25"/>
      <c r="PK558" s="25"/>
      <c r="PL558" s="25"/>
      <c r="PM558" s="25"/>
      <c r="PN558" s="25"/>
      <c r="PO558" s="25"/>
      <c r="PP558" s="25"/>
      <c r="PQ558" s="25"/>
      <c r="PR558" s="25"/>
      <c r="PS558" s="25"/>
      <c r="PT558" s="25"/>
      <c r="PU558" s="25"/>
      <c r="PV558" s="25"/>
      <c r="PW558" s="25"/>
      <c r="PX558" s="25"/>
      <c r="PY558" s="25"/>
      <c r="PZ558" s="25"/>
      <c r="QA558" s="25"/>
      <c r="QB558" s="25"/>
      <c r="QC558" s="25"/>
      <c r="QD558" s="25"/>
      <c r="QE558" s="25"/>
      <c r="QF558" s="25"/>
      <c r="QG558" s="25"/>
      <c r="QH558" s="25"/>
      <c r="QI558" s="25"/>
      <c r="QJ558" s="25"/>
      <c r="QK558" s="25"/>
      <c r="QL558" s="25"/>
      <c r="QM558" s="25"/>
      <c r="QN558" s="25"/>
      <c r="QO558" s="25"/>
      <c r="QP558" s="25"/>
      <c r="QQ558" s="25"/>
      <c r="QR558" s="25"/>
      <c r="QS558" s="25"/>
      <c r="QT558" s="25"/>
      <c r="QU558" s="25"/>
      <c r="QV558" s="25"/>
      <c r="QW558" s="25"/>
      <c r="QX558" s="25"/>
      <c r="QY558" s="25"/>
      <c r="QZ558" s="25"/>
      <c r="RA558" s="25"/>
      <c r="RB558" s="25"/>
      <c r="RC558" s="25"/>
      <c r="RD558" s="25"/>
      <c r="RE558" s="25"/>
      <c r="RF558" s="25"/>
      <c r="RG558" s="25"/>
      <c r="RH558" s="25"/>
      <c r="RI558" s="25"/>
      <c r="RJ558" s="25"/>
      <c r="RK558" s="25"/>
      <c r="RL558" s="25"/>
      <c r="RM558" s="25"/>
      <c r="RN558" s="25"/>
      <c r="RO558" s="25"/>
      <c r="RP558" s="25"/>
      <c r="RQ558" s="25"/>
      <c r="RR558" s="25"/>
      <c r="RS558" s="25"/>
      <c r="RT558" s="25"/>
      <c r="RU558" s="25"/>
      <c r="RV558" s="25"/>
      <c r="RW558" s="25"/>
      <c r="RX558" s="25"/>
      <c r="RY558" s="25"/>
      <c r="RZ558" s="25"/>
      <c r="SA558" s="25"/>
      <c r="SB558" s="25"/>
      <c r="SC558" s="25"/>
      <c r="SD558" s="25"/>
      <c r="SE558" s="25"/>
      <c r="SF558" s="25"/>
      <c r="SG558" s="25"/>
      <c r="SH558" s="25"/>
      <c r="SI558" s="25"/>
      <c r="SJ558" s="25"/>
      <c r="SK558" s="25"/>
      <c r="SL558" s="25"/>
      <c r="SM558" s="25"/>
      <c r="SN558" s="25"/>
      <c r="SO558" s="25"/>
      <c r="SP558" s="25"/>
      <c r="SQ558" s="25"/>
      <c r="SR558" s="25"/>
      <c r="SS558" s="25"/>
      <c r="ST558" s="25"/>
      <c r="SU558" s="25"/>
      <c r="SV558" s="25"/>
      <c r="SW558" s="25"/>
      <c r="SX558" s="25"/>
      <c r="SY558" s="25"/>
      <c r="SZ558" s="25"/>
      <c r="TA558" s="25"/>
      <c r="TB558" s="25"/>
      <c r="TC558" s="25"/>
      <c r="TD558" s="25"/>
      <c r="TE558" s="25"/>
      <c r="TF558" s="25"/>
      <c r="TG558" s="25"/>
      <c r="TH558" s="25"/>
      <c r="TI558" s="25"/>
      <c r="TJ558" s="25"/>
      <c r="TK558" s="25"/>
      <c r="TL558" s="25"/>
      <c r="TM558" s="25"/>
      <c r="TN558" s="25"/>
      <c r="TO558" s="25"/>
      <c r="TP558" s="25"/>
      <c r="TQ558" s="25"/>
      <c r="TR558" s="25"/>
      <c r="TS558" s="25"/>
      <c r="TT558" s="25"/>
      <c r="TU558" s="25"/>
      <c r="TV558" s="25"/>
      <c r="TW558" s="25"/>
      <c r="TX558" s="25"/>
      <c r="TY558" s="25"/>
      <c r="TZ558" s="25"/>
      <c r="UA558" s="25"/>
      <c r="UB558" s="25"/>
      <c r="UC558" s="25"/>
      <c r="UD558" s="25"/>
      <c r="UE558" s="25"/>
      <c r="UF558" s="25"/>
      <c r="UG558" s="26"/>
    </row>
    <row r="559" spans="1:553" s="162" customFormat="1" ht="49.5" customHeight="1">
      <c r="A559" s="431">
        <v>6</v>
      </c>
      <c r="B559" s="431"/>
      <c r="C559" s="458" t="s">
        <v>392</v>
      </c>
      <c r="D559" s="1211"/>
      <c r="E559" s="1211"/>
      <c r="F559" s="1212"/>
      <c r="G559" s="431"/>
      <c r="H559" s="432"/>
      <c r="I559" s="432"/>
      <c r="J559" s="983"/>
      <c r="K559" s="433"/>
      <c r="L559" s="431">
        <f>SUM(L560:L671)/2</f>
        <v>907338211.91759324</v>
      </c>
      <c r="M559" s="431"/>
      <c r="N559" s="431"/>
      <c r="O559" s="431"/>
      <c r="P559" s="431">
        <f>P563+P566+P630+P665+P667+P668</f>
        <v>907338211.91759324</v>
      </c>
      <c r="Q559" s="815"/>
      <c r="R559" s="1241"/>
      <c r="S559" s="308">
        <v>1</v>
      </c>
      <c r="T559" s="308">
        <v>465</v>
      </c>
      <c r="U559" s="1092">
        <f>H563</f>
        <v>1613.5</v>
      </c>
      <c r="V559" s="1092">
        <f>I563</f>
        <v>1613.5</v>
      </c>
      <c r="W559" s="308">
        <f>SUM(W560:W565)</f>
        <v>0</v>
      </c>
      <c r="X559" s="308">
        <f t="shared" ref="X559:AC559" si="98">SUM(X560:X565)</f>
        <v>0</v>
      </c>
      <c r="Y559" s="308">
        <f t="shared" si="98"/>
        <v>0</v>
      </c>
      <c r="Z559" s="308">
        <f t="shared" si="98"/>
        <v>0</v>
      </c>
      <c r="AA559" s="308">
        <f t="shared" si="98"/>
        <v>0</v>
      </c>
      <c r="AB559" s="308">
        <f t="shared" si="98"/>
        <v>1213.5</v>
      </c>
      <c r="AC559" s="308">
        <f t="shared" si="98"/>
        <v>400</v>
      </c>
      <c r="AD559" s="437">
        <f>L563</f>
        <v>228810000</v>
      </c>
      <c r="AE559" s="437">
        <f>L566</f>
        <v>552295932.6335932</v>
      </c>
      <c r="AF559" s="437">
        <f>L630</f>
        <v>121232279.28399999</v>
      </c>
      <c r="AG559" s="437">
        <f>L665</f>
        <v>5000000</v>
      </c>
      <c r="AH559" s="437">
        <f>L667</f>
        <v>0</v>
      </c>
      <c r="AI559" s="437">
        <f>L668</f>
        <v>0</v>
      </c>
      <c r="AJ559" s="437"/>
      <c r="AK559" s="437">
        <f>SUM(AD559:AJ559)</f>
        <v>907338211.91759324</v>
      </c>
      <c r="AL559" s="296"/>
      <c r="AM559" s="158"/>
      <c r="AN559" s="158"/>
      <c r="AO559" s="159"/>
      <c r="AP559" s="159"/>
      <c r="AQ559" s="159"/>
      <c r="AR559" s="159"/>
      <c r="AS559" s="170"/>
      <c r="AT559" s="170"/>
      <c r="AU559" s="170"/>
      <c r="AV559" s="170"/>
      <c r="AW559" s="170"/>
      <c r="AX559" s="170"/>
      <c r="AY559" s="170"/>
      <c r="AZ559" s="170"/>
      <c r="BA559" s="170"/>
      <c r="BB559" s="170"/>
      <c r="BC559" s="170"/>
      <c r="BD559" s="170"/>
      <c r="BE559" s="170"/>
      <c r="BF559" s="170"/>
      <c r="BG559" s="170"/>
      <c r="BH559" s="170"/>
      <c r="BI559" s="170"/>
      <c r="BJ559" s="170"/>
      <c r="BK559" s="170"/>
      <c r="BL559" s="170"/>
      <c r="BM559" s="170"/>
      <c r="BN559" s="170"/>
      <c r="BO559" s="170"/>
      <c r="BP559" s="170"/>
      <c r="BQ559" s="170"/>
      <c r="BR559" s="170"/>
      <c r="BS559" s="170"/>
      <c r="BT559" s="170"/>
      <c r="BU559" s="170"/>
      <c r="BV559" s="170"/>
      <c r="BW559" s="170"/>
      <c r="BX559" s="170"/>
      <c r="BY559" s="170"/>
      <c r="BZ559" s="170"/>
      <c r="CA559" s="170"/>
      <c r="CB559" s="170"/>
      <c r="CC559" s="170"/>
      <c r="CD559" s="170"/>
      <c r="CE559" s="170"/>
      <c r="CF559" s="170"/>
      <c r="CG559" s="170"/>
      <c r="CH559" s="170"/>
      <c r="CI559" s="170"/>
      <c r="CJ559" s="170"/>
      <c r="CK559" s="170"/>
      <c r="CL559" s="170"/>
      <c r="CM559" s="170"/>
      <c r="CN559" s="170"/>
      <c r="CO559" s="170"/>
      <c r="CP559" s="170"/>
      <c r="CQ559" s="170"/>
      <c r="CR559" s="170"/>
      <c r="CS559" s="170"/>
      <c r="CT559" s="170"/>
      <c r="CU559" s="170"/>
      <c r="CV559" s="170"/>
      <c r="CW559" s="170"/>
      <c r="CX559" s="170"/>
      <c r="CY559" s="170"/>
      <c r="CZ559" s="170"/>
      <c r="DA559" s="170"/>
      <c r="DB559" s="170"/>
      <c r="DC559" s="170"/>
      <c r="DD559" s="170"/>
      <c r="DE559" s="170"/>
      <c r="DF559" s="170"/>
      <c r="DG559" s="170"/>
      <c r="DH559" s="170"/>
      <c r="DI559" s="170"/>
      <c r="DJ559" s="170"/>
      <c r="DK559" s="170"/>
      <c r="DL559" s="170"/>
      <c r="DM559" s="170"/>
      <c r="DN559" s="170"/>
      <c r="DO559" s="170"/>
      <c r="DP559" s="170"/>
      <c r="DQ559" s="170"/>
      <c r="DR559" s="170"/>
      <c r="DS559" s="170"/>
      <c r="DT559" s="170"/>
      <c r="DU559" s="170"/>
      <c r="DV559" s="170"/>
      <c r="DW559" s="170"/>
      <c r="DX559" s="170"/>
      <c r="DY559" s="170"/>
      <c r="DZ559" s="170"/>
      <c r="EA559" s="170"/>
      <c r="EB559" s="170"/>
      <c r="EC559" s="170"/>
      <c r="ED559" s="170"/>
      <c r="EE559" s="170"/>
      <c r="EF559" s="170"/>
      <c r="EG559" s="170"/>
      <c r="EH559" s="170"/>
      <c r="EI559" s="170"/>
      <c r="EJ559" s="170"/>
      <c r="EK559" s="170"/>
      <c r="EL559" s="170"/>
      <c r="EM559" s="170"/>
      <c r="EN559" s="170"/>
      <c r="EO559" s="170"/>
      <c r="EP559" s="170"/>
      <c r="EQ559" s="170"/>
      <c r="ER559" s="170"/>
      <c r="ES559" s="170"/>
      <c r="ET559" s="170"/>
      <c r="EU559" s="170"/>
      <c r="EV559" s="170"/>
      <c r="EW559" s="170"/>
      <c r="EX559" s="170"/>
      <c r="EY559" s="170"/>
      <c r="EZ559" s="170"/>
      <c r="FA559" s="170"/>
      <c r="FB559" s="170"/>
      <c r="FC559" s="170"/>
      <c r="FD559" s="170"/>
      <c r="FE559" s="170"/>
      <c r="FF559" s="170"/>
      <c r="FG559" s="170"/>
      <c r="FH559" s="170"/>
      <c r="FI559" s="170"/>
      <c r="FJ559" s="170"/>
      <c r="FK559" s="170"/>
      <c r="FL559" s="170"/>
      <c r="FM559" s="170"/>
      <c r="FN559" s="170"/>
      <c r="FO559" s="170"/>
      <c r="FP559" s="170"/>
      <c r="FQ559" s="170"/>
      <c r="FR559" s="170"/>
      <c r="FS559" s="170"/>
      <c r="FT559" s="170"/>
      <c r="FU559" s="170"/>
      <c r="FV559" s="170"/>
      <c r="FW559" s="170"/>
      <c r="FX559" s="170"/>
      <c r="FY559" s="170"/>
      <c r="FZ559" s="170"/>
      <c r="GA559" s="170"/>
      <c r="GB559" s="170"/>
      <c r="GC559" s="170"/>
      <c r="GD559" s="170"/>
      <c r="GE559" s="170"/>
      <c r="GF559" s="170"/>
      <c r="GG559" s="170"/>
      <c r="GH559" s="170"/>
      <c r="GI559" s="170"/>
      <c r="GJ559" s="170"/>
      <c r="GK559" s="170"/>
      <c r="GL559" s="170"/>
      <c r="GM559" s="170"/>
      <c r="GN559" s="170"/>
      <c r="GO559" s="170"/>
      <c r="GP559" s="170"/>
      <c r="GQ559" s="170"/>
      <c r="GR559" s="170"/>
      <c r="GS559" s="170"/>
      <c r="GT559" s="170"/>
      <c r="GU559" s="170"/>
      <c r="GV559" s="170"/>
      <c r="GW559" s="170"/>
      <c r="GX559" s="170"/>
      <c r="GY559" s="170"/>
      <c r="GZ559" s="170"/>
      <c r="HA559" s="170"/>
      <c r="HB559" s="170"/>
      <c r="HC559" s="170"/>
      <c r="HD559" s="170"/>
      <c r="HE559" s="170"/>
      <c r="HF559" s="170"/>
      <c r="HG559" s="170"/>
      <c r="HH559" s="170"/>
      <c r="HI559" s="170"/>
      <c r="HJ559" s="170"/>
      <c r="HK559" s="170"/>
      <c r="HL559" s="170"/>
      <c r="HM559" s="170"/>
      <c r="HN559" s="170"/>
      <c r="HO559" s="170"/>
      <c r="HP559" s="170"/>
      <c r="HQ559" s="170"/>
      <c r="HR559" s="170"/>
      <c r="HS559" s="170"/>
      <c r="HT559" s="170"/>
      <c r="HU559" s="170"/>
      <c r="HV559" s="170"/>
      <c r="HW559" s="170"/>
      <c r="HX559" s="170"/>
      <c r="HY559" s="170"/>
      <c r="HZ559" s="170"/>
      <c r="IA559" s="170"/>
      <c r="IB559" s="170"/>
      <c r="IC559" s="170"/>
      <c r="ID559" s="170"/>
      <c r="IE559" s="170"/>
      <c r="IF559" s="170"/>
      <c r="IG559" s="170"/>
      <c r="IH559" s="170"/>
      <c r="II559" s="170"/>
      <c r="IJ559" s="170"/>
      <c r="IK559" s="170"/>
      <c r="IL559" s="170"/>
      <c r="IM559" s="170"/>
      <c r="IN559" s="170"/>
      <c r="IO559" s="170"/>
      <c r="IP559" s="170"/>
      <c r="IQ559" s="170"/>
      <c r="IR559" s="170"/>
      <c r="IS559" s="170"/>
      <c r="IT559" s="170"/>
      <c r="IU559" s="170"/>
      <c r="IV559" s="170"/>
      <c r="IW559" s="170"/>
      <c r="IX559" s="170"/>
      <c r="IY559" s="170"/>
      <c r="IZ559" s="170"/>
      <c r="JA559" s="170"/>
      <c r="JB559" s="170"/>
      <c r="JC559" s="170"/>
      <c r="JD559" s="170"/>
      <c r="JE559" s="170"/>
      <c r="JF559" s="170"/>
      <c r="JG559" s="170"/>
      <c r="JH559" s="170"/>
      <c r="JI559" s="170"/>
      <c r="JJ559" s="170"/>
      <c r="JK559" s="170"/>
      <c r="JL559" s="170"/>
      <c r="JM559" s="170"/>
      <c r="JN559" s="170"/>
      <c r="JO559" s="170"/>
      <c r="JP559" s="170"/>
      <c r="JQ559" s="170"/>
      <c r="JR559" s="170"/>
      <c r="JS559" s="170"/>
      <c r="JT559" s="170"/>
      <c r="JU559" s="170"/>
      <c r="JV559" s="170"/>
      <c r="JW559" s="170"/>
      <c r="JX559" s="170"/>
      <c r="JY559" s="170"/>
      <c r="JZ559" s="170"/>
      <c r="KA559" s="170"/>
      <c r="KB559" s="170"/>
      <c r="KC559" s="170"/>
      <c r="KD559" s="170"/>
      <c r="KE559" s="170"/>
      <c r="KF559" s="170"/>
      <c r="KG559" s="170"/>
      <c r="KH559" s="170"/>
      <c r="KI559" s="170"/>
      <c r="KJ559" s="170"/>
      <c r="KK559" s="170"/>
      <c r="KL559" s="170"/>
      <c r="KM559" s="170"/>
      <c r="KN559" s="170"/>
      <c r="KO559" s="170"/>
      <c r="KP559" s="170"/>
      <c r="KQ559" s="170"/>
      <c r="KR559" s="170"/>
      <c r="KS559" s="170"/>
      <c r="KT559" s="170"/>
      <c r="KU559" s="170"/>
      <c r="KV559" s="170"/>
      <c r="KW559" s="170"/>
      <c r="KX559" s="170"/>
      <c r="KY559" s="170"/>
      <c r="KZ559" s="170"/>
      <c r="LA559" s="170"/>
      <c r="LB559" s="170"/>
      <c r="LC559" s="170"/>
      <c r="LD559" s="170"/>
      <c r="LE559" s="170"/>
      <c r="LF559" s="170"/>
      <c r="LG559" s="170"/>
      <c r="LH559" s="170"/>
      <c r="LI559" s="170"/>
      <c r="LJ559" s="170"/>
      <c r="LK559" s="170"/>
      <c r="LL559" s="170"/>
      <c r="LM559" s="170"/>
      <c r="LN559" s="170"/>
      <c r="LO559" s="170"/>
      <c r="LP559" s="170"/>
      <c r="LQ559" s="170"/>
      <c r="LR559" s="170"/>
      <c r="LS559" s="170"/>
      <c r="LT559" s="170"/>
      <c r="LU559" s="170"/>
      <c r="LV559" s="170"/>
      <c r="LW559" s="170"/>
      <c r="LX559" s="170"/>
      <c r="LY559" s="170"/>
      <c r="LZ559" s="170"/>
      <c r="MA559" s="170"/>
      <c r="MB559" s="170"/>
      <c r="MC559" s="170"/>
      <c r="MD559" s="170"/>
      <c r="ME559" s="170"/>
      <c r="MF559" s="170"/>
      <c r="MG559" s="170"/>
      <c r="MH559" s="170"/>
      <c r="MI559" s="170"/>
      <c r="MJ559" s="170"/>
      <c r="MK559" s="170"/>
      <c r="ML559" s="170"/>
      <c r="MM559" s="170"/>
      <c r="MN559" s="170"/>
      <c r="MO559" s="170"/>
      <c r="MP559" s="170"/>
      <c r="MQ559" s="170"/>
      <c r="MR559" s="170"/>
      <c r="MS559" s="170"/>
      <c r="MT559" s="170"/>
      <c r="MU559" s="170"/>
      <c r="MV559" s="170"/>
      <c r="MW559" s="170"/>
      <c r="MX559" s="170"/>
      <c r="MY559" s="170"/>
      <c r="MZ559" s="170"/>
      <c r="NA559" s="170"/>
      <c r="NB559" s="170"/>
      <c r="NC559" s="170"/>
      <c r="ND559" s="170"/>
      <c r="NE559" s="170"/>
      <c r="NF559" s="170"/>
      <c r="NG559" s="170"/>
      <c r="NH559" s="170"/>
      <c r="NI559" s="170"/>
      <c r="NJ559" s="170"/>
      <c r="NK559" s="170"/>
      <c r="NL559" s="170"/>
      <c r="NM559" s="170"/>
      <c r="NN559" s="170"/>
      <c r="NO559" s="170"/>
      <c r="NP559" s="170"/>
      <c r="NQ559" s="170"/>
      <c r="NR559" s="170"/>
      <c r="NS559" s="170"/>
      <c r="NT559" s="170"/>
      <c r="NU559" s="170"/>
      <c r="NV559" s="170"/>
      <c r="NW559" s="170"/>
      <c r="NX559" s="170"/>
      <c r="NY559" s="170"/>
      <c r="NZ559" s="170"/>
      <c r="OA559" s="170"/>
      <c r="OB559" s="170"/>
      <c r="OC559" s="170"/>
      <c r="OD559" s="170"/>
      <c r="OE559" s="170"/>
      <c r="OF559" s="170"/>
      <c r="OG559" s="170"/>
      <c r="OH559" s="170"/>
      <c r="OI559" s="170"/>
      <c r="OJ559" s="170"/>
      <c r="OK559" s="170"/>
      <c r="OL559" s="170"/>
      <c r="OM559" s="170"/>
      <c r="ON559" s="170"/>
      <c r="OO559" s="170"/>
      <c r="OP559" s="170"/>
      <c r="OQ559" s="170"/>
      <c r="OR559" s="170"/>
      <c r="OS559" s="170"/>
      <c r="OT559" s="170"/>
      <c r="OU559" s="170"/>
      <c r="OV559" s="170"/>
      <c r="OW559" s="170"/>
      <c r="OX559" s="170"/>
      <c r="OY559" s="170"/>
      <c r="OZ559" s="170"/>
      <c r="PA559" s="170"/>
      <c r="PB559" s="170"/>
      <c r="PC559" s="170"/>
      <c r="PD559" s="170"/>
      <c r="PE559" s="170"/>
      <c r="PF559" s="170"/>
      <c r="PG559" s="170"/>
      <c r="PH559" s="170"/>
      <c r="PI559" s="170"/>
      <c r="PJ559" s="170"/>
      <c r="PK559" s="170"/>
      <c r="PL559" s="170"/>
      <c r="PM559" s="170"/>
      <c r="PN559" s="170"/>
      <c r="PO559" s="170"/>
      <c r="PP559" s="170"/>
      <c r="PQ559" s="170"/>
      <c r="PR559" s="170"/>
      <c r="PS559" s="170"/>
      <c r="PT559" s="170"/>
      <c r="PU559" s="170"/>
      <c r="PV559" s="170"/>
      <c r="PW559" s="170"/>
      <c r="PX559" s="170"/>
      <c r="PY559" s="170"/>
      <c r="PZ559" s="170"/>
      <c r="QA559" s="170"/>
      <c r="QB559" s="170"/>
      <c r="QC559" s="170"/>
      <c r="QD559" s="170"/>
      <c r="QE559" s="170"/>
      <c r="QF559" s="170"/>
      <c r="QG559" s="170"/>
      <c r="QH559" s="170"/>
      <c r="QI559" s="170"/>
      <c r="QJ559" s="170"/>
      <c r="QK559" s="170"/>
      <c r="QL559" s="170"/>
      <c r="QM559" s="170"/>
      <c r="QN559" s="170"/>
      <c r="QO559" s="170"/>
      <c r="QP559" s="170"/>
      <c r="QQ559" s="170"/>
      <c r="QR559" s="170"/>
      <c r="QS559" s="170"/>
      <c r="QT559" s="170"/>
      <c r="QU559" s="170"/>
      <c r="QV559" s="170"/>
      <c r="QW559" s="170"/>
      <c r="QX559" s="170"/>
      <c r="QY559" s="170"/>
      <c r="QZ559" s="170"/>
      <c r="RA559" s="170"/>
      <c r="RB559" s="170"/>
      <c r="RC559" s="170"/>
      <c r="RD559" s="170"/>
      <c r="RE559" s="170"/>
      <c r="RF559" s="170"/>
      <c r="RG559" s="170"/>
      <c r="RH559" s="170"/>
      <c r="RI559" s="170"/>
      <c r="RJ559" s="170"/>
      <c r="RK559" s="170"/>
      <c r="RL559" s="170"/>
      <c r="RM559" s="170"/>
      <c r="RN559" s="170"/>
      <c r="RO559" s="170"/>
      <c r="RP559" s="170"/>
      <c r="RQ559" s="170"/>
      <c r="RR559" s="170"/>
      <c r="RS559" s="170"/>
      <c r="RT559" s="170"/>
      <c r="RU559" s="170"/>
      <c r="RV559" s="170"/>
      <c r="RW559" s="170"/>
      <c r="RX559" s="170"/>
      <c r="RY559" s="170"/>
      <c r="RZ559" s="170"/>
      <c r="SA559" s="170"/>
      <c r="SB559" s="170"/>
      <c r="SC559" s="170"/>
      <c r="SD559" s="170"/>
      <c r="SE559" s="170"/>
      <c r="SF559" s="170"/>
      <c r="SG559" s="170"/>
      <c r="SH559" s="170"/>
      <c r="SI559" s="170"/>
      <c r="SJ559" s="170"/>
      <c r="SK559" s="170"/>
      <c r="SL559" s="170"/>
      <c r="SM559" s="170"/>
      <c r="SN559" s="170"/>
      <c r="SO559" s="170"/>
      <c r="SP559" s="170"/>
      <c r="SQ559" s="170"/>
      <c r="SR559" s="170"/>
      <c r="SS559" s="170"/>
      <c r="ST559" s="170"/>
      <c r="SU559" s="170"/>
      <c r="SV559" s="170"/>
      <c r="SW559" s="170"/>
      <c r="SX559" s="170"/>
      <c r="SY559" s="170"/>
      <c r="SZ559" s="170"/>
      <c r="TA559" s="170"/>
      <c r="TB559" s="170"/>
      <c r="TC559" s="170"/>
      <c r="TD559" s="170"/>
      <c r="TE559" s="170"/>
      <c r="TF559" s="170"/>
      <c r="TG559" s="170"/>
      <c r="TH559" s="170"/>
      <c r="TI559" s="170"/>
      <c r="TJ559" s="170"/>
      <c r="TK559" s="170"/>
      <c r="TL559" s="170"/>
      <c r="TM559" s="170"/>
      <c r="TN559" s="170"/>
      <c r="TO559" s="170"/>
      <c r="TP559" s="170"/>
      <c r="TQ559" s="170"/>
      <c r="TR559" s="170"/>
      <c r="TS559" s="170"/>
      <c r="TT559" s="170"/>
      <c r="TU559" s="170"/>
      <c r="TV559" s="170"/>
      <c r="TW559" s="170"/>
      <c r="TX559" s="170"/>
      <c r="TY559" s="170"/>
      <c r="TZ559" s="170"/>
      <c r="UA559" s="170"/>
      <c r="UB559" s="170"/>
      <c r="UC559" s="170"/>
      <c r="UD559" s="170"/>
      <c r="UE559" s="170"/>
      <c r="UF559" s="170"/>
      <c r="UG559" s="171"/>
    </row>
    <row r="560" spans="1:553" ht="24.75" customHeight="1">
      <c r="A560" s="356" t="s">
        <v>15</v>
      </c>
      <c r="B560" s="366"/>
      <c r="C560" s="1404" t="s">
        <v>393</v>
      </c>
      <c r="D560" s="1389"/>
      <c r="E560" s="1389"/>
      <c r="F560" s="1390"/>
      <c r="G560" s="366"/>
      <c r="H560" s="370"/>
      <c r="I560" s="439"/>
      <c r="J560" s="368"/>
      <c r="K560" s="371"/>
      <c r="L560" s="366"/>
      <c r="M560" s="366"/>
      <c r="N560" s="366"/>
      <c r="O560" s="366"/>
      <c r="P560" s="366"/>
      <c r="Q560" s="812"/>
      <c r="R560" s="1226"/>
      <c r="S560" s="308"/>
      <c r="T560" s="308"/>
      <c r="U560" s="308"/>
      <c r="V560" s="308"/>
      <c r="W560" s="308"/>
      <c r="X560" s="308"/>
      <c r="Y560" s="308"/>
      <c r="Z560" s="604"/>
      <c r="AA560" s="308"/>
      <c r="AB560" s="308"/>
      <c r="AC560" s="449"/>
      <c r="AD560" s="449"/>
      <c r="AE560" s="449"/>
      <c r="AF560" s="449"/>
      <c r="AG560" s="449"/>
      <c r="AH560" s="449"/>
      <c r="AI560" s="449"/>
      <c r="AJ560" s="449"/>
      <c r="AK560" s="450"/>
      <c r="AL560" s="105"/>
      <c r="AM560" s="30"/>
      <c r="AN560" s="30"/>
      <c r="AO560" s="30"/>
      <c r="AP560" s="30"/>
      <c r="AQ560" s="30"/>
      <c r="AR560" s="30"/>
      <c r="AS560" s="31"/>
      <c r="AT560" s="31"/>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25"/>
      <c r="BQ560" s="25"/>
      <c r="BR560" s="25"/>
      <c r="BS560" s="25"/>
      <c r="BT560" s="25"/>
      <c r="BU560" s="25"/>
      <c r="BV560" s="25"/>
      <c r="BW560" s="25"/>
      <c r="BX560" s="25"/>
      <c r="BY560" s="25"/>
      <c r="BZ560" s="25"/>
      <c r="CA560" s="25"/>
      <c r="CB560" s="25"/>
      <c r="CC560" s="25"/>
      <c r="CD560" s="25"/>
      <c r="CE560" s="25"/>
      <c r="CF560" s="25"/>
      <c r="CG560" s="25"/>
      <c r="CH560" s="25"/>
      <c r="CI560" s="25"/>
      <c r="CJ560" s="25"/>
      <c r="CK560" s="25"/>
      <c r="CL560" s="25"/>
      <c r="CM560" s="25"/>
      <c r="CN560" s="25"/>
      <c r="CO560" s="25"/>
      <c r="CP560" s="25"/>
      <c r="CQ560" s="25"/>
      <c r="CR560" s="25"/>
      <c r="CS560" s="25"/>
      <c r="CT560" s="25"/>
      <c r="CU560" s="25"/>
      <c r="CV560" s="25"/>
      <c r="CW560" s="25"/>
      <c r="CX560" s="25"/>
      <c r="CY560" s="25"/>
      <c r="CZ560" s="25"/>
      <c r="DA560" s="25"/>
      <c r="DB560" s="25"/>
      <c r="DC560" s="25"/>
      <c r="DD560" s="25"/>
      <c r="DE560" s="25"/>
      <c r="DF560" s="25"/>
      <c r="DG560" s="25"/>
      <c r="DH560" s="25"/>
      <c r="DI560" s="25"/>
      <c r="DJ560" s="25"/>
      <c r="DK560" s="25"/>
      <c r="DL560" s="25"/>
      <c r="DM560" s="25"/>
      <c r="DN560" s="25"/>
      <c r="DO560" s="25"/>
      <c r="DP560" s="25"/>
      <c r="DQ560" s="25"/>
      <c r="DR560" s="25"/>
      <c r="DS560" s="25"/>
      <c r="DT560" s="25"/>
      <c r="DU560" s="25"/>
      <c r="DV560" s="25"/>
      <c r="DW560" s="25"/>
      <c r="DX560" s="25"/>
      <c r="DY560" s="25"/>
      <c r="DZ560" s="25"/>
      <c r="EA560" s="25"/>
      <c r="EB560" s="25"/>
      <c r="EC560" s="25"/>
      <c r="ED560" s="25"/>
      <c r="EE560" s="25"/>
      <c r="EF560" s="25"/>
      <c r="EG560" s="25"/>
      <c r="EH560" s="25"/>
      <c r="EI560" s="25"/>
      <c r="EJ560" s="25"/>
      <c r="EK560" s="25"/>
      <c r="EL560" s="25"/>
      <c r="EM560" s="25"/>
      <c r="EN560" s="25"/>
      <c r="EO560" s="25"/>
      <c r="EP560" s="25"/>
      <c r="EQ560" s="25"/>
      <c r="ER560" s="25"/>
      <c r="ES560" s="25"/>
      <c r="ET560" s="25"/>
      <c r="EU560" s="25"/>
      <c r="EV560" s="25"/>
      <c r="EW560" s="25"/>
      <c r="EX560" s="25"/>
      <c r="EY560" s="25"/>
      <c r="EZ560" s="25"/>
      <c r="FA560" s="25"/>
      <c r="FB560" s="25"/>
      <c r="FC560" s="25"/>
      <c r="FD560" s="25"/>
      <c r="FE560" s="25"/>
      <c r="FF560" s="25"/>
      <c r="FG560" s="25"/>
      <c r="FH560" s="25"/>
      <c r="FI560" s="25"/>
      <c r="FJ560" s="25"/>
      <c r="FK560" s="25"/>
      <c r="FL560" s="25"/>
      <c r="FM560" s="25"/>
      <c r="FN560" s="25"/>
      <c r="FO560" s="25"/>
      <c r="FP560" s="25"/>
      <c r="FQ560" s="25"/>
      <c r="FR560" s="25"/>
      <c r="FS560" s="25"/>
      <c r="FT560" s="25"/>
      <c r="FU560" s="25"/>
      <c r="FV560" s="25"/>
      <c r="FW560" s="25"/>
      <c r="FX560" s="25"/>
      <c r="FY560" s="25"/>
      <c r="FZ560" s="25"/>
      <c r="GA560" s="25"/>
      <c r="GB560" s="25"/>
      <c r="GC560" s="25"/>
      <c r="GD560" s="25"/>
      <c r="GE560" s="25"/>
      <c r="GF560" s="25"/>
      <c r="GG560" s="25"/>
      <c r="GH560" s="25"/>
      <c r="GI560" s="25"/>
      <c r="GJ560" s="25"/>
      <c r="GK560" s="25"/>
      <c r="GL560" s="25"/>
      <c r="GM560" s="25"/>
      <c r="GN560" s="25"/>
      <c r="GO560" s="25"/>
      <c r="GP560" s="25"/>
      <c r="GQ560" s="25"/>
      <c r="GR560" s="25"/>
      <c r="GS560" s="25"/>
      <c r="GT560" s="25"/>
      <c r="GU560" s="25"/>
      <c r="GV560" s="25"/>
      <c r="GW560" s="25"/>
      <c r="GX560" s="25"/>
      <c r="GY560" s="25"/>
      <c r="GZ560" s="25"/>
      <c r="HA560" s="25"/>
      <c r="HB560" s="25"/>
      <c r="HC560" s="25"/>
      <c r="HD560" s="25"/>
      <c r="HE560" s="25"/>
      <c r="HF560" s="25"/>
      <c r="HG560" s="25"/>
      <c r="HH560" s="25"/>
      <c r="HI560" s="25"/>
      <c r="HJ560" s="25"/>
      <c r="HK560" s="25"/>
      <c r="HL560" s="25"/>
      <c r="HM560" s="25"/>
      <c r="HN560" s="25"/>
      <c r="HO560" s="25"/>
      <c r="HP560" s="25"/>
      <c r="HQ560" s="25"/>
      <c r="HR560" s="25"/>
      <c r="HS560" s="25"/>
      <c r="HT560" s="25"/>
      <c r="HU560" s="25"/>
      <c r="HV560" s="25"/>
      <c r="HW560" s="25"/>
      <c r="HX560" s="25"/>
      <c r="HY560" s="25"/>
      <c r="HZ560" s="25"/>
      <c r="IA560" s="25"/>
      <c r="IB560" s="25"/>
      <c r="IC560" s="25"/>
      <c r="ID560" s="25"/>
      <c r="IE560" s="25"/>
      <c r="IF560" s="25"/>
      <c r="IG560" s="25"/>
      <c r="IH560" s="25"/>
      <c r="II560" s="25"/>
      <c r="IJ560" s="25"/>
      <c r="IK560" s="25"/>
      <c r="IL560" s="25"/>
      <c r="IM560" s="25"/>
      <c r="IN560" s="25"/>
      <c r="IO560" s="25"/>
      <c r="IP560" s="25"/>
      <c r="IQ560" s="25"/>
      <c r="IR560" s="25"/>
      <c r="IS560" s="25"/>
      <c r="IT560" s="25"/>
      <c r="IU560" s="25"/>
      <c r="IV560" s="25"/>
      <c r="IW560" s="25"/>
      <c r="IX560" s="25"/>
      <c r="IY560" s="25"/>
      <c r="IZ560" s="25"/>
      <c r="JA560" s="25"/>
      <c r="JB560" s="25"/>
      <c r="JC560" s="25"/>
      <c r="JD560" s="25"/>
      <c r="JE560" s="25"/>
      <c r="JF560" s="25"/>
      <c r="JG560" s="25"/>
      <c r="JH560" s="25"/>
      <c r="JI560" s="25"/>
      <c r="JJ560" s="25"/>
      <c r="JK560" s="25"/>
      <c r="JL560" s="25"/>
      <c r="JM560" s="25"/>
      <c r="JN560" s="25"/>
      <c r="JO560" s="25"/>
      <c r="JP560" s="25"/>
      <c r="JQ560" s="25"/>
      <c r="JR560" s="25"/>
      <c r="JS560" s="25"/>
      <c r="JT560" s="25"/>
      <c r="JU560" s="25"/>
      <c r="JV560" s="25"/>
      <c r="JW560" s="25"/>
      <c r="JX560" s="25"/>
      <c r="JY560" s="25"/>
      <c r="JZ560" s="25"/>
      <c r="KA560" s="25"/>
      <c r="KB560" s="25"/>
      <c r="KC560" s="25"/>
      <c r="KD560" s="25"/>
      <c r="KE560" s="25"/>
      <c r="KF560" s="25"/>
      <c r="KG560" s="25"/>
      <c r="KH560" s="25"/>
      <c r="KI560" s="25"/>
      <c r="KJ560" s="25"/>
      <c r="KK560" s="25"/>
      <c r="KL560" s="25"/>
      <c r="KM560" s="25"/>
      <c r="KN560" s="25"/>
      <c r="KO560" s="25"/>
      <c r="KP560" s="25"/>
      <c r="KQ560" s="25"/>
      <c r="KR560" s="25"/>
      <c r="KS560" s="25"/>
      <c r="KT560" s="25"/>
      <c r="KU560" s="25"/>
      <c r="KV560" s="25"/>
      <c r="KW560" s="25"/>
      <c r="KX560" s="25"/>
      <c r="KY560" s="25"/>
      <c r="KZ560" s="25"/>
      <c r="LA560" s="25"/>
      <c r="LB560" s="25"/>
      <c r="LC560" s="25"/>
      <c r="LD560" s="25"/>
      <c r="LE560" s="25"/>
      <c r="LF560" s="25"/>
      <c r="LG560" s="25"/>
      <c r="LH560" s="25"/>
      <c r="LI560" s="25"/>
      <c r="LJ560" s="25"/>
      <c r="LK560" s="25"/>
      <c r="LL560" s="25"/>
      <c r="LM560" s="25"/>
      <c r="LN560" s="25"/>
      <c r="LO560" s="25"/>
      <c r="LP560" s="25"/>
      <c r="LQ560" s="25"/>
      <c r="LR560" s="25"/>
      <c r="LS560" s="25"/>
      <c r="LT560" s="25"/>
      <c r="LU560" s="25"/>
      <c r="LV560" s="25"/>
      <c r="LW560" s="25"/>
      <c r="LX560" s="25"/>
      <c r="LY560" s="25"/>
      <c r="LZ560" s="25"/>
      <c r="MA560" s="25"/>
      <c r="MB560" s="25"/>
      <c r="MC560" s="25"/>
      <c r="MD560" s="25"/>
      <c r="ME560" s="25"/>
      <c r="MF560" s="25"/>
      <c r="MG560" s="25"/>
      <c r="MH560" s="25"/>
      <c r="MI560" s="25"/>
      <c r="MJ560" s="25"/>
      <c r="MK560" s="25"/>
      <c r="ML560" s="25"/>
      <c r="MM560" s="25"/>
      <c r="MN560" s="25"/>
      <c r="MO560" s="25"/>
      <c r="MP560" s="25"/>
      <c r="MQ560" s="25"/>
      <c r="MR560" s="25"/>
      <c r="MS560" s="25"/>
      <c r="MT560" s="25"/>
      <c r="MU560" s="25"/>
      <c r="MV560" s="25"/>
      <c r="MW560" s="25"/>
      <c r="MX560" s="25"/>
      <c r="MY560" s="25"/>
      <c r="MZ560" s="25"/>
      <c r="NA560" s="25"/>
      <c r="NB560" s="25"/>
      <c r="NC560" s="25"/>
      <c r="ND560" s="25"/>
      <c r="NE560" s="25"/>
      <c r="NF560" s="25"/>
      <c r="NG560" s="25"/>
      <c r="NH560" s="25"/>
      <c r="NI560" s="25"/>
      <c r="NJ560" s="25"/>
      <c r="NK560" s="25"/>
      <c r="NL560" s="25"/>
      <c r="NM560" s="25"/>
      <c r="NN560" s="25"/>
      <c r="NO560" s="25"/>
      <c r="NP560" s="25"/>
      <c r="NQ560" s="25"/>
      <c r="NR560" s="25"/>
      <c r="NS560" s="25"/>
      <c r="NT560" s="25"/>
      <c r="NU560" s="25"/>
      <c r="NV560" s="25"/>
      <c r="NW560" s="25"/>
      <c r="NX560" s="25"/>
      <c r="NY560" s="25"/>
      <c r="NZ560" s="25"/>
      <c r="OA560" s="25"/>
      <c r="OB560" s="25"/>
      <c r="OC560" s="25"/>
      <c r="OD560" s="25"/>
      <c r="OE560" s="25"/>
      <c r="OF560" s="25"/>
      <c r="OG560" s="25"/>
      <c r="OH560" s="25"/>
      <c r="OI560" s="25"/>
      <c r="OJ560" s="25"/>
      <c r="OK560" s="25"/>
      <c r="OL560" s="25"/>
      <c r="OM560" s="25"/>
      <c r="ON560" s="25"/>
      <c r="OO560" s="25"/>
      <c r="OP560" s="25"/>
      <c r="OQ560" s="25"/>
      <c r="OR560" s="25"/>
      <c r="OS560" s="25"/>
      <c r="OT560" s="25"/>
      <c r="OU560" s="25"/>
      <c r="OV560" s="25"/>
      <c r="OW560" s="25"/>
      <c r="OX560" s="25"/>
      <c r="OY560" s="25"/>
      <c r="OZ560" s="25"/>
      <c r="PA560" s="25"/>
      <c r="PB560" s="25"/>
      <c r="PC560" s="25"/>
      <c r="PD560" s="25"/>
      <c r="PE560" s="25"/>
      <c r="PF560" s="25"/>
      <c r="PG560" s="25"/>
      <c r="PH560" s="25"/>
      <c r="PI560" s="25"/>
      <c r="PJ560" s="25"/>
      <c r="PK560" s="25"/>
      <c r="PL560" s="25"/>
      <c r="PM560" s="25"/>
      <c r="PN560" s="25"/>
      <c r="PO560" s="25"/>
      <c r="PP560" s="25"/>
      <c r="PQ560" s="25"/>
      <c r="PR560" s="25"/>
      <c r="PS560" s="25"/>
      <c r="PT560" s="25"/>
      <c r="PU560" s="25"/>
      <c r="PV560" s="25"/>
      <c r="PW560" s="25"/>
      <c r="PX560" s="25"/>
      <c r="PY560" s="25"/>
      <c r="PZ560" s="25"/>
      <c r="QA560" s="25"/>
      <c r="QB560" s="25"/>
      <c r="QC560" s="25"/>
      <c r="QD560" s="25"/>
      <c r="QE560" s="25"/>
      <c r="QF560" s="25"/>
      <c r="QG560" s="25"/>
      <c r="QH560" s="25"/>
      <c r="QI560" s="25"/>
      <c r="QJ560" s="25"/>
      <c r="QK560" s="25"/>
      <c r="QL560" s="25"/>
      <c r="QM560" s="25"/>
      <c r="QN560" s="25"/>
      <c r="QO560" s="25"/>
      <c r="QP560" s="25"/>
      <c r="QQ560" s="25"/>
      <c r="QR560" s="25"/>
      <c r="QS560" s="25"/>
      <c r="QT560" s="25"/>
      <c r="QU560" s="25"/>
      <c r="QV560" s="25"/>
      <c r="QW560" s="25"/>
      <c r="QX560" s="25"/>
      <c r="QY560" s="25"/>
      <c r="QZ560" s="25"/>
      <c r="RA560" s="25"/>
      <c r="RB560" s="25"/>
      <c r="RC560" s="25"/>
      <c r="RD560" s="25"/>
      <c r="RE560" s="25"/>
      <c r="RF560" s="25"/>
      <c r="RG560" s="25"/>
      <c r="RH560" s="25"/>
      <c r="RI560" s="25"/>
      <c r="RJ560" s="25"/>
      <c r="RK560" s="25"/>
      <c r="RL560" s="25"/>
      <c r="RM560" s="25"/>
      <c r="RN560" s="25"/>
      <c r="RO560" s="25"/>
      <c r="RP560" s="25"/>
      <c r="RQ560" s="25"/>
      <c r="RR560" s="25"/>
      <c r="RS560" s="25"/>
      <c r="RT560" s="25"/>
      <c r="RU560" s="25"/>
      <c r="RV560" s="25"/>
      <c r="RW560" s="25"/>
      <c r="RX560" s="25"/>
      <c r="RY560" s="25"/>
      <c r="RZ560" s="25"/>
      <c r="SA560" s="25"/>
      <c r="SB560" s="25"/>
      <c r="SC560" s="25"/>
      <c r="SD560" s="25"/>
      <c r="SE560" s="25"/>
      <c r="SF560" s="25"/>
      <c r="SG560" s="25"/>
      <c r="SH560" s="25"/>
      <c r="SI560" s="25"/>
      <c r="SJ560" s="25"/>
      <c r="SK560" s="25"/>
      <c r="SL560" s="25"/>
      <c r="SM560" s="25"/>
      <c r="SN560" s="25"/>
      <c r="SO560" s="25"/>
      <c r="SP560" s="25"/>
      <c r="SQ560" s="25"/>
      <c r="SR560" s="25"/>
      <c r="SS560" s="25"/>
      <c r="ST560" s="25"/>
      <c r="SU560" s="25"/>
      <c r="SV560" s="25"/>
      <c r="SW560" s="25"/>
      <c r="SX560" s="25"/>
      <c r="SY560" s="25"/>
      <c r="SZ560" s="25"/>
      <c r="TA560" s="25"/>
      <c r="TB560" s="25"/>
      <c r="TC560" s="25"/>
      <c r="TD560" s="25"/>
      <c r="TE560" s="25"/>
      <c r="TF560" s="25"/>
      <c r="TG560" s="25"/>
      <c r="TH560" s="25"/>
      <c r="TI560" s="25"/>
      <c r="TJ560" s="25"/>
      <c r="TK560" s="25"/>
      <c r="TL560" s="25"/>
      <c r="TM560" s="25"/>
      <c r="TN560" s="25"/>
      <c r="TO560" s="25"/>
      <c r="TP560" s="25"/>
      <c r="TQ560" s="25"/>
      <c r="TR560" s="25"/>
      <c r="TS560" s="25"/>
      <c r="TT560" s="25"/>
      <c r="TU560" s="25"/>
      <c r="TV560" s="25"/>
      <c r="TW560" s="25"/>
      <c r="TX560" s="25"/>
      <c r="TY560" s="25"/>
      <c r="TZ560" s="25"/>
      <c r="UA560" s="25"/>
      <c r="UB560" s="25"/>
      <c r="UC560" s="25"/>
      <c r="UD560" s="25"/>
      <c r="UE560" s="25"/>
      <c r="UF560" s="25"/>
      <c r="UG560" s="26"/>
    </row>
    <row r="561" spans="1:553" ht="24.75" customHeight="1">
      <c r="A561" s="356" t="s">
        <v>15</v>
      </c>
      <c r="B561" s="366"/>
      <c r="C561" s="1404" t="s">
        <v>16</v>
      </c>
      <c r="D561" s="1389"/>
      <c r="E561" s="1389"/>
      <c r="F561" s="1390"/>
      <c r="G561" s="366"/>
      <c r="H561" s="439"/>
      <c r="I561" s="370"/>
      <c r="J561" s="368"/>
      <c r="K561" s="371"/>
      <c r="L561" s="366"/>
      <c r="M561" s="366"/>
      <c r="N561" s="366"/>
      <c r="O561" s="366"/>
      <c r="P561" s="366"/>
      <c r="Q561" s="1036"/>
      <c r="R561" s="1226"/>
      <c r="S561" s="308"/>
      <c r="T561" s="308"/>
      <c r="U561" s="308"/>
      <c r="V561" s="308"/>
      <c r="W561" s="308"/>
      <c r="X561" s="308"/>
      <c r="Y561" s="308"/>
      <c r="Z561" s="604"/>
      <c r="AA561" s="308"/>
      <c r="AB561" s="308"/>
      <c r="AC561" s="449"/>
      <c r="AD561" s="449"/>
      <c r="AE561" s="449"/>
      <c r="AF561" s="449"/>
      <c r="AG561" s="449"/>
      <c r="AH561" s="449"/>
      <c r="AI561" s="449"/>
      <c r="AJ561" s="449"/>
      <c r="AK561" s="450"/>
      <c r="AL561" s="105"/>
      <c r="AM561" s="30"/>
      <c r="AN561" s="30"/>
      <c r="AO561" s="30"/>
      <c r="AP561" s="30"/>
      <c r="AQ561" s="30"/>
      <c r="AR561" s="30"/>
      <c r="AS561" s="31"/>
      <c r="AT561" s="31"/>
      <c r="AU561" s="31"/>
      <c r="AV561" s="31"/>
      <c r="AW561" s="31"/>
      <c r="AX561" s="31"/>
      <c r="AY561" s="31"/>
      <c r="AZ561" s="31"/>
      <c r="BA561" s="31"/>
      <c r="BB561" s="31"/>
      <c r="BC561" s="31"/>
      <c r="BD561" s="31"/>
      <c r="BE561" s="31"/>
      <c r="BF561" s="31"/>
      <c r="BG561" s="31"/>
      <c r="BH561" s="31"/>
      <c r="BI561" s="31"/>
      <c r="BJ561" s="31"/>
      <c r="BK561" s="31"/>
      <c r="BL561" s="31"/>
      <c r="BM561" s="31"/>
      <c r="BN561" s="31"/>
      <c r="BO561" s="31"/>
      <c r="BP561" s="25"/>
      <c r="BQ561" s="25"/>
      <c r="BR561" s="25"/>
      <c r="BS561" s="25"/>
      <c r="BT561" s="25"/>
      <c r="BU561" s="25"/>
      <c r="BV561" s="25"/>
      <c r="BW561" s="25"/>
      <c r="BX561" s="25"/>
      <c r="BY561" s="25"/>
      <c r="BZ561" s="25"/>
      <c r="CA561" s="25"/>
      <c r="CB561" s="25"/>
      <c r="CC561" s="25"/>
      <c r="CD561" s="25"/>
      <c r="CE561" s="25"/>
      <c r="CF561" s="25"/>
      <c r="CG561" s="25"/>
      <c r="CH561" s="25"/>
      <c r="CI561" s="25"/>
      <c r="CJ561" s="25"/>
      <c r="CK561" s="25"/>
      <c r="CL561" s="25"/>
      <c r="CM561" s="25"/>
      <c r="CN561" s="25"/>
      <c r="CO561" s="25"/>
      <c r="CP561" s="25"/>
      <c r="CQ561" s="25"/>
      <c r="CR561" s="25"/>
      <c r="CS561" s="25"/>
      <c r="CT561" s="25"/>
      <c r="CU561" s="25"/>
      <c r="CV561" s="25"/>
      <c r="CW561" s="25"/>
      <c r="CX561" s="25"/>
      <c r="CY561" s="25"/>
      <c r="CZ561" s="25"/>
      <c r="DA561" s="25"/>
      <c r="DB561" s="25"/>
      <c r="DC561" s="25"/>
      <c r="DD561" s="25"/>
      <c r="DE561" s="25"/>
      <c r="DF561" s="25"/>
      <c r="DG561" s="25"/>
      <c r="DH561" s="25"/>
      <c r="DI561" s="25"/>
      <c r="DJ561" s="25"/>
      <c r="DK561" s="25"/>
      <c r="DL561" s="25"/>
      <c r="DM561" s="25"/>
      <c r="DN561" s="25"/>
      <c r="DO561" s="25"/>
      <c r="DP561" s="25"/>
      <c r="DQ561" s="25"/>
      <c r="DR561" s="25"/>
      <c r="DS561" s="25"/>
      <c r="DT561" s="25"/>
      <c r="DU561" s="25"/>
      <c r="DV561" s="25"/>
      <c r="DW561" s="25"/>
      <c r="DX561" s="25"/>
      <c r="DY561" s="25"/>
      <c r="DZ561" s="25"/>
      <c r="EA561" s="25"/>
      <c r="EB561" s="25"/>
      <c r="EC561" s="25"/>
      <c r="ED561" s="25"/>
      <c r="EE561" s="25"/>
      <c r="EF561" s="25"/>
      <c r="EG561" s="25"/>
      <c r="EH561" s="25"/>
      <c r="EI561" s="25"/>
      <c r="EJ561" s="25"/>
      <c r="EK561" s="25"/>
      <c r="EL561" s="25"/>
      <c r="EM561" s="25"/>
      <c r="EN561" s="25"/>
      <c r="EO561" s="25"/>
      <c r="EP561" s="25"/>
      <c r="EQ561" s="25"/>
      <c r="ER561" s="25"/>
      <c r="ES561" s="25"/>
      <c r="ET561" s="25"/>
      <c r="EU561" s="25"/>
      <c r="EV561" s="25"/>
      <c r="EW561" s="25"/>
      <c r="EX561" s="25"/>
      <c r="EY561" s="25"/>
      <c r="EZ561" s="25"/>
      <c r="FA561" s="25"/>
      <c r="FB561" s="25"/>
      <c r="FC561" s="25"/>
      <c r="FD561" s="25"/>
      <c r="FE561" s="25"/>
      <c r="FF561" s="25"/>
      <c r="FG561" s="25"/>
      <c r="FH561" s="25"/>
      <c r="FI561" s="25"/>
      <c r="FJ561" s="25"/>
      <c r="FK561" s="25"/>
      <c r="FL561" s="25"/>
      <c r="FM561" s="25"/>
      <c r="FN561" s="25"/>
      <c r="FO561" s="25"/>
      <c r="FP561" s="25"/>
      <c r="FQ561" s="25"/>
      <c r="FR561" s="25"/>
      <c r="FS561" s="25"/>
      <c r="FT561" s="25"/>
      <c r="FU561" s="25"/>
      <c r="FV561" s="25"/>
      <c r="FW561" s="25"/>
      <c r="FX561" s="25"/>
      <c r="FY561" s="25"/>
      <c r="FZ561" s="25"/>
      <c r="GA561" s="25"/>
      <c r="GB561" s="25"/>
      <c r="GC561" s="25"/>
      <c r="GD561" s="25"/>
      <c r="GE561" s="25"/>
      <c r="GF561" s="25"/>
      <c r="GG561" s="25"/>
      <c r="GH561" s="25"/>
      <c r="GI561" s="25"/>
      <c r="GJ561" s="25"/>
      <c r="GK561" s="25"/>
      <c r="GL561" s="25"/>
      <c r="GM561" s="25"/>
      <c r="GN561" s="25"/>
      <c r="GO561" s="25"/>
      <c r="GP561" s="25"/>
      <c r="GQ561" s="25"/>
      <c r="GR561" s="25"/>
      <c r="GS561" s="25"/>
      <c r="GT561" s="25"/>
      <c r="GU561" s="25"/>
      <c r="GV561" s="25"/>
      <c r="GW561" s="25"/>
      <c r="GX561" s="25"/>
      <c r="GY561" s="25"/>
      <c r="GZ561" s="25"/>
      <c r="HA561" s="25"/>
      <c r="HB561" s="25"/>
      <c r="HC561" s="25"/>
      <c r="HD561" s="25"/>
      <c r="HE561" s="25"/>
      <c r="HF561" s="25"/>
      <c r="HG561" s="25"/>
      <c r="HH561" s="25"/>
      <c r="HI561" s="25"/>
      <c r="HJ561" s="25"/>
      <c r="HK561" s="25"/>
      <c r="HL561" s="25"/>
      <c r="HM561" s="25"/>
      <c r="HN561" s="25"/>
      <c r="HO561" s="25"/>
      <c r="HP561" s="25"/>
      <c r="HQ561" s="25"/>
      <c r="HR561" s="25"/>
      <c r="HS561" s="25"/>
      <c r="HT561" s="25"/>
      <c r="HU561" s="25"/>
      <c r="HV561" s="25"/>
      <c r="HW561" s="25"/>
      <c r="HX561" s="25"/>
      <c r="HY561" s="25"/>
      <c r="HZ561" s="25"/>
      <c r="IA561" s="25"/>
      <c r="IB561" s="25"/>
      <c r="IC561" s="25"/>
      <c r="ID561" s="25"/>
      <c r="IE561" s="25"/>
      <c r="IF561" s="25"/>
      <c r="IG561" s="25"/>
      <c r="IH561" s="25"/>
      <c r="II561" s="25"/>
      <c r="IJ561" s="25"/>
      <c r="IK561" s="25"/>
      <c r="IL561" s="25"/>
      <c r="IM561" s="25"/>
      <c r="IN561" s="25"/>
      <c r="IO561" s="25"/>
      <c r="IP561" s="25"/>
      <c r="IQ561" s="25"/>
      <c r="IR561" s="25"/>
      <c r="IS561" s="25"/>
      <c r="IT561" s="25"/>
      <c r="IU561" s="25"/>
      <c r="IV561" s="25"/>
      <c r="IW561" s="25"/>
      <c r="IX561" s="25"/>
      <c r="IY561" s="25"/>
      <c r="IZ561" s="25"/>
      <c r="JA561" s="25"/>
      <c r="JB561" s="25"/>
      <c r="JC561" s="25"/>
      <c r="JD561" s="25"/>
      <c r="JE561" s="25"/>
      <c r="JF561" s="25"/>
      <c r="JG561" s="25"/>
      <c r="JH561" s="25"/>
      <c r="JI561" s="25"/>
      <c r="JJ561" s="25"/>
      <c r="JK561" s="25"/>
      <c r="JL561" s="25"/>
      <c r="JM561" s="25"/>
      <c r="JN561" s="25"/>
      <c r="JO561" s="25"/>
      <c r="JP561" s="25"/>
      <c r="JQ561" s="25"/>
      <c r="JR561" s="25"/>
      <c r="JS561" s="25"/>
      <c r="JT561" s="25"/>
      <c r="JU561" s="25"/>
      <c r="JV561" s="25"/>
      <c r="JW561" s="25"/>
      <c r="JX561" s="25"/>
      <c r="JY561" s="25"/>
      <c r="JZ561" s="25"/>
      <c r="KA561" s="25"/>
      <c r="KB561" s="25"/>
      <c r="KC561" s="25"/>
      <c r="KD561" s="25"/>
      <c r="KE561" s="25"/>
      <c r="KF561" s="25"/>
      <c r="KG561" s="25"/>
      <c r="KH561" s="25"/>
      <c r="KI561" s="25"/>
      <c r="KJ561" s="25"/>
      <c r="KK561" s="25"/>
      <c r="KL561" s="25"/>
      <c r="KM561" s="25"/>
      <c r="KN561" s="25"/>
      <c r="KO561" s="25"/>
      <c r="KP561" s="25"/>
      <c r="KQ561" s="25"/>
      <c r="KR561" s="25"/>
      <c r="KS561" s="25"/>
      <c r="KT561" s="25"/>
      <c r="KU561" s="25"/>
      <c r="KV561" s="25"/>
      <c r="KW561" s="25"/>
      <c r="KX561" s="25"/>
      <c r="KY561" s="25"/>
      <c r="KZ561" s="25"/>
      <c r="LA561" s="25"/>
      <c r="LB561" s="25"/>
      <c r="LC561" s="25"/>
      <c r="LD561" s="25"/>
      <c r="LE561" s="25"/>
      <c r="LF561" s="25"/>
      <c r="LG561" s="25"/>
      <c r="LH561" s="25"/>
      <c r="LI561" s="25"/>
      <c r="LJ561" s="25"/>
      <c r="LK561" s="25"/>
      <c r="LL561" s="25"/>
      <c r="LM561" s="25"/>
      <c r="LN561" s="25"/>
      <c r="LO561" s="25"/>
      <c r="LP561" s="25"/>
      <c r="LQ561" s="25"/>
      <c r="LR561" s="25"/>
      <c r="LS561" s="25"/>
      <c r="LT561" s="25"/>
      <c r="LU561" s="25"/>
      <c r="LV561" s="25"/>
      <c r="LW561" s="25"/>
      <c r="LX561" s="25"/>
      <c r="LY561" s="25"/>
      <c r="LZ561" s="25"/>
      <c r="MA561" s="25"/>
      <c r="MB561" s="25"/>
      <c r="MC561" s="25"/>
      <c r="MD561" s="25"/>
      <c r="ME561" s="25"/>
      <c r="MF561" s="25"/>
      <c r="MG561" s="25"/>
      <c r="MH561" s="25"/>
      <c r="MI561" s="25"/>
      <c r="MJ561" s="25"/>
      <c r="MK561" s="25"/>
      <c r="ML561" s="25"/>
      <c r="MM561" s="25"/>
      <c r="MN561" s="25"/>
      <c r="MO561" s="25"/>
      <c r="MP561" s="25"/>
      <c r="MQ561" s="25"/>
      <c r="MR561" s="25"/>
      <c r="MS561" s="25"/>
      <c r="MT561" s="25"/>
      <c r="MU561" s="25"/>
      <c r="MV561" s="25"/>
      <c r="MW561" s="25"/>
      <c r="MX561" s="25"/>
      <c r="MY561" s="25"/>
      <c r="MZ561" s="25"/>
      <c r="NA561" s="25"/>
      <c r="NB561" s="25"/>
      <c r="NC561" s="25"/>
      <c r="ND561" s="25"/>
      <c r="NE561" s="25"/>
      <c r="NF561" s="25"/>
      <c r="NG561" s="25"/>
      <c r="NH561" s="25"/>
      <c r="NI561" s="25"/>
      <c r="NJ561" s="25"/>
      <c r="NK561" s="25"/>
      <c r="NL561" s="25"/>
      <c r="NM561" s="25"/>
      <c r="NN561" s="25"/>
      <c r="NO561" s="25"/>
      <c r="NP561" s="25"/>
      <c r="NQ561" s="25"/>
      <c r="NR561" s="25"/>
      <c r="NS561" s="25"/>
      <c r="NT561" s="25"/>
      <c r="NU561" s="25"/>
      <c r="NV561" s="25"/>
      <c r="NW561" s="25"/>
      <c r="NX561" s="25"/>
      <c r="NY561" s="25"/>
      <c r="NZ561" s="25"/>
      <c r="OA561" s="25"/>
      <c r="OB561" s="25"/>
      <c r="OC561" s="25"/>
      <c r="OD561" s="25"/>
      <c r="OE561" s="25"/>
      <c r="OF561" s="25"/>
      <c r="OG561" s="25"/>
      <c r="OH561" s="25"/>
      <c r="OI561" s="25"/>
      <c r="OJ561" s="25"/>
      <c r="OK561" s="25"/>
      <c r="OL561" s="25"/>
      <c r="OM561" s="25"/>
      <c r="ON561" s="25"/>
      <c r="OO561" s="25"/>
      <c r="OP561" s="25"/>
      <c r="OQ561" s="25"/>
      <c r="OR561" s="25"/>
      <c r="OS561" s="25"/>
      <c r="OT561" s="25"/>
      <c r="OU561" s="25"/>
      <c r="OV561" s="25"/>
      <c r="OW561" s="25"/>
      <c r="OX561" s="25"/>
      <c r="OY561" s="25"/>
      <c r="OZ561" s="25"/>
      <c r="PA561" s="25"/>
      <c r="PB561" s="25"/>
      <c r="PC561" s="25"/>
      <c r="PD561" s="25"/>
      <c r="PE561" s="25"/>
      <c r="PF561" s="25"/>
      <c r="PG561" s="25"/>
      <c r="PH561" s="25"/>
      <c r="PI561" s="25"/>
      <c r="PJ561" s="25"/>
      <c r="PK561" s="25"/>
      <c r="PL561" s="25"/>
      <c r="PM561" s="25"/>
      <c r="PN561" s="25"/>
      <c r="PO561" s="25"/>
      <c r="PP561" s="25"/>
      <c r="PQ561" s="25"/>
      <c r="PR561" s="25"/>
      <c r="PS561" s="25"/>
      <c r="PT561" s="25"/>
      <c r="PU561" s="25"/>
      <c r="PV561" s="25"/>
      <c r="PW561" s="25"/>
      <c r="PX561" s="25"/>
      <c r="PY561" s="25"/>
      <c r="PZ561" s="25"/>
      <c r="QA561" s="25"/>
      <c r="QB561" s="25"/>
      <c r="QC561" s="25"/>
      <c r="QD561" s="25"/>
      <c r="QE561" s="25"/>
      <c r="QF561" s="25"/>
      <c r="QG561" s="25"/>
      <c r="QH561" s="25"/>
      <c r="QI561" s="25"/>
      <c r="QJ561" s="25"/>
      <c r="QK561" s="25"/>
      <c r="QL561" s="25"/>
      <c r="QM561" s="25"/>
      <c r="QN561" s="25"/>
      <c r="QO561" s="25"/>
      <c r="QP561" s="25"/>
      <c r="QQ561" s="25"/>
      <c r="QR561" s="25"/>
      <c r="QS561" s="25"/>
      <c r="QT561" s="25"/>
      <c r="QU561" s="25"/>
      <c r="QV561" s="25"/>
      <c r="QW561" s="25"/>
      <c r="QX561" s="25"/>
      <c r="QY561" s="25"/>
      <c r="QZ561" s="25"/>
      <c r="RA561" s="25"/>
      <c r="RB561" s="25"/>
      <c r="RC561" s="25"/>
      <c r="RD561" s="25"/>
      <c r="RE561" s="25"/>
      <c r="RF561" s="25"/>
      <c r="RG561" s="25"/>
      <c r="RH561" s="25"/>
      <c r="RI561" s="25"/>
      <c r="RJ561" s="25"/>
      <c r="RK561" s="25"/>
      <c r="RL561" s="25"/>
      <c r="RM561" s="25"/>
      <c r="RN561" s="25"/>
      <c r="RO561" s="25"/>
      <c r="RP561" s="25"/>
      <c r="RQ561" s="25"/>
      <c r="RR561" s="25"/>
      <c r="RS561" s="25"/>
      <c r="RT561" s="25"/>
      <c r="RU561" s="25"/>
      <c r="RV561" s="25"/>
      <c r="RW561" s="25"/>
      <c r="RX561" s="25"/>
      <c r="RY561" s="25"/>
      <c r="RZ561" s="25"/>
      <c r="SA561" s="25"/>
      <c r="SB561" s="25"/>
      <c r="SC561" s="25"/>
      <c r="SD561" s="25"/>
      <c r="SE561" s="25"/>
      <c r="SF561" s="25"/>
      <c r="SG561" s="25"/>
      <c r="SH561" s="25"/>
      <c r="SI561" s="25"/>
      <c r="SJ561" s="25"/>
      <c r="SK561" s="25"/>
      <c r="SL561" s="25"/>
      <c r="SM561" s="25"/>
      <c r="SN561" s="25"/>
      <c r="SO561" s="25"/>
      <c r="SP561" s="25"/>
      <c r="SQ561" s="25"/>
      <c r="SR561" s="25"/>
      <c r="SS561" s="25"/>
      <c r="ST561" s="25"/>
      <c r="SU561" s="25"/>
      <c r="SV561" s="25"/>
      <c r="SW561" s="25"/>
      <c r="SX561" s="25"/>
      <c r="SY561" s="25"/>
      <c r="SZ561" s="25"/>
      <c r="TA561" s="25"/>
      <c r="TB561" s="25"/>
      <c r="TC561" s="25"/>
      <c r="TD561" s="25"/>
      <c r="TE561" s="25"/>
      <c r="TF561" s="25"/>
      <c r="TG561" s="25"/>
      <c r="TH561" s="25"/>
      <c r="TI561" s="25"/>
      <c r="TJ561" s="25"/>
      <c r="TK561" s="25"/>
      <c r="TL561" s="25"/>
      <c r="TM561" s="25"/>
      <c r="TN561" s="25"/>
      <c r="TO561" s="25"/>
      <c r="TP561" s="25"/>
      <c r="TQ561" s="25"/>
      <c r="TR561" s="25"/>
      <c r="TS561" s="25"/>
      <c r="TT561" s="25"/>
      <c r="TU561" s="25"/>
      <c r="TV561" s="25"/>
      <c r="TW561" s="25"/>
      <c r="TX561" s="25"/>
      <c r="TY561" s="25"/>
      <c r="TZ561" s="25"/>
      <c r="UA561" s="25"/>
      <c r="UB561" s="25"/>
      <c r="UC561" s="25"/>
      <c r="UD561" s="25"/>
      <c r="UE561" s="25"/>
      <c r="UF561" s="25"/>
      <c r="UG561" s="26"/>
    </row>
    <row r="562" spans="1:553" ht="24.75" customHeight="1">
      <c r="A562" s="356" t="s">
        <v>15</v>
      </c>
      <c r="B562" s="366"/>
      <c r="C562" s="1404" t="s">
        <v>394</v>
      </c>
      <c r="D562" s="1389"/>
      <c r="E562" s="1389"/>
      <c r="F562" s="1390"/>
      <c r="G562" s="366"/>
      <c r="H562" s="370"/>
      <c r="I562" s="370"/>
      <c r="J562" s="368"/>
      <c r="K562" s="371"/>
      <c r="L562" s="366"/>
      <c r="M562" s="366"/>
      <c r="N562" s="366"/>
      <c r="O562" s="366"/>
      <c r="P562" s="366"/>
      <c r="Q562" s="1036"/>
      <c r="R562" s="1226"/>
      <c r="S562" s="308"/>
      <c r="T562" s="308"/>
      <c r="U562" s="308"/>
      <c r="V562" s="308"/>
      <c r="W562" s="308"/>
      <c r="X562" s="308"/>
      <c r="Y562" s="308"/>
      <c r="Z562" s="604"/>
      <c r="AA562" s="308"/>
      <c r="AB562" s="308"/>
      <c r="AC562" s="449"/>
      <c r="AD562" s="449"/>
      <c r="AE562" s="449"/>
      <c r="AF562" s="449"/>
      <c r="AG562" s="449"/>
      <c r="AH562" s="449"/>
      <c r="AI562" s="449"/>
      <c r="AJ562" s="449"/>
      <c r="AK562" s="450"/>
      <c r="AL562" s="105"/>
      <c r="AM562" s="30"/>
      <c r="AN562" s="30"/>
      <c r="AO562" s="30"/>
      <c r="AP562" s="30"/>
      <c r="AQ562" s="30"/>
      <c r="AR562" s="30"/>
      <c r="AS562" s="31"/>
      <c r="AT562" s="31"/>
      <c r="AU562" s="31"/>
      <c r="AV562" s="31"/>
      <c r="AW562" s="31"/>
      <c r="AX562" s="31"/>
      <c r="AY562" s="31"/>
      <c r="AZ562" s="31"/>
      <c r="BA562" s="31"/>
      <c r="BB562" s="31"/>
      <c r="BC562" s="31"/>
      <c r="BD562" s="31"/>
      <c r="BE562" s="31"/>
      <c r="BF562" s="31"/>
      <c r="BG562" s="31"/>
      <c r="BH562" s="31"/>
      <c r="BI562" s="31"/>
      <c r="BJ562" s="31"/>
      <c r="BK562" s="31"/>
      <c r="BL562" s="31"/>
      <c r="BM562" s="31"/>
      <c r="BN562" s="31"/>
      <c r="BO562" s="31"/>
      <c r="BP562" s="25"/>
      <c r="BQ562" s="25"/>
      <c r="BR562" s="25"/>
      <c r="BS562" s="25"/>
      <c r="BT562" s="25"/>
      <c r="BU562" s="25"/>
      <c r="BV562" s="25"/>
      <c r="BW562" s="25"/>
      <c r="BX562" s="25"/>
      <c r="BY562" s="25"/>
      <c r="BZ562" s="25"/>
      <c r="CA562" s="25"/>
      <c r="CB562" s="25"/>
      <c r="CC562" s="25"/>
      <c r="CD562" s="25"/>
      <c r="CE562" s="25"/>
      <c r="CF562" s="25"/>
      <c r="CG562" s="25"/>
      <c r="CH562" s="25"/>
      <c r="CI562" s="25"/>
      <c r="CJ562" s="25"/>
      <c r="CK562" s="25"/>
      <c r="CL562" s="25"/>
      <c r="CM562" s="25"/>
      <c r="CN562" s="25"/>
      <c r="CO562" s="25"/>
      <c r="CP562" s="25"/>
      <c r="CQ562" s="25"/>
      <c r="CR562" s="25"/>
      <c r="CS562" s="25"/>
      <c r="CT562" s="25"/>
      <c r="CU562" s="25"/>
      <c r="CV562" s="25"/>
      <c r="CW562" s="25"/>
      <c r="CX562" s="25"/>
      <c r="CY562" s="25"/>
      <c r="CZ562" s="25"/>
      <c r="DA562" s="25"/>
      <c r="DB562" s="25"/>
      <c r="DC562" s="25"/>
      <c r="DD562" s="25"/>
      <c r="DE562" s="25"/>
      <c r="DF562" s="25"/>
      <c r="DG562" s="25"/>
      <c r="DH562" s="25"/>
      <c r="DI562" s="25"/>
      <c r="DJ562" s="25"/>
      <c r="DK562" s="25"/>
      <c r="DL562" s="25"/>
      <c r="DM562" s="25"/>
      <c r="DN562" s="25"/>
      <c r="DO562" s="25"/>
      <c r="DP562" s="25"/>
      <c r="DQ562" s="25"/>
      <c r="DR562" s="25"/>
      <c r="DS562" s="25"/>
      <c r="DT562" s="25"/>
      <c r="DU562" s="25"/>
      <c r="DV562" s="25"/>
      <c r="DW562" s="25"/>
      <c r="DX562" s="25"/>
      <c r="DY562" s="25"/>
      <c r="DZ562" s="25"/>
      <c r="EA562" s="25"/>
      <c r="EB562" s="25"/>
      <c r="EC562" s="25"/>
      <c r="ED562" s="25"/>
      <c r="EE562" s="25"/>
      <c r="EF562" s="25"/>
      <c r="EG562" s="25"/>
      <c r="EH562" s="25"/>
      <c r="EI562" s="25"/>
      <c r="EJ562" s="25"/>
      <c r="EK562" s="25"/>
      <c r="EL562" s="25"/>
      <c r="EM562" s="25"/>
      <c r="EN562" s="25"/>
      <c r="EO562" s="25"/>
      <c r="EP562" s="25"/>
      <c r="EQ562" s="25"/>
      <c r="ER562" s="25"/>
      <c r="ES562" s="25"/>
      <c r="ET562" s="25"/>
      <c r="EU562" s="25"/>
      <c r="EV562" s="25"/>
      <c r="EW562" s="25"/>
      <c r="EX562" s="25"/>
      <c r="EY562" s="25"/>
      <c r="EZ562" s="25"/>
      <c r="FA562" s="25"/>
      <c r="FB562" s="25"/>
      <c r="FC562" s="25"/>
      <c r="FD562" s="25"/>
      <c r="FE562" s="25"/>
      <c r="FF562" s="25"/>
      <c r="FG562" s="25"/>
      <c r="FH562" s="25"/>
      <c r="FI562" s="25"/>
      <c r="FJ562" s="25"/>
      <c r="FK562" s="25"/>
      <c r="FL562" s="25"/>
      <c r="FM562" s="25"/>
      <c r="FN562" s="25"/>
      <c r="FO562" s="25"/>
      <c r="FP562" s="25"/>
      <c r="FQ562" s="25"/>
      <c r="FR562" s="25"/>
      <c r="FS562" s="25"/>
      <c r="FT562" s="25"/>
      <c r="FU562" s="25"/>
      <c r="FV562" s="25"/>
      <c r="FW562" s="25"/>
      <c r="FX562" s="25"/>
      <c r="FY562" s="25"/>
      <c r="FZ562" s="25"/>
      <c r="GA562" s="25"/>
      <c r="GB562" s="25"/>
      <c r="GC562" s="25"/>
      <c r="GD562" s="25"/>
      <c r="GE562" s="25"/>
      <c r="GF562" s="25"/>
      <c r="GG562" s="25"/>
      <c r="GH562" s="25"/>
      <c r="GI562" s="25"/>
      <c r="GJ562" s="25"/>
      <c r="GK562" s="25"/>
      <c r="GL562" s="25"/>
      <c r="GM562" s="25"/>
      <c r="GN562" s="25"/>
      <c r="GO562" s="25"/>
      <c r="GP562" s="25"/>
      <c r="GQ562" s="25"/>
      <c r="GR562" s="25"/>
      <c r="GS562" s="25"/>
      <c r="GT562" s="25"/>
      <c r="GU562" s="25"/>
      <c r="GV562" s="25"/>
      <c r="GW562" s="25"/>
      <c r="GX562" s="25"/>
      <c r="GY562" s="25"/>
      <c r="GZ562" s="25"/>
      <c r="HA562" s="25"/>
      <c r="HB562" s="25"/>
      <c r="HC562" s="25"/>
      <c r="HD562" s="25"/>
      <c r="HE562" s="25"/>
      <c r="HF562" s="25"/>
      <c r="HG562" s="25"/>
      <c r="HH562" s="25"/>
      <c r="HI562" s="25"/>
      <c r="HJ562" s="25"/>
      <c r="HK562" s="25"/>
      <c r="HL562" s="25"/>
      <c r="HM562" s="25"/>
      <c r="HN562" s="25"/>
      <c r="HO562" s="25"/>
      <c r="HP562" s="25"/>
      <c r="HQ562" s="25"/>
      <c r="HR562" s="25"/>
      <c r="HS562" s="25"/>
      <c r="HT562" s="25"/>
      <c r="HU562" s="25"/>
      <c r="HV562" s="25"/>
      <c r="HW562" s="25"/>
      <c r="HX562" s="25"/>
      <c r="HY562" s="25"/>
      <c r="HZ562" s="25"/>
      <c r="IA562" s="25"/>
      <c r="IB562" s="25"/>
      <c r="IC562" s="25"/>
      <c r="ID562" s="25"/>
      <c r="IE562" s="25"/>
      <c r="IF562" s="25"/>
      <c r="IG562" s="25"/>
      <c r="IH562" s="25"/>
      <c r="II562" s="25"/>
      <c r="IJ562" s="25"/>
      <c r="IK562" s="25"/>
      <c r="IL562" s="25"/>
      <c r="IM562" s="25"/>
      <c r="IN562" s="25"/>
      <c r="IO562" s="25"/>
      <c r="IP562" s="25"/>
      <c r="IQ562" s="25"/>
      <c r="IR562" s="25"/>
      <c r="IS562" s="25"/>
      <c r="IT562" s="25"/>
      <c r="IU562" s="25"/>
      <c r="IV562" s="25"/>
      <c r="IW562" s="25"/>
      <c r="IX562" s="25"/>
      <c r="IY562" s="25"/>
      <c r="IZ562" s="25"/>
      <c r="JA562" s="25"/>
      <c r="JB562" s="25"/>
      <c r="JC562" s="25"/>
      <c r="JD562" s="25"/>
      <c r="JE562" s="25"/>
      <c r="JF562" s="25"/>
      <c r="JG562" s="25"/>
      <c r="JH562" s="25"/>
      <c r="JI562" s="25"/>
      <c r="JJ562" s="25"/>
      <c r="JK562" s="25"/>
      <c r="JL562" s="25"/>
      <c r="JM562" s="25"/>
      <c r="JN562" s="25"/>
      <c r="JO562" s="25"/>
      <c r="JP562" s="25"/>
      <c r="JQ562" s="25"/>
      <c r="JR562" s="25"/>
      <c r="JS562" s="25"/>
      <c r="JT562" s="25"/>
      <c r="JU562" s="25"/>
      <c r="JV562" s="25"/>
      <c r="JW562" s="25"/>
      <c r="JX562" s="25"/>
      <c r="JY562" s="25"/>
      <c r="JZ562" s="25"/>
      <c r="KA562" s="25"/>
      <c r="KB562" s="25"/>
      <c r="KC562" s="25"/>
      <c r="KD562" s="25"/>
      <c r="KE562" s="25"/>
      <c r="KF562" s="25"/>
      <c r="KG562" s="25"/>
      <c r="KH562" s="25"/>
      <c r="KI562" s="25"/>
      <c r="KJ562" s="25"/>
      <c r="KK562" s="25"/>
      <c r="KL562" s="25"/>
      <c r="KM562" s="25"/>
      <c r="KN562" s="25"/>
      <c r="KO562" s="25"/>
      <c r="KP562" s="25"/>
      <c r="KQ562" s="25"/>
      <c r="KR562" s="25"/>
      <c r="KS562" s="25"/>
      <c r="KT562" s="25"/>
      <c r="KU562" s="25"/>
      <c r="KV562" s="25"/>
      <c r="KW562" s="25"/>
      <c r="KX562" s="25"/>
      <c r="KY562" s="25"/>
      <c r="KZ562" s="25"/>
      <c r="LA562" s="25"/>
      <c r="LB562" s="25"/>
      <c r="LC562" s="25"/>
      <c r="LD562" s="25"/>
      <c r="LE562" s="25"/>
      <c r="LF562" s="25"/>
      <c r="LG562" s="25"/>
      <c r="LH562" s="25"/>
      <c r="LI562" s="25"/>
      <c r="LJ562" s="25"/>
      <c r="LK562" s="25"/>
      <c r="LL562" s="25"/>
      <c r="LM562" s="25"/>
      <c r="LN562" s="25"/>
      <c r="LO562" s="25"/>
      <c r="LP562" s="25"/>
      <c r="LQ562" s="25"/>
      <c r="LR562" s="25"/>
      <c r="LS562" s="25"/>
      <c r="LT562" s="25"/>
      <c r="LU562" s="25"/>
      <c r="LV562" s="25"/>
      <c r="LW562" s="25"/>
      <c r="LX562" s="25"/>
      <c r="LY562" s="25"/>
      <c r="LZ562" s="25"/>
      <c r="MA562" s="25"/>
      <c r="MB562" s="25"/>
      <c r="MC562" s="25"/>
      <c r="MD562" s="25"/>
      <c r="ME562" s="25"/>
      <c r="MF562" s="25"/>
      <c r="MG562" s="25"/>
      <c r="MH562" s="25"/>
      <c r="MI562" s="25"/>
      <c r="MJ562" s="25"/>
      <c r="MK562" s="25"/>
      <c r="ML562" s="25"/>
      <c r="MM562" s="25"/>
      <c r="MN562" s="25"/>
      <c r="MO562" s="25"/>
      <c r="MP562" s="25"/>
      <c r="MQ562" s="25"/>
      <c r="MR562" s="25"/>
      <c r="MS562" s="25"/>
      <c r="MT562" s="25"/>
      <c r="MU562" s="25"/>
      <c r="MV562" s="25"/>
      <c r="MW562" s="25"/>
      <c r="MX562" s="25"/>
      <c r="MY562" s="25"/>
      <c r="MZ562" s="25"/>
      <c r="NA562" s="25"/>
      <c r="NB562" s="25"/>
      <c r="NC562" s="25"/>
      <c r="ND562" s="25"/>
      <c r="NE562" s="25"/>
      <c r="NF562" s="25"/>
      <c r="NG562" s="25"/>
      <c r="NH562" s="25"/>
      <c r="NI562" s="25"/>
      <c r="NJ562" s="25"/>
      <c r="NK562" s="25"/>
      <c r="NL562" s="25"/>
      <c r="NM562" s="25"/>
      <c r="NN562" s="25"/>
      <c r="NO562" s="25"/>
      <c r="NP562" s="25"/>
      <c r="NQ562" s="25"/>
      <c r="NR562" s="25"/>
      <c r="NS562" s="25"/>
      <c r="NT562" s="25"/>
      <c r="NU562" s="25"/>
      <c r="NV562" s="25"/>
      <c r="NW562" s="25"/>
      <c r="NX562" s="25"/>
      <c r="NY562" s="25"/>
      <c r="NZ562" s="25"/>
      <c r="OA562" s="25"/>
      <c r="OB562" s="25"/>
      <c r="OC562" s="25"/>
      <c r="OD562" s="25"/>
      <c r="OE562" s="25"/>
      <c r="OF562" s="25"/>
      <c r="OG562" s="25"/>
      <c r="OH562" s="25"/>
      <c r="OI562" s="25"/>
      <c r="OJ562" s="25"/>
      <c r="OK562" s="25"/>
      <c r="OL562" s="25"/>
      <c r="OM562" s="25"/>
      <c r="ON562" s="25"/>
      <c r="OO562" s="25"/>
      <c r="OP562" s="25"/>
      <c r="OQ562" s="25"/>
      <c r="OR562" s="25"/>
      <c r="OS562" s="25"/>
      <c r="OT562" s="25"/>
      <c r="OU562" s="25"/>
      <c r="OV562" s="25"/>
      <c r="OW562" s="25"/>
      <c r="OX562" s="25"/>
      <c r="OY562" s="25"/>
      <c r="OZ562" s="25"/>
      <c r="PA562" s="25"/>
      <c r="PB562" s="25"/>
      <c r="PC562" s="25"/>
      <c r="PD562" s="25"/>
      <c r="PE562" s="25"/>
      <c r="PF562" s="25"/>
      <c r="PG562" s="25"/>
      <c r="PH562" s="25"/>
      <c r="PI562" s="25"/>
      <c r="PJ562" s="25"/>
      <c r="PK562" s="25"/>
      <c r="PL562" s="25"/>
      <c r="PM562" s="25"/>
      <c r="PN562" s="25"/>
      <c r="PO562" s="25"/>
      <c r="PP562" s="25"/>
      <c r="PQ562" s="25"/>
      <c r="PR562" s="25"/>
      <c r="PS562" s="25"/>
      <c r="PT562" s="25"/>
      <c r="PU562" s="25"/>
      <c r="PV562" s="25"/>
      <c r="PW562" s="25"/>
      <c r="PX562" s="25"/>
      <c r="PY562" s="25"/>
      <c r="PZ562" s="25"/>
      <c r="QA562" s="25"/>
      <c r="QB562" s="25"/>
      <c r="QC562" s="25"/>
      <c r="QD562" s="25"/>
      <c r="QE562" s="25"/>
      <c r="QF562" s="25"/>
      <c r="QG562" s="25"/>
      <c r="QH562" s="25"/>
      <c r="QI562" s="25"/>
      <c r="QJ562" s="25"/>
      <c r="QK562" s="25"/>
      <c r="QL562" s="25"/>
      <c r="QM562" s="25"/>
      <c r="QN562" s="25"/>
      <c r="QO562" s="25"/>
      <c r="QP562" s="25"/>
      <c r="QQ562" s="25"/>
      <c r="QR562" s="25"/>
      <c r="QS562" s="25"/>
      <c r="QT562" s="25"/>
      <c r="QU562" s="25"/>
      <c r="QV562" s="25"/>
      <c r="QW562" s="25"/>
      <c r="QX562" s="25"/>
      <c r="QY562" s="25"/>
      <c r="QZ562" s="25"/>
      <c r="RA562" s="25"/>
      <c r="RB562" s="25"/>
      <c r="RC562" s="25"/>
      <c r="RD562" s="25"/>
      <c r="RE562" s="25"/>
      <c r="RF562" s="25"/>
      <c r="RG562" s="25"/>
      <c r="RH562" s="25"/>
      <c r="RI562" s="25"/>
      <c r="RJ562" s="25"/>
      <c r="RK562" s="25"/>
      <c r="RL562" s="25"/>
      <c r="RM562" s="25"/>
      <c r="RN562" s="25"/>
      <c r="RO562" s="25"/>
      <c r="RP562" s="25"/>
      <c r="RQ562" s="25"/>
      <c r="RR562" s="25"/>
      <c r="RS562" s="25"/>
      <c r="RT562" s="25"/>
      <c r="RU562" s="25"/>
      <c r="RV562" s="25"/>
      <c r="RW562" s="25"/>
      <c r="RX562" s="25"/>
      <c r="RY562" s="25"/>
      <c r="RZ562" s="25"/>
      <c r="SA562" s="25"/>
      <c r="SB562" s="25"/>
      <c r="SC562" s="25"/>
      <c r="SD562" s="25"/>
      <c r="SE562" s="25"/>
      <c r="SF562" s="25"/>
      <c r="SG562" s="25"/>
      <c r="SH562" s="25"/>
      <c r="SI562" s="25"/>
      <c r="SJ562" s="25"/>
      <c r="SK562" s="25"/>
      <c r="SL562" s="25"/>
      <c r="SM562" s="25"/>
      <c r="SN562" s="25"/>
      <c r="SO562" s="25"/>
      <c r="SP562" s="25"/>
      <c r="SQ562" s="25"/>
      <c r="SR562" s="25"/>
      <c r="SS562" s="25"/>
      <c r="ST562" s="25"/>
      <c r="SU562" s="25"/>
      <c r="SV562" s="25"/>
      <c r="SW562" s="25"/>
      <c r="SX562" s="25"/>
      <c r="SY562" s="25"/>
      <c r="SZ562" s="25"/>
      <c r="TA562" s="25"/>
      <c r="TB562" s="25"/>
      <c r="TC562" s="25"/>
      <c r="TD562" s="25"/>
      <c r="TE562" s="25"/>
      <c r="TF562" s="25"/>
      <c r="TG562" s="25"/>
      <c r="TH562" s="25"/>
      <c r="TI562" s="25"/>
      <c r="TJ562" s="25"/>
      <c r="TK562" s="25"/>
      <c r="TL562" s="25"/>
      <c r="TM562" s="25"/>
      <c r="TN562" s="25"/>
      <c r="TO562" s="25"/>
      <c r="TP562" s="25"/>
      <c r="TQ562" s="25"/>
      <c r="TR562" s="25"/>
      <c r="TS562" s="25"/>
      <c r="TT562" s="25"/>
      <c r="TU562" s="25"/>
      <c r="TV562" s="25"/>
      <c r="TW562" s="25"/>
      <c r="TX562" s="25"/>
      <c r="TY562" s="25"/>
      <c r="TZ562" s="25"/>
      <c r="UA562" s="25"/>
      <c r="UB562" s="25"/>
      <c r="UC562" s="25"/>
      <c r="UD562" s="25"/>
      <c r="UE562" s="25"/>
      <c r="UF562" s="25"/>
      <c r="UG562" s="26"/>
    </row>
    <row r="563" spans="1:553" ht="53.25" customHeight="1">
      <c r="A563" s="356" t="s">
        <v>17</v>
      </c>
      <c r="B563" s="356"/>
      <c r="C563" s="1404" t="s">
        <v>18</v>
      </c>
      <c r="D563" s="1389"/>
      <c r="E563" s="1389"/>
      <c r="F563" s="1390"/>
      <c r="G563" s="356" t="s">
        <v>1393</v>
      </c>
      <c r="H563" s="359">
        <f t="shared" ref="H563:I563" si="99">SUM(H564:H565)</f>
        <v>1613.5</v>
      </c>
      <c r="I563" s="359">
        <f t="shared" si="99"/>
        <v>1613.5</v>
      </c>
      <c r="J563" s="368"/>
      <c r="K563" s="371"/>
      <c r="L563" s="461">
        <f>SUM(L564:L565)</f>
        <v>228810000</v>
      </c>
      <c r="M563" s="356"/>
      <c r="N563" s="356"/>
      <c r="O563" s="356"/>
      <c r="P563" s="356">
        <f>L563</f>
        <v>228810000</v>
      </c>
      <c r="Q563" s="1084"/>
      <c r="R563" s="1447" t="s">
        <v>872</v>
      </c>
      <c r="S563" s="308"/>
      <c r="T563" s="308"/>
      <c r="U563" s="308"/>
      <c r="V563" s="308"/>
      <c r="W563" s="308"/>
      <c r="X563" s="308"/>
      <c r="Y563" s="308"/>
      <c r="Z563" s="604"/>
      <c r="AA563" s="308"/>
      <c r="AB563" s="308"/>
      <c r="AC563" s="449"/>
      <c r="AD563" s="449"/>
      <c r="AE563" s="449"/>
      <c r="AF563" s="449"/>
      <c r="AG563" s="449"/>
      <c r="AH563" s="449"/>
      <c r="AI563" s="449"/>
      <c r="AJ563" s="449"/>
      <c r="AK563" s="452"/>
      <c r="AL563" s="104"/>
      <c r="AM563" s="32"/>
      <c r="AN563" s="32"/>
      <c r="AO563" s="30"/>
      <c r="AP563" s="32"/>
      <c r="AQ563" s="32"/>
      <c r="AR563" s="32"/>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25"/>
      <c r="BQ563" s="25"/>
      <c r="BR563" s="25"/>
      <c r="BS563" s="25"/>
      <c r="BT563" s="25"/>
      <c r="BU563" s="25"/>
      <c r="BV563" s="25"/>
      <c r="BW563" s="25"/>
      <c r="BX563" s="25"/>
      <c r="BY563" s="25"/>
      <c r="BZ563" s="25"/>
      <c r="CA563" s="25"/>
      <c r="CB563" s="25"/>
      <c r="CC563" s="25"/>
      <c r="CD563" s="25"/>
      <c r="CE563" s="25"/>
      <c r="CF563" s="25"/>
      <c r="CG563" s="25"/>
      <c r="CH563" s="25"/>
      <c r="CI563" s="25"/>
      <c r="CJ563" s="25"/>
      <c r="CK563" s="25"/>
      <c r="CL563" s="25"/>
      <c r="CM563" s="25"/>
      <c r="CN563" s="25"/>
      <c r="CO563" s="25"/>
      <c r="CP563" s="25"/>
      <c r="CQ563" s="25"/>
      <c r="CR563" s="25"/>
      <c r="CS563" s="25"/>
      <c r="CT563" s="25"/>
      <c r="CU563" s="25"/>
      <c r="CV563" s="25"/>
      <c r="CW563" s="25"/>
      <c r="CX563" s="25"/>
      <c r="CY563" s="25"/>
      <c r="CZ563" s="25"/>
      <c r="DA563" s="25"/>
      <c r="DB563" s="25"/>
      <c r="DC563" s="25"/>
      <c r="DD563" s="25"/>
      <c r="DE563" s="25"/>
      <c r="DF563" s="25"/>
      <c r="DG563" s="25"/>
      <c r="DH563" s="25"/>
      <c r="DI563" s="25"/>
      <c r="DJ563" s="25"/>
      <c r="DK563" s="25"/>
      <c r="DL563" s="25"/>
      <c r="DM563" s="25"/>
      <c r="DN563" s="25"/>
      <c r="DO563" s="25"/>
      <c r="DP563" s="25"/>
      <c r="DQ563" s="25"/>
      <c r="DR563" s="25"/>
      <c r="DS563" s="25"/>
      <c r="DT563" s="25"/>
      <c r="DU563" s="25"/>
      <c r="DV563" s="25"/>
      <c r="DW563" s="25"/>
      <c r="DX563" s="25"/>
      <c r="DY563" s="25"/>
      <c r="DZ563" s="25"/>
      <c r="EA563" s="25"/>
      <c r="EB563" s="25"/>
      <c r="EC563" s="25"/>
      <c r="ED563" s="25"/>
      <c r="EE563" s="25"/>
      <c r="EF563" s="25"/>
      <c r="EG563" s="25"/>
      <c r="EH563" s="25"/>
      <c r="EI563" s="25"/>
      <c r="EJ563" s="25"/>
      <c r="EK563" s="25"/>
      <c r="EL563" s="25"/>
      <c r="EM563" s="25"/>
      <c r="EN563" s="25"/>
      <c r="EO563" s="25"/>
      <c r="EP563" s="25"/>
      <c r="EQ563" s="25"/>
      <c r="ER563" s="25"/>
      <c r="ES563" s="25"/>
      <c r="ET563" s="25"/>
      <c r="EU563" s="25"/>
      <c r="EV563" s="25"/>
      <c r="EW563" s="25"/>
      <c r="EX563" s="25"/>
      <c r="EY563" s="25"/>
      <c r="EZ563" s="25"/>
      <c r="FA563" s="25"/>
      <c r="FB563" s="25"/>
      <c r="FC563" s="25"/>
      <c r="FD563" s="25"/>
      <c r="FE563" s="25"/>
      <c r="FF563" s="25"/>
      <c r="FG563" s="25"/>
      <c r="FH563" s="25"/>
      <c r="FI563" s="25"/>
      <c r="FJ563" s="25"/>
      <c r="FK563" s="25"/>
      <c r="FL563" s="25"/>
      <c r="FM563" s="25"/>
      <c r="FN563" s="25"/>
      <c r="FO563" s="25"/>
      <c r="FP563" s="25"/>
      <c r="FQ563" s="25"/>
      <c r="FR563" s="25"/>
      <c r="FS563" s="25"/>
      <c r="FT563" s="25"/>
      <c r="FU563" s="25"/>
      <c r="FV563" s="25"/>
      <c r="FW563" s="25"/>
      <c r="FX563" s="25"/>
      <c r="FY563" s="25"/>
      <c r="FZ563" s="25"/>
      <c r="GA563" s="25"/>
      <c r="GB563" s="25"/>
      <c r="GC563" s="25"/>
      <c r="GD563" s="25"/>
      <c r="GE563" s="25"/>
      <c r="GF563" s="25"/>
      <c r="GG563" s="25"/>
      <c r="GH563" s="25"/>
      <c r="GI563" s="25"/>
      <c r="GJ563" s="25"/>
      <c r="GK563" s="25"/>
      <c r="GL563" s="25"/>
      <c r="GM563" s="25"/>
      <c r="GN563" s="25"/>
      <c r="GO563" s="25"/>
      <c r="GP563" s="25"/>
      <c r="GQ563" s="25"/>
      <c r="GR563" s="25"/>
      <c r="GS563" s="25"/>
      <c r="GT563" s="25"/>
      <c r="GU563" s="25"/>
      <c r="GV563" s="25"/>
      <c r="GW563" s="25"/>
      <c r="GX563" s="25"/>
      <c r="GY563" s="25"/>
      <c r="GZ563" s="25"/>
      <c r="HA563" s="25"/>
      <c r="HB563" s="25"/>
      <c r="HC563" s="25"/>
      <c r="HD563" s="25"/>
      <c r="HE563" s="25"/>
      <c r="HF563" s="25"/>
      <c r="HG563" s="25"/>
      <c r="HH563" s="25"/>
      <c r="HI563" s="25"/>
      <c r="HJ563" s="25"/>
      <c r="HK563" s="25"/>
      <c r="HL563" s="25"/>
      <c r="HM563" s="25"/>
      <c r="HN563" s="25"/>
      <c r="HO563" s="25"/>
      <c r="HP563" s="25"/>
      <c r="HQ563" s="25"/>
      <c r="HR563" s="25"/>
      <c r="HS563" s="25"/>
      <c r="HT563" s="25"/>
      <c r="HU563" s="25"/>
      <c r="HV563" s="25"/>
      <c r="HW563" s="25"/>
      <c r="HX563" s="25"/>
      <c r="HY563" s="25"/>
      <c r="HZ563" s="25"/>
      <c r="IA563" s="25"/>
      <c r="IB563" s="25"/>
      <c r="IC563" s="25"/>
      <c r="ID563" s="25"/>
      <c r="IE563" s="25"/>
      <c r="IF563" s="25"/>
      <c r="IG563" s="25"/>
      <c r="IH563" s="25"/>
      <c r="II563" s="25"/>
      <c r="IJ563" s="25"/>
      <c r="IK563" s="25"/>
      <c r="IL563" s="25"/>
      <c r="IM563" s="25"/>
      <c r="IN563" s="25"/>
      <c r="IO563" s="25"/>
      <c r="IP563" s="25"/>
      <c r="IQ563" s="25"/>
      <c r="IR563" s="25"/>
      <c r="IS563" s="25"/>
      <c r="IT563" s="25"/>
      <c r="IU563" s="25"/>
      <c r="IV563" s="25"/>
      <c r="IW563" s="25"/>
      <c r="IX563" s="25"/>
      <c r="IY563" s="25"/>
      <c r="IZ563" s="25"/>
      <c r="JA563" s="25"/>
      <c r="JB563" s="25"/>
      <c r="JC563" s="25"/>
      <c r="JD563" s="25"/>
      <c r="JE563" s="25"/>
      <c r="JF563" s="25"/>
      <c r="JG563" s="25"/>
      <c r="JH563" s="25"/>
      <c r="JI563" s="25"/>
      <c r="JJ563" s="25"/>
      <c r="JK563" s="25"/>
      <c r="JL563" s="25"/>
      <c r="JM563" s="25"/>
      <c r="JN563" s="25"/>
      <c r="JO563" s="25"/>
      <c r="JP563" s="25"/>
      <c r="JQ563" s="25"/>
      <c r="JR563" s="25"/>
      <c r="JS563" s="25"/>
      <c r="JT563" s="25"/>
      <c r="JU563" s="25"/>
      <c r="JV563" s="25"/>
      <c r="JW563" s="25"/>
      <c r="JX563" s="25"/>
      <c r="JY563" s="25"/>
      <c r="JZ563" s="25"/>
      <c r="KA563" s="25"/>
      <c r="KB563" s="25"/>
      <c r="KC563" s="25"/>
      <c r="KD563" s="25"/>
      <c r="KE563" s="25"/>
      <c r="KF563" s="25"/>
      <c r="KG563" s="25"/>
      <c r="KH563" s="25"/>
      <c r="KI563" s="25"/>
      <c r="KJ563" s="25"/>
      <c r="KK563" s="25"/>
      <c r="KL563" s="25"/>
      <c r="KM563" s="25"/>
      <c r="KN563" s="25"/>
      <c r="KO563" s="25"/>
      <c r="KP563" s="25"/>
      <c r="KQ563" s="25"/>
      <c r="KR563" s="25"/>
      <c r="KS563" s="25"/>
      <c r="KT563" s="25"/>
      <c r="KU563" s="25"/>
      <c r="KV563" s="25"/>
      <c r="KW563" s="25"/>
      <c r="KX563" s="25"/>
      <c r="KY563" s="25"/>
      <c r="KZ563" s="25"/>
      <c r="LA563" s="25"/>
      <c r="LB563" s="25"/>
      <c r="LC563" s="25"/>
      <c r="LD563" s="25"/>
      <c r="LE563" s="25"/>
      <c r="LF563" s="25"/>
      <c r="LG563" s="25"/>
      <c r="LH563" s="25"/>
      <c r="LI563" s="25"/>
      <c r="LJ563" s="25"/>
      <c r="LK563" s="25"/>
      <c r="LL563" s="25"/>
      <c r="LM563" s="25"/>
      <c r="LN563" s="25"/>
      <c r="LO563" s="25"/>
      <c r="LP563" s="25"/>
      <c r="LQ563" s="25"/>
      <c r="LR563" s="25"/>
      <c r="LS563" s="25"/>
      <c r="LT563" s="25"/>
      <c r="LU563" s="25"/>
      <c r="LV563" s="25"/>
      <c r="LW563" s="25"/>
      <c r="LX563" s="25"/>
      <c r="LY563" s="25"/>
      <c r="LZ563" s="25"/>
      <c r="MA563" s="25"/>
      <c r="MB563" s="25"/>
      <c r="MC563" s="25"/>
      <c r="MD563" s="25"/>
      <c r="ME563" s="25"/>
      <c r="MF563" s="25"/>
      <c r="MG563" s="25"/>
      <c r="MH563" s="25"/>
      <c r="MI563" s="25"/>
      <c r="MJ563" s="25"/>
      <c r="MK563" s="25"/>
      <c r="ML563" s="25"/>
      <c r="MM563" s="25"/>
      <c r="MN563" s="25"/>
      <c r="MO563" s="25"/>
      <c r="MP563" s="25"/>
      <c r="MQ563" s="25"/>
      <c r="MR563" s="25"/>
      <c r="MS563" s="25"/>
      <c r="MT563" s="25"/>
      <c r="MU563" s="25"/>
      <c r="MV563" s="25"/>
      <c r="MW563" s="25"/>
      <c r="MX563" s="25"/>
      <c r="MY563" s="25"/>
      <c r="MZ563" s="25"/>
      <c r="NA563" s="25"/>
      <c r="NB563" s="25"/>
      <c r="NC563" s="25"/>
      <c r="ND563" s="25"/>
      <c r="NE563" s="25"/>
      <c r="NF563" s="25"/>
      <c r="NG563" s="25"/>
      <c r="NH563" s="25"/>
      <c r="NI563" s="25"/>
      <c r="NJ563" s="25"/>
      <c r="NK563" s="25"/>
      <c r="NL563" s="25"/>
      <c r="NM563" s="25"/>
      <c r="NN563" s="25"/>
      <c r="NO563" s="25"/>
      <c r="NP563" s="25"/>
      <c r="NQ563" s="25"/>
      <c r="NR563" s="25"/>
      <c r="NS563" s="25"/>
      <c r="NT563" s="25"/>
      <c r="NU563" s="25"/>
      <c r="NV563" s="25"/>
      <c r="NW563" s="25"/>
      <c r="NX563" s="25"/>
      <c r="NY563" s="25"/>
      <c r="NZ563" s="25"/>
      <c r="OA563" s="25"/>
      <c r="OB563" s="25"/>
      <c r="OC563" s="25"/>
      <c r="OD563" s="25"/>
      <c r="OE563" s="25"/>
      <c r="OF563" s="25"/>
      <c r="OG563" s="25"/>
      <c r="OH563" s="25"/>
      <c r="OI563" s="25"/>
      <c r="OJ563" s="25"/>
      <c r="OK563" s="25"/>
      <c r="OL563" s="25"/>
      <c r="OM563" s="25"/>
      <c r="ON563" s="25"/>
      <c r="OO563" s="25"/>
      <c r="OP563" s="25"/>
      <c r="OQ563" s="25"/>
      <c r="OR563" s="25"/>
      <c r="OS563" s="25"/>
      <c r="OT563" s="25"/>
      <c r="OU563" s="25"/>
      <c r="OV563" s="25"/>
      <c r="OW563" s="25"/>
      <c r="OX563" s="25"/>
      <c r="OY563" s="25"/>
      <c r="OZ563" s="25"/>
      <c r="PA563" s="25"/>
      <c r="PB563" s="25"/>
      <c r="PC563" s="25"/>
      <c r="PD563" s="25"/>
      <c r="PE563" s="25"/>
      <c r="PF563" s="25"/>
      <c r="PG563" s="25"/>
      <c r="PH563" s="25"/>
      <c r="PI563" s="25"/>
      <c r="PJ563" s="25"/>
      <c r="PK563" s="25"/>
      <c r="PL563" s="25"/>
      <c r="PM563" s="25"/>
      <c r="PN563" s="25"/>
      <c r="PO563" s="25"/>
      <c r="PP563" s="25"/>
      <c r="PQ563" s="25"/>
      <c r="PR563" s="25"/>
      <c r="PS563" s="25"/>
      <c r="PT563" s="25"/>
      <c r="PU563" s="25"/>
      <c r="PV563" s="25"/>
      <c r="PW563" s="25"/>
      <c r="PX563" s="25"/>
      <c r="PY563" s="25"/>
      <c r="PZ563" s="25"/>
      <c r="QA563" s="25"/>
      <c r="QB563" s="25"/>
      <c r="QC563" s="25"/>
      <c r="QD563" s="25"/>
      <c r="QE563" s="25"/>
      <c r="QF563" s="25"/>
      <c r="QG563" s="25"/>
      <c r="QH563" s="25"/>
      <c r="QI563" s="25"/>
      <c r="QJ563" s="25"/>
      <c r="QK563" s="25"/>
      <c r="QL563" s="25"/>
      <c r="QM563" s="25"/>
      <c r="QN563" s="25"/>
      <c r="QO563" s="25"/>
      <c r="QP563" s="25"/>
      <c r="QQ563" s="25"/>
      <c r="QR563" s="25"/>
      <c r="QS563" s="25"/>
      <c r="QT563" s="25"/>
      <c r="QU563" s="25"/>
      <c r="QV563" s="25"/>
      <c r="QW563" s="25"/>
      <c r="QX563" s="25"/>
      <c r="QY563" s="25"/>
      <c r="QZ563" s="25"/>
      <c r="RA563" s="25"/>
      <c r="RB563" s="25"/>
      <c r="RC563" s="25"/>
      <c r="RD563" s="25"/>
      <c r="RE563" s="25"/>
      <c r="RF563" s="25"/>
      <c r="RG563" s="25"/>
      <c r="RH563" s="25"/>
      <c r="RI563" s="25"/>
      <c r="RJ563" s="25"/>
      <c r="RK563" s="25"/>
      <c r="RL563" s="25"/>
      <c r="RM563" s="25"/>
      <c r="RN563" s="25"/>
      <c r="RO563" s="25"/>
      <c r="RP563" s="25"/>
      <c r="RQ563" s="25"/>
      <c r="RR563" s="25"/>
      <c r="RS563" s="25"/>
      <c r="RT563" s="25"/>
      <c r="RU563" s="25"/>
      <c r="RV563" s="25"/>
      <c r="RW563" s="25"/>
      <c r="RX563" s="25"/>
      <c r="RY563" s="25"/>
      <c r="RZ563" s="25"/>
      <c r="SA563" s="25"/>
      <c r="SB563" s="25"/>
      <c r="SC563" s="25"/>
      <c r="SD563" s="25"/>
      <c r="SE563" s="25"/>
      <c r="SF563" s="25"/>
      <c r="SG563" s="25"/>
      <c r="SH563" s="25"/>
      <c r="SI563" s="25"/>
      <c r="SJ563" s="25"/>
      <c r="SK563" s="25"/>
      <c r="SL563" s="25"/>
      <c r="SM563" s="25"/>
      <c r="SN563" s="25"/>
      <c r="SO563" s="25"/>
      <c r="SP563" s="25"/>
      <c r="SQ563" s="25"/>
      <c r="SR563" s="25"/>
      <c r="SS563" s="25"/>
      <c r="ST563" s="25"/>
      <c r="SU563" s="25"/>
      <c r="SV563" s="25"/>
      <c r="SW563" s="25"/>
      <c r="SX563" s="25"/>
      <c r="SY563" s="25"/>
      <c r="SZ563" s="25"/>
      <c r="TA563" s="25"/>
      <c r="TB563" s="25"/>
      <c r="TC563" s="25"/>
      <c r="TD563" s="25"/>
      <c r="TE563" s="25"/>
      <c r="TF563" s="25"/>
      <c r="TG563" s="25"/>
      <c r="TH563" s="25"/>
      <c r="TI563" s="25"/>
      <c r="TJ563" s="25"/>
      <c r="TK563" s="25"/>
      <c r="TL563" s="25"/>
      <c r="TM563" s="25"/>
      <c r="TN563" s="25"/>
      <c r="TO563" s="25"/>
      <c r="TP563" s="25"/>
      <c r="TQ563" s="25"/>
      <c r="TR563" s="25"/>
      <c r="TS563" s="25"/>
      <c r="TT563" s="25"/>
      <c r="TU563" s="25"/>
      <c r="TV563" s="25"/>
      <c r="TW563" s="25"/>
      <c r="TX563" s="25"/>
      <c r="TY563" s="25"/>
      <c r="TZ563" s="25"/>
      <c r="UA563" s="25"/>
      <c r="UB563" s="25"/>
      <c r="UC563" s="25"/>
      <c r="UD563" s="25"/>
      <c r="UE563" s="25"/>
      <c r="UF563" s="25"/>
      <c r="UG563" s="26"/>
    </row>
    <row r="564" spans="1:553" ht="113.25" customHeight="1">
      <c r="A564" s="356" t="s">
        <v>15</v>
      </c>
      <c r="B564" s="385"/>
      <c r="C564" s="384" t="s">
        <v>19</v>
      </c>
      <c r="D564" s="1432">
        <v>1</v>
      </c>
      <c r="E564" s="1515">
        <v>465</v>
      </c>
      <c r="F564" s="1435">
        <v>1</v>
      </c>
      <c r="G564" s="1469" t="s">
        <v>935</v>
      </c>
      <c r="H564" s="1516">
        <v>1613.5</v>
      </c>
      <c r="I564" s="441">
        <v>400</v>
      </c>
      <c r="J564" s="368">
        <v>390000</v>
      </c>
      <c r="K564" s="371"/>
      <c r="L564" s="487">
        <f t="shared" ref="L564:L565" si="100">ROUND(PRODUCT(I564:K564),0)</f>
        <v>156000000</v>
      </c>
      <c r="M564" s="451" t="s">
        <v>88</v>
      </c>
      <c r="N564" s="392">
        <v>198000</v>
      </c>
      <c r="O564" s="366">
        <f>I564*M564*N564</f>
        <v>31680000</v>
      </c>
      <c r="P564" s="366"/>
      <c r="Q564" s="1415" t="s">
        <v>395</v>
      </c>
      <c r="R564" s="1452"/>
      <c r="S564" s="308"/>
      <c r="T564" s="308"/>
      <c r="U564" s="308"/>
      <c r="V564" s="308"/>
      <c r="W564" s="308"/>
      <c r="X564" s="308"/>
      <c r="Y564" s="308"/>
      <c r="Z564" s="604"/>
      <c r="AA564" s="308"/>
      <c r="AB564" s="308"/>
      <c r="AC564" s="449">
        <f>I564</f>
        <v>400</v>
      </c>
      <c r="AD564" s="449"/>
      <c r="AE564" s="449"/>
      <c r="AF564" s="449"/>
      <c r="AG564" s="449"/>
      <c r="AH564" s="449"/>
      <c r="AI564" s="449"/>
      <c r="AJ564" s="449"/>
      <c r="AK564" s="452"/>
      <c r="AL564" s="104"/>
      <c r="AM564" s="32"/>
      <c r="AN564" s="32"/>
      <c r="AO564" s="32"/>
      <c r="AP564" s="32"/>
      <c r="AQ564" s="32"/>
      <c r="AR564" s="32"/>
      <c r="AS564" s="31"/>
      <c r="AT564" s="22"/>
      <c r="AU564" s="22"/>
      <c r="AV564" s="22"/>
      <c r="AW564" s="22"/>
      <c r="AX564" s="22"/>
      <c r="AY564" s="22"/>
      <c r="AZ564" s="22"/>
      <c r="BA564" s="22"/>
      <c r="BB564" s="22"/>
      <c r="BC564" s="22"/>
      <c r="BD564" s="22"/>
      <c r="BE564" s="22"/>
      <c r="BF564" s="22"/>
      <c r="BG564" s="22"/>
      <c r="BH564" s="22"/>
      <c r="BI564" s="22"/>
      <c r="BJ564" s="22"/>
      <c r="BK564" s="22"/>
      <c r="BL564" s="22"/>
      <c r="BM564" s="22"/>
      <c r="BN564" s="22"/>
      <c r="BO564" s="22"/>
      <c r="BP564" s="25"/>
      <c r="BQ564" s="25"/>
      <c r="BR564" s="25"/>
      <c r="BS564" s="25"/>
      <c r="BT564" s="25"/>
      <c r="BU564" s="25"/>
      <c r="BV564" s="25"/>
      <c r="BW564" s="25"/>
      <c r="BX564" s="25"/>
      <c r="BY564" s="25"/>
      <c r="BZ564" s="25"/>
      <c r="CA564" s="25"/>
      <c r="CB564" s="25"/>
      <c r="CC564" s="25"/>
      <c r="CD564" s="25"/>
      <c r="CE564" s="25"/>
      <c r="CF564" s="25"/>
      <c r="CG564" s="25"/>
      <c r="CH564" s="25"/>
      <c r="CI564" s="25"/>
      <c r="CJ564" s="25"/>
      <c r="CK564" s="25"/>
      <c r="CL564" s="25"/>
      <c r="CM564" s="25"/>
      <c r="CN564" s="25"/>
      <c r="CO564" s="25"/>
      <c r="CP564" s="25"/>
      <c r="CQ564" s="25"/>
      <c r="CR564" s="25"/>
      <c r="CS564" s="25"/>
      <c r="CT564" s="25"/>
      <c r="CU564" s="25"/>
      <c r="CV564" s="25"/>
      <c r="CW564" s="25"/>
      <c r="CX564" s="25"/>
      <c r="CY564" s="25"/>
      <c r="CZ564" s="25"/>
      <c r="DA564" s="25"/>
      <c r="DB564" s="25"/>
      <c r="DC564" s="25"/>
      <c r="DD564" s="25"/>
      <c r="DE564" s="25"/>
      <c r="DF564" s="25"/>
      <c r="DG564" s="25"/>
      <c r="DH564" s="25"/>
      <c r="DI564" s="25"/>
      <c r="DJ564" s="25"/>
      <c r="DK564" s="25"/>
      <c r="DL564" s="25"/>
      <c r="DM564" s="25"/>
      <c r="DN564" s="25"/>
      <c r="DO564" s="25"/>
      <c r="DP564" s="25"/>
      <c r="DQ564" s="25"/>
      <c r="DR564" s="25"/>
      <c r="DS564" s="25"/>
      <c r="DT564" s="25"/>
      <c r="DU564" s="25"/>
      <c r="DV564" s="25"/>
      <c r="DW564" s="25"/>
      <c r="DX564" s="25"/>
      <c r="DY564" s="25"/>
      <c r="DZ564" s="25"/>
      <c r="EA564" s="25"/>
      <c r="EB564" s="25"/>
      <c r="EC564" s="25"/>
      <c r="ED564" s="25"/>
      <c r="EE564" s="25"/>
      <c r="EF564" s="25"/>
      <c r="EG564" s="25"/>
      <c r="EH564" s="25"/>
      <c r="EI564" s="25"/>
      <c r="EJ564" s="25"/>
      <c r="EK564" s="25"/>
      <c r="EL564" s="25"/>
      <c r="EM564" s="25"/>
      <c r="EN564" s="25"/>
      <c r="EO564" s="25"/>
      <c r="EP564" s="25"/>
      <c r="EQ564" s="25"/>
      <c r="ER564" s="25"/>
      <c r="ES564" s="25"/>
      <c r="ET564" s="25"/>
      <c r="EU564" s="25"/>
      <c r="EV564" s="25"/>
      <c r="EW564" s="25"/>
      <c r="EX564" s="25"/>
      <c r="EY564" s="25"/>
      <c r="EZ564" s="25"/>
      <c r="FA564" s="25"/>
      <c r="FB564" s="25"/>
      <c r="FC564" s="25"/>
      <c r="FD564" s="25"/>
      <c r="FE564" s="25"/>
      <c r="FF564" s="25"/>
      <c r="FG564" s="25"/>
      <c r="FH564" s="25"/>
      <c r="FI564" s="25"/>
      <c r="FJ564" s="25"/>
      <c r="FK564" s="25"/>
      <c r="FL564" s="25"/>
      <c r="FM564" s="25"/>
      <c r="FN564" s="25"/>
      <c r="FO564" s="25"/>
      <c r="FP564" s="25"/>
      <c r="FQ564" s="25"/>
      <c r="FR564" s="25"/>
      <c r="FS564" s="25"/>
      <c r="FT564" s="25"/>
      <c r="FU564" s="25"/>
      <c r="FV564" s="25"/>
      <c r="FW564" s="25"/>
      <c r="FX564" s="25"/>
      <c r="FY564" s="25"/>
      <c r="FZ564" s="25"/>
      <c r="GA564" s="25"/>
      <c r="GB564" s="25"/>
      <c r="GC564" s="25"/>
      <c r="GD564" s="25"/>
      <c r="GE564" s="25"/>
      <c r="GF564" s="25"/>
      <c r="GG564" s="25"/>
      <c r="GH564" s="25"/>
      <c r="GI564" s="25"/>
      <c r="GJ564" s="25"/>
      <c r="GK564" s="25"/>
      <c r="GL564" s="25"/>
      <c r="GM564" s="25"/>
      <c r="GN564" s="25"/>
      <c r="GO564" s="25"/>
      <c r="GP564" s="25"/>
      <c r="GQ564" s="25"/>
      <c r="GR564" s="25"/>
      <c r="GS564" s="25"/>
      <c r="GT564" s="25"/>
      <c r="GU564" s="25"/>
      <c r="GV564" s="25"/>
      <c r="GW564" s="25"/>
      <c r="GX564" s="25"/>
      <c r="GY564" s="25"/>
      <c r="GZ564" s="25"/>
      <c r="HA564" s="25"/>
      <c r="HB564" s="25"/>
      <c r="HC564" s="25"/>
      <c r="HD564" s="25"/>
      <c r="HE564" s="25"/>
      <c r="HF564" s="25"/>
      <c r="HG564" s="25"/>
      <c r="HH564" s="25"/>
      <c r="HI564" s="25"/>
      <c r="HJ564" s="25"/>
      <c r="HK564" s="25"/>
      <c r="HL564" s="25"/>
      <c r="HM564" s="25"/>
      <c r="HN564" s="25"/>
      <c r="HO564" s="25"/>
      <c r="HP564" s="25"/>
      <c r="HQ564" s="25"/>
      <c r="HR564" s="25"/>
      <c r="HS564" s="25"/>
      <c r="HT564" s="25"/>
      <c r="HU564" s="25"/>
      <c r="HV564" s="25"/>
      <c r="HW564" s="25"/>
      <c r="HX564" s="25"/>
      <c r="HY564" s="25"/>
      <c r="HZ564" s="25"/>
      <c r="IA564" s="25"/>
      <c r="IB564" s="25"/>
      <c r="IC564" s="25"/>
      <c r="ID564" s="25"/>
      <c r="IE564" s="25"/>
      <c r="IF564" s="25"/>
      <c r="IG564" s="25"/>
      <c r="IH564" s="25"/>
      <c r="II564" s="25"/>
      <c r="IJ564" s="25"/>
      <c r="IK564" s="25"/>
      <c r="IL564" s="25"/>
      <c r="IM564" s="25"/>
      <c r="IN564" s="25"/>
      <c r="IO564" s="25"/>
      <c r="IP564" s="25"/>
      <c r="IQ564" s="25"/>
      <c r="IR564" s="25"/>
      <c r="IS564" s="25"/>
      <c r="IT564" s="25"/>
      <c r="IU564" s="25"/>
      <c r="IV564" s="25"/>
      <c r="IW564" s="25"/>
      <c r="IX564" s="25"/>
      <c r="IY564" s="25"/>
      <c r="IZ564" s="25"/>
      <c r="JA564" s="25"/>
      <c r="JB564" s="25"/>
      <c r="JC564" s="25"/>
      <c r="JD564" s="25"/>
      <c r="JE564" s="25"/>
      <c r="JF564" s="25"/>
      <c r="JG564" s="25"/>
      <c r="JH564" s="25"/>
      <c r="JI564" s="25"/>
      <c r="JJ564" s="25"/>
      <c r="JK564" s="25"/>
      <c r="JL564" s="25"/>
      <c r="JM564" s="25"/>
      <c r="JN564" s="25"/>
      <c r="JO564" s="25"/>
      <c r="JP564" s="25"/>
      <c r="JQ564" s="25"/>
      <c r="JR564" s="25"/>
      <c r="JS564" s="25"/>
      <c r="JT564" s="25"/>
      <c r="JU564" s="25"/>
      <c r="JV564" s="25"/>
      <c r="JW564" s="25"/>
      <c r="JX564" s="25"/>
      <c r="JY564" s="25"/>
      <c r="JZ564" s="25"/>
      <c r="KA564" s="25"/>
      <c r="KB564" s="25"/>
      <c r="KC564" s="25"/>
      <c r="KD564" s="25"/>
      <c r="KE564" s="25"/>
      <c r="KF564" s="25"/>
      <c r="KG564" s="25"/>
      <c r="KH564" s="25"/>
      <c r="KI564" s="25"/>
      <c r="KJ564" s="25"/>
      <c r="KK564" s="25"/>
      <c r="KL564" s="25"/>
      <c r="KM564" s="25"/>
      <c r="KN564" s="25"/>
      <c r="KO564" s="25"/>
      <c r="KP564" s="25"/>
      <c r="KQ564" s="25"/>
      <c r="KR564" s="25"/>
      <c r="KS564" s="25"/>
      <c r="KT564" s="25"/>
      <c r="KU564" s="25"/>
      <c r="KV564" s="25"/>
      <c r="KW564" s="25"/>
      <c r="KX564" s="25"/>
      <c r="KY564" s="25"/>
      <c r="KZ564" s="25"/>
      <c r="LA564" s="25"/>
      <c r="LB564" s="25"/>
      <c r="LC564" s="25"/>
      <c r="LD564" s="25"/>
      <c r="LE564" s="25"/>
      <c r="LF564" s="25"/>
      <c r="LG564" s="25"/>
      <c r="LH564" s="25"/>
      <c r="LI564" s="25"/>
      <c r="LJ564" s="25"/>
      <c r="LK564" s="25"/>
      <c r="LL564" s="25"/>
      <c r="LM564" s="25"/>
      <c r="LN564" s="25"/>
      <c r="LO564" s="25"/>
      <c r="LP564" s="25"/>
      <c r="LQ564" s="25"/>
      <c r="LR564" s="25"/>
      <c r="LS564" s="25"/>
      <c r="LT564" s="25"/>
      <c r="LU564" s="25"/>
      <c r="LV564" s="25"/>
      <c r="LW564" s="25"/>
      <c r="LX564" s="25"/>
      <c r="LY564" s="25"/>
      <c r="LZ564" s="25"/>
      <c r="MA564" s="25"/>
      <c r="MB564" s="25"/>
      <c r="MC564" s="25"/>
      <c r="MD564" s="25"/>
      <c r="ME564" s="25"/>
      <c r="MF564" s="25"/>
      <c r="MG564" s="25"/>
      <c r="MH564" s="25"/>
      <c r="MI564" s="25"/>
      <c r="MJ564" s="25"/>
      <c r="MK564" s="25"/>
      <c r="ML564" s="25"/>
      <c r="MM564" s="25"/>
      <c r="MN564" s="25"/>
      <c r="MO564" s="25"/>
      <c r="MP564" s="25"/>
      <c r="MQ564" s="25"/>
      <c r="MR564" s="25"/>
      <c r="MS564" s="25"/>
      <c r="MT564" s="25"/>
      <c r="MU564" s="25"/>
      <c r="MV564" s="25"/>
      <c r="MW564" s="25"/>
      <c r="MX564" s="25"/>
      <c r="MY564" s="25"/>
      <c r="MZ564" s="25"/>
      <c r="NA564" s="25"/>
      <c r="NB564" s="25"/>
      <c r="NC564" s="25"/>
      <c r="ND564" s="25"/>
      <c r="NE564" s="25"/>
      <c r="NF564" s="25"/>
      <c r="NG564" s="25"/>
      <c r="NH564" s="25"/>
      <c r="NI564" s="25"/>
      <c r="NJ564" s="25"/>
      <c r="NK564" s="25"/>
      <c r="NL564" s="25"/>
      <c r="NM564" s="25"/>
      <c r="NN564" s="25"/>
      <c r="NO564" s="25"/>
      <c r="NP564" s="25"/>
      <c r="NQ564" s="25"/>
      <c r="NR564" s="25"/>
      <c r="NS564" s="25"/>
      <c r="NT564" s="25"/>
      <c r="NU564" s="25"/>
      <c r="NV564" s="25"/>
      <c r="NW564" s="25"/>
      <c r="NX564" s="25"/>
      <c r="NY564" s="25"/>
      <c r="NZ564" s="25"/>
      <c r="OA564" s="25"/>
      <c r="OB564" s="25"/>
      <c r="OC564" s="25"/>
      <c r="OD564" s="25"/>
      <c r="OE564" s="25"/>
      <c r="OF564" s="25"/>
      <c r="OG564" s="25"/>
      <c r="OH564" s="25"/>
      <c r="OI564" s="25"/>
      <c r="OJ564" s="25"/>
      <c r="OK564" s="25"/>
      <c r="OL564" s="25"/>
      <c r="OM564" s="25"/>
      <c r="ON564" s="25"/>
      <c r="OO564" s="25"/>
      <c r="OP564" s="25"/>
      <c r="OQ564" s="25"/>
      <c r="OR564" s="25"/>
      <c r="OS564" s="25"/>
      <c r="OT564" s="25"/>
      <c r="OU564" s="25"/>
      <c r="OV564" s="25"/>
      <c r="OW564" s="25"/>
      <c r="OX564" s="25"/>
      <c r="OY564" s="25"/>
      <c r="OZ564" s="25"/>
      <c r="PA564" s="25"/>
      <c r="PB564" s="25"/>
      <c r="PC564" s="25"/>
      <c r="PD564" s="25"/>
      <c r="PE564" s="25"/>
      <c r="PF564" s="25"/>
      <c r="PG564" s="25"/>
      <c r="PH564" s="25"/>
      <c r="PI564" s="25"/>
      <c r="PJ564" s="25"/>
      <c r="PK564" s="25"/>
      <c r="PL564" s="25"/>
      <c r="PM564" s="25"/>
      <c r="PN564" s="25"/>
      <c r="PO564" s="25"/>
      <c r="PP564" s="25"/>
      <c r="PQ564" s="25"/>
      <c r="PR564" s="25"/>
      <c r="PS564" s="25"/>
      <c r="PT564" s="25"/>
      <c r="PU564" s="25"/>
      <c r="PV564" s="25"/>
      <c r="PW564" s="25"/>
      <c r="PX564" s="25"/>
      <c r="PY564" s="25"/>
      <c r="PZ564" s="25"/>
      <c r="QA564" s="25"/>
      <c r="QB564" s="25"/>
      <c r="QC564" s="25"/>
      <c r="QD564" s="25"/>
      <c r="QE564" s="25"/>
      <c r="QF564" s="25"/>
      <c r="QG564" s="25"/>
      <c r="QH564" s="25"/>
      <c r="QI564" s="25"/>
      <c r="QJ564" s="25"/>
      <c r="QK564" s="25"/>
      <c r="QL564" s="25"/>
      <c r="QM564" s="25"/>
      <c r="QN564" s="25"/>
      <c r="QO564" s="25"/>
      <c r="QP564" s="25"/>
      <c r="QQ564" s="25"/>
      <c r="QR564" s="25"/>
      <c r="QS564" s="25"/>
      <c r="QT564" s="25"/>
      <c r="QU564" s="25"/>
      <c r="QV564" s="25"/>
      <c r="QW564" s="25"/>
      <c r="QX564" s="25"/>
      <c r="QY564" s="25"/>
      <c r="QZ564" s="25"/>
      <c r="RA564" s="25"/>
      <c r="RB564" s="25"/>
      <c r="RC564" s="25"/>
      <c r="RD564" s="25"/>
      <c r="RE564" s="25"/>
      <c r="RF564" s="25"/>
      <c r="RG564" s="25"/>
      <c r="RH564" s="25"/>
      <c r="RI564" s="25"/>
      <c r="RJ564" s="25"/>
      <c r="RK564" s="25"/>
      <c r="RL564" s="25"/>
      <c r="RM564" s="25"/>
      <c r="RN564" s="25"/>
      <c r="RO564" s="25"/>
      <c r="RP564" s="25"/>
      <c r="RQ564" s="25"/>
      <c r="RR564" s="25"/>
      <c r="RS564" s="25"/>
      <c r="RT564" s="25"/>
      <c r="RU564" s="25"/>
      <c r="RV564" s="25"/>
      <c r="RW564" s="25"/>
      <c r="RX564" s="25"/>
      <c r="RY564" s="25"/>
      <c r="RZ564" s="25"/>
      <c r="SA564" s="25"/>
      <c r="SB564" s="25"/>
      <c r="SC564" s="25"/>
      <c r="SD564" s="25"/>
      <c r="SE564" s="25"/>
      <c r="SF564" s="25"/>
      <c r="SG564" s="25"/>
      <c r="SH564" s="25"/>
      <c r="SI564" s="25"/>
      <c r="SJ564" s="25"/>
      <c r="SK564" s="25"/>
      <c r="SL564" s="25"/>
      <c r="SM564" s="25"/>
      <c r="SN564" s="25"/>
      <c r="SO564" s="25"/>
      <c r="SP564" s="25"/>
      <c r="SQ564" s="25"/>
      <c r="SR564" s="25"/>
      <c r="SS564" s="25"/>
      <c r="ST564" s="25"/>
      <c r="SU564" s="25"/>
      <c r="SV564" s="25"/>
      <c r="SW564" s="25"/>
      <c r="SX564" s="25"/>
      <c r="SY564" s="25"/>
      <c r="SZ564" s="25"/>
      <c r="TA564" s="25"/>
      <c r="TB564" s="25"/>
      <c r="TC564" s="25"/>
      <c r="TD564" s="25"/>
      <c r="TE564" s="25"/>
      <c r="TF564" s="25"/>
      <c r="TG564" s="25"/>
      <c r="TH564" s="25"/>
      <c r="TI564" s="25"/>
      <c r="TJ564" s="25"/>
      <c r="TK564" s="25"/>
      <c r="TL564" s="25"/>
      <c r="TM564" s="25"/>
      <c r="TN564" s="25"/>
      <c r="TO564" s="25"/>
      <c r="TP564" s="25"/>
      <c r="TQ564" s="25"/>
      <c r="TR564" s="25"/>
      <c r="TS564" s="25"/>
      <c r="TT564" s="25"/>
      <c r="TU564" s="25"/>
      <c r="TV564" s="25"/>
      <c r="TW564" s="25"/>
      <c r="TX564" s="25"/>
      <c r="TY564" s="25"/>
      <c r="TZ564" s="25"/>
      <c r="UA564" s="25"/>
      <c r="UB564" s="25"/>
      <c r="UC564" s="25"/>
      <c r="UD564" s="25"/>
      <c r="UE564" s="25"/>
      <c r="UF564" s="25"/>
      <c r="UG564" s="26"/>
    </row>
    <row r="565" spans="1:553" s="169" customFormat="1" ht="113.25" customHeight="1">
      <c r="A565" s="356" t="s">
        <v>15</v>
      </c>
      <c r="B565" s="385"/>
      <c r="C565" s="384" t="s">
        <v>22</v>
      </c>
      <c r="D565" s="1433"/>
      <c r="E565" s="1434"/>
      <c r="F565" s="1433"/>
      <c r="G565" s="1434"/>
      <c r="H565" s="1517"/>
      <c r="I565" s="547">
        <f>H564-I564</f>
        <v>1213.5</v>
      </c>
      <c r="J565" s="368">
        <v>60000</v>
      </c>
      <c r="K565" s="371"/>
      <c r="L565" s="487">
        <f t="shared" si="100"/>
        <v>72810000</v>
      </c>
      <c r="M565" s="392"/>
      <c r="N565" s="392"/>
      <c r="O565" s="366"/>
      <c r="P565" s="366"/>
      <c r="Q565" s="1416"/>
      <c r="R565" s="1452"/>
      <c r="S565" s="308"/>
      <c r="T565" s="308"/>
      <c r="U565" s="308"/>
      <c r="V565" s="308"/>
      <c r="W565" s="308"/>
      <c r="X565" s="308"/>
      <c r="Y565" s="308"/>
      <c r="Z565" s="604"/>
      <c r="AA565" s="308"/>
      <c r="AB565" s="1093">
        <f>I565</f>
        <v>1213.5</v>
      </c>
      <c r="AC565" s="449"/>
      <c r="AD565" s="449"/>
      <c r="AE565" s="449"/>
      <c r="AF565" s="449"/>
      <c r="AG565" s="449"/>
      <c r="AH565" s="449"/>
      <c r="AI565" s="449"/>
      <c r="AJ565" s="449"/>
      <c r="AK565" s="452"/>
      <c r="AL565" s="869"/>
      <c r="AM565" s="870"/>
      <c r="AN565" s="870"/>
      <c r="AO565" s="870"/>
      <c r="AP565" s="870"/>
      <c r="AQ565" s="870"/>
      <c r="AR565" s="870"/>
      <c r="AS565" s="165"/>
      <c r="AT565" s="166"/>
      <c r="AU565" s="166"/>
      <c r="AV565" s="166"/>
      <c r="AW565" s="166"/>
      <c r="AX565" s="166"/>
      <c r="AY565" s="166"/>
      <c r="AZ565" s="166"/>
      <c r="BA565" s="166"/>
      <c r="BB565" s="166"/>
      <c r="BC565" s="166"/>
      <c r="BD565" s="166"/>
      <c r="BE565" s="166"/>
      <c r="BF565" s="166"/>
      <c r="BG565" s="166"/>
      <c r="BH565" s="166"/>
      <c r="BI565" s="166"/>
      <c r="BJ565" s="166"/>
      <c r="BK565" s="166"/>
      <c r="BL565" s="166"/>
      <c r="BM565" s="166"/>
      <c r="BN565" s="166"/>
      <c r="BO565" s="166"/>
      <c r="BP565" s="167"/>
      <c r="BQ565" s="167"/>
      <c r="BR565" s="167"/>
      <c r="BS565" s="167"/>
      <c r="BT565" s="167"/>
      <c r="BU565" s="167"/>
      <c r="BV565" s="167"/>
      <c r="BW565" s="167"/>
      <c r="BX565" s="167"/>
      <c r="BY565" s="167"/>
      <c r="BZ565" s="167"/>
      <c r="CA565" s="167"/>
      <c r="CB565" s="167"/>
      <c r="CC565" s="167"/>
      <c r="CD565" s="167"/>
      <c r="CE565" s="167"/>
      <c r="CF565" s="167"/>
      <c r="CG565" s="167"/>
      <c r="CH565" s="167"/>
      <c r="CI565" s="167"/>
      <c r="CJ565" s="167"/>
      <c r="CK565" s="167"/>
      <c r="CL565" s="167"/>
      <c r="CM565" s="167"/>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7"/>
      <c r="DL565" s="167"/>
      <c r="DM565" s="167"/>
      <c r="DN565" s="167"/>
      <c r="DO565" s="167"/>
      <c r="DP565" s="167"/>
      <c r="DQ565" s="167"/>
      <c r="DR565" s="167"/>
      <c r="DS565" s="167"/>
      <c r="DT565" s="167"/>
      <c r="DU565" s="167"/>
      <c r="DV565" s="167"/>
      <c r="DW565" s="167"/>
      <c r="DX565" s="167"/>
      <c r="DY565" s="167"/>
      <c r="DZ565" s="167"/>
      <c r="EA565" s="167"/>
      <c r="EB565" s="167"/>
      <c r="EC565" s="167"/>
      <c r="ED565" s="167"/>
      <c r="EE565" s="167"/>
      <c r="EF565" s="167"/>
      <c r="EG565" s="167"/>
      <c r="EH565" s="167"/>
      <c r="EI565" s="167"/>
      <c r="EJ565" s="167"/>
      <c r="EK565" s="167"/>
      <c r="EL565" s="167"/>
      <c r="EM565" s="167"/>
      <c r="EN565" s="167"/>
      <c r="EO565" s="167"/>
      <c r="EP565" s="167"/>
      <c r="EQ565" s="167"/>
      <c r="ER565" s="167"/>
      <c r="ES565" s="167"/>
      <c r="ET565" s="167"/>
      <c r="EU565" s="167"/>
      <c r="EV565" s="167"/>
      <c r="EW565" s="167"/>
      <c r="EX565" s="167"/>
      <c r="EY565" s="167"/>
      <c r="EZ565" s="167"/>
      <c r="FA565" s="167"/>
      <c r="FB565" s="167"/>
      <c r="FC565" s="167"/>
      <c r="FD565" s="167"/>
      <c r="FE565" s="167"/>
      <c r="FF565" s="167"/>
      <c r="FG565" s="167"/>
      <c r="FH565" s="167"/>
      <c r="FI565" s="167"/>
      <c r="FJ565" s="167"/>
      <c r="FK565" s="167"/>
      <c r="FL565" s="167"/>
      <c r="FM565" s="167"/>
      <c r="FN565" s="167"/>
      <c r="FO565" s="167"/>
      <c r="FP565" s="167"/>
      <c r="FQ565" s="167"/>
      <c r="FR565" s="167"/>
      <c r="FS565" s="167"/>
      <c r="FT565" s="167"/>
      <c r="FU565" s="167"/>
      <c r="FV565" s="167"/>
      <c r="FW565" s="167"/>
      <c r="FX565" s="167"/>
      <c r="FY565" s="167"/>
      <c r="FZ565" s="167"/>
      <c r="GA565" s="167"/>
      <c r="GB565" s="167"/>
      <c r="GC565" s="167"/>
      <c r="GD565" s="167"/>
      <c r="GE565" s="167"/>
      <c r="GF565" s="167"/>
      <c r="GG565" s="167"/>
      <c r="GH565" s="167"/>
      <c r="GI565" s="167"/>
      <c r="GJ565" s="167"/>
      <c r="GK565" s="167"/>
      <c r="GL565" s="167"/>
      <c r="GM565" s="167"/>
      <c r="GN565" s="167"/>
      <c r="GO565" s="167"/>
      <c r="GP565" s="167"/>
      <c r="GQ565" s="167"/>
      <c r="GR565" s="167"/>
      <c r="GS565" s="167"/>
      <c r="GT565" s="167"/>
      <c r="GU565" s="167"/>
      <c r="GV565" s="167"/>
      <c r="GW565" s="167"/>
      <c r="GX565" s="167"/>
      <c r="GY565" s="167"/>
      <c r="GZ565" s="167"/>
      <c r="HA565" s="167"/>
      <c r="HB565" s="167"/>
      <c r="HC565" s="167"/>
      <c r="HD565" s="167"/>
      <c r="HE565" s="167"/>
      <c r="HF565" s="167"/>
      <c r="HG565" s="167"/>
      <c r="HH565" s="167"/>
      <c r="HI565" s="167"/>
      <c r="HJ565" s="167"/>
      <c r="HK565" s="167"/>
      <c r="HL565" s="167"/>
      <c r="HM565" s="167"/>
      <c r="HN565" s="167"/>
      <c r="HO565" s="167"/>
      <c r="HP565" s="167"/>
      <c r="HQ565" s="167"/>
      <c r="HR565" s="167"/>
      <c r="HS565" s="167"/>
      <c r="HT565" s="167"/>
      <c r="HU565" s="167"/>
      <c r="HV565" s="167"/>
      <c r="HW565" s="167"/>
      <c r="HX565" s="167"/>
      <c r="HY565" s="167"/>
      <c r="HZ565" s="167"/>
      <c r="IA565" s="167"/>
      <c r="IB565" s="167"/>
      <c r="IC565" s="167"/>
      <c r="ID565" s="167"/>
      <c r="IE565" s="167"/>
      <c r="IF565" s="167"/>
      <c r="IG565" s="167"/>
      <c r="IH565" s="167"/>
      <c r="II565" s="167"/>
      <c r="IJ565" s="167"/>
      <c r="IK565" s="167"/>
      <c r="IL565" s="167"/>
      <c r="IM565" s="167"/>
      <c r="IN565" s="167"/>
      <c r="IO565" s="167"/>
      <c r="IP565" s="167"/>
      <c r="IQ565" s="167"/>
      <c r="IR565" s="167"/>
      <c r="IS565" s="167"/>
      <c r="IT565" s="167"/>
      <c r="IU565" s="167"/>
      <c r="IV565" s="167"/>
      <c r="IW565" s="167"/>
      <c r="IX565" s="167"/>
      <c r="IY565" s="167"/>
      <c r="IZ565" s="167"/>
      <c r="JA565" s="167"/>
      <c r="JB565" s="167"/>
      <c r="JC565" s="167"/>
      <c r="JD565" s="167"/>
      <c r="JE565" s="167"/>
      <c r="JF565" s="167"/>
      <c r="JG565" s="167"/>
      <c r="JH565" s="167"/>
      <c r="JI565" s="167"/>
      <c r="JJ565" s="167"/>
      <c r="JK565" s="167"/>
      <c r="JL565" s="167"/>
      <c r="JM565" s="167"/>
      <c r="JN565" s="167"/>
      <c r="JO565" s="167"/>
      <c r="JP565" s="167"/>
      <c r="JQ565" s="167"/>
      <c r="JR565" s="167"/>
      <c r="JS565" s="167"/>
      <c r="JT565" s="167"/>
      <c r="JU565" s="167"/>
      <c r="JV565" s="167"/>
      <c r="JW565" s="167"/>
      <c r="JX565" s="167"/>
      <c r="JY565" s="167"/>
      <c r="JZ565" s="167"/>
      <c r="KA565" s="167"/>
      <c r="KB565" s="167"/>
      <c r="KC565" s="167"/>
      <c r="KD565" s="167"/>
      <c r="KE565" s="167"/>
      <c r="KF565" s="167"/>
      <c r="KG565" s="167"/>
      <c r="KH565" s="167"/>
      <c r="KI565" s="167"/>
      <c r="KJ565" s="167"/>
      <c r="KK565" s="167"/>
      <c r="KL565" s="167"/>
      <c r="KM565" s="167"/>
      <c r="KN565" s="167"/>
      <c r="KO565" s="167"/>
      <c r="KP565" s="167"/>
      <c r="KQ565" s="167"/>
      <c r="KR565" s="167"/>
      <c r="KS565" s="167"/>
      <c r="KT565" s="167"/>
      <c r="KU565" s="167"/>
      <c r="KV565" s="167"/>
      <c r="KW565" s="167"/>
      <c r="KX565" s="167"/>
      <c r="KY565" s="167"/>
      <c r="KZ565" s="167"/>
      <c r="LA565" s="167"/>
      <c r="LB565" s="167"/>
      <c r="LC565" s="167"/>
      <c r="LD565" s="167"/>
      <c r="LE565" s="167"/>
      <c r="LF565" s="167"/>
      <c r="LG565" s="167"/>
      <c r="LH565" s="167"/>
      <c r="LI565" s="167"/>
      <c r="LJ565" s="167"/>
      <c r="LK565" s="167"/>
      <c r="LL565" s="167"/>
      <c r="LM565" s="167"/>
      <c r="LN565" s="167"/>
      <c r="LO565" s="167"/>
      <c r="LP565" s="167"/>
      <c r="LQ565" s="167"/>
      <c r="LR565" s="167"/>
      <c r="LS565" s="167"/>
      <c r="LT565" s="167"/>
      <c r="LU565" s="167"/>
      <c r="LV565" s="167"/>
      <c r="LW565" s="167"/>
      <c r="LX565" s="167"/>
      <c r="LY565" s="167"/>
      <c r="LZ565" s="167"/>
      <c r="MA565" s="167"/>
      <c r="MB565" s="167"/>
      <c r="MC565" s="167"/>
      <c r="MD565" s="167"/>
      <c r="ME565" s="167"/>
      <c r="MF565" s="167"/>
      <c r="MG565" s="167"/>
      <c r="MH565" s="167"/>
      <c r="MI565" s="167"/>
      <c r="MJ565" s="167"/>
      <c r="MK565" s="167"/>
      <c r="ML565" s="167"/>
      <c r="MM565" s="167"/>
      <c r="MN565" s="167"/>
      <c r="MO565" s="167"/>
      <c r="MP565" s="167"/>
      <c r="MQ565" s="167"/>
      <c r="MR565" s="167"/>
      <c r="MS565" s="167"/>
      <c r="MT565" s="167"/>
      <c r="MU565" s="167"/>
      <c r="MV565" s="167"/>
      <c r="MW565" s="167"/>
      <c r="MX565" s="167"/>
      <c r="MY565" s="167"/>
      <c r="MZ565" s="167"/>
      <c r="NA565" s="167"/>
      <c r="NB565" s="167"/>
      <c r="NC565" s="167"/>
      <c r="ND565" s="167"/>
      <c r="NE565" s="167"/>
      <c r="NF565" s="167"/>
      <c r="NG565" s="167"/>
      <c r="NH565" s="167"/>
      <c r="NI565" s="167"/>
      <c r="NJ565" s="167"/>
      <c r="NK565" s="167"/>
      <c r="NL565" s="167"/>
      <c r="NM565" s="167"/>
      <c r="NN565" s="167"/>
      <c r="NO565" s="167"/>
      <c r="NP565" s="167"/>
      <c r="NQ565" s="167"/>
      <c r="NR565" s="167"/>
      <c r="NS565" s="167"/>
      <c r="NT565" s="167"/>
      <c r="NU565" s="167"/>
      <c r="NV565" s="167"/>
      <c r="NW565" s="167"/>
      <c r="NX565" s="167"/>
      <c r="NY565" s="167"/>
      <c r="NZ565" s="167"/>
      <c r="OA565" s="167"/>
      <c r="OB565" s="167"/>
      <c r="OC565" s="167"/>
      <c r="OD565" s="167"/>
      <c r="OE565" s="167"/>
      <c r="OF565" s="167"/>
      <c r="OG565" s="167"/>
      <c r="OH565" s="167"/>
      <c r="OI565" s="167"/>
      <c r="OJ565" s="167"/>
      <c r="OK565" s="167"/>
      <c r="OL565" s="167"/>
      <c r="OM565" s="167"/>
      <c r="ON565" s="167"/>
      <c r="OO565" s="167"/>
      <c r="OP565" s="167"/>
      <c r="OQ565" s="167"/>
      <c r="OR565" s="167"/>
      <c r="OS565" s="167"/>
      <c r="OT565" s="167"/>
      <c r="OU565" s="167"/>
      <c r="OV565" s="167"/>
      <c r="OW565" s="167"/>
      <c r="OX565" s="167"/>
      <c r="OY565" s="167"/>
      <c r="OZ565" s="167"/>
      <c r="PA565" s="167"/>
      <c r="PB565" s="167"/>
      <c r="PC565" s="167"/>
      <c r="PD565" s="167"/>
      <c r="PE565" s="167"/>
      <c r="PF565" s="167"/>
      <c r="PG565" s="167"/>
      <c r="PH565" s="167"/>
      <c r="PI565" s="167"/>
      <c r="PJ565" s="167"/>
      <c r="PK565" s="167"/>
      <c r="PL565" s="167"/>
      <c r="PM565" s="167"/>
      <c r="PN565" s="167"/>
      <c r="PO565" s="167"/>
      <c r="PP565" s="167"/>
      <c r="PQ565" s="167"/>
      <c r="PR565" s="167"/>
      <c r="PS565" s="167"/>
      <c r="PT565" s="167"/>
      <c r="PU565" s="167"/>
      <c r="PV565" s="167"/>
      <c r="PW565" s="167"/>
      <c r="PX565" s="167"/>
      <c r="PY565" s="167"/>
      <c r="PZ565" s="167"/>
      <c r="QA565" s="167"/>
      <c r="QB565" s="167"/>
      <c r="QC565" s="167"/>
      <c r="QD565" s="167"/>
      <c r="QE565" s="167"/>
      <c r="QF565" s="167"/>
      <c r="QG565" s="167"/>
      <c r="QH565" s="167"/>
      <c r="QI565" s="167"/>
      <c r="QJ565" s="167"/>
      <c r="QK565" s="167"/>
      <c r="QL565" s="167"/>
      <c r="QM565" s="167"/>
      <c r="QN565" s="167"/>
      <c r="QO565" s="167"/>
      <c r="QP565" s="167"/>
      <c r="QQ565" s="167"/>
      <c r="QR565" s="167"/>
      <c r="QS565" s="167"/>
      <c r="QT565" s="167"/>
      <c r="QU565" s="167"/>
      <c r="QV565" s="167"/>
      <c r="QW565" s="167"/>
      <c r="QX565" s="167"/>
      <c r="QY565" s="167"/>
      <c r="QZ565" s="167"/>
      <c r="RA565" s="167"/>
      <c r="RB565" s="167"/>
      <c r="RC565" s="167"/>
      <c r="RD565" s="167"/>
      <c r="RE565" s="167"/>
      <c r="RF565" s="167"/>
      <c r="RG565" s="167"/>
      <c r="RH565" s="167"/>
      <c r="RI565" s="167"/>
      <c r="RJ565" s="167"/>
      <c r="RK565" s="167"/>
      <c r="RL565" s="167"/>
      <c r="RM565" s="167"/>
      <c r="RN565" s="167"/>
      <c r="RO565" s="167"/>
      <c r="RP565" s="167"/>
      <c r="RQ565" s="167"/>
      <c r="RR565" s="167"/>
      <c r="RS565" s="167"/>
      <c r="RT565" s="167"/>
      <c r="RU565" s="167"/>
      <c r="RV565" s="167"/>
      <c r="RW565" s="167"/>
      <c r="RX565" s="167"/>
      <c r="RY565" s="167"/>
      <c r="RZ565" s="167"/>
      <c r="SA565" s="167"/>
      <c r="SB565" s="167"/>
      <c r="SC565" s="167"/>
      <c r="SD565" s="167"/>
      <c r="SE565" s="167"/>
      <c r="SF565" s="167"/>
      <c r="SG565" s="167"/>
      <c r="SH565" s="167"/>
      <c r="SI565" s="167"/>
      <c r="SJ565" s="167"/>
      <c r="SK565" s="167"/>
      <c r="SL565" s="167"/>
      <c r="SM565" s="167"/>
      <c r="SN565" s="167"/>
      <c r="SO565" s="167"/>
      <c r="SP565" s="167"/>
      <c r="SQ565" s="167"/>
      <c r="SR565" s="167"/>
      <c r="SS565" s="167"/>
      <c r="ST565" s="167"/>
      <c r="SU565" s="167"/>
      <c r="SV565" s="167"/>
      <c r="SW565" s="167"/>
      <c r="SX565" s="167"/>
      <c r="SY565" s="167"/>
      <c r="SZ565" s="167"/>
      <c r="TA565" s="167"/>
      <c r="TB565" s="167"/>
      <c r="TC565" s="167"/>
      <c r="TD565" s="167"/>
      <c r="TE565" s="167"/>
      <c r="TF565" s="167"/>
      <c r="TG565" s="167"/>
      <c r="TH565" s="167"/>
      <c r="TI565" s="167"/>
      <c r="TJ565" s="167"/>
      <c r="TK565" s="167"/>
      <c r="TL565" s="167"/>
      <c r="TM565" s="167"/>
      <c r="TN565" s="167"/>
      <c r="TO565" s="167"/>
      <c r="TP565" s="167"/>
      <c r="TQ565" s="167"/>
      <c r="TR565" s="167"/>
      <c r="TS565" s="167"/>
      <c r="TT565" s="167"/>
      <c r="TU565" s="167"/>
      <c r="TV565" s="167"/>
      <c r="TW565" s="167"/>
      <c r="TX565" s="167"/>
      <c r="TY565" s="167"/>
      <c r="TZ565" s="167"/>
      <c r="UA565" s="167"/>
      <c r="UB565" s="167"/>
      <c r="UC565" s="167"/>
      <c r="UD565" s="167"/>
      <c r="UE565" s="167"/>
      <c r="UF565" s="167"/>
      <c r="UG565" s="168"/>
    </row>
    <row r="566" spans="1:553" ht="75" customHeight="1">
      <c r="A566" s="356" t="s">
        <v>27</v>
      </c>
      <c r="B566" s="356"/>
      <c r="C566" s="1413" t="s">
        <v>28</v>
      </c>
      <c r="D566" s="1389"/>
      <c r="E566" s="1389"/>
      <c r="F566" s="1390"/>
      <c r="G566" s="366"/>
      <c r="H566" s="370"/>
      <c r="I566" s="359"/>
      <c r="J566" s="368"/>
      <c r="K566" s="371"/>
      <c r="L566" s="645">
        <f>SUM(L567:L629)</f>
        <v>552295932.6335932</v>
      </c>
      <c r="M566" s="356"/>
      <c r="N566" s="356"/>
      <c r="O566" s="356"/>
      <c r="P566" s="356">
        <f>L566</f>
        <v>552295932.6335932</v>
      </c>
      <c r="Q566" s="610"/>
      <c r="R566" s="1226" t="s">
        <v>1399</v>
      </c>
      <c r="S566" s="308"/>
      <c r="T566" s="308"/>
      <c r="U566" s="308"/>
      <c r="V566" s="308"/>
      <c r="W566" s="308"/>
      <c r="X566" s="308"/>
      <c r="Y566" s="308"/>
      <c r="Z566" s="604"/>
      <c r="AA566" s="308"/>
      <c r="AB566" s="308"/>
      <c r="AC566" s="449"/>
      <c r="AD566" s="449"/>
      <c r="AE566" s="449"/>
      <c r="AF566" s="449"/>
      <c r="AG566" s="449"/>
      <c r="AH566" s="449"/>
      <c r="AI566" s="449"/>
      <c r="AJ566" s="449"/>
      <c r="AK566" s="452"/>
      <c r="AL566" s="104"/>
      <c r="AM566" s="32"/>
      <c r="AN566" s="32"/>
      <c r="AO566" s="32"/>
      <c r="AP566" s="32"/>
      <c r="AQ566" s="32"/>
      <c r="AR566" s="32"/>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25"/>
      <c r="BQ566" s="25"/>
      <c r="BR566" s="25"/>
      <c r="BS566" s="25"/>
      <c r="BT566" s="25"/>
      <c r="BU566" s="25"/>
      <c r="BV566" s="25"/>
      <c r="BW566" s="25"/>
      <c r="BX566" s="25"/>
      <c r="BY566" s="25"/>
      <c r="BZ566" s="25"/>
      <c r="CA566" s="25"/>
      <c r="CB566" s="25"/>
      <c r="CC566" s="25"/>
      <c r="CD566" s="25"/>
      <c r="CE566" s="25"/>
      <c r="CF566" s="25"/>
      <c r="CG566" s="25"/>
      <c r="CH566" s="25"/>
      <c r="CI566" s="25"/>
      <c r="CJ566" s="25"/>
      <c r="CK566" s="25"/>
      <c r="CL566" s="25"/>
      <c r="CM566" s="25"/>
      <c r="CN566" s="25"/>
      <c r="CO566" s="25"/>
      <c r="CP566" s="25"/>
      <c r="CQ566" s="25"/>
      <c r="CR566" s="25"/>
      <c r="CS566" s="25"/>
      <c r="CT566" s="25"/>
      <c r="CU566" s="25"/>
      <c r="CV566" s="25"/>
      <c r="CW566" s="25"/>
      <c r="CX566" s="25"/>
      <c r="CY566" s="25"/>
      <c r="CZ566" s="25"/>
      <c r="DA566" s="25"/>
      <c r="DB566" s="25"/>
      <c r="DC566" s="25"/>
      <c r="DD566" s="25"/>
      <c r="DE566" s="25"/>
      <c r="DF566" s="25"/>
      <c r="DG566" s="25"/>
      <c r="DH566" s="25"/>
      <c r="DI566" s="25"/>
      <c r="DJ566" s="25"/>
      <c r="DK566" s="25"/>
      <c r="DL566" s="25"/>
      <c r="DM566" s="25"/>
      <c r="DN566" s="25"/>
      <c r="DO566" s="25"/>
      <c r="DP566" s="25"/>
      <c r="DQ566" s="25"/>
      <c r="DR566" s="25"/>
      <c r="DS566" s="25"/>
      <c r="DT566" s="25"/>
      <c r="DU566" s="25"/>
      <c r="DV566" s="25"/>
      <c r="DW566" s="25"/>
      <c r="DX566" s="25"/>
      <c r="DY566" s="25"/>
      <c r="DZ566" s="25"/>
      <c r="EA566" s="25"/>
      <c r="EB566" s="25"/>
      <c r="EC566" s="25"/>
      <c r="ED566" s="25"/>
      <c r="EE566" s="25"/>
      <c r="EF566" s="25"/>
      <c r="EG566" s="25"/>
      <c r="EH566" s="25"/>
      <c r="EI566" s="25"/>
      <c r="EJ566" s="25"/>
      <c r="EK566" s="25"/>
      <c r="EL566" s="25"/>
      <c r="EM566" s="25"/>
      <c r="EN566" s="25"/>
      <c r="EO566" s="25"/>
      <c r="EP566" s="25"/>
      <c r="EQ566" s="25"/>
      <c r="ER566" s="25"/>
      <c r="ES566" s="25"/>
      <c r="ET566" s="25"/>
      <c r="EU566" s="25"/>
      <c r="EV566" s="25"/>
      <c r="EW566" s="25"/>
      <c r="EX566" s="25"/>
      <c r="EY566" s="25"/>
      <c r="EZ566" s="25"/>
      <c r="FA566" s="25"/>
      <c r="FB566" s="25"/>
      <c r="FC566" s="25"/>
      <c r="FD566" s="25"/>
      <c r="FE566" s="25"/>
      <c r="FF566" s="25"/>
      <c r="FG566" s="25"/>
      <c r="FH566" s="25"/>
      <c r="FI566" s="25"/>
      <c r="FJ566" s="25"/>
      <c r="FK566" s="25"/>
      <c r="FL566" s="25"/>
      <c r="FM566" s="25"/>
      <c r="FN566" s="25"/>
      <c r="FO566" s="25"/>
      <c r="FP566" s="25"/>
      <c r="FQ566" s="25"/>
      <c r="FR566" s="25"/>
      <c r="FS566" s="25"/>
      <c r="FT566" s="25"/>
      <c r="FU566" s="25"/>
      <c r="FV566" s="25"/>
      <c r="FW566" s="25"/>
      <c r="FX566" s="25"/>
      <c r="FY566" s="25"/>
      <c r="FZ566" s="25"/>
      <c r="GA566" s="25"/>
      <c r="GB566" s="25"/>
      <c r="GC566" s="25"/>
      <c r="GD566" s="25"/>
      <c r="GE566" s="25"/>
      <c r="GF566" s="25"/>
      <c r="GG566" s="25"/>
      <c r="GH566" s="25"/>
      <c r="GI566" s="25"/>
      <c r="GJ566" s="25"/>
      <c r="GK566" s="25"/>
      <c r="GL566" s="25"/>
      <c r="GM566" s="25"/>
      <c r="GN566" s="25"/>
      <c r="GO566" s="25"/>
      <c r="GP566" s="25"/>
      <c r="GQ566" s="25"/>
      <c r="GR566" s="25"/>
      <c r="GS566" s="25"/>
      <c r="GT566" s="25"/>
      <c r="GU566" s="25"/>
      <c r="GV566" s="25"/>
      <c r="GW566" s="25"/>
      <c r="GX566" s="25"/>
      <c r="GY566" s="25"/>
      <c r="GZ566" s="25"/>
      <c r="HA566" s="25"/>
      <c r="HB566" s="25"/>
      <c r="HC566" s="25"/>
      <c r="HD566" s="25"/>
      <c r="HE566" s="25"/>
      <c r="HF566" s="25"/>
      <c r="HG566" s="25"/>
      <c r="HH566" s="25"/>
      <c r="HI566" s="25"/>
      <c r="HJ566" s="25"/>
      <c r="HK566" s="25"/>
      <c r="HL566" s="25"/>
      <c r="HM566" s="25"/>
      <c r="HN566" s="25"/>
      <c r="HO566" s="25"/>
      <c r="HP566" s="25"/>
      <c r="HQ566" s="25"/>
      <c r="HR566" s="25"/>
      <c r="HS566" s="25"/>
      <c r="HT566" s="25"/>
      <c r="HU566" s="25"/>
      <c r="HV566" s="25"/>
      <c r="HW566" s="25"/>
      <c r="HX566" s="25"/>
      <c r="HY566" s="25"/>
      <c r="HZ566" s="25"/>
      <c r="IA566" s="25"/>
      <c r="IB566" s="25"/>
      <c r="IC566" s="25"/>
      <c r="ID566" s="25"/>
      <c r="IE566" s="25"/>
      <c r="IF566" s="25"/>
      <c r="IG566" s="25"/>
      <c r="IH566" s="25"/>
      <c r="II566" s="25"/>
      <c r="IJ566" s="25"/>
      <c r="IK566" s="25"/>
      <c r="IL566" s="25"/>
      <c r="IM566" s="25"/>
      <c r="IN566" s="25"/>
      <c r="IO566" s="25"/>
      <c r="IP566" s="25"/>
      <c r="IQ566" s="25"/>
      <c r="IR566" s="25"/>
      <c r="IS566" s="25"/>
      <c r="IT566" s="25"/>
      <c r="IU566" s="25"/>
      <c r="IV566" s="25"/>
      <c r="IW566" s="25"/>
      <c r="IX566" s="25"/>
      <c r="IY566" s="25"/>
      <c r="IZ566" s="25"/>
      <c r="JA566" s="25"/>
      <c r="JB566" s="25"/>
      <c r="JC566" s="25"/>
      <c r="JD566" s="25"/>
      <c r="JE566" s="25"/>
      <c r="JF566" s="25"/>
      <c r="JG566" s="25"/>
      <c r="JH566" s="25"/>
      <c r="JI566" s="25"/>
      <c r="JJ566" s="25"/>
      <c r="JK566" s="25"/>
      <c r="JL566" s="25"/>
      <c r="JM566" s="25"/>
      <c r="JN566" s="25"/>
      <c r="JO566" s="25"/>
      <c r="JP566" s="25"/>
      <c r="JQ566" s="25"/>
      <c r="JR566" s="25"/>
      <c r="JS566" s="25"/>
      <c r="JT566" s="25"/>
      <c r="JU566" s="25"/>
      <c r="JV566" s="25"/>
      <c r="JW566" s="25"/>
      <c r="JX566" s="25"/>
      <c r="JY566" s="25"/>
      <c r="JZ566" s="25"/>
      <c r="KA566" s="25"/>
      <c r="KB566" s="25"/>
      <c r="KC566" s="25"/>
      <c r="KD566" s="25"/>
      <c r="KE566" s="25"/>
      <c r="KF566" s="25"/>
      <c r="KG566" s="25"/>
      <c r="KH566" s="25"/>
      <c r="KI566" s="25"/>
      <c r="KJ566" s="25"/>
      <c r="KK566" s="25"/>
      <c r="KL566" s="25"/>
      <c r="KM566" s="25"/>
      <c r="KN566" s="25"/>
      <c r="KO566" s="25"/>
      <c r="KP566" s="25"/>
      <c r="KQ566" s="25"/>
      <c r="KR566" s="25"/>
      <c r="KS566" s="25"/>
      <c r="KT566" s="25"/>
      <c r="KU566" s="25"/>
      <c r="KV566" s="25"/>
      <c r="KW566" s="25"/>
      <c r="KX566" s="25"/>
      <c r="KY566" s="25"/>
      <c r="KZ566" s="25"/>
      <c r="LA566" s="25"/>
      <c r="LB566" s="25"/>
      <c r="LC566" s="25"/>
      <c r="LD566" s="25"/>
      <c r="LE566" s="25"/>
      <c r="LF566" s="25"/>
      <c r="LG566" s="25"/>
      <c r="LH566" s="25"/>
      <c r="LI566" s="25"/>
      <c r="LJ566" s="25"/>
      <c r="LK566" s="25"/>
      <c r="LL566" s="25"/>
      <c r="LM566" s="25"/>
      <c r="LN566" s="25"/>
      <c r="LO566" s="25"/>
      <c r="LP566" s="25"/>
      <c r="LQ566" s="25"/>
      <c r="LR566" s="25"/>
      <c r="LS566" s="25"/>
      <c r="LT566" s="25"/>
      <c r="LU566" s="25"/>
      <c r="LV566" s="25"/>
      <c r="LW566" s="25"/>
      <c r="LX566" s="25"/>
      <c r="LY566" s="25"/>
      <c r="LZ566" s="25"/>
      <c r="MA566" s="25"/>
      <c r="MB566" s="25"/>
      <c r="MC566" s="25"/>
      <c r="MD566" s="25"/>
      <c r="ME566" s="25"/>
      <c r="MF566" s="25"/>
      <c r="MG566" s="25"/>
      <c r="MH566" s="25"/>
      <c r="MI566" s="25"/>
      <c r="MJ566" s="25"/>
      <c r="MK566" s="25"/>
      <c r="ML566" s="25"/>
      <c r="MM566" s="25"/>
      <c r="MN566" s="25"/>
      <c r="MO566" s="25"/>
      <c r="MP566" s="25"/>
      <c r="MQ566" s="25"/>
      <c r="MR566" s="25"/>
      <c r="MS566" s="25"/>
      <c r="MT566" s="25"/>
      <c r="MU566" s="25"/>
      <c r="MV566" s="25"/>
      <c r="MW566" s="25"/>
      <c r="MX566" s="25"/>
      <c r="MY566" s="25"/>
      <c r="MZ566" s="25"/>
      <c r="NA566" s="25"/>
      <c r="NB566" s="25"/>
      <c r="NC566" s="25"/>
      <c r="ND566" s="25"/>
      <c r="NE566" s="25"/>
      <c r="NF566" s="25"/>
      <c r="NG566" s="25"/>
      <c r="NH566" s="25"/>
      <c r="NI566" s="25"/>
      <c r="NJ566" s="25"/>
      <c r="NK566" s="25"/>
      <c r="NL566" s="25"/>
      <c r="NM566" s="25"/>
      <c r="NN566" s="25"/>
      <c r="NO566" s="25"/>
      <c r="NP566" s="25"/>
      <c r="NQ566" s="25"/>
      <c r="NR566" s="25"/>
      <c r="NS566" s="25"/>
      <c r="NT566" s="25"/>
      <c r="NU566" s="25"/>
      <c r="NV566" s="25"/>
      <c r="NW566" s="25"/>
      <c r="NX566" s="25"/>
      <c r="NY566" s="25"/>
      <c r="NZ566" s="25"/>
      <c r="OA566" s="25"/>
      <c r="OB566" s="25"/>
      <c r="OC566" s="25"/>
      <c r="OD566" s="25"/>
      <c r="OE566" s="25"/>
      <c r="OF566" s="25"/>
      <c r="OG566" s="25"/>
      <c r="OH566" s="25"/>
      <c r="OI566" s="25"/>
      <c r="OJ566" s="25"/>
      <c r="OK566" s="25"/>
      <c r="OL566" s="25"/>
      <c r="OM566" s="25"/>
      <c r="ON566" s="25"/>
      <c r="OO566" s="25"/>
      <c r="OP566" s="25"/>
      <c r="OQ566" s="25"/>
      <c r="OR566" s="25"/>
      <c r="OS566" s="25"/>
      <c r="OT566" s="25"/>
      <c r="OU566" s="25"/>
      <c r="OV566" s="25"/>
      <c r="OW566" s="25"/>
      <c r="OX566" s="25"/>
      <c r="OY566" s="25"/>
      <c r="OZ566" s="25"/>
      <c r="PA566" s="25"/>
      <c r="PB566" s="25"/>
      <c r="PC566" s="25"/>
      <c r="PD566" s="25"/>
      <c r="PE566" s="25"/>
      <c r="PF566" s="25"/>
      <c r="PG566" s="25"/>
      <c r="PH566" s="25"/>
      <c r="PI566" s="25"/>
      <c r="PJ566" s="25"/>
      <c r="PK566" s="25"/>
      <c r="PL566" s="25"/>
      <c r="PM566" s="25"/>
      <c r="PN566" s="25"/>
      <c r="PO566" s="25"/>
      <c r="PP566" s="25"/>
      <c r="PQ566" s="25"/>
      <c r="PR566" s="25"/>
      <c r="PS566" s="25"/>
      <c r="PT566" s="25"/>
      <c r="PU566" s="25"/>
      <c r="PV566" s="25"/>
      <c r="PW566" s="25"/>
      <c r="PX566" s="25"/>
      <c r="PY566" s="25"/>
      <c r="PZ566" s="25"/>
      <c r="QA566" s="25"/>
      <c r="QB566" s="25"/>
      <c r="QC566" s="25"/>
      <c r="QD566" s="25"/>
      <c r="QE566" s="25"/>
      <c r="QF566" s="25"/>
      <c r="QG566" s="25"/>
      <c r="QH566" s="25"/>
      <c r="QI566" s="25"/>
      <c r="QJ566" s="25"/>
      <c r="QK566" s="25"/>
      <c r="QL566" s="25"/>
      <c r="QM566" s="25"/>
      <c r="QN566" s="25"/>
      <c r="QO566" s="25"/>
      <c r="QP566" s="25"/>
      <c r="QQ566" s="25"/>
      <c r="QR566" s="25"/>
      <c r="QS566" s="25"/>
      <c r="QT566" s="25"/>
      <c r="QU566" s="25"/>
      <c r="QV566" s="25"/>
      <c r="QW566" s="25"/>
      <c r="QX566" s="25"/>
      <c r="QY566" s="25"/>
      <c r="QZ566" s="25"/>
      <c r="RA566" s="25"/>
      <c r="RB566" s="25"/>
      <c r="RC566" s="25"/>
      <c r="RD566" s="25"/>
      <c r="RE566" s="25"/>
      <c r="RF566" s="25"/>
      <c r="RG566" s="25"/>
      <c r="RH566" s="25"/>
      <c r="RI566" s="25"/>
      <c r="RJ566" s="25"/>
      <c r="RK566" s="25"/>
      <c r="RL566" s="25"/>
      <c r="RM566" s="25"/>
      <c r="RN566" s="25"/>
      <c r="RO566" s="25"/>
      <c r="RP566" s="25"/>
      <c r="RQ566" s="25"/>
      <c r="RR566" s="25"/>
      <c r="RS566" s="25"/>
      <c r="RT566" s="25"/>
      <c r="RU566" s="25"/>
      <c r="RV566" s="25"/>
      <c r="RW566" s="25"/>
      <c r="RX566" s="25"/>
      <c r="RY566" s="25"/>
      <c r="RZ566" s="25"/>
      <c r="SA566" s="25"/>
      <c r="SB566" s="25"/>
      <c r="SC566" s="25"/>
      <c r="SD566" s="25"/>
      <c r="SE566" s="25"/>
      <c r="SF566" s="25"/>
      <c r="SG566" s="25"/>
      <c r="SH566" s="25"/>
      <c r="SI566" s="25"/>
      <c r="SJ566" s="25"/>
      <c r="SK566" s="25"/>
      <c r="SL566" s="25"/>
      <c r="SM566" s="25"/>
      <c r="SN566" s="25"/>
      <c r="SO566" s="25"/>
      <c r="SP566" s="25"/>
      <c r="SQ566" s="25"/>
      <c r="SR566" s="25"/>
      <c r="SS566" s="25"/>
      <c r="ST566" s="25"/>
      <c r="SU566" s="25"/>
      <c r="SV566" s="25"/>
      <c r="SW566" s="25"/>
      <c r="SX566" s="25"/>
      <c r="SY566" s="25"/>
      <c r="SZ566" s="25"/>
      <c r="TA566" s="25"/>
      <c r="TB566" s="25"/>
      <c r="TC566" s="25"/>
      <c r="TD566" s="25"/>
      <c r="TE566" s="25"/>
      <c r="TF566" s="25"/>
      <c r="TG566" s="25"/>
      <c r="TH566" s="25"/>
      <c r="TI566" s="25"/>
      <c r="TJ566" s="25"/>
      <c r="TK566" s="25"/>
      <c r="TL566" s="25"/>
      <c r="TM566" s="25"/>
      <c r="TN566" s="25"/>
      <c r="TO566" s="25"/>
      <c r="TP566" s="25"/>
      <c r="TQ566" s="25"/>
      <c r="TR566" s="25"/>
      <c r="TS566" s="25"/>
      <c r="TT566" s="25"/>
      <c r="TU566" s="25"/>
      <c r="TV566" s="25"/>
      <c r="TW566" s="25"/>
      <c r="TX566" s="25"/>
      <c r="TY566" s="25"/>
      <c r="TZ566" s="25"/>
      <c r="UA566" s="25"/>
      <c r="UB566" s="25"/>
      <c r="UC566" s="25"/>
      <c r="UD566" s="25"/>
      <c r="UE566" s="25"/>
      <c r="UF566" s="25"/>
      <c r="UG566" s="26"/>
    </row>
    <row r="567" spans="1:553" ht="102" customHeight="1">
      <c r="A567" s="356" t="s">
        <v>15</v>
      </c>
      <c r="B567" s="385" t="s">
        <v>29</v>
      </c>
      <c r="C567" s="1404" t="s">
        <v>923</v>
      </c>
      <c r="D567" s="1389"/>
      <c r="E567" s="1389"/>
      <c r="F567" s="1390"/>
      <c r="G567" s="386" t="s">
        <v>935</v>
      </c>
      <c r="H567" s="370"/>
      <c r="I567" s="417">
        <f>(3.2*9.7)+(12.2*12.5)</f>
        <v>183.54</v>
      </c>
      <c r="J567" s="368">
        <v>2204600</v>
      </c>
      <c r="K567" s="371"/>
      <c r="L567" s="487">
        <f t="shared" ref="L567:L629" si="101">I567*J567</f>
        <v>404632284</v>
      </c>
      <c r="M567" s="395"/>
      <c r="N567" s="395"/>
      <c r="O567" s="366"/>
      <c r="P567" s="396"/>
      <c r="Q567" s="473"/>
      <c r="R567" s="1039"/>
      <c r="S567" s="308"/>
      <c r="T567" s="308"/>
      <c r="U567" s="308"/>
      <c r="V567" s="308"/>
      <c r="W567" s="308"/>
      <c r="X567" s="308"/>
      <c r="Y567" s="308"/>
      <c r="Z567" s="604"/>
      <c r="AA567" s="308"/>
      <c r="AB567" s="308"/>
      <c r="AC567" s="449"/>
      <c r="AD567" s="449"/>
      <c r="AE567" s="449"/>
      <c r="AF567" s="449"/>
      <c r="AG567" s="452"/>
      <c r="AH567" s="452"/>
      <c r="AI567" s="452"/>
      <c r="AJ567" s="452"/>
      <c r="AK567" s="452"/>
      <c r="AL567" s="104"/>
      <c r="AM567" s="32"/>
      <c r="AN567" s="32"/>
      <c r="AO567" s="32"/>
      <c r="AP567" s="32"/>
      <c r="AQ567" s="31"/>
      <c r="AR567" s="31"/>
      <c r="AS567" s="31"/>
      <c r="AT567" s="31"/>
      <c r="AU567" s="31"/>
      <c r="AV567" s="31"/>
      <c r="AW567" s="31"/>
      <c r="AX567" s="31"/>
      <c r="AY567" s="31"/>
      <c r="AZ567" s="31"/>
      <c r="BA567" s="31"/>
      <c r="BB567" s="31"/>
      <c r="BC567" s="31"/>
      <c r="BD567" s="31"/>
      <c r="BE567" s="31"/>
      <c r="BF567" s="31"/>
      <c r="BG567" s="31"/>
      <c r="BH567" s="31"/>
      <c r="BI567" s="31"/>
      <c r="BJ567" s="31"/>
      <c r="BK567" s="31"/>
      <c r="BL567" s="31"/>
      <c r="BM567" s="25"/>
      <c r="BN567" s="25"/>
      <c r="BO567" s="25"/>
      <c r="BP567" s="25"/>
      <c r="BQ567" s="25"/>
      <c r="BR567" s="25"/>
      <c r="BS567" s="25"/>
      <c r="BT567" s="25"/>
      <c r="BU567" s="25"/>
      <c r="BV567" s="25"/>
      <c r="BW567" s="25"/>
      <c r="BX567" s="25"/>
      <c r="BY567" s="25"/>
      <c r="BZ567" s="25"/>
      <c r="CA567" s="25"/>
      <c r="CB567" s="25"/>
      <c r="CC567" s="25"/>
      <c r="CD567" s="25"/>
      <c r="CE567" s="25"/>
      <c r="CF567" s="25"/>
      <c r="CG567" s="25"/>
      <c r="CH567" s="25"/>
      <c r="CI567" s="25"/>
      <c r="CJ567" s="25"/>
      <c r="CK567" s="25"/>
      <c r="CL567" s="25"/>
      <c r="CM567" s="25"/>
      <c r="CN567" s="25"/>
      <c r="CO567" s="25"/>
      <c r="CP567" s="25"/>
      <c r="CQ567" s="25"/>
      <c r="CR567" s="25"/>
      <c r="CS567" s="25"/>
      <c r="CT567" s="25"/>
      <c r="CU567" s="25"/>
      <c r="CV567" s="25"/>
      <c r="CW567" s="25"/>
      <c r="CX567" s="25"/>
      <c r="CY567" s="25"/>
      <c r="CZ567" s="25"/>
      <c r="DA567" s="25"/>
      <c r="DB567" s="25"/>
      <c r="DC567" s="25"/>
      <c r="DD567" s="25"/>
      <c r="DE567" s="25"/>
      <c r="DF567" s="25"/>
      <c r="DG567" s="25"/>
      <c r="DH567" s="25"/>
      <c r="DI567" s="25"/>
      <c r="DJ567" s="25"/>
      <c r="DK567" s="25"/>
      <c r="DL567" s="25"/>
      <c r="DM567" s="25"/>
      <c r="DN567" s="25"/>
      <c r="DO567" s="25"/>
      <c r="DP567" s="25"/>
      <c r="DQ567" s="25"/>
      <c r="DR567" s="25"/>
      <c r="DS567" s="25"/>
      <c r="DT567" s="25"/>
      <c r="DU567" s="25"/>
      <c r="DV567" s="25"/>
      <c r="DW567" s="25"/>
      <c r="DX567" s="25"/>
      <c r="DY567" s="25"/>
      <c r="DZ567" s="25"/>
      <c r="EA567" s="25"/>
      <c r="EB567" s="25"/>
      <c r="EC567" s="25"/>
      <c r="ED567" s="25"/>
      <c r="EE567" s="25"/>
      <c r="EF567" s="25"/>
      <c r="EG567" s="25"/>
      <c r="EH567" s="25"/>
      <c r="EI567" s="25"/>
      <c r="EJ567" s="25"/>
      <c r="EK567" s="25"/>
      <c r="EL567" s="25"/>
      <c r="EM567" s="25"/>
      <c r="EN567" s="25"/>
      <c r="EO567" s="25"/>
      <c r="EP567" s="25"/>
      <c r="EQ567" s="25"/>
      <c r="ER567" s="25"/>
      <c r="ES567" s="25"/>
      <c r="ET567" s="25"/>
      <c r="EU567" s="25"/>
      <c r="EV567" s="25"/>
      <c r="EW567" s="25"/>
      <c r="EX567" s="25"/>
      <c r="EY567" s="25"/>
      <c r="EZ567" s="25"/>
      <c r="FA567" s="25"/>
      <c r="FB567" s="25"/>
      <c r="FC567" s="25"/>
      <c r="FD567" s="25"/>
      <c r="FE567" s="25"/>
      <c r="FF567" s="25"/>
      <c r="FG567" s="25"/>
      <c r="FH567" s="25"/>
      <c r="FI567" s="25"/>
      <c r="FJ567" s="25"/>
      <c r="FK567" s="25"/>
      <c r="FL567" s="25"/>
      <c r="FM567" s="25"/>
      <c r="FN567" s="25"/>
      <c r="FO567" s="25"/>
      <c r="FP567" s="25"/>
      <c r="FQ567" s="25"/>
      <c r="FR567" s="25"/>
      <c r="FS567" s="25"/>
      <c r="FT567" s="25"/>
      <c r="FU567" s="25"/>
      <c r="FV567" s="25"/>
      <c r="FW567" s="25"/>
      <c r="FX567" s="25"/>
      <c r="FY567" s="25"/>
      <c r="FZ567" s="25"/>
      <c r="GA567" s="25"/>
      <c r="GB567" s="25"/>
      <c r="GC567" s="25"/>
      <c r="GD567" s="25"/>
      <c r="GE567" s="25"/>
      <c r="GF567" s="25"/>
      <c r="GG567" s="25"/>
      <c r="GH567" s="25"/>
      <c r="GI567" s="25"/>
      <c r="GJ567" s="25"/>
      <c r="GK567" s="25"/>
      <c r="GL567" s="25"/>
      <c r="GM567" s="25"/>
      <c r="GN567" s="25"/>
      <c r="GO567" s="25"/>
      <c r="GP567" s="25"/>
      <c r="GQ567" s="25"/>
      <c r="GR567" s="25"/>
      <c r="GS567" s="25"/>
      <c r="GT567" s="25"/>
      <c r="GU567" s="25"/>
      <c r="GV567" s="25"/>
      <c r="GW567" s="25"/>
      <c r="GX567" s="25"/>
      <c r="GY567" s="25"/>
      <c r="GZ567" s="25"/>
      <c r="HA567" s="25"/>
      <c r="HB567" s="25"/>
      <c r="HC567" s="25"/>
      <c r="HD567" s="25"/>
      <c r="HE567" s="25"/>
      <c r="HF567" s="25"/>
      <c r="HG567" s="25"/>
      <c r="HH567" s="25"/>
      <c r="HI567" s="25"/>
      <c r="HJ567" s="25"/>
      <c r="HK567" s="25"/>
      <c r="HL567" s="25"/>
      <c r="HM567" s="25"/>
      <c r="HN567" s="25"/>
      <c r="HO567" s="25"/>
      <c r="HP567" s="25"/>
      <c r="HQ567" s="25"/>
      <c r="HR567" s="25"/>
      <c r="HS567" s="25"/>
      <c r="HT567" s="25"/>
      <c r="HU567" s="25"/>
      <c r="HV567" s="25"/>
      <c r="HW567" s="25"/>
      <c r="HX567" s="25"/>
      <c r="HY567" s="25"/>
      <c r="HZ567" s="25"/>
      <c r="IA567" s="25"/>
      <c r="IB567" s="25"/>
      <c r="IC567" s="25"/>
      <c r="ID567" s="25"/>
      <c r="IE567" s="25"/>
      <c r="IF567" s="25"/>
      <c r="IG567" s="25"/>
      <c r="IH567" s="25"/>
      <c r="II567" s="25"/>
      <c r="IJ567" s="25"/>
      <c r="IK567" s="25"/>
      <c r="IL567" s="25"/>
      <c r="IM567" s="25"/>
      <c r="IN567" s="25"/>
      <c r="IO567" s="25"/>
      <c r="IP567" s="25"/>
      <c r="IQ567" s="25"/>
      <c r="IR567" s="25"/>
      <c r="IS567" s="25"/>
      <c r="IT567" s="25"/>
      <c r="IU567" s="25"/>
      <c r="IV567" s="25"/>
      <c r="IW567" s="25"/>
      <c r="IX567" s="25"/>
      <c r="IY567" s="25"/>
      <c r="IZ567" s="25"/>
      <c r="JA567" s="25"/>
      <c r="JB567" s="25"/>
      <c r="JC567" s="25"/>
      <c r="JD567" s="25"/>
      <c r="JE567" s="25"/>
      <c r="JF567" s="25"/>
      <c r="JG567" s="25"/>
      <c r="JH567" s="25"/>
      <c r="JI567" s="25"/>
      <c r="JJ567" s="25"/>
      <c r="JK567" s="25"/>
      <c r="JL567" s="25"/>
      <c r="JM567" s="25"/>
      <c r="JN567" s="25"/>
      <c r="JO567" s="25"/>
      <c r="JP567" s="25"/>
      <c r="JQ567" s="25"/>
      <c r="JR567" s="25"/>
      <c r="JS567" s="25"/>
      <c r="JT567" s="25"/>
      <c r="JU567" s="25"/>
      <c r="JV567" s="25"/>
      <c r="JW567" s="25"/>
      <c r="JX567" s="25"/>
      <c r="JY567" s="25"/>
      <c r="JZ567" s="25"/>
      <c r="KA567" s="25"/>
      <c r="KB567" s="25"/>
      <c r="KC567" s="25"/>
      <c r="KD567" s="25"/>
      <c r="KE567" s="25"/>
      <c r="KF567" s="25"/>
      <c r="KG567" s="25"/>
      <c r="KH567" s="25"/>
      <c r="KI567" s="25"/>
      <c r="KJ567" s="25"/>
      <c r="KK567" s="25"/>
      <c r="KL567" s="25"/>
      <c r="KM567" s="25"/>
      <c r="KN567" s="25"/>
      <c r="KO567" s="25"/>
      <c r="KP567" s="25"/>
      <c r="KQ567" s="25"/>
      <c r="KR567" s="25"/>
      <c r="KS567" s="25"/>
      <c r="KT567" s="25"/>
      <c r="KU567" s="25"/>
      <c r="KV567" s="25"/>
      <c r="KW567" s="25"/>
      <c r="KX567" s="25"/>
      <c r="KY567" s="25"/>
      <c r="KZ567" s="25"/>
      <c r="LA567" s="25"/>
      <c r="LB567" s="25"/>
      <c r="LC567" s="25"/>
      <c r="LD567" s="25"/>
      <c r="LE567" s="25"/>
      <c r="LF567" s="25"/>
      <c r="LG567" s="25"/>
      <c r="LH567" s="25"/>
      <c r="LI567" s="25"/>
      <c r="LJ567" s="25"/>
      <c r="LK567" s="25"/>
      <c r="LL567" s="25"/>
      <c r="LM567" s="25"/>
      <c r="LN567" s="25"/>
      <c r="LO567" s="25"/>
      <c r="LP567" s="25"/>
      <c r="LQ567" s="25"/>
      <c r="LR567" s="25"/>
      <c r="LS567" s="25"/>
      <c r="LT567" s="25"/>
      <c r="LU567" s="25"/>
      <c r="LV567" s="25"/>
      <c r="LW567" s="25"/>
      <c r="LX567" s="25"/>
      <c r="LY567" s="25"/>
      <c r="LZ567" s="25"/>
      <c r="MA567" s="25"/>
      <c r="MB567" s="25"/>
      <c r="MC567" s="25"/>
      <c r="MD567" s="25"/>
      <c r="ME567" s="25"/>
      <c r="MF567" s="25"/>
      <c r="MG567" s="25"/>
      <c r="MH567" s="25"/>
      <c r="MI567" s="25"/>
      <c r="MJ567" s="25"/>
      <c r="MK567" s="25"/>
      <c r="ML567" s="25"/>
      <c r="MM567" s="25"/>
      <c r="MN567" s="25"/>
      <c r="MO567" s="25"/>
      <c r="MP567" s="25"/>
      <c r="MQ567" s="25"/>
      <c r="MR567" s="25"/>
      <c r="MS567" s="25"/>
      <c r="MT567" s="25"/>
      <c r="MU567" s="25"/>
      <c r="MV567" s="25"/>
      <c r="MW567" s="25"/>
      <c r="MX567" s="25"/>
      <c r="MY567" s="25"/>
      <c r="MZ567" s="25"/>
      <c r="NA567" s="25"/>
      <c r="NB567" s="25"/>
      <c r="NC567" s="25"/>
      <c r="ND567" s="25"/>
      <c r="NE567" s="25"/>
      <c r="NF567" s="25"/>
      <c r="NG567" s="25"/>
      <c r="NH567" s="25"/>
      <c r="NI567" s="25"/>
      <c r="NJ567" s="25"/>
      <c r="NK567" s="25"/>
      <c r="NL567" s="25"/>
      <c r="NM567" s="25"/>
      <c r="NN567" s="25"/>
      <c r="NO567" s="25"/>
      <c r="NP567" s="25"/>
      <c r="NQ567" s="25"/>
      <c r="NR567" s="25"/>
      <c r="NS567" s="25"/>
      <c r="NT567" s="25"/>
      <c r="NU567" s="25"/>
      <c r="NV567" s="25"/>
      <c r="NW567" s="25"/>
      <c r="NX567" s="25"/>
      <c r="NY567" s="25"/>
      <c r="NZ567" s="25"/>
      <c r="OA567" s="25"/>
      <c r="OB567" s="25"/>
      <c r="OC567" s="25"/>
      <c r="OD567" s="25"/>
      <c r="OE567" s="25"/>
      <c r="OF567" s="25"/>
      <c r="OG567" s="25"/>
      <c r="OH567" s="25"/>
      <c r="OI567" s="25"/>
      <c r="OJ567" s="25"/>
      <c r="OK567" s="25"/>
      <c r="OL567" s="25"/>
      <c r="OM567" s="25"/>
      <c r="ON567" s="25"/>
      <c r="OO567" s="25"/>
      <c r="OP567" s="25"/>
      <c r="OQ567" s="25"/>
      <c r="OR567" s="25"/>
      <c r="OS567" s="25"/>
      <c r="OT567" s="25"/>
      <c r="OU567" s="25"/>
      <c r="OV567" s="25"/>
      <c r="OW567" s="25"/>
      <c r="OX567" s="25"/>
      <c r="OY567" s="25"/>
      <c r="OZ567" s="25"/>
      <c r="PA567" s="25"/>
      <c r="PB567" s="25"/>
      <c r="PC567" s="25"/>
      <c r="PD567" s="25"/>
      <c r="PE567" s="25"/>
      <c r="PF567" s="25"/>
      <c r="PG567" s="25"/>
      <c r="PH567" s="25"/>
      <c r="PI567" s="25"/>
      <c r="PJ567" s="25"/>
      <c r="PK567" s="25"/>
      <c r="PL567" s="25"/>
      <c r="PM567" s="25"/>
      <c r="PN567" s="25"/>
      <c r="PO567" s="25"/>
      <c r="PP567" s="25"/>
      <c r="PQ567" s="25"/>
      <c r="PR567" s="25"/>
      <c r="PS567" s="25"/>
      <c r="PT567" s="25"/>
      <c r="PU567" s="25"/>
      <c r="PV567" s="25"/>
      <c r="PW567" s="25"/>
      <c r="PX567" s="25"/>
      <c r="PY567" s="25"/>
      <c r="PZ567" s="25"/>
      <c r="QA567" s="25"/>
      <c r="QB567" s="25"/>
      <c r="QC567" s="25"/>
      <c r="QD567" s="25"/>
      <c r="QE567" s="25"/>
      <c r="QF567" s="25"/>
      <c r="QG567" s="25"/>
      <c r="QH567" s="25"/>
      <c r="QI567" s="25"/>
      <c r="QJ567" s="25"/>
      <c r="QK567" s="25"/>
      <c r="QL567" s="25"/>
      <c r="QM567" s="25"/>
      <c r="QN567" s="25"/>
      <c r="QO567" s="25"/>
      <c r="QP567" s="25"/>
      <c r="QQ567" s="25"/>
      <c r="QR567" s="25"/>
      <c r="QS567" s="25"/>
      <c r="QT567" s="25"/>
      <c r="QU567" s="25"/>
      <c r="QV567" s="25"/>
      <c r="QW567" s="25"/>
      <c r="QX567" s="25"/>
      <c r="QY567" s="25"/>
      <c r="QZ567" s="25"/>
      <c r="RA567" s="25"/>
      <c r="RB567" s="25"/>
      <c r="RC567" s="25"/>
      <c r="RD567" s="25"/>
      <c r="RE567" s="25"/>
      <c r="RF567" s="25"/>
      <c r="RG567" s="25"/>
      <c r="RH567" s="25"/>
      <c r="RI567" s="25"/>
      <c r="RJ567" s="25"/>
      <c r="RK567" s="25"/>
      <c r="RL567" s="25"/>
      <c r="RM567" s="25"/>
      <c r="RN567" s="25"/>
      <c r="RO567" s="25"/>
      <c r="RP567" s="25"/>
      <c r="RQ567" s="25"/>
      <c r="RR567" s="25"/>
      <c r="RS567" s="25"/>
      <c r="RT567" s="25"/>
      <c r="RU567" s="25"/>
      <c r="RV567" s="25"/>
      <c r="RW567" s="25"/>
      <c r="RX567" s="25"/>
      <c r="RY567" s="25"/>
      <c r="RZ567" s="25"/>
      <c r="SA567" s="25"/>
      <c r="SB567" s="25"/>
      <c r="SC567" s="25"/>
      <c r="SD567" s="25"/>
      <c r="SE567" s="25"/>
      <c r="SF567" s="25"/>
      <c r="SG567" s="25"/>
      <c r="SH567" s="25"/>
      <c r="SI567" s="25"/>
      <c r="SJ567" s="25"/>
      <c r="SK567" s="25"/>
      <c r="SL567" s="25"/>
      <c r="SM567" s="25"/>
      <c r="SN567" s="25"/>
      <c r="SO567" s="25"/>
      <c r="SP567" s="25"/>
      <c r="SQ567" s="25"/>
      <c r="SR567" s="25"/>
      <c r="SS567" s="25"/>
      <c r="ST567" s="25"/>
      <c r="SU567" s="25"/>
      <c r="SV567" s="25"/>
      <c r="SW567" s="25"/>
      <c r="SX567" s="25"/>
      <c r="SY567" s="25"/>
      <c r="SZ567" s="25"/>
      <c r="TA567" s="25"/>
      <c r="TB567" s="25"/>
      <c r="TC567" s="25"/>
      <c r="TD567" s="25"/>
      <c r="TE567" s="25"/>
      <c r="TF567" s="25"/>
      <c r="TG567" s="25"/>
      <c r="TH567" s="25"/>
      <c r="TI567" s="25"/>
      <c r="TJ567" s="25"/>
      <c r="TK567" s="25"/>
      <c r="TL567" s="25"/>
      <c r="TM567" s="25"/>
      <c r="TN567" s="25"/>
      <c r="TO567" s="25"/>
      <c r="TP567" s="25"/>
      <c r="TQ567" s="25"/>
      <c r="TR567" s="25"/>
      <c r="TS567" s="25"/>
      <c r="TT567" s="25"/>
      <c r="TU567" s="25"/>
      <c r="TV567" s="25"/>
      <c r="TW567" s="25"/>
      <c r="TX567" s="25"/>
      <c r="TY567" s="25"/>
      <c r="TZ567" s="25"/>
      <c r="UA567" s="25"/>
      <c r="UB567" s="25"/>
      <c r="UC567" s="25"/>
      <c r="UD567" s="25"/>
      <c r="UE567" s="25"/>
      <c r="UF567" s="25"/>
      <c r="UG567" s="26"/>
    </row>
    <row r="568" spans="1:553" ht="50.25" customHeight="1">
      <c r="A568" s="356" t="s">
        <v>15</v>
      </c>
      <c r="B568" s="385"/>
      <c r="C568" s="1404" t="s">
        <v>396</v>
      </c>
      <c r="D568" s="1389"/>
      <c r="E568" s="1389"/>
      <c r="F568" s="1390"/>
      <c r="G568" s="386"/>
      <c r="H568" s="370"/>
      <c r="I568" s="417"/>
      <c r="J568" s="368"/>
      <c r="K568" s="371"/>
      <c r="L568" s="487">
        <f t="shared" si="101"/>
        <v>0</v>
      </c>
      <c r="M568" s="395"/>
      <c r="N568" s="395"/>
      <c r="O568" s="366"/>
      <c r="P568" s="396"/>
      <c r="Q568" s="473"/>
      <c r="R568" s="1039"/>
      <c r="S568" s="308"/>
      <c r="T568" s="308"/>
      <c r="U568" s="308"/>
      <c r="V568" s="308"/>
      <c r="W568" s="308"/>
      <c r="X568" s="308"/>
      <c r="Y568" s="308"/>
      <c r="Z568" s="604"/>
      <c r="AA568" s="308"/>
      <c r="AB568" s="308"/>
      <c r="AC568" s="449"/>
      <c r="AD568" s="449"/>
      <c r="AE568" s="449"/>
      <c r="AF568" s="449"/>
      <c r="AG568" s="452"/>
      <c r="AH568" s="452"/>
      <c r="AI568" s="452"/>
      <c r="AJ568" s="452"/>
      <c r="AK568" s="452"/>
      <c r="AL568" s="104"/>
      <c r="AM568" s="32"/>
      <c r="AN568" s="32"/>
      <c r="AO568" s="32"/>
      <c r="AP568" s="32"/>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25"/>
      <c r="BN568" s="25"/>
      <c r="BO568" s="25"/>
      <c r="BP568" s="25"/>
      <c r="BQ568" s="25"/>
      <c r="BR568" s="25"/>
      <c r="BS568" s="25"/>
      <c r="BT568" s="25"/>
      <c r="BU568" s="25"/>
      <c r="BV568" s="25"/>
      <c r="BW568" s="25"/>
      <c r="BX568" s="25"/>
      <c r="BY568" s="25"/>
      <c r="BZ568" s="25"/>
      <c r="CA568" s="25"/>
      <c r="CB568" s="25"/>
      <c r="CC568" s="25"/>
      <c r="CD568" s="25"/>
      <c r="CE568" s="25"/>
      <c r="CF568" s="25"/>
      <c r="CG568" s="25"/>
      <c r="CH568" s="25"/>
      <c r="CI568" s="25"/>
      <c r="CJ568" s="25"/>
      <c r="CK568" s="25"/>
      <c r="CL568" s="25"/>
      <c r="CM568" s="25"/>
      <c r="CN568" s="25"/>
      <c r="CO568" s="25"/>
      <c r="CP568" s="25"/>
      <c r="CQ568" s="25"/>
      <c r="CR568" s="25"/>
      <c r="CS568" s="25"/>
      <c r="CT568" s="25"/>
      <c r="CU568" s="25"/>
      <c r="CV568" s="25"/>
      <c r="CW568" s="25"/>
      <c r="CX568" s="25"/>
      <c r="CY568" s="25"/>
      <c r="CZ568" s="25"/>
      <c r="DA568" s="25"/>
      <c r="DB568" s="25"/>
      <c r="DC568" s="25"/>
      <c r="DD568" s="25"/>
      <c r="DE568" s="25"/>
      <c r="DF568" s="25"/>
      <c r="DG568" s="25"/>
      <c r="DH568" s="25"/>
      <c r="DI568" s="25"/>
      <c r="DJ568" s="25"/>
      <c r="DK568" s="25"/>
      <c r="DL568" s="25"/>
      <c r="DM568" s="25"/>
      <c r="DN568" s="25"/>
      <c r="DO568" s="25"/>
      <c r="DP568" s="25"/>
      <c r="DQ568" s="25"/>
      <c r="DR568" s="25"/>
      <c r="DS568" s="25"/>
      <c r="DT568" s="25"/>
      <c r="DU568" s="25"/>
      <c r="DV568" s="25"/>
      <c r="DW568" s="25"/>
      <c r="DX568" s="25"/>
      <c r="DY568" s="25"/>
      <c r="DZ568" s="25"/>
      <c r="EA568" s="25"/>
      <c r="EB568" s="25"/>
      <c r="EC568" s="25"/>
      <c r="ED568" s="25"/>
      <c r="EE568" s="25"/>
      <c r="EF568" s="25"/>
      <c r="EG568" s="25"/>
      <c r="EH568" s="25"/>
      <c r="EI568" s="25"/>
      <c r="EJ568" s="25"/>
      <c r="EK568" s="25"/>
      <c r="EL568" s="25"/>
      <c r="EM568" s="25"/>
      <c r="EN568" s="25"/>
      <c r="EO568" s="25"/>
      <c r="EP568" s="25"/>
      <c r="EQ568" s="25"/>
      <c r="ER568" s="25"/>
      <c r="ES568" s="25"/>
      <c r="ET568" s="25"/>
      <c r="EU568" s="25"/>
      <c r="EV568" s="25"/>
      <c r="EW568" s="25"/>
      <c r="EX568" s="25"/>
      <c r="EY568" s="25"/>
      <c r="EZ568" s="25"/>
      <c r="FA568" s="25"/>
      <c r="FB568" s="25"/>
      <c r="FC568" s="25"/>
      <c r="FD568" s="25"/>
      <c r="FE568" s="25"/>
      <c r="FF568" s="25"/>
      <c r="FG568" s="25"/>
      <c r="FH568" s="25"/>
      <c r="FI568" s="25"/>
      <c r="FJ568" s="25"/>
      <c r="FK568" s="25"/>
      <c r="FL568" s="25"/>
      <c r="FM568" s="25"/>
      <c r="FN568" s="25"/>
      <c r="FO568" s="25"/>
      <c r="FP568" s="25"/>
      <c r="FQ568" s="25"/>
      <c r="FR568" s="25"/>
      <c r="FS568" s="25"/>
      <c r="FT568" s="25"/>
      <c r="FU568" s="25"/>
      <c r="FV568" s="25"/>
      <c r="FW568" s="25"/>
      <c r="FX568" s="25"/>
      <c r="FY568" s="25"/>
      <c r="FZ568" s="25"/>
      <c r="GA568" s="25"/>
      <c r="GB568" s="25"/>
      <c r="GC568" s="25"/>
      <c r="GD568" s="25"/>
      <c r="GE568" s="25"/>
      <c r="GF568" s="25"/>
      <c r="GG568" s="25"/>
      <c r="GH568" s="25"/>
      <c r="GI568" s="25"/>
      <c r="GJ568" s="25"/>
      <c r="GK568" s="25"/>
      <c r="GL568" s="25"/>
      <c r="GM568" s="25"/>
      <c r="GN568" s="25"/>
      <c r="GO568" s="25"/>
      <c r="GP568" s="25"/>
      <c r="GQ568" s="25"/>
      <c r="GR568" s="25"/>
      <c r="GS568" s="25"/>
      <c r="GT568" s="25"/>
      <c r="GU568" s="25"/>
      <c r="GV568" s="25"/>
      <c r="GW568" s="25"/>
      <c r="GX568" s="25"/>
      <c r="GY568" s="25"/>
      <c r="GZ568" s="25"/>
      <c r="HA568" s="25"/>
      <c r="HB568" s="25"/>
      <c r="HC568" s="25"/>
      <c r="HD568" s="25"/>
      <c r="HE568" s="25"/>
      <c r="HF568" s="25"/>
      <c r="HG568" s="25"/>
      <c r="HH568" s="25"/>
      <c r="HI568" s="25"/>
      <c r="HJ568" s="25"/>
      <c r="HK568" s="25"/>
      <c r="HL568" s="25"/>
      <c r="HM568" s="25"/>
      <c r="HN568" s="25"/>
      <c r="HO568" s="25"/>
      <c r="HP568" s="25"/>
      <c r="HQ568" s="25"/>
      <c r="HR568" s="25"/>
      <c r="HS568" s="25"/>
      <c r="HT568" s="25"/>
      <c r="HU568" s="25"/>
      <c r="HV568" s="25"/>
      <c r="HW568" s="25"/>
      <c r="HX568" s="25"/>
      <c r="HY568" s="25"/>
      <c r="HZ568" s="25"/>
      <c r="IA568" s="25"/>
      <c r="IB568" s="25"/>
      <c r="IC568" s="25"/>
      <c r="ID568" s="25"/>
      <c r="IE568" s="25"/>
      <c r="IF568" s="25"/>
      <c r="IG568" s="25"/>
      <c r="IH568" s="25"/>
      <c r="II568" s="25"/>
      <c r="IJ568" s="25"/>
      <c r="IK568" s="25"/>
      <c r="IL568" s="25"/>
      <c r="IM568" s="25"/>
      <c r="IN568" s="25"/>
      <c r="IO568" s="25"/>
      <c r="IP568" s="25"/>
      <c r="IQ568" s="25"/>
      <c r="IR568" s="25"/>
      <c r="IS568" s="25"/>
      <c r="IT568" s="25"/>
      <c r="IU568" s="25"/>
      <c r="IV568" s="25"/>
      <c r="IW568" s="25"/>
      <c r="IX568" s="25"/>
      <c r="IY568" s="25"/>
      <c r="IZ568" s="25"/>
      <c r="JA568" s="25"/>
      <c r="JB568" s="25"/>
      <c r="JC568" s="25"/>
      <c r="JD568" s="25"/>
      <c r="JE568" s="25"/>
      <c r="JF568" s="25"/>
      <c r="JG568" s="25"/>
      <c r="JH568" s="25"/>
      <c r="JI568" s="25"/>
      <c r="JJ568" s="25"/>
      <c r="JK568" s="25"/>
      <c r="JL568" s="25"/>
      <c r="JM568" s="25"/>
      <c r="JN568" s="25"/>
      <c r="JO568" s="25"/>
      <c r="JP568" s="25"/>
      <c r="JQ568" s="25"/>
      <c r="JR568" s="25"/>
      <c r="JS568" s="25"/>
      <c r="JT568" s="25"/>
      <c r="JU568" s="25"/>
      <c r="JV568" s="25"/>
      <c r="JW568" s="25"/>
      <c r="JX568" s="25"/>
      <c r="JY568" s="25"/>
      <c r="JZ568" s="25"/>
      <c r="KA568" s="25"/>
      <c r="KB568" s="25"/>
      <c r="KC568" s="25"/>
      <c r="KD568" s="25"/>
      <c r="KE568" s="25"/>
      <c r="KF568" s="25"/>
      <c r="KG568" s="25"/>
      <c r="KH568" s="25"/>
      <c r="KI568" s="25"/>
      <c r="KJ568" s="25"/>
      <c r="KK568" s="25"/>
      <c r="KL568" s="25"/>
      <c r="KM568" s="25"/>
      <c r="KN568" s="25"/>
      <c r="KO568" s="25"/>
      <c r="KP568" s="25"/>
      <c r="KQ568" s="25"/>
      <c r="KR568" s="25"/>
      <c r="KS568" s="25"/>
      <c r="KT568" s="25"/>
      <c r="KU568" s="25"/>
      <c r="KV568" s="25"/>
      <c r="KW568" s="25"/>
      <c r="KX568" s="25"/>
      <c r="KY568" s="25"/>
      <c r="KZ568" s="25"/>
      <c r="LA568" s="25"/>
      <c r="LB568" s="25"/>
      <c r="LC568" s="25"/>
      <c r="LD568" s="25"/>
      <c r="LE568" s="25"/>
      <c r="LF568" s="25"/>
      <c r="LG568" s="25"/>
      <c r="LH568" s="25"/>
      <c r="LI568" s="25"/>
      <c r="LJ568" s="25"/>
      <c r="LK568" s="25"/>
      <c r="LL568" s="25"/>
      <c r="LM568" s="25"/>
      <c r="LN568" s="25"/>
      <c r="LO568" s="25"/>
      <c r="LP568" s="25"/>
      <c r="LQ568" s="25"/>
      <c r="LR568" s="25"/>
      <c r="LS568" s="25"/>
      <c r="LT568" s="25"/>
      <c r="LU568" s="25"/>
      <c r="LV568" s="25"/>
      <c r="LW568" s="25"/>
      <c r="LX568" s="25"/>
      <c r="LY568" s="25"/>
      <c r="LZ568" s="25"/>
      <c r="MA568" s="25"/>
      <c r="MB568" s="25"/>
      <c r="MC568" s="25"/>
      <c r="MD568" s="25"/>
      <c r="ME568" s="25"/>
      <c r="MF568" s="25"/>
      <c r="MG568" s="25"/>
      <c r="MH568" s="25"/>
      <c r="MI568" s="25"/>
      <c r="MJ568" s="25"/>
      <c r="MK568" s="25"/>
      <c r="ML568" s="25"/>
      <c r="MM568" s="25"/>
      <c r="MN568" s="25"/>
      <c r="MO568" s="25"/>
      <c r="MP568" s="25"/>
      <c r="MQ568" s="25"/>
      <c r="MR568" s="25"/>
      <c r="MS568" s="25"/>
      <c r="MT568" s="25"/>
      <c r="MU568" s="25"/>
      <c r="MV568" s="25"/>
      <c r="MW568" s="25"/>
      <c r="MX568" s="25"/>
      <c r="MY568" s="25"/>
      <c r="MZ568" s="25"/>
      <c r="NA568" s="25"/>
      <c r="NB568" s="25"/>
      <c r="NC568" s="25"/>
      <c r="ND568" s="25"/>
      <c r="NE568" s="25"/>
      <c r="NF568" s="25"/>
      <c r="NG568" s="25"/>
      <c r="NH568" s="25"/>
      <c r="NI568" s="25"/>
      <c r="NJ568" s="25"/>
      <c r="NK568" s="25"/>
      <c r="NL568" s="25"/>
      <c r="NM568" s="25"/>
      <c r="NN568" s="25"/>
      <c r="NO568" s="25"/>
      <c r="NP568" s="25"/>
      <c r="NQ568" s="25"/>
      <c r="NR568" s="25"/>
      <c r="NS568" s="25"/>
      <c r="NT568" s="25"/>
      <c r="NU568" s="25"/>
      <c r="NV568" s="25"/>
      <c r="NW568" s="25"/>
      <c r="NX568" s="25"/>
      <c r="NY568" s="25"/>
      <c r="NZ568" s="25"/>
      <c r="OA568" s="25"/>
      <c r="OB568" s="25"/>
      <c r="OC568" s="25"/>
      <c r="OD568" s="25"/>
      <c r="OE568" s="25"/>
      <c r="OF568" s="25"/>
      <c r="OG568" s="25"/>
      <c r="OH568" s="25"/>
      <c r="OI568" s="25"/>
      <c r="OJ568" s="25"/>
      <c r="OK568" s="25"/>
      <c r="OL568" s="25"/>
      <c r="OM568" s="25"/>
      <c r="ON568" s="25"/>
      <c r="OO568" s="25"/>
      <c r="OP568" s="25"/>
      <c r="OQ568" s="25"/>
      <c r="OR568" s="25"/>
      <c r="OS568" s="25"/>
      <c r="OT568" s="25"/>
      <c r="OU568" s="25"/>
      <c r="OV568" s="25"/>
      <c r="OW568" s="25"/>
      <c r="OX568" s="25"/>
      <c r="OY568" s="25"/>
      <c r="OZ568" s="25"/>
      <c r="PA568" s="25"/>
      <c r="PB568" s="25"/>
      <c r="PC568" s="25"/>
      <c r="PD568" s="25"/>
      <c r="PE568" s="25"/>
      <c r="PF568" s="25"/>
      <c r="PG568" s="25"/>
      <c r="PH568" s="25"/>
      <c r="PI568" s="25"/>
      <c r="PJ568" s="25"/>
      <c r="PK568" s="25"/>
      <c r="PL568" s="25"/>
      <c r="PM568" s="25"/>
      <c r="PN568" s="25"/>
      <c r="PO568" s="25"/>
      <c r="PP568" s="25"/>
      <c r="PQ568" s="25"/>
      <c r="PR568" s="25"/>
      <c r="PS568" s="25"/>
      <c r="PT568" s="25"/>
      <c r="PU568" s="25"/>
      <c r="PV568" s="25"/>
      <c r="PW568" s="25"/>
      <c r="PX568" s="25"/>
      <c r="PY568" s="25"/>
      <c r="PZ568" s="25"/>
      <c r="QA568" s="25"/>
      <c r="QB568" s="25"/>
      <c r="QC568" s="25"/>
      <c r="QD568" s="25"/>
      <c r="QE568" s="25"/>
      <c r="QF568" s="25"/>
      <c r="QG568" s="25"/>
      <c r="QH568" s="25"/>
      <c r="QI568" s="25"/>
      <c r="QJ568" s="25"/>
      <c r="QK568" s="25"/>
      <c r="QL568" s="25"/>
      <c r="QM568" s="25"/>
      <c r="QN568" s="25"/>
      <c r="QO568" s="25"/>
      <c r="QP568" s="25"/>
      <c r="QQ568" s="25"/>
      <c r="QR568" s="25"/>
      <c r="QS568" s="25"/>
      <c r="QT568" s="25"/>
      <c r="QU568" s="25"/>
      <c r="QV568" s="25"/>
      <c r="QW568" s="25"/>
      <c r="QX568" s="25"/>
      <c r="QY568" s="25"/>
      <c r="QZ568" s="25"/>
      <c r="RA568" s="25"/>
      <c r="RB568" s="25"/>
      <c r="RC568" s="25"/>
      <c r="RD568" s="25"/>
      <c r="RE568" s="25"/>
      <c r="RF568" s="25"/>
      <c r="RG568" s="25"/>
      <c r="RH568" s="25"/>
      <c r="RI568" s="25"/>
      <c r="RJ568" s="25"/>
      <c r="RK568" s="25"/>
      <c r="RL568" s="25"/>
      <c r="RM568" s="25"/>
      <c r="RN568" s="25"/>
      <c r="RO568" s="25"/>
      <c r="RP568" s="25"/>
      <c r="RQ568" s="25"/>
      <c r="RR568" s="25"/>
      <c r="RS568" s="25"/>
      <c r="RT568" s="25"/>
      <c r="RU568" s="25"/>
      <c r="RV568" s="25"/>
      <c r="RW568" s="25"/>
      <c r="RX568" s="25"/>
      <c r="RY568" s="25"/>
      <c r="RZ568" s="25"/>
      <c r="SA568" s="25"/>
      <c r="SB568" s="25"/>
      <c r="SC568" s="25"/>
      <c r="SD568" s="25"/>
      <c r="SE568" s="25"/>
      <c r="SF568" s="25"/>
      <c r="SG568" s="25"/>
      <c r="SH568" s="25"/>
      <c r="SI568" s="25"/>
      <c r="SJ568" s="25"/>
      <c r="SK568" s="25"/>
      <c r="SL568" s="25"/>
      <c r="SM568" s="25"/>
      <c r="SN568" s="25"/>
      <c r="SO568" s="25"/>
      <c r="SP568" s="25"/>
      <c r="SQ568" s="25"/>
      <c r="SR568" s="25"/>
      <c r="SS568" s="25"/>
      <c r="ST568" s="25"/>
      <c r="SU568" s="25"/>
      <c r="SV568" s="25"/>
      <c r="SW568" s="25"/>
      <c r="SX568" s="25"/>
      <c r="SY568" s="25"/>
      <c r="SZ568" s="25"/>
      <c r="TA568" s="25"/>
      <c r="TB568" s="25"/>
      <c r="TC568" s="25"/>
      <c r="TD568" s="25"/>
      <c r="TE568" s="25"/>
      <c r="TF568" s="25"/>
      <c r="TG568" s="25"/>
      <c r="TH568" s="25"/>
      <c r="TI568" s="25"/>
      <c r="TJ568" s="25"/>
      <c r="TK568" s="25"/>
      <c r="TL568" s="25"/>
      <c r="TM568" s="25"/>
      <c r="TN568" s="25"/>
      <c r="TO568" s="25"/>
      <c r="TP568" s="25"/>
      <c r="TQ568" s="25"/>
      <c r="TR568" s="25"/>
      <c r="TS568" s="25"/>
      <c r="TT568" s="25"/>
      <c r="TU568" s="25"/>
      <c r="TV568" s="25"/>
      <c r="TW568" s="25"/>
      <c r="TX568" s="25"/>
      <c r="TY568" s="25"/>
      <c r="TZ568" s="25"/>
      <c r="UA568" s="25"/>
      <c r="UB568" s="25"/>
      <c r="UC568" s="25"/>
      <c r="UD568" s="25"/>
      <c r="UE568" s="25"/>
      <c r="UF568" s="25"/>
      <c r="UG568" s="26"/>
    </row>
    <row r="569" spans="1:553" ht="50.25" customHeight="1">
      <c r="A569" s="356" t="s">
        <v>30</v>
      </c>
      <c r="B569" s="385">
        <v>39</v>
      </c>
      <c r="C569" s="1404" t="s">
        <v>397</v>
      </c>
      <c r="D569" s="1389"/>
      <c r="E569" s="1389"/>
      <c r="F569" s="1390"/>
      <c r="G569" s="386" t="s">
        <v>33</v>
      </c>
      <c r="H569" s="370"/>
      <c r="I569" s="417">
        <f>(6.9*3*2)+(9*9.6*2)</f>
        <v>214.2</v>
      </c>
      <c r="J569" s="368">
        <v>39000</v>
      </c>
      <c r="K569" s="371"/>
      <c r="L569" s="487">
        <f t="shared" si="101"/>
        <v>8353800</v>
      </c>
      <c r="M569" s="395"/>
      <c r="N569" s="395"/>
      <c r="O569" s="366"/>
      <c r="P569" s="396"/>
      <c r="Q569" s="473"/>
      <c r="R569" s="1039"/>
      <c r="S569" s="308"/>
      <c r="T569" s="308"/>
      <c r="U569" s="308"/>
      <c r="V569" s="308"/>
      <c r="W569" s="308"/>
      <c r="X569" s="308"/>
      <c r="Y569" s="308"/>
      <c r="Z569" s="604"/>
      <c r="AA569" s="308"/>
      <c r="AB569" s="308"/>
      <c r="AC569" s="449"/>
      <c r="AD569" s="449"/>
      <c r="AE569" s="449"/>
      <c r="AF569" s="449"/>
      <c r="AG569" s="452"/>
      <c r="AH569" s="452"/>
      <c r="AI569" s="452"/>
      <c r="AJ569" s="452"/>
      <c r="AK569" s="452"/>
      <c r="AL569" s="104"/>
      <c r="AM569" s="32"/>
      <c r="AN569" s="32"/>
      <c r="AO569" s="32"/>
      <c r="AP569" s="32"/>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25"/>
      <c r="BN569" s="25"/>
      <c r="BO569" s="25"/>
      <c r="BP569" s="25"/>
      <c r="BQ569" s="25"/>
      <c r="BR569" s="25"/>
      <c r="BS569" s="25"/>
      <c r="BT569" s="25"/>
      <c r="BU569" s="25"/>
      <c r="BV569" s="25"/>
      <c r="BW569" s="25"/>
      <c r="BX569" s="25"/>
      <c r="BY569" s="25"/>
      <c r="BZ569" s="25"/>
      <c r="CA569" s="25"/>
      <c r="CB569" s="25"/>
      <c r="CC569" s="25"/>
      <c r="CD569" s="25"/>
      <c r="CE569" s="25"/>
      <c r="CF569" s="25"/>
      <c r="CG569" s="25"/>
      <c r="CH569" s="25"/>
      <c r="CI569" s="25"/>
      <c r="CJ569" s="25"/>
      <c r="CK569" s="25"/>
      <c r="CL569" s="25"/>
      <c r="CM569" s="25"/>
      <c r="CN569" s="25"/>
      <c r="CO569" s="25"/>
      <c r="CP569" s="25"/>
      <c r="CQ569" s="25"/>
      <c r="CR569" s="25"/>
      <c r="CS569" s="25"/>
      <c r="CT569" s="25"/>
      <c r="CU569" s="25"/>
      <c r="CV569" s="25"/>
      <c r="CW569" s="25"/>
      <c r="CX569" s="25"/>
      <c r="CY569" s="25"/>
      <c r="CZ569" s="25"/>
      <c r="DA569" s="25"/>
      <c r="DB569" s="25"/>
      <c r="DC569" s="25"/>
      <c r="DD569" s="25"/>
      <c r="DE569" s="25"/>
      <c r="DF569" s="25"/>
      <c r="DG569" s="25"/>
      <c r="DH569" s="25"/>
      <c r="DI569" s="25"/>
      <c r="DJ569" s="25"/>
      <c r="DK569" s="25"/>
      <c r="DL569" s="25"/>
      <c r="DM569" s="25"/>
      <c r="DN569" s="25"/>
      <c r="DO569" s="25"/>
      <c r="DP569" s="25"/>
      <c r="DQ569" s="25"/>
      <c r="DR569" s="25"/>
      <c r="DS569" s="25"/>
      <c r="DT569" s="25"/>
      <c r="DU569" s="25"/>
      <c r="DV569" s="25"/>
      <c r="DW569" s="25"/>
      <c r="DX569" s="25"/>
      <c r="DY569" s="25"/>
      <c r="DZ569" s="25"/>
      <c r="EA569" s="25"/>
      <c r="EB569" s="25"/>
      <c r="EC569" s="25"/>
      <c r="ED569" s="25"/>
      <c r="EE569" s="25"/>
      <c r="EF569" s="25"/>
      <c r="EG569" s="25"/>
      <c r="EH569" s="25"/>
      <c r="EI569" s="25"/>
      <c r="EJ569" s="25"/>
      <c r="EK569" s="25"/>
      <c r="EL569" s="25"/>
      <c r="EM569" s="25"/>
      <c r="EN569" s="25"/>
      <c r="EO569" s="25"/>
      <c r="EP569" s="25"/>
      <c r="EQ569" s="25"/>
      <c r="ER569" s="25"/>
      <c r="ES569" s="25"/>
      <c r="ET569" s="25"/>
      <c r="EU569" s="25"/>
      <c r="EV569" s="25"/>
      <c r="EW569" s="25"/>
      <c r="EX569" s="25"/>
      <c r="EY569" s="25"/>
      <c r="EZ569" s="25"/>
      <c r="FA569" s="25"/>
      <c r="FB569" s="25"/>
      <c r="FC569" s="25"/>
      <c r="FD569" s="25"/>
      <c r="FE569" s="25"/>
      <c r="FF569" s="25"/>
      <c r="FG569" s="25"/>
      <c r="FH569" s="25"/>
      <c r="FI569" s="25"/>
      <c r="FJ569" s="25"/>
      <c r="FK569" s="25"/>
      <c r="FL569" s="25"/>
      <c r="FM569" s="25"/>
      <c r="FN569" s="25"/>
      <c r="FO569" s="25"/>
      <c r="FP569" s="25"/>
      <c r="FQ569" s="25"/>
      <c r="FR569" s="25"/>
      <c r="FS569" s="25"/>
      <c r="FT569" s="25"/>
      <c r="FU569" s="25"/>
      <c r="FV569" s="25"/>
      <c r="FW569" s="25"/>
      <c r="FX569" s="25"/>
      <c r="FY569" s="25"/>
      <c r="FZ569" s="25"/>
      <c r="GA569" s="25"/>
      <c r="GB569" s="25"/>
      <c r="GC569" s="25"/>
      <c r="GD569" s="25"/>
      <c r="GE569" s="25"/>
      <c r="GF569" s="25"/>
      <c r="GG569" s="25"/>
      <c r="GH569" s="25"/>
      <c r="GI569" s="25"/>
      <c r="GJ569" s="25"/>
      <c r="GK569" s="25"/>
      <c r="GL569" s="25"/>
      <c r="GM569" s="25"/>
      <c r="GN569" s="25"/>
      <c r="GO569" s="25"/>
      <c r="GP569" s="25"/>
      <c r="GQ569" s="25"/>
      <c r="GR569" s="25"/>
      <c r="GS569" s="25"/>
      <c r="GT569" s="25"/>
      <c r="GU569" s="25"/>
      <c r="GV569" s="25"/>
      <c r="GW569" s="25"/>
      <c r="GX569" s="25"/>
      <c r="GY569" s="25"/>
      <c r="GZ569" s="25"/>
      <c r="HA569" s="25"/>
      <c r="HB569" s="25"/>
      <c r="HC569" s="25"/>
      <c r="HD569" s="25"/>
      <c r="HE569" s="25"/>
      <c r="HF569" s="25"/>
      <c r="HG569" s="25"/>
      <c r="HH569" s="25"/>
      <c r="HI569" s="25"/>
      <c r="HJ569" s="25"/>
      <c r="HK569" s="25"/>
      <c r="HL569" s="25"/>
      <c r="HM569" s="25"/>
      <c r="HN569" s="25"/>
      <c r="HO569" s="25"/>
      <c r="HP569" s="25"/>
      <c r="HQ569" s="25"/>
      <c r="HR569" s="25"/>
      <c r="HS569" s="25"/>
      <c r="HT569" s="25"/>
      <c r="HU569" s="25"/>
      <c r="HV569" s="25"/>
      <c r="HW569" s="25"/>
      <c r="HX569" s="25"/>
      <c r="HY569" s="25"/>
      <c r="HZ569" s="25"/>
      <c r="IA569" s="25"/>
      <c r="IB569" s="25"/>
      <c r="IC569" s="25"/>
      <c r="ID569" s="25"/>
      <c r="IE569" s="25"/>
      <c r="IF569" s="25"/>
      <c r="IG569" s="25"/>
      <c r="IH569" s="25"/>
      <c r="II569" s="25"/>
      <c r="IJ569" s="25"/>
      <c r="IK569" s="25"/>
      <c r="IL569" s="25"/>
      <c r="IM569" s="25"/>
      <c r="IN569" s="25"/>
      <c r="IO569" s="25"/>
      <c r="IP569" s="25"/>
      <c r="IQ569" s="25"/>
      <c r="IR569" s="25"/>
      <c r="IS569" s="25"/>
      <c r="IT569" s="25"/>
      <c r="IU569" s="25"/>
      <c r="IV569" s="25"/>
      <c r="IW569" s="25"/>
      <c r="IX569" s="25"/>
      <c r="IY569" s="25"/>
      <c r="IZ569" s="25"/>
      <c r="JA569" s="25"/>
      <c r="JB569" s="25"/>
      <c r="JC569" s="25"/>
      <c r="JD569" s="25"/>
      <c r="JE569" s="25"/>
      <c r="JF569" s="25"/>
      <c r="JG569" s="25"/>
      <c r="JH569" s="25"/>
      <c r="JI569" s="25"/>
      <c r="JJ569" s="25"/>
      <c r="JK569" s="25"/>
      <c r="JL569" s="25"/>
      <c r="JM569" s="25"/>
      <c r="JN569" s="25"/>
      <c r="JO569" s="25"/>
      <c r="JP569" s="25"/>
      <c r="JQ569" s="25"/>
      <c r="JR569" s="25"/>
      <c r="JS569" s="25"/>
      <c r="JT569" s="25"/>
      <c r="JU569" s="25"/>
      <c r="JV569" s="25"/>
      <c r="JW569" s="25"/>
      <c r="JX569" s="25"/>
      <c r="JY569" s="25"/>
      <c r="JZ569" s="25"/>
      <c r="KA569" s="25"/>
      <c r="KB569" s="25"/>
      <c r="KC569" s="25"/>
      <c r="KD569" s="25"/>
      <c r="KE569" s="25"/>
      <c r="KF569" s="25"/>
      <c r="KG569" s="25"/>
      <c r="KH569" s="25"/>
      <c r="KI569" s="25"/>
      <c r="KJ569" s="25"/>
      <c r="KK569" s="25"/>
      <c r="KL569" s="25"/>
      <c r="KM569" s="25"/>
      <c r="KN569" s="25"/>
      <c r="KO569" s="25"/>
      <c r="KP569" s="25"/>
      <c r="KQ569" s="25"/>
      <c r="KR569" s="25"/>
      <c r="KS569" s="25"/>
      <c r="KT569" s="25"/>
      <c r="KU569" s="25"/>
      <c r="KV569" s="25"/>
      <c r="KW569" s="25"/>
      <c r="KX569" s="25"/>
      <c r="KY569" s="25"/>
      <c r="KZ569" s="25"/>
      <c r="LA569" s="25"/>
      <c r="LB569" s="25"/>
      <c r="LC569" s="25"/>
      <c r="LD569" s="25"/>
      <c r="LE569" s="25"/>
      <c r="LF569" s="25"/>
      <c r="LG569" s="25"/>
      <c r="LH569" s="25"/>
      <c r="LI569" s="25"/>
      <c r="LJ569" s="25"/>
      <c r="LK569" s="25"/>
      <c r="LL569" s="25"/>
      <c r="LM569" s="25"/>
      <c r="LN569" s="25"/>
      <c r="LO569" s="25"/>
      <c r="LP569" s="25"/>
      <c r="LQ569" s="25"/>
      <c r="LR569" s="25"/>
      <c r="LS569" s="25"/>
      <c r="LT569" s="25"/>
      <c r="LU569" s="25"/>
      <c r="LV569" s="25"/>
      <c r="LW569" s="25"/>
      <c r="LX569" s="25"/>
      <c r="LY569" s="25"/>
      <c r="LZ569" s="25"/>
      <c r="MA569" s="25"/>
      <c r="MB569" s="25"/>
      <c r="MC569" s="25"/>
      <c r="MD569" s="25"/>
      <c r="ME569" s="25"/>
      <c r="MF569" s="25"/>
      <c r="MG569" s="25"/>
      <c r="MH569" s="25"/>
      <c r="MI569" s="25"/>
      <c r="MJ569" s="25"/>
      <c r="MK569" s="25"/>
      <c r="ML569" s="25"/>
      <c r="MM569" s="25"/>
      <c r="MN569" s="25"/>
      <c r="MO569" s="25"/>
      <c r="MP569" s="25"/>
      <c r="MQ569" s="25"/>
      <c r="MR569" s="25"/>
      <c r="MS569" s="25"/>
      <c r="MT569" s="25"/>
      <c r="MU569" s="25"/>
      <c r="MV569" s="25"/>
      <c r="MW569" s="25"/>
      <c r="MX569" s="25"/>
      <c r="MY569" s="25"/>
      <c r="MZ569" s="25"/>
      <c r="NA569" s="25"/>
      <c r="NB569" s="25"/>
      <c r="NC569" s="25"/>
      <c r="ND569" s="25"/>
      <c r="NE569" s="25"/>
      <c r="NF569" s="25"/>
      <c r="NG569" s="25"/>
      <c r="NH569" s="25"/>
      <c r="NI569" s="25"/>
      <c r="NJ569" s="25"/>
      <c r="NK569" s="25"/>
      <c r="NL569" s="25"/>
      <c r="NM569" s="25"/>
      <c r="NN569" s="25"/>
      <c r="NO569" s="25"/>
      <c r="NP569" s="25"/>
      <c r="NQ569" s="25"/>
      <c r="NR569" s="25"/>
      <c r="NS569" s="25"/>
      <c r="NT569" s="25"/>
      <c r="NU569" s="25"/>
      <c r="NV569" s="25"/>
      <c r="NW569" s="25"/>
      <c r="NX569" s="25"/>
      <c r="NY569" s="25"/>
      <c r="NZ569" s="25"/>
      <c r="OA569" s="25"/>
      <c r="OB569" s="25"/>
      <c r="OC569" s="25"/>
      <c r="OD569" s="25"/>
      <c r="OE569" s="25"/>
      <c r="OF569" s="25"/>
      <c r="OG569" s="25"/>
      <c r="OH569" s="25"/>
      <c r="OI569" s="25"/>
      <c r="OJ569" s="25"/>
      <c r="OK569" s="25"/>
      <c r="OL569" s="25"/>
      <c r="OM569" s="25"/>
      <c r="ON569" s="25"/>
      <c r="OO569" s="25"/>
      <c r="OP569" s="25"/>
      <c r="OQ569" s="25"/>
      <c r="OR569" s="25"/>
      <c r="OS569" s="25"/>
      <c r="OT569" s="25"/>
      <c r="OU569" s="25"/>
      <c r="OV569" s="25"/>
      <c r="OW569" s="25"/>
      <c r="OX569" s="25"/>
      <c r="OY569" s="25"/>
      <c r="OZ569" s="25"/>
      <c r="PA569" s="25"/>
      <c r="PB569" s="25"/>
      <c r="PC569" s="25"/>
      <c r="PD569" s="25"/>
      <c r="PE569" s="25"/>
      <c r="PF569" s="25"/>
      <c r="PG569" s="25"/>
      <c r="PH569" s="25"/>
      <c r="PI569" s="25"/>
      <c r="PJ569" s="25"/>
      <c r="PK569" s="25"/>
      <c r="PL569" s="25"/>
      <c r="PM569" s="25"/>
      <c r="PN569" s="25"/>
      <c r="PO569" s="25"/>
      <c r="PP569" s="25"/>
      <c r="PQ569" s="25"/>
      <c r="PR569" s="25"/>
      <c r="PS569" s="25"/>
      <c r="PT569" s="25"/>
      <c r="PU569" s="25"/>
      <c r="PV569" s="25"/>
      <c r="PW569" s="25"/>
      <c r="PX569" s="25"/>
      <c r="PY569" s="25"/>
      <c r="PZ569" s="25"/>
      <c r="QA569" s="25"/>
      <c r="QB569" s="25"/>
      <c r="QC569" s="25"/>
      <c r="QD569" s="25"/>
      <c r="QE569" s="25"/>
      <c r="QF569" s="25"/>
      <c r="QG569" s="25"/>
      <c r="QH569" s="25"/>
      <c r="QI569" s="25"/>
      <c r="QJ569" s="25"/>
      <c r="QK569" s="25"/>
      <c r="QL569" s="25"/>
      <c r="QM569" s="25"/>
      <c r="QN569" s="25"/>
      <c r="QO569" s="25"/>
      <c r="QP569" s="25"/>
      <c r="QQ569" s="25"/>
      <c r="QR569" s="25"/>
      <c r="QS569" s="25"/>
      <c r="QT569" s="25"/>
      <c r="QU569" s="25"/>
      <c r="QV569" s="25"/>
      <c r="QW569" s="25"/>
      <c r="QX569" s="25"/>
      <c r="QY569" s="25"/>
      <c r="QZ569" s="25"/>
      <c r="RA569" s="25"/>
      <c r="RB569" s="25"/>
      <c r="RC569" s="25"/>
      <c r="RD569" s="25"/>
      <c r="RE569" s="25"/>
      <c r="RF569" s="25"/>
      <c r="RG569" s="25"/>
      <c r="RH569" s="25"/>
      <c r="RI569" s="25"/>
      <c r="RJ569" s="25"/>
      <c r="RK569" s="25"/>
      <c r="RL569" s="25"/>
      <c r="RM569" s="25"/>
      <c r="RN569" s="25"/>
      <c r="RO569" s="25"/>
      <c r="RP569" s="25"/>
      <c r="RQ569" s="25"/>
      <c r="RR569" s="25"/>
      <c r="RS569" s="25"/>
      <c r="RT569" s="25"/>
      <c r="RU569" s="25"/>
      <c r="RV569" s="25"/>
      <c r="RW569" s="25"/>
      <c r="RX569" s="25"/>
      <c r="RY569" s="25"/>
      <c r="RZ569" s="25"/>
      <c r="SA569" s="25"/>
      <c r="SB569" s="25"/>
      <c r="SC569" s="25"/>
      <c r="SD569" s="25"/>
      <c r="SE569" s="25"/>
      <c r="SF569" s="25"/>
      <c r="SG569" s="25"/>
      <c r="SH569" s="25"/>
      <c r="SI569" s="25"/>
      <c r="SJ569" s="25"/>
      <c r="SK569" s="25"/>
      <c r="SL569" s="25"/>
      <c r="SM569" s="25"/>
      <c r="SN569" s="25"/>
      <c r="SO569" s="25"/>
      <c r="SP569" s="25"/>
      <c r="SQ569" s="25"/>
      <c r="SR569" s="25"/>
      <c r="SS569" s="25"/>
      <c r="ST569" s="25"/>
      <c r="SU569" s="25"/>
      <c r="SV569" s="25"/>
      <c r="SW569" s="25"/>
      <c r="SX569" s="25"/>
      <c r="SY569" s="25"/>
      <c r="SZ569" s="25"/>
      <c r="TA569" s="25"/>
      <c r="TB569" s="25"/>
      <c r="TC569" s="25"/>
      <c r="TD569" s="25"/>
      <c r="TE569" s="25"/>
      <c r="TF569" s="25"/>
      <c r="TG569" s="25"/>
      <c r="TH569" s="25"/>
      <c r="TI569" s="25"/>
      <c r="TJ569" s="25"/>
      <c r="TK569" s="25"/>
      <c r="TL569" s="25"/>
      <c r="TM569" s="25"/>
      <c r="TN569" s="25"/>
      <c r="TO569" s="25"/>
      <c r="TP569" s="25"/>
      <c r="TQ569" s="25"/>
      <c r="TR569" s="25"/>
      <c r="TS569" s="25"/>
      <c r="TT569" s="25"/>
      <c r="TU569" s="25"/>
      <c r="TV569" s="25"/>
      <c r="TW569" s="25"/>
      <c r="TX569" s="25"/>
      <c r="TY569" s="25"/>
      <c r="TZ569" s="25"/>
      <c r="UA569" s="25"/>
      <c r="UB569" s="25"/>
      <c r="UC569" s="25"/>
      <c r="UD569" s="25"/>
      <c r="UE569" s="25"/>
      <c r="UF569" s="25"/>
      <c r="UG569" s="26"/>
    </row>
    <row r="570" spans="1:553" ht="50.25" customHeight="1">
      <c r="A570" s="356" t="s">
        <v>30</v>
      </c>
      <c r="B570" s="385">
        <v>39</v>
      </c>
      <c r="C570" s="1404" t="s">
        <v>398</v>
      </c>
      <c r="D570" s="1389"/>
      <c r="E570" s="1389"/>
      <c r="F570" s="1390"/>
      <c r="G570" s="386" t="s">
        <v>33</v>
      </c>
      <c r="H570" s="370"/>
      <c r="I570" s="417">
        <f>(31.2*2.3*2)+(12.5*2.8*2)</f>
        <v>213.51999999999998</v>
      </c>
      <c r="J570" s="368">
        <v>39000</v>
      </c>
      <c r="K570" s="371"/>
      <c r="L570" s="487">
        <f t="shared" si="101"/>
        <v>8327279.9999999991</v>
      </c>
      <c r="M570" s="395"/>
      <c r="N570" s="395"/>
      <c r="O570" s="366"/>
      <c r="P570" s="396"/>
      <c r="Q570" s="473"/>
      <c r="R570" s="1039"/>
      <c r="S570" s="308"/>
      <c r="T570" s="308"/>
      <c r="U570" s="308"/>
      <c r="V570" s="308"/>
      <c r="W570" s="308"/>
      <c r="X570" s="308"/>
      <c r="Y570" s="308"/>
      <c r="Z570" s="604"/>
      <c r="AA570" s="308"/>
      <c r="AB570" s="308"/>
      <c r="AC570" s="449"/>
      <c r="AD570" s="449"/>
      <c r="AE570" s="449"/>
      <c r="AF570" s="449"/>
      <c r="AG570" s="452"/>
      <c r="AH570" s="452"/>
      <c r="AI570" s="452"/>
      <c r="AJ570" s="452"/>
      <c r="AK570" s="452"/>
      <c r="AL570" s="104"/>
      <c r="AM570" s="32"/>
      <c r="AN570" s="32"/>
      <c r="AO570" s="32"/>
      <c r="AP570" s="32"/>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25"/>
      <c r="BN570" s="25"/>
      <c r="BO570" s="25"/>
      <c r="BP570" s="25"/>
      <c r="BQ570" s="25"/>
      <c r="BR570" s="25"/>
      <c r="BS570" s="25"/>
      <c r="BT570" s="25"/>
      <c r="BU570" s="25"/>
      <c r="BV570" s="25"/>
      <c r="BW570" s="25"/>
      <c r="BX570" s="25"/>
      <c r="BY570" s="25"/>
      <c r="BZ570" s="25"/>
      <c r="CA570" s="25"/>
      <c r="CB570" s="25"/>
      <c r="CC570" s="25"/>
      <c r="CD570" s="25"/>
      <c r="CE570" s="25"/>
      <c r="CF570" s="25"/>
      <c r="CG570" s="25"/>
      <c r="CH570" s="25"/>
      <c r="CI570" s="25"/>
      <c r="CJ570" s="25"/>
      <c r="CK570" s="25"/>
      <c r="CL570" s="25"/>
      <c r="CM570" s="25"/>
      <c r="CN570" s="25"/>
      <c r="CO570" s="25"/>
      <c r="CP570" s="25"/>
      <c r="CQ570" s="25"/>
      <c r="CR570" s="25"/>
      <c r="CS570" s="25"/>
      <c r="CT570" s="25"/>
      <c r="CU570" s="25"/>
      <c r="CV570" s="25"/>
      <c r="CW570" s="25"/>
      <c r="CX570" s="25"/>
      <c r="CY570" s="25"/>
      <c r="CZ570" s="25"/>
      <c r="DA570" s="25"/>
      <c r="DB570" s="25"/>
      <c r="DC570" s="25"/>
      <c r="DD570" s="25"/>
      <c r="DE570" s="25"/>
      <c r="DF570" s="25"/>
      <c r="DG570" s="25"/>
      <c r="DH570" s="25"/>
      <c r="DI570" s="25"/>
      <c r="DJ570" s="25"/>
      <c r="DK570" s="25"/>
      <c r="DL570" s="25"/>
      <c r="DM570" s="25"/>
      <c r="DN570" s="25"/>
      <c r="DO570" s="25"/>
      <c r="DP570" s="25"/>
      <c r="DQ570" s="25"/>
      <c r="DR570" s="25"/>
      <c r="DS570" s="25"/>
      <c r="DT570" s="25"/>
      <c r="DU570" s="25"/>
      <c r="DV570" s="25"/>
      <c r="DW570" s="25"/>
      <c r="DX570" s="25"/>
      <c r="DY570" s="25"/>
      <c r="DZ570" s="25"/>
      <c r="EA570" s="25"/>
      <c r="EB570" s="25"/>
      <c r="EC570" s="25"/>
      <c r="ED570" s="25"/>
      <c r="EE570" s="25"/>
      <c r="EF570" s="25"/>
      <c r="EG570" s="25"/>
      <c r="EH570" s="25"/>
      <c r="EI570" s="25"/>
      <c r="EJ570" s="25"/>
      <c r="EK570" s="25"/>
      <c r="EL570" s="25"/>
      <c r="EM570" s="25"/>
      <c r="EN570" s="25"/>
      <c r="EO570" s="25"/>
      <c r="EP570" s="25"/>
      <c r="EQ570" s="25"/>
      <c r="ER570" s="25"/>
      <c r="ES570" s="25"/>
      <c r="ET570" s="25"/>
      <c r="EU570" s="25"/>
      <c r="EV570" s="25"/>
      <c r="EW570" s="25"/>
      <c r="EX570" s="25"/>
      <c r="EY570" s="25"/>
      <c r="EZ570" s="25"/>
      <c r="FA570" s="25"/>
      <c r="FB570" s="25"/>
      <c r="FC570" s="25"/>
      <c r="FD570" s="25"/>
      <c r="FE570" s="25"/>
      <c r="FF570" s="25"/>
      <c r="FG570" s="25"/>
      <c r="FH570" s="25"/>
      <c r="FI570" s="25"/>
      <c r="FJ570" s="25"/>
      <c r="FK570" s="25"/>
      <c r="FL570" s="25"/>
      <c r="FM570" s="25"/>
      <c r="FN570" s="25"/>
      <c r="FO570" s="25"/>
      <c r="FP570" s="25"/>
      <c r="FQ570" s="25"/>
      <c r="FR570" s="25"/>
      <c r="FS570" s="25"/>
      <c r="FT570" s="25"/>
      <c r="FU570" s="25"/>
      <c r="FV570" s="25"/>
      <c r="FW570" s="25"/>
      <c r="FX570" s="25"/>
      <c r="FY570" s="25"/>
      <c r="FZ570" s="25"/>
      <c r="GA570" s="25"/>
      <c r="GB570" s="25"/>
      <c r="GC570" s="25"/>
      <c r="GD570" s="25"/>
      <c r="GE570" s="25"/>
      <c r="GF570" s="25"/>
      <c r="GG570" s="25"/>
      <c r="GH570" s="25"/>
      <c r="GI570" s="25"/>
      <c r="GJ570" s="25"/>
      <c r="GK570" s="25"/>
      <c r="GL570" s="25"/>
      <c r="GM570" s="25"/>
      <c r="GN570" s="25"/>
      <c r="GO570" s="25"/>
      <c r="GP570" s="25"/>
      <c r="GQ570" s="25"/>
      <c r="GR570" s="25"/>
      <c r="GS570" s="25"/>
      <c r="GT570" s="25"/>
      <c r="GU570" s="25"/>
      <c r="GV570" s="25"/>
      <c r="GW570" s="25"/>
      <c r="GX570" s="25"/>
      <c r="GY570" s="25"/>
      <c r="GZ570" s="25"/>
      <c r="HA570" s="25"/>
      <c r="HB570" s="25"/>
      <c r="HC570" s="25"/>
      <c r="HD570" s="25"/>
      <c r="HE570" s="25"/>
      <c r="HF570" s="25"/>
      <c r="HG570" s="25"/>
      <c r="HH570" s="25"/>
      <c r="HI570" s="25"/>
      <c r="HJ570" s="25"/>
      <c r="HK570" s="25"/>
      <c r="HL570" s="25"/>
      <c r="HM570" s="25"/>
      <c r="HN570" s="25"/>
      <c r="HO570" s="25"/>
      <c r="HP570" s="25"/>
      <c r="HQ570" s="25"/>
      <c r="HR570" s="25"/>
      <c r="HS570" s="25"/>
      <c r="HT570" s="25"/>
      <c r="HU570" s="25"/>
      <c r="HV570" s="25"/>
      <c r="HW570" s="25"/>
      <c r="HX570" s="25"/>
      <c r="HY570" s="25"/>
      <c r="HZ570" s="25"/>
      <c r="IA570" s="25"/>
      <c r="IB570" s="25"/>
      <c r="IC570" s="25"/>
      <c r="ID570" s="25"/>
      <c r="IE570" s="25"/>
      <c r="IF570" s="25"/>
      <c r="IG570" s="25"/>
      <c r="IH570" s="25"/>
      <c r="II570" s="25"/>
      <c r="IJ570" s="25"/>
      <c r="IK570" s="25"/>
      <c r="IL570" s="25"/>
      <c r="IM570" s="25"/>
      <c r="IN570" s="25"/>
      <c r="IO570" s="25"/>
      <c r="IP570" s="25"/>
      <c r="IQ570" s="25"/>
      <c r="IR570" s="25"/>
      <c r="IS570" s="25"/>
      <c r="IT570" s="25"/>
      <c r="IU570" s="25"/>
      <c r="IV570" s="25"/>
      <c r="IW570" s="25"/>
      <c r="IX570" s="25"/>
      <c r="IY570" s="25"/>
      <c r="IZ570" s="25"/>
      <c r="JA570" s="25"/>
      <c r="JB570" s="25"/>
      <c r="JC570" s="25"/>
      <c r="JD570" s="25"/>
      <c r="JE570" s="25"/>
      <c r="JF570" s="25"/>
      <c r="JG570" s="25"/>
      <c r="JH570" s="25"/>
      <c r="JI570" s="25"/>
      <c r="JJ570" s="25"/>
      <c r="JK570" s="25"/>
      <c r="JL570" s="25"/>
      <c r="JM570" s="25"/>
      <c r="JN570" s="25"/>
      <c r="JO570" s="25"/>
      <c r="JP570" s="25"/>
      <c r="JQ570" s="25"/>
      <c r="JR570" s="25"/>
      <c r="JS570" s="25"/>
      <c r="JT570" s="25"/>
      <c r="JU570" s="25"/>
      <c r="JV570" s="25"/>
      <c r="JW570" s="25"/>
      <c r="JX570" s="25"/>
      <c r="JY570" s="25"/>
      <c r="JZ570" s="25"/>
      <c r="KA570" s="25"/>
      <c r="KB570" s="25"/>
      <c r="KC570" s="25"/>
      <c r="KD570" s="25"/>
      <c r="KE570" s="25"/>
      <c r="KF570" s="25"/>
      <c r="KG570" s="25"/>
      <c r="KH570" s="25"/>
      <c r="KI570" s="25"/>
      <c r="KJ570" s="25"/>
      <c r="KK570" s="25"/>
      <c r="KL570" s="25"/>
      <c r="KM570" s="25"/>
      <c r="KN570" s="25"/>
      <c r="KO570" s="25"/>
      <c r="KP570" s="25"/>
      <c r="KQ570" s="25"/>
      <c r="KR570" s="25"/>
      <c r="KS570" s="25"/>
      <c r="KT570" s="25"/>
      <c r="KU570" s="25"/>
      <c r="KV570" s="25"/>
      <c r="KW570" s="25"/>
      <c r="KX570" s="25"/>
      <c r="KY570" s="25"/>
      <c r="KZ570" s="25"/>
      <c r="LA570" s="25"/>
      <c r="LB570" s="25"/>
      <c r="LC570" s="25"/>
      <c r="LD570" s="25"/>
      <c r="LE570" s="25"/>
      <c r="LF570" s="25"/>
      <c r="LG570" s="25"/>
      <c r="LH570" s="25"/>
      <c r="LI570" s="25"/>
      <c r="LJ570" s="25"/>
      <c r="LK570" s="25"/>
      <c r="LL570" s="25"/>
      <c r="LM570" s="25"/>
      <c r="LN570" s="25"/>
      <c r="LO570" s="25"/>
      <c r="LP570" s="25"/>
      <c r="LQ570" s="25"/>
      <c r="LR570" s="25"/>
      <c r="LS570" s="25"/>
      <c r="LT570" s="25"/>
      <c r="LU570" s="25"/>
      <c r="LV570" s="25"/>
      <c r="LW570" s="25"/>
      <c r="LX570" s="25"/>
      <c r="LY570" s="25"/>
      <c r="LZ570" s="25"/>
      <c r="MA570" s="25"/>
      <c r="MB570" s="25"/>
      <c r="MC570" s="25"/>
      <c r="MD570" s="25"/>
      <c r="ME570" s="25"/>
      <c r="MF570" s="25"/>
      <c r="MG570" s="25"/>
      <c r="MH570" s="25"/>
      <c r="MI570" s="25"/>
      <c r="MJ570" s="25"/>
      <c r="MK570" s="25"/>
      <c r="ML570" s="25"/>
      <c r="MM570" s="25"/>
      <c r="MN570" s="25"/>
      <c r="MO570" s="25"/>
      <c r="MP570" s="25"/>
      <c r="MQ570" s="25"/>
      <c r="MR570" s="25"/>
      <c r="MS570" s="25"/>
      <c r="MT570" s="25"/>
      <c r="MU570" s="25"/>
      <c r="MV570" s="25"/>
      <c r="MW570" s="25"/>
      <c r="MX570" s="25"/>
      <c r="MY570" s="25"/>
      <c r="MZ570" s="25"/>
      <c r="NA570" s="25"/>
      <c r="NB570" s="25"/>
      <c r="NC570" s="25"/>
      <c r="ND570" s="25"/>
      <c r="NE570" s="25"/>
      <c r="NF570" s="25"/>
      <c r="NG570" s="25"/>
      <c r="NH570" s="25"/>
      <c r="NI570" s="25"/>
      <c r="NJ570" s="25"/>
      <c r="NK570" s="25"/>
      <c r="NL570" s="25"/>
      <c r="NM570" s="25"/>
      <c r="NN570" s="25"/>
      <c r="NO570" s="25"/>
      <c r="NP570" s="25"/>
      <c r="NQ570" s="25"/>
      <c r="NR570" s="25"/>
      <c r="NS570" s="25"/>
      <c r="NT570" s="25"/>
      <c r="NU570" s="25"/>
      <c r="NV570" s="25"/>
      <c r="NW570" s="25"/>
      <c r="NX570" s="25"/>
      <c r="NY570" s="25"/>
      <c r="NZ570" s="25"/>
      <c r="OA570" s="25"/>
      <c r="OB570" s="25"/>
      <c r="OC570" s="25"/>
      <c r="OD570" s="25"/>
      <c r="OE570" s="25"/>
      <c r="OF570" s="25"/>
      <c r="OG570" s="25"/>
      <c r="OH570" s="25"/>
      <c r="OI570" s="25"/>
      <c r="OJ570" s="25"/>
      <c r="OK570" s="25"/>
      <c r="OL570" s="25"/>
      <c r="OM570" s="25"/>
      <c r="ON570" s="25"/>
      <c r="OO570" s="25"/>
      <c r="OP570" s="25"/>
      <c r="OQ570" s="25"/>
      <c r="OR570" s="25"/>
      <c r="OS570" s="25"/>
      <c r="OT570" s="25"/>
      <c r="OU570" s="25"/>
      <c r="OV570" s="25"/>
      <c r="OW570" s="25"/>
      <c r="OX570" s="25"/>
      <c r="OY570" s="25"/>
      <c r="OZ570" s="25"/>
      <c r="PA570" s="25"/>
      <c r="PB570" s="25"/>
      <c r="PC570" s="25"/>
      <c r="PD570" s="25"/>
      <c r="PE570" s="25"/>
      <c r="PF570" s="25"/>
      <c r="PG570" s="25"/>
      <c r="PH570" s="25"/>
      <c r="PI570" s="25"/>
      <c r="PJ570" s="25"/>
      <c r="PK570" s="25"/>
      <c r="PL570" s="25"/>
      <c r="PM570" s="25"/>
      <c r="PN570" s="25"/>
      <c r="PO570" s="25"/>
      <c r="PP570" s="25"/>
      <c r="PQ570" s="25"/>
      <c r="PR570" s="25"/>
      <c r="PS570" s="25"/>
      <c r="PT570" s="25"/>
      <c r="PU570" s="25"/>
      <c r="PV570" s="25"/>
      <c r="PW570" s="25"/>
      <c r="PX570" s="25"/>
      <c r="PY570" s="25"/>
      <c r="PZ570" s="25"/>
      <c r="QA570" s="25"/>
      <c r="QB570" s="25"/>
      <c r="QC570" s="25"/>
      <c r="QD570" s="25"/>
      <c r="QE570" s="25"/>
      <c r="QF570" s="25"/>
      <c r="QG570" s="25"/>
      <c r="QH570" s="25"/>
      <c r="QI570" s="25"/>
      <c r="QJ570" s="25"/>
      <c r="QK570" s="25"/>
      <c r="QL570" s="25"/>
      <c r="QM570" s="25"/>
      <c r="QN570" s="25"/>
      <c r="QO570" s="25"/>
      <c r="QP570" s="25"/>
      <c r="QQ570" s="25"/>
      <c r="QR570" s="25"/>
      <c r="QS570" s="25"/>
      <c r="QT570" s="25"/>
      <c r="QU570" s="25"/>
      <c r="QV570" s="25"/>
      <c r="QW570" s="25"/>
      <c r="QX570" s="25"/>
      <c r="QY570" s="25"/>
      <c r="QZ570" s="25"/>
      <c r="RA570" s="25"/>
      <c r="RB570" s="25"/>
      <c r="RC570" s="25"/>
      <c r="RD570" s="25"/>
      <c r="RE570" s="25"/>
      <c r="RF570" s="25"/>
      <c r="RG570" s="25"/>
      <c r="RH570" s="25"/>
      <c r="RI570" s="25"/>
      <c r="RJ570" s="25"/>
      <c r="RK570" s="25"/>
      <c r="RL570" s="25"/>
      <c r="RM570" s="25"/>
      <c r="RN570" s="25"/>
      <c r="RO570" s="25"/>
      <c r="RP570" s="25"/>
      <c r="RQ570" s="25"/>
      <c r="RR570" s="25"/>
      <c r="RS570" s="25"/>
      <c r="RT570" s="25"/>
      <c r="RU570" s="25"/>
      <c r="RV570" s="25"/>
      <c r="RW570" s="25"/>
      <c r="RX570" s="25"/>
      <c r="RY570" s="25"/>
      <c r="RZ570" s="25"/>
      <c r="SA570" s="25"/>
      <c r="SB570" s="25"/>
      <c r="SC570" s="25"/>
      <c r="SD570" s="25"/>
      <c r="SE570" s="25"/>
      <c r="SF570" s="25"/>
      <c r="SG570" s="25"/>
      <c r="SH570" s="25"/>
      <c r="SI570" s="25"/>
      <c r="SJ570" s="25"/>
      <c r="SK570" s="25"/>
      <c r="SL570" s="25"/>
      <c r="SM570" s="25"/>
      <c r="SN570" s="25"/>
      <c r="SO570" s="25"/>
      <c r="SP570" s="25"/>
      <c r="SQ570" s="25"/>
      <c r="SR570" s="25"/>
      <c r="SS570" s="25"/>
      <c r="ST570" s="25"/>
      <c r="SU570" s="25"/>
      <c r="SV570" s="25"/>
      <c r="SW570" s="25"/>
      <c r="SX570" s="25"/>
      <c r="SY570" s="25"/>
      <c r="SZ570" s="25"/>
      <c r="TA570" s="25"/>
      <c r="TB570" s="25"/>
      <c r="TC570" s="25"/>
      <c r="TD570" s="25"/>
      <c r="TE570" s="25"/>
      <c r="TF570" s="25"/>
      <c r="TG570" s="25"/>
      <c r="TH570" s="25"/>
      <c r="TI570" s="25"/>
      <c r="TJ570" s="25"/>
      <c r="TK570" s="25"/>
      <c r="TL570" s="25"/>
      <c r="TM570" s="25"/>
      <c r="TN570" s="25"/>
      <c r="TO570" s="25"/>
      <c r="TP570" s="25"/>
      <c r="TQ570" s="25"/>
      <c r="TR570" s="25"/>
      <c r="TS570" s="25"/>
      <c r="TT570" s="25"/>
      <c r="TU570" s="25"/>
      <c r="TV570" s="25"/>
      <c r="TW570" s="25"/>
      <c r="TX570" s="25"/>
      <c r="TY570" s="25"/>
      <c r="TZ570" s="25"/>
      <c r="UA570" s="25"/>
      <c r="UB570" s="25"/>
      <c r="UC570" s="25"/>
      <c r="UD570" s="25"/>
      <c r="UE570" s="25"/>
      <c r="UF570" s="25"/>
      <c r="UG570" s="26"/>
    </row>
    <row r="571" spans="1:553" ht="50.25" customHeight="1">
      <c r="A571" s="356" t="s">
        <v>30</v>
      </c>
      <c r="B571" s="385">
        <v>39</v>
      </c>
      <c r="C571" s="1404" t="s">
        <v>399</v>
      </c>
      <c r="D571" s="1389"/>
      <c r="E571" s="1389"/>
      <c r="F571" s="1390"/>
      <c r="G571" s="386" t="s">
        <v>33</v>
      </c>
      <c r="H571" s="370"/>
      <c r="I571" s="417">
        <f>(5.4*2.3*2)+(3*6.3)</f>
        <v>43.739999999999995</v>
      </c>
      <c r="J571" s="368">
        <v>39000</v>
      </c>
      <c r="K571" s="371"/>
      <c r="L571" s="487">
        <f t="shared" si="101"/>
        <v>1705859.9999999998</v>
      </c>
      <c r="M571" s="395"/>
      <c r="N571" s="395"/>
      <c r="O571" s="366"/>
      <c r="P571" s="396"/>
      <c r="Q571" s="473"/>
      <c r="R571" s="1039"/>
      <c r="S571" s="308"/>
      <c r="T571" s="308"/>
      <c r="U571" s="308"/>
      <c r="V571" s="308"/>
      <c r="W571" s="308"/>
      <c r="X571" s="308"/>
      <c r="Y571" s="308"/>
      <c r="Z571" s="604"/>
      <c r="AA571" s="308"/>
      <c r="AB571" s="308"/>
      <c r="AC571" s="449"/>
      <c r="AD571" s="449"/>
      <c r="AE571" s="449"/>
      <c r="AF571" s="449"/>
      <c r="AG571" s="452"/>
      <c r="AH571" s="452"/>
      <c r="AI571" s="452"/>
      <c r="AJ571" s="452"/>
      <c r="AK571" s="452"/>
      <c r="AL571" s="104"/>
      <c r="AM571" s="32"/>
      <c r="AN571" s="32"/>
      <c r="AO571" s="32"/>
      <c r="AP571" s="32"/>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25"/>
      <c r="BN571" s="25"/>
      <c r="BO571" s="25"/>
      <c r="BP571" s="25"/>
      <c r="BQ571" s="25"/>
      <c r="BR571" s="25"/>
      <c r="BS571" s="25"/>
      <c r="BT571" s="25"/>
      <c r="BU571" s="25"/>
      <c r="BV571" s="25"/>
      <c r="BW571" s="25"/>
      <c r="BX571" s="25"/>
      <c r="BY571" s="25"/>
      <c r="BZ571" s="25"/>
      <c r="CA571" s="25"/>
      <c r="CB571" s="25"/>
      <c r="CC571" s="25"/>
      <c r="CD571" s="25"/>
      <c r="CE571" s="25"/>
      <c r="CF571" s="25"/>
      <c r="CG571" s="25"/>
      <c r="CH571" s="25"/>
      <c r="CI571" s="25"/>
      <c r="CJ571" s="25"/>
      <c r="CK571" s="25"/>
      <c r="CL571" s="25"/>
      <c r="CM571" s="25"/>
      <c r="CN571" s="25"/>
      <c r="CO571" s="25"/>
      <c r="CP571" s="25"/>
      <c r="CQ571" s="25"/>
      <c r="CR571" s="25"/>
      <c r="CS571" s="25"/>
      <c r="CT571" s="25"/>
      <c r="CU571" s="25"/>
      <c r="CV571" s="25"/>
      <c r="CW571" s="25"/>
      <c r="CX571" s="25"/>
      <c r="CY571" s="25"/>
      <c r="CZ571" s="25"/>
      <c r="DA571" s="25"/>
      <c r="DB571" s="25"/>
      <c r="DC571" s="25"/>
      <c r="DD571" s="25"/>
      <c r="DE571" s="25"/>
      <c r="DF571" s="25"/>
      <c r="DG571" s="25"/>
      <c r="DH571" s="25"/>
      <c r="DI571" s="25"/>
      <c r="DJ571" s="25"/>
      <c r="DK571" s="25"/>
      <c r="DL571" s="25"/>
      <c r="DM571" s="25"/>
      <c r="DN571" s="25"/>
      <c r="DO571" s="25"/>
      <c r="DP571" s="25"/>
      <c r="DQ571" s="25"/>
      <c r="DR571" s="25"/>
      <c r="DS571" s="25"/>
      <c r="DT571" s="25"/>
      <c r="DU571" s="25"/>
      <c r="DV571" s="25"/>
      <c r="DW571" s="25"/>
      <c r="DX571" s="25"/>
      <c r="DY571" s="25"/>
      <c r="DZ571" s="25"/>
      <c r="EA571" s="25"/>
      <c r="EB571" s="25"/>
      <c r="EC571" s="25"/>
      <c r="ED571" s="25"/>
      <c r="EE571" s="25"/>
      <c r="EF571" s="25"/>
      <c r="EG571" s="25"/>
      <c r="EH571" s="25"/>
      <c r="EI571" s="25"/>
      <c r="EJ571" s="25"/>
      <c r="EK571" s="25"/>
      <c r="EL571" s="25"/>
      <c r="EM571" s="25"/>
      <c r="EN571" s="25"/>
      <c r="EO571" s="25"/>
      <c r="EP571" s="25"/>
      <c r="EQ571" s="25"/>
      <c r="ER571" s="25"/>
      <c r="ES571" s="25"/>
      <c r="ET571" s="25"/>
      <c r="EU571" s="25"/>
      <c r="EV571" s="25"/>
      <c r="EW571" s="25"/>
      <c r="EX571" s="25"/>
      <c r="EY571" s="25"/>
      <c r="EZ571" s="25"/>
      <c r="FA571" s="25"/>
      <c r="FB571" s="25"/>
      <c r="FC571" s="25"/>
      <c r="FD571" s="25"/>
      <c r="FE571" s="25"/>
      <c r="FF571" s="25"/>
      <c r="FG571" s="25"/>
      <c r="FH571" s="25"/>
      <c r="FI571" s="25"/>
      <c r="FJ571" s="25"/>
      <c r="FK571" s="25"/>
      <c r="FL571" s="25"/>
      <c r="FM571" s="25"/>
      <c r="FN571" s="25"/>
      <c r="FO571" s="25"/>
      <c r="FP571" s="25"/>
      <c r="FQ571" s="25"/>
      <c r="FR571" s="25"/>
      <c r="FS571" s="25"/>
      <c r="FT571" s="25"/>
      <c r="FU571" s="25"/>
      <c r="FV571" s="25"/>
      <c r="FW571" s="25"/>
      <c r="FX571" s="25"/>
      <c r="FY571" s="25"/>
      <c r="FZ571" s="25"/>
      <c r="GA571" s="25"/>
      <c r="GB571" s="25"/>
      <c r="GC571" s="25"/>
      <c r="GD571" s="25"/>
      <c r="GE571" s="25"/>
      <c r="GF571" s="25"/>
      <c r="GG571" s="25"/>
      <c r="GH571" s="25"/>
      <c r="GI571" s="25"/>
      <c r="GJ571" s="25"/>
      <c r="GK571" s="25"/>
      <c r="GL571" s="25"/>
      <c r="GM571" s="25"/>
      <c r="GN571" s="25"/>
      <c r="GO571" s="25"/>
      <c r="GP571" s="25"/>
      <c r="GQ571" s="25"/>
      <c r="GR571" s="25"/>
      <c r="GS571" s="25"/>
      <c r="GT571" s="25"/>
      <c r="GU571" s="25"/>
      <c r="GV571" s="25"/>
      <c r="GW571" s="25"/>
      <c r="GX571" s="25"/>
      <c r="GY571" s="25"/>
      <c r="GZ571" s="25"/>
      <c r="HA571" s="25"/>
      <c r="HB571" s="25"/>
      <c r="HC571" s="25"/>
      <c r="HD571" s="25"/>
      <c r="HE571" s="25"/>
      <c r="HF571" s="25"/>
      <c r="HG571" s="25"/>
      <c r="HH571" s="25"/>
      <c r="HI571" s="25"/>
      <c r="HJ571" s="25"/>
      <c r="HK571" s="25"/>
      <c r="HL571" s="25"/>
      <c r="HM571" s="25"/>
      <c r="HN571" s="25"/>
      <c r="HO571" s="25"/>
      <c r="HP571" s="25"/>
      <c r="HQ571" s="25"/>
      <c r="HR571" s="25"/>
      <c r="HS571" s="25"/>
      <c r="HT571" s="25"/>
      <c r="HU571" s="25"/>
      <c r="HV571" s="25"/>
      <c r="HW571" s="25"/>
      <c r="HX571" s="25"/>
      <c r="HY571" s="25"/>
      <c r="HZ571" s="25"/>
      <c r="IA571" s="25"/>
      <c r="IB571" s="25"/>
      <c r="IC571" s="25"/>
      <c r="ID571" s="25"/>
      <c r="IE571" s="25"/>
      <c r="IF571" s="25"/>
      <c r="IG571" s="25"/>
      <c r="IH571" s="25"/>
      <c r="II571" s="25"/>
      <c r="IJ571" s="25"/>
      <c r="IK571" s="25"/>
      <c r="IL571" s="25"/>
      <c r="IM571" s="25"/>
      <c r="IN571" s="25"/>
      <c r="IO571" s="25"/>
      <c r="IP571" s="25"/>
      <c r="IQ571" s="25"/>
      <c r="IR571" s="25"/>
      <c r="IS571" s="25"/>
      <c r="IT571" s="25"/>
      <c r="IU571" s="25"/>
      <c r="IV571" s="25"/>
      <c r="IW571" s="25"/>
      <c r="IX571" s="25"/>
      <c r="IY571" s="25"/>
      <c r="IZ571" s="25"/>
      <c r="JA571" s="25"/>
      <c r="JB571" s="25"/>
      <c r="JC571" s="25"/>
      <c r="JD571" s="25"/>
      <c r="JE571" s="25"/>
      <c r="JF571" s="25"/>
      <c r="JG571" s="25"/>
      <c r="JH571" s="25"/>
      <c r="JI571" s="25"/>
      <c r="JJ571" s="25"/>
      <c r="JK571" s="25"/>
      <c r="JL571" s="25"/>
      <c r="JM571" s="25"/>
      <c r="JN571" s="25"/>
      <c r="JO571" s="25"/>
      <c r="JP571" s="25"/>
      <c r="JQ571" s="25"/>
      <c r="JR571" s="25"/>
      <c r="JS571" s="25"/>
      <c r="JT571" s="25"/>
      <c r="JU571" s="25"/>
      <c r="JV571" s="25"/>
      <c r="JW571" s="25"/>
      <c r="JX571" s="25"/>
      <c r="JY571" s="25"/>
      <c r="JZ571" s="25"/>
      <c r="KA571" s="25"/>
      <c r="KB571" s="25"/>
      <c r="KC571" s="25"/>
      <c r="KD571" s="25"/>
      <c r="KE571" s="25"/>
      <c r="KF571" s="25"/>
      <c r="KG571" s="25"/>
      <c r="KH571" s="25"/>
      <c r="KI571" s="25"/>
      <c r="KJ571" s="25"/>
      <c r="KK571" s="25"/>
      <c r="KL571" s="25"/>
      <c r="KM571" s="25"/>
      <c r="KN571" s="25"/>
      <c r="KO571" s="25"/>
      <c r="KP571" s="25"/>
      <c r="KQ571" s="25"/>
      <c r="KR571" s="25"/>
      <c r="KS571" s="25"/>
      <c r="KT571" s="25"/>
      <c r="KU571" s="25"/>
      <c r="KV571" s="25"/>
      <c r="KW571" s="25"/>
      <c r="KX571" s="25"/>
      <c r="KY571" s="25"/>
      <c r="KZ571" s="25"/>
      <c r="LA571" s="25"/>
      <c r="LB571" s="25"/>
      <c r="LC571" s="25"/>
      <c r="LD571" s="25"/>
      <c r="LE571" s="25"/>
      <c r="LF571" s="25"/>
      <c r="LG571" s="25"/>
      <c r="LH571" s="25"/>
      <c r="LI571" s="25"/>
      <c r="LJ571" s="25"/>
      <c r="LK571" s="25"/>
      <c r="LL571" s="25"/>
      <c r="LM571" s="25"/>
      <c r="LN571" s="25"/>
      <c r="LO571" s="25"/>
      <c r="LP571" s="25"/>
      <c r="LQ571" s="25"/>
      <c r="LR571" s="25"/>
      <c r="LS571" s="25"/>
      <c r="LT571" s="25"/>
      <c r="LU571" s="25"/>
      <c r="LV571" s="25"/>
      <c r="LW571" s="25"/>
      <c r="LX571" s="25"/>
      <c r="LY571" s="25"/>
      <c r="LZ571" s="25"/>
      <c r="MA571" s="25"/>
      <c r="MB571" s="25"/>
      <c r="MC571" s="25"/>
      <c r="MD571" s="25"/>
      <c r="ME571" s="25"/>
      <c r="MF571" s="25"/>
      <c r="MG571" s="25"/>
      <c r="MH571" s="25"/>
      <c r="MI571" s="25"/>
      <c r="MJ571" s="25"/>
      <c r="MK571" s="25"/>
      <c r="ML571" s="25"/>
      <c r="MM571" s="25"/>
      <c r="MN571" s="25"/>
      <c r="MO571" s="25"/>
      <c r="MP571" s="25"/>
      <c r="MQ571" s="25"/>
      <c r="MR571" s="25"/>
      <c r="MS571" s="25"/>
      <c r="MT571" s="25"/>
      <c r="MU571" s="25"/>
      <c r="MV571" s="25"/>
      <c r="MW571" s="25"/>
      <c r="MX571" s="25"/>
      <c r="MY571" s="25"/>
      <c r="MZ571" s="25"/>
      <c r="NA571" s="25"/>
      <c r="NB571" s="25"/>
      <c r="NC571" s="25"/>
      <c r="ND571" s="25"/>
      <c r="NE571" s="25"/>
      <c r="NF571" s="25"/>
      <c r="NG571" s="25"/>
      <c r="NH571" s="25"/>
      <c r="NI571" s="25"/>
      <c r="NJ571" s="25"/>
      <c r="NK571" s="25"/>
      <c r="NL571" s="25"/>
      <c r="NM571" s="25"/>
      <c r="NN571" s="25"/>
      <c r="NO571" s="25"/>
      <c r="NP571" s="25"/>
      <c r="NQ571" s="25"/>
      <c r="NR571" s="25"/>
      <c r="NS571" s="25"/>
      <c r="NT571" s="25"/>
      <c r="NU571" s="25"/>
      <c r="NV571" s="25"/>
      <c r="NW571" s="25"/>
      <c r="NX571" s="25"/>
      <c r="NY571" s="25"/>
      <c r="NZ571" s="25"/>
      <c r="OA571" s="25"/>
      <c r="OB571" s="25"/>
      <c r="OC571" s="25"/>
      <c r="OD571" s="25"/>
      <c r="OE571" s="25"/>
      <c r="OF571" s="25"/>
      <c r="OG571" s="25"/>
      <c r="OH571" s="25"/>
      <c r="OI571" s="25"/>
      <c r="OJ571" s="25"/>
      <c r="OK571" s="25"/>
      <c r="OL571" s="25"/>
      <c r="OM571" s="25"/>
      <c r="ON571" s="25"/>
      <c r="OO571" s="25"/>
      <c r="OP571" s="25"/>
      <c r="OQ571" s="25"/>
      <c r="OR571" s="25"/>
      <c r="OS571" s="25"/>
      <c r="OT571" s="25"/>
      <c r="OU571" s="25"/>
      <c r="OV571" s="25"/>
      <c r="OW571" s="25"/>
      <c r="OX571" s="25"/>
      <c r="OY571" s="25"/>
      <c r="OZ571" s="25"/>
      <c r="PA571" s="25"/>
      <c r="PB571" s="25"/>
      <c r="PC571" s="25"/>
      <c r="PD571" s="25"/>
      <c r="PE571" s="25"/>
      <c r="PF571" s="25"/>
      <c r="PG571" s="25"/>
      <c r="PH571" s="25"/>
      <c r="PI571" s="25"/>
      <c r="PJ571" s="25"/>
      <c r="PK571" s="25"/>
      <c r="PL571" s="25"/>
      <c r="PM571" s="25"/>
      <c r="PN571" s="25"/>
      <c r="PO571" s="25"/>
      <c r="PP571" s="25"/>
      <c r="PQ571" s="25"/>
      <c r="PR571" s="25"/>
      <c r="PS571" s="25"/>
      <c r="PT571" s="25"/>
      <c r="PU571" s="25"/>
      <c r="PV571" s="25"/>
      <c r="PW571" s="25"/>
      <c r="PX571" s="25"/>
      <c r="PY571" s="25"/>
      <c r="PZ571" s="25"/>
      <c r="QA571" s="25"/>
      <c r="QB571" s="25"/>
      <c r="QC571" s="25"/>
      <c r="QD571" s="25"/>
      <c r="QE571" s="25"/>
      <c r="QF571" s="25"/>
      <c r="QG571" s="25"/>
      <c r="QH571" s="25"/>
      <c r="QI571" s="25"/>
      <c r="QJ571" s="25"/>
      <c r="QK571" s="25"/>
      <c r="QL571" s="25"/>
      <c r="QM571" s="25"/>
      <c r="QN571" s="25"/>
      <c r="QO571" s="25"/>
      <c r="QP571" s="25"/>
      <c r="QQ571" s="25"/>
      <c r="QR571" s="25"/>
      <c r="QS571" s="25"/>
      <c r="QT571" s="25"/>
      <c r="QU571" s="25"/>
      <c r="QV571" s="25"/>
      <c r="QW571" s="25"/>
      <c r="QX571" s="25"/>
      <c r="QY571" s="25"/>
      <c r="QZ571" s="25"/>
      <c r="RA571" s="25"/>
      <c r="RB571" s="25"/>
      <c r="RC571" s="25"/>
      <c r="RD571" s="25"/>
      <c r="RE571" s="25"/>
      <c r="RF571" s="25"/>
      <c r="RG571" s="25"/>
      <c r="RH571" s="25"/>
      <c r="RI571" s="25"/>
      <c r="RJ571" s="25"/>
      <c r="RK571" s="25"/>
      <c r="RL571" s="25"/>
      <c r="RM571" s="25"/>
      <c r="RN571" s="25"/>
      <c r="RO571" s="25"/>
      <c r="RP571" s="25"/>
      <c r="RQ571" s="25"/>
      <c r="RR571" s="25"/>
      <c r="RS571" s="25"/>
      <c r="RT571" s="25"/>
      <c r="RU571" s="25"/>
      <c r="RV571" s="25"/>
      <c r="RW571" s="25"/>
      <c r="RX571" s="25"/>
      <c r="RY571" s="25"/>
      <c r="RZ571" s="25"/>
      <c r="SA571" s="25"/>
      <c r="SB571" s="25"/>
      <c r="SC571" s="25"/>
      <c r="SD571" s="25"/>
      <c r="SE571" s="25"/>
      <c r="SF571" s="25"/>
      <c r="SG571" s="25"/>
      <c r="SH571" s="25"/>
      <c r="SI571" s="25"/>
      <c r="SJ571" s="25"/>
      <c r="SK571" s="25"/>
      <c r="SL571" s="25"/>
      <c r="SM571" s="25"/>
      <c r="SN571" s="25"/>
      <c r="SO571" s="25"/>
      <c r="SP571" s="25"/>
      <c r="SQ571" s="25"/>
      <c r="SR571" s="25"/>
      <c r="SS571" s="25"/>
      <c r="ST571" s="25"/>
      <c r="SU571" s="25"/>
      <c r="SV571" s="25"/>
      <c r="SW571" s="25"/>
      <c r="SX571" s="25"/>
      <c r="SY571" s="25"/>
      <c r="SZ571" s="25"/>
      <c r="TA571" s="25"/>
      <c r="TB571" s="25"/>
      <c r="TC571" s="25"/>
      <c r="TD571" s="25"/>
      <c r="TE571" s="25"/>
      <c r="TF571" s="25"/>
      <c r="TG571" s="25"/>
      <c r="TH571" s="25"/>
      <c r="TI571" s="25"/>
      <c r="TJ571" s="25"/>
      <c r="TK571" s="25"/>
      <c r="TL571" s="25"/>
      <c r="TM571" s="25"/>
      <c r="TN571" s="25"/>
      <c r="TO571" s="25"/>
      <c r="TP571" s="25"/>
      <c r="TQ571" s="25"/>
      <c r="TR571" s="25"/>
      <c r="TS571" s="25"/>
      <c r="TT571" s="25"/>
      <c r="TU571" s="25"/>
      <c r="TV571" s="25"/>
      <c r="TW571" s="25"/>
      <c r="TX571" s="25"/>
      <c r="TY571" s="25"/>
      <c r="TZ571" s="25"/>
      <c r="UA571" s="25"/>
      <c r="UB571" s="25"/>
      <c r="UC571" s="25"/>
      <c r="UD571" s="25"/>
      <c r="UE571" s="25"/>
      <c r="UF571" s="25"/>
      <c r="UG571" s="26"/>
    </row>
    <row r="572" spans="1:553" ht="50.25" customHeight="1">
      <c r="A572" s="356" t="s">
        <v>30</v>
      </c>
      <c r="B572" s="385">
        <v>39</v>
      </c>
      <c r="C572" s="1404" t="s">
        <v>400</v>
      </c>
      <c r="D572" s="1389"/>
      <c r="E572" s="1389"/>
      <c r="F572" s="1390"/>
      <c r="G572" s="386" t="s">
        <v>33</v>
      </c>
      <c r="H572" s="370"/>
      <c r="I572" s="417">
        <f>17.5*0.3*2</f>
        <v>10.5</v>
      </c>
      <c r="J572" s="368">
        <v>39000</v>
      </c>
      <c r="K572" s="371"/>
      <c r="L572" s="487">
        <f t="shared" si="101"/>
        <v>409500</v>
      </c>
      <c r="M572" s="395"/>
      <c r="N572" s="395"/>
      <c r="O572" s="366"/>
      <c r="P572" s="396"/>
      <c r="Q572" s="473"/>
      <c r="R572" s="1039"/>
      <c r="S572" s="308"/>
      <c r="T572" s="308"/>
      <c r="U572" s="308"/>
      <c r="V572" s="308"/>
      <c r="W572" s="308"/>
      <c r="X572" s="308"/>
      <c r="Y572" s="308"/>
      <c r="Z572" s="604"/>
      <c r="AA572" s="308"/>
      <c r="AB572" s="308"/>
      <c r="AC572" s="449"/>
      <c r="AD572" s="449"/>
      <c r="AE572" s="449"/>
      <c r="AF572" s="449"/>
      <c r="AG572" s="452"/>
      <c r="AH572" s="452"/>
      <c r="AI572" s="452"/>
      <c r="AJ572" s="452"/>
      <c r="AK572" s="452"/>
      <c r="AL572" s="104"/>
      <c r="AM572" s="32"/>
      <c r="AN572" s="32"/>
      <c r="AO572" s="32"/>
      <c r="AP572" s="32"/>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25"/>
      <c r="BN572" s="25"/>
      <c r="BO572" s="25"/>
      <c r="BP572" s="25"/>
      <c r="BQ572" s="25"/>
      <c r="BR572" s="25"/>
      <c r="BS572" s="25"/>
      <c r="BT572" s="25"/>
      <c r="BU572" s="25"/>
      <c r="BV572" s="25"/>
      <c r="BW572" s="25"/>
      <c r="BX572" s="25"/>
      <c r="BY572" s="25"/>
      <c r="BZ572" s="25"/>
      <c r="CA572" s="25"/>
      <c r="CB572" s="25"/>
      <c r="CC572" s="25"/>
      <c r="CD572" s="25"/>
      <c r="CE572" s="25"/>
      <c r="CF572" s="25"/>
      <c r="CG572" s="25"/>
      <c r="CH572" s="25"/>
      <c r="CI572" s="25"/>
      <c r="CJ572" s="25"/>
      <c r="CK572" s="25"/>
      <c r="CL572" s="25"/>
      <c r="CM572" s="25"/>
      <c r="CN572" s="25"/>
      <c r="CO572" s="25"/>
      <c r="CP572" s="25"/>
      <c r="CQ572" s="25"/>
      <c r="CR572" s="25"/>
      <c r="CS572" s="25"/>
      <c r="CT572" s="25"/>
      <c r="CU572" s="25"/>
      <c r="CV572" s="25"/>
      <c r="CW572" s="25"/>
      <c r="CX572" s="25"/>
      <c r="CY572" s="25"/>
      <c r="CZ572" s="25"/>
      <c r="DA572" s="25"/>
      <c r="DB572" s="25"/>
      <c r="DC572" s="25"/>
      <c r="DD572" s="25"/>
      <c r="DE572" s="25"/>
      <c r="DF572" s="25"/>
      <c r="DG572" s="25"/>
      <c r="DH572" s="25"/>
      <c r="DI572" s="25"/>
      <c r="DJ572" s="25"/>
      <c r="DK572" s="25"/>
      <c r="DL572" s="25"/>
      <c r="DM572" s="25"/>
      <c r="DN572" s="25"/>
      <c r="DO572" s="25"/>
      <c r="DP572" s="25"/>
      <c r="DQ572" s="25"/>
      <c r="DR572" s="25"/>
      <c r="DS572" s="25"/>
      <c r="DT572" s="25"/>
      <c r="DU572" s="25"/>
      <c r="DV572" s="25"/>
      <c r="DW572" s="25"/>
      <c r="DX572" s="25"/>
      <c r="DY572" s="25"/>
      <c r="DZ572" s="25"/>
      <c r="EA572" s="25"/>
      <c r="EB572" s="25"/>
      <c r="EC572" s="25"/>
      <c r="ED572" s="25"/>
      <c r="EE572" s="25"/>
      <c r="EF572" s="25"/>
      <c r="EG572" s="25"/>
      <c r="EH572" s="25"/>
      <c r="EI572" s="25"/>
      <c r="EJ572" s="25"/>
      <c r="EK572" s="25"/>
      <c r="EL572" s="25"/>
      <c r="EM572" s="25"/>
      <c r="EN572" s="25"/>
      <c r="EO572" s="25"/>
      <c r="EP572" s="25"/>
      <c r="EQ572" s="25"/>
      <c r="ER572" s="25"/>
      <c r="ES572" s="25"/>
      <c r="ET572" s="25"/>
      <c r="EU572" s="25"/>
      <c r="EV572" s="25"/>
      <c r="EW572" s="25"/>
      <c r="EX572" s="25"/>
      <c r="EY572" s="25"/>
      <c r="EZ572" s="25"/>
      <c r="FA572" s="25"/>
      <c r="FB572" s="25"/>
      <c r="FC572" s="25"/>
      <c r="FD572" s="25"/>
      <c r="FE572" s="25"/>
      <c r="FF572" s="25"/>
      <c r="FG572" s="25"/>
      <c r="FH572" s="25"/>
      <c r="FI572" s="25"/>
      <c r="FJ572" s="25"/>
      <c r="FK572" s="25"/>
      <c r="FL572" s="25"/>
      <c r="FM572" s="25"/>
      <c r="FN572" s="25"/>
      <c r="FO572" s="25"/>
      <c r="FP572" s="25"/>
      <c r="FQ572" s="25"/>
      <c r="FR572" s="25"/>
      <c r="FS572" s="25"/>
      <c r="FT572" s="25"/>
      <c r="FU572" s="25"/>
      <c r="FV572" s="25"/>
      <c r="FW572" s="25"/>
      <c r="FX572" s="25"/>
      <c r="FY572" s="25"/>
      <c r="FZ572" s="25"/>
      <c r="GA572" s="25"/>
      <c r="GB572" s="25"/>
      <c r="GC572" s="25"/>
      <c r="GD572" s="25"/>
      <c r="GE572" s="25"/>
      <c r="GF572" s="25"/>
      <c r="GG572" s="25"/>
      <c r="GH572" s="25"/>
      <c r="GI572" s="25"/>
      <c r="GJ572" s="25"/>
      <c r="GK572" s="25"/>
      <c r="GL572" s="25"/>
      <c r="GM572" s="25"/>
      <c r="GN572" s="25"/>
      <c r="GO572" s="25"/>
      <c r="GP572" s="25"/>
      <c r="GQ572" s="25"/>
      <c r="GR572" s="25"/>
      <c r="GS572" s="25"/>
      <c r="GT572" s="25"/>
      <c r="GU572" s="25"/>
      <c r="GV572" s="25"/>
      <c r="GW572" s="25"/>
      <c r="GX572" s="25"/>
      <c r="GY572" s="25"/>
      <c r="GZ572" s="25"/>
      <c r="HA572" s="25"/>
      <c r="HB572" s="25"/>
      <c r="HC572" s="25"/>
      <c r="HD572" s="25"/>
      <c r="HE572" s="25"/>
      <c r="HF572" s="25"/>
      <c r="HG572" s="25"/>
      <c r="HH572" s="25"/>
      <c r="HI572" s="25"/>
      <c r="HJ572" s="25"/>
      <c r="HK572" s="25"/>
      <c r="HL572" s="25"/>
      <c r="HM572" s="25"/>
      <c r="HN572" s="25"/>
      <c r="HO572" s="25"/>
      <c r="HP572" s="25"/>
      <c r="HQ572" s="25"/>
      <c r="HR572" s="25"/>
      <c r="HS572" s="25"/>
      <c r="HT572" s="25"/>
      <c r="HU572" s="25"/>
      <c r="HV572" s="25"/>
      <c r="HW572" s="25"/>
      <c r="HX572" s="25"/>
      <c r="HY572" s="25"/>
      <c r="HZ572" s="25"/>
      <c r="IA572" s="25"/>
      <c r="IB572" s="25"/>
      <c r="IC572" s="25"/>
      <c r="ID572" s="25"/>
      <c r="IE572" s="25"/>
      <c r="IF572" s="25"/>
      <c r="IG572" s="25"/>
      <c r="IH572" s="25"/>
      <c r="II572" s="25"/>
      <c r="IJ572" s="25"/>
      <c r="IK572" s="25"/>
      <c r="IL572" s="25"/>
      <c r="IM572" s="25"/>
      <c r="IN572" s="25"/>
      <c r="IO572" s="25"/>
      <c r="IP572" s="25"/>
      <c r="IQ572" s="25"/>
      <c r="IR572" s="25"/>
      <c r="IS572" s="25"/>
      <c r="IT572" s="25"/>
      <c r="IU572" s="25"/>
      <c r="IV572" s="25"/>
      <c r="IW572" s="25"/>
      <c r="IX572" s="25"/>
      <c r="IY572" s="25"/>
      <c r="IZ572" s="25"/>
      <c r="JA572" s="25"/>
      <c r="JB572" s="25"/>
      <c r="JC572" s="25"/>
      <c r="JD572" s="25"/>
      <c r="JE572" s="25"/>
      <c r="JF572" s="25"/>
      <c r="JG572" s="25"/>
      <c r="JH572" s="25"/>
      <c r="JI572" s="25"/>
      <c r="JJ572" s="25"/>
      <c r="JK572" s="25"/>
      <c r="JL572" s="25"/>
      <c r="JM572" s="25"/>
      <c r="JN572" s="25"/>
      <c r="JO572" s="25"/>
      <c r="JP572" s="25"/>
      <c r="JQ572" s="25"/>
      <c r="JR572" s="25"/>
      <c r="JS572" s="25"/>
      <c r="JT572" s="25"/>
      <c r="JU572" s="25"/>
      <c r="JV572" s="25"/>
      <c r="JW572" s="25"/>
      <c r="JX572" s="25"/>
      <c r="JY572" s="25"/>
      <c r="JZ572" s="25"/>
      <c r="KA572" s="25"/>
      <c r="KB572" s="25"/>
      <c r="KC572" s="25"/>
      <c r="KD572" s="25"/>
      <c r="KE572" s="25"/>
      <c r="KF572" s="25"/>
      <c r="KG572" s="25"/>
      <c r="KH572" s="25"/>
      <c r="KI572" s="25"/>
      <c r="KJ572" s="25"/>
      <c r="KK572" s="25"/>
      <c r="KL572" s="25"/>
      <c r="KM572" s="25"/>
      <c r="KN572" s="25"/>
      <c r="KO572" s="25"/>
      <c r="KP572" s="25"/>
      <c r="KQ572" s="25"/>
      <c r="KR572" s="25"/>
      <c r="KS572" s="25"/>
      <c r="KT572" s="25"/>
      <c r="KU572" s="25"/>
      <c r="KV572" s="25"/>
      <c r="KW572" s="25"/>
      <c r="KX572" s="25"/>
      <c r="KY572" s="25"/>
      <c r="KZ572" s="25"/>
      <c r="LA572" s="25"/>
      <c r="LB572" s="25"/>
      <c r="LC572" s="25"/>
      <c r="LD572" s="25"/>
      <c r="LE572" s="25"/>
      <c r="LF572" s="25"/>
      <c r="LG572" s="25"/>
      <c r="LH572" s="25"/>
      <c r="LI572" s="25"/>
      <c r="LJ572" s="25"/>
      <c r="LK572" s="25"/>
      <c r="LL572" s="25"/>
      <c r="LM572" s="25"/>
      <c r="LN572" s="25"/>
      <c r="LO572" s="25"/>
      <c r="LP572" s="25"/>
      <c r="LQ572" s="25"/>
      <c r="LR572" s="25"/>
      <c r="LS572" s="25"/>
      <c r="LT572" s="25"/>
      <c r="LU572" s="25"/>
      <c r="LV572" s="25"/>
      <c r="LW572" s="25"/>
      <c r="LX572" s="25"/>
      <c r="LY572" s="25"/>
      <c r="LZ572" s="25"/>
      <c r="MA572" s="25"/>
      <c r="MB572" s="25"/>
      <c r="MC572" s="25"/>
      <c r="MD572" s="25"/>
      <c r="ME572" s="25"/>
      <c r="MF572" s="25"/>
      <c r="MG572" s="25"/>
      <c r="MH572" s="25"/>
      <c r="MI572" s="25"/>
      <c r="MJ572" s="25"/>
      <c r="MK572" s="25"/>
      <c r="ML572" s="25"/>
      <c r="MM572" s="25"/>
      <c r="MN572" s="25"/>
      <c r="MO572" s="25"/>
      <c r="MP572" s="25"/>
      <c r="MQ572" s="25"/>
      <c r="MR572" s="25"/>
      <c r="MS572" s="25"/>
      <c r="MT572" s="25"/>
      <c r="MU572" s="25"/>
      <c r="MV572" s="25"/>
      <c r="MW572" s="25"/>
      <c r="MX572" s="25"/>
      <c r="MY572" s="25"/>
      <c r="MZ572" s="25"/>
      <c r="NA572" s="25"/>
      <c r="NB572" s="25"/>
      <c r="NC572" s="25"/>
      <c r="ND572" s="25"/>
      <c r="NE572" s="25"/>
      <c r="NF572" s="25"/>
      <c r="NG572" s="25"/>
      <c r="NH572" s="25"/>
      <c r="NI572" s="25"/>
      <c r="NJ572" s="25"/>
      <c r="NK572" s="25"/>
      <c r="NL572" s="25"/>
      <c r="NM572" s="25"/>
      <c r="NN572" s="25"/>
      <c r="NO572" s="25"/>
      <c r="NP572" s="25"/>
      <c r="NQ572" s="25"/>
      <c r="NR572" s="25"/>
      <c r="NS572" s="25"/>
      <c r="NT572" s="25"/>
      <c r="NU572" s="25"/>
      <c r="NV572" s="25"/>
      <c r="NW572" s="25"/>
      <c r="NX572" s="25"/>
      <c r="NY572" s="25"/>
      <c r="NZ572" s="25"/>
      <c r="OA572" s="25"/>
      <c r="OB572" s="25"/>
      <c r="OC572" s="25"/>
      <c r="OD572" s="25"/>
      <c r="OE572" s="25"/>
      <c r="OF572" s="25"/>
      <c r="OG572" s="25"/>
      <c r="OH572" s="25"/>
      <c r="OI572" s="25"/>
      <c r="OJ572" s="25"/>
      <c r="OK572" s="25"/>
      <c r="OL572" s="25"/>
      <c r="OM572" s="25"/>
      <c r="ON572" s="25"/>
      <c r="OO572" s="25"/>
      <c r="OP572" s="25"/>
      <c r="OQ572" s="25"/>
      <c r="OR572" s="25"/>
      <c r="OS572" s="25"/>
      <c r="OT572" s="25"/>
      <c r="OU572" s="25"/>
      <c r="OV572" s="25"/>
      <c r="OW572" s="25"/>
      <c r="OX572" s="25"/>
      <c r="OY572" s="25"/>
      <c r="OZ572" s="25"/>
      <c r="PA572" s="25"/>
      <c r="PB572" s="25"/>
      <c r="PC572" s="25"/>
      <c r="PD572" s="25"/>
      <c r="PE572" s="25"/>
      <c r="PF572" s="25"/>
      <c r="PG572" s="25"/>
      <c r="PH572" s="25"/>
      <c r="PI572" s="25"/>
      <c r="PJ572" s="25"/>
      <c r="PK572" s="25"/>
      <c r="PL572" s="25"/>
      <c r="PM572" s="25"/>
      <c r="PN572" s="25"/>
      <c r="PO572" s="25"/>
      <c r="PP572" s="25"/>
      <c r="PQ572" s="25"/>
      <c r="PR572" s="25"/>
      <c r="PS572" s="25"/>
      <c r="PT572" s="25"/>
      <c r="PU572" s="25"/>
      <c r="PV572" s="25"/>
      <c r="PW572" s="25"/>
      <c r="PX572" s="25"/>
      <c r="PY572" s="25"/>
      <c r="PZ572" s="25"/>
      <c r="QA572" s="25"/>
      <c r="QB572" s="25"/>
      <c r="QC572" s="25"/>
      <c r="QD572" s="25"/>
      <c r="QE572" s="25"/>
      <c r="QF572" s="25"/>
      <c r="QG572" s="25"/>
      <c r="QH572" s="25"/>
      <c r="QI572" s="25"/>
      <c r="QJ572" s="25"/>
      <c r="QK572" s="25"/>
      <c r="QL572" s="25"/>
      <c r="QM572" s="25"/>
      <c r="QN572" s="25"/>
      <c r="QO572" s="25"/>
      <c r="QP572" s="25"/>
      <c r="QQ572" s="25"/>
      <c r="QR572" s="25"/>
      <c r="QS572" s="25"/>
      <c r="QT572" s="25"/>
      <c r="QU572" s="25"/>
      <c r="QV572" s="25"/>
      <c r="QW572" s="25"/>
      <c r="QX572" s="25"/>
      <c r="QY572" s="25"/>
      <c r="QZ572" s="25"/>
      <c r="RA572" s="25"/>
      <c r="RB572" s="25"/>
      <c r="RC572" s="25"/>
      <c r="RD572" s="25"/>
      <c r="RE572" s="25"/>
      <c r="RF572" s="25"/>
      <c r="RG572" s="25"/>
      <c r="RH572" s="25"/>
      <c r="RI572" s="25"/>
      <c r="RJ572" s="25"/>
      <c r="RK572" s="25"/>
      <c r="RL572" s="25"/>
      <c r="RM572" s="25"/>
      <c r="RN572" s="25"/>
      <c r="RO572" s="25"/>
      <c r="RP572" s="25"/>
      <c r="RQ572" s="25"/>
      <c r="RR572" s="25"/>
      <c r="RS572" s="25"/>
      <c r="RT572" s="25"/>
      <c r="RU572" s="25"/>
      <c r="RV572" s="25"/>
      <c r="RW572" s="25"/>
      <c r="RX572" s="25"/>
      <c r="RY572" s="25"/>
      <c r="RZ572" s="25"/>
      <c r="SA572" s="25"/>
      <c r="SB572" s="25"/>
      <c r="SC572" s="25"/>
      <c r="SD572" s="25"/>
      <c r="SE572" s="25"/>
      <c r="SF572" s="25"/>
      <c r="SG572" s="25"/>
      <c r="SH572" s="25"/>
      <c r="SI572" s="25"/>
      <c r="SJ572" s="25"/>
      <c r="SK572" s="25"/>
      <c r="SL572" s="25"/>
      <c r="SM572" s="25"/>
      <c r="SN572" s="25"/>
      <c r="SO572" s="25"/>
      <c r="SP572" s="25"/>
      <c r="SQ572" s="25"/>
      <c r="SR572" s="25"/>
      <c r="SS572" s="25"/>
      <c r="ST572" s="25"/>
      <c r="SU572" s="25"/>
      <c r="SV572" s="25"/>
      <c r="SW572" s="25"/>
      <c r="SX572" s="25"/>
      <c r="SY572" s="25"/>
      <c r="SZ572" s="25"/>
      <c r="TA572" s="25"/>
      <c r="TB572" s="25"/>
      <c r="TC572" s="25"/>
      <c r="TD572" s="25"/>
      <c r="TE572" s="25"/>
      <c r="TF572" s="25"/>
      <c r="TG572" s="25"/>
      <c r="TH572" s="25"/>
      <c r="TI572" s="25"/>
      <c r="TJ572" s="25"/>
      <c r="TK572" s="25"/>
      <c r="TL572" s="25"/>
      <c r="TM572" s="25"/>
      <c r="TN572" s="25"/>
      <c r="TO572" s="25"/>
      <c r="TP572" s="25"/>
      <c r="TQ572" s="25"/>
      <c r="TR572" s="25"/>
      <c r="TS572" s="25"/>
      <c r="TT572" s="25"/>
      <c r="TU572" s="25"/>
      <c r="TV572" s="25"/>
      <c r="TW572" s="25"/>
      <c r="TX572" s="25"/>
      <c r="TY572" s="25"/>
      <c r="TZ572" s="25"/>
      <c r="UA572" s="25"/>
      <c r="UB572" s="25"/>
      <c r="UC572" s="25"/>
      <c r="UD572" s="25"/>
      <c r="UE572" s="25"/>
      <c r="UF572" s="25"/>
      <c r="UG572" s="26"/>
    </row>
    <row r="573" spans="1:553" ht="50.25" customHeight="1">
      <c r="A573" s="356" t="s">
        <v>30</v>
      </c>
      <c r="B573" s="385">
        <v>39</v>
      </c>
      <c r="C573" s="1404" t="s">
        <v>401</v>
      </c>
      <c r="D573" s="1389"/>
      <c r="E573" s="1389"/>
      <c r="F573" s="1390"/>
      <c r="G573" s="386" t="s">
        <v>33</v>
      </c>
      <c r="H573" s="370"/>
      <c r="I573" s="417">
        <f>0.94*6.4*6</f>
        <v>36.096000000000004</v>
      </c>
      <c r="J573" s="368">
        <v>39000</v>
      </c>
      <c r="K573" s="371"/>
      <c r="L573" s="487">
        <f t="shared" si="101"/>
        <v>1407744.0000000002</v>
      </c>
      <c r="M573" s="395"/>
      <c r="N573" s="395"/>
      <c r="O573" s="366"/>
      <c r="P573" s="396"/>
      <c r="Q573" s="473"/>
      <c r="R573" s="1039"/>
      <c r="S573" s="308"/>
      <c r="T573" s="308"/>
      <c r="U573" s="308"/>
      <c r="V573" s="308"/>
      <c r="W573" s="308"/>
      <c r="X573" s="308"/>
      <c r="Y573" s="308"/>
      <c r="Z573" s="604"/>
      <c r="AA573" s="308"/>
      <c r="AB573" s="308"/>
      <c r="AC573" s="449"/>
      <c r="AD573" s="449"/>
      <c r="AE573" s="449"/>
      <c r="AF573" s="449"/>
      <c r="AG573" s="452"/>
      <c r="AH573" s="452"/>
      <c r="AI573" s="452"/>
      <c r="AJ573" s="452"/>
      <c r="AK573" s="452"/>
      <c r="AL573" s="104"/>
      <c r="AM573" s="32"/>
      <c r="AN573" s="32"/>
      <c r="AO573" s="32"/>
      <c r="AP573" s="32"/>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25"/>
      <c r="BN573" s="25"/>
      <c r="BO573" s="25"/>
      <c r="BP573" s="25"/>
      <c r="BQ573" s="25"/>
      <c r="BR573" s="25"/>
      <c r="BS573" s="25"/>
      <c r="BT573" s="25"/>
      <c r="BU573" s="25"/>
      <c r="BV573" s="25"/>
      <c r="BW573" s="25"/>
      <c r="BX573" s="25"/>
      <c r="BY573" s="25"/>
      <c r="BZ573" s="25"/>
      <c r="CA573" s="25"/>
      <c r="CB573" s="25"/>
      <c r="CC573" s="25"/>
      <c r="CD573" s="25"/>
      <c r="CE573" s="25"/>
      <c r="CF573" s="25"/>
      <c r="CG573" s="25"/>
      <c r="CH573" s="25"/>
      <c r="CI573" s="25"/>
      <c r="CJ573" s="25"/>
      <c r="CK573" s="25"/>
      <c r="CL573" s="25"/>
      <c r="CM573" s="25"/>
      <c r="CN573" s="25"/>
      <c r="CO573" s="25"/>
      <c r="CP573" s="25"/>
      <c r="CQ573" s="25"/>
      <c r="CR573" s="25"/>
      <c r="CS573" s="25"/>
      <c r="CT573" s="25"/>
      <c r="CU573" s="25"/>
      <c r="CV573" s="25"/>
      <c r="CW573" s="25"/>
      <c r="CX573" s="25"/>
      <c r="CY573" s="25"/>
      <c r="CZ573" s="25"/>
      <c r="DA573" s="25"/>
      <c r="DB573" s="25"/>
      <c r="DC573" s="25"/>
      <c r="DD573" s="25"/>
      <c r="DE573" s="25"/>
      <c r="DF573" s="25"/>
      <c r="DG573" s="25"/>
      <c r="DH573" s="25"/>
      <c r="DI573" s="25"/>
      <c r="DJ573" s="25"/>
      <c r="DK573" s="25"/>
      <c r="DL573" s="25"/>
      <c r="DM573" s="25"/>
      <c r="DN573" s="25"/>
      <c r="DO573" s="25"/>
      <c r="DP573" s="25"/>
      <c r="DQ573" s="25"/>
      <c r="DR573" s="25"/>
      <c r="DS573" s="25"/>
      <c r="DT573" s="25"/>
      <c r="DU573" s="25"/>
      <c r="DV573" s="25"/>
      <c r="DW573" s="25"/>
      <c r="DX573" s="25"/>
      <c r="DY573" s="25"/>
      <c r="DZ573" s="25"/>
      <c r="EA573" s="25"/>
      <c r="EB573" s="25"/>
      <c r="EC573" s="25"/>
      <c r="ED573" s="25"/>
      <c r="EE573" s="25"/>
      <c r="EF573" s="25"/>
      <c r="EG573" s="25"/>
      <c r="EH573" s="25"/>
      <c r="EI573" s="25"/>
      <c r="EJ573" s="25"/>
      <c r="EK573" s="25"/>
      <c r="EL573" s="25"/>
      <c r="EM573" s="25"/>
      <c r="EN573" s="25"/>
      <c r="EO573" s="25"/>
      <c r="EP573" s="25"/>
      <c r="EQ573" s="25"/>
      <c r="ER573" s="25"/>
      <c r="ES573" s="25"/>
      <c r="ET573" s="25"/>
      <c r="EU573" s="25"/>
      <c r="EV573" s="25"/>
      <c r="EW573" s="25"/>
      <c r="EX573" s="25"/>
      <c r="EY573" s="25"/>
      <c r="EZ573" s="25"/>
      <c r="FA573" s="25"/>
      <c r="FB573" s="25"/>
      <c r="FC573" s="25"/>
      <c r="FD573" s="25"/>
      <c r="FE573" s="25"/>
      <c r="FF573" s="25"/>
      <c r="FG573" s="25"/>
      <c r="FH573" s="25"/>
      <c r="FI573" s="25"/>
      <c r="FJ573" s="25"/>
      <c r="FK573" s="25"/>
      <c r="FL573" s="25"/>
      <c r="FM573" s="25"/>
      <c r="FN573" s="25"/>
      <c r="FO573" s="25"/>
      <c r="FP573" s="25"/>
      <c r="FQ573" s="25"/>
      <c r="FR573" s="25"/>
      <c r="FS573" s="25"/>
      <c r="FT573" s="25"/>
      <c r="FU573" s="25"/>
      <c r="FV573" s="25"/>
      <c r="FW573" s="25"/>
      <c r="FX573" s="25"/>
      <c r="FY573" s="25"/>
      <c r="FZ573" s="25"/>
      <c r="GA573" s="25"/>
      <c r="GB573" s="25"/>
      <c r="GC573" s="25"/>
      <c r="GD573" s="25"/>
      <c r="GE573" s="25"/>
      <c r="GF573" s="25"/>
      <c r="GG573" s="25"/>
      <c r="GH573" s="25"/>
      <c r="GI573" s="25"/>
      <c r="GJ573" s="25"/>
      <c r="GK573" s="25"/>
      <c r="GL573" s="25"/>
      <c r="GM573" s="25"/>
      <c r="GN573" s="25"/>
      <c r="GO573" s="25"/>
      <c r="GP573" s="25"/>
      <c r="GQ573" s="25"/>
      <c r="GR573" s="25"/>
      <c r="GS573" s="25"/>
      <c r="GT573" s="25"/>
      <c r="GU573" s="25"/>
      <c r="GV573" s="25"/>
      <c r="GW573" s="25"/>
      <c r="GX573" s="25"/>
      <c r="GY573" s="25"/>
      <c r="GZ573" s="25"/>
      <c r="HA573" s="25"/>
      <c r="HB573" s="25"/>
      <c r="HC573" s="25"/>
      <c r="HD573" s="25"/>
      <c r="HE573" s="25"/>
      <c r="HF573" s="25"/>
      <c r="HG573" s="25"/>
      <c r="HH573" s="25"/>
      <c r="HI573" s="25"/>
      <c r="HJ573" s="25"/>
      <c r="HK573" s="25"/>
      <c r="HL573" s="25"/>
      <c r="HM573" s="25"/>
      <c r="HN573" s="25"/>
      <c r="HO573" s="25"/>
      <c r="HP573" s="25"/>
      <c r="HQ573" s="25"/>
      <c r="HR573" s="25"/>
      <c r="HS573" s="25"/>
      <c r="HT573" s="25"/>
      <c r="HU573" s="25"/>
      <c r="HV573" s="25"/>
      <c r="HW573" s="25"/>
      <c r="HX573" s="25"/>
      <c r="HY573" s="25"/>
      <c r="HZ573" s="25"/>
      <c r="IA573" s="25"/>
      <c r="IB573" s="25"/>
      <c r="IC573" s="25"/>
      <c r="ID573" s="25"/>
      <c r="IE573" s="25"/>
      <c r="IF573" s="25"/>
      <c r="IG573" s="25"/>
      <c r="IH573" s="25"/>
      <c r="II573" s="25"/>
      <c r="IJ573" s="25"/>
      <c r="IK573" s="25"/>
      <c r="IL573" s="25"/>
      <c r="IM573" s="25"/>
      <c r="IN573" s="25"/>
      <c r="IO573" s="25"/>
      <c r="IP573" s="25"/>
      <c r="IQ573" s="25"/>
      <c r="IR573" s="25"/>
      <c r="IS573" s="25"/>
      <c r="IT573" s="25"/>
      <c r="IU573" s="25"/>
      <c r="IV573" s="25"/>
      <c r="IW573" s="25"/>
      <c r="IX573" s="25"/>
      <c r="IY573" s="25"/>
      <c r="IZ573" s="25"/>
      <c r="JA573" s="25"/>
      <c r="JB573" s="25"/>
      <c r="JC573" s="25"/>
      <c r="JD573" s="25"/>
      <c r="JE573" s="25"/>
      <c r="JF573" s="25"/>
      <c r="JG573" s="25"/>
      <c r="JH573" s="25"/>
      <c r="JI573" s="25"/>
      <c r="JJ573" s="25"/>
      <c r="JK573" s="25"/>
      <c r="JL573" s="25"/>
      <c r="JM573" s="25"/>
      <c r="JN573" s="25"/>
      <c r="JO573" s="25"/>
      <c r="JP573" s="25"/>
      <c r="JQ573" s="25"/>
      <c r="JR573" s="25"/>
      <c r="JS573" s="25"/>
      <c r="JT573" s="25"/>
      <c r="JU573" s="25"/>
      <c r="JV573" s="25"/>
      <c r="JW573" s="25"/>
      <c r="JX573" s="25"/>
      <c r="JY573" s="25"/>
      <c r="JZ573" s="25"/>
      <c r="KA573" s="25"/>
      <c r="KB573" s="25"/>
      <c r="KC573" s="25"/>
      <c r="KD573" s="25"/>
      <c r="KE573" s="25"/>
      <c r="KF573" s="25"/>
      <c r="KG573" s="25"/>
      <c r="KH573" s="25"/>
      <c r="KI573" s="25"/>
      <c r="KJ573" s="25"/>
      <c r="KK573" s="25"/>
      <c r="KL573" s="25"/>
      <c r="KM573" s="25"/>
      <c r="KN573" s="25"/>
      <c r="KO573" s="25"/>
      <c r="KP573" s="25"/>
      <c r="KQ573" s="25"/>
      <c r="KR573" s="25"/>
      <c r="KS573" s="25"/>
      <c r="KT573" s="25"/>
      <c r="KU573" s="25"/>
      <c r="KV573" s="25"/>
      <c r="KW573" s="25"/>
      <c r="KX573" s="25"/>
      <c r="KY573" s="25"/>
      <c r="KZ573" s="25"/>
      <c r="LA573" s="25"/>
      <c r="LB573" s="25"/>
      <c r="LC573" s="25"/>
      <c r="LD573" s="25"/>
      <c r="LE573" s="25"/>
      <c r="LF573" s="25"/>
      <c r="LG573" s="25"/>
      <c r="LH573" s="25"/>
      <c r="LI573" s="25"/>
      <c r="LJ573" s="25"/>
      <c r="LK573" s="25"/>
      <c r="LL573" s="25"/>
      <c r="LM573" s="25"/>
      <c r="LN573" s="25"/>
      <c r="LO573" s="25"/>
      <c r="LP573" s="25"/>
      <c r="LQ573" s="25"/>
      <c r="LR573" s="25"/>
      <c r="LS573" s="25"/>
      <c r="LT573" s="25"/>
      <c r="LU573" s="25"/>
      <c r="LV573" s="25"/>
      <c r="LW573" s="25"/>
      <c r="LX573" s="25"/>
      <c r="LY573" s="25"/>
      <c r="LZ573" s="25"/>
      <c r="MA573" s="25"/>
      <c r="MB573" s="25"/>
      <c r="MC573" s="25"/>
      <c r="MD573" s="25"/>
      <c r="ME573" s="25"/>
      <c r="MF573" s="25"/>
      <c r="MG573" s="25"/>
      <c r="MH573" s="25"/>
      <c r="MI573" s="25"/>
      <c r="MJ573" s="25"/>
      <c r="MK573" s="25"/>
      <c r="ML573" s="25"/>
      <c r="MM573" s="25"/>
      <c r="MN573" s="25"/>
      <c r="MO573" s="25"/>
      <c r="MP573" s="25"/>
      <c r="MQ573" s="25"/>
      <c r="MR573" s="25"/>
      <c r="MS573" s="25"/>
      <c r="MT573" s="25"/>
      <c r="MU573" s="25"/>
      <c r="MV573" s="25"/>
      <c r="MW573" s="25"/>
      <c r="MX573" s="25"/>
      <c r="MY573" s="25"/>
      <c r="MZ573" s="25"/>
      <c r="NA573" s="25"/>
      <c r="NB573" s="25"/>
      <c r="NC573" s="25"/>
      <c r="ND573" s="25"/>
      <c r="NE573" s="25"/>
      <c r="NF573" s="25"/>
      <c r="NG573" s="25"/>
      <c r="NH573" s="25"/>
      <c r="NI573" s="25"/>
      <c r="NJ573" s="25"/>
      <c r="NK573" s="25"/>
      <c r="NL573" s="25"/>
      <c r="NM573" s="25"/>
      <c r="NN573" s="25"/>
      <c r="NO573" s="25"/>
      <c r="NP573" s="25"/>
      <c r="NQ573" s="25"/>
      <c r="NR573" s="25"/>
      <c r="NS573" s="25"/>
      <c r="NT573" s="25"/>
      <c r="NU573" s="25"/>
      <c r="NV573" s="25"/>
      <c r="NW573" s="25"/>
      <c r="NX573" s="25"/>
      <c r="NY573" s="25"/>
      <c r="NZ573" s="25"/>
      <c r="OA573" s="25"/>
      <c r="OB573" s="25"/>
      <c r="OC573" s="25"/>
      <c r="OD573" s="25"/>
      <c r="OE573" s="25"/>
      <c r="OF573" s="25"/>
      <c r="OG573" s="25"/>
      <c r="OH573" s="25"/>
      <c r="OI573" s="25"/>
      <c r="OJ573" s="25"/>
      <c r="OK573" s="25"/>
      <c r="OL573" s="25"/>
      <c r="OM573" s="25"/>
      <c r="ON573" s="25"/>
      <c r="OO573" s="25"/>
      <c r="OP573" s="25"/>
      <c r="OQ573" s="25"/>
      <c r="OR573" s="25"/>
      <c r="OS573" s="25"/>
      <c r="OT573" s="25"/>
      <c r="OU573" s="25"/>
      <c r="OV573" s="25"/>
      <c r="OW573" s="25"/>
      <c r="OX573" s="25"/>
      <c r="OY573" s="25"/>
      <c r="OZ573" s="25"/>
      <c r="PA573" s="25"/>
      <c r="PB573" s="25"/>
      <c r="PC573" s="25"/>
      <c r="PD573" s="25"/>
      <c r="PE573" s="25"/>
      <c r="PF573" s="25"/>
      <c r="PG573" s="25"/>
      <c r="PH573" s="25"/>
      <c r="PI573" s="25"/>
      <c r="PJ573" s="25"/>
      <c r="PK573" s="25"/>
      <c r="PL573" s="25"/>
      <c r="PM573" s="25"/>
      <c r="PN573" s="25"/>
      <c r="PO573" s="25"/>
      <c r="PP573" s="25"/>
      <c r="PQ573" s="25"/>
      <c r="PR573" s="25"/>
      <c r="PS573" s="25"/>
      <c r="PT573" s="25"/>
      <c r="PU573" s="25"/>
      <c r="PV573" s="25"/>
      <c r="PW573" s="25"/>
      <c r="PX573" s="25"/>
      <c r="PY573" s="25"/>
      <c r="PZ573" s="25"/>
      <c r="QA573" s="25"/>
      <c r="QB573" s="25"/>
      <c r="QC573" s="25"/>
      <c r="QD573" s="25"/>
      <c r="QE573" s="25"/>
      <c r="QF573" s="25"/>
      <c r="QG573" s="25"/>
      <c r="QH573" s="25"/>
      <c r="QI573" s="25"/>
      <c r="QJ573" s="25"/>
      <c r="QK573" s="25"/>
      <c r="QL573" s="25"/>
      <c r="QM573" s="25"/>
      <c r="QN573" s="25"/>
      <c r="QO573" s="25"/>
      <c r="QP573" s="25"/>
      <c r="QQ573" s="25"/>
      <c r="QR573" s="25"/>
      <c r="QS573" s="25"/>
      <c r="QT573" s="25"/>
      <c r="QU573" s="25"/>
      <c r="QV573" s="25"/>
      <c r="QW573" s="25"/>
      <c r="QX573" s="25"/>
      <c r="QY573" s="25"/>
      <c r="QZ573" s="25"/>
      <c r="RA573" s="25"/>
      <c r="RB573" s="25"/>
      <c r="RC573" s="25"/>
      <c r="RD573" s="25"/>
      <c r="RE573" s="25"/>
      <c r="RF573" s="25"/>
      <c r="RG573" s="25"/>
      <c r="RH573" s="25"/>
      <c r="RI573" s="25"/>
      <c r="RJ573" s="25"/>
      <c r="RK573" s="25"/>
      <c r="RL573" s="25"/>
      <c r="RM573" s="25"/>
      <c r="RN573" s="25"/>
      <c r="RO573" s="25"/>
      <c r="RP573" s="25"/>
      <c r="RQ573" s="25"/>
      <c r="RR573" s="25"/>
      <c r="RS573" s="25"/>
      <c r="RT573" s="25"/>
      <c r="RU573" s="25"/>
      <c r="RV573" s="25"/>
      <c r="RW573" s="25"/>
      <c r="RX573" s="25"/>
      <c r="RY573" s="25"/>
      <c r="RZ573" s="25"/>
      <c r="SA573" s="25"/>
      <c r="SB573" s="25"/>
      <c r="SC573" s="25"/>
      <c r="SD573" s="25"/>
      <c r="SE573" s="25"/>
      <c r="SF573" s="25"/>
      <c r="SG573" s="25"/>
      <c r="SH573" s="25"/>
      <c r="SI573" s="25"/>
      <c r="SJ573" s="25"/>
      <c r="SK573" s="25"/>
      <c r="SL573" s="25"/>
      <c r="SM573" s="25"/>
      <c r="SN573" s="25"/>
      <c r="SO573" s="25"/>
      <c r="SP573" s="25"/>
      <c r="SQ573" s="25"/>
      <c r="SR573" s="25"/>
      <c r="SS573" s="25"/>
      <c r="ST573" s="25"/>
      <c r="SU573" s="25"/>
      <c r="SV573" s="25"/>
      <c r="SW573" s="25"/>
      <c r="SX573" s="25"/>
      <c r="SY573" s="25"/>
      <c r="SZ573" s="25"/>
      <c r="TA573" s="25"/>
      <c r="TB573" s="25"/>
      <c r="TC573" s="25"/>
      <c r="TD573" s="25"/>
      <c r="TE573" s="25"/>
      <c r="TF573" s="25"/>
      <c r="TG573" s="25"/>
      <c r="TH573" s="25"/>
      <c r="TI573" s="25"/>
      <c r="TJ573" s="25"/>
      <c r="TK573" s="25"/>
      <c r="TL573" s="25"/>
      <c r="TM573" s="25"/>
      <c r="TN573" s="25"/>
      <c r="TO573" s="25"/>
      <c r="TP573" s="25"/>
      <c r="TQ573" s="25"/>
      <c r="TR573" s="25"/>
      <c r="TS573" s="25"/>
      <c r="TT573" s="25"/>
      <c r="TU573" s="25"/>
      <c r="TV573" s="25"/>
      <c r="TW573" s="25"/>
      <c r="TX573" s="25"/>
      <c r="TY573" s="25"/>
      <c r="TZ573" s="25"/>
      <c r="UA573" s="25"/>
      <c r="UB573" s="25"/>
      <c r="UC573" s="25"/>
      <c r="UD573" s="25"/>
      <c r="UE573" s="25"/>
      <c r="UF573" s="25"/>
      <c r="UG573" s="26"/>
    </row>
    <row r="574" spans="1:553" ht="50.25" customHeight="1">
      <c r="A574" s="356" t="s">
        <v>30</v>
      </c>
      <c r="B574" s="385">
        <v>39</v>
      </c>
      <c r="C574" s="1404" t="s">
        <v>402</v>
      </c>
      <c r="D574" s="1389"/>
      <c r="E574" s="1389"/>
      <c r="F574" s="1390"/>
      <c r="G574" s="386" t="s">
        <v>33</v>
      </c>
      <c r="H574" s="370"/>
      <c r="I574" s="417">
        <f>0.94*5.1*16</f>
        <v>76.703999999999994</v>
      </c>
      <c r="J574" s="368">
        <v>39000</v>
      </c>
      <c r="K574" s="371"/>
      <c r="L574" s="487">
        <f t="shared" si="101"/>
        <v>2991455.9999999995</v>
      </c>
      <c r="M574" s="395"/>
      <c r="N574" s="395"/>
      <c r="O574" s="366"/>
      <c r="P574" s="396"/>
      <c r="Q574" s="473"/>
      <c r="R574" s="1039"/>
      <c r="S574" s="308"/>
      <c r="T574" s="308"/>
      <c r="U574" s="308"/>
      <c r="V574" s="308"/>
      <c r="W574" s="308"/>
      <c r="X574" s="308"/>
      <c r="Y574" s="308"/>
      <c r="Z574" s="604"/>
      <c r="AA574" s="308"/>
      <c r="AB574" s="308"/>
      <c r="AC574" s="449"/>
      <c r="AD574" s="449"/>
      <c r="AE574" s="449"/>
      <c r="AF574" s="449"/>
      <c r="AG574" s="452"/>
      <c r="AH574" s="452"/>
      <c r="AI574" s="452"/>
      <c r="AJ574" s="452"/>
      <c r="AK574" s="452"/>
      <c r="AL574" s="104"/>
      <c r="AM574" s="32"/>
      <c r="AN574" s="32"/>
      <c r="AO574" s="32"/>
      <c r="AP574" s="32"/>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25"/>
      <c r="BN574" s="25"/>
      <c r="BO574" s="25"/>
      <c r="BP574" s="25"/>
      <c r="BQ574" s="25"/>
      <c r="BR574" s="25"/>
      <c r="BS574" s="25"/>
      <c r="BT574" s="25"/>
      <c r="BU574" s="25"/>
      <c r="BV574" s="25"/>
      <c r="BW574" s="25"/>
      <c r="BX574" s="25"/>
      <c r="BY574" s="25"/>
      <c r="BZ574" s="25"/>
      <c r="CA574" s="25"/>
      <c r="CB574" s="25"/>
      <c r="CC574" s="25"/>
      <c r="CD574" s="25"/>
      <c r="CE574" s="25"/>
      <c r="CF574" s="25"/>
      <c r="CG574" s="25"/>
      <c r="CH574" s="25"/>
      <c r="CI574" s="25"/>
      <c r="CJ574" s="25"/>
      <c r="CK574" s="25"/>
      <c r="CL574" s="25"/>
      <c r="CM574" s="25"/>
      <c r="CN574" s="25"/>
      <c r="CO574" s="25"/>
      <c r="CP574" s="25"/>
      <c r="CQ574" s="25"/>
      <c r="CR574" s="25"/>
      <c r="CS574" s="25"/>
      <c r="CT574" s="25"/>
      <c r="CU574" s="25"/>
      <c r="CV574" s="25"/>
      <c r="CW574" s="25"/>
      <c r="CX574" s="25"/>
      <c r="CY574" s="25"/>
      <c r="CZ574" s="25"/>
      <c r="DA574" s="25"/>
      <c r="DB574" s="25"/>
      <c r="DC574" s="25"/>
      <c r="DD574" s="25"/>
      <c r="DE574" s="25"/>
      <c r="DF574" s="25"/>
      <c r="DG574" s="25"/>
      <c r="DH574" s="25"/>
      <c r="DI574" s="25"/>
      <c r="DJ574" s="25"/>
      <c r="DK574" s="25"/>
      <c r="DL574" s="25"/>
      <c r="DM574" s="25"/>
      <c r="DN574" s="25"/>
      <c r="DO574" s="25"/>
      <c r="DP574" s="25"/>
      <c r="DQ574" s="25"/>
      <c r="DR574" s="25"/>
      <c r="DS574" s="25"/>
      <c r="DT574" s="25"/>
      <c r="DU574" s="25"/>
      <c r="DV574" s="25"/>
      <c r="DW574" s="25"/>
      <c r="DX574" s="25"/>
      <c r="DY574" s="25"/>
      <c r="DZ574" s="25"/>
      <c r="EA574" s="25"/>
      <c r="EB574" s="25"/>
      <c r="EC574" s="25"/>
      <c r="ED574" s="25"/>
      <c r="EE574" s="25"/>
      <c r="EF574" s="25"/>
      <c r="EG574" s="25"/>
      <c r="EH574" s="25"/>
      <c r="EI574" s="25"/>
      <c r="EJ574" s="25"/>
      <c r="EK574" s="25"/>
      <c r="EL574" s="25"/>
      <c r="EM574" s="25"/>
      <c r="EN574" s="25"/>
      <c r="EO574" s="25"/>
      <c r="EP574" s="25"/>
      <c r="EQ574" s="25"/>
      <c r="ER574" s="25"/>
      <c r="ES574" s="25"/>
      <c r="ET574" s="25"/>
      <c r="EU574" s="25"/>
      <c r="EV574" s="25"/>
      <c r="EW574" s="25"/>
      <c r="EX574" s="25"/>
      <c r="EY574" s="25"/>
      <c r="EZ574" s="25"/>
      <c r="FA574" s="25"/>
      <c r="FB574" s="25"/>
      <c r="FC574" s="25"/>
      <c r="FD574" s="25"/>
      <c r="FE574" s="25"/>
      <c r="FF574" s="25"/>
      <c r="FG574" s="25"/>
      <c r="FH574" s="25"/>
      <c r="FI574" s="25"/>
      <c r="FJ574" s="25"/>
      <c r="FK574" s="25"/>
      <c r="FL574" s="25"/>
      <c r="FM574" s="25"/>
      <c r="FN574" s="25"/>
      <c r="FO574" s="25"/>
      <c r="FP574" s="25"/>
      <c r="FQ574" s="25"/>
      <c r="FR574" s="25"/>
      <c r="FS574" s="25"/>
      <c r="FT574" s="25"/>
      <c r="FU574" s="25"/>
      <c r="FV574" s="25"/>
      <c r="FW574" s="25"/>
      <c r="FX574" s="25"/>
      <c r="FY574" s="25"/>
      <c r="FZ574" s="25"/>
      <c r="GA574" s="25"/>
      <c r="GB574" s="25"/>
      <c r="GC574" s="25"/>
      <c r="GD574" s="25"/>
      <c r="GE574" s="25"/>
      <c r="GF574" s="25"/>
      <c r="GG574" s="25"/>
      <c r="GH574" s="25"/>
      <c r="GI574" s="25"/>
      <c r="GJ574" s="25"/>
      <c r="GK574" s="25"/>
      <c r="GL574" s="25"/>
      <c r="GM574" s="25"/>
      <c r="GN574" s="25"/>
      <c r="GO574" s="25"/>
      <c r="GP574" s="25"/>
      <c r="GQ574" s="25"/>
      <c r="GR574" s="25"/>
      <c r="GS574" s="25"/>
      <c r="GT574" s="25"/>
      <c r="GU574" s="25"/>
      <c r="GV574" s="25"/>
      <c r="GW574" s="25"/>
      <c r="GX574" s="25"/>
      <c r="GY574" s="25"/>
      <c r="GZ574" s="25"/>
      <c r="HA574" s="25"/>
      <c r="HB574" s="25"/>
      <c r="HC574" s="25"/>
      <c r="HD574" s="25"/>
      <c r="HE574" s="25"/>
      <c r="HF574" s="25"/>
      <c r="HG574" s="25"/>
      <c r="HH574" s="25"/>
      <c r="HI574" s="25"/>
      <c r="HJ574" s="25"/>
      <c r="HK574" s="25"/>
      <c r="HL574" s="25"/>
      <c r="HM574" s="25"/>
      <c r="HN574" s="25"/>
      <c r="HO574" s="25"/>
      <c r="HP574" s="25"/>
      <c r="HQ574" s="25"/>
      <c r="HR574" s="25"/>
      <c r="HS574" s="25"/>
      <c r="HT574" s="25"/>
      <c r="HU574" s="25"/>
      <c r="HV574" s="25"/>
      <c r="HW574" s="25"/>
      <c r="HX574" s="25"/>
      <c r="HY574" s="25"/>
      <c r="HZ574" s="25"/>
      <c r="IA574" s="25"/>
      <c r="IB574" s="25"/>
      <c r="IC574" s="25"/>
      <c r="ID574" s="25"/>
      <c r="IE574" s="25"/>
      <c r="IF574" s="25"/>
      <c r="IG574" s="25"/>
      <c r="IH574" s="25"/>
      <c r="II574" s="25"/>
      <c r="IJ574" s="25"/>
      <c r="IK574" s="25"/>
      <c r="IL574" s="25"/>
      <c r="IM574" s="25"/>
      <c r="IN574" s="25"/>
      <c r="IO574" s="25"/>
      <c r="IP574" s="25"/>
      <c r="IQ574" s="25"/>
      <c r="IR574" s="25"/>
      <c r="IS574" s="25"/>
      <c r="IT574" s="25"/>
      <c r="IU574" s="25"/>
      <c r="IV574" s="25"/>
      <c r="IW574" s="25"/>
      <c r="IX574" s="25"/>
      <c r="IY574" s="25"/>
      <c r="IZ574" s="25"/>
      <c r="JA574" s="25"/>
      <c r="JB574" s="25"/>
      <c r="JC574" s="25"/>
      <c r="JD574" s="25"/>
      <c r="JE574" s="25"/>
      <c r="JF574" s="25"/>
      <c r="JG574" s="25"/>
      <c r="JH574" s="25"/>
      <c r="JI574" s="25"/>
      <c r="JJ574" s="25"/>
      <c r="JK574" s="25"/>
      <c r="JL574" s="25"/>
      <c r="JM574" s="25"/>
      <c r="JN574" s="25"/>
      <c r="JO574" s="25"/>
      <c r="JP574" s="25"/>
      <c r="JQ574" s="25"/>
      <c r="JR574" s="25"/>
      <c r="JS574" s="25"/>
      <c r="JT574" s="25"/>
      <c r="JU574" s="25"/>
      <c r="JV574" s="25"/>
      <c r="JW574" s="25"/>
      <c r="JX574" s="25"/>
      <c r="JY574" s="25"/>
      <c r="JZ574" s="25"/>
      <c r="KA574" s="25"/>
      <c r="KB574" s="25"/>
      <c r="KC574" s="25"/>
      <c r="KD574" s="25"/>
      <c r="KE574" s="25"/>
      <c r="KF574" s="25"/>
      <c r="KG574" s="25"/>
      <c r="KH574" s="25"/>
      <c r="KI574" s="25"/>
      <c r="KJ574" s="25"/>
      <c r="KK574" s="25"/>
      <c r="KL574" s="25"/>
      <c r="KM574" s="25"/>
      <c r="KN574" s="25"/>
      <c r="KO574" s="25"/>
      <c r="KP574" s="25"/>
      <c r="KQ574" s="25"/>
      <c r="KR574" s="25"/>
      <c r="KS574" s="25"/>
      <c r="KT574" s="25"/>
      <c r="KU574" s="25"/>
      <c r="KV574" s="25"/>
      <c r="KW574" s="25"/>
      <c r="KX574" s="25"/>
      <c r="KY574" s="25"/>
      <c r="KZ574" s="25"/>
      <c r="LA574" s="25"/>
      <c r="LB574" s="25"/>
      <c r="LC574" s="25"/>
      <c r="LD574" s="25"/>
      <c r="LE574" s="25"/>
      <c r="LF574" s="25"/>
      <c r="LG574" s="25"/>
      <c r="LH574" s="25"/>
      <c r="LI574" s="25"/>
      <c r="LJ574" s="25"/>
      <c r="LK574" s="25"/>
      <c r="LL574" s="25"/>
      <c r="LM574" s="25"/>
      <c r="LN574" s="25"/>
      <c r="LO574" s="25"/>
      <c r="LP574" s="25"/>
      <c r="LQ574" s="25"/>
      <c r="LR574" s="25"/>
      <c r="LS574" s="25"/>
      <c r="LT574" s="25"/>
      <c r="LU574" s="25"/>
      <c r="LV574" s="25"/>
      <c r="LW574" s="25"/>
      <c r="LX574" s="25"/>
      <c r="LY574" s="25"/>
      <c r="LZ574" s="25"/>
      <c r="MA574" s="25"/>
      <c r="MB574" s="25"/>
      <c r="MC574" s="25"/>
      <c r="MD574" s="25"/>
      <c r="ME574" s="25"/>
      <c r="MF574" s="25"/>
      <c r="MG574" s="25"/>
      <c r="MH574" s="25"/>
      <c r="MI574" s="25"/>
      <c r="MJ574" s="25"/>
      <c r="MK574" s="25"/>
      <c r="ML574" s="25"/>
      <c r="MM574" s="25"/>
      <c r="MN574" s="25"/>
      <c r="MO574" s="25"/>
      <c r="MP574" s="25"/>
      <c r="MQ574" s="25"/>
      <c r="MR574" s="25"/>
      <c r="MS574" s="25"/>
      <c r="MT574" s="25"/>
      <c r="MU574" s="25"/>
      <c r="MV574" s="25"/>
      <c r="MW574" s="25"/>
      <c r="MX574" s="25"/>
      <c r="MY574" s="25"/>
      <c r="MZ574" s="25"/>
      <c r="NA574" s="25"/>
      <c r="NB574" s="25"/>
      <c r="NC574" s="25"/>
      <c r="ND574" s="25"/>
      <c r="NE574" s="25"/>
      <c r="NF574" s="25"/>
      <c r="NG574" s="25"/>
      <c r="NH574" s="25"/>
      <c r="NI574" s="25"/>
      <c r="NJ574" s="25"/>
      <c r="NK574" s="25"/>
      <c r="NL574" s="25"/>
      <c r="NM574" s="25"/>
      <c r="NN574" s="25"/>
      <c r="NO574" s="25"/>
      <c r="NP574" s="25"/>
      <c r="NQ574" s="25"/>
      <c r="NR574" s="25"/>
      <c r="NS574" s="25"/>
      <c r="NT574" s="25"/>
      <c r="NU574" s="25"/>
      <c r="NV574" s="25"/>
      <c r="NW574" s="25"/>
      <c r="NX574" s="25"/>
      <c r="NY574" s="25"/>
      <c r="NZ574" s="25"/>
      <c r="OA574" s="25"/>
      <c r="OB574" s="25"/>
      <c r="OC574" s="25"/>
      <c r="OD574" s="25"/>
      <c r="OE574" s="25"/>
      <c r="OF574" s="25"/>
      <c r="OG574" s="25"/>
      <c r="OH574" s="25"/>
      <c r="OI574" s="25"/>
      <c r="OJ574" s="25"/>
      <c r="OK574" s="25"/>
      <c r="OL574" s="25"/>
      <c r="OM574" s="25"/>
      <c r="ON574" s="25"/>
      <c r="OO574" s="25"/>
      <c r="OP574" s="25"/>
      <c r="OQ574" s="25"/>
      <c r="OR574" s="25"/>
      <c r="OS574" s="25"/>
      <c r="OT574" s="25"/>
      <c r="OU574" s="25"/>
      <c r="OV574" s="25"/>
      <c r="OW574" s="25"/>
      <c r="OX574" s="25"/>
      <c r="OY574" s="25"/>
      <c r="OZ574" s="25"/>
      <c r="PA574" s="25"/>
      <c r="PB574" s="25"/>
      <c r="PC574" s="25"/>
      <c r="PD574" s="25"/>
      <c r="PE574" s="25"/>
      <c r="PF574" s="25"/>
      <c r="PG574" s="25"/>
      <c r="PH574" s="25"/>
      <c r="PI574" s="25"/>
      <c r="PJ574" s="25"/>
      <c r="PK574" s="25"/>
      <c r="PL574" s="25"/>
      <c r="PM574" s="25"/>
      <c r="PN574" s="25"/>
      <c r="PO574" s="25"/>
      <c r="PP574" s="25"/>
      <c r="PQ574" s="25"/>
      <c r="PR574" s="25"/>
      <c r="PS574" s="25"/>
      <c r="PT574" s="25"/>
      <c r="PU574" s="25"/>
      <c r="PV574" s="25"/>
      <c r="PW574" s="25"/>
      <c r="PX574" s="25"/>
      <c r="PY574" s="25"/>
      <c r="PZ574" s="25"/>
      <c r="QA574" s="25"/>
      <c r="QB574" s="25"/>
      <c r="QC574" s="25"/>
      <c r="QD574" s="25"/>
      <c r="QE574" s="25"/>
      <c r="QF574" s="25"/>
      <c r="QG574" s="25"/>
      <c r="QH574" s="25"/>
      <c r="QI574" s="25"/>
      <c r="QJ574" s="25"/>
      <c r="QK574" s="25"/>
      <c r="QL574" s="25"/>
      <c r="QM574" s="25"/>
      <c r="QN574" s="25"/>
      <c r="QO574" s="25"/>
      <c r="QP574" s="25"/>
      <c r="QQ574" s="25"/>
      <c r="QR574" s="25"/>
      <c r="QS574" s="25"/>
      <c r="QT574" s="25"/>
      <c r="QU574" s="25"/>
      <c r="QV574" s="25"/>
      <c r="QW574" s="25"/>
      <c r="QX574" s="25"/>
      <c r="QY574" s="25"/>
      <c r="QZ574" s="25"/>
      <c r="RA574" s="25"/>
      <c r="RB574" s="25"/>
      <c r="RC574" s="25"/>
      <c r="RD574" s="25"/>
      <c r="RE574" s="25"/>
      <c r="RF574" s="25"/>
      <c r="RG574" s="25"/>
      <c r="RH574" s="25"/>
      <c r="RI574" s="25"/>
      <c r="RJ574" s="25"/>
      <c r="RK574" s="25"/>
      <c r="RL574" s="25"/>
      <c r="RM574" s="25"/>
      <c r="RN574" s="25"/>
      <c r="RO574" s="25"/>
      <c r="RP574" s="25"/>
      <c r="RQ574" s="25"/>
      <c r="RR574" s="25"/>
      <c r="RS574" s="25"/>
      <c r="RT574" s="25"/>
      <c r="RU574" s="25"/>
      <c r="RV574" s="25"/>
      <c r="RW574" s="25"/>
      <c r="RX574" s="25"/>
      <c r="RY574" s="25"/>
      <c r="RZ574" s="25"/>
      <c r="SA574" s="25"/>
      <c r="SB574" s="25"/>
      <c r="SC574" s="25"/>
      <c r="SD574" s="25"/>
      <c r="SE574" s="25"/>
      <c r="SF574" s="25"/>
      <c r="SG574" s="25"/>
      <c r="SH574" s="25"/>
      <c r="SI574" s="25"/>
      <c r="SJ574" s="25"/>
      <c r="SK574" s="25"/>
      <c r="SL574" s="25"/>
      <c r="SM574" s="25"/>
      <c r="SN574" s="25"/>
      <c r="SO574" s="25"/>
      <c r="SP574" s="25"/>
      <c r="SQ574" s="25"/>
      <c r="SR574" s="25"/>
      <c r="SS574" s="25"/>
      <c r="ST574" s="25"/>
      <c r="SU574" s="25"/>
      <c r="SV574" s="25"/>
      <c r="SW574" s="25"/>
      <c r="SX574" s="25"/>
      <c r="SY574" s="25"/>
      <c r="SZ574" s="25"/>
      <c r="TA574" s="25"/>
      <c r="TB574" s="25"/>
      <c r="TC574" s="25"/>
      <c r="TD574" s="25"/>
      <c r="TE574" s="25"/>
      <c r="TF574" s="25"/>
      <c r="TG574" s="25"/>
      <c r="TH574" s="25"/>
      <c r="TI574" s="25"/>
      <c r="TJ574" s="25"/>
      <c r="TK574" s="25"/>
      <c r="TL574" s="25"/>
      <c r="TM574" s="25"/>
      <c r="TN574" s="25"/>
      <c r="TO574" s="25"/>
      <c r="TP574" s="25"/>
      <c r="TQ574" s="25"/>
      <c r="TR574" s="25"/>
      <c r="TS574" s="25"/>
      <c r="TT574" s="25"/>
      <c r="TU574" s="25"/>
      <c r="TV574" s="25"/>
      <c r="TW574" s="25"/>
      <c r="TX574" s="25"/>
      <c r="TY574" s="25"/>
      <c r="TZ574" s="25"/>
      <c r="UA574" s="25"/>
      <c r="UB574" s="25"/>
      <c r="UC574" s="25"/>
      <c r="UD574" s="25"/>
      <c r="UE574" s="25"/>
      <c r="UF574" s="25"/>
      <c r="UG574" s="26"/>
    </row>
    <row r="575" spans="1:553" ht="50.25" customHeight="1">
      <c r="A575" s="356" t="s">
        <v>30</v>
      </c>
      <c r="B575" s="385">
        <v>39</v>
      </c>
      <c r="C575" s="1404" t="s">
        <v>403</v>
      </c>
      <c r="D575" s="1389"/>
      <c r="E575" s="1389"/>
      <c r="F575" s="1390"/>
      <c r="G575" s="386" t="s">
        <v>33</v>
      </c>
      <c r="H575" s="370"/>
      <c r="I575" s="417">
        <f>0.38*9*8</f>
        <v>27.36</v>
      </c>
      <c r="J575" s="368">
        <v>39000</v>
      </c>
      <c r="K575" s="371"/>
      <c r="L575" s="487">
        <f t="shared" si="101"/>
        <v>1067040</v>
      </c>
      <c r="M575" s="395"/>
      <c r="N575" s="395"/>
      <c r="O575" s="366"/>
      <c r="P575" s="396"/>
      <c r="Q575" s="473"/>
      <c r="R575" s="1039"/>
      <c r="S575" s="308"/>
      <c r="T575" s="308"/>
      <c r="U575" s="308"/>
      <c r="V575" s="308"/>
      <c r="W575" s="308"/>
      <c r="X575" s="308"/>
      <c r="Y575" s="308"/>
      <c r="Z575" s="604"/>
      <c r="AA575" s="308"/>
      <c r="AB575" s="308"/>
      <c r="AC575" s="449"/>
      <c r="AD575" s="449"/>
      <c r="AE575" s="449"/>
      <c r="AF575" s="449"/>
      <c r="AG575" s="452"/>
      <c r="AH575" s="452"/>
      <c r="AI575" s="452"/>
      <c r="AJ575" s="452"/>
      <c r="AK575" s="452"/>
      <c r="AL575" s="104"/>
      <c r="AM575" s="32"/>
      <c r="AN575" s="32"/>
      <c r="AO575" s="32"/>
      <c r="AP575" s="32"/>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25"/>
      <c r="BN575" s="25"/>
      <c r="BO575" s="25"/>
      <c r="BP575" s="25"/>
      <c r="BQ575" s="25"/>
      <c r="BR575" s="25"/>
      <c r="BS575" s="25"/>
      <c r="BT575" s="25"/>
      <c r="BU575" s="25"/>
      <c r="BV575" s="25"/>
      <c r="BW575" s="25"/>
      <c r="BX575" s="25"/>
      <c r="BY575" s="25"/>
      <c r="BZ575" s="25"/>
      <c r="CA575" s="25"/>
      <c r="CB575" s="25"/>
      <c r="CC575" s="25"/>
      <c r="CD575" s="25"/>
      <c r="CE575" s="25"/>
      <c r="CF575" s="25"/>
      <c r="CG575" s="25"/>
      <c r="CH575" s="25"/>
      <c r="CI575" s="25"/>
      <c r="CJ575" s="25"/>
      <c r="CK575" s="25"/>
      <c r="CL575" s="25"/>
      <c r="CM575" s="25"/>
      <c r="CN575" s="25"/>
      <c r="CO575" s="25"/>
      <c r="CP575" s="25"/>
      <c r="CQ575" s="25"/>
      <c r="CR575" s="25"/>
      <c r="CS575" s="25"/>
      <c r="CT575" s="25"/>
      <c r="CU575" s="25"/>
      <c r="CV575" s="25"/>
      <c r="CW575" s="25"/>
      <c r="CX575" s="25"/>
      <c r="CY575" s="25"/>
      <c r="CZ575" s="25"/>
      <c r="DA575" s="25"/>
      <c r="DB575" s="25"/>
      <c r="DC575" s="25"/>
      <c r="DD575" s="25"/>
      <c r="DE575" s="25"/>
      <c r="DF575" s="25"/>
      <c r="DG575" s="25"/>
      <c r="DH575" s="25"/>
      <c r="DI575" s="25"/>
      <c r="DJ575" s="25"/>
      <c r="DK575" s="25"/>
      <c r="DL575" s="25"/>
      <c r="DM575" s="25"/>
      <c r="DN575" s="25"/>
      <c r="DO575" s="25"/>
      <c r="DP575" s="25"/>
      <c r="DQ575" s="25"/>
      <c r="DR575" s="25"/>
      <c r="DS575" s="25"/>
      <c r="DT575" s="25"/>
      <c r="DU575" s="25"/>
      <c r="DV575" s="25"/>
      <c r="DW575" s="25"/>
      <c r="DX575" s="25"/>
      <c r="DY575" s="25"/>
      <c r="DZ575" s="25"/>
      <c r="EA575" s="25"/>
      <c r="EB575" s="25"/>
      <c r="EC575" s="25"/>
      <c r="ED575" s="25"/>
      <c r="EE575" s="25"/>
      <c r="EF575" s="25"/>
      <c r="EG575" s="25"/>
      <c r="EH575" s="25"/>
      <c r="EI575" s="25"/>
      <c r="EJ575" s="25"/>
      <c r="EK575" s="25"/>
      <c r="EL575" s="25"/>
      <c r="EM575" s="25"/>
      <c r="EN575" s="25"/>
      <c r="EO575" s="25"/>
      <c r="EP575" s="25"/>
      <c r="EQ575" s="25"/>
      <c r="ER575" s="25"/>
      <c r="ES575" s="25"/>
      <c r="ET575" s="25"/>
      <c r="EU575" s="25"/>
      <c r="EV575" s="25"/>
      <c r="EW575" s="25"/>
      <c r="EX575" s="25"/>
      <c r="EY575" s="25"/>
      <c r="EZ575" s="25"/>
      <c r="FA575" s="25"/>
      <c r="FB575" s="25"/>
      <c r="FC575" s="25"/>
      <c r="FD575" s="25"/>
      <c r="FE575" s="25"/>
      <c r="FF575" s="25"/>
      <c r="FG575" s="25"/>
      <c r="FH575" s="25"/>
      <c r="FI575" s="25"/>
      <c r="FJ575" s="25"/>
      <c r="FK575" s="25"/>
      <c r="FL575" s="25"/>
      <c r="FM575" s="25"/>
      <c r="FN575" s="25"/>
      <c r="FO575" s="25"/>
      <c r="FP575" s="25"/>
      <c r="FQ575" s="25"/>
      <c r="FR575" s="25"/>
      <c r="FS575" s="25"/>
      <c r="FT575" s="25"/>
      <c r="FU575" s="25"/>
      <c r="FV575" s="25"/>
      <c r="FW575" s="25"/>
      <c r="FX575" s="25"/>
      <c r="FY575" s="25"/>
      <c r="FZ575" s="25"/>
      <c r="GA575" s="25"/>
      <c r="GB575" s="25"/>
      <c r="GC575" s="25"/>
      <c r="GD575" s="25"/>
      <c r="GE575" s="25"/>
      <c r="GF575" s="25"/>
      <c r="GG575" s="25"/>
      <c r="GH575" s="25"/>
      <c r="GI575" s="25"/>
      <c r="GJ575" s="25"/>
      <c r="GK575" s="25"/>
      <c r="GL575" s="25"/>
      <c r="GM575" s="25"/>
      <c r="GN575" s="25"/>
      <c r="GO575" s="25"/>
      <c r="GP575" s="25"/>
      <c r="GQ575" s="25"/>
      <c r="GR575" s="25"/>
      <c r="GS575" s="25"/>
      <c r="GT575" s="25"/>
      <c r="GU575" s="25"/>
      <c r="GV575" s="25"/>
      <c r="GW575" s="25"/>
      <c r="GX575" s="25"/>
      <c r="GY575" s="25"/>
      <c r="GZ575" s="25"/>
      <c r="HA575" s="25"/>
      <c r="HB575" s="25"/>
      <c r="HC575" s="25"/>
      <c r="HD575" s="25"/>
      <c r="HE575" s="25"/>
      <c r="HF575" s="25"/>
      <c r="HG575" s="25"/>
      <c r="HH575" s="25"/>
      <c r="HI575" s="25"/>
      <c r="HJ575" s="25"/>
      <c r="HK575" s="25"/>
      <c r="HL575" s="25"/>
      <c r="HM575" s="25"/>
      <c r="HN575" s="25"/>
      <c r="HO575" s="25"/>
      <c r="HP575" s="25"/>
      <c r="HQ575" s="25"/>
      <c r="HR575" s="25"/>
      <c r="HS575" s="25"/>
      <c r="HT575" s="25"/>
      <c r="HU575" s="25"/>
      <c r="HV575" s="25"/>
      <c r="HW575" s="25"/>
      <c r="HX575" s="25"/>
      <c r="HY575" s="25"/>
      <c r="HZ575" s="25"/>
      <c r="IA575" s="25"/>
      <c r="IB575" s="25"/>
      <c r="IC575" s="25"/>
      <c r="ID575" s="25"/>
      <c r="IE575" s="25"/>
      <c r="IF575" s="25"/>
      <c r="IG575" s="25"/>
      <c r="IH575" s="25"/>
      <c r="II575" s="25"/>
      <c r="IJ575" s="25"/>
      <c r="IK575" s="25"/>
      <c r="IL575" s="25"/>
      <c r="IM575" s="25"/>
      <c r="IN575" s="25"/>
      <c r="IO575" s="25"/>
      <c r="IP575" s="25"/>
      <c r="IQ575" s="25"/>
      <c r="IR575" s="25"/>
      <c r="IS575" s="25"/>
      <c r="IT575" s="25"/>
      <c r="IU575" s="25"/>
      <c r="IV575" s="25"/>
      <c r="IW575" s="25"/>
      <c r="IX575" s="25"/>
      <c r="IY575" s="25"/>
      <c r="IZ575" s="25"/>
      <c r="JA575" s="25"/>
      <c r="JB575" s="25"/>
      <c r="JC575" s="25"/>
      <c r="JD575" s="25"/>
      <c r="JE575" s="25"/>
      <c r="JF575" s="25"/>
      <c r="JG575" s="25"/>
      <c r="JH575" s="25"/>
      <c r="JI575" s="25"/>
      <c r="JJ575" s="25"/>
      <c r="JK575" s="25"/>
      <c r="JL575" s="25"/>
      <c r="JM575" s="25"/>
      <c r="JN575" s="25"/>
      <c r="JO575" s="25"/>
      <c r="JP575" s="25"/>
      <c r="JQ575" s="25"/>
      <c r="JR575" s="25"/>
      <c r="JS575" s="25"/>
      <c r="JT575" s="25"/>
      <c r="JU575" s="25"/>
      <c r="JV575" s="25"/>
      <c r="JW575" s="25"/>
      <c r="JX575" s="25"/>
      <c r="JY575" s="25"/>
      <c r="JZ575" s="25"/>
      <c r="KA575" s="25"/>
      <c r="KB575" s="25"/>
      <c r="KC575" s="25"/>
      <c r="KD575" s="25"/>
      <c r="KE575" s="25"/>
      <c r="KF575" s="25"/>
      <c r="KG575" s="25"/>
      <c r="KH575" s="25"/>
      <c r="KI575" s="25"/>
      <c r="KJ575" s="25"/>
      <c r="KK575" s="25"/>
      <c r="KL575" s="25"/>
      <c r="KM575" s="25"/>
      <c r="KN575" s="25"/>
      <c r="KO575" s="25"/>
      <c r="KP575" s="25"/>
      <c r="KQ575" s="25"/>
      <c r="KR575" s="25"/>
      <c r="KS575" s="25"/>
      <c r="KT575" s="25"/>
      <c r="KU575" s="25"/>
      <c r="KV575" s="25"/>
      <c r="KW575" s="25"/>
      <c r="KX575" s="25"/>
      <c r="KY575" s="25"/>
      <c r="KZ575" s="25"/>
      <c r="LA575" s="25"/>
      <c r="LB575" s="25"/>
      <c r="LC575" s="25"/>
      <c r="LD575" s="25"/>
      <c r="LE575" s="25"/>
      <c r="LF575" s="25"/>
      <c r="LG575" s="25"/>
      <c r="LH575" s="25"/>
      <c r="LI575" s="25"/>
      <c r="LJ575" s="25"/>
      <c r="LK575" s="25"/>
      <c r="LL575" s="25"/>
      <c r="LM575" s="25"/>
      <c r="LN575" s="25"/>
      <c r="LO575" s="25"/>
      <c r="LP575" s="25"/>
      <c r="LQ575" s="25"/>
      <c r="LR575" s="25"/>
      <c r="LS575" s="25"/>
      <c r="LT575" s="25"/>
      <c r="LU575" s="25"/>
      <c r="LV575" s="25"/>
      <c r="LW575" s="25"/>
      <c r="LX575" s="25"/>
      <c r="LY575" s="25"/>
      <c r="LZ575" s="25"/>
      <c r="MA575" s="25"/>
      <c r="MB575" s="25"/>
      <c r="MC575" s="25"/>
      <c r="MD575" s="25"/>
      <c r="ME575" s="25"/>
      <c r="MF575" s="25"/>
      <c r="MG575" s="25"/>
      <c r="MH575" s="25"/>
      <c r="MI575" s="25"/>
      <c r="MJ575" s="25"/>
      <c r="MK575" s="25"/>
      <c r="ML575" s="25"/>
      <c r="MM575" s="25"/>
      <c r="MN575" s="25"/>
      <c r="MO575" s="25"/>
      <c r="MP575" s="25"/>
      <c r="MQ575" s="25"/>
      <c r="MR575" s="25"/>
      <c r="MS575" s="25"/>
      <c r="MT575" s="25"/>
      <c r="MU575" s="25"/>
      <c r="MV575" s="25"/>
      <c r="MW575" s="25"/>
      <c r="MX575" s="25"/>
      <c r="MY575" s="25"/>
      <c r="MZ575" s="25"/>
      <c r="NA575" s="25"/>
      <c r="NB575" s="25"/>
      <c r="NC575" s="25"/>
      <c r="ND575" s="25"/>
      <c r="NE575" s="25"/>
      <c r="NF575" s="25"/>
      <c r="NG575" s="25"/>
      <c r="NH575" s="25"/>
      <c r="NI575" s="25"/>
      <c r="NJ575" s="25"/>
      <c r="NK575" s="25"/>
      <c r="NL575" s="25"/>
      <c r="NM575" s="25"/>
      <c r="NN575" s="25"/>
      <c r="NO575" s="25"/>
      <c r="NP575" s="25"/>
      <c r="NQ575" s="25"/>
      <c r="NR575" s="25"/>
      <c r="NS575" s="25"/>
      <c r="NT575" s="25"/>
      <c r="NU575" s="25"/>
      <c r="NV575" s="25"/>
      <c r="NW575" s="25"/>
      <c r="NX575" s="25"/>
      <c r="NY575" s="25"/>
      <c r="NZ575" s="25"/>
      <c r="OA575" s="25"/>
      <c r="OB575" s="25"/>
      <c r="OC575" s="25"/>
      <c r="OD575" s="25"/>
      <c r="OE575" s="25"/>
      <c r="OF575" s="25"/>
      <c r="OG575" s="25"/>
      <c r="OH575" s="25"/>
      <c r="OI575" s="25"/>
      <c r="OJ575" s="25"/>
      <c r="OK575" s="25"/>
      <c r="OL575" s="25"/>
      <c r="OM575" s="25"/>
      <c r="ON575" s="25"/>
      <c r="OO575" s="25"/>
      <c r="OP575" s="25"/>
      <c r="OQ575" s="25"/>
      <c r="OR575" s="25"/>
      <c r="OS575" s="25"/>
      <c r="OT575" s="25"/>
      <c r="OU575" s="25"/>
      <c r="OV575" s="25"/>
      <c r="OW575" s="25"/>
      <c r="OX575" s="25"/>
      <c r="OY575" s="25"/>
      <c r="OZ575" s="25"/>
      <c r="PA575" s="25"/>
      <c r="PB575" s="25"/>
      <c r="PC575" s="25"/>
      <c r="PD575" s="25"/>
      <c r="PE575" s="25"/>
      <c r="PF575" s="25"/>
      <c r="PG575" s="25"/>
      <c r="PH575" s="25"/>
      <c r="PI575" s="25"/>
      <c r="PJ575" s="25"/>
      <c r="PK575" s="25"/>
      <c r="PL575" s="25"/>
      <c r="PM575" s="25"/>
      <c r="PN575" s="25"/>
      <c r="PO575" s="25"/>
      <c r="PP575" s="25"/>
      <c r="PQ575" s="25"/>
      <c r="PR575" s="25"/>
      <c r="PS575" s="25"/>
      <c r="PT575" s="25"/>
      <c r="PU575" s="25"/>
      <c r="PV575" s="25"/>
      <c r="PW575" s="25"/>
      <c r="PX575" s="25"/>
      <c r="PY575" s="25"/>
      <c r="PZ575" s="25"/>
      <c r="QA575" s="25"/>
      <c r="QB575" s="25"/>
      <c r="QC575" s="25"/>
      <c r="QD575" s="25"/>
      <c r="QE575" s="25"/>
      <c r="QF575" s="25"/>
      <c r="QG575" s="25"/>
      <c r="QH575" s="25"/>
      <c r="QI575" s="25"/>
      <c r="QJ575" s="25"/>
      <c r="QK575" s="25"/>
      <c r="QL575" s="25"/>
      <c r="QM575" s="25"/>
      <c r="QN575" s="25"/>
      <c r="QO575" s="25"/>
      <c r="QP575" s="25"/>
      <c r="QQ575" s="25"/>
      <c r="QR575" s="25"/>
      <c r="QS575" s="25"/>
      <c r="QT575" s="25"/>
      <c r="QU575" s="25"/>
      <c r="QV575" s="25"/>
      <c r="QW575" s="25"/>
      <c r="QX575" s="25"/>
      <c r="QY575" s="25"/>
      <c r="QZ575" s="25"/>
      <c r="RA575" s="25"/>
      <c r="RB575" s="25"/>
      <c r="RC575" s="25"/>
      <c r="RD575" s="25"/>
      <c r="RE575" s="25"/>
      <c r="RF575" s="25"/>
      <c r="RG575" s="25"/>
      <c r="RH575" s="25"/>
      <c r="RI575" s="25"/>
      <c r="RJ575" s="25"/>
      <c r="RK575" s="25"/>
      <c r="RL575" s="25"/>
      <c r="RM575" s="25"/>
      <c r="RN575" s="25"/>
      <c r="RO575" s="25"/>
      <c r="RP575" s="25"/>
      <c r="RQ575" s="25"/>
      <c r="RR575" s="25"/>
      <c r="RS575" s="25"/>
      <c r="RT575" s="25"/>
      <c r="RU575" s="25"/>
      <c r="RV575" s="25"/>
      <c r="RW575" s="25"/>
      <c r="RX575" s="25"/>
      <c r="RY575" s="25"/>
      <c r="RZ575" s="25"/>
      <c r="SA575" s="25"/>
      <c r="SB575" s="25"/>
      <c r="SC575" s="25"/>
      <c r="SD575" s="25"/>
      <c r="SE575" s="25"/>
      <c r="SF575" s="25"/>
      <c r="SG575" s="25"/>
      <c r="SH575" s="25"/>
      <c r="SI575" s="25"/>
      <c r="SJ575" s="25"/>
      <c r="SK575" s="25"/>
      <c r="SL575" s="25"/>
      <c r="SM575" s="25"/>
      <c r="SN575" s="25"/>
      <c r="SO575" s="25"/>
      <c r="SP575" s="25"/>
      <c r="SQ575" s="25"/>
      <c r="SR575" s="25"/>
      <c r="SS575" s="25"/>
      <c r="ST575" s="25"/>
      <c r="SU575" s="25"/>
      <c r="SV575" s="25"/>
      <c r="SW575" s="25"/>
      <c r="SX575" s="25"/>
      <c r="SY575" s="25"/>
      <c r="SZ575" s="25"/>
      <c r="TA575" s="25"/>
      <c r="TB575" s="25"/>
      <c r="TC575" s="25"/>
      <c r="TD575" s="25"/>
      <c r="TE575" s="25"/>
      <c r="TF575" s="25"/>
      <c r="TG575" s="25"/>
      <c r="TH575" s="25"/>
      <c r="TI575" s="25"/>
      <c r="TJ575" s="25"/>
      <c r="TK575" s="25"/>
      <c r="TL575" s="25"/>
      <c r="TM575" s="25"/>
      <c r="TN575" s="25"/>
      <c r="TO575" s="25"/>
      <c r="TP575" s="25"/>
      <c r="TQ575" s="25"/>
      <c r="TR575" s="25"/>
      <c r="TS575" s="25"/>
      <c r="TT575" s="25"/>
      <c r="TU575" s="25"/>
      <c r="TV575" s="25"/>
      <c r="TW575" s="25"/>
      <c r="TX575" s="25"/>
      <c r="TY575" s="25"/>
      <c r="TZ575" s="25"/>
      <c r="UA575" s="25"/>
      <c r="UB575" s="25"/>
      <c r="UC575" s="25"/>
      <c r="UD575" s="25"/>
      <c r="UE575" s="25"/>
      <c r="UF575" s="25"/>
      <c r="UG575" s="26"/>
    </row>
    <row r="576" spans="1:553" ht="50.25" customHeight="1">
      <c r="A576" s="356" t="s">
        <v>30</v>
      </c>
      <c r="B576" s="385">
        <v>39</v>
      </c>
      <c r="C576" s="1404" t="s">
        <v>404</v>
      </c>
      <c r="D576" s="1389"/>
      <c r="E576" s="1389"/>
      <c r="F576" s="1390"/>
      <c r="G576" s="386" t="s">
        <v>33</v>
      </c>
      <c r="H576" s="370"/>
      <c r="I576" s="417">
        <f>0.48*5.2*8</f>
        <v>19.968</v>
      </c>
      <c r="J576" s="368">
        <v>39000</v>
      </c>
      <c r="K576" s="371"/>
      <c r="L576" s="487">
        <f t="shared" si="101"/>
        <v>778752</v>
      </c>
      <c r="M576" s="395"/>
      <c r="N576" s="395"/>
      <c r="O576" s="366"/>
      <c r="P576" s="396"/>
      <c r="Q576" s="473"/>
      <c r="R576" s="1039"/>
      <c r="S576" s="308"/>
      <c r="T576" s="308"/>
      <c r="U576" s="308"/>
      <c r="V576" s="308"/>
      <c r="W576" s="308"/>
      <c r="X576" s="308"/>
      <c r="Y576" s="308"/>
      <c r="Z576" s="604"/>
      <c r="AA576" s="308"/>
      <c r="AB576" s="308"/>
      <c r="AC576" s="449"/>
      <c r="AD576" s="449"/>
      <c r="AE576" s="449"/>
      <c r="AF576" s="449"/>
      <c r="AG576" s="452"/>
      <c r="AH576" s="452"/>
      <c r="AI576" s="452"/>
      <c r="AJ576" s="452"/>
      <c r="AK576" s="452"/>
      <c r="AL576" s="104"/>
      <c r="AM576" s="32"/>
      <c r="AN576" s="32"/>
      <c r="AO576" s="32"/>
      <c r="AP576" s="32"/>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25"/>
      <c r="BN576" s="25"/>
      <c r="BO576" s="25"/>
      <c r="BP576" s="25"/>
      <c r="BQ576" s="25"/>
      <c r="BR576" s="25"/>
      <c r="BS576" s="25"/>
      <c r="BT576" s="25"/>
      <c r="BU576" s="25"/>
      <c r="BV576" s="25"/>
      <c r="BW576" s="25"/>
      <c r="BX576" s="25"/>
      <c r="BY576" s="25"/>
      <c r="BZ576" s="25"/>
      <c r="CA576" s="25"/>
      <c r="CB576" s="25"/>
      <c r="CC576" s="25"/>
      <c r="CD576" s="25"/>
      <c r="CE576" s="25"/>
      <c r="CF576" s="25"/>
      <c r="CG576" s="25"/>
      <c r="CH576" s="25"/>
      <c r="CI576" s="25"/>
      <c r="CJ576" s="25"/>
      <c r="CK576" s="25"/>
      <c r="CL576" s="25"/>
      <c r="CM576" s="25"/>
      <c r="CN576" s="25"/>
      <c r="CO576" s="25"/>
      <c r="CP576" s="25"/>
      <c r="CQ576" s="25"/>
      <c r="CR576" s="25"/>
      <c r="CS576" s="25"/>
      <c r="CT576" s="25"/>
      <c r="CU576" s="25"/>
      <c r="CV576" s="25"/>
      <c r="CW576" s="25"/>
      <c r="CX576" s="25"/>
      <c r="CY576" s="25"/>
      <c r="CZ576" s="25"/>
      <c r="DA576" s="25"/>
      <c r="DB576" s="25"/>
      <c r="DC576" s="25"/>
      <c r="DD576" s="25"/>
      <c r="DE576" s="25"/>
      <c r="DF576" s="25"/>
      <c r="DG576" s="25"/>
      <c r="DH576" s="25"/>
      <c r="DI576" s="25"/>
      <c r="DJ576" s="25"/>
      <c r="DK576" s="25"/>
      <c r="DL576" s="25"/>
      <c r="DM576" s="25"/>
      <c r="DN576" s="25"/>
      <c r="DO576" s="25"/>
      <c r="DP576" s="25"/>
      <c r="DQ576" s="25"/>
      <c r="DR576" s="25"/>
      <c r="DS576" s="25"/>
      <c r="DT576" s="25"/>
      <c r="DU576" s="25"/>
      <c r="DV576" s="25"/>
      <c r="DW576" s="25"/>
      <c r="DX576" s="25"/>
      <c r="DY576" s="25"/>
      <c r="DZ576" s="25"/>
      <c r="EA576" s="25"/>
      <c r="EB576" s="25"/>
      <c r="EC576" s="25"/>
      <c r="ED576" s="25"/>
      <c r="EE576" s="25"/>
      <c r="EF576" s="25"/>
      <c r="EG576" s="25"/>
      <c r="EH576" s="25"/>
      <c r="EI576" s="25"/>
      <c r="EJ576" s="25"/>
      <c r="EK576" s="25"/>
      <c r="EL576" s="25"/>
      <c r="EM576" s="25"/>
      <c r="EN576" s="25"/>
      <c r="EO576" s="25"/>
      <c r="EP576" s="25"/>
      <c r="EQ576" s="25"/>
      <c r="ER576" s="25"/>
      <c r="ES576" s="25"/>
      <c r="ET576" s="25"/>
      <c r="EU576" s="25"/>
      <c r="EV576" s="25"/>
      <c r="EW576" s="25"/>
      <c r="EX576" s="25"/>
      <c r="EY576" s="25"/>
      <c r="EZ576" s="25"/>
      <c r="FA576" s="25"/>
      <c r="FB576" s="25"/>
      <c r="FC576" s="25"/>
      <c r="FD576" s="25"/>
      <c r="FE576" s="25"/>
      <c r="FF576" s="25"/>
      <c r="FG576" s="25"/>
      <c r="FH576" s="25"/>
      <c r="FI576" s="25"/>
      <c r="FJ576" s="25"/>
      <c r="FK576" s="25"/>
      <c r="FL576" s="25"/>
      <c r="FM576" s="25"/>
      <c r="FN576" s="25"/>
      <c r="FO576" s="25"/>
      <c r="FP576" s="25"/>
      <c r="FQ576" s="25"/>
      <c r="FR576" s="25"/>
      <c r="FS576" s="25"/>
      <c r="FT576" s="25"/>
      <c r="FU576" s="25"/>
      <c r="FV576" s="25"/>
      <c r="FW576" s="25"/>
      <c r="FX576" s="25"/>
      <c r="FY576" s="25"/>
      <c r="FZ576" s="25"/>
      <c r="GA576" s="25"/>
      <c r="GB576" s="25"/>
      <c r="GC576" s="25"/>
      <c r="GD576" s="25"/>
      <c r="GE576" s="25"/>
      <c r="GF576" s="25"/>
      <c r="GG576" s="25"/>
      <c r="GH576" s="25"/>
      <c r="GI576" s="25"/>
      <c r="GJ576" s="25"/>
      <c r="GK576" s="25"/>
      <c r="GL576" s="25"/>
      <c r="GM576" s="25"/>
      <c r="GN576" s="25"/>
      <c r="GO576" s="25"/>
      <c r="GP576" s="25"/>
      <c r="GQ576" s="25"/>
      <c r="GR576" s="25"/>
      <c r="GS576" s="25"/>
      <c r="GT576" s="25"/>
      <c r="GU576" s="25"/>
      <c r="GV576" s="25"/>
      <c r="GW576" s="25"/>
      <c r="GX576" s="25"/>
      <c r="GY576" s="25"/>
      <c r="GZ576" s="25"/>
      <c r="HA576" s="25"/>
      <c r="HB576" s="25"/>
      <c r="HC576" s="25"/>
      <c r="HD576" s="25"/>
      <c r="HE576" s="25"/>
      <c r="HF576" s="25"/>
      <c r="HG576" s="25"/>
      <c r="HH576" s="25"/>
      <c r="HI576" s="25"/>
      <c r="HJ576" s="25"/>
      <c r="HK576" s="25"/>
      <c r="HL576" s="25"/>
      <c r="HM576" s="25"/>
      <c r="HN576" s="25"/>
      <c r="HO576" s="25"/>
      <c r="HP576" s="25"/>
      <c r="HQ576" s="25"/>
      <c r="HR576" s="25"/>
      <c r="HS576" s="25"/>
      <c r="HT576" s="25"/>
      <c r="HU576" s="25"/>
      <c r="HV576" s="25"/>
      <c r="HW576" s="25"/>
      <c r="HX576" s="25"/>
      <c r="HY576" s="25"/>
      <c r="HZ576" s="25"/>
      <c r="IA576" s="25"/>
      <c r="IB576" s="25"/>
      <c r="IC576" s="25"/>
      <c r="ID576" s="25"/>
      <c r="IE576" s="25"/>
      <c r="IF576" s="25"/>
      <c r="IG576" s="25"/>
      <c r="IH576" s="25"/>
      <c r="II576" s="25"/>
      <c r="IJ576" s="25"/>
      <c r="IK576" s="25"/>
      <c r="IL576" s="25"/>
      <c r="IM576" s="25"/>
      <c r="IN576" s="25"/>
      <c r="IO576" s="25"/>
      <c r="IP576" s="25"/>
      <c r="IQ576" s="25"/>
      <c r="IR576" s="25"/>
      <c r="IS576" s="25"/>
      <c r="IT576" s="25"/>
      <c r="IU576" s="25"/>
      <c r="IV576" s="25"/>
      <c r="IW576" s="25"/>
      <c r="IX576" s="25"/>
      <c r="IY576" s="25"/>
      <c r="IZ576" s="25"/>
      <c r="JA576" s="25"/>
      <c r="JB576" s="25"/>
      <c r="JC576" s="25"/>
      <c r="JD576" s="25"/>
      <c r="JE576" s="25"/>
      <c r="JF576" s="25"/>
      <c r="JG576" s="25"/>
      <c r="JH576" s="25"/>
      <c r="JI576" s="25"/>
      <c r="JJ576" s="25"/>
      <c r="JK576" s="25"/>
      <c r="JL576" s="25"/>
      <c r="JM576" s="25"/>
      <c r="JN576" s="25"/>
      <c r="JO576" s="25"/>
      <c r="JP576" s="25"/>
      <c r="JQ576" s="25"/>
      <c r="JR576" s="25"/>
      <c r="JS576" s="25"/>
      <c r="JT576" s="25"/>
      <c r="JU576" s="25"/>
      <c r="JV576" s="25"/>
      <c r="JW576" s="25"/>
      <c r="JX576" s="25"/>
      <c r="JY576" s="25"/>
      <c r="JZ576" s="25"/>
      <c r="KA576" s="25"/>
      <c r="KB576" s="25"/>
      <c r="KC576" s="25"/>
      <c r="KD576" s="25"/>
      <c r="KE576" s="25"/>
      <c r="KF576" s="25"/>
      <c r="KG576" s="25"/>
      <c r="KH576" s="25"/>
      <c r="KI576" s="25"/>
      <c r="KJ576" s="25"/>
      <c r="KK576" s="25"/>
      <c r="KL576" s="25"/>
      <c r="KM576" s="25"/>
      <c r="KN576" s="25"/>
      <c r="KO576" s="25"/>
      <c r="KP576" s="25"/>
      <c r="KQ576" s="25"/>
      <c r="KR576" s="25"/>
      <c r="KS576" s="25"/>
      <c r="KT576" s="25"/>
      <c r="KU576" s="25"/>
      <c r="KV576" s="25"/>
      <c r="KW576" s="25"/>
      <c r="KX576" s="25"/>
      <c r="KY576" s="25"/>
      <c r="KZ576" s="25"/>
      <c r="LA576" s="25"/>
      <c r="LB576" s="25"/>
      <c r="LC576" s="25"/>
      <c r="LD576" s="25"/>
      <c r="LE576" s="25"/>
      <c r="LF576" s="25"/>
      <c r="LG576" s="25"/>
      <c r="LH576" s="25"/>
      <c r="LI576" s="25"/>
      <c r="LJ576" s="25"/>
      <c r="LK576" s="25"/>
      <c r="LL576" s="25"/>
      <c r="LM576" s="25"/>
      <c r="LN576" s="25"/>
      <c r="LO576" s="25"/>
      <c r="LP576" s="25"/>
      <c r="LQ576" s="25"/>
      <c r="LR576" s="25"/>
      <c r="LS576" s="25"/>
      <c r="LT576" s="25"/>
      <c r="LU576" s="25"/>
      <c r="LV576" s="25"/>
      <c r="LW576" s="25"/>
      <c r="LX576" s="25"/>
      <c r="LY576" s="25"/>
      <c r="LZ576" s="25"/>
      <c r="MA576" s="25"/>
      <c r="MB576" s="25"/>
      <c r="MC576" s="25"/>
      <c r="MD576" s="25"/>
      <c r="ME576" s="25"/>
      <c r="MF576" s="25"/>
      <c r="MG576" s="25"/>
      <c r="MH576" s="25"/>
      <c r="MI576" s="25"/>
      <c r="MJ576" s="25"/>
      <c r="MK576" s="25"/>
      <c r="ML576" s="25"/>
      <c r="MM576" s="25"/>
      <c r="MN576" s="25"/>
      <c r="MO576" s="25"/>
      <c r="MP576" s="25"/>
      <c r="MQ576" s="25"/>
      <c r="MR576" s="25"/>
      <c r="MS576" s="25"/>
      <c r="MT576" s="25"/>
      <c r="MU576" s="25"/>
      <c r="MV576" s="25"/>
      <c r="MW576" s="25"/>
      <c r="MX576" s="25"/>
      <c r="MY576" s="25"/>
      <c r="MZ576" s="25"/>
      <c r="NA576" s="25"/>
      <c r="NB576" s="25"/>
      <c r="NC576" s="25"/>
      <c r="ND576" s="25"/>
      <c r="NE576" s="25"/>
      <c r="NF576" s="25"/>
      <c r="NG576" s="25"/>
      <c r="NH576" s="25"/>
      <c r="NI576" s="25"/>
      <c r="NJ576" s="25"/>
      <c r="NK576" s="25"/>
      <c r="NL576" s="25"/>
      <c r="NM576" s="25"/>
      <c r="NN576" s="25"/>
      <c r="NO576" s="25"/>
      <c r="NP576" s="25"/>
      <c r="NQ576" s="25"/>
      <c r="NR576" s="25"/>
      <c r="NS576" s="25"/>
      <c r="NT576" s="25"/>
      <c r="NU576" s="25"/>
      <c r="NV576" s="25"/>
      <c r="NW576" s="25"/>
      <c r="NX576" s="25"/>
      <c r="NY576" s="25"/>
      <c r="NZ576" s="25"/>
      <c r="OA576" s="25"/>
      <c r="OB576" s="25"/>
      <c r="OC576" s="25"/>
      <c r="OD576" s="25"/>
      <c r="OE576" s="25"/>
      <c r="OF576" s="25"/>
      <c r="OG576" s="25"/>
      <c r="OH576" s="25"/>
      <c r="OI576" s="25"/>
      <c r="OJ576" s="25"/>
      <c r="OK576" s="25"/>
      <c r="OL576" s="25"/>
      <c r="OM576" s="25"/>
      <c r="ON576" s="25"/>
      <c r="OO576" s="25"/>
      <c r="OP576" s="25"/>
      <c r="OQ576" s="25"/>
      <c r="OR576" s="25"/>
      <c r="OS576" s="25"/>
      <c r="OT576" s="25"/>
      <c r="OU576" s="25"/>
      <c r="OV576" s="25"/>
      <c r="OW576" s="25"/>
      <c r="OX576" s="25"/>
      <c r="OY576" s="25"/>
      <c r="OZ576" s="25"/>
      <c r="PA576" s="25"/>
      <c r="PB576" s="25"/>
      <c r="PC576" s="25"/>
      <c r="PD576" s="25"/>
      <c r="PE576" s="25"/>
      <c r="PF576" s="25"/>
      <c r="PG576" s="25"/>
      <c r="PH576" s="25"/>
      <c r="PI576" s="25"/>
      <c r="PJ576" s="25"/>
      <c r="PK576" s="25"/>
      <c r="PL576" s="25"/>
      <c r="PM576" s="25"/>
      <c r="PN576" s="25"/>
      <c r="PO576" s="25"/>
      <c r="PP576" s="25"/>
      <c r="PQ576" s="25"/>
      <c r="PR576" s="25"/>
      <c r="PS576" s="25"/>
      <c r="PT576" s="25"/>
      <c r="PU576" s="25"/>
      <c r="PV576" s="25"/>
      <c r="PW576" s="25"/>
      <c r="PX576" s="25"/>
      <c r="PY576" s="25"/>
      <c r="PZ576" s="25"/>
      <c r="QA576" s="25"/>
      <c r="QB576" s="25"/>
      <c r="QC576" s="25"/>
      <c r="QD576" s="25"/>
      <c r="QE576" s="25"/>
      <c r="QF576" s="25"/>
      <c r="QG576" s="25"/>
      <c r="QH576" s="25"/>
      <c r="QI576" s="25"/>
      <c r="QJ576" s="25"/>
      <c r="QK576" s="25"/>
      <c r="QL576" s="25"/>
      <c r="QM576" s="25"/>
      <c r="QN576" s="25"/>
      <c r="QO576" s="25"/>
      <c r="QP576" s="25"/>
      <c r="QQ576" s="25"/>
      <c r="QR576" s="25"/>
      <c r="QS576" s="25"/>
      <c r="QT576" s="25"/>
      <c r="QU576" s="25"/>
      <c r="QV576" s="25"/>
      <c r="QW576" s="25"/>
      <c r="QX576" s="25"/>
      <c r="QY576" s="25"/>
      <c r="QZ576" s="25"/>
      <c r="RA576" s="25"/>
      <c r="RB576" s="25"/>
      <c r="RC576" s="25"/>
      <c r="RD576" s="25"/>
      <c r="RE576" s="25"/>
      <c r="RF576" s="25"/>
      <c r="RG576" s="25"/>
      <c r="RH576" s="25"/>
      <c r="RI576" s="25"/>
      <c r="RJ576" s="25"/>
      <c r="RK576" s="25"/>
      <c r="RL576" s="25"/>
      <c r="RM576" s="25"/>
      <c r="RN576" s="25"/>
      <c r="RO576" s="25"/>
      <c r="RP576" s="25"/>
      <c r="RQ576" s="25"/>
      <c r="RR576" s="25"/>
      <c r="RS576" s="25"/>
      <c r="RT576" s="25"/>
      <c r="RU576" s="25"/>
      <c r="RV576" s="25"/>
      <c r="RW576" s="25"/>
      <c r="RX576" s="25"/>
      <c r="RY576" s="25"/>
      <c r="RZ576" s="25"/>
      <c r="SA576" s="25"/>
      <c r="SB576" s="25"/>
      <c r="SC576" s="25"/>
      <c r="SD576" s="25"/>
      <c r="SE576" s="25"/>
      <c r="SF576" s="25"/>
      <c r="SG576" s="25"/>
      <c r="SH576" s="25"/>
      <c r="SI576" s="25"/>
      <c r="SJ576" s="25"/>
      <c r="SK576" s="25"/>
      <c r="SL576" s="25"/>
      <c r="SM576" s="25"/>
      <c r="SN576" s="25"/>
      <c r="SO576" s="25"/>
      <c r="SP576" s="25"/>
      <c r="SQ576" s="25"/>
      <c r="SR576" s="25"/>
      <c r="SS576" s="25"/>
      <c r="ST576" s="25"/>
      <c r="SU576" s="25"/>
      <c r="SV576" s="25"/>
      <c r="SW576" s="25"/>
      <c r="SX576" s="25"/>
      <c r="SY576" s="25"/>
      <c r="SZ576" s="25"/>
      <c r="TA576" s="25"/>
      <c r="TB576" s="25"/>
      <c r="TC576" s="25"/>
      <c r="TD576" s="25"/>
      <c r="TE576" s="25"/>
      <c r="TF576" s="25"/>
      <c r="TG576" s="25"/>
      <c r="TH576" s="25"/>
      <c r="TI576" s="25"/>
      <c r="TJ576" s="25"/>
      <c r="TK576" s="25"/>
      <c r="TL576" s="25"/>
      <c r="TM576" s="25"/>
      <c r="TN576" s="25"/>
      <c r="TO576" s="25"/>
      <c r="TP576" s="25"/>
      <c r="TQ576" s="25"/>
      <c r="TR576" s="25"/>
      <c r="TS576" s="25"/>
      <c r="TT576" s="25"/>
      <c r="TU576" s="25"/>
      <c r="TV576" s="25"/>
      <c r="TW576" s="25"/>
      <c r="TX576" s="25"/>
      <c r="TY576" s="25"/>
      <c r="TZ576" s="25"/>
      <c r="UA576" s="25"/>
      <c r="UB576" s="25"/>
      <c r="UC576" s="25"/>
      <c r="UD576" s="25"/>
      <c r="UE576" s="25"/>
      <c r="UF576" s="25"/>
      <c r="UG576" s="26"/>
    </row>
    <row r="577" spans="1:553" ht="50.25" customHeight="1">
      <c r="A577" s="356" t="s">
        <v>30</v>
      </c>
      <c r="B577" s="385">
        <v>39</v>
      </c>
      <c r="C577" s="1404" t="s">
        <v>405</v>
      </c>
      <c r="D577" s="1389"/>
      <c r="E577" s="1389"/>
      <c r="F577" s="1390"/>
      <c r="G577" s="386" t="s">
        <v>33</v>
      </c>
      <c r="H577" s="370"/>
      <c r="I577" s="417">
        <f>0.38*6.5*2</f>
        <v>4.9400000000000004</v>
      </c>
      <c r="J577" s="368">
        <v>39000</v>
      </c>
      <c r="K577" s="371"/>
      <c r="L577" s="487">
        <f t="shared" si="101"/>
        <v>192660.00000000003</v>
      </c>
      <c r="M577" s="395"/>
      <c r="N577" s="395"/>
      <c r="O577" s="366"/>
      <c r="P577" s="396"/>
      <c r="Q577" s="473"/>
      <c r="R577" s="1039"/>
      <c r="S577" s="308"/>
      <c r="T577" s="308"/>
      <c r="U577" s="308"/>
      <c r="V577" s="308"/>
      <c r="W577" s="308"/>
      <c r="X577" s="308"/>
      <c r="Y577" s="308"/>
      <c r="Z577" s="604"/>
      <c r="AA577" s="308"/>
      <c r="AB577" s="308"/>
      <c r="AC577" s="449"/>
      <c r="AD577" s="449"/>
      <c r="AE577" s="449"/>
      <c r="AF577" s="449"/>
      <c r="AG577" s="452"/>
      <c r="AH577" s="452"/>
      <c r="AI577" s="452"/>
      <c r="AJ577" s="452"/>
      <c r="AK577" s="452"/>
      <c r="AL577" s="104"/>
      <c r="AM577" s="32"/>
      <c r="AN577" s="32"/>
      <c r="AO577" s="32"/>
      <c r="AP577" s="32"/>
      <c r="AQ577" s="31"/>
      <c r="AR577" s="31"/>
      <c r="AS577" s="31"/>
      <c r="AT577" s="31"/>
      <c r="AU577" s="31"/>
      <c r="AV577" s="31"/>
      <c r="AW577" s="31"/>
      <c r="AX577" s="31"/>
      <c r="AY577" s="31"/>
      <c r="AZ577" s="31"/>
      <c r="BA577" s="31"/>
      <c r="BB577" s="31"/>
      <c r="BC577" s="31"/>
      <c r="BD577" s="31"/>
      <c r="BE577" s="31"/>
      <c r="BF577" s="31"/>
      <c r="BG577" s="31"/>
      <c r="BH577" s="31"/>
      <c r="BI577" s="31"/>
      <c r="BJ577" s="31"/>
      <c r="BK577" s="31"/>
      <c r="BL577" s="31"/>
      <c r="BM577" s="25"/>
      <c r="BN577" s="25"/>
      <c r="BO577" s="25"/>
      <c r="BP577" s="25"/>
      <c r="BQ577" s="25"/>
      <c r="BR577" s="25"/>
      <c r="BS577" s="25"/>
      <c r="BT577" s="25"/>
      <c r="BU577" s="25"/>
      <c r="BV577" s="25"/>
      <c r="BW577" s="25"/>
      <c r="BX577" s="25"/>
      <c r="BY577" s="25"/>
      <c r="BZ577" s="25"/>
      <c r="CA577" s="25"/>
      <c r="CB577" s="25"/>
      <c r="CC577" s="25"/>
      <c r="CD577" s="25"/>
      <c r="CE577" s="25"/>
      <c r="CF577" s="25"/>
      <c r="CG577" s="25"/>
      <c r="CH577" s="25"/>
      <c r="CI577" s="25"/>
      <c r="CJ577" s="25"/>
      <c r="CK577" s="25"/>
      <c r="CL577" s="25"/>
      <c r="CM577" s="25"/>
      <c r="CN577" s="25"/>
      <c r="CO577" s="25"/>
      <c r="CP577" s="25"/>
      <c r="CQ577" s="25"/>
      <c r="CR577" s="25"/>
      <c r="CS577" s="25"/>
      <c r="CT577" s="25"/>
      <c r="CU577" s="25"/>
      <c r="CV577" s="25"/>
      <c r="CW577" s="25"/>
      <c r="CX577" s="25"/>
      <c r="CY577" s="25"/>
      <c r="CZ577" s="25"/>
      <c r="DA577" s="25"/>
      <c r="DB577" s="25"/>
      <c r="DC577" s="25"/>
      <c r="DD577" s="25"/>
      <c r="DE577" s="25"/>
      <c r="DF577" s="25"/>
      <c r="DG577" s="25"/>
      <c r="DH577" s="25"/>
      <c r="DI577" s="25"/>
      <c r="DJ577" s="25"/>
      <c r="DK577" s="25"/>
      <c r="DL577" s="25"/>
      <c r="DM577" s="25"/>
      <c r="DN577" s="25"/>
      <c r="DO577" s="25"/>
      <c r="DP577" s="25"/>
      <c r="DQ577" s="25"/>
      <c r="DR577" s="25"/>
      <c r="DS577" s="25"/>
      <c r="DT577" s="25"/>
      <c r="DU577" s="25"/>
      <c r="DV577" s="25"/>
      <c r="DW577" s="25"/>
      <c r="DX577" s="25"/>
      <c r="DY577" s="25"/>
      <c r="DZ577" s="25"/>
      <c r="EA577" s="25"/>
      <c r="EB577" s="25"/>
      <c r="EC577" s="25"/>
      <c r="ED577" s="25"/>
      <c r="EE577" s="25"/>
      <c r="EF577" s="25"/>
      <c r="EG577" s="25"/>
      <c r="EH577" s="25"/>
      <c r="EI577" s="25"/>
      <c r="EJ577" s="25"/>
      <c r="EK577" s="25"/>
      <c r="EL577" s="25"/>
      <c r="EM577" s="25"/>
      <c r="EN577" s="25"/>
      <c r="EO577" s="25"/>
      <c r="EP577" s="25"/>
      <c r="EQ577" s="25"/>
      <c r="ER577" s="25"/>
      <c r="ES577" s="25"/>
      <c r="ET577" s="25"/>
      <c r="EU577" s="25"/>
      <c r="EV577" s="25"/>
      <c r="EW577" s="25"/>
      <c r="EX577" s="25"/>
      <c r="EY577" s="25"/>
      <c r="EZ577" s="25"/>
      <c r="FA577" s="25"/>
      <c r="FB577" s="25"/>
      <c r="FC577" s="25"/>
      <c r="FD577" s="25"/>
      <c r="FE577" s="25"/>
      <c r="FF577" s="25"/>
      <c r="FG577" s="25"/>
      <c r="FH577" s="25"/>
      <c r="FI577" s="25"/>
      <c r="FJ577" s="25"/>
      <c r="FK577" s="25"/>
      <c r="FL577" s="25"/>
      <c r="FM577" s="25"/>
      <c r="FN577" s="25"/>
      <c r="FO577" s="25"/>
      <c r="FP577" s="25"/>
      <c r="FQ577" s="25"/>
      <c r="FR577" s="25"/>
      <c r="FS577" s="25"/>
      <c r="FT577" s="25"/>
      <c r="FU577" s="25"/>
      <c r="FV577" s="25"/>
      <c r="FW577" s="25"/>
      <c r="FX577" s="25"/>
      <c r="FY577" s="25"/>
      <c r="FZ577" s="25"/>
      <c r="GA577" s="25"/>
      <c r="GB577" s="25"/>
      <c r="GC577" s="25"/>
      <c r="GD577" s="25"/>
      <c r="GE577" s="25"/>
      <c r="GF577" s="25"/>
      <c r="GG577" s="25"/>
      <c r="GH577" s="25"/>
      <c r="GI577" s="25"/>
      <c r="GJ577" s="25"/>
      <c r="GK577" s="25"/>
      <c r="GL577" s="25"/>
      <c r="GM577" s="25"/>
      <c r="GN577" s="25"/>
      <c r="GO577" s="25"/>
      <c r="GP577" s="25"/>
      <c r="GQ577" s="25"/>
      <c r="GR577" s="25"/>
      <c r="GS577" s="25"/>
      <c r="GT577" s="25"/>
      <c r="GU577" s="25"/>
      <c r="GV577" s="25"/>
      <c r="GW577" s="25"/>
      <c r="GX577" s="25"/>
      <c r="GY577" s="25"/>
      <c r="GZ577" s="25"/>
      <c r="HA577" s="25"/>
      <c r="HB577" s="25"/>
      <c r="HC577" s="25"/>
      <c r="HD577" s="25"/>
      <c r="HE577" s="25"/>
      <c r="HF577" s="25"/>
      <c r="HG577" s="25"/>
      <c r="HH577" s="25"/>
      <c r="HI577" s="25"/>
      <c r="HJ577" s="25"/>
      <c r="HK577" s="25"/>
      <c r="HL577" s="25"/>
      <c r="HM577" s="25"/>
      <c r="HN577" s="25"/>
      <c r="HO577" s="25"/>
      <c r="HP577" s="25"/>
      <c r="HQ577" s="25"/>
      <c r="HR577" s="25"/>
      <c r="HS577" s="25"/>
      <c r="HT577" s="25"/>
      <c r="HU577" s="25"/>
      <c r="HV577" s="25"/>
      <c r="HW577" s="25"/>
      <c r="HX577" s="25"/>
      <c r="HY577" s="25"/>
      <c r="HZ577" s="25"/>
      <c r="IA577" s="25"/>
      <c r="IB577" s="25"/>
      <c r="IC577" s="25"/>
      <c r="ID577" s="25"/>
      <c r="IE577" s="25"/>
      <c r="IF577" s="25"/>
      <c r="IG577" s="25"/>
      <c r="IH577" s="25"/>
      <c r="II577" s="25"/>
      <c r="IJ577" s="25"/>
      <c r="IK577" s="25"/>
      <c r="IL577" s="25"/>
      <c r="IM577" s="25"/>
      <c r="IN577" s="25"/>
      <c r="IO577" s="25"/>
      <c r="IP577" s="25"/>
      <c r="IQ577" s="25"/>
      <c r="IR577" s="25"/>
      <c r="IS577" s="25"/>
      <c r="IT577" s="25"/>
      <c r="IU577" s="25"/>
      <c r="IV577" s="25"/>
      <c r="IW577" s="25"/>
      <c r="IX577" s="25"/>
      <c r="IY577" s="25"/>
      <c r="IZ577" s="25"/>
      <c r="JA577" s="25"/>
      <c r="JB577" s="25"/>
      <c r="JC577" s="25"/>
      <c r="JD577" s="25"/>
      <c r="JE577" s="25"/>
      <c r="JF577" s="25"/>
      <c r="JG577" s="25"/>
      <c r="JH577" s="25"/>
      <c r="JI577" s="25"/>
      <c r="JJ577" s="25"/>
      <c r="JK577" s="25"/>
      <c r="JL577" s="25"/>
      <c r="JM577" s="25"/>
      <c r="JN577" s="25"/>
      <c r="JO577" s="25"/>
      <c r="JP577" s="25"/>
      <c r="JQ577" s="25"/>
      <c r="JR577" s="25"/>
      <c r="JS577" s="25"/>
      <c r="JT577" s="25"/>
      <c r="JU577" s="25"/>
      <c r="JV577" s="25"/>
      <c r="JW577" s="25"/>
      <c r="JX577" s="25"/>
      <c r="JY577" s="25"/>
      <c r="JZ577" s="25"/>
      <c r="KA577" s="25"/>
      <c r="KB577" s="25"/>
      <c r="KC577" s="25"/>
      <c r="KD577" s="25"/>
      <c r="KE577" s="25"/>
      <c r="KF577" s="25"/>
      <c r="KG577" s="25"/>
      <c r="KH577" s="25"/>
      <c r="KI577" s="25"/>
      <c r="KJ577" s="25"/>
      <c r="KK577" s="25"/>
      <c r="KL577" s="25"/>
      <c r="KM577" s="25"/>
      <c r="KN577" s="25"/>
      <c r="KO577" s="25"/>
      <c r="KP577" s="25"/>
      <c r="KQ577" s="25"/>
      <c r="KR577" s="25"/>
      <c r="KS577" s="25"/>
      <c r="KT577" s="25"/>
      <c r="KU577" s="25"/>
      <c r="KV577" s="25"/>
      <c r="KW577" s="25"/>
      <c r="KX577" s="25"/>
      <c r="KY577" s="25"/>
      <c r="KZ577" s="25"/>
      <c r="LA577" s="25"/>
      <c r="LB577" s="25"/>
      <c r="LC577" s="25"/>
      <c r="LD577" s="25"/>
      <c r="LE577" s="25"/>
      <c r="LF577" s="25"/>
      <c r="LG577" s="25"/>
      <c r="LH577" s="25"/>
      <c r="LI577" s="25"/>
      <c r="LJ577" s="25"/>
      <c r="LK577" s="25"/>
      <c r="LL577" s="25"/>
      <c r="LM577" s="25"/>
      <c r="LN577" s="25"/>
      <c r="LO577" s="25"/>
      <c r="LP577" s="25"/>
      <c r="LQ577" s="25"/>
      <c r="LR577" s="25"/>
      <c r="LS577" s="25"/>
      <c r="LT577" s="25"/>
      <c r="LU577" s="25"/>
      <c r="LV577" s="25"/>
      <c r="LW577" s="25"/>
      <c r="LX577" s="25"/>
      <c r="LY577" s="25"/>
      <c r="LZ577" s="25"/>
      <c r="MA577" s="25"/>
      <c r="MB577" s="25"/>
      <c r="MC577" s="25"/>
      <c r="MD577" s="25"/>
      <c r="ME577" s="25"/>
      <c r="MF577" s="25"/>
      <c r="MG577" s="25"/>
      <c r="MH577" s="25"/>
      <c r="MI577" s="25"/>
      <c r="MJ577" s="25"/>
      <c r="MK577" s="25"/>
      <c r="ML577" s="25"/>
      <c r="MM577" s="25"/>
      <c r="MN577" s="25"/>
      <c r="MO577" s="25"/>
      <c r="MP577" s="25"/>
      <c r="MQ577" s="25"/>
      <c r="MR577" s="25"/>
      <c r="MS577" s="25"/>
      <c r="MT577" s="25"/>
      <c r="MU577" s="25"/>
      <c r="MV577" s="25"/>
      <c r="MW577" s="25"/>
      <c r="MX577" s="25"/>
      <c r="MY577" s="25"/>
      <c r="MZ577" s="25"/>
      <c r="NA577" s="25"/>
      <c r="NB577" s="25"/>
      <c r="NC577" s="25"/>
      <c r="ND577" s="25"/>
      <c r="NE577" s="25"/>
      <c r="NF577" s="25"/>
      <c r="NG577" s="25"/>
      <c r="NH577" s="25"/>
      <c r="NI577" s="25"/>
      <c r="NJ577" s="25"/>
      <c r="NK577" s="25"/>
      <c r="NL577" s="25"/>
      <c r="NM577" s="25"/>
      <c r="NN577" s="25"/>
      <c r="NO577" s="25"/>
      <c r="NP577" s="25"/>
      <c r="NQ577" s="25"/>
      <c r="NR577" s="25"/>
      <c r="NS577" s="25"/>
      <c r="NT577" s="25"/>
      <c r="NU577" s="25"/>
      <c r="NV577" s="25"/>
      <c r="NW577" s="25"/>
      <c r="NX577" s="25"/>
      <c r="NY577" s="25"/>
      <c r="NZ577" s="25"/>
      <c r="OA577" s="25"/>
      <c r="OB577" s="25"/>
      <c r="OC577" s="25"/>
      <c r="OD577" s="25"/>
      <c r="OE577" s="25"/>
      <c r="OF577" s="25"/>
      <c r="OG577" s="25"/>
      <c r="OH577" s="25"/>
      <c r="OI577" s="25"/>
      <c r="OJ577" s="25"/>
      <c r="OK577" s="25"/>
      <c r="OL577" s="25"/>
      <c r="OM577" s="25"/>
      <c r="ON577" s="25"/>
      <c r="OO577" s="25"/>
      <c r="OP577" s="25"/>
      <c r="OQ577" s="25"/>
      <c r="OR577" s="25"/>
      <c r="OS577" s="25"/>
      <c r="OT577" s="25"/>
      <c r="OU577" s="25"/>
      <c r="OV577" s="25"/>
      <c r="OW577" s="25"/>
      <c r="OX577" s="25"/>
      <c r="OY577" s="25"/>
      <c r="OZ577" s="25"/>
      <c r="PA577" s="25"/>
      <c r="PB577" s="25"/>
      <c r="PC577" s="25"/>
      <c r="PD577" s="25"/>
      <c r="PE577" s="25"/>
      <c r="PF577" s="25"/>
      <c r="PG577" s="25"/>
      <c r="PH577" s="25"/>
      <c r="PI577" s="25"/>
      <c r="PJ577" s="25"/>
      <c r="PK577" s="25"/>
      <c r="PL577" s="25"/>
      <c r="PM577" s="25"/>
      <c r="PN577" s="25"/>
      <c r="PO577" s="25"/>
      <c r="PP577" s="25"/>
      <c r="PQ577" s="25"/>
      <c r="PR577" s="25"/>
      <c r="PS577" s="25"/>
      <c r="PT577" s="25"/>
      <c r="PU577" s="25"/>
      <c r="PV577" s="25"/>
      <c r="PW577" s="25"/>
      <c r="PX577" s="25"/>
      <c r="PY577" s="25"/>
      <c r="PZ577" s="25"/>
      <c r="QA577" s="25"/>
      <c r="QB577" s="25"/>
      <c r="QC577" s="25"/>
      <c r="QD577" s="25"/>
      <c r="QE577" s="25"/>
      <c r="QF577" s="25"/>
      <c r="QG577" s="25"/>
      <c r="QH577" s="25"/>
      <c r="QI577" s="25"/>
      <c r="QJ577" s="25"/>
      <c r="QK577" s="25"/>
      <c r="QL577" s="25"/>
      <c r="QM577" s="25"/>
      <c r="QN577" s="25"/>
      <c r="QO577" s="25"/>
      <c r="QP577" s="25"/>
      <c r="QQ577" s="25"/>
      <c r="QR577" s="25"/>
      <c r="QS577" s="25"/>
      <c r="QT577" s="25"/>
      <c r="QU577" s="25"/>
      <c r="QV577" s="25"/>
      <c r="QW577" s="25"/>
      <c r="QX577" s="25"/>
      <c r="QY577" s="25"/>
      <c r="QZ577" s="25"/>
      <c r="RA577" s="25"/>
      <c r="RB577" s="25"/>
      <c r="RC577" s="25"/>
      <c r="RD577" s="25"/>
      <c r="RE577" s="25"/>
      <c r="RF577" s="25"/>
      <c r="RG577" s="25"/>
      <c r="RH577" s="25"/>
      <c r="RI577" s="25"/>
      <c r="RJ577" s="25"/>
      <c r="RK577" s="25"/>
      <c r="RL577" s="25"/>
      <c r="RM577" s="25"/>
      <c r="RN577" s="25"/>
      <c r="RO577" s="25"/>
      <c r="RP577" s="25"/>
      <c r="RQ577" s="25"/>
      <c r="RR577" s="25"/>
      <c r="RS577" s="25"/>
      <c r="RT577" s="25"/>
      <c r="RU577" s="25"/>
      <c r="RV577" s="25"/>
      <c r="RW577" s="25"/>
      <c r="RX577" s="25"/>
      <c r="RY577" s="25"/>
      <c r="RZ577" s="25"/>
      <c r="SA577" s="25"/>
      <c r="SB577" s="25"/>
      <c r="SC577" s="25"/>
      <c r="SD577" s="25"/>
      <c r="SE577" s="25"/>
      <c r="SF577" s="25"/>
      <c r="SG577" s="25"/>
      <c r="SH577" s="25"/>
      <c r="SI577" s="25"/>
      <c r="SJ577" s="25"/>
      <c r="SK577" s="25"/>
      <c r="SL577" s="25"/>
      <c r="SM577" s="25"/>
      <c r="SN577" s="25"/>
      <c r="SO577" s="25"/>
      <c r="SP577" s="25"/>
      <c r="SQ577" s="25"/>
      <c r="SR577" s="25"/>
      <c r="SS577" s="25"/>
      <c r="ST577" s="25"/>
      <c r="SU577" s="25"/>
      <c r="SV577" s="25"/>
      <c r="SW577" s="25"/>
      <c r="SX577" s="25"/>
      <c r="SY577" s="25"/>
      <c r="SZ577" s="25"/>
      <c r="TA577" s="25"/>
      <c r="TB577" s="25"/>
      <c r="TC577" s="25"/>
      <c r="TD577" s="25"/>
      <c r="TE577" s="25"/>
      <c r="TF577" s="25"/>
      <c r="TG577" s="25"/>
      <c r="TH577" s="25"/>
      <c r="TI577" s="25"/>
      <c r="TJ577" s="25"/>
      <c r="TK577" s="25"/>
      <c r="TL577" s="25"/>
      <c r="TM577" s="25"/>
      <c r="TN577" s="25"/>
      <c r="TO577" s="25"/>
      <c r="TP577" s="25"/>
      <c r="TQ577" s="25"/>
      <c r="TR577" s="25"/>
      <c r="TS577" s="25"/>
      <c r="TT577" s="25"/>
      <c r="TU577" s="25"/>
      <c r="TV577" s="25"/>
      <c r="TW577" s="25"/>
      <c r="TX577" s="25"/>
      <c r="TY577" s="25"/>
      <c r="TZ577" s="25"/>
      <c r="UA577" s="25"/>
      <c r="UB577" s="25"/>
      <c r="UC577" s="25"/>
      <c r="UD577" s="25"/>
      <c r="UE577" s="25"/>
      <c r="UF577" s="25"/>
      <c r="UG577" s="26"/>
    </row>
    <row r="578" spans="1:553" ht="50.25" customHeight="1">
      <c r="A578" s="356" t="s">
        <v>30</v>
      </c>
      <c r="B578" s="385">
        <v>39</v>
      </c>
      <c r="C578" s="1404" t="s">
        <v>406</v>
      </c>
      <c r="D578" s="1389"/>
      <c r="E578" s="1389"/>
      <c r="F578" s="1390"/>
      <c r="G578" s="386" t="s">
        <v>33</v>
      </c>
      <c r="H578" s="370"/>
      <c r="I578" s="417">
        <f>0.38*2*6</f>
        <v>4.5600000000000005</v>
      </c>
      <c r="J578" s="368">
        <v>39000</v>
      </c>
      <c r="K578" s="371"/>
      <c r="L578" s="487">
        <f t="shared" si="101"/>
        <v>177840.00000000003</v>
      </c>
      <c r="M578" s="395"/>
      <c r="N578" s="395"/>
      <c r="O578" s="366"/>
      <c r="P578" s="396"/>
      <c r="Q578" s="473"/>
      <c r="R578" s="1039"/>
      <c r="S578" s="308"/>
      <c r="T578" s="308"/>
      <c r="U578" s="308"/>
      <c r="V578" s="308"/>
      <c r="W578" s="308"/>
      <c r="X578" s="308"/>
      <c r="Y578" s="308"/>
      <c r="Z578" s="604"/>
      <c r="AA578" s="308"/>
      <c r="AB578" s="308"/>
      <c r="AC578" s="449"/>
      <c r="AD578" s="449"/>
      <c r="AE578" s="449"/>
      <c r="AF578" s="449"/>
      <c r="AG578" s="452"/>
      <c r="AH578" s="452"/>
      <c r="AI578" s="452"/>
      <c r="AJ578" s="452"/>
      <c r="AK578" s="452"/>
      <c r="AL578" s="104"/>
      <c r="AM578" s="32"/>
      <c r="AN578" s="32"/>
      <c r="AO578" s="32"/>
      <c r="AP578" s="32"/>
      <c r="AQ578" s="31"/>
      <c r="AR578" s="31"/>
      <c r="AS578" s="31"/>
      <c r="AT578" s="31"/>
      <c r="AU578" s="31"/>
      <c r="AV578" s="31"/>
      <c r="AW578" s="31"/>
      <c r="AX578" s="31"/>
      <c r="AY578" s="31"/>
      <c r="AZ578" s="31"/>
      <c r="BA578" s="31"/>
      <c r="BB578" s="31"/>
      <c r="BC578" s="31"/>
      <c r="BD578" s="31"/>
      <c r="BE578" s="31"/>
      <c r="BF578" s="31"/>
      <c r="BG578" s="31"/>
      <c r="BH578" s="31"/>
      <c r="BI578" s="31"/>
      <c r="BJ578" s="31"/>
      <c r="BK578" s="31"/>
      <c r="BL578" s="31"/>
      <c r="BM578" s="25"/>
      <c r="BN578" s="25"/>
      <c r="BO578" s="25"/>
      <c r="BP578" s="25"/>
      <c r="BQ578" s="25"/>
      <c r="BR578" s="25"/>
      <c r="BS578" s="25"/>
      <c r="BT578" s="25"/>
      <c r="BU578" s="25"/>
      <c r="BV578" s="25"/>
      <c r="BW578" s="25"/>
      <c r="BX578" s="25"/>
      <c r="BY578" s="25"/>
      <c r="BZ578" s="25"/>
      <c r="CA578" s="25"/>
      <c r="CB578" s="25"/>
      <c r="CC578" s="25"/>
      <c r="CD578" s="25"/>
      <c r="CE578" s="25"/>
      <c r="CF578" s="25"/>
      <c r="CG578" s="25"/>
      <c r="CH578" s="25"/>
      <c r="CI578" s="25"/>
      <c r="CJ578" s="25"/>
      <c r="CK578" s="25"/>
      <c r="CL578" s="25"/>
      <c r="CM578" s="25"/>
      <c r="CN578" s="25"/>
      <c r="CO578" s="25"/>
      <c r="CP578" s="25"/>
      <c r="CQ578" s="25"/>
      <c r="CR578" s="25"/>
      <c r="CS578" s="25"/>
      <c r="CT578" s="25"/>
      <c r="CU578" s="25"/>
      <c r="CV578" s="25"/>
      <c r="CW578" s="25"/>
      <c r="CX578" s="25"/>
      <c r="CY578" s="25"/>
      <c r="CZ578" s="25"/>
      <c r="DA578" s="25"/>
      <c r="DB578" s="25"/>
      <c r="DC578" s="25"/>
      <c r="DD578" s="25"/>
      <c r="DE578" s="25"/>
      <c r="DF578" s="25"/>
      <c r="DG578" s="25"/>
      <c r="DH578" s="25"/>
      <c r="DI578" s="25"/>
      <c r="DJ578" s="25"/>
      <c r="DK578" s="25"/>
      <c r="DL578" s="25"/>
      <c r="DM578" s="25"/>
      <c r="DN578" s="25"/>
      <c r="DO578" s="25"/>
      <c r="DP578" s="25"/>
      <c r="DQ578" s="25"/>
      <c r="DR578" s="25"/>
      <c r="DS578" s="25"/>
      <c r="DT578" s="25"/>
      <c r="DU578" s="25"/>
      <c r="DV578" s="25"/>
      <c r="DW578" s="25"/>
      <c r="DX578" s="25"/>
      <c r="DY578" s="25"/>
      <c r="DZ578" s="25"/>
      <c r="EA578" s="25"/>
      <c r="EB578" s="25"/>
      <c r="EC578" s="25"/>
      <c r="ED578" s="25"/>
      <c r="EE578" s="25"/>
      <c r="EF578" s="25"/>
      <c r="EG578" s="25"/>
      <c r="EH578" s="25"/>
      <c r="EI578" s="25"/>
      <c r="EJ578" s="25"/>
      <c r="EK578" s="25"/>
      <c r="EL578" s="25"/>
      <c r="EM578" s="25"/>
      <c r="EN578" s="25"/>
      <c r="EO578" s="25"/>
      <c r="EP578" s="25"/>
      <c r="EQ578" s="25"/>
      <c r="ER578" s="25"/>
      <c r="ES578" s="25"/>
      <c r="ET578" s="25"/>
      <c r="EU578" s="25"/>
      <c r="EV578" s="25"/>
      <c r="EW578" s="25"/>
      <c r="EX578" s="25"/>
      <c r="EY578" s="25"/>
      <c r="EZ578" s="25"/>
      <c r="FA578" s="25"/>
      <c r="FB578" s="25"/>
      <c r="FC578" s="25"/>
      <c r="FD578" s="25"/>
      <c r="FE578" s="25"/>
      <c r="FF578" s="25"/>
      <c r="FG578" s="25"/>
      <c r="FH578" s="25"/>
      <c r="FI578" s="25"/>
      <c r="FJ578" s="25"/>
      <c r="FK578" s="25"/>
      <c r="FL578" s="25"/>
      <c r="FM578" s="25"/>
      <c r="FN578" s="25"/>
      <c r="FO578" s="25"/>
      <c r="FP578" s="25"/>
      <c r="FQ578" s="25"/>
      <c r="FR578" s="25"/>
      <c r="FS578" s="25"/>
      <c r="FT578" s="25"/>
      <c r="FU578" s="25"/>
      <c r="FV578" s="25"/>
      <c r="FW578" s="25"/>
      <c r="FX578" s="25"/>
      <c r="FY578" s="25"/>
      <c r="FZ578" s="25"/>
      <c r="GA578" s="25"/>
      <c r="GB578" s="25"/>
      <c r="GC578" s="25"/>
      <c r="GD578" s="25"/>
      <c r="GE578" s="25"/>
      <c r="GF578" s="25"/>
      <c r="GG578" s="25"/>
      <c r="GH578" s="25"/>
      <c r="GI578" s="25"/>
      <c r="GJ578" s="25"/>
      <c r="GK578" s="25"/>
      <c r="GL578" s="25"/>
      <c r="GM578" s="25"/>
      <c r="GN578" s="25"/>
      <c r="GO578" s="25"/>
      <c r="GP578" s="25"/>
      <c r="GQ578" s="25"/>
      <c r="GR578" s="25"/>
      <c r="GS578" s="25"/>
      <c r="GT578" s="25"/>
      <c r="GU578" s="25"/>
      <c r="GV578" s="25"/>
      <c r="GW578" s="25"/>
      <c r="GX578" s="25"/>
      <c r="GY578" s="25"/>
      <c r="GZ578" s="25"/>
      <c r="HA578" s="25"/>
      <c r="HB578" s="25"/>
      <c r="HC578" s="25"/>
      <c r="HD578" s="25"/>
      <c r="HE578" s="25"/>
      <c r="HF578" s="25"/>
      <c r="HG578" s="25"/>
      <c r="HH578" s="25"/>
      <c r="HI578" s="25"/>
      <c r="HJ578" s="25"/>
      <c r="HK578" s="25"/>
      <c r="HL578" s="25"/>
      <c r="HM578" s="25"/>
      <c r="HN578" s="25"/>
      <c r="HO578" s="25"/>
      <c r="HP578" s="25"/>
      <c r="HQ578" s="25"/>
      <c r="HR578" s="25"/>
      <c r="HS578" s="25"/>
      <c r="HT578" s="25"/>
      <c r="HU578" s="25"/>
      <c r="HV578" s="25"/>
      <c r="HW578" s="25"/>
      <c r="HX578" s="25"/>
      <c r="HY578" s="25"/>
      <c r="HZ578" s="25"/>
      <c r="IA578" s="25"/>
      <c r="IB578" s="25"/>
      <c r="IC578" s="25"/>
      <c r="ID578" s="25"/>
      <c r="IE578" s="25"/>
      <c r="IF578" s="25"/>
      <c r="IG578" s="25"/>
      <c r="IH578" s="25"/>
      <c r="II578" s="25"/>
      <c r="IJ578" s="25"/>
      <c r="IK578" s="25"/>
      <c r="IL578" s="25"/>
      <c r="IM578" s="25"/>
      <c r="IN578" s="25"/>
      <c r="IO578" s="25"/>
      <c r="IP578" s="25"/>
      <c r="IQ578" s="25"/>
      <c r="IR578" s="25"/>
      <c r="IS578" s="25"/>
      <c r="IT578" s="25"/>
      <c r="IU578" s="25"/>
      <c r="IV578" s="25"/>
      <c r="IW578" s="25"/>
      <c r="IX578" s="25"/>
      <c r="IY578" s="25"/>
      <c r="IZ578" s="25"/>
      <c r="JA578" s="25"/>
      <c r="JB578" s="25"/>
      <c r="JC578" s="25"/>
      <c r="JD578" s="25"/>
      <c r="JE578" s="25"/>
      <c r="JF578" s="25"/>
      <c r="JG578" s="25"/>
      <c r="JH578" s="25"/>
      <c r="JI578" s="25"/>
      <c r="JJ578" s="25"/>
      <c r="JK578" s="25"/>
      <c r="JL578" s="25"/>
      <c r="JM578" s="25"/>
      <c r="JN578" s="25"/>
      <c r="JO578" s="25"/>
      <c r="JP578" s="25"/>
      <c r="JQ578" s="25"/>
      <c r="JR578" s="25"/>
      <c r="JS578" s="25"/>
      <c r="JT578" s="25"/>
      <c r="JU578" s="25"/>
      <c r="JV578" s="25"/>
      <c r="JW578" s="25"/>
      <c r="JX578" s="25"/>
      <c r="JY578" s="25"/>
      <c r="JZ578" s="25"/>
      <c r="KA578" s="25"/>
      <c r="KB578" s="25"/>
      <c r="KC578" s="25"/>
      <c r="KD578" s="25"/>
      <c r="KE578" s="25"/>
      <c r="KF578" s="25"/>
      <c r="KG578" s="25"/>
      <c r="KH578" s="25"/>
      <c r="KI578" s="25"/>
      <c r="KJ578" s="25"/>
      <c r="KK578" s="25"/>
      <c r="KL578" s="25"/>
      <c r="KM578" s="25"/>
      <c r="KN578" s="25"/>
      <c r="KO578" s="25"/>
      <c r="KP578" s="25"/>
      <c r="KQ578" s="25"/>
      <c r="KR578" s="25"/>
      <c r="KS578" s="25"/>
      <c r="KT578" s="25"/>
      <c r="KU578" s="25"/>
      <c r="KV578" s="25"/>
      <c r="KW578" s="25"/>
      <c r="KX578" s="25"/>
      <c r="KY578" s="25"/>
      <c r="KZ578" s="25"/>
      <c r="LA578" s="25"/>
      <c r="LB578" s="25"/>
      <c r="LC578" s="25"/>
      <c r="LD578" s="25"/>
      <c r="LE578" s="25"/>
      <c r="LF578" s="25"/>
      <c r="LG578" s="25"/>
      <c r="LH578" s="25"/>
      <c r="LI578" s="25"/>
      <c r="LJ578" s="25"/>
      <c r="LK578" s="25"/>
      <c r="LL578" s="25"/>
      <c r="LM578" s="25"/>
      <c r="LN578" s="25"/>
      <c r="LO578" s="25"/>
      <c r="LP578" s="25"/>
      <c r="LQ578" s="25"/>
      <c r="LR578" s="25"/>
      <c r="LS578" s="25"/>
      <c r="LT578" s="25"/>
      <c r="LU578" s="25"/>
      <c r="LV578" s="25"/>
      <c r="LW578" s="25"/>
      <c r="LX578" s="25"/>
      <c r="LY578" s="25"/>
      <c r="LZ578" s="25"/>
      <c r="MA578" s="25"/>
      <c r="MB578" s="25"/>
      <c r="MC578" s="25"/>
      <c r="MD578" s="25"/>
      <c r="ME578" s="25"/>
      <c r="MF578" s="25"/>
      <c r="MG578" s="25"/>
      <c r="MH578" s="25"/>
      <c r="MI578" s="25"/>
      <c r="MJ578" s="25"/>
      <c r="MK578" s="25"/>
      <c r="ML578" s="25"/>
      <c r="MM578" s="25"/>
      <c r="MN578" s="25"/>
      <c r="MO578" s="25"/>
      <c r="MP578" s="25"/>
      <c r="MQ578" s="25"/>
      <c r="MR578" s="25"/>
      <c r="MS578" s="25"/>
      <c r="MT578" s="25"/>
      <c r="MU578" s="25"/>
      <c r="MV578" s="25"/>
      <c r="MW578" s="25"/>
      <c r="MX578" s="25"/>
      <c r="MY578" s="25"/>
      <c r="MZ578" s="25"/>
      <c r="NA578" s="25"/>
      <c r="NB578" s="25"/>
      <c r="NC578" s="25"/>
      <c r="ND578" s="25"/>
      <c r="NE578" s="25"/>
      <c r="NF578" s="25"/>
      <c r="NG578" s="25"/>
      <c r="NH578" s="25"/>
      <c r="NI578" s="25"/>
      <c r="NJ578" s="25"/>
      <c r="NK578" s="25"/>
      <c r="NL578" s="25"/>
      <c r="NM578" s="25"/>
      <c r="NN578" s="25"/>
      <c r="NO578" s="25"/>
      <c r="NP578" s="25"/>
      <c r="NQ578" s="25"/>
      <c r="NR578" s="25"/>
      <c r="NS578" s="25"/>
      <c r="NT578" s="25"/>
      <c r="NU578" s="25"/>
      <c r="NV578" s="25"/>
      <c r="NW578" s="25"/>
      <c r="NX578" s="25"/>
      <c r="NY578" s="25"/>
      <c r="NZ578" s="25"/>
      <c r="OA578" s="25"/>
      <c r="OB578" s="25"/>
      <c r="OC578" s="25"/>
      <c r="OD578" s="25"/>
      <c r="OE578" s="25"/>
      <c r="OF578" s="25"/>
      <c r="OG578" s="25"/>
      <c r="OH578" s="25"/>
      <c r="OI578" s="25"/>
      <c r="OJ578" s="25"/>
      <c r="OK578" s="25"/>
      <c r="OL578" s="25"/>
      <c r="OM578" s="25"/>
      <c r="ON578" s="25"/>
      <c r="OO578" s="25"/>
      <c r="OP578" s="25"/>
      <c r="OQ578" s="25"/>
      <c r="OR578" s="25"/>
      <c r="OS578" s="25"/>
      <c r="OT578" s="25"/>
      <c r="OU578" s="25"/>
      <c r="OV578" s="25"/>
      <c r="OW578" s="25"/>
      <c r="OX578" s="25"/>
      <c r="OY578" s="25"/>
      <c r="OZ578" s="25"/>
      <c r="PA578" s="25"/>
      <c r="PB578" s="25"/>
      <c r="PC578" s="25"/>
      <c r="PD578" s="25"/>
      <c r="PE578" s="25"/>
      <c r="PF578" s="25"/>
      <c r="PG578" s="25"/>
      <c r="PH578" s="25"/>
      <c r="PI578" s="25"/>
      <c r="PJ578" s="25"/>
      <c r="PK578" s="25"/>
      <c r="PL578" s="25"/>
      <c r="PM578" s="25"/>
      <c r="PN578" s="25"/>
      <c r="PO578" s="25"/>
      <c r="PP578" s="25"/>
      <c r="PQ578" s="25"/>
      <c r="PR578" s="25"/>
      <c r="PS578" s="25"/>
      <c r="PT578" s="25"/>
      <c r="PU578" s="25"/>
      <c r="PV578" s="25"/>
      <c r="PW578" s="25"/>
      <c r="PX578" s="25"/>
      <c r="PY578" s="25"/>
      <c r="PZ578" s="25"/>
      <c r="QA578" s="25"/>
      <c r="QB578" s="25"/>
      <c r="QC578" s="25"/>
      <c r="QD578" s="25"/>
      <c r="QE578" s="25"/>
      <c r="QF578" s="25"/>
      <c r="QG578" s="25"/>
      <c r="QH578" s="25"/>
      <c r="QI578" s="25"/>
      <c r="QJ578" s="25"/>
      <c r="QK578" s="25"/>
      <c r="QL578" s="25"/>
      <c r="QM578" s="25"/>
      <c r="QN578" s="25"/>
      <c r="QO578" s="25"/>
      <c r="QP578" s="25"/>
      <c r="QQ578" s="25"/>
      <c r="QR578" s="25"/>
      <c r="QS578" s="25"/>
      <c r="QT578" s="25"/>
      <c r="QU578" s="25"/>
      <c r="QV578" s="25"/>
      <c r="QW578" s="25"/>
      <c r="QX578" s="25"/>
      <c r="QY578" s="25"/>
      <c r="QZ578" s="25"/>
      <c r="RA578" s="25"/>
      <c r="RB578" s="25"/>
      <c r="RC578" s="25"/>
      <c r="RD578" s="25"/>
      <c r="RE578" s="25"/>
      <c r="RF578" s="25"/>
      <c r="RG578" s="25"/>
      <c r="RH578" s="25"/>
      <c r="RI578" s="25"/>
      <c r="RJ578" s="25"/>
      <c r="RK578" s="25"/>
      <c r="RL578" s="25"/>
      <c r="RM578" s="25"/>
      <c r="RN578" s="25"/>
      <c r="RO578" s="25"/>
      <c r="RP578" s="25"/>
      <c r="RQ578" s="25"/>
      <c r="RR578" s="25"/>
      <c r="RS578" s="25"/>
      <c r="RT578" s="25"/>
      <c r="RU578" s="25"/>
      <c r="RV578" s="25"/>
      <c r="RW578" s="25"/>
      <c r="RX578" s="25"/>
      <c r="RY578" s="25"/>
      <c r="RZ578" s="25"/>
      <c r="SA578" s="25"/>
      <c r="SB578" s="25"/>
      <c r="SC578" s="25"/>
      <c r="SD578" s="25"/>
      <c r="SE578" s="25"/>
      <c r="SF578" s="25"/>
      <c r="SG578" s="25"/>
      <c r="SH578" s="25"/>
      <c r="SI578" s="25"/>
      <c r="SJ578" s="25"/>
      <c r="SK578" s="25"/>
      <c r="SL578" s="25"/>
      <c r="SM578" s="25"/>
      <c r="SN578" s="25"/>
      <c r="SO578" s="25"/>
      <c r="SP578" s="25"/>
      <c r="SQ578" s="25"/>
      <c r="SR578" s="25"/>
      <c r="SS578" s="25"/>
      <c r="ST578" s="25"/>
      <c r="SU578" s="25"/>
      <c r="SV578" s="25"/>
      <c r="SW578" s="25"/>
      <c r="SX578" s="25"/>
      <c r="SY578" s="25"/>
      <c r="SZ578" s="25"/>
      <c r="TA578" s="25"/>
      <c r="TB578" s="25"/>
      <c r="TC578" s="25"/>
      <c r="TD578" s="25"/>
      <c r="TE578" s="25"/>
      <c r="TF578" s="25"/>
      <c r="TG578" s="25"/>
      <c r="TH578" s="25"/>
      <c r="TI578" s="25"/>
      <c r="TJ578" s="25"/>
      <c r="TK578" s="25"/>
      <c r="TL578" s="25"/>
      <c r="TM578" s="25"/>
      <c r="TN578" s="25"/>
      <c r="TO578" s="25"/>
      <c r="TP578" s="25"/>
      <c r="TQ578" s="25"/>
      <c r="TR578" s="25"/>
      <c r="TS578" s="25"/>
      <c r="TT578" s="25"/>
      <c r="TU578" s="25"/>
      <c r="TV578" s="25"/>
      <c r="TW578" s="25"/>
      <c r="TX578" s="25"/>
      <c r="TY578" s="25"/>
      <c r="TZ578" s="25"/>
      <c r="UA578" s="25"/>
      <c r="UB578" s="25"/>
      <c r="UC578" s="25"/>
      <c r="UD578" s="25"/>
      <c r="UE578" s="25"/>
      <c r="UF578" s="25"/>
      <c r="UG578" s="26"/>
    </row>
    <row r="579" spans="1:553" ht="50.25" customHeight="1">
      <c r="A579" s="356" t="s">
        <v>30</v>
      </c>
      <c r="B579" s="385">
        <v>39</v>
      </c>
      <c r="C579" s="1404" t="s">
        <v>407</v>
      </c>
      <c r="D579" s="1389"/>
      <c r="E579" s="1389"/>
      <c r="F579" s="1390"/>
      <c r="G579" s="386" t="s">
        <v>33</v>
      </c>
      <c r="H579" s="370"/>
      <c r="I579" s="417">
        <f>0.38*3.5*4</f>
        <v>5.32</v>
      </c>
      <c r="J579" s="368">
        <v>39000</v>
      </c>
      <c r="K579" s="371"/>
      <c r="L579" s="487">
        <f t="shared" si="101"/>
        <v>207480</v>
      </c>
      <c r="M579" s="395"/>
      <c r="N579" s="395"/>
      <c r="O579" s="366"/>
      <c r="P579" s="396"/>
      <c r="Q579" s="473"/>
      <c r="R579" s="1039"/>
      <c r="S579" s="308"/>
      <c r="T579" s="308"/>
      <c r="U579" s="308"/>
      <c r="V579" s="308"/>
      <c r="W579" s="308"/>
      <c r="X579" s="308"/>
      <c r="Y579" s="308"/>
      <c r="Z579" s="604"/>
      <c r="AA579" s="308"/>
      <c r="AB579" s="308"/>
      <c r="AC579" s="449"/>
      <c r="AD579" s="449"/>
      <c r="AE579" s="449"/>
      <c r="AF579" s="449"/>
      <c r="AG579" s="452"/>
      <c r="AH579" s="452"/>
      <c r="AI579" s="452"/>
      <c r="AJ579" s="452"/>
      <c r="AK579" s="452"/>
      <c r="AL579" s="104"/>
      <c r="AM579" s="32"/>
      <c r="AN579" s="32"/>
      <c r="AO579" s="32"/>
      <c r="AP579" s="32"/>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25"/>
      <c r="BN579" s="25"/>
      <c r="BO579" s="25"/>
      <c r="BP579" s="25"/>
      <c r="BQ579" s="25"/>
      <c r="BR579" s="25"/>
      <c r="BS579" s="25"/>
      <c r="BT579" s="25"/>
      <c r="BU579" s="25"/>
      <c r="BV579" s="25"/>
      <c r="BW579" s="25"/>
      <c r="BX579" s="25"/>
      <c r="BY579" s="25"/>
      <c r="BZ579" s="25"/>
      <c r="CA579" s="25"/>
      <c r="CB579" s="25"/>
      <c r="CC579" s="25"/>
      <c r="CD579" s="25"/>
      <c r="CE579" s="25"/>
      <c r="CF579" s="25"/>
      <c r="CG579" s="25"/>
      <c r="CH579" s="25"/>
      <c r="CI579" s="25"/>
      <c r="CJ579" s="25"/>
      <c r="CK579" s="25"/>
      <c r="CL579" s="25"/>
      <c r="CM579" s="25"/>
      <c r="CN579" s="25"/>
      <c r="CO579" s="25"/>
      <c r="CP579" s="25"/>
      <c r="CQ579" s="25"/>
      <c r="CR579" s="25"/>
      <c r="CS579" s="25"/>
      <c r="CT579" s="25"/>
      <c r="CU579" s="25"/>
      <c r="CV579" s="25"/>
      <c r="CW579" s="25"/>
      <c r="CX579" s="25"/>
      <c r="CY579" s="25"/>
      <c r="CZ579" s="25"/>
      <c r="DA579" s="25"/>
      <c r="DB579" s="25"/>
      <c r="DC579" s="25"/>
      <c r="DD579" s="25"/>
      <c r="DE579" s="25"/>
      <c r="DF579" s="25"/>
      <c r="DG579" s="25"/>
      <c r="DH579" s="25"/>
      <c r="DI579" s="25"/>
      <c r="DJ579" s="25"/>
      <c r="DK579" s="25"/>
      <c r="DL579" s="25"/>
      <c r="DM579" s="25"/>
      <c r="DN579" s="25"/>
      <c r="DO579" s="25"/>
      <c r="DP579" s="25"/>
      <c r="DQ579" s="25"/>
      <c r="DR579" s="25"/>
      <c r="DS579" s="25"/>
      <c r="DT579" s="25"/>
      <c r="DU579" s="25"/>
      <c r="DV579" s="25"/>
      <c r="DW579" s="25"/>
      <c r="DX579" s="25"/>
      <c r="DY579" s="25"/>
      <c r="DZ579" s="25"/>
      <c r="EA579" s="25"/>
      <c r="EB579" s="25"/>
      <c r="EC579" s="25"/>
      <c r="ED579" s="25"/>
      <c r="EE579" s="25"/>
      <c r="EF579" s="25"/>
      <c r="EG579" s="25"/>
      <c r="EH579" s="25"/>
      <c r="EI579" s="25"/>
      <c r="EJ579" s="25"/>
      <c r="EK579" s="25"/>
      <c r="EL579" s="25"/>
      <c r="EM579" s="25"/>
      <c r="EN579" s="25"/>
      <c r="EO579" s="25"/>
      <c r="EP579" s="25"/>
      <c r="EQ579" s="25"/>
      <c r="ER579" s="25"/>
      <c r="ES579" s="25"/>
      <c r="ET579" s="25"/>
      <c r="EU579" s="25"/>
      <c r="EV579" s="25"/>
      <c r="EW579" s="25"/>
      <c r="EX579" s="25"/>
      <c r="EY579" s="25"/>
      <c r="EZ579" s="25"/>
      <c r="FA579" s="25"/>
      <c r="FB579" s="25"/>
      <c r="FC579" s="25"/>
      <c r="FD579" s="25"/>
      <c r="FE579" s="25"/>
      <c r="FF579" s="25"/>
      <c r="FG579" s="25"/>
      <c r="FH579" s="25"/>
      <c r="FI579" s="25"/>
      <c r="FJ579" s="25"/>
      <c r="FK579" s="25"/>
      <c r="FL579" s="25"/>
      <c r="FM579" s="25"/>
      <c r="FN579" s="25"/>
      <c r="FO579" s="25"/>
      <c r="FP579" s="25"/>
      <c r="FQ579" s="25"/>
      <c r="FR579" s="25"/>
      <c r="FS579" s="25"/>
      <c r="FT579" s="25"/>
      <c r="FU579" s="25"/>
      <c r="FV579" s="25"/>
      <c r="FW579" s="25"/>
      <c r="FX579" s="25"/>
      <c r="FY579" s="25"/>
      <c r="FZ579" s="25"/>
      <c r="GA579" s="25"/>
      <c r="GB579" s="25"/>
      <c r="GC579" s="25"/>
      <c r="GD579" s="25"/>
      <c r="GE579" s="25"/>
      <c r="GF579" s="25"/>
      <c r="GG579" s="25"/>
      <c r="GH579" s="25"/>
      <c r="GI579" s="25"/>
      <c r="GJ579" s="25"/>
      <c r="GK579" s="25"/>
      <c r="GL579" s="25"/>
      <c r="GM579" s="25"/>
      <c r="GN579" s="25"/>
      <c r="GO579" s="25"/>
      <c r="GP579" s="25"/>
      <c r="GQ579" s="25"/>
      <c r="GR579" s="25"/>
      <c r="GS579" s="25"/>
      <c r="GT579" s="25"/>
      <c r="GU579" s="25"/>
      <c r="GV579" s="25"/>
      <c r="GW579" s="25"/>
      <c r="GX579" s="25"/>
      <c r="GY579" s="25"/>
      <c r="GZ579" s="25"/>
      <c r="HA579" s="25"/>
      <c r="HB579" s="25"/>
      <c r="HC579" s="25"/>
      <c r="HD579" s="25"/>
      <c r="HE579" s="25"/>
      <c r="HF579" s="25"/>
      <c r="HG579" s="25"/>
      <c r="HH579" s="25"/>
      <c r="HI579" s="25"/>
      <c r="HJ579" s="25"/>
      <c r="HK579" s="25"/>
      <c r="HL579" s="25"/>
      <c r="HM579" s="25"/>
      <c r="HN579" s="25"/>
      <c r="HO579" s="25"/>
      <c r="HP579" s="25"/>
      <c r="HQ579" s="25"/>
      <c r="HR579" s="25"/>
      <c r="HS579" s="25"/>
      <c r="HT579" s="25"/>
      <c r="HU579" s="25"/>
      <c r="HV579" s="25"/>
      <c r="HW579" s="25"/>
      <c r="HX579" s="25"/>
      <c r="HY579" s="25"/>
      <c r="HZ579" s="25"/>
      <c r="IA579" s="25"/>
      <c r="IB579" s="25"/>
      <c r="IC579" s="25"/>
      <c r="ID579" s="25"/>
      <c r="IE579" s="25"/>
      <c r="IF579" s="25"/>
      <c r="IG579" s="25"/>
      <c r="IH579" s="25"/>
      <c r="II579" s="25"/>
      <c r="IJ579" s="25"/>
      <c r="IK579" s="25"/>
      <c r="IL579" s="25"/>
      <c r="IM579" s="25"/>
      <c r="IN579" s="25"/>
      <c r="IO579" s="25"/>
      <c r="IP579" s="25"/>
      <c r="IQ579" s="25"/>
      <c r="IR579" s="25"/>
      <c r="IS579" s="25"/>
      <c r="IT579" s="25"/>
      <c r="IU579" s="25"/>
      <c r="IV579" s="25"/>
      <c r="IW579" s="25"/>
      <c r="IX579" s="25"/>
      <c r="IY579" s="25"/>
      <c r="IZ579" s="25"/>
      <c r="JA579" s="25"/>
      <c r="JB579" s="25"/>
      <c r="JC579" s="25"/>
      <c r="JD579" s="25"/>
      <c r="JE579" s="25"/>
      <c r="JF579" s="25"/>
      <c r="JG579" s="25"/>
      <c r="JH579" s="25"/>
      <c r="JI579" s="25"/>
      <c r="JJ579" s="25"/>
      <c r="JK579" s="25"/>
      <c r="JL579" s="25"/>
      <c r="JM579" s="25"/>
      <c r="JN579" s="25"/>
      <c r="JO579" s="25"/>
      <c r="JP579" s="25"/>
      <c r="JQ579" s="25"/>
      <c r="JR579" s="25"/>
      <c r="JS579" s="25"/>
      <c r="JT579" s="25"/>
      <c r="JU579" s="25"/>
      <c r="JV579" s="25"/>
      <c r="JW579" s="25"/>
      <c r="JX579" s="25"/>
      <c r="JY579" s="25"/>
      <c r="JZ579" s="25"/>
      <c r="KA579" s="25"/>
      <c r="KB579" s="25"/>
      <c r="KC579" s="25"/>
      <c r="KD579" s="25"/>
      <c r="KE579" s="25"/>
      <c r="KF579" s="25"/>
      <c r="KG579" s="25"/>
      <c r="KH579" s="25"/>
      <c r="KI579" s="25"/>
      <c r="KJ579" s="25"/>
      <c r="KK579" s="25"/>
      <c r="KL579" s="25"/>
      <c r="KM579" s="25"/>
      <c r="KN579" s="25"/>
      <c r="KO579" s="25"/>
      <c r="KP579" s="25"/>
      <c r="KQ579" s="25"/>
      <c r="KR579" s="25"/>
      <c r="KS579" s="25"/>
      <c r="KT579" s="25"/>
      <c r="KU579" s="25"/>
      <c r="KV579" s="25"/>
      <c r="KW579" s="25"/>
      <c r="KX579" s="25"/>
      <c r="KY579" s="25"/>
      <c r="KZ579" s="25"/>
      <c r="LA579" s="25"/>
      <c r="LB579" s="25"/>
      <c r="LC579" s="25"/>
      <c r="LD579" s="25"/>
      <c r="LE579" s="25"/>
      <c r="LF579" s="25"/>
      <c r="LG579" s="25"/>
      <c r="LH579" s="25"/>
      <c r="LI579" s="25"/>
      <c r="LJ579" s="25"/>
      <c r="LK579" s="25"/>
      <c r="LL579" s="25"/>
      <c r="LM579" s="25"/>
      <c r="LN579" s="25"/>
      <c r="LO579" s="25"/>
      <c r="LP579" s="25"/>
      <c r="LQ579" s="25"/>
      <c r="LR579" s="25"/>
      <c r="LS579" s="25"/>
      <c r="LT579" s="25"/>
      <c r="LU579" s="25"/>
      <c r="LV579" s="25"/>
      <c r="LW579" s="25"/>
      <c r="LX579" s="25"/>
      <c r="LY579" s="25"/>
      <c r="LZ579" s="25"/>
      <c r="MA579" s="25"/>
      <c r="MB579" s="25"/>
      <c r="MC579" s="25"/>
      <c r="MD579" s="25"/>
      <c r="ME579" s="25"/>
      <c r="MF579" s="25"/>
      <c r="MG579" s="25"/>
      <c r="MH579" s="25"/>
      <c r="MI579" s="25"/>
      <c r="MJ579" s="25"/>
      <c r="MK579" s="25"/>
      <c r="ML579" s="25"/>
      <c r="MM579" s="25"/>
      <c r="MN579" s="25"/>
      <c r="MO579" s="25"/>
      <c r="MP579" s="25"/>
      <c r="MQ579" s="25"/>
      <c r="MR579" s="25"/>
      <c r="MS579" s="25"/>
      <c r="MT579" s="25"/>
      <c r="MU579" s="25"/>
      <c r="MV579" s="25"/>
      <c r="MW579" s="25"/>
      <c r="MX579" s="25"/>
      <c r="MY579" s="25"/>
      <c r="MZ579" s="25"/>
      <c r="NA579" s="25"/>
      <c r="NB579" s="25"/>
      <c r="NC579" s="25"/>
      <c r="ND579" s="25"/>
      <c r="NE579" s="25"/>
      <c r="NF579" s="25"/>
      <c r="NG579" s="25"/>
      <c r="NH579" s="25"/>
      <c r="NI579" s="25"/>
      <c r="NJ579" s="25"/>
      <c r="NK579" s="25"/>
      <c r="NL579" s="25"/>
      <c r="NM579" s="25"/>
      <c r="NN579" s="25"/>
      <c r="NO579" s="25"/>
      <c r="NP579" s="25"/>
      <c r="NQ579" s="25"/>
      <c r="NR579" s="25"/>
      <c r="NS579" s="25"/>
      <c r="NT579" s="25"/>
      <c r="NU579" s="25"/>
      <c r="NV579" s="25"/>
      <c r="NW579" s="25"/>
      <c r="NX579" s="25"/>
      <c r="NY579" s="25"/>
      <c r="NZ579" s="25"/>
      <c r="OA579" s="25"/>
      <c r="OB579" s="25"/>
      <c r="OC579" s="25"/>
      <c r="OD579" s="25"/>
      <c r="OE579" s="25"/>
      <c r="OF579" s="25"/>
      <c r="OG579" s="25"/>
      <c r="OH579" s="25"/>
      <c r="OI579" s="25"/>
      <c r="OJ579" s="25"/>
      <c r="OK579" s="25"/>
      <c r="OL579" s="25"/>
      <c r="OM579" s="25"/>
      <c r="ON579" s="25"/>
      <c r="OO579" s="25"/>
      <c r="OP579" s="25"/>
      <c r="OQ579" s="25"/>
      <c r="OR579" s="25"/>
      <c r="OS579" s="25"/>
      <c r="OT579" s="25"/>
      <c r="OU579" s="25"/>
      <c r="OV579" s="25"/>
      <c r="OW579" s="25"/>
      <c r="OX579" s="25"/>
      <c r="OY579" s="25"/>
      <c r="OZ579" s="25"/>
      <c r="PA579" s="25"/>
      <c r="PB579" s="25"/>
      <c r="PC579" s="25"/>
      <c r="PD579" s="25"/>
      <c r="PE579" s="25"/>
      <c r="PF579" s="25"/>
      <c r="PG579" s="25"/>
      <c r="PH579" s="25"/>
      <c r="PI579" s="25"/>
      <c r="PJ579" s="25"/>
      <c r="PK579" s="25"/>
      <c r="PL579" s="25"/>
      <c r="PM579" s="25"/>
      <c r="PN579" s="25"/>
      <c r="PO579" s="25"/>
      <c r="PP579" s="25"/>
      <c r="PQ579" s="25"/>
      <c r="PR579" s="25"/>
      <c r="PS579" s="25"/>
      <c r="PT579" s="25"/>
      <c r="PU579" s="25"/>
      <c r="PV579" s="25"/>
      <c r="PW579" s="25"/>
      <c r="PX579" s="25"/>
      <c r="PY579" s="25"/>
      <c r="PZ579" s="25"/>
      <c r="QA579" s="25"/>
      <c r="QB579" s="25"/>
      <c r="QC579" s="25"/>
      <c r="QD579" s="25"/>
      <c r="QE579" s="25"/>
      <c r="QF579" s="25"/>
      <c r="QG579" s="25"/>
      <c r="QH579" s="25"/>
      <c r="QI579" s="25"/>
      <c r="QJ579" s="25"/>
      <c r="QK579" s="25"/>
      <c r="QL579" s="25"/>
      <c r="QM579" s="25"/>
      <c r="QN579" s="25"/>
      <c r="QO579" s="25"/>
      <c r="QP579" s="25"/>
      <c r="QQ579" s="25"/>
      <c r="QR579" s="25"/>
      <c r="QS579" s="25"/>
      <c r="QT579" s="25"/>
      <c r="QU579" s="25"/>
      <c r="QV579" s="25"/>
      <c r="QW579" s="25"/>
      <c r="QX579" s="25"/>
      <c r="QY579" s="25"/>
      <c r="QZ579" s="25"/>
      <c r="RA579" s="25"/>
      <c r="RB579" s="25"/>
      <c r="RC579" s="25"/>
      <c r="RD579" s="25"/>
      <c r="RE579" s="25"/>
      <c r="RF579" s="25"/>
      <c r="RG579" s="25"/>
      <c r="RH579" s="25"/>
      <c r="RI579" s="25"/>
      <c r="RJ579" s="25"/>
      <c r="RK579" s="25"/>
      <c r="RL579" s="25"/>
      <c r="RM579" s="25"/>
      <c r="RN579" s="25"/>
      <c r="RO579" s="25"/>
      <c r="RP579" s="25"/>
      <c r="RQ579" s="25"/>
      <c r="RR579" s="25"/>
      <c r="RS579" s="25"/>
      <c r="RT579" s="25"/>
      <c r="RU579" s="25"/>
      <c r="RV579" s="25"/>
      <c r="RW579" s="25"/>
      <c r="RX579" s="25"/>
      <c r="RY579" s="25"/>
      <c r="RZ579" s="25"/>
      <c r="SA579" s="25"/>
      <c r="SB579" s="25"/>
      <c r="SC579" s="25"/>
      <c r="SD579" s="25"/>
      <c r="SE579" s="25"/>
      <c r="SF579" s="25"/>
      <c r="SG579" s="25"/>
      <c r="SH579" s="25"/>
      <c r="SI579" s="25"/>
      <c r="SJ579" s="25"/>
      <c r="SK579" s="25"/>
      <c r="SL579" s="25"/>
      <c r="SM579" s="25"/>
      <c r="SN579" s="25"/>
      <c r="SO579" s="25"/>
      <c r="SP579" s="25"/>
      <c r="SQ579" s="25"/>
      <c r="SR579" s="25"/>
      <c r="SS579" s="25"/>
      <c r="ST579" s="25"/>
      <c r="SU579" s="25"/>
      <c r="SV579" s="25"/>
      <c r="SW579" s="25"/>
      <c r="SX579" s="25"/>
      <c r="SY579" s="25"/>
      <c r="SZ579" s="25"/>
      <c r="TA579" s="25"/>
      <c r="TB579" s="25"/>
      <c r="TC579" s="25"/>
      <c r="TD579" s="25"/>
      <c r="TE579" s="25"/>
      <c r="TF579" s="25"/>
      <c r="TG579" s="25"/>
      <c r="TH579" s="25"/>
      <c r="TI579" s="25"/>
      <c r="TJ579" s="25"/>
      <c r="TK579" s="25"/>
      <c r="TL579" s="25"/>
      <c r="TM579" s="25"/>
      <c r="TN579" s="25"/>
      <c r="TO579" s="25"/>
      <c r="TP579" s="25"/>
      <c r="TQ579" s="25"/>
      <c r="TR579" s="25"/>
      <c r="TS579" s="25"/>
      <c r="TT579" s="25"/>
      <c r="TU579" s="25"/>
      <c r="TV579" s="25"/>
      <c r="TW579" s="25"/>
      <c r="TX579" s="25"/>
      <c r="TY579" s="25"/>
      <c r="TZ579" s="25"/>
      <c r="UA579" s="25"/>
      <c r="UB579" s="25"/>
      <c r="UC579" s="25"/>
      <c r="UD579" s="25"/>
      <c r="UE579" s="25"/>
      <c r="UF579" s="25"/>
      <c r="UG579" s="26"/>
    </row>
    <row r="580" spans="1:553" ht="50.25" customHeight="1">
      <c r="A580" s="356" t="s">
        <v>30</v>
      </c>
      <c r="B580" s="385">
        <v>39</v>
      </c>
      <c r="C580" s="1404" t="s">
        <v>408</v>
      </c>
      <c r="D580" s="1389"/>
      <c r="E580" s="1389"/>
      <c r="F580" s="1390"/>
      <c r="G580" s="386" t="s">
        <v>33</v>
      </c>
      <c r="H580" s="370"/>
      <c r="I580" s="417">
        <f>0.38*4.2*2</f>
        <v>3.1920000000000002</v>
      </c>
      <c r="J580" s="368">
        <v>39000</v>
      </c>
      <c r="K580" s="371"/>
      <c r="L580" s="487">
        <f t="shared" si="101"/>
        <v>124488</v>
      </c>
      <c r="M580" s="395"/>
      <c r="N580" s="395"/>
      <c r="O580" s="366"/>
      <c r="P580" s="396"/>
      <c r="Q580" s="473"/>
      <c r="R580" s="1039"/>
      <c r="S580" s="308"/>
      <c r="T580" s="308"/>
      <c r="U580" s="308"/>
      <c r="V580" s="308"/>
      <c r="W580" s="308"/>
      <c r="X580" s="308"/>
      <c r="Y580" s="308"/>
      <c r="Z580" s="604"/>
      <c r="AA580" s="308"/>
      <c r="AB580" s="308"/>
      <c r="AC580" s="449"/>
      <c r="AD580" s="449"/>
      <c r="AE580" s="449"/>
      <c r="AF580" s="449"/>
      <c r="AG580" s="452"/>
      <c r="AH580" s="452"/>
      <c r="AI580" s="452"/>
      <c r="AJ580" s="452"/>
      <c r="AK580" s="452"/>
      <c r="AL580" s="104"/>
      <c r="AM580" s="32"/>
      <c r="AN580" s="32"/>
      <c r="AO580" s="32"/>
      <c r="AP580" s="32"/>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25"/>
      <c r="BN580" s="25"/>
      <c r="BO580" s="25"/>
      <c r="BP580" s="25"/>
      <c r="BQ580" s="25"/>
      <c r="BR580" s="25"/>
      <c r="BS580" s="25"/>
      <c r="BT580" s="25"/>
      <c r="BU580" s="25"/>
      <c r="BV580" s="25"/>
      <c r="BW580" s="25"/>
      <c r="BX580" s="25"/>
      <c r="BY580" s="25"/>
      <c r="BZ580" s="25"/>
      <c r="CA580" s="25"/>
      <c r="CB580" s="25"/>
      <c r="CC580" s="25"/>
      <c r="CD580" s="25"/>
      <c r="CE580" s="25"/>
      <c r="CF580" s="25"/>
      <c r="CG580" s="25"/>
      <c r="CH580" s="25"/>
      <c r="CI580" s="25"/>
      <c r="CJ580" s="25"/>
      <c r="CK580" s="25"/>
      <c r="CL580" s="25"/>
      <c r="CM580" s="25"/>
      <c r="CN580" s="25"/>
      <c r="CO580" s="25"/>
      <c r="CP580" s="25"/>
      <c r="CQ580" s="25"/>
      <c r="CR580" s="25"/>
      <c r="CS580" s="25"/>
      <c r="CT580" s="25"/>
      <c r="CU580" s="25"/>
      <c r="CV580" s="25"/>
      <c r="CW580" s="25"/>
      <c r="CX580" s="25"/>
      <c r="CY580" s="25"/>
      <c r="CZ580" s="25"/>
      <c r="DA580" s="25"/>
      <c r="DB580" s="25"/>
      <c r="DC580" s="25"/>
      <c r="DD580" s="25"/>
      <c r="DE580" s="25"/>
      <c r="DF580" s="25"/>
      <c r="DG580" s="25"/>
      <c r="DH580" s="25"/>
      <c r="DI580" s="25"/>
      <c r="DJ580" s="25"/>
      <c r="DK580" s="25"/>
      <c r="DL580" s="25"/>
      <c r="DM580" s="25"/>
      <c r="DN580" s="25"/>
      <c r="DO580" s="25"/>
      <c r="DP580" s="25"/>
      <c r="DQ580" s="25"/>
      <c r="DR580" s="25"/>
      <c r="DS580" s="25"/>
      <c r="DT580" s="25"/>
      <c r="DU580" s="25"/>
      <c r="DV580" s="25"/>
      <c r="DW580" s="25"/>
      <c r="DX580" s="25"/>
      <c r="DY580" s="25"/>
      <c r="DZ580" s="25"/>
      <c r="EA580" s="25"/>
      <c r="EB580" s="25"/>
      <c r="EC580" s="25"/>
      <c r="ED580" s="25"/>
      <c r="EE580" s="25"/>
      <c r="EF580" s="25"/>
      <c r="EG580" s="25"/>
      <c r="EH580" s="25"/>
      <c r="EI580" s="25"/>
      <c r="EJ580" s="25"/>
      <c r="EK580" s="25"/>
      <c r="EL580" s="25"/>
      <c r="EM580" s="25"/>
      <c r="EN580" s="25"/>
      <c r="EO580" s="25"/>
      <c r="EP580" s="25"/>
      <c r="EQ580" s="25"/>
      <c r="ER580" s="25"/>
      <c r="ES580" s="25"/>
      <c r="ET580" s="25"/>
      <c r="EU580" s="25"/>
      <c r="EV580" s="25"/>
      <c r="EW580" s="25"/>
      <c r="EX580" s="25"/>
      <c r="EY580" s="25"/>
      <c r="EZ580" s="25"/>
      <c r="FA580" s="25"/>
      <c r="FB580" s="25"/>
      <c r="FC580" s="25"/>
      <c r="FD580" s="25"/>
      <c r="FE580" s="25"/>
      <c r="FF580" s="25"/>
      <c r="FG580" s="25"/>
      <c r="FH580" s="25"/>
      <c r="FI580" s="25"/>
      <c r="FJ580" s="25"/>
      <c r="FK580" s="25"/>
      <c r="FL580" s="25"/>
      <c r="FM580" s="25"/>
      <c r="FN580" s="25"/>
      <c r="FO580" s="25"/>
      <c r="FP580" s="25"/>
      <c r="FQ580" s="25"/>
      <c r="FR580" s="25"/>
      <c r="FS580" s="25"/>
      <c r="FT580" s="25"/>
      <c r="FU580" s="25"/>
      <c r="FV580" s="25"/>
      <c r="FW580" s="25"/>
      <c r="FX580" s="25"/>
      <c r="FY580" s="25"/>
      <c r="FZ580" s="25"/>
      <c r="GA580" s="25"/>
      <c r="GB580" s="25"/>
      <c r="GC580" s="25"/>
      <c r="GD580" s="25"/>
      <c r="GE580" s="25"/>
      <c r="GF580" s="25"/>
      <c r="GG580" s="25"/>
      <c r="GH580" s="25"/>
      <c r="GI580" s="25"/>
      <c r="GJ580" s="25"/>
      <c r="GK580" s="25"/>
      <c r="GL580" s="25"/>
      <c r="GM580" s="25"/>
      <c r="GN580" s="25"/>
      <c r="GO580" s="25"/>
      <c r="GP580" s="25"/>
      <c r="GQ580" s="25"/>
      <c r="GR580" s="25"/>
      <c r="GS580" s="25"/>
      <c r="GT580" s="25"/>
      <c r="GU580" s="25"/>
      <c r="GV580" s="25"/>
      <c r="GW580" s="25"/>
      <c r="GX580" s="25"/>
      <c r="GY580" s="25"/>
      <c r="GZ580" s="25"/>
      <c r="HA580" s="25"/>
      <c r="HB580" s="25"/>
      <c r="HC580" s="25"/>
      <c r="HD580" s="25"/>
      <c r="HE580" s="25"/>
      <c r="HF580" s="25"/>
      <c r="HG580" s="25"/>
      <c r="HH580" s="25"/>
      <c r="HI580" s="25"/>
      <c r="HJ580" s="25"/>
      <c r="HK580" s="25"/>
      <c r="HL580" s="25"/>
      <c r="HM580" s="25"/>
      <c r="HN580" s="25"/>
      <c r="HO580" s="25"/>
      <c r="HP580" s="25"/>
      <c r="HQ580" s="25"/>
      <c r="HR580" s="25"/>
      <c r="HS580" s="25"/>
      <c r="HT580" s="25"/>
      <c r="HU580" s="25"/>
      <c r="HV580" s="25"/>
      <c r="HW580" s="25"/>
      <c r="HX580" s="25"/>
      <c r="HY580" s="25"/>
      <c r="HZ580" s="25"/>
      <c r="IA580" s="25"/>
      <c r="IB580" s="25"/>
      <c r="IC580" s="25"/>
      <c r="ID580" s="25"/>
      <c r="IE580" s="25"/>
      <c r="IF580" s="25"/>
      <c r="IG580" s="25"/>
      <c r="IH580" s="25"/>
      <c r="II580" s="25"/>
      <c r="IJ580" s="25"/>
      <c r="IK580" s="25"/>
      <c r="IL580" s="25"/>
      <c r="IM580" s="25"/>
      <c r="IN580" s="25"/>
      <c r="IO580" s="25"/>
      <c r="IP580" s="25"/>
      <c r="IQ580" s="25"/>
      <c r="IR580" s="25"/>
      <c r="IS580" s="25"/>
      <c r="IT580" s="25"/>
      <c r="IU580" s="25"/>
      <c r="IV580" s="25"/>
      <c r="IW580" s="25"/>
      <c r="IX580" s="25"/>
      <c r="IY580" s="25"/>
      <c r="IZ580" s="25"/>
      <c r="JA580" s="25"/>
      <c r="JB580" s="25"/>
      <c r="JC580" s="25"/>
      <c r="JD580" s="25"/>
      <c r="JE580" s="25"/>
      <c r="JF580" s="25"/>
      <c r="JG580" s="25"/>
      <c r="JH580" s="25"/>
      <c r="JI580" s="25"/>
      <c r="JJ580" s="25"/>
      <c r="JK580" s="25"/>
      <c r="JL580" s="25"/>
      <c r="JM580" s="25"/>
      <c r="JN580" s="25"/>
      <c r="JO580" s="25"/>
      <c r="JP580" s="25"/>
      <c r="JQ580" s="25"/>
      <c r="JR580" s="25"/>
      <c r="JS580" s="25"/>
      <c r="JT580" s="25"/>
      <c r="JU580" s="25"/>
      <c r="JV580" s="25"/>
      <c r="JW580" s="25"/>
      <c r="JX580" s="25"/>
      <c r="JY580" s="25"/>
      <c r="JZ580" s="25"/>
      <c r="KA580" s="25"/>
      <c r="KB580" s="25"/>
      <c r="KC580" s="25"/>
      <c r="KD580" s="25"/>
      <c r="KE580" s="25"/>
      <c r="KF580" s="25"/>
      <c r="KG580" s="25"/>
      <c r="KH580" s="25"/>
      <c r="KI580" s="25"/>
      <c r="KJ580" s="25"/>
      <c r="KK580" s="25"/>
      <c r="KL580" s="25"/>
      <c r="KM580" s="25"/>
      <c r="KN580" s="25"/>
      <c r="KO580" s="25"/>
      <c r="KP580" s="25"/>
      <c r="KQ580" s="25"/>
      <c r="KR580" s="25"/>
      <c r="KS580" s="25"/>
      <c r="KT580" s="25"/>
      <c r="KU580" s="25"/>
      <c r="KV580" s="25"/>
      <c r="KW580" s="25"/>
      <c r="KX580" s="25"/>
      <c r="KY580" s="25"/>
      <c r="KZ580" s="25"/>
      <c r="LA580" s="25"/>
      <c r="LB580" s="25"/>
      <c r="LC580" s="25"/>
      <c r="LD580" s="25"/>
      <c r="LE580" s="25"/>
      <c r="LF580" s="25"/>
      <c r="LG580" s="25"/>
      <c r="LH580" s="25"/>
      <c r="LI580" s="25"/>
      <c r="LJ580" s="25"/>
      <c r="LK580" s="25"/>
      <c r="LL580" s="25"/>
      <c r="LM580" s="25"/>
      <c r="LN580" s="25"/>
      <c r="LO580" s="25"/>
      <c r="LP580" s="25"/>
      <c r="LQ580" s="25"/>
      <c r="LR580" s="25"/>
      <c r="LS580" s="25"/>
      <c r="LT580" s="25"/>
      <c r="LU580" s="25"/>
      <c r="LV580" s="25"/>
      <c r="LW580" s="25"/>
      <c r="LX580" s="25"/>
      <c r="LY580" s="25"/>
      <c r="LZ580" s="25"/>
      <c r="MA580" s="25"/>
      <c r="MB580" s="25"/>
      <c r="MC580" s="25"/>
      <c r="MD580" s="25"/>
      <c r="ME580" s="25"/>
      <c r="MF580" s="25"/>
      <c r="MG580" s="25"/>
      <c r="MH580" s="25"/>
      <c r="MI580" s="25"/>
      <c r="MJ580" s="25"/>
      <c r="MK580" s="25"/>
      <c r="ML580" s="25"/>
      <c r="MM580" s="25"/>
      <c r="MN580" s="25"/>
      <c r="MO580" s="25"/>
      <c r="MP580" s="25"/>
      <c r="MQ580" s="25"/>
      <c r="MR580" s="25"/>
      <c r="MS580" s="25"/>
      <c r="MT580" s="25"/>
      <c r="MU580" s="25"/>
      <c r="MV580" s="25"/>
      <c r="MW580" s="25"/>
      <c r="MX580" s="25"/>
      <c r="MY580" s="25"/>
      <c r="MZ580" s="25"/>
      <c r="NA580" s="25"/>
      <c r="NB580" s="25"/>
      <c r="NC580" s="25"/>
      <c r="ND580" s="25"/>
      <c r="NE580" s="25"/>
      <c r="NF580" s="25"/>
      <c r="NG580" s="25"/>
      <c r="NH580" s="25"/>
      <c r="NI580" s="25"/>
      <c r="NJ580" s="25"/>
      <c r="NK580" s="25"/>
      <c r="NL580" s="25"/>
      <c r="NM580" s="25"/>
      <c r="NN580" s="25"/>
      <c r="NO580" s="25"/>
      <c r="NP580" s="25"/>
      <c r="NQ580" s="25"/>
      <c r="NR580" s="25"/>
      <c r="NS580" s="25"/>
      <c r="NT580" s="25"/>
      <c r="NU580" s="25"/>
      <c r="NV580" s="25"/>
      <c r="NW580" s="25"/>
      <c r="NX580" s="25"/>
      <c r="NY580" s="25"/>
      <c r="NZ580" s="25"/>
      <c r="OA580" s="25"/>
      <c r="OB580" s="25"/>
      <c r="OC580" s="25"/>
      <c r="OD580" s="25"/>
      <c r="OE580" s="25"/>
      <c r="OF580" s="25"/>
      <c r="OG580" s="25"/>
      <c r="OH580" s="25"/>
      <c r="OI580" s="25"/>
      <c r="OJ580" s="25"/>
      <c r="OK580" s="25"/>
      <c r="OL580" s="25"/>
      <c r="OM580" s="25"/>
      <c r="ON580" s="25"/>
      <c r="OO580" s="25"/>
      <c r="OP580" s="25"/>
      <c r="OQ580" s="25"/>
      <c r="OR580" s="25"/>
      <c r="OS580" s="25"/>
      <c r="OT580" s="25"/>
      <c r="OU580" s="25"/>
      <c r="OV580" s="25"/>
      <c r="OW580" s="25"/>
      <c r="OX580" s="25"/>
      <c r="OY580" s="25"/>
      <c r="OZ580" s="25"/>
      <c r="PA580" s="25"/>
      <c r="PB580" s="25"/>
      <c r="PC580" s="25"/>
      <c r="PD580" s="25"/>
      <c r="PE580" s="25"/>
      <c r="PF580" s="25"/>
      <c r="PG580" s="25"/>
      <c r="PH580" s="25"/>
      <c r="PI580" s="25"/>
      <c r="PJ580" s="25"/>
      <c r="PK580" s="25"/>
      <c r="PL580" s="25"/>
      <c r="PM580" s="25"/>
      <c r="PN580" s="25"/>
      <c r="PO580" s="25"/>
      <c r="PP580" s="25"/>
      <c r="PQ580" s="25"/>
      <c r="PR580" s="25"/>
      <c r="PS580" s="25"/>
      <c r="PT580" s="25"/>
      <c r="PU580" s="25"/>
      <c r="PV580" s="25"/>
      <c r="PW580" s="25"/>
      <c r="PX580" s="25"/>
      <c r="PY580" s="25"/>
      <c r="PZ580" s="25"/>
      <c r="QA580" s="25"/>
      <c r="QB580" s="25"/>
      <c r="QC580" s="25"/>
      <c r="QD580" s="25"/>
      <c r="QE580" s="25"/>
      <c r="QF580" s="25"/>
      <c r="QG580" s="25"/>
      <c r="QH580" s="25"/>
      <c r="QI580" s="25"/>
      <c r="QJ580" s="25"/>
      <c r="QK580" s="25"/>
      <c r="QL580" s="25"/>
      <c r="QM580" s="25"/>
      <c r="QN580" s="25"/>
      <c r="QO580" s="25"/>
      <c r="QP580" s="25"/>
      <c r="QQ580" s="25"/>
      <c r="QR580" s="25"/>
      <c r="QS580" s="25"/>
      <c r="QT580" s="25"/>
      <c r="QU580" s="25"/>
      <c r="QV580" s="25"/>
      <c r="QW580" s="25"/>
      <c r="QX580" s="25"/>
      <c r="QY580" s="25"/>
      <c r="QZ580" s="25"/>
      <c r="RA580" s="25"/>
      <c r="RB580" s="25"/>
      <c r="RC580" s="25"/>
      <c r="RD580" s="25"/>
      <c r="RE580" s="25"/>
      <c r="RF580" s="25"/>
      <c r="RG580" s="25"/>
      <c r="RH580" s="25"/>
      <c r="RI580" s="25"/>
      <c r="RJ580" s="25"/>
      <c r="RK580" s="25"/>
      <c r="RL580" s="25"/>
      <c r="RM580" s="25"/>
      <c r="RN580" s="25"/>
      <c r="RO580" s="25"/>
      <c r="RP580" s="25"/>
      <c r="RQ580" s="25"/>
      <c r="RR580" s="25"/>
      <c r="RS580" s="25"/>
      <c r="RT580" s="25"/>
      <c r="RU580" s="25"/>
      <c r="RV580" s="25"/>
      <c r="RW580" s="25"/>
      <c r="RX580" s="25"/>
      <c r="RY580" s="25"/>
      <c r="RZ580" s="25"/>
      <c r="SA580" s="25"/>
      <c r="SB580" s="25"/>
      <c r="SC580" s="25"/>
      <c r="SD580" s="25"/>
      <c r="SE580" s="25"/>
      <c r="SF580" s="25"/>
      <c r="SG580" s="25"/>
      <c r="SH580" s="25"/>
      <c r="SI580" s="25"/>
      <c r="SJ580" s="25"/>
      <c r="SK580" s="25"/>
      <c r="SL580" s="25"/>
      <c r="SM580" s="25"/>
      <c r="SN580" s="25"/>
      <c r="SO580" s="25"/>
      <c r="SP580" s="25"/>
      <c r="SQ580" s="25"/>
      <c r="SR580" s="25"/>
      <c r="SS580" s="25"/>
      <c r="ST580" s="25"/>
      <c r="SU580" s="25"/>
      <c r="SV580" s="25"/>
      <c r="SW580" s="25"/>
      <c r="SX580" s="25"/>
      <c r="SY580" s="25"/>
      <c r="SZ580" s="25"/>
      <c r="TA580" s="25"/>
      <c r="TB580" s="25"/>
      <c r="TC580" s="25"/>
      <c r="TD580" s="25"/>
      <c r="TE580" s="25"/>
      <c r="TF580" s="25"/>
      <c r="TG580" s="25"/>
      <c r="TH580" s="25"/>
      <c r="TI580" s="25"/>
      <c r="TJ580" s="25"/>
      <c r="TK580" s="25"/>
      <c r="TL580" s="25"/>
      <c r="TM580" s="25"/>
      <c r="TN580" s="25"/>
      <c r="TO580" s="25"/>
      <c r="TP580" s="25"/>
      <c r="TQ580" s="25"/>
      <c r="TR580" s="25"/>
      <c r="TS580" s="25"/>
      <c r="TT580" s="25"/>
      <c r="TU580" s="25"/>
      <c r="TV580" s="25"/>
      <c r="TW580" s="25"/>
      <c r="TX580" s="25"/>
      <c r="TY580" s="25"/>
      <c r="TZ580" s="25"/>
      <c r="UA580" s="25"/>
      <c r="UB580" s="25"/>
      <c r="UC580" s="25"/>
      <c r="UD580" s="25"/>
      <c r="UE580" s="25"/>
      <c r="UF580" s="25"/>
      <c r="UG580" s="26"/>
    </row>
    <row r="581" spans="1:553" ht="50.25" customHeight="1">
      <c r="A581" s="356" t="s">
        <v>30</v>
      </c>
      <c r="B581" s="385">
        <v>39</v>
      </c>
      <c r="C581" s="1404" t="s">
        <v>409</v>
      </c>
      <c r="D581" s="1389"/>
      <c r="E581" s="1389"/>
      <c r="F581" s="1390"/>
      <c r="G581" s="386" t="s">
        <v>33</v>
      </c>
      <c r="H581" s="370"/>
      <c r="I581" s="417">
        <f>0.38*2.09*2</f>
        <v>1.5883999999999998</v>
      </c>
      <c r="J581" s="368">
        <v>39000</v>
      </c>
      <c r="K581" s="371"/>
      <c r="L581" s="487">
        <f t="shared" si="101"/>
        <v>61947.599999999991</v>
      </c>
      <c r="M581" s="395"/>
      <c r="N581" s="395"/>
      <c r="O581" s="366"/>
      <c r="P581" s="396"/>
      <c r="Q581" s="473"/>
      <c r="R581" s="1039"/>
      <c r="S581" s="308"/>
      <c r="T581" s="308"/>
      <c r="U581" s="308"/>
      <c r="V581" s="308"/>
      <c r="W581" s="308"/>
      <c r="X581" s="308"/>
      <c r="Y581" s="308"/>
      <c r="Z581" s="604"/>
      <c r="AA581" s="308"/>
      <c r="AB581" s="308"/>
      <c r="AC581" s="449"/>
      <c r="AD581" s="449"/>
      <c r="AE581" s="449"/>
      <c r="AF581" s="449"/>
      <c r="AG581" s="452"/>
      <c r="AH581" s="452"/>
      <c r="AI581" s="452"/>
      <c r="AJ581" s="452"/>
      <c r="AK581" s="452"/>
      <c r="AL581" s="104"/>
      <c r="AM581" s="32"/>
      <c r="AN581" s="32"/>
      <c r="AO581" s="32"/>
      <c r="AP581" s="32"/>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25"/>
      <c r="BN581" s="25"/>
      <c r="BO581" s="25"/>
      <c r="BP581" s="25"/>
      <c r="BQ581" s="25"/>
      <c r="BR581" s="25"/>
      <c r="BS581" s="25"/>
      <c r="BT581" s="25"/>
      <c r="BU581" s="25"/>
      <c r="BV581" s="25"/>
      <c r="BW581" s="25"/>
      <c r="BX581" s="25"/>
      <c r="BY581" s="25"/>
      <c r="BZ581" s="25"/>
      <c r="CA581" s="25"/>
      <c r="CB581" s="25"/>
      <c r="CC581" s="25"/>
      <c r="CD581" s="25"/>
      <c r="CE581" s="25"/>
      <c r="CF581" s="25"/>
      <c r="CG581" s="25"/>
      <c r="CH581" s="25"/>
      <c r="CI581" s="25"/>
      <c r="CJ581" s="25"/>
      <c r="CK581" s="25"/>
      <c r="CL581" s="25"/>
      <c r="CM581" s="25"/>
      <c r="CN581" s="25"/>
      <c r="CO581" s="25"/>
      <c r="CP581" s="25"/>
      <c r="CQ581" s="25"/>
      <c r="CR581" s="25"/>
      <c r="CS581" s="25"/>
      <c r="CT581" s="25"/>
      <c r="CU581" s="25"/>
      <c r="CV581" s="25"/>
      <c r="CW581" s="25"/>
      <c r="CX581" s="25"/>
      <c r="CY581" s="25"/>
      <c r="CZ581" s="25"/>
      <c r="DA581" s="25"/>
      <c r="DB581" s="25"/>
      <c r="DC581" s="25"/>
      <c r="DD581" s="25"/>
      <c r="DE581" s="25"/>
      <c r="DF581" s="25"/>
      <c r="DG581" s="25"/>
      <c r="DH581" s="25"/>
      <c r="DI581" s="25"/>
      <c r="DJ581" s="25"/>
      <c r="DK581" s="25"/>
      <c r="DL581" s="25"/>
      <c r="DM581" s="25"/>
      <c r="DN581" s="25"/>
      <c r="DO581" s="25"/>
      <c r="DP581" s="25"/>
      <c r="DQ581" s="25"/>
      <c r="DR581" s="25"/>
      <c r="DS581" s="25"/>
      <c r="DT581" s="25"/>
      <c r="DU581" s="25"/>
      <c r="DV581" s="25"/>
      <c r="DW581" s="25"/>
      <c r="DX581" s="25"/>
      <c r="DY581" s="25"/>
      <c r="DZ581" s="25"/>
      <c r="EA581" s="25"/>
      <c r="EB581" s="25"/>
      <c r="EC581" s="25"/>
      <c r="ED581" s="25"/>
      <c r="EE581" s="25"/>
      <c r="EF581" s="25"/>
      <c r="EG581" s="25"/>
      <c r="EH581" s="25"/>
      <c r="EI581" s="25"/>
      <c r="EJ581" s="25"/>
      <c r="EK581" s="25"/>
      <c r="EL581" s="25"/>
      <c r="EM581" s="25"/>
      <c r="EN581" s="25"/>
      <c r="EO581" s="25"/>
      <c r="EP581" s="25"/>
      <c r="EQ581" s="25"/>
      <c r="ER581" s="25"/>
      <c r="ES581" s="25"/>
      <c r="ET581" s="25"/>
      <c r="EU581" s="25"/>
      <c r="EV581" s="25"/>
      <c r="EW581" s="25"/>
      <c r="EX581" s="25"/>
      <c r="EY581" s="25"/>
      <c r="EZ581" s="25"/>
      <c r="FA581" s="25"/>
      <c r="FB581" s="25"/>
      <c r="FC581" s="25"/>
      <c r="FD581" s="25"/>
      <c r="FE581" s="25"/>
      <c r="FF581" s="25"/>
      <c r="FG581" s="25"/>
      <c r="FH581" s="25"/>
      <c r="FI581" s="25"/>
      <c r="FJ581" s="25"/>
      <c r="FK581" s="25"/>
      <c r="FL581" s="25"/>
      <c r="FM581" s="25"/>
      <c r="FN581" s="25"/>
      <c r="FO581" s="25"/>
      <c r="FP581" s="25"/>
      <c r="FQ581" s="25"/>
      <c r="FR581" s="25"/>
      <c r="FS581" s="25"/>
      <c r="FT581" s="25"/>
      <c r="FU581" s="25"/>
      <c r="FV581" s="25"/>
      <c r="FW581" s="25"/>
      <c r="FX581" s="25"/>
      <c r="FY581" s="25"/>
      <c r="FZ581" s="25"/>
      <c r="GA581" s="25"/>
      <c r="GB581" s="25"/>
      <c r="GC581" s="25"/>
      <c r="GD581" s="25"/>
      <c r="GE581" s="25"/>
      <c r="GF581" s="25"/>
      <c r="GG581" s="25"/>
      <c r="GH581" s="25"/>
      <c r="GI581" s="25"/>
      <c r="GJ581" s="25"/>
      <c r="GK581" s="25"/>
      <c r="GL581" s="25"/>
      <c r="GM581" s="25"/>
      <c r="GN581" s="25"/>
      <c r="GO581" s="25"/>
      <c r="GP581" s="25"/>
      <c r="GQ581" s="25"/>
      <c r="GR581" s="25"/>
      <c r="GS581" s="25"/>
      <c r="GT581" s="25"/>
      <c r="GU581" s="25"/>
      <c r="GV581" s="25"/>
      <c r="GW581" s="25"/>
      <c r="GX581" s="25"/>
      <c r="GY581" s="25"/>
      <c r="GZ581" s="25"/>
      <c r="HA581" s="25"/>
      <c r="HB581" s="25"/>
      <c r="HC581" s="25"/>
      <c r="HD581" s="25"/>
      <c r="HE581" s="25"/>
      <c r="HF581" s="25"/>
      <c r="HG581" s="25"/>
      <c r="HH581" s="25"/>
      <c r="HI581" s="25"/>
      <c r="HJ581" s="25"/>
      <c r="HK581" s="25"/>
      <c r="HL581" s="25"/>
      <c r="HM581" s="25"/>
      <c r="HN581" s="25"/>
      <c r="HO581" s="25"/>
      <c r="HP581" s="25"/>
      <c r="HQ581" s="25"/>
      <c r="HR581" s="25"/>
      <c r="HS581" s="25"/>
      <c r="HT581" s="25"/>
      <c r="HU581" s="25"/>
      <c r="HV581" s="25"/>
      <c r="HW581" s="25"/>
      <c r="HX581" s="25"/>
      <c r="HY581" s="25"/>
      <c r="HZ581" s="25"/>
      <c r="IA581" s="25"/>
      <c r="IB581" s="25"/>
      <c r="IC581" s="25"/>
      <c r="ID581" s="25"/>
      <c r="IE581" s="25"/>
      <c r="IF581" s="25"/>
      <c r="IG581" s="25"/>
      <c r="IH581" s="25"/>
      <c r="II581" s="25"/>
      <c r="IJ581" s="25"/>
      <c r="IK581" s="25"/>
      <c r="IL581" s="25"/>
      <c r="IM581" s="25"/>
      <c r="IN581" s="25"/>
      <c r="IO581" s="25"/>
      <c r="IP581" s="25"/>
      <c r="IQ581" s="25"/>
      <c r="IR581" s="25"/>
      <c r="IS581" s="25"/>
      <c r="IT581" s="25"/>
      <c r="IU581" s="25"/>
      <c r="IV581" s="25"/>
      <c r="IW581" s="25"/>
      <c r="IX581" s="25"/>
      <c r="IY581" s="25"/>
      <c r="IZ581" s="25"/>
      <c r="JA581" s="25"/>
      <c r="JB581" s="25"/>
      <c r="JC581" s="25"/>
      <c r="JD581" s="25"/>
      <c r="JE581" s="25"/>
      <c r="JF581" s="25"/>
      <c r="JG581" s="25"/>
      <c r="JH581" s="25"/>
      <c r="JI581" s="25"/>
      <c r="JJ581" s="25"/>
      <c r="JK581" s="25"/>
      <c r="JL581" s="25"/>
      <c r="JM581" s="25"/>
      <c r="JN581" s="25"/>
      <c r="JO581" s="25"/>
      <c r="JP581" s="25"/>
      <c r="JQ581" s="25"/>
      <c r="JR581" s="25"/>
      <c r="JS581" s="25"/>
      <c r="JT581" s="25"/>
      <c r="JU581" s="25"/>
      <c r="JV581" s="25"/>
      <c r="JW581" s="25"/>
      <c r="JX581" s="25"/>
      <c r="JY581" s="25"/>
      <c r="JZ581" s="25"/>
      <c r="KA581" s="25"/>
      <c r="KB581" s="25"/>
      <c r="KC581" s="25"/>
      <c r="KD581" s="25"/>
      <c r="KE581" s="25"/>
      <c r="KF581" s="25"/>
      <c r="KG581" s="25"/>
      <c r="KH581" s="25"/>
      <c r="KI581" s="25"/>
      <c r="KJ581" s="25"/>
      <c r="KK581" s="25"/>
      <c r="KL581" s="25"/>
      <c r="KM581" s="25"/>
      <c r="KN581" s="25"/>
      <c r="KO581" s="25"/>
      <c r="KP581" s="25"/>
      <c r="KQ581" s="25"/>
      <c r="KR581" s="25"/>
      <c r="KS581" s="25"/>
      <c r="KT581" s="25"/>
      <c r="KU581" s="25"/>
      <c r="KV581" s="25"/>
      <c r="KW581" s="25"/>
      <c r="KX581" s="25"/>
      <c r="KY581" s="25"/>
      <c r="KZ581" s="25"/>
      <c r="LA581" s="25"/>
      <c r="LB581" s="25"/>
      <c r="LC581" s="25"/>
      <c r="LD581" s="25"/>
      <c r="LE581" s="25"/>
      <c r="LF581" s="25"/>
      <c r="LG581" s="25"/>
      <c r="LH581" s="25"/>
      <c r="LI581" s="25"/>
      <c r="LJ581" s="25"/>
      <c r="LK581" s="25"/>
      <c r="LL581" s="25"/>
      <c r="LM581" s="25"/>
      <c r="LN581" s="25"/>
      <c r="LO581" s="25"/>
      <c r="LP581" s="25"/>
      <c r="LQ581" s="25"/>
      <c r="LR581" s="25"/>
      <c r="LS581" s="25"/>
      <c r="LT581" s="25"/>
      <c r="LU581" s="25"/>
      <c r="LV581" s="25"/>
      <c r="LW581" s="25"/>
      <c r="LX581" s="25"/>
      <c r="LY581" s="25"/>
      <c r="LZ581" s="25"/>
      <c r="MA581" s="25"/>
      <c r="MB581" s="25"/>
      <c r="MC581" s="25"/>
      <c r="MD581" s="25"/>
      <c r="ME581" s="25"/>
      <c r="MF581" s="25"/>
      <c r="MG581" s="25"/>
      <c r="MH581" s="25"/>
      <c r="MI581" s="25"/>
      <c r="MJ581" s="25"/>
      <c r="MK581" s="25"/>
      <c r="ML581" s="25"/>
      <c r="MM581" s="25"/>
      <c r="MN581" s="25"/>
      <c r="MO581" s="25"/>
      <c r="MP581" s="25"/>
      <c r="MQ581" s="25"/>
      <c r="MR581" s="25"/>
      <c r="MS581" s="25"/>
      <c r="MT581" s="25"/>
      <c r="MU581" s="25"/>
      <c r="MV581" s="25"/>
      <c r="MW581" s="25"/>
      <c r="MX581" s="25"/>
      <c r="MY581" s="25"/>
      <c r="MZ581" s="25"/>
      <c r="NA581" s="25"/>
      <c r="NB581" s="25"/>
      <c r="NC581" s="25"/>
      <c r="ND581" s="25"/>
      <c r="NE581" s="25"/>
      <c r="NF581" s="25"/>
      <c r="NG581" s="25"/>
      <c r="NH581" s="25"/>
      <c r="NI581" s="25"/>
      <c r="NJ581" s="25"/>
      <c r="NK581" s="25"/>
      <c r="NL581" s="25"/>
      <c r="NM581" s="25"/>
      <c r="NN581" s="25"/>
      <c r="NO581" s="25"/>
      <c r="NP581" s="25"/>
      <c r="NQ581" s="25"/>
      <c r="NR581" s="25"/>
      <c r="NS581" s="25"/>
      <c r="NT581" s="25"/>
      <c r="NU581" s="25"/>
      <c r="NV581" s="25"/>
      <c r="NW581" s="25"/>
      <c r="NX581" s="25"/>
      <c r="NY581" s="25"/>
      <c r="NZ581" s="25"/>
      <c r="OA581" s="25"/>
      <c r="OB581" s="25"/>
      <c r="OC581" s="25"/>
      <c r="OD581" s="25"/>
      <c r="OE581" s="25"/>
      <c r="OF581" s="25"/>
      <c r="OG581" s="25"/>
      <c r="OH581" s="25"/>
      <c r="OI581" s="25"/>
      <c r="OJ581" s="25"/>
      <c r="OK581" s="25"/>
      <c r="OL581" s="25"/>
      <c r="OM581" s="25"/>
      <c r="ON581" s="25"/>
      <c r="OO581" s="25"/>
      <c r="OP581" s="25"/>
      <c r="OQ581" s="25"/>
      <c r="OR581" s="25"/>
      <c r="OS581" s="25"/>
      <c r="OT581" s="25"/>
      <c r="OU581" s="25"/>
      <c r="OV581" s="25"/>
      <c r="OW581" s="25"/>
      <c r="OX581" s="25"/>
      <c r="OY581" s="25"/>
      <c r="OZ581" s="25"/>
      <c r="PA581" s="25"/>
      <c r="PB581" s="25"/>
      <c r="PC581" s="25"/>
      <c r="PD581" s="25"/>
      <c r="PE581" s="25"/>
      <c r="PF581" s="25"/>
      <c r="PG581" s="25"/>
      <c r="PH581" s="25"/>
      <c r="PI581" s="25"/>
      <c r="PJ581" s="25"/>
      <c r="PK581" s="25"/>
      <c r="PL581" s="25"/>
      <c r="PM581" s="25"/>
      <c r="PN581" s="25"/>
      <c r="PO581" s="25"/>
      <c r="PP581" s="25"/>
      <c r="PQ581" s="25"/>
      <c r="PR581" s="25"/>
      <c r="PS581" s="25"/>
      <c r="PT581" s="25"/>
      <c r="PU581" s="25"/>
      <c r="PV581" s="25"/>
      <c r="PW581" s="25"/>
      <c r="PX581" s="25"/>
      <c r="PY581" s="25"/>
      <c r="PZ581" s="25"/>
      <c r="QA581" s="25"/>
      <c r="QB581" s="25"/>
      <c r="QC581" s="25"/>
      <c r="QD581" s="25"/>
      <c r="QE581" s="25"/>
      <c r="QF581" s="25"/>
      <c r="QG581" s="25"/>
      <c r="QH581" s="25"/>
      <c r="QI581" s="25"/>
      <c r="QJ581" s="25"/>
      <c r="QK581" s="25"/>
      <c r="QL581" s="25"/>
      <c r="QM581" s="25"/>
      <c r="QN581" s="25"/>
      <c r="QO581" s="25"/>
      <c r="QP581" s="25"/>
      <c r="QQ581" s="25"/>
      <c r="QR581" s="25"/>
      <c r="QS581" s="25"/>
      <c r="QT581" s="25"/>
      <c r="QU581" s="25"/>
      <c r="QV581" s="25"/>
      <c r="QW581" s="25"/>
      <c r="QX581" s="25"/>
      <c r="QY581" s="25"/>
      <c r="QZ581" s="25"/>
      <c r="RA581" s="25"/>
      <c r="RB581" s="25"/>
      <c r="RC581" s="25"/>
      <c r="RD581" s="25"/>
      <c r="RE581" s="25"/>
      <c r="RF581" s="25"/>
      <c r="RG581" s="25"/>
      <c r="RH581" s="25"/>
      <c r="RI581" s="25"/>
      <c r="RJ581" s="25"/>
      <c r="RK581" s="25"/>
      <c r="RL581" s="25"/>
      <c r="RM581" s="25"/>
      <c r="RN581" s="25"/>
      <c r="RO581" s="25"/>
      <c r="RP581" s="25"/>
      <c r="RQ581" s="25"/>
      <c r="RR581" s="25"/>
      <c r="RS581" s="25"/>
      <c r="RT581" s="25"/>
      <c r="RU581" s="25"/>
      <c r="RV581" s="25"/>
      <c r="RW581" s="25"/>
      <c r="RX581" s="25"/>
      <c r="RY581" s="25"/>
      <c r="RZ581" s="25"/>
      <c r="SA581" s="25"/>
      <c r="SB581" s="25"/>
      <c r="SC581" s="25"/>
      <c r="SD581" s="25"/>
      <c r="SE581" s="25"/>
      <c r="SF581" s="25"/>
      <c r="SG581" s="25"/>
      <c r="SH581" s="25"/>
      <c r="SI581" s="25"/>
      <c r="SJ581" s="25"/>
      <c r="SK581" s="25"/>
      <c r="SL581" s="25"/>
      <c r="SM581" s="25"/>
      <c r="SN581" s="25"/>
      <c r="SO581" s="25"/>
      <c r="SP581" s="25"/>
      <c r="SQ581" s="25"/>
      <c r="SR581" s="25"/>
      <c r="SS581" s="25"/>
      <c r="ST581" s="25"/>
      <c r="SU581" s="25"/>
      <c r="SV581" s="25"/>
      <c r="SW581" s="25"/>
      <c r="SX581" s="25"/>
      <c r="SY581" s="25"/>
      <c r="SZ581" s="25"/>
      <c r="TA581" s="25"/>
      <c r="TB581" s="25"/>
      <c r="TC581" s="25"/>
      <c r="TD581" s="25"/>
      <c r="TE581" s="25"/>
      <c r="TF581" s="25"/>
      <c r="TG581" s="25"/>
      <c r="TH581" s="25"/>
      <c r="TI581" s="25"/>
      <c r="TJ581" s="25"/>
      <c r="TK581" s="25"/>
      <c r="TL581" s="25"/>
      <c r="TM581" s="25"/>
      <c r="TN581" s="25"/>
      <c r="TO581" s="25"/>
      <c r="TP581" s="25"/>
      <c r="TQ581" s="25"/>
      <c r="TR581" s="25"/>
      <c r="TS581" s="25"/>
      <c r="TT581" s="25"/>
      <c r="TU581" s="25"/>
      <c r="TV581" s="25"/>
      <c r="TW581" s="25"/>
      <c r="TX581" s="25"/>
      <c r="TY581" s="25"/>
      <c r="TZ581" s="25"/>
      <c r="UA581" s="25"/>
      <c r="UB581" s="25"/>
      <c r="UC581" s="25"/>
      <c r="UD581" s="25"/>
      <c r="UE581" s="25"/>
      <c r="UF581" s="25"/>
      <c r="UG581" s="26"/>
    </row>
    <row r="582" spans="1:553" ht="50.25" customHeight="1">
      <c r="A582" s="356" t="s">
        <v>30</v>
      </c>
      <c r="B582" s="385">
        <v>39</v>
      </c>
      <c r="C582" s="1404" t="s">
        <v>410</v>
      </c>
      <c r="D582" s="1389"/>
      <c r="E582" s="1389"/>
      <c r="F582" s="1390"/>
      <c r="G582" s="386" t="s">
        <v>33</v>
      </c>
      <c r="H582" s="370"/>
      <c r="I582" s="417">
        <f>0.64*1.8*2</f>
        <v>2.3040000000000003</v>
      </c>
      <c r="J582" s="368">
        <v>39000</v>
      </c>
      <c r="K582" s="371"/>
      <c r="L582" s="487">
        <f t="shared" si="101"/>
        <v>89856.000000000015</v>
      </c>
      <c r="M582" s="395"/>
      <c r="N582" s="395"/>
      <c r="O582" s="366"/>
      <c r="P582" s="396"/>
      <c r="Q582" s="473"/>
      <c r="R582" s="1039"/>
      <c r="S582" s="308"/>
      <c r="T582" s="308"/>
      <c r="U582" s="308"/>
      <c r="V582" s="308"/>
      <c r="W582" s="308"/>
      <c r="X582" s="308"/>
      <c r="Y582" s="308"/>
      <c r="Z582" s="604"/>
      <c r="AA582" s="308"/>
      <c r="AB582" s="308"/>
      <c r="AC582" s="449"/>
      <c r="AD582" s="449"/>
      <c r="AE582" s="449"/>
      <c r="AF582" s="449"/>
      <c r="AG582" s="452"/>
      <c r="AH582" s="452"/>
      <c r="AI582" s="452"/>
      <c r="AJ582" s="452"/>
      <c r="AK582" s="452"/>
      <c r="AL582" s="104"/>
      <c r="AM582" s="32"/>
      <c r="AN582" s="32"/>
      <c r="AO582" s="32"/>
      <c r="AP582" s="32"/>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25"/>
      <c r="BN582" s="25"/>
      <c r="BO582" s="25"/>
      <c r="BP582" s="25"/>
      <c r="BQ582" s="25"/>
      <c r="BR582" s="25"/>
      <c r="BS582" s="25"/>
      <c r="BT582" s="25"/>
      <c r="BU582" s="25"/>
      <c r="BV582" s="25"/>
      <c r="BW582" s="25"/>
      <c r="BX582" s="25"/>
      <c r="BY582" s="25"/>
      <c r="BZ582" s="25"/>
      <c r="CA582" s="25"/>
      <c r="CB582" s="25"/>
      <c r="CC582" s="25"/>
      <c r="CD582" s="25"/>
      <c r="CE582" s="25"/>
      <c r="CF582" s="25"/>
      <c r="CG582" s="25"/>
      <c r="CH582" s="25"/>
      <c r="CI582" s="25"/>
      <c r="CJ582" s="25"/>
      <c r="CK582" s="25"/>
      <c r="CL582" s="25"/>
      <c r="CM582" s="25"/>
      <c r="CN582" s="25"/>
      <c r="CO582" s="25"/>
      <c r="CP582" s="25"/>
      <c r="CQ582" s="25"/>
      <c r="CR582" s="25"/>
      <c r="CS582" s="25"/>
      <c r="CT582" s="25"/>
      <c r="CU582" s="25"/>
      <c r="CV582" s="25"/>
      <c r="CW582" s="25"/>
      <c r="CX582" s="25"/>
      <c r="CY582" s="25"/>
      <c r="CZ582" s="25"/>
      <c r="DA582" s="25"/>
      <c r="DB582" s="25"/>
      <c r="DC582" s="25"/>
      <c r="DD582" s="25"/>
      <c r="DE582" s="25"/>
      <c r="DF582" s="25"/>
      <c r="DG582" s="25"/>
      <c r="DH582" s="25"/>
      <c r="DI582" s="25"/>
      <c r="DJ582" s="25"/>
      <c r="DK582" s="25"/>
      <c r="DL582" s="25"/>
      <c r="DM582" s="25"/>
      <c r="DN582" s="25"/>
      <c r="DO582" s="25"/>
      <c r="DP582" s="25"/>
      <c r="DQ582" s="25"/>
      <c r="DR582" s="25"/>
      <c r="DS582" s="25"/>
      <c r="DT582" s="25"/>
      <c r="DU582" s="25"/>
      <c r="DV582" s="25"/>
      <c r="DW582" s="25"/>
      <c r="DX582" s="25"/>
      <c r="DY582" s="25"/>
      <c r="DZ582" s="25"/>
      <c r="EA582" s="25"/>
      <c r="EB582" s="25"/>
      <c r="EC582" s="25"/>
      <c r="ED582" s="25"/>
      <c r="EE582" s="25"/>
      <c r="EF582" s="25"/>
      <c r="EG582" s="25"/>
      <c r="EH582" s="25"/>
      <c r="EI582" s="25"/>
      <c r="EJ582" s="25"/>
      <c r="EK582" s="25"/>
      <c r="EL582" s="25"/>
      <c r="EM582" s="25"/>
      <c r="EN582" s="25"/>
      <c r="EO582" s="25"/>
      <c r="EP582" s="25"/>
      <c r="EQ582" s="25"/>
      <c r="ER582" s="25"/>
      <c r="ES582" s="25"/>
      <c r="ET582" s="25"/>
      <c r="EU582" s="25"/>
      <c r="EV582" s="25"/>
      <c r="EW582" s="25"/>
      <c r="EX582" s="25"/>
      <c r="EY582" s="25"/>
      <c r="EZ582" s="25"/>
      <c r="FA582" s="25"/>
      <c r="FB582" s="25"/>
      <c r="FC582" s="25"/>
      <c r="FD582" s="25"/>
      <c r="FE582" s="25"/>
      <c r="FF582" s="25"/>
      <c r="FG582" s="25"/>
      <c r="FH582" s="25"/>
      <c r="FI582" s="25"/>
      <c r="FJ582" s="25"/>
      <c r="FK582" s="25"/>
      <c r="FL582" s="25"/>
      <c r="FM582" s="25"/>
      <c r="FN582" s="25"/>
      <c r="FO582" s="25"/>
      <c r="FP582" s="25"/>
      <c r="FQ582" s="25"/>
      <c r="FR582" s="25"/>
      <c r="FS582" s="25"/>
      <c r="FT582" s="25"/>
      <c r="FU582" s="25"/>
      <c r="FV582" s="25"/>
      <c r="FW582" s="25"/>
      <c r="FX582" s="25"/>
      <c r="FY582" s="25"/>
      <c r="FZ582" s="25"/>
      <c r="GA582" s="25"/>
      <c r="GB582" s="25"/>
      <c r="GC582" s="25"/>
      <c r="GD582" s="25"/>
      <c r="GE582" s="25"/>
      <c r="GF582" s="25"/>
      <c r="GG582" s="25"/>
      <c r="GH582" s="25"/>
      <c r="GI582" s="25"/>
      <c r="GJ582" s="25"/>
      <c r="GK582" s="25"/>
      <c r="GL582" s="25"/>
      <c r="GM582" s="25"/>
      <c r="GN582" s="25"/>
      <c r="GO582" s="25"/>
      <c r="GP582" s="25"/>
      <c r="GQ582" s="25"/>
      <c r="GR582" s="25"/>
      <c r="GS582" s="25"/>
      <c r="GT582" s="25"/>
      <c r="GU582" s="25"/>
      <c r="GV582" s="25"/>
      <c r="GW582" s="25"/>
      <c r="GX582" s="25"/>
      <c r="GY582" s="25"/>
      <c r="GZ582" s="25"/>
      <c r="HA582" s="25"/>
      <c r="HB582" s="25"/>
      <c r="HC582" s="25"/>
      <c r="HD582" s="25"/>
      <c r="HE582" s="25"/>
      <c r="HF582" s="25"/>
      <c r="HG582" s="25"/>
      <c r="HH582" s="25"/>
      <c r="HI582" s="25"/>
      <c r="HJ582" s="25"/>
      <c r="HK582" s="25"/>
      <c r="HL582" s="25"/>
      <c r="HM582" s="25"/>
      <c r="HN582" s="25"/>
      <c r="HO582" s="25"/>
      <c r="HP582" s="25"/>
      <c r="HQ582" s="25"/>
      <c r="HR582" s="25"/>
      <c r="HS582" s="25"/>
      <c r="HT582" s="25"/>
      <c r="HU582" s="25"/>
      <c r="HV582" s="25"/>
      <c r="HW582" s="25"/>
      <c r="HX582" s="25"/>
      <c r="HY582" s="25"/>
      <c r="HZ582" s="25"/>
      <c r="IA582" s="25"/>
      <c r="IB582" s="25"/>
      <c r="IC582" s="25"/>
      <c r="ID582" s="25"/>
      <c r="IE582" s="25"/>
      <c r="IF582" s="25"/>
      <c r="IG582" s="25"/>
      <c r="IH582" s="25"/>
      <c r="II582" s="25"/>
      <c r="IJ582" s="25"/>
      <c r="IK582" s="25"/>
      <c r="IL582" s="25"/>
      <c r="IM582" s="25"/>
      <c r="IN582" s="25"/>
      <c r="IO582" s="25"/>
      <c r="IP582" s="25"/>
      <c r="IQ582" s="25"/>
      <c r="IR582" s="25"/>
      <c r="IS582" s="25"/>
      <c r="IT582" s="25"/>
      <c r="IU582" s="25"/>
      <c r="IV582" s="25"/>
      <c r="IW582" s="25"/>
      <c r="IX582" s="25"/>
      <c r="IY582" s="25"/>
      <c r="IZ582" s="25"/>
      <c r="JA582" s="25"/>
      <c r="JB582" s="25"/>
      <c r="JC582" s="25"/>
      <c r="JD582" s="25"/>
      <c r="JE582" s="25"/>
      <c r="JF582" s="25"/>
      <c r="JG582" s="25"/>
      <c r="JH582" s="25"/>
      <c r="JI582" s="25"/>
      <c r="JJ582" s="25"/>
      <c r="JK582" s="25"/>
      <c r="JL582" s="25"/>
      <c r="JM582" s="25"/>
      <c r="JN582" s="25"/>
      <c r="JO582" s="25"/>
      <c r="JP582" s="25"/>
      <c r="JQ582" s="25"/>
      <c r="JR582" s="25"/>
      <c r="JS582" s="25"/>
      <c r="JT582" s="25"/>
      <c r="JU582" s="25"/>
      <c r="JV582" s="25"/>
      <c r="JW582" s="25"/>
      <c r="JX582" s="25"/>
      <c r="JY582" s="25"/>
      <c r="JZ582" s="25"/>
      <c r="KA582" s="25"/>
      <c r="KB582" s="25"/>
      <c r="KC582" s="25"/>
      <c r="KD582" s="25"/>
      <c r="KE582" s="25"/>
      <c r="KF582" s="25"/>
      <c r="KG582" s="25"/>
      <c r="KH582" s="25"/>
      <c r="KI582" s="25"/>
      <c r="KJ582" s="25"/>
      <c r="KK582" s="25"/>
      <c r="KL582" s="25"/>
      <c r="KM582" s="25"/>
      <c r="KN582" s="25"/>
      <c r="KO582" s="25"/>
      <c r="KP582" s="25"/>
      <c r="KQ582" s="25"/>
      <c r="KR582" s="25"/>
      <c r="KS582" s="25"/>
      <c r="KT582" s="25"/>
      <c r="KU582" s="25"/>
      <c r="KV582" s="25"/>
      <c r="KW582" s="25"/>
      <c r="KX582" s="25"/>
      <c r="KY582" s="25"/>
      <c r="KZ582" s="25"/>
      <c r="LA582" s="25"/>
      <c r="LB582" s="25"/>
      <c r="LC582" s="25"/>
      <c r="LD582" s="25"/>
      <c r="LE582" s="25"/>
      <c r="LF582" s="25"/>
      <c r="LG582" s="25"/>
      <c r="LH582" s="25"/>
      <c r="LI582" s="25"/>
      <c r="LJ582" s="25"/>
      <c r="LK582" s="25"/>
      <c r="LL582" s="25"/>
      <c r="LM582" s="25"/>
      <c r="LN582" s="25"/>
      <c r="LO582" s="25"/>
      <c r="LP582" s="25"/>
      <c r="LQ582" s="25"/>
      <c r="LR582" s="25"/>
      <c r="LS582" s="25"/>
      <c r="LT582" s="25"/>
      <c r="LU582" s="25"/>
      <c r="LV582" s="25"/>
      <c r="LW582" s="25"/>
      <c r="LX582" s="25"/>
      <c r="LY582" s="25"/>
      <c r="LZ582" s="25"/>
      <c r="MA582" s="25"/>
      <c r="MB582" s="25"/>
      <c r="MC582" s="25"/>
      <c r="MD582" s="25"/>
      <c r="ME582" s="25"/>
      <c r="MF582" s="25"/>
      <c r="MG582" s="25"/>
      <c r="MH582" s="25"/>
      <c r="MI582" s="25"/>
      <c r="MJ582" s="25"/>
      <c r="MK582" s="25"/>
      <c r="ML582" s="25"/>
      <c r="MM582" s="25"/>
      <c r="MN582" s="25"/>
      <c r="MO582" s="25"/>
      <c r="MP582" s="25"/>
      <c r="MQ582" s="25"/>
      <c r="MR582" s="25"/>
      <c r="MS582" s="25"/>
      <c r="MT582" s="25"/>
      <c r="MU582" s="25"/>
      <c r="MV582" s="25"/>
      <c r="MW582" s="25"/>
      <c r="MX582" s="25"/>
      <c r="MY582" s="25"/>
      <c r="MZ582" s="25"/>
      <c r="NA582" s="25"/>
      <c r="NB582" s="25"/>
      <c r="NC582" s="25"/>
      <c r="ND582" s="25"/>
      <c r="NE582" s="25"/>
      <c r="NF582" s="25"/>
      <c r="NG582" s="25"/>
      <c r="NH582" s="25"/>
      <c r="NI582" s="25"/>
      <c r="NJ582" s="25"/>
      <c r="NK582" s="25"/>
      <c r="NL582" s="25"/>
      <c r="NM582" s="25"/>
      <c r="NN582" s="25"/>
      <c r="NO582" s="25"/>
      <c r="NP582" s="25"/>
      <c r="NQ582" s="25"/>
      <c r="NR582" s="25"/>
      <c r="NS582" s="25"/>
      <c r="NT582" s="25"/>
      <c r="NU582" s="25"/>
      <c r="NV582" s="25"/>
      <c r="NW582" s="25"/>
      <c r="NX582" s="25"/>
      <c r="NY582" s="25"/>
      <c r="NZ582" s="25"/>
      <c r="OA582" s="25"/>
      <c r="OB582" s="25"/>
      <c r="OC582" s="25"/>
      <c r="OD582" s="25"/>
      <c r="OE582" s="25"/>
      <c r="OF582" s="25"/>
      <c r="OG582" s="25"/>
      <c r="OH582" s="25"/>
      <c r="OI582" s="25"/>
      <c r="OJ582" s="25"/>
      <c r="OK582" s="25"/>
      <c r="OL582" s="25"/>
      <c r="OM582" s="25"/>
      <c r="ON582" s="25"/>
      <c r="OO582" s="25"/>
      <c r="OP582" s="25"/>
      <c r="OQ582" s="25"/>
      <c r="OR582" s="25"/>
      <c r="OS582" s="25"/>
      <c r="OT582" s="25"/>
      <c r="OU582" s="25"/>
      <c r="OV582" s="25"/>
      <c r="OW582" s="25"/>
      <c r="OX582" s="25"/>
      <c r="OY582" s="25"/>
      <c r="OZ582" s="25"/>
      <c r="PA582" s="25"/>
      <c r="PB582" s="25"/>
      <c r="PC582" s="25"/>
      <c r="PD582" s="25"/>
      <c r="PE582" s="25"/>
      <c r="PF582" s="25"/>
      <c r="PG582" s="25"/>
      <c r="PH582" s="25"/>
      <c r="PI582" s="25"/>
      <c r="PJ582" s="25"/>
      <c r="PK582" s="25"/>
      <c r="PL582" s="25"/>
      <c r="PM582" s="25"/>
      <c r="PN582" s="25"/>
      <c r="PO582" s="25"/>
      <c r="PP582" s="25"/>
      <c r="PQ582" s="25"/>
      <c r="PR582" s="25"/>
      <c r="PS582" s="25"/>
      <c r="PT582" s="25"/>
      <c r="PU582" s="25"/>
      <c r="PV582" s="25"/>
      <c r="PW582" s="25"/>
      <c r="PX582" s="25"/>
      <c r="PY582" s="25"/>
      <c r="PZ582" s="25"/>
      <c r="QA582" s="25"/>
      <c r="QB582" s="25"/>
      <c r="QC582" s="25"/>
      <c r="QD582" s="25"/>
      <c r="QE582" s="25"/>
      <c r="QF582" s="25"/>
      <c r="QG582" s="25"/>
      <c r="QH582" s="25"/>
      <c r="QI582" s="25"/>
      <c r="QJ582" s="25"/>
      <c r="QK582" s="25"/>
      <c r="QL582" s="25"/>
      <c r="QM582" s="25"/>
      <c r="QN582" s="25"/>
      <c r="QO582" s="25"/>
      <c r="QP582" s="25"/>
      <c r="QQ582" s="25"/>
      <c r="QR582" s="25"/>
      <c r="QS582" s="25"/>
      <c r="QT582" s="25"/>
      <c r="QU582" s="25"/>
      <c r="QV582" s="25"/>
      <c r="QW582" s="25"/>
      <c r="QX582" s="25"/>
      <c r="QY582" s="25"/>
      <c r="QZ582" s="25"/>
      <c r="RA582" s="25"/>
      <c r="RB582" s="25"/>
      <c r="RC582" s="25"/>
      <c r="RD582" s="25"/>
      <c r="RE582" s="25"/>
      <c r="RF582" s="25"/>
      <c r="RG582" s="25"/>
      <c r="RH582" s="25"/>
      <c r="RI582" s="25"/>
      <c r="RJ582" s="25"/>
      <c r="RK582" s="25"/>
      <c r="RL582" s="25"/>
      <c r="RM582" s="25"/>
      <c r="RN582" s="25"/>
      <c r="RO582" s="25"/>
      <c r="RP582" s="25"/>
      <c r="RQ582" s="25"/>
      <c r="RR582" s="25"/>
      <c r="RS582" s="25"/>
      <c r="RT582" s="25"/>
      <c r="RU582" s="25"/>
      <c r="RV582" s="25"/>
      <c r="RW582" s="25"/>
      <c r="RX582" s="25"/>
      <c r="RY582" s="25"/>
      <c r="RZ582" s="25"/>
      <c r="SA582" s="25"/>
      <c r="SB582" s="25"/>
      <c r="SC582" s="25"/>
      <c r="SD582" s="25"/>
      <c r="SE582" s="25"/>
      <c r="SF582" s="25"/>
      <c r="SG582" s="25"/>
      <c r="SH582" s="25"/>
      <c r="SI582" s="25"/>
      <c r="SJ582" s="25"/>
      <c r="SK582" s="25"/>
      <c r="SL582" s="25"/>
      <c r="SM582" s="25"/>
      <c r="SN582" s="25"/>
      <c r="SO582" s="25"/>
      <c r="SP582" s="25"/>
      <c r="SQ582" s="25"/>
      <c r="SR582" s="25"/>
      <c r="SS582" s="25"/>
      <c r="ST582" s="25"/>
      <c r="SU582" s="25"/>
      <c r="SV582" s="25"/>
      <c r="SW582" s="25"/>
      <c r="SX582" s="25"/>
      <c r="SY582" s="25"/>
      <c r="SZ582" s="25"/>
      <c r="TA582" s="25"/>
      <c r="TB582" s="25"/>
      <c r="TC582" s="25"/>
      <c r="TD582" s="25"/>
      <c r="TE582" s="25"/>
      <c r="TF582" s="25"/>
      <c r="TG582" s="25"/>
      <c r="TH582" s="25"/>
      <c r="TI582" s="25"/>
      <c r="TJ582" s="25"/>
      <c r="TK582" s="25"/>
      <c r="TL582" s="25"/>
      <c r="TM582" s="25"/>
      <c r="TN582" s="25"/>
      <c r="TO582" s="25"/>
      <c r="TP582" s="25"/>
      <c r="TQ582" s="25"/>
      <c r="TR582" s="25"/>
      <c r="TS582" s="25"/>
      <c r="TT582" s="25"/>
      <c r="TU582" s="25"/>
      <c r="TV582" s="25"/>
      <c r="TW582" s="25"/>
      <c r="TX582" s="25"/>
      <c r="TY582" s="25"/>
      <c r="TZ582" s="25"/>
      <c r="UA582" s="25"/>
      <c r="UB582" s="25"/>
      <c r="UC582" s="25"/>
      <c r="UD582" s="25"/>
      <c r="UE582" s="25"/>
      <c r="UF582" s="25"/>
      <c r="UG582" s="26"/>
    </row>
    <row r="583" spans="1:553" ht="50.25" customHeight="1">
      <c r="A583" s="356" t="s">
        <v>30</v>
      </c>
      <c r="B583" s="385">
        <v>39</v>
      </c>
      <c r="C583" s="1404" t="s">
        <v>411</v>
      </c>
      <c r="D583" s="1389"/>
      <c r="E583" s="1389"/>
      <c r="F583" s="1390"/>
      <c r="G583" s="386" t="s">
        <v>33</v>
      </c>
      <c r="H583" s="370"/>
      <c r="I583" s="417">
        <f>0.38*2.8*4</f>
        <v>4.2559999999999993</v>
      </c>
      <c r="J583" s="368">
        <v>39000</v>
      </c>
      <c r="K583" s="371"/>
      <c r="L583" s="487">
        <f t="shared" si="101"/>
        <v>165983.99999999997</v>
      </c>
      <c r="M583" s="395"/>
      <c r="N583" s="395"/>
      <c r="O583" s="366"/>
      <c r="P583" s="396"/>
      <c r="Q583" s="473"/>
      <c r="R583" s="1039"/>
      <c r="S583" s="308"/>
      <c r="T583" s="308"/>
      <c r="U583" s="308"/>
      <c r="V583" s="308"/>
      <c r="W583" s="308"/>
      <c r="X583" s="308"/>
      <c r="Y583" s="308"/>
      <c r="Z583" s="604"/>
      <c r="AA583" s="308"/>
      <c r="AB583" s="308"/>
      <c r="AC583" s="449"/>
      <c r="AD583" s="449"/>
      <c r="AE583" s="449"/>
      <c r="AF583" s="449"/>
      <c r="AG583" s="452"/>
      <c r="AH583" s="452"/>
      <c r="AI583" s="452"/>
      <c r="AJ583" s="452"/>
      <c r="AK583" s="452"/>
      <c r="AL583" s="104"/>
      <c r="AM583" s="32"/>
      <c r="AN583" s="32"/>
      <c r="AO583" s="32"/>
      <c r="AP583" s="32"/>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25"/>
      <c r="BN583" s="25"/>
      <c r="BO583" s="25"/>
      <c r="BP583" s="25"/>
      <c r="BQ583" s="25"/>
      <c r="BR583" s="25"/>
      <c r="BS583" s="25"/>
      <c r="BT583" s="25"/>
      <c r="BU583" s="25"/>
      <c r="BV583" s="25"/>
      <c r="BW583" s="25"/>
      <c r="BX583" s="25"/>
      <c r="BY583" s="25"/>
      <c r="BZ583" s="25"/>
      <c r="CA583" s="25"/>
      <c r="CB583" s="25"/>
      <c r="CC583" s="25"/>
      <c r="CD583" s="25"/>
      <c r="CE583" s="25"/>
      <c r="CF583" s="25"/>
      <c r="CG583" s="25"/>
      <c r="CH583" s="25"/>
      <c r="CI583" s="25"/>
      <c r="CJ583" s="25"/>
      <c r="CK583" s="25"/>
      <c r="CL583" s="25"/>
      <c r="CM583" s="25"/>
      <c r="CN583" s="25"/>
      <c r="CO583" s="25"/>
      <c r="CP583" s="25"/>
      <c r="CQ583" s="25"/>
      <c r="CR583" s="25"/>
      <c r="CS583" s="25"/>
      <c r="CT583" s="25"/>
      <c r="CU583" s="25"/>
      <c r="CV583" s="25"/>
      <c r="CW583" s="25"/>
      <c r="CX583" s="25"/>
      <c r="CY583" s="25"/>
      <c r="CZ583" s="25"/>
      <c r="DA583" s="25"/>
      <c r="DB583" s="25"/>
      <c r="DC583" s="25"/>
      <c r="DD583" s="25"/>
      <c r="DE583" s="25"/>
      <c r="DF583" s="25"/>
      <c r="DG583" s="25"/>
      <c r="DH583" s="25"/>
      <c r="DI583" s="25"/>
      <c r="DJ583" s="25"/>
      <c r="DK583" s="25"/>
      <c r="DL583" s="25"/>
      <c r="DM583" s="25"/>
      <c r="DN583" s="25"/>
      <c r="DO583" s="25"/>
      <c r="DP583" s="25"/>
      <c r="DQ583" s="25"/>
      <c r="DR583" s="25"/>
      <c r="DS583" s="25"/>
      <c r="DT583" s="25"/>
      <c r="DU583" s="25"/>
      <c r="DV583" s="25"/>
      <c r="DW583" s="25"/>
      <c r="DX583" s="25"/>
      <c r="DY583" s="25"/>
      <c r="DZ583" s="25"/>
      <c r="EA583" s="25"/>
      <c r="EB583" s="25"/>
      <c r="EC583" s="25"/>
      <c r="ED583" s="25"/>
      <c r="EE583" s="25"/>
      <c r="EF583" s="25"/>
      <c r="EG583" s="25"/>
      <c r="EH583" s="25"/>
      <c r="EI583" s="25"/>
      <c r="EJ583" s="25"/>
      <c r="EK583" s="25"/>
      <c r="EL583" s="25"/>
      <c r="EM583" s="25"/>
      <c r="EN583" s="25"/>
      <c r="EO583" s="25"/>
      <c r="EP583" s="25"/>
      <c r="EQ583" s="25"/>
      <c r="ER583" s="25"/>
      <c r="ES583" s="25"/>
      <c r="ET583" s="25"/>
      <c r="EU583" s="25"/>
      <c r="EV583" s="25"/>
      <c r="EW583" s="25"/>
      <c r="EX583" s="25"/>
      <c r="EY583" s="25"/>
      <c r="EZ583" s="25"/>
      <c r="FA583" s="25"/>
      <c r="FB583" s="25"/>
      <c r="FC583" s="25"/>
      <c r="FD583" s="25"/>
      <c r="FE583" s="25"/>
      <c r="FF583" s="25"/>
      <c r="FG583" s="25"/>
      <c r="FH583" s="25"/>
      <c r="FI583" s="25"/>
      <c r="FJ583" s="25"/>
      <c r="FK583" s="25"/>
      <c r="FL583" s="25"/>
      <c r="FM583" s="25"/>
      <c r="FN583" s="25"/>
      <c r="FO583" s="25"/>
      <c r="FP583" s="25"/>
      <c r="FQ583" s="25"/>
      <c r="FR583" s="25"/>
      <c r="FS583" s="25"/>
      <c r="FT583" s="25"/>
      <c r="FU583" s="25"/>
      <c r="FV583" s="25"/>
      <c r="FW583" s="25"/>
      <c r="FX583" s="25"/>
      <c r="FY583" s="25"/>
      <c r="FZ583" s="25"/>
      <c r="GA583" s="25"/>
      <c r="GB583" s="25"/>
      <c r="GC583" s="25"/>
      <c r="GD583" s="25"/>
      <c r="GE583" s="25"/>
      <c r="GF583" s="25"/>
      <c r="GG583" s="25"/>
      <c r="GH583" s="25"/>
      <c r="GI583" s="25"/>
      <c r="GJ583" s="25"/>
      <c r="GK583" s="25"/>
      <c r="GL583" s="25"/>
      <c r="GM583" s="25"/>
      <c r="GN583" s="25"/>
      <c r="GO583" s="25"/>
      <c r="GP583" s="25"/>
      <c r="GQ583" s="25"/>
      <c r="GR583" s="25"/>
      <c r="GS583" s="25"/>
      <c r="GT583" s="25"/>
      <c r="GU583" s="25"/>
      <c r="GV583" s="25"/>
      <c r="GW583" s="25"/>
      <c r="GX583" s="25"/>
      <c r="GY583" s="25"/>
      <c r="GZ583" s="25"/>
      <c r="HA583" s="25"/>
      <c r="HB583" s="25"/>
      <c r="HC583" s="25"/>
      <c r="HD583" s="25"/>
      <c r="HE583" s="25"/>
      <c r="HF583" s="25"/>
      <c r="HG583" s="25"/>
      <c r="HH583" s="25"/>
      <c r="HI583" s="25"/>
      <c r="HJ583" s="25"/>
      <c r="HK583" s="25"/>
      <c r="HL583" s="25"/>
      <c r="HM583" s="25"/>
      <c r="HN583" s="25"/>
      <c r="HO583" s="25"/>
      <c r="HP583" s="25"/>
      <c r="HQ583" s="25"/>
      <c r="HR583" s="25"/>
      <c r="HS583" s="25"/>
      <c r="HT583" s="25"/>
      <c r="HU583" s="25"/>
      <c r="HV583" s="25"/>
      <c r="HW583" s="25"/>
      <c r="HX583" s="25"/>
      <c r="HY583" s="25"/>
      <c r="HZ583" s="25"/>
      <c r="IA583" s="25"/>
      <c r="IB583" s="25"/>
      <c r="IC583" s="25"/>
      <c r="ID583" s="25"/>
      <c r="IE583" s="25"/>
      <c r="IF583" s="25"/>
      <c r="IG583" s="25"/>
      <c r="IH583" s="25"/>
      <c r="II583" s="25"/>
      <c r="IJ583" s="25"/>
      <c r="IK583" s="25"/>
      <c r="IL583" s="25"/>
      <c r="IM583" s="25"/>
      <c r="IN583" s="25"/>
      <c r="IO583" s="25"/>
      <c r="IP583" s="25"/>
      <c r="IQ583" s="25"/>
      <c r="IR583" s="25"/>
      <c r="IS583" s="25"/>
      <c r="IT583" s="25"/>
      <c r="IU583" s="25"/>
      <c r="IV583" s="25"/>
      <c r="IW583" s="25"/>
      <c r="IX583" s="25"/>
      <c r="IY583" s="25"/>
      <c r="IZ583" s="25"/>
      <c r="JA583" s="25"/>
      <c r="JB583" s="25"/>
      <c r="JC583" s="25"/>
      <c r="JD583" s="25"/>
      <c r="JE583" s="25"/>
      <c r="JF583" s="25"/>
      <c r="JG583" s="25"/>
      <c r="JH583" s="25"/>
      <c r="JI583" s="25"/>
      <c r="JJ583" s="25"/>
      <c r="JK583" s="25"/>
      <c r="JL583" s="25"/>
      <c r="JM583" s="25"/>
      <c r="JN583" s="25"/>
      <c r="JO583" s="25"/>
      <c r="JP583" s="25"/>
      <c r="JQ583" s="25"/>
      <c r="JR583" s="25"/>
      <c r="JS583" s="25"/>
      <c r="JT583" s="25"/>
      <c r="JU583" s="25"/>
      <c r="JV583" s="25"/>
      <c r="JW583" s="25"/>
      <c r="JX583" s="25"/>
      <c r="JY583" s="25"/>
      <c r="JZ583" s="25"/>
      <c r="KA583" s="25"/>
      <c r="KB583" s="25"/>
      <c r="KC583" s="25"/>
      <c r="KD583" s="25"/>
      <c r="KE583" s="25"/>
      <c r="KF583" s="25"/>
      <c r="KG583" s="25"/>
      <c r="KH583" s="25"/>
      <c r="KI583" s="25"/>
      <c r="KJ583" s="25"/>
      <c r="KK583" s="25"/>
      <c r="KL583" s="25"/>
      <c r="KM583" s="25"/>
      <c r="KN583" s="25"/>
      <c r="KO583" s="25"/>
      <c r="KP583" s="25"/>
      <c r="KQ583" s="25"/>
      <c r="KR583" s="25"/>
      <c r="KS583" s="25"/>
      <c r="KT583" s="25"/>
      <c r="KU583" s="25"/>
      <c r="KV583" s="25"/>
      <c r="KW583" s="25"/>
      <c r="KX583" s="25"/>
      <c r="KY583" s="25"/>
      <c r="KZ583" s="25"/>
      <c r="LA583" s="25"/>
      <c r="LB583" s="25"/>
      <c r="LC583" s="25"/>
      <c r="LD583" s="25"/>
      <c r="LE583" s="25"/>
      <c r="LF583" s="25"/>
      <c r="LG583" s="25"/>
      <c r="LH583" s="25"/>
      <c r="LI583" s="25"/>
      <c r="LJ583" s="25"/>
      <c r="LK583" s="25"/>
      <c r="LL583" s="25"/>
      <c r="LM583" s="25"/>
      <c r="LN583" s="25"/>
      <c r="LO583" s="25"/>
      <c r="LP583" s="25"/>
      <c r="LQ583" s="25"/>
      <c r="LR583" s="25"/>
      <c r="LS583" s="25"/>
      <c r="LT583" s="25"/>
      <c r="LU583" s="25"/>
      <c r="LV583" s="25"/>
      <c r="LW583" s="25"/>
      <c r="LX583" s="25"/>
      <c r="LY583" s="25"/>
      <c r="LZ583" s="25"/>
      <c r="MA583" s="25"/>
      <c r="MB583" s="25"/>
      <c r="MC583" s="25"/>
      <c r="MD583" s="25"/>
      <c r="ME583" s="25"/>
      <c r="MF583" s="25"/>
      <c r="MG583" s="25"/>
      <c r="MH583" s="25"/>
      <c r="MI583" s="25"/>
      <c r="MJ583" s="25"/>
      <c r="MK583" s="25"/>
      <c r="ML583" s="25"/>
      <c r="MM583" s="25"/>
      <c r="MN583" s="25"/>
      <c r="MO583" s="25"/>
      <c r="MP583" s="25"/>
      <c r="MQ583" s="25"/>
      <c r="MR583" s="25"/>
      <c r="MS583" s="25"/>
      <c r="MT583" s="25"/>
      <c r="MU583" s="25"/>
      <c r="MV583" s="25"/>
      <c r="MW583" s="25"/>
      <c r="MX583" s="25"/>
      <c r="MY583" s="25"/>
      <c r="MZ583" s="25"/>
      <c r="NA583" s="25"/>
      <c r="NB583" s="25"/>
      <c r="NC583" s="25"/>
      <c r="ND583" s="25"/>
      <c r="NE583" s="25"/>
      <c r="NF583" s="25"/>
      <c r="NG583" s="25"/>
      <c r="NH583" s="25"/>
      <c r="NI583" s="25"/>
      <c r="NJ583" s="25"/>
      <c r="NK583" s="25"/>
      <c r="NL583" s="25"/>
      <c r="NM583" s="25"/>
      <c r="NN583" s="25"/>
      <c r="NO583" s="25"/>
      <c r="NP583" s="25"/>
      <c r="NQ583" s="25"/>
      <c r="NR583" s="25"/>
      <c r="NS583" s="25"/>
      <c r="NT583" s="25"/>
      <c r="NU583" s="25"/>
      <c r="NV583" s="25"/>
      <c r="NW583" s="25"/>
      <c r="NX583" s="25"/>
      <c r="NY583" s="25"/>
      <c r="NZ583" s="25"/>
      <c r="OA583" s="25"/>
      <c r="OB583" s="25"/>
      <c r="OC583" s="25"/>
      <c r="OD583" s="25"/>
      <c r="OE583" s="25"/>
      <c r="OF583" s="25"/>
      <c r="OG583" s="25"/>
      <c r="OH583" s="25"/>
      <c r="OI583" s="25"/>
      <c r="OJ583" s="25"/>
      <c r="OK583" s="25"/>
      <c r="OL583" s="25"/>
      <c r="OM583" s="25"/>
      <c r="ON583" s="25"/>
      <c r="OO583" s="25"/>
      <c r="OP583" s="25"/>
      <c r="OQ583" s="25"/>
      <c r="OR583" s="25"/>
      <c r="OS583" s="25"/>
      <c r="OT583" s="25"/>
      <c r="OU583" s="25"/>
      <c r="OV583" s="25"/>
      <c r="OW583" s="25"/>
      <c r="OX583" s="25"/>
      <c r="OY583" s="25"/>
      <c r="OZ583" s="25"/>
      <c r="PA583" s="25"/>
      <c r="PB583" s="25"/>
      <c r="PC583" s="25"/>
      <c r="PD583" s="25"/>
      <c r="PE583" s="25"/>
      <c r="PF583" s="25"/>
      <c r="PG583" s="25"/>
      <c r="PH583" s="25"/>
      <c r="PI583" s="25"/>
      <c r="PJ583" s="25"/>
      <c r="PK583" s="25"/>
      <c r="PL583" s="25"/>
      <c r="PM583" s="25"/>
      <c r="PN583" s="25"/>
      <c r="PO583" s="25"/>
      <c r="PP583" s="25"/>
      <c r="PQ583" s="25"/>
      <c r="PR583" s="25"/>
      <c r="PS583" s="25"/>
      <c r="PT583" s="25"/>
      <c r="PU583" s="25"/>
      <c r="PV583" s="25"/>
      <c r="PW583" s="25"/>
      <c r="PX583" s="25"/>
      <c r="PY583" s="25"/>
      <c r="PZ583" s="25"/>
      <c r="QA583" s="25"/>
      <c r="QB583" s="25"/>
      <c r="QC583" s="25"/>
      <c r="QD583" s="25"/>
      <c r="QE583" s="25"/>
      <c r="QF583" s="25"/>
      <c r="QG583" s="25"/>
      <c r="QH583" s="25"/>
      <c r="QI583" s="25"/>
      <c r="QJ583" s="25"/>
      <c r="QK583" s="25"/>
      <c r="QL583" s="25"/>
      <c r="QM583" s="25"/>
      <c r="QN583" s="25"/>
      <c r="QO583" s="25"/>
      <c r="QP583" s="25"/>
      <c r="QQ583" s="25"/>
      <c r="QR583" s="25"/>
      <c r="QS583" s="25"/>
      <c r="QT583" s="25"/>
      <c r="QU583" s="25"/>
      <c r="QV583" s="25"/>
      <c r="QW583" s="25"/>
      <c r="QX583" s="25"/>
      <c r="QY583" s="25"/>
      <c r="QZ583" s="25"/>
      <c r="RA583" s="25"/>
      <c r="RB583" s="25"/>
      <c r="RC583" s="25"/>
      <c r="RD583" s="25"/>
      <c r="RE583" s="25"/>
      <c r="RF583" s="25"/>
      <c r="RG583" s="25"/>
      <c r="RH583" s="25"/>
      <c r="RI583" s="25"/>
      <c r="RJ583" s="25"/>
      <c r="RK583" s="25"/>
      <c r="RL583" s="25"/>
      <c r="RM583" s="25"/>
      <c r="RN583" s="25"/>
      <c r="RO583" s="25"/>
      <c r="RP583" s="25"/>
      <c r="RQ583" s="25"/>
      <c r="RR583" s="25"/>
      <c r="RS583" s="25"/>
      <c r="RT583" s="25"/>
      <c r="RU583" s="25"/>
      <c r="RV583" s="25"/>
      <c r="RW583" s="25"/>
      <c r="RX583" s="25"/>
      <c r="RY583" s="25"/>
      <c r="RZ583" s="25"/>
      <c r="SA583" s="25"/>
      <c r="SB583" s="25"/>
      <c r="SC583" s="25"/>
      <c r="SD583" s="25"/>
      <c r="SE583" s="25"/>
      <c r="SF583" s="25"/>
      <c r="SG583" s="25"/>
      <c r="SH583" s="25"/>
      <c r="SI583" s="25"/>
      <c r="SJ583" s="25"/>
      <c r="SK583" s="25"/>
      <c r="SL583" s="25"/>
      <c r="SM583" s="25"/>
      <c r="SN583" s="25"/>
      <c r="SO583" s="25"/>
      <c r="SP583" s="25"/>
      <c r="SQ583" s="25"/>
      <c r="SR583" s="25"/>
      <c r="SS583" s="25"/>
      <c r="ST583" s="25"/>
      <c r="SU583" s="25"/>
      <c r="SV583" s="25"/>
      <c r="SW583" s="25"/>
      <c r="SX583" s="25"/>
      <c r="SY583" s="25"/>
      <c r="SZ583" s="25"/>
      <c r="TA583" s="25"/>
      <c r="TB583" s="25"/>
      <c r="TC583" s="25"/>
      <c r="TD583" s="25"/>
      <c r="TE583" s="25"/>
      <c r="TF583" s="25"/>
      <c r="TG583" s="25"/>
      <c r="TH583" s="25"/>
      <c r="TI583" s="25"/>
      <c r="TJ583" s="25"/>
      <c r="TK583" s="25"/>
      <c r="TL583" s="25"/>
      <c r="TM583" s="25"/>
      <c r="TN583" s="25"/>
      <c r="TO583" s="25"/>
      <c r="TP583" s="25"/>
      <c r="TQ583" s="25"/>
      <c r="TR583" s="25"/>
      <c r="TS583" s="25"/>
      <c r="TT583" s="25"/>
      <c r="TU583" s="25"/>
      <c r="TV583" s="25"/>
      <c r="TW583" s="25"/>
      <c r="TX583" s="25"/>
      <c r="TY583" s="25"/>
      <c r="TZ583" s="25"/>
      <c r="UA583" s="25"/>
      <c r="UB583" s="25"/>
      <c r="UC583" s="25"/>
      <c r="UD583" s="25"/>
      <c r="UE583" s="25"/>
      <c r="UF583" s="25"/>
      <c r="UG583" s="26"/>
    </row>
    <row r="584" spans="1:553" ht="50.25" customHeight="1">
      <c r="A584" s="356" t="s">
        <v>30</v>
      </c>
      <c r="B584" s="385">
        <v>39</v>
      </c>
      <c r="C584" s="1404" t="s">
        <v>412</v>
      </c>
      <c r="D584" s="1389"/>
      <c r="E584" s="1389"/>
      <c r="F584" s="1390"/>
      <c r="G584" s="386" t="s">
        <v>33</v>
      </c>
      <c r="H584" s="370"/>
      <c r="I584" s="417">
        <f>0.38*6.5*3</f>
        <v>7.41</v>
      </c>
      <c r="J584" s="368">
        <v>39000</v>
      </c>
      <c r="K584" s="371"/>
      <c r="L584" s="487">
        <f t="shared" si="101"/>
        <v>288990</v>
      </c>
      <c r="M584" s="395"/>
      <c r="N584" s="395"/>
      <c r="O584" s="366"/>
      <c r="P584" s="396"/>
      <c r="Q584" s="473"/>
      <c r="R584" s="1039"/>
      <c r="S584" s="308"/>
      <c r="T584" s="308"/>
      <c r="U584" s="308"/>
      <c r="V584" s="308"/>
      <c r="W584" s="308"/>
      <c r="X584" s="308"/>
      <c r="Y584" s="308"/>
      <c r="Z584" s="604"/>
      <c r="AA584" s="308"/>
      <c r="AB584" s="308"/>
      <c r="AC584" s="449"/>
      <c r="AD584" s="449"/>
      <c r="AE584" s="449"/>
      <c r="AF584" s="449"/>
      <c r="AG584" s="452"/>
      <c r="AH584" s="452"/>
      <c r="AI584" s="452"/>
      <c r="AJ584" s="452"/>
      <c r="AK584" s="452"/>
      <c r="AL584" s="104"/>
      <c r="AM584" s="32"/>
      <c r="AN584" s="32"/>
      <c r="AO584" s="32"/>
      <c r="AP584" s="32"/>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25"/>
      <c r="BN584" s="25"/>
      <c r="BO584" s="25"/>
      <c r="BP584" s="25"/>
      <c r="BQ584" s="25"/>
      <c r="BR584" s="25"/>
      <c r="BS584" s="25"/>
      <c r="BT584" s="25"/>
      <c r="BU584" s="25"/>
      <c r="BV584" s="25"/>
      <c r="BW584" s="25"/>
      <c r="BX584" s="25"/>
      <c r="BY584" s="25"/>
      <c r="BZ584" s="25"/>
      <c r="CA584" s="25"/>
      <c r="CB584" s="25"/>
      <c r="CC584" s="25"/>
      <c r="CD584" s="25"/>
      <c r="CE584" s="25"/>
      <c r="CF584" s="25"/>
      <c r="CG584" s="25"/>
      <c r="CH584" s="25"/>
      <c r="CI584" s="25"/>
      <c r="CJ584" s="25"/>
      <c r="CK584" s="25"/>
      <c r="CL584" s="25"/>
      <c r="CM584" s="25"/>
      <c r="CN584" s="25"/>
      <c r="CO584" s="25"/>
      <c r="CP584" s="25"/>
      <c r="CQ584" s="25"/>
      <c r="CR584" s="25"/>
      <c r="CS584" s="25"/>
      <c r="CT584" s="25"/>
      <c r="CU584" s="25"/>
      <c r="CV584" s="25"/>
      <c r="CW584" s="25"/>
      <c r="CX584" s="25"/>
      <c r="CY584" s="25"/>
      <c r="CZ584" s="25"/>
      <c r="DA584" s="25"/>
      <c r="DB584" s="25"/>
      <c r="DC584" s="25"/>
      <c r="DD584" s="25"/>
      <c r="DE584" s="25"/>
      <c r="DF584" s="25"/>
      <c r="DG584" s="25"/>
      <c r="DH584" s="25"/>
      <c r="DI584" s="25"/>
      <c r="DJ584" s="25"/>
      <c r="DK584" s="25"/>
      <c r="DL584" s="25"/>
      <c r="DM584" s="25"/>
      <c r="DN584" s="25"/>
      <c r="DO584" s="25"/>
      <c r="DP584" s="25"/>
      <c r="DQ584" s="25"/>
      <c r="DR584" s="25"/>
      <c r="DS584" s="25"/>
      <c r="DT584" s="25"/>
      <c r="DU584" s="25"/>
      <c r="DV584" s="25"/>
      <c r="DW584" s="25"/>
      <c r="DX584" s="25"/>
      <c r="DY584" s="25"/>
      <c r="DZ584" s="25"/>
      <c r="EA584" s="25"/>
      <c r="EB584" s="25"/>
      <c r="EC584" s="25"/>
      <c r="ED584" s="25"/>
      <c r="EE584" s="25"/>
      <c r="EF584" s="25"/>
      <c r="EG584" s="25"/>
      <c r="EH584" s="25"/>
      <c r="EI584" s="25"/>
      <c r="EJ584" s="25"/>
      <c r="EK584" s="25"/>
      <c r="EL584" s="25"/>
      <c r="EM584" s="25"/>
      <c r="EN584" s="25"/>
      <c r="EO584" s="25"/>
      <c r="EP584" s="25"/>
      <c r="EQ584" s="25"/>
      <c r="ER584" s="25"/>
      <c r="ES584" s="25"/>
      <c r="ET584" s="25"/>
      <c r="EU584" s="25"/>
      <c r="EV584" s="25"/>
      <c r="EW584" s="25"/>
      <c r="EX584" s="25"/>
      <c r="EY584" s="25"/>
      <c r="EZ584" s="25"/>
      <c r="FA584" s="25"/>
      <c r="FB584" s="25"/>
      <c r="FC584" s="25"/>
      <c r="FD584" s="25"/>
      <c r="FE584" s="25"/>
      <c r="FF584" s="25"/>
      <c r="FG584" s="25"/>
      <c r="FH584" s="25"/>
      <c r="FI584" s="25"/>
      <c r="FJ584" s="25"/>
      <c r="FK584" s="25"/>
      <c r="FL584" s="25"/>
      <c r="FM584" s="25"/>
      <c r="FN584" s="25"/>
      <c r="FO584" s="25"/>
      <c r="FP584" s="25"/>
      <c r="FQ584" s="25"/>
      <c r="FR584" s="25"/>
      <c r="FS584" s="25"/>
      <c r="FT584" s="25"/>
      <c r="FU584" s="25"/>
      <c r="FV584" s="25"/>
      <c r="FW584" s="25"/>
      <c r="FX584" s="25"/>
      <c r="FY584" s="25"/>
      <c r="FZ584" s="25"/>
      <c r="GA584" s="25"/>
      <c r="GB584" s="25"/>
      <c r="GC584" s="25"/>
      <c r="GD584" s="25"/>
      <c r="GE584" s="25"/>
      <c r="GF584" s="25"/>
      <c r="GG584" s="25"/>
      <c r="GH584" s="25"/>
      <c r="GI584" s="25"/>
      <c r="GJ584" s="25"/>
      <c r="GK584" s="25"/>
      <c r="GL584" s="25"/>
      <c r="GM584" s="25"/>
      <c r="GN584" s="25"/>
      <c r="GO584" s="25"/>
      <c r="GP584" s="25"/>
      <c r="GQ584" s="25"/>
      <c r="GR584" s="25"/>
      <c r="GS584" s="25"/>
      <c r="GT584" s="25"/>
      <c r="GU584" s="25"/>
      <c r="GV584" s="25"/>
      <c r="GW584" s="25"/>
      <c r="GX584" s="25"/>
      <c r="GY584" s="25"/>
      <c r="GZ584" s="25"/>
      <c r="HA584" s="25"/>
      <c r="HB584" s="25"/>
      <c r="HC584" s="25"/>
      <c r="HD584" s="25"/>
      <c r="HE584" s="25"/>
      <c r="HF584" s="25"/>
      <c r="HG584" s="25"/>
      <c r="HH584" s="25"/>
      <c r="HI584" s="25"/>
      <c r="HJ584" s="25"/>
      <c r="HK584" s="25"/>
      <c r="HL584" s="25"/>
      <c r="HM584" s="25"/>
      <c r="HN584" s="25"/>
      <c r="HO584" s="25"/>
      <c r="HP584" s="25"/>
      <c r="HQ584" s="25"/>
      <c r="HR584" s="25"/>
      <c r="HS584" s="25"/>
      <c r="HT584" s="25"/>
      <c r="HU584" s="25"/>
      <c r="HV584" s="25"/>
      <c r="HW584" s="25"/>
      <c r="HX584" s="25"/>
      <c r="HY584" s="25"/>
      <c r="HZ584" s="25"/>
      <c r="IA584" s="25"/>
      <c r="IB584" s="25"/>
      <c r="IC584" s="25"/>
      <c r="ID584" s="25"/>
      <c r="IE584" s="25"/>
      <c r="IF584" s="25"/>
      <c r="IG584" s="25"/>
      <c r="IH584" s="25"/>
      <c r="II584" s="25"/>
      <c r="IJ584" s="25"/>
      <c r="IK584" s="25"/>
      <c r="IL584" s="25"/>
      <c r="IM584" s="25"/>
      <c r="IN584" s="25"/>
      <c r="IO584" s="25"/>
      <c r="IP584" s="25"/>
      <c r="IQ584" s="25"/>
      <c r="IR584" s="25"/>
      <c r="IS584" s="25"/>
      <c r="IT584" s="25"/>
      <c r="IU584" s="25"/>
      <c r="IV584" s="25"/>
      <c r="IW584" s="25"/>
      <c r="IX584" s="25"/>
      <c r="IY584" s="25"/>
      <c r="IZ584" s="25"/>
      <c r="JA584" s="25"/>
      <c r="JB584" s="25"/>
      <c r="JC584" s="25"/>
      <c r="JD584" s="25"/>
      <c r="JE584" s="25"/>
      <c r="JF584" s="25"/>
      <c r="JG584" s="25"/>
      <c r="JH584" s="25"/>
      <c r="JI584" s="25"/>
      <c r="JJ584" s="25"/>
      <c r="JK584" s="25"/>
      <c r="JL584" s="25"/>
      <c r="JM584" s="25"/>
      <c r="JN584" s="25"/>
      <c r="JO584" s="25"/>
      <c r="JP584" s="25"/>
      <c r="JQ584" s="25"/>
      <c r="JR584" s="25"/>
      <c r="JS584" s="25"/>
      <c r="JT584" s="25"/>
      <c r="JU584" s="25"/>
      <c r="JV584" s="25"/>
      <c r="JW584" s="25"/>
      <c r="JX584" s="25"/>
      <c r="JY584" s="25"/>
      <c r="JZ584" s="25"/>
      <c r="KA584" s="25"/>
      <c r="KB584" s="25"/>
      <c r="KC584" s="25"/>
      <c r="KD584" s="25"/>
      <c r="KE584" s="25"/>
      <c r="KF584" s="25"/>
      <c r="KG584" s="25"/>
      <c r="KH584" s="25"/>
      <c r="KI584" s="25"/>
      <c r="KJ584" s="25"/>
      <c r="KK584" s="25"/>
      <c r="KL584" s="25"/>
      <c r="KM584" s="25"/>
      <c r="KN584" s="25"/>
      <c r="KO584" s="25"/>
      <c r="KP584" s="25"/>
      <c r="KQ584" s="25"/>
      <c r="KR584" s="25"/>
      <c r="KS584" s="25"/>
      <c r="KT584" s="25"/>
      <c r="KU584" s="25"/>
      <c r="KV584" s="25"/>
      <c r="KW584" s="25"/>
      <c r="KX584" s="25"/>
      <c r="KY584" s="25"/>
      <c r="KZ584" s="25"/>
      <c r="LA584" s="25"/>
      <c r="LB584" s="25"/>
      <c r="LC584" s="25"/>
      <c r="LD584" s="25"/>
      <c r="LE584" s="25"/>
      <c r="LF584" s="25"/>
      <c r="LG584" s="25"/>
      <c r="LH584" s="25"/>
      <c r="LI584" s="25"/>
      <c r="LJ584" s="25"/>
      <c r="LK584" s="25"/>
      <c r="LL584" s="25"/>
      <c r="LM584" s="25"/>
      <c r="LN584" s="25"/>
      <c r="LO584" s="25"/>
      <c r="LP584" s="25"/>
      <c r="LQ584" s="25"/>
      <c r="LR584" s="25"/>
      <c r="LS584" s="25"/>
      <c r="LT584" s="25"/>
      <c r="LU584" s="25"/>
      <c r="LV584" s="25"/>
      <c r="LW584" s="25"/>
      <c r="LX584" s="25"/>
      <c r="LY584" s="25"/>
      <c r="LZ584" s="25"/>
      <c r="MA584" s="25"/>
      <c r="MB584" s="25"/>
      <c r="MC584" s="25"/>
      <c r="MD584" s="25"/>
      <c r="ME584" s="25"/>
      <c r="MF584" s="25"/>
      <c r="MG584" s="25"/>
      <c r="MH584" s="25"/>
      <c r="MI584" s="25"/>
      <c r="MJ584" s="25"/>
      <c r="MK584" s="25"/>
      <c r="ML584" s="25"/>
      <c r="MM584" s="25"/>
      <c r="MN584" s="25"/>
      <c r="MO584" s="25"/>
      <c r="MP584" s="25"/>
      <c r="MQ584" s="25"/>
      <c r="MR584" s="25"/>
      <c r="MS584" s="25"/>
      <c r="MT584" s="25"/>
      <c r="MU584" s="25"/>
      <c r="MV584" s="25"/>
      <c r="MW584" s="25"/>
      <c r="MX584" s="25"/>
      <c r="MY584" s="25"/>
      <c r="MZ584" s="25"/>
      <c r="NA584" s="25"/>
      <c r="NB584" s="25"/>
      <c r="NC584" s="25"/>
      <c r="ND584" s="25"/>
      <c r="NE584" s="25"/>
      <c r="NF584" s="25"/>
      <c r="NG584" s="25"/>
      <c r="NH584" s="25"/>
      <c r="NI584" s="25"/>
      <c r="NJ584" s="25"/>
      <c r="NK584" s="25"/>
      <c r="NL584" s="25"/>
      <c r="NM584" s="25"/>
      <c r="NN584" s="25"/>
      <c r="NO584" s="25"/>
      <c r="NP584" s="25"/>
      <c r="NQ584" s="25"/>
      <c r="NR584" s="25"/>
      <c r="NS584" s="25"/>
      <c r="NT584" s="25"/>
      <c r="NU584" s="25"/>
      <c r="NV584" s="25"/>
      <c r="NW584" s="25"/>
      <c r="NX584" s="25"/>
      <c r="NY584" s="25"/>
      <c r="NZ584" s="25"/>
      <c r="OA584" s="25"/>
      <c r="OB584" s="25"/>
      <c r="OC584" s="25"/>
      <c r="OD584" s="25"/>
      <c r="OE584" s="25"/>
      <c r="OF584" s="25"/>
      <c r="OG584" s="25"/>
      <c r="OH584" s="25"/>
      <c r="OI584" s="25"/>
      <c r="OJ584" s="25"/>
      <c r="OK584" s="25"/>
      <c r="OL584" s="25"/>
      <c r="OM584" s="25"/>
      <c r="ON584" s="25"/>
      <c r="OO584" s="25"/>
      <c r="OP584" s="25"/>
      <c r="OQ584" s="25"/>
      <c r="OR584" s="25"/>
      <c r="OS584" s="25"/>
      <c r="OT584" s="25"/>
      <c r="OU584" s="25"/>
      <c r="OV584" s="25"/>
      <c r="OW584" s="25"/>
      <c r="OX584" s="25"/>
      <c r="OY584" s="25"/>
      <c r="OZ584" s="25"/>
      <c r="PA584" s="25"/>
      <c r="PB584" s="25"/>
      <c r="PC584" s="25"/>
      <c r="PD584" s="25"/>
      <c r="PE584" s="25"/>
      <c r="PF584" s="25"/>
      <c r="PG584" s="25"/>
      <c r="PH584" s="25"/>
      <c r="PI584" s="25"/>
      <c r="PJ584" s="25"/>
      <c r="PK584" s="25"/>
      <c r="PL584" s="25"/>
      <c r="PM584" s="25"/>
      <c r="PN584" s="25"/>
      <c r="PO584" s="25"/>
      <c r="PP584" s="25"/>
      <c r="PQ584" s="25"/>
      <c r="PR584" s="25"/>
      <c r="PS584" s="25"/>
      <c r="PT584" s="25"/>
      <c r="PU584" s="25"/>
      <c r="PV584" s="25"/>
      <c r="PW584" s="25"/>
      <c r="PX584" s="25"/>
      <c r="PY584" s="25"/>
      <c r="PZ584" s="25"/>
      <c r="QA584" s="25"/>
      <c r="QB584" s="25"/>
      <c r="QC584" s="25"/>
      <c r="QD584" s="25"/>
      <c r="QE584" s="25"/>
      <c r="QF584" s="25"/>
      <c r="QG584" s="25"/>
      <c r="QH584" s="25"/>
      <c r="QI584" s="25"/>
      <c r="QJ584" s="25"/>
      <c r="QK584" s="25"/>
      <c r="QL584" s="25"/>
      <c r="QM584" s="25"/>
      <c r="QN584" s="25"/>
      <c r="QO584" s="25"/>
      <c r="QP584" s="25"/>
      <c r="QQ584" s="25"/>
      <c r="QR584" s="25"/>
      <c r="QS584" s="25"/>
      <c r="QT584" s="25"/>
      <c r="QU584" s="25"/>
      <c r="QV584" s="25"/>
      <c r="QW584" s="25"/>
      <c r="QX584" s="25"/>
      <c r="QY584" s="25"/>
      <c r="QZ584" s="25"/>
      <c r="RA584" s="25"/>
      <c r="RB584" s="25"/>
      <c r="RC584" s="25"/>
      <c r="RD584" s="25"/>
      <c r="RE584" s="25"/>
      <c r="RF584" s="25"/>
      <c r="RG584" s="25"/>
      <c r="RH584" s="25"/>
      <c r="RI584" s="25"/>
      <c r="RJ584" s="25"/>
      <c r="RK584" s="25"/>
      <c r="RL584" s="25"/>
      <c r="RM584" s="25"/>
      <c r="RN584" s="25"/>
      <c r="RO584" s="25"/>
      <c r="RP584" s="25"/>
      <c r="RQ584" s="25"/>
      <c r="RR584" s="25"/>
      <c r="RS584" s="25"/>
      <c r="RT584" s="25"/>
      <c r="RU584" s="25"/>
      <c r="RV584" s="25"/>
      <c r="RW584" s="25"/>
      <c r="RX584" s="25"/>
      <c r="RY584" s="25"/>
      <c r="RZ584" s="25"/>
      <c r="SA584" s="25"/>
      <c r="SB584" s="25"/>
      <c r="SC584" s="25"/>
      <c r="SD584" s="25"/>
      <c r="SE584" s="25"/>
      <c r="SF584" s="25"/>
      <c r="SG584" s="25"/>
      <c r="SH584" s="25"/>
      <c r="SI584" s="25"/>
      <c r="SJ584" s="25"/>
      <c r="SK584" s="25"/>
      <c r="SL584" s="25"/>
      <c r="SM584" s="25"/>
      <c r="SN584" s="25"/>
      <c r="SO584" s="25"/>
      <c r="SP584" s="25"/>
      <c r="SQ584" s="25"/>
      <c r="SR584" s="25"/>
      <c r="SS584" s="25"/>
      <c r="ST584" s="25"/>
      <c r="SU584" s="25"/>
      <c r="SV584" s="25"/>
      <c r="SW584" s="25"/>
      <c r="SX584" s="25"/>
      <c r="SY584" s="25"/>
      <c r="SZ584" s="25"/>
      <c r="TA584" s="25"/>
      <c r="TB584" s="25"/>
      <c r="TC584" s="25"/>
      <c r="TD584" s="25"/>
      <c r="TE584" s="25"/>
      <c r="TF584" s="25"/>
      <c r="TG584" s="25"/>
      <c r="TH584" s="25"/>
      <c r="TI584" s="25"/>
      <c r="TJ584" s="25"/>
      <c r="TK584" s="25"/>
      <c r="TL584" s="25"/>
      <c r="TM584" s="25"/>
      <c r="TN584" s="25"/>
      <c r="TO584" s="25"/>
      <c r="TP584" s="25"/>
      <c r="TQ584" s="25"/>
      <c r="TR584" s="25"/>
      <c r="TS584" s="25"/>
      <c r="TT584" s="25"/>
      <c r="TU584" s="25"/>
      <c r="TV584" s="25"/>
      <c r="TW584" s="25"/>
      <c r="TX584" s="25"/>
      <c r="TY584" s="25"/>
      <c r="TZ584" s="25"/>
      <c r="UA584" s="25"/>
      <c r="UB584" s="25"/>
      <c r="UC584" s="25"/>
      <c r="UD584" s="25"/>
      <c r="UE584" s="25"/>
      <c r="UF584" s="25"/>
      <c r="UG584" s="26"/>
    </row>
    <row r="585" spans="1:553" ht="50.25" customHeight="1">
      <c r="A585" s="356" t="s">
        <v>30</v>
      </c>
      <c r="B585" s="385">
        <v>39</v>
      </c>
      <c r="C585" s="1404" t="s">
        <v>413</v>
      </c>
      <c r="D585" s="1389"/>
      <c r="E585" s="1389"/>
      <c r="F585" s="1390"/>
      <c r="G585" s="386" t="s">
        <v>33</v>
      </c>
      <c r="H585" s="370"/>
      <c r="I585" s="417">
        <f>0.38*1.5*8</f>
        <v>4.5600000000000005</v>
      </c>
      <c r="J585" s="368">
        <v>39000</v>
      </c>
      <c r="K585" s="371"/>
      <c r="L585" s="487">
        <f t="shared" si="101"/>
        <v>177840.00000000003</v>
      </c>
      <c r="M585" s="395"/>
      <c r="N585" s="395"/>
      <c r="O585" s="366"/>
      <c r="P585" s="396"/>
      <c r="Q585" s="473"/>
      <c r="R585" s="1039"/>
      <c r="S585" s="308"/>
      <c r="T585" s="308"/>
      <c r="U585" s="308"/>
      <c r="V585" s="308"/>
      <c r="W585" s="308"/>
      <c r="X585" s="308"/>
      <c r="Y585" s="308"/>
      <c r="Z585" s="604"/>
      <c r="AA585" s="308"/>
      <c r="AB585" s="308"/>
      <c r="AC585" s="449"/>
      <c r="AD585" s="449"/>
      <c r="AE585" s="449"/>
      <c r="AF585" s="449"/>
      <c r="AG585" s="452"/>
      <c r="AH585" s="452"/>
      <c r="AI585" s="452"/>
      <c r="AJ585" s="452"/>
      <c r="AK585" s="452"/>
      <c r="AL585" s="104"/>
      <c r="AM585" s="32"/>
      <c r="AN585" s="32"/>
      <c r="AO585" s="32"/>
      <c r="AP585" s="32"/>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25"/>
      <c r="BN585" s="25"/>
      <c r="BO585" s="25"/>
      <c r="BP585" s="25"/>
      <c r="BQ585" s="25"/>
      <c r="BR585" s="25"/>
      <c r="BS585" s="25"/>
      <c r="BT585" s="25"/>
      <c r="BU585" s="25"/>
      <c r="BV585" s="25"/>
      <c r="BW585" s="25"/>
      <c r="BX585" s="25"/>
      <c r="BY585" s="25"/>
      <c r="BZ585" s="25"/>
      <c r="CA585" s="25"/>
      <c r="CB585" s="25"/>
      <c r="CC585" s="25"/>
      <c r="CD585" s="25"/>
      <c r="CE585" s="25"/>
      <c r="CF585" s="25"/>
      <c r="CG585" s="25"/>
      <c r="CH585" s="25"/>
      <c r="CI585" s="25"/>
      <c r="CJ585" s="25"/>
      <c r="CK585" s="25"/>
      <c r="CL585" s="25"/>
      <c r="CM585" s="25"/>
      <c r="CN585" s="25"/>
      <c r="CO585" s="25"/>
      <c r="CP585" s="25"/>
      <c r="CQ585" s="25"/>
      <c r="CR585" s="25"/>
      <c r="CS585" s="25"/>
      <c r="CT585" s="25"/>
      <c r="CU585" s="25"/>
      <c r="CV585" s="25"/>
      <c r="CW585" s="25"/>
      <c r="CX585" s="25"/>
      <c r="CY585" s="25"/>
      <c r="CZ585" s="25"/>
      <c r="DA585" s="25"/>
      <c r="DB585" s="25"/>
      <c r="DC585" s="25"/>
      <c r="DD585" s="25"/>
      <c r="DE585" s="25"/>
      <c r="DF585" s="25"/>
      <c r="DG585" s="25"/>
      <c r="DH585" s="25"/>
      <c r="DI585" s="25"/>
      <c r="DJ585" s="25"/>
      <c r="DK585" s="25"/>
      <c r="DL585" s="25"/>
      <c r="DM585" s="25"/>
      <c r="DN585" s="25"/>
      <c r="DO585" s="25"/>
      <c r="DP585" s="25"/>
      <c r="DQ585" s="25"/>
      <c r="DR585" s="25"/>
      <c r="DS585" s="25"/>
      <c r="DT585" s="25"/>
      <c r="DU585" s="25"/>
      <c r="DV585" s="25"/>
      <c r="DW585" s="25"/>
      <c r="DX585" s="25"/>
      <c r="DY585" s="25"/>
      <c r="DZ585" s="25"/>
      <c r="EA585" s="25"/>
      <c r="EB585" s="25"/>
      <c r="EC585" s="25"/>
      <c r="ED585" s="25"/>
      <c r="EE585" s="25"/>
      <c r="EF585" s="25"/>
      <c r="EG585" s="25"/>
      <c r="EH585" s="25"/>
      <c r="EI585" s="25"/>
      <c r="EJ585" s="25"/>
      <c r="EK585" s="25"/>
      <c r="EL585" s="25"/>
      <c r="EM585" s="25"/>
      <c r="EN585" s="25"/>
      <c r="EO585" s="25"/>
      <c r="EP585" s="25"/>
      <c r="EQ585" s="25"/>
      <c r="ER585" s="25"/>
      <c r="ES585" s="25"/>
      <c r="ET585" s="25"/>
      <c r="EU585" s="25"/>
      <c r="EV585" s="25"/>
      <c r="EW585" s="25"/>
      <c r="EX585" s="25"/>
      <c r="EY585" s="25"/>
      <c r="EZ585" s="25"/>
      <c r="FA585" s="25"/>
      <c r="FB585" s="25"/>
      <c r="FC585" s="25"/>
      <c r="FD585" s="25"/>
      <c r="FE585" s="25"/>
      <c r="FF585" s="25"/>
      <c r="FG585" s="25"/>
      <c r="FH585" s="25"/>
      <c r="FI585" s="25"/>
      <c r="FJ585" s="25"/>
      <c r="FK585" s="25"/>
      <c r="FL585" s="25"/>
      <c r="FM585" s="25"/>
      <c r="FN585" s="25"/>
      <c r="FO585" s="25"/>
      <c r="FP585" s="25"/>
      <c r="FQ585" s="25"/>
      <c r="FR585" s="25"/>
      <c r="FS585" s="25"/>
      <c r="FT585" s="25"/>
      <c r="FU585" s="25"/>
      <c r="FV585" s="25"/>
      <c r="FW585" s="25"/>
      <c r="FX585" s="25"/>
      <c r="FY585" s="25"/>
      <c r="FZ585" s="25"/>
      <c r="GA585" s="25"/>
      <c r="GB585" s="25"/>
      <c r="GC585" s="25"/>
      <c r="GD585" s="25"/>
      <c r="GE585" s="25"/>
      <c r="GF585" s="25"/>
      <c r="GG585" s="25"/>
      <c r="GH585" s="25"/>
      <c r="GI585" s="25"/>
      <c r="GJ585" s="25"/>
      <c r="GK585" s="25"/>
      <c r="GL585" s="25"/>
      <c r="GM585" s="25"/>
      <c r="GN585" s="25"/>
      <c r="GO585" s="25"/>
      <c r="GP585" s="25"/>
      <c r="GQ585" s="25"/>
      <c r="GR585" s="25"/>
      <c r="GS585" s="25"/>
      <c r="GT585" s="25"/>
      <c r="GU585" s="25"/>
      <c r="GV585" s="25"/>
      <c r="GW585" s="25"/>
      <c r="GX585" s="25"/>
      <c r="GY585" s="25"/>
      <c r="GZ585" s="25"/>
      <c r="HA585" s="25"/>
      <c r="HB585" s="25"/>
      <c r="HC585" s="25"/>
      <c r="HD585" s="25"/>
      <c r="HE585" s="25"/>
      <c r="HF585" s="25"/>
      <c r="HG585" s="25"/>
      <c r="HH585" s="25"/>
      <c r="HI585" s="25"/>
      <c r="HJ585" s="25"/>
      <c r="HK585" s="25"/>
      <c r="HL585" s="25"/>
      <c r="HM585" s="25"/>
      <c r="HN585" s="25"/>
      <c r="HO585" s="25"/>
      <c r="HP585" s="25"/>
      <c r="HQ585" s="25"/>
      <c r="HR585" s="25"/>
      <c r="HS585" s="25"/>
      <c r="HT585" s="25"/>
      <c r="HU585" s="25"/>
      <c r="HV585" s="25"/>
      <c r="HW585" s="25"/>
      <c r="HX585" s="25"/>
      <c r="HY585" s="25"/>
      <c r="HZ585" s="25"/>
      <c r="IA585" s="25"/>
      <c r="IB585" s="25"/>
      <c r="IC585" s="25"/>
      <c r="ID585" s="25"/>
      <c r="IE585" s="25"/>
      <c r="IF585" s="25"/>
      <c r="IG585" s="25"/>
      <c r="IH585" s="25"/>
      <c r="II585" s="25"/>
      <c r="IJ585" s="25"/>
      <c r="IK585" s="25"/>
      <c r="IL585" s="25"/>
      <c r="IM585" s="25"/>
      <c r="IN585" s="25"/>
      <c r="IO585" s="25"/>
      <c r="IP585" s="25"/>
      <c r="IQ585" s="25"/>
      <c r="IR585" s="25"/>
      <c r="IS585" s="25"/>
      <c r="IT585" s="25"/>
      <c r="IU585" s="25"/>
      <c r="IV585" s="25"/>
      <c r="IW585" s="25"/>
      <c r="IX585" s="25"/>
      <c r="IY585" s="25"/>
      <c r="IZ585" s="25"/>
      <c r="JA585" s="25"/>
      <c r="JB585" s="25"/>
      <c r="JC585" s="25"/>
      <c r="JD585" s="25"/>
      <c r="JE585" s="25"/>
      <c r="JF585" s="25"/>
      <c r="JG585" s="25"/>
      <c r="JH585" s="25"/>
      <c r="JI585" s="25"/>
      <c r="JJ585" s="25"/>
      <c r="JK585" s="25"/>
      <c r="JL585" s="25"/>
      <c r="JM585" s="25"/>
      <c r="JN585" s="25"/>
      <c r="JO585" s="25"/>
      <c r="JP585" s="25"/>
      <c r="JQ585" s="25"/>
      <c r="JR585" s="25"/>
      <c r="JS585" s="25"/>
      <c r="JT585" s="25"/>
      <c r="JU585" s="25"/>
      <c r="JV585" s="25"/>
      <c r="JW585" s="25"/>
      <c r="JX585" s="25"/>
      <c r="JY585" s="25"/>
      <c r="JZ585" s="25"/>
      <c r="KA585" s="25"/>
      <c r="KB585" s="25"/>
      <c r="KC585" s="25"/>
      <c r="KD585" s="25"/>
      <c r="KE585" s="25"/>
      <c r="KF585" s="25"/>
      <c r="KG585" s="25"/>
      <c r="KH585" s="25"/>
      <c r="KI585" s="25"/>
      <c r="KJ585" s="25"/>
      <c r="KK585" s="25"/>
      <c r="KL585" s="25"/>
      <c r="KM585" s="25"/>
      <c r="KN585" s="25"/>
      <c r="KO585" s="25"/>
      <c r="KP585" s="25"/>
      <c r="KQ585" s="25"/>
      <c r="KR585" s="25"/>
      <c r="KS585" s="25"/>
      <c r="KT585" s="25"/>
      <c r="KU585" s="25"/>
      <c r="KV585" s="25"/>
      <c r="KW585" s="25"/>
      <c r="KX585" s="25"/>
      <c r="KY585" s="25"/>
      <c r="KZ585" s="25"/>
      <c r="LA585" s="25"/>
      <c r="LB585" s="25"/>
      <c r="LC585" s="25"/>
      <c r="LD585" s="25"/>
      <c r="LE585" s="25"/>
      <c r="LF585" s="25"/>
      <c r="LG585" s="25"/>
      <c r="LH585" s="25"/>
      <c r="LI585" s="25"/>
      <c r="LJ585" s="25"/>
      <c r="LK585" s="25"/>
      <c r="LL585" s="25"/>
      <c r="LM585" s="25"/>
      <c r="LN585" s="25"/>
      <c r="LO585" s="25"/>
      <c r="LP585" s="25"/>
      <c r="LQ585" s="25"/>
      <c r="LR585" s="25"/>
      <c r="LS585" s="25"/>
      <c r="LT585" s="25"/>
      <c r="LU585" s="25"/>
      <c r="LV585" s="25"/>
      <c r="LW585" s="25"/>
      <c r="LX585" s="25"/>
      <c r="LY585" s="25"/>
      <c r="LZ585" s="25"/>
      <c r="MA585" s="25"/>
      <c r="MB585" s="25"/>
      <c r="MC585" s="25"/>
      <c r="MD585" s="25"/>
      <c r="ME585" s="25"/>
      <c r="MF585" s="25"/>
      <c r="MG585" s="25"/>
      <c r="MH585" s="25"/>
      <c r="MI585" s="25"/>
      <c r="MJ585" s="25"/>
      <c r="MK585" s="25"/>
      <c r="ML585" s="25"/>
      <c r="MM585" s="25"/>
      <c r="MN585" s="25"/>
      <c r="MO585" s="25"/>
      <c r="MP585" s="25"/>
      <c r="MQ585" s="25"/>
      <c r="MR585" s="25"/>
      <c r="MS585" s="25"/>
      <c r="MT585" s="25"/>
      <c r="MU585" s="25"/>
      <c r="MV585" s="25"/>
      <c r="MW585" s="25"/>
      <c r="MX585" s="25"/>
      <c r="MY585" s="25"/>
      <c r="MZ585" s="25"/>
      <c r="NA585" s="25"/>
      <c r="NB585" s="25"/>
      <c r="NC585" s="25"/>
      <c r="ND585" s="25"/>
      <c r="NE585" s="25"/>
      <c r="NF585" s="25"/>
      <c r="NG585" s="25"/>
      <c r="NH585" s="25"/>
      <c r="NI585" s="25"/>
      <c r="NJ585" s="25"/>
      <c r="NK585" s="25"/>
      <c r="NL585" s="25"/>
      <c r="NM585" s="25"/>
      <c r="NN585" s="25"/>
      <c r="NO585" s="25"/>
      <c r="NP585" s="25"/>
      <c r="NQ585" s="25"/>
      <c r="NR585" s="25"/>
      <c r="NS585" s="25"/>
      <c r="NT585" s="25"/>
      <c r="NU585" s="25"/>
      <c r="NV585" s="25"/>
      <c r="NW585" s="25"/>
      <c r="NX585" s="25"/>
      <c r="NY585" s="25"/>
      <c r="NZ585" s="25"/>
      <c r="OA585" s="25"/>
      <c r="OB585" s="25"/>
      <c r="OC585" s="25"/>
      <c r="OD585" s="25"/>
      <c r="OE585" s="25"/>
      <c r="OF585" s="25"/>
      <c r="OG585" s="25"/>
      <c r="OH585" s="25"/>
      <c r="OI585" s="25"/>
      <c r="OJ585" s="25"/>
      <c r="OK585" s="25"/>
      <c r="OL585" s="25"/>
      <c r="OM585" s="25"/>
      <c r="ON585" s="25"/>
      <c r="OO585" s="25"/>
      <c r="OP585" s="25"/>
      <c r="OQ585" s="25"/>
      <c r="OR585" s="25"/>
      <c r="OS585" s="25"/>
      <c r="OT585" s="25"/>
      <c r="OU585" s="25"/>
      <c r="OV585" s="25"/>
      <c r="OW585" s="25"/>
      <c r="OX585" s="25"/>
      <c r="OY585" s="25"/>
      <c r="OZ585" s="25"/>
      <c r="PA585" s="25"/>
      <c r="PB585" s="25"/>
      <c r="PC585" s="25"/>
      <c r="PD585" s="25"/>
      <c r="PE585" s="25"/>
      <c r="PF585" s="25"/>
      <c r="PG585" s="25"/>
      <c r="PH585" s="25"/>
      <c r="PI585" s="25"/>
      <c r="PJ585" s="25"/>
      <c r="PK585" s="25"/>
      <c r="PL585" s="25"/>
      <c r="PM585" s="25"/>
      <c r="PN585" s="25"/>
      <c r="PO585" s="25"/>
      <c r="PP585" s="25"/>
      <c r="PQ585" s="25"/>
      <c r="PR585" s="25"/>
      <c r="PS585" s="25"/>
      <c r="PT585" s="25"/>
      <c r="PU585" s="25"/>
      <c r="PV585" s="25"/>
      <c r="PW585" s="25"/>
      <c r="PX585" s="25"/>
      <c r="PY585" s="25"/>
      <c r="PZ585" s="25"/>
      <c r="QA585" s="25"/>
      <c r="QB585" s="25"/>
      <c r="QC585" s="25"/>
      <c r="QD585" s="25"/>
      <c r="QE585" s="25"/>
      <c r="QF585" s="25"/>
      <c r="QG585" s="25"/>
      <c r="QH585" s="25"/>
      <c r="QI585" s="25"/>
      <c r="QJ585" s="25"/>
      <c r="QK585" s="25"/>
      <c r="QL585" s="25"/>
      <c r="QM585" s="25"/>
      <c r="QN585" s="25"/>
      <c r="QO585" s="25"/>
      <c r="QP585" s="25"/>
      <c r="QQ585" s="25"/>
      <c r="QR585" s="25"/>
      <c r="QS585" s="25"/>
      <c r="QT585" s="25"/>
      <c r="QU585" s="25"/>
      <c r="QV585" s="25"/>
      <c r="QW585" s="25"/>
      <c r="QX585" s="25"/>
      <c r="QY585" s="25"/>
      <c r="QZ585" s="25"/>
      <c r="RA585" s="25"/>
      <c r="RB585" s="25"/>
      <c r="RC585" s="25"/>
      <c r="RD585" s="25"/>
      <c r="RE585" s="25"/>
      <c r="RF585" s="25"/>
      <c r="RG585" s="25"/>
      <c r="RH585" s="25"/>
      <c r="RI585" s="25"/>
      <c r="RJ585" s="25"/>
      <c r="RK585" s="25"/>
      <c r="RL585" s="25"/>
      <c r="RM585" s="25"/>
      <c r="RN585" s="25"/>
      <c r="RO585" s="25"/>
      <c r="RP585" s="25"/>
      <c r="RQ585" s="25"/>
      <c r="RR585" s="25"/>
      <c r="RS585" s="25"/>
      <c r="RT585" s="25"/>
      <c r="RU585" s="25"/>
      <c r="RV585" s="25"/>
      <c r="RW585" s="25"/>
      <c r="RX585" s="25"/>
      <c r="RY585" s="25"/>
      <c r="RZ585" s="25"/>
      <c r="SA585" s="25"/>
      <c r="SB585" s="25"/>
      <c r="SC585" s="25"/>
      <c r="SD585" s="25"/>
      <c r="SE585" s="25"/>
      <c r="SF585" s="25"/>
      <c r="SG585" s="25"/>
      <c r="SH585" s="25"/>
      <c r="SI585" s="25"/>
      <c r="SJ585" s="25"/>
      <c r="SK585" s="25"/>
      <c r="SL585" s="25"/>
      <c r="SM585" s="25"/>
      <c r="SN585" s="25"/>
      <c r="SO585" s="25"/>
      <c r="SP585" s="25"/>
      <c r="SQ585" s="25"/>
      <c r="SR585" s="25"/>
      <c r="SS585" s="25"/>
      <c r="ST585" s="25"/>
      <c r="SU585" s="25"/>
      <c r="SV585" s="25"/>
      <c r="SW585" s="25"/>
      <c r="SX585" s="25"/>
      <c r="SY585" s="25"/>
      <c r="SZ585" s="25"/>
      <c r="TA585" s="25"/>
      <c r="TB585" s="25"/>
      <c r="TC585" s="25"/>
      <c r="TD585" s="25"/>
      <c r="TE585" s="25"/>
      <c r="TF585" s="25"/>
      <c r="TG585" s="25"/>
      <c r="TH585" s="25"/>
      <c r="TI585" s="25"/>
      <c r="TJ585" s="25"/>
      <c r="TK585" s="25"/>
      <c r="TL585" s="25"/>
      <c r="TM585" s="25"/>
      <c r="TN585" s="25"/>
      <c r="TO585" s="25"/>
      <c r="TP585" s="25"/>
      <c r="TQ585" s="25"/>
      <c r="TR585" s="25"/>
      <c r="TS585" s="25"/>
      <c r="TT585" s="25"/>
      <c r="TU585" s="25"/>
      <c r="TV585" s="25"/>
      <c r="TW585" s="25"/>
      <c r="TX585" s="25"/>
      <c r="TY585" s="25"/>
      <c r="TZ585" s="25"/>
      <c r="UA585" s="25"/>
      <c r="UB585" s="25"/>
      <c r="UC585" s="25"/>
      <c r="UD585" s="25"/>
      <c r="UE585" s="25"/>
      <c r="UF585" s="25"/>
      <c r="UG585" s="26"/>
    </row>
    <row r="586" spans="1:553" ht="50.25" customHeight="1">
      <c r="A586" s="356" t="s">
        <v>30</v>
      </c>
      <c r="B586" s="385">
        <v>39</v>
      </c>
      <c r="C586" s="1404" t="s">
        <v>414</v>
      </c>
      <c r="D586" s="1389"/>
      <c r="E586" s="1389"/>
      <c r="F586" s="1390"/>
      <c r="G586" s="386" t="s">
        <v>33</v>
      </c>
      <c r="H586" s="370"/>
      <c r="I586" s="417">
        <f>0.64*0.9*4</f>
        <v>2.3040000000000003</v>
      </c>
      <c r="J586" s="368">
        <v>39000</v>
      </c>
      <c r="K586" s="371"/>
      <c r="L586" s="487">
        <f t="shared" si="101"/>
        <v>89856.000000000015</v>
      </c>
      <c r="M586" s="395"/>
      <c r="N586" s="395"/>
      <c r="O586" s="366"/>
      <c r="P586" s="396"/>
      <c r="Q586" s="473"/>
      <c r="R586" s="1039"/>
      <c r="S586" s="308"/>
      <c r="T586" s="308"/>
      <c r="U586" s="308"/>
      <c r="V586" s="308"/>
      <c r="W586" s="308"/>
      <c r="X586" s="308"/>
      <c r="Y586" s="308"/>
      <c r="Z586" s="604"/>
      <c r="AA586" s="308"/>
      <c r="AB586" s="308"/>
      <c r="AC586" s="449"/>
      <c r="AD586" s="449"/>
      <c r="AE586" s="449"/>
      <c r="AF586" s="449"/>
      <c r="AG586" s="452"/>
      <c r="AH586" s="452"/>
      <c r="AI586" s="452"/>
      <c r="AJ586" s="452"/>
      <c r="AK586" s="452"/>
      <c r="AL586" s="104"/>
      <c r="AM586" s="32"/>
      <c r="AN586" s="32"/>
      <c r="AO586" s="32"/>
      <c r="AP586" s="32"/>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25"/>
      <c r="BN586" s="25"/>
      <c r="BO586" s="25"/>
      <c r="BP586" s="25"/>
      <c r="BQ586" s="25"/>
      <c r="BR586" s="25"/>
      <c r="BS586" s="25"/>
      <c r="BT586" s="25"/>
      <c r="BU586" s="25"/>
      <c r="BV586" s="25"/>
      <c r="BW586" s="25"/>
      <c r="BX586" s="25"/>
      <c r="BY586" s="25"/>
      <c r="BZ586" s="25"/>
      <c r="CA586" s="25"/>
      <c r="CB586" s="25"/>
      <c r="CC586" s="25"/>
      <c r="CD586" s="25"/>
      <c r="CE586" s="25"/>
      <c r="CF586" s="25"/>
      <c r="CG586" s="25"/>
      <c r="CH586" s="25"/>
      <c r="CI586" s="25"/>
      <c r="CJ586" s="25"/>
      <c r="CK586" s="25"/>
      <c r="CL586" s="25"/>
      <c r="CM586" s="25"/>
      <c r="CN586" s="25"/>
      <c r="CO586" s="25"/>
      <c r="CP586" s="25"/>
      <c r="CQ586" s="25"/>
      <c r="CR586" s="25"/>
      <c r="CS586" s="25"/>
      <c r="CT586" s="25"/>
      <c r="CU586" s="25"/>
      <c r="CV586" s="25"/>
      <c r="CW586" s="25"/>
      <c r="CX586" s="25"/>
      <c r="CY586" s="25"/>
      <c r="CZ586" s="25"/>
      <c r="DA586" s="25"/>
      <c r="DB586" s="25"/>
      <c r="DC586" s="25"/>
      <c r="DD586" s="25"/>
      <c r="DE586" s="25"/>
      <c r="DF586" s="25"/>
      <c r="DG586" s="25"/>
      <c r="DH586" s="25"/>
      <c r="DI586" s="25"/>
      <c r="DJ586" s="25"/>
      <c r="DK586" s="25"/>
      <c r="DL586" s="25"/>
      <c r="DM586" s="25"/>
      <c r="DN586" s="25"/>
      <c r="DO586" s="25"/>
      <c r="DP586" s="25"/>
      <c r="DQ586" s="25"/>
      <c r="DR586" s="25"/>
      <c r="DS586" s="25"/>
      <c r="DT586" s="25"/>
      <c r="DU586" s="25"/>
      <c r="DV586" s="25"/>
      <c r="DW586" s="25"/>
      <c r="DX586" s="25"/>
      <c r="DY586" s="25"/>
      <c r="DZ586" s="25"/>
      <c r="EA586" s="25"/>
      <c r="EB586" s="25"/>
      <c r="EC586" s="25"/>
      <c r="ED586" s="25"/>
      <c r="EE586" s="25"/>
      <c r="EF586" s="25"/>
      <c r="EG586" s="25"/>
      <c r="EH586" s="25"/>
      <c r="EI586" s="25"/>
      <c r="EJ586" s="25"/>
      <c r="EK586" s="25"/>
      <c r="EL586" s="25"/>
      <c r="EM586" s="25"/>
      <c r="EN586" s="25"/>
      <c r="EO586" s="25"/>
      <c r="EP586" s="25"/>
      <c r="EQ586" s="25"/>
      <c r="ER586" s="25"/>
      <c r="ES586" s="25"/>
      <c r="ET586" s="25"/>
      <c r="EU586" s="25"/>
      <c r="EV586" s="25"/>
      <c r="EW586" s="25"/>
      <c r="EX586" s="25"/>
      <c r="EY586" s="25"/>
      <c r="EZ586" s="25"/>
      <c r="FA586" s="25"/>
      <c r="FB586" s="25"/>
      <c r="FC586" s="25"/>
      <c r="FD586" s="25"/>
      <c r="FE586" s="25"/>
      <c r="FF586" s="25"/>
      <c r="FG586" s="25"/>
      <c r="FH586" s="25"/>
      <c r="FI586" s="25"/>
      <c r="FJ586" s="25"/>
      <c r="FK586" s="25"/>
      <c r="FL586" s="25"/>
      <c r="FM586" s="25"/>
      <c r="FN586" s="25"/>
      <c r="FO586" s="25"/>
      <c r="FP586" s="25"/>
      <c r="FQ586" s="25"/>
      <c r="FR586" s="25"/>
      <c r="FS586" s="25"/>
      <c r="FT586" s="25"/>
      <c r="FU586" s="25"/>
      <c r="FV586" s="25"/>
      <c r="FW586" s="25"/>
      <c r="FX586" s="25"/>
      <c r="FY586" s="25"/>
      <c r="FZ586" s="25"/>
      <c r="GA586" s="25"/>
      <c r="GB586" s="25"/>
      <c r="GC586" s="25"/>
      <c r="GD586" s="25"/>
      <c r="GE586" s="25"/>
      <c r="GF586" s="25"/>
      <c r="GG586" s="25"/>
      <c r="GH586" s="25"/>
      <c r="GI586" s="25"/>
      <c r="GJ586" s="25"/>
      <c r="GK586" s="25"/>
      <c r="GL586" s="25"/>
      <c r="GM586" s="25"/>
      <c r="GN586" s="25"/>
      <c r="GO586" s="25"/>
      <c r="GP586" s="25"/>
      <c r="GQ586" s="25"/>
      <c r="GR586" s="25"/>
      <c r="GS586" s="25"/>
      <c r="GT586" s="25"/>
      <c r="GU586" s="25"/>
      <c r="GV586" s="25"/>
      <c r="GW586" s="25"/>
      <c r="GX586" s="25"/>
      <c r="GY586" s="25"/>
      <c r="GZ586" s="25"/>
      <c r="HA586" s="25"/>
      <c r="HB586" s="25"/>
      <c r="HC586" s="25"/>
      <c r="HD586" s="25"/>
      <c r="HE586" s="25"/>
      <c r="HF586" s="25"/>
      <c r="HG586" s="25"/>
      <c r="HH586" s="25"/>
      <c r="HI586" s="25"/>
      <c r="HJ586" s="25"/>
      <c r="HK586" s="25"/>
      <c r="HL586" s="25"/>
      <c r="HM586" s="25"/>
      <c r="HN586" s="25"/>
      <c r="HO586" s="25"/>
      <c r="HP586" s="25"/>
      <c r="HQ586" s="25"/>
      <c r="HR586" s="25"/>
      <c r="HS586" s="25"/>
      <c r="HT586" s="25"/>
      <c r="HU586" s="25"/>
      <c r="HV586" s="25"/>
      <c r="HW586" s="25"/>
      <c r="HX586" s="25"/>
      <c r="HY586" s="25"/>
      <c r="HZ586" s="25"/>
      <c r="IA586" s="25"/>
      <c r="IB586" s="25"/>
      <c r="IC586" s="25"/>
      <c r="ID586" s="25"/>
      <c r="IE586" s="25"/>
      <c r="IF586" s="25"/>
      <c r="IG586" s="25"/>
      <c r="IH586" s="25"/>
      <c r="II586" s="25"/>
      <c r="IJ586" s="25"/>
      <c r="IK586" s="25"/>
      <c r="IL586" s="25"/>
      <c r="IM586" s="25"/>
      <c r="IN586" s="25"/>
      <c r="IO586" s="25"/>
      <c r="IP586" s="25"/>
      <c r="IQ586" s="25"/>
      <c r="IR586" s="25"/>
      <c r="IS586" s="25"/>
      <c r="IT586" s="25"/>
      <c r="IU586" s="25"/>
      <c r="IV586" s="25"/>
      <c r="IW586" s="25"/>
      <c r="IX586" s="25"/>
      <c r="IY586" s="25"/>
      <c r="IZ586" s="25"/>
      <c r="JA586" s="25"/>
      <c r="JB586" s="25"/>
      <c r="JC586" s="25"/>
      <c r="JD586" s="25"/>
      <c r="JE586" s="25"/>
      <c r="JF586" s="25"/>
      <c r="JG586" s="25"/>
      <c r="JH586" s="25"/>
      <c r="JI586" s="25"/>
      <c r="JJ586" s="25"/>
      <c r="JK586" s="25"/>
      <c r="JL586" s="25"/>
      <c r="JM586" s="25"/>
      <c r="JN586" s="25"/>
      <c r="JO586" s="25"/>
      <c r="JP586" s="25"/>
      <c r="JQ586" s="25"/>
      <c r="JR586" s="25"/>
      <c r="JS586" s="25"/>
      <c r="JT586" s="25"/>
      <c r="JU586" s="25"/>
      <c r="JV586" s="25"/>
      <c r="JW586" s="25"/>
      <c r="JX586" s="25"/>
      <c r="JY586" s="25"/>
      <c r="JZ586" s="25"/>
      <c r="KA586" s="25"/>
      <c r="KB586" s="25"/>
      <c r="KC586" s="25"/>
      <c r="KD586" s="25"/>
      <c r="KE586" s="25"/>
      <c r="KF586" s="25"/>
      <c r="KG586" s="25"/>
      <c r="KH586" s="25"/>
      <c r="KI586" s="25"/>
      <c r="KJ586" s="25"/>
      <c r="KK586" s="25"/>
      <c r="KL586" s="25"/>
      <c r="KM586" s="25"/>
      <c r="KN586" s="25"/>
      <c r="KO586" s="25"/>
      <c r="KP586" s="25"/>
      <c r="KQ586" s="25"/>
      <c r="KR586" s="25"/>
      <c r="KS586" s="25"/>
      <c r="KT586" s="25"/>
      <c r="KU586" s="25"/>
      <c r="KV586" s="25"/>
      <c r="KW586" s="25"/>
      <c r="KX586" s="25"/>
      <c r="KY586" s="25"/>
      <c r="KZ586" s="25"/>
      <c r="LA586" s="25"/>
      <c r="LB586" s="25"/>
      <c r="LC586" s="25"/>
      <c r="LD586" s="25"/>
      <c r="LE586" s="25"/>
      <c r="LF586" s="25"/>
      <c r="LG586" s="25"/>
      <c r="LH586" s="25"/>
      <c r="LI586" s="25"/>
      <c r="LJ586" s="25"/>
      <c r="LK586" s="25"/>
      <c r="LL586" s="25"/>
      <c r="LM586" s="25"/>
      <c r="LN586" s="25"/>
      <c r="LO586" s="25"/>
      <c r="LP586" s="25"/>
      <c r="LQ586" s="25"/>
      <c r="LR586" s="25"/>
      <c r="LS586" s="25"/>
      <c r="LT586" s="25"/>
      <c r="LU586" s="25"/>
      <c r="LV586" s="25"/>
      <c r="LW586" s="25"/>
      <c r="LX586" s="25"/>
      <c r="LY586" s="25"/>
      <c r="LZ586" s="25"/>
      <c r="MA586" s="25"/>
      <c r="MB586" s="25"/>
      <c r="MC586" s="25"/>
      <c r="MD586" s="25"/>
      <c r="ME586" s="25"/>
      <c r="MF586" s="25"/>
      <c r="MG586" s="25"/>
      <c r="MH586" s="25"/>
      <c r="MI586" s="25"/>
      <c r="MJ586" s="25"/>
      <c r="MK586" s="25"/>
      <c r="ML586" s="25"/>
      <c r="MM586" s="25"/>
      <c r="MN586" s="25"/>
      <c r="MO586" s="25"/>
      <c r="MP586" s="25"/>
      <c r="MQ586" s="25"/>
      <c r="MR586" s="25"/>
      <c r="MS586" s="25"/>
      <c r="MT586" s="25"/>
      <c r="MU586" s="25"/>
      <c r="MV586" s="25"/>
      <c r="MW586" s="25"/>
      <c r="MX586" s="25"/>
      <c r="MY586" s="25"/>
      <c r="MZ586" s="25"/>
      <c r="NA586" s="25"/>
      <c r="NB586" s="25"/>
      <c r="NC586" s="25"/>
      <c r="ND586" s="25"/>
      <c r="NE586" s="25"/>
      <c r="NF586" s="25"/>
      <c r="NG586" s="25"/>
      <c r="NH586" s="25"/>
      <c r="NI586" s="25"/>
      <c r="NJ586" s="25"/>
      <c r="NK586" s="25"/>
      <c r="NL586" s="25"/>
      <c r="NM586" s="25"/>
      <c r="NN586" s="25"/>
      <c r="NO586" s="25"/>
      <c r="NP586" s="25"/>
      <c r="NQ586" s="25"/>
      <c r="NR586" s="25"/>
      <c r="NS586" s="25"/>
      <c r="NT586" s="25"/>
      <c r="NU586" s="25"/>
      <c r="NV586" s="25"/>
      <c r="NW586" s="25"/>
      <c r="NX586" s="25"/>
      <c r="NY586" s="25"/>
      <c r="NZ586" s="25"/>
      <c r="OA586" s="25"/>
      <c r="OB586" s="25"/>
      <c r="OC586" s="25"/>
      <c r="OD586" s="25"/>
      <c r="OE586" s="25"/>
      <c r="OF586" s="25"/>
      <c r="OG586" s="25"/>
      <c r="OH586" s="25"/>
      <c r="OI586" s="25"/>
      <c r="OJ586" s="25"/>
      <c r="OK586" s="25"/>
      <c r="OL586" s="25"/>
      <c r="OM586" s="25"/>
      <c r="ON586" s="25"/>
      <c r="OO586" s="25"/>
      <c r="OP586" s="25"/>
      <c r="OQ586" s="25"/>
      <c r="OR586" s="25"/>
      <c r="OS586" s="25"/>
      <c r="OT586" s="25"/>
      <c r="OU586" s="25"/>
      <c r="OV586" s="25"/>
      <c r="OW586" s="25"/>
      <c r="OX586" s="25"/>
      <c r="OY586" s="25"/>
      <c r="OZ586" s="25"/>
      <c r="PA586" s="25"/>
      <c r="PB586" s="25"/>
      <c r="PC586" s="25"/>
      <c r="PD586" s="25"/>
      <c r="PE586" s="25"/>
      <c r="PF586" s="25"/>
      <c r="PG586" s="25"/>
      <c r="PH586" s="25"/>
      <c r="PI586" s="25"/>
      <c r="PJ586" s="25"/>
      <c r="PK586" s="25"/>
      <c r="PL586" s="25"/>
      <c r="PM586" s="25"/>
      <c r="PN586" s="25"/>
      <c r="PO586" s="25"/>
      <c r="PP586" s="25"/>
      <c r="PQ586" s="25"/>
      <c r="PR586" s="25"/>
      <c r="PS586" s="25"/>
      <c r="PT586" s="25"/>
      <c r="PU586" s="25"/>
      <c r="PV586" s="25"/>
      <c r="PW586" s="25"/>
      <c r="PX586" s="25"/>
      <c r="PY586" s="25"/>
      <c r="PZ586" s="25"/>
      <c r="QA586" s="25"/>
      <c r="QB586" s="25"/>
      <c r="QC586" s="25"/>
      <c r="QD586" s="25"/>
      <c r="QE586" s="25"/>
      <c r="QF586" s="25"/>
      <c r="QG586" s="25"/>
      <c r="QH586" s="25"/>
      <c r="QI586" s="25"/>
      <c r="QJ586" s="25"/>
      <c r="QK586" s="25"/>
      <c r="QL586" s="25"/>
      <c r="QM586" s="25"/>
      <c r="QN586" s="25"/>
      <c r="QO586" s="25"/>
      <c r="QP586" s="25"/>
      <c r="QQ586" s="25"/>
      <c r="QR586" s="25"/>
      <c r="QS586" s="25"/>
      <c r="QT586" s="25"/>
      <c r="QU586" s="25"/>
      <c r="QV586" s="25"/>
      <c r="QW586" s="25"/>
      <c r="QX586" s="25"/>
      <c r="QY586" s="25"/>
      <c r="QZ586" s="25"/>
      <c r="RA586" s="25"/>
      <c r="RB586" s="25"/>
      <c r="RC586" s="25"/>
      <c r="RD586" s="25"/>
      <c r="RE586" s="25"/>
      <c r="RF586" s="25"/>
      <c r="RG586" s="25"/>
      <c r="RH586" s="25"/>
      <c r="RI586" s="25"/>
      <c r="RJ586" s="25"/>
      <c r="RK586" s="25"/>
      <c r="RL586" s="25"/>
      <c r="RM586" s="25"/>
      <c r="RN586" s="25"/>
      <c r="RO586" s="25"/>
      <c r="RP586" s="25"/>
      <c r="RQ586" s="25"/>
      <c r="RR586" s="25"/>
      <c r="RS586" s="25"/>
      <c r="RT586" s="25"/>
      <c r="RU586" s="25"/>
      <c r="RV586" s="25"/>
      <c r="RW586" s="25"/>
      <c r="RX586" s="25"/>
      <c r="RY586" s="25"/>
      <c r="RZ586" s="25"/>
      <c r="SA586" s="25"/>
      <c r="SB586" s="25"/>
      <c r="SC586" s="25"/>
      <c r="SD586" s="25"/>
      <c r="SE586" s="25"/>
      <c r="SF586" s="25"/>
      <c r="SG586" s="25"/>
      <c r="SH586" s="25"/>
      <c r="SI586" s="25"/>
      <c r="SJ586" s="25"/>
      <c r="SK586" s="25"/>
      <c r="SL586" s="25"/>
      <c r="SM586" s="25"/>
      <c r="SN586" s="25"/>
      <c r="SO586" s="25"/>
      <c r="SP586" s="25"/>
      <c r="SQ586" s="25"/>
      <c r="SR586" s="25"/>
      <c r="SS586" s="25"/>
      <c r="ST586" s="25"/>
      <c r="SU586" s="25"/>
      <c r="SV586" s="25"/>
      <c r="SW586" s="25"/>
      <c r="SX586" s="25"/>
      <c r="SY586" s="25"/>
      <c r="SZ586" s="25"/>
      <c r="TA586" s="25"/>
      <c r="TB586" s="25"/>
      <c r="TC586" s="25"/>
      <c r="TD586" s="25"/>
      <c r="TE586" s="25"/>
      <c r="TF586" s="25"/>
      <c r="TG586" s="25"/>
      <c r="TH586" s="25"/>
      <c r="TI586" s="25"/>
      <c r="TJ586" s="25"/>
      <c r="TK586" s="25"/>
      <c r="TL586" s="25"/>
      <c r="TM586" s="25"/>
      <c r="TN586" s="25"/>
      <c r="TO586" s="25"/>
      <c r="TP586" s="25"/>
      <c r="TQ586" s="25"/>
      <c r="TR586" s="25"/>
      <c r="TS586" s="25"/>
      <c r="TT586" s="25"/>
      <c r="TU586" s="25"/>
      <c r="TV586" s="25"/>
      <c r="TW586" s="25"/>
      <c r="TX586" s="25"/>
      <c r="TY586" s="25"/>
      <c r="TZ586" s="25"/>
      <c r="UA586" s="25"/>
      <c r="UB586" s="25"/>
      <c r="UC586" s="25"/>
      <c r="UD586" s="25"/>
      <c r="UE586" s="25"/>
      <c r="UF586" s="25"/>
      <c r="UG586" s="26"/>
    </row>
    <row r="587" spans="1:553" ht="50.25" customHeight="1">
      <c r="A587" s="356" t="s">
        <v>30</v>
      </c>
      <c r="B587" s="385">
        <v>39</v>
      </c>
      <c r="C587" s="1404" t="s">
        <v>415</v>
      </c>
      <c r="D587" s="1389"/>
      <c r="E587" s="1389"/>
      <c r="F587" s="1390"/>
      <c r="G587" s="386" t="s">
        <v>33</v>
      </c>
      <c r="H587" s="370"/>
      <c r="I587" s="417">
        <f>0.38*8.9*2</f>
        <v>6.7640000000000002</v>
      </c>
      <c r="J587" s="368">
        <v>39000</v>
      </c>
      <c r="K587" s="371"/>
      <c r="L587" s="487">
        <f t="shared" si="101"/>
        <v>263796</v>
      </c>
      <c r="M587" s="395"/>
      <c r="N587" s="395"/>
      <c r="O587" s="366"/>
      <c r="P587" s="396"/>
      <c r="Q587" s="473"/>
      <c r="R587" s="1039"/>
      <c r="S587" s="308"/>
      <c r="T587" s="308"/>
      <c r="U587" s="308"/>
      <c r="V587" s="308"/>
      <c r="W587" s="308"/>
      <c r="X587" s="308"/>
      <c r="Y587" s="308"/>
      <c r="Z587" s="604"/>
      <c r="AA587" s="308"/>
      <c r="AB587" s="308"/>
      <c r="AC587" s="449"/>
      <c r="AD587" s="449"/>
      <c r="AE587" s="449"/>
      <c r="AF587" s="449"/>
      <c r="AG587" s="452"/>
      <c r="AH587" s="452"/>
      <c r="AI587" s="452"/>
      <c r="AJ587" s="452"/>
      <c r="AK587" s="452"/>
      <c r="AL587" s="104"/>
      <c r="AM587" s="32"/>
      <c r="AN587" s="32"/>
      <c r="AO587" s="32"/>
      <c r="AP587" s="32"/>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25"/>
      <c r="BN587" s="25"/>
      <c r="BO587" s="25"/>
      <c r="BP587" s="25"/>
      <c r="BQ587" s="25"/>
      <c r="BR587" s="25"/>
      <c r="BS587" s="25"/>
      <c r="BT587" s="25"/>
      <c r="BU587" s="25"/>
      <c r="BV587" s="25"/>
      <c r="BW587" s="25"/>
      <c r="BX587" s="25"/>
      <c r="BY587" s="25"/>
      <c r="BZ587" s="25"/>
      <c r="CA587" s="25"/>
      <c r="CB587" s="25"/>
      <c r="CC587" s="25"/>
      <c r="CD587" s="25"/>
      <c r="CE587" s="25"/>
      <c r="CF587" s="25"/>
      <c r="CG587" s="25"/>
      <c r="CH587" s="25"/>
      <c r="CI587" s="25"/>
      <c r="CJ587" s="25"/>
      <c r="CK587" s="25"/>
      <c r="CL587" s="25"/>
      <c r="CM587" s="25"/>
      <c r="CN587" s="25"/>
      <c r="CO587" s="25"/>
      <c r="CP587" s="25"/>
      <c r="CQ587" s="25"/>
      <c r="CR587" s="25"/>
      <c r="CS587" s="25"/>
      <c r="CT587" s="25"/>
      <c r="CU587" s="25"/>
      <c r="CV587" s="25"/>
      <c r="CW587" s="25"/>
      <c r="CX587" s="25"/>
      <c r="CY587" s="25"/>
      <c r="CZ587" s="25"/>
      <c r="DA587" s="25"/>
      <c r="DB587" s="25"/>
      <c r="DC587" s="25"/>
      <c r="DD587" s="25"/>
      <c r="DE587" s="25"/>
      <c r="DF587" s="25"/>
      <c r="DG587" s="25"/>
      <c r="DH587" s="25"/>
      <c r="DI587" s="25"/>
      <c r="DJ587" s="25"/>
      <c r="DK587" s="25"/>
      <c r="DL587" s="25"/>
      <c r="DM587" s="25"/>
      <c r="DN587" s="25"/>
      <c r="DO587" s="25"/>
      <c r="DP587" s="25"/>
      <c r="DQ587" s="25"/>
      <c r="DR587" s="25"/>
      <c r="DS587" s="25"/>
      <c r="DT587" s="25"/>
      <c r="DU587" s="25"/>
      <c r="DV587" s="25"/>
      <c r="DW587" s="25"/>
      <c r="DX587" s="25"/>
      <c r="DY587" s="25"/>
      <c r="DZ587" s="25"/>
      <c r="EA587" s="25"/>
      <c r="EB587" s="25"/>
      <c r="EC587" s="25"/>
      <c r="ED587" s="25"/>
      <c r="EE587" s="25"/>
      <c r="EF587" s="25"/>
      <c r="EG587" s="25"/>
      <c r="EH587" s="25"/>
      <c r="EI587" s="25"/>
      <c r="EJ587" s="25"/>
      <c r="EK587" s="25"/>
      <c r="EL587" s="25"/>
      <c r="EM587" s="25"/>
      <c r="EN587" s="25"/>
      <c r="EO587" s="25"/>
      <c r="EP587" s="25"/>
      <c r="EQ587" s="25"/>
      <c r="ER587" s="25"/>
      <c r="ES587" s="25"/>
      <c r="ET587" s="25"/>
      <c r="EU587" s="25"/>
      <c r="EV587" s="25"/>
      <c r="EW587" s="25"/>
      <c r="EX587" s="25"/>
      <c r="EY587" s="25"/>
      <c r="EZ587" s="25"/>
      <c r="FA587" s="25"/>
      <c r="FB587" s="25"/>
      <c r="FC587" s="25"/>
      <c r="FD587" s="25"/>
      <c r="FE587" s="25"/>
      <c r="FF587" s="25"/>
      <c r="FG587" s="25"/>
      <c r="FH587" s="25"/>
      <c r="FI587" s="25"/>
      <c r="FJ587" s="25"/>
      <c r="FK587" s="25"/>
      <c r="FL587" s="25"/>
      <c r="FM587" s="25"/>
      <c r="FN587" s="25"/>
      <c r="FO587" s="25"/>
      <c r="FP587" s="25"/>
      <c r="FQ587" s="25"/>
      <c r="FR587" s="25"/>
      <c r="FS587" s="25"/>
      <c r="FT587" s="25"/>
      <c r="FU587" s="25"/>
      <c r="FV587" s="25"/>
      <c r="FW587" s="25"/>
      <c r="FX587" s="25"/>
      <c r="FY587" s="25"/>
      <c r="FZ587" s="25"/>
      <c r="GA587" s="25"/>
      <c r="GB587" s="25"/>
      <c r="GC587" s="25"/>
      <c r="GD587" s="25"/>
      <c r="GE587" s="25"/>
      <c r="GF587" s="25"/>
      <c r="GG587" s="25"/>
      <c r="GH587" s="25"/>
      <c r="GI587" s="25"/>
      <c r="GJ587" s="25"/>
      <c r="GK587" s="25"/>
      <c r="GL587" s="25"/>
      <c r="GM587" s="25"/>
      <c r="GN587" s="25"/>
      <c r="GO587" s="25"/>
      <c r="GP587" s="25"/>
      <c r="GQ587" s="25"/>
      <c r="GR587" s="25"/>
      <c r="GS587" s="25"/>
      <c r="GT587" s="25"/>
      <c r="GU587" s="25"/>
      <c r="GV587" s="25"/>
      <c r="GW587" s="25"/>
      <c r="GX587" s="25"/>
      <c r="GY587" s="25"/>
      <c r="GZ587" s="25"/>
      <c r="HA587" s="25"/>
      <c r="HB587" s="25"/>
      <c r="HC587" s="25"/>
      <c r="HD587" s="25"/>
      <c r="HE587" s="25"/>
      <c r="HF587" s="25"/>
      <c r="HG587" s="25"/>
      <c r="HH587" s="25"/>
      <c r="HI587" s="25"/>
      <c r="HJ587" s="25"/>
      <c r="HK587" s="25"/>
      <c r="HL587" s="25"/>
      <c r="HM587" s="25"/>
      <c r="HN587" s="25"/>
      <c r="HO587" s="25"/>
      <c r="HP587" s="25"/>
      <c r="HQ587" s="25"/>
      <c r="HR587" s="25"/>
      <c r="HS587" s="25"/>
      <c r="HT587" s="25"/>
      <c r="HU587" s="25"/>
      <c r="HV587" s="25"/>
      <c r="HW587" s="25"/>
      <c r="HX587" s="25"/>
      <c r="HY587" s="25"/>
      <c r="HZ587" s="25"/>
      <c r="IA587" s="25"/>
      <c r="IB587" s="25"/>
      <c r="IC587" s="25"/>
      <c r="ID587" s="25"/>
      <c r="IE587" s="25"/>
      <c r="IF587" s="25"/>
      <c r="IG587" s="25"/>
      <c r="IH587" s="25"/>
      <c r="II587" s="25"/>
      <c r="IJ587" s="25"/>
      <c r="IK587" s="25"/>
      <c r="IL587" s="25"/>
      <c r="IM587" s="25"/>
      <c r="IN587" s="25"/>
      <c r="IO587" s="25"/>
      <c r="IP587" s="25"/>
      <c r="IQ587" s="25"/>
      <c r="IR587" s="25"/>
      <c r="IS587" s="25"/>
      <c r="IT587" s="25"/>
      <c r="IU587" s="25"/>
      <c r="IV587" s="25"/>
      <c r="IW587" s="25"/>
      <c r="IX587" s="25"/>
      <c r="IY587" s="25"/>
      <c r="IZ587" s="25"/>
      <c r="JA587" s="25"/>
      <c r="JB587" s="25"/>
      <c r="JC587" s="25"/>
      <c r="JD587" s="25"/>
      <c r="JE587" s="25"/>
      <c r="JF587" s="25"/>
      <c r="JG587" s="25"/>
      <c r="JH587" s="25"/>
      <c r="JI587" s="25"/>
      <c r="JJ587" s="25"/>
      <c r="JK587" s="25"/>
      <c r="JL587" s="25"/>
      <c r="JM587" s="25"/>
      <c r="JN587" s="25"/>
      <c r="JO587" s="25"/>
      <c r="JP587" s="25"/>
      <c r="JQ587" s="25"/>
      <c r="JR587" s="25"/>
      <c r="JS587" s="25"/>
      <c r="JT587" s="25"/>
      <c r="JU587" s="25"/>
      <c r="JV587" s="25"/>
      <c r="JW587" s="25"/>
      <c r="JX587" s="25"/>
      <c r="JY587" s="25"/>
      <c r="JZ587" s="25"/>
      <c r="KA587" s="25"/>
      <c r="KB587" s="25"/>
      <c r="KC587" s="25"/>
      <c r="KD587" s="25"/>
      <c r="KE587" s="25"/>
      <c r="KF587" s="25"/>
      <c r="KG587" s="25"/>
      <c r="KH587" s="25"/>
      <c r="KI587" s="25"/>
      <c r="KJ587" s="25"/>
      <c r="KK587" s="25"/>
      <c r="KL587" s="25"/>
      <c r="KM587" s="25"/>
      <c r="KN587" s="25"/>
      <c r="KO587" s="25"/>
      <c r="KP587" s="25"/>
      <c r="KQ587" s="25"/>
      <c r="KR587" s="25"/>
      <c r="KS587" s="25"/>
      <c r="KT587" s="25"/>
      <c r="KU587" s="25"/>
      <c r="KV587" s="25"/>
      <c r="KW587" s="25"/>
      <c r="KX587" s="25"/>
      <c r="KY587" s="25"/>
      <c r="KZ587" s="25"/>
      <c r="LA587" s="25"/>
      <c r="LB587" s="25"/>
      <c r="LC587" s="25"/>
      <c r="LD587" s="25"/>
      <c r="LE587" s="25"/>
      <c r="LF587" s="25"/>
      <c r="LG587" s="25"/>
      <c r="LH587" s="25"/>
      <c r="LI587" s="25"/>
      <c r="LJ587" s="25"/>
      <c r="LK587" s="25"/>
      <c r="LL587" s="25"/>
      <c r="LM587" s="25"/>
      <c r="LN587" s="25"/>
      <c r="LO587" s="25"/>
      <c r="LP587" s="25"/>
      <c r="LQ587" s="25"/>
      <c r="LR587" s="25"/>
      <c r="LS587" s="25"/>
      <c r="LT587" s="25"/>
      <c r="LU587" s="25"/>
      <c r="LV587" s="25"/>
      <c r="LW587" s="25"/>
      <c r="LX587" s="25"/>
      <c r="LY587" s="25"/>
      <c r="LZ587" s="25"/>
      <c r="MA587" s="25"/>
      <c r="MB587" s="25"/>
      <c r="MC587" s="25"/>
      <c r="MD587" s="25"/>
      <c r="ME587" s="25"/>
      <c r="MF587" s="25"/>
      <c r="MG587" s="25"/>
      <c r="MH587" s="25"/>
      <c r="MI587" s="25"/>
      <c r="MJ587" s="25"/>
      <c r="MK587" s="25"/>
      <c r="ML587" s="25"/>
      <c r="MM587" s="25"/>
      <c r="MN587" s="25"/>
      <c r="MO587" s="25"/>
      <c r="MP587" s="25"/>
      <c r="MQ587" s="25"/>
      <c r="MR587" s="25"/>
      <c r="MS587" s="25"/>
      <c r="MT587" s="25"/>
      <c r="MU587" s="25"/>
      <c r="MV587" s="25"/>
      <c r="MW587" s="25"/>
      <c r="MX587" s="25"/>
      <c r="MY587" s="25"/>
      <c r="MZ587" s="25"/>
      <c r="NA587" s="25"/>
      <c r="NB587" s="25"/>
      <c r="NC587" s="25"/>
      <c r="ND587" s="25"/>
      <c r="NE587" s="25"/>
      <c r="NF587" s="25"/>
      <c r="NG587" s="25"/>
      <c r="NH587" s="25"/>
      <c r="NI587" s="25"/>
      <c r="NJ587" s="25"/>
      <c r="NK587" s="25"/>
      <c r="NL587" s="25"/>
      <c r="NM587" s="25"/>
      <c r="NN587" s="25"/>
      <c r="NO587" s="25"/>
      <c r="NP587" s="25"/>
      <c r="NQ587" s="25"/>
      <c r="NR587" s="25"/>
      <c r="NS587" s="25"/>
      <c r="NT587" s="25"/>
      <c r="NU587" s="25"/>
      <c r="NV587" s="25"/>
      <c r="NW587" s="25"/>
      <c r="NX587" s="25"/>
      <c r="NY587" s="25"/>
      <c r="NZ587" s="25"/>
      <c r="OA587" s="25"/>
      <c r="OB587" s="25"/>
      <c r="OC587" s="25"/>
      <c r="OD587" s="25"/>
      <c r="OE587" s="25"/>
      <c r="OF587" s="25"/>
      <c r="OG587" s="25"/>
      <c r="OH587" s="25"/>
      <c r="OI587" s="25"/>
      <c r="OJ587" s="25"/>
      <c r="OK587" s="25"/>
      <c r="OL587" s="25"/>
      <c r="OM587" s="25"/>
      <c r="ON587" s="25"/>
      <c r="OO587" s="25"/>
      <c r="OP587" s="25"/>
      <c r="OQ587" s="25"/>
      <c r="OR587" s="25"/>
      <c r="OS587" s="25"/>
      <c r="OT587" s="25"/>
      <c r="OU587" s="25"/>
      <c r="OV587" s="25"/>
      <c r="OW587" s="25"/>
      <c r="OX587" s="25"/>
      <c r="OY587" s="25"/>
      <c r="OZ587" s="25"/>
      <c r="PA587" s="25"/>
      <c r="PB587" s="25"/>
      <c r="PC587" s="25"/>
      <c r="PD587" s="25"/>
      <c r="PE587" s="25"/>
      <c r="PF587" s="25"/>
      <c r="PG587" s="25"/>
      <c r="PH587" s="25"/>
      <c r="PI587" s="25"/>
      <c r="PJ587" s="25"/>
      <c r="PK587" s="25"/>
      <c r="PL587" s="25"/>
      <c r="PM587" s="25"/>
      <c r="PN587" s="25"/>
      <c r="PO587" s="25"/>
      <c r="PP587" s="25"/>
      <c r="PQ587" s="25"/>
      <c r="PR587" s="25"/>
      <c r="PS587" s="25"/>
      <c r="PT587" s="25"/>
      <c r="PU587" s="25"/>
      <c r="PV587" s="25"/>
      <c r="PW587" s="25"/>
      <c r="PX587" s="25"/>
      <c r="PY587" s="25"/>
      <c r="PZ587" s="25"/>
      <c r="QA587" s="25"/>
      <c r="QB587" s="25"/>
      <c r="QC587" s="25"/>
      <c r="QD587" s="25"/>
      <c r="QE587" s="25"/>
      <c r="QF587" s="25"/>
      <c r="QG587" s="25"/>
      <c r="QH587" s="25"/>
      <c r="QI587" s="25"/>
      <c r="QJ587" s="25"/>
      <c r="QK587" s="25"/>
      <c r="QL587" s="25"/>
      <c r="QM587" s="25"/>
      <c r="QN587" s="25"/>
      <c r="QO587" s="25"/>
      <c r="QP587" s="25"/>
      <c r="QQ587" s="25"/>
      <c r="QR587" s="25"/>
      <c r="QS587" s="25"/>
      <c r="QT587" s="25"/>
      <c r="QU587" s="25"/>
      <c r="QV587" s="25"/>
      <c r="QW587" s="25"/>
      <c r="QX587" s="25"/>
      <c r="QY587" s="25"/>
      <c r="QZ587" s="25"/>
      <c r="RA587" s="25"/>
      <c r="RB587" s="25"/>
      <c r="RC587" s="25"/>
      <c r="RD587" s="25"/>
      <c r="RE587" s="25"/>
      <c r="RF587" s="25"/>
      <c r="RG587" s="25"/>
      <c r="RH587" s="25"/>
      <c r="RI587" s="25"/>
      <c r="RJ587" s="25"/>
      <c r="RK587" s="25"/>
      <c r="RL587" s="25"/>
      <c r="RM587" s="25"/>
      <c r="RN587" s="25"/>
      <c r="RO587" s="25"/>
      <c r="RP587" s="25"/>
      <c r="RQ587" s="25"/>
      <c r="RR587" s="25"/>
      <c r="RS587" s="25"/>
      <c r="RT587" s="25"/>
      <c r="RU587" s="25"/>
      <c r="RV587" s="25"/>
      <c r="RW587" s="25"/>
      <c r="RX587" s="25"/>
      <c r="RY587" s="25"/>
      <c r="RZ587" s="25"/>
      <c r="SA587" s="25"/>
      <c r="SB587" s="25"/>
      <c r="SC587" s="25"/>
      <c r="SD587" s="25"/>
      <c r="SE587" s="25"/>
      <c r="SF587" s="25"/>
      <c r="SG587" s="25"/>
      <c r="SH587" s="25"/>
      <c r="SI587" s="25"/>
      <c r="SJ587" s="25"/>
      <c r="SK587" s="25"/>
      <c r="SL587" s="25"/>
      <c r="SM587" s="25"/>
      <c r="SN587" s="25"/>
      <c r="SO587" s="25"/>
      <c r="SP587" s="25"/>
      <c r="SQ587" s="25"/>
      <c r="SR587" s="25"/>
      <c r="SS587" s="25"/>
      <c r="ST587" s="25"/>
      <c r="SU587" s="25"/>
      <c r="SV587" s="25"/>
      <c r="SW587" s="25"/>
      <c r="SX587" s="25"/>
      <c r="SY587" s="25"/>
      <c r="SZ587" s="25"/>
      <c r="TA587" s="25"/>
      <c r="TB587" s="25"/>
      <c r="TC587" s="25"/>
      <c r="TD587" s="25"/>
      <c r="TE587" s="25"/>
      <c r="TF587" s="25"/>
      <c r="TG587" s="25"/>
      <c r="TH587" s="25"/>
      <c r="TI587" s="25"/>
      <c r="TJ587" s="25"/>
      <c r="TK587" s="25"/>
      <c r="TL587" s="25"/>
      <c r="TM587" s="25"/>
      <c r="TN587" s="25"/>
      <c r="TO587" s="25"/>
      <c r="TP587" s="25"/>
      <c r="TQ587" s="25"/>
      <c r="TR587" s="25"/>
      <c r="TS587" s="25"/>
      <c r="TT587" s="25"/>
      <c r="TU587" s="25"/>
      <c r="TV587" s="25"/>
      <c r="TW587" s="25"/>
      <c r="TX587" s="25"/>
      <c r="TY587" s="25"/>
      <c r="TZ587" s="25"/>
      <c r="UA587" s="25"/>
      <c r="UB587" s="25"/>
      <c r="UC587" s="25"/>
      <c r="UD587" s="25"/>
      <c r="UE587" s="25"/>
      <c r="UF587" s="25"/>
      <c r="UG587" s="26"/>
    </row>
    <row r="588" spans="1:553" ht="50.25" customHeight="1">
      <c r="A588" s="356" t="s">
        <v>30</v>
      </c>
      <c r="B588" s="385">
        <v>39</v>
      </c>
      <c r="C588" s="1404" t="s">
        <v>416</v>
      </c>
      <c r="D588" s="1389"/>
      <c r="E588" s="1389"/>
      <c r="F588" s="1390"/>
      <c r="G588" s="386" t="s">
        <v>33</v>
      </c>
      <c r="H588" s="370"/>
      <c r="I588" s="417">
        <f>0.38*2.8*4</f>
        <v>4.2559999999999993</v>
      </c>
      <c r="J588" s="368">
        <v>39000</v>
      </c>
      <c r="K588" s="371"/>
      <c r="L588" s="487">
        <f t="shared" si="101"/>
        <v>165983.99999999997</v>
      </c>
      <c r="M588" s="395"/>
      <c r="N588" s="395"/>
      <c r="O588" s="366"/>
      <c r="P588" s="396"/>
      <c r="Q588" s="473"/>
      <c r="R588" s="1039"/>
      <c r="S588" s="308"/>
      <c r="T588" s="308"/>
      <c r="U588" s="308"/>
      <c r="V588" s="308"/>
      <c r="W588" s="308"/>
      <c r="X588" s="308"/>
      <c r="Y588" s="308"/>
      <c r="Z588" s="604"/>
      <c r="AA588" s="308"/>
      <c r="AB588" s="308"/>
      <c r="AC588" s="449"/>
      <c r="AD588" s="449"/>
      <c r="AE588" s="449"/>
      <c r="AF588" s="449"/>
      <c r="AG588" s="452"/>
      <c r="AH588" s="452"/>
      <c r="AI588" s="452"/>
      <c r="AJ588" s="452"/>
      <c r="AK588" s="452"/>
      <c r="AL588" s="104"/>
      <c r="AM588" s="32"/>
      <c r="AN588" s="32"/>
      <c r="AO588" s="32"/>
      <c r="AP588" s="32"/>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25"/>
      <c r="BN588" s="25"/>
      <c r="BO588" s="25"/>
      <c r="BP588" s="25"/>
      <c r="BQ588" s="25"/>
      <c r="BR588" s="25"/>
      <c r="BS588" s="25"/>
      <c r="BT588" s="25"/>
      <c r="BU588" s="25"/>
      <c r="BV588" s="25"/>
      <c r="BW588" s="25"/>
      <c r="BX588" s="25"/>
      <c r="BY588" s="25"/>
      <c r="BZ588" s="25"/>
      <c r="CA588" s="25"/>
      <c r="CB588" s="25"/>
      <c r="CC588" s="25"/>
      <c r="CD588" s="25"/>
      <c r="CE588" s="25"/>
      <c r="CF588" s="25"/>
      <c r="CG588" s="25"/>
      <c r="CH588" s="25"/>
      <c r="CI588" s="25"/>
      <c r="CJ588" s="25"/>
      <c r="CK588" s="25"/>
      <c r="CL588" s="25"/>
      <c r="CM588" s="25"/>
      <c r="CN588" s="25"/>
      <c r="CO588" s="25"/>
      <c r="CP588" s="25"/>
      <c r="CQ588" s="25"/>
      <c r="CR588" s="25"/>
      <c r="CS588" s="25"/>
      <c r="CT588" s="25"/>
      <c r="CU588" s="25"/>
      <c r="CV588" s="25"/>
      <c r="CW588" s="25"/>
      <c r="CX588" s="25"/>
      <c r="CY588" s="25"/>
      <c r="CZ588" s="25"/>
      <c r="DA588" s="25"/>
      <c r="DB588" s="25"/>
      <c r="DC588" s="25"/>
      <c r="DD588" s="25"/>
      <c r="DE588" s="25"/>
      <c r="DF588" s="25"/>
      <c r="DG588" s="25"/>
      <c r="DH588" s="25"/>
      <c r="DI588" s="25"/>
      <c r="DJ588" s="25"/>
      <c r="DK588" s="25"/>
      <c r="DL588" s="25"/>
      <c r="DM588" s="25"/>
      <c r="DN588" s="25"/>
      <c r="DO588" s="25"/>
      <c r="DP588" s="25"/>
      <c r="DQ588" s="25"/>
      <c r="DR588" s="25"/>
      <c r="DS588" s="25"/>
      <c r="DT588" s="25"/>
      <c r="DU588" s="25"/>
      <c r="DV588" s="25"/>
      <c r="DW588" s="25"/>
      <c r="DX588" s="25"/>
      <c r="DY588" s="25"/>
      <c r="DZ588" s="25"/>
      <c r="EA588" s="25"/>
      <c r="EB588" s="25"/>
      <c r="EC588" s="25"/>
      <c r="ED588" s="25"/>
      <c r="EE588" s="25"/>
      <c r="EF588" s="25"/>
      <c r="EG588" s="25"/>
      <c r="EH588" s="25"/>
      <c r="EI588" s="25"/>
      <c r="EJ588" s="25"/>
      <c r="EK588" s="25"/>
      <c r="EL588" s="25"/>
      <c r="EM588" s="25"/>
      <c r="EN588" s="25"/>
      <c r="EO588" s="25"/>
      <c r="EP588" s="25"/>
      <c r="EQ588" s="25"/>
      <c r="ER588" s="25"/>
      <c r="ES588" s="25"/>
      <c r="ET588" s="25"/>
      <c r="EU588" s="25"/>
      <c r="EV588" s="25"/>
      <c r="EW588" s="25"/>
      <c r="EX588" s="25"/>
      <c r="EY588" s="25"/>
      <c r="EZ588" s="25"/>
      <c r="FA588" s="25"/>
      <c r="FB588" s="25"/>
      <c r="FC588" s="25"/>
      <c r="FD588" s="25"/>
      <c r="FE588" s="25"/>
      <c r="FF588" s="25"/>
      <c r="FG588" s="25"/>
      <c r="FH588" s="25"/>
      <c r="FI588" s="25"/>
      <c r="FJ588" s="25"/>
      <c r="FK588" s="25"/>
      <c r="FL588" s="25"/>
      <c r="FM588" s="25"/>
      <c r="FN588" s="25"/>
      <c r="FO588" s="25"/>
      <c r="FP588" s="25"/>
      <c r="FQ588" s="25"/>
      <c r="FR588" s="25"/>
      <c r="FS588" s="25"/>
      <c r="FT588" s="25"/>
      <c r="FU588" s="25"/>
      <c r="FV588" s="25"/>
      <c r="FW588" s="25"/>
      <c r="FX588" s="25"/>
      <c r="FY588" s="25"/>
      <c r="FZ588" s="25"/>
      <c r="GA588" s="25"/>
      <c r="GB588" s="25"/>
      <c r="GC588" s="25"/>
      <c r="GD588" s="25"/>
      <c r="GE588" s="25"/>
      <c r="GF588" s="25"/>
      <c r="GG588" s="25"/>
      <c r="GH588" s="25"/>
      <c r="GI588" s="25"/>
      <c r="GJ588" s="25"/>
      <c r="GK588" s="25"/>
      <c r="GL588" s="25"/>
      <c r="GM588" s="25"/>
      <c r="GN588" s="25"/>
      <c r="GO588" s="25"/>
      <c r="GP588" s="25"/>
      <c r="GQ588" s="25"/>
      <c r="GR588" s="25"/>
      <c r="GS588" s="25"/>
      <c r="GT588" s="25"/>
      <c r="GU588" s="25"/>
      <c r="GV588" s="25"/>
      <c r="GW588" s="25"/>
      <c r="GX588" s="25"/>
      <c r="GY588" s="25"/>
      <c r="GZ588" s="25"/>
      <c r="HA588" s="25"/>
      <c r="HB588" s="25"/>
      <c r="HC588" s="25"/>
      <c r="HD588" s="25"/>
      <c r="HE588" s="25"/>
      <c r="HF588" s="25"/>
      <c r="HG588" s="25"/>
      <c r="HH588" s="25"/>
      <c r="HI588" s="25"/>
      <c r="HJ588" s="25"/>
      <c r="HK588" s="25"/>
      <c r="HL588" s="25"/>
      <c r="HM588" s="25"/>
      <c r="HN588" s="25"/>
      <c r="HO588" s="25"/>
      <c r="HP588" s="25"/>
      <c r="HQ588" s="25"/>
      <c r="HR588" s="25"/>
      <c r="HS588" s="25"/>
      <c r="HT588" s="25"/>
      <c r="HU588" s="25"/>
      <c r="HV588" s="25"/>
      <c r="HW588" s="25"/>
      <c r="HX588" s="25"/>
      <c r="HY588" s="25"/>
      <c r="HZ588" s="25"/>
      <c r="IA588" s="25"/>
      <c r="IB588" s="25"/>
      <c r="IC588" s="25"/>
      <c r="ID588" s="25"/>
      <c r="IE588" s="25"/>
      <c r="IF588" s="25"/>
      <c r="IG588" s="25"/>
      <c r="IH588" s="25"/>
      <c r="II588" s="25"/>
      <c r="IJ588" s="25"/>
      <c r="IK588" s="25"/>
      <c r="IL588" s="25"/>
      <c r="IM588" s="25"/>
      <c r="IN588" s="25"/>
      <c r="IO588" s="25"/>
      <c r="IP588" s="25"/>
      <c r="IQ588" s="25"/>
      <c r="IR588" s="25"/>
      <c r="IS588" s="25"/>
      <c r="IT588" s="25"/>
      <c r="IU588" s="25"/>
      <c r="IV588" s="25"/>
      <c r="IW588" s="25"/>
      <c r="IX588" s="25"/>
      <c r="IY588" s="25"/>
      <c r="IZ588" s="25"/>
      <c r="JA588" s="25"/>
      <c r="JB588" s="25"/>
      <c r="JC588" s="25"/>
      <c r="JD588" s="25"/>
      <c r="JE588" s="25"/>
      <c r="JF588" s="25"/>
      <c r="JG588" s="25"/>
      <c r="JH588" s="25"/>
      <c r="JI588" s="25"/>
      <c r="JJ588" s="25"/>
      <c r="JK588" s="25"/>
      <c r="JL588" s="25"/>
      <c r="JM588" s="25"/>
      <c r="JN588" s="25"/>
      <c r="JO588" s="25"/>
      <c r="JP588" s="25"/>
      <c r="JQ588" s="25"/>
      <c r="JR588" s="25"/>
      <c r="JS588" s="25"/>
      <c r="JT588" s="25"/>
      <c r="JU588" s="25"/>
      <c r="JV588" s="25"/>
      <c r="JW588" s="25"/>
      <c r="JX588" s="25"/>
      <c r="JY588" s="25"/>
      <c r="JZ588" s="25"/>
      <c r="KA588" s="25"/>
      <c r="KB588" s="25"/>
      <c r="KC588" s="25"/>
      <c r="KD588" s="25"/>
      <c r="KE588" s="25"/>
      <c r="KF588" s="25"/>
      <c r="KG588" s="25"/>
      <c r="KH588" s="25"/>
      <c r="KI588" s="25"/>
      <c r="KJ588" s="25"/>
      <c r="KK588" s="25"/>
      <c r="KL588" s="25"/>
      <c r="KM588" s="25"/>
      <c r="KN588" s="25"/>
      <c r="KO588" s="25"/>
      <c r="KP588" s="25"/>
      <c r="KQ588" s="25"/>
      <c r="KR588" s="25"/>
      <c r="KS588" s="25"/>
      <c r="KT588" s="25"/>
      <c r="KU588" s="25"/>
      <c r="KV588" s="25"/>
      <c r="KW588" s="25"/>
      <c r="KX588" s="25"/>
      <c r="KY588" s="25"/>
      <c r="KZ588" s="25"/>
      <c r="LA588" s="25"/>
      <c r="LB588" s="25"/>
      <c r="LC588" s="25"/>
      <c r="LD588" s="25"/>
      <c r="LE588" s="25"/>
      <c r="LF588" s="25"/>
      <c r="LG588" s="25"/>
      <c r="LH588" s="25"/>
      <c r="LI588" s="25"/>
      <c r="LJ588" s="25"/>
      <c r="LK588" s="25"/>
      <c r="LL588" s="25"/>
      <c r="LM588" s="25"/>
      <c r="LN588" s="25"/>
      <c r="LO588" s="25"/>
      <c r="LP588" s="25"/>
      <c r="LQ588" s="25"/>
      <c r="LR588" s="25"/>
      <c r="LS588" s="25"/>
      <c r="LT588" s="25"/>
      <c r="LU588" s="25"/>
      <c r="LV588" s="25"/>
      <c r="LW588" s="25"/>
      <c r="LX588" s="25"/>
      <c r="LY588" s="25"/>
      <c r="LZ588" s="25"/>
      <c r="MA588" s="25"/>
      <c r="MB588" s="25"/>
      <c r="MC588" s="25"/>
      <c r="MD588" s="25"/>
      <c r="ME588" s="25"/>
      <c r="MF588" s="25"/>
      <c r="MG588" s="25"/>
      <c r="MH588" s="25"/>
      <c r="MI588" s="25"/>
      <c r="MJ588" s="25"/>
      <c r="MK588" s="25"/>
      <c r="ML588" s="25"/>
      <c r="MM588" s="25"/>
      <c r="MN588" s="25"/>
      <c r="MO588" s="25"/>
      <c r="MP588" s="25"/>
      <c r="MQ588" s="25"/>
      <c r="MR588" s="25"/>
      <c r="MS588" s="25"/>
      <c r="MT588" s="25"/>
      <c r="MU588" s="25"/>
      <c r="MV588" s="25"/>
      <c r="MW588" s="25"/>
      <c r="MX588" s="25"/>
      <c r="MY588" s="25"/>
      <c r="MZ588" s="25"/>
      <c r="NA588" s="25"/>
      <c r="NB588" s="25"/>
      <c r="NC588" s="25"/>
      <c r="ND588" s="25"/>
      <c r="NE588" s="25"/>
      <c r="NF588" s="25"/>
      <c r="NG588" s="25"/>
      <c r="NH588" s="25"/>
      <c r="NI588" s="25"/>
      <c r="NJ588" s="25"/>
      <c r="NK588" s="25"/>
      <c r="NL588" s="25"/>
      <c r="NM588" s="25"/>
      <c r="NN588" s="25"/>
      <c r="NO588" s="25"/>
      <c r="NP588" s="25"/>
      <c r="NQ588" s="25"/>
      <c r="NR588" s="25"/>
      <c r="NS588" s="25"/>
      <c r="NT588" s="25"/>
      <c r="NU588" s="25"/>
      <c r="NV588" s="25"/>
      <c r="NW588" s="25"/>
      <c r="NX588" s="25"/>
      <c r="NY588" s="25"/>
      <c r="NZ588" s="25"/>
      <c r="OA588" s="25"/>
      <c r="OB588" s="25"/>
      <c r="OC588" s="25"/>
      <c r="OD588" s="25"/>
      <c r="OE588" s="25"/>
      <c r="OF588" s="25"/>
      <c r="OG588" s="25"/>
      <c r="OH588" s="25"/>
      <c r="OI588" s="25"/>
      <c r="OJ588" s="25"/>
      <c r="OK588" s="25"/>
      <c r="OL588" s="25"/>
      <c r="OM588" s="25"/>
      <c r="ON588" s="25"/>
      <c r="OO588" s="25"/>
      <c r="OP588" s="25"/>
      <c r="OQ588" s="25"/>
      <c r="OR588" s="25"/>
      <c r="OS588" s="25"/>
      <c r="OT588" s="25"/>
      <c r="OU588" s="25"/>
      <c r="OV588" s="25"/>
      <c r="OW588" s="25"/>
      <c r="OX588" s="25"/>
      <c r="OY588" s="25"/>
      <c r="OZ588" s="25"/>
      <c r="PA588" s="25"/>
      <c r="PB588" s="25"/>
      <c r="PC588" s="25"/>
      <c r="PD588" s="25"/>
      <c r="PE588" s="25"/>
      <c r="PF588" s="25"/>
      <c r="PG588" s="25"/>
      <c r="PH588" s="25"/>
      <c r="PI588" s="25"/>
      <c r="PJ588" s="25"/>
      <c r="PK588" s="25"/>
      <c r="PL588" s="25"/>
      <c r="PM588" s="25"/>
      <c r="PN588" s="25"/>
      <c r="PO588" s="25"/>
      <c r="PP588" s="25"/>
      <c r="PQ588" s="25"/>
      <c r="PR588" s="25"/>
      <c r="PS588" s="25"/>
      <c r="PT588" s="25"/>
      <c r="PU588" s="25"/>
      <c r="PV588" s="25"/>
      <c r="PW588" s="25"/>
      <c r="PX588" s="25"/>
      <c r="PY588" s="25"/>
      <c r="PZ588" s="25"/>
      <c r="QA588" s="25"/>
      <c r="QB588" s="25"/>
      <c r="QC588" s="25"/>
      <c r="QD588" s="25"/>
      <c r="QE588" s="25"/>
      <c r="QF588" s="25"/>
      <c r="QG588" s="25"/>
      <c r="QH588" s="25"/>
      <c r="QI588" s="25"/>
      <c r="QJ588" s="25"/>
      <c r="QK588" s="25"/>
      <c r="QL588" s="25"/>
      <c r="QM588" s="25"/>
      <c r="QN588" s="25"/>
      <c r="QO588" s="25"/>
      <c r="QP588" s="25"/>
      <c r="QQ588" s="25"/>
      <c r="QR588" s="25"/>
      <c r="QS588" s="25"/>
      <c r="QT588" s="25"/>
      <c r="QU588" s="25"/>
      <c r="QV588" s="25"/>
      <c r="QW588" s="25"/>
      <c r="QX588" s="25"/>
      <c r="QY588" s="25"/>
      <c r="QZ588" s="25"/>
      <c r="RA588" s="25"/>
      <c r="RB588" s="25"/>
      <c r="RC588" s="25"/>
      <c r="RD588" s="25"/>
      <c r="RE588" s="25"/>
      <c r="RF588" s="25"/>
      <c r="RG588" s="25"/>
      <c r="RH588" s="25"/>
      <c r="RI588" s="25"/>
      <c r="RJ588" s="25"/>
      <c r="RK588" s="25"/>
      <c r="RL588" s="25"/>
      <c r="RM588" s="25"/>
      <c r="RN588" s="25"/>
      <c r="RO588" s="25"/>
      <c r="RP588" s="25"/>
      <c r="RQ588" s="25"/>
      <c r="RR588" s="25"/>
      <c r="RS588" s="25"/>
      <c r="RT588" s="25"/>
      <c r="RU588" s="25"/>
      <c r="RV588" s="25"/>
      <c r="RW588" s="25"/>
      <c r="RX588" s="25"/>
      <c r="RY588" s="25"/>
      <c r="RZ588" s="25"/>
      <c r="SA588" s="25"/>
      <c r="SB588" s="25"/>
      <c r="SC588" s="25"/>
      <c r="SD588" s="25"/>
      <c r="SE588" s="25"/>
      <c r="SF588" s="25"/>
      <c r="SG588" s="25"/>
      <c r="SH588" s="25"/>
      <c r="SI588" s="25"/>
      <c r="SJ588" s="25"/>
      <c r="SK588" s="25"/>
      <c r="SL588" s="25"/>
      <c r="SM588" s="25"/>
      <c r="SN588" s="25"/>
      <c r="SO588" s="25"/>
      <c r="SP588" s="25"/>
      <c r="SQ588" s="25"/>
      <c r="SR588" s="25"/>
      <c r="SS588" s="25"/>
      <c r="ST588" s="25"/>
      <c r="SU588" s="25"/>
      <c r="SV588" s="25"/>
      <c r="SW588" s="25"/>
      <c r="SX588" s="25"/>
      <c r="SY588" s="25"/>
      <c r="SZ588" s="25"/>
      <c r="TA588" s="25"/>
      <c r="TB588" s="25"/>
      <c r="TC588" s="25"/>
      <c r="TD588" s="25"/>
      <c r="TE588" s="25"/>
      <c r="TF588" s="25"/>
      <c r="TG588" s="25"/>
      <c r="TH588" s="25"/>
      <c r="TI588" s="25"/>
      <c r="TJ588" s="25"/>
      <c r="TK588" s="25"/>
      <c r="TL588" s="25"/>
      <c r="TM588" s="25"/>
      <c r="TN588" s="25"/>
      <c r="TO588" s="25"/>
      <c r="TP588" s="25"/>
      <c r="TQ588" s="25"/>
      <c r="TR588" s="25"/>
      <c r="TS588" s="25"/>
      <c r="TT588" s="25"/>
      <c r="TU588" s="25"/>
      <c r="TV588" s="25"/>
      <c r="TW588" s="25"/>
      <c r="TX588" s="25"/>
      <c r="TY588" s="25"/>
      <c r="TZ588" s="25"/>
      <c r="UA588" s="25"/>
      <c r="UB588" s="25"/>
      <c r="UC588" s="25"/>
      <c r="UD588" s="25"/>
      <c r="UE588" s="25"/>
      <c r="UF588" s="25"/>
      <c r="UG588" s="26"/>
    </row>
    <row r="589" spans="1:553" ht="50.25" customHeight="1">
      <c r="A589" s="356" t="s">
        <v>30</v>
      </c>
      <c r="B589" s="385">
        <v>39</v>
      </c>
      <c r="C589" s="1404" t="s">
        <v>417</v>
      </c>
      <c r="D589" s="1389"/>
      <c r="E589" s="1389"/>
      <c r="F589" s="1390"/>
      <c r="G589" s="386" t="s">
        <v>33</v>
      </c>
      <c r="H589" s="370"/>
      <c r="I589" s="417">
        <f>0.38*1.9*3</f>
        <v>2.1659999999999999</v>
      </c>
      <c r="J589" s="368">
        <v>39000</v>
      </c>
      <c r="K589" s="371"/>
      <c r="L589" s="487">
        <f t="shared" si="101"/>
        <v>84474</v>
      </c>
      <c r="M589" s="395"/>
      <c r="N589" s="395"/>
      <c r="O589" s="366"/>
      <c r="P589" s="396"/>
      <c r="Q589" s="473"/>
      <c r="R589" s="1039"/>
      <c r="S589" s="308"/>
      <c r="T589" s="308"/>
      <c r="U589" s="308"/>
      <c r="V589" s="308"/>
      <c r="W589" s="308"/>
      <c r="X589" s="308"/>
      <c r="Y589" s="308"/>
      <c r="Z589" s="604"/>
      <c r="AA589" s="308"/>
      <c r="AB589" s="308"/>
      <c r="AC589" s="449"/>
      <c r="AD589" s="449"/>
      <c r="AE589" s="449"/>
      <c r="AF589" s="449"/>
      <c r="AG589" s="452"/>
      <c r="AH589" s="452"/>
      <c r="AI589" s="452"/>
      <c r="AJ589" s="452"/>
      <c r="AK589" s="452"/>
      <c r="AL589" s="104"/>
      <c r="AM589" s="32"/>
      <c r="AN589" s="32"/>
      <c r="AO589" s="32"/>
      <c r="AP589" s="32"/>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25"/>
      <c r="BN589" s="25"/>
      <c r="BO589" s="25"/>
      <c r="BP589" s="25"/>
      <c r="BQ589" s="25"/>
      <c r="BR589" s="25"/>
      <c r="BS589" s="25"/>
      <c r="BT589" s="25"/>
      <c r="BU589" s="25"/>
      <c r="BV589" s="25"/>
      <c r="BW589" s="25"/>
      <c r="BX589" s="25"/>
      <c r="BY589" s="25"/>
      <c r="BZ589" s="25"/>
      <c r="CA589" s="25"/>
      <c r="CB589" s="25"/>
      <c r="CC589" s="25"/>
      <c r="CD589" s="25"/>
      <c r="CE589" s="25"/>
      <c r="CF589" s="25"/>
      <c r="CG589" s="25"/>
      <c r="CH589" s="25"/>
      <c r="CI589" s="25"/>
      <c r="CJ589" s="25"/>
      <c r="CK589" s="25"/>
      <c r="CL589" s="25"/>
      <c r="CM589" s="25"/>
      <c r="CN589" s="25"/>
      <c r="CO589" s="25"/>
      <c r="CP589" s="25"/>
      <c r="CQ589" s="25"/>
      <c r="CR589" s="25"/>
      <c r="CS589" s="25"/>
      <c r="CT589" s="25"/>
      <c r="CU589" s="25"/>
      <c r="CV589" s="25"/>
      <c r="CW589" s="25"/>
      <c r="CX589" s="25"/>
      <c r="CY589" s="25"/>
      <c r="CZ589" s="25"/>
      <c r="DA589" s="25"/>
      <c r="DB589" s="25"/>
      <c r="DC589" s="25"/>
      <c r="DD589" s="25"/>
      <c r="DE589" s="25"/>
      <c r="DF589" s="25"/>
      <c r="DG589" s="25"/>
      <c r="DH589" s="25"/>
      <c r="DI589" s="25"/>
      <c r="DJ589" s="25"/>
      <c r="DK589" s="25"/>
      <c r="DL589" s="25"/>
      <c r="DM589" s="25"/>
      <c r="DN589" s="25"/>
      <c r="DO589" s="25"/>
      <c r="DP589" s="25"/>
      <c r="DQ589" s="25"/>
      <c r="DR589" s="25"/>
      <c r="DS589" s="25"/>
      <c r="DT589" s="25"/>
      <c r="DU589" s="25"/>
      <c r="DV589" s="25"/>
      <c r="DW589" s="25"/>
      <c r="DX589" s="25"/>
      <c r="DY589" s="25"/>
      <c r="DZ589" s="25"/>
      <c r="EA589" s="25"/>
      <c r="EB589" s="25"/>
      <c r="EC589" s="25"/>
      <c r="ED589" s="25"/>
      <c r="EE589" s="25"/>
      <c r="EF589" s="25"/>
      <c r="EG589" s="25"/>
      <c r="EH589" s="25"/>
      <c r="EI589" s="25"/>
      <c r="EJ589" s="25"/>
      <c r="EK589" s="25"/>
      <c r="EL589" s="25"/>
      <c r="EM589" s="25"/>
      <c r="EN589" s="25"/>
      <c r="EO589" s="25"/>
      <c r="EP589" s="25"/>
      <c r="EQ589" s="25"/>
      <c r="ER589" s="25"/>
      <c r="ES589" s="25"/>
      <c r="ET589" s="25"/>
      <c r="EU589" s="25"/>
      <c r="EV589" s="25"/>
      <c r="EW589" s="25"/>
      <c r="EX589" s="25"/>
      <c r="EY589" s="25"/>
      <c r="EZ589" s="25"/>
      <c r="FA589" s="25"/>
      <c r="FB589" s="25"/>
      <c r="FC589" s="25"/>
      <c r="FD589" s="25"/>
      <c r="FE589" s="25"/>
      <c r="FF589" s="25"/>
      <c r="FG589" s="25"/>
      <c r="FH589" s="25"/>
      <c r="FI589" s="25"/>
      <c r="FJ589" s="25"/>
      <c r="FK589" s="25"/>
      <c r="FL589" s="25"/>
      <c r="FM589" s="25"/>
      <c r="FN589" s="25"/>
      <c r="FO589" s="25"/>
      <c r="FP589" s="25"/>
      <c r="FQ589" s="25"/>
      <c r="FR589" s="25"/>
      <c r="FS589" s="25"/>
      <c r="FT589" s="25"/>
      <c r="FU589" s="25"/>
      <c r="FV589" s="25"/>
      <c r="FW589" s="25"/>
      <c r="FX589" s="25"/>
      <c r="FY589" s="25"/>
      <c r="FZ589" s="25"/>
      <c r="GA589" s="25"/>
      <c r="GB589" s="25"/>
      <c r="GC589" s="25"/>
      <c r="GD589" s="25"/>
      <c r="GE589" s="25"/>
      <c r="GF589" s="25"/>
      <c r="GG589" s="25"/>
      <c r="GH589" s="25"/>
      <c r="GI589" s="25"/>
      <c r="GJ589" s="25"/>
      <c r="GK589" s="25"/>
      <c r="GL589" s="25"/>
      <c r="GM589" s="25"/>
      <c r="GN589" s="25"/>
      <c r="GO589" s="25"/>
      <c r="GP589" s="25"/>
      <c r="GQ589" s="25"/>
      <c r="GR589" s="25"/>
      <c r="GS589" s="25"/>
      <c r="GT589" s="25"/>
      <c r="GU589" s="25"/>
      <c r="GV589" s="25"/>
      <c r="GW589" s="25"/>
      <c r="GX589" s="25"/>
      <c r="GY589" s="25"/>
      <c r="GZ589" s="25"/>
      <c r="HA589" s="25"/>
      <c r="HB589" s="25"/>
      <c r="HC589" s="25"/>
      <c r="HD589" s="25"/>
      <c r="HE589" s="25"/>
      <c r="HF589" s="25"/>
      <c r="HG589" s="25"/>
      <c r="HH589" s="25"/>
      <c r="HI589" s="25"/>
      <c r="HJ589" s="25"/>
      <c r="HK589" s="25"/>
      <c r="HL589" s="25"/>
      <c r="HM589" s="25"/>
      <c r="HN589" s="25"/>
      <c r="HO589" s="25"/>
      <c r="HP589" s="25"/>
      <c r="HQ589" s="25"/>
      <c r="HR589" s="25"/>
      <c r="HS589" s="25"/>
      <c r="HT589" s="25"/>
      <c r="HU589" s="25"/>
      <c r="HV589" s="25"/>
      <c r="HW589" s="25"/>
      <c r="HX589" s="25"/>
      <c r="HY589" s="25"/>
      <c r="HZ589" s="25"/>
      <c r="IA589" s="25"/>
      <c r="IB589" s="25"/>
      <c r="IC589" s="25"/>
      <c r="ID589" s="25"/>
      <c r="IE589" s="25"/>
      <c r="IF589" s="25"/>
      <c r="IG589" s="25"/>
      <c r="IH589" s="25"/>
      <c r="II589" s="25"/>
      <c r="IJ589" s="25"/>
      <c r="IK589" s="25"/>
      <c r="IL589" s="25"/>
      <c r="IM589" s="25"/>
      <c r="IN589" s="25"/>
      <c r="IO589" s="25"/>
      <c r="IP589" s="25"/>
      <c r="IQ589" s="25"/>
      <c r="IR589" s="25"/>
      <c r="IS589" s="25"/>
      <c r="IT589" s="25"/>
      <c r="IU589" s="25"/>
      <c r="IV589" s="25"/>
      <c r="IW589" s="25"/>
      <c r="IX589" s="25"/>
      <c r="IY589" s="25"/>
      <c r="IZ589" s="25"/>
      <c r="JA589" s="25"/>
      <c r="JB589" s="25"/>
      <c r="JC589" s="25"/>
      <c r="JD589" s="25"/>
      <c r="JE589" s="25"/>
      <c r="JF589" s="25"/>
      <c r="JG589" s="25"/>
      <c r="JH589" s="25"/>
      <c r="JI589" s="25"/>
      <c r="JJ589" s="25"/>
      <c r="JK589" s="25"/>
      <c r="JL589" s="25"/>
      <c r="JM589" s="25"/>
      <c r="JN589" s="25"/>
      <c r="JO589" s="25"/>
      <c r="JP589" s="25"/>
      <c r="JQ589" s="25"/>
      <c r="JR589" s="25"/>
      <c r="JS589" s="25"/>
      <c r="JT589" s="25"/>
      <c r="JU589" s="25"/>
      <c r="JV589" s="25"/>
      <c r="JW589" s="25"/>
      <c r="JX589" s="25"/>
      <c r="JY589" s="25"/>
      <c r="JZ589" s="25"/>
      <c r="KA589" s="25"/>
      <c r="KB589" s="25"/>
      <c r="KC589" s="25"/>
      <c r="KD589" s="25"/>
      <c r="KE589" s="25"/>
      <c r="KF589" s="25"/>
      <c r="KG589" s="25"/>
      <c r="KH589" s="25"/>
      <c r="KI589" s="25"/>
      <c r="KJ589" s="25"/>
      <c r="KK589" s="25"/>
      <c r="KL589" s="25"/>
      <c r="KM589" s="25"/>
      <c r="KN589" s="25"/>
      <c r="KO589" s="25"/>
      <c r="KP589" s="25"/>
      <c r="KQ589" s="25"/>
      <c r="KR589" s="25"/>
      <c r="KS589" s="25"/>
      <c r="KT589" s="25"/>
      <c r="KU589" s="25"/>
      <c r="KV589" s="25"/>
      <c r="KW589" s="25"/>
      <c r="KX589" s="25"/>
      <c r="KY589" s="25"/>
      <c r="KZ589" s="25"/>
      <c r="LA589" s="25"/>
      <c r="LB589" s="25"/>
      <c r="LC589" s="25"/>
      <c r="LD589" s="25"/>
      <c r="LE589" s="25"/>
      <c r="LF589" s="25"/>
      <c r="LG589" s="25"/>
      <c r="LH589" s="25"/>
      <c r="LI589" s="25"/>
      <c r="LJ589" s="25"/>
      <c r="LK589" s="25"/>
      <c r="LL589" s="25"/>
      <c r="LM589" s="25"/>
      <c r="LN589" s="25"/>
      <c r="LO589" s="25"/>
      <c r="LP589" s="25"/>
      <c r="LQ589" s="25"/>
      <c r="LR589" s="25"/>
      <c r="LS589" s="25"/>
      <c r="LT589" s="25"/>
      <c r="LU589" s="25"/>
      <c r="LV589" s="25"/>
      <c r="LW589" s="25"/>
      <c r="LX589" s="25"/>
      <c r="LY589" s="25"/>
      <c r="LZ589" s="25"/>
      <c r="MA589" s="25"/>
      <c r="MB589" s="25"/>
      <c r="MC589" s="25"/>
      <c r="MD589" s="25"/>
      <c r="ME589" s="25"/>
      <c r="MF589" s="25"/>
      <c r="MG589" s="25"/>
      <c r="MH589" s="25"/>
      <c r="MI589" s="25"/>
      <c r="MJ589" s="25"/>
      <c r="MK589" s="25"/>
      <c r="ML589" s="25"/>
      <c r="MM589" s="25"/>
      <c r="MN589" s="25"/>
      <c r="MO589" s="25"/>
      <c r="MP589" s="25"/>
      <c r="MQ589" s="25"/>
      <c r="MR589" s="25"/>
      <c r="MS589" s="25"/>
      <c r="MT589" s="25"/>
      <c r="MU589" s="25"/>
      <c r="MV589" s="25"/>
      <c r="MW589" s="25"/>
      <c r="MX589" s="25"/>
      <c r="MY589" s="25"/>
      <c r="MZ589" s="25"/>
      <c r="NA589" s="25"/>
      <c r="NB589" s="25"/>
      <c r="NC589" s="25"/>
      <c r="ND589" s="25"/>
      <c r="NE589" s="25"/>
      <c r="NF589" s="25"/>
      <c r="NG589" s="25"/>
      <c r="NH589" s="25"/>
      <c r="NI589" s="25"/>
      <c r="NJ589" s="25"/>
      <c r="NK589" s="25"/>
      <c r="NL589" s="25"/>
      <c r="NM589" s="25"/>
      <c r="NN589" s="25"/>
      <c r="NO589" s="25"/>
      <c r="NP589" s="25"/>
      <c r="NQ589" s="25"/>
      <c r="NR589" s="25"/>
      <c r="NS589" s="25"/>
      <c r="NT589" s="25"/>
      <c r="NU589" s="25"/>
      <c r="NV589" s="25"/>
      <c r="NW589" s="25"/>
      <c r="NX589" s="25"/>
      <c r="NY589" s="25"/>
      <c r="NZ589" s="25"/>
      <c r="OA589" s="25"/>
      <c r="OB589" s="25"/>
      <c r="OC589" s="25"/>
      <c r="OD589" s="25"/>
      <c r="OE589" s="25"/>
      <c r="OF589" s="25"/>
      <c r="OG589" s="25"/>
      <c r="OH589" s="25"/>
      <c r="OI589" s="25"/>
      <c r="OJ589" s="25"/>
      <c r="OK589" s="25"/>
      <c r="OL589" s="25"/>
      <c r="OM589" s="25"/>
      <c r="ON589" s="25"/>
      <c r="OO589" s="25"/>
      <c r="OP589" s="25"/>
      <c r="OQ589" s="25"/>
      <c r="OR589" s="25"/>
      <c r="OS589" s="25"/>
      <c r="OT589" s="25"/>
      <c r="OU589" s="25"/>
      <c r="OV589" s="25"/>
      <c r="OW589" s="25"/>
      <c r="OX589" s="25"/>
      <c r="OY589" s="25"/>
      <c r="OZ589" s="25"/>
      <c r="PA589" s="25"/>
      <c r="PB589" s="25"/>
      <c r="PC589" s="25"/>
      <c r="PD589" s="25"/>
      <c r="PE589" s="25"/>
      <c r="PF589" s="25"/>
      <c r="PG589" s="25"/>
      <c r="PH589" s="25"/>
      <c r="PI589" s="25"/>
      <c r="PJ589" s="25"/>
      <c r="PK589" s="25"/>
      <c r="PL589" s="25"/>
      <c r="PM589" s="25"/>
      <c r="PN589" s="25"/>
      <c r="PO589" s="25"/>
      <c r="PP589" s="25"/>
      <c r="PQ589" s="25"/>
      <c r="PR589" s="25"/>
      <c r="PS589" s="25"/>
      <c r="PT589" s="25"/>
      <c r="PU589" s="25"/>
      <c r="PV589" s="25"/>
      <c r="PW589" s="25"/>
      <c r="PX589" s="25"/>
      <c r="PY589" s="25"/>
      <c r="PZ589" s="25"/>
      <c r="QA589" s="25"/>
      <c r="QB589" s="25"/>
      <c r="QC589" s="25"/>
      <c r="QD589" s="25"/>
      <c r="QE589" s="25"/>
      <c r="QF589" s="25"/>
      <c r="QG589" s="25"/>
      <c r="QH589" s="25"/>
      <c r="QI589" s="25"/>
      <c r="QJ589" s="25"/>
      <c r="QK589" s="25"/>
      <c r="QL589" s="25"/>
      <c r="QM589" s="25"/>
      <c r="QN589" s="25"/>
      <c r="QO589" s="25"/>
      <c r="QP589" s="25"/>
      <c r="QQ589" s="25"/>
      <c r="QR589" s="25"/>
      <c r="QS589" s="25"/>
      <c r="QT589" s="25"/>
      <c r="QU589" s="25"/>
      <c r="QV589" s="25"/>
      <c r="QW589" s="25"/>
      <c r="QX589" s="25"/>
      <c r="QY589" s="25"/>
      <c r="QZ589" s="25"/>
      <c r="RA589" s="25"/>
      <c r="RB589" s="25"/>
      <c r="RC589" s="25"/>
      <c r="RD589" s="25"/>
      <c r="RE589" s="25"/>
      <c r="RF589" s="25"/>
      <c r="RG589" s="25"/>
      <c r="RH589" s="25"/>
      <c r="RI589" s="25"/>
      <c r="RJ589" s="25"/>
      <c r="RK589" s="25"/>
      <c r="RL589" s="25"/>
      <c r="RM589" s="25"/>
      <c r="RN589" s="25"/>
      <c r="RO589" s="25"/>
      <c r="RP589" s="25"/>
      <c r="RQ589" s="25"/>
      <c r="RR589" s="25"/>
      <c r="RS589" s="25"/>
      <c r="RT589" s="25"/>
      <c r="RU589" s="25"/>
      <c r="RV589" s="25"/>
      <c r="RW589" s="25"/>
      <c r="RX589" s="25"/>
      <c r="RY589" s="25"/>
      <c r="RZ589" s="25"/>
      <c r="SA589" s="25"/>
      <c r="SB589" s="25"/>
      <c r="SC589" s="25"/>
      <c r="SD589" s="25"/>
      <c r="SE589" s="25"/>
      <c r="SF589" s="25"/>
      <c r="SG589" s="25"/>
      <c r="SH589" s="25"/>
      <c r="SI589" s="25"/>
      <c r="SJ589" s="25"/>
      <c r="SK589" s="25"/>
      <c r="SL589" s="25"/>
      <c r="SM589" s="25"/>
      <c r="SN589" s="25"/>
      <c r="SO589" s="25"/>
      <c r="SP589" s="25"/>
      <c r="SQ589" s="25"/>
      <c r="SR589" s="25"/>
      <c r="SS589" s="25"/>
      <c r="ST589" s="25"/>
      <c r="SU589" s="25"/>
      <c r="SV589" s="25"/>
      <c r="SW589" s="25"/>
      <c r="SX589" s="25"/>
      <c r="SY589" s="25"/>
      <c r="SZ589" s="25"/>
      <c r="TA589" s="25"/>
      <c r="TB589" s="25"/>
      <c r="TC589" s="25"/>
      <c r="TD589" s="25"/>
      <c r="TE589" s="25"/>
      <c r="TF589" s="25"/>
      <c r="TG589" s="25"/>
      <c r="TH589" s="25"/>
      <c r="TI589" s="25"/>
      <c r="TJ589" s="25"/>
      <c r="TK589" s="25"/>
      <c r="TL589" s="25"/>
      <c r="TM589" s="25"/>
      <c r="TN589" s="25"/>
      <c r="TO589" s="25"/>
      <c r="TP589" s="25"/>
      <c r="TQ589" s="25"/>
      <c r="TR589" s="25"/>
      <c r="TS589" s="25"/>
      <c r="TT589" s="25"/>
      <c r="TU589" s="25"/>
      <c r="TV589" s="25"/>
      <c r="TW589" s="25"/>
      <c r="TX589" s="25"/>
      <c r="TY589" s="25"/>
      <c r="TZ589" s="25"/>
      <c r="UA589" s="25"/>
      <c r="UB589" s="25"/>
      <c r="UC589" s="25"/>
      <c r="UD589" s="25"/>
      <c r="UE589" s="25"/>
      <c r="UF589" s="25"/>
      <c r="UG589" s="26"/>
    </row>
    <row r="590" spans="1:553" ht="50.25" customHeight="1">
      <c r="A590" s="356" t="s">
        <v>30</v>
      </c>
      <c r="B590" s="385">
        <v>39</v>
      </c>
      <c r="C590" s="1404" t="s">
        <v>418</v>
      </c>
      <c r="D590" s="1389"/>
      <c r="E590" s="1389"/>
      <c r="F590" s="1390"/>
      <c r="G590" s="386" t="s">
        <v>33</v>
      </c>
      <c r="H590" s="370"/>
      <c r="I590" s="417">
        <f>0.38*2.8*3</f>
        <v>3.1919999999999993</v>
      </c>
      <c r="J590" s="368">
        <v>39000</v>
      </c>
      <c r="K590" s="371"/>
      <c r="L590" s="487">
        <f t="shared" si="101"/>
        <v>124487.99999999997</v>
      </c>
      <c r="M590" s="395"/>
      <c r="N590" s="395"/>
      <c r="O590" s="366"/>
      <c r="P590" s="396"/>
      <c r="Q590" s="473"/>
      <c r="R590" s="1039"/>
      <c r="S590" s="308"/>
      <c r="T590" s="308"/>
      <c r="U590" s="308"/>
      <c r="V590" s="308"/>
      <c r="W590" s="308"/>
      <c r="X590" s="308"/>
      <c r="Y590" s="308"/>
      <c r="Z590" s="604"/>
      <c r="AA590" s="308"/>
      <c r="AB590" s="308"/>
      <c r="AC590" s="449"/>
      <c r="AD590" s="449"/>
      <c r="AE590" s="449"/>
      <c r="AF590" s="449"/>
      <c r="AG590" s="452"/>
      <c r="AH590" s="452"/>
      <c r="AI590" s="452"/>
      <c r="AJ590" s="452"/>
      <c r="AK590" s="452"/>
      <c r="AL590" s="104"/>
      <c r="AM590" s="32"/>
      <c r="AN590" s="32"/>
      <c r="AO590" s="32"/>
      <c r="AP590" s="32"/>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25"/>
      <c r="BN590" s="25"/>
      <c r="BO590" s="25"/>
      <c r="BP590" s="25"/>
      <c r="BQ590" s="25"/>
      <c r="BR590" s="25"/>
      <c r="BS590" s="25"/>
      <c r="BT590" s="25"/>
      <c r="BU590" s="25"/>
      <c r="BV590" s="25"/>
      <c r="BW590" s="25"/>
      <c r="BX590" s="25"/>
      <c r="BY590" s="25"/>
      <c r="BZ590" s="25"/>
      <c r="CA590" s="25"/>
      <c r="CB590" s="25"/>
      <c r="CC590" s="25"/>
      <c r="CD590" s="25"/>
      <c r="CE590" s="25"/>
      <c r="CF590" s="25"/>
      <c r="CG590" s="25"/>
      <c r="CH590" s="25"/>
      <c r="CI590" s="25"/>
      <c r="CJ590" s="25"/>
      <c r="CK590" s="25"/>
      <c r="CL590" s="25"/>
      <c r="CM590" s="25"/>
      <c r="CN590" s="25"/>
      <c r="CO590" s="25"/>
      <c r="CP590" s="25"/>
      <c r="CQ590" s="25"/>
      <c r="CR590" s="25"/>
      <c r="CS590" s="25"/>
      <c r="CT590" s="25"/>
      <c r="CU590" s="25"/>
      <c r="CV590" s="25"/>
      <c r="CW590" s="25"/>
      <c r="CX590" s="25"/>
      <c r="CY590" s="25"/>
      <c r="CZ590" s="25"/>
      <c r="DA590" s="25"/>
      <c r="DB590" s="25"/>
      <c r="DC590" s="25"/>
      <c r="DD590" s="25"/>
      <c r="DE590" s="25"/>
      <c r="DF590" s="25"/>
      <c r="DG590" s="25"/>
      <c r="DH590" s="25"/>
      <c r="DI590" s="25"/>
      <c r="DJ590" s="25"/>
      <c r="DK590" s="25"/>
      <c r="DL590" s="25"/>
      <c r="DM590" s="25"/>
      <c r="DN590" s="25"/>
      <c r="DO590" s="25"/>
      <c r="DP590" s="25"/>
      <c r="DQ590" s="25"/>
      <c r="DR590" s="25"/>
      <c r="DS590" s="25"/>
      <c r="DT590" s="25"/>
      <c r="DU590" s="25"/>
      <c r="DV590" s="25"/>
      <c r="DW590" s="25"/>
      <c r="DX590" s="25"/>
      <c r="DY590" s="25"/>
      <c r="DZ590" s="25"/>
      <c r="EA590" s="25"/>
      <c r="EB590" s="25"/>
      <c r="EC590" s="25"/>
      <c r="ED590" s="25"/>
      <c r="EE590" s="25"/>
      <c r="EF590" s="25"/>
      <c r="EG590" s="25"/>
      <c r="EH590" s="25"/>
      <c r="EI590" s="25"/>
      <c r="EJ590" s="25"/>
      <c r="EK590" s="25"/>
      <c r="EL590" s="25"/>
      <c r="EM590" s="25"/>
      <c r="EN590" s="25"/>
      <c r="EO590" s="25"/>
      <c r="EP590" s="25"/>
      <c r="EQ590" s="25"/>
      <c r="ER590" s="25"/>
      <c r="ES590" s="25"/>
      <c r="ET590" s="25"/>
      <c r="EU590" s="25"/>
      <c r="EV590" s="25"/>
      <c r="EW590" s="25"/>
      <c r="EX590" s="25"/>
      <c r="EY590" s="25"/>
      <c r="EZ590" s="25"/>
      <c r="FA590" s="25"/>
      <c r="FB590" s="25"/>
      <c r="FC590" s="25"/>
      <c r="FD590" s="25"/>
      <c r="FE590" s="25"/>
      <c r="FF590" s="25"/>
      <c r="FG590" s="25"/>
      <c r="FH590" s="25"/>
      <c r="FI590" s="25"/>
      <c r="FJ590" s="25"/>
      <c r="FK590" s="25"/>
      <c r="FL590" s="25"/>
      <c r="FM590" s="25"/>
      <c r="FN590" s="25"/>
      <c r="FO590" s="25"/>
      <c r="FP590" s="25"/>
      <c r="FQ590" s="25"/>
      <c r="FR590" s="25"/>
      <c r="FS590" s="25"/>
      <c r="FT590" s="25"/>
      <c r="FU590" s="25"/>
      <c r="FV590" s="25"/>
      <c r="FW590" s="25"/>
      <c r="FX590" s="25"/>
      <c r="FY590" s="25"/>
      <c r="FZ590" s="25"/>
      <c r="GA590" s="25"/>
      <c r="GB590" s="25"/>
      <c r="GC590" s="25"/>
      <c r="GD590" s="25"/>
      <c r="GE590" s="25"/>
      <c r="GF590" s="25"/>
      <c r="GG590" s="25"/>
      <c r="GH590" s="25"/>
      <c r="GI590" s="25"/>
      <c r="GJ590" s="25"/>
      <c r="GK590" s="25"/>
      <c r="GL590" s="25"/>
      <c r="GM590" s="25"/>
      <c r="GN590" s="25"/>
      <c r="GO590" s="25"/>
      <c r="GP590" s="25"/>
      <c r="GQ590" s="25"/>
      <c r="GR590" s="25"/>
      <c r="GS590" s="25"/>
      <c r="GT590" s="25"/>
      <c r="GU590" s="25"/>
      <c r="GV590" s="25"/>
      <c r="GW590" s="25"/>
      <c r="GX590" s="25"/>
      <c r="GY590" s="25"/>
      <c r="GZ590" s="25"/>
      <c r="HA590" s="25"/>
      <c r="HB590" s="25"/>
      <c r="HC590" s="25"/>
      <c r="HD590" s="25"/>
      <c r="HE590" s="25"/>
      <c r="HF590" s="25"/>
      <c r="HG590" s="25"/>
      <c r="HH590" s="25"/>
      <c r="HI590" s="25"/>
      <c r="HJ590" s="25"/>
      <c r="HK590" s="25"/>
      <c r="HL590" s="25"/>
      <c r="HM590" s="25"/>
      <c r="HN590" s="25"/>
      <c r="HO590" s="25"/>
      <c r="HP590" s="25"/>
      <c r="HQ590" s="25"/>
      <c r="HR590" s="25"/>
      <c r="HS590" s="25"/>
      <c r="HT590" s="25"/>
      <c r="HU590" s="25"/>
      <c r="HV590" s="25"/>
      <c r="HW590" s="25"/>
      <c r="HX590" s="25"/>
      <c r="HY590" s="25"/>
      <c r="HZ590" s="25"/>
      <c r="IA590" s="25"/>
      <c r="IB590" s="25"/>
      <c r="IC590" s="25"/>
      <c r="ID590" s="25"/>
      <c r="IE590" s="25"/>
      <c r="IF590" s="25"/>
      <c r="IG590" s="25"/>
      <c r="IH590" s="25"/>
      <c r="II590" s="25"/>
      <c r="IJ590" s="25"/>
      <c r="IK590" s="25"/>
      <c r="IL590" s="25"/>
      <c r="IM590" s="25"/>
      <c r="IN590" s="25"/>
      <c r="IO590" s="25"/>
      <c r="IP590" s="25"/>
      <c r="IQ590" s="25"/>
      <c r="IR590" s="25"/>
      <c r="IS590" s="25"/>
      <c r="IT590" s="25"/>
      <c r="IU590" s="25"/>
      <c r="IV590" s="25"/>
      <c r="IW590" s="25"/>
      <c r="IX590" s="25"/>
      <c r="IY590" s="25"/>
      <c r="IZ590" s="25"/>
      <c r="JA590" s="25"/>
      <c r="JB590" s="25"/>
      <c r="JC590" s="25"/>
      <c r="JD590" s="25"/>
      <c r="JE590" s="25"/>
      <c r="JF590" s="25"/>
      <c r="JG590" s="25"/>
      <c r="JH590" s="25"/>
      <c r="JI590" s="25"/>
      <c r="JJ590" s="25"/>
      <c r="JK590" s="25"/>
      <c r="JL590" s="25"/>
      <c r="JM590" s="25"/>
      <c r="JN590" s="25"/>
      <c r="JO590" s="25"/>
      <c r="JP590" s="25"/>
      <c r="JQ590" s="25"/>
      <c r="JR590" s="25"/>
      <c r="JS590" s="25"/>
      <c r="JT590" s="25"/>
      <c r="JU590" s="25"/>
      <c r="JV590" s="25"/>
      <c r="JW590" s="25"/>
      <c r="JX590" s="25"/>
      <c r="JY590" s="25"/>
      <c r="JZ590" s="25"/>
      <c r="KA590" s="25"/>
      <c r="KB590" s="25"/>
      <c r="KC590" s="25"/>
      <c r="KD590" s="25"/>
      <c r="KE590" s="25"/>
      <c r="KF590" s="25"/>
      <c r="KG590" s="25"/>
      <c r="KH590" s="25"/>
      <c r="KI590" s="25"/>
      <c r="KJ590" s="25"/>
      <c r="KK590" s="25"/>
      <c r="KL590" s="25"/>
      <c r="KM590" s="25"/>
      <c r="KN590" s="25"/>
      <c r="KO590" s="25"/>
      <c r="KP590" s="25"/>
      <c r="KQ590" s="25"/>
      <c r="KR590" s="25"/>
      <c r="KS590" s="25"/>
      <c r="KT590" s="25"/>
      <c r="KU590" s="25"/>
      <c r="KV590" s="25"/>
      <c r="KW590" s="25"/>
      <c r="KX590" s="25"/>
      <c r="KY590" s="25"/>
      <c r="KZ590" s="25"/>
      <c r="LA590" s="25"/>
      <c r="LB590" s="25"/>
      <c r="LC590" s="25"/>
      <c r="LD590" s="25"/>
      <c r="LE590" s="25"/>
      <c r="LF590" s="25"/>
      <c r="LG590" s="25"/>
      <c r="LH590" s="25"/>
      <c r="LI590" s="25"/>
      <c r="LJ590" s="25"/>
      <c r="LK590" s="25"/>
      <c r="LL590" s="25"/>
      <c r="LM590" s="25"/>
      <c r="LN590" s="25"/>
      <c r="LO590" s="25"/>
      <c r="LP590" s="25"/>
      <c r="LQ590" s="25"/>
      <c r="LR590" s="25"/>
      <c r="LS590" s="25"/>
      <c r="LT590" s="25"/>
      <c r="LU590" s="25"/>
      <c r="LV590" s="25"/>
      <c r="LW590" s="25"/>
      <c r="LX590" s="25"/>
      <c r="LY590" s="25"/>
      <c r="LZ590" s="25"/>
      <c r="MA590" s="25"/>
      <c r="MB590" s="25"/>
      <c r="MC590" s="25"/>
      <c r="MD590" s="25"/>
      <c r="ME590" s="25"/>
      <c r="MF590" s="25"/>
      <c r="MG590" s="25"/>
      <c r="MH590" s="25"/>
      <c r="MI590" s="25"/>
      <c r="MJ590" s="25"/>
      <c r="MK590" s="25"/>
      <c r="ML590" s="25"/>
      <c r="MM590" s="25"/>
      <c r="MN590" s="25"/>
      <c r="MO590" s="25"/>
      <c r="MP590" s="25"/>
      <c r="MQ590" s="25"/>
      <c r="MR590" s="25"/>
      <c r="MS590" s="25"/>
      <c r="MT590" s="25"/>
      <c r="MU590" s="25"/>
      <c r="MV590" s="25"/>
      <c r="MW590" s="25"/>
      <c r="MX590" s="25"/>
      <c r="MY590" s="25"/>
      <c r="MZ590" s="25"/>
      <c r="NA590" s="25"/>
      <c r="NB590" s="25"/>
      <c r="NC590" s="25"/>
      <c r="ND590" s="25"/>
      <c r="NE590" s="25"/>
      <c r="NF590" s="25"/>
      <c r="NG590" s="25"/>
      <c r="NH590" s="25"/>
      <c r="NI590" s="25"/>
      <c r="NJ590" s="25"/>
      <c r="NK590" s="25"/>
      <c r="NL590" s="25"/>
      <c r="NM590" s="25"/>
      <c r="NN590" s="25"/>
      <c r="NO590" s="25"/>
      <c r="NP590" s="25"/>
      <c r="NQ590" s="25"/>
      <c r="NR590" s="25"/>
      <c r="NS590" s="25"/>
      <c r="NT590" s="25"/>
      <c r="NU590" s="25"/>
      <c r="NV590" s="25"/>
      <c r="NW590" s="25"/>
      <c r="NX590" s="25"/>
      <c r="NY590" s="25"/>
      <c r="NZ590" s="25"/>
      <c r="OA590" s="25"/>
      <c r="OB590" s="25"/>
      <c r="OC590" s="25"/>
      <c r="OD590" s="25"/>
      <c r="OE590" s="25"/>
      <c r="OF590" s="25"/>
      <c r="OG590" s="25"/>
      <c r="OH590" s="25"/>
      <c r="OI590" s="25"/>
      <c r="OJ590" s="25"/>
      <c r="OK590" s="25"/>
      <c r="OL590" s="25"/>
      <c r="OM590" s="25"/>
      <c r="ON590" s="25"/>
      <c r="OO590" s="25"/>
      <c r="OP590" s="25"/>
      <c r="OQ590" s="25"/>
      <c r="OR590" s="25"/>
      <c r="OS590" s="25"/>
      <c r="OT590" s="25"/>
      <c r="OU590" s="25"/>
      <c r="OV590" s="25"/>
      <c r="OW590" s="25"/>
      <c r="OX590" s="25"/>
      <c r="OY590" s="25"/>
      <c r="OZ590" s="25"/>
      <c r="PA590" s="25"/>
      <c r="PB590" s="25"/>
      <c r="PC590" s="25"/>
      <c r="PD590" s="25"/>
      <c r="PE590" s="25"/>
      <c r="PF590" s="25"/>
      <c r="PG590" s="25"/>
      <c r="PH590" s="25"/>
      <c r="PI590" s="25"/>
      <c r="PJ590" s="25"/>
      <c r="PK590" s="25"/>
      <c r="PL590" s="25"/>
      <c r="PM590" s="25"/>
      <c r="PN590" s="25"/>
      <c r="PO590" s="25"/>
      <c r="PP590" s="25"/>
      <c r="PQ590" s="25"/>
      <c r="PR590" s="25"/>
      <c r="PS590" s="25"/>
      <c r="PT590" s="25"/>
      <c r="PU590" s="25"/>
      <c r="PV590" s="25"/>
      <c r="PW590" s="25"/>
      <c r="PX590" s="25"/>
      <c r="PY590" s="25"/>
      <c r="PZ590" s="25"/>
      <c r="QA590" s="25"/>
      <c r="QB590" s="25"/>
      <c r="QC590" s="25"/>
      <c r="QD590" s="25"/>
      <c r="QE590" s="25"/>
      <c r="QF590" s="25"/>
      <c r="QG590" s="25"/>
      <c r="QH590" s="25"/>
      <c r="QI590" s="25"/>
      <c r="QJ590" s="25"/>
      <c r="QK590" s="25"/>
      <c r="QL590" s="25"/>
      <c r="QM590" s="25"/>
      <c r="QN590" s="25"/>
      <c r="QO590" s="25"/>
      <c r="QP590" s="25"/>
      <c r="QQ590" s="25"/>
      <c r="QR590" s="25"/>
      <c r="QS590" s="25"/>
      <c r="QT590" s="25"/>
      <c r="QU590" s="25"/>
      <c r="QV590" s="25"/>
      <c r="QW590" s="25"/>
      <c r="QX590" s="25"/>
      <c r="QY590" s="25"/>
      <c r="QZ590" s="25"/>
      <c r="RA590" s="25"/>
      <c r="RB590" s="25"/>
      <c r="RC590" s="25"/>
      <c r="RD590" s="25"/>
      <c r="RE590" s="25"/>
      <c r="RF590" s="25"/>
      <c r="RG590" s="25"/>
      <c r="RH590" s="25"/>
      <c r="RI590" s="25"/>
      <c r="RJ590" s="25"/>
      <c r="RK590" s="25"/>
      <c r="RL590" s="25"/>
      <c r="RM590" s="25"/>
      <c r="RN590" s="25"/>
      <c r="RO590" s="25"/>
      <c r="RP590" s="25"/>
      <c r="RQ590" s="25"/>
      <c r="RR590" s="25"/>
      <c r="RS590" s="25"/>
      <c r="RT590" s="25"/>
      <c r="RU590" s="25"/>
      <c r="RV590" s="25"/>
      <c r="RW590" s="25"/>
      <c r="RX590" s="25"/>
      <c r="RY590" s="25"/>
      <c r="RZ590" s="25"/>
      <c r="SA590" s="25"/>
      <c r="SB590" s="25"/>
      <c r="SC590" s="25"/>
      <c r="SD590" s="25"/>
      <c r="SE590" s="25"/>
      <c r="SF590" s="25"/>
      <c r="SG590" s="25"/>
      <c r="SH590" s="25"/>
      <c r="SI590" s="25"/>
      <c r="SJ590" s="25"/>
      <c r="SK590" s="25"/>
      <c r="SL590" s="25"/>
      <c r="SM590" s="25"/>
      <c r="SN590" s="25"/>
      <c r="SO590" s="25"/>
      <c r="SP590" s="25"/>
      <c r="SQ590" s="25"/>
      <c r="SR590" s="25"/>
      <c r="SS590" s="25"/>
      <c r="ST590" s="25"/>
      <c r="SU590" s="25"/>
      <c r="SV590" s="25"/>
      <c r="SW590" s="25"/>
      <c r="SX590" s="25"/>
      <c r="SY590" s="25"/>
      <c r="SZ590" s="25"/>
      <c r="TA590" s="25"/>
      <c r="TB590" s="25"/>
      <c r="TC590" s="25"/>
      <c r="TD590" s="25"/>
      <c r="TE590" s="25"/>
      <c r="TF590" s="25"/>
      <c r="TG590" s="25"/>
      <c r="TH590" s="25"/>
      <c r="TI590" s="25"/>
      <c r="TJ590" s="25"/>
      <c r="TK590" s="25"/>
      <c r="TL590" s="25"/>
      <c r="TM590" s="25"/>
      <c r="TN590" s="25"/>
      <c r="TO590" s="25"/>
      <c r="TP590" s="25"/>
      <c r="TQ590" s="25"/>
      <c r="TR590" s="25"/>
      <c r="TS590" s="25"/>
      <c r="TT590" s="25"/>
      <c r="TU590" s="25"/>
      <c r="TV590" s="25"/>
      <c r="TW590" s="25"/>
      <c r="TX590" s="25"/>
      <c r="TY590" s="25"/>
      <c r="TZ590" s="25"/>
      <c r="UA590" s="25"/>
      <c r="UB590" s="25"/>
      <c r="UC590" s="25"/>
      <c r="UD590" s="25"/>
      <c r="UE590" s="25"/>
      <c r="UF590" s="25"/>
      <c r="UG590" s="26"/>
    </row>
    <row r="591" spans="1:553" ht="50.25" customHeight="1">
      <c r="A591" s="356" t="s">
        <v>30</v>
      </c>
      <c r="B591" s="385">
        <v>39</v>
      </c>
      <c r="C591" s="1404" t="s">
        <v>419</v>
      </c>
      <c r="D591" s="1389"/>
      <c r="E591" s="1389"/>
      <c r="F591" s="1390"/>
      <c r="G591" s="386" t="s">
        <v>33</v>
      </c>
      <c r="H591" s="370"/>
      <c r="I591" s="417">
        <f>0.38*1.8*12</f>
        <v>8.2080000000000002</v>
      </c>
      <c r="J591" s="368">
        <v>39000</v>
      </c>
      <c r="K591" s="371"/>
      <c r="L591" s="487">
        <f t="shared" si="101"/>
        <v>320112</v>
      </c>
      <c r="M591" s="395"/>
      <c r="N591" s="395"/>
      <c r="O591" s="366"/>
      <c r="P591" s="396"/>
      <c r="Q591" s="473"/>
      <c r="R591" s="1039"/>
      <c r="S591" s="308"/>
      <c r="T591" s="308"/>
      <c r="U591" s="308"/>
      <c r="V591" s="308"/>
      <c r="W591" s="308"/>
      <c r="X591" s="308"/>
      <c r="Y591" s="308"/>
      <c r="Z591" s="604"/>
      <c r="AA591" s="308"/>
      <c r="AB591" s="308"/>
      <c r="AC591" s="449"/>
      <c r="AD591" s="449"/>
      <c r="AE591" s="449"/>
      <c r="AF591" s="449"/>
      <c r="AG591" s="452"/>
      <c r="AH591" s="452"/>
      <c r="AI591" s="452"/>
      <c r="AJ591" s="452"/>
      <c r="AK591" s="452"/>
      <c r="AL591" s="104"/>
      <c r="AM591" s="32"/>
      <c r="AN591" s="32"/>
      <c r="AO591" s="32"/>
      <c r="AP591" s="32"/>
      <c r="AQ591" s="31"/>
      <c r="AR591" s="31"/>
      <c r="AS591" s="31"/>
      <c r="AT591" s="31"/>
      <c r="AU591" s="31"/>
      <c r="AV591" s="31"/>
      <c r="AW591" s="31"/>
      <c r="AX591" s="31"/>
      <c r="AY591" s="31"/>
      <c r="AZ591" s="31"/>
      <c r="BA591" s="31"/>
      <c r="BB591" s="31"/>
      <c r="BC591" s="31"/>
      <c r="BD591" s="31"/>
      <c r="BE591" s="31"/>
      <c r="BF591" s="31"/>
      <c r="BG591" s="31"/>
      <c r="BH591" s="31"/>
      <c r="BI591" s="31"/>
      <c r="BJ591" s="31"/>
      <c r="BK591" s="31"/>
      <c r="BL591" s="31"/>
      <c r="BM591" s="25"/>
      <c r="BN591" s="25"/>
      <c r="BO591" s="25"/>
      <c r="BP591" s="25"/>
      <c r="BQ591" s="25"/>
      <c r="BR591" s="25"/>
      <c r="BS591" s="25"/>
      <c r="BT591" s="25"/>
      <c r="BU591" s="25"/>
      <c r="BV591" s="25"/>
      <c r="BW591" s="25"/>
      <c r="BX591" s="25"/>
      <c r="BY591" s="25"/>
      <c r="BZ591" s="25"/>
      <c r="CA591" s="25"/>
      <c r="CB591" s="25"/>
      <c r="CC591" s="25"/>
      <c r="CD591" s="25"/>
      <c r="CE591" s="25"/>
      <c r="CF591" s="25"/>
      <c r="CG591" s="25"/>
      <c r="CH591" s="25"/>
      <c r="CI591" s="25"/>
      <c r="CJ591" s="25"/>
      <c r="CK591" s="25"/>
      <c r="CL591" s="25"/>
      <c r="CM591" s="25"/>
      <c r="CN591" s="25"/>
      <c r="CO591" s="25"/>
      <c r="CP591" s="25"/>
      <c r="CQ591" s="25"/>
      <c r="CR591" s="25"/>
      <c r="CS591" s="25"/>
      <c r="CT591" s="25"/>
      <c r="CU591" s="25"/>
      <c r="CV591" s="25"/>
      <c r="CW591" s="25"/>
      <c r="CX591" s="25"/>
      <c r="CY591" s="25"/>
      <c r="CZ591" s="25"/>
      <c r="DA591" s="25"/>
      <c r="DB591" s="25"/>
      <c r="DC591" s="25"/>
      <c r="DD591" s="25"/>
      <c r="DE591" s="25"/>
      <c r="DF591" s="25"/>
      <c r="DG591" s="25"/>
      <c r="DH591" s="25"/>
      <c r="DI591" s="25"/>
      <c r="DJ591" s="25"/>
      <c r="DK591" s="25"/>
      <c r="DL591" s="25"/>
      <c r="DM591" s="25"/>
      <c r="DN591" s="25"/>
      <c r="DO591" s="25"/>
      <c r="DP591" s="25"/>
      <c r="DQ591" s="25"/>
      <c r="DR591" s="25"/>
      <c r="DS591" s="25"/>
      <c r="DT591" s="25"/>
      <c r="DU591" s="25"/>
      <c r="DV591" s="25"/>
      <c r="DW591" s="25"/>
      <c r="DX591" s="25"/>
      <c r="DY591" s="25"/>
      <c r="DZ591" s="25"/>
      <c r="EA591" s="25"/>
      <c r="EB591" s="25"/>
      <c r="EC591" s="25"/>
      <c r="ED591" s="25"/>
      <c r="EE591" s="25"/>
      <c r="EF591" s="25"/>
      <c r="EG591" s="25"/>
      <c r="EH591" s="25"/>
      <c r="EI591" s="25"/>
      <c r="EJ591" s="25"/>
      <c r="EK591" s="25"/>
      <c r="EL591" s="25"/>
      <c r="EM591" s="25"/>
      <c r="EN591" s="25"/>
      <c r="EO591" s="25"/>
      <c r="EP591" s="25"/>
      <c r="EQ591" s="25"/>
      <c r="ER591" s="25"/>
      <c r="ES591" s="25"/>
      <c r="ET591" s="25"/>
      <c r="EU591" s="25"/>
      <c r="EV591" s="25"/>
      <c r="EW591" s="25"/>
      <c r="EX591" s="25"/>
      <c r="EY591" s="25"/>
      <c r="EZ591" s="25"/>
      <c r="FA591" s="25"/>
      <c r="FB591" s="25"/>
      <c r="FC591" s="25"/>
      <c r="FD591" s="25"/>
      <c r="FE591" s="25"/>
      <c r="FF591" s="25"/>
      <c r="FG591" s="25"/>
      <c r="FH591" s="25"/>
      <c r="FI591" s="25"/>
      <c r="FJ591" s="25"/>
      <c r="FK591" s="25"/>
      <c r="FL591" s="25"/>
      <c r="FM591" s="25"/>
      <c r="FN591" s="25"/>
      <c r="FO591" s="25"/>
      <c r="FP591" s="25"/>
      <c r="FQ591" s="25"/>
      <c r="FR591" s="25"/>
      <c r="FS591" s="25"/>
      <c r="FT591" s="25"/>
      <c r="FU591" s="25"/>
      <c r="FV591" s="25"/>
      <c r="FW591" s="25"/>
      <c r="FX591" s="25"/>
      <c r="FY591" s="25"/>
      <c r="FZ591" s="25"/>
      <c r="GA591" s="25"/>
      <c r="GB591" s="25"/>
      <c r="GC591" s="25"/>
      <c r="GD591" s="25"/>
      <c r="GE591" s="25"/>
      <c r="GF591" s="25"/>
      <c r="GG591" s="25"/>
      <c r="GH591" s="25"/>
      <c r="GI591" s="25"/>
      <c r="GJ591" s="25"/>
      <c r="GK591" s="25"/>
      <c r="GL591" s="25"/>
      <c r="GM591" s="25"/>
      <c r="GN591" s="25"/>
      <c r="GO591" s="25"/>
      <c r="GP591" s="25"/>
      <c r="GQ591" s="25"/>
      <c r="GR591" s="25"/>
      <c r="GS591" s="25"/>
      <c r="GT591" s="25"/>
      <c r="GU591" s="25"/>
      <c r="GV591" s="25"/>
      <c r="GW591" s="25"/>
      <c r="GX591" s="25"/>
      <c r="GY591" s="25"/>
      <c r="GZ591" s="25"/>
      <c r="HA591" s="25"/>
      <c r="HB591" s="25"/>
      <c r="HC591" s="25"/>
      <c r="HD591" s="25"/>
      <c r="HE591" s="25"/>
      <c r="HF591" s="25"/>
      <c r="HG591" s="25"/>
      <c r="HH591" s="25"/>
      <c r="HI591" s="25"/>
      <c r="HJ591" s="25"/>
      <c r="HK591" s="25"/>
      <c r="HL591" s="25"/>
      <c r="HM591" s="25"/>
      <c r="HN591" s="25"/>
      <c r="HO591" s="25"/>
      <c r="HP591" s="25"/>
      <c r="HQ591" s="25"/>
      <c r="HR591" s="25"/>
      <c r="HS591" s="25"/>
      <c r="HT591" s="25"/>
      <c r="HU591" s="25"/>
      <c r="HV591" s="25"/>
      <c r="HW591" s="25"/>
      <c r="HX591" s="25"/>
      <c r="HY591" s="25"/>
      <c r="HZ591" s="25"/>
      <c r="IA591" s="25"/>
      <c r="IB591" s="25"/>
      <c r="IC591" s="25"/>
      <c r="ID591" s="25"/>
      <c r="IE591" s="25"/>
      <c r="IF591" s="25"/>
      <c r="IG591" s="25"/>
      <c r="IH591" s="25"/>
      <c r="II591" s="25"/>
      <c r="IJ591" s="25"/>
      <c r="IK591" s="25"/>
      <c r="IL591" s="25"/>
      <c r="IM591" s="25"/>
      <c r="IN591" s="25"/>
      <c r="IO591" s="25"/>
      <c r="IP591" s="25"/>
      <c r="IQ591" s="25"/>
      <c r="IR591" s="25"/>
      <c r="IS591" s="25"/>
      <c r="IT591" s="25"/>
      <c r="IU591" s="25"/>
      <c r="IV591" s="25"/>
      <c r="IW591" s="25"/>
      <c r="IX591" s="25"/>
      <c r="IY591" s="25"/>
      <c r="IZ591" s="25"/>
      <c r="JA591" s="25"/>
      <c r="JB591" s="25"/>
      <c r="JC591" s="25"/>
      <c r="JD591" s="25"/>
      <c r="JE591" s="25"/>
      <c r="JF591" s="25"/>
      <c r="JG591" s="25"/>
      <c r="JH591" s="25"/>
      <c r="JI591" s="25"/>
      <c r="JJ591" s="25"/>
      <c r="JK591" s="25"/>
      <c r="JL591" s="25"/>
      <c r="JM591" s="25"/>
      <c r="JN591" s="25"/>
      <c r="JO591" s="25"/>
      <c r="JP591" s="25"/>
      <c r="JQ591" s="25"/>
      <c r="JR591" s="25"/>
      <c r="JS591" s="25"/>
      <c r="JT591" s="25"/>
      <c r="JU591" s="25"/>
      <c r="JV591" s="25"/>
      <c r="JW591" s="25"/>
      <c r="JX591" s="25"/>
      <c r="JY591" s="25"/>
      <c r="JZ591" s="25"/>
      <c r="KA591" s="25"/>
      <c r="KB591" s="25"/>
      <c r="KC591" s="25"/>
      <c r="KD591" s="25"/>
      <c r="KE591" s="25"/>
      <c r="KF591" s="25"/>
      <c r="KG591" s="25"/>
      <c r="KH591" s="25"/>
      <c r="KI591" s="25"/>
      <c r="KJ591" s="25"/>
      <c r="KK591" s="25"/>
      <c r="KL591" s="25"/>
      <c r="KM591" s="25"/>
      <c r="KN591" s="25"/>
      <c r="KO591" s="25"/>
      <c r="KP591" s="25"/>
      <c r="KQ591" s="25"/>
      <c r="KR591" s="25"/>
      <c r="KS591" s="25"/>
      <c r="KT591" s="25"/>
      <c r="KU591" s="25"/>
      <c r="KV591" s="25"/>
      <c r="KW591" s="25"/>
      <c r="KX591" s="25"/>
      <c r="KY591" s="25"/>
      <c r="KZ591" s="25"/>
      <c r="LA591" s="25"/>
      <c r="LB591" s="25"/>
      <c r="LC591" s="25"/>
      <c r="LD591" s="25"/>
      <c r="LE591" s="25"/>
      <c r="LF591" s="25"/>
      <c r="LG591" s="25"/>
      <c r="LH591" s="25"/>
      <c r="LI591" s="25"/>
      <c r="LJ591" s="25"/>
      <c r="LK591" s="25"/>
      <c r="LL591" s="25"/>
      <c r="LM591" s="25"/>
      <c r="LN591" s="25"/>
      <c r="LO591" s="25"/>
      <c r="LP591" s="25"/>
      <c r="LQ591" s="25"/>
      <c r="LR591" s="25"/>
      <c r="LS591" s="25"/>
      <c r="LT591" s="25"/>
      <c r="LU591" s="25"/>
      <c r="LV591" s="25"/>
      <c r="LW591" s="25"/>
      <c r="LX591" s="25"/>
      <c r="LY591" s="25"/>
      <c r="LZ591" s="25"/>
      <c r="MA591" s="25"/>
      <c r="MB591" s="25"/>
      <c r="MC591" s="25"/>
      <c r="MD591" s="25"/>
      <c r="ME591" s="25"/>
      <c r="MF591" s="25"/>
      <c r="MG591" s="25"/>
      <c r="MH591" s="25"/>
      <c r="MI591" s="25"/>
      <c r="MJ591" s="25"/>
      <c r="MK591" s="25"/>
      <c r="ML591" s="25"/>
      <c r="MM591" s="25"/>
      <c r="MN591" s="25"/>
      <c r="MO591" s="25"/>
      <c r="MP591" s="25"/>
      <c r="MQ591" s="25"/>
      <c r="MR591" s="25"/>
      <c r="MS591" s="25"/>
      <c r="MT591" s="25"/>
      <c r="MU591" s="25"/>
      <c r="MV591" s="25"/>
      <c r="MW591" s="25"/>
      <c r="MX591" s="25"/>
      <c r="MY591" s="25"/>
      <c r="MZ591" s="25"/>
      <c r="NA591" s="25"/>
      <c r="NB591" s="25"/>
      <c r="NC591" s="25"/>
      <c r="ND591" s="25"/>
      <c r="NE591" s="25"/>
      <c r="NF591" s="25"/>
      <c r="NG591" s="25"/>
      <c r="NH591" s="25"/>
      <c r="NI591" s="25"/>
      <c r="NJ591" s="25"/>
      <c r="NK591" s="25"/>
      <c r="NL591" s="25"/>
      <c r="NM591" s="25"/>
      <c r="NN591" s="25"/>
      <c r="NO591" s="25"/>
      <c r="NP591" s="25"/>
      <c r="NQ591" s="25"/>
      <c r="NR591" s="25"/>
      <c r="NS591" s="25"/>
      <c r="NT591" s="25"/>
      <c r="NU591" s="25"/>
      <c r="NV591" s="25"/>
      <c r="NW591" s="25"/>
      <c r="NX591" s="25"/>
      <c r="NY591" s="25"/>
      <c r="NZ591" s="25"/>
      <c r="OA591" s="25"/>
      <c r="OB591" s="25"/>
      <c r="OC591" s="25"/>
      <c r="OD591" s="25"/>
      <c r="OE591" s="25"/>
      <c r="OF591" s="25"/>
      <c r="OG591" s="25"/>
      <c r="OH591" s="25"/>
      <c r="OI591" s="25"/>
      <c r="OJ591" s="25"/>
      <c r="OK591" s="25"/>
      <c r="OL591" s="25"/>
      <c r="OM591" s="25"/>
      <c r="ON591" s="25"/>
      <c r="OO591" s="25"/>
      <c r="OP591" s="25"/>
      <c r="OQ591" s="25"/>
      <c r="OR591" s="25"/>
      <c r="OS591" s="25"/>
      <c r="OT591" s="25"/>
      <c r="OU591" s="25"/>
      <c r="OV591" s="25"/>
      <c r="OW591" s="25"/>
      <c r="OX591" s="25"/>
      <c r="OY591" s="25"/>
      <c r="OZ591" s="25"/>
      <c r="PA591" s="25"/>
      <c r="PB591" s="25"/>
      <c r="PC591" s="25"/>
      <c r="PD591" s="25"/>
      <c r="PE591" s="25"/>
      <c r="PF591" s="25"/>
      <c r="PG591" s="25"/>
      <c r="PH591" s="25"/>
      <c r="PI591" s="25"/>
      <c r="PJ591" s="25"/>
      <c r="PK591" s="25"/>
      <c r="PL591" s="25"/>
      <c r="PM591" s="25"/>
      <c r="PN591" s="25"/>
      <c r="PO591" s="25"/>
      <c r="PP591" s="25"/>
      <c r="PQ591" s="25"/>
      <c r="PR591" s="25"/>
      <c r="PS591" s="25"/>
      <c r="PT591" s="25"/>
      <c r="PU591" s="25"/>
      <c r="PV591" s="25"/>
      <c r="PW591" s="25"/>
      <c r="PX591" s="25"/>
      <c r="PY591" s="25"/>
      <c r="PZ591" s="25"/>
      <c r="QA591" s="25"/>
      <c r="QB591" s="25"/>
      <c r="QC591" s="25"/>
      <c r="QD591" s="25"/>
      <c r="QE591" s="25"/>
      <c r="QF591" s="25"/>
      <c r="QG591" s="25"/>
      <c r="QH591" s="25"/>
      <c r="QI591" s="25"/>
      <c r="QJ591" s="25"/>
      <c r="QK591" s="25"/>
      <c r="QL591" s="25"/>
      <c r="QM591" s="25"/>
      <c r="QN591" s="25"/>
      <c r="QO591" s="25"/>
      <c r="QP591" s="25"/>
      <c r="QQ591" s="25"/>
      <c r="QR591" s="25"/>
      <c r="QS591" s="25"/>
      <c r="QT591" s="25"/>
      <c r="QU591" s="25"/>
      <c r="QV591" s="25"/>
      <c r="QW591" s="25"/>
      <c r="QX591" s="25"/>
      <c r="QY591" s="25"/>
      <c r="QZ591" s="25"/>
      <c r="RA591" s="25"/>
      <c r="RB591" s="25"/>
      <c r="RC591" s="25"/>
      <c r="RD591" s="25"/>
      <c r="RE591" s="25"/>
      <c r="RF591" s="25"/>
      <c r="RG591" s="25"/>
      <c r="RH591" s="25"/>
      <c r="RI591" s="25"/>
      <c r="RJ591" s="25"/>
      <c r="RK591" s="25"/>
      <c r="RL591" s="25"/>
      <c r="RM591" s="25"/>
      <c r="RN591" s="25"/>
      <c r="RO591" s="25"/>
      <c r="RP591" s="25"/>
      <c r="RQ591" s="25"/>
      <c r="RR591" s="25"/>
      <c r="RS591" s="25"/>
      <c r="RT591" s="25"/>
      <c r="RU591" s="25"/>
      <c r="RV591" s="25"/>
      <c r="RW591" s="25"/>
      <c r="RX591" s="25"/>
      <c r="RY591" s="25"/>
      <c r="RZ591" s="25"/>
      <c r="SA591" s="25"/>
      <c r="SB591" s="25"/>
      <c r="SC591" s="25"/>
      <c r="SD591" s="25"/>
      <c r="SE591" s="25"/>
      <c r="SF591" s="25"/>
      <c r="SG591" s="25"/>
      <c r="SH591" s="25"/>
      <c r="SI591" s="25"/>
      <c r="SJ591" s="25"/>
      <c r="SK591" s="25"/>
      <c r="SL591" s="25"/>
      <c r="SM591" s="25"/>
      <c r="SN591" s="25"/>
      <c r="SO591" s="25"/>
      <c r="SP591" s="25"/>
      <c r="SQ591" s="25"/>
      <c r="SR591" s="25"/>
      <c r="SS591" s="25"/>
      <c r="ST591" s="25"/>
      <c r="SU591" s="25"/>
      <c r="SV591" s="25"/>
      <c r="SW591" s="25"/>
      <c r="SX591" s="25"/>
      <c r="SY591" s="25"/>
      <c r="SZ591" s="25"/>
      <c r="TA591" s="25"/>
      <c r="TB591" s="25"/>
      <c r="TC591" s="25"/>
      <c r="TD591" s="25"/>
      <c r="TE591" s="25"/>
      <c r="TF591" s="25"/>
      <c r="TG591" s="25"/>
      <c r="TH591" s="25"/>
      <c r="TI591" s="25"/>
      <c r="TJ591" s="25"/>
      <c r="TK591" s="25"/>
      <c r="TL591" s="25"/>
      <c r="TM591" s="25"/>
      <c r="TN591" s="25"/>
      <c r="TO591" s="25"/>
      <c r="TP591" s="25"/>
      <c r="TQ591" s="25"/>
      <c r="TR591" s="25"/>
      <c r="TS591" s="25"/>
      <c r="TT591" s="25"/>
      <c r="TU591" s="25"/>
      <c r="TV591" s="25"/>
      <c r="TW591" s="25"/>
      <c r="TX591" s="25"/>
      <c r="TY591" s="25"/>
      <c r="TZ591" s="25"/>
      <c r="UA591" s="25"/>
      <c r="UB591" s="25"/>
      <c r="UC591" s="25"/>
      <c r="UD591" s="25"/>
      <c r="UE591" s="25"/>
      <c r="UF591" s="25"/>
      <c r="UG591" s="26"/>
    </row>
    <row r="592" spans="1:553" ht="50.25" customHeight="1">
      <c r="A592" s="356" t="s">
        <v>30</v>
      </c>
      <c r="B592" s="385">
        <v>39</v>
      </c>
      <c r="C592" s="1404" t="s">
        <v>420</v>
      </c>
      <c r="D592" s="1389"/>
      <c r="E592" s="1389"/>
      <c r="F592" s="1390"/>
      <c r="G592" s="386" t="s">
        <v>33</v>
      </c>
      <c r="H592" s="370"/>
      <c r="I592" s="417">
        <f>0.64*1.2*6</f>
        <v>4.6080000000000005</v>
      </c>
      <c r="J592" s="368">
        <v>39000</v>
      </c>
      <c r="K592" s="371"/>
      <c r="L592" s="487">
        <f t="shared" si="101"/>
        <v>179712.00000000003</v>
      </c>
      <c r="M592" s="395"/>
      <c r="N592" s="395"/>
      <c r="O592" s="366"/>
      <c r="P592" s="396"/>
      <c r="Q592" s="473"/>
      <c r="R592" s="1039"/>
      <c r="S592" s="308"/>
      <c r="T592" s="308"/>
      <c r="U592" s="308"/>
      <c r="V592" s="308"/>
      <c r="W592" s="308"/>
      <c r="X592" s="308"/>
      <c r="Y592" s="308"/>
      <c r="Z592" s="604"/>
      <c r="AA592" s="308"/>
      <c r="AB592" s="308"/>
      <c r="AC592" s="449"/>
      <c r="AD592" s="449"/>
      <c r="AE592" s="449"/>
      <c r="AF592" s="449"/>
      <c r="AG592" s="452"/>
      <c r="AH592" s="452"/>
      <c r="AI592" s="452"/>
      <c r="AJ592" s="452"/>
      <c r="AK592" s="452"/>
      <c r="AL592" s="104"/>
      <c r="AM592" s="32"/>
      <c r="AN592" s="32"/>
      <c r="AO592" s="32"/>
      <c r="AP592" s="32"/>
      <c r="AQ592" s="31"/>
      <c r="AR592" s="31"/>
      <c r="AS592" s="31"/>
      <c r="AT592" s="31"/>
      <c r="AU592" s="31"/>
      <c r="AV592" s="31"/>
      <c r="AW592" s="31"/>
      <c r="AX592" s="31"/>
      <c r="AY592" s="31"/>
      <c r="AZ592" s="31"/>
      <c r="BA592" s="31"/>
      <c r="BB592" s="31"/>
      <c r="BC592" s="31"/>
      <c r="BD592" s="31"/>
      <c r="BE592" s="31"/>
      <c r="BF592" s="31"/>
      <c r="BG592" s="31"/>
      <c r="BH592" s="31"/>
      <c r="BI592" s="31"/>
      <c r="BJ592" s="31"/>
      <c r="BK592" s="31"/>
      <c r="BL592" s="31"/>
      <c r="BM592" s="25"/>
      <c r="BN592" s="25"/>
      <c r="BO592" s="25"/>
      <c r="BP592" s="25"/>
      <c r="BQ592" s="25"/>
      <c r="BR592" s="25"/>
      <c r="BS592" s="25"/>
      <c r="BT592" s="25"/>
      <c r="BU592" s="25"/>
      <c r="BV592" s="25"/>
      <c r="BW592" s="25"/>
      <c r="BX592" s="25"/>
      <c r="BY592" s="25"/>
      <c r="BZ592" s="25"/>
      <c r="CA592" s="25"/>
      <c r="CB592" s="25"/>
      <c r="CC592" s="25"/>
      <c r="CD592" s="25"/>
      <c r="CE592" s="25"/>
      <c r="CF592" s="25"/>
      <c r="CG592" s="25"/>
      <c r="CH592" s="25"/>
      <c r="CI592" s="25"/>
      <c r="CJ592" s="25"/>
      <c r="CK592" s="25"/>
      <c r="CL592" s="25"/>
      <c r="CM592" s="25"/>
      <c r="CN592" s="25"/>
      <c r="CO592" s="25"/>
      <c r="CP592" s="25"/>
      <c r="CQ592" s="25"/>
      <c r="CR592" s="25"/>
      <c r="CS592" s="25"/>
      <c r="CT592" s="25"/>
      <c r="CU592" s="25"/>
      <c r="CV592" s="25"/>
      <c r="CW592" s="25"/>
      <c r="CX592" s="25"/>
      <c r="CY592" s="25"/>
      <c r="CZ592" s="25"/>
      <c r="DA592" s="25"/>
      <c r="DB592" s="25"/>
      <c r="DC592" s="25"/>
      <c r="DD592" s="25"/>
      <c r="DE592" s="25"/>
      <c r="DF592" s="25"/>
      <c r="DG592" s="25"/>
      <c r="DH592" s="25"/>
      <c r="DI592" s="25"/>
      <c r="DJ592" s="25"/>
      <c r="DK592" s="25"/>
      <c r="DL592" s="25"/>
      <c r="DM592" s="25"/>
      <c r="DN592" s="25"/>
      <c r="DO592" s="25"/>
      <c r="DP592" s="25"/>
      <c r="DQ592" s="25"/>
      <c r="DR592" s="25"/>
      <c r="DS592" s="25"/>
      <c r="DT592" s="25"/>
      <c r="DU592" s="25"/>
      <c r="DV592" s="25"/>
      <c r="DW592" s="25"/>
      <c r="DX592" s="25"/>
      <c r="DY592" s="25"/>
      <c r="DZ592" s="25"/>
      <c r="EA592" s="25"/>
      <c r="EB592" s="25"/>
      <c r="EC592" s="25"/>
      <c r="ED592" s="25"/>
      <c r="EE592" s="25"/>
      <c r="EF592" s="25"/>
      <c r="EG592" s="25"/>
      <c r="EH592" s="25"/>
      <c r="EI592" s="25"/>
      <c r="EJ592" s="25"/>
      <c r="EK592" s="25"/>
      <c r="EL592" s="25"/>
      <c r="EM592" s="25"/>
      <c r="EN592" s="25"/>
      <c r="EO592" s="25"/>
      <c r="EP592" s="25"/>
      <c r="EQ592" s="25"/>
      <c r="ER592" s="25"/>
      <c r="ES592" s="25"/>
      <c r="ET592" s="25"/>
      <c r="EU592" s="25"/>
      <c r="EV592" s="25"/>
      <c r="EW592" s="25"/>
      <c r="EX592" s="25"/>
      <c r="EY592" s="25"/>
      <c r="EZ592" s="25"/>
      <c r="FA592" s="25"/>
      <c r="FB592" s="25"/>
      <c r="FC592" s="25"/>
      <c r="FD592" s="25"/>
      <c r="FE592" s="25"/>
      <c r="FF592" s="25"/>
      <c r="FG592" s="25"/>
      <c r="FH592" s="25"/>
      <c r="FI592" s="25"/>
      <c r="FJ592" s="25"/>
      <c r="FK592" s="25"/>
      <c r="FL592" s="25"/>
      <c r="FM592" s="25"/>
      <c r="FN592" s="25"/>
      <c r="FO592" s="25"/>
      <c r="FP592" s="25"/>
      <c r="FQ592" s="25"/>
      <c r="FR592" s="25"/>
      <c r="FS592" s="25"/>
      <c r="FT592" s="25"/>
      <c r="FU592" s="25"/>
      <c r="FV592" s="25"/>
      <c r="FW592" s="25"/>
      <c r="FX592" s="25"/>
      <c r="FY592" s="25"/>
      <c r="FZ592" s="25"/>
      <c r="GA592" s="25"/>
      <c r="GB592" s="25"/>
      <c r="GC592" s="25"/>
      <c r="GD592" s="25"/>
      <c r="GE592" s="25"/>
      <c r="GF592" s="25"/>
      <c r="GG592" s="25"/>
      <c r="GH592" s="25"/>
      <c r="GI592" s="25"/>
      <c r="GJ592" s="25"/>
      <c r="GK592" s="25"/>
      <c r="GL592" s="25"/>
      <c r="GM592" s="25"/>
      <c r="GN592" s="25"/>
      <c r="GO592" s="25"/>
      <c r="GP592" s="25"/>
      <c r="GQ592" s="25"/>
      <c r="GR592" s="25"/>
      <c r="GS592" s="25"/>
      <c r="GT592" s="25"/>
      <c r="GU592" s="25"/>
      <c r="GV592" s="25"/>
      <c r="GW592" s="25"/>
      <c r="GX592" s="25"/>
      <c r="GY592" s="25"/>
      <c r="GZ592" s="25"/>
      <c r="HA592" s="25"/>
      <c r="HB592" s="25"/>
      <c r="HC592" s="25"/>
      <c r="HD592" s="25"/>
      <c r="HE592" s="25"/>
      <c r="HF592" s="25"/>
      <c r="HG592" s="25"/>
      <c r="HH592" s="25"/>
      <c r="HI592" s="25"/>
      <c r="HJ592" s="25"/>
      <c r="HK592" s="25"/>
      <c r="HL592" s="25"/>
      <c r="HM592" s="25"/>
      <c r="HN592" s="25"/>
      <c r="HO592" s="25"/>
      <c r="HP592" s="25"/>
      <c r="HQ592" s="25"/>
      <c r="HR592" s="25"/>
      <c r="HS592" s="25"/>
      <c r="HT592" s="25"/>
      <c r="HU592" s="25"/>
      <c r="HV592" s="25"/>
      <c r="HW592" s="25"/>
      <c r="HX592" s="25"/>
      <c r="HY592" s="25"/>
      <c r="HZ592" s="25"/>
      <c r="IA592" s="25"/>
      <c r="IB592" s="25"/>
      <c r="IC592" s="25"/>
      <c r="ID592" s="25"/>
      <c r="IE592" s="25"/>
      <c r="IF592" s="25"/>
      <c r="IG592" s="25"/>
      <c r="IH592" s="25"/>
      <c r="II592" s="25"/>
      <c r="IJ592" s="25"/>
      <c r="IK592" s="25"/>
      <c r="IL592" s="25"/>
      <c r="IM592" s="25"/>
      <c r="IN592" s="25"/>
      <c r="IO592" s="25"/>
      <c r="IP592" s="25"/>
      <c r="IQ592" s="25"/>
      <c r="IR592" s="25"/>
      <c r="IS592" s="25"/>
      <c r="IT592" s="25"/>
      <c r="IU592" s="25"/>
      <c r="IV592" s="25"/>
      <c r="IW592" s="25"/>
      <c r="IX592" s="25"/>
      <c r="IY592" s="25"/>
      <c r="IZ592" s="25"/>
      <c r="JA592" s="25"/>
      <c r="JB592" s="25"/>
      <c r="JC592" s="25"/>
      <c r="JD592" s="25"/>
      <c r="JE592" s="25"/>
      <c r="JF592" s="25"/>
      <c r="JG592" s="25"/>
      <c r="JH592" s="25"/>
      <c r="JI592" s="25"/>
      <c r="JJ592" s="25"/>
      <c r="JK592" s="25"/>
      <c r="JL592" s="25"/>
      <c r="JM592" s="25"/>
      <c r="JN592" s="25"/>
      <c r="JO592" s="25"/>
      <c r="JP592" s="25"/>
      <c r="JQ592" s="25"/>
      <c r="JR592" s="25"/>
      <c r="JS592" s="25"/>
      <c r="JT592" s="25"/>
      <c r="JU592" s="25"/>
      <c r="JV592" s="25"/>
      <c r="JW592" s="25"/>
      <c r="JX592" s="25"/>
      <c r="JY592" s="25"/>
      <c r="JZ592" s="25"/>
      <c r="KA592" s="25"/>
      <c r="KB592" s="25"/>
      <c r="KC592" s="25"/>
      <c r="KD592" s="25"/>
      <c r="KE592" s="25"/>
      <c r="KF592" s="25"/>
      <c r="KG592" s="25"/>
      <c r="KH592" s="25"/>
      <c r="KI592" s="25"/>
      <c r="KJ592" s="25"/>
      <c r="KK592" s="25"/>
      <c r="KL592" s="25"/>
      <c r="KM592" s="25"/>
      <c r="KN592" s="25"/>
      <c r="KO592" s="25"/>
      <c r="KP592" s="25"/>
      <c r="KQ592" s="25"/>
      <c r="KR592" s="25"/>
      <c r="KS592" s="25"/>
      <c r="KT592" s="25"/>
      <c r="KU592" s="25"/>
      <c r="KV592" s="25"/>
      <c r="KW592" s="25"/>
      <c r="KX592" s="25"/>
      <c r="KY592" s="25"/>
      <c r="KZ592" s="25"/>
      <c r="LA592" s="25"/>
      <c r="LB592" s="25"/>
      <c r="LC592" s="25"/>
      <c r="LD592" s="25"/>
      <c r="LE592" s="25"/>
      <c r="LF592" s="25"/>
      <c r="LG592" s="25"/>
      <c r="LH592" s="25"/>
      <c r="LI592" s="25"/>
      <c r="LJ592" s="25"/>
      <c r="LK592" s="25"/>
      <c r="LL592" s="25"/>
      <c r="LM592" s="25"/>
      <c r="LN592" s="25"/>
      <c r="LO592" s="25"/>
      <c r="LP592" s="25"/>
      <c r="LQ592" s="25"/>
      <c r="LR592" s="25"/>
      <c r="LS592" s="25"/>
      <c r="LT592" s="25"/>
      <c r="LU592" s="25"/>
      <c r="LV592" s="25"/>
      <c r="LW592" s="25"/>
      <c r="LX592" s="25"/>
      <c r="LY592" s="25"/>
      <c r="LZ592" s="25"/>
      <c r="MA592" s="25"/>
      <c r="MB592" s="25"/>
      <c r="MC592" s="25"/>
      <c r="MD592" s="25"/>
      <c r="ME592" s="25"/>
      <c r="MF592" s="25"/>
      <c r="MG592" s="25"/>
      <c r="MH592" s="25"/>
      <c r="MI592" s="25"/>
      <c r="MJ592" s="25"/>
      <c r="MK592" s="25"/>
      <c r="ML592" s="25"/>
      <c r="MM592" s="25"/>
      <c r="MN592" s="25"/>
      <c r="MO592" s="25"/>
      <c r="MP592" s="25"/>
      <c r="MQ592" s="25"/>
      <c r="MR592" s="25"/>
      <c r="MS592" s="25"/>
      <c r="MT592" s="25"/>
      <c r="MU592" s="25"/>
      <c r="MV592" s="25"/>
      <c r="MW592" s="25"/>
      <c r="MX592" s="25"/>
      <c r="MY592" s="25"/>
      <c r="MZ592" s="25"/>
      <c r="NA592" s="25"/>
      <c r="NB592" s="25"/>
      <c r="NC592" s="25"/>
      <c r="ND592" s="25"/>
      <c r="NE592" s="25"/>
      <c r="NF592" s="25"/>
      <c r="NG592" s="25"/>
      <c r="NH592" s="25"/>
      <c r="NI592" s="25"/>
      <c r="NJ592" s="25"/>
      <c r="NK592" s="25"/>
      <c r="NL592" s="25"/>
      <c r="NM592" s="25"/>
      <c r="NN592" s="25"/>
      <c r="NO592" s="25"/>
      <c r="NP592" s="25"/>
      <c r="NQ592" s="25"/>
      <c r="NR592" s="25"/>
      <c r="NS592" s="25"/>
      <c r="NT592" s="25"/>
      <c r="NU592" s="25"/>
      <c r="NV592" s="25"/>
      <c r="NW592" s="25"/>
      <c r="NX592" s="25"/>
      <c r="NY592" s="25"/>
      <c r="NZ592" s="25"/>
      <c r="OA592" s="25"/>
      <c r="OB592" s="25"/>
      <c r="OC592" s="25"/>
      <c r="OD592" s="25"/>
      <c r="OE592" s="25"/>
      <c r="OF592" s="25"/>
      <c r="OG592" s="25"/>
      <c r="OH592" s="25"/>
      <c r="OI592" s="25"/>
      <c r="OJ592" s="25"/>
      <c r="OK592" s="25"/>
      <c r="OL592" s="25"/>
      <c r="OM592" s="25"/>
      <c r="ON592" s="25"/>
      <c r="OO592" s="25"/>
      <c r="OP592" s="25"/>
      <c r="OQ592" s="25"/>
      <c r="OR592" s="25"/>
      <c r="OS592" s="25"/>
      <c r="OT592" s="25"/>
      <c r="OU592" s="25"/>
      <c r="OV592" s="25"/>
      <c r="OW592" s="25"/>
      <c r="OX592" s="25"/>
      <c r="OY592" s="25"/>
      <c r="OZ592" s="25"/>
      <c r="PA592" s="25"/>
      <c r="PB592" s="25"/>
      <c r="PC592" s="25"/>
      <c r="PD592" s="25"/>
      <c r="PE592" s="25"/>
      <c r="PF592" s="25"/>
      <c r="PG592" s="25"/>
      <c r="PH592" s="25"/>
      <c r="PI592" s="25"/>
      <c r="PJ592" s="25"/>
      <c r="PK592" s="25"/>
      <c r="PL592" s="25"/>
      <c r="PM592" s="25"/>
      <c r="PN592" s="25"/>
      <c r="PO592" s="25"/>
      <c r="PP592" s="25"/>
      <c r="PQ592" s="25"/>
      <c r="PR592" s="25"/>
      <c r="PS592" s="25"/>
      <c r="PT592" s="25"/>
      <c r="PU592" s="25"/>
      <c r="PV592" s="25"/>
      <c r="PW592" s="25"/>
      <c r="PX592" s="25"/>
      <c r="PY592" s="25"/>
      <c r="PZ592" s="25"/>
      <c r="QA592" s="25"/>
      <c r="QB592" s="25"/>
      <c r="QC592" s="25"/>
      <c r="QD592" s="25"/>
      <c r="QE592" s="25"/>
      <c r="QF592" s="25"/>
      <c r="QG592" s="25"/>
      <c r="QH592" s="25"/>
      <c r="QI592" s="25"/>
      <c r="QJ592" s="25"/>
      <c r="QK592" s="25"/>
      <c r="QL592" s="25"/>
      <c r="QM592" s="25"/>
      <c r="QN592" s="25"/>
      <c r="QO592" s="25"/>
      <c r="QP592" s="25"/>
      <c r="QQ592" s="25"/>
      <c r="QR592" s="25"/>
      <c r="QS592" s="25"/>
      <c r="QT592" s="25"/>
      <c r="QU592" s="25"/>
      <c r="QV592" s="25"/>
      <c r="QW592" s="25"/>
      <c r="QX592" s="25"/>
      <c r="QY592" s="25"/>
      <c r="QZ592" s="25"/>
      <c r="RA592" s="25"/>
      <c r="RB592" s="25"/>
      <c r="RC592" s="25"/>
      <c r="RD592" s="25"/>
      <c r="RE592" s="25"/>
      <c r="RF592" s="25"/>
      <c r="RG592" s="25"/>
      <c r="RH592" s="25"/>
      <c r="RI592" s="25"/>
      <c r="RJ592" s="25"/>
      <c r="RK592" s="25"/>
      <c r="RL592" s="25"/>
      <c r="RM592" s="25"/>
      <c r="RN592" s="25"/>
      <c r="RO592" s="25"/>
      <c r="RP592" s="25"/>
      <c r="RQ592" s="25"/>
      <c r="RR592" s="25"/>
      <c r="RS592" s="25"/>
      <c r="RT592" s="25"/>
      <c r="RU592" s="25"/>
      <c r="RV592" s="25"/>
      <c r="RW592" s="25"/>
      <c r="RX592" s="25"/>
      <c r="RY592" s="25"/>
      <c r="RZ592" s="25"/>
      <c r="SA592" s="25"/>
      <c r="SB592" s="25"/>
      <c r="SC592" s="25"/>
      <c r="SD592" s="25"/>
      <c r="SE592" s="25"/>
      <c r="SF592" s="25"/>
      <c r="SG592" s="25"/>
      <c r="SH592" s="25"/>
      <c r="SI592" s="25"/>
      <c r="SJ592" s="25"/>
      <c r="SK592" s="25"/>
      <c r="SL592" s="25"/>
      <c r="SM592" s="25"/>
      <c r="SN592" s="25"/>
      <c r="SO592" s="25"/>
      <c r="SP592" s="25"/>
      <c r="SQ592" s="25"/>
      <c r="SR592" s="25"/>
      <c r="SS592" s="25"/>
      <c r="ST592" s="25"/>
      <c r="SU592" s="25"/>
      <c r="SV592" s="25"/>
      <c r="SW592" s="25"/>
      <c r="SX592" s="25"/>
      <c r="SY592" s="25"/>
      <c r="SZ592" s="25"/>
      <c r="TA592" s="25"/>
      <c r="TB592" s="25"/>
      <c r="TC592" s="25"/>
      <c r="TD592" s="25"/>
      <c r="TE592" s="25"/>
      <c r="TF592" s="25"/>
      <c r="TG592" s="25"/>
      <c r="TH592" s="25"/>
      <c r="TI592" s="25"/>
      <c r="TJ592" s="25"/>
      <c r="TK592" s="25"/>
      <c r="TL592" s="25"/>
      <c r="TM592" s="25"/>
      <c r="TN592" s="25"/>
      <c r="TO592" s="25"/>
      <c r="TP592" s="25"/>
      <c r="TQ592" s="25"/>
      <c r="TR592" s="25"/>
      <c r="TS592" s="25"/>
      <c r="TT592" s="25"/>
      <c r="TU592" s="25"/>
      <c r="TV592" s="25"/>
      <c r="TW592" s="25"/>
      <c r="TX592" s="25"/>
      <c r="TY592" s="25"/>
      <c r="TZ592" s="25"/>
      <c r="UA592" s="25"/>
      <c r="UB592" s="25"/>
      <c r="UC592" s="25"/>
      <c r="UD592" s="25"/>
      <c r="UE592" s="25"/>
      <c r="UF592" s="25"/>
      <c r="UG592" s="26"/>
    </row>
    <row r="593" spans="1:553" ht="50.25" customHeight="1">
      <c r="A593" s="356" t="s">
        <v>30</v>
      </c>
      <c r="B593" s="385">
        <v>39</v>
      </c>
      <c r="C593" s="1404" t="s">
        <v>421</v>
      </c>
      <c r="D593" s="1389"/>
      <c r="E593" s="1389"/>
      <c r="F593" s="1390"/>
      <c r="G593" s="386" t="s">
        <v>33</v>
      </c>
      <c r="H593" s="370"/>
      <c r="I593" s="417">
        <f>0.64*0.7*4</f>
        <v>1.7919999999999998</v>
      </c>
      <c r="J593" s="368">
        <v>39000</v>
      </c>
      <c r="K593" s="371"/>
      <c r="L593" s="487">
        <f t="shared" si="101"/>
        <v>69888</v>
      </c>
      <c r="M593" s="395"/>
      <c r="N593" s="395"/>
      <c r="O593" s="366"/>
      <c r="P593" s="396"/>
      <c r="Q593" s="473"/>
      <c r="R593" s="1039"/>
      <c r="S593" s="308"/>
      <c r="T593" s="308"/>
      <c r="U593" s="308"/>
      <c r="V593" s="308"/>
      <c r="W593" s="308"/>
      <c r="X593" s="308"/>
      <c r="Y593" s="308"/>
      <c r="Z593" s="604"/>
      <c r="AA593" s="308"/>
      <c r="AB593" s="308"/>
      <c r="AC593" s="449"/>
      <c r="AD593" s="449"/>
      <c r="AE593" s="449"/>
      <c r="AF593" s="449"/>
      <c r="AG593" s="452"/>
      <c r="AH593" s="452"/>
      <c r="AI593" s="452"/>
      <c r="AJ593" s="452"/>
      <c r="AK593" s="452"/>
      <c r="AL593" s="104"/>
      <c r="AM593" s="32"/>
      <c r="AN593" s="32"/>
      <c r="AO593" s="32"/>
      <c r="AP593" s="32"/>
      <c r="AQ593" s="31"/>
      <c r="AR593" s="31"/>
      <c r="AS593" s="31"/>
      <c r="AT593" s="31"/>
      <c r="AU593" s="31"/>
      <c r="AV593" s="31"/>
      <c r="AW593" s="31"/>
      <c r="AX593" s="31"/>
      <c r="AY593" s="31"/>
      <c r="AZ593" s="31"/>
      <c r="BA593" s="31"/>
      <c r="BB593" s="31"/>
      <c r="BC593" s="31"/>
      <c r="BD593" s="31"/>
      <c r="BE593" s="31"/>
      <c r="BF593" s="31"/>
      <c r="BG593" s="31"/>
      <c r="BH593" s="31"/>
      <c r="BI593" s="31"/>
      <c r="BJ593" s="31"/>
      <c r="BK593" s="31"/>
      <c r="BL593" s="31"/>
      <c r="BM593" s="25"/>
      <c r="BN593" s="25"/>
      <c r="BO593" s="25"/>
      <c r="BP593" s="25"/>
      <c r="BQ593" s="25"/>
      <c r="BR593" s="25"/>
      <c r="BS593" s="25"/>
      <c r="BT593" s="25"/>
      <c r="BU593" s="25"/>
      <c r="BV593" s="25"/>
      <c r="BW593" s="25"/>
      <c r="BX593" s="25"/>
      <c r="BY593" s="25"/>
      <c r="BZ593" s="25"/>
      <c r="CA593" s="25"/>
      <c r="CB593" s="25"/>
      <c r="CC593" s="25"/>
      <c r="CD593" s="25"/>
      <c r="CE593" s="25"/>
      <c r="CF593" s="25"/>
      <c r="CG593" s="25"/>
      <c r="CH593" s="25"/>
      <c r="CI593" s="25"/>
      <c r="CJ593" s="25"/>
      <c r="CK593" s="25"/>
      <c r="CL593" s="25"/>
      <c r="CM593" s="25"/>
      <c r="CN593" s="25"/>
      <c r="CO593" s="25"/>
      <c r="CP593" s="25"/>
      <c r="CQ593" s="25"/>
      <c r="CR593" s="25"/>
      <c r="CS593" s="25"/>
      <c r="CT593" s="25"/>
      <c r="CU593" s="25"/>
      <c r="CV593" s="25"/>
      <c r="CW593" s="25"/>
      <c r="CX593" s="25"/>
      <c r="CY593" s="25"/>
      <c r="CZ593" s="25"/>
      <c r="DA593" s="25"/>
      <c r="DB593" s="25"/>
      <c r="DC593" s="25"/>
      <c r="DD593" s="25"/>
      <c r="DE593" s="25"/>
      <c r="DF593" s="25"/>
      <c r="DG593" s="25"/>
      <c r="DH593" s="25"/>
      <c r="DI593" s="25"/>
      <c r="DJ593" s="25"/>
      <c r="DK593" s="25"/>
      <c r="DL593" s="25"/>
      <c r="DM593" s="25"/>
      <c r="DN593" s="25"/>
      <c r="DO593" s="25"/>
      <c r="DP593" s="25"/>
      <c r="DQ593" s="25"/>
      <c r="DR593" s="25"/>
      <c r="DS593" s="25"/>
      <c r="DT593" s="25"/>
      <c r="DU593" s="25"/>
      <c r="DV593" s="25"/>
      <c r="DW593" s="25"/>
      <c r="DX593" s="25"/>
      <c r="DY593" s="25"/>
      <c r="DZ593" s="25"/>
      <c r="EA593" s="25"/>
      <c r="EB593" s="25"/>
      <c r="EC593" s="25"/>
      <c r="ED593" s="25"/>
      <c r="EE593" s="25"/>
      <c r="EF593" s="25"/>
      <c r="EG593" s="25"/>
      <c r="EH593" s="25"/>
      <c r="EI593" s="25"/>
      <c r="EJ593" s="25"/>
      <c r="EK593" s="25"/>
      <c r="EL593" s="25"/>
      <c r="EM593" s="25"/>
      <c r="EN593" s="25"/>
      <c r="EO593" s="25"/>
      <c r="EP593" s="25"/>
      <c r="EQ593" s="25"/>
      <c r="ER593" s="25"/>
      <c r="ES593" s="25"/>
      <c r="ET593" s="25"/>
      <c r="EU593" s="25"/>
      <c r="EV593" s="25"/>
      <c r="EW593" s="25"/>
      <c r="EX593" s="25"/>
      <c r="EY593" s="25"/>
      <c r="EZ593" s="25"/>
      <c r="FA593" s="25"/>
      <c r="FB593" s="25"/>
      <c r="FC593" s="25"/>
      <c r="FD593" s="25"/>
      <c r="FE593" s="25"/>
      <c r="FF593" s="25"/>
      <c r="FG593" s="25"/>
      <c r="FH593" s="25"/>
      <c r="FI593" s="25"/>
      <c r="FJ593" s="25"/>
      <c r="FK593" s="25"/>
      <c r="FL593" s="25"/>
      <c r="FM593" s="25"/>
      <c r="FN593" s="25"/>
      <c r="FO593" s="25"/>
      <c r="FP593" s="25"/>
      <c r="FQ593" s="25"/>
      <c r="FR593" s="25"/>
      <c r="FS593" s="25"/>
      <c r="FT593" s="25"/>
      <c r="FU593" s="25"/>
      <c r="FV593" s="25"/>
      <c r="FW593" s="25"/>
      <c r="FX593" s="25"/>
      <c r="FY593" s="25"/>
      <c r="FZ593" s="25"/>
      <c r="GA593" s="25"/>
      <c r="GB593" s="25"/>
      <c r="GC593" s="25"/>
      <c r="GD593" s="25"/>
      <c r="GE593" s="25"/>
      <c r="GF593" s="25"/>
      <c r="GG593" s="25"/>
      <c r="GH593" s="25"/>
      <c r="GI593" s="25"/>
      <c r="GJ593" s="25"/>
      <c r="GK593" s="25"/>
      <c r="GL593" s="25"/>
      <c r="GM593" s="25"/>
      <c r="GN593" s="25"/>
      <c r="GO593" s="25"/>
      <c r="GP593" s="25"/>
      <c r="GQ593" s="25"/>
      <c r="GR593" s="25"/>
      <c r="GS593" s="25"/>
      <c r="GT593" s="25"/>
      <c r="GU593" s="25"/>
      <c r="GV593" s="25"/>
      <c r="GW593" s="25"/>
      <c r="GX593" s="25"/>
      <c r="GY593" s="25"/>
      <c r="GZ593" s="25"/>
      <c r="HA593" s="25"/>
      <c r="HB593" s="25"/>
      <c r="HC593" s="25"/>
      <c r="HD593" s="25"/>
      <c r="HE593" s="25"/>
      <c r="HF593" s="25"/>
      <c r="HG593" s="25"/>
      <c r="HH593" s="25"/>
      <c r="HI593" s="25"/>
      <c r="HJ593" s="25"/>
      <c r="HK593" s="25"/>
      <c r="HL593" s="25"/>
      <c r="HM593" s="25"/>
      <c r="HN593" s="25"/>
      <c r="HO593" s="25"/>
      <c r="HP593" s="25"/>
      <c r="HQ593" s="25"/>
      <c r="HR593" s="25"/>
      <c r="HS593" s="25"/>
      <c r="HT593" s="25"/>
      <c r="HU593" s="25"/>
      <c r="HV593" s="25"/>
      <c r="HW593" s="25"/>
      <c r="HX593" s="25"/>
      <c r="HY593" s="25"/>
      <c r="HZ593" s="25"/>
      <c r="IA593" s="25"/>
      <c r="IB593" s="25"/>
      <c r="IC593" s="25"/>
      <c r="ID593" s="25"/>
      <c r="IE593" s="25"/>
      <c r="IF593" s="25"/>
      <c r="IG593" s="25"/>
      <c r="IH593" s="25"/>
      <c r="II593" s="25"/>
      <c r="IJ593" s="25"/>
      <c r="IK593" s="25"/>
      <c r="IL593" s="25"/>
      <c r="IM593" s="25"/>
      <c r="IN593" s="25"/>
      <c r="IO593" s="25"/>
      <c r="IP593" s="25"/>
      <c r="IQ593" s="25"/>
      <c r="IR593" s="25"/>
      <c r="IS593" s="25"/>
      <c r="IT593" s="25"/>
      <c r="IU593" s="25"/>
      <c r="IV593" s="25"/>
      <c r="IW593" s="25"/>
      <c r="IX593" s="25"/>
      <c r="IY593" s="25"/>
      <c r="IZ593" s="25"/>
      <c r="JA593" s="25"/>
      <c r="JB593" s="25"/>
      <c r="JC593" s="25"/>
      <c r="JD593" s="25"/>
      <c r="JE593" s="25"/>
      <c r="JF593" s="25"/>
      <c r="JG593" s="25"/>
      <c r="JH593" s="25"/>
      <c r="JI593" s="25"/>
      <c r="JJ593" s="25"/>
      <c r="JK593" s="25"/>
      <c r="JL593" s="25"/>
      <c r="JM593" s="25"/>
      <c r="JN593" s="25"/>
      <c r="JO593" s="25"/>
      <c r="JP593" s="25"/>
      <c r="JQ593" s="25"/>
      <c r="JR593" s="25"/>
      <c r="JS593" s="25"/>
      <c r="JT593" s="25"/>
      <c r="JU593" s="25"/>
      <c r="JV593" s="25"/>
      <c r="JW593" s="25"/>
      <c r="JX593" s="25"/>
      <c r="JY593" s="25"/>
      <c r="JZ593" s="25"/>
      <c r="KA593" s="25"/>
      <c r="KB593" s="25"/>
      <c r="KC593" s="25"/>
      <c r="KD593" s="25"/>
      <c r="KE593" s="25"/>
      <c r="KF593" s="25"/>
      <c r="KG593" s="25"/>
      <c r="KH593" s="25"/>
      <c r="KI593" s="25"/>
      <c r="KJ593" s="25"/>
      <c r="KK593" s="25"/>
      <c r="KL593" s="25"/>
      <c r="KM593" s="25"/>
      <c r="KN593" s="25"/>
      <c r="KO593" s="25"/>
      <c r="KP593" s="25"/>
      <c r="KQ593" s="25"/>
      <c r="KR593" s="25"/>
      <c r="KS593" s="25"/>
      <c r="KT593" s="25"/>
      <c r="KU593" s="25"/>
      <c r="KV593" s="25"/>
      <c r="KW593" s="25"/>
      <c r="KX593" s="25"/>
      <c r="KY593" s="25"/>
      <c r="KZ593" s="25"/>
      <c r="LA593" s="25"/>
      <c r="LB593" s="25"/>
      <c r="LC593" s="25"/>
      <c r="LD593" s="25"/>
      <c r="LE593" s="25"/>
      <c r="LF593" s="25"/>
      <c r="LG593" s="25"/>
      <c r="LH593" s="25"/>
      <c r="LI593" s="25"/>
      <c r="LJ593" s="25"/>
      <c r="LK593" s="25"/>
      <c r="LL593" s="25"/>
      <c r="LM593" s="25"/>
      <c r="LN593" s="25"/>
      <c r="LO593" s="25"/>
      <c r="LP593" s="25"/>
      <c r="LQ593" s="25"/>
      <c r="LR593" s="25"/>
      <c r="LS593" s="25"/>
      <c r="LT593" s="25"/>
      <c r="LU593" s="25"/>
      <c r="LV593" s="25"/>
      <c r="LW593" s="25"/>
      <c r="LX593" s="25"/>
      <c r="LY593" s="25"/>
      <c r="LZ593" s="25"/>
      <c r="MA593" s="25"/>
      <c r="MB593" s="25"/>
      <c r="MC593" s="25"/>
      <c r="MD593" s="25"/>
      <c r="ME593" s="25"/>
      <c r="MF593" s="25"/>
      <c r="MG593" s="25"/>
      <c r="MH593" s="25"/>
      <c r="MI593" s="25"/>
      <c r="MJ593" s="25"/>
      <c r="MK593" s="25"/>
      <c r="ML593" s="25"/>
      <c r="MM593" s="25"/>
      <c r="MN593" s="25"/>
      <c r="MO593" s="25"/>
      <c r="MP593" s="25"/>
      <c r="MQ593" s="25"/>
      <c r="MR593" s="25"/>
      <c r="MS593" s="25"/>
      <c r="MT593" s="25"/>
      <c r="MU593" s="25"/>
      <c r="MV593" s="25"/>
      <c r="MW593" s="25"/>
      <c r="MX593" s="25"/>
      <c r="MY593" s="25"/>
      <c r="MZ593" s="25"/>
      <c r="NA593" s="25"/>
      <c r="NB593" s="25"/>
      <c r="NC593" s="25"/>
      <c r="ND593" s="25"/>
      <c r="NE593" s="25"/>
      <c r="NF593" s="25"/>
      <c r="NG593" s="25"/>
      <c r="NH593" s="25"/>
      <c r="NI593" s="25"/>
      <c r="NJ593" s="25"/>
      <c r="NK593" s="25"/>
      <c r="NL593" s="25"/>
      <c r="NM593" s="25"/>
      <c r="NN593" s="25"/>
      <c r="NO593" s="25"/>
      <c r="NP593" s="25"/>
      <c r="NQ593" s="25"/>
      <c r="NR593" s="25"/>
      <c r="NS593" s="25"/>
      <c r="NT593" s="25"/>
      <c r="NU593" s="25"/>
      <c r="NV593" s="25"/>
      <c r="NW593" s="25"/>
      <c r="NX593" s="25"/>
      <c r="NY593" s="25"/>
      <c r="NZ593" s="25"/>
      <c r="OA593" s="25"/>
      <c r="OB593" s="25"/>
      <c r="OC593" s="25"/>
      <c r="OD593" s="25"/>
      <c r="OE593" s="25"/>
      <c r="OF593" s="25"/>
      <c r="OG593" s="25"/>
      <c r="OH593" s="25"/>
      <c r="OI593" s="25"/>
      <c r="OJ593" s="25"/>
      <c r="OK593" s="25"/>
      <c r="OL593" s="25"/>
      <c r="OM593" s="25"/>
      <c r="ON593" s="25"/>
      <c r="OO593" s="25"/>
      <c r="OP593" s="25"/>
      <c r="OQ593" s="25"/>
      <c r="OR593" s="25"/>
      <c r="OS593" s="25"/>
      <c r="OT593" s="25"/>
      <c r="OU593" s="25"/>
      <c r="OV593" s="25"/>
      <c r="OW593" s="25"/>
      <c r="OX593" s="25"/>
      <c r="OY593" s="25"/>
      <c r="OZ593" s="25"/>
      <c r="PA593" s="25"/>
      <c r="PB593" s="25"/>
      <c r="PC593" s="25"/>
      <c r="PD593" s="25"/>
      <c r="PE593" s="25"/>
      <c r="PF593" s="25"/>
      <c r="PG593" s="25"/>
      <c r="PH593" s="25"/>
      <c r="PI593" s="25"/>
      <c r="PJ593" s="25"/>
      <c r="PK593" s="25"/>
      <c r="PL593" s="25"/>
      <c r="PM593" s="25"/>
      <c r="PN593" s="25"/>
      <c r="PO593" s="25"/>
      <c r="PP593" s="25"/>
      <c r="PQ593" s="25"/>
      <c r="PR593" s="25"/>
      <c r="PS593" s="25"/>
      <c r="PT593" s="25"/>
      <c r="PU593" s="25"/>
      <c r="PV593" s="25"/>
      <c r="PW593" s="25"/>
      <c r="PX593" s="25"/>
      <c r="PY593" s="25"/>
      <c r="PZ593" s="25"/>
      <c r="QA593" s="25"/>
      <c r="QB593" s="25"/>
      <c r="QC593" s="25"/>
      <c r="QD593" s="25"/>
      <c r="QE593" s="25"/>
      <c r="QF593" s="25"/>
      <c r="QG593" s="25"/>
      <c r="QH593" s="25"/>
      <c r="QI593" s="25"/>
      <c r="QJ593" s="25"/>
      <c r="QK593" s="25"/>
      <c r="QL593" s="25"/>
      <c r="QM593" s="25"/>
      <c r="QN593" s="25"/>
      <c r="QO593" s="25"/>
      <c r="QP593" s="25"/>
      <c r="QQ593" s="25"/>
      <c r="QR593" s="25"/>
      <c r="QS593" s="25"/>
      <c r="QT593" s="25"/>
      <c r="QU593" s="25"/>
      <c r="QV593" s="25"/>
      <c r="QW593" s="25"/>
      <c r="QX593" s="25"/>
      <c r="QY593" s="25"/>
      <c r="QZ593" s="25"/>
      <c r="RA593" s="25"/>
      <c r="RB593" s="25"/>
      <c r="RC593" s="25"/>
      <c r="RD593" s="25"/>
      <c r="RE593" s="25"/>
      <c r="RF593" s="25"/>
      <c r="RG593" s="25"/>
      <c r="RH593" s="25"/>
      <c r="RI593" s="25"/>
      <c r="RJ593" s="25"/>
      <c r="RK593" s="25"/>
      <c r="RL593" s="25"/>
      <c r="RM593" s="25"/>
      <c r="RN593" s="25"/>
      <c r="RO593" s="25"/>
      <c r="RP593" s="25"/>
      <c r="RQ593" s="25"/>
      <c r="RR593" s="25"/>
      <c r="RS593" s="25"/>
      <c r="RT593" s="25"/>
      <c r="RU593" s="25"/>
      <c r="RV593" s="25"/>
      <c r="RW593" s="25"/>
      <c r="RX593" s="25"/>
      <c r="RY593" s="25"/>
      <c r="RZ593" s="25"/>
      <c r="SA593" s="25"/>
      <c r="SB593" s="25"/>
      <c r="SC593" s="25"/>
      <c r="SD593" s="25"/>
      <c r="SE593" s="25"/>
      <c r="SF593" s="25"/>
      <c r="SG593" s="25"/>
      <c r="SH593" s="25"/>
      <c r="SI593" s="25"/>
      <c r="SJ593" s="25"/>
      <c r="SK593" s="25"/>
      <c r="SL593" s="25"/>
      <c r="SM593" s="25"/>
      <c r="SN593" s="25"/>
      <c r="SO593" s="25"/>
      <c r="SP593" s="25"/>
      <c r="SQ593" s="25"/>
      <c r="SR593" s="25"/>
      <c r="SS593" s="25"/>
      <c r="ST593" s="25"/>
      <c r="SU593" s="25"/>
      <c r="SV593" s="25"/>
      <c r="SW593" s="25"/>
      <c r="SX593" s="25"/>
      <c r="SY593" s="25"/>
      <c r="SZ593" s="25"/>
      <c r="TA593" s="25"/>
      <c r="TB593" s="25"/>
      <c r="TC593" s="25"/>
      <c r="TD593" s="25"/>
      <c r="TE593" s="25"/>
      <c r="TF593" s="25"/>
      <c r="TG593" s="25"/>
      <c r="TH593" s="25"/>
      <c r="TI593" s="25"/>
      <c r="TJ593" s="25"/>
      <c r="TK593" s="25"/>
      <c r="TL593" s="25"/>
      <c r="TM593" s="25"/>
      <c r="TN593" s="25"/>
      <c r="TO593" s="25"/>
      <c r="TP593" s="25"/>
      <c r="TQ593" s="25"/>
      <c r="TR593" s="25"/>
      <c r="TS593" s="25"/>
      <c r="TT593" s="25"/>
      <c r="TU593" s="25"/>
      <c r="TV593" s="25"/>
      <c r="TW593" s="25"/>
      <c r="TX593" s="25"/>
      <c r="TY593" s="25"/>
      <c r="TZ593" s="25"/>
      <c r="UA593" s="25"/>
      <c r="UB593" s="25"/>
      <c r="UC593" s="25"/>
      <c r="UD593" s="25"/>
      <c r="UE593" s="25"/>
      <c r="UF593" s="25"/>
      <c r="UG593" s="26"/>
    </row>
    <row r="594" spans="1:553" ht="50.25" customHeight="1">
      <c r="A594" s="356" t="s">
        <v>30</v>
      </c>
      <c r="B594" s="385">
        <v>39</v>
      </c>
      <c r="C594" s="1404" t="s">
        <v>422</v>
      </c>
      <c r="D594" s="1389"/>
      <c r="E594" s="1389"/>
      <c r="F594" s="1390"/>
      <c r="G594" s="386" t="s">
        <v>33</v>
      </c>
      <c r="H594" s="370"/>
      <c r="I594" s="417">
        <f>7.4*0.6*0.8</f>
        <v>3.5520000000000005</v>
      </c>
      <c r="J594" s="368">
        <v>39000</v>
      </c>
      <c r="K594" s="371"/>
      <c r="L594" s="487">
        <f t="shared" si="101"/>
        <v>138528.00000000003</v>
      </c>
      <c r="M594" s="395"/>
      <c r="N594" s="395"/>
      <c r="O594" s="366"/>
      <c r="P594" s="396"/>
      <c r="Q594" s="473"/>
      <c r="R594" s="1039"/>
      <c r="S594" s="308"/>
      <c r="T594" s="308"/>
      <c r="U594" s="308"/>
      <c r="V594" s="308"/>
      <c r="W594" s="308"/>
      <c r="X594" s="308"/>
      <c r="Y594" s="308"/>
      <c r="Z594" s="604"/>
      <c r="AA594" s="308"/>
      <c r="AB594" s="308"/>
      <c r="AC594" s="449"/>
      <c r="AD594" s="449"/>
      <c r="AE594" s="449"/>
      <c r="AF594" s="449"/>
      <c r="AG594" s="452"/>
      <c r="AH594" s="452"/>
      <c r="AI594" s="452"/>
      <c r="AJ594" s="452"/>
      <c r="AK594" s="452"/>
      <c r="AL594" s="104"/>
      <c r="AM594" s="32"/>
      <c r="AN594" s="32"/>
      <c r="AO594" s="32"/>
      <c r="AP594" s="32"/>
      <c r="AQ594" s="31"/>
      <c r="AR594" s="31"/>
      <c r="AS594" s="31"/>
      <c r="AT594" s="31"/>
      <c r="AU594" s="31"/>
      <c r="AV594" s="31"/>
      <c r="AW594" s="31"/>
      <c r="AX594" s="31"/>
      <c r="AY594" s="31"/>
      <c r="AZ594" s="31"/>
      <c r="BA594" s="31"/>
      <c r="BB594" s="31"/>
      <c r="BC594" s="31"/>
      <c r="BD594" s="31"/>
      <c r="BE594" s="31"/>
      <c r="BF594" s="31"/>
      <c r="BG594" s="31"/>
      <c r="BH594" s="31"/>
      <c r="BI594" s="31"/>
      <c r="BJ594" s="31"/>
      <c r="BK594" s="31"/>
      <c r="BL594" s="31"/>
      <c r="BM594" s="25"/>
      <c r="BN594" s="25"/>
      <c r="BO594" s="25"/>
      <c r="BP594" s="25"/>
      <c r="BQ594" s="25"/>
      <c r="BR594" s="25"/>
      <c r="BS594" s="25"/>
      <c r="BT594" s="25"/>
      <c r="BU594" s="25"/>
      <c r="BV594" s="25"/>
      <c r="BW594" s="25"/>
      <c r="BX594" s="25"/>
      <c r="BY594" s="25"/>
      <c r="BZ594" s="25"/>
      <c r="CA594" s="25"/>
      <c r="CB594" s="25"/>
      <c r="CC594" s="25"/>
      <c r="CD594" s="25"/>
      <c r="CE594" s="25"/>
      <c r="CF594" s="25"/>
      <c r="CG594" s="25"/>
      <c r="CH594" s="25"/>
      <c r="CI594" s="25"/>
      <c r="CJ594" s="25"/>
      <c r="CK594" s="25"/>
      <c r="CL594" s="25"/>
      <c r="CM594" s="25"/>
      <c r="CN594" s="25"/>
      <c r="CO594" s="25"/>
      <c r="CP594" s="25"/>
      <c r="CQ594" s="25"/>
      <c r="CR594" s="25"/>
      <c r="CS594" s="25"/>
      <c r="CT594" s="25"/>
      <c r="CU594" s="25"/>
      <c r="CV594" s="25"/>
      <c r="CW594" s="25"/>
      <c r="CX594" s="25"/>
      <c r="CY594" s="25"/>
      <c r="CZ594" s="25"/>
      <c r="DA594" s="25"/>
      <c r="DB594" s="25"/>
      <c r="DC594" s="25"/>
      <c r="DD594" s="25"/>
      <c r="DE594" s="25"/>
      <c r="DF594" s="25"/>
      <c r="DG594" s="25"/>
      <c r="DH594" s="25"/>
      <c r="DI594" s="25"/>
      <c r="DJ594" s="25"/>
      <c r="DK594" s="25"/>
      <c r="DL594" s="25"/>
      <c r="DM594" s="25"/>
      <c r="DN594" s="25"/>
      <c r="DO594" s="25"/>
      <c r="DP594" s="25"/>
      <c r="DQ594" s="25"/>
      <c r="DR594" s="25"/>
      <c r="DS594" s="25"/>
      <c r="DT594" s="25"/>
      <c r="DU594" s="25"/>
      <c r="DV594" s="25"/>
      <c r="DW594" s="25"/>
      <c r="DX594" s="25"/>
      <c r="DY594" s="25"/>
      <c r="DZ594" s="25"/>
      <c r="EA594" s="25"/>
      <c r="EB594" s="25"/>
      <c r="EC594" s="25"/>
      <c r="ED594" s="25"/>
      <c r="EE594" s="25"/>
      <c r="EF594" s="25"/>
      <c r="EG594" s="25"/>
      <c r="EH594" s="25"/>
      <c r="EI594" s="25"/>
      <c r="EJ594" s="25"/>
      <c r="EK594" s="25"/>
      <c r="EL594" s="25"/>
      <c r="EM594" s="25"/>
      <c r="EN594" s="25"/>
      <c r="EO594" s="25"/>
      <c r="EP594" s="25"/>
      <c r="EQ594" s="25"/>
      <c r="ER594" s="25"/>
      <c r="ES594" s="25"/>
      <c r="ET594" s="25"/>
      <c r="EU594" s="25"/>
      <c r="EV594" s="25"/>
      <c r="EW594" s="25"/>
      <c r="EX594" s="25"/>
      <c r="EY594" s="25"/>
      <c r="EZ594" s="25"/>
      <c r="FA594" s="25"/>
      <c r="FB594" s="25"/>
      <c r="FC594" s="25"/>
      <c r="FD594" s="25"/>
      <c r="FE594" s="25"/>
      <c r="FF594" s="25"/>
      <c r="FG594" s="25"/>
      <c r="FH594" s="25"/>
      <c r="FI594" s="25"/>
      <c r="FJ594" s="25"/>
      <c r="FK594" s="25"/>
      <c r="FL594" s="25"/>
      <c r="FM594" s="25"/>
      <c r="FN594" s="25"/>
      <c r="FO594" s="25"/>
      <c r="FP594" s="25"/>
      <c r="FQ594" s="25"/>
      <c r="FR594" s="25"/>
      <c r="FS594" s="25"/>
      <c r="FT594" s="25"/>
      <c r="FU594" s="25"/>
      <c r="FV594" s="25"/>
      <c r="FW594" s="25"/>
      <c r="FX594" s="25"/>
      <c r="FY594" s="25"/>
      <c r="FZ594" s="25"/>
      <c r="GA594" s="25"/>
      <c r="GB594" s="25"/>
      <c r="GC594" s="25"/>
      <c r="GD594" s="25"/>
      <c r="GE594" s="25"/>
      <c r="GF594" s="25"/>
      <c r="GG594" s="25"/>
      <c r="GH594" s="25"/>
      <c r="GI594" s="25"/>
      <c r="GJ594" s="25"/>
      <c r="GK594" s="25"/>
      <c r="GL594" s="25"/>
      <c r="GM594" s="25"/>
      <c r="GN594" s="25"/>
      <c r="GO594" s="25"/>
      <c r="GP594" s="25"/>
      <c r="GQ594" s="25"/>
      <c r="GR594" s="25"/>
      <c r="GS594" s="25"/>
      <c r="GT594" s="25"/>
      <c r="GU594" s="25"/>
      <c r="GV594" s="25"/>
      <c r="GW594" s="25"/>
      <c r="GX594" s="25"/>
      <c r="GY594" s="25"/>
      <c r="GZ594" s="25"/>
      <c r="HA594" s="25"/>
      <c r="HB594" s="25"/>
      <c r="HC594" s="25"/>
      <c r="HD594" s="25"/>
      <c r="HE594" s="25"/>
      <c r="HF594" s="25"/>
      <c r="HG594" s="25"/>
      <c r="HH594" s="25"/>
      <c r="HI594" s="25"/>
      <c r="HJ594" s="25"/>
      <c r="HK594" s="25"/>
      <c r="HL594" s="25"/>
      <c r="HM594" s="25"/>
      <c r="HN594" s="25"/>
      <c r="HO594" s="25"/>
      <c r="HP594" s="25"/>
      <c r="HQ594" s="25"/>
      <c r="HR594" s="25"/>
      <c r="HS594" s="25"/>
      <c r="HT594" s="25"/>
      <c r="HU594" s="25"/>
      <c r="HV594" s="25"/>
      <c r="HW594" s="25"/>
      <c r="HX594" s="25"/>
      <c r="HY594" s="25"/>
      <c r="HZ594" s="25"/>
      <c r="IA594" s="25"/>
      <c r="IB594" s="25"/>
      <c r="IC594" s="25"/>
      <c r="ID594" s="25"/>
      <c r="IE594" s="25"/>
      <c r="IF594" s="25"/>
      <c r="IG594" s="25"/>
      <c r="IH594" s="25"/>
      <c r="II594" s="25"/>
      <c r="IJ594" s="25"/>
      <c r="IK594" s="25"/>
      <c r="IL594" s="25"/>
      <c r="IM594" s="25"/>
      <c r="IN594" s="25"/>
      <c r="IO594" s="25"/>
      <c r="IP594" s="25"/>
      <c r="IQ594" s="25"/>
      <c r="IR594" s="25"/>
      <c r="IS594" s="25"/>
      <c r="IT594" s="25"/>
      <c r="IU594" s="25"/>
      <c r="IV594" s="25"/>
      <c r="IW594" s="25"/>
      <c r="IX594" s="25"/>
      <c r="IY594" s="25"/>
      <c r="IZ594" s="25"/>
      <c r="JA594" s="25"/>
      <c r="JB594" s="25"/>
      <c r="JC594" s="25"/>
      <c r="JD594" s="25"/>
      <c r="JE594" s="25"/>
      <c r="JF594" s="25"/>
      <c r="JG594" s="25"/>
      <c r="JH594" s="25"/>
      <c r="JI594" s="25"/>
      <c r="JJ594" s="25"/>
      <c r="JK594" s="25"/>
      <c r="JL594" s="25"/>
      <c r="JM594" s="25"/>
      <c r="JN594" s="25"/>
      <c r="JO594" s="25"/>
      <c r="JP594" s="25"/>
      <c r="JQ594" s="25"/>
      <c r="JR594" s="25"/>
      <c r="JS594" s="25"/>
      <c r="JT594" s="25"/>
      <c r="JU594" s="25"/>
      <c r="JV594" s="25"/>
      <c r="JW594" s="25"/>
      <c r="JX594" s="25"/>
      <c r="JY594" s="25"/>
      <c r="JZ594" s="25"/>
      <c r="KA594" s="25"/>
      <c r="KB594" s="25"/>
      <c r="KC594" s="25"/>
      <c r="KD594" s="25"/>
      <c r="KE594" s="25"/>
      <c r="KF594" s="25"/>
      <c r="KG594" s="25"/>
      <c r="KH594" s="25"/>
      <c r="KI594" s="25"/>
      <c r="KJ594" s="25"/>
      <c r="KK594" s="25"/>
      <c r="KL594" s="25"/>
      <c r="KM594" s="25"/>
      <c r="KN594" s="25"/>
      <c r="KO594" s="25"/>
      <c r="KP594" s="25"/>
      <c r="KQ594" s="25"/>
      <c r="KR594" s="25"/>
      <c r="KS594" s="25"/>
      <c r="KT594" s="25"/>
      <c r="KU594" s="25"/>
      <c r="KV594" s="25"/>
      <c r="KW594" s="25"/>
      <c r="KX594" s="25"/>
      <c r="KY594" s="25"/>
      <c r="KZ594" s="25"/>
      <c r="LA594" s="25"/>
      <c r="LB594" s="25"/>
      <c r="LC594" s="25"/>
      <c r="LD594" s="25"/>
      <c r="LE594" s="25"/>
      <c r="LF594" s="25"/>
      <c r="LG594" s="25"/>
      <c r="LH594" s="25"/>
      <c r="LI594" s="25"/>
      <c r="LJ594" s="25"/>
      <c r="LK594" s="25"/>
      <c r="LL594" s="25"/>
      <c r="LM594" s="25"/>
      <c r="LN594" s="25"/>
      <c r="LO594" s="25"/>
      <c r="LP594" s="25"/>
      <c r="LQ594" s="25"/>
      <c r="LR594" s="25"/>
      <c r="LS594" s="25"/>
      <c r="LT594" s="25"/>
      <c r="LU594" s="25"/>
      <c r="LV594" s="25"/>
      <c r="LW594" s="25"/>
      <c r="LX594" s="25"/>
      <c r="LY594" s="25"/>
      <c r="LZ594" s="25"/>
      <c r="MA594" s="25"/>
      <c r="MB594" s="25"/>
      <c r="MC594" s="25"/>
      <c r="MD594" s="25"/>
      <c r="ME594" s="25"/>
      <c r="MF594" s="25"/>
      <c r="MG594" s="25"/>
      <c r="MH594" s="25"/>
      <c r="MI594" s="25"/>
      <c r="MJ594" s="25"/>
      <c r="MK594" s="25"/>
      <c r="ML594" s="25"/>
      <c r="MM594" s="25"/>
      <c r="MN594" s="25"/>
      <c r="MO594" s="25"/>
      <c r="MP594" s="25"/>
      <c r="MQ594" s="25"/>
      <c r="MR594" s="25"/>
      <c r="MS594" s="25"/>
      <c r="MT594" s="25"/>
      <c r="MU594" s="25"/>
      <c r="MV594" s="25"/>
      <c r="MW594" s="25"/>
      <c r="MX594" s="25"/>
      <c r="MY594" s="25"/>
      <c r="MZ594" s="25"/>
      <c r="NA594" s="25"/>
      <c r="NB594" s="25"/>
      <c r="NC594" s="25"/>
      <c r="ND594" s="25"/>
      <c r="NE594" s="25"/>
      <c r="NF594" s="25"/>
      <c r="NG594" s="25"/>
      <c r="NH594" s="25"/>
      <c r="NI594" s="25"/>
      <c r="NJ594" s="25"/>
      <c r="NK594" s="25"/>
      <c r="NL594" s="25"/>
      <c r="NM594" s="25"/>
      <c r="NN594" s="25"/>
      <c r="NO594" s="25"/>
      <c r="NP594" s="25"/>
      <c r="NQ594" s="25"/>
      <c r="NR594" s="25"/>
      <c r="NS594" s="25"/>
      <c r="NT594" s="25"/>
      <c r="NU594" s="25"/>
      <c r="NV594" s="25"/>
      <c r="NW594" s="25"/>
      <c r="NX594" s="25"/>
      <c r="NY594" s="25"/>
      <c r="NZ594" s="25"/>
      <c r="OA594" s="25"/>
      <c r="OB594" s="25"/>
      <c r="OC594" s="25"/>
      <c r="OD594" s="25"/>
      <c r="OE594" s="25"/>
      <c r="OF594" s="25"/>
      <c r="OG594" s="25"/>
      <c r="OH594" s="25"/>
      <c r="OI594" s="25"/>
      <c r="OJ594" s="25"/>
      <c r="OK594" s="25"/>
      <c r="OL594" s="25"/>
      <c r="OM594" s="25"/>
      <c r="ON594" s="25"/>
      <c r="OO594" s="25"/>
      <c r="OP594" s="25"/>
      <c r="OQ594" s="25"/>
      <c r="OR594" s="25"/>
      <c r="OS594" s="25"/>
      <c r="OT594" s="25"/>
      <c r="OU594" s="25"/>
      <c r="OV594" s="25"/>
      <c r="OW594" s="25"/>
      <c r="OX594" s="25"/>
      <c r="OY594" s="25"/>
      <c r="OZ594" s="25"/>
      <c r="PA594" s="25"/>
      <c r="PB594" s="25"/>
      <c r="PC594" s="25"/>
      <c r="PD594" s="25"/>
      <c r="PE594" s="25"/>
      <c r="PF594" s="25"/>
      <c r="PG594" s="25"/>
      <c r="PH594" s="25"/>
      <c r="PI594" s="25"/>
      <c r="PJ594" s="25"/>
      <c r="PK594" s="25"/>
      <c r="PL594" s="25"/>
      <c r="PM594" s="25"/>
      <c r="PN594" s="25"/>
      <c r="PO594" s="25"/>
      <c r="PP594" s="25"/>
      <c r="PQ594" s="25"/>
      <c r="PR594" s="25"/>
      <c r="PS594" s="25"/>
      <c r="PT594" s="25"/>
      <c r="PU594" s="25"/>
      <c r="PV594" s="25"/>
      <c r="PW594" s="25"/>
      <c r="PX594" s="25"/>
      <c r="PY594" s="25"/>
      <c r="PZ594" s="25"/>
      <c r="QA594" s="25"/>
      <c r="QB594" s="25"/>
      <c r="QC594" s="25"/>
      <c r="QD594" s="25"/>
      <c r="QE594" s="25"/>
      <c r="QF594" s="25"/>
      <c r="QG594" s="25"/>
      <c r="QH594" s="25"/>
      <c r="QI594" s="25"/>
      <c r="QJ594" s="25"/>
      <c r="QK594" s="25"/>
      <c r="QL594" s="25"/>
      <c r="QM594" s="25"/>
      <c r="QN594" s="25"/>
      <c r="QO594" s="25"/>
      <c r="QP594" s="25"/>
      <c r="QQ594" s="25"/>
      <c r="QR594" s="25"/>
      <c r="QS594" s="25"/>
      <c r="QT594" s="25"/>
      <c r="QU594" s="25"/>
      <c r="QV594" s="25"/>
      <c r="QW594" s="25"/>
      <c r="QX594" s="25"/>
      <c r="QY594" s="25"/>
      <c r="QZ594" s="25"/>
      <c r="RA594" s="25"/>
      <c r="RB594" s="25"/>
      <c r="RC594" s="25"/>
      <c r="RD594" s="25"/>
      <c r="RE594" s="25"/>
      <c r="RF594" s="25"/>
      <c r="RG594" s="25"/>
      <c r="RH594" s="25"/>
      <c r="RI594" s="25"/>
      <c r="RJ594" s="25"/>
      <c r="RK594" s="25"/>
      <c r="RL594" s="25"/>
      <c r="RM594" s="25"/>
      <c r="RN594" s="25"/>
      <c r="RO594" s="25"/>
      <c r="RP594" s="25"/>
      <c r="RQ594" s="25"/>
      <c r="RR594" s="25"/>
      <c r="RS594" s="25"/>
      <c r="RT594" s="25"/>
      <c r="RU594" s="25"/>
      <c r="RV594" s="25"/>
      <c r="RW594" s="25"/>
      <c r="RX594" s="25"/>
      <c r="RY594" s="25"/>
      <c r="RZ594" s="25"/>
      <c r="SA594" s="25"/>
      <c r="SB594" s="25"/>
      <c r="SC594" s="25"/>
      <c r="SD594" s="25"/>
      <c r="SE594" s="25"/>
      <c r="SF594" s="25"/>
      <c r="SG594" s="25"/>
      <c r="SH594" s="25"/>
      <c r="SI594" s="25"/>
      <c r="SJ594" s="25"/>
      <c r="SK594" s="25"/>
      <c r="SL594" s="25"/>
      <c r="SM594" s="25"/>
      <c r="SN594" s="25"/>
      <c r="SO594" s="25"/>
      <c r="SP594" s="25"/>
      <c r="SQ594" s="25"/>
      <c r="SR594" s="25"/>
      <c r="SS594" s="25"/>
      <c r="ST594" s="25"/>
      <c r="SU594" s="25"/>
      <c r="SV594" s="25"/>
      <c r="SW594" s="25"/>
      <c r="SX594" s="25"/>
      <c r="SY594" s="25"/>
      <c r="SZ594" s="25"/>
      <c r="TA594" s="25"/>
      <c r="TB594" s="25"/>
      <c r="TC594" s="25"/>
      <c r="TD594" s="25"/>
      <c r="TE594" s="25"/>
      <c r="TF594" s="25"/>
      <c r="TG594" s="25"/>
      <c r="TH594" s="25"/>
      <c r="TI594" s="25"/>
      <c r="TJ594" s="25"/>
      <c r="TK594" s="25"/>
      <c r="TL594" s="25"/>
      <c r="TM594" s="25"/>
      <c r="TN594" s="25"/>
      <c r="TO594" s="25"/>
      <c r="TP594" s="25"/>
      <c r="TQ594" s="25"/>
      <c r="TR594" s="25"/>
      <c r="TS594" s="25"/>
      <c r="TT594" s="25"/>
      <c r="TU594" s="25"/>
      <c r="TV594" s="25"/>
      <c r="TW594" s="25"/>
      <c r="TX594" s="25"/>
      <c r="TY594" s="25"/>
      <c r="TZ594" s="25"/>
      <c r="UA594" s="25"/>
      <c r="UB594" s="25"/>
      <c r="UC594" s="25"/>
      <c r="UD594" s="25"/>
      <c r="UE594" s="25"/>
      <c r="UF594" s="25"/>
      <c r="UG594" s="26"/>
    </row>
    <row r="595" spans="1:553" ht="50.25" customHeight="1">
      <c r="A595" s="356" t="s">
        <v>30</v>
      </c>
      <c r="B595" s="385">
        <v>39</v>
      </c>
      <c r="C595" s="1404" t="s">
        <v>423</v>
      </c>
      <c r="D595" s="1389"/>
      <c r="E595" s="1389"/>
      <c r="F595" s="1390"/>
      <c r="G595" s="386" t="s">
        <v>33</v>
      </c>
      <c r="H595" s="370"/>
      <c r="I595" s="417">
        <f>1.2*0.46*8</f>
        <v>4.4160000000000004</v>
      </c>
      <c r="J595" s="368">
        <v>39000</v>
      </c>
      <c r="K595" s="371"/>
      <c r="L595" s="487">
        <f t="shared" si="101"/>
        <v>172224</v>
      </c>
      <c r="M595" s="395"/>
      <c r="N595" s="395"/>
      <c r="O595" s="366"/>
      <c r="P595" s="396"/>
      <c r="Q595" s="473"/>
      <c r="R595" s="1039"/>
      <c r="S595" s="308"/>
      <c r="T595" s="308"/>
      <c r="U595" s="308"/>
      <c r="V595" s="308"/>
      <c r="W595" s="308"/>
      <c r="X595" s="308"/>
      <c r="Y595" s="308"/>
      <c r="Z595" s="604"/>
      <c r="AA595" s="308"/>
      <c r="AB595" s="308"/>
      <c r="AC595" s="449"/>
      <c r="AD595" s="449"/>
      <c r="AE595" s="449"/>
      <c r="AF595" s="449"/>
      <c r="AG595" s="452"/>
      <c r="AH595" s="452"/>
      <c r="AI595" s="452"/>
      <c r="AJ595" s="452"/>
      <c r="AK595" s="452"/>
      <c r="AL595" s="104"/>
      <c r="AM595" s="32"/>
      <c r="AN595" s="32"/>
      <c r="AO595" s="32"/>
      <c r="AP595" s="32"/>
      <c r="AQ595" s="31"/>
      <c r="AR595" s="31"/>
      <c r="AS595" s="31"/>
      <c r="AT595" s="31"/>
      <c r="AU595" s="31"/>
      <c r="AV595" s="31"/>
      <c r="AW595" s="31"/>
      <c r="AX595" s="31"/>
      <c r="AY595" s="31"/>
      <c r="AZ595" s="31"/>
      <c r="BA595" s="31"/>
      <c r="BB595" s="31"/>
      <c r="BC595" s="31"/>
      <c r="BD595" s="31"/>
      <c r="BE595" s="31"/>
      <c r="BF595" s="31"/>
      <c r="BG595" s="31"/>
      <c r="BH595" s="31"/>
      <c r="BI595" s="31"/>
      <c r="BJ595" s="31"/>
      <c r="BK595" s="31"/>
      <c r="BL595" s="31"/>
      <c r="BM595" s="25"/>
      <c r="BN595" s="25"/>
      <c r="BO595" s="25"/>
      <c r="BP595" s="25"/>
      <c r="BQ595" s="25"/>
      <c r="BR595" s="25"/>
      <c r="BS595" s="25"/>
      <c r="BT595" s="25"/>
      <c r="BU595" s="25"/>
      <c r="BV595" s="25"/>
      <c r="BW595" s="25"/>
      <c r="BX595" s="25"/>
      <c r="BY595" s="25"/>
      <c r="BZ595" s="25"/>
      <c r="CA595" s="25"/>
      <c r="CB595" s="25"/>
      <c r="CC595" s="25"/>
      <c r="CD595" s="25"/>
      <c r="CE595" s="25"/>
      <c r="CF595" s="25"/>
      <c r="CG595" s="25"/>
      <c r="CH595" s="25"/>
      <c r="CI595" s="25"/>
      <c r="CJ595" s="25"/>
      <c r="CK595" s="25"/>
      <c r="CL595" s="25"/>
      <c r="CM595" s="25"/>
      <c r="CN595" s="25"/>
      <c r="CO595" s="25"/>
      <c r="CP595" s="25"/>
      <c r="CQ595" s="25"/>
      <c r="CR595" s="25"/>
      <c r="CS595" s="25"/>
      <c r="CT595" s="25"/>
      <c r="CU595" s="25"/>
      <c r="CV595" s="25"/>
      <c r="CW595" s="25"/>
      <c r="CX595" s="25"/>
      <c r="CY595" s="25"/>
      <c r="CZ595" s="25"/>
      <c r="DA595" s="25"/>
      <c r="DB595" s="25"/>
      <c r="DC595" s="25"/>
      <c r="DD595" s="25"/>
      <c r="DE595" s="25"/>
      <c r="DF595" s="25"/>
      <c r="DG595" s="25"/>
      <c r="DH595" s="25"/>
      <c r="DI595" s="25"/>
      <c r="DJ595" s="25"/>
      <c r="DK595" s="25"/>
      <c r="DL595" s="25"/>
      <c r="DM595" s="25"/>
      <c r="DN595" s="25"/>
      <c r="DO595" s="25"/>
      <c r="DP595" s="25"/>
      <c r="DQ595" s="25"/>
      <c r="DR595" s="25"/>
      <c r="DS595" s="25"/>
      <c r="DT595" s="25"/>
      <c r="DU595" s="25"/>
      <c r="DV595" s="25"/>
      <c r="DW595" s="25"/>
      <c r="DX595" s="25"/>
      <c r="DY595" s="25"/>
      <c r="DZ595" s="25"/>
      <c r="EA595" s="25"/>
      <c r="EB595" s="25"/>
      <c r="EC595" s="25"/>
      <c r="ED595" s="25"/>
      <c r="EE595" s="25"/>
      <c r="EF595" s="25"/>
      <c r="EG595" s="25"/>
      <c r="EH595" s="25"/>
      <c r="EI595" s="25"/>
      <c r="EJ595" s="25"/>
      <c r="EK595" s="25"/>
      <c r="EL595" s="25"/>
      <c r="EM595" s="25"/>
      <c r="EN595" s="25"/>
      <c r="EO595" s="25"/>
      <c r="EP595" s="25"/>
      <c r="EQ595" s="25"/>
      <c r="ER595" s="25"/>
      <c r="ES595" s="25"/>
      <c r="ET595" s="25"/>
      <c r="EU595" s="25"/>
      <c r="EV595" s="25"/>
      <c r="EW595" s="25"/>
      <c r="EX595" s="25"/>
      <c r="EY595" s="25"/>
      <c r="EZ595" s="25"/>
      <c r="FA595" s="25"/>
      <c r="FB595" s="25"/>
      <c r="FC595" s="25"/>
      <c r="FD595" s="25"/>
      <c r="FE595" s="25"/>
      <c r="FF595" s="25"/>
      <c r="FG595" s="25"/>
      <c r="FH595" s="25"/>
      <c r="FI595" s="25"/>
      <c r="FJ595" s="25"/>
      <c r="FK595" s="25"/>
      <c r="FL595" s="25"/>
      <c r="FM595" s="25"/>
      <c r="FN595" s="25"/>
      <c r="FO595" s="25"/>
      <c r="FP595" s="25"/>
      <c r="FQ595" s="25"/>
      <c r="FR595" s="25"/>
      <c r="FS595" s="25"/>
      <c r="FT595" s="25"/>
      <c r="FU595" s="25"/>
      <c r="FV595" s="25"/>
      <c r="FW595" s="25"/>
      <c r="FX595" s="25"/>
      <c r="FY595" s="25"/>
      <c r="FZ595" s="25"/>
      <c r="GA595" s="25"/>
      <c r="GB595" s="25"/>
      <c r="GC595" s="25"/>
      <c r="GD595" s="25"/>
      <c r="GE595" s="25"/>
      <c r="GF595" s="25"/>
      <c r="GG595" s="25"/>
      <c r="GH595" s="25"/>
      <c r="GI595" s="25"/>
      <c r="GJ595" s="25"/>
      <c r="GK595" s="25"/>
      <c r="GL595" s="25"/>
      <c r="GM595" s="25"/>
      <c r="GN595" s="25"/>
      <c r="GO595" s="25"/>
      <c r="GP595" s="25"/>
      <c r="GQ595" s="25"/>
      <c r="GR595" s="25"/>
      <c r="GS595" s="25"/>
      <c r="GT595" s="25"/>
      <c r="GU595" s="25"/>
      <c r="GV595" s="25"/>
      <c r="GW595" s="25"/>
      <c r="GX595" s="25"/>
      <c r="GY595" s="25"/>
      <c r="GZ595" s="25"/>
      <c r="HA595" s="25"/>
      <c r="HB595" s="25"/>
      <c r="HC595" s="25"/>
      <c r="HD595" s="25"/>
      <c r="HE595" s="25"/>
      <c r="HF595" s="25"/>
      <c r="HG595" s="25"/>
      <c r="HH595" s="25"/>
      <c r="HI595" s="25"/>
      <c r="HJ595" s="25"/>
      <c r="HK595" s="25"/>
      <c r="HL595" s="25"/>
      <c r="HM595" s="25"/>
      <c r="HN595" s="25"/>
      <c r="HO595" s="25"/>
      <c r="HP595" s="25"/>
      <c r="HQ595" s="25"/>
      <c r="HR595" s="25"/>
      <c r="HS595" s="25"/>
      <c r="HT595" s="25"/>
      <c r="HU595" s="25"/>
      <c r="HV595" s="25"/>
      <c r="HW595" s="25"/>
      <c r="HX595" s="25"/>
      <c r="HY595" s="25"/>
      <c r="HZ595" s="25"/>
      <c r="IA595" s="25"/>
      <c r="IB595" s="25"/>
      <c r="IC595" s="25"/>
      <c r="ID595" s="25"/>
      <c r="IE595" s="25"/>
      <c r="IF595" s="25"/>
      <c r="IG595" s="25"/>
      <c r="IH595" s="25"/>
      <c r="II595" s="25"/>
      <c r="IJ595" s="25"/>
      <c r="IK595" s="25"/>
      <c r="IL595" s="25"/>
      <c r="IM595" s="25"/>
      <c r="IN595" s="25"/>
      <c r="IO595" s="25"/>
      <c r="IP595" s="25"/>
      <c r="IQ595" s="25"/>
      <c r="IR595" s="25"/>
      <c r="IS595" s="25"/>
      <c r="IT595" s="25"/>
      <c r="IU595" s="25"/>
      <c r="IV595" s="25"/>
      <c r="IW595" s="25"/>
      <c r="IX595" s="25"/>
      <c r="IY595" s="25"/>
      <c r="IZ595" s="25"/>
      <c r="JA595" s="25"/>
      <c r="JB595" s="25"/>
      <c r="JC595" s="25"/>
      <c r="JD595" s="25"/>
      <c r="JE595" s="25"/>
      <c r="JF595" s="25"/>
      <c r="JG595" s="25"/>
      <c r="JH595" s="25"/>
      <c r="JI595" s="25"/>
      <c r="JJ595" s="25"/>
      <c r="JK595" s="25"/>
      <c r="JL595" s="25"/>
      <c r="JM595" s="25"/>
      <c r="JN595" s="25"/>
      <c r="JO595" s="25"/>
      <c r="JP595" s="25"/>
      <c r="JQ595" s="25"/>
      <c r="JR595" s="25"/>
      <c r="JS595" s="25"/>
      <c r="JT595" s="25"/>
      <c r="JU595" s="25"/>
      <c r="JV595" s="25"/>
      <c r="JW595" s="25"/>
      <c r="JX595" s="25"/>
      <c r="JY595" s="25"/>
      <c r="JZ595" s="25"/>
      <c r="KA595" s="25"/>
      <c r="KB595" s="25"/>
      <c r="KC595" s="25"/>
      <c r="KD595" s="25"/>
      <c r="KE595" s="25"/>
      <c r="KF595" s="25"/>
      <c r="KG595" s="25"/>
      <c r="KH595" s="25"/>
      <c r="KI595" s="25"/>
      <c r="KJ595" s="25"/>
      <c r="KK595" s="25"/>
      <c r="KL595" s="25"/>
      <c r="KM595" s="25"/>
      <c r="KN595" s="25"/>
      <c r="KO595" s="25"/>
      <c r="KP595" s="25"/>
      <c r="KQ595" s="25"/>
      <c r="KR595" s="25"/>
      <c r="KS595" s="25"/>
      <c r="KT595" s="25"/>
      <c r="KU595" s="25"/>
      <c r="KV595" s="25"/>
      <c r="KW595" s="25"/>
      <c r="KX595" s="25"/>
      <c r="KY595" s="25"/>
      <c r="KZ595" s="25"/>
      <c r="LA595" s="25"/>
      <c r="LB595" s="25"/>
      <c r="LC595" s="25"/>
      <c r="LD595" s="25"/>
      <c r="LE595" s="25"/>
      <c r="LF595" s="25"/>
      <c r="LG595" s="25"/>
      <c r="LH595" s="25"/>
      <c r="LI595" s="25"/>
      <c r="LJ595" s="25"/>
      <c r="LK595" s="25"/>
      <c r="LL595" s="25"/>
      <c r="LM595" s="25"/>
      <c r="LN595" s="25"/>
      <c r="LO595" s="25"/>
      <c r="LP595" s="25"/>
      <c r="LQ595" s="25"/>
      <c r="LR595" s="25"/>
      <c r="LS595" s="25"/>
      <c r="LT595" s="25"/>
      <c r="LU595" s="25"/>
      <c r="LV595" s="25"/>
      <c r="LW595" s="25"/>
      <c r="LX595" s="25"/>
      <c r="LY595" s="25"/>
      <c r="LZ595" s="25"/>
      <c r="MA595" s="25"/>
      <c r="MB595" s="25"/>
      <c r="MC595" s="25"/>
      <c r="MD595" s="25"/>
      <c r="ME595" s="25"/>
      <c r="MF595" s="25"/>
      <c r="MG595" s="25"/>
      <c r="MH595" s="25"/>
      <c r="MI595" s="25"/>
      <c r="MJ595" s="25"/>
      <c r="MK595" s="25"/>
      <c r="ML595" s="25"/>
      <c r="MM595" s="25"/>
      <c r="MN595" s="25"/>
      <c r="MO595" s="25"/>
      <c r="MP595" s="25"/>
      <c r="MQ595" s="25"/>
      <c r="MR595" s="25"/>
      <c r="MS595" s="25"/>
      <c r="MT595" s="25"/>
      <c r="MU595" s="25"/>
      <c r="MV595" s="25"/>
      <c r="MW595" s="25"/>
      <c r="MX595" s="25"/>
      <c r="MY595" s="25"/>
      <c r="MZ595" s="25"/>
      <c r="NA595" s="25"/>
      <c r="NB595" s="25"/>
      <c r="NC595" s="25"/>
      <c r="ND595" s="25"/>
      <c r="NE595" s="25"/>
      <c r="NF595" s="25"/>
      <c r="NG595" s="25"/>
      <c r="NH595" s="25"/>
      <c r="NI595" s="25"/>
      <c r="NJ595" s="25"/>
      <c r="NK595" s="25"/>
      <c r="NL595" s="25"/>
      <c r="NM595" s="25"/>
      <c r="NN595" s="25"/>
      <c r="NO595" s="25"/>
      <c r="NP595" s="25"/>
      <c r="NQ595" s="25"/>
      <c r="NR595" s="25"/>
      <c r="NS595" s="25"/>
      <c r="NT595" s="25"/>
      <c r="NU595" s="25"/>
      <c r="NV595" s="25"/>
      <c r="NW595" s="25"/>
      <c r="NX595" s="25"/>
      <c r="NY595" s="25"/>
      <c r="NZ595" s="25"/>
      <c r="OA595" s="25"/>
      <c r="OB595" s="25"/>
      <c r="OC595" s="25"/>
      <c r="OD595" s="25"/>
      <c r="OE595" s="25"/>
      <c r="OF595" s="25"/>
      <c r="OG595" s="25"/>
      <c r="OH595" s="25"/>
      <c r="OI595" s="25"/>
      <c r="OJ595" s="25"/>
      <c r="OK595" s="25"/>
      <c r="OL595" s="25"/>
      <c r="OM595" s="25"/>
      <c r="ON595" s="25"/>
      <c r="OO595" s="25"/>
      <c r="OP595" s="25"/>
      <c r="OQ595" s="25"/>
      <c r="OR595" s="25"/>
      <c r="OS595" s="25"/>
      <c r="OT595" s="25"/>
      <c r="OU595" s="25"/>
      <c r="OV595" s="25"/>
      <c r="OW595" s="25"/>
      <c r="OX595" s="25"/>
      <c r="OY595" s="25"/>
      <c r="OZ595" s="25"/>
      <c r="PA595" s="25"/>
      <c r="PB595" s="25"/>
      <c r="PC595" s="25"/>
      <c r="PD595" s="25"/>
      <c r="PE595" s="25"/>
      <c r="PF595" s="25"/>
      <c r="PG595" s="25"/>
      <c r="PH595" s="25"/>
      <c r="PI595" s="25"/>
      <c r="PJ595" s="25"/>
      <c r="PK595" s="25"/>
      <c r="PL595" s="25"/>
      <c r="PM595" s="25"/>
      <c r="PN595" s="25"/>
      <c r="PO595" s="25"/>
      <c r="PP595" s="25"/>
      <c r="PQ595" s="25"/>
      <c r="PR595" s="25"/>
      <c r="PS595" s="25"/>
      <c r="PT595" s="25"/>
      <c r="PU595" s="25"/>
      <c r="PV595" s="25"/>
      <c r="PW595" s="25"/>
      <c r="PX595" s="25"/>
      <c r="PY595" s="25"/>
      <c r="PZ595" s="25"/>
      <c r="QA595" s="25"/>
      <c r="QB595" s="25"/>
      <c r="QC595" s="25"/>
      <c r="QD595" s="25"/>
      <c r="QE595" s="25"/>
      <c r="QF595" s="25"/>
      <c r="QG595" s="25"/>
      <c r="QH595" s="25"/>
      <c r="QI595" s="25"/>
      <c r="QJ595" s="25"/>
      <c r="QK595" s="25"/>
      <c r="QL595" s="25"/>
      <c r="QM595" s="25"/>
      <c r="QN595" s="25"/>
      <c r="QO595" s="25"/>
      <c r="QP595" s="25"/>
      <c r="QQ595" s="25"/>
      <c r="QR595" s="25"/>
      <c r="QS595" s="25"/>
      <c r="QT595" s="25"/>
      <c r="QU595" s="25"/>
      <c r="QV595" s="25"/>
      <c r="QW595" s="25"/>
      <c r="QX595" s="25"/>
      <c r="QY595" s="25"/>
      <c r="QZ595" s="25"/>
      <c r="RA595" s="25"/>
      <c r="RB595" s="25"/>
      <c r="RC595" s="25"/>
      <c r="RD595" s="25"/>
      <c r="RE595" s="25"/>
      <c r="RF595" s="25"/>
      <c r="RG595" s="25"/>
      <c r="RH595" s="25"/>
      <c r="RI595" s="25"/>
      <c r="RJ595" s="25"/>
      <c r="RK595" s="25"/>
      <c r="RL595" s="25"/>
      <c r="RM595" s="25"/>
      <c r="RN595" s="25"/>
      <c r="RO595" s="25"/>
      <c r="RP595" s="25"/>
      <c r="RQ595" s="25"/>
      <c r="RR595" s="25"/>
      <c r="RS595" s="25"/>
      <c r="RT595" s="25"/>
      <c r="RU595" s="25"/>
      <c r="RV595" s="25"/>
      <c r="RW595" s="25"/>
      <c r="RX595" s="25"/>
      <c r="RY595" s="25"/>
      <c r="RZ595" s="25"/>
      <c r="SA595" s="25"/>
      <c r="SB595" s="25"/>
      <c r="SC595" s="25"/>
      <c r="SD595" s="25"/>
      <c r="SE595" s="25"/>
      <c r="SF595" s="25"/>
      <c r="SG595" s="25"/>
      <c r="SH595" s="25"/>
      <c r="SI595" s="25"/>
      <c r="SJ595" s="25"/>
      <c r="SK595" s="25"/>
      <c r="SL595" s="25"/>
      <c r="SM595" s="25"/>
      <c r="SN595" s="25"/>
      <c r="SO595" s="25"/>
      <c r="SP595" s="25"/>
      <c r="SQ595" s="25"/>
      <c r="SR595" s="25"/>
      <c r="SS595" s="25"/>
      <c r="ST595" s="25"/>
      <c r="SU595" s="25"/>
      <c r="SV595" s="25"/>
      <c r="SW595" s="25"/>
      <c r="SX595" s="25"/>
      <c r="SY595" s="25"/>
      <c r="SZ595" s="25"/>
      <c r="TA595" s="25"/>
      <c r="TB595" s="25"/>
      <c r="TC595" s="25"/>
      <c r="TD595" s="25"/>
      <c r="TE595" s="25"/>
      <c r="TF595" s="25"/>
      <c r="TG595" s="25"/>
      <c r="TH595" s="25"/>
      <c r="TI595" s="25"/>
      <c r="TJ595" s="25"/>
      <c r="TK595" s="25"/>
      <c r="TL595" s="25"/>
      <c r="TM595" s="25"/>
      <c r="TN595" s="25"/>
      <c r="TO595" s="25"/>
      <c r="TP595" s="25"/>
      <c r="TQ595" s="25"/>
      <c r="TR595" s="25"/>
      <c r="TS595" s="25"/>
      <c r="TT595" s="25"/>
      <c r="TU595" s="25"/>
      <c r="TV595" s="25"/>
      <c r="TW595" s="25"/>
      <c r="TX595" s="25"/>
      <c r="TY595" s="25"/>
      <c r="TZ595" s="25"/>
      <c r="UA595" s="25"/>
      <c r="UB595" s="25"/>
      <c r="UC595" s="25"/>
      <c r="UD595" s="25"/>
      <c r="UE595" s="25"/>
      <c r="UF595" s="25"/>
      <c r="UG595" s="26"/>
    </row>
    <row r="596" spans="1:553" ht="50.25" customHeight="1">
      <c r="A596" s="356" t="s">
        <v>30</v>
      </c>
      <c r="B596" s="385">
        <v>39</v>
      </c>
      <c r="C596" s="1404" t="s">
        <v>424</v>
      </c>
      <c r="D596" s="1389"/>
      <c r="E596" s="1389"/>
      <c r="F596" s="1390"/>
      <c r="G596" s="386" t="s">
        <v>33</v>
      </c>
      <c r="H596" s="370"/>
      <c r="I596" s="417">
        <f>3.04*1*2</f>
        <v>6.08</v>
      </c>
      <c r="J596" s="368">
        <v>39000</v>
      </c>
      <c r="K596" s="371"/>
      <c r="L596" s="487">
        <f t="shared" si="101"/>
        <v>237120</v>
      </c>
      <c r="M596" s="395"/>
      <c r="N596" s="395"/>
      <c r="O596" s="366"/>
      <c r="P596" s="396"/>
      <c r="Q596" s="473"/>
      <c r="R596" s="1039"/>
      <c r="S596" s="308"/>
      <c r="T596" s="308"/>
      <c r="U596" s="308"/>
      <c r="V596" s="308"/>
      <c r="W596" s="308"/>
      <c r="X596" s="308"/>
      <c r="Y596" s="308"/>
      <c r="Z596" s="604"/>
      <c r="AA596" s="308"/>
      <c r="AB596" s="308"/>
      <c r="AC596" s="449"/>
      <c r="AD596" s="449"/>
      <c r="AE596" s="449"/>
      <c r="AF596" s="449"/>
      <c r="AG596" s="452"/>
      <c r="AH596" s="452"/>
      <c r="AI596" s="452"/>
      <c r="AJ596" s="452"/>
      <c r="AK596" s="452"/>
      <c r="AL596" s="104"/>
      <c r="AM596" s="32"/>
      <c r="AN596" s="32"/>
      <c r="AO596" s="32"/>
      <c r="AP596" s="32"/>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25"/>
      <c r="BN596" s="25"/>
      <c r="BO596" s="25"/>
      <c r="BP596" s="25"/>
      <c r="BQ596" s="25"/>
      <c r="BR596" s="25"/>
      <c r="BS596" s="25"/>
      <c r="BT596" s="25"/>
      <c r="BU596" s="25"/>
      <c r="BV596" s="25"/>
      <c r="BW596" s="25"/>
      <c r="BX596" s="25"/>
      <c r="BY596" s="25"/>
      <c r="BZ596" s="25"/>
      <c r="CA596" s="25"/>
      <c r="CB596" s="25"/>
      <c r="CC596" s="25"/>
      <c r="CD596" s="25"/>
      <c r="CE596" s="25"/>
      <c r="CF596" s="25"/>
      <c r="CG596" s="25"/>
      <c r="CH596" s="25"/>
      <c r="CI596" s="25"/>
      <c r="CJ596" s="25"/>
      <c r="CK596" s="25"/>
      <c r="CL596" s="25"/>
      <c r="CM596" s="25"/>
      <c r="CN596" s="25"/>
      <c r="CO596" s="25"/>
      <c r="CP596" s="25"/>
      <c r="CQ596" s="25"/>
      <c r="CR596" s="25"/>
      <c r="CS596" s="25"/>
      <c r="CT596" s="25"/>
      <c r="CU596" s="25"/>
      <c r="CV596" s="25"/>
      <c r="CW596" s="25"/>
      <c r="CX596" s="25"/>
      <c r="CY596" s="25"/>
      <c r="CZ596" s="25"/>
      <c r="DA596" s="25"/>
      <c r="DB596" s="25"/>
      <c r="DC596" s="25"/>
      <c r="DD596" s="25"/>
      <c r="DE596" s="25"/>
      <c r="DF596" s="25"/>
      <c r="DG596" s="25"/>
      <c r="DH596" s="25"/>
      <c r="DI596" s="25"/>
      <c r="DJ596" s="25"/>
      <c r="DK596" s="25"/>
      <c r="DL596" s="25"/>
      <c r="DM596" s="25"/>
      <c r="DN596" s="25"/>
      <c r="DO596" s="25"/>
      <c r="DP596" s="25"/>
      <c r="DQ596" s="25"/>
      <c r="DR596" s="25"/>
      <c r="DS596" s="25"/>
      <c r="DT596" s="25"/>
      <c r="DU596" s="25"/>
      <c r="DV596" s="25"/>
      <c r="DW596" s="25"/>
      <c r="DX596" s="25"/>
      <c r="DY596" s="25"/>
      <c r="DZ596" s="25"/>
      <c r="EA596" s="25"/>
      <c r="EB596" s="25"/>
      <c r="EC596" s="25"/>
      <c r="ED596" s="25"/>
      <c r="EE596" s="25"/>
      <c r="EF596" s="25"/>
      <c r="EG596" s="25"/>
      <c r="EH596" s="25"/>
      <c r="EI596" s="25"/>
      <c r="EJ596" s="25"/>
      <c r="EK596" s="25"/>
      <c r="EL596" s="25"/>
      <c r="EM596" s="25"/>
      <c r="EN596" s="25"/>
      <c r="EO596" s="25"/>
      <c r="EP596" s="25"/>
      <c r="EQ596" s="25"/>
      <c r="ER596" s="25"/>
      <c r="ES596" s="25"/>
      <c r="ET596" s="25"/>
      <c r="EU596" s="25"/>
      <c r="EV596" s="25"/>
      <c r="EW596" s="25"/>
      <c r="EX596" s="25"/>
      <c r="EY596" s="25"/>
      <c r="EZ596" s="25"/>
      <c r="FA596" s="25"/>
      <c r="FB596" s="25"/>
      <c r="FC596" s="25"/>
      <c r="FD596" s="25"/>
      <c r="FE596" s="25"/>
      <c r="FF596" s="25"/>
      <c r="FG596" s="25"/>
      <c r="FH596" s="25"/>
      <c r="FI596" s="25"/>
      <c r="FJ596" s="25"/>
      <c r="FK596" s="25"/>
      <c r="FL596" s="25"/>
      <c r="FM596" s="25"/>
      <c r="FN596" s="25"/>
      <c r="FO596" s="25"/>
      <c r="FP596" s="25"/>
      <c r="FQ596" s="25"/>
      <c r="FR596" s="25"/>
      <c r="FS596" s="25"/>
      <c r="FT596" s="25"/>
      <c r="FU596" s="25"/>
      <c r="FV596" s="25"/>
      <c r="FW596" s="25"/>
      <c r="FX596" s="25"/>
      <c r="FY596" s="25"/>
      <c r="FZ596" s="25"/>
      <c r="GA596" s="25"/>
      <c r="GB596" s="25"/>
      <c r="GC596" s="25"/>
      <c r="GD596" s="25"/>
      <c r="GE596" s="25"/>
      <c r="GF596" s="25"/>
      <c r="GG596" s="25"/>
      <c r="GH596" s="25"/>
      <c r="GI596" s="25"/>
      <c r="GJ596" s="25"/>
      <c r="GK596" s="25"/>
      <c r="GL596" s="25"/>
      <c r="GM596" s="25"/>
      <c r="GN596" s="25"/>
      <c r="GO596" s="25"/>
      <c r="GP596" s="25"/>
      <c r="GQ596" s="25"/>
      <c r="GR596" s="25"/>
      <c r="GS596" s="25"/>
      <c r="GT596" s="25"/>
      <c r="GU596" s="25"/>
      <c r="GV596" s="25"/>
      <c r="GW596" s="25"/>
      <c r="GX596" s="25"/>
      <c r="GY596" s="25"/>
      <c r="GZ596" s="25"/>
      <c r="HA596" s="25"/>
      <c r="HB596" s="25"/>
      <c r="HC596" s="25"/>
      <c r="HD596" s="25"/>
      <c r="HE596" s="25"/>
      <c r="HF596" s="25"/>
      <c r="HG596" s="25"/>
      <c r="HH596" s="25"/>
      <c r="HI596" s="25"/>
      <c r="HJ596" s="25"/>
      <c r="HK596" s="25"/>
      <c r="HL596" s="25"/>
      <c r="HM596" s="25"/>
      <c r="HN596" s="25"/>
      <c r="HO596" s="25"/>
      <c r="HP596" s="25"/>
      <c r="HQ596" s="25"/>
      <c r="HR596" s="25"/>
      <c r="HS596" s="25"/>
      <c r="HT596" s="25"/>
      <c r="HU596" s="25"/>
      <c r="HV596" s="25"/>
      <c r="HW596" s="25"/>
      <c r="HX596" s="25"/>
      <c r="HY596" s="25"/>
      <c r="HZ596" s="25"/>
      <c r="IA596" s="25"/>
      <c r="IB596" s="25"/>
      <c r="IC596" s="25"/>
      <c r="ID596" s="25"/>
      <c r="IE596" s="25"/>
      <c r="IF596" s="25"/>
      <c r="IG596" s="25"/>
      <c r="IH596" s="25"/>
      <c r="II596" s="25"/>
      <c r="IJ596" s="25"/>
      <c r="IK596" s="25"/>
      <c r="IL596" s="25"/>
      <c r="IM596" s="25"/>
      <c r="IN596" s="25"/>
      <c r="IO596" s="25"/>
      <c r="IP596" s="25"/>
      <c r="IQ596" s="25"/>
      <c r="IR596" s="25"/>
      <c r="IS596" s="25"/>
      <c r="IT596" s="25"/>
      <c r="IU596" s="25"/>
      <c r="IV596" s="25"/>
      <c r="IW596" s="25"/>
      <c r="IX596" s="25"/>
      <c r="IY596" s="25"/>
      <c r="IZ596" s="25"/>
      <c r="JA596" s="25"/>
      <c r="JB596" s="25"/>
      <c r="JC596" s="25"/>
      <c r="JD596" s="25"/>
      <c r="JE596" s="25"/>
      <c r="JF596" s="25"/>
      <c r="JG596" s="25"/>
      <c r="JH596" s="25"/>
      <c r="JI596" s="25"/>
      <c r="JJ596" s="25"/>
      <c r="JK596" s="25"/>
      <c r="JL596" s="25"/>
      <c r="JM596" s="25"/>
      <c r="JN596" s="25"/>
      <c r="JO596" s="25"/>
      <c r="JP596" s="25"/>
      <c r="JQ596" s="25"/>
      <c r="JR596" s="25"/>
      <c r="JS596" s="25"/>
      <c r="JT596" s="25"/>
      <c r="JU596" s="25"/>
      <c r="JV596" s="25"/>
      <c r="JW596" s="25"/>
      <c r="JX596" s="25"/>
      <c r="JY596" s="25"/>
      <c r="JZ596" s="25"/>
      <c r="KA596" s="25"/>
      <c r="KB596" s="25"/>
      <c r="KC596" s="25"/>
      <c r="KD596" s="25"/>
      <c r="KE596" s="25"/>
      <c r="KF596" s="25"/>
      <c r="KG596" s="25"/>
      <c r="KH596" s="25"/>
      <c r="KI596" s="25"/>
      <c r="KJ596" s="25"/>
      <c r="KK596" s="25"/>
      <c r="KL596" s="25"/>
      <c r="KM596" s="25"/>
      <c r="KN596" s="25"/>
      <c r="KO596" s="25"/>
      <c r="KP596" s="25"/>
      <c r="KQ596" s="25"/>
      <c r="KR596" s="25"/>
      <c r="KS596" s="25"/>
      <c r="KT596" s="25"/>
      <c r="KU596" s="25"/>
      <c r="KV596" s="25"/>
      <c r="KW596" s="25"/>
      <c r="KX596" s="25"/>
      <c r="KY596" s="25"/>
      <c r="KZ596" s="25"/>
      <c r="LA596" s="25"/>
      <c r="LB596" s="25"/>
      <c r="LC596" s="25"/>
      <c r="LD596" s="25"/>
      <c r="LE596" s="25"/>
      <c r="LF596" s="25"/>
      <c r="LG596" s="25"/>
      <c r="LH596" s="25"/>
      <c r="LI596" s="25"/>
      <c r="LJ596" s="25"/>
      <c r="LK596" s="25"/>
      <c r="LL596" s="25"/>
      <c r="LM596" s="25"/>
      <c r="LN596" s="25"/>
      <c r="LO596" s="25"/>
      <c r="LP596" s="25"/>
      <c r="LQ596" s="25"/>
      <c r="LR596" s="25"/>
      <c r="LS596" s="25"/>
      <c r="LT596" s="25"/>
      <c r="LU596" s="25"/>
      <c r="LV596" s="25"/>
      <c r="LW596" s="25"/>
      <c r="LX596" s="25"/>
      <c r="LY596" s="25"/>
      <c r="LZ596" s="25"/>
      <c r="MA596" s="25"/>
      <c r="MB596" s="25"/>
      <c r="MC596" s="25"/>
      <c r="MD596" s="25"/>
      <c r="ME596" s="25"/>
      <c r="MF596" s="25"/>
      <c r="MG596" s="25"/>
      <c r="MH596" s="25"/>
      <c r="MI596" s="25"/>
      <c r="MJ596" s="25"/>
      <c r="MK596" s="25"/>
      <c r="ML596" s="25"/>
      <c r="MM596" s="25"/>
      <c r="MN596" s="25"/>
      <c r="MO596" s="25"/>
      <c r="MP596" s="25"/>
      <c r="MQ596" s="25"/>
      <c r="MR596" s="25"/>
      <c r="MS596" s="25"/>
      <c r="MT596" s="25"/>
      <c r="MU596" s="25"/>
      <c r="MV596" s="25"/>
      <c r="MW596" s="25"/>
      <c r="MX596" s="25"/>
      <c r="MY596" s="25"/>
      <c r="MZ596" s="25"/>
      <c r="NA596" s="25"/>
      <c r="NB596" s="25"/>
      <c r="NC596" s="25"/>
      <c r="ND596" s="25"/>
      <c r="NE596" s="25"/>
      <c r="NF596" s="25"/>
      <c r="NG596" s="25"/>
      <c r="NH596" s="25"/>
      <c r="NI596" s="25"/>
      <c r="NJ596" s="25"/>
      <c r="NK596" s="25"/>
      <c r="NL596" s="25"/>
      <c r="NM596" s="25"/>
      <c r="NN596" s="25"/>
      <c r="NO596" s="25"/>
      <c r="NP596" s="25"/>
      <c r="NQ596" s="25"/>
      <c r="NR596" s="25"/>
      <c r="NS596" s="25"/>
      <c r="NT596" s="25"/>
      <c r="NU596" s="25"/>
      <c r="NV596" s="25"/>
      <c r="NW596" s="25"/>
      <c r="NX596" s="25"/>
      <c r="NY596" s="25"/>
      <c r="NZ596" s="25"/>
      <c r="OA596" s="25"/>
      <c r="OB596" s="25"/>
      <c r="OC596" s="25"/>
      <c r="OD596" s="25"/>
      <c r="OE596" s="25"/>
      <c r="OF596" s="25"/>
      <c r="OG596" s="25"/>
      <c r="OH596" s="25"/>
      <c r="OI596" s="25"/>
      <c r="OJ596" s="25"/>
      <c r="OK596" s="25"/>
      <c r="OL596" s="25"/>
      <c r="OM596" s="25"/>
      <c r="ON596" s="25"/>
      <c r="OO596" s="25"/>
      <c r="OP596" s="25"/>
      <c r="OQ596" s="25"/>
      <c r="OR596" s="25"/>
      <c r="OS596" s="25"/>
      <c r="OT596" s="25"/>
      <c r="OU596" s="25"/>
      <c r="OV596" s="25"/>
      <c r="OW596" s="25"/>
      <c r="OX596" s="25"/>
      <c r="OY596" s="25"/>
      <c r="OZ596" s="25"/>
      <c r="PA596" s="25"/>
      <c r="PB596" s="25"/>
      <c r="PC596" s="25"/>
      <c r="PD596" s="25"/>
      <c r="PE596" s="25"/>
      <c r="PF596" s="25"/>
      <c r="PG596" s="25"/>
      <c r="PH596" s="25"/>
      <c r="PI596" s="25"/>
      <c r="PJ596" s="25"/>
      <c r="PK596" s="25"/>
      <c r="PL596" s="25"/>
      <c r="PM596" s="25"/>
      <c r="PN596" s="25"/>
      <c r="PO596" s="25"/>
      <c r="PP596" s="25"/>
      <c r="PQ596" s="25"/>
      <c r="PR596" s="25"/>
      <c r="PS596" s="25"/>
      <c r="PT596" s="25"/>
      <c r="PU596" s="25"/>
      <c r="PV596" s="25"/>
      <c r="PW596" s="25"/>
      <c r="PX596" s="25"/>
      <c r="PY596" s="25"/>
      <c r="PZ596" s="25"/>
      <c r="QA596" s="25"/>
      <c r="QB596" s="25"/>
      <c r="QC596" s="25"/>
      <c r="QD596" s="25"/>
      <c r="QE596" s="25"/>
      <c r="QF596" s="25"/>
      <c r="QG596" s="25"/>
      <c r="QH596" s="25"/>
      <c r="QI596" s="25"/>
      <c r="QJ596" s="25"/>
      <c r="QK596" s="25"/>
      <c r="QL596" s="25"/>
      <c r="QM596" s="25"/>
      <c r="QN596" s="25"/>
      <c r="QO596" s="25"/>
      <c r="QP596" s="25"/>
      <c r="QQ596" s="25"/>
      <c r="QR596" s="25"/>
      <c r="QS596" s="25"/>
      <c r="QT596" s="25"/>
      <c r="QU596" s="25"/>
      <c r="QV596" s="25"/>
      <c r="QW596" s="25"/>
      <c r="QX596" s="25"/>
      <c r="QY596" s="25"/>
      <c r="QZ596" s="25"/>
      <c r="RA596" s="25"/>
      <c r="RB596" s="25"/>
      <c r="RC596" s="25"/>
      <c r="RD596" s="25"/>
      <c r="RE596" s="25"/>
      <c r="RF596" s="25"/>
      <c r="RG596" s="25"/>
      <c r="RH596" s="25"/>
      <c r="RI596" s="25"/>
      <c r="RJ596" s="25"/>
      <c r="RK596" s="25"/>
      <c r="RL596" s="25"/>
      <c r="RM596" s="25"/>
      <c r="RN596" s="25"/>
      <c r="RO596" s="25"/>
      <c r="RP596" s="25"/>
      <c r="RQ596" s="25"/>
      <c r="RR596" s="25"/>
      <c r="RS596" s="25"/>
      <c r="RT596" s="25"/>
      <c r="RU596" s="25"/>
      <c r="RV596" s="25"/>
      <c r="RW596" s="25"/>
      <c r="RX596" s="25"/>
      <c r="RY596" s="25"/>
      <c r="RZ596" s="25"/>
      <c r="SA596" s="25"/>
      <c r="SB596" s="25"/>
      <c r="SC596" s="25"/>
      <c r="SD596" s="25"/>
      <c r="SE596" s="25"/>
      <c r="SF596" s="25"/>
      <c r="SG596" s="25"/>
      <c r="SH596" s="25"/>
      <c r="SI596" s="25"/>
      <c r="SJ596" s="25"/>
      <c r="SK596" s="25"/>
      <c r="SL596" s="25"/>
      <c r="SM596" s="25"/>
      <c r="SN596" s="25"/>
      <c r="SO596" s="25"/>
      <c r="SP596" s="25"/>
      <c r="SQ596" s="25"/>
      <c r="SR596" s="25"/>
      <c r="SS596" s="25"/>
      <c r="ST596" s="25"/>
      <c r="SU596" s="25"/>
      <c r="SV596" s="25"/>
      <c r="SW596" s="25"/>
      <c r="SX596" s="25"/>
      <c r="SY596" s="25"/>
      <c r="SZ596" s="25"/>
      <c r="TA596" s="25"/>
      <c r="TB596" s="25"/>
      <c r="TC596" s="25"/>
      <c r="TD596" s="25"/>
      <c r="TE596" s="25"/>
      <c r="TF596" s="25"/>
      <c r="TG596" s="25"/>
      <c r="TH596" s="25"/>
      <c r="TI596" s="25"/>
      <c r="TJ596" s="25"/>
      <c r="TK596" s="25"/>
      <c r="TL596" s="25"/>
      <c r="TM596" s="25"/>
      <c r="TN596" s="25"/>
      <c r="TO596" s="25"/>
      <c r="TP596" s="25"/>
      <c r="TQ596" s="25"/>
      <c r="TR596" s="25"/>
      <c r="TS596" s="25"/>
      <c r="TT596" s="25"/>
      <c r="TU596" s="25"/>
      <c r="TV596" s="25"/>
      <c r="TW596" s="25"/>
      <c r="TX596" s="25"/>
      <c r="TY596" s="25"/>
      <c r="TZ596" s="25"/>
      <c r="UA596" s="25"/>
      <c r="UB596" s="25"/>
      <c r="UC596" s="25"/>
      <c r="UD596" s="25"/>
      <c r="UE596" s="25"/>
      <c r="UF596" s="25"/>
      <c r="UG596" s="26"/>
    </row>
    <row r="597" spans="1:553" ht="50.25" customHeight="1">
      <c r="A597" s="356" t="s">
        <v>30</v>
      </c>
      <c r="B597" s="385">
        <v>39</v>
      </c>
      <c r="C597" s="1404" t="s">
        <v>425</v>
      </c>
      <c r="D597" s="1389"/>
      <c r="E597" s="1389"/>
      <c r="F597" s="1390"/>
      <c r="G597" s="386" t="s">
        <v>33</v>
      </c>
      <c r="H597" s="370"/>
      <c r="I597" s="417">
        <f>0.4*9.3*19</f>
        <v>70.680000000000007</v>
      </c>
      <c r="J597" s="368">
        <v>39000</v>
      </c>
      <c r="K597" s="371"/>
      <c r="L597" s="487">
        <f t="shared" si="101"/>
        <v>2756520.0000000005</v>
      </c>
      <c r="M597" s="395"/>
      <c r="N597" s="395"/>
      <c r="O597" s="366"/>
      <c r="P597" s="396"/>
      <c r="Q597" s="473"/>
      <c r="R597" s="1039"/>
      <c r="S597" s="308"/>
      <c r="T597" s="308"/>
      <c r="U597" s="308"/>
      <c r="V597" s="308"/>
      <c r="W597" s="308"/>
      <c r="X597" s="308"/>
      <c r="Y597" s="308"/>
      <c r="Z597" s="604"/>
      <c r="AA597" s="308"/>
      <c r="AB597" s="308"/>
      <c r="AC597" s="449"/>
      <c r="AD597" s="449"/>
      <c r="AE597" s="449"/>
      <c r="AF597" s="449"/>
      <c r="AG597" s="452"/>
      <c r="AH597" s="452"/>
      <c r="AI597" s="452"/>
      <c r="AJ597" s="452"/>
      <c r="AK597" s="452"/>
      <c r="AL597" s="104"/>
      <c r="AM597" s="32"/>
      <c r="AN597" s="32"/>
      <c r="AO597" s="32"/>
      <c r="AP597" s="32"/>
      <c r="AQ597" s="31"/>
      <c r="AR597" s="31"/>
      <c r="AS597" s="31"/>
      <c r="AT597" s="31"/>
      <c r="AU597" s="31"/>
      <c r="AV597" s="31"/>
      <c r="AW597" s="31"/>
      <c r="AX597" s="31"/>
      <c r="AY597" s="31"/>
      <c r="AZ597" s="31"/>
      <c r="BA597" s="31"/>
      <c r="BB597" s="31"/>
      <c r="BC597" s="31"/>
      <c r="BD597" s="31"/>
      <c r="BE597" s="31"/>
      <c r="BF597" s="31"/>
      <c r="BG597" s="31"/>
      <c r="BH597" s="31"/>
      <c r="BI597" s="31"/>
      <c r="BJ597" s="31"/>
      <c r="BK597" s="31"/>
      <c r="BL597" s="31"/>
      <c r="BM597" s="25"/>
      <c r="BN597" s="25"/>
      <c r="BO597" s="25"/>
      <c r="BP597" s="25"/>
      <c r="BQ597" s="25"/>
      <c r="BR597" s="25"/>
      <c r="BS597" s="25"/>
      <c r="BT597" s="25"/>
      <c r="BU597" s="25"/>
      <c r="BV597" s="25"/>
      <c r="BW597" s="25"/>
      <c r="BX597" s="25"/>
      <c r="BY597" s="25"/>
      <c r="BZ597" s="25"/>
      <c r="CA597" s="25"/>
      <c r="CB597" s="25"/>
      <c r="CC597" s="25"/>
      <c r="CD597" s="25"/>
      <c r="CE597" s="25"/>
      <c r="CF597" s="25"/>
      <c r="CG597" s="25"/>
      <c r="CH597" s="25"/>
      <c r="CI597" s="25"/>
      <c r="CJ597" s="25"/>
      <c r="CK597" s="25"/>
      <c r="CL597" s="25"/>
      <c r="CM597" s="25"/>
      <c r="CN597" s="25"/>
      <c r="CO597" s="25"/>
      <c r="CP597" s="25"/>
      <c r="CQ597" s="25"/>
      <c r="CR597" s="25"/>
      <c r="CS597" s="25"/>
      <c r="CT597" s="25"/>
      <c r="CU597" s="25"/>
      <c r="CV597" s="25"/>
      <c r="CW597" s="25"/>
      <c r="CX597" s="25"/>
      <c r="CY597" s="25"/>
      <c r="CZ597" s="25"/>
      <c r="DA597" s="25"/>
      <c r="DB597" s="25"/>
      <c r="DC597" s="25"/>
      <c r="DD597" s="25"/>
      <c r="DE597" s="25"/>
      <c r="DF597" s="25"/>
      <c r="DG597" s="25"/>
      <c r="DH597" s="25"/>
      <c r="DI597" s="25"/>
      <c r="DJ597" s="25"/>
      <c r="DK597" s="25"/>
      <c r="DL597" s="25"/>
      <c r="DM597" s="25"/>
      <c r="DN597" s="25"/>
      <c r="DO597" s="25"/>
      <c r="DP597" s="25"/>
      <c r="DQ597" s="25"/>
      <c r="DR597" s="25"/>
      <c r="DS597" s="25"/>
      <c r="DT597" s="25"/>
      <c r="DU597" s="25"/>
      <c r="DV597" s="25"/>
      <c r="DW597" s="25"/>
      <c r="DX597" s="25"/>
      <c r="DY597" s="25"/>
      <c r="DZ597" s="25"/>
      <c r="EA597" s="25"/>
      <c r="EB597" s="25"/>
      <c r="EC597" s="25"/>
      <c r="ED597" s="25"/>
      <c r="EE597" s="25"/>
      <c r="EF597" s="25"/>
      <c r="EG597" s="25"/>
      <c r="EH597" s="25"/>
      <c r="EI597" s="25"/>
      <c r="EJ597" s="25"/>
      <c r="EK597" s="25"/>
      <c r="EL597" s="25"/>
      <c r="EM597" s="25"/>
      <c r="EN597" s="25"/>
      <c r="EO597" s="25"/>
      <c r="EP597" s="25"/>
      <c r="EQ597" s="25"/>
      <c r="ER597" s="25"/>
      <c r="ES597" s="25"/>
      <c r="ET597" s="25"/>
      <c r="EU597" s="25"/>
      <c r="EV597" s="25"/>
      <c r="EW597" s="25"/>
      <c r="EX597" s="25"/>
      <c r="EY597" s="25"/>
      <c r="EZ597" s="25"/>
      <c r="FA597" s="25"/>
      <c r="FB597" s="25"/>
      <c r="FC597" s="25"/>
      <c r="FD597" s="25"/>
      <c r="FE597" s="25"/>
      <c r="FF597" s="25"/>
      <c r="FG597" s="25"/>
      <c r="FH597" s="25"/>
      <c r="FI597" s="25"/>
      <c r="FJ597" s="25"/>
      <c r="FK597" s="25"/>
      <c r="FL597" s="25"/>
      <c r="FM597" s="25"/>
      <c r="FN597" s="25"/>
      <c r="FO597" s="25"/>
      <c r="FP597" s="25"/>
      <c r="FQ597" s="25"/>
      <c r="FR597" s="25"/>
      <c r="FS597" s="25"/>
      <c r="FT597" s="25"/>
      <c r="FU597" s="25"/>
      <c r="FV597" s="25"/>
      <c r="FW597" s="25"/>
      <c r="FX597" s="25"/>
      <c r="FY597" s="25"/>
      <c r="FZ597" s="25"/>
      <c r="GA597" s="25"/>
      <c r="GB597" s="25"/>
      <c r="GC597" s="25"/>
      <c r="GD597" s="25"/>
      <c r="GE597" s="25"/>
      <c r="GF597" s="25"/>
      <c r="GG597" s="25"/>
      <c r="GH597" s="25"/>
      <c r="GI597" s="25"/>
      <c r="GJ597" s="25"/>
      <c r="GK597" s="25"/>
      <c r="GL597" s="25"/>
      <c r="GM597" s="25"/>
      <c r="GN597" s="25"/>
      <c r="GO597" s="25"/>
      <c r="GP597" s="25"/>
      <c r="GQ597" s="25"/>
      <c r="GR597" s="25"/>
      <c r="GS597" s="25"/>
      <c r="GT597" s="25"/>
      <c r="GU597" s="25"/>
      <c r="GV597" s="25"/>
      <c r="GW597" s="25"/>
      <c r="GX597" s="25"/>
      <c r="GY597" s="25"/>
      <c r="GZ597" s="25"/>
      <c r="HA597" s="25"/>
      <c r="HB597" s="25"/>
      <c r="HC597" s="25"/>
      <c r="HD597" s="25"/>
      <c r="HE597" s="25"/>
      <c r="HF597" s="25"/>
      <c r="HG597" s="25"/>
      <c r="HH597" s="25"/>
      <c r="HI597" s="25"/>
      <c r="HJ597" s="25"/>
      <c r="HK597" s="25"/>
      <c r="HL597" s="25"/>
      <c r="HM597" s="25"/>
      <c r="HN597" s="25"/>
      <c r="HO597" s="25"/>
      <c r="HP597" s="25"/>
      <c r="HQ597" s="25"/>
      <c r="HR597" s="25"/>
      <c r="HS597" s="25"/>
      <c r="HT597" s="25"/>
      <c r="HU597" s="25"/>
      <c r="HV597" s="25"/>
      <c r="HW597" s="25"/>
      <c r="HX597" s="25"/>
      <c r="HY597" s="25"/>
      <c r="HZ597" s="25"/>
      <c r="IA597" s="25"/>
      <c r="IB597" s="25"/>
      <c r="IC597" s="25"/>
      <c r="ID597" s="25"/>
      <c r="IE597" s="25"/>
      <c r="IF597" s="25"/>
      <c r="IG597" s="25"/>
      <c r="IH597" s="25"/>
      <c r="II597" s="25"/>
      <c r="IJ597" s="25"/>
      <c r="IK597" s="25"/>
      <c r="IL597" s="25"/>
      <c r="IM597" s="25"/>
      <c r="IN597" s="25"/>
      <c r="IO597" s="25"/>
      <c r="IP597" s="25"/>
      <c r="IQ597" s="25"/>
      <c r="IR597" s="25"/>
      <c r="IS597" s="25"/>
      <c r="IT597" s="25"/>
      <c r="IU597" s="25"/>
      <c r="IV597" s="25"/>
      <c r="IW597" s="25"/>
      <c r="IX597" s="25"/>
      <c r="IY597" s="25"/>
      <c r="IZ597" s="25"/>
      <c r="JA597" s="25"/>
      <c r="JB597" s="25"/>
      <c r="JC597" s="25"/>
      <c r="JD597" s="25"/>
      <c r="JE597" s="25"/>
      <c r="JF597" s="25"/>
      <c r="JG597" s="25"/>
      <c r="JH597" s="25"/>
      <c r="JI597" s="25"/>
      <c r="JJ597" s="25"/>
      <c r="JK597" s="25"/>
      <c r="JL597" s="25"/>
      <c r="JM597" s="25"/>
      <c r="JN597" s="25"/>
      <c r="JO597" s="25"/>
      <c r="JP597" s="25"/>
      <c r="JQ597" s="25"/>
      <c r="JR597" s="25"/>
      <c r="JS597" s="25"/>
      <c r="JT597" s="25"/>
      <c r="JU597" s="25"/>
      <c r="JV597" s="25"/>
      <c r="JW597" s="25"/>
      <c r="JX597" s="25"/>
      <c r="JY597" s="25"/>
      <c r="JZ597" s="25"/>
      <c r="KA597" s="25"/>
      <c r="KB597" s="25"/>
      <c r="KC597" s="25"/>
      <c r="KD597" s="25"/>
      <c r="KE597" s="25"/>
      <c r="KF597" s="25"/>
      <c r="KG597" s="25"/>
      <c r="KH597" s="25"/>
      <c r="KI597" s="25"/>
      <c r="KJ597" s="25"/>
      <c r="KK597" s="25"/>
      <c r="KL597" s="25"/>
      <c r="KM597" s="25"/>
      <c r="KN597" s="25"/>
      <c r="KO597" s="25"/>
      <c r="KP597" s="25"/>
      <c r="KQ597" s="25"/>
      <c r="KR597" s="25"/>
      <c r="KS597" s="25"/>
      <c r="KT597" s="25"/>
      <c r="KU597" s="25"/>
      <c r="KV597" s="25"/>
      <c r="KW597" s="25"/>
      <c r="KX597" s="25"/>
      <c r="KY597" s="25"/>
      <c r="KZ597" s="25"/>
      <c r="LA597" s="25"/>
      <c r="LB597" s="25"/>
      <c r="LC597" s="25"/>
      <c r="LD597" s="25"/>
      <c r="LE597" s="25"/>
      <c r="LF597" s="25"/>
      <c r="LG597" s="25"/>
      <c r="LH597" s="25"/>
      <c r="LI597" s="25"/>
      <c r="LJ597" s="25"/>
      <c r="LK597" s="25"/>
      <c r="LL597" s="25"/>
      <c r="LM597" s="25"/>
      <c r="LN597" s="25"/>
      <c r="LO597" s="25"/>
      <c r="LP597" s="25"/>
      <c r="LQ597" s="25"/>
      <c r="LR597" s="25"/>
      <c r="LS597" s="25"/>
      <c r="LT597" s="25"/>
      <c r="LU597" s="25"/>
      <c r="LV597" s="25"/>
      <c r="LW597" s="25"/>
      <c r="LX597" s="25"/>
      <c r="LY597" s="25"/>
      <c r="LZ597" s="25"/>
      <c r="MA597" s="25"/>
      <c r="MB597" s="25"/>
      <c r="MC597" s="25"/>
      <c r="MD597" s="25"/>
      <c r="ME597" s="25"/>
      <c r="MF597" s="25"/>
      <c r="MG597" s="25"/>
      <c r="MH597" s="25"/>
      <c r="MI597" s="25"/>
      <c r="MJ597" s="25"/>
      <c r="MK597" s="25"/>
      <c r="ML597" s="25"/>
      <c r="MM597" s="25"/>
      <c r="MN597" s="25"/>
      <c r="MO597" s="25"/>
      <c r="MP597" s="25"/>
      <c r="MQ597" s="25"/>
      <c r="MR597" s="25"/>
      <c r="MS597" s="25"/>
      <c r="MT597" s="25"/>
      <c r="MU597" s="25"/>
      <c r="MV597" s="25"/>
      <c r="MW597" s="25"/>
      <c r="MX597" s="25"/>
      <c r="MY597" s="25"/>
      <c r="MZ597" s="25"/>
      <c r="NA597" s="25"/>
      <c r="NB597" s="25"/>
      <c r="NC597" s="25"/>
      <c r="ND597" s="25"/>
      <c r="NE597" s="25"/>
      <c r="NF597" s="25"/>
      <c r="NG597" s="25"/>
      <c r="NH597" s="25"/>
      <c r="NI597" s="25"/>
      <c r="NJ597" s="25"/>
      <c r="NK597" s="25"/>
      <c r="NL597" s="25"/>
      <c r="NM597" s="25"/>
      <c r="NN597" s="25"/>
      <c r="NO597" s="25"/>
      <c r="NP597" s="25"/>
      <c r="NQ597" s="25"/>
      <c r="NR597" s="25"/>
      <c r="NS597" s="25"/>
      <c r="NT597" s="25"/>
      <c r="NU597" s="25"/>
      <c r="NV597" s="25"/>
      <c r="NW597" s="25"/>
      <c r="NX597" s="25"/>
      <c r="NY597" s="25"/>
      <c r="NZ597" s="25"/>
      <c r="OA597" s="25"/>
      <c r="OB597" s="25"/>
      <c r="OC597" s="25"/>
      <c r="OD597" s="25"/>
      <c r="OE597" s="25"/>
      <c r="OF597" s="25"/>
      <c r="OG597" s="25"/>
      <c r="OH597" s="25"/>
      <c r="OI597" s="25"/>
      <c r="OJ597" s="25"/>
      <c r="OK597" s="25"/>
      <c r="OL597" s="25"/>
      <c r="OM597" s="25"/>
      <c r="ON597" s="25"/>
      <c r="OO597" s="25"/>
      <c r="OP597" s="25"/>
      <c r="OQ597" s="25"/>
      <c r="OR597" s="25"/>
      <c r="OS597" s="25"/>
      <c r="OT597" s="25"/>
      <c r="OU597" s="25"/>
      <c r="OV597" s="25"/>
      <c r="OW597" s="25"/>
      <c r="OX597" s="25"/>
      <c r="OY597" s="25"/>
      <c r="OZ597" s="25"/>
      <c r="PA597" s="25"/>
      <c r="PB597" s="25"/>
      <c r="PC597" s="25"/>
      <c r="PD597" s="25"/>
      <c r="PE597" s="25"/>
      <c r="PF597" s="25"/>
      <c r="PG597" s="25"/>
      <c r="PH597" s="25"/>
      <c r="PI597" s="25"/>
      <c r="PJ597" s="25"/>
      <c r="PK597" s="25"/>
      <c r="PL597" s="25"/>
      <c r="PM597" s="25"/>
      <c r="PN597" s="25"/>
      <c r="PO597" s="25"/>
      <c r="PP597" s="25"/>
      <c r="PQ597" s="25"/>
      <c r="PR597" s="25"/>
      <c r="PS597" s="25"/>
      <c r="PT597" s="25"/>
      <c r="PU597" s="25"/>
      <c r="PV597" s="25"/>
      <c r="PW597" s="25"/>
      <c r="PX597" s="25"/>
      <c r="PY597" s="25"/>
      <c r="PZ597" s="25"/>
      <c r="QA597" s="25"/>
      <c r="QB597" s="25"/>
      <c r="QC597" s="25"/>
      <c r="QD597" s="25"/>
      <c r="QE597" s="25"/>
      <c r="QF597" s="25"/>
      <c r="QG597" s="25"/>
      <c r="QH597" s="25"/>
      <c r="QI597" s="25"/>
      <c r="QJ597" s="25"/>
      <c r="QK597" s="25"/>
      <c r="QL597" s="25"/>
      <c r="QM597" s="25"/>
      <c r="QN597" s="25"/>
      <c r="QO597" s="25"/>
      <c r="QP597" s="25"/>
      <c r="QQ597" s="25"/>
      <c r="QR597" s="25"/>
      <c r="QS597" s="25"/>
      <c r="QT597" s="25"/>
      <c r="QU597" s="25"/>
      <c r="QV597" s="25"/>
      <c r="QW597" s="25"/>
      <c r="QX597" s="25"/>
      <c r="QY597" s="25"/>
      <c r="QZ597" s="25"/>
      <c r="RA597" s="25"/>
      <c r="RB597" s="25"/>
      <c r="RC597" s="25"/>
      <c r="RD597" s="25"/>
      <c r="RE597" s="25"/>
      <c r="RF597" s="25"/>
      <c r="RG597" s="25"/>
      <c r="RH597" s="25"/>
      <c r="RI597" s="25"/>
      <c r="RJ597" s="25"/>
      <c r="RK597" s="25"/>
      <c r="RL597" s="25"/>
      <c r="RM597" s="25"/>
      <c r="RN597" s="25"/>
      <c r="RO597" s="25"/>
      <c r="RP597" s="25"/>
      <c r="RQ597" s="25"/>
      <c r="RR597" s="25"/>
      <c r="RS597" s="25"/>
      <c r="RT597" s="25"/>
      <c r="RU597" s="25"/>
      <c r="RV597" s="25"/>
      <c r="RW597" s="25"/>
      <c r="RX597" s="25"/>
      <c r="RY597" s="25"/>
      <c r="RZ597" s="25"/>
      <c r="SA597" s="25"/>
      <c r="SB597" s="25"/>
      <c r="SC597" s="25"/>
      <c r="SD597" s="25"/>
      <c r="SE597" s="25"/>
      <c r="SF597" s="25"/>
      <c r="SG597" s="25"/>
      <c r="SH597" s="25"/>
      <c r="SI597" s="25"/>
      <c r="SJ597" s="25"/>
      <c r="SK597" s="25"/>
      <c r="SL597" s="25"/>
      <c r="SM597" s="25"/>
      <c r="SN597" s="25"/>
      <c r="SO597" s="25"/>
      <c r="SP597" s="25"/>
      <c r="SQ597" s="25"/>
      <c r="SR597" s="25"/>
      <c r="SS597" s="25"/>
      <c r="ST597" s="25"/>
      <c r="SU597" s="25"/>
      <c r="SV597" s="25"/>
      <c r="SW597" s="25"/>
      <c r="SX597" s="25"/>
      <c r="SY597" s="25"/>
      <c r="SZ597" s="25"/>
      <c r="TA597" s="25"/>
      <c r="TB597" s="25"/>
      <c r="TC597" s="25"/>
      <c r="TD597" s="25"/>
      <c r="TE597" s="25"/>
      <c r="TF597" s="25"/>
      <c r="TG597" s="25"/>
      <c r="TH597" s="25"/>
      <c r="TI597" s="25"/>
      <c r="TJ597" s="25"/>
      <c r="TK597" s="25"/>
      <c r="TL597" s="25"/>
      <c r="TM597" s="25"/>
      <c r="TN597" s="25"/>
      <c r="TO597" s="25"/>
      <c r="TP597" s="25"/>
      <c r="TQ597" s="25"/>
      <c r="TR597" s="25"/>
      <c r="TS597" s="25"/>
      <c r="TT597" s="25"/>
      <c r="TU597" s="25"/>
      <c r="TV597" s="25"/>
      <c r="TW597" s="25"/>
      <c r="TX597" s="25"/>
      <c r="TY597" s="25"/>
      <c r="TZ597" s="25"/>
      <c r="UA597" s="25"/>
      <c r="UB597" s="25"/>
      <c r="UC597" s="25"/>
      <c r="UD597" s="25"/>
      <c r="UE597" s="25"/>
      <c r="UF597" s="25"/>
      <c r="UG597" s="26"/>
    </row>
    <row r="598" spans="1:553" ht="50.25" customHeight="1">
      <c r="A598" s="356" t="s">
        <v>30</v>
      </c>
      <c r="B598" s="385">
        <v>39</v>
      </c>
      <c r="C598" s="1404" t="s">
        <v>426</v>
      </c>
      <c r="D598" s="1389"/>
      <c r="E598" s="1389"/>
      <c r="F598" s="1390"/>
      <c r="G598" s="386" t="s">
        <v>33</v>
      </c>
      <c r="H598" s="370"/>
      <c r="I598" s="417">
        <f>0.48*1.8*12</f>
        <v>10.368</v>
      </c>
      <c r="J598" s="368">
        <v>39000</v>
      </c>
      <c r="K598" s="371"/>
      <c r="L598" s="487">
        <f t="shared" si="101"/>
        <v>404352</v>
      </c>
      <c r="M598" s="395"/>
      <c r="N598" s="395"/>
      <c r="O598" s="366"/>
      <c r="P598" s="396"/>
      <c r="Q598" s="473"/>
      <c r="R598" s="1039"/>
      <c r="S598" s="308"/>
      <c r="T598" s="308"/>
      <c r="U598" s="308"/>
      <c r="V598" s="308"/>
      <c r="W598" s="308"/>
      <c r="X598" s="308"/>
      <c r="Y598" s="308"/>
      <c r="Z598" s="604"/>
      <c r="AA598" s="308"/>
      <c r="AB598" s="308"/>
      <c r="AC598" s="449"/>
      <c r="AD598" s="449"/>
      <c r="AE598" s="449"/>
      <c r="AF598" s="449"/>
      <c r="AG598" s="452"/>
      <c r="AH598" s="452"/>
      <c r="AI598" s="452"/>
      <c r="AJ598" s="452"/>
      <c r="AK598" s="452"/>
      <c r="AL598" s="104"/>
      <c r="AM598" s="32"/>
      <c r="AN598" s="32"/>
      <c r="AO598" s="32"/>
      <c r="AP598" s="32"/>
      <c r="AQ598" s="31"/>
      <c r="AR598" s="31"/>
      <c r="AS598" s="31"/>
      <c r="AT598" s="31"/>
      <c r="AU598" s="31"/>
      <c r="AV598" s="31"/>
      <c r="AW598" s="31"/>
      <c r="AX598" s="31"/>
      <c r="AY598" s="31"/>
      <c r="AZ598" s="31"/>
      <c r="BA598" s="31"/>
      <c r="BB598" s="31"/>
      <c r="BC598" s="31"/>
      <c r="BD598" s="31"/>
      <c r="BE598" s="31"/>
      <c r="BF598" s="31"/>
      <c r="BG598" s="31"/>
      <c r="BH598" s="31"/>
      <c r="BI598" s="31"/>
      <c r="BJ598" s="31"/>
      <c r="BK598" s="31"/>
      <c r="BL598" s="31"/>
      <c r="BM598" s="25"/>
      <c r="BN598" s="25"/>
      <c r="BO598" s="25"/>
      <c r="BP598" s="25"/>
      <c r="BQ598" s="25"/>
      <c r="BR598" s="25"/>
      <c r="BS598" s="25"/>
      <c r="BT598" s="25"/>
      <c r="BU598" s="25"/>
      <c r="BV598" s="25"/>
      <c r="BW598" s="25"/>
      <c r="BX598" s="25"/>
      <c r="BY598" s="25"/>
      <c r="BZ598" s="25"/>
      <c r="CA598" s="25"/>
      <c r="CB598" s="25"/>
      <c r="CC598" s="25"/>
      <c r="CD598" s="25"/>
      <c r="CE598" s="25"/>
      <c r="CF598" s="25"/>
      <c r="CG598" s="25"/>
      <c r="CH598" s="25"/>
      <c r="CI598" s="25"/>
      <c r="CJ598" s="25"/>
      <c r="CK598" s="25"/>
      <c r="CL598" s="25"/>
      <c r="CM598" s="25"/>
      <c r="CN598" s="25"/>
      <c r="CO598" s="25"/>
      <c r="CP598" s="25"/>
      <c r="CQ598" s="25"/>
      <c r="CR598" s="25"/>
      <c r="CS598" s="25"/>
      <c r="CT598" s="25"/>
      <c r="CU598" s="25"/>
      <c r="CV598" s="25"/>
      <c r="CW598" s="25"/>
      <c r="CX598" s="25"/>
      <c r="CY598" s="25"/>
      <c r="CZ598" s="25"/>
      <c r="DA598" s="25"/>
      <c r="DB598" s="25"/>
      <c r="DC598" s="25"/>
      <c r="DD598" s="25"/>
      <c r="DE598" s="25"/>
      <c r="DF598" s="25"/>
      <c r="DG598" s="25"/>
      <c r="DH598" s="25"/>
      <c r="DI598" s="25"/>
      <c r="DJ598" s="25"/>
      <c r="DK598" s="25"/>
      <c r="DL598" s="25"/>
      <c r="DM598" s="25"/>
      <c r="DN598" s="25"/>
      <c r="DO598" s="25"/>
      <c r="DP598" s="25"/>
      <c r="DQ598" s="25"/>
      <c r="DR598" s="25"/>
      <c r="DS598" s="25"/>
      <c r="DT598" s="25"/>
      <c r="DU598" s="25"/>
      <c r="DV598" s="25"/>
      <c r="DW598" s="25"/>
      <c r="DX598" s="25"/>
      <c r="DY598" s="25"/>
      <c r="DZ598" s="25"/>
      <c r="EA598" s="25"/>
      <c r="EB598" s="25"/>
      <c r="EC598" s="25"/>
      <c r="ED598" s="25"/>
      <c r="EE598" s="25"/>
      <c r="EF598" s="25"/>
      <c r="EG598" s="25"/>
      <c r="EH598" s="25"/>
      <c r="EI598" s="25"/>
      <c r="EJ598" s="25"/>
      <c r="EK598" s="25"/>
      <c r="EL598" s="25"/>
      <c r="EM598" s="25"/>
      <c r="EN598" s="25"/>
      <c r="EO598" s="25"/>
      <c r="EP598" s="25"/>
      <c r="EQ598" s="25"/>
      <c r="ER598" s="25"/>
      <c r="ES598" s="25"/>
      <c r="ET598" s="25"/>
      <c r="EU598" s="25"/>
      <c r="EV598" s="25"/>
      <c r="EW598" s="25"/>
      <c r="EX598" s="25"/>
      <c r="EY598" s="25"/>
      <c r="EZ598" s="25"/>
      <c r="FA598" s="25"/>
      <c r="FB598" s="25"/>
      <c r="FC598" s="25"/>
      <c r="FD598" s="25"/>
      <c r="FE598" s="25"/>
      <c r="FF598" s="25"/>
      <c r="FG598" s="25"/>
      <c r="FH598" s="25"/>
      <c r="FI598" s="25"/>
      <c r="FJ598" s="25"/>
      <c r="FK598" s="25"/>
      <c r="FL598" s="25"/>
      <c r="FM598" s="25"/>
      <c r="FN598" s="25"/>
      <c r="FO598" s="25"/>
      <c r="FP598" s="25"/>
      <c r="FQ598" s="25"/>
      <c r="FR598" s="25"/>
      <c r="FS598" s="25"/>
      <c r="FT598" s="25"/>
      <c r="FU598" s="25"/>
      <c r="FV598" s="25"/>
      <c r="FW598" s="25"/>
      <c r="FX598" s="25"/>
      <c r="FY598" s="25"/>
      <c r="FZ598" s="25"/>
      <c r="GA598" s="25"/>
      <c r="GB598" s="25"/>
      <c r="GC598" s="25"/>
      <c r="GD598" s="25"/>
      <c r="GE598" s="25"/>
      <c r="GF598" s="25"/>
      <c r="GG598" s="25"/>
      <c r="GH598" s="25"/>
      <c r="GI598" s="25"/>
      <c r="GJ598" s="25"/>
      <c r="GK598" s="25"/>
      <c r="GL598" s="25"/>
      <c r="GM598" s="25"/>
      <c r="GN598" s="25"/>
      <c r="GO598" s="25"/>
      <c r="GP598" s="25"/>
      <c r="GQ598" s="25"/>
      <c r="GR598" s="25"/>
      <c r="GS598" s="25"/>
      <c r="GT598" s="25"/>
      <c r="GU598" s="25"/>
      <c r="GV598" s="25"/>
      <c r="GW598" s="25"/>
      <c r="GX598" s="25"/>
      <c r="GY598" s="25"/>
      <c r="GZ598" s="25"/>
      <c r="HA598" s="25"/>
      <c r="HB598" s="25"/>
      <c r="HC598" s="25"/>
      <c r="HD598" s="25"/>
      <c r="HE598" s="25"/>
      <c r="HF598" s="25"/>
      <c r="HG598" s="25"/>
      <c r="HH598" s="25"/>
      <c r="HI598" s="25"/>
      <c r="HJ598" s="25"/>
      <c r="HK598" s="25"/>
      <c r="HL598" s="25"/>
      <c r="HM598" s="25"/>
      <c r="HN598" s="25"/>
      <c r="HO598" s="25"/>
      <c r="HP598" s="25"/>
      <c r="HQ598" s="25"/>
      <c r="HR598" s="25"/>
      <c r="HS598" s="25"/>
      <c r="HT598" s="25"/>
      <c r="HU598" s="25"/>
      <c r="HV598" s="25"/>
      <c r="HW598" s="25"/>
      <c r="HX598" s="25"/>
      <c r="HY598" s="25"/>
      <c r="HZ598" s="25"/>
      <c r="IA598" s="25"/>
      <c r="IB598" s="25"/>
      <c r="IC598" s="25"/>
      <c r="ID598" s="25"/>
      <c r="IE598" s="25"/>
      <c r="IF598" s="25"/>
      <c r="IG598" s="25"/>
      <c r="IH598" s="25"/>
      <c r="II598" s="25"/>
      <c r="IJ598" s="25"/>
      <c r="IK598" s="25"/>
      <c r="IL598" s="25"/>
      <c r="IM598" s="25"/>
      <c r="IN598" s="25"/>
      <c r="IO598" s="25"/>
      <c r="IP598" s="25"/>
      <c r="IQ598" s="25"/>
      <c r="IR598" s="25"/>
      <c r="IS598" s="25"/>
      <c r="IT598" s="25"/>
      <c r="IU598" s="25"/>
      <c r="IV598" s="25"/>
      <c r="IW598" s="25"/>
      <c r="IX598" s="25"/>
      <c r="IY598" s="25"/>
      <c r="IZ598" s="25"/>
      <c r="JA598" s="25"/>
      <c r="JB598" s="25"/>
      <c r="JC598" s="25"/>
      <c r="JD598" s="25"/>
      <c r="JE598" s="25"/>
      <c r="JF598" s="25"/>
      <c r="JG598" s="25"/>
      <c r="JH598" s="25"/>
      <c r="JI598" s="25"/>
      <c r="JJ598" s="25"/>
      <c r="JK598" s="25"/>
      <c r="JL598" s="25"/>
      <c r="JM598" s="25"/>
      <c r="JN598" s="25"/>
      <c r="JO598" s="25"/>
      <c r="JP598" s="25"/>
      <c r="JQ598" s="25"/>
      <c r="JR598" s="25"/>
      <c r="JS598" s="25"/>
      <c r="JT598" s="25"/>
      <c r="JU598" s="25"/>
      <c r="JV598" s="25"/>
      <c r="JW598" s="25"/>
      <c r="JX598" s="25"/>
      <c r="JY598" s="25"/>
      <c r="JZ598" s="25"/>
      <c r="KA598" s="25"/>
      <c r="KB598" s="25"/>
      <c r="KC598" s="25"/>
      <c r="KD598" s="25"/>
      <c r="KE598" s="25"/>
      <c r="KF598" s="25"/>
      <c r="KG598" s="25"/>
      <c r="KH598" s="25"/>
      <c r="KI598" s="25"/>
      <c r="KJ598" s="25"/>
      <c r="KK598" s="25"/>
      <c r="KL598" s="25"/>
      <c r="KM598" s="25"/>
      <c r="KN598" s="25"/>
      <c r="KO598" s="25"/>
      <c r="KP598" s="25"/>
      <c r="KQ598" s="25"/>
      <c r="KR598" s="25"/>
      <c r="KS598" s="25"/>
      <c r="KT598" s="25"/>
      <c r="KU598" s="25"/>
      <c r="KV598" s="25"/>
      <c r="KW598" s="25"/>
      <c r="KX598" s="25"/>
      <c r="KY598" s="25"/>
      <c r="KZ598" s="25"/>
      <c r="LA598" s="25"/>
      <c r="LB598" s="25"/>
      <c r="LC598" s="25"/>
      <c r="LD598" s="25"/>
      <c r="LE598" s="25"/>
      <c r="LF598" s="25"/>
      <c r="LG598" s="25"/>
      <c r="LH598" s="25"/>
      <c r="LI598" s="25"/>
      <c r="LJ598" s="25"/>
      <c r="LK598" s="25"/>
      <c r="LL598" s="25"/>
      <c r="LM598" s="25"/>
      <c r="LN598" s="25"/>
      <c r="LO598" s="25"/>
      <c r="LP598" s="25"/>
      <c r="LQ598" s="25"/>
      <c r="LR598" s="25"/>
      <c r="LS598" s="25"/>
      <c r="LT598" s="25"/>
      <c r="LU598" s="25"/>
      <c r="LV598" s="25"/>
      <c r="LW598" s="25"/>
      <c r="LX598" s="25"/>
      <c r="LY598" s="25"/>
      <c r="LZ598" s="25"/>
      <c r="MA598" s="25"/>
      <c r="MB598" s="25"/>
      <c r="MC598" s="25"/>
      <c r="MD598" s="25"/>
      <c r="ME598" s="25"/>
      <c r="MF598" s="25"/>
      <c r="MG598" s="25"/>
      <c r="MH598" s="25"/>
      <c r="MI598" s="25"/>
      <c r="MJ598" s="25"/>
      <c r="MK598" s="25"/>
      <c r="ML598" s="25"/>
      <c r="MM598" s="25"/>
      <c r="MN598" s="25"/>
      <c r="MO598" s="25"/>
      <c r="MP598" s="25"/>
      <c r="MQ598" s="25"/>
      <c r="MR598" s="25"/>
      <c r="MS598" s="25"/>
      <c r="MT598" s="25"/>
      <c r="MU598" s="25"/>
      <c r="MV598" s="25"/>
      <c r="MW598" s="25"/>
      <c r="MX598" s="25"/>
      <c r="MY598" s="25"/>
      <c r="MZ598" s="25"/>
      <c r="NA598" s="25"/>
      <c r="NB598" s="25"/>
      <c r="NC598" s="25"/>
      <c r="ND598" s="25"/>
      <c r="NE598" s="25"/>
      <c r="NF598" s="25"/>
      <c r="NG598" s="25"/>
      <c r="NH598" s="25"/>
      <c r="NI598" s="25"/>
      <c r="NJ598" s="25"/>
      <c r="NK598" s="25"/>
      <c r="NL598" s="25"/>
      <c r="NM598" s="25"/>
      <c r="NN598" s="25"/>
      <c r="NO598" s="25"/>
      <c r="NP598" s="25"/>
      <c r="NQ598" s="25"/>
      <c r="NR598" s="25"/>
      <c r="NS598" s="25"/>
      <c r="NT598" s="25"/>
      <c r="NU598" s="25"/>
      <c r="NV598" s="25"/>
      <c r="NW598" s="25"/>
      <c r="NX598" s="25"/>
      <c r="NY598" s="25"/>
      <c r="NZ598" s="25"/>
      <c r="OA598" s="25"/>
      <c r="OB598" s="25"/>
      <c r="OC598" s="25"/>
      <c r="OD598" s="25"/>
      <c r="OE598" s="25"/>
      <c r="OF598" s="25"/>
      <c r="OG598" s="25"/>
      <c r="OH598" s="25"/>
      <c r="OI598" s="25"/>
      <c r="OJ598" s="25"/>
      <c r="OK598" s="25"/>
      <c r="OL598" s="25"/>
      <c r="OM598" s="25"/>
      <c r="ON598" s="25"/>
      <c r="OO598" s="25"/>
      <c r="OP598" s="25"/>
      <c r="OQ598" s="25"/>
      <c r="OR598" s="25"/>
      <c r="OS598" s="25"/>
      <c r="OT598" s="25"/>
      <c r="OU598" s="25"/>
      <c r="OV598" s="25"/>
      <c r="OW598" s="25"/>
      <c r="OX598" s="25"/>
      <c r="OY598" s="25"/>
      <c r="OZ598" s="25"/>
      <c r="PA598" s="25"/>
      <c r="PB598" s="25"/>
      <c r="PC598" s="25"/>
      <c r="PD598" s="25"/>
      <c r="PE598" s="25"/>
      <c r="PF598" s="25"/>
      <c r="PG598" s="25"/>
      <c r="PH598" s="25"/>
      <c r="PI598" s="25"/>
      <c r="PJ598" s="25"/>
      <c r="PK598" s="25"/>
      <c r="PL598" s="25"/>
      <c r="PM598" s="25"/>
      <c r="PN598" s="25"/>
      <c r="PO598" s="25"/>
      <c r="PP598" s="25"/>
      <c r="PQ598" s="25"/>
      <c r="PR598" s="25"/>
      <c r="PS598" s="25"/>
      <c r="PT598" s="25"/>
      <c r="PU598" s="25"/>
      <c r="PV598" s="25"/>
      <c r="PW598" s="25"/>
      <c r="PX598" s="25"/>
      <c r="PY598" s="25"/>
      <c r="PZ598" s="25"/>
      <c r="QA598" s="25"/>
      <c r="QB598" s="25"/>
      <c r="QC598" s="25"/>
      <c r="QD598" s="25"/>
      <c r="QE598" s="25"/>
      <c r="QF598" s="25"/>
      <c r="QG598" s="25"/>
      <c r="QH598" s="25"/>
      <c r="QI598" s="25"/>
      <c r="QJ598" s="25"/>
      <c r="QK598" s="25"/>
      <c r="QL598" s="25"/>
      <c r="QM598" s="25"/>
      <c r="QN598" s="25"/>
      <c r="QO598" s="25"/>
      <c r="QP598" s="25"/>
      <c r="QQ598" s="25"/>
      <c r="QR598" s="25"/>
      <c r="QS598" s="25"/>
      <c r="QT598" s="25"/>
      <c r="QU598" s="25"/>
      <c r="QV598" s="25"/>
      <c r="QW598" s="25"/>
      <c r="QX598" s="25"/>
      <c r="QY598" s="25"/>
      <c r="QZ598" s="25"/>
      <c r="RA598" s="25"/>
      <c r="RB598" s="25"/>
      <c r="RC598" s="25"/>
      <c r="RD598" s="25"/>
      <c r="RE598" s="25"/>
      <c r="RF598" s="25"/>
      <c r="RG598" s="25"/>
      <c r="RH598" s="25"/>
      <c r="RI598" s="25"/>
      <c r="RJ598" s="25"/>
      <c r="RK598" s="25"/>
      <c r="RL598" s="25"/>
      <c r="RM598" s="25"/>
      <c r="RN598" s="25"/>
      <c r="RO598" s="25"/>
      <c r="RP598" s="25"/>
      <c r="RQ598" s="25"/>
      <c r="RR598" s="25"/>
      <c r="RS598" s="25"/>
      <c r="RT598" s="25"/>
      <c r="RU598" s="25"/>
      <c r="RV598" s="25"/>
      <c r="RW598" s="25"/>
      <c r="RX598" s="25"/>
      <c r="RY598" s="25"/>
      <c r="RZ598" s="25"/>
      <c r="SA598" s="25"/>
      <c r="SB598" s="25"/>
      <c r="SC598" s="25"/>
      <c r="SD598" s="25"/>
      <c r="SE598" s="25"/>
      <c r="SF598" s="25"/>
      <c r="SG598" s="25"/>
      <c r="SH598" s="25"/>
      <c r="SI598" s="25"/>
      <c r="SJ598" s="25"/>
      <c r="SK598" s="25"/>
      <c r="SL598" s="25"/>
      <c r="SM598" s="25"/>
      <c r="SN598" s="25"/>
      <c r="SO598" s="25"/>
      <c r="SP598" s="25"/>
      <c r="SQ598" s="25"/>
      <c r="SR598" s="25"/>
      <c r="SS598" s="25"/>
      <c r="ST598" s="25"/>
      <c r="SU598" s="25"/>
      <c r="SV598" s="25"/>
      <c r="SW598" s="25"/>
      <c r="SX598" s="25"/>
      <c r="SY598" s="25"/>
      <c r="SZ598" s="25"/>
      <c r="TA598" s="25"/>
      <c r="TB598" s="25"/>
      <c r="TC598" s="25"/>
      <c r="TD598" s="25"/>
      <c r="TE598" s="25"/>
      <c r="TF598" s="25"/>
      <c r="TG598" s="25"/>
      <c r="TH598" s="25"/>
      <c r="TI598" s="25"/>
      <c r="TJ598" s="25"/>
      <c r="TK598" s="25"/>
      <c r="TL598" s="25"/>
      <c r="TM598" s="25"/>
      <c r="TN598" s="25"/>
      <c r="TO598" s="25"/>
      <c r="TP598" s="25"/>
      <c r="TQ598" s="25"/>
      <c r="TR598" s="25"/>
      <c r="TS598" s="25"/>
      <c r="TT598" s="25"/>
      <c r="TU598" s="25"/>
      <c r="TV598" s="25"/>
      <c r="TW598" s="25"/>
      <c r="TX598" s="25"/>
      <c r="TY598" s="25"/>
      <c r="TZ598" s="25"/>
      <c r="UA598" s="25"/>
      <c r="UB598" s="25"/>
      <c r="UC598" s="25"/>
      <c r="UD598" s="25"/>
      <c r="UE598" s="25"/>
      <c r="UF598" s="25"/>
      <c r="UG598" s="26"/>
    </row>
    <row r="599" spans="1:553" ht="50.25" customHeight="1">
      <c r="A599" s="356" t="s">
        <v>30</v>
      </c>
      <c r="B599" s="385">
        <v>39</v>
      </c>
      <c r="C599" s="1404" t="s">
        <v>427</v>
      </c>
      <c r="D599" s="1389"/>
      <c r="E599" s="1389"/>
      <c r="F599" s="1390"/>
      <c r="G599" s="386" t="s">
        <v>33</v>
      </c>
      <c r="H599" s="370"/>
      <c r="I599" s="417">
        <f>4.14*0.6*2</f>
        <v>4.9679999999999991</v>
      </c>
      <c r="J599" s="368">
        <v>39000</v>
      </c>
      <c r="K599" s="371"/>
      <c r="L599" s="487">
        <f t="shared" si="101"/>
        <v>193751.99999999997</v>
      </c>
      <c r="M599" s="395"/>
      <c r="N599" s="395"/>
      <c r="O599" s="366"/>
      <c r="P599" s="396"/>
      <c r="Q599" s="473"/>
      <c r="R599" s="1039"/>
      <c r="S599" s="308"/>
      <c r="T599" s="308"/>
      <c r="U599" s="308"/>
      <c r="V599" s="308"/>
      <c r="W599" s="308"/>
      <c r="X599" s="308"/>
      <c r="Y599" s="308"/>
      <c r="Z599" s="604"/>
      <c r="AA599" s="308"/>
      <c r="AB599" s="308"/>
      <c r="AC599" s="449"/>
      <c r="AD599" s="449"/>
      <c r="AE599" s="449"/>
      <c r="AF599" s="449"/>
      <c r="AG599" s="452"/>
      <c r="AH599" s="452"/>
      <c r="AI599" s="452"/>
      <c r="AJ599" s="452"/>
      <c r="AK599" s="452"/>
      <c r="AL599" s="104"/>
      <c r="AM599" s="32"/>
      <c r="AN599" s="32"/>
      <c r="AO599" s="32"/>
      <c r="AP599" s="32"/>
      <c r="AQ599" s="31"/>
      <c r="AR599" s="31"/>
      <c r="AS599" s="31"/>
      <c r="AT599" s="31"/>
      <c r="AU599" s="31"/>
      <c r="AV599" s="31"/>
      <c r="AW599" s="31"/>
      <c r="AX599" s="31"/>
      <c r="AY599" s="31"/>
      <c r="AZ599" s="31"/>
      <c r="BA599" s="31"/>
      <c r="BB599" s="31"/>
      <c r="BC599" s="31"/>
      <c r="BD599" s="31"/>
      <c r="BE599" s="31"/>
      <c r="BF599" s="31"/>
      <c r="BG599" s="31"/>
      <c r="BH599" s="31"/>
      <c r="BI599" s="31"/>
      <c r="BJ599" s="31"/>
      <c r="BK599" s="31"/>
      <c r="BL599" s="31"/>
      <c r="BM599" s="25"/>
      <c r="BN599" s="25"/>
      <c r="BO599" s="25"/>
      <c r="BP599" s="25"/>
      <c r="BQ599" s="25"/>
      <c r="BR599" s="25"/>
      <c r="BS599" s="25"/>
      <c r="BT599" s="25"/>
      <c r="BU599" s="25"/>
      <c r="BV599" s="25"/>
      <c r="BW599" s="25"/>
      <c r="BX599" s="25"/>
      <c r="BY599" s="25"/>
      <c r="BZ599" s="25"/>
      <c r="CA599" s="25"/>
      <c r="CB599" s="25"/>
      <c r="CC599" s="25"/>
      <c r="CD599" s="25"/>
      <c r="CE599" s="25"/>
      <c r="CF599" s="25"/>
      <c r="CG599" s="25"/>
      <c r="CH599" s="25"/>
      <c r="CI599" s="25"/>
      <c r="CJ599" s="25"/>
      <c r="CK599" s="25"/>
      <c r="CL599" s="25"/>
      <c r="CM599" s="25"/>
      <c r="CN599" s="25"/>
      <c r="CO599" s="25"/>
      <c r="CP599" s="25"/>
      <c r="CQ599" s="25"/>
      <c r="CR599" s="25"/>
      <c r="CS599" s="25"/>
      <c r="CT599" s="25"/>
      <c r="CU599" s="25"/>
      <c r="CV599" s="25"/>
      <c r="CW599" s="25"/>
      <c r="CX599" s="25"/>
      <c r="CY599" s="25"/>
      <c r="CZ599" s="25"/>
      <c r="DA599" s="25"/>
      <c r="DB599" s="25"/>
      <c r="DC599" s="25"/>
      <c r="DD599" s="25"/>
      <c r="DE599" s="25"/>
      <c r="DF599" s="25"/>
      <c r="DG599" s="25"/>
      <c r="DH599" s="25"/>
      <c r="DI599" s="25"/>
      <c r="DJ599" s="25"/>
      <c r="DK599" s="25"/>
      <c r="DL599" s="25"/>
      <c r="DM599" s="25"/>
      <c r="DN599" s="25"/>
      <c r="DO599" s="25"/>
      <c r="DP599" s="25"/>
      <c r="DQ599" s="25"/>
      <c r="DR599" s="25"/>
      <c r="DS599" s="25"/>
      <c r="DT599" s="25"/>
      <c r="DU599" s="25"/>
      <c r="DV599" s="25"/>
      <c r="DW599" s="25"/>
      <c r="DX599" s="25"/>
      <c r="DY599" s="25"/>
      <c r="DZ599" s="25"/>
      <c r="EA599" s="25"/>
      <c r="EB599" s="25"/>
      <c r="EC599" s="25"/>
      <c r="ED599" s="25"/>
      <c r="EE599" s="25"/>
      <c r="EF599" s="25"/>
      <c r="EG599" s="25"/>
      <c r="EH599" s="25"/>
      <c r="EI599" s="25"/>
      <c r="EJ599" s="25"/>
      <c r="EK599" s="25"/>
      <c r="EL599" s="25"/>
      <c r="EM599" s="25"/>
      <c r="EN599" s="25"/>
      <c r="EO599" s="25"/>
      <c r="EP599" s="25"/>
      <c r="EQ599" s="25"/>
      <c r="ER599" s="25"/>
      <c r="ES599" s="25"/>
      <c r="ET599" s="25"/>
      <c r="EU599" s="25"/>
      <c r="EV599" s="25"/>
      <c r="EW599" s="25"/>
      <c r="EX599" s="25"/>
      <c r="EY599" s="25"/>
      <c r="EZ599" s="25"/>
      <c r="FA599" s="25"/>
      <c r="FB599" s="25"/>
      <c r="FC599" s="25"/>
      <c r="FD599" s="25"/>
      <c r="FE599" s="25"/>
      <c r="FF599" s="25"/>
      <c r="FG599" s="25"/>
      <c r="FH599" s="25"/>
      <c r="FI599" s="25"/>
      <c r="FJ599" s="25"/>
      <c r="FK599" s="25"/>
      <c r="FL599" s="25"/>
      <c r="FM599" s="25"/>
      <c r="FN599" s="25"/>
      <c r="FO599" s="25"/>
      <c r="FP599" s="25"/>
      <c r="FQ599" s="25"/>
      <c r="FR599" s="25"/>
      <c r="FS599" s="25"/>
      <c r="FT599" s="25"/>
      <c r="FU599" s="25"/>
      <c r="FV599" s="25"/>
      <c r="FW599" s="25"/>
      <c r="FX599" s="25"/>
      <c r="FY599" s="25"/>
      <c r="FZ599" s="25"/>
      <c r="GA599" s="25"/>
      <c r="GB599" s="25"/>
      <c r="GC599" s="25"/>
      <c r="GD599" s="25"/>
      <c r="GE599" s="25"/>
      <c r="GF599" s="25"/>
      <c r="GG599" s="25"/>
      <c r="GH599" s="25"/>
      <c r="GI599" s="25"/>
      <c r="GJ599" s="25"/>
      <c r="GK599" s="25"/>
      <c r="GL599" s="25"/>
      <c r="GM599" s="25"/>
      <c r="GN599" s="25"/>
      <c r="GO599" s="25"/>
      <c r="GP599" s="25"/>
      <c r="GQ599" s="25"/>
      <c r="GR599" s="25"/>
      <c r="GS599" s="25"/>
      <c r="GT599" s="25"/>
      <c r="GU599" s="25"/>
      <c r="GV599" s="25"/>
      <c r="GW599" s="25"/>
      <c r="GX599" s="25"/>
      <c r="GY599" s="25"/>
      <c r="GZ599" s="25"/>
      <c r="HA599" s="25"/>
      <c r="HB599" s="25"/>
      <c r="HC599" s="25"/>
      <c r="HD599" s="25"/>
      <c r="HE599" s="25"/>
      <c r="HF599" s="25"/>
      <c r="HG599" s="25"/>
      <c r="HH599" s="25"/>
      <c r="HI599" s="25"/>
      <c r="HJ599" s="25"/>
      <c r="HK599" s="25"/>
      <c r="HL599" s="25"/>
      <c r="HM599" s="25"/>
      <c r="HN599" s="25"/>
      <c r="HO599" s="25"/>
      <c r="HP599" s="25"/>
      <c r="HQ599" s="25"/>
      <c r="HR599" s="25"/>
      <c r="HS599" s="25"/>
      <c r="HT599" s="25"/>
      <c r="HU599" s="25"/>
      <c r="HV599" s="25"/>
      <c r="HW599" s="25"/>
      <c r="HX599" s="25"/>
      <c r="HY599" s="25"/>
      <c r="HZ599" s="25"/>
      <c r="IA599" s="25"/>
      <c r="IB599" s="25"/>
      <c r="IC599" s="25"/>
      <c r="ID599" s="25"/>
      <c r="IE599" s="25"/>
      <c r="IF599" s="25"/>
      <c r="IG599" s="25"/>
      <c r="IH599" s="25"/>
      <c r="II599" s="25"/>
      <c r="IJ599" s="25"/>
      <c r="IK599" s="25"/>
      <c r="IL599" s="25"/>
      <c r="IM599" s="25"/>
      <c r="IN599" s="25"/>
      <c r="IO599" s="25"/>
      <c r="IP599" s="25"/>
      <c r="IQ599" s="25"/>
      <c r="IR599" s="25"/>
      <c r="IS599" s="25"/>
      <c r="IT599" s="25"/>
      <c r="IU599" s="25"/>
      <c r="IV599" s="25"/>
      <c r="IW599" s="25"/>
      <c r="IX599" s="25"/>
      <c r="IY599" s="25"/>
      <c r="IZ599" s="25"/>
      <c r="JA599" s="25"/>
      <c r="JB599" s="25"/>
      <c r="JC599" s="25"/>
      <c r="JD599" s="25"/>
      <c r="JE599" s="25"/>
      <c r="JF599" s="25"/>
      <c r="JG599" s="25"/>
      <c r="JH599" s="25"/>
      <c r="JI599" s="25"/>
      <c r="JJ599" s="25"/>
      <c r="JK599" s="25"/>
      <c r="JL599" s="25"/>
      <c r="JM599" s="25"/>
      <c r="JN599" s="25"/>
      <c r="JO599" s="25"/>
      <c r="JP599" s="25"/>
      <c r="JQ599" s="25"/>
      <c r="JR599" s="25"/>
      <c r="JS599" s="25"/>
      <c r="JT599" s="25"/>
      <c r="JU599" s="25"/>
      <c r="JV599" s="25"/>
      <c r="JW599" s="25"/>
      <c r="JX599" s="25"/>
      <c r="JY599" s="25"/>
      <c r="JZ599" s="25"/>
      <c r="KA599" s="25"/>
      <c r="KB599" s="25"/>
      <c r="KC599" s="25"/>
      <c r="KD599" s="25"/>
      <c r="KE599" s="25"/>
      <c r="KF599" s="25"/>
      <c r="KG599" s="25"/>
      <c r="KH599" s="25"/>
      <c r="KI599" s="25"/>
      <c r="KJ599" s="25"/>
      <c r="KK599" s="25"/>
      <c r="KL599" s="25"/>
      <c r="KM599" s="25"/>
      <c r="KN599" s="25"/>
      <c r="KO599" s="25"/>
      <c r="KP599" s="25"/>
      <c r="KQ599" s="25"/>
      <c r="KR599" s="25"/>
      <c r="KS599" s="25"/>
      <c r="KT599" s="25"/>
      <c r="KU599" s="25"/>
      <c r="KV599" s="25"/>
      <c r="KW599" s="25"/>
      <c r="KX599" s="25"/>
      <c r="KY599" s="25"/>
      <c r="KZ599" s="25"/>
      <c r="LA599" s="25"/>
      <c r="LB599" s="25"/>
      <c r="LC599" s="25"/>
      <c r="LD599" s="25"/>
      <c r="LE599" s="25"/>
      <c r="LF599" s="25"/>
      <c r="LG599" s="25"/>
      <c r="LH599" s="25"/>
      <c r="LI599" s="25"/>
      <c r="LJ599" s="25"/>
      <c r="LK599" s="25"/>
      <c r="LL599" s="25"/>
      <c r="LM599" s="25"/>
      <c r="LN599" s="25"/>
      <c r="LO599" s="25"/>
      <c r="LP599" s="25"/>
      <c r="LQ599" s="25"/>
      <c r="LR599" s="25"/>
      <c r="LS599" s="25"/>
      <c r="LT599" s="25"/>
      <c r="LU599" s="25"/>
      <c r="LV599" s="25"/>
      <c r="LW599" s="25"/>
      <c r="LX599" s="25"/>
      <c r="LY599" s="25"/>
      <c r="LZ599" s="25"/>
      <c r="MA599" s="25"/>
      <c r="MB599" s="25"/>
      <c r="MC599" s="25"/>
      <c r="MD599" s="25"/>
      <c r="ME599" s="25"/>
      <c r="MF599" s="25"/>
      <c r="MG599" s="25"/>
      <c r="MH599" s="25"/>
      <c r="MI599" s="25"/>
      <c r="MJ599" s="25"/>
      <c r="MK599" s="25"/>
      <c r="ML599" s="25"/>
      <c r="MM599" s="25"/>
      <c r="MN599" s="25"/>
      <c r="MO599" s="25"/>
      <c r="MP599" s="25"/>
      <c r="MQ599" s="25"/>
      <c r="MR599" s="25"/>
      <c r="MS599" s="25"/>
      <c r="MT599" s="25"/>
      <c r="MU599" s="25"/>
      <c r="MV599" s="25"/>
      <c r="MW599" s="25"/>
      <c r="MX599" s="25"/>
      <c r="MY599" s="25"/>
      <c r="MZ599" s="25"/>
      <c r="NA599" s="25"/>
      <c r="NB599" s="25"/>
      <c r="NC599" s="25"/>
      <c r="ND599" s="25"/>
      <c r="NE599" s="25"/>
      <c r="NF599" s="25"/>
      <c r="NG599" s="25"/>
      <c r="NH599" s="25"/>
      <c r="NI599" s="25"/>
      <c r="NJ599" s="25"/>
      <c r="NK599" s="25"/>
      <c r="NL599" s="25"/>
      <c r="NM599" s="25"/>
      <c r="NN599" s="25"/>
      <c r="NO599" s="25"/>
      <c r="NP599" s="25"/>
      <c r="NQ599" s="25"/>
      <c r="NR599" s="25"/>
      <c r="NS599" s="25"/>
      <c r="NT599" s="25"/>
      <c r="NU599" s="25"/>
      <c r="NV599" s="25"/>
      <c r="NW599" s="25"/>
      <c r="NX599" s="25"/>
      <c r="NY599" s="25"/>
      <c r="NZ599" s="25"/>
      <c r="OA599" s="25"/>
      <c r="OB599" s="25"/>
      <c r="OC599" s="25"/>
      <c r="OD599" s="25"/>
      <c r="OE599" s="25"/>
      <c r="OF599" s="25"/>
      <c r="OG599" s="25"/>
      <c r="OH599" s="25"/>
      <c r="OI599" s="25"/>
      <c r="OJ599" s="25"/>
      <c r="OK599" s="25"/>
      <c r="OL599" s="25"/>
      <c r="OM599" s="25"/>
      <c r="ON599" s="25"/>
      <c r="OO599" s="25"/>
      <c r="OP599" s="25"/>
      <c r="OQ599" s="25"/>
      <c r="OR599" s="25"/>
      <c r="OS599" s="25"/>
      <c r="OT599" s="25"/>
      <c r="OU599" s="25"/>
      <c r="OV599" s="25"/>
      <c r="OW599" s="25"/>
      <c r="OX599" s="25"/>
      <c r="OY599" s="25"/>
      <c r="OZ599" s="25"/>
      <c r="PA599" s="25"/>
      <c r="PB599" s="25"/>
      <c r="PC599" s="25"/>
      <c r="PD599" s="25"/>
      <c r="PE599" s="25"/>
      <c r="PF599" s="25"/>
      <c r="PG599" s="25"/>
      <c r="PH599" s="25"/>
      <c r="PI599" s="25"/>
      <c r="PJ599" s="25"/>
      <c r="PK599" s="25"/>
      <c r="PL599" s="25"/>
      <c r="PM599" s="25"/>
      <c r="PN599" s="25"/>
      <c r="PO599" s="25"/>
      <c r="PP599" s="25"/>
      <c r="PQ599" s="25"/>
      <c r="PR599" s="25"/>
      <c r="PS599" s="25"/>
      <c r="PT599" s="25"/>
      <c r="PU599" s="25"/>
      <c r="PV599" s="25"/>
      <c r="PW599" s="25"/>
      <c r="PX599" s="25"/>
      <c r="PY599" s="25"/>
      <c r="PZ599" s="25"/>
      <c r="QA599" s="25"/>
      <c r="QB599" s="25"/>
      <c r="QC599" s="25"/>
      <c r="QD599" s="25"/>
      <c r="QE599" s="25"/>
      <c r="QF599" s="25"/>
      <c r="QG599" s="25"/>
      <c r="QH599" s="25"/>
      <c r="QI599" s="25"/>
      <c r="QJ599" s="25"/>
      <c r="QK599" s="25"/>
      <c r="QL599" s="25"/>
      <c r="QM599" s="25"/>
      <c r="QN599" s="25"/>
      <c r="QO599" s="25"/>
      <c r="QP599" s="25"/>
      <c r="QQ599" s="25"/>
      <c r="QR599" s="25"/>
      <c r="QS599" s="25"/>
      <c r="QT599" s="25"/>
      <c r="QU599" s="25"/>
      <c r="QV599" s="25"/>
      <c r="QW599" s="25"/>
      <c r="QX599" s="25"/>
      <c r="QY599" s="25"/>
      <c r="QZ599" s="25"/>
      <c r="RA599" s="25"/>
      <c r="RB599" s="25"/>
      <c r="RC599" s="25"/>
      <c r="RD599" s="25"/>
      <c r="RE599" s="25"/>
      <c r="RF599" s="25"/>
      <c r="RG599" s="25"/>
      <c r="RH599" s="25"/>
      <c r="RI599" s="25"/>
      <c r="RJ599" s="25"/>
      <c r="RK599" s="25"/>
      <c r="RL599" s="25"/>
      <c r="RM599" s="25"/>
      <c r="RN599" s="25"/>
      <c r="RO599" s="25"/>
      <c r="RP599" s="25"/>
      <c r="RQ599" s="25"/>
      <c r="RR599" s="25"/>
      <c r="RS599" s="25"/>
      <c r="RT599" s="25"/>
      <c r="RU599" s="25"/>
      <c r="RV599" s="25"/>
      <c r="RW599" s="25"/>
      <c r="RX599" s="25"/>
      <c r="RY599" s="25"/>
      <c r="RZ599" s="25"/>
      <c r="SA599" s="25"/>
      <c r="SB599" s="25"/>
      <c r="SC599" s="25"/>
      <c r="SD599" s="25"/>
      <c r="SE599" s="25"/>
      <c r="SF599" s="25"/>
      <c r="SG599" s="25"/>
      <c r="SH599" s="25"/>
      <c r="SI599" s="25"/>
      <c r="SJ599" s="25"/>
      <c r="SK599" s="25"/>
      <c r="SL599" s="25"/>
      <c r="SM599" s="25"/>
      <c r="SN599" s="25"/>
      <c r="SO599" s="25"/>
      <c r="SP599" s="25"/>
      <c r="SQ599" s="25"/>
      <c r="SR599" s="25"/>
      <c r="SS599" s="25"/>
      <c r="ST599" s="25"/>
      <c r="SU599" s="25"/>
      <c r="SV599" s="25"/>
      <c r="SW599" s="25"/>
      <c r="SX599" s="25"/>
      <c r="SY599" s="25"/>
      <c r="SZ599" s="25"/>
      <c r="TA599" s="25"/>
      <c r="TB599" s="25"/>
      <c r="TC599" s="25"/>
      <c r="TD599" s="25"/>
      <c r="TE599" s="25"/>
      <c r="TF599" s="25"/>
      <c r="TG599" s="25"/>
      <c r="TH599" s="25"/>
      <c r="TI599" s="25"/>
      <c r="TJ599" s="25"/>
      <c r="TK599" s="25"/>
      <c r="TL599" s="25"/>
      <c r="TM599" s="25"/>
      <c r="TN599" s="25"/>
      <c r="TO599" s="25"/>
      <c r="TP599" s="25"/>
      <c r="TQ599" s="25"/>
      <c r="TR599" s="25"/>
      <c r="TS599" s="25"/>
      <c r="TT599" s="25"/>
      <c r="TU599" s="25"/>
      <c r="TV599" s="25"/>
      <c r="TW599" s="25"/>
      <c r="TX599" s="25"/>
      <c r="TY599" s="25"/>
      <c r="TZ599" s="25"/>
      <c r="UA599" s="25"/>
      <c r="UB599" s="25"/>
      <c r="UC599" s="25"/>
      <c r="UD599" s="25"/>
      <c r="UE599" s="25"/>
      <c r="UF599" s="25"/>
      <c r="UG599" s="26"/>
    </row>
    <row r="600" spans="1:553" ht="50.25" customHeight="1">
      <c r="A600" s="356" t="s">
        <v>30</v>
      </c>
      <c r="B600" s="385">
        <v>39</v>
      </c>
      <c r="C600" s="1404" t="s">
        <v>428</v>
      </c>
      <c r="D600" s="1389"/>
      <c r="E600" s="1389"/>
      <c r="F600" s="1390"/>
      <c r="G600" s="386" t="s">
        <v>33</v>
      </c>
      <c r="H600" s="370"/>
      <c r="I600" s="417">
        <f>2.5*0.4*16</f>
        <v>16</v>
      </c>
      <c r="J600" s="368">
        <v>39000</v>
      </c>
      <c r="K600" s="371"/>
      <c r="L600" s="487">
        <f t="shared" si="101"/>
        <v>624000</v>
      </c>
      <c r="M600" s="395"/>
      <c r="N600" s="395"/>
      <c r="O600" s="366"/>
      <c r="P600" s="396"/>
      <c r="Q600" s="473"/>
      <c r="R600" s="1039"/>
      <c r="S600" s="308"/>
      <c r="T600" s="308"/>
      <c r="U600" s="308"/>
      <c r="V600" s="308"/>
      <c r="W600" s="308"/>
      <c r="X600" s="308"/>
      <c r="Y600" s="308"/>
      <c r="Z600" s="604"/>
      <c r="AA600" s="308"/>
      <c r="AB600" s="308"/>
      <c r="AC600" s="449"/>
      <c r="AD600" s="449"/>
      <c r="AE600" s="449"/>
      <c r="AF600" s="449"/>
      <c r="AG600" s="452"/>
      <c r="AH600" s="452"/>
      <c r="AI600" s="452"/>
      <c r="AJ600" s="452"/>
      <c r="AK600" s="452"/>
      <c r="AL600" s="104"/>
      <c r="AM600" s="32"/>
      <c r="AN600" s="32"/>
      <c r="AO600" s="32"/>
      <c r="AP600" s="32"/>
      <c r="AQ600" s="31"/>
      <c r="AR600" s="31"/>
      <c r="AS600" s="31"/>
      <c r="AT600" s="31"/>
      <c r="AU600" s="31"/>
      <c r="AV600" s="31"/>
      <c r="AW600" s="31"/>
      <c r="AX600" s="31"/>
      <c r="AY600" s="31"/>
      <c r="AZ600" s="31"/>
      <c r="BA600" s="31"/>
      <c r="BB600" s="31"/>
      <c r="BC600" s="31"/>
      <c r="BD600" s="31"/>
      <c r="BE600" s="31"/>
      <c r="BF600" s="31"/>
      <c r="BG600" s="31"/>
      <c r="BH600" s="31"/>
      <c r="BI600" s="31"/>
      <c r="BJ600" s="31"/>
      <c r="BK600" s="31"/>
      <c r="BL600" s="31"/>
      <c r="BM600" s="25"/>
      <c r="BN600" s="25"/>
      <c r="BO600" s="25"/>
      <c r="BP600" s="25"/>
      <c r="BQ600" s="25"/>
      <c r="BR600" s="25"/>
      <c r="BS600" s="25"/>
      <c r="BT600" s="25"/>
      <c r="BU600" s="25"/>
      <c r="BV600" s="25"/>
      <c r="BW600" s="25"/>
      <c r="BX600" s="25"/>
      <c r="BY600" s="25"/>
      <c r="BZ600" s="25"/>
      <c r="CA600" s="25"/>
      <c r="CB600" s="25"/>
      <c r="CC600" s="25"/>
      <c r="CD600" s="25"/>
      <c r="CE600" s="25"/>
      <c r="CF600" s="25"/>
      <c r="CG600" s="25"/>
      <c r="CH600" s="25"/>
      <c r="CI600" s="25"/>
      <c r="CJ600" s="25"/>
      <c r="CK600" s="25"/>
      <c r="CL600" s="25"/>
      <c r="CM600" s="25"/>
      <c r="CN600" s="25"/>
      <c r="CO600" s="25"/>
      <c r="CP600" s="25"/>
      <c r="CQ600" s="25"/>
      <c r="CR600" s="25"/>
      <c r="CS600" s="25"/>
      <c r="CT600" s="25"/>
      <c r="CU600" s="25"/>
      <c r="CV600" s="25"/>
      <c r="CW600" s="25"/>
      <c r="CX600" s="25"/>
      <c r="CY600" s="25"/>
      <c r="CZ600" s="25"/>
      <c r="DA600" s="25"/>
      <c r="DB600" s="25"/>
      <c r="DC600" s="25"/>
      <c r="DD600" s="25"/>
      <c r="DE600" s="25"/>
      <c r="DF600" s="25"/>
      <c r="DG600" s="25"/>
      <c r="DH600" s="25"/>
      <c r="DI600" s="25"/>
      <c r="DJ600" s="25"/>
      <c r="DK600" s="25"/>
      <c r="DL600" s="25"/>
      <c r="DM600" s="25"/>
      <c r="DN600" s="25"/>
      <c r="DO600" s="25"/>
      <c r="DP600" s="25"/>
      <c r="DQ600" s="25"/>
      <c r="DR600" s="25"/>
      <c r="DS600" s="25"/>
      <c r="DT600" s="25"/>
      <c r="DU600" s="25"/>
      <c r="DV600" s="25"/>
      <c r="DW600" s="25"/>
      <c r="DX600" s="25"/>
      <c r="DY600" s="25"/>
      <c r="DZ600" s="25"/>
      <c r="EA600" s="25"/>
      <c r="EB600" s="25"/>
      <c r="EC600" s="25"/>
      <c r="ED600" s="25"/>
      <c r="EE600" s="25"/>
      <c r="EF600" s="25"/>
      <c r="EG600" s="25"/>
      <c r="EH600" s="25"/>
      <c r="EI600" s="25"/>
      <c r="EJ600" s="25"/>
      <c r="EK600" s="25"/>
      <c r="EL600" s="25"/>
      <c r="EM600" s="25"/>
      <c r="EN600" s="25"/>
      <c r="EO600" s="25"/>
      <c r="EP600" s="25"/>
      <c r="EQ600" s="25"/>
      <c r="ER600" s="25"/>
      <c r="ES600" s="25"/>
      <c r="ET600" s="25"/>
      <c r="EU600" s="25"/>
      <c r="EV600" s="25"/>
      <c r="EW600" s="25"/>
      <c r="EX600" s="25"/>
      <c r="EY600" s="25"/>
      <c r="EZ600" s="25"/>
      <c r="FA600" s="25"/>
      <c r="FB600" s="25"/>
      <c r="FC600" s="25"/>
      <c r="FD600" s="25"/>
      <c r="FE600" s="25"/>
      <c r="FF600" s="25"/>
      <c r="FG600" s="25"/>
      <c r="FH600" s="25"/>
      <c r="FI600" s="25"/>
      <c r="FJ600" s="25"/>
      <c r="FK600" s="25"/>
      <c r="FL600" s="25"/>
      <c r="FM600" s="25"/>
      <c r="FN600" s="25"/>
      <c r="FO600" s="25"/>
      <c r="FP600" s="25"/>
      <c r="FQ600" s="25"/>
      <c r="FR600" s="25"/>
      <c r="FS600" s="25"/>
      <c r="FT600" s="25"/>
      <c r="FU600" s="25"/>
      <c r="FV600" s="25"/>
      <c r="FW600" s="25"/>
      <c r="FX600" s="25"/>
      <c r="FY600" s="25"/>
      <c r="FZ600" s="25"/>
      <c r="GA600" s="25"/>
      <c r="GB600" s="25"/>
      <c r="GC600" s="25"/>
      <c r="GD600" s="25"/>
      <c r="GE600" s="25"/>
      <c r="GF600" s="25"/>
      <c r="GG600" s="25"/>
      <c r="GH600" s="25"/>
      <c r="GI600" s="25"/>
      <c r="GJ600" s="25"/>
      <c r="GK600" s="25"/>
      <c r="GL600" s="25"/>
      <c r="GM600" s="25"/>
      <c r="GN600" s="25"/>
      <c r="GO600" s="25"/>
      <c r="GP600" s="25"/>
      <c r="GQ600" s="25"/>
      <c r="GR600" s="25"/>
      <c r="GS600" s="25"/>
      <c r="GT600" s="25"/>
      <c r="GU600" s="25"/>
      <c r="GV600" s="25"/>
      <c r="GW600" s="25"/>
      <c r="GX600" s="25"/>
      <c r="GY600" s="25"/>
      <c r="GZ600" s="25"/>
      <c r="HA600" s="25"/>
      <c r="HB600" s="25"/>
      <c r="HC600" s="25"/>
      <c r="HD600" s="25"/>
      <c r="HE600" s="25"/>
      <c r="HF600" s="25"/>
      <c r="HG600" s="25"/>
      <c r="HH600" s="25"/>
      <c r="HI600" s="25"/>
      <c r="HJ600" s="25"/>
      <c r="HK600" s="25"/>
      <c r="HL600" s="25"/>
      <c r="HM600" s="25"/>
      <c r="HN600" s="25"/>
      <c r="HO600" s="25"/>
      <c r="HP600" s="25"/>
      <c r="HQ600" s="25"/>
      <c r="HR600" s="25"/>
      <c r="HS600" s="25"/>
      <c r="HT600" s="25"/>
      <c r="HU600" s="25"/>
      <c r="HV600" s="25"/>
      <c r="HW600" s="25"/>
      <c r="HX600" s="25"/>
      <c r="HY600" s="25"/>
      <c r="HZ600" s="25"/>
      <c r="IA600" s="25"/>
      <c r="IB600" s="25"/>
      <c r="IC600" s="25"/>
      <c r="ID600" s="25"/>
      <c r="IE600" s="25"/>
      <c r="IF600" s="25"/>
      <c r="IG600" s="25"/>
      <c r="IH600" s="25"/>
      <c r="II600" s="25"/>
      <c r="IJ600" s="25"/>
      <c r="IK600" s="25"/>
      <c r="IL600" s="25"/>
      <c r="IM600" s="25"/>
      <c r="IN600" s="25"/>
      <c r="IO600" s="25"/>
      <c r="IP600" s="25"/>
      <c r="IQ600" s="25"/>
      <c r="IR600" s="25"/>
      <c r="IS600" s="25"/>
      <c r="IT600" s="25"/>
      <c r="IU600" s="25"/>
      <c r="IV600" s="25"/>
      <c r="IW600" s="25"/>
      <c r="IX600" s="25"/>
      <c r="IY600" s="25"/>
      <c r="IZ600" s="25"/>
      <c r="JA600" s="25"/>
      <c r="JB600" s="25"/>
      <c r="JC600" s="25"/>
      <c r="JD600" s="25"/>
      <c r="JE600" s="25"/>
      <c r="JF600" s="25"/>
      <c r="JG600" s="25"/>
      <c r="JH600" s="25"/>
      <c r="JI600" s="25"/>
      <c r="JJ600" s="25"/>
      <c r="JK600" s="25"/>
      <c r="JL600" s="25"/>
      <c r="JM600" s="25"/>
      <c r="JN600" s="25"/>
      <c r="JO600" s="25"/>
      <c r="JP600" s="25"/>
      <c r="JQ600" s="25"/>
      <c r="JR600" s="25"/>
      <c r="JS600" s="25"/>
      <c r="JT600" s="25"/>
      <c r="JU600" s="25"/>
      <c r="JV600" s="25"/>
      <c r="JW600" s="25"/>
      <c r="JX600" s="25"/>
      <c r="JY600" s="25"/>
      <c r="JZ600" s="25"/>
      <c r="KA600" s="25"/>
      <c r="KB600" s="25"/>
      <c r="KC600" s="25"/>
      <c r="KD600" s="25"/>
      <c r="KE600" s="25"/>
      <c r="KF600" s="25"/>
      <c r="KG600" s="25"/>
      <c r="KH600" s="25"/>
      <c r="KI600" s="25"/>
      <c r="KJ600" s="25"/>
      <c r="KK600" s="25"/>
      <c r="KL600" s="25"/>
      <c r="KM600" s="25"/>
      <c r="KN600" s="25"/>
      <c r="KO600" s="25"/>
      <c r="KP600" s="25"/>
      <c r="KQ600" s="25"/>
      <c r="KR600" s="25"/>
      <c r="KS600" s="25"/>
      <c r="KT600" s="25"/>
      <c r="KU600" s="25"/>
      <c r="KV600" s="25"/>
      <c r="KW600" s="25"/>
      <c r="KX600" s="25"/>
      <c r="KY600" s="25"/>
      <c r="KZ600" s="25"/>
      <c r="LA600" s="25"/>
      <c r="LB600" s="25"/>
      <c r="LC600" s="25"/>
      <c r="LD600" s="25"/>
      <c r="LE600" s="25"/>
      <c r="LF600" s="25"/>
      <c r="LG600" s="25"/>
      <c r="LH600" s="25"/>
      <c r="LI600" s="25"/>
      <c r="LJ600" s="25"/>
      <c r="LK600" s="25"/>
      <c r="LL600" s="25"/>
      <c r="LM600" s="25"/>
      <c r="LN600" s="25"/>
      <c r="LO600" s="25"/>
      <c r="LP600" s="25"/>
      <c r="LQ600" s="25"/>
      <c r="LR600" s="25"/>
      <c r="LS600" s="25"/>
      <c r="LT600" s="25"/>
      <c r="LU600" s="25"/>
      <c r="LV600" s="25"/>
      <c r="LW600" s="25"/>
      <c r="LX600" s="25"/>
      <c r="LY600" s="25"/>
      <c r="LZ600" s="25"/>
      <c r="MA600" s="25"/>
      <c r="MB600" s="25"/>
      <c r="MC600" s="25"/>
      <c r="MD600" s="25"/>
      <c r="ME600" s="25"/>
      <c r="MF600" s="25"/>
      <c r="MG600" s="25"/>
      <c r="MH600" s="25"/>
      <c r="MI600" s="25"/>
      <c r="MJ600" s="25"/>
      <c r="MK600" s="25"/>
      <c r="ML600" s="25"/>
      <c r="MM600" s="25"/>
      <c r="MN600" s="25"/>
      <c r="MO600" s="25"/>
      <c r="MP600" s="25"/>
      <c r="MQ600" s="25"/>
      <c r="MR600" s="25"/>
      <c r="MS600" s="25"/>
      <c r="MT600" s="25"/>
      <c r="MU600" s="25"/>
      <c r="MV600" s="25"/>
      <c r="MW600" s="25"/>
      <c r="MX600" s="25"/>
      <c r="MY600" s="25"/>
      <c r="MZ600" s="25"/>
      <c r="NA600" s="25"/>
      <c r="NB600" s="25"/>
      <c r="NC600" s="25"/>
      <c r="ND600" s="25"/>
      <c r="NE600" s="25"/>
      <c r="NF600" s="25"/>
      <c r="NG600" s="25"/>
      <c r="NH600" s="25"/>
      <c r="NI600" s="25"/>
      <c r="NJ600" s="25"/>
      <c r="NK600" s="25"/>
      <c r="NL600" s="25"/>
      <c r="NM600" s="25"/>
      <c r="NN600" s="25"/>
      <c r="NO600" s="25"/>
      <c r="NP600" s="25"/>
      <c r="NQ600" s="25"/>
      <c r="NR600" s="25"/>
      <c r="NS600" s="25"/>
      <c r="NT600" s="25"/>
      <c r="NU600" s="25"/>
      <c r="NV600" s="25"/>
      <c r="NW600" s="25"/>
      <c r="NX600" s="25"/>
      <c r="NY600" s="25"/>
      <c r="NZ600" s="25"/>
      <c r="OA600" s="25"/>
      <c r="OB600" s="25"/>
      <c r="OC600" s="25"/>
      <c r="OD600" s="25"/>
      <c r="OE600" s="25"/>
      <c r="OF600" s="25"/>
      <c r="OG600" s="25"/>
      <c r="OH600" s="25"/>
      <c r="OI600" s="25"/>
      <c r="OJ600" s="25"/>
      <c r="OK600" s="25"/>
      <c r="OL600" s="25"/>
      <c r="OM600" s="25"/>
      <c r="ON600" s="25"/>
      <c r="OO600" s="25"/>
      <c r="OP600" s="25"/>
      <c r="OQ600" s="25"/>
      <c r="OR600" s="25"/>
      <c r="OS600" s="25"/>
      <c r="OT600" s="25"/>
      <c r="OU600" s="25"/>
      <c r="OV600" s="25"/>
      <c r="OW600" s="25"/>
      <c r="OX600" s="25"/>
      <c r="OY600" s="25"/>
      <c r="OZ600" s="25"/>
      <c r="PA600" s="25"/>
      <c r="PB600" s="25"/>
      <c r="PC600" s="25"/>
      <c r="PD600" s="25"/>
      <c r="PE600" s="25"/>
      <c r="PF600" s="25"/>
      <c r="PG600" s="25"/>
      <c r="PH600" s="25"/>
      <c r="PI600" s="25"/>
      <c r="PJ600" s="25"/>
      <c r="PK600" s="25"/>
      <c r="PL600" s="25"/>
      <c r="PM600" s="25"/>
      <c r="PN600" s="25"/>
      <c r="PO600" s="25"/>
      <c r="PP600" s="25"/>
      <c r="PQ600" s="25"/>
      <c r="PR600" s="25"/>
      <c r="PS600" s="25"/>
      <c r="PT600" s="25"/>
      <c r="PU600" s="25"/>
      <c r="PV600" s="25"/>
      <c r="PW600" s="25"/>
      <c r="PX600" s="25"/>
      <c r="PY600" s="25"/>
      <c r="PZ600" s="25"/>
      <c r="QA600" s="25"/>
      <c r="QB600" s="25"/>
      <c r="QC600" s="25"/>
      <c r="QD600" s="25"/>
      <c r="QE600" s="25"/>
      <c r="QF600" s="25"/>
      <c r="QG600" s="25"/>
      <c r="QH600" s="25"/>
      <c r="QI600" s="25"/>
      <c r="QJ600" s="25"/>
      <c r="QK600" s="25"/>
      <c r="QL600" s="25"/>
      <c r="QM600" s="25"/>
      <c r="QN600" s="25"/>
      <c r="QO600" s="25"/>
      <c r="QP600" s="25"/>
      <c r="QQ600" s="25"/>
      <c r="QR600" s="25"/>
      <c r="QS600" s="25"/>
      <c r="QT600" s="25"/>
      <c r="QU600" s="25"/>
      <c r="QV600" s="25"/>
      <c r="QW600" s="25"/>
      <c r="QX600" s="25"/>
      <c r="QY600" s="25"/>
      <c r="QZ600" s="25"/>
      <c r="RA600" s="25"/>
      <c r="RB600" s="25"/>
      <c r="RC600" s="25"/>
      <c r="RD600" s="25"/>
      <c r="RE600" s="25"/>
      <c r="RF600" s="25"/>
      <c r="RG600" s="25"/>
      <c r="RH600" s="25"/>
      <c r="RI600" s="25"/>
      <c r="RJ600" s="25"/>
      <c r="RK600" s="25"/>
      <c r="RL600" s="25"/>
      <c r="RM600" s="25"/>
      <c r="RN600" s="25"/>
      <c r="RO600" s="25"/>
      <c r="RP600" s="25"/>
      <c r="RQ600" s="25"/>
      <c r="RR600" s="25"/>
      <c r="RS600" s="25"/>
      <c r="RT600" s="25"/>
      <c r="RU600" s="25"/>
      <c r="RV600" s="25"/>
      <c r="RW600" s="25"/>
      <c r="RX600" s="25"/>
      <c r="RY600" s="25"/>
      <c r="RZ600" s="25"/>
      <c r="SA600" s="25"/>
      <c r="SB600" s="25"/>
      <c r="SC600" s="25"/>
      <c r="SD600" s="25"/>
      <c r="SE600" s="25"/>
      <c r="SF600" s="25"/>
      <c r="SG600" s="25"/>
      <c r="SH600" s="25"/>
      <c r="SI600" s="25"/>
      <c r="SJ600" s="25"/>
      <c r="SK600" s="25"/>
      <c r="SL600" s="25"/>
      <c r="SM600" s="25"/>
      <c r="SN600" s="25"/>
      <c r="SO600" s="25"/>
      <c r="SP600" s="25"/>
      <c r="SQ600" s="25"/>
      <c r="SR600" s="25"/>
      <c r="SS600" s="25"/>
      <c r="ST600" s="25"/>
      <c r="SU600" s="25"/>
      <c r="SV600" s="25"/>
      <c r="SW600" s="25"/>
      <c r="SX600" s="25"/>
      <c r="SY600" s="25"/>
      <c r="SZ600" s="25"/>
      <c r="TA600" s="25"/>
      <c r="TB600" s="25"/>
      <c r="TC600" s="25"/>
      <c r="TD600" s="25"/>
      <c r="TE600" s="25"/>
      <c r="TF600" s="25"/>
      <c r="TG600" s="25"/>
      <c r="TH600" s="25"/>
      <c r="TI600" s="25"/>
      <c r="TJ600" s="25"/>
      <c r="TK600" s="25"/>
      <c r="TL600" s="25"/>
      <c r="TM600" s="25"/>
      <c r="TN600" s="25"/>
      <c r="TO600" s="25"/>
      <c r="TP600" s="25"/>
      <c r="TQ600" s="25"/>
      <c r="TR600" s="25"/>
      <c r="TS600" s="25"/>
      <c r="TT600" s="25"/>
      <c r="TU600" s="25"/>
      <c r="TV600" s="25"/>
      <c r="TW600" s="25"/>
      <c r="TX600" s="25"/>
      <c r="TY600" s="25"/>
      <c r="TZ600" s="25"/>
      <c r="UA600" s="25"/>
      <c r="UB600" s="25"/>
      <c r="UC600" s="25"/>
      <c r="UD600" s="25"/>
      <c r="UE600" s="25"/>
      <c r="UF600" s="25"/>
      <c r="UG600" s="26"/>
    </row>
    <row r="601" spans="1:553" ht="50.25" customHeight="1">
      <c r="A601" s="356" t="s">
        <v>30</v>
      </c>
      <c r="B601" s="385">
        <v>39</v>
      </c>
      <c r="C601" s="1404" t="s">
        <v>429</v>
      </c>
      <c r="D601" s="1389"/>
      <c r="E601" s="1389"/>
      <c r="F601" s="1390"/>
      <c r="G601" s="386" t="s">
        <v>33</v>
      </c>
      <c r="H601" s="370"/>
      <c r="I601" s="417">
        <f>6.2*0.48*1</f>
        <v>2.976</v>
      </c>
      <c r="J601" s="368">
        <v>39000</v>
      </c>
      <c r="K601" s="371"/>
      <c r="L601" s="487">
        <f t="shared" si="101"/>
        <v>116064</v>
      </c>
      <c r="M601" s="395"/>
      <c r="N601" s="395"/>
      <c r="O601" s="366"/>
      <c r="P601" s="396"/>
      <c r="Q601" s="473"/>
      <c r="R601" s="1039"/>
      <c r="S601" s="308"/>
      <c r="T601" s="308"/>
      <c r="U601" s="308"/>
      <c r="V601" s="308"/>
      <c r="W601" s="308"/>
      <c r="X601" s="308"/>
      <c r="Y601" s="308"/>
      <c r="Z601" s="604"/>
      <c r="AA601" s="308"/>
      <c r="AB601" s="308"/>
      <c r="AC601" s="449"/>
      <c r="AD601" s="449"/>
      <c r="AE601" s="449"/>
      <c r="AF601" s="449"/>
      <c r="AG601" s="452"/>
      <c r="AH601" s="452"/>
      <c r="AI601" s="452"/>
      <c r="AJ601" s="452"/>
      <c r="AK601" s="452"/>
      <c r="AL601" s="104"/>
      <c r="AM601" s="32"/>
      <c r="AN601" s="32"/>
      <c r="AO601" s="32"/>
      <c r="AP601" s="32"/>
      <c r="AQ601" s="31"/>
      <c r="AR601" s="31"/>
      <c r="AS601" s="31"/>
      <c r="AT601" s="31"/>
      <c r="AU601" s="31"/>
      <c r="AV601" s="31"/>
      <c r="AW601" s="31"/>
      <c r="AX601" s="31"/>
      <c r="AY601" s="31"/>
      <c r="AZ601" s="31"/>
      <c r="BA601" s="31"/>
      <c r="BB601" s="31"/>
      <c r="BC601" s="31"/>
      <c r="BD601" s="31"/>
      <c r="BE601" s="31"/>
      <c r="BF601" s="31"/>
      <c r="BG601" s="31"/>
      <c r="BH601" s="31"/>
      <c r="BI601" s="31"/>
      <c r="BJ601" s="31"/>
      <c r="BK601" s="31"/>
      <c r="BL601" s="31"/>
      <c r="BM601" s="25"/>
      <c r="BN601" s="25"/>
      <c r="BO601" s="25"/>
      <c r="BP601" s="25"/>
      <c r="BQ601" s="25"/>
      <c r="BR601" s="25"/>
      <c r="BS601" s="25"/>
      <c r="BT601" s="25"/>
      <c r="BU601" s="25"/>
      <c r="BV601" s="25"/>
      <c r="BW601" s="25"/>
      <c r="BX601" s="25"/>
      <c r="BY601" s="25"/>
      <c r="BZ601" s="25"/>
      <c r="CA601" s="25"/>
      <c r="CB601" s="25"/>
      <c r="CC601" s="25"/>
      <c r="CD601" s="25"/>
      <c r="CE601" s="25"/>
      <c r="CF601" s="25"/>
      <c r="CG601" s="25"/>
      <c r="CH601" s="25"/>
      <c r="CI601" s="25"/>
      <c r="CJ601" s="25"/>
      <c r="CK601" s="25"/>
      <c r="CL601" s="25"/>
      <c r="CM601" s="25"/>
      <c r="CN601" s="25"/>
      <c r="CO601" s="25"/>
      <c r="CP601" s="25"/>
      <c r="CQ601" s="25"/>
      <c r="CR601" s="25"/>
      <c r="CS601" s="25"/>
      <c r="CT601" s="25"/>
      <c r="CU601" s="25"/>
      <c r="CV601" s="25"/>
      <c r="CW601" s="25"/>
      <c r="CX601" s="25"/>
      <c r="CY601" s="25"/>
      <c r="CZ601" s="25"/>
      <c r="DA601" s="25"/>
      <c r="DB601" s="25"/>
      <c r="DC601" s="25"/>
      <c r="DD601" s="25"/>
      <c r="DE601" s="25"/>
      <c r="DF601" s="25"/>
      <c r="DG601" s="25"/>
      <c r="DH601" s="25"/>
      <c r="DI601" s="25"/>
      <c r="DJ601" s="25"/>
      <c r="DK601" s="25"/>
      <c r="DL601" s="25"/>
      <c r="DM601" s="25"/>
      <c r="DN601" s="25"/>
      <c r="DO601" s="25"/>
      <c r="DP601" s="25"/>
      <c r="DQ601" s="25"/>
      <c r="DR601" s="25"/>
      <c r="DS601" s="25"/>
      <c r="DT601" s="25"/>
      <c r="DU601" s="25"/>
      <c r="DV601" s="25"/>
      <c r="DW601" s="25"/>
      <c r="DX601" s="25"/>
      <c r="DY601" s="25"/>
      <c r="DZ601" s="25"/>
      <c r="EA601" s="25"/>
      <c r="EB601" s="25"/>
      <c r="EC601" s="25"/>
      <c r="ED601" s="25"/>
      <c r="EE601" s="25"/>
      <c r="EF601" s="25"/>
      <c r="EG601" s="25"/>
      <c r="EH601" s="25"/>
      <c r="EI601" s="25"/>
      <c r="EJ601" s="25"/>
      <c r="EK601" s="25"/>
      <c r="EL601" s="25"/>
      <c r="EM601" s="25"/>
      <c r="EN601" s="25"/>
      <c r="EO601" s="25"/>
      <c r="EP601" s="25"/>
      <c r="EQ601" s="25"/>
      <c r="ER601" s="25"/>
      <c r="ES601" s="25"/>
      <c r="ET601" s="25"/>
      <c r="EU601" s="25"/>
      <c r="EV601" s="25"/>
      <c r="EW601" s="25"/>
      <c r="EX601" s="25"/>
      <c r="EY601" s="25"/>
      <c r="EZ601" s="25"/>
      <c r="FA601" s="25"/>
      <c r="FB601" s="25"/>
      <c r="FC601" s="25"/>
      <c r="FD601" s="25"/>
      <c r="FE601" s="25"/>
      <c r="FF601" s="25"/>
      <c r="FG601" s="25"/>
      <c r="FH601" s="25"/>
      <c r="FI601" s="25"/>
      <c r="FJ601" s="25"/>
      <c r="FK601" s="25"/>
      <c r="FL601" s="25"/>
      <c r="FM601" s="25"/>
      <c r="FN601" s="25"/>
      <c r="FO601" s="25"/>
      <c r="FP601" s="25"/>
      <c r="FQ601" s="25"/>
      <c r="FR601" s="25"/>
      <c r="FS601" s="25"/>
      <c r="FT601" s="25"/>
      <c r="FU601" s="25"/>
      <c r="FV601" s="25"/>
      <c r="FW601" s="25"/>
      <c r="FX601" s="25"/>
      <c r="FY601" s="25"/>
      <c r="FZ601" s="25"/>
      <c r="GA601" s="25"/>
      <c r="GB601" s="25"/>
      <c r="GC601" s="25"/>
      <c r="GD601" s="25"/>
      <c r="GE601" s="25"/>
      <c r="GF601" s="25"/>
      <c r="GG601" s="25"/>
      <c r="GH601" s="25"/>
      <c r="GI601" s="25"/>
      <c r="GJ601" s="25"/>
      <c r="GK601" s="25"/>
      <c r="GL601" s="25"/>
      <c r="GM601" s="25"/>
      <c r="GN601" s="25"/>
      <c r="GO601" s="25"/>
      <c r="GP601" s="25"/>
      <c r="GQ601" s="25"/>
      <c r="GR601" s="25"/>
      <c r="GS601" s="25"/>
      <c r="GT601" s="25"/>
      <c r="GU601" s="25"/>
      <c r="GV601" s="25"/>
      <c r="GW601" s="25"/>
      <c r="GX601" s="25"/>
      <c r="GY601" s="25"/>
      <c r="GZ601" s="25"/>
      <c r="HA601" s="25"/>
      <c r="HB601" s="25"/>
      <c r="HC601" s="25"/>
      <c r="HD601" s="25"/>
      <c r="HE601" s="25"/>
      <c r="HF601" s="25"/>
      <c r="HG601" s="25"/>
      <c r="HH601" s="25"/>
      <c r="HI601" s="25"/>
      <c r="HJ601" s="25"/>
      <c r="HK601" s="25"/>
      <c r="HL601" s="25"/>
      <c r="HM601" s="25"/>
      <c r="HN601" s="25"/>
      <c r="HO601" s="25"/>
      <c r="HP601" s="25"/>
      <c r="HQ601" s="25"/>
      <c r="HR601" s="25"/>
      <c r="HS601" s="25"/>
      <c r="HT601" s="25"/>
      <c r="HU601" s="25"/>
      <c r="HV601" s="25"/>
      <c r="HW601" s="25"/>
      <c r="HX601" s="25"/>
      <c r="HY601" s="25"/>
      <c r="HZ601" s="25"/>
      <c r="IA601" s="25"/>
      <c r="IB601" s="25"/>
      <c r="IC601" s="25"/>
      <c r="ID601" s="25"/>
      <c r="IE601" s="25"/>
      <c r="IF601" s="25"/>
      <c r="IG601" s="25"/>
      <c r="IH601" s="25"/>
      <c r="II601" s="25"/>
      <c r="IJ601" s="25"/>
      <c r="IK601" s="25"/>
      <c r="IL601" s="25"/>
      <c r="IM601" s="25"/>
      <c r="IN601" s="25"/>
      <c r="IO601" s="25"/>
      <c r="IP601" s="25"/>
      <c r="IQ601" s="25"/>
      <c r="IR601" s="25"/>
      <c r="IS601" s="25"/>
      <c r="IT601" s="25"/>
      <c r="IU601" s="25"/>
      <c r="IV601" s="25"/>
      <c r="IW601" s="25"/>
      <c r="IX601" s="25"/>
      <c r="IY601" s="25"/>
      <c r="IZ601" s="25"/>
      <c r="JA601" s="25"/>
      <c r="JB601" s="25"/>
      <c r="JC601" s="25"/>
      <c r="JD601" s="25"/>
      <c r="JE601" s="25"/>
      <c r="JF601" s="25"/>
      <c r="JG601" s="25"/>
      <c r="JH601" s="25"/>
      <c r="JI601" s="25"/>
      <c r="JJ601" s="25"/>
      <c r="JK601" s="25"/>
      <c r="JL601" s="25"/>
      <c r="JM601" s="25"/>
      <c r="JN601" s="25"/>
      <c r="JO601" s="25"/>
      <c r="JP601" s="25"/>
      <c r="JQ601" s="25"/>
      <c r="JR601" s="25"/>
      <c r="JS601" s="25"/>
      <c r="JT601" s="25"/>
      <c r="JU601" s="25"/>
      <c r="JV601" s="25"/>
      <c r="JW601" s="25"/>
      <c r="JX601" s="25"/>
      <c r="JY601" s="25"/>
      <c r="JZ601" s="25"/>
      <c r="KA601" s="25"/>
      <c r="KB601" s="25"/>
      <c r="KC601" s="25"/>
      <c r="KD601" s="25"/>
      <c r="KE601" s="25"/>
      <c r="KF601" s="25"/>
      <c r="KG601" s="25"/>
      <c r="KH601" s="25"/>
      <c r="KI601" s="25"/>
      <c r="KJ601" s="25"/>
      <c r="KK601" s="25"/>
      <c r="KL601" s="25"/>
      <c r="KM601" s="25"/>
      <c r="KN601" s="25"/>
      <c r="KO601" s="25"/>
      <c r="KP601" s="25"/>
      <c r="KQ601" s="25"/>
      <c r="KR601" s="25"/>
      <c r="KS601" s="25"/>
      <c r="KT601" s="25"/>
      <c r="KU601" s="25"/>
      <c r="KV601" s="25"/>
      <c r="KW601" s="25"/>
      <c r="KX601" s="25"/>
      <c r="KY601" s="25"/>
      <c r="KZ601" s="25"/>
      <c r="LA601" s="25"/>
      <c r="LB601" s="25"/>
      <c r="LC601" s="25"/>
      <c r="LD601" s="25"/>
      <c r="LE601" s="25"/>
      <c r="LF601" s="25"/>
      <c r="LG601" s="25"/>
      <c r="LH601" s="25"/>
      <c r="LI601" s="25"/>
      <c r="LJ601" s="25"/>
      <c r="LK601" s="25"/>
      <c r="LL601" s="25"/>
      <c r="LM601" s="25"/>
      <c r="LN601" s="25"/>
      <c r="LO601" s="25"/>
      <c r="LP601" s="25"/>
      <c r="LQ601" s="25"/>
      <c r="LR601" s="25"/>
      <c r="LS601" s="25"/>
      <c r="LT601" s="25"/>
      <c r="LU601" s="25"/>
      <c r="LV601" s="25"/>
      <c r="LW601" s="25"/>
      <c r="LX601" s="25"/>
      <c r="LY601" s="25"/>
      <c r="LZ601" s="25"/>
      <c r="MA601" s="25"/>
      <c r="MB601" s="25"/>
      <c r="MC601" s="25"/>
      <c r="MD601" s="25"/>
      <c r="ME601" s="25"/>
      <c r="MF601" s="25"/>
      <c r="MG601" s="25"/>
      <c r="MH601" s="25"/>
      <c r="MI601" s="25"/>
      <c r="MJ601" s="25"/>
      <c r="MK601" s="25"/>
      <c r="ML601" s="25"/>
      <c r="MM601" s="25"/>
      <c r="MN601" s="25"/>
      <c r="MO601" s="25"/>
      <c r="MP601" s="25"/>
      <c r="MQ601" s="25"/>
      <c r="MR601" s="25"/>
      <c r="MS601" s="25"/>
      <c r="MT601" s="25"/>
      <c r="MU601" s="25"/>
      <c r="MV601" s="25"/>
      <c r="MW601" s="25"/>
      <c r="MX601" s="25"/>
      <c r="MY601" s="25"/>
      <c r="MZ601" s="25"/>
      <c r="NA601" s="25"/>
      <c r="NB601" s="25"/>
      <c r="NC601" s="25"/>
      <c r="ND601" s="25"/>
      <c r="NE601" s="25"/>
      <c r="NF601" s="25"/>
      <c r="NG601" s="25"/>
      <c r="NH601" s="25"/>
      <c r="NI601" s="25"/>
      <c r="NJ601" s="25"/>
      <c r="NK601" s="25"/>
      <c r="NL601" s="25"/>
      <c r="NM601" s="25"/>
      <c r="NN601" s="25"/>
      <c r="NO601" s="25"/>
      <c r="NP601" s="25"/>
      <c r="NQ601" s="25"/>
      <c r="NR601" s="25"/>
      <c r="NS601" s="25"/>
      <c r="NT601" s="25"/>
      <c r="NU601" s="25"/>
      <c r="NV601" s="25"/>
      <c r="NW601" s="25"/>
      <c r="NX601" s="25"/>
      <c r="NY601" s="25"/>
      <c r="NZ601" s="25"/>
      <c r="OA601" s="25"/>
      <c r="OB601" s="25"/>
      <c r="OC601" s="25"/>
      <c r="OD601" s="25"/>
      <c r="OE601" s="25"/>
      <c r="OF601" s="25"/>
      <c r="OG601" s="25"/>
      <c r="OH601" s="25"/>
      <c r="OI601" s="25"/>
      <c r="OJ601" s="25"/>
      <c r="OK601" s="25"/>
      <c r="OL601" s="25"/>
      <c r="OM601" s="25"/>
      <c r="ON601" s="25"/>
      <c r="OO601" s="25"/>
      <c r="OP601" s="25"/>
      <c r="OQ601" s="25"/>
      <c r="OR601" s="25"/>
      <c r="OS601" s="25"/>
      <c r="OT601" s="25"/>
      <c r="OU601" s="25"/>
      <c r="OV601" s="25"/>
      <c r="OW601" s="25"/>
      <c r="OX601" s="25"/>
      <c r="OY601" s="25"/>
      <c r="OZ601" s="25"/>
      <c r="PA601" s="25"/>
      <c r="PB601" s="25"/>
      <c r="PC601" s="25"/>
      <c r="PD601" s="25"/>
      <c r="PE601" s="25"/>
      <c r="PF601" s="25"/>
      <c r="PG601" s="25"/>
      <c r="PH601" s="25"/>
      <c r="PI601" s="25"/>
      <c r="PJ601" s="25"/>
      <c r="PK601" s="25"/>
      <c r="PL601" s="25"/>
      <c r="PM601" s="25"/>
      <c r="PN601" s="25"/>
      <c r="PO601" s="25"/>
      <c r="PP601" s="25"/>
      <c r="PQ601" s="25"/>
      <c r="PR601" s="25"/>
      <c r="PS601" s="25"/>
      <c r="PT601" s="25"/>
      <c r="PU601" s="25"/>
      <c r="PV601" s="25"/>
      <c r="PW601" s="25"/>
      <c r="PX601" s="25"/>
      <c r="PY601" s="25"/>
      <c r="PZ601" s="25"/>
      <c r="QA601" s="25"/>
      <c r="QB601" s="25"/>
      <c r="QC601" s="25"/>
      <c r="QD601" s="25"/>
      <c r="QE601" s="25"/>
      <c r="QF601" s="25"/>
      <c r="QG601" s="25"/>
      <c r="QH601" s="25"/>
      <c r="QI601" s="25"/>
      <c r="QJ601" s="25"/>
      <c r="QK601" s="25"/>
      <c r="QL601" s="25"/>
      <c r="QM601" s="25"/>
      <c r="QN601" s="25"/>
      <c r="QO601" s="25"/>
      <c r="QP601" s="25"/>
      <c r="QQ601" s="25"/>
      <c r="QR601" s="25"/>
      <c r="QS601" s="25"/>
      <c r="QT601" s="25"/>
      <c r="QU601" s="25"/>
      <c r="QV601" s="25"/>
      <c r="QW601" s="25"/>
      <c r="QX601" s="25"/>
      <c r="QY601" s="25"/>
      <c r="QZ601" s="25"/>
      <c r="RA601" s="25"/>
      <c r="RB601" s="25"/>
      <c r="RC601" s="25"/>
      <c r="RD601" s="25"/>
      <c r="RE601" s="25"/>
      <c r="RF601" s="25"/>
      <c r="RG601" s="25"/>
      <c r="RH601" s="25"/>
      <c r="RI601" s="25"/>
      <c r="RJ601" s="25"/>
      <c r="RK601" s="25"/>
      <c r="RL601" s="25"/>
      <c r="RM601" s="25"/>
      <c r="RN601" s="25"/>
      <c r="RO601" s="25"/>
      <c r="RP601" s="25"/>
      <c r="RQ601" s="25"/>
      <c r="RR601" s="25"/>
      <c r="RS601" s="25"/>
      <c r="RT601" s="25"/>
      <c r="RU601" s="25"/>
      <c r="RV601" s="25"/>
      <c r="RW601" s="25"/>
      <c r="RX601" s="25"/>
      <c r="RY601" s="25"/>
      <c r="RZ601" s="25"/>
      <c r="SA601" s="25"/>
      <c r="SB601" s="25"/>
      <c r="SC601" s="25"/>
      <c r="SD601" s="25"/>
      <c r="SE601" s="25"/>
      <c r="SF601" s="25"/>
      <c r="SG601" s="25"/>
      <c r="SH601" s="25"/>
      <c r="SI601" s="25"/>
      <c r="SJ601" s="25"/>
      <c r="SK601" s="25"/>
      <c r="SL601" s="25"/>
      <c r="SM601" s="25"/>
      <c r="SN601" s="25"/>
      <c r="SO601" s="25"/>
      <c r="SP601" s="25"/>
      <c r="SQ601" s="25"/>
      <c r="SR601" s="25"/>
      <c r="SS601" s="25"/>
      <c r="ST601" s="25"/>
      <c r="SU601" s="25"/>
      <c r="SV601" s="25"/>
      <c r="SW601" s="25"/>
      <c r="SX601" s="25"/>
      <c r="SY601" s="25"/>
      <c r="SZ601" s="25"/>
      <c r="TA601" s="25"/>
      <c r="TB601" s="25"/>
      <c r="TC601" s="25"/>
      <c r="TD601" s="25"/>
      <c r="TE601" s="25"/>
      <c r="TF601" s="25"/>
      <c r="TG601" s="25"/>
      <c r="TH601" s="25"/>
      <c r="TI601" s="25"/>
      <c r="TJ601" s="25"/>
      <c r="TK601" s="25"/>
      <c r="TL601" s="25"/>
      <c r="TM601" s="25"/>
      <c r="TN601" s="25"/>
      <c r="TO601" s="25"/>
      <c r="TP601" s="25"/>
      <c r="TQ601" s="25"/>
      <c r="TR601" s="25"/>
      <c r="TS601" s="25"/>
      <c r="TT601" s="25"/>
      <c r="TU601" s="25"/>
      <c r="TV601" s="25"/>
      <c r="TW601" s="25"/>
      <c r="TX601" s="25"/>
      <c r="TY601" s="25"/>
      <c r="TZ601" s="25"/>
      <c r="UA601" s="25"/>
      <c r="UB601" s="25"/>
      <c r="UC601" s="25"/>
      <c r="UD601" s="25"/>
      <c r="UE601" s="25"/>
      <c r="UF601" s="25"/>
      <c r="UG601" s="26"/>
    </row>
    <row r="602" spans="1:553" ht="50.25" customHeight="1">
      <c r="A602" s="356" t="s">
        <v>15</v>
      </c>
      <c r="B602" s="385">
        <v>19</v>
      </c>
      <c r="C602" s="1404" t="s">
        <v>430</v>
      </c>
      <c r="D602" s="1389"/>
      <c r="E602" s="1389"/>
      <c r="F602" s="1390"/>
      <c r="G602" s="386" t="s">
        <v>935</v>
      </c>
      <c r="H602" s="370"/>
      <c r="I602" s="834">
        <f>(3*1.3)+(0.9*1.5)+(0.9*1.3)+(0.9*1.5)</f>
        <v>7.77</v>
      </c>
      <c r="J602" s="368">
        <v>224200</v>
      </c>
      <c r="K602" s="371"/>
      <c r="L602" s="487">
        <f t="shared" si="101"/>
        <v>1742034</v>
      </c>
      <c r="M602" s="395"/>
      <c r="N602" s="395"/>
      <c r="O602" s="366"/>
      <c r="P602" s="396"/>
      <c r="Q602" s="473"/>
      <c r="R602" s="1039"/>
      <c r="S602" s="308"/>
      <c r="T602" s="308"/>
      <c r="U602" s="308"/>
      <c r="V602" s="308"/>
      <c r="W602" s="308"/>
      <c r="X602" s="308"/>
      <c r="Y602" s="308"/>
      <c r="Z602" s="604"/>
      <c r="AA602" s="308"/>
      <c r="AB602" s="308"/>
      <c r="AC602" s="449"/>
      <c r="AD602" s="449"/>
      <c r="AE602" s="449"/>
      <c r="AF602" s="449"/>
      <c r="AG602" s="452"/>
      <c r="AH602" s="452"/>
      <c r="AI602" s="452"/>
      <c r="AJ602" s="452"/>
      <c r="AK602" s="452"/>
      <c r="AL602" s="104"/>
      <c r="AM602" s="32"/>
      <c r="AN602" s="32"/>
      <c r="AO602" s="32"/>
      <c r="AP602" s="32"/>
      <c r="AQ602" s="31"/>
      <c r="AR602" s="31"/>
      <c r="AS602" s="31"/>
      <c r="AT602" s="31"/>
      <c r="AU602" s="31"/>
      <c r="AV602" s="31"/>
      <c r="AW602" s="31"/>
      <c r="AX602" s="31"/>
      <c r="AY602" s="31"/>
      <c r="AZ602" s="31"/>
      <c r="BA602" s="31"/>
      <c r="BB602" s="31"/>
      <c r="BC602" s="31"/>
      <c r="BD602" s="31"/>
      <c r="BE602" s="31"/>
      <c r="BF602" s="31"/>
      <c r="BG602" s="31"/>
      <c r="BH602" s="31"/>
      <c r="BI602" s="31"/>
      <c r="BJ602" s="31"/>
      <c r="BK602" s="31"/>
      <c r="BL602" s="31"/>
      <c r="BM602" s="25"/>
      <c r="BN602" s="25"/>
      <c r="BO602" s="25"/>
      <c r="BP602" s="25"/>
      <c r="BQ602" s="25"/>
      <c r="BR602" s="25"/>
      <c r="BS602" s="25"/>
      <c r="BT602" s="25"/>
      <c r="BU602" s="25"/>
      <c r="BV602" s="25"/>
      <c r="BW602" s="25"/>
      <c r="BX602" s="25"/>
      <c r="BY602" s="25"/>
      <c r="BZ602" s="25"/>
      <c r="CA602" s="25"/>
      <c r="CB602" s="25"/>
      <c r="CC602" s="25"/>
      <c r="CD602" s="25"/>
      <c r="CE602" s="25"/>
      <c r="CF602" s="25"/>
      <c r="CG602" s="25"/>
      <c r="CH602" s="25"/>
      <c r="CI602" s="25"/>
      <c r="CJ602" s="25"/>
      <c r="CK602" s="25"/>
      <c r="CL602" s="25"/>
      <c r="CM602" s="25"/>
      <c r="CN602" s="25"/>
      <c r="CO602" s="25"/>
      <c r="CP602" s="25"/>
      <c r="CQ602" s="25"/>
      <c r="CR602" s="25"/>
      <c r="CS602" s="25"/>
      <c r="CT602" s="25"/>
      <c r="CU602" s="25"/>
      <c r="CV602" s="25"/>
      <c r="CW602" s="25"/>
      <c r="CX602" s="25"/>
      <c r="CY602" s="25"/>
      <c r="CZ602" s="25"/>
      <c r="DA602" s="25"/>
      <c r="DB602" s="25"/>
      <c r="DC602" s="25"/>
      <c r="DD602" s="25"/>
      <c r="DE602" s="25"/>
      <c r="DF602" s="25"/>
      <c r="DG602" s="25"/>
      <c r="DH602" s="25"/>
      <c r="DI602" s="25"/>
      <c r="DJ602" s="25"/>
      <c r="DK602" s="25"/>
      <c r="DL602" s="25"/>
      <c r="DM602" s="25"/>
      <c r="DN602" s="25"/>
      <c r="DO602" s="25"/>
      <c r="DP602" s="25"/>
      <c r="DQ602" s="25"/>
      <c r="DR602" s="25"/>
      <c r="DS602" s="25"/>
      <c r="DT602" s="25"/>
      <c r="DU602" s="25"/>
      <c r="DV602" s="25"/>
      <c r="DW602" s="25"/>
      <c r="DX602" s="25"/>
      <c r="DY602" s="25"/>
      <c r="DZ602" s="25"/>
      <c r="EA602" s="25"/>
      <c r="EB602" s="25"/>
      <c r="EC602" s="25"/>
      <c r="ED602" s="25"/>
      <c r="EE602" s="25"/>
      <c r="EF602" s="25"/>
      <c r="EG602" s="25"/>
      <c r="EH602" s="25"/>
      <c r="EI602" s="25"/>
      <c r="EJ602" s="25"/>
      <c r="EK602" s="25"/>
      <c r="EL602" s="25"/>
      <c r="EM602" s="25"/>
      <c r="EN602" s="25"/>
      <c r="EO602" s="25"/>
      <c r="EP602" s="25"/>
      <c r="EQ602" s="25"/>
      <c r="ER602" s="25"/>
      <c r="ES602" s="25"/>
      <c r="ET602" s="25"/>
      <c r="EU602" s="25"/>
      <c r="EV602" s="25"/>
      <c r="EW602" s="25"/>
      <c r="EX602" s="25"/>
      <c r="EY602" s="25"/>
      <c r="EZ602" s="25"/>
      <c r="FA602" s="25"/>
      <c r="FB602" s="25"/>
      <c r="FC602" s="25"/>
      <c r="FD602" s="25"/>
      <c r="FE602" s="25"/>
      <c r="FF602" s="25"/>
      <c r="FG602" s="25"/>
      <c r="FH602" s="25"/>
      <c r="FI602" s="25"/>
      <c r="FJ602" s="25"/>
      <c r="FK602" s="25"/>
      <c r="FL602" s="25"/>
      <c r="FM602" s="25"/>
      <c r="FN602" s="25"/>
      <c r="FO602" s="25"/>
      <c r="FP602" s="25"/>
      <c r="FQ602" s="25"/>
      <c r="FR602" s="25"/>
      <c r="FS602" s="25"/>
      <c r="FT602" s="25"/>
      <c r="FU602" s="25"/>
      <c r="FV602" s="25"/>
      <c r="FW602" s="25"/>
      <c r="FX602" s="25"/>
      <c r="FY602" s="25"/>
      <c r="FZ602" s="25"/>
      <c r="GA602" s="25"/>
      <c r="GB602" s="25"/>
      <c r="GC602" s="25"/>
      <c r="GD602" s="25"/>
      <c r="GE602" s="25"/>
      <c r="GF602" s="25"/>
      <c r="GG602" s="25"/>
      <c r="GH602" s="25"/>
      <c r="GI602" s="25"/>
      <c r="GJ602" s="25"/>
      <c r="GK602" s="25"/>
      <c r="GL602" s="25"/>
      <c r="GM602" s="25"/>
      <c r="GN602" s="25"/>
      <c r="GO602" s="25"/>
      <c r="GP602" s="25"/>
      <c r="GQ602" s="25"/>
      <c r="GR602" s="25"/>
      <c r="GS602" s="25"/>
      <c r="GT602" s="25"/>
      <c r="GU602" s="25"/>
      <c r="GV602" s="25"/>
      <c r="GW602" s="25"/>
      <c r="GX602" s="25"/>
      <c r="GY602" s="25"/>
      <c r="GZ602" s="25"/>
      <c r="HA602" s="25"/>
      <c r="HB602" s="25"/>
      <c r="HC602" s="25"/>
      <c r="HD602" s="25"/>
      <c r="HE602" s="25"/>
      <c r="HF602" s="25"/>
      <c r="HG602" s="25"/>
      <c r="HH602" s="25"/>
      <c r="HI602" s="25"/>
      <c r="HJ602" s="25"/>
      <c r="HK602" s="25"/>
      <c r="HL602" s="25"/>
      <c r="HM602" s="25"/>
      <c r="HN602" s="25"/>
      <c r="HO602" s="25"/>
      <c r="HP602" s="25"/>
      <c r="HQ602" s="25"/>
      <c r="HR602" s="25"/>
      <c r="HS602" s="25"/>
      <c r="HT602" s="25"/>
      <c r="HU602" s="25"/>
      <c r="HV602" s="25"/>
      <c r="HW602" s="25"/>
      <c r="HX602" s="25"/>
      <c r="HY602" s="25"/>
      <c r="HZ602" s="25"/>
      <c r="IA602" s="25"/>
      <c r="IB602" s="25"/>
      <c r="IC602" s="25"/>
      <c r="ID602" s="25"/>
      <c r="IE602" s="25"/>
      <c r="IF602" s="25"/>
      <c r="IG602" s="25"/>
      <c r="IH602" s="25"/>
      <c r="II602" s="25"/>
      <c r="IJ602" s="25"/>
      <c r="IK602" s="25"/>
      <c r="IL602" s="25"/>
      <c r="IM602" s="25"/>
      <c r="IN602" s="25"/>
      <c r="IO602" s="25"/>
      <c r="IP602" s="25"/>
      <c r="IQ602" s="25"/>
      <c r="IR602" s="25"/>
      <c r="IS602" s="25"/>
      <c r="IT602" s="25"/>
      <c r="IU602" s="25"/>
      <c r="IV602" s="25"/>
      <c r="IW602" s="25"/>
      <c r="IX602" s="25"/>
      <c r="IY602" s="25"/>
      <c r="IZ602" s="25"/>
      <c r="JA602" s="25"/>
      <c r="JB602" s="25"/>
      <c r="JC602" s="25"/>
      <c r="JD602" s="25"/>
      <c r="JE602" s="25"/>
      <c r="JF602" s="25"/>
      <c r="JG602" s="25"/>
      <c r="JH602" s="25"/>
      <c r="JI602" s="25"/>
      <c r="JJ602" s="25"/>
      <c r="JK602" s="25"/>
      <c r="JL602" s="25"/>
      <c r="JM602" s="25"/>
      <c r="JN602" s="25"/>
      <c r="JO602" s="25"/>
      <c r="JP602" s="25"/>
      <c r="JQ602" s="25"/>
      <c r="JR602" s="25"/>
      <c r="JS602" s="25"/>
      <c r="JT602" s="25"/>
      <c r="JU602" s="25"/>
      <c r="JV602" s="25"/>
      <c r="JW602" s="25"/>
      <c r="JX602" s="25"/>
      <c r="JY602" s="25"/>
      <c r="JZ602" s="25"/>
      <c r="KA602" s="25"/>
      <c r="KB602" s="25"/>
      <c r="KC602" s="25"/>
      <c r="KD602" s="25"/>
      <c r="KE602" s="25"/>
      <c r="KF602" s="25"/>
      <c r="KG602" s="25"/>
      <c r="KH602" s="25"/>
      <c r="KI602" s="25"/>
      <c r="KJ602" s="25"/>
      <c r="KK602" s="25"/>
      <c r="KL602" s="25"/>
      <c r="KM602" s="25"/>
      <c r="KN602" s="25"/>
      <c r="KO602" s="25"/>
      <c r="KP602" s="25"/>
      <c r="KQ602" s="25"/>
      <c r="KR602" s="25"/>
      <c r="KS602" s="25"/>
      <c r="KT602" s="25"/>
      <c r="KU602" s="25"/>
      <c r="KV602" s="25"/>
      <c r="KW602" s="25"/>
      <c r="KX602" s="25"/>
      <c r="KY602" s="25"/>
      <c r="KZ602" s="25"/>
      <c r="LA602" s="25"/>
      <c r="LB602" s="25"/>
      <c r="LC602" s="25"/>
      <c r="LD602" s="25"/>
      <c r="LE602" s="25"/>
      <c r="LF602" s="25"/>
      <c r="LG602" s="25"/>
      <c r="LH602" s="25"/>
      <c r="LI602" s="25"/>
      <c r="LJ602" s="25"/>
      <c r="LK602" s="25"/>
      <c r="LL602" s="25"/>
      <c r="LM602" s="25"/>
      <c r="LN602" s="25"/>
      <c r="LO602" s="25"/>
      <c r="LP602" s="25"/>
      <c r="LQ602" s="25"/>
      <c r="LR602" s="25"/>
      <c r="LS602" s="25"/>
      <c r="LT602" s="25"/>
      <c r="LU602" s="25"/>
      <c r="LV602" s="25"/>
      <c r="LW602" s="25"/>
      <c r="LX602" s="25"/>
      <c r="LY602" s="25"/>
      <c r="LZ602" s="25"/>
      <c r="MA602" s="25"/>
      <c r="MB602" s="25"/>
      <c r="MC602" s="25"/>
      <c r="MD602" s="25"/>
      <c r="ME602" s="25"/>
      <c r="MF602" s="25"/>
      <c r="MG602" s="25"/>
      <c r="MH602" s="25"/>
      <c r="MI602" s="25"/>
      <c r="MJ602" s="25"/>
      <c r="MK602" s="25"/>
      <c r="ML602" s="25"/>
      <c r="MM602" s="25"/>
      <c r="MN602" s="25"/>
      <c r="MO602" s="25"/>
      <c r="MP602" s="25"/>
      <c r="MQ602" s="25"/>
      <c r="MR602" s="25"/>
      <c r="MS602" s="25"/>
      <c r="MT602" s="25"/>
      <c r="MU602" s="25"/>
      <c r="MV602" s="25"/>
      <c r="MW602" s="25"/>
      <c r="MX602" s="25"/>
      <c r="MY602" s="25"/>
      <c r="MZ602" s="25"/>
      <c r="NA602" s="25"/>
      <c r="NB602" s="25"/>
      <c r="NC602" s="25"/>
      <c r="ND602" s="25"/>
      <c r="NE602" s="25"/>
      <c r="NF602" s="25"/>
      <c r="NG602" s="25"/>
      <c r="NH602" s="25"/>
      <c r="NI602" s="25"/>
      <c r="NJ602" s="25"/>
      <c r="NK602" s="25"/>
      <c r="NL602" s="25"/>
      <c r="NM602" s="25"/>
      <c r="NN602" s="25"/>
      <c r="NO602" s="25"/>
      <c r="NP602" s="25"/>
      <c r="NQ602" s="25"/>
      <c r="NR602" s="25"/>
      <c r="NS602" s="25"/>
      <c r="NT602" s="25"/>
      <c r="NU602" s="25"/>
      <c r="NV602" s="25"/>
      <c r="NW602" s="25"/>
      <c r="NX602" s="25"/>
      <c r="NY602" s="25"/>
      <c r="NZ602" s="25"/>
      <c r="OA602" s="25"/>
      <c r="OB602" s="25"/>
      <c r="OC602" s="25"/>
      <c r="OD602" s="25"/>
      <c r="OE602" s="25"/>
      <c r="OF602" s="25"/>
      <c r="OG602" s="25"/>
      <c r="OH602" s="25"/>
      <c r="OI602" s="25"/>
      <c r="OJ602" s="25"/>
      <c r="OK602" s="25"/>
      <c r="OL602" s="25"/>
      <c r="OM602" s="25"/>
      <c r="ON602" s="25"/>
      <c r="OO602" s="25"/>
      <c r="OP602" s="25"/>
      <c r="OQ602" s="25"/>
      <c r="OR602" s="25"/>
      <c r="OS602" s="25"/>
      <c r="OT602" s="25"/>
      <c r="OU602" s="25"/>
      <c r="OV602" s="25"/>
      <c r="OW602" s="25"/>
      <c r="OX602" s="25"/>
      <c r="OY602" s="25"/>
      <c r="OZ602" s="25"/>
      <c r="PA602" s="25"/>
      <c r="PB602" s="25"/>
      <c r="PC602" s="25"/>
      <c r="PD602" s="25"/>
      <c r="PE602" s="25"/>
      <c r="PF602" s="25"/>
      <c r="PG602" s="25"/>
      <c r="PH602" s="25"/>
      <c r="PI602" s="25"/>
      <c r="PJ602" s="25"/>
      <c r="PK602" s="25"/>
      <c r="PL602" s="25"/>
      <c r="PM602" s="25"/>
      <c r="PN602" s="25"/>
      <c r="PO602" s="25"/>
      <c r="PP602" s="25"/>
      <c r="PQ602" s="25"/>
      <c r="PR602" s="25"/>
      <c r="PS602" s="25"/>
      <c r="PT602" s="25"/>
      <c r="PU602" s="25"/>
      <c r="PV602" s="25"/>
      <c r="PW602" s="25"/>
      <c r="PX602" s="25"/>
      <c r="PY602" s="25"/>
      <c r="PZ602" s="25"/>
      <c r="QA602" s="25"/>
      <c r="QB602" s="25"/>
      <c r="QC602" s="25"/>
      <c r="QD602" s="25"/>
      <c r="QE602" s="25"/>
      <c r="QF602" s="25"/>
      <c r="QG602" s="25"/>
      <c r="QH602" s="25"/>
      <c r="QI602" s="25"/>
      <c r="QJ602" s="25"/>
      <c r="QK602" s="25"/>
      <c r="QL602" s="25"/>
      <c r="QM602" s="25"/>
      <c r="QN602" s="25"/>
      <c r="QO602" s="25"/>
      <c r="QP602" s="25"/>
      <c r="QQ602" s="25"/>
      <c r="QR602" s="25"/>
      <c r="QS602" s="25"/>
      <c r="QT602" s="25"/>
      <c r="QU602" s="25"/>
      <c r="QV602" s="25"/>
      <c r="QW602" s="25"/>
      <c r="QX602" s="25"/>
      <c r="QY602" s="25"/>
      <c r="QZ602" s="25"/>
      <c r="RA602" s="25"/>
      <c r="RB602" s="25"/>
      <c r="RC602" s="25"/>
      <c r="RD602" s="25"/>
      <c r="RE602" s="25"/>
      <c r="RF602" s="25"/>
      <c r="RG602" s="25"/>
      <c r="RH602" s="25"/>
      <c r="RI602" s="25"/>
      <c r="RJ602" s="25"/>
      <c r="RK602" s="25"/>
      <c r="RL602" s="25"/>
      <c r="RM602" s="25"/>
      <c r="RN602" s="25"/>
      <c r="RO602" s="25"/>
      <c r="RP602" s="25"/>
      <c r="RQ602" s="25"/>
      <c r="RR602" s="25"/>
      <c r="RS602" s="25"/>
      <c r="RT602" s="25"/>
      <c r="RU602" s="25"/>
      <c r="RV602" s="25"/>
      <c r="RW602" s="25"/>
      <c r="RX602" s="25"/>
      <c r="RY602" s="25"/>
      <c r="RZ602" s="25"/>
      <c r="SA602" s="25"/>
      <c r="SB602" s="25"/>
      <c r="SC602" s="25"/>
      <c r="SD602" s="25"/>
      <c r="SE602" s="25"/>
      <c r="SF602" s="25"/>
      <c r="SG602" s="25"/>
      <c r="SH602" s="25"/>
      <c r="SI602" s="25"/>
      <c r="SJ602" s="25"/>
      <c r="SK602" s="25"/>
      <c r="SL602" s="25"/>
      <c r="SM602" s="25"/>
      <c r="SN602" s="25"/>
      <c r="SO602" s="25"/>
      <c r="SP602" s="25"/>
      <c r="SQ602" s="25"/>
      <c r="SR602" s="25"/>
      <c r="SS602" s="25"/>
      <c r="ST602" s="25"/>
      <c r="SU602" s="25"/>
      <c r="SV602" s="25"/>
      <c r="SW602" s="25"/>
      <c r="SX602" s="25"/>
      <c r="SY602" s="25"/>
      <c r="SZ602" s="25"/>
      <c r="TA602" s="25"/>
      <c r="TB602" s="25"/>
      <c r="TC602" s="25"/>
      <c r="TD602" s="25"/>
      <c r="TE602" s="25"/>
      <c r="TF602" s="25"/>
      <c r="TG602" s="25"/>
      <c r="TH602" s="25"/>
      <c r="TI602" s="25"/>
      <c r="TJ602" s="25"/>
      <c r="TK602" s="25"/>
      <c r="TL602" s="25"/>
      <c r="TM602" s="25"/>
      <c r="TN602" s="25"/>
      <c r="TO602" s="25"/>
      <c r="TP602" s="25"/>
      <c r="TQ602" s="25"/>
      <c r="TR602" s="25"/>
      <c r="TS602" s="25"/>
      <c r="TT602" s="25"/>
      <c r="TU602" s="25"/>
      <c r="TV602" s="25"/>
      <c r="TW602" s="25"/>
      <c r="TX602" s="25"/>
      <c r="TY602" s="25"/>
      <c r="TZ602" s="25"/>
      <c r="UA602" s="25"/>
      <c r="UB602" s="25"/>
      <c r="UC602" s="25"/>
      <c r="UD602" s="25"/>
      <c r="UE602" s="25"/>
      <c r="UF602" s="25"/>
      <c r="UG602" s="26"/>
    </row>
    <row r="603" spans="1:553" ht="50.25" customHeight="1">
      <c r="A603" s="356" t="s">
        <v>15</v>
      </c>
      <c r="B603" s="385">
        <v>219</v>
      </c>
      <c r="C603" s="1403" t="s">
        <v>431</v>
      </c>
      <c r="D603" s="1389"/>
      <c r="E603" s="1389"/>
      <c r="F603" s="1390"/>
      <c r="G603" s="386" t="s">
        <v>33</v>
      </c>
      <c r="H603" s="370"/>
      <c r="I603" s="834">
        <f>5*1.3</f>
        <v>6.5</v>
      </c>
      <c r="J603" s="368">
        <v>267200</v>
      </c>
      <c r="K603" s="371"/>
      <c r="L603" s="487">
        <f t="shared" si="101"/>
        <v>1736800</v>
      </c>
      <c r="M603" s="395"/>
      <c r="N603" s="395"/>
      <c r="O603" s="366"/>
      <c r="P603" s="396"/>
      <c r="Q603" s="473"/>
      <c r="R603" s="1039"/>
      <c r="S603" s="308"/>
      <c r="T603" s="308"/>
      <c r="U603" s="308"/>
      <c r="V603" s="308"/>
      <c r="W603" s="308"/>
      <c r="X603" s="308"/>
      <c r="Y603" s="308"/>
      <c r="Z603" s="604"/>
      <c r="AA603" s="308"/>
      <c r="AB603" s="308"/>
      <c r="AC603" s="449"/>
      <c r="AD603" s="449"/>
      <c r="AE603" s="449"/>
      <c r="AF603" s="449"/>
      <c r="AG603" s="452"/>
      <c r="AH603" s="452"/>
      <c r="AI603" s="452"/>
      <c r="AJ603" s="452"/>
      <c r="AK603" s="452"/>
      <c r="AL603" s="104"/>
      <c r="AM603" s="32"/>
      <c r="AN603" s="32"/>
      <c r="AO603" s="32"/>
      <c r="AP603" s="32"/>
      <c r="AQ603" s="31"/>
      <c r="AR603" s="31"/>
      <c r="AS603" s="31"/>
      <c r="AT603" s="31"/>
      <c r="AU603" s="31"/>
      <c r="AV603" s="31"/>
      <c r="AW603" s="31"/>
      <c r="AX603" s="31"/>
      <c r="AY603" s="31"/>
      <c r="AZ603" s="31"/>
      <c r="BA603" s="31"/>
      <c r="BB603" s="31"/>
      <c r="BC603" s="31"/>
      <c r="BD603" s="31"/>
      <c r="BE603" s="31"/>
      <c r="BF603" s="31"/>
      <c r="BG603" s="31"/>
      <c r="BH603" s="31"/>
      <c r="BI603" s="31"/>
      <c r="BJ603" s="31"/>
      <c r="BK603" s="31"/>
      <c r="BL603" s="31"/>
      <c r="BM603" s="25"/>
      <c r="BN603" s="25"/>
      <c r="BO603" s="25"/>
      <c r="BP603" s="25"/>
      <c r="BQ603" s="25"/>
      <c r="BR603" s="25"/>
      <c r="BS603" s="25"/>
      <c r="BT603" s="25"/>
      <c r="BU603" s="25"/>
      <c r="BV603" s="25"/>
      <c r="BW603" s="25"/>
      <c r="BX603" s="25"/>
      <c r="BY603" s="25"/>
      <c r="BZ603" s="25"/>
      <c r="CA603" s="25"/>
      <c r="CB603" s="25"/>
      <c r="CC603" s="25"/>
      <c r="CD603" s="25"/>
      <c r="CE603" s="25"/>
      <c r="CF603" s="25"/>
      <c r="CG603" s="25"/>
      <c r="CH603" s="25"/>
      <c r="CI603" s="25"/>
      <c r="CJ603" s="25"/>
      <c r="CK603" s="25"/>
      <c r="CL603" s="25"/>
      <c r="CM603" s="25"/>
      <c r="CN603" s="25"/>
      <c r="CO603" s="25"/>
      <c r="CP603" s="25"/>
      <c r="CQ603" s="25"/>
      <c r="CR603" s="25"/>
      <c r="CS603" s="25"/>
      <c r="CT603" s="25"/>
      <c r="CU603" s="25"/>
      <c r="CV603" s="25"/>
      <c r="CW603" s="25"/>
      <c r="CX603" s="25"/>
      <c r="CY603" s="25"/>
      <c r="CZ603" s="25"/>
      <c r="DA603" s="25"/>
      <c r="DB603" s="25"/>
      <c r="DC603" s="25"/>
      <c r="DD603" s="25"/>
      <c r="DE603" s="25"/>
      <c r="DF603" s="25"/>
      <c r="DG603" s="25"/>
      <c r="DH603" s="25"/>
      <c r="DI603" s="25"/>
      <c r="DJ603" s="25"/>
      <c r="DK603" s="25"/>
      <c r="DL603" s="25"/>
      <c r="DM603" s="25"/>
      <c r="DN603" s="25"/>
      <c r="DO603" s="25"/>
      <c r="DP603" s="25"/>
      <c r="DQ603" s="25"/>
      <c r="DR603" s="25"/>
      <c r="DS603" s="25"/>
      <c r="DT603" s="25"/>
      <c r="DU603" s="25"/>
      <c r="DV603" s="25"/>
      <c r="DW603" s="25"/>
      <c r="DX603" s="25"/>
      <c r="DY603" s="25"/>
      <c r="DZ603" s="25"/>
      <c r="EA603" s="25"/>
      <c r="EB603" s="25"/>
      <c r="EC603" s="25"/>
      <c r="ED603" s="25"/>
      <c r="EE603" s="25"/>
      <c r="EF603" s="25"/>
      <c r="EG603" s="25"/>
      <c r="EH603" s="25"/>
      <c r="EI603" s="25"/>
      <c r="EJ603" s="25"/>
      <c r="EK603" s="25"/>
      <c r="EL603" s="25"/>
      <c r="EM603" s="25"/>
      <c r="EN603" s="25"/>
      <c r="EO603" s="25"/>
      <c r="EP603" s="25"/>
      <c r="EQ603" s="25"/>
      <c r="ER603" s="25"/>
      <c r="ES603" s="25"/>
      <c r="ET603" s="25"/>
      <c r="EU603" s="25"/>
      <c r="EV603" s="25"/>
      <c r="EW603" s="25"/>
      <c r="EX603" s="25"/>
      <c r="EY603" s="25"/>
      <c r="EZ603" s="25"/>
      <c r="FA603" s="25"/>
      <c r="FB603" s="25"/>
      <c r="FC603" s="25"/>
      <c r="FD603" s="25"/>
      <c r="FE603" s="25"/>
      <c r="FF603" s="25"/>
      <c r="FG603" s="25"/>
      <c r="FH603" s="25"/>
      <c r="FI603" s="25"/>
      <c r="FJ603" s="25"/>
      <c r="FK603" s="25"/>
      <c r="FL603" s="25"/>
      <c r="FM603" s="25"/>
      <c r="FN603" s="25"/>
      <c r="FO603" s="25"/>
      <c r="FP603" s="25"/>
      <c r="FQ603" s="25"/>
      <c r="FR603" s="25"/>
      <c r="FS603" s="25"/>
      <c r="FT603" s="25"/>
      <c r="FU603" s="25"/>
      <c r="FV603" s="25"/>
      <c r="FW603" s="25"/>
      <c r="FX603" s="25"/>
      <c r="FY603" s="25"/>
      <c r="FZ603" s="25"/>
      <c r="GA603" s="25"/>
      <c r="GB603" s="25"/>
      <c r="GC603" s="25"/>
      <c r="GD603" s="25"/>
      <c r="GE603" s="25"/>
      <c r="GF603" s="25"/>
      <c r="GG603" s="25"/>
      <c r="GH603" s="25"/>
      <c r="GI603" s="25"/>
      <c r="GJ603" s="25"/>
      <c r="GK603" s="25"/>
      <c r="GL603" s="25"/>
      <c r="GM603" s="25"/>
      <c r="GN603" s="25"/>
      <c r="GO603" s="25"/>
      <c r="GP603" s="25"/>
      <c r="GQ603" s="25"/>
      <c r="GR603" s="25"/>
      <c r="GS603" s="25"/>
      <c r="GT603" s="25"/>
      <c r="GU603" s="25"/>
      <c r="GV603" s="25"/>
      <c r="GW603" s="25"/>
      <c r="GX603" s="25"/>
      <c r="GY603" s="25"/>
      <c r="GZ603" s="25"/>
      <c r="HA603" s="25"/>
      <c r="HB603" s="25"/>
      <c r="HC603" s="25"/>
      <c r="HD603" s="25"/>
      <c r="HE603" s="25"/>
      <c r="HF603" s="25"/>
      <c r="HG603" s="25"/>
      <c r="HH603" s="25"/>
      <c r="HI603" s="25"/>
      <c r="HJ603" s="25"/>
      <c r="HK603" s="25"/>
      <c r="HL603" s="25"/>
      <c r="HM603" s="25"/>
      <c r="HN603" s="25"/>
      <c r="HO603" s="25"/>
      <c r="HP603" s="25"/>
      <c r="HQ603" s="25"/>
      <c r="HR603" s="25"/>
      <c r="HS603" s="25"/>
      <c r="HT603" s="25"/>
      <c r="HU603" s="25"/>
      <c r="HV603" s="25"/>
      <c r="HW603" s="25"/>
      <c r="HX603" s="25"/>
      <c r="HY603" s="25"/>
      <c r="HZ603" s="25"/>
      <c r="IA603" s="25"/>
      <c r="IB603" s="25"/>
      <c r="IC603" s="25"/>
      <c r="ID603" s="25"/>
      <c r="IE603" s="25"/>
      <c r="IF603" s="25"/>
      <c r="IG603" s="25"/>
      <c r="IH603" s="25"/>
      <c r="II603" s="25"/>
      <c r="IJ603" s="25"/>
      <c r="IK603" s="25"/>
      <c r="IL603" s="25"/>
      <c r="IM603" s="25"/>
      <c r="IN603" s="25"/>
      <c r="IO603" s="25"/>
      <c r="IP603" s="25"/>
      <c r="IQ603" s="25"/>
      <c r="IR603" s="25"/>
      <c r="IS603" s="25"/>
      <c r="IT603" s="25"/>
      <c r="IU603" s="25"/>
      <c r="IV603" s="25"/>
      <c r="IW603" s="25"/>
      <c r="IX603" s="25"/>
      <c r="IY603" s="25"/>
      <c r="IZ603" s="25"/>
      <c r="JA603" s="25"/>
      <c r="JB603" s="25"/>
      <c r="JC603" s="25"/>
      <c r="JD603" s="25"/>
      <c r="JE603" s="25"/>
      <c r="JF603" s="25"/>
      <c r="JG603" s="25"/>
      <c r="JH603" s="25"/>
      <c r="JI603" s="25"/>
      <c r="JJ603" s="25"/>
      <c r="JK603" s="25"/>
      <c r="JL603" s="25"/>
      <c r="JM603" s="25"/>
      <c r="JN603" s="25"/>
      <c r="JO603" s="25"/>
      <c r="JP603" s="25"/>
      <c r="JQ603" s="25"/>
      <c r="JR603" s="25"/>
      <c r="JS603" s="25"/>
      <c r="JT603" s="25"/>
      <c r="JU603" s="25"/>
      <c r="JV603" s="25"/>
      <c r="JW603" s="25"/>
      <c r="JX603" s="25"/>
      <c r="JY603" s="25"/>
      <c r="JZ603" s="25"/>
      <c r="KA603" s="25"/>
      <c r="KB603" s="25"/>
      <c r="KC603" s="25"/>
      <c r="KD603" s="25"/>
      <c r="KE603" s="25"/>
      <c r="KF603" s="25"/>
      <c r="KG603" s="25"/>
      <c r="KH603" s="25"/>
      <c r="KI603" s="25"/>
      <c r="KJ603" s="25"/>
      <c r="KK603" s="25"/>
      <c r="KL603" s="25"/>
      <c r="KM603" s="25"/>
      <c r="KN603" s="25"/>
      <c r="KO603" s="25"/>
      <c r="KP603" s="25"/>
      <c r="KQ603" s="25"/>
      <c r="KR603" s="25"/>
      <c r="KS603" s="25"/>
      <c r="KT603" s="25"/>
      <c r="KU603" s="25"/>
      <c r="KV603" s="25"/>
      <c r="KW603" s="25"/>
      <c r="KX603" s="25"/>
      <c r="KY603" s="25"/>
      <c r="KZ603" s="25"/>
      <c r="LA603" s="25"/>
      <c r="LB603" s="25"/>
      <c r="LC603" s="25"/>
      <c r="LD603" s="25"/>
      <c r="LE603" s="25"/>
      <c r="LF603" s="25"/>
      <c r="LG603" s="25"/>
      <c r="LH603" s="25"/>
      <c r="LI603" s="25"/>
      <c r="LJ603" s="25"/>
      <c r="LK603" s="25"/>
      <c r="LL603" s="25"/>
      <c r="LM603" s="25"/>
      <c r="LN603" s="25"/>
      <c r="LO603" s="25"/>
      <c r="LP603" s="25"/>
      <c r="LQ603" s="25"/>
      <c r="LR603" s="25"/>
      <c r="LS603" s="25"/>
      <c r="LT603" s="25"/>
      <c r="LU603" s="25"/>
      <c r="LV603" s="25"/>
      <c r="LW603" s="25"/>
      <c r="LX603" s="25"/>
      <c r="LY603" s="25"/>
      <c r="LZ603" s="25"/>
      <c r="MA603" s="25"/>
      <c r="MB603" s="25"/>
      <c r="MC603" s="25"/>
      <c r="MD603" s="25"/>
      <c r="ME603" s="25"/>
      <c r="MF603" s="25"/>
      <c r="MG603" s="25"/>
      <c r="MH603" s="25"/>
      <c r="MI603" s="25"/>
      <c r="MJ603" s="25"/>
      <c r="MK603" s="25"/>
      <c r="ML603" s="25"/>
      <c r="MM603" s="25"/>
      <c r="MN603" s="25"/>
      <c r="MO603" s="25"/>
      <c r="MP603" s="25"/>
      <c r="MQ603" s="25"/>
      <c r="MR603" s="25"/>
      <c r="MS603" s="25"/>
      <c r="MT603" s="25"/>
      <c r="MU603" s="25"/>
      <c r="MV603" s="25"/>
      <c r="MW603" s="25"/>
      <c r="MX603" s="25"/>
      <c r="MY603" s="25"/>
      <c r="MZ603" s="25"/>
      <c r="NA603" s="25"/>
      <c r="NB603" s="25"/>
      <c r="NC603" s="25"/>
      <c r="ND603" s="25"/>
      <c r="NE603" s="25"/>
      <c r="NF603" s="25"/>
      <c r="NG603" s="25"/>
      <c r="NH603" s="25"/>
      <c r="NI603" s="25"/>
      <c r="NJ603" s="25"/>
      <c r="NK603" s="25"/>
      <c r="NL603" s="25"/>
      <c r="NM603" s="25"/>
      <c r="NN603" s="25"/>
      <c r="NO603" s="25"/>
      <c r="NP603" s="25"/>
      <c r="NQ603" s="25"/>
      <c r="NR603" s="25"/>
      <c r="NS603" s="25"/>
      <c r="NT603" s="25"/>
      <c r="NU603" s="25"/>
      <c r="NV603" s="25"/>
      <c r="NW603" s="25"/>
      <c r="NX603" s="25"/>
      <c r="NY603" s="25"/>
      <c r="NZ603" s="25"/>
      <c r="OA603" s="25"/>
      <c r="OB603" s="25"/>
      <c r="OC603" s="25"/>
      <c r="OD603" s="25"/>
      <c r="OE603" s="25"/>
      <c r="OF603" s="25"/>
      <c r="OG603" s="25"/>
      <c r="OH603" s="25"/>
      <c r="OI603" s="25"/>
      <c r="OJ603" s="25"/>
      <c r="OK603" s="25"/>
      <c r="OL603" s="25"/>
      <c r="OM603" s="25"/>
      <c r="ON603" s="25"/>
      <c r="OO603" s="25"/>
      <c r="OP603" s="25"/>
      <c r="OQ603" s="25"/>
      <c r="OR603" s="25"/>
      <c r="OS603" s="25"/>
      <c r="OT603" s="25"/>
      <c r="OU603" s="25"/>
      <c r="OV603" s="25"/>
      <c r="OW603" s="25"/>
      <c r="OX603" s="25"/>
      <c r="OY603" s="25"/>
      <c r="OZ603" s="25"/>
      <c r="PA603" s="25"/>
      <c r="PB603" s="25"/>
      <c r="PC603" s="25"/>
      <c r="PD603" s="25"/>
      <c r="PE603" s="25"/>
      <c r="PF603" s="25"/>
      <c r="PG603" s="25"/>
      <c r="PH603" s="25"/>
      <c r="PI603" s="25"/>
      <c r="PJ603" s="25"/>
      <c r="PK603" s="25"/>
      <c r="PL603" s="25"/>
      <c r="PM603" s="25"/>
      <c r="PN603" s="25"/>
      <c r="PO603" s="25"/>
      <c r="PP603" s="25"/>
      <c r="PQ603" s="25"/>
      <c r="PR603" s="25"/>
      <c r="PS603" s="25"/>
      <c r="PT603" s="25"/>
      <c r="PU603" s="25"/>
      <c r="PV603" s="25"/>
      <c r="PW603" s="25"/>
      <c r="PX603" s="25"/>
      <c r="PY603" s="25"/>
      <c r="PZ603" s="25"/>
      <c r="QA603" s="25"/>
      <c r="QB603" s="25"/>
      <c r="QC603" s="25"/>
      <c r="QD603" s="25"/>
      <c r="QE603" s="25"/>
      <c r="QF603" s="25"/>
      <c r="QG603" s="25"/>
      <c r="QH603" s="25"/>
      <c r="QI603" s="25"/>
      <c r="QJ603" s="25"/>
      <c r="QK603" s="25"/>
      <c r="QL603" s="25"/>
      <c r="QM603" s="25"/>
      <c r="QN603" s="25"/>
      <c r="QO603" s="25"/>
      <c r="QP603" s="25"/>
      <c r="QQ603" s="25"/>
      <c r="QR603" s="25"/>
      <c r="QS603" s="25"/>
      <c r="QT603" s="25"/>
      <c r="QU603" s="25"/>
      <c r="QV603" s="25"/>
      <c r="QW603" s="25"/>
      <c r="QX603" s="25"/>
      <c r="QY603" s="25"/>
      <c r="QZ603" s="25"/>
      <c r="RA603" s="25"/>
      <c r="RB603" s="25"/>
      <c r="RC603" s="25"/>
      <c r="RD603" s="25"/>
      <c r="RE603" s="25"/>
      <c r="RF603" s="25"/>
      <c r="RG603" s="25"/>
      <c r="RH603" s="25"/>
      <c r="RI603" s="25"/>
      <c r="RJ603" s="25"/>
      <c r="RK603" s="25"/>
      <c r="RL603" s="25"/>
      <c r="RM603" s="25"/>
      <c r="RN603" s="25"/>
      <c r="RO603" s="25"/>
      <c r="RP603" s="25"/>
      <c r="RQ603" s="25"/>
      <c r="RR603" s="25"/>
      <c r="RS603" s="25"/>
      <c r="RT603" s="25"/>
      <c r="RU603" s="25"/>
      <c r="RV603" s="25"/>
      <c r="RW603" s="25"/>
      <c r="RX603" s="25"/>
      <c r="RY603" s="25"/>
      <c r="RZ603" s="25"/>
      <c r="SA603" s="25"/>
      <c r="SB603" s="25"/>
      <c r="SC603" s="25"/>
      <c r="SD603" s="25"/>
      <c r="SE603" s="25"/>
      <c r="SF603" s="25"/>
      <c r="SG603" s="25"/>
      <c r="SH603" s="25"/>
      <c r="SI603" s="25"/>
      <c r="SJ603" s="25"/>
      <c r="SK603" s="25"/>
      <c r="SL603" s="25"/>
      <c r="SM603" s="25"/>
      <c r="SN603" s="25"/>
      <c r="SO603" s="25"/>
      <c r="SP603" s="25"/>
      <c r="SQ603" s="25"/>
      <c r="SR603" s="25"/>
      <c r="SS603" s="25"/>
      <c r="ST603" s="25"/>
      <c r="SU603" s="25"/>
      <c r="SV603" s="25"/>
      <c r="SW603" s="25"/>
      <c r="SX603" s="25"/>
      <c r="SY603" s="25"/>
      <c r="SZ603" s="25"/>
      <c r="TA603" s="25"/>
      <c r="TB603" s="25"/>
      <c r="TC603" s="25"/>
      <c r="TD603" s="25"/>
      <c r="TE603" s="25"/>
      <c r="TF603" s="25"/>
      <c r="TG603" s="25"/>
      <c r="TH603" s="25"/>
      <c r="TI603" s="25"/>
      <c r="TJ603" s="25"/>
      <c r="TK603" s="25"/>
      <c r="TL603" s="25"/>
      <c r="TM603" s="25"/>
      <c r="TN603" s="25"/>
      <c r="TO603" s="25"/>
      <c r="TP603" s="25"/>
      <c r="TQ603" s="25"/>
      <c r="TR603" s="25"/>
      <c r="TS603" s="25"/>
      <c r="TT603" s="25"/>
      <c r="TU603" s="25"/>
      <c r="TV603" s="25"/>
      <c r="TW603" s="25"/>
      <c r="TX603" s="25"/>
      <c r="TY603" s="25"/>
      <c r="TZ603" s="25"/>
      <c r="UA603" s="25"/>
      <c r="UB603" s="25"/>
      <c r="UC603" s="25"/>
      <c r="UD603" s="25"/>
      <c r="UE603" s="25"/>
      <c r="UF603" s="25"/>
      <c r="UG603" s="26"/>
    </row>
    <row r="604" spans="1:553" ht="50.25" customHeight="1">
      <c r="A604" s="356" t="s">
        <v>15</v>
      </c>
      <c r="B604" s="398" t="s">
        <v>31</v>
      </c>
      <c r="C604" s="1403" t="s">
        <v>1283</v>
      </c>
      <c r="D604" s="1389"/>
      <c r="E604" s="1389"/>
      <c r="F604" s="1390"/>
      <c r="G604" s="386" t="s">
        <v>34</v>
      </c>
      <c r="H604" s="370"/>
      <c r="I604" s="834">
        <f>5.5*1.2*0.11</f>
        <v>0.72599999999999998</v>
      </c>
      <c r="J604" s="368">
        <v>1913917</v>
      </c>
      <c r="K604" s="371"/>
      <c r="L604" s="487">
        <f t="shared" si="101"/>
        <v>1389503.7419999999</v>
      </c>
      <c r="M604" s="395"/>
      <c r="N604" s="395"/>
      <c r="O604" s="366"/>
      <c r="P604" s="396"/>
      <c r="Q604" s="473"/>
      <c r="R604" s="1039"/>
      <c r="S604" s="308"/>
      <c r="T604" s="308"/>
      <c r="U604" s="308"/>
      <c r="V604" s="308"/>
      <c r="W604" s="308"/>
      <c r="X604" s="308"/>
      <c r="Y604" s="308"/>
      <c r="Z604" s="604"/>
      <c r="AA604" s="308"/>
      <c r="AB604" s="308"/>
      <c r="AC604" s="449"/>
      <c r="AD604" s="449"/>
      <c r="AE604" s="449"/>
      <c r="AF604" s="449"/>
      <c r="AG604" s="452"/>
      <c r="AH604" s="452"/>
      <c r="AI604" s="452"/>
      <c r="AJ604" s="452"/>
      <c r="AK604" s="452"/>
      <c r="AL604" s="104"/>
      <c r="AM604" s="32"/>
      <c r="AN604" s="32"/>
      <c r="AO604" s="32"/>
      <c r="AP604" s="32"/>
      <c r="AQ604" s="31"/>
      <c r="AR604" s="31"/>
      <c r="AS604" s="31"/>
      <c r="AT604" s="31"/>
      <c r="AU604" s="31"/>
      <c r="AV604" s="31"/>
      <c r="AW604" s="31"/>
      <c r="AX604" s="31"/>
      <c r="AY604" s="31"/>
      <c r="AZ604" s="31"/>
      <c r="BA604" s="31"/>
      <c r="BB604" s="31"/>
      <c r="BC604" s="31"/>
      <c r="BD604" s="31"/>
      <c r="BE604" s="31"/>
      <c r="BF604" s="31"/>
      <c r="BG604" s="31"/>
      <c r="BH604" s="31"/>
      <c r="BI604" s="31"/>
      <c r="BJ604" s="31"/>
      <c r="BK604" s="31"/>
      <c r="BL604" s="31"/>
      <c r="BM604" s="25"/>
      <c r="BN604" s="25"/>
      <c r="BO604" s="25"/>
      <c r="BP604" s="25"/>
      <c r="BQ604" s="25"/>
      <c r="BR604" s="25"/>
      <c r="BS604" s="25"/>
      <c r="BT604" s="25"/>
      <c r="BU604" s="25"/>
      <c r="BV604" s="25"/>
      <c r="BW604" s="25"/>
      <c r="BX604" s="25"/>
      <c r="BY604" s="25"/>
      <c r="BZ604" s="25"/>
      <c r="CA604" s="25"/>
      <c r="CB604" s="25"/>
      <c r="CC604" s="25"/>
      <c r="CD604" s="25"/>
      <c r="CE604" s="25"/>
      <c r="CF604" s="25"/>
      <c r="CG604" s="25"/>
      <c r="CH604" s="25"/>
      <c r="CI604" s="25"/>
      <c r="CJ604" s="25"/>
      <c r="CK604" s="25"/>
      <c r="CL604" s="25"/>
      <c r="CM604" s="25"/>
      <c r="CN604" s="25"/>
      <c r="CO604" s="25"/>
      <c r="CP604" s="25"/>
      <c r="CQ604" s="25"/>
      <c r="CR604" s="25"/>
      <c r="CS604" s="25"/>
      <c r="CT604" s="25"/>
      <c r="CU604" s="25"/>
      <c r="CV604" s="25"/>
      <c r="CW604" s="25"/>
      <c r="CX604" s="25"/>
      <c r="CY604" s="25"/>
      <c r="CZ604" s="25"/>
      <c r="DA604" s="25"/>
      <c r="DB604" s="25"/>
      <c r="DC604" s="25"/>
      <c r="DD604" s="25"/>
      <c r="DE604" s="25"/>
      <c r="DF604" s="25"/>
      <c r="DG604" s="25"/>
      <c r="DH604" s="25"/>
      <c r="DI604" s="25"/>
      <c r="DJ604" s="25"/>
      <c r="DK604" s="25"/>
      <c r="DL604" s="25"/>
      <c r="DM604" s="25"/>
      <c r="DN604" s="25"/>
      <c r="DO604" s="25"/>
      <c r="DP604" s="25"/>
      <c r="DQ604" s="25"/>
      <c r="DR604" s="25"/>
      <c r="DS604" s="25"/>
      <c r="DT604" s="25"/>
      <c r="DU604" s="25"/>
      <c r="DV604" s="25"/>
      <c r="DW604" s="25"/>
      <c r="DX604" s="25"/>
      <c r="DY604" s="25"/>
      <c r="DZ604" s="25"/>
      <c r="EA604" s="25"/>
      <c r="EB604" s="25"/>
      <c r="EC604" s="25"/>
      <c r="ED604" s="25"/>
      <c r="EE604" s="25"/>
      <c r="EF604" s="25"/>
      <c r="EG604" s="25"/>
      <c r="EH604" s="25"/>
      <c r="EI604" s="25"/>
      <c r="EJ604" s="25"/>
      <c r="EK604" s="25"/>
      <c r="EL604" s="25"/>
      <c r="EM604" s="25"/>
      <c r="EN604" s="25"/>
      <c r="EO604" s="25"/>
      <c r="EP604" s="25"/>
      <c r="EQ604" s="25"/>
      <c r="ER604" s="25"/>
      <c r="ES604" s="25"/>
      <c r="ET604" s="25"/>
      <c r="EU604" s="25"/>
      <c r="EV604" s="25"/>
      <c r="EW604" s="25"/>
      <c r="EX604" s="25"/>
      <c r="EY604" s="25"/>
      <c r="EZ604" s="25"/>
      <c r="FA604" s="25"/>
      <c r="FB604" s="25"/>
      <c r="FC604" s="25"/>
      <c r="FD604" s="25"/>
      <c r="FE604" s="25"/>
      <c r="FF604" s="25"/>
      <c r="FG604" s="25"/>
      <c r="FH604" s="25"/>
      <c r="FI604" s="25"/>
      <c r="FJ604" s="25"/>
      <c r="FK604" s="25"/>
      <c r="FL604" s="25"/>
      <c r="FM604" s="25"/>
      <c r="FN604" s="25"/>
      <c r="FO604" s="25"/>
      <c r="FP604" s="25"/>
      <c r="FQ604" s="25"/>
      <c r="FR604" s="25"/>
      <c r="FS604" s="25"/>
      <c r="FT604" s="25"/>
      <c r="FU604" s="25"/>
      <c r="FV604" s="25"/>
      <c r="FW604" s="25"/>
      <c r="FX604" s="25"/>
      <c r="FY604" s="25"/>
      <c r="FZ604" s="25"/>
      <c r="GA604" s="25"/>
      <c r="GB604" s="25"/>
      <c r="GC604" s="25"/>
      <c r="GD604" s="25"/>
      <c r="GE604" s="25"/>
      <c r="GF604" s="25"/>
      <c r="GG604" s="25"/>
      <c r="GH604" s="25"/>
      <c r="GI604" s="25"/>
      <c r="GJ604" s="25"/>
      <c r="GK604" s="25"/>
      <c r="GL604" s="25"/>
      <c r="GM604" s="25"/>
      <c r="GN604" s="25"/>
      <c r="GO604" s="25"/>
      <c r="GP604" s="25"/>
      <c r="GQ604" s="25"/>
      <c r="GR604" s="25"/>
      <c r="GS604" s="25"/>
      <c r="GT604" s="25"/>
      <c r="GU604" s="25"/>
      <c r="GV604" s="25"/>
      <c r="GW604" s="25"/>
      <c r="GX604" s="25"/>
      <c r="GY604" s="25"/>
      <c r="GZ604" s="25"/>
      <c r="HA604" s="25"/>
      <c r="HB604" s="25"/>
      <c r="HC604" s="25"/>
      <c r="HD604" s="25"/>
      <c r="HE604" s="25"/>
      <c r="HF604" s="25"/>
      <c r="HG604" s="25"/>
      <c r="HH604" s="25"/>
      <c r="HI604" s="25"/>
      <c r="HJ604" s="25"/>
      <c r="HK604" s="25"/>
      <c r="HL604" s="25"/>
      <c r="HM604" s="25"/>
      <c r="HN604" s="25"/>
      <c r="HO604" s="25"/>
      <c r="HP604" s="25"/>
      <c r="HQ604" s="25"/>
      <c r="HR604" s="25"/>
      <c r="HS604" s="25"/>
      <c r="HT604" s="25"/>
      <c r="HU604" s="25"/>
      <c r="HV604" s="25"/>
      <c r="HW604" s="25"/>
      <c r="HX604" s="25"/>
      <c r="HY604" s="25"/>
      <c r="HZ604" s="25"/>
      <c r="IA604" s="25"/>
      <c r="IB604" s="25"/>
      <c r="IC604" s="25"/>
      <c r="ID604" s="25"/>
      <c r="IE604" s="25"/>
      <c r="IF604" s="25"/>
      <c r="IG604" s="25"/>
      <c r="IH604" s="25"/>
      <c r="II604" s="25"/>
      <c r="IJ604" s="25"/>
      <c r="IK604" s="25"/>
      <c r="IL604" s="25"/>
      <c r="IM604" s="25"/>
      <c r="IN604" s="25"/>
      <c r="IO604" s="25"/>
      <c r="IP604" s="25"/>
      <c r="IQ604" s="25"/>
      <c r="IR604" s="25"/>
      <c r="IS604" s="25"/>
      <c r="IT604" s="25"/>
      <c r="IU604" s="25"/>
      <c r="IV604" s="25"/>
      <c r="IW604" s="25"/>
      <c r="IX604" s="25"/>
      <c r="IY604" s="25"/>
      <c r="IZ604" s="25"/>
      <c r="JA604" s="25"/>
      <c r="JB604" s="25"/>
      <c r="JC604" s="25"/>
      <c r="JD604" s="25"/>
      <c r="JE604" s="25"/>
      <c r="JF604" s="25"/>
      <c r="JG604" s="25"/>
      <c r="JH604" s="25"/>
      <c r="JI604" s="25"/>
      <c r="JJ604" s="25"/>
      <c r="JK604" s="25"/>
      <c r="JL604" s="25"/>
      <c r="JM604" s="25"/>
      <c r="JN604" s="25"/>
      <c r="JO604" s="25"/>
      <c r="JP604" s="25"/>
      <c r="JQ604" s="25"/>
      <c r="JR604" s="25"/>
      <c r="JS604" s="25"/>
      <c r="JT604" s="25"/>
      <c r="JU604" s="25"/>
      <c r="JV604" s="25"/>
      <c r="JW604" s="25"/>
      <c r="JX604" s="25"/>
      <c r="JY604" s="25"/>
      <c r="JZ604" s="25"/>
      <c r="KA604" s="25"/>
      <c r="KB604" s="25"/>
      <c r="KC604" s="25"/>
      <c r="KD604" s="25"/>
      <c r="KE604" s="25"/>
      <c r="KF604" s="25"/>
      <c r="KG604" s="25"/>
      <c r="KH604" s="25"/>
      <c r="KI604" s="25"/>
      <c r="KJ604" s="25"/>
      <c r="KK604" s="25"/>
      <c r="KL604" s="25"/>
      <c r="KM604" s="25"/>
      <c r="KN604" s="25"/>
      <c r="KO604" s="25"/>
      <c r="KP604" s="25"/>
      <c r="KQ604" s="25"/>
      <c r="KR604" s="25"/>
      <c r="KS604" s="25"/>
      <c r="KT604" s="25"/>
      <c r="KU604" s="25"/>
      <c r="KV604" s="25"/>
      <c r="KW604" s="25"/>
      <c r="KX604" s="25"/>
      <c r="KY604" s="25"/>
      <c r="KZ604" s="25"/>
      <c r="LA604" s="25"/>
      <c r="LB604" s="25"/>
      <c r="LC604" s="25"/>
      <c r="LD604" s="25"/>
      <c r="LE604" s="25"/>
      <c r="LF604" s="25"/>
      <c r="LG604" s="25"/>
      <c r="LH604" s="25"/>
      <c r="LI604" s="25"/>
      <c r="LJ604" s="25"/>
      <c r="LK604" s="25"/>
      <c r="LL604" s="25"/>
      <c r="LM604" s="25"/>
      <c r="LN604" s="25"/>
      <c r="LO604" s="25"/>
      <c r="LP604" s="25"/>
      <c r="LQ604" s="25"/>
      <c r="LR604" s="25"/>
      <c r="LS604" s="25"/>
      <c r="LT604" s="25"/>
      <c r="LU604" s="25"/>
      <c r="LV604" s="25"/>
      <c r="LW604" s="25"/>
      <c r="LX604" s="25"/>
      <c r="LY604" s="25"/>
      <c r="LZ604" s="25"/>
      <c r="MA604" s="25"/>
      <c r="MB604" s="25"/>
      <c r="MC604" s="25"/>
      <c r="MD604" s="25"/>
      <c r="ME604" s="25"/>
      <c r="MF604" s="25"/>
      <c r="MG604" s="25"/>
      <c r="MH604" s="25"/>
      <c r="MI604" s="25"/>
      <c r="MJ604" s="25"/>
      <c r="MK604" s="25"/>
      <c r="ML604" s="25"/>
      <c r="MM604" s="25"/>
      <c r="MN604" s="25"/>
      <c r="MO604" s="25"/>
      <c r="MP604" s="25"/>
      <c r="MQ604" s="25"/>
      <c r="MR604" s="25"/>
      <c r="MS604" s="25"/>
      <c r="MT604" s="25"/>
      <c r="MU604" s="25"/>
      <c r="MV604" s="25"/>
      <c r="MW604" s="25"/>
      <c r="MX604" s="25"/>
      <c r="MY604" s="25"/>
      <c r="MZ604" s="25"/>
      <c r="NA604" s="25"/>
      <c r="NB604" s="25"/>
      <c r="NC604" s="25"/>
      <c r="ND604" s="25"/>
      <c r="NE604" s="25"/>
      <c r="NF604" s="25"/>
      <c r="NG604" s="25"/>
      <c r="NH604" s="25"/>
      <c r="NI604" s="25"/>
      <c r="NJ604" s="25"/>
      <c r="NK604" s="25"/>
      <c r="NL604" s="25"/>
      <c r="NM604" s="25"/>
      <c r="NN604" s="25"/>
      <c r="NO604" s="25"/>
      <c r="NP604" s="25"/>
      <c r="NQ604" s="25"/>
      <c r="NR604" s="25"/>
      <c r="NS604" s="25"/>
      <c r="NT604" s="25"/>
      <c r="NU604" s="25"/>
      <c r="NV604" s="25"/>
      <c r="NW604" s="25"/>
      <c r="NX604" s="25"/>
      <c r="NY604" s="25"/>
      <c r="NZ604" s="25"/>
      <c r="OA604" s="25"/>
      <c r="OB604" s="25"/>
      <c r="OC604" s="25"/>
      <c r="OD604" s="25"/>
      <c r="OE604" s="25"/>
      <c r="OF604" s="25"/>
      <c r="OG604" s="25"/>
      <c r="OH604" s="25"/>
      <c r="OI604" s="25"/>
      <c r="OJ604" s="25"/>
      <c r="OK604" s="25"/>
      <c r="OL604" s="25"/>
      <c r="OM604" s="25"/>
      <c r="ON604" s="25"/>
      <c r="OO604" s="25"/>
      <c r="OP604" s="25"/>
      <c r="OQ604" s="25"/>
      <c r="OR604" s="25"/>
      <c r="OS604" s="25"/>
      <c r="OT604" s="25"/>
      <c r="OU604" s="25"/>
      <c r="OV604" s="25"/>
      <c r="OW604" s="25"/>
      <c r="OX604" s="25"/>
      <c r="OY604" s="25"/>
      <c r="OZ604" s="25"/>
      <c r="PA604" s="25"/>
      <c r="PB604" s="25"/>
      <c r="PC604" s="25"/>
      <c r="PD604" s="25"/>
      <c r="PE604" s="25"/>
      <c r="PF604" s="25"/>
      <c r="PG604" s="25"/>
      <c r="PH604" s="25"/>
      <c r="PI604" s="25"/>
      <c r="PJ604" s="25"/>
      <c r="PK604" s="25"/>
      <c r="PL604" s="25"/>
      <c r="PM604" s="25"/>
      <c r="PN604" s="25"/>
      <c r="PO604" s="25"/>
      <c r="PP604" s="25"/>
      <c r="PQ604" s="25"/>
      <c r="PR604" s="25"/>
      <c r="PS604" s="25"/>
      <c r="PT604" s="25"/>
      <c r="PU604" s="25"/>
      <c r="PV604" s="25"/>
      <c r="PW604" s="25"/>
      <c r="PX604" s="25"/>
      <c r="PY604" s="25"/>
      <c r="PZ604" s="25"/>
      <c r="QA604" s="25"/>
      <c r="QB604" s="25"/>
      <c r="QC604" s="25"/>
      <c r="QD604" s="25"/>
      <c r="QE604" s="25"/>
      <c r="QF604" s="25"/>
      <c r="QG604" s="25"/>
      <c r="QH604" s="25"/>
      <c r="QI604" s="25"/>
      <c r="QJ604" s="25"/>
      <c r="QK604" s="25"/>
      <c r="QL604" s="25"/>
      <c r="QM604" s="25"/>
      <c r="QN604" s="25"/>
      <c r="QO604" s="25"/>
      <c r="QP604" s="25"/>
      <c r="QQ604" s="25"/>
      <c r="QR604" s="25"/>
      <c r="QS604" s="25"/>
      <c r="QT604" s="25"/>
      <c r="QU604" s="25"/>
      <c r="QV604" s="25"/>
      <c r="QW604" s="25"/>
      <c r="QX604" s="25"/>
      <c r="QY604" s="25"/>
      <c r="QZ604" s="25"/>
      <c r="RA604" s="25"/>
      <c r="RB604" s="25"/>
      <c r="RC604" s="25"/>
      <c r="RD604" s="25"/>
      <c r="RE604" s="25"/>
      <c r="RF604" s="25"/>
      <c r="RG604" s="25"/>
      <c r="RH604" s="25"/>
      <c r="RI604" s="25"/>
      <c r="RJ604" s="25"/>
      <c r="RK604" s="25"/>
      <c r="RL604" s="25"/>
      <c r="RM604" s="25"/>
      <c r="RN604" s="25"/>
      <c r="RO604" s="25"/>
      <c r="RP604" s="25"/>
      <c r="RQ604" s="25"/>
      <c r="RR604" s="25"/>
      <c r="RS604" s="25"/>
      <c r="RT604" s="25"/>
      <c r="RU604" s="25"/>
      <c r="RV604" s="25"/>
      <c r="RW604" s="25"/>
      <c r="RX604" s="25"/>
      <c r="RY604" s="25"/>
      <c r="RZ604" s="25"/>
      <c r="SA604" s="25"/>
      <c r="SB604" s="25"/>
      <c r="SC604" s="25"/>
      <c r="SD604" s="25"/>
      <c r="SE604" s="25"/>
      <c r="SF604" s="25"/>
      <c r="SG604" s="25"/>
      <c r="SH604" s="25"/>
      <c r="SI604" s="25"/>
      <c r="SJ604" s="25"/>
      <c r="SK604" s="25"/>
      <c r="SL604" s="25"/>
      <c r="SM604" s="25"/>
      <c r="SN604" s="25"/>
      <c r="SO604" s="25"/>
      <c r="SP604" s="25"/>
      <c r="SQ604" s="25"/>
      <c r="SR604" s="25"/>
      <c r="SS604" s="25"/>
      <c r="ST604" s="25"/>
      <c r="SU604" s="25"/>
      <c r="SV604" s="25"/>
      <c r="SW604" s="25"/>
      <c r="SX604" s="25"/>
      <c r="SY604" s="25"/>
      <c r="SZ604" s="25"/>
      <c r="TA604" s="25"/>
      <c r="TB604" s="25"/>
      <c r="TC604" s="25"/>
      <c r="TD604" s="25"/>
      <c r="TE604" s="25"/>
      <c r="TF604" s="25"/>
      <c r="TG604" s="25"/>
      <c r="TH604" s="25"/>
      <c r="TI604" s="25"/>
      <c r="TJ604" s="25"/>
      <c r="TK604" s="25"/>
      <c r="TL604" s="25"/>
      <c r="TM604" s="25"/>
      <c r="TN604" s="25"/>
      <c r="TO604" s="25"/>
      <c r="TP604" s="25"/>
      <c r="TQ604" s="25"/>
      <c r="TR604" s="25"/>
      <c r="TS604" s="25"/>
      <c r="TT604" s="25"/>
      <c r="TU604" s="25"/>
      <c r="TV604" s="25"/>
      <c r="TW604" s="25"/>
      <c r="TX604" s="25"/>
      <c r="TY604" s="25"/>
      <c r="TZ604" s="25"/>
      <c r="UA604" s="25"/>
      <c r="UB604" s="25"/>
      <c r="UC604" s="25"/>
      <c r="UD604" s="25"/>
      <c r="UE604" s="25"/>
      <c r="UF604" s="25"/>
      <c r="UG604" s="26"/>
    </row>
    <row r="605" spans="1:553" ht="50.25" customHeight="1">
      <c r="A605" s="356" t="s">
        <v>15</v>
      </c>
      <c r="B605" s="385">
        <v>19</v>
      </c>
      <c r="C605" s="1403" t="s">
        <v>432</v>
      </c>
      <c r="D605" s="1389"/>
      <c r="E605" s="1389"/>
      <c r="F605" s="1390"/>
      <c r="G605" s="386" t="s">
        <v>33</v>
      </c>
      <c r="H605" s="370"/>
      <c r="I605" s="422">
        <f>5.5*1.6</f>
        <v>8.8000000000000007</v>
      </c>
      <c r="J605" s="368">
        <v>224200</v>
      </c>
      <c r="K605" s="371"/>
      <c r="L605" s="487">
        <f t="shared" si="101"/>
        <v>1972960.0000000002</v>
      </c>
      <c r="M605" s="391"/>
      <c r="N605" s="391"/>
      <c r="O605" s="391"/>
      <c r="P605" s="391"/>
      <c r="Q605" s="1444"/>
      <c r="R605" s="1226"/>
      <c r="S605" s="308"/>
      <c r="T605" s="308"/>
      <c r="U605" s="308"/>
      <c r="V605" s="308"/>
      <c r="W605" s="308"/>
      <c r="X605" s="308"/>
      <c r="Y605" s="308"/>
      <c r="Z605" s="604"/>
      <c r="AA605" s="308"/>
      <c r="AB605" s="308"/>
      <c r="AC605" s="449"/>
      <c r="AD605" s="449"/>
      <c r="AE605" s="449"/>
      <c r="AF605" s="449"/>
      <c r="AG605" s="449"/>
      <c r="AH605" s="449"/>
      <c r="AI605" s="449"/>
      <c r="AJ605" s="449"/>
      <c r="AK605" s="452"/>
      <c r="AL605" s="104"/>
      <c r="AM605" s="32"/>
      <c r="AN605" s="32"/>
      <c r="AO605" s="32"/>
      <c r="AP605" s="32"/>
      <c r="AQ605" s="32"/>
      <c r="AR605" s="32"/>
      <c r="AS605" s="31"/>
      <c r="AT605" s="31"/>
      <c r="AU605" s="31"/>
      <c r="AV605" s="31"/>
      <c r="AW605" s="31"/>
      <c r="AX605" s="31"/>
      <c r="AY605" s="31"/>
      <c r="AZ605" s="31"/>
      <c r="BA605" s="31"/>
      <c r="BB605" s="31"/>
      <c r="BC605" s="31"/>
      <c r="BD605" s="31"/>
      <c r="BE605" s="31"/>
      <c r="BF605" s="31"/>
      <c r="BG605" s="31"/>
      <c r="BH605" s="31"/>
      <c r="BI605" s="31"/>
      <c r="BJ605" s="31"/>
      <c r="BK605" s="31"/>
      <c r="BL605" s="31"/>
      <c r="BM605" s="31"/>
      <c r="BN605" s="31"/>
      <c r="BO605" s="31"/>
      <c r="BP605" s="31"/>
      <c r="BQ605" s="31"/>
      <c r="BR605" s="31"/>
      <c r="BS605" s="31"/>
      <c r="BT605" s="31"/>
      <c r="BU605" s="31"/>
      <c r="BV605" s="31"/>
      <c r="BW605" s="31"/>
      <c r="BX605" s="31"/>
      <c r="BY605" s="31"/>
      <c r="BZ605" s="31"/>
      <c r="CA605" s="31"/>
      <c r="CB605" s="31"/>
      <c r="CC605" s="31"/>
      <c r="CD605" s="31"/>
      <c r="CE605" s="31"/>
      <c r="CF605" s="31"/>
      <c r="CG605" s="31"/>
      <c r="CH605" s="31"/>
      <c r="CI605" s="31"/>
      <c r="CJ605" s="31"/>
      <c r="CK605" s="31"/>
      <c r="CL605" s="31"/>
      <c r="CM605" s="31"/>
      <c r="CN605" s="31"/>
      <c r="CO605" s="31"/>
      <c r="CP605" s="31"/>
      <c r="CQ605" s="31"/>
      <c r="CR605" s="31"/>
      <c r="CS605" s="31"/>
      <c r="CT605" s="31"/>
      <c r="CU605" s="31"/>
      <c r="CV605" s="31"/>
      <c r="CW605" s="31"/>
      <c r="CX605" s="31"/>
      <c r="CY605" s="31"/>
      <c r="CZ605" s="31"/>
      <c r="DA605" s="31"/>
      <c r="DB605" s="31"/>
      <c r="DC605" s="31"/>
      <c r="DD605" s="31"/>
      <c r="DE605" s="31"/>
      <c r="DF605" s="31"/>
      <c r="DG605" s="31"/>
      <c r="DH605" s="31"/>
      <c r="DI605" s="31"/>
      <c r="DJ605" s="31"/>
      <c r="DK605" s="31"/>
      <c r="DL605" s="31"/>
      <c r="DM605" s="31"/>
      <c r="DN605" s="31"/>
      <c r="DO605" s="31"/>
      <c r="DP605" s="31"/>
      <c r="DQ605" s="31"/>
      <c r="DR605" s="31"/>
      <c r="DS605" s="31"/>
      <c r="DT605" s="31"/>
      <c r="DU605" s="31"/>
      <c r="DV605" s="31"/>
      <c r="DW605" s="31"/>
      <c r="DX605" s="31"/>
      <c r="DY605" s="31"/>
      <c r="DZ605" s="31"/>
      <c r="EA605" s="31"/>
      <c r="EB605" s="31"/>
      <c r="EC605" s="31"/>
      <c r="ED605" s="31"/>
      <c r="EE605" s="31"/>
      <c r="EF605" s="31"/>
      <c r="EG605" s="31"/>
      <c r="EH605" s="31"/>
      <c r="EI605" s="31"/>
      <c r="EJ605" s="31"/>
      <c r="EK605" s="31"/>
      <c r="EL605" s="31"/>
      <c r="EM605" s="31"/>
      <c r="EN605" s="31"/>
      <c r="EO605" s="31"/>
      <c r="EP605" s="31"/>
      <c r="EQ605" s="31"/>
      <c r="ER605" s="31"/>
      <c r="ES605" s="31"/>
      <c r="ET605" s="31"/>
      <c r="EU605" s="31"/>
      <c r="EV605" s="31"/>
      <c r="EW605" s="31"/>
      <c r="EX605" s="31"/>
      <c r="EY605" s="31"/>
      <c r="EZ605" s="31"/>
      <c r="FA605" s="31"/>
      <c r="FB605" s="31"/>
      <c r="FC605" s="31"/>
      <c r="FD605" s="31"/>
      <c r="FE605" s="31"/>
      <c r="FF605" s="31"/>
      <c r="FG605" s="31"/>
      <c r="FH605" s="31"/>
      <c r="FI605" s="31"/>
      <c r="FJ605" s="31"/>
      <c r="FK605" s="31"/>
      <c r="FL605" s="31"/>
      <c r="FM605" s="31"/>
      <c r="FN605" s="31"/>
      <c r="FO605" s="31"/>
      <c r="FP605" s="31"/>
      <c r="FQ605" s="31"/>
      <c r="FR605" s="31"/>
      <c r="FS605" s="31"/>
      <c r="FT605" s="31"/>
      <c r="FU605" s="31"/>
      <c r="FV605" s="31"/>
      <c r="FW605" s="31"/>
      <c r="FX605" s="31"/>
      <c r="FY605" s="31"/>
      <c r="FZ605" s="31"/>
      <c r="GA605" s="31"/>
      <c r="GB605" s="31"/>
      <c r="GC605" s="31"/>
      <c r="GD605" s="31"/>
      <c r="GE605" s="31"/>
      <c r="GF605" s="31"/>
      <c r="GG605" s="31"/>
      <c r="GH605" s="31"/>
      <c r="GI605" s="31"/>
      <c r="GJ605" s="31"/>
      <c r="GK605" s="31"/>
      <c r="GL605" s="31"/>
      <c r="GM605" s="31"/>
      <c r="GN605" s="31"/>
      <c r="GO605" s="31"/>
      <c r="GP605" s="31"/>
      <c r="GQ605" s="31"/>
      <c r="GR605" s="31"/>
      <c r="GS605" s="31"/>
      <c r="GT605" s="31"/>
      <c r="GU605" s="31"/>
      <c r="GV605" s="31"/>
      <c r="GW605" s="31"/>
      <c r="GX605" s="31"/>
      <c r="GY605" s="31"/>
      <c r="GZ605" s="31"/>
      <c r="HA605" s="31"/>
      <c r="HB605" s="31"/>
      <c r="HC605" s="31"/>
      <c r="HD605" s="31"/>
      <c r="HE605" s="31"/>
      <c r="HF605" s="31"/>
      <c r="HG605" s="31"/>
      <c r="HH605" s="31"/>
      <c r="HI605" s="31"/>
      <c r="HJ605" s="31"/>
      <c r="HK605" s="31"/>
      <c r="HL605" s="31"/>
      <c r="HM605" s="31"/>
      <c r="HN605" s="31"/>
      <c r="HO605" s="31"/>
      <c r="HP605" s="31"/>
      <c r="HQ605" s="31"/>
      <c r="HR605" s="31"/>
      <c r="HS605" s="31"/>
      <c r="HT605" s="31"/>
      <c r="HU605" s="31"/>
      <c r="HV605" s="31"/>
      <c r="HW605" s="31"/>
      <c r="HX605" s="31"/>
      <c r="HY605" s="31"/>
      <c r="HZ605" s="31"/>
      <c r="IA605" s="31"/>
      <c r="IB605" s="31"/>
      <c r="IC605" s="31"/>
      <c r="ID605" s="31"/>
      <c r="IE605" s="31"/>
      <c r="IF605" s="31"/>
      <c r="IG605" s="31"/>
      <c r="IH605" s="31"/>
      <c r="II605" s="31"/>
      <c r="IJ605" s="31"/>
      <c r="IK605" s="31"/>
      <c r="IL605" s="31"/>
      <c r="IM605" s="31"/>
      <c r="IN605" s="31"/>
      <c r="IO605" s="31"/>
      <c r="IP605" s="31"/>
      <c r="IQ605" s="31"/>
      <c r="IR605" s="31"/>
      <c r="IS605" s="31"/>
      <c r="IT605" s="31"/>
      <c r="IU605" s="31"/>
      <c r="IV605" s="31"/>
      <c r="IW605" s="31"/>
      <c r="IX605" s="31"/>
      <c r="IY605" s="31"/>
      <c r="IZ605" s="31"/>
      <c r="JA605" s="31"/>
      <c r="JB605" s="31"/>
      <c r="JC605" s="31"/>
      <c r="JD605" s="31"/>
      <c r="JE605" s="31"/>
      <c r="JF605" s="31"/>
      <c r="JG605" s="31"/>
      <c r="JH605" s="31"/>
      <c r="JI605" s="31"/>
      <c r="JJ605" s="31"/>
      <c r="JK605" s="31"/>
      <c r="JL605" s="31"/>
      <c r="JM605" s="31"/>
      <c r="JN605" s="31"/>
      <c r="JO605" s="31"/>
      <c r="JP605" s="31"/>
      <c r="JQ605" s="31"/>
      <c r="JR605" s="31"/>
      <c r="JS605" s="31"/>
      <c r="JT605" s="31"/>
      <c r="JU605" s="31"/>
      <c r="JV605" s="31"/>
      <c r="JW605" s="31"/>
      <c r="JX605" s="31"/>
      <c r="JY605" s="31"/>
      <c r="JZ605" s="31"/>
      <c r="KA605" s="31"/>
      <c r="KB605" s="31"/>
      <c r="KC605" s="31"/>
      <c r="KD605" s="31"/>
      <c r="KE605" s="31"/>
      <c r="KF605" s="31"/>
      <c r="KG605" s="31"/>
      <c r="KH605" s="31"/>
      <c r="KI605" s="31"/>
      <c r="KJ605" s="31"/>
      <c r="KK605" s="31"/>
      <c r="KL605" s="31"/>
      <c r="KM605" s="31"/>
      <c r="KN605" s="31"/>
      <c r="KO605" s="31"/>
      <c r="KP605" s="31"/>
      <c r="KQ605" s="31"/>
      <c r="KR605" s="31"/>
      <c r="KS605" s="31"/>
      <c r="KT605" s="31"/>
      <c r="KU605" s="31"/>
      <c r="KV605" s="31"/>
      <c r="KW605" s="31"/>
      <c r="KX605" s="31"/>
      <c r="KY605" s="31"/>
      <c r="KZ605" s="31"/>
      <c r="LA605" s="31"/>
      <c r="LB605" s="31"/>
      <c r="LC605" s="31"/>
      <c r="LD605" s="31"/>
      <c r="LE605" s="31"/>
      <c r="LF605" s="31"/>
      <c r="LG605" s="31"/>
      <c r="LH605" s="31"/>
      <c r="LI605" s="31"/>
      <c r="LJ605" s="31"/>
      <c r="LK605" s="31"/>
      <c r="LL605" s="31"/>
      <c r="LM605" s="31"/>
      <c r="LN605" s="31"/>
      <c r="LO605" s="31"/>
      <c r="LP605" s="31"/>
      <c r="LQ605" s="31"/>
      <c r="LR605" s="31"/>
      <c r="LS605" s="31"/>
      <c r="LT605" s="31"/>
      <c r="LU605" s="31"/>
      <c r="LV605" s="31"/>
      <c r="LW605" s="31"/>
      <c r="LX605" s="31"/>
      <c r="LY605" s="31"/>
      <c r="LZ605" s="31"/>
      <c r="MA605" s="31"/>
      <c r="MB605" s="31"/>
      <c r="MC605" s="31"/>
      <c r="MD605" s="31"/>
      <c r="ME605" s="31"/>
      <c r="MF605" s="31"/>
      <c r="MG605" s="31"/>
      <c r="MH605" s="31"/>
      <c r="MI605" s="31"/>
      <c r="MJ605" s="31"/>
      <c r="MK605" s="31"/>
      <c r="ML605" s="31"/>
      <c r="MM605" s="31"/>
      <c r="MN605" s="31"/>
      <c r="MO605" s="31"/>
      <c r="MP605" s="31"/>
      <c r="MQ605" s="31"/>
      <c r="MR605" s="31"/>
      <c r="MS605" s="31"/>
      <c r="MT605" s="31"/>
      <c r="MU605" s="31"/>
      <c r="MV605" s="31"/>
      <c r="MW605" s="31"/>
      <c r="MX605" s="31"/>
      <c r="MY605" s="31"/>
      <c r="MZ605" s="31"/>
      <c r="NA605" s="31"/>
      <c r="NB605" s="31"/>
      <c r="NC605" s="31"/>
      <c r="ND605" s="31"/>
      <c r="NE605" s="31"/>
      <c r="NF605" s="31"/>
      <c r="NG605" s="31"/>
      <c r="NH605" s="31"/>
      <c r="NI605" s="31"/>
      <c r="NJ605" s="31"/>
      <c r="NK605" s="31"/>
      <c r="NL605" s="31"/>
      <c r="NM605" s="31"/>
      <c r="NN605" s="31"/>
      <c r="NO605" s="31"/>
      <c r="NP605" s="31"/>
      <c r="NQ605" s="31"/>
      <c r="NR605" s="31"/>
      <c r="NS605" s="31"/>
      <c r="NT605" s="31"/>
      <c r="NU605" s="31"/>
      <c r="NV605" s="31"/>
      <c r="NW605" s="31"/>
      <c r="NX605" s="31"/>
      <c r="NY605" s="31"/>
      <c r="NZ605" s="31"/>
      <c r="OA605" s="31"/>
      <c r="OB605" s="31"/>
      <c r="OC605" s="31"/>
      <c r="OD605" s="31"/>
      <c r="OE605" s="31"/>
      <c r="OF605" s="31"/>
      <c r="OG605" s="31"/>
      <c r="OH605" s="31"/>
      <c r="OI605" s="31"/>
      <c r="OJ605" s="31"/>
      <c r="OK605" s="31"/>
      <c r="OL605" s="31"/>
      <c r="OM605" s="31"/>
      <c r="ON605" s="31"/>
      <c r="OO605" s="31"/>
      <c r="OP605" s="31"/>
      <c r="OQ605" s="31"/>
      <c r="OR605" s="31"/>
      <c r="OS605" s="31"/>
      <c r="OT605" s="31"/>
      <c r="OU605" s="31"/>
      <c r="OV605" s="31"/>
      <c r="OW605" s="31"/>
      <c r="OX605" s="31"/>
      <c r="OY605" s="31"/>
      <c r="OZ605" s="31"/>
      <c r="PA605" s="31"/>
      <c r="PB605" s="31"/>
      <c r="PC605" s="31"/>
      <c r="PD605" s="31"/>
      <c r="PE605" s="31"/>
      <c r="PF605" s="31"/>
      <c r="PG605" s="31"/>
      <c r="PH605" s="31"/>
      <c r="PI605" s="31"/>
      <c r="PJ605" s="31"/>
      <c r="PK605" s="31"/>
      <c r="PL605" s="31"/>
      <c r="PM605" s="31"/>
      <c r="PN605" s="31"/>
      <c r="PO605" s="31"/>
      <c r="PP605" s="31"/>
      <c r="PQ605" s="31"/>
      <c r="PR605" s="31"/>
      <c r="PS605" s="31"/>
      <c r="PT605" s="31"/>
      <c r="PU605" s="31"/>
      <c r="PV605" s="31"/>
      <c r="PW605" s="31"/>
      <c r="PX605" s="31"/>
      <c r="PY605" s="31"/>
      <c r="PZ605" s="31"/>
      <c r="QA605" s="31"/>
      <c r="QB605" s="31"/>
      <c r="QC605" s="31"/>
      <c r="QD605" s="31"/>
      <c r="QE605" s="31"/>
      <c r="QF605" s="31"/>
      <c r="QG605" s="31"/>
      <c r="QH605" s="31"/>
      <c r="QI605" s="31"/>
      <c r="QJ605" s="31"/>
      <c r="QK605" s="31"/>
      <c r="QL605" s="31"/>
      <c r="QM605" s="31"/>
      <c r="QN605" s="31"/>
      <c r="QO605" s="31"/>
      <c r="QP605" s="31"/>
      <c r="QQ605" s="31"/>
      <c r="QR605" s="31"/>
      <c r="QS605" s="31"/>
      <c r="QT605" s="31"/>
      <c r="QU605" s="31"/>
      <c r="QV605" s="31"/>
      <c r="QW605" s="31"/>
      <c r="QX605" s="31"/>
      <c r="QY605" s="31"/>
      <c r="QZ605" s="31"/>
      <c r="RA605" s="31"/>
      <c r="RB605" s="31"/>
      <c r="RC605" s="31"/>
      <c r="RD605" s="31"/>
      <c r="RE605" s="31"/>
      <c r="RF605" s="31"/>
      <c r="RG605" s="31"/>
      <c r="RH605" s="31"/>
      <c r="RI605" s="31"/>
      <c r="RJ605" s="31"/>
      <c r="RK605" s="31"/>
      <c r="RL605" s="31"/>
      <c r="RM605" s="31"/>
      <c r="RN605" s="31"/>
      <c r="RO605" s="31"/>
      <c r="RP605" s="31"/>
      <c r="RQ605" s="31"/>
      <c r="RR605" s="31"/>
      <c r="RS605" s="31"/>
      <c r="RT605" s="31"/>
      <c r="RU605" s="31"/>
      <c r="RV605" s="31"/>
      <c r="RW605" s="31"/>
      <c r="RX605" s="31"/>
      <c r="RY605" s="31"/>
      <c r="RZ605" s="31"/>
      <c r="SA605" s="31"/>
      <c r="SB605" s="31"/>
      <c r="SC605" s="31"/>
      <c r="SD605" s="31"/>
      <c r="SE605" s="31"/>
      <c r="SF605" s="31"/>
      <c r="SG605" s="31"/>
      <c r="SH605" s="31"/>
      <c r="SI605" s="31"/>
      <c r="SJ605" s="31"/>
      <c r="SK605" s="31"/>
      <c r="SL605" s="31"/>
      <c r="SM605" s="31"/>
      <c r="SN605" s="31"/>
      <c r="SO605" s="31"/>
      <c r="SP605" s="31"/>
      <c r="SQ605" s="31"/>
      <c r="SR605" s="31"/>
      <c r="SS605" s="31"/>
      <c r="ST605" s="31"/>
      <c r="SU605" s="31"/>
      <c r="SV605" s="31"/>
      <c r="SW605" s="31"/>
      <c r="SX605" s="31"/>
      <c r="SY605" s="31"/>
      <c r="SZ605" s="31"/>
      <c r="TA605" s="31"/>
      <c r="TB605" s="31"/>
      <c r="TC605" s="31"/>
      <c r="TD605" s="31"/>
      <c r="TE605" s="31"/>
      <c r="TF605" s="31"/>
      <c r="TG605" s="31"/>
      <c r="TH605" s="31"/>
      <c r="TI605" s="31"/>
      <c r="TJ605" s="31"/>
      <c r="TK605" s="31"/>
      <c r="TL605" s="31"/>
      <c r="TM605" s="31"/>
      <c r="TN605" s="31"/>
      <c r="TO605" s="31"/>
      <c r="TP605" s="31"/>
      <c r="TQ605" s="31"/>
      <c r="TR605" s="31"/>
      <c r="TS605" s="31"/>
      <c r="TT605" s="31"/>
      <c r="TU605" s="31"/>
      <c r="TV605" s="31"/>
      <c r="TW605" s="31"/>
      <c r="TX605" s="31"/>
      <c r="TY605" s="31"/>
      <c r="TZ605" s="31"/>
      <c r="UA605" s="31"/>
      <c r="UB605" s="31"/>
      <c r="UC605" s="31"/>
      <c r="UD605" s="31"/>
      <c r="UE605" s="31"/>
      <c r="UF605" s="31"/>
      <c r="UG605" s="33"/>
    </row>
    <row r="606" spans="1:553" ht="50.25" customHeight="1">
      <c r="A606" s="356" t="s">
        <v>15</v>
      </c>
      <c r="B606" s="385" t="s">
        <v>31</v>
      </c>
      <c r="C606" s="1403" t="s">
        <v>1281</v>
      </c>
      <c r="D606" s="1389"/>
      <c r="E606" s="1389"/>
      <c r="F606" s="1390"/>
      <c r="G606" s="386" t="s">
        <v>34</v>
      </c>
      <c r="H606" s="370"/>
      <c r="I606" s="834">
        <f>-(9.6+8.9)*2*2.2*0.22</f>
        <v>-17.908000000000001</v>
      </c>
      <c r="J606" s="368">
        <v>1748702</v>
      </c>
      <c r="K606" s="371"/>
      <c r="L606" s="487">
        <f t="shared" si="101"/>
        <v>-31315755.416000001</v>
      </c>
      <c r="M606" s="391"/>
      <c r="N606" s="391"/>
      <c r="O606" s="391"/>
      <c r="P606" s="391"/>
      <c r="Q606" s="1445"/>
      <c r="R606" s="1226"/>
      <c r="S606" s="308"/>
      <c r="T606" s="308"/>
      <c r="U606" s="308"/>
      <c r="V606" s="308"/>
      <c r="W606" s="308"/>
      <c r="X606" s="308"/>
      <c r="Y606" s="308"/>
      <c r="Z606" s="604"/>
      <c r="AA606" s="308"/>
      <c r="AB606" s="308"/>
      <c r="AC606" s="449"/>
      <c r="AD606" s="449"/>
      <c r="AE606" s="449"/>
      <c r="AF606" s="449"/>
      <c r="AG606" s="449"/>
      <c r="AH606" s="449"/>
      <c r="AI606" s="449"/>
      <c r="AJ606" s="449"/>
      <c r="AK606" s="452"/>
      <c r="AL606" s="104"/>
      <c r="AM606" s="32"/>
      <c r="AN606" s="32"/>
      <c r="AO606" s="32"/>
      <c r="AP606" s="32"/>
      <c r="AQ606" s="32"/>
      <c r="AR606" s="32"/>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1"/>
      <c r="FH606" s="31"/>
      <c r="FI606" s="31"/>
      <c r="FJ606" s="31"/>
      <c r="FK606" s="31"/>
      <c r="FL606" s="31"/>
      <c r="FM606" s="31"/>
      <c r="FN606" s="31"/>
      <c r="FO606" s="31"/>
      <c r="FP606" s="31"/>
      <c r="FQ606" s="31"/>
      <c r="FR606" s="31"/>
      <c r="FS606" s="31"/>
      <c r="FT606" s="31"/>
      <c r="FU606" s="31"/>
      <c r="FV606" s="31"/>
      <c r="FW606" s="31"/>
      <c r="FX606" s="31"/>
      <c r="FY606" s="31"/>
      <c r="FZ606" s="31"/>
      <c r="GA606" s="31"/>
      <c r="GB606" s="31"/>
      <c r="GC606" s="31"/>
      <c r="GD606" s="31"/>
      <c r="GE606" s="31"/>
      <c r="GF606" s="31"/>
      <c r="GG606" s="31"/>
      <c r="GH606" s="31"/>
      <c r="GI606" s="31"/>
      <c r="GJ606" s="31"/>
      <c r="GK606" s="31"/>
      <c r="GL606" s="31"/>
      <c r="GM606" s="31"/>
      <c r="GN606" s="31"/>
      <c r="GO606" s="31"/>
      <c r="GP606" s="31"/>
      <c r="GQ606" s="31"/>
      <c r="GR606" s="31"/>
      <c r="GS606" s="31"/>
      <c r="GT606" s="31"/>
      <c r="GU606" s="31"/>
      <c r="GV606" s="31"/>
      <c r="GW606" s="31"/>
      <c r="GX606" s="31"/>
      <c r="GY606" s="31"/>
      <c r="GZ606" s="31"/>
      <c r="HA606" s="31"/>
      <c r="HB606" s="31"/>
      <c r="HC606" s="31"/>
      <c r="HD606" s="31"/>
      <c r="HE606" s="31"/>
      <c r="HF606" s="31"/>
      <c r="HG606" s="31"/>
      <c r="HH606" s="31"/>
      <c r="HI606" s="31"/>
      <c r="HJ606" s="31"/>
      <c r="HK606" s="31"/>
      <c r="HL606" s="31"/>
      <c r="HM606" s="31"/>
      <c r="HN606" s="31"/>
      <c r="HO606" s="31"/>
      <c r="HP606" s="31"/>
      <c r="HQ606" s="31"/>
      <c r="HR606" s="31"/>
      <c r="HS606" s="31"/>
      <c r="HT606" s="31"/>
      <c r="HU606" s="31"/>
      <c r="HV606" s="31"/>
      <c r="HW606" s="31"/>
      <c r="HX606" s="31"/>
      <c r="HY606" s="31"/>
      <c r="HZ606" s="31"/>
      <c r="IA606" s="31"/>
      <c r="IB606" s="31"/>
      <c r="IC606" s="31"/>
      <c r="ID606" s="31"/>
      <c r="IE606" s="31"/>
      <c r="IF606" s="31"/>
      <c r="IG606" s="31"/>
      <c r="IH606" s="31"/>
      <c r="II606" s="31"/>
      <c r="IJ606" s="31"/>
      <c r="IK606" s="31"/>
      <c r="IL606" s="31"/>
      <c r="IM606" s="31"/>
      <c r="IN606" s="31"/>
      <c r="IO606" s="31"/>
      <c r="IP606" s="31"/>
      <c r="IQ606" s="31"/>
      <c r="IR606" s="31"/>
      <c r="IS606" s="31"/>
      <c r="IT606" s="31"/>
      <c r="IU606" s="31"/>
      <c r="IV606" s="31"/>
      <c r="IW606" s="31"/>
      <c r="IX606" s="31"/>
      <c r="IY606" s="31"/>
      <c r="IZ606" s="31"/>
      <c r="JA606" s="31"/>
      <c r="JB606" s="31"/>
      <c r="JC606" s="31"/>
      <c r="JD606" s="31"/>
      <c r="JE606" s="31"/>
      <c r="JF606" s="31"/>
      <c r="JG606" s="31"/>
      <c r="JH606" s="31"/>
      <c r="JI606" s="31"/>
      <c r="JJ606" s="31"/>
      <c r="JK606" s="31"/>
      <c r="JL606" s="31"/>
      <c r="JM606" s="31"/>
      <c r="JN606" s="31"/>
      <c r="JO606" s="31"/>
      <c r="JP606" s="31"/>
      <c r="JQ606" s="31"/>
      <c r="JR606" s="31"/>
      <c r="JS606" s="31"/>
      <c r="JT606" s="31"/>
      <c r="JU606" s="31"/>
      <c r="JV606" s="31"/>
      <c r="JW606" s="31"/>
      <c r="JX606" s="31"/>
      <c r="JY606" s="31"/>
      <c r="JZ606" s="31"/>
      <c r="KA606" s="31"/>
      <c r="KB606" s="31"/>
      <c r="KC606" s="31"/>
      <c r="KD606" s="31"/>
      <c r="KE606" s="31"/>
      <c r="KF606" s="31"/>
      <c r="KG606" s="31"/>
      <c r="KH606" s="31"/>
      <c r="KI606" s="31"/>
      <c r="KJ606" s="31"/>
      <c r="KK606" s="31"/>
      <c r="KL606" s="31"/>
      <c r="KM606" s="31"/>
      <c r="KN606" s="31"/>
      <c r="KO606" s="31"/>
      <c r="KP606" s="31"/>
      <c r="KQ606" s="31"/>
      <c r="KR606" s="31"/>
      <c r="KS606" s="31"/>
      <c r="KT606" s="31"/>
      <c r="KU606" s="31"/>
      <c r="KV606" s="31"/>
      <c r="KW606" s="31"/>
      <c r="KX606" s="31"/>
      <c r="KY606" s="31"/>
      <c r="KZ606" s="31"/>
      <c r="LA606" s="31"/>
      <c r="LB606" s="31"/>
      <c r="LC606" s="31"/>
      <c r="LD606" s="31"/>
      <c r="LE606" s="31"/>
      <c r="LF606" s="31"/>
      <c r="LG606" s="31"/>
      <c r="LH606" s="31"/>
      <c r="LI606" s="31"/>
      <c r="LJ606" s="31"/>
      <c r="LK606" s="31"/>
      <c r="LL606" s="31"/>
      <c r="LM606" s="31"/>
      <c r="LN606" s="31"/>
      <c r="LO606" s="31"/>
      <c r="LP606" s="31"/>
      <c r="LQ606" s="31"/>
      <c r="LR606" s="31"/>
      <c r="LS606" s="31"/>
      <c r="LT606" s="31"/>
      <c r="LU606" s="31"/>
      <c r="LV606" s="31"/>
      <c r="LW606" s="31"/>
      <c r="LX606" s="31"/>
      <c r="LY606" s="31"/>
      <c r="LZ606" s="31"/>
      <c r="MA606" s="31"/>
      <c r="MB606" s="31"/>
      <c r="MC606" s="31"/>
      <c r="MD606" s="31"/>
      <c r="ME606" s="31"/>
      <c r="MF606" s="31"/>
      <c r="MG606" s="31"/>
      <c r="MH606" s="31"/>
      <c r="MI606" s="31"/>
      <c r="MJ606" s="31"/>
      <c r="MK606" s="31"/>
      <c r="ML606" s="31"/>
      <c r="MM606" s="31"/>
      <c r="MN606" s="31"/>
      <c r="MO606" s="31"/>
      <c r="MP606" s="31"/>
      <c r="MQ606" s="31"/>
      <c r="MR606" s="31"/>
      <c r="MS606" s="31"/>
      <c r="MT606" s="31"/>
      <c r="MU606" s="31"/>
      <c r="MV606" s="31"/>
      <c r="MW606" s="31"/>
      <c r="MX606" s="31"/>
      <c r="MY606" s="31"/>
      <c r="MZ606" s="31"/>
      <c r="NA606" s="31"/>
      <c r="NB606" s="31"/>
      <c r="NC606" s="31"/>
      <c r="ND606" s="31"/>
      <c r="NE606" s="31"/>
      <c r="NF606" s="31"/>
      <c r="NG606" s="31"/>
      <c r="NH606" s="31"/>
      <c r="NI606" s="31"/>
      <c r="NJ606" s="31"/>
      <c r="NK606" s="31"/>
      <c r="NL606" s="31"/>
      <c r="NM606" s="31"/>
      <c r="NN606" s="31"/>
      <c r="NO606" s="31"/>
      <c r="NP606" s="31"/>
      <c r="NQ606" s="31"/>
      <c r="NR606" s="31"/>
      <c r="NS606" s="31"/>
      <c r="NT606" s="31"/>
      <c r="NU606" s="31"/>
      <c r="NV606" s="31"/>
      <c r="NW606" s="31"/>
      <c r="NX606" s="31"/>
      <c r="NY606" s="31"/>
      <c r="NZ606" s="31"/>
      <c r="OA606" s="31"/>
      <c r="OB606" s="31"/>
      <c r="OC606" s="31"/>
      <c r="OD606" s="31"/>
      <c r="OE606" s="31"/>
      <c r="OF606" s="31"/>
      <c r="OG606" s="31"/>
      <c r="OH606" s="31"/>
      <c r="OI606" s="31"/>
      <c r="OJ606" s="31"/>
      <c r="OK606" s="31"/>
      <c r="OL606" s="31"/>
      <c r="OM606" s="31"/>
      <c r="ON606" s="31"/>
      <c r="OO606" s="31"/>
      <c r="OP606" s="31"/>
      <c r="OQ606" s="31"/>
      <c r="OR606" s="31"/>
      <c r="OS606" s="31"/>
      <c r="OT606" s="31"/>
      <c r="OU606" s="31"/>
      <c r="OV606" s="31"/>
      <c r="OW606" s="31"/>
      <c r="OX606" s="31"/>
      <c r="OY606" s="31"/>
      <c r="OZ606" s="31"/>
      <c r="PA606" s="31"/>
      <c r="PB606" s="31"/>
      <c r="PC606" s="31"/>
      <c r="PD606" s="31"/>
      <c r="PE606" s="31"/>
      <c r="PF606" s="31"/>
      <c r="PG606" s="31"/>
      <c r="PH606" s="31"/>
      <c r="PI606" s="31"/>
      <c r="PJ606" s="31"/>
      <c r="PK606" s="31"/>
      <c r="PL606" s="31"/>
      <c r="PM606" s="31"/>
      <c r="PN606" s="31"/>
      <c r="PO606" s="31"/>
      <c r="PP606" s="31"/>
      <c r="PQ606" s="31"/>
      <c r="PR606" s="31"/>
      <c r="PS606" s="31"/>
      <c r="PT606" s="31"/>
      <c r="PU606" s="31"/>
      <c r="PV606" s="31"/>
      <c r="PW606" s="31"/>
      <c r="PX606" s="31"/>
      <c r="PY606" s="31"/>
      <c r="PZ606" s="31"/>
      <c r="QA606" s="31"/>
      <c r="QB606" s="31"/>
      <c r="QC606" s="31"/>
      <c r="QD606" s="31"/>
      <c r="QE606" s="31"/>
      <c r="QF606" s="31"/>
      <c r="QG606" s="31"/>
      <c r="QH606" s="31"/>
      <c r="QI606" s="31"/>
      <c r="QJ606" s="31"/>
      <c r="QK606" s="31"/>
      <c r="QL606" s="31"/>
      <c r="QM606" s="31"/>
      <c r="QN606" s="31"/>
      <c r="QO606" s="31"/>
      <c r="QP606" s="31"/>
      <c r="QQ606" s="31"/>
      <c r="QR606" s="31"/>
      <c r="QS606" s="31"/>
      <c r="QT606" s="31"/>
      <c r="QU606" s="31"/>
      <c r="QV606" s="31"/>
      <c r="QW606" s="31"/>
      <c r="QX606" s="31"/>
      <c r="QY606" s="31"/>
      <c r="QZ606" s="31"/>
      <c r="RA606" s="31"/>
      <c r="RB606" s="31"/>
      <c r="RC606" s="31"/>
      <c r="RD606" s="31"/>
      <c r="RE606" s="31"/>
      <c r="RF606" s="31"/>
      <c r="RG606" s="31"/>
      <c r="RH606" s="31"/>
      <c r="RI606" s="31"/>
      <c r="RJ606" s="31"/>
      <c r="RK606" s="31"/>
      <c r="RL606" s="31"/>
      <c r="RM606" s="31"/>
      <c r="RN606" s="31"/>
      <c r="RO606" s="31"/>
      <c r="RP606" s="31"/>
      <c r="RQ606" s="31"/>
      <c r="RR606" s="31"/>
      <c r="RS606" s="31"/>
      <c r="RT606" s="31"/>
      <c r="RU606" s="31"/>
      <c r="RV606" s="31"/>
      <c r="RW606" s="31"/>
      <c r="RX606" s="31"/>
      <c r="RY606" s="31"/>
      <c r="RZ606" s="31"/>
      <c r="SA606" s="31"/>
      <c r="SB606" s="31"/>
      <c r="SC606" s="31"/>
      <c r="SD606" s="31"/>
      <c r="SE606" s="31"/>
      <c r="SF606" s="31"/>
      <c r="SG606" s="31"/>
      <c r="SH606" s="31"/>
      <c r="SI606" s="31"/>
      <c r="SJ606" s="31"/>
      <c r="SK606" s="31"/>
      <c r="SL606" s="31"/>
      <c r="SM606" s="31"/>
      <c r="SN606" s="31"/>
      <c r="SO606" s="31"/>
      <c r="SP606" s="31"/>
      <c r="SQ606" s="31"/>
      <c r="SR606" s="31"/>
      <c r="SS606" s="31"/>
      <c r="ST606" s="31"/>
      <c r="SU606" s="31"/>
      <c r="SV606" s="31"/>
      <c r="SW606" s="31"/>
      <c r="SX606" s="31"/>
      <c r="SY606" s="31"/>
      <c r="SZ606" s="31"/>
      <c r="TA606" s="31"/>
      <c r="TB606" s="31"/>
      <c r="TC606" s="31"/>
      <c r="TD606" s="31"/>
      <c r="TE606" s="31"/>
      <c r="TF606" s="31"/>
      <c r="TG606" s="31"/>
      <c r="TH606" s="31"/>
      <c r="TI606" s="31"/>
      <c r="TJ606" s="31"/>
      <c r="TK606" s="31"/>
      <c r="TL606" s="31"/>
      <c r="TM606" s="31"/>
      <c r="TN606" s="31"/>
      <c r="TO606" s="31"/>
      <c r="TP606" s="31"/>
      <c r="TQ606" s="31"/>
      <c r="TR606" s="31"/>
      <c r="TS606" s="31"/>
      <c r="TT606" s="31"/>
      <c r="TU606" s="31"/>
      <c r="TV606" s="31"/>
      <c r="TW606" s="31"/>
      <c r="TX606" s="31"/>
      <c r="TY606" s="31"/>
      <c r="TZ606" s="31"/>
      <c r="UA606" s="31"/>
      <c r="UB606" s="31"/>
      <c r="UC606" s="31"/>
      <c r="UD606" s="31"/>
      <c r="UE606" s="31"/>
      <c r="UF606" s="31"/>
      <c r="UG606" s="33"/>
    </row>
    <row r="607" spans="1:553" ht="50.25" customHeight="1">
      <c r="A607" s="356" t="s">
        <v>15</v>
      </c>
      <c r="B607" s="385" t="s">
        <v>31</v>
      </c>
      <c r="C607" s="1403" t="s">
        <v>1282</v>
      </c>
      <c r="D607" s="1389"/>
      <c r="E607" s="1389"/>
      <c r="F607" s="1390"/>
      <c r="G607" s="386" t="s">
        <v>34</v>
      </c>
      <c r="H607" s="370"/>
      <c r="I607" s="834">
        <f>-(2.9+6.2+2.9)*2.2/1.7</f>
        <v>-15.529411764705884</v>
      </c>
      <c r="J607" s="368">
        <v>1748702</v>
      </c>
      <c r="K607" s="371"/>
      <c r="L607" s="487">
        <f t="shared" si="101"/>
        <v>-27156313.411764707</v>
      </c>
      <c r="M607" s="391"/>
      <c r="N607" s="391"/>
      <c r="O607" s="391"/>
      <c r="P607" s="391"/>
      <c r="Q607" s="1444"/>
      <c r="R607" s="1226"/>
      <c r="S607" s="308"/>
      <c r="T607" s="308"/>
      <c r="U607" s="308"/>
      <c r="V607" s="308"/>
      <c r="W607" s="308"/>
      <c r="X607" s="308"/>
      <c r="Y607" s="308"/>
      <c r="Z607" s="604"/>
      <c r="AA607" s="308"/>
      <c r="AB607" s="308"/>
      <c r="AC607" s="449"/>
      <c r="AD607" s="449"/>
      <c r="AE607" s="449"/>
      <c r="AF607" s="449"/>
      <c r="AG607" s="449"/>
      <c r="AH607" s="449"/>
      <c r="AI607" s="449"/>
      <c r="AJ607" s="449"/>
      <c r="AK607" s="452"/>
      <c r="AL607" s="104"/>
      <c r="AM607" s="32"/>
      <c r="AN607" s="32"/>
      <c r="AO607" s="32"/>
      <c r="AP607" s="32"/>
      <c r="AQ607" s="32"/>
      <c r="AR607" s="32"/>
      <c r="AS607" s="31"/>
      <c r="AT607" s="31"/>
      <c r="AU607" s="31"/>
      <c r="AV607" s="31"/>
      <c r="AW607" s="31"/>
      <c r="AX607" s="31"/>
      <c r="AY607" s="31"/>
      <c r="AZ607" s="31"/>
      <c r="BA607" s="31"/>
      <c r="BB607" s="31"/>
      <c r="BC607" s="31"/>
      <c r="BD607" s="31"/>
      <c r="BE607" s="31"/>
      <c r="BF607" s="31"/>
      <c r="BG607" s="31"/>
      <c r="BH607" s="31"/>
      <c r="BI607" s="31"/>
      <c r="BJ607" s="31"/>
      <c r="BK607" s="31"/>
      <c r="BL607" s="31"/>
      <c r="BM607" s="31"/>
      <c r="BN607" s="31"/>
      <c r="BO607" s="31"/>
      <c r="BP607" s="31"/>
      <c r="BQ607" s="31"/>
      <c r="BR607" s="31"/>
      <c r="BS607" s="31"/>
      <c r="BT607" s="31"/>
      <c r="BU607" s="31"/>
      <c r="BV607" s="31"/>
      <c r="BW607" s="31"/>
      <c r="BX607" s="31"/>
      <c r="BY607" s="31"/>
      <c r="BZ607" s="31"/>
      <c r="CA607" s="31"/>
      <c r="CB607" s="31"/>
      <c r="CC607" s="31"/>
      <c r="CD607" s="31"/>
      <c r="CE607" s="31"/>
      <c r="CF607" s="31"/>
      <c r="CG607" s="31"/>
      <c r="CH607" s="31"/>
      <c r="CI607" s="31"/>
      <c r="CJ607" s="31"/>
      <c r="CK607" s="31"/>
      <c r="CL607" s="31"/>
      <c r="CM607" s="31"/>
      <c r="CN607" s="31"/>
      <c r="CO607" s="31"/>
      <c r="CP607" s="31"/>
      <c r="CQ607" s="31"/>
      <c r="CR607" s="31"/>
      <c r="CS607" s="31"/>
      <c r="CT607" s="31"/>
      <c r="CU607" s="31"/>
      <c r="CV607" s="31"/>
      <c r="CW607" s="31"/>
      <c r="CX607" s="31"/>
      <c r="CY607" s="31"/>
      <c r="CZ607" s="31"/>
      <c r="DA607" s="31"/>
      <c r="DB607" s="31"/>
      <c r="DC607" s="31"/>
      <c r="DD607" s="31"/>
      <c r="DE607" s="31"/>
      <c r="DF607" s="31"/>
      <c r="DG607" s="31"/>
      <c r="DH607" s="31"/>
      <c r="DI607" s="31"/>
      <c r="DJ607" s="31"/>
      <c r="DK607" s="31"/>
      <c r="DL607" s="31"/>
      <c r="DM607" s="31"/>
      <c r="DN607" s="31"/>
      <c r="DO607" s="31"/>
      <c r="DP607" s="31"/>
      <c r="DQ607" s="31"/>
      <c r="DR607" s="31"/>
      <c r="DS607" s="31"/>
      <c r="DT607" s="31"/>
      <c r="DU607" s="31"/>
      <c r="DV607" s="31"/>
      <c r="DW607" s="31"/>
      <c r="DX607" s="31"/>
      <c r="DY607" s="31"/>
      <c r="DZ607" s="31"/>
      <c r="EA607" s="31"/>
      <c r="EB607" s="31"/>
      <c r="EC607" s="31"/>
      <c r="ED607" s="31"/>
      <c r="EE607" s="31"/>
      <c r="EF607" s="31"/>
      <c r="EG607" s="31"/>
      <c r="EH607" s="31"/>
      <c r="EI607" s="31"/>
      <c r="EJ607" s="31"/>
      <c r="EK607" s="31"/>
      <c r="EL607" s="31"/>
      <c r="EM607" s="31"/>
      <c r="EN607" s="31"/>
      <c r="EO607" s="31"/>
      <c r="EP607" s="31"/>
      <c r="EQ607" s="31"/>
      <c r="ER607" s="31"/>
      <c r="ES607" s="31"/>
      <c r="ET607" s="31"/>
      <c r="EU607" s="31"/>
      <c r="EV607" s="31"/>
      <c r="EW607" s="31"/>
      <c r="EX607" s="31"/>
      <c r="EY607" s="31"/>
      <c r="EZ607" s="31"/>
      <c r="FA607" s="31"/>
      <c r="FB607" s="31"/>
      <c r="FC607" s="31"/>
      <c r="FD607" s="31"/>
      <c r="FE607" s="31"/>
      <c r="FF607" s="31"/>
      <c r="FG607" s="31"/>
      <c r="FH607" s="31"/>
      <c r="FI607" s="31"/>
      <c r="FJ607" s="31"/>
      <c r="FK607" s="31"/>
      <c r="FL607" s="31"/>
      <c r="FM607" s="31"/>
      <c r="FN607" s="31"/>
      <c r="FO607" s="31"/>
      <c r="FP607" s="31"/>
      <c r="FQ607" s="31"/>
      <c r="FR607" s="31"/>
      <c r="FS607" s="31"/>
      <c r="FT607" s="31"/>
      <c r="FU607" s="31"/>
      <c r="FV607" s="31"/>
      <c r="FW607" s="31"/>
      <c r="FX607" s="31"/>
      <c r="FY607" s="31"/>
      <c r="FZ607" s="31"/>
      <c r="GA607" s="31"/>
      <c r="GB607" s="31"/>
      <c r="GC607" s="31"/>
      <c r="GD607" s="31"/>
      <c r="GE607" s="31"/>
      <c r="GF607" s="31"/>
      <c r="GG607" s="31"/>
      <c r="GH607" s="31"/>
      <c r="GI607" s="31"/>
      <c r="GJ607" s="31"/>
      <c r="GK607" s="31"/>
      <c r="GL607" s="31"/>
      <c r="GM607" s="31"/>
      <c r="GN607" s="31"/>
      <c r="GO607" s="31"/>
      <c r="GP607" s="31"/>
      <c r="GQ607" s="31"/>
      <c r="GR607" s="31"/>
      <c r="GS607" s="31"/>
      <c r="GT607" s="31"/>
      <c r="GU607" s="31"/>
      <c r="GV607" s="31"/>
      <c r="GW607" s="31"/>
      <c r="GX607" s="31"/>
      <c r="GY607" s="31"/>
      <c r="GZ607" s="31"/>
      <c r="HA607" s="31"/>
      <c r="HB607" s="31"/>
      <c r="HC607" s="31"/>
      <c r="HD607" s="31"/>
      <c r="HE607" s="31"/>
      <c r="HF607" s="31"/>
      <c r="HG607" s="31"/>
      <c r="HH607" s="31"/>
      <c r="HI607" s="31"/>
      <c r="HJ607" s="31"/>
      <c r="HK607" s="31"/>
      <c r="HL607" s="31"/>
      <c r="HM607" s="31"/>
      <c r="HN607" s="31"/>
      <c r="HO607" s="31"/>
      <c r="HP607" s="31"/>
      <c r="HQ607" s="31"/>
      <c r="HR607" s="31"/>
      <c r="HS607" s="31"/>
      <c r="HT607" s="31"/>
      <c r="HU607" s="31"/>
      <c r="HV607" s="31"/>
      <c r="HW607" s="31"/>
      <c r="HX607" s="31"/>
      <c r="HY607" s="31"/>
      <c r="HZ607" s="31"/>
      <c r="IA607" s="31"/>
      <c r="IB607" s="31"/>
      <c r="IC607" s="31"/>
      <c r="ID607" s="31"/>
      <c r="IE607" s="31"/>
      <c r="IF607" s="31"/>
      <c r="IG607" s="31"/>
      <c r="IH607" s="31"/>
      <c r="II607" s="31"/>
      <c r="IJ607" s="31"/>
      <c r="IK607" s="31"/>
      <c r="IL607" s="31"/>
      <c r="IM607" s="31"/>
      <c r="IN607" s="31"/>
      <c r="IO607" s="31"/>
      <c r="IP607" s="31"/>
      <c r="IQ607" s="31"/>
      <c r="IR607" s="31"/>
      <c r="IS607" s="31"/>
      <c r="IT607" s="31"/>
      <c r="IU607" s="31"/>
      <c r="IV607" s="31"/>
      <c r="IW607" s="31"/>
      <c r="IX607" s="31"/>
      <c r="IY607" s="31"/>
      <c r="IZ607" s="31"/>
      <c r="JA607" s="31"/>
      <c r="JB607" s="31"/>
      <c r="JC607" s="31"/>
      <c r="JD607" s="31"/>
      <c r="JE607" s="31"/>
      <c r="JF607" s="31"/>
      <c r="JG607" s="31"/>
      <c r="JH607" s="31"/>
      <c r="JI607" s="31"/>
      <c r="JJ607" s="31"/>
      <c r="JK607" s="31"/>
      <c r="JL607" s="31"/>
      <c r="JM607" s="31"/>
      <c r="JN607" s="31"/>
      <c r="JO607" s="31"/>
      <c r="JP607" s="31"/>
      <c r="JQ607" s="31"/>
      <c r="JR607" s="31"/>
      <c r="JS607" s="31"/>
      <c r="JT607" s="31"/>
      <c r="JU607" s="31"/>
      <c r="JV607" s="31"/>
      <c r="JW607" s="31"/>
      <c r="JX607" s="31"/>
      <c r="JY607" s="31"/>
      <c r="JZ607" s="31"/>
      <c r="KA607" s="31"/>
      <c r="KB607" s="31"/>
      <c r="KC607" s="31"/>
      <c r="KD607" s="31"/>
      <c r="KE607" s="31"/>
      <c r="KF607" s="31"/>
      <c r="KG607" s="31"/>
      <c r="KH607" s="31"/>
      <c r="KI607" s="31"/>
      <c r="KJ607" s="31"/>
      <c r="KK607" s="31"/>
      <c r="KL607" s="31"/>
      <c r="KM607" s="31"/>
      <c r="KN607" s="31"/>
      <c r="KO607" s="31"/>
      <c r="KP607" s="31"/>
      <c r="KQ607" s="31"/>
      <c r="KR607" s="31"/>
      <c r="KS607" s="31"/>
      <c r="KT607" s="31"/>
      <c r="KU607" s="31"/>
      <c r="KV607" s="31"/>
      <c r="KW607" s="31"/>
      <c r="KX607" s="31"/>
      <c r="KY607" s="31"/>
      <c r="KZ607" s="31"/>
      <c r="LA607" s="31"/>
      <c r="LB607" s="31"/>
      <c r="LC607" s="31"/>
      <c r="LD607" s="31"/>
      <c r="LE607" s="31"/>
      <c r="LF607" s="31"/>
      <c r="LG607" s="31"/>
      <c r="LH607" s="31"/>
      <c r="LI607" s="31"/>
      <c r="LJ607" s="31"/>
      <c r="LK607" s="31"/>
      <c r="LL607" s="31"/>
      <c r="LM607" s="31"/>
      <c r="LN607" s="31"/>
      <c r="LO607" s="31"/>
      <c r="LP607" s="31"/>
      <c r="LQ607" s="31"/>
      <c r="LR607" s="31"/>
      <c r="LS607" s="31"/>
      <c r="LT607" s="31"/>
      <c r="LU607" s="31"/>
      <c r="LV607" s="31"/>
      <c r="LW607" s="31"/>
      <c r="LX607" s="31"/>
      <c r="LY607" s="31"/>
      <c r="LZ607" s="31"/>
      <c r="MA607" s="31"/>
      <c r="MB607" s="31"/>
      <c r="MC607" s="31"/>
      <c r="MD607" s="31"/>
      <c r="ME607" s="31"/>
      <c r="MF607" s="31"/>
      <c r="MG607" s="31"/>
      <c r="MH607" s="31"/>
      <c r="MI607" s="31"/>
      <c r="MJ607" s="31"/>
      <c r="MK607" s="31"/>
      <c r="ML607" s="31"/>
      <c r="MM607" s="31"/>
      <c r="MN607" s="31"/>
      <c r="MO607" s="31"/>
      <c r="MP607" s="31"/>
      <c r="MQ607" s="31"/>
      <c r="MR607" s="31"/>
      <c r="MS607" s="31"/>
      <c r="MT607" s="31"/>
      <c r="MU607" s="31"/>
      <c r="MV607" s="31"/>
      <c r="MW607" s="31"/>
      <c r="MX607" s="31"/>
      <c r="MY607" s="31"/>
      <c r="MZ607" s="31"/>
      <c r="NA607" s="31"/>
      <c r="NB607" s="31"/>
      <c r="NC607" s="31"/>
      <c r="ND607" s="31"/>
      <c r="NE607" s="31"/>
      <c r="NF607" s="31"/>
      <c r="NG607" s="31"/>
      <c r="NH607" s="31"/>
      <c r="NI607" s="31"/>
      <c r="NJ607" s="31"/>
      <c r="NK607" s="31"/>
      <c r="NL607" s="31"/>
      <c r="NM607" s="31"/>
      <c r="NN607" s="31"/>
      <c r="NO607" s="31"/>
      <c r="NP607" s="31"/>
      <c r="NQ607" s="31"/>
      <c r="NR607" s="31"/>
      <c r="NS607" s="31"/>
      <c r="NT607" s="31"/>
      <c r="NU607" s="31"/>
      <c r="NV607" s="31"/>
      <c r="NW607" s="31"/>
      <c r="NX607" s="31"/>
      <c r="NY607" s="31"/>
      <c r="NZ607" s="31"/>
      <c r="OA607" s="31"/>
      <c r="OB607" s="31"/>
      <c r="OC607" s="31"/>
      <c r="OD607" s="31"/>
      <c r="OE607" s="31"/>
      <c r="OF607" s="31"/>
      <c r="OG607" s="31"/>
      <c r="OH607" s="31"/>
      <c r="OI607" s="31"/>
      <c r="OJ607" s="31"/>
      <c r="OK607" s="31"/>
      <c r="OL607" s="31"/>
      <c r="OM607" s="31"/>
      <c r="ON607" s="31"/>
      <c r="OO607" s="31"/>
      <c r="OP607" s="31"/>
      <c r="OQ607" s="31"/>
      <c r="OR607" s="31"/>
      <c r="OS607" s="31"/>
      <c r="OT607" s="31"/>
      <c r="OU607" s="31"/>
      <c r="OV607" s="31"/>
      <c r="OW607" s="31"/>
      <c r="OX607" s="31"/>
      <c r="OY607" s="31"/>
      <c r="OZ607" s="31"/>
      <c r="PA607" s="31"/>
      <c r="PB607" s="31"/>
      <c r="PC607" s="31"/>
      <c r="PD607" s="31"/>
      <c r="PE607" s="31"/>
      <c r="PF607" s="31"/>
      <c r="PG607" s="31"/>
      <c r="PH607" s="31"/>
      <c r="PI607" s="31"/>
      <c r="PJ607" s="31"/>
      <c r="PK607" s="31"/>
      <c r="PL607" s="31"/>
      <c r="PM607" s="31"/>
      <c r="PN607" s="31"/>
      <c r="PO607" s="31"/>
      <c r="PP607" s="31"/>
      <c r="PQ607" s="31"/>
      <c r="PR607" s="31"/>
      <c r="PS607" s="31"/>
      <c r="PT607" s="31"/>
      <c r="PU607" s="31"/>
      <c r="PV607" s="31"/>
      <c r="PW607" s="31"/>
      <c r="PX607" s="31"/>
      <c r="PY607" s="31"/>
      <c r="PZ607" s="31"/>
      <c r="QA607" s="31"/>
      <c r="QB607" s="31"/>
      <c r="QC607" s="31"/>
      <c r="QD607" s="31"/>
      <c r="QE607" s="31"/>
      <c r="QF607" s="31"/>
      <c r="QG607" s="31"/>
      <c r="QH607" s="31"/>
      <c r="QI607" s="31"/>
      <c r="QJ607" s="31"/>
      <c r="QK607" s="31"/>
      <c r="QL607" s="31"/>
      <c r="QM607" s="31"/>
      <c r="QN607" s="31"/>
      <c r="QO607" s="31"/>
      <c r="QP607" s="31"/>
      <c r="QQ607" s="31"/>
      <c r="QR607" s="31"/>
      <c r="QS607" s="31"/>
      <c r="QT607" s="31"/>
      <c r="QU607" s="31"/>
      <c r="QV607" s="31"/>
      <c r="QW607" s="31"/>
      <c r="QX607" s="31"/>
      <c r="QY607" s="31"/>
      <c r="QZ607" s="31"/>
      <c r="RA607" s="31"/>
      <c r="RB607" s="31"/>
      <c r="RC607" s="31"/>
      <c r="RD607" s="31"/>
      <c r="RE607" s="31"/>
      <c r="RF607" s="31"/>
      <c r="RG607" s="31"/>
      <c r="RH607" s="31"/>
      <c r="RI607" s="31"/>
      <c r="RJ607" s="31"/>
      <c r="RK607" s="31"/>
      <c r="RL607" s="31"/>
      <c r="RM607" s="31"/>
      <c r="RN607" s="31"/>
      <c r="RO607" s="31"/>
      <c r="RP607" s="31"/>
      <c r="RQ607" s="31"/>
      <c r="RR607" s="31"/>
      <c r="RS607" s="31"/>
      <c r="RT607" s="31"/>
      <c r="RU607" s="31"/>
      <c r="RV607" s="31"/>
      <c r="RW607" s="31"/>
      <c r="RX607" s="31"/>
      <c r="RY607" s="31"/>
      <c r="RZ607" s="31"/>
      <c r="SA607" s="31"/>
      <c r="SB607" s="31"/>
      <c r="SC607" s="31"/>
      <c r="SD607" s="31"/>
      <c r="SE607" s="31"/>
      <c r="SF607" s="31"/>
      <c r="SG607" s="31"/>
      <c r="SH607" s="31"/>
      <c r="SI607" s="31"/>
      <c r="SJ607" s="31"/>
      <c r="SK607" s="31"/>
      <c r="SL607" s="31"/>
      <c r="SM607" s="31"/>
      <c r="SN607" s="31"/>
      <c r="SO607" s="31"/>
      <c r="SP607" s="31"/>
      <c r="SQ607" s="31"/>
      <c r="SR607" s="31"/>
      <c r="SS607" s="31"/>
      <c r="ST607" s="31"/>
      <c r="SU607" s="31"/>
      <c r="SV607" s="31"/>
      <c r="SW607" s="31"/>
      <c r="SX607" s="31"/>
      <c r="SY607" s="31"/>
      <c r="SZ607" s="31"/>
      <c r="TA607" s="31"/>
      <c r="TB607" s="31"/>
      <c r="TC607" s="31"/>
      <c r="TD607" s="31"/>
      <c r="TE607" s="31"/>
      <c r="TF607" s="31"/>
      <c r="TG607" s="31"/>
      <c r="TH607" s="31"/>
      <c r="TI607" s="31"/>
      <c r="TJ607" s="31"/>
      <c r="TK607" s="31"/>
      <c r="TL607" s="31"/>
      <c r="TM607" s="31"/>
      <c r="TN607" s="31"/>
      <c r="TO607" s="31"/>
      <c r="TP607" s="31"/>
      <c r="TQ607" s="31"/>
      <c r="TR607" s="31"/>
      <c r="TS607" s="31"/>
      <c r="TT607" s="31"/>
      <c r="TU607" s="31"/>
      <c r="TV607" s="31"/>
      <c r="TW607" s="31"/>
      <c r="TX607" s="31"/>
      <c r="TY607" s="31"/>
      <c r="TZ607" s="31"/>
      <c r="UA607" s="31"/>
      <c r="UB607" s="31"/>
      <c r="UC607" s="31"/>
      <c r="UD607" s="31"/>
      <c r="UE607" s="31"/>
      <c r="UF607" s="31"/>
      <c r="UG607" s="33"/>
    </row>
    <row r="608" spans="1:553" s="109" customFormat="1" ht="50.25" customHeight="1">
      <c r="A608" s="356" t="s">
        <v>15</v>
      </c>
      <c r="B608" s="385">
        <v>203</v>
      </c>
      <c r="C608" s="1403" t="s">
        <v>433</v>
      </c>
      <c r="D608" s="1389"/>
      <c r="E608" s="1389"/>
      <c r="F608" s="1390"/>
      <c r="G608" s="386" t="s">
        <v>113</v>
      </c>
      <c r="H608" s="370"/>
      <c r="I608" s="422">
        <f>(6.7+3.2)*2*2.5/1.7</f>
        <v>29.117647058823529</v>
      </c>
      <c r="J608" s="368">
        <v>815000</v>
      </c>
      <c r="K608" s="371"/>
      <c r="L608" s="487">
        <f t="shared" si="101"/>
        <v>23730882.352941178</v>
      </c>
      <c r="M608" s="391"/>
      <c r="N608" s="391"/>
      <c r="O608" s="391"/>
      <c r="P608" s="391"/>
      <c r="Q608" s="1445"/>
      <c r="R608" s="1226"/>
      <c r="S608" s="308"/>
      <c r="T608" s="308"/>
      <c r="U608" s="308"/>
      <c r="V608" s="308"/>
      <c r="W608" s="308"/>
      <c r="X608" s="308"/>
      <c r="Y608" s="308"/>
      <c r="Z608" s="604"/>
      <c r="AA608" s="308"/>
      <c r="AB608" s="308"/>
      <c r="AC608" s="449"/>
      <c r="AD608" s="449"/>
      <c r="AE608" s="449"/>
      <c r="AF608" s="449"/>
      <c r="AG608" s="449"/>
      <c r="AH608" s="449"/>
      <c r="AI608" s="449"/>
      <c r="AJ608" s="449"/>
      <c r="AK608" s="452"/>
      <c r="AL608" s="116"/>
      <c r="AM608" s="112"/>
      <c r="AN608" s="112"/>
      <c r="AO608" s="112"/>
      <c r="AP608" s="112"/>
      <c r="AQ608" s="112"/>
      <c r="AR608" s="112"/>
      <c r="AS608" s="113"/>
      <c r="AT608" s="113"/>
      <c r="AU608" s="113"/>
      <c r="AV608" s="113"/>
      <c r="AW608" s="113"/>
      <c r="AX608" s="113"/>
      <c r="AY608" s="113"/>
      <c r="AZ608" s="113"/>
      <c r="BA608" s="113"/>
      <c r="BB608" s="113"/>
      <c r="BC608" s="113"/>
      <c r="BD608" s="113"/>
      <c r="BE608" s="113"/>
      <c r="BF608" s="113"/>
      <c r="BG608" s="113"/>
      <c r="BH608" s="113"/>
      <c r="BI608" s="113"/>
      <c r="BJ608" s="113"/>
      <c r="BK608" s="113"/>
      <c r="BL608" s="113"/>
      <c r="BM608" s="113"/>
      <c r="BN608" s="113"/>
      <c r="BO608" s="113"/>
      <c r="BP608" s="113"/>
      <c r="BQ608" s="113"/>
      <c r="BR608" s="113"/>
      <c r="BS608" s="113"/>
      <c r="BT608" s="113"/>
      <c r="BU608" s="113"/>
      <c r="BV608" s="113"/>
      <c r="BW608" s="113"/>
      <c r="BX608" s="113"/>
      <c r="BY608" s="113"/>
      <c r="BZ608" s="113"/>
      <c r="CA608" s="113"/>
      <c r="CB608" s="113"/>
      <c r="CC608" s="113"/>
      <c r="CD608" s="113"/>
      <c r="CE608" s="113"/>
      <c r="CF608" s="113"/>
      <c r="CG608" s="113"/>
      <c r="CH608" s="113"/>
      <c r="CI608" s="113"/>
      <c r="CJ608" s="113"/>
      <c r="CK608" s="113"/>
      <c r="CL608" s="113"/>
      <c r="CM608" s="113"/>
      <c r="CN608" s="113"/>
      <c r="CO608" s="113"/>
      <c r="CP608" s="113"/>
      <c r="CQ608" s="113"/>
      <c r="CR608" s="113"/>
      <c r="CS608" s="113"/>
      <c r="CT608" s="113"/>
      <c r="CU608" s="113"/>
      <c r="CV608" s="113"/>
      <c r="CW608" s="113"/>
      <c r="CX608" s="113"/>
      <c r="CY608" s="113"/>
      <c r="CZ608" s="113"/>
      <c r="DA608" s="113"/>
      <c r="DB608" s="113"/>
      <c r="DC608" s="113"/>
      <c r="DD608" s="113"/>
      <c r="DE608" s="113"/>
      <c r="DF608" s="113"/>
      <c r="DG608" s="113"/>
      <c r="DH608" s="113"/>
      <c r="DI608" s="113"/>
      <c r="DJ608" s="113"/>
      <c r="DK608" s="113"/>
      <c r="DL608" s="113"/>
      <c r="DM608" s="113"/>
      <c r="DN608" s="113"/>
      <c r="DO608" s="113"/>
      <c r="DP608" s="113"/>
      <c r="DQ608" s="113"/>
      <c r="DR608" s="113"/>
      <c r="DS608" s="113"/>
      <c r="DT608" s="113"/>
      <c r="DU608" s="113"/>
      <c r="DV608" s="113"/>
      <c r="DW608" s="113"/>
      <c r="DX608" s="113"/>
      <c r="DY608" s="113"/>
      <c r="DZ608" s="113"/>
      <c r="EA608" s="113"/>
      <c r="EB608" s="113"/>
      <c r="EC608" s="113"/>
      <c r="ED608" s="113"/>
      <c r="EE608" s="113"/>
      <c r="EF608" s="113"/>
      <c r="EG608" s="113"/>
      <c r="EH608" s="113"/>
      <c r="EI608" s="113"/>
      <c r="EJ608" s="113"/>
      <c r="EK608" s="113"/>
      <c r="EL608" s="113"/>
      <c r="EM608" s="113"/>
      <c r="EN608" s="113"/>
      <c r="EO608" s="113"/>
      <c r="EP608" s="113"/>
      <c r="EQ608" s="113"/>
      <c r="ER608" s="113"/>
      <c r="ES608" s="113"/>
      <c r="ET608" s="113"/>
      <c r="EU608" s="113"/>
      <c r="EV608" s="113"/>
      <c r="EW608" s="113"/>
      <c r="EX608" s="113"/>
      <c r="EY608" s="113"/>
      <c r="EZ608" s="113"/>
      <c r="FA608" s="113"/>
      <c r="FB608" s="113"/>
      <c r="FC608" s="113"/>
      <c r="FD608" s="113"/>
      <c r="FE608" s="113"/>
      <c r="FF608" s="113"/>
      <c r="FG608" s="113"/>
      <c r="FH608" s="113"/>
      <c r="FI608" s="113"/>
      <c r="FJ608" s="113"/>
      <c r="FK608" s="113"/>
      <c r="FL608" s="113"/>
      <c r="FM608" s="113"/>
      <c r="FN608" s="113"/>
      <c r="FO608" s="113"/>
      <c r="FP608" s="113"/>
      <c r="FQ608" s="113"/>
      <c r="FR608" s="113"/>
      <c r="FS608" s="113"/>
      <c r="FT608" s="113"/>
      <c r="FU608" s="113"/>
      <c r="FV608" s="113"/>
      <c r="FW608" s="113"/>
      <c r="FX608" s="113"/>
      <c r="FY608" s="113"/>
      <c r="FZ608" s="113"/>
      <c r="GA608" s="113"/>
      <c r="GB608" s="113"/>
      <c r="GC608" s="113"/>
      <c r="GD608" s="113"/>
      <c r="GE608" s="113"/>
      <c r="GF608" s="113"/>
      <c r="GG608" s="113"/>
      <c r="GH608" s="113"/>
      <c r="GI608" s="113"/>
      <c r="GJ608" s="113"/>
      <c r="GK608" s="113"/>
      <c r="GL608" s="113"/>
      <c r="GM608" s="113"/>
      <c r="GN608" s="113"/>
      <c r="GO608" s="113"/>
      <c r="GP608" s="113"/>
      <c r="GQ608" s="113"/>
      <c r="GR608" s="113"/>
      <c r="GS608" s="113"/>
      <c r="GT608" s="113"/>
      <c r="GU608" s="113"/>
      <c r="GV608" s="113"/>
      <c r="GW608" s="113"/>
      <c r="GX608" s="113"/>
      <c r="GY608" s="113"/>
      <c r="GZ608" s="113"/>
      <c r="HA608" s="113"/>
      <c r="HB608" s="113"/>
      <c r="HC608" s="113"/>
      <c r="HD608" s="113"/>
      <c r="HE608" s="113"/>
      <c r="HF608" s="113"/>
      <c r="HG608" s="113"/>
      <c r="HH608" s="113"/>
      <c r="HI608" s="113"/>
      <c r="HJ608" s="113"/>
      <c r="HK608" s="113"/>
      <c r="HL608" s="113"/>
      <c r="HM608" s="113"/>
      <c r="HN608" s="113"/>
      <c r="HO608" s="113"/>
      <c r="HP608" s="113"/>
      <c r="HQ608" s="113"/>
      <c r="HR608" s="113"/>
      <c r="HS608" s="113"/>
      <c r="HT608" s="113"/>
      <c r="HU608" s="113"/>
      <c r="HV608" s="113"/>
      <c r="HW608" s="113"/>
      <c r="HX608" s="113"/>
      <c r="HY608" s="113"/>
      <c r="HZ608" s="113"/>
      <c r="IA608" s="113"/>
      <c r="IB608" s="113"/>
      <c r="IC608" s="113"/>
      <c r="ID608" s="113"/>
      <c r="IE608" s="113"/>
      <c r="IF608" s="113"/>
      <c r="IG608" s="113"/>
      <c r="IH608" s="113"/>
      <c r="II608" s="113"/>
      <c r="IJ608" s="113"/>
      <c r="IK608" s="113"/>
      <c r="IL608" s="113"/>
      <c r="IM608" s="113"/>
      <c r="IN608" s="113"/>
      <c r="IO608" s="113"/>
      <c r="IP608" s="113"/>
      <c r="IQ608" s="113"/>
      <c r="IR608" s="113"/>
      <c r="IS608" s="113"/>
      <c r="IT608" s="113"/>
      <c r="IU608" s="113"/>
      <c r="IV608" s="113"/>
      <c r="IW608" s="113"/>
      <c r="IX608" s="113"/>
      <c r="IY608" s="113"/>
      <c r="IZ608" s="113"/>
      <c r="JA608" s="113"/>
      <c r="JB608" s="113"/>
      <c r="JC608" s="113"/>
      <c r="JD608" s="113"/>
      <c r="JE608" s="113"/>
      <c r="JF608" s="113"/>
      <c r="JG608" s="113"/>
      <c r="JH608" s="113"/>
      <c r="JI608" s="113"/>
      <c r="JJ608" s="113"/>
      <c r="JK608" s="113"/>
      <c r="JL608" s="113"/>
      <c r="JM608" s="113"/>
      <c r="JN608" s="113"/>
      <c r="JO608" s="113"/>
      <c r="JP608" s="113"/>
      <c r="JQ608" s="113"/>
      <c r="JR608" s="113"/>
      <c r="JS608" s="113"/>
      <c r="JT608" s="113"/>
      <c r="JU608" s="113"/>
      <c r="JV608" s="113"/>
      <c r="JW608" s="113"/>
      <c r="JX608" s="113"/>
      <c r="JY608" s="113"/>
      <c r="JZ608" s="113"/>
      <c r="KA608" s="113"/>
      <c r="KB608" s="113"/>
      <c r="KC608" s="113"/>
      <c r="KD608" s="113"/>
      <c r="KE608" s="113"/>
      <c r="KF608" s="113"/>
      <c r="KG608" s="113"/>
      <c r="KH608" s="113"/>
      <c r="KI608" s="113"/>
      <c r="KJ608" s="113"/>
      <c r="KK608" s="113"/>
      <c r="KL608" s="113"/>
      <c r="KM608" s="113"/>
      <c r="KN608" s="113"/>
      <c r="KO608" s="113"/>
      <c r="KP608" s="113"/>
      <c r="KQ608" s="113"/>
      <c r="KR608" s="113"/>
      <c r="KS608" s="113"/>
      <c r="KT608" s="113"/>
      <c r="KU608" s="113"/>
      <c r="KV608" s="113"/>
      <c r="KW608" s="113"/>
      <c r="KX608" s="113"/>
      <c r="KY608" s="113"/>
      <c r="KZ608" s="113"/>
      <c r="LA608" s="113"/>
      <c r="LB608" s="113"/>
      <c r="LC608" s="113"/>
      <c r="LD608" s="113"/>
      <c r="LE608" s="113"/>
      <c r="LF608" s="113"/>
      <c r="LG608" s="113"/>
      <c r="LH608" s="113"/>
      <c r="LI608" s="113"/>
      <c r="LJ608" s="113"/>
      <c r="LK608" s="113"/>
      <c r="LL608" s="113"/>
      <c r="LM608" s="113"/>
      <c r="LN608" s="113"/>
      <c r="LO608" s="113"/>
      <c r="LP608" s="113"/>
      <c r="LQ608" s="113"/>
      <c r="LR608" s="113"/>
      <c r="LS608" s="113"/>
      <c r="LT608" s="113"/>
      <c r="LU608" s="113"/>
      <c r="LV608" s="113"/>
      <c r="LW608" s="113"/>
      <c r="LX608" s="113"/>
      <c r="LY608" s="113"/>
      <c r="LZ608" s="113"/>
      <c r="MA608" s="113"/>
      <c r="MB608" s="113"/>
      <c r="MC608" s="113"/>
      <c r="MD608" s="113"/>
      <c r="ME608" s="113"/>
      <c r="MF608" s="113"/>
      <c r="MG608" s="113"/>
      <c r="MH608" s="113"/>
      <c r="MI608" s="113"/>
      <c r="MJ608" s="113"/>
      <c r="MK608" s="113"/>
      <c r="ML608" s="113"/>
      <c r="MM608" s="113"/>
      <c r="MN608" s="113"/>
      <c r="MO608" s="113"/>
      <c r="MP608" s="113"/>
      <c r="MQ608" s="113"/>
      <c r="MR608" s="113"/>
      <c r="MS608" s="113"/>
      <c r="MT608" s="113"/>
      <c r="MU608" s="113"/>
      <c r="MV608" s="113"/>
      <c r="MW608" s="113"/>
      <c r="MX608" s="113"/>
      <c r="MY608" s="113"/>
      <c r="MZ608" s="113"/>
      <c r="NA608" s="113"/>
      <c r="NB608" s="113"/>
      <c r="NC608" s="113"/>
      <c r="ND608" s="113"/>
      <c r="NE608" s="113"/>
      <c r="NF608" s="113"/>
      <c r="NG608" s="113"/>
      <c r="NH608" s="113"/>
      <c r="NI608" s="113"/>
      <c r="NJ608" s="113"/>
      <c r="NK608" s="113"/>
      <c r="NL608" s="113"/>
      <c r="NM608" s="113"/>
      <c r="NN608" s="113"/>
      <c r="NO608" s="113"/>
      <c r="NP608" s="113"/>
      <c r="NQ608" s="113"/>
      <c r="NR608" s="113"/>
      <c r="NS608" s="113"/>
      <c r="NT608" s="113"/>
      <c r="NU608" s="113"/>
      <c r="NV608" s="113"/>
      <c r="NW608" s="113"/>
      <c r="NX608" s="113"/>
      <c r="NY608" s="113"/>
      <c r="NZ608" s="113"/>
      <c r="OA608" s="113"/>
      <c r="OB608" s="113"/>
      <c r="OC608" s="113"/>
      <c r="OD608" s="113"/>
      <c r="OE608" s="113"/>
      <c r="OF608" s="113"/>
      <c r="OG608" s="113"/>
      <c r="OH608" s="113"/>
      <c r="OI608" s="113"/>
      <c r="OJ608" s="113"/>
      <c r="OK608" s="113"/>
      <c r="OL608" s="113"/>
      <c r="OM608" s="113"/>
      <c r="ON608" s="113"/>
      <c r="OO608" s="113"/>
      <c r="OP608" s="113"/>
      <c r="OQ608" s="113"/>
      <c r="OR608" s="113"/>
      <c r="OS608" s="113"/>
      <c r="OT608" s="113"/>
      <c r="OU608" s="113"/>
      <c r="OV608" s="113"/>
      <c r="OW608" s="113"/>
      <c r="OX608" s="113"/>
      <c r="OY608" s="113"/>
      <c r="OZ608" s="113"/>
      <c r="PA608" s="113"/>
      <c r="PB608" s="113"/>
      <c r="PC608" s="113"/>
      <c r="PD608" s="113"/>
      <c r="PE608" s="113"/>
      <c r="PF608" s="113"/>
      <c r="PG608" s="113"/>
      <c r="PH608" s="113"/>
      <c r="PI608" s="113"/>
      <c r="PJ608" s="113"/>
      <c r="PK608" s="113"/>
      <c r="PL608" s="113"/>
      <c r="PM608" s="113"/>
      <c r="PN608" s="113"/>
      <c r="PO608" s="113"/>
      <c r="PP608" s="113"/>
      <c r="PQ608" s="113"/>
      <c r="PR608" s="113"/>
      <c r="PS608" s="113"/>
      <c r="PT608" s="113"/>
      <c r="PU608" s="113"/>
      <c r="PV608" s="113"/>
      <c r="PW608" s="113"/>
      <c r="PX608" s="113"/>
      <c r="PY608" s="113"/>
      <c r="PZ608" s="113"/>
      <c r="QA608" s="113"/>
      <c r="QB608" s="113"/>
      <c r="QC608" s="113"/>
      <c r="QD608" s="113"/>
      <c r="QE608" s="113"/>
      <c r="QF608" s="113"/>
      <c r="QG608" s="113"/>
      <c r="QH608" s="113"/>
      <c r="QI608" s="113"/>
      <c r="QJ608" s="113"/>
      <c r="QK608" s="113"/>
      <c r="QL608" s="113"/>
      <c r="QM608" s="113"/>
      <c r="QN608" s="113"/>
      <c r="QO608" s="113"/>
      <c r="QP608" s="113"/>
      <c r="QQ608" s="113"/>
      <c r="QR608" s="113"/>
      <c r="QS608" s="113"/>
      <c r="QT608" s="113"/>
      <c r="QU608" s="113"/>
      <c r="QV608" s="113"/>
      <c r="QW608" s="113"/>
      <c r="QX608" s="113"/>
      <c r="QY608" s="113"/>
      <c r="QZ608" s="113"/>
      <c r="RA608" s="113"/>
      <c r="RB608" s="113"/>
      <c r="RC608" s="113"/>
      <c r="RD608" s="113"/>
      <c r="RE608" s="113"/>
      <c r="RF608" s="113"/>
      <c r="RG608" s="113"/>
      <c r="RH608" s="113"/>
      <c r="RI608" s="113"/>
      <c r="RJ608" s="113"/>
      <c r="RK608" s="113"/>
      <c r="RL608" s="113"/>
      <c r="RM608" s="113"/>
      <c r="RN608" s="113"/>
      <c r="RO608" s="113"/>
      <c r="RP608" s="113"/>
      <c r="RQ608" s="113"/>
      <c r="RR608" s="113"/>
      <c r="RS608" s="113"/>
      <c r="RT608" s="113"/>
      <c r="RU608" s="113"/>
      <c r="RV608" s="113"/>
      <c r="RW608" s="113"/>
      <c r="RX608" s="113"/>
      <c r="RY608" s="113"/>
      <c r="RZ608" s="113"/>
      <c r="SA608" s="113"/>
      <c r="SB608" s="113"/>
      <c r="SC608" s="113"/>
      <c r="SD608" s="113"/>
      <c r="SE608" s="113"/>
      <c r="SF608" s="113"/>
      <c r="SG608" s="113"/>
      <c r="SH608" s="113"/>
      <c r="SI608" s="113"/>
      <c r="SJ608" s="113"/>
      <c r="SK608" s="113"/>
      <c r="SL608" s="113"/>
      <c r="SM608" s="113"/>
      <c r="SN608" s="113"/>
      <c r="SO608" s="113"/>
      <c r="SP608" s="113"/>
      <c r="SQ608" s="113"/>
      <c r="SR608" s="113"/>
      <c r="SS608" s="113"/>
      <c r="ST608" s="113"/>
      <c r="SU608" s="113"/>
      <c r="SV608" s="113"/>
      <c r="SW608" s="113"/>
      <c r="SX608" s="113"/>
      <c r="SY608" s="113"/>
      <c r="SZ608" s="113"/>
      <c r="TA608" s="113"/>
      <c r="TB608" s="113"/>
      <c r="TC608" s="113"/>
      <c r="TD608" s="113"/>
      <c r="TE608" s="113"/>
      <c r="TF608" s="113"/>
      <c r="TG608" s="113"/>
      <c r="TH608" s="113"/>
      <c r="TI608" s="113"/>
      <c r="TJ608" s="113"/>
      <c r="TK608" s="113"/>
      <c r="TL608" s="113"/>
      <c r="TM608" s="113"/>
      <c r="TN608" s="113"/>
      <c r="TO608" s="113"/>
      <c r="TP608" s="113"/>
      <c r="TQ608" s="113"/>
      <c r="TR608" s="113"/>
      <c r="TS608" s="113"/>
      <c r="TT608" s="113"/>
      <c r="TU608" s="113"/>
      <c r="TV608" s="113"/>
      <c r="TW608" s="113"/>
      <c r="TX608" s="113"/>
      <c r="TY608" s="113"/>
      <c r="TZ608" s="113"/>
      <c r="UA608" s="113"/>
      <c r="UB608" s="113"/>
      <c r="UC608" s="113"/>
      <c r="UD608" s="113"/>
      <c r="UE608" s="113"/>
      <c r="UF608" s="113"/>
      <c r="UG608" s="126"/>
    </row>
    <row r="609" spans="1:553" s="109" customFormat="1" ht="50.25" customHeight="1">
      <c r="A609" s="356" t="s">
        <v>30</v>
      </c>
      <c r="B609" s="385">
        <v>5</v>
      </c>
      <c r="C609" s="1233" t="s">
        <v>1280</v>
      </c>
      <c r="D609" s="1234"/>
      <c r="E609" s="1234"/>
      <c r="F609" s="1235"/>
      <c r="G609" s="386" t="s">
        <v>33</v>
      </c>
      <c r="H609" s="370"/>
      <c r="I609" s="422">
        <f>-(6.7+3.2)*2*2.5</f>
        <v>-49.5</v>
      </c>
      <c r="J609" s="368">
        <v>52000</v>
      </c>
      <c r="K609" s="371"/>
      <c r="L609" s="487">
        <f t="shared" si="101"/>
        <v>-2574000</v>
      </c>
      <c r="M609" s="391"/>
      <c r="N609" s="391"/>
      <c r="O609" s="391"/>
      <c r="P609" s="391"/>
      <c r="Q609" s="1225"/>
      <c r="R609" s="1226"/>
      <c r="S609" s="308"/>
      <c r="T609" s="308"/>
      <c r="U609" s="308"/>
      <c r="V609" s="308"/>
      <c r="W609" s="308"/>
      <c r="X609" s="308"/>
      <c r="Y609" s="308"/>
      <c r="Z609" s="604"/>
      <c r="AA609" s="308"/>
      <c r="AB609" s="308"/>
      <c r="AC609" s="449"/>
      <c r="AD609" s="449"/>
      <c r="AE609" s="449"/>
      <c r="AF609" s="449"/>
      <c r="AG609" s="449"/>
      <c r="AH609" s="449"/>
      <c r="AI609" s="449"/>
      <c r="AJ609" s="449"/>
      <c r="AK609" s="452"/>
      <c r="AL609" s="116"/>
      <c r="AM609" s="116"/>
      <c r="AN609" s="116"/>
      <c r="AO609" s="116"/>
      <c r="AP609" s="116"/>
      <c r="AQ609" s="116"/>
      <c r="AR609" s="116"/>
      <c r="AS609" s="117"/>
      <c r="AT609" s="117"/>
      <c r="AU609" s="117"/>
      <c r="AV609" s="117"/>
      <c r="AW609" s="117"/>
      <c r="AX609" s="117"/>
      <c r="AY609" s="117"/>
      <c r="AZ609" s="117"/>
      <c r="BA609" s="117"/>
      <c r="BB609" s="117"/>
      <c r="BC609" s="117"/>
      <c r="BD609" s="117"/>
      <c r="BE609" s="117"/>
      <c r="BF609" s="117"/>
      <c r="BG609" s="117"/>
      <c r="BH609" s="117"/>
      <c r="BI609" s="117"/>
      <c r="BJ609" s="117"/>
      <c r="BK609" s="117"/>
      <c r="BL609" s="117"/>
      <c r="BM609" s="117"/>
      <c r="BN609" s="117"/>
      <c r="BO609" s="117"/>
      <c r="BP609" s="117"/>
      <c r="BQ609" s="117"/>
      <c r="BR609" s="117"/>
      <c r="BS609" s="117"/>
      <c r="BT609" s="117"/>
      <c r="BU609" s="117"/>
      <c r="BV609" s="117"/>
      <c r="BW609" s="117"/>
      <c r="BX609" s="117"/>
      <c r="BY609" s="117"/>
      <c r="BZ609" s="117"/>
      <c r="CA609" s="117"/>
      <c r="CB609" s="117"/>
      <c r="CC609" s="117"/>
      <c r="CD609" s="117"/>
      <c r="CE609" s="117"/>
      <c r="CF609" s="117"/>
      <c r="CG609" s="117"/>
      <c r="CH609" s="117"/>
      <c r="CI609" s="117"/>
      <c r="CJ609" s="117"/>
      <c r="CK609" s="117"/>
      <c r="CL609" s="117"/>
      <c r="CM609" s="117"/>
      <c r="CN609" s="117"/>
      <c r="CO609" s="117"/>
      <c r="CP609" s="117"/>
      <c r="CQ609" s="117"/>
      <c r="CR609" s="117"/>
      <c r="CS609" s="117"/>
      <c r="CT609" s="117"/>
      <c r="CU609" s="117"/>
      <c r="CV609" s="117"/>
      <c r="CW609" s="117"/>
      <c r="CX609" s="117"/>
      <c r="CY609" s="117"/>
      <c r="CZ609" s="117"/>
      <c r="DA609" s="117"/>
      <c r="DB609" s="117"/>
      <c r="DC609" s="117"/>
      <c r="DD609" s="117"/>
      <c r="DE609" s="117"/>
      <c r="DF609" s="117"/>
      <c r="DG609" s="117"/>
      <c r="DH609" s="117"/>
      <c r="DI609" s="117"/>
      <c r="DJ609" s="117"/>
      <c r="DK609" s="117"/>
      <c r="DL609" s="117"/>
      <c r="DM609" s="117"/>
      <c r="DN609" s="117"/>
      <c r="DO609" s="117"/>
      <c r="DP609" s="117"/>
      <c r="DQ609" s="117"/>
      <c r="DR609" s="117"/>
      <c r="DS609" s="117"/>
      <c r="DT609" s="117"/>
      <c r="DU609" s="117"/>
      <c r="DV609" s="117"/>
      <c r="DW609" s="117"/>
      <c r="DX609" s="117"/>
      <c r="DY609" s="117"/>
      <c r="DZ609" s="117"/>
      <c r="EA609" s="117"/>
      <c r="EB609" s="117"/>
      <c r="EC609" s="117"/>
      <c r="ED609" s="117"/>
      <c r="EE609" s="117"/>
      <c r="EF609" s="117"/>
      <c r="EG609" s="117"/>
      <c r="EH609" s="117"/>
      <c r="EI609" s="117"/>
      <c r="EJ609" s="117"/>
      <c r="EK609" s="117"/>
      <c r="EL609" s="117"/>
      <c r="EM609" s="117"/>
      <c r="EN609" s="117"/>
      <c r="EO609" s="117"/>
      <c r="EP609" s="117"/>
      <c r="EQ609" s="117"/>
      <c r="ER609" s="117"/>
      <c r="ES609" s="117"/>
      <c r="ET609" s="117"/>
      <c r="EU609" s="117"/>
      <c r="EV609" s="117"/>
      <c r="EW609" s="117"/>
      <c r="EX609" s="117"/>
      <c r="EY609" s="117"/>
      <c r="EZ609" s="117"/>
      <c r="FA609" s="117"/>
      <c r="FB609" s="117"/>
      <c r="FC609" s="117"/>
      <c r="FD609" s="117"/>
      <c r="FE609" s="117"/>
      <c r="FF609" s="117"/>
      <c r="FG609" s="117"/>
      <c r="FH609" s="117"/>
      <c r="FI609" s="117"/>
      <c r="FJ609" s="117"/>
      <c r="FK609" s="117"/>
      <c r="FL609" s="117"/>
      <c r="FM609" s="117"/>
      <c r="FN609" s="117"/>
      <c r="FO609" s="117"/>
      <c r="FP609" s="117"/>
      <c r="FQ609" s="117"/>
      <c r="FR609" s="117"/>
      <c r="FS609" s="117"/>
      <c r="FT609" s="117"/>
      <c r="FU609" s="117"/>
      <c r="FV609" s="117"/>
      <c r="FW609" s="117"/>
      <c r="FX609" s="117"/>
      <c r="FY609" s="117"/>
      <c r="FZ609" s="117"/>
      <c r="GA609" s="117"/>
      <c r="GB609" s="117"/>
      <c r="GC609" s="117"/>
      <c r="GD609" s="117"/>
      <c r="GE609" s="117"/>
      <c r="GF609" s="117"/>
      <c r="GG609" s="117"/>
      <c r="GH609" s="117"/>
      <c r="GI609" s="117"/>
      <c r="GJ609" s="117"/>
      <c r="GK609" s="117"/>
      <c r="GL609" s="117"/>
      <c r="GM609" s="117"/>
      <c r="GN609" s="117"/>
      <c r="GO609" s="117"/>
      <c r="GP609" s="117"/>
      <c r="GQ609" s="117"/>
      <c r="GR609" s="117"/>
      <c r="GS609" s="117"/>
      <c r="GT609" s="117"/>
      <c r="GU609" s="117"/>
      <c r="GV609" s="117"/>
      <c r="GW609" s="117"/>
      <c r="GX609" s="117"/>
      <c r="GY609" s="117"/>
      <c r="GZ609" s="117"/>
      <c r="HA609" s="117"/>
      <c r="HB609" s="117"/>
      <c r="HC609" s="117"/>
      <c r="HD609" s="117"/>
      <c r="HE609" s="117"/>
      <c r="HF609" s="117"/>
      <c r="HG609" s="117"/>
      <c r="HH609" s="117"/>
      <c r="HI609" s="117"/>
      <c r="HJ609" s="117"/>
      <c r="HK609" s="117"/>
      <c r="HL609" s="117"/>
      <c r="HM609" s="117"/>
      <c r="HN609" s="117"/>
      <c r="HO609" s="117"/>
      <c r="HP609" s="117"/>
      <c r="HQ609" s="117"/>
      <c r="HR609" s="117"/>
      <c r="HS609" s="117"/>
      <c r="HT609" s="117"/>
      <c r="HU609" s="117"/>
      <c r="HV609" s="117"/>
      <c r="HW609" s="117"/>
      <c r="HX609" s="117"/>
      <c r="HY609" s="117"/>
      <c r="HZ609" s="117"/>
      <c r="IA609" s="117"/>
      <c r="IB609" s="117"/>
      <c r="IC609" s="117"/>
      <c r="ID609" s="117"/>
      <c r="IE609" s="117"/>
      <c r="IF609" s="117"/>
      <c r="IG609" s="117"/>
      <c r="IH609" s="117"/>
      <c r="II609" s="117"/>
      <c r="IJ609" s="117"/>
      <c r="IK609" s="117"/>
      <c r="IL609" s="117"/>
      <c r="IM609" s="117"/>
      <c r="IN609" s="117"/>
      <c r="IO609" s="117"/>
      <c r="IP609" s="117"/>
      <c r="IQ609" s="117"/>
      <c r="IR609" s="117"/>
      <c r="IS609" s="117"/>
      <c r="IT609" s="117"/>
      <c r="IU609" s="117"/>
      <c r="IV609" s="117"/>
      <c r="IW609" s="117"/>
      <c r="IX609" s="117"/>
      <c r="IY609" s="117"/>
      <c r="IZ609" s="117"/>
      <c r="JA609" s="117"/>
      <c r="JB609" s="117"/>
      <c r="JC609" s="117"/>
      <c r="JD609" s="117"/>
      <c r="JE609" s="117"/>
      <c r="JF609" s="117"/>
      <c r="JG609" s="117"/>
      <c r="JH609" s="117"/>
      <c r="JI609" s="117"/>
      <c r="JJ609" s="117"/>
      <c r="JK609" s="117"/>
      <c r="JL609" s="117"/>
      <c r="JM609" s="117"/>
      <c r="JN609" s="117"/>
      <c r="JO609" s="117"/>
      <c r="JP609" s="117"/>
      <c r="JQ609" s="117"/>
      <c r="JR609" s="117"/>
      <c r="JS609" s="117"/>
      <c r="JT609" s="117"/>
      <c r="JU609" s="117"/>
      <c r="JV609" s="117"/>
      <c r="JW609" s="117"/>
      <c r="JX609" s="117"/>
      <c r="JY609" s="117"/>
      <c r="JZ609" s="117"/>
      <c r="KA609" s="117"/>
      <c r="KB609" s="117"/>
      <c r="KC609" s="117"/>
      <c r="KD609" s="117"/>
      <c r="KE609" s="117"/>
      <c r="KF609" s="117"/>
      <c r="KG609" s="117"/>
      <c r="KH609" s="117"/>
      <c r="KI609" s="117"/>
      <c r="KJ609" s="117"/>
      <c r="KK609" s="117"/>
      <c r="KL609" s="117"/>
      <c r="KM609" s="117"/>
      <c r="KN609" s="117"/>
      <c r="KO609" s="117"/>
      <c r="KP609" s="117"/>
      <c r="KQ609" s="117"/>
      <c r="KR609" s="117"/>
      <c r="KS609" s="117"/>
      <c r="KT609" s="117"/>
      <c r="KU609" s="117"/>
      <c r="KV609" s="117"/>
      <c r="KW609" s="117"/>
      <c r="KX609" s="117"/>
      <c r="KY609" s="117"/>
      <c r="KZ609" s="117"/>
      <c r="LA609" s="117"/>
      <c r="LB609" s="117"/>
      <c r="LC609" s="117"/>
      <c r="LD609" s="117"/>
      <c r="LE609" s="117"/>
      <c r="LF609" s="117"/>
      <c r="LG609" s="117"/>
      <c r="LH609" s="117"/>
      <c r="LI609" s="117"/>
      <c r="LJ609" s="117"/>
      <c r="LK609" s="117"/>
      <c r="LL609" s="117"/>
      <c r="LM609" s="117"/>
      <c r="LN609" s="117"/>
      <c r="LO609" s="117"/>
      <c r="LP609" s="117"/>
      <c r="LQ609" s="117"/>
      <c r="LR609" s="117"/>
      <c r="LS609" s="117"/>
      <c r="LT609" s="117"/>
      <c r="LU609" s="117"/>
      <c r="LV609" s="117"/>
      <c r="LW609" s="117"/>
      <c r="LX609" s="117"/>
      <c r="LY609" s="117"/>
      <c r="LZ609" s="117"/>
      <c r="MA609" s="117"/>
      <c r="MB609" s="117"/>
      <c r="MC609" s="117"/>
      <c r="MD609" s="117"/>
      <c r="ME609" s="117"/>
      <c r="MF609" s="117"/>
      <c r="MG609" s="117"/>
      <c r="MH609" s="117"/>
      <c r="MI609" s="117"/>
      <c r="MJ609" s="117"/>
      <c r="MK609" s="117"/>
      <c r="ML609" s="117"/>
      <c r="MM609" s="117"/>
      <c r="MN609" s="117"/>
      <c r="MO609" s="117"/>
      <c r="MP609" s="117"/>
      <c r="MQ609" s="117"/>
      <c r="MR609" s="117"/>
      <c r="MS609" s="117"/>
      <c r="MT609" s="117"/>
      <c r="MU609" s="117"/>
      <c r="MV609" s="117"/>
      <c r="MW609" s="117"/>
      <c r="MX609" s="117"/>
      <c r="MY609" s="117"/>
      <c r="MZ609" s="117"/>
      <c r="NA609" s="117"/>
      <c r="NB609" s="117"/>
      <c r="NC609" s="117"/>
      <c r="ND609" s="117"/>
      <c r="NE609" s="117"/>
      <c r="NF609" s="117"/>
      <c r="NG609" s="117"/>
      <c r="NH609" s="117"/>
      <c r="NI609" s="117"/>
      <c r="NJ609" s="117"/>
      <c r="NK609" s="117"/>
      <c r="NL609" s="117"/>
      <c r="NM609" s="117"/>
      <c r="NN609" s="117"/>
      <c r="NO609" s="117"/>
      <c r="NP609" s="117"/>
      <c r="NQ609" s="117"/>
      <c r="NR609" s="117"/>
      <c r="NS609" s="117"/>
      <c r="NT609" s="117"/>
      <c r="NU609" s="117"/>
      <c r="NV609" s="117"/>
      <c r="NW609" s="117"/>
      <c r="NX609" s="117"/>
      <c r="NY609" s="117"/>
      <c r="NZ609" s="117"/>
      <c r="OA609" s="117"/>
      <c r="OB609" s="117"/>
      <c r="OC609" s="117"/>
      <c r="OD609" s="117"/>
      <c r="OE609" s="117"/>
      <c r="OF609" s="117"/>
      <c r="OG609" s="117"/>
      <c r="OH609" s="117"/>
      <c r="OI609" s="117"/>
      <c r="OJ609" s="117"/>
      <c r="OK609" s="117"/>
      <c r="OL609" s="117"/>
      <c r="OM609" s="117"/>
      <c r="ON609" s="117"/>
      <c r="OO609" s="117"/>
      <c r="OP609" s="117"/>
      <c r="OQ609" s="117"/>
      <c r="OR609" s="117"/>
      <c r="OS609" s="117"/>
      <c r="OT609" s="117"/>
      <c r="OU609" s="117"/>
      <c r="OV609" s="117"/>
      <c r="OW609" s="117"/>
      <c r="OX609" s="117"/>
      <c r="OY609" s="117"/>
      <c r="OZ609" s="117"/>
      <c r="PA609" s="117"/>
      <c r="PB609" s="117"/>
      <c r="PC609" s="117"/>
      <c r="PD609" s="117"/>
      <c r="PE609" s="117"/>
      <c r="PF609" s="117"/>
      <c r="PG609" s="117"/>
      <c r="PH609" s="117"/>
      <c r="PI609" s="117"/>
      <c r="PJ609" s="117"/>
      <c r="PK609" s="117"/>
      <c r="PL609" s="117"/>
      <c r="PM609" s="117"/>
      <c r="PN609" s="117"/>
      <c r="PO609" s="117"/>
      <c r="PP609" s="117"/>
      <c r="PQ609" s="117"/>
      <c r="PR609" s="117"/>
      <c r="PS609" s="117"/>
      <c r="PT609" s="117"/>
      <c r="PU609" s="117"/>
      <c r="PV609" s="117"/>
      <c r="PW609" s="117"/>
      <c r="PX609" s="117"/>
      <c r="PY609" s="117"/>
      <c r="PZ609" s="117"/>
      <c r="QA609" s="117"/>
      <c r="QB609" s="117"/>
      <c r="QC609" s="117"/>
      <c r="QD609" s="117"/>
      <c r="QE609" s="117"/>
      <c r="QF609" s="117"/>
      <c r="QG609" s="117"/>
      <c r="QH609" s="117"/>
      <c r="QI609" s="117"/>
      <c r="QJ609" s="117"/>
      <c r="QK609" s="117"/>
      <c r="QL609" s="117"/>
      <c r="QM609" s="117"/>
      <c r="QN609" s="117"/>
      <c r="QO609" s="117"/>
      <c r="QP609" s="117"/>
      <c r="QQ609" s="117"/>
      <c r="QR609" s="117"/>
      <c r="QS609" s="117"/>
      <c r="QT609" s="117"/>
      <c r="QU609" s="117"/>
      <c r="QV609" s="117"/>
      <c r="QW609" s="117"/>
      <c r="QX609" s="117"/>
      <c r="QY609" s="117"/>
      <c r="QZ609" s="117"/>
      <c r="RA609" s="117"/>
      <c r="RB609" s="117"/>
      <c r="RC609" s="117"/>
      <c r="RD609" s="117"/>
      <c r="RE609" s="117"/>
      <c r="RF609" s="117"/>
      <c r="RG609" s="117"/>
      <c r="RH609" s="117"/>
      <c r="RI609" s="117"/>
      <c r="RJ609" s="117"/>
      <c r="RK609" s="117"/>
      <c r="RL609" s="117"/>
      <c r="RM609" s="117"/>
      <c r="RN609" s="117"/>
      <c r="RO609" s="117"/>
      <c r="RP609" s="117"/>
      <c r="RQ609" s="117"/>
      <c r="RR609" s="117"/>
      <c r="RS609" s="117"/>
      <c r="RT609" s="117"/>
      <c r="RU609" s="117"/>
      <c r="RV609" s="117"/>
      <c r="RW609" s="117"/>
      <c r="RX609" s="117"/>
      <c r="RY609" s="117"/>
      <c r="RZ609" s="117"/>
      <c r="SA609" s="117"/>
      <c r="SB609" s="117"/>
      <c r="SC609" s="117"/>
      <c r="SD609" s="117"/>
      <c r="SE609" s="117"/>
      <c r="SF609" s="117"/>
      <c r="SG609" s="117"/>
      <c r="SH609" s="117"/>
      <c r="SI609" s="117"/>
      <c r="SJ609" s="117"/>
      <c r="SK609" s="117"/>
      <c r="SL609" s="117"/>
      <c r="SM609" s="117"/>
      <c r="SN609" s="117"/>
      <c r="SO609" s="117"/>
      <c r="SP609" s="117"/>
      <c r="SQ609" s="117"/>
      <c r="SR609" s="117"/>
      <c r="SS609" s="117"/>
      <c r="ST609" s="117"/>
      <c r="SU609" s="117"/>
      <c r="SV609" s="117"/>
      <c r="SW609" s="117"/>
      <c r="SX609" s="117"/>
      <c r="SY609" s="117"/>
      <c r="SZ609" s="117"/>
      <c r="TA609" s="117"/>
      <c r="TB609" s="117"/>
      <c r="TC609" s="117"/>
      <c r="TD609" s="117"/>
      <c r="TE609" s="117"/>
      <c r="TF609" s="117"/>
      <c r="TG609" s="117"/>
      <c r="TH609" s="117"/>
      <c r="TI609" s="117"/>
      <c r="TJ609" s="117"/>
      <c r="TK609" s="117"/>
      <c r="TL609" s="117"/>
      <c r="TM609" s="117"/>
      <c r="TN609" s="117"/>
      <c r="TO609" s="117"/>
      <c r="TP609" s="117"/>
      <c r="TQ609" s="117"/>
      <c r="TR609" s="117"/>
      <c r="TS609" s="117"/>
      <c r="TT609" s="117"/>
      <c r="TU609" s="117"/>
      <c r="TV609" s="117"/>
      <c r="TW609" s="117"/>
      <c r="TX609" s="117"/>
      <c r="TY609" s="117"/>
      <c r="TZ609" s="117"/>
      <c r="UA609" s="117"/>
      <c r="UB609" s="117"/>
      <c r="UC609" s="117"/>
      <c r="UD609" s="117"/>
      <c r="UE609" s="117"/>
      <c r="UF609" s="117"/>
      <c r="UG609" s="126"/>
    </row>
    <row r="610" spans="1:553" s="109" customFormat="1" ht="50.25" customHeight="1">
      <c r="A610" s="356" t="s">
        <v>15</v>
      </c>
      <c r="B610" s="385">
        <v>203</v>
      </c>
      <c r="C610" s="1403" t="s">
        <v>434</v>
      </c>
      <c r="D610" s="1389"/>
      <c r="E610" s="1389"/>
      <c r="F610" s="1390"/>
      <c r="G610" s="386" t="s">
        <v>113</v>
      </c>
      <c r="H610" s="370"/>
      <c r="I610" s="422">
        <f>2.1*1.8/1.7</f>
        <v>2.223529411764706</v>
      </c>
      <c r="J610" s="368">
        <v>815000</v>
      </c>
      <c r="K610" s="371"/>
      <c r="L610" s="487">
        <f t="shared" si="101"/>
        <v>1812176.4705882354</v>
      </c>
      <c r="M610" s="391"/>
      <c r="N610" s="391"/>
      <c r="O610" s="391"/>
      <c r="P610" s="391"/>
      <c r="Q610" s="610"/>
      <c r="R610" s="1226"/>
      <c r="S610" s="308"/>
      <c r="T610" s="308"/>
      <c r="U610" s="308"/>
      <c r="V610" s="308"/>
      <c r="W610" s="308"/>
      <c r="X610" s="308"/>
      <c r="Y610" s="308"/>
      <c r="Z610" s="604"/>
      <c r="AA610" s="308"/>
      <c r="AB610" s="308"/>
      <c r="AC610" s="449"/>
      <c r="AD610" s="449"/>
      <c r="AE610" s="449"/>
      <c r="AF610" s="449"/>
      <c r="AG610" s="449"/>
      <c r="AH610" s="449"/>
      <c r="AI610" s="449"/>
      <c r="AJ610" s="449"/>
      <c r="AK610" s="452"/>
      <c r="AL610" s="116"/>
      <c r="AM610" s="112"/>
      <c r="AN610" s="112"/>
      <c r="AO610" s="112"/>
      <c r="AP610" s="112"/>
      <c r="AQ610" s="112"/>
      <c r="AR610" s="112"/>
      <c r="AS610" s="113"/>
      <c r="AT610" s="113"/>
      <c r="AU610" s="113"/>
      <c r="AV610" s="113"/>
      <c r="AW610" s="113"/>
      <c r="AX610" s="113"/>
      <c r="AY610" s="113"/>
      <c r="AZ610" s="113"/>
      <c r="BA610" s="113"/>
      <c r="BB610" s="113"/>
      <c r="BC610" s="113"/>
      <c r="BD610" s="113"/>
      <c r="BE610" s="113"/>
      <c r="BF610" s="113"/>
      <c r="BG610" s="113"/>
      <c r="BH610" s="113"/>
      <c r="BI610" s="113"/>
      <c r="BJ610" s="113"/>
      <c r="BK610" s="113"/>
      <c r="BL610" s="113"/>
      <c r="BM610" s="113"/>
      <c r="BN610" s="113"/>
      <c r="BO610" s="113"/>
      <c r="BP610" s="113"/>
      <c r="BQ610" s="113"/>
      <c r="BR610" s="113"/>
      <c r="BS610" s="113"/>
      <c r="BT610" s="113"/>
      <c r="BU610" s="113"/>
      <c r="BV610" s="113"/>
      <c r="BW610" s="113"/>
      <c r="BX610" s="113"/>
      <c r="BY610" s="113"/>
      <c r="BZ610" s="113"/>
      <c r="CA610" s="113"/>
      <c r="CB610" s="113"/>
      <c r="CC610" s="113"/>
      <c r="CD610" s="113"/>
      <c r="CE610" s="113"/>
      <c r="CF610" s="113"/>
      <c r="CG610" s="113"/>
      <c r="CH610" s="113"/>
      <c r="CI610" s="113"/>
      <c r="CJ610" s="113"/>
      <c r="CK610" s="113"/>
      <c r="CL610" s="113"/>
      <c r="CM610" s="113"/>
      <c r="CN610" s="113"/>
      <c r="CO610" s="113"/>
      <c r="CP610" s="113"/>
      <c r="CQ610" s="113"/>
      <c r="CR610" s="113"/>
      <c r="CS610" s="113"/>
      <c r="CT610" s="113"/>
      <c r="CU610" s="113"/>
      <c r="CV610" s="113"/>
      <c r="CW610" s="113"/>
      <c r="CX610" s="113"/>
      <c r="CY610" s="113"/>
      <c r="CZ610" s="113"/>
      <c r="DA610" s="113"/>
      <c r="DB610" s="113"/>
      <c r="DC610" s="113"/>
      <c r="DD610" s="113"/>
      <c r="DE610" s="113"/>
      <c r="DF610" s="113"/>
      <c r="DG610" s="113"/>
      <c r="DH610" s="113"/>
      <c r="DI610" s="113"/>
      <c r="DJ610" s="113"/>
      <c r="DK610" s="113"/>
      <c r="DL610" s="113"/>
      <c r="DM610" s="113"/>
      <c r="DN610" s="113"/>
      <c r="DO610" s="113"/>
      <c r="DP610" s="113"/>
      <c r="DQ610" s="113"/>
      <c r="DR610" s="113"/>
      <c r="DS610" s="113"/>
      <c r="DT610" s="113"/>
      <c r="DU610" s="113"/>
      <c r="DV610" s="113"/>
      <c r="DW610" s="113"/>
      <c r="DX610" s="113"/>
      <c r="DY610" s="113"/>
      <c r="DZ610" s="113"/>
      <c r="EA610" s="113"/>
      <c r="EB610" s="113"/>
      <c r="EC610" s="113"/>
      <c r="ED610" s="113"/>
      <c r="EE610" s="113"/>
      <c r="EF610" s="113"/>
      <c r="EG610" s="113"/>
      <c r="EH610" s="113"/>
      <c r="EI610" s="113"/>
      <c r="EJ610" s="113"/>
      <c r="EK610" s="113"/>
      <c r="EL610" s="113"/>
      <c r="EM610" s="113"/>
      <c r="EN610" s="113"/>
      <c r="EO610" s="113"/>
      <c r="EP610" s="113"/>
      <c r="EQ610" s="113"/>
      <c r="ER610" s="113"/>
      <c r="ES610" s="113"/>
      <c r="ET610" s="113"/>
      <c r="EU610" s="113"/>
      <c r="EV610" s="113"/>
      <c r="EW610" s="113"/>
      <c r="EX610" s="113"/>
      <c r="EY610" s="113"/>
      <c r="EZ610" s="113"/>
      <c r="FA610" s="113"/>
      <c r="FB610" s="113"/>
      <c r="FC610" s="113"/>
      <c r="FD610" s="113"/>
      <c r="FE610" s="113"/>
      <c r="FF610" s="113"/>
      <c r="FG610" s="113"/>
      <c r="FH610" s="113"/>
      <c r="FI610" s="113"/>
      <c r="FJ610" s="113"/>
      <c r="FK610" s="113"/>
      <c r="FL610" s="113"/>
      <c r="FM610" s="113"/>
      <c r="FN610" s="113"/>
      <c r="FO610" s="113"/>
      <c r="FP610" s="113"/>
      <c r="FQ610" s="113"/>
      <c r="FR610" s="113"/>
      <c r="FS610" s="113"/>
      <c r="FT610" s="113"/>
      <c r="FU610" s="113"/>
      <c r="FV610" s="113"/>
      <c r="FW610" s="113"/>
      <c r="FX610" s="113"/>
      <c r="FY610" s="113"/>
      <c r="FZ610" s="113"/>
      <c r="GA610" s="113"/>
      <c r="GB610" s="113"/>
      <c r="GC610" s="113"/>
      <c r="GD610" s="113"/>
      <c r="GE610" s="113"/>
      <c r="GF610" s="113"/>
      <c r="GG610" s="113"/>
      <c r="GH610" s="113"/>
      <c r="GI610" s="113"/>
      <c r="GJ610" s="113"/>
      <c r="GK610" s="113"/>
      <c r="GL610" s="113"/>
      <c r="GM610" s="113"/>
      <c r="GN610" s="113"/>
      <c r="GO610" s="113"/>
      <c r="GP610" s="113"/>
      <c r="GQ610" s="113"/>
      <c r="GR610" s="113"/>
      <c r="GS610" s="113"/>
      <c r="GT610" s="113"/>
      <c r="GU610" s="113"/>
      <c r="GV610" s="113"/>
      <c r="GW610" s="113"/>
      <c r="GX610" s="113"/>
      <c r="GY610" s="113"/>
      <c r="GZ610" s="113"/>
      <c r="HA610" s="113"/>
      <c r="HB610" s="113"/>
      <c r="HC610" s="113"/>
      <c r="HD610" s="113"/>
      <c r="HE610" s="113"/>
      <c r="HF610" s="113"/>
      <c r="HG610" s="113"/>
      <c r="HH610" s="113"/>
      <c r="HI610" s="113"/>
      <c r="HJ610" s="113"/>
      <c r="HK610" s="113"/>
      <c r="HL610" s="113"/>
      <c r="HM610" s="113"/>
      <c r="HN610" s="113"/>
      <c r="HO610" s="113"/>
      <c r="HP610" s="113"/>
      <c r="HQ610" s="113"/>
      <c r="HR610" s="113"/>
      <c r="HS610" s="113"/>
      <c r="HT610" s="113"/>
      <c r="HU610" s="113"/>
      <c r="HV610" s="113"/>
      <c r="HW610" s="113"/>
      <c r="HX610" s="113"/>
      <c r="HY610" s="113"/>
      <c r="HZ610" s="113"/>
      <c r="IA610" s="113"/>
      <c r="IB610" s="113"/>
      <c r="IC610" s="113"/>
      <c r="ID610" s="113"/>
      <c r="IE610" s="113"/>
      <c r="IF610" s="113"/>
      <c r="IG610" s="113"/>
      <c r="IH610" s="113"/>
      <c r="II610" s="113"/>
      <c r="IJ610" s="113"/>
      <c r="IK610" s="113"/>
      <c r="IL610" s="113"/>
      <c r="IM610" s="113"/>
      <c r="IN610" s="113"/>
      <c r="IO610" s="113"/>
      <c r="IP610" s="113"/>
      <c r="IQ610" s="113"/>
      <c r="IR610" s="113"/>
      <c r="IS610" s="113"/>
      <c r="IT610" s="113"/>
      <c r="IU610" s="113"/>
      <c r="IV610" s="113"/>
      <c r="IW610" s="113"/>
      <c r="IX610" s="113"/>
      <c r="IY610" s="113"/>
      <c r="IZ610" s="113"/>
      <c r="JA610" s="113"/>
      <c r="JB610" s="113"/>
      <c r="JC610" s="113"/>
      <c r="JD610" s="113"/>
      <c r="JE610" s="113"/>
      <c r="JF610" s="113"/>
      <c r="JG610" s="113"/>
      <c r="JH610" s="113"/>
      <c r="JI610" s="113"/>
      <c r="JJ610" s="113"/>
      <c r="JK610" s="113"/>
      <c r="JL610" s="113"/>
      <c r="JM610" s="113"/>
      <c r="JN610" s="113"/>
      <c r="JO610" s="113"/>
      <c r="JP610" s="113"/>
      <c r="JQ610" s="113"/>
      <c r="JR610" s="113"/>
      <c r="JS610" s="113"/>
      <c r="JT610" s="113"/>
      <c r="JU610" s="113"/>
      <c r="JV610" s="113"/>
      <c r="JW610" s="113"/>
      <c r="JX610" s="113"/>
      <c r="JY610" s="113"/>
      <c r="JZ610" s="113"/>
      <c r="KA610" s="113"/>
      <c r="KB610" s="113"/>
      <c r="KC610" s="113"/>
      <c r="KD610" s="113"/>
      <c r="KE610" s="113"/>
      <c r="KF610" s="113"/>
      <c r="KG610" s="113"/>
      <c r="KH610" s="113"/>
      <c r="KI610" s="113"/>
      <c r="KJ610" s="113"/>
      <c r="KK610" s="113"/>
      <c r="KL610" s="113"/>
      <c r="KM610" s="113"/>
      <c r="KN610" s="113"/>
      <c r="KO610" s="113"/>
      <c r="KP610" s="113"/>
      <c r="KQ610" s="113"/>
      <c r="KR610" s="113"/>
      <c r="KS610" s="113"/>
      <c r="KT610" s="113"/>
      <c r="KU610" s="113"/>
      <c r="KV610" s="113"/>
      <c r="KW610" s="113"/>
      <c r="KX610" s="113"/>
      <c r="KY610" s="113"/>
      <c r="KZ610" s="113"/>
      <c r="LA610" s="113"/>
      <c r="LB610" s="113"/>
      <c r="LC610" s="113"/>
      <c r="LD610" s="113"/>
      <c r="LE610" s="113"/>
      <c r="LF610" s="113"/>
      <c r="LG610" s="113"/>
      <c r="LH610" s="113"/>
      <c r="LI610" s="113"/>
      <c r="LJ610" s="113"/>
      <c r="LK610" s="113"/>
      <c r="LL610" s="113"/>
      <c r="LM610" s="113"/>
      <c r="LN610" s="113"/>
      <c r="LO610" s="113"/>
      <c r="LP610" s="113"/>
      <c r="LQ610" s="113"/>
      <c r="LR610" s="113"/>
      <c r="LS610" s="113"/>
      <c r="LT610" s="113"/>
      <c r="LU610" s="113"/>
      <c r="LV610" s="113"/>
      <c r="LW610" s="113"/>
      <c r="LX610" s="113"/>
      <c r="LY610" s="113"/>
      <c r="LZ610" s="113"/>
      <c r="MA610" s="113"/>
      <c r="MB610" s="113"/>
      <c r="MC610" s="113"/>
      <c r="MD610" s="113"/>
      <c r="ME610" s="113"/>
      <c r="MF610" s="113"/>
      <c r="MG610" s="113"/>
      <c r="MH610" s="113"/>
      <c r="MI610" s="113"/>
      <c r="MJ610" s="113"/>
      <c r="MK610" s="113"/>
      <c r="ML610" s="113"/>
      <c r="MM610" s="113"/>
      <c r="MN610" s="113"/>
      <c r="MO610" s="113"/>
      <c r="MP610" s="113"/>
      <c r="MQ610" s="113"/>
      <c r="MR610" s="113"/>
      <c r="MS610" s="113"/>
      <c r="MT610" s="113"/>
      <c r="MU610" s="113"/>
      <c r="MV610" s="113"/>
      <c r="MW610" s="113"/>
      <c r="MX610" s="113"/>
      <c r="MY610" s="113"/>
      <c r="MZ610" s="113"/>
      <c r="NA610" s="113"/>
      <c r="NB610" s="113"/>
      <c r="NC610" s="113"/>
      <c r="ND610" s="113"/>
      <c r="NE610" s="113"/>
      <c r="NF610" s="113"/>
      <c r="NG610" s="113"/>
      <c r="NH610" s="113"/>
      <c r="NI610" s="113"/>
      <c r="NJ610" s="113"/>
      <c r="NK610" s="113"/>
      <c r="NL610" s="113"/>
      <c r="NM610" s="113"/>
      <c r="NN610" s="113"/>
      <c r="NO610" s="113"/>
      <c r="NP610" s="113"/>
      <c r="NQ610" s="113"/>
      <c r="NR610" s="113"/>
      <c r="NS610" s="113"/>
      <c r="NT610" s="113"/>
      <c r="NU610" s="113"/>
      <c r="NV610" s="113"/>
      <c r="NW610" s="113"/>
      <c r="NX610" s="113"/>
      <c r="NY610" s="113"/>
      <c r="NZ610" s="113"/>
      <c r="OA610" s="113"/>
      <c r="OB610" s="113"/>
      <c r="OC610" s="113"/>
      <c r="OD610" s="113"/>
      <c r="OE610" s="113"/>
      <c r="OF610" s="113"/>
      <c r="OG610" s="113"/>
      <c r="OH610" s="113"/>
      <c r="OI610" s="113"/>
      <c r="OJ610" s="113"/>
      <c r="OK610" s="113"/>
      <c r="OL610" s="113"/>
      <c r="OM610" s="113"/>
      <c r="ON610" s="113"/>
      <c r="OO610" s="113"/>
      <c r="OP610" s="113"/>
      <c r="OQ610" s="113"/>
      <c r="OR610" s="113"/>
      <c r="OS610" s="113"/>
      <c r="OT610" s="113"/>
      <c r="OU610" s="113"/>
      <c r="OV610" s="113"/>
      <c r="OW610" s="113"/>
      <c r="OX610" s="113"/>
      <c r="OY610" s="113"/>
      <c r="OZ610" s="113"/>
      <c r="PA610" s="113"/>
      <c r="PB610" s="113"/>
      <c r="PC610" s="113"/>
      <c r="PD610" s="113"/>
      <c r="PE610" s="113"/>
      <c r="PF610" s="113"/>
      <c r="PG610" s="113"/>
      <c r="PH610" s="113"/>
      <c r="PI610" s="113"/>
      <c r="PJ610" s="113"/>
      <c r="PK610" s="113"/>
      <c r="PL610" s="113"/>
      <c r="PM610" s="113"/>
      <c r="PN610" s="113"/>
      <c r="PO610" s="113"/>
      <c r="PP610" s="113"/>
      <c r="PQ610" s="113"/>
      <c r="PR610" s="113"/>
      <c r="PS610" s="113"/>
      <c r="PT610" s="113"/>
      <c r="PU610" s="113"/>
      <c r="PV610" s="113"/>
      <c r="PW610" s="113"/>
      <c r="PX610" s="113"/>
      <c r="PY610" s="113"/>
      <c r="PZ610" s="113"/>
      <c r="QA610" s="113"/>
      <c r="QB610" s="113"/>
      <c r="QC610" s="113"/>
      <c r="QD610" s="113"/>
      <c r="QE610" s="113"/>
      <c r="QF610" s="113"/>
      <c r="QG610" s="113"/>
      <c r="QH610" s="113"/>
      <c r="QI610" s="113"/>
      <c r="QJ610" s="113"/>
      <c r="QK610" s="113"/>
      <c r="QL610" s="113"/>
      <c r="QM610" s="113"/>
      <c r="QN610" s="113"/>
      <c r="QO610" s="113"/>
      <c r="QP610" s="113"/>
      <c r="QQ610" s="113"/>
      <c r="QR610" s="113"/>
      <c r="QS610" s="113"/>
      <c r="QT610" s="113"/>
      <c r="QU610" s="113"/>
      <c r="QV610" s="113"/>
      <c r="QW610" s="113"/>
      <c r="QX610" s="113"/>
      <c r="QY610" s="113"/>
      <c r="QZ610" s="113"/>
      <c r="RA610" s="113"/>
      <c r="RB610" s="113"/>
      <c r="RC610" s="113"/>
      <c r="RD610" s="113"/>
      <c r="RE610" s="113"/>
      <c r="RF610" s="113"/>
      <c r="RG610" s="113"/>
      <c r="RH610" s="113"/>
      <c r="RI610" s="113"/>
      <c r="RJ610" s="113"/>
      <c r="RK610" s="113"/>
      <c r="RL610" s="113"/>
      <c r="RM610" s="113"/>
      <c r="RN610" s="113"/>
      <c r="RO610" s="113"/>
      <c r="RP610" s="113"/>
      <c r="RQ610" s="113"/>
      <c r="RR610" s="113"/>
      <c r="RS610" s="113"/>
      <c r="RT610" s="113"/>
      <c r="RU610" s="113"/>
      <c r="RV610" s="113"/>
      <c r="RW610" s="113"/>
      <c r="RX610" s="113"/>
      <c r="RY610" s="113"/>
      <c r="RZ610" s="113"/>
      <c r="SA610" s="113"/>
      <c r="SB610" s="113"/>
      <c r="SC610" s="113"/>
      <c r="SD610" s="113"/>
      <c r="SE610" s="113"/>
      <c r="SF610" s="113"/>
      <c r="SG610" s="113"/>
      <c r="SH610" s="113"/>
      <c r="SI610" s="113"/>
      <c r="SJ610" s="113"/>
      <c r="SK610" s="113"/>
      <c r="SL610" s="113"/>
      <c r="SM610" s="113"/>
      <c r="SN610" s="113"/>
      <c r="SO610" s="113"/>
      <c r="SP610" s="113"/>
      <c r="SQ610" s="113"/>
      <c r="SR610" s="113"/>
      <c r="SS610" s="113"/>
      <c r="ST610" s="113"/>
      <c r="SU610" s="113"/>
      <c r="SV610" s="113"/>
      <c r="SW610" s="113"/>
      <c r="SX610" s="113"/>
      <c r="SY610" s="113"/>
      <c r="SZ610" s="113"/>
      <c r="TA610" s="113"/>
      <c r="TB610" s="113"/>
      <c r="TC610" s="113"/>
      <c r="TD610" s="113"/>
      <c r="TE610" s="113"/>
      <c r="TF610" s="113"/>
      <c r="TG610" s="113"/>
      <c r="TH610" s="113"/>
      <c r="TI610" s="113"/>
      <c r="TJ610" s="113"/>
      <c r="TK610" s="113"/>
      <c r="TL610" s="113"/>
      <c r="TM610" s="113"/>
      <c r="TN610" s="113"/>
      <c r="TO610" s="113"/>
      <c r="TP610" s="113"/>
      <c r="TQ610" s="113"/>
      <c r="TR610" s="113"/>
      <c r="TS610" s="113"/>
      <c r="TT610" s="113"/>
      <c r="TU610" s="113"/>
      <c r="TV610" s="113"/>
      <c r="TW610" s="113"/>
      <c r="TX610" s="113"/>
      <c r="TY610" s="113"/>
      <c r="TZ610" s="113"/>
      <c r="UA610" s="113"/>
      <c r="UB610" s="113"/>
      <c r="UC610" s="113"/>
      <c r="UD610" s="113"/>
      <c r="UE610" s="113"/>
      <c r="UF610" s="113"/>
      <c r="UG610" s="126"/>
    </row>
    <row r="611" spans="1:553" s="109" customFormat="1" ht="50.25" customHeight="1">
      <c r="A611" s="356" t="s">
        <v>30</v>
      </c>
      <c r="B611" s="385">
        <v>5</v>
      </c>
      <c r="C611" s="1233" t="s">
        <v>1280</v>
      </c>
      <c r="D611" s="1234"/>
      <c r="E611" s="1234"/>
      <c r="F611" s="1235"/>
      <c r="G611" s="386" t="s">
        <v>33</v>
      </c>
      <c r="H611" s="370"/>
      <c r="I611" s="422">
        <f>-2.1*1.8*2</f>
        <v>-7.5600000000000005</v>
      </c>
      <c r="J611" s="368">
        <v>41700</v>
      </c>
      <c r="K611" s="371"/>
      <c r="L611" s="487">
        <f t="shared" ref="L611:L612" si="102">I611*J611</f>
        <v>-315252</v>
      </c>
      <c r="M611" s="391"/>
      <c r="N611" s="391"/>
      <c r="O611" s="391"/>
      <c r="P611" s="391"/>
      <c r="Q611" s="1225"/>
      <c r="R611" s="1226"/>
      <c r="S611" s="308"/>
      <c r="T611" s="308"/>
      <c r="U611" s="308"/>
      <c r="V611" s="308"/>
      <c r="W611" s="308"/>
      <c r="X611" s="308"/>
      <c r="Y611" s="308"/>
      <c r="Z611" s="604"/>
      <c r="AA611" s="308"/>
      <c r="AB611" s="308"/>
      <c r="AC611" s="449"/>
      <c r="AD611" s="449"/>
      <c r="AE611" s="449"/>
      <c r="AF611" s="449"/>
      <c r="AG611" s="449"/>
      <c r="AH611" s="449"/>
      <c r="AI611" s="449"/>
      <c r="AJ611" s="449"/>
      <c r="AK611" s="452"/>
      <c r="AL611" s="116"/>
      <c r="AM611" s="116"/>
      <c r="AN611" s="116"/>
      <c r="AO611" s="116"/>
      <c r="AP611" s="116"/>
      <c r="AQ611" s="116"/>
      <c r="AR611" s="116"/>
      <c r="AS611" s="117"/>
      <c r="AT611" s="117"/>
      <c r="AU611" s="117"/>
      <c r="AV611" s="117"/>
      <c r="AW611" s="117"/>
      <c r="AX611" s="117"/>
      <c r="AY611" s="117"/>
      <c r="AZ611" s="117"/>
      <c r="BA611" s="117"/>
      <c r="BB611" s="117"/>
      <c r="BC611" s="117"/>
      <c r="BD611" s="117"/>
      <c r="BE611" s="117"/>
      <c r="BF611" s="117"/>
      <c r="BG611" s="117"/>
      <c r="BH611" s="117"/>
      <c r="BI611" s="117"/>
      <c r="BJ611" s="117"/>
      <c r="BK611" s="117"/>
      <c r="BL611" s="117"/>
      <c r="BM611" s="117"/>
      <c r="BN611" s="117"/>
      <c r="BO611" s="117"/>
      <c r="BP611" s="117"/>
      <c r="BQ611" s="117"/>
      <c r="BR611" s="117"/>
      <c r="BS611" s="117"/>
      <c r="BT611" s="117"/>
      <c r="BU611" s="117"/>
      <c r="BV611" s="117"/>
      <c r="BW611" s="117"/>
      <c r="BX611" s="117"/>
      <c r="BY611" s="117"/>
      <c r="BZ611" s="117"/>
      <c r="CA611" s="117"/>
      <c r="CB611" s="117"/>
      <c r="CC611" s="117"/>
      <c r="CD611" s="117"/>
      <c r="CE611" s="117"/>
      <c r="CF611" s="117"/>
      <c r="CG611" s="117"/>
      <c r="CH611" s="117"/>
      <c r="CI611" s="117"/>
      <c r="CJ611" s="117"/>
      <c r="CK611" s="117"/>
      <c r="CL611" s="117"/>
      <c r="CM611" s="117"/>
      <c r="CN611" s="117"/>
      <c r="CO611" s="117"/>
      <c r="CP611" s="117"/>
      <c r="CQ611" s="117"/>
      <c r="CR611" s="117"/>
      <c r="CS611" s="117"/>
      <c r="CT611" s="117"/>
      <c r="CU611" s="117"/>
      <c r="CV611" s="117"/>
      <c r="CW611" s="117"/>
      <c r="CX611" s="117"/>
      <c r="CY611" s="117"/>
      <c r="CZ611" s="117"/>
      <c r="DA611" s="117"/>
      <c r="DB611" s="117"/>
      <c r="DC611" s="117"/>
      <c r="DD611" s="117"/>
      <c r="DE611" s="117"/>
      <c r="DF611" s="117"/>
      <c r="DG611" s="117"/>
      <c r="DH611" s="117"/>
      <c r="DI611" s="117"/>
      <c r="DJ611" s="117"/>
      <c r="DK611" s="117"/>
      <c r="DL611" s="117"/>
      <c r="DM611" s="117"/>
      <c r="DN611" s="117"/>
      <c r="DO611" s="117"/>
      <c r="DP611" s="117"/>
      <c r="DQ611" s="117"/>
      <c r="DR611" s="117"/>
      <c r="DS611" s="117"/>
      <c r="DT611" s="117"/>
      <c r="DU611" s="117"/>
      <c r="DV611" s="117"/>
      <c r="DW611" s="117"/>
      <c r="DX611" s="117"/>
      <c r="DY611" s="117"/>
      <c r="DZ611" s="117"/>
      <c r="EA611" s="117"/>
      <c r="EB611" s="117"/>
      <c r="EC611" s="117"/>
      <c r="ED611" s="117"/>
      <c r="EE611" s="117"/>
      <c r="EF611" s="117"/>
      <c r="EG611" s="117"/>
      <c r="EH611" s="117"/>
      <c r="EI611" s="117"/>
      <c r="EJ611" s="117"/>
      <c r="EK611" s="117"/>
      <c r="EL611" s="117"/>
      <c r="EM611" s="117"/>
      <c r="EN611" s="117"/>
      <c r="EO611" s="117"/>
      <c r="EP611" s="117"/>
      <c r="EQ611" s="117"/>
      <c r="ER611" s="117"/>
      <c r="ES611" s="117"/>
      <c r="ET611" s="117"/>
      <c r="EU611" s="117"/>
      <c r="EV611" s="117"/>
      <c r="EW611" s="117"/>
      <c r="EX611" s="117"/>
      <c r="EY611" s="117"/>
      <c r="EZ611" s="117"/>
      <c r="FA611" s="117"/>
      <c r="FB611" s="117"/>
      <c r="FC611" s="117"/>
      <c r="FD611" s="117"/>
      <c r="FE611" s="117"/>
      <c r="FF611" s="117"/>
      <c r="FG611" s="117"/>
      <c r="FH611" s="117"/>
      <c r="FI611" s="117"/>
      <c r="FJ611" s="117"/>
      <c r="FK611" s="117"/>
      <c r="FL611" s="117"/>
      <c r="FM611" s="117"/>
      <c r="FN611" s="117"/>
      <c r="FO611" s="117"/>
      <c r="FP611" s="117"/>
      <c r="FQ611" s="117"/>
      <c r="FR611" s="117"/>
      <c r="FS611" s="117"/>
      <c r="FT611" s="117"/>
      <c r="FU611" s="117"/>
      <c r="FV611" s="117"/>
      <c r="FW611" s="117"/>
      <c r="FX611" s="117"/>
      <c r="FY611" s="117"/>
      <c r="FZ611" s="117"/>
      <c r="GA611" s="117"/>
      <c r="GB611" s="117"/>
      <c r="GC611" s="117"/>
      <c r="GD611" s="117"/>
      <c r="GE611" s="117"/>
      <c r="GF611" s="117"/>
      <c r="GG611" s="117"/>
      <c r="GH611" s="117"/>
      <c r="GI611" s="117"/>
      <c r="GJ611" s="117"/>
      <c r="GK611" s="117"/>
      <c r="GL611" s="117"/>
      <c r="GM611" s="117"/>
      <c r="GN611" s="117"/>
      <c r="GO611" s="117"/>
      <c r="GP611" s="117"/>
      <c r="GQ611" s="117"/>
      <c r="GR611" s="117"/>
      <c r="GS611" s="117"/>
      <c r="GT611" s="117"/>
      <c r="GU611" s="117"/>
      <c r="GV611" s="117"/>
      <c r="GW611" s="117"/>
      <c r="GX611" s="117"/>
      <c r="GY611" s="117"/>
      <c r="GZ611" s="117"/>
      <c r="HA611" s="117"/>
      <c r="HB611" s="117"/>
      <c r="HC611" s="117"/>
      <c r="HD611" s="117"/>
      <c r="HE611" s="117"/>
      <c r="HF611" s="117"/>
      <c r="HG611" s="117"/>
      <c r="HH611" s="117"/>
      <c r="HI611" s="117"/>
      <c r="HJ611" s="117"/>
      <c r="HK611" s="117"/>
      <c r="HL611" s="117"/>
      <c r="HM611" s="117"/>
      <c r="HN611" s="117"/>
      <c r="HO611" s="117"/>
      <c r="HP611" s="117"/>
      <c r="HQ611" s="117"/>
      <c r="HR611" s="117"/>
      <c r="HS611" s="117"/>
      <c r="HT611" s="117"/>
      <c r="HU611" s="117"/>
      <c r="HV611" s="117"/>
      <c r="HW611" s="117"/>
      <c r="HX611" s="117"/>
      <c r="HY611" s="117"/>
      <c r="HZ611" s="117"/>
      <c r="IA611" s="117"/>
      <c r="IB611" s="117"/>
      <c r="IC611" s="117"/>
      <c r="ID611" s="117"/>
      <c r="IE611" s="117"/>
      <c r="IF611" s="117"/>
      <c r="IG611" s="117"/>
      <c r="IH611" s="117"/>
      <c r="II611" s="117"/>
      <c r="IJ611" s="117"/>
      <c r="IK611" s="117"/>
      <c r="IL611" s="117"/>
      <c r="IM611" s="117"/>
      <c r="IN611" s="117"/>
      <c r="IO611" s="117"/>
      <c r="IP611" s="117"/>
      <c r="IQ611" s="117"/>
      <c r="IR611" s="117"/>
      <c r="IS611" s="117"/>
      <c r="IT611" s="117"/>
      <c r="IU611" s="117"/>
      <c r="IV611" s="117"/>
      <c r="IW611" s="117"/>
      <c r="IX611" s="117"/>
      <c r="IY611" s="117"/>
      <c r="IZ611" s="117"/>
      <c r="JA611" s="117"/>
      <c r="JB611" s="117"/>
      <c r="JC611" s="117"/>
      <c r="JD611" s="117"/>
      <c r="JE611" s="117"/>
      <c r="JF611" s="117"/>
      <c r="JG611" s="117"/>
      <c r="JH611" s="117"/>
      <c r="JI611" s="117"/>
      <c r="JJ611" s="117"/>
      <c r="JK611" s="117"/>
      <c r="JL611" s="117"/>
      <c r="JM611" s="117"/>
      <c r="JN611" s="117"/>
      <c r="JO611" s="117"/>
      <c r="JP611" s="117"/>
      <c r="JQ611" s="117"/>
      <c r="JR611" s="117"/>
      <c r="JS611" s="117"/>
      <c r="JT611" s="117"/>
      <c r="JU611" s="117"/>
      <c r="JV611" s="117"/>
      <c r="JW611" s="117"/>
      <c r="JX611" s="117"/>
      <c r="JY611" s="117"/>
      <c r="JZ611" s="117"/>
      <c r="KA611" s="117"/>
      <c r="KB611" s="117"/>
      <c r="KC611" s="117"/>
      <c r="KD611" s="117"/>
      <c r="KE611" s="117"/>
      <c r="KF611" s="117"/>
      <c r="KG611" s="117"/>
      <c r="KH611" s="117"/>
      <c r="KI611" s="117"/>
      <c r="KJ611" s="117"/>
      <c r="KK611" s="117"/>
      <c r="KL611" s="117"/>
      <c r="KM611" s="117"/>
      <c r="KN611" s="117"/>
      <c r="KO611" s="117"/>
      <c r="KP611" s="117"/>
      <c r="KQ611" s="117"/>
      <c r="KR611" s="117"/>
      <c r="KS611" s="117"/>
      <c r="KT611" s="117"/>
      <c r="KU611" s="117"/>
      <c r="KV611" s="117"/>
      <c r="KW611" s="117"/>
      <c r="KX611" s="117"/>
      <c r="KY611" s="117"/>
      <c r="KZ611" s="117"/>
      <c r="LA611" s="117"/>
      <c r="LB611" s="117"/>
      <c r="LC611" s="117"/>
      <c r="LD611" s="117"/>
      <c r="LE611" s="117"/>
      <c r="LF611" s="117"/>
      <c r="LG611" s="117"/>
      <c r="LH611" s="117"/>
      <c r="LI611" s="117"/>
      <c r="LJ611" s="117"/>
      <c r="LK611" s="117"/>
      <c r="LL611" s="117"/>
      <c r="LM611" s="117"/>
      <c r="LN611" s="117"/>
      <c r="LO611" s="117"/>
      <c r="LP611" s="117"/>
      <c r="LQ611" s="117"/>
      <c r="LR611" s="117"/>
      <c r="LS611" s="117"/>
      <c r="LT611" s="117"/>
      <c r="LU611" s="117"/>
      <c r="LV611" s="117"/>
      <c r="LW611" s="117"/>
      <c r="LX611" s="117"/>
      <c r="LY611" s="117"/>
      <c r="LZ611" s="117"/>
      <c r="MA611" s="117"/>
      <c r="MB611" s="117"/>
      <c r="MC611" s="117"/>
      <c r="MD611" s="117"/>
      <c r="ME611" s="117"/>
      <c r="MF611" s="117"/>
      <c r="MG611" s="117"/>
      <c r="MH611" s="117"/>
      <c r="MI611" s="117"/>
      <c r="MJ611" s="117"/>
      <c r="MK611" s="117"/>
      <c r="ML611" s="117"/>
      <c r="MM611" s="117"/>
      <c r="MN611" s="117"/>
      <c r="MO611" s="117"/>
      <c r="MP611" s="117"/>
      <c r="MQ611" s="117"/>
      <c r="MR611" s="117"/>
      <c r="MS611" s="117"/>
      <c r="MT611" s="117"/>
      <c r="MU611" s="117"/>
      <c r="MV611" s="117"/>
      <c r="MW611" s="117"/>
      <c r="MX611" s="117"/>
      <c r="MY611" s="117"/>
      <c r="MZ611" s="117"/>
      <c r="NA611" s="117"/>
      <c r="NB611" s="117"/>
      <c r="NC611" s="117"/>
      <c r="ND611" s="117"/>
      <c r="NE611" s="117"/>
      <c r="NF611" s="117"/>
      <c r="NG611" s="117"/>
      <c r="NH611" s="117"/>
      <c r="NI611" s="117"/>
      <c r="NJ611" s="117"/>
      <c r="NK611" s="117"/>
      <c r="NL611" s="117"/>
      <c r="NM611" s="117"/>
      <c r="NN611" s="117"/>
      <c r="NO611" s="117"/>
      <c r="NP611" s="117"/>
      <c r="NQ611" s="117"/>
      <c r="NR611" s="117"/>
      <c r="NS611" s="117"/>
      <c r="NT611" s="117"/>
      <c r="NU611" s="117"/>
      <c r="NV611" s="117"/>
      <c r="NW611" s="117"/>
      <c r="NX611" s="117"/>
      <c r="NY611" s="117"/>
      <c r="NZ611" s="117"/>
      <c r="OA611" s="117"/>
      <c r="OB611" s="117"/>
      <c r="OC611" s="117"/>
      <c r="OD611" s="117"/>
      <c r="OE611" s="117"/>
      <c r="OF611" s="117"/>
      <c r="OG611" s="117"/>
      <c r="OH611" s="117"/>
      <c r="OI611" s="117"/>
      <c r="OJ611" s="117"/>
      <c r="OK611" s="117"/>
      <c r="OL611" s="117"/>
      <c r="OM611" s="117"/>
      <c r="ON611" s="117"/>
      <c r="OO611" s="117"/>
      <c r="OP611" s="117"/>
      <c r="OQ611" s="117"/>
      <c r="OR611" s="117"/>
      <c r="OS611" s="117"/>
      <c r="OT611" s="117"/>
      <c r="OU611" s="117"/>
      <c r="OV611" s="117"/>
      <c r="OW611" s="117"/>
      <c r="OX611" s="117"/>
      <c r="OY611" s="117"/>
      <c r="OZ611" s="117"/>
      <c r="PA611" s="117"/>
      <c r="PB611" s="117"/>
      <c r="PC611" s="117"/>
      <c r="PD611" s="117"/>
      <c r="PE611" s="117"/>
      <c r="PF611" s="117"/>
      <c r="PG611" s="117"/>
      <c r="PH611" s="117"/>
      <c r="PI611" s="117"/>
      <c r="PJ611" s="117"/>
      <c r="PK611" s="117"/>
      <c r="PL611" s="117"/>
      <c r="PM611" s="117"/>
      <c r="PN611" s="117"/>
      <c r="PO611" s="117"/>
      <c r="PP611" s="117"/>
      <c r="PQ611" s="117"/>
      <c r="PR611" s="117"/>
      <c r="PS611" s="117"/>
      <c r="PT611" s="117"/>
      <c r="PU611" s="117"/>
      <c r="PV611" s="117"/>
      <c r="PW611" s="117"/>
      <c r="PX611" s="117"/>
      <c r="PY611" s="117"/>
      <c r="PZ611" s="117"/>
      <c r="QA611" s="117"/>
      <c r="QB611" s="117"/>
      <c r="QC611" s="117"/>
      <c r="QD611" s="117"/>
      <c r="QE611" s="117"/>
      <c r="QF611" s="117"/>
      <c r="QG611" s="117"/>
      <c r="QH611" s="117"/>
      <c r="QI611" s="117"/>
      <c r="QJ611" s="117"/>
      <c r="QK611" s="117"/>
      <c r="QL611" s="117"/>
      <c r="QM611" s="117"/>
      <c r="QN611" s="117"/>
      <c r="QO611" s="117"/>
      <c r="QP611" s="117"/>
      <c r="QQ611" s="117"/>
      <c r="QR611" s="117"/>
      <c r="QS611" s="117"/>
      <c r="QT611" s="117"/>
      <c r="QU611" s="117"/>
      <c r="QV611" s="117"/>
      <c r="QW611" s="117"/>
      <c r="QX611" s="117"/>
      <c r="QY611" s="117"/>
      <c r="QZ611" s="117"/>
      <c r="RA611" s="117"/>
      <c r="RB611" s="117"/>
      <c r="RC611" s="117"/>
      <c r="RD611" s="117"/>
      <c r="RE611" s="117"/>
      <c r="RF611" s="117"/>
      <c r="RG611" s="117"/>
      <c r="RH611" s="117"/>
      <c r="RI611" s="117"/>
      <c r="RJ611" s="117"/>
      <c r="RK611" s="117"/>
      <c r="RL611" s="117"/>
      <c r="RM611" s="117"/>
      <c r="RN611" s="117"/>
      <c r="RO611" s="117"/>
      <c r="RP611" s="117"/>
      <c r="RQ611" s="117"/>
      <c r="RR611" s="117"/>
      <c r="RS611" s="117"/>
      <c r="RT611" s="117"/>
      <c r="RU611" s="117"/>
      <c r="RV611" s="117"/>
      <c r="RW611" s="117"/>
      <c r="RX611" s="117"/>
      <c r="RY611" s="117"/>
      <c r="RZ611" s="117"/>
      <c r="SA611" s="117"/>
      <c r="SB611" s="117"/>
      <c r="SC611" s="117"/>
      <c r="SD611" s="117"/>
      <c r="SE611" s="117"/>
      <c r="SF611" s="117"/>
      <c r="SG611" s="117"/>
      <c r="SH611" s="117"/>
      <c r="SI611" s="117"/>
      <c r="SJ611" s="117"/>
      <c r="SK611" s="117"/>
      <c r="SL611" s="117"/>
      <c r="SM611" s="117"/>
      <c r="SN611" s="117"/>
      <c r="SO611" s="117"/>
      <c r="SP611" s="117"/>
      <c r="SQ611" s="117"/>
      <c r="SR611" s="117"/>
      <c r="SS611" s="117"/>
      <c r="ST611" s="117"/>
      <c r="SU611" s="117"/>
      <c r="SV611" s="117"/>
      <c r="SW611" s="117"/>
      <c r="SX611" s="117"/>
      <c r="SY611" s="117"/>
      <c r="SZ611" s="117"/>
      <c r="TA611" s="117"/>
      <c r="TB611" s="117"/>
      <c r="TC611" s="117"/>
      <c r="TD611" s="117"/>
      <c r="TE611" s="117"/>
      <c r="TF611" s="117"/>
      <c r="TG611" s="117"/>
      <c r="TH611" s="117"/>
      <c r="TI611" s="117"/>
      <c r="TJ611" s="117"/>
      <c r="TK611" s="117"/>
      <c r="TL611" s="117"/>
      <c r="TM611" s="117"/>
      <c r="TN611" s="117"/>
      <c r="TO611" s="117"/>
      <c r="TP611" s="117"/>
      <c r="TQ611" s="117"/>
      <c r="TR611" s="117"/>
      <c r="TS611" s="117"/>
      <c r="TT611" s="117"/>
      <c r="TU611" s="117"/>
      <c r="TV611" s="117"/>
      <c r="TW611" s="117"/>
      <c r="TX611" s="117"/>
      <c r="TY611" s="117"/>
      <c r="TZ611" s="117"/>
      <c r="UA611" s="117"/>
      <c r="UB611" s="117"/>
      <c r="UC611" s="117"/>
      <c r="UD611" s="117"/>
      <c r="UE611" s="117"/>
      <c r="UF611" s="117"/>
      <c r="UG611" s="126"/>
    </row>
    <row r="612" spans="1:553" s="109" customFormat="1" ht="77.25" customHeight="1">
      <c r="A612" s="356">
        <v>203</v>
      </c>
      <c r="B612" s="385">
        <v>148</v>
      </c>
      <c r="C612" s="1403" t="s">
        <v>925</v>
      </c>
      <c r="D612" s="1389"/>
      <c r="E612" s="1389"/>
      <c r="F612" s="1390"/>
      <c r="G612" s="386" t="s">
        <v>33</v>
      </c>
      <c r="H612" s="370"/>
      <c r="I612" s="422">
        <f>2.8*1.8</f>
        <v>5.04</v>
      </c>
      <c r="J612" s="368">
        <v>3900000</v>
      </c>
      <c r="K612" s="371"/>
      <c r="L612" s="487">
        <f t="shared" si="102"/>
        <v>19656000</v>
      </c>
      <c r="M612" s="391"/>
      <c r="N612" s="391"/>
      <c r="O612" s="391"/>
      <c r="P612" s="391"/>
      <c r="Q612" s="1225"/>
      <c r="R612" s="1226"/>
      <c r="S612" s="308"/>
      <c r="T612" s="308"/>
      <c r="U612" s="308"/>
      <c r="V612" s="308"/>
      <c r="W612" s="308"/>
      <c r="X612" s="308"/>
      <c r="Y612" s="308"/>
      <c r="Z612" s="604"/>
      <c r="AA612" s="308"/>
      <c r="AB612" s="308"/>
      <c r="AC612" s="449"/>
      <c r="AD612" s="449"/>
      <c r="AE612" s="449"/>
      <c r="AF612" s="449"/>
      <c r="AG612" s="449"/>
      <c r="AH612" s="449"/>
      <c r="AI612" s="449"/>
      <c r="AJ612" s="449"/>
      <c r="AK612" s="452"/>
      <c r="AL612" s="116"/>
      <c r="AM612" s="116"/>
      <c r="AN612" s="116"/>
      <c r="AO612" s="116"/>
      <c r="AP612" s="116"/>
      <c r="AQ612" s="116"/>
      <c r="AR612" s="116"/>
      <c r="AS612" s="117"/>
      <c r="AT612" s="117"/>
      <c r="AU612" s="117"/>
      <c r="AV612" s="117"/>
      <c r="AW612" s="117"/>
      <c r="AX612" s="117"/>
      <c r="AY612" s="117"/>
      <c r="AZ612" s="117"/>
      <c r="BA612" s="117"/>
      <c r="BB612" s="117"/>
      <c r="BC612" s="117"/>
      <c r="BD612" s="117"/>
      <c r="BE612" s="117"/>
      <c r="BF612" s="117"/>
      <c r="BG612" s="117"/>
      <c r="BH612" s="117"/>
      <c r="BI612" s="117"/>
      <c r="BJ612" s="117"/>
      <c r="BK612" s="117"/>
      <c r="BL612" s="117"/>
      <c r="BM612" s="117"/>
      <c r="BN612" s="117"/>
      <c r="BO612" s="117"/>
      <c r="BP612" s="117"/>
      <c r="BQ612" s="117"/>
      <c r="BR612" s="117"/>
      <c r="BS612" s="117"/>
      <c r="BT612" s="117"/>
      <c r="BU612" s="117"/>
      <c r="BV612" s="117"/>
      <c r="BW612" s="117"/>
      <c r="BX612" s="117"/>
      <c r="BY612" s="117"/>
      <c r="BZ612" s="117"/>
      <c r="CA612" s="117"/>
      <c r="CB612" s="117"/>
      <c r="CC612" s="117"/>
      <c r="CD612" s="117"/>
      <c r="CE612" s="117"/>
      <c r="CF612" s="117"/>
      <c r="CG612" s="117"/>
      <c r="CH612" s="117"/>
      <c r="CI612" s="117"/>
      <c r="CJ612" s="117"/>
      <c r="CK612" s="117"/>
      <c r="CL612" s="117"/>
      <c r="CM612" s="117"/>
      <c r="CN612" s="117"/>
      <c r="CO612" s="117"/>
      <c r="CP612" s="117"/>
      <c r="CQ612" s="117"/>
      <c r="CR612" s="117"/>
      <c r="CS612" s="117"/>
      <c r="CT612" s="117"/>
      <c r="CU612" s="117"/>
      <c r="CV612" s="117"/>
      <c r="CW612" s="117"/>
      <c r="CX612" s="117"/>
      <c r="CY612" s="117"/>
      <c r="CZ612" s="117"/>
      <c r="DA612" s="117"/>
      <c r="DB612" s="117"/>
      <c r="DC612" s="117"/>
      <c r="DD612" s="117"/>
      <c r="DE612" s="117"/>
      <c r="DF612" s="117"/>
      <c r="DG612" s="117"/>
      <c r="DH612" s="117"/>
      <c r="DI612" s="117"/>
      <c r="DJ612" s="117"/>
      <c r="DK612" s="117"/>
      <c r="DL612" s="117"/>
      <c r="DM612" s="117"/>
      <c r="DN612" s="117"/>
      <c r="DO612" s="117"/>
      <c r="DP612" s="117"/>
      <c r="DQ612" s="117"/>
      <c r="DR612" s="117"/>
      <c r="DS612" s="117"/>
      <c r="DT612" s="117"/>
      <c r="DU612" s="117"/>
      <c r="DV612" s="117"/>
      <c r="DW612" s="117"/>
      <c r="DX612" s="117"/>
      <c r="DY612" s="117"/>
      <c r="DZ612" s="117"/>
      <c r="EA612" s="117"/>
      <c r="EB612" s="117"/>
      <c r="EC612" s="117"/>
      <c r="ED612" s="117"/>
      <c r="EE612" s="117"/>
      <c r="EF612" s="117"/>
      <c r="EG612" s="117"/>
      <c r="EH612" s="117"/>
      <c r="EI612" s="117"/>
      <c r="EJ612" s="117"/>
      <c r="EK612" s="117"/>
      <c r="EL612" s="117"/>
      <c r="EM612" s="117"/>
      <c r="EN612" s="117"/>
      <c r="EO612" s="117"/>
      <c r="EP612" s="117"/>
      <c r="EQ612" s="117"/>
      <c r="ER612" s="117"/>
      <c r="ES612" s="117"/>
      <c r="ET612" s="117"/>
      <c r="EU612" s="117"/>
      <c r="EV612" s="117"/>
      <c r="EW612" s="117"/>
      <c r="EX612" s="117"/>
      <c r="EY612" s="117"/>
      <c r="EZ612" s="117"/>
      <c r="FA612" s="117"/>
      <c r="FB612" s="117"/>
      <c r="FC612" s="117"/>
      <c r="FD612" s="117"/>
      <c r="FE612" s="117"/>
      <c r="FF612" s="117"/>
      <c r="FG612" s="117"/>
      <c r="FH612" s="117"/>
      <c r="FI612" s="117"/>
      <c r="FJ612" s="117"/>
      <c r="FK612" s="117"/>
      <c r="FL612" s="117"/>
      <c r="FM612" s="117"/>
      <c r="FN612" s="117"/>
      <c r="FO612" s="117"/>
      <c r="FP612" s="117"/>
      <c r="FQ612" s="117"/>
      <c r="FR612" s="117"/>
      <c r="FS612" s="117"/>
      <c r="FT612" s="117"/>
      <c r="FU612" s="117"/>
      <c r="FV612" s="117"/>
      <c r="FW612" s="117"/>
      <c r="FX612" s="117"/>
      <c r="FY612" s="117"/>
      <c r="FZ612" s="117"/>
      <c r="GA612" s="117"/>
      <c r="GB612" s="117"/>
      <c r="GC612" s="117"/>
      <c r="GD612" s="117"/>
      <c r="GE612" s="117"/>
      <c r="GF612" s="117"/>
      <c r="GG612" s="117"/>
      <c r="GH612" s="117"/>
      <c r="GI612" s="117"/>
      <c r="GJ612" s="117"/>
      <c r="GK612" s="117"/>
      <c r="GL612" s="117"/>
      <c r="GM612" s="117"/>
      <c r="GN612" s="117"/>
      <c r="GO612" s="117"/>
      <c r="GP612" s="117"/>
      <c r="GQ612" s="117"/>
      <c r="GR612" s="117"/>
      <c r="GS612" s="117"/>
      <c r="GT612" s="117"/>
      <c r="GU612" s="117"/>
      <c r="GV612" s="117"/>
      <c r="GW612" s="117"/>
      <c r="GX612" s="117"/>
      <c r="GY612" s="117"/>
      <c r="GZ612" s="117"/>
      <c r="HA612" s="117"/>
      <c r="HB612" s="117"/>
      <c r="HC612" s="117"/>
      <c r="HD612" s="117"/>
      <c r="HE612" s="117"/>
      <c r="HF612" s="117"/>
      <c r="HG612" s="117"/>
      <c r="HH612" s="117"/>
      <c r="HI612" s="117"/>
      <c r="HJ612" s="117"/>
      <c r="HK612" s="117"/>
      <c r="HL612" s="117"/>
      <c r="HM612" s="117"/>
      <c r="HN612" s="117"/>
      <c r="HO612" s="117"/>
      <c r="HP612" s="117"/>
      <c r="HQ612" s="117"/>
      <c r="HR612" s="117"/>
      <c r="HS612" s="117"/>
      <c r="HT612" s="117"/>
      <c r="HU612" s="117"/>
      <c r="HV612" s="117"/>
      <c r="HW612" s="117"/>
      <c r="HX612" s="117"/>
      <c r="HY612" s="117"/>
      <c r="HZ612" s="117"/>
      <c r="IA612" s="117"/>
      <c r="IB612" s="117"/>
      <c r="IC612" s="117"/>
      <c r="ID612" s="117"/>
      <c r="IE612" s="117"/>
      <c r="IF612" s="117"/>
      <c r="IG612" s="117"/>
      <c r="IH612" s="117"/>
      <c r="II612" s="117"/>
      <c r="IJ612" s="117"/>
      <c r="IK612" s="117"/>
      <c r="IL612" s="117"/>
      <c r="IM612" s="117"/>
      <c r="IN612" s="117"/>
      <c r="IO612" s="117"/>
      <c r="IP612" s="117"/>
      <c r="IQ612" s="117"/>
      <c r="IR612" s="117"/>
      <c r="IS612" s="117"/>
      <c r="IT612" s="117"/>
      <c r="IU612" s="117"/>
      <c r="IV612" s="117"/>
      <c r="IW612" s="117"/>
      <c r="IX612" s="117"/>
      <c r="IY612" s="117"/>
      <c r="IZ612" s="117"/>
      <c r="JA612" s="117"/>
      <c r="JB612" s="117"/>
      <c r="JC612" s="117"/>
      <c r="JD612" s="117"/>
      <c r="JE612" s="117"/>
      <c r="JF612" s="117"/>
      <c r="JG612" s="117"/>
      <c r="JH612" s="117"/>
      <c r="JI612" s="117"/>
      <c r="JJ612" s="117"/>
      <c r="JK612" s="117"/>
      <c r="JL612" s="117"/>
      <c r="JM612" s="117"/>
      <c r="JN612" s="117"/>
      <c r="JO612" s="117"/>
      <c r="JP612" s="117"/>
      <c r="JQ612" s="117"/>
      <c r="JR612" s="117"/>
      <c r="JS612" s="117"/>
      <c r="JT612" s="117"/>
      <c r="JU612" s="117"/>
      <c r="JV612" s="117"/>
      <c r="JW612" s="117"/>
      <c r="JX612" s="117"/>
      <c r="JY612" s="117"/>
      <c r="JZ612" s="117"/>
      <c r="KA612" s="117"/>
      <c r="KB612" s="117"/>
      <c r="KC612" s="117"/>
      <c r="KD612" s="117"/>
      <c r="KE612" s="117"/>
      <c r="KF612" s="117"/>
      <c r="KG612" s="117"/>
      <c r="KH612" s="117"/>
      <c r="KI612" s="117"/>
      <c r="KJ612" s="117"/>
      <c r="KK612" s="117"/>
      <c r="KL612" s="117"/>
      <c r="KM612" s="117"/>
      <c r="KN612" s="117"/>
      <c r="KO612" s="117"/>
      <c r="KP612" s="117"/>
      <c r="KQ612" s="117"/>
      <c r="KR612" s="117"/>
      <c r="KS612" s="117"/>
      <c r="KT612" s="117"/>
      <c r="KU612" s="117"/>
      <c r="KV612" s="117"/>
      <c r="KW612" s="117"/>
      <c r="KX612" s="117"/>
      <c r="KY612" s="117"/>
      <c r="KZ612" s="117"/>
      <c r="LA612" s="117"/>
      <c r="LB612" s="117"/>
      <c r="LC612" s="117"/>
      <c r="LD612" s="117"/>
      <c r="LE612" s="117"/>
      <c r="LF612" s="117"/>
      <c r="LG612" s="117"/>
      <c r="LH612" s="117"/>
      <c r="LI612" s="117"/>
      <c r="LJ612" s="117"/>
      <c r="LK612" s="117"/>
      <c r="LL612" s="117"/>
      <c r="LM612" s="117"/>
      <c r="LN612" s="117"/>
      <c r="LO612" s="117"/>
      <c r="LP612" s="117"/>
      <c r="LQ612" s="117"/>
      <c r="LR612" s="117"/>
      <c r="LS612" s="117"/>
      <c r="LT612" s="117"/>
      <c r="LU612" s="117"/>
      <c r="LV612" s="117"/>
      <c r="LW612" s="117"/>
      <c r="LX612" s="117"/>
      <c r="LY612" s="117"/>
      <c r="LZ612" s="117"/>
      <c r="MA612" s="117"/>
      <c r="MB612" s="117"/>
      <c r="MC612" s="117"/>
      <c r="MD612" s="117"/>
      <c r="ME612" s="117"/>
      <c r="MF612" s="117"/>
      <c r="MG612" s="117"/>
      <c r="MH612" s="117"/>
      <c r="MI612" s="117"/>
      <c r="MJ612" s="117"/>
      <c r="MK612" s="117"/>
      <c r="ML612" s="117"/>
      <c r="MM612" s="117"/>
      <c r="MN612" s="117"/>
      <c r="MO612" s="117"/>
      <c r="MP612" s="117"/>
      <c r="MQ612" s="117"/>
      <c r="MR612" s="117"/>
      <c r="MS612" s="117"/>
      <c r="MT612" s="117"/>
      <c r="MU612" s="117"/>
      <c r="MV612" s="117"/>
      <c r="MW612" s="117"/>
      <c r="MX612" s="117"/>
      <c r="MY612" s="117"/>
      <c r="MZ612" s="117"/>
      <c r="NA612" s="117"/>
      <c r="NB612" s="117"/>
      <c r="NC612" s="117"/>
      <c r="ND612" s="117"/>
      <c r="NE612" s="117"/>
      <c r="NF612" s="117"/>
      <c r="NG612" s="117"/>
      <c r="NH612" s="117"/>
      <c r="NI612" s="117"/>
      <c r="NJ612" s="117"/>
      <c r="NK612" s="117"/>
      <c r="NL612" s="117"/>
      <c r="NM612" s="117"/>
      <c r="NN612" s="117"/>
      <c r="NO612" s="117"/>
      <c r="NP612" s="117"/>
      <c r="NQ612" s="117"/>
      <c r="NR612" s="117"/>
      <c r="NS612" s="117"/>
      <c r="NT612" s="117"/>
      <c r="NU612" s="117"/>
      <c r="NV612" s="117"/>
      <c r="NW612" s="117"/>
      <c r="NX612" s="117"/>
      <c r="NY612" s="117"/>
      <c r="NZ612" s="117"/>
      <c r="OA612" s="117"/>
      <c r="OB612" s="117"/>
      <c r="OC612" s="117"/>
      <c r="OD612" s="117"/>
      <c r="OE612" s="117"/>
      <c r="OF612" s="117"/>
      <c r="OG612" s="117"/>
      <c r="OH612" s="117"/>
      <c r="OI612" s="117"/>
      <c r="OJ612" s="117"/>
      <c r="OK612" s="117"/>
      <c r="OL612" s="117"/>
      <c r="OM612" s="117"/>
      <c r="ON612" s="117"/>
      <c r="OO612" s="117"/>
      <c r="OP612" s="117"/>
      <c r="OQ612" s="117"/>
      <c r="OR612" s="117"/>
      <c r="OS612" s="117"/>
      <c r="OT612" s="117"/>
      <c r="OU612" s="117"/>
      <c r="OV612" s="117"/>
      <c r="OW612" s="117"/>
      <c r="OX612" s="117"/>
      <c r="OY612" s="117"/>
      <c r="OZ612" s="117"/>
      <c r="PA612" s="117"/>
      <c r="PB612" s="117"/>
      <c r="PC612" s="117"/>
      <c r="PD612" s="117"/>
      <c r="PE612" s="117"/>
      <c r="PF612" s="117"/>
      <c r="PG612" s="117"/>
      <c r="PH612" s="117"/>
      <c r="PI612" s="117"/>
      <c r="PJ612" s="117"/>
      <c r="PK612" s="117"/>
      <c r="PL612" s="117"/>
      <c r="PM612" s="117"/>
      <c r="PN612" s="117"/>
      <c r="PO612" s="117"/>
      <c r="PP612" s="117"/>
      <c r="PQ612" s="117"/>
      <c r="PR612" s="117"/>
      <c r="PS612" s="117"/>
      <c r="PT612" s="117"/>
      <c r="PU612" s="117"/>
      <c r="PV612" s="117"/>
      <c r="PW612" s="117"/>
      <c r="PX612" s="117"/>
      <c r="PY612" s="117"/>
      <c r="PZ612" s="117"/>
      <c r="QA612" s="117"/>
      <c r="QB612" s="117"/>
      <c r="QC612" s="117"/>
      <c r="QD612" s="117"/>
      <c r="QE612" s="117"/>
      <c r="QF612" s="117"/>
      <c r="QG612" s="117"/>
      <c r="QH612" s="117"/>
      <c r="QI612" s="117"/>
      <c r="QJ612" s="117"/>
      <c r="QK612" s="117"/>
      <c r="QL612" s="117"/>
      <c r="QM612" s="117"/>
      <c r="QN612" s="117"/>
      <c r="QO612" s="117"/>
      <c r="QP612" s="117"/>
      <c r="QQ612" s="117"/>
      <c r="QR612" s="117"/>
      <c r="QS612" s="117"/>
      <c r="QT612" s="117"/>
      <c r="QU612" s="117"/>
      <c r="QV612" s="117"/>
      <c r="QW612" s="117"/>
      <c r="QX612" s="117"/>
      <c r="QY612" s="117"/>
      <c r="QZ612" s="117"/>
      <c r="RA612" s="117"/>
      <c r="RB612" s="117"/>
      <c r="RC612" s="117"/>
      <c r="RD612" s="117"/>
      <c r="RE612" s="117"/>
      <c r="RF612" s="117"/>
      <c r="RG612" s="117"/>
      <c r="RH612" s="117"/>
      <c r="RI612" s="117"/>
      <c r="RJ612" s="117"/>
      <c r="RK612" s="117"/>
      <c r="RL612" s="117"/>
      <c r="RM612" s="117"/>
      <c r="RN612" s="117"/>
      <c r="RO612" s="117"/>
      <c r="RP612" s="117"/>
      <c r="RQ612" s="117"/>
      <c r="RR612" s="117"/>
      <c r="RS612" s="117"/>
      <c r="RT612" s="117"/>
      <c r="RU612" s="117"/>
      <c r="RV612" s="117"/>
      <c r="RW612" s="117"/>
      <c r="RX612" s="117"/>
      <c r="RY612" s="117"/>
      <c r="RZ612" s="117"/>
      <c r="SA612" s="117"/>
      <c r="SB612" s="117"/>
      <c r="SC612" s="117"/>
      <c r="SD612" s="117"/>
      <c r="SE612" s="117"/>
      <c r="SF612" s="117"/>
      <c r="SG612" s="117"/>
      <c r="SH612" s="117"/>
      <c r="SI612" s="117"/>
      <c r="SJ612" s="117"/>
      <c r="SK612" s="117"/>
      <c r="SL612" s="117"/>
      <c r="SM612" s="117"/>
      <c r="SN612" s="117"/>
      <c r="SO612" s="117"/>
      <c r="SP612" s="117"/>
      <c r="SQ612" s="117"/>
      <c r="SR612" s="117"/>
      <c r="SS612" s="117"/>
      <c r="ST612" s="117"/>
      <c r="SU612" s="117"/>
      <c r="SV612" s="117"/>
      <c r="SW612" s="117"/>
      <c r="SX612" s="117"/>
      <c r="SY612" s="117"/>
      <c r="SZ612" s="117"/>
      <c r="TA612" s="117"/>
      <c r="TB612" s="117"/>
      <c r="TC612" s="117"/>
      <c r="TD612" s="117"/>
      <c r="TE612" s="117"/>
      <c r="TF612" s="117"/>
      <c r="TG612" s="117"/>
      <c r="TH612" s="117"/>
      <c r="TI612" s="117"/>
      <c r="TJ612" s="117"/>
      <c r="TK612" s="117"/>
      <c r="TL612" s="117"/>
      <c r="TM612" s="117"/>
      <c r="TN612" s="117"/>
      <c r="TO612" s="117"/>
      <c r="TP612" s="117"/>
      <c r="TQ612" s="117"/>
      <c r="TR612" s="117"/>
      <c r="TS612" s="117"/>
      <c r="TT612" s="117"/>
      <c r="TU612" s="117"/>
      <c r="TV612" s="117"/>
      <c r="TW612" s="117"/>
      <c r="TX612" s="117"/>
      <c r="TY612" s="117"/>
      <c r="TZ612" s="117"/>
      <c r="UA612" s="117"/>
      <c r="UB612" s="117"/>
      <c r="UC612" s="117"/>
      <c r="UD612" s="117"/>
      <c r="UE612" s="117"/>
      <c r="UF612" s="117"/>
      <c r="UG612" s="126"/>
    </row>
    <row r="613" spans="1:553" ht="77.25" customHeight="1">
      <c r="A613" s="356" t="s">
        <v>15</v>
      </c>
      <c r="B613" s="385">
        <v>148</v>
      </c>
      <c r="C613" s="1403" t="s">
        <v>926</v>
      </c>
      <c r="D613" s="1389"/>
      <c r="E613" s="1389"/>
      <c r="F613" s="1390"/>
      <c r="G613" s="386" t="s">
        <v>935</v>
      </c>
      <c r="H613" s="370"/>
      <c r="I613" s="834">
        <f>3.5*3.1</f>
        <v>10.85</v>
      </c>
      <c r="J613" s="368">
        <v>1000000</v>
      </c>
      <c r="K613" s="371"/>
      <c r="L613" s="487">
        <f t="shared" si="101"/>
        <v>10850000</v>
      </c>
      <c r="M613" s="395"/>
      <c r="N613" s="395"/>
      <c r="O613" s="366"/>
      <c r="P613" s="396"/>
      <c r="Q613" s="473"/>
      <c r="R613" s="1039"/>
      <c r="S613" s="308"/>
      <c r="T613" s="308"/>
      <c r="U613" s="308"/>
      <c r="V613" s="308"/>
      <c r="W613" s="308"/>
      <c r="X613" s="308"/>
      <c r="Y613" s="308"/>
      <c r="Z613" s="604"/>
      <c r="AA613" s="308"/>
      <c r="AB613" s="308"/>
      <c r="AC613" s="449"/>
      <c r="AD613" s="449"/>
      <c r="AE613" s="449"/>
      <c r="AF613" s="449"/>
      <c r="AG613" s="452"/>
      <c r="AH613" s="452"/>
      <c r="AI613" s="452"/>
      <c r="AJ613" s="452"/>
      <c r="AK613" s="452"/>
      <c r="AL613" s="104"/>
      <c r="AM613" s="32"/>
      <c r="AN613" s="32"/>
      <c r="AO613" s="32"/>
      <c r="AP613" s="32"/>
      <c r="AQ613" s="31"/>
      <c r="AR613" s="31"/>
      <c r="AS613" s="31"/>
      <c r="AT613" s="31"/>
      <c r="AU613" s="31"/>
      <c r="AV613" s="31"/>
      <c r="AW613" s="31"/>
      <c r="AX613" s="31"/>
      <c r="AY613" s="31"/>
      <c r="AZ613" s="31"/>
      <c r="BA613" s="31"/>
      <c r="BB613" s="31"/>
      <c r="BC613" s="31"/>
      <c r="BD613" s="31"/>
      <c r="BE613" s="31"/>
      <c r="BF613" s="31"/>
      <c r="BG613" s="31"/>
      <c r="BH613" s="31"/>
      <c r="BI613" s="31"/>
      <c r="BJ613" s="31"/>
      <c r="BK613" s="31"/>
      <c r="BL613" s="31"/>
      <c r="BM613" s="25"/>
      <c r="BN613" s="25"/>
      <c r="BO613" s="25"/>
      <c r="BP613" s="25"/>
      <c r="BQ613" s="25"/>
      <c r="BR613" s="25"/>
      <c r="BS613" s="25"/>
      <c r="BT613" s="25"/>
      <c r="BU613" s="25"/>
      <c r="BV613" s="25"/>
      <c r="BW613" s="25"/>
      <c r="BX613" s="25"/>
      <c r="BY613" s="25"/>
      <c r="BZ613" s="25"/>
      <c r="CA613" s="25"/>
      <c r="CB613" s="25"/>
      <c r="CC613" s="25"/>
      <c r="CD613" s="25"/>
      <c r="CE613" s="25"/>
      <c r="CF613" s="25"/>
      <c r="CG613" s="25"/>
      <c r="CH613" s="25"/>
      <c r="CI613" s="25"/>
      <c r="CJ613" s="25"/>
      <c r="CK613" s="25"/>
      <c r="CL613" s="25"/>
      <c r="CM613" s="25"/>
      <c r="CN613" s="25"/>
      <c r="CO613" s="25"/>
      <c r="CP613" s="25"/>
      <c r="CQ613" s="25"/>
      <c r="CR613" s="25"/>
      <c r="CS613" s="25"/>
      <c r="CT613" s="25"/>
      <c r="CU613" s="25"/>
      <c r="CV613" s="25"/>
      <c r="CW613" s="25"/>
      <c r="CX613" s="25"/>
      <c r="CY613" s="25"/>
      <c r="CZ613" s="25"/>
      <c r="DA613" s="25"/>
      <c r="DB613" s="25"/>
      <c r="DC613" s="25"/>
      <c r="DD613" s="25"/>
      <c r="DE613" s="25"/>
      <c r="DF613" s="25"/>
      <c r="DG613" s="25"/>
      <c r="DH613" s="25"/>
      <c r="DI613" s="25"/>
      <c r="DJ613" s="25"/>
      <c r="DK613" s="25"/>
      <c r="DL613" s="25"/>
      <c r="DM613" s="25"/>
      <c r="DN613" s="25"/>
      <c r="DO613" s="25"/>
      <c r="DP613" s="25"/>
      <c r="DQ613" s="25"/>
      <c r="DR613" s="25"/>
      <c r="DS613" s="25"/>
      <c r="DT613" s="25"/>
      <c r="DU613" s="25"/>
      <c r="DV613" s="25"/>
      <c r="DW613" s="25"/>
      <c r="DX613" s="25"/>
      <c r="DY613" s="25"/>
      <c r="DZ613" s="25"/>
      <c r="EA613" s="25"/>
      <c r="EB613" s="25"/>
      <c r="EC613" s="25"/>
      <c r="ED613" s="25"/>
      <c r="EE613" s="25"/>
      <c r="EF613" s="25"/>
      <c r="EG613" s="25"/>
      <c r="EH613" s="25"/>
      <c r="EI613" s="25"/>
      <c r="EJ613" s="25"/>
      <c r="EK613" s="25"/>
      <c r="EL613" s="25"/>
      <c r="EM613" s="25"/>
      <c r="EN613" s="25"/>
      <c r="EO613" s="25"/>
      <c r="EP613" s="25"/>
      <c r="EQ613" s="25"/>
      <c r="ER613" s="25"/>
      <c r="ES613" s="25"/>
      <c r="ET613" s="25"/>
      <c r="EU613" s="25"/>
      <c r="EV613" s="25"/>
      <c r="EW613" s="25"/>
      <c r="EX613" s="25"/>
      <c r="EY613" s="25"/>
      <c r="EZ613" s="25"/>
      <c r="FA613" s="25"/>
      <c r="FB613" s="25"/>
      <c r="FC613" s="25"/>
      <c r="FD613" s="25"/>
      <c r="FE613" s="25"/>
      <c r="FF613" s="25"/>
      <c r="FG613" s="25"/>
      <c r="FH613" s="25"/>
      <c r="FI613" s="25"/>
      <c r="FJ613" s="25"/>
      <c r="FK613" s="25"/>
      <c r="FL613" s="25"/>
      <c r="FM613" s="25"/>
      <c r="FN613" s="25"/>
      <c r="FO613" s="25"/>
      <c r="FP613" s="25"/>
      <c r="FQ613" s="25"/>
      <c r="FR613" s="25"/>
      <c r="FS613" s="25"/>
      <c r="FT613" s="25"/>
      <c r="FU613" s="25"/>
      <c r="FV613" s="25"/>
      <c r="FW613" s="25"/>
      <c r="FX613" s="25"/>
      <c r="FY613" s="25"/>
      <c r="FZ613" s="25"/>
      <c r="GA613" s="25"/>
      <c r="GB613" s="25"/>
      <c r="GC613" s="25"/>
      <c r="GD613" s="25"/>
      <c r="GE613" s="25"/>
      <c r="GF613" s="25"/>
      <c r="GG613" s="25"/>
      <c r="GH613" s="25"/>
      <c r="GI613" s="25"/>
      <c r="GJ613" s="25"/>
      <c r="GK613" s="25"/>
      <c r="GL613" s="25"/>
      <c r="GM613" s="25"/>
      <c r="GN613" s="25"/>
      <c r="GO613" s="25"/>
      <c r="GP613" s="25"/>
      <c r="GQ613" s="25"/>
      <c r="GR613" s="25"/>
      <c r="GS613" s="25"/>
      <c r="GT613" s="25"/>
      <c r="GU613" s="25"/>
      <c r="GV613" s="25"/>
      <c r="GW613" s="25"/>
      <c r="GX613" s="25"/>
      <c r="GY613" s="25"/>
      <c r="GZ613" s="25"/>
      <c r="HA613" s="25"/>
      <c r="HB613" s="25"/>
      <c r="HC613" s="25"/>
      <c r="HD613" s="25"/>
      <c r="HE613" s="25"/>
      <c r="HF613" s="25"/>
      <c r="HG613" s="25"/>
      <c r="HH613" s="25"/>
      <c r="HI613" s="25"/>
      <c r="HJ613" s="25"/>
      <c r="HK613" s="25"/>
      <c r="HL613" s="25"/>
      <c r="HM613" s="25"/>
      <c r="HN613" s="25"/>
      <c r="HO613" s="25"/>
      <c r="HP613" s="25"/>
      <c r="HQ613" s="25"/>
      <c r="HR613" s="25"/>
      <c r="HS613" s="25"/>
      <c r="HT613" s="25"/>
      <c r="HU613" s="25"/>
      <c r="HV613" s="25"/>
      <c r="HW613" s="25"/>
      <c r="HX613" s="25"/>
      <c r="HY613" s="25"/>
      <c r="HZ613" s="25"/>
      <c r="IA613" s="25"/>
      <c r="IB613" s="25"/>
      <c r="IC613" s="25"/>
      <c r="ID613" s="25"/>
      <c r="IE613" s="25"/>
      <c r="IF613" s="25"/>
      <c r="IG613" s="25"/>
      <c r="IH613" s="25"/>
      <c r="II613" s="25"/>
      <c r="IJ613" s="25"/>
      <c r="IK613" s="25"/>
      <c r="IL613" s="25"/>
      <c r="IM613" s="25"/>
      <c r="IN613" s="25"/>
      <c r="IO613" s="25"/>
      <c r="IP613" s="25"/>
      <c r="IQ613" s="25"/>
      <c r="IR613" s="25"/>
      <c r="IS613" s="25"/>
      <c r="IT613" s="25"/>
      <c r="IU613" s="25"/>
      <c r="IV613" s="25"/>
      <c r="IW613" s="25"/>
      <c r="IX613" s="25"/>
      <c r="IY613" s="25"/>
      <c r="IZ613" s="25"/>
      <c r="JA613" s="25"/>
      <c r="JB613" s="25"/>
      <c r="JC613" s="25"/>
      <c r="JD613" s="25"/>
      <c r="JE613" s="25"/>
      <c r="JF613" s="25"/>
      <c r="JG613" s="25"/>
      <c r="JH613" s="25"/>
      <c r="JI613" s="25"/>
      <c r="JJ613" s="25"/>
      <c r="JK613" s="25"/>
      <c r="JL613" s="25"/>
      <c r="JM613" s="25"/>
      <c r="JN613" s="25"/>
      <c r="JO613" s="25"/>
      <c r="JP613" s="25"/>
      <c r="JQ613" s="25"/>
      <c r="JR613" s="25"/>
      <c r="JS613" s="25"/>
      <c r="JT613" s="25"/>
      <c r="JU613" s="25"/>
      <c r="JV613" s="25"/>
      <c r="JW613" s="25"/>
      <c r="JX613" s="25"/>
      <c r="JY613" s="25"/>
      <c r="JZ613" s="25"/>
      <c r="KA613" s="25"/>
      <c r="KB613" s="25"/>
      <c r="KC613" s="25"/>
      <c r="KD613" s="25"/>
      <c r="KE613" s="25"/>
      <c r="KF613" s="25"/>
      <c r="KG613" s="25"/>
      <c r="KH613" s="25"/>
      <c r="KI613" s="25"/>
      <c r="KJ613" s="25"/>
      <c r="KK613" s="25"/>
      <c r="KL613" s="25"/>
      <c r="KM613" s="25"/>
      <c r="KN613" s="25"/>
      <c r="KO613" s="25"/>
      <c r="KP613" s="25"/>
      <c r="KQ613" s="25"/>
      <c r="KR613" s="25"/>
      <c r="KS613" s="25"/>
      <c r="KT613" s="25"/>
      <c r="KU613" s="25"/>
      <c r="KV613" s="25"/>
      <c r="KW613" s="25"/>
      <c r="KX613" s="25"/>
      <c r="KY613" s="25"/>
      <c r="KZ613" s="25"/>
      <c r="LA613" s="25"/>
      <c r="LB613" s="25"/>
      <c r="LC613" s="25"/>
      <c r="LD613" s="25"/>
      <c r="LE613" s="25"/>
      <c r="LF613" s="25"/>
      <c r="LG613" s="25"/>
      <c r="LH613" s="25"/>
      <c r="LI613" s="25"/>
      <c r="LJ613" s="25"/>
      <c r="LK613" s="25"/>
      <c r="LL613" s="25"/>
      <c r="LM613" s="25"/>
      <c r="LN613" s="25"/>
      <c r="LO613" s="25"/>
      <c r="LP613" s="25"/>
      <c r="LQ613" s="25"/>
      <c r="LR613" s="25"/>
      <c r="LS613" s="25"/>
      <c r="LT613" s="25"/>
      <c r="LU613" s="25"/>
      <c r="LV613" s="25"/>
      <c r="LW613" s="25"/>
      <c r="LX613" s="25"/>
      <c r="LY613" s="25"/>
      <c r="LZ613" s="25"/>
      <c r="MA613" s="25"/>
      <c r="MB613" s="25"/>
      <c r="MC613" s="25"/>
      <c r="MD613" s="25"/>
      <c r="ME613" s="25"/>
      <c r="MF613" s="25"/>
      <c r="MG613" s="25"/>
      <c r="MH613" s="25"/>
      <c r="MI613" s="25"/>
      <c r="MJ613" s="25"/>
      <c r="MK613" s="25"/>
      <c r="ML613" s="25"/>
      <c r="MM613" s="25"/>
      <c r="MN613" s="25"/>
      <c r="MO613" s="25"/>
      <c r="MP613" s="25"/>
      <c r="MQ613" s="25"/>
      <c r="MR613" s="25"/>
      <c r="MS613" s="25"/>
      <c r="MT613" s="25"/>
      <c r="MU613" s="25"/>
      <c r="MV613" s="25"/>
      <c r="MW613" s="25"/>
      <c r="MX613" s="25"/>
      <c r="MY613" s="25"/>
      <c r="MZ613" s="25"/>
      <c r="NA613" s="25"/>
      <c r="NB613" s="25"/>
      <c r="NC613" s="25"/>
      <c r="ND613" s="25"/>
      <c r="NE613" s="25"/>
      <c r="NF613" s="25"/>
      <c r="NG613" s="25"/>
      <c r="NH613" s="25"/>
      <c r="NI613" s="25"/>
      <c r="NJ613" s="25"/>
      <c r="NK613" s="25"/>
      <c r="NL613" s="25"/>
      <c r="NM613" s="25"/>
      <c r="NN613" s="25"/>
      <c r="NO613" s="25"/>
      <c r="NP613" s="25"/>
      <c r="NQ613" s="25"/>
      <c r="NR613" s="25"/>
      <c r="NS613" s="25"/>
      <c r="NT613" s="25"/>
      <c r="NU613" s="25"/>
      <c r="NV613" s="25"/>
      <c r="NW613" s="25"/>
      <c r="NX613" s="25"/>
      <c r="NY613" s="25"/>
      <c r="NZ613" s="25"/>
      <c r="OA613" s="25"/>
      <c r="OB613" s="25"/>
      <c r="OC613" s="25"/>
      <c r="OD613" s="25"/>
      <c r="OE613" s="25"/>
      <c r="OF613" s="25"/>
      <c r="OG613" s="25"/>
      <c r="OH613" s="25"/>
      <c r="OI613" s="25"/>
      <c r="OJ613" s="25"/>
      <c r="OK613" s="25"/>
      <c r="OL613" s="25"/>
      <c r="OM613" s="25"/>
      <c r="ON613" s="25"/>
      <c r="OO613" s="25"/>
      <c r="OP613" s="25"/>
      <c r="OQ613" s="25"/>
      <c r="OR613" s="25"/>
      <c r="OS613" s="25"/>
      <c r="OT613" s="25"/>
      <c r="OU613" s="25"/>
      <c r="OV613" s="25"/>
      <c r="OW613" s="25"/>
      <c r="OX613" s="25"/>
      <c r="OY613" s="25"/>
      <c r="OZ613" s="25"/>
      <c r="PA613" s="25"/>
      <c r="PB613" s="25"/>
      <c r="PC613" s="25"/>
      <c r="PD613" s="25"/>
      <c r="PE613" s="25"/>
      <c r="PF613" s="25"/>
      <c r="PG613" s="25"/>
      <c r="PH613" s="25"/>
      <c r="PI613" s="25"/>
      <c r="PJ613" s="25"/>
      <c r="PK613" s="25"/>
      <c r="PL613" s="25"/>
      <c r="PM613" s="25"/>
      <c r="PN613" s="25"/>
      <c r="PO613" s="25"/>
      <c r="PP613" s="25"/>
      <c r="PQ613" s="25"/>
      <c r="PR613" s="25"/>
      <c r="PS613" s="25"/>
      <c r="PT613" s="25"/>
      <c r="PU613" s="25"/>
      <c r="PV613" s="25"/>
      <c r="PW613" s="25"/>
      <c r="PX613" s="25"/>
      <c r="PY613" s="25"/>
      <c r="PZ613" s="25"/>
      <c r="QA613" s="25"/>
      <c r="QB613" s="25"/>
      <c r="QC613" s="25"/>
      <c r="QD613" s="25"/>
      <c r="QE613" s="25"/>
      <c r="QF613" s="25"/>
      <c r="QG613" s="25"/>
      <c r="QH613" s="25"/>
      <c r="QI613" s="25"/>
      <c r="QJ613" s="25"/>
      <c r="QK613" s="25"/>
      <c r="QL613" s="25"/>
      <c r="QM613" s="25"/>
      <c r="QN613" s="25"/>
      <c r="QO613" s="25"/>
      <c r="QP613" s="25"/>
      <c r="QQ613" s="25"/>
      <c r="QR613" s="25"/>
      <c r="QS613" s="25"/>
      <c r="QT613" s="25"/>
      <c r="QU613" s="25"/>
      <c r="QV613" s="25"/>
      <c r="QW613" s="25"/>
      <c r="QX613" s="25"/>
      <c r="QY613" s="25"/>
      <c r="QZ613" s="25"/>
      <c r="RA613" s="25"/>
      <c r="RB613" s="25"/>
      <c r="RC613" s="25"/>
      <c r="RD613" s="25"/>
      <c r="RE613" s="25"/>
      <c r="RF613" s="25"/>
      <c r="RG613" s="25"/>
      <c r="RH613" s="25"/>
      <c r="RI613" s="25"/>
      <c r="RJ613" s="25"/>
      <c r="RK613" s="25"/>
      <c r="RL613" s="25"/>
      <c r="RM613" s="25"/>
      <c r="RN613" s="25"/>
      <c r="RO613" s="25"/>
      <c r="RP613" s="25"/>
      <c r="RQ613" s="25"/>
      <c r="RR613" s="25"/>
      <c r="RS613" s="25"/>
      <c r="RT613" s="25"/>
      <c r="RU613" s="25"/>
      <c r="RV613" s="25"/>
      <c r="RW613" s="25"/>
      <c r="RX613" s="25"/>
      <c r="RY613" s="25"/>
      <c r="RZ613" s="25"/>
      <c r="SA613" s="25"/>
      <c r="SB613" s="25"/>
      <c r="SC613" s="25"/>
      <c r="SD613" s="25"/>
      <c r="SE613" s="25"/>
      <c r="SF613" s="25"/>
      <c r="SG613" s="25"/>
      <c r="SH613" s="25"/>
      <c r="SI613" s="25"/>
      <c r="SJ613" s="25"/>
      <c r="SK613" s="25"/>
      <c r="SL613" s="25"/>
      <c r="SM613" s="25"/>
      <c r="SN613" s="25"/>
      <c r="SO613" s="25"/>
      <c r="SP613" s="25"/>
      <c r="SQ613" s="25"/>
      <c r="SR613" s="25"/>
      <c r="SS613" s="25"/>
      <c r="ST613" s="25"/>
      <c r="SU613" s="25"/>
      <c r="SV613" s="25"/>
      <c r="SW613" s="25"/>
      <c r="SX613" s="25"/>
      <c r="SY613" s="25"/>
      <c r="SZ613" s="25"/>
      <c r="TA613" s="25"/>
      <c r="TB613" s="25"/>
      <c r="TC613" s="25"/>
      <c r="TD613" s="25"/>
      <c r="TE613" s="25"/>
      <c r="TF613" s="25"/>
      <c r="TG613" s="25"/>
      <c r="TH613" s="25"/>
      <c r="TI613" s="25"/>
      <c r="TJ613" s="25"/>
      <c r="TK613" s="25"/>
      <c r="TL613" s="25"/>
      <c r="TM613" s="25"/>
      <c r="TN613" s="25"/>
      <c r="TO613" s="25"/>
      <c r="TP613" s="25"/>
      <c r="TQ613" s="25"/>
      <c r="TR613" s="25"/>
      <c r="TS613" s="25"/>
      <c r="TT613" s="25"/>
      <c r="TU613" s="25"/>
      <c r="TV613" s="25"/>
      <c r="TW613" s="25"/>
      <c r="TX613" s="25"/>
      <c r="TY613" s="25"/>
      <c r="TZ613" s="25"/>
      <c r="UA613" s="25"/>
      <c r="UB613" s="25"/>
      <c r="UC613" s="25"/>
      <c r="UD613" s="25"/>
      <c r="UE613" s="25"/>
      <c r="UF613" s="25"/>
      <c r="UG613" s="26"/>
    </row>
    <row r="614" spans="1:553" ht="77.25" customHeight="1">
      <c r="A614" s="356" t="s">
        <v>15</v>
      </c>
      <c r="B614" s="385">
        <v>19</v>
      </c>
      <c r="C614" s="1403" t="s">
        <v>927</v>
      </c>
      <c r="D614" s="1389"/>
      <c r="E614" s="1389"/>
      <c r="F614" s="1390"/>
      <c r="G614" s="386" t="s">
        <v>935</v>
      </c>
      <c r="H614" s="370"/>
      <c r="I614" s="834">
        <f>11*1.5</f>
        <v>16.5</v>
      </c>
      <c r="J614" s="368">
        <v>224200</v>
      </c>
      <c r="K614" s="371"/>
      <c r="L614" s="487">
        <f t="shared" si="101"/>
        <v>3699300</v>
      </c>
      <c r="M614" s="395"/>
      <c r="N614" s="395"/>
      <c r="O614" s="366"/>
      <c r="P614" s="396"/>
      <c r="Q614" s="473"/>
      <c r="R614" s="1039"/>
      <c r="S614" s="308"/>
      <c r="T614" s="308"/>
      <c r="U614" s="308"/>
      <c r="V614" s="308"/>
      <c r="W614" s="308"/>
      <c r="X614" s="308"/>
      <c r="Y614" s="308"/>
      <c r="Z614" s="604"/>
      <c r="AA614" s="308"/>
      <c r="AB614" s="308"/>
      <c r="AC614" s="449"/>
      <c r="AD614" s="449"/>
      <c r="AE614" s="449"/>
      <c r="AF614" s="449"/>
      <c r="AG614" s="452"/>
      <c r="AH614" s="452"/>
      <c r="AI614" s="452"/>
      <c r="AJ614" s="452"/>
      <c r="AK614" s="452"/>
      <c r="AL614" s="104"/>
      <c r="AM614" s="32"/>
      <c r="AN614" s="32"/>
      <c r="AO614" s="32"/>
      <c r="AP614" s="32"/>
      <c r="AQ614" s="31"/>
      <c r="AR614" s="31"/>
      <c r="AS614" s="31"/>
      <c r="AT614" s="31"/>
      <c r="AU614" s="31"/>
      <c r="AV614" s="31"/>
      <c r="AW614" s="31"/>
      <c r="AX614" s="31"/>
      <c r="AY614" s="31"/>
      <c r="AZ614" s="31"/>
      <c r="BA614" s="31"/>
      <c r="BB614" s="31"/>
      <c r="BC614" s="31"/>
      <c r="BD614" s="31"/>
      <c r="BE614" s="31"/>
      <c r="BF614" s="31"/>
      <c r="BG614" s="31"/>
      <c r="BH614" s="31"/>
      <c r="BI614" s="31"/>
      <c r="BJ614" s="31"/>
      <c r="BK614" s="31"/>
      <c r="BL614" s="31"/>
      <c r="BM614" s="25"/>
      <c r="BN614" s="25"/>
      <c r="BO614" s="25"/>
      <c r="BP614" s="25"/>
      <c r="BQ614" s="25"/>
      <c r="BR614" s="25"/>
      <c r="BS614" s="25"/>
      <c r="BT614" s="25"/>
      <c r="BU614" s="25"/>
      <c r="BV614" s="25"/>
      <c r="BW614" s="25"/>
      <c r="BX614" s="25"/>
      <c r="BY614" s="25"/>
      <c r="BZ614" s="25"/>
      <c r="CA614" s="25"/>
      <c r="CB614" s="25"/>
      <c r="CC614" s="25"/>
      <c r="CD614" s="25"/>
      <c r="CE614" s="25"/>
      <c r="CF614" s="25"/>
      <c r="CG614" s="25"/>
      <c r="CH614" s="25"/>
      <c r="CI614" s="25"/>
      <c r="CJ614" s="25"/>
      <c r="CK614" s="25"/>
      <c r="CL614" s="25"/>
      <c r="CM614" s="25"/>
      <c r="CN614" s="25"/>
      <c r="CO614" s="25"/>
      <c r="CP614" s="25"/>
      <c r="CQ614" s="25"/>
      <c r="CR614" s="25"/>
      <c r="CS614" s="25"/>
      <c r="CT614" s="25"/>
      <c r="CU614" s="25"/>
      <c r="CV614" s="25"/>
      <c r="CW614" s="25"/>
      <c r="CX614" s="25"/>
      <c r="CY614" s="25"/>
      <c r="CZ614" s="25"/>
      <c r="DA614" s="25"/>
      <c r="DB614" s="25"/>
      <c r="DC614" s="25"/>
      <c r="DD614" s="25"/>
      <c r="DE614" s="25"/>
      <c r="DF614" s="25"/>
      <c r="DG614" s="25"/>
      <c r="DH614" s="25"/>
      <c r="DI614" s="25"/>
      <c r="DJ614" s="25"/>
      <c r="DK614" s="25"/>
      <c r="DL614" s="25"/>
      <c r="DM614" s="25"/>
      <c r="DN614" s="25"/>
      <c r="DO614" s="25"/>
      <c r="DP614" s="25"/>
      <c r="DQ614" s="25"/>
      <c r="DR614" s="25"/>
      <c r="DS614" s="25"/>
      <c r="DT614" s="25"/>
      <c r="DU614" s="25"/>
      <c r="DV614" s="25"/>
      <c r="DW614" s="25"/>
      <c r="DX614" s="25"/>
      <c r="DY614" s="25"/>
      <c r="DZ614" s="25"/>
      <c r="EA614" s="25"/>
      <c r="EB614" s="25"/>
      <c r="EC614" s="25"/>
      <c r="ED614" s="25"/>
      <c r="EE614" s="25"/>
      <c r="EF614" s="25"/>
      <c r="EG614" s="25"/>
      <c r="EH614" s="25"/>
      <c r="EI614" s="25"/>
      <c r="EJ614" s="25"/>
      <c r="EK614" s="25"/>
      <c r="EL614" s="25"/>
      <c r="EM614" s="25"/>
      <c r="EN614" s="25"/>
      <c r="EO614" s="25"/>
      <c r="EP614" s="25"/>
      <c r="EQ614" s="25"/>
      <c r="ER614" s="25"/>
      <c r="ES614" s="25"/>
      <c r="ET614" s="25"/>
      <c r="EU614" s="25"/>
      <c r="EV614" s="25"/>
      <c r="EW614" s="25"/>
      <c r="EX614" s="25"/>
      <c r="EY614" s="25"/>
      <c r="EZ614" s="25"/>
      <c r="FA614" s="25"/>
      <c r="FB614" s="25"/>
      <c r="FC614" s="25"/>
      <c r="FD614" s="25"/>
      <c r="FE614" s="25"/>
      <c r="FF614" s="25"/>
      <c r="FG614" s="25"/>
      <c r="FH614" s="25"/>
      <c r="FI614" s="25"/>
      <c r="FJ614" s="25"/>
      <c r="FK614" s="25"/>
      <c r="FL614" s="25"/>
      <c r="FM614" s="25"/>
      <c r="FN614" s="25"/>
      <c r="FO614" s="25"/>
      <c r="FP614" s="25"/>
      <c r="FQ614" s="25"/>
      <c r="FR614" s="25"/>
      <c r="FS614" s="25"/>
      <c r="FT614" s="25"/>
      <c r="FU614" s="25"/>
      <c r="FV614" s="25"/>
      <c r="FW614" s="25"/>
      <c r="FX614" s="25"/>
      <c r="FY614" s="25"/>
      <c r="FZ614" s="25"/>
      <c r="GA614" s="25"/>
      <c r="GB614" s="25"/>
      <c r="GC614" s="25"/>
      <c r="GD614" s="25"/>
      <c r="GE614" s="25"/>
      <c r="GF614" s="25"/>
      <c r="GG614" s="25"/>
      <c r="GH614" s="25"/>
      <c r="GI614" s="25"/>
      <c r="GJ614" s="25"/>
      <c r="GK614" s="25"/>
      <c r="GL614" s="25"/>
      <c r="GM614" s="25"/>
      <c r="GN614" s="25"/>
      <c r="GO614" s="25"/>
      <c r="GP614" s="25"/>
      <c r="GQ614" s="25"/>
      <c r="GR614" s="25"/>
      <c r="GS614" s="25"/>
      <c r="GT614" s="25"/>
      <c r="GU614" s="25"/>
      <c r="GV614" s="25"/>
      <c r="GW614" s="25"/>
      <c r="GX614" s="25"/>
      <c r="GY614" s="25"/>
      <c r="GZ614" s="25"/>
      <c r="HA614" s="25"/>
      <c r="HB614" s="25"/>
      <c r="HC614" s="25"/>
      <c r="HD614" s="25"/>
      <c r="HE614" s="25"/>
      <c r="HF614" s="25"/>
      <c r="HG614" s="25"/>
      <c r="HH614" s="25"/>
      <c r="HI614" s="25"/>
      <c r="HJ614" s="25"/>
      <c r="HK614" s="25"/>
      <c r="HL614" s="25"/>
      <c r="HM614" s="25"/>
      <c r="HN614" s="25"/>
      <c r="HO614" s="25"/>
      <c r="HP614" s="25"/>
      <c r="HQ614" s="25"/>
      <c r="HR614" s="25"/>
      <c r="HS614" s="25"/>
      <c r="HT614" s="25"/>
      <c r="HU614" s="25"/>
      <c r="HV614" s="25"/>
      <c r="HW614" s="25"/>
      <c r="HX614" s="25"/>
      <c r="HY614" s="25"/>
      <c r="HZ614" s="25"/>
      <c r="IA614" s="25"/>
      <c r="IB614" s="25"/>
      <c r="IC614" s="25"/>
      <c r="ID614" s="25"/>
      <c r="IE614" s="25"/>
      <c r="IF614" s="25"/>
      <c r="IG614" s="25"/>
      <c r="IH614" s="25"/>
      <c r="II614" s="25"/>
      <c r="IJ614" s="25"/>
      <c r="IK614" s="25"/>
      <c r="IL614" s="25"/>
      <c r="IM614" s="25"/>
      <c r="IN614" s="25"/>
      <c r="IO614" s="25"/>
      <c r="IP614" s="25"/>
      <c r="IQ614" s="25"/>
      <c r="IR614" s="25"/>
      <c r="IS614" s="25"/>
      <c r="IT614" s="25"/>
      <c r="IU614" s="25"/>
      <c r="IV614" s="25"/>
      <c r="IW614" s="25"/>
      <c r="IX614" s="25"/>
      <c r="IY614" s="25"/>
      <c r="IZ614" s="25"/>
      <c r="JA614" s="25"/>
      <c r="JB614" s="25"/>
      <c r="JC614" s="25"/>
      <c r="JD614" s="25"/>
      <c r="JE614" s="25"/>
      <c r="JF614" s="25"/>
      <c r="JG614" s="25"/>
      <c r="JH614" s="25"/>
      <c r="JI614" s="25"/>
      <c r="JJ614" s="25"/>
      <c r="JK614" s="25"/>
      <c r="JL614" s="25"/>
      <c r="JM614" s="25"/>
      <c r="JN614" s="25"/>
      <c r="JO614" s="25"/>
      <c r="JP614" s="25"/>
      <c r="JQ614" s="25"/>
      <c r="JR614" s="25"/>
      <c r="JS614" s="25"/>
      <c r="JT614" s="25"/>
      <c r="JU614" s="25"/>
      <c r="JV614" s="25"/>
      <c r="JW614" s="25"/>
      <c r="JX614" s="25"/>
      <c r="JY614" s="25"/>
      <c r="JZ614" s="25"/>
      <c r="KA614" s="25"/>
      <c r="KB614" s="25"/>
      <c r="KC614" s="25"/>
      <c r="KD614" s="25"/>
      <c r="KE614" s="25"/>
      <c r="KF614" s="25"/>
      <c r="KG614" s="25"/>
      <c r="KH614" s="25"/>
      <c r="KI614" s="25"/>
      <c r="KJ614" s="25"/>
      <c r="KK614" s="25"/>
      <c r="KL614" s="25"/>
      <c r="KM614" s="25"/>
      <c r="KN614" s="25"/>
      <c r="KO614" s="25"/>
      <c r="KP614" s="25"/>
      <c r="KQ614" s="25"/>
      <c r="KR614" s="25"/>
      <c r="KS614" s="25"/>
      <c r="KT614" s="25"/>
      <c r="KU614" s="25"/>
      <c r="KV614" s="25"/>
      <c r="KW614" s="25"/>
      <c r="KX614" s="25"/>
      <c r="KY614" s="25"/>
      <c r="KZ614" s="25"/>
      <c r="LA614" s="25"/>
      <c r="LB614" s="25"/>
      <c r="LC614" s="25"/>
      <c r="LD614" s="25"/>
      <c r="LE614" s="25"/>
      <c r="LF614" s="25"/>
      <c r="LG614" s="25"/>
      <c r="LH614" s="25"/>
      <c r="LI614" s="25"/>
      <c r="LJ614" s="25"/>
      <c r="LK614" s="25"/>
      <c r="LL614" s="25"/>
      <c r="LM614" s="25"/>
      <c r="LN614" s="25"/>
      <c r="LO614" s="25"/>
      <c r="LP614" s="25"/>
      <c r="LQ614" s="25"/>
      <c r="LR614" s="25"/>
      <c r="LS614" s="25"/>
      <c r="LT614" s="25"/>
      <c r="LU614" s="25"/>
      <c r="LV614" s="25"/>
      <c r="LW614" s="25"/>
      <c r="LX614" s="25"/>
      <c r="LY614" s="25"/>
      <c r="LZ614" s="25"/>
      <c r="MA614" s="25"/>
      <c r="MB614" s="25"/>
      <c r="MC614" s="25"/>
      <c r="MD614" s="25"/>
      <c r="ME614" s="25"/>
      <c r="MF614" s="25"/>
      <c r="MG614" s="25"/>
      <c r="MH614" s="25"/>
      <c r="MI614" s="25"/>
      <c r="MJ614" s="25"/>
      <c r="MK614" s="25"/>
      <c r="ML614" s="25"/>
      <c r="MM614" s="25"/>
      <c r="MN614" s="25"/>
      <c r="MO614" s="25"/>
      <c r="MP614" s="25"/>
      <c r="MQ614" s="25"/>
      <c r="MR614" s="25"/>
      <c r="MS614" s="25"/>
      <c r="MT614" s="25"/>
      <c r="MU614" s="25"/>
      <c r="MV614" s="25"/>
      <c r="MW614" s="25"/>
      <c r="MX614" s="25"/>
      <c r="MY614" s="25"/>
      <c r="MZ614" s="25"/>
      <c r="NA614" s="25"/>
      <c r="NB614" s="25"/>
      <c r="NC614" s="25"/>
      <c r="ND614" s="25"/>
      <c r="NE614" s="25"/>
      <c r="NF614" s="25"/>
      <c r="NG614" s="25"/>
      <c r="NH614" s="25"/>
      <c r="NI614" s="25"/>
      <c r="NJ614" s="25"/>
      <c r="NK614" s="25"/>
      <c r="NL614" s="25"/>
      <c r="NM614" s="25"/>
      <c r="NN614" s="25"/>
      <c r="NO614" s="25"/>
      <c r="NP614" s="25"/>
      <c r="NQ614" s="25"/>
      <c r="NR614" s="25"/>
      <c r="NS614" s="25"/>
      <c r="NT614" s="25"/>
      <c r="NU614" s="25"/>
      <c r="NV614" s="25"/>
      <c r="NW614" s="25"/>
      <c r="NX614" s="25"/>
      <c r="NY614" s="25"/>
      <c r="NZ614" s="25"/>
      <c r="OA614" s="25"/>
      <c r="OB614" s="25"/>
      <c r="OC614" s="25"/>
      <c r="OD614" s="25"/>
      <c r="OE614" s="25"/>
      <c r="OF614" s="25"/>
      <c r="OG614" s="25"/>
      <c r="OH614" s="25"/>
      <c r="OI614" s="25"/>
      <c r="OJ614" s="25"/>
      <c r="OK614" s="25"/>
      <c r="OL614" s="25"/>
      <c r="OM614" s="25"/>
      <c r="ON614" s="25"/>
      <c r="OO614" s="25"/>
      <c r="OP614" s="25"/>
      <c r="OQ614" s="25"/>
      <c r="OR614" s="25"/>
      <c r="OS614" s="25"/>
      <c r="OT614" s="25"/>
      <c r="OU614" s="25"/>
      <c r="OV614" s="25"/>
      <c r="OW614" s="25"/>
      <c r="OX614" s="25"/>
      <c r="OY614" s="25"/>
      <c r="OZ614" s="25"/>
      <c r="PA614" s="25"/>
      <c r="PB614" s="25"/>
      <c r="PC614" s="25"/>
      <c r="PD614" s="25"/>
      <c r="PE614" s="25"/>
      <c r="PF614" s="25"/>
      <c r="PG614" s="25"/>
      <c r="PH614" s="25"/>
      <c r="PI614" s="25"/>
      <c r="PJ614" s="25"/>
      <c r="PK614" s="25"/>
      <c r="PL614" s="25"/>
      <c r="PM614" s="25"/>
      <c r="PN614" s="25"/>
      <c r="PO614" s="25"/>
      <c r="PP614" s="25"/>
      <c r="PQ614" s="25"/>
      <c r="PR614" s="25"/>
      <c r="PS614" s="25"/>
      <c r="PT614" s="25"/>
      <c r="PU614" s="25"/>
      <c r="PV614" s="25"/>
      <c r="PW614" s="25"/>
      <c r="PX614" s="25"/>
      <c r="PY614" s="25"/>
      <c r="PZ614" s="25"/>
      <c r="QA614" s="25"/>
      <c r="QB614" s="25"/>
      <c r="QC614" s="25"/>
      <c r="QD614" s="25"/>
      <c r="QE614" s="25"/>
      <c r="QF614" s="25"/>
      <c r="QG614" s="25"/>
      <c r="QH614" s="25"/>
      <c r="QI614" s="25"/>
      <c r="QJ614" s="25"/>
      <c r="QK614" s="25"/>
      <c r="QL614" s="25"/>
      <c r="QM614" s="25"/>
      <c r="QN614" s="25"/>
      <c r="QO614" s="25"/>
      <c r="QP614" s="25"/>
      <c r="QQ614" s="25"/>
      <c r="QR614" s="25"/>
      <c r="QS614" s="25"/>
      <c r="QT614" s="25"/>
      <c r="QU614" s="25"/>
      <c r="QV614" s="25"/>
      <c r="QW614" s="25"/>
      <c r="QX614" s="25"/>
      <c r="QY614" s="25"/>
      <c r="QZ614" s="25"/>
      <c r="RA614" s="25"/>
      <c r="RB614" s="25"/>
      <c r="RC614" s="25"/>
      <c r="RD614" s="25"/>
      <c r="RE614" s="25"/>
      <c r="RF614" s="25"/>
      <c r="RG614" s="25"/>
      <c r="RH614" s="25"/>
      <c r="RI614" s="25"/>
      <c r="RJ614" s="25"/>
      <c r="RK614" s="25"/>
      <c r="RL614" s="25"/>
      <c r="RM614" s="25"/>
      <c r="RN614" s="25"/>
      <c r="RO614" s="25"/>
      <c r="RP614" s="25"/>
      <c r="RQ614" s="25"/>
      <c r="RR614" s="25"/>
      <c r="RS614" s="25"/>
      <c r="RT614" s="25"/>
      <c r="RU614" s="25"/>
      <c r="RV614" s="25"/>
      <c r="RW614" s="25"/>
      <c r="RX614" s="25"/>
      <c r="RY614" s="25"/>
      <c r="RZ614" s="25"/>
      <c r="SA614" s="25"/>
      <c r="SB614" s="25"/>
      <c r="SC614" s="25"/>
      <c r="SD614" s="25"/>
      <c r="SE614" s="25"/>
      <c r="SF614" s="25"/>
      <c r="SG614" s="25"/>
      <c r="SH614" s="25"/>
      <c r="SI614" s="25"/>
      <c r="SJ614" s="25"/>
      <c r="SK614" s="25"/>
      <c r="SL614" s="25"/>
      <c r="SM614" s="25"/>
      <c r="SN614" s="25"/>
      <c r="SO614" s="25"/>
      <c r="SP614" s="25"/>
      <c r="SQ614" s="25"/>
      <c r="SR614" s="25"/>
      <c r="SS614" s="25"/>
      <c r="ST614" s="25"/>
      <c r="SU614" s="25"/>
      <c r="SV614" s="25"/>
      <c r="SW614" s="25"/>
      <c r="SX614" s="25"/>
      <c r="SY614" s="25"/>
      <c r="SZ614" s="25"/>
      <c r="TA614" s="25"/>
      <c r="TB614" s="25"/>
      <c r="TC614" s="25"/>
      <c r="TD614" s="25"/>
      <c r="TE614" s="25"/>
      <c r="TF614" s="25"/>
      <c r="TG614" s="25"/>
      <c r="TH614" s="25"/>
      <c r="TI614" s="25"/>
      <c r="TJ614" s="25"/>
      <c r="TK614" s="25"/>
      <c r="TL614" s="25"/>
      <c r="TM614" s="25"/>
      <c r="TN614" s="25"/>
      <c r="TO614" s="25"/>
      <c r="TP614" s="25"/>
      <c r="TQ614" s="25"/>
      <c r="TR614" s="25"/>
      <c r="TS614" s="25"/>
      <c r="TT614" s="25"/>
      <c r="TU614" s="25"/>
      <c r="TV614" s="25"/>
      <c r="TW614" s="25"/>
      <c r="TX614" s="25"/>
      <c r="TY614" s="25"/>
      <c r="TZ614" s="25"/>
      <c r="UA614" s="25"/>
      <c r="UB614" s="25"/>
      <c r="UC614" s="25"/>
      <c r="UD614" s="25"/>
      <c r="UE614" s="25"/>
      <c r="UF614" s="25"/>
      <c r="UG614" s="26"/>
    </row>
    <row r="615" spans="1:553" ht="77.25" customHeight="1">
      <c r="A615" s="356" t="s">
        <v>15</v>
      </c>
      <c r="B615" s="385">
        <v>153</v>
      </c>
      <c r="C615" s="1403" t="s">
        <v>924</v>
      </c>
      <c r="D615" s="1389"/>
      <c r="E615" s="1389"/>
      <c r="F615" s="1390"/>
      <c r="G615" s="386" t="s">
        <v>34</v>
      </c>
      <c r="H615" s="370"/>
      <c r="I615" s="834">
        <f>2.2*1.1*1.5</f>
        <v>3.6300000000000008</v>
      </c>
      <c r="J615" s="368">
        <v>2943200</v>
      </c>
      <c r="K615" s="371"/>
      <c r="L615" s="487">
        <f t="shared" si="101"/>
        <v>10683816.000000002</v>
      </c>
      <c r="M615" s="395"/>
      <c r="N615" s="395"/>
      <c r="O615" s="366"/>
      <c r="P615" s="396"/>
      <c r="Q615" s="473"/>
      <c r="R615" s="1039"/>
      <c r="S615" s="308"/>
      <c r="T615" s="308"/>
      <c r="U615" s="308"/>
      <c r="V615" s="308"/>
      <c r="W615" s="308"/>
      <c r="X615" s="308"/>
      <c r="Y615" s="308"/>
      <c r="Z615" s="604"/>
      <c r="AA615" s="308"/>
      <c r="AB615" s="308"/>
      <c r="AC615" s="449"/>
      <c r="AD615" s="449"/>
      <c r="AE615" s="449"/>
      <c r="AF615" s="449"/>
      <c r="AG615" s="452"/>
      <c r="AH615" s="452"/>
      <c r="AI615" s="452"/>
      <c r="AJ615" s="452"/>
      <c r="AK615" s="452"/>
      <c r="AL615" s="104"/>
      <c r="AM615" s="32"/>
      <c r="AN615" s="32"/>
      <c r="AO615" s="32"/>
      <c r="AP615" s="32"/>
      <c r="AQ615" s="31"/>
      <c r="AR615" s="31"/>
      <c r="AS615" s="31"/>
      <c r="AT615" s="31"/>
      <c r="AU615" s="31"/>
      <c r="AV615" s="31"/>
      <c r="AW615" s="31"/>
      <c r="AX615" s="31"/>
      <c r="AY615" s="31"/>
      <c r="AZ615" s="31"/>
      <c r="BA615" s="31"/>
      <c r="BB615" s="31"/>
      <c r="BC615" s="31"/>
      <c r="BD615" s="31"/>
      <c r="BE615" s="31"/>
      <c r="BF615" s="31"/>
      <c r="BG615" s="31"/>
      <c r="BH615" s="31"/>
      <c r="BI615" s="31"/>
      <c r="BJ615" s="31"/>
      <c r="BK615" s="31"/>
      <c r="BL615" s="31"/>
      <c r="BM615" s="25"/>
      <c r="BN615" s="25"/>
      <c r="BO615" s="25"/>
      <c r="BP615" s="25"/>
      <c r="BQ615" s="25"/>
      <c r="BR615" s="25"/>
      <c r="BS615" s="25"/>
      <c r="BT615" s="25"/>
      <c r="BU615" s="25"/>
      <c r="BV615" s="25"/>
      <c r="BW615" s="25"/>
      <c r="BX615" s="25"/>
      <c r="BY615" s="25"/>
      <c r="BZ615" s="25"/>
      <c r="CA615" s="25"/>
      <c r="CB615" s="25"/>
      <c r="CC615" s="25"/>
      <c r="CD615" s="25"/>
      <c r="CE615" s="25"/>
      <c r="CF615" s="25"/>
      <c r="CG615" s="25"/>
      <c r="CH615" s="25"/>
      <c r="CI615" s="25"/>
      <c r="CJ615" s="25"/>
      <c r="CK615" s="25"/>
      <c r="CL615" s="25"/>
      <c r="CM615" s="25"/>
      <c r="CN615" s="25"/>
      <c r="CO615" s="25"/>
      <c r="CP615" s="25"/>
      <c r="CQ615" s="25"/>
      <c r="CR615" s="25"/>
      <c r="CS615" s="25"/>
      <c r="CT615" s="25"/>
      <c r="CU615" s="25"/>
      <c r="CV615" s="25"/>
      <c r="CW615" s="25"/>
      <c r="CX615" s="25"/>
      <c r="CY615" s="25"/>
      <c r="CZ615" s="25"/>
      <c r="DA615" s="25"/>
      <c r="DB615" s="25"/>
      <c r="DC615" s="25"/>
      <c r="DD615" s="25"/>
      <c r="DE615" s="25"/>
      <c r="DF615" s="25"/>
      <c r="DG615" s="25"/>
      <c r="DH615" s="25"/>
      <c r="DI615" s="25"/>
      <c r="DJ615" s="25"/>
      <c r="DK615" s="25"/>
      <c r="DL615" s="25"/>
      <c r="DM615" s="25"/>
      <c r="DN615" s="25"/>
      <c r="DO615" s="25"/>
      <c r="DP615" s="25"/>
      <c r="DQ615" s="25"/>
      <c r="DR615" s="25"/>
      <c r="DS615" s="25"/>
      <c r="DT615" s="25"/>
      <c r="DU615" s="25"/>
      <c r="DV615" s="25"/>
      <c r="DW615" s="25"/>
      <c r="DX615" s="25"/>
      <c r="DY615" s="25"/>
      <c r="DZ615" s="25"/>
      <c r="EA615" s="25"/>
      <c r="EB615" s="25"/>
      <c r="EC615" s="25"/>
      <c r="ED615" s="25"/>
      <c r="EE615" s="25"/>
      <c r="EF615" s="25"/>
      <c r="EG615" s="25"/>
      <c r="EH615" s="25"/>
      <c r="EI615" s="25"/>
      <c r="EJ615" s="25"/>
      <c r="EK615" s="25"/>
      <c r="EL615" s="25"/>
      <c r="EM615" s="25"/>
      <c r="EN615" s="25"/>
      <c r="EO615" s="25"/>
      <c r="EP615" s="25"/>
      <c r="EQ615" s="25"/>
      <c r="ER615" s="25"/>
      <c r="ES615" s="25"/>
      <c r="ET615" s="25"/>
      <c r="EU615" s="25"/>
      <c r="EV615" s="25"/>
      <c r="EW615" s="25"/>
      <c r="EX615" s="25"/>
      <c r="EY615" s="25"/>
      <c r="EZ615" s="25"/>
      <c r="FA615" s="25"/>
      <c r="FB615" s="25"/>
      <c r="FC615" s="25"/>
      <c r="FD615" s="25"/>
      <c r="FE615" s="25"/>
      <c r="FF615" s="25"/>
      <c r="FG615" s="25"/>
      <c r="FH615" s="25"/>
      <c r="FI615" s="25"/>
      <c r="FJ615" s="25"/>
      <c r="FK615" s="25"/>
      <c r="FL615" s="25"/>
      <c r="FM615" s="25"/>
      <c r="FN615" s="25"/>
      <c r="FO615" s="25"/>
      <c r="FP615" s="25"/>
      <c r="FQ615" s="25"/>
      <c r="FR615" s="25"/>
      <c r="FS615" s="25"/>
      <c r="FT615" s="25"/>
      <c r="FU615" s="25"/>
      <c r="FV615" s="25"/>
      <c r="FW615" s="25"/>
      <c r="FX615" s="25"/>
      <c r="FY615" s="25"/>
      <c r="FZ615" s="25"/>
      <c r="GA615" s="25"/>
      <c r="GB615" s="25"/>
      <c r="GC615" s="25"/>
      <c r="GD615" s="25"/>
      <c r="GE615" s="25"/>
      <c r="GF615" s="25"/>
      <c r="GG615" s="25"/>
      <c r="GH615" s="25"/>
      <c r="GI615" s="25"/>
      <c r="GJ615" s="25"/>
      <c r="GK615" s="25"/>
      <c r="GL615" s="25"/>
      <c r="GM615" s="25"/>
      <c r="GN615" s="25"/>
      <c r="GO615" s="25"/>
      <c r="GP615" s="25"/>
      <c r="GQ615" s="25"/>
      <c r="GR615" s="25"/>
      <c r="GS615" s="25"/>
      <c r="GT615" s="25"/>
      <c r="GU615" s="25"/>
      <c r="GV615" s="25"/>
      <c r="GW615" s="25"/>
      <c r="GX615" s="25"/>
      <c r="GY615" s="25"/>
      <c r="GZ615" s="25"/>
      <c r="HA615" s="25"/>
      <c r="HB615" s="25"/>
      <c r="HC615" s="25"/>
      <c r="HD615" s="25"/>
      <c r="HE615" s="25"/>
      <c r="HF615" s="25"/>
      <c r="HG615" s="25"/>
      <c r="HH615" s="25"/>
      <c r="HI615" s="25"/>
      <c r="HJ615" s="25"/>
      <c r="HK615" s="25"/>
      <c r="HL615" s="25"/>
      <c r="HM615" s="25"/>
      <c r="HN615" s="25"/>
      <c r="HO615" s="25"/>
      <c r="HP615" s="25"/>
      <c r="HQ615" s="25"/>
      <c r="HR615" s="25"/>
      <c r="HS615" s="25"/>
      <c r="HT615" s="25"/>
      <c r="HU615" s="25"/>
      <c r="HV615" s="25"/>
      <c r="HW615" s="25"/>
      <c r="HX615" s="25"/>
      <c r="HY615" s="25"/>
      <c r="HZ615" s="25"/>
      <c r="IA615" s="25"/>
      <c r="IB615" s="25"/>
      <c r="IC615" s="25"/>
      <c r="ID615" s="25"/>
      <c r="IE615" s="25"/>
      <c r="IF615" s="25"/>
      <c r="IG615" s="25"/>
      <c r="IH615" s="25"/>
      <c r="II615" s="25"/>
      <c r="IJ615" s="25"/>
      <c r="IK615" s="25"/>
      <c r="IL615" s="25"/>
      <c r="IM615" s="25"/>
      <c r="IN615" s="25"/>
      <c r="IO615" s="25"/>
      <c r="IP615" s="25"/>
      <c r="IQ615" s="25"/>
      <c r="IR615" s="25"/>
      <c r="IS615" s="25"/>
      <c r="IT615" s="25"/>
      <c r="IU615" s="25"/>
      <c r="IV615" s="25"/>
      <c r="IW615" s="25"/>
      <c r="IX615" s="25"/>
      <c r="IY615" s="25"/>
      <c r="IZ615" s="25"/>
      <c r="JA615" s="25"/>
      <c r="JB615" s="25"/>
      <c r="JC615" s="25"/>
      <c r="JD615" s="25"/>
      <c r="JE615" s="25"/>
      <c r="JF615" s="25"/>
      <c r="JG615" s="25"/>
      <c r="JH615" s="25"/>
      <c r="JI615" s="25"/>
      <c r="JJ615" s="25"/>
      <c r="JK615" s="25"/>
      <c r="JL615" s="25"/>
      <c r="JM615" s="25"/>
      <c r="JN615" s="25"/>
      <c r="JO615" s="25"/>
      <c r="JP615" s="25"/>
      <c r="JQ615" s="25"/>
      <c r="JR615" s="25"/>
      <c r="JS615" s="25"/>
      <c r="JT615" s="25"/>
      <c r="JU615" s="25"/>
      <c r="JV615" s="25"/>
      <c r="JW615" s="25"/>
      <c r="JX615" s="25"/>
      <c r="JY615" s="25"/>
      <c r="JZ615" s="25"/>
      <c r="KA615" s="25"/>
      <c r="KB615" s="25"/>
      <c r="KC615" s="25"/>
      <c r="KD615" s="25"/>
      <c r="KE615" s="25"/>
      <c r="KF615" s="25"/>
      <c r="KG615" s="25"/>
      <c r="KH615" s="25"/>
      <c r="KI615" s="25"/>
      <c r="KJ615" s="25"/>
      <c r="KK615" s="25"/>
      <c r="KL615" s="25"/>
      <c r="KM615" s="25"/>
      <c r="KN615" s="25"/>
      <c r="KO615" s="25"/>
      <c r="KP615" s="25"/>
      <c r="KQ615" s="25"/>
      <c r="KR615" s="25"/>
      <c r="KS615" s="25"/>
      <c r="KT615" s="25"/>
      <c r="KU615" s="25"/>
      <c r="KV615" s="25"/>
      <c r="KW615" s="25"/>
      <c r="KX615" s="25"/>
      <c r="KY615" s="25"/>
      <c r="KZ615" s="25"/>
      <c r="LA615" s="25"/>
      <c r="LB615" s="25"/>
      <c r="LC615" s="25"/>
      <c r="LD615" s="25"/>
      <c r="LE615" s="25"/>
      <c r="LF615" s="25"/>
      <c r="LG615" s="25"/>
      <c r="LH615" s="25"/>
      <c r="LI615" s="25"/>
      <c r="LJ615" s="25"/>
      <c r="LK615" s="25"/>
      <c r="LL615" s="25"/>
      <c r="LM615" s="25"/>
      <c r="LN615" s="25"/>
      <c r="LO615" s="25"/>
      <c r="LP615" s="25"/>
      <c r="LQ615" s="25"/>
      <c r="LR615" s="25"/>
      <c r="LS615" s="25"/>
      <c r="LT615" s="25"/>
      <c r="LU615" s="25"/>
      <c r="LV615" s="25"/>
      <c r="LW615" s="25"/>
      <c r="LX615" s="25"/>
      <c r="LY615" s="25"/>
      <c r="LZ615" s="25"/>
      <c r="MA615" s="25"/>
      <c r="MB615" s="25"/>
      <c r="MC615" s="25"/>
      <c r="MD615" s="25"/>
      <c r="ME615" s="25"/>
      <c r="MF615" s="25"/>
      <c r="MG615" s="25"/>
      <c r="MH615" s="25"/>
      <c r="MI615" s="25"/>
      <c r="MJ615" s="25"/>
      <c r="MK615" s="25"/>
      <c r="ML615" s="25"/>
      <c r="MM615" s="25"/>
      <c r="MN615" s="25"/>
      <c r="MO615" s="25"/>
      <c r="MP615" s="25"/>
      <c r="MQ615" s="25"/>
      <c r="MR615" s="25"/>
      <c r="MS615" s="25"/>
      <c r="MT615" s="25"/>
      <c r="MU615" s="25"/>
      <c r="MV615" s="25"/>
      <c r="MW615" s="25"/>
      <c r="MX615" s="25"/>
      <c r="MY615" s="25"/>
      <c r="MZ615" s="25"/>
      <c r="NA615" s="25"/>
      <c r="NB615" s="25"/>
      <c r="NC615" s="25"/>
      <c r="ND615" s="25"/>
      <c r="NE615" s="25"/>
      <c r="NF615" s="25"/>
      <c r="NG615" s="25"/>
      <c r="NH615" s="25"/>
      <c r="NI615" s="25"/>
      <c r="NJ615" s="25"/>
      <c r="NK615" s="25"/>
      <c r="NL615" s="25"/>
      <c r="NM615" s="25"/>
      <c r="NN615" s="25"/>
      <c r="NO615" s="25"/>
      <c r="NP615" s="25"/>
      <c r="NQ615" s="25"/>
      <c r="NR615" s="25"/>
      <c r="NS615" s="25"/>
      <c r="NT615" s="25"/>
      <c r="NU615" s="25"/>
      <c r="NV615" s="25"/>
      <c r="NW615" s="25"/>
      <c r="NX615" s="25"/>
      <c r="NY615" s="25"/>
      <c r="NZ615" s="25"/>
      <c r="OA615" s="25"/>
      <c r="OB615" s="25"/>
      <c r="OC615" s="25"/>
      <c r="OD615" s="25"/>
      <c r="OE615" s="25"/>
      <c r="OF615" s="25"/>
      <c r="OG615" s="25"/>
      <c r="OH615" s="25"/>
      <c r="OI615" s="25"/>
      <c r="OJ615" s="25"/>
      <c r="OK615" s="25"/>
      <c r="OL615" s="25"/>
      <c r="OM615" s="25"/>
      <c r="ON615" s="25"/>
      <c r="OO615" s="25"/>
      <c r="OP615" s="25"/>
      <c r="OQ615" s="25"/>
      <c r="OR615" s="25"/>
      <c r="OS615" s="25"/>
      <c r="OT615" s="25"/>
      <c r="OU615" s="25"/>
      <c r="OV615" s="25"/>
      <c r="OW615" s="25"/>
      <c r="OX615" s="25"/>
      <c r="OY615" s="25"/>
      <c r="OZ615" s="25"/>
      <c r="PA615" s="25"/>
      <c r="PB615" s="25"/>
      <c r="PC615" s="25"/>
      <c r="PD615" s="25"/>
      <c r="PE615" s="25"/>
      <c r="PF615" s="25"/>
      <c r="PG615" s="25"/>
      <c r="PH615" s="25"/>
      <c r="PI615" s="25"/>
      <c r="PJ615" s="25"/>
      <c r="PK615" s="25"/>
      <c r="PL615" s="25"/>
      <c r="PM615" s="25"/>
      <c r="PN615" s="25"/>
      <c r="PO615" s="25"/>
      <c r="PP615" s="25"/>
      <c r="PQ615" s="25"/>
      <c r="PR615" s="25"/>
      <c r="PS615" s="25"/>
      <c r="PT615" s="25"/>
      <c r="PU615" s="25"/>
      <c r="PV615" s="25"/>
      <c r="PW615" s="25"/>
      <c r="PX615" s="25"/>
      <c r="PY615" s="25"/>
      <c r="PZ615" s="25"/>
      <c r="QA615" s="25"/>
      <c r="QB615" s="25"/>
      <c r="QC615" s="25"/>
      <c r="QD615" s="25"/>
      <c r="QE615" s="25"/>
      <c r="QF615" s="25"/>
      <c r="QG615" s="25"/>
      <c r="QH615" s="25"/>
      <c r="QI615" s="25"/>
      <c r="QJ615" s="25"/>
      <c r="QK615" s="25"/>
      <c r="QL615" s="25"/>
      <c r="QM615" s="25"/>
      <c r="QN615" s="25"/>
      <c r="QO615" s="25"/>
      <c r="QP615" s="25"/>
      <c r="QQ615" s="25"/>
      <c r="QR615" s="25"/>
      <c r="QS615" s="25"/>
      <c r="QT615" s="25"/>
      <c r="QU615" s="25"/>
      <c r="QV615" s="25"/>
      <c r="QW615" s="25"/>
      <c r="QX615" s="25"/>
      <c r="QY615" s="25"/>
      <c r="QZ615" s="25"/>
      <c r="RA615" s="25"/>
      <c r="RB615" s="25"/>
      <c r="RC615" s="25"/>
      <c r="RD615" s="25"/>
      <c r="RE615" s="25"/>
      <c r="RF615" s="25"/>
      <c r="RG615" s="25"/>
      <c r="RH615" s="25"/>
      <c r="RI615" s="25"/>
      <c r="RJ615" s="25"/>
      <c r="RK615" s="25"/>
      <c r="RL615" s="25"/>
      <c r="RM615" s="25"/>
      <c r="RN615" s="25"/>
      <c r="RO615" s="25"/>
      <c r="RP615" s="25"/>
      <c r="RQ615" s="25"/>
      <c r="RR615" s="25"/>
      <c r="RS615" s="25"/>
      <c r="RT615" s="25"/>
      <c r="RU615" s="25"/>
      <c r="RV615" s="25"/>
      <c r="RW615" s="25"/>
      <c r="RX615" s="25"/>
      <c r="RY615" s="25"/>
      <c r="RZ615" s="25"/>
      <c r="SA615" s="25"/>
      <c r="SB615" s="25"/>
      <c r="SC615" s="25"/>
      <c r="SD615" s="25"/>
      <c r="SE615" s="25"/>
      <c r="SF615" s="25"/>
      <c r="SG615" s="25"/>
      <c r="SH615" s="25"/>
      <c r="SI615" s="25"/>
      <c r="SJ615" s="25"/>
      <c r="SK615" s="25"/>
      <c r="SL615" s="25"/>
      <c r="SM615" s="25"/>
      <c r="SN615" s="25"/>
      <c r="SO615" s="25"/>
      <c r="SP615" s="25"/>
      <c r="SQ615" s="25"/>
      <c r="SR615" s="25"/>
      <c r="SS615" s="25"/>
      <c r="ST615" s="25"/>
      <c r="SU615" s="25"/>
      <c r="SV615" s="25"/>
      <c r="SW615" s="25"/>
      <c r="SX615" s="25"/>
      <c r="SY615" s="25"/>
      <c r="SZ615" s="25"/>
      <c r="TA615" s="25"/>
      <c r="TB615" s="25"/>
      <c r="TC615" s="25"/>
      <c r="TD615" s="25"/>
      <c r="TE615" s="25"/>
      <c r="TF615" s="25"/>
      <c r="TG615" s="25"/>
      <c r="TH615" s="25"/>
      <c r="TI615" s="25"/>
      <c r="TJ615" s="25"/>
      <c r="TK615" s="25"/>
      <c r="TL615" s="25"/>
      <c r="TM615" s="25"/>
      <c r="TN615" s="25"/>
      <c r="TO615" s="25"/>
      <c r="TP615" s="25"/>
      <c r="TQ615" s="25"/>
      <c r="TR615" s="25"/>
      <c r="TS615" s="25"/>
      <c r="TT615" s="25"/>
      <c r="TU615" s="25"/>
      <c r="TV615" s="25"/>
      <c r="TW615" s="25"/>
      <c r="TX615" s="25"/>
      <c r="TY615" s="25"/>
      <c r="TZ615" s="25"/>
      <c r="UA615" s="25"/>
      <c r="UB615" s="25"/>
      <c r="UC615" s="25"/>
      <c r="UD615" s="25"/>
      <c r="UE615" s="25"/>
      <c r="UF615" s="25"/>
      <c r="UG615" s="26"/>
    </row>
    <row r="616" spans="1:553" ht="77.25" customHeight="1">
      <c r="A616" s="356"/>
      <c r="B616" s="385" t="s">
        <v>31</v>
      </c>
      <c r="C616" s="1403" t="s">
        <v>435</v>
      </c>
      <c r="D616" s="1389"/>
      <c r="E616" s="1389"/>
      <c r="F616" s="1390"/>
      <c r="G616" s="386" t="s">
        <v>34</v>
      </c>
      <c r="H616" s="370"/>
      <c r="I616" s="834">
        <f>-(2.2+1.1)*2*1.5*0.11</f>
        <v>-1.089</v>
      </c>
      <c r="J616" s="368">
        <v>1913917</v>
      </c>
      <c r="K616" s="371"/>
      <c r="L616" s="487">
        <f t="shared" si="101"/>
        <v>-2084255.6129999999</v>
      </c>
      <c r="M616" s="395"/>
      <c r="N616" s="395"/>
      <c r="O616" s="366"/>
      <c r="P616" s="396"/>
      <c r="Q616" s="473"/>
      <c r="R616" s="1039"/>
      <c r="S616" s="308"/>
      <c r="T616" s="308"/>
      <c r="U616" s="308"/>
      <c r="V616" s="308"/>
      <c r="W616" s="308"/>
      <c r="X616" s="308"/>
      <c r="Y616" s="308"/>
      <c r="Z616" s="604"/>
      <c r="AA616" s="308"/>
      <c r="AB616" s="308"/>
      <c r="AC616" s="449"/>
      <c r="AD616" s="449"/>
      <c r="AE616" s="449"/>
      <c r="AF616" s="449"/>
      <c r="AG616" s="452"/>
      <c r="AH616" s="452"/>
      <c r="AI616" s="452"/>
      <c r="AJ616" s="452"/>
      <c r="AK616" s="452"/>
      <c r="AL616" s="104"/>
      <c r="AM616" s="32"/>
      <c r="AN616" s="32"/>
      <c r="AO616" s="32"/>
      <c r="AP616" s="32"/>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25"/>
      <c r="BN616" s="25"/>
      <c r="BO616" s="25"/>
      <c r="BP616" s="25"/>
      <c r="BQ616" s="25"/>
      <c r="BR616" s="25"/>
      <c r="BS616" s="25"/>
      <c r="BT616" s="25"/>
      <c r="BU616" s="25"/>
      <c r="BV616" s="25"/>
      <c r="BW616" s="25"/>
      <c r="BX616" s="25"/>
      <c r="BY616" s="25"/>
      <c r="BZ616" s="25"/>
      <c r="CA616" s="25"/>
      <c r="CB616" s="25"/>
      <c r="CC616" s="25"/>
      <c r="CD616" s="25"/>
      <c r="CE616" s="25"/>
      <c r="CF616" s="25"/>
      <c r="CG616" s="25"/>
      <c r="CH616" s="25"/>
      <c r="CI616" s="25"/>
      <c r="CJ616" s="25"/>
      <c r="CK616" s="25"/>
      <c r="CL616" s="25"/>
      <c r="CM616" s="25"/>
      <c r="CN616" s="25"/>
      <c r="CO616" s="25"/>
      <c r="CP616" s="25"/>
      <c r="CQ616" s="25"/>
      <c r="CR616" s="25"/>
      <c r="CS616" s="25"/>
      <c r="CT616" s="25"/>
      <c r="CU616" s="25"/>
      <c r="CV616" s="25"/>
      <c r="CW616" s="25"/>
      <c r="CX616" s="25"/>
      <c r="CY616" s="25"/>
      <c r="CZ616" s="25"/>
      <c r="DA616" s="25"/>
      <c r="DB616" s="25"/>
      <c r="DC616" s="25"/>
      <c r="DD616" s="25"/>
      <c r="DE616" s="25"/>
      <c r="DF616" s="25"/>
      <c r="DG616" s="25"/>
      <c r="DH616" s="25"/>
      <c r="DI616" s="25"/>
      <c r="DJ616" s="25"/>
      <c r="DK616" s="25"/>
      <c r="DL616" s="25"/>
      <c r="DM616" s="25"/>
      <c r="DN616" s="25"/>
      <c r="DO616" s="25"/>
      <c r="DP616" s="25"/>
      <c r="DQ616" s="25"/>
      <c r="DR616" s="25"/>
      <c r="DS616" s="25"/>
      <c r="DT616" s="25"/>
      <c r="DU616" s="25"/>
      <c r="DV616" s="25"/>
      <c r="DW616" s="25"/>
      <c r="DX616" s="25"/>
      <c r="DY616" s="25"/>
      <c r="DZ616" s="25"/>
      <c r="EA616" s="25"/>
      <c r="EB616" s="25"/>
      <c r="EC616" s="25"/>
      <c r="ED616" s="25"/>
      <c r="EE616" s="25"/>
      <c r="EF616" s="25"/>
      <c r="EG616" s="25"/>
      <c r="EH616" s="25"/>
      <c r="EI616" s="25"/>
      <c r="EJ616" s="25"/>
      <c r="EK616" s="25"/>
      <c r="EL616" s="25"/>
      <c r="EM616" s="25"/>
      <c r="EN616" s="25"/>
      <c r="EO616" s="25"/>
      <c r="EP616" s="25"/>
      <c r="EQ616" s="25"/>
      <c r="ER616" s="25"/>
      <c r="ES616" s="25"/>
      <c r="ET616" s="25"/>
      <c r="EU616" s="25"/>
      <c r="EV616" s="25"/>
      <c r="EW616" s="25"/>
      <c r="EX616" s="25"/>
      <c r="EY616" s="25"/>
      <c r="EZ616" s="25"/>
      <c r="FA616" s="25"/>
      <c r="FB616" s="25"/>
      <c r="FC616" s="25"/>
      <c r="FD616" s="25"/>
      <c r="FE616" s="25"/>
      <c r="FF616" s="25"/>
      <c r="FG616" s="25"/>
      <c r="FH616" s="25"/>
      <c r="FI616" s="25"/>
      <c r="FJ616" s="25"/>
      <c r="FK616" s="25"/>
      <c r="FL616" s="25"/>
      <c r="FM616" s="25"/>
      <c r="FN616" s="25"/>
      <c r="FO616" s="25"/>
      <c r="FP616" s="25"/>
      <c r="FQ616" s="25"/>
      <c r="FR616" s="25"/>
      <c r="FS616" s="25"/>
      <c r="FT616" s="25"/>
      <c r="FU616" s="25"/>
      <c r="FV616" s="25"/>
      <c r="FW616" s="25"/>
      <c r="FX616" s="25"/>
      <c r="FY616" s="25"/>
      <c r="FZ616" s="25"/>
      <c r="GA616" s="25"/>
      <c r="GB616" s="25"/>
      <c r="GC616" s="25"/>
      <c r="GD616" s="25"/>
      <c r="GE616" s="25"/>
      <c r="GF616" s="25"/>
      <c r="GG616" s="25"/>
      <c r="GH616" s="25"/>
      <c r="GI616" s="25"/>
      <c r="GJ616" s="25"/>
      <c r="GK616" s="25"/>
      <c r="GL616" s="25"/>
      <c r="GM616" s="25"/>
      <c r="GN616" s="25"/>
      <c r="GO616" s="25"/>
      <c r="GP616" s="25"/>
      <c r="GQ616" s="25"/>
      <c r="GR616" s="25"/>
      <c r="GS616" s="25"/>
      <c r="GT616" s="25"/>
      <c r="GU616" s="25"/>
      <c r="GV616" s="25"/>
      <c r="GW616" s="25"/>
      <c r="GX616" s="25"/>
      <c r="GY616" s="25"/>
      <c r="GZ616" s="25"/>
      <c r="HA616" s="25"/>
      <c r="HB616" s="25"/>
      <c r="HC616" s="25"/>
      <c r="HD616" s="25"/>
      <c r="HE616" s="25"/>
      <c r="HF616" s="25"/>
      <c r="HG616" s="25"/>
      <c r="HH616" s="25"/>
      <c r="HI616" s="25"/>
      <c r="HJ616" s="25"/>
      <c r="HK616" s="25"/>
      <c r="HL616" s="25"/>
      <c r="HM616" s="25"/>
      <c r="HN616" s="25"/>
      <c r="HO616" s="25"/>
      <c r="HP616" s="25"/>
      <c r="HQ616" s="25"/>
      <c r="HR616" s="25"/>
      <c r="HS616" s="25"/>
      <c r="HT616" s="25"/>
      <c r="HU616" s="25"/>
      <c r="HV616" s="25"/>
      <c r="HW616" s="25"/>
      <c r="HX616" s="25"/>
      <c r="HY616" s="25"/>
      <c r="HZ616" s="25"/>
      <c r="IA616" s="25"/>
      <c r="IB616" s="25"/>
      <c r="IC616" s="25"/>
      <c r="ID616" s="25"/>
      <c r="IE616" s="25"/>
      <c r="IF616" s="25"/>
      <c r="IG616" s="25"/>
      <c r="IH616" s="25"/>
      <c r="II616" s="25"/>
      <c r="IJ616" s="25"/>
      <c r="IK616" s="25"/>
      <c r="IL616" s="25"/>
      <c r="IM616" s="25"/>
      <c r="IN616" s="25"/>
      <c r="IO616" s="25"/>
      <c r="IP616" s="25"/>
      <c r="IQ616" s="25"/>
      <c r="IR616" s="25"/>
      <c r="IS616" s="25"/>
      <c r="IT616" s="25"/>
      <c r="IU616" s="25"/>
      <c r="IV616" s="25"/>
      <c r="IW616" s="25"/>
      <c r="IX616" s="25"/>
      <c r="IY616" s="25"/>
      <c r="IZ616" s="25"/>
      <c r="JA616" s="25"/>
      <c r="JB616" s="25"/>
      <c r="JC616" s="25"/>
      <c r="JD616" s="25"/>
      <c r="JE616" s="25"/>
      <c r="JF616" s="25"/>
      <c r="JG616" s="25"/>
      <c r="JH616" s="25"/>
      <c r="JI616" s="25"/>
      <c r="JJ616" s="25"/>
      <c r="JK616" s="25"/>
      <c r="JL616" s="25"/>
      <c r="JM616" s="25"/>
      <c r="JN616" s="25"/>
      <c r="JO616" s="25"/>
      <c r="JP616" s="25"/>
      <c r="JQ616" s="25"/>
      <c r="JR616" s="25"/>
      <c r="JS616" s="25"/>
      <c r="JT616" s="25"/>
      <c r="JU616" s="25"/>
      <c r="JV616" s="25"/>
      <c r="JW616" s="25"/>
      <c r="JX616" s="25"/>
      <c r="JY616" s="25"/>
      <c r="JZ616" s="25"/>
      <c r="KA616" s="25"/>
      <c r="KB616" s="25"/>
      <c r="KC616" s="25"/>
      <c r="KD616" s="25"/>
      <c r="KE616" s="25"/>
      <c r="KF616" s="25"/>
      <c r="KG616" s="25"/>
      <c r="KH616" s="25"/>
      <c r="KI616" s="25"/>
      <c r="KJ616" s="25"/>
      <c r="KK616" s="25"/>
      <c r="KL616" s="25"/>
      <c r="KM616" s="25"/>
      <c r="KN616" s="25"/>
      <c r="KO616" s="25"/>
      <c r="KP616" s="25"/>
      <c r="KQ616" s="25"/>
      <c r="KR616" s="25"/>
      <c r="KS616" s="25"/>
      <c r="KT616" s="25"/>
      <c r="KU616" s="25"/>
      <c r="KV616" s="25"/>
      <c r="KW616" s="25"/>
      <c r="KX616" s="25"/>
      <c r="KY616" s="25"/>
      <c r="KZ616" s="25"/>
      <c r="LA616" s="25"/>
      <c r="LB616" s="25"/>
      <c r="LC616" s="25"/>
      <c r="LD616" s="25"/>
      <c r="LE616" s="25"/>
      <c r="LF616" s="25"/>
      <c r="LG616" s="25"/>
      <c r="LH616" s="25"/>
      <c r="LI616" s="25"/>
      <c r="LJ616" s="25"/>
      <c r="LK616" s="25"/>
      <c r="LL616" s="25"/>
      <c r="LM616" s="25"/>
      <c r="LN616" s="25"/>
      <c r="LO616" s="25"/>
      <c r="LP616" s="25"/>
      <c r="LQ616" s="25"/>
      <c r="LR616" s="25"/>
      <c r="LS616" s="25"/>
      <c r="LT616" s="25"/>
      <c r="LU616" s="25"/>
      <c r="LV616" s="25"/>
      <c r="LW616" s="25"/>
      <c r="LX616" s="25"/>
      <c r="LY616" s="25"/>
      <c r="LZ616" s="25"/>
      <c r="MA616" s="25"/>
      <c r="MB616" s="25"/>
      <c r="MC616" s="25"/>
      <c r="MD616" s="25"/>
      <c r="ME616" s="25"/>
      <c r="MF616" s="25"/>
      <c r="MG616" s="25"/>
      <c r="MH616" s="25"/>
      <c r="MI616" s="25"/>
      <c r="MJ616" s="25"/>
      <c r="MK616" s="25"/>
      <c r="ML616" s="25"/>
      <c r="MM616" s="25"/>
      <c r="MN616" s="25"/>
      <c r="MO616" s="25"/>
      <c r="MP616" s="25"/>
      <c r="MQ616" s="25"/>
      <c r="MR616" s="25"/>
      <c r="MS616" s="25"/>
      <c r="MT616" s="25"/>
      <c r="MU616" s="25"/>
      <c r="MV616" s="25"/>
      <c r="MW616" s="25"/>
      <c r="MX616" s="25"/>
      <c r="MY616" s="25"/>
      <c r="MZ616" s="25"/>
      <c r="NA616" s="25"/>
      <c r="NB616" s="25"/>
      <c r="NC616" s="25"/>
      <c r="ND616" s="25"/>
      <c r="NE616" s="25"/>
      <c r="NF616" s="25"/>
      <c r="NG616" s="25"/>
      <c r="NH616" s="25"/>
      <c r="NI616" s="25"/>
      <c r="NJ616" s="25"/>
      <c r="NK616" s="25"/>
      <c r="NL616" s="25"/>
      <c r="NM616" s="25"/>
      <c r="NN616" s="25"/>
      <c r="NO616" s="25"/>
      <c r="NP616" s="25"/>
      <c r="NQ616" s="25"/>
      <c r="NR616" s="25"/>
      <c r="NS616" s="25"/>
      <c r="NT616" s="25"/>
      <c r="NU616" s="25"/>
      <c r="NV616" s="25"/>
      <c r="NW616" s="25"/>
      <c r="NX616" s="25"/>
      <c r="NY616" s="25"/>
      <c r="NZ616" s="25"/>
      <c r="OA616" s="25"/>
      <c r="OB616" s="25"/>
      <c r="OC616" s="25"/>
      <c r="OD616" s="25"/>
      <c r="OE616" s="25"/>
      <c r="OF616" s="25"/>
      <c r="OG616" s="25"/>
      <c r="OH616" s="25"/>
      <c r="OI616" s="25"/>
      <c r="OJ616" s="25"/>
      <c r="OK616" s="25"/>
      <c r="OL616" s="25"/>
      <c r="OM616" s="25"/>
      <c r="ON616" s="25"/>
      <c r="OO616" s="25"/>
      <c r="OP616" s="25"/>
      <c r="OQ616" s="25"/>
      <c r="OR616" s="25"/>
      <c r="OS616" s="25"/>
      <c r="OT616" s="25"/>
      <c r="OU616" s="25"/>
      <c r="OV616" s="25"/>
      <c r="OW616" s="25"/>
      <c r="OX616" s="25"/>
      <c r="OY616" s="25"/>
      <c r="OZ616" s="25"/>
      <c r="PA616" s="25"/>
      <c r="PB616" s="25"/>
      <c r="PC616" s="25"/>
      <c r="PD616" s="25"/>
      <c r="PE616" s="25"/>
      <c r="PF616" s="25"/>
      <c r="PG616" s="25"/>
      <c r="PH616" s="25"/>
      <c r="PI616" s="25"/>
      <c r="PJ616" s="25"/>
      <c r="PK616" s="25"/>
      <c r="PL616" s="25"/>
      <c r="PM616" s="25"/>
      <c r="PN616" s="25"/>
      <c r="PO616" s="25"/>
      <c r="PP616" s="25"/>
      <c r="PQ616" s="25"/>
      <c r="PR616" s="25"/>
      <c r="PS616" s="25"/>
      <c r="PT616" s="25"/>
      <c r="PU616" s="25"/>
      <c r="PV616" s="25"/>
      <c r="PW616" s="25"/>
      <c r="PX616" s="25"/>
      <c r="PY616" s="25"/>
      <c r="PZ616" s="25"/>
      <c r="QA616" s="25"/>
      <c r="QB616" s="25"/>
      <c r="QC616" s="25"/>
      <c r="QD616" s="25"/>
      <c r="QE616" s="25"/>
      <c r="QF616" s="25"/>
      <c r="QG616" s="25"/>
      <c r="QH616" s="25"/>
      <c r="QI616" s="25"/>
      <c r="QJ616" s="25"/>
      <c r="QK616" s="25"/>
      <c r="QL616" s="25"/>
      <c r="QM616" s="25"/>
      <c r="QN616" s="25"/>
      <c r="QO616" s="25"/>
      <c r="QP616" s="25"/>
      <c r="QQ616" s="25"/>
      <c r="QR616" s="25"/>
      <c r="QS616" s="25"/>
      <c r="QT616" s="25"/>
      <c r="QU616" s="25"/>
      <c r="QV616" s="25"/>
      <c r="QW616" s="25"/>
      <c r="QX616" s="25"/>
      <c r="QY616" s="25"/>
      <c r="QZ616" s="25"/>
      <c r="RA616" s="25"/>
      <c r="RB616" s="25"/>
      <c r="RC616" s="25"/>
      <c r="RD616" s="25"/>
      <c r="RE616" s="25"/>
      <c r="RF616" s="25"/>
      <c r="RG616" s="25"/>
      <c r="RH616" s="25"/>
      <c r="RI616" s="25"/>
      <c r="RJ616" s="25"/>
      <c r="RK616" s="25"/>
      <c r="RL616" s="25"/>
      <c r="RM616" s="25"/>
      <c r="RN616" s="25"/>
      <c r="RO616" s="25"/>
      <c r="RP616" s="25"/>
      <c r="RQ616" s="25"/>
      <c r="RR616" s="25"/>
      <c r="RS616" s="25"/>
      <c r="RT616" s="25"/>
      <c r="RU616" s="25"/>
      <c r="RV616" s="25"/>
      <c r="RW616" s="25"/>
      <c r="RX616" s="25"/>
      <c r="RY616" s="25"/>
      <c r="RZ616" s="25"/>
      <c r="SA616" s="25"/>
      <c r="SB616" s="25"/>
      <c r="SC616" s="25"/>
      <c r="SD616" s="25"/>
      <c r="SE616" s="25"/>
      <c r="SF616" s="25"/>
      <c r="SG616" s="25"/>
      <c r="SH616" s="25"/>
      <c r="SI616" s="25"/>
      <c r="SJ616" s="25"/>
      <c r="SK616" s="25"/>
      <c r="SL616" s="25"/>
      <c r="SM616" s="25"/>
      <c r="SN616" s="25"/>
      <c r="SO616" s="25"/>
      <c r="SP616" s="25"/>
      <c r="SQ616" s="25"/>
      <c r="SR616" s="25"/>
      <c r="SS616" s="25"/>
      <c r="ST616" s="25"/>
      <c r="SU616" s="25"/>
      <c r="SV616" s="25"/>
      <c r="SW616" s="25"/>
      <c r="SX616" s="25"/>
      <c r="SY616" s="25"/>
      <c r="SZ616" s="25"/>
      <c r="TA616" s="25"/>
      <c r="TB616" s="25"/>
      <c r="TC616" s="25"/>
      <c r="TD616" s="25"/>
      <c r="TE616" s="25"/>
      <c r="TF616" s="25"/>
      <c r="TG616" s="25"/>
      <c r="TH616" s="25"/>
      <c r="TI616" s="25"/>
      <c r="TJ616" s="25"/>
      <c r="TK616" s="25"/>
      <c r="TL616" s="25"/>
      <c r="TM616" s="25"/>
      <c r="TN616" s="25"/>
      <c r="TO616" s="25"/>
      <c r="TP616" s="25"/>
      <c r="TQ616" s="25"/>
      <c r="TR616" s="25"/>
      <c r="TS616" s="25"/>
      <c r="TT616" s="25"/>
      <c r="TU616" s="25"/>
      <c r="TV616" s="25"/>
      <c r="TW616" s="25"/>
      <c r="TX616" s="25"/>
      <c r="TY616" s="25"/>
      <c r="TZ616" s="25"/>
      <c r="UA616" s="25"/>
      <c r="UB616" s="25"/>
      <c r="UC616" s="25"/>
      <c r="UD616" s="25"/>
      <c r="UE616" s="25"/>
      <c r="UF616" s="25"/>
      <c r="UG616" s="26"/>
    </row>
    <row r="617" spans="1:553" ht="77.25" customHeight="1">
      <c r="A617" s="356" t="s">
        <v>15</v>
      </c>
      <c r="B617" s="385">
        <v>96</v>
      </c>
      <c r="C617" s="1403" t="s">
        <v>436</v>
      </c>
      <c r="D617" s="1389"/>
      <c r="E617" s="1389"/>
      <c r="F617" s="1390"/>
      <c r="G617" s="386" t="s">
        <v>935</v>
      </c>
      <c r="H617" s="370"/>
      <c r="I617" s="422">
        <f>3.4*4.2</f>
        <v>14.28</v>
      </c>
      <c r="J617" s="368">
        <v>411000</v>
      </c>
      <c r="K617" s="371"/>
      <c r="L617" s="487">
        <f t="shared" si="101"/>
        <v>5869080</v>
      </c>
      <c r="M617" s="391"/>
      <c r="N617" s="391"/>
      <c r="O617" s="391"/>
      <c r="P617" s="391"/>
      <c r="Q617" s="1444"/>
      <c r="R617" s="1226"/>
      <c r="S617" s="308"/>
      <c r="T617" s="308"/>
      <c r="U617" s="308"/>
      <c r="V617" s="308"/>
      <c r="W617" s="308"/>
      <c r="X617" s="308"/>
      <c r="Y617" s="308"/>
      <c r="Z617" s="604"/>
      <c r="AA617" s="308"/>
      <c r="AB617" s="308"/>
      <c r="AC617" s="449"/>
      <c r="AD617" s="449"/>
      <c r="AE617" s="449"/>
      <c r="AF617" s="449"/>
      <c r="AG617" s="449"/>
      <c r="AH617" s="449"/>
      <c r="AI617" s="449"/>
      <c r="AJ617" s="449"/>
      <c r="AK617" s="452"/>
      <c r="AL617" s="104"/>
      <c r="AM617" s="32"/>
      <c r="AN617" s="32"/>
      <c r="AO617" s="32"/>
      <c r="AP617" s="32"/>
      <c r="AQ617" s="32"/>
      <c r="AR617" s="32"/>
      <c r="AS617" s="31"/>
      <c r="AT617" s="31"/>
      <c r="AU617" s="31"/>
      <c r="AV617" s="31"/>
      <c r="AW617" s="31"/>
      <c r="AX617" s="31"/>
      <c r="AY617" s="31"/>
      <c r="AZ617" s="31"/>
      <c r="BA617" s="31"/>
      <c r="BB617" s="31"/>
      <c r="BC617" s="31"/>
      <c r="BD617" s="31"/>
      <c r="BE617" s="31"/>
      <c r="BF617" s="31"/>
      <c r="BG617" s="31"/>
      <c r="BH617" s="31"/>
      <c r="BI617" s="31"/>
      <c r="BJ617" s="31"/>
      <c r="BK617" s="31"/>
      <c r="BL617" s="31"/>
      <c r="BM617" s="31"/>
      <c r="BN617" s="31"/>
      <c r="BO617" s="31"/>
      <c r="BP617" s="31"/>
      <c r="BQ617" s="31"/>
      <c r="BR617" s="31"/>
      <c r="BS617" s="31"/>
      <c r="BT617" s="31"/>
      <c r="BU617" s="31"/>
      <c r="BV617" s="31"/>
      <c r="BW617" s="31"/>
      <c r="BX617" s="31"/>
      <c r="BY617" s="31"/>
      <c r="BZ617" s="31"/>
      <c r="CA617" s="31"/>
      <c r="CB617" s="31"/>
      <c r="CC617" s="31"/>
      <c r="CD617" s="31"/>
      <c r="CE617" s="31"/>
      <c r="CF617" s="31"/>
      <c r="CG617" s="31"/>
      <c r="CH617" s="31"/>
      <c r="CI617" s="31"/>
      <c r="CJ617" s="31"/>
      <c r="CK617" s="31"/>
      <c r="CL617" s="31"/>
      <c r="CM617" s="31"/>
      <c r="CN617" s="31"/>
      <c r="CO617" s="31"/>
      <c r="CP617" s="31"/>
      <c r="CQ617" s="31"/>
      <c r="CR617" s="31"/>
      <c r="CS617" s="31"/>
      <c r="CT617" s="31"/>
      <c r="CU617" s="31"/>
      <c r="CV617" s="31"/>
      <c r="CW617" s="31"/>
      <c r="CX617" s="31"/>
      <c r="CY617" s="31"/>
      <c r="CZ617" s="31"/>
      <c r="DA617" s="31"/>
      <c r="DB617" s="31"/>
      <c r="DC617" s="31"/>
      <c r="DD617" s="31"/>
      <c r="DE617" s="31"/>
      <c r="DF617" s="31"/>
      <c r="DG617" s="31"/>
      <c r="DH617" s="31"/>
      <c r="DI617" s="31"/>
      <c r="DJ617" s="31"/>
      <c r="DK617" s="31"/>
      <c r="DL617" s="31"/>
      <c r="DM617" s="31"/>
      <c r="DN617" s="31"/>
      <c r="DO617" s="31"/>
      <c r="DP617" s="31"/>
      <c r="DQ617" s="31"/>
      <c r="DR617" s="31"/>
      <c r="DS617" s="31"/>
      <c r="DT617" s="31"/>
      <c r="DU617" s="31"/>
      <c r="DV617" s="31"/>
      <c r="DW617" s="31"/>
      <c r="DX617" s="31"/>
      <c r="DY617" s="31"/>
      <c r="DZ617" s="31"/>
      <c r="EA617" s="31"/>
      <c r="EB617" s="31"/>
      <c r="EC617" s="31"/>
      <c r="ED617" s="31"/>
      <c r="EE617" s="31"/>
      <c r="EF617" s="31"/>
      <c r="EG617" s="31"/>
      <c r="EH617" s="31"/>
      <c r="EI617" s="31"/>
      <c r="EJ617" s="31"/>
      <c r="EK617" s="31"/>
      <c r="EL617" s="31"/>
      <c r="EM617" s="31"/>
      <c r="EN617" s="31"/>
      <c r="EO617" s="31"/>
      <c r="EP617" s="31"/>
      <c r="EQ617" s="31"/>
      <c r="ER617" s="31"/>
      <c r="ES617" s="31"/>
      <c r="ET617" s="31"/>
      <c r="EU617" s="31"/>
      <c r="EV617" s="31"/>
      <c r="EW617" s="31"/>
      <c r="EX617" s="31"/>
      <c r="EY617" s="31"/>
      <c r="EZ617" s="31"/>
      <c r="FA617" s="31"/>
      <c r="FB617" s="31"/>
      <c r="FC617" s="31"/>
      <c r="FD617" s="31"/>
      <c r="FE617" s="31"/>
      <c r="FF617" s="31"/>
      <c r="FG617" s="31"/>
      <c r="FH617" s="31"/>
      <c r="FI617" s="31"/>
      <c r="FJ617" s="31"/>
      <c r="FK617" s="31"/>
      <c r="FL617" s="31"/>
      <c r="FM617" s="31"/>
      <c r="FN617" s="31"/>
      <c r="FO617" s="31"/>
      <c r="FP617" s="31"/>
      <c r="FQ617" s="31"/>
      <c r="FR617" s="31"/>
      <c r="FS617" s="31"/>
      <c r="FT617" s="31"/>
      <c r="FU617" s="31"/>
      <c r="FV617" s="31"/>
      <c r="FW617" s="31"/>
      <c r="FX617" s="31"/>
      <c r="FY617" s="31"/>
      <c r="FZ617" s="31"/>
      <c r="GA617" s="31"/>
      <c r="GB617" s="31"/>
      <c r="GC617" s="31"/>
      <c r="GD617" s="31"/>
      <c r="GE617" s="31"/>
      <c r="GF617" s="31"/>
      <c r="GG617" s="31"/>
      <c r="GH617" s="31"/>
      <c r="GI617" s="31"/>
      <c r="GJ617" s="31"/>
      <c r="GK617" s="31"/>
      <c r="GL617" s="31"/>
      <c r="GM617" s="31"/>
      <c r="GN617" s="31"/>
      <c r="GO617" s="31"/>
      <c r="GP617" s="31"/>
      <c r="GQ617" s="31"/>
      <c r="GR617" s="31"/>
      <c r="GS617" s="31"/>
      <c r="GT617" s="31"/>
      <c r="GU617" s="31"/>
      <c r="GV617" s="31"/>
      <c r="GW617" s="31"/>
      <c r="GX617" s="31"/>
      <c r="GY617" s="31"/>
      <c r="GZ617" s="31"/>
      <c r="HA617" s="31"/>
      <c r="HB617" s="31"/>
      <c r="HC617" s="31"/>
      <c r="HD617" s="31"/>
      <c r="HE617" s="31"/>
      <c r="HF617" s="31"/>
      <c r="HG617" s="31"/>
      <c r="HH617" s="31"/>
      <c r="HI617" s="31"/>
      <c r="HJ617" s="31"/>
      <c r="HK617" s="31"/>
      <c r="HL617" s="31"/>
      <c r="HM617" s="31"/>
      <c r="HN617" s="31"/>
      <c r="HO617" s="31"/>
      <c r="HP617" s="31"/>
      <c r="HQ617" s="31"/>
      <c r="HR617" s="31"/>
      <c r="HS617" s="31"/>
      <c r="HT617" s="31"/>
      <c r="HU617" s="31"/>
      <c r="HV617" s="31"/>
      <c r="HW617" s="31"/>
      <c r="HX617" s="31"/>
      <c r="HY617" s="31"/>
      <c r="HZ617" s="31"/>
      <c r="IA617" s="31"/>
      <c r="IB617" s="31"/>
      <c r="IC617" s="31"/>
      <c r="ID617" s="31"/>
      <c r="IE617" s="31"/>
      <c r="IF617" s="31"/>
      <c r="IG617" s="31"/>
      <c r="IH617" s="31"/>
      <c r="II617" s="31"/>
      <c r="IJ617" s="31"/>
      <c r="IK617" s="31"/>
      <c r="IL617" s="31"/>
      <c r="IM617" s="31"/>
      <c r="IN617" s="31"/>
      <c r="IO617" s="31"/>
      <c r="IP617" s="31"/>
      <c r="IQ617" s="31"/>
      <c r="IR617" s="31"/>
      <c r="IS617" s="31"/>
      <c r="IT617" s="31"/>
      <c r="IU617" s="31"/>
      <c r="IV617" s="31"/>
      <c r="IW617" s="31"/>
      <c r="IX617" s="31"/>
      <c r="IY617" s="31"/>
      <c r="IZ617" s="31"/>
      <c r="JA617" s="31"/>
      <c r="JB617" s="31"/>
      <c r="JC617" s="31"/>
      <c r="JD617" s="31"/>
      <c r="JE617" s="31"/>
      <c r="JF617" s="31"/>
      <c r="JG617" s="31"/>
      <c r="JH617" s="31"/>
      <c r="JI617" s="31"/>
      <c r="JJ617" s="31"/>
      <c r="JK617" s="31"/>
      <c r="JL617" s="31"/>
      <c r="JM617" s="31"/>
      <c r="JN617" s="31"/>
      <c r="JO617" s="31"/>
      <c r="JP617" s="31"/>
      <c r="JQ617" s="31"/>
      <c r="JR617" s="31"/>
      <c r="JS617" s="31"/>
      <c r="JT617" s="31"/>
      <c r="JU617" s="31"/>
      <c r="JV617" s="31"/>
      <c r="JW617" s="31"/>
      <c r="JX617" s="31"/>
      <c r="JY617" s="31"/>
      <c r="JZ617" s="31"/>
      <c r="KA617" s="31"/>
      <c r="KB617" s="31"/>
      <c r="KC617" s="31"/>
      <c r="KD617" s="31"/>
      <c r="KE617" s="31"/>
      <c r="KF617" s="31"/>
      <c r="KG617" s="31"/>
      <c r="KH617" s="31"/>
      <c r="KI617" s="31"/>
      <c r="KJ617" s="31"/>
      <c r="KK617" s="31"/>
      <c r="KL617" s="31"/>
      <c r="KM617" s="31"/>
      <c r="KN617" s="31"/>
      <c r="KO617" s="31"/>
      <c r="KP617" s="31"/>
      <c r="KQ617" s="31"/>
      <c r="KR617" s="31"/>
      <c r="KS617" s="31"/>
      <c r="KT617" s="31"/>
      <c r="KU617" s="31"/>
      <c r="KV617" s="31"/>
      <c r="KW617" s="31"/>
      <c r="KX617" s="31"/>
      <c r="KY617" s="31"/>
      <c r="KZ617" s="31"/>
      <c r="LA617" s="31"/>
      <c r="LB617" s="31"/>
      <c r="LC617" s="31"/>
      <c r="LD617" s="31"/>
      <c r="LE617" s="31"/>
      <c r="LF617" s="31"/>
      <c r="LG617" s="31"/>
      <c r="LH617" s="31"/>
      <c r="LI617" s="31"/>
      <c r="LJ617" s="31"/>
      <c r="LK617" s="31"/>
      <c r="LL617" s="31"/>
      <c r="LM617" s="31"/>
      <c r="LN617" s="31"/>
      <c r="LO617" s="31"/>
      <c r="LP617" s="31"/>
      <c r="LQ617" s="31"/>
      <c r="LR617" s="31"/>
      <c r="LS617" s="31"/>
      <c r="LT617" s="31"/>
      <c r="LU617" s="31"/>
      <c r="LV617" s="31"/>
      <c r="LW617" s="31"/>
      <c r="LX617" s="31"/>
      <c r="LY617" s="31"/>
      <c r="LZ617" s="31"/>
      <c r="MA617" s="31"/>
      <c r="MB617" s="31"/>
      <c r="MC617" s="31"/>
      <c r="MD617" s="31"/>
      <c r="ME617" s="31"/>
      <c r="MF617" s="31"/>
      <c r="MG617" s="31"/>
      <c r="MH617" s="31"/>
      <c r="MI617" s="31"/>
      <c r="MJ617" s="31"/>
      <c r="MK617" s="31"/>
      <c r="ML617" s="31"/>
      <c r="MM617" s="31"/>
      <c r="MN617" s="31"/>
      <c r="MO617" s="31"/>
      <c r="MP617" s="31"/>
      <c r="MQ617" s="31"/>
      <c r="MR617" s="31"/>
      <c r="MS617" s="31"/>
      <c r="MT617" s="31"/>
      <c r="MU617" s="31"/>
      <c r="MV617" s="31"/>
      <c r="MW617" s="31"/>
      <c r="MX617" s="31"/>
      <c r="MY617" s="31"/>
      <c r="MZ617" s="31"/>
      <c r="NA617" s="31"/>
      <c r="NB617" s="31"/>
      <c r="NC617" s="31"/>
      <c r="ND617" s="31"/>
      <c r="NE617" s="31"/>
      <c r="NF617" s="31"/>
      <c r="NG617" s="31"/>
      <c r="NH617" s="31"/>
      <c r="NI617" s="31"/>
      <c r="NJ617" s="31"/>
      <c r="NK617" s="31"/>
      <c r="NL617" s="31"/>
      <c r="NM617" s="31"/>
      <c r="NN617" s="31"/>
      <c r="NO617" s="31"/>
      <c r="NP617" s="31"/>
      <c r="NQ617" s="31"/>
      <c r="NR617" s="31"/>
      <c r="NS617" s="31"/>
      <c r="NT617" s="31"/>
      <c r="NU617" s="31"/>
      <c r="NV617" s="31"/>
      <c r="NW617" s="31"/>
      <c r="NX617" s="31"/>
      <c r="NY617" s="31"/>
      <c r="NZ617" s="31"/>
      <c r="OA617" s="31"/>
      <c r="OB617" s="31"/>
      <c r="OC617" s="31"/>
      <c r="OD617" s="31"/>
      <c r="OE617" s="31"/>
      <c r="OF617" s="31"/>
      <c r="OG617" s="31"/>
      <c r="OH617" s="31"/>
      <c r="OI617" s="31"/>
      <c r="OJ617" s="31"/>
      <c r="OK617" s="31"/>
      <c r="OL617" s="31"/>
      <c r="OM617" s="31"/>
      <c r="ON617" s="31"/>
      <c r="OO617" s="31"/>
      <c r="OP617" s="31"/>
      <c r="OQ617" s="31"/>
      <c r="OR617" s="31"/>
      <c r="OS617" s="31"/>
      <c r="OT617" s="31"/>
      <c r="OU617" s="31"/>
      <c r="OV617" s="31"/>
      <c r="OW617" s="31"/>
      <c r="OX617" s="31"/>
      <c r="OY617" s="31"/>
      <c r="OZ617" s="31"/>
      <c r="PA617" s="31"/>
      <c r="PB617" s="31"/>
      <c r="PC617" s="31"/>
      <c r="PD617" s="31"/>
      <c r="PE617" s="31"/>
      <c r="PF617" s="31"/>
      <c r="PG617" s="31"/>
      <c r="PH617" s="31"/>
      <c r="PI617" s="31"/>
      <c r="PJ617" s="31"/>
      <c r="PK617" s="31"/>
      <c r="PL617" s="31"/>
      <c r="PM617" s="31"/>
      <c r="PN617" s="31"/>
      <c r="PO617" s="31"/>
      <c r="PP617" s="31"/>
      <c r="PQ617" s="31"/>
      <c r="PR617" s="31"/>
      <c r="PS617" s="31"/>
      <c r="PT617" s="31"/>
      <c r="PU617" s="31"/>
      <c r="PV617" s="31"/>
      <c r="PW617" s="31"/>
      <c r="PX617" s="31"/>
      <c r="PY617" s="31"/>
      <c r="PZ617" s="31"/>
      <c r="QA617" s="31"/>
      <c r="QB617" s="31"/>
      <c r="QC617" s="31"/>
      <c r="QD617" s="31"/>
      <c r="QE617" s="31"/>
      <c r="QF617" s="31"/>
      <c r="QG617" s="31"/>
      <c r="QH617" s="31"/>
      <c r="QI617" s="31"/>
      <c r="QJ617" s="31"/>
      <c r="QK617" s="31"/>
      <c r="QL617" s="31"/>
      <c r="QM617" s="31"/>
      <c r="QN617" s="31"/>
      <c r="QO617" s="31"/>
      <c r="QP617" s="31"/>
      <c r="QQ617" s="31"/>
      <c r="QR617" s="31"/>
      <c r="QS617" s="31"/>
      <c r="QT617" s="31"/>
      <c r="QU617" s="31"/>
      <c r="QV617" s="31"/>
      <c r="QW617" s="31"/>
      <c r="QX617" s="31"/>
      <c r="QY617" s="31"/>
      <c r="QZ617" s="31"/>
      <c r="RA617" s="31"/>
      <c r="RB617" s="31"/>
      <c r="RC617" s="31"/>
      <c r="RD617" s="31"/>
      <c r="RE617" s="31"/>
      <c r="RF617" s="31"/>
      <c r="RG617" s="31"/>
      <c r="RH617" s="31"/>
      <c r="RI617" s="31"/>
      <c r="RJ617" s="31"/>
      <c r="RK617" s="31"/>
      <c r="RL617" s="31"/>
      <c r="RM617" s="31"/>
      <c r="RN617" s="31"/>
      <c r="RO617" s="31"/>
      <c r="RP617" s="31"/>
      <c r="RQ617" s="31"/>
      <c r="RR617" s="31"/>
      <c r="RS617" s="31"/>
      <c r="RT617" s="31"/>
      <c r="RU617" s="31"/>
      <c r="RV617" s="31"/>
      <c r="RW617" s="31"/>
      <c r="RX617" s="31"/>
      <c r="RY617" s="31"/>
      <c r="RZ617" s="31"/>
      <c r="SA617" s="31"/>
      <c r="SB617" s="31"/>
      <c r="SC617" s="31"/>
      <c r="SD617" s="31"/>
      <c r="SE617" s="31"/>
      <c r="SF617" s="31"/>
      <c r="SG617" s="31"/>
      <c r="SH617" s="31"/>
      <c r="SI617" s="31"/>
      <c r="SJ617" s="31"/>
      <c r="SK617" s="31"/>
      <c r="SL617" s="31"/>
      <c r="SM617" s="31"/>
      <c r="SN617" s="31"/>
      <c r="SO617" s="31"/>
      <c r="SP617" s="31"/>
      <c r="SQ617" s="31"/>
      <c r="SR617" s="31"/>
      <c r="SS617" s="31"/>
      <c r="ST617" s="31"/>
      <c r="SU617" s="31"/>
      <c r="SV617" s="31"/>
      <c r="SW617" s="31"/>
      <c r="SX617" s="31"/>
      <c r="SY617" s="31"/>
      <c r="SZ617" s="31"/>
      <c r="TA617" s="31"/>
      <c r="TB617" s="31"/>
      <c r="TC617" s="31"/>
      <c r="TD617" s="31"/>
      <c r="TE617" s="31"/>
      <c r="TF617" s="31"/>
      <c r="TG617" s="31"/>
      <c r="TH617" s="31"/>
      <c r="TI617" s="31"/>
      <c r="TJ617" s="31"/>
      <c r="TK617" s="31"/>
      <c r="TL617" s="31"/>
      <c r="TM617" s="31"/>
      <c r="TN617" s="31"/>
      <c r="TO617" s="31"/>
      <c r="TP617" s="31"/>
      <c r="TQ617" s="31"/>
      <c r="TR617" s="31"/>
      <c r="TS617" s="31"/>
      <c r="TT617" s="31"/>
      <c r="TU617" s="31"/>
      <c r="TV617" s="31"/>
      <c r="TW617" s="31"/>
      <c r="TX617" s="31"/>
      <c r="TY617" s="31"/>
      <c r="TZ617" s="31"/>
      <c r="UA617" s="31"/>
      <c r="UB617" s="31"/>
      <c r="UC617" s="31"/>
      <c r="UD617" s="31"/>
      <c r="UE617" s="31"/>
      <c r="UF617" s="31"/>
      <c r="UG617" s="33"/>
    </row>
    <row r="618" spans="1:553" s="109" customFormat="1" ht="50.25" customHeight="1">
      <c r="A618" s="356" t="s">
        <v>15</v>
      </c>
      <c r="B618" s="385">
        <v>213</v>
      </c>
      <c r="C618" s="1403" t="s">
        <v>437</v>
      </c>
      <c r="D618" s="1389"/>
      <c r="E618" s="1389"/>
      <c r="F618" s="1390"/>
      <c r="G618" s="386"/>
      <c r="H618" s="370"/>
      <c r="I618" s="422"/>
      <c r="J618" s="368"/>
      <c r="K618" s="371"/>
      <c r="L618" s="487"/>
      <c r="M618" s="391"/>
      <c r="N618" s="391"/>
      <c r="O618" s="391"/>
      <c r="P618" s="391"/>
      <c r="Q618" s="1445"/>
      <c r="R618" s="1226"/>
      <c r="S618" s="308"/>
      <c r="T618" s="308"/>
      <c r="U618" s="308"/>
      <c r="V618" s="308"/>
      <c r="W618" s="308"/>
      <c r="X618" s="308"/>
      <c r="Y618" s="308"/>
      <c r="Z618" s="604"/>
      <c r="AA618" s="308"/>
      <c r="AB618" s="308"/>
      <c r="AC618" s="449"/>
      <c r="AD618" s="449"/>
      <c r="AE618" s="449"/>
      <c r="AF618" s="449"/>
      <c r="AG618" s="449"/>
      <c r="AH618" s="449"/>
      <c r="AI618" s="449"/>
      <c r="AJ618" s="449"/>
      <c r="AK618" s="452"/>
      <c r="AL618" s="116"/>
      <c r="AM618" s="112"/>
      <c r="AN618" s="112"/>
      <c r="AO618" s="112"/>
      <c r="AP618" s="112"/>
      <c r="AQ618" s="112"/>
      <c r="AR618" s="112"/>
      <c r="AS618" s="113"/>
      <c r="AT618" s="113"/>
      <c r="AU618" s="113"/>
      <c r="AV618" s="113"/>
      <c r="AW618" s="113"/>
      <c r="AX618" s="113"/>
      <c r="AY618" s="113"/>
      <c r="AZ618" s="113"/>
      <c r="BA618" s="113"/>
      <c r="BB618" s="113"/>
      <c r="BC618" s="113"/>
      <c r="BD618" s="113"/>
      <c r="BE618" s="113"/>
      <c r="BF618" s="113"/>
      <c r="BG618" s="113"/>
      <c r="BH618" s="113"/>
      <c r="BI618" s="113"/>
      <c r="BJ618" s="113"/>
      <c r="BK618" s="113"/>
      <c r="BL618" s="113"/>
      <c r="BM618" s="113"/>
      <c r="BN618" s="113"/>
      <c r="BO618" s="113"/>
      <c r="BP618" s="113"/>
      <c r="BQ618" s="113"/>
      <c r="BR618" s="113"/>
      <c r="BS618" s="113"/>
      <c r="BT618" s="113"/>
      <c r="BU618" s="113"/>
      <c r="BV618" s="113"/>
      <c r="BW618" s="113"/>
      <c r="BX618" s="113"/>
      <c r="BY618" s="113"/>
      <c r="BZ618" s="113"/>
      <c r="CA618" s="113"/>
      <c r="CB618" s="113"/>
      <c r="CC618" s="113"/>
      <c r="CD618" s="113"/>
      <c r="CE618" s="113"/>
      <c r="CF618" s="113"/>
      <c r="CG618" s="113"/>
      <c r="CH618" s="113"/>
      <c r="CI618" s="113"/>
      <c r="CJ618" s="113"/>
      <c r="CK618" s="113"/>
      <c r="CL618" s="113"/>
      <c r="CM618" s="113"/>
      <c r="CN618" s="113"/>
      <c r="CO618" s="113"/>
      <c r="CP618" s="113"/>
      <c r="CQ618" s="113"/>
      <c r="CR618" s="113"/>
      <c r="CS618" s="113"/>
      <c r="CT618" s="113"/>
      <c r="CU618" s="113"/>
      <c r="CV618" s="113"/>
      <c r="CW618" s="113"/>
      <c r="CX618" s="113"/>
      <c r="CY618" s="113"/>
      <c r="CZ618" s="113"/>
      <c r="DA618" s="113"/>
      <c r="DB618" s="113"/>
      <c r="DC618" s="113"/>
      <c r="DD618" s="113"/>
      <c r="DE618" s="113"/>
      <c r="DF618" s="113"/>
      <c r="DG618" s="113"/>
      <c r="DH618" s="113"/>
      <c r="DI618" s="113"/>
      <c r="DJ618" s="113"/>
      <c r="DK618" s="113"/>
      <c r="DL618" s="113"/>
      <c r="DM618" s="113"/>
      <c r="DN618" s="113"/>
      <c r="DO618" s="113"/>
      <c r="DP618" s="113"/>
      <c r="DQ618" s="113"/>
      <c r="DR618" s="113"/>
      <c r="DS618" s="113"/>
      <c r="DT618" s="113"/>
      <c r="DU618" s="113"/>
      <c r="DV618" s="113"/>
      <c r="DW618" s="113"/>
      <c r="DX618" s="113"/>
      <c r="DY618" s="113"/>
      <c r="DZ618" s="113"/>
      <c r="EA618" s="113"/>
      <c r="EB618" s="113"/>
      <c r="EC618" s="113"/>
      <c r="ED618" s="113"/>
      <c r="EE618" s="113"/>
      <c r="EF618" s="113"/>
      <c r="EG618" s="113"/>
      <c r="EH618" s="113"/>
      <c r="EI618" s="113"/>
      <c r="EJ618" s="113"/>
      <c r="EK618" s="113"/>
      <c r="EL618" s="113"/>
      <c r="EM618" s="113"/>
      <c r="EN618" s="113"/>
      <c r="EO618" s="113"/>
      <c r="EP618" s="113"/>
      <c r="EQ618" s="113"/>
      <c r="ER618" s="113"/>
      <c r="ES618" s="113"/>
      <c r="ET618" s="113"/>
      <c r="EU618" s="113"/>
      <c r="EV618" s="113"/>
      <c r="EW618" s="113"/>
      <c r="EX618" s="113"/>
      <c r="EY618" s="113"/>
      <c r="EZ618" s="113"/>
      <c r="FA618" s="113"/>
      <c r="FB618" s="113"/>
      <c r="FC618" s="113"/>
      <c r="FD618" s="113"/>
      <c r="FE618" s="113"/>
      <c r="FF618" s="113"/>
      <c r="FG618" s="113"/>
      <c r="FH618" s="113"/>
      <c r="FI618" s="113"/>
      <c r="FJ618" s="113"/>
      <c r="FK618" s="113"/>
      <c r="FL618" s="113"/>
      <c r="FM618" s="113"/>
      <c r="FN618" s="113"/>
      <c r="FO618" s="113"/>
      <c r="FP618" s="113"/>
      <c r="FQ618" s="113"/>
      <c r="FR618" s="113"/>
      <c r="FS618" s="113"/>
      <c r="FT618" s="113"/>
      <c r="FU618" s="113"/>
      <c r="FV618" s="113"/>
      <c r="FW618" s="113"/>
      <c r="FX618" s="113"/>
      <c r="FY618" s="113"/>
      <c r="FZ618" s="113"/>
      <c r="GA618" s="113"/>
      <c r="GB618" s="113"/>
      <c r="GC618" s="113"/>
      <c r="GD618" s="113"/>
      <c r="GE618" s="113"/>
      <c r="GF618" s="113"/>
      <c r="GG618" s="113"/>
      <c r="GH618" s="113"/>
      <c r="GI618" s="113"/>
      <c r="GJ618" s="113"/>
      <c r="GK618" s="113"/>
      <c r="GL618" s="113"/>
      <c r="GM618" s="113"/>
      <c r="GN618" s="113"/>
      <c r="GO618" s="113"/>
      <c r="GP618" s="113"/>
      <c r="GQ618" s="113"/>
      <c r="GR618" s="113"/>
      <c r="GS618" s="113"/>
      <c r="GT618" s="113"/>
      <c r="GU618" s="113"/>
      <c r="GV618" s="113"/>
      <c r="GW618" s="113"/>
      <c r="GX618" s="113"/>
      <c r="GY618" s="113"/>
      <c r="GZ618" s="113"/>
      <c r="HA618" s="113"/>
      <c r="HB618" s="113"/>
      <c r="HC618" s="113"/>
      <c r="HD618" s="113"/>
      <c r="HE618" s="113"/>
      <c r="HF618" s="113"/>
      <c r="HG618" s="113"/>
      <c r="HH618" s="113"/>
      <c r="HI618" s="113"/>
      <c r="HJ618" s="113"/>
      <c r="HK618" s="113"/>
      <c r="HL618" s="113"/>
      <c r="HM618" s="113"/>
      <c r="HN618" s="113"/>
      <c r="HO618" s="113"/>
      <c r="HP618" s="113"/>
      <c r="HQ618" s="113"/>
      <c r="HR618" s="113"/>
      <c r="HS618" s="113"/>
      <c r="HT618" s="113"/>
      <c r="HU618" s="113"/>
      <c r="HV618" s="113"/>
      <c r="HW618" s="113"/>
      <c r="HX618" s="113"/>
      <c r="HY618" s="113"/>
      <c r="HZ618" s="113"/>
      <c r="IA618" s="113"/>
      <c r="IB618" s="113"/>
      <c r="IC618" s="113"/>
      <c r="ID618" s="113"/>
      <c r="IE618" s="113"/>
      <c r="IF618" s="113"/>
      <c r="IG618" s="113"/>
      <c r="IH618" s="113"/>
      <c r="II618" s="113"/>
      <c r="IJ618" s="113"/>
      <c r="IK618" s="113"/>
      <c r="IL618" s="113"/>
      <c r="IM618" s="113"/>
      <c r="IN618" s="113"/>
      <c r="IO618" s="113"/>
      <c r="IP618" s="113"/>
      <c r="IQ618" s="113"/>
      <c r="IR618" s="113"/>
      <c r="IS618" s="113"/>
      <c r="IT618" s="113"/>
      <c r="IU618" s="113"/>
      <c r="IV618" s="113"/>
      <c r="IW618" s="113"/>
      <c r="IX618" s="113"/>
      <c r="IY618" s="113"/>
      <c r="IZ618" s="113"/>
      <c r="JA618" s="113"/>
      <c r="JB618" s="113"/>
      <c r="JC618" s="113"/>
      <c r="JD618" s="113"/>
      <c r="JE618" s="113"/>
      <c r="JF618" s="113"/>
      <c r="JG618" s="113"/>
      <c r="JH618" s="113"/>
      <c r="JI618" s="113"/>
      <c r="JJ618" s="113"/>
      <c r="JK618" s="113"/>
      <c r="JL618" s="113"/>
      <c r="JM618" s="113"/>
      <c r="JN618" s="113"/>
      <c r="JO618" s="113"/>
      <c r="JP618" s="113"/>
      <c r="JQ618" s="113"/>
      <c r="JR618" s="113"/>
      <c r="JS618" s="113"/>
      <c r="JT618" s="113"/>
      <c r="JU618" s="113"/>
      <c r="JV618" s="113"/>
      <c r="JW618" s="113"/>
      <c r="JX618" s="113"/>
      <c r="JY618" s="113"/>
      <c r="JZ618" s="113"/>
      <c r="KA618" s="113"/>
      <c r="KB618" s="113"/>
      <c r="KC618" s="113"/>
      <c r="KD618" s="113"/>
      <c r="KE618" s="113"/>
      <c r="KF618" s="113"/>
      <c r="KG618" s="113"/>
      <c r="KH618" s="113"/>
      <c r="KI618" s="113"/>
      <c r="KJ618" s="113"/>
      <c r="KK618" s="113"/>
      <c r="KL618" s="113"/>
      <c r="KM618" s="113"/>
      <c r="KN618" s="113"/>
      <c r="KO618" s="113"/>
      <c r="KP618" s="113"/>
      <c r="KQ618" s="113"/>
      <c r="KR618" s="113"/>
      <c r="KS618" s="113"/>
      <c r="KT618" s="113"/>
      <c r="KU618" s="113"/>
      <c r="KV618" s="113"/>
      <c r="KW618" s="113"/>
      <c r="KX618" s="113"/>
      <c r="KY618" s="113"/>
      <c r="KZ618" s="113"/>
      <c r="LA618" s="113"/>
      <c r="LB618" s="113"/>
      <c r="LC618" s="113"/>
      <c r="LD618" s="113"/>
      <c r="LE618" s="113"/>
      <c r="LF618" s="113"/>
      <c r="LG618" s="113"/>
      <c r="LH618" s="113"/>
      <c r="LI618" s="113"/>
      <c r="LJ618" s="113"/>
      <c r="LK618" s="113"/>
      <c r="LL618" s="113"/>
      <c r="LM618" s="113"/>
      <c r="LN618" s="113"/>
      <c r="LO618" s="113"/>
      <c r="LP618" s="113"/>
      <c r="LQ618" s="113"/>
      <c r="LR618" s="113"/>
      <c r="LS618" s="113"/>
      <c r="LT618" s="113"/>
      <c r="LU618" s="113"/>
      <c r="LV618" s="113"/>
      <c r="LW618" s="113"/>
      <c r="LX618" s="113"/>
      <c r="LY618" s="113"/>
      <c r="LZ618" s="113"/>
      <c r="MA618" s="113"/>
      <c r="MB618" s="113"/>
      <c r="MC618" s="113"/>
      <c r="MD618" s="113"/>
      <c r="ME618" s="113"/>
      <c r="MF618" s="113"/>
      <c r="MG618" s="113"/>
      <c r="MH618" s="113"/>
      <c r="MI618" s="113"/>
      <c r="MJ618" s="113"/>
      <c r="MK618" s="113"/>
      <c r="ML618" s="113"/>
      <c r="MM618" s="113"/>
      <c r="MN618" s="113"/>
      <c r="MO618" s="113"/>
      <c r="MP618" s="113"/>
      <c r="MQ618" s="113"/>
      <c r="MR618" s="113"/>
      <c r="MS618" s="113"/>
      <c r="MT618" s="113"/>
      <c r="MU618" s="113"/>
      <c r="MV618" s="113"/>
      <c r="MW618" s="113"/>
      <c r="MX618" s="113"/>
      <c r="MY618" s="113"/>
      <c r="MZ618" s="113"/>
      <c r="NA618" s="113"/>
      <c r="NB618" s="113"/>
      <c r="NC618" s="113"/>
      <c r="ND618" s="113"/>
      <c r="NE618" s="113"/>
      <c r="NF618" s="113"/>
      <c r="NG618" s="113"/>
      <c r="NH618" s="113"/>
      <c r="NI618" s="113"/>
      <c r="NJ618" s="113"/>
      <c r="NK618" s="113"/>
      <c r="NL618" s="113"/>
      <c r="NM618" s="113"/>
      <c r="NN618" s="113"/>
      <c r="NO618" s="113"/>
      <c r="NP618" s="113"/>
      <c r="NQ618" s="113"/>
      <c r="NR618" s="113"/>
      <c r="NS618" s="113"/>
      <c r="NT618" s="113"/>
      <c r="NU618" s="113"/>
      <c r="NV618" s="113"/>
      <c r="NW618" s="113"/>
      <c r="NX618" s="113"/>
      <c r="NY618" s="113"/>
      <c r="NZ618" s="113"/>
      <c r="OA618" s="113"/>
      <c r="OB618" s="113"/>
      <c r="OC618" s="113"/>
      <c r="OD618" s="113"/>
      <c r="OE618" s="113"/>
      <c r="OF618" s="113"/>
      <c r="OG618" s="113"/>
      <c r="OH618" s="113"/>
      <c r="OI618" s="113"/>
      <c r="OJ618" s="113"/>
      <c r="OK618" s="113"/>
      <c r="OL618" s="113"/>
      <c r="OM618" s="113"/>
      <c r="ON618" s="113"/>
      <c r="OO618" s="113"/>
      <c r="OP618" s="113"/>
      <c r="OQ618" s="113"/>
      <c r="OR618" s="113"/>
      <c r="OS618" s="113"/>
      <c r="OT618" s="113"/>
      <c r="OU618" s="113"/>
      <c r="OV618" s="113"/>
      <c r="OW618" s="113"/>
      <c r="OX618" s="113"/>
      <c r="OY618" s="113"/>
      <c r="OZ618" s="113"/>
      <c r="PA618" s="113"/>
      <c r="PB618" s="113"/>
      <c r="PC618" s="113"/>
      <c r="PD618" s="113"/>
      <c r="PE618" s="113"/>
      <c r="PF618" s="113"/>
      <c r="PG618" s="113"/>
      <c r="PH618" s="113"/>
      <c r="PI618" s="113"/>
      <c r="PJ618" s="113"/>
      <c r="PK618" s="113"/>
      <c r="PL618" s="113"/>
      <c r="PM618" s="113"/>
      <c r="PN618" s="113"/>
      <c r="PO618" s="113"/>
      <c r="PP618" s="113"/>
      <c r="PQ618" s="113"/>
      <c r="PR618" s="113"/>
      <c r="PS618" s="113"/>
      <c r="PT618" s="113"/>
      <c r="PU618" s="113"/>
      <c r="PV618" s="113"/>
      <c r="PW618" s="113"/>
      <c r="PX618" s="113"/>
      <c r="PY618" s="113"/>
      <c r="PZ618" s="113"/>
      <c r="QA618" s="113"/>
      <c r="QB618" s="113"/>
      <c r="QC618" s="113"/>
      <c r="QD618" s="113"/>
      <c r="QE618" s="113"/>
      <c r="QF618" s="113"/>
      <c r="QG618" s="113"/>
      <c r="QH618" s="113"/>
      <c r="QI618" s="113"/>
      <c r="QJ618" s="113"/>
      <c r="QK618" s="113"/>
      <c r="QL618" s="113"/>
      <c r="QM618" s="113"/>
      <c r="QN618" s="113"/>
      <c r="QO618" s="113"/>
      <c r="QP618" s="113"/>
      <c r="QQ618" s="113"/>
      <c r="QR618" s="113"/>
      <c r="QS618" s="113"/>
      <c r="QT618" s="113"/>
      <c r="QU618" s="113"/>
      <c r="QV618" s="113"/>
      <c r="QW618" s="113"/>
      <c r="QX618" s="113"/>
      <c r="QY618" s="113"/>
      <c r="QZ618" s="113"/>
      <c r="RA618" s="113"/>
      <c r="RB618" s="113"/>
      <c r="RC618" s="113"/>
      <c r="RD618" s="113"/>
      <c r="RE618" s="113"/>
      <c r="RF618" s="113"/>
      <c r="RG618" s="113"/>
      <c r="RH618" s="113"/>
      <c r="RI618" s="113"/>
      <c r="RJ618" s="113"/>
      <c r="RK618" s="113"/>
      <c r="RL618" s="113"/>
      <c r="RM618" s="113"/>
      <c r="RN618" s="113"/>
      <c r="RO618" s="113"/>
      <c r="RP618" s="113"/>
      <c r="RQ618" s="113"/>
      <c r="RR618" s="113"/>
      <c r="RS618" s="113"/>
      <c r="RT618" s="113"/>
      <c r="RU618" s="113"/>
      <c r="RV618" s="113"/>
      <c r="RW618" s="113"/>
      <c r="RX618" s="113"/>
      <c r="RY618" s="113"/>
      <c r="RZ618" s="113"/>
      <c r="SA618" s="113"/>
      <c r="SB618" s="113"/>
      <c r="SC618" s="113"/>
      <c r="SD618" s="113"/>
      <c r="SE618" s="113"/>
      <c r="SF618" s="113"/>
      <c r="SG618" s="113"/>
      <c r="SH618" s="113"/>
      <c r="SI618" s="113"/>
      <c r="SJ618" s="113"/>
      <c r="SK618" s="113"/>
      <c r="SL618" s="113"/>
      <c r="SM618" s="113"/>
      <c r="SN618" s="113"/>
      <c r="SO618" s="113"/>
      <c r="SP618" s="113"/>
      <c r="SQ618" s="113"/>
      <c r="SR618" s="113"/>
      <c r="SS618" s="113"/>
      <c r="ST618" s="113"/>
      <c r="SU618" s="113"/>
      <c r="SV618" s="113"/>
      <c r="SW618" s="113"/>
      <c r="SX618" s="113"/>
      <c r="SY618" s="113"/>
      <c r="SZ618" s="113"/>
      <c r="TA618" s="113"/>
      <c r="TB618" s="113"/>
      <c r="TC618" s="113"/>
      <c r="TD618" s="113"/>
      <c r="TE618" s="113"/>
      <c r="TF618" s="113"/>
      <c r="TG618" s="113"/>
      <c r="TH618" s="113"/>
      <c r="TI618" s="113"/>
      <c r="TJ618" s="113"/>
      <c r="TK618" s="113"/>
      <c r="TL618" s="113"/>
      <c r="TM618" s="113"/>
      <c r="TN618" s="113"/>
      <c r="TO618" s="113"/>
      <c r="TP618" s="113"/>
      <c r="TQ618" s="113"/>
      <c r="TR618" s="113"/>
      <c r="TS618" s="113"/>
      <c r="TT618" s="113"/>
      <c r="TU618" s="113"/>
      <c r="TV618" s="113"/>
      <c r="TW618" s="113"/>
      <c r="TX618" s="113"/>
      <c r="TY618" s="113"/>
      <c r="TZ618" s="113"/>
      <c r="UA618" s="113"/>
      <c r="UB618" s="113"/>
      <c r="UC618" s="113"/>
      <c r="UD618" s="113"/>
      <c r="UE618" s="113"/>
      <c r="UF618" s="113"/>
      <c r="UG618" s="126"/>
    </row>
    <row r="619" spans="1:553" s="109" customFormat="1" ht="50.25" customHeight="1">
      <c r="A619" s="356" t="s">
        <v>30</v>
      </c>
      <c r="B619" s="385"/>
      <c r="C619" s="1403" t="s">
        <v>932</v>
      </c>
      <c r="D619" s="1389"/>
      <c r="E619" s="1389"/>
      <c r="F619" s="1390"/>
      <c r="G619" s="386" t="s">
        <v>34</v>
      </c>
      <c r="H619" s="370"/>
      <c r="I619" s="422">
        <f>23*0.4*1.2</f>
        <v>11.040000000000001</v>
      </c>
      <c r="J619" s="368">
        <f>1/((0.95+0.7)/2*1.45*1)*2025500</f>
        <v>1693207.941483804</v>
      </c>
      <c r="K619" s="371"/>
      <c r="L619" s="487">
        <f>J619*I619</f>
        <v>18693015.673981197</v>
      </c>
      <c r="M619" s="391"/>
      <c r="N619" s="391"/>
      <c r="O619" s="391"/>
      <c r="P619" s="391"/>
      <c r="Q619" s="1225"/>
      <c r="R619" s="1226"/>
      <c r="S619" s="308"/>
      <c r="T619" s="308"/>
      <c r="U619" s="308"/>
      <c r="V619" s="308"/>
      <c r="W619" s="308"/>
      <c r="X619" s="308"/>
      <c r="Y619" s="308"/>
      <c r="Z619" s="604"/>
      <c r="AA619" s="308"/>
      <c r="AB619" s="308"/>
      <c r="AC619" s="449"/>
      <c r="AD619" s="449"/>
      <c r="AE619" s="449"/>
      <c r="AF619" s="449"/>
      <c r="AG619" s="449"/>
      <c r="AH619" s="449"/>
      <c r="AI619" s="449"/>
      <c r="AJ619" s="449"/>
      <c r="AK619" s="452"/>
      <c r="AL619" s="116"/>
      <c r="AM619" s="116"/>
      <c r="AN619" s="116"/>
      <c r="AO619" s="116"/>
      <c r="AP619" s="116"/>
      <c r="AQ619" s="116"/>
      <c r="AR619" s="116"/>
      <c r="AS619" s="117"/>
      <c r="AT619" s="117"/>
      <c r="AU619" s="117"/>
      <c r="AV619" s="117"/>
      <c r="AW619" s="117"/>
      <c r="AX619" s="117"/>
      <c r="AY619" s="117"/>
      <c r="AZ619" s="117"/>
      <c r="BA619" s="117"/>
      <c r="BB619" s="117"/>
      <c r="BC619" s="117"/>
      <c r="BD619" s="117"/>
      <c r="BE619" s="117"/>
      <c r="BF619" s="117"/>
      <c r="BG619" s="117"/>
      <c r="BH619" s="117"/>
      <c r="BI619" s="117"/>
      <c r="BJ619" s="117"/>
      <c r="BK619" s="117"/>
      <c r="BL619" s="117"/>
      <c r="BM619" s="117"/>
      <c r="BN619" s="117"/>
      <c r="BO619" s="117"/>
      <c r="BP619" s="117"/>
      <c r="BQ619" s="117"/>
      <c r="BR619" s="117"/>
      <c r="BS619" s="117"/>
      <c r="BT619" s="117"/>
      <c r="BU619" s="117"/>
      <c r="BV619" s="117"/>
      <c r="BW619" s="117"/>
      <c r="BX619" s="117"/>
      <c r="BY619" s="117"/>
      <c r="BZ619" s="117"/>
      <c r="CA619" s="117"/>
      <c r="CB619" s="117"/>
      <c r="CC619" s="117"/>
      <c r="CD619" s="117"/>
      <c r="CE619" s="117"/>
      <c r="CF619" s="117"/>
      <c r="CG619" s="117"/>
      <c r="CH619" s="117"/>
      <c r="CI619" s="117"/>
      <c r="CJ619" s="117"/>
      <c r="CK619" s="117"/>
      <c r="CL619" s="117"/>
      <c r="CM619" s="117"/>
      <c r="CN619" s="117"/>
      <c r="CO619" s="117"/>
      <c r="CP619" s="117"/>
      <c r="CQ619" s="117"/>
      <c r="CR619" s="117"/>
      <c r="CS619" s="117"/>
      <c r="CT619" s="117"/>
      <c r="CU619" s="117"/>
      <c r="CV619" s="117"/>
      <c r="CW619" s="117"/>
      <c r="CX619" s="117"/>
      <c r="CY619" s="117"/>
      <c r="CZ619" s="117"/>
      <c r="DA619" s="117"/>
      <c r="DB619" s="117"/>
      <c r="DC619" s="117"/>
      <c r="DD619" s="117"/>
      <c r="DE619" s="117"/>
      <c r="DF619" s="117"/>
      <c r="DG619" s="117"/>
      <c r="DH619" s="117"/>
      <c r="DI619" s="117"/>
      <c r="DJ619" s="117"/>
      <c r="DK619" s="117"/>
      <c r="DL619" s="117"/>
      <c r="DM619" s="117"/>
      <c r="DN619" s="117"/>
      <c r="DO619" s="117"/>
      <c r="DP619" s="117"/>
      <c r="DQ619" s="117"/>
      <c r="DR619" s="117"/>
      <c r="DS619" s="117"/>
      <c r="DT619" s="117"/>
      <c r="DU619" s="117"/>
      <c r="DV619" s="117"/>
      <c r="DW619" s="117"/>
      <c r="DX619" s="117"/>
      <c r="DY619" s="117"/>
      <c r="DZ619" s="117"/>
      <c r="EA619" s="117"/>
      <c r="EB619" s="117"/>
      <c r="EC619" s="117"/>
      <c r="ED619" s="117"/>
      <c r="EE619" s="117"/>
      <c r="EF619" s="117"/>
      <c r="EG619" s="117"/>
      <c r="EH619" s="117"/>
      <c r="EI619" s="117"/>
      <c r="EJ619" s="117"/>
      <c r="EK619" s="117"/>
      <c r="EL619" s="117"/>
      <c r="EM619" s="117"/>
      <c r="EN619" s="117"/>
      <c r="EO619" s="117"/>
      <c r="EP619" s="117"/>
      <c r="EQ619" s="117"/>
      <c r="ER619" s="117"/>
      <c r="ES619" s="117"/>
      <c r="ET619" s="117"/>
      <c r="EU619" s="117"/>
      <c r="EV619" s="117"/>
      <c r="EW619" s="117"/>
      <c r="EX619" s="117"/>
      <c r="EY619" s="117"/>
      <c r="EZ619" s="117"/>
      <c r="FA619" s="117"/>
      <c r="FB619" s="117"/>
      <c r="FC619" s="117"/>
      <c r="FD619" s="117"/>
      <c r="FE619" s="117"/>
      <c r="FF619" s="117"/>
      <c r="FG619" s="117"/>
      <c r="FH619" s="117"/>
      <c r="FI619" s="117"/>
      <c r="FJ619" s="117"/>
      <c r="FK619" s="117"/>
      <c r="FL619" s="117"/>
      <c r="FM619" s="117"/>
      <c r="FN619" s="117"/>
      <c r="FO619" s="117"/>
      <c r="FP619" s="117"/>
      <c r="FQ619" s="117"/>
      <c r="FR619" s="117"/>
      <c r="FS619" s="117"/>
      <c r="FT619" s="117"/>
      <c r="FU619" s="117"/>
      <c r="FV619" s="117"/>
      <c r="FW619" s="117"/>
      <c r="FX619" s="117"/>
      <c r="FY619" s="117"/>
      <c r="FZ619" s="117"/>
      <c r="GA619" s="117"/>
      <c r="GB619" s="117"/>
      <c r="GC619" s="117"/>
      <c r="GD619" s="117"/>
      <c r="GE619" s="117"/>
      <c r="GF619" s="117"/>
      <c r="GG619" s="117"/>
      <c r="GH619" s="117"/>
      <c r="GI619" s="117"/>
      <c r="GJ619" s="117"/>
      <c r="GK619" s="117"/>
      <c r="GL619" s="117"/>
      <c r="GM619" s="117"/>
      <c r="GN619" s="117"/>
      <c r="GO619" s="117"/>
      <c r="GP619" s="117"/>
      <c r="GQ619" s="117"/>
      <c r="GR619" s="117"/>
      <c r="GS619" s="117"/>
      <c r="GT619" s="117"/>
      <c r="GU619" s="117"/>
      <c r="GV619" s="117"/>
      <c r="GW619" s="117"/>
      <c r="GX619" s="117"/>
      <c r="GY619" s="117"/>
      <c r="GZ619" s="117"/>
      <c r="HA619" s="117"/>
      <c r="HB619" s="117"/>
      <c r="HC619" s="117"/>
      <c r="HD619" s="117"/>
      <c r="HE619" s="117"/>
      <c r="HF619" s="117"/>
      <c r="HG619" s="117"/>
      <c r="HH619" s="117"/>
      <c r="HI619" s="117"/>
      <c r="HJ619" s="117"/>
      <c r="HK619" s="117"/>
      <c r="HL619" s="117"/>
      <c r="HM619" s="117"/>
      <c r="HN619" s="117"/>
      <c r="HO619" s="117"/>
      <c r="HP619" s="117"/>
      <c r="HQ619" s="117"/>
      <c r="HR619" s="117"/>
      <c r="HS619" s="117"/>
      <c r="HT619" s="117"/>
      <c r="HU619" s="117"/>
      <c r="HV619" s="117"/>
      <c r="HW619" s="117"/>
      <c r="HX619" s="117"/>
      <c r="HY619" s="117"/>
      <c r="HZ619" s="117"/>
      <c r="IA619" s="117"/>
      <c r="IB619" s="117"/>
      <c r="IC619" s="117"/>
      <c r="ID619" s="117"/>
      <c r="IE619" s="117"/>
      <c r="IF619" s="117"/>
      <c r="IG619" s="117"/>
      <c r="IH619" s="117"/>
      <c r="II619" s="117"/>
      <c r="IJ619" s="117"/>
      <c r="IK619" s="117"/>
      <c r="IL619" s="117"/>
      <c r="IM619" s="117"/>
      <c r="IN619" s="117"/>
      <c r="IO619" s="117"/>
      <c r="IP619" s="117"/>
      <c r="IQ619" s="117"/>
      <c r="IR619" s="117"/>
      <c r="IS619" s="117"/>
      <c r="IT619" s="117"/>
      <c r="IU619" s="117"/>
      <c r="IV619" s="117"/>
      <c r="IW619" s="117"/>
      <c r="IX619" s="117"/>
      <c r="IY619" s="117"/>
      <c r="IZ619" s="117"/>
      <c r="JA619" s="117"/>
      <c r="JB619" s="117"/>
      <c r="JC619" s="117"/>
      <c r="JD619" s="117"/>
      <c r="JE619" s="117"/>
      <c r="JF619" s="117"/>
      <c r="JG619" s="117"/>
      <c r="JH619" s="117"/>
      <c r="JI619" s="117"/>
      <c r="JJ619" s="117"/>
      <c r="JK619" s="117"/>
      <c r="JL619" s="117"/>
      <c r="JM619" s="117"/>
      <c r="JN619" s="117"/>
      <c r="JO619" s="117"/>
      <c r="JP619" s="117"/>
      <c r="JQ619" s="117"/>
      <c r="JR619" s="117"/>
      <c r="JS619" s="117"/>
      <c r="JT619" s="117"/>
      <c r="JU619" s="117"/>
      <c r="JV619" s="117"/>
      <c r="JW619" s="117"/>
      <c r="JX619" s="117"/>
      <c r="JY619" s="117"/>
      <c r="JZ619" s="117"/>
      <c r="KA619" s="117"/>
      <c r="KB619" s="117"/>
      <c r="KC619" s="117"/>
      <c r="KD619" s="117"/>
      <c r="KE619" s="117"/>
      <c r="KF619" s="117"/>
      <c r="KG619" s="117"/>
      <c r="KH619" s="117"/>
      <c r="KI619" s="117"/>
      <c r="KJ619" s="117"/>
      <c r="KK619" s="117"/>
      <c r="KL619" s="117"/>
      <c r="KM619" s="117"/>
      <c r="KN619" s="117"/>
      <c r="KO619" s="117"/>
      <c r="KP619" s="117"/>
      <c r="KQ619" s="117"/>
      <c r="KR619" s="117"/>
      <c r="KS619" s="117"/>
      <c r="KT619" s="117"/>
      <c r="KU619" s="117"/>
      <c r="KV619" s="117"/>
      <c r="KW619" s="117"/>
      <c r="KX619" s="117"/>
      <c r="KY619" s="117"/>
      <c r="KZ619" s="117"/>
      <c r="LA619" s="117"/>
      <c r="LB619" s="117"/>
      <c r="LC619" s="117"/>
      <c r="LD619" s="117"/>
      <c r="LE619" s="117"/>
      <c r="LF619" s="117"/>
      <c r="LG619" s="117"/>
      <c r="LH619" s="117"/>
      <c r="LI619" s="117"/>
      <c r="LJ619" s="117"/>
      <c r="LK619" s="117"/>
      <c r="LL619" s="117"/>
      <c r="LM619" s="117"/>
      <c r="LN619" s="117"/>
      <c r="LO619" s="117"/>
      <c r="LP619" s="117"/>
      <c r="LQ619" s="117"/>
      <c r="LR619" s="117"/>
      <c r="LS619" s="117"/>
      <c r="LT619" s="117"/>
      <c r="LU619" s="117"/>
      <c r="LV619" s="117"/>
      <c r="LW619" s="117"/>
      <c r="LX619" s="117"/>
      <c r="LY619" s="117"/>
      <c r="LZ619" s="117"/>
      <c r="MA619" s="117"/>
      <c r="MB619" s="117"/>
      <c r="MC619" s="117"/>
      <c r="MD619" s="117"/>
      <c r="ME619" s="117"/>
      <c r="MF619" s="117"/>
      <c r="MG619" s="117"/>
      <c r="MH619" s="117"/>
      <c r="MI619" s="117"/>
      <c r="MJ619" s="117"/>
      <c r="MK619" s="117"/>
      <c r="ML619" s="117"/>
      <c r="MM619" s="117"/>
      <c r="MN619" s="117"/>
      <c r="MO619" s="117"/>
      <c r="MP619" s="117"/>
      <c r="MQ619" s="117"/>
      <c r="MR619" s="117"/>
      <c r="MS619" s="117"/>
      <c r="MT619" s="117"/>
      <c r="MU619" s="117"/>
      <c r="MV619" s="117"/>
      <c r="MW619" s="117"/>
      <c r="MX619" s="117"/>
      <c r="MY619" s="117"/>
      <c r="MZ619" s="117"/>
      <c r="NA619" s="117"/>
      <c r="NB619" s="117"/>
      <c r="NC619" s="117"/>
      <c r="ND619" s="117"/>
      <c r="NE619" s="117"/>
      <c r="NF619" s="117"/>
      <c r="NG619" s="117"/>
      <c r="NH619" s="117"/>
      <c r="NI619" s="117"/>
      <c r="NJ619" s="117"/>
      <c r="NK619" s="117"/>
      <c r="NL619" s="117"/>
      <c r="NM619" s="117"/>
      <c r="NN619" s="117"/>
      <c r="NO619" s="117"/>
      <c r="NP619" s="117"/>
      <c r="NQ619" s="117"/>
      <c r="NR619" s="117"/>
      <c r="NS619" s="117"/>
      <c r="NT619" s="117"/>
      <c r="NU619" s="117"/>
      <c r="NV619" s="117"/>
      <c r="NW619" s="117"/>
      <c r="NX619" s="117"/>
      <c r="NY619" s="117"/>
      <c r="NZ619" s="117"/>
      <c r="OA619" s="117"/>
      <c r="OB619" s="117"/>
      <c r="OC619" s="117"/>
      <c r="OD619" s="117"/>
      <c r="OE619" s="117"/>
      <c r="OF619" s="117"/>
      <c r="OG619" s="117"/>
      <c r="OH619" s="117"/>
      <c r="OI619" s="117"/>
      <c r="OJ619" s="117"/>
      <c r="OK619" s="117"/>
      <c r="OL619" s="117"/>
      <c r="OM619" s="117"/>
      <c r="ON619" s="117"/>
      <c r="OO619" s="117"/>
      <c r="OP619" s="117"/>
      <c r="OQ619" s="117"/>
      <c r="OR619" s="117"/>
      <c r="OS619" s="117"/>
      <c r="OT619" s="117"/>
      <c r="OU619" s="117"/>
      <c r="OV619" s="117"/>
      <c r="OW619" s="117"/>
      <c r="OX619" s="117"/>
      <c r="OY619" s="117"/>
      <c r="OZ619" s="117"/>
      <c r="PA619" s="117"/>
      <c r="PB619" s="117"/>
      <c r="PC619" s="117"/>
      <c r="PD619" s="117"/>
      <c r="PE619" s="117"/>
      <c r="PF619" s="117"/>
      <c r="PG619" s="117"/>
      <c r="PH619" s="117"/>
      <c r="PI619" s="117"/>
      <c r="PJ619" s="117"/>
      <c r="PK619" s="117"/>
      <c r="PL619" s="117"/>
      <c r="PM619" s="117"/>
      <c r="PN619" s="117"/>
      <c r="PO619" s="117"/>
      <c r="PP619" s="117"/>
      <c r="PQ619" s="117"/>
      <c r="PR619" s="117"/>
      <c r="PS619" s="117"/>
      <c r="PT619" s="117"/>
      <c r="PU619" s="117"/>
      <c r="PV619" s="117"/>
      <c r="PW619" s="117"/>
      <c r="PX619" s="117"/>
      <c r="PY619" s="117"/>
      <c r="PZ619" s="117"/>
      <c r="QA619" s="117"/>
      <c r="QB619" s="117"/>
      <c r="QC619" s="117"/>
      <c r="QD619" s="117"/>
      <c r="QE619" s="117"/>
      <c r="QF619" s="117"/>
      <c r="QG619" s="117"/>
      <c r="QH619" s="117"/>
      <c r="QI619" s="117"/>
      <c r="QJ619" s="117"/>
      <c r="QK619" s="117"/>
      <c r="QL619" s="117"/>
      <c r="QM619" s="117"/>
      <c r="QN619" s="117"/>
      <c r="QO619" s="117"/>
      <c r="QP619" s="117"/>
      <c r="QQ619" s="117"/>
      <c r="QR619" s="117"/>
      <c r="QS619" s="117"/>
      <c r="QT619" s="117"/>
      <c r="QU619" s="117"/>
      <c r="QV619" s="117"/>
      <c r="QW619" s="117"/>
      <c r="QX619" s="117"/>
      <c r="QY619" s="117"/>
      <c r="QZ619" s="117"/>
      <c r="RA619" s="117"/>
      <c r="RB619" s="117"/>
      <c r="RC619" s="117"/>
      <c r="RD619" s="117"/>
      <c r="RE619" s="117"/>
      <c r="RF619" s="117"/>
      <c r="RG619" s="117"/>
      <c r="RH619" s="117"/>
      <c r="RI619" s="117"/>
      <c r="RJ619" s="117"/>
      <c r="RK619" s="117"/>
      <c r="RL619" s="117"/>
      <c r="RM619" s="117"/>
      <c r="RN619" s="117"/>
      <c r="RO619" s="117"/>
      <c r="RP619" s="117"/>
      <c r="RQ619" s="117"/>
      <c r="RR619" s="117"/>
      <c r="RS619" s="117"/>
      <c r="RT619" s="117"/>
      <c r="RU619" s="117"/>
      <c r="RV619" s="117"/>
      <c r="RW619" s="117"/>
      <c r="RX619" s="117"/>
      <c r="RY619" s="117"/>
      <c r="RZ619" s="117"/>
      <c r="SA619" s="117"/>
      <c r="SB619" s="117"/>
      <c r="SC619" s="117"/>
      <c r="SD619" s="117"/>
      <c r="SE619" s="117"/>
      <c r="SF619" s="117"/>
      <c r="SG619" s="117"/>
      <c r="SH619" s="117"/>
      <c r="SI619" s="117"/>
      <c r="SJ619" s="117"/>
      <c r="SK619" s="117"/>
      <c r="SL619" s="117"/>
      <c r="SM619" s="117"/>
      <c r="SN619" s="117"/>
      <c r="SO619" s="117"/>
      <c r="SP619" s="117"/>
      <c r="SQ619" s="117"/>
      <c r="SR619" s="117"/>
      <c r="SS619" s="117"/>
      <c r="ST619" s="117"/>
      <c r="SU619" s="117"/>
      <c r="SV619" s="117"/>
      <c r="SW619" s="117"/>
      <c r="SX619" s="117"/>
      <c r="SY619" s="117"/>
      <c r="SZ619" s="117"/>
      <c r="TA619" s="117"/>
      <c r="TB619" s="117"/>
      <c r="TC619" s="117"/>
      <c r="TD619" s="117"/>
      <c r="TE619" s="117"/>
      <c r="TF619" s="117"/>
      <c r="TG619" s="117"/>
      <c r="TH619" s="117"/>
      <c r="TI619" s="117"/>
      <c r="TJ619" s="117"/>
      <c r="TK619" s="117"/>
      <c r="TL619" s="117"/>
      <c r="TM619" s="117"/>
      <c r="TN619" s="117"/>
      <c r="TO619" s="117"/>
      <c r="TP619" s="117"/>
      <c r="TQ619" s="117"/>
      <c r="TR619" s="117"/>
      <c r="TS619" s="117"/>
      <c r="TT619" s="117"/>
      <c r="TU619" s="117"/>
      <c r="TV619" s="117"/>
      <c r="TW619" s="117"/>
      <c r="TX619" s="117"/>
      <c r="TY619" s="117"/>
      <c r="TZ619" s="117"/>
      <c r="UA619" s="117"/>
      <c r="UB619" s="117"/>
      <c r="UC619" s="117"/>
      <c r="UD619" s="117"/>
      <c r="UE619" s="117"/>
      <c r="UF619" s="117"/>
      <c r="UG619" s="126"/>
    </row>
    <row r="620" spans="1:553" s="109" customFormat="1" ht="50.25" customHeight="1">
      <c r="A620" s="356" t="s">
        <v>30</v>
      </c>
      <c r="B620" s="385"/>
      <c r="C620" s="1403" t="s">
        <v>933</v>
      </c>
      <c r="D620" s="1389"/>
      <c r="E620" s="1389"/>
      <c r="F620" s="1390"/>
      <c r="G620" s="386" t="s">
        <v>34</v>
      </c>
      <c r="H620" s="370"/>
      <c r="I620" s="422">
        <f>45*0.4*0.8</f>
        <v>14.4</v>
      </c>
      <c r="J620" s="368">
        <f t="shared" ref="J620:J621" si="103">1/((0.95+0.7)/2*1.45*1)*2025500</f>
        <v>1693207.941483804</v>
      </c>
      <c r="K620" s="371"/>
      <c r="L620" s="487">
        <f t="shared" ref="L620:L621" si="104">J620*I620</f>
        <v>24382194.357366778</v>
      </c>
      <c r="M620" s="391"/>
      <c r="N620" s="391"/>
      <c r="O620" s="391"/>
      <c r="P620" s="391"/>
      <c r="Q620" s="1225"/>
      <c r="R620" s="1226"/>
      <c r="S620" s="308"/>
      <c r="T620" s="308"/>
      <c r="U620" s="308"/>
      <c r="V620" s="308"/>
      <c r="W620" s="308"/>
      <c r="X620" s="308"/>
      <c r="Y620" s="308"/>
      <c r="Z620" s="604"/>
      <c r="AA620" s="308"/>
      <c r="AB620" s="308"/>
      <c r="AC620" s="449"/>
      <c r="AD620" s="449"/>
      <c r="AE620" s="449"/>
      <c r="AF620" s="449"/>
      <c r="AG620" s="449"/>
      <c r="AH620" s="449"/>
      <c r="AI620" s="449"/>
      <c r="AJ620" s="449"/>
      <c r="AK620" s="452"/>
      <c r="AL620" s="116"/>
      <c r="AM620" s="116"/>
      <c r="AN620" s="116"/>
      <c r="AO620" s="116"/>
      <c r="AP620" s="116"/>
      <c r="AQ620" s="116"/>
      <c r="AR620" s="116"/>
      <c r="AS620" s="117"/>
      <c r="AT620" s="117"/>
      <c r="AU620" s="117"/>
      <c r="AV620" s="117"/>
      <c r="AW620" s="117"/>
      <c r="AX620" s="117"/>
      <c r="AY620" s="117"/>
      <c r="AZ620" s="117"/>
      <c r="BA620" s="117"/>
      <c r="BB620" s="117"/>
      <c r="BC620" s="117"/>
      <c r="BD620" s="117"/>
      <c r="BE620" s="117"/>
      <c r="BF620" s="117"/>
      <c r="BG620" s="117"/>
      <c r="BH620" s="117"/>
      <c r="BI620" s="117"/>
      <c r="BJ620" s="117"/>
      <c r="BK620" s="117"/>
      <c r="BL620" s="117"/>
      <c r="BM620" s="117"/>
      <c r="BN620" s="117"/>
      <c r="BO620" s="117"/>
      <c r="BP620" s="117"/>
      <c r="BQ620" s="117"/>
      <c r="BR620" s="117"/>
      <c r="BS620" s="117"/>
      <c r="BT620" s="117"/>
      <c r="BU620" s="117"/>
      <c r="BV620" s="117"/>
      <c r="BW620" s="117"/>
      <c r="BX620" s="117"/>
      <c r="BY620" s="117"/>
      <c r="BZ620" s="117"/>
      <c r="CA620" s="117"/>
      <c r="CB620" s="117"/>
      <c r="CC620" s="117"/>
      <c r="CD620" s="117"/>
      <c r="CE620" s="117"/>
      <c r="CF620" s="117"/>
      <c r="CG620" s="117"/>
      <c r="CH620" s="117"/>
      <c r="CI620" s="117"/>
      <c r="CJ620" s="117"/>
      <c r="CK620" s="117"/>
      <c r="CL620" s="117"/>
      <c r="CM620" s="117"/>
      <c r="CN620" s="117"/>
      <c r="CO620" s="117"/>
      <c r="CP620" s="117"/>
      <c r="CQ620" s="117"/>
      <c r="CR620" s="117"/>
      <c r="CS620" s="117"/>
      <c r="CT620" s="117"/>
      <c r="CU620" s="117"/>
      <c r="CV620" s="117"/>
      <c r="CW620" s="117"/>
      <c r="CX620" s="117"/>
      <c r="CY620" s="117"/>
      <c r="CZ620" s="117"/>
      <c r="DA620" s="117"/>
      <c r="DB620" s="117"/>
      <c r="DC620" s="117"/>
      <c r="DD620" s="117"/>
      <c r="DE620" s="117"/>
      <c r="DF620" s="117"/>
      <c r="DG620" s="117"/>
      <c r="DH620" s="117"/>
      <c r="DI620" s="117"/>
      <c r="DJ620" s="117"/>
      <c r="DK620" s="117"/>
      <c r="DL620" s="117"/>
      <c r="DM620" s="117"/>
      <c r="DN620" s="117"/>
      <c r="DO620" s="117"/>
      <c r="DP620" s="117"/>
      <c r="DQ620" s="117"/>
      <c r="DR620" s="117"/>
      <c r="DS620" s="117"/>
      <c r="DT620" s="117"/>
      <c r="DU620" s="117"/>
      <c r="DV620" s="117"/>
      <c r="DW620" s="117"/>
      <c r="DX620" s="117"/>
      <c r="DY620" s="117"/>
      <c r="DZ620" s="117"/>
      <c r="EA620" s="117"/>
      <c r="EB620" s="117"/>
      <c r="EC620" s="117"/>
      <c r="ED620" s="117"/>
      <c r="EE620" s="117"/>
      <c r="EF620" s="117"/>
      <c r="EG620" s="117"/>
      <c r="EH620" s="117"/>
      <c r="EI620" s="117"/>
      <c r="EJ620" s="117"/>
      <c r="EK620" s="117"/>
      <c r="EL620" s="117"/>
      <c r="EM620" s="117"/>
      <c r="EN620" s="117"/>
      <c r="EO620" s="117"/>
      <c r="EP620" s="117"/>
      <c r="EQ620" s="117"/>
      <c r="ER620" s="117"/>
      <c r="ES620" s="117"/>
      <c r="ET620" s="117"/>
      <c r="EU620" s="117"/>
      <c r="EV620" s="117"/>
      <c r="EW620" s="117"/>
      <c r="EX620" s="117"/>
      <c r="EY620" s="117"/>
      <c r="EZ620" s="117"/>
      <c r="FA620" s="117"/>
      <c r="FB620" s="117"/>
      <c r="FC620" s="117"/>
      <c r="FD620" s="117"/>
      <c r="FE620" s="117"/>
      <c r="FF620" s="117"/>
      <c r="FG620" s="117"/>
      <c r="FH620" s="117"/>
      <c r="FI620" s="117"/>
      <c r="FJ620" s="117"/>
      <c r="FK620" s="117"/>
      <c r="FL620" s="117"/>
      <c r="FM620" s="117"/>
      <c r="FN620" s="117"/>
      <c r="FO620" s="117"/>
      <c r="FP620" s="117"/>
      <c r="FQ620" s="117"/>
      <c r="FR620" s="117"/>
      <c r="FS620" s="117"/>
      <c r="FT620" s="117"/>
      <c r="FU620" s="117"/>
      <c r="FV620" s="117"/>
      <c r="FW620" s="117"/>
      <c r="FX620" s="117"/>
      <c r="FY620" s="117"/>
      <c r="FZ620" s="117"/>
      <c r="GA620" s="117"/>
      <c r="GB620" s="117"/>
      <c r="GC620" s="117"/>
      <c r="GD620" s="117"/>
      <c r="GE620" s="117"/>
      <c r="GF620" s="117"/>
      <c r="GG620" s="117"/>
      <c r="GH620" s="117"/>
      <c r="GI620" s="117"/>
      <c r="GJ620" s="117"/>
      <c r="GK620" s="117"/>
      <c r="GL620" s="117"/>
      <c r="GM620" s="117"/>
      <c r="GN620" s="117"/>
      <c r="GO620" s="117"/>
      <c r="GP620" s="117"/>
      <c r="GQ620" s="117"/>
      <c r="GR620" s="117"/>
      <c r="GS620" s="117"/>
      <c r="GT620" s="117"/>
      <c r="GU620" s="117"/>
      <c r="GV620" s="117"/>
      <c r="GW620" s="117"/>
      <c r="GX620" s="117"/>
      <c r="GY620" s="117"/>
      <c r="GZ620" s="117"/>
      <c r="HA620" s="117"/>
      <c r="HB620" s="117"/>
      <c r="HC620" s="117"/>
      <c r="HD620" s="117"/>
      <c r="HE620" s="117"/>
      <c r="HF620" s="117"/>
      <c r="HG620" s="117"/>
      <c r="HH620" s="117"/>
      <c r="HI620" s="117"/>
      <c r="HJ620" s="117"/>
      <c r="HK620" s="117"/>
      <c r="HL620" s="117"/>
      <c r="HM620" s="117"/>
      <c r="HN620" s="117"/>
      <c r="HO620" s="117"/>
      <c r="HP620" s="117"/>
      <c r="HQ620" s="117"/>
      <c r="HR620" s="117"/>
      <c r="HS620" s="117"/>
      <c r="HT620" s="117"/>
      <c r="HU620" s="117"/>
      <c r="HV620" s="117"/>
      <c r="HW620" s="117"/>
      <c r="HX620" s="117"/>
      <c r="HY620" s="117"/>
      <c r="HZ620" s="117"/>
      <c r="IA620" s="117"/>
      <c r="IB620" s="117"/>
      <c r="IC620" s="117"/>
      <c r="ID620" s="117"/>
      <c r="IE620" s="117"/>
      <c r="IF620" s="117"/>
      <c r="IG620" s="117"/>
      <c r="IH620" s="117"/>
      <c r="II620" s="117"/>
      <c r="IJ620" s="117"/>
      <c r="IK620" s="117"/>
      <c r="IL620" s="117"/>
      <c r="IM620" s="117"/>
      <c r="IN620" s="117"/>
      <c r="IO620" s="117"/>
      <c r="IP620" s="117"/>
      <c r="IQ620" s="117"/>
      <c r="IR620" s="117"/>
      <c r="IS620" s="117"/>
      <c r="IT620" s="117"/>
      <c r="IU620" s="117"/>
      <c r="IV620" s="117"/>
      <c r="IW620" s="117"/>
      <c r="IX620" s="117"/>
      <c r="IY620" s="117"/>
      <c r="IZ620" s="117"/>
      <c r="JA620" s="117"/>
      <c r="JB620" s="117"/>
      <c r="JC620" s="117"/>
      <c r="JD620" s="117"/>
      <c r="JE620" s="117"/>
      <c r="JF620" s="117"/>
      <c r="JG620" s="117"/>
      <c r="JH620" s="117"/>
      <c r="JI620" s="117"/>
      <c r="JJ620" s="117"/>
      <c r="JK620" s="117"/>
      <c r="JL620" s="117"/>
      <c r="JM620" s="117"/>
      <c r="JN620" s="117"/>
      <c r="JO620" s="117"/>
      <c r="JP620" s="117"/>
      <c r="JQ620" s="117"/>
      <c r="JR620" s="117"/>
      <c r="JS620" s="117"/>
      <c r="JT620" s="117"/>
      <c r="JU620" s="117"/>
      <c r="JV620" s="117"/>
      <c r="JW620" s="117"/>
      <c r="JX620" s="117"/>
      <c r="JY620" s="117"/>
      <c r="JZ620" s="117"/>
      <c r="KA620" s="117"/>
      <c r="KB620" s="117"/>
      <c r="KC620" s="117"/>
      <c r="KD620" s="117"/>
      <c r="KE620" s="117"/>
      <c r="KF620" s="117"/>
      <c r="KG620" s="117"/>
      <c r="KH620" s="117"/>
      <c r="KI620" s="117"/>
      <c r="KJ620" s="117"/>
      <c r="KK620" s="117"/>
      <c r="KL620" s="117"/>
      <c r="KM620" s="117"/>
      <c r="KN620" s="117"/>
      <c r="KO620" s="117"/>
      <c r="KP620" s="117"/>
      <c r="KQ620" s="117"/>
      <c r="KR620" s="117"/>
      <c r="KS620" s="117"/>
      <c r="KT620" s="117"/>
      <c r="KU620" s="117"/>
      <c r="KV620" s="117"/>
      <c r="KW620" s="117"/>
      <c r="KX620" s="117"/>
      <c r="KY620" s="117"/>
      <c r="KZ620" s="117"/>
      <c r="LA620" s="117"/>
      <c r="LB620" s="117"/>
      <c r="LC620" s="117"/>
      <c r="LD620" s="117"/>
      <c r="LE620" s="117"/>
      <c r="LF620" s="117"/>
      <c r="LG620" s="117"/>
      <c r="LH620" s="117"/>
      <c r="LI620" s="117"/>
      <c r="LJ620" s="117"/>
      <c r="LK620" s="117"/>
      <c r="LL620" s="117"/>
      <c r="LM620" s="117"/>
      <c r="LN620" s="117"/>
      <c r="LO620" s="117"/>
      <c r="LP620" s="117"/>
      <c r="LQ620" s="117"/>
      <c r="LR620" s="117"/>
      <c r="LS620" s="117"/>
      <c r="LT620" s="117"/>
      <c r="LU620" s="117"/>
      <c r="LV620" s="117"/>
      <c r="LW620" s="117"/>
      <c r="LX620" s="117"/>
      <c r="LY620" s="117"/>
      <c r="LZ620" s="117"/>
      <c r="MA620" s="117"/>
      <c r="MB620" s="117"/>
      <c r="MC620" s="117"/>
      <c r="MD620" s="117"/>
      <c r="ME620" s="117"/>
      <c r="MF620" s="117"/>
      <c r="MG620" s="117"/>
      <c r="MH620" s="117"/>
      <c r="MI620" s="117"/>
      <c r="MJ620" s="117"/>
      <c r="MK620" s="117"/>
      <c r="ML620" s="117"/>
      <c r="MM620" s="117"/>
      <c r="MN620" s="117"/>
      <c r="MO620" s="117"/>
      <c r="MP620" s="117"/>
      <c r="MQ620" s="117"/>
      <c r="MR620" s="117"/>
      <c r="MS620" s="117"/>
      <c r="MT620" s="117"/>
      <c r="MU620" s="117"/>
      <c r="MV620" s="117"/>
      <c r="MW620" s="117"/>
      <c r="MX620" s="117"/>
      <c r="MY620" s="117"/>
      <c r="MZ620" s="117"/>
      <c r="NA620" s="117"/>
      <c r="NB620" s="117"/>
      <c r="NC620" s="117"/>
      <c r="ND620" s="117"/>
      <c r="NE620" s="117"/>
      <c r="NF620" s="117"/>
      <c r="NG620" s="117"/>
      <c r="NH620" s="117"/>
      <c r="NI620" s="117"/>
      <c r="NJ620" s="117"/>
      <c r="NK620" s="117"/>
      <c r="NL620" s="117"/>
      <c r="NM620" s="117"/>
      <c r="NN620" s="117"/>
      <c r="NO620" s="117"/>
      <c r="NP620" s="117"/>
      <c r="NQ620" s="117"/>
      <c r="NR620" s="117"/>
      <c r="NS620" s="117"/>
      <c r="NT620" s="117"/>
      <c r="NU620" s="117"/>
      <c r="NV620" s="117"/>
      <c r="NW620" s="117"/>
      <c r="NX620" s="117"/>
      <c r="NY620" s="117"/>
      <c r="NZ620" s="117"/>
      <c r="OA620" s="117"/>
      <c r="OB620" s="117"/>
      <c r="OC620" s="117"/>
      <c r="OD620" s="117"/>
      <c r="OE620" s="117"/>
      <c r="OF620" s="117"/>
      <c r="OG620" s="117"/>
      <c r="OH620" s="117"/>
      <c r="OI620" s="117"/>
      <c r="OJ620" s="117"/>
      <c r="OK620" s="117"/>
      <c r="OL620" s="117"/>
      <c r="OM620" s="117"/>
      <c r="ON620" s="117"/>
      <c r="OO620" s="117"/>
      <c r="OP620" s="117"/>
      <c r="OQ620" s="117"/>
      <c r="OR620" s="117"/>
      <c r="OS620" s="117"/>
      <c r="OT620" s="117"/>
      <c r="OU620" s="117"/>
      <c r="OV620" s="117"/>
      <c r="OW620" s="117"/>
      <c r="OX620" s="117"/>
      <c r="OY620" s="117"/>
      <c r="OZ620" s="117"/>
      <c r="PA620" s="117"/>
      <c r="PB620" s="117"/>
      <c r="PC620" s="117"/>
      <c r="PD620" s="117"/>
      <c r="PE620" s="117"/>
      <c r="PF620" s="117"/>
      <c r="PG620" s="117"/>
      <c r="PH620" s="117"/>
      <c r="PI620" s="117"/>
      <c r="PJ620" s="117"/>
      <c r="PK620" s="117"/>
      <c r="PL620" s="117"/>
      <c r="PM620" s="117"/>
      <c r="PN620" s="117"/>
      <c r="PO620" s="117"/>
      <c r="PP620" s="117"/>
      <c r="PQ620" s="117"/>
      <c r="PR620" s="117"/>
      <c r="PS620" s="117"/>
      <c r="PT620" s="117"/>
      <c r="PU620" s="117"/>
      <c r="PV620" s="117"/>
      <c r="PW620" s="117"/>
      <c r="PX620" s="117"/>
      <c r="PY620" s="117"/>
      <c r="PZ620" s="117"/>
      <c r="QA620" s="117"/>
      <c r="QB620" s="117"/>
      <c r="QC620" s="117"/>
      <c r="QD620" s="117"/>
      <c r="QE620" s="117"/>
      <c r="QF620" s="117"/>
      <c r="QG620" s="117"/>
      <c r="QH620" s="117"/>
      <c r="QI620" s="117"/>
      <c r="QJ620" s="117"/>
      <c r="QK620" s="117"/>
      <c r="QL620" s="117"/>
      <c r="QM620" s="117"/>
      <c r="QN620" s="117"/>
      <c r="QO620" s="117"/>
      <c r="QP620" s="117"/>
      <c r="QQ620" s="117"/>
      <c r="QR620" s="117"/>
      <c r="QS620" s="117"/>
      <c r="QT620" s="117"/>
      <c r="QU620" s="117"/>
      <c r="QV620" s="117"/>
      <c r="QW620" s="117"/>
      <c r="QX620" s="117"/>
      <c r="QY620" s="117"/>
      <c r="QZ620" s="117"/>
      <c r="RA620" s="117"/>
      <c r="RB620" s="117"/>
      <c r="RC620" s="117"/>
      <c r="RD620" s="117"/>
      <c r="RE620" s="117"/>
      <c r="RF620" s="117"/>
      <c r="RG620" s="117"/>
      <c r="RH620" s="117"/>
      <c r="RI620" s="117"/>
      <c r="RJ620" s="117"/>
      <c r="RK620" s="117"/>
      <c r="RL620" s="117"/>
      <c r="RM620" s="117"/>
      <c r="RN620" s="117"/>
      <c r="RO620" s="117"/>
      <c r="RP620" s="117"/>
      <c r="RQ620" s="117"/>
      <c r="RR620" s="117"/>
      <c r="RS620" s="117"/>
      <c r="RT620" s="117"/>
      <c r="RU620" s="117"/>
      <c r="RV620" s="117"/>
      <c r="RW620" s="117"/>
      <c r="RX620" s="117"/>
      <c r="RY620" s="117"/>
      <c r="RZ620" s="117"/>
      <c r="SA620" s="117"/>
      <c r="SB620" s="117"/>
      <c r="SC620" s="117"/>
      <c r="SD620" s="117"/>
      <c r="SE620" s="117"/>
      <c r="SF620" s="117"/>
      <c r="SG620" s="117"/>
      <c r="SH620" s="117"/>
      <c r="SI620" s="117"/>
      <c r="SJ620" s="117"/>
      <c r="SK620" s="117"/>
      <c r="SL620" s="117"/>
      <c r="SM620" s="117"/>
      <c r="SN620" s="117"/>
      <c r="SO620" s="117"/>
      <c r="SP620" s="117"/>
      <c r="SQ620" s="117"/>
      <c r="SR620" s="117"/>
      <c r="SS620" s="117"/>
      <c r="ST620" s="117"/>
      <c r="SU620" s="117"/>
      <c r="SV620" s="117"/>
      <c r="SW620" s="117"/>
      <c r="SX620" s="117"/>
      <c r="SY620" s="117"/>
      <c r="SZ620" s="117"/>
      <c r="TA620" s="117"/>
      <c r="TB620" s="117"/>
      <c r="TC620" s="117"/>
      <c r="TD620" s="117"/>
      <c r="TE620" s="117"/>
      <c r="TF620" s="117"/>
      <c r="TG620" s="117"/>
      <c r="TH620" s="117"/>
      <c r="TI620" s="117"/>
      <c r="TJ620" s="117"/>
      <c r="TK620" s="117"/>
      <c r="TL620" s="117"/>
      <c r="TM620" s="117"/>
      <c r="TN620" s="117"/>
      <c r="TO620" s="117"/>
      <c r="TP620" s="117"/>
      <c r="TQ620" s="117"/>
      <c r="TR620" s="117"/>
      <c r="TS620" s="117"/>
      <c r="TT620" s="117"/>
      <c r="TU620" s="117"/>
      <c r="TV620" s="117"/>
      <c r="TW620" s="117"/>
      <c r="TX620" s="117"/>
      <c r="TY620" s="117"/>
      <c r="TZ620" s="117"/>
      <c r="UA620" s="117"/>
      <c r="UB620" s="117"/>
      <c r="UC620" s="117"/>
      <c r="UD620" s="117"/>
      <c r="UE620" s="117"/>
      <c r="UF620" s="117"/>
      <c r="UG620" s="126"/>
    </row>
    <row r="621" spans="1:553" s="109" customFormat="1" ht="50.25" customHeight="1">
      <c r="A621" s="356" t="s">
        <v>30</v>
      </c>
      <c r="B621" s="385"/>
      <c r="C621" s="1403" t="s">
        <v>934</v>
      </c>
      <c r="D621" s="1389"/>
      <c r="E621" s="1389"/>
      <c r="F621" s="1390"/>
      <c r="G621" s="386" t="s">
        <v>34</v>
      </c>
      <c r="H621" s="370"/>
      <c r="I621" s="422">
        <f>44*0.4*0.7</f>
        <v>12.32</v>
      </c>
      <c r="J621" s="368">
        <f t="shared" si="103"/>
        <v>1693207.941483804</v>
      </c>
      <c r="K621" s="371"/>
      <c r="L621" s="487">
        <f t="shared" si="104"/>
        <v>20860321.839080468</v>
      </c>
      <c r="M621" s="391"/>
      <c r="N621" s="391"/>
      <c r="O621" s="391"/>
      <c r="P621" s="391"/>
      <c r="Q621" s="1225"/>
      <c r="R621" s="1226"/>
      <c r="S621" s="308"/>
      <c r="T621" s="308"/>
      <c r="U621" s="308"/>
      <c r="V621" s="308"/>
      <c r="W621" s="308"/>
      <c r="X621" s="308"/>
      <c r="Y621" s="308"/>
      <c r="Z621" s="604"/>
      <c r="AA621" s="308"/>
      <c r="AB621" s="308"/>
      <c r="AC621" s="449"/>
      <c r="AD621" s="449"/>
      <c r="AE621" s="449"/>
      <c r="AF621" s="449"/>
      <c r="AG621" s="449"/>
      <c r="AH621" s="449"/>
      <c r="AI621" s="449"/>
      <c r="AJ621" s="449"/>
      <c r="AK621" s="452"/>
      <c r="AL621" s="116"/>
      <c r="AM621" s="116"/>
      <c r="AN621" s="116"/>
      <c r="AO621" s="116"/>
      <c r="AP621" s="116"/>
      <c r="AQ621" s="116"/>
      <c r="AR621" s="116"/>
      <c r="AS621" s="117"/>
      <c r="AT621" s="117"/>
      <c r="AU621" s="117"/>
      <c r="AV621" s="117"/>
      <c r="AW621" s="117"/>
      <c r="AX621" s="117"/>
      <c r="AY621" s="117"/>
      <c r="AZ621" s="117"/>
      <c r="BA621" s="117"/>
      <c r="BB621" s="117"/>
      <c r="BC621" s="117"/>
      <c r="BD621" s="117"/>
      <c r="BE621" s="117"/>
      <c r="BF621" s="117"/>
      <c r="BG621" s="117"/>
      <c r="BH621" s="117"/>
      <c r="BI621" s="117"/>
      <c r="BJ621" s="117"/>
      <c r="BK621" s="117"/>
      <c r="BL621" s="117"/>
      <c r="BM621" s="117"/>
      <c r="BN621" s="117"/>
      <c r="BO621" s="117"/>
      <c r="BP621" s="117"/>
      <c r="BQ621" s="117"/>
      <c r="BR621" s="117"/>
      <c r="BS621" s="117"/>
      <c r="BT621" s="117"/>
      <c r="BU621" s="117"/>
      <c r="BV621" s="117"/>
      <c r="BW621" s="117"/>
      <c r="BX621" s="117"/>
      <c r="BY621" s="117"/>
      <c r="BZ621" s="117"/>
      <c r="CA621" s="117"/>
      <c r="CB621" s="117"/>
      <c r="CC621" s="117"/>
      <c r="CD621" s="117"/>
      <c r="CE621" s="117"/>
      <c r="CF621" s="117"/>
      <c r="CG621" s="117"/>
      <c r="CH621" s="117"/>
      <c r="CI621" s="117"/>
      <c r="CJ621" s="117"/>
      <c r="CK621" s="117"/>
      <c r="CL621" s="117"/>
      <c r="CM621" s="117"/>
      <c r="CN621" s="117"/>
      <c r="CO621" s="117"/>
      <c r="CP621" s="117"/>
      <c r="CQ621" s="117"/>
      <c r="CR621" s="117"/>
      <c r="CS621" s="117"/>
      <c r="CT621" s="117"/>
      <c r="CU621" s="117"/>
      <c r="CV621" s="117"/>
      <c r="CW621" s="117"/>
      <c r="CX621" s="117"/>
      <c r="CY621" s="117"/>
      <c r="CZ621" s="117"/>
      <c r="DA621" s="117"/>
      <c r="DB621" s="117"/>
      <c r="DC621" s="117"/>
      <c r="DD621" s="117"/>
      <c r="DE621" s="117"/>
      <c r="DF621" s="117"/>
      <c r="DG621" s="117"/>
      <c r="DH621" s="117"/>
      <c r="DI621" s="117"/>
      <c r="DJ621" s="117"/>
      <c r="DK621" s="117"/>
      <c r="DL621" s="117"/>
      <c r="DM621" s="117"/>
      <c r="DN621" s="117"/>
      <c r="DO621" s="117"/>
      <c r="DP621" s="117"/>
      <c r="DQ621" s="117"/>
      <c r="DR621" s="117"/>
      <c r="DS621" s="117"/>
      <c r="DT621" s="117"/>
      <c r="DU621" s="117"/>
      <c r="DV621" s="117"/>
      <c r="DW621" s="117"/>
      <c r="DX621" s="117"/>
      <c r="DY621" s="117"/>
      <c r="DZ621" s="117"/>
      <c r="EA621" s="117"/>
      <c r="EB621" s="117"/>
      <c r="EC621" s="117"/>
      <c r="ED621" s="117"/>
      <c r="EE621" s="117"/>
      <c r="EF621" s="117"/>
      <c r="EG621" s="117"/>
      <c r="EH621" s="117"/>
      <c r="EI621" s="117"/>
      <c r="EJ621" s="117"/>
      <c r="EK621" s="117"/>
      <c r="EL621" s="117"/>
      <c r="EM621" s="117"/>
      <c r="EN621" s="117"/>
      <c r="EO621" s="117"/>
      <c r="EP621" s="117"/>
      <c r="EQ621" s="117"/>
      <c r="ER621" s="117"/>
      <c r="ES621" s="117"/>
      <c r="ET621" s="117"/>
      <c r="EU621" s="117"/>
      <c r="EV621" s="117"/>
      <c r="EW621" s="117"/>
      <c r="EX621" s="117"/>
      <c r="EY621" s="117"/>
      <c r="EZ621" s="117"/>
      <c r="FA621" s="117"/>
      <c r="FB621" s="117"/>
      <c r="FC621" s="117"/>
      <c r="FD621" s="117"/>
      <c r="FE621" s="117"/>
      <c r="FF621" s="117"/>
      <c r="FG621" s="117"/>
      <c r="FH621" s="117"/>
      <c r="FI621" s="117"/>
      <c r="FJ621" s="117"/>
      <c r="FK621" s="117"/>
      <c r="FL621" s="117"/>
      <c r="FM621" s="117"/>
      <c r="FN621" s="117"/>
      <c r="FO621" s="117"/>
      <c r="FP621" s="117"/>
      <c r="FQ621" s="117"/>
      <c r="FR621" s="117"/>
      <c r="FS621" s="117"/>
      <c r="FT621" s="117"/>
      <c r="FU621" s="117"/>
      <c r="FV621" s="117"/>
      <c r="FW621" s="117"/>
      <c r="FX621" s="117"/>
      <c r="FY621" s="117"/>
      <c r="FZ621" s="117"/>
      <c r="GA621" s="117"/>
      <c r="GB621" s="117"/>
      <c r="GC621" s="117"/>
      <c r="GD621" s="117"/>
      <c r="GE621" s="117"/>
      <c r="GF621" s="117"/>
      <c r="GG621" s="117"/>
      <c r="GH621" s="117"/>
      <c r="GI621" s="117"/>
      <c r="GJ621" s="117"/>
      <c r="GK621" s="117"/>
      <c r="GL621" s="117"/>
      <c r="GM621" s="117"/>
      <c r="GN621" s="117"/>
      <c r="GO621" s="117"/>
      <c r="GP621" s="117"/>
      <c r="GQ621" s="117"/>
      <c r="GR621" s="117"/>
      <c r="GS621" s="117"/>
      <c r="GT621" s="117"/>
      <c r="GU621" s="117"/>
      <c r="GV621" s="117"/>
      <c r="GW621" s="117"/>
      <c r="GX621" s="117"/>
      <c r="GY621" s="117"/>
      <c r="GZ621" s="117"/>
      <c r="HA621" s="117"/>
      <c r="HB621" s="117"/>
      <c r="HC621" s="117"/>
      <c r="HD621" s="117"/>
      <c r="HE621" s="117"/>
      <c r="HF621" s="117"/>
      <c r="HG621" s="117"/>
      <c r="HH621" s="117"/>
      <c r="HI621" s="117"/>
      <c r="HJ621" s="117"/>
      <c r="HK621" s="117"/>
      <c r="HL621" s="117"/>
      <c r="HM621" s="117"/>
      <c r="HN621" s="117"/>
      <c r="HO621" s="117"/>
      <c r="HP621" s="117"/>
      <c r="HQ621" s="117"/>
      <c r="HR621" s="117"/>
      <c r="HS621" s="117"/>
      <c r="HT621" s="117"/>
      <c r="HU621" s="117"/>
      <c r="HV621" s="117"/>
      <c r="HW621" s="117"/>
      <c r="HX621" s="117"/>
      <c r="HY621" s="117"/>
      <c r="HZ621" s="117"/>
      <c r="IA621" s="117"/>
      <c r="IB621" s="117"/>
      <c r="IC621" s="117"/>
      <c r="ID621" s="117"/>
      <c r="IE621" s="117"/>
      <c r="IF621" s="117"/>
      <c r="IG621" s="117"/>
      <c r="IH621" s="117"/>
      <c r="II621" s="117"/>
      <c r="IJ621" s="117"/>
      <c r="IK621" s="117"/>
      <c r="IL621" s="117"/>
      <c r="IM621" s="117"/>
      <c r="IN621" s="117"/>
      <c r="IO621" s="117"/>
      <c r="IP621" s="117"/>
      <c r="IQ621" s="117"/>
      <c r="IR621" s="117"/>
      <c r="IS621" s="117"/>
      <c r="IT621" s="117"/>
      <c r="IU621" s="117"/>
      <c r="IV621" s="117"/>
      <c r="IW621" s="117"/>
      <c r="IX621" s="117"/>
      <c r="IY621" s="117"/>
      <c r="IZ621" s="117"/>
      <c r="JA621" s="117"/>
      <c r="JB621" s="117"/>
      <c r="JC621" s="117"/>
      <c r="JD621" s="117"/>
      <c r="JE621" s="117"/>
      <c r="JF621" s="117"/>
      <c r="JG621" s="117"/>
      <c r="JH621" s="117"/>
      <c r="JI621" s="117"/>
      <c r="JJ621" s="117"/>
      <c r="JK621" s="117"/>
      <c r="JL621" s="117"/>
      <c r="JM621" s="117"/>
      <c r="JN621" s="117"/>
      <c r="JO621" s="117"/>
      <c r="JP621" s="117"/>
      <c r="JQ621" s="117"/>
      <c r="JR621" s="117"/>
      <c r="JS621" s="117"/>
      <c r="JT621" s="117"/>
      <c r="JU621" s="117"/>
      <c r="JV621" s="117"/>
      <c r="JW621" s="117"/>
      <c r="JX621" s="117"/>
      <c r="JY621" s="117"/>
      <c r="JZ621" s="117"/>
      <c r="KA621" s="117"/>
      <c r="KB621" s="117"/>
      <c r="KC621" s="117"/>
      <c r="KD621" s="117"/>
      <c r="KE621" s="117"/>
      <c r="KF621" s="117"/>
      <c r="KG621" s="117"/>
      <c r="KH621" s="117"/>
      <c r="KI621" s="117"/>
      <c r="KJ621" s="117"/>
      <c r="KK621" s="117"/>
      <c r="KL621" s="117"/>
      <c r="KM621" s="117"/>
      <c r="KN621" s="117"/>
      <c r="KO621" s="117"/>
      <c r="KP621" s="117"/>
      <c r="KQ621" s="117"/>
      <c r="KR621" s="117"/>
      <c r="KS621" s="117"/>
      <c r="KT621" s="117"/>
      <c r="KU621" s="117"/>
      <c r="KV621" s="117"/>
      <c r="KW621" s="117"/>
      <c r="KX621" s="117"/>
      <c r="KY621" s="117"/>
      <c r="KZ621" s="117"/>
      <c r="LA621" s="117"/>
      <c r="LB621" s="117"/>
      <c r="LC621" s="117"/>
      <c r="LD621" s="117"/>
      <c r="LE621" s="117"/>
      <c r="LF621" s="117"/>
      <c r="LG621" s="117"/>
      <c r="LH621" s="117"/>
      <c r="LI621" s="117"/>
      <c r="LJ621" s="117"/>
      <c r="LK621" s="117"/>
      <c r="LL621" s="117"/>
      <c r="LM621" s="117"/>
      <c r="LN621" s="117"/>
      <c r="LO621" s="117"/>
      <c r="LP621" s="117"/>
      <c r="LQ621" s="117"/>
      <c r="LR621" s="117"/>
      <c r="LS621" s="117"/>
      <c r="LT621" s="117"/>
      <c r="LU621" s="117"/>
      <c r="LV621" s="117"/>
      <c r="LW621" s="117"/>
      <c r="LX621" s="117"/>
      <c r="LY621" s="117"/>
      <c r="LZ621" s="117"/>
      <c r="MA621" s="117"/>
      <c r="MB621" s="117"/>
      <c r="MC621" s="117"/>
      <c r="MD621" s="117"/>
      <c r="ME621" s="117"/>
      <c r="MF621" s="117"/>
      <c r="MG621" s="117"/>
      <c r="MH621" s="117"/>
      <c r="MI621" s="117"/>
      <c r="MJ621" s="117"/>
      <c r="MK621" s="117"/>
      <c r="ML621" s="117"/>
      <c r="MM621" s="117"/>
      <c r="MN621" s="117"/>
      <c r="MO621" s="117"/>
      <c r="MP621" s="117"/>
      <c r="MQ621" s="117"/>
      <c r="MR621" s="117"/>
      <c r="MS621" s="117"/>
      <c r="MT621" s="117"/>
      <c r="MU621" s="117"/>
      <c r="MV621" s="117"/>
      <c r="MW621" s="117"/>
      <c r="MX621" s="117"/>
      <c r="MY621" s="117"/>
      <c r="MZ621" s="117"/>
      <c r="NA621" s="117"/>
      <c r="NB621" s="117"/>
      <c r="NC621" s="117"/>
      <c r="ND621" s="117"/>
      <c r="NE621" s="117"/>
      <c r="NF621" s="117"/>
      <c r="NG621" s="117"/>
      <c r="NH621" s="117"/>
      <c r="NI621" s="117"/>
      <c r="NJ621" s="117"/>
      <c r="NK621" s="117"/>
      <c r="NL621" s="117"/>
      <c r="NM621" s="117"/>
      <c r="NN621" s="117"/>
      <c r="NO621" s="117"/>
      <c r="NP621" s="117"/>
      <c r="NQ621" s="117"/>
      <c r="NR621" s="117"/>
      <c r="NS621" s="117"/>
      <c r="NT621" s="117"/>
      <c r="NU621" s="117"/>
      <c r="NV621" s="117"/>
      <c r="NW621" s="117"/>
      <c r="NX621" s="117"/>
      <c r="NY621" s="117"/>
      <c r="NZ621" s="117"/>
      <c r="OA621" s="117"/>
      <c r="OB621" s="117"/>
      <c r="OC621" s="117"/>
      <c r="OD621" s="117"/>
      <c r="OE621" s="117"/>
      <c r="OF621" s="117"/>
      <c r="OG621" s="117"/>
      <c r="OH621" s="117"/>
      <c r="OI621" s="117"/>
      <c r="OJ621" s="117"/>
      <c r="OK621" s="117"/>
      <c r="OL621" s="117"/>
      <c r="OM621" s="117"/>
      <c r="ON621" s="117"/>
      <c r="OO621" s="117"/>
      <c r="OP621" s="117"/>
      <c r="OQ621" s="117"/>
      <c r="OR621" s="117"/>
      <c r="OS621" s="117"/>
      <c r="OT621" s="117"/>
      <c r="OU621" s="117"/>
      <c r="OV621" s="117"/>
      <c r="OW621" s="117"/>
      <c r="OX621" s="117"/>
      <c r="OY621" s="117"/>
      <c r="OZ621" s="117"/>
      <c r="PA621" s="117"/>
      <c r="PB621" s="117"/>
      <c r="PC621" s="117"/>
      <c r="PD621" s="117"/>
      <c r="PE621" s="117"/>
      <c r="PF621" s="117"/>
      <c r="PG621" s="117"/>
      <c r="PH621" s="117"/>
      <c r="PI621" s="117"/>
      <c r="PJ621" s="117"/>
      <c r="PK621" s="117"/>
      <c r="PL621" s="117"/>
      <c r="PM621" s="117"/>
      <c r="PN621" s="117"/>
      <c r="PO621" s="117"/>
      <c r="PP621" s="117"/>
      <c r="PQ621" s="117"/>
      <c r="PR621" s="117"/>
      <c r="PS621" s="117"/>
      <c r="PT621" s="117"/>
      <c r="PU621" s="117"/>
      <c r="PV621" s="117"/>
      <c r="PW621" s="117"/>
      <c r="PX621" s="117"/>
      <c r="PY621" s="117"/>
      <c r="PZ621" s="117"/>
      <c r="QA621" s="117"/>
      <c r="QB621" s="117"/>
      <c r="QC621" s="117"/>
      <c r="QD621" s="117"/>
      <c r="QE621" s="117"/>
      <c r="QF621" s="117"/>
      <c r="QG621" s="117"/>
      <c r="QH621" s="117"/>
      <c r="QI621" s="117"/>
      <c r="QJ621" s="117"/>
      <c r="QK621" s="117"/>
      <c r="QL621" s="117"/>
      <c r="QM621" s="117"/>
      <c r="QN621" s="117"/>
      <c r="QO621" s="117"/>
      <c r="QP621" s="117"/>
      <c r="QQ621" s="117"/>
      <c r="QR621" s="117"/>
      <c r="QS621" s="117"/>
      <c r="QT621" s="117"/>
      <c r="QU621" s="117"/>
      <c r="QV621" s="117"/>
      <c r="QW621" s="117"/>
      <c r="QX621" s="117"/>
      <c r="QY621" s="117"/>
      <c r="QZ621" s="117"/>
      <c r="RA621" s="117"/>
      <c r="RB621" s="117"/>
      <c r="RC621" s="117"/>
      <c r="RD621" s="117"/>
      <c r="RE621" s="117"/>
      <c r="RF621" s="117"/>
      <c r="RG621" s="117"/>
      <c r="RH621" s="117"/>
      <c r="RI621" s="117"/>
      <c r="RJ621" s="117"/>
      <c r="RK621" s="117"/>
      <c r="RL621" s="117"/>
      <c r="RM621" s="117"/>
      <c r="RN621" s="117"/>
      <c r="RO621" s="117"/>
      <c r="RP621" s="117"/>
      <c r="RQ621" s="117"/>
      <c r="RR621" s="117"/>
      <c r="RS621" s="117"/>
      <c r="RT621" s="117"/>
      <c r="RU621" s="117"/>
      <c r="RV621" s="117"/>
      <c r="RW621" s="117"/>
      <c r="RX621" s="117"/>
      <c r="RY621" s="117"/>
      <c r="RZ621" s="117"/>
      <c r="SA621" s="117"/>
      <c r="SB621" s="117"/>
      <c r="SC621" s="117"/>
      <c r="SD621" s="117"/>
      <c r="SE621" s="117"/>
      <c r="SF621" s="117"/>
      <c r="SG621" s="117"/>
      <c r="SH621" s="117"/>
      <c r="SI621" s="117"/>
      <c r="SJ621" s="117"/>
      <c r="SK621" s="117"/>
      <c r="SL621" s="117"/>
      <c r="SM621" s="117"/>
      <c r="SN621" s="117"/>
      <c r="SO621" s="117"/>
      <c r="SP621" s="117"/>
      <c r="SQ621" s="117"/>
      <c r="SR621" s="117"/>
      <c r="SS621" s="117"/>
      <c r="ST621" s="117"/>
      <c r="SU621" s="117"/>
      <c r="SV621" s="117"/>
      <c r="SW621" s="117"/>
      <c r="SX621" s="117"/>
      <c r="SY621" s="117"/>
      <c r="SZ621" s="117"/>
      <c r="TA621" s="117"/>
      <c r="TB621" s="117"/>
      <c r="TC621" s="117"/>
      <c r="TD621" s="117"/>
      <c r="TE621" s="117"/>
      <c r="TF621" s="117"/>
      <c r="TG621" s="117"/>
      <c r="TH621" s="117"/>
      <c r="TI621" s="117"/>
      <c r="TJ621" s="117"/>
      <c r="TK621" s="117"/>
      <c r="TL621" s="117"/>
      <c r="TM621" s="117"/>
      <c r="TN621" s="117"/>
      <c r="TO621" s="117"/>
      <c r="TP621" s="117"/>
      <c r="TQ621" s="117"/>
      <c r="TR621" s="117"/>
      <c r="TS621" s="117"/>
      <c r="TT621" s="117"/>
      <c r="TU621" s="117"/>
      <c r="TV621" s="117"/>
      <c r="TW621" s="117"/>
      <c r="TX621" s="117"/>
      <c r="TY621" s="117"/>
      <c r="TZ621" s="117"/>
      <c r="UA621" s="117"/>
      <c r="UB621" s="117"/>
      <c r="UC621" s="117"/>
      <c r="UD621" s="117"/>
      <c r="UE621" s="117"/>
      <c r="UF621" s="117"/>
      <c r="UG621" s="126"/>
    </row>
    <row r="622" spans="1:553" ht="50.25" customHeight="1">
      <c r="A622" s="356" t="s">
        <v>15</v>
      </c>
      <c r="B622" s="385">
        <v>217</v>
      </c>
      <c r="C622" s="1403" t="s">
        <v>438</v>
      </c>
      <c r="D622" s="1389"/>
      <c r="E622" s="1389"/>
      <c r="F622" s="1390"/>
      <c r="G622" s="386" t="s">
        <v>935</v>
      </c>
      <c r="H622" s="370"/>
      <c r="I622" s="834">
        <f>(3.1*3.4)+(5*3)+(3.1*6.5)+(1.6*1.5)+(3.7*1.8)</f>
        <v>54.75</v>
      </c>
      <c r="J622" s="368">
        <v>137200</v>
      </c>
      <c r="K622" s="371"/>
      <c r="L622" s="487">
        <f t="shared" si="101"/>
        <v>7511700</v>
      </c>
      <c r="M622" s="395"/>
      <c r="N622" s="395"/>
      <c r="O622" s="366"/>
      <c r="P622" s="396"/>
      <c r="Q622" s="473"/>
      <c r="R622" s="1039"/>
      <c r="S622" s="308"/>
      <c r="T622" s="308"/>
      <c r="U622" s="308"/>
      <c r="V622" s="308"/>
      <c r="W622" s="308"/>
      <c r="X622" s="308"/>
      <c r="Y622" s="308"/>
      <c r="Z622" s="604"/>
      <c r="AA622" s="308"/>
      <c r="AB622" s="308"/>
      <c r="AC622" s="449"/>
      <c r="AD622" s="449"/>
      <c r="AE622" s="449"/>
      <c r="AF622" s="449"/>
      <c r="AG622" s="452"/>
      <c r="AH622" s="452"/>
      <c r="AI622" s="452"/>
      <c r="AJ622" s="452"/>
      <c r="AK622" s="452"/>
      <c r="AL622" s="104"/>
      <c r="AM622" s="32"/>
      <c r="AN622" s="32"/>
      <c r="AO622" s="32"/>
      <c r="AP622" s="32"/>
      <c r="AQ622" s="31"/>
      <c r="AR622" s="31"/>
      <c r="AS622" s="31"/>
      <c r="AT622" s="31"/>
      <c r="AU622" s="31"/>
      <c r="AV622" s="31"/>
      <c r="AW622" s="31"/>
      <c r="AX622" s="31"/>
      <c r="AY622" s="31"/>
      <c r="AZ622" s="31"/>
      <c r="BA622" s="31"/>
      <c r="BB622" s="31"/>
      <c r="BC622" s="31"/>
      <c r="BD622" s="31"/>
      <c r="BE622" s="31"/>
      <c r="BF622" s="31"/>
      <c r="BG622" s="31"/>
      <c r="BH622" s="31"/>
      <c r="BI622" s="31"/>
      <c r="BJ622" s="31"/>
      <c r="BK622" s="31"/>
      <c r="BL622" s="31"/>
      <c r="BM622" s="25"/>
      <c r="BN622" s="25"/>
      <c r="BO622" s="25"/>
      <c r="BP622" s="25"/>
      <c r="BQ622" s="25"/>
      <c r="BR622" s="25"/>
      <c r="BS622" s="25"/>
      <c r="BT622" s="25"/>
      <c r="BU622" s="25"/>
      <c r="BV622" s="25"/>
      <c r="BW622" s="25"/>
      <c r="BX622" s="25"/>
      <c r="BY622" s="25"/>
      <c r="BZ622" s="25"/>
      <c r="CA622" s="25"/>
      <c r="CB622" s="25"/>
      <c r="CC622" s="25"/>
      <c r="CD622" s="25"/>
      <c r="CE622" s="25"/>
      <c r="CF622" s="25"/>
      <c r="CG622" s="25"/>
      <c r="CH622" s="25"/>
      <c r="CI622" s="25"/>
      <c r="CJ622" s="25"/>
      <c r="CK622" s="25"/>
      <c r="CL622" s="25"/>
      <c r="CM622" s="25"/>
      <c r="CN622" s="25"/>
      <c r="CO622" s="25"/>
      <c r="CP622" s="25"/>
      <c r="CQ622" s="25"/>
      <c r="CR622" s="25"/>
      <c r="CS622" s="25"/>
      <c r="CT622" s="25"/>
      <c r="CU622" s="25"/>
      <c r="CV622" s="25"/>
      <c r="CW622" s="25"/>
      <c r="CX622" s="25"/>
      <c r="CY622" s="25"/>
      <c r="CZ622" s="25"/>
      <c r="DA622" s="25"/>
      <c r="DB622" s="25"/>
      <c r="DC622" s="25"/>
      <c r="DD622" s="25"/>
      <c r="DE622" s="25"/>
      <c r="DF622" s="25"/>
      <c r="DG622" s="25"/>
      <c r="DH622" s="25"/>
      <c r="DI622" s="25"/>
      <c r="DJ622" s="25"/>
      <c r="DK622" s="25"/>
      <c r="DL622" s="25"/>
      <c r="DM622" s="25"/>
      <c r="DN622" s="25"/>
      <c r="DO622" s="25"/>
      <c r="DP622" s="25"/>
      <c r="DQ622" s="25"/>
      <c r="DR622" s="25"/>
      <c r="DS622" s="25"/>
      <c r="DT622" s="25"/>
      <c r="DU622" s="25"/>
      <c r="DV622" s="25"/>
      <c r="DW622" s="25"/>
      <c r="DX622" s="25"/>
      <c r="DY622" s="25"/>
      <c r="DZ622" s="25"/>
      <c r="EA622" s="25"/>
      <c r="EB622" s="25"/>
      <c r="EC622" s="25"/>
      <c r="ED622" s="25"/>
      <c r="EE622" s="25"/>
      <c r="EF622" s="25"/>
      <c r="EG622" s="25"/>
      <c r="EH622" s="25"/>
      <c r="EI622" s="25"/>
      <c r="EJ622" s="25"/>
      <c r="EK622" s="25"/>
      <c r="EL622" s="25"/>
      <c r="EM622" s="25"/>
      <c r="EN622" s="25"/>
      <c r="EO622" s="25"/>
      <c r="EP622" s="25"/>
      <c r="EQ622" s="25"/>
      <c r="ER622" s="25"/>
      <c r="ES622" s="25"/>
      <c r="ET622" s="25"/>
      <c r="EU622" s="25"/>
      <c r="EV622" s="25"/>
      <c r="EW622" s="25"/>
      <c r="EX622" s="25"/>
      <c r="EY622" s="25"/>
      <c r="EZ622" s="25"/>
      <c r="FA622" s="25"/>
      <c r="FB622" s="25"/>
      <c r="FC622" s="25"/>
      <c r="FD622" s="25"/>
      <c r="FE622" s="25"/>
      <c r="FF622" s="25"/>
      <c r="FG622" s="25"/>
      <c r="FH622" s="25"/>
      <c r="FI622" s="25"/>
      <c r="FJ622" s="25"/>
      <c r="FK622" s="25"/>
      <c r="FL622" s="25"/>
      <c r="FM622" s="25"/>
      <c r="FN622" s="25"/>
      <c r="FO622" s="25"/>
      <c r="FP622" s="25"/>
      <c r="FQ622" s="25"/>
      <c r="FR622" s="25"/>
      <c r="FS622" s="25"/>
      <c r="FT622" s="25"/>
      <c r="FU622" s="25"/>
      <c r="FV622" s="25"/>
      <c r="FW622" s="25"/>
      <c r="FX622" s="25"/>
      <c r="FY622" s="25"/>
      <c r="FZ622" s="25"/>
      <c r="GA622" s="25"/>
      <c r="GB622" s="25"/>
      <c r="GC622" s="25"/>
      <c r="GD622" s="25"/>
      <c r="GE622" s="25"/>
      <c r="GF622" s="25"/>
      <c r="GG622" s="25"/>
      <c r="GH622" s="25"/>
      <c r="GI622" s="25"/>
      <c r="GJ622" s="25"/>
      <c r="GK622" s="25"/>
      <c r="GL622" s="25"/>
      <c r="GM622" s="25"/>
      <c r="GN622" s="25"/>
      <c r="GO622" s="25"/>
      <c r="GP622" s="25"/>
      <c r="GQ622" s="25"/>
      <c r="GR622" s="25"/>
      <c r="GS622" s="25"/>
      <c r="GT622" s="25"/>
      <c r="GU622" s="25"/>
      <c r="GV622" s="25"/>
      <c r="GW622" s="25"/>
      <c r="GX622" s="25"/>
      <c r="GY622" s="25"/>
      <c r="GZ622" s="25"/>
      <c r="HA622" s="25"/>
      <c r="HB622" s="25"/>
      <c r="HC622" s="25"/>
      <c r="HD622" s="25"/>
      <c r="HE622" s="25"/>
      <c r="HF622" s="25"/>
      <c r="HG622" s="25"/>
      <c r="HH622" s="25"/>
      <c r="HI622" s="25"/>
      <c r="HJ622" s="25"/>
      <c r="HK622" s="25"/>
      <c r="HL622" s="25"/>
      <c r="HM622" s="25"/>
      <c r="HN622" s="25"/>
      <c r="HO622" s="25"/>
      <c r="HP622" s="25"/>
      <c r="HQ622" s="25"/>
      <c r="HR622" s="25"/>
      <c r="HS622" s="25"/>
      <c r="HT622" s="25"/>
      <c r="HU622" s="25"/>
      <c r="HV622" s="25"/>
      <c r="HW622" s="25"/>
      <c r="HX622" s="25"/>
      <c r="HY622" s="25"/>
      <c r="HZ622" s="25"/>
      <c r="IA622" s="25"/>
      <c r="IB622" s="25"/>
      <c r="IC622" s="25"/>
      <c r="ID622" s="25"/>
      <c r="IE622" s="25"/>
      <c r="IF622" s="25"/>
      <c r="IG622" s="25"/>
      <c r="IH622" s="25"/>
      <c r="II622" s="25"/>
      <c r="IJ622" s="25"/>
      <c r="IK622" s="25"/>
      <c r="IL622" s="25"/>
      <c r="IM622" s="25"/>
      <c r="IN622" s="25"/>
      <c r="IO622" s="25"/>
      <c r="IP622" s="25"/>
      <c r="IQ622" s="25"/>
      <c r="IR622" s="25"/>
      <c r="IS622" s="25"/>
      <c r="IT622" s="25"/>
      <c r="IU622" s="25"/>
      <c r="IV622" s="25"/>
      <c r="IW622" s="25"/>
      <c r="IX622" s="25"/>
      <c r="IY622" s="25"/>
      <c r="IZ622" s="25"/>
      <c r="JA622" s="25"/>
      <c r="JB622" s="25"/>
      <c r="JC622" s="25"/>
      <c r="JD622" s="25"/>
      <c r="JE622" s="25"/>
      <c r="JF622" s="25"/>
      <c r="JG622" s="25"/>
      <c r="JH622" s="25"/>
      <c r="JI622" s="25"/>
      <c r="JJ622" s="25"/>
      <c r="JK622" s="25"/>
      <c r="JL622" s="25"/>
      <c r="JM622" s="25"/>
      <c r="JN622" s="25"/>
      <c r="JO622" s="25"/>
      <c r="JP622" s="25"/>
      <c r="JQ622" s="25"/>
      <c r="JR622" s="25"/>
      <c r="JS622" s="25"/>
      <c r="JT622" s="25"/>
      <c r="JU622" s="25"/>
      <c r="JV622" s="25"/>
      <c r="JW622" s="25"/>
      <c r="JX622" s="25"/>
      <c r="JY622" s="25"/>
      <c r="JZ622" s="25"/>
      <c r="KA622" s="25"/>
      <c r="KB622" s="25"/>
      <c r="KC622" s="25"/>
      <c r="KD622" s="25"/>
      <c r="KE622" s="25"/>
      <c r="KF622" s="25"/>
      <c r="KG622" s="25"/>
      <c r="KH622" s="25"/>
      <c r="KI622" s="25"/>
      <c r="KJ622" s="25"/>
      <c r="KK622" s="25"/>
      <c r="KL622" s="25"/>
      <c r="KM622" s="25"/>
      <c r="KN622" s="25"/>
      <c r="KO622" s="25"/>
      <c r="KP622" s="25"/>
      <c r="KQ622" s="25"/>
      <c r="KR622" s="25"/>
      <c r="KS622" s="25"/>
      <c r="KT622" s="25"/>
      <c r="KU622" s="25"/>
      <c r="KV622" s="25"/>
      <c r="KW622" s="25"/>
      <c r="KX622" s="25"/>
      <c r="KY622" s="25"/>
      <c r="KZ622" s="25"/>
      <c r="LA622" s="25"/>
      <c r="LB622" s="25"/>
      <c r="LC622" s="25"/>
      <c r="LD622" s="25"/>
      <c r="LE622" s="25"/>
      <c r="LF622" s="25"/>
      <c r="LG622" s="25"/>
      <c r="LH622" s="25"/>
      <c r="LI622" s="25"/>
      <c r="LJ622" s="25"/>
      <c r="LK622" s="25"/>
      <c r="LL622" s="25"/>
      <c r="LM622" s="25"/>
      <c r="LN622" s="25"/>
      <c r="LO622" s="25"/>
      <c r="LP622" s="25"/>
      <c r="LQ622" s="25"/>
      <c r="LR622" s="25"/>
      <c r="LS622" s="25"/>
      <c r="LT622" s="25"/>
      <c r="LU622" s="25"/>
      <c r="LV622" s="25"/>
      <c r="LW622" s="25"/>
      <c r="LX622" s="25"/>
      <c r="LY622" s="25"/>
      <c r="LZ622" s="25"/>
      <c r="MA622" s="25"/>
      <c r="MB622" s="25"/>
      <c r="MC622" s="25"/>
      <c r="MD622" s="25"/>
      <c r="ME622" s="25"/>
      <c r="MF622" s="25"/>
      <c r="MG622" s="25"/>
      <c r="MH622" s="25"/>
      <c r="MI622" s="25"/>
      <c r="MJ622" s="25"/>
      <c r="MK622" s="25"/>
      <c r="ML622" s="25"/>
      <c r="MM622" s="25"/>
      <c r="MN622" s="25"/>
      <c r="MO622" s="25"/>
      <c r="MP622" s="25"/>
      <c r="MQ622" s="25"/>
      <c r="MR622" s="25"/>
      <c r="MS622" s="25"/>
      <c r="MT622" s="25"/>
      <c r="MU622" s="25"/>
      <c r="MV622" s="25"/>
      <c r="MW622" s="25"/>
      <c r="MX622" s="25"/>
      <c r="MY622" s="25"/>
      <c r="MZ622" s="25"/>
      <c r="NA622" s="25"/>
      <c r="NB622" s="25"/>
      <c r="NC622" s="25"/>
      <c r="ND622" s="25"/>
      <c r="NE622" s="25"/>
      <c r="NF622" s="25"/>
      <c r="NG622" s="25"/>
      <c r="NH622" s="25"/>
      <c r="NI622" s="25"/>
      <c r="NJ622" s="25"/>
      <c r="NK622" s="25"/>
      <c r="NL622" s="25"/>
      <c r="NM622" s="25"/>
      <c r="NN622" s="25"/>
      <c r="NO622" s="25"/>
      <c r="NP622" s="25"/>
      <c r="NQ622" s="25"/>
      <c r="NR622" s="25"/>
      <c r="NS622" s="25"/>
      <c r="NT622" s="25"/>
      <c r="NU622" s="25"/>
      <c r="NV622" s="25"/>
      <c r="NW622" s="25"/>
      <c r="NX622" s="25"/>
      <c r="NY622" s="25"/>
      <c r="NZ622" s="25"/>
      <c r="OA622" s="25"/>
      <c r="OB622" s="25"/>
      <c r="OC622" s="25"/>
      <c r="OD622" s="25"/>
      <c r="OE622" s="25"/>
      <c r="OF622" s="25"/>
      <c r="OG622" s="25"/>
      <c r="OH622" s="25"/>
      <c r="OI622" s="25"/>
      <c r="OJ622" s="25"/>
      <c r="OK622" s="25"/>
      <c r="OL622" s="25"/>
      <c r="OM622" s="25"/>
      <c r="ON622" s="25"/>
      <c r="OO622" s="25"/>
      <c r="OP622" s="25"/>
      <c r="OQ622" s="25"/>
      <c r="OR622" s="25"/>
      <c r="OS622" s="25"/>
      <c r="OT622" s="25"/>
      <c r="OU622" s="25"/>
      <c r="OV622" s="25"/>
      <c r="OW622" s="25"/>
      <c r="OX622" s="25"/>
      <c r="OY622" s="25"/>
      <c r="OZ622" s="25"/>
      <c r="PA622" s="25"/>
      <c r="PB622" s="25"/>
      <c r="PC622" s="25"/>
      <c r="PD622" s="25"/>
      <c r="PE622" s="25"/>
      <c r="PF622" s="25"/>
      <c r="PG622" s="25"/>
      <c r="PH622" s="25"/>
      <c r="PI622" s="25"/>
      <c r="PJ622" s="25"/>
      <c r="PK622" s="25"/>
      <c r="PL622" s="25"/>
      <c r="PM622" s="25"/>
      <c r="PN622" s="25"/>
      <c r="PO622" s="25"/>
      <c r="PP622" s="25"/>
      <c r="PQ622" s="25"/>
      <c r="PR622" s="25"/>
      <c r="PS622" s="25"/>
      <c r="PT622" s="25"/>
      <c r="PU622" s="25"/>
      <c r="PV622" s="25"/>
      <c r="PW622" s="25"/>
      <c r="PX622" s="25"/>
      <c r="PY622" s="25"/>
      <c r="PZ622" s="25"/>
      <c r="QA622" s="25"/>
      <c r="QB622" s="25"/>
      <c r="QC622" s="25"/>
      <c r="QD622" s="25"/>
      <c r="QE622" s="25"/>
      <c r="QF622" s="25"/>
      <c r="QG622" s="25"/>
      <c r="QH622" s="25"/>
      <c r="QI622" s="25"/>
      <c r="QJ622" s="25"/>
      <c r="QK622" s="25"/>
      <c r="QL622" s="25"/>
      <c r="QM622" s="25"/>
      <c r="QN622" s="25"/>
      <c r="QO622" s="25"/>
      <c r="QP622" s="25"/>
      <c r="QQ622" s="25"/>
      <c r="QR622" s="25"/>
      <c r="QS622" s="25"/>
      <c r="QT622" s="25"/>
      <c r="QU622" s="25"/>
      <c r="QV622" s="25"/>
      <c r="QW622" s="25"/>
      <c r="QX622" s="25"/>
      <c r="QY622" s="25"/>
      <c r="QZ622" s="25"/>
      <c r="RA622" s="25"/>
      <c r="RB622" s="25"/>
      <c r="RC622" s="25"/>
      <c r="RD622" s="25"/>
      <c r="RE622" s="25"/>
      <c r="RF622" s="25"/>
      <c r="RG622" s="25"/>
      <c r="RH622" s="25"/>
      <c r="RI622" s="25"/>
      <c r="RJ622" s="25"/>
      <c r="RK622" s="25"/>
      <c r="RL622" s="25"/>
      <c r="RM622" s="25"/>
      <c r="RN622" s="25"/>
      <c r="RO622" s="25"/>
      <c r="RP622" s="25"/>
      <c r="RQ622" s="25"/>
      <c r="RR622" s="25"/>
      <c r="RS622" s="25"/>
      <c r="RT622" s="25"/>
      <c r="RU622" s="25"/>
      <c r="RV622" s="25"/>
      <c r="RW622" s="25"/>
      <c r="RX622" s="25"/>
      <c r="RY622" s="25"/>
      <c r="RZ622" s="25"/>
      <c r="SA622" s="25"/>
      <c r="SB622" s="25"/>
      <c r="SC622" s="25"/>
      <c r="SD622" s="25"/>
      <c r="SE622" s="25"/>
      <c r="SF622" s="25"/>
      <c r="SG622" s="25"/>
      <c r="SH622" s="25"/>
      <c r="SI622" s="25"/>
      <c r="SJ622" s="25"/>
      <c r="SK622" s="25"/>
      <c r="SL622" s="25"/>
      <c r="SM622" s="25"/>
      <c r="SN622" s="25"/>
      <c r="SO622" s="25"/>
      <c r="SP622" s="25"/>
      <c r="SQ622" s="25"/>
      <c r="SR622" s="25"/>
      <c r="SS622" s="25"/>
      <c r="ST622" s="25"/>
      <c r="SU622" s="25"/>
      <c r="SV622" s="25"/>
      <c r="SW622" s="25"/>
      <c r="SX622" s="25"/>
      <c r="SY622" s="25"/>
      <c r="SZ622" s="25"/>
      <c r="TA622" s="25"/>
      <c r="TB622" s="25"/>
      <c r="TC622" s="25"/>
      <c r="TD622" s="25"/>
      <c r="TE622" s="25"/>
      <c r="TF622" s="25"/>
      <c r="TG622" s="25"/>
      <c r="TH622" s="25"/>
      <c r="TI622" s="25"/>
      <c r="TJ622" s="25"/>
      <c r="TK622" s="25"/>
      <c r="TL622" s="25"/>
      <c r="TM622" s="25"/>
      <c r="TN622" s="25"/>
      <c r="TO622" s="25"/>
      <c r="TP622" s="25"/>
      <c r="TQ622" s="25"/>
      <c r="TR622" s="25"/>
      <c r="TS622" s="25"/>
      <c r="TT622" s="25"/>
      <c r="TU622" s="25"/>
      <c r="TV622" s="25"/>
      <c r="TW622" s="25"/>
      <c r="TX622" s="25"/>
      <c r="TY622" s="25"/>
      <c r="TZ622" s="25"/>
      <c r="UA622" s="25"/>
      <c r="UB622" s="25"/>
      <c r="UC622" s="25"/>
      <c r="UD622" s="25"/>
      <c r="UE622" s="25"/>
      <c r="UF622" s="25"/>
      <c r="UG622" s="26"/>
    </row>
    <row r="623" spans="1:553" ht="50.25" customHeight="1">
      <c r="A623" s="356" t="s">
        <v>15</v>
      </c>
      <c r="B623" s="385">
        <v>248</v>
      </c>
      <c r="C623" s="1403" t="s">
        <v>439</v>
      </c>
      <c r="D623" s="1389"/>
      <c r="E623" s="1389"/>
      <c r="F623" s="1390"/>
      <c r="G623" s="386" t="s">
        <v>935</v>
      </c>
      <c r="H623" s="370"/>
      <c r="I623" s="422">
        <f>4*4</f>
        <v>16</v>
      </c>
      <c r="J623" s="368">
        <v>173400</v>
      </c>
      <c r="K623" s="371"/>
      <c r="L623" s="487">
        <f t="shared" si="101"/>
        <v>2774400</v>
      </c>
      <c r="M623" s="391"/>
      <c r="N623" s="391"/>
      <c r="O623" s="391"/>
      <c r="P623" s="391"/>
      <c r="Q623" s="1444"/>
      <c r="R623" s="1226"/>
      <c r="S623" s="308"/>
      <c r="T623" s="308"/>
      <c r="U623" s="308"/>
      <c r="V623" s="308"/>
      <c r="W623" s="308"/>
      <c r="X623" s="308"/>
      <c r="Y623" s="308"/>
      <c r="Z623" s="604"/>
      <c r="AA623" s="308"/>
      <c r="AB623" s="308"/>
      <c r="AC623" s="449"/>
      <c r="AD623" s="449"/>
      <c r="AE623" s="449"/>
      <c r="AF623" s="449"/>
      <c r="AG623" s="449"/>
      <c r="AH623" s="449"/>
      <c r="AI623" s="449"/>
      <c r="AJ623" s="449"/>
      <c r="AK623" s="452"/>
      <c r="AL623" s="104"/>
      <c r="AM623" s="32"/>
      <c r="AN623" s="32"/>
      <c r="AO623" s="32"/>
      <c r="AP623" s="32"/>
      <c r="AQ623" s="32"/>
      <c r="AR623" s="32"/>
      <c r="AS623" s="31"/>
      <c r="AT623" s="31"/>
      <c r="AU623" s="31"/>
      <c r="AV623" s="31"/>
      <c r="AW623" s="31"/>
      <c r="AX623" s="31"/>
      <c r="AY623" s="31"/>
      <c r="AZ623" s="31"/>
      <c r="BA623" s="31"/>
      <c r="BB623" s="31"/>
      <c r="BC623" s="31"/>
      <c r="BD623" s="31"/>
      <c r="BE623" s="31"/>
      <c r="BF623" s="31"/>
      <c r="BG623" s="31"/>
      <c r="BH623" s="31"/>
      <c r="BI623" s="31"/>
      <c r="BJ623" s="31"/>
      <c r="BK623" s="31"/>
      <c r="BL623" s="31"/>
      <c r="BM623" s="31"/>
      <c r="BN623" s="31"/>
      <c r="BO623" s="31"/>
      <c r="BP623" s="31"/>
      <c r="BQ623" s="31"/>
      <c r="BR623" s="31"/>
      <c r="BS623" s="31"/>
      <c r="BT623" s="31"/>
      <c r="BU623" s="31"/>
      <c r="BV623" s="31"/>
      <c r="BW623" s="31"/>
      <c r="BX623" s="31"/>
      <c r="BY623" s="31"/>
      <c r="BZ623" s="31"/>
      <c r="CA623" s="31"/>
      <c r="CB623" s="31"/>
      <c r="CC623" s="31"/>
      <c r="CD623" s="31"/>
      <c r="CE623" s="31"/>
      <c r="CF623" s="31"/>
      <c r="CG623" s="31"/>
      <c r="CH623" s="31"/>
      <c r="CI623" s="31"/>
      <c r="CJ623" s="31"/>
      <c r="CK623" s="31"/>
      <c r="CL623" s="31"/>
      <c r="CM623" s="31"/>
      <c r="CN623" s="31"/>
      <c r="CO623" s="31"/>
      <c r="CP623" s="31"/>
      <c r="CQ623" s="31"/>
      <c r="CR623" s="31"/>
      <c r="CS623" s="31"/>
      <c r="CT623" s="31"/>
      <c r="CU623" s="31"/>
      <c r="CV623" s="31"/>
      <c r="CW623" s="31"/>
      <c r="CX623" s="31"/>
      <c r="CY623" s="31"/>
      <c r="CZ623" s="31"/>
      <c r="DA623" s="31"/>
      <c r="DB623" s="31"/>
      <c r="DC623" s="31"/>
      <c r="DD623" s="31"/>
      <c r="DE623" s="31"/>
      <c r="DF623" s="31"/>
      <c r="DG623" s="31"/>
      <c r="DH623" s="31"/>
      <c r="DI623" s="31"/>
      <c r="DJ623" s="31"/>
      <c r="DK623" s="31"/>
      <c r="DL623" s="31"/>
      <c r="DM623" s="31"/>
      <c r="DN623" s="31"/>
      <c r="DO623" s="31"/>
      <c r="DP623" s="31"/>
      <c r="DQ623" s="31"/>
      <c r="DR623" s="31"/>
      <c r="DS623" s="31"/>
      <c r="DT623" s="31"/>
      <c r="DU623" s="31"/>
      <c r="DV623" s="31"/>
      <c r="DW623" s="31"/>
      <c r="DX623" s="31"/>
      <c r="DY623" s="31"/>
      <c r="DZ623" s="31"/>
      <c r="EA623" s="31"/>
      <c r="EB623" s="31"/>
      <c r="EC623" s="31"/>
      <c r="ED623" s="31"/>
      <c r="EE623" s="31"/>
      <c r="EF623" s="31"/>
      <c r="EG623" s="31"/>
      <c r="EH623" s="31"/>
      <c r="EI623" s="31"/>
      <c r="EJ623" s="31"/>
      <c r="EK623" s="31"/>
      <c r="EL623" s="31"/>
      <c r="EM623" s="31"/>
      <c r="EN623" s="31"/>
      <c r="EO623" s="31"/>
      <c r="EP623" s="31"/>
      <c r="EQ623" s="31"/>
      <c r="ER623" s="31"/>
      <c r="ES623" s="31"/>
      <c r="ET623" s="31"/>
      <c r="EU623" s="31"/>
      <c r="EV623" s="31"/>
      <c r="EW623" s="31"/>
      <c r="EX623" s="31"/>
      <c r="EY623" s="31"/>
      <c r="EZ623" s="31"/>
      <c r="FA623" s="31"/>
      <c r="FB623" s="31"/>
      <c r="FC623" s="31"/>
      <c r="FD623" s="31"/>
      <c r="FE623" s="31"/>
      <c r="FF623" s="31"/>
      <c r="FG623" s="31"/>
      <c r="FH623" s="31"/>
      <c r="FI623" s="31"/>
      <c r="FJ623" s="31"/>
      <c r="FK623" s="31"/>
      <c r="FL623" s="31"/>
      <c r="FM623" s="31"/>
      <c r="FN623" s="31"/>
      <c r="FO623" s="31"/>
      <c r="FP623" s="31"/>
      <c r="FQ623" s="31"/>
      <c r="FR623" s="31"/>
      <c r="FS623" s="31"/>
      <c r="FT623" s="31"/>
      <c r="FU623" s="31"/>
      <c r="FV623" s="31"/>
      <c r="FW623" s="31"/>
      <c r="FX623" s="31"/>
      <c r="FY623" s="31"/>
      <c r="FZ623" s="31"/>
      <c r="GA623" s="31"/>
      <c r="GB623" s="31"/>
      <c r="GC623" s="31"/>
      <c r="GD623" s="31"/>
      <c r="GE623" s="31"/>
      <c r="GF623" s="31"/>
      <c r="GG623" s="31"/>
      <c r="GH623" s="31"/>
      <c r="GI623" s="31"/>
      <c r="GJ623" s="31"/>
      <c r="GK623" s="31"/>
      <c r="GL623" s="31"/>
      <c r="GM623" s="31"/>
      <c r="GN623" s="31"/>
      <c r="GO623" s="31"/>
      <c r="GP623" s="31"/>
      <c r="GQ623" s="31"/>
      <c r="GR623" s="31"/>
      <c r="GS623" s="31"/>
      <c r="GT623" s="31"/>
      <c r="GU623" s="31"/>
      <c r="GV623" s="31"/>
      <c r="GW623" s="31"/>
      <c r="GX623" s="31"/>
      <c r="GY623" s="31"/>
      <c r="GZ623" s="31"/>
      <c r="HA623" s="31"/>
      <c r="HB623" s="31"/>
      <c r="HC623" s="31"/>
      <c r="HD623" s="31"/>
      <c r="HE623" s="31"/>
      <c r="HF623" s="31"/>
      <c r="HG623" s="31"/>
      <c r="HH623" s="31"/>
      <c r="HI623" s="31"/>
      <c r="HJ623" s="31"/>
      <c r="HK623" s="31"/>
      <c r="HL623" s="31"/>
      <c r="HM623" s="31"/>
      <c r="HN623" s="31"/>
      <c r="HO623" s="31"/>
      <c r="HP623" s="31"/>
      <c r="HQ623" s="31"/>
      <c r="HR623" s="31"/>
      <c r="HS623" s="31"/>
      <c r="HT623" s="31"/>
      <c r="HU623" s="31"/>
      <c r="HV623" s="31"/>
      <c r="HW623" s="31"/>
      <c r="HX623" s="31"/>
      <c r="HY623" s="31"/>
      <c r="HZ623" s="31"/>
      <c r="IA623" s="31"/>
      <c r="IB623" s="31"/>
      <c r="IC623" s="31"/>
      <c r="ID623" s="31"/>
      <c r="IE623" s="31"/>
      <c r="IF623" s="31"/>
      <c r="IG623" s="31"/>
      <c r="IH623" s="31"/>
      <c r="II623" s="31"/>
      <c r="IJ623" s="31"/>
      <c r="IK623" s="31"/>
      <c r="IL623" s="31"/>
      <c r="IM623" s="31"/>
      <c r="IN623" s="31"/>
      <c r="IO623" s="31"/>
      <c r="IP623" s="31"/>
      <c r="IQ623" s="31"/>
      <c r="IR623" s="31"/>
      <c r="IS623" s="31"/>
      <c r="IT623" s="31"/>
      <c r="IU623" s="31"/>
      <c r="IV623" s="31"/>
      <c r="IW623" s="31"/>
      <c r="IX623" s="31"/>
      <c r="IY623" s="31"/>
      <c r="IZ623" s="31"/>
      <c r="JA623" s="31"/>
      <c r="JB623" s="31"/>
      <c r="JC623" s="31"/>
      <c r="JD623" s="31"/>
      <c r="JE623" s="31"/>
      <c r="JF623" s="31"/>
      <c r="JG623" s="31"/>
      <c r="JH623" s="31"/>
      <c r="JI623" s="31"/>
      <c r="JJ623" s="31"/>
      <c r="JK623" s="31"/>
      <c r="JL623" s="31"/>
      <c r="JM623" s="31"/>
      <c r="JN623" s="31"/>
      <c r="JO623" s="31"/>
      <c r="JP623" s="31"/>
      <c r="JQ623" s="31"/>
      <c r="JR623" s="31"/>
      <c r="JS623" s="31"/>
      <c r="JT623" s="31"/>
      <c r="JU623" s="31"/>
      <c r="JV623" s="31"/>
      <c r="JW623" s="31"/>
      <c r="JX623" s="31"/>
      <c r="JY623" s="31"/>
      <c r="JZ623" s="31"/>
      <c r="KA623" s="31"/>
      <c r="KB623" s="31"/>
      <c r="KC623" s="31"/>
      <c r="KD623" s="31"/>
      <c r="KE623" s="31"/>
      <c r="KF623" s="31"/>
      <c r="KG623" s="31"/>
      <c r="KH623" s="31"/>
      <c r="KI623" s="31"/>
      <c r="KJ623" s="31"/>
      <c r="KK623" s="31"/>
      <c r="KL623" s="31"/>
      <c r="KM623" s="31"/>
      <c r="KN623" s="31"/>
      <c r="KO623" s="31"/>
      <c r="KP623" s="31"/>
      <c r="KQ623" s="31"/>
      <c r="KR623" s="31"/>
      <c r="KS623" s="31"/>
      <c r="KT623" s="31"/>
      <c r="KU623" s="31"/>
      <c r="KV623" s="31"/>
      <c r="KW623" s="31"/>
      <c r="KX623" s="31"/>
      <c r="KY623" s="31"/>
      <c r="KZ623" s="31"/>
      <c r="LA623" s="31"/>
      <c r="LB623" s="31"/>
      <c r="LC623" s="31"/>
      <c r="LD623" s="31"/>
      <c r="LE623" s="31"/>
      <c r="LF623" s="31"/>
      <c r="LG623" s="31"/>
      <c r="LH623" s="31"/>
      <c r="LI623" s="31"/>
      <c r="LJ623" s="31"/>
      <c r="LK623" s="31"/>
      <c r="LL623" s="31"/>
      <c r="LM623" s="31"/>
      <c r="LN623" s="31"/>
      <c r="LO623" s="31"/>
      <c r="LP623" s="31"/>
      <c r="LQ623" s="31"/>
      <c r="LR623" s="31"/>
      <c r="LS623" s="31"/>
      <c r="LT623" s="31"/>
      <c r="LU623" s="31"/>
      <c r="LV623" s="31"/>
      <c r="LW623" s="31"/>
      <c r="LX623" s="31"/>
      <c r="LY623" s="31"/>
      <c r="LZ623" s="31"/>
      <c r="MA623" s="31"/>
      <c r="MB623" s="31"/>
      <c r="MC623" s="31"/>
      <c r="MD623" s="31"/>
      <c r="ME623" s="31"/>
      <c r="MF623" s="31"/>
      <c r="MG623" s="31"/>
      <c r="MH623" s="31"/>
      <c r="MI623" s="31"/>
      <c r="MJ623" s="31"/>
      <c r="MK623" s="31"/>
      <c r="ML623" s="31"/>
      <c r="MM623" s="31"/>
      <c r="MN623" s="31"/>
      <c r="MO623" s="31"/>
      <c r="MP623" s="31"/>
      <c r="MQ623" s="31"/>
      <c r="MR623" s="31"/>
      <c r="MS623" s="31"/>
      <c r="MT623" s="31"/>
      <c r="MU623" s="31"/>
      <c r="MV623" s="31"/>
      <c r="MW623" s="31"/>
      <c r="MX623" s="31"/>
      <c r="MY623" s="31"/>
      <c r="MZ623" s="31"/>
      <c r="NA623" s="31"/>
      <c r="NB623" s="31"/>
      <c r="NC623" s="31"/>
      <c r="ND623" s="31"/>
      <c r="NE623" s="31"/>
      <c r="NF623" s="31"/>
      <c r="NG623" s="31"/>
      <c r="NH623" s="31"/>
      <c r="NI623" s="31"/>
      <c r="NJ623" s="31"/>
      <c r="NK623" s="31"/>
      <c r="NL623" s="31"/>
      <c r="NM623" s="31"/>
      <c r="NN623" s="31"/>
      <c r="NO623" s="31"/>
      <c r="NP623" s="31"/>
      <c r="NQ623" s="31"/>
      <c r="NR623" s="31"/>
      <c r="NS623" s="31"/>
      <c r="NT623" s="31"/>
      <c r="NU623" s="31"/>
      <c r="NV623" s="31"/>
      <c r="NW623" s="31"/>
      <c r="NX623" s="31"/>
      <c r="NY623" s="31"/>
      <c r="NZ623" s="31"/>
      <c r="OA623" s="31"/>
      <c r="OB623" s="31"/>
      <c r="OC623" s="31"/>
      <c r="OD623" s="31"/>
      <c r="OE623" s="31"/>
      <c r="OF623" s="31"/>
      <c r="OG623" s="31"/>
      <c r="OH623" s="31"/>
      <c r="OI623" s="31"/>
      <c r="OJ623" s="31"/>
      <c r="OK623" s="31"/>
      <c r="OL623" s="31"/>
      <c r="OM623" s="31"/>
      <c r="ON623" s="31"/>
      <c r="OO623" s="31"/>
      <c r="OP623" s="31"/>
      <c r="OQ623" s="31"/>
      <c r="OR623" s="31"/>
      <c r="OS623" s="31"/>
      <c r="OT623" s="31"/>
      <c r="OU623" s="31"/>
      <c r="OV623" s="31"/>
      <c r="OW623" s="31"/>
      <c r="OX623" s="31"/>
      <c r="OY623" s="31"/>
      <c r="OZ623" s="31"/>
      <c r="PA623" s="31"/>
      <c r="PB623" s="31"/>
      <c r="PC623" s="31"/>
      <c r="PD623" s="31"/>
      <c r="PE623" s="31"/>
      <c r="PF623" s="31"/>
      <c r="PG623" s="31"/>
      <c r="PH623" s="31"/>
      <c r="PI623" s="31"/>
      <c r="PJ623" s="31"/>
      <c r="PK623" s="31"/>
      <c r="PL623" s="31"/>
      <c r="PM623" s="31"/>
      <c r="PN623" s="31"/>
      <c r="PO623" s="31"/>
      <c r="PP623" s="31"/>
      <c r="PQ623" s="31"/>
      <c r="PR623" s="31"/>
      <c r="PS623" s="31"/>
      <c r="PT623" s="31"/>
      <c r="PU623" s="31"/>
      <c r="PV623" s="31"/>
      <c r="PW623" s="31"/>
      <c r="PX623" s="31"/>
      <c r="PY623" s="31"/>
      <c r="PZ623" s="31"/>
      <c r="QA623" s="31"/>
      <c r="QB623" s="31"/>
      <c r="QC623" s="31"/>
      <c r="QD623" s="31"/>
      <c r="QE623" s="31"/>
      <c r="QF623" s="31"/>
      <c r="QG623" s="31"/>
      <c r="QH623" s="31"/>
      <c r="QI623" s="31"/>
      <c r="QJ623" s="31"/>
      <c r="QK623" s="31"/>
      <c r="QL623" s="31"/>
      <c r="QM623" s="31"/>
      <c r="QN623" s="31"/>
      <c r="QO623" s="31"/>
      <c r="QP623" s="31"/>
      <c r="QQ623" s="31"/>
      <c r="QR623" s="31"/>
      <c r="QS623" s="31"/>
      <c r="QT623" s="31"/>
      <c r="QU623" s="31"/>
      <c r="QV623" s="31"/>
      <c r="QW623" s="31"/>
      <c r="QX623" s="31"/>
      <c r="QY623" s="31"/>
      <c r="QZ623" s="31"/>
      <c r="RA623" s="31"/>
      <c r="RB623" s="31"/>
      <c r="RC623" s="31"/>
      <c r="RD623" s="31"/>
      <c r="RE623" s="31"/>
      <c r="RF623" s="31"/>
      <c r="RG623" s="31"/>
      <c r="RH623" s="31"/>
      <c r="RI623" s="31"/>
      <c r="RJ623" s="31"/>
      <c r="RK623" s="31"/>
      <c r="RL623" s="31"/>
      <c r="RM623" s="31"/>
      <c r="RN623" s="31"/>
      <c r="RO623" s="31"/>
      <c r="RP623" s="31"/>
      <c r="RQ623" s="31"/>
      <c r="RR623" s="31"/>
      <c r="RS623" s="31"/>
      <c r="RT623" s="31"/>
      <c r="RU623" s="31"/>
      <c r="RV623" s="31"/>
      <c r="RW623" s="31"/>
      <c r="RX623" s="31"/>
      <c r="RY623" s="31"/>
      <c r="RZ623" s="31"/>
      <c r="SA623" s="31"/>
      <c r="SB623" s="31"/>
      <c r="SC623" s="31"/>
      <c r="SD623" s="31"/>
      <c r="SE623" s="31"/>
      <c r="SF623" s="31"/>
      <c r="SG623" s="31"/>
      <c r="SH623" s="31"/>
      <c r="SI623" s="31"/>
      <c r="SJ623" s="31"/>
      <c r="SK623" s="31"/>
      <c r="SL623" s="31"/>
      <c r="SM623" s="31"/>
      <c r="SN623" s="31"/>
      <c r="SO623" s="31"/>
      <c r="SP623" s="31"/>
      <c r="SQ623" s="31"/>
      <c r="SR623" s="31"/>
      <c r="SS623" s="31"/>
      <c r="ST623" s="31"/>
      <c r="SU623" s="31"/>
      <c r="SV623" s="31"/>
      <c r="SW623" s="31"/>
      <c r="SX623" s="31"/>
      <c r="SY623" s="31"/>
      <c r="SZ623" s="31"/>
      <c r="TA623" s="31"/>
      <c r="TB623" s="31"/>
      <c r="TC623" s="31"/>
      <c r="TD623" s="31"/>
      <c r="TE623" s="31"/>
      <c r="TF623" s="31"/>
      <c r="TG623" s="31"/>
      <c r="TH623" s="31"/>
      <c r="TI623" s="31"/>
      <c r="TJ623" s="31"/>
      <c r="TK623" s="31"/>
      <c r="TL623" s="31"/>
      <c r="TM623" s="31"/>
      <c r="TN623" s="31"/>
      <c r="TO623" s="31"/>
      <c r="TP623" s="31"/>
      <c r="TQ623" s="31"/>
      <c r="TR623" s="31"/>
      <c r="TS623" s="31"/>
      <c r="TT623" s="31"/>
      <c r="TU623" s="31"/>
      <c r="TV623" s="31"/>
      <c r="TW623" s="31"/>
      <c r="TX623" s="31"/>
      <c r="TY623" s="31"/>
      <c r="TZ623" s="31"/>
      <c r="UA623" s="31"/>
      <c r="UB623" s="31"/>
      <c r="UC623" s="31"/>
      <c r="UD623" s="31"/>
      <c r="UE623" s="31"/>
      <c r="UF623" s="31"/>
      <c r="UG623" s="33"/>
    </row>
    <row r="624" spans="1:553" ht="50.25" customHeight="1">
      <c r="A624" s="356" t="s">
        <v>30</v>
      </c>
      <c r="B624" s="385">
        <v>193</v>
      </c>
      <c r="C624" s="1403" t="s">
        <v>440</v>
      </c>
      <c r="D624" s="1389"/>
      <c r="E624" s="1389"/>
      <c r="F624" s="1390"/>
      <c r="G624" s="386" t="s">
        <v>935</v>
      </c>
      <c r="H624" s="370"/>
      <c r="I624" s="422">
        <f>15*(1.5/1.8)</f>
        <v>12.499999999999998</v>
      </c>
      <c r="J624" s="368">
        <v>250500</v>
      </c>
      <c r="K624" s="371"/>
      <c r="L624" s="487">
        <f t="shared" si="101"/>
        <v>3131249.9999999995</v>
      </c>
      <c r="M624" s="391"/>
      <c r="N624" s="391"/>
      <c r="O624" s="391"/>
      <c r="P624" s="391"/>
      <c r="Q624" s="1445"/>
      <c r="R624" s="1226"/>
      <c r="S624" s="308"/>
      <c r="T624" s="308"/>
      <c r="U624" s="308"/>
      <c r="V624" s="308"/>
      <c r="W624" s="308"/>
      <c r="X624" s="308"/>
      <c r="Y624" s="308"/>
      <c r="Z624" s="604"/>
      <c r="AA624" s="308"/>
      <c r="AB624" s="308"/>
      <c r="AC624" s="449"/>
      <c r="AD624" s="449"/>
      <c r="AE624" s="449"/>
      <c r="AF624" s="449"/>
      <c r="AG624" s="449"/>
      <c r="AH624" s="449"/>
      <c r="AI624" s="449"/>
      <c r="AJ624" s="449"/>
      <c r="AK624" s="452"/>
      <c r="AL624" s="104"/>
      <c r="AM624" s="32"/>
      <c r="AN624" s="32"/>
      <c r="AO624" s="32"/>
      <c r="AP624" s="32"/>
      <c r="AQ624" s="32"/>
      <c r="AR624" s="32"/>
      <c r="AS624" s="31"/>
      <c r="AT624" s="31"/>
      <c r="AU624" s="31"/>
      <c r="AV624" s="31"/>
      <c r="AW624" s="31"/>
      <c r="AX624" s="31"/>
      <c r="AY624" s="31"/>
      <c r="AZ624" s="31"/>
      <c r="BA624" s="31"/>
      <c r="BB624" s="31"/>
      <c r="BC624" s="31"/>
      <c r="BD624" s="31"/>
      <c r="BE624" s="31"/>
      <c r="BF624" s="31"/>
      <c r="BG624" s="31"/>
      <c r="BH624" s="31"/>
      <c r="BI624" s="31"/>
      <c r="BJ624" s="31"/>
      <c r="BK624" s="31"/>
      <c r="BL624" s="31"/>
      <c r="BM624" s="31"/>
      <c r="BN624" s="31"/>
      <c r="BO624" s="31"/>
      <c r="BP624" s="31"/>
      <c r="BQ624" s="31"/>
      <c r="BR624" s="31"/>
      <c r="BS624" s="31"/>
      <c r="BT624" s="31"/>
      <c r="BU624" s="31"/>
      <c r="BV624" s="31"/>
      <c r="BW624" s="31"/>
      <c r="BX624" s="31"/>
      <c r="BY624" s="31"/>
      <c r="BZ624" s="31"/>
      <c r="CA624" s="31"/>
      <c r="CB624" s="31"/>
      <c r="CC624" s="31"/>
      <c r="CD624" s="31"/>
      <c r="CE624" s="31"/>
      <c r="CF624" s="31"/>
      <c r="CG624" s="31"/>
      <c r="CH624" s="31"/>
      <c r="CI624" s="31"/>
      <c r="CJ624" s="31"/>
      <c r="CK624" s="31"/>
      <c r="CL624" s="31"/>
      <c r="CM624" s="31"/>
      <c r="CN624" s="31"/>
      <c r="CO624" s="31"/>
      <c r="CP624" s="31"/>
      <c r="CQ624" s="31"/>
      <c r="CR624" s="31"/>
      <c r="CS624" s="31"/>
      <c r="CT624" s="31"/>
      <c r="CU624" s="31"/>
      <c r="CV624" s="31"/>
      <c r="CW624" s="31"/>
      <c r="CX624" s="31"/>
      <c r="CY624" s="31"/>
      <c r="CZ624" s="31"/>
      <c r="DA624" s="31"/>
      <c r="DB624" s="31"/>
      <c r="DC624" s="31"/>
      <c r="DD624" s="31"/>
      <c r="DE624" s="31"/>
      <c r="DF624" s="31"/>
      <c r="DG624" s="31"/>
      <c r="DH624" s="31"/>
      <c r="DI624" s="31"/>
      <c r="DJ624" s="31"/>
      <c r="DK624" s="31"/>
      <c r="DL624" s="31"/>
      <c r="DM624" s="31"/>
      <c r="DN624" s="31"/>
      <c r="DO624" s="31"/>
      <c r="DP624" s="31"/>
      <c r="DQ624" s="31"/>
      <c r="DR624" s="31"/>
      <c r="DS624" s="31"/>
      <c r="DT624" s="31"/>
      <c r="DU624" s="31"/>
      <c r="DV624" s="31"/>
      <c r="DW624" s="31"/>
      <c r="DX624" s="31"/>
      <c r="DY624" s="31"/>
      <c r="DZ624" s="31"/>
      <c r="EA624" s="31"/>
      <c r="EB624" s="31"/>
      <c r="EC624" s="31"/>
      <c r="ED624" s="31"/>
      <c r="EE624" s="31"/>
      <c r="EF624" s="31"/>
      <c r="EG624" s="31"/>
      <c r="EH624" s="31"/>
      <c r="EI624" s="31"/>
      <c r="EJ624" s="31"/>
      <c r="EK624" s="31"/>
      <c r="EL624" s="31"/>
      <c r="EM624" s="31"/>
      <c r="EN624" s="31"/>
      <c r="EO624" s="31"/>
      <c r="EP624" s="31"/>
      <c r="EQ624" s="31"/>
      <c r="ER624" s="31"/>
      <c r="ES624" s="31"/>
      <c r="ET624" s="31"/>
      <c r="EU624" s="31"/>
      <c r="EV624" s="31"/>
      <c r="EW624" s="31"/>
      <c r="EX624" s="31"/>
      <c r="EY624" s="31"/>
      <c r="EZ624" s="31"/>
      <c r="FA624" s="31"/>
      <c r="FB624" s="31"/>
      <c r="FC624" s="31"/>
      <c r="FD624" s="31"/>
      <c r="FE624" s="31"/>
      <c r="FF624" s="31"/>
      <c r="FG624" s="31"/>
      <c r="FH624" s="31"/>
      <c r="FI624" s="31"/>
      <c r="FJ624" s="31"/>
      <c r="FK624" s="31"/>
      <c r="FL624" s="31"/>
      <c r="FM624" s="31"/>
      <c r="FN624" s="31"/>
      <c r="FO624" s="31"/>
      <c r="FP624" s="31"/>
      <c r="FQ624" s="31"/>
      <c r="FR624" s="31"/>
      <c r="FS624" s="31"/>
      <c r="FT624" s="31"/>
      <c r="FU624" s="31"/>
      <c r="FV624" s="31"/>
      <c r="FW624" s="31"/>
      <c r="FX624" s="31"/>
      <c r="FY624" s="31"/>
      <c r="FZ624" s="31"/>
      <c r="GA624" s="31"/>
      <c r="GB624" s="31"/>
      <c r="GC624" s="31"/>
      <c r="GD624" s="31"/>
      <c r="GE624" s="31"/>
      <c r="GF624" s="31"/>
      <c r="GG624" s="31"/>
      <c r="GH624" s="31"/>
      <c r="GI624" s="31"/>
      <c r="GJ624" s="31"/>
      <c r="GK624" s="31"/>
      <c r="GL624" s="31"/>
      <c r="GM624" s="31"/>
      <c r="GN624" s="31"/>
      <c r="GO624" s="31"/>
      <c r="GP624" s="31"/>
      <c r="GQ624" s="31"/>
      <c r="GR624" s="31"/>
      <c r="GS624" s="31"/>
      <c r="GT624" s="31"/>
      <c r="GU624" s="31"/>
      <c r="GV624" s="31"/>
      <c r="GW624" s="31"/>
      <c r="GX624" s="31"/>
      <c r="GY624" s="31"/>
      <c r="GZ624" s="31"/>
      <c r="HA624" s="31"/>
      <c r="HB624" s="31"/>
      <c r="HC624" s="31"/>
      <c r="HD624" s="31"/>
      <c r="HE624" s="31"/>
      <c r="HF624" s="31"/>
      <c r="HG624" s="31"/>
      <c r="HH624" s="31"/>
      <c r="HI624" s="31"/>
      <c r="HJ624" s="31"/>
      <c r="HK624" s="31"/>
      <c r="HL624" s="31"/>
      <c r="HM624" s="31"/>
      <c r="HN624" s="31"/>
      <c r="HO624" s="31"/>
      <c r="HP624" s="31"/>
      <c r="HQ624" s="31"/>
      <c r="HR624" s="31"/>
      <c r="HS624" s="31"/>
      <c r="HT624" s="31"/>
      <c r="HU624" s="31"/>
      <c r="HV624" s="31"/>
      <c r="HW624" s="31"/>
      <c r="HX624" s="31"/>
      <c r="HY624" s="31"/>
      <c r="HZ624" s="31"/>
      <c r="IA624" s="31"/>
      <c r="IB624" s="31"/>
      <c r="IC624" s="31"/>
      <c r="ID624" s="31"/>
      <c r="IE624" s="31"/>
      <c r="IF624" s="31"/>
      <c r="IG624" s="31"/>
      <c r="IH624" s="31"/>
      <c r="II624" s="31"/>
      <c r="IJ624" s="31"/>
      <c r="IK624" s="31"/>
      <c r="IL624" s="31"/>
      <c r="IM624" s="31"/>
      <c r="IN624" s="31"/>
      <c r="IO624" s="31"/>
      <c r="IP624" s="31"/>
      <c r="IQ624" s="31"/>
      <c r="IR624" s="31"/>
      <c r="IS624" s="31"/>
      <c r="IT624" s="31"/>
      <c r="IU624" s="31"/>
      <c r="IV624" s="31"/>
      <c r="IW624" s="31"/>
      <c r="IX624" s="31"/>
      <c r="IY624" s="31"/>
      <c r="IZ624" s="31"/>
      <c r="JA624" s="31"/>
      <c r="JB624" s="31"/>
      <c r="JC624" s="31"/>
      <c r="JD624" s="31"/>
      <c r="JE624" s="31"/>
      <c r="JF624" s="31"/>
      <c r="JG624" s="31"/>
      <c r="JH624" s="31"/>
      <c r="JI624" s="31"/>
      <c r="JJ624" s="31"/>
      <c r="JK624" s="31"/>
      <c r="JL624" s="31"/>
      <c r="JM624" s="31"/>
      <c r="JN624" s="31"/>
      <c r="JO624" s="31"/>
      <c r="JP624" s="31"/>
      <c r="JQ624" s="31"/>
      <c r="JR624" s="31"/>
      <c r="JS624" s="31"/>
      <c r="JT624" s="31"/>
      <c r="JU624" s="31"/>
      <c r="JV624" s="31"/>
      <c r="JW624" s="31"/>
      <c r="JX624" s="31"/>
      <c r="JY624" s="31"/>
      <c r="JZ624" s="31"/>
      <c r="KA624" s="31"/>
      <c r="KB624" s="31"/>
      <c r="KC624" s="31"/>
      <c r="KD624" s="31"/>
      <c r="KE624" s="31"/>
      <c r="KF624" s="31"/>
      <c r="KG624" s="31"/>
      <c r="KH624" s="31"/>
      <c r="KI624" s="31"/>
      <c r="KJ624" s="31"/>
      <c r="KK624" s="31"/>
      <c r="KL624" s="31"/>
      <c r="KM624" s="31"/>
      <c r="KN624" s="31"/>
      <c r="KO624" s="31"/>
      <c r="KP624" s="31"/>
      <c r="KQ624" s="31"/>
      <c r="KR624" s="31"/>
      <c r="KS624" s="31"/>
      <c r="KT624" s="31"/>
      <c r="KU624" s="31"/>
      <c r="KV624" s="31"/>
      <c r="KW624" s="31"/>
      <c r="KX624" s="31"/>
      <c r="KY624" s="31"/>
      <c r="KZ624" s="31"/>
      <c r="LA624" s="31"/>
      <c r="LB624" s="31"/>
      <c r="LC624" s="31"/>
      <c r="LD624" s="31"/>
      <c r="LE624" s="31"/>
      <c r="LF624" s="31"/>
      <c r="LG624" s="31"/>
      <c r="LH624" s="31"/>
      <c r="LI624" s="31"/>
      <c r="LJ624" s="31"/>
      <c r="LK624" s="31"/>
      <c r="LL624" s="31"/>
      <c r="LM624" s="31"/>
      <c r="LN624" s="31"/>
      <c r="LO624" s="31"/>
      <c r="LP624" s="31"/>
      <c r="LQ624" s="31"/>
      <c r="LR624" s="31"/>
      <c r="LS624" s="31"/>
      <c r="LT624" s="31"/>
      <c r="LU624" s="31"/>
      <c r="LV624" s="31"/>
      <c r="LW624" s="31"/>
      <c r="LX624" s="31"/>
      <c r="LY624" s="31"/>
      <c r="LZ624" s="31"/>
      <c r="MA624" s="31"/>
      <c r="MB624" s="31"/>
      <c r="MC624" s="31"/>
      <c r="MD624" s="31"/>
      <c r="ME624" s="31"/>
      <c r="MF624" s="31"/>
      <c r="MG624" s="31"/>
      <c r="MH624" s="31"/>
      <c r="MI624" s="31"/>
      <c r="MJ624" s="31"/>
      <c r="MK624" s="31"/>
      <c r="ML624" s="31"/>
      <c r="MM624" s="31"/>
      <c r="MN624" s="31"/>
      <c r="MO624" s="31"/>
      <c r="MP624" s="31"/>
      <c r="MQ624" s="31"/>
      <c r="MR624" s="31"/>
      <c r="MS624" s="31"/>
      <c r="MT624" s="31"/>
      <c r="MU624" s="31"/>
      <c r="MV624" s="31"/>
      <c r="MW624" s="31"/>
      <c r="MX624" s="31"/>
      <c r="MY624" s="31"/>
      <c r="MZ624" s="31"/>
      <c r="NA624" s="31"/>
      <c r="NB624" s="31"/>
      <c r="NC624" s="31"/>
      <c r="ND624" s="31"/>
      <c r="NE624" s="31"/>
      <c r="NF624" s="31"/>
      <c r="NG624" s="31"/>
      <c r="NH624" s="31"/>
      <c r="NI624" s="31"/>
      <c r="NJ624" s="31"/>
      <c r="NK624" s="31"/>
      <c r="NL624" s="31"/>
      <c r="NM624" s="31"/>
      <c r="NN624" s="31"/>
      <c r="NO624" s="31"/>
      <c r="NP624" s="31"/>
      <c r="NQ624" s="31"/>
      <c r="NR624" s="31"/>
      <c r="NS624" s="31"/>
      <c r="NT624" s="31"/>
      <c r="NU624" s="31"/>
      <c r="NV624" s="31"/>
      <c r="NW624" s="31"/>
      <c r="NX624" s="31"/>
      <c r="NY624" s="31"/>
      <c r="NZ624" s="31"/>
      <c r="OA624" s="31"/>
      <c r="OB624" s="31"/>
      <c r="OC624" s="31"/>
      <c r="OD624" s="31"/>
      <c r="OE624" s="31"/>
      <c r="OF624" s="31"/>
      <c r="OG624" s="31"/>
      <c r="OH624" s="31"/>
      <c r="OI624" s="31"/>
      <c r="OJ624" s="31"/>
      <c r="OK624" s="31"/>
      <c r="OL624" s="31"/>
      <c r="OM624" s="31"/>
      <c r="ON624" s="31"/>
      <c r="OO624" s="31"/>
      <c r="OP624" s="31"/>
      <c r="OQ624" s="31"/>
      <c r="OR624" s="31"/>
      <c r="OS624" s="31"/>
      <c r="OT624" s="31"/>
      <c r="OU624" s="31"/>
      <c r="OV624" s="31"/>
      <c r="OW624" s="31"/>
      <c r="OX624" s="31"/>
      <c r="OY624" s="31"/>
      <c r="OZ624" s="31"/>
      <c r="PA624" s="31"/>
      <c r="PB624" s="31"/>
      <c r="PC624" s="31"/>
      <c r="PD624" s="31"/>
      <c r="PE624" s="31"/>
      <c r="PF624" s="31"/>
      <c r="PG624" s="31"/>
      <c r="PH624" s="31"/>
      <c r="PI624" s="31"/>
      <c r="PJ624" s="31"/>
      <c r="PK624" s="31"/>
      <c r="PL624" s="31"/>
      <c r="PM624" s="31"/>
      <c r="PN624" s="31"/>
      <c r="PO624" s="31"/>
      <c r="PP624" s="31"/>
      <c r="PQ624" s="31"/>
      <c r="PR624" s="31"/>
      <c r="PS624" s="31"/>
      <c r="PT624" s="31"/>
      <c r="PU624" s="31"/>
      <c r="PV624" s="31"/>
      <c r="PW624" s="31"/>
      <c r="PX624" s="31"/>
      <c r="PY624" s="31"/>
      <c r="PZ624" s="31"/>
      <c r="QA624" s="31"/>
      <c r="QB624" s="31"/>
      <c r="QC624" s="31"/>
      <c r="QD624" s="31"/>
      <c r="QE624" s="31"/>
      <c r="QF624" s="31"/>
      <c r="QG624" s="31"/>
      <c r="QH624" s="31"/>
      <c r="QI624" s="31"/>
      <c r="QJ624" s="31"/>
      <c r="QK624" s="31"/>
      <c r="QL624" s="31"/>
      <c r="QM624" s="31"/>
      <c r="QN624" s="31"/>
      <c r="QO624" s="31"/>
      <c r="QP624" s="31"/>
      <c r="QQ624" s="31"/>
      <c r="QR624" s="31"/>
      <c r="QS624" s="31"/>
      <c r="QT624" s="31"/>
      <c r="QU624" s="31"/>
      <c r="QV624" s="31"/>
      <c r="QW624" s="31"/>
      <c r="QX624" s="31"/>
      <c r="QY624" s="31"/>
      <c r="QZ624" s="31"/>
      <c r="RA624" s="31"/>
      <c r="RB624" s="31"/>
      <c r="RC624" s="31"/>
      <c r="RD624" s="31"/>
      <c r="RE624" s="31"/>
      <c r="RF624" s="31"/>
      <c r="RG624" s="31"/>
      <c r="RH624" s="31"/>
      <c r="RI624" s="31"/>
      <c r="RJ624" s="31"/>
      <c r="RK624" s="31"/>
      <c r="RL624" s="31"/>
      <c r="RM624" s="31"/>
      <c r="RN624" s="31"/>
      <c r="RO624" s="31"/>
      <c r="RP624" s="31"/>
      <c r="RQ624" s="31"/>
      <c r="RR624" s="31"/>
      <c r="RS624" s="31"/>
      <c r="RT624" s="31"/>
      <c r="RU624" s="31"/>
      <c r="RV624" s="31"/>
      <c r="RW624" s="31"/>
      <c r="RX624" s="31"/>
      <c r="RY624" s="31"/>
      <c r="RZ624" s="31"/>
      <c r="SA624" s="31"/>
      <c r="SB624" s="31"/>
      <c r="SC624" s="31"/>
      <c r="SD624" s="31"/>
      <c r="SE624" s="31"/>
      <c r="SF624" s="31"/>
      <c r="SG624" s="31"/>
      <c r="SH624" s="31"/>
      <c r="SI624" s="31"/>
      <c r="SJ624" s="31"/>
      <c r="SK624" s="31"/>
      <c r="SL624" s="31"/>
      <c r="SM624" s="31"/>
      <c r="SN624" s="31"/>
      <c r="SO624" s="31"/>
      <c r="SP624" s="31"/>
      <c r="SQ624" s="31"/>
      <c r="SR624" s="31"/>
      <c r="SS624" s="31"/>
      <c r="ST624" s="31"/>
      <c r="SU624" s="31"/>
      <c r="SV624" s="31"/>
      <c r="SW624" s="31"/>
      <c r="SX624" s="31"/>
      <c r="SY624" s="31"/>
      <c r="SZ624" s="31"/>
      <c r="TA624" s="31"/>
      <c r="TB624" s="31"/>
      <c r="TC624" s="31"/>
      <c r="TD624" s="31"/>
      <c r="TE624" s="31"/>
      <c r="TF624" s="31"/>
      <c r="TG624" s="31"/>
      <c r="TH624" s="31"/>
      <c r="TI624" s="31"/>
      <c r="TJ624" s="31"/>
      <c r="TK624" s="31"/>
      <c r="TL624" s="31"/>
      <c r="TM624" s="31"/>
      <c r="TN624" s="31"/>
      <c r="TO624" s="31"/>
      <c r="TP624" s="31"/>
      <c r="TQ624" s="31"/>
      <c r="TR624" s="31"/>
      <c r="TS624" s="31"/>
      <c r="TT624" s="31"/>
      <c r="TU624" s="31"/>
      <c r="TV624" s="31"/>
      <c r="TW624" s="31"/>
      <c r="TX624" s="31"/>
      <c r="TY624" s="31"/>
      <c r="TZ624" s="31"/>
      <c r="UA624" s="31"/>
      <c r="UB624" s="31"/>
      <c r="UC624" s="31"/>
      <c r="UD624" s="31"/>
      <c r="UE624" s="31"/>
      <c r="UF624" s="31"/>
      <c r="UG624" s="33"/>
    </row>
    <row r="625" spans="1:553" ht="50.25" customHeight="1">
      <c r="A625" s="356" t="s">
        <v>30</v>
      </c>
      <c r="B625" s="385" t="s">
        <v>31</v>
      </c>
      <c r="C625" s="1403" t="s">
        <v>441</v>
      </c>
      <c r="D625" s="1389"/>
      <c r="E625" s="1389"/>
      <c r="F625" s="1390"/>
      <c r="G625" s="386" t="s">
        <v>34</v>
      </c>
      <c r="H625" s="370"/>
      <c r="I625" s="834">
        <f>15.7*0.8*0.11</f>
        <v>1.3816000000000002</v>
      </c>
      <c r="J625" s="368">
        <v>1913917</v>
      </c>
      <c r="K625" s="371"/>
      <c r="L625" s="487">
        <f t="shared" si="101"/>
        <v>2644267.7272000001</v>
      </c>
      <c r="M625" s="395"/>
      <c r="N625" s="395"/>
      <c r="O625" s="366"/>
      <c r="P625" s="396"/>
      <c r="Q625" s="473"/>
      <c r="R625" s="1039"/>
      <c r="S625" s="308"/>
      <c r="T625" s="308"/>
      <c r="U625" s="308"/>
      <c r="V625" s="308"/>
      <c r="W625" s="308"/>
      <c r="X625" s="308"/>
      <c r="Y625" s="308"/>
      <c r="Z625" s="604"/>
      <c r="AA625" s="308"/>
      <c r="AB625" s="308"/>
      <c r="AC625" s="449"/>
      <c r="AD625" s="449"/>
      <c r="AE625" s="449"/>
      <c r="AF625" s="449"/>
      <c r="AG625" s="452"/>
      <c r="AH625" s="452"/>
      <c r="AI625" s="452"/>
      <c r="AJ625" s="452"/>
      <c r="AK625" s="452"/>
      <c r="AL625" s="104"/>
      <c r="AM625" s="32"/>
      <c r="AN625" s="32"/>
      <c r="AO625" s="32"/>
      <c r="AP625" s="32"/>
      <c r="AQ625" s="31"/>
      <c r="AR625" s="31"/>
      <c r="AS625" s="31"/>
      <c r="AT625" s="31"/>
      <c r="AU625" s="31"/>
      <c r="AV625" s="31"/>
      <c r="AW625" s="31"/>
      <c r="AX625" s="31"/>
      <c r="AY625" s="31"/>
      <c r="AZ625" s="31"/>
      <c r="BA625" s="31"/>
      <c r="BB625" s="31"/>
      <c r="BC625" s="31"/>
      <c r="BD625" s="31"/>
      <c r="BE625" s="31"/>
      <c r="BF625" s="31"/>
      <c r="BG625" s="31"/>
      <c r="BH625" s="31"/>
      <c r="BI625" s="31"/>
      <c r="BJ625" s="31"/>
      <c r="BK625" s="31"/>
      <c r="BL625" s="31"/>
      <c r="BM625" s="25"/>
      <c r="BN625" s="25"/>
      <c r="BO625" s="25"/>
      <c r="BP625" s="25"/>
      <c r="BQ625" s="25"/>
      <c r="BR625" s="25"/>
      <c r="BS625" s="25"/>
      <c r="BT625" s="25"/>
      <c r="BU625" s="25"/>
      <c r="BV625" s="25"/>
      <c r="BW625" s="25"/>
      <c r="BX625" s="25"/>
      <c r="BY625" s="25"/>
      <c r="BZ625" s="25"/>
      <c r="CA625" s="25"/>
      <c r="CB625" s="25"/>
      <c r="CC625" s="25"/>
      <c r="CD625" s="25"/>
      <c r="CE625" s="25"/>
      <c r="CF625" s="25"/>
      <c r="CG625" s="25"/>
      <c r="CH625" s="25"/>
      <c r="CI625" s="25"/>
      <c r="CJ625" s="25"/>
      <c r="CK625" s="25"/>
      <c r="CL625" s="25"/>
      <c r="CM625" s="25"/>
      <c r="CN625" s="25"/>
      <c r="CO625" s="25"/>
      <c r="CP625" s="25"/>
      <c r="CQ625" s="25"/>
      <c r="CR625" s="25"/>
      <c r="CS625" s="25"/>
      <c r="CT625" s="25"/>
      <c r="CU625" s="25"/>
      <c r="CV625" s="25"/>
      <c r="CW625" s="25"/>
      <c r="CX625" s="25"/>
      <c r="CY625" s="25"/>
      <c r="CZ625" s="25"/>
      <c r="DA625" s="25"/>
      <c r="DB625" s="25"/>
      <c r="DC625" s="25"/>
      <c r="DD625" s="25"/>
      <c r="DE625" s="25"/>
      <c r="DF625" s="25"/>
      <c r="DG625" s="25"/>
      <c r="DH625" s="25"/>
      <c r="DI625" s="25"/>
      <c r="DJ625" s="25"/>
      <c r="DK625" s="25"/>
      <c r="DL625" s="25"/>
      <c r="DM625" s="25"/>
      <c r="DN625" s="25"/>
      <c r="DO625" s="25"/>
      <c r="DP625" s="25"/>
      <c r="DQ625" s="25"/>
      <c r="DR625" s="25"/>
      <c r="DS625" s="25"/>
      <c r="DT625" s="25"/>
      <c r="DU625" s="25"/>
      <c r="DV625" s="25"/>
      <c r="DW625" s="25"/>
      <c r="DX625" s="25"/>
      <c r="DY625" s="25"/>
      <c r="DZ625" s="25"/>
      <c r="EA625" s="25"/>
      <c r="EB625" s="25"/>
      <c r="EC625" s="25"/>
      <c r="ED625" s="25"/>
      <c r="EE625" s="25"/>
      <c r="EF625" s="25"/>
      <c r="EG625" s="25"/>
      <c r="EH625" s="25"/>
      <c r="EI625" s="25"/>
      <c r="EJ625" s="25"/>
      <c r="EK625" s="25"/>
      <c r="EL625" s="25"/>
      <c r="EM625" s="25"/>
      <c r="EN625" s="25"/>
      <c r="EO625" s="25"/>
      <c r="EP625" s="25"/>
      <c r="EQ625" s="25"/>
      <c r="ER625" s="25"/>
      <c r="ES625" s="25"/>
      <c r="ET625" s="25"/>
      <c r="EU625" s="25"/>
      <c r="EV625" s="25"/>
      <c r="EW625" s="25"/>
      <c r="EX625" s="25"/>
      <c r="EY625" s="25"/>
      <c r="EZ625" s="25"/>
      <c r="FA625" s="25"/>
      <c r="FB625" s="25"/>
      <c r="FC625" s="25"/>
      <c r="FD625" s="25"/>
      <c r="FE625" s="25"/>
      <c r="FF625" s="25"/>
      <c r="FG625" s="25"/>
      <c r="FH625" s="25"/>
      <c r="FI625" s="25"/>
      <c r="FJ625" s="25"/>
      <c r="FK625" s="25"/>
      <c r="FL625" s="25"/>
      <c r="FM625" s="25"/>
      <c r="FN625" s="25"/>
      <c r="FO625" s="25"/>
      <c r="FP625" s="25"/>
      <c r="FQ625" s="25"/>
      <c r="FR625" s="25"/>
      <c r="FS625" s="25"/>
      <c r="FT625" s="25"/>
      <c r="FU625" s="25"/>
      <c r="FV625" s="25"/>
      <c r="FW625" s="25"/>
      <c r="FX625" s="25"/>
      <c r="FY625" s="25"/>
      <c r="FZ625" s="25"/>
      <c r="GA625" s="25"/>
      <c r="GB625" s="25"/>
      <c r="GC625" s="25"/>
      <c r="GD625" s="25"/>
      <c r="GE625" s="25"/>
      <c r="GF625" s="25"/>
      <c r="GG625" s="25"/>
      <c r="GH625" s="25"/>
      <c r="GI625" s="25"/>
      <c r="GJ625" s="25"/>
      <c r="GK625" s="25"/>
      <c r="GL625" s="25"/>
      <c r="GM625" s="25"/>
      <c r="GN625" s="25"/>
      <c r="GO625" s="25"/>
      <c r="GP625" s="25"/>
      <c r="GQ625" s="25"/>
      <c r="GR625" s="25"/>
      <c r="GS625" s="25"/>
      <c r="GT625" s="25"/>
      <c r="GU625" s="25"/>
      <c r="GV625" s="25"/>
      <c r="GW625" s="25"/>
      <c r="GX625" s="25"/>
      <c r="GY625" s="25"/>
      <c r="GZ625" s="25"/>
      <c r="HA625" s="25"/>
      <c r="HB625" s="25"/>
      <c r="HC625" s="25"/>
      <c r="HD625" s="25"/>
      <c r="HE625" s="25"/>
      <c r="HF625" s="25"/>
      <c r="HG625" s="25"/>
      <c r="HH625" s="25"/>
      <c r="HI625" s="25"/>
      <c r="HJ625" s="25"/>
      <c r="HK625" s="25"/>
      <c r="HL625" s="25"/>
      <c r="HM625" s="25"/>
      <c r="HN625" s="25"/>
      <c r="HO625" s="25"/>
      <c r="HP625" s="25"/>
      <c r="HQ625" s="25"/>
      <c r="HR625" s="25"/>
      <c r="HS625" s="25"/>
      <c r="HT625" s="25"/>
      <c r="HU625" s="25"/>
      <c r="HV625" s="25"/>
      <c r="HW625" s="25"/>
      <c r="HX625" s="25"/>
      <c r="HY625" s="25"/>
      <c r="HZ625" s="25"/>
      <c r="IA625" s="25"/>
      <c r="IB625" s="25"/>
      <c r="IC625" s="25"/>
      <c r="ID625" s="25"/>
      <c r="IE625" s="25"/>
      <c r="IF625" s="25"/>
      <c r="IG625" s="25"/>
      <c r="IH625" s="25"/>
      <c r="II625" s="25"/>
      <c r="IJ625" s="25"/>
      <c r="IK625" s="25"/>
      <c r="IL625" s="25"/>
      <c r="IM625" s="25"/>
      <c r="IN625" s="25"/>
      <c r="IO625" s="25"/>
      <c r="IP625" s="25"/>
      <c r="IQ625" s="25"/>
      <c r="IR625" s="25"/>
      <c r="IS625" s="25"/>
      <c r="IT625" s="25"/>
      <c r="IU625" s="25"/>
      <c r="IV625" s="25"/>
      <c r="IW625" s="25"/>
      <c r="IX625" s="25"/>
      <c r="IY625" s="25"/>
      <c r="IZ625" s="25"/>
      <c r="JA625" s="25"/>
      <c r="JB625" s="25"/>
      <c r="JC625" s="25"/>
      <c r="JD625" s="25"/>
      <c r="JE625" s="25"/>
      <c r="JF625" s="25"/>
      <c r="JG625" s="25"/>
      <c r="JH625" s="25"/>
      <c r="JI625" s="25"/>
      <c r="JJ625" s="25"/>
      <c r="JK625" s="25"/>
      <c r="JL625" s="25"/>
      <c r="JM625" s="25"/>
      <c r="JN625" s="25"/>
      <c r="JO625" s="25"/>
      <c r="JP625" s="25"/>
      <c r="JQ625" s="25"/>
      <c r="JR625" s="25"/>
      <c r="JS625" s="25"/>
      <c r="JT625" s="25"/>
      <c r="JU625" s="25"/>
      <c r="JV625" s="25"/>
      <c r="JW625" s="25"/>
      <c r="JX625" s="25"/>
      <c r="JY625" s="25"/>
      <c r="JZ625" s="25"/>
      <c r="KA625" s="25"/>
      <c r="KB625" s="25"/>
      <c r="KC625" s="25"/>
      <c r="KD625" s="25"/>
      <c r="KE625" s="25"/>
      <c r="KF625" s="25"/>
      <c r="KG625" s="25"/>
      <c r="KH625" s="25"/>
      <c r="KI625" s="25"/>
      <c r="KJ625" s="25"/>
      <c r="KK625" s="25"/>
      <c r="KL625" s="25"/>
      <c r="KM625" s="25"/>
      <c r="KN625" s="25"/>
      <c r="KO625" s="25"/>
      <c r="KP625" s="25"/>
      <c r="KQ625" s="25"/>
      <c r="KR625" s="25"/>
      <c r="KS625" s="25"/>
      <c r="KT625" s="25"/>
      <c r="KU625" s="25"/>
      <c r="KV625" s="25"/>
      <c r="KW625" s="25"/>
      <c r="KX625" s="25"/>
      <c r="KY625" s="25"/>
      <c r="KZ625" s="25"/>
      <c r="LA625" s="25"/>
      <c r="LB625" s="25"/>
      <c r="LC625" s="25"/>
      <c r="LD625" s="25"/>
      <c r="LE625" s="25"/>
      <c r="LF625" s="25"/>
      <c r="LG625" s="25"/>
      <c r="LH625" s="25"/>
      <c r="LI625" s="25"/>
      <c r="LJ625" s="25"/>
      <c r="LK625" s="25"/>
      <c r="LL625" s="25"/>
      <c r="LM625" s="25"/>
      <c r="LN625" s="25"/>
      <c r="LO625" s="25"/>
      <c r="LP625" s="25"/>
      <c r="LQ625" s="25"/>
      <c r="LR625" s="25"/>
      <c r="LS625" s="25"/>
      <c r="LT625" s="25"/>
      <c r="LU625" s="25"/>
      <c r="LV625" s="25"/>
      <c r="LW625" s="25"/>
      <c r="LX625" s="25"/>
      <c r="LY625" s="25"/>
      <c r="LZ625" s="25"/>
      <c r="MA625" s="25"/>
      <c r="MB625" s="25"/>
      <c r="MC625" s="25"/>
      <c r="MD625" s="25"/>
      <c r="ME625" s="25"/>
      <c r="MF625" s="25"/>
      <c r="MG625" s="25"/>
      <c r="MH625" s="25"/>
      <c r="MI625" s="25"/>
      <c r="MJ625" s="25"/>
      <c r="MK625" s="25"/>
      <c r="ML625" s="25"/>
      <c r="MM625" s="25"/>
      <c r="MN625" s="25"/>
      <c r="MO625" s="25"/>
      <c r="MP625" s="25"/>
      <c r="MQ625" s="25"/>
      <c r="MR625" s="25"/>
      <c r="MS625" s="25"/>
      <c r="MT625" s="25"/>
      <c r="MU625" s="25"/>
      <c r="MV625" s="25"/>
      <c r="MW625" s="25"/>
      <c r="MX625" s="25"/>
      <c r="MY625" s="25"/>
      <c r="MZ625" s="25"/>
      <c r="NA625" s="25"/>
      <c r="NB625" s="25"/>
      <c r="NC625" s="25"/>
      <c r="ND625" s="25"/>
      <c r="NE625" s="25"/>
      <c r="NF625" s="25"/>
      <c r="NG625" s="25"/>
      <c r="NH625" s="25"/>
      <c r="NI625" s="25"/>
      <c r="NJ625" s="25"/>
      <c r="NK625" s="25"/>
      <c r="NL625" s="25"/>
      <c r="NM625" s="25"/>
      <c r="NN625" s="25"/>
      <c r="NO625" s="25"/>
      <c r="NP625" s="25"/>
      <c r="NQ625" s="25"/>
      <c r="NR625" s="25"/>
      <c r="NS625" s="25"/>
      <c r="NT625" s="25"/>
      <c r="NU625" s="25"/>
      <c r="NV625" s="25"/>
      <c r="NW625" s="25"/>
      <c r="NX625" s="25"/>
      <c r="NY625" s="25"/>
      <c r="NZ625" s="25"/>
      <c r="OA625" s="25"/>
      <c r="OB625" s="25"/>
      <c r="OC625" s="25"/>
      <c r="OD625" s="25"/>
      <c r="OE625" s="25"/>
      <c r="OF625" s="25"/>
      <c r="OG625" s="25"/>
      <c r="OH625" s="25"/>
      <c r="OI625" s="25"/>
      <c r="OJ625" s="25"/>
      <c r="OK625" s="25"/>
      <c r="OL625" s="25"/>
      <c r="OM625" s="25"/>
      <c r="ON625" s="25"/>
      <c r="OO625" s="25"/>
      <c r="OP625" s="25"/>
      <c r="OQ625" s="25"/>
      <c r="OR625" s="25"/>
      <c r="OS625" s="25"/>
      <c r="OT625" s="25"/>
      <c r="OU625" s="25"/>
      <c r="OV625" s="25"/>
      <c r="OW625" s="25"/>
      <c r="OX625" s="25"/>
      <c r="OY625" s="25"/>
      <c r="OZ625" s="25"/>
      <c r="PA625" s="25"/>
      <c r="PB625" s="25"/>
      <c r="PC625" s="25"/>
      <c r="PD625" s="25"/>
      <c r="PE625" s="25"/>
      <c r="PF625" s="25"/>
      <c r="PG625" s="25"/>
      <c r="PH625" s="25"/>
      <c r="PI625" s="25"/>
      <c r="PJ625" s="25"/>
      <c r="PK625" s="25"/>
      <c r="PL625" s="25"/>
      <c r="PM625" s="25"/>
      <c r="PN625" s="25"/>
      <c r="PO625" s="25"/>
      <c r="PP625" s="25"/>
      <c r="PQ625" s="25"/>
      <c r="PR625" s="25"/>
      <c r="PS625" s="25"/>
      <c r="PT625" s="25"/>
      <c r="PU625" s="25"/>
      <c r="PV625" s="25"/>
      <c r="PW625" s="25"/>
      <c r="PX625" s="25"/>
      <c r="PY625" s="25"/>
      <c r="PZ625" s="25"/>
      <c r="QA625" s="25"/>
      <c r="QB625" s="25"/>
      <c r="QC625" s="25"/>
      <c r="QD625" s="25"/>
      <c r="QE625" s="25"/>
      <c r="QF625" s="25"/>
      <c r="QG625" s="25"/>
      <c r="QH625" s="25"/>
      <c r="QI625" s="25"/>
      <c r="QJ625" s="25"/>
      <c r="QK625" s="25"/>
      <c r="QL625" s="25"/>
      <c r="QM625" s="25"/>
      <c r="QN625" s="25"/>
      <c r="QO625" s="25"/>
      <c r="QP625" s="25"/>
      <c r="QQ625" s="25"/>
      <c r="QR625" s="25"/>
      <c r="QS625" s="25"/>
      <c r="QT625" s="25"/>
      <c r="QU625" s="25"/>
      <c r="QV625" s="25"/>
      <c r="QW625" s="25"/>
      <c r="QX625" s="25"/>
      <c r="QY625" s="25"/>
      <c r="QZ625" s="25"/>
      <c r="RA625" s="25"/>
      <c r="RB625" s="25"/>
      <c r="RC625" s="25"/>
      <c r="RD625" s="25"/>
      <c r="RE625" s="25"/>
      <c r="RF625" s="25"/>
      <c r="RG625" s="25"/>
      <c r="RH625" s="25"/>
      <c r="RI625" s="25"/>
      <c r="RJ625" s="25"/>
      <c r="RK625" s="25"/>
      <c r="RL625" s="25"/>
      <c r="RM625" s="25"/>
      <c r="RN625" s="25"/>
      <c r="RO625" s="25"/>
      <c r="RP625" s="25"/>
      <c r="RQ625" s="25"/>
      <c r="RR625" s="25"/>
      <c r="RS625" s="25"/>
      <c r="RT625" s="25"/>
      <c r="RU625" s="25"/>
      <c r="RV625" s="25"/>
      <c r="RW625" s="25"/>
      <c r="RX625" s="25"/>
      <c r="RY625" s="25"/>
      <c r="RZ625" s="25"/>
      <c r="SA625" s="25"/>
      <c r="SB625" s="25"/>
      <c r="SC625" s="25"/>
      <c r="SD625" s="25"/>
      <c r="SE625" s="25"/>
      <c r="SF625" s="25"/>
      <c r="SG625" s="25"/>
      <c r="SH625" s="25"/>
      <c r="SI625" s="25"/>
      <c r="SJ625" s="25"/>
      <c r="SK625" s="25"/>
      <c r="SL625" s="25"/>
      <c r="SM625" s="25"/>
      <c r="SN625" s="25"/>
      <c r="SO625" s="25"/>
      <c r="SP625" s="25"/>
      <c r="SQ625" s="25"/>
      <c r="SR625" s="25"/>
      <c r="SS625" s="25"/>
      <c r="ST625" s="25"/>
      <c r="SU625" s="25"/>
      <c r="SV625" s="25"/>
      <c r="SW625" s="25"/>
      <c r="SX625" s="25"/>
      <c r="SY625" s="25"/>
      <c r="SZ625" s="25"/>
      <c r="TA625" s="25"/>
      <c r="TB625" s="25"/>
      <c r="TC625" s="25"/>
      <c r="TD625" s="25"/>
      <c r="TE625" s="25"/>
      <c r="TF625" s="25"/>
      <c r="TG625" s="25"/>
      <c r="TH625" s="25"/>
      <c r="TI625" s="25"/>
      <c r="TJ625" s="25"/>
      <c r="TK625" s="25"/>
      <c r="TL625" s="25"/>
      <c r="TM625" s="25"/>
      <c r="TN625" s="25"/>
      <c r="TO625" s="25"/>
      <c r="TP625" s="25"/>
      <c r="TQ625" s="25"/>
      <c r="TR625" s="25"/>
      <c r="TS625" s="25"/>
      <c r="TT625" s="25"/>
      <c r="TU625" s="25"/>
      <c r="TV625" s="25"/>
      <c r="TW625" s="25"/>
      <c r="TX625" s="25"/>
      <c r="TY625" s="25"/>
      <c r="TZ625" s="25"/>
      <c r="UA625" s="25"/>
      <c r="UB625" s="25"/>
      <c r="UC625" s="25"/>
      <c r="UD625" s="25"/>
      <c r="UE625" s="25"/>
      <c r="UF625" s="25"/>
      <c r="UG625" s="26"/>
    </row>
    <row r="626" spans="1:553" ht="50.25" customHeight="1">
      <c r="A626" s="356" t="s">
        <v>30</v>
      </c>
      <c r="B626" s="385" t="s">
        <v>31</v>
      </c>
      <c r="C626" s="1403" t="s">
        <v>442</v>
      </c>
      <c r="D626" s="1389"/>
      <c r="E626" s="1389"/>
      <c r="F626" s="1390"/>
      <c r="G626" s="386" t="s">
        <v>34</v>
      </c>
      <c r="H626" s="370"/>
      <c r="I626" s="834">
        <f>0.33*0.33*2*2</f>
        <v>0.43560000000000004</v>
      </c>
      <c r="J626" s="368">
        <v>1748702</v>
      </c>
      <c r="K626" s="371"/>
      <c r="L626" s="487">
        <f t="shared" si="101"/>
        <v>761734.59120000002</v>
      </c>
      <c r="M626" s="395"/>
      <c r="N626" s="395"/>
      <c r="O626" s="366"/>
      <c r="P626" s="396"/>
      <c r="Q626" s="473"/>
      <c r="R626" s="1039"/>
      <c r="S626" s="308"/>
      <c r="T626" s="308"/>
      <c r="U626" s="308"/>
      <c r="V626" s="308"/>
      <c r="W626" s="308"/>
      <c r="X626" s="308"/>
      <c r="Y626" s="308"/>
      <c r="Z626" s="604"/>
      <c r="AA626" s="308"/>
      <c r="AB626" s="308"/>
      <c r="AC626" s="449"/>
      <c r="AD626" s="449"/>
      <c r="AE626" s="449"/>
      <c r="AF626" s="449"/>
      <c r="AG626" s="452"/>
      <c r="AH626" s="452"/>
      <c r="AI626" s="452"/>
      <c r="AJ626" s="452"/>
      <c r="AK626" s="452"/>
      <c r="AL626" s="104"/>
      <c r="AM626" s="32"/>
      <c r="AN626" s="32"/>
      <c r="AO626" s="32"/>
      <c r="AP626" s="32"/>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25"/>
      <c r="BN626" s="25"/>
      <c r="BO626" s="25"/>
      <c r="BP626" s="25"/>
      <c r="BQ626" s="25"/>
      <c r="BR626" s="25"/>
      <c r="BS626" s="25"/>
      <c r="BT626" s="25"/>
      <c r="BU626" s="25"/>
      <c r="BV626" s="25"/>
      <c r="BW626" s="25"/>
      <c r="BX626" s="25"/>
      <c r="BY626" s="25"/>
      <c r="BZ626" s="25"/>
      <c r="CA626" s="25"/>
      <c r="CB626" s="25"/>
      <c r="CC626" s="25"/>
      <c r="CD626" s="25"/>
      <c r="CE626" s="25"/>
      <c r="CF626" s="25"/>
      <c r="CG626" s="25"/>
      <c r="CH626" s="25"/>
      <c r="CI626" s="25"/>
      <c r="CJ626" s="25"/>
      <c r="CK626" s="25"/>
      <c r="CL626" s="25"/>
      <c r="CM626" s="25"/>
      <c r="CN626" s="25"/>
      <c r="CO626" s="25"/>
      <c r="CP626" s="25"/>
      <c r="CQ626" s="25"/>
      <c r="CR626" s="25"/>
      <c r="CS626" s="25"/>
      <c r="CT626" s="25"/>
      <c r="CU626" s="25"/>
      <c r="CV626" s="25"/>
      <c r="CW626" s="25"/>
      <c r="CX626" s="25"/>
      <c r="CY626" s="25"/>
      <c r="CZ626" s="25"/>
      <c r="DA626" s="25"/>
      <c r="DB626" s="25"/>
      <c r="DC626" s="25"/>
      <c r="DD626" s="25"/>
      <c r="DE626" s="25"/>
      <c r="DF626" s="25"/>
      <c r="DG626" s="25"/>
      <c r="DH626" s="25"/>
      <c r="DI626" s="25"/>
      <c r="DJ626" s="25"/>
      <c r="DK626" s="25"/>
      <c r="DL626" s="25"/>
      <c r="DM626" s="25"/>
      <c r="DN626" s="25"/>
      <c r="DO626" s="25"/>
      <c r="DP626" s="25"/>
      <c r="DQ626" s="25"/>
      <c r="DR626" s="25"/>
      <c r="DS626" s="25"/>
      <c r="DT626" s="25"/>
      <c r="DU626" s="25"/>
      <c r="DV626" s="25"/>
      <c r="DW626" s="25"/>
      <c r="DX626" s="25"/>
      <c r="DY626" s="25"/>
      <c r="DZ626" s="25"/>
      <c r="EA626" s="25"/>
      <c r="EB626" s="25"/>
      <c r="EC626" s="25"/>
      <c r="ED626" s="25"/>
      <c r="EE626" s="25"/>
      <c r="EF626" s="25"/>
      <c r="EG626" s="25"/>
      <c r="EH626" s="25"/>
      <c r="EI626" s="25"/>
      <c r="EJ626" s="25"/>
      <c r="EK626" s="25"/>
      <c r="EL626" s="25"/>
      <c r="EM626" s="25"/>
      <c r="EN626" s="25"/>
      <c r="EO626" s="25"/>
      <c r="EP626" s="25"/>
      <c r="EQ626" s="25"/>
      <c r="ER626" s="25"/>
      <c r="ES626" s="25"/>
      <c r="ET626" s="25"/>
      <c r="EU626" s="25"/>
      <c r="EV626" s="25"/>
      <c r="EW626" s="25"/>
      <c r="EX626" s="25"/>
      <c r="EY626" s="25"/>
      <c r="EZ626" s="25"/>
      <c r="FA626" s="25"/>
      <c r="FB626" s="25"/>
      <c r="FC626" s="25"/>
      <c r="FD626" s="25"/>
      <c r="FE626" s="25"/>
      <c r="FF626" s="25"/>
      <c r="FG626" s="25"/>
      <c r="FH626" s="25"/>
      <c r="FI626" s="25"/>
      <c r="FJ626" s="25"/>
      <c r="FK626" s="25"/>
      <c r="FL626" s="25"/>
      <c r="FM626" s="25"/>
      <c r="FN626" s="25"/>
      <c r="FO626" s="25"/>
      <c r="FP626" s="25"/>
      <c r="FQ626" s="25"/>
      <c r="FR626" s="25"/>
      <c r="FS626" s="25"/>
      <c r="FT626" s="25"/>
      <c r="FU626" s="25"/>
      <c r="FV626" s="25"/>
      <c r="FW626" s="25"/>
      <c r="FX626" s="25"/>
      <c r="FY626" s="25"/>
      <c r="FZ626" s="25"/>
      <c r="GA626" s="25"/>
      <c r="GB626" s="25"/>
      <c r="GC626" s="25"/>
      <c r="GD626" s="25"/>
      <c r="GE626" s="25"/>
      <c r="GF626" s="25"/>
      <c r="GG626" s="25"/>
      <c r="GH626" s="25"/>
      <c r="GI626" s="25"/>
      <c r="GJ626" s="25"/>
      <c r="GK626" s="25"/>
      <c r="GL626" s="25"/>
      <c r="GM626" s="25"/>
      <c r="GN626" s="25"/>
      <c r="GO626" s="25"/>
      <c r="GP626" s="25"/>
      <c r="GQ626" s="25"/>
      <c r="GR626" s="25"/>
      <c r="GS626" s="25"/>
      <c r="GT626" s="25"/>
      <c r="GU626" s="25"/>
      <c r="GV626" s="25"/>
      <c r="GW626" s="25"/>
      <c r="GX626" s="25"/>
      <c r="GY626" s="25"/>
      <c r="GZ626" s="25"/>
      <c r="HA626" s="25"/>
      <c r="HB626" s="25"/>
      <c r="HC626" s="25"/>
      <c r="HD626" s="25"/>
      <c r="HE626" s="25"/>
      <c r="HF626" s="25"/>
      <c r="HG626" s="25"/>
      <c r="HH626" s="25"/>
      <c r="HI626" s="25"/>
      <c r="HJ626" s="25"/>
      <c r="HK626" s="25"/>
      <c r="HL626" s="25"/>
      <c r="HM626" s="25"/>
      <c r="HN626" s="25"/>
      <c r="HO626" s="25"/>
      <c r="HP626" s="25"/>
      <c r="HQ626" s="25"/>
      <c r="HR626" s="25"/>
      <c r="HS626" s="25"/>
      <c r="HT626" s="25"/>
      <c r="HU626" s="25"/>
      <c r="HV626" s="25"/>
      <c r="HW626" s="25"/>
      <c r="HX626" s="25"/>
      <c r="HY626" s="25"/>
      <c r="HZ626" s="25"/>
      <c r="IA626" s="25"/>
      <c r="IB626" s="25"/>
      <c r="IC626" s="25"/>
      <c r="ID626" s="25"/>
      <c r="IE626" s="25"/>
      <c r="IF626" s="25"/>
      <c r="IG626" s="25"/>
      <c r="IH626" s="25"/>
      <c r="II626" s="25"/>
      <c r="IJ626" s="25"/>
      <c r="IK626" s="25"/>
      <c r="IL626" s="25"/>
      <c r="IM626" s="25"/>
      <c r="IN626" s="25"/>
      <c r="IO626" s="25"/>
      <c r="IP626" s="25"/>
      <c r="IQ626" s="25"/>
      <c r="IR626" s="25"/>
      <c r="IS626" s="25"/>
      <c r="IT626" s="25"/>
      <c r="IU626" s="25"/>
      <c r="IV626" s="25"/>
      <c r="IW626" s="25"/>
      <c r="IX626" s="25"/>
      <c r="IY626" s="25"/>
      <c r="IZ626" s="25"/>
      <c r="JA626" s="25"/>
      <c r="JB626" s="25"/>
      <c r="JC626" s="25"/>
      <c r="JD626" s="25"/>
      <c r="JE626" s="25"/>
      <c r="JF626" s="25"/>
      <c r="JG626" s="25"/>
      <c r="JH626" s="25"/>
      <c r="JI626" s="25"/>
      <c r="JJ626" s="25"/>
      <c r="JK626" s="25"/>
      <c r="JL626" s="25"/>
      <c r="JM626" s="25"/>
      <c r="JN626" s="25"/>
      <c r="JO626" s="25"/>
      <c r="JP626" s="25"/>
      <c r="JQ626" s="25"/>
      <c r="JR626" s="25"/>
      <c r="JS626" s="25"/>
      <c r="JT626" s="25"/>
      <c r="JU626" s="25"/>
      <c r="JV626" s="25"/>
      <c r="JW626" s="25"/>
      <c r="JX626" s="25"/>
      <c r="JY626" s="25"/>
      <c r="JZ626" s="25"/>
      <c r="KA626" s="25"/>
      <c r="KB626" s="25"/>
      <c r="KC626" s="25"/>
      <c r="KD626" s="25"/>
      <c r="KE626" s="25"/>
      <c r="KF626" s="25"/>
      <c r="KG626" s="25"/>
      <c r="KH626" s="25"/>
      <c r="KI626" s="25"/>
      <c r="KJ626" s="25"/>
      <c r="KK626" s="25"/>
      <c r="KL626" s="25"/>
      <c r="KM626" s="25"/>
      <c r="KN626" s="25"/>
      <c r="KO626" s="25"/>
      <c r="KP626" s="25"/>
      <c r="KQ626" s="25"/>
      <c r="KR626" s="25"/>
      <c r="KS626" s="25"/>
      <c r="KT626" s="25"/>
      <c r="KU626" s="25"/>
      <c r="KV626" s="25"/>
      <c r="KW626" s="25"/>
      <c r="KX626" s="25"/>
      <c r="KY626" s="25"/>
      <c r="KZ626" s="25"/>
      <c r="LA626" s="25"/>
      <c r="LB626" s="25"/>
      <c r="LC626" s="25"/>
      <c r="LD626" s="25"/>
      <c r="LE626" s="25"/>
      <c r="LF626" s="25"/>
      <c r="LG626" s="25"/>
      <c r="LH626" s="25"/>
      <c r="LI626" s="25"/>
      <c r="LJ626" s="25"/>
      <c r="LK626" s="25"/>
      <c r="LL626" s="25"/>
      <c r="LM626" s="25"/>
      <c r="LN626" s="25"/>
      <c r="LO626" s="25"/>
      <c r="LP626" s="25"/>
      <c r="LQ626" s="25"/>
      <c r="LR626" s="25"/>
      <c r="LS626" s="25"/>
      <c r="LT626" s="25"/>
      <c r="LU626" s="25"/>
      <c r="LV626" s="25"/>
      <c r="LW626" s="25"/>
      <c r="LX626" s="25"/>
      <c r="LY626" s="25"/>
      <c r="LZ626" s="25"/>
      <c r="MA626" s="25"/>
      <c r="MB626" s="25"/>
      <c r="MC626" s="25"/>
      <c r="MD626" s="25"/>
      <c r="ME626" s="25"/>
      <c r="MF626" s="25"/>
      <c r="MG626" s="25"/>
      <c r="MH626" s="25"/>
      <c r="MI626" s="25"/>
      <c r="MJ626" s="25"/>
      <c r="MK626" s="25"/>
      <c r="ML626" s="25"/>
      <c r="MM626" s="25"/>
      <c r="MN626" s="25"/>
      <c r="MO626" s="25"/>
      <c r="MP626" s="25"/>
      <c r="MQ626" s="25"/>
      <c r="MR626" s="25"/>
      <c r="MS626" s="25"/>
      <c r="MT626" s="25"/>
      <c r="MU626" s="25"/>
      <c r="MV626" s="25"/>
      <c r="MW626" s="25"/>
      <c r="MX626" s="25"/>
      <c r="MY626" s="25"/>
      <c r="MZ626" s="25"/>
      <c r="NA626" s="25"/>
      <c r="NB626" s="25"/>
      <c r="NC626" s="25"/>
      <c r="ND626" s="25"/>
      <c r="NE626" s="25"/>
      <c r="NF626" s="25"/>
      <c r="NG626" s="25"/>
      <c r="NH626" s="25"/>
      <c r="NI626" s="25"/>
      <c r="NJ626" s="25"/>
      <c r="NK626" s="25"/>
      <c r="NL626" s="25"/>
      <c r="NM626" s="25"/>
      <c r="NN626" s="25"/>
      <c r="NO626" s="25"/>
      <c r="NP626" s="25"/>
      <c r="NQ626" s="25"/>
      <c r="NR626" s="25"/>
      <c r="NS626" s="25"/>
      <c r="NT626" s="25"/>
      <c r="NU626" s="25"/>
      <c r="NV626" s="25"/>
      <c r="NW626" s="25"/>
      <c r="NX626" s="25"/>
      <c r="NY626" s="25"/>
      <c r="NZ626" s="25"/>
      <c r="OA626" s="25"/>
      <c r="OB626" s="25"/>
      <c r="OC626" s="25"/>
      <c r="OD626" s="25"/>
      <c r="OE626" s="25"/>
      <c r="OF626" s="25"/>
      <c r="OG626" s="25"/>
      <c r="OH626" s="25"/>
      <c r="OI626" s="25"/>
      <c r="OJ626" s="25"/>
      <c r="OK626" s="25"/>
      <c r="OL626" s="25"/>
      <c r="OM626" s="25"/>
      <c r="ON626" s="25"/>
      <c r="OO626" s="25"/>
      <c r="OP626" s="25"/>
      <c r="OQ626" s="25"/>
      <c r="OR626" s="25"/>
      <c r="OS626" s="25"/>
      <c r="OT626" s="25"/>
      <c r="OU626" s="25"/>
      <c r="OV626" s="25"/>
      <c r="OW626" s="25"/>
      <c r="OX626" s="25"/>
      <c r="OY626" s="25"/>
      <c r="OZ626" s="25"/>
      <c r="PA626" s="25"/>
      <c r="PB626" s="25"/>
      <c r="PC626" s="25"/>
      <c r="PD626" s="25"/>
      <c r="PE626" s="25"/>
      <c r="PF626" s="25"/>
      <c r="PG626" s="25"/>
      <c r="PH626" s="25"/>
      <c r="PI626" s="25"/>
      <c r="PJ626" s="25"/>
      <c r="PK626" s="25"/>
      <c r="PL626" s="25"/>
      <c r="PM626" s="25"/>
      <c r="PN626" s="25"/>
      <c r="PO626" s="25"/>
      <c r="PP626" s="25"/>
      <c r="PQ626" s="25"/>
      <c r="PR626" s="25"/>
      <c r="PS626" s="25"/>
      <c r="PT626" s="25"/>
      <c r="PU626" s="25"/>
      <c r="PV626" s="25"/>
      <c r="PW626" s="25"/>
      <c r="PX626" s="25"/>
      <c r="PY626" s="25"/>
      <c r="PZ626" s="25"/>
      <c r="QA626" s="25"/>
      <c r="QB626" s="25"/>
      <c r="QC626" s="25"/>
      <c r="QD626" s="25"/>
      <c r="QE626" s="25"/>
      <c r="QF626" s="25"/>
      <c r="QG626" s="25"/>
      <c r="QH626" s="25"/>
      <c r="QI626" s="25"/>
      <c r="QJ626" s="25"/>
      <c r="QK626" s="25"/>
      <c r="QL626" s="25"/>
      <c r="QM626" s="25"/>
      <c r="QN626" s="25"/>
      <c r="QO626" s="25"/>
      <c r="QP626" s="25"/>
      <c r="QQ626" s="25"/>
      <c r="QR626" s="25"/>
      <c r="QS626" s="25"/>
      <c r="QT626" s="25"/>
      <c r="QU626" s="25"/>
      <c r="QV626" s="25"/>
      <c r="QW626" s="25"/>
      <c r="QX626" s="25"/>
      <c r="QY626" s="25"/>
      <c r="QZ626" s="25"/>
      <c r="RA626" s="25"/>
      <c r="RB626" s="25"/>
      <c r="RC626" s="25"/>
      <c r="RD626" s="25"/>
      <c r="RE626" s="25"/>
      <c r="RF626" s="25"/>
      <c r="RG626" s="25"/>
      <c r="RH626" s="25"/>
      <c r="RI626" s="25"/>
      <c r="RJ626" s="25"/>
      <c r="RK626" s="25"/>
      <c r="RL626" s="25"/>
      <c r="RM626" s="25"/>
      <c r="RN626" s="25"/>
      <c r="RO626" s="25"/>
      <c r="RP626" s="25"/>
      <c r="RQ626" s="25"/>
      <c r="RR626" s="25"/>
      <c r="RS626" s="25"/>
      <c r="RT626" s="25"/>
      <c r="RU626" s="25"/>
      <c r="RV626" s="25"/>
      <c r="RW626" s="25"/>
      <c r="RX626" s="25"/>
      <c r="RY626" s="25"/>
      <c r="RZ626" s="25"/>
      <c r="SA626" s="25"/>
      <c r="SB626" s="25"/>
      <c r="SC626" s="25"/>
      <c r="SD626" s="25"/>
      <c r="SE626" s="25"/>
      <c r="SF626" s="25"/>
      <c r="SG626" s="25"/>
      <c r="SH626" s="25"/>
      <c r="SI626" s="25"/>
      <c r="SJ626" s="25"/>
      <c r="SK626" s="25"/>
      <c r="SL626" s="25"/>
      <c r="SM626" s="25"/>
      <c r="SN626" s="25"/>
      <c r="SO626" s="25"/>
      <c r="SP626" s="25"/>
      <c r="SQ626" s="25"/>
      <c r="SR626" s="25"/>
      <c r="SS626" s="25"/>
      <c r="ST626" s="25"/>
      <c r="SU626" s="25"/>
      <c r="SV626" s="25"/>
      <c r="SW626" s="25"/>
      <c r="SX626" s="25"/>
      <c r="SY626" s="25"/>
      <c r="SZ626" s="25"/>
      <c r="TA626" s="25"/>
      <c r="TB626" s="25"/>
      <c r="TC626" s="25"/>
      <c r="TD626" s="25"/>
      <c r="TE626" s="25"/>
      <c r="TF626" s="25"/>
      <c r="TG626" s="25"/>
      <c r="TH626" s="25"/>
      <c r="TI626" s="25"/>
      <c r="TJ626" s="25"/>
      <c r="TK626" s="25"/>
      <c r="TL626" s="25"/>
      <c r="TM626" s="25"/>
      <c r="TN626" s="25"/>
      <c r="TO626" s="25"/>
      <c r="TP626" s="25"/>
      <c r="TQ626" s="25"/>
      <c r="TR626" s="25"/>
      <c r="TS626" s="25"/>
      <c r="TT626" s="25"/>
      <c r="TU626" s="25"/>
      <c r="TV626" s="25"/>
      <c r="TW626" s="25"/>
      <c r="TX626" s="25"/>
      <c r="TY626" s="25"/>
      <c r="TZ626" s="25"/>
      <c r="UA626" s="25"/>
      <c r="UB626" s="25"/>
      <c r="UC626" s="25"/>
      <c r="UD626" s="25"/>
      <c r="UE626" s="25"/>
      <c r="UF626" s="25"/>
      <c r="UG626" s="26"/>
    </row>
    <row r="627" spans="1:553" ht="50.25" customHeight="1">
      <c r="A627" s="356" t="s">
        <v>30</v>
      </c>
      <c r="B627" s="385" t="s">
        <v>31</v>
      </c>
      <c r="C627" s="1403" t="s">
        <v>443</v>
      </c>
      <c r="D627" s="1389"/>
      <c r="E627" s="1389"/>
      <c r="F627" s="1390"/>
      <c r="G627" s="386" t="s">
        <v>34</v>
      </c>
      <c r="H627" s="370"/>
      <c r="I627" s="834">
        <f>(0.2*0.2*1.8)*5</f>
        <v>0.3600000000000001</v>
      </c>
      <c r="J627" s="368">
        <v>1748702</v>
      </c>
      <c r="K627" s="371"/>
      <c r="L627" s="487">
        <f t="shared" si="101"/>
        <v>629532.7200000002</v>
      </c>
      <c r="M627" s="395"/>
      <c r="N627" s="395"/>
      <c r="O627" s="366"/>
      <c r="P627" s="396"/>
      <c r="Q627" s="473"/>
      <c r="R627" s="1039"/>
      <c r="S627" s="308"/>
      <c r="T627" s="308"/>
      <c r="U627" s="308"/>
      <c r="V627" s="308"/>
      <c r="W627" s="308"/>
      <c r="X627" s="308"/>
      <c r="Y627" s="308"/>
      <c r="Z627" s="604"/>
      <c r="AA627" s="308"/>
      <c r="AB627" s="308"/>
      <c r="AC627" s="449"/>
      <c r="AD627" s="449"/>
      <c r="AE627" s="449"/>
      <c r="AF627" s="449"/>
      <c r="AG627" s="452"/>
      <c r="AH627" s="452"/>
      <c r="AI627" s="452"/>
      <c r="AJ627" s="452"/>
      <c r="AK627" s="452"/>
      <c r="AL627" s="104"/>
      <c r="AM627" s="32"/>
      <c r="AN627" s="32"/>
      <c r="AO627" s="32"/>
      <c r="AP627" s="32"/>
      <c r="AQ627" s="31"/>
      <c r="AR627" s="31"/>
      <c r="AS627" s="31"/>
      <c r="AT627" s="31"/>
      <c r="AU627" s="31"/>
      <c r="AV627" s="31"/>
      <c r="AW627" s="31"/>
      <c r="AX627" s="31"/>
      <c r="AY627" s="31"/>
      <c r="AZ627" s="31"/>
      <c r="BA627" s="31"/>
      <c r="BB627" s="31"/>
      <c r="BC627" s="31"/>
      <c r="BD627" s="31"/>
      <c r="BE627" s="31"/>
      <c r="BF627" s="31"/>
      <c r="BG627" s="31"/>
      <c r="BH627" s="31"/>
      <c r="BI627" s="31"/>
      <c r="BJ627" s="31"/>
      <c r="BK627" s="31"/>
      <c r="BL627" s="31"/>
      <c r="BM627" s="25"/>
      <c r="BN627" s="25"/>
      <c r="BO627" s="25"/>
      <c r="BP627" s="25"/>
      <c r="BQ627" s="25"/>
      <c r="BR627" s="25"/>
      <c r="BS627" s="25"/>
      <c r="BT627" s="25"/>
      <c r="BU627" s="25"/>
      <c r="BV627" s="25"/>
      <c r="BW627" s="25"/>
      <c r="BX627" s="25"/>
      <c r="BY627" s="25"/>
      <c r="BZ627" s="25"/>
      <c r="CA627" s="25"/>
      <c r="CB627" s="25"/>
      <c r="CC627" s="25"/>
      <c r="CD627" s="25"/>
      <c r="CE627" s="25"/>
      <c r="CF627" s="25"/>
      <c r="CG627" s="25"/>
      <c r="CH627" s="25"/>
      <c r="CI627" s="25"/>
      <c r="CJ627" s="25"/>
      <c r="CK627" s="25"/>
      <c r="CL627" s="25"/>
      <c r="CM627" s="25"/>
      <c r="CN627" s="25"/>
      <c r="CO627" s="25"/>
      <c r="CP627" s="25"/>
      <c r="CQ627" s="25"/>
      <c r="CR627" s="25"/>
      <c r="CS627" s="25"/>
      <c r="CT627" s="25"/>
      <c r="CU627" s="25"/>
      <c r="CV627" s="25"/>
      <c r="CW627" s="25"/>
      <c r="CX627" s="25"/>
      <c r="CY627" s="25"/>
      <c r="CZ627" s="25"/>
      <c r="DA627" s="25"/>
      <c r="DB627" s="25"/>
      <c r="DC627" s="25"/>
      <c r="DD627" s="25"/>
      <c r="DE627" s="25"/>
      <c r="DF627" s="25"/>
      <c r="DG627" s="25"/>
      <c r="DH627" s="25"/>
      <c r="DI627" s="25"/>
      <c r="DJ627" s="25"/>
      <c r="DK627" s="25"/>
      <c r="DL627" s="25"/>
      <c r="DM627" s="25"/>
      <c r="DN627" s="25"/>
      <c r="DO627" s="25"/>
      <c r="DP627" s="25"/>
      <c r="DQ627" s="25"/>
      <c r="DR627" s="25"/>
      <c r="DS627" s="25"/>
      <c r="DT627" s="25"/>
      <c r="DU627" s="25"/>
      <c r="DV627" s="25"/>
      <c r="DW627" s="25"/>
      <c r="DX627" s="25"/>
      <c r="DY627" s="25"/>
      <c r="DZ627" s="25"/>
      <c r="EA627" s="25"/>
      <c r="EB627" s="25"/>
      <c r="EC627" s="25"/>
      <c r="ED627" s="25"/>
      <c r="EE627" s="25"/>
      <c r="EF627" s="25"/>
      <c r="EG627" s="25"/>
      <c r="EH627" s="25"/>
      <c r="EI627" s="25"/>
      <c r="EJ627" s="25"/>
      <c r="EK627" s="25"/>
      <c r="EL627" s="25"/>
      <c r="EM627" s="25"/>
      <c r="EN627" s="25"/>
      <c r="EO627" s="25"/>
      <c r="EP627" s="25"/>
      <c r="EQ627" s="25"/>
      <c r="ER627" s="25"/>
      <c r="ES627" s="25"/>
      <c r="ET627" s="25"/>
      <c r="EU627" s="25"/>
      <c r="EV627" s="25"/>
      <c r="EW627" s="25"/>
      <c r="EX627" s="25"/>
      <c r="EY627" s="25"/>
      <c r="EZ627" s="25"/>
      <c r="FA627" s="25"/>
      <c r="FB627" s="25"/>
      <c r="FC627" s="25"/>
      <c r="FD627" s="25"/>
      <c r="FE627" s="25"/>
      <c r="FF627" s="25"/>
      <c r="FG627" s="25"/>
      <c r="FH627" s="25"/>
      <c r="FI627" s="25"/>
      <c r="FJ627" s="25"/>
      <c r="FK627" s="25"/>
      <c r="FL627" s="25"/>
      <c r="FM627" s="25"/>
      <c r="FN627" s="25"/>
      <c r="FO627" s="25"/>
      <c r="FP627" s="25"/>
      <c r="FQ627" s="25"/>
      <c r="FR627" s="25"/>
      <c r="FS627" s="25"/>
      <c r="FT627" s="25"/>
      <c r="FU627" s="25"/>
      <c r="FV627" s="25"/>
      <c r="FW627" s="25"/>
      <c r="FX627" s="25"/>
      <c r="FY627" s="25"/>
      <c r="FZ627" s="25"/>
      <c r="GA627" s="25"/>
      <c r="GB627" s="25"/>
      <c r="GC627" s="25"/>
      <c r="GD627" s="25"/>
      <c r="GE627" s="25"/>
      <c r="GF627" s="25"/>
      <c r="GG627" s="25"/>
      <c r="GH627" s="25"/>
      <c r="GI627" s="25"/>
      <c r="GJ627" s="25"/>
      <c r="GK627" s="25"/>
      <c r="GL627" s="25"/>
      <c r="GM627" s="25"/>
      <c r="GN627" s="25"/>
      <c r="GO627" s="25"/>
      <c r="GP627" s="25"/>
      <c r="GQ627" s="25"/>
      <c r="GR627" s="25"/>
      <c r="GS627" s="25"/>
      <c r="GT627" s="25"/>
      <c r="GU627" s="25"/>
      <c r="GV627" s="25"/>
      <c r="GW627" s="25"/>
      <c r="GX627" s="25"/>
      <c r="GY627" s="25"/>
      <c r="GZ627" s="25"/>
      <c r="HA627" s="25"/>
      <c r="HB627" s="25"/>
      <c r="HC627" s="25"/>
      <c r="HD627" s="25"/>
      <c r="HE627" s="25"/>
      <c r="HF627" s="25"/>
      <c r="HG627" s="25"/>
      <c r="HH627" s="25"/>
      <c r="HI627" s="25"/>
      <c r="HJ627" s="25"/>
      <c r="HK627" s="25"/>
      <c r="HL627" s="25"/>
      <c r="HM627" s="25"/>
      <c r="HN627" s="25"/>
      <c r="HO627" s="25"/>
      <c r="HP627" s="25"/>
      <c r="HQ627" s="25"/>
      <c r="HR627" s="25"/>
      <c r="HS627" s="25"/>
      <c r="HT627" s="25"/>
      <c r="HU627" s="25"/>
      <c r="HV627" s="25"/>
      <c r="HW627" s="25"/>
      <c r="HX627" s="25"/>
      <c r="HY627" s="25"/>
      <c r="HZ627" s="25"/>
      <c r="IA627" s="25"/>
      <c r="IB627" s="25"/>
      <c r="IC627" s="25"/>
      <c r="ID627" s="25"/>
      <c r="IE627" s="25"/>
      <c r="IF627" s="25"/>
      <c r="IG627" s="25"/>
      <c r="IH627" s="25"/>
      <c r="II627" s="25"/>
      <c r="IJ627" s="25"/>
      <c r="IK627" s="25"/>
      <c r="IL627" s="25"/>
      <c r="IM627" s="25"/>
      <c r="IN627" s="25"/>
      <c r="IO627" s="25"/>
      <c r="IP627" s="25"/>
      <c r="IQ627" s="25"/>
      <c r="IR627" s="25"/>
      <c r="IS627" s="25"/>
      <c r="IT627" s="25"/>
      <c r="IU627" s="25"/>
      <c r="IV627" s="25"/>
      <c r="IW627" s="25"/>
      <c r="IX627" s="25"/>
      <c r="IY627" s="25"/>
      <c r="IZ627" s="25"/>
      <c r="JA627" s="25"/>
      <c r="JB627" s="25"/>
      <c r="JC627" s="25"/>
      <c r="JD627" s="25"/>
      <c r="JE627" s="25"/>
      <c r="JF627" s="25"/>
      <c r="JG627" s="25"/>
      <c r="JH627" s="25"/>
      <c r="JI627" s="25"/>
      <c r="JJ627" s="25"/>
      <c r="JK627" s="25"/>
      <c r="JL627" s="25"/>
      <c r="JM627" s="25"/>
      <c r="JN627" s="25"/>
      <c r="JO627" s="25"/>
      <c r="JP627" s="25"/>
      <c r="JQ627" s="25"/>
      <c r="JR627" s="25"/>
      <c r="JS627" s="25"/>
      <c r="JT627" s="25"/>
      <c r="JU627" s="25"/>
      <c r="JV627" s="25"/>
      <c r="JW627" s="25"/>
      <c r="JX627" s="25"/>
      <c r="JY627" s="25"/>
      <c r="JZ627" s="25"/>
      <c r="KA627" s="25"/>
      <c r="KB627" s="25"/>
      <c r="KC627" s="25"/>
      <c r="KD627" s="25"/>
      <c r="KE627" s="25"/>
      <c r="KF627" s="25"/>
      <c r="KG627" s="25"/>
      <c r="KH627" s="25"/>
      <c r="KI627" s="25"/>
      <c r="KJ627" s="25"/>
      <c r="KK627" s="25"/>
      <c r="KL627" s="25"/>
      <c r="KM627" s="25"/>
      <c r="KN627" s="25"/>
      <c r="KO627" s="25"/>
      <c r="KP627" s="25"/>
      <c r="KQ627" s="25"/>
      <c r="KR627" s="25"/>
      <c r="KS627" s="25"/>
      <c r="KT627" s="25"/>
      <c r="KU627" s="25"/>
      <c r="KV627" s="25"/>
      <c r="KW627" s="25"/>
      <c r="KX627" s="25"/>
      <c r="KY627" s="25"/>
      <c r="KZ627" s="25"/>
      <c r="LA627" s="25"/>
      <c r="LB627" s="25"/>
      <c r="LC627" s="25"/>
      <c r="LD627" s="25"/>
      <c r="LE627" s="25"/>
      <c r="LF627" s="25"/>
      <c r="LG627" s="25"/>
      <c r="LH627" s="25"/>
      <c r="LI627" s="25"/>
      <c r="LJ627" s="25"/>
      <c r="LK627" s="25"/>
      <c r="LL627" s="25"/>
      <c r="LM627" s="25"/>
      <c r="LN627" s="25"/>
      <c r="LO627" s="25"/>
      <c r="LP627" s="25"/>
      <c r="LQ627" s="25"/>
      <c r="LR627" s="25"/>
      <c r="LS627" s="25"/>
      <c r="LT627" s="25"/>
      <c r="LU627" s="25"/>
      <c r="LV627" s="25"/>
      <c r="LW627" s="25"/>
      <c r="LX627" s="25"/>
      <c r="LY627" s="25"/>
      <c r="LZ627" s="25"/>
      <c r="MA627" s="25"/>
      <c r="MB627" s="25"/>
      <c r="MC627" s="25"/>
      <c r="MD627" s="25"/>
      <c r="ME627" s="25"/>
      <c r="MF627" s="25"/>
      <c r="MG627" s="25"/>
      <c r="MH627" s="25"/>
      <c r="MI627" s="25"/>
      <c r="MJ627" s="25"/>
      <c r="MK627" s="25"/>
      <c r="ML627" s="25"/>
      <c r="MM627" s="25"/>
      <c r="MN627" s="25"/>
      <c r="MO627" s="25"/>
      <c r="MP627" s="25"/>
      <c r="MQ627" s="25"/>
      <c r="MR627" s="25"/>
      <c r="MS627" s="25"/>
      <c r="MT627" s="25"/>
      <c r="MU627" s="25"/>
      <c r="MV627" s="25"/>
      <c r="MW627" s="25"/>
      <c r="MX627" s="25"/>
      <c r="MY627" s="25"/>
      <c r="MZ627" s="25"/>
      <c r="NA627" s="25"/>
      <c r="NB627" s="25"/>
      <c r="NC627" s="25"/>
      <c r="ND627" s="25"/>
      <c r="NE627" s="25"/>
      <c r="NF627" s="25"/>
      <c r="NG627" s="25"/>
      <c r="NH627" s="25"/>
      <c r="NI627" s="25"/>
      <c r="NJ627" s="25"/>
      <c r="NK627" s="25"/>
      <c r="NL627" s="25"/>
      <c r="NM627" s="25"/>
      <c r="NN627" s="25"/>
      <c r="NO627" s="25"/>
      <c r="NP627" s="25"/>
      <c r="NQ627" s="25"/>
      <c r="NR627" s="25"/>
      <c r="NS627" s="25"/>
      <c r="NT627" s="25"/>
      <c r="NU627" s="25"/>
      <c r="NV627" s="25"/>
      <c r="NW627" s="25"/>
      <c r="NX627" s="25"/>
      <c r="NY627" s="25"/>
      <c r="NZ627" s="25"/>
      <c r="OA627" s="25"/>
      <c r="OB627" s="25"/>
      <c r="OC627" s="25"/>
      <c r="OD627" s="25"/>
      <c r="OE627" s="25"/>
      <c r="OF627" s="25"/>
      <c r="OG627" s="25"/>
      <c r="OH627" s="25"/>
      <c r="OI627" s="25"/>
      <c r="OJ627" s="25"/>
      <c r="OK627" s="25"/>
      <c r="OL627" s="25"/>
      <c r="OM627" s="25"/>
      <c r="ON627" s="25"/>
      <c r="OO627" s="25"/>
      <c r="OP627" s="25"/>
      <c r="OQ627" s="25"/>
      <c r="OR627" s="25"/>
      <c r="OS627" s="25"/>
      <c r="OT627" s="25"/>
      <c r="OU627" s="25"/>
      <c r="OV627" s="25"/>
      <c r="OW627" s="25"/>
      <c r="OX627" s="25"/>
      <c r="OY627" s="25"/>
      <c r="OZ627" s="25"/>
      <c r="PA627" s="25"/>
      <c r="PB627" s="25"/>
      <c r="PC627" s="25"/>
      <c r="PD627" s="25"/>
      <c r="PE627" s="25"/>
      <c r="PF627" s="25"/>
      <c r="PG627" s="25"/>
      <c r="PH627" s="25"/>
      <c r="PI627" s="25"/>
      <c r="PJ627" s="25"/>
      <c r="PK627" s="25"/>
      <c r="PL627" s="25"/>
      <c r="PM627" s="25"/>
      <c r="PN627" s="25"/>
      <c r="PO627" s="25"/>
      <c r="PP627" s="25"/>
      <c r="PQ627" s="25"/>
      <c r="PR627" s="25"/>
      <c r="PS627" s="25"/>
      <c r="PT627" s="25"/>
      <c r="PU627" s="25"/>
      <c r="PV627" s="25"/>
      <c r="PW627" s="25"/>
      <c r="PX627" s="25"/>
      <c r="PY627" s="25"/>
      <c r="PZ627" s="25"/>
      <c r="QA627" s="25"/>
      <c r="QB627" s="25"/>
      <c r="QC627" s="25"/>
      <c r="QD627" s="25"/>
      <c r="QE627" s="25"/>
      <c r="QF627" s="25"/>
      <c r="QG627" s="25"/>
      <c r="QH627" s="25"/>
      <c r="QI627" s="25"/>
      <c r="QJ627" s="25"/>
      <c r="QK627" s="25"/>
      <c r="QL627" s="25"/>
      <c r="QM627" s="25"/>
      <c r="QN627" s="25"/>
      <c r="QO627" s="25"/>
      <c r="QP627" s="25"/>
      <c r="QQ627" s="25"/>
      <c r="QR627" s="25"/>
      <c r="QS627" s="25"/>
      <c r="QT627" s="25"/>
      <c r="QU627" s="25"/>
      <c r="QV627" s="25"/>
      <c r="QW627" s="25"/>
      <c r="QX627" s="25"/>
      <c r="QY627" s="25"/>
      <c r="QZ627" s="25"/>
      <c r="RA627" s="25"/>
      <c r="RB627" s="25"/>
      <c r="RC627" s="25"/>
      <c r="RD627" s="25"/>
      <c r="RE627" s="25"/>
      <c r="RF627" s="25"/>
      <c r="RG627" s="25"/>
      <c r="RH627" s="25"/>
      <c r="RI627" s="25"/>
      <c r="RJ627" s="25"/>
      <c r="RK627" s="25"/>
      <c r="RL627" s="25"/>
      <c r="RM627" s="25"/>
      <c r="RN627" s="25"/>
      <c r="RO627" s="25"/>
      <c r="RP627" s="25"/>
      <c r="RQ627" s="25"/>
      <c r="RR627" s="25"/>
      <c r="RS627" s="25"/>
      <c r="RT627" s="25"/>
      <c r="RU627" s="25"/>
      <c r="RV627" s="25"/>
      <c r="RW627" s="25"/>
      <c r="RX627" s="25"/>
      <c r="RY627" s="25"/>
      <c r="RZ627" s="25"/>
      <c r="SA627" s="25"/>
      <c r="SB627" s="25"/>
      <c r="SC627" s="25"/>
      <c r="SD627" s="25"/>
      <c r="SE627" s="25"/>
      <c r="SF627" s="25"/>
      <c r="SG627" s="25"/>
      <c r="SH627" s="25"/>
      <c r="SI627" s="25"/>
      <c r="SJ627" s="25"/>
      <c r="SK627" s="25"/>
      <c r="SL627" s="25"/>
      <c r="SM627" s="25"/>
      <c r="SN627" s="25"/>
      <c r="SO627" s="25"/>
      <c r="SP627" s="25"/>
      <c r="SQ627" s="25"/>
      <c r="SR627" s="25"/>
      <c r="SS627" s="25"/>
      <c r="ST627" s="25"/>
      <c r="SU627" s="25"/>
      <c r="SV627" s="25"/>
      <c r="SW627" s="25"/>
      <c r="SX627" s="25"/>
      <c r="SY627" s="25"/>
      <c r="SZ627" s="25"/>
      <c r="TA627" s="25"/>
      <c r="TB627" s="25"/>
      <c r="TC627" s="25"/>
      <c r="TD627" s="25"/>
      <c r="TE627" s="25"/>
      <c r="TF627" s="25"/>
      <c r="TG627" s="25"/>
      <c r="TH627" s="25"/>
      <c r="TI627" s="25"/>
      <c r="TJ627" s="25"/>
      <c r="TK627" s="25"/>
      <c r="TL627" s="25"/>
      <c r="TM627" s="25"/>
      <c r="TN627" s="25"/>
      <c r="TO627" s="25"/>
      <c r="TP627" s="25"/>
      <c r="TQ627" s="25"/>
      <c r="TR627" s="25"/>
      <c r="TS627" s="25"/>
      <c r="TT627" s="25"/>
      <c r="TU627" s="25"/>
      <c r="TV627" s="25"/>
      <c r="TW627" s="25"/>
      <c r="TX627" s="25"/>
      <c r="TY627" s="25"/>
      <c r="TZ627" s="25"/>
      <c r="UA627" s="25"/>
      <c r="UB627" s="25"/>
      <c r="UC627" s="25"/>
      <c r="UD627" s="25"/>
      <c r="UE627" s="25"/>
      <c r="UF627" s="25"/>
      <c r="UG627" s="26"/>
    </row>
    <row r="628" spans="1:553" ht="50.25" customHeight="1">
      <c r="A628" s="356" t="s">
        <v>30</v>
      </c>
      <c r="B628" s="385">
        <v>223</v>
      </c>
      <c r="C628" s="1403" t="s">
        <v>1011</v>
      </c>
      <c r="D628" s="1389"/>
      <c r="E628" s="1389"/>
      <c r="F628" s="1390"/>
      <c r="G628" s="386" t="s">
        <v>935</v>
      </c>
      <c r="H628" s="370"/>
      <c r="I628" s="422">
        <f>3.7*1.8</f>
        <v>6.66</v>
      </c>
      <c r="J628" s="368">
        <v>569800</v>
      </c>
      <c r="K628" s="371"/>
      <c r="L628" s="487">
        <f t="shared" si="101"/>
        <v>3794868</v>
      </c>
      <c r="M628" s="391"/>
      <c r="N628" s="391"/>
      <c r="O628" s="391"/>
      <c r="P628" s="391"/>
      <c r="Q628" s="610"/>
      <c r="R628" s="1226"/>
      <c r="S628" s="308"/>
      <c r="T628" s="308"/>
      <c r="U628" s="308"/>
      <c r="V628" s="308"/>
      <c r="W628" s="308"/>
      <c r="X628" s="308"/>
      <c r="Y628" s="308"/>
      <c r="Z628" s="604"/>
      <c r="AA628" s="308"/>
      <c r="AB628" s="308"/>
      <c r="AC628" s="449"/>
      <c r="AD628" s="449"/>
      <c r="AE628" s="449"/>
      <c r="AF628" s="449"/>
      <c r="AG628" s="449"/>
      <c r="AH628" s="449"/>
      <c r="AI628" s="449"/>
      <c r="AJ628" s="449"/>
      <c r="AK628" s="452"/>
      <c r="AL628" s="104"/>
      <c r="AM628" s="32"/>
      <c r="AN628" s="32"/>
      <c r="AO628" s="32"/>
      <c r="AP628" s="32"/>
      <c r="AQ628" s="32"/>
      <c r="AR628" s="32"/>
      <c r="AS628" s="31"/>
      <c r="AT628" s="31"/>
      <c r="AU628" s="31"/>
      <c r="AV628" s="31"/>
      <c r="AW628" s="31"/>
      <c r="AX628" s="31"/>
      <c r="AY628" s="31"/>
      <c r="AZ628" s="31"/>
      <c r="BA628" s="31"/>
      <c r="BB628" s="31"/>
      <c r="BC628" s="31"/>
      <c r="BD628" s="31"/>
      <c r="BE628" s="31"/>
      <c r="BF628" s="31"/>
      <c r="BG628" s="31"/>
      <c r="BH628" s="31"/>
      <c r="BI628" s="31"/>
      <c r="BJ628" s="31"/>
      <c r="BK628" s="31"/>
      <c r="BL628" s="31"/>
      <c r="BM628" s="31"/>
      <c r="BN628" s="31"/>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31"/>
      <c r="CQ628" s="31"/>
      <c r="CR628" s="31"/>
      <c r="CS628" s="31"/>
      <c r="CT628" s="31"/>
      <c r="CU628" s="31"/>
      <c r="CV628" s="31"/>
      <c r="CW628" s="31"/>
      <c r="CX628" s="31"/>
      <c r="CY628" s="31"/>
      <c r="CZ628" s="31"/>
      <c r="DA628" s="31"/>
      <c r="DB628" s="31"/>
      <c r="DC628" s="31"/>
      <c r="DD628" s="31"/>
      <c r="DE628" s="31"/>
      <c r="DF628" s="31"/>
      <c r="DG628" s="31"/>
      <c r="DH628" s="31"/>
      <c r="DI628" s="31"/>
      <c r="DJ628" s="31"/>
      <c r="DK628" s="31"/>
      <c r="DL628" s="31"/>
      <c r="DM628" s="31"/>
      <c r="DN628" s="31"/>
      <c r="DO628" s="31"/>
      <c r="DP628" s="31"/>
      <c r="DQ628" s="31"/>
      <c r="DR628" s="31"/>
      <c r="DS628" s="31"/>
      <c r="DT628" s="31"/>
      <c r="DU628" s="31"/>
      <c r="DV628" s="31"/>
      <c r="DW628" s="31"/>
      <c r="DX628" s="31"/>
      <c r="DY628" s="31"/>
      <c r="DZ628" s="31"/>
      <c r="EA628" s="31"/>
      <c r="EB628" s="31"/>
      <c r="EC628" s="31"/>
      <c r="ED628" s="31"/>
      <c r="EE628" s="31"/>
      <c r="EF628" s="31"/>
      <c r="EG628" s="31"/>
      <c r="EH628" s="31"/>
      <c r="EI628" s="31"/>
      <c r="EJ628" s="31"/>
      <c r="EK628" s="31"/>
      <c r="EL628" s="31"/>
      <c r="EM628" s="31"/>
      <c r="EN628" s="31"/>
      <c r="EO628" s="31"/>
      <c r="EP628" s="31"/>
      <c r="EQ628" s="31"/>
      <c r="ER628" s="31"/>
      <c r="ES628" s="31"/>
      <c r="ET628" s="31"/>
      <c r="EU628" s="31"/>
      <c r="EV628" s="31"/>
      <c r="EW628" s="31"/>
      <c r="EX628" s="31"/>
      <c r="EY628" s="31"/>
      <c r="EZ628" s="31"/>
      <c r="FA628" s="31"/>
      <c r="FB628" s="31"/>
      <c r="FC628" s="31"/>
      <c r="FD628" s="31"/>
      <c r="FE628" s="31"/>
      <c r="FF628" s="31"/>
      <c r="FG628" s="31"/>
      <c r="FH628" s="31"/>
      <c r="FI628" s="31"/>
      <c r="FJ628" s="31"/>
      <c r="FK628" s="31"/>
      <c r="FL628" s="31"/>
      <c r="FM628" s="31"/>
      <c r="FN628" s="31"/>
      <c r="FO628" s="31"/>
      <c r="FP628" s="31"/>
      <c r="FQ628" s="31"/>
      <c r="FR628" s="31"/>
      <c r="FS628" s="31"/>
      <c r="FT628" s="31"/>
      <c r="FU628" s="31"/>
      <c r="FV628" s="31"/>
      <c r="FW628" s="31"/>
      <c r="FX628" s="31"/>
      <c r="FY628" s="31"/>
      <c r="FZ628" s="31"/>
      <c r="GA628" s="31"/>
      <c r="GB628" s="31"/>
      <c r="GC628" s="31"/>
      <c r="GD628" s="31"/>
      <c r="GE628" s="31"/>
      <c r="GF628" s="31"/>
      <c r="GG628" s="31"/>
      <c r="GH628" s="31"/>
      <c r="GI628" s="31"/>
      <c r="GJ628" s="31"/>
      <c r="GK628" s="31"/>
      <c r="GL628" s="31"/>
      <c r="GM628" s="31"/>
      <c r="GN628" s="31"/>
      <c r="GO628" s="31"/>
      <c r="GP628" s="31"/>
      <c r="GQ628" s="31"/>
      <c r="GR628" s="31"/>
      <c r="GS628" s="31"/>
      <c r="GT628" s="31"/>
      <c r="GU628" s="31"/>
      <c r="GV628" s="31"/>
      <c r="GW628" s="31"/>
      <c r="GX628" s="31"/>
      <c r="GY628" s="31"/>
      <c r="GZ628" s="31"/>
      <c r="HA628" s="31"/>
      <c r="HB628" s="31"/>
      <c r="HC628" s="31"/>
      <c r="HD628" s="31"/>
      <c r="HE628" s="31"/>
      <c r="HF628" s="31"/>
      <c r="HG628" s="31"/>
      <c r="HH628" s="31"/>
      <c r="HI628" s="31"/>
      <c r="HJ628" s="31"/>
      <c r="HK628" s="31"/>
      <c r="HL628" s="31"/>
      <c r="HM628" s="31"/>
      <c r="HN628" s="31"/>
      <c r="HO628" s="31"/>
      <c r="HP628" s="31"/>
      <c r="HQ628" s="31"/>
      <c r="HR628" s="31"/>
      <c r="HS628" s="31"/>
      <c r="HT628" s="31"/>
      <c r="HU628" s="31"/>
      <c r="HV628" s="31"/>
      <c r="HW628" s="31"/>
      <c r="HX628" s="31"/>
      <c r="HY628" s="31"/>
      <c r="HZ628" s="31"/>
      <c r="IA628" s="31"/>
      <c r="IB628" s="31"/>
      <c r="IC628" s="31"/>
      <c r="ID628" s="31"/>
      <c r="IE628" s="31"/>
      <c r="IF628" s="31"/>
      <c r="IG628" s="31"/>
      <c r="IH628" s="31"/>
      <c r="II628" s="31"/>
      <c r="IJ628" s="31"/>
      <c r="IK628" s="31"/>
      <c r="IL628" s="31"/>
      <c r="IM628" s="31"/>
      <c r="IN628" s="31"/>
      <c r="IO628" s="31"/>
      <c r="IP628" s="31"/>
      <c r="IQ628" s="31"/>
      <c r="IR628" s="31"/>
      <c r="IS628" s="31"/>
      <c r="IT628" s="31"/>
      <c r="IU628" s="31"/>
      <c r="IV628" s="31"/>
      <c r="IW628" s="31"/>
      <c r="IX628" s="31"/>
      <c r="IY628" s="31"/>
      <c r="IZ628" s="31"/>
      <c r="JA628" s="31"/>
      <c r="JB628" s="31"/>
      <c r="JC628" s="31"/>
      <c r="JD628" s="31"/>
      <c r="JE628" s="31"/>
      <c r="JF628" s="31"/>
      <c r="JG628" s="31"/>
      <c r="JH628" s="31"/>
      <c r="JI628" s="31"/>
      <c r="JJ628" s="31"/>
      <c r="JK628" s="31"/>
      <c r="JL628" s="31"/>
      <c r="JM628" s="31"/>
      <c r="JN628" s="31"/>
      <c r="JO628" s="31"/>
      <c r="JP628" s="31"/>
      <c r="JQ628" s="31"/>
      <c r="JR628" s="31"/>
      <c r="JS628" s="31"/>
      <c r="JT628" s="31"/>
      <c r="JU628" s="31"/>
      <c r="JV628" s="31"/>
      <c r="JW628" s="31"/>
      <c r="JX628" s="31"/>
      <c r="JY628" s="31"/>
      <c r="JZ628" s="31"/>
      <c r="KA628" s="31"/>
      <c r="KB628" s="31"/>
      <c r="KC628" s="31"/>
      <c r="KD628" s="31"/>
      <c r="KE628" s="31"/>
      <c r="KF628" s="31"/>
      <c r="KG628" s="31"/>
      <c r="KH628" s="31"/>
      <c r="KI628" s="31"/>
      <c r="KJ628" s="31"/>
      <c r="KK628" s="31"/>
      <c r="KL628" s="31"/>
      <c r="KM628" s="31"/>
      <c r="KN628" s="31"/>
      <c r="KO628" s="31"/>
      <c r="KP628" s="31"/>
      <c r="KQ628" s="31"/>
      <c r="KR628" s="31"/>
      <c r="KS628" s="31"/>
      <c r="KT628" s="31"/>
      <c r="KU628" s="31"/>
      <c r="KV628" s="31"/>
      <c r="KW628" s="31"/>
      <c r="KX628" s="31"/>
      <c r="KY628" s="31"/>
      <c r="KZ628" s="31"/>
      <c r="LA628" s="31"/>
      <c r="LB628" s="31"/>
      <c r="LC628" s="31"/>
      <c r="LD628" s="31"/>
      <c r="LE628" s="31"/>
      <c r="LF628" s="31"/>
      <c r="LG628" s="31"/>
      <c r="LH628" s="31"/>
      <c r="LI628" s="31"/>
      <c r="LJ628" s="31"/>
      <c r="LK628" s="31"/>
      <c r="LL628" s="31"/>
      <c r="LM628" s="31"/>
      <c r="LN628" s="31"/>
      <c r="LO628" s="31"/>
      <c r="LP628" s="31"/>
      <c r="LQ628" s="31"/>
      <c r="LR628" s="31"/>
      <c r="LS628" s="31"/>
      <c r="LT628" s="31"/>
      <c r="LU628" s="31"/>
      <c r="LV628" s="31"/>
      <c r="LW628" s="31"/>
      <c r="LX628" s="31"/>
      <c r="LY628" s="31"/>
      <c r="LZ628" s="31"/>
      <c r="MA628" s="31"/>
      <c r="MB628" s="31"/>
      <c r="MC628" s="31"/>
      <c r="MD628" s="31"/>
      <c r="ME628" s="31"/>
      <c r="MF628" s="31"/>
      <c r="MG628" s="31"/>
      <c r="MH628" s="31"/>
      <c r="MI628" s="31"/>
      <c r="MJ628" s="31"/>
      <c r="MK628" s="31"/>
      <c r="ML628" s="31"/>
      <c r="MM628" s="31"/>
      <c r="MN628" s="31"/>
      <c r="MO628" s="31"/>
      <c r="MP628" s="31"/>
      <c r="MQ628" s="31"/>
      <c r="MR628" s="31"/>
      <c r="MS628" s="31"/>
      <c r="MT628" s="31"/>
      <c r="MU628" s="31"/>
      <c r="MV628" s="31"/>
      <c r="MW628" s="31"/>
      <c r="MX628" s="31"/>
      <c r="MY628" s="31"/>
      <c r="MZ628" s="31"/>
      <c r="NA628" s="31"/>
      <c r="NB628" s="31"/>
      <c r="NC628" s="31"/>
      <c r="ND628" s="31"/>
      <c r="NE628" s="31"/>
      <c r="NF628" s="31"/>
      <c r="NG628" s="31"/>
      <c r="NH628" s="31"/>
      <c r="NI628" s="31"/>
      <c r="NJ628" s="31"/>
      <c r="NK628" s="31"/>
      <c r="NL628" s="31"/>
      <c r="NM628" s="31"/>
      <c r="NN628" s="31"/>
      <c r="NO628" s="31"/>
      <c r="NP628" s="31"/>
      <c r="NQ628" s="31"/>
      <c r="NR628" s="31"/>
      <c r="NS628" s="31"/>
      <c r="NT628" s="31"/>
      <c r="NU628" s="31"/>
      <c r="NV628" s="31"/>
      <c r="NW628" s="31"/>
      <c r="NX628" s="31"/>
      <c r="NY628" s="31"/>
      <c r="NZ628" s="31"/>
      <c r="OA628" s="31"/>
      <c r="OB628" s="31"/>
      <c r="OC628" s="31"/>
      <c r="OD628" s="31"/>
      <c r="OE628" s="31"/>
      <c r="OF628" s="31"/>
      <c r="OG628" s="31"/>
      <c r="OH628" s="31"/>
      <c r="OI628" s="31"/>
      <c r="OJ628" s="31"/>
      <c r="OK628" s="31"/>
      <c r="OL628" s="31"/>
      <c r="OM628" s="31"/>
      <c r="ON628" s="31"/>
      <c r="OO628" s="31"/>
      <c r="OP628" s="31"/>
      <c r="OQ628" s="31"/>
      <c r="OR628" s="31"/>
      <c r="OS628" s="31"/>
      <c r="OT628" s="31"/>
      <c r="OU628" s="31"/>
      <c r="OV628" s="31"/>
      <c r="OW628" s="31"/>
      <c r="OX628" s="31"/>
      <c r="OY628" s="31"/>
      <c r="OZ628" s="31"/>
      <c r="PA628" s="31"/>
      <c r="PB628" s="31"/>
      <c r="PC628" s="31"/>
      <c r="PD628" s="31"/>
      <c r="PE628" s="31"/>
      <c r="PF628" s="31"/>
      <c r="PG628" s="31"/>
      <c r="PH628" s="31"/>
      <c r="PI628" s="31"/>
      <c r="PJ628" s="31"/>
      <c r="PK628" s="31"/>
      <c r="PL628" s="31"/>
      <c r="PM628" s="31"/>
      <c r="PN628" s="31"/>
      <c r="PO628" s="31"/>
      <c r="PP628" s="31"/>
      <c r="PQ628" s="31"/>
      <c r="PR628" s="31"/>
      <c r="PS628" s="31"/>
      <c r="PT628" s="31"/>
      <c r="PU628" s="31"/>
      <c r="PV628" s="31"/>
      <c r="PW628" s="31"/>
      <c r="PX628" s="31"/>
      <c r="PY628" s="31"/>
      <c r="PZ628" s="31"/>
      <c r="QA628" s="31"/>
      <c r="QB628" s="31"/>
      <c r="QC628" s="31"/>
      <c r="QD628" s="31"/>
      <c r="QE628" s="31"/>
      <c r="QF628" s="31"/>
      <c r="QG628" s="31"/>
      <c r="QH628" s="31"/>
      <c r="QI628" s="31"/>
      <c r="QJ628" s="31"/>
      <c r="QK628" s="31"/>
      <c r="QL628" s="31"/>
      <c r="QM628" s="31"/>
      <c r="QN628" s="31"/>
      <c r="QO628" s="31"/>
      <c r="QP628" s="31"/>
      <c r="QQ628" s="31"/>
      <c r="QR628" s="31"/>
      <c r="QS628" s="31"/>
      <c r="QT628" s="31"/>
      <c r="QU628" s="31"/>
      <c r="QV628" s="31"/>
      <c r="QW628" s="31"/>
      <c r="QX628" s="31"/>
      <c r="QY628" s="31"/>
      <c r="QZ628" s="31"/>
      <c r="RA628" s="31"/>
      <c r="RB628" s="31"/>
      <c r="RC628" s="31"/>
      <c r="RD628" s="31"/>
      <c r="RE628" s="31"/>
      <c r="RF628" s="31"/>
      <c r="RG628" s="31"/>
      <c r="RH628" s="31"/>
      <c r="RI628" s="31"/>
      <c r="RJ628" s="31"/>
      <c r="RK628" s="31"/>
      <c r="RL628" s="31"/>
      <c r="RM628" s="31"/>
      <c r="RN628" s="31"/>
      <c r="RO628" s="31"/>
      <c r="RP628" s="31"/>
      <c r="RQ628" s="31"/>
      <c r="RR628" s="31"/>
      <c r="RS628" s="31"/>
      <c r="RT628" s="31"/>
      <c r="RU628" s="31"/>
      <c r="RV628" s="31"/>
      <c r="RW628" s="31"/>
      <c r="RX628" s="31"/>
      <c r="RY628" s="31"/>
      <c r="RZ628" s="31"/>
      <c r="SA628" s="31"/>
      <c r="SB628" s="31"/>
      <c r="SC628" s="31"/>
      <c r="SD628" s="31"/>
      <c r="SE628" s="31"/>
      <c r="SF628" s="31"/>
      <c r="SG628" s="31"/>
      <c r="SH628" s="31"/>
      <c r="SI628" s="31"/>
      <c r="SJ628" s="31"/>
      <c r="SK628" s="31"/>
      <c r="SL628" s="31"/>
      <c r="SM628" s="31"/>
      <c r="SN628" s="31"/>
      <c r="SO628" s="31"/>
      <c r="SP628" s="31"/>
      <c r="SQ628" s="31"/>
      <c r="SR628" s="31"/>
      <c r="SS628" s="31"/>
      <c r="ST628" s="31"/>
      <c r="SU628" s="31"/>
      <c r="SV628" s="31"/>
      <c r="SW628" s="31"/>
      <c r="SX628" s="31"/>
      <c r="SY628" s="31"/>
      <c r="SZ628" s="31"/>
      <c r="TA628" s="31"/>
      <c r="TB628" s="31"/>
      <c r="TC628" s="31"/>
      <c r="TD628" s="31"/>
      <c r="TE628" s="31"/>
      <c r="TF628" s="31"/>
      <c r="TG628" s="31"/>
      <c r="TH628" s="31"/>
      <c r="TI628" s="31"/>
      <c r="TJ628" s="31"/>
      <c r="TK628" s="31"/>
      <c r="TL628" s="31"/>
      <c r="TM628" s="31"/>
      <c r="TN628" s="31"/>
      <c r="TO628" s="31"/>
      <c r="TP628" s="31"/>
      <c r="TQ628" s="31"/>
      <c r="TR628" s="31"/>
      <c r="TS628" s="31"/>
      <c r="TT628" s="31"/>
      <c r="TU628" s="31"/>
      <c r="TV628" s="31"/>
      <c r="TW628" s="31"/>
      <c r="TX628" s="31"/>
      <c r="TY628" s="31"/>
      <c r="TZ628" s="31"/>
      <c r="UA628" s="31"/>
      <c r="UB628" s="31"/>
      <c r="UC628" s="31"/>
      <c r="UD628" s="31"/>
      <c r="UE628" s="31"/>
      <c r="UF628" s="31"/>
      <c r="UG628" s="33"/>
    </row>
    <row r="629" spans="1:553" ht="50.25" customHeight="1">
      <c r="A629" s="356"/>
      <c r="B629" s="385">
        <v>178</v>
      </c>
      <c r="C629" s="1403" t="s">
        <v>444</v>
      </c>
      <c r="D629" s="1389"/>
      <c r="E629" s="1389"/>
      <c r="F629" s="1390"/>
      <c r="G629" s="386" t="s">
        <v>113</v>
      </c>
      <c r="H629" s="370"/>
      <c r="I629" s="422">
        <v>90</v>
      </c>
      <c r="J629" s="368">
        <v>114600</v>
      </c>
      <c r="K629" s="371"/>
      <c r="L629" s="487">
        <f t="shared" si="101"/>
        <v>10314000</v>
      </c>
      <c r="M629" s="391"/>
      <c r="N629" s="391"/>
      <c r="O629" s="391"/>
      <c r="P629" s="391"/>
      <c r="Q629" s="610"/>
      <c r="R629" s="1226"/>
      <c r="S629" s="308"/>
      <c r="T629" s="308"/>
      <c r="U629" s="308"/>
      <c r="V629" s="308"/>
      <c r="W629" s="308"/>
      <c r="X629" s="308"/>
      <c r="Y629" s="308"/>
      <c r="Z629" s="604"/>
      <c r="AA629" s="308"/>
      <c r="AB629" s="308"/>
      <c r="AC629" s="449"/>
      <c r="AD629" s="449"/>
      <c r="AE629" s="449"/>
      <c r="AF629" s="449"/>
      <c r="AG629" s="449"/>
      <c r="AH629" s="449"/>
      <c r="AI629" s="449"/>
      <c r="AJ629" s="449"/>
      <c r="AK629" s="452"/>
      <c r="AL629" s="104"/>
      <c r="AM629" s="32"/>
      <c r="AN629" s="32"/>
      <c r="AO629" s="32"/>
      <c r="AP629" s="32"/>
      <c r="AQ629" s="32"/>
      <c r="AR629" s="32"/>
      <c r="AS629" s="31"/>
      <c r="AT629" s="31"/>
      <c r="AU629" s="31"/>
      <c r="AV629" s="31"/>
      <c r="AW629" s="31"/>
      <c r="AX629" s="31"/>
      <c r="AY629" s="31"/>
      <c r="AZ629" s="31"/>
      <c r="BA629" s="31"/>
      <c r="BB629" s="31"/>
      <c r="BC629" s="31"/>
      <c r="BD629" s="31"/>
      <c r="BE629" s="31"/>
      <c r="BF629" s="31"/>
      <c r="BG629" s="31"/>
      <c r="BH629" s="31"/>
      <c r="BI629" s="31"/>
      <c r="BJ629" s="31"/>
      <c r="BK629" s="31"/>
      <c r="BL629" s="31"/>
      <c r="BM629" s="31"/>
      <c r="BN629" s="31"/>
      <c r="BO629" s="31"/>
      <c r="BP629" s="31"/>
      <c r="BQ629" s="31"/>
      <c r="BR629" s="31"/>
      <c r="BS629" s="31"/>
      <c r="BT629" s="31"/>
      <c r="BU629" s="31"/>
      <c r="BV629" s="31"/>
      <c r="BW629" s="31"/>
      <c r="BX629" s="31"/>
      <c r="BY629" s="31"/>
      <c r="BZ629" s="31"/>
      <c r="CA629" s="31"/>
      <c r="CB629" s="31"/>
      <c r="CC629" s="31"/>
      <c r="CD629" s="31"/>
      <c r="CE629" s="31"/>
      <c r="CF629" s="31"/>
      <c r="CG629" s="31"/>
      <c r="CH629" s="31"/>
      <c r="CI629" s="31"/>
      <c r="CJ629" s="31"/>
      <c r="CK629" s="31"/>
      <c r="CL629" s="31"/>
      <c r="CM629" s="31"/>
      <c r="CN629" s="31"/>
      <c r="CO629" s="31"/>
      <c r="CP629" s="31"/>
      <c r="CQ629" s="31"/>
      <c r="CR629" s="31"/>
      <c r="CS629" s="31"/>
      <c r="CT629" s="31"/>
      <c r="CU629" s="31"/>
      <c r="CV629" s="31"/>
      <c r="CW629" s="31"/>
      <c r="CX629" s="31"/>
      <c r="CY629" s="31"/>
      <c r="CZ629" s="31"/>
      <c r="DA629" s="31"/>
      <c r="DB629" s="31"/>
      <c r="DC629" s="31"/>
      <c r="DD629" s="31"/>
      <c r="DE629" s="31"/>
      <c r="DF629" s="31"/>
      <c r="DG629" s="31"/>
      <c r="DH629" s="31"/>
      <c r="DI629" s="31"/>
      <c r="DJ629" s="31"/>
      <c r="DK629" s="31"/>
      <c r="DL629" s="31"/>
      <c r="DM629" s="31"/>
      <c r="DN629" s="31"/>
      <c r="DO629" s="31"/>
      <c r="DP629" s="31"/>
      <c r="DQ629" s="31"/>
      <c r="DR629" s="31"/>
      <c r="DS629" s="31"/>
      <c r="DT629" s="31"/>
      <c r="DU629" s="31"/>
      <c r="DV629" s="31"/>
      <c r="DW629" s="31"/>
      <c r="DX629" s="31"/>
      <c r="DY629" s="31"/>
      <c r="DZ629" s="31"/>
      <c r="EA629" s="31"/>
      <c r="EB629" s="31"/>
      <c r="EC629" s="31"/>
      <c r="ED629" s="31"/>
      <c r="EE629" s="31"/>
      <c r="EF629" s="31"/>
      <c r="EG629" s="31"/>
      <c r="EH629" s="31"/>
      <c r="EI629" s="31"/>
      <c r="EJ629" s="31"/>
      <c r="EK629" s="31"/>
      <c r="EL629" s="31"/>
      <c r="EM629" s="31"/>
      <c r="EN629" s="31"/>
      <c r="EO629" s="31"/>
      <c r="EP629" s="31"/>
      <c r="EQ629" s="31"/>
      <c r="ER629" s="31"/>
      <c r="ES629" s="31"/>
      <c r="ET629" s="31"/>
      <c r="EU629" s="31"/>
      <c r="EV629" s="31"/>
      <c r="EW629" s="31"/>
      <c r="EX629" s="31"/>
      <c r="EY629" s="31"/>
      <c r="EZ629" s="31"/>
      <c r="FA629" s="31"/>
      <c r="FB629" s="31"/>
      <c r="FC629" s="31"/>
      <c r="FD629" s="31"/>
      <c r="FE629" s="31"/>
      <c r="FF629" s="31"/>
      <c r="FG629" s="31"/>
      <c r="FH629" s="31"/>
      <c r="FI629" s="31"/>
      <c r="FJ629" s="31"/>
      <c r="FK629" s="31"/>
      <c r="FL629" s="31"/>
      <c r="FM629" s="31"/>
      <c r="FN629" s="31"/>
      <c r="FO629" s="31"/>
      <c r="FP629" s="31"/>
      <c r="FQ629" s="31"/>
      <c r="FR629" s="31"/>
      <c r="FS629" s="31"/>
      <c r="FT629" s="31"/>
      <c r="FU629" s="31"/>
      <c r="FV629" s="31"/>
      <c r="FW629" s="31"/>
      <c r="FX629" s="31"/>
      <c r="FY629" s="31"/>
      <c r="FZ629" s="31"/>
      <c r="GA629" s="31"/>
      <c r="GB629" s="31"/>
      <c r="GC629" s="31"/>
      <c r="GD629" s="31"/>
      <c r="GE629" s="31"/>
      <c r="GF629" s="31"/>
      <c r="GG629" s="31"/>
      <c r="GH629" s="31"/>
      <c r="GI629" s="31"/>
      <c r="GJ629" s="31"/>
      <c r="GK629" s="31"/>
      <c r="GL629" s="31"/>
      <c r="GM629" s="31"/>
      <c r="GN629" s="31"/>
      <c r="GO629" s="31"/>
      <c r="GP629" s="31"/>
      <c r="GQ629" s="31"/>
      <c r="GR629" s="31"/>
      <c r="GS629" s="31"/>
      <c r="GT629" s="31"/>
      <c r="GU629" s="31"/>
      <c r="GV629" s="31"/>
      <c r="GW629" s="31"/>
      <c r="GX629" s="31"/>
      <c r="GY629" s="31"/>
      <c r="GZ629" s="31"/>
      <c r="HA629" s="31"/>
      <c r="HB629" s="31"/>
      <c r="HC629" s="31"/>
      <c r="HD629" s="31"/>
      <c r="HE629" s="31"/>
      <c r="HF629" s="31"/>
      <c r="HG629" s="31"/>
      <c r="HH629" s="31"/>
      <c r="HI629" s="31"/>
      <c r="HJ629" s="31"/>
      <c r="HK629" s="31"/>
      <c r="HL629" s="31"/>
      <c r="HM629" s="31"/>
      <c r="HN629" s="31"/>
      <c r="HO629" s="31"/>
      <c r="HP629" s="31"/>
      <c r="HQ629" s="31"/>
      <c r="HR629" s="31"/>
      <c r="HS629" s="31"/>
      <c r="HT629" s="31"/>
      <c r="HU629" s="31"/>
      <c r="HV629" s="31"/>
      <c r="HW629" s="31"/>
      <c r="HX629" s="31"/>
      <c r="HY629" s="31"/>
      <c r="HZ629" s="31"/>
      <c r="IA629" s="31"/>
      <c r="IB629" s="31"/>
      <c r="IC629" s="31"/>
      <c r="ID629" s="31"/>
      <c r="IE629" s="31"/>
      <c r="IF629" s="31"/>
      <c r="IG629" s="31"/>
      <c r="IH629" s="31"/>
      <c r="II629" s="31"/>
      <c r="IJ629" s="31"/>
      <c r="IK629" s="31"/>
      <c r="IL629" s="31"/>
      <c r="IM629" s="31"/>
      <c r="IN629" s="31"/>
      <c r="IO629" s="31"/>
      <c r="IP629" s="31"/>
      <c r="IQ629" s="31"/>
      <c r="IR629" s="31"/>
      <c r="IS629" s="31"/>
      <c r="IT629" s="31"/>
      <c r="IU629" s="31"/>
      <c r="IV629" s="31"/>
      <c r="IW629" s="31"/>
      <c r="IX629" s="31"/>
      <c r="IY629" s="31"/>
      <c r="IZ629" s="31"/>
      <c r="JA629" s="31"/>
      <c r="JB629" s="31"/>
      <c r="JC629" s="31"/>
      <c r="JD629" s="31"/>
      <c r="JE629" s="31"/>
      <c r="JF629" s="31"/>
      <c r="JG629" s="31"/>
      <c r="JH629" s="31"/>
      <c r="JI629" s="31"/>
      <c r="JJ629" s="31"/>
      <c r="JK629" s="31"/>
      <c r="JL629" s="31"/>
      <c r="JM629" s="31"/>
      <c r="JN629" s="31"/>
      <c r="JO629" s="31"/>
      <c r="JP629" s="31"/>
      <c r="JQ629" s="31"/>
      <c r="JR629" s="31"/>
      <c r="JS629" s="31"/>
      <c r="JT629" s="31"/>
      <c r="JU629" s="31"/>
      <c r="JV629" s="31"/>
      <c r="JW629" s="31"/>
      <c r="JX629" s="31"/>
      <c r="JY629" s="31"/>
      <c r="JZ629" s="31"/>
      <c r="KA629" s="31"/>
      <c r="KB629" s="31"/>
      <c r="KC629" s="31"/>
      <c r="KD629" s="31"/>
      <c r="KE629" s="31"/>
      <c r="KF629" s="31"/>
      <c r="KG629" s="31"/>
      <c r="KH629" s="31"/>
      <c r="KI629" s="31"/>
      <c r="KJ629" s="31"/>
      <c r="KK629" s="31"/>
      <c r="KL629" s="31"/>
      <c r="KM629" s="31"/>
      <c r="KN629" s="31"/>
      <c r="KO629" s="31"/>
      <c r="KP629" s="31"/>
      <c r="KQ629" s="31"/>
      <c r="KR629" s="31"/>
      <c r="KS629" s="31"/>
      <c r="KT629" s="31"/>
      <c r="KU629" s="31"/>
      <c r="KV629" s="31"/>
      <c r="KW629" s="31"/>
      <c r="KX629" s="31"/>
      <c r="KY629" s="31"/>
      <c r="KZ629" s="31"/>
      <c r="LA629" s="31"/>
      <c r="LB629" s="31"/>
      <c r="LC629" s="31"/>
      <c r="LD629" s="31"/>
      <c r="LE629" s="31"/>
      <c r="LF629" s="31"/>
      <c r="LG629" s="31"/>
      <c r="LH629" s="31"/>
      <c r="LI629" s="31"/>
      <c r="LJ629" s="31"/>
      <c r="LK629" s="31"/>
      <c r="LL629" s="31"/>
      <c r="LM629" s="31"/>
      <c r="LN629" s="31"/>
      <c r="LO629" s="31"/>
      <c r="LP629" s="31"/>
      <c r="LQ629" s="31"/>
      <c r="LR629" s="31"/>
      <c r="LS629" s="31"/>
      <c r="LT629" s="31"/>
      <c r="LU629" s="31"/>
      <c r="LV629" s="31"/>
      <c r="LW629" s="31"/>
      <c r="LX629" s="31"/>
      <c r="LY629" s="31"/>
      <c r="LZ629" s="31"/>
      <c r="MA629" s="31"/>
      <c r="MB629" s="31"/>
      <c r="MC629" s="31"/>
      <c r="MD629" s="31"/>
      <c r="ME629" s="31"/>
      <c r="MF629" s="31"/>
      <c r="MG629" s="31"/>
      <c r="MH629" s="31"/>
      <c r="MI629" s="31"/>
      <c r="MJ629" s="31"/>
      <c r="MK629" s="31"/>
      <c r="ML629" s="31"/>
      <c r="MM629" s="31"/>
      <c r="MN629" s="31"/>
      <c r="MO629" s="31"/>
      <c r="MP629" s="31"/>
      <c r="MQ629" s="31"/>
      <c r="MR629" s="31"/>
      <c r="MS629" s="31"/>
      <c r="MT629" s="31"/>
      <c r="MU629" s="31"/>
      <c r="MV629" s="31"/>
      <c r="MW629" s="31"/>
      <c r="MX629" s="31"/>
      <c r="MY629" s="31"/>
      <c r="MZ629" s="31"/>
      <c r="NA629" s="31"/>
      <c r="NB629" s="31"/>
      <c r="NC629" s="31"/>
      <c r="ND629" s="31"/>
      <c r="NE629" s="31"/>
      <c r="NF629" s="31"/>
      <c r="NG629" s="31"/>
      <c r="NH629" s="31"/>
      <c r="NI629" s="31"/>
      <c r="NJ629" s="31"/>
      <c r="NK629" s="31"/>
      <c r="NL629" s="31"/>
      <c r="NM629" s="31"/>
      <c r="NN629" s="31"/>
      <c r="NO629" s="31"/>
      <c r="NP629" s="31"/>
      <c r="NQ629" s="31"/>
      <c r="NR629" s="31"/>
      <c r="NS629" s="31"/>
      <c r="NT629" s="31"/>
      <c r="NU629" s="31"/>
      <c r="NV629" s="31"/>
      <c r="NW629" s="31"/>
      <c r="NX629" s="31"/>
      <c r="NY629" s="31"/>
      <c r="NZ629" s="31"/>
      <c r="OA629" s="31"/>
      <c r="OB629" s="31"/>
      <c r="OC629" s="31"/>
      <c r="OD629" s="31"/>
      <c r="OE629" s="31"/>
      <c r="OF629" s="31"/>
      <c r="OG629" s="31"/>
      <c r="OH629" s="31"/>
      <c r="OI629" s="31"/>
      <c r="OJ629" s="31"/>
      <c r="OK629" s="31"/>
      <c r="OL629" s="31"/>
      <c r="OM629" s="31"/>
      <c r="ON629" s="31"/>
      <c r="OO629" s="31"/>
      <c r="OP629" s="31"/>
      <c r="OQ629" s="31"/>
      <c r="OR629" s="31"/>
      <c r="OS629" s="31"/>
      <c r="OT629" s="31"/>
      <c r="OU629" s="31"/>
      <c r="OV629" s="31"/>
      <c r="OW629" s="31"/>
      <c r="OX629" s="31"/>
      <c r="OY629" s="31"/>
      <c r="OZ629" s="31"/>
      <c r="PA629" s="31"/>
      <c r="PB629" s="31"/>
      <c r="PC629" s="31"/>
      <c r="PD629" s="31"/>
      <c r="PE629" s="31"/>
      <c r="PF629" s="31"/>
      <c r="PG629" s="31"/>
      <c r="PH629" s="31"/>
      <c r="PI629" s="31"/>
      <c r="PJ629" s="31"/>
      <c r="PK629" s="31"/>
      <c r="PL629" s="31"/>
      <c r="PM629" s="31"/>
      <c r="PN629" s="31"/>
      <c r="PO629" s="31"/>
      <c r="PP629" s="31"/>
      <c r="PQ629" s="31"/>
      <c r="PR629" s="31"/>
      <c r="PS629" s="31"/>
      <c r="PT629" s="31"/>
      <c r="PU629" s="31"/>
      <c r="PV629" s="31"/>
      <c r="PW629" s="31"/>
      <c r="PX629" s="31"/>
      <c r="PY629" s="31"/>
      <c r="PZ629" s="31"/>
      <c r="QA629" s="31"/>
      <c r="QB629" s="31"/>
      <c r="QC629" s="31"/>
      <c r="QD629" s="31"/>
      <c r="QE629" s="31"/>
      <c r="QF629" s="31"/>
      <c r="QG629" s="31"/>
      <c r="QH629" s="31"/>
      <c r="QI629" s="31"/>
      <c r="QJ629" s="31"/>
      <c r="QK629" s="31"/>
      <c r="QL629" s="31"/>
      <c r="QM629" s="31"/>
      <c r="QN629" s="31"/>
      <c r="QO629" s="31"/>
      <c r="QP629" s="31"/>
      <c r="QQ629" s="31"/>
      <c r="QR629" s="31"/>
      <c r="QS629" s="31"/>
      <c r="QT629" s="31"/>
      <c r="QU629" s="31"/>
      <c r="QV629" s="31"/>
      <c r="QW629" s="31"/>
      <c r="QX629" s="31"/>
      <c r="QY629" s="31"/>
      <c r="QZ629" s="31"/>
      <c r="RA629" s="31"/>
      <c r="RB629" s="31"/>
      <c r="RC629" s="31"/>
      <c r="RD629" s="31"/>
      <c r="RE629" s="31"/>
      <c r="RF629" s="31"/>
      <c r="RG629" s="31"/>
      <c r="RH629" s="31"/>
      <c r="RI629" s="31"/>
      <c r="RJ629" s="31"/>
      <c r="RK629" s="31"/>
      <c r="RL629" s="31"/>
      <c r="RM629" s="31"/>
      <c r="RN629" s="31"/>
      <c r="RO629" s="31"/>
      <c r="RP629" s="31"/>
      <c r="RQ629" s="31"/>
      <c r="RR629" s="31"/>
      <c r="RS629" s="31"/>
      <c r="RT629" s="31"/>
      <c r="RU629" s="31"/>
      <c r="RV629" s="31"/>
      <c r="RW629" s="31"/>
      <c r="RX629" s="31"/>
      <c r="RY629" s="31"/>
      <c r="RZ629" s="31"/>
      <c r="SA629" s="31"/>
      <c r="SB629" s="31"/>
      <c r="SC629" s="31"/>
      <c r="SD629" s="31"/>
      <c r="SE629" s="31"/>
      <c r="SF629" s="31"/>
      <c r="SG629" s="31"/>
      <c r="SH629" s="31"/>
      <c r="SI629" s="31"/>
      <c r="SJ629" s="31"/>
      <c r="SK629" s="31"/>
      <c r="SL629" s="31"/>
      <c r="SM629" s="31"/>
      <c r="SN629" s="31"/>
      <c r="SO629" s="31"/>
      <c r="SP629" s="31"/>
      <c r="SQ629" s="31"/>
      <c r="SR629" s="31"/>
      <c r="SS629" s="31"/>
      <c r="ST629" s="31"/>
      <c r="SU629" s="31"/>
      <c r="SV629" s="31"/>
      <c r="SW629" s="31"/>
      <c r="SX629" s="31"/>
      <c r="SY629" s="31"/>
      <c r="SZ629" s="31"/>
      <c r="TA629" s="31"/>
      <c r="TB629" s="31"/>
      <c r="TC629" s="31"/>
      <c r="TD629" s="31"/>
      <c r="TE629" s="31"/>
      <c r="TF629" s="31"/>
      <c r="TG629" s="31"/>
      <c r="TH629" s="31"/>
      <c r="TI629" s="31"/>
      <c r="TJ629" s="31"/>
      <c r="TK629" s="31"/>
      <c r="TL629" s="31"/>
      <c r="TM629" s="31"/>
      <c r="TN629" s="31"/>
      <c r="TO629" s="31"/>
      <c r="TP629" s="31"/>
      <c r="TQ629" s="31"/>
      <c r="TR629" s="31"/>
      <c r="TS629" s="31"/>
      <c r="TT629" s="31"/>
      <c r="TU629" s="31"/>
      <c r="TV629" s="31"/>
      <c r="TW629" s="31"/>
      <c r="TX629" s="31"/>
      <c r="TY629" s="31"/>
      <c r="TZ629" s="31"/>
      <c r="UA629" s="31"/>
      <c r="UB629" s="31"/>
      <c r="UC629" s="31"/>
      <c r="UD629" s="31"/>
      <c r="UE629" s="31"/>
      <c r="UF629" s="31"/>
      <c r="UG629" s="33"/>
    </row>
    <row r="630" spans="1:553" ht="50.25" customHeight="1">
      <c r="A630" s="356" t="s">
        <v>43</v>
      </c>
      <c r="B630" s="356"/>
      <c r="C630" s="1413" t="s">
        <v>44</v>
      </c>
      <c r="D630" s="1389"/>
      <c r="E630" s="1389"/>
      <c r="F630" s="1390"/>
      <c r="G630" s="356"/>
      <c r="H630" s="359"/>
      <c r="I630" s="359"/>
      <c r="J630" s="357"/>
      <c r="K630" s="364"/>
      <c r="L630" s="645">
        <f>SUM(L631:L664)</f>
        <v>121232279.28399999</v>
      </c>
      <c r="M630" s="356"/>
      <c r="N630" s="356"/>
      <c r="O630" s="356"/>
      <c r="P630" s="356">
        <f>L630</f>
        <v>121232279.28399999</v>
      </c>
      <c r="Q630" s="610"/>
      <c r="R630" s="1447" t="s">
        <v>45</v>
      </c>
      <c r="S630" s="308"/>
      <c r="T630" s="308"/>
      <c r="U630" s="308"/>
      <c r="V630" s="308"/>
      <c r="W630" s="308"/>
      <c r="X630" s="308"/>
      <c r="Y630" s="308"/>
      <c r="Z630" s="604"/>
      <c r="AA630" s="308"/>
      <c r="AB630" s="308"/>
      <c r="AC630" s="454"/>
      <c r="AD630" s="454"/>
      <c r="AE630" s="454"/>
      <c r="AF630" s="454"/>
      <c r="AG630" s="454"/>
      <c r="AH630" s="454"/>
      <c r="AI630" s="454"/>
      <c r="AJ630" s="454"/>
      <c r="AK630" s="455"/>
      <c r="AL630" s="110"/>
      <c r="AM630" s="34"/>
      <c r="AN630" s="34"/>
      <c r="AO630" s="34"/>
      <c r="AP630" s="34"/>
      <c r="AQ630" s="34"/>
      <c r="AR630" s="34"/>
      <c r="AS630" s="35"/>
      <c r="AT630" s="35"/>
      <c r="AU630" s="35"/>
      <c r="AV630" s="35"/>
      <c r="AW630" s="35"/>
      <c r="AX630" s="35"/>
      <c r="AY630" s="35"/>
      <c r="AZ630" s="35"/>
      <c r="BA630" s="35"/>
      <c r="BB630" s="35"/>
      <c r="BC630" s="35"/>
      <c r="BD630" s="35"/>
      <c r="BE630" s="35"/>
      <c r="BF630" s="35"/>
      <c r="BG630" s="35"/>
      <c r="BH630" s="35"/>
      <c r="BI630" s="35"/>
      <c r="BJ630" s="35"/>
      <c r="BK630" s="35"/>
      <c r="BL630" s="35"/>
      <c r="BM630" s="35"/>
      <c r="BN630" s="35"/>
      <c r="BO630" s="35"/>
      <c r="BP630" s="36"/>
      <c r="BQ630" s="36"/>
      <c r="BR630" s="36"/>
      <c r="BS630" s="36"/>
      <c r="BT630" s="36"/>
      <c r="BU630" s="36"/>
      <c r="BV630" s="36"/>
      <c r="BW630" s="36"/>
      <c r="BX630" s="36"/>
      <c r="BY630" s="36"/>
      <c r="BZ630" s="36"/>
      <c r="CA630" s="36"/>
      <c r="CB630" s="36"/>
      <c r="CC630" s="36"/>
      <c r="CD630" s="36"/>
      <c r="CE630" s="36"/>
      <c r="CF630" s="36"/>
      <c r="CG630" s="36"/>
      <c r="CH630" s="36"/>
      <c r="CI630" s="36"/>
      <c r="CJ630" s="36"/>
      <c r="CK630" s="36"/>
      <c r="CL630" s="36"/>
      <c r="CM630" s="36"/>
      <c r="CN630" s="36"/>
      <c r="CO630" s="36"/>
      <c r="CP630" s="36"/>
      <c r="CQ630" s="36"/>
      <c r="CR630" s="36"/>
      <c r="CS630" s="36"/>
      <c r="CT630" s="36"/>
      <c r="CU630" s="36"/>
      <c r="CV630" s="36"/>
      <c r="CW630" s="36"/>
      <c r="CX630" s="36"/>
      <c r="CY630" s="36"/>
      <c r="CZ630" s="36"/>
      <c r="DA630" s="36"/>
      <c r="DB630" s="36"/>
      <c r="DC630" s="36"/>
      <c r="DD630" s="36"/>
      <c r="DE630" s="36"/>
      <c r="DF630" s="36"/>
      <c r="DG630" s="36"/>
      <c r="DH630" s="36"/>
      <c r="DI630" s="36"/>
      <c r="DJ630" s="36"/>
      <c r="DK630" s="36"/>
      <c r="DL630" s="36"/>
      <c r="DM630" s="36"/>
      <c r="DN630" s="36"/>
      <c r="DO630" s="36"/>
      <c r="DP630" s="36"/>
      <c r="DQ630" s="36"/>
      <c r="DR630" s="36"/>
      <c r="DS630" s="36"/>
      <c r="DT630" s="36"/>
      <c r="DU630" s="36"/>
      <c r="DV630" s="36"/>
      <c r="DW630" s="36"/>
      <c r="DX630" s="36"/>
      <c r="DY630" s="36"/>
      <c r="DZ630" s="36"/>
      <c r="EA630" s="36"/>
      <c r="EB630" s="36"/>
      <c r="EC630" s="36"/>
      <c r="ED630" s="36"/>
      <c r="EE630" s="36"/>
      <c r="EF630" s="36"/>
      <c r="EG630" s="36"/>
      <c r="EH630" s="36"/>
      <c r="EI630" s="36"/>
      <c r="EJ630" s="36"/>
      <c r="EK630" s="36"/>
      <c r="EL630" s="36"/>
      <c r="EM630" s="36"/>
      <c r="EN630" s="36"/>
      <c r="EO630" s="36"/>
      <c r="EP630" s="36"/>
      <c r="EQ630" s="36"/>
      <c r="ER630" s="36"/>
      <c r="ES630" s="36"/>
      <c r="ET630" s="36"/>
      <c r="EU630" s="36"/>
      <c r="EV630" s="36"/>
      <c r="EW630" s="36"/>
      <c r="EX630" s="36"/>
      <c r="EY630" s="36"/>
      <c r="EZ630" s="36"/>
      <c r="FA630" s="36"/>
      <c r="FB630" s="36"/>
      <c r="FC630" s="36"/>
      <c r="FD630" s="36"/>
      <c r="FE630" s="36"/>
      <c r="FF630" s="36"/>
      <c r="FG630" s="36"/>
      <c r="FH630" s="36"/>
      <c r="FI630" s="36"/>
      <c r="FJ630" s="36"/>
      <c r="FK630" s="36"/>
      <c r="FL630" s="36"/>
      <c r="FM630" s="36"/>
      <c r="FN630" s="36"/>
      <c r="FO630" s="36"/>
      <c r="FP630" s="36"/>
      <c r="FQ630" s="36"/>
      <c r="FR630" s="36"/>
      <c r="FS630" s="36"/>
      <c r="FT630" s="36"/>
      <c r="FU630" s="36"/>
      <c r="FV630" s="36"/>
      <c r="FW630" s="36"/>
      <c r="FX630" s="36"/>
      <c r="FY630" s="36"/>
      <c r="FZ630" s="36"/>
      <c r="GA630" s="36"/>
      <c r="GB630" s="36"/>
      <c r="GC630" s="36"/>
      <c r="GD630" s="36"/>
      <c r="GE630" s="36"/>
      <c r="GF630" s="36"/>
      <c r="GG630" s="36"/>
      <c r="GH630" s="36"/>
      <c r="GI630" s="36"/>
      <c r="GJ630" s="36"/>
      <c r="GK630" s="36"/>
      <c r="GL630" s="36"/>
      <c r="GM630" s="36"/>
      <c r="GN630" s="36"/>
      <c r="GO630" s="36"/>
      <c r="GP630" s="36"/>
      <c r="GQ630" s="36"/>
      <c r="GR630" s="36"/>
      <c r="GS630" s="36"/>
      <c r="GT630" s="36"/>
      <c r="GU630" s="36"/>
      <c r="GV630" s="36"/>
      <c r="GW630" s="36"/>
      <c r="GX630" s="36"/>
      <c r="GY630" s="36"/>
      <c r="GZ630" s="36"/>
      <c r="HA630" s="36"/>
      <c r="HB630" s="36"/>
      <c r="HC630" s="36"/>
      <c r="HD630" s="36"/>
      <c r="HE630" s="36"/>
      <c r="HF630" s="36"/>
      <c r="HG630" s="36"/>
      <c r="HH630" s="36"/>
      <c r="HI630" s="36"/>
      <c r="HJ630" s="36"/>
      <c r="HK630" s="36"/>
      <c r="HL630" s="36"/>
      <c r="HM630" s="36"/>
      <c r="HN630" s="36"/>
      <c r="HO630" s="36"/>
      <c r="HP630" s="36"/>
      <c r="HQ630" s="36"/>
      <c r="HR630" s="36"/>
      <c r="HS630" s="36"/>
      <c r="HT630" s="36"/>
      <c r="HU630" s="36"/>
      <c r="HV630" s="36"/>
      <c r="HW630" s="36"/>
      <c r="HX630" s="36"/>
      <c r="HY630" s="36"/>
      <c r="HZ630" s="36"/>
      <c r="IA630" s="36"/>
      <c r="IB630" s="36"/>
      <c r="IC630" s="36"/>
      <c r="ID630" s="36"/>
      <c r="IE630" s="36"/>
      <c r="IF630" s="36"/>
      <c r="IG630" s="36"/>
      <c r="IH630" s="36"/>
      <c r="II630" s="36"/>
      <c r="IJ630" s="36"/>
      <c r="IK630" s="36"/>
      <c r="IL630" s="36"/>
      <c r="IM630" s="36"/>
      <c r="IN630" s="36"/>
      <c r="IO630" s="36"/>
      <c r="IP630" s="36"/>
      <c r="IQ630" s="36"/>
      <c r="IR630" s="36"/>
      <c r="IS630" s="36"/>
      <c r="IT630" s="36"/>
      <c r="IU630" s="36"/>
      <c r="IV630" s="36"/>
      <c r="IW630" s="36"/>
      <c r="IX630" s="36"/>
      <c r="IY630" s="36"/>
      <c r="IZ630" s="36"/>
      <c r="JA630" s="36"/>
      <c r="JB630" s="36"/>
      <c r="JC630" s="36"/>
      <c r="JD630" s="36"/>
      <c r="JE630" s="36"/>
      <c r="JF630" s="36"/>
      <c r="JG630" s="36"/>
      <c r="JH630" s="36"/>
      <c r="JI630" s="36"/>
      <c r="JJ630" s="36"/>
      <c r="JK630" s="36"/>
      <c r="JL630" s="36"/>
      <c r="JM630" s="36"/>
      <c r="JN630" s="36"/>
      <c r="JO630" s="36"/>
      <c r="JP630" s="36"/>
      <c r="JQ630" s="36"/>
      <c r="JR630" s="36"/>
      <c r="JS630" s="36"/>
      <c r="JT630" s="36"/>
      <c r="JU630" s="36"/>
      <c r="JV630" s="36"/>
      <c r="JW630" s="36"/>
      <c r="JX630" s="36"/>
      <c r="JY630" s="36"/>
      <c r="JZ630" s="36"/>
      <c r="KA630" s="36"/>
      <c r="KB630" s="36"/>
      <c r="KC630" s="36"/>
      <c r="KD630" s="36"/>
      <c r="KE630" s="36"/>
      <c r="KF630" s="36"/>
      <c r="KG630" s="36"/>
      <c r="KH630" s="36"/>
      <c r="KI630" s="36"/>
      <c r="KJ630" s="36"/>
      <c r="KK630" s="36"/>
      <c r="KL630" s="36"/>
      <c r="KM630" s="36"/>
      <c r="KN630" s="36"/>
      <c r="KO630" s="36"/>
      <c r="KP630" s="36"/>
      <c r="KQ630" s="36"/>
      <c r="KR630" s="36"/>
      <c r="KS630" s="36"/>
      <c r="KT630" s="36"/>
      <c r="KU630" s="36"/>
      <c r="KV630" s="36"/>
      <c r="KW630" s="36"/>
      <c r="KX630" s="36"/>
      <c r="KY630" s="36"/>
      <c r="KZ630" s="36"/>
      <c r="LA630" s="36"/>
      <c r="LB630" s="36"/>
      <c r="LC630" s="36"/>
      <c r="LD630" s="36"/>
      <c r="LE630" s="36"/>
      <c r="LF630" s="36"/>
      <c r="LG630" s="36"/>
      <c r="LH630" s="36"/>
      <c r="LI630" s="36"/>
      <c r="LJ630" s="36"/>
      <c r="LK630" s="36"/>
      <c r="LL630" s="36"/>
      <c r="LM630" s="36"/>
      <c r="LN630" s="36"/>
      <c r="LO630" s="36"/>
      <c r="LP630" s="36"/>
      <c r="LQ630" s="36"/>
      <c r="LR630" s="36"/>
      <c r="LS630" s="36"/>
      <c r="LT630" s="36"/>
      <c r="LU630" s="36"/>
      <c r="LV630" s="36"/>
      <c r="LW630" s="36"/>
      <c r="LX630" s="36"/>
      <c r="LY630" s="36"/>
      <c r="LZ630" s="36"/>
      <c r="MA630" s="36"/>
      <c r="MB630" s="36"/>
      <c r="MC630" s="36"/>
      <c r="MD630" s="36"/>
      <c r="ME630" s="36"/>
      <c r="MF630" s="36"/>
      <c r="MG630" s="36"/>
      <c r="MH630" s="36"/>
      <c r="MI630" s="36"/>
      <c r="MJ630" s="36"/>
      <c r="MK630" s="36"/>
      <c r="ML630" s="36"/>
      <c r="MM630" s="36"/>
      <c r="MN630" s="36"/>
      <c r="MO630" s="36"/>
      <c r="MP630" s="36"/>
      <c r="MQ630" s="36"/>
      <c r="MR630" s="36"/>
      <c r="MS630" s="36"/>
      <c r="MT630" s="36"/>
      <c r="MU630" s="36"/>
      <c r="MV630" s="36"/>
      <c r="MW630" s="36"/>
      <c r="MX630" s="36"/>
      <c r="MY630" s="36"/>
      <c r="MZ630" s="36"/>
      <c r="NA630" s="36"/>
      <c r="NB630" s="36"/>
      <c r="NC630" s="36"/>
      <c r="ND630" s="36"/>
      <c r="NE630" s="36"/>
      <c r="NF630" s="36"/>
      <c r="NG630" s="36"/>
      <c r="NH630" s="36"/>
      <c r="NI630" s="36"/>
      <c r="NJ630" s="36"/>
      <c r="NK630" s="36"/>
      <c r="NL630" s="36"/>
      <c r="NM630" s="36"/>
      <c r="NN630" s="36"/>
      <c r="NO630" s="36"/>
      <c r="NP630" s="36"/>
      <c r="NQ630" s="36"/>
      <c r="NR630" s="36"/>
      <c r="NS630" s="36"/>
      <c r="NT630" s="36"/>
      <c r="NU630" s="36"/>
      <c r="NV630" s="36"/>
      <c r="NW630" s="36"/>
      <c r="NX630" s="36"/>
      <c r="NY630" s="36"/>
      <c r="NZ630" s="36"/>
      <c r="OA630" s="36"/>
      <c r="OB630" s="36"/>
      <c r="OC630" s="36"/>
      <c r="OD630" s="36"/>
      <c r="OE630" s="36"/>
      <c r="OF630" s="36"/>
      <c r="OG630" s="36"/>
      <c r="OH630" s="36"/>
      <c r="OI630" s="36"/>
      <c r="OJ630" s="36"/>
      <c r="OK630" s="36"/>
      <c r="OL630" s="36"/>
      <c r="OM630" s="36"/>
      <c r="ON630" s="36"/>
      <c r="OO630" s="36"/>
      <c r="OP630" s="36"/>
      <c r="OQ630" s="36"/>
      <c r="OR630" s="36"/>
      <c r="OS630" s="36"/>
      <c r="OT630" s="36"/>
      <c r="OU630" s="36"/>
      <c r="OV630" s="36"/>
      <c r="OW630" s="36"/>
      <c r="OX630" s="36"/>
      <c r="OY630" s="36"/>
      <c r="OZ630" s="36"/>
      <c r="PA630" s="36"/>
      <c r="PB630" s="36"/>
      <c r="PC630" s="36"/>
      <c r="PD630" s="36"/>
      <c r="PE630" s="36"/>
      <c r="PF630" s="36"/>
      <c r="PG630" s="36"/>
      <c r="PH630" s="36"/>
      <c r="PI630" s="36"/>
      <c r="PJ630" s="36"/>
      <c r="PK630" s="36"/>
      <c r="PL630" s="36"/>
      <c r="PM630" s="36"/>
      <c r="PN630" s="36"/>
      <c r="PO630" s="36"/>
      <c r="PP630" s="36"/>
      <c r="PQ630" s="36"/>
      <c r="PR630" s="36"/>
      <c r="PS630" s="36"/>
      <c r="PT630" s="36"/>
      <c r="PU630" s="36"/>
      <c r="PV630" s="36"/>
      <c r="PW630" s="36"/>
      <c r="PX630" s="36"/>
      <c r="PY630" s="36"/>
      <c r="PZ630" s="36"/>
      <c r="QA630" s="36"/>
      <c r="QB630" s="36"/>
      <c r="QC630" s="36"/>
      <c r="QD630" s="36"/>
      <c r="QE630" s="36"/>
      <c r="QF630" s="36"/>
      <c r="QG630" s="36"/>
      <c r="QH630" s="36"/>
      <c r="QI630" s="36"/>
      <c r="QJ630" s="36"/>
      <c r="QK630" s="36"/>
      <c r="QL630" s="36"/>
      <c r="QM630" s="36"/>
      <c r="QN630" s="36"/>
      <c r="QO630" s="36"/>
      <c r="QP630" s="36"/>
      <c r="QQ630" s="36"/>
      <c r="QR630" s="36"/>
      <c r="QS630" s="36"/>
      <c r="QT630" s="36"/>
      <c r="QU630" s="36"/>
      <c r="QV630" s="36"/>
      <c r="QW630" s="36"/>
      <c r="QX630" s="36"/>
      <c r="QY630" s="36"/>
      <c r="QZ630" s="36"/>
      <c r="RA630" s="36"/>
      <c r="RB630" s="36"/>
      <c r="RC630" s="36"/>
      <c r="RD630" s="36"/>
      <c r="RE630" s="36"/>
      <c r="RF630" s="36"/>
      <c r="RG630" s="36"/>
      <c r="RH630" s="36"/>
      <c r="RI630" s="36"/>
      <c r="RJ630" s="36"/>
      <c r="RK630" s="36"/>
      <c r="RL630" s="36"/>
      <c r="RM630" s="36"/>
      <c r="RN630" s="36"/>
      <c r="RO630" s="36"/>
      <c r="RP630" s="36"/>
      <c r="RQ630" s="36"/>
      <c r="RR630" s="36"/>
      <c r="RS630" s="36"/>
      <c r="RT630" s="36"/>
      <c r="RU630" s="36"/>
      <c r="RV630" s="36"/>
      <c r="RW630" s="36"/>
      <c r="RX630" s="36"/>
      <c r="RY630" s="36"/>
      <c r="RZ630" s="36"/>
      <c r="SA630" s="36"/>
      <c r="SB630" s="36"/>
      <c r="SC630" s="36"/>
      <c r="SD630" s="36"/>
      <c r="SE630" s="36"/>
      <c r="SF630" s="36"/>
      <c r="SG630" s="36"/>
      <c r="SH630" s="36"/>
      <c r="SI630" s="36"/>
      <c r="SJ630" s="36"/>
      <c r="SK630" s="36"/>
      <c r="SL630" s="36"/>
      <c r="SM630" s="36"/>
      <c r="SN630" s="36"/>
      <c r="SO630" s="36"/>
      <c r="SP630" s="36"/>
      <c r="SQ630" s="36"/>
      <c r="SR630" s="36"/>
      <c r="SS630" s="36"/>
      <c r="ST630" s="36"/>
      <c r="SU630" s="36"/>
      <c r="SV630" s="36"/>
      <c r="SW630" s="36"/>
      <c r="SX630" s="36"/>
      <c r="SY630" s="36"/>
      <c r="SZ630" s="36"/>
      <c r="TA630" s="36"/>
      <c r="TB630" s="36"/>
      <c r="TC630" s="36"/>
      <c r="TD630" s="36"/>
      <c r="TE630" s="36"/>
      <c r="TF630" s="36"/>
      <c r="TG630" s="36"/>
      <c r="TH630" s="36"/>
      <c r="TI630" s="36"/>
      <c r="TJ630" s="36"/>
      <c r="TK630" s="36"/>
      <c r="TL630" s="36"/>
      <c r="TM630" s="36"/>
      <c r="TN630" s="36"/>
      <c r="TO630" s="36"/>
      <c r="TP630" s="36"/>
      <c r="TQ630" s="36"/>
      <c r="TR630" s="36"/>
      <c r="TS630" s="36"/>
      <c r="TT630" s="36"/>
      <c r="TU630" s="36"/>
      <c r="TV630" s="36"/>
      <c r="TW630" s="36"/>
      <c r="TX630" s="36"/>
      <c r="TY630" s="36"/>
      <c r="TZ630" s="36"/>
      <c r="UA630" s="36"/>
      <c r="UB630" s="36"/>
      <c r="UC630" s="36"/>
      <c r="UD630" s="36"/>
      <c r="UE630" s="36"/>
      <c r="UF630" s="36"/>
      <c r="UG630" s="37"/>
    </row>
    <row r="631" spans="1:553" s="1262" customFormat="1" ht="50.25" customHeight="1">
      <c r="A631" s="402"/>
      <c r="B631" s="402"/>
      <c r="C631" s="1524" t="s">
        <v>445</v>
      </c>
      <c r="D631" s="1466"/>
      <c r="E631" s="1466"/>
      <c r="F631" s="1466"/>
      <c r="G631" s="1226" t="s">
        <v>196</v>
      </c>
      <c r="H631" s="605"/>
      <c r="I631" s="499">
        <f>(55.03*100/400)*(32-(5-3))*10</f>
        <v>4127.25</v>
      </c>
      <c r="J631" s="985">
        <v>7300</v>
      </c>
      <c r="K631" s="1021">
        <v>0.7</v>
      </c>
      <c r="L631" s="1281">
        <f>I631*J631*K631</f>
        <v>21090247.5</v>
      </c>
      <c r="M631" s="402"/>
      <c r="N631" s="402"/>
      <c r="O631" s="402"/>
      <c r="P631" s="402"/>
      <c r="Q631" s="812"/>
      <c r="R631" s="1452"/>
      <c r="S631" s="308"/>
      <c r="T631" s="308"/>
      <c r="U631" s="308"/>
      <c r="V631" s="308"/>
      <c r="W631" s="308"/>
      <c r="X631" s="308"/>
      <c r="Y631" s="308"/>
      <c r="Z631" s="604"/>
      <c r="AA631" s="308"/>
      <c r="AB631" s="308"/>
      <c r="AC631" s="449"/>
      <c r="AD631" s="449"/>
      <c r="AE631" s="449"/>
      <c r="AF631" s="449"/>
      <c r="AG631" s="449"/>
      <c r="AH631" s="449"/>
      <c r="AI631" s="449"/>
      <c r="AJ631" s="449"/>
      <c r="AK631" s="452"/>
      <c r="AL631" s="1269"/>
      <c r="AM631" s="1270"/>
      <c r="AN631" s="1270"/>
      <c r="AO631" s="1270"/>
      <c r="AP631" s="1270"/>
      <c r="AQ631" s="1270"/>
      <c r="AR631" s="1270"/>
      <c r="AS631" s="1260"/>
      <c r="AT631" s="1260"/>
      <c r="AU631" s="1260"/>
      <c r="AV631" s="1260"/>
      <c r="AW631" s="1260"/>
      <c r="AX631" s="1260"/>
      <c r="AY631" s="1260"/>
      <c r="AZ631" s="1260"/>
      <c r="BA631" s="1260"/>
      <c r="BB631" s="1260"/>
      <c r="BC631" s="1260"/>
      <c r="BD631" s="1260"/>
      <c r="BE631" s="1260"/>
      <c r="BF631" s="1260"/>
      <c r="BG631" s="1260"/>
      <c r="BH631" s="1260"/>
      <c r="BI631" s="1260"/>
      <c r="BJ631" s="1260"/>
      <c r="BK631" s="1260"/>
      <c r="BL631" s="1260"/>
      <c r="BM631" s="1260"/>
      <c r="BN631" s="1260"/>
      <c r="BO631" s="1260"/>
      <c r="BP631" s="1271"/>
      <c r="BQ631" s="1271"/>
      <c r="BR631" s="1271"/>
      <c r="BS631" s="1271"/>
      <c r="BT631" s="1271"/>
      <c r="BU631" s="1271"/>
      <c r="BV631" s="1271"/>
      <c r="BW631" s="1271"/>
      <c r="BX631" s="1271"/>
      <c r="BY631" s="1271"/>
      <c r="BZ631" s="1271"/>
      <c r="CA631" s="1271"/>
      <c r="CB631" s="1271"/>
      <c r="CC631" s="1271"/>
      <c r="CD631" s="1271"/>
      <c r="CE631" s="1271"/>
      <c r="CF631" s="1271"/>
      <c r="CG631" s="1271"/>
      <c r="CH631" s="1271"/>
      <c r="CI631" s="1271"/>
      <c r="CJ631" s="1271"/>
      <c r="CK631" s="1271"/>
      <c r="CL631" s="1271"/>
      <c r="CM631" s="1271"/>
      <c r="CN631" s="1271"/>
      <c r="CO631" s="1271"/>
      <c r="CP631" s="1271"/>
      <c r="CQ631" s="1271"/>
      <c r="CR631" s="1271"/>
      <c r="CS631" s="1271"/>
      <c r="CT631" s="1271"/>
      <c r="CU631" s="1271"/>
      <c r="CV631" s="1271"/>
      <c r="CW631" s="1271"/>
      <c r="CX631" s="1271"/>
      <c r="CY631" s="1271"/>
      <c r="CZ631" s="1271"/>
      <c r="DA631" s="1271"/>
      <c r="DB631" s="1271"/>
      <c r="DC631" s="1271"/>
      <c r="DD631" s="1271"/>
      <c r="DE631" s="1271"/>
      <c r="DF631" s="1271"/>
      <c r="DG631" s="1271"/>
      <c r="DH631" s="1271"/>
      <c r="DI631" s="1271"/>
      <c r="DJ631" s="1271"/>
      <c r="DK631" s="1271"/>
      <c r="DL631" s="1271"/>
      <c r="DM631" s="1271"/>
      <c r="DN631" s="1271"/>
      <c r="DO631" s="1271"/>
      <c r="DP631" s="1271"/>
      <c r="DQ631" s="1271"/>
      <c r="DR631" s="1271"/>
      <c r="DS631" s="1271"/>
      <c r="DT631" s="1271"/>
      <c r="DU631" s="1271"/>
      <c r="DV631" s="1271"/>
      <c r="DW631" s="1271"/>
      <c r="DX631" s="1271"/>
      <c r="DY631" s="1271"/>
      <c r="DZ631" s="1271"/>
      <c r="EA631" s="1271"/>
      <c r="EB631" s="1271"/>
      <c r="EC631" s="1271"/>
      <c r="ED631" s="1271"/>
      <c r="EE631" s="1271"/>
      <c r="EF631" s="1271"/>
      <c r="EG631" s="1271"/>
      <c r="EH631" s="1271"/>
      <c r="EI631" s="1271"/>
      <c r="EJ631" s="1271"/>
      <c r="EK631" s="1271"/>
      <c r="EL631" s="1271"/>
      <c r="EM631" s="1271"/>
      <c r="EN631" s="1271"/>
      <c r="EO631" s="1271"/>
      <c r="EP631" s="1271"/>
      <c r="EQ631" s="1271"/>
      <c r="ER631" s="1271"/>
      <c r="ES631" s="1271"/>
      <c r="ET631" s="1271"/>
      <c r="EU631" s="1271"/>
      <c r="EV631" s="1271"/>
      <c r="EW631" s="1271"/>
      <c r="EX631" s="1271"/>
      <c r="EY631" s="1271"/>
      <c r="EZ631" s="1271"/>
      <c r="FA631" s="1271"/>
      <c r="FB631" s="1271"/>
      <c r="FC631" s="1271"/>
      <c r="FD631" s="1271"/>
      <c r="FE631" s="1271"/>
      <c r="FF631" s="1271"/>
      <c r="FG631" s="1271"/>
      <c r="FH631" s="1271"/>
      <c r="FI631" s="1271"/>
      <c r="FJ631" s="1271"/>
      <c r="FK631" s="1271"/>
      <c r="FL631" s="1271"/>
      <c r="FM631" s="1271"/>
      <c r="FN631" s="1271"/>
      <c r="FO631" s="1271"/>
      <c r="FP631" s="1271"/>
      <c r="FQ631" s="1271"/>
      <c r="FR631" s="1271"/>
      <c r="FS631" s="1271"/>
      <c r="FT631" s="1271"/>
      <c r="FU631" s="1271"/>
      <c r="FV631" s="1271"/>
      <c r="FW631" s="1271"/>
      <c r="FX631" s="1271"/>
      <c r="FY631" s="1271"/>
      <c r="FZ631" s="1271"/>
      <c r="GA631" s="1271"/>
      <c r="GB631" s="1271"/>
      <c r="GC631" s="1271"/>
      <c r="GD631" s="1271"/>
      <c r="GE631" s="1271"/>
      <c r="GF631" s="1271"/>
      <c r="GG631" s="1271"/>
      <c r="GH631" s="1271"/>
      <c r="GI631" s="1271"/>
      <c r="GJ631" s="1271"/>
      <c r="GK631" s="1271"/>
      <c r="GL631" s="1271"/>
      <c r="GM631" s="1271"/>
      <c r="GN631" s="1271"/>
      <c r="GO631" s="1271"/>
      <c r="GP631" s="1271"/>
      <c r="GQ631" s="1271"/>
      <c r="GR631" s="1271"/>
      <c r="GS631" s="1271"/>
      <c r="GT631" s="1271"/>
      <c r="GU631" s="1271"/>
      <c r="GV631" s="1271"/>
      <c r="GW631" s="1271"/>
      <c r="GX631" s="1271"/>
      <c r="GY631" s="1271"/>
      <c r="GZ631" s="1271"/>
      <c r="HA631" s="1271"/>
      <c r="HB631" s="1271"/>
      <c r="HC631" s="1271"/>
      <c r="HD631" s="1271"/>
      <c r="HE631" s="1271"/>
      <c r="HF631" s="1271"/>
      <c r="HG631" s="1271"/>
      <c r="HH631" s="1271"/>
      <c r="HI631" s="1271"/>
      <c r="HJ631" s="1271"/>
      <c r="HK631" s="1271"/>
      <c r="HL631" s="1271"/>
      <c r="HM631" s="1271"/>
      <c r="HN631" s="1271"/>
      <c r="HO631" s="1271"/>
      <c r="HP631" s="1271"/>
      <c r="HQ631" s="1271"/>
      <c r="HR631" s="1271"/>
      <c r="HS631" s="1271"/>
      <c r="HT631" s="1271"/>
      <c r="HU631" s="1271"/>
      <c r="HV631" s="1271"/>
      <c r="HW631" s="1271"/>
      <c r="HX631" s="1271"/>
      <c r="HY631" s="1271"/>
      <c r="HZ631" s="1271"/>
      <c r="IA631" s="1271"/>
      <c r="IB631" s="1271"/>
      <c r="IC631" s="1271"/>
      <c r="ID631" s="1271"/>
      <c r="IE631" s="1271"/>
      <c r="IF631" s="1271"/>
      <c r="IG631" s="1271"/>
      <c r="IH631" s="1271"/>
      <c r="II631" s="1271"/>
      <c r="IJ631" s="1271"/>
      <c r="IK631" s="1271"/>
      <c r="IL631" s="1271"/>
      <c r="IM631" s="1271"/>
      <c r="IN631" s="1271"/>
      <c r="IO631" s="1271"/>
      <c r="IP631" s="1271"/>
      <c r="IQ631" s="1271"/>
      <c r="IR631" s="1271"/>
      <c r="IS631" s="1271"/>
      <c r="IT631" s="1271"/>
      <c r="IU631" s="1271"/>
      <c r="IV631" s="1271"/>
      <c r="IW631" s="1271"/>
      <c r="IX631" s="1271"/>
      <c r="IY631" s="1271"/>
      <c r="IZ631" s="1271"/>
      <c r="JA631" s="1271"/>
      <c r="JB631" s="1271"/>
      <c r="JC631" s="1271"/>
      <c r="JD631" s="1271"/>
      <c r="JE631" s="1271"/>
      <c r="JF631" s="1271"/>
      <c r="JG631" s="1271"/>
      <c r="JH631" s="1271"/>
      <c r="JI631" s="1271"/>
      <c r="JJ631" s="1271"/>
      <c r="JK631" s="1271"/>
      <c r="JL631" s="1271"/>
      <c r="JM631" s="1271"/>
      <c r="JN631" s="1271"/>
      <c r="JO631" s="1271"/>
      <c r="JP631" s="1271"/>
      <c r="JQ631" s="1271"/>
      <c r="JR631" s="1271"/>
      <c r="JS631" s="1271"/>
      <c r="JT631" s="1271"/>
      <c r="JU631" s="1271"/>
      <c r="JV631" s="1271"/>
      <c r="JW631" s="1271"/>
      <c r="JX631" s="1271"/>
      <c r="JY631" s="1271"/>
      <c r="JZ631" s="1271"/>
      <c r="KA631" s="1271"/>
      <c r="KB631" s="1271"/>
      <c r="KC631" s="1271"/>
      <c r="KD631" s="1271"/>
      <c r="KE631" s="1271"/>
      <c r="KF631" s="1271"/>
      <c r="KG631" s="1271"/>
      <c r="KH631" s="1271"/>
      <c r="KI631" s="1271"/>
      <c r="KJ631" s="1271"/>
      <c r="KK631" s="1271"/>
      <c r="KL631" s="1271"/>
      <c r="KM631" s="1271"/>
      <c r="KN631" s="1271"/>
      <c r="KO631" s="1271"/>
      <c r="KP631" s="1271"/>
      <c r="KQ631" s="1271"/>
      <c r="KR631" s="1271"/>
      <c r="KS631" s="1271"/>
      <c r="KT631" s="1271"/>
      <c r="KU631" s="1271"/>
      <c r="KV631" s="1271"/>
      <c r="KW631" s="1271"/>
      <c r="KX631" s="1271"/>
      <c r="KY631" s="1271"/>
      <c r="KZ631" s="1271"/>
      <c r="LA631" s="1271"/>
      <c r="LB631" s="1271"/>
      <c r="LC631" s="1271"/>
      <c r="LD631" s="1271"/>
      <c r="LE631" s="1271"/>
      <c r="LF631" s="1271"/>
      <c r="LG631" s="1271"/>
      <c r="LH631" s="1271"/>
      <c r="LI631" s="1271"/>
      <c r="LJ631" s="1271"/>
      <c r="LK631" s="1271"/>
      <c r="LL631" s="1271"/>
      <c r="LM631" s="1271"/>
      <c r="LN631" s="1271"/>
      <c r="LO631" s="1271"/>
      <c r="LP631" s="1271"/>
      <c r="LQ631" s="1271"/>
      <c r="LR631" s="1271"/>
      <c r="LS631" s="1271"/>
      <c r="LT631" s="1271"/>
      <c r="LU631" s="1271"/>
      <c r="LV631" s="1271"/>
      <c r="LW631" s="1271"/>
      <c r="LX631" s="1271"/>
      <c r="LY631" s="1271"/>
      <c r="LZ631" s="1271"/>
      <c r="MA631" s="1271"/>
      <c r="MB631" s="1271"/>
      <c r="MC631" s="1271"/>
      <c r="MD631" s="1271"/>
      <c r="ME631" s="1271"/>
      <c r="MF631" s="1271"/>
      <c r="MG631" s="1271"/>
      <c r="MH631" s="1271"/>
      <c r="MI631" s="1271"/>
      <c r="MJ631" s="1271"/>
      <c r="MK631" s="1271"/>
      <c r="ML631" s="1271"/>
      <c r="MM631" s="1271"/>
      <c r="MN631" s="1271"/>
      <c r="MO631" s="1271"/>
      <c r="MP631" s="1271"/>
      <c r="MQ631" s="1271"/>
      <c r="MR631" s="1271"/>
      <c r="MS631" s="1271"/>
      <c r="MT631" s="1271"/>
      <c r="MU631" s="1271"/>
      <c r="MV631" s="1271"/>
      <c r="MW631" s="1271"/>
      <c r="MX631" s="1271"/>
      <c r="MY631" s="1271"/>
      <c r="MZ631" s="1271"/>
      <c r="NA631" s="1271"/>
      <c r="NB631" s="1271"/>
      <c r="NC631" s="1271"/>
      <c r="ND631" s="1271"/>
      <c r="NE631" s="1271"/>
      <c r="NF631" s="1271"/>
      <c r="NG631" s="1271"/>
      <c r="NH631" s="1271"/>
      <c r="NI631" s="1271"/>
      <c r="NJ631" s="1271"/>
      <c r="NK631" s="1271"/>
      <c r="NL631" s="1271"/>
      <c r="NM631" s="1271"/>
      <c r="NN631" s="1271"/>
      <c r="NO631" s="1271"/>
      <c r="NP631" s="1271"/>
      <c r="NQ631" s="1271"/>
      <c r="NR631" s="1271"/>
      <c r="NS631" s="1271"/>
      <c r="NT631" s="1271"/>
      <c r="NU631" s="1271"/>
      <c r="NV631" s="1271"/>
      <c r="NW631" s="1271"/>
      <c r="NX631" s="1271"/>
      <c r="NY631" s="1271"/>
      <c r="NZ631" s="1271"/>
      <c r="OA631" s="1271"/>
      <c r="OB631" s="1271"/>
      <c r="OC631" s="1271"/>
      <c r="OD631" s="1271"/>
      <c r="OE631" s="1271"/>
      <c r="OF631" s="1271"/>
      <c r="OG631" s="1271"/>
      <c r="OH631" s="1271"/>
      <c r="OI631" s="1271"/>
      <c r="OJ631" s="1271"/>
      <c r="OK631" s="1271"/>
      <c r="OL631" s="1271"/>
      <c r="OM631" s="1271"/>
      <c r="ON631" s="1271"/>
      <c r="OO631" s="1271"/>
      <c r="OP631" s="1271"/>
      <c r="OQ631" s="1271"/>
      <c r="OR631" s="1271"/>
      <c r="OS631" s="1271"/>
      <c r="OT631" s="1271"/>
      <c r="OU631" s="1271"/>
      <c r="OV631" s="1271"/>
      <c r="OW631" s="1271"/>
      <c r="OX631" s="1271"/>
      <c r="OY631" s="1271"/>
      <c r="OZ631" s="1271"/>
      <c r="PA631" s="1271"/>
      <c r="PB631" s="1271"/>
      <c r="PC631" s="1271"/>
      <c r="PD631" s="1271"/>
      <c r="PE631" s="1271"/>
      <c r="PF631" s="1271"/>
      <c r="PG631" s="1271"/>
      <c r="PH631" s="1271"/>
      <c r="PI631" s="1271"/>
      <c r="PJ631" s="1271"/>
      <c r="PK631" s="1271"/>
      <c r="PL631" s="1271"/>
      <c r="PM631" s="1271"/>
      <c r="PN631" s="1271"/>
      <c r="PO631" s="1271"/>
      <c r="PP631" s="1271"/>
      <c r="PQ631" s="1271"/>
      <c r="PR631" s="1271"/>
      <c r="PS631" s="1271"/>
      <c r="PT631" s="1271"/>
      <c r="PU631" s="1271"/>
      <c r="PV631" s="1271"/>
      <c r="PW631" s="1271"/>
      <c r="PX631" s="1271"/>
      <c r="PY631" s="1271"/>
      <c r="PZ631" s="1271"/>
      <c r="QA631" s="1271"/>
      <c r="QB631" s="1271"/>
      <c r="QC631" s="1271"/>
      <c r="QD631" s="1271"/>
      <c r="QE631" s="1271"/>
      <c r="QF631" s="1271"/>
      <c r="QG631" s="1271"/>
      <c r="QH631" s="1271"/>
      <c r="QI631" s="1271"/>
      <c r="QJ631" s="1271"/>
      <c r="QK631" s="1271"/>
      <c r="QL631" s="1271"/>
      <c r="QM631" s="1271"/>
      <c r="QN631" s="1271"/>
      <c r="QO631" s="1271"/>
      <c r="QP631" s="1271"/>
      <c r="QQ631" s="1271"/>
      <c r="QR631" s="1271"/>
      <c r="QS631" s="1271"/>
      <c r="QT631" s="1271"/>
      <c r="QU631" s="1271"/>
      <c r="QV631" s="1271"/>
      <c r="QW631" s="1271"/>
      <c r="QX631" s="1271"/>
      <c r="QY631" s="1271"/>
      <c r="QZ631" s="1271"/>
      <c r="RA631" s="1271"/>
      <c r="RB631" s="1271"/>
      <c r="RC631" s="1271"/>
      <c r="RD631" s="1271"/>
      <c r="RE631" s="1271"/>
      <c r="RF631" s="1271"/>
      <c r="RG631" s="1271"/>
      <c r="RH631" s="1271"/>
      <c r="RI631" s="1271"/>
      <c r="RJ631" s="1271"/>
      <c r="RK631" s="1271"/>
      <c r="RL631" s="1271"/>
      <c r="RM631" s="1271"/>
      <c r="RN631" s="1271"/>
      <c r="RO631" s="1271"/>
      <c r="RP631" s="1271"/>
      <c r="RQ631" s="1271"/>
      <c r="RR631" s="1271"/>
      <c r="RS631" s="1271"/>
      <c r="RT631" s="1271"/>
      <c r="RU631" s="1271"/>
      <c r="RV631" s="1271"/>
      <c r="RW631" s="1271"/>
      <c r="RX631" s="1271"/>
      <c r="RY631" s="1271"/>
      <c r="RZ631" s="1271"/>
      <c r="SA631" s="1271"/>
      <c r="SB631" s="1271"/>
      <c r="SC631" s="1271"/>
      <c r="SD631" s="1271"/>
      <c r="SE631" s="1271"/>
      <c r="SF631" s="1271"/>
      <c r="SG631" s="1271"/>
      <c r="SH631" s="1271"/>
      <c r="SI631" s="1271"/>
      <c r="SJ631" s="1271"/>
      <c r="SK631" s="1271"/>
      <c r="SL631" s="1271"/>
      <c r="SM631" s="1271"/>
      <c r="SN631" s="1271"/>
      <c r="SO631" s="1271"/>
      <c r="SP631" s="1271"/>
      <c r="SQ631" s="1271"/>
      <c r="SR631" s="1271"/>
      <c r="SS631" s="1271"/>
      <c r="ST631" s="1271"/>
      <c r="SU631" s="1271"/>
      <c r="SV631" s="1271"/>
      <c r="SW631" s="1271"/>
      <c r="SX631" s="1271"/>
      <c r="SY631" s="1271"/>
      <c r="SZ631" s="1271"/>
      <c r="TA631" s="1271"/>
      <c r="TB631" s="1271"/>
      <c r="TC631" s="1271"/>
      <c r="TD631" s="1271"/>
      <c r="TE631" s="1271"/>
      <c r="TF631" s="1271"/>
      <c r="TG631" s="1271"/>
      <c r="TH631" s="1271"/>
      <c r="TI631" s="1271"/>
      <c r="TJ631" s="1271"/>
      <c r="TK631" s="1271"/>
      <c r="TL631" s="1271"/>
      <c r="TM631" s="1271"/>
      <c r="TN631" s="1271"/>
      <c r="TO631" s="1271"/>
      <c r="TP631" s="1271"/>
      <c r="TQ631" s="1271"/>
      <c r="TR631" s="1271"/>
      <c r="TS631" s="1271"/>
      <c r="TT631" s="1271"/>
      <c r="TU631" s="1271"/>
      <c r="TV631" s="1271"/>
      <c r="TW631" s="1271"/>
      <c r="TX631" s="1271"/>
      <c r="TY631" s="1271"/>
      <c r="TZ631" s="1271"/>
      <c r="UA631" s="1271"/>
      <c r="UB631" s="1271"/>
      <c r="UC631" s="1271"/>
      <c r="UD631" s="1271"/>
      <c r="UE631" s="1271"/>
      <c r="UF631" s="1271"/>
      <c r="UG631" s="1272"/>
    </row>
    <row r="632" spans="1:553" s="1262" customFormat="1" ht="50.25" customHeight="1">
      <c r="A632" s="406"/>
      <c r="B632" s="406"/>
      <c r="C632" s="1525" t="s">
        <v>446</v>
      </c>
      <c r="D632" s="1526"/>
      <c r="E632" s="1526"/>
      <c r="F632" s="1527"/>
      <c r="G632" s="1226" t="s">
        <v>196</v>
      </c>
      <c r="H632" s="611"/>
      <c r="I632" s="519">
        <f>(55.03*100/400)*(32-(4-3))*3</f>
        <v>1279.4475</v>
      </c>
      <c r="J632" s="521">
        <v>7300</v>
      </c>
      <c r="K632" s="719">
        <v>0.7</v>
      </c>
      <c r="L632" s="520">
        <f>I632*J632*K632</f>
        <v>6537976.7249999996</v>
      </c>
      <c r="M632" s="406"/>
      <c r="N632" s="406"/>
      <c r="O632" s="406"/>
      <c r="P632" s="406"/>
      <c r="Q632" s="812"/>
      <c r="R632" s="1452"/>
      <c r="S632" s="308"/>
      <c r="T632" s="308"/>
      <c r="U632" s="308"/>
      <c r="V632" s="308"/>
      <c r="W632" s="308"/>
      <c r="X632" s="308"/>
      <c r="Y632" s="308"/>
      <c r="Z632" s="604"/>
      <c r="AA632" s="308"/>
      <c r="AB632" s="308"/>
      <c r="AC632" s="449"/>
      <c r="AD632" s="449"/>
      <c r="AE632" s="449"/>
      <c r="AF632" s="449"/>
      <c r="AG632" s="449"/>
      <c r="AH632" s="449"/>
      <c r="AI632" s="449"/>
      <c r="AJ632" s="449"/>
      <c r="AK632" s="452"/>
      <c r="AL632" s="1269"/>
      <c r="AM632" s="1270"/>
      <c r="AN632" s="1270"/>
      <c r="AO632" s="1270"/>
      <c r="AP632" s="1270"/>
      <c r="AQ632" s="1270"/>
      <c r="AR632" s="1270"/>
      <c r="AS632" s="1260"/>
      <c r="AT632" s="1260"/>
      <c r="AU632" s="1260"/>
      <c r="AV632" s="1260"/>
      <c r="AW632" s="1260"/>
      <c r="AX632" s="1260"/>
      <c r="AY632" s="1260"/>
      <c r="AZ632" s="1260"/>
      <c r="BA632" s="1260"/>
      <c r="BB632" s="1260"/>
      <c r="BC632" s="1260"/>
      <c r="BD632" s="1260"/>
      <c r="BE632" s="1260"/>
      <c r="BF632" s="1260"/>
      <c r="BG632" s="1260"/>
      <c r="BH632" s="1260"/>
      <c r="BI632" s="1260"/>
      <c r="BJ632" s="1260"/>
      <c r="BK632" s="1260"/>
      <c r="BL632" s="1260"/>
      <c r="BM632" s="1260"/>
      <c r="BN632" s="1260"/>
      <c r="BO632" s="1260"/>
      <c r="BP632" s="1271"/>
      <c r="BQ632" s="1271"/>
      <c r="BR632" s="1271"/>
      <c r="BS632" s="1271"/>
      <c r="BT632" s="1271"/>
      <c r="BU632" s="1271"/>
      <c r="BV632" s="1271"/>
      <c r="BW632" s="1271"/>
      <c r="BX632" s="1271"/>
      <c r="BY632" s="1271"/>
      <c r="BZ632" s="1271"/>
      <c r="CA632" s="1271"/>
      <c r="CB632" s="1271"/>
      <c r="CC632" s="1271"/>
      <c r="CD632" s="1271"/>
      <c r="CE632" s="1271"/>
      <c r="CF632" s="1271"/>
      <c r="CG632" s="1271"/>
      <c r="CH632" s="1271"/>
      <c r="CI632" s="1271"/>
      <c r="CJ632" s="1271"/>
      <c r="CK632" s="1271"/>
      <c r="CL632" s="1271"/>
      <c r="CM632" s="1271"/>
      <c r="CN632" s="1271"/>
      <c r="CO632" s="1271"/>
      <c r="CP632" s="1271"/>
      <c r="CQ632" s="1271"/>
      <c r="CR632" s="1271"/>
      <c r="CS632" s="1271"/>
      <c r="CT632" s="1271"/>
      <c r="CU632" s="1271"/>
      <c r="CV632" s="1271"/>
      <c r="CW632" s="1271"/>
      <c r="CX632" s="1271"/>
      <c r="CY632" s="1271"/>
      <c r="CZ632" s="1271"/>
      <c r="DA632" s="1271"/>
      <c r="DB632" s="1271"/>
      <c r="DC632" s="1271"/>
      <c r="DD632" s="1271"/>
      <c r="DE632" s="1271"/>
      <c r="DF632" s="1271"/>
      <c r="DG632" s="1271"/>
      <c r="DH632" s="1271"/>
      <c r="DI632" s="1271"/>
      <c r="DJ632" s="1271"/>
      <c r="DK632" s="1271"/>
      <c r="DL632" s="1271"/>
      <c r="DM632" s="1271"/>
      <c r="DN632" s="1271"/>
      <c r="DO632" s="1271"/>
      <c r="DP632" s="1271"/>
      <c r="DQ632" s="1271"/>
      <c r="DR632" s="1271"/>
      <c r="DS632" s="1271"/>
      <c r="DT632" s="1271"/>
      <c r="DU632" s="1271"/>
      <c r="DV632" s="1271"/>
      <c r="DW632" s="1271"/>
      <c r="DX632" s="1271"/>
      <c r="DY632" s="1271"/>
      <c r="DZ632" s="1271"/>
      <c r="EA632" s="1271"/>
      <c r="EB632" s="1271"/>
      <c r="EC632" s="1271"/>
      <c r="ED632" s="1271"/>
      <c r="EE632" s="1271"/>
      <c r="EF632" s="1271"/>
      <c r="EG632" s="1271"/>
      <c r="EH632" s="1271"/>
      <c r="EI632" s="1271"/>
      <c r="EJ632" s="1271"/>
      <c r="EK632" s="1271"/>
      <c r="EL632" s="1271"/>
      <c r="EM632" s="1271"/>
      <c r="EN632" s="1271"/>
      <c r="EO632" s="1271"/>
      <c r="EP632" s="1271"/>
      <c r="EQ632" s="1271"/>
      <c r="ER632" s="1271"/>
      <c r="ES632" s="1271"/>
      <c r="ET632" s="1271"/>
      <c r="EU632" s="1271"/>
      <c r="EV632" s="1271"/>
      <c r="EW632" s="1271"/>
      <c r="EX632" s="1271"/>
      <c r="EY632" s="1271"/>
      <c r="EZ632" s="1271"/>
      <c r="FA632" s="1271"/>
      <c r="FB632" s="1271"/>
      <c r="FC632" s="1271"/>
      <c r="FD632" s="1271"/>
      <c r="FE632" s="1271"/>
      <c r="FF632" s="1271"/>
      <c r="FG632" s="1271"/>
      <c r="FH632" s="1271"/>
      <c r="FI632" s="1271"/>
      <c r="FJ632" s="1271"/>
      <c r="FK632" s="1271"/>
      <c r="FL632" s="1271"/>
      <c r="FM632" s="1271"/>
      <c r="FN632" s="1271"/>
      <c r="FO632" s="1271"/>
      <c r="FP632" s="1271"/>
      <c r="FQ632" s="1271"/>
      <c r="FR632" s="1271"/>
      <c r="FS632" s="1271"/>
      <c r="FT632" s="1271"/>
      <c r="FU632" s="1271"/>
      <c r="FV632" s="1271"/>
      <c r="FW632" s="1271"/>
      <c r="FX632" s="1271"/>
      <c r="FY632" s="1271"/>
      <c r="FZ632" s="1271"/>
      <c r="GA632" s="1271"/>
      <c r="GB632" s="1271"/>
      <c r="GC632" s="1271"/>
      <c r="GD632" s="1271"/>
      <c r="GE632" s="1271"/>
      <c r="GF632" s="1271"/>
      <c r="GG632" s="1271"/>
      <c r="GH632" s="1271"/>
      <c r="GI632" s="1271"/>
      <c r="GJ632" s="1271"/>
      <c r="GK632" s="1271"/>
      <c r="GL632" s="1271"/>
      <c r="GM632" s="1271"/>
      <c r="GN632" s="1271"/>
      <c r="GO632" s="1271"/>
      <c r="GP632" s="1271"/>
      <c r="GQ632" s="1271"/>
      <c r="GR632" s="1271"/>
      <c r="GS632" s="1271"/>
      <c r="GT632" s="1271"/>
      <c r="GU632" s="1271"/>
      <c r="GV632" s="1271"/>
      <c r="GW632" s="1271"/>
      <c r="GX632" s="1271"/>
      <c r="GY632" s="1271"/>
      <c r="GZ632" s="1271"/>
      <c r="HA632" s="1271"/>
      <c r="HB632" s="1271"/>
      <c r="HC632" s="1271"/>
      <c r="HD632" s="1271"/>
      <c r="HE632" s="1271"/>
      <c r="HF632" s="1271"/>
      <c r="HG632" s="1271"/>
      <c r="HH632" s="1271"/>
      <c r="HI632" s="1271"/>
      <c r="HJ632" s="1271"/>
      <c r="HK632" s="1271"/>
      <c r="HL632" s="1271"/>
      <c r="HM632" s="1271"/>
      <c r="HN632" s="1271"/>
      <c r="HO632" s="1271"/>
      <c r="HP632" s="1271"/>
      <c r="HQ632" s="1271"/>
      <c r="HR632" s="1271"/>
      <c r="HS632" s="1271"/>
      <c r="HT632" s="1271"/>
      <c r="HU632" s="1271"/>
      <c r="HV632" s="1271"/>
      <c r="HW632" s="1271"/>
      <c r="HX632" s="1271"/>
      <c r="HY632" s="1271"/>
      <c r="HZ632" s="1271"/>
      <c r="IA632" s="1271"/>
      <c r="IB632" s="1271"/>
      <c r="IC632" s="1271"/>
      <c r="ID632" s="1271"/>
      <c r="IE632" s="1271"/>
      <c r="IF632" s="1271"/>
      <c r="IG632" s="1271"/>
      <c r="IH632" s="1271"/>
      <c r="II632" s="1271"/>
      <c r="IJ632" s="1271"/>
      <c r="IK632" s="1271"/>
      <c r="IL632" s="1271"/>
      <c r="IM632" s="1271"/>
      <c r="IN632" s="1271"/>
      <c r="IO632" s="1271"/>
      <c r="IP632" s="1271"/>
      <c r="IQ632" s="1271"/>
      <c r="IR632" s="1271"/>
      <c r="IS632" s="1271"/>
      <c r="IT632" s="1271"/>
      <c r="IU632" s="1271"/>
      <c r="IV632" s="1271"/>
      <c r="IW632" s="1271"/>
      <c r="IX632" s="1271"/>
      <c r="IY632" s="1271"/>
      <c r="IZ632" s="1271"/>
      <c r="JA632" s="1271"/>
      <c r="JB632" s="1271"/>
      <c r="JC632" s="1271"/>
      <c r="JD632" s="1271"/>
      <c r="JE632" s="1271"/>
      <c r="JF632" s="1271"/>
      <c r="JG632" s="1271"/>
      <c r="JH632" s="1271"/>
      <c r="JI632" s="1271"/>
      <c r="JJ632" s="1271"/>
      <c r="JK632" s="1271"/>
      <c r="JL632" s="1271"/>
      <c r="JM632" s="1271"/>
      <c r="JN632" s="1271"/>
      <c r="JO632" s="1271"/>
      <c r="JP632" s="1271"/>
      <c r="JQ632" s="1271"/>
      <c r="JR632" s="1271"/>
      <c r="JS632" s="1271"/>
      <c r="JT632" s="1271"/>
      <c r="JU632" s="1271"/>
      <c r="JV632" s="1271"/>
      <c r="JW632" s="1271"/>
      <c r="JX632" s="1271"/>
      <c r="JY632" s="1271"/>
      <c r="JZ632" s="1271"/>
      <c r="KA632" s="1271"/>
      <c r="KB632" s="1271"/>
      <c r="KC632" s="1271"/>
      <c r="KD632" s="1271"/>
      <c r="KE632" s="1271"/>
      <c r="KF632" s="1271"/>
      <c r="KG632" s="1271"/>
      <c r="KH632" s="1271"/>
      <c r="KI632" s="1271"/>
      <c r="KJ632" s="1271"/>
      <c r="KK632" s="1271"/>
      <c r="KL632" s="1271"/>
      <c r="KM632" s="1271"/>
      <c r="KN632" s="1271"/>
      <c r="KO632" s="1271"/>
      <c r="KP632" s="1271"/>
      <c r="KQ632" s="1271"/>
      <c r="KR632" s="1271"/>
      <c r="KS632" s="1271"/>
      <c r="KT632" s="1271"/>
      <c r="KU632" s="1271"/>
      <c r="KV632" s="1271"/>
      <c r="KW632" s="1271"/>
      <c r="KX632" s="1271"/>
      <c r="KY632" s="1271"/>
      <c r="KZ632" s="1271"/>
      <c r="LA632" s="1271"/>
      <c r="LB632" s="1271"/>
      <c r="LC632" s="1271"/>
      <c r="LD632" s="1271"/>
      <c r="LE632" s="1271"/>
      <c r="LF632" s="1271"/>
      <c r="LG632" s="1271"/>
      <c r="LH632" s="1271"/>
      <c r="LI632" s="1271"/>
      <c r="LJ632" s="1271"/>
      <c r="LK632" s="1271"/>
      <c r="LL632" s="1271"/>
      <c r="LM632" s="1271"/>
      <c r="LN632" s="1271"/>
      <c r="LO632" s="1271"/>
      <c r="LP632" s="1271"/>
      <c r="LQ632" s="1271"/>
      <c r="LR632" s="1271"/>
      <c r="LS632" s="1271"/>
      <c r="LT632" s="1271"/>
      <c r="LU632" s="1271"/>
      <c r="LV632" s="1271"/>
      <c r="LW632" s="1271"/>
      <c r="LX632" s="1271"/>
      <c r="LY632" s="1271"/>
      <c r="LZ632" s="1271"/>
      <c r="MA632" s="1271"/>
      <c r="MB632" s="1271"/>
      <c r="MC632" s="1271"/>
      <c r="MD632" s="1271"/>
      <c r="ME632" s="1271"/>
      <c r="MF632" s="1271"/>
      <c r="MG632" s="1271"/>
      <c r="MH632" s="1271"/>
      <c r="MI632" s="1271"/>
      <c r="MJ632" s="1271"/>
      <c r="MK632" s="1271"/>
      <c r="ML632" s="1271"/>
      <c r="MM632" s="1271"/>
      <c r="MN632" s="1271"/>
      <c r="MO632" s="1271"/>
      <c r="MP632" s="1271"/>
      <c r="MQ632" s="1271"/>
      <c r="MR632" s="1271"/>
      <c r="MS632" s="1271"/>
      <c r="MT632" s="1271"/>
      <c r="MU632" s="1271"/>
      <c r="MV632" s="1271"/>
      <c r="MW632" s="1271"/>
      <c r="MX632" s="1271"/>
      <c r="MY632" s="1271"/>
      <c r="MZ632" s="1271"/>
      <c r="NA632" s="1271"/>
      <c r="NB632" s="1271"/>
      <c r="NC632" s="1271"/>
      <c r="ND632" s="1271"/>
      <c r="NE632" s="1271"/>
      <c r="NF632" s="1271"/>
      <c r="NG632" s="1271"/>
      <c r="NH632" s="1271"/>
      <c r="NI632" s="1271"/>
      <c r="NJ632" s="1271"/>
      <c r="NK632" s="1271"/>
      <c r="NL632" s="1271"/>
      <c r="NM632" s="1271"/>
      <c r="NN632" s="1271"/>
      <c r="NO632" s="1271"/>
      <c r="NP632" s="1271"/>
      <c r="NQ632" s="1271"/>
      <c r="NR632" s="1271"/>
      <c r="NS632" s="1271"/>
      <c r="NT632" s="1271"/>
      <c r="NU632" s="1271"/>
      <c r="NV632" s="1271"/>
      <c r="NW632" s="1271"/>
      <c r="NX632" s="1271"/>
      <c r="NY632" s="1271"/>
      <c r="NZ632" s="1271"/>
      <c r="OA632" s="1271"/>
      <c r="OB632" s="1271"/>
      <c r="OC632" s="1271"/>
      <c r="OD632" s="1271"/>
      <c r="OE632" s="1271"/>
      <c r="OF632" s="1271"/>
      <c r="OG632" s="1271"/>
      <c r="OH632" s="1271"/>
      <c r="OI632" s="1271"/>
      <c r="OJ632" s="1271"/>
      <c r="OK632" s="1271"/>
      <c r="OL632" s="1271"/>
      <c r="OM632" s="1271"/>
      <c r="ON632" s="1271"/>
      <c r="OO632" s="1271"/>
      <c r="OP632" s="1271"/>
      <c r="OQ632" s="1271"/>
      <c r="OR632" s="1271"/>
      <c r="OS632" s="1271"/>
      <c r="OT632" s="1271"/>
      <c r="OU632" s="1271"/>
      <c r="OV632" s="1271"/>
      <c r="OW632" s="1271"/>
      <c r="OX632" s="1271"/>
      <c r="OY632" s="1271"/>
      <c r="OZ632" s="1271"/>
      <c r="PA632" s="1271"/>
      <c r="PB632" s="1271"/>
      <c r="PC632" s="1271"/>
      <c r="PD632" s="1271"/>
      <c r="PE632" s="1271"/>
      <c r="PF632" s="1271"/>
      <c r="PG632" s="1271"/>
      <c r="PH632" s="1271"/>
      <c r="PI632" s="1271"/>
      <c r="PJ632" s="1271"/>
      <c r="PK632" s="1271"/>
      <c r="PL632" s="1271"/>
      <c r="PM632" s="1271"/>
      <c r="PN632" s="1271"/>
      <c r="PO632" s="1271"/>
      <c r="PP632" s="1271"/>
      <c r="PQ632" s="1271"/>
      <c r="PR632" s="1271"/>
      <c r="PS632" s="1271"/>
      <c r="PT632" s="1271"/>
      <c r="PU632" s="1271"/>
      <c r="PV632" s="1271"/>
      <c r="PW632" s="1271"/>
      <c r="PX632" s="1271"/>
      <c r="PY632" s="1271"/>
      <c r="PZ632" s="1271"/>
      <c r="QA632" s="1271"/>
      <c r="QB632" s="1271"/>
      <c r="QC632" s="1271"/>
      <c r="QD632" s="1271"/>
      <c r="QE632" s="1271"/>
      <c r="QF632" s="1271"/>
      <c r="QG632" s="1271"/>
      <c r="QH632" s="1271"/>
      <c r="QI632" s="1271"/>
      <c r="QJ632" s="1271"/>
      <c r="QK632" s="1271"/>
      <c r="QL632" s="1271"/>
      <c r="QM632" s="1271"/>
      <c r="QN632" s="1271"/>
      <c r="QO632" s="1271"/>
      <c r="QP632" s="1271"/>
      <c r="QQ632" s="1271"/>
      <c r="QR632" s="1271"/>
      <c r="QS632" s="1271"/>
      <c r="QT632" s="1271"/>
      <c r="QU632" s="1271"/>
      <c r="QV632" s="1271"/>
      <c r="QW632" s="1271"/>
      <c r="QX632" s="1271"/>
      <c r="QY632" s="1271"/>
      <c r="QZ632" s="1271"/>
      <c r="RA632" s="1271"/>
      <c r="RB632" s="1271"/>
      <c r="RC632" s="1271"/>
      <c r="RD632" s="1271"/>
      <c r="RE632" s="1271"/>
      <c r="RF632" s="1271"/>
      <c r="RG632" s="1271"/>
      <c r="RH632" s="1271"/>
      <c r="RI632" s="1271"/>
      <c r="RJ632" s="1271"/>
      <c r="RK632" s="1271"/>
      <c r="RL632" s="1271"/>
      <c r="RM632" s="1271"/>
      <c r="RN632" s="1271"/>
      <c r="RO632" s="1271"/>
      <c r="RP632" s="1271"/>
      <c r="RQ632" s="1271"/>
      <c r="RR632" s="1271"/>
      <c r="RS632" s="1271"/>
      <c r="RT632" s="1271"/>
      <c r="RU632" s="1271"/>
      <c r="RV632" s="1271"/>
      <c r="RW632" s="1271"/>
      <c r="RX632" s="1271"/>
      <c r="RY632" s="1271"/>
      <c r="RZ632" s="1271"/>
      <c r="SA632" s="1271"/>
      <c r="SB632" s="1271"/>
      <c r="SC632" s="1271"/>
      <c r="SD632" s="1271"/>
      <c r="SE632" s="1271"/>
      <c r="SF632" s="1271"/>
      <c r="SG632" s="1271"/>
      <c r="SH632" s="1271"/>
      <c r="SI632" s="1271"/>
      <c r="SJ632" s="1271"/>
      <c r="SK632" s="1271"/>
      <c r="SL632" s="1271"/>
      <c r="SM632" s="1271"/>
      <c r="SN632" s="1271"/>
      <c r="SO632" s="1271"/>
      <c r="SP632" s="1271"/>
      <c r="SQ632" s="1271"/>
      <c r="SR632" s="1271"/>
      <c r="SS632" s="1271"/>
      <c r="ST632" s="1271"/>
      <c r="SU632" s="1271"/>
      <c r="SV632" s="1271"/>
      <c r="SW632" s="1271"/>
      <c r="SX632" s="1271"/>
      <c r="SY632" s="1271"/>
      <c r="SZ632" s="1271"/>
      <c r="TA632" s="1271"/>
      <c r="TB632" s="1271"/>
      <c r="TC632" s="1271"/>
      <c r="TD632" s="1271"/>
      <c r="TE632" s="1271"/>
      <c r="TF632" s="1271"/>
      <c r="TG632" s="1271"/>
      <c r="TH632" s="1271"/>
      <c r="TI632" s="1271"/>
      <c r="TJ632" s="1271"/>
      <c r="TK632" s="1271"/>
      <c r="TL632" s="1271"/>
      <c r="TM632" s="1271"/>
      <c r="TN632" s="1271"/>
      <c r="TO632" s="1271"/>
      <c r="TP632" s="1271"/>
      <c r="TQ632" s="1271"/>
      <c r="TR632" s="1271"/>
      <c r="TS632" s="1271"/>
      <c r="TT632" s="1271"/>
      <c r="TU632" s="1271"/>
      <c r="TV632" s="1271"/>
      <c r="TW632" s="1271"/>
      <c r="TX632" s="1271"/>
      <c r="TY632" s="1271"/>
      <c r="TZ632" s="1271"/>
      <c r="UA632" s="1271"/>
      <c r="UB632" s="1271"/>
      <c r="UC632" s="1271"/>
      <c r="UD632" s="1271"/>
      <c r="UE632" s="1271"/>
      <c r="UF632" s="1271"/>
      <c r="UG632" s="1272"/>
    </row>
    <row r="633" spans="1:553" s="1262" customFormat="1" ht="50.25" customHeight="1">
      <c r="A633" s="1226"/>
      <c r="B633" s="1226"/>
      <c r="C633" s="1519" t="s">
        <v>447</v>
      </c>
      <c r="D633" s="1452"/>
      <c r="E633" s="1452"/>
      <c r="F633" s="1464"/>
      <c r="G633" s="1226" t="s">
        <v>193</v>
      </c>
      <c r="H633" s="600"/>
      <c r="I633" s="1288">
        <v>1</v>
      </c>
      <c r="J633" s="1243">
        <v>219200</v>
      </c>
      <c r="K633" s="712">
        <v>0.7</v>
      </c>
      <c r="L633" s="679">
        <f t="shared" ref="L633:L644" si="105">I633*J633*K633</f>
        <v>153440</v>
      </c>
      <c r="M633" s="1226"/>
      <c r="N633" s="1226"/>
      <c r="O633" s="1226"/>
      <c r="P633" s="1226"/>
      <c r="Q633" s="812"/>
      <c r="R633" s="1452"/>
      <c r="S633" s="308"/>
      <c r="T633" s="308"/>
      <c r="U633" s="308"/>
      <c r="V633" s="308"/>
      <c r="W633" s="308"/>
      <c r="X633" s="308"/>
      <c r="Y633" s="308"/>
      <c r="Z633" s="604"/>
      <c r="AA633" s="308"/>
      <c r="AB633" s="308"/>
      <c r="AC633" s="449"/>
      <c r="AD633" s="449"/>
      <c r="AE633" s="449"/>
      <c r="AF633" s="449"/>
      <c r="AG633" s="449"/>
      <c r="AH633" s="449"/>
      <c r="AI633" s="449"/>
      <c r="AJ633" s="449"/>
      <c r="AK633" s="452"/>
      <c r="AL633" s="1269"/>
      <c r="AM633" s="1270"/>
      <c r="AN633" s="1270"/>
      <c r="AO633" s="1270"/>
      <c r="AP633" s="1270"/>
      <c r="AQ633" s="1270"/>
      <c r="AR633" s="1270"/>
      <c r="AS633" s="1260"/>
      <c r="AT633" s="1260"/>
      <c r="AU633" s="1260"/>
      <c r="AV633" s="1260"/>
      <c r="AW633" s="1260"/>
      <c r="AX633" s="1260"/>
      <c r="AY633" s="1260"/>
      <c r="AZ633" s="1260"/>
      <c r="BA633" s="1260"/>
      <c r="BB633" s="1260"/>
      <c r="BC633" s="1260"/>
      <c r="BD633" s="1260"/>
      <c r="BE633" s="1260"/>
      <c r="BF633" s="1260"/>
      <c r="BG633" s="1260"/>
      <c r="BH633" s="1260"/>
      <c r="BI633" s="1260"/>
      <c r="BJ633" s="1260"/>
      <c r="BK633" s="1260"/>
      <c r="BL633" s="1260"/>
      <c r="BM633" s="1260"/>
      <c r="BN633" s="1260"/>
      <c r="BO633" s="1260"/>
      <c r="BP633" s="1271"/>
      <c r="BQ633" s="1271"/>
      <c r="BR633" s="1271"/>
      <c r="BS633" s="1271"/>
      <c r="BT633" s="1271"/>
      <c r="BU633" s="1271"/>
      <c r="BV633" s="1271"/>
      <c r="BW633" s="1271"/>
      <c r="BX633" s="1271"/>
      <c r="BY633" s="1271"/>
      <c r="BZ633" s="1271"/>
      <c r="CA633" s="1271"/>
      <c r="CB633" s="1271"/>
      <c r="CC633" s="1271"/>
      <c r="CD633" s="1271"/>
      <c r="CE633" s="1271"/>
      <c r="CF633" s="1271"/>
      <c r="CG633" s="1271"/>
      <c r="CH633" s="1271"/>
      <c r="CI633" s="1271"/>
      <c r="CJ633" s="1271"/>
      <c r="CK633" s="1271"/>
      <c r="CL633" s="1271"/>
      <c r="CM633" s="1271"/>
      <c r="CN633" s="1271"/>
      <c r="CO633" s="1271"/>
      <c r="CP633" s="1271"/>
      <c r="CQ633" s="1271"/>
      <c r="CR633" s="1271"/>
      <c r="CS633" s="1271"/>
      <c r="CT633" s="1271"/>
      <c r="CU633" s="1271"/>
      <c r="CV633" s="1271"/>
      <c r="CW633" s="1271"/>
      <c r="CX633" s="1271"/>
      <c r="CY633" s="1271"/>
      <c r="CZ633" s="1271"/>
      <c r="DA633" s="1271"/>
      <c r="DB633" s="1271"/>
      <c r="DC633" s="1271"/>
      <c r="DD633" s="1271"/>
      <c r="DE633" s="1271"/>
      <c r="DF633" s="1271"/>
      <c r="DG633" s="1271"/>
      <c r="DH633" s="1271"/>
      <c r="DI633" s="1271"/>
      <c r="DJ633" s="1271"/>
      <c r="DK633" s="1271"/>
      <c r="DL633" s="1271"/>
      <c r="DM633" s="1271"/>
      <c r="DN633" s="1271"/>
      <c r="DO633" s="1271"/>
      <c r="DP633" s="1271"/>
      <c r="DQ633" s="1271"/>
      <c r="DR633" s="1271"/>
      <c r="DS633" s="1271"/>
      <c r="DT633" s="1271"/>
      <c r="DU633" s="1271"/>
      <c r="DV633" s="1271"/>
      <c r="DW633" s="1271"/>
      <c r="DX633" s="1271"/>
      <c r="DY633" s="1271"/>
      <c r="DZ633" s="1271"/>
      <c r="EA633" s="1271"/>
      <c r="EB633" s="1271"/>
      <c r="EC633" s="1271"/>
      <c r="ED633" s="1271"/>
      <c r="EE633" s="1271"/>
      <c r="EF633" s="1271"/>
      <c r="EG633" s="1271"/>
      <c r="EH633" s="1271"/>
      <c r="EI633" s="1271"/>
      <c r="EJ633" s="1271"/>
      <c r="EK633" s="1271"/>
      <c r="EL633" s="1271"/>
      <c r="EM633" s="1271"/>
      <c r="EN633" s="1271"/>
      <c r="EO633" s="1271"/>
      <c r="EP633" s="1271"/>
      <c r="EQ633" s="1271"/>
      <c r="ER633" s="1271"/>
      <c r="ES633" s="1271"/>
      <c r="ET633" s="1271"/>
      <c r="EU633" s="1271"/>
      <c r="EV633" s="1271"/>
      <c r="EW633" s="1271"/>
      <c r="EX633" s="1271"/>
      <c r="EY633" s="1271"/>
      <c r="EZ633" s="1271"/>
      <c r="FA633" s="1271"/>
      <c r="FB633" s="1271"/>
      <c r="FC633" s="1271"/>
      <c r="FD633" s="1271"/>
      <c r="FE633" s="1271"/>
      <c r="FF633" s="1271"/>
      <c r="FG633" s="1271"/>
      <c r="FH633" s="1271"/>
      <c r="FI633" s="1271"/>
      <c r="FJ633" s="1271"/>
      <c r="FK633" s="1271"/>
      <c r="FL633" s="1271"/>
      <c r="FM633" s="1271"/>
      <c r="FN633" s="1271"/>
      <c r="FO633" s="1271"/>
      <c r="FP633" s="1271"/>
      <c r="FQ633" s="1271"/>
      <c r="FR633" s="1271"/>
      <c r="FS633" s="1271"/>
      <c r="FT633" s="1271"/>
      <c r="FU633" s="1271"/>
      <c r="FV633" s="1271"/>
      <c r="FW633" s="1271"/>
      <c r="FX633" s="1271"/>
      <c r="FY633" s="1271"/>
      <c r="FZ633" s="1271"/>
      <c r="GA633" s="1271"/>
      <c r="GB633" s="1271"/>
      <c r="GC633" s="1271"/>
      <c r="GD633" s="1271"/>
      <c r="GE633" s="1271"/>
      <c r="GF633" s="1271"/>
      <c r="GG633" s="1271"/>
      <c r="GH633" s="1271"/>
      <c r="GI633" s="1271"/>
      <c r="GJ633" s="1271"/>
      <c r="GK633" s="1271"/>
      <c r="GL633" s="1271"/>
      <c r="GM633" s="1271"/>
      <c r="GN633" s="1271"/>
      <c r="GO633" s="1271"/>
      <c r="GP633" s="1271"/>
      <c r="GQ633" s="1271"/>
      <c r="GR633" s="1271"/>
      <c r="GS633" s="1271"/>
      <c r="GT633" s="1271"/>
      <c r="GU633" s="1271"/>
      <c r="GV633" s="1271"/>
      <c r="GW633" s="1271"/>
      <c r="GX633" s="1271"/>
      <c r="GY633" s="1271"/>
      <c r="GZ633" s="1271"/>
      <c r="HA633" s="1271"/>
      <c r="HB633" s="1271"/>
      <c r="HC633" s="1271"/>
      <c r="HD633" s="1271"/>
      <c r="HE633" s="1271"/>
      <c r="HF633" s="1271"/>
      <c r="HG633" s="1271"/>
      <c r="HH633" s="1271"/>
      <c r="HI633" s="1271"/>
      <c r="HJ633" s="1271"/>
      <c r="HK633" s="1271"/>
      <c r="HL633" s="1271"/>
      <c r="HM633" s="1271"/>
      <c r="HN633" s="1271"/>
      <c r="HO633" s="1271"/>
      <c r="HP633" s="1271"/>
      <c r="HQ633" s="1271"/>
      <c r="HR633" s="1271"/>
      <c r="HS633" s="1271"/>
      <c r="HT633" s="1271"/>
      <c r="HU633" s="1271"/>
      <c r="HV633" s="1271"/>
      <c r="HW633" s="1271"/>
      <c r="HX633" s="1271"/>
      <c r="HY633" s="1271"/>
      <c r="HZ633" s="1271"/>
      <c r="IA633" s="1271"/>
      <c r="IB633" s="1271"/>
      <c r="IC633" s="1271"/>
      <c r="ID633" s="1271"/>
      <c r="IE633" s="1271"/>
      <c r="IF633" s="1271"/>
      <c r="IG633" s="1271"/>
      <c r="IH633" s="1271"/>
      <c r="II633" s="1271"/>
      <c r="IJ633" s="1271"/>
      <c r="IK633" s="1271"/>
      <c r="IL633" s="1271"/>
      <c r="IM633" s="1271"/>
      <c r="IN633" s="1271"/>
      <c r="IO633" s="1271"/>
      <c r="IP633" s="1271"/>
      <c r="IQ633" s="1271"/>
      <c r="IR633" s="1271"/>
      <c r="IS633" s="1271"/>
      <c r="IT633" s="1271"/>
      <c r="IU633" s="1271"/>
      <c r="IV633" s="1271"/>
      <c r="IW633" s="1271"/>
      <c r="IX633" s="1271"/>
      <c r="IY633" s="1271"/>
      <c r="IZ633" s="1271"/>
      <c r="JA633" s="1271"/>
      <c r="JB633" s="1271"/>
      <c r="JC633" s="1271"/>
      <c r="JD633" s="1271"/>
      <c r="JE633" s="1271"/>
      <c r="JF633" s="1271"/>
      <c r="JG633" s="1271"/>
      <c r="JH633" s="1271"/>
      <c r="JI633" s="1271"/>
      <c r="JJ633" s="1271"/>
      <c r="JK633" s="1271"/>
      <c r="JL633" s="1271"/>
      <c r="JM633" s="1271"/>
      <c r="JN633" s="1271"/>
      <c r="JO633" s="1271"/>
      <c r="JP633" s="1271"/>
      <c r="JQ633" s="1271"/>
      <c r="JR633" s="1271"/>
      <c r="JS633" s="1271"/>
      <c r="JT633" s="1271"/>
      <c r="JU633" s="1271"/>
      <c r="JV633" s="1271"/>
      <c r="JW633" s="1271"/>
      <c r="JX633" s="1271"/>
      <c r="JY633" s="1271"/>
      <c r="JZ633" s="1271"/>
      <c r="KA633" s="1271"/>
      <c r="KB633" s="1271"/>
      <c r="KC633" s="1271"/>
      <c r="KD633" s="1271"/>
      <c r="KE633" s="1271"/>
      <c r="KF633" s="1271"/>
      <c r="KG633" s="1271"/>
      <c r="KH633" s="1271"/>
      <c r="KI633" s="1271"/>
      <c r="KJ633" s="1271"/>
      <c r="KK633" s="1271"/>
      <c r="KL633" s="1271"/>
      <c r="KM633" s="1271"/>
      <c r="KN633" s="1271"/>
      <c r="KO633" s="1271"/>
      <c r="KP633" s="1271"/>
      <c r="KQ633" s="1271"/>
      <c r="KR633" s="1271"/>
      <c r="KS633" s="1271"/>
      <c r="KT633" s="1271"/>
      <c r="KU633" s="1271"/>
      <c r="KV633" s="1271"/>
      <c r="KW633" s="1271"/>
      <c r="KX633" s="1271"/>
      <c r="KY633" s="1271"/>
      <c r="KZ633" s="1271"/>
      <c r="LA633" s="1271"/>
      <c r="LB633" s="1271"/>
      <c r="LC633" s="1271"/>
      <c r="LD633" s="1271"/>
      <c r="LE633" s="1271"/>
      <c r="LF633" s="1271"/>
      <c r="LG633" s="1271"/>
      <c r="LH633" s="1271"/>
      <c r="LI633" s="1271"/>
      <c r="LJ633" s="1271"/>
      <c r="LK633" s="1271"/>
      <c r="LL633" s="1271"/>
      <c r="LM633" s="1271"/>
      <c r="LN633" s="1271"/>
      <c r="LO633" s="1271"/>
      <c r="LP633" s="1271"/>
      <c r="LQ633" s="1271"/>
      <c r="LR633" s="1271"/>
      <c r="LS633" s="1271"/>
      <c r="LT633" s="1271"/>
      <c r="LU633" s="1271"/>
      <c r="LV633" s="1271"/>
      <c r="LW633" s="1271"/>
      <c r="LX633" s="1271"/>
      <c r="LY633" s="1271"/>
      <c r="LZ633" s="1271"/>
      <c r="MA633" s="1271"/>
      <c r="MB633" s="1271"/>
      <c r="MC633" s="1271"/>
      <c r="MD633" s="1271"/>
      <c r="ME633" s="1271"/>
      <c r="MF633" s="1271"/>
      <c r="MG633" s="1271"/>
      <c r="MH633" s="1271"/>
      <c r="MI633" s="1271"/>
      <c r="MJ633" s="1271"/>
      <c r="MK633" s="1271"/>
      <c r="ML633" s="1271"/>
      <c r="MM633" s="1271"/>
      <c r="MN633" s="1271"/>
      <c r="MO633" s="1271"/>
      <c r="MP633" s="1271"/>
      <c r="MQ633" s="1271"/>
      <c r="MR633" s="1271"/>
      <c r="MS633" s="1271"/>
      <c r="MT633" s="1271"/>
      <c r="MU633" s="1271"/>
      <c r="MV633" s="1271"/>
      <c r="MW633" s="1271"/>
      <c r="MX633" s="1271"/>
      <c r="MY633" s="1271"/>
      <c r="MZ633" s="1271"/>
      <c r="NA633" s="1271"/>
      <c r="NB633" s="1271"/>
      <c r="NC633" s="1271"/>
      <c r="ND633" s="1271"/>
      <c r="NE633" s="1271"/>
      <c r="NF633" s="1271"/>
      <c r="NG633" s="1271"/>
      <c r="NH633" s="1271"/>
      <c r="NI633" s="1271"/>
      <c r="NJ633" s="1271"/>
      <c r="NK633" s="1271"/>
      <c r="NL633" s="1271"/>
      <c r="NM633" s="1271"/>
      <c r="NN633" s="1271"/>
      <c r="NO633" s="1271"/>
      <c r="NP633" s="1271"/>
      <c r="NQ633" s="1271"/>
      <c r="NR633" s="1271"/>
      <c r="NS633" s="1271"/>
      <c r="NT633" s="1271"/>
      <c r="NU633" s="1271"/>
      <c r="NV633" s="1271"/>
      <c r="NW633" s="1271"/>
      <c r="NX633" s="1271"/>
      <c r="NY633" s="1271"/>
      <c r="NZ633" s="1271"/>
      <c r="OA633" s="1271"/>
      <c r="OB633" s="1271"/>
      <c r="OC633" s="1271"/>
      <c r="OD633" s="1271"/>
      <c r="OE633" s="1271"/>
      <c r="OF633" s="1271"/>
      <c r="OG633" s="1271"/>
      <c r="OH633" s="1271"/>
      <c r="OI633" s="1271"/>
      <c r="OJ633" s="1271"/>
      <c r="OK633" s="1271"/>
      <c r="OL633" s="1271"/>
      <c r="OM633" s="1271"/>
      <c r="ON633" s="1271"/>
      <c r="OO633" s="1271"/>
      <c r="OP633" s="1271"/>
      <c r="OQ633" s="1271"/>
      <c r="OR633" s="1271"/>
      <c r="OS633" s="1271"/>
      <c r="OT633" s="1271"/>
      <c r="OU633" s="1271"/>
      <c r="OV633" s="1271"/>
      <c r="OW633" s="1271"/>
      <c r="OX633" s="1271"/>
      <c r="OY633" s="1271"/>
      <c r="OZ633" s="1271"/>
      <c r="PA633" s="1271"/>
      <c r="PB633" s="1271"/>
      <c r="PC633" s="1271"/>
      <c r="PD633" s="1271"/>
      <c r="PE633" s="1271"/>
      <c r="PF633" s="1271"/>
      <c r="PG633" s="1271"/>
      <c r="PH633" s="1271"/>
      <c r="PI633" s="1271"/>
      <c r="PJ633" s="1271"/>
      <c r="PK633" s="1271"/>
      <c r="PL633" s="1271"/>
      <c r="PM633" s="1271"/>
      <c r="PN633" s="1271"/>
      <c r="PO633" s="1271"/>
      <c r="PP633" s="1271"/>
      <c r="PQ633" s="1271"/>
      <c r="PR633" s="1271"/>
      <c r="PS633" s="1271"/>
      <c r="PT633" s="1271"/>
      <c r="PU633" s="1271"/>
      <c r="PV633" s="1271"/>
      <c r="PW633" s="1271"/>
      <c r="PX633" s="1271"/>
      <c r="PY633" s="1271"/>
      <c r="PZ633" s="1271"/>
      <c r="QA633" s="1271"/>
      <c r="QB633" s="1271"/>
      <c r="QC633" s="1271"/>
      <c r="QD633" s="1271"/>
      <c r="QE633" s="1271"/>
      <c r="QF633" s="1271"/>
      <c r="QG633" s="1271"/>
      <c r="QH633" s="1271"/>
      <c r="QI633" s="1271"/>
      <c r="QJ633" s="1271"/>
      <c r="QK633" s="1271"/>
      <c r="QL633" s="1271"/>
      <c r="QM633" s="1271"/>
      <c r="QN633" s="1271"/>
      <c r="QO633" s="1271"/>
      <c r="QP633" s="1271"/>
      <c r="QQ633" s="1271"/>
      <c r="QR633" s="1271"/>
      <c r="QS633" s="1271"/>
      <c r="QT633" s="1271"/>
      <c r="QU633" s="1271"/>
      <c r="QV633" s="1271"/>
      <c r="QW633" s="1271"/>
      <c r="QX633" s="1271"/>
      <c r="QY633" s="1271"/>
      <c r="QZ633" s="1271"/>
      <c r="RA633" s="1271"/>
      <c r="RB633" s="1271"/>
      <c r="RC633" s="1271"/>
      <c r="RD633" s="1271"/>
      <c r="RE633" s="1271"/>
      <c r="RF633" s="1271"/>
      <c r="RG633" s="1271"/>
      <c r="RH633" s="1271"/>
      <c r="RI633" s="1271"/>
      <c r="RJ633" s="1271"/>
      <c r="RK633" s="1271"/>
      <c r="RL633" s="1271"/>
      <c r="RM633" s="1271"/>
      <c r="RN633" s="1271"/>
      <c r="RO633" s="1271"/>
      <c r="RP633" s="1271"/>
      <c r="RQ633" s="1271"/>
      <c r="RR633" s="1271"/>
      <c r="RS633" s="1271"/>
      <c r="RT633" s="1271"/>
      <c r="RU633" s="1271"/>
      <c r="RV633" s="1271"/>
      <c r="RW633" s="1271"/>
      <c r="RX633" s="1271"/>
      <c r="RY633" s="1271"/>
      <c r="RZ633" s="1271"/>
      <c r="SA633" s="1271"/>
      <c r="SB633" s="1271"/>
      <c r="SC633" s="1271"/>
      <c r="SD633" s="1271"/>
      <c r="SE633" s="1271"/>
      <c r="SF633" s="1271"/>
      <c r="SG633" s="1271"/>
      <c r="SH633" s="1271"/>
      <c r="SI633" s="1271"/>
      <c r="SJ633" s="1271"/>
      <c r="SK633" s="1271"/>
      <c r="SL633" s="1271"/>
      <c r="SM633" s="1271"/>
      <c r="SN633" s="1271"/>
      <c r="SO633" s="1271"/>
      <c r="SP633" s="1271"/>
      <c r="SQ633" s="1271"/>
      <c r="SR633" s="1271"/>
      <c r="SS633" s="1271"/>
      <c r="ST633" s="1271"/>
      <c r="SU633" s="1271"/>
      <c r="SV633" s="1271"/>
      <c r="SW633" s="1271"/>
      <c r="SX633" s="1271"/>
      <c r="SY633" s="1271"/>
      <c r="SZ633" s="1271"/>
      <c r="TA633" s="1271"/>
      <c r="TB633" s="1271"/>
      <c r="TC633" s="1271"/>
      <c r="TD633" s="1271"/>
      <c r="TE633" s="1271"/>
      <c r="TF633" s="1271"/>
      <c r="TG633" s="1271"/>
      <c r="TH633" s="1271"/>
      <c r="TI633" s="1271"/>
      <c r="TJ633" s="1271"/>
      <c r="TK633" s="1271"/>
      <c r="TL633" s="1271"/>
      <c r="TM633" s="1271"/>
      <c r="TN633" s="1271"/>
      <c r="TO633" s="1271"/>
      <c r="TP633" s="1271"/>
      <c r="TQ633" s="1271"/>
      <c r="TR633" s="1271"/>
      <c r="TS633" s="1271"/>
      <c r="TT633" s="1271"/>
      <c r="TU633" s="1271"/>
      <c r="TV633" s="1271"/>
      <c r="TW633" s="1271"/>
      <c r="TX633" s="1271"/>
      <c r="TY633" s="1271"/>
      <c r="TZ633" s="1271"/>
      <c r="UA633" s="1271"/>
      <c r="UB633" s="1271"/>
      <c r="UC633" s="1271"/>
      <c r="UD633" s="1271"/>
      <c r="UE633" s="1271"/>
      <c r="UF633" s="1271"/>
      <c r="UG633" s="1272"/>
    </row>
    <row r="634" spans="1:553" s="1262" customFormat="1" ht="50.25" customHeight="1">
      <c r="A634" s="415"/>
      <c r="B634" s="415"/>
      <c r="C634" s="1521" t="s">
        <v>448</v>
      </c>
      <c r="D634" s="1461"/>
      <c r="E634" s="1461"/>
      <c r="F634" s="1461"/>
      <c r="G634" s="1226" t="s">
        <v>196</v>
      </c>
      <c r="H634" s="603"/>
      <c r="I634" s="504">
        <f>(31.98*100/400)*(17-(10-3))*1</f>
        <v>79.95</v>
      </c>
      <c r="J634" s="512">
        <v>5800</v>
      </c>
      <c r="K634" s="560">
        <v>0.7</v>
      </c>
      <c r="L634" s="1290">
        <f>I634*J634*K634</f>
        <v>324597</v>
      </c>
      <c r="M634" s="415"/>
      <c r="N634" s="415"/>
      <c r="O634" s="415"/>
      <c r="P634" s="415"/>
      <c r="Q634" s="812"/>
      <c r="R634" s="1452"/>
      <c r="S634" s="308"/>
      <c r="T634" s="308"/>
      <c r="U634" s="308"/>
      <c r="V634" s="308"/>
      <c r="W634" s="308"/>
      <c r="X634" s="308"/>
      <c r="Y634" s="308"/>
      <c r="Z634" s="604"/>
      <c r="AA634" s="308"/>
      <c r="AB634" s="308"/>
      <c r="AC634" s="449"/>
      <c r="AD634" s="449"/>
      <c r="AE634" s="449"/>
      <c r="AF634" s="449"/>
      <c r="AG634" s="449"/>
      <c r="AH634" s="449"/>
      <c r="AI634" s="449"/>
      <c r="AJ634" s="449"/>
      <c r="AK634" s="452"/>
      <c r="AL634" s="1269"/>
      <c r="AM634" s="1270"/>
      <c r="AN634" s="1270"/>
      <c r="AO634" s="1270"/>
      <c r="AP634" s="1270"/>
      <c r="AQ634" s="1270"/>
      <c r="AR634" s="1270"/>
      <c r="AS634" s="1260"/>
      <c r="AT634" s="1260"/>
      <c r="AU634" s="1260"/>
      <c r="AV634" s="1260"/>
      <c r="AW634" s="1260"/>
      <c r="AX634" s="1260"/>
      <c r="AY634" s="1260"/>
      <c r="AZ634" s="1260"/>
      <c r="BA634" s="1260"/>
      <c r="BB634" s="1260"/>
      <c r="BC634" s="1260"/>
      <c r="BD634" s="1260"/>
      <c r="BE634" s="1260"/>
      <c r="BF634" s="1260"/>
      <c r="BG634" s="1260"/>
      <c r="BH634" s="1260"/>
      <c r="BI634" s="1260"/>
      <c r="BJ634" s="1260"/>
      <c r="BK634" s="1260"/>
      <c r="BL634" s="1260"/>
      <c r="BM634" s="1260"/>
      <c r="BN634" s="1260"/>
      <c r="BO634" s="1260"/>
      <c r="BP634" s="1271"/>
      <c r="BQ634" s="1271"/>
      <c r="BR634" s="1271"/>
      <c r="BS634" s="1271"/>
      <c r="BT634" s="1271"/>
      <c r="BU634" s="1271"/>
      <c r="BV634" s="1271"/>
      <c r="BW634" s="1271"/>
      <c r="BX634" s="1271"/>
      <c r="BY634" s="1271"/>
      <c r="BZ634" s="1271"/>
      <c r="CA634" s="1271"/>
      <c r="CB634" s="1271"/>
      <c r="CC634" s="1271"/>
      <c r="CD634" s="1271"/>
      <c r="CE634" s="1271"/>
      <c r="CF634" s="1271"/>
      <c r="CG634" s="1271"/>
      <c r="CH634" s="1271"/>
      <c r="CI634" s="1271"/>
      <c r="CJ634" s="1271"/>
      <c r="CK634" s="1271"/>
      <c r="CL634" s="1271"/>
      <c r="CM634" s="1271"/>
      <c r="CN634" s="1271"/>
      <c r="CO634" s="1271"/>
      <c r="CP634" s="1271"/>
      <c r="CQ634" s="1271"/>
      <c r="CR634" s="1271"/>
      <c r="CS634" s="1271"/>
      <c r="CT634" s="1271"/>
      <c r="CU634" s="1271"/>
      <c r="CV634" s="1271"/>
      <c r="CW634" s="1271"/>
      <c r="CX634" s="1271"/>
      <c r="CY634" s="1271"/>
      <c r="CZ634" s="1271"/>
      <c r="DA634" s="1271"/>
      <c r="DB634" s="1271"/>
      <c r="DC634" s="1271"/>
      <c r="DD634" s="1271"/>
      <c r="DE634" s="1271"/>
      <c r="DF634" s="1271"/>
      <c r="DG634" s="1271"/>
      <c r="DH634" s="1271"/>
      <c r="DI634" s="1271"/>
      <c r="DJ634" s="1271"/>
      <c r="DK634" s="1271"/>
      <c r="DL634" s="1271"/>
      <c r="DM634" s="1271"/>
      <c r="DN634" s="1271"/>
      <c r="DO634" s="1271"/>
      <c r="DP634" s="1271"/>
      <c r="DQ634" s="1271"/>
      <c r="DR634" s="1271"/>
      <c r="DS634" s="1271"/>
      <c r="DT634" s="1271"/>
      <c r="DU634" s="1271"/>
      <c r="DV634" s="1271"/>
      <c r="DW634" s="1271"/>
      <c r="DX634" s="1271"/>
      <c r="DY634" s="1271"/>
      <c r="DZ634" s="1271"/>
      <c r="EA634" s="1271"/>
      <c r="EB634" s="1271"/>
      <c r="EC634" s="1271"/>
      <c r="ED634" s="1271"/>
      <c r="EE634" s="1271"/>
      <c r="EF634" s="1271"/>
      <c r="EG634" s="1271"/>
      <c r="EH634" s="1271"/>
      <c r="EI634" s="1271"/>
      <c r="EJ634" s="1271"/>
      <c r="EK634" s="1271"/>
      <c r="EL634" s="1271"/>
      <c r="EM634" s="1271"/>
      <c r="EN634" s="1271"/>
      <c r="EO634" s="1271"/>
      <c r="EP634" s="1271"/>
      <c r="EQ634" s="1271"/>
      <c r="ER634" s="1271"/>
      <c r="ES634" s="1271"/>
      <c r="ET634" s="1271"/>
      <c r="EU634" s="1271"/>
      <c r="EV634" s="1271"/>
      <c r="EW634" s="1271"/>
      <c r="EX634" s="1271"/>
      <c r="EY634" s="1271"/>
      <c r="EZ634" s="1271"/>
      <c r="FA634" s="1271"/>
      <c r="FB634" s="1271"/>
      <c r="FC634" s="1271"/>
      <c r="FD634" s="1271"/>
      <c r="FE634" s="1271"/>
      <c r="FF634" s="1271"/>
      <c r="FG634" s="1271"/>
      <c r="FH634" s="1271"/>
      <c r="FI634" s="1271"/>
      <c r="FJ634" s="1271"/>
      <c r="FK634" s="1271"/>
      <c r="FL634" s="1271"/>
      <c r="FM634" s="1271"/>
      <c r="FN634" s="1271"/>
      <c r="FO634" s="1271"/>
      <c r="FP634" s="1271"/>
      <c r="FQ634" s="1271"/>
      <c r="FR634" s="1271"/>
      <c r="FS634" s="1271"/>
      <c r="FT634" s="1271"/>
      <c r="FU634" s="1271"/>
      <c r="FV634" s="1271"/>
      <c r="FW634" s="1271"/>
      <c r="FX634" s="1271"/>
      <c r="FY634" s="1271"/>
      <c r="FZ634" s="1271"/>
      <c r="GA634" s="1271"/>
      <c r="GB634" s="1271"/>
      <c r="GC634" s="1271"/>
      <c r="GD634" s="1271"/>
      <c r="GE634" s="1271"/>
      <c r="GF634" s="1271"/>
      <c r="GG634" s="1271"/>
      <c r="GH634" s="1271"/>
      <c r="GI634" s="1271"/>
      <c r="GJ634" s="1271"/>
      <c r="GK634" s="1271"/>
      <c r="GL634" s="1271"/>
      <c r="GM634" s="1271"/>
      <c r="GN634" s="1271"/>
      <c r="GO634" s="1271"/>
      <c r="GP634" s="1271"/>
      <c r="GQ634" s="1271"/>
      <c r="GR634" s="1271"/>
      <c r="GS634" s="1271"/>
      <c r="GT634" s="1271"/>
      <c r="GU634" s="1271"/>
      <c r="GV634" s="1271"/>
      <c r="GW634" s="1271"/>
      <c r="GX634" s="1271"/>
      <c r="GY634" s="1271"/>
      <c r="GZ634" s="1271"/>
      <c r="HA634" s="1271"/>
      <c r="HB634" s="1271"/>
      <c r="HC634" s="1271"/>
      <c r="HD634" s="1271"/>
      <c r="HE634" s="1271"/>
      <c r="HF634" s="1271"/>
      <c r="HG634" s="1271"/>
      <c r="HH634" s="1271"/>
      <c r="HI634" s="1271"/>
      <c r="HJ634" s="1271"/>
      <c r="HK634" s="1271"/>
      <c r="HL634" s="1271"/>
      <c r="HM634" s="1271"/>
      <c r="HN634" s="1271"/>
      <c r="HO634" s="1271"/>
      <c r="HP634" s="1271"/>
      <c r="HQ634" s="1271"/>
      <c r="HR634" s="1271"/>
      <c r="HS634" s="1271"/>
      <c r="HT634" s="1271"/>
      <c r="HU634" s="1271"/>
      <c r="HV634" s="1271"/>
      <c r="HW634" s="1271"/>
      <c r="HX634" s="1271"/>
      <c r="HY634" s="1271"/>
      <c r="HZ634" s="1271"/>
      <c r="IA634" s="1271"/>
      <c r="IB634" s="1271"/>
      <c r="IC634" s="1271"/>
      <c r="ID634" s="1271"/>
      <c r="IE634" s="1271"/>
      <c r="IF634" s="1271"/>
      <c r="IG634" s="1271"/>
      <c r="IH634" s="1271"/>
      <c r="II634" s="1271"/>
      <c r="IJ634" s="1271"/>
      <c r="IK634" s="1271"/>
      <c r="IL634" s="1271"/>
      <c r="IM634" s="1271"/>
      <c r="IN634" s="1271"/>
      <c r="IO634" s="1271"/>
      <c r="IP634" s="1271"/>
      <c r="IQ634" s="1271"/>
      <c r="IR634" s="1271"/>
      <c r="IS634" s="1271"/>
      <c r="IT634" s="1271"/>
      <c r="IU634" s="1271"/>
      <c r="IV634" s="1271"/>
      <c r="IW634" s="1271"/>
      <c r="IX634" s="1271"/>
      <c r="IY634" s="1271"/>
      <c r="IZ634" s="1271"/>
      <c r="JA634" s="1271"/>
      <c r="JB634" s="1271"/>
      <c r="JC634" s="1271"/>
      <c r="JD634" s="1271"/>
      <c r="JE634" s="1271"/>
      <c r="JF634" s="1271"/>
      <c r="JG634" s="1271"/>
      <c r="JH634" s="1271"/>
      <c r="JI634" s="1271"/>
      <c r="JJ634" s="1271"/>
      <c r="JK634" s="1271"/>
      <c r="JL634" s="1271"/>
      <c r="JM634" s="1271"/>
      <c r="JN634" s="1271"/>
      <c r="JO634" s="1271"/>
      <c r="JP634" s="1271"/>
      <c r="JQ634" s="1271"/>
      <c r="JR634" s="1271"/>
      <c r="JS634" s="1271"/>
      <c r="JT634" s="1271"/>
      <c r="JU634" s="1271"/>
      <c r="JV634" s="1271"/>
      <c r="JW634" s="1271"/>
      <c r="JX634" s="1271"/>
      <c r="JY634" s="1271"/>
      <c r="JZ634" s="1271"/>
      <c r="KA634" s="1271"/>
      <c r="KB634" s="1271"/>
      <c r="KC634" s="1271"/>
      <c r="KD634" s="1271"/>
      <c r="KE634" s="1271"/>
      <c r="KF634" s="1271"/>
      <c r="KG634" s="1271"/>
      <c r="KH634" s="1271"/>
      <c r="KI634" s="1271"/>
      <c r="KJ634" s="1271"/>
      <c r="KK634" s="1271"/>
      <c r="KL634" s="1271"/>
      <c r="KM634" s="1271"/>
      <c r="KN634" s="1271"/>
      <c r="KO634" s="1271"/>
      <c r="KP634" s="1271"/>
      <c r="KQ634" s="1271"/>
      <c r="KR634" s="1271"/>
      <c r="KS634" s="1271"/>
      <c r="KT634" s="1271"/>
      <c r="KU634" s="1271"/>
      <c r="KV634" s="1271"/>
      <c r="KW634" s="1271"/>
      <c r="KX634" s="1271"/>
      <c r="KY634" s="1271"/>
      <c r="KZ634" s="1271"/>
      <c r="LA634" s="1271"/>
      <c r="LB634" s="1271"/>
      <c r="LC634" s="1271"/>
      <c r="LD634" s="1271"/>
      <c r="LE634" s="1271"/>
      <c r="LF634" s="1271"/>
      <c r="LG634" s="1271"/>
      <c r="LH634" s="1271"/>
      <c r="LI634" s="1271"/>
      <c r="LJ634" s="1271"/>
      <c r="LK634" s="1271"/>
      <c r="LL634" s="1271"/>
      <c r="LM634" s="1271"/>
      <c r="LN634" s="1271"/>
      <c r="LO634" s="1271"/>
      <c r="LP634" s="1271"/>
      <c r="LQ634" s="1271"/>
      <c r="LR634" s="1271"/>
      <c r="LS634" s="1271"/>
      <c r="LT634" s="1271"/>
      <c r="LU634" s="1271"/>
      <c r="LV634" s="1271"/>
      <c r="LW634" s="1271"/>
      <c r="LX634" s="1271"/>
      <c r="LY634" s="1271"/>
      <c r="LZ634" s="1271"/>
      <c r="MA634" s="1271"/>
      <c r="MB634" s="1271"/>
      <c r="MC634" s="1271"/>
      <c r="MD634" s="1271"/>
      <c r="ME634" s="1271"/>
      <c r="MF634" s="1271"/>
      <c r="MG634" s="1271"/>
      <c r="MH634" s="1271"/>
      <c r="MI634" s="1271"/>
      <c r="MJ634" s="1271"/>
      <c r="MK634" s="1271"/>
      <c r="ML634" s="1271"/>
      <c r="MM634" s="1271"/>
      <c r="MN634" s="1271"/>
      <c r="MO634" s="1271"/>
      <c r="MP634" s="1271"/>
      <c r="MQ634" s="1271"/>
      <c r="MR634" s="1271"/>
      <c r="MS634" s="1271"/>
      <c r="MT634" s="1271"/>
      <c r="MU634" s="1271"/>
      <c r="MV634" s="1271"/>
      <c r="MW634" s="1271"/>
      <c r="MX634" s="1271"/>
      <c r="MY634" s="1271"/>
      <c r="MZ634" s="1271"/>
      <c r="NA634" s="1271"/>
      <c r="NB634" s="1271"/>
      <c r="NC634" s="1271"/>
      <c r="ND634" s="1271"/>
      <c r="NE634" s="1271"/>
      <c r="NF634" s="1271"/>
      <c r="NG634" s="1271"/>
      <c r="NH634" s="1271"/>
      <c r="NI634" s="1271"/>
      <c r="NJ634" s="1271"/>
      <c r="NK634" s="1271"/>
      <c r="NL634" s="1271"/>
      <c r="NM634" s="1271"/>
      <c r="NN634" s="1271"/>
      <c r="NO634" s="1271"/>
      <c r="NP634" s="1271"/>
      <c r="NQ634" s="1271"/>
      <c r="NR634" s="1271"/>
      <c r="NS634" s="1271"/>
      <c r="NT634" s="1271"/>
      <c r="NU634" s="1271"/>
      <c r="NV634" s="1271"/>
      <c r="NW634" s="1271"/>
      <c r="NX634" s="1271"/>
      <c r="NY634" s="1271"/>
      <c r="NZ634" s="1271"/>
      <c r="OA634" s="1271"/>
      <c r="OB634" s="1271"/>
      <c r="OC634" s="1271"/>
      <c r="OD634" s="1271"/>
      <c r="OE634" s="1271"/>
      <c r="OF634" s="1271"/>
      <c r="OG634" s="1271"/>
      <c r="OH634" s="1271"/>
      <c r="OI634" s="1271"/>
      <c r="OJ634" s="1271"/>
      <c r="OK634" s="1271"/>
      <c r="OL634" s="1271"/>
      <c r="OM634" s="1271"/>
      <c r="ON634" s="1271"/>
      <c r="OO634" s="1271"/>
      <c r="OP634" s="1271"/>
      <c r="OQ634" s="1271"/>
      <c r="OR634" s="1271"/>
      <c r="OS634" s="1271"/>
      <c r="OT634" s="1271"/>
      <c r="OU634" s="1271"/>
      <c r="OV634" s="1271"/>
      <c r="OW634" s="1271"/>
      <c r="OX634" s="1271"/>
      <c r="OY634" s="1271"/>
      <c r="OZ634" s="1271"/>
      <c r="PA634" s="1271"/>
      <c r="PB634" s="1271"/>
      <c r="PC634" s="1271"/>
      <c r="PD634" s="1271"/>
      <c r="PE634" s="1271"/>
      <c r="PF634" s="1271"/>
      <c r="PG634" s="1271"/>
      <c r="PH634" s="1271"/>
      <c r="PI634" s="1271"/>
      <c r="PJ634" s="1271"/>
      <c r="PK634" s="1271"/>
      <c r="PL634" s="1271"/>
      <c r="PM634" s="1271"/>
      <c r="PN634" s="1271"/>
      <c r="PO634" s="1271"/>
      <c r="PP634" s="1271"/>
      <c r="PQ634" s="1271"/>
      <c r="PR634" s="1271"/>
      <c r="PS634" s="1271"/>
      <c r="PT634" s="1271"/>
      <c r="PU634" s="1271"/>
      <c r="PV634" s="1271"/>
      <c r="PW634" s="1271"/>
      <c r="PX634" s="1271"/>
      <c r="PY634" s="1271"/>
      <c r="PZ634" s="1271"/>
      <c r="QA634" s="1271"/>
      <c r="QB634" s="1271"/>
      <c r="QC634" s="1271"/>
      <c r="QD634" s="1271"/>
      <c r="QE634" s="1271"/>
      <c r="QF634" s="1271"/>
      <c r="QG634" s="1271"/>
      <c r="QH634" s="1271"/>
      <c r="QI634" s="1271"/>
      <c r="QJ634" s="1271"/>
      <c r="QK634" s="1271"/>
      <c r="QL634" s="1271"/>
      <c r="QM634" s="1271"/>
      <c r="QN634" s="1271"/>
      <c r="QO634" s="1271"/>
      <c r="QP634" s="1271"/>
      <c r="QQ634" s="1271"/>
      <c r="QR634" s="1271"/>
      <c r="QS634" s="1271"/>
      <c r="QT634" s="1271"/>
      <c r="QU634" s="1271"/>
      <c r="QV634" s="1271"/>
      <c r="QW634" s="1271"/>
      <c r="QX634" s="1271"/>
      <c r="QY634" s="1271"/>
      <c r="QZ634" s="1271"/>
      <c r="RA634" s="1271"/>
      <c r="RB634" s="1271"/>
      <c r="RC634" s="1271"/>
      <c r="RD634" s="1271"/>
      <c r="RE634" s="1271"/>
      <c r="RF634" s="1271"/>
      <c r="RG634" s="1271"/>
      <c r="RH634" s="1271"/>
      <c r="RI634" s="1271"/>
      <c r="RJ634" s="1271"/>
      <c r="RK634" s="1271"/>
      <c r="RL634" s="1271"/>
      <c r="RM634" s="1271"/>
      <c r="RN634" s="1271"/>
      <c r="RO634" s="1271"/>
      <c r="RP634" s="1271"/>
      <c r="RQ634" s="1271"/>
      <c r="RR634" s="1271"/>
      <c r="RS634" s="1271"/>
      <c r="RT634" s="1271"/>
      <c r="RU634" s="1271"/>
      <c r="RV634" s="1271"/>
      <c r="RW634" s="1271"/>
      <c r="RX634" s="1271"/>
      <c r="RY634" s="1271"/>
      <c r="RZ634" s="1271"/>
      <c r="SA634" s="1271"/>
      <c r="SB634" s="1271"/>
      <c r="SC634" s="1271"/>
      <c r="SD634" s="1271"/>
      <c r="SE634" s="1271"/>
      <c r="SF634" s="1271"/>
      <c r="SG634" s="1271"/>
      <c r="SH634" s="1271"/>
      <c r="SI634" s="1271"/>
      <c r="SJ634" s="1271"/>
      <c r="SK634" s="1271"/>
      <c r="SL634" s="1271"/>
      <c r="SM634" s="1271"/>
      <c r="SN634" s="1271"/>
      <c r="SO634" s="1271"/>
      <c r="SP634" s="1271"/>
      <c r="SQ634" s="1271"/>
      <c r="SR634" s="1271"/>
      <c r="SS634" s="1271"/>
      <c r="ST634" s="1271"/>
      <c r="SU634" s="1271"/>
      <c r="SV634" s="1271"/>
      <c r="SW634" s="1271"/>
      <c r="SX634" s="1271"/>
      <c r="SY634" s="1271"/>
      <c r="SZ634" s="1271"/>
      <c r="TA634" s="1271"/>
      <c r="TB634" s="1271"/>
      <c r="TC634" s="1271"/>
      <c r="TD634" s="1271"/>
      <c r="TE634" s="1271"/>
      <c r="TF634" s="1271"/>
      <c r="TG634" s="1271"/>
      <c r="TH634" s="1271"/>
      <c r="TI634" s="1271"/>
      <c r="TJ634" s="1271"/>
      <c r="TK634" s="1271"/>
      <c r="TL634" s="1271"/>
      <c r="TM634" s="1271"/>
      <c r="TN634" s="1271"/>
      <c r="TO634" s="1271"/>
      <c r="TP634" s="1271"/>
      <c r="TQ634" s="1271"/>
      <c r="TR634" s="1271"/>
      <c r="TS634" s="1271"/>
      <c r="TT634" s="1271"/>
      <c r="TU634" s="1271"/>
      <c r="TV634" s="1271"/>
      <c r="TW634" s="1271"/>
      <c r="TX634" s="1271"/>
      <c r="TY634" s="1271"/>
      <c r="TZ634" s="1271"/>
      <c r="UA634" s="1271"/>
      <c r="UB634" s="1271"/>
      <c r="UC634" s="1271"/>
      <c r="UD634" s="1271"/>
      <c r="UE634" s="1271"/>
      <c r="UF634" s="1271"/>
      <c r="UG634" s="1272"/>
    </row>
    <row r="635" spans="1:553" s="1262" customFormat="1" ht="50.25" customHeight="1">
      <c r="A635" s="366"/>
      <c r="B635" s="366"/>
      <c r="C635" s="1518" t="s">
        <v>449</v>
      </c>
      <c r="D635" s="1389"/>
      <c r="E635" s="1389"/>
      <c r="F635" s="1389"/>
      <c r="G635" s="1226" t="s">
        <v>196</v>
      </c>
      <c r="H635" s="586"/>
      <c r="I635" s="370">
        <f>(31.98*100/400)*(17-(4-3))*3</f>
        <v>383.76</v>
      </c>
      <c r="J635" s="368">
        <v>5800</v>
      </c>
      <c r="K635" s="717">
        <v>0.7</v>
      </c>
      <c r="L635" s="369">
        <f>I635*J635*K635</f>
        <v>1558065.5999999999</v>
      </c>
      <c r="M635" s="366"/>
      <c r="N635" s="366"/>
      <c r="O635" s="366"/>
      <c r="P635" s="366"/>
      <c r="Q635" s="812"/>
      <c r="R635" s="1452"/>
      <c r="S635" s="308"/>
      <c r="T635" s="308"/>
      <c r="U635" s="308"/>
      <c r="V635" s="308"/>
      <c r="W635" s="308"/>
      <c r="X635" s="308"/>
      <c r="Y635" s="308"/>
      <c r="Z635" s="604"/>
      <c r="AA635" s="308"/>
      <c r="AB635" s="308"/>
      <c r="AC635" s="449"/>
      <c r="AD635" s="449"/>
      <c r="AE635" s="449"/>
      <c r="AF635" s="449"/>
      <c r="AG635" s="449"/>
      <c r="AH635" s="449"/>
      <c r="AI635" s="449"/>
      <c r="AJ635" s="449"/>
      <c r="AK635" s="452"/>
      <c r="AL635" s="1269"/>
      <c r="AM635" s="1270"/>
      <c r="AN635" s="1270"/>
      <c r="AO635" s="1270"/>
      <c r="AP635" s="1270"/>
      <c r="AQ635" s="1270"/>
      <c r="AR635" s="1270"/>
      <c r="AS635" s="1260"/>
      <c r="AT635" s="1260"/>
      <c r="AU635" s="1260"/>
      <c r="AV635" s="1260"/>
      <c r="AW635" s="1260"/>
      <c r="AX635" s="1260"/>
      <c r="AY635" s="1260"/>
      <c r="AZ635" s="1260"/>
      <c r="BA635" s="1260"/>
      <c r="BB635" s="1260"/>
      <c r="BC635" s="1260"/>
      <c r="BD635" s="1260"/>
      <c r="BE635" s="1260"/>
      <c r="BF635" s="1260"/>
      <c r="BG635" s="1260"/>
      <c r="BH635" s="1260"/>
      <c r="BI635" s="1260"/>
      <c r="BJ635" s="1260"/>
      <c r="BK635" s="1260"/>
      <c r="BL635" s="1260"/>
      <c r="BM635" s="1260"/>
      <c r="BN635" s="1260"/>
      <c r="BO635" s="1260"/>
      <c r="BP635" s="1271"/>
      <c r="BQ635" s="1271"/>
      <c r="BR635" s="1271"/>
      <c r="BS635" s="1271"/>
      <c r="BT635" s="1271"/>
      <c r="BU635" s="1271"/>
      <c r="BV635" s="1271"/>
      <c r="BW635" s="1271"/>
      <c r="BX635" s="1271"/>
      <c r="BY635" s="1271"/>
      <c r="BZ635" s="1271"/>
      <c r="CA635" s="1271"/>
      <c r="CB635" s="1271"/>
      <c r="CC635" s="1271"/>
      <c r="CD635" s="1271"/>
      <c r="CE635" s="1271"/>
      <c r="CF635" s="1271"/>
      <c r="CG635" s="1271"/>
      <c r="CH635" s="1271"/>
      <c r="CI635" s="1271"/>
      <c r="CJ635" s="1271"/>
      <c r="CK635" s="1271"/>
      <c r="CL635" s="1271"/>
      <c r="CM635" s="1271"/>
      <c r="CN635" s="1271"/>
      <c r="CO635" s="1271"/>
      <c r="CP635" s="1271"/>
      <c r="CQ635" s="1271"/>
      <c r="CR635" s="1271"/>
      <c r="CS635" s="1271"/>
      <c r="CT635" s="1271"/>
      <c r="CU635" s="1271"/>
      <c r="CV635" s="1271"/>
      <c r="CW635" s="1271"/>
      <c r="CX635" s="1271"/>
      <c r="CY635" s="1271"/>
      <c r="CZ635" s="1271"/>
      <c r="DA635" s="1271"/>
      <c r="DB635" s="1271"/>
      <c r="DC635" s="1271"/>
      <c r="DD635" s="1271"/>
      <c r="DE635" s="1271"/>
      <c r="DF635" s="1271"/>
      <c r="DG635" s="1271"/>
      <c r="DH635" s="1271"/>
      <c r="DI635" s="1271"/>
      <c r="DJ635" s="1271"/>
      <c r="DK635" s="1271"/>
      <c r="DL635" s="1271"/>
      <c r="DM635" s="1271"/>
      <c r="DN635" s="1271"/>
      <c r="DO635" s="1271"/>
      <c r="DP635" s="1271"/>
      <c r="DQ635" s="1271"/>
      <c r="DR635" s="1271"/>
      <c r="DS635" s="1271"/>
      <c r="DT635" s="1271"/>
      <c r="DU635" s="1271"/>
      <c r="DV635" s="1271"/>
      <c r="DW635" s="1271"/>
      <c r="DX635" s="1271"/>
      <c r="DY635" s="1271"/>
      <c r="DZ635" s="1271"/>
      <c r="EA635" s="1271"/>
      <c r="EB635" s="1271"/>
      <c r="EC635" s="1271"/>
      <c r="ED635" s="1271"/>
      <c r="EE635" s="1271"/>
      <c r="EF635" s="1271"/>
      <c r="EG635" s="1271"/>
      <c r="EH635" s="1271"/>
      <c r="EI635" s="1271"/>
      <c r="EJ635" s="1271"/>
      <c r="EK635" s="1271"/>
      <c r="EL635" s="1271"/>
      <c r="EM635" s="1271"/>
      <c r="EN635" s="1271"/>
      <c r="EO635" s="1271"/>
      <c r="EP635" s="1271"/>
      <c r="EQ635" s="1271"/>
      <c r="ER635" s="1271"/>
      <c r="ES635" s="1271"/>
      <c r="ET635" s="1271"/>
      <c r="EU635" s="1271"/>
      <c r="EV635" s="1271"/>
      <c r="EW635" s="1271"/>
      <c r="EX635" s="1271"/>
      <c r="EY635" s="1271"/>
      <c r="EZ635" s="1271"/>
      <c r="FA635" s="1271"/>
      <c r="FB635" s="1271"/>
      <c r="FC635" s="1271"/>
      <c r="FD635" s="1271"/>
      <c r="FE635" s="1271"/>
      <c r="FF635" s="1271"/>
      <c r="FG635" s="1271"/>
      <c r="FH635" s="1271"/>
      <c r="FI635" s="1271"/>
      <c r="FJ635" s="1271"/>
      <c r="FK635" s="1271"/>
      <c r="FL635" s="1271"/>
      <c r="FM635" s="1271"/>
      <c r="FN635" s="1271"/>
      <c r="FO635" s="1271"/>
      <c r="FP635" s="1271"/>
      <c r="FQ635" s="1271"/>
      <c r="FR635" s="1271"/>
      <c r="FS635" s="1271"/>
      <c r="FT635" s="1271"/>
      <c r="FU635" s="1271"/>
      <c r="FV635" s="1271"/>
      <c r="FW635" s="1271"/>
      <c r="FX635" s="1271"/>
      <c r="FY635" s="1271"/>
      <c r="FZ635" s="1271"/>
      <c r="GA635" s="1271"/>
      <c r="GB635" s="1271"/>
      <c r="GC635" s="1271"/>
      <c r="GD635" s="1271"/>
      <c r="GE635" s="1271"/>
      <c r="GF635" s="1271"/>
      <c r="GG635" s="1271"/>
      <c r="GH635" s="1271"/>
      <c r="GI635" s="1271"/>
      <c r="GJ635" s="1271"/>
      <c r="GK635" s="1271"/>
      <c r="GL635" s="1271"/>
      <c r="GM635" s="1271"/>
      <c r="GN635" s="1271"/>
      <c r="GO635" s="1271"/>
      <c r="GP635" s="1271"/>
      <c r="GQ635" s="1271"/>
      <c r="GR635" s="1271"/>
      <c r="GS635" s="1271"/>
      <c r="GT635" s="1271"/>
      <c r="GU635" s="1271"/>
      <c r="GV635" s="1271"/>
      <c r="GW635" s="1271"/>
      <c r="GX635" s="1271"/>
      <c r="GY635" s="1271"/>
      <c r="GZ635" s="1271"/>
      <c r="HA635" s="1271"/>
      <c r="HB635" s="1271"/>
      <c r="HC635" s="1271"/>
      <c r="HD635" s="1271"/>
      <c r="HE635" s="1271"/>
      <c r="HF635" s="1271"/>
      <c r="HG635" s="1271"/>
      <c r="HH635" s="1271"/>
      <c r="HI635" s="1271"/>
      <c r="HJ635" s="1271"/>
      <c r="HK635" s="1271"/>
      <c r="HL635" s="1271"/>
      <c r="HM635" s="1271"/>
      <c r="HN635" s="1271"/>
      <c r="HO635" s="1271"/>
      <c r="HP635" s="1271"/>
      <c r="HQ635" s="1271"/>
      <c r="HR635" s="1271"/>
      <c r="HS635" s="1271"/>
      <c r="HT635" s="1271"/>
      <c r="HU635" s="1271"/>
      <c r="HV635" s="1271"/>
      <c r="HW635" s="1271"/>
      <c r="HX635" s="1271"/>
      <c r="HY635" s="1271"/>
      <c r="HZ635" s="1271"/>
      <c r="IA635" s="1271"/>
      <c r="IB635" s="1271"/>
      <c r="IC635" s="1271"/>
      <c r="ID635" s="1271"/>
      <c r="IE635" s="1271"/>
      <c r="IF635" s="1271"/>
      <c r="IG635" s="1271"/>
      <c r="IH635" s="1271"/>
      <c r="II635" s="1271"/>
      <c r="IJ635" s="1271"/>
      <c r="IK635" s="1271"/>
      <c r="IL635" s="1271"/>
      <c r="IM635" s="1271"/>
      <c r="IN635" s="1271"/>
      <c r="IO635" s="1271"/>
      <c r="IP635" s="1271"/>
      <c r="IQ635" s="1271"/>
      <c r="IR635" s="1271"/>
      <c r="IS635" s="1271"/>
      <c r="IT635" s="1271"/>
      <c r="IU635" s="1271"/>
      <c r="IV635" s="1271"/>
      <c r="IW635" s="1271"/>
      <c r="IX635" s="1271"/>
      <c r="IY635" s="1271"/>
      <c r="IZ635" s="1271"/>
      <c r="JA635" s="1271"/>
      <c r="JB635" s="1271"/>
      <c r="JC635" s="1271"/>
      <c r="JD635" s="1271"/>
      <c r="JE635" s="1271"/>
      <c r="JF635" s="1271"/>
      <c r="JG635" s="1271"/>
      <c r="JH635" s="1271"/>
      <c r="JI635" s="1271"/>
      <c r="JJ635" s="1271"/>
      <c r="JK635" s="1271"/>
      <c r="JL635" s="1271"/>
      <c r="JM635" s="1271"/>
      <c r="JN635" s="1271"/>
      <c r="JO635" s="1271"/>
      <c r="JP635" s="1271"/>
      <c r="JQ635" s="1271"/>
      <c r="JR635" s="1271"/>
      <c r="JS635" s="1271"/>
      <c r="JT635" s="1271"/>
      <c r="JU635" s="1271"/>
      <c r="JV635" s="1271"/>
      <c r="JW635" s="1271"/>
      <c r="JX635" s="1271"/>
      <c r="JY635" s="1271"/>
      <c r="JZ635" s="1271"/>
      <c r="KA635" s="1271"/>
      <c r="KB635" s="1271"/>
      <c r="KC635" s="1271"/>
      <c r="KD635" s="1271"/>
      <c r="KE635" s="1271"/>
      <c r="KF635" s="1271"/>
      <c r="KG635" s="1271"/>
      <c r="KH635" s="1271"/>
      <c r="KI635" s="1271"/>
      <c r="KJ635" s="1271"/>
      <c r="KK635" s="1271"/>
      <c r="KL635" s="1271"/>
      <c r="KM635" s="1271"/>
      <c r="KN635" s="1271"/>
      <c r="KO635" s="1271"/>
      <c r="KP635" s="1271"/>
      <c r="KQ635" s="1271"/>
      <c r="KR635" s="1271"/>
      <c r="KS635" s="1271"/>
      <c r="KT635" s="1271"/>
      <c r="KU635" s="1271"/>
      <c r="KV635" s="1271"/>
      <c r="KW635" s="1271"/>
      <c r="KX635" s="1271"/>
      <c r="KY635" s="1271"/>
      <c r="KZ635" s="1271"/>
      <c r="LA635" s="1271"/>
      <c r="LB635" s="1271"/>
      <c r="LC635" s="1271"/>
      <c r="LD635" s="1271"/>
      <c r="LE635" s="1271"/>
      <c r="LF635" s="1271"/>
      <c r="LG635" s="1271"/>
      <c r="LH635" s="1271"/>
      <c r="LI635" s="1271"/>
      <c r="LJ635" s="1271"/>
      <c r="LK635" s="1271"/>
      <c r="LL635" s="1271"/>
      <c r="LM635" s="1271"/>
      <c r="LN635" s="1271"/>
      <c r="LO635" s="1271"/>
      <c r="LP635" s="1271"/>
      <c r="LQ635" s="1271"/>
      <c r="LR635" s="1271"/>
      <c r="LS635" s="1271"/>
      <c r="LT635" s="1271"/>
      <c r="LU635" s="1271"/>
      <c r="LV635" s="1271"/>
      <c r="LW635" s="1271"/>
      <c r="LX635" s="1271"/>
      <c r="LY635" s="1271"/>
      <c r="LZ635" s="1271"/>
      <c r="MA635" s="1271"/>
      <c r="MB635" s="1271"/>
      <c r="MC635" s="1271"/>
      <c r="MD635" s="1271"/>
      <c r="ME635" s="1271"/>
      <c r="MF635" s="1271"/>
      <c r="MG635" s="1271"/>
      <c r="MH635" s="1271"/>
      <c r="MI635" s="1271"/>
      <c r="MJ635" s="1271"/>
      <c r="MK635" s="1271"/>
      <c r="ML635" s="1271"/>
      <c r="MM635" s="1271"/>
      <c r="MN635" s="1271"/>
      <c r="MO635" s="1271"/>
      <c r="MP635" s="1271"/>
      <c r="MQ635" s="1271"/>
      <c r="MR635" s="1271"/>
      <c r="MS635" s="1271"/>
      <c r="MT635" s="1271"/>
      <c r="MU635" s="1271"/>
      <c r="MV635" s="1271"/>
      <c r="MW635" s="1271"/>
      <c r="MX635" s="1271"/>
      <c r="MY635" s="1271"/>
      <c r="MZ635" s="1271"/>
      <c r="NA635" s="1271"/>
      <c r="NB635" s="1271"/>
      <c r="NC635" s="1271"/>
      <c r="ND635" s="1271"/>
      <c r="NE635" s="1271"/>
      <c r="NF635" s="1271"/>
      <c r="NG635" s="1271"/>
      <c r="NH635" s="1271"/>
      <c r="NI635" s="1271"/>
      <c r="NJ635" s="1271"/>
      <c r="NK635" s="1271"/>
      <c r="NL635" s="1271"/>
      <c r="NM635" s="1271"/>
      <c r="NN635" s="1271"/>
      <c r="NO635" s="1271"/>
      <c r="NP635" s="1271"/>
      <c r="NQ635" s="1271"/>
      <c r="NR635" s="1271"/>
      <c r="NS635" s="1271"/>
      <c r="NT635" s="1271"/>
      <c r="NU635" s="1271"/>
      <c r="NV635" s="1271"/>
      <c r="NW635" s="1271"/>
      <c r="NX635" s="1271"/>
      <c r="NY635" s="1271"/>
      <c r="NZ635" s="1271"/>
      <c r="OA635" s="1271"/>
      <c r="OB635" s="1271"/>
      <c r="OC635" s="1271"/>
      <c r="OD635" s="1271"/>
      <c r="OE635" s="1271"/>
      <c r="OF635" s="1271"/>
      <c r="OG635" s="1271"/>
      <c r="OH635" s="1271"/>
      <c r="OI635" s="1271"/>
      <c r="OJ635" s="1271"/>
      <c r="OK635" s="1271"/>
      <c r="OL635" s="1271"/>
      <c r="OM635" s="1271"/>
      <c r="ON635" s="1271"/>
      <c r="OO635" s="1271"/>
      <c r="OP635" s="1271"/>
      <c r="OQ635" s="1271"/>
      <c r="OR635" s="1271"/>
      <c r="OS635" s="1271"/>
      <c r="OT635" s="1271"/>
      <c r="OU635" s="1271"/>
      <c r="OV635" s="1271"/>
      <c r="OW635" s="1271"/>
      <c r="OX635" s="1271"/>
      <c r="OY635" s="1271"/>
      <c r="OZ635" s="1271"/>
      <c r="PA635" s="1271"/>
      <c r="PB635" s="1271"/>
      <c r="PC635" s="1271"/>
      <c r="PD635" s="1271"/>
      <c r="PE635" s="1271"/>
      <c r="PF635" s="1271"/>
      <c r="PG635" s="1271"/>
      <c r="PH635" s="1271"/>
      <c r="PI635" s="1271"/>
      <c r="PJ635" s="1271"/>
      <c r="PK635" s="1271"/>
      <c r="PL635" s="1271"/>
      <c r="PM635" s="1271"/>
      <c r="PN635" s="1271"/>
      <c r="PO635" s="1271"/>
      <c r="PP635" s="1271"/>
      <c r="PQ635" s="1271"/>
      <c r="PR635" s="1271"/>
      <c r="PS635" s="1271"/>
      <c r="PT635" s="1271"/>
      <c r="PU635" s="1271"/>
      <c r="PV635" s="1271"/>
      <c r="PW635" s="1271"/>
      <c r="PX635" s="1271"/>
      <c r="PY635" s="1271"/>
      <c r="PZ635" s="1271"/>
      <c r="QA635" s="1271"/>
      <c r="QB635" s="1271"/>
      <c r="QC635" s="1271"/>
      <c r="QD635" s="1271"/>
      <c r="QE635" s="1271"/>
      <c r="QF635" s="1271"/>
      <c r="QG635" s="1271"/>
      <c r="QH635" s="1271"/>
      <c r="QI635" s="1271"/>
      <c r="QJ635" s="1271"/>
      <c r="QK635" s="1271"/>
      <c r="QL635" s="1271"/>
      <c r="QM635" s="1271"/>
      <c r="QN635" s="1271"/>
      <c r="QO635" s="1271"/>
      <c r="QP635" s="1271"/>
      <c r="QQ635" s="1271"/>
      <c r="QR635" s="1271"/>
      <c r="QS635" s="1271"/>
      <c r="QT635" s="1271"/>
      <c r="QU635" s="1271"/>
      <c r="QV635" s="1271"/>
      <c r="QW635" s="1271"/>
      <c r="QX635" s="1271"/>
      <c r="QY635" s="1271"/>
      <c r="QZ635" s="1271"/>
      <c r="RA635" s="1271"/>
      <c r="RB635" s="1271"/>
      <c r="RC635" s="1271"/>
      <c r="RD635" s="1271"/>
      <c r="RE635" s="1271"/>
      <c r="RF635" s="1271"/>
      <c r="RG635" s="1271"/>
      <c r="RH635" s="1271"/>
      <c r="RI635" s="1271"/>
      <c r="RJ635" s="1271"/>
      <c r="RK635" s="1271"/>
      <c r="RL635" s="1271"/>
      <c r="RM635" s="1271"/>
      <c r="RN635" s="1271"/>
      <c r="RO635" s="1271"/>
      <c r="RP635" s="1271"/>
      <c r="RQ635" s="1271"/>
      <c r="RR635" s="1271"/>
      <c r="RS635" s="1271"/>
      <c r="RT635" s="1271"/>
      <c r="RU635" s="1271"/>
      <c r="RV635" s="1271"/>
      <c r="RW635" s="1271"/>
      <c r="RX635" s="1271"/>
      <c r="RY635" s="1271"/>
      <c r="RZ635" s="1271"/>
      <c r="SA635" s="1271"/>
      <c r="SB635" s="1271"/>
      <c r="SC635" s="1271"/>
      <c r="SD635" s="1271"/>
      <c r="SE635" s="1271"/>
      <c r="SF635" s="1271"/>
      <c r="SG635" s="1271"/>
      <c r="SH635" s="1271"/>
      <c r="SI635" s="1271"/>
      <c r="SJ635" s="1271"/>
      <c r="SK635" s="1271"/>
      <c r="SL635" s="1271"/>
      <c r="SM635" s="1271"/>
      <c r="SN635" s="1271"/>
      <c r="SO635" s="1271"/>
      <c r="SP635" s="1271"/>
      <c r="SQ635" s="1271"/>
      <c r="SR635" s="1271"/>
      <c r="SS635" s="1271"/>
      <c r="ST635" s="1271"/>
      <c r="SU635" s="1271"/>
      <c r="SV635" s="1271"/>
      <c r="SW635" s="1271"/>
      <c r="SX635" s="1271"/>
      <c r="SY635" s="1271"/>
      <c r="SZ635" s="1271"/>
      <c r="TA635" s="1271"/>
      <c r="TB635" s="1271"/>
      <c r="TC635" s="1271"/>
      <c r="TD635" s="1271"/>
      <c r="TE635" s="1271"/>
      <c r="TF635" s="1271"/>
      <c r="TG635" s="1271"/>
      <c r="TH635" s="1271"/>
      <c r="TI635" s="1271"/>
      <c r="TJ635" s="1271"/>
      <c r="TK635" s="1271"/>
      <c r="TL635" s="1271"/>
      <c r="TM635" s="1271"/>
      <c r="TN635" s="1271"/>
      <c r="TO635" s="1271"/>
      <c r="TP635" s="1271"/>
      <c r="TQ635" s="1271"/>
      <c r="TR635" s="1271"/>
      <c r="TS635" s="1271"/>
      <c r="TT635" s="1271"/>
      <c r="TU635" s="1271"/>
      <c r="TV635" s="1271"/>
      <c r="TW635" s="1271"/>
      <c r="TX635" s="1271"/>
      <c r="TY635" s="1271"/>
      <c r="TZ635" s="1271"/>
      <c r="UA635" s="1271"/>
      <c r="UB635" s="1271"/>
      <c r="UC635" s="1271"/>
      <c r="UD635" s="1271"/>
      <c r="UE635" s="1271"/>
      <c r="UF635" s="1271"/>
      <c r="UG635" s="1272"/>
    </row>
    <row r="636" spans="1:553" s="1262" customFormat="1" ht="50.25" customHeight="1">
      <c r="A636" s="366"/>
      <c r="B636" s="366"/>
      <c r="C636" s="1518" t="s">
        <v>450</v>
      </c>
      <c r="D636" s="1389"/>
      <c r="E636" s="1389"/>
      <c r="F636" s="1389"/>
      <c r="G636" s="1226" t="s">
        <v>196</v>
      </c>
      <c r="H636" s="586"/>
      <c r="I636" s="370">
        <f>(161.02*100/400)*(12-(10-3))*1</f>
        <v>201.27500000000001</v>
      </c>
      <c r="J636" s="368">
        <v>10600</v>
      </c>
      <c r="K636" s="495">
        <v>0.7</v>
      </c>
      <c r="L636" s="480">
        <f t="shared" si="105"/>
        <v>1493460.5</v>
      </c>
      <c r="M636" s="366"/>
      <c r="N636" s="366"/>
      <c r="O636" s="366"/>
      <c r="P636" s="366"/>
      <c r="Q636" s="812"/>
      <c r="R636" s="1452"/>
      <c r="S636" s="308"/>
      <c r="T636" s="308"/>
      <c r="U636" s="308"/>
      <c r="V636" s="308"/>
      <c r="W636" s="308"/>
      <c r="X636" s="308"/>
      <c r="Y636" s="308"/>
      <c r="Z636" s="604"/>
      <c r="AA636" s="308"/>
      <c r="AB636" s="308"/>
      <c r="AC636" s="449"/>
      <c r="AD636" s="449"/>
      <c r="AE636" s="449"/>
      <c r="AF636" s="449"/>
      <c r="AG636" s="449"/>
      <c r="AH636" s="449"/>
      <c r="AI636" s="449"/>
      <c r="AJ636" s="449"/>
      <c r="AK636" s="452"/>
      <c r="AL636" s="1269"/>
      <c r="AM636" s="1270"/>
      <c r="AN636" s="1270"/>
      <c r="AO636" s="1270"/>
      <c r="AP636" s="1270"/>
      <c r="AQ636" s="1270"/>
      <c r="AR636" s="1270"/>
      <c r="AS636" s="1260"/>
      <c r="AT636" s="1260"/>
      <c r="AU636" s="1260"/>
      <c r="AV636" s="1260"/>
      <c r="AW636" s="1260"/>
      <c r="AX636" s="1260"/>
      <c r="AY636" s="1260"/>
      <c r="AZ636" s="1260"/>
      <c r="BA636" s="1260"/>
      <c r="BB636" s="1260"/>
      <c r="BC636" s="1260"/>
      <c r="BD636" s="1260"/>
      <c r="BE636" s="1260"/>
      <c r="BF636" s="1260"/>
      <c r="BG636" s="1260"/>
      <c r="BH636" s="1260"/>
      <c r="BI636" s="1260"/>
      <c r="BJ636" s="1260"/>
      <c r="BK636" s="1260"/>
      <c r="BL636" s="1260"/>
      <c r="BM636" s="1260"/>
      <c r="BN636" s="1260"/>
      <c r="BO636" s="1260"/>
      <c r="BP636" s="1271"/>
      <c r="BQ636" s="1271"/>
      <c r="BR636" s="1271"/>
      <c r="BS636" s="1271"/>
      <c r="BT636" s="1271"/>
      <c r="BU636" s="1271"/>
      <c r="BV636" s="1271"/>
      <c r="BW636" s="1271"/>
      <c r="BX636" s="1271"/>
      <c r="BY636" s="1271"/>
      <c r="BZ636" s="1271"/>
      <c r="CA636" s="1271"/>
      <c r="CB636" s="1271"/>
      <c r="CC636" s="1271"/>
      <c r="CD636" s="1271"/>
      <c r="CE636" s="1271"/>
      <c r="CF636" s="1271"/>
      <c r="CG636" s="1271"/>
      <c r="CH636" s="1271"/>
      <c r="CI636" s="1271"/>
      <c r="CJ636" s="1271"/>
      <c r="CK636" s="1271"/>
      <c r="CL636" s="1271"/>
      <c r="CM636" s="1271"/>
      <c r="CN636" s="1271"/>
      <c r="CO636" s="1271"/>
      <c r="CP636" s="1271"/>
      <c r="CQ636" s="1271"/>
      <c r="CR636" s="1271"/>
      <c r="CS636" s="1271"/>
      <c r="CT636" s="1271"/>
      <c r="CU636" s="1271"/>
      <c r="CV636" s="1271"/>
      <c r="CW636" s="1271"/>
      <c r="CX636" s="1271"/>
      <c r="CY636" s="1271"/>
      <c r="CZ636" s="1271"/>
      <c r="DA636" s="1271"/>
      <c r="DB636" s="1271"/>
      <c r="DC636" s="1271"/>
      <c r="DD636" s="1271"/>
      <c r="DE636" s="1271"/>
      <c r="DF636" s="1271"/>
      <c r="DG636" s="1271"/>
      <c r="DH636" s="1271"/>
      <c r="DI636" s="1271"/>
      <c r="DJ636" s="1271"/>
      <c r="DK636" s="1271"/>
      <c r="DL636" s="1271"/>
      <c r="DM636" s="1271"/>
      <c r="DN636" s="1271"/>
      <c r="DO636" s="1271"/>
      <c r="DP636" s="1271"/>
      <c r="DQ636" s="1271"/>
      <c r="DR636" s="1271"/>
      <c r="DS636" s="1271"/>
      <c r="DT636" s="1271"/>
      <c r="DU636" s="1271"/>
      <c r="DV636" s="1271"/>
      <c r="DW636" s="1271"/>
      <c r="DX636" s="1271"/>
      <c r="DY636" s="1271"/>
      <c r="DZ636" s="1271"/>
      <c r="EA636" s="1271"/>
      <c r="EB636" s="1271"/>
      <c r="EC636" s="1271"/>
      <c r="ED636" s="1271"/>
      <c r="EE636" s="1271"/>
      <c r="EF636" s="1271"/>
      <c r="EG636" s="1271"/>
      <c r="EH636" s="1271"/>
      <c r="EI636" s="1271"/>
      <c r="EJ636" s="1271"/>
      <c r="EK636" s="1271"/>
      <c r="EL636" s="1271"/>
      <c r="EM636" s="1271"/>
      <c r="EN636" s="1271"/>
      <c r="EO636" s="1271"/>
      <c r="EP636" s="1271"/>
      <c r="EQ636" s="1271"/>
      <c r="ER636" s="1271"/>
      <c r="ES636" s="1271"/>
      <c r="ET636" s="1271"/>
      <c r="EU636" s="1271"/>
      <c r="EV636" s="1271"/>
      <c r="EW636" s="1271"/>
      <c r="EX636" s="1271"/>
      <c r="EY636" s="1271"/>
      <c r="EZ636" s="1271"/>
      <c r="FA636" s="1271"/>
      <c r="FB636" s="1271"/>
      <c r="FC636" s="1271"/>
      <c r="FD636" s="1271"/>
      <c r="FE636" s="1271"/>
      <c r="FF636" s="1271"/>
      <c r="FG636" s="1271"/>
      <c r="FH636" s="1271"/>
      <c r="FI636" s="1271"/>
      <c r="FJ636" s="1271"/>
      <c r="FK636" s="1271"/>
      <c r="FL636" s="1271"/>
      <c r="FM636" s="1271"/>
      <c r="FN636" s="1271"/>
      <c r="FO636" s="1271"/>
      <c r="FP636" s="1271"/>
      <c r="FQ636" s="1271"/>
      <c r="FR636" s="1271"/>
      <c r="FS636" s="1271"/>
      <c r="FT636" s="1271"/>
      <c r="FU636" s="1271"/>
      <c r="FV636" s="1271"/>
      <c r="FW636" s="1271"/>
      <c r="FX636" s="1271"/>
      <c r="FY636" s="1271"/>
      <c r="FZ636" s="1271"/>
      <c r="GA636" s="1271"/>
      <c r="GB636" s="1271"/>
      <c r="GC636" s="1271"/>
      <c r="GD636" s="1271"/>
      <c r="GE636" s="1271"/>
      <c r="GF636" s="1271"/>
      <c r="GG636" s="1271"/>
      <c r="GH636" s="1271"/>
      <c r="GI636" s="1271"/>
      <c r="GJ636" s="1271"/>
      <c r="GK636" s="1271"/>
      <c r="GL636" s="1271"/>
      <c r="GM636" s="1271"/>
      <c r="GN636" s="1271"/>
      <c r="GO636" s="1271"/>
      <c r="GP636" s="1271"/>
      <c r="GQ636" s="1271"/>
      <c r="GR636" s="1271"/>
      <c r="GS636" s="1271"/>
      <c r="GT636" s="1271"/>
      <c r="GU636" s="1271"/>
      <c r="GV636" s="1271"/>
      <c r="GW636" s="1271"/>
      <c r="GX636" s="1271"/>
      <c r="GY636" s="1271"/>
      <c r="GZ636" s="1271"/>
      <c r="HA636" s="1271"/>
      <c r="HB636" s="1271"/>
      <c r="HC636" s="1271"/>
      <c r="HD636" s="1271"/>
      <c r="HE636" s="1271"/>
      <c r="HF636" s="1271"/>
      <c r="HG636" s="1271"/>
      <c r="HH636" s="1271"/>
      <c r="HI636" s="1271"/>
      <c r="HJ636" s="1271"/>
      <c r="HK636" s="1271"/>
      <c r="HL636" s="1271"/>
      <c r="HM636" s="1271"/>
      <c r="HN636" s="1271"/>
      <c r="HO636" s="1271"/>
      <c r="HP636" s="1271"/>
      <c r="HQ636" s="1271"/>
      <c r="HR636" s="1271"/>
      <c r="HS636" s="1271"/>
      <c r="HT636" s="1271"/>
      <c r="HU636" s="1271"/>
      <c r="HV636" s="1271"/>
      <c r="HW636" s="1271"/>
      <c r="HX636" s="1271"/>
      <c r="HY636" s="1271"/>
      <c r="HZ636" s="1271"/>
      <c r="IA636" s="1271"/>
      <c r="IB636" s="1271"/>
      <c r="IC636" s="1271"/>
      <c r="ID636" s="1271"/>
      <c r="IE636" s="1271"/>
      <c r="IF636" s="1271"/>
      <c r="IG636" s="1271"/>
      <c r="IH636" s="1271"/>
      <c r="II636" s="1271"/>
      <c r="IJ636" s="1271"/>
      <c r="IK636" s="1271"/>
      <c r="IL636" s="1271"/>
      <c r="IM636" s="1271"/>
      <c r="IN636" s="1271"/>
      <c r="IO636" s="1271"/>
      <c r="IP636" s="1271"/>
      <c r="IQ636" s="1271"/>
      <c r="IR636" s="1271"/>
      <c r="IS636" s="1271"/>
      <c r="IT636" s="1271"/>
      <c r="IU636" s="1271"/>
      <c r="IV636" s="1271"/>
      <c r="IW636" s="1271"/>
      <c r="IX636" s="1271"/>
      <c r="IY636" s="1271"/>
      <c r="IZ636" s="1271"/>
      <c r="JA636" s="1271"/>
      <c r="JB636" s="1271"/>
      <c r="JC636" s="1271"/>
      <c r="JD636" s="1271"/>
      <c r="JE636" s="1271"/>
      <c r="JF636" s="1271"/>
      <c r="JG636" s="1271"/>
      <c r="JH636" s="1271"/>
      <c r="JI636" s="1271"/>
      <c r="JJ636" s="1271"/>
      <c r="JK636" s="1271"/>
      <c r="JL636" s="1271"/>
      <c r="JM636" s="1271"/>
      <c r="JN636" s="1271"/>
      <c r="JO636" s="1271"/>
      <c r="JP636" s="1271"/>
      <c r="JQ636" s="1271"/>
      <c r="JR636" s="1271"/>
      <c r="JS636" s="1271"/>
      <c r="JT636" s="1271"/>
      <c r="JU636" s="1271"/>
      <c r="JV636" s="1271"/>
      <c r="JW636" s="1271"/>
      <c r="JX636" s="1271"/>
      <c r="JY636" s="1271"/>
      <c r="JZ636" s="1271"/>
      <c r="KA636" s="1271"/>
      <c r="KB636" s="1271"/>
      <c r="KC636" s="1271"/>
      <c r="KD636" s="1271"/>
      <c r="KE636" s="1271"/>
      <c r="KF636" s="1271"/>
      <c r="KG636" s="1271"/>
      <c r="KH636" s="1271"/>
      <c r="KI636" s="1271"/>
      <c r="KJ636" s="1271"/>
      <c r="KK636" s="1271"/>
      <c r="KL636" s="1271"/>
      <c r="KM636" s="1271"/>
      <c r="KN636" s="1271"/>
      <c r="KO636" s="1271"/>
      <c r="KP636" s="1271"/>
      <c r="KQ636" s="1271"/>
      <c r="KR636" s="1271"/>
      <c r="KS636" s="1271"/>
      <c r="KT636" s="1271"/>
      <c r="KU636" s="1271"/>
      <c r="KV636" s="1271"/>
      <c r="KW636" s="1271"/>
      <c r="KX636" s="1271"/>
      <c r="KY636" s="1271"/>
      <c r="KZ636" s="1271"/>
      <c r="LA636" s="1271"/>
      <c r="LB636" s="1271"/>
      <c r="LC636" s="1271"/>
      <c r="LD636" s="1271"/>
      <c r="LE636" s="1271"/>
      <c r="LF636" s="1271"/>
      <c r="LG636" s="1271"/>
      <c r="LH636" s="1271"/>
      <c r="LI636" s="1271"/>
      <c r="LJ636" s="1271"/>
      <c r="LK636" s="1271"/>
      <c r="LL636" s="1271"/>
      <c r="LM636" s="1271"/>
      <c r="LN636" s="1271"/>
      <c r="LO636" s="1271"/>
      <c r="LP636" s="1271"/>
      <c r="LQ636" s="1271"/>
      <c r="LR636" s="1271"/>
      <c r="LS636" s="1271"/>
      <c r="LT636" s="1271"/>
      <c r="LU636" s="1271"/>
      <c r="LV636" s="1271"/>
      <c r="LW636" s="1271"/>
      <c r="LX636" s="1271"/>
      <c r="LY636" s="1271"/>
      <c r="LZ636" s="1271"/>
      <c r="MA636" s="1271"/>
      <c r="MB636" s="1271"/>
      <c r="MC636" s="1271"/>
      <c r="MD636" s="1271"/>
      <c r="ME636" s="1271"/>
      <c r="MF636" s="1271"/>
      <c r="MG636" s="1271"/>
      <c r="MH636" s="1271"/>
      <c r="MI636" s="1271"/>
      <c r="MJ636" s="1271"/>
      <c r="MK636" s="1271"/>
      <c r="ML636" s="1271"/>
      <c r="MM636" s="1271"/>
      <c r="MN636" s="1271"/>
      <c r="MO636" s="1271"/>
      <c r="MP636" s="1271"/>
      <c r="MQ636" s="1271"/>
      <c r="MR636" s="1271"/>
      <c r="MS636" s="1271"/>
      <c r="MT636" s="1271"/>
      <c r="MU636" s="1271"/>
      <c r="MV636" s="1271"/>
      <c r="MW636" s="1271"/>
      <c r="MX636" s="1271"/>
      <c r="MY636" s="1271"/>
      <c r="MZ636" s="1271"/>
      <c r="NA636" s="1271"/>
      <c r="NB636" s="1271"/>
      <c r="NC636" s="1271"/>
      <c r="ND636" s="1271"/>
      <c r="NE636" s="1271"/>
      <c r="NF636" s="1271"/>
      <c r="NG636" s="1271"/>
      <c r="NH636" s="1271"/>
      <c r="NI636" s="1271"/>
      <c r="NJ636" s="1271"/>
      <c r="NK636" s="1271"/>
      <c r="NL636" s="1271"/>
      <c r="NM636" s="1271"/>
      <c r="NN636" s="1271"/>
      <c r="NO636" s="1271"/>
      <c r="NP636" s="1271"/>
      <c r="NQ636" s="1271"/>
      <c r="NR636" s="1271"/>
      <c r="NS636" s="1271"/>
      <c r="NT636" s="1271"/>
      <c r="NU636" s="1271"/>
      <c r="NV636" s="1271"/>
      <c r="NW636" s="1271"/>
      <c r="NX636" s="1271"/>
      <c r="NY636" s="1271"/>
      <c r="NZ636" s="1271"/>
      <c r="OA636" s="1271"/>
      <c r="OB636" s="1271"/>
      <c r="OC636" s="1271"/>
      <c r="OD636" s="1271"/>
      <c r="OE636" s="1271"/>
      <c r="OF636" s="1271"/>
      <c r="OG636" s="1271"/>
      <c r="OH636" s="1271"/>
      <c r="OI636" s="1271"/>
      <c r="OJ636" s="1271"/>
      <c r="OK636" s="1271"/>
      <c r="OL636" s="1271"/>
      <c r="OM636" s="1271"/>
      <c r="ON636" s="1271"/>
      <c r="OO636" s="1271"/>
      <c r="OP636" s="1271"/>
      <c r="OQ636" s="1271"/>
      <c r="OR636" s="1271"/>
      <c r="OS636" s="1271"/>
      <c r="OT636" s="1271"/>
      <c r="OU636" s="1271"/>
      <c r="OV636" s="1271"/>
      <c r="OW636" s="1271"/>
      <c r="OX636" s="1271"/>
      <c r="OY636" s="1271"/>
      <c r="OZ636" s="1271"/>
      <c r="PA636" s="1271"/>
      <c r="PB636" s="1271"/>
      <c r="PC636" s="1271"/>
      <c r="PD636" s="1271"/>
      <c r="PE636" s="1271"/>
      <c r="PF636" s="1271"/>
      <c r="PG636" s="1271"/>
      <c r="PH636" s="1271"/>
      <c r="PI636" s="1271"/>
      <c r="PJ636" s="1271"/>
      <c r="PK636" s="1271"/>
      <c r="PL636" s="1271"/>
      <c r="PM636" s="1271"/>
      <c r="PN636" s="1271"/>
      <c r="PO636" s="1271"/>
      <c r="PP636" s="1271"/>
      <c r="PQ636" s="1271"/>
      <c r="PR636" s="1271"/>
      <c r="PS636" s="1271"/>
      <c r="PT636" s="1271"/>
      <c r="PU636" s="1271"/>
      <c r="PV636" s="1271"/>
      <c r="PW636" s="1271"/>
      <c r="PX636" s="1271"/>
      <c r="PY636" s="1271"/>
      <c r="PZ636" s="1271"/>
      <c r="QA636" s="1271"/>
      <c r="QB636" s="1271"/>
      <c r="QC636" s="1271"/>
      <c r="QD636" s="1271"/>
      <c r="QE636" s="1271"/>
      <c r="QF636" s="1271"/>
      <c r="QG636" s="1271"/>
      <c r="QH636" s="1271"/>
      <c r="QI636" s="1271"/>
      <c r="QJ636" s="1271"/>
      <c r="QK636" s="1271"/>
      <c r="QL636" s="1271"/>
      <c r="QM636" s="1271"/>
      <c r="QN636" s="1271"/>
      <c r="QO636" s="1271"/>
      <c r="QP636" s="1271"/>
      <c r="QQ636" s="1271"/>
      <c r="QR636" s="1271"/>
      <c r="QS636" s="1271"/>
      <c r="QT636" s="1271"/>
      <c r="QU636" s="1271"/>
      <c r="QV636" s="1271"/>
      <c r="QW636" s="1271"/>
      <c r="QX636" s="1271"/>
      <c r="QY636" s="1271"/>
      <c r="QZ636" s="1271"/>
      <c r="RA636" s="1271"/>
      <c r="RB636" s="1271"/>
      <c r="RC636" s="1271"/>
      <c r="RD636" s="1271"/>
      <c r="RE636" s="1271"/>
      <c r="RF636" s="1271"/>
      <c r="RG636" s="1271"/>
      <c r="RH636" s="1271"/>
      <c r="RI636" s="1271"/>
      <c r="RJ636" s="1271"/>
      <c r="RK636" s="1271"/>
      <c r="RL636" s="1271"/>
      <c r="RM636" s="1271"/>
      <c r="RN636" s="1271"/>
      <c r="RO636" s="1271"/>
      <c r="RP636" s="1271"/>
      <c r="RQ636" s="1271"/>
      <c r="RR636" s="1271"/>
      <c r="RS636" s="1271"/>
      <c r="RT636" s="1271"/>
      <c r="RU636" s="1271"/>
      <c r="RV636" s="1271"/>
      <c r="RW636" s="1271"/>
      <c r="RX636" s="1271"/>
      <c r="RY636" s="1271"/>
      <c r="RZ636" s="1271"/>
      <c r="SA636" s="1271"/>
      <c r="SB636" s="1271"/>
      <c r="SC636" s="1271"/>
      <c r="SD636" s="1271"/>
      <c r="SE636" s="1271"/>
      <c r="SF636" s="1271"/>
      <c r="SG636" s="1271"/>
      <c r="SH636" s="1271"/>
      <c r="SI636" s="1271"/>
      <c r="SJ636" s="1271"/>
      <c r="SK636" s="1271"/>
      <c r="SL636" s="1271"/>
      <c r="SM636" s="1271"/>
      <c r="SN636" s="1271"/>
      <c r="SO636" s="1271"/>
      <c r="SP636" s="1271"/>
      <c r="SQ636" s="1271"/>
      <c r="SR636" s="1271"/>
      <c r="SS636" s="1271"/>
      <c r="ST636" s="1271"/>
      <c r="SU636" s="1271"/>
      <c r="SV636" s="1271"/>
      <c r="SW636" s="1271"/>
      <c r="SX636" s="1271"/>
      <c r="SY636" s="1271"/>
      <c r="SZ636" s="1271"/>
      <c r="TA636" s="1271"/>
      <c r="TB636" s="1271"/>
      <c r="TC636" s="1271"/>
      <c r="TD636" s="1271"/>
      <c r="TE636" s="1271"/>
      <c r="TF636" s="1271"/>
      <c r="TG636" s="1271"/>
      <c r="TH636" s="1271"/>
      <c r="TI636" s="1271"/>
      <c r="TJ636" s="1271"/>
      <c r="TK636" s="1271"/>
      <c r="TL636" s="1271"/>
      <c r="TM636" s="1271"/>
      <c r="TN636" s="1271"/>
      <c r="TO636" s="1271"/>
      <c r="TP636" s="1271"/>
      <c r="TQ636" s="1271"/>
      <c r="TR636" s="1271"/>
      <c r="TS636" s="1271"/>
      <c r="TT636" s="1271"/>
      <c r="TU636" s="1271"/>
      <c r="TV636" s="1271"/>
      <c r="TW636" s="1271"/>
      <c r="TX636" s="1271"/>
      <c r="TY636" s="1271"/>
      <c r="TZ636" s="1271"/>
      <c r="UA636" s="1271"/>
      <c r="UB636" s="1271"/>
      <c r="UC636" s="1271"/>
      <c r="UD636" s="1271"/>
      <c r="UE636" s="1271"/>
      <c r="UF636" s="1271"/>
      <c r="UG636" s="1272"/>
    </row>
    <row r="637" spans="1:553" s="1262" customFormat="1" ht="50.25" customHeight="1">
      <c r="A637" s="366"/>
      <c r="B637" s="366"/>
      <c r="C637" s="1518" t="s">
        <v>451</v>
      </c>
      <c r="D637" s="1389"/>
      <c r="E637" s="1389"/>
      <c r="F637" s="1389"/>
      <c r="G637" s="1226" t="s">
        <v>196</v>
      </c>
      <c r="H637" s="586"/>
      <c r="I637" s="370">
        <f>(161.02*100/400)*(12-(7-3))*1</f>
        <v>322.04000000000002</v>
      </c>
      <c r="J637" s="368">
        <v>10600</v>
      </c>
      <c r="K637" s="495">
        <v>0.7</v>
      </c>
      <c r="L637" s="480">
        <f t="shared" si="105"/>
        <v>2389536.7999999998</v>
      </c>
      <c r="M637" s="366"/>
      <c r="N637" s="366"/>
      <c r="O637" s="366"/>
      <c r="P637" s="366"/>
      <c r="Q637" s="812"/>
      <c r="R637" s="1452"/>
      <c r="S637" s="308"/>
      <c r="T637" s="308"/>
      <c r="U637" s="308"/>
      <c r="V637" s="308"/>
      <c r="W637" s="308"/>
      <c r="X637" s="308"/>
      <c r="Y637" s="308"/>
      <c r="Z637" s="604"/>
      <c r="AA637" s="308"/>
      <c r="AB637" s="308"/>
      <c r="AC637" s="449"/>
      <c r="AD637" s="449"/>
      <c r="AE637" s="449"/>
      <c r="AF637" s="449"/>
      <c r="AG637" s="449"/>
      <c r="AH637" s="449"/>
      <c r="AI637" s="449"/>
      <c r="AJ637" s="449"/>
      <c r="AK637" s="452"/>
      <c r="AL637" s="1269"/>
      <c r="AM637" s="1270"/>
      <c r="AN637" s="1270"/>
      <c r="AO637" s="1270"/>
      <c r="AP637" s="1270"/>
      <c r="AQ637" s="1270"/>
      <c r="AR637" s="1270"/>
      <c r="AS637" s="1260"/>
      <c r="AT637" s="1260"/>
      <c r="AU637" s="1260"/>
      <c r="AV637" s="1260"/>
      <c r="AW637" s="1260"/>
      <c r="AX637" s="1260"/>
      <c r="AY637" s="1260"/>
      <c r="AZ637" s="1260"/>
      <c r="BA637" s="1260"/>
      <c r="BB637" s="1260"/>
      <c r="BC637" s="1260"/>
      <c r="BD637" s="1260"/>
      <c r="BE637" s="1260"/>
      <c r="BF637" s="1260"/>
      <c r="BG637" s="1260"/>
      <c r="BH637" s="1260"/>
      <c r="BI637" s="1260"/>
      <c r="BJ637" s="1260"/>
      <c r="BK637" s="1260"/>
      <c r="BL637" s="1260"/>
      <c r="BM637" s="1260"/>
      <c r="BN637" s="1260"/>
      <c r="BO637" s="1260"/>
      <c r="BP637" s="1271"/>
      <c r="BQ637" s="1271"/>
      <c r="BR637" s="1271"/>
      <c r="BS637" s="1271"/>
      <c r="BT637" s="1271"/>
      <c r="BU637" s="1271"/>
      <c r="BV637" s="1271"/>
      <c r="BW637" s="1271"/>
      <c r="BX637" s="1271"/>
      <c r="BY637" s="1271"/>
      <c r="BZ637" s="1271"/>
      <c r="CA637" s="1271"/>
      <c r="CB637" s="1271"/>
      <c r="CC637" s="1271"/>
      <c r="CD637" s="1271"/>
      <c r="CE637" s="1271"/>
      <c r="CF637" s="1271"/>
      <c r="CG637" s="1271"/>
      <c r="CH637" s="1271"/>
      <c r="CI637" s="1271"/>
      <c r="CJ637" s="1271"/>
      <c r="CK637" s="1271"/>
      <c r="CL637" s="1271"/>
      <c r="CM637" s="1271"/>
      <c r="CN637" s="1271"/>
      <c r="CO637" s="1271"/>
      <c r="CP637" s="1271"/>
      <c r="CQ637" s="1271"/>
      <c r="CR637" s="1271"/>
      <c r="CS637" s="1271"/>
      <c r="CT637" s="1271"/>
      <c r="CU637" s="1271"/>
      <c r="CV637" s="1271"/>
      <c r="CW637" s="1271"/>
      <c r="CX637" s="1271"/>
      <c r="CY637" s="1271"/>
      <c r="CZ637" s="1271"/>
      <c r="DA637" s="1271"/>
      <c r="DB637" s="1271"/>
      <c r="DC637" s="1271"/>
      <c r="DD637" s="1271"/>
      <c r="DE637" s="1271"/>
      <c r="DF637" s="1271"/>
      <c r="DG637" s="1271"/>
      <c r="DH637" s="1271"/>
      <c r="DI637" s="1271"/>
      <c r="DJ637" s="1271"/>
      <c r="DK637" s="1271"/>
      <c r="DL637" s="1271"/>
      <c r="DM637" s="1271"/>
      <c r="DN637" s="1271"/>
      <c r="DO637" s="1271"/>
      <c r="DP637" s="1271"/>
      <c r="DQ637" s="1271"/>
      <c r="DR637" s="1271"/>
      <c r="DS637" s="1271"/>
      <c r="DT637" s="1271"/>
      <c r="DU637" s="1271"/>
      <c r="DV637" s="1271"/>
      <c r="DW637" s="1271"/>
      <c r="DX637" s="1271"/>
      <c r="DY637" s="1271"/>
      <c r="DZ637" s="1271"/>
      <c r="EA637" s="1271"/>
      <c r="EB637" s="1271"/>
      <c r="EC637" s="1271"/>
      <c r="ED637" s="1271"/>
      <c r="EE637" s="1271"/>
      <c r="EF637" s="1271"/>
      <c r="EG637" s="1271"/>
      <c r="EH637" s="1271"/>
      <c r="EI637" s="1271"/>
      <c r="EJ637" s="1271"/>
      <c r="EK637" s="1271"/>
      <c r="EL637" s="1271"/>
      <c r="EM637" s="1271"/>
      <c r="EN637" s="1271"/>
      <c r="EO637" s="1271"/>
      <c r="EP637" s="1271"/>
      <c r="EQ637" s="1271"/>
      <c r="ER637" s="1271"/>
      <c r="ES637" s="1271"/>
      <c r="ET637" s="1271"/>
      <c r="EU637" s="1271"/>
      <c r="EV637" s="1271"/>
      <c r="EW637" s="1271"/>
      <c r="EX637" s="1271"/>
      <c r="EY637" s="1271"/>
      <c r="EZ637" s="1271"/>
      <c r="FA637" s="1271"/>
      <c r="FB637" s="1271"/>
      <c r="FC637" s="1271"/>
      <c r="FD637" s="1271"/>
      <c r="FE637" s="1271"/>
      <c r="FF637" s="1271"/>
      <c r="FG637" s="1271"/>
      <c r="FH637" s="1271"/>
      <c r="FI637" s="1271"/>
      <c r="FJ637" s="1271"/>
      <c r="FK637" s="1271"/>
      <c r="FL637" s="1271"/>
      <c r="FM637" s="1271"/>
      <c r="FN637" s="1271"/>
      <c r="FO637" s="1271"/>
      <c r="FP637" s="1271"/>
      <c r="FQ637" s="1271"/>
      <c r="FR637" s="1271"/>
      <c r="FS637" s="1271"/>
      <c r="FT637" s="1271"/>
      <c r="FU637" s="1271"/>
      <c r="FV637" s="1271"/>
      <c r="FW637" s="1271"/>
      <c r="FX637" s="1271"/>
      <c r="FY637" s="1271"/>
      <c r="FZ637" s="1271"/>
      <c r="GA637" s="1271"/>
      <c r="GB637" s="1271"/>
      <c r="GC637" s="1271"/>
      <c r="GD637" s="1271"/>
      <c r="GE637" s="1271"/>
      <c r="GF637" s="1271"/>
      <c r="GG637" s="1271"/>
      <c r="GH637" s="1271"/>
      <c r="GI637" s="1271"/>
      <c r="GJ637" s="1271"/>
      <c r="GK637" s="1271"/>
      <c r="GL637" s="1271"/>
      <c r="GM637" s="1271"/>
      <c r="GN637" s="1271"/>
      <c r="GO637" s="1271"/>
      <c r="GP637" s="1271"/>
      <c r="GQ637" s="1271"/>
      <c r="GR637" s="1271"/>
      <c r="GS637" s="1271"/>
      <c r="GT637" s="1271"/>
      <c r="GU637" s="1271"/>
      <c r="GV637" s="1271"/>
      <c r="GW637" s="1271"/>
      <c r="GX637" s="1271"/>
      <c r="GY637" s="1271"/>
      <c r="GZ637" s="1271"/>
      <c r="HA637" s="1271"/>
      <c r="HB637" s="1271"/>
      <c r="HC637" s="1271"/>
      <c r="HD637" s="1271"/>
      <c r="HE637" s="1271"/>
      <c r="HF637" s="1271"/>
      <c r="HG637" s="1271"/>
      <c r="HH637" s="1271"/>
      <c r="HI637" s="1271"/>
      <c r="HJ637" s="1271"/>
      <c r="HK637" s="1271"/>
      <c r="HL637" s="1271"/>
      <c r="HM637" s="1271"/>
      <c r="HN637" s="1271"/>
      <c r="HO637" s="1271"/>
      <c r="HP637" s="1271"/>
      <c r="HQ637" s="1271"/>
      <c r="HR637" s="1271"/>
      <c r="HS637" s="1271"/>
      <c r="HT637" s="1271"/>
      <c r="HU637" s="1271"/>
      <c r="HV637" s="1271"/>
      <c r="HW637" s="1271"/>
      <c r="HX637" s="1271"/>
      <c r="HY637" s="1271"/>
      <c r="HZ637" s="1271"/>
      <c r="IA637" s="1271"/>
      <c r="IB637" s="1271"/>
      <c r="IC637" s="1271"/>
      <c r="ID637" s="1271"/>
      <c r="IE637" s="1271"/>
      <c r="IF637" s="1271"/>
      <c r="IG637" s="1271"/>
      <c r="IH637" s="1271"/>
      <c r="II637" s="1271"/>
      <c r="IJ637" s="1271"/>
      <c r="IK637" s="1271"/>
      <c r="IL637" s="1271"/>
      <c r="IM637" s="1271"/>
      <c r="IN637" s="1271"/>
      <c r="IO637" s="1271"/>
      <c r="IP637" s="1271"/>
      <c r="IQ637" s="1271"/>
      <c r="IR637" s="1271"/>
      <c r="IS637" s="1271"/>
      <c r="IT637" s="1271"/>
      <c r="IU637" s="1271"/>
      <c r="IV637" s="1271"/>
      <c r="IW637" s="1271"/>
      <c r="IX637" s="1271"/>
      <c r="IY637" s="1271"/>
      <c r="IZ637" s="1271"/>
      <c r="JA637" s="1271"/>
      <c r="JB637" s="1271"/>
      <c r="JC637" s="1271"/>
      <c r="JD637" s="1271"/>
      <c r="JE637" s="1271"/>
      <c r="JF637" s="1271"/>
      <c r="JG637" s="1271"/>
      <c r="JH637" s="1271"/>
      <c r="JI637" s="1271"/>
      <c r="JJ637" s="1271"/>
      <c r="JK637" s="1271"/>
      <c r="JL637" s="1271"/>
      <c r="JM637" s="1271"/>
      <c r="JN637" s="1271"/>
      <c r="JO637" s="1271"/>
      <c r="JP637" s="1271"/>
      <c r="JQ637" s="1271"/>
      <c r="JR637" s="1271"/>
      <c r="JS637" s="1271"/>
      <c r="JT637" s="1271"/>
      <c r="JU637" s="1271"/>
      <c r="JV637" s="1271"/>
      <c r="JW637" s="1271"/>
      <c r="JX637" s="1271"/>
      <c r="JY637" s="1271"/>
      <c r="JZ637" s="1271"/>
      <c r="KA637" s="1271"/>
      <c r="KB637" s="1271"/>
      <c r="KC637" s="1271"/>
      <c r="KD637" s="1271"/>
      <c r="KE637" s="1271"/>
      <c r="KF637" s="1271"/>
      <c r="KG637" s="1271"/>
      <c r="KH637" s="1271"/>
      <c r="KI637" s="1271"/>
      <c r="KJ637" s="1271"/>
      <c r="KK637" s="1271"/>
      <c r="KL637" s="1271"/>
      <c r="KM637" s="1271"/>
      <c r="KN637" s="1271"/>
      <c r="KO637" s="1271"/>
      <c r="KP637" s="1271"/>
      <c r="KQ637" s="1271"/>
      <c r="KR637" s="1271"/>
      <c r="KS637" s="1271"/>
      <c r="KT637" s="1271"/>
      <c r="KU637" s="1271"/>
      <c r="KV637" s="1271"/>
      <c r="KW637" s="1271"/>
      <c r="KX637" s="1271"/>
      <c r="KY637" s="1271"/>
      <c r="KZ637" s="1271"/>
      <c r="LA637" s="1271"/>
      <c r="LB637" s="1271"/>
      <c r="LC637" s="1271"/>
      <c r="LD637" s="1271"/>
      <c r="LE637" s="1271"/>
      <c r="LF637" s="1271"/>
      <c r="LG637" s="1271"/>
      <c r="LH637" s="1271"/>
      <c r="LI637" s="1271"/>
      <c r="LJ637" s="1271"/>
      <c r="LK637" s="1271"/>
      <c r="LL637" s="1271"/>
      <c r="LM637" s="1271"/>
      <c r="LN637" s="1271"/>
      <c r="LO637" s="1271"/>
      <c r="LP637" s="1271"/>
      <c r="LQ637" s="1271"/>
      <c r="LR637" s="1271"/>
      <c r="LS637" s="1271"/>
      <c r="LT637" s="1271"/>
      <c r="LU637" s="1271"/>
      <c r="LV637" s="1271"/>
      <c r="LW637" s="1271"/>
      <c r="LX637" s="1271"/>
      <c r="LY637" s="1271"/>
      <c r="LZ637" s="1271"/>
      <c r="MA637" s="1271"/>
      <c r="MB637" s="1271"/>
      <c r="MC637" s="1271"/>
      <c r="MD637" s="1271"/>
      <c r="ME637" s="1271"/>
      <c r="MF637" s="1271"/>
      <c r="MG637" s="1271"/>
      <c r="MH637" s="1271"/>
      <c r="MI637" s="1271"/>
      <c r="MJ637" s="1271"/>
      <c r="MK637" s="1271"/>
      <c r="ML637" s="1271"/>
      <c r="MM637" s="1271"/>
      <c r="MN637" s="1271"/>
      <c r="MO637" s="1271"/>
      <c r="MP637" s="1271"/>
      <c r="MQ637" s="1271"/>
      <c r="MR637" s="1271"/>
      <c r="MS637" s="1271"/>
      <c r="MT637" s="1271"/>
      <c r="MU637" s="1271"/>
      <c r="MV637" s="1271"/>
      <c r="MW637" s="1271"/>
      <c r="MX637" s="1271"/>
      <c r="MY637" s="1271"/>
      <c r="MZ637" s="1271"/>
      <c r="NA637" s="1271"/>
      <c r="NB637" s="1271"/>
      <c r="NC637" s="1271"/>
      <c r="ND637" s="1271"/>
      <c r="NE637" s="1271"/>
      <c r="NF637" s="1271"/>
      <c r="NG637" s="1271"/>
      <c r="NH637" s="1271"/>
      <c r="NI637" s="1271"/>
      <c r="NJ637" s="1271"/>
      <c r="NK637" s="1271"/>
      <c r="NL637" s="1271"/>
      <c r="NM637" s="1271"/>
      <c r="NN637" s="1271"/>
      <c r="NO637" s="1271"/>
      <c r="NP637" s="1271"/>
      <c r="NQ637" s="1271"/>
      <c r="NR637" s="1271"/>
      <c r="NS637" s="1271"/>
      <c r="NT637" s="1271"/>
      <c r="NU637" s="1271"/>
      <c r="NV637" s="1271"/>
      <c r="NW637" s="1271"/>
      <c r="NX637" s="1271"/>
      <c r="NY637" s="1271"/>
      <c r="NZ637" s="1271"/>
      <c r="OA637" s="1271"/>
      <c r="OB637" s="1271"/>
      <c r="OC637" s="1271"/>
      <c r="OD637" s="1271"/>
      <c r="OE637" s="1271"/>
      <c r="OF637" s="1271"/>
      <c r="OG637" s="1271"/>
      <c r="OH637" s="1271"/>
      <c r="OI637" s="1271"/>
      <c r="OJ637" s="1271"/>
      <c r="OK637" s="1271"/>
      <c r="OL637" s="1271"/>
      <c r="OM637" s="1271"/>
      <c r="ON637" s="1271"/>
      <c r="OO637" s="1271"/>
      <c r="OP637" s="1271"/>
      <c r="OQ637" s="1271"/>
      <c r="OR637" s="1271"/>
      <c r="OS637" s="1271"/>
      <c r="OT637" s="1271"/>
      <c r="OU637" s="1271"/>
      <c r="OV637" s="1271"/>
      <c r="OW637" s="1271"/>
      <c r="OX637" s="1271"/>
      <c r="OY637" s="1271"/>
      <c r="OZ637" s="1271"/>
      <c r="PA637" s="1271"/>
      <c r="PB637" s="1271"/>
      <c r="PC637" s="1271"/>
      <c r="PD637" s="1271"/>
      <c r="PE637" s="1271"/>
      <c r="PF637" s="1271"/>
      <c r="PG637" s="1271"/>
      <c r="PH637" s="1271"/>
      <c r="PI637" s="1271"/>
      <c r="PJ637" s="1271"/>
      <c r="PK637" s="1271"/>
      <c r="PL637" s="1271"/>
      <c r="PM637" s="1271"/>
      <c r="PN637" s="1271"/>
      <c r="PO637" s="1271"/>
      <c r="PP637" s="1271"/>
      <c r="PQ637" s="1271"/>
      <c r="PR637" s="1271"/>
      <c r="PS637" s="1271"/>
      <c r="PT637" s="1271"/>
      <c r="PU637" s="1271"/>
      <c r="PV637" s="1271"/>
      <c r="PW637" s="1271"/>
      <c r="PX637" s="1271"/>
      <c r="PY637" s="1271"/>
      <c r="PZ637" s="1271"/>
      <c r="QA637" s="1271"/>
      <c r="QB637" s="1271"/>
      <c r="QC637" s="1271"/>
      <c r="QD637" s="1271"/>
      <c r="QE637" s="1271"/>
      <c r="QF637" s="1271"/>
      <c r="QG637" s="1271"/>
      <c r="QH637" s="1271"/>
      <c r="QI637" s="1271"/>
      <c r="QJ637" s="1271"/>
      <c r="QK637" s="1271"/>
      <c r="QL637" s="1271"/>
      <c r="QM637" s="1271"/>
      <c r="QN637" s="1271"/>
      <c r="QO637" s="1271"/>
      <c r="QP637" s="1271"/>
      <c r="QQ637" s="1271"/>
      <c r="QR637" s="1271"/>
      <c r="QS637" s="1271"/>
      <c r="QT637" s="1271"/>
      <c r="QU637" s="1271"/>
      <c r="QV637" s="1271"/>
      <c r="QW637" s="1271"/>
      <c r="QX637" s="1271"/>
      <c r="QY637" s="1271"/>
      <c r="QZ637" s="1271"/>
      <c r="RA637" s="1271"/>
      <c r="RB637" s="1271"/>
      <c r="RC637" s="1271"/>
      <c r="RD637" s="1271"/>
      <c r="RE637" s="1271"/>
      <c r="RF637" s="1271"/>
      <c r="RG637" s="1271"/>
      <c r="RH637" s="1271"/>
      <c r="RI637" s="1271"/>
      <c r="RJ637" s="1271"/>
      <c r="RK637" s="1271"/>
      <c r="RL637" s="1271"/>
      <c r="RM637" s="1271"/>
      <c r="RN637" s="1271"/>
      <c r="RO637" s="1271"/>
      <c r="RP637" s="1271"/>
      <c r="RQ637" s="1271"/>
      <c r="RR637" s="1271"/>
      <c r="RS637" s="1271"/>
      <c r="RT637" s="1271"/>
      <c r="RU637" s="1271"/>
      <c r="RV637" s="1271"/>
      <c r="RW637" s="1271"/>
      <c r="RX637" s="1271"/>
      <c r="RY637" s="1271"/>
      <c r="RZ637" s="1271"/>
      <c r="SA637" s="1271"/>
      <c r="SB637" s="1271"/>
      <c r="SC637" s="1271"/>
      <c r="SD637" s="1271"/>
      <c r="SE637" s="1271"/>
      <c r="SF637" s="1271"/>
      <c r="SG637" s="1271"/>
      <c r="SH637" s="1271"/>
      <c r="SI637" s="1271"/>
      <c r="SJ637" s="1271"/>
      <c r="SK637" s="1271"/>
      <c r="SL637" s="1271"/>
      <c r="SM637" s="1271"/>
      <c r="SN637" s="1271"/>
      <c r="SO637" s="1271"/>
      <c r="SP637" s="1271"/>
      <c r="SQ637" s="1271"/>
      <c r="SR637" s="1271"/>
      <c r="SS637" s="1271"/>
      <c r="ST637" s="1271"/>
      <c r="SU637" s="1271"/>
      <c r="SV637" s="1271"/>
      <c r="SW637" s="1271"/>
      <c r="SX637" s="1271"/>
      <c r="SY637" s="1271"/>
      <c r="SZ637" s="1271"/>
      <c r="TA637" s="1271"/>
      <c r="TB637" s="1271"/>
      <c r="TC637" s="1271"/>
      <c r="TD637" s="1271"/>
      <c r="TE637" s="1271"/>
      <c r="TF637" s="1271"/>
      <c r="TG637" s="1271"/>
      <c r="TH637" s="1271"/>
      <c r="TI637" s="1271"/>
      <c r="TJ637" s="1271"/>
      <c r="TK637" s="1271"/>
      <c r="TL637" s="1271"/>
      <c r="TM637" s="1271"/>
      <c r="TN637" s="1271"/>
      <c r="TO637" s="1271"/>
      <c r="TP637" s="1271"/>
      <c r="TQ637" s="1271"/>
      <c r="TR637" s="1271"/>
      <c r="TS637" s="1271"/>
      <c r="TT637" s="1271"/>
      <c r="TU637" s="1271"/>
      <c r="TV637" s="1271"/>
      <c r="TW637" s="1271"/>
      <c r="TX637" s="1271"/>
      <c r="TY637" s="1271"/>
      <c r="TZ637" s="1271"/>
      <c r="UA637" s="1271"/>
      <c r="UB637" s="1271"/>
      <c r="UC637" s="1271"/>
      <c r="UD637" s="1271"/>
      <c r="UE637" s="1271"/>
      <c r="UF637" s="1271"/>
      <c r="UG637" s="1272"/>
    </row>
    <row r="638" spans="1:553" s="1262" customFormat="1" ht="50.25" customHeight="1">
      <c r="A638" s="402"/>
      <c r="B638" s="402"/>
      <c r="C638" s="1524" t="s">
        <v>452</v>
      </c>
      <c r="D638" s="1466"/>
      <c r="E638" s="1466"/>
      <c r="F638" s="1466"/>
      <c r="G638" s="1226" t="s">
        <v>196</v>
      </c>
      <c r="H638" s="605"/>
      <c r="I638" s="499">
        <f>(161.02*100/400)*(12-(4-3))*8</f>
        <v>3542.44</v>
      </c>
      <c r="J638" s="985">
        <v>10600</v>
      </c>
      <c r="K638" s="1282">
        <v>0.7</v>
      </c>
      <c r="L638" s="1013">
        <f t="shared" si="105"/>
        <v>26284904.799999997</v>
      </c>
      <c r="M638" s="402"/>
      <c r="N638" s="402"/>
      <c r="O638" s="402"/>
      <c r="P638" s="402"/>
      <c r="Q638" s="812"/>
      <c r="R638" s="1452"/>
      <c r="S638" s="308"/>
      <c r="T638" s="308"/>
      <c r="U638" s="308"/>
      <c r="V638" s="308"/>
      <c r="W638" s="308"/>
      <c r="X638" s="308"/>
      <c r="Y638" s="308"/>
      <c r="Z638" s="604"/>
      <c r="AA638" s="308"/>
      <c r="AB638" s="308"/>
      <c r="AC638" s="449"/>
      <c r="AD638" s="449"/>
      <c r="AE638" s="449"/>
      <c r="AF638" s="449"/>
      <c r="AG638" s="449"/>
      <c r="AH638" s="449"/>
      <c r="AI638" s="449"/>
      <c r="AJ638" s="449"/>
      <c r="AK638" s="452"/>
      <c r="AL638" s="1269"/>
      <c r="AM638" s="1270"/>
      <c r="AN638" s="1270"/>
      <c r="AO638" s="1270"/>
      <c r="AP638" s="1270"/>
      <c r="AQ638" s="1270"/>
      <c r="AR638" s="1270"/>
      <c r="AS638" s="1260"/>
      <c r="AT638" s="1260"/>
      <c r="AU638" s="1260"/>
      <c r="AV638" s="1260"/>
      <c r="AW638" s="1260"/>
      <c r="AX638" s="1260"/>
      <c r="AY638" s="1260"/>
      <c r="AZ638" s="1260"/>
      <c r="BA638" s="1260"/>
      <c r="BB638" s="1260"/>
      <c r="BC638" s="1260"/>
      <c r="BD638" s="1260"/>
      <c r="BE638" s="1260"/>
      <c r="BF638" s="1260"/>
      <c r="BG638" s="1260"/>
      <c r="BH638" s="1260"/>
      <c r="BI638" s="1260"/>
      <c r="BJ638" s="1260"/>
      <c r="BK638" s="1260"/>
      <c r="BL638" s="1260"/>
      <c r="BM638" s="1260"/>
      <c r="BN638" s="1260"/>
      <c r="BO638" s="1260"/>
      <c r="BP638" s="1271"/>
      <c r="BQ638" s="1271"/>
      <c r="BR638" s="1271"/>
      <c r="BS638" s="1271"/>
      <c r="BT638" s="1271"/>
      <c r="BU638" s="1271"/>
      <c r="BV638" s="1271"/>
      <c r="BW638" s="1271"/>
      <c r="BX638" s="1271"/>
      <c r="BY638" s="1271"/>
      <c r="BZ638" s="1271"/>
      <c r="CA638" s="1271"/>
      <c r="CB638" s="1271"/>
      <c r="CC638" s="1271"/>
      <c r="CD638" s="1271"/>
      <c r="CE638" s="1271"/>
      <c r="CF638" s="1271"/>
      <c r="CG638" s="1271"/>
      <c r="CH638" s="1271"/>
      <c r="CI638" s="1271"/>
      <c r="CJ638" s="1271"/>
      <c r="CK638" s="1271"/>
      <c r="CL638" s="1271"/>
      <c r="CM638" s="1271"/>
      <c r="CN638" s="1271"/>
      <c r="CO638" s="1271"/>
      <c r="CP638" s="1271"/>
      <c r="CQ638" s="1271"/>
      <c r="CR638" s="1271"/>
      <c r="CS638" s="1271"/>
      <c r="CT638" s="1271"/>
      <c r="CU638" s="1271"/>
      <c r="CV638" s="1271"/>
      <c r="CW638" s="1271"/>
      <c r="CX638" s="1271"/>
      <c r="CY638" s="1271"/>
      <c r="CZ638" s="1271"/>
      <c r="DA638" s="1271"/>
      <c r="DB638" s="1271"/>
      <c r="DC638" s="1271"/>
      <c r="DD638" s="1271"/>
      <c r="DE638" s="1271"/>
      <c r="DF638" s="1271"/>
      <c r="DG638" s="1271"/>
      <c r="DH638" s="1271"/>
      <c r="DI638" s="1271"/>
      <c r="DJ638" s="1271"/>
      <c r="DK638" s="1271"/>
      <c r="DL638" s="1271"/>
      <c r="DM638" s="1271"/>
      <c r="DN638" s="1271"/>
      <c r="DO638" s="1271"/>
      <c r="DP638" s="1271"/>
      <c r="DQ638" s="1271"/>
      <c r="DR638" s="1271"/>
      <c r="DS638" s="1271"/>
      <c r="DT638" s="1271"/>
      <c r="DU638" s="1271"/>
      <c r="DV638" s="1271"/>
      <c r="DW638" s="1271"/>
      <c r="DX638" s="1271"/>
      <c r="DY638" s="1271"/>
      <c r="DZ638" s="1271"/>
      <c r="EA638" s="1271"/>
      <c r="EB638" s="1271"/>
      <c r="EC638" s="1271"/>
      <c r="ED638" s="1271"/>
      <c r="EE638" s="1271"/>
      <c r="EF638" s="1271"/>
      <c r="EG638" s="1271"/>
      <c r="EH638" s="1271"/>
      <c r="EI638" s="1271"/>
      <c r="EJ638" s="1271"/>
      <c r="EK638" s="1271"/>
      <c r="EL638" s="1271"/>
      <c r="EM638" s="1271"/>
      <c r="EN638" s="1271"/>
      <c r="EO638" s="1271"/>
      <c r="EP638" s="1271"/>
      <c r="EQ638" s="1271"/>
      <c r="ER638" s="1271"/>
      <c r="ES638" s="1271"/>
      <c r="ET638" s="1271"/>
      <c r="EU638" s="1271"/>
      <c r="EV638" s="1271"/>
      <c r="EW638" s="1271"/>
      <c r="EX638" s="1271"/>
      <c r="EY638" s="1271"/>
      <c r="EZ638" s="1271"/>
      <c r="FA638" s="1271"/>
      <c r="FB638" s="1271"/>
      <c r="FC638" s="1271"/>
      <c r="FD638" s="1271"/>
      <c r="FE638" s="1271"/>
      <c r="FF638" s="1271"/>
      <c r="FG638" s="1271"/>
      <c r="FH638" s="1271"/>
      <c r="FI638" s="1271"/>
      <c r="FJ638" s="1271"/>
      <c r="FK638" s="1271"/>
      <c r="FL638" s="1271"/>
      <c r="FM638" s="1271"/>
      <c r="FN638" s="1271"/>
      <c r="FO638" s="1271"/>
      <c r="FP638" s="1271"/>
      <c r="FQ638" s="1271"/>
      <c r="FR638" s="1271"/>
      <c r="FS638" s="1271"/>
      <c r="FT638" s="1271"/>
      <c r="FU638" s="1271"/>
      <c r="FV638" s="1271"/>
      <c r="FW638" s="1271"/>
      <c r="FX638" s="1271"/>
      <c r="FY638" s="1271"/>
      <c r="FZ638" s="1271"/>
      <c r="GA638" s="1271"/>
      <c r="GB638" s="1271"/>
      <c r="GC638" s="1271"/>
      <c r="GD638" s="1271"/>
      <c r="GE638" s="1271"/>
      <c r="GF638" s="1271"/>
      <c r="GG638" s="1271"/>
      <c r="GH638" s="1271"/>
      <c r="GI638" s="1271"/>
      <c r="GJ638" s="1271"/>
      <c r="GK638" s="1271"/>
      <c r="GL638" s="1271"/>
      <c r="GM638" s="1271"/>
      <c r="GN638" s="1271"/>
      <c r="GO638" s="1271"/>
      <c r="GP638" s="1271"/>
      <c r="GQ638" s="1271"/>
      <c r="GR638" s="1271"/>
      <c r="GS638" s="1271"/>
      <c r="GT638" s="1271"/>
      <c r="GU638" s="1271"/>
      <c r="GV638" s="1271"/>
      <c r="GW638" s="1271"/>
      <c r="GX638" s="1271"/>
      <c r="GY638" s="1271"/>
      <c r="GZ638" s="1271"/>
      <c r="HA638" s="1271"/>
      <c r="HB638" s="1271"/>
      <c r="HC638" s="1271"/>
      <c r="HD638" s="1271"/>
      <c r="HE638" s="1271"/>
      <c r="HF638" s="1271"/>
      <c r="HG638" s="1271"/>
      <c r="HH638" s="1271"/>
      <c r="HI638" s="1271"/>
      <c r="HJ638" s="1271"/>
      <c r="HK638" s="1271"/>
      <c r="HL638" s="1271"/>
      <c r="HM638" s="1271"/>
      <c r="HN638" s="1271"/>
      <c r="HO638" s="1271"/>
      <c r="HP638" s="1271"/>
      <c r="HQ638" s="1271"/>
      <c r="HR638" s="1271"/>
      <c r="HS638" s="1271"/>
      <c r="HT638" s="1271"/>
      <c r="HU638" s="1271"/>
      <c r="HV638" s="1271"/>
      <c r="HW638" s="1271"/>
      <c r="HX638" s="1271"/>
      <c r="HY638" s="1271"/>
      <c r="HZ638" s="1271"/>
      <c r="IA638" s="1271"/>
      <c r="IB638" s="1271"/>
      <c r="IC638" s="1271"/>
      <c r="ID638" s="1271"/>
      <c r="IE638" s="1271"/>
      <c r="IF638" s="1271"/>
      <c r="IG638" s="1271"/>
      <c r="IH638" s="1271"/>
      <c r="II638" s="1271"/>
      <c r="IJ638" s="1271"/>
      <c r="IK638" s="1271"/>
      <c r="IL638" s="1271"/>
      <c r="IM638" s="1271"/>
      <c r="IN638" s="1271"/>
      <c r="IO638" s="1271"/>
      <c r="IP638" s="1271"/>
      <c r="IQ638" s="1271"/>
      <c r="IR638" s="1271"/>
      <c r="IS638" s="1271"/>
      <c r="IT638" s="1271"/>
      <c r="IU638" s="1271"/>
      <c r="IV638" s="1271"/>
      <c r="IW638" s="1271"/>
      <c r="IX638" s="1271"/>
      <c r="IY638" s="1271"/>
      <c r="IZ638" s="1271"/>
      <c r="JA638" s="1271"/>
      <c r="JB638" s="1271"/>
      <c r="JC638" s="1271"/>
      <c r="JD638" s="1271"/>
      <c r="JE638" s="1271"/>
      <c r="JF638" s="1271"/>
      <c r="JG638" s="1271"/>
      <c r="JH638" s="1271"/>
      <c r="JI638" s="1271"/>
      <c r="JJ638" s="1271"/>
      <c r="JK638" s="1271"/>
      <c r="JL638" s="1271"/>
      <c r="JM638" s="1271"/>
      <c r="JN638" s="1271"/>
      <c r="JO638" s="1271"/>
      <c r="JP638" s="1271"/>
      <c r="JQ638" s="1271"/>
      <c r="JR638" s="1271"/>
      <c r="JS638" s="1271"/>
      <c r="JT638" s="1271"/>
      <c r="JU638" s="1271"/>
      <c r="JV638" s="1271"/>
      <c r="JW638" s="1271"/>
      <c r="JX638" s="1271"/>
      <c r="JY638" s="1271"/>
      <c r="JZ638" s="1271"/>
      <c r="KA638" s="1271"/>
      <c r="KB638" s="1271"/>
      <c r="KC638" s="1271"/>
      <c r="KD638" s="1271"/>
      <c r="KE638" s="1271"/>
      <c r="KF638" s="1271"/>
      <c r="KG638" s="1271"/>
      <c r="KH638" s="1271"/>
      <c r="KI638" s="1271"/>
      <c r="KJ638" s="1271"/>
      <c r="KK638" s="1271"/>
      <c r="KL638" s="1271"/>
      <c r="KM638" s="1271"/>
      <c r="KN638" s="1271"/>
      <c r="KO638" s="1271"/>
      <c r="KP638" s="1271"/>
      <c r="KQ638" s="1271"/>
      <c r="KR638" s="1271"/>
      <c r="KS638" s="1271"/>
      <c r="KT638" s="1271"/>
      <c r="KU638" s="1271"/>
      <c r="KV638" s="1271"/>
      <c r="KW638" s="1271"/>
      <c r="KX638" s="1271"/>
      <c r="KY638" s="1271"/>
      <c r="KZ638" s="1271"/>
      <c r="LA638" s="1271"/>
      <c r="LB638" s="1271"/>
      <c r="LC638" s="1271"/>
      <c r="LD638" s="1271"/>
      <c r="LE638" s="1271"/>
      <c r="LF638" s="1271"/>
      <c r="LG638" s="1271"/>
      <c r="LH638" s="1271"/>
      <c r="LI638" s="1271"/>
      <c r="LJ638" s="1271"/>
      <c r="LK638" s="1271"/>
      <c r="LL638" s="1271"/>
      <c r="LM638" s="1271"/>
      <c r="LN638" s="1271"/>
      <c r="LO638" s="1271"/>
      <c r="LP638" s="1271"/>
      <c r="LQ638" s="1271"/>
      <c r="LR638" s="1271"/>
      <c r="LS638" s="1271"/>
      <c r="LT638" s="1271"/>
      <c r="LU638" s="1271"/>
      <c r="LV638" s="1271"/>
      <c r="LW638" s="1271"/>
      <c r="LX638" s="1271"/>
      <c r="LY638" s="1271"/>
      <c r="LZ638" s="1271"/>
      <c r="MA638" s="1271"/>
      <c r="MB638" s="1271"/>
      <c r="MC638" s="1271"/>
      <c r="MD638" s="1271"/>
      <c r="ME638" s="1271"/>
      <c r="MF638" s="1271"/>
      <c r="MG638" s="1271"/>
      <c r="MH638" s="1271"/>
      <c r="MI638" s="1271"/>
      <c r="MJ638" s="1271"/>
      <c r="MK638" s="1271"/>
      <c r="ML638" s="1271"/>
      <c r="MM638" s="1271"/>
      <c r="MN638" s="1271"/>
      <c r="MO638" s="1271"/>
      <c r="MP638" s="1271"/>
      <c r="MQ638" s="1271"/>
      <c r="MR638" s="1271"/>
      <c r="MS638" s="1271"/>
      <c r="MT638" s="1271"/>
      <c r="MU638" s="1271"/>
      <c r="MV638" s="1271"/>
      <c r="MW638" s="1271"/>
      <c r="MX638" s="1271"/>
      <c r="MY638" s="1271"/>
      <c r="MZ638" s="1271"/>
      <c r="NA638" s="1271"/>
      <c r="NB638" s="1271"/>
      <c r="NC638" s="1271"/>
      <c r="ND638" s="1271"/>
      <c r="NE638" s="1271"/>
      <c r="NF638" s="1271"/>
      <c r="NG638" s="1271"/>
      <c r="NH638" s="1271"/>
      <c r="NI638" s="1271"/>
      <c r="NJ638" s="1271"/>
      <c r="NK638" s="1271"/>
      <c r="NL638" s="1271"/>
      <c r="NM638" s="1271"/>
      <c r="NN638" s="1271"/>
      <c r="NO638" s="1271"/>
      <c r="NP638" s="1271"/>
      <c r="NQ638" s="1271"/>
      <c r="NR638" s="1271"/>
      <c r="NS638" s="1271"/>
      <c r="NT638" s="1271"/>
      <c r="NU638" s="1271"/>
      <c r="NV638" s="1271"/>
      <c r="NW638" s="1271"/>
      <c r="NX638" s="1271"/>
      <c r="NY638" s="1271"/>
      <c r="NZ638" s="1271"/>
      <c r="OA638" s="1271"/>
      <c r="OB638" s="1271"/>
      <c r="OC638" s="1271"/>
      <c r="OD638" s="1271"/>
      <c r="OE638" s="1271"/>
      <c r="OF638" s="1271"/>
      <c r="OG638" s="1271"/>
      <c r="OH638" s="1271"/>
      <c r="OI638" s="1271"/>
      <c r="OJ638" s="1271"/>
      <c r="OK638" s="1271"/>
      <c r="OL638" s="1271"/>
      <c r="OM638" s="1271"/>
      <c r="ON638" s="1271"/>
      <c r="OO638" s="1271"/>
      <c r="OP638" s="1271"/>
      <c r="OQ638" s="1271"/>
      <c r="OR638" s="1271"/>
      <c r="OS638" s="1271"/>
      <c r="OT638" s="1271"/>
      <c r="OU638" s="1271"/>
      <c r="OV638" s="1271"/>
      <c r="OW638" s="1271"/>
      <c r="OX638" s="1271"/>
      <c r="OY638" s="1271"/>
      <c r="OZ638" s="1271"/>
      <c r="PA638" s="1271"/>
      <c r="PB638" s="1271"/>
      <c r="PC638" s="1271"/>
      <c r="PD638" s="1271"/>
      <c r="PE638" s="1271"/>
      <c r="PF638" s="1271"/>
      <c r="PG638" s="1271"/>
      <c r="PH638" s="1271"/>
      <c r="PI638" s="1271"/>
      <c r="PJ638" s="1271"/>
      <c r="PK638" s="1271"/>
      <c r="PL638" s="1271"/>
      <c r="PM638" s="1271"/>
      <c r="PN638" s="1271"/>
      <c r="PO638" s="1271"/>
      <c r="PP638" s="1271"/>
      <c r="PQ638" s="1271"/>
      <c r="PR638" s="1271"/>
      <c r="PS638" s="1271"/>
      <c r="PT638" s="1271"/>
      <c r="PU638" s="1271"/>
      <c r="PV638" s="1271"/>
      <c r="PW638" s="1271"/>
      <c r="PX638" s="1271"/>
      <c r="PY638" s="1271"/>
      <c r="PZ638" s="1271"/>
      <c r="QA638" s="1271"/>
      <c r="QB638" s="1271"/>
      <c r="QC638" s="1271"/>
      <c r="QD638" s="1271"/>
      <c r="QE638" s="1271"/>
      <c r="QF638" s="1271"/>
      <c r="QG638" s="1271"/>
      <c r="QH638" s="1271"/>
      <c r="QI638" s="1271"/>
      <c r="QJ638" s="1271"/>
      <c r="QK638" s="1271"/>
      <c r="QL638" s="1271"/>
      <c r="QM638" s="1271"/>
      <c r="QN638" s="1271"/>
      <c r="QO638" s="1271"/>
      <c r="QP638" s="1271"/>
      <c r="QQ638" s="1271"/>
      <c r="QR638" s="1271"/>
      <c r="QS638" s="1271"/>
      <c r="QT638" s="1271"/>
      <c r="QU638" s="1271"/>
      <c r="QV638" s="1271"/>
      <c r="QW638" s="1271"/>
      <c r="QX638" s="1271"/>
      <c r="QY638" s="1271"/>
      <c r="QZ638" s="1271"/>
      <c r="RA638" s="1271"/>
      <c r="RB638" s="1271"/>
      <c r="RC638" s="1271"/>
      <c r="RD638" s="1271"/>
      <c r="RE638" s="1271"/>
      <c r="RF638" s="1271"/>
      <c r="RG638" s="1271"/>
      <c r="RH638" s="1271"/>
      <c r="RI638" s="1271"/>
      <c r="RJ638" s="1271"/>
      <c r="RK638" s="1271"/>
      <c r="RL638" s="1271"/>
      <c r="RM638" s="1271"/>
      <c r="RN638" s="1271"/>
      <c r="RO638" s="1271"/>
      <c r="RP638" s="1271"/>
      <c r="RQ638" s="1271"/>
      <c r="RR638" s="1271"/>
      <c r="RS638" s="1271"/>
      <c r="RT638" s="1271"/>
      <c r="RU638" s="1271"/>
      <c r="RV638" s="1271"/>
      <c r="RW638" s="1271"/>
      <c r="RX638" s="1271"/>
      <c r="RY638" s="1271"/>
      <c r="RZ638" s="1271"/>
      <c r="SA638" s="1271"/>
      <c r="SB638" s="1271"/>
      <c r="SC638" s="1271"/>
      <c r="SD638" s="1271"/>
      <c r="SE638" s="1271"/>
      <c r="SF638" s="1271"/>
      <c r="SG638" s="1271"/>
      <c r="SH638" s="1271"/>
      <c r="SI638" s="1271"/>
      <c r="SJ638" s="1271"/>
      <c r="SK638" s="1271"/>
      <c r="SL638" s="1271"/>
      <c r="SM638" s="1271"/>
      <c r="SN638" s="1271"/>
      <c r="SO638" s="1271"/>
      <c r="SP638" s="1271"/>
      <c r="SQ638" s="1271"/>
      <c r="SR638" s="1271"/>
      <c r="SS638" s="1271"/>
      <c r="ST638" s="1271"/>
      <c r="SU638" s="1271"/>
      <c r="SV638" s="1271"/>
      <c r="SW638" s="1271"/>
      <c r="SX638" s="1271"/>
      <c r="SY638" s="1271"/>
      <c r="SZ638" s="1271"/>
      <c r="TA638" s="1271"/>
      <c r="TB638" s="1271"/>
      <c r="TC638" s="1271"/>
      <c r="TD638" s="1271"/>
      <c r="TE638" s="1271"/>
      <c r="TF638" s="1271"/>
      <c r="TG638" s="1271"/>
      <c r="TH638" s="1271"/>
      <c r="TI638" s="1271"/>
      <c r="TJ638" s="1271"/>
      <c r="TK638" s="1271"/>
      <c r="TL638" s="1271"/>
      <c r="TM638" s="1271"/>
      <c r="TN638" s="1271"/>
      <c r="TO638" s="1271"/>
      <c r="TP638" s="1271"/>
      <c r="TQ638" s="1271"/>
      <c r="TR638" s="1271"/>
      <c r="TS638" s="1271"/>
      <c r="TT638" s="1271"/>
      <c r="TU638" s="1271"/>
      <c r="TV638" s="1271"/>
      <c r="TW638" s="1271"/>
      <c r="TX638" s="1271"/>
      <c r="TY638" s="1271"/>
      <c r="TZ638" s="1271"/>
      <c r="UA638" s="1271"/>
      <c r="UB638" s="1271"/>
      <c r="UC638" s="1271"/>
      <c r="UD638" s="1271"/>
      <c r="UE638" s="1271"/>
      <c r="UF638" s="1271"/>
      <c r="UG638" s="1272"/>
    </row>
    <row r="639" spans="1:553" s="1262" customFormat="1" ht="50.25" customHeight="1">
      <c r="A639" s="406"/>
      <c r="B639" s="406"/>
      <c r="C639" s="1525" t="s">
        <v>453</v>
      </c>
      <c r="D639" s="1526"/>
      <c r="E639" s="1526"/>
      <c r="F639" s="1527"/>
      <c r="G639" s="1226" t="s">
        <v>193</v>
      </c>
      <c r="H639" s="611"/>
      <c r="I639" s="519">
        <v>1</v>
      </c>
      <c r="J639" s="521">
        <v>297200</v>
      </c>
      <c r="K639" s="612">
        <v>0.7</v>
      </c>
      <c r="L639" s="523">
        <f t="shared" si="105"/>
        <v>208040</v>
      </c>
      <c r="M639" s="406"/>
      <c r="N639" s="406"/>
      <c r="O639" s="406"/>
      <c r="P639" s="406"/>
      <c r="Q639" s="812"/>
      <c r="R639" s="1452"/>
      <c r="S639" s="308"/>
      <c r="T639" s="308"/>
      <c r="U639" s="308"/>
      <c r="V639" s="308"/>
      <c r="W639" s="308"/>
      <c r="X639" s="308"/>
      <c r="Y639" s="308"/>
      <c r="Z639" s="604"/>
      <c r="AA639" s="308"/>
      <c r="AB639" s="308"/>
      <c r="AC639" s="449"/>
      <c r="AD639" s="449"/>
      <c r="AE639" s="449"/>
      <c r="AF639" s="449"/>
      <c r="AG639" s="449"/>
      <c r="AH639" s="449"/>
      <c r="AI639" s="449"/>
      <c r="AJ639" s="449"/>
      <c r="AK639" s="452"/>
      <c r="AL639" s="1269"/>
      <c r="AM639" s="1270"/>
      <c r="AN639" s="1270"/>
      <c r="AO639" s="1270"/>
      <c r="AP639" s="1270"/>
      <c r="AQ639" s="1270"/>
      <c r="AR639" s="1270"/>
      <c r="AS639" s="1260"/>
      <c r="AT639" s="1260"/>
      <c r="AU639" s="1260"/>
      <c r="AV639" s="1260"/>
      <c r="AW639" s="1260"/>
      <c r="AX639" s="1260"/>
      <c r="AY639" s="1260"/>
      <c r="AZ639" s="1260"/>
      <c r="BA639" s="1260"/>
      <c r="BB639" s="1260"/>
      <c r="BC639" s="1260"/>
      <c r="BD639" s="1260"/>
      <c r="BE639" s="1260"/>
      <c r="BF639" s="1260"/>
      <c r="BG639" s="1260"/>
      <c r="BH639" s="1260"/>
      <c r="BI639" s="1260"/>
      <c r="BJ639" s="1260"/>
      <c r="BK639" s="1260"/>
      <c r="BL639" s="1260"/>
      <c r="BM639" s="1260"/>
      <c r="BN639" s="1260"/>
      <c r="BO639" s="1260"/>
      <c r="BP639" s="1271"/>
      <c r="BQ639" s="1271"/>
      <c r="BR639" s="1271"/>
      <c r="BS639" s="1271"/>
      <c r="BT639" s="1271"/>
      <c r="BU639" s="1271"/>
      <c r="BV639" s="1271"/>
      <c r="BW639" s="1271"/>
      <c r="BX639" s="1271"/>
      <c r="BY639" s="1271"/>
      <c r="BZ639" s="1271"/>
      <c r="CA639" s="1271"/>
      <c r="CB639" s="1271"/>
      <c r="CC639" s="1271"/>
      <c r="CD639" s="1271"/>
      <c r="CE639" s="1271"/>
      <c r="CF639" s="1271"/>
      <c r="CG639" s="1271"/>
      <c r="CH639" s="1271"/>
      <c r="CI639" s="1271"/>
      <c r="CJ639" s="1271"/>
      <c r="CK639" s="1271"/>
      <c r="CL639" s="1271"/>
      <c r="CM639" s="1271"/>
      <c r="CN639" s="1271"/>
      <c r="CO639" s="1271"/>
      <c r="CP639" s="1271"/>
      <c r="CQ639" s="1271"/>
      <c r="CR639" s="1271"/>
      <c r="CS639" s="1271"/>
      <c r="CT639" s="1271"/>
      <c r="CU639" s="1271"/>
      <c r="CV639" s="1271"/>
      <c r="CW639" s="1271"/>
      <c r="CX639" s="1271"/>
      <c r="CY639" s="1271"/>
      <c r="CZ639" s="1271"/>
      <c r="DA639" s="1271"/>
      <c r="DB639" s="1271"/>
      <c r="DC639" s="1271"/>
      <c r="DD639" s="1271"/>
      <c r="DE639" s="1271"/>
      <c r="DF639" s="1271"/>
      <c r="DG639" s="1271"/>
      <c r="DH639" s="1271"/>
      <c r="DI639" s="1271"/>
      <c r="DJ639" s="1271"/>
      <c r="DK639" s="1271"/>
      <c r="DL639" s="1271"/>
      <c r="DM639" s="1271"/>
      <c r="DN639" s="1271"/>
      <c r="DO639" s="1271"/>
      <c r="DP639" s="1271"/>
      <c r="DQ639" s="1271"/>
      <c r="DR639" s="1271"/>
      <c r="DS639" s="1271"/>
      <c r="DT639" s="1271"/>
      <c r="DU639" s="1271"/>
      <c r="DV639" s="1271"/>
      <c r="DW639" s="1271"/>
      <c r="DX639" s="1271"/>
      <c r="DY639" s="1271"/>
      <c r="DZ639" s="1271"/>
      <c r="EA639" s="1271"/>
      <c r="EB639" s="1271"/>
      <c r="EC639" s="1271"/>
      <c r="ED639" s="1271"/>
      <c r="EE639" s="1271"/>
      <c r="EF639" s="1271"/>
      <c r="EG639" s="1271"/>
      <c r="EH639" s="1271"/>
      <c r="EI639" s="1271"/>
      <c r="EJ639" s="1271"/>
      <c r="EK639" s="1271"/>
      <c r="EL639" s="1271"/>
      <c r="EM639" s="1271"/>
      <c r="EN639" s="1271"/>
      <c r="EO639" s="1271"/>
      <c r="EP639" s="1271"/>
      <c r="EQ639" s="1271"/>
      <c r="ER639" s="1271"/>
      <c r="ES639" s="1271"/>
      <c r="ET639" s="1271"/>
      <c r="EU639" s="1271"/>
      <c r="EV639" s="1271"/>
      <c r="EW639" s="1271"/>
      <c r="EX639" s="1271"/>
      <c r="EY639" s="1271"/>
      <c r="EZ639" s="1271"/>
      <c r="FA639" s="1271"/>
      <c r="FB639" s="1271"/>
      <c r="FC639" s="1271"/>
      <c r="FD639" s="1271"/>
      <c r="FE639" s="1271"/>
      <c r="FF639" s="1271"/>
      <c r="FG639" s="1271"/>
      <c r="FH639" s="1271"/>
      <c r="FI639" s="1271"/>
      <c r="FJ639" s="1271"/>
      <c r="FK639" s="1271"/>
      <c r="FL639" s="1271"/>
      <c r="FM639" s="1271"/>
      <c r="FN639" s="1271"/>
      <c r="FO639" s="1271"/>
      <c r="FP639" s="1271"/>
      <c r="FQ639" s="1271"/>
      <c r="FR639" s="1271"/>
      <c r="FS639" s="1271"/>
      <c r="FT639" s="1271"/>
      <c r="FU639" s="1271"/>
      <c r="FV639" s="1271"/>
      <c r="FW639" s="1271"/>
      <c r="FX639" s="1271"/>
      <c r="FY639" s="1271"/>
      <c r="FZ639" s="1271"/>
      <c r="GA639" s="1271"/>
      <c r="GB639" s="1271"/>
      <c r="GC639" s="1271"/>
      <c r="GD639" s="1271"/>
      <c r="GE639" s="1271"/>
      <c r="GF639" s="1271"/>
      <c r="GG639" s="1271"/>
      <c r="GH639" s="1271"/>
      <c r="GI639" s="1271"/>
      <c r="GJ639" s="1271"/>
      <c r="GK639" s="1271"/>
      <c r="GL639" s="1271"/>
      <c r="GM639" s="1271"/>
      <c r="GN639" s="1271"/>
      <c r="GO639" s="1271"/>
      <c r="GP639" s="1271"/>
      <c r="GQ639" s="1271"/>
      <c r="GR639" s="1271"/>
      <c r="GS639" s="1271"/>
      <c r="GT639" s="1271"/>
      <c r="GU639" s="1271"/>
      <c r="GV639" s="1271"/>
      <c r="GW639" s="1271"/>
      <c r="GX639" s="1271"/>
      <c r="GY639" s="1271"/>
      <c r="GZ639" s="1271"/>
      <c r="HA639" s="1271"/>
      <c r="HB639" s="1271"/>
      <c r="HC639" s="1271"/>
      <c r="HD639" s="1271"/>
      <c r="HE639" s="1271"/>
      <c r="HF639" s="1271"/>
      <c r="HG639" s="1271"/>
      <c r="HH639" s="1271"/>
      <c r="HI639" s="1271"/>
      <c r="HJ639" s="1271"/>
      <c r="HK639" s="1271"/>
      <c r="HL639" s="1271"/>
      <c r="HM639" s="1271"/>
      <c r="HN639" s="1271"/>
      <c r="HO639" s="1271"/>
      <c r="HP639" s="1271"/>
      <c r="HQ639" s="1271"/>
      <c r="HR639" s="1271"/>
      <c r="HS639" s="1271"/>
      <c r="HT639" s="1271"/>
      <c r="HU639" s="1271"/>
      <c r="HV639" s="1271"/>
      <c r="HW639" s="1271"/>
      <c r="HX639" s="1271"/>
      <c r="HY639" s="1271"/>
      <c r="HZ639" s="1271"/>
      <c r="IA639" s="1271"/>
      <c r="IB639" s="1271"/>
      <c r="IC639" s="1271"/>
      <c r="ID639" s="1271"/>
      <c r="IE639" s="1271"/>
      <c r="IF639" s="1271"/>
      <c r="IG639" s="1271"/>
      <c r="IH639" s="1271"/>
      <c r="II639" s="1271"/>
      <c r="IJ639" s="1271"/>
      <c r="IK639" s="1271"/>
      <c r="IL639" s="1271"/>
      <c r="IM639" s="1271"/>
      <c r="IN639" s="1271"/>
      <c r="IO639" s="1271"/>
      <c r="IP639" s="1271"/>
      <c r="IQ639" s="1271"/>
      <c r="IR639" s="1271"/>
      <c r="IS639" s="1271"/>
      <c r="IT639" s="1271"/>
      <c r="IU639" s="1271"/>
      <c r="IV639" s="1271"/>
      <c r="IW639" s="1271"/>
      <c r="IX639" s="1271"/>
      <c r="IY639" s="1271"/>
      <c r="IZ639" s="1271"/>
      <c r="JA639" s="1271"/>
      <c r="JB639" s="1271"/>
      <c r="JC639" s="1271"/>
      <c r="JD639" s="1271"/>
      <c r="JE639" s="1271"/>
      <c r="JF639" s="1271"/>
      <c r="JG639" s="1271"/>
      <c r="JH639" s="1271"/>
      <c r="JI639" s="1271"/>
      <c r="JJ639" s="1271"/>
      <c r="JK639" s="1271"/>
      <c r="JL639" s="1271"/>
      <c r="JM639" s="1271"/>
      <c r="JN639" s="1271"/>
      <c r="JO639" s="1271"/>
      <c r="JP639" s="1271"/>
      <c r="JQ639" s="1271"/>
      <c r="JR639" s="1271"/>
      <c r="JS639" s="1271"/>
      <c r="JT639" s="1271"/>
      <c r="JU639" s="1271"/>
      <c r="JV639" s="1271"/>
      <c r="JW639" s="1271"/>
      <c r="JX639" s="1271"/>
      <c r="JY639" s="1271"/>
      <c r="JZ639" s="1271"/>
      <c r="KA639" s="1271"/>
      <c r="KB639" s="1271"/>
      <c r="KC639" s="1271"/>
      <c r="KD639" s="1271"/>
      <c r="KE639" s="1271"/>
      <c r="KF639" s="1271"/>
      <c r="KG639" s="1271"/>
      <c r="KH639" s="1271"/>
      <c r="KI639" s="1271"/>
      <c r="KJ639" s="1271"/>
      <c r="KK639" s="1271"/>
      <c r="KL639" s="1271"/>
      <c r="KM639" s="1271"/>
      <c r="KN639" s="1271"/>
      <c r="KO639" s="1271"/>
      <c r="KP639" s="1271"/>
      <c r="KQ639" s="1271"/>
      <c r="KR639" s="1271"/>
      <c r="KS639" s="1271"/>
      <c r="KT639" s="1271"/>
      <c r="KU639" s="1271"/>
      <c r="KV639" s="1271"/>
      <c r="KW639" s="1271"/>
      <c r="KX639" s="1271"/>
      <c r="KY639" s="1271"/>
      <c r="KZ639" s="1271"/>
      <c r="LA639" s="1271"/>
      <c r="LB639" s="1271"/>
      <c r="LC639" s="1271"/>
      <c r="LD639" s="1271"/>
      <c r="LE639" s="1271"/>
      <c r="LF639" s="1271"/>
      <c r="LG639" s="1271"/>
      <c r="LH639" s="1271"/>
      <c r="LI639" s="1271"/>
      <c r="LJ639" s="1271"/>
      <c r="LK639" s="1271"/>
      <c r="LL639" s="1271"/>
      <c r="LM639" s="1271"/>
      <c r="LN639" s="1271"/>
      <c r="LO639" s="1271"/>
      <c r="LP639" s="1271"/>
      <c r="LQ639" s="1271"/>
      <c r="LR639" s="1271"/>
      <c r="LS639" s="1271"/>
      <c r="LT639" s="1271"/>
      <c r="LU639" s="1271"/>
      <c r="LV639" s="1271"/>
      <c r="LW639" s="1271"/>
      <c r="LX639" s="1271"/>
      <c r="LY639" s="1271"/>
      <c r="LZ639" s="1271"/>
      <c r="MA639" s="1271"/>
      <c r="MB639" s="1271"/>
      <c r="MC639" s="1271"/>
      <c r="MD639" s="1271"/>
      <c r="ME639" s="1271"/>
      <c r="MF639" s="1271"/>
      <c r="MG639" s="1271"/>
      <c r="MH639" s="1271"/>
      <c r="MI639" s="1271"/>
      <c r="MJ639" s="1271"/>
      <c r="MK639" s="1271"/>
      <c r="ML639" s="1271"/>
      <c r="MM639" s="1271"/>
      <c r="MN639" s="1271"/>
      <c r="MO639" s="1271"/>
      <c r="MP639" s="1271"/>
      <c r="MQ639" s="1271"/>
      <c r="MR639" s="1271"/>
      <c r="MS639" s="1271"/>
      <c r="MT639" s="1271"/>
      <c r="MU639" s="1271"/>
      <c r="MV639" s="1271"/>
      <c r="MW639" s="1271"/>
      <c r="MX639" s="1271"/>
      <c r="MY639" s="1271"/>
      <c r="MZ639" s="1271"/>
      <c r="NA639" s="1271"/>
      <c r="NB639" s="1271"/>
      <c r="NC639" s="1271"/>
      <c r="ND639" s="1271"/>
      <c r="NE639" s="1271"/>
      <c r="NF639" s="1271"/>
      <c r="NG639" s="1271"/>
      <c r="NH639" s="1271"/>
      <c r="NI639" s="1271"/>
      <c r="NJ639" s="1271"/>
      <c r="NK639" s="1271"/>
      <c r="NL639" s="1271"/>
      <c r="NM639" s="1271"/>
      <c r="NN639" s="1271"/>
      <c r="NO639" s="1271"/>
      <c r="NP639" s="1271"/>
      <c r="NQ639" s="1271"/>
      <c r="NR639" s="1271"/>
      <c r="NS639" s="1271"/>
      <c r="NT639" s="1271"/>
      <c r="NU639" s="1271"/>
      <c r="NV639" s="1271"/>
      <c r="NW639" s="1271"/>
      <c r="NX639" s="1271"/>
      <c r="NY639" s="1271"/>
      <c r="NZ639" s="1271"/>
      <c r="OA639" s="1271"/>
      <c r="OB639" s="1271"/>
      <c r="OC639" s="1271"/>
      <c r="OD639" s="1271"/>
      <c r="OE639" s="1271"/>
      <c r="OF639" s="1271"/>
      <c r="OG639" s="1271"/>
      <c r="OH639" s="1271"/>
      <c r="OI639" s="1271"/>
      <c r="OJ639" s="1271"/>
      <c r="OK639" s="1271"/>
      <c r="OL639" s="1271"/>
      <c r="OM639" s="1271"/>
      <c r="ON639" s="1271"/>
      <c r="OO639" s="1271"/>
      <c r="OP639" s="1271"/>
      <c r="OQ639" s="1271"/>
      <c r="OR639" s="1271"/>
      <c r="OS639" s="1271"/>
      <c r="OT639" s="1271"/>
      <c r="OU639" s="1271"/>
      <c r="OV639" s="1271"/>
      <c r="OW639" s="1271"/>
      <c r="OX639" s="1271"/>
      <c r="OY639" s="1271"/>
      <c r="OZ639" s="1271"/>
      <c r="PA639" s="1271"/>
      <c r="PB639" s="1271"/>
      <c r="PC639" s="1271"/>
      <c r="PD639" s="1271"/>
      <c r="PE639" s="1271"/>
      <c r="PF639" s="1271"/>
      <c r="PG639" s="1271"/>
      <c r="PH639" s="1271"/>
      <c r="PI639" s="1271"/>
      <c r="PJ639" s="1271"/>
      <c r="PK639" s="1271"/>
      <c r="PL639" s="1271"/>
      <c r="PM639" s="1271"/>
      <c r="PN639" s="1271"/>
      <c r="PO639" s="1271"/>
      <c r="PP639" s="1271"/>
      <c r="PQ639" s="1271"/>
      <c r="PR639" s="1271"/>
      <c r="PS639" s="1271"/>
      <c r="PT639" s="1271"/>
      <c r="PU639" s="1271"/>
      <c r="PV639" s="1271"/>
      <c r="PW639" s="1271"/>
      <c r="PX639" s="1271"/>
      <c r="PY639" s="1271"/>
      <c r="PZ639" s="1271"/>
      <c r="QA639" s="1271"/>
      <c r="QB639" s="1271"/>
      <c r="QC639" s="1271"/>
      <c r="QD639" s="1271"/>
      <c r="QE639" s="1271"/>
      <c r="QF639" s="1271"/>
      <c r="QG639" s="1271"/>
      <c r="QH639" s="1271"/>
      <c r="QI639" s="1271"/>
      <c r="QJ639" s="1271"/>
      <c r="QK639" s="1271"/>
      <c r="QL639" s="1271"/>
      <c r="QM639" s="1271"/>
      <c r="QN639" s="1271"/>
      <c r="QO639" s="1271"/>
      <c r="QP639" s="1271"/>
      <c r="QQ639" s="1271"/>
      <c r="QR639" s="1271"/>
      <c r="QS639" s="1271"/>
      <c r="QT639" s="1271"/>
      <c r="QU639" s="1271"/>
      <c r="QV639" s="1271"/>
      <c r="QW639" s="1271"/>
      <c r="QX639" s="1271"/>
      <c r="QY639" s="1271"/>
      <c r="QZ639" s="1271"/>
      <c r="RA639" s="1271"/>
      <c r="RB639" s="1271"/>
      <c r="RC639" s="1271"/>
      <c r="RD639" s="1271"/>
      <c r="RE639" s="1271"/>
      <c r="RF639" s="1271"/>
      <c r="RG639" s="1271"/>
      <c r="RH639" s="1271"/>
      <c r="RI639" s="1271"/>
      <c r="RJ639" s="1271"/>
      <c r="RK639" s="1271"/>
      <c r="RL639" s="1271"/>
      <c r="RM639" s="1271"/>
      <c r="RN639" s="1271"/>
      <c r="RO639" s="1271"/>
      <c r="RP639" s="1271"/>
      <c r="RQ639" s="1271"/>
      <c r="RR639" s="1271"/>
      <c r="RS639" s="1271"/>
      <c r="RT639" s="1271"/>
      <c r="RU639" s="1271"/>
      <c r="RV639" s="1271"/>
      <c r="RW639" s="1271"/>
      <c r="RX639" s="1271"/>
      <c r="RY639" s="1271"/>
      <c r="RZ639" s="1271"/>
      <c r="SA639" s="1271"/>
      <c r="SB639" s="1271"/>
      <c r="SC639" s="1271"/>
      <c r="SD639" s="1271"/>
      <c r="SE639" s="1271"/>
      <c r="SF639" s="1271"/>
      <c r="SG639" s="1271"/>
      <c r="SH639" s="1271"/>
      <c r="SI639" s="1271"/>
      <c r="SJ639" s="1271"/>
      <c r="SK639" s="1271"/>
      <c r="SL639" s="1271"/>
      <c r="SM639" s="1271"/>
      <c r="SN639" s="1271"/>
      <c r="SO639" s="1271"/>
      <c r="SP639" s="1271"/>
      <c r="SQ639" s="1271"/>
      <c r="SR639" s="1271"/>
      <c r="SS639" s="1271"/>
      <c r="ST639" s="1271"/>
      <c r="SU639" s="1271"/>
      <c r="SV639" s="1271"/>
      <c r="SW639" s="1271"/>
      <c r="SX639" s="1271"/>
      <c r="SY639" s="1271"/>
      <c r="SZ639" s="1271"/>
      <c r="TA639" s="1271"/>
      <c r="TB639" s="1271"/>
      <c r="TC639" s="1271"/>
      <c r="TD639" s="1271"/>
      <c r="TE639" s="1271"/>
      <c r="TF639" s="1271"/>
      <c r="TG639" s="1271"/>
      <c r="TH639" s="1271"/>
      <c r="TI639" s="1271"/>
      <c r="TJ639" s="1271"/>
      <c r="TK639" s="1271"/>
      <c r="TL639" s="1271"/>
      <c r="TM639" s="1271"/>
      <c r="TN639" s="1271"/>
      <c r="TO639" s="1271"/>
      <c r="TP639" s="1271"/>
      <c r="TQ639" s="1271"/>
      <c r="TR639" s="1271"/>
      <c r="TS639" s="1271"/>
      <c r="TT639" s="1271"/>
      <c r="TU639" s="1271"/>
      <c r="TV639" s="1271"/>
      <c r="TW639" s="1271"/>
      <c r="TX639" s="1271"/>
      <c r="TY639" s="1271"/>
      <c r="TZ639" s="1271"/>
      <c r="UA639" s="1271"/>
      <c r="UB639" s="1271"/>
      <c r="UC639" s="1271"/>
      <c r="UD639" s="1271"/>
      <c r="UE639" s="1271"/>
      <c r="UF639" s="1271"/>
      <c r="UG639" s="1272"/>
    </row>
    <row r="640" spans="1:553" s="1262" customFormat="1" ht="50.25" customHeight="1">
      <c r="A640" s="1226"/>
      <c r="B640" s="1226"/>
      <c r="C640" s="1519" t="s">
        <v>454</v>
      </c>
      <c r="D640" s="1452"/>
      <c r="E640" s="1452"/>
      <c r="F640" s="1464"/>
      <c r="G640" s="1226" t="s">
        <v>193</v>
      </c>
      <c r="H640" s="600"/>
      <c r="I640" s="502">
        <v>1</v>
      </c>
      <c r="J640" s="557">
        <v>225800</v>
      </c>
      <c r="K640" s="712">
        <v>0.7</v>
      </c>
      <c r="L640" s="679">
        <f t="shared" si="105"/>
        <v>158060</v>
      </c>
      <c r="M640" s="1226"/>
      <c r="N640" s="1226"/>
      <c r="O640" s="1226"/>
      <c r="P640" s="1226"/>
      <c r="Q640" s="812"/>
      <c r="R640" s="1452"/>
      <c r="S640" s="308"/>
      <c r="T640" s="308"/>
      <c r="U640" s="308"/>
      <c r="V640" s="308"/>
      <c r="W640" s="308"/>
      <c r="X640" s="308"/>
      <c r="Y640" s="308"/>
      <c r="Z640" s="604"/>
      <c r="AA640" s="308"/>
      <c r="AB640" s="308"/>
      <c r="AC640" s="449"/>
      <c r="AD640" s="449"/>
      <c r="AE640" s="449"/>
      <c r="AF640" s="449"/>
      <c r="AG640" s="449"/>
      <c r="AH640" s="449"/>
      <c r="AI640" s="449"/>
      <c r="AJ640" s="449"/>
      <c r="AK640" s="452"/>
      <c r="AL640" s="1269"/>
      <c r="AM640" s="1270"/>
      <c r="AN640" s="1270"/>
      <c r="AO640" s="1270"/>
      <c r="AP640" s="1270"/>
      <c r="AQ640" s="1270"/>
      <c r="AR640" s="1270"/>
      <c r="AS640" s="1260"/>
      <c r="AT640" s="1260"/>
      <c r="AU640" s="1260"/>
      <c r="AV640" s="1260"/>
      <c r="AW640" s="1260"/>
      <c r="AX640" s="1260"/>
      <c r="AY640" s="1260"/>
      <c r="AZ640" s="1260"/>
      <c r="BA640" s="1260"/>
      <c r="BB640" s="1260"/>
      <c r="BC640" s="1260"/>
      <c r="BD640" s="1260"/>
      <c r="BE640" s="1260"/>
      <c r="BF640" s="1260"/>
      <c r="BG640" s="1260"/>
      <c r="BH640" s="1260"/>
      <c r="BI640" s="1260"/>
      <c r="BJ640" s="1260"/>
      <c r="BK640" s="1260"/>
      <c r="BL640" s="1260"/>
      <c r="BM640" s="1260"/>
      <c r="BN640" s="1260"/>
      <c r="BO640" s="1260"/>
      <c r="BP640" s="1271"/>
      <c r="BQ640" s="1271"/>
      <c r="BR640" s="1271"/>
      <c r="BS640" s="1271"/>
      <c r="BT640" s="1271"/>
      <c r="BU640" s="1271"/>
      <c r="BV640" s="1271"/>
      <c r="BW640" s="1271"/>
      <c r="BX640" s="1271"/>
      <c r="BY640" s="1271"/>
      <c r="BZ640" s="1271"/>
      <c r="CA640" s="1271"/>
      <c r="CB640" s="1271"/>
      <c r="CC640" s="1271"/>
      <c r="CD640" s="1271"/>
      <c r="CE640" s="1271"/>
      <c r="CF640" s="1271"/>
      <c r="CG640" s="1271"/>
      <c r="CH640" s="1271"/>
      <c r="CI640" s="1271"/>
      <c r="CJ640" s="1271"/>
      <c r="CK640" s="1271"/>
      <c r="CL640" s="1271"/>
      <c r="CM640" s="1271"/>
      <c r="CN640" s="1271"/>
      <c r="CO640" s="1271"/>
      <c r="CP640" s="1271"/>
      <c r="CQ640" s="1271"/>
      <c r="CR640" s="1271"/>
      <c r="CS640" s="1271"/>
      <c r="CT640" s="1271"/>
      <c r="CU640" s="1271"/>
      <c r="CV640" s="1271"/>
      <c r="CW640" s="1271"/>
      <c r="CX640" s="1271"/>
      <c r="CY640" s="1271"/>
      <c r="CZ640" s="1271"/>
      <c r="DA640" s="1271"/>
      <c r="DB640" s="1271"/>
      <c r="DC640" s="1271"/>
      <c r="DD640" s="1271"/>
      <c r="DE640" s="1271"/>
      <c r="DF640" s="1271"/>
      <c r="DG640" s="1271"/>
      <c r="DH640" s="1271"/>
      <c r="DI640" s="1271"/>
      <c r="DJ640" s="1271"/>
      <c r="DK640" s="1271"/>
      <c r="DL640" s="1271"/>
      <c r="DM640" s="1271"/>
      <c r="DN640" s="1271"/>
      <c r="DO640" s="1271"/>
      <c r="DP640" s="1271"/>
      <c r="DQ640" s="1271"/>
      <c r="DR640" s="1271"/>
      <c r="DS640" s="1271"/>
      <c r="DT640" s="1271"/>
      <c r="DU640" s="1271"/>
      <c r="DV640" s="1271"/>
      <c r="DW640" s="1271"/>
      <c r="DX640" s="1271"/>
      <c r="DY640" s="1271"/>
      <c r="DZ640" s="1271"/>
      <c r="EA640" s="1271"/>
      <c r="EB640" s="1271"/>
      <c r="EC640" s="1271"/>
      <c r="ED640" s="1271"/>
      <c r="EE640" s="1271"/>
      <c r="EF640" s="1271"/>
      <c r="EG640" s="1271"/>
      <c r="EH640" s="1271"/>
      <c r="EI640" s="1271"/>
      <c r="EJ640" s="1271"/>
      <c r="EK640" s="1271"/>
      <c r="EL640" s="1271"/>
      <c r="EM640" s="1271"/>
      <c r="EN640" s="1271"/>
      <c r="EO640" s="1271"/>
      <c r="EP640" s="1271"/>
      <c r="EQ640" s="1271"/>
      <c r="ER640" s="1271"/>
      <c r="ES640" s="1271"/>
      <c r="ET640" s="1271"/>
      <c r="EU640" s="1271"/>
      <c r="EV640" s="1271"/>
      <c r="EW640" s="1271"/>
      <c r="EX640" s="1271"/>
      <c r="EY640" s="1271"/>
      <c r="EZ640" s="1271"/>
      <c r="FA640" s="1271"/>
      <c r="FB640" s="1271"/>
      <c r="FC640" s="1271"/>
      <c r="FD640" s="1271"/>
      <c r="FE640" s="1271"/>
      <c r="FF640" s="1271"/>
      <c r="FG640" s="1271"/>
      <c r="FH640" s="1271"/>
      <c r="FI640" s="1271"/>
      <c r="FJ640" s="1271"/>
      <c r="FK640" s="1271"/>
      <c r="FL640" s="1271"/>
      <c r="FM640" s="1271"/>
      <c r="FN640" s="1271"/>
      <c r="FO640" s="1271"/>
      <c r="FP640" s="1271"/>
      <c r="FQ640" s="1271"/>
      <c r="FR640" s="1271"/>
      <c r="FS640" s="1271"/>
      <c r="FT640" s="1271"/>
      <c r="FU640" s="1271"/>
      <c r="FV640" s="1271"/>
      <c r="FW640" s="1271"/>
      <c r="FX640" s="1271"/>
      <c r="FY640" s="1271"/>
      <c r="FZ640" s="1271"/>
      <c r="GA640" s="1271"/>
      <c r="GB640" s="1271"/>
      <c r="GC640" s="1271"/>
      <c r="GD640" s="1271"/>
      <c r="GE640" s="1271"/>
      <c r="GF640" s="1271"/>
      <c r="GG640" s="1271"/>
      <c r="GH640" s="1271"/>
      <c r="GI640" s="1271"/>
      <c r="GJ640" s="1271"/>
      <c r="GK640" s="1271"/>
      <c r="GL640" s="1271"/>
      <c r="GM640" s="1271"/>
      <c r="GN640" s="1271"/>
      <c r="GO640" s="1271"/>
      <c r="GP640" s="1271"/>
      <c r="GQ640" s="1271"/>
      <c r="GR640" s="1271"/>
      <c r="GS640" s="1271"/>
      <c r="GT640" s="1271"/>
      <c r="GU640" s="1271"/>
      <c r="GV640" s="1271"/>
      <c r="GW640" s="1271"/>
      <c r="GX640" s="1271"/>
      <c r="GY640" s="1271"/>
      <c r="GZ640" s="1271"/>
      <c r="HA640" s="1271"/>
      <c r="HB640" s="1271"/>
      <c r="HC640" s="1271"/>
      <c r="HD640" s="1271"/>
      <c r="HE640" s="1271"/>
      <c r="HF640" s="1271"/>
      <c r="HG640" s="1271"/>
      <c r="HH640" s="1271"/>
      <c r="HI640" s="1271"/>
      <c r="HJ640" s="1271"/>
      <c r="HK640" s="1271"/>
      <c r="HL640" s="1271"/>
      <c r="HM640" s="1271"/>
      <c r="HN640" s="1271"/>
      <c r="HO640" s="1271"/>
      <c r="HP640" s="1271"/>
      <c r="HQ640" s="1271"/>
      <c r="HR640" s="1271"/>
      <c r="HS640" s="1271"/>
      <c r="HT640" s="1271"/>
      <c r="HU640" s="1271"/>
      <c r="HV640" s="1271"/>
      <c r="HW640" s="1271"/>
      <c r="HX640" s="1271"/>
      <c r="HY640" s="1271"/>
      <c r="HZ640" s="1271"/>
      <c r="IA640" s="1271"/>
      <c r="IB640" s="1271"/>
      <c r="IC640" s="1271"/>
      <c r="ID640" s="1271"/>
      <c r="IE640" s="1271"/>
      <c r="IF640" s="1271"/>
      <c r="IG640" s="1271"/>
      <c r="IH640" s="1271"/>
      <c r="II640" s="1271"/>
      <c r="IJ640" s="1271"/>
      <c r="IK640" s="1271"/>
      <c r="IL640" s="1271"/>
      <c r="IM640" s="1271"/>
      <c r="IN640" s="1271"/>
      <c r="IO640" s="1271"/>
      <c r="IP640" s="1271"/>
      <c r="IQ640" s="1271"/>
      <c r="IR640" s="1271"/>
      <c r="IS640" s="1271"/>
      <c r="IT640" s="1271"/>
      <c r="IU640" s="1271"/>
      <c r="IV640" s="1271"/>
      <c r="IW640" s="1271"/>
      <c r="IX640" s="1271"/>
      <c r="IY640" s="1271"/>
      <c r="IZ640" s="1271"/>
      <c r="JA640" s="1271"/>
      <c r="JB640" s="1271"/>
      <c r="JC640" s="1271"/>
      <c r="JD640" s="1271"/>
      <c r="JE640" s="1271"/>
      <c r="JF640" s="1271"/>
      <c r="JG640" s="1271"/>
      <c r="JH640" s="1271"/>
      <c r="JI640" s="1271"/>
      <c r="JJ640" s="1271"/>
      <c r="JK640" s="1271"/>
      <c r="JL640" s="1271"/>
      <c r="JM640" s="1271"/>
      <c r="JN640" s="1271"/>
      <c r="JO640" s="1271"/>
      <c r="JP640" s="1271"/>
      <c r="JQ640" s="1271"/>
      <c r="JR640" s="1271"/>
      <c r="JS640" s="1271"/>
      <c r="JT640" s="1271"/>
      <c r="JU640" s="1271"/>
      <c r="JV640" s="1271"/>
      <c r="JW640" s="1271"/>
      <c r="JX640" s="1271"/>
      <c r="JY640" s="1271"/>
      <c r="JZ640" s="1271"/>
      <c r="KA640" s="1271"/>
      <c r="KB640" s="1271"/>
      <c r="KC640" s="1271"/>
      <c r="KD640" s="1271"/>
      <c r="KE640" s="1271"/>
      <c r="KF640" s="1271"/>
      <c r="KG640" s="1271"/>
      <c r="KH640" s="1271"/>
      <c r="KI640" s="1271"/>
      <c r="KJ640" s="1271"/>
      <c r="KK640" s="1271"/>
      <c r="KL640" s="1271"/>
      <c r="KM640" s="1271"/>
      <c r="KN640" s="1271"/>
      <c r="KO640" s="1271"/>
      <c r="KP640" s="1271"/>
      <c r="KQ640" s="1271"/>
      <c r="KR640" s="1271"/>
      <c r="KS640" s="1271"/>
      <c r="KT640" s="1271"/>
      <c r="KU640" s="1271"/>
      <c r="KV640" s="1271"/>
      <c r="KW640" s="1271"/>
      <c r="KX640" s="1271"/>
      <c r="KY640" s="1271"/>
      <c r="KZ640" s="1271"/>
      <c r="LA640" s="1271"/>
      <c r="LB640" s="1271"/>
      <c r="LC640" s="1271"/>
      <c r="LD640" s="1271"/>
      <c r="LE640" s="1271"/>
      <c r="LF640" s="1271"/>
      <c r="LG640" s="1271"/>
      <c r="LH640" s="1271"/>
      <c r="LI640" s="1271"/>
      <c r="LJ640" s="1271"/>
      <c r="LK640" s="1271"/>
      <c r="LL640" s="1271"/>
      <c r="LM640" s="1271"/>
      <c r="LN640" s="1271"/>
      <c r="LO640" s="1271"/>
      <c r="LP640" s="1271"/>
      <c r="LQ640" s="1271"/>
      <c r="LR640" s="1271"/>
      <c r="LS640" s="1271"/>
      <c r="LT640" s="1271"/>
      <c r="LU640" s="1271"/>
      <c r="LV640" s="1271"/>
      <c r="LW640" s="1271"/>
      <c r="LX640" s="1271"/>
      <c r="LY640" s="1271"/>
      <c r="LZ640" s="1271"/>
      <c r="MA640" s="1271"/>
      <c r="MB640" s="1271"/>
      <c r="MC640" s="1271"/>
      <c r="MD640" s="1271"/>
      <c r="ME640" s="1271"/>
      <c r="MF640" s="1271"/>
      <c r="MG640" s="1271"/>
      <c r="MH640" s="1271"/>
      <c r="MI640" s="1271"/>
      <c r="MJ640" s="1271"/>
      <c r="MK640" s="1271"/>
      <c r="ML640" s="1271"/>
      <c r="MM640" s="1271"/>
      <c r="MN640" s="1271"/>
      <c r="MO640" s="1271"/>
      <c r="MP640" s="1271"/>
      <c r="MQ640" s="1271"/>
      <c r="MR640" s="1271"/>
      <c r="MS640" s="1271"/>
      <c r="MT640" s="1271"/>
      <c r="MU640" s="1271"/>
      <c r="MV640" s="1271"/>
      <c r="MW640" s="1271"/>
      <c r="MX640" s="1271"/>
      <c r="MY640" s="1271"/>
      <c r="MZ640" s="1271"/>
      <c r="NA640" s="1271"/>
      <c r="NB640" s="1271"/>
      <c r="NC640" s="1271"/>
      <c r="ND640" s="1271"/>
      <c r="NE640" s="1271"/>
      <c r="NF640" s="1271"/>
      <c r="NG640" s="1271"/>
      <c r="NH640" s="1271"/>
      <c r="NI640" s="1271"/>
      <c r="NJ640" s="1271"/>
      <c r="NK640" s="1271"/>
      <c r="NL640" s="1271"/>
      <c r="NM640" s="1271"/>
      <c r="NN640" s="1271"/>
      <c r="NO640" s="1271"/>
      <c r="NP640" s="1271"/>
      <c r="NQ640" s="1271"/>
      <c r="NR640" s="1271"/>
      <c r="NS640" s="1271"/>
      <c r="NT640" s="1271"/>
      <c r="NU640" s="1271"/>
      <c r="NV640" s="1271"/>
      <c r="NW640" s="1271"/>
      <c r="NX640" s="1271"/>
      <c r="NY640" s="1271"/>
      <c r="NZ640" s="1271"/>
      <c r="OA640" s="1271"/>
      <c r="OB640" s="1271"/>
      <c r="OC640" s="1271"/>
      <c r="OD640" s="1271"/>
      <c r="OE640" s="1271"/>
      <c r="OF640" s="1271"/>
      <c r="OG640" s="1271"/>
      <c r="OH640" s="1271"/>
      <c r="OI640" s="1271"/>
      <c r="OJ640" s="1271"/>
      <c r="OK640" s="1271"/>
      <c r="OL640" s="1271"/>
      <c r="OM640" s="1271"/>
      <c r="ON640" s="1271"/>
      <c r="OO640" s="1271"/>
      <c r="OP640" s="1271"/>
      <c r="OQ640" s="1271"/>
      <c r="OR640" s="1271"/>
      <c r="OS640" s="1271"/>
      <c r="OT640" s="1271"/>
      <c r="OU640" s="1271"/>
      <c r="OV640" s="1271"/>
      <c r="OW640" s="1271"/>
      <c r="OX640" s="1271"/>
      <c r="OY640" s="1271"/>
      <c r="OZ640" s="1271"/>
      <c r="PA640" s="1271"/>
      <c r="PB640" s="1271"/>
      <c r="PC640" s="1271"/>
      <c r="PD640" s="1271"/>
      <c r="PE640" s="1271"/>
      <c r="PF640" s="1271"/>
      <c r="PG640" s="1271"/>
      <c r="PH640" s="1271"/>
      <c r="PI640" s="1271"/>
      <c r="PJ640" s="1271"/>
      <c r="PK640" s="1271"/>
      <c r="PL640" s="1271"/>
      <c r="PM640" s="1271"/>
      <c r="PN640" s="1271"/>
      <c r="PO640" s="1271"/>
      <c r="PP640" s="1271"/>
      <c r="PQ640" s="1271"/>
      <c r="PR640" s="1271"/>
      <c r="PS640" s="1271"/>
      <c r="PT640" s="1271"/>
      <c r="PU640" s="1271"/>
      <c r="PV640" s="1271"/>
      <c r="PW640" s="1271"/>
      <c r="PX640" s="1271"/>
      <c r="PY640" s="1271"/>
      <c r="PZ640" s="1271"/>
      <c r="QA640" s="1271"/>
      <c r="QB640" s="1271"/>
      <c r="QC640" s="1271"/>
      <c r="QD640" s="1271"/>
      <c r="QE640" s="1271"/>
      <c r="QF640" s="1271"/>
      <c r="QG640" s="1271"/>
      <c r="QH640" s="1271"/>
      <c r="QI640" s="1271"/>
      <c r="QJ640" s="1271"/>
      <c r="QK640" s="1271"/>
      <c r="QL640" s="1271"/>
      <c r="QM640" s="1271"/>
      <c r="QN640" s="1271"/>
      <c r="QO640" s="1271"/>
      <c r="QP640" s="1271"/>
      <c r="QQ640" s="1271"/>
      <c r="QR640" s="1271"/>
      <c r="QS640" s="1271"/>
      <c r="QT640" s="1271"/>
      <c r="QU640" s="1271"/>
      <c r="QV640" s="1271"/>
      <c r="QW640" s="1271"/>
      <c r="QX640" s="1271"/>
      <c r="QY640" s="1271"/>
      <c r="QZ640" s="1271"/>
      <c r="RA640" s="1271"/>
      <c r="RB640" s="1271"/>
      <c r="RC640" s="1271"/>
      <c r="RD640" s="1271"/>
      <c r="RE640" s="1271"/>
      <c r="RF640" s="1271"/>
      <c r="RG640" s="1271"/>
      <c r="RH640" s="1271"/>
      <c r="RI640" s="1271"/>
      <c r="RJ640" s="1271"/>
      <c r="RK640" s="1271"/>
      <c r="RL640" s="1271"/>
      <c r="RM640" s="1271"/>
      <c r="RN640" s="1271"/>
      <c r="RO640" s="1271"/>
      <c r="RP640" s="1271"/>
      <c r="RQ640" s="1271"/>
      <c r="RR640" s="1271"/>
      <c r="RS640" s="1271"/>
      <c r="RT640" s="1271"/>
      <c r="RU640" s="1271"/>
      <c r="RV640" s="1271"/>
      <c r="RW640" s="1271"/>
      <c r="RX640" s="1271"/>
      <c r="RY640" s="1271"/>
      <c r="RZ640" s="1271"/>
      <c r="SA640" s="1271"/>
      <c r="SB640" s="1271"/>
      <c r="SC640" s="1271"/>
      <c r="SD640" s="1271"/>
      <c r="SE640" s="1271"/>
      <c r="SF640" s="1271"/>
      <c r="SG640" s="1271"/>
      <c r="SH640" s="1271"/>
      <c r="SI640" s="1271"/>
      <c r="SJ640" s="1271"/>
      <c r="SK640" s="1271"/>
      <c r="SL640" s="1271"/>
      <c r="SM640" s="1271"/>
      <c r="SN640" s="1271"/>
      <c r="SO640" s="1271"/>
      <c r="SP640" s="1271"/>
      <c r="SQ640" s="1271"/>
      <c r="SR640" s="1271"/>
      <c r="SS640" s="1271"/>
      <c r="ST640" s="1271"/>
      <c r="SU640" s="1271"/>
      <c r="SV640" s="1271"/>
      <c r="SW640" s="1271"/>
      <c r="SX640" s="1271"/>
      <c r="SY640" s="1271"/>
      <c r="SZ640" s="1271"/>
      <c r="TA640" s="1271"/>
      <c r="TB640" s="1271"/>
      <c r="TC640" s="1271"/>
      <c r="TD640" s="1271"/>
      <c r="TE640" s="1271"/>
      <c r="TF640" s="1271"/>
      <c r="TG640" s="1271"/>
      <c r="TH640" s="1271"/>
      <c r="TI640" s="1271"/>
      <c r="TJ640" s="1271"/>
      <c r="TK640" s="1271"/>
      <c r="TL640" s="1271"/>
      <c r="TM640" s="1271"/>
      <c r="TN640" s="1271"/>
      <c r="TO640" s="1271"/>
      <c r="TP640" s="1271"/>
      <c r="TQ640" s="1271"/>
      <c r="TR640" s="1271"/>
      <c r="TS640" s="1271"/>
      <c r="TT640" s="1271"/>
      <c r="TU640" s="1271"/>
      <c r="TV640" s="1271"/>
      <c r="TW640" s="1271"/>
      <c r="TX640" s="1271"/>
      <c r="TY640" s="1271"/>
      <c r="TZ640" s="1271"/>
      <c r="UA640" s="1271"/>
      <c r="UB640" s="1271"/>
      <c r="UC640" s="1271"/>
      <c r="UD640" s="1271"/>
      <c r="UE640" s="1271"/>
      <c r="UF640" s="1271"/>
      <c r="UG640" s="1272"/>
    </row>
    <row r="641" spans="1:553" s="1262" customFormat="1" ht="50.25" customHeight="1">
      <c r="A641" s="415"/>
      <c r="B641" s="415"/>
      <c r="C641" s="1521" t="s">
        <v>455</v>
      </c>
      <c r="D641" s="1461"/>
      <c r="E641" s="1461"/>
      <c r="F641" s="1461"/>
      <c r="G641" s="1226" t="s">
        <v>196</v>
      </c>
      <c r="H641" s="603"/>
      <c r="I641" s="1016">
        <f>(95.03*100/500)*(23-(4-3))*1</f>
        <v>418.13200000000001</v>
      </c>
      <c r="J641" s="512">
        <v>11000</v>
      </c>
      <c r="K641" s="715">
        <v>0.7</v>
      </c>
      <c r="L641" s="1012">
        <f t="shared" si="105"/>
        <v>3219616.4</v>
      </c>
      <c r="M641" s="415"/>
      <c r="N641" s="415"/>
      <c r="O641" s="415"/>
      <c r="P641" s="415"/>
      <c r="Q641" s="812"/>
      <c r="R641" s="1452"/>
      <c r="S641" s="308"/>
      <c r="T641" s="308"/>
      <c r="U641" s="308"/>
      <c r="V641" s="308"/>
      <c r="W641" s="308"/>
      <c r="X641" s="308"/>
      <c r="Y641" s="308"/>
      <c r="Z641" s="604"/>
      <c r="AA641" s="308"/>
      <c r="AB641" s="308"/>
      <c r="AC641" s="449"/>
      <c r="AD641" s="449"/>
      <c r="AE641" s="449"/>
      <c r="AF641" s="449"/>
      <c r="AG641" s="449"/>
      <c r="AH641" s="449"/>
      <c r="AI641" s="449"/>
      <c r="AJ641" s="449"/>
      <c r="AK641" s="452"/>
      <c r="AL641" s="1269"/>
      <c r="AM641" s="1270"/>
      <c r="AN641" s="1270"/>
      <c r="AO641" s="1270"/>
      <c r="AP641" s="1270"/>
      <c r="AQ641" s="1270"/>
      <c r="AR641" s="1270"/>
      <c r="AS641" s="1260"/>
      <c r="AT641" s="1260"/>
      <c r="AU641" s="1260"/>
      <c r="AV641" s="1260"/>
      <c r="AW641" s="1260"/>
      <c r="AX641" s="1260"/>
      <c r="AY641" s="1260"/>
      <c r="AZ641" s="1260"/>
      <c r="BA641" s="1260"/>
      <c r="BB641" s="1260"/>
      <c r="BC641" s="1260"/>
      <c r="BD641" s="1260"/>
      <c r="BE641" s="1260"/>
      <c r="BF641" s="1260"/>
      <c r="BG641" s="1260"/>
      <c r="BH641" s="1260"/>
      <c r="BI641" s="1260"/>
      <c r="BJ641" s="1260"/>
      <c r="BK641" s="1260"/>
      <c r="BL641" s="1260"/>
      <c r="BM641" s="1260"/>
      <c r="BN641" s="1260"/>
      <c r="BO641" s="1260"/>
      <c r="BP641" s="1271"/>
      <c r="BQ641" s="1271"/>
      <c r="BR641" s="1271"/>
      <c r="BS641" s="1271"/>
      <c r="BT641" s="1271"/>
      <c r="BU641" s="1271"/>
      <c r="BV641" s="1271"/>
      <c r="BW641" s="1271"/>
      <c r="BX641" s="1271"/>
      <c r="BY641" s="1271"/>
      <c r="BZ641" s="1271"/>
      <c r="CA641" s="1271"/>
      <c r="CB641" s="1271"/>
      <c r="CC641" s="1271"/>
      <c r="CD641" s="1271"/>
      <c r="CE641" s="1271"/>
      <c r="CF641" s="1271"/>
      <c r="CG641" s="1271"/>
      <c r="CH641" s="1271"/>
      <c r="CI641" s="1271"/>
      <c r="CJ641" s="1271"/>
      <c r="CK641" s="1271"/>
      <c r="CL641" s="1271"/>
      <c r="CM641" s="1271"/>
      <c r="CN641" s="1271"/>
      <c r="CO641" s="1271"/>
      <c r="CP641" s="1271"/>
      <c r="CQ641" s="1271"/>
      <c r="CR641" s="1271"/>
      <c r="CS641" s="1271"/>
      <c r="CT641" s="1271"/>
      <c r="CU641" s="1271"/>
      <c r="CV641" s="1271"/>
      <c r="CW641" s="1271"/>
      <c r="CX641" s="1271"/>
      <c r="CY641" s="1271"/>
      <c r="CZ641" s="1271"/>
      <c r="DA641" s="1271"/>
      <c r="DB641" s="1271"/>
      <c r="DC641" s="1271"/>
      <c r="DD641" s="1271"/>
      <c r="DE641" s="1271"/>
      <c r="DF641" s="1271"/>
      <c r="DG641" s="1271"/>
      <c r="DH641" s="1271"/>
      <c r="DI641" s="1271"/>
      <c r="DJ641" s="1271"/>
      <c r="DK641" s="1271"/>
      <c r="DL641" s="1271"/>
      <c r="DM641" s="1271"/>
      <c r="DN641" s="1271"/>
      <c r="DO641" s="1271"/>
      <c r="DP641" s="1271"/>
      <c r="DQ641" s="1271"/>
      <c r="DR641" s="1271"/>
      <c r="DS641" s="1271"/>
      <c r="DT641" s="1271"/>
      <c r="DU641" s="1271"/>
      <c r="DV641" s="1271"/>
      <c r="DW641" s="1271"/>
      <c r="DX641" s="1271"/>
      <c r="DY641" s="1271"/>
      <c r="DZ641" s="1271"/>
      <c r="EA641" s="1271"/>
      <c r="EB641" s="1271"/>
      <c r="EC641" s="1271"/>
      <c r="ED641" s="1271"/>
      <c r="EE641" s="1271"/>
      <c r="EF641" s="1271"/>
      <c r="EG641" s="1271"/>
      <c r="EH641" s="1271"/>
      <c r="EI641" s="1271"/>
      <c r="EJ641" s="1271"/>
      <c r="EK641" s="1271"/>
      <c r="EL641" s="1271"/>
      <c r="EM641" s="1271"/>
      <c r="EN641" s="1271"/>
      <c r="EO641" s="1271"/>
      <c r="EP641" s="1271"/>
      <c r="EQ641" s="1271"/>
      <c r="ER641" s="1271"/>
      <c r="ES641" s="1271"/>
      <c r="ET641" s="1271"/>
      <c r="EU641" s="1271"/>
      <c r="EV641" s="1271"/>
      <c r="EW641" s="1271"/>
      <c r="EX641" s="1271"/>
      <c r="EY641" s="1271"/>
      <c r="EZ641" s="1271"/>
      <c r="FA641" s="1271"/>
      <c r="FB641" s="1271"/>
      <c r="FC641" s="1271"/>
      <c r="FD641" s="1271"/>
      <c r="FE641" s="1271"/>
      <c r="FF641" s="1271"/>
      <c r="FG641" s="1271"/>
      <c r="FH641" s="1271"/>
      <c r="FI641" s="1271"/>
      <c r="FJ641" s="1271"/>
      <c r="FK641" s="1271"/>
      <c r="FL641" s="1271"/>
      <c r="FM641" s="1271"/>
      <c r="FN641" s="1271"/>
      <c r="FO641" s="1271"/>
      <c r="FP641" s="1271"/>
      <c r="FQ641" s="1271"/>
      <c r="FR641" s="1271"/>
      <c r="FS641" s="1271"/>
      <c r="FT641" s="1271"/>
      <c r="FU641" s="1271"/>
      <c r="FV641" s="1271"/>
      <c r="FW641" s="1271"/>
      <c r="FX641" s="1271"/>
      <c r="FY641" s="1271"/>
      <c r="FZ641" s="1271"/>
      <c r="GA641" s="1271"/>
      <c r="GB641" s="1271"/>
      <c r="GC641" s="1271"/>
      <c r="GD641" s="1271"/>
      <c r="GE641" s="1271"/>
      <c r="GF641" s="1271"/>
      <c r="GG641" s="1271"/>
      <c r="GH641" s="1271"/>
      <c r="GI641" s="1271"/>
      <c r="GJ641" s="1271"/>
      <c r="GK641" s="1271"/>
      <c r="GL641" s="1271"/>
      <c r="GM641" s="1271"/>
      <c r="GN641" s="1271"/>
      <c r="GO641" s="1271"/>
      <c r="GP641" s="1271"/>
      <c r="GQ641" s="1271"/>
      <c r="GR641" s="1271"/>
      <c r="GS641" s="1271"/>
      <c r="GT641" s="1271"/>
      <c r="GU641" s="1271"/>
      <c r="GV641" s="1271"/>
      <c r="GW641" s="1271"/>
      <c r="GX641" s="1271"/>
      <c r="GY641" s="1271"/>
      <c r="GZ641" s="1271"/>
      <c r="HA641" s="1271"/>
      <c r="HB641" s="1271"/>
      <c r="HC641" s="1271"/>
      <c r="HD641" s="1271"/>
      <c r="HE641" s="1271"/>
      <c r="HF641" s="1271"/>
      <c r="HG641" s="1271"/>
      <c r="HH641" s="1271"/>
      <c r="HI641" s="1271"/>
      <c r="HJ641" s="1271"/>
      <c r="HK641" s="1271"/>
      <c r="HL641" s="1271"/>
      <c r="HM641" s="1271"/>
      <c r="HN641" s="1271"/>
      <c r="HO641" s="1271"/>
      <c r="HP641" s="1271"/>
      <c r="HQ641" s="1271"/>
      <c r="HR641" s="1271"/>
      <c r="HS641" s="1271"/>
      <c r="HT641" s="1271"/>
      <c r="HU641" s="1271"/>
      <c r="HV641" s="1271"/>
      <c r="HW641" s="1271"/>
      <c r="HX641" s="1271"/>
      <c r="HY641" s="1271"/>
      <c r="HZ641" s="1271"/>
      <c r="IA641" s="1271"/>
      <c r="IB641" s="1271"/>
      <c r="IC641" s="1271"/>
      <c r="ID641" s="1271"/>
      <c r="IE641" s="1271"/>
      <c r="IF641" s="1271"/>
      <c r="IG641" s="1271"/>
      <c r="IH641" s="1271"/>
      <c r="II641" s="1271"/>
      <c r="IJ641" s="1271"/>
      <c r="IK641" s="1271"/>
      <c r="IL641" s="1271"/>
      <c r="IM641" s="1271"/>
      <c r="IN641" s="1271"/>
      <c r="IO641" s="1271"/>
      <c r="IP641" s="1271"/>
      <c r="IQ641" s="1271"/>
      <c r="IR641" s="1271"/>
      <c r="IS641" s="1271"/>
      <c r="IT641" s="1271"/>
      <c r="IU641" s="1271"/>
      <c r="IV641" s="1271"/>
      <c r="IW641" s="1271"/>
      <c r="IX641" s="1271"/>
      <c r="IY641" s="1271"/>
      <c r="IZ641" s="1271"/>
      <c r="JA641" s="1271"/>
      <c r="JB641" s="1271"/>
      <c r="JC641" s="1271"/>
      <c r="JD641" s="1271"/>
      <c r="JE641" s="1271"/>
      <c r="JF641" s="1271"/>
      <c r="JG641" s="1271"/>
      <c r="JH641" s="1271"/>
      <c r="JI641" s="1271"/>
      <c r="JJ641" s="1271"/>
      <c r="JK641" s="1271"/>
      <c r="JL641" s="1271"/>
      <c r="JM641" s="1271"/>
      <c r="JN641" s="1271"/>
      <c r="JO641" s="1271"/>
      <c r="JP641" s="1271"/>
      <c r="JQ641" s="1271"/>
      <c r="JR641" s="1271"/>
      <c r="JS641" s="1271"/>
      <c r="JT641" s="1271"/>
      <c r="JU641" s="1271"/>
      <c r="JV641" s="1271"/>
      <c r="JW641" s="1271"/>
      <c r="JX641" s="1271"/>
      <c r="JY641" s="1271"/>
      <c r="JZ641" s="1271"/>
      <c r="KA641" s="1271"/>
      <c r="KB641" s="1271"/>
      <c r="KC641" s="1271"/>
      <c r="KD641" s="1271"/>
      <c r="KE641" s="1271"/>
      <c r="KF641" s="1271"/>
      <c r="KG641" s="1271"/>
      <c r="KH641" s="1271"/>
      <c r="KI641" s="1271"/>
      <c r="KJ641" s="1271"/>
      <c r="KK641" s="1271"/>
      <c r="KL641" s="1271"/>
      <c r="KM641" s="1271"/>
      <c r="KN641" s="1271"/>
      <c r="KO641" s="1271"/>
      <c r="KP641" s="1271"/>
      <c r="KQ641" s="1271"/>
      <c r="KR641" s="1271"/>
      <c r="KS641" s="1271"/>
      <c r="KT641" s="1271"/>
      <c r="KU641" s="1271"/>
      <c r="KV641" s="1271"/>
      <c r="KW641" s="1271"/>
      <c r="KX641" s="1271"/>
      <c r="KY641" s="1271"/>
      <c r="KZ641" s="1271"/>
      <c r="LA641" s="1271"/>
      <c r="LB641" s="1271"/>
      <c r="LC641" s="1271"/>
      <c r="LD641" s="1271"/>
      <c r="LE641" s="1271"/>
      <c r="LF641" s="1271"/>
      <c r="LG641" s="1271"/>
      <c r="LH641" s="1271"/>
      <c r="LI641" s="1271"/>
      <c r="LJ641" s="1271"/>
      <c r="LK641" s="1271"/>
      <c r="LL641" s="1271"/>
      <c r="LM641" s="1271"/>
      <c r="LN641" s="1271"/>
      <c r="LO641" s="1271"/>
      <c r="LP641" s="1271"/>
      <c r="LQ641" s="1271"/>
      <c r="LR641" s="1271"/>
      <c r="LS641" s="1271"/>
      <c r="LT641" s="1271"/>
      <c r="LU641" s="1271"/>
      <c r="LV641" s="1271"/>
      <c r="LW641" s="1271"/>
      <c r="LX641" s="1271"/>
      <c r="LY641" s="1271"/>
      <c r="LZ641" s="1271"/>
      <c r="MA641" s="1271"/>
      <c r="MB641" s="1271"/>
      <c r="MC641" s="1271"/>
      <c r="MD641" s="1271"/>
      <c r="ME641" s="1271"/>
      <c r="MF641" s="1271"/>
      <c r="MG641" s="1271"/>
      <c r="MH641" s="1271"/>
      <c r="MI641" s="1271"/>
      <c r="MJ641" s="1271"/>
      <c r="MK641" s="1271"/>
      <c r="ML641" s="1271"/>
      <c r="MM641" s="1271"/>
      <c r="MN641" s="1271"/>
      <c r="MO641" s="1271"/>
      <c r="MP641" s="1271"/>
      <c r="MQ641" s="1271"/>
      <c r="MR641" s="1271"/>
      <c r="MS641" s="1271"/>
      <c r="MT641" s="1271"/>
      <c r="MU641" s="1271"/>
      <c r="MV641" s="1271"/>
      <c r="MW641" s="1271"/>
      <c r="MX641" s="1271"/>
      <c r="MY641" s="1271"/>
      <c r="MZ641" s="1271"/>
      <c r="NA641" s="1271"/>
      <c r="NB641" s="1271"/>
      <c r="NC641" s="1271"/>
      <c r="ND641" s="1271"/>
      <c r="NE641" s="1271"/>
      <c r="NF641" s="1271"/>
      <c r="NG641" s="1271"/>
      <c r="NH641" s="1271"/>
      <c r="NI641" s="1271"/>
      <c r="NJ641" s="1271"/>
      <c r="NK641" s="1271"/>
      <c r="NL641" s="1271"/>
      <c r="NM641" s="1271"/>
      <c r="NN641" s="1271"/>
      <c r="NO641" s="1271"/>
      <c r="NP641" s="1271"/>
      <c r="NQ641" s="1271"/>
      <c r="NR641" s="1271"/>
      <c r="NS641" s="1271"/>
      <c r="NT641" s="1271"/>
      <c r="NU641" s="1271"/>
      <c r="NV641" s="1271"/>
      <c r="NW641" s="1271"/>
      <c r="NX641" s="1271"/>
      <c r="NY641" s="1271"/>
      <c r="NZ641" s="1271"/>
      <c r="OA641" s="1271"/>
      <c r="OB641" s="1271"/>
      <c r="OC641" s="1271"/>
      <c r="OD641" s="1271"/>
      <c r="OE641" s="1271"/>
      <c r="OF641" s="1271"/>
      <c r="OG641" s="1271"/>
      <c r="OH641" s="1271"/>
      <c r="OI641" s="1271"/>
      <c r="OJ641" s="1271"/>
      <c r="OK641" s="1271"/>
      <c r="OL641" s="1271"/>
      <c r="OM641" s="1271"/>
      <c r="ON641" s="1271"/>
      <c r="OO641" s="1271"/>
      <c r="OP641" s="1271"/>
      <c r="OQ641" s="1271"/>
      <c r="OR641" s="1271"/>
      <c r="OS641" s="1271"/>
      <c r="OT641" s="1271"/>
      <c r="OU641" s="1271"/>
      <c r="OV641" s="1271"/>
      <c r="OW641" s="1271"/>
      <c r="OX641" s="1271"/>
      <c r="OY641" s="1271"/>
      <c r="OZ641" s="1271"/>
      <c r="PA641" s="1271"/>
      <c r="PB641" s="1271"/>
      <c r="PC641" s="1271"/>
      <c r="PD641" s="1271"/>
      <c r="PE641" s="1271"/>
      <c r="PF641" s="1271"/>
      <c r="PG641" s="1271"/>
      <c r="PH641" s="1271"/>
      <c r="PI641" s="1271"/>
      <c r="PJ641" s="1271"/>
      <c r="PK641" s="1271"/>
      <c r="PL641" s="1271"/>
      <c r="PM641" s="1271"/>
      <c r="PN641" s="1271"/>
      <c r="PO641" s="1271"/>
      <c r="PP641" s="1271"/>
      <c r="PQ641" s="1271"/>
      <c r="PR641" s="1271"/>
      <c r="PS641" s="1271"/>
      <c r="PT641" s="1271"/>
      <c r="PU641" s="1271"/>
      <c r="PV641" s="1271"/>
      <c r="PW641" s="1271"/>
      <c r="PX641" s="1271"/>
      <c r="PY641" s="1271"/>
      <c r="PZ641" s="1271"/>
      <c r="QA641" s="1271"/>
      <c r="QB641" s="1271"/>
      <c r="QC641" s="1271"/>
      <c r="QD641" s="1271"/>
      <c r="QE641" s="1271"/>
      <c r="QF641" s="1271"/>
      <c r="QG641" s="1271"/>
      <c r="QH641" s="1271"/>
      <c r="QI641" s="1271"/>
      <c r="QJ641" s="1271"/>
      <c r="QK641" s="1271"/>
      <c r="QL641" s="1271"/>
      <c r="QM641" s="1271"/>
      <c r="QN641" s="1271"/>
      <c r="QO641" s="1271"/>
      <c r="QP641" s="1271"/>
      <c r="QQ641" s="1271"/>
      <c r="QR641" s="1271"/>
      <c r="QS641" s="1271"/>
      <c r="QT641" s="1271"/>
      <c r="QU641" s="1271"/>
      <c r="QV641" s="1271"/>
      <c r="QW641" s="1271"/>
      <c r="QX641" s="1271"/>
      <c r="QY641" s="1271"/>
      <c r="QZ641" s="1271"/>
      <c r="RA641" s="1271"/>
      <c r="RB641" s="1271"/>
      <c r="RC641" s="1271"/>
      <c r="RD641" s="1271"/>
      <c r="RE641" s="1271"/>
      <c r="RF641" s="1271"/>
      <c r="RG641" s="1271"/>
      <c r="RH641" s="1271"/>
      <c r="RI641" s="1271"/>
      <c r="RJ641" s="1271"/>
      <c r="RK641" s="1271"/>
      <c r="RL641" s="1271"/>
      <c r="RM641" s="1271"/>
      <c r="RN641" s="1271"/>
      <c r="RO641" s="1271"/>
      <c r="RP641" s="1271"/>
      <c r="RQ641" s="1271"/>
      <c r="RR641" s="1271"/>
      <c r="RS641" s="1271"/>
      <c r="RT641" s="1271"/>
      <c r="RU641" s="1271"/>
      <c r="RV641" s="1271"/>
      <c r="RW641" s="1271"/>
      <c r="RX641" s="1271"/>
      <c r="RY641" s="1271"/>
      <c r="RZ641" s="1271"/>
      <c r="SA641" s="1271"/>
      <c r="SB641" s="1271"/>
      <c r="SC641" s="1271"/>
      <c r="SD641" s="1271"/>
      <c r="SE641" s="1271"/>
      <c r="SF641" s="1271"/>
      <c r="SG641" s="1271"/>
      <c r="SH641" s="1271"/>
      <c r="SI641" s="1271"/>
      <c r="SJ641" s="1271"/>
      <c r="SK641" s="1271"/>
      <c r="SL641" s="1271"/>
      <c r="SM641" s="1271"/>
      <c r="SN641" s="1271"/>
      <c r="SO641" s="1271"/>
      <c r="SP641" s="1271"/>
      <c r="SQ641" s="1271"/>
      <c r="SR641" s="1271"/>
      <c r="SS641" s="1271"/>
      <c r="ST641" s="1271"/>
      <c r="SU641" s="1271"/>
      <c r="SV641" s="1271"/>
      <c r="SW641" s="1271"/>
      <c r="SX641" s="1271"/>
      <c r="SY641" s="1271"/>
      <c r="SZ641" s="1271"/>
      <c r="TA641" s="1271"/>
      <c r="TB641" s="1271"/>
      <c r="TC641" s="1271"/>
      <c r="TD641" s="1271"/>
      <c r="TE641" s="1271"/>
      <c r="TF641" s="1271"/>
      <c r="TG641" s="1271"/>
      <c r="TH641" s="1271"/>
      <c r="TI641" s="1271"/>
      <c r="TJ641" s="1271"/>
      <c r="TK641" s="1271"/>
      <c r="TL641" s="1271"/>
      <c r="TM641" s="1271"/>
      <c r="TN641" s="1271"/>
      <c r="TO641" s="1271"/>
      <c r="TP641" s="1271"/>
      <c r="TQ641" s="1271"/>
      <c r="TR641" s="1271"/>
      <c r="TS641" s="1271"/>
      <c r="TT641" s="1271"/>
      <c r="TU641" s="1271"/>
      <c r="TV641" s="1271"/>
      <c r="TW641" s="1271"/>
      <c r="TX641" s="1271"/>
      <c r="TY641" s="1271"/>
      <c r="TZ641" s="1271"/>
      <c r="UA641" s="1271"/>
      <c r="UB641" s="1271"/>
      <c r="UC641" s="1271"/>
      <c r="UD641" s="1271"/>
      <c r="UE641" s="1271"/>
      <c r="UF641" s="1271"/>
      <c r="UG641" s="1272"/>
    </row>
    <row r="642" spans="1:553" s="1262" customFormat="1" ht="50.25" customHeight="1">
      <c r="A642" s="366"/>
      <c r="B642" s="366"/>
      <c r="C642" s="1518" t="s">
        <v>258</v>
      </c>
      <c r="D642" s="1389"/>
      <c r="E642" s="1389"/>
      <c r="F642" s="1389"/>
      <c r="G642" s="1226" t="s">
        <v>196</v>
      </c>
      <c r="H642" s="586"/>
      <c r="I642" s="1017">
        <f>(95.03*100/500)*(23-(5-3))*1</f>
        <v>399.12599999999998</v>
      </c>
      <c r="J642" s="368">
        <v>11000</v>
      </c>
      <c r="K642" s="717">
        <v>0.7</v>
      </c>
      <c r="L642" s="480">
        <f t="shared" si="105"/>
        <v>3073270.1999999997</v>
      </c>
      <c r="M642" s="366"/>
      <c r="N642" s="366"/>
      <c r="O642" s="366"/>
      <c r="P642" s="366"/>
      <c r="Q642" s="812"/>
      <c r="R642" s="1452"/>
      <c r="S642" s="308"/>
      <c r="T642" s="308"/>
      <c r="U642" s="308"/>
      <c r="V642" s="308"/>
      <c r="W642" s="308"/>
      <c r="X642" s="308"/>
      <c r="Y642" s="308"/>
      <c r="Z642" s="604"/>
      <c r="AA642" s="308"/>
      <c r="AB642" s="308"/>
      <c r="AC642" s="449"/>
      <c r="AD642" s="449"/>
      <c r="AE642" s="449"/>
      <c r="AF642" s="449"/>
      <c r="AG642" s="449"/>
      <c r="AH642" s="449"/>
      <c r="AI642" s="449"/>
      <c r="AJ642" s="449"/>
      <c r="AK642" s="452"/>
      <c r="AL642" s="1269"/>
      <c r="AM642" s="1270"/>
      <c r="AN642" s="1270"/>
      <c r="AO642" s="1270"/>
      <c r="AP642" s="1270"/>
      <c r="AQ642" s="1270"/>
      <c r="AR642" s="1270"/>
      <c r="AS642" s="1260"/>
      <c r="AT642" s="1260"/>
      <c r="AU642" s="1260"/>
      <c r="AV642" s="1260"/>
      <c r="AW642" s="1260"/>
      <c r="AX642" s="1260"/>
      <c r="AY642" s="1260"/>
      <c r="AZ642" s="1260"/>
      <c r="BA642" s="1260"/>
      <c r="BB642" s="1260"/>
      <c r="BC642" s="1260"/>
      <c r="BD642" s="1260"/>
      <c r="BE642" s="1260"/>
      <c r="BF642" s="1260"/>
      <c r="BG642" s="1260"/>
      <c r="BH642" s="1260"/>
      <c r="BI642" s="1260"/>
      <c r="BJ642" s="1260"/>
      <c r="BK642" s="1260"/>
      <c r="BL642" s="1260"/>
      <c r="BM642" s="1260"/>
      <c r="BN642" s="1260"/>
      <c r="BO642" s="1260"/>
      <c r="BP642" s="1271"/>
      <c r="BQ642" s="1271"/>
      <c r="BR642" s="1271"/>
      <c r="BS642" s="1271"/>
      <c r="BT642" s="1271"/>
      <c r="BU642" s="1271"/>
      <c r="BV642" s="1271"/>
      <c r="BW642" s="1271"/>
      <c r="BX642" s="1271"/>
      <c r="BY642" s="1271"/>
      <c r="BZ642" s="1271"/>
      <c r="CA642" s="1271"/>
      <c r="CB642" s="1271"/>
      <c r="CC642" s="1271"/>
      <c r="CD642" s="1271"/>
      <c r="CE642" s="1271"/>
      <c r="CF642" s="1271"/>
      <c r="CG642" s="1271"/>
      <c r="CH642" s="1271"/>
      <c r="CI642" s="1271"/>
      <c r="CJ642" s="1271"/>
      <c r="CK642" s="1271"/>
      <c r="CL642" s="1271"/>
      <c r="CM642" s="1271"/>
      <c r="CN642" s="1271"/>
      <c r="CO642" s="1271"/>
      <c r="CP642" s="1271"/>
      <c r="CQ642" s="1271"/>
      <c r="CR642" s="1271"/>
      <c r="CS642" s="1271"/>
      <c r="CT642" s="1271"/>
      <c r="CU642" s="1271"/>
      <c r="CV642" s="1271"/>
      <c r="CW642" s="1271"/>
      <c r="CX642" s="1271"/>
      <c r="CY642" s="1271"/>
      <c r="CZ642" s="1271"/>
      <c r="DA642" s="1271"/>
      <c r="DB642" s="1271"/>
      <c r="DC642" s="1271"/>
      <c r="DD642" s="1271"/>
      <c r="DE642" s="1271"/>
      <c r="DF642" s="1271"/>
      <c r="DG642" s="1271"/>
      <c r="DH642" s="1271"/>
      <c r="DI642" s="1271"/>
      <c r="DJ642" s="1271"/>
      <c r="DK642" s="1271"/>
      <c r="DL642" s="1271"/>
      <c r="DM642" s="1271"/>
      <c r="DN642" s="1271"/>
      <c r="DO642" s="1271"/>
      <c r="DP642" s="1271"/>
      <c r="DQ642" s="1271"/>
      <c r="DR642" s="1271"/>
      <c r="DS642" s="1271"/>
      <c r="DT642" s="1271"/>
      <c r="DU642" s="1271"/>
      <c r="DV642" s="1271"/>
      <c r="DW642" s="1271"/>
      <c r="DX642" s="1271"/>
      <c r="DY642" s="1271"/>
      <c r="DZ642" s="1271"/>
      <c r="EA642" s="1271"/>
      <c r="EB642" s="1271"/>
      <c r="EC642" s="1271"/>
      <c r="ED642" s="1271"/>
      <c r="EE642" s="1271"/>
      <c r="EF642" s="1271"/>
      <c r="EG642" s="1271"/>
      <c r="EH642" s="1271"/>
      <c r="EI642" s="1271"/>
      <c r="EJ642" s="1271"/>
      <c r="EK642" s="1271"/>
      <c r="EL642" s="1271"/>
      <c r="EM642" s="1271"/>
      <c r="EN642" s="1271"/>
      <c r="EO642" s="1271"/>
      <c r="EP642" s="1271"/>
      <c r="EQ642" s="1271"/>
      <c r="ER642" s="1271"/>
      <c r="ES642" s="1271"/>
      <c r="ET642" s="1271"/>
      <c r="EU642" s="1271"/>
      <c r="EV642" s="1271"/>
      <c r="EW642" s="1271"/>
      <c r="EX642" s="1271"/>
      <c r="EY642" s="1271"/>
      <c r="EZ642" s="1271"/>
      <c r="FA642" s="1271"/>
      <c r="FB642" s="1271"/>
      <c r="FC642" s="1271"/>
      <c r="FD642" s="1271"/>
      <c r="FE642" s="1271"/>
      <c r="FF642" s="1271"/>
      <c r="FG642" s="1271"/>
      <c r="FH642" s="1271"/>
      <c r="FI642" s="1271"/>
      <c r="FJ642" s="1271"/>
      <c r="FK642" s="1271"/>
      <c r="FL642" s="1271"/>
      <c r="FM642" s="1271"/>
      <c r="FN642" s="1271"/>
      <c r="FO642" s="1271"/>
      <c r="FP642" s="1271"/>
      <c r="FQ642" s="1271"/>
      <c r="FR642" s="1271"/>
      <c r="FS642" s="1271"/>
      <c r="FT642" s="1271"/>
      <c r="FU642" s="1271"/>
      <c r="FV642" s="1271"/>
      <c r="FW642" s="1271"/>
      <c r="FX642" s="1271"/>
      <c r="FY642" s="1271"/>
      <c r="FZ642" s="1271"/>
      <c r="GA642" s="1271"/>
      <c r="GB642" s="1271"/>
      <c r="GC642" s="1271"/>
      <c r="GD642" s="1271"/>
      <c r="GE642" s="1271"/>
      <c r="GF642" s="1271"/>
      <c r="GG642" s="1271"/>
      <c r="GH642" s="1271"/>
      <c r="GI642" s="1271"/>
      <c r="GJ642" s="1271"/>
      <c r="GK642" s="1271"/>
      <c r="GL642" s="1271"/>
      <c r="GM642" s="1271"/>
      <c r="GN642" s="1271"/>
      <c r="GO642" s="1271"/>
      <c r="GP642" s="1271"/>
      <c r="GQ642" s="1271"/>
      <c r="GR642" s="1271"/>
      <c r="GS642" s="1271"/>
      <c r="GT642" s="1271"/>
      <c r="GU642" s="1271"/>
      <c r="GV642" s="1271"/>
      <c r="GW642" s="1271"/>
      <c r="GX642" s="1271"/>
      <c r="GY642" s="1271"/>
      <c r="GZ642" s="1271"/>
      <c r="HA642" s="1271"/>
      <c r="HB642" s="1271"/>
      <c r="HC642" s="1271"/>
      <c r="HD642" s="1271"/>
      <c r="HE642" s="1271"/>
      <c r="HF642" s="1271"/>
      <c r="HG642" s="1271"/>
      <c r="HH642" s="1271"/>
      <c r="HI642" s="1271"/>
      <c r="HJ642" s="1271"/>
      <c r="HK642" s="1271"/>
      <c r="HL642" s="1271"/>
      <c r="HM642" s="1271"/>
      <c r="HN642" s="1271"/>
      <c r="HO642" s="1271"/>
      <c r="HP642" s="1271"/>
      <c r="HQ642" s="1271"/>
      <c r="HR642" s="1271"/>
      <c r="HS642" s="1271"/>
      <c r="HT642" s="1271"/>
      <c r="HU642" s="1271"/>
      <c r="HV642" s="1271"/>
      <c r="HW642" s="1271"/>
      <c r="HX642" s="1271"/>
      <c r="HY642" s="1271"/>
      <c r="HZ642" s="1271"/>
      <c r="IA642" s="1271"/>
      <c r="IB642" s="1271"/>
      <c r="IC642" s="1271"/>
      <c r="ID642" s="1271"/>
      <c r="IE642" s="1271"/>
      <c r="IF642" s="1271"/>
      <c r="IG642" s="1271"/>
      <c r="IH642" s="1271"/>
      <c r="II642" s="1271"/>
      <c r="IJ642" s="1271"/>
      <c r="IK642" s="1271"/>
      <c r="IL642" s="1271"/>
      <c r="IM642" s="1271"/>
      <c r="IN642" s="1271"/>
      <c r="IO642" s="1271"/>
      <c r="IP642" s="1271"/>
      <c r="IQ642" s="1271"/>
      <c r="IR642" s="1271"/>
      <c r="IS642" s="1271"/>
      <c r="IT642" s="1271"/>
      <c r="IU642" s="1271"/>
      <c r="IV642" s="1271"/>
      <c r="IW642" s="1271"/>
      <c r="IX642" s="1271"/>
      <c r="IY642" s="1271"/>
      <c r="IZ642" s="1271"/>
      <c r="JA642" s="1271"/>
      <c r="JB642" s="1271"/>
      <c r="JC642" s="1271"/>
      <c r="JD642" s="1271"/>
      <c r="JE642" s="1271"/>
      <c r="JF642" s="1271"/>
      <c r="JG642" s="1271"/>
      <c r="JH642" s="1271"/>
      <c r="JI642" s="1271"/>
      <c r="JJ642" s="1271"/>
      <c r="JK642" s="1271"/>
      <c r="JL642" s="1271"/>
      <c r="JM642" s="1271"/>
      <c r="JN642" s="1271"/>
      <c r="JO642" s="1271"/>
      <c r="JP642" s="1271"/>
      <c r="JQ642" s="1271"/>
      <c r="JR642" s="1271"/>
      <c r="JS642" s="1271"/>
      <c r="JT642" s="1271"/>
      <c r="JU642" s="1271"/>
      <c r="JV642" s="1271"/>
      <c r="JW642" s="1271"/>
      <c r="JX642" s="1271"/>
      <c r="JY642" s="1271"/>
      <c r="JZ642" s="1271"/>
      <c r="KA642" s="1271"/>
      <c r="KB642" s="1271"/>
      <c r="KC642" s="1271"/>
      <c r="KD642" s="1271"/>
      <c r="KE642" s="1271"/>
      <c r="KF642" s="1271"/>
      <c r="KG642" s="1271"/>
      <c r="KH642" s="1271"/>
      <c r="KI642" s="1271"/>
      <c r="KJ642" s="1271"/>
      <c r="KK642" s="1271"/>
      <c r="KL642" s="1271"/>
      <c r="KM642" s="1271"/>
      <c r="KN642" s="1271"/>
      <c r="KO642" s="1271"/>
      <c r="KP642" s="1271"/>
      <c r="KQ642" s="1271"/>
      <c r="KR642" s="1271"/>
      <c r="KS642" s="1271"/>
      <c r="KT642" s="1271"/>
      <c r="KU642" s="1271"/>
      <c r="KV642" s="1271"/>
      <c r="KW642" s="1271"/>
      <c r="KX642" s="1271"/>
      <c r="KY642" s="1271"/>
      <c r="KZ642" s="1271"/>
      <c r="LA642" s="1271"/>
      <c r="LB642" s="1271"/>
      <c r="LC642" s="1271"/>
      <c r="LD642" s="1271"/>
      <c r="LE642" s="1271"/>
      <c r="LF642" s="1271"/>
      <c r="LG642" s="1271"/>
      <c r="LH642" s="1271"/>
      <c r="LI642" s="1271"/>
      <c r="LJ642" s="1271"/>
      <c r="LK642" s="1271"/>
      <c r="LL642" s="1271"/>
      <c r="LM642" s="1271"/>
      <c r="LN642" s="1271"/>
      <c r="LO642" s="1271"/>
      <c r="LP642" s="1271"/>
      <c r="LQ642" s="1271"/>
      <c r="LR642" s="1271"/>
      <c r="LS642" s="1271"/>
      <c r="LT642" s="1271"/>
      <c r="LU642" s="1271"/>
      <c r="LV642" s="1271"/>
      <c r="LW642" s="1271"/>
      <c r="LX642" s="1271"/>
      <c r="LY642" s="1271"/>
      <c r="LZ642" s="1271"/>
      <c r="MA642" s="1271"/>
      <c r="MB642" s="1271"/>
      <c r="MC642" s="1271"/>
      <c r="MD642" s="1271"/>
      <c r="ME642" s="1271"/>
      <c r="MF642" s="1271"/>
      <c r="MG642" s="1271"/>
      <c r="MH642" s="1271"/>
      <c r="MI642" s="1271"/>
      <c r="MJ642" s="1271"/>
      <c r="MK642" s="1271"/>
      <c r="ML642" s="1271"/>
      <c r="MM642" s="1271"/>
      <c r="MN642" s="1271"/>
      <c r="MO642" s="1271"/>
      <c r="MP642" s="1271"/>
      <c r="MQ642" s="1271"/>
      <c r="MR642" s="1271"/>
      <c r="MS642" s="1271"/>
      <c r="MT642" s="1271"/>
      <c r="MU642" s="1271"/>
      <c r="MV642" s="1271"/>
      <c r="MW642" s="1271"/>
      <c r="MX642" s="1271"/>
      <c r="MY642" s="1271"/>
      <c r="MZ642" s="1271"/>
      <c r="NA642" s="1271"/>
      <c r="NB642" s="1271"/>
      <c r="NC642" s="1271"/>
      <c r="ND642" s="1271"/>
      <c r="NE642" s="1271"/>
      <c r="NF642" s="1271"/>
      <c r="NG642" s="1271"/>
      <c r="NH642" s="1271"/>
      <c r="NI642" s="1271"/>
      <c r="NJ642" s="1271"/>
      <c r="NK642" s="1271"/>
      <c r="NL642" s="1271"/>
      <c r="NM642" s="1271"/>
      <c r="NN642" s="1271"/>
      <c r="NO642" s="1271"/>
      <c r="NP642" s="1271"/>
      <c r="NQ642" s="1271"/>
      <c r="NR642" s="1271"/>
      <c r="NS642" s="1271"/>
      <c r="NT642" s="1271"/>
      <c r="NU642" s="1271"/>
      <c r="NV642" s="1271"/>
      <c r="NW642" s="1271"/>
      <c r="NX642" s="1271"/>
      <c r="NY642" s="1271"/>
      <c r="NZ642" s="1271"/>
      <c r="OA642" s="1271"/>
      <c r="OB642" s="1271"/>
      <c r="OC642" s="1271"/>
      <c r="OD642" s="1271"/>
      <c r="OE642" s="1271"/>
      <c r="OF642" s="1271"/>
      <c r="OG642" s="1271"/>
      <c r="OH642" s="1271"/>
      <c r="OI642" s="1271"/>
      <c r="OJ642" s="1271"/>
      <c r="OK642" s="1271"/>
      <c r="OL642" s="1271"/>
      <c r="OM642" s="1271"/>
      <c r="ON642" s="1271"/>
      <c r="OO642" s="1271"/>
      <c r="OP642" s="1271"/>
      <c r="OQ642" s="1271"/>
      <c r="OR642" s="1271"/>
      <c r="OS642" s="1271"/>
      <c r="OT642" s="1271"/>
      <c r="OU642" s="1271"/>
      <c r="OV642" s="1271"/>
      <c r="OW642" s="1271"/>
      <c r="OX642" s="1271"/>
      <c r="OY642" s="1271"/>
      <c r="OZ642" s="1271"/>
      <c r="PA642" s="1271"/>
      <c r="PB642" s="1271"/>
      <c r="PC642" s="1271"/>
      <c r="PD642" s="1271"/>
      <c r="PE642" s="1271"/>
      <c r="PF642" s="1271"/>
      <c r="PG642" s="1271"/>
      <c r="PH642" s="1271"/>
      <c r="PI642" s="1271"/>
      <c r="PJ642" s="1271"/>
      <c r="PK642" s="1271"/>
      <c r="PL642" s="1271"/>
      <c r="PM642" s="1271"/>
      <c r="PN642" s="1271"/>
      <c r="PO642" s="1271"/>
      <c r="PP642" s="1271"/>
      <c r="PQ642" s="1271"/>
      <c r="PR642" s="1271"/>
      <c r="PS642" s="1271"/>
      <c r="PT642" s="1271"/>
      <c r="PU642" s="1271"/>
      <c r="PV642" s="1271"/>
      <c r="PW642" s="1271"/>
      <c r="PX642" s="1271"/>
      <c r="PY642" s="1271"/>
      <c r="PZ642" s="1271"/>
      <c r="QA642" s="1271"/>
      <c r="QB642" s="1271"/>
      <c r="QC642" s="1271"/>
      <c r="QD642" s="1271"/>
      <c r="QE642" s="1271"/>
      <c r="QF642" s="1271"/>
      <c r="QG642" s="1271"/>
      <c r="QH642" s="1271"/>
      <c r="QI642" s="1271"/>
      <c r="QJ642" s="1271"/>
      <c r="QK642" s="1271"/>
      <c r="QL642" s="1271"/>
      <c r="QM642" s="1271"/>
      <c r="QN642" s="1271"/>
      <c r="QO642" s="1271"/>
      <c r="QP642" s="1271"/>
      <c r="QQ642" s="1271"/>
      <c r="QR642" s="1271"/>
      <c r="QS642" s="1271"/>
      <c r="QT642" s="1271"/>
      <c r="QU642" s="1271"/>
      <c r="QV642" s="1271"/>
      <c r="QW642" s="1271"/>
      <c r="QX642" s="1271"/>
      <c r="QY642" s="1271"/>
      <c r="QZ642" s="1271"/>
      <c r="RA642" s="1271"/>
      <c r="RB642" s="1271"/>
      <c r="RC642" s="1271"/>
      <c r="RD642" s="1271"/>
      <c r="RE642" s="1271"/>
      <c r="RF642" s="1271"/>
      <c r="RG642" s="1271"/>
      <c r="RH642" s="1271"/>
      <c r="RI642" s="1271"/>
      <c r="RJ642" s="1271"/>
      <c r="RK642" s="1271"/>
      <c r="RL642" s="1271"/>
      <c r="RM642" s="1271"/>
      <c r="RN642" s="1271"/>
      <c r="RO642" s="1271"/>
      <c r="RP642" s="1271"/>
      <c r="RQ642" s="1271"/>
      <c r="RR642" s="1271"/>
      <c r="RS642" s="1271"/>
      <c r="RT642" s="1271"/>
      <c r="RU642" s="1271"/>
      <c r="RV642" s="1271"/>
      <c r="RW642" s="1271"/>
      <c r="RX642" s="1271"/>
      <c r="RY642" s="1271"/>
      <c r="RZ642" s="1271"/>
      <c r="SA642" s="1271"/>
      <c r="SB642" s="1271"/>
      <c r="SC642" s="1271"/>
      <c r="SD642" s="1271"/>
      <c r="SE642" s="1271"/>
      <c r="SF642" s="1271"/>
      <c r="SG642" s="1271"/>
      <c r="SH642" s="1271"/>
      <c r="SI642" s="1271"/>
      <c r="SJ642" s="1271"/>
      <c r="SK642" s="1271"/>
      <c r="SL642" s="1271"/>
      <c r="SM642" s="1271"/>
      <c r="SN642" s="1271"/>
      <c r="SO642" s="1271"/>
      <c r="SP642" s="1271"/>
      <c r="SQ642" s="1271"/>
      <c r="SR642" s="1271"/>
      <c r="SS642" s="1271"/>
      <c r="ST642" s="1271"/>
      <c r="SU642" s="1271"/>
      <c r="SV642" s="1271"/>
      <c r="SW642" s="1271"/>
      <c r="SX642" s="1271"/>
      <c r="SY642" s="1271"/>
      <c r="SZ642" s="1271"/>
      <c r="TA642" s="1271"/>
      <c r="TB642" s="1271"/>
      <c r="TC642" s="1271"/>
      <c r="TD642" s="1271"/>
      <c r="TE642" s="1271"/>
      <c r="TF642" s="1271"/>
      <c r="TG642" s="1271"/>
      <c r="TH642" s="1271"/>
      <c r="TI642" s="1271"/>
      <c r="TJ642" s="1271"/>
      <c r="TK642" s="1271"/>
      <c r="TL642" s="1271"/>
      <c r="TM642" s="1271"/>
      <c r="TN642" s="1271"/>
      <c r="TO642" s="1271"/>
      <c r="TP642" s="1271"/>
      <c r="TQ642" s="1271"/>
      <c r="TR642" s="1271"/>
      <c r="TS642" s="1271"/>
      <c r="TT642" s="1271"/>
      <c r="TU642" s="1271"/>
      <c r="TV642" s="1271"/>
      <c r="TW642" s="1271"/>
      <c r="TX642" s="1271"/>
      <c r="TY642" s="1271"/>
      <c r="TZ642" s="1271"/>
      <c r="UA642" s="1271"/>
      <c r="UB642" s="1271"/>
      <c r="UC642" s="1271"/>
      <c r="UD642" s="1271"/>
      <c r="UE642" s="1271"/>
      <c r="UF642" s="1271"/>
      <c r="UG642" s="1272"/>
    </row>
    <row r="643" spans="1:553" s="1262" customFormat="1" ht="50.25" customHeight="1">
      <c r="A643" s="366"/>
      <c r="B643" s="366"/>
      <c r="C643" s="1518" t="s">
        <v>456</v>
      </c>
      <c r="D643" s="1389"/>
      <c r="E643" s="1389"/>
      <c r="F643" s="1389"/>
      <c r="G643" s="1226" t="s">
        <v>196</v>
      </c>
      <c r="H643" s="586"/>
      <c r="I643" s="1017">
        <f>(95.03*100/500)*(23-(6-3))*1</f>
        <v>380.12</v>
      </c>
      <c r="J643" s="368">
        <v>11000</v>
      </c>
      <c r="K643" s="495">
        <v>0.7</v>
      </c>
      <c r="L643" s="480">
        <f t="shared" si="105"/>
        <v>2926924</v>
      </c>
      <c r="M643" s="366"/>
      <c r="N643" s="366"/>
      <c r="O643" s="366"/>
      <c r="P643" s="366"/>
      <c r="Q643" s="812"/>
      <c r="R643" s="1452"/>
      <c r="S643" s="308"/>
      <c r="T643" s="308"/>
      <c r="U643" s="308"/>
      <c r="V643" s="308"/>
      <c r="W643" s="308"/>
      <c r="X643" s="308"/>
      <c r="Y643" s="308"/>
      <c r="Z643" s="604"/>
      <c r="AA643" s="308"/>
      <c r="AB643" s="308"/>
      <c r="AC643" s="449"/>
      <c r="AD643" s="449"/>
      <c r="AE643" s="449"/>
      <c r="AF643" s="449"/>
      <c r="AG643" s="449"/>
      <c r="AH643" s="449"/>
      <c r="AI643" s="449"/>
      <c r="AJ643" s="449"/>
      <c r="AK643" s="452"/>
      <c r="AL643" s="1269"/>
      <c r="AM643" s="1270"/>
      <c r="AN643" s="1270"/>
      <c r="AO643" s="1270"/>
      <c r="AP643" s="1270"/>
      <c r="AQ643" s="1270"/>
      <c r="AR643" s="1270"/>
      <c r="AS643" s="1260"/>
      <c r="AT643" s="1260"/>
      <c r="AU643" s="1260"/>
      <c r="AV643" s="1260"/>
      <c r="AW643" s="1260"/>
      <c r="AX643" s="1260"/>
      <c r="AY643" s="1260"/>
      <c r="AZ643" s="1260"/>
      <c r="BA643" s="1260"/>
      <c r="BB643" s="1260"/>
      <c r="BC643" s="1260"/>
      <c r="BD643" s="1260"/>
      <c r="BE643" s="1260"/>
      <c r="BF643" s="1260"/>
      <c r="BG643" s="1260"/>
      <c r="BH643" s="1260"/>
      <c r="BI643" s="1260"/>
      <c r="BJ643" s="1260"/>
      <c r="BK643" s="1260"/>
      <c r="BL643" s="1260"/>
      <c r="BM643" s="1260"/>
      <c r="BN643" s="1260"/>
      <c r="BO643" s="1260"/>
      <c r="BP643" s="1271"/>
      <c r="BQ643" s="1271"/>
      <c r="BR643" s="1271"/>
      <c r="BS643" s="1271"/>
      <c r="BT643" s="1271"/>
      <c r="BU643" s="1271"/>
      <c r="BV643" s="1271"/>
      <c r="BW643" s="1271"/>
      <c r="BX643" s="1271"/>
      <c r="BY643" s="1271"/>
      <c r="BZ643" s="1271"/>
      <c r="CA643" s="1271"/>
      <c r="CB643" s="1271"/>
      <c r="CC643" s="1271"/>
      <c r="CD643" s="1271"/>
      <c r="CE643" s="1271"/>
      <c r="CF643" s="1271"/>
      <c r="CG643" s="1271"/>
      <c r="CH643" s="1271"/>
      <c r="CI643" s="1271"/>
      <c r="CJ643" s="1271"/>
      <c r="CK643" s="1271"/>
      <c r="CL643" s="1271"/>
      <c r="CM643" s="1271"/>
      <c r="CN643" s="1271"/>
      <c r="CO643" s="1271"/>
      <c r="CP643" s="1271"/>
      <c r="CQ643" s="1271"/>
      <c r="CR643" s="1271"/>
      <c r="CS643" s="1271"/>
      <c r="CT643" s="1271"/>
      <c r="CU643" s="1271"/>
      <c r="CV643" s="1271"/>
      <c r="CW643" s="1271"/>
      <c r="CX643" s="1271"/>
      <c r="CY643" s="1271"/>
      <c r="CZ643" s="1271"/>
      <c r="DA643" s="1271"/>
      <c r="DB643" s="1271"/>
      <c r="DC643" s="1271"/>
      <c r="DD643" s="1271"/>
      <c r="DE643" s="1271"/>
      <c r="DF643" s="1271"/>
      <c r="DG643" s="1271"/>
      <c r="DH643" s="1271"/>
      <c r="DI643" s="1271"/>
      <c r="DJ643" s="1271"/>
      <c r="DK643" s="1271"/>
      <c r="DL643" s="1271"/>
      <c r="DM643" s="1271"/>
      <c r="DN643" s="1271"/>
      <c r="DO643" s="1271"/>
      <c r="DP643" s="1271"/>
      <c r="DQ643" s="1271"/>
      <c r="DR643" s="1271"/>
      <c r="DS643" s="1271"/>
      <c r="DT643" s="1271"/>
      <c r="DU643" s="1271"/>
      <c r="DV643" s="1271"/>
      <c r="DW643" s="1271"/>
      <c r="DX643" s="1271"/>
      <c r="DY643" s="1271"/>
      <c r="DZ643" s="1271"/>
      <c r="EA643" s="1271"/>
      <c r="EB643" s="1271"/>
      <c r="EC643" s="1271"/>
      <c r="ED643" s="1271"/>
      <c r="EE643" s="1271"/>
      <c r="EF643" s="1271"/>
      <c r="EG643" s="1271"/>
      <c r="EH643" s="1271"/>
      <c r="EI643" s="1271"/>
      <c r="EJ643" s="1271"/>
      <c r="EK643" s="1271"/>
      <c r="EL643" s="1271"/>
      <c r="EM643" s="1271"/>
      <c r="EN643" s="1271"/>
      <c r="EO643" s="1271"/>
      <c r="EP643" s="1271"/>
      <c r="EQ643" s="1271"/>
      <c r="ER643" s="1271"/>
      <c r="ES643" s="1271"/>
      <c r="ET643" s="1271"/>
      <c r="EU643" s="1271"/>
      <c r="EV643" s="1271"/>
      <c r="EW643" s="1271"/>
      <c r="EX643" s="1271"/>
      <c r="EY643" s="1271"/>
      <c r="EZ643" s="1271"/>
      <c r="FA643" s="1271"/>
      <c r="FB643" s="1271"/>
      <c r="FC643" s="1271"/>
      <c r="FD643" s="1271"/>
      <c r="FE643" s="1271"/>
      <c r="FF643" s="1271"/>
      <c r="FG643" s="1271"/>
      <c r="FH643" s="1271"/>
      <c r="FI643" s="1271"/>
      <c r="FJ643" s="1271"/>
      <c r="FK643" s="1271"/>
      <c r="FL643" s="1271"/>
      <c r="FM643" s="1271"/>
      <c r="FN643" s="1271"/>
      <c r="FO643" s="1271"/>
      <c r="FP643" s="1271"/>
      <c r="FQ643" s="1271"/>
      <c r="FR643" s="1271"/>
      <c r="FS643" s="1271"/>
      <c r="FT643" s="1271"/>
      <c r="FU643" s="1271"/>
      <c r="FV643" s="1271"/>
      <c r="FW643" s="1271"/>
      <c r="FX643" s="1271"/>
      <c r="FY643" s="1271"/>
      <c r="FZ643" s="1271"/>
      <c r="GA643" s="1271"/>
      <c r="GB643" s="1271"/>
      <c r="GC643" s="1271"/>
      <c r="GD643" s="1271"/>
      <c r="GE643" s="1271"/>
      <c r="GF643" s="1271"/>
      <c r="GG643" s="1271"/>
      <c r="GH643" s="1271"/>
      <c r="GI643" s="1271"/>
      <c r="GJ643" s="1271"/>
      <c r="GK643" s="1271"/>
      <c r="GL643" s="1271"/>
      <c r="GM643" s="1271"/>
      <c r="GN643" s="1271"/>
      <c r="GO643" s="1271"/>
      <c r="GP643" s="1271"/>
      <c r="GQ643" s="1271"/>
      <c r="GR643" s="1271"/>
      <c r="GS643" s="1271"/>
      <c r="GT643" s="1271"/>
      <c r="GU643" s="1271"/>
      <c r="GV643" s="1271"/>
      <c r="GW643" s="1271"/>
      <c r="GX643" s="1271"/>
      <c r="GY643" s="1271"/>
      <c r="GZ643" s="1271"/>
      <c r="HA643" s="1271"/>
      <c r="HB643" s="1271"/>
      <c r="HC643" s="1271"/>
      <c r="HD643" s="1271"/>
      <c r="HE643" s="1271"/>
      <c r="HF643" s="1271"/>
      <c r="HG643" s="1271"/>
      <c r="HH643" s="1271"/>
      <c r="HI643" s="1271"/>
      <c r="HJ643" s="1271"/>
      <c r="HK643" s="1271"/>
      <c r="HL643" s="1271"/>
      <c r="HM643" s="1271"/>
      <c r="HN643" s="1271"/>
      <c r="HO643" s="1271"/>
      <c r="HP643" s="1271"/>
      <c r="HQ643" s="1271"/>
      <c r="HR643" s="1271"/>
      <c r="HS643" s="1271"/>
      <c r="HT643" s="1271"/>
      <c r="HU643" s="1271"/>
      <c r="HV643" s="1271"/>
      <c r="HW643" s="1271"/>
      <c r="HX643" s="1271"/>
      <c r="HY643" s="1271"/>
      <c r="HZ643" s="1271"/>
      <c r="IA643" s="1271"/>
      <c r="IB643" s="1271"/>
      <c r="IC643" s="1271"/>
      <c r="ID643" s="1271"/>
      <c r="IE643" s="1271"/>
      <c r="IF643" s="1271"/>
      <c r="IG643" s="1271"/>
      <c r="IH643" s="1271"/>
      <c r="II643" s="1271"/>
      <c r="IJ643" s="1271"/>
      <c r="IK643" s="1271"/>
      <c r="IL643" s="1271"/>
      <c r="IM643" s="1271"/>
      <c r="IN643" s="1271"/>
      <c r="IO643" s="1271"/>
      <c r="IP643" s="1271"/>
      <c r="IQ643" s="1271"/>
      <c r="IR643" s="1271"/>
      <c r="IS643" s="1271"/>
      <c r="IT643" s="1271"/>
      <c r="IU643" s="1271"/>
      <c r="IV643" s="1271"/>
      <c r="IW643" s="1271"/>
      <c r="IX643" s="1271"/>
      <c r="IY643" s="1271"/>
      <c r="IZ643" s="1271"/>
      <c r="JA643" s="1271"/>
      <c r="JB643" s="1271"/>
      <c r="JC643" s="1271"/>
      <c r="JD643" s="1271"/>
      <c r="JE643" s="1271"/>
      <c r="JF643" s="1271"/>
      <c r="JG643" s="1271"/>
      <c r="JH643" s="1271"/>
      <c r="JI643" s="1271"/>
      <c r="JJ643" s="1271"/>
      <c r="JK643" s="1271"/>
      <c r="JL643" s="1271"/>
      <c r="JM643" s="1271"/>
      <c r="JN643" s="1271"/>
      <c r="JO643" s="1271"/>
      <c r="JP643" s="1271"/>
      <c r="JQ643" s="1271"/>
      <c r="JR643" s="1271"/>
      <c r="JS643" s="1271"/>
      <c r="JT643" s="1271"/>
      <c r="JU643" s="1271"/>
      <c r="JV643" s="1271"/>
      <c r="JW643" s="1271"/>
      <c r="JX643" s="1271"/>
      <c r="JY643" s="1271"/>
      <c r="JZ643" s="1271"/>
      <c r="KA643" s="1271"/>
      <c r="KB643" s="1271"/>
      <c r="KC643" s="1271"/>
      <c r="KD643" s="1271"/>
      <c r="KE643" s="1271"/>
      <c r="KF643" s="1271"/>
      <c r="KG643" s="1271"/>
      <c r="KH643" s="1271"/>
      <c r="KI643" s="1271"/>
      <c r="KJ643" s="1271"/>
      <c r="KK643" s="1271"/>
      <c r="KL643" s="1271"/>
      <c r="KM643" s="1271"/>
      <c r="KN643" s="1271"/>
      <c r="KO643" s="1271"/>
      <c r="KP643" s="1271"/>
      <c r="KQ643" s="1271"/>
      <c r="KR643" s="1271"/>
      <c r="KS643" s="1271"/>
      <c r="KT643" s="1271"/>
      <c r="KU643" s="1271"/>
      <c r="KV643" s="1271"/>
      <c r="KW643" s="1271"/>
      <c r="KX643" s="1271"/>
      <c r="KY643" s="1271"/>
      <c r="KZ643" s="1271"/>
      <c r="LA643" s="1271"/>
      <c r="LB643" s="1271"/>
      <c r="LC643" s="1271"/>
      <c r="LD643" s="1271"/>
      <c r="LE643" s="1271"/>
      <c r="LF643" s="1271"/>
      <c r="LG643" s="1271"/>
      <c r="LH643" s="1271"/>
      <c r="LI643" s="1271"/>
      <c r="LJ643" s="1271"/>
      <c r="LK643" s="1271"/>
      <c r="LL643" s="1271"/>
      <c r="LM643" s="1271"/>
      <c r="LN643" s="1271"/>
      <c r="LO643" s="1271"/>
      <c r="LP643" s="1271"/>
      <c r="LQ643" s="1271"/>
      <c r="LR643" s="1271"/>
      <c r="LS643" s="1271"/>
      <c r="LT643" s="1271"/>
      <c r="LU643" s="1271"/>
      <c r="LV643" s="1271"/>
      <c r="LW643" s="1271"/>
      <c r="LX643" s="1271"/>
      <c r="LY643" s="1271"/>
      <c r="LZ643" s="1271"/>
      <c r="MA643" s="1271"/>
      <c r="MB643" s="1271"/>
      <c r="MC643" s="1271"/>
      <c r="MD643" s="1271"/>
      <c r="ME643" s="1271"/>
      <c r="MF643" s="1271"/>
      <c r="MG643" s="1271"/>
      <c r="MH643" s="1271"/>
      <c r="MI643" s="1271"/>
      <c r="MJ643" s="1271"/>
      <c r="MK643" s="1271"/>
      <c r="ML643" s="1271"/>
      <c r="MM643" s="1271"/>
      <c r="MN643" s="1271"/>
      <c r="MO643" s="1271"/>
      <c r="MP643" s="1271"/>
      <c r="MQ643" s="1271"/>
      <c r="MR643" s="1271"/>
      <c r="MS643" s="1271"/>
      <c r="MT643" s="1271"/>
      <c r="MU643" s="1271"/>
      <c r="MV643" s="1271"/>
      <c r="MW643" s="1271"/>
      <c r="MX643" s="1271"/>
      <c r="MY643" s="1271"/>
      <c r="MZ643" s="1271"/>
      <c r="NA643" s="1271"/>
      <c r="NB643" s="1271"/>
      <c r="NC643" s="1271"/>
      <c r="ND643" s="1271"/>
      <c r="NE643" s="1271"/>
      <c r="NF643" s="1271"/>
      <c r="NG643" s="1271"/>
      <c r="NH643" s="1271"/>
      <c r="NI643" s="1271"/>
      <c r="NJ643" s="1271"/>
      <c r="NK643" s="1271"/>
      <c r="NL643" s="1271"/>
      <c r="NM643" s="1271"/>
      <c r="NN643" s="1271"/>
      <c r="NO643" s="1271"/>
      <c r="NP643" s="1271"/>
      <c r="NQ643" s="1271"/>
      <c r="NR643" s="1271"/>
      <c r="NS643" s="1271"/>
      <c r="NT643" s="1271"/>
      <c r="NU643" s="1271"/>
      <c r="NV643" s="1271"/>
      <c r="NW643" s="1271"/>
      <c r="NX643" s="1271"/>
      <c r="NY643" s="1271"/>
      <c r="NZ643" s="1271"/>
      <c r="OA643" s="1271"/>
      <c r="OB643" s="1271"/>
      <c r="OC643" s="1271"/>
      <c r="OD643" s="1271"/>
      <c r="OE643" s="1271"/>
      <c r="OF643" s="1271"/>
      <c r="OG643" s="1271"/>
      <c r="OH643" s="1271"/>
      <c r="OI643" s="1271"/>
      <c r="OJ643" s="1271"/>
      <c r="OK643" s="1271"/>
      <c r="OL643" s="1271"/>
      <c r="OM643" s="1271"/>
      <c r="ON643" s="1271"/>
      <c r="OO643" s="1271"/>
      <c r="OP643" s="1271"/>
      <c r="OQ643" s="1271"/>
      <c r="OR643" s="1271"/>
      <c r="OS643" s="1271"/>
      <c r="OT643" s="1271"/>
      <c r="OU643" s="1271"/>
      <c r="OV643" s="1271"/>
      <c r="OW643" s="1271"/>
      <c r="OX643" s="1271"/>
      <c r="OY643" s="1271"/>
      <c r="OZ643" s="1271"/>
      <c r="PA643" s="1271"/>
      <c r="PB643" s="1271"/>
      <c r="PC643" s="1271"/>
      <c r="PD643" s="1271"/>
      <c r="PE643" s="1271"/>
      <c r="PF643" s="1271"/>
      <c r="PG643" s="1271"/>
      <c r="PH643" s="1271"/>
      <c r="PI643" s="1271"/>
      <c r="PJ643" s="1271"/>
      <c r="PK643" s="1271"/>
      <c r="PL643" s="1271"/>
      <c r="PM643" s="1271"/>
      <c r="PN643" s="1271"/>
      <c r="PO643" s="1271"/>
      <c r="PP643" s="1271"/>
      <c r="PQ643" s="1271"/>
      <c r="PR643" s="1271"/>
      <c r="PS643" s="1271"/>
      <c r="PT643" s="1271"/>
      <c r="PU643" s="1271"/>
      <c r="PV643" s="1271"/>
      <c r="PW643" s="1271"/>
      <c r="PX643" s="1271"/>
      <c r="PY643" s="1271"/>
      <c r="PZ643" s="1271"/>
      <c r="QA643" s="1271"/>
      <c r="QB643" s="1271"/>
      <c r="QC643" s="1271"/>
      <c r="QD643" s="1271"/>
      <c r="QE643" s="1271"/>
      <c r="QF643" s="1271"/>
      <c r="QG643" s="1271"/>
      <c r="QH643" s="1271"/>
      <c r="QI643" s="1271"/>
      <c r="QJ643" s="1271"/>
      <c r="QK643" s="1271"/>
      <c r="QL643" s="1271"/>
      <c r="QM643" s="1271"/>
      <c r="QN643" s="1271"/>
      <c r="QO643" s="1271"/>
      <c r="QP643" s="1271"/>
      <c r="QQ643" s="1271"/>
      <c r="QR643" s="1271"/>
      <c r="QS643" s="1271"/>
      <c r="QT643" s="1271"/>
      <c r="QU643" s="1271"/>
      <c r="QV643" s="1271"/>
      <c r="QW643" s="1271"/>
      <c r="QX643" s="1271"/>
      <c r="QY643" s="1271"/>
      <c r="QZ643" s="1271"/>
      <c r="RA643" s="1271"/>
      <c r="RB643" s="1271"/>
      <c r="RC643" s="1271"/>
      <c r="RD643" s="1271"/>
      <c r="RE643" s="1271"/>
      <c r="RF643" s="1271"/>
      <c r="RG643" s="1271"/>
      <c r="RH643" s="1271"/>
      <c r="RI643" s="1271"/>
      <c r="RJ643" s="1271"/>
      <c r="RK643" s="1271"/>
      <c r="RL643" s="1271"/>
      <c r="RM643" s="1271"/>
      <c r="RN643" s="1271"/>
      <c r="RO643" s="1271"/>
      <c r="RP643" s="1271"/>
      <c r="RQ643" s="1271"/>
      <c r="RR643" s="1271"/>
      <c r="RS643" s="1271"/>
      <c r="RT643" s="1271"/>
      <c r="RU643" s="1271"/>
      <c r="RV643" s="1271"/>
      <c r="RW643" s="1271"/>
      <c r="RX643" s="1271"/>
      <c r="RY643" s="1271"/>
      <c r="RZ643" s="1271"/>
      <c r="SA643" s="1271"/>
      <c r="SB643" s="1271"/>
      <c r="SC643" s="1271"/>
      <c r="SD643" s="1271"/>
      <c r="SE643" s="1271"/>
      <c r="SF643" s="1271"/>
      <c r="SG643" s="1271"/>
      <c r="SH643" s="1271"/>
      <c r="SI643" s="1271"/>
      <c r="SJ643" s="1271"/>
      <c r="SK643" s="1271"/>
      <c r="SL643" s="1271"/>
      <c r="SM643" s="1271"/>
      <c r="SN643" s="1271"/>
      <c r="SO643" s="1271"/>
      <c r="SP643" s="1271"/>
      <c r="SQ643" s="1271"/>
      <c r="SR643" s="1271"/>
      <c r="SS643" s="1271"/>
      <c r="ST643" s="1271"/>
      <c r="SU643" s="1271"/>
      <c r="SV643" s="1271"/>
      <c r="SW643" s="1271"/>
      <c r="SX643" s="1271"/>
      <c r="SY643" s="1271"/>
      <c r="SZ643" s="1271"/>
      <c r="TA643" s="1271"/>
      <c r="TB643" s="1271"/>
      <c r="TC643" s="1271"/>
      <c r="TD643" s="1271"/>
      <c r="TE643" s="1271"/>
      <c r="TF643" s="1271"/>
      <c r="TG643" s="1271"/>
      <c r="TH643" s="1271"/>
      <c r="TI643" s="1271"/>
      <c r="TJ643" s="1271"/>
      <c r="TK643" s="1271"/>
      <c r="TL643" s="1271"/>
      <c r="TM643" s="1271"/>
      <c r="TN643" s="1271"/>
      <c r="TO643" s="1271"/>
      <c r="TP643" s="1271"/>
      <c r="TQ643" s="1271"/>
      <c r="TR643" s="1271"/>
      <c r="TS643" s="1271"/>
      <c r="TT643" s="1271"/>
      <c r="TU643" s="1271"/>
      <c r="TV643" s="1271"/>
      <c r="TW643" s="1271"/>
      <c r="TX643" s="1271"/>
      <c r="TY643" s="1271"/>
      <c r="TZ643" s="1271"/>
      <c r="UA643" s="1271"/>
      <c r="UB643" s="1271"/>
      <c r="UC643" s="1271"/>
      <c r="UD643" s="1271"/>
      <c r="UE643" s="1271"/>
      <c r="UF643" s="1271"/>
      <c r="UG643" s="1272"/>
    </row>
    <row r="644" spans="1:553" s="1262" customFormat="1" ht="50.25" customHeight="1">
      <c r="A644" s="402"/>
      <c r="B644" s="402"/>
      <c r="C644" s="1524" t="s">
        <v>261</v>
      </c>
      <c r="D644" s="1466"/>
      <c r="E644" s="1466"/>
      <c r="F644" s="1466"/>
      <c r="G644" s="1226" t="s">
        <v>196</v>
      </c>
      <c r="H644" s="605"/>
      <c r="I644" s="499">
        <f>(45.69*100/625)*(12-(4-3))*2</f>
        <v>160.8288</v>
      </c>
      <c r="J644" s="985">
        <v>10700</v>
      </c>
      <c r="K644" s="1021">
        <v>0.7</v>
      </c>
      <c r="L644" s="1013">
        <f t="shared" si="105"/>
        <v>1204607.7119999998</v>
      </c>
      <c r="M644" s="402"/>
      <c r="N644" s="402"/>
      <c r="O644" s="402"/>
      <c r="P644" s="402"/>
      <c r="Q644" s="812"/>
      <c r="R644" s="1452"/>
      <c r="S644" s="308"/>
      <c r="T644" s="308"/>
      <c r="U644" s="308"/>
      <c r="V644" s="308"/>
      <c r="W644" s="308"/>
      <c r="X644" s="308"/>
      <c r="Y644" s="308"/>
      <c r="Z644" s="604"/>
      <c r="AA644" s="308"/>
      <c r="AB644" s="308"/>
      <c r="AC644" s="449"/>
      <c r="AD644" s="449"/>
      <c r="AE644" s="449"/>
      <c r="AF644" s="449"/>
      <c r="AG644" s="449"/>
      <c r="AH644" s="449"/>
      <c r="AI644" s="449"/>
      <c r="AJ644" s="449"/>
      <c r="AK644" s="452"/>
      <c r="AL644" s="1269"/>
      <c r="AM644" s="1270"/>
      <c r="AN644" s="1270"/>
      <c r="AO644" s="1270"/>
      <c r="AP644" s="1270"/>
      <c r="AQ644" s="1270"/>
      <c r="AR644" s="1270"/>
      <c r="AS644" s="1260"/>
      <c r="AT644" s="1260"/>
      <c r="AU644" s="1260"/>
      <c r="AV644" s="1260"/>
      <c r="AW644" s="1260"/>
      <c r="AX644" s="1260"/>
      <c r="AY644" s="1260"/>
      <c r="AZ644" s="1260"/>
      <c r="BA644" s="1260"/>
      <c r="BB644" s="1260"/>
      <c r="BC644" s="1260"/>
      <c r="BD644" s="1260"/>
      <c r="BE644" s="1260"/>
      <c r="BF644" s="1260"/>
      <c r="BG644" s="1260"/>
      <c r="BH644" s="1260"/>
      <c r="BI644" s="1260"/>
      <c r="BJ644" s="1260"/>
      <c r="BK644" s="1260"/>
      <c r="BL644" s="1260"/>
      <c r="BM644" s="1260"/>
      <c r="BN644" s="1260"/>
      <c r="BO644" s="1260"/>
      <c r="BP644" s="1271"/>
      <c r="BQ644" s="1271"/>
      <c r="BR644" s="1271"/>
      <c r="BS644" s="1271"/>
      <c r="BT644" s="1271"/>
      <c r="BU644" s="1271"/>
      <c r="BV644" s="1271"/>
      <c r="BW644" s="1271"/>
      <c r="BX644" s="1271"/>
      <c r="BY644" s="1271"/>
      <c r="BZ644" s="1271"/>
      <c r="CA644" s="1271"/>
      <c r="CB644" s="1271"/>
      <c r="CC644" s="1271"/>
      <c r="CD644" s="1271"/>
      <c r="CE644" s="1271"/>
      <c r="CF644" s="1271"/>
      <c r="CG644" s="1271"/>
      <c r="CH644" s="1271"/>
      <c r="CI644" s="1271"/>
      <c r="CJ644" s="1271"/>
      <c r="CK644" s="1271"/>
      <c r="CL644" s="1271"/>
      <c r="CM644" s="1271"/>
      <c r="CN644" s="1271"/>
      <c r="CO644" s="1271"/>
      <c r="CP644" s="1271"/>
      <c r="CQ644" s="1271"/>
      <c r="CR644" s="1271"/>
      <c r="CS644" s="1271"/>
      <c r="CT644" s="1271"/>
      <c r="CU644" s="1271"/>
      <c r="CV644" s="1271"/>
      <c r="CW644" s="1271"/>
      <c r="CX644" s="1271"/>
      <c r="CY644" s="1271"/>
      <c r="CZ644" s="1271"/>
      <c r="DA644" s="1271"/>
      <c r="DB644" s="1271"/>
      <c r="DC644" s="1271"/>
      <c r="DD644" s="1271"/>
      <c r="DE644" s="1271"/>
      <c r="DF644" s="1271"/>
      <c r="DG644" s="1271"/>
      <c r="DH644" s="1271"/>
      <c r="DI644" s="1271"/>
      <c r="DJ644" s="1271"/>
      <c r="DK644" s="1271"/>
      <c r="DL644" s="1271"/>
      <c r="DM644" s="1271"/>
      <c r="DN644" s="1271"/>
      <c r="DO644" s="1271"/>
      <c r="DP644" s="1271"/>
      <c r="DQ644" s="1271"/>
      <c r="DR644" s="1271"/>
      <c r="DS644" s="1271"/>
      <c r="DT644" s="1271"/>
      <c r="DU644" s="1271"/>
      <c r="DV644" s="1271"/>
      <c r="DW644" s="1271"/>
      <c r="DX644" s="1271"/>
      <c r="DY644" s="1271"/>
      <c r="DZ644" s="1271"/>
      <c r="EA644" s="1271"/>
      <c r="EB644" s="1271"/>
      <c r="EC644" s="1271"/>
      <c r="ED644" s="1271"/>
      <c r="EE644" s="1271"/>
      <c r="EF644" s="1271"/>
      <c r="EG644" s="1271"/>
      <c r="EH644" s="1271"/>
      <c r="EI644" s="1271"/>
      <c r="EJ644" s="1271"/>
      <c r="EK644" s="1271"/>
      <c r="EL644" s="1271"/>
      <c r="EM644" s="1271"/>
      <c r="EN644" s="1271"/>
      <c r="EO644" s="1271"/>
      <c r="EP644" s="1271"/>
      <c r="EQ644" s="1271"/>
      <c r="ER644" s="1271"/>
      <c r="ES644" s="1271"/>
      <c r="ET644" s="1271"/>
      <c r="EU644" s="1271"/>
      <c r="EV644" s="1271"/>
      <c r="EW644" s="1271"/>
      <c r="EX644" s="1271"/>
      <c r="EY644" s="1271"/>
      <c r="EZ644" s="1271"/>
      <c r="FA644" s="1271"/>
      <c r="FB644" s="1271"/>
      <c r="FC644" s="1271"/>
      <c r="FD644" s="1271"/>
      <c r="FE644" s="1271"/>
      <c r="FF644" s="1271"/>
      <c r="FG644" s="1271"/>
      <c r="FH644" s="1271"/>
      <c r="FI644" s="1271"/>
      <c r="FJ644" s="1271"/>
      <c r="FK644" s="1271"/>
      <c r="FL644" s="1271"/>
      <c r="FM644" s="1271"/>
      <c r="FN644" s="1271"/>
      <c r="FO644" s="1271"/>
      <c r="FP644" s="1271"/>
      <c r="FQ644" s="1271"/>
      <c r="FR644" s="1271"/>
      <c r="FS644" s="1271"/>
      <c r="FT644" s="1271"/>
      <c r="FU644" s="1271"/>
      <c r="FV644" s="1271"/>
      <c r="FW644" s="1271"/>
      <c r="FX644" s="1271"/>
      <c r="FY644" s="1271"/>
      <c r="FZ644" s="1271"/>
      <c r="GA644" s="1271"/>
      <c r="GB644" s="1271"/>
      <c r="GC644" s="1271"/>
      <c r="GD644" s="1271"/>
      <c r="GE644" s="1271"/>
      <c r="GF644" s="1271"/>
      <c r="GG644" s="1271"/>
      <c r="GH644" s="1271"/>
      <c r="GI644" s="1271"/>
      <c r="GJ644" s="1271"/>
      <c r="GK644" s="1271"/>
      <c r="GL644" s="1271"/>
      <c r="GM644" s="1271"/>
      <c r="GN644" s="1271"/>
      <c r="GO644" s="1271"/>
      <c r="GP644" s="1271"/>
      <c r="GQ644" s="1271"/>
      <c r="GR644" s="1271"/>
      <c r="GS644" s="1271"/>
      <c r="GT644" s="1271"/>
      <c r="GU644" s="1271"/>
      <c r="GV644" s="1271"/>
      <c r="GW644" s="1271"/>
      <c r="GX644" s="1271"/>
      <c r="GY644" s="1271"/>
      <c r="GZ644" s="1271"/>
      <c r="HA644" s="1271"/>
      <c r="HB644" s="1271"/>
      <c r="HC644" s="1271"/>
      <c r="HD644" s="1271"/>
      <c r="HE644" s="1271"/>
      <c r="HF644" s="1271"/>
      <c r="HG644" s="1271"/>
      <c r="HH644" s="1271"/>
      <c r="HI644" s="1271"/>
      <c r="HJ644" s="1271"/>
      <c r="HK644" s="1271"/>
      <c r="HL644" s="1271"/>
      <c r="HM644" s="1271"/>
      <c r="HN644" s="1271"/>
      <c r="HO644" s="1271"/>
      <c r="HP644" s="1271"/>
      <c r="HQ644" s="1271"/>
      <c r="HR644" s="1271"/>
      <c r="HS644" s="1271"/>
      <c r="HT644" s="1271"/>
      <c r="HU644" s="1271"/>
      <c r="HV644" s="1271"/>
      <c r="HW644" s="1271"/>
      <c r="HX644" s="1271"/>
      <c r="HY644" s="1271"/>
      <c r="HZ644" s="1271"/>
      <c r="IA644" s="1271"/>
      <c r="IB644" s="1271"/>
      <c r="IC644" s="1271"/>
      <c r="ID644" s="1271"/>
      <c r="IE644" s="1271"/>
      <c r="IF644" s="1271"/>
      <c r="IG644" s="1271"/>
      <c r="IH644" s="1271"/>
      <c r="II644" s="1271"/>
      <c r="IJ644" s="1271"/>
      <c r="IK644" s="1271"/>
      <c r="IL644" s="1271"/>
      <c r="IM644" s="1271"/>
      <c r="IN644" s="1271"/>
      <c r="IO644" s="1271"/>
      <c r="IP644" s="1271"/>
      <c r="IQ644" s="1271"/>
      <c r="IR644" s="1271"/>
      <c r="IS644" s="1271"/>
      <c r="IT644" s="1271"/>
      <c r="IU644" s="1271"/>
      <c r="IV644" s="1271"/>
      <c r="IW644" s="1271"/>
      <c r="IX644" s="1271"/>
      <c r="IY644" s="1271"/>
      <c r="IZ644" s="1271"/>
      <c r="JA644" s="1271"/>
      <c r="JB644" s="1271"/>
      <c r="JC644" s="1271"/>
      <c r="JD644" s="1271"/>
      <c r="JE644" s="1271"/>
      <c r="JF644" s="1271"/>
      <c r="JG644" s="1271"/>
      <c r="JH644" s="1271"/>
      <c r="JI644" s="1271"/>
      <c r="JJ644" s="1271"/>
      <c r="JK644" s="1271"/>
      <c r="JL644" s="1271"/>
      <c r="JM644" s="1271"/>
      <c r="JN644" s="1271"/>
      <c r="JO644" s="1271"/>
      <c r="JP644" s="1271"/>
      <c r="JQ644" s="1271"/>
      <c r="JR644" s="1271"/>
      <c r="JS644" s="1271"/>
      <c r="JT644" s="1271"/>
      <c r="JU644" s="1271"/>
      <c r="JV644" s="1271"/>
      <c r="JW644" s="1271"/>
      <c r="JX644" s="1271"/>
      <c r="JY644" s="1271"/>
      <c r="JZ644" s="1271"/>
      <c r="KA644" s="1271"/>
      <c r="KB644" s="1271"/>
      <c r="KC644" s="1271"/>
      <c r="KD644" s="1271"/>
      <c r="KE644" s="1271"/>
      <c r="KF644" s="1271"/>
      <c r="KG644" s="1271"/>
      <c r="KH644" s="1271"/>
      <c r="KI644" s="1271"/>
      <c r="KJ644" s="1271"/>
      <c r="KK644" s="1271"/>
      <c r="KL644" s="1271"/>
      <c r="KM644" s="1271"/>
      <c r="KN644" s="1271"/>
      <c r="KO644" s="1271"/>
      <c r="KP644" s="1271"/>
      <c r="KQ644" s="1271"/>
      <c r="KR644" s="1271"/>
      <c r="KS644" s="1271"/>
      <c r="KT644" s="1271"/>
      <c r="KU644" s="1271"/>
      <c r="KV644" s="1271"/>
      <c r="KW644" s="1271"/>
      <c r="KX644" s="1271"/>
      <c r="KY644" s="1271"/>
      <c r="KZ644" s="1271"/>
      <c r="LA644" s="1271"/>
      <c r="LB644" s="1271"/>
      <c r="LC644" s="1271"/>
      <c r="LD644" s="1271"/>
      <c r="LE644" s="1271"/>
      <c r="LF644" s="1271"/>
      <c r="LG644" s="1271"/>
      <c r="LH644" s="1271"/>
      <c r="LI644" s="1271"/>
      <c r="LJ644" s="1271"/>
      <c r="LK644" s="1271"/>
      <c r="LL644" s="1271"/>
      <c r="LM644" s="1271"/>
      <c r="LN644" s="1271"/>
      <c r="LO644" s="1271"/>
      <c r="LP644" s="1271"/>
      <c r="LQ644" s="1271"/>
      <c r="LR644" s="1271"/>
      <c r="LS644" s="1271"/>
      <c r="LT644" s="1271"/>
      <c r="LU644" s="1271"/>
      <c r="LV644" s="1271"/>
      <c r="LW644" s="1271"/>
      <c r="LX644" s="1271"/>
      <c r="LY644" s="1271"/>
      <c r="LZ644" s="1271"/>
      <c r="MA644" s="1271"/>
      <c r="MB644" s="1271"/>
      <c r="MC644" s="1271"/>
      <c r="MD644" s="1271"/>
      <c r="ME644" s="1271"/>
      <c r="MF644" s="1271"/>
      <c r="MG644" s="1271"/>
      <c r="MH644" s="1271"/>
      <c r="MI644" s="1271"/>
      <c r="MJ644" s="1271"/>
      <c r="MK644" s="1271"/>
      <c r="ML644" s="1271"/>
      <c r="MM644" s="1271"/>
      <c r="MN644" s="1271"/>
      <c r="MO644" s="1271"/>
      <c r="MP644" s="1271"/>
      <c r="MQ644" s="1271"/>
      <c r="MR644" s="1271"/>
      <c r="MS644" s="1271"/>
      <c r="MT644" s="1271"/>
      <c r="MU644" s="1271"/>
      <c r="MV644" s="1271"/>
      <c r="MW644" s="1271"/>
      <c r="MX644" s="1271"/>
      <c r="MY644" s="1271"/>
      <c r="MZ644" s="1271"/>
      <c r="NA644" s="1271"/>
      <c r="NB644" s="1271"/>
      <c r="NC644" s="1271"/>
      <c r="ND644" s="1271"/>
      <c r="NE644" s="1271"/>
      <c r="NF644" s="1271"/>
      <c r="NG644" s="1271"/>
      <c r="NH644" s="1271"/>
      <c r="NI644" s="1271"/>
      <c r="NJ644" s="1271"/>
      <c r="NK644" s="1271"/>
      <c r="NL644" s="1271"/>
      <c r="NM644" s="1271"/>
      <c r="NN644" s="1271"/>
      <c r="NO644" s="1271"/>
      <c r="NP644" s="1271"/>
      <c r="NQ644" s="1271"/>
      <c r="NR644" s="1271"/>
      <c r="NS644" s="1271"/>
      <c r="NT644" s="1271"/>
      <c r="NU644" s="1271"/>
      <c r="NV644" s="1271"/>
      <c r="NW644" s="1271"/>
      <c r="NX644" s="1271"/>
      <c r="NY644" s="1271"/>
      <c r="NZ644" s="1271"/>
      <c r="OA644" s="1271"/>
      <c r="OB644" s="1271"/>
      <c r="OC644" s="1271"/>
      <c r="OD644" s="1271"/>
      <c r="OE644" s="1271"/>
      <c r="OF644" s="1271"/>
      <c r="OG644" s="1271"/>
      <c r="OH644" s="1271"/>
      <c r="OI644" s="1271"/>
      <c r="OJ644" s="1271"/>
      <c r="OK644" s="1271"/>
      <c r="OL644" s="1271"/>
      <c r="OM644" s="1271"/>
      <c r="ON644" s="1271"/>
      <c r="OO644" s="1271"/>
      <c r="OP644" s="1271"/>
      <c r="OQ644" s="1271"/>
      <c r="OR644" s="1271"/>
      <c r="OS644" s="1271"/>
      <c r="OT644" s="1271"/>
      <c r="OU644" s="1271"/>
      <c r="OV644" s="1271"/>
      <c r="OW644" s="1271"/>
      <c r="OX644" s="1271"/>
      <c r="OY644" s="1271"/>
      <c r="OZ644" s="1271"/>
      <c r="PA644" s="1271"/>
      <c r="PB644" s="1271"/>
      <c r="PC644" s="1271"/>
      <c r="PD644" s="1271"/>
      <c r="PE644" s="1271"/>
      <c r="PF644" s="1271"/>
      <c r="PG644" s="1271"/>
      <c r="PH644" s="1271"/>
      <c r="PI644" s="1271"/>
      <c r="PJ644" s="1271"/>
      <c r="PK644" s="1271"/>
      <c r="PL644" s="1271"/>
      <c r="PM644" s="1271"/>
      <c r="PN644" s="1271"/>
      <c r="PO644" s="1271"/>
      <c r="PP644" s="1271"/>
      <c r="PQ644" s="1271"/>
      <c r="PR644" s="1271"/>
      <c r="PS644" s="1271"/>
      <c r="PT644" s="1271"/>
      <c r="PU644" s="1271"/>
      <c r="PV644" s="1271"/>
      <c r="PW644" s="1271"/>
      <c r="PX644" s="1271"/>
      <c r="PY644" s="1271"/>
      <c r="PZ644" s="1271"/>
      <c r="QA644" s="1271"/>
      <c r="QB644" s="1271"/>
      <c r="QC644" s="1271"/>
      <c r="QD644" s="1271"/>
      <c r="QE644" s="1271"/>
      <c r="QF644" s="1271"/>
      <c r="QG644" s="1271"/>
      <c r="QH644" s="1271"/>
      <c r="QI644" s="1271"/>
      <c r="QJ644" s="1271"/>
      <c r="QK644" s="1271"/>
      <c r="QL644" s="1271"/>
      <c r="QM644" s="1271"/>
      <c r="QN644" s="1271"/>
      <c r="QO644" s="1271"/>
      <c r="QP644" s="1271"/>
      <c r="QQ644" s="1271"/>
      <c r="QR644" s="1271"/>
      <c r="QS644" s="1271"/>
      <c r="QT644" s="1271"/>
      <c r="QU644" s="1271"/>
      <c r="QV644" s="1271"/>
      <c r="QW644" s="1271"/>
      <c r="QX644" s="1271"/>
      <c r="QY644" s="1271"/>
      <c r="QZ644" s="1271"/>
      <c r="RA644" s="1271"/>
      <c r="RB644" s="1271"/>
      <c r="RC644" s="1271"/>
      <c r="RD644" s="1271"/>
      <c r="RE644" s="1271"/>
      <c r="RF644" s="1271"/>
      <c r="RG644" s="1271"/>
      <c r="RH644" s="1271"/>
      <c r="RI644" s="1271"/>
      <c r="RJ644" s="1271"/>
      <c r="RK644" s="1271"/>
      <c r="RL644" s="1271"/>
      <c r="RM644" s="1271"/>
      <c r="RN644" s="1271"/>
      <c r="RO644" s="1271"/>
      <c r="RP644" s="1271"/>
      <c r="RQ644" s="1271"/>
      <c r="RR644" s="1271"/>
      <c r="RS644" s="1271"/>
      <c r="RT644" s="1271"/>
      <c r="RU644" s="1271"/>
      <c r="RV644" s="1271"/>
      <c r="RW644" s="1271"/>
      <c r="RX644" s="1271"/>
      <c r="RY644" s="1271"/>
      <c r="RZ644" s="1271"/>
      <c r="SA644" s="1271"/>
      <c r="SB644" s="1271"/>
      <c r="SC644" s="1271"/>
      <c r="SD644" s="1271"/>
      <c r="SE644" s="1271"/>
      <c r="SF644" s="1271"/>
      <c r="SG644" s="1271"/>
      <c r="SH644" s="1271"/>
      <c r="SI644" s="1271"/>
      <c r="SJ644" s="1271"/>
      <c r="SK644" s="1271"/>
      <c r="SL644" s="1271"/>
      <c r="SM644" s="1271"/>
      <c r="SN644" s="1271"/>
      <c r="SO644" s="1271"/>
      <c r="SP644" s="1271"/>
      <c r="SQ644" s="1271"/>
      <c r="SR644" s="1271"/>
      <c r="SS644" s="1271"/>
      <c r="ST644" s="1271"/>
      <c r="SU644" s="1271"/>
      <c r="SV644" s="1271"/>
      <c r="SW644" s="1271"/>
      <c r="SX644" s="1271"/>
      <c r="SY644" s="1271"/>
      <c r="SZ644" s="1271"/>
      <c r="TA644" s="1271"/>
      <c r="TB644" s="1271"/>
      <c r="TC644" s="1271"/>
      <c r="TD644" s="1271"/>
      <c r="TE644" s="1271"/>
      <c r="TF644" s="1271"/>
      <c r="TG644" s="1271"/>
      <c r="TH644" s="1271"/>
      <c r="TI644" s="1271"/>
      <c r="TJ644" s="1271"/>
      <c r="TK644" s="1271"/>
      <c r="TL644" s="1271"/>
      <c r="TM644" s="1271"/>
      <c r="TN644" s="1271"/>
      <c r="TO644" s="1271"/>
      <c r="TP644" s="1271"/>
      <c r="TQ644" s="1271"/>
      <c r="TR644" s="1271"/>
      <c r="TS644" s="1271"/>
      <c r="TT644" s="1271"/>
      <c r="TU644" s="1271"/>
      <c r="TV644" s="1271"/>
      <c r="TW644" s="1271"/>
      <c r="TX644" s="1271"/>
      <c r="TY644" s="1271"/>
      <c r="TZ644" s="1271"/>
      <c r="UA644" s="1271"/>
      <c r="UB644" s="1271"/>
      <c r="UC644" s="1271"/>
      <c r="UD644" s="1271"/>
      <c r="UE644" s="1271"/>
      <c r="UF644" s="1271"/>
      <c r="UG644" s="1272"/>
    </row>
    <row r="645" spans="1:553" s="1262" customFormat="1" ht="50.25" customHeight="1">
      <c r="A645" s="1226"/>
      <c r="B645" s="1226"/>
      <c r="C645" s="1519" t="s">
        <v>457</v>
      </c>
      <c r="D645" s="1452"/>
      <c r="E645" s="1452"/>
      <c r="F645" s="1464"/>
      <c r="G645" s="1226" t="s">
        <v>196</v>
      </c>
      <c r="H645" s="600"/>
      <c r="I645" s="502">
        <f>(132.2*100/1200)*1</f>
        <v>11.016666666666666</v>
      </c>
      <c r="J645" s="1243">
        <v>6600</v>
      </c>
      <c r="K645" s="558"/>
      <c r="L645" s="679">
        <f>J645*I645</f>
        <v>72710</v>
      </c>
      <c r="M645" s="1226"/>
      <c r="N645" s="1226"/>
      <c r="O645" s="1226"/>
      <c r="P645" s="1226"/>
      <c r="Q645" s="812"/>
      <c r="R645" s="1452"/>
      <c r="S645" s="308"/>
      <c r="T645" s="308"/>
      <c r="U645" s="308"/>
      <c r="V645" s="308"/>
      <c r="W645" s="308"/>
      <c r="X645" s="308"/>
      <c r="Y645" s="308"/>
      <c r="Z645" s="604"/>
      <c r="AA645" s="308"/>
      <c r="AB645" s="308"/>
      <c r="AC645" s="449"/>
      <c r="AD645" s="449"/>
      <c r="AE645" s="449"/>
      <c r="AF645" s="449"/>
      <c r="AG645" s="449"/>
      <c r="AH645" s="449"/>
      <c r="AI645" s="449"/>
      <c r="AJ645" s="449"/>
      <c r="AK645" s="452"/>
      <c r="AL645" s="1269"/>
      <c r="AM645" s="1270"/>
      <c r="AN645" s="1270"/>
      <c r="AO645" s="1270"/>
      <c r="AP645" s="1270"/>
      <c r="AQ645" s="1270"/>
      <c r="AR645" s="1270"/>
      <c r="AS645" s="1260"/>
      <c r="AT645" s="1260"/>
      <c r="AU645" s="1260"/>
      <c r="AV645" s="1260"/>
      <c r="AW645" s="1260"/>
      <c r="AX645" s="1260"/>
      <c r="AY645" s="1260"/>
      <c r="AZ645" s="1260"/>
      <c r="BA645" s="1260"/>
      <c r="BB645" s="1260"/>
      <c r="BC645" s="1260"/>
      <c r="BD645" s="1260"/>
      <c r="BE645" s="1260"/>
      <c r="BF645" s="1260"/>
      <c r="BG645" s="1260"/>
      <c r="BH645" s="1260"/>
      <c r="BI645" s="1260"/>
      <c r="BJ645" s="1260"/>
      <c r="BK645" s="1260"/>
      <c r="BL645" s="1260"/>
      <c r="BM645" s="1260"/>
      <c r="BN645" s="1260"/>
      <c r="BO645" s="1260"/>
      <c r="BP645" s="1271"/>
      <c r="BQ645" s="1271"/>
      <c r="BR645" s="1271"/>
      <c r="BS645" s="1271"/>
      <c r="BT645" s="1271"/>
      <c r="BU645" s="1271"/>
      <c r="BV645" s="1271"/>
      <c r="BW645" s="1271"/>
      <c r="BX645" s="1271"/>
      <c r="BY645" s="1271"/>
      <c r="BZ645" s="1271"/>
      <c r="CA645" s="1271"/>
      <c r="CB645" s="1271"/>
      <c r="CC645" s="1271"/>
      <c r="CD645" s="1271"/>
      <c r="CE645" s="1271"/>
      <c r="CF645" s="1271"/>
      <c r="CG645" s="1271"/>
      <c r="CH645" s="1271"/>
      <c r="CI645" s="1271"/>
      <c r="CJ645" s="1271"/>
      <c r="CK645" s="1271"/>
      <c r="CL645" s="1271"/>
      <c r="CM645" s="1271"/>
      <c r="CN645" s="1271"/>
      <c r="CO645" s="1271"/>
      <c r="CP645" s="1271"/>
      <c r="CQ645" s="1271"/>
      <c r="CR645" s="1271"/>
      <c r="CS645" s="1271"/>
      <c r="CT645" s="1271"/>
      <c r="CU645" s="1271"/>
      <c r="CV645" s="1271"/>
      <c r="CW645" s="1271"/>
      <c r="CX645" s="1271"/>
      <c r="CY645" s="1271"/>
      <c r="CZ645" s="1271"/>
      <c r="DA645" s="1271"/>
      <c r="DB645" s="1271"/>
      <c r="DC645" s="1271"/>
      <c r="DD645" s="1271"/>
      <c r="DE645" s="1271"/>
      <c r="DF645" s="1271"/>
      <c r="DG645" s="1271"/>
      <c r="DH645" s="1271"/>
      <c r="DI645" s="1271"/>
      <c r="DJ645" s="1271"/>
      <c r="DK645" s="1271"/>
      <c r="DL645" s="1271"/>
      <c r="DM645" s="1271"/>
      <c r="DN645" s="1271"/>
      <c r="DO645" s="1271"/>
      <c r="DP645" s="1271"/>
      <c r="DQ645" s="1271"/>
      <c r="DR645" s="1271"/>
      <c r="DS645" s="1271"/>
      <c r="DT645" s="1271"/>
      <c r="DU645" s="1271"/>
      <c r="DV645" s="1271"/>
      <c r="DW645" s="1271"/>
      <c r="DX645" s="1271"/>
      <c r="DY645" s="1271"/>
      <c r="DZ645" s="1271"/>
      <c r="EA645" s="1271"/>
      <c r="EB645" s="1271"/>
      <c r="EC645" s="1271"/>
      <c r="ED645" s="1271"/>
      <c r="EE645" s="1271"/>
      <c r="EF645" s="1271"/>
      <c r="EG645" s="1271"/>
      <c r="EH645" s="1271"/>
      <c r="EI645" s="1271"/>
      <c r="EJ645" s="1271"/>
      <c r="EK645" s="1271"/>
      <c r="EL645" s="1271"/>
      <c r="EM645" s="1271"/>
      <c r="EN645" s="1271"/>
      <c r="EO645" s="1271"/>
      <c r="EP645" s="1271"/>
      <c r="EQ645" s="1271"/>
      <c r="ER645" s="1271"/>
      <c r="ES645" s="1271"/>
      <c r="ET645" s="1271"/>
      <c r="EU645" s="1271"/>
      <c r="EV645" s="1271"/>
      <c r="EW645" s="1271"/>
      <c r="EX645" s="1271"/>
      <c r="EY645" s="1271"/>
      <c r="EZ645" s="1271"/>
      <c r="FA645" s="1271"/>
      <c r="FB645" s="1271"/>
      <c r="FC645" s="1271"/>
      <c r="FD645" s="1271"/>
      <c r="FE645" s="1271"/>
      <c r="FF645" s="1271"/>
      <c r="FG645" s="1271"/>
      <c r="FH645" s="1271"/>
      <c r="FI645" s="1271"/>
      <c r="FJ645" s="1271"/>
      <c r="FK645" s="1271"/>
      <c r="FL645" s="1271"/>
      <c r="FM645" s="1271"/>
      <c r="FN645" s="1271"/>
      <c r="FO645" s="1271"/>
      <c r="FP645" s="1271"/>
      <c r="FQ645" s="1271"/>
      <c r="FR645" s="1271"/>
      <c r="FS645" s="1271"/>
      <c r="FT645" s="1271"/>
      <c r="FU645" s="1271"/>
      <c r="FV645" s="1271"/>
      <c r="FW645" s="1271"/>
      <c r="FX645" s="1271"/>
      <c r="FY645" s="1271"/>
      <c r="FZ645" s="1271"/>
      <c r="GA645" s="1271"/>
      <c r="GB645" s="1271"/>
      <c r="GC645" s="1271"/>
      <c r="GD645" s="1271"/>
      <c r="GE645" s="1271"/>
      <c r="GF645" s="1271"/>
      <c r="GG645" s="1271"/>
      <c r="GH645" s="1271"/>
      <c r="GI645" s="1271"/>
      <c r="GJ645" s="1271"/>
      <c r="GK645" s="1271"/>
      <c r="GL645" s="1271"/>
      <c r="GM645" s="1271"/>
      <c r="GN645" s="1271"/>
      <c r="GO645" s="1271"/>
      <c r="GP645" s="1271"/>
      <c r="GQ645" s="1271"/>
      <c r="GR645" s="1271"/>
      <c r="GS645" s="1271"/>
      <c r="GT645" s="1271"/>
      <c r="GU645" s="1271"/>
      <c r="GV645" s="1271"/>
      <c r="GW645" s="1271"/>
      <c r="GX645" s="1271"/>
      <c r="GY645" s="1271"/>
      <c r="GZ645" s="1271"/>
      <c r="HA645" s="1271"/>
      <c r="HB645" s="1271"/>
      <c r="HC645" s="1271"/>
      <c r="HD645" s="1271"/>
      <c r="HE645" s="1271"/>
      <c r="HF645" s="1271"/>
      <c r="HG645" s="1271"/>
      <c r="HH645" s="1271"/>
      <c r="HI645" s="1271"/>
      <c r="HJ645" s="1271"/>
      <c r="HK645" s="1271"/>
      <c r="HL645" s="1271"/>
      <c r="HM645" s="1271"/>
      <c r="HN645" s="1271"/>
      <c r="HO645" s="1271"/>
      <c r="HP645" s="1271"/>
      <c r="HQ645" s="1271"/>
      <c r="HR645" s="1271"/>
      <c r="HS645" s="1271"/>
      <c r="HT645" s="1271"/>
      <c r="HU645" s="1271"/>
      <c r="HV645" s="1271"/>
      <c r="HW645" s="1271"/>
      <c r="HX645" s="1271"/>
      <c r="HY645" s="1271"/>
      <c r="HZ645" s="1271"/>
      <c r="IA645" s="1271"/>
      <c r="IB645" s="1271"/>
      <c r="IC645" s="1271"/>
      <c r="ID645" s="1271"/>
      <c r="IE645" s="1271"/>
      <c r="IF645" s="1271"/>
      <c r="IG645" s="1271"/>
      <c r="IH645" s="1271"/>
      <c r="II645" s="1271"/>
      <c r="IJ645" s="1271"/>
      <c r="IK645" s="1271"/>
      <c r="IL645" s="1271"/>
      <c r="IM645" s="1271"/>
      <c r="IN645" s="1271"/>
      <c r="IO645" s="1271"/>
      <c r="IP645" s="1271"/>
      <c r="IQ645" s="1271"/>
      <c r="IR645" s="1271"/>
      <c r="IS645" s="1271"/>
      <c r="IT645" s="1271"/>
      <c r="IU645" s="1271"/>
      <c r="IV645" s="1271"/>
      <c r="IW645" s="1271"/>
      <c r="IX645" s="1271"/>
      <c r="IY645" s="1271"/>
      <c r="IZ645" s="1271"/>
      <c r="JA645" s="1271"/>
      <c r="JB645" s="1271"/>
      <c r="JC645" s="1271"/>
      <c r="JD645" s="1271"/>
      <c r="JE645" s="1271"/>
      <c r="JF645" s="1271"/>
      <c r="JG645" s="1271"/>
      <c r="JH645" s="1271"/>
      <c r="JI645" s="1271"/>
      <c r="JJ645" s="1271"/>
      <c r="JK645" s="1271"/>
      <c r="JL645" s="1271"/>
      <c r="JM645" s="1271"/>
      <c r="JN645" s="1271"/>
      <c r="JO645" s="1271"/>
      <c r="JP645" s="1271"/>
      <c r="JQ645" s="1271"/>
      <c r="JR645" s="1271"/>
      <c r="JS645" s="1271"/>
      <c r="JT645" s="1271"/>
      <c r="JU645" s="1271"/>
      <c r="JV645" s="1271"/>
      <c r="JW645" s="1271"/>
      <c r="JX645" s="1271"/>
      <c r="JY645" s="1271"/>
      <c r="JZ645" s="1271"/>
      <c r="KA645" s="1271"/>
      <c r="KB645" s="1271"/>
      <c r="KC645" s="1271"/>
      <c r="KD645" s="1271"/>
      <c r="KE645" s="1271"/>
      <c r="KF645" s="1271"/>
      <c r="KG645" s="1271"/>
      <c r="KH645" s="1271"/>
      <c r="KI645" s="1271"/>
      <c r="KJ645" s="1271"/>
      <c r="KK645" s="1271"/>
      <c r="KL645" s="1271"/>
      <c r="KM645" s="1271"/>
      <c r="KN645" s="1271"/>
      <c r="KO645" s="1271"/>
      <c r="KP645" s="1271"/>
      <c r="KQ645" s="1271"/>
      <c r="KR645" s="1271"/>
      <c r="KS645" s="1271"/>
      <c r="KT645" s="1271"/>
      <c r="KU645" s="1271"/>
      <c r="KV645" s="1271"/>
      <c r="KW645" s="1271"/>
      <c r="KX645" s="1271"/>
      <c r="KY645" s="1271"/>
      <c r="KZ645" s="1271"/>
      <c r="LA645" s="1271"/>
      <c r="LB645" s="1271"/>
      <c r="LC645" s="1271"/>
      <c r="LD645" s="1271"/>
      <c r="LE645" s="1271"/>
      <c r="LF645" s="1271"/>
      <c r="LG645" s="1271"/>
      <c r="LH645" s="1271"/>
      <c r="LI645" s="1271"/>
      <c r="LJ645" s="1271"/>
      <c r="LK645" s="1271"/>
      <c r="LL645" s="1271"/>
      <c r="LM645" s="1271"/>
      <c r="LN645" s="1271"/>
      <c r="LO645" s="1271"/>
      <c r="LP645" s="1271"/>
      <c r="LQ645" s="1271"/>
      <c r="LR645" s="1271"/>
      <c r="LS645" s="1271"/>
      <c r="LT645" s="1271"/>
      <c r="LU645" s="1271"/>
      <c r="LV645" s="1271"/>
      <c r="LW645" s="1271"/>
      <c r="LX645" s="1271"/>
      <c r="LY645" s="1271"/>
      <c r="LZ645" s="1271"/>
      <c r="MA645" s="1271"/>
      <c r="MB645" s="1271"/>
      <c r="MC645" s="1271"/>
      <c r="MD645" s="1271"/>
      <c r="ME645" s="1271"/>
      <c r="MF645" s="1271"/>
      <c r="MG645" s="1271"/>
      <c r="MH645" s="1271"/>
      <c r="MI645" s="1271"/>
      <c r="MJ645" s="1271"/>
      <c r="MK645" s="1271"/>
      <c r="ML645" s="1271"/>
      <c r="MM645" s="1271"/>
      <c r="MN645" s="1271"/>
      <c r="MO645" s="1271"/>
      <c r="MP645" s="1271"/>
      <c r="MQ645" s="1271"/>
      <c r="MR645" s="1271"/>
      <c r="MS645" s="1271"/>
      <c r="MT645" s="1271"/>
      <c r="MU645" s="1271"/>
      <c r="MV645" s="1271"/>
      <c r="MW645" s="1271"/>
      <c r="MX645" s="1271"/>
      <c r="MY645" s="1271"/>
      <c r="MZ645" s="1271"/>
      <c r="NA645" s="1271"/>
      <c r="NB645" s="1271"/>
      <c r="NC645" s="1271"/>
      <c r="ND645" s="1271"/>
      <c r="NE645" s="1271"/>
      <c r="NF645" s="1271"/>
      <c r="NG645" s="1271"/>
      <c r="NH645" s="1271"/>
      <c r="NI645" s="1271"/>
      <c r="NJ645" s="1271"/>
      <c r="NK645" s="1271"/>
      <c r="NL645" s="1271"/>
      <c r="NM645" s="1271"/>
      <c r="NN645" s="1271"/>
      <c r="NO645" s="1271"/>
      <c r="NP645" s="1271"/>
      <c r="NQ645" s="1271"/>
      <c r="NR645" s="1271"/>
      <c r="NS645" s="1271"/>
      <c r="NT645" s="1271"/>
      <c r="NU645" s="1271"/>
      <c r="NV645" s="1271"/>
      <c r="NW645" s="1271"/>
      <c r="NX645" s="1271"/>
      <c r="NY645" s="1271"/>
      <c r="NZ645" s="1271"/>
      <c r="OA645" s="1271"/>
      <c r="OB645" s="1271"/>
      <c r="OC645" s="1271"/>
      <c r="OD645" s="1271"/>
      <c r="OE645" s="1271"/>
      <c r="OF645" s="1271"/>
      <c r="OG645" s="1271"/>
      <c r="OH645" s="1271"/>
      <c r="OI645" s="1271"/>
      <c r="OJ645" s="1271"/>
      <c r="OK645" s="1271"/>
      <c r="OL645" s="1271"/>
      <c r="OM645" s="1271"/>
      <c r="ON645" s="1271"/>
      <c r="OO645" s="1271"/>
      <c r="OP645" s="1271"/>
      <c r="OQ645" s="1271"/>
      <c r="OR645" s="1271"/>
      <c r="OS645" s="1271"/>
      <c r="OT645" s="1271"/>
      <c r="OU645" s="1271"/>
      <c r="OV645" s="1271"/>
      <c r="OW645" s="1271"/>
      <c r="OX645" s="1271"/>
      <c r="OY645" s="1271"/>
      <c r="OZ645" s="1271"/>
      <c r="PA645" s="1271"/>
      <c r="PB645" s="1271"/>
      <c r="PC645" s="1271"/>
      <c r="PD645" s="1271"/>
      <c r="PE645" s="1271"/>
      <c r="PF645" s="1271"/>
      <c r="PG645" s="1271"/>
      <c r="PH645" s="1271"/>
      <c r="PI645" s="1271"/>
      <c r="PJ645" s="1271"/>
      <c r="PK645" s="1271"/>
      <c r="PL645" s="1271"/>
      <c r="PM645" s="1271"/>
      <c r="PN645" s="1271"/>
      <c r="PO645" s="1271"/>
      <c r="PP645" s="1271"/>
      <c r="PQ645" s="1271"/>
      <c r="PR645" s="1271"/>
      <c r="PS645" s="1271"/>
      <c r="PT645" s="1271"/>
      <c r="PU645" s="1271"/>
      <c r="PV645" s="1271"/>
      <c r="PW645" s="1271"/>
      <c r="PX645" s="1271"/>
      <c r="PY645" s="1271"/>
      <c r="PZ645" s="1271"/>
      <c r="QA645" s="1271"/>
      <c r="QB645" s="1271"/>
      <c r="QC645" s="1271"/>
      <c r="QD645" s="1271"/>
      <c r="QE645" s="1271"/>
      <c r="QF645" s="1271"/>
      <c r="QG645" s="1271"/>
      <c r="QH645" s="1271"/>
      <c r="QI645" s="1271"/>
      <c r="QJ645" s="1271"/>
      <c r="QK645" s="1271"/>
      <c r="QL645" s="1271"/>
      <c r="QM645" s="1271"/>
      <c r="QN645" s="1271"/>
      <c r="QO645" s="1271"/>
      <c r="QP645" s="1271"/>
      <c r="QQ645" s="1271"/>
      <c r="QR645" s="1271"/>
      <c r="QS645" s="1271"/>
      <c r="QT645" s="1271"/>
      <c r="QU645" s="1271"/>
      <c r="QV645" s="1271"/>
      <c r="QW645" s="1271"/>
      <c r="QX645" s="1271"/>
      <c r="QY645" s="1271"/>
      <c r="QZ645" s="1271"/>
      <c r="RA645" s="1271"/>
      <c r="RB645" s="1271"/>
      <c r="RC645" s="1271"/>
      <c r="RD645" s="1271"/>
      <c r="RE645" s="1271"/>
      <c r="RF645" s="1271"/>
      <c r="RG645" s="1271"/>
      <c r="RH645" s="1271"/>
      <c r="RI645" s="1271"/>
      <c r="RJ645" s="1271"/>
      <c r="RK645" s="1271"/>
      <c r="RL645" s="1271"/>
      <c r="RM645" s="1271"/>
      <c r="RN645" s="1271"/>
      <c r="RO645" s="1271"/>
      <c r="RP645" s="1271"/>
      <c r="RQ645" s="1271"/>
      <c r="RR645" s="1271"/>
      <c r="RS645" s="1271"/>
      <c r="RT645" s="1271"/>
      <c r="RU645" s="1271"/>
      <c r="RV645" s="1271"/>
      <c r="RW645" s="1271"/>
      <c r="RX645" s="1271"/>
      <c r="RY645" s="1271"/>
      <c r="RZ645" s="1271"/>
      <c r="SA645" s="1271"/>
      <c r="SB645" s="1271"/>
      <c r="SC645" s="1271"/>
      <c r="SD645" s="1271"/>
      <c r="SE645" s="1271"/>
      <c r="SF645" s="1271"/>
      <c r="SG645" s="1271"/>
      <c r="SH645" s="1271"/>
      <c r="SI645" s="1271"/>
      <c r="SJ645" s="1271"/>
      <c r="SK645" s="1271"/>
      <c r="SL645" s="1271"/>
      <c r="SM645" s="1271"/>
      <c r="SN645" s="1271"/>
      <c r="SO645" s="1271"/>
      <c r="SP645" s="1271"/>
      <c r="SQ645" s="1271"/>
      <c r="SR645" s="1271"/>
      <c r="SS645" s="1271"/>
      <c r="ST645" s="1271"/>
      <c r="SU645" s="1271"/>
      <c r="SV645" s="1271"/>
      <c r="SW645" s="1271"/>
      <c r="SX645" s="1271"/>
      <c r="SY645" s="1271"/>
      <c r="SZ645" s="1271"/>
      <c r="TA645" s="1271"/>
      <c r="TB645" s="1271"/>
      <c r="TC645" s="1271"/>
      <c r="TD645" s="1271"/>
      <c r="TE645" s="1271"/>
      <c r="TF645" s="1271"/>
      <c r="TG645" s="1271"/>
      <c r="TH645" s="1271"/>
      <c r="TI645" s="1271"/>
      <c r="TJ645" s="1271"/>
      <c r="TK645" s="1271"/>
      <c r="TL645" s="1271"/>
      <c r="TM645" s="1271"/>
      <c r="TN645" s="1271"/>
      <c r="TO645" s="1271"/>
      <c r="TP645" s="1271"/>
      <c r="TQ645" s="1271"/>
      <c r="TR645" s="1271"/>
      <c r="TS645" s="1271"/>
      <c r="TT645" s="1271"/>
      <c r="TU645" s="1271"/>
      <c r="TV645" s="1271"/>
      <c r="TW645" s="1271"/>
      <c r="TX645" s="1271"/>
      <c r="TY645" s="1271"/>
      <c r="TZ645" s="1271"/>
      <c r="UA645" s="1271"/>
      <c r="UB645" s="1271"/>
      <c r="UC645" s="1271"/>
      <c r="UD645" s="1271"/>
      <c r="UE645" s="1271"/>
      <c r="UF645" s="1271"/>
      <c r="UG645" s="1272"/>
    </row>
    <row r="646" spans="1:553" s="1262" customFormat="1" ht="50.25" customHeight="1">
      <c r="A646" s="554"/>
      <c r="B646" s="554"/>
      <c r="C646" s="1424" t="s">
        <v>458</v>
      </c>
      <c r="D646" s="1509"/>
      <c r="E646" s="1509"/>
      <c r="F646" s="1509"/>
      <c r="G646" s="1226" t="s">
        <v>196</v>
      </c>
      <c r="H646" s="598"/>
      <c r="I646" s="592">
        <f>(75.22*100/500)*(17-(4-3))*9</f>
        <v>2166.3360000000002</v>
      </c>
      <c r="J646" s="989">
        <v>10800</v>
      </c>
      <c r="K646" s="613">
        <v>0.7</v>
      </c>
      <c r="L646" s="1148">
        <f>I646*J646*K646</f>
        <v>16377500.16</v>
      </c>
      <c r="M646" s="554"/>
      <c r="N646" s="554"/>
      <c r="O646" s="554"/>
      <c r="P646" s="554"/>
      <c r="Q646" s="812"/>
      <c r="R646" s="1452"/>
      <c r="S646" s="308"/>
      <c r="T646" s="308"/>
      <c r="U646" s="308"/>
      <c r="V646" s="308"/>
      <c r="W646" s="308"/>
      <c r="X646" s="308"/>
      <c r="Y646" s="308"/>
      <c r="Z646" s="604"/>
      <c r="AA646" s="308"/>
      <c r="AB646" s="308"/>
      <c r="AC646" s="449"/>
      <c r="AD646" s="449"/>
      <c r="AE646" s="449"/>
      <c r="AF646" s="449"/>
      <c r="AG646" s="449"/>
      <c r="AH646" s="449"/>
      <c r="AI646" s="449"/>
      <c r="AJ646" s="449"/>
      <c r="AK646" s="452"/>
      <c r="AL646" s="1269"/>
      <c r="AM646" s="1270"/>
      <c r="AN646" s="1270"/>
      <c r="AO646" s="1270"/>
      <c r="AP646" s="1270"/>
      <c r="AQ646" s="1270"/>
      <c r="AR646" s="1270"/>
      <c r="AS646" s="1260"/>
      <c r="AT646" s="1260"/>
      <c r="AU646" s="1260"/>
      <c r="AV646" s="1260"/>
      <c r="AW646" s="1260"/>
      <c r="AX646" s="1260"/>
      <c r="AY646" s="1260"/>
      <c r="AZ646" s="1260"/>
      <c r="BA646" s="1260"/>
      <c r="BB646" s="1260"/>
      <c r="BC646" s="1260"/>
      <c r="BD646" s="1260"/>
      <c r="BE646" s="1260"/>
      <c r="BF646" s="1260"/>
      <c r="BG646" s="1260"/>
      <c r="BH646" s="1260"/>
      <c r="BI646" s="1260"/>
      <c r="BJ646" s="1260"/>
      <c r="BK646" s="1260"/>
      <c r="BL646" s="1260"/>
      <c r="BM646" s="1260"/>
      <c r="BN646" s="1260"/>
      <c r="BO646" s="1260"/>
      <c r="BP646" s="1271"/>
      <c r="BQ646" s="1271"/>
      <c r="BR646" s="1271"/>
      <c r="BS646" s="1271"/>
      <c r="BT646" s="1271"/>
      <c r="BU646" s="1271"/>
      <c r="BV646" s="1271"/>
      <c r="BW646" s="1271"/>
      <c r="BX646" s="1271"/>
      <c r="BY646" s="1271"/>
      <c r="BZ646" s="1271"/>
      <c r="CA646" s="1271"/>
      <c r="CB646" s="1271"/>
      <c r="CC646" s="1271"/>
      <c r="CD646" s="1271"/>
      <c r="CE646" s="1271"/>
      <c r="CF646" s="1271"/>
      <c r="CG646" s="1271"/>
      <c r="CH646" s="1271"/>
      <c r="CI646" s="1271"/>
      <c r="CJ646" s="1271"/>
      <c r="CK646" s="1271"/>
      <c r="CL646" s="1271"/>
      <c r="CM646" s="1271"/>
      <c r="CN646" s="1271"/>
      <c r="CO646" s="1271"/>
      <c r="CP646" s="1271"/>
      <c r="CQ646" s="1271"/>
      <c r="CR646" s="1271"/>
      <c r="CS646" s="1271"/>
      <c r="CT646" s="1271"/>
      <c r="CU646" s="1271"/>
      <c r="CV646" s="1271"/>
      <c r="CW646" s="1271"/>
      <c r="CX646" s="1271"/>
      <c r="CY646" s="1271"/>
      <c r="CZ646" s="1271"/>
      <c r="DA646" s="1271"/>
      <c r="DB646" s="1271"/>
      <c r="DC646" s="1271"/>
      <c r="DD646" s="1271"/>
      <c r="DE646" s="1271"/>
      <c r="DF646" s="1271"/>
      <c r="DG646" s="1271"/>
      <c r="DH646" s="1271"/>
      <c r="DI646" s="1271"/>
      <c r="DJ646" s="1271"/>
      <c r="DK646" s="1271"/>
      <c r="DL646" s="1271"/>
      <c r="DM646" s="1271"/>
      <c r="DN646" s="1271"/>
      <c r="DO646" s="1271"/>
      <c r="DP646" s="1271"/>
      <c r="DQ646" s="1271"/>
      <c r="DR646" s="1271"/>
      <c r="DS646" s="1271"/>
      <c r="DT646" s="1271"/>
      <c r="DU646" s="1271"/>
      <c r="DV646" s="1271"/>
      <c r="DW646" s="1271"/>
      <c r="DX646" s="1271"/>
      <c r="DY646" s="1271"/>
      <c r="DZ646" s="1271"/>
      <c r="EA646" s="1271"/>
      <c r="EB646" s="1271"/>
      <c r="EC646" s="1271"/>
      <c r="ED646" s="1271"/>
      <c r="EE646" s="1271"/>
      <c r="EF646" s="1271"/>
      <c r="EG646" s="1271"/>
      <c r="EH646" s="1271"/>
      <c r="EI646" s="1271"/>
      <c r="EJ646" s="1271"/>
      <c r="EK646" s="1271"/>
      <c r="EL646" s="1271"/>
      <c r="EM646" s="1271"/>
      <c r="EN646" s="1271"/>
      <c r="EO646" s="1271"/>
      <c r="EP646" s="1271"/>
      <c r="EQ646" s="1271"/>
      <c r="ER646" s="1271"/>
      <c r="ES646" s="1271"/>
      <c r="ET646" s="1271"/>
      <c r="EU646" s="1271"/>
      <c r="EV646" s="1271"/>
      <c r="EW646" s="1271"/>
      <c r="EX646" s="1271"/>
      <c r="EY646" s="1271"/>
      <c r="EZ646" s="1271"/>
      <c r="FA646" s="1271"/>
      <c r="FB646" s="1271"/>
      <c r="FC646" s="1271"/>
      <c r="FD646" s="1271"/>
      <c r="FE646" s="1271"/>
      <c r="FF646" s="1271"/>
      <c r="FG646" s="1271"/>
      <c r="FH646" s="1271"/>
      <c r="FI646" s="1271"/>
      <c r="FJ646" s="1271"/>
      <c r="FK646" s="1271"/>
      <c r="FL646" s="1271"/>
      <c r="FM646" s="1271"/>
      <c r="FN646" s="1271"/>
      <c r="FO646" s="1271"/>
      <c r="FP646" s="1271"/>
      <c r="FQ646" s="1271"/>
      <c r="FR646" s="1271"/>
      <c r="FS646" s="1271"/>
      <c r="FT646" s="1271"/>
      <c r="FU646" s="1271"/>
      <c r="FV646" s="1271"/>
      <c r="FW646" s="1271"/>
      <c r="FX646" s="1271"/>
      <c r="FY646" s="1271"/>
      <c r="FZ646" s="1271"/>
      <c r="GA646" s="1271"/>
      <c r="GB646" s="1271"/>
      <c r="GC646" s="1271"/>
      <c r="GD646" s="1271"/>
      <c r="GE646" s="1271"/>
      <c r="GF646" s="1271"/>
      <c r="GG646" s="1271"/>
      <c r="GH646" s="1271"/>
      <c r="GI646" s="1271"/>
      <c r="GJ646" s="1271"/>
      <c r="GK646" s="1271"/>
      <c r="GL646" s="1271"/>
      <c r="GM646" s="1271"/>
      <c r="GN646" s="1271"/>
      <c r="GO646" s="1271"/>
      <c r="GP646" s="1271"/>
      <c r="GQ646" s="1271"/>
      <c r="GR646" s="1271"/>
      <c r="GS646" s="1271"/>
      <c r="GT646" s="1271"/>
      <c r="GU646" s="1271"/>
      <c r="GV646" s="1271"/>
      <c r="GW646" s="1271"/>
      <c r="GX646" s="1271"/>
      <c r="GY646" s="1271"/>
      <c r="GZ646" s="1271"/>
      <c r="HA646" s="1271"/>
      <c r="HB646" s="1271"/>
      <c r="HC646" s="1271"/>
      <c r="HD646" s="1271"/>
      <c r="HE646" s="1271"/>
      <c r="HF646" s="1271"/>
      <c r="HG646" s="1271"/>
      <c r="HH646" s="1271"/>
      <c r="HI646" s="1271"/>
      <c r="HJ646" s="1271"/>
      <c r="HK646" s="1271"/>
      <c r="HL646" s="1271"/>
      <c r="HM646" s="1271"/>
      <c r="HN646" s="1271"/>
      <c r="HO646" s="1271"/>
      <c r="HP646" s="1271"/>
      <c r="HQ646" s="1271"/>
      <c r="HR646" s="1271"/>
      <c r="HS646" s="1271"/>
      <c r="HT646" s="1271"/>
      <c r="HU646" s="1271"/>
      <c r="HV646" s="1271"/>
      <c r="HW646" s="1271"/>
      <c r="HX646" s="1271"/>
      <c r="HY646" s="1271"/>
      <c r="HZ646" s="1271"/>
      <c r="IA646" s="1271"/>
      <c r="IB646" s="1271"/>
      <c r="IC646" s="1271"/>
      <c r="ID646" s="1271"/>
      <c r="IE646" s="1271"/>
      <c r="IF646" s="1271"/>
      <c r="IG646" s="1271"/>
      <c r="IH646" s="1271"/>
      <c r="II646" s="1271"/>
      <c r="IJ646" s="1271"/>
      <c r="IK646" s="1271"/>
      <c r="IL646" s="1271"/>
      <c r="IM646" s="1271"/>
      <c r="IN646" s="1271"/>
      <c r="IO646" s="1271"/>
      <c r="IP646" s="1271"/>
      <c r="IQ646" s="1271"/>
      <c r="IR646" s="1271"/>
      <c r="IS646" s="1271"/>
      <c r="IT646" s="1271"/>
      <c r="IU646" s="1271"/>
      <c r="IV646" s="1271"/>
      <c r="IW646" s="1271"/>
      <c r="IX646" s="1271"/>
      <c r="IY646" s="1271"/>
      <c r="IZ646" s="1271"/>
      <c r="JA646" s="1271"/>
      <c r="JB646" s="1271"/>
      <c r="JC646" s="1271"/>
      <c r="JD646" s="1271"/>
      <c r="JE646" s="1271"/>
      <c r="JF646" s="1271"/>
      <c r="JG646" s="1271"/>
      <c r="JH646" s="1271"/>
      <c r="JI646" s="1271"/>
      <c r="JJ646" s="1271"/>
      <c r="JK646" s="1271"/>
      <c r="JL646" s="1271"/>
      <c r="JM646" s="1271"/>
      <c r="JN646" s="1271"/>
      <c r="JO646" s="1271"/>
      <c r="JP646" s="1271"/>
      <c r="JQ646" s="1271"/>
      <c r="JR646" s="1271"/>
      <c r="JS646" s="1271"/>
      <c r="JT646" s="1271"/>
      <c r="JU646" s="1271"/>
      <c r="JV646" s="1271"/>
      <c r="JW646" s="1271"/>
      <c r="JX646" s="1271"/>
      <c r="JY646" s="1271"/>
      <c r="JZ646" s="1271"/>
      <c r="KA646" s="1271"/>
      <c r="KB646" s="1271"/>
      <c r="KC646" s="1271"/>
      <c r="KD646" s="1271"/>
      <c r="KE646" s="1271"/>
      <c r="KF646" s="1271"/>
      <c r="KG646" s="1271"/>
      <c r="KH646" s="1271"/>
      <c r="KI646" s="1271"/>
      <c r="KJ646" s="1271"/>
      <c r="KK646" s="1271"/>
      <c r="KL646" s="1271"/>
      <c r="KM646" s="1271"/>
      <c r="KN646" s="1271"/>
      <c r="KO646" s="1271"/>
      <c r="KP646" s="1271"/>
      <c r="KQ646" s="1271"/>
      <c r="KR646" s="1271"/>
      <c r="KS646" s="1271"/>
      <c r="KT646" s="1271"/>
      <c r="KU646" s="1271"/>
      <c r="KV646" s="1271"/>
      <c r="KW646" s="1271"/>
      <c r="KX646" s="1271"/>
      <c r="KY646" s="1271"/>
      <c r="KZ646" s="1271"/>
      <c r="LA646" s="1271"/>
      <c r="LB646" s="1271"/>
      <c r="LC646" s="1271"/>
      <c r="LD646" s="1271"/>
      <c r="LE646" s="1271"/>
      <c r="LF646" s="1271"/>
      <c r="LG646" s="1271"/>
      <c r="LH646" s="1271"/>
      <c r="LI646" s="1271"/>
      <c r="LJ646" s="1271"/>
      <c r="LK646" s="1271"/>
      <c r="LL646" s="1271"/>
      <c r="LM646" s="1271"/>
      <c r="LN646" s="1271"/>
      <c r="LO646" s="1271"/>
      <c r="LP646" s="1271"/>
      <c r="LQ646" s="1271"/>
      <c r="LR646" s="1271"/>
      <c r="LS646" s="1271"/>
      <c r="LT646" s="1271"/>
      <c r="LU646" s="1271"/>
      <c r="LV646" s="1271"/>
      <c r="LW646" s="1271"/>
      <c r="LX646" s="1271"/>
      <c r="LY646" s="1271"/>
      <c r="LZ646" s="1271"/>
      <c r="MA646" s="1271"/>
      <c r="MB646" s="1271"/>
      <c r="MC646" s="1271"/>
      <c r="MD646" s="1271"/>
      <c r="ME646" s="1271"/>
      <c r="MF646" s="1271"/>
      <c r="MG646" s="1271"/>
      <c r="MH646" s="1271"/>
      <c r="MI646" s="1271"/>
      <c r="MJ646" s="1271"/>
      <c r="MK646" s="1271"/>
      <c r="ML646" s="1271"/>
      <c r="MM646" s="1271"/>
      <c r="MN646" s="1271"/>
      <c r="MO646" s="1271"/>
      <c r="MP646" s="1271"/>
      <c r="MQ646" s="1271"/>
      <c r="MR646" s="1271"/>
      <c r="MS646" s="1271"/>
      <c r="MT646" s="1271"/>
      <c r="MU646" s="1271"/>
      <c r="MV646" s="1271"/>
      <c r="MW646" s="1271"/>
      <c r="MX646" s="1271"/>
      <c r="MY646" s="1271"/>
      <c r="MZ646" s="1271"/>
      <c r="NA646" s="1271"/>
      <c r="NB646" s="1271"/>
      <c r="NC646" s="1271"/>
      <c r="ND646" s="1271"/>
      <c r="NE646" s="1271"/>
      <c r="NF646" s="1271"/>
      <c r="NG646" s="1271"/>
      <c r="NH646" s="1271"/>
      <c r="NI646" s="1271"/>
      <c r="NJ646" s="1271"/>
      <c r="NK646" s="1271"/>
      <c r="NL646" s="1271"/>
      <c r="NM646" s="1271"/>
      <c r="NN646" s="1271"/>
      <c r="NO646" s="1271"/>
      <c r="NP646" s="1271"/>
      <c r="NQ646" s="1271"/>
      <c r="NR646" s="1271"/>
      <c r="NS646" s="1271"/>
      <c r="NT646" s="1271"/>
      <c r="NU646" s="1271"/>
      <c r="NV646" s="1271"/>
      <c r="NW646" s="1271"/>
      <c r="NX646" s="1271"/>
      <c r="NY646" s="1271"/>
      <c r="NZ646" s="1271"/>
      <c r="OA646" s="1271"/>
      <c r="OB646" s="1271"/>
      <c r="OC646" s="1271"/>
      <c r="OD646" s="1271"/>
      <c r="OE646" s="1271"/>
      <c r="OF646" s="1271"/>
      <c r="OG646" s="1271"/>
      <c r="OH646" s="1271"/>
      <c r="OI646" s="1271"/>
      <c r="OJ646" s="1271"/>
      <c r="OK646" s="1271"/>
      <c r="OL646" s="1271"/>
      <c r="OM646" s="1271"/>
      <c r="ON646" s="1271"/>
      <c r="OO646" s="1271"/>
      <c r="OP646" s="1271"/>
      <c r="OQ646" s="1271"/>
      <c r="OR646" s="1271"/>
      <c r="OS646" s="1271"/>
      <c r="OT646" s="1271"/>
      <c r="OU646" s="1271"/>
      <c r="OV646" s="1271"/>
      <c r="OW646" s="1271"/>
      <c r="OX646" s="1271"/>
      <c r="OY646" s="1271"/>
      <c r="OZ646" s="1271"/>
      <c r="PA646" s="1271"/>
      <c r="PB646" s="1271"/>
      <c r="PC646" s="1271"/>
      <c r="PD646" s="1271"/>
      <c r="PE646" s="1271"/>
      <c r="PF646" s="1271"/>
      <c r="PG646" s="1271"/>
      <c r="PH646" s="1271"/>
      <c r="PI646" s="1271"/>
      <c r="PJ646" s="1271"/>
      <c r="PK646" s="1271"/>
      <c r="PL646" s="1271"/>
      <c r="PM646" s="1271"/>
      <c r="PN646" s="1271"/>
      <c r="PO646" s="1271"/>
      <c r="PP646" s="1271"/>
      <c r="PQ646" s="1271"/>
      <c r="PR646" s="1271"/>
      <c r="PS646" s="1271"/>
      <c r="PT646" s="1271"/>
      <c r="PU646" s="1271"/>
      <c r="PV646" s="1271"/>
      <c r="PW646" s="1271"/>
      <c r="PX646" s="1271"/>
      <c r="PY646" s="1271"/>
      <c r="PZ646" s="1271"/>
      <c r="QA646" s="1271"/>
      <c r="QB646" s="1271"/>
      <c r="QC646" s="1271"/>
      <c r="QD646" s="1271"/>
      <c r="QE646" s="1271"/>
      <c r="QF646" s="1271"/>
      <c r="QG646" s="1271"/>
      <c r="QH646" s="1271"/>
      <c r="QI646" s="1271"/>
      <c r="QJ646" s="1271"/>
      <c r="QK646" s="1271"/>
      <c r="QL646" s="1271"/>
      <c r="QM646" s="1271"/>
      <c r="QN646" s="1271"/>
      <c r="QO646" s="1271"/>
      <c r="QP646" s="1271"/>
      <c r="QQ646" s="1271"/>
      <c r="QR646" s="1271"/>
      <c r="QS646" s="1271"/>
      <c r="QT646" s="1271"/>
      <c r="QU646" s="1271"/>
      <c r="QV646" s="1271"/>
      <c r="QW646" s="1271"/>
      <c r="QX646" s="1271"/>
      <c r="QY646" s="1271"/>
      <c r="QZ646" s="1271"/>
      <c r="RA646" s="1271"/>
      <c r="RB646" s="1271"/>
      <c r="RC646" s="1271"/>
      <c r="RD646" s="1271"/>
      <c r="RE646" s="1271"/>
      <c r="RF646" s="1271"/>
      <c r="RG646" s="1271"/>
      <c r="RH646" s="1271"/>
      <c r="RI646" s="1271"/>
      <c r="RJ646" s="1271"/>
      <c r="RK646" s="1271"/>
      <c r="RL646" s="1271"/>
      <c r="RM646" s="1271"/>
      <c r="RN646" s="1271"/>
      <c r="RO646" s="1271"/>
      <c r="RP646" s="1271"/>
      <c r="RQ646" s="1271"/>
      <c r="RR646" s="1271"/>
      <c r="RS646" s="1271"/>
      <c r="RT646" s="1271"/>
      <c r="RU646" s="1271"/>
      <c r="RV646" s="1271"/>
      <c r="RW646" s="1271"/>
      <c r="RX646" s="1271"/>
      <c r="RY646" s="1271"/>
      <c r="RZ646" s="1271"/>
      <c r="SA646" s="1271"/>
      <c r="SB646" s="1271"/>
      <c r="SC646" s="1271"/>
      <c r="SD646" s="1271"/>
      <c r="SE646" s="1271"/>
      <c r="SF646" s="1271"/>
      <c r="SG646" s="1271"/>
      <c r="SH646" s="1271"/>
      <c r="SI646" s="1271"/>
      <c r="SJ646" s="1271"/>
      <c r="SK646" s="1271"/>
      <c r="SL646" s="1271"/>
      <c r="SM646" s="1271"/>
      <c r="SN646" s="1271"/>
      <c r="SO646" s="1271"/>
      <c r="SP646" s="1271"/>
      <c r="SQ646" s="1271"/>
      <c r="SR646" s="1271"/>
      <c r="SS646" s="1271"/>
      <c r="ST646" s="1271"/>
      <c r="SU646" s="1271"/>
      <c r="SV646" s="1271"/>
      <c r="SW646" s="1271"/>
      <c r="SX646" s="1271"/>
      <c r="SY646" s="1271"/>
      <c r="SZ646" s="1271"/>
      <c r="TA646" s="1271"/>
      <c r="TB646" s="1271"/>
      <c r="TC646" s="1271"/>
      <c r="TD646" s="1271"/>
      <c r="TE646" s="1271"/>
      <c r="TF646" s="1271"/>
      <c r="TG646" s="1271"/>
      <c r="TH646" s="1271"/>
      <c r="TI646" s="1271"/>
      <c r="TJ646" s="1271"/>
      <c r="TK646" s="1271"/>
      <c r="TL646" s="1271"/>
      <c r="TM646" s="1271"/>
      <c r="TN646" s="1271"/>
      <c r="TO646" s="1271"/>
      <c r="TP646" s="1271"/>
      <c r="TQ646" s="1271"/>
      <c r="TR646" s="1271"/>
      <c r="TS646" s="1271"/>
      <c r="TT646" s="1271"/>
      <c r="TU646" s="1271"/>
      <c r="TV646" s="1271"/>
      <c r="TW646" s="1271"/>
      <c r="TX646" s="1271"/>
      <c r="TY646" s="1271"/>
      <c r="TZ646" s="1271"/>
      <c r="UA646" s="1271"/>
      <c r="UB646" s="1271"/>
      <c r="UC646" s="1271"/>
      <c r="UD646" s="1271"/>
      <c r="UE646" s="1271"/>
      <c r="UF646" s="1271"/>
      <c r="UG646" s="1272"/>
    </row>
    <row r="647" spans="1:553" s="1262" customFormat="1" ht="50.25" customHeight="1">
      <c r="A647" s="1226"/>
      <c r="B647" s="1226"/>
      <c r="C647" s="1519" t="s">
        <v>459</v>
      </c>
      <c r="D647" s="1452"/>
      <c r="E647" s="1452"/>
      <c r="F647" s="1464"/>
      <c r="G647" s="1226" t="s">
        <v>196</v>
      </c>
      <c r="H647" s="600"/>
      <c r="I647" s="502">
        <f>(206.62*100/2000)*143</f>
        <v>1477.3329999999999</v>
      </c>
      <c r="J647" s="1243">
        <v>6200</v>
      </c>
      <c r="K647" s="413"/>
      <c r="L647" s="679">
        <f>ROUND(PRODUCT(I647:K647),0)</f>
        <v>9159465</v>
      </c>
      <c r="M647" s="1226"/>
      <c r="N647" s="1226"/>
      <c r="O647" s="1226"/>
      <c r="P647" s="1226"/>
      <c r="Q647" s="812"/>
      <c r="R647" s="1452"/>
      <c r="S647" s="308"/>
      <c r="T647" s="308"/>
      <c r="U647" s="308"/>
      <c r="V647" s="308"/>
      <c r="W647" s="308"/>
      <c r="X647" s="308"/>
      <c r="Y647" s="308"/>
      <c r="Z647" s="604"/>
      <c r="AA647" s="308"/>
      <c r="AB647" s="308"/>
      <c r="AC647" s="449"/>
      <c r="AD647" s="449"/>
      <c r="AE647" s="449"/>
      <c r="AF647" s="449"/>
      <c r="AG647" s="449"/>
      <c r="AH647" s="449"/>
      <c r="AI647" s="449"/>
      <c r="AJ647" s="449"/>
      <c r="AK647" s="452"/>
      <c r="AL647" s="1269"/>
      <c r="AM647" s="1270"/>
      <c r="AN647" s="1270"/>
      <c r="AO647" s="1270"/>
      <c r="AP647" s="1270"/>
      <c r="AQ647" s="1270"/>
      <c r="AR647" s="1270"/>
      <c r="AS647" s="1260"/>
      <c r="AT647" s="1260"/>
      <c r="AU647" s="1260"/>
      <c r="AV647" s="1260"/>
      <c r="AW647" s="1260"/>
      <c r="AX647" s="1260"/>
      <c r="AY647" s="1260"/>
      <c r="AZ647" s="1260"/>
      <c r="BA647" s="1260"/>
      <c r="BB647" s="1260"/>
      <c r="BC647" s="1260"/>
      <c r="BD647" s="1260"/>
      <c r="BE647" s="1260"/>
      <c r="BF647" s="1260"/>
      <c r="BG647" s="1260"/>
      <c r="BH647" s="1260"/>
      <c r="BI647" s="1260"/>
      <c r="BJ647" s="1260"/>
      <c r="BK647" s="1260"/>
      <c r="BL647" s="1260"/>
      <c r="BM647" s="1260"/>
      <c r="BN647" s="1260"/>
      <c r="BO647" s="1260"/>
      <c r="BP647" s="1271"/>
      <c r="BQ647" s="1271"/>
      <c r="BR647" s="1271"/>
      <c r="BS647" s="1271"/>
      <c r="BT647" s="1271"/>
      <c r="BU647" s="1271"/>
      <c r="BV647" s="1271"/>
      <c r="BW647" s="1271"/>
      <c r="BX647" s="1271"/>
      <c r="BY647" s="1271"/>
      <c r="BZ647" s="1271"/>
      <c r="CA647" s="1271"/>
      <c r="CB647" s="1271"/>
      <c r="CC647" s="1271"/>
      <c r="CD647" s="1271"/>
      <c r="CE647" s="1271"/>
      <c r="CF647" s="1271"/>
      <c r="CG647" s="1271"/>
      <c r="CH647" s="1271"/>
      <c r="CI647" s="1271"/>
      <c r="CJ647" s="1271"/>
      <c r="CK647" s="1271"/>
      <c r="CL647" s="1271"/>
      <c r="CM647" s="1271"/>
      <c r="CN647" s="1271"/>
      <c r="CO647" s="1271"/>
      <c r="CP647" s="1271"/>
      <c r="CQ647" s="1271"/>
      <c r="CR647" s="1271"/>
      <c r="CS647" s="1271"/>
      <c r="CT647" s="1271"/>
      <c r="CU647" s="1271"/>
      <c r="CV647" s="1271"/>
      <c r="CW647" s="1271"/>
      <c r="CX647" s="1271"/>
      <c r="CY647" s="1271"/>
      <c r="CZ647" s="1271"/>
      <c r="DA647" s="1271"/>
      <c r="DB647" s="1271"/>
      <c r="DC647" s="1271"/>
      <c r="DD647" s="1271"/>
      <c r="DE647" s="1271"/>
      <c r="DF647" s="1271"/>
      <c r="DG647" s="1271"/>
      <c r="DH647" s="1271"/>
      <c r="DI647" s="1271"/>
      <c r="DJ647" s="1271"/>
      <c r="DK647" s="1271"/>
      <c r="DL647" s="1271"/>
      <c r="DM647" s="1271"/>
      <c r="DN647" s="1271"/>
      <c r="DO647" s="1271"/>
      <c r="DP647" s="1271"/>
      <c r="DQ647" s="1271"/>
      <c r="DR647" s="1271"/>
      <c r="DS647" s="1271"/>
      <c r="DT647" s="1271"/>
      <c r="DU647" s="1271"/>
      <c r="DV647" s="1271"/>
      <c r="DW647" s="1271"/>
      <c r="DX647" s="1271"/>
      <c r="DY647" s="1271"/>
      <c r="DZ647" s="1271"/>
      <c r="EA647" s="1271"/>
      <c r="EB647" s="1271"/>
      <c r="EC647" s="1271"/>
      <c r="ED647" s="1271"/>
      <c r="EE647" s="1271"/>
      <c r="EF647" s="1271"/>
      <c r="EG647" s="1271"/>
      <c r="EH647" s="1271"/>
      <c r="EI647" s="1271"/>
      <c r="EJ647" s="1271"/>
      <c r="EK647" s="1271"/>
      <c r="EL647" s="1271"/>
      <c r="EM647" s="1271"/>
      <c r="EN647" s="1271"/>
      <c r="EO647" s="1271"/>
      <c r="EP647" s="1271"/>
      <c r="EQ647" s="1271"/>
      <c r="ER647" s="1271"/>
      <c r="ES647" s="1271"/>
      <c r="ET647" s="1271"/>
      <c r="EU647" s="1271"/>
      <c r="EV647" s="1271"/>
      <c r="EW647" s="1271"/>
      <c r="EX647" s="1271"/>
      <c r="EY647" s="1271"/>
      <c r="EZ647" s="1271"/>
      <c r="FA647" s="1271"/>
      <c r="FB647" s="1271"/>
      <c r="FC647" s="1271"/>
      <c r="FD647" s="1271"/>
      <c r="FE647" s="1271"/>
      <c r="FF647" s="1271"/>
      <c r="FG647" s="1271"/>
      <c r="FH647" s="1271"/>
      <c r="FI647" s="1271"/>
      <c r="FJ647" s="1271"/>
      <c r="FK647" s="1271"/>
      <c r="FL647" s="1271"/>
      <c r="FM647" s="1271"/>
      <c r="FN647" s="1271"/>
      <c r="FO647" s="1271"/>
      <c r="FP647" s="1271"/>
      <c r="FQ647" s="1271"/>
      <c r="FR647" s="1271"/>
      <c r="FS647" s="1271"/>
      <c r="FT647" s="1271"/>
      <c r="FU647" s="1271"/>
      <c r="FV647" s="1271"/>
      <c r="FW647" s="1271"/>
      <c r="FX647" s="1271"/>
      <c r="FY647" s="1271"/>
      <c r="FZ647" s="1271"/>
      <c r="GA647" s="1271"/>
      <c r="GB647" s="1271"/>
      <c r="GC647" s="1271"/>
      <c r="GD647" s="1271"/>
      <c r="GE647" s="1271"/>
      <c r="GF647" s="1271"/>
      <c r="GG647" s="1271"/>
      <c r="GH647" s="1271"/>
      <c r="GI647" s="1271"/>
      <c r="GJ647" s="1271"/>
      <c r="GK647" s="1271"/>
      <c r="GL647" s="1271"/>
      <c r="GM647" s="1271"/>
      <c r="GN647" s="1271"/>
      <c r="GO647" s="1271"/>
      <c r="GP647" s="1271"/>
      <c r="GQ647" s="1271"/>
      <c r="GR647" s="1271"/>
      <c r="GS647" s="1271"/>
      <c r="GT647" s="1271"/>
      <c r="GU647" s="1271"/>
      <c r="GV647" s="1271"/>
      <c r="GW647" s="1271"/>
      <c r="GX647" s="1271"/>
      <c r="GY647" s="1271"/>
      <c r="GZ647" s="1271"/>
      <c r="HA647" s="1271"/>
      <c r="HB647" s="1271"/>
      <c r="HC647" s="1271"/>
      <c r="HD647" s="1271"/>
      <c r="HE647" s="1271"/>
      <c r="HF647" s="1271"/>
      <c r="HG647" s="1271"/>
      <c r="HH647" s="1271"/>
      <c r="HI647" s="1271"/>
      <c r="HJ647" s="1271"/>
      <c r="HK647" s="1271"/>
      <c r="HL647" s="1271"/>
      <c r="HM647" s="1271"/>
      <c r="HN647" s="1271"/>
      <c r="HO647" s="1271"/>
      <c r="HP647" s="1271"/>
      <c r="HQ647" s="1271"/>
      <c r="HR647" s="1271"/>
      <c r="HS647" s="1271"/>
      <c r="HT647" s="1271"/>
      <c r="HU647" s="1271"/>
      <c r="HV647" s="1271"/>
      <c r="HW647" s="1271"/>
      <c r="HX647" s="1271"/>
      <c r="HY647" s="1271"/>
      <c r="HZ647" s="1271"/>
      <c r="IA647" s="1271"/>
      <c r="IB647" s="1271"/>
      <c r="IC647" s="1271"/>
      <c r="ID647" s="1271"/>
      <c r="IE647" s="1271"/>
      <c r="IF647" s="1271"/>
      <c r="IG647" s="1271"/>
      <c r="IH647" s="1271"/>
      <c r="II647" s="1271"/>
      <c r="IJ647" s="1271"/>
      <c r="IK647" s="1271"/>
      <c r="IL647" s="1271"/>
      <c r="IM647" s="1271"/>
      <c r="IN647" s="1271"/>
      <c r="IO647" s="1271"/>
      <c r="IP647" s="1271"/>
      <c r="IQ647" s="1271"/>
      <c r="IR647" s="1271"/>
      <c r="IS647" s="1271"/>
      <c r="IT647" s="1271"/>
      <c r="IU647" s="1271"/>
      <c r="IV647" s="1271"/>
      <c r="IW647" s="1271"/>
      <c r="IX647" s="1271"/>
      <c r="IY647" s="1271"/>
      <c r="IZ647" s="1271"/>
      <c r="JA647" s="1271"/>
      <c r="JB647" s="1271"/>
      <c r="JC647" s="1271"/>
      <c r="JD647" s="1271"/>
      <c r="JE647" s="1271"/>
      <c r="JF647" s="1271"/>
      <c r="JG647" s="1271"/>
      <c r="JH647" s="1271"/>
      <c r="JI647" s="1271"/>
      <c r="JJ647" s="1271"/>
      <c r="JK647" s="1271"/>
      <c r="JL647" s="1271"/>
      <c r="JM647" s="1271"/>
      <c r="JN647" s="1271"/>
      <c r="JO647" s="1271"/>
      <c r="JP647" s="1271"/>
      <c r="JQ647" s="1271"/>
      <c r="JR647" s="1271"/>
      <c r="JS647" s="1271"/>
      <c r="JT647" s="1271"/>
      <c r="JU647" s="1271"/>
      <c r="JV647" s="1271"/>
      <c r="JW647" s="1271"/>
      <c r="JX647" s="1271"/>
      <c r="JY647" s="1271"/>
      <c r="JZ647" s="1271"/>
      <c r="KA647" s="1271"/>
      <c r="KB647" s="1271"/>
      <c r="KC647" s="1271"/>
      <c r="KD647" s="1271"/>
      <c r="KE647" s="1271"/>
      <c r="KF647" s="1271"/>
      <c r="KG647" s="1271"/>
      <c r="KH647" s="1271"/>
      <c r="KI647" s="1271"/>
      <c r="KJ647" s="1271"/>
      <c r="KK647" s="1271"/>
      <c r="KL647" s="1271"/>
      <c r="KM647" s="1271"/>
      <c r="KN647" s="1271"/>
      <c r="KO647" s="1271"/>
      <c r="KP647" s="1271"/>
      <c r="KQ647" s="1271"/>
      <c r="KR647" s="1271"/>
      <c r="KS647" s="1271"/>
      <c r="KT647" s="1271"/>
      <c r="KU647" s="1271"/>
      <c r="KV647" s="1271"/>
      <c r="KW647" s="1271"/>
      <c r="KX647" s="1271"/>
      <c r="KY647" s="1271"/>
      <c r="KZ647" s="1271"/>
      <c r="LA647" s="1271"/>
      <c r="LB647" s="1271"/>
      <c r="LC647" s="1271"/>
      <c r="LD647" s="1271"/>
      <c r="LE647" s="1271"/>
      <c r="LF647" s="1271"/>
      <c r="LG647" s="1271"/>
      <c r="LH647" s="1271"/>
      <c r="LI647" s="1271"/>
      <c r="LJ647" s="1271"/>
      <c r="LK647" s="1271"/>
      <c r="LL647" s="1271"/>
      <c r="LM647" s="1271"/>
      <c r="LN647" s="1271"/>
      <c r="LO647" s="1271"/>
      <c r="LP647" s="1271"/>
      <c r="LQ647" s="1271"/>
      <c r="LR647" s="1271"/>
      <c r="LS647" s="1271"/>
      <c r="LT647" s="1271"/>
      <c r="LU647" s="1271"/>
      <c r="LV647" s="1271"/>
      <c r="LW647" s="1271"/>
      <c r="LX647" s="1271"/>
      <c r="LY647" s="1271"/>
      <c r="LZ647" s="1271"/>
      <c r="MA647" s="1271"/>
      <c r="MB647" s="1271"/>
      <c r="MC647" s="1271"/>
      <c r="MD647" s="1271"/>
      <c r="ME647" s="1271"/>
      <c r="MF647" s="1271"/>
      <c r="MG647" s="1271"/>
      <c r="MH647" s="1271"/>
      <c r="MI647" s="1271"/>
      <c r="MJ647" s="1271"/>
      <c r="MK647" s="1271"/>
      <c r="ML647" s="1271"/>
      <c r="MM647" s="1271"/>
      <c r="MN647" s="1271"/>
      <c r="MO647" s="1271"/>
      <c r="MP647" s="1271"/>
      <c r="MQ647" s="1271"/>
      <c r="MR647" s="1271"/>
      <c r="MS647" s="1271"/>
      <c r="MT647" s="1271"/>
      <c r="MU647" s="1271"/>
      <c r="MV647" s="1271"/>
      <c r="MW647" s="1271"/>
      <c r="MX647" s="1271"/>
      <c r="MY647" s="1271"/>
      <c r="MZ647" s="1271"/>
      <c r="NA647" s="1271"/>
      <c r="NB647" s="1271"/>
      <c r="NC647" s="1271"/>
      <c r="ND647" s="1271"/>
      <c r="NE647" s="1271"/>
      <c r="NF647" s="1271"/>
      <c r="NG647" s="1271"/>
      <c r="NH647" s="1271"/>
      <c r="NI647" s="1271"/>
      <c r="NJ647" s="1271"/>
      <c r="NK647" s="1271"/>
      <c r="NL647" s="1271"/>
      <c r="NM647" s="1271"/>
      <c r="NN647" s="1271"/>
      <c r="NO647" s="1271"/>
      <c r="NP647" s="1271"/>
      <c r="NQ647" s="1271"/>
      <c r="NR647" s="1271"/>
      <c r="NS647" s="1271"/>
      <c r="NT647" s="1271"/>
      <c r="NU647" s="1271"/>
      <c r="NV647" s="1271"/>
      <c r="NW647" s="1271"/>
      <c r="NX647" s="1271"/>
      <c r="NY647" s="1271"/>
      <c r="NZ647" s="1271"/>
      <c r="OA647" s="1271"/>
      <c r="OB647" s="1271"/>
      <c r="OC647" s="1271"/>
      <c r="OD647" s="1271"/>
      <c r="OE647" s="1271"/>
      <c r="OF647" s="1271"/>
      <c r="OG647" s="1271"/>
      <c r="OH647" s="1271"/>
      <c r="OI647" s="1271"/>
      <c r="OJ647" s="1271"/>
      <c r="OK647" s="1271"/>
      <c r="OL647" s="1271"/>
      <c r="OM647" s="1271"/>
      <c r="ON647" s="1271"/>
      <c r="OO647" s="1271"/>
      <c r="OP647" s="1271"/>
      <c r="OQ647" s="1271"/>
      <c r="OR647" s="1271"/>
      <c r="OS647" s="1271"/>
      <c r="OT647" s="1271"/>
      <c r="OU647" s="1271"/>
      <c r="OV647" s="1271"/>
      <c r="OW647" s="1271"/>
      <c r="OX647" s="1271"/>
      <c r="OY647" s="1271"/>
      <c r="OZ647" s="1271"/>
      <c r="PA647" s="1271"/>
      <c r="PB647" s="1271"/>
      <c r="PC647" s="1271"/>
      <c r="PD647" s="1271"/>
      <c r="PE647" s="1271"/>
      <c r="PF647" s="1271"/>
      <c r="PG647" s="1271"/>
      <c r="PH647" s="1271"/>
      <c r="PI647" s="1271"/>
      <c r="PJ647" s="1271"/>
      <c r="PK647" s="1271"/>
      <c r="PL647" s="1271"/>
      <c r="PM647" s="1271"/>
      <c r="PN647" s="1271"/>
      <c r="PO647" s="1271"/>
      <c r="PP647" s="1271"/>
      <c r="PQ647" s="1271"/>
      <c r="PR647" s="1271"/>
      <c r="PS647" s="1271"/>
      <c r="PT647" s="1271"/>
      <c r="PU647" s="1271"/>
      <c r="PV647" s="1271"/>
      <c r="PW647" s="1271"/>
      <c r="PX647" s="1271"/>
      <c r="PY647" s="1271"/>
      <c r="PZ647" s="1271"/>
      <c r="QA647" s="1271"/>
      <c r="QB647" s="1271"/>
      <c r="QC647" s="1271"/>
      <c r="QD647" s="1271"/>
      <c r="QE647" s="1271"/>
      <c r="QF647" s="1271"/>
      <c r="QG647" s="1271"/>
      <c r="QH647" s="1271"/>
      <c r="QI647" s="1271"/>
      <c r="QJ647" s="1271"/>
      <c r="QK647" s="1271"/>
      <c r="QL647" s="1271"/>
      <c r="QM647" s="1271"/>
      <c r="QN647" s="1271"/>
      <c r="QO647" s="1271"/>
      <c r="QP647" s="1271"/>
      <c r="QQ647" s="1271"/>
      <c r="QR647" s="1271"/>
      <c r="QS647" s="1271"/>
      <c r="QT647" s="1271"/>
      <c r="QU647" s="1271"/>
      <c r="QV647" s="1271"/>
      <c r="QW647" s="1271"/>
      <c r="QX647" s="1271"/>
      <c r="QY647" s="1271"/>
      <c r="QZ647" s="1271"/>
      <c r="RA647" s="1271"/>
      <c r="RB647" s="1271"/>
      <c r="RC647" s="1271"/>
      <c r="RD647" s="1271"/>
      <c r="RE647" s="1271"/>
      <c r="RF647" s="1271"/>
      <c r="RG647" s="1271"/>
      <c r="RH647" s="1271"/>
      <c r="RI647" s="1271"/>
      <c r="RJ647" s="1271"/>
      <c r="RK647" s="1271"/>
      <c r="RL647" s="1271"/>
      <c r="RM647" s="1271"/>
      <c r="RN647" s="1271"/>
      <c r="RO647" s="1271"/>
      <c r="RP647" s="1271"/>
      <c r="RQ647" s="1271"/>
      <c r="RR647" s="1271"/>
      <c r="RS647" s="1271"/>
      <c r="RT647" s="1271"/>
      <c r="RU647" s="1271"/>
      <c r="RV647" s="1271"/>
      <c r="RW647" s="1271"/>
      <c r="RX647" s="1271"/>
      <c r="RY647" s="1271"/>
      <c r="RZ647" s="1271"/>
      <c r="SA647" s="1271"/>
      <c r="SB647" s="1271"/>
      <c r="SC647" s="1271"/>
      <c r="SD647" s="1271"/>
      <c r="SE647" s="1271"/>
      <c r="SF647" s="1271"/>
      <c r="SG647" s="1271"/>
      <c r="SH647" s="1271"/>
      <c r="SI647" s="1271"/>
      <c r="SJ647" s="1271"/>
      <c r="SK647" s="1271"/>
      <c r="SL647" s="1271"/>
      <c r="SM647" s="1271"/>
      <c r="SN647" s="1271"/>
      <c r="SO647" s="1271"/>
      <c r="SP647" s="1271"/>
      <c r="SQ647" s="1271"/>
      <c r="SR647" s="1271"/>
      <c r="SS647" s="1271"/>
      <c r="ST647" s="1271"/>
      <c r="SU647" s="1271"/>
      <c r="SV647" s="1271"/>
      <c r="SW647" s="1271"/>
      <c r="SX647" s="1271"/>
      <c r="SY647" s="1271"/>
      <c r="SZ647" s="1271"/>
      <c r="TA647" s="1271"/>
      <c r="TB647" s="1271"/>
      <c r="TC647" s="1271"/>
      <c r="TD647" s="1271"/>
      <c r="TE647" s="1271"/>
      <c r="TF647" s="1271"/>
      <c r="TG647" s="1271"/>
      <c r="TH647" s="1271"/>
      <c r="TI647" s="1271"/>
      <c r="TJ647" s="1271"/>
      <c r="TK647" s="1271"/>
      <c r="TL647" s="1271"/>
      <c r="TM647" s="1271"/>
      <c r="TN647" s="1271"/>
      <c r="TO647" s="1271"/>
      <c r="TP647" s="1271"/>
      <c r="TQ647" s="1271"/>
      <c r="TR647" s="1271"/>
      <c r="TS647" s="1271"/>
      <c r="TT647" s="1271"/>
      <c r="TU647" s="1271"/>
      <c r="TV647" s="1271"/>
      <c r="TW647" s="1271"/>
      <c r="TX647" s="1271"/>
      <c r="TY647" s="1271"/>
      <c r="TZ647" s="1271"/>
      <c r="UA647" s="1271"/>
      <c r="UB647" s="1271"/>
      <c r="UC647" s="1271"/>
      <c r="UD647" s="1271"/>
      <c r="UE647" s="1271"/>
      <c r="UF647" s="1271"/>
      <c r="UG647" s="1272"/>
    </row>
    <row r="648" spans="1:553" s="1262" customFormat="1" ht="30.75" customHeight="1">
      <c r="A648" s="554"/>
      <c r="B648" s="554"/>
      <c r="C648" s="1520" t="s">
        <v>1126</v>
      </c>
      <c r="D648" s="1509"/>
      <c r="E648" s="1509"/>
      <c r="F648" s="1509"/>
      <c r="G648" s="1226" t="s">
        <v>196</v>
      </c>
      <c r="H648" s="598"/>
      <c r="I648" s="1300">
        <f>(42.76*100/400)*(32-(7-3))*4</f>
        <v>1197.28</v>
      </c>
      <c r="J648" s="989">
        <v>7300</v>
      </c>
      <c r="K648" s="613">
        <v>0.7</v>
      </c>
      <c r="L648" s="1148">
        <f>I648*J648*K648</f>
        <v>6118100.7999999998</v>
      </c>
      <c r="M648" s="554"/>
      <c r="N648" s="554"/>
      <c r="O648" s="554"/>
      <c r="P648" s="554"/>
      <c r="Q648" s="812"/>
      <c r="R648" s="1452"/>
      <c r="S648" s="308"/>
      <c r="T648" s="308"/>
      <c r="U648" s="308"/>
      <c r="V648" s="308"/>
      <c r="W648" s="308"/>
      <c r="X648" s="308"/>
      <c r="Y648" s="308"/>
      <c r="Z648" s="604"/>
      <c r="AA648" s="308"/>
      <c r="AB648" s="308"/>
      <c r="AC648" s="449"/>
      <c r="AD648" s="449"/>
      <c r="AE648" s="449"/>
      <c r="AF648" s="449"/>
      <c r="AG648" s="449"/>
      <c r="AH648" s="449"/>
      <c r="AI648" s="449"/>
      <c r="AJ648" s="449"/>
      <c r="AK648" s="452"/>
      <c r="AL648" s="1269"/>
      <c r="AM648" s="1270"/>
      <c r="AN648" s="1270"/>
      <c r="AO648" s="1270"/>
      <c r="AP648" s="1270"/>
      <c r="AQ648" s="1270"/>
      <c r="AR648" s="1270"/>
      <c r="AS648" s="1260"/>
      <c r="AT648" s="1260"/>
      <c r="AU648" s="1260"/>
      <c r="AV648" s="1260"/>
      <c r="AW648" s="1260"/>
      <c r="AX648" s="1260"/>
      <c r="AY648" s="1260"/>
      <c r="AZ648" s="1260"/>
      <c r="BA648" s="1260"/>
      <c r="BB648" s="1260"/>
      <c r="BC648" s="1260"/>
      <c r="BD648" s="1260"/>
      <c r="BE648" s="1260"/>
      <c r="BF648" s="1260"/>
      <c r="BG648" s="1260"/>
      <c r="BH648" s="1260"/>
      <c r="BI648" s="1260"/>
      <c r="BJ648" s="1260"/>
      <c r="BK648" s="1260"/>
      <c r="BL648" s="1260"/>
      <c r="BM648" s="1260"/>
      <c r="BN648" s="1260"/>
      <c r="BO648" s="1260"/>
      <c r="BP648" s="1271"/>
      <c r="BQ648" s="1271"/>
      <c r="BR648" s="1271"/>
      <c r="BS648" s="1271"/>
      <c r="BT648" s="1271"/>
      <c r="BU648" s="1271"/>
      <c r="BV648" s="1271"/>
      <c r="BW648" s="1271"/>
      <c r="BX648" s="1271"/>
      <c r="BY648" s="1271"/>
      <c r="BZ648" s="1271"/>
      <c r="CA648" s="1271"/>
      <c r="CB648" s="1271"/>
      <c r="CC648" s="1271"/>
      <c r="CD648" s="1271"/>
      <c r="CE648" s="1271"/>
      <c r="CF648" s="1271"/>
      <c r="CG648" s="1271"/>
      <c r="CH648" s="1271"/>
      <c r="CI648" s="1271"/>
      <c r="CJ648" s="1271"/>
      <c r="CK648" s="1271"/>
      <c r="CL648" s="1271"/>
      <c r="CM648" s="1271"/>
      <c r="CN648" s="1271"/>
      <c r="CO648" s="1271"/>
      <c r="CP648" s="1271"/>
      <c r="CQ648" s="1271"/>
      <c r="CR648" s="1271"/>
      <c r="CS648" s="1271"/>
      <c r="CT648" s="1271"/>
      <c r="CU648" s="1271"/>
      <c r="CV648" s="1271"/>
      <c r="CW648" s="1271"/>
      <c r="CX648" s="1271"/>
      <c r="CY648" s="1271"/>
      <c r="CZ648" s="1271"/>
      <c r="DA648" s="1271"/>
      <c r="DB648" s="1271"/>
      <c r="DC648" s="1271"/>
      <c r="DD648" s="1271"/>
      <c r="DE648" s="1271"/>
      <c r="DF648" s="1271"/>
      <c r="DG648" s="1271"/>
      <c r="DH648" s="1271"/>
      <c r="DI648" s="1271"/>
      <c r="DJ648" s="1271"/>
      <c r="DK648" s="1271"/>
      <c r="DL648" s="1271"/>
      <c r="DM648" s="1271"/>
      <c r="DN648" s="1271"/>
      <c r="DO648" s="1271"/>
      <c r="DP648" s="1271"/>
      <c r="DQ648" s="1271"/>
      <c r="DR648" s="1271"/>
      <c r="DS648" s="1271"/>
      <c r="DT648" s="1271"/>
      <c r="DU648" s="1271"/>
      <c r="DV648" s="1271"/>
      <c r="DW648" s="1271"/>
      <c r="DX648" s="1271"/>
      <c r="DY648" s="1271"/>
      <c r="DZ648" s="1271"/>
      <c r="EA648" s="1271"/>
      <c r="EB648" s="1271"/>
      <c r="EC648" s="1271"/>
      <c r="ED648" s="1271"/>
      <c r="EE648" s="1271"/>
      <c r="EF648" s="1271"/>
      <c r="EG648" s="1271"/>
      <c r="EH648" s="1271"/>
      <c r="EI648" s="1271"/>
      <c r="EJ648" s="1271"/>
      <c r="EK648" s="1271"/>
      <c r="EL648" s="1271"/>
      <c r="EM648" s="1271"/>
      <c r="EN648" s="1271"/>
      <c r="EO648" s="1271"/>
      <c r="EP648" s="1271"/>
      <c r="EQ648" s="1271"/>
      <c r="ER648" s="1271"/>
      <c r="ES648" s="1271"/>
      <c r="ET648" s="1271"/>
      <c r="EU648" s="1271"/>
      <c r="EV648" s="1271"/>
      <c r="EW648" s="1271"/>
      <c r="EX648" s="1271"/>
      <c r="EY648" s="1271"/>
      <c r="EZ648" s="1271"/>
      <c r="FA648" s="1271"/>
      <c r="FB648" s="1271"/>
      <c r="FC648" s="1271"/>
      <c r="FD648" s="1271"/>
      <c r="FE648" s="1271"/>
      <c r="FF648" s="1271"/>
      <c r="FG648" s="1271"/>
      <c r="FH648" s="1271"/>
      <c r="FI648" s="1271"/>
      <c r="FJ648" s="1271"/>
      <c r="FK648" s="1271"/>
      <c r="FL648" s="1271"/>
      <c r="FM648" s="1271"/>
      <c r="FN648" s="1271"/>
      <c r="FO648" s="1271"/>
      <c r="FP648" s="1271"/>
      <c r="FQ648" s="1271"/>
      <c r="FR648" s="1271"/>
      <c r="FS648" s="1271"/>
      <c r="FT648" s="1271"/>
      <c r="FU648" s="1271"/>
      <c r="FV648" s="1271"/>
      <c r="FW648" s="1271"/>
      <c r="FX648" s="1271"/>
      <c r="FY648" s="1271"/>
      <c r="FZ648" s="1271"/>
      <c r="GA648" s="1271"/>
      <c r="GB648" s="1271"/>
      <c r="GC648" s="1271"/>
      <c r="GD648" s="1271"/>
      <c r="GE648" s="1271"/>
      <c r="GF648" s="1271"/>
      <c r="GG648" s="1271"/>
      <c r="GH648" s="1271"/>
      <c r="GI648" s="1271"/>
      <c r="GJ648" s="1271"/>
      <c r="GK648" s="1271"/>
      <c r="GL648" s="1271"/>
      <c r="GM648" s="1271"/>
      <c r="GN648" s="1271"/>
      <c r="GO648" s="1271"/>
      <c r="GP648" s="1271"/>
      <c r="GQ648" s="1271"/>
      <c r="GR648" s="1271"/>
      <c r="GS648" s="1271"/>
      <c r="GT648" s="1271"/>
      <c r="GU648" s="1271"/>
      <c r="GV648" s="1271"/>
      <c r="GW648" s="1271"/>
      <c r="GX648" s="1271"/>
      <c r="GY648" s="1271"/>
      <c r="GZ648" s="1271"/>
      <c r="HA648" s="1271"/>
      <c r="HB648" s="1271"/>
      <c r="HC648" s="1271"/>
      <c r="HD648" s="1271"/>
      <c r="HE648" s="1271"/>
      <c r="HF648" s="1271"/>
      <c r="HG648" s="1271"/>
      <c r="HH648" s="1271"/>
      <c r="HI648" s="1271"/>
      <c r="HJ648" s="1271"/>
      <c r="HK648" s="1271"/>
      <c r="HL648" s="1271"/>
      <c r="HM648" s="1271"/>
      <c r="HN648" s="1271"/>
      <c r="HO648" s="1271"/>
      <c r="HP648" s="1271"/>
      <c r="HQ648" s="1271"/>
      <c r="HR648" s="1271"/>
      <c r="HS648" s="1271"/>
      <c r="HT648" s="1271"/>
      <c r="HU648" s="1271"/>
      <c r="HV648" s="1271"/>
      <c r="HW648" s="1271"/>
      <c r="HX648" s="1271"/>
      <c r="HY648" s="1271"/>
      <c r="HZ648" s="1271"/>
      <c r="IA648" s="1271"/>
      <c r="IB648" s="1271"/>
      <c r="IC648" s="1271"/>
      <c r="ID648" s="1271"/>
      <c r="IE648" s="1271"/>
      <c r="IF648" s="1271"/>
      <c r="IG648" s="1271"/>
      <c r="IH648" s="1271"/>
      <c r="II648" s="1271"/>
      <c r="IJ648" s="1271"/>
      <c r="IK648" s="1271"/>
      <c r="IL648" s="1271"/>
      <c r="IM648" s="1271"/>
      <c r="IN648" s="1271"/>
      <c r="IO648" s="1271"/>
      <c r="IP648" s="1271"/>
      <c r="IQ648" s="1271"/>
      <c r="IR648" s="1271"/>
      <c r="IS648" s="1271"/>
      <c r="IT648" s="1271"/>
      <c r="IU648" s="1271"/>
      <c r="IV648" s="1271"/>
      <c r="IW648" s="1271"/>
      <c r="IX648" s="1271"/>
      <c r="IY648" s="1271"/>
      <c r="IZ648" s="1271"/>
      <c r="JA648" s="1271"/>
      <c r="JB648" s="1271"/>
      <c r="JC648" s="1271"/>
      <c r="JD648" s="1271"/>
      <c r="JE648" s="1271"/>
      <c r="JF648" s="1271"/>
      <c r="JG648" s="1271"/>
      <c r="JH648" s="1271"/>
      <c r="JI648" s="1271"/>
      <c r="JJ648" s="1271"/>
      <c r="JK648" s="1271"/>
      <c r="JL648" s="1271"/>
      <c r="JM648" s="1271"/>
      <c r="JN648" s="1271"/>
      <c r="JO648" s="1271"/>
      <c r="JP648" s="1271"/>
      <c r="JQ648" s="1271"/>
      <c r="JR648" s="1271"/>
      <c r="JS648" s="1271"/>
      <c r="JT648" s="1271"/>
      <c r="JU648" s="1271"/>
      <c r="JV648" s="1271"/>
      <c r="JW648" s="1271"/>
      <c r="JX648" s="1271"/>
      <c r="JY648" s="1271"/>
      <c r="JZ648" s="1271"/>
      <c r="KA648" s="1271"/>
      <c r="KB648" s="1271"/>
      <c r="KC648" s="1271"/>
      <c r="KD648" s="1271"/>
      <c r="KE648" s="1271"/>
      <c r="KF648" s="1271"/>
      <c r="KG648" s="1271"/>
      <c r="KH648" s="1271"/>
      <c r="KI648" s="1271"/>
      <c r="KJ648" s="1271"/>
      <c r="KK648" s="1271"/>
      <c r="KL648" s="1271"/>
      <c r="KM648" s="1271"/>
      <c r="KN648" s="1271"/>
      <c r="KO648" s="1271"/>
      <c r="KP648" s="1271"/>
      <c r="KQ648" s="1271"/>
      <c r="KR648" s="1271"/>
      <c r="KS648" s="1271"/>
      <c r="KT648" s="1271"/>
      <c r="KU648" s="1271"/>
      <c r="KV648" s="1271"/>
      <c r="KW648" s="1271"/>
      <c r="KX648" s="1271"/>
      <c r="KY648" s="1271"/>
      <c r="KZ648" s="1271"/>
      <c r="LA648" s="1271"/>
      <c r="LB648" s="1271"/>
      <c r="LC648" s="1271"/>
      <c r="LD648" s="1271"/>
      <c r="LE648" s="1271"/>
      <c r="LF648" s="1271"/>
      <c r="LG648" s="1271"/>
      <c r="LH648" s="1271"/>
      <c r="LI648" s="1271"/>
      <c r="LJ648" s="1271"/>
      <c r="LK648" s="1271"/>
      <c r="LL648" s="1271"/>
      <c r="LM648" s="1271"/>
      <c r="LN648" s="1271"/>
      <c r="LO648" s="1271"/>
      <c r="LP648" s="1271"/>
      <c r="LQ648" s="1271"/>
      <c r="LR648" s="1271"/>
      <c r="LS648" s="1271"/>
      <c r="LT648" s="1271"/>
      <c r="LU648" s="1271"/>
      <c r="LV648" s="1271"/>
      <c r="LW648" s="1271"/>
      <c r="LX648" s="1271"/>
      <c r="LY648" s="1271"/>
      <c r="LZ648" s="1271"/>
      <c r="MA648" s="1271"/>
      <c r="MB648" s="1271"/>
      <c r="MC648" s="1271"/>
      <c r="MD648" s="1271"/>
      <c r="ME648" s="1271"/>
      <c r="MF648" s="1271"/>
      <c r="MG648" s="1271"/>
      <c r="MH648" s="1271"/>
      <c r="MI648" s="1271"/>
      <c r="MJ648" s="1271"/>
      <c r="MK648" s="1271"/>
      <c r="ML648" s="1271"/>
      <c r="MM648" s="1271"/>
      <c r="MN648" s="1271"/>
      <c r="MO648" s="1271"/>
      <c r="MP648" s="1271"/>
      <c r="MQ648" s="1271"/>
      <c r="MR648" s="1271"/>
      <c r="MS648" s="1271"/>
      <c r="MT648" s="1271"/>
      <c r="MU648" s="1271"/>
      <c r="MV648" s="1271"/>
      <c r="MW648" s="1271"/>
      <c r="MX648" s="1271"/>
      <c r="MY648" s="1271"/>
      <c r="MZ648" s="1271"/>
      <c r="NA648" s="1271"/>
      <c r="NB648" s="1271"/>
      <c r="NC648" s="1271"/>
      <c r="ND648" s="1271"/>
      <c r="NE648" s="1271"/>
      <c r="NF648" s="1271"/>
      <c r="NG648" s="1271"/>
      <c r="NH648" s="1271"/>
      <c r="NI648" s="1271"/>
      <c r="NJ648" s="1271"/>
      <c r="NK648" s="1271"/>
      <c r="NL648" s="1271"/>
      <c r="NM648" s="1271"/>
      <c r="NN648" s="1271"/>
      <c r="NO648" s="1271"/>
      <c r="NP648" s="1271"/>
      <c r="NQ648" s="1271"/>
      <c r="NR648" s="1271"/>
      <c r="NS648" s="1271"/>
      <c r="NT648" s="1271"/>
      <c r="NU648" s="1271"/>
      <c r="NV648" s="1271"/>
      <c r="NW648" s="1271"/>
      <c r="NX648" s="1271"/>
      <c r="NY648" s="1271"/>
      <c r="NZ648" s="1271"/>
      <c r="OA648" s="1271"/>
      <c r="OB648" s="1271"/>
      <c r="OC648" s="1271"/>
      <c r="OD648" s="1271"/>
      <c r="OE648" s="1271"/>
      <c r="OF648" s="1271"/>
      <c r="OG648" s="1271"/>
      <c r="OH648" s="1271"/>
      <c r="OI648" s="1271"/>
      <c r="OJ648" s="1271"/>
      <c r="OK648" s="1271"/>
      <c r="OL648" s="1271"/>
      <c r="OM648" s="1271"/>
      <c r="ON648" s="1271"/>
      <c r="OO648" s="1271"/>
      <c r="OP648" s="1271"/>
      <c r="OQ648" s="1271"/>
      <c r="OR648" s="1271"/>
      <c r="OS648" s="1271"/>
      <c r="OT648" s="1271"/>
      <c r="OU648" s="1271"/>
      <c r="OV648" s="1271"/>
      <c r="OW648" s="1271"/>
      <c r="OX648" s="1271"/>
      <c r="OY648" s="1271"/>
      <c r="OZ648" s="1271"/>
      <c r="PA648" s="1271"/>
      <c r="PB648" s="1271"/>
      <c r="PC648" s="1271"/>
      <c r="PD648" s="1271"/>
      <c r="PE648" s="1271"/>
      <c r="PF648" s="1271"/>
      <c r="PG648" s="1271"/>
      <c r="PH648" s="1271"/>
      <c r="PI648" s="1271"/>
      <c r="PJ648" s="1271"/>
      <c r="PK648" s="1271"/>
      <c r="PL648" s="1271"/>
      <c r="PM648" s="1271"/>
      <c r="PN648" s="1271"/>
      <c r="PO648" s="1271"/>
      <c r="PP648" s="1271"/>
      <c r="PQ648" s="1271"/>
      <c r="PR648" s="1271"/>
      <c r="PS648" s="1271"/>
      <c r="PT648" s="1271"/>
      <c r="PU648" s="1271"/>
      <c r="PV648" s="1271"/>
      <c r="PW648" s="1271"/>
      <c r="PX648" s="1271"/>
      <c r="PY648" s="1271"/>
      <c r="PZ648" s="1271"/>
      <c r="QA648" s="1271"/>
      <c r="QB648" s="1271"/>
      <c r="QC648" s="1271"/>
      <c r="QD648" s="1271"/>
      <c r="QE648" s="1271"/>
      <c r="QF648" s="1271"/>
      <c r="QG648" s="1271"/>
      <c r="QH648" s="1271"/>
      <c r="QI648" s="1271"/>
      <c r="QJ648" s="1271"/>
      <c r="QK648" s="1271"/>
      <c r="QL648" s="1271"/>
      <c r="QM648" s="1271"/>
      <c r="QN648" s="1271"/>
      <c r="QO648" s="1271"/>
      <c r="QP648" s="1271"/>
      <c r="QQ648" s="1271"/>
      <c r="QR648" s="1271"/>
      <c r="QS648" s="1271"/>
      <c r="QT648" s="1271"/>
      <c r="QU648" s="1271"/>
      <c r="QV648" s="1271"/>
      <c r="QW648" s="1271"/>
      <c r="QX648" s="1271"/>
      <c r="QY648" s="1271"/>
      <c r="QZ648" s="1271"/>
      <c r="RA648" s="1271"/>
      <c r="RB648" s="1271"/>
      <c r="RC648" s="1271"/>
      <c r="RD648" s="1271"/>
      <c r="RE648" s="1271"/>
      <c r="RF648" s="1271"/>
      <c r="RG648" s="1271"/>
      <c r="RH648" s="1271"/>
      <c r="RI648" s="1271"/>
      <c r="RJ648" s="1271"/>
      <c r="RK648" s="1271"/>
      <c r="RL648" s="1271"/>
      <c r="RM648" s="1271"/>
      <c r="RN648" s="1271"/>
      <c r="RO648" s="1271"/>
      <c r="RP648" s="1271"/>
      <c r="RQ648" s="1271"/>
      <c r="RR648" s="1271"/>
      <c r="RS648" s="1271"/>
      <c r="RT648" s="1271"/>
      <c r="RU648" s="1271"/>
      <c r="RV648" s="1271"/>
      <c r="RW648" s="1271"/>
      <c r="RX648" s="1271"/>
      <c r="RY648" s="1271"/>
      <c r="RZ648" s="1271"/>
      <c r="SA648" s="1271"/>
      <c r="SB648" s="1271"/>
      <c r="SC648" s="1271"/>
      <c r="SD648" s="1271"/>
      <c r="SE648" s="1271"/>
      <c r="SF648" s="1271"/>
      <c r="SG648" s="1271"/>
      <c r="SH648" s="1271"/>
      <c r="SI648" s="1271"/>
      <c r="SJ648" s="1271"/>
      <c r="SK648" s="1271"/>
      <c r="SL648" s="1271"/>
      <c r="SM648" s="1271"/>
      <c r="SN648" s="1271"/>
      <c r="SO648" s="1271"/>
      <c r="SP648" s="1271"/>
      <c r="SQ648" s="1271"/>
      <c r="SR648" s="1271"/>
      <c r="SS648" s="1271"/>
      <c r="ST648" s="1271"/>
      <c r="SU648" s="1271"/>
      <c r="SV648" s="1271"/>
      <c r="SW648" s="1271"/>
      <c r="SX648" s="1271"/>
      <c r="SY648" s="1271"/>
      <c r="SZ648" s="1271"/>
      <c r="TA648" s="1271"/>
      <c r="TB648" s="1271"/>
      <c r="TC648" s="1271"/>
      <c r="TD648" s="1271"/>
      <c r="TE648" s="1271"/>
      <c r="TF648" s="1271"/>
      <c r="TG648" s="1271"/>
      <c r="TH648" s="1271"/>
      <c r="TI648" s="1271"/>
      <c r="TJ648" s="1271"/>
      <c r="TK648" s="1271"/>
      <c r="TL648" s="1271"/>
      <c r="TM648" s="1271"/>
      <c r="TN648" s="1271"/>
      <c r="TO648" s="1271"/>
      <c r="TP648" s="1271"/>
      <c r="TQ648" s="1271"/>
      <c r="TR648" s="1271"/>
      <c r="TS648" s="1271"/>
      <c r="TT648" s="1271"/>
      <c r="TU648" s="1271"/>
      <c r="TV648" s="1271"/>
      <c r="TW648" s="1271"/>
      <c r="TX648" s="1271"/>
      <c r="TY648" s="1271"/>
      <c r="TZ648" s="1271"/>
      <c r="UA648" s="1271"/>
      <c r="UB648" s="1271"/>
      <c r="UC648" s="1271"/>
      <c r="UD648" s="1271"/>
      <c r="UE648" s="1271"/>
      <c r="UF648" s="1271"/>
      <c r="UG648" s="1272"/>
    </row>
    <row r="649" spans="1:553" s="1262" customFormat="1" ht="30.75" customHeight="1">
      <c r="A649" s="1226"/>
      <c r="B649" s="1226"/>
      <c r="C649" s="1519" t="s">
        <v>460</v>
      </c>
      <c r="D649" s="1452"/>
      <c r="E649" s="1452"/>
      <c r="F649" s="1464"/>
      <c r="G649" s="1226" t="s">
        <v>196</v>
      </c>
      <c r="H649" s="600"/>
      <c r="I649" s="1288">
        <f>(157.21*100/1100)*(12-(4-2))*2</f>
        <v>285.83636363636361</v>
      </c>
      <c r="J649" s="1243">
        <v>15400</v>
      </c>
      <c r="K649" s="1286">
        <v>0.7</v>
      </c>
      <c r="L649" s="679">
        <f>I649*J649*K649</f>
        <v>3081316</v>
      </c>
      <c r="M649" s="1226"/>
      <c r="N649" s="1226"/>
      <c r="O649" s="1226"/>
      <c r="P649" s="1226"/>
      <c r="Q649" s="812"/>
      <c r="R649" s="1452"/>
      <c r="S649" s="308"/>
      <c r="T649" s="308"/>
      <c r="U649" s="308"/>
      <c r="V649" s="308"/>
      <c r="W649" s="308"/>
      <c r="X649" s="308"/>
      <c r="Y649" s="308"/>
      <c r="Z649" s="604"/>
      <c r="AA649" s="308"/>
      <c r="AB649" s="308"/>
      <c r="AC649" s="449"/>
      <c r="AD649" s="449"/>
      <c r="AE649" s="449"/>
      <c r="AF649" s="449"/>
      <c r="AG649" s="449"/>
      <c r="AH649" s="449"/>
      <c r="AI649" s="449"/>
      <c r="AJ649" s="449"/>
      <c r="AK649" s="452"/>
      <c r="AL649" s="1269"/>
      <c r="AM649" s="1270"/>
      <c r="AN649" s="1270"/>
      <c r="AO649" s="1270"/>
      <c r="AP649" s="1270"/>
      <c r="AQ649" s="1270"/>
      <c r="AR649" s="1270"/>
      <c r="AS649" s="1260"/>
      <c r="AT649" s="1260"/>
      <c r="AU649" s="1260"/>
      <c r="AV649" s="1260"/>
      <c r="AW649" s="1260"/>
      <c r="AX649" s="1260"/>
      <c r="AY649" s="1260"/>
      <c r="AZ649" s="1260"/>
      <c r="BA649" s="1260"/>
      <c r="BB649" s="1260"/>
      <c r="BC649" s="1260"/>
      <c r="BD649" s="1260"/>
      <c r="BE649" s="1260"/>
      <c r="BF649" s="1260"/>
      <c r="BG649" s="1260"/>
      <c r="BH649" s="1260"/>
      <c r="BI649" s="1260"/>
      <c r="BJ649" s="1260"/>
      <c r="BK649" s="1260"/>
      <c r="BL649" s="1260"/>
      <c r="BM649" s="1260"/>
      <c r="BN649" s="1260"/>
      <c r="BO649" s="1260"/>
      <c r="BP649" s="1271"/>
      <c r="BQ649" s="1271"/>
      <c r="BR649" s="1271"/>
      <c r="BS649" s="1271"/>
      <c r="BT649" s="1271"/>
      <c r="BU649" s="1271"/>
      <c r="BV649" s="1271"/>
      <c r="BW649" s="1271"/>
      <c r="BX649" s="1271"/>
      <c r="BY649" s="1271"/>
      <c r="BZ649" s="1271"/>
      <c r="CA649" s="1271"/>
      <c r="CB649" s="1271"/>
      <c r="CC649" s="1271"/>
      <c r="CD649" s="1271"/>
      <c r="CE649" s="1271"/>
      <c r="CF649" s="1271"/>
      <c r="CG649" s="1271"/>
      <c r="CH649" s="1271"/>
      <c r="CI649" s="1271"/>
      <c r="CJ649" s="1271"/>
      <c r="CK649" s="1271"/>
      <c r="CL649" s="1271"/>
      <c r="CM649" s="1271"/>
      <c r="CN649" s="1271"/>
      <c r="CO649" s="1271"/>
      <c r="CP649" s="1271"/>
      <c r="CQ649" s="1271"/>
      <c r="CR649" s="1271"/>
      <c r="CS649" s="1271"/>
      <c r="CT649" s="1271"/>
      <c r="CU649" s="1271"/>
      <c r="CV649" s="1271"/>
      <c r="CW649" s="1271"/>
      <c r="CX649" s="1271"/>
      <c r="CY649" s="1271"/>
      <c r="CZ649" s="1271"/>
      <c r="DA649" s="1271"/>
      <c r="DB649" s="1271"/>
      <c r="DC649" s="1271"/>
      <c r="DD649" s="1271"/>
      <c r="DE649" s="1271"/>
      <c r="DF649" s="1271"/>
      <c r="DG649" s="1271"/>
      <c r="DH649" s="1271"/>
      <c r="DI649" s="1271"/>
      <c r="DJ649" s="1271"/>
      <c r="DK649" s="1271"/>
      <c r="DL649" s="1271"/>
      <c r="DM649" s="1271"/>
      <c r="DN649" s="1271"/>
      <c r="DO649" s="1271"/>
      <c r="DP649" s="1271"/>
      <c r="DQ649" s="1271"/>
      <c r="DR649" s="1271"/>
      <c r="DS649" s="1271"/>
      <c r="DT649" s="1271"/>
      <c r="DU649" s="1271"/>
      <c r="DV649" s="1271"/>
      <c r="DW649" s="1271"/>
      <c r="DX649" s="1271"/>
      <c r="DY649" s="1271"/>
      <c r="DZ649" s="1271"/>
      <c r="EA649" s="1271"/>
      <c r="EB649" s="1271"/>
      <c r="EC649" s="1271"/>
      <c r="ED649" s="1271"/>
      <c r="EE649" s="1271"/>
      <c r="EF649" s="1271"/>
      <c r="EG649" s="1271"/>
      <c r="EH649" s="1271"/>
      <c r="EI649" s="1271"/>
      <c r="EJ649" s="1271"/>
      <c r="EK649" s="1271"/>
      <c r="EL649" s="1271"/>
      <c r="EM649" s="1271"/>
      <c r="EN649" s="1271"/>
      <c r="EO649" s="1271"/>
      <c r="EP649" s="1271"/>
      <c r="EQ649" s="1271"/>
      <c r="ER649" s="1271"/>
      <c r="ES649" s="1271"/>
      <c r="ET649" s="1271"/>
      <c r="EU649" s="1271"/>
      <c r="EV649" s="1271"/>
      <c r="EW649" s="1271"/>
      <c r="EX649" s="1271"/>
      <c r="EY649" s="1271"/>
      <c r="EZ649" s="1271"/>
      <c r="FA649" s="1271"/>
      <c r="FB649" s="1271"/>
      <c r="FC649" s="1271"/>
      <c r="FD649" s="1271"/>
      <c r="FE649" s="1271"/>
      <c r="FF649" s="1271"/>
      <c r="FG649" s="1271"/>
      <c r="FH649" s="1271"/>
      <c r="FI649" s="1271"/>
      <c r="FJ649" s="1271"/>
      <c r="FK649" s="1271"/>
      <c r="FL649" s="1271"/>
      <c r="FM649" s="1271"/>
      <c r="FN649" s="1271"/>
      <c r="FO649" s="1271"/>
      <c r="FP649" s="1271"/>
      <c r="FQ649" s="1271"/>
      <c r="FR649" s="1271"/>
      <c r="FS649" s="1271"/>
      <c r="FT649" s="1271"/>
      <c r="FU649" s="1271"/>
      <c r="FV649" s="1271"/>
      <c r="FW649" s="1271"/>
      <c r="FX649" s="1271"/>
      <c r="FY649" s="1271"/>
      <c r="FZ649" s="1271"/>
      <c r="GA649" s="1271"/>
      <c r="GB649" s="1271"/>
      <c r="GC649" s="1271"/>
      <c r="GD649" s="1271"/>
      <c r="GE649" s="1271"/>
      <c r="GF649" s="1271"/>
      <c r="GG649" s="1271"/>
      <c r="GH649" s="1271"/>
      <c r="GI649" s="1271"/>
      <c r="GJ649" s="1271"/>
      <c r="GK649" s="1271"/>
      <c r="GL649" s="1271"/>
      <c r="GM649" s="1271"/>
      <c r="GN649" s="1271"/>
      <c r="GO649" s="1271"/>
      <c r="GP649" s="1271"/>
      <c r="GQ649" s="1271"/>
      <c r="GR649" s="1271"/>
      <c r="GS649" s="1271"/>
      <c r="GT649" s="1271"/>
      <c r="GU649" s="1271"/>
      <c r="GV649" s="1271"/>
      <c r="GW649" s="1271"/>
      <c r="GX649" s="1271"/>
      <c r="GY649" s="1271"/>
      <c r="GZ649" s="1271"/>
      <c r="HA649" s="1271"/>
      <c r="HB649" s="1271"/>
      <c r="HC649" s="1271"/>
      <c r="HD649" s="1271"/>
      <c r="HE649" s="1271"/>
      <c r="HF649" s="1271"/>
      <c r="HG649" s="1271"/>
      <c r="HH649" s="1271"/>
      <c r="HI649" s="1271"/>
      <c r="HJ649" s="1271"/>
      <c r="HK649" s="1271"/>
      <c r="HL649" s="1271"/>
      <c r="HM649" s="1271"/>
      <c r="HN649" s="1271"/>
      <c r="HO649" s="1271"/>
      <c r="HP649" s="1271"/>
      <c r="HQ649" s="1271"/>
      <c r="HR649" s="1271"/>
      <c r="HS649" s="1271"/>
      <c r="HT649" s="1271"/>
      <c r="HU649" s="1271"/>
      <c r="HV649" s="1271"/>
      <c r="HW649" s="1271"/>
      <c r="HX649" s="1271"/>
      <c r="HY649" s="1271"/>
      <c r="HZ649" s="1271"/>
      <c r="IA649" s="1271"/>
      <c r="IB649" s="1271"/>
      <c r="IC649" s="1271"/>
      <c r="ID649" s="1271"/>
      <c r="IE649" s="1271"/>
      <c r="IF649" s="1271"/>
      <c r="IG649" s="1271"/>
      <c r="IH649" s="1271"/>
      <c r="II649" s="1271"/>
      <c r="IJ649" s="1271"/>
      <c r="IK649" s="1271"/>
      <c r="IL649" s="1271"/>
      <c r="IM649" s="1271"/>
      <c r="IN649" s="1271"/>
      <c r="IO649" s="1271"/>
      <c r="IP649" s="1271"/>
      <c r="IQ649" s="1271"/>
      <c r="IR649" s="1271"/>
      <c r="IS649" s="1271"/>
      <c r="IT649" s="1271"/>
      <c r="IU649" s="1271"/>
      <c r="IV649" s="1271"/>
      <c r="IW649" s="1271"/>
      <c r="IX649" s="1271"/>
      <c r="IY649" s="1271"/>
      <c r="IZ649" s="1271"/>
      <c r="JA649" s="1271"/>
      <c r="JB649" s="1271"/>
      <c r="JC649" s="1271"/>
      <c r="JD649" s="1271"/>
      <c r="JE649" s="1271"/>
      <c r="JF649" s="1271"/>
      <c r="JG649" s="1271"/>
      <c r="JH649" s="1271"/>
      <c r="JI649" s="1271"/>
      <c r="JJ649" s="1271"/>
      <c r="JK649" s="1271"/>
      <c r="JL649" s="1271"/>
      <c r="JM649" s="1271"/>
      <c r="JN649" s="1271"/>
      <c r="JO649" s="1271"/>
      <c r="JP649" s="1271"/>
      <c r="JQ649" s="1271"/>
      <c r="JR649" s="1271"/>
      <c r="JS649" s="1271"/>
      <c r="JT649" s="1271"/>
      <c r="JU649" s="1271"/>
      <c r="JV649" s="1271"/>
      <c r="JW649" s="1271"/>
      <c r="JX649" s="1271"/>
      <c r="JY649" s="1271"/>
      <c r="JZ649" s="1271"/>
      <c r="KA649" s="1271"/>
      <c r="KB649" s="1271"/>
      <c r="KC649" s="1271"/>
      <c r="KD649" s="1271"/>
      <c r="KE649" s="1271"/>
      <c r="KF649" s="1271"/>
      <c r="KG649" s="1271"/>
      <c r="KH649" s="1271"/>
      <c r="KI649" s="1271"/>
      <c r="KJ649" s="1271"/>
      <c r="KK649" s="1271"/>
      <c r="KL649" s="1271"/>
      <c r="KM649" s="1271"/>
      <c r="KN649" s="1271"/>
      <c r="KO649" s="1271"/>
      <c r="KP649" s="1271"/>
      <c r="KQ649" s="1271"/>
      <c r="KR649" s="1271"/>
      <c r="KS649" s="1271"/>
      <c r="KT649" s="1271"/>
      <c r="KU649" s="1271"/>
      <c r="KV649" s="1271"/>
      <c r="KW649" s="1271"/>
      <c r="KX649" s="1271"/>
      <c r="KY649" s="1271"/>
      <c r="KZ649" s="1271"/>
      <c r="LA649" s="1271"/>
      <c r="LB649" s="1271"/>
      <c r="LC649" s="1271"/>
      <c r="LD649" s="1271"/>
      <c r="LE649" s="1271"/>
      <c r="LF649" s="1271"/>
      <c r="LG649" s="1271"/>
      <c r="LH649" s="1271"/>
      <c r="LI649" s="1271"/>
      <c r="LJ649" s="1271"/>
      <c r="LK649" s="1271"/>
      <c r="LL649" s="1271"/>
      <c r="LM649" s="1271"/>
      <c r="LN649" s="1271"/>
      <c r="LO649" s="1271"/>
      <c r="LP649" s="1271"/>
      <c r="LQ649" s="1271"/>
      <c r="LR649" s="1271"/>
      <c r="LS649" s="1271"/>
      <c r="LT649" s="1271"/>
      <c r="LU649" s="1271"/>
      <c r="LV649" s="1271"/>
      <c r="LW649" s="1271"/>
      <c r="LX649" s="1271"/>
      <c r="LY649" s="1271"/>
      <c r="LZ649" s="1271"/>
      <c r="MA649" s="1271"/>
      <c r="MB649" s="1271"/>
      <c r="MC649" s="1271"/>
      <c r="MD649" s="1271"/>
      <c r="ME649" s="1271"/>
      <c r="MF649" s="1271"/>
      <c r="MG649" s="1271"/>
      <c r="MH649" s="1271"/>
      <c r="MI649" s="1271"/>
      <c r="MJ649" s="1271"/>
      <c r="MK649" s="1271"/>
      <c r="ML649" s="1271"/>
      <c r="MM649" s="1271"/>
      <c r="MN649" s="1271"/>
      <c r="MO649" s="1271"/>
      <c r="MP649" s="1271"/>
      <c r="MQ649" s="1271"/>
      <c r="MR649" s="1271"/>
      <c r="MS649" s="1271"/>
      <c r="MT649" s="1271"/>
      <c r="MU649" s="1271"/>
      <c r="MV649" s="1271"/>
      <c r="MW649" s="1271"/>
      <c r="MX649" s="1271"/>
      <c r="MY649" s="1271"/>
      <c r="MZ649" s="1271"/>
      <c r="NA649" s="1271"/>
      <c r="NB649" s="1271"/>
      <c r="NC649" s="1271"/>
      <c r="ND649" s="1271"/>
      <c r="NE649" s="1271"/>
      <c r="NF649" s="1271"/>
      <c r="NG649" s="1271"/>
      <c r="NH649" s="1271"/>
      <c r="NI649" s="1271"/>
      <c r="NJ649" s="1271"/>
      <c r="NK649" s="1271"/>
      <c r="NL649" s="1271"/>
      <c r="NM649" s="1271"/>
      <c r="NN649" s="1271"/>
      <c r="NO649" s="1271"/>
      <c r="NP649" s="1271"/>
      <c r="NQ649" s="1271"/>
      <c r="NR649" s="1271"/>
      <c r="NS649" s="1271"/>
      <c r="NT649" s="1271"/>
      <c r="NU649" s="1271"/>
      <c r="NV649" s="1271"/>
      <c r="NW649" s="1271"/>
      <c r="NX649" s="1271"/>
      <c r="NY649" s="1271"/>
      <c r="NZ649" s="1271"/>
      <c r="OA649" s="1271"/>
      <c r="OB649" s="1271"/>
      <c r="OC649" s="1271"/>
      <c r="OD649" s="1271"/>
      <c r="OE649" s="1271"/>
      <c r="OF649" s="1271"/>
      <c r="OG649" s="1271"/>
      <c r="OH649" s="1271"/>
      <c r="OI649" s="1271"/>
      <c r="OJ649" s="1271"/>
      <c r="OK649" s="1271"/>
      <c r="OL649" s="1271"/>
      <c r="OM649" s="1271"/>
      <c r="ON649" s="1271"/>
      <c r="OO649" s="1271"/>
      <c r="OP649" s="1271"/>
      <c r="OQ649" s="1271"/>
      <c r="OR649" s="1271"/>
      <c r="OS649" s="1271"/>
      <c r="OT649" s="1271"/>
      <c r="OU649" s="1271"/>
      <c r="OV649" s="1271"/>
      <c r="OW649" s="1271"/>
      <c r="OX649" s="1271"/>
      <c r="OY649" s="1271"/>
      <c r="OZ649" s="1271"/>
      <c r="PA649" s="1271"/>
      <c r="PB649" s="1271"/>
      <c r="PC649" s="1271"/>
      <c r="PD649" s="1271"/>
      <c r="PE649" s="1271"/>
      <c r="PF649" s="1271"/>
      <c r="PG649" s="1271"/>
      <c r="PH649" s="1271"/>
      <c r="PI649" s="1271"/>
      <c r="PJ649" s="1271"/>
      <c r="PK649" s="1271"/>
      <c r="PL649" s="1271"/>
      <c r="PM649" s="1271"/>
      <c r="PN649" s="1271"/>
      <c r="PO649" s="1271"/>
      <c r="PP649" s="1271"/>
      <c r="PQ649" s="1271"/>
      <c r="PR649" s="1271"/>
      <c r="PS649" s="1271"/>
      <c r="PT649" s="1271"/>
      <c r="PU649" s="1271"/>
      <c r="PV649" s="1271"/>
      <c r="PW649" s="1271"/>
      <c r="PX649" s="1271"/>
      <c r="PY649" s="1271"/>
      <c r="PZ649" s="1271"/>
      <c r="QA649" s="1271"/>
      <c r="QB649" s="1271"/>
      <c r="QC649" s="1271"/>
      <c r="QD649" s="1271"/>
      <c r="QE649" s="1271"/>
      <c r="QF649" s="1271"/>
      <c r="QG649" s="1271"/>
      <c r="QH649" s="1271"/>
      <c r="QI649" s="1271"/>
      <c r="QJ649" s="1271"/>
      <c r="QK649" s="1271"/>
      <c r="QL649" s="1271"/>
      <c r="QM649" s="1271"/>
      <c r="QN649" s="1271"/>
      <c r="QO649" s="1271"/>
      <c r="QP649" s="1271"/>
      <c r="QQ649" s="1271"/>
      <c r="QR649" s="1271"/>
      <c r="QS649" s="1271"/>
      <c r="QT649" s="1271"/>
      <c r="QU649" s="1271"/>
      <c r="QV649" s="1271"/>
      <c r="QW649" s="1271"/>
      <c r="QX649" s="1271"/>
      <c r="QY649" s="1271"/>
      <c r="QZ649" s="1271"/>
      <c r="RA649" s="1271"/>
      <c r="RB649" s="1271"/>
      <c r="RC649" s="1271"/>
      <c r="RD649" s="1271"/>
      <c r="RE649" s="1271"/>
      <c r="RF649" s="1271"/>
      <c r="RG649" s="1271"/>
      <c r="RH649" s="1271"/>
      <c r="RI649" s="1271"/>
      <c r="RJ649" s="1271"/>
      <c r="RK649" s="1271"/>
      <c r="RL649" s="1271"/>
      <c r="RM649" s="1271"/>
      <c r="RN649" s="1271"/>
      <c r="RO649" s="1271"/>
      <c r="RP649" s="1271"/>
      <c r="RQ649" s="1271"/>
      <c r="RR649" s="1271"/>
      <c r="RS649" s="1271"/>
      <c r="RT649" s="1271"/>
      <c r="RU649" s="1271"/>
      <c r="RV649" s="1271"/>
      <c r="RW649" s="1271"/>
      <c r="RX649" s="1271"/>
      <c r="RY649" s="1271"/>
      <c r="RZ649" s="1271"/>
      <c r="SA649" s="1271"/>
      <c r="SB649" s="1271"/>
      <c r="SC649" s="1271"/>
      <c r="SD649" s="1271"/>
      <c r="SE649" s="1271"/>
      <c r="SF649" s="1271"/>
      <c r="SG649" s="1271"/>
      <c r="SH649" s="1271"/>
      <c r="SI649" s="1271"/>
      <c r="SJ649" s="1271"/>
      <c r="SK649" s="1271"/>
      <c r="SL649" s="1271"/>
      <c r="SM649" s="1271"/>
      <c r="SN649" s="1271"/>
      <c r="SO649" s="1271"/>
      <c r="SP649" s="1271"/>
      <c r="SQ649" s="1271"/>
      <c r="SR649" s="1271"/>
      <c r="SS649" s="1271"/>
      <c r="ST649" s="1271"/>
      <c r="SU649" s="1271"/>
      <c r="SV649" s="1271"/>
      <c r="SW649" s="1271"/>
      <c r="SX649" s="1271"/>
      <c r="SY649" s="1271"/>
      <c r="SZ649" s="1271"/>
      <c r="TA649" s="1271"/>
      <c r="TB649" s="1271"/>
      <c r="TC649" s="1271"/>
      <c r="TD649" s="1271"/>
      <c r="TE649" s="1271"/>
      <c r="TF649" s="1271"/>
      <c r="TG649" s="1271"/>
      <c r="TH649" s="1271"/>
      <c r="TI649" s="1271"/>
      <c r="TJ649" s="1271"/>
      <c r="TK649" s="1271"/>
      <c r="TL649" s="1271"/>
      <c r="TM649" s="1271"/>
      <c r="TN649" s="1271"/>
      <c r="TO649" s="1271"/>
      <c r="TP649" s="1271"/>
      <c r="TQ649" s="1271"/>
      <c r="TR649" s="1271"/>
      <c r="TS649" s="1271"/>
      <c r="TT649" s="1271"/>
      <c r="TU649" s="1271"/>
      <c r="TV649" s="1271"/>
      <c r="TW649" s="1271"/>
      <c r="TX649" s="1271"/>
      <c r="TY649" s="1271"/>
      <c r="TZ649" s="1271"/>
      <c r="UA649" s="1271"/>
      <c r="UB649" s="1271"/>
      <c r="UC649" s="1271"/>
      <c r="UD649" s="1271"/>
      <c r="UE649" s="1271"/>
      <c r="UF649" s="1271"/>
      <c r="UG649" s="1272"/>
    </row>
    <row r="650" spans="1:553" s="1262" customFormat="1" ht="30.75" customHeight="1">
      <c r="A650" s="415"/>
      <c r="B650" s="415"/>
      <c r="C650" s="1521" t="s">
        <v>461</v>
      </c>
      <c r="D650" s="1461"/>
      <c r="E650" s="1461"/>
      <c r="F650" s="1461"/>
      <c r="G650" s="1226" t="s">
        <v>193</v>
      </c>
      <c r="H650" s="603"/>
      <c r="I650" s="1016">
        <v>1</v>
      </c>
      <c r="J650" s="368">
        <v>102700</v>
      </c>
      <c r="K650" s="495">
        <v>0.7</v>
      </c>
      <c r="L650" s="1012">
        <f>I650*J650*K650</f>
        <v>71890</v>
      </c>
      <c r="M650" s="415"/>
      <c r="N650" s="415"/>
      <c r="O650" s="415"/>
      <c r="P650" s="415"/>
      <c r="Q650" s="812"/>
      <c r="R650" s="1452"/>
      <c r="S650" s="308"/>
      <c r="T650" s="308"/>
      <c r="U650" s="308"/>
      <c r="V650" s="308"/>
      <c r="W650" s="308"/>
      <c r="X650" s="308"/>
      <c r="Y650" s="308"/>
      <c r="Z650" s="604"/>
      <c r="AA650" s="308"/>
      <c r="AB650" s="308"/>
      <c r="AC650" s="449"/>
      <c r="AD650" s="449"/>
      <c r="AE650" s="449"/>
      <c r="AF650" s="449"/>
      <c r="AG650" s="449"/>
      <c r="AH650" s="449"/>
      <c r="AI650" s="449"/>
      <c r="AJ650" s="449"/>
      <c r="AK650" s="452"/>
      <c r="AL650" s="1269"/>
      <c r="AM650" s="1270"/>
      <c r="AN650" s="1270"/>
      <c r="AO650" s="1270"/>
      <c r="AP650" s="1270"/>
      <c r="AQ650" s="1270"/>
      <c r="AR650" s="1270"/>
      <c r="AS650" s="1260"/>
      <c r="AT650" s="1260"/>
      <c r="AU650" s="1260"/>
      <c r="AV650" s="1260"/>
      <c r="AW650" s="1260"/>
      <c r="AX650" s="1260"/>
      <c r="AY650" s="1260"/>
      <c r="AZ650" s="1260"/>
      <c r="BA650" s="1260"/>
      <c r="BB650" s="1260"/>
      <c r="BC650" s="1260"/>
      <c r="BD650" s="1260"/>
      <c r="BE650" s="1260"/>
      <c r="BF650" s="1260"/>
      <c r="BG650" s="1260"/>
      <c r="BH650" s="1260"/>
      <c r="BI650" s="1260"/>
      <c r="BJ650" s="1260"/>
      <c r="BK650" s="1260"/>
      <c r="BL650" s="1260"/>
      <c r="BM650" s="1260"/>
      <c r="BN650" s="1260"/>
      <c r="BO650" s="1260"/>
      <c r="BP650" s="1271"/>
      <c r="BQ650" s="1271"/>
      <c r="BR650" s="1271"/>
      <c r="BS650" s="1271"/>
      <c r="BT650" s="1271"/>
      <c r="BU650" s="1271"/>
      <c r="BV650" s="1271"/>
      <c r="BW650" s="1271"/>
      <c r="BX650" s="1271"/>
      <c r="BY650" s="1271"/>
      <c r="BZ650" s="1271"/>
      <c r="CA650" s="1271"/>
      <c r="CB650" s="1271"/>
      <c r="CC650" s="1271"/>
      <c r="CD650" s="1271"/>
      <c r="CE650" s="1271"/>
      <c r="CF650" s="1271"/>
      <c r="CG650" s="1271"/>
      <c r="CH650" s="1271"/>
      <c r="CI650" s="1271"/>
      <c r="CJ650" s="1271"/>
      <c r="CK650" s="1271"/>
      <c r="CL650" s="1271"/>
      <c r="CM650" s="1271"/>
      <c r="CN650" s="1271"/>
      <c r="CO650" s="1271"/>
      <c r="CP650" s="1271"/>
      <c r="CQ650" s="1271"/>
      <c r="CR650" s="1271"/>
      <c r="CS650" s="1271"/>
      <c r="CT650" s="1271"/>
      <c r="CU650" s="1271"/>
      <c r="CV650" s="1271"/>
      <c r="CW650" s="1271"/>
      <c r="CX650" s="1271"/>
      <c r="CY650" s="1271"/>
      <c r="CZ650" s="1271"/>
      <c r="DA650" s="1271"/>
      <c r="DB650" s="1271"/>
      <c r="DC650" s="1271"/>
      <c r="DD650" s="1271"/>
      <c r="DE650" s="1271"/>
      <c r="DF650" s="1271"/>
      <c r="DG650" s="1271"/>
      <c r="DH650" s="1271"/>
      <c r="DI650" s="1271"/>
      <c r="DJ650" s="1271"/>
      <c r="DK650" s="1271"/>
      <c r="DL650" s="1271"/>
      <c r="DM650" s="1271"/>
      <c r="DN650" s="1271"/>
      <c r="DO650" s="1271"/>
      <c r="DP650" s="1271"/>
      <c r="DQ650" s="1271"/>
      <c r="DR650" s="1271"/>
      <c r="DS650" s="1271"/>
      <c r="DT650" s="1271"/>
      <c r="DU650" s="1271"/>
      <c r="DV650" s="1271"/>
      <c r="DW650" s="1271"/>
      <c r="DX650" s="1271"/>
      <c r="DY650" s="1271"/>
      <c r="DZ650" s="1271"/>
      <c r="EA650" s="1271"/>
      <c r="EB650" s="1271"/>
      <c r="EC650" s="1271"/>
      <c r="ED650" s="1271"/>
      <c r="EE650" s="1271"/>
      <c r="EF650" s="1271"/>
      <c r="EG650" s="1271"/>
      <c r="EH650" s="1271"/>
      <c r="EI650" s="1271"/>
      <c r="EJ650" s="1271"/>
      <c r="EK650" s="1271"/>
      <c r="EL650" s="1271"/>
      <c r="EM650" s="1271"/>
      <c r="EN650" s="1271"/>
      <c r="EO650" s="1271"/>
      <c r="EP650" s="1271"/>
      <c r="EQ650" s="1271"/>
      <c r="ER650" s="1271"/>
      <c r="ES650" s="1271"/>
      <c r="ET650" s="1271"/>
      <c r="EU650" s="1271"/>
      <c r="EV650" s="1271"/>
      <c r="EW650" s="1271"/>
      <c r="EX650" s="1271"/>
      <c r="EY650" s="1271"/>
      <c r="EZ650" s="1271"/>
      <c r="FA650" s="1271"/>
      <c r="FB650" s="1271"/>
      <c r="FC650" s="1271"/>
      <c r="FD650" s="1271"/>
      <c r="FE650" s="1271"/>
      <c r="FF650" s="1271"/>
      <c r="FG650" s="1271"/>
      <c r="FH650" s="1271"/>
      <c r="FI650" s="1271"/>
      <c r="FJ650" s="1271"/>
      <c r="FK650" s="1271"/>
      <c r="FL650" s="1271"/>
      <c r="FM650" s="1271"/>
      <c r="FN650" s="1271"/>
      <c r="FO650" s="1271"/>
      <c r="FP650" s="1271"/>
      <c r="FQ650" s="1271"/>
      <c r="FR650" s="1271"/>
      <c r="FS650" s="1271"/>
      <c r="FT650" s="1271"/>
      <c r="FU650" s="1271"/>
      <c r="FV650" s="1271"/>
      <c r="FW650" s="1271"/>
      <c r="FX650" s="1271"/>
      <c r="FY650" s="1271"/>
      <c r="FZ650" s="1271"/>
      <c r="GA650" s="1271"/>
      <c r="GB650" s="1271"/>
      <c r="GC650" s="1271"/>
      <c r="GD650" s="1271"/>
      <c r="GE650" s="1271"/>
      <c r="GF650" s="1271"/>
      <c r="GG650" s="1271"/>
      <c r="GH650" s="1271"/>
      <c r="GI650" s="1271"/>
      <c r="GJ650" s="1271"/>
      <c r="GK650" s="1271"/>
      <c r="GL650" s="1271"/>
      <c r="GM650" s="1271"/>
      <c r="GN650" s="1271"/>
      <c r="GO650" s="1271"/>
      <c r="GP650" s="1271"/>
      <c r="GQ650" s="1271"/>
      <c r="GR650" s="1271"/>
      <c r="GS650" s="1271"/>
      <c r="GT650" s="1271"/>
      <c r="GU650" s="1271"/>
      <c r="GV650" s="1271"/>
      <c r="GW650" s="1271"/>
      <c r="GX650" s="1271"/>
      <c r="GY650" s="1271"/>
      <c r="GZ650" s="1271"/>
      <c r="HA650" s="1271"/>
      <c r="HB650" s="1271"/>
      <c r="HC650" s="1271"/>
      <c r="HD650" s="1271"/>
      <c r="HE650" s="1271"/>
      <c r="HF650" s="1271"/>
      <c r="HG650" s="1271"/>
      <c r="HH650" s="1271"/>
      <c r="HI650" s="1271"/>
      <c r="HJ650" s="1271"/>
      <c r="HK650" s="1271"/>
      <c r="HL650" s="1271"/>
      <c r="HM650" s="1271"/>
      <c r="HN650" s="1271"/>
      <c r="HO650" s="1271"/>
      <c r="HP650" s="1271"/>
      <c r="HQ650" s="1271"/>
      <c r="HR650" s="1271"/>
      <c r="HS650" s="1271"/>
      <c r="HT650" s="1271"/>
      <c r="HU650" s="1271"/>
      <c r="HV650" s="1271"/>
      <c r="HW650" s="1271"/>
      <c r="HX650" s="1271"/>
      <c r="HY650" s="1271"/>
      <c r="HZ650" s="1271"/>
      <c r="IA650" s="1271"/>
      <c r="IB650" s="1271"/>
      <c r="IC650" s="1271"/>
      <c r="ID650" s="1271"/>
      <c r="IE650" s="1271"/>
      <c r="IF650" s="1271"/>
      <c r="IG650" s="1271"/>
      <c r="IH650" s="1271"/>
      <c r="II650" s="1271"/>
      <c r="IJ650" s="1271"/>
      <c r="IK650" s="1271"/>
      <c r="IL650" s="1271"/>
      <c r="IM650" s="1271"/>
      <c r="IN650" s="1271"/>
      <c r="IO650" s="1271"/>
      <c r="IP650" s="1271"/>
      <c r="IQ650" s="1271"/>
      <c r="IR650" s="1271"/>
      <c r="IS650" s="1271"/>
      <c r="IT650" s="1271"/>
      <c r="IU650" s="1271"/>
      <c r="IV650" s="1271"/>
      <c r="IW650" s="1271"/>
      <c r="IX650" s="1271"/>
      <c r="IY650" s="1271"/>
      <c r="IZ650" s="1271"/>
      <c r="JA650" s="1271"/>
      <c r="JB650" s="1271"/>
      <c r="JC650" s="1271"/>
      <c r="JD650" s="1271"/>
      <c r="JE650" s="1271"/>
      <c r="JF650" s="1271"/>
      <c r="JG650" s="1271"/>
      <c r="JH650" s="1271"/>
      <c r="JI650" s="1271"/>
      <c r="JJ650" s="1271"/>
      <c r="JK650" s="1271"/>
      <c r="JL650" s="1271"/>
      <c r="JM650" s="1271"/>
      <c r="JN650" s="1271"/>
      <c r="JO650" s="1271"/>
      <c r="JP650" s="1271"/>
      <c r="JQ650" s="1271"/>
      <c r="JR650" s="1271"/>
      <c r="JS650" s="1271"/>
      <c r="JT650" s="1271"/>
      <c r="JU650" s="1271"/>
      <c r="JV650" s="1271"/>
      <c r="JW650" s="1271"/>
      <c r="JX650" s="1271"/>
      <c r="JY650" s="1271"/>
      <c r="JZ650" s="1271"/>
      <c r="KA650" s="1271"/>
      <c r="KB650" s="1271"/>
      <c r="KC650" s="1271"/>
      <c r="KD650" s="1271"/>
      <c r="KE650" s="1271"/>
      <c r="KF650" s="1271"/>
      <c r="KG650" s="1271"/>
      <c r="KH650" s="1271"/>
      <c r="KI650" s="1271"/>
      <c r="KJ650" s="1271"/>
      <c r="KK650" s="1271"/>
      <c r="KL650" s="1271"/>
      <c r="KM650" s="1271"/>
      <c r="KN650" s="1271"/>
      <c r="KO650" s="1271"/>
      <c r="KP650" s="1271"/>
      <c r="KQ650" s="1271"/>
      <c r="KR650" s="1271"/>
      <c r="KS650" s="1271"/>
      <c r="KT650" s="1271"/>
      <c r="KU650" s="1271"/>
      <c r="KV650" s="1271"/>
      <c r="KW650" s="1271"/>
      <c r="KX650" s="1271"/>
      <c r="KY650" s="1271"/>
      <c r="KZ650" s="1271"/>
      <c r="LA650" s="1271"/>
      <c r="LB650" s="1271"/>
      <c r="LC650" s="1271"/>
      <c r="LD650" s="1271"/>
      <c r="LE650" s="1271"/>
      <c r="LF650" s="1271"/>
      <c r="LG650" s="1271"/>
      <c r="LH650" s="1271"/>
      <c r="LI650" s="1271"/>
      <c r="LJ650" s="1271"/>
      <c r="LK650" s="1271"/>
      <c r="LL650" s="1271"/>
      <c r="LM650" s="1271"/>
      <c r="LN650" s="1271"/>
      <c r="LO650" s="1271"/>
      <c r="LP650" s="1271"/>
      <c r="LQ650" s="1271"/>
      <c r="LR650" s="1271"/>
      <c r="LS650" s="1271"/>
      <c r="LT650" s="1271"/>
      <c r="LU650" s="1271"/>
      <c r="LV650" s="1271"/>
      <c r="LW650" s="1271"/>
      <c r="LX650" s="1271"/>
      <c r="LY650" s="1271"/>
      <c r="LZ650" s="1271"/>
      <c r="MA650" s="1271"/>
      <c r="MB650" s="1271"/>
      <c r="MC650" s="1271"/>
      <c r="MD650" s="1271"/>
      <c r="ME650" s="1271"/>
      <c r="MF650" s="1271"/>
      <c r="MG650" s="1271"/>
      <c r="MH650" s="1271"/>
      <c r="MI650" s="1271"/>
      <c r="MJ650" s="1271"/>
      <c r="MK650" s="1271"/>
      <c r="ML650" s="1271"/>
      <c r="MM650" s="1271"/>
      <c r="MN650" s="1271"/>
      <c r="MO650" s="1271"/>
      <c r="MP650" s="1271"/>
      <c r="MQ650" s="1271"/>
      <c r="MR650" s="1271"/>
      <c r="MS650" s="1271"/>
      <c r="MT650" s="1271"/>
      <c r="MU650" s="1271"/>
      <c r="MV650" s="1271"/>
      <c r="MW650" s="1271"/>
      <c r="MX650" s="1271"/>
      <c r="MY650" s="1271"/>
      <c r="MZ650" s="1271"/>
      <c r="NA650" s="1271"/>
      <c r="NB650" s="1271"/>
      <c r="NC650" s="1271"/>
      <c r="ND650" s="1271"/>
      <c r="NE650" s="1271"/>
      <c r="NF650" s="1271"/>
      <c r="NG650" s="1271"/>
      <c r="NH650" s="1271"/>
      <c r="NI650" s="1271"/>
      <c r="NJ650" s="1271"/>
      <c r="NK650" s="1271"/>
      <c r="NL650" s="1271"/>
      <c r="NM650" s="1271"/>
      <c r="NN650" s="1271"/>
      <c r="NO650" s="1271"/>
      <c r="NP650" s="1271"/>
      <c r="NQ650" s="1271"/>
      <c r="NR650" s="1271"/>
      <c r="NS650" s="1271"/>
      <c r="NT650" s="1271"/>
      <c r="NU650" s="1271"/>
      <c r="NV650" s="1271"/>
      <c r="NW650" s="1271"/>
      <c r="NX650" s="1271"/>
      <c r="NY650" s="1271"/>
      <c r="NZ650" s="1271"/>
      <c r="OA650" s="1271"/>
      <c r="OB650" s="1271"/>
      <c r="OC650" s="1271"/>
      <c r="OD650" s="1271"/>
      <c r="OE650" s="1271"/>
      <c r="OF650" s="1271"/>
      <c r="OG650" s="1271"/>
      <c r="OH650" s="1271"/>
      <c r="OI650" s="1271"/>
      <c r="OJ650" s="1271"/>
      <c r="OK650" s="1271"/>
      <c r="OL650" s="1271"/>
      <c r="OM650" s="1271"/>
      <c r="ON650" s="1271"/>
      <c r="OO650" s="1271"/>
      <c r="OP650" s="1271"/>
      <c r="OQ650" s="1271"/>
      <c r="OR650" s="1271"/>
      <c r="OS650" s="1271"/>
      <c r="OT650" s="1271"/>
      <c r="OU650" s="1271"/>
      <c r="OV650" s="1271"/>
      <c r="OW650" s="1271"/>
      <c r="OX650" s="1271"/>
      <c r="OY650" s="1271"/>
      <c r="OZ650" s="1271"/>
      <c r="PA650" s="1271"/>
      <c r="PB650" s="1271"/>
      <c r="PC650" s="1271"/>
      <c r="PD650" s="1271"/>
      <c r="PE650" s="1271"/>
      <c r="PF650" s="1271"/>
      <c r="PG650" s="1271"/>
      <c r="PH650" s="1271"/>
      <c r="PI650" s="1271"/>
      <c r="PJ650" s="1271"/>
      <c r="PK650" s="1271"/>
      <c r="PL650" s="1271"/>
      <c r="PM650" s="1271"/>
      <c r="PN650" s="1271"/>
      <c r="PO650" s="1271"/>
      <c r="PP650" s="1271"/>
      <c r="PQ650" s="1271"/>
      <c r="PR650" s="1271"/>
      <c r="PS650" s="1271"/>
      <c r="PT650" s="1271"/>
      <c r="PU650" s="1271"/>
      <c r="PV650" s="1271"/>
      <c r="PW650" s="1271"/>
      <c r="PX650" s="1271"/>
      <c r="PY650" s="1271"/>
      <c r="PZ650" s="1271"/>
      <c r="QA650" s="1271"/>
      <c r="QB650" s="1271"/>
      <c r="QC650" s="1271"/>
      <c r="QD650" s="1271"/>
      <c r="QE650" s="1271"/>
      <c r="QF650" s="1271"/>
      <c r="QG650" s="1271"/>
      <c r="QH650" s="1271"/>
      <c r="QI650" s="1271"/>
      <c r="QJ650" s="1271"/>
      <c r="QK650" s="1271"/>
      <c r="QL650" s="1271"/>
      <c r="QM650" s="1271"/>
      <c r="QN650" s="1271"/>
      <c r="QO650" s="1271"/>
      <c r="QP650" s="1271"/>
      <c r="QQ650" s="1271"/>
      <c r="QR650" s="1271"/>
      <c r="QS650" s="1271"/>
      <c r="QT650" s="1271"/>
      <c r="QU650" s="1271"/>
      <c r="QV650" s="1271"/>
      <c r="QW650" s="1271"/>
      <c r="QX650" s="1271"/>
      <c r="QY650" s="1271"/>
      <c r="QZ650" s="1271"/>
      <c r="RA650" s="1271"/>
      <c r="RB650" s="1271"/>
      <c r="RC650" s="1271"/>
      <c r="RD650" s="1271"/>
      <c r="RE650" s="1271"/>
      <c r="RF650" s="1271"/>
      <c r="RG650" s="1271"/>
      <c r="RH650" s="1271"/>
      <c r="RI650" s="1271"/>
      <c r="RJ650" s="1271"/>
      <c r="RK650" s="1271"/>
      <c r="RL650" s="1271"/>
      <c r="RM650" s="1271"/>
      <c r="RN650" s="1271"/>
      <c r="RO650" s="1271"/>
      <c r="RP650" s="1271"/>
      <c r="RQ650" s="1271"/>
      <c r="RR650" s="1271"/>
      <c r="RS650" s="1271"/>
      <c r="RT650" s="1271"/>
      <c r="RU650" s="1271"/>
      <c r="RV650" s="1271"/>
      <c r="RW650" s="1271"/>
      <c r="RX650" s="1271"/>
      <c r="RY650" s="1271"/>
      <c r="RZ650" s="1271"/>
      <c r="SA650" s="1271"/>
      <c r="SB650" s="1271"/>
      <c r="SC650" s="1271"/>
      <c r="SD650" s="1271"/>
      <c r="SE650" s="1271"/>
      <c r="SF650" s="1271"/>
      <c r="SG650" s="1271"/>
      <c r="SH650" s="1271"/>
      <c r="SI650" s="1271"/>
      <c r="SJ650" s="1271"/>
      <c r="SK650" s="1271"/>
      <c r="SL650" s="1271"/>
      <c r="SM650" s="1271"/>
      <c r="SN650" s="1271"/>
      <c r="SO650" s="1271"/>
      <c r="SP650" s="1271"/>
      <c r="SQ650" s="1271"/>
      <c r="SR650" s="1271"/>
      <c r="SS650" s="1271"/>
      <c r="ST650" s="1271"/>
      <c r="SU650" s="1271"/>
      <c r="SV650" s="1271"/>
      <c r="SW650" s="1271"/>
      <c r="SX650" s="1271"/>
      <c r="SY650" s="1271"/>
      <c r="SZ650" s="1271"/>
      <c r="TA650" s="1271"/>
      <c r="TB650" s="1271"/>
      <c r="TC650" s="1271"/>
      <c r="TD650" s="1271"/>
      <c r="TE650" s="1271"/>
      <c r="TF650" s="1271"/>
      <c r="TG650" s="1271"/>
      <c r="TH650" s="1271"/>
      <c r="TI650" s="1271"/>
      <c r="TJ650" s="1271"/>
      <c r="TK650" s="1271"/>
      <c r="TL650" s="1271"/>
      <c r="TM650" s="1271"/>
      <c r="TN650" s="1271"/>
      <c r="TO650" s="1271"/>
      <c r="TP650" s="1271"/>
      <c r="TQ650" s="1271"/>
      <c r="TR650" s="1271"/>
      <c r="TS650" s="1271"/>
      <c r="TT650" s="1271"/>
      <c r="TU650" s="1271"/>
      <c r="TV650" s="1271"/>
      <c r="TW650" s="1271"/>
      <c r="TX650" s="1271"/>
      <c r="TY650" s="1271"/>
      <c r="TZ650" s="1271"/>
      <c r="UA650" s="1271"/>
      <c r="UB650" s="1271"/>
      <c r="UC650" s="1271"/>
      <c r="UD650" s="1271"/>
      <c r="UE650" s="1271"/>
      <c r="UF650" s="1271"/>
      <c r="UG650" s="1272"/>
    </row>
    <row r="651" spans="1:553" s="1262" customFormat="1" ht="30.75" customHeight="1">
      <c r="A651" s="366"/>
      <c r="B651" s="366"/>
      <c r="C651" s="1518" t="s">
        <v>268</v>
      </c>
      <c r="D651" s="1522"/>
      <c r="E651" s="1522"/>
      <c r="F651" s="1522"/>
      <c r="G651" s="1226" t="s">
        <v>193</v>
      </c>
      <c r="H651" s="586"/>
      <c r="I651" s="370">
        <v>3</v>
      </c>
      <c r="J651" s="368">
        <v>472000</v>
      </c>
      <c r="K651" s="371"/>
      <c r="L651" s="480">
        <f>I651*J651</f>
        <v>1416000</v>
      </c>
      <c r="M651" s="366"/>
      <c r="N651" s="366"/>
      <c r="O651" s="366"/>
      <c r="P651" s="366"/>
      <c r="Q651" s="812"/>
      <c r="R651" s="1452"/>
      <c r="S651" s="308"/>
      <c r="T651" s="308"/>
      <c r="U651" s="308"/>
      <c r="V651" s="308"/>
      <c r="W651" s="308"/>
      <c r="X651" s="308"/>
      <c r="Y651" s="308"/>
      <c r="Z651" s="604"/>
      <c r="AA651" s="308"/>
      <c r="AB651" s="308"/>
      <c r="AC651" s="449"/>
      <c r="AD651" s="449"/>
      <c r="AE651" s="449"/>
      <c r="AF651" s="449"/>
      <c r="AG651" s="449"/>
      <c r="AH651" s="449"/>
      <c r="AI651" s="449"/>
      <c r="AJ651" s="449"/>
      <c r="AK651" s="452"/>
      <c r="AL651" s="1269"/>
      <c r="AM651" s="1270"/>
      <c r="AN651" s="1270"/>
      <c r="AO651" s="1270"/>
      <c r="AP651" s="1270"/>
      <c r="AQ651" s="1270"/>
      <c r="AR651" s="1270"/>
      <c r="AS651" s="1260"/>
      <c r="AT651" s="1260"/>
      <c r="AU651" s="1260"/>
      <c r="AV651" s="1260"/>
      <c r="AW651" s="1260"/>
      <c r="AX651" s="1260"/>
      <c r="AY651" s="1260"/>
      <c r="AZ651" s="1260"/>
      <c r="BA651" s="1260"/>
      <c r="BB651" s="1260"/>
      <c r="BC651" s="1260"/>
      <c r="BD651" s="1260"/>
      <c r="BE651" s="1260"/>
      <c r="BF651" s="1260"/>
      <c r="BG651" s="1260"/>
      <c r="BH651" s="1260"/>
      <c r="BI651" s="1260"/>
      <c r="BJ651" s="1260"/>
      <c r="BK651" s="1260"/>
      <c r="BL651" s="1260"/>
      <c r="BM651" s="1260"/>
      <c r="BN651" s="1260"/>
      <c r="BO651" s="1260"/>
      <c r="BP651" s="1271"/>
      <c r="BQ651" s="1271"/>
      <c r="BR651" s="1271"/>
      <c r="BS651" s="1271"/>
      <c r="BT651" s="1271"/>
      <c r="BU651" s="1271"/>
      <c r="BV651" s="1271"/>
      <c r="BW651" s="1271"/>
      <c r="BX651" s="1271"/>
      <c r="BY651" s="1271"/>
      <c r="BZ651" s="1271"/>
      <c r="CA651" s="1271"/>
      <c r="CB651" s="1271"/>
      <c r="CC651" s="1271"/>
      <c r="CD651" s="1271"/>
      <c r="CE651" s="1271"/>
      <c r="CF651" s="1271"/>
      <c r="CG651" s="1271"/>
      <c r="CH651" s="1271"/>
      <c r="CI651" s="1271"/>
      <c r="CJ651" s="1271"/>
      <c r="CK651" s="1271"/>
      <c r="CL651" s="1271"/>
      <c r="CM651" s="1271"/>
      <c r="CN651" s="1271"/>
      <c r="CO651" s="1271"/>
      <c r="CP651" s="1271"/>
      <c r="CQ651" s="1271"/>
      <c r="CR651" s="1271"/>
      <c r="CS651" s="1271"/>
      <c r="CT651" s="1271"/>
      <c r="CU651" s="1271"/>
      <c r="CV651" s="1271"/>
      <c r="CW651" s="1271"/>
      <c r="CX651" s="1271"/>
      <c r="CY651" s="1271"/>
      <c r="CZ651" s="1271"/>
      <c r="DA651" s="1271"/>
      <c r="DB651" s="1271"/>
      <c r="DC651" s="1271"/>
      <c r="DD651" s="1271"/>
      <c r="DE651" s="1271"/>
      <c r="DF651" s="1271"/>
      <c r="DG651" s="1271"/>
      <c r="DH651" s="1271"/>
      <c r="DI651" s="1271"/>
      <c r="DJ651" s="1271"/>
      <c r="DK651" s="1271"/>
      <c r="DL651" s="1271"/>
      <c r="DM651" s="1271"/>
      <c r="DN651" s="1271"/>
      <c r="DO651" s="1271"/>
      <c r="DP651" s="1271"/>
      <c r="DQ651" s="1271"/>
      <c r="DR651" s="1271"/>
      <c r="DS651" s="1271"/>
      <c r="DT651" s="1271"/>
      <c r="DU651" s="1271"/>
      <c r="DV651" s="1271"/>
      <c r="DW651" s="1271"/>
      <c r="DX651" s="1271"/>
      <c r="DY651" s="1271"/>
      <c r="DZ651" s="1271"/>
      <c r="EA651" s="1271"/>
      <c r="EB651" s="1271"/>
      <c r="EC651" s="1271"/>
      <c r="ED651" s="1271"/>
      <c r="EE651" s="1271"/>
      <c r="EF651" s="1271"/>
      <c r="EG651" s="1271"/>
      <c r="EH651" s="1271"/>
      <c r="EI651" s="1271"/>
      <c r="EJ651" s="1271"/>
      <c r="EK651" s="1271"/>
      <c r="EL651" s="1271"/>
      <c r="EM651" s="1271"/>
      <c r="EN651" s="1271"/>
      <c r="EO651" s="1271"/>
      <c r="EP651" s="1271"/>
      <c r="EQ651" s="1271"/>
      <c r="ER651" s="1271"/>
      <c r="ES651" s="1271"/>
      <c r="ET651" s="1271"/>
      <c r="EU651" s="1271"/>
      <c r="EV651" s="1271"/>
      <c r="EW651" s="1271"/>
      <c r="EX651" s="1271"/>
      <c r="EY651" s="1271"/>
      <c r="EZ651" s="1271"/>
      <c r="FA651" s="1271"/>
      <c r="FB651" s="1271"/>
      <c r="FC651" s="1271"/>
      <c r="FD651" s="1271"/>
      <c r="FE651" s="1271"/>
      <c r="FF651" s="1271"/>
      <c r="FG651" s="1271"/>
      <c r="FH651" s="1271"/>
      <c r="FI651" s="1271"/>
      <c r="FJ651" s="1271"/>
      <c r="FK651" s="1271"/>
      <c r="FL651" s="1271"/>
      <c r="FM651" s="1271"/>
      <c r="FN651" s="1271"/>
      <c r="FO651" s="1271"/>
      <c r="FP651" s="1271"/>
      <c r="FQ651" s="1271"/>
      <c r="FR651" s="1271"/>
      <c r="FS651" s="1271"/>
      <c r="FT651" s="1271"/>
      <c r="FU651" s="1271"/>
      <c r="FV651" s="1271"/>
      <c r="FW651" s="1271"/>
      <c r="FX651" s="1271"/>
      <c r="FY651" s="1271"/>
      <c r="FZ651" s="1271"/>
      <c r="GA651" s="1271"/>
      <c r="GB651" s="1271"/>
      <c r="GC651" s="1271"/>
      <c r="GD651" s="1271"/>
      <c r="GE651" s="1271"/>
      <c r="GF651" s="1271"/>
      <c r="GG651" s="1271"/>
      <c r="GH651" s="1271"/>
      <c r="GI651" s="1271"/>
      <c r="GJ651" s="1271"/>
      <c r="GK651" s="1271"/>
      <c r="GL651" s="1271"/>
      <c r="GM651" s="1271"/>
      <c r="GN651" s="1271"/>
      <c r="GO651" s="1271"/>
      <c r="GP651" s="1271"/>
      <c r="GQ651" s="1271"/>
      <c r="GR651" s="1271"/>
      <c r="GS651" s="1271"/>
      <c r="GT651" s="1271"/>
      <c r="GU651" s="1271"/>
      <c r="GV651" s="1271"/>
      <c r="GW651" s="1271"/>
      <c r="GX651" s="1271"/>
      <c r="GY651" s="1271"/>
      <c r="GZ651" s="1271"/>
      <c r="HA651" s="1271"/>
      <c r="HB651" s="1271"/>
      <c r="HC651" s="1271"/>
      <c r="HD651" s="1271"/>
      <c r="HE651" s="1271"/>
      <c r="HF651" s="1271"/>
      <c r="HG651" s="1271"/>
      <c r="HH651" s="1271"/>
      <c r="HI651" s="1271"/>
      <c r="HJ651" s="1271"/>
      <c r="HK651" s="1271"/>
      <c r="HL651" s="1271"/>
      <c r="HM651" s="1271"/>
      <c r="HN651" s="1271"/>
      <c r="HO651" s="1271"/>
      <c r="HP651" s="1271"/>
      <c r="HQ651" s="1271"/>
      <c r="HR651" s="1271"/>
      <c r="HS651" s="1271"/>
      <c r="HT651" s="1271"/>
      <c r="HU651" s="1271"/>
      <c r="HV651" s="1271"/>
      <c r="HW651" s="1271"/>
      <c r="HX651" s="1271"/>
      <c r="HY651" s="1271"/>
      <c r="HZ651" s="1271"/>
      <c r="IA651" s="1271"/>
      <c r="IB651" s="1271"/>
      <c r="IC651" s="1271"/>
      <c r="ID651" s="1271"/>
      <c r="IE651" s="1271"/>
      <c r="IF651" s="1271"/>
      <c r="IG651" s="1271"/>
      <c r="IH651" s="1271"/>
      <c r="II651" s="1271"/>
      <c r="IJ651" s="1271"/>
      <c r="IK651" s="1271"/>
      <c r="IL651" s="1271"/>
      <c r="IM651" s="1271"/>
      <c r="IN651" s="1271"/>
      <c r="IO651" s="1271"/>
      <c r="IP651" s="1271"/>
      <c r="IQ651" s="1271"/>
      <c r="IR651" s="1271"/>
      <c r="IS651" s="1271"/>
      <c r="IT651" s="1271"/>
      <c r="IU651" s="1271"/>
      <c r="IV651" s="1271"/>
      <c r="IW651" s="1271"/>
      <c r="IX651" s="1271"/>
      <c r="IY651" s="1271"/>
      <c r="IZ651" s="1271"/>
      <c r="JA651" s="1271"/>
      <c r="JB651" s="1271"/>
      <c r="JC651" s="1271"/>
      <c r="JD651" s="1271"/>
      <c r="JE651" s="1271"/>
      <c r="JF651" s="1271"/>
      <c r="JG651" s="1271"/>
      <c r="JH651" s="1271"/>
      <c r="JI651" s="1271"/>
      <c r="JJ651" s="1271"/>
      <c r="JK651" s="1271"/>
      <c r="JL651" s="1271"/>
      <c r="JM651" s="1271"/>
      <c r="JN651" s="1271"/>
      <c r="JO651" s="1271"/>
      <c r="JP651" s="1271"/>
      <c r="JQ651" s="1271"/>
      <c r="JR651" s="1271"/>
      <c r="JS651" s="1271"/>
      <c r="JT651" s="1271"/>
      <c r="JU651" s="1271"/>
      <c r="JV651" s="1271"/>
      <c r="JW651" s="1271"/>
      <c r="JX651" s="1271"/>
      <c r="JY651" s="1271"/>
      <c r="JZ651" s="1271"/>
      <c r="KA651" s="1271"/>
      <c r="KB651" s="1271"/>
      <c r="KC651" s="1271"/>
      <c r="KD651" s="1271"/>
      <c r="KE651" s="1271"/>
      <c r="KF651" s="1271"/>
      <c r="KG651" s="1271"/>
      <c r="KH651" s="1271"/>
      <c r="KI651" s="1271"/>
      <c r="KJ651" s="1271"/>
      <c r="KK651" s="1271"/>
      <c r="KL651" s="1271"/>
      <c r="KM651" s="1271"/>
      <c r="KN651" s="1271"/>
      <c r="KO651" s="1271"/>
      <c r="KP651" s="1271"/>
      <c r="KQ651" s="1271"/>
      <c r="KR651" s="1271"/>
      <c r="KS651" s="1271"/>
      <c r="KT651" s="1271"/>
      <c r="KU651" s="1271"/>
      <c r="KV651" s="1271"/>
      <c r="KW651" s="1271"/>
      <c r="KX651" s="1271"/>
      <c r="KY651" s="1271"/>
      <c r="KZ651" s="1271"/>
      <c r="LA651" s="1271"/>
      <c r="LB651" s="1271"/>
      <c r="LC651" s="1271"/>
      <c r="LD651" s="1271"/>
      <c r="LE651" s="1271"/>
      <c r="LF651" s="1271"/>
      <c r="LG651" s="1271"/>
      <c r="LH651" s="1271"/>
      <c r="LI651" s="1271"/>
      <c r="LJ651" s="1271"/>
      <c r="LK651" s="1271"/>
      <c r="LL651" s="1271"/>
      <c r="LM651" s="1271"/>
      <c r="LN651" s="1271"/>
      <c r="LO651" s="1271"/>
      <c r="LP651" s="1271"/>
      <c r="LQ651" s="1271"/>
      <c r="LR651" s="1271"/>
      <c r="LS651" s="1271"/>
      <c r="LT651" s="1271"/>
      <c r="LU651" s="1271"/>
      <c r="LV651" s="1271"/>
      <c r="LW651" s="1271"/>
      <c r="LX651" s="1271"/>
      <c r="LY651" s="1271"/>
      <c r="LZ651" s="1271"/>
      <c r="MA651" s="1271"/>
      <c r="MB651" s="1271"/>
      <c r="MC651" s="1271"/>
      <c r="MD651" s="1271"/>
      <c r="ME651" s="1271"/>
      <c r="MF651" s="1271"/>
      <c r="MG651" s="1271"/>
      <c r="MH651" s="1271"/>
      <c r="MI651" s="1271"/>
      <c r="MJ651" s="1271"/>
      <c r="MK651" s="1271"/>
      <c r="ML651" s="1271"/>
      <c r="MM651" s="1271"/>
      <c r="MN651" s="1271"/>
      <c r="MO651" s="1271"/>
      <c r="MP651" s="1271"/>
      <c r="MQ651" s="1271"/>
      <c r="MR651" s="1271"/>
      <c r="MS651" s="1271"/>
      <c r="MT651" s="1271"/>
      <c r="MU651" s="1271"/>
      <c r="MV651" s="1271"/>
      <c r="MW651" s="1271"/>
      <c r="MX651" s="1271"/>
      <c r="MY651" s="1271"/>
      <c r="MZ651" s="1271"/>
      <c r="NA651" s="1271"/>
      <c r="NB651" s="1271"/>
      <c r="NC651" s="1271"/>
      <c r="ND651" s="1271"/>
      <c r="NE651" s="1271"/>
      <c r="NF651" s="1271"/>
      <c r="NG651" s="1271"/>
      <c r="NH651" s="1271"/>
      <c r="NI651" s="1271"/>
      <c r="NJ651" s="1271"/>
      <c r="NK651" s="1271"/>
      <c r="NL651" s="1271"/>
      <c r="NM651" s="1271"/>
      <c r="NN651" s="1271"/>
      <c r="NO651" s="1271"/>
      <c r="NP651" s="1271"/>
      <c r="NQ651" s="1271"/>
      <c r="NR651" s="1271"/>
      <c r="NS651" s="1271"/>
      <c r="NT651" s="1271"/>
      <c r="NU651" s="1271"/>
      <c r="NV651" s="1271"/>
      <c r="NW651" s="1271"/>
      <c r="NX651" s="1271"/>
      <c r="NY651" s="1271"/>
      <c r="NZ651" s="1271"/>
      <c r="OA651" s="1271"/>
      <c r="OB651" s="1271"/>
      <c r="OC651" s="1271"/>
      <c r="OD651" s="1271"/>
      <c r="OE651" s="1271"/>
      <c r="OF651" s="1271"/>
      <c r="OG651" s="1271"/>
      <c r="OH651" s="1271"/>
      <c r="OI651" s="1271"/>
      <c r="OJ651" s="1271"/>
      <c r="OK651" s="1271"/>
      <c r="OL651" s="1271"/>
      <c r="OM651" s="1271"/>
      <c r="ON651" s="1271"/>
      <c r="OO651" s="1271"/>
      <c r="OP651" s="1271"/>
      <c r="OQ651" s="1271"/>
      <c r="OR651" s="1271"/>
      <c r="OS651" s="1271"/>
      <c r="OT651" s="1271"/>
      <c r="OU651" s="1271"/>
      <c r="OV651" s="1271"/>
      <c r="OW651" s="1271"/>
      <c r="OX651" s="1271"/>
      <c r="OY651" s="1271"/>
      <c r="OZ651" s="1271"/>
      <c r="PA651" s="1271"/>
      <c r="PB651" s="1271"/>
      <c r="PC651" s="1271"/>
      <c r="PD651" s="1271"/>
      <c r="PE651" s="1271"/>
      <c r="PF651" s="1271"/>
      <c r="PG651" s="1271"/>
      <c r="PH651" s="1271"/>
      <c r="PI651" s="1271"/>
      <c r="PJ651" s="1271"/>
      <c r="PK651" s="1271"/>
      <c r="PL651" s="1271"/>
      <c r="PM651" s="1271"/>
      <c r="PN651" s="1271"/>
      <c r="PO651" s="1271"/>
      <c r="PP651" s="1271"/>
      <c r="PQ651" s="1271"/>
      <c r="PR651" s="1271"/>
      <c r="PS651" s="1271"/>
      <c r="PT651" s="1271"/>
      <c r="PU651" s="1271"/>
      <c r="PV651" s="1271"/>
      <c r="PW651" s="1271"/>
      <c r="PX651" s="1271"/>
      <c r="PY651" s="1271"/>
      <c r="PZ651" s="1271"/>
      <c r="QA651" s="1271"/>
      <c r="QB651" s="1271"/>
      <c r="QC651" s="1271"/>
      <c r="QD651" s="1271"/>
      <c r="QE651" s="1271"/>
      <c r="QF651" s="1271"/>
      <c r="QG651" s="1271"/>
      <c r="QH651" s="1271"/>
      <c r="QI651" s="1271"/>
      <c r="QJ651" s="1271"/>
      <c r="QK651" s="1271"/>
      <c r="QL651" s="1271"/>
      <c r="QM651" s="1271"/>
      <c r="QN651" s="1271"/>
      <c r="QO651" s="1271"/>
      <c r="QP651" s="1271"/>
      <c r="QQ651" s="1271"/>
      <c r="QR651" s="1271"/>
      <c r="QS651" s="1271"/>
      <c r="QT651" s="1271"/>
      <c r="QU651" s="1271"/>
      <c r="QV651" s="1271"/>
      <c r="QW651" s="1271"/>
      <c r="QX651" s="1271"/>
      <c r="QY651" s="1271"/>
      <c r="QZ651" s="1271"/>
      <c r="RA651" s="1271"/>
      <c r="RB651" s="1271"/>
      <c r="RC651" s="1271"/>
      <c r="RD651" s="1271"/>
      <c r="RE651" s="1271"/>
      <c r="RF651" s="1271"/>
      <c r="RG651" s="1271"/>
      <c r="RH651" s="1271"/>
      <c r="RI651" s="1271"/>
      <c r="RJ651" s="1271"/>
      <c r="RK651" s="1271"/>
      <c r="RL651" s="1271"/>
      <c r="RM651" s="1271"/>
      <c r="RN651" s="1271"/>
      <c r="RO651" s="1271"/>
      <c r="RP651" s="1271"/>
      <c r="RQ651" s="1271"/>
      <c r="RR651" s="1271"/>
      <c r="RS651" s="1271"/>
      <c r="RT651" s="1271"/>
      <c r="RU651" s="1271"/>
      <c r="RV651" s="1271"/>
      <c r="RW651" s="1271"/>
      <c r="RX651" s="1271"/>
      <c r="RY651" s="1271"/>
      <c r="RZ651" s="1271"/>
      <c r="SA651" s="1271"/>
      <c r="SB651" s="1271"/>
      <c r="SC651" s="1271"/>
      <c r="SD651" s="1271"/>
      <c r="SE651" s="1271"/>
      <c r="SF651" s="1271"/>
      <c r="SG651" s="1271"/>
      <c r="SH651" s="1271"/>
      <c r="SI651" s="1271"/>
      <c r="SJ651" s="1271"/>
      <c r="SK651" s="1271"/>
      <c r="SL651" s="1271"/>
      <c r="SM651" s="1271"/>
      <c r="SN651" s="1271"/>
      <c r="SO651" s="1271"/>
      <c r="SP651" s="1271"/>
      <c r="SQ651" s="1271"/>
      <c r="SR651" s="1271"/>
      <c r="SS651" s="1271"/>
      <c r="ST651" s="1271"/>
      <c r="SU651" s="1271"/>
      <c r="SV651" s="1271"/>
      <c r="SW651" s="1271"/>
      <c r="SX651" s="1271"/>
      <c r="SY651" s="1271"/>
      <c r="SZ651" s="1271"/>
      <c r="TA651" s="1271"/>
      <c r="TB651" s="1271"/>
      <c r="TC651" s="1271"/>
      <c r="TD651" s="1271"/>
      <c r="TE651" s="1271"/>
      <c r="TF651" s="1271"/>
      <c r="TG651" s="1271"/>
      <c r="TH651" s="1271"/>
      <c r="TI651" s="1271"/>
      <c r="TJ651" s="1271"/>
      <c r="TK651" s="1271"/>
      <c r="TL651" s="1271"/>
      <c r="TM651" s="1271"/>
      <c r="TN651" s="1271"/>
      <c r="TO651" s="1271"/>
      <c r="TP651" s="1271"/>
      <c r="TQ651" s="1271"/>
      <c r="TR651" s="1271"/>
      <c r="TS651" s="1271"/>
      <c r="TT651" s="1271"/>
      <c r="TU651" s="1271"/>
      <c r="TV651" s="1271"/>
      <c r="TW651" s="1271"/>
      <c r="TX651" s="1271"/>
      <c r="TY651" s="1271"/>
      <c r="TZ651" s="1271"/>
      <c r="UA651" s="1271"/>
      <c r="UB651" s="1271"/>
      <c r="UC651" s="1271"/>
      <c r="UD651" s="1271"/>
      <c r="UE651" s="1271"/>
      <c r="UF651" s="1271"/>
      <c r="UG651" s="1272"/>
    </row>
    <row r="652" spans="1:553" s="1262" customFormat="1" ht="30.75" customHeight="1">
      <c r="A652" s="366"/>
      <c r="B652" s="366"/>
      <c r="C652" s="1523" t="s">
        <v>462</v>
      </c>
      <c r="D652" s="1389"/>
      <c r="E652" s="1389"/>
      <c r="F652" s="1389"/>
      <c r="G652" s="1226" t="s">
        <v>196</v>
      </c>
      <c r="H652" s="586"/>
      <c r="I652" s="370">
        <f>(20.51*100/400)*(12-(4-3))*1</f>
        <v>56.402500000000003</v>
      </c>
      <c r="J652" s="368">
        <v>3100</v>
      </c>
      <c r="K652" s="565">
        <v>0.7</v>
      </c>
      <c r="L652" s="480">
        <f t="shared" ref="L652:L656" si="106">I652*J652*K652</f>
        <v>122393.42499999999</v>
      </c>
      <c r="M652" s="366"/>
      <c r="N652" s="366"/>
      <c r="O652" s="366"/>
      <c r="P652" s="366"/>
      <c r="Q652" s="812"/>
      <c r="R652" s="1452"/>
      <c r="S652" s="308"/>
      <c r="T652" s="308"/>
      <c r="U652" s="308"/>
      <c r="V652" s="308"/>
      <c r="W652" s="308"/>
      <c r="X652" s="308"/>
      <c r="Y652" s="308"/>
      <c r="Z652" s="604"/>
      <c r="AA652" s="308"/>
      <c r="AB652" s="308"/>
      <c r="AC652" s="449"/>
      <c r="AD652" s="449"/>
      <c r="AE652" s="449"/>
      <c r="AF652" s="449"/>
      <c r="AG652" s="449"/>
      <c r="AH652" s="449"/>
      <c r="AI652" s="449"/>
      <c r="AJ652" s="449"/>
      <c r="AK652" s="452"/>
      <c r="AL652" s="1269"/>
      <c r="AM652" s="1270"/>
      <c r="AN652" s="1270"/>
      <c r="AO652" s="1270"/>
      <c r="AP652" s="1270"/>
      <c r="AQ652" s="1270"/>
      <c r="AR652" s="1270"/>
      <c r="AS652" s="1260"/>
      <c r="AT652" s="1260"/>
      <c r="AU652" s="1260"/>
      <c r="AV652" s="1260"/>
      <c r="AW652" s="1260"/>
      <c r="AX652" s="1260"/>
      <c r="AY652" s="1260"/>
      <c r="AZ652" s="1260"/>
      <c r="BA652" s="1260"/>
      <c r="BB652" s="1260"/>
      <c r="BC652" s="1260"/>
      <c r="BD652" s="1260"/>
      <c r="BE652" s="1260"/>
      <c r="BF652" s="1260"/>
      <c r="BG652" s="1260"/>
      <c r="BH652" s="1260"/>
      <c r="BI652" s="1260"/>
      <c r="BJ652" s="1260"/>
      <c r="BK652" s="1260"/>
      <c r="BL652" s="1260"/>
      <c r="BM652" s="1260"/>
      <c r="BN652" s="1260"/>
      <c r="BO652" s="1260"/>
      <c r="BP652" s="1271"/>
      <c r="BQ652" s="1271"/>
      <c r="BR652" s="1271"/>
      <c r="BS652" s="1271"/>
      <c r="BT652" s="1271"/>
      <c r="BU652" s="1271"/>
      <c r="BV652" s="1271"/>
      <c r="BW652" s="1271"/>
      <c r="BX652" s="1271"/>
      <c r="BY652" s="1271"/>
      <c r="BZ652" s="1271"/>
      <c r="CA652" s="1271"/>
      <c r="CB652" s="1271"/>
      <c r="CC652" s="1271"/>
      <c r="CD652" s="1271"/>
      <c r="CE652" s="1271"/>
      <c r="CF652" s="1271"/>
      <c r="CG652" s="1271"/>
      <c r="CH652" s="1271"/>
      <c r="CI652" s="1271"/>
      <c r="CJ652" s="1271"/>
      <c r="CK652" s="1271"/>
      <c r="CL652" s="1271"/>
      <c r="CM652" s="1271"/>
      <c r="CN652" s="1271"/>
      <c r="CO652" s="1271"/>
      <c r="CP652" s="1271"/>
      <c r="CQ652" s="1271"/>
      <c r="CR652" s="1271"/>
      <c r="CS652" s="1271"/>
      <c r="CT652" s="1271"/>
      <c r="CU652" s="1271"/>
      <c r="CV652" s="1271"/>
      <c r="CW652" s="1271"/>
      <c r="CX652" s="1271"/>
      <c r="CY652" s="1271"/>
      <c r="CZ652" s="1271"/>
      <c r="DA652" s="1271"/>
      <c r="DB652" s="1271"/>
      <c r="DC652" s="1271"/>
      <c r="DD652" s="1271"/>
      <c r="DE652" s="1271"/>
      <c r="DF652" s="1271"/>
      <c r="DG652" s="1271"/>
      <c r="DH652" s="1271"/>
      <c r="DI652" s="1271"/>
      <c r="DJ652" s="1271"/>
      <c r="DK652" s="1271"/>
      <c r="DL652" s="1271"/>
      <c r="DM652" s="1271"/>
      <c r="DN652" s="1271"/>
      <c r="DO652" s="1271"/>
      <c r="DP652" s="1271"/>
      <c r="DQ652" s="1271"/>
      <c r="DR652" s="1271"/>
      <c r="DS652" s="1271"/>
      <c r="DT652" s="1271"/>
      <c r="DU652" s="1271"/>
      <c r="DV652" s="1271"/>
      <c r="DW652" s="1271"/>
      <c r="DX652" s="1271"/>
      <c r="DY652" s="1271"/>
      <c r="DZ652" s="1271"/>
      <c r="EA652" s="1271"/>
      <c r="EB652" s="1271"/>
      <c r="EC652" s="1271"/>
      <c r="ED652" s="1271"/>
      <c r="EE652" s="1271"/>
      <c r="EF652" s="1271"/>
      <c r="EG652" s="1271"/>
      <c r="EH652" s="1271"/>
      <c r="EI652" s="1271"/>
      <c r="EJ652" s="1271"/>
      <c r="EK652" s="1271"/>
      <c r="EL652" s="1271"/>
      <c r="EM652" s="1271"/>
      <c r="EN652" s="1271"/>
      <c r="EO652" s="1271"/>
      <c r="EP652" s="1271"/>
      <c r="EQ652" s="1271"/>
      <c r="ER652" s="1271"/>
      <c r="ES652" s="1271"/>
      <c r="ET652" s="1271"/>
      <c r="EU652" s="1271"/>
      <c r="EV652" s="1271"/>
      <c r="EW652" s="1271"/>
      <c r="EX652" s="1271"/>
      <c r="EY652" s="1271"/>
      <c r="EZ652" s="1271"/>
      <c r="FA652" s="1271"/>
      <c r="FB652" s="1271"/>
      <c r="FC652" s="1271"/>
      <c r="FD652" s="1271"/>
      <c r="FE652" s="1271"/>
      <c r="FF652" s="1271"/>
      <c r="FG652" s="1271"/>
      <c r="FH652" s="1271"/>
      <c r="FI652" s="1271"/>
      <c r="FJ652" s="1271"/>
      <c r="FK652" s="1271"/>
      <c r="FL652" s="1271"/>
      <c r="FM652" s="1271"/>
      <c r="FN652" s="1271"/>
      <c r="FO652" s="1271"/>
      <c r="FP652" s="1271"/>
      <c r="FQ652" s="1271"/>
      <c r="FR652" s="1271"/>
      <c r="FS652" s="1271"/>
      <c r="FT652" s="1271"/>
      <c r="FU652" s="1271"/>
      <c r="FV652" s="1271"/>
      <c r="FW652" s="1271"/>
      <c r="FX652" s="1271"/>
      <c r="FY652" s="1271"/>
      <c r="FZ652" s="1271"/>
      <c r="GA652" s="1271"/>
      <c r="GB652" s="1271"/>
      <c r="GC652" s="1271"/>
      <c r="GD652" s="1271"/>
      <c r="GE652" s="1271"/>
      <c r="GF652" s="1271"/>
      <c r="GG652" s="1271"/>
      <c r="GH652" s="1271"/>
      <c r="GI652" s="1271"/>
      <c r="GJ652" s="1271"/>
      <c r="GK652" s="1271"/>
      <c r="GL652" s="1271"/>
      <c r="GM652" s="1271"/>
      <c r="GN652" s="1271"/>
      <c r="GO652" s="1271"/>
      <c r="GP652" s="1271"/>
      <c r="GQ652" s="1271"/>
      <c r="GR652" s="1271"/>
      <c r="GS652" s="1271"/>
      <c r="GT652" s="1271"/>
      <c r="GU652" s="1271"/>
      <c r="GV652" s="1271"/>
      <c r="GW652" s="1271"/>
      <c r="GX652" s="1271"/>
      <c r="GY652" s="1271"/>
      <c r="GZ652" s="1271"/>
      <c r="HA652" s="1271"/>
      <c r="HB652" s="1271"/>
      <c r="HC652" s="1271"/>
      <c r="HD652" s="1271"/>
      <c r="HE652" s="1271"/>
      <c r="HF652" s="1271"/>
      <c r="HG652" s="1271"/>
      <c r="HH652" s="1271"/>
      <c r="HI652" s="1271"/>
      <c r="HJ652" s="1271"/>
      <c r="HK652" s="1271"/>
      <c r="HL652" s="1271"/>
      <c r="HM652" s="1271"/>
      <c r="HN652" s="1271"/>
      <c r="HO652" s="1271"/>
      <c r="HP652" s="1271"/>
      <c r="HQ652" s="1271"/>
      <c r="HR652" s="1271"/>
      <c r="HS652" s="1271"/>
      <c r="HT652" s="1271"/>
      <c r="HU652" s="1271"/>
      <c r="HV652" s="1271"/>
      <c r="HW652" s="1271"/>
      <c r="HX652" s="1271"/>
      <c r="HY652" s="1271"/>
      <c r="HZ652" s="1271"/>
      <c r="IA652" s="1271"/>
      <c r="IB652" s="1271"/>
      <c r="IC652" s="1271"/>
      <c r="ID652" s="1271"/>
      <c r="IE652" s="1271"/>
      <c r="IF652" s="1271"/>
      <c r="IG652" s="1271"/>
      <c r="IH652" s="1271"/>
      <c r="II652" s="1271"/>
      <c r="IJ652" s="1271"/>
      <c r="IK652" s="1271"/>
      <c r="IL652" s="1271"/>
      <c r="IM652" s="1271"/>
      <c r="IN652" s="1271"/>
      <c r="IO652" s="1271"/>
      <c r="IP652" s="1271"/>
      <c r="IQ652" s="1271"/>
      <c r="IR652" s="1271"/>
      <c r="IS652" s="1271"/>
      <c r="IT652" s="1271"/>
      <c r="IU652" s="1271"/>
      <c r="IV652" s="1271"/>
      <c r="IW652" s="1271"/>
      <c r="IX652" s="1271"/>
      <c r="IY652" s="1271"/>
      <c r="IZ652" s="1271"/>
      <c r="JA652" s="1271"/>
      <c r="JB652" s="1271"/>
      <c r="JC652" s="1271"/>
      <c r="JD652" s="1271"/>
      <c r="JE652" s="1271"/>
      <c r="JF652" s="1271"/>
      <c r="JG652" s="1271"/>
      <c r="JH652" s="1271"/>
      <c r="JI652" s="1271"/>
      <c r="JJ652" s="1271"/>
      <c r="JK652" s="1271"/>
      <c r="JL652" s="1271"/>
      <c r="JM652" s="1271"/>
      <c r="JN652" s="1271"/>
      <c r="JO652" s="1271"/>
      <c r="JP652" s="1271"/>
      <c r="JQ652" s="1271"/>
      <c r="JR652" s="1271"/>
      <c r="JS652" s="1271"/>
      <c r="JT652" s="1271"/>
      <c r="JU652" s="1271"/>
      <c r="JV652" s="1271"/>
      <c r="JW652" s="1271"/>
      <c r="JX652" s="1271"/>
      <c r="JY652" s="1271"/>
      <c r="JZ652" s="1271"/>
      <c r="KA652" s="1271"/>
      <c r="KB652" s="1271"/>
      <c r="KC652" s="1271"/>
      <c r="KD652" s="1271"/>
      <c r="KE652" s="1271"/>
      <c r="KF652" s="1271"/>
      <c r="KG652" s="1271"/>
      <c r="KH652" s="1271"/>
      <c r="KI652" s="1271"/>
      <c r="KJ652" s="1271"/>
      <c r="KK652" s="1271"/>
      <c r="KL652" s="1271"/>
      <c r="KM652" s="1271"/>
      <c r="KN652" s="1271"/>
      <c r="KO652" s="1271"/>
      <c r="KP652" s="1271"/>
      <c r="KQ652" s="1271"/>
      <c r="KR652" s="1271"/>
      <c r="KS652" s="1271"/>
      <c r="KT652" s="1271"/>
      <c r="KU652" s="1271"/>
      <c r="KV652" s="1271"/>
      <c r="KW652" s="1271"/>
      <c r="KX652" s="1271"/>
      <c r="KY652" s="1271"/>
      <c r="KZ652" s="1271"/>
      <c r="LA652" s="1271"/>
      <c r="LB652" s="1271"/>
      <c r="LC652" s="1271"/>
      <c r="LD652" s="1271"/>
      <c r="LE652" s="1271"/>
      <c r="LF652" s="1271"/>
      <c r="LG652" s="1271"/>
      <c r="LH652" s="1271"/>
      <c r="LI652" s="1271"/>
      <c r="LJ652" s="1271"/>
      <c r="LK652" s="1271"/>
      <c r="LL652" s="1271"/>
      <c r="LM652" s="1271"/>
      <c r="LN652" s="1271"/>
      <c r="LO652" s="1271"/>
      <c r="LP652" s="1271"/>
      <c r="LQ652" s="1271"/>
      <c r="LR652" s="1271"/>
      <c r="LS652" s="1271"/>
      <c r="LT652" s="1271"/>
      <c r="LU652" s="1271"/>
      <c r="LV652" s="1271"/>
      <c r="LW652" s="1271"/>
      <c r="LX652" s="1271"/>
      <c r="LY652" s="1271"/>
      <c r="LZ652" s="1271"/>
      <c r="MA652" s="1271"/>
      <c r="MB652" s="1271"/>
      <c r="MC652" s="1271"/>
      <c r="MD652" s="1271"/>
      <c r="ME652" s="1271"/>
      <c r="MF652" s="1271"/>
      <c r="MG652" s="1271"/>
      <c r="MH652" s="1271"/>
      <c r="MI652" s="1271"/>
      <c r="MJ652" s="1271"/>
      <c r="MK652" s="1271"/>
      <c r="ML652" s="1271"/>
      <c r="MM652" s="1271"/>
      <c r="MN652" s="1271"/>
      <c r="MO652" s="1271"/>
      <c r="MP652" s="1271"/>
      <c r="MQ652" s="1271"/>
      <c r="MR652" s="1271"/>
      <c r="MS652" s="1271"/>
      <c r="MT652" s="1271"/>
      <c r="MU652" s="1271"/>
      <c r="MV652" s="1271"/>
      <c r="MW652" s="1271"/>
      <c r="MX652" s="1271"/>
      <c r="MY652" s="1271"/>
      <c r="MZ652" s="1271"/>
      <c r="NA652" s="1271"/>
      <c r="NB652" s="1271"/>
      <c r="NC652" s="1271"/>
      <c r="ND652" s="1271"/>
      <c r="NE652" s="1271"/>
      <c r="NF652" s="1271"/>
      <c r="NG652" s="1271"/>
      <c r="NH652" s="1271"/>
      <c r="NI652" s="1271"/>
      <c r="NJ652" s="1271"/>
      <c r="NK652" s="1271"/>
      <c r="NL652" s="1271"/>
      <c r="NM652" s="1271"/>
      <c r="NN652" s="1271"/>
      <c r="NO652" s="1271"/>
      <c r="NP652" s="1271"/>
      <c r="NQ652" s="1271"/>
      <c r="NR652" s="1271"/>
      <c r="NS652" s="1271"/>
      <c r="NT652" s="1271"/>
      <c r="NU652" s="1271"/>
      <c r="NV652" s="1271"/>
      <c r="NW652" s="1271"/>
      <c r="NX652" s="1271"/>
      <c r="NY652" s="1271"/>
      <c r="NZ652" s="1271"/>
      <c r="OA652" s="1271"/>
      <c r="OB652" s="1271"/>
      <c r="OC652" s="1271"/>
      <c r="OD652" s="1271"/>
      <c r="OE652" s="1271"/>
      <c r="OF652" s="1271"/>
      <c r="OG652" s="1271"/>
      <c r="OH652" s="1271"/>
      <c r="OI652" s="1271"/>
      <c r="OJ652" s="1271"/>
      <c r="OK652" s="1271"/>
      <c r="OL652" s="1271"/>
      <c r="OM652" s="1271"/>
      <c r="ON652" s="1271"/>
      <c r="OO652" s="1271"/>
      <c r="OP652" s="1271"/>
      <c r="OQ652" s="1271"/>
      <c r="OR652" s="1271"/>
      <c r="OS652" s="1271"/>
      <c r="OT652" s="1271"/>
      <c r="OU652" s="1271"/>
      <c r="OV652" s="1271"/>
      <c r="OW652" s="1271"/>
      <c r="OX652" s="1271"/>
      <c r="OY652" s="1271"/>
      <c r="OZ652" s="1271"/>
      <c r="PA652" s="1271"/>
      <c r="PB652" s="1271"/>
      <c r="PC652" s="1271"/>
      <c r="PD652" s="1271"/>
      <c r="PE652" s="1271"/>
      <c r="PF652" s="1271"/>
      <c r="PG652" s="1271"/>
      <c r="PH652" s="1271"/>
      <c r="PI652" s="1271"/>
      <c r="PJ652" s="1271"/>
      <c r="PK652" s="1271"/>
      <c r="PL652" s="1271"/>
      <c r="PM652" s="1271"/>
      <c r="PN652" s="1271"/>
      <c r="PO652" s="1271"/>
      <c r="PP652" s="1271"/>
      <c r="PQ652" s="1271"/>
      <c r="PR652" s="1271"/>
      <c r="PS652" s="1271"/>
      <c r="PT652" s="1271"/>
      <c r="PU652" s="1271"/>
      <c r="PV652" s="1271"/>
      <c r="PW652" s="1271"/>
      <c r="PX652" s="1271"/>
      <c r="PY652" s="1271"/>
      <c r="PZ652" s="1271"/>
      <c r="QA652" s="1271"/>
      <c r="QB652" s="1271"/>
      <c r="QC652" s="1271"/>
      <c r="QD652" s="1271"/>
      <c r="QE652" s="1271"/>
      <c r="QF652" s="1271"/>
      <c r="QG652" s="1271"/>
      <c r="QH652" s="1271"/>
      <c r="QI652" s="1271"/>
      <c r="QJ652" s="1271"/>
      <c r="QK652" s="1271"/>
      <c r="QL652" s="1271"/>
      <c r="QM652" s="1271"/>
      <c r="QN652" s="1271"/>
      <c r="QO652" s="1271"/>
      <c r="QP652" s="1271"/>
      <c r="QQ652" s="1271"/>
      <c r="QR652" s="1271"/>
      <c r="QS652" s="1271"/>
      <c r="QT652" s="1271"/>
      <c r="QU652" s="1271"/>
      <c r="QV652" s="1271"/>
      <c r="QW652" s="1271"/>
      <c r="QX652" s="1271"/>
      <c r="QY652" s="1271"/>
      <c r="QZ652" s="1271"/>
      <c r="RA652" s="1271"/>
      <c r="RB652" s="1271"/>
      <c r="RC652" s="1271"/>
      <c r="RD652" s="1271"/>
      <c r="RE652" s="1271"/>
      <c r="RF652" s="1271"/>
      <c r="RG652" s="1271"/>
      <c r="RH652" s="1271"/>
      <c r="RI652" s="1271"/>
      <c r="RJ652" s="1271"/>
      <c r="RK652" s="1271"/>
      <c r="RL652" s="1271"/>
      <c r="RM652" s="1271"/>
      <c r="RN652" s="1271"/>
      <c r="RO652" s="1271"/>
      <c r="RP652" s="1271"/>
      <c r="RQ652" s="1271"/>
      <c r="RR652" s="1271"/>
      <c r="RS652" s="1271"/>
      <c r="RT652" s="1271"/>
      <c r="RU652" s="1271"/>
      <c r="RV652" s="1271"/>
      <c r="RW652" s="1271"/>
      <c r="RX652" s="1271"/>
      <c r="RY652" s="1271"/>
      <c r="RZ652" s="1271"/>
      <c r="SA652" s="1271"/>
      <c r="SB652" s="1271"/>
      <c r="SC652" s="1271"/>
      <c r="SD652" s="1271"/>
      <c r="SE652" s="1271"/>
      <c r="SF652" s="1271"/>
      <c r="SG652" s="1271"/>
      <c r="SH652" s="1271"/>
      <c r="SI652" s="1271"/>
      <c r="SJ652" s="1271"/>
      <c r="SK652" s="1271"/>
      <c r="SL652" s="1271"/>
      <c r="SM652" s="1271"/>
      <c r="SN652" s="1271"/>
      <c r="SO652" s="1271"/>
      <c r="SP652" s="1271"/>
      <c r="SQ652" s="1271"/>
      <c r="SR652" s="1271"/>
      <c r="SS652" s="1271"/>
      <c r="ST652" s="1271"/>
      <c r="SU652" s="1271"/>
      <c r="SV652" s="1271"/>
      <c r="SW652" s="1271"/>
      <c r="SX652" s="1271"/>
      <c r="SY652" s="1271"/>
      <c r="SZ652" s="1271"/>
      <c r="TA652" s="1271"/>
      <c r="TB652" s="1271"/>
      <c r="TC652" s="1271"/>
      <c r="TD652" s="1271"/>
      <c r="TE652" s="1271"/>
      <c r="TF652" s="1271"/>
      <c r="TG652" s="1271"/>
      <c r="TH652" s="1271"/>
      <c r="TI652" s="1271"/>
      <c r="TJ652" s="1271"/>
      <c r="TK652" s="1271"/>
      <c r="TL652" s="1271"/>
      <c r="TM652" s="1271"/>
      <c r="TN652" s="1271"/>
      <c r="TO652" s="1271"/>
      <c r="TP652" s="1271"/>
      <c r="TQ652" s="1271"/>
      <c r="TR652" s="1271"/>
      <c r="TS652" s="1271"/>
      <c r="TT652" s="1271"/>
      <c r="TU652" s="1271"/>
      <c r="TV652" s="1271"/>
      <c r="TW652" s="1271"/>
      <c r="TX652" s="1271"/>
      <c r="TY652" s="1271"/>
      <c r="TZ652" s="1271"/>
      <c r="UA652" s="1271"/>
      <c r="UB652" s="1271"/>
      <c r="UC652" s="1271"/>
      <c r="UD652" s="1271"/>
      <c r="UE652" s="1271"/>
      <c r="UF652" s="1271"/>
      <c r="UG652" s="1272"/>
    </row>
    <row r="653" spans="1:553" s="1262" customFormat="1" ht="30.75" customHeight="1">
      <c r="A653" s="366"/>
      <c r="B653" s="366"/>
      <c r="C653" s="1523" t="s">
        <v>463</v>
      </c>
      <c r="D653" s="1389"/>
      <c r="E653" s="1389"/>
      <c r="F653" s="1389"/>
      <c r="G653" s="1226" t="s">
        <v>196</v>
      </c>
      <c r="H653" s="586"/>
      <c r="I653" s="422">
        <f>(20.51*100/400)*(12-(5-3))*1</f>
        <v>51.275000000000006</v>
      </c>
      <c r="J653" s="368">
        <v>3100</v>
      </c>
      <c r="K653" s="565">
        <v>0.7</v>
      </c>
      <c r="L653" s="480">
        <f t="shared" si="106"/>
        <v>111266.75000000001</v>
      </c>
      <c r="M653" s="366"/>
      <c r="N653" s="366"/>
      <c r="O653" s="366"/>
      <c r="P653" s="366"/>
      <c r="Q653" s="812"/>
      <c r="R653" s="1452"/>
      <c r="S653" s="308"/>
      <c r="T653" s="308"/>
      <c r="U653" s="308"/>
      <c r="V653" s="308"/>
      <c r="W653" s="308"/>
      <c r="X653" s="308"/>
      <c r="Y653" s="308"/>
      <c r="Z653" s="604"/>
      <c r="AA653" s="308"/>
      <c r="AB653" s="308"/>
      <c r="AC653" s="449"/>
      <c r="AD653" s="449"/>
      <c r="AE653" s="449"/>
      <c r="AF653" s="449"/>
      <c r="AG653" s="449"/>
      <c r="AH653" s="449"/>
      <c r="AI653" s="449"/>
      <c r="AJ653" s="449"/>
      <c r="AK653" s="452"/>
      <c r="AL653" s="1269"/>
      <c r="AM653" s="1270"/>
      <c r="AN653" s="1270"/>
      <c r="AO653" s="1270"/>
      <c r="AP653" s="1270"/>
      <c r="AQ653" s="1270"/>
      <c r="AR653" s="1270"/>
      <c r="AS653" s="1260"/>
      <c r="AT653" s="1260"/>
      <c r="AU653" s="1260"/>
      <c r="AV653" s="1260"/>
      <c r="AW653" s="1260"/>
      <c r="AX653" s="1260"/>
      <c r="AY653" s="1260"/>
      <c r="AZ653" s="1260"/>
      <c r="BA653" s="1260"/>
      <c r="BB653" s="1260"/>
      <c r="BC653" s="1260"/>
      <c r="BD653" s="1260"/>
      <c r="BE653" s="1260"/>
      <c r="BF653" s="1260"/>
      <c r="BG653" s="1260"/>
      <c r="BH653" s="1260"/>
      <c r="BI653" s="1260"/>
      <c r="BJ653" s="1260"/>
      <c r="BK653" s="1260"/>
      <c r="BL653" s="1260"/>
      <c r="BM653" s="1260"/>
      <c r="BN653" s="1260"/>
      <c r="BO653" s="1260"/>
      <c r="BP653" s="1271"/>
      <c r="BQ653" s="1271"/>
      <c r="BR653" s="1271"/>
      <c r="BS653" s="1271"/>
      <c r="BT653" s="1271"/>
      <c r="BU653" s="1271"/>
      <c r="BV653" s="1271"/>
      <c r="BW653" s="1271"/>
      <c r="BX653" s="1271"/>
      <c r="BY653" s="1271"/>
      <c r="BZ653" s="1271"/>
      <c r="CA653" s="1271"/>
      <c r="CB653" s="1271"/>
      <c r="CC653" s="1271"/>
      <c r="CD653" s="1271"/>
      <c r="CE653" s="1271"/>
      <c r="CF653" s="1271"/>
      <c r="CG653" s="1271"/>
      <c r="CH653" s="1271"/>
      <c r="CI653" s="1271"/>
      <c r="CJ653" s="1271"/>
      <c r="CK653" s="1271"/>
      <c r="CL653" s="1271"/>
      <c r="CM653" s="1271"/>
      <c r="CN653" s="1271"/>
      <c r="CO653" s="1271"/>
      <c r="CP653" s="1271"/>
      <c r="CQ653" s="1271"/>
      <c r="CR653" s="1271"/>
      <c r="CS653" s="1271"/>
      <c r="CT653" s="1271"/>
      <c r="CU653" s="1271"/>
      <c r="CV653" s="1271"/>
      <c r="CW653" s="1271"/>
      <c r="CX653" s="1271"/>
      <c r="CY653" s="1271"/>
      <c r="CZ653" s="1271"/>
      <c r="DA653" s="1271"/>
      <c r="DB653" s="1271"/>
      <c r="DC653" s="1271"/>
      <c r="DD653" s="1271"/>
      <c r="DE653" s="1271"/>
      <c r="DF653" s="1271"/>
      <c r="DG653" s="1271"/>
      <c r="DH653" s="1271"/>
      <c r="DI653" s="1271"/>
      <c r="DJ653" s="1271"/>
      <c r="DK653" s="1271"/>
      <c r="DL653" s="1271"/>
      <c r="DM653" s="1271"/>
      <c r="DN653" s="1271"/>
      <c r="DO653" s="1271"/>
      <c r="DP653" s="1271"/>
      <c r="DQ653" s="1271"/>
      <c r="DR653" s="1271"/>
      <c r="DS653" s="1271"/>
      <c r="DT653" s="1271"/>
      <c r="DU653" s="1271"/>
      <c r="DV653" s="1271"/>
      <c r="DW653" s="1271"/>
      <c r="DX653" s="1271"/>
      <c r="DY653" s="1271"/>
      <c r="DZ653" s="1271"/>
      <c r="EA653" s="1271"/>
      <c r="EB653" s="1271"/>
      <c r="EC653" s="1271"/>
      <c r="ED653" s="1271"/>
      <c r="EE653" s="1271"/>
      <c r="EF653" s="1271"/>
      <c r="EG653" s="1271"/>
      <c r="EH653" s="1271"/>
      <c r="EI653" s="1271"/>
      <c r="EJ653" s="1271"/>
      <c r="EK653" s="1271"/>
      <c r="EL653" s="1271"/>
      <c r="EM653" s="1271"/>
      <c r="EN653" s="1271"/>
      <c r="EO653" s="1271"/>
      <c r="EP653" s="1271"/>
      <c r="EQ653" s="1271"/>
      <c r="ER653" s="1271"/>
      <c r="ES653" s="1271"/>
      <c r="ET653" s="1271"/>
      <c r="EU653" s="1271"/>
      <c r="EV653" s="1271"/>
      <c r="EW653" s="1271"/>
      <c r="EX653" s="1271"/>
      <c r="EY653" s="1271"/>
      <c r="EZ653" s="1271"/>
      <c r="FA653" s="1271"/>
      <c r="FB653" s="1271"/>
      <c r="FC653" s="1271"/>
      <c r="FD653" s="1271"/>
      <c r="FE653" s="1271"/>
      <c r="FF653" s="1271"/>
      <c r="FG653" s="1271"/>
      <c r="FH653" s="1271"/>
      <c r="FI653" s="1271"/>
      <c r="FJ653" s="1271"/>
      <c r="FK653" s="1271"/>
      <c r="FL653" s="1271"/>
      <c r="FM653" s="1271"/>
      <c r="FN653" s="1271"/>
      <c r="FO653" s="1271"/>
      <c r="FP653" s="1271"/>
      <c r="FQ653" s="1271"/>
      <c r="FR653" s="1271"/>
      <c r="FS653" s="1271"/>
      <c r="FT653" s="1271"/>
      <c r="FU653" s="1271"/>
      <c r="FV653" s="1271"/>
      <c r="FW653" s="1271"/>
      <c r="FX653" s="1271"/>
      <c r="FY653" s="1271"/>
      <c r="FZ653" s="1271"/>
      <c r="GA653" s="1271"/>
      <c r="GB653" s="1271"/>
      <c r="GC653" s="1271"/>
      <c r="GD653" s="1271"/>
      <c r="GE653" s="1271"/>
      <c r="GF653" s="1271"/>
      <c r="GG653" s="1271"/>
      <c r="GH653" s="1271"/>
      <c r="GI653" s="1271"/>
      <c r="GJ653" s="1271"/>
      <c r="GK653" s="1271"/>
      <c r="GL653" s="1271"/>
      <c r="GM653" s="1271"/>
      <c r="GN653" s="1271"/>
      <c r="GO653" s="1271"/>
      <c r="GP653" s="1271"/>
      <c r="GQ653" s="1271"/>
      <c r="GR653" s="1271"/>
      <c r="GS653" s="1271"/>
      <c r="GT653" s="1271"/>
      <c r="GU653" s="1271"/>
      <c r="GV653" s="1271"/>
      <c r="GW653" s="1271"/>
      <c r="GX653" s="1271"/>
      <c r="GY653" s="1271"/>
      <c r="GZ653" s="1271"/>
      <c r="HA653" s="1271"/>
      <c r="HB653" s="1271"/>
      <c r="HC653" s="1271"/>
      <c r="HD653" s="1271"/>
      <c r="HE653" s="1271"/>
      <c r="HF653" s="1271"/>
      <c r="HG653" s="1271"/>
      <c r="HH653" s="1271"/>
      <c r="HI653" s="1271"/>
      <c r="HJ653" s="1271"/>
      <c r="HK653" s="1271"/>
      <c r="HL653" s="1271"/>
      <c r="HM653" s="1271"/>
      <c r="HN653" s="1271"/>
      <c r="HO653" s="1271"/>
      <c r="HP653" s="1271"/>
      <c r="HQ653" s="1271"/>
      <c r="HR653" s="1271"/>
      <c r="HS653" s="1271"/>
      <c r="HT653" s="1271"/>
      <c r="HU653" s="1271"/>
      <c r="HV653" s="1271"/>
      <c r="HW653" s="1271"/>
      <c r="HX653" s="1271"/>
      <c r="HY653" s="1271"/>
      <c r="HZ653" s="1271"/>
      <c r="IA653" s="1271"/>
      <c r="IB653" s="1271"/>
      <c r="IC653" s="1271"/>
      <c r="ID653" s="1271"/>
      <c r="IE653" s="1271"/>
      <c r="IF653" s="1271"/>
      <c r="IG653" s="1271"/>
      <c r="IH653" s="1271"/>
      <c r="II653" s="1271"/>
      <c r="IJ653" s="1271"/>
      <c r="IK653" s="1271"/>
      <c r="IL653" s="1271"/>
      <c r="IM653" s="1271"/>
      <c r="IN653" s="1271"/>
      <c r="IO653" s="1271"/>
      <c r="IP653" s="1271"/>
      <c r="IQ653" s="1271"/>
      <c r="IR653" s="1271"/>
      <c r="IS653" s="1271"/>
      <c r="IT653" s="1271"/>
      <c r="IU653" s="1271"/>
      <c r="IV653" s="1271"/>
      <c r="IW653" s="1271"/>
      <c r="IX653" s="1271"/>
      <c r="IY653" s="1271"/>
      <c r="IZ653" s="1271"/>
      <c r="JA653" s="1271"/>
      <c r="JB653" s="1271"/>
      <c r="JC653" s="1271"/>
      <c r="JD653" s="1271"/>
      <c r="JE653" s="1271"/>
      <c r="JF653" s="1271"/>
      <c r="JG653" s="1271"/>
      <c r="JH653" s="1271"/>
      <c r="JI653" s="1271"/>
      <c r="JJ653" s="1271"/>
      <c r="JK653" s="1271"/>
      <c r="JL653" s="1271"/>
      <c r="JM653" s="1271"/>
      <c r="JN653" s="1271"/>
      <c r="JO653" s="1271"/>
      <c r="JP653" s="1271"/>
      <c r="JQ653" s="1271"/>
      <c r="JR653" s="1271"/>
      <c r="JS653" s="1271"/>
      <c r="JT653" s="1271"/>
      <c r="JU653" s="1271"/>
      <c r="JV653" s="1271"/>
      <c r="JW653" s="1271"/>
      <c r="JX653" s="1271"/>
      <c r="JY653" s="1271"/>
      <c r="JZ653" s="1271"/>
      <c r="KA653" s="1271"/>
      <c r="KB653" s="1271"/>
      <c r="KC653" s="1271"/>
      <c r="KD653" s="1271"/>
      <c r="KE653" s="1271"/>
      <c r="KF653" s="1271"/>
      <c r="KG653" s="1271"/>
      <c r="KH653" s="1271"/>
      <c r="KI653" s="1271"/>
      <c r="KJ653" s="1271"/>
      <c r="KK653" s="1271"/>
      <c r="KL653" s="1271"/>
      <c r="KM653" s="1271"/>
      <c r="KN653" s="1271"/>
      <c r="KO653" s="1271"/>
      <c r="KP653" s="1271"/>
      <c r="KQ653" s="1271"/>
      <c r="KR653" s="1271"/>
      <c r="KS653" s="1271"/>
      <c r="KT653" s="1271"/>
      <c r="KU653" s="1271"/>
      <c r="KV653" s="1271"/>
      <c r="KW653" s="1271"/>
      <c r="KX653" s="1271"/>
      <c r="KY653" s="1271"/>
      <c r="KZ653" s="1271"/>
      <c r="LA653" s="1271"/>
      <c r="LB653" s="1271"/>
      <c r="LC653" s="1271"/>
      <c r="LD653" s="1271"/>
      <c r="LE653" s="1271"/>
      <c r="LF653" s="1271"/>
      <c r="LG653" s="1271"/>
      <c r="LH653" s="1271"/>
      <c r="LI653" s="1271"/>
      <c r="LJ653" s="1271"/>
      <c r="LK653" s="1271"/>
      <c r="LL653" s="1271"/>
      <c r="LM653" s="1271"/>
      <c r="LN653" s="1271"/>
      <c r="LO653" s="1271"/>
      <c r="LP653" s="1271"/>
      <c r="LQ653" s="1271"/>
      <c r="LR653" s="1271"/>
      <c r="LS653" s="1271"/>
      <c r="LT653" s="1271"/>
      <c r="LU653" s="1271"/>
      <c r="LV653" s="1271"/>
      <c r="LW653" s="1271"/>
      <c r="LX653" s="1271"/>
      <c r="LY653" s="1271"/>
      <c r="LZ653" s="1271"/>
      <c r="MA653" s="1271"/>
      <c r="MB653" s="1271"/>
      <c r="MC653" s="1271"/>
      <c r="MD653" s="1271"/>
      <c r="ME653" s="1271"/>
      <c r="MF653" s="1271"/>
      <c r="MG653" s="1271"/>
      <c r="MH653" s="1271"/>
      <c r="MI653" s="1271"/>
      <c r="MJ653" s="1271"/>
      <c r="MK653" s="1271"/>
      <c r="ML653" s="1271"/>
      <c r="MM653" s="1271"/>
      <c r="MN653" s="1271"/>
      <c r="MO653" s="1271"/>
      <c r="MP653" s="1271"/>
      <c r="MQ653" s="1271"/>
      <c r="MR653" s="1271"/>
      <c r="MS653" s="1271"/>
      <c r="MT653" s="1271"/>
      <c r="MU653" s="1271"/>
      <c r="MV653" s="1271"/>
      <c r="MW653" s="1271"/>
      <c r="MX653" s="1271"/>
      <c r="MY653" s="1271"/>
      <c r="MZ653" s="1271"/>
      <c r="NA653" s="1271"/>
      <c r="NB653" s="1271"/>
      <c r="NC653" s="1271"/>
      <c r="ND653" s="1271"/>
      <c r="NE653" s="1271"/>
      <c r="NF653" s="1271"/>
      <c r="NG653" s="1271"/>
      <c r="NH653" s="1271"/>
      <c r="NI653" s="1271"/>
      <c r="NJ653" s="1271"/>
      <c r="NK653" s="1271"/>
      <c r="NL653" s="1271"/>
      <c r="NM653" s="1271"/>
      <c r="NN653" s="1271"/>
      <c r="NO653" s="1271"/>
      <c r="NP653" s="1271"/>
      <c r="NQ653" s="1271"/>
      <c r="NR653" s="1271"/>
      <c r="NS653" s="1271"/>
      <c r="NT653" s="1271"/>
      <c r="NU653" s="1271"/>
      <c r="NV653" s="1271"/>
      <c r="NW653" s="1271"/>
      <c r="NX653" s="1271"/>
      <c r="NY653" s="1271"/>
      <c r="NZ653" s="1271"/>
      <c r="OA653" s="1271"/>
      <c r="OB653" s="1271"/>
      <c r="OC653" s="1271"/>
      <c r="OD653" s="1271"/>
      <c r="OE653" s="1271"/>
      <c r="OF653" s="1271"/>
      <c r="OG653" s="1271"/>
      <c r="OH653" s="1271"/>
      <c r="OI653" s="1271"/>
      <c r="OJ653" s="1271"/>
      <c r="OK653" s="1271"/>
      <c r="OL653" s="1271"/>
      <c r="OM653" s="1271"/>
      <c r="ON653" s="1271"/>
      <c r="OO653" s="1271"/>
      <c r="OP653" s="1271"/>
      <c r="OQ653" s="1271"/>
      <c r="OR653" s="1271"/>
      <c r="OS653" s="1271"/>
      <c r="OT653" s="1271"/>
      <c r="OU653" s="1271"/>
      <c r="OV653" s="1271"/>
      <c r="OW653" s="1271"/>
      <c r="OX653" s="1271"/>
      <c r="OY653" s="1271"/>
      <c r="OZ653" s="1271"/>
      <c r="PA653" s="1271"/>
      <c r="PB653" s="1271"/>
      <c r="PC653" s="1271"/>
      <c r="PD653" s="1271"/>
      <c r="PE653" s="1271"/>
      <c r="PF653" s="1271"/>
      <c r="PG653" s="1271"/>
      <c r="PH653" s="1271"/>
      <c r="PI653" s="1271"/>
      <c r="PJ653" s="1271"/>
      <c r="PK653" s="1271"/>
      <c r="PL653" s="1271"/>
      <c r="PM653" s="1271"/>
      <c r="PN653" s="1271"/>
      <c r="PO653" s="1271"/>
      <c r="PP653" s="1271"/>
      <c r="PQ653" s="1271"/>
      <c r="PR653" s="1271"/>
      <c r="PS653" s="1271"/>
      <c r="PT653" s="1271"/>
      <c r="PU653" s="1271"/>
      <c r="PV653" s="1271"/>
      <c r="PW653" s="1271"/>
      <c r="PX653" s="1271"/>
      <c r="PY653" s="1271"/>
      <c r="PZ653" s="1271"/>
      <c r="QA653" s="1271"/>
      <c r="QB653" s="1271"/>
      <c r="QC653" s="1271"/>
      <c r="QD653" s="1271"/>
      <c r="QE653" s="1271"/>
      <c r="QF653" s="1271"/>
      <c r="QG653" s="1271"/>
      <c r="QH653" s="1271"/>
      <c r="QI653" s="1271"/>
      <c r="QJ653" s="1271"/>
      <c r="QK653" s="1271"/>
      <c r="QL653" s="1271"/>
      <c r="QM653" s="1271"/>
      <c r="QN653" s="1271"/>
      <c r="QO653" s="1271"/>
      <c r="QP653" s="1271"/>
      <c r="QQ653" s="1271"/>
      <c r="QR653" s="1271"/>
      <c r="QS653" s="1271"/>
      <c r="QT653" s="1271"/>
      <c r="QU653" s="1271"/>
      <c r="QV653" s="1271"/>
      <c r="QW653" s="1271"/>
      <c r="QX653" s="1271"/>
      <c r="QY653" s="1271"/>
      <c r="QZ653" s="1271"/>
      <c r="RA653" s="1271"/>
      <c r="RB653" s="1271"/>
      <c r="RC653" s="1271"/>
      <c r="RD653" s="1271"/>
      <c r="RE653" s="1271"/>
      <c r="RF653" s="1271"/>
      <c r="RG653" s="1271"/>
      <c r="RH653" s="1271"/>
      <c r="RI653" s="1271"/>
      <c r="RJ653" s="1271"/>
      <c r="RK653" s="1271"/>
      <c r="RL653" s="1271"/>
      <c r="RM653" s="1271"/>
      <c r="RN653" s="1271"/>
      <c r="RO653" s="1271"/>
      <c r="RP653" s="1271"/>
      <c r="RQ653" s="1271"/>
      <c r="RR653" s="1271"/>
      <c r="RS653" s="1271"/>
      <c r="RT653" s="1271"/>
      <c r="RU653" s="1271"/>
      <c r="RV653" s="1271"/>
      <c r="RW653" s="1271"/>
      <c r="RX653" s="1271"/>
      <c r="RY653" s="1271"/>
      <c r="RZ653" s="1271"/>
      <c r="SA653" s="1271"/>
      <c r="SB653" s="1271"/>
      <c r="SC653" s="1271"/>
      <c r="SD653" s="1271"/>
      <c r="SE653" s="1271"/>
      <c r="SF653" s="1271"/>
      <c r="SG653" s="1271"/>
      <c r="SH653" s="1271"/>
      <c r="SI653" s="1271"/>
      <c r="SJ653" s="1271"/>
      <c r="SK653" s="1271"/>
      <c r="SL653" s="1271"/>
      <c r="SM653" s="1271"/>
      <c r="SN653" s="1271"/>
      <c r="SO653" s="1271"/>
      <c r="SP653" s="1271"/>
      <c r="SQ653" s="1271"/>
      <c r="SR653" s="1271"/>
      <c r="SS653" s="1271"/>
      <c r="ST653" s="1271"/>
      <c r="SU653" s="1271"/>
      <c r="SV653" s="1271"/>
      <c r="SW653" s="1271"/>
      <c r="SX653" s="1271"/>
      <c r="SY653" s="1271"/>
      <c r="SZ653" s="1271"/>
      <c r="TA653" s="1271"/>
      <c r="TB653" s="1271"/>
      <c r="TC653" s="1271"/>
      <c r="TD653" s="1271"/>
      <c r="TE653" s="1271"/>
      <c r="TF653" s="1271"/>
      <c r="TG653" s="1271"/>
      <c r="TH653" s="1271"/>
      <c r="TI653" s="1271"/>
      <c r="TJ653" s="1271"/>
      <c r="TK653" s="1271"/>
      <c r="TL653" s="1271"/>
      <c r="TM653" s="1271"/>
      <c r="TN653" s="1271"/>
      <c r="TO653" s="1271"/>
      <c r="TP653" s="1271"/>
      <c r="TQ653" s="1271"/>
      <c r="TR653" s="1271"/>
      <c r="TS653" s="1271"/>
      <c r="TT653" s="1271"/>
      <c r="TU653" s="1271"/>
      <c r="TV653" s="1271"/>
      <c r="TW653" s="1271"/>
      <c r="TX653" s="1271"/>
      <c r="TY653" s="1271"/>
      <c r="TZ653" s="1271"/>
      <c r="UA653" s="1271"/>
      <c r="UB653" s="1271"/>
      <c r="UC653" s="1271"/>
      <c r="UD653" s="1271"/>
      <c r="UE653" s="1271"/>
      <c r="UF653" s="1271"/>
      <c r="UG653" s="1272"/>
    </row>
    <row r="654" spans="1:553" s="1262" customFormat="1" ht="30.75" customHeight="1">
      <c r="A654" s="402"/>
      <c r="B654" s="402"/>
      <c r="C654" s="1524" t="s">
        <v>464</v>
      </c>
      <c r="D654" s="1466"/>
      <c r="E654" s="1466"/>
      <c r="F654" s="1466"/>
      <c r="G654" s="1226" t="s">
        <v>196</v>
      </c>
      <c r="H654" s="605"/>
      <c r="I654" s="420">
        <f>(86.32*100/400)*(17-(5-3))*1</f>
        <v>323.7</v>
      </c>
      <c r="J654" s="985">
        <v>9800</v>
      </c>
      <c r="K654" s="1021">
        <v>0.7</v>
      </c>
      <c r="L654" s="1013">
        <f>I654*J654*K654</f>
        <v>2220582</v>
      </c>
      <c r="M654" s="402"/>
      <c r="N654" s="402"/>
      <c r="O654" s="402"/>
      <c r="P654" s="402"/>
      <c r="Q654" s="1135"/>
      <c r="R654" s="1452"/>
      <c r="S654" s="308"/>
      <c r="T654" s="308"/>
      <c r="U654" s="308"/>
      <c r="V654" s="308"/>
      <c r="W654" s="308"/>
      <c r="X654" s="308"/>
      <c r="Y654" s="308"/>
      <c r="Z654" s="604"/>
      <c r="AA654" s="308"/>
      <c r="AB654" s="308"/>
      <c r="AC654" s="449"/>
      <c r="AD654" s="452"/>
      <c r="AE654" s="452"/>
      <c r="AF654" s="452"/>
      <c r="AG654" s="452"/>
      <c r="AH654" s="452"/>
      <c r="AI654" s="452"/>
      <c r="AJ654" s="452"/>
      <c r="AK654" s="452"/>
      <c r="AL654" s="1259"/>
      <c r="AM654" s="1260"/>
      <c r="AN654" s="1260"/>
      <c r="AO654" s="1260"/>
      <c r="AP654" s="1260"/>
      <c r="AQ654" s="1260"/>
      <c r="AR654" s="1260"/>
      <c r="AS654" s="1260"/>
      <c r="AT654" s="1260"/>
      <c r="AU654" s="1260"/>
      <c r="AV654" s="1260"/>
      <c r="AW654" s="1260"/>
      <c r="AX654" s="1260"/>
      <c r="AY654" s="1260"/>
      <c r="AZ654" s="1260"/>
      <c r="BA654" s="1260"/>
      <c r="BB654" s="1260"/>
      <c r="BC654" s="1260"/>
      <c r="BD654" s="1260"/>
      <c r="BE654" s="1260"/>
      <c r="BF654" s="1260"/>
      <c r="BG654" s="1260"/>
      <c r="BH654" s="1260"/>
      <c r="BI654" s="1260"/>
      <c r="BJ654" s="1260"/>
      <c r="BK654" s="1260"/>
      <c r="BL654" s="1260"/>
      <c r="BM654" s="1260"/>
      <c r="BN654" s="1260"/>
      <c r="BO654" s="1260"/>
      <c r="BP654" s="1260"/>
      <c r="BQ654" s="1260"/>
      <c r="BR654" s="1260"/>
      <c r="BS654" s="1260"/>
      <c r="BT654" s="1260"/>
      <c r="BU654" s="1260"/>
      <c r="BV654" s="1260"/>
      <c r="BW654" s="1260"/>
      <c r="BX654" s="1260"/>
      <c r="BY654" s="1260"/>
      <c r="BZ654" s="1260"/>
      <c r="CA654" s="1260"/>
      <c r="CB654" s="1260"/>
      <c r="CC654" s="1260"/>
      <c r="CD654" s="1260"/>
      <c r="CE654" s="1260"/>
      <c r="CF654" s="1260"/>
      <c r="CG654" s="1260"/>
      <c r="CH654" s="1260"/>
      <c r="CI654" s="1260"/>
      <c r="CJ654" s="1260"/>
      <c r="CK654" s="1260"/>
      <c r="CL654" s="1260"/>
      <c r="CM654" s="1260"/>
      <c r="CN654" s="1260"/>
      <c r="CO654" s="1260"/>
      <c r="CP654" s="1260"/>
      <c r="CQ654" s="1260"/>
      <c r="CR654" s="1260"/>
      <c r="CS654" s="1260"/>
      <c r="CT654" s="1260"/>
      <c r="CU654" s="1260"/>
      <c r="CV654" s="1260"/>
      <c r="CW654" s="1260"/>
      <c r="CX654" s="1260"/>
      <c r="CY654" s="1260"/>
      <c r="CZ654" s="1260"/>
      <c r="DA654" s="1260"/>
      <c r="DB654" s="1260"/>
      <c r="DC654" s="1260"/>
      <c r="DD654" s="1260"/>
      <c r="DE654" s="1260"/>
      <c r="DF654" s="1260"/>
      <c r="DG654" s="1260"/>
      <c r="DH654" s="1260"/>
      <c r="DI654" s="1260"/>
      <c r="DJ654" s="1260"/>
      <c r="DK654" s="1260"/>
      <c r="DL654" s="1260"/>
      <c r="DM654" s="1260"/>
      <c r="DN654" s="1260"/>
      <c r="DO654" s="1260"/>
      <c r="DP654" s="1260"/>
      <c r="DQ654" s="1260"/>
      <c r="DR654" s="1260"/>
      <c r="DS654" s="1260"/>
      <c r="DT654" s="1260"/>
      <c r="DU654" s="1260"/>
      <c r="DV654" s="1260"/>
      <c r="DW654" s="1260"/>
      <c r="DX654" s="1260"/>
      <c r="DY654" s="1260"/>
      <c r="DZ654" s="1260"/>
      <c r="EA654" s="1260"/>
      <c r="EB654" s="1260"/>
      <c r="EC654" s="1260"/>
      <c r="ED654" s="1260"/>
      <c r="EE654" s="1260"/>
      <c r="EF654" s="1260"/>
      <c r="EG654" s="1260"/>
      <c r="EH654" s="1260"/>
      <c r="EI654" s="1260"/>
      <c r="EJ654" s="1260"/>
      <c r="EK654" s="1260"/>
      <c r="EL654" s="1260"/>
      <c r="EM654" s="1260"/>
      <c r="EN654" s="1260"/>
      <c r="EO654" s="1260"/>
      <c r="EP654" s="1260"/>
      <c r="EQ654" s="1260"/>
      <c r="ER654" s="1260"/>
      <c r="ES654" s="1260"/>
      <c r="ET654" s="1260"/>
      <c r="EU654" s="1260"/>
      <c r="EV654" s="1260"/>
      <c r="EW654" s="1260"/>
      <c r="EX654" s="1260"/>
      <c r="EY654" s="1260"/>
      <c r="EZ654" s="1260"/>
      <c r="FA654" s="1260"/>
      <c r="FB654" s="1260"/>
      <c r="FC654" s="1260"/>
      <c r="FD654" s="1260"/>
      <c r="FE654" s="1260"/>
      <c r="FF654" s="1260"/>
      <c r="FG654" s="1260"/>
      <c r="FH654" s="1260"/>
      <c r="FI654" s="1260"/>
      <c r="FJ654" s="1260"/>
      <c r="FK654" s="1260"/>
      <c r="FL654" s="1260"/>
      <c r="FM654" s="1260"/>
      <c r="FN654" s="1260"/>
      <c r="FO654" s="1260"/>
      <c r="FP654" s="1260"/>
      <c r="FQ654" s="1260"/>
      <c r="FR654" s="1260"/>
      <c r="FS654" s="1260"/>
      <c r="FT654" s="1260"/>
      <c r="FU654" s="1260"/>
      <c r="FV654" s="1260"/>
      <c r="FW654" s="1260"/>
      <c r="FX654" s="1260"/>
      <c r="FY654" s="1260"/>
      <c r="FZ654" s="1260"/>
      <c r="GA654" s="1260"/>
      <c r="GB654" s="1260"/>
      <c r="GC654" s="1260"/>
      <c r="GD654" s="1260"/>
      <c r="GE654" s="1260"/>
      <c r="GF654" s="1260"/>
      <c r="GG654" s="1260"/>
      <c r="GH654" s="1260"/>
      <c r="GI654" s="1260"/>
      <c r="GJ654" s="1260"/>
      <c r="GK654" s="1260"/>
      <c r="GL654" s="1260"/>
      <c r="GM654" s="1260"/>
      <c r="GN654" s="1260"/>
      <c r="GO654" s="1260"/>
      <c r="GP654" s="1260"/>
      <c r="GQ654" s="1260"/>
      <c r="GR654" s="1260"/>
      <c r="GS654" s="1260"/>
      <c r="GT654" s="1260"/>
      <c r="GU654" s="1260"/>
      <c r="GV654" s="1260"/>
      <c r="GW654" s="1260"/>
      <c r="GX654" s="1260"/>
      <c r="GY654" s="1260"/>
      <c r="GZ654" s="1260"/>
      <c r="HA654" s="1260"/>
      <c r="HB654" s="1260"/>
      <c r="HC654" s="1260"/>
      <c r="HD654" s="1260"/>
      <c r="HE654" s="1260"/>
      <c r="HF654" s="1260"/>
      <c r="HG654" s="1260"/>
      <c r="HH654" s="1260"/>
      <c r="HI654" s="1260"/>
      <c r="HJ654" s="1260"/>
      <c r="HK654" s="1260"/>
      <c r="HL654" s="1260"/>
      <c r="HM654" s="1260"/>
      <c r="HN654" s="1260"/>
      <c r="HO654" s="1260"/>
      <c r="HP654" s="1260"/>
      <c r="HQ654" s="1260"/>
      <c r="HR654" s="1260"/>
      <c r="HS654" s="1260"/>
      <c r="HT654" s="1260"/>
      <c r="HU654" s="1260"/>
      <c r="HV654" s="1260"/>
      <c r="HW654" s="1260"/>
      <c r="HX654" s="1260"/>
      <c r="HY654" s="1260"/>
      <c r="HZ654" s="1260"/>
      <c r="IA654" s="1260"/>
      <c r="IB654" s="1260"/>
      <c r="IC654" s="1260"/>
      <c r="ID654" s="1260"/>
      <c r="IE654" s="1260"/>
      <c r="IF654" s="1260"/>
      <c r="IG654" s="1260"/>
      <c r="IH654" s="1260"/>
      <c r="II654" s="1260"/>
      <c r="IJ654" s="1260"/>
      <c r="IK654" s="1260"/>
      <c r="IL654" s="1260"/>
      <c r="IM654" s="1260"/>
      <c r="IN654" s="1260"/>
      <c r="IO654" s="1260"/>
      <c r="IP654" s="1260"/>
      <c r="IQ654" s="1260"/>
      <c r="IR654" s="1260"/>
      <c r="IS654" s="1260"/>
      <c r="IT654" s="1260"/>
      <c r="IU654" s="1260"/>
      <c r="IV654" s="1260"/>
      <c r="IW654" s="1260"/>
      <c r="IX654" s="1260"/>
      <c r="IY654" s="1260"/>
      <c r="IZ654" s="1260"/>
      <c r="JA654" s="1260"/>
      <c r="JB654" s="1260"/>
      <c r="JC654" s="1260"/>
      <c r="JD654" s="1260"/>
      <c r="JE654" s="1260"/>
      <c r="JF654" s="1260"/>
      <c r="JG654" s="1260"/>
      <c r="JH654" s="1260"/>
      <c r="JI654" s="1260"/>
      <c r="JJ654" s="1260"/>
      <c r="JK654" s="1260"/>
      <c r="JL654" s="1260"/>
      <c r="JM654" s="1260"/>
      <c r="JN654" s="1260"/>
      <c r="JO654" s="1260"/>
      <c r="JP654" s="1260"/>
      <c r="JQ654" s="1260"/>
      <c r="JR654" s="1260"/>
      <c r="JS654" s="1260"/>
      <c r="JT654" s="1260"/>
      <c r="JU654" s="1260"/>
      <c r="JV654" s="1260"/>
      <c r="JW654" s="1260"/>
      <c r="JX654" s="1260"/>
      <c r="JY654" s="1260"/>
      <c r="JZ654" s="1260"/>
      <c r="KA654" s="1260"/>
      <c r="KB654" s="1260"/>
      <c r="KC654" s="1260"/>
      <c r="KD654" s="1260"/>
      <c r="KE654" s="1260"/>
      <c r="KF654" s="1260"/>
      <c r="KG654" s="1260"/>
      <c r="KH654" s="1260"/>
      <c r="KI654" s="1260"/>
      <c r="KJ654" s="1260"/>
      <c r="KK654" s="1260"/>
      <c r="KL654" s="1260"/>
      <c r="KM654" s="1260"/>
      <c r="KN654" s="1260"/>
      <c r="KO654" s="1260"/>
      <c r="KP654" s="1260"/>
      <c r="KQ654" s="1260"/>
      <c r="KR654" s="1260"/>
      <c r="KS654" s="1260"/>
      <c r="KT654" s="1260"/>
      <c r="KU654" s="1260"/>
      <c r="KV654" s="1260"/>
      <c r="KW654" s="1260"/>
      <c r="KX654" s="1260"/>
      <c r="KY654" s="1260"/>
      <c r="KZ654" s="1260"/>
      <c r="LA654" s="1260"/>
      <c r="LB654" s="1260"/>
      <c r="LC654" s="1260"/>
      <c r="LD654" s="1260"/>
      <c r="LE654" s="1260"/>
      <c r="LF654" s="1260"/>
      <c r="LG654" s="1260"/>
      <c r="LH654" s="1260"/>
      <c r="LI654" s="1260"/>
      <c r="LJ654" s="1260"/>
      <c r="LK654" s="1260"/>
      <c r="LL654" s="1260"/>
      <c r="LM654" s="1260"/>
      <c r="LN654" s="1260"/>
      <c r="LO654" s="1260"/>
      <c r="LP654" s="1260"/>
      <c r="LQ654" s="1260"/>
      <c r="LR654" s="1260"/>
      <c r="LS654" s="1260"/>
      <c r="LT654" s="1260"/>
      <c r="LU654" s="1260"/>
      <c r="LV654" s="1260"/>
      <c r="LW654" s="1260"/>
      <c r="LX654" s="1260"/>
      <c r="LY654" s="1260"/>
      <c r="LZ654" s="1260"/>
      <c r="MA654" s="1260"/>
      <c r="MB654" s="1260"/>
      <c r="MC654" s="1260"/>
      <c r="MD654" s="1260"/>
      <c r="ME654" s="1260"/>
      <c r="MF654" s="1260"/>
      <c r="MG654" s="1260"/>
      <c r="MH654" s="1260"/>
      <c r="MI654" s="1260"/>
      <c r="MJ654" s="1260"/>
      <c r="MK654" s="1260"/>
      <c r="ML654" s="1260"/>
      <c r="MM654" s="1260"/>
      <c r="MN654" s="1260"/>
      <c r="MO654" s="1260"/>
      <c r="MP654" s="1260"/>
      <c r="MQ654" s="1260"/>
      <c r="MR654" s="1260"/>
      <c r="MS654" s="1260"/>
      <c r="MT654" s="1260"/>
      <c r="MU654" s="1260"/>
      <c r="MV654" s="1260"/>
      <c r="MW654" s="1260"/>
      <c r="MX654" s="1260"/>
      <c r="MY654" s="1260"/>
      <c r="MZ654" s="1260"/>
      <c r="NA654" s="1260"/>
      <c r="NB654" s="1260"/>
      <c r="NC654" s="1260"/>
      <c r="ND654" s="1260"/>
      <c r="NE654" s="1260"/>
      <c r="NF654" s="1260"/>
      <c r="NG654" s="1260"/>
      <c r="NH654" s="1260"/>
      <c r="NI654" s="1260"/>
      <c r="NJ654" s="1260"/>
      <c r="NK654" s="1260"/>
      <c r="NL654" s="1260"/>
      <c r="NM654" s="1260"/>
      <c r="NN654" s="1260"/>
      <c r="NO654" s="1260"/>
      <c r="NP654" s="1260"/>
      <c r="NQ654" s="1260"/>
      <c r="NR654" s="1260"/>
      <c r="NS654" s="1260"/>
      <c r="NT654" s="1260"/>
      <c r="NU654" s="1260"/>
      <c r="NV654" s="1260"/>
      <c r="NW654" s="1260"/>
      <c r="NX654" s="1260"/>
      <c r="NY654" s="1260"/>
      <c r="NZ654" s="1260"/>
      <c r="OA654" s="1260"/>
      <c r="OB654" s="1260"/>
      <c r="OC654" s="1260"/>
      <c r="OD654" s="1260"/>
      <c r="OE654" s="1260"/>
      <c r="OF654" s="1260"/>
      <c r="OG654" s="1260"/>
      <c r="OH654" s="1260"/>
      <c r="OI654" s="1260"/>
      <c r="OJ654" s="1260"/>
      <c r="OK654" s="1260"/>
      <c r="OL654" s="1260"/>
      <c r="OM654" s="1260"/>
      <c r="ON654" s="1260"/>
      <c r="OO654" s="1260"/>
      <c r="OP654" s="1260"/>
      <c r="OQ654" s="1260"/>
      <c r="OR654" s="1260"/>
      <c r="OS654" s="1260"/>
      <c r="OT654" s="1260"/>
      <c r="OU654" s="1260"/>
      <c r="OV654" s="1260"/>
      <c r="OW654" s="1260"/>
      <c r="OX654" s="1260"/>
      <c r="OY654" s="1260"/>
      <c r="OZ654" s="1260"/>
      <c r="PA654" s="1260"/>
      <c r="PB654" s="1260"/>
      <c r="PC654" s="1260"/>
      <c r="PD654" s="1260"/>
      <c r="PE654" s="1260"/>
      <c r="PF654" s="1260"/>
      <c r="PG654" s="1260"/>
      <c r="PH654" s="1260"/>
      <c r="PI654" s="1260"/>
      <c r="PJ654" s="1260"/>
      <c r="PK654" s="1260"/>
      <c r="PL654" s="1260"/>
      <c r="PM654" s="1260"/>
      <c r="PN654" s="1260"/>
      <c r="PO654" s="1260"/>
      <c r="PP654" s="1260"/>
      <c r="PQ654" s="1260"/>
      <c r="PR654" s="1260"/>
      <c r="PS654" s="1260"/>
      <c r="PT654" s="1260"/>
      <c r="PU654" s="1260"/>
      <c r="PV654" s="1260"/>
      <c r="PW654" s="1260"/>
      <c r="PX654" s="1260"/>
      <c r="PY654" s="1260"/>
      <c r="PZ654" s="1260"/>
      <c r="QA654" s="1260"/>
      <c r="QB654" s="1260"/>
      <c r="QC654" s="1260"/>
      <c r="QD654" s="1260"/>
      <c r="QE654" s="1260"/>
      <c r="QF654" s="1260"/>
      <c r="QG654" s="1260"/>
      <c r="QH654" s="1260"/>
      <c r="QI654" s="1260"/>
      <c r="QJ654" s="1260"/>
      <c r="QK654" s="1260"/>
      <c r="QL654" s="1260"/>
      <c r="QM654" s="1260"/>
      <c r="QN654" s="1260"/>
      <c r="QO654" s="1260"/>
      <c r="QP654" s="1260"/>
      <c r="QQ654" s="1260"/>
      <c r="QR654" s="1260"/>
      <c r="QS654" s="1260"/>
      <c r="QT654" s="1260"/>
      <c r="QU654" s="1260"/>
      <c r="QV654" s="1260"/>
      <c r="QW654" s="1260"/>
      <c r="QX654" s="1260"/>
      <c r="QY654" s="1260"/>
      <c r="QZ654" s="1260"/>
      <c r="RA654" s="1260"/>
      <c r="RB654" s="1260"/>
      <c r="RC654" s="1260"/>
      <c r="RD654" s="1260"/>
      <c r="RE654" s="1260"/>
      <c r="RF654" s="1260"/>
      <c r="RG654" s="1260"/>
      <c r="RH654" s="1260"/>
      <c r="RI654" s="1260"/>
      <c r="RJ654" s="1260"/>
      <c r="RK654" s="1260"/>
      <c r="RL654" s="1260"/>
      <c r="RM654" s="1260"/>
      <c r="RN654" s="1260"/>
      <c r="RO654" s="1260"/>
      <c r="RP654" s="1260"/>
      <c r="RQ654" s="1260"/>
      <c r="RR654" s="1260"/>
      <c r="RS654" s="1260"/>
      <c r="RT654" s="1260"/>
      <c r="RU654" s="1260"/>
      <c r="RV654" s="1260"/>
      <c r="RW654" s="1260"/>
      <c r="RX654" s="1260"/>
      <c r="RY654" s="1260"/>
      <c r="RZ654" s="1260"/>
      <c r="SA654" s="1260"/>
      <c r="SB654" s="1260"/>
      <c r="SC654" s="1260"/>
      <c r="SD654" s="1260"/>
      <c r="SE654" s="1260"/>
      <c r="SF654" s="1260"/>
      <c r="SG654" s="1260"/>
      <c r="SH654" s="1260"/>
      <c r="SI654" s="1260"/>
      <c r="SJ654" s="1260"/>
      <c r="SK654" s="1260"/>
      <c r="SL654" s="1260"/>
      <c r="SM654" s="1260"/>
      <c r="SN654" s="1260"/>
      <c r="SO654" s="1260"/>
      <c r="SP654" s="1260"/>
      <c r="SQ654" s="1260"/>
      <c r="SR654" s="1260"/>
      <c r="SS654" s="1260"/>
      <c r="ST654" s="1260"/>
      <c r="SU654" s="1260"/>
      <c r="SV654" s="1260"/>
      <c r="SW654" s="1260"/>
      <c r="SX654" s="1260"/>
      <c r="SY654" s="1260"/>
      <c r="SZ654" s="1260"/>
      <c r="TA654" s="1260"/>
      <c r="TB654" s="1260"/>
      <c r="TC654" s="1260"/>
      <c r="TD654" s="1260"/>
      <c r="TE654" s="1260"/>
      <c r="TF654" s="1260"/>
      <c r="TG654" s="1260"/>
      <c r="TH654" s="1260"/>
      <c r="TI654" s="1260"/>
      <c r="TJ654" s="1260"/>
      <c r="TK654" s="1260"/>
      <c r="TL654" s="1260"/>
      <c r="TM654" s="1260"/>
      <c r="TN654" s="1260"/>
      <c r="TO654" s="1260"/>
      <c r="TP654" s="1260"/>
      <c r="TQ654" s="1260"/>
      <c r="TR654" s="1260"/>
      <c r="TS654" s="1260"/>
      <c r="TT654" s="1260"/>
      <c r="TU654" s="1260"/>
      <c r="TV654" s="1260"/>
      <c r="TW654" s="1260"/>
      <c r="TX654" s="1260"/>
      <c r="TY654" s="1260"/>
      <c r="TZ654" s="1260"/>
      <c r="UA654" s="1260"/>
      <c r="UB654" s="1260"/>
      <c r="UC654" s="1260"/>
      <c r="UD654" s="1260"/>
      <c r="UE654" s="1260"/>
      <c r="UF654" s="1260"/>
      <c r="UG654" s="1261"/>
    </row>
    <row r="655" spans="1:553" s="1262" customFormat="1" ht="30.75" customHeight="1">
      <c r="A655" s="1226" t="s">
        <v>15</v>
      </c>
      <c r="B655" s="1226"/>
      <c r="C655" s="1519" t="s">
        <v>465</v>
      </c>
      <c r="D655" s="1452"/>
      <c r="E655" s="1452"/>
      <c r="F655" s="1464"/>
      <c r="G655" s="1226" t="s">
        <v>196</v>
      </c>
      <c r="H655" s="600"/>
      <c r="I655" s="423">
        <f>(206.62*100/2000)*85</f>
        <v>878.13499999999999</v>
      </c>
      <c r="J655" s="1243">
        <v>6200</v>
      </c>
      <c r="K655" s="413"/>
      <c r="L655" s="679">
        <f>ROUND(PRODUCT(I655:K655),0)</f>
        <v>5444437</v>
      </c>
      <c r="M655" s="1226"/>
      <c r="N655" s="1226"/>
      <c r="O655" s="1226"/>
      <c r="P655" s="1226"/>
      <c r="Q655" s="1135"/>
      <c r="R655" s="1452"/>
      <c r="S655" s="308"/>
      <c r="T655" s="308"/>
      <c r="U655" s="308"/>
      <c r="V655" s="308"/>
      <c r="W655" s="308"/>
      <c r="X655" s="308"/>
      <c r="Y655" s="308"/>
      <c r="Z655" s="604"/>
      <c r="AA655" s="308"/>
      <c r="AB655" s="308"/>
      <c r="AC655" s="449"/>
      <c r="AD655" s="452"/>
      <c r="AE655" s="452"/>
      <c r="AF655" s="452"/>
      <c r="AG655" s="452"/>
      <c r="AH655" s="452"/>
      <c r="AI655" s="452"/>
      <c r="AJ655" s="452"/>
      <c r="AK655" s="452"/>
      <c r="AL655" s="1259"/>
      <c r="AM655" s="1260"/>
      <c r="AN655" s="1260"/>
      <c r="AO655" s="1260"/>
      <c r="AP655" s="1260"/>
      <c r="AQ655" s="1260"/>
      <c r="AR655" s="1260"/>
      <c r="AS655" s="1260"/>
      <c r="AT655" s="1260"/>
      <c r="AU655" s="1260"/>
      <c r="AV655" s="1260"/>
      <c r="AW655" s="1260"/>
      <c r="AX655" s="1260"/>
      <c r="AY655" s="1260"/>
      <c r="AZ655" s="1260"/>
      <c r="BA655" s="1260"/>
      <c r="BB655" s="1260"/>
      <c r="BC655" s="1260"/>
      <c r="BD655" s="1260"/>
      <c r="BE655" s="1260"/>
      <c r="BF655" s="1260"/>
      <c r="BG655" s="1260"/>
      <c r="BH655" s="1260"/>
      <c r="BI655" s="1260"/>
      <c r="BJ655" s="1260"/>
      <c r="BK655" s="1260"/>
      <c r="BL655" s="1260"/>
      <c r="BM655" s="1260"/>
      <c r="BN655" s="1260"/>
      <c r="BO655" s="1260"/>
      <c r="BP655" s="1260"/>
      <c r="BQ655" s="1260"/>
      <c r="BR655" s="1260"/>
      <c r="BS655" s="1260"/>
      <c r="BT655" s="1260"/>
      <c r="BU655" s="1260"/>
      <c r="BV655" s="1260"/>
      <c r="BW655" s="1260"/>
      <c r="BX655" s="1260"/>
      <c r="BY655" s="1260"/>
      <c r="BZ655" s="1260"/>
      <c r="CA655" s="1260"/>
      <c r="CB655" s="1260"/>
      <c r="CC655" s="1260"/>
      <c r="CD655" s="1260"/>
      <c r="CE655" s="1260"/>
      <c r="CF655" s="1260"/>
      <c r="CG655" s="1260"/>
      <c r="CH655" s="1260"/>
      <c r="CI655" s="1260"/>
      <c r="CJ655" s="1260"/>
      <c r="CK655" s="1260"/>
      <c r="CL655" s="1260"/>
      <c r="CM655" s="1260"/>
      <c r="CN655" s="1260"/>
      <c r="CO655" s="1260"/>
      <c r="CP655" s="1260"/>
      <c r="CQ655" s="1260"/>
      <c r="CR655" s="1260"/>
      <c r="CS655" s="1260"/>
      <c r="CT655" s="1260"/>
      <c r="CU655" s="1260"/>
      <c r="CV655" s="1260"/>
      <c r="CW655" s="1260"/>
      <c r="CX655" s="1260"/>
      <c r="CY655" s="1260"/>
      <c r="CZ655" s="1260"/>
      <c r="DA655" s="1260"/>
      <c r="DB655" s="1260"/>
      <c r="DC655" s="1260"/>
      <c r="DD655" s="1260"/>
      <c r="DE655" s="1260"/>
      <c r="DF655" s="1260"/>
      <c r="DG655" s="1260"/>
      <c r="DH655" s="1260"/>
      <c r="DI655" s="1260"/>
      <c r="DJ655" s="1260"/>
      <c r="DK655" s="1260"/>
      <c r="DL655" s="1260"/>
      <c r="DM655" s="1260"/>
      <c r="DN655" s="1260"/>
      <c r="DO655" s="1260"/>
      <c r="DP655" s="1260"/>
      <c r="DQ655" s="1260"/>
      <c r="DR655" s="1260"/>
      <c r="DS655" s="1260"/>
      <c r="DT655" s="1260"/>
      <c r="DU655" s="1260"/>
      <c r="DV655" s="1260"/>
      <c r="DW655" s="1260"/>
      <c r="DX655" s="1260"/>
      <c r="DY655" s="1260"/>
      <c r="DZ655" s="1260"/>
      <c r="EA655" s="1260"/>
      <c r="EB655" s="1260"/>
      <c r="EC655" s="1260"/>
      <c r="ED655" s="1260"/>
      <c r="EE655" s="1260"/>
      <c r="EF655" s="1260"/>
      <c r="EG655" s="1260"/>
      <c r="EH655" s="1260"/>
      <c r="EI655" s="1260"/>
      <c r="EJ655" s="1260"/>
      <c r="EK655" s="1260"/>
      <c r="EL655" s="1260"/>
      <c r="EM655" s="1260"/>
      <c r="EN655" s="1260"/>
      <c r="EO655" s="1260"/>
      <c r="EP655" s="1260"/>
      <c r="EQ655" s="1260"/>
      <c r="ER655" s="1260"/>
      <c r="ES655" s="1260"/>
      <c r="ET655" s="1260"/>
      <c r="EU655" s="1260"/>
      <c r="EV655" s="1260"/>
      <c r="EW655" s="1260"/>
      <c r="EX655" s="1260"/>
      <c r="EY655" s="1260"/>
      <c r="EZ655" s="1260"/>
      <c r="FA655" s="1260"/>
      <c r="FB655" s="1260"/>
      <c r="FC655" s="1260"/>
      <c r="FD655" s="1260"/>
      <c r="FE655" s="1260"/>
      <c r="FF655" s="1260"/>
      <c r="FG655" s="1260"/>
      <c r="FH655" s="1260"/>
      <c r="FI655" s="1260"/>
      <c r="FJ655" s="1260"/>
      <c r="FK655" s="1260"/>
      <c r="FL655" s="1260"/>
      <c r="FM655" s="1260"/>
      <c r="FN655" s="1260"/>
      <c r="FO655" s="1260"/>
      <c r="FP655" s="1260"/>
      <c r="FQ655" s="1260"/>
      <c r="FR655" s="1260"/>
      <c r="FS655" s="1260"/>
      <c r="FT655" s="1260"/>
      <c r="FU655" s="1260"/>
      <c r="FV655" s="1260"/>
      <c r="FW655" s="1260"/>
      <c r="FX655" s="1260"/>
      <c r="FY655" s="1260"/>
      <c r="FZ655" s="1260"/>
      <c r="GA655" s="1260"/>
      <c r="GB655" s="1260"/>
      <c r="GC655" s="1260"/>
      <c r="GD655" s="1260"/>
      <c r="GE655" s="1260"/>
      <c r="GF655" s="1260"/>
      <c r="GG655" s="1260"/>
      <c r="GH655" s="1260"/>
      <c r="GI655" s="1260"/>
      <c r="GJ655" s="1260"/>
      <c r="GK655" s="1260"/>
      <c r="GL655" s="1260"/>
      <c r="GM655" s="1260"/>
      <c r="GN655" s="1260"/>
      <c r="GO655" s="1260"/>
      <c r="GP655" s="1260"/>
      <c r="GQ655" s="1260"/>
      <c r="GR655" s="1260"/>
      <c r="GS655" s="1260"/>
      <c r="GT655" s="1260"/>
      <c r="GU655" s="1260"/>
      <c r="GV655" s="1260"/>
      <c r="GW655" s="1260"/>
      <c r="GX655" s="1260"/>
      <c r="GY655" s="1260"/>
      <c r="GZ655" s="1260"/>
      <c r="HA655" s="1260"/>
      <c r="HB655" s="1260"/>
      <c r="HC655" s="1260"/>
      <c r="HD655" s="1260"/>
      <c r="HE655" s="1260"/>
      <c r="HF655" s="1260"/>
      <c r="HG655" s="1260"/>
      <c r="HH655" s="1260"/>
      <c r="HI655" s="1260"/>
      <c r="HJ655" s="1260"/>
      <c r="HK655" s="1260"/>
      <c r="HL655" s="1260"/>
      <c r="HM655" s="1260"/>
      <c r="HN655" s="1260"/>
      <c r="HO655" s="1260"/>
      <c r="HP655" s="1260"/>
      <c r="HQ655" s="1260"/>
      <c r="HR655" s="1260"/>
      <c r="HS655" s="1260"/>
      <c r="HT655" s="1260"/>
      <c r="HU655" s="1260"/>
      <c r="HV655" s="1260"/>
      <c r="HW655" s="1260"/>
      <c r="HX655" s="1260"/>
      <c r="HY655" s="1260"/>
      <c r="HZ655" s="1260"/>
      <c r="IA655" s="1260"/>
      <c r="IB655" s="1260"/>
      <c r="IC655" s="1260"/>
      <c r="ID655" s="1260"/>
      <c r="IE655" s="1260"/>
      <c r="IF655" s="1260"/>
      <c r="IG655" s="1260"/>
      <c r="IH655" s="1260"/>
      <c r="II655" s="1260"/>
      <c r="IJ655" s="1260"/>
      <c r="IK655" s="1260"/>
      <c r="IL655" s="1260"/>
      <c r="IM655" s="1260"/>
      <c r="IN655" s="1260"/>
      <c r="IO655" s="1260"/>
      <c r="IP655" s="1260"/>
      <c r="IQ655" s="1260"/>
      <c r="IR655" s="1260"/>
      <c r="IS655" s="1260"/>
      <c r="IT655" s="1260"/>
      <c r="IU655" s="1260"/>
      <c r="IV655" s="1260"/>
      <c r="IW655" s="1260"/>
      <c r="IX655" s="1260"/>
      <c r="IY655" s="1260"/>
      <c r="IZ655" s="1260"/>
      <c r="JA655" s="1260"/>
      <c r="JB655" s="1260"/>
      <c r="JC655" s="1260"/>
      <c r="JD655" s="1260"/>
      <c r="JE655" s="1260"/>
      <c r="JF655" s="1260"/>
      <c r="JG655" s="1260"/>
      <c r="JH655" s="1260"/>
      <c r="JI655" s="1260"/>
      <c r="JJ655" s="1260"/>
      <c r="JK655" s="1260"/>
      <c r="JL655" s="1260"/>
      <c r="JM655" s="1260"/>
      <c r="JN655" s="1260"/>
      <c r="JO655" s="1260"/>
      <c r="JP655" s="1260"/>
      <c r="JQ655" s="1260"/>
      <c r="JR655" s="1260"/>
      <c r="JS655" s="1260"/>
      <c r="JT655" s="1260"/>
      <c r="JU655" s="1260"/>
      <c r="JV655" s="1260"/>
      <c r="JW655" s="1260"/>
      <c r="JX655" s="1260"/>
      <c r="JY655" s="1260"/>
      <c r="JZ655" s="1260"/>
      <c r="KA655" s="1260"/>
      <c r="KB655" s="1260"/>
      <c r="KC655" s="1260"/>
      <c r="KD655" s="1260"/>
      <c r="KE655" s="1260"/>
      <c r="KF655" s="1260"/>
      <c r="KG655" s="1260"/>
      <c r="KH655" s="1260"/>
      <c r="KI655" s="1260"/>
      <c r="KJ655" s="1260"/>
      <c r="KK655" s="1260"/>
      <c r="KL655" s="1260"/>
      <c r="KM655" s="1260"/>
      <c r="KN655" s="1260"/>
      <c r="KO655" s="1260"/>
      <c r="KP655" s="1260"/>
      <c r="KQ655" s="1260"/>
      <c r="KR655" s="1260"/>
      <c r="KS655" s="1260"/>
      <c r="KT655" s="1260"/>
      <c r="KU655" s="1260"/>
      <c r="KV655" s="1260"/>
      <c r="KW655" s="1260"/>
      <c r="KX655" s="1260"/>
      <c r="KY655" s="1260"/>
      <c r="KZ655" s="1260"/>
      <c r="LA655" s="1260"/>
      <c r="LB655" s="1260"/>
      <c r="LC655" s="1260"/>
      <c r="LD655" s="1260"/>
      <c r="LE655" s="1260"/>
      <c r="LF655" s="1260"/>
      <c r="LG655" s="1260"/>
      <c r="LH655" s="1260"/>
      <c r="LI655" s="1260"/>
      <c r="LJ655" s="1260"/>
      <c r="LK655" s="1260"/>
      <c r="LL655" s="1260"/>
      <c r="LM655" s="1260"/>
      <c r="LN655" s="1260"/>
      <c r="LO655" s="1260"/>
      <c r="LP655" s="1260"/>
      <c r="LQ655" s="1260"/>
      <c r="LR655" s="1260"/>
      <c r="LS655" s="1260"/>
      <c r="LT655" s="1260"/>
      <c r="LU655" s="1260"/>
      <c r="LV655" s="1260"/>
      <c r="LW655" s="1260"/>
      <c r="LX655" s="1260"/>
      <c r="LY655" s="1260"/>
      <c r="LZ655" s="1260"/>
      <c r="MA655" s="1260"/>
      <c r="MB655" s="1260"/>
      <c r="MC655" s="1260"/>
      <c r="MD655" s="1260"/>
      <c r="ME655" s="1260"/>
      <c r="MF655" s="1260"/>
      <c r="MG655" s="1260"/>
      <c r="MH655" s="1260"/>
      <c r="MI655" s="1260"/>
      <c r="MJ655" s="1260"/>
      <c r="MK655" s="1260"/>
      <c r="ML655" s="1260"/>
      <c r="MM655" s="1260"/>
      <c r="MN655" s="1260"/>
      <c r="MO655" s="1260"/>
      <c r="MP655" s="1260"/>
      <c r="MQ655" s="1260"/>
      <c r="MR655" s="1260"/>
      <c r="MS655" s="1260"/>
      <c r="MT655" s="1260"/>
      <c r="MU655" s="1260"/>
      <c r="MV655" s="1260"/>
      <c r="MW655" s="1260"/>
      <c r="MX655" s="1260"/>
      <c r="MY655" s="1260"/>
      <c r="MZ655" s="1260"/>
      <c r="NA655" s="1260"/>
      <c r="NB655" s="1260"/>
      <c r="NC655" s="1260"/>
      <c r="ND655" s="1260"/>
      <c r="NE655" s="1260"/>
      <c r="NF655" s="1260"/>
      <c r="NG655" s="1260"/>
      <c r="NH655" s="1260"/>
      <c r="NI655" s="1260"/>
      <c r="NJ655" s="1260"/>
      <c r="NK655" s="1260"/>
      <c r="NL655" s="1260"/>
      <c r="NM655" s="1260"/>
      <c r="NN655" s="1260"/>
      <c r="NO655" s="1260"/>
      <c r="NP655" s="1260"/>
      <c r="NQ655" s="1260"/>
      <c r="NR655" s="1260"/>
      <c r="NS655" s="1260"/>
      <c r="NT655" s="1260"/>
      <c r="NU655" s="1260"/>
      <c r="NV655" s="1260"/>
      <c r="NW655" s="1260"/>
      <c r="NX655" s="1260"/>
      <c r="NY655" s="1260"/>
      <c r="NZ655" s="1260"/>
      <c r="OA655" s="1260"/>
      <c r="OB655" s="1260"/>
      <c r="OC655" s="1260"/>
      <c r="OD655" s="1260"/>
      <c r="OE655" s="1260"/>
      <c r="OF655" s="1260"/>
      <c r="OG655" s="1260"/>
      <c r="OH655" s="1260"/>
      <c r="OI655" s="1260"/>
      <c r="OJ655" s="1260"/>
      <c r="OK655" s="1260"/>
      <c r="OL655" s="1260"/>
      <c r="OM655" s="1260"/>
      <c r="ON655" s="1260"/>
      <c r="OO655" s="1260"/>
      <c r="OP655" s="1260"/>
      <c r="OQ655" s="1260"/>
      <c r="OR655" s="1260"/>
      <c r="OS655" s="1260"/>
      <c r="OT655" s="1260"/>
      <c r="OU655" s="1260"/>
      <c r="OV655" s="1260"/>
      <c r="OW655" s="1260"/>
      <c r="OX655" s="1260"/>
      <c r="OY655" s="1260"/>
      <c r="OZ655" s="1260"/>
      <c r="PA655" s="1260"/>
      <c r="PB655" s="1260"/>
      <c r="PC655" s="1260"/>
      <c r="PD655" s="1260"/>
      <c r="PE655" s="1260"/>
      <c r="PF655" s="1260"/>
      <c r="PG655" s="1260"/>
      <c r="PH655" s="1260"/>
      <c r="PI655" s="1260"/>
      <c r="PJ655" s="1260"/>
      <c r="PK655" s="1260"/>
      <c r="PL655" s="1260"/>
      <c r="PM655" s="1260"/>
      <c r="PN655" s="1260"/>
      <c r="PO655" s="1260"/>
      <c r="PP655" s="1260"/>
      <c r="PQ655" s="1260"/>
      <c r="PR655" s="1260"/>
      <c r="PS655" s="1260"/>
      <c r="PT655" s="1260"/>
      <c r="PU655" s="1260"/>
      <c r="PV655" s="1260"/>
      <c r="PW655" s="1260"/>
      <c r="PX655" s="1260"/>
      <c r="PY655" s="1260"/>
      <c r="PZ655" s="1260"/>
      <c r="QA655" s="1260"/>
      <c r="QB655" s="1260"/>
      <c r="QC655" s="1260"/>
      <c r="QD655" s="1260"/>
      <c r="QE655" s="1260"/>
      <c r="QF655" s="1260"/>
      <c r="QG655" s="1260"/>
      <c r="QH655" s="1260"/>
      <c r="QI655" s="1260"/>
      <c r="QJ655" s="1260"/>
      <c r="QK655" s="1260"/>
      <c r="QL655" s="1260"/>
      <c r="QM655" s="1260"/>
      <c r="QN655" s="1260"/>
      <c r="QO655" s="1260"/>
      <c r="QP655" s="1260"/>
      <c r="QQ655" s="1260"/>
      <c r="QR655" s="1260"/>
      <c r="QS655" s="1260"/>
      <c r="QT655" s="1260"/>
      <c r="QU655" s="1260"/>
      <c r="QV655" s="1260"/>
      <c r="QW655" s="1260"/>
      <c r="QX655" s="1260"/>
      <c r="QY655" s="1260"/>
      <c r="QZ655" s="1260"/>
      <c r="RA655" s="1260"/>
      <c r="RB655" s="1260"/>
      <c r="RC655" s="1260"/>
      <c r="RD655" s="1260"/>
      <c r="RE655" s="1260"/>
      <c r="RF655" s="1260"/>
      <c r="RG655" s="1260"/>
      <c r="RH655" s="1260"/>
      <c r="RI655" s="1260"/>
      <c r="RJ655" s="1260"/>
      <c r="RK655" s="1260"/>
      <c r="RL655" s="1260"/>
      <c r="RM655" s="1260"/>
      <c r="RN655" s="1260"/>
      <c r="RO655" s="1260"/>
      <c r="RP655" s="1260"/>
      <c r="RQ655" s="1260"/>
      <c r="RR655" s="1260"/>
      <c r="RS655" s="1260"/>
      <c r="RT655" s="1260"/>
      <c r="RU655" s="1260"/>
      <c r="RV655" s="1260"/>
      <c r="RW655" s="1260"/>
      <c r="RX655" s="1260"/>
      <c r="RY655" s="1260"/>
      <c r="RZ655" s="1260"/>
      <c r="SA655" s="1260"/>
      <c r="SB655" s="1260"/>
      <c r="SC655" s="1260"/>
      <c r="SD655" s="1260"/>
      <c r="SE655" s="1260"/>
      <c r="SF655" s="1260"/>
      <c r="SG655" s="1260"/>
      <c r="SH655" s="1260"/>
      <c r="SI655" s="1260"/>
      <c r="SJ655" s="1260"/>
      <c r="SK655" s="1260"/>
      <c r="SL655" s="1260"/>
      <c r="SM655" s="1260"/>
      <c r="SN655" s="1260"/>
      <c r="SO655" s="1260"/>
      <c r="SP655" s="1260"/>
      <c r="SQ655" s="1260"/>
      <c r="SR655" s="1260"/>
      <c r="SS655" s="1260"/>
      <c r="ST655" s="1260"/>
      <c r="SU655" s="1260"/>
      <c r="SV655" s="1260"/>
      <c r="SW655" s="1260"/>
      <c r="SX655" s="1260"/>
      <c r="SY655" s="1260"/>
      <c r="SZ655" s="1260"/>
      <c r="TA655" s="1260"/>
      <c r="TB655" s="1260"/>
      <c r="TC655" s="1260"/>
      <c r="TD655" s="1260"/>
      <c r="TE655" s="1260"/>
      <c r="TF655" s="1260"/>
      <c r="TG655" s="1260"/>
      <c r="TH655" s="1260"/>
      <c r="TI655" s="1260"/>
      <c r="TJ655" s="1260"/>
      <c r="TK655" s="1260"/>
      <c r="TL655" s="1260"/>
      <c r="TM655" s="1260"/>
      <c r="TN655" s="1260"/>
      <c r="TO655" s="1260"/>
      <c r="TP655" s="1260"/>
      <c r="TQ655" s="1260"/>
      <c r="TR655" s="1260"/>
      <c r="TS655" s="1260"/>
      <c r="TT655" s="1260"/>
      <c r="TU655" s="1260"/>
      <c r="TV655" s="1260"/>
      <c r="TW655" s="1260"/>
      <c r="TX655" s="1260"/>
      <c r="TY655" s="1260"/>
      <c r="TZ655" s="1260"/>
      <c r="UA655" s="1260"/>
      <c r="UB655" s="1260"/>
      <c r="UC655" s="1260"/>
      <c r="UD655" s="1260"/>
      <c r="UE655" s="1260"/>
      <c r="UF655" s="1260"/>
      <c r="UG655" s="1261"/>
    </row>
    <row r="656" spans="1:553" s="1262" customFormat="1" ht="30.75" customHeight="1">
      <c r="A656" s="415"/>
      <c r="B656" s="415"/>
      <c r="C656" s="1521" t="s">
        <v>261</v>
      </c>
      <c r="D656" s="1461"/>
      <c r="E656" s="1461"/>
      <c r="F656" s="1461"/>
      <c r="G656" s="1226" t="s">
        <v>196</v>
      </c>
      <c r="H656" s="603"/>
      <c r="I656" s="504">
        <f>(45.69*100/625)*(12-(4-3))*2</f>
        <v>160.8288</v>
      </c>
      <c r="J656" s="512">
        <v>10700</v>
      </c>
      <c r="K656" s="560">
        <v>0.7</v>
      </c>
      <c r="L656" s="1012">
        <f t="shared" si="106"/>
        <v>1204607.7119999998</v>
      </c>
      <c r="M656" s="415"/>
      <c r="N656" s="415"/>
      <c r="O656" s="415"/>
      <c r="P656" s="415"/>
      <c r="Q656" s="1135"/>
      <c r="R656" s="1452"/>
      <c r="S656" s="308"/>
      <c r="T656" s="308"/>
      <c r="U656" s="308"/>
      <c r="V656" s="308"/>
      <c r="W656" s="308"/>
      <c r="X656" s="308"/>
      <c r="Y656" s="308"/>
      <c r="Z656" s="604"/>
      <c r="AA656" s="308"/>
      <c r="AB656" s="308"/>
      <c r="AC656" s="449"/>
      <c r="AD656" s="452"/>
      <c r="AE656" s="452"/>
      <c r="AF656" s="452"/>
      <c r="AG656" s="452"/>
      <c r="AH656" s="452"/>
      <c r="AI656" s="452"/>
      <c r="AJ656" s="452"/>
      <c r="AK656" s="452"/>
      <c r="AL656" s="1259"/>
      <c r="AM656" s="1260"/>
      <c r="AN656" s="1260"/>
      <c r="AO656" s="1260"/>
      <c r="AP656" s="1260"/>
      <c r="AQ656" s="1260"/>
      <c r="AR656" s="1260"/>
      <c r="AS656" s="1260"/>
      <c r="AT656" s="1260"/>
      <c r="AU656" s="1260"/>
      <c r="AV656" s="1260"/>
      <c r="AW656" s="1260"/>
      <c r="AX656" s="1260"/>
      <c r="AY656" s="1260"/>
      <c r="AZ656" s="1260"/>
      <c r="BA656" s="1260"/>
      <c r="BB656" s="1260"/>
      <c r="BC656" s="1260"/>
      <c r="BD656" s="1260"/>
      <c r="BE656" s="1260"/>
      <c r="BF656" s="1260"/>
      <c r="BG656" s="1260"/>
      <c r="BH656" s="1260"/>
      <c r="BI656" s="1260"/>
      <c r="BJ656" s="1260"/>
      <c r="BK656" s="1260"/>
      <c r="BL656" s="1260"/>
      <c r="BM656" s="1260"/>
      <c r="BN656" s="1260"/>
      <c r="BO656" s="1260"/>
      <c r="BP656" s="1260"/>
      <c r="BQ656" s="1260"/>
      <c r="BR656" s="1260"/>
      <c r="BS656" s="1260"/>
      <c r="BT656" s="1260"/>
      <c r="BU656" s="1260"/>
      <c r="BV656" s="1260"/>
      <c r="BW656" s="1260"/>
      <c r="BX656" s="1260"/>
      <c r="BY656" s="1260"/>
      <c r="BZ656" s="1260"/>
      <c r="CA656" s="1260"/>
      <c r="CB656" s="1260"/>
      <c r="CC656" s="1260"/>
      <c r="CD656" s="1260"/>
      <c r="CE656" s="1260"/>
      <c r="CF656" s="1260"/>
      <c r="CG656" s="1260"/>
      <c r="CH656" s="1260"/>
      <c r="CI656" s="1260"/>
      <c r="CJ656" s="1260"/>
      <c r="CK656" s="1260"/>
      <c r="CL656" s="1260"/>
      <c r="CM656" s="1260"/>
      <c r="CN656" s="1260"/>
      <c r="CO656" s="1260"/>
      <c r="CP656" s="1260"/>
      <c r="CQ656" s="1260"/>
      <c r="CR656" s="1260"/>
      <c r="CS656" s="1260"/>
      <c r="CT656" s="1260"/>
      <c r="CU656" s="1260"/>
      <c r="CV656" s="1260"/>
      <c r="CW656" s="1260"/>
      <c r="CX656" s="1260"/>
      <c r="CY656" s="1260"/>
      <c r="CZ656" s="1260"/>
      <c r="DA656" s="1260"/>
      <c r="DB656" s="1260"/>
      <c r="DC656" s="1260"/>
      <c r="DD656" s="1260"/>
      <c r="DE656" s="1260"/>
      <c r="DF656" s="1260"/>
      <c r="DG656" s="1260"/>
      <c r="DH656" s="1260"/>
      <c r="DI656" s="1260"/>
      <c r="DJ656" s="1260"/>
      <c r="DK656" s="1260"/>
      <c r="DL656" s="1260"/>
      <c r="DM656" s="1260"/>
      <c r="DN656" s="1260"/>
      <c r="DO656" s="1260"/>
      <c r="DP656" s="1260"/>
      <c r="DQ656" s="1260"/>
      <c r="DR656" s="1260"/>
      <c r="DS656" s="1260"/>
      <c r="DT656" s="1260"/>
      <c r="DU656" s="1260"/>
      <c r="DV656" s="1260"/>
      <c r="DW656" s="1260"/>
      <c r="DX656" s="1260"/>
      <c r="DY656" s="1260"/>
      <c r="DZ656" s="1260"/>
      <c r="EA656" s="1260"/>
      <c r="EB656" s="1260"/>
      <c r="EC656" s="1260"/>
      <c r="ED656" s="1260"/>
      <c r="EE656" s="1260"/>
      <c r="EF656" s="1260"/>
      <c r="EG656" s="1260"/>
      <c r="EH656" s="1260"/>
      <c r="EI656" s="1260"/>
      <c r="EJ656" s="1260"/>
      <c r="EK656" s="1260"/>
      <c r="EL656" s="1260"/>
      <c r="EM656" s="1260"/>
      <c r="EN656" s="1260"/>
      <c r="EO656" s="1260"/>
      <c r="EP656" s="1260"/>
      <c r="EQ656" s="1260"/>
      <c r="ER656" s="1260"/>
      <c r="ES656" s="1260"/>
      <c r="ET656" s="1260"/>
      <c r="EU656" s="1260"/>
      <c r="EV656" s="1260"/>
      <c r="EW656" s="1260"/>
      <c r="EX656" s="1260"/>
      <c r="EY656" s="1260"/>
      <c r="EZ656" s="1260"/>
      <c r="FA656" s="1260"/>
      <c r="FB656" s="1260"/>
      <c r="FC656" s="1260"/>
      <c r="FD656" s="1260"/>
      <c r="FE656" s="1260"/>
      <c r="FF656" s="1260"/>
      <c r="FG656" s="1260"/>
      <c r="FH656" s="1260"/>
      <c r="FI656" s="1260"/>
      <c r="FJ656" s="1260"/>
      <c r="FK656" s="1260"/>
      <c r="FL656" s="1260"/>
      <c r="FM656" s="1260"/>
      <c r="FN656" s="1260"/>
      <c r="FO656" s="1260"/>
      <c r="FP656" s="1260"/>
      <c r="FQ656" s="1260"/>
      <c r="FR656" s="1260"/>
      <c r="FS656" s="1260"/>
      <c r="FT656" s="1260"/>
      <c r="FU656" s="1260"/>
      <c r="FV656" s="1260"/>
      <c r="FW656" s="1260"/>
      <c r="FX656" s="1260"/>
      <c r="FY656" s="1260"/>
      <c r="FZ656" s="1260"/>
      <c r="GA656" s="1260"/>
      <c r="GB656" s="1260"/>
      <c r="GC656" s="1260"/>
      <c r="GD656" s="1260"/>
      <c r="GE656" s="1260"/>
      <c r="GF656" s="1260"/>
      <c r="GG656" s="1260"/>
      <c r="GH656" s="1260"/>
      <c r="GI656" s="1260"/>
      <c r="GJ656" s="1260"/>
      <c r="GK656" s="1260"/>
      <c r="GL656" s="1260"/>
      <c r="GM656" s="1260"/>
      <c r="GN656" s="1260"/>
      <c r="GO656" s="1260"/>
      <c r="GP656" s="1260"/>
      <c r="GQ656" s="1260"/>
      <c r="GR656" s="1260"/>
      <c r="GS656" s="1260"/>
      <c r="GT656" s="1260"/>
      <c r="GU656" s="1260"/>
      <c r="GV656" s="1260"/>
      <c r="GW656" s="1260"/>
      <c r="GX656" s="1260"/>
      <c r="GY656" s="1260"/>
      <c r="GZ656" s="1260"/>
      <c r="HA656" s="1260"/>
      <c r="HB656" s="1260"/>
      <c r="HC656" s="1260"/>
      <c r="HD656" s="1260"/>
      <c r="HE656" s="1260"/>
      <c r="HF656" s="1260"/>
      <c r="HG656" s="1260"/>
      <c r="HH656" s="1260"/>
      <c r="HI656" s="1260"/>
      <c r="HJ656" s="1260"/>
      <c r="HK656" s="1260"/>
      <c r="HL656" s="1260"/>
      <c r="HM656" s="1260"/>
      <c r="HN656" s="1260"/>
      <c r="HO656" s="1260"/>
      <c r="HP656" s="1260"/>
      <c r="HQ656" s="1260"/>
      <c r="HR656" s="1260"/>
      <c r="HS656" s="1260"/>
      <c r="HT656" s="1260"/>
      <c r="HU656" s="1260"/>
      <c r="HV656" s="1260"/>
      <c r="HW656" s="1260"/>
      <c r="HX656" s="1260"/>
      <c r="HY656" s="1260"/>
      <c r="HZ656" s="1260"/>
      <c r="IA656" s="1260"/>
      <c r="IB656" s="1260"/>
      <c r="IC656" s="1260"/>
      <c r="ID656" s="1260"/>
      <c r="IE656" s="1260"/>
      <c r="IF656" s="1260"/>
      <c r="IG656" s="1260"/>
      <c r="IH656" s="1260"/>
      <c r="II656" s="1260"/>
      <c r="IJ656" s="1260"/>
      <c r="IK656" s="1260"/>
      <c r="IL656" s="1260"/>
      <c r="IM656" s="1260"/>
      <c r="IN656" s="1260"/>
      <c r="IO656" s="1260"/>
      <c r="IP656" s="1260"/>
      <c r="IQ656" s="1260"/>
      <c r="IR656" s="1260"/>
      <c r="IS656" s="1260"/>
      <c r="IT656" s="1260"/>
      <c r="IU656" s="1260"/>
      <c r="IV656" s="1260"/>
      <c r="IW656" s="1260"/>
      <c r="IX656" s="1260"/>
      <c r="IY656" s="1260"/>
      <c r="IZ656" s="1260"/>
      <c r="JA656" s="1260"/>
      <c r="JB656" s="1260"/>
      <c r="JC656" s="1260"/>
      <c r="JD656" s="1260"/>
      <c r="JE656" s="1260"/>
      <c r="JF656" s="1260"/>
      <c r="JG656" s="1260"/>
      <c r="JH656" s="1260"/>
      <c r="JI656" s="1260"/>
      <c r="JJ656" s="1260"/>
      <c r="JK656" s="1260"/>
      <c r="JL656" s="1260"/>
      <c r="JM656" s="1260"/>
      <c r="JN656" s="1260"/>
      <c r="JO656" s="1260"/>
      <c r="JP656" s="1260"/>
      <c r="JQ656" s="1260"/>
      <c r="JR656" s="1260"/>
      <c r="JS656" s="1260"/>
      <c r="JT656" s="1260"/>
      <c r="JU656" s="1260"/>
      <c r="JV656" s="1260"/>
      <c r="JW656" s="1260"/>
      <c r="JX656" s="1260"/>
      <c r="JY656" s="1260"/>
      <c r="JZ656" s="1260"/>
      <c r="KA656" s="1260"/>
      <c r="KB656" s="1260"/>
      <c r="KC656" s="1260"/>
      <c r="KD656" s="1260"/>
      <c r="KE656" s="1260"/>
      <c r="KF656" s="1260"/>
      <c r="KG656" s="1260"/>
      <c r="KH656" s="1260"/>
      <c r="KI656" s="1260"/>
      <c r="KJ656" s="1260"/>
      <c r="KK656" s="1260"/>
      <c r="KL656" s="1260"/>
      <c r="KM656" s="1260"/>
      <c r="KN656" s="1260"/>
      <c r="KO656" s="1260"/>
      <c r="KP656" s="1260"/>
      <c r="KQ656" s="1260"/>
      <c r="KR656" s="1260"/>
      <c r="KS656" s="1260"/>
      <c r="KT656" s="1260"/>
      <c r="KU656" s="1260"/>
      <c r="KV656" s="1260"/>
      <c r="KW656" s="1260"/>
      <c r="KX656" s="1260"/>
      <c r="KY656" s="1260"/>
      <c r="KZ656" s="1260"/>
      <c r="LA656" s="1260"/>
      <c r="LB656" s="1260"/>
      <c r="LC656" s="1260"/>
      <c r="LD656" s="1260"/>
      <c r="LE656" s="1260"/>
      <c r="LF656" s="1260"/>
      <c r="LG656" s="1260"/>
      <c r="LH656" s="1260"/>
      <c r="LI656" s="1260"/>
      <c r="LJ656" s="1260"/>
      <c r="LK656" s="1260"/>
      <c r="LL656" s="1260"/>
      <c r="LM656" s="1260"/>
      <c r="LN656" s="1260"/>
      <c r="LO656" s="1260"/>
      <c r="LP656" s="1260"/>
      <c r="LQ656" s="1260"/>
      <c r="LR656" s="1260"/>
      <c r="LS656" s="1260"/>
      <c r="LT656" s="1260"/>
      <c r="LU656" s="1260"/>
      <c r="LV656" s="1260"/>
      <c r="LW656" s="1260"/>
      <c r="LX656" s="1260"/>
      <c r="LY656" s="1260"/>
      <c r="LZ656" s="1260"/>
      <c r="MA656" s="1260"/>
      <c r="MB656" s="1260"/>
      <c r="MC656" s="1260"/>
      <c r="MD656" s="1260"/>
      <c r="ME656" s="1260"/>
      <c r="MF656" s="1260"/>
      <c r="MG656" s="1260"/>
      <c r="MH656" s="1260"/>
      <c r="MI656" s="1260"/>
      <c r="MJ656" s="1260"/>
      <c r="MK656" s="1260"/>
      <c r="ML656" s="1260"/>
      <c r="MM656" s="1260"/>
      <c r="MN656" s="1260"/>
      <c r="MO656" s="1260"/>
      <c r="MP656" s="1260"/>
      <c r="MQ656" s="1260"/>
      <c r="MR656" s="1260"/>
      <c r="MS656" s="1260"/>
      <c r="MT656" s="1260"/>
      <c r="MU656" s="1260"/>
      <c r="MV656" s="1260"/>
      <c r="MW656" s="1260"/>
      <c r="MX656" s="1260"/>
      <c r="MY656" s="1260"/>
      <c r="MZ656" s="1260"/>
      <c r="NA656" s="1260"/>
      <c r="NB656" s="1260"/>
      <c r="NC656" s="1260"/>
      <c r="ND656" s="1260"/>
      <c r="NE656" s="1260"/>
      <c r="NF656" s="1260"/>
      <c r="NG656" s="1260"/>
      <c r="NH656" s="1260"/>
      <c r="NI656" s="1260"/>
      <c r="NJ656" s="1260"/>
      <c r="NK656" s="1260"/>
      <c r="NL656" s="1260"/>
      <c r="NM656" s="1260"/>
      <c r="NN656" s="1260"/>
      <c r="NO656" s="1260"/>
      <c r="NP656" s="1260"/>
      <c r="NQ656" s="1260"/>
      <c r="NR656" s="1260"/>
      <c r="NS656" s="1260"/>
      <c r="NT656" s="1260"/>
      <c r="NU656" s="1260"/>
      <c r="NV656" s="1260"/>
      <c r="NW656" s="1260"/>
      <c r="NX656" s="1260"/>
      <c r="NY656" s="1260"/>
      <c r="NZ656" s="1260"/>
      <c r="OA656" s="1260"/>
      <c r="OB656" s="1260"/>
      <c r="OC656" s="1260"/>
      <c r="OD656" s="1260"/>
      <c r="OE656" s="1260"/>
      <c r="OF656" s="1260"/>
      <c r="OG656" s="1260"/>
      <c r="OH656" s="1260"/>
      <c r="OI656" s="1260"/>
      <c r="OJ656" s="1260"/>
      <c r="OK656" s="1260"/>
      <c r="OL656" s="1260"/>
      <c r="OM656" s="1260"/>
      <c r="ON656" s="1260"/>
      <c r="OO656" s="1260"/>
      <c r="OP656" s="1260"/>
      <c r="OQ656" s="1260"/>
      <c r="OR656" s="1260"/>
      <c r="OS656" s="1260"/>
      <c r="OT656" s="1260"/>
      <c r="OU656" s="1260"/>
      <c r="OV656" s="1260"/>
      <c r="OW656" s="1260"/>
      <c r="OX656" s="1260"/>
      <c r="OY656" s="1260"/>
      <c r="OZ656" s="1260"/>
      <c r="PA656" s="1260"/>
      <c r="PB656" s="1260"/>
      <c r="PC656" s="1260"/>
      <c r="PD656" s="1260"/>
      <c r="PE656" s="1260"/>
      <c r="PF656" s="1260"/>
      <c r="PG656" s="1260"/>
      <c r="PH656" s="1260"/>
      <c r="PI656" s="1260"/>
      <c r="PJ656" s="1260"/>
      <c r="PK656" s="1260"/>
      <c r="PL656" s="1260"/>
      <c r="PM656" s="1260"/>
      <c r="PN656" s="1260"/>
      <c r="PO656" s="1260"/>
      <c r="PP656" s="1260"/>
      <c r="PQ656" s="1260"/>
      <c r="PR656" s="1260"/>
      <c r="PS656" s="1260"/>
      <c r="PT656" s="1260"/>
      <c r="PU656" s="1260"/>
      <c r="PV656" s="1260"/>
      <c r="PW656" s="1260"/>
      <c r="PX656" s="1260"/>
      <c r="PY656" s="1260"/>
      <c r="PZ656" s="1260"/>
      <c r="QA656" s="1260"/>
      <c r="QB656" s="1260"/>
      <c r="QC656" s="1260"/>
      <c r="QD656" s="1260"/>
      <c r="QE656" s="1260"/>
      <c r="QF656" s="1260"/>
      <c r="QG656" s="1260"/>
      <c r="QH656" s="1260"/>
      <c r="QI656" s="1260"/>
      <c r="QJ656" s="1260"/>
      <c r="QK656" s="1260"/>
      <c r="QL656" s="1260"/>
      <c r="QM656" s="1260"/>
      <c r="QN656" s="1260"/>
      <c r="QO656" s="1260"/>
      <c r="QP656" s="1260"/>
      <c r="QQ656" s="1260"/>
      <c r="QR656" s="1260"/>
      <c r="QS656" s="1260"/>
      <c r="QT656" s="1260"/>
      <c r="QU656" s="1260"/>
      <c r="QV656" s="1260"/>
      <c r="QW656" s="1260"/>
      <c r="QX656" s="1260"/>
      <c r="QY656" s="1260"/>
      <c r="QZ656" s="1260"/>
      <c r="RA656" s="1260"/>
      <c r="RB656" s="1260"/>
      <c r="RC656" s="1260"/>
      <c r="RD656" s="1260"/>
      <c r="RE656" s="1260"/>
      <c r="RF656" s="1260"/>
      <c r="RG656" s="1260"/>
      <c r="RH656" s="1260"/>
      <c r="RI656" s="1260"/>
      <c r="RJ656" s="1260"/>
      <c r="RK656" s="1260"/>
      <c r="RL656" s="1260"/>
      <c r="RM656" s="1260"/>
      <c r="RN656" s="1260"/>
      <c r="RO656" s="1260"/>
      <c r="RP656" s="1260"/>
      <c r="RQ656" s="1260"/>
      <c r="RR656" s="1260"/>
      <c r="RS656" s="1260"/>
      <c r="RT656" s="1260"/>
      <c r="RU656" s="1260"/>
      <c r="RV656" s="1260"/>
      <c r="RW656" s="1260"/>
      <c r="RX656" s="1260"/>
      <c r="RY656" s="1260"/>
      <c r="RZ656" s="1260"/>
      <c r="SA656" s="1260"/>
      <c r="SB656" s="1260"/>
      <c r="SC656" s="1260"/>
      <c r="SD656" s="1260"/>
      <c r="SE656" s="1260"/>
      <c r="SF656" s="1260"/>
      <c r="SG656" s="1260"/>
      <c r="SH656" s="1260"/>
      <c r="SI656" s="1260"/>
      <c r="SJ656" s="1260"/>
      <c r="SK656" s="1260"/>
      <c r="SL656" s="1260"/>
      <c r="SM656" s="1260"/>
      <c r="SN656" s="1260"/>
      <c r="SO656" s="1260"/>
      <c r="SP656" s="1260"/>
      <c r="SQ656" s="1260"/>
      <c r="SR656" s="1260"/>
      <c r="SS656" s="1260"/>
      <c r="ST656" s="1260"/>
      <c r="SU656" s="1260"/>
      <c r="SV656" s="1260"/>
      <c r="SW656" s="1260"/>
      <c r="SX656" s="1260"/>
      <c r="SY656" s="1260"/>
      <c r="SZ656" s="1260"/>
      <c r="TA656" s="1260"/>
      <c r="TB656" s="1260"/>
      <c r="TC656" s="1260"/>
      <c r="TD656" s="1260"/>
      <c r="TE656" s="1260"/>
      <c r="TF656" s="1260"/>
      <c r="TG656" s="1260"/>
      <c r="TH656" s="1260"/>
      <c r="TI656" s="1260"/>
      <c r="TJ656" s="1260"/>
      <c r="TK656" s="1260"/>
      <c r="TL656" s="1260"/>
      <c r="TM656" s="1260"/>
      <c r="TN656" s="1260"/>
      <c r="TO656" s="1260"/>
      <c r="TP656" s="1260"/>
      <c r="TQ656" s="1260"/>
      <c r="TR656" s="1260"/>
      <c r="TS656" s="1260"/>
      <c r="TT656" s="1260"/>
      <c r="TU656" s="1260"/>
      <c r="TV656" s="1260"/>
      <c r="TW656" s="1260"/>
      <c r="TX656" s="1260"/>
      <c r="TY656" s="1260"/>
      <c r="TZ656" s="1260"/>
      <c r="UA656" s="1260"/>
      <c r="UB656" s="1260"/>
      <c r="UC656" s="1260"/>
      <c r="UD656" s="1260"/>
      <c r="UE656" s="1260"/>
      <c r="UF656" s="1260"/>
      <c r="UG656" s="1261"/>
    </row>
    <row r="657" spans="1:553" s="1262" customFormat="1" ht="30.75" customHeight="1">
      <c r="A657" s="402" t="s">
        <v>15</v>
      </c>
      <c r="B657" s="402"/>
      <c r="C657" s="1524" t="s">
        <v>466</v>
      </c>
      <c r="D657" s="1466"/>
      <c r="E657" s="1466"/>
      <c r="F657" s="1466"/>
      <c r="G657" s="1226" t="s">
        <v>196</v>
      </c>
      <c r="H657" s="605"/>
      <c r="I657" s="499">
        <f>(31.98*100/400)*(17-(4-3))*1</f>
        <v>127.92</v>
      </c>
      <c r="J657" s="985">
        <v>5800</v>
      </c>
      <c r="K657" s="1282">
        <v>0.7</v>
      </c>
      <c r="L657" s="1281">
        <f>I657*J657*K657</f>
        <v>519355.19999999995</v>
      </c>
      <c r="M657" s="402"/>
      <c r="N657" s="402"/>
      <c r="O657" s="402"/>
      <c r="P657" s="402"/>
      <c r="Q657" s="1135"/>
      <c r="R657" s="1452"/>
      <c r="S657" s="308"/>
      <c r="T657" s="308"/>
      <c r="U657" s="308"/>
      <c r="V657" s="308"/>
      <c r="W657" s="308"/>
      <c r="X657" s="308"/>
      <c r="Y657" s="308"/>
      <c r="Z657" s="604"/>
      <c r="AA657" s="308"/>
      <c r="AB657" s="308"/>
      <c r="AC657" s="449"/>
      <c r="AD657" s="452"/>
      <c r="AE657" s="452"/>
      <c r="AF657" s="452"/>
      <c r="AG657" s="452"/>
      <c r="AH657" s="452"/>
      <c r="AI657" s="452"/>
      <c r="AJ657" s="452"/>
      <c r="AK657" s="452"/>
      <c r="AL657" s="1259"/>
      <c r="AM657" s="1260"/>
      <c r="AN657" s="1260"/>
      <c r="AO657" s="1260"/>
      <c r="AP657" s="1260"/>
      <c r="AQ657" s="1260"/>
      <c r="AR657" s="1260"/>
      <c r="AS657" s="1260"/>
      <c r="AT657" s="1260"/>
      <c r="AU657" s="1260"/>
      <c r="AV657" s="1260"/>
      <c r="AW657" s="1260"/>
      <c r="AX657" s="1260"/>
      <c r="AY657" s="1260"/>
      <c r="AZ657" s="1260"/>
      <c r="BA657" s="1260"/>
      <c r="BB657" s="1260"/>
      <c r="BC657" s="1260"/>
      <c r="BD657" s="1260"/>
      <c r="BE657" s="1260"/>
      <c r="BF657" s="1260"/>
      <c r="BG657" s="1260"/>
      <c r="BH657" s="1260"/>
      <c r="BI657" s="1260"/>
      <c r="BJ657" s="1260"/>
      <c r="BK657" s="1260"/>
      <c r="BL657" s="1260"/>
      <c r="BM657" s="1260"/>
      <c r="BN657" s="1260"/>
      <c r="BO657" s="1260"/>
      <c r="BP657" s="1260"/>
      <c r="BQ657" s="1260"/>
      <c r="BR657" s="1260"/>
      <c r="BS657" s="1260"/>
      <c r="BT657" s="1260"/>
      <c r="BU657" s="1260"/>
      <c r="BV657" s="1260"/>
      <c r="BW657" s="1260"/>
      <c r="BX657" s="1260"/>
      <c r="BY657" s="1260"/>
      <c r="BZ657" s="1260"/>
      <c r="CA657" s="1260"/>
      <c r="CB657" s="1260"/>
      <c r="CC657" s="1260"/>
      <c r="CD657" s="1260"/>
      <c r="CE657" s="1260"/>
      <c r="CF657" s="1260"/>
      <c r="CG657" s="1260"/>
      <c r="CH657" s="1260"/>
      <c r="CI657" s="1260"/>
      <c r="CJ657" s="1260"/>
      <c r="CK657" s="1260"/>
      <c r="CL657" s="1260"/>
      <c r="CM657" s="1260"/>
      <c r="CN657" s="1260"/>
      <c r="CO657" s="1260"/>
      <c r="CP657" s="1260"/>
      <c r="CQ657" s="1260"/>
      <c r="CR657" s="1260"/>
      <c r="CS657" s="1260"/>
      <c r="CT657" s="1260"/>
      <c r="CU657" s="1260"/>
      <c r="CV657" s="1260"/>
      <c r="CW657" s="1260"/>
      <c r="CX657" s="1260"/>
      <c r="CY657" s="1260"/>
      <c r="CZ657" s="1260"/>
      <c r="DA657" s="1260"/>
      <c r="DB657" s="1260"/>
      <c r="DC657" s="1260"/>
      <c r="DD657" s="1260"/>
      <c r="DE657" s="1260"/>
      <c r="DF657" s="1260"/>
      <c r="DG657" s="1260"/>
      <c r="DH657" s="1260"/>
      <c r="DI657" s="1260"/>
      <c r="DJ657" s="1260"/>
      <c r="DK657" s="1260"/>
      <c r="DL657" s="1260"/>
      <c r="DM657" s="1260"/>
      <c r="DN657" s="1260"/>
      <c r="DO657" s="1260"/>
      <c r="DP657" s="1260"/>
      <c r="DQ657" s="1260"/>
      <c r="DR657" s="1260"/>
      <c r="DS657" s="1260"/>
      <c r="DT657" s="1260"/>
      <c r="DU657" s="1260"/>
      <c r="DV657" s="1260"/>
      <c r="DW657" s="1260"/>
      <c r="DX657" s="1260"/>
      <c r="DY657" s="1260"/>
      <c r="DZ657" s="1260"/>
      <c r="EA657" s="1260"/>
      <c r="EB657" s="1260"/>
      <c r="EC657" s="1260"/>
      <c r="ED657" s="1260"/>
      <c r="EE657" s="1260"/>
      <c r="EF657" s="1260"/>
      <c r="EG657" s="1260"/>
      <c r="EH657" s="1260"/>
      <c r="EI657" s="1260"/>
      <c r="EJ657" s="1260"/>
      <c r="EK657" s="1260"/>
      <c r="EL657" s="1260"/>
      <c r="EM657" s="1260"/>
      <c r="EN657" s="1260"/>
      <c r="EO657" s="1260"/>
      <c r="EP657" s="1260"/>
      <c r="EQ657" s="1260"/>
      <c r="ER657" s="1260"/>
      <c r="ES657" s="1260"/>
      <c r="ET657" s="1260"/>
      <c r="EU657" s="1260"/>
      <c r="EV657" s="1260"/>
      <c r="EW657" s="1260"/>
      <c r="EX657" s="1260"/>
      <c r="EY657" s="1260"/>
      <c r="EZ657" s="1260"/>
      <c r="FA657" s="1260"/>
      <c r="FB657" s="1260"/>
      <c r="FC657" s="1260"/>
      <c r="FD657" s="1260"/>
      <c r="FE657" s="1260"/>
      <c r="FF657" s="1260"/>
      <c r="FG657" s="1260"/>
      <c r="FH657" s="1260"/>
      <c r="FI657" s="1260"/>
      <c r="FJ657" s="1260"/>
      <c r="FK657" s="1260"/>
      <c r="FL657" s="1260"/>
      <c r="FM657" s="1260"/>
      <c r="FN657" s="1260"/>
      <c r="FO657" s="1260"/>
      <c r="FP657" s="1260"/>
      <c r="FQ657" s="1260"/>
      <c r="FR657" s="1260"/>
      <c r="FS657" s="1260"/>
      <c r="FT657" s="1260"/>
      <c r="FU657" s="1260"/>
      <c r="FV657" s="1260"/>
      <c r="FW657" s="1260"/>
      <c r="FX657" s="1260"/>
      <c r="FY657" s="1260"/>
      <c r="FZ657" s="1260"/>
      <c r="GA657" s="1260"/>
      <c r="GB657" s="1260"/>
      <c r="GC657" s="1260"/>
      <c r="GD657" s="1260"/>
      <c r="GE657" s="1260"/>
      <c r="GF657" s="1260"/>
      <c r="GG657" s="1260"/>
      <c r="GH657" s="1260"/>
      <c r="GI657" s="1260"/>
      <c r="GJ657" s="1260"/>
      <c r="GK657" s="1260"/>
      <c r="GL657" s="1260"/>
      <c r="GM657" s="1260"/>
      <c r="GN657" s="1260"/>
      <c r="GO657" s="1260"/>
      <c r="GP657" s="1260"/>
      <c r="GQ657" s="1260"/>
      <c r="GR657" s="1260"/>
      <c r="GS657" s="1260"/>
      <c r="GT657" s="1260"/>
      <c r="GU657" s="1260"/>
      <c r="GV657" s="1260"/>
      <c r="GW657" s="1260"/>
      <c r="GX657" s="1260"/>
      <c r="GY657" s="1260"/>
      <c r="GZ657" s="1260"/>
      <c r="HA657" s="1260"/>
      <c r="HB657" s="1260"/>
      <c r="HC657" s="1260"/>
      <c r="HD657" s="1260"/>
      <c r="HE657" s="1260"/>
      <c r="HF657" s="1260"/>
      <c r="HG657" s="1260"/>
      <c r="HH657" s="1260"/>
      <c r="HI657" s="1260"/>
      <c r="HJ657" s="1260"/>
      <c r="HK657" s="1260"/>
      <c r="HL657" s="1260"/>
      <c r="HM657" s="1260"/>
      <c r="HN657" s="1260"/>
      <c r="HO657" s="1260"/>
      <c r="HP657" s="1260"/>
      <c r="HQ657" s="1260"/>
      <c r="HR657" s="1260"/>
      <c r="HS657" s="1260"/>
      <c r="HT657" s="1260"/>
      <c r="HU657" s="1260"/>
      <c r="HV657" s="1260"/>
      <c r="HW657" s="1260"/>
      <c r="HX657" s="1260"/>
      <c r="HY657" s="1260"/>
      <c r="HZ657" s="1260"/>
      <c r="IA657" s="1260"/>
      <c r="IB657" s="1260"/>
      <c r="IC657" s="1260"/>
      <c r="ID657" s="1260"/>
      <c r="IE657" s="1260"/>
      <c r="IF657" s="1260"/>
      <c r="IG657" s="1260"/>
      <c r="IH657" s="1260"/>
      <c r="II657" s="1260"/>
      <c r="IJ657" s="1260"/>
      <c r="IK657" s="1260"/>
      <c r="IL657" s="1260"/>
      <c r="IM657" s="1260"/>
      <c r="IN657" s="1260"/>
      <c r="IO657" s="1260"/>
      <c r="IP657" s="1260"/>
      <c r="IQ657" s="1260"/>
      <c r="IR657" s="1260"/>
      <c r="IS657" s="1260"/>
      <c r="IT657" s="1260"/>
      <c r="IU657" s="1260"/>
      <c r="IV657" s="1260"/>
      <c r="IW657" s="1260"/>
      <c r="IX657" s="1260"/>
      <c r="IY657" s="1260"/>
      <c r="IZ657" s="1260"/>
      <c r="JA657" s="1260"/>
      <c r="JB657" s="1260"/>
      <c r="JC657" s="1260"/>
      <c r="JD657" s="1260"/>
      <c r="JE657" s="1260"/>
      <c r="JF657" s="1260"/>
      <c r="JG657" s="1260"/>
      <c r="JH657" s="1260"/>
      <c r="JI657" s="1260"/>
      <c r="JJ657" s="1260"/>
      <c r="JK657" s="1260"/>
      <c r="JL657" s="1260"/>
      <c r="JM657" s="1260"/>
      <c r="JN657" s="1260"/>
      <c r="JO657" s="1260"/>
      <c r="JP657" s="1260"/>
      <c r="JQ657" s="1260"/>
      <c r="JR657" s="1260"/>
      <c r="JS657" s="1260"/>
      <c r="JT657" s="1260"/>
      <c r="JU657" s="1260"/>
      <c r="JV657" s="1260"/>
      <c r="JW657" s="1260"/>
      <c r="JX657" s="1260"/>
      <c r="JY657" s="1260"/>
      <c r="JZ657" s="1260"/>
      <c r="KA657" s="1260"/>
      <c r="KB657" s="1260"/>
      <c r="KC657" s="1260"/>
      <c r="KD657" s="1260"/>
      <c r="KE657" s="1260"/>
      <c r="KF657" s="1260"/>
      <c r="KG657" s="1260"/>
      <c r="KH657" s="1260"/>
      <c r="KI657" s="1260"/>
      <c r="KJ657" s="1260"/>
      <c r="KK657" s="1260"/>
      <c r="KL657" s="1260"/>
      <c r="KM657" s="1260"/>
      <c r="KN657" s="1260"/>
      <c r="KO657" s="1260"/>
      <c r="KP657" s="1260"/>
      <c r="KQ657" s="1260"/>
      <c r="KR657" s="1260"/>
      <c r="KS657" s="1260"/>
      <c r="KT657" s="1260"/>
      <c r="KU657" s="1260"/>
      <c r="KV657" s="1260"/>
      <c r="KW657" s="1260"/>
      <c r="KX657" s="1260"/>
      <c r="KY657" s="1260"/>
      <c r="KZ657" s="1260"/>
      <c r="LA657" s="1260"/>
      <c r="LB657" s="1260"/>
      <c r="LC657" s="1260"/>
      <c r="LD657" s="1260"/>
      <c r="LE657" s="1260"/>
      <c r="LF657" s="1260"/>
      <c r="LG657" s="1260"/>
      <c r="LH657" s="1260"/>
      <c r="LI657" s="1260"/>
      <c r="LJ657" s="1260"/>
      <c r="LK657" s="1260"/>
      <c r="LL657" s="1260"/>
      <c r="LM657" s="1260"/>
      <c r="LN657" s="1260"/>
      <c r="LO657" s="1260"/>
      <c r="LP657" s="1260"/>
      <c r="LQ657" s="1260"/>
      <c r="LR657" s="1260"/>
      <c r="LS657" s="1260"/>
      <c r="LT657" s="1260"/>
      <c r="LU657" s="1260"/>
      <c r="LV657" s="1260"/>
      <c r="LW657" s="1260"/>
      <c r="LX657" s="1260"/>
      <c r="LY657" s="1260"/>
      <c r="LZ657" s="1260"/>
      <c r="MA657" s="1260"/>
      <c r="MB657" s="1260"/>
      <c r="MC657" s="1260"/>
      <c r="MD657" s="1260"/>
      <c r="ME657" s="1260"/>
      <c r="MF657" s="1260"/>
      <c r="MG657" s="1260"/>
      <c r="MH657" s="1260"/>
      <c r="MI657" s="1260"/>
      <c r="MJ657" s="1260"/>
      <c r="MK657" s="1260"/>
      <c r="ML657" s="1260"/>
      <c r="MM657" s="1260"/>
      <c r="MN657" s="1260"/>
      <c r="MO657" s="1260"/>
      <c r="MP657" s="1260"/>
      <c r="MQ657" s="1260"/>
      <c r="MR657" s="1260"/>
      <c r="MS657" s="1260"/>
      <c r="MT657" s="1260"/>
      <c r="MU657" s="1260"/>
      <c r="MV657" s="1260"/>
      <c r="MW657" s="1260"/>
      <c r="MX657" s="1260"/>
      <c r="MY657" s="1260"/>
      <c r="MZ657" s="1260"/>
      <c r="NA657" s="1260"/>
      <c r="NB657" s="1260"/>
      <c r="NC657" s="1260"/>
      <c r="ND657" s="1260"/>
      <c r="NE657" s="1260"/>
      <c r="NF657" s="1260"/>
      <c r="NG657" s="1260"/>
      <c r="NH657" s="1260"/>
      <c r="NI657" s="1260"/>
      <c r="NJ657" s="1260"/>
      <c r="NK657" s="1260"/>
      <c r="NL657" s="1260"/>
      <c r="NM657" s="1260"/>
      <c r="NN657" s="1260"/>
      <c r="NO657" s="1260"/>
      <c r="NP657" s="1260"/>
      <c r="NQ657" s="1260"/>
      <c r="NR657" s="1260"/>
      <c r="NS657" s="1260"/>
      <c r="NT657" s="1260"/>
      <c r="NU657" s="1260"/>
      <c r="NV657" s="1260"/>
      <c r="NW657" s="1260"/>
      <c r="NX657" s="1260"/>
      <c r="NY657" s="1260"/>
      <c r="NZ657" s="1260"/>
      <c r="OA657" s="1260"/>
      <c r="OB657" s="1260"/>
      <c r="OC657" s="1260"/>
      <c r="OD657" s="1260"/>
      <c r="OE657" s="1260"/>
      <c r="OF657" s="1260"/>
      <c r="OG657" s="1260"/>
      <c r="OH657" s="1260"/>
      <c r="OI657" s="1260"/>
      <c r="OJ657" s="1260"/>
      <c r="OK657" s="1260"/>
      <c r="OL657" s="1260"/>
      <c r="OM657" s="1260"/>
      <c r="ON657" s="1260"/>
      <c r="OO657" s="1260"/>
      <c r="OP657" s="1260"/>
      <c r="OQ657" s="1260"/>
      <c r="OR657" s="1260"/>
      <c r="OS657" s="1260"/>
      <c r="OT657" s="1260"/>
      <c r="OU657" s="1260"/>
      <c r="OV657" s="1260"/>
      <c r="OW657" s="1260"/>
      <c r="OX657" s="1260"/>
      <c r="OY657" s="1260"/>
      <c r="OZ657" s="1260"/>
      <c r="PA657" s="1260"/>
      <c r="PB657" s="1260"/>
      <c r="PC657" s="1260"/>
      <c r="PD657" s="1260"/>
      <c r="PE657" s="1260"/>
      <c r="PF657" s="1260"/>
      <c r="PG657" s="1260"/>
      <c r="PH657" s="1260"/>
      <c r="PI657" s="1260"/>
      <c r="PJ657" s="1260"/>
      <c r="PK657" s="1260"/>
      <c r="PL657" s="1260"/>
      <c r="PM657" s="1260"/>
      <c r="PN657" s="1260"/>
      <c r="PO657" s="1260"/>
      <c r="PP657" s="1260"/>
      <c r="PQ657" s="1260"/>
      <c r="PR657" s="1260"/>
      <c r="PS657" s="1260"/>
      <c r="PT657" s="1260"/>
      <c r="PU657" s="1260"/>
      <c r="PV657" s="1260"/>
      <c r="PW657" s="1260"/>
      <c r="PX657" s="1260"/>
      <c r="PY657" s="1260"/>
      <c r="PZ657" s="1260"/>
      <c r="QA657" s="1260"/>
      <c r="QB657" s="1260"/>
      <c r="QC657" s="1260"/>
      <c r="QD657" s="1260"/>
      <c r="QE657" s="1260"/>
      <c r="QF657" s="1260"/>
      <c r="QG657" s="1260"/>
      <c r="QH657" s="1260"/>
      <c r="QI657" s="1260"/>
      <c r="QJ657" s="1260"/>
      <c r="QK657" s="1260"/>
      <c r="QL657" s="1260"/>
      <c r="QM657" s="1260"/>
      <c r="QN657" s="1260"/>
      <c r="QO657" s="1260"/>
      <c r="QP657" s="1260"/>
      <c r="QQ657" s="1260"/>
      <c r="QR657" s="1260"/>
      <c r="QS657" s="1260"/>
      <c r="QT657" s="1260"/>
      <c r="QU657" s="1260"/>
      <c r="QV657" s="1260"/>
      <c r="QW657" s="1260"/>
      <c r="QX657" s="1260"/>
      <c r="QY657" s="1260"/>
      <c r="QZ657" s="1260"/>
      <c r="RA657" s="1260"/>
      <c r="RB657" s="1260"/>
      <c r="RC657" s="1260"/>
      <c r="RD657" s="1260"/>
      <c r="RE657" s="1260"/>
      <c r="RF657" s="1260"/>
      <c r="RG657" s="1260"/>
      <c r="RH657" s="1260"/>
      <c r="RI657" s="1260"/>
      <c r="RJ657" s="1260"/>
      <c r="RK657" s="1260"/>
      <c r="RL657" s="1260"/>
      <c r="RM657" s="1260"/>
      <c r="RN657" s="1260"/>
      <c r="RO657" s="1260"/>
      <c r="RP657" s="1260"/>
      <c r="RQ657" s="1260"/>
      <c r="RR657" s="1260"/>
      <c r="RS657" s="1260"/>
      <c r="RT657" s="1260"/>
      <c r="RU657" s="1260"/>
      <c r="RV657" s="1260"/>
      <c r="RW657" s="1260"/>
      <c r="RX657" s="1260"/>
      <c r="RY657" s="1260"/>
      <c r="RZ657" s="1260"/>
      <c r="SA657" s="1260"/>
      <c r="SB657" s="1260"/>
      <c r="SC657" s="1260"/>
      <c r="SD657" s="1260"/>
      <c r="SE657" s="1260"/>
      <c r="SF657" s="1260"/>
      <c r="SG657" s="1260"/>
      <c r="SH657" s="1260"/>
      <c r="SI657" s="1260"/>
      <c r="SJ657" s="1260"/>
      <c r="SK657" s="1260"/>
      <c r="SL657" s="1260"/>
      <c r="SM657" s="1260"/>
      <c r="SN657" s="1260"/>
      <c r="SO657" s="1260"/>
      <c r="SP657" s="1260"/>
      <c r="SQ657" s="1260"/>
      <c r="SR657" s="1260"/>
      <c r="SS657" s="1260"/>
      <c r="ST657" s="1260"/>
      <c r="SU657" s="1260"/>
      <c r="SV657" s="1260"/>
      <c r="SW657" s="1260"/>
      <c r="SX657" s="1260"/>
      <c r="SY657" s="1260"/>
      <c r="SZ657" s="1260"/>
      <c r="TA657" s="1260"/>
      <c r="TB657" s="1260"/>
      <c r="TC657" s="1260"/>
      <c r="TD657" s="1260"/>
      <c r="TE657" s="1260"/>
      <c r="TF657" s="1260"/>
      <c r="TG657" s="1260"/>
      <c r="TH657" s="1260"/>
      <c r="TI657" s="1260"/>
      <c r="TJ657" s="1260"/>
      <c r="TK657" s="1260"/>
      <c r="TL657" s="1260"/>
      <c r="TM657" s="1260"/>
      <c r="TN657" s="1260"/>
      <c r="TO657" s="1260"/>
      <c r="TP657" s="1260"/>
      <c r="TQ657" s="1260"/>
      <c r="TR657" s="1260"/>
      <c r="TS657" s="1260"/>
      <c r="TT657" s="1260"/>
      <c r="TU657" s="1260"/>
      <c r="TV657" s="1260"/>
      <c r="TW657" s="1260"/>
      <c r="TX657" s="1260"/>
      <c r="TY657" s="1260"/>
      <c r="TZ657" s="1260"/>
      <c r="UA657" s="1260"/>
      <c r="UB657" s="1260"/>
      <c r="UC657" s="1260"/>
      <c r="UD657" s="1260"/>
      <c r="UE657" s="1260"/>
      <c r="UF657" s="1260"/>
      <c r="UG657" s="1261"/>
    </row>
    <row r="658" spans="1:553" s="1262" customFormat="1" ht="30.75" customHeight="1">
      <c r="A658" s="1226"/>
      <c r="B658" s="1226"/>
      <c r="C658" s="1519" t="s">
        <v>457</v>
      </c>
      <c r="D658" s="1452"/>
      <c r="E658" s="1452"/>
      <c r="F658" s="1464"/>
      <c r="G658" s="1226" t="s">
        <v>196</v>
      </c>
      <c r="H658" s="600"/>
      <c r="I658" s="423">
        <f>(132.2*100/1200)*1</f>
        <v>11.016666666666666</v>
      </c>
      <c r="J658" s="1243">
        <v>6600</v>
      </c>
      <c r="K658" s="558"/>
      <c r="L658" s="679">
        <f>J658*I658</f>
        <v>72710</v>
      </c>
      <c r="M658" s="1226"/>
      <c r="N658" s="1226"/>
      <c r="O658" s="1226"/>
      <c r="P658" s="1226"/>
      <c r="Q658" s="1135"/>
      <c r="R658" s="1452"/>
      <c r="S658" s="308"/>
      <c r="T658" s="308"/>
      <c r="U658" s="308"/>
      <c r="V658" s="308"/>
      <c r="W658" s="308"/>
      <c r="X658" s="308"/>
      <c r="Y658" s="308"/>
      <c r="Z658" s="604"/>
      <c r="AA658" s="308"/>
      <c r="AB658" s="308"/>
      <c r="AC658" s="449"/>
      <c r="AD658" s="452"/>
      <c r="AE658" s="452"/>
      <c r="AF658" s="452"/>
      <c r="AG658" s="452"/>
      <c r="AH658" s="452"/>
      <c r="AI658" s="452"/>
      <c r="AJ658" s="452"/>
      <c r="AK658" s="452"/>
      <c r="AL658" s="1259"/>
      <c r="AM658" s="1260"/>
      <c r="AN658" s="1260"/>
      <c r="AO658" s="1260"/>
      <c r="AP658" s="1260"/>
      <c r="AQ658" s="1260"/>
      <c r="AR658" s="1260"/>
      <c r="AS658" s="1260"/>
      <c r="AT658" s="1260"/>
      <c r="AU658" s="1260"/>
      <c r="AV658" s="1260"/>
      <c r="AW658" s="1260"/>
      <c r="AX658" s="1260"/>
      <c r="AY658" s="1260"/>
      <c r="AZ658" s="1260"/>
      <c r="BA658" s="1260"/>
      <c r="BB658" s="1260"/>
      <c r="BC658" s="1260"/>
      <c r="BD658" s="1260"/>
      <c r="BE658" s="1260"/>
      <c r="BF658" s="1260"/>
      <c r="BG658" s="1260"/>
      <c r="BH658" s="1260"/>
      <c r="BI658" s="1260"/>
      <c r="BJ658" s="1260"/>
      <c r="BK658" s="1260"/>
      <c r="BL658" s="1260"/>
      <c r="BM658" s="1260"/>
      <c r="BN658" s="1260"/>
      <c r="BO658" s="1260"/>
      <c r="BP658" s="1260"/>
      <c r="BQ658" s="1260"/>
      <c r="BR658" s="1260"/>
      <c r="BS658" s="1260"/>
      <c r="BT658" s="1260"/>
      <c r="BU658" s="1260"/>
      <c r="BV658" s="1260"/>
      <c r="BW658" s="1260"/>
      <c r="BX658" s="1260"/>
      <c r="BY658" s="1260"/>
      <c r="BZ658" s="1260"/>
      <c r="CA658" s="1260"/>
      <c r="CB658" s="1260"/>
      <c r="CC658" s="1260"/>
      <c r="CD658" s="1260"/>
      <c r="CE658" s="1260"/>
      <c r="CF658" s="1260"/>
      <c r="CG658" s="1260"/>
      <c r="CH658" s="1260"/>
      <c r="CI658" s="1260"/>
      <c r="CJ658" s="1260"/>
      <c r="CK658" s="1260"/>
      <c r="CL658" s="1260"/>
      <c r="CM658" s="1260"/>
      <c r="CN658" s="1260"/>
      <c r="CO658" s="1260"/>
      <c r="CP658" s="1260"/>
      <c r="CQ658" s="1260"/>
      <c r="CR658" s="1260"/>
      <c r="CS658" s="1260"/>
      <c r="CT658" s="1260"/>
      <c r="CU658" s="1260"/>
      <c r="CV658" s="1260"/>
      <c r="CW658" s="1260"/>
      <c r="CX658" s="1260"/>
      <c r="CY658" s="1260"/>
      <c r="CZ658" s="1260"/>
      <c r="DA658" s="1260"/>
      <c r="DB658" s="1260"/>
      <c r="DC658" s="1260"/>
      <c r="DD658" s="1260"/>
      <c r="DE658" s="1260"/>
      <c r="DF658" s="1260"/>
      <c r="DG658" s="1260"/>
      <c r="DH658" s="1260"/>
      <c r="DI658" s="1260"/>
      <c r="DJ658" s="1260"/>
      <c r="DK658" s="1260"/>
      <c r="DL658" s="1260"/>
      <c r="DM658" s="1260"/>
      <c r="DN658" s="1260"/>
      <c r="DO658" s="1260"/>
      <c r="DP658" s="1260"/>
      <c r="DQ658" s="1260"/>
      <c r="DR658" s="1260"/>
      <c r="DS658" s="1260"/>
      <c r="DT658" s="1260"/>
      <c r="DU658" s="1260"/>
      <c r="DV658" s="1260"/>
      <c r="DW658" s="1260"/>
      <c r="DX658" s="1260"/>
      <c r="DY658" s="1260"/>
      <c r="DZ658" s="1260"/>
      <c r="EA658" s="1260"/>
      <c r="EB658" s="1260"/>
      <c r="EC658" s="1260"/>
      <c r="ED658" s="1260"/>
      <c r="EE658" s="1260"/>
      <c r="EF658" s="1260"/>
      <c r="EG658" s="1260"/>
      <c r="EH658" s="1260"/>
      <c r="EI658" s="1260"/>
      <c r="EJ658" s="1260"/>
      <c r="EK658" s="1260"/>
      <c r="EL658" s="1260"/>
      <c r="EM658" s="1260"/>
      <c r="EN658" s="1260"/>
      <c r="EO658" s="1260"/>
      <c r="EP658" s="1260"/>
      <c r="EQ658" s="1260"/>
      <c r="ER658" s="1260"/>
      <c r="ES658" s="1260"/>
      <c r="ET658" s="1260"/>
      <c r="EU658" s="1260"/>
      <c r="EV658" s="1260"/>
      <c r="EW658" s="1260"/>
      <c r="EX658" s="1260"/>
      <c r="EY658" s="1260"/>
      <c r="EZ658" s="1260"/>
      <c r="FA658" s="1260"/>
      <c r="FB658" s="1260"/>
      <c r="FC658" s="1260"/>
      <c r="FD658" s="1260"/>
      <c r="FE658" s="1260"/>
      <c r="FF658" s="1260"/>
      <c r="FG658" s="1260"/>
      <c r="FH658" s="1260"/>
      <c r="FI658" s="1260"/>
      <c r="FJ658" s="1260"/>
      <c r="FK658" s="1260"/>
      <c r="FL658" s="1260"/>
      <c r="FM658" s="1260"/>
      <c r="FN658" s="1260"/>
      <c r="FO658" s="1260"/>
      <c r="FP658" s="1260"/>
      <c r="FQ658" s="1260"/>
      <c r="FR658" s="1260"/>
      <c r="FS658" s="1260"/>
      <c r="FT658" s="1260"/>
      <c r="FU658" s="1260"/>
      <c r="FV658" s="1260"/>
      <c r="FW658" s="1260"/>
      <c r="FX658" s="1260"/>
      <c r="FY658" s="1260"/>
      <c r="FZ658" s="1260"/>
      <c r="GA658" s="1260"/>
      <c r="GB658" s="1260"/>
      <c r="GC658" s="1260"/>
      <c r="GD658" s="1260"/>
      <c r="GE658" s="1260"/>
      <c r="GF658" s="1260"/>
      <c r="GG658" s="1260"/>
      <c r="GH658" s="1260"/>
      <c r="GI658" s="1260"/>
      <c r="GJ658" s="1260"/>
      <c r="GK658" s="1260"/>
      <c r="GL658" s="1260"/>
      <c r="GM658" s="1260"/>
      <c r="GN658" s="1260"/>
      <c r="GO658" s="1260"/>
      <c r="GP658" s="1260"/>
      <c r="GQ658" s="1260"/>
      <c r="GR658" s="1260"/>
      <c r="GS658" s="1260"/>
      <c r="GT658" s="1260"/>
      <c r="GU658" s="1260"/>
      <c r="GV658" s="1260"/>
      <c r="GW658" s="1260"/>
      <c r="GX658" s="1260"/>
      <c r="GY658" s="1260"/>
      <c r="GZ658" s="1260"/>
      <c r="HA658" s="1260"/>
      <c r="HB658" s="1260"/>
      <c r="HC658" s="1260"/>
      <c r="HD658" s="1260"/>
      <c r="HE658" s="1260"/>
      <c r="HF658" s="1260"/>
      <c r="HG658" s="1260"/>
      <c r="HH658" s="1260"/>
      <c r="HI658" s="1260"/>
      <c r="HJ658" s="1260"/>
      <c r="HK658" s="1260"/>
      <c r="HL658" s="1260"/>
      <c r="HM658" s="1260"/>
      <c r="HN658" s="1260"/>
      <c r="HO658" s="1260"/>
      <c r="HP658" s="1260"/>
      <c r="HQ658" s="1260"/>
      <c r="HR658" s="1260"/>
      <c r="HS658" s="1260"/>
      <c r="HT658" s="1260"/>
      <c r="HU658" s="1260"/>
      <c r="HV658" s="1260"/>
      <c r="HW658" s="1260"/>
      <c r="HX658" s="1260"/>
      <c r="HY658" s="1260"/>
      <c r="HZ658" s="1260"/>
      <c r="IA658" s="1260"/>
      <c r="IB658" s="1260"/>
      <c r="IC658" s="1260"/>
      <c r="ID658" s="1260"/>
      <c r="IE658" s="1260"/>
      <c r="IF658" s="1260"/>
      <c r="IG658" s="1260"/>
      <c r="IH658" s="1260"/>
      <c r="II658" s="1260"/>
      <c r="IJ658" s="1260"/>
      <c r="IK658" s="1260"/>
      <c r="IL658" s="1260"/>
      <c r="IM658" s="1260"/>
      <c r="IN658" s="1260"/>
      <c r="IO658" s="1260"/>
      <c r="IP658" s="1260"/>
      <c r="IQ658" s="1260"/>
      <c r="IR658" s="1260"/>
      <c r="IS658" s="1260"/>
      <c r="IT658" s="1260"/>
      <c r="IU658" s="1260"/>
      <c r="IV658" s="1260"/>
      <c r="IW658" s="1260"/>
      <c r="IX658" s="1260"/>
      <c r="IY658" s="1260"/>
      <c r="IZ658" s="1260"/>
      <c r="JA658" s="1260"/>
      <c r="JB658" s="1260"/>
      <c r="JC658" s="1260"/>
      <c r="JD658" s="1260"/>
      <c r="JE658" s="1260"/>
      <c r="JF658" s="1260"/>
      <c r="JG658" s="1260"/>
      <c r="JH658" s="1260"/>
      <c r="JI658" s="1260"/>
      <c r="JJ658" s="1260"/>
      <c r="JK658" s="1260"/>
      <c r="JL658" s="1260"/>
      <c r="JM658" s="1260"/>
      <c r="JN658" s="1260"/>
      <c r="JO658" s="1260"/>
      <c r="JP658" s="1260"/>
      <c r="JQ658" s="1260"/>
      <c r="JR658" s="1260"/>
      <c r="JS658" s="1260"/>
      <c r="JT658" s="1260"/>
      <c r="JU658" s="1260"/>
      <c r="JV658" s="1260"/>
      <c r="JW658" s="1260"/>
      <c r="JX658" s="1260"/>
      <c r="JY658" s="1260"/>
      <c r="JZ658" s="1260"/>
      <c r="KA658" s="1260"/>
      <c r="KB658" s="1260"/>
      <c r="KC658" s="1260"/>
      <c r="KD658" s="1260"/>
      <c r="KE658" s="1260"/>
      <c r="KF658" s="1260"/>
      <c r="KG658" s="1260"/>
      <c r="KH658" s="1260"/>
      <c r="KI658" s="1260"/>
      <c r="KJ658" s="1260"/>
      <c r="KK658" s="1260"/>
      <c r="KL658" s="1260"/>
      <c r="KM658" s="1260"/>
      <c r="KN658" s="1260"/>
      <c r="KO658" s="1260"/>
      <c r="KP658" s="1260"/>
      <c r="KQ658" s="1260"/>
      <c r="KR658" s="1260"/>
      <c r="KS658" s="1260"/>
      <c r="KT658" s="1260"/>
      <c r="KU658" s="1260"/>
      <c r="KV658" s="1260"/>
      <c r="KW658" s="1260"/>
      <c r="KX658" s="1260"/>
      <c r="KY658" s="1260"/>
      <c r="KZ658" s="1260"/>
      <c r="LA658" s="1260"/>
      <c r="LB658" s="1260"/>
      <c r="LC658" s="1260"/>
      <c r="LD658" s="1260"/>
      <c r="LE658" s="1260"/>
      <c r="LF658" s="1260"/>
      <c r="LG658" s="1260"/>
      <c r="LH658" s="1260"/>
      <c r="LI658" s="1260"/>
      <c r="LJ658" s="1260"/>
      <c r="LK658" s="1260"/>
      <c r="LL658" s="1260"/>
      <c r="LM658" s="1260"/>
      <c r="LN658" s="1260"/>
      <c r="LO658" s="1260"/>
      <c r="LP658" s="1260"/>
      <c r="LQ658" s="1260"/>
      <c r="LR658" s="1260"/>
      <c r="LS658" s="1260"/>
      <c r="LT658" s="1260"/>
      <c r="LU658" s="1260"/>
      <c r="LV658" s="1260"/>
      <c r="LW658" s="1260"/>
      <c r="LX658" s="1260"/>
      <c r="LY658" s="1260"/>
      <c r="LZ658" s="1260"/>
      <c r="MA658" s="1260"/>
      <c r="MB658" s="1260"/>
      <c r="MC658" s="1260"/>
      <c r="MD658" s="1260"/>
      <c r="ME658" s="1260"/>
      <c r="MF658" s="1260"/>
      <c r="MG658" s="1260"/>
      <c r="MH658" s="1260"/>
      <c r="MI658" s="1260"/>
      <c r="MJ658" s="1260"/>
      <c r="MK658" s="1260"/>
      <c r="ML658" s="1260"/>
      <c r="MM658" s="1260"/>
      <c r="MN658" s="1260"/>
      <c r="MO658" s="1260"/>
      <c r="MP658" s="1260"/>
      <c r="MQ658" s="1260"/>
      <c r="MR658" s="1260"/>
      <c r="MS658" s="1260"/>
      <c r="MT658" s="1260"/>
      <c r="MU658" s="1260"/>
      <c r="MV658" s="1260"/>
      <c r="MW658" s="1260"/>
      <c r="MX658" s="1260"/>
      <c r="MY658" s="1260"/>
      <c r="MZ658" s="1260"/>
      <c r="NA658" s="1260"/>
      <c r="NB658" s="1260"/>
      <c r="NC658" s="1260"/>
      <c r="ND658" s="1260"/>
      <c r="NE658" s="1260"/>
      <c r="NF658" s="1260"/>
      <c r="NG658" s="1260"/>
      <c r="NH658" s="1260"/>
      <c r="NI658" s="1260"/>
      <c r="NJ658" s="1260"/>
      <c r="NK658" s="1260"/>
      <c r="NL658" s="1260"/>
      <c r="NM658" s="1260"/>
      <c r="NN658" s="1260"/>
      <c r="NO658" s="1260"/>
      <c r="NP658" s="1260"/>
      <c r="NQ658" s="1260"/>
      <c r="NR658" s="1260"/>
      <c r="NS658" s="1260"/>
      <c r="NT658" s="1260"/>
      <c r="NU658" s="1260"/>
      <c r="NV658" s="1260"/>
      <c r="NW658" s="1260"/>
      <c r="NX658" s="1260"/>
      <c r="NY658" s="1260"/>
      <c r="NZ658" s="1260"/>
      <c r="OA658" s="1260"/>
      <c r="OB658" s="1260"/>
      <c r="OC658" s="1260"/>
      <c r="OD658" s="1260"/>
      <c r="OE658" s="1260"/>
      <c r="OF658" s="1260"/>
      <c r="OG658" s="1260"/>
      <c r="OH658" s="1260"/>
      <c r="OI658" s="1260"/>
      <c r="OJ658" s="1260"/>
      <c r="OK658" s="1260"/>
      <c r="OL658" s="1260"/>
      <c r="OM658" s="1260"/>
      <c r="ON658" s="1260"/>
      <c r="OO658" s="1260"/>
      <c r="OP658" s="1260"/>
      <c r="OQ658" s="1260"/>
      <c r="OR658" s="1260"/>
      <c r="OS658" s="1260"/>
      <c r="OT658" s="1260"/>
      <c r="OU658" s="1260"/>
      <c r="OV658" s="1260"/>
      <c r="OW658" s="1260"/>
      <c r="OX658" s="1260"/>
      <c r="OY658" s="1260"/>
      <c r="OZ658" s="1260"/>
      <c r="PA658" s="1260"/>
      <c r="PB658" s="1260"/>
      <c r="PC658" s="1260"/>
      <c r="PD658" s="1260"/>
      <c r="PE658" s="1260"/>
      <c r="PF658" s="1260"/>
      <c r="PG658" s="1260"/>
      <c r="PH658" s="1260"/>
      <c r="PI658" s="1260"/>
      <c r="PJ658" s="1260"/>
      <c r="PK658" s="1260"/>
      <c r="PL658" s="1260"/>
      <c r="PM658" s="1260"/>
      <c r="PN658" s="1260"/>
      <c r="PO658" s="1260"/>
      <c r="PP658" s="1260"/>
      <c r="PQ658" s="1260"/>
      <c r="PR658" s="1260"/>
      <c r="PS658" s="1260"/>
      <c r="PT658" s="1260"/>
      <c r="PU658" s="1260"/>
      <c r="PV658" s="1260"/>
      <c r="PW658" s="1260"/>
      <c r="PX658" s="1260"/>
      <c r="PY658" s="1260"/>
      <c r="PZ658" s="1260"/>
      <c r="QA658" s="1260"/>
      <c r="QB658" s="1260"/>
      <c r="QC658" s="1260"/>
      <c r="QD658" s="1260"/>
      <c r="QE658" s="1260"/>
      <c r="QF658" s="1260"/>
      <c r="QG658" s="1260"/>
      <c r="QH658" s="1260"/>
      <c r="QI658" s="1260"/>
      <c r="QJ658" s="1260"/>
      <c r="QK658" s="1260"/>
      <c r="QL658" s="1260"/>
      <c r="QM658" s="1260"/>
      <c r="QN658" s="1260"/>
      <c r="QO658" s="1260"/>
      <c r="QP658" s="1260"/>
      <c r="QQ658" s="1260"/>
      <c r="QR658" s="1260"/>
      <c r="QS658" s="1260"/>
      <c r="QT658" s="1260"/>
      <c r="QU658" s="1260"/>
      <c r="QV658" s="1260"/>
      <c r="QW658" s="1260"/>
      <c r="QX658" s="1260"/>
      <c r="QY658" s="1260"/>
      <c r="QZ658" s="1260"/>
      <c r="RA658" s="1260"/>
      <c r="RB658" s="1260"/>
      <c r="RC658" s="1260"/>
      <c r="RD658" s="1260"/>
      <c r="RE658" s="1260"/>
      <c r="RF658" s="1260"/>
      <c r="RG658" s="1260"/>
      <c r="RH658" s="1260"/>
      <c r="RI658" s="1260"/>
      <c r="RJ658" s="1260"/>
      <c r="RK658" s="1260"/>
      <c r="RL658" s="1260"/>
      <c r="RM658" s="1260"/>
      <c r="RN658" s="1260"/>
      <c r="RO658" s="1260"/>
      <c r="RP658" s="1260"/>
      <c r="RQ658" s="1260"/>
      <c r="RR658" s="1260"/>
      <c r="RS658" s="1260"/>
      <c r="RT658" s="1260"/>
      <c r="RU658" s="1260"/>
      <c r="RV658" s="1260"/>
      <c r="RW658" s="1260"/>
      <c r="RX658" s="1260"/>
      <c r="RY658" s="1260"/>
      <c r="RZ658" s="1260"/>
      <c r="SA658" s="1260"/>
      <c r="SB658" s="1260"/>
      <c r="SC658" s="1260"/>
      <c r="SD658" s="1260"/>
      <c r="SE658" s="1260"/>
      <c r="SF658" s="1260"/>
      <c r="SG658" s="1260"/>
      <c r="SH658" s="1260"/>
      <c r="SI658" s="1260"/>
      <c r="SJ658" s="1260"/>
      <c r="SK658" s="1260"/>
      <c r="SL658" s="1260"/>
      <c r="SM658" s="1260"/>
      <c r="SN658" s="1260"/>
      <c r="SO658" s="1260"/>
      <c r="SP658" s="1260"/>
      <c r="SQ658" s="1260"/>
      <c r="SR658" s="1260"/>
      <c r="SS658" s="1260"/>
      <c r="ST658" s="1260"/>
      <c r="SU658" s="1260"/>
      <c r="SV658" s="1260"/>
      <c r="SW658" s="1260"/>
      <c r="SX658" s="1260"/>
      <c r="SY658" s="1260"/>
      <c r="SZ658" s="1260"/>
      <c r="TA658" s="1260"/>
      <c r="TB658" s="1260"/>
      <c r="TC658" s="1260"/>
      <c r="TD658" s="1260"/>
      <c r="TE658" s="1260"/>
      <c r="TF658" s="1260"/>
      <c r="TG658" s="1260"/>
      <c r="TH658" s="1260"/>
      <c r="TI658" s="1260"/>
      <c r="TJ658" s="1260"/>
      <c r="TK658" s="1260"/>
      <c r="TL658" s="1260"/>
      <c r="TM658" s="1260"/>
      <c r="TN658" s="1260"/>
      <c r="TO658" s="1260"/>
      <c r="TP658" s="1260"/>
      <c r="TQ658" s="1260"/>
      <c r="TR658" s="1260"/>
      <c r="TS658" s="1260"/>
      <c r="TT658" s="1260"/>
      <c r="TU658" s="1260"/>
      <c r="TV658" s="1260"/>
      <c r="TW658" s="1260"/>
      <c r="TX658" s="1260"/>
      <c r="TY658" s="1260"/>
      <c r="TZ658" s="1260"/>
      <c r="UA658" s="1260"/>
      <c r="UB658" s="1260"/>
      <c r="UC658" s="1260"/>
      <c r="UD658" s="1260"/>
      <c r="UE658" s="1260"/>
      <c r="UF658" s="1260"/>
      <c r="UG658" s="1261"/>
    </row>
    <row r="659" spans="1:553" s="1262" customFormat="1" ht="30.75" customHeight="1">
      <c r="A659" s="415" t="s">
        <v>15</v>
      </c>
      <c r="B659" s="415"/>
      <c r="C659" s="1521" t="s">
        <v>467</v>
      </c>
      <c r="D659" s="1461"/>
      <c r="E659" s="1461"/>
      <c r="F659" s="1461"/>
      <c r="G659" s="1226" t="s">
        <v>193</v>
      </c>
      <c r="H659" s="603"/>
      <c r="I659" s="570">
        <v>2</v>
      </c>
      <c r="J659" s="512">
        <v>75000</v>
      </c>
      <c r="K659" s="506"/>
      <c r="L659" s="1012">
        <f>I659*J659</f>
        <v>150000</v>
      </c>
      <c r="M659" s="415"/>
      <c r="N659" s="415"/>
      <c r="O659" s="415"/>
      <c r="P659" s="415"/>
      <c r="Q659" s="1135"/>
      <c r="R659" s="1452"/>
      <c r="S659" s="308"/>
      <c r="T659" s="308"/>
      <c r="U659" s="308"/>
      <c r="V659" s="308"/>
      <c r="W659" s="308"/>
      <c r="X659" s="308"/>
      <c r="Y659" s="308"/>
      <c r="Z659" s="604"/>
      <c r="AA659" s="308"/>
      <c r="AB659" s="308"/>
      <c r="AC659" s="449"/>
      <c r="AD659" s="452"/>
      <c r="AE659" s="452"/>
      <c r="AF659" s="452"/>
      <c r="AG659" s="452"/>
      <c r="AH659" s="452"/>
      <c r="AI659" s="452"/>
      <c r="AJ659" s="452"/>
      <c r="AK659" s="452"/>
      <c r="AL659" s="1259"/>
      <c r="AM659" s="1260"/>
      <c r="AN659" s="1260"/>
      <c r="AO659" s="1260"/>
      <c r="AP659" s="1260"/>
      <c r="AQ659" s="1260"/>
      <c r="AR659" s="1260"/>
      <c r="AS659" s="1260"/>
      <c r="AT659" s="1260"/>
      <c r="AU659" s="1260"/>
      <c r="AV659" s="1260"/>
      <c r="AW659" s="1260"/>
      <c r="AX659" s="1260"/>
      <c r="AY659" s="1260"/>
      <c r="AZ659" s="1260"/>
      <c r="BA659" s="1260"/>
      <c r="BB659" s="1260"/>
      <c r="BC659" s="1260"/>
      <c r="BD659" s="1260"/>
      <c r="BE659" s="1260"/>
      <c r="BF659" s="1260"/>
      <c r="BG659" s="1260"/>
      <c r="BH659" s="1260"/>
      <c r="BI659" s="1260"/>
      <c r="BJ659" s="1260"/>
      <c r="BK659" s="1260"/>
      <c r="BL659" s="1260"/>
      <c r="BM659" s="1260"/>
      <c r="BN659" s="1260"/>
      <c r="BO659" s="1260"/>
      <c r="BP659" s="1260"/>
      <c r="BQ659" s="1260"/>
      <c r="BR659" s="1260"/>
      <c r="BS659" s="1260"/>
      <c r="BT659" s="1260"/>
      <c r="BU659" s="1260"/>
      <c r="BV659" s="1260"/>
      <c r="BW659" s="1260"/>
      <c r="BX659" s="1260"/>
      <c r="BY659" s="1260"/>
      <c r="BZ659" s="1260"/>
      <c r="CA659" s="1260"/>
      <c r="CB659" s="1260"/>
      <c r="CC659" s="1260"/>
      <c r="CD659" s="1260"/>
      <c r="CE659" s="1260"/>
      <c r="CF659" s="1260"/>
      <c r="CG659" s="1260"/>
      <c r="CH659" s="1260"/>
      <c r="CI659" s="1260"/>
      <c r="CJ659" s="1260"/>
      <c r="CK659" s="1260"/>
      <c r="CL659" s="1260"/>
      <c r="CM659" s="1260"/>
      <c r="CN659" s="1260"/>
      <c r="CO659" s="1260"/>
      <c r="CP659" s="1260"/>
      <c r="CQ659" s="1260"/>
      <c r="CR659" s="1260"/>
      <c r="CS659" s="1260"/>
      <c r="CT659" s="1260"/>
      <c r="CU659" s="1260"/>
      <c r="CV659" s="1260"/>
      <c r="CW659" s="1260"/>
      <c r="CX659" s="1260"/>
      <c r="CY659" s="1260"/>
      <c r="CZ659" s="1260"/>
      <c r="DA659" s="1260"/>
      <c r="DB659" s="1260"/>
      <c r="DC659" s="1260"/>
      <c r="DD659" s="1260"/>
      <c r="DE659" s="1260"/>
      <c r="DF659" s="1260"/>
      <c r="DG659" s="1260"/>
      <c r="DH659" s="1260"/>
      <c r="DI659" s="1260"/>
      <c r="DJ659" s="1260"/>
      <c r="DK659" s="1260"/>
      <c r="DL659" s="1260"/>
      <c r="DM659" s="1260"/>
      <c r="DN659" s="1260"/>
      <c r="DO659" s="1260"/>
      <c r="DP659" s="1260"/>
      <c r="DQ659" s="1260"/>
      <c r="DR659" s="1260"/>
      <c r="DS659" s="1260"/>
      <c r="DT659" s="1260"/>
      <c r="DU659" s="1260"/>
      <c r="DV659" s="1260"/>
      <c r="DW659" s="1260"/>
      <c r="DX659" s="1260"/>
      <c r="DY659" s="1260"/>
      <c r="DZ659" s="1260"/>
      <c r="EA659" s="1260"/>
      <c r="EB659" s="1260"/>
      <c r="EC659" s="1260"/>
      <c r="ED659" s="1260"/>
      <c r="EE659" s="1260"/>
      <c r="EF659" s="1260"/>
      <c r="EG659" s="1260"/>
      <c r="EH659" s="1260"/>
      <c r="EI659" s="1260"/>
      <c r="EJ659" s="1260"/>
      <c r="EK659" s="1260"/>
      <c r="EL659" s="1260"/>
      <c r="EM659" s="1260"/>
      <c r="EN659" s="1260"/>
      <c r="EO659" s="1260"/>
      <c r="EP659" s="1260"/>
      <c r="EQ659" s="1260"/>
      <c r="ER659" s="1260"/>
      <c r="ES659" s="1260"/>
      <c r="ET659" s="1260"/>
      <c r="EU659" s="1260"/>
      <c r="EV659" s="1260"/>
      <c r="EW659" s="1260"/>
      <c r="EX659" s="1260"/>
      <c r="EY659" s="1260"/>
      <c r="EZ659" s="1260"/>
      <c r="FA659" s="1260"/>
      <c r="FB659" s="1260"/>
      <c r="FC659" s="1260"/>
      <c r="FD659" s="1260"/>
      <c r="FE659" s="1260"/>
      <c r="FF659" s="1260"/>
      <c r="FG659" s="1260"/>
      <c r="FH659" s="1260"/>
      <c r="FI659" s="1260"/>
      <c r="FJ659" s="1260"/>
      <c r="FK659" s="1260"/>
      <c r="FL659" s="1260"/>
      <c r="FM659" s="1260"/>
      <c r="FN659" s="1260"/>
      <c r="FO659" s="1260"/>
      <c r="FP659" s="1260"/>
      <c r="FQ659" s="1260"/>
      <c r="FR659" s="1260"/>
      <c r="FS659" s="1260"/>
      <c r="FT659" s="1260"/>
      <c r="FU659" s="1260"/>
      <c r="FV659" s="1260"/>
      <c r="FW659" s="1260"/>
      <c r="FX659" s="1260"/>
      <c r="FY659" s="1260"/>
      <c r="FZ659" s="1260"/>
      <c r="GA659" s="1260"/>
      <c r="GB659" s="1260"/>
      <c r="GC659" s="1260"/>
      <c r="GD659" s="1260"/>
      <c r="GE659" s="1260"/>
      <c r="GF659" s="1260"/>
      <c r="GG659" s="1260"/>
      <c r="GH659" s="1260"/>
      <c r="GI659" s="1260"/>
      <c r="GJ659" s="1260"/>
      <c r="GK659" s="1260"/>
      <c r="GL659" s="1260"/>
      <c r="GM659" s="1260"/>
      <c r="GN659" s="1260"/>
      <c r="GO659" s="1260"/>
      <c r="GP659" s="1260"/>
      <c r="GQ659" s="1260"/>
      <c r="GR659" s="1260"/>
      <c r="GS659" s="1260"/>
      <c r="GT659" s="1260"/>
      <c r="GU659" s="1260"/>
      <c r="GV659" s="1260"/>
      <c r="GW659" s="1260"/>
      <c r="GX659" s="1260"/>
      <c r="GY659" s="1260"/>
      <c r="GZ659" s="1260"/>
      <c r="HA659" s="1260"/>
      <c r="HB659" s="1260"/>
      <c r="HC659" s="1260"/>
      <c r="HD659" s="1260"/>
      <c r="HE659" s="1260"/>
      <c r="HF659" s="1260"/>
      <c r="HG659" s="1260"/>
      <c r="HH659" s="1260"/>
      <c r="HI659" s="1260"/>
      <c r="HJ659" s="1260"/>
      <c r="HK659" s="1260"/>
      <c r="HL659" s="1260"/>
      <c r="HM659" s="1260"/>
      <c r="HN659" s="1260"/>
      <c r="HO659" s="1260"/>
      <c r="HP659" s="1260"/>
      <c r="HQ659" s="1260"/>
      <c r="HR659" s="1260"/>
      <c r="HS659" s="1260"/>
      <c r="HT659" s="1260"/>
      <c r="HU659" s="1260"/>
      <c r="HV659" s="1260"/>
      <c r="HW659" s="1260"/>
      <c r="HX659" s="1260"/>
      <c r="HY659" s="1260"/>
      <c r="HZ659" s="1260"/>
      <c r="IA659" s="1260"/>
      <c r="IB659" s="1260"/>
      <c r="IC659" s="1260"/>
      <c r="ID659" s="1260"/>
      <c r="IE659" s="1260"/>
      <c r="IF659" s="1260"/>
      <c r="IG659" s="1260"/>
      <c r="IH659" s="1260"/>
      <c r="II659" s="1260"/>
      <c r="IJ659" s="1260"/>
      <c r="IK659" s="1260"/>
      <c r="IL659" s="1260"/>
      <c r="IM659" s="1260"/>
      <c r="IN659" s="1260"/>
      <c r="IO659" s="1260"/>
      <c r="IP659" s="1260"/>
      <c r="IQ659" s="1260"/>
      <c r="IR659" s="1260"/>
      <c r="IS659" s="1260"/>
      <c r="IT659" s="1260"/>
      <c r="IU659" s="1260"/>
      <c r="IV659" s="1260"/>
      <c r="IW659" s="1260"/>
      <c r="IX659" s="1260"/>
      <c r="IY659" s="1260"/>
      <c r="IZ659" s="1260"/>
      <c r="JA659" s="1260"/>
      <c r="JB659" s="1260"/>
      <c r="JC659" s="1260"/>
      <c r="JD659" s="1260"/>
      <c r="JE659" s="1260"/>
      <c r="JF659" s="1260"/>
      <c r="JG659" s="1260"/>
      <c r="JH659" s="1260"/>
      <c r="JI659" s="1260"/>
      <c r="JJ659" s="1260"/>
      <c r="JK659" s="1260"/>
      <c r="JL659" s="1260"/>
      <c r="JM659" s="1260"/>
      <c r="JN659" s="1260"/>
      <c r="JO659" s="1260"/>
      <c r="JP659" s="1260"/>
      <c r="JQ659" s="1260"/>
      <c r="JR659" s="1260"/>
      <c r="JS659" s="1260"/>
      <c r="JT659" s="1260"/>
      <c r="JU659" s="1260"/>
      <c r="JV659" s="1260"/>
      <c r="JW659" s="1260"/>
      <c r="JX659" s="1260"/>
      <c r="JY659" s="1260"/>
      <c r="JZ659" s="1260"/>
      <c r="KA659" s="1260"/>
      <c r="KB659" s="1260"/>
      <c r="KC659" s="1260"/>
      <c r="KD659" s="1260"/>
      <c r="KE659" s="1260"/>
      <c r="KF659" s="1260"/>
      <c r="KG659" s="1260"/>
      <c r="KH659" s="1260"/>
      <c r="KI659" s="1260"/>
      <c r="KJ659" s="1260"/>
      <c r="KK659" s="1260"/>
      <c r="KL659" s="1260"/>
      <c r="KM659" s="1260"/>
      <c r="KN659" s="1260"/>
      <c r="KO659" s="1260"/>
      <c r="KP659" s="1260"/>
      <c r="KQ659" s="1260"/>
      <c r="KR659" s="1260"/>
      <c r="KS659" s="1260"/>
      <c r="KT659" s="1260"/>
      <c r="KU659" s="1260"/>
      <c r="KV659" s="1260"/>
      <c r="KW659" s="1260"/>
      <c r="KX659" s="1260"/>
      <c r="KY659" s="1260"/>
      <c r="KZ659" s="1260"/>
      <c r="LA659" s="1260"/>
      <c r="LB659" s="1260"/>
      <c r="LC659" s="1260"/>
      <c r="LD659" s="1260"/>
      <c r="LE659" s="1260"/>
      <c r="LF659" s="1260"/>
      <c r="LG659" s="1260"/>
      <c r="LH659" s="1260"/>
      <c r="LI659" s="1260"/>
      <c r="LJ659" s="1260"/>
      <c r="LK659" s="1260"/>
      <c r="LL659" s="1260"/>
      <c r="LM659" s="1260"/>
      <c r="LN659" s="1260"/>
      <c r="LO659" s="1260"/>
      <c r="LP659" s="1260"/>
      <c r="LQ659" s="1260"/>
      <c r="LR659" s="1260"/>
      <c r="LS659" s="1260"/>
      <c r="LT659" s="1260"/>
      <c r="LU659" s="1260"/>
      <c r="LV659" s="1260"/>
      <c r="LW659" s="1260"/>
      <c r="LX659" s="1260"/>
      <c r="LY659" s="1260"/>
      <c r="LZ659" s="1260"/>
      <c r="MA659" s="1260"/>
      <c r="MB659" s="1260"/>
      <c r="MC659" s="1260"/>
      <c r="MD659" s="1260"/>
      <c r="ME659" s="1260"/>
      <c r="MF659" s="1260"/>
      <c r="MG659" s="1260"/>
      <c r="MH659" s="1260"/>
      <c r="MI659" s="1260"/>
      <c r="MJ659" s="1260"/>
      <c r="MK659" s="1260"/>
      <c r="ML659" s="1260"/>
      <c r="MM659" s="1260"/>
      <c r="MN659" s="1260"/>
      <c r="MO659" s="1260"/>
      <c r="MP659" s="1260"/>
      <c r="MQ659" s="1260"/>
      <c r="MR659" s="1260"/>
      <c r="MS659" s="1260"/>
      <c r="MT659" s="1260"/>
      <c r="MU659" s="1260"/>
      <c r="MV659" s="1260"/>
      <c r="MW659" s="1260"/>
      <c r="MX659" s="1260"/>
      <c r="MY659" s="1260"/>
      <c r="MZ659" s="1260"/>
      <c r="NA659" s="1260"/>
      <c r="NB659" s="1260"/>
      <c r="NC659" s="1260"/>
      <c r="ND659" s="1260"/>
      <c r="NE659" s="1260"/>
      <c r="NF659" s="1260"/>
      <c r="NG659" s="1260"/>
      <c r="NH659" s="1260"/>
      <c r="NI659" s="1260"/>
      <c r="NJ659" s="1260"/>
      <c r="NK659" s="1260"/>
      <c r="NL659" s="1260"/>
      <c r="NM659" s="1260"/>
      <c r="NN659" s="1260"/>
      <c r="NO659" s="1260"/>
      <c r="NP659" s="1260"/>
      <c r="NQ659" s="1260"/>
      <c r="NR659" s="1260"/>
      <c r="NS659" s="1260"/>
      <c r="NT659" s="1260"/>
      <c r="NU659" s="1260"/>
      <c r="NV659" s="1260"/>
      <c r="NW659" s="1260"/>
      <c r="NX659" s="1260"/>
      <c r="NY659" s="1260"/>
      <c r="NZ659" s="1260"/>
      <c r="OA659" s="1260"/>
      <c r="OB659" s="1260"/>
      <c r="OC659" s="1260"/>
      <c r="OD659" s="1260"/>
      <c r="OE659" s="1260"/>
      <c r="OF659" s="1260"/>
      <c r="OG659" s="1260"/>
      <c r="OH659" s="1260"/>
      <c r="OI659" s="1260"/>
      <c r="OJ659" s="1260"/>
      <c r="OK659" s="1260"/>
      <c r="OL659" s="1260"/>
      <c r="OM659" s="1260"/>
      <c r="ON659" s="1260"/>
      <c r="OO659" s="1260"/>
      <c r="OP659" s="1260"/>
      <c r="OQ659" s="1260"/>
      <c r="OR659" s="1260"/>
      <c r="OS659" s="1260"/>
      <c r="OT659" s="1260"/>
      <c r="OU659" s="1260"/>
      <c r="OV659" s="1260"/>
      <c r="OW659" s="1260"/>
      <c r="OX659" s="1260"/>
      <c r="OY659" s="1260"/>
      <c r="OZ659" s="1260"/>
      <c r="PA659" s="1260"/>
      <c r="PB659" s="1260"/>
      <c r="PC659" s="1260"/>
      <c r="PD659" s="1260"/>
      <c r="PE659" s="1260"/>
      <c r="PF659" s="1260"/>
      <c r="PG659" s="1260"/>
      <c r="PH659" s="1260"/>
      <c r="PI659" s="1260"/>
      <c r="PJ659" s="1260"/>
      <c r="PK659" s="1260"/>
      <c r="PL659" s="1260"/>
      <c r="PM659" s="1260"/>
      <c r="PN659" s="1260"/>
      <c r="PO659" s="1260"/>
      <c r="PP659" s="1260"/>
      <c r="PQ659" s="1260"/>
      <c r="PR659" s="1260"/>
      <c r="PS659" s="1260"/>
      <c r="PT659" s="1260"/>
      <c r="PU659" s="1260"/>
      <c r="PV659" s="1260"/>
      <c r="PW659" s="1260"/>
      <c r="PX659" s="1260"/>
      <c r="PY659" s="1260"/>
      <c r="PZ659" s="1260"/>
      <c r="QA659" s="1260"/>
      <c r="QB659" s="1260"/>
      <c r="QC659" s="1260"/>
      <c r="QD659" s="1260"/>
      <c r="QE659" s="1260"/>
      <c r="QF659" s="1260"/>
      <c r="QG659" s="1260"/>
      <c r="QH659" s="1260"/>
      <c r="QI659" s="1260"/>
      <c r="QJ659" s="1260"/>
      <c r="QK659" s="1260"/>
      <c r="QL659" s="1260"/>
      <c r="QM659" s="1260"/>
      <c r="QN659" s="1260"/>
      <c r="QO659" s="1260"/>
      <c r="QP659" s="1260"/>
      <c r="QQ659" s="1260"/>
      <c r="QR659" s="1260"/>
      <c r="QS659" s="1260"/>
      <c r="QT659" s="1260"/>
      <c r="QU659" s="1260"/>
      <c r="QV659" s="1260"/>
      <c r="QW659" s="1260"/>
      <c r="QX659" s="1260"/>
      <c r="QY659" s="1260"/>
      <c r="QZ659" s="1260"/>
      <c r="RA659" s="1260"/>
      <c r="RB659" s="1260"/>
      <c r="RC659" s="1260"/>
      <c r="RD659" s="1260"/>
      <c r="RE659" s="1260"/>
      <c r="RF659" s="1260"/>
      <c r="RG659" s="1260"/>
      <c r="RH659" s="1260"/>
      <c r="RI659" s="1260"/>
      <c r="RJ659" s="1260"/>
      <c r="RK659" s="1260"/>
      <c r="RL659" s="1260"/>
      <c r="RM659" s="1260"/>
      <c r="RN659" s="1260"/>
      <c r="RO659" s="1260"/>
      <c r="RP659" s="1260"/>
      <c r="RQ659" s="1260"/>
      <c r="RR659" s="1260"/>
      <c r="RS659" s="1260"/>
      <c r="RT659" s="1260"/>
      <c r="RU659" s="1260"/>
      <c r="RV659" s="1260"/>
      <c r="RW659" s="1260"/>
      <c r="RX659" s="1260"/>
      <c r="RY659" s="1260"/>
      <c r="RZ659" s="1260"/>
      <c r="SA659" s="1260"/>
      <c r="SB659" s="1260"/>
      <c r="SC659" s="1260"/>
      <c r="SD659" s="1260"/>
      <c r="SE659" s="1260"/>
      <c r="SF659" s="1260"/>
      <c r="SG659" s="1260"/>
      <c r="SH659" s="1260"/>
      <c r="SI659" s="1260"/>
      <c r="SJ659" s="1260"/>
      <c r="SK659" s="1260"/>
      <c r="SL659" s="1260"/>
      <c r="SM659" s="1260"/>
      <c r="SN659" s="1260"/>
      <c r="SO659" s="1260"/>
      <c r="SP659" s="1260"/>
      <c r="SQ659" s="1260"/>
      <c r="SR659" s="1260"/>
      <c r="SS659" s="1260"/>
      <c r="ST659" s="1260"/>
      <c r="SU659" s="1260"/>
      <c r="SV659" s="1260"/>
      <c r="SW659" s="1260"/>
      <c r="SX659" s="1260"/>
      <c r="SY659" s="1260"/>
      <c r="SZ659" s="1260"/>
      <c r="TA659" s="1260"/>
      <c r="TB659" s="1260"/>
      <c r="TC659" s="1260"/>
      <c r="TD659" s="1260"/>
      <c r="TE659" s="1260"/>
      <c r="TF659" s="1260"/>
      <c r="TG659" s="1260"/>
      <c r="TH659" s="1260"/>
      <c r="TI659" s="1260"/>
      <c r="TJ659" s="1260"/>
      <c r="TK659" s="1260"/>
      <c r="TL659" s="1260"/>
      <c r="TM659" s="1260"/>
      <c r="TN659" s="1260"/>
      <c r="TO659" s="1260"/>
      <c r="TP659" s="1260"/>
      <c r="TQ659" s="1260"/>
      <c r="TR659" s="1260"/>
      <c r="TS659" s="1260"/>
      <c r="TT659" s="1260"/>
      <c r="TU659" s="1260"/>
      <c r="TV659" s="1260"/>
      <c r="TW659" s="1260"/>
      <c r="TX659" s="1260"/>
      <c r="TY659" s="1260"/>
      <c r="TZ659" s="1260"/>
      <c r="UA659" s="1260"/>
      <c r="UB659" s="1260"/>
      <c r="UC659" s="1260"/>
      <c r="UD659" s="1260"/>
      <c r="UE659" s="1260"/>
      <c r="UF659" s="1260"/>
      <c r="UG659" s="1261"/>
    </row>
    <row r="660" spans="1:553" s="1262" customFormat="1" ht="30.75" customHeight="1">
      <c r="A660" s="366"/>
      <c r="B660" s="366"/>
      <c r="C660" s="1518" t="s">
        <v>1390</v>
      </c>
      <c r="D660" s="1389"/>
      <c r="E660" s="1389"/>
      <c r="F660" s="1390"/>
      <c r="G660" s="415" t="s">
        <v>193</v>
      </c>
      <c r="H660" s="370"/>
      <c r="I660" s="422">
        <v>1</v>
      </c>
      <c r="J660" s="368">
        <v>160000</v>
      </c>
      <c r="K660" s="388"/>
      <c r="L660" s="480">
        <f>I660*J660</f>
        <v>160000</v>
      </c>
      <c r="M660" s="366"/>
      <c r="N660" s="366"/>
      <c r="O660" s="366"/>
      <c r="P660" s="366"/>
      <c r="Q660" s="1135"/>
      <c r="R660" s="1452"/>
      <c r="S660" s="308"/>
      <c r="T660" s="308"/>
      <c r="U660" s="308"/>
      <c r="V660" s="308"/>
      <c r="W660" s="308"/>
      <c r="X660" s="308"/>
      <c r="Y660" s="308"/>
      <c r="Z660" s="604"/>
      <c r="AA660" s="308"/>
      <c r="AB660" s="308"/>
      <c r="AC660" s="449"/>
      <c r="AD660" s="452"/>
      <c r="AE660" s="452"/>
      <c r="AF660" s="452"/>
      <c r="AG660" s="452"/>
      <c r="AH660" s="452"/>
      <c r="AI660" s="452"/>
      <c r="AJ660" s="452"/>
      <c r="AK660" s="452"/>
      <c r="AL660" s="1259"/>
      <c r="AM660" s="1260"/>
      <c r="AN660" s="1260"/>
      <c r="AO660" s="1260"/>
      <c r="AP660" s="1260"/>
      <c r="AQ660" s="1260"/>
      <c r="AR660" s="1260"/>
      <c r="AS660" s="1260"/>
      <c r="AT660" s="1260"/>
      <c r="AU660" s="1260"/>
      <c r="AV660" s="1260"/>
      <c r="AW660" s="1260"/>
      <c r="AX660" s="1260"/>
      <c r="AY660" s="1260"/>
      <c r="AZ660" s="1260"/>
      <c r="BA660" s="1260"/>
      <c r="BB660" s="1260"/>
      <c r="BC660" s="1260"/>
      <c r="BD660" s="1260"/>
      <c r="BE660" s="1260"/>
      <c r="BF660" s="1260"/>
      <c r="BG660" s="1260"/>
      <c r="BH660" s="1260"/>
      <c r="BI660" s="1260"/>
      <c r="BJ660" s="1260"/>
      <c r="BK660" s="1260"/>
      <c r="BL660" s="1260"/>
      <c r="BM660" s="1260"/>
      <c r="BN660" s="1260"/>
      <c r="BO660" s="1260"/>
      <c r="BP660" s="1260"/>
      <c r="BQ660" s="1260"/>
      <c r="BR660" s="1260"/>
      <c r="BS660" s="1260"/>
      <c r="BT660" s="1260"/>
      <c r="BU660" s="1260"/>
      <c r="BV660" s="1260"/>
      <c r="BW660" s="1260"/>
      <c r="BX660" s="1260"/>
      <c r="BY660" s="1260"/>
      <c r="BZ660" s="1260"/>
      <c r="CA660" s="1260"/>
      <c r="CB660" s="1260"/>
      <c r="CC660" s="1260"/>
      <c r="CD660" s="1260"/>
      <c r="CE660" s="1260"/>
      <c r="CF660" s="1260"/>
      <c r="CG660" s="1260"/>
      <c r="CH660" s="1260"/>
      <c r="CI660" s="1260"/>
      <c r="CJ660" s="1260"/>
      <c r="CK660" s="1260"/>
      <c r="CL660" s="1260"/>
      <c r="CM660" s="1260"/>
      <c r="CN660" s="1260"/>
      <c r="CO660" s="1260"/>
      <c r="CP660" s="1260"/>
      <c r="CQ660" s="1260"/>
      <c r="CR660" s="1260"/>
      <c r="CS660" s="1260"/>
      <c r="CT660" s="1260"/>
      <c r="CU660" s="1260"/>
      <c r="CV660" s="1260"/>
      <c r="CW660" s="1260"/>
      <c r="CX660" s="1260"/>
      <c r="CY660" s="1260"/>
      <c r="CZ660" s="1260"/>
      <c r="DA660" s="1260"/>
      <c r="DB660" s="1260"/>
      <c r="DC660" s="1260"/>
      <c r="DD660" s="1260"/>
      <c r="DE660" s="1260"/>
      <c r="DF660" s="1260"/>
      <c r="DG660" s="1260"/>
      <c r="DH660" s="1260"/>
      <c r="DI660" s="1260"/>
      <c r="DJ660" s="1260"/>
      <c r="DK660" s="1260"/>
      <c r="DL660" s="1260"/>
      <c r="DM660" s="1260"/>
      <c r="DN660" s="1260"/>
      <c r="DO660" s="1260"/>
      <c r="DP660" s="1260"/>
      <c r="DQ660" s="1260"/>
      <c r="DR660" s="1260"/>
      <c r="DS660" s="1260"/>
      <c r="DT660" s="1260"/>
      <c r="DU660" s="1260"/>
      <c r="DV660" s="1260"/>
      <c r="DW660" s="1260"/>
      <c r="DX660" s="1260"/>
      <c r="DY660" s="1260"/>
      <c r="DZ660" s="1260"/>
      <c r="EA660" s="1260"/>
      <c r="EB660" s="1260"/>
      <c r="EC660" s="1260"/>
      <c r="ED660" s="1260"/>
      <c r="EE660" s="1260"/>
      <c r="EF660" s="1260"/>
      <c r="EG660" s="1260"/>
      <c r="EH660" s="1260"/>
      <c r="EI660" s="1260"/>
      <c r="EJ660" s="1260"/>
      <c r="EK660" s="1260"/>
      <c r="EL660" s="1260"/>
      <c r="EM660" s="1260"/>
      <c r="EN660" s="1260"/>
      <c r="EO660" s="1260"/>
      <c r="EP660" s="1260"/>
      <c r="EQ660" s="1260"/>
      <c r="ER660" s="1260"/>
      <c r="ES660" s="1260"/>
      <c r="ET660" s="1260"/>
      <c r="EU660" s="1260"/>
      <c r="EV660" s="1260"/>
      <c r="EW660" s="1260"/>
      <c r="EX660" s="1260"/>
      <c r="EY660" s="1260"/>
      <c r="EZ660" s="1260"/>
      <c r="FA660" s="1260"/>
      <c r="FB660" s="1260"/>
      <c r="FC660" s="1260"/>
      <c r="FD660" s="1260"/>
      <c r="FE660" s="1260"/>
      <c r="FF660" s="1260"/>
      <c r="FG660" s="1260"/>
      <c r="FH660" s="1260"/>
      <c r="FI660" s="1260"/>
      <c r="FJ660" s="1260"/>
      <c r="FK660" s="1260"/>
      <c r="FL660" s="1260"/>
      <c r="FM660" s="1260"/>
      <c r="FN660" s="1260"/>
      <c r="FO660" s="1260"/>
      <c r="FP660" s="1260"/>
      <c r="FQ660" s="1260"/>
      <c r="FR660" s="1260"/>
      <c r="FS660" s="1260"/>
      <c r="FT660" s="1260"/>
      <c r="FU660" s="1260"/>
      <c r="FV660" s="1260"/>
      <c r="FW660" s="1260"/>
      <c r="FX660" s="1260"/>
      <c r="FY660" s="1260"/>
      <c r="FZ660" s="1260"/>
      <c r="GA660" s="1260"/>
      <c r="GB660" s="1260"/>
      <c r="GC660" s="1260"/>
      <c r="GD660" s="1260"/>
      <c r="GE660" s="1260"/>
      <c r="GF660" s="1260"/>
      <c r="GG660" s="1260"/>
      <c r="GH660" s="1260"/>
      <c r="GI660" s="1260"/>
      <c r="GJ660" s="1260"/>
      <c r="GK660" s="1260"/>
      <c r="GL660" s="1260"/>
      <c r="GM660" s="1260"/>
      <c r="GN660" s="1260"/>
      <c r="GO660" s="1260"/>
      <c r="GP660" s="1260"/>
      <c r="GQ660" s="1260"/>
      <c r="GR660" s="1260"/>
      <c r="GS660" s="1260"/>
      <c r="GT660" s="1260"/>
      <c r="GU660" s="1260"/>
      <c r="GV660" s="1260"/>
      <c r="GW660" s="1260"/>
      <c r="GX660" s="1260"/>
      <c r="GY660" s="1260"/>
      <c r="GZ660" s="1260"/>
      <c r="HA660" s="1260"/>
      <c r="HB660" s="1260"/>
      <c r="HC660" s="1260"/>
      <c r="HD660" s="1260"/>
      <c r="HE660" s="1260"/>
      <c r="HF660" s="1260"/>
      <c r="HG660" s="1260"/>
      <c r="HH660" s="1260"/>
      <c r="HI660" s="1260"/>
      <c r="HJ660" s="1260"/>
      <c r="HK660" s="1260"/>
      <c r="HL660" s="1260"/>
      <c r="HM660" s="1260"/>
      <c r="HN660" s="1260"/>
      <c r="HO660" s="1260"/>
      <c r="HP660" s="1260"/>
      <c r="HQ660" s="1260"/>
      <c r="HR660" s="1260"/>
      <c r="HS660" s="1260"/>
      <c r="HT660" s="1260"/>
      <c r="HU660" s="1260"/>
      <c r="HV660" s="1260"/>
      <c r="HW660" s="1260"/>
      <c r="HX660" s="1260"/>
      <c r="HY660" s="1260"/>
      <c r="HZ660" s="1260"/>
      <c r="IA660" s="1260"/>
      <c r="IB660" s="1260"/>
      <c r="IC660" s="1260"/>
      <c r="ID660" s="1260"/>
      <c r="IE660" s="1260"/>
      <c r="IF660" s="1260"/>
      <c r="IG660" s="1260"/>
      <c r="IH660" s="1260"/>
      <c r="II660" s="1260"/>
      <c r="IJ660" s="1260"/>
      <c r="IK660" s="1260"/>
      <c r="IL660" s="1260"/>
      <c r="IM660" s="1260"/>
      <c r="IN660" s="1260"/>
      <c r="IO660" s="1260"/>
      <c r="IP660" s="1260"/>
      <c r="IQ660" s="1260"/>
      <c r="IR660" s="1260"/>
      <c r="IS660" s="1260"/>
      <c r="IT660" s="1260"/>
      <c r="IU660" s="1260"/>
      <c r="IV660" s="1260"/>
      <c r="IW660" s="1260"/>
      <c r="IX660" s="1260"/>
      <c r="IY660" s="1260"/>
      <c r="IZ660" s="1260"/>
      <c r="JA660" s="1260"/>
      <c r="JB660" s="1260"/>
      <c r="JC660" s="1260"/>
      <c r="JD660" s="1260"/>
      <c r="JE660" s="1260"/>
      <c r="JF660" s="1260"/>
      <c r="JG660" s="1260"/>
      <c r="JH660" s="1260"/>
      <c r="JI660" s="1260"/>
      <c r="JJ660" s="1260"/>
      <c r="JK660" s="1260"/>
      <c r="JL660" s="1260"/>
      <c r="JM660" s="1260"/>
      <c r="JN660" s="1260"/>
      <c r="JO660" s="1260"/>
      <c r="JP660" s="1260"/>
      <c r="JQ660" s="1260"/>
      <c r="JR660" s="1260"/>
      <c r="JS660" s="1260"/>
      <c r="JT660" s="1260"/>
      <c r="JU660" s="1260"/>
      <c r="JV660" s="1260"/>
      <c r="JW660" s="1260"/>
      <c r="JX660" s="1260"/>
      <c r="JY660" s="1260"/>
      <c r="JZ660" s="1260"/>
      <c r="KA660" s="1260"/>
      <c r="KB660" s="1260"/>
      <c r="KC660" s="1260"/>
      <c r="KD660" s="1260"/>
      <c r="KE660" s="1260"/>
      <c r="KF660" s="1260"/>
      <c r="KG660" s="1260"/>
      <c r="KH660" s="1260"/>
      <c r="KI660" s="1260"/>
      <c r="KJ660" s="1260"/>
      <c r="KK660" s="1260"/>
      <c r="KL660" s="1260"/>
      <c r="KM660" s="1260"/>
      <c r="KN660" s="1260"/>
      <c r="KO660" s="1260"/>
      <c r="KP660" s="1260"/>
      <c r="KQ660" s="1260"/>
      <c r="KR660" s="1260"/>
      <c r="KS660" s="1260"/>
      <c r="KT660" s="1260"/>
      <c r="KU660" s="1260"/>
      <c r="KV660" s="1260"/>
      <c r="KW660" s="1260"/>
      <c r="KX660" s="1260"/>
      <c r="KY660" s="1260"/>
      <c r="KZ660" s="1260"/>
      <c r="LA660" s="1260"/>
      <c r="LB660" s="1260"/>
      <c r="LC660" s="1260"/>
      <c r="LD660" s="1260"/>
      <c r="LE660" s="1260"/>
      <c r="LF660" s="1260"/>
      <c r="LG660" s="1260"/>
      <c r="LH660" s="1260"/>
      <c r="LI660" s="1260"/>
      <c r="LJ660" s="1260"/>
      <c r="LK660" s="1260"/>
      <c r="LL660" s="1260"/>
      <c r="LM660" s="1260"/>
      <c r="LN660" s="1260"/>
      <c r="LO660" s="1260"/>
      <c r="LP660" s="1260"/>
      <c r="LQ660" s="1260"/>
      <c r="LR660" s="1260"/>
      <c r="LS660" s="1260"/>
      <c r="LT660" s="1260"/>
      <c r="LU660" s="1260"/>
      <c r="LV660" s="1260"/>
      <c r="LW660" s="1260"/>
      <c r="LX660" s="1260"/>
      <c r="LY660" s="1260"/>
      <c r="LZ660" s="1260"/>
      <c r="MA660" s="1260"/>
      <c r="MB660" s="1260"/>
      <c r="MC660" s="1260"/>
      <c r="MD660" s="1260"/>
      <c r="ME660" s="1260"/>
      <c r="MF660" s="1260"/>
      <c r="MG660" s="1260"/>
      <c r="MH660" s="1260"/>
      <c r="MI660" s="1260"/>
      <c r="MJ660" s="1260"/>
      <c r="MK660" s="1260"/>
      <c r="ML660" s="1260"/>
      <c r="MM660" s="1260"/>
      <c r="MN660" s="1260"/>
      <c r="MO660" s="1260"/>
      <c r="MP660" s="1260"/>
      <c r="MQ660" s="1260"/>
      <c r="MR660" s="1260"/>
      <c r="MS660" s="1260"/>
      <c r="MT660" s="1260"/>
      <c r="MU660" s="1260"/>
      <c r="MV660" s="1260"/>
      <c r="MW660" s="1260"/>
      <c r="MX660" s="1260"/>
      <c r="MY660" s="1260"/>
      <c r="MZ660" s="1260"/>
      <c r="NA660" s="1260"/>
      <c r="NB660" s="1260"/>
      <c r="NC660" s="1260"/>
      <c r="ND660" s="1260"/>
      <c r="NE660" s="1260"/>
      <c r="NF660" s="1260"/>
      <c r="NG660" s="1260"/>
      <c r="NH660" s="1260"/>
      <c r="NI660" s="1260"/>
      <c r="NJ660" s="1260"/>
      <c r="NK660" s="1260"/>
      <c r="NL660" s="1260"/>
      <c r="NM660" s="1260"/>
      <c r="NN660" s="1260"/>
      <c r="NO660" s="1260"/>
      <c r="NP660" s="1260"/>
      <c r="NQ660" s="1260"/>
      <c r="NR660" s="1260"/>
      <c r="NS660" s="1260"/>
      <c r="NT660" s="1260"/>
      <c r="NU660" s="1260"/>
      <c r="NV660" s="1260"/>
      <c r="NW660" s="1260"/>
      <c r="NX660" s="1260"/>
      <c r="NY660" s="1260"/>
      <c r="NZ660" s="1260"/>
      <c r="OA660" s="1260"/>
      <c r="OB660" s="1260"/>
      <c r="OC660" s="1260"/>
      <c r="OD660" s="1260"/>
      <c r="OE660" s="1260"/>
      <c r="OF660" s="1260"/>
      <c r="OG660" s="1260"/>
      <c r="OH660" s="1260"/>
      <c r="OI660" s="1260"/>
      <c r="OJ660" s="1260"/>
      <c r="OK660" s="1260"/>
      <c r="OL660" s="1260"/>
      <c r="OM660" s="1260"/>
      <c r="ON660" s="1260"/>
      <c r="OO660" s="1260"/>
      <c r="OP660" s="1260"/>
      <c r="OQ660" s="1260"/>
      <c r="OR660" s="1260"/>
      <c r="OS660" s="1260"/>
      <c r="OT660" s="1260"/>
      <c r="OU660" s="1260"/>
      <c r="OV660" s="1260"/>
      <c r="OW660" s="1260"/>
      <c r="OX660" s="1260"/>
      <c r="OY660" s="1260"/>
      <c r="OZ660" s="1260"/>
      <c r="PA660" s="1260"/>
      <c r="PB660" s="1260"/>
      <c r="PC660" s="1260"/>
      <c r="PD660" s="1260"/>
      <c r="PE660" s="1260"/>
      <c r="PF660" s="1260"/>
      <c r="PG660" s="1260"/>
      <c r="PH660" s="1260"/>
      <c r="PI660" s="1260"/>
      <c r="PJ660" s="1260"/>
      <c r="PK660" s="1260"/>
      <c r="PL660" s="1260"/>
      <c r="PM660" s="1260"/>
      <c r="PN660" s="1260"/>
      <c r="PO660" s="1260"/>
      <c r="PP660" s="1260"/>
      <c r="PQ660" s="1260"/>
      <c r="PR660" s="1260"/>
      <c r="PS660" s="1260"/>
      <c r="PT660" s="1260"/>
      <c r="PU660" s="1260"/>
      <c r="PV660" s="1260"/>
      <c r="PW660" s="1260"/>
      <c r="PX660" s="1260"/>
      <c r="PY660" s="1260"/>
      <c r="PZ660" s="1260"/>
      <c r="QA660" s="1260"/>
      <c r="QB660" s="1260"/>
      <c r="QC660" s="1260"/>
      <c r="QD660" s="1260"/>
      <c r="QE660" s="1260"/>
      <c r="QF660" s="1260"/>
      <c r="QG660" s="1260"/>
      <c r="QH660" s="1260"/>
      <c r="QI660" s="1260"/>
      <c r="QJ660" s="1260"/>
      <c r="QK660" s="1260"/>
      <c r="QL660" s="1260"/>
      <c r="QM660" s="1260"/>
      <c r="QN660" s="1260"/>
      <c r="QO660" s="1260"/>
      <c r="QP660" s="1260"/>
      <c r="QQ660" s="1260"/>
      <c r="QR660" s="1260"/>
      <c r="QS660" s="1260"/>
      <c r="QT660" s="1260"/>
      <c r="QU660" s="1260"/>
      <c r="QV660" s="1260"/>
      <c r="QW660" s="1260"/>
      <c r="QX660" s="1260"/>
      <c r="QY660" s="1260"/>
      <c r="QZ660" s="1260"/>
      <c r="RA660" s="1260"/>
      <c r="RB660" s="1260"/>
      <c r="RC660" s="1260"/>
      <c r="RD660" s="1260"/>
      <c r="RE660" s="1260"/>
      <c r="RF660" s="1260"/>
      <c r="RG660" s="1260"/>
      <c r="RH660" s="1260"/>
      <c r="RI660" s="1260"/>
      <c r="RJ660" s="1260"/>
      <c r="RK660" s="1260"/>
      <c r="RL660" s="1260"/>
      <c r="RM660" s="1260"/>
      <c r="RN660" s="1260"/>
      <c r="RO660" s="1260"/>
      <c r="RP660" s="1260"/>
      <c r="RQ660" s="1260"/>
      <c r="RR660" s="1260"/>
      <c r="RS660" s="1260"/>
      <c r="RT660" s="1260"/>
      <c r="RU660" s="1260"/>
      <c r="RV660" s="1260"/>
      <c r="RW660" s="1260"/>
      <c r="RX660" s="1260"/>
      <c r="RY660" s="1260"/>
      <c r="RZ660" s="1260"/>
      <c r="SA660" s="1260"/>
      <c r="SB660" s="1260"/>
      <c r="SC660" s="1260"/>
      <c r="SD660" s="1260"/>
      <c r="SE660" s="1260"/>
      <c r="SF660" s="1260"/>
      <c r="SG660" s="1260"/>
      <c r="SH660" s="1260"/>
      <c r="SI660" s="1260"/>
      <c r="SJ660" s="1260"/>
      <c r="SK660" s="1260"/>
      <c r="SL660" s="1260"/>
      <c r="SM660" s="1260"/>
      <c r="SN660" s="1260"/>
      <c r="SO660" s="1260"/>
      <c r="SP660" s="1260"/>
      <c r="SQ660" s="1260"/>
      <c r="SR660" s="1260"/>
      <c r="SS660" s="1260"/>
      <c r="ST660" s="1260"/>
      <c r="SU660" s="1260"/>
      <c r="SV660" s="1260"/>
      <c r="SW660" s="1260"/>
      <c r="SX660" s="1260"/>
      <c r="SY660" s="1260"/>
      <c r="SZ660" s="1260"/>
      <c r="TA660" s="1260"/>
      <c r="TB660" s="1260"/>
      <c r="TC660" s="1260"/>
      <c r="TD660" s="1260"/>
      <c r="TE660" s="1260"/>
      <c r="TF660" s="1260"/>
      <c r="TG660" s="1260"/>
      <c r="TH660" s="1260"/>
      <c r="TI660" s="1260"/>
      <c r="TJ660" s="1260"/>
      <c r="TK660" s="1260"/>
      <c r="TL660" s="1260"/>
      <c r="TM660" s="1260"/>
      <c r="TN660" s="1260"/>
      <c r="TO660" s="1260"/>
      <c r="TP660" s="1260"/>
      <c r="TQ660" s="1260"/>
      <c r="TR660" s="1260"/>
      <c r="TS660" s="1260"/>
      <c r="TT660" s="1260"/>
      <c r="TU660" s="1260"/>
      <c r="TV660" s="1260"/>
      <c r="TW660" s="1260"/>
      <c r="TX660" s="1260"/>
      <c r="TY660" s="1260"/>
      <c r="TZ660" s="1260"/>
      <c r="UA660" s="1260"/>
      <c r="UB660" s="1260"/>
      <c r="UC660" s="1260"/>
      <c r="UD660" s="1260"/>
      <c r="UE660" s="1260"/>
      <c r="UF660" s="1260"/>
      <c r="UG660" s="1261"/>
    </row>
    <row r="661" spans="1:553" s="1262" customFormat="1" ht="39" customHeight="1">
      <c r="A661" s="366" t="s">
        <v>15</v>
      </c>
      <c r="B661" s="366"/>
      <c r="C661" s="1518" t="s">
        <v>468</v>
      </c>
      <c r="D661" s="1389"/>
      <c r="E661" s="1389"/>
      <c r="F661" s="1390"/>
      <c r="G661" s="386" t="s">
        <v>193</v>
      </c>
      <c r="H661" s="370"/>
      <c r="I661" s="422">
        <v>10</v>
      </c>
      <c r="J661" s="797">
        <v>65000</v>
      </c>
      <c r="K661" s="474"/>
      <c r="L661" s="480">
        <f>I661*J661</f>
        <v>650000</v>
      </c>
      <c r="M661" s="366"/>
      <c r="N661" s="366"/>
      <c r="O661" s="366"/>
      <c r="P661" s="366"/>
      <c r="Q661" s="1135"/>
      <c r="R661" s="1452"/>
      <c r="S661" s="308"/>
      <c r="T661" s="308"/>
      <c r="U661" s="308"/>
      <c r="V661" s="308"/>
      <c r="W661" s="308"/>
      <c r="X661" s="308"/>
      <c r="Y661" s="308"/>
      <c r="Z661" s="604"/>
      <c r="AA661" s="308"/>
      <c r="AB661" s="308"/>
      <c r="AC661" s="449"/>
      <c r="AD661" s="452"/>
      <c r="AE661" s="452"/>
      <c r="AF661" s="452"/>
      <c r="AG661" s="452"/>
      <c r="AH661" s="452"/>
      <c r="AI661" s="452"/>
      <c r="AJ661" s="452"/>
      <c r="AK661" s="452"/>
      <c r="AL661" s="1259"/>
      <c r="AM661" s="1260"/>
      <c r="AN661" s="1260"/>
      <c r="AO661" s="1260"/>
      <c r="AP661" s="1260"/>
      <c r="AQ661" s="1260"/>
      <c r="AR661" s="1260"/>
      <c r="AS661" s="1260"/>
      <c r="AT661" s="1260"/>
      <c r="AU661" s="1260"/>
      <c r="AV661" s="1260"/>
      <c r="AW661" s="1260"/>
      <c r="AX661" s="1260"/>
      <c r="AY661" s="1260"/>
      <c r="AZ661" s="1260"/>
      <c r="BA661" s="1260"/>
      <c r="BB661" s="1260"/>
      <c r="BC661" s="1260"/>
      <c r="BD661" s="1260"/>
      <c r="BE661" s="1260"/>
      <c r="BF661" s="1260"/>
      <c r="BG661" s="1260"/>
      <c r="BH661" s="1260"/>
      <c r="BI661" s="1260"/>
      <c r="BJ661" s="1260"/>
      <c r="BK661" s="1260"/>
      <c r="BL661" s="1260"/>
      <c r="BM661" s="1260"/>
      <c r="BN661" s="1260"/>
      <c r="BO661" s="1260"/>
      <c r="BP661" s="1260"/>
      <c r="BQ661" s="1260"/>
      <c r="BR661" s="1260"/>
      <c r="BS661" s="1260"/>
      <c r="BT661" s="1260"/>
      <c r="BU661" s="1260"/>
      <c r="BV661" s="1260"/>
      <c r="BW661" s="1260"/>
      <c r="BX661" s="1260"/>
      <c r="BY661" s="1260"/>
      <c r="BZ661" s="1260"/>
      <c r="CA661" s="1260"/>
      <c r="CB661" s="1260"/>
      <c r="CC661" s="1260"/>
      <c r="CD661" s="1260"/>
      <c r="CE661" s="1260"/>
      <c r="CF661" s="1260"/>
      <c r="CG661" s="1260"/>
      <c r="CH661" s="1260"/>
      <c r="CI661" s="1260"/>
      <c r="CJ661" s="1260"/>
      <c r="CK661" s="1260"/>
      <c r="CL661" s="1260"/>
      <c r="CM661" s="1260"/>
      <c r="CN661" s="1260"/>
      <c r="CO661" s="1260"/>
      <c r="CP661" s="1260"/>
      <c r="CQ661" s="1260"/>
      <c r="CR661" s="1260"/>
      <c r="CS661" s="1260"/>
      <c r="CT661" s="1260"/>
      <c r="CU661" s="1260"/>
      <c r="CV661" s="1260"/>
      <c r="CW661" s="1260"/>
      <c r="CX661" s="1260"/>
      <c r="CY661" s="1260"/>
      <c r="CZ661" s="1260"/>
      <c r="DA661" s="1260"/>
      <c r="DB661" s="1260"/>
      <c r="DC661" s="1260"/>
      <c r="DD661" s="1260"/>
      <c r="DE661" s="1260"/>
      <c r="DF661" s="1260"/>
      <c r="DG661" s="1260"/>
      <c r="DH661" s="1260"/>
      <c r="DI661" s="1260"/>
      <c r="DJ661" s="1260"/>
      <c r="DK661" s="1260"/>
      <c r="DL661" s="1260"/>
      <c r="DM661" s="1260"/>
      <c r="DN661" s="1260"/>
      <c r="DO661" s="1260"/>
      <c r="DP661" s="1260"/>
      <c r="DQ661" s="1260"/>
      <c r="DR661" s="1260"/>
      <c r="DS661" s="1260"/>
      <c r="DT661" s="1260"/>
      <c r="DU661" s="1260"/>
      <c r="DV661" s="1260"/>
      <c r="DW661" s="1260"/>
      <c r="DX661" s="1260"/>
      <c r="DY661" s="1260"/>
      <c r="DZ661" s="1260"/>
      <c r="EA661" s="1260"/>
      <c r="EB661" s="1260"/>
      <c r="EC661" s="1260"/>
      <c r="ED661" s="1260"/>
      <c r="EE661" s="1260"/>
      <c r="EF661" s="1260"/>
      <c r="EG661" s="1260"/>
      <c r="EH661" s="1260"/>
      <c r="EI661" s="1260"/>
      <c r="EJ661" s="1260"/>
      <c r="EK661" s="1260"/>
      <c r="EL661" s="1260"/>
      <c r="EM661" s="1260"/>
      <c r="EN661" s="1260"/>
      <c r="EO661" s="1260"/>
      <c r="EP661" s="1260"/>
      <c r="EQ661" s="1260"/>
      <c r="ER661" s="1260"/>
      <c r="ES661" s="1260"/>
      <c r="ET661" s="1260"/>
      <c r="EU661" s="1260"/>
      <c r="EV661" s="1260"/>
      <c r="EW661" s="1260"/>
      <c r="EX661" s="1260"/>
      <c r="EY661" s="1260"/>
      <c r="EZ661" s="1260"/>
      <c r="FA661" s="1260"/>
      <c r="FB661" s="1260"/>
      <c r="FC661" s="1260"/>
      <c r="FD661" s="1260"/>
      <c r="FE661" s="1260"/>
      <c r="FF661" s="1260"/>
      <c r="FG661" s="1260"/>
      <c r="FH661" s="1260"/>
      <c r="FI661" s="1260"/>
      <c r="FJ661" s="1260"/>
      <c r="FK661" s="1260"/>
      <c r="FL661" s="1260"/>
      <c r="FM661" s="1260"/>
      <c r="FN661" s="1260"/>
      <c r="FO661" s="1260"/>
      <c r="FP661" s="1260"/>
      <c r="FQ661" s="1260"/>
      <c r="FR661" s="1260"/>
      <c r="FS661" s="1260"/>
      <c r="FT661" s="1260"/>
      <c r="FU661" s="1260"/>
      <c r="FV661" s="1260"/>
      <c r="FW661" s="1260"/>
      <c r="FX661" s="1260"/>
      <c r="FY661" s="1260"/>
      <c r="FZ661" s="1260"/>
      <c r="GA661" s="1260"/>
      <c r="GB661" s="1260"/>
      <c r="GC661" s="1260"/>
      <c r="GD661" s="1260"/>
      <c r="GE661" s="1260"/>
      <c r="GF661" s="1260"/>
      <c r="GG661" s="1260"/>
      <c r="GH661" s="1260"/>
      <c r="GI661" s="1260"/>
      <c r="GJ661" s="1260"/>
      <c r="GK661" s="1260"/>
      <c r="GL661" s="1260"/>
      <c r="GM661" s="1260"/>
      <c r="GN661" s="1260"/>
      <c r="GO661" s="1260"/>
      <c r="GP661" s="1260"/>
      <c r="GQ661" s="1260"/>
      <c r="GR661" s="1260"/>
      <c r="GS661" s="1260"/>
      <c r="GT661" s="1260"/>
      <c r="GU661" s="1260"/>
      <c r="GV661" s="1260"/>
      <c r="GW661" s="1260"/>
      <c r="GX661" s="1260"/>
      <c r="GY661" s="1260"/>
      <c r="GZ661" s="1260"/>
      <c r="HA661" s="1260"/>
      <c r="HB661" s="1260"/>
      <c r="HC661" s="1260"/>
      <c r="HD661" s="1260"/>
      <c r="HE661" s="1260"/>
      <c r="HF661" s="1260"/>
      <c r="HG661" s="1260"/>
      <c r="HH661" s="1260"/>
      <c r="HI661" s="1260"/>
      <c r="HJ661" s="1260"/>
      <c r="HK661" s="1260"/>
      <c r="HL661" s="1260"/>
      <c r="HM661" s="1260"/>
      <c r="HN661" s="1260"/>
      <c r="HO661" s="1260"/>
      <c r="HP661" s="1260"/>
      <c r="HQ661" s="1260"/>
      <c r="HR661" s="1260"/>
      <c r="HS661" s="1260"/>
      <c r="HT661" s="1260"/>
      <c r="HU661" s="1260"/>
      <c r="HV661" s="1260"/>
      <c r="HW661" s="1260"/>
      <c r="HX661" s="1260"/>
      <c r="HY661" s="1260"/>
      <c r="HZ661" s="1260"/>
      <c r="IA661" s="1260"/>
      <c r="IB661" s="1260"/>
      <c r="IC661" s="1260"/>
      <c r="ID661" s="1260"/>
      <c r="IE661" s="1260"/>
      <c r="IF661" s="1260"/>
      <c r="IG661" s="1260"/>
      <c r="IH661" s="1260"/>
      <c r="II661" s="1260"/>
      <c r="IJ661" s="1260"/>
      <c r="IK661" s="1260"/>
      <c r="IL661" s="1260"/>
      <c r="IM661" s="1260"/>
      <c r="IN661" s="1260"/>
      <c r="IO661" s="1260"/>
      <c r="IP661" s="1260"/>
      <c r="IQ661" s="1260"/>
      <c r="IR661" s="1260"/>
      <c r="IS661" s="1260"/>
      <c r="IT661" s="1260"/>
      <c r="IU661" s="1260"/>
      <c r="IV661" s="1260"/>
      <c r="IW661" s="1260"/>
      <c r="IX661" s="1260"/>
      <c r="IY661" s="1260"/>
      <c r="IZ661" s="1260"/>
      <c r="JA661" s="1260"/>
      <c r="JB661" s="1260"/>
      <c r="JC661" s="1260"/>
      <c r="JD661" s="1260"/>
      <c r="JE661" s="1260"/>
      <c r="JF661" s="1260"/>
      <c r="JG661" s="1260"/>
      <c r="JH661" s="1260"/>
      <c r="JI661" s="1260"/>
      <c r="JJ661" s="1260"/>
      <c r="JK661" s="1260"/>
      <c r="JL661" s="1260"/>
      <c r="JM661" s="1260"/>
      <c r="JN661" s="1260"/>
      <c r="JO661" s="1260"/>
      <c r="JP661" s="1260"/>
      <c r="JQ661" s="1260"/>
      <c r="JR661" s="1260"/>
      <c r="JS661" s="1260"/>
      <c r="JT661" s="1260"/>
      <c r="JU661" s="1260"/>
      <c r="JV661" s="1260"/>
      <c r="JW661" s="1260"/>
      <c r="JX661" s="1260"/>
      <c r="JY661" s="1260"/>
      <c r="JZ661" s="1260"/>
      <c r="KA661" s="1260"/>
      <c r="KB661" s="1260"/>
      <c r="KC661" s="1260"/>
      <c r="KD661" s="1260"/>
      <c r="KE661" s="1260"/>
      <c r="KF661" s="1260"/>
      <c r="KG661" s="1260"/>
      <c r="KH661" s="1260"/>
      <c r="KI661" s="1260"/>
      <c r="KJ661" s="1260"/>
      <c r="KK661" s="1260"/>
      <c r="KL661" s="1260"/>
      <c r="KM661" s="1260"/>
      <c r="KN661" s="1260"/>
      <c r="KO661" s="1260"/>
      <c r="KP661" s="1260"/>
      <c r="KQ661" s="1260"/>
      <c r="KR661" s="1260"/>
      <c r="KS661" s="1260"/>
      <c r="KT661" s="1260"/>
      <c r="KU661" s="1260"/>
      <c r="KV661" s="1260"/>
      <c r="KW661" s="1260"/>
      <c r="KX661" s="1260"/>
      <c r="KY661" s="1260"/>
      <c r="KZ661" s="1260"/>
      <c r="LA661" s="1260"/>
      <c r="LB661" s="1260"/>
      <c r="LC661" s="1260"/>
      <c r="LD661" s="1260"/>
      <c r="LE661" s="1260"/>
      <c r="LF661" s="1260"/>
      <c r="LG661" s="1260"/>
      <c r="LH661" s="1260"/>
      <c r="LI661" s="1260"/>
      <c r="LJ661" s="1260"/>
      <c r="LK661" s="1260"/>
      <c r="LL661" s="1260"/>
      <c r="LM661" s="1260"/>
      <c r="LN661" s="1260"/>
      <c r="LO661" s="1260"/>
      <c r="LP661" s="1260"/>
      <c r="LQ661" s="1260"/>
      <c r="LR661" s="1260"/>
      <c r="LS661" s="1260"/>
      <c r="LT661" s="1260"/>
      <c r="LU661" s="1260"/>
      <c r="LV661" s="1260"/>
      <c r="LW661" s="1260"/>
      <c r="LX661" s="1260"/>
      <c r="LY661" s="1260"/>
      <c r="LZ661" s="1260"/>
      <c r="MA661" s="1260"/>
      <c r="MB661" s="1260"/>
      <c r="MC661" s="1260"/>
      <c r="MD661" s="1260"/>
      <c r="ME661" s="1260"/>
      <c r="MF661" s="1260"/>
      <c r="MG661" s="1260"/>
      <c r="MH661" s="1260"/>
      <c r="MI661" s="1260"/>
      <c r="MJ661" s="1260"/>
      <c r="MK661" s="1260"/>
      <c r="ML661" s="1260"/>
      <c r="MM661" s="1260"/>
      <c r="MN661" s="1260"/>
      <c r="MO661" s="1260"/>
      <c r="MP661" s="1260"/>
      <c r="MQ661" s="1260"/>
      <c r="MR661" s="1260"/>
      <c r="MS661" s="1260"/>
      <c r="MT661" s="1260"/>
      <c r="MU661" s="1260"/>
      <c r="MV661" s="1260"/>
      <c r="MW661" s="1260"/>
      <c r="MX661" s="1260"/>
      <c r="MY661" s="1260"/>
      <c r="MZ661" s="1260"/>
      <c r="NA661" s="1260"/>
      <c r="NB661" s="1260"/>
      <c r="NC661" s="1260"/>
      <c r="ND661" s="1260"/>
      <c r="NE661" s="1260"/>
      <c r="NF661" s="1260"/>
      <c r="NG661" s="1260"/>
      <c r="NH661" s="1260"/>
      <c r="NI661" s="1260"/>
      <c r="NJ661" s="1260"/>
      <c r="NK661" s="1260"/>
      <c r="NL661" s="1260"/>
      <c r="NM661" s="1260"/>
      <c r="NN661" s="1260"/>
      <c r="NO661" s="1260"/>
      <c r="NP661" s="1260"/>
      <c r="NQ661" s="1260"/>
      <c r="NR661" s="1260"/>
      <c r="NS661" s="1260"/>
      <c r="NT661" s="1260"/>
      <c r="NU661" s="1260"/>
      <c r="NV661" s="1260"/>
      <c r="NW661" s="1260"/>
      <c r="NX661" s="1260"/>
      <c r="NY661" s="1260"/>
      <c r="NZ661" s="1260"/>
      <c r="OA661" s="1260"/>
      <c r="OB661" s="1260"/>
      <c r="OC661" s="1260"/>
      <c r="OD661" s="1260"/>
      <c r="OE661" s="1260"/>
      <c r="OF661" s="1260"/>
      <c r="OG661" s="1260"/>
      <c r="OH661" s="1260"/>
      <c r="OI661" s="1260"/>
      <c r="OJ661" s="1260"/>
      <c r="OK661" s="1260"/>
      <c r="OL661" s="1260"/>
      <c r="OM661" s="1260"/>
      <c r="ON661" s="1260"/>
      <c r="OO661" s="1260"/>
      <c r="OP661" s="1260"/>
      <c r="OQ661" s="1260"/>
      <c r="OR661" s="1260"/>
      <c r="OS661" s="1260"/>
      <c r="OT661" s="1260"/>
      <c r="OU661" s="1260"/>
      <c r="OV661" s="1260"/>
      <c r="OW661" s="1260"/>
      <c r="OX661" s="1260"/>
      <c r="OY661" s="1260"/>
      <c r="OZ661" s="1260"/>
      <c r="PA661" s="1260"/>
      <c r="PB661" s="1260"/>
      <c r="PC661" s="1260"/>
      <c r="PD661" s="1260"/>
      <c r="PE661" s="1260"/>
      <c r="PF661" s="1260"/>
      <c r="PG661" s="1260"/>
      <c r="PH661" s="1260"/>
      <c r="PI661" s="1260"/>
      <c r="PJ661" s="1260"/>
      <c r="PK661" s="1260"/>
      <c r="PL661" s="1260"/>
      <c r="PM661" s="1260"/>
      <c r="PN661" s="1260"/>
      <c r="PO661" s="1260"/>
      <c r="PP661" s="1260"/>
      <c r="PQ661" s="1260"/>
      <c r="PR661" s="1260"/>
      <c r="PS661" s="1260"/>
      <c r="PT661" s="1260"/>
      <c r="PU661" s="1260"/>
      <c r="PV661" s="1260"/>
      <c r="PW661" s="1260"/>
      <c r="PX661" s="1260"/>
      <c r="PY661" s="1260"/>
      <c r="PZ661" s="1260"/>
      <c r="QA661" s="1260"/>
      <c r="QB661" s="1260"/>
      <c r="QC661" s="1260"/>
      <c r="QD661" s="1260"/>
      <c r="QE661" s="1260"/>
      <c r="QF661" s="1260"/>
      <c r="QG661" s="1260"/>
      <c r="QH661" s="1260"/>
      <c r="QI661" s="1260"/>
      <c r="QJ661" s="1260"/>
      <c r="QK661" s="1260"/>
      <c r="QL661" s="1260"/>
      <c r="QM661" s="1260"/>
      <c r="QN661" s="1260"/>
      <c r="QO661" s="1260"/>
      <c r="QP661" s="1260"/>
      <c r="QQ661" s="1260"/>
      <c r="QR661" s="1260"/>
      <c r="QS661" s="1260"/>
      <c r="QT661" s="1260"/>
      <c r="QU661" s="1260"/>
      <c r="QV661" s="1260"/>
      <c r="QW661" s="1260"/>
      <c r="QX661" s="1260"/>
      <c r="QY661" s="1260"/>
      <c r="QZ661" s="1260"/>
      <c r="RA661" s="1260"/>
      <c r="RB661" s="1260"/>
      <c r="RC661" s="1260"/>
      <c r="RD661" s="1260"/>
      <c r="RE661" s="1260"/>
      <c r="RF661" s="1260"/>
      <c r="RG661" s="1260"/>
      <c r="RH661" s="1260"/>
      <c r="RI661" s="1260"/>
      <c r="RJ661" s="1260"/>
      <c r="RK661" s="1260"/>
      <c r="RL661" s="1260"/>
      <c r="RM661" s="1260"/>
      <c r="RN661" s="1260"/>
      <c r="RO661" s="1260"/>
      <c r="RP661" s="1260"/>
      <c r="RQ661" s="1260"/>
      <c r="RR661" s="1260"/>
      <c r="RS661" s="1260"/>
      <c r="RT661" s="1260"/>
      <c r="RU661" s="1260"/>
      <c r="RV661" s="1260"/>
      <c r="RW661" s="1260"/>
      <c r="RX661" s="1260"/>
      <c r="RY661" s="1260"/>
      <c r="RZ661" s="1260"/>
      <c r="SA661" s="1260"/>
      <c r="SB661" s="1260"/>
      <c r="SC661" s="1260"/>
      <c r="SD661" s="1260"/>
      <c r="SE661" s="1260"/>
      <c r="SF661" s="1260"/>
      <c r="SG661" s="1260"/>
      <c r="SH661" s="1260"/>
      <c r="SI661" s="1260"/>
      <c r="SJ661" s="1260"/>
      <c r="SK661" s="1260"/>
      <c r="SL661" s="1260"/>
      <c r="SM661" s="1260"/>
      <c r="SN661" s="1260"/>
      <c r="SO661" s="1260"/>
      <c r="SP661" s="1260"/>
      <c r="SQ661" s="1260"/>
      <c r="SR661" s="1260"/>
      <c r="SS661" s="1260"/>
      <c r="ST661" s="1260"/>
      <c r="SU661" s="1260"/>
      <c r="SV661" s="1260"/>
      <c r="SW661" s="1260"/>
      <c r="SX661" s="1260"/>
      <c r="SY661" s="1260"/>
      <c r="SZ661" s="1260"/>
      <c r="TA661" s="1260"/>
      <c r="TB661" s="1260"/>
      <c r="TC661" s="1260"/>
      <c r="TD661" s="1260"/>
      <c r="TE661" s="1260"/>
      <c r="TF661" s="1260"/>
      <c r="TG661" s="1260"/>
      <c r="TH661" s="1260"/>
      <c r="TI661" s="1260"/>
      <c r="TJ661" s="1260"/>
      <c r="TK661" s="1260"/>
      <c r="TL661" s="1260"/>
      <c r="TM661" s="1260"/>
      <c r="TN661" s="1260"/>
      <c r="TO661" s="1260"/>
      <c r="TP661" s="1260"/>
      <c r="TQ661" s="1260"/>
      <c r="TR661" s="1260"/>
      <c r="TS661" s="1260"/>
      <c r="TT661" s="1260"/>
      <c r="TU661" s="1260"/>
      <c r="TV661" s="1260"/>
      <c r="TW661" s="1260"/>
      <c r="TX661" s="1260"/>
      <c r="TY661" s="1260"/>
      <c r="TZ661" s="1260"/>
      <c r="UA661" s="1260"/>
      <c r="UB661" s="1260"/>
      <c r="UC661" s="1260"/>
      <c r="UD661" s="1260"/>
      <c r="UE661" s="1260"/>
      <c r="UF661" s="1260"/>
      <c r="UG661" s="1261"/>
    </row>
    <row r="662" spans="1:553" s="1262" customFormat="1" ht="30.75" customHeight="1">
      <c r="A662" s="366" t="s">
        <v>15</v>
      </c>
      <c r="B662" s="366"/>
      <c r="C662" s="1518" t="s">
        <v>469</v>
      </c>
      <c r="D662" s="1389"/>
      <c r="E662" s="1389"/>
      <c r="F662" s="1390"/>
      <c r="G662" s="386" t="s">
        <v>193</v>
      </c>
      <c r="H662" s="370"/>
      <c r="I662" s="443">
        <v>25</v>
      </c>
      <c r="J662" s="368">
        <v>20000</v>
      </c>
      <c r="K662" s="388"/>
      <c r="L662" s="369">
        <f>I662*J662</f>
        <v>500000</v>
      </c>
      <c r="M662" s="366"/>
      <c r="N662" s="366"/>
      <c r="O662" s="366"/>
      <c r="P662" s="366"/>
      <c r="Q662" s="1144"/>
      <c r="R662" s="1452"/>
      <c r="S662" s="308"/>
      <c r="T662" s="308"/>
      <c r="U662" s="308"/>
      <c r="V662" s="308"/>
      <c r="W662" s="308"/>
      <c r="X662" s="308"/>
      <c r="Y662" s="308"/>
      <c r="Z662" s="604"/>
      <c r="AA662" s="308"/>
      <c r="AB662" s="308"/>
      <c r="AC662" s="449"/>
      <c r="AD662" s="452"/>
      <c r="AE662" s="452"/>
      <c r="AF662" s="452"/>
      <c r="AG662" s="452"/>
      <c r="AH662" s="452"/>
      <c r="AI662" s="452"/>
      <c r="AJ662" s="452"/>
      <c r="AK662" s="452"/>
      <c r="AL662" s="1259"/>
      <c r="AM662" s="1260"/>
      <c r="AN662" s="1260"/>
      <c r="AO662" s="1260"/>
      <c r="AP662" s="1260"/>
      <c r="AQ662" s="1260"/>
      <c r="AR662" s="1260"/>
      <c r="AS662" s="1260"/>
      <c r="AT662" s="1260"/>
      <c r="AU662" s="1260"/>
      <c r="AV662" s="1260"/>
      <c r="AW662" s="1260"/>
      <c r="AX662" s="1260"/>
      <c r="AY662" s="1260"/>
      <c r="AZ662" s="1260"/>
      <c r="BA662" s="1260"/>
      <c r="BB662" s="1260"/>
      <c r="BC662" s="1260"/>
      <c r="BD662" s="1260"/>
      <c r="BE662" s="1260"/>
      <c r="BF662" s="1260"/>
      <c r="BG662" s="1260"/>
      <c r="BH662" s="1260"/>
      <c r="BI662" s="1260"/>
      <c r="BJ662" s="1260"/>
      <c r="BK662" s="1260"/>
      <c r="BL662" s="1260"/>
      <c r="BM662" s="1260"/>
      <c r="BN662" s="1260"/>
      <c r="BO662" s="1260"/>
      <c r="BP662" s="1260"/>
      <c r="BQ662" s="1260"/>
      <c r="BR662" s="1260"/>
      <c r="BS662" s="1260"/>
      <c r="BT662" s="1260"/>
      <c r="BU662" s="1260"/>
      <c r="BV662" s="1260"/>
      <c r="BW662" s="1260"/>
      <c r="BX662" s="1260"/>
      <c r="BY662" s="1260"/>
      <c r="BZ662" s="1260"/>
      <c r="CA662" s="1260"/>
      <c r="CB662" s="1260"/>
      <c r="CC662" s="1260"/>
      <c r="CD662" s="1260"/>
      <c r="CE662" s="1260"/>
      <c r="CF662" s="1260"/>
      <c r="CG662" s="1260"/>
      <c r="CH662" s="1260"/>
      <c r="CI662" s="1260"/>
      <c r="CJ662" s="1260"/>
      <c r="CK662" s="1260"/>
      <c r="CL662" s="1260"/>
      <c r="CM662" s="1260"/>
      <c r="CN662" s="1260"/>
      <c r="CO662" s="1260"/>
      <c r="CP662" s="1260"/>
      <c r="CQ662" s="1260"/>
      <c r="CR662" s="1260"/>
      <c r="CS662" s="1260"/>
      <c r="CT662" s="1260"/>
      <c r="CU662" s="1260"/>
      <c r="CV662" s="1260"/>
      <c r="CW662" s="1260"/>
      <c r="CX662" s="1260"/>
      <c r="CY662" s="1260"/>
      <c r="CZ662" s="1260"/>
      <c r="DA662" s="1260"/>
      <c r="DB662" s="1260"/>
      <c r="DC662" s="1260"/>
      <c r="DD662" s="1260"/>
      <c r="DE662" s="1260"/>
      <c r="DF662" s="1260"/>
      <c r="DG662" s="1260"/>
      <c r="DH662" s="1260"/>
      <c r="DI662" s="1260"/>
      <c r="DJ662" s="1260"/>
      <c r="DK662" s="1260"/>
      <c r="DL662" s="1260"/>
      <c r="DM662" s="1260"/>
      <c r="DN662" s="1260"/>
      <c r="DO662" s="1260"/>
      <c r="DP662" s="1260"/>
      <c r="DQ662" s="1260"/>
      <c r="DR662" s="1260"/>
      <c r="DS662" s="1260"/>
      <c r="DT662" s="1260"/>
      <c r="DU662" s="1260"/>
      <c r="DV662" s="1260"/>
      <c r="DW662" s="1260"/>
      <c r="DX662" s="1260"/>
      <c r="DY662" s="1260"/>
      <c r="DZ662" s="1260"/>
      <c r="EA662" s="1260"/>
      <c r="EB662" s="1260"/>
      <c r="EC662" s="1260"/>
      <c r="ED662" s="1260"/>
      <c r="EE662" s="1260"/>
      <c r="EF662" s="1260"/>
      <c r="EG662" s="1260"/>
      <c r="EH662" s="1260"/>
      <c r="EI662" s="1260"/>
      <c r="EJ662" s="1260"/>
      <c r="EK662" s="1260"/>
      <c r="EL662" s="1260"/>
      <c r="EM662" s="1260"/>
      <c r="EN662" s="1260"/>
      <c r="EO662" s="1260"/>
      <c r="EP662" s="1260"/>
      <c r="EQ662" s="1260"/>
      <c r="ER662" s="1260"/>
      <c r="ES662" s="1260"/>
      <c r="ET662" s="1260"/>
      <c r="EU662" s="1260"/>
      <c r="EV662" s="1260"/>
      <c r="EW662" s="1260"/>
      <c r="EX662" s="1260"/>
      <c r="EY662" s="1260"/>
      <c r="EZ662" s="1260"/>
      <c r="FA662" s="1260"/>
      <c r="FB662" s="1260"/>
      <c r="FC662" s="1260"/>
      <c r="FD662" s="1260"/>
      <c r="FE662" s="1260"/>
      <c r="FF662" s="1260"/>
      <c r="FG662" s="1260"/>
      <c r="FH662" s="1260"/>
      <c r="FI662" s="1260"/>
      <c r="FJ662" s="1260"/>
      <c r="FK662" s="1260"/>
      <c r="FL662" s="1260"/>
      <c r="FM662" s="1260"/>
      <c r="FN662" s="1260"/>
      <c r="FO662" s="1260"/>
      <c r="FP662" s="1260"/>
      <c r="FQ662" s="1260"/>
      <c r="FR662" s="1260"/>
      <c r="FS662" s="1260"/>
      <c r="FT662" s="1260"/>
      <c r="FU662" s="1260"/>
      <c r="FV662" s="1260"/>
      <c r="FW662" s="1260"/>
      <c r="FX662" s="1260"/>
      <c r="FY662" s="1260"/>
      <c r="FZ662" s="1260"/>
      <c r="GA662" s="1260"/>
      <c r="GB662" s="1260"/>
      <c r="GC662" s="1260"/>
      <c r="GD662" s="1260"/>
      <c r="GE662" s="1260"/>
      <c r="GF662" s="1260"/>
      <c r="GG662" s="1260"/>
      <c r="GH662" s="1260"/>
      <c r="GI662" s="1260"/>
      <c r="GJ662" s="1260"/>
      <c r="GK662" s="1260"/>
      <c r="GL662" s="1260"/>
      <c r="GM662" s="1260"/>
      <c r="GN662" s="1260"/>
      <c r="GO662" s="1260"/>
      <c r="GP662" s="1260"/>
      <c r="GQ662" s="1260"/>
      <c r="GR662" s="1260"/>
      <c r="GS662" s="1260"/>
      <c r="GT662" s="1260"/>
      <c r="GU662" s="1260"/>
      <c r="GV662" s="1260"/>
      <c r="GW662" s="1260"/>
      <c r="GX662" s="1260"/>
      <c r="GY662" s="1260"/>
      <c r="GZ662" s="1260"/>
      <c r="HA662" s="1260"/>
      <c r="HB662" s="1260"/>
      <c r="HC662" s="1260"/>
      <c r="HD662" s="1260"/>
      <c r="HE662" s="1260"/>
      <c r="HF662" s="1260"/>
      <c r="HG662" s="1260"/>
      <c r="HH662" s="1260"/>
      <c r="HI662" s="1260"/>
      <c r="HJ662" s="1260"/>
      <c r="HK662" s="1260"/>
      <c r="HL662" s="1260"/>
      <c r="HM662" s="1260"/>
      <c r="HN662" s="1260"/>
      <c r="HO662" s="1260"/>
      <c r="HP662" s="1260"/>
      <c r="HQ662" s="1260"/>
      <c r="HR662" s="1260"/>
      <c r="HS662" s="1260"/>
      <c r="HT662" s="1260"/>
      <c r="HU662" s="1260"/>
      <c r="HV662" s="1260"/>
      <c r="HW662" s="1260"/>
      <c r="HX662" s="1260"/>
      <c r="HY662" s="1260"/>
      <c r="HZ662" s="1260"/>
      <c r="IA662" s="1260"/>
      <c r="IB662" s="1260"/>
      <c r="IC662" s="1260"/>
      <c r="ID662" s="1260"/>
      <c r="IE662" s="1260"/>
      <c r="IF662" s="1260"/>
      <c r="IG662" s="1260"/>
      <c r="IH662" s="1260"/>
      <c r="II662" s="1260"/>
      <c r="IJ662" s="1260"/>
      <c r="IK662" s="1260"/>
      <c r="IL662" s="1260"/>
      <c r="IM662" s="1260"/>
      <c r="IN662" s="1260"/>
      <c r="IO662" s="1260"/>
      <c r="IP662" s="1260"/>
      <c r="IQ662" s="1260"/>
      <c r="IR662" s="1260"/>
      <c r="IS662" s="1260"/>
      <c r="IT662" s="1260"/>
      <c r="IU662" s="1260"/>
      <c r="IV662" s="1260"/>
      <c r="IW662" s="1260"/>
      <c r="IX662" s="1260"/>
      <c r="IY662" s="1260"/>
      <c r="IZ662" s="1260"/>
      <c r="JA662" s="1260"/>
      <c r="JB662" s="1260"/>
      <c r="JC662" s="1260"/>
      <c r="JD662" s="1260"/>
      <c r="JE662" s="1260"/>
      <c r="JF662" s="1260"/>
      <c r="JG662" s="1260"/>
      <c r="JH662" s="1260"/>
      <c r="JI662" s="1260"/>
      <c r="JJ662" s="1260"/>
      <c r="JK662" s="1260"/>
      <c r="JL662" s="1260"/>
      <c r="JM662" s="1260"/>
      <c r="JN662" s="1260"/>
      <c r="JO662" s="1260"/>
      <c r="JP662" s="1260"/>
      <c r="JQ662" s="1260"/>
      <c r="JR662" s="1260"/>
      <c r="JS662" s="1260"/>
      <c r="JT662" s="1260"/>
      <c r="JU662" s="1260"/>
      <c r="JV662" s="1260"/>
      <c r="JW662" s="1260"/>
      <c r="JX662" s="1260"/>
      <c r="JY662" s="1260"/>
      <c r="JZ662" s="1260"/>
      <c r="KA662" s="1260"/>
      <c r="KB662" s="1260"/>
      <c r="KC662" s="1260"/>
      <c r="KD662" s="1260"/>
      <c r="KE662" s="1260"/>
      <c r="KF662" s="1260"/>
      <c r="KG662" s="1260"/>
      <c r="KH662" s="1260"/>
      <c r="KI662" s="1260"/>
      <c r="KJ662" s="1260"/>
      <c r="KK662" s="1260"/>
      <c r="KL662" s="1260"/>
      <c r="KM662" s="1260"/>
      <c r="KN662" s="1260"/>
      <c r="KO662" s="1260"/>
      <c r="KP662" s="1260"/>
      <c r="KQ662" s="1260"/>
      <c r="KR662" s="1260"/>
      <c r="KS662" s="1260"/>
      <c r="KT662" s="1260"/>
      <c r="KU662" s="1260"/>
      <c r="KV662" s="1260"/>
      <c r="KW662" s="1260"/>
      <c r="KX662" s="1260"/>
      <c r="KY662" s="1260"/>
      <c r="KZ662" s="1260"/>
      <c r="LA662" s="1260"/>
      <c r="LB662" s="1260"/>
      <c r="LC662" s="1260"/>
      <c r="LD662" s="1260"/>
      <c r="LE662" s="1260"/>
      <c r="LF662" s="1260"/>
      <c r="LG662" s="1260"/>
      <c r="LH662" s="1260"/>
      <c r="LI662" s="1260"/>
      <c r="LJ662" s="1260"/>
      <c r="LK662" s="1260"/>
      <c r="LL662" s="1260"/>
      <c r="LM662" s="1260"/>
      <c r="LN662" s="1260"/>
      <c r="LO662" s="1260"/>
      <c r="LP662" s="1260"/>
      <c r="LQ662" s="1260"/>
      <c r="LR662" s="1260"/>
      <c r="LS662" s="1260"/>
      <c r="LT662" s="1260"/>
      <c r="LU662" s="1260"/>
      <c r="LV662" s="1260"/>
      <c r="LW662" s="1260"/>
      <c r="LX662" s="1260"/>
      <c r="LY662" s="1260"/>
      <c r="LZ662" s="1260"/>
      <c r="MA662" s="1260"/>
      <c r="MB662" s="1260"/>
      <c r="MC662" s="1260"/>
      <c r="MD662" s="1260"/>
      <c r="ME662" s="1260"/>
      <c r="MF662" s="1260"/>
      <c r="MG662" s="1260"/>
      <c r="MH662" s="1260"/>
      <c r="MI662" s="1260"/>
      <c r="MJ662" s="1260"/>
      <c r="MK662" s="1260"/>
      <c r="ML662" s="1260"/>
      <c r="MM662" s="1260"/>
      <c r="MN662" s="1260"/>
      <c r="MO662" s="1260"/>
      <c r="MP662" s="1260"/>
      <c r="MQ662" s="1260"/>
      <c r="MR662" s="1260"/>
      <c r="MS662" s="1260"/>
      <c r="MT662" s="1260"/>
      <c r="MU662" s="1260"/>
      <c r="MV662" s="1260"/>
      <c r="MW662" s="1260"/>
      <c r="MX662" s="1260"/>
      <c r="MY662" s="1260"/>
      <c r="MZ662" s="1260"/>
      <c r="NA662" s="1260"/>
      <c r="NB662" s="1260"/>
      <c r="NC662" s="1260"/>
      <c r="ND662" s="1260"/>
      <c r="NE662" s="1260"/>
      <c r="NF662" s="1260"/>
      <c r="NG662" s="1260"/>
      <c r="NH662" s="1260"/>
      <c r="NI662" s="1260"/>
      <c r="NJ662" s="1260"/>
      <c r="NK662" s="1260"/>
      <c r="NL662" s="1260"/>
      <c r="NM662" s="1260"/>
      <c r="NN662" s="1260"/>
      <c r="NO662" s="1260"/>
      <c r="NP662" s="1260"/>
      <c r="NQ662" s="1260"/>
      <c r="NR662" s="1260"/>
      <c r="NS662" s="1260"/>
      <c r="NT662" s="1260"/>
      <c r="NU662" s="1260"/>
      <c r="NV662" s="1260"/>
      <c r="NW662" s="1260"/>
      <c r="NX662" s="1260"/>
      <c r="NY662" s="1260"/>
      <c r="NZ662" s="1260"/>
      <c r="OA662" s="1260"/>
      <c r="OB662" s="1260"/>
      <c r="OC662" s="1260"/>
      <c r="OD662" s="1260"/>
      <c r="OE662" s="1260"/>
      <c r="OF662" s="1260"/>
      <c r="OG662" s="1260"/>
      <c r="OH662" s="1260"/>
      <c r="OI662" s="1260"/>
      <c r="OJ662" s="1260"/>
      <c r="OK662" s="1260"/>
      <c r="OL662" s="1260"/>
      <c r="OM662" s="1260"/>
      <c r="ON662" s="1260"/>
      <c r="OO662" s="1260"/>
      <c r="OP662" s="1260"/>
      <c r="OQ662" s="1260"/>
      <c r="OR662" s="1260"/>
      <c r="OS662" s="1260"/>
      <c r="OT662" s="1260"/>
      <c r="OU662" s="1260"/>
      <c r="OV662" s="1260"/>
      <c r="OW662" s="1260"/>
      <c r="OX662" s="1260"/>
      <c r="OY662" s="1260"/>
      <c r="OZ662" s="1260"/>
      <c r="PA662" s="1260"/>
      <c r="PB662" s="1260"/>
      <c r="PC662" s="1260"/>
      <c r="PD662" s="1260"/>
      <c r="PE662" s="1260"/>
      <c r="PF662" s="1260"/>
      <c r="PG662" s="1260"/>
      <c r="PH662" s="1260"/>
      <c r="PI662" s="1260"/>
      <c r="PJ662" s="1260"/>
      <c r="PK662" s="1260"/>
      <c r="PL662" s="1260"/>
      <c r="PM662" s="1260"/>
      <c r="PN662" s="1260"/>
      <c r="PO662" s="1260"/>
      <c r="PP662" s="1260"/>
      <c r="PQ662" s="1260"/>
      <c r="PR662" s="1260"/>
      <c r="PS662" s="1260"/>
      <c r="PT662" s="1260"/>
      <c r="PU662" s="1260"/>
      <c r="PV662" s="1260"/>
      <c r="PW662" s="1260"/>
      <c r="PX662" s="1260"/>
      <c r="PY662" s="1260"/>
      <c r="PZ662" s="1260"/>
      <c r="QA662" s="1260"/>
      <c r="QB662" s="1260"/>
      <c r="QC662" s="1260"/>
      <c r="QD662" s="1260"/>
      <c r="QE662" s="1260"/>
      <c r="QF662" s="1260"/>
      <c r="QG662" s="1260"/>
      <c r="QH662" s="1260"/>
      <c r="QI662" s="1260"/>
      <c r="QJ662" s="1260"/>
      <c r="QK662" s="1260"/>
      <c r="QL662" s="1260"/>
      <c r="QM662" s="1260"/>
      <c r="QN662" s="1260"/>
      <c r="QO662" s="1260"/>
      <c r="QP662" s="1260"/>
      <c r="QQ662" s="1260"/>
      <c r="QR662" s="1260"/>
      <c r="QS662" s="1260"/>
      <c r="QT662" s="1260"/>
      <c r="QU662" s="1260"/>
      <c r="QV662" s="1260"/>
      <c r="QW662" s="1260"/>
      <c r="QX662" s="1260"/>
      <c r="QY662" s="1260"/>
      <c r="QZ662" s="1260"/>
      <c r="RA662" s="1260"/>
      <c r="RB662" s="1260"/>
      <c r="RC662" s="1260"/>
      <c r="RD662" s="1260"/>
      <c r="RE662" s="1260"/>
      <c r="RF662" s="1260"/>
      <c r="RG662" s="1260"/>
      <c r="RH662" s="1260"/>
      <c r="RI662" s="1260"/>
      <c r="RJ662" s="1260"/>
      <c r="RK662" s="1260"/>
      <c r="RL662" s="1260"/>
      <c r="RM662" s="1260"/>
      <c r="RN662" s="1260"/>
      <c r="RO662" s="1260"/>
      <c r="RP662" s="1260"/>
      <c r="RQ662" s="1260"/>
      <c r="RR662" s="1260"/>
      <c r="RS662" s="1260"/>
      <c r="RT662" s="1260"/>
      <c r="RU662" s="1260"/>
      <c r="RV662" s="1260"/>
      <c r="RW662" s="1260"/>
      <c r="RX662" s="1260"/>
      <c r="RY662" s="1260"/>
      <c r="RZ662" s="1260"/>
      <c r="SA662" s="1260"/>
      <c r="SB662" s="1260"/>
      <c r="SC662" s="1260"/>
      <c r="SD662" s="1260"/>
      <c r="SE662" s="1260"/>
      <c r="SF662" s="1260"/>
      <c r="SG662" s="1260"/>
      <c r="SH662" s="1260"/>
      <c r="SI662" s="1260"/>
      <c r="SJ662" s="1260"/>
      <c r="SK662" s="1260"/>
      <c r="SL662" s="1260"/>
      <c r="SM662" s="1260"/>
      <c r="SN662" s="1260"/>
      <c r="SO662" s="1260"/>
      <c r="SP662" s="1260"/>
      <c r="SQ662" s="1260"/>
      <c r="SR662" s="1260"/>
      <c r="SS662" s="1260"/>
      <c r="ST662" s="1260"/>
      <c r="SU662" s="1260"/>
      <c r="SV662" s="1260"/>
      <c r="SW662" s="1260"/>
      <c r="SX662" s="1260"/>
      <c r="SY662" s="1260"/>
      <c r="SZ662" s="1260"/>
      <c r="TA662" s="1260"/>
      <c r="TB662" s="1260"/>
      <c r="TC662" s="1260"/>
      <c r="TD662" s="1260"/>
      <c r="TE662" s="1260"/>
      <c r="TF662" s="1260"/>
      <c r="TG662" s="1260"/>
      <c r="TH662" s="1260"/>
      <c r="TI662" s="1260"/>
      <c r="TJ662" s="1260"/>
      <c r="TK662" s="1260"/>
      <c r="TL662" s="1260"/>
      <c r="TM662" s="1260"/>
      <c r="TN662" s="1260"/>
      <c r="TO662" s="1260"/>
      <c r="TP662" s="1260"/>
      <c r="TQ662" s="1260"/>
      <c r="TR662" s="1260"/>
      <c r="TS662" s="1260"/>
      <c r="TT662" s="1260"/>
      <c r="TU662" s="1260"/>
      <c r="TV662" s="1260"/>
      <c r="TW662" s="1260"/>
      <c r="TX662" s="1260"/>
      <c r="TY662" s="1260"/>
      <c r="TZ662" s="1260"/>
      <c r="UA662" s="1260"/>
      <c r="UB662" s="1260"/>
      <c r="UC662" s="1260"/>
      <c r="UD662" s="1260"/>
      <c r="UE662" s="1260"/>
      <c r="UF662" s="1260"/>
      <c r="UG662" s="1261"/>
    </row>
    <row r="663" spans="1:553" s="1262" customFormat="1" ht="30.75" customHeight="1">
      <c r="A663" s="366" t="s">
        <v>15</v>
      </c>
      <c r="B663" s="366"/>
      <c r="C663" s="1518" t="s">
        <v>470</v>
      </c>
      <c r="D663" s="1389"/>
      <c r="E663" s="1389"/>
      <c r="F663" s="1390"/>
      <c r="G663" s="386" t="s">
        <v>193</v>
      </c>
      <c r="H663" s="370"/>
      <c r="I663" s="443">
        <v>100</v>
      </c>
      <c r="J663" s="368">
        <v>30000</v>
      </c>
      <c r="K663" s="388"/>
      <c r="L663" s="369">
        <f>I663*J663</f>
        <v>3000000</v>
      </c>
      <c r="M663" s="366"/>
      <c r="N663" s="366"/>
      <c r="O663" s="366"/>
      <c r="P663" s="366"/>
      <c r="Q663" s="1144"/>
      <c r="R663" s="1452"/>
      <c r="S663" s="308"/>
      <c r="T663" s="308"/>
      <c r="U663" s="308"/>
      <c r="V663" s="308"/>
      <c r="W663" s="308"/>
      <c r="X663" s="308"/>
      <c r="Y663" s="308"/>
      <c r="Z663" s="604"/>
      <c r="AA663" s="308"/>
      <c r="AB663" s="308"/>
      <c r="AC663" s="449"/>
      <c r="AD663" s="452"/>
      <c r="AE663" s="452"/>
      <c r="AF663" s="452"/>
      <c r="AG663" s="452"/>
      <c r="AH663" s="452"/>
      <c r="AI663" s="452"/>
      <c r="AJ663" s="452"/>
      <c r="AK663" s="452"/>
      <c r="AL663" s="1259"/>
      <c r="AM663" s="1260"/>
      <c r="AN663" s="1260"/>
      <c r="AO663" s="1260"/>
      <c r="AP663" s="1260"/>
      <c r="AQ663" s="1260"/>
      <c r="AR663" s="1260"/>
      <c r="AS663" s="1260"/>
      <c r="AT663" s="1260"/>
      <c r="AU663" s="1260"/>
      <c r="AV663" s="1260"/>
      <c r="AW663" s="1260"/>
      <c r="AX663" s="1260"/>
      <c r="AY663" s="1260"/>
      <c r="AZ663" s="1260"/>
      <c r="BA663" s="1260"/>
      <c r="BB663" s="1260"/>
      <c r="BC663" s="1260"/>
      <c r="BD663" s="1260"/>
      <c r="BE663" s="1260"/>
      <c r="BF663" s="1260"/>
      <c r="BG663" s="1260"/>
      <c r="BH663" s="1260"/>
      <c r="BI663" s="1260"/>
      <c r="BJ663" s="1260"/>
      <c r="BK663" s="1260"/>
      <c r="BL663" s="1260"/>
      <c r="BM663" s="1260"/>
      <c r="BN663" s="1260"/>
      <c r="BO663" s="1260"/>
      <c r="BP663" s="1260"/>
      <c r="BQ663" s="1260"/>
      <c r="BR663" s="1260"/>
      <c r="BS663" s="1260"/>
      <c r="BT663" s="1260"/>
      <c r="BU663" s="1260"/>
      <c r="BV663" s="1260"/>
      <c r="BW663" s="1260"/>
      <c r="BX663" s="1260"/>
      <c r="BY663" s="1260"/>
      <c r="BZ663" s="1260"/>
      <c r="CA663" s="1260"/>
      <c r="CB663" s="1260"/>
      <c r="CC663" s="1260"/>
      <c r="CD663" s="1260"/>
      <c r="CE663" s="1260"/>
      <c r="CF663" s="1260"/>
      <c r="CG663" s="1260"/>
      <c r="CH663" s="1260"/>
      <c r="CI663" s="1260"/>
      <c r="CJ663" s="1260"/>
      <c r="CK663" s="1260"/>
      <c r="CL663" s="1260"/>
      <c r="CM663" s="1260"/>
      <c r="CN663" s="1260"/>
      <c r="CO663" s="1260"/>
      <c r="CP663" s="1260"/>
      <c r="CQ663" s="1260"/>
      <c r="CR663" s="1260"/>
      <c r="CS663" s="1260"/>
      <c r="CT663" s="1260"/>
      <c r="CU663" s="1260"/>
      <c r="CV663" s="1260"/>
      <c r="CW663" s="1260"/>
      <c r="CX663" s="1260"/>
      <c r="CY663" s="1260"/>
      <c r="CZ663" s="1260"/>
      <c r="DA663" s="1260"/>
      <c r="DB663" s="1260"/>
      <c r="DC663" s="1260"/>
      <c r="DD663" s="1260"/>
      <c r="DE663" s="1260"/>
      <c r="DF663" s="1260"/>
      <c r="DG663" s="1260"/>
      <c r="DH663" s="1260"/>
      <c r="DI663" s="1260"/>
      <c r="DJ663" s="1260"/>
      <c r="DK663" s="1260"/>
      <c r="DL663" s="1260"/>
      <c r="DM663" s="1260"/>
      <c r="DN663" s="1260"/>
      <c r="DO663" s="1260"/>
      <c r="DP663" s="1260"/>
      <c r="DQ663" s="1260"/>
      <c r="DR663" s="1260"/>
      <c r="DS663" s="1260"/>
      <c r="DT663" s="1260"/>
      <c r="DU663" s="1260"/>
      <c r="DV663" s="1260"/>
      <c r="DW663" s="1260"/>
      <c r="DX663" s="1260"/>
      <c r="DY663" s="1260"/>
      <c r="DZ663" s="1260"/>
      <c r="EA663" s="1260"/>
      <c r="EB663" s="1260"/>
      <c r="EC663" s="1260"/>
      <c r="ED663" s="1260"/>
      <c r="EE663" s="1260"/>
      <c r="EF663" s="1260"/>
      <c r="EG663" s="1260"/>
      <c r="EH663" s="1260"/>
      <c r="EI663" s="1260"/>
      <c r="EJ663" s="1260"/>
      <c r="EK663" s="1260"/>
      <c r="EL663" s="1260"/>
      <c r="EM663" s="1260"/>
      <c r="EN663" s="1260"/>
      <c r="EO663" s="1260"/>
      <c r="EP663" s="1260"/>
      <c r="EQ663" s="1260"/>
      <c r="ER663" s="1260"/>
      <c r="ES663" s="1260"/>
      <c r="ET663" s="1260"/>
      <c r="EU663" s="1260"/>
      <c r="EV663" s="1260"/>
      <c r="EW663" s="1260"/>
      <c r="EX663" s="1260"/>
      <c r="EY663" s="1260"/>
      <c r="EZ663" s="1260"/>
      <c r="FA663" s="1260"/>
      <c r="FB663" s="1260"/>
      <c r="FC663" s="1260"/>
      <c r="FD663" s="1260"/>
      <c r="FE663" s="1260"/>
      <c r="FF663" s="1260"/>
      <c r="FG663" s="1260"/>
      <c r="FH663" s="1260"/>
      <c r="FI663" s="1260"/>
      <c r="FJ663" s="1260"/>
      <c r="FK663" s="1260"/>
      <c r="FL663" s="1260"/>
      <c r="FM663" s="1260"/>
      <c r="FN663" s="1260"/>
      <c r="FO663" s="1260"/>
      <c r="FP663" s="1260"/>
      <c r="FQ663" s="1260"/>
      <c r="FR663" s="1260"/>
      <c r="FS663" s="1260"/>
      <c r="FT663" s="1260"/>
      <c r="FU663" s="1260"/>
      <c r="FV663" s="1260"/>
      <c r="FW663" s="1260"/>
      <c r="FX663" s="1260"/>
      <c r="FY663" s="1260"/>
      <c r="FZ663" s="1260"/>
      <c r="GA663" s="1260"/>
      <c r="GB663" s="1260"/>
      <c r="GC663" s="1260"/>
      <c r="GD663" s="1260"/>
      <c r="GE663" s="1260"/>
      <c r="GF663" s="1260"/>
      <c r="GG663" s="1260"/>
      <c r="GH663" s="1260"/>
      <c r="GI663" s="1260"/>
      <c r="GJ663" s="1260"/>
      <c r="GK663" s="1260"/>
      <c r="GL663" s="1260"/>
      <c r="GM663" s="1260"/>
      <c r="GN663" s="1260"/>
      <c r="GO663" s="1260"/>
      <c r="GP663" s="1260"/>
      <c r="GQ663" s="1260"/>
      <c r="GR663" s="1260"/>
      <c r="GS663" s="1260"/>
      <c r="GT663" s="1260"/>
      <c r="GU663" s="1260"/>
      <c r="GV663" s="1260"/>
      <c r="GW663" s="1260"/>
      <c r="GX663" s="1260"/>
      <c r="GY663" s="1260"/>
      <c r="GZ663" s="1260"/>
      <c r="HA663" s="1260"/>
      <c r="HB663" s="1260"/>
      <c r="HC663" s="1260"/>
      <c r="HD663" s="1260"/>
      <c r="HE663" s="1260"/>
      <c r="HF663" s="1260"/>
      <c r="HG663" s="1260"/>
      <c r="HH663" s="1260"/>
      <c r="HI663" s="1260"/>
      <c r="HJ663" s="1260"/>
      <c r="HK663" s="1260"/>
      <c r="HL663" s="1260"/>
      <c r="HM663" s="1260"/>
      <c r="HN663" s="1260"/>
      <c r="HO663" s="1260"/>
      <c r="HP663" s="1260"/>
      <c r="HQ663" s="1260"/>
      <c r="HR663" s="1260"/>
      <c r="HS663" s="1260"/>
      <c r="HT663" s="1260"/>
      <c r="HU663" s="1260"/>
      <c r="HV663" s="1260"/>
      <c r="HW663" s="1260"/>
      <c r="HX663" s="1260"/>
      <c r="HY663" s="1260"/>
      <c r="HZ663" s="1260"/>
      <c r="IA663" s="1260"/>
      <c r="IB663" s="1260"/>
      <c r="IC663" s="1260"/>
      <c r="ID663" s="1260"/>
      <c r="IE663" s="1260"/>
      <c r="IF663" s="1260"/>
      <c r="IG663" s="1260"/>
      <c r="IH663" s="1260"/>
      <c r="II663" s="1260"/>
      <c r="IJ663" s="1260"/>
      <c r="IK663" s="1260"/>
      <c r="IL663" s="1260"/>
      <c r="IM663" s="1260"/>
      <c r="IN663" s="1260"/>
      <c r="IO663" s="1260"/>
      <c r="IP663" s="1260"/>
      <c r="IQ663" s="1260"/>
      <c r="IR663" s="1260"/>
      <c r="IS663" s="1260"/>
      <c r="IT663" s="1260"/>
      <c r="IU663" s="1260"/>
      <c r="IV663" s="1260"/>
      <c r="IW663" s="1260"/>
      <c r="IX663" s="1260"/>
      <c r="IY663" s="1260"/>
      <c r="IZ663" s="1260"/>
      <c r="JA663" s="1260"/>
      <c r="JB663" s="1260"/>
      <c r="JC663" s="1260"/>
      <c r="JD663" s="1260"/>
      <c r="JE663" s="1260"/>
      <c r="JF663" s="1260"/>
      <c r="JG663" s="1260"/>
      <c r="JH663" s="1260"/>
      <c r="JI663" s="1260"/>
      <c r="JJ663" s="1260"/>
      <c r="JK663" s="1260"/>
      <c r="JL663" s="1260"/>
      <c r="JM663" s="1260"/>
      <c r="JN663" s="1260"/>
      <c r="JO663" s="1260"/>
      <c r="JP663" s="1260"/>
      <c r="JQ663" s="1260"/>
      <c r="JR663" s="1260"/>
      <c r="JS663" s="1260"/>
      <c r="JT663" s="1260"/>
      <c r="JU663" s="1260"/>
      <c r="JV663" s="1260"/>
      <c r="JW663" s="1260"/>
      <c r="JX663" s="1260"/>
      <c r="JY663" s="1260"/>
      <c r="JZ663" s="1260"/>
      <c r="KA663" s="1260"/>
      <c r="KB663" s="1260"/>
      <c r="KC663" s="1260"/>
      <c r="KD663" s="1260"/>
      <c r="KE663" s="1260"/>
      <c r="KF663" s="1260"/>
      <c r="KG663" s="1260"/>
      <c r="KH663" s="1260"/>
      <c r="KI663" s="1260"/>
      <c r="KJ663" s="1260"/>
      <c r="KK663" s="1260"/>
      <c r="KL663" s="1260"/>
      <c r="KM663" s="1260"/>
      <c r="KN663" s="1260"/>
      <c r="KO663" s="1260"/>
      <c r="KP663" s="1260"/>
      <c r="KQ663" s="1260"/>
      <c r="KR663" s="1260"/>
      <c r="KS663" s="1260"/>
      <c r="KT663" s="1260"/>
      <c r="KU663" s="1260"/>
      <c r="KV663" s="1260"/>
      <c r="KW663" s="1260"/>
      <c r="KX663" s="1260"/>
      <c r="KY663" s="1260"/>
      <c r="KZ663" s="1260"/>
      <c r="LA663" s="1260"/>
      <c r="LB663" s="1260"/>
      <c r="LC663" s="1260"/>
      <c r="LD663" s="1260"/>
      <c r="LE663" s="1260"/>
      <c r="LF663" s="1260"/>
      <c r="LG663" s="1260"/>
      <c r="LH663" s="1260"/>
      <c r="LI663" s="1260"/>
      <c r="LJ663" s="1260"/>
      <c r="LK663" s="1260"/>
      <c r="LL663" s="1260"/>
      <c r="LM663" s="1260"/>
      <c r="LN663" s="1260"/>
      <c r="LO663" s="1260"/>
      <c r="LP663" s="1260"/>
      <c r="LQ663" s="1260"/>
      <c r="LR663" s="1260"/>
      <c r="LS663" s="1260"/>
      <c r="LT663" s="1260"/>
      <c r="LU663" s="1260"/>
      <c r="LV663" s="1260"/>
      <c r="LW663" s="1260"/>
      <c r="LX663" s="1260"/>
      <c r="LY663" s="1260"/>
      <c r="LZ663" s="1260"/>
      <c r="MA663" s="1260"/>
      <c r="MB663" s="1260"/>
      <c r="MC663" s="1260"/>
      <c r="MD663" s="1260"/>
      <c r="ME663" s="1260"/>
      <c r="MF663" s="1260"/>
      <c r="MG663" s="1260"/>
      <c r="MH663" s="1260"/>
      <c r="MI663" s="1260"/>
      <c r="MJ663" s="1260"/>
      <c r="MK663" s="1260"/>
      <c r="ML663" s="1260"/>
      <c r="MM663" s="1260"/>
      <c r="MN663" s="1260"/>
      <c r="MO663" s="1260"/>
      <c r="MP663" s="1260"/>
      <c r="MQ663" s="1260"/>
      <c r="MR663" s="1260"/>
      <c r="MS663" s="1260"/>
      <c r="MT663" s="1260"/>
      <c r="MU663" s="1260"/>
      <c r="MV663" s="1260"/>
      <c r="MW663" s="1260"/>
      <c r="MX663" s="1260"/>
      <c r="MY663" s="1260"/>
      <c r="MZ663" s="1260"/>
      <c r="NA663" s="1260"/>
      <c r="NB663" s="1260"/>
      <c r="NC663" s="1260"/>
      <c r="ND663" s="1260"/>
      <c r="NE663" s="1260"/>
      <c r="NF663" s="1260"/>
      <c r="NG663" s="1260"/>
      <c r="NH663" s="1260"/>
      <c r="NI663" s="1260"/>
      <c r="NJ663" s="1260"/>
      <c r="NK663" s="1260"/>
      <c r="NL663" s="1260"/>
      <c r="NM663" s="1260"/>
      <c r="NN663" s="1260"/>
      <c r="NO663" s="1260"/>
      <c r="NP663" s="1260"/>
      <c r="NQ663" s="1260"/>
      <c r="NR663" s="1260"/>
      <c r="NS663" s="1260"/>
      <c r="NT663" s="1260"/>
      <c r="NU663" s="1260"/>
      <c r="NV663" s="1260"/>
      <c r="NW663" s="1260"/>
      <c r="NX663" s="1260"/>
      <c r="NY663" s="1260"/>
      <c r="NZ663" s="1260"/>
      <c r="OA663" s="1260"/>
      <c r="OB663" s="1260"/>
      <c r="OC663" s="1260"/>
      <c r="OD663" s="1260"/>
      <c r="OE663" s="1260"/>
      <c r="OF663" s="1260"/>
      <c r="OG663" s="1260"/>
      <c r="OH663" s="1260"/>
      <c r="OI663" s="1260"/>
      <c r="OJ663" s="1260"/>
      <c r="OK663" s="1260"/>
      <c r="OL663" s="1260"/>
      <c r="OM663" s="1260"/>
      <c r="ON663" s="1260"/>
      <c r="OO663" s="1260"/>
      <c r="OP663" s="1260"/>
      <c r="OQ663" s="1260"/>
      <c r="OR663" s="1260"/>
      <c r="OS663" s="1260"/>
      <c r="OT663" s="1260"/>
      <c r="OU663" s="1260"/>
      <c r="OV663" s="1260"/>
      <c r="OW663" s="1260"/>
      <c r="OX663" s="1260"/>
      <c r="OY663" s="1260"/>
      <c r="OZ663" s="1260"/>
      <c r="PA663" s="1260"/>
      <c r="PB663" s="1260"/>
      <c r="PC663" s="1260"/>
      <c r="PD663" s="1260"/>
      <c r="PE663" s="1260"/>
      <c r="PF663" s="1260"/>
      <c r="PG663" s="1260"/>
      <c r="PH663" s="1260"/>
      <c r="PI663" s="1260"/>
      <c r="PJ663" s="1260"/>
      <c r="PK663" s="1260"/>
      <c r="PL663" s="1260"/>
      <c r="PM663" s="1260"/>
      <c r="PN663" s="1260"/>
      <c r="PO663" s="1260"/>
      <c r="PP663" s="1260"/>
      <c r="PQ663" s="1260"/>
      <c r="PR663" s="1260"/>
      <c r="PS663" s="1260"/>
      <c r="PT663" s="1260"/>
      <c r="PU663" s="1260"/>
      <c r="PV663" s="1260"/>
      <c r="PW663" s="1260"/>
      <c r="PX663" s="1260"/>
      <c r="PY663" s="1260"/>
      <c r="PZ663" s="1260"/>
      <c r="QA663" s="1260"/>
      <c r="QB663" s="1260"/>
      <c r="QC663" s="1260"/>
      <c r="QD663" s="1260"/>
      <c r="QE663" s="1260"/>
      <c r="QF663" s="1260"/>
      <c r="QG663" s="1260"/>
      <c r="QH663" s="1260"/>
      <c r="QI663" s="1260"/>
      <c r="QJ663" s="1260"/>
      <c r="QK663" s="1260"/>
      <c r="QL663" s="1260"/>
      <c r="QM663" s="1260"/>
      <c r="QN663" s="1260"/>
      <c r="QO663" s="1260"/>
      <c r="QP663" s="1260"/>
      <c r="QQ663" s="1260"/>
      <c r="QR663" s="1260"/>
      <c r="QS663" s="1260"/>
      <c r="QT663" s="1260"/>
      <c r="QU663" s="1260"/>
      <c r="QV663" s="1260"/>
      <c r="QW663" s="1260"/>
      <c r="QX663" s="1260"/>
      <c r="QY663" s="1260"/>
      <c r="QZ663" s="1260"/>
      <c r="RA663" s="1260"/>
      <c r="RB663" s="1260"/>
      <c r="RC663" s="1260"/>
      <c r="RD663" s="1260"/>
      <c r="RE663" s="1260"/>
      <c r="RF663" s="1260"/>
      <c r="RG663" s="1260"/>
      <c r="RH663" s="1260"/>
      <c r="RI663" s="1260"/>
      <c r="RJ663" s="1260"/>
      <c r="RK663" s="1260"/>
      <c r="RL663" s="1260"/>
      <c r="RM663" s="1260"/>
      <c r="RN663" s="1260"/>
      <c r="RO663" s="1260"/>
      <c r="RP663" s="1260"/>
      <c r="RQ663" s="1260"/>
      <c r="RR663" s="1260"/>
      <c r="RS663" s="1260"/>
      <c r="RT663" s="1260"/>
      <c r="RU663" s="1260"/>
      <c r="RV663" s="1260"/>
      <c r="RW663" s="1260"/>
      <c r="RX663" s="1260"/>
      <c r="RY663" s="1260"/>
      <c r="RZ663" s="1260"/>
      <c r="SA663" s="1260"/>
      <c r="SB663" s="1260"/>
      <c r="SC663" s="1260"/>
      <c r="SD663" s="1260"/>
      <c r="SE663" s="1260"/>
      <c r="SF663" s="1260"/>
      <c r="SG663" s="1260"/>
      <c r="SH663" s="1260"/>
      <c r="SI663" s="1260"/>
      <c r="SJ663" s="1260"/>
      <c r="SK663" s="1260"/>
      <c r="SL663" s="1260"/>
      <c r="SM663" s="1260"/>
      <c r="SN663" s="1260"/>
      <c r="SO663" s="1260"/>
      <c r="SP663" s="1260"/>
      <c r="SQ663" s="1260"/>
      <c r="SR663" s="1260"/>
      <c r="SS663" s="1260"/>
      <c r="ST663" s="1260"/>
      <c r="SU663" s="1260"/>
      <c r="SV663" s="1260"/>
      <c r="SW663" s="1260"/>
      <c r="SX663" s="1260"/>
      <c r="SY663" s="1260"/>
      <c r="SZ663" s="1260"/>
      <c r="TA663" s="1260"/>
      <c r="TB663" s="1260"/>
      <c r="TC663" s="1260"/>
      <c r="TD663" s="1260"/>
      <c r="TE663" s="1260"/>
      <c r="TF663" s="1260"/>
      <c r="TG663" s="1260"/>
      <c r="TH663" s="1260"/>
      <c r="TI663" s="1260"/>
      <c r="TJ663" s="1260"/>
      <c r="TK663" s="1260"/>
      <c r="TL663" s="1260"/>
      <c r="TM663" s="1260"/>
      <c r="TN663" s="1260"/>
      <c r="TO663" s="1260"/>
      <c r="TP663" s="1260"/>
      <c r="TQ663" s="1260"/>
      <c r="TR663" s="1260"/>
      <c r="TS663" s="1260"/>
      <c r="TT663" s="1260"/>
      <c r="TU663" s="1260"/>
      <c r="TV663" s="1260"/>
      <c r="TW663" s="1260"/>
      <c r="TX663" s="1260"/>
      <c r="TY663" s="1260"/>
      <c r="TZ663" s="1260"/>
      <c r="UA663" s="1260"/>
      <c r="UB663" s="1260"/>
      <c r="UC663" s="1260"/>
      <c r="UD663" s="1260"/>
      <c r="UE663" s="1260"/>
      <c r="UF663" s="1260"/>
      <c r="UG663" s="1261"/>
    </row>
    <row r="664" spans="1:553" s="1262" customFormat="1" ht="30.75" customHeight="1">
      <c r="A664" s="366" t="s">
        <v>15</v>
      </c>
      <c r="B664" s="366"/>
      <c r="C664" s="1518" t="s">
        <v>471</v>
      </c>
      <c r="D664" s="1389"/>
      <c r="E664" s="1389"/>
      <c r="F664" s="1390"/>
      <c r="G664" s="417" t="s">
        <v>196</v>
      </c>
      <c r="H664" s="359"/>
      <c r="I664" s="494">
        <f>187.14*100/10000*24</f>
        <v>44.913600000000002</v>
      </c>
      <c r="J664" s="368">
        <v>3500</v>
      </c>
      <c r="K664" s="443"/>
      <c r="L664" s="614">
        <f>ROUND(PRODUCT(I664:K664),0)</f>
        <v>157198</v>
      </c>
      <c r="M664" s="366"/>
      <c r="N664" s="366"/>
      <c r="O664" s="366"/>
      <c r="P664" s="366"/>
      <c r="Q664" s="1144"/>
      <c r="R664" s="1452"/>
      <c r="S664" s="308"/>
      <c r="T664" s="308"/>
      <c r="U664" s="308"/>
      <c r="V664" s="308"/>
      <c r="W664" s="308"/>
      <c r="X664" s="308"/>
      <c r="Y664" s="308"/>
      <c r="Z664" s="604"/>
      <c r="AA664" s="308"/>
      <c r="AB664" s="308"/>
      <c r="AC664" s="449"/>
      <c r="AD664" s="452"/>
      <c r="AE664" s="452"/>
      <c r="AF664" s="452"/>
      <c r="AG664" s="452"/>
      <c r="AH664" s="452"/>
      <c r="AI664" s="452"/>
      <c r="AJ664" s="452"/>
      <c r="AK664" s="452"/>
      <c r="AL664" s="1259"/>
      <c r="AM664" s="1260"/>
      <c r="AN664" s="1260"/>
      <c r="AO664" s="1260"/>
      <c r="AP664" s="1260"/>
      <c r="AQ664" s="1260"/>
      <c r="AR664" s="1260"/>
      <c r="AS664" s="1260"/>
      <c r="AT664" s="1260"/>
      <c r="AU664" s="1260"/>
      <c r="AV664" s="1260"/>
      <c r="AW664" s="1260"/>
      <c r="AX664" s="1260"/>
      <c r="AY664" s="1260"/>
      <c r="AZ664" s="1260"/>
      <c r="BA664" s="1260"/>
      <c r="BB664" s="1260"/>
      <c r="BC664" s="1260"/>
      <c r="BD664" s="1260"/>
      <c r="BE664" s="1260"/>
      <c r="BF664" s="1260"/>
      <c r="BG664" s="1260"/>
      <c r="BH664" s="1260"/>
      <c r="BI664" s="1260"/>
      <c r="BJ664" s="1260"/>
      <c r="BK664" s="1260"/>
      <c r="BL664" s="1260"/>
      <c r="BM664" s="1260"/>
      <c r="BN664" s="1260"/>
      <c r="BO664" s="1260"/>
      <c r="BP664" s="1260"/>
      <c r="BQ664" s="1260"/>
      <c r="BR664" s="1260"/>
      <c r="BS664" s="1260"/>
      <c r="BT664" s="1260"/>
      <c r="BU664" s="1260"/>
      <c r="BV664" s="1260"/>
      <c r="BW664" s="1260"/>
      <c r="BX664" s="1260"/>
      <c r="BY664" s="1260"/>
      <c r="BZ664" s="1260"/>
      <c r="CA664" s="1260"/>
      <c r="CB664" s="1260"/>
      <c r="CC664" s="1260"/>
      <c r="CD664" s="1260"/>
      <c r="CE664" s="1260"/>
      <c r="CF664" s="1260"/>
      <c r="CG664" s="1260"/>
      <c r="CH664" s="1260"/>
      <c r="CI664" s="1260"/>
      <c r="CJ664" s="1260"/>
      <c r="CK664" s="1260"/>
      <c r="CL664" s="1260"/>
      <c r="CM664" s="1260"/>
      <c r="CN664" s="1260"/>
      <c r="CO664" s="1260"/>
      <c r="CP664" s="1260"/>
      <c r="CQ664" s="1260"/>
      <c r="CR664" s="1260"/>
      <c r="CS664" s="1260"/>
      <c r="CT664" s="1260"/>
      <c r="CU664" s="1260"/>
      <c r="CV664" s="1260"/>
      <c r="CW664" s="1260"/>
      <c r="CX664" s="1260"/>
      <c r="CY664" s="1260"/>
      <c r="CZ664" s="1260"/>
      <c r="DA664" s="1260"/>
      <c r="DB664" s="1260"/>
      <c r="DC664" s="1260"/>
      <c r="DD664" s="1260"/>
      <c r="DE664" s="1260"/>
      <c r="DF664" s="1260"/>
      <c r="DG664" s="1260"/>
      <c r="DH664" s="1260"/>
      <c r="DI664" s="1260"/>
      <c r="DJ664" s="1260"/>
      <c r="DK664" s="1260"/>
      <c r="DL664" s="1260"/>
      <c r="DM664" s="1260"/>
      <c r="DN664" s="1260"/>
      <c r="DO664" s="1260"/>
      <c r="DP664" s="1260"/>
      <c r="DQ664" s="1260"/>
      <c r="DR664" s="1260"/>
      <c r="DS664" s="1260"/>
      <c r="DT664" s="1260"/>
      <c r="DU664" s="1260"/>
      <c r="DV664" s="1260"/>
      <c r="DW664" s="1260"/>
      <c r="DX664" s="1260"/>
      <c r="DY664" s="1260"/>
      <c r="DZ664" s="1260"/>
      <c r="EA664" s="1260"/>
      <c r="EB664" s="1260"/>
      <c r="EC664" s="1260"/>
      <c r="ED664" s="1260"/>
      <c r="EE664" s="1260"/>
      <c r="EF664" s="1260"/>
      <c r="EG664" s="1260"/>
      <c r="EH664" s="1260"/>
      <c r="EI664" s="1260"/>
      <c r="EJ664" s="1260"/>
      <c r="EK664" s="1260"/>
      <c r="EL664" s="1260"/>
      <c r="EM664" s="1260"/>
      <c r="EN664" s="1260"/>
      <c r="EO664" s="1260"/>
      <c r="EP664" s="1260"/>
      <c r="EQ664" s="1260"/>
      <c r="ER664" s="1260"/>
      <c r="ES664" s="1260"/>
      <c r="ET664" s="1260"/>
      <c r="EU664" s="1260"/>
      <c r="EV664" s="1260"/>
      <c r="EW664" s="1260"/>
      <c r="EX664" s="1260"/>
      <c r="EY664" s="1260"/>
      <c r="EZ664" s="1260"/>
      <c r="FA664" s="1260"/>
      <c r="FB664" s="1260"/>
      <c r="FC664" s="1260"/>
      <c r="FD664" s="1260"/>
      <c r="FE664" s="1260"/>
      <c r="FF664" s="1260"/>
      <c r="FG664" s="1260"/>
      <c r="FH664" s="1260"/>
      <c r="FI664" s="1260"/>
      <c r="FJ664" s="1260"/>
      <c r="FK664" s="1260"/>
      <c r="FL664" s="1260"/>
      <c r="FM664" s="1260"/>
      <c r="FN664" s="1260"/>
      <c r="FO664" s="1260"/>
      <c r="FP664" s="1260"/>
      <c r="FQ664" s="1260"/>
      <c r="FR664" s="1260"/>
      <c r="FS664" s="1260"/>
      <c r="FT664" s="1260"/>
      <c r="FU664" s="1260"/>
      <c r="FV664" s="1260"/>
      <c r="FW664" s="1260"/>
      <c r="FX664" s="1260"/>
      <c r="FY664" s="1260"/>
      <c r="FZ664" s="1260"/>
      <c r="GA664" s="1260"/>
      <c r="GB664" s="1260"/>
      <c r="GC664" s="1260"/>
      <c r="GD664" s="1260"/>
      <c r="GE664" s="1260"/>
      <c r="GF664" s="1260"/>
      <c r="GG664" s="1260"/>
      <c r="GH664" s="1260"/>
      <c r="GI664" s="1260"/>
      <c r="GJ664" s="1260"/>
      <c r="GK664" s="1260"/>
      <c r="GL664" s="1260"/>
      <c r="GM664" s="1260"/>
      <c r="GN664" s="1260"/>
      <c r="GO664" s="1260"/>
      <c r="GP664" s="1260"/>
      <c r="GQ664" s="1260"/>
      <c r="GR664" s="1260"/>
      <c r="GS664" s="1260"/>
      <c r="GT664" s="1260"/>
      <c r="GU664" s="1260"/>
      <c r="GV664" s="1260"/>
      <c r="GW664" s="1260"/>
      <c r="GX664" s="1260"/>
      <c r="GY664" s="1260"/>
      <c r="GZ664" s="1260"/>
      <c r="HA664" s="1260"/>
      <c r="HB664" s="1260"/>
      <c r="HC664" s="1260"/>
      <c r="HD664" s="1260"/>
      <c r="HE664" s="1260"/>
      <c r="HF664" s="1260"/>
      <c r="HG664" s="1260"/>
      <c r="HH664" s="1260"/>
      <c r="HI664" s="1260"/>
      <c r="HJ664" s="1260"/>
      <c r="HK664" s="1260"/>
      <c r="HL664" s="1260"/>
      <c r="HM664" s="1260"/>
      <c r="HN664" s="1260"/>
      <c r="HO664" s="1260"/>
      <c r="HP664" s="1260"/>
      <c r="HQ664" s="1260"/>
      <c r="HR664" s="1260"/>
      <c r="HS664" s="1260"/>
      <c r="HT664" s="1260"/>
      <c r="HU664" s="1260"/>
      <c r="HV664" s="1260"/>
      <c r="HW664" s="1260"/>
      <c r="HX664" s="1260"/>
      <c r="HY664" s="1260"/>
      <c r="HZ664" s="1260"/>
      <c r="IA664" s="1260"/>
      <c r="IB664" s="1260"/>
      <c r="IC664" s="1260"/>
      <c r="ID664" s="1260"/>
      <c r="IE664" s="1260"/>
      <c r="IF664" s="1260"/>
      <c r="IG664" s="1260"/>
      <c r="IH664" s="1260"/>
      <c r="II664" s="1260"/>
      <c r="IJ664" s="1260"/>
      <c r="IK664" s="1260"/>
      <c r="IL664" s="1260"/>
      <c r="IM664" s="1260"/>
      <c r="IN664" s="1260"/>
      <c r="IO664" s="1260"/>
      <c r="IP664" s="1260"/>
      <c r="IQ664" s="1260"/>
      <c r="IR664" s="1260"/>
      <c r="IS664" s="1260"/>
      <c r="IT664" s="1260"/>
      <c r="IU664" s="1260"/>
      <c r="IV664" s="1260"/>
      <c r="IW664" s="1260"/>
      <c r="IX664" s="1260"/>
      <c r="IY664" s="1260"/>
      <c r="IZ664" s="1260"/>
      <c r="JA664" s="1260"/>
      <c r="JB664" s="1260"/>
      <c r="JC664" s="1260"/>
      <c r="JD664" s="1260"/>
      <c r="JE664" s="1260"/>
      <c r="JF664" s="1260"/>
      <c r="JG664" s="1260"/>
      <c r="JH664" s="1260"/>
      <c r="JI664" s="1260"/>
      <c r="JJ664" s="1260"/>
      <c r="JK664" s="1260"/>
      <c r="JL664" s="1260"/>
      <c r="JM664" s="1260"/>
      <c r="JN664" s="1260"/>
      <c r="JO664" s="1260"/>
      <c r="JP664" s="1260"/>
      <c r="JQ664" s="1260"/>
      <c r="JR664" s="1260"/>
      <c r="JS664" s="1260"/>
      <c r="JT664" s="1260"/>
      <c r="JU664" s="1260"/>
      <c r="JV664" s="1260"/>
      <c r="JW664" s="1260"/>
      <c r="JX664" s="1260"/>
      <c r="JY664" s="1260"/>
      <c r="JZ664" s="1260"/>
      <c r="KA664" s="1260"/>
      <c r="KB664" s="1260"/>
      <c r="KC664" s="1260"/>
      <c r="KD664" s="1260"/>
      <c r="KE664" s="1260"/>
      <c r="KF664" s="1260"/>
      <c r="KG664" s="1260"/>
      <c r="KH664" s="1260"/>
      <c r="KI664" s="1260"/>
      <c r="KJ664" s="1260"/>
      <c r="KK664" s="1260"/>
      <c r="KL664" s="1260"/>
      <c r="KM664" s="1260"/>
      <c r="KN664" s="1260"/>
      <c r="KO664" s="1260"/>
      <c r="KP664" s="1260"/>
      <c r="KQ664" s="1260"/>
      <c r="KR664" s="1260"/>
      <c r="KS664" s="1260"/>
      <c r="KT664" s="1260"/>
      <c r="KU664" s="1260"/>
      <c r="KV664" s="1260"/>
      <c r="KW664" s="1260"/>
      <c r="KX664" s="1260"/>
      <c r="KY664" s="1260"/>
      <c r="KZ664" s="1260"/>
      <c r="LA664" s="1260"/>
      <c r="LB664" s="1260"/>
      <c r="LC664" s="1260"/>
      <c r="LD664" s="1260"/>
      <c r="LE664" s="1260"/>
      <c r="LF664" s="1260"/>
      <c r="LG664" s="1260"/>
      <c r="LH664" s="1260"/>
      <c r="LI664" s="1260"/>
      <c r="LJ664" s="1260"/>
      <c r="LK664" s="1260"/>
      <c r="LL664" s="1260"/>
      <c r="LM664" s="1260"/>
      <c r="LN664" s="1260"/>
      <c r="LO664" s="1260"/>
      <c r="LP664" s="1260"/>
      <c r="LQ664" s="1260"/>
      <c r="LR664" s="1260"/>
      <c r="LS664" s="1260"/>
      <c r="LT664" s="1260"/>
      <c r="LU664" s="1260"/>
      <c r="LV664" s="1260"/>
      <c r="LW664" s="1260"/>
      <c r="LX664" s="1260"/>
      <c r="LY664" s="1260"/>
      <c r="LZ664" s="1260"/>
      <c r="MA664" s="1260"/>
      <c r="MB664" s="1260"/>
      <c r="MC664" s="1260"/>
      <c r="MD664" s="1260"/>
      <c r="ME664" s="1260"/>
      <c r="MF664" s="1260"/>
      <c r="MG664" s="1260"/>
      <c r="MH664" s="1260"/>
      <c r="MI664" s="1260"/>
      <c r="MJ664" s="1260"/>
      <c r="MK664" s="1260"/>
      <c r="ML664" s="1260"/>
      <c r="MM664" s="1260"/>
      <c r="MN664" s="1260"/>
      <c r="MO664" s="1260"/>
      <c r="MP664" s="1260"/>
      <c r="MQ664" s="1260"/>
      <c r="MR664" s="1260"/>
      <c r="MS664" s="1260"/>
      <c r="MT664" s="1260"/>
      <c r="MU664" s="1260"/>
      <c r="MV664" s="1260"/>
      <c r="MW664" s="1260"/>
      <c r="MX664" s="1260"/>
      <c r="MY664" s="1260"/>
      <c r="MZ664" s="1260"/>
      <c r="NA664" s="1260"/>
      <c r="NB664" s="1260"/>
      <c r="NC664" s="1260"/>
      <c r="ND664" s="1260"/>
      <c r="NE664" s="1260"/>
      <c r="NF664" s="1260"/>
      <c r="NG664" s="1260"/>
      <c r="NH664" s="1260"/>
      <c r="NI664" s="1260"/>
      <c r="NJ664" s="1260"/>
      <c r="NK664" s="1260"/>
      <c r="NL664" s="1260"/>
      <c r="NM664" s="1260"/>
      <c r="NN664" s="1260"/>
      <c r="NO664" s="1260"/>
      <c r="NP664" s="1260"/>
      <c r="NQ664" s="1260"/>
      <c r="NR664" s="1260"/>
      <c r="NS664" s="1260"/>
      <c r="NT664" s="1260"/>
      <c r="NU664" s="1260"/>
      <c r="NV664" s="1260"/>
      <c r="NW664" s="1260"/>
      <c r="NX664" s="1260"/>
      <c r="NY664" s="1260"/>
      <c r="NZ664" s="1260"/>
      <c r="OA664" s="1260"/>
      <c r="OB664" s="1260"/>
      <c r="OC664" s="1260"/>
      <c r="OD664" s="1260"/>
      <c r="OE664" s="1260"/>
      <c r="OF664" s="1260"/>
      <c r="OG664" s="1260"/>
      <c r="OH664" s="1260"/>
      <c r="OI664" s="1260"/>
      <c r="OJ664" s="1260"/>
      <c r="OK664" s="1260"/>
      <c r="OL664" s="1260"/>
      <c r="OM664" s="1260"/>
      <c r="ON664" s="1260"/>
      <c r="OO664" s="1260"/>
      <c r="OP664" s="1260"/>
      <c r="OQ664" s="1260"/>
      <c r="OR664" s="1260"/>
      <c r="OS664" s="1260"/>
      <c r="OT664" s="1260"/>
      <c r="OU664" s="1260"/>
      <c r="OV664" s="1260"/>
      <c r="OW664" s="1260"/>
      <c r="OX664" s="1260"/>
      <c r="OY664" s="1260"/>
      <c r="OZ664" s="1260"/>
      <c r="PA664" s="1260"/>
      <c r="PB664" s="1260"/>
      <c r="PC664" s="1260"/>
      <c r="PD664" s="1260"/>
      <c r="PE664" s="1260"/>
      <c r="PF664" s="1260"/>
      <c r="PG664" s="1260"/>
      <c r="PH664" s="1260"/>
      <c r="PI664" s="1260"/>
      <c r="PJ664" s="1260"/>
      <c r="PK664" s="1260"/>
      <c r="PL664" s="1260"/>
      <c r="PM664" s="1260"/>
      <c r="PN664" s="1260"/>
      <c r="PO664" s="1260"/>
      <c r="PP664" s="1260"/>
      <c r="PQ664" s="1260"/>
      <c r="PR664" s="1260"/>
      <c r="PS664" s="1260"/>
      <c r="PT664" s="1260"/>
      <c r="PU664" s="1260"/>
      <c r="PV664" s="1260"/>
      <c r="PW664" s="1260"/>
      <c r="PX664" s="1260"/>
      <c r="PY664" s="1260"/>
      <c r="PZ664" s="1260"/>
      <c r="QA664" s="1260"/>
      <c r="QB664" s="1260"/>
      <c r="QC664" s="1260"/>
      <c r="QD664" s="1260"/>
      <c r="QE664" s="1260"/>
      <c r="QF664" s="1260"/>
      <c r="QG664" s="1260"/>
      <c r="QH664" s="1260"/>
      <c r="QI664" s="1260"/>
      <c r="QJ664" s="1260"/>
      <c r="QK664" s="1260"/>
      <c r="QL664" s="1260"/>
      <c r="QM664" s="1260"/>
      <c r="QN664" s="1260"/>
      <c r="QO664" s="1260"/>
      <c r="QP664" s="1260"/>
      <c r="QQ664" s="1260"/>
      <c r="QR664" s="1260"/>
      <c r="QS664" s="1260"/>
      <c r="QT664" s="1260"/>
      <c r="QU664" s="1260"/>
      <c r="QV664" s="1260"/>
      <c r="QW664" s="1260"/>
      <c r="QX664" s="1260"/>
      <c r="QY664" s="1260"/>
      <c r="QZ664" s="1260"/>
      <c r="RA664" s="1260"/>
      <c r="RB664" s="1260"/>
      <c r="RC664" s="1260"/>
      <c r="RD664" s="1260"/>
      <c r="RE664" s="1260"/>
      <c r="RF664" s="1260"/>
      <c r="RG664" s="1260"/>
      <c r="RH664" s="1260"/>
      <c r="RI664" s="1260"/>
      <c r="RJ664" s="1260"/>
      <c r="RK664" s="1260"/>
      <c r="RL664" s="1260"/>
      <c r="RM664" s="1260"/>
      <c r="RN664" s="1260"/>
      <c r="RO664" s="1260"/>
      <c r="RP664" s="1260"/>
      <c r="RQ664" s="1260"/>
      <c r="RR664" s="1260"/>
      <c r="RS664" s="1260"/>
      <c r="RT664" s="1260"/>
      <c r="RU664" s="1260"/>
      <c r="RV664" s="1260"/>
      <c r="RW664" s="1260"/>
      <c r="RX664" s="1260"/>
      <c r="RY664" s="1260"/>
      <c r="RZ664" s="1260"/>
      <c r="SA664" s="1260"/>
      <c r="SB664" s="1260"/>
      <c r="SC664" s="1260"/>
      <c r="SD664" s="1260"/>
      <c r="SE664" s="1260"/>
      <c r="SF664" s="1260"/>
      <c r="SG664" s="1260"/>
      <c r="SH664" s="1260"/>
      <c r="SI664" s="1260"/>
      <c r="SJ664" s="1260"/>
      <c r="SK664" s="1260"/>
      <c r="SL664" s="1260"/>
      <c r="SM664" s="1260"/>
      <c r="SN664" s="1260"/>
      <c r="SO664" s="1260"/>
      <c r="SP664" s="1260"/>
      <c r="SQ664" s="1260"/>
      <c r="SR664" s="1260"/>
      <c r="SS664" s="1260"/>
      <c r="ST664" s="1260"/>
      <c r="SU664" s="1260"/>
      <c r="SV664" s="1260"/>
      <c r="SW664" s="1260"/>
      <c r="SX664" s="1260"/>
      <c r="SY664" s="1260"/>
      <c r="SZ664" s="1260"/>
      <c r="TA664" s="1260"/>
      <c r="TB664" s="1260"/>
      <c r="TC664" s="1260"/>
      <c r="TD664" s="1260"/>
      <c r="TE664" s="1260"/>
      <c r="TF664" s="1260"/>
      <c r="TG664" s="1260"/>
      <c r="TH664" s="1260"/>
      <c r="TI664" s="1260"/>
      <c r="TJ664" s="1260"/>
      <c r="TK664" s="1260"/>
      <c r="TL664" s="1260"/>
      <c r="TM664" s="1260"/>
      <c r="TN664" s="1260"/>
      <c r="TO664" s="1260"/>
      <c r="TP664" s="1260"/>
      <c r="TQ664" s="1260"/>
      <c r="TR664" s="1260"/>
      <c r="TS664" s="1260"/>
      <c r="TT664" s="1260"/>
      <c r="TU664" s="1260"/>
      <c r="TV664" s="1260"/>
      <c r="TW664" s="1260"/>
      <c r="TX664" s="1260"/>
      <c r="TY664" s="1260"/>
      <c r="TZ664" s="1260"/>
      <c r="UA664" s="1260"/>
      <c r="UB664" s="1260"/>
      <c r="UC664" s="1260"/>
      <c r="UD664" s="1260"/>
      <c r="UE664" s="1260"/>
      <c r="UF664" s="1260"/>
      <c r="UG664" s="1261"/>
    </row>
    <row r="665" spans="1:553" s="109" customFormat="1" ht="60.75" customHeight="1">
      <c r="A665" s="356" t="s">
        <v>53</v>
      </c>
      <c r="B665" s="356"/>
      <c r="C665" s="1413" t="s">
        <v>472</v>
      </c>
      <c r="D665" s="1389"/>
      <c r="E665" s="1389"/>
      <c r="F665" s="1390"/>
      <c r="G665" s="356"/>
      <c r="H665" s="424"/>
      <c r="I665" s="424"/>
      <c r="J665" s="357"/>
      <c r="K665" s="358"/>
      <c r="L665" s="645">
        <f>L666</f>
        <v>5000000</v>
      </c>
      <c r="M665" s="356"/>
      <c r="N665" s="356"/>
      <c r="O665" s="356"/>
      <c r="P665" s="356">
        <f>L665</f>
        <v>5000000</v>
      </c>
      <c r="Q665" s="610"/>
      <c r="R665" s="1447" t="s">
        <v>55</v>
      </c>
      <c r="S665" s="308"/>
      <c r="T665" s="308"/>
      <c r="U665" s="308"/>
      <c r="V665" s="308"/>
      <c r="W665" s="308"/>
      <c r="X665" s="308"/>
      <c r="Y665" s="308"/>
      <c r="Z665" s="604"/>
      <c r="AA665" s="308"/>
      <c r="AB665" s="308"/>
      <c r="AC665" s="456"/>
      <c r="AD665" s="456"/>
      <c r="AE665" s="456"/>
      <c r="AF665" s="456"/>
      <c r="AG665" s="456"/>
      <c r="AH665" s="456"/>
      <c r="AI665" s="456"/>
      <c r="AJ665" s="456"/>
      <c r="AK665" s="456"/>
      <c r="AL665" s="187"/>
      <c r="AM665" s="188"/>
      <c r="AN665" s="188"/>
      <c r="AO665" s="188"/>
      <c r="AP665" s="188"/>
      <c r="AQ665" s="188"/>
      <c r="AR665" s="188"/>
      <c r="AS665" s="188"/>
      <c r="AT665" s="189"/>
      <c r="AU665" s="189"/>
      <c r="AV665" s="189"/>
      <c r="AW665" s="189"/>
      <c r="AX665" s="189"/>
      <c r="AY665" s="189"/>
      <c r="AZ665" s="189"/>
      <c r="BA665" s="189"/>
      <c r="BB665" s="189"/>
      <c r="BC665" s="189"/>
      <c r="BD665" s="189"/>
      <c r="BE665" s="189"/>
      <c r="BF665" s="189"/>
      <c r="BG665" s="189"/>
      <c r="BH665" s="189"/>
      <c r="BI665" s="189"/>
      <c r="BJ665" s="189"/>
      <c r="BK665" s="189"/>
      <c r="BL665" s="189"/>
      <c r="BM665" s="189"/>
      <c r="BN665" s="189"/>
      <c r="BO665" s="189"/>
      <c r="BP665" s="190"/>
      <c r="BQ665" s="190"/>
      <c r="BR665" s="190"/>
      <c r="BS665" s="190"/>
      <c r="BT665" s="190"/>
      <c r="BU665" s="190"/>
      <c r="BV665" s="190"/>
      <c r="BW665" s="190"/>
      <c r="BX665" s="190"/>
      <c r="BY665" s="190"/>
      <c r="BZ665" s="190"/>
      <c r="CA665" s="190"/>
      <c r="CB665" s="190"/>
      <c r="CC665" s="190"/>
      <c r="CD665" s="190"/>
      <c r="CE665" s="190"/>
      <c r="CF665" s="190"/>
      <c r="CG665" s="190"/>
      <c r="CH665" s="190"/>
      <c r="CI665" s="190"/>
      <c r="CJ665" s="190"/>
      <c r="CK665" s="190"/>
      <c r="CL665" s="190"/>
      <c r="CM665" s="190"/>
      <c r="CN665" s="190"/>
      <c r="CO665" s="190"/>
      <c r="CP665" s="190"/>
      <c r="CQ665" s="190"/>
      <c r="CR665" s="190"/>
      <c r="CS665" s="190"/>
      <c r="CT665" s="190"/>
      <c r="CU665" s="190"/>
      <c r="CV665" s="190"/>
      <c r="CW665" s="190"/>
      <c r="CX665" s="190"/>
      <c r="CY665" s="190"/>
      <c r="CZ665" s="190"/>
      <c r="DA665" s="190"/>
      <c r="DB665" s="190"/>
      <c r="DC665" s="190"/>
      <c r="DD665" s="190"/>
      <c r="DE665" s="190"/>
      <c r="DF665" s="190"/>
      <c r="DG665" s="190"/>
      <c r="DH665" s="190"/>
      <c r="DI665" s="190"/>
      <c r="DJ665" s="190"/>
      <c r="DK665" s="190"/>
      <c r="DL665" s="190"/>
      <c r="DM665" s="190"/>
      <c r="DN665" s="190"/>
      <c r="DO665" s="190"/>
      <c r="DP665" s="190"/>
      <c r="DQ665" s="190"/>
      <c r="DR665" s="190"/>
      <c r="DS665" s="190"/>
      <c r="DT665" s="190"/>
      <c r="DU665" s="190"/>
      <c r="DV665" s="190"/>
      <c r="DW665" s="190"/>
      <c r="DX665" s="190"/>
      <c r="DY665" s="190"/>
      <c r="DZ665" s="190"/>
      <c r="EA665" s="190"/>
      <c r="EB665" s="190"/>
      <c r="EC665" s="190"/>
      <c r="ED665" s="190"/>
      <c r="EE665" s="190"/>
      <c r="EF665" s="190"/>
      <c r="EG665" s="190"/>
      <c r="EH665" s="190"/>
      <c r="EI665" s="190"/>
      <c r="EJ665" s="190"/>
      <c r="EK665" s="190"/>
      <c r="EL665" s="190"/>
      <c r="EM665" s="190"/>
      <c r="EN665" s="190"/>
      <c r="EO665" s="190"/>
      <c r="EP665" s="190"/>
      <c r="EQ665" s="190"/>
      <c r="ER665" s="190"/>
      <c r="ES665" s="190"/>
      <c r="ET665" s="190"/>
      <c r="EU665" s="190"/>
      <c r="EV665" s="190"/>
      <c r="EW665" s="190"/>
      <c r="EX665" s="190"/>
      <c r="EY665" s="190"/>
      <c r="EZ665" s="190"/>
      <c r="FA665" s="190"/>
      <c r="FB665" s="190"/>
      <c r="FC665" s="190"/>
      <c r="FD665" s="190"/>
      <c r="FE665" s="190"/>
      <c r="FF665" s="190"/>
      <c r="FG665" s="190"/>
      <c r="FH665" s="190"/>
      <c r="FI665" s="190"/>
      <c r="FJ665" s="190"/>
      <c r="FK665" s="190"/>
      <c r="FL665" s="190"/>
      <c r="FM665" s="190"/>
      <c r="FN665" s="190"/>
      <c r="FO665" s="190"/>
      <c r="FP665" s="190"/>
      <c r="FQ665" s="190"/>
      <c r="FR665" s="190"/>
      <c r="FS665" s="190"/>
      <c r="FT665" s="190"/>
      <c r="FU665" s="190"/>
      <c r="FV665" s="190"/>
      <c r="FW665" s="190"/>
      <c r="FX665" s="190"/>
      <c r="FY665" s="190"/>
      <c r="FZ665" s="190"/>
      <c r="GA665" s="190"/>
      <c r="GB665" s="190"/>
      <c r="GC665" s="190"/>
      <c r="GD665" s="190"/>
      <c r="GE665" s="190"/>
      <c r="GF665" s="190"/>
      <c r="GG665" s="190"/>
      <c r="GH665" s="190"/>
      <c r="GI665" s="190"/>
      <c r="GJ665" s="190"/>
      <c r="GK665" s="190"/>
      <c r="GL665" s="190"/>
      <c r="GM665" s="190"/>
      <c r="GN665" s="190"/>
      <c r="GO665" s="190"/>
      <c r="GP665" s="190"/>
      <c r="GQ665" s="190"/>
      <c r="GR665" s="190"/>
      <c r="GS665" s="190"/>
      <c r="GT665" s="190"/>
      <c r="GU665" s="190"/>
      <c r="GV665" s="190"/>
      <c r="GW665" s="190"/>
      <c r="GX665" s="190"/>
      <c r="GY665" s="190"/>
      <c r="GZ665" s="190"/>
      <c r="HA665" s="190"/>
      <c r="HB665" s="190"/>
      <c r="HC665" s="190"/>
      <c r="HD665" s="190"/>
      <c r="HE665" s="190"/>
      <c r="HF665" s="190"/>
      <c r="HG665" s="190"/>
      <c r="HH665" s="190"/>
      <c r="HI665" s="190"/>
      <c r="HJ665" s="190"/>
      <c r="HK665" s="190"/>
      <c r="HL665" s="190"/>
      <c r="HM665" s="190"/>
      <c r="HN665" s="190"/>
      <c r="HO665" s="190"/>
      <c r="HP665" s="190"/>
      <c r="HQ665" s="190"/>
      <c r="HR665" s="190"/>
      <c r="HS665" s="190"/>
      <c r="HT665" s="190"/>
      <c r="HU665" s="190"/>
      <c r="HV665" s="190"/>
      <c r="HW665" s="190"/>
      <c r="HX665" s="190"/>
      <c r="HY665" s="190"/>
      <c r="HZ665" s="190"/>
      <c r="IA665" s="190"/>
      <c r="IB665" s="190"/>
      <c r="IC665" s="190"/>
      <c r="ID665" s="190"/>
      <c r="IE665" s="190"/>
      <c r="IF665" s="190"/>
      <c r="IG665" s="190"/>
      <c r="IH665" s="190"/>
      <c r="II665" s="190"/>
      <c r="IJ665" s="190"/>
      <c r="IK665" s="190"/>
      <c r="IL665" s="190"/>
      <c r="IM665" s="190"/>
      <c r="IN665" s="190"/>
      <c r="IO665" s="190"/>
      <c r="IP665" s="190"/>
      <c r="IQ665" s="190"/>
      <c r="IR665" s="190"/>
      <c r="IS665" s="190"/>
      <c r="IT665" s="190"/>
      <c r="IU665" s="190"/>
      <c r="IV665" s="190"/>
      <c r="IW665" s="190"/>
      <c r="IX665" s="190"/>
      <c r="IY665" s="190"/>
      <c r="IZ665" s="190"/>
      <c r="JA665" s="190"/>
      <c r="JB665" s="190"/>
      <c r="JC665" s="190"/>
      <c r="JD665" s="190"/>
      <c r="JE665" s="190"/>
      <c r="JF665" s="190"/>
      <c r="JG665" s="190"/>
      <c r="JH665" s="190"/>
      <c r="JI665" s="190"/>
      <c r="JJ665" s="190"/>
      <c r="JK665" s="190"/>
      <c r="JL665" s="190"/>
      <c r="JM665" s="190"/>
      <c r="JN665" s="190"/>
      <c r="JO665" s="190"/>
      <c r="JP665" s="190"/>
      <c r="JQ665" s="190"/>
      <c r="JR665" s="190"/>
      <c r="JS665" s="190"/>
      <c r="JT665" s="190"/>
      <c r="JU665" s="190"/>
      <c r="JV665" s="190"/>
      <c r="JW665" s="190"/>
      <c r="JX665" s="190"/>
      <c r="JY665" s="190"/>
      <c r="JZ665" s="190"/>
      <c r="KA665" s="190"/>
      <c r="KB665" s="190"/>
      <c r="KC665" s="190"/>
      <c r="KD665" s="190"/>
      <c r="KE665" s="190"/>
      <c r="KF665" s="190"/>
      <c r="KG665" s="190"/>
      <c r="KH665" s="190"/>
      <c r="KI665" s="190"/>
      <c r="KJ665" s="190"/>
      <c r="KK665" s="190"/>
      <c r="KL665" s="190"/>
      <c r="KM665" s="190"/>
      <c r="KN665" s="190"/>
      <c r="KO665" s="190"/>
      <c r="KP665" s="190"/>
      <c r="KQ665" s="190"/>
      <c r="KR665" s="190"/>
      <c r="KS665" s="190"/>
      <c r="KT665" s="190"/>
      <c r="KU665" s="190"/>
      <c r="KV665" s="190"/>
      <c r="KW665" s="190"/>
      <c r="KX665" s="190"/>
      <c r="KY665" s="190"/>
      <c r="KZ665" s="190"/>
      <c r="LA665" s="190"/>
      <c r="LB665" s="190"/>
      <c r="LC665" s="190"/>
      <c r="LD665" s="190"/>
      <c r="LE665" s="190"/>
      <c r="LF665" s="190"/>
      <c r="LG665" s="190"/>
      <c r="LH665" s="190"/>
      <c r="LI665" s="190"/>
      <c r="LJ665" s="190"/>
      <c r="LK665" s="190"/>
      <c r="LL665" s="190"/>
      <c r="LM665" s="190"/>
      <c r="LN665" s="190"/>
      <c r="LO665" s="190"/>
      <c r="LP665" s="190"/>
      <c r="LQ665" s="190"/>
      <c r="LR665" s="190"/>
      <c r="LS665" s="190"/>
      <c r="LT665" s="190"/>
      <c r="LU665" s="190"/>
      <c r="LV665" s="190"/>
      <c r="LW665" s="190"/>
      <c r="LX665" s="190"/>
      <c r="LY665" s="190"/>
      <c r="LZ665" s="190"/>
      <c r="MA665" s="190"/>
      <c r="MB665" s="190"/>
      <c r="MC665" s="190"/>
      <c r="MD665" s="190"/>
      <c r="ME665" s="190"/>
      <c r="MF665" s="190"/>
      <c r="MG665" s="190"/>
      <c r="MH665" s="190"/>
      <c r="MI665" s="190"/>
      <c r="MJ665" s="190"/>
      <c r="MK665" s="190"/>
      <c r="ML665" s="190"/>
      <c r="MM665" s="190"/>
      <c r="MN665" s="190"/>
      <c r="MO665" s="190"/>
      <c r="MP665" s="190"/>
      <c r="MQ665" s="190"/>
      <c r="MR665" s="190"/>
      <c r="MS665" s="190"/>
      <c r="MT665" s="190"/>
      <c r="MU665" s="190"/>
      <c r="MV665" s="190"/>
      <c r="MW665" s="190"/>
      <c r="MX665" s="190"/>
      <c r="MY665" s="190"/>
      <c r="MZ665" s="190"/>
      <c r="NA665" s="190"/>
      <c r="NB665" s="190"/>
      <c r="NC665" s="190"/>
      <c r="ND665" s="190"/>
      <c r="NE665" s="190"/>
      <c r="NF665" s="190"/>
      <c r="NG665" s="190"/>
      <c r="NH665" s="190"/>
      <c r="NI665" s="190"/>
      <c r="NJ665" s="190"/>
      <c r="NK665" s="190"/>
      <c r="NL665" s="190"/>
      <c r="NM665" s="190"/>
      <c r="NN665" s="190"/>
      <c r="NO665" s="190"/>
      <c r="NP665" s="190"/>
      <c r="NQ665" s="190"/>
      <c r="NR665" s="190"/>
      <c r="NS665" s="190"/>
      <c r="NT665" s="190"/>
      <c r="NU665" s="190"/>
      <c r="NV665" s="190"/>
      <c r="NW665" s="190"/>
      <c r="NX665" s="190"/>
      <c r="NY665" s="190"/>
      <c r="NZ665" s="190"/>
      <c r="OA665" s="190"/>
      <c r="OB665" s="190"/>
      <c r="OC665" s="190"/>
      <c r="OD665" s="190"/>
      <c r="OE665" s="190"/>
      <c r="OF665" s="190"/>
      <c r="OG665" s="190"/>
      <c r="OH665" s="190"/>
      <c r="OI665" s="190"/>
      <c r="OJ665" s="190"/>
      <c r="OK665" s="190"/>
      <c r="OL665" s="190"/>
      <c r="OM665" s="190"/>
      <c r="ON665" s="190"/>
      <c r="OO665" s="190"/>
      <c r="OP665" s="190"/>
      <c r="OQ665" s="190"/>
      <c r="OR665" s="190"/>
      <c r="OS665" s="190"/>
      <c r="OT665" s="190"/>
      <c r="OU665" s="190"/>
      <c r="OV665" s="190"/>
      <c r="OW665" s="190"/>
      <c r="OX665" s="190"/>
      <c r="OY665" s="190"/>
      <c r="OZ665" s="190"/>
      <c r="PA665" s="190"/>
      <c r="PB665" s="190"/>
      <c r="PC665" s="190"/>
      <c r="PD665" s="190"/>
      <c r="PE665" s="190"/>
      <c r="PF665" s="190"/>
      <c r="PG665" s="190"/>
      <c r="PH665" s="190"/>
      <c r="PI665" s="190"/>
      <c r="PJ665" s="190"/>
      <c r="PK665" s="190"/>
      <c r="PL665" s="190"/>
      <c r="PM665" s="190"/>
      <c r="PN665" s="190"/>
      <c r="PO665" s="190"/>
      <c r="PP665" s="190"/>
      <c r="PQ665" s="190"/>
      <c r="PR665" s="190"/>
      <c r="PS665" s="190"/>
      <c r="PT665" s="190"/>
      <c r="PU665" s="190"/>
      <c r="PV665" s="190"/>
      <c r="PW665" s="190"/>
      <c r="PX665" s="190"/>
      <c r="PY665" s="190"/>
      <c r="PZ665" s="190"/>
      <c r="QA665" s="190"/>
      <c r="QB665" s="190"/>
      <c r="QC665" s="190"/>
      <c r="QD665" s="190"/>
      <c r="QE665" s="190"/>
      <c r="QF665" s="190"/>
      <c r="QG665" s="190"/>
      <c r="QH665" s="190"/>
      <c r="QI665" s="190"/>
      <c r="QJ665" s="190"/>
      <c r="QK665" s="190"/>
      <c r="QL665" s="190"/>
      <c r="QM665" s="190"/>
      <c r="QN665" s="190"/>
      <c r="QO665" s="190"/>
      <c r="QP665" s="190"/>
      <c r="QQ665" s="190"/>
      <c r="QR665" s="190"/>
      <c r="QS665" s="190"/>
      <c r="QT665" s="190"/>
      <c r="QU665" s="190"/>
      <c r="QV665" s="190"/>
      <c r="QW665" s="190"/>
      <c r="QX665" s="190"/>
      <c r="QY665" s="190"/>
      <c r="QZ665" s="190"/>
      <c r="RA665" s="190"/>
      <c r="RB665" s="190"/>
      <c r="RC665" s="190"/>
      <c r="RD665" s="190"/>
      <c r="RE665" s="190"/>
      <c r="RF665" s="190"/>
      <c r="RG665" s="190"/>
      <c r="RH665" s="190"/>
      <c r="RI665" s="190"/>
      <c r="RJ665" s="190"/>
      <c r="RK665" s="190"/>
      <c r="RL665" s="190"/>
      <c r="RM665" s="190"/>
      <c r="RN665" s="190"/>
      <c r="RO665" s="190"/>
      <c r="RP665" s="190"/>
      <c r="RQ665" s="190"/>
      <c r="RR665" s="190"/>
      <c r="RS665" s="190"/>
      <c r="RT665" s="190"/>
      <c r="RU665" s="190"/>
      <c r="RV665" s="190"/>
      <c r="RW665" s="190"/>
      <c r="RX665" s="190"/>
      <c r="RY665" s="190"/>
      <c r="RZ665" s="190"/>
      <c r="SA665" s="190"/>
      <c r="SB665" s="190"/>
      <c r="SC665" s="190"/>
      <c r="SD665" s="190"/>
      <c r="SE665" s="190"/>
      <c r="SF665" s="190"/>
      <c r="SG665" s="190"/>
      <c r="SH665" s="190"/>
      <c r="SI665" s="190"/>
      <c r="SJ665" s="190"/>
      <c r="SK665" s="190"/>
      <c r="SL665" s="190"/>
      <c r="SM665" s="190"/>
      <c r="SN665" s="190"/>
      <c r="SO665" s="190"/>
      <c r="SP665" s="190"/>
      <c r="SQ665" s="190"/>
      <c r="SR665" s="190"/>
      <c r="SS665" s="190"/>
      <c r="ST665" s="190"/>
      <c r="SU665" s="190"/>
      <c r="SV665" s="190"/>
      <c r="SW665" s="190"/>
      <c r="SX665" s="190"/>
      <c r="SY665" s="190"/>
      <c r="SZ665" s="190"/>
      <c r="TA665" s="190"/>
      <c r="TB665" s="190"/>
      <c r="TC665" s="190"/>
      <c r="TD665" s="190"/>
      <c r="TE665" s="190"/>
      <c r="TF665" s="190"/>
      <c r="TG665" s="190"/>
      <c r="TH665" s="190"/>
      <c r="TI665" s="190"/>
      <c r="TJ665" s="190"/>
      <c r="TK665" s="190"/>
      <c r="TL665" s="190"/>
      <c r="TM665" s="190"/>
      <c r="TN665" s="190"/>
      <c r="TO665" s="190"/>
      <c r="TP665" s="190"/>
      <c r="TQ665" s="190"/>
      <c r="TR665" s="190"/>
      <c r="TS665" s="190"/>
      <c r="TT665" s="190"/>
      <c r="TU665" s="190"/>
      <c r="TV665" s="190"/>
      <c r="TW665" s="190"/>
      <c r="TX665" s="190"/>
      <c r="TY665" s="190"/>
      <c r="TZ665" s="190"/>
      <c r="UA665" s="190"/>
      <c r="UB665" s="190"/>
      <c r="UC665" s="190"/>
      <c r="UD665" s="190"/>
      <c r="UE665" s="190"/>
      <c r="UF665" s="190"/>
      <c r="UG665" s="191"/>
    </row>
    <row r="666" spans="1:553" s="109" customFormat="1" ht="60.75" customHeight="1">
      <c r="A666" s="356"/>
      <c r="B666" s="356"/>
      <c r="C666" s="1404" t="s">
        <v>56</v>
      </c>
      <c r="D666" s="1389"/>
      <c r="E666" s="1389"/>
      <c r="F666" s="1390"/>
      <c r="G666" s="366" t="s">
        <v>57</v>
      </c>
      <c r="H666" s="417"/>
      <c r="I666" s="417">
        <v>1</v>
      </c>
      <c r="J666" s="368">
        <v>5000000</v>
      </c>
      <c r="K666" s="369"/>
      <c r="L666" s="480">
        <f>I666*J666</f>
        <v>5000000</v>
      </c>
      <c r="M666" s="356"/>
      <c r="N666" s="356"/>
      <c r="O666" s="356"/>
      <c r="P666" s="356"/>
      <c r="Q666" s="610"/>
      <c r="R666" s="1452"/>
      <c r="S666" s="308"/>
      <c r="T666" s="308"/>
      <c r="U666" s="308"/>
      <c r="V666" s="308"/>
      <c r="W666" s="308"/>
      <c r="X666" s="308"/>
      <c r="Y666" s="308"/>
      <c r="Z666" s="604"/>
      <c r="AA666" s="308"/>
      <c r="AB666" s="308"/>
      <c r="AC666" s="456"/>
      <c r="AD666" s="456"/>
      <c r="AE666" s="456"/>
      <c r="AF666" s="456"/>
      <c r="AG666" s="456"/>
      <c r="AH666" s="456"/>
      <c r="AI666" s="456"/>
      <c r="AJ666" s="456"/>
      <c r="AK666" s="456"/>
      <c r="AL666" s="187"/>
      <c r="AM666" s="188"/>
      <c r="AN666" s="188"/>
      <c r="AO666" s="188"/>
      <c r="AP666" s="188"/>
      <c r="AQ666" s="188"/>
      <c r="AR666" s="188"/>
      <c r="AS666" s="188"/>
      <c r="AT666" s="189"/>
      <c r="AU666" s="189"/>
      <c r="AV666" s="189"/>
      <c r="AW666" s="189"/>
      <c r="AX666" s="189"/>
      <c r="AY666" s="189"/>
      <c r="AZ666" s="189"/>
      <c r="BA666" s="189"/>
      <c r="BB666" s="189"/>
      <c r="BC666" s="189"/>
      <c r="BD666" s="189"/>
      <c r="BE666" s="189"/>
      <c r="BF666" s="189"/>
      <c r="BG666" s="189"/>
      <c r="BH666" s="189"/>
      <c r="BI666" s="189"/>
      <c r="BJ666" s="189"/>
      <c r="BK666" s="189"/>
      <c r="BL666" s="189"/>
      <c r="BM666" s="189"/>
      <c r="BN666" s="189"/>
      <c r="BO666" s="189"/>
      <c r="BP666" s="190"/>
      <c r="BQ666" s="190"/>
      <c r="BR666" s="190"/>
      <c r="BS666" s="190"/>
      <c r="BT666" s="190"/>
      <c r="BU666" s="190"/>
      <c r="BV666" s="190"/>
      <c r="BW666" s="190"/>
      <c r="BX666" s="190"/>
      <c r="BY666" s="190"/>
      <c r="BZ666" s="190"/>
      <c r="CA666" s="190"/>
      <c r="CB666" s="190"/>
      <c r="CC666" s="190"/>
      <c r="CD666" s="190"/>
      <c r="CE666" s="190"/>
      <c r="CF666" s="190"/>
      <c r="CG666" s="190"/>
      <c r="CH666" s="190"/>
      <c r="CI666" s="190"/>
      <c r="CJ666" s="190"/>
      <c r="CK666" s="190"/>
      <c r="CL666" s="190"/>
      <c r="CM666" s="190"/>
      <c r="CN666" s="190"/>
      <c r="CO666" s="190"/>
      <c r="CP666" s="190"/>
      <c r="CQ666" s="190"/>
      <c r="CR666" s="190"/>
      <c r="CS666" s="190"/>
      <c r="CT666" s="190"/>
      <c r="CU666" s="190"/>
      <c r="CV666" s="190"/>
      <c r="CW666" s="190"/>
      <c r="CX666" s="190"/>
      <c r="CY666" s="190"/>
      <c r="CZ666" s="190"/>
      <c r="DA666" s="190"/>
      <c r="DB666" s="190"/>
      <c r="DC666" s="190"/>
      <c r="DD666" s="190"/>
      <c r="DE666" s="190"/>
      <c r="DF666" s="190"/>
      <c r="DG666" s="190"/>
      <c r="DH666" s="190"/>
      <c r="DI666" s="190"/>
      <c r="DJ666" s="190"/>
      <c r="DK666" s="190"/>
      <c r="DL666" s="190"/>
      <c r="DM666" s="190"/>
      <c r="DN666" s="190"/>
      <c r="DO666" s="190"/>
      <c r="DP666" s="190"/>
      <c r="DQ666" s="190"/>
      <c r="DR666" s="190"/>
      <c r="DS666" s="190"/>
      <c r="DT666" s="190"/>
      <c r="DU666" s="190"/>
      <c r="DV666" s="190"/>
      <c r="DW666" s="190"/>
      <c r="DX666" s="190"/>
      <c r="DY666" s="190"/>
      <c r="DZ666" s="190"/>
      <c r="EA666" s="190"/>
      <c r="EB666" s="190"/>
      <c r="EC666" s="190"/>
      <c r="ED666" s="190"/>
      <c r="EE666" s="190"/>
      <c r="EF666" s="190"/>
      <c r="EG666" s="190"/>
      <c r="EH666" s="190"/>
      <c r="EI666" s="190"/>
      <c r="EJ666" s="190"/>
      <c r="EK666" s="190"/>
      <c r="EL666" s="190"/>
      <c r="EM666" s="190"/>
      <c r="EN666" s="190"/>
      <c r="EO666" s="190"/>
      <c r="EP666" s="190"/>
      <c r="EQ666" s="190"/>
      <c r="ER666" s="190"/>
      <c r="ES666" s="190"/>
      <c r="ET666" s="190"/>
      <c r="EU666" s="190"/>
      <c r="EV666" s="190"/>
      <c r="EW666" s="190"/>
      <c r="EX666" s="190"/>
      <c r="EY666" s="190"/>
      <c r="EZ666" s="190"/>
      <c r="FA666" s="190"/>
      <c r="FB666" s="190"/>
      <c r="FC666" s="190"/>
      <c r="FD666" s="190"/>
      <c r="FE666" s="190"/>
      <c r="FF666" s="190"/>
      <c r="FG666" s="190"/>
      <c r="FH666" s="190"/>
      <c r="FI666" s="190"/>
      <c r="FJ666" s="190"/>
      <c r="FK666" s="190"/>
      <c r="FL666" s="190"/>
      <c r="FM666" s="190"/>
      <c r="FN666" s="190"/>
      <c r="FO666" s="190"/>
      <c r="FP666" s="190"/>
      <c r="FQ666" s="190"/>
      <c r="FR666" s="190"/>
      <c r="FS666" s="190"/>
      <c r="FT666" s="190"/>
      <c r="FU666" s="190"/>
      <c r="FV666" s="190"/>
      <c r="FW666" s="190"/>
      <c r="FX666" s="190"/>
      <c r="FY666" s="190"/>
      <c r="FZ666" s="190"/>
      <c r="GA666" s="190"/>
      <c r="GB666" s="190"/>
      <c r="GC666" s="190"/>
      <c r="GD666" s="190"/>
      <c r="GE666" s="190"/>
      <c r="GF666" s="190"/>
      <c r="GG666" s="190"/>
      <c r="GH666" s="190"/>
      <c r="GI666" s="190"/>
      <c r="GJ666" s="190"/>
      <c r="GK666" s="190"/>
      <c r="GL666" s="190"/>
      <c r="GM666" s="190"/>
      <c r="GN666" s="190"/>
      <c r="GO666" s="190"/>
      <c r="GP666" s="190"/>
      <c r="GQ666" s="190"/>
      <c r="GR666" s="190"/>
      <c r="GS666" s="190"/>
      <c r="GT666" s="190"/>
      <c r="GU666" s="190"/>
      <c r="GV666" s="190"/>
      <c r="GW666" s="190"/>
      <c r="GX666" s="190"/>
      <c r="GY666" s="190"/>
      <c r="GZ666" s="190"/>
      <c r="HA666" s="190"/>
      <c r="HB666" s="190"/>
      <c r="HC666" s="190"/>
      <c r="HD666" s="190"/>
      <c r="HE666" s="190"/>
      <c r="HF666" s="190"/>
      <c r="HG666" s="190"/>
      <c r="HH666" s="190"/>
      <c r="HI666" s="190"/>
      <c r="HJ666" s="190"/>
      <c r="HK666" s="190"/>
      <c r="HL666" s="190"/>
      <c r="HM666" s="190"/>
      <c r="HN666" s="190"/>
      <c r="HO666" s="190"/>
      <c r="HP666" s="190"/>
      <c r="HQ666" s="190"/>
      <c r="HR666" s="190"/>
      <c r="HS666" s="190"/>
      <c r="HT666" s="190"/>
      <c r="HU666" s="190"/>
      <c r="HV666" s="190"/>
      <c r="HW666" s="190"/>
      <c r="HX666" s="190"/>
      <c r="HY666" s="190"/>
      <c r="HZ666" s="190"/>
      <c r="IA666" s="190"/>
      <c r="IB666" s="190"/>
      <c r="IC666" s="190"/>
      <c r="ID666" s="190"/>
      <c r="IE666" s="190"/>
      <c r="IF666" s="190"/>
      <c r="IG666" s="190"/>
      <c r="IH666" s="190"/>
      <c r="II666" s="190"/>
      <c r="IJ666" s="190"/>
      <c r="IK666" s="190"/>
      <c r="IL666" s="190"/>
      <c r="IM666" s="190"/>
      <c r="IN666" s="190"/>
      <c r="IO666" s="190"/>
      <c r="IP666" s="190"/>
      <c r="IQ666" s="190"/>
      <c r="IR666" s="190"/>
      <c r="IS666" s="190"/>
      <c r="IT666" s="190"/>
      <c r="IU666" s="190"/>
      <c r="IV666" s="190"/>
      <c r="IW666" s="190"/>
      <c r="IX666" s="190"/>
      <c r="IY666" s="190"/>
      <c r="IZ666" s="190"/>
      <c r="JA666" s="190"/>
      <c r="JB666" s="190"/>
      <c r="JC666" s="190"/>
      <c r="JD666" s="190"/>
      <c r="JE666" s="190"/>
      <c r="JF666" s="190"/>
      <c r="JG666" s="190"/>
      <c r="JH666" s="190"/>
      <c r="JI666" s="190"/>
      <c r="JJ666" s="190"/>
      <c r="JK666" s="190"/>
      <c r="JL666" s="190"/>
      <c r="JM666" s="190"/>
      <c r="JN666" s="190"/>
      <c r="JO666" s="190"/>
      <c r="JP666" s="190"/>
      <c r="JQ666" s="190"/>
      <c r="JR666" s="190"/>
      <c r="JS666" s="190"/>
      <c r="JT666" s="190"/>
      <c r="JU666" s="190"/>
      <c r="JV666" s="190"/>
      <c r="JW666" s="190"/>
      <c r="JX666" s="190"/>
      <c r="JY666" s="190"/>
      <c r="JZ666" s="190"/>
      <c r="KA666" s="190"/>
      <c r="KB666" s="190"/>
      <c r="KC666" s="190"/>
      <c r="KD666" s="190"/>
      <c r="KE666" s="190"/>
      <c r="KF666" s="190"/>
      <c r="KG666" s="190"/>
      <c r="KH666" s="190"/>
      <c r="KI666" s="190"/>
      <c r="KJ666" s="190"/>
      <c r="KK666" s="190"/>
      <c r="KL666" s="190"/>
      <c r="KM666" s="190"/>
      <c r="KN666" s="190"/>
      <c r="KO666" s="190"/>
      <c r="KP666" s="190"/>
      <c r="KQ666" s="190"/>
      <c r="KR666" s="190"/>
      <c r="KS666" s="190"/>
      <c r="KT666" s="190"/>
      <c r="KU666" s="190"/>
      <c r="KV666" s="190"/>
      <c r="KW666" s="190"/>
      <c r="KX666" s="190"/>
      <c r="KY666" s="190"/>
      <c r="KZ666" s="190"/>
      <c r="LA666" s="190"/>
      <c r="LB666" s="190"/>
      <c r="LC666" s="190"/>
      <c r="LD666" s="190"/>
      <c r="LE666" s="190"/>
      <c r="LF666" s="190"/>
      <c r="LG666" s="190"/>
      <c r="LH666" s="190"/>
      <c r="LI666" s="190"/>
      <c r="LJ666" s="190"/>
      <c r="LK666" s="190"/>
      <c r="LL666" s="190"/>
      <c r="LM666" s="190"/>
      <c r="LN666" s="190"/>
      <c r="LO666" s="190"/>
      <c r="LP666" s="190"/>
      <c r="LQ666" s="190"/>
      <c r="LR666" s="190"/>
      <c r="LS666" s="190"/>
      <c r="LT666" s="190"/>
      <c r="LU666" s="190"/>
      <c r="LV666" s="190"/>
      <c r="LW666" s="190"/>
      <c r="LX666" s="190"/>
      <c r="LY666" s="190"/>
      <c r="LZ666" s="190"/>
      <c r="MA666" s="190"/>
      <c r="MB666" s="190"/>
      <c r="MC666" s="190"/>
      <c r="MD666" s="190"/>
      <c r="ME666" s="190"/>
      <c r="MF666" s="190"/>
      <c r="MG666" s="190"/>
      <c r="MH666" s="190"/>
      <c r="MI666" s="190"/>
      <c r="MJ666" s="190"/>
      <c r="MK666" s="190"/>
      <c r="ML666" s="190"/>
      <c r="MM666" s="190"/>
      <c r="MN666" s="190"/>
      <c r="MO666" s="190"/>
      <c r="MP666" s="190"/>
      <c r="MQ666" s="190"/>
      <c r="MR666" s="190"/>
      <c r="MS666" s="190"/>
      <c r="MT666" s="190"/>
      <c r="MU666" s="190"/>
      <c r="MV666" s="190"/>
      <c r="MW666" s="190"/>
      <c r="MX666" s="190"/>
      <c r="MY666" s="190"/>
      <c r="MZ666" s="190"/>
      <c r="NA666" s="190"/>
      <c r="NB666" s="190"/>
      <c r="NC666" s="190"/>
      <c r="ND666" s="190"/>
      <c r="NE666" s="190"/>
      <c r="NF666" s="190"/>
      <c r="NG666" s="190"/>
      <c r="NH666" s="190"/>
      <c r="NI666" s="190"/>
      <c r="NJ666" s="190"/>
      <c r="NK666" s="190"/>
      <c r="NL666" s="190"/>
      <c r="NM666" s="190"/>
      <c r="NN666" s="190"/>
      <c r="NO666" s="190"/>
      <c r="NP666" s="190"/>
      <c r="NQ666" s="190"/>
      <c r="NR666" s="190"/>
      <c r="NS666" s="190"/>
      <c r="NT666" s="190"/>
      <c r="NU666" s="190"/>
      <c r="NV666" s="190"/>
      <c r="NW666" s="190"/>
      <c r="NX666" s="190"/>
      <c r="NY666" s="190"/>
      <c r="NZ666" s="190"/>
      <c r="OA666" s="190"/>
      <c r="OB666" s="190"/>
      <c r="OC666" s="190"/>
      <c r="OD666" s="190"/>
      <c r="OE666" s="190"/>
      <c r="OF666" s="190"/>
      <c r="OG666" s="190"/>
      <c r="OH666" s="190"/>
      <c r="OI666" s="190"/>
      <c r="OJ666" s="190"/>
      <c r="OK666" s="190"/>
      <c r="OL666" s="190"/>
      <c r="OM666" s="190"/>
      <c r="ON666" s="190"/>
      <c r="OO666" s="190"/>
      <c r="OP666" s="190"/>
      <c r="OQ666" s="190"/>
      <c r="OR666" s="190"/>
      <c r="OS666" s="190"/>
      <c r="OT666" s="190"/>
      <c r="OU666" s="190"/>
      <c r="OV666" s="190"/>
      <c r="OW666" s="190"/>
      <c r="OX666" s="190"/>
      <c r="OY666" s="190"/>
      <c r="OZ666" s="190"/>
      <c r="PA666" s="190"/>
      <c r="PB666" s="190"/>
      <c r="PC666" s="190"/>
      <c r="PD666" s="190"/>
      <c r="PE666" s="190"/>
      <c r="PF666" s="190"/>
      <c r="PG666" s="190"/>
      <c r="PH666" s="190"/>
      <c r="PI666" s="190"/>
      <c r="PJ666" s="190"/>
      <c r="PK666" s="190"/>
      <c r="PL666" s="190"/>
      <c r="PM666" s="190"/>
      <c r="PN666" s="190"/>
      <c r="PO666" s="190"/>
      <c r="PP666" s="190"/>
      <c r="PQ666" s="190"/>
      <c r="PR666" s="190"/>
      <c r="PS666" s="190"/>
      <c r="PT666" s="190"/>
      <c r="PU666" s="190"/>
      <c r="PV666" s="190"/>
      <c r="PW666" s="190"/>
      <c r="PX666" s="190"/>
      <c r="PY666" s="190"/>
      <c r="PZ666" s="190"/>
      <c r="QA666" s="190"/>
      <c r="QB666" s="190"/>
      <c r="QC666" s="190"/>
      <c r="QD666" s="190"/>
      <c r="QE666" s="190"/>
      <c r="QF666" s="190"/>
      <c r="QG666" s="190"/>
      <c r="QH666" s="190"/>
      <c r="QI666" s="190"/>
      <c r="QJ666" s="190"/>
      <c r="QK666" s="190"/>
      <c r="QL666" s="190"/>
      <c r="QM666" s="190"/>
      <c r="QN666" s="190"/>
      <c r="QO666" s="190"/>
      <c r="QP666" s="190"/>
      <c r="QQ666" s="190"/>
      <c r="QR666" s="190"/>
      <c r="QS666" s="190"/>
      <c r="QT666" s="190"/>
      <c r="QU666" s="190"/>
      <c r="QV666" s="190"/>
      <c r="QW666" s="190"/>
      <c r="QX666" s="190"/>
      <c r="QY666" s="190"/>
      <c r="QZ666" s="190"/>
      <c r="RA666" s="190"/>
      <c r="RB666" s="190"/>
      <c r="RC666" s="190"/>
      <c r="RD666" s="190"/>
      <c r="RE666" s="190"/>
      <c r="RF666" s="190"/>
      <c r="RG666" s="190"/>
      <c r="RH666" s="190"/>
      <c r="RI666" s="190"/>
      <c r="RJ666" s="190"/>
      <c r="RK666" s="190"/>
      <c r="RL666" s="190"/>
      <c r="RM666" s="190"/>
      <c r="RN666" s="190"/>
      <c r="RO666" s="190"/>
      <c r="RP666" s="190"/>
      <c r="RQ666" s="190"/>
      <c r="RR666" s="190"/>
      <c r="RS666" s="190"/>
      <c r="RT666" s="190"/>
      <c r="RU666" s="190"/>
      <c r="RV666" s="190"/>
      <c r="RW666" s="190"/>
      <c r="RX666" s="190"/>
      <c r="RY666" s="190"/>
      <c r="RZ666" s="190"/>
      <c r="SA666" s="190"/>
      <c r="SB666" s="190"/>
      <c r="SC666" s="190"/>
      <c r="SD666" s="190"/>
      <c r="SE666" s="190"/>
      <c r="SF666" s="190"/>
      <c r="SG666" s="190"/>
      <c r="SH666" s="190"/>
      <c r="SI666" s="190"/>
      <c r="SJ666" s="190"/>
      <c r="SK666" s="190"/>
      <c r="SL666" s="190"/>
      <c r="SM666" s="190"/>
      <c r="SN666" s="190"/>
      <c r="SO666" s="190"/>
      <c r="SP666" s="190"/>
      <c r="SQ666" s="190"/>
      <c r="SR666" s="190"/>
      <c r="SS666" s="190"/>
      <c r="ST666" s="190"/>
      <c r="SU666" s="190"/>
      <c r="SV666" s="190"/>
      <c r="SW666" s="190"/>
      <c r="SX666" s="190"/>
      <c r="SY666" s="190"/>
      <c r="SZ666" s="190"/>
      <c r="TA666" s="190"/>
      <c r="TB666" s="190"/>
      <c r="TC666" s="190"/>
      <c r="TD666" s="190"/>
      <c r="TE666" s="190"/>
      <c r="TF666" s="190"/>
      <c r="TG666" s="190"/>
      <c r="TH666" s="190"/>
      <c r="TI666" s="190"/>
      <c r="TJ666" s="190"/>
      <c r="TK666" s="190"/>
      <c r="TL666" s="190"/>
      <c r="TM666" s="190"/>
      <c r="TN666" s="190"/>
      <c r="TO666" s="190"/>
      <c r="TP666" s="190"/>
      <c r="TQ666" s="190"/>
      <c r="TR666" s="190"/>
      <c r="TS666" s="190"/>
      <c r="TT666" s="190"/>
      <c r="TU666" s="190"/>
      <c r="TV666" s="190"/>
      <c r="TW666" s="190"/>
      <c r="TX666" s="190"/>
      <c r="TY666" s="190"/>
      <c r="TZ666" s="190"/>
      <c r="UA666" s="190"/>
      <c r="UB666" s="190"/>
      <c r="UC666" s="190"/>
      <c r="UD666" s="190"/>
      <c r="UE666" s="190"/>
      <c r="UF666" s="190"/>
      <c r="UG666" s="191"/>
    </row>
    <row r="667" spans="1:553" s="109" customFormat="1" ht="105" customHeight="1">
      <c r="A667" s="356" t="s">
        <v>58</v>
      </c>
      <c r="B667" s="356"/>
      <c r="C667" s="1413" t="s">
        <v>1396</v>
      </c>
      <c r="D667" s="1389"/>
      <c r="E667" s="1389"/>
      <c r="F667" s="1390"/>
      <c r="G667" s="366"/>
      <c r="H667" s="370"/>
      <c r="I667" s="370"/>
      <c r="J667" s="368"/>
      <c r="K667" s="371"/>
      <c r="L667" s="645">
        <v>0</v>
      </c>
      <c r="M667" s="356"/>
      <c r="N667" s="356"/>
      <c r="O667" s="356"/>
      <c r="P667" s="356">
        <v>0</v>
      </c>
      <c r="Q667" s="610"/>
      <c r="R667" s="1226"/>
      <c r="S667" s="308"/>
      <c r="T667" s="308"/>
      <c r="U667" s="308"/>
      <c r="V667" s="308"/>
      <c r="W667" s="308"/>
      <c r="X667" s="308"/>
      <c r="Y667" s="308"/>
      <c r="Z667" s="604"/>
      <c r="AA667" s="308"/>
      <c r="AB667" s="308"/>
      <c r="AC667" s="449"/>
      <c r="AD667" s="449"/>
      <c r="AE667" s="449"/>
      <c r="AF667" s="449"/>
      <c r="AG667" s="449"/>
      <c r="AH667" s="449"/>
      <c r="AI667" s="449"/>
      <c r="AJ667" s="449"/>
      <c r="AK667" s="452"/>
      <c r="AL667" s="116"/>
      <c r="AM667" s="112"/>
      <c r="AN667" s="112"/>
      <c r="AO667" s="112"/>
      <c r="AP667" s="112"/>
      <c r="AQ667" s="112"/>
      <c r="AR667" s="112"/>
      <c r="AS667" s="113"/>
      <c r="AT667" s="113"/>
      <c r="AU667" s="113"/>
      <c r="AV667" s="113"/>
      <c r="AW667" s="113"/>
      <c r="AX667" s="113"/>
      <c r="AY667" s="113"/>
      <c r="AZ667" s="113"/>
      <c r="BA667" s="113"/>
      <c r="BB667" s="113"/>
      <c r="BC667" s="113"/>
      <c r="BD667" s="113"/>
      <c r="BE667" s="113"/>
      <c r="BF667" s="113"/>
      <c r="BG667" s="113"/>
      <c r="BH667" s="113"/>
      <c r="BI667" s="113"/>
      <c r="BJ667" s="113"/>
      <c r="BK667" s="113"/>
      <c r="BL667" s="113"/>
      <c r="BM667" s="113"/>
      <c r="BN667" s="113"/>
      <c r="BO667" s="113"/>
      <c r="BP667" s="114"/>
      <c r="BQ667" s="114"/>
      <c r="BR667" s="114"/>
      <c r="BS667" s="114"/>
      <c r="BT667" s="114"/>
      <c r="BU667" s="114"/>
      <c r="BV667" s="114"/>
      <c r="BW667" s="114"/>
      <c r="BX667" s="114"/>
      <c r="BY667" s="114"/>
      <c r="BZ667" s="114"/>
      <c r="CA667" s="114"/>
      <c r="CB667" s="114"/>
      <c r="CC667" s="114"/>
      <c r="CD667" s="114"/>
      <c r="CE667" s="114"/>
      <c r="CF667" s="114"/>
      <c r="CG667" s="114"/>
      <c r="CH667" s="114"/>
      <c r="CI667" s="114"/>
      <c r="CJ667" s="114"/>
      <c r="CK667" s="114"/>
      <c r="CL667" s="114"/>
      <c r="CM667" s="114"/>
      <c r="CN667" s="114"/>
      <c r="CO667" s="114"/>
      <c r="CP667" s="114"/>
      <c r="CQ667" s="114"/>
      <c r="CR667" s="114"/>
      <c r="CS667" s="114"/>
      <c r="CT667" s="114"/>
      <c r="CU667" s="114"/>
      <c r="CV667" s="114"/>
      <c r="CW667" s="114"/>
      <c r="CX667" s="114"/>
      <c r="CY667" s="114"/>
      <c r="CZ667" s="114"/>
      <c r="DA667" s="114"/>
      <c r="DB667" s="114"/>
      <c r="DC667" s="114"/>
      <c r="DD667" s="114"/>
      <c r="DE667" s="114"/>
      <c r="DF667" s="114"/>
      <c r="DG667" s="114"/>
      <c r="DH667" s="114"/>
      <c r="DI667" s="114"/>
      <c r="DJ667" s="114"/>
      <c r="DK667" s="114"/>
      <c r="DL667" s="114"/>
      <c r="DM667" s="114"/>
      <c r="DN667" s="114"/>
      <c r="DO667" s="114"/>
      <c r="DP667" s="114"/>
      <c r="DQ667" s="114"/>
      <c r="DR667" s="114"/>
      <c r="DS667" s="114"/>
      <c r="DT667" s="114"/>
      <c r="DU667" s="114"/>
      <c r="DV667" s="114"/>
      <c r="DW667" s="114"/>
      <c r="DX667" s="114"/>
      <c r="DY667" s="114"/>
      <c r="DZ667" s="114"/>
      <c r="EA667" s="114"/>
      <c r="EB667" s="114"/>
      <c r="EC667" s="114"/>
      <c r="ED667" s="114"/>
      <c r="EE667" s="114"/>
      <c r="EF667" s="114"/>
      <c r="EG667" s="114"/>
      <c r="EH667" s="114"/>
      <c r="EI667" s="114"/>
      <c r="EJ667" s="114"/>
      <c r="EK667" s="114"/>
      <c r="EL667" s="114"/>
      <c r="EM667" s="114"/>
      <c r="EN667" s="114"/>
      <c r="EO667" s="114"/>
      <c r="EP667" s="114"/>
      <c r="EQ667" s="114"/>
      <c r="ER667" s="114"/>
      <c r="ES667" s="114"/>
      <c r="ET667" s="114"/>
      <c r="EU667" s="114"/>
      <c r="EV667" s="114"/>
      <c r="EW667" s="114"/>
      <c r="EX667" s="114"/>
      <c r="EY667" s="114"/>
      <c r="EZ667" s="114"/>
      <c r="FA667" s="114"/>
      <c r="FB667" s="114"/>
      <c r="FC667" s="114"/>
      <c r="FD667" s="114"/>
      <c r="FE667" s="114"/>
      <c r="FF667" s="114"/>
      <c r="FG667" s="114"/>
      <c r="FH667" s="114"/>
      <c r="FI667" s="114"/>
      <c r="FJ667" s="114"/>
      <c r="FK667" s="114"/>
      <c r="FL667" s="114"/>
      <c r="FM667" s="114"/>
      <c r="FN667" s="114"/>
      <c r="FO667" s="114"/>
      <c r="FP667" s="114"/>
      <c r="FQ667" s="114"/>
      <c r="FR667" s="114"/>
      <c r="FS667" s="114"/>
      <c r="FT667" s="114"/>
      <c r="FU667" s="114"/>
      <c r="FV667" s="114"/>
      <c r="FW667" s="114"/>
      <c r="FX667" s="114"/>
      <c r="FY667" s="114"/>
      <c r="FZ667" s="114"/>
      <c r="GA667" s="114"/>
      <c r="GB667" s="114"/>
      <c r="GC667" s="114"/>
      <c r="GD667" s="114"/>
      <c r="GE667" s="114"/>
      <c r="GF667" s="114"/>
      <c r="GG667" s="114"/>
      <c r="GH667" s="114"/>
      <c r="GI667" s="114"/>
      <c r="GJ667" s="114"/>
      <c r="GK667" s="114"/>
      <c r="GL667" s="114"/>
      <c r="GM667" s="114"/>
      <c r="GN667" s="114"/>
      <c r="GO667" s="114"/>
      <c r="GP667" s="114"/>
      <c r="GQ667" s="114"/>
      <c r="GR667" s="114"/>
      <c r="GS667" s="114"/>
      <c r="GT667" s="114"/>
      <c r="GU667" s="114"/>
      <c r="GV667" s="114"/>
      <c r="GW667" s="114"/>
      <c r="GX667" s="114"/>
      <c r="GY667" s="114"/>
      <c r="GZ667" s="114"/>
      <c r="HA667" s="114"/>
      <c r="HB667" s="114"/>
      <c r="HC667" s="114"/>
      <c r="HD667" s="114"/>
      <c r="HE667" s="114"/>
      <c r="HF667" s="114"/>
      <c r="HG667" s="114"/>
      <c r="HH667" s="114"/>
      <c r="HI667" s="114"/>
      <c r="HJ667" s="114"/>
      <c r="HK667" s="114"/>
      <c r="HL667" s="114"/>
      <c r="HM667" s="114"/>
      <c r="HN667" s="114"/>
      <c r="HO667" s="114"/>
      <c r="HP667" s="114"/>
      <c r="HQ667" s="114"/>
      <c r="HR667" s="114"/>
      <c r="HS667" s="114"/>
      <c r="HT667" s="114"/>
      <c r="HU667" s="114"/>
      <c r="HV667" s="114"/>
      <c r="HW667" s="114"/>
      <c r="HX667" s="114"/>
      <c r="HY667" s="114"/>
      <c r="HZ667" s="114"/>
      <c r="IA667" s="114"/>
      <c r="IB667" s="114"/>
      <c r="IC667" s="114"/>
      <c r="ID667" s="114"/>
      <c r="IE667" s="114"/>
      <c r="IF667" s="114"/>
      <c r="IG667" s="114"/>
      <c r="IH667" s="114"/>
      <c r="II667" s="114"/>
      <c r="IJ667" s="114"/>
      <c r="IK667" s="114"/>
      <c r="IL667" s="114"/>
      <c r="IM667" s="114"/>
      <c r="IN667" s="114"/>
      <c r="IO667" s="114"/>
      <c r="IP667" s="114"/>
      <c r="IQ667" s="114"/>
      <c r="IR667" s="114"/>
      <c r="IS667" s="114"/>
      <c r="IT667" s="114"/>
      <c r="IU667" s="114"/>
      <c r="IV667" s="114"/>
      <c r="IW667" s="114"/>
      <c r="IX667" s="114"/>
      <c r="IY667" s="114"/>
      <c r="IZ667" s="114"/>
      <c r="JA667" s="114"/>
      <c r="JB667" s="114"/>
      <c r="JC667" s="114"/>
      <c r="JD667" s="114"/>
      <c r="JE667" s="114"/>
      <c r="JF667" s="114"/>
      <c r="JG667" s="114"/>
      <c r="JH667" s="114"/>
      <c r="JI667" s="114"/>
      <c r="JJ667" s="114"/>
      <c r="JK667" s="114"/>
      <c r="JL667" s="114"/>
      <c r="JM667" s="114"/>
      <c r="JN667" s="114"/>
      <c r="JO667" s="114"/>
      <c r="JP667" s="114"/>
      <c r="JQ667" s="114"/>
      <c r="JR667" s="114"/>
      <c r="JS667" s="114"/>
      <c r="JT667" s="114"/>
      <c r="JU667" s="114"/>
      <c r="JV667" s="114"/>
      <c r="JW667" s="114"/>
      <c r="JX667" s="114"/>
      <c r="JY667" s="114"/>
      <c r="JZ667" s="114"/>
      <c r="KA667" s="114"/>
      <c r="KB667" s="114"/>
      <c r="KC667" s="114"/>
      <c r="KD667" s="114"/>
      <c r="KE667" s="114"/>
      <c r="KF667" s="114"/>
      <c r="KG667" s="114"/>
      <c r="KH667" s="114"/>
      <c r="KI667" s="114"/>
      <c r="KJ667" s="114"/>
      <c r="KK667" s="114"/>
      <c r="KL667" s="114"/>
      <c r="KM667" s="114"/>
      <c r="KN667" s="114"/>
      <c r="KO667" s="114"/>
      <c r="KP667" s="114"/>
      <c r="KQ667" s="114"/>
      <c r="KR667" s="114"/>
      <c r="KS667" s="114"/>
      <c r="KT667" s="114"/>
      <c r="KU667" s="114"/>
      <c r="KV667" s="114"/>
      <c r="KW667" s="114"/>
      <c r="KX667" s="114"/>
      <c r="KY667" s="114"/>
      <c r="KZ667" s="114"/>
      <c r="LA667" s="114"/>
      <c r="LB667" s="114"/>
      <c r="LC667" s="114"/>
      <c r="LD667" s="114"/>
      <c r="LE667" s="114"/>
      <c r="LF667" s="114"/>
      <c r="LG667" s="114"/>
      <c r="LH667" s="114"/>
      <c r="LI667" s="114"/>
      <c r="LJ667" s="114"/>
      <c r="LK667" s="114"/>
      <c r="LL667" s="114"/>
      <c r="LM667" s="114"/>
      <c r="LN667" s="114"/>
      <c r="LO667" s="114"/>
      <c r="LP667" s="114"/>
      <c r="LQ667" s="114"/>
      <c r="LR667" s="114"/>
      <c r="LS667" s="114"/>
      <c r="LT667" s="114"/>
      <c r="LU667" s="114"/>
      <c r="LV667" s="114"/>
      <c r="LW667" s="114"/>
      <c r="LX667" s="114"/>
      <c r="LY667" s="114"/>
      <c r="LZ667" s="114"/>
      <c r="MA667" s="114"/>
      <c r="MB667" s="114"/>
      <c r="MC667" s="114"/>
      <c r="MD667" s="114"/>
      <c r="ME667" s="114"/>
      <c r="MF667" s="114"/>
      <c r="MG667" s="114"/>
      <c r="MH667" s="114"/>
      <c r="MI667" s="114"/>
      <c r="MJ667" s="114"/>
      <c r="MK667" s="114"/>
      <c r="ML667" s="114"/>
      <c r="MM667" s="114"/>
      <c r="MN667" s="114"/>
      <c r="MO667" s="114"/>
      <c r="MP667" s="114"/>
      <c r="MQ667" s="114"/>
      <c r="MR667" s="114"/>
      <c r="MS667" s="114"/>
      <c r="MT667" s="114"/>
      <c r="MU667" s="114"/>
      <c r="MV667" s="114"/>
      <c r="MW667" s="114"/>
      <c r="MX667" s="114"/>
      <c r="MY667" s="114"/>
      <c r="MZ667" s="114"/>
      <c r="NA667" s="114"/>
      <c r="NB667" s="114"/>
      <c r="NC667" s="114"/>
      <c r="ND667" s="114"/>
      <c r="NE667" s="114"/>
      <c r="NF667" s="114"/>
      <c r="NG667" s="114"/>
      <c r="NH667" s="114"/>
      <c r="NI667" s="114"/>
      <c r="NJ667" s="114"/>
      <c r="NK667" s="114"/>
      <c r="NL667" s="114"/>
      <c r="NM667" s="114"/>
      <c r="NN667" s="114"/>
      <c r="NO667" s="114"/>
      <c r="NP667" s="114"/>
      <c r="NQ667" s="114"/>
      <c r="NR667" s="114"/>
      <c r="NS667" s="114"/>
      <c r="NT667" s="114"/>
      <c r="NU667" s="114"/>
      <c r="NV667" s="114"/>
      <c r="NW667" s="114"/>
      <c r="NX667" s="114"/>
      <c r="NY667" s="114"/>
      <c r="NZ667" s="114"/>
      <c r="OA667" s="114"/>
      <c r="OB667" s="114"/>
      <c r="OC667" s="114"/>
      <c r="OD667" s="114"/>
      <c r="OE667" s="114"/>
      <c r="OF667" s="114"/>
      <c r="OG667" s="114"/>
      <c r="OH667" s="114"/>
      <c r="OI667" s="114"/>
      <c r="OJ667" s="114"/>
      <c r="OK667" s="114"/>
      <c r="OL667" s="114"/>
      <c r="OM667" s="114"/>
      <c r="ON667" s="114"/>
      <c r="OO667" s="114"/>
      <c r="OP667" s="114"/>
      <c r="OQ667" s="114"/>
      <c r="OR667" s="114"/>
      <c r="OS667" s="114"/>
      <c r="OT667" s="114"/>
      <c r="OU667" s="114"/>
      <c r="OV667" s="114"/>
      <c r="OW667" s="114"/>
      <c r="OX667" s="114"/>
      <c r="OY667" s="114"/>
      <c r="OZ667" s="114"/>
      <c r="PA667" s="114"/>
      <c r="PB667" s="114"/>
      <c r="PC667" s="114"/>
      <c r="PD667" s="114"/>
      <c r="PE667" s="114"/>
      <c r="PF667" s="114"/>
      <c r="PG667" s="114"/>
      <c r="PH667" s="114"/>
      <c r="PI667" s="114"/>
      <c r="PJ667" s="114"/>
      <c r="PK667" s="114"/>
      <c r="PL667" s="114"/>
      <c r="PM667" s="114"/>
      <c r="PN667" s="114"/>
      <c r="PO667" s="114"/>
      <c r="PP667" s="114"/>
      <c r="PQ667" s="114"/>
      <c r="PR667" s="114"/>
      <c r="PS667" s="114"/>
      <c r="PT667" s="114"/>
      <c r="PU667" s="114"/>
      <c r="PV667" s="114"/>
      <c r="PW667" s="114"/>
      <c r="PX667" s="114"/>
      <c r="PY667" s="114"/>
      <c r="PZ667" s="114"/>
      <c r="QA667" s="114"/>
      <c r="QB667" s="114"/>
      <c r="QC667" s="114"/>
      <c r="QD667" s="114"/>
      <c r="QE667" s="114"/>
      <c r="QF667" s="114"/>
      <c r="QG667" s="114"/>
      <c r="QH667" s="114"/>
      <c r="QI667" s="114"/>
      <c r="QJ667" s="114"/>
      <c r="QK667" s="114"/>
      <c r="QL667" s="114"/>
      <c r="QM667" s="114"/>
      <c r="QN667" s="114"/>
      <c r="QO667" s="114"/>
      <c r="QP667" s="114"/>
      <c r="QQ667" s="114"/>
      <c r="QR667" s="114"/>
      <c r="QS667" s="114"/>
      <c r="QT667" s="114"/>
      <c r="QU667" s="114"/>
      <c r="QV667" s="114"/>
      <c r="QW667" s="114"/>
      <c r="QX667" s="114"/>
      <c r="QY667" s="114"/>
      <c r="QZ667" s="114"/>
      <c r="RA667" s="114"/>
      <c r="RB667" s="114"/>
      <c r="RC667" s="114"/>
      <c r="RD667" s="114"/>
      <c r="RE667" s="114"/>
      <c r="RF667" s="114"/>
      <c r="RG667" s="114"/>
      <c r="RH667" s="114"/>
      <c r="RI667" s="114"/>
      <c r="RJ667" s="114"/>
      <c r="RK667" s="114"/>
      <c r="RL667" s="114"/>
      <c r="RM667" s="114"/>
      <c r="RN667" s="114"/>
      <c r="RO667" s="114"/>
      <c r="RP667" s="114"/>
      <c r="RQ667" s="114"/>
      <c r="RR667" s="114"/>
      <c r="RS667" s="114"/>
      <c r="RT667" s="114"/>
      <c r="RU667" s="114"/>
      <c r="RV667" s="114"/>
      <c r="RW667" s="114"/>
      <c r="RX667" s="114"/>
      <c r="RY667" s="114"/>
      <c r="RZ667" s="114"/>
      <c r="SA667" s="114"/>
      <c r="SB667" s="114"/>
      <c r="SC667" s="114"/>
      <c r="SD667" s="114"/>
      <c r="SE667" s="114"/>
      <c r="SF667" s="114"/>
      <c r="SG667" s="114"/>
      <c r="SH667" s="114"/>
      <c r="SI667" s="114"/>
      <c r="SJ667" s="114"/>
      <c r="SK667" s="114"/>
      <c r="SL667" s="114"/>
      <c r="SM667" s="114"/>
      <c r="SN667" s="114"/>
      <c r="SO667" s="114"/>
      <c r="SP667" s="114"/>
      <c r="SQ667" s="114"/>
      <c r="SR667" s="114"/>
      <c r="SS667" s="114"/>
      <c r="ST667" s="114"/>
      <c r="SU667" s="114"/>
      <c r="SV667" s="114"/>
      <c r="SW667" s="114"/>
      <c r="SX667" s="114"/>
      <c r="SY667" s="114"/>
      <c r="SZ667" s="114"/>
      <c r="TA667" s="114"/>
      <c r="TB667" s="114"/>
      <c r="TC667" s="114"/>
      <c r="TD667" s="114"/>
      <c r="TE667" s="114"/>
      <c r="TF667" s="114"/>
      <c r="TG667" s="114"/>
      <c r="TH667" s="114"/>
      <c r="TI667" s="114"/>
      <c r="TJ667" s="114"/>
      <c r="TK667" s="114"/>
      <c r="TL667" s="114"/>
      <c r="TM667" s="114"/>
      <c r="TN667" s="114"/>
      <c r="TO667" s="114"/>
      <c r="TP667" s="114"/>
      <c r="TQ667" s="114"/>
      <c r="TR667" s="114"/>
      <c r="TS667" s="114"/>
      <c r="TT667" s="114"/>
      <c r="TU667" s="114"/>
      <c r="TV667" s="114"/>
      <c r="TW667" s="114"/>
      <c r="TX667" s="114"/>
      <c r="TY667" s="114"/>
      <c r="TZ667" s="114"/>
      <c r="UA667" s="114"/>
      <c r="UB667" s="114"/>
      <c r="UC667" s="114"/>
      <c r="UD667" s="114"/>
      <c r="UE667" s="114"/>
      <c r="UF667" s="114"/>
      <c r="UG667" s="115"/>
    </row>
    <row r="668" spans="1:553" s="109" customFormat="1" ht="76.5" customHeight="1">
      <c r="A668" s="356" t="s">
        <v>61</v>
      </c>
      <c r="B668" s="428"/>
      <c r="C668" s="1491" t="s">
        <v>62</v>
      </c>
      <c r="D668" s="1389"/>
      <c r="E668" s="1389"/>
      <c r="F668" s="1390"/>
      <c r="G668" s="429"/>
      <c r="H668" s="359"/>
      <c r="I668" s="359"/>
      <c r="J668" s="357"/>
      <c r="K668" s="364"/>
      <c r="L668" s="645"/>
      <c r="M668" s="356"/>
      <c r="N668" s="356"/>
      <c r="O668" s="356"/>
      <c r="P668" s="356">
        <f>L668</f>
        <v>0</v>
      </c>
      <c r="Q668" s="610"/>
      <c r="R668" s="1226" t="s">
        <v>63</v>
      </c>
      <c r="S668" s="308"/>
      <c r="T668" s="308"/>
      <c r="U668" s="308"/>
      <c r="V668" s="308"/>
      <c r="W668" s="308"/>
      <c r="X668" s="308"/>
      <c r="Y668" s="308"/>
      <c r="Z668" s="604"/>
      <c r="AA668" s="308"/>
      <c r="AB668" s="308"/>
      <c r="AC668" s="454"/>
      <c r="AD668" s="454"/>
      <c r="AE668" s="454"/>
      <c r="AF668" s="454"/>
      <c r="AG668" s="454"/>
      <c r="AH668" s="454"/>
      <c r="AI668" s="454"/>
      <c r="AJ668" s="454"/>
      <c r="AK668" s="455"/>
      <c r="AL668" s="194"/>
      <c r="AM668" s="188"/>
      <c r="AN668" s="188"/>
      <c r="AO668" s="188"/>
      <c r="AP668" s="188"/>
      <c r="AQ668" s="188"/>
      <c r="AR668" s="188"/>
      <c r="AS668" s="189"/>
      <c r="AT668" s="189"/>
      <c r="AU668" s="189"/>
      <c r="AV668" s="189"/>
      <c r="AW668" s="189"/>
      <c r="AX668" s="189"/>
      <c r="AY668" s="189"/>
      <c r="AZ668" s="189"/>
      <c r="BA668" s="189"/>
      <c r="BB668" s="189"/>
      <c r="BC668" s="189"/>
      <c r="BD668" s="189"/>
      <c r="BE668" s="189"/>
      <c r="BF668" s="189"/>
      <c r="BG668" s="189"/>
      <c r="BH668" s="189"/>
      <c r="BI668" s="189"/>
      <c r="BJ668" s="189"/>
      <c r="BK668" s="189"/>
      <c r="BL668" s="189"/>
      <c r="BM668" s="189"/>
      <c r="BN668" s="189"/>
      <c r="BO668" s="189"/>
      <c r="BP668" s="190"/>
      <c r="BQ668" s="190"/>
      <c r="BR668" s="190"/>
      <c r="BS668" s="190"/>
      <c r="BT668" s="190"/>
      <c r="BU668" s="190"/>
      <c r="BV668" s="190"/>
      <c r="BW668" s="190"/>
      <c r="BX668" s="190"/>
      <c r="BY668" s="190"/>
      <c r="BZ668" s="190"/>
      <c r="CA668" s="190"/>
      <c r="CB668" s="190"/>
      <c r="CC668" s="190"/>
      <c r="CD668" s="190"/>
      <c r="CE668" s="190"/>
      <c r="CF668" s="190"/>
      <c r="CG668" s="190"/>
      <c r="CH668" s="190"/>
      <c r="CI668" s="190"/>
      <c r="CJ668" s="190"/>
      <c r="CK668" s="190"/>
      <c r="CL668" s="190"/>
      <c r="CM668" s="190"/>
      <c r="CN668" s="190"/>
      <c r="CO668" s="190"/>
      <c r="CP668" s="190"/>
      <c r="CQ668" s="190"/>
      <c r="CR668" s="190"/>
      <c r="CS668" s="190"/>
      <c r="CT668" s="190"/>
      <c r="CU668" s="190"/>
      <c r="CV668" s="190"/>
      <c r="CW668" s="190"/>
      <c r="CX668" s="190"/>
      <c r="CY668" s="190"/>
      <c r="CZ668" s="190"/>
      <c r="DA668" s="190"/>
      <c r="DB668" s="190"/>
      <c r="DC668" s="190"/>
      <c r="DD668" s="190"/>
      <c r="DE668" s="190"/>
      <c r="DF668" s="190"/>
      <c r="DG668" s="190"/>
      <c r="DH668" s="190"/>
      <c r="DI668" s="190"/>
      <c r="DJ668" s="190"/>
      <c r="DK668" s="190"/>
      <c r="DL668" s="190"/>
      <c r="DM668" s="190"/>
      <c r="DN668" s="190"/>
      <c r="DO668" s="190"/>
      <c r="DP668" s="190"/>
      <c r="DQ668" s="190"/>
      <c r="DR668" s="190"/>
      <c r="DS668" s="190"/>
      <c r="DT668" s="190"/>
      <c r="DU668" s="190"/>
      <c r="DV668" s="190"/>
      <c r="DW668" s="190"/>
      <c r="DX668" s="190"/>
      <c r="DY668" s="190"/>
      <c r="DZ668" s="190"/>
      <c r="EA668" s="190"/>
      <c r="EB668" s="190"/>
      <c r="EC668" s="190"/>
      <c r="ED668" s="190"/>
      <c r="EE668" s="190"/>
      <c r="EF668" s="190"/>
      <c r="EG668" s="190"/>
      <c r="EH668" s="190"/>
      <c r="EI668" s="190"/>
      <c r="EJ668" s="190"/>
      <c r="EK668" s="190"/>
      <c r="EL668" s="190"/>
      <c r="EM668" s="190"/>
      <c r="EN668" s="190"/>
      <c r="EO668" s="190"/>
      <c r="EP668" s="190"/>
      <c r="EQ668" s="190"/>
      <c r="ER668" s="190"/>
      <c r="ES668" s="190"/>
      <c r="ET668" s="190"/>
      <c r="EU668" s="190"/>
      <c r="EV668" s="190"/>
      <c r="EW668" s="190"/>
      <c r="EX668" s="190"/>
      <c r="EY668" s="190"/>
      <c r="EZ668" s="190"/>
      <c r="FA668" s="190"/>
      <c r="FB668" s="190"/>
      <c r="FC668" s="190"/>
      <c r="FD668" s="190"/>
      <c r="FE668" s="190"/>
      <c r="FF668" s="190"/>
      <c r="FG668" s="190"/>
      <c r="FH668" s="190"/>
      <c r="FI668" s="190"/>
      <c r="FJ668" s="190"/>
      <c r="FK668" s="190"/>
      <c r="FL668" s="190"/>
      <c r="FM668" s="190"/>
      <c r="FN668" s="190"/>
      <c r="FO668" s="190"/>
      <c r="FP668" s="190"/>
      <c r="FQ668" s="190"/>
      <c r="FR668" s="190"/>
      <c r="FS668" s="190"/>
      <c r="FT668" s="190"/>
      <c r="FU668" s="190"/>
      <c r="FV668" s="190"/>
      <c r="FW668" s="190"/>
      <c r="FX668" s="190"/>
      <c r="FY668" s="190"/>
      <c r="FZ668" s="190"/>
      <c r="GA668" s="190"/>
      <c r="GB668" s="190"/>
      <c r="GC668" s="190"/>
      <c r="GD668" s="190"/>
      <c r="GE668" s="190"/>
      <c r="GF668" s="190"/>
      <c r="GG668" s="190"/>
      <c r="GH668" s="190"/>
      <c r="GI668" s="190"/>
      <c r="GJ668" s="190"/>
      <c r="GK668" s="190"/>
      <c r="GL668" s="190"/>
      <c r="GM668" s="190"/>
      <c r="GN668" s="190"/>
      <c r="GO668" s="190"/>
      <c r="GP668" s="190"/>
      <c r="GQ668" s="190"/>
      <c r="GR668" s="190"/>
      <c r="GS668" s="190"/>
      <c r="GT668" s="190"/>
      <c r="GU668" s="190"/>
      <c r="GV668" s="190"/>
      <c r="GW668" s="190"/>
      <c r="GX668" s="190"/>
      <c r="GY668" s="190"/>
      <c r="GZ668" s="190"/>
      <c r="HA668" s="190"/>
      <c r="HB668" s="190"/>
      <c r="HC668" s="190"/>
      <c r="HD668" s="190"/>
      <c r="HE668" s="190"/>
      <c r="HF668" s="190"/>
      <c r="HG668" s="190"/>
      <c r="HH668" s="190"/>
      <c r="HI668" s="190"/>
      <c r="HJ668" s="190"/>
      <c r="HK668" s="190"/>
      <c r="HL668" s="190"/>
      <c r="HM668" s="190"/>
      <c r="HN668" s="190"/>
      <c r="HO668" s="190"/>
      <c r="HP668" s="190"/>
      <c r="HQ668" s="190"/>
      <c r="HR668" s="190"/>
      <c r="HS668" s="190"/>
      <c r="HT668" s="190"/>
      <c r="HU668" s="190"/>
      <c r="HV668" s="190"/>
      <c r="HW668" s="190"/>
      <c r="HX668" s="190"/>
      <c r="HY668" s="190"/>
      <c r="HZ668" s="190"/>
      <c r="IA668" s="190"/>
      <c r="IB668" s="190"/>
      <c r="IC668" s="190"/>
      <c r="ID668" s="190"/>
      <c r="IE668" s="190"/>
      <c r="IF668" s="190"/>
      <c r="IG668" s="190"/>
      <c r="IH668" s="190"/>
      <c r="II668" s="190"/>
      <c r="IJ668" s="190"/>
      <c r="IK668" s="190"/>
      <c r="IL668" s="190"/>
      <c r="IM668" s="190"/>
      <c r="IN668" s="190"/>
      <c r="IO668" s="190"/>
      <c r="IP668" s="190"/>
      <c r="IQ668" s="190"/>
      <c r="IR668" s="190"/>
      <c r="IS668" s="190"/>
      <c r="IT668" s="190"/>
      <c r="IU668" s="190"/>
      <c r="IV668" s="190"/>
      <c r="IW668" s="190"/>
      <c r="IX668" s="190"/>
      <c r="IY668" s="190"/>
      <c r="IZ668" s="190"/>
      <c r="JA668" s="190"/>
      <c r="JB668" s="190"/>
      <c r="JC668" s="190"/>
      <c r="JD668" s="190"/>
      <c r="JE668" s="190"/>
      <c r="JF668" s="190"/>
      <c r="JG668" s="190"/>
      <c r="JH668" s="190"/>
      <c r="JI668" s="190"/>
      <c r="JJ668" s="190"/>
      <c r="JK668" s="190"/>
      <c r="JL668" s="190"/>
      <c r="JM668" s="190"/>
      <c r="JN668" s="190"/>
      <c r="JO668" s="190"/>
      <c r="JP668" s="190"/>
      <c r="JQ668" s="190"/>
      <c r="JR668" s="190"/>
      <c r="JS668" s="190"/>
      <c r="JT668" s="190"/>
      <c r="JU668" s="190"/>
      <c r="JV668" s="190"/>
      <c r="JW668" s="190"/>
      <c r="JX668" s="190"/>
      <c r="JY668" s="190"/>
      <c r="JZ668" s="190"/>
      <c r="KA668" s="190"/>
      <c r="KB668" s="190"/>
      <c r="KC668" s="190"/>
      <c r="KD668" s="190"/>
      <c r="KE668" s="190"/>
      <c r="KF668" s="190"/>
      <c r="KG668" s="190"/>
      <c r="KH668" s="190"/>
      <c r="KI668" s="190"/>
      <c r="KJ668" s="190"/>
      <c r="KK668" s="190"/>
      <c r="KL668" s="190"/>
      <c r="KM668" s="190"/>
      <c r="KN668" s="190"/>
      <c r="KO668" s="190"/>
      <c r="KP668" s="190"/>
      <c r="KQ668" s="190"/>
      <c r="KR668" s="190"/>
      <c r="KS668" s="190"/>
      <c r="KT668" s="190"/>
      <c r="KU668" s="190"/>
      <c r="KV668" s="190"/>
      <c r="KW668" s="190"/>
      <c r="KX668" s="190"/>
      <c r="KY668" s="190"/>
      <c r="KZ668" s="190"/>
      <c r="LA668" s="190"/>
      <c r="LB668" s="190"/>
      <c r="LC668" s="190"/>
      <c r="LD668" s="190"/>
      <c r="LE668" s="190"/>
      <c r="LF668" s="190"/>
      <c r="LG668" s="190"/>
      <c r="LH668" s="190"/>
      <c r="LI668" s="190"/>
      <c r="LJ668" s="190"/>
      <c r="LK668" s="190"/>
      <c r="LL668" s="190"/>
      <c r="LM668" s="190"/>
      <c r="LN668" s="190"/>
      <c r="LO668" s="190"/>
      <c r="LP668" s="190"/>
      <c r="LQ668" s="190"/>
      <c r="LR668" s="190"/>
      <c r="LS668" s="190"/>
      <c r="LT668" s="190"/>
      <c r="LU668" s="190"/>
      <c r="LV668" s="190"/>
      <c r="LW668" s="190"/>
      <c r="LX668" s="190"/>
      <c r="LY668" s="190"/>
      <c r="LZ668" s="190"/>
      <c r="MA668" s="190"/>
      <c r="MB668" s="190"/>
      <c r="MC668" s="190"/>
      <c r="MD668" s="190"/>
      <c r="ME668" s="190"/>
      <c r="MF668" s="190"/>
      <c r="MG668" s="190"/>
      <c r="MH668" s="190"/>
      <c r="MI668" s="190"/>
      <c r="MJ668" s="190"/>
      <c r="MK668" s="190"/>
      <c r="ML668" s="190"/>
      <c r="MM668" s="190"/>
      <c r="MN668" s="190"/>
      <c r="MO668" s="190"/>
      <c r="MP668" s="190"/>
      <c r="MQ668" s="190"/>
      <c r="MR668" s="190"/>
      <c r="MS668" s="190"/>
      <c r="MT668" s="190"/>
      <c r="MU668" s="190"/>
      <c r="MV668" s="190"/>
      <c r="MW668" s="190"/>
      <c r="MX668" s="190"/>
      <c r="MY668" s="190"/>
      <c r="MZ668" s="190"/>
      <c r="NA668" s="190"/>
      <c r="NB668" s="190"/>
      <c r="NC668" s="190"/>
      <c r="ND668" s="190"/>
      <c r="NE668" s="190"/>
      <c r="NF668" s="190"/>
      <c r="NG668" s="190"/>
      <c r="NH668" s="190"/>
      <c r="NI668" s="190"/>
      <c r="NJ668" s="190"/>
      <c r="NK668" s="190"/>
      <c r="NL668" s="190"/>
      <c r="NM668" s="190"/>
      <c r="NN668" s="190"/>
      <c r="NO668" s="190"/>
      <c r="NP668" s="190"/>
      <c r="NQ668" s="190"/>
      <c r="NR668" s="190"/>
      <c r="NS668" s="190"/>
      <c r="NT668" s="190"/>
      <c r="NU668" s="190"/>
      <c r="NV668" s="190"/>
      <c r="NW668" s="190"/>
      <c r="NX668" s="190"/>
      <c r="NY668" s="190"/>
      <c r="NZ668" s="190"/>
      <c r="OA668" s="190"/>
      <c r="OB668" s="190"/>
      <c r="OC668" s="190"/>
      <c r="OD668" s="190"/>
      <c r="OE668" s="190"/>
      <c r="OF668" s="190"/>
      <c r="OG668" s="190"/>
      <c r="OH668" s="190"/>
      <c r="OI668" s="190"/>
      <c r="OJ668" s="190"/>
      <c r="OK668" s="190"/>
      <c r="OL668" s="190"/>
      <c r="OM668" s="190"/>
      <c r="ON668" s="190"/>
      <c r="OO668" s="190"/>
      <c r="OP668" s="190"/>
      <c r="OQ668" s="190"/>
      <c r="OR668" s="190"/>
      <c r="OS668" s="190"/>
      <c r="OT668" s="190"/>
      <c r="OU668" s="190"/>
      <c r="OV668" s="190"/>
      <c r="OW668" s="190"/>
      <c r="OX668" s="190"/>
      <c r="OY668" s="190"/>
      <c r="OZ668" s="190"/>
      <c r="PA668" s="190"/>
      <c r="PB668" s="190"/>
      <c r="PC668" s="190"/>
      <c r="PD668" s="190"/>
      <c r="PE668" s="190"/>
      <c r="PF668" s="190"/>
      <c r="PG668" s="190"/>
      <c r="PH668" s="190"/>
      <c r="PI668" s="190"/>
      <c r="PJ668" s="190"/>
      <c r="PK668" s="190"/>
      <c r="PL668" s="190"/>
      <c r="PM668" s="190"/>
      <c r="PN668" s="190"/>
      <c r="PO668" s="190"/>
      <c r="PP668" s="190"/>
      <c r="PQ668" s="190"/>
      <c r="PR668" s="190"/>
      <c r="PS668" s="190"/>
      <c r="PT668" s="190"/>
      <c r="PU668" s="190"/>
      <c r="PV668" s="190"/>
      <c r="PW668" s="190"/>
      <c r="PX668" s="190"/>
      <c r="PY668" s="190"/>
      <c r="PZ668" s="190"/>
      <c r="QA668" s="190"/>
      <c r="QB668" s="190"/>
      <c r="QC668" s="190"/>
      <c r="QD668" s="190"/>
      <c r="QE668" s="190"/>
      <c r="QF668" s="190"/>
      <c r="QG668" s="190"/>
      <c r="QH668" s="190"/>
      <c r="QI668" s="190"/>
      <c r="QJ668" s="190"/>
      <c r="QK668" s="190"/>
      <c r="QL668" s="190"/>
      <c r="QM668" s="190"/>
      <c r="QN668" s="190"/>
      <c r="QO668" s="190"/>
      <c r="QP668" s="190"/>
      <c r="QQ668" s="190"/>
      <c r="QR668" s="190"/>
      <c r="QS668" s="190"/>
      <c r="QT668" s="190"/>
      <c r="QU668" s="190"/>
      <c r="QV668" s="190"/>
      <c r="QW668" s="190"/>
      <c r="QX668" s="190"/>
      <c r="QY668" s="190"/>
      <c r="QZ668" s="190"/>
      <c r="RA668" s="190"/>
      <c r="RB668" s="190"/>
      <c r="RC668" s="190"/>
      <c r="RD668" s="190"/>
      <c r="RE668" s="190"/>
      <c r="RF668" s="190"/>
      <c r="RG668" s="190"/>
      <c r="RH668" s="190"/>
      <c r="RI668" s="190"/>
      <c r="RJ668" s="190"/>
      <c r="RK668" s="190"/>
      <c r="RL668" s="190"/>
      <c r="RM668" s="190"/>
      <c r="RN668" s="190"/>
      <c r="RO668" s="190"/>
      <c r="RP668" s="190"/>
      <c r="RQ668" s="190"/>
      <c r="RR668" s="190"/>
      <c r="RS668" s="190"/>
      <c r="RT668" s="190"/>
      <c r="RU668" s="190"/>
      <c r="RV668" s="190"/>
      <c r="RW668" s="190"/>
      <c r="RX668" s="190"/>
      <c r="RY668" s="190"/>
      <c r="RZ668" s="190"/>
      <c r="SA668" s="190"/>
      <c r="SB668" s="190"/>
      <c r="SC668" s="190"/>
      <c r="SD668" s="190"/>
      <c r="SE668" s="190"/>
      <c r="SF668" s="190"/>
      <c r="SG668" s="190"/>
      <c r="SH668" s="190"/>
      <c r="SI668" s="190"/>
      <c r="SJ668" s="190"/>
      <c r="SK668" s="190"/>
      <c r="SL668" s="190"/>
      <c r="SM668" s="190"/>
      <c r="SN668" s="190"/>
      <c r="SO668" s="190"/>
      <c r="SP668" s="190"/>
      <c r="SQ668" s="190"/>
      <c r="SR668" s="190"/>
      <c r="SS668" s="190"/>
      <c r="ST668" s="190"/>
      <c r="SU668" s="190"/>
      <c r="SV668" s="190"/>
      <c r="SW668" s="190"/>
      <c r="SX668" s="190"/>
      <c r="SY668" s="190"/>
      <c r="SZ668" s="190"/>
      <c r="TA668" s="190"/>
      <c r="TB668" s="190"/>
      <c r="TC668" s="190"/>
      <c r="TD668" s="190"/>
      <c r="TE668" s="190"/>
      <c r="TF668" s="190"/>
      <c r="TG668" s="190"/>
      <c r="TH668" s="190"/>
      <c r="TI668" s="190"/>
      <c r="TJ668" s="190"/>
      <c r="TK668" s="190"/>
      <c r="TL668" s="190"/>
      <c r="TM668" s="190"/>
      <c r="TN668" s="190"/>
      <c r="TO668" s="190"/>
      <c r="TP668" s="190"/>
      <c r="TQ668" s="190"/>
      <c r="TR668" s="190"/>
      <c r="TS668" s="190"/>
      <c r="TT668" s="190"/>
      <c r="TU668" s="190"/>
      <c r="TV668" s="190"/>
      <c r="TW668" s="190"/>
      <c r="TX668" s="190"/>
      <c r="TY668" s="190"/>
      <c r="TZ668" s="190"/>
      <c r="UA668" s="190"/>
      <c r="UB668" s="190"/>
      <c r="UC668" s="190"/>
      <c r="UD668" s="190"/>
      <c r="UE668" s="190"/>
      <c r="UF668" s="190"/>
      <c r="UG668" s="191"/>
    </row>
    <row r="669" spans="1:553" s="109" customFormat="1" ht="30.75" customHeight="1">
      <c r="A669" s="356"/>
      <c r="B669" s="428"/>
      <c r="C669" s="1451" t="s">
        <v>64</v>
      </c>
      <c r="D669" s="1389"/>
      <c r="E669" s="1389"/>
      <c r="F669" s="1390"/>
      <c r="G669" s="386"/>
      <c r="H669" s="370"/>
      <c r="I669" s="1056"/>
      <c r="J669" s="368"/>
      <c r="K669" s="371"/>
      <c r="L669" s="366"/>
      <c r="M669" s="356"/>
      <c r="N669" s="356"/>
      <c r="O669" s="356"/>
      <c r="P669" s="356"/>
      <c r="Q669" s="610"/>
      <c r="R669" s="1226"/>
      <c r="S669" s="308"/>
      <c r="T669" s="308"/>
      <c r="U669" s="308"/>
      <c r="V669" s="308"/>
      <c r="W669" s="308"/>
      <c r="X669" s="308"/>
      <c r="Y669" s="308"/>
      <c r="Z669" s="604"/>
      <c r="AA669" s="308"/>
      <c r="AB669" s="308"/>
      <c r="AC669" s="454"/>
      <c r="AD669" s="454"/>
      <c r="AE669" s="454"/>
      <c r="AF669" s="454"/>
      <c r="AG669" s="454"/>
      <c r="AH669" s="454"/>
      <c r="AI669" s="454"/>
      <c r="AJ669" s="454"/>
      <c r="AK669" s="455"/>
      <c r="AL669" s="194"/>
      <c r="AM669" s="188"/>
      <c r="AN669" s="188"/>
      <c r="AO669" s="188"/>
      <c r="AP669" s="188"/>
      <c r="AQ669" s="188"/>
      <c r="AR669" s="188"/>
      <c r="AS669" s="189"/>
      <c r="AT669" s="189"/>
      <c r="AU669" s="189"/>
      <c r="AV669" s="189"/>
      <c r="AW669" s="189"/>
      <c r="AX669" s="189"/>
      <c r="AY669" s="189"/>
      <c r="AZ669" s="189"/>
      <c r="BA669" s="189"/>
      <c r="BB669" s="189"/>
      <c r="BC669" s="189"/>
      <c r="BD669" s="189"/>
      <c r="BE669" s="189"/>
      <c r="BF669" s="189"/>
      <c r="BG669" s="189"/>
      <c r="BH669" s="189"/>
      <c r="BI669" s="189"/>
      <c r="BJ669" s="189"/>
      <c r="BK669" s="189"/>
      <c r="BL669" s="189"/>
      <c r="BM669" s="189"/>
      <c r="BN669" s="189"/>
      <c r="BO669" s="189"/>
      <c r="BP669" s="190"/>
      <c r="BQ669" s="190"/>
      <c r="BR669" s="190"/>
      <c r="BS669" s="190"/>
      <c r="BT669" s="190"/>
      <c r="BU669" s="190"/>
      <c r="BV669" s="190"/>
      <c r="BW669" s="190"/>
      <c r="BX669" s="190"/>
      <c r="BY669" s="190"/>
      <c r="BZ669" s="190"/>
      <c r="CA669" s="190"/>
      <c r="CB669" s="190"/>
      <c r="CC669" s="190"/>
      <c r="CD669" s="190"/>
      <c r="CE669" s="190"/>
      <c r="CF669" s="190"/>
      <c r="CG669" s="190"/>
      <c r="CH669" s="190"/>
      <c r="CI669" s="190"/>
      <c r="CJ669" s="190"/>
      <c r="CK669" s="190"/>
      <c r="CL669" s="190"/>
      <c r="CM669" s="190"/>
      <c r="CN669" s="190"/>
      <c r="CO669" s="190"/>
      <c r="CP669" s="190"/>
      <c r="CQ669" s="190"/>
      <c r="CR669" s="190"/>
      <c r="CS669" s="190"/>
      <c r="CT669" s="190"/>
      <c r="CU669" s="190"/>
      <c r="CV669" s="190"/>
      <c r="CW669" s="190"/>
      <c r="CX669" s="190"/>
      <c r="CY669" s="190"/>
      <c r="CZ669" s="190"/>
      <c r="DA669" s="190"/>
      <c r="DB669" s="190"/>
      <c r="DC669" s="190"/>
      <c r="DD669" s="190"/>
      <c r="DE669" s="190"/>
      <c r="DF669" s="190"/>
      <c r="DG669" s="190"/>
      <c r="DH669" s="190"/>
      <c r="DI669" s="190"/>
      <c r="DJ669" s="190"/>
      <c r="DK669" s="190"/>
      <c r="DL669" s="190"/>
      <c r="DM669" s="190"/>
      <c r="DN669" s="190"/>
      <c r="DO669" s="190"/>
      <c r="DP669" s="190"/>
      <c r="DQ669" s="190"/>
      <c r="DR669" s="190"/>
      <c r="DS669" s="190"/>
      <c r="DT669" s="190"/>
      <c r="DU669" s="190"/>
      <c r="DV669" s="190"/>
      <c r="DW669" s="190"/>
      <c r="DX669" s="190"/>
      <c r="DY669" s="190"/>
      <c r="DZ669" s="190"/>
      <c r="EA669" s="190"/>
      <c r="EB669" s="190"/>
      <c r="EC669" s="190"/>
      <c r="ED669" s="190"/>
      <c r="EE669" s="190"/>
      <c r="EF669" s="190"/>
      <c r="EG669" s="190"/>
      <c r="EH669" s="190"/>
      <c r="EI669" s="190"/>
      <c r="EJ669" s="190"/>
      <c r="EK669" s="190"/>
      <c r="EL669" s="190"/>
      <c r="EM669" s="190"/>
      <c r="EN669" s="190"/>
      <c r="EO669" s="190"/>
      <c r="EP669" s="190"/>
      <c r="EQ669" s="190"/>
      <c r="ER669" s="190"/>
      <c r="ES669" s="190"/>
      <c r="ET669" s="190"/>
      <c r="EU669" s="190"/>
      <c r="EV669" s="190"/>
      <c r="EW669" s="190"/>
      <c r="EX669" s="190"/>
      <c r="EY669" s="190"/>
      <c r="EZ669" s="190"/>
      <c r="FA669" s="190"/>
      <c r="FB669" s="190"/>
      <c r="FC669" s="190"/>
      <c r="FD669" s="190"/>
      <c r="FE669" s="190"/>
      <c r="FF669" s="190"/>
      <c r="FG669" s="190"/>
      <c r="FH669" s="190"/>
      <c r="FI669" s="190"/>
      <c r="FJ669" s="190"/>
      <c r="FK669" s="190"/>
      <c r="FL669" s="190"/>
      <c r="FM669" s="190"/>
      <c r="FN669" s="190"/>
      <c r="FO669" s="190"/>
      <c r="FP669" s="190"/>
      <c r="FQ669" s="190"/>
      <c r="FR669" s="190"/>
      <c r="FS669" s="190"/>
      <c r="FT669" s="190"/>
      <c r="FU669" s="190"/>
      <c r="FV669" s="190"/>
      <c r="FW669" s="190"/>
      <c r="FX669" s="190"/>
      <c r="FY669" s="190"/>
      <c r="FZ669" s="190"/>
      <c r="GA669" s="190"/>
      <c r="GB669" s="190"/>
      <c r="GC669" s="190"/>
      <c r="GD669" s="190"/>
      <c r="GE669" s="190"/>
      <c r="GF669" s="190"/>
      <c r="GG669" s="190"/>
      <c r="GH669" s="190"/>
      <c r="GI669" s="190"/>
      <c r="GJ669" s="190"/>
      <c r="GK669" s="190"/>
      <c r="GL669" s="190"/>
      <c r="GM669" s="190"/>
      <c r="GN669" s="190"/>
      <c r="GO669" s="190"/>
      <c r="GP669" s="190"/>
      <c r="GQ669" s="190"/>
      <c r="GR669" s="190"/>
      <c r="GS669" s="190"/>
      <c r="GT669" s="190"/>
      <c r="GU669" s="190"/>
      <c r="GV669" s="190"/>
      <c r="GW669" s="190"/>
      <c r="GX669" s="190"/>
      <c r="GY669" s="190"/>
      <c r="GZ669" s="190"/>
      <c r="HA669" s="190"/>
      <c r="HB669" s="190"/>
      <c r="HC669" s="190"/>
      <c r="HD669" s="190"/>
      <c r="HE669" s="190"/>
      <c r="HF669" s="190"/>
      <c r="HG669" s="190"/>
      <c r="HH669" s="190"/>
      <c r="HI669" s="190"/>
      <c r="HJ669" s="190"/>
      <c r="HK669" s="190"/>
      <c r="HL669" s="190"/>
      <c r="HM669" s="190"/>
      <c r="HN669" s="190"/>
      <c r="HO669" s="190"/>
      <c r="HP669" s="190"/>
      <c r="HQ669" s="190"/>
      <c r="HR669" s="190"/>
      <c r="HS669" s="190"/>
      <c r="HT669" s="190"/>
      <c r="HU669" s="190"/>
      <c r="HV669" s="190"/>
      <c r="HW669" s="190"/>
      <c r="HX669" s="190"/>
      <c r="HY669" s="190"/>
      <c r="HZ669" s="190"/>
      <c r="IA669" s="190"/>
      <c r="IB669" s="190"/>
      <c r="IC669" s="190"/>
      <c r="ID669" s="190"/>
      <c r="IE669" s="190"/>
      <c r="IF669" s="190"/>
      <c r="IG669" s="190"/>
      <c r="IH669" s="190"/>
      <c r="II669" s="190"/>
      <c r="IJ669" s="190"/>
      <c r="IK669" s="190"/>
      <c r="IL669" s="190"/>
      <c r="IM669" s="190"/>
      <c r="IN669" s="190"/>
      <c r="IO669" s="190"/>
      <c r="IP669" s="190"/>
      <c r="IQ669" s="190"/>
      <c r="IR669" s="190"/>
      <c r="IS669" s="190"/>
      <c r="IT669" s="190"/>
      <c r="IU669" s="190"/>
      <c r="IV669" s="190"/>
      <c r="IW669" s="190"/>
      <c r="IX669" s="190"/>
      <c r="IY669" s="190"/>
      <c r="IZ669" s="190"/>
      <c r="JA669" s="190"/>
      <c r="JB669" s="190"/>
      <c r="JC669" s="190"/>
      <c r="JD669" s="190"/>
      <c r="JE669" s="190"/>
      <c r="JF669" s="190"/>
      <c r="JG669" s="190"/>
      <c r="JH669" s="190"/>
      <c r="JI669" s="190"/>
      <c r="JJ669" s="190"/>
      <c r="JK669" s="190"/>
      <c r="JL669" s="190"/>
      <c r="JM669" s="190"/>
      <c r="JN669" s="190"/>
      <c r="JO669" s="190"/>
      <c r="JP669" s="190"/>
      <c r="JQ669" s="190"/>
      <c r="JR669" s="190"/>
      <c r="JS669" s="190"/>
      <c r="JT669" s="190"/>
      <c r="JU669" s="190"/>
      <c r="JV669" s="190"/>
      <c r="JW669" s="190"/>
      <c r="JX669" s="190"/>
      <c r="JY669" s="190"/>
      <c r="JZ669" s="190"/>
      <c r="KA669" s="190"/>
      <c r="KB669" s="190"/>
      <c r="KC669" s="190"/>
      <c r="KD669" s="190"/>
      <c r="KE669" s="190"/>
      <c r="KF669" s="190"/>
      <c r="KG669" s="190"/>
      <c r="KH669" s="190"/>
      <c r="KI669" s="190"/>
      <c r="KJ669" s="190"/>
      <c r="KK669" s="190"/>
      <c r="KL669" s="190"/>
      <c r="KM669" s="190"/>
      <c r="KN669" s="190"/>
      <c r="KO669" s="190"/>
      <c r="KP669" s="190"/>
      <c r="KQ669" s="190"/>
      <c r="KR669" s="190"/>
      <c r="KS669" s="190"/>
      <c r="KT669" s="190"/>
      <c r="KU669" s="190"/>
      <c r="KV669" s="190"/>
      <c r="KW669" s="190"/>
      <c r="KX669" s="190"/>
      <c r="KY669" s="190"/>
      <c r="KZ669" s="190"/>
      <c r="LA669" s="190"/>
      <c r="LB669" s="190"/>
      <c r="LC669" s="190"/>
      <c r="LD669" s="190"/>
      <c r="LE669" s="190"/>
      <c r="LF669" s="190"/>
      <c r="LG669" s="190"/>
      <c r="LH669" s="190"/>
      <c r="LI669" s="190"/>
      <c r="LJ669" s="190"/>
      <c r="LK669" s="190"/>
      <c r="LL669" s="190"/>
      <c r="LM669" s="190"/>
      <c r="LN669" s="190"/>
      <c r="LO669" s="190"/>
      <c r="LP669" s="190"/>
      <c r="LQ669" s="190"/>
      <c r="LR669" s="190"/>
      <c r="LS669" s="190"/>
      <c r="LT669" s="190"/>
      <c r="LU669" s="190"/>
      <c r="LV669" s="190"/>
      <c r="LW669" s="190"/>
      <c r="LX669" s="190"/>
      <c r="LY669" s="190"/>
      <c r="LZ669" s="190"/>
      <c r="MA669" s="190"/>
      <c r="MB669" s="190"/>
      <c r="MC669" s="190"/>
      <c r="MD669" s="190"/>
      <c r="ME669" s="190"/>
      <c r="MF669" s="190"/>
      <c r="MG669" s="190"/>
      <c r="MH669" s="190"/>
      <c r="MI669" s="190"/>
      <c r="MJ669" s="190"/>
      <c r="MK669" s="190"/>
      <c r="ML669" s="190"/>
      <c r="MM669" s="190"/>
      <c r="MN669" s="190"/>
      <c r="MO669" s="190"/>
      <c r="MP669" s="190"/>
      <c r="MQ669" s="190"/>
      <c r="MR669" s="190"/>
      <c r="MS669" s="190"/>
      <c r="MT669" s="190"/>
      <c r="MU669" s="190"/>
      <c r="MV669" s="190"/>
      <c r="MW669" s="190"/>
      <c r="MX669" s="190"/>
      <c r="MY669" s="190"/>
      <c r="MZ669" s="190"/>
      <c r="NA669" s="190"/>
      <c r="NB669" s="190"/>
      <c r="NC669" s="190"/>
      <c r="ND669" s="190"/>
      <c r="NE669" s="190"/>
      <c r="NF669" s="190"/>
      <c r="NG669" s="190"/>
      <c r="NH669" s="190"/>
      <c r="NI669" s="190"/>
      <c r="NJ669" s="190"/>
      <c r="NK669" s="190"/>
      <c r="NL669" s="190"/>
      <c r="NM669" s="190"/>
      <c r="NN669" s="190"/>
      <c r="NO669" s="190"/>
      <c r="NP669" s="190"/>
      <c r="NQ669" s="190"/>
      <c r="NR669" s="190"/>
      <c r="NS669" s="190"/>
      <c r="NT669" s="190"/>
      <c r="NU669" s="190"/>
      <c r="NV669" s="190"/>
      <c r="NW669" s="190"/>
      <c r="NX669" s="190"/>
      <c r="NY669" s="190"/>
      <c r="NZ669" s="190"/>
      <c r="OA669" s="190"/>
      <c r="OB669" s="190"/>
      <c r="OC669" s="190"/>
      <c r="OD669" s="190"/>
      <c r="OE669" s="190"/>
      <c r="OF669" s="190"/>
      <c r="OG669" s="190"/>
      <c r="OH669" s="190"/>
      <c r="OI669" s="190"/>
      <c r="OJ669" s="190"/>
      <c r="OK669" s="190"/>
      <c r="OL669" s="190"/>
      <c r="OM669" s="190"/>
      <c r="ON669" s="190"/>
      <c r="OO669" s="190"/>
      <c r="OP669" s="190"/>
      <c r="OQ669" s="190"/>
      <c r="OR669" s="190"/>
      <c r="OS669" s="190"/>
      <c r="OT669" s="190"/>
      <c r="OU669" s="190"/>
      <c r="OV669" s="190"/>
      <c r="OW669" s="190"/>
      <c r="OX669" s="190"/>
      <c r="OY669" s="190"/>
      <c r="OZ669" s="190"/>
      <c r="PA669" s="190"/>
      <c r="PB669" s="190"/>
      <c r="PC669" s="190"/>
      <c r="PD669" s="190"/>
      <c r="PE669" s="190"/>
      <c r="PF669" s="190"/>
      <c r="PG669" s="190"/>
      <c r="PH669" s="190"/>
      <c r="PI669" s="190"/>
      <c r="PJ669" s="190"/>
      <c r="PK669" s="190"/>
      <c r="PL669" s="190"/>
      <c r="PM669" s="190"/>
      <c r="PN669" s="190"/>
      <c r="PO669" s="190"/>
      <c r="PP669" s="190"/>
      <c r="PQ669" s="190"/>
      <c r="PR669" s="190"/>
      <c r="PS669" s="190"/>
      <c r="PT669" s="190"/>
      <c r="PU669" s="190"/>
      <c r="PV669" s="190"/>
      <c r="PW669" s="190"/>
      <c r="PX669" s="190"/>
      <c r="PY669" s="190"/>
      <c r="PZ669" s="190"/>
      <c r="QA669" s="190"/>
      <c r="QB669" s="190"/>
      <c r="QC669" s="190"/>
      <c r="QD669" s="190"/>
      <c r="QE669" s="190"/>
      <c r="QF669" s="190"/>
      <c r="QG669" s="190"/>
      <c r="QH669" s="190"/>
      <c r="QI669" s="190"/>
      <c r="QJ669" s="190"/>
      <c r="QK669" s="190"/>
      <c r="QL669" s="190"/>
      <c r="QM669" s="190"/>
      <c r="QN669" s="190"/>
      <c r="QO669" s="190"/>
      <c r="QP669" s="190"/>
      <c r="QQ669" s="190"/>
      <c r="QR669" s="190"/>
      <c r="QS669" s="190"/>
      <c r="QT669" s="190"/>
      <c r="QU669" s="190"/>
      <c r="QV669" s="190"/>
      <c r="QW669" s="190"/>
      <c r="QX669" s="190"/>
      <c r="QY669" s="190"/>
      <c r="QZ669" s="190"/>
      <c r="RA669" s="190"/>
      <c r="RB669" s="190"/>
      <c r="RC669" s="190"/>
      <c r="RD669" s="190"/>
      <c r="RE669" s="190"/>
      <c r="RF669" s="190"/>
      <c r="RG669" s="190"/>
      <c r="RH669" s="190"/>
      <c r="RI669" s="190"/>
      <c r="RJ669" s="190"/>
      <c r="RK669" s="190"/>
      <c r="RL669" s="190"/>
      <c r="RM669" s="190"/>
      <c r="RN669" s="190"/>
      <c r="RO669" s="190"/>
      <c r="RP669" s="190"/>
      <c r="RQ669" s="190"/>
      <c r="RR669" s="190"/>
      <c r="RS669" s="190"/>
      <c r="RT669" s="190"/>
      <c r="RU669" s="190"/>
      <c r="RV669" s="190"/>
      <c r="RW669" s="190"/>
      <c r="RX669" s="190"/>
      <c r="RY669" s="190"/>
      <c r="RZ669" s="190"/>
      <c r="SA669" s="190"/>
      <c r="SB669" s="190"/>
      <c r="SC669" s="190"/>
      <c r="SD669" s="190"/>
      <c r="SE669" s="190"/>
      <c r="SF669" s="190"/>
      <c r="SG669" s="190"/>
      <c r="SH669" s="190"/>
      <c r="SI669" s="190"/>
      <c r="SJ669" s="190"/>
      <c r="SK669" s="190"/>
      <c r="SL669" s="190"/>
      <c r="SM669" s="190"/>
      <c r="SN669" s="190"/>
      <c r="SO669" s="190"/>
      <c r="SP669" s="190"/>
      <c r="SQ669" s="190"/>
      <c r="SR669" s="190"/>
      <c r="SS669" s="190"/>
      <c r="ST669" s="190"/>
      <c r="SU669" s="190"/>
      <c r="SV669" s="190"/>
      <c r="SW669" s="190"/>
      <c r="SX669" s="190"/>
      <c r="SY669" s="190"/>
      <c r="SZ669" s="190"/>
      <c r="TA669" s="190"/>
      <c r="TB669" s="190"/>
      <c r="TC669" s="190"/>
      <c r="TD669" s="190"/>
      <c r="TE669" s="190"/>
      <c r="TF669" s="190"/>
      <c r="TG669" s="190"/>
      <c r="TH669" s="190"/>
      <c r="TI669" s="190"/>
      <c r="TJ669" s="190"/>
      <c r="TK669" s="190"/>
      <c r="TL669" s="190"/>
      <c r="TM669" s="190"/>
      <c r="TN669" s="190"/>
      <c r="TO669" s="190"/>
      <c r="TP669" s="190"/>
      <c r="TQ669" s="190"/>
      <c r="TR669" s="190"/>
      <c r="TS669" s="190"/>
      <c r="TT669" s="190"/>
      <c r="TU669" s="190"/>
      <c r="TV669" s="190"/>
      <c r="TW669" s="190"/>
      <c r="TX669" s="190"/>
      <c r="TY669" s="190"/>
      <c r="TZ669" s="190"/>
      <c r="UA669" s="190"/>
      <c r="UB669" s="190"/>
      <c r="UC669" s="190"/>
      <c r="UD669" s="190"/>
      <c r="UE669" s="190"/>
      <c r="UF669" s="190"/>
      <c r="UG669" s="191"/>
    </row>
    <row r="670" spans="1:553" ht="30.75" customHeight="1">
      <c r="A670" s="356" t="s">
        <v>66</v>
      </c>
      <c r="B670" s="356"/>
      <c r="C670" s="1413" t="s">
        <v>67</v>
      </c>
      <c r="D670" s="1389"/>
      <c r="E670" s="1389"/>
      <c r="F670" s="1390"/>
      <c r="G670" s="356"/>
      <c r="H670" s="359"/>
      <c r="I670" s="359"/>
      <c r="J670" s="357"/>
      <c r="K670" s="364"/>
      <c r="L670" s="356"/>
      <c r="M670" s="356"/>
      <c r="N670" s="356"/>
      <c r="O670" s="356"/>
      <c r="P670" s="356"/>
      <c r="Q670" s="610"/>
      <c r="R670" s="421"/>
      <c r="S670" s="308"/>
      <c r="T670" s="308"/>
      <c r="U670" s="308"/>
      <c r="V670" s="308"/>
      <c r="W670" s="308"/>
      <c r="X670" s="308"/>
      <c r="Y670" s="308"/>
      <c r="Z670" s="604"/>
      <c r="AA670" s="308"/>
      <c r="AB670" s="308"/>
      <c r="AC670" s="454"/>
      <c r="AD670" s="454"/>
      <c r="AE670" s="454"/>
      <c r="AF670" s="454"/>
      <c r="AG670" s="454"/>
      <c r="AH670" s="454"/>
      <c r="AI670" s="454"/>
      <c r="AJ670" s="454"/>
      <c r="AK670" s="455"/>
      <c r="AL670" s="110"/>
      <c r="AM670" s="34"/>
      <c r="AN670" s="34"/>
      <c r="AO670" s="34"/>
      <c r="AP670" s="34"/>
      <c r="AQ670" s="34"/>
      <c r="AR670" s="34"/>
      <c r="AS670" s="35"/>
      <c r="AT670" s="35"/>
      <c r="AU670" s="35"/>
      <c r="AV670" s="35"/>
      <c r="AW670" s="35"/>
      <c r="AX670" s="35"/>
      <c r="AY670" s="35"/>
      <c r="AZ670" s="35"/>
      <c r="BA670" s="35"/>
      <c r="BB670" s="35"/>
      <c r="BC670" s="35"/>
      <c r="BD670" s="35"/>
      <c r="BE670" s="35"/>
      <c r="BF670" s="35"/>
      <c r="BG670" s="35"/>
      <c r="BH670" s="35"/>
      <c r="BI670" s="35"/>
      <c r="BJ670" s="35"/>
      <c r="BK670" s="35"/>
      <c r="BL670" s="35"/>
      <c r="BM670" s="35"/>
      <c r="BN670" s="35"/>
      <c r="BO670" s="35"/>
      <c r="BP670" s="36"/>
      <c r="BQ670" s="36"/>
      <c r="BR670" s="36"/>
      <c r="BS670" s="36"/>
      <c r="BT670" s="36"/>
      <c r="BU670" s="36"/>
      <c r="BV670" s="36"/>
      <c r="BW670" s="36"/>
      <c r="BX670" s="36"/>
      <c r="BY670" s="36"/>
      <c r="BZ670" s="36"/>
      <c r="CA670" s="36"/>
      <c r="CB670" s="36"/>
      <c r="CC670" s="36"/>
      <c r="CD670" s="36"/>
      <c r="CE670" s="36"/>
      <c r="CF670" s="36"/>
      <c r="CG670" s="36"/>
      <c r="CH670" s="36"/>
      <c r="CI670" s="36"/>
      <c r="CJ670" s="36"/>
      <c r="CK670" s="36"/>
      <c r="CL670" s="36"/>
      <c r="CM670" s="36"/>
      <c r="CN670" s="36"/>
      <c r="CO670" s="36"/>
      <c r="CP670" s="36"/>
      <c r="CQ670" s="36"/>
      <c r="CR670" s="36"/>
      <c r="CS670" s="36"/>
      <c r="CT670" s="36"/>
      <c r="CU670" s="36"/>
      <c r="CV670" s="36"/>
      <c r="CW670" s="36"/>
      <c r="CX670" s="36"/>
      <c r="CY670" s="36"/>
      <c r="CZ670" s="36"/>
      <c r="DA670" s="36"/>
      <c r="DB670" s="36"/>
      <c r="DC670" s="36"/>
      <c r="DD670" s="36"/>
      <c r="DE670" s="36"/>
      <c r="DF670" s="36"/>
      <c r="DG670" s="36"/>
      <c r="DH670" s="36"/>
      <c r="DI670" s="36"/>
      <c r="DJ670" s="36"/>
      <c r="DK670" s="36"/>
      <c r="DL670" s="36"/>
      <c r="DM670" s="36"/>
      <c r="DN670" s="36"/>
      <c r="DO670" s="36"/>
      <c r="DP670" s="36"/>
      <c r="DQ670" s="36"/>
      <c r="DR670" s="36"/>
      <c r="DS670" s="36"/>
      <c r="DT670" s="36"/>
      <c r="DU670" s="36"/>
      <c r="DV670" s="36"/>
      <c r="DW670" s="36"/>
      <c r="DX670" s="36"/>
      <c r="DY670" s="36"/>
      <c r="DZ670" s="36"/>
      <c r="EA670" s="36"/>
      <c r="EB670" s="36"/>
      <c r="EC670" s="36"/>
      <c r="ED670" s="36"/>
      <c r="EE670" s="36"/>
      <c r="EF670" s="36"/>
      <c r="EG670" s="36"/>
      <c r="EH670" s="36"/>
      <c r="EI670" s="36"/>
      <c r="EJ670" s="36"/>
      <c r="EK670" s="36"/>
      <c r="EL670" s="36"/>
      <c r="EM670" s="36"/>
      <c r="EN670" s="36"/>
      <c r="EO670" s="36"/>
      <c r="EP670" s="36"/>
      <c r="EQ670" s="36"/>
      <c r="ER670" s="36"/>
      <c r="ES670" s="36"/>
      <c r="ET670" s="36"/>
      <c r="EU670" s="36"/>
      <c r="EV670" s="36"/>
      <c r="EW670" s="36"/>
      <c r="EX670" s="36"/>
      <c r="EY670" s="36"/>
      <c r="EZ670" s="36"/>
      <c r="FA670" s="36"/>
      <c r="FB670" s="36"/>
      <c r="FC670" s="36"/>
      <c r="FD670" s="36"/>
      <c r="FE670" s="36"/>
      <c r="FF670" s="36"/>
      <c r="FG670" s="36"/>
      <c r="FH670" s="36"/>
      <c r="FI670" s="36"/>
      <c r="FJ670" s="36"/>
      <c r="FK670" s="36"/>
      <c r="FL670" s="36"/>
      <c r="FM670" s="36"/>
      <c r="FN670" s="36"/>
      <c r="FO670" s="36"/>
      <c r="FP670" s="36"/>
      <c r="FQ670" s="36"/>
      <c r="FR670" s="36"/>
      <c r="FS670" s="36"/>
      <c r="FT670" s="36"/>
      <c r="FU670" s="36"/>
      <c r="FV670" s="36"/>
      <c r="FW670" s="36"/>
      <c r="FX670" s="36"/>
      <c r="FY670" s="36"/>
      <c r="FZ670" s="36"/>
      <c r="GA670" s="36"/>
      <c r="GB670" s="36"/>
      <c r="GC670" s="36"/>
      <c r="GD670" s="36"/>
      <c r="GE670" s="36"/>
      <c r="GF670" s="36"/>
      <c r="GG670" s="36"/>
      <c r="GH670" s="36"/>
      <c r="GI670" s="36"/>
      <c r="GJ670" s="36"/>
      <c r="GK670" s="36"/>
      <c r="GL670" s="36"/>
      <c r="GM670" s="36"/>
      <c r="GN670" s="36"/>
      <c r="GO670" s="36"/>
      <c r="GP670" s="36"/>
      <c r="GQ670" s="36"/>
      <c r="GR670" s="36"/>
      <c r="GS670" s="36"/>
      <c r="GT670" s="36"/>
      <c r="GU670" s="36"/>
      <c r="GV670" s="36"/>
      <c r="GW670" s="36"/>
      <c r="GX670" s="36"/>
      <c r="GY670" s="36"/>
      <c r="GZ670" s="36"/>
      <c r="HA670" s="36"/>
      <c r="HB670" s="36"/>
      <c r="HC670" s="36"/>
      <c r="HD670" s="36"/>
      <c r="HE670" s="36"/>
      <c r="HF670" s="36"/>
      <c r="HG670" s="36"/>
      <c r="HH670" s="36"/>
      <c r="HI670" s="36"/>
      <c r="HJ670" s="36"/>
      <c r="HK670" s="36"/>
      <c r="HL670" s="36"/>
      <c r="HM670" s="36"/>
      <c r="HN670" s="36"/>
      <c r="HO670" s="36"/>
      <c r="HP670" s="36"/>
      <c r="HQ670" s="36"/>
      <c r="HR670" s="36"/>
      <c r="HS670" s="36"/>
      <c r="HT670" s="36"/>
      <c r="HU670" s="36"/>
      <c r="HV670" s="36"/>
      <c r="HW670" s="36"/>
      <c r="HX670" s="36"/>
      <c r="HY670" s="36"/>
      <c r="HZ670" s="36"/>
      <c r="IA670" s="36"/>
      <c r="IB670" s="36"/>
      <c r="IC670" s="36"/>
      <c r="ID670" s="36"/>
      <c r="IE670" s="36"/>
      <c r="IF670" s="36"/>
      <c r="IG670" s="36"/>
      <c r="IH670" s="36"/>
      <c r="II670" s="36"/>
      <c r="IJ670" s="36"/>
      <c r="IK670" s="36"/>
      <c r="IL670" s="36"/>
      <c r="IM670" s="36"/>
      <c r="IN670" s="36"/>
      <c r="IO670" s="36"/>
      <c r="IP670" s="36"/>
      <c r="IQ670" s="36"/>
      <c r="IR670" s="36"/>
      <c r="IS670" s="36"/>
      <c r="IT670" s="36"/>
      <c r="IU670" s="36"/>
      <c r="IV670" s="36"/>
      <c r="IW670" s="36"/>
      <c r="IX670" s="36"/>
      <c r="IY670" s="36"/>
      <c r="IZ670" s="36"/>
      <c r="JA670" s="36"/>
      <c r="JB670" s="36"/>
      <c r="JC670" s="36"/>
      <c r="JD670" s="36"/>
      <c r="JE670" s="36"/>
      <c r="JF670" s="36"/>
      <c r="JG670" s="36"/>
      <c r="JH670" s="36"/>
      <c r="JI670" s="36"/>
      <c r="JJ670" s="36"/>
      <c r="JK670" s="36"/>
      <c r="JL670" s="36"/>
      <c r="JM670" s="36"/>
      <c r="JN670" s="36"/>
      <c r="JO670" s="36"/>
      <c r="JP670" s="36"/>
      <c r="JQ670" s="36"/>
      <c r="JR670" s="36"/>
      <c r="JS670" s="36"/>
      <c r="JT670" s="36"/>
      <c r="JU670" s="36"/>
      <c r="JV670" s="36"/>
      <c r="JW670" s="36"/>
      <c r="JX670" s="36"/>
      <c r="JY670" s="36"/>
      <c r="JZ670" s="36"/>
      <c r="KA670" s="36"/>
      <c r="KB670" s="36"/>
      <c r="KC670" s="36"/>
      <c r="KD670" s="36"/>
      <c r="KE670" s="36"/>
      <c r="KF670" s="36"/>
      <c r="KG670" s="36"/>
      <c r="KH670" s="36"/>
      <c r="KI670" s="36"/>
      <c r="KJ670" s="36"/>
      <c r="KK670" s="36"/>
      <c r="KL670" s="36"/>
      <c r="KM670" s="36"/>
      <c r="KN670" s="36"/>
      <c r="KO670" s="36"/>
      <c r="KP670" s="36"/>
      <c r="KQ670" s="36"/>
      <c r="KR670" s="36"/>
      <c r="KS670" s="36"/>
      <c r="KT670" s="36"/>
      <c r="KU670" s="36"/>
      <c r="KV670" s="36"/>
      <c r="KW670" s="36"/>
      <c r="KX670" s="36"/>
      <c r="KY670" s="36"/>
      <c r="KZ670" s="36"/>
      <c r="LA670" s="36"/>
      <c r="LB670" s="36"/>
      <c r="LC670" s="36"/>
      <c r="LD670" s="36"/>
      <c r="LE670" s="36"/>
      <c r="LF670" s="36"/>
      <c r="LG670" s="36"/>
      <c r="LH670" s="36"/>
      <c r="LI670" s="36"/>
      <c r="LJ670" s="36"/>
      <c r="LK670" s="36"/>
      <c r="LL670" s="36"/>
      <c r="LM670" s="36"/>
      <c r="LN670" s="36"/>
      <c r="LO670" s="36"/>
      <c r="LP670" s="36"/>
      <c r="LQ670" s="36"/>
      <c r="LR670" s="36"/>
      <c r="LS670" s="36"/>
      <c r="LT670" s="36"/>
      <c r="LU670" s="36"/>
      <c r="LV670" s="36"/>
      <c r="LW670" s="36"/>
      <c r="LX670" s="36"/>
      <c r="LY670" s="36"/>
      <c r="LZ670" s="36"/>
      <c r="MA670" s="36"/>
      <c r="MB670" s="36"/>
      <c r="MC670" s="36"/>
      <c r="MD670" s="36"/>
      <c r="ME670" s="36"/>
      <c r="MF670" s="36"/>
      <c r="MG670" s="36"/>
      <c r="MH670" s="36"/>
      <c r="MI670" s="36"/>
      <c r="MJ670" s="36"/>
      <c r="MK670" s="36"/>
      <c r="ML670" s="36"/>
      <c r="MM670" s="36"/>
      <c r="MN670" s="36"/>
      <c r="MO670" s="36"/>
      <c r="MP670" s="36"/>
      <c r="MQ670" s="36"/>
      <c r="MR670" s="36"/>
      <c r="MS670" s="36"/>
      <c r="MT670" s="36"/>
      <c r="MU670" s="36"/>
      <c r="MV670" s="36"/>
      <c r="MW670" s="36"/>
      <c r="MX670" s="36"/>
      <c r="MY670" s="36"/>
      <c r="MZ670" s="36"/>
      <c r="NA670" s="36"/>
      <c r="NB670" s="36"/>
      <c r="NC670" s="36"/>
      <c r="ND670" s="36"/>
      <c r="NE670" s="36"/>
      <c r="NF670" s="36"/>
      <c r="NG670" s="36"/>
      <c r="NH670" s="36"/>
      <c r="NI670" s="36"/>
      <c r="NJ670" s="36"/>
      <c r="NK670" s="36"/>
      <c r="NL670" s="36"/>
      <c r="NM670" s="36"/>
      <c r="NN670" s="36"/>
      <c r="NO670" s="36"/>
      <c r="NP670" s="36"/>
      <c r="NQ670" s="36"/>
      <c r="NR670" s="36"/>
      <c r="NS670" s="36"/>
      <c r="NT670" s="36"/>
      <c r="NU670" s="36"/>
      <c r="NV670" s="36"/>
      <c r="NW670" s="36"/>
      <c r="NX670" s="36"/>
      <c r="NY670" s="36"/>
      <c r="NZ670" s="36"/>
      <c r="OA670" s="36"/>
      <c r="OB670" s="36"/>
      <c r="OC670" s="36"/>
      <c r="OD670" s="36"/>
      <c r="OE670" s="36"/>
      <c r="OF670" s="36"/>
      <c r="OG670" s="36"/>
      <c r="OH670" s="36"/>
      <c r="OI670" s="36"/>
      <c r="OJ670" s="36"/>
      <c r="OK670" s="36"/>
      <c r="OL670" s="36"/>
      <c r="OM670" s="36"/>
      <c r="ON670" s="36"/>
      <c r="OO670" s="36"/>
      <c r="OP670" s="36"/>
      <c r="OQ670" s="36"/>
      <c r="OR670" s="36"/>
      <c r="OS670" s="36"/>
      <c r="OT670" s="36"/>
      <c r="OU670" s="36"/>
      <c r="OV670" s="36"/>
      <c r="OW670" s="36"/>
      <c r="OX670" s="36"/>
      <c r="OY670" s="36"/>
      <c r="OZ670" s="36"/>
      <c r="PA670" s="36"/>
      <c r="PB670" s="36"/>
      <c r="PC670" s="36"/>
      <c r="PD670" s="36"/>
      <c r="PE670" s="36"/>
      <c r="PF670" s="36"/>
      <c r="PG670" s="36"/>
      <c r="PH670" s="36"/>
      <c r="PI670" s="36"/>
      <c r="PJ670" s="36"/>
      <c r="PK670" s="36"/>
      <c r="PL670" s="36"/>
      <c r="PM670" s="36"/>
      <c r="PN670" s="36"/>
      <c r="PO670" s="36"/>
      <c r="PP670" s="36"/>
      <c r="PQ670" s="36"/>
      <c r="PR670" s="36"/>
      <c r="PS670" s="36"/>
      <c r="PT670" s="36"/>
      <c r="PU670" s="36"/>
      <c r="PV670" s="36"/>
      <c r="PW670" s="36"/>
      <c r="PX670" s="36"/>
      <c r="PY670" s="36"/>
      <c r="PZ670" s="36"/>
      <c r="QA670" s="36"/>
      <c r="QB670" s="36"/>
      <c r="QC670" s="36"/>
      <c r="QD670" s="36"/>
      <c r="QE670" s="36"/>
      <c r="QF670" s="36"/>
      <c r="QG670" s="36"/>
      <c r="QH670" s="36"/>
      <c r="QI670" s="36"/>
      <c r="QJ670" s="36"/>
      <c r="QK670" s="36"/>
      <c r="QL670" s="36"/>
      <c r="QM670" s="36"/>
      <c r="QN670" s="36"/>
      <c r="QO670" s="36"/>
      <c r="QP670" s="36"/>
      <c r="QQ670" s="36"/>
      <c r="QR670" s="36"/>
      <c r="QS670" s="36"/>
      <c r="QT670" s="36"/>
      <c r="QU670" s="36"/>
      <c r="QV670" s="36"/>
      <c r="QW670" s="36"/>
      <c r="QX670" s="36"/>
      <c r="QY670" s="36"/>
      <c r="QZ670" s="36"/>
      <c r="RA670" s="36"/>
      <c r="RB670" s="36"/>
      <c r="RC670" s="36"/>
      <c r="RD670" s="36"/>
      <c r="RE670" s="36"/>
      <c r="RF670" s="36"/>
      <c r="RG670" s="36"/>
      <c r="RH670" s="36"/>
      <c r="RI670" s="36"/>
      <c r="RJ670" s="36"/>
      <c r="RK670" s="36"/>
      <c r="RL670" s="36"/>
      <c r="RM670" s="36"/>
      <c r="RN670" s="36"/>
      <c r="RO670" s="36"/>
      <c r="RP670" s="36"/>
      <c r="RQ670" s="36"/>
      <c r="RR670" s="36"/>
      <c r="RS670" s="36"/>
      <c r="RT670" s="36"/>
      <c r="RU670" s="36"/>
      <c r="RV670" s="36"/>
      <c r="RW670" s="36"/>
      <c r="RX670" s="36"/>
      <c r="RY670" s="36"/>
      <c r="RZ670" s="36"/>
      <c r="SA670" s="36"/>
      <c r="SB670" s="36"/>
      <c r="SC670" s="36"/>
      <c r="SD670" s="36"/>
      <c r="SE670" s="36"/>
      <c r="SF670" s="36"/>
      <c r="SG670" s="36"/>
      <c r="SH670" s="36"/>
      <c r="SI670" s="36"/>
      <c r="SJ670" s="36"/>
      <c r="SK670" s="36"/>
      <c r="SL670" s="36"/>
      <c r="SM670" s="36"/>
      <c r="SN670" s="36"/>
      <c r="SO670" s="36"/>
      <c r="SP670" s="36"/>
      <c r="SQ670" s="36"/>
      <c r="SR670" s="36"/>
      <c r="SS670" s="36"/>
      <c r="ST670" s="36"/>
      <c r="SU670" s="36"/>
      <c r="SV670" s="36"/>
      <c r="SW670" s="36"/>
      <c r="SX670" s="36"/>
      <c r="SY670" s="36"/>
      <c r="SZ670" s="36"/>
      <c r="TA670" s="36"/>
      <c r="TB670" s="36"/>
      <c r="TC670" s="36"/>
      <c r="TD670" s="36"/>
      <c r="TE670" s="36"/>
      <c r="TF670" s="36"/>
      <c r="TG670" s="36"/>
      <c r="TH670" s="36"/>
      <c r="TI670" s="36"/>
      <c r="TJ670" s="36"/>
      <c r="TK670" s="36"/>
      <c r="TL670" s="36"/>
      <c r="TM670" s="36"/>
      <c r="TN670" s="36"/>
      <c r="TO670" s="36"/>
      <c r="TP670" s="36"/>
      <c r="TQ670" s="36"/>
      <c r="TR670" s="36"/>
      <c r="TS670" s="36"/>
      <c r="TT670" s="36"/>
      <c r="TU670" s="36"/>
      <c r="TV670" s="36"/>
      <c r="TW670" s="36"/>
      <c r="TX670" s="36"/>
      <c r="TY670" s="36"/>
      <c r="TZ670" s="36"/>
      <c r="UA670" s="36"/>
      <c r="UB670" s="36"/>
      <c r="UC670" s="36"/>
      <c r="UD670" s="36"/>
      <c r="UE670" s="36"/>
      <c r="UF670" s="36"/>
      <c r="UG670" s="37"/>
    </row>
    <row r="671" spans="1:553" ht="144" customHeight="1">
      <c r="A671" s="356" t="s">
        <v>15</v>
      </c>
      <c r="B671" s="366"/>
      <c r="C671" s="1414" t="s">
        <v>818</v>
      </c>
      <c r="D671" s="1389"/>
      <c r="E671" s="1389"/>
      <c r="F671" s="1390"/>
      <c r="G671" s="366" t="s">
        <v>68</v>
      </c>
      <c r="H671" s="370"/>
      <c r="I671" s="370">
        <v>1</v>
      </c>
      <c r="J671" s="368"/>
      <c r="K671" s="371"/>
      <c r="L671" s="366"/>
      <c r="M671" s="366"/>
      <c r="N671" s="366"/>
      <c r="O671" s="366"/>
      <c r="P671" s="366"/>
      <c r="Q671" s="812"/>
      <c r="R671" s="421" t="s">
        <v>1042</v>
      </c>
      <c r="S671" s="308"/>
      <c r="T671" s="308"/>
      <c r="U671" s="308"/>
      <c r="V671" s="308"/>
      <c r="W671" s="308"/>
      <c r="X671" s="308"/>
      <c r="Y671" s="308"/>
      <c r="Z671" s="604"/>
      <c r="AA671" s="308"/>
      <c r="AB671" s="308"/>
      <c r="AC671" s="449"/>
      <c r="AD671" s="449"/>
      <c r="AE671" s="449"/>
      <c r="AF671" s="449"/>
      <c r="AG671" s="449"/>
      <c r="AH671" s="449"/>
      <c r="AI671" s="449"/>
      <c r="AJ671" s="449"/>
      <c r="AK671" s="452"/>
      <c r="AL671" s="104"/>
      <c r="AM671" s="32"/>
      <c r="AN671" s="32"/>
      <c r="AO671" s="32"/>
      <c r="AP671" s="32"/>
      <c r="AQ671" s="32"/>
      <c r="AR671" s="32"/>
      <c r="AS671" s="31"/>
      <c r="AT671" s="31"/>
      <c r="AU671" s="31"/>
      <c r="AV671" s="31"/>
      <c r="AW671" s="31"/>
      <c r="AX671" s="31"/>
      <c r="AY671" s="31"/>
      <c r="AZ671" s="31"/>
      <c r="BA671" s="31"/>
      <c r="BB671" s="31"/>
      <c r="BC671" s="31"/>
      <c r="BD671" s="31"/>
      <c r="BE671" s="31"/>
      <c r="BF671" s="31"/>
      <c r="BG671" s="31"/>
      <c r="BH671" s="31"/>
      <c r="BI671" s="31"/>
      <c r="BJ671" s="31"/>
      <c r="BK671" s="31"/>
      <c r="BL671" s="31"/>
      <c r="BM671" s="31"/>
      <c r="BN671" s="31"/>
      <c r="BO671" s="31"/>
      <c r="BP671" s="25"/>
      <c r="BQ671" s="25"/>
      <c r="BR671" s="25"/>
      <c r="BS671" s="25"/>
      <c r="BT671" s="25"/>
      <c r="BU671" s="25"/>
      <c r="BV671" s="25"/>
      <c r="BW671" s="25"/>
      <c r="BX671" s="25"/>
      <c r="BY671" s="25"/>
      <c r="BZ671" s="25"/>
      <c r="CA671" s="25"/>
      <c r="CB671" s="25"/>
      <c r="CC671" s="25"/>
      <c r="CD671" s="25"/>
      <c r="CE671" s="25"/>
      <c r="CF671" s="25"/>
      <c r="CG671" s="25"/>
      <c r="CH671" s="25"/>
      <c r="CI671" s="25"/>
      <c r="CJ671" s="25"/>
      <c r="CK671" s="25"/>
      <c r="CL671" s="25"/>
      <c r="CM671" s="25"/>
      <c r="CN671" s="25"/>
      <c r="CO671" s="25"/>
      <c r="CP671" s="25"/>
      <c r="CQ671" s="25"/>
      <c r="CR671" s="25"/>
      <c r="CS671" s="25"/>
      <c r="CT671" s="25"/>
      <c r="CU671" s="25"/>
      <c r="CV671" s="25"/>
      <c r="CW671" s="25"/>
      <c r="CX671" s="25"/>
      <c r="CY671" s="25"/>
      <c r="CZ671" s="25"/>
      <c r="DA671" s="25"/>
      <c r="DB671" s="25"/>
      <c r="DC671" s="25"/>
      <c r="DD671" s="25"/>
      <c r="DE671" s="25"/>
      <c r="DF671" s="25"/>
      <c r="DG671" s="25"/>
      <c r="DH671" s="25"/>
      <c r="DI671" s="25"/>
      <c r="DJ671" s="25"/>
      <c r="DK671" s="25"/>
      <c r="DL671" s="25"/>
      <c r="DM671" s="25"/>
      <c r="DN671" s="25"/>
      <c r="DO671" s="25"/>
      <c r="DP671" s="25"/>
      <c r="DQ671" s="25"/>
      <c r="DR671" s="25"/>
      <c r="DS671" s="25"/>
      <c r="DT671" s="25"/>
      <c r="DU671" s="25"/>
      <c r="DV671" s="25"/>
      <c r="DW671" s="25"/>
      <c r="DX671" s="25"/>
      <c r="DY671" s="25"/>
      <c r="DZ671" s="25"/>
      <c r="EA671" s="25"/>
      <c r="EB671" s="25"/>
      <c r="EC671" s="25"/>
      <c r="ED671" s="25"/>
      <c r="EE671" s="25"/>
      <c r="EF671" s="25"/>
      <c r="EG671" s="25"/>
      <c r="EH671" s="25"/>
      <c r="EI671" s="25"/>
      <c r="EJ671" s="25"/>
      <c r="EK671" s="25"/>
      <c r="EL671" s="25"/>
      <c r="EM671" s="25"/>
      <c r="EN671" s="25"/>
      <c r="EO671" s="25"/>
      <c r="EP671" s="25"/>
      <c r="EQ671" s="25"/>
      <c r="ER671" s="25"/>
      <c r="ES671" s="25"/>
      <c r="ET671" s="25"/>
      <c r="EU671" s="25"/>
      <c r="EV671" s="25"/>
      <c r="EW671" s="25"/>
      <c r="EX671" s="25"/>
      <c r="EY671" s="25"/>
      <c r="EZ671" s="25"/>
      <c r="FA671" s="25"/>
      <c r="FB671" s="25"/>
      <c r="FC671" s="25"/>
      <c r="FD671" s="25"/>
      <c r="FE671" s="25"/>
      <c r="FF671" s="25"/>
      <c r="FG671" s="25"/>
      <c r="FH671" s="25"/>
      <c r="FI671" s="25"/>
      <c r="FJ671" s="25"/>
      <c r="FK671" s="25"/>
      <c r="FL671" s="25"/>
      <c r="FM671" s="25"/>
      <c r="FN671" s="25"/>
      <c r="FO671" s="25"/>
      <c r="FP671" s="25"/>
      <c r="FQ671" s="25"/>
      <c r="FR671" s="25"/>
      <c r="FS671" s="25"/>
      <c r="FT671" s="25"/>
      <c r="FU671" s="25"/>
      <c r="FV671" s="25"/>
      <c r="FW671" s="25"/>
      <c r="FX671" s="25"/>
      <c r="FY671" s="25"/>
      <c r="FZ671" s="25"/>
      <c r="GA671" s="25"/>
      <c r="GB671" s="25"/>
      <c r="GC671" s="25"/>
      <c r="GD671" s="25"/>
      <c r="GE671" s="25"/>
      <c r="GF671" s="25"/>
      <c r="GG671" s="25"/>
      <c r="GH671" s="25"/>
      <c r="GI671" s="25"/>
      <c r="GJ671" s="25"/>
      <c r="GK671" s="25"/>
      <c r="GL671" s="25"/>
      <c r="GM671" s="25"/>
      <c r="GN671" s="25"/>
      <c r="GO671" s="25"/>
      <c r="GP671" s="25"/>
      <c r="GQ671" s="25"/>
      <c r="GR671" s="25"/>
      <c r="GS671" s="25"/>
      <c r="GT671" s="25"/>
      <c r="GU671" s="25"/>
      <c r="GV671" s="25"/>
      <c r="GW671" s="25"/>
      <c r="GX671" s="25"/>
      <c r="GY671" s="25"/>
      <c r="GZ671" s="25"/>
      <c r="HA671" s="25"/>
      <c r="HB671" s="25"/>
      <c r="HC671" s="25"/>
      <c r="HD671" s="25"/>
      <c r="HE671" s="25"/>
      <c r="HF671" s="25"/>
      <c r="HG671" s="25"/>
      <c r="HH671" s="25"/>
      <c r="HI671" s="25"/>
      <c r="HJ671" s="25"/>
      <c r="HK671" s="25"/>
      <c r="HL671" s="25"/>
      <c r="HM671" s="25"/>
      <c r="HN671" s="25"/>
      <c r="HO671" s="25"/>
      <c r="HP671" s="25"/>
      <c r="HQ671" s="25"/>
      <c r="HR671" s="25"/>
      <c r="HS671" s="25"/>
      <c r="HT671" s="25"/>
      <c r="HU671" s="25"/>
      <c r="HV671" s="25"/>
      <c r="HW671" s="25"/>
      <c r="HX671" s="25"/>
      <c r="HY671" s="25"/>
      <c r="HZ671" s="25"/>
      <c r="IA671" s="25"/>
      <c r="IB671" s="25"/>
      <c r="IC671" s="25"/>
      <c r="ID671" s="25"/>
      <c r="IE671" s="25"/>
      <c r="IF671" s="25"/>
      <c r="IG671" s="25"/>
      <c r="IH671" s="25"/>
      <c r="II671" s="25"/>
      <c r="IJ671" s="25"/>
      <c r="IK671" s="25"/>
      <c r="IL671" s="25"/>
      <c r="IM671" s="25"/>
      <c r="IN671" s="25"/>
      <c r="IO671" s="25"/>
      <c r="IP671" s="25"/>
      <c r="IQ671" s="25"/>
      <c r="IR671" s="25"/>
      <c r="IS671" s="25"/>
      <c r="IT671" s="25"/>
      <c r="IU671" s="25"/>
      <c r="IV671" s="25"/>
      <c r="IW671" s="25"/>
      <c r="IX671" s="25"/>
      <c r="IY671" s="25"/>
      <c r="IZ671" s="25"/>
      <c r="JA671" s="25"/>
      <c r="JB671" s="25"/>
      <c r="JC671" s="25"/>
      <c r="JD671" s="25"/>
      <c r="JE671" s="25"/>
      <c r="JF671" s="25"/>
      <c r="JG671" s="25"/>
      <c r="JH671" s="25"/>
      <c r="JI671" s="25"/>
      <c r="JJ671" s="25"/>
      <c r="JK671" s="25"/>
      <c r="JL671" s="25"/>
      <c r="JM671" s="25"/>
      <c r="JN671" s="25"/>
      <c r="JO671" s="25"/>
      <c r="JP671" s="25"/>
      <c r="JQ671" s="25"/>
      <c r="JR671" s="25"/>
      <c r="JS671" s="25"/>
      <c r="JT671" s="25"/>
      <c r="JU671" s="25"/>
      <c r="JV671" s="25"/>
      <c r="JW671" s="25"/>
      <c r="JX671" s="25"/>
      <c r="JY671" s="25"/>
      <c r="JZ671" s="25"/>
      <c r="KA671" s="25"/>
      <c r="KB671" s="25"/>
      <c r="KC671" s="25"/>
      <c r="KD671" s="25"/>
      <c r="KE671" s="25"/>
      <c r="KF671" s="25"/>
      <c r="KG671" s="25"/>
      <c r="KH671" s="25"/>
      <c r="KI671" s="25"/>
      <c r="KJ671" s="25"/>
      <c r="KK671" s="25"/>
      <c r="KL671" s="25"/>
      <c r="KM671" s="25"/>
      <c r="KN671" s="25"/>
      <c r="KO671" s="25"/>
      <c r="KP671" s="25"/>
      <c r="KQ671" s="25"/>
      <c r="KR671" s="25"/>
      <c r="KS671" s="25"/>
      <c r="KT671" s="25"/>
      <c r="KU671" s="25"/>
      <c r="KV671" s="25"/>
      <c r="KW671" s="25"/>
      <c r="KX671" s="25"/>
      <c r="KY671" s="25"/>
      <c r="KZ671" s="25"/>
      <c r="LA671" s="25"/>
      <c r="LB671" s="25"/>
      <c r="LC671" s="25"/>
      <c r="LD671" s="25"/>
      <c r="LE671" s="25"/>
      <c r="LF671" s="25"/>
      <c r="LG671" s="25"/>
      <c r="LH671" s="25"/>
      <c r="LI671" s="25"/>
      <c r="LJ671" s="25"/>
      <c r="LK671" s="25"/>
      <c r="LL671" s="25"/>
      <c r="LM671" s="25"/>
      <c r="LN671" s="25"/>
      <c r="LO671" s="25"/>
      <c r="LP671" s="25"/>
      <c r="LQ671" s="25"/>
      <c r="LR671" s="25"/>
      <c r="LS671" s="25"/>
      <c r="LT671" s="25"/>
      <c r="LU671" s="25"/>
      <c r="LV671" s="25"/>
      <c r="LW671" s="25"/>
      <c r="LX671" s="25"/>
      <c r="LY671" s="25"/>
      <c r="LZ671" s="25"/>
      <c r="MA671" s="25"/>
      <c r="MB671" s="25"/>
      <c r="MC671" s="25"/>
      <c r="MD671" s="25"/>
      <c r="ME671" s="25"/>
      <c r="MF671" s="25"/>
      <c r="MG671" s="25"/>
      <c r="MH671" s="25"/>
      <c r="MI671" s="25"/>
      <c r="MJ671" s="25"/>
      <c r="MK671" s="25"/>
      <c r="ML671" s="25"/>
      <c r="MM671" s="25"/>
      <c r="MN671" s="25"/>
      <c r="MO671" s="25"/>
      <c r="MP671" s="25"/>
      <c r="MQ671" s="25"/>
      <c r="MR671" s="25"/>
      <c r="MS671" s="25"/>
      <c r="MT671" s="25"/>
      <c r="MU671" s="25"/>
      <c r="MV671" s="25"/>
      <c r="MW671" s="25"/>
      <c r="MX671" s="25"/>
      <c r="MY671" s="25"/>
      <c r="MZ671" s="25"/>
      <c r="NA671" s="25"/>
      <c r="NB671" s="25"/>
      <c r="NC671" s="25"/>
      <c r="ND671" s="25"/>
      <c r="NE671" s="25"/>
      <c r="NF671" s="25"/>
      <c r="NG671" s="25"/>
      <c r="NH671" s="25"/>
      <c r="NI671" s="25"/>
      <c r="NJ671" s="25"/>
      <c r="NK671" s="25"/>
      <c r="NL671" s="25"/>
      <c r="NM671" s="25"/>
      <c r="NN671" s="25"/>
      <c r="NO671" s="25"/>
      <c r="NP671" s="25"/>
      <c r="NQ671" s="25"/>
      <c r="NR671" s="25"/>
      <c r="NS671" s="25"/>
      <c r="NT671" s="25"/>
      <c r="NU671" s="25"/>
      <c r="NV671" s="25"/>
      <c r="NW671" s="25"/>
      <c r="NX671" s="25"/>
      <c r="NY671" s="25"/>
      <c r="NZ671" s="25"/>
      <c r="OA671" s="25"/>
      <c r="OB671" s="25"/>
      <c r="OC671" s="25"/>
      <c r="OD671" s="25"/>
      <c r="OE671" s="25"/>
      <c r="OF671" s="25"/>
      <c r="OG671" s="25"/>
      <c r="OH671" s="25"/>
      <c r="OI671" s="25"/>
      <c r="OJ671" s="25"/>
      <c r="OK671" s="25"/>
      <c r="OL671" s="25"/>
      <c r="OM671" s="25"/>
      <c r="ON671" s="25"/>
      <c r="OO671" s="25"/>
      <c r="OP671" s="25"/>
      <c r="OQ671" s="25"/>
      <c r="OR671" s="25"/>
      <c r="OS671" s="25"/>
      <c r="OT671" s="25"/>
      <c r="OU671" s="25"/>
      <c r="OV671" s="25"/>
      <c r="OW671" s="25"/>
      <c r="OX671" s="25"/>
      <c r="OY671" s="25"/>
      <c r="OZ671" s="25"/>
      <c r="PA671" s="25"/>
      <c r="PB671" s="25"/>
      <c r="PC671" s="25"/>
      <c r="PD671" s="25"/>
      <c r="PE671" s="25"/>
      <c r="PF671" s="25"/>
      <c r="PG671" s="25"/>
      <c r="PH671" s="25"/>
      <c r="PI671" s="25"/>
      <c r="PJ671" s="25"/>
      <c r="PK671" s="25"/>
      <c r="PL671" s="25"/>
      <c r="PM671" s="25"/>
      <c r="PN671" s="25"/>
      <c r="PO671" s="25"/>
      <c r="PP671" s="25"/>
      <c r="PQ671" s="25"/>
      <c r="PR671" s="25"/>
      <c r="PS671" s="25"/>
      <c r="PT671" s="25"/>
      <c r="PU671" s="25"/>
      <c r="PV671" s="25"/>
      <c r="PW671" s="25"/>
      <c r="PX671" s="25"/>
      <c r="PY671" s="25"/>
      <c r="PZ671" s="25"/>
      <c r="QA671" s="25"/>
      <c r="QB671" s="25"/>
      <c r="QC671" s="25"/>
      <c r="QD671" s="25"/>
      <c r="QE671" s="25"/>
      <c r="QF671" s="25"/>
      <c r="QG671" s="25"/>
      <c r="QH671" s="25"/>
      <c r="QI671" s="25"/>
      <c r="QJ671" s="25"/>
      <c r="QK671" s="25"/>
      <c r="QL671" s="25"/>
      <c r="QM671" s="25"/>
      <c r="QN671" s="25"/>
      <c r="QO671" s="25"/>
      <c r="QP671" s="25"/>
      <c r="QQ671" s="25"/>
      <c r="QR671" s="25"/>
      <c r="QS671" s="25"/>
      <c r="QT671" s="25"/>
      <c r="QU671" s="25"/>
      <c r="QV671" s="25"/>
      <c r="QW671" s="25"/>
      <c r="QX671" s="25"/>
      <c r="QY671" s="25"/>
      <c r="QZ671" s="25"/>
      <c r="RA671" s="25"/>
      <c r="RB671" s="25"/>
      <c r="RC671" s="25"/>
      <c r="RD671" s="25"/>
      <c r="RE671" s="25"/>
      <c r="RF671" s="25"/>
      <c r="RG671" s="25"/>
      <c r="RH671" s="25"/>
      <c r="RI671" s="25"/>
      <c r="RJ671" s="25"/>
      <c r="RK671" s="25"/>
      <c r="RL671" s="25"/>
      <c r="RM671" s="25"/>
      <c r="RN671" s="25"/>
      <c r="RO671" s="25"/>
      <c r="RP671" s="25"/>
      <c r="RQ671" s="25"/>
      <c r="RR671" s="25"/>
      <c r="RS671" s="25"/>
      <c r="RT671" s="25"/>
      <c r="RU671" s="25"/>
      <c r="RV671" s="25"/>
      <c r="RW671" s="25"/>
      <c r="RX671" s="25"/>
      <c r="RY671" s="25"/>
      <c r="RZ671" s="25"/>
      <c r="SA671" s="25"/>
      <c r="SB671" s="25"/>
      <c r="SC671" s="25"/>
      <c r="SD671" s="25"/>
      <c r="SE671" s="25"/>
      <c r="SF671" s="25"/>
      <c r="SG671" s="25"/>
      <c r="SH671" s="25"/>
      <c r="SI671" s="25"/>
      <c r="SJ671" s="25"/>
      <c r="SK671" s="25"/>
      <c r="SL671" s="25"/>
      <c r="SM671" s="25"/>
      <c r="SN671" s="25"/>
      <c r="SO671" s="25"/>
      <c r="SP671" s="25"/>
      <c r="SQ671" s="25"/>
      <c r="SR671" s="25"/>
      <c r="SS671" s="25"/>
      <c r="ST671" s="25"/>
      <c r="SU671" s="25"/>
      <c r="SV671" s="25"/>
      <c r="SW671" s="25"/>
      <c r="SX671" s="25"/>
      <c r="SY671" s="25"/>
      <c r="SZ671" s="25"/>
      <c r="TA671" s="25"/>
      <c r="TB671" s="25"/>
      <c r="TC671" s="25"/>
      <c r="TD671" s="25"/>
      <c r="TE671" s="25"/>
      <c r="TF671" s="25"/>
      <c r="TG671" s="25"/>
      <c r="TH671" s="25"/>
      <c r="TI671" s="25"/>
      <c r="TJ671" s="25"/>
      <c r="TK671" s="25"/>
      <c r="TL671" s="25"/>
      <c r="TM671" s="25"/>
      <c r="TN671" s="25"/>
      <c r="TO671" s="25"/>
      <c r="TP671" s="25"/>
      <c r="TQ671" s="25"/>
      <c r="TR671" s="25"/>
      <c r="TS671" s="25"/>
      <c r="TT671" s="25"/>
      <c r="TU671" s="25"/>
      <c r="TV671" s="25"/>
      <c r="TW671" s="25"/>
      <c r="TX671" s="25"/>
      <c r="TY671" s="25"/>
      <c r="TZ671" s="25"/>
      <c r="UA671" s="25"/>
      <c r="UB671" s="25"/>
      <c r="UC671" s="25"/>
      <c r="UD671" s="25"/>
      <c r="UE671" s="25"/>
      <c r="UF671" s="25"/>
      <c r="UG671" s="26"/>
    </row>
    <row r="672" spans="1:553" s="317" customFormat="1" ht="149.25" customHeight="1">
      <c r="A672" s="356">
        <v>7</v>
      </c>
      <c r="B672" s="356"/>
      <c r="C672" s="1184" t="s">
        <v>473</v>
      </c>
      <c r="D672" s="1244"/>
      <c r="E672" s="1244"/>
      <c r="F672" s="1245"/>
      <c r="G672" s="356"/>
      <c r="H672" s="359"/>
      <c r="I672" s="359"/>
      <c r="J672" s="357"/>
      <c r="K672" s="364"/>
      <c r="L672" s="356">
        <f>SUM(L673:L893)/2</f>
        <v>3033311711.3408871</v>
      </c>
      <c r="M672" s="356"/>
      <c r="N672" s="356"/>
      <c r="O672" s="356"/>
      <c r="P672" s="356">
        <f>P676+P717+P774+P841+P844+P884+P889</f>
        <v>3033311711.3408871</v>
      </c>
      <c r="Q672" s="610"/>
      <c r="R672" s="411"/>
      <c r="S672" s="435" t="s">
        <v>845</v>
      </c>
      <c r="T672" s="615" t="s">
        <v>1319</v>
      </c>
      <c r="U672" s="616">
        <f>H676</f>
        <v>13053.799999999996</v>
      </c>
      <c r="V672" s="616">
        <f>I676</f>
        <v>12833.499999999995</v>
      </c>
      <c r="W672" s="435">
        <f>SUM(W674:W716)</f>
        <v>3180.9000000000005</v>
      </c>
      <c r="X672" s="435">
        <f t="shared" ref="X672:AC672" si="107">SUM(X674:X716)</f>
        <v>1618.5000000000002</v>
      </c>
      <c r="Y672" s="435">
        <f t="shared" si="107"/>
        <v>3313.7000000000003</v>
      </c>
      <c r="Z672" s="435">
        <f t="shared" si="107"/>
        <v>1600.1</v>
      </c>
      <c r="AA672" s="435">
        <f t="shared" si="107"/>
        <v>826.8</v>
      </c>
      <c r="AB672" s="435">
        <f t="shared" si="107"/>
        <v>1893.5</v>
      </c>
      <c r="AC672" s="435">
        <f t="shared" si="107"/>
        <v>400</v>
      </c>
      <c r="AD672" s="454">
        <f>L676</f>
        <v>754053800</v>
      </c>
      <c r="AE672" s="454">
        <f>L717</f>
        <v>676575798.37888706</v>
      </c>
      <c r="AF672" s="454">
        <f>L774</f>
        <v>181316512.96199998</v>
      </c>
      <c r="AG672" s="454">
        <f>L841</f>
        <v>7500000</v>
      </c>
      <c r="AH672" s="454">
        <f>L844</f>
        <v>1383388000</v>
      </c>
      <c r="AI672" s="454">
        <f>L889</f>
        <v>0</v>
      </c>
      <c r="AJ672" s="454">
        <f>L884</f>
        <v>30477600</v>
      </c>
      <c r="AK672" s="454">
        <f>SUM(AD672:AJ672)</f>
        <v>3033311711.3408871</v>
      </c>
      <c r="AL672" s="301"/>
      <c r="AM672" s="163"/>
      <c r="AN672" s="163"/>
      <c r="AO672" s="164"/>
      <c r="AP672" s="164"/>
      <c r="AQ672" s="164"/>
      <c r="AR672" s="164"/>
      <c r="AS672" s="313"/>
      <c r="AT672" s="314"/>
      <c r="AU672" s="314"/>
      <c r="AV672" s="314"/>
      <c r="AW672" s="314"/>
      <c r="AX672" s="314"/>
      <c r="AY672" s="314"/>
      <c r="AZ672" s="314"/>
      <c r="BA672" s="314"/>
      <c r="BB672" s="314"/>
      <c r="BC672" s="314"/>
      <c r="BD672" s="314"/>
      <c r="BE672" s="314"/>
      <c r="BF672" s="314"/>
      <c r="BG672" s="314"/>
      <c r="BH672" s="314"/>
      <c r="BI672" s="314"/>
      <c r="BJ672" s="314"/>
      <c r="BK672" s="314"/>
      <c r="BL672" s="314"/>
      <c r="BM672" s="314"/>
      <c r="BN672" s="314"/>
      <c r="BO672" s="314"/>
      <c r="BP672" s="315"/>
      <c r="BQ672" s="315"/>
      <c r="BR672" s="315"/>
      <c r="BS672" s="315"/>
      <c r="BT672" s="315"/>
      <c r="BU672" s="315"/>
      <c r="BV672" s="315"/>
      <c r="BW672" s="315"/>
      <c r="BX672" s="315"/>
      <c r="BY672" s="315"/>
      <c r="BZ672" s="315"/>
      <c r="CA672" s="315"/>
      <c r="CB672" s="315"/>
      <c r="CC672" s="315"/>
      <c r="CD672" s="315"/>
      <c r="CE672" s="315"/>
      <c r="CF672" s="315"/>
      <c r="CG672" s="315"/>
      <c r="CH672" s="315"/>
      <c r="CI672" s="315"/>
      <c r="CJ672" s="315"/>
      <c r="CK672" s="315"/>
      <c r="CL672" s="315"/>
      <c r="CM672" s="315"/>
      <c r="CN672" s="315"/>
      <c r="CO672" s="315"/>
      <c r="CP672" s="315"/>
      <c r="CQ672" s="315"/>
      <c r="CR672" s="315"/>
      <c r="CS672" s="315"/>
      <c r="CT672" s="315"/>
      <c r="CU672" s="315"/>
      <c r="CV672" s="315"/>
      <c r="CW672" s="315"/>
      <c r="CX672" s="315"/>
      <c r="CY672" s="315"/>
      <c r="CZ672" s="315"/>
      <c r="DA672" s="315"/>
      <c r="DB672" s="315"/>
      <c r="DC672" s="315"/>
      <c r="DD672" s="315"/>
      <c r="DE672" s="315"/>
      <c r="DF672" s="315"/>
      <c r="DG672" s="315"/>
      <c r="DH672" s="315"/>
      <c r="DI672" s="315"/>
      <c r="DJ672" s="315"/>
      <c r="DK672" s="315"/>
      <c r="DL672" s="315"/>
      <c r="DM672" s="315"/>
      <c r="DN672" s="315"/>
      <c r="DO672" s="315"/>
      <c r="DP672" s="315"/>
      <c r="DQ672" s="315"/>
      <c r="DR672" s="315"/>
      <c r="DS672" s="315"/>
      <c r="DT672" s="315"/>
      <c r="DU672" s="315"/>
      <c r="DV672" s="315"/>
      <c r="DW672" s="315"/>
      <c r="DX672" s="315"/>
      <c r="DY672" s="315"/>
      <c r="DZ672" s="315"/>
      <c r="EA672" s="315"/>
      <c r="EB672" s="315"/>
      <c r="EC672" s="315"/>
      <c r="ED672" s="315"/>
      <c r="EE672" s="315"/>
      <c r="EF672" s="315"/>
      <c r="EG672" s="315"/>
      <c r="EH672" s="315"/>
      <c r="EI672" s="315"/>
      <c r="EJ672" s="315"/>
      <c r="EK672" s="315"/>
      <c r="EL672" s="315"/>
      <c r="EM672" s="315"/>
      <c r="EN672" s="315"/>
      <c r="EO672" s="315"/>
      <c r="EP672" s="315"/>
      <c r="EQ672" s="315"/>
      <c r="ER672" s="315"/>
      <c r="ES672" s="315"/>
      <c r="ET672" s="315"/>
      <c r="EU672" s="315"/>
      <c r="EV672" s="315"/>
      <c r="EW672" s="315"/>
      <c r="EX672" s="315"/>
      <c r="EY672" s="315"/>
      <c r="EZ672" s="315"/>
      <c r="FA672" s="315"/>
      <c r="FB672" s="315"/>
      <c r="FC672" s="315"/>
      <c r="FD672" s="315"/>
      <c r="FE672" s="315"/>
      <c r="FF672" s="315"/>
      <c r="FG672" s="315"/>
      <c r="FH672" s="315"/>
      <c r="FI672" s="315"/>
      <c r="FJ672" s="315"/>
      <c r="FK672" s="315"/>
      <c r="FL672" s="315"/>
      <c r="FM672" s="315"/>
      <c r="FN672" s="315"/>
      <c r="FO672" s="315"/>
      <c r="FP672" s="315"/>
      <c r="FQ672" s="315"/>
      <c r="FR672" s="315"/>
      <c r="FS672" s="315"/>
      <c r="FT672" s="315"/>
      <c r="FU672" s="315"/>
      <c r="FV672" s="315"/>
      <c r="FW672" s="315"/>
      <c r="FX672" s="315"/>
      <c r="FY672" s="315"/>
      <c r="FZ672" s="315"/>
      <c r="GA672" s="315"/>
      <c r="GB672" s="315"/>
      <c r="GC672" s="315"/>
      <c r="GD672" s="315"/>
      <c r="GE672" s="315"/>
      <c r="GF672" s="315"/>
      <c r="GG672" s="315"/>
      <c r="GH672" s="315"/>
      <c r="GI672" s="315"/>
      <c r="GJ672" s="315"/>
      <c r="GK672" s="315"/>
      <c r="GL672" s="315"/>
      <c r="GM672" s="315"/>
      <c r="GN672" s="315"/>
      <c r="GO672" s="315"/>
      <c r="GP672" s="315"/>
      <c r="GQ672" s="315"/>
      <c r="GR672" s="315"/>
      <c r="GS672" s="315"/>
      <c r="GT672" s="315"/>
      <c r="GU672" s="315"/>
      <c r="GV672" s="315"/>
      <c r="GW672" s="315"/>
      <c r="GX672" s="315"/>
      <c r="GY672" s="315"/>
      <c r="GZ672" s="315"/>
      <c r="HA672" s="315"/>
      <c r="HB672" s="315"/>
      <c r="HC672" s="315"/>
      <c r="HD672" s="315"/>
      <c r="HE672" s="315"/>
      <c r="HF672" s="315"/>
      <c r="HG672" s="315"/>
      <c r="HH672" s="315"/>
      <c r="HI672" s="315"/>
      <c r="HJ672" s="315"/>
      <c r="HK672" s="315"/>
      <c r="HL672" s="315"/>
      <c r="HM672" s="315"/>
      <c r="HN672" s="315"/>
      <c r="HO672" s="315"/>
      <c r="HP672" s="315"/>
      <c r="HQ672" s="315"/>
      <c r="HR672" s="315"/>
      <c r="HS672" s="315"/>
      <c r="HT672" s="315"/>
      <c r="HU672" s="315"/>
      <c r="HV672" s="315"/>
      <c r="HW672" s="315"/>
      <c r="HX672" s="315"/>
      <c r="HY672" s="315"/>
      <c r="HZ672" s="315"/>
      <c r="IA672" s="315"/>
      <c r="IB672" s="315"/>
      <c r="IC672" s="315"/>
      <c r="ID672" s="315"/>
      <c r="IE672" s="315"/>
      <c r="IF672" s="315"/>
      <c r="IG672" s="315"/>
      <c r="IH672" s="315"/>
      <c r="II672" s="315"/>
      <c r="IJ672" s="315"/>
      <c r="IK672" s="315"/>
      <c r="IL672" s="315"/>
      <c r="IM672" s="315"/>
      <c r="IN672" s="315"/>
      <c r="IO672" s="315"/>
      <c r="IP672" s="315"/>
      <c r="IQ672" s="315"/>
      <c r="IR672" s="315"/>
      <c r="IS672" s="315"/>
      <c r="IT672" s="315"/>
      <c r="IU672" s="315"/>
      <c r="IV672" s="315"/>
      <c r="IW672" s="315"/>
      <c r="IX672" s="315"/>
      <c r="IY672" s="315"/>
      <c r="IZ672" s="315"/>
      <c r="JA672" s="315"/>
      <c r="JB672" s="315"/>
      <c r="JC672" s="315"/>
      <c r="JD672" s="315"/>
      <c r="JE672" s="315"/>
      <c r="JF672" s="315"/>
      <c r="JG672" s="315"/>
      <c r="JH672" s="315"/>
      <c r="JI672" s="315"/>
      <c r="JJ672" s="315"/>
      <c r="JK672" s="315"/>
      <c r="JL672" s="315"/>
      <c r="JM672" s="315"/>
      <c r="JN672" s="315"/>
      <c r="JO672" s="315"/>
      <c r="JP672" s="315"/>
      <c r="JQ672" s="315"/>
      <c r="JR672" s="315"/>
      <c r="JS672" s="315"/>
      <c r="JT672" s="315"/>
      <c r="JU672" s="315"/>
      <c r="JV672" s="315"/>
      <c r="JW672" s="315"/>
      <c r="JX672" s="315"/>
      <c r="JY672" s="315"/>
      <c r="JZ672" s="315"/>
      <c r="KA672" s="315"/>
      <c r="KB672" s="315"/>
      <c r="KC672" s="315"/>
      <c r="KD672" s="315"/>
      <c r="KE672" s="315"/>
      <c r="KF672" s="315"/>
      <c r="KG672" s="315"/>
      <c r="KH672" s="315"/>
      <c r="KI672" s="315"/>
      <c r="KJ672" s="315"/>
      <c r="KK672" s="315"/>
      <c r="KL672" s="315"/>
      <c r="KM672" s="315"/>
      <c r="KN672" s="315"/>
      <c r="KO672" s="315"/>
      <c r="KP672" s="315"/>
      <c r="KQ672" s="315"/>
      <c r="KR672" s="315"/>
      <c r="KS672" s="315"/>
      <c r="KT672" s="315"/>
      <c r="KU672" s="315"/>
      <c r="KV672" s="315"/>
      <c r="KW672" s="315"/>
      <c r="KX672" s="315"/>
      <c r="KY672" s="315"/>
      <c r="KZ672" s="315"/>
      <c r="LA672" s="315"/>
      <c r="LB672" s="315"/>
      <c r="LC672" s="315"/>
      <c r="LD672" s="315"/>
      <c r="LE672" s="315"/>
      <c r="LF672" s="315"/>
      <c r="LG672" s="315"/>
      <c r="LH672" s="315"/>
      <c r="LI672" s="315"/>
      <c r="LJ672" s="315"/>
      <c r="LK672" s="315"/>
      <c r="LL672" s="315"/>
      <c r="LM672" s="315"/>
      <c r="LN672" s="315"/>
      <c r="LO672" s="315"/>
      <c r="LP672" s="315"/>
      <c r="LQ672" s="315"/>
      <c r="LR672" s="315"/>
      <c r="LS672" s="315"/>
      <c r="LT672" s="315"/>
      <c r="LU672" s="315"/>
      <c r="LV672" s="315"/>
      <c r="LW672" s="315"/>
      <c r="LX672" s="315"/>
      <c r="LY672" s="315"/>
      <c r="LZ672" s="315"/>
      <c r="MA672" s="315"/>
      <c r="MB672" s="315"/>
      <c r="MC672" s="315"/>
      <c r="MD672" s="315"/>
      <c r="ME672" s="315"/>
      <c r="MF672" s="315"/>
      <c r="MG672" s="315"/>
      <c r="MH672" s="315"/>
      <c r="MI672" s="315"/>
      <c r="MJ672" s="315"/>
      <c r="MK672" s="315"/>
      <c r="ML672" s="315"/>
      <c r="MM672" s="315"/>
      <c r="MN672" s="315"/>
      <c r="MO672" s="315"/>
      <c r="MP672" s="315"/>
      <c r="MQ672" s="315"/>
      <c r="MR672" s="315"/>
      <c r="MS672" s="315"/>
      <c r="MT672" s="315"/>
      <c r="MU672" s="315"/>
      <c r="MV672" s="315"/>
      <c r="MW672" s="315"/>
      <c r="MX672" s="315"/>
      <c r="MY672" s="315"/>
      <c r="MZ672" s="315"/>
      <c r="NA672" s="315"/>
      <c r="NB672" s="315"/>
      <c r="NC672" s="315"/>
      <c r="ND672" s="315"/>
      <c r="NE672" s="315"/>
      <c r="NF672" s="315"/>
      <c r="NG672" s="315"/>
      <c r="NH672" s="315"/>
      <c r="NI672" s="315"/>
      <c r="NJ672" s="315"/>
      <c r="NK672" s="315"/>
      <c r="NL672" s="315"/>
      <c r="NM672" s="315"/>
      <c r="NN672" s="315"/>
      <c r="NO672" s="315"/>
      <c r="NP672" s="315"/>
      <c r="NQ672" s="315"/>
      <c r="NR672" s="315"/>
      <c r="NS672" s="315"/>
      <c r="NT672" s="315"/>
      <c r="NU672" s="315"/>
      <c r="NV672" s="315"/>
      <c r="NW672" s="315"/>
      <c r="NX672" s="315"/>
      <c r="NY672" s="315"/>
      <c r="NZ672" s="315"/>
      <c r="OA672" s="315"/>
      <c r="OB672" s="315"/>
      <c r="OC672" s="315"/>
      <c r="OD672" s="315"/>
      <c r="OE672" s="315"/>
      <c r="OF672" s="315"/>
      <c r="OG672" s="315"/>
      <c r="OH672" s="315"/>
      <c r="OI672" s="315"/>
      <c r="OJ672" s="315"/>
      <c r="OK672" s="315"/>
      <c r="OL672" s="315"/>
      <c r="OM672" s="315"/>
      <c r="ON672" s="315"/>
      <c r="OO672" s="315"/>
      <c r="OP672" s="315"/>
      <c r="OQ672" s="315"/>
      <c r="OR672" s="315"/>
      <c r="OS672" s="315"/>
      <c r="OT672" s="315"/>
      <c r="OU672" s="315"/>
      <c r="OV672" s="315"/>
      <c r="OW672" s="315"/>
      <c r="OX672" s="315"/>
      <c r="OY672" s="315"/>
      <c r="OZ672" s="315"/>
      <c r="PA672" s="315"/>
      <c r="PB672" s="315"/>
      <c r="PC672" s="315"/>
      <c r="PD672" s="315"/>
      <c r="PE672" s="315"/>
      <c r="PF672" s="315"/>
      <c r="PG672" s="315"/>
      <c r="PH672" s="315"/>
      <c r="PI672" s="315"/>
      <c r="PJ672" s="315"/>
      <c r="PK672" s="315"/>
      <c r="PL672" s="315"/>
      <c r="PM672" s="315"/>
      <c r="PN672" s="315"/>
      <c r="PO672" s="315"/>
      <c r="PP672" s="315"/>
      <c r="PQ672" s="315"/>
      <c r="PR672" s="315"/>
      <c r="PS672" s="315"/>
      <c r="PT672" s="315"/>
      <c r="PU672" s="315"/>
      <c r="PV672" s="315"/>
      <c r="PW672" s="315"/>
      <c r="PX672" s="315"/>
      <c r="PY672" s="315"/>
      <c r="PZ672" s="315"/>
      <c r="QA672" s="315"/>
      <c r="QB672" s="315"/>
      <c r="QC672" s="315"/>
      <c r="QD672" s="315"/>
      <c r="QE672" s="315"/>
      <c r="QF672" s="315"/>
      <c r="QG672" s="315"/>
      <c r="QH672" s="315"/>
      <c r="QI672" s="315"/>
      <c r="QJ672" s="315"/>
      <c r="QK672" s="315"/>
      <c r="QL672" s="315"/>
      <c r="QM672" s="315"/>
      <c r="QN672" s="315"/>
      <c r="QO672" s="315"/>
      <c r="QP672" s="315"/>
      <c r="QQ672" s="315"/>
      <c r="QR672" s="315"/>
      <c r="QS672" s="315"/>
      <c r="QT672" s="315"/>
      <c r="QU672" s="315"/>
      <c r="QV672" s="315"/>
      <c r="QW672" s="315"/>
      <c r="QX672" s="315"/>
      <c r="QY672" s="315"/>
      <c r="QZ672" s="315"/>
      <c r="RA672" s="315"/>
      <c r="RB672" s="315"/>
      <c r="RC672" s="315"/>
      <c r="RD672" s="315"/>
      <c r="RE672" s="315"/>
      <c r="RF672" s="315"/>
      <c r="RG672" s="315"/>
      <c r="RH672" s="315"/>
      <c r="RI672" s="315"/>
      <c r="RJ672" s="315"/>
      <c r="RK672" s="315"/>
      <c r="RL672" s="315"/>
      <c r="RM672" s="315"/>
      <c r="RN672" s="315"/>
      <c r="RO672" s="315"/>
      <c r="RP672" s="315"/>
      <c r="RQ672" s="315"/>
      <c r="RR672" s="315"/>
      <c r="RS672" s="315"/>
      <c r="RT672" s="315"/>
      <c r="RU672" s="315"/>
      <c r="RV672" s="315"/>
      <c r="RW672" s="315"/>
      <c r="RX672" s="315"/>
      <c r="RY672" s="315"/>
      <c r="RZ672" s="315"/>
      <c r="SA672" s="315"/>
      <c r="SB672" s="315"/>
      <c r="SC672" s="315"/>
      <c r="SD672" s="315"/>
      <c r="SE672" s="315"/>
      <c r="SF672" s="315"/>
      <c r="SG672" s="315"/>
      <c r="SH672" s="315"/>
      <c r="SI672" s="315"/>
      <c r="SJ672" s="315"/>
      <c r="SK672" s="315"/>
      <c r="SL672" s="315"/>
      <c r="SM672" s="315"/>
      <c r="SN672" s="315"/>
      <c r="SO672" s="315"/>
      <c r="SP672" s="315"/>
      <c r="SQ672" s="315"/>
      <c r="SR672" s="315"/>
      <c r="SS672" s="315"/>
      <c r="ST672" s="315"/>
      <c r="SU672" s="315"/>
      <c r="SV672" s="315"/>
      <c r="SW672" s="315"/>
      <c r="SX672" s="315"/>
      <c r="SY672" s="315"/>
      <c r="SZ672" s="315"/>
      <c r="TA672" s="315"/>
      <c r="TB672" s="315"/>
      <c r="TC672" s="315"/>
      <c r="TD672" s="315"/>
      <c r="TE672" s="315"/>
      <c r="TF672" s="315"/>
      <c r="TG672" s="315"/>
      <c r="TH672" s="315"/>
      <c r="TI672" s="315"/>
      <c r="TJ672" s="315"/>
      <c r="TK672" s="315"/>
      <c r="TL672" s="315"/>
      <c r="TM672" s="315"/>
      <c r="TN672" s="315"/>
      <c r="TO672" s="315"/>
      <c r="TP672" s="315"/>
      <c r="TQ672" s="315"/>
      <c r="TR672" s="315"/>
      <c r="TS672" s="315"/>
      <c r="TT672" s="315"/>
      <c r="TU672" s="315"/>
      <c r="TV672" s="315"/>
      <c r="TW672" s="315"/>
      <c r="TX672" s="315"/>
      <c r="TY672" s="315"/>
      <c r="TZ672" s="315"/>
      <c r="UA672" s="315"/>
      <c r="UB672" s="315"/>
      <c r="UC672" s="315"/>
      <c r="UD672" s="315"/>
      <c r="UE672" s="315"/>
      <c r="UF672" s="315"/>
      <c r="UG672" s="316"/>
    </row>
    <row r="673" spans="1:553" ht="24.75" customHeight="1">
      <c r="A673" s="356" t="s">
        <v>15</v>
      </c>
      <c r="B673" s="366"/>
      <c r="C673" s="1404" t="s">
        <v>474</v>
      </c>
      <c r="D673" s="1389"/>
      <c r="E673" s="1389"/>
      <c r="F673" s="1390"/>
      <c r="G673" s="366"/>
      <c r="H673" s="370"/>
      <c r="I673" s="439"/>
      <c r="J673" s="368"/>
      <c r="K673" s="371"/>
      <c r="L673" s="366"/>
      <c r="M673" s="366"/>
      <c r="N673" s="366"/>
      <c r="O673" s="366"/>
      <c r="P673" s="366"/>
      <c r="Q673" s="812"/>
      <c r="R673" s="1226"/>
      <c r="S673" s="308"/>
      <c r="T673" s="308"/>
      <c r="U673" s="308"/>
      <c r="V673" s="308"/>
      <c r="W673" s="308"/>
      <c r="X673" s="308"/>
      <c r="Y673" s="308"/>
      <c r="Z673" s="604"/>
      <c r="AA673" s="308"/>
      <c r="AB673" s="308"/>
      <c r="AC673" s="449"/>
      <c r="AD673" s="449"/>
      <c r="AE673" s="449"/>
      <c r="AF673" s="449"/>
      <c r="AG673" s="449"/>
      <c r="AH673" s="449"/>
      <c r="AI673" s="449"/>
      <c r="AJ673" s="449"/>
      <c r="AK673" s="450"/>
      <c r="AL673" s="105"/>
      <c r="AM673" s="30"/>
      <c r="AN673" s="30"/>
      <c r="AO673" s="30"/>
      <c r="AP673" s="30"/>
      <c r="AQ673" s="30"/>
      <c r="AR673" s="30"/>
      <c r="AS673" s="31"/>
      <c r="AT673" s="31"/>
      <c r="AU673" s="31"/>
      <c r="AV673" s="31"/>
      <c r="AW673" s="31"/>
      <c r="AX673" s="31"/>
      <c r="AY673" s="31"/>
      <c r="AZ673" s="31"/>
      <c r="BA673" s="31"/>
      <c r="BB673" s="31"/>
      <c r="BC673" s="31"/>
      <c r="BD673" s="31"/>
      <c r="BE673" s="31"/>
      <c r="BF673" s="31"/>
      <c r="BG673" s="31"/>
      <c r="BH673" s="31"/>
      <c r="BI673" s="31"/>
      <c r="BJ673" s="31"/>
      <c r="BK673" s="31"/>
      <c r="BL673" s="31"/>
      <c r="BM673" s="31"/>
      <c r="BN673" s="31"/>
      <c r="BO673" s="31"/>
      <c r="BP673" s="25"/>
      <c r="BQ673" s="25"/>
      <c r="BR673" s="25"/>
      <c r="BS673" s="25"/>
      <c r="BT673" s="25"/>
      <c r="BU673" s="25"/>
      <c r="BV673" s="25"/>
      <c r="BW673" s="25"/>
      <c r="BX673" s="25"/>
      <c r="BY673" s="25"/>
      <c r="BZ673" s="25"/>
      <c r="CA673" s="25"/>
      <c r="CB673" s="25"/>
      <c r="CC673" s="25"/>
      <c r="CD673" s="25"/>
      <c r="CE673" s="25"/>
      <c r="CF673" s="25"/>
      <c r="CG673" s="25"/>
      <c r="CH673" s="25"/>
      <c r="CI673" s="25"/>
      <c r="CJ673" s="25"/>
      <c r="CK673" s="25"/>
      <c r="CL673" s="25"/>
      <c r="CM673" s="25"/>
      <c r="CN673" s="25"/>
      <c r="CO673" s="25"/>
      <c r="CP673" s="25"/>
      <c r="CQ673" s="25"/>
      <c r="CR673" s="25"/>
      <c r="CS673" s="25"/>
      <c r="CT673" s="25"/>
      <c r="CU673" s="25"/>
      <c r="CV673" s="25"/>
      <c r="CW673" s="25"/>
      <c r="CX673" s="25"/>
      <c r="CY673" s="25"/>
      <c r="CZ673" s="25"/>
      <c r="DA673" s="25"/>
      <c r="DB673" s="25"/>
      <c r="DC673" s="25"/>
      <c r="DD673" s="25"/>
      <c r="DE673" s="25"/>
      <c r="DF673" s="25"/>
      <c r="DG673" s="25"/>
      <c r="DH673" s="25"/>
      <c r="DI673" s="25"/>
      <c r="DJ673" s="25"/>
      <c r="DK673" s="25"/>
      <c r="DL673" s="25"/>
      <c r="DM673" s="25"/>
      <c r="DN673" s="25"/>
      <c r="DO673" s="25"/>
      <c r="DP673" s="25"/>
      <c r="DQ673" s="25"/>
      <c r="DR673" s="25"/>
      <c r="DS673" s="25"/>
      <c r="DT673" s="25"/>
      <c r="DU673" s="25"/>
      <c r="DV673" s="25"/>
      <c r="DW673" s="25"/>
      <c r="DX673" s="25"/>
      <c r="DY673" s="25"/>
      <c r="DZ673" s="25"/>
      <c r="EA673" s="25"/>
      <c r="EB673" s="25"/>
      <c r="EC673" s="25"/>
      <c r="ED673" s="25"/>
      <c r="EE673" s="25"/>
      <c r="EF673" s="25"/>
      <c r="EG673" s="25"/>
      <c r="EH673" s="25"/>
      <c r="EI673" s="25"/>
      <c r="EJ673" s="25"/>
      <c r="EK673" s="25"/>
      <c r="EL673" s="25"/>
      <c r="EM673" s="25"/>
      <c r="EN673" s="25"/>
      <c r="EO673" s="25"/>
      <c r="EP673" s="25"/>
      <c r="EQ673" s="25"/>
      <c r="ER673" s="25"/>
      <c r="ES673" s="25"/>
      <c r="ET673" s="25"/>
      <c r="EU673" s="25"/>
      <c r="EV673" s="25"/>
      <c r="EW673" s="25"/>
      <c r="EX673" s="25"/>
      <c r="EY673" s="25"/>
      <c r="EZ673" s="25"/>
      <c r="FA673" s="25"/>
      <c r="FB673" s="25"/>
      <c r="FC673" s="25"/>
      <c r="FD673" s="25"/>
      <c r="FE673" s="25"/>
      <c r="FF673" s="25"/>
      <c r="FG673" s="25"/>
      <c r="FH673" s="25"/>
      <c r="FI673" s="25"/>
      <c r="FJ673" s="25"/>
      <c r="FK673" s="25"/>
      <c r="FL673" s="25"/>
      <c r="FM673" s="25"/>
      <c r="FN673" s="25"/>
      <c r="FO673" s="25"/>
      <c r="FP673" s="25"/>
      <c r="FQ673" s="25"/>
      <c r="FR673" s="25"/>
      <c r="FS673" s="25"/>
      <c r="FT673" s="25"/>
      <c r="FU673" s="25"/>
      <c r="FV673" s="25"/>
      <c r="FW673" s="25"/>
      <c r="FX673" s="25"/>
      <c r="FY673" s="25"/>
      <c r="FZ673" s="25"/>
      <c r="GA673" s="25"/>
      <c r="GB673" s="25"/>
      <c r="GC673" s="25"/>
      <c r="GD673" s="25"/>
      <c r="GE673" s="25"/>
      <c r="GF673" s="25"/>
      <c r="GG673" s="25"/>
      <c r="GH673" s="25"/>
      <c r="GI673" s="25"/>
      <c r="GJ673" s="25"/>
      <c r="GK673" s="25"/>
      <c r="GL673" s="25"/>
      <c r="GM673" s="25"/>
      <c r="GN673" s="25"/>
      <c r="GO673" s="25"/>
      <c r="GP673" s="25"/>
      <c r="GQ673" s="25"/>
      <c r="GR673" s="25"/>
      <c r="GS673" s="25"/>
      <c r="GT673" s="25"/>
      <c r="GU673" s="25"/>
      <c r="GV673" s="25"/>
      <c r="GW673" s="25"/>
      <c r="GX673" s="25"/>
      <c r="GY673" s="25"/>
      <c r="GZ673" s="25"/>
      <c r="HA673" s="25"/>
      <c r="HB673" s="25"/>
      <c r="HC673" s="25"/>
      <c r="HD673" s="25"/>
      <c r="HE673" s="25"/>
      <c r="HF673" s="25"/>
      <c r="HG673" s="25"/>
      <c r="HH673" s="25"/>
      <c r="HI673" s="25"/>
      <c r="HJ673" s="25"/>
      <c r="HK673" s="25"/>
      <c r="HL673" s="25"/>
      <c r="HM673" s="25"/>
      <c r="HN673" s="25"/>
      <c r="HO673" s="25"/>
      <c r="HP673" s="25"/>
      <c r="HQ673" s="25"/>
      <c r="HR673" s="25"/>
      <c r="HS673" s="25"/>
      <c r="HT673" s="25"/>
      <c r="HU673" s="25"/>
      <c r="HV673" s="25"/>
      <c r="HW673" s="25"/>
      <c r="HX673" s="25"/>
      <c r="HY673" s="25"/>
      <c r="HZ673" s="25"/>
      <c r="IA673" s="25"/>
      <c r="IB673" s="25"/>
      <c r="IC673" s="25"/>
      <c r="ID673" s="25"/>
      <c r="IE673" s="25"/>
      <c r="IF673" s="25"/>
      <c r="IG673" s="25"/>
      <c r="IH673" s="25"/>
      <c r="II673" s="25"/>
      <c r="IJ673" s="25"/>
      <c r="IK673" s="25"/>
      <c r="IL673" s="25"/>
      <c r="IM673" s="25"/>
      <c r="IN673" s="25"/>
      <c r="IO673" s="25"/>
      <c r="IP673" s="25"/>
      <c r="IQ673" s="25"/>
      <c r="IR673" s="25"/>
      <c r="IS673" s="25"/>
      <c r="IT673" s="25"/>
      <c r="IU673" s="25"/>
      <c r="IV673" s="25"/>
      <c r="IW673" s="25"/>
      <c r="IX673" s="25"/>
      <c r="IY673" s="25"/>
      <c r="IZ673" s="25"/>
      <c r="JA673" s="25"/>
      <c r="JB673" s="25"/>
      <c r="JC673" s="25"/>
      <c r="JD673" s="25"/>
      <c r="JE673" s="25"/>
      <c r="JF673" s="25"/>
      <c r="JG673" s="25"/>
      <c r="JH673" s="25"/>
      <c r="JI673" s="25"/>
      <c r="JJ673" s="25"/>
      <c r="JK673" s="25"/>
      <c r="JL673" s="25"/>
      <c r="JM673" s="25"/>
      <c r="JN673" s="25"/>
      <c r="JO673" s="25"/>
      <c r="JP673" s="25"/>
      <c r="JQ673" s="25"/>
      <c r="JR673" s="25"/>
      <c r="JS673" s="25"/>
      <c r="JT673" s="25"/>
      <c r="JU673" s="25"/>
      <c r="JV673" s="25"/>
      <c r="JW673" s="25"/>
      <c r="JX673" s="25"/>
      <c r="JY673" s="25"/>
      <c r="JZ673" s="25"/>
      <c r="KA673" s="25"/>
      <c r="KB673" s="25"/>
      <c r="KC673" s="25"/>
      <c r="KD673" s="25"/>
      <c r="KE673" s="25"/>
      <c r="KF673" s="25"/>
      <c r="KG673" s="25"/>
      <c r="KH673" s="25"/>
      <c r="KI673" s="25"/>
      <c r="KJ673" s="25"/>
      <c r="KK673" s="25"/>
      <c r="KL673" s="25"/>
      <c r="KM673" s="25"/>
      <c r="KN673" s="25"/>
      <c r="KO673" s="25"/>
      <c r="KP673" s="25"/>
      <c r="KQ673" s="25"/>
      <c r="KR673" s="25"/>
      <c r="KS673" s="25"/>
      <c r="KT673" s="25"/>
      <c r="KU673" s="25"/>
      <c r="KV673" s="25"/>
      <c r="KW673" s="25"/>
      <c r="KX673" s="25"/>
      <c r="KY673" s="25"/>
      <c r="KZ673" s="25"/>
      <c r="LA673" s="25"/>
      <c r="LB673" s="25"/>
      <c r="LC673" s="25"/>
      <c r="LD673" s="25"/>
      <c r="LE673" s="25"/>
      <c r="LF673" s="25"/>
      <c r="LG673" s="25"/>
      <c r="LH673" s="25"/>
      <c r="LI673" s="25"/>
      <c r="LJ673" s="25"/>
      <c r="LK673" s="25"/>
      <c r="LL673" s="25"/>
      <c r="LM673" s="25"/>
      <c r="LN673" s="25"/>
      <c r="LO673" s="25"/>
      <c r="LP673" s="25"/>
      <c r="LQ673" s="25"/>
      <c r="LR673" s="25"/>
      <c r="LS673" s="25"/>
      <c r="LT673" s="25"/>
      <c r="LU673" s="25"/>
      <c r="LV673" s="25"/>
      <c r="LW673" s="25"/>
      <c r="LX673" s="25"/>
      <c r="LY673" s="25"/>
      <c r="LZ673" s="25"/>
      <c r="MA673" s="25"/>
      <c r="MB673" s="25"/>
      <c r="MC673" s="25"/>
      <c r="MD673" s="25"/>
      <c r="ME673" s="25"/>
      <c r="MF673" s="25"/>
      <c r="MG673" s="25"/>
      <c r="MH673" s="25"/>
      <c r="MI673" s="25"/>
      <c r="MJ673" s="25"/>
      <c r="MK673" s="25"/>
      <c r="ML673" s="25"/>
      <c r="MM673" s="25"/>
      <c r="MN673" s="25"/>
      <c r="MO673" s="25"/>
      <c r="MP673" s="25"/>
      <c r="MQ673" s="25"/>
      <c r="MR673" s="25"/>
      <c r="MS673" s="25"/>
      <c r="MT673" s="25"/>
      <c r="MU673" s="25"/>
      <c r="MV673" s="25"/>
      <c r="MW673" s="25"/>
      <c r="MX673" s="25"/>
      <c r="MY673" s="25"/>
      <c r="MZ673" s="25"/>
      <c r="NA673" s="25"/>
      <c r="NB673" s="25"/>
      <c r="NC673" s="25"/>
      <c r="ND673" s="25"/>
      <c r="NE673" s="25"/>
      <c r="NF673" s="25"/>
      <c r="NG673" s="25"/>
      <c r="NH673" s="25"/>
      <c r="NI673" s="25"/>
      <c r="NJ673" s="25"/>
      <c r="NK673" s="25"/>
      <c r="NL673" s="25"/>
      <c r="NM673" s="25"/>
      <c r="NN673" s="25"/>
      <c r="NO673" s="25"/>
      <c r="NP673" s="25"/>
      <c r="NQ673" s="25"/>
      <c r="NR673" s="25"/>
      <c r="NS673" s="25"/>
      <c r="NT673" s="25"/>
      <c r="NU673" s="25"/>
      <c r="NV673" s="25"/>
      <c r="NW673" s="25"/>
      <c r="NX673" s="25"/>
      <c r="NY673" s="25"/>
      <c r="NZ673" s="25"/>
      <c r="OA673" s="25"/>
      <c r="OB673" s="25"/>
      <c r="OC673" s="25"/>
      <c r="OD673" s="25"/>
      <c r="OE673" s="25"/>
      <c r="OF673" s="25"/>
      <c r="OG673" s="25"/>
      <c r="OH673" s="25"/>
      <c r="OI673" s="25"/>
      <c r="OJ673" s="25"/>
      <c r="OK673" s="25"/>
      <c r="OL673" s="25"/>
      <c r="OM673" s="25"/>
      <c r="ON673" s="25"/>
      <c r="OO673" s="25"/>
      <c r="OP673" s="25"/>
      <c r="OQ673" s="25"/>
      <c r="OR673" s="25"/>
      <c r="OS673" s="25"/>
      <c r="OT673" s="25"/>
      <c r="OU673" s="25"/>
      <c r="OV673" s="25"/>
      <c r="OW673" s="25"/>
      <c r="OX673" s="25"/>
      <c r="OY673" s="25"/>
      <c r="OZ673" s="25"/>
      <c r="PA673" s="25"/>
      <c r="PB673" s="25"/>
      <c r="PC673" s="25"/>
      <c r="PD673" s="25"/>
      <c r="PE673" s="25"/>
      <c r="PF673" s="25"/>
      <c r="PG673" s="25"/>
      <c r="PH673" s="25"/>
      <c r="PI673" s="25"/>
      <c r="PJ673" s="25"/>
      <c r="PK673" s="25"/>
      <c r="PL673" s="25"/>
      <c r="PM673" s="25"/>
      <c r="PN673" s="25"/>
      <c r="PO673" s="25"/>
      <c r="PP673" s="25"/>
      <c r="PQ673" s="25"/>
      <c r="PR673" s="25"/>
      <c r="PS673" s="25"/>
      <c r="PT673" s="25"/>
      <c r="PU673" s="25"/>
      <c r="PV673" s="25"/>
      <c r="PW673" s="25"/>
      <c r="PX673" s="25"/>
      <c r="PY673" s="25"/>
      <c r="PZ673" s="25"/>
      <c r="QA673" s="25"/>
      <c r="QB673" s="25"/>
      <c r="QC673" s="25"/>
      <c r="QD673" s="25"/>
      <c r="QE673" s="25"/>
      <c r="QF673" s="25"/>
      <c r="QG673" s="25"/>
      <c r="QH673" s="25"/>
      <c r="QI673" s="25"/>
      <c r="QJ673" s="25"/>
      <c r="QK673" s="25"/>
      <c r="QL673" s="25"/>
      <c r="QM673" s="25"/>
      <c r="QN673" s="25"/>
      <c r="QO673" s="25"/>
      <c r="QP673" s="25"/>
      <c r="QQ673" s="25"/>
      <c r="QR673" s="25"/>
      <c r="QS673" s="25"/>
      <c r="QT673" s="25"/>
      <c r="QU673" s="25"/>
      <c r="QV673" s="25"/>
      <c r="QW673" s="25"/>
      <c r="QX673" s="25"/>
      <c r="QY673" s="25"/>
      <c r="QZ673" s="25"/>
      <c r="RA673" s="25"/>
      <c r="RB673" s="25"/>
      <c r="RC673" s="25"/>
      <c r="RD673" s="25"/>
      <c r="RE673" s="25"/>
      <c r="RF673" s="25"/>
      <c r="RG673" s="25"/>
      <c r="RH673" s="25"/>
      <c r="RI673" s="25"/>
      <c r="RJ673" s="25"/>
      <c r="RK673" s="25"/>
      <c r="RL673" s="25"/>
      <c r="RM673" s="25"/>
      <c r="RN673" s="25"/>
      <c r="RO673" s="25"/>
      <c r="RP673" s="25"/>
      <c r="RQ673" s="25"/>
      <c r="RR673" s="25"/>
      <c r="RS673" s="25"/>
      <c r="RT673" s="25"/>
      <c r="RU673" s="25"/>
      <c r="RV673" s="25"/>
      <c r="RW673" s="25"/>
      <c r="RX673" s="25"/>
      <c r="RY673" s="25"/>
      <c r="RZ673" s="25"/>
      <c r="SA673" s="25"/>
      <c r="SB673" s="25"/>
      <c r="SC673" s="25"/>
      <c r="SD673" s="25"/>
      <c r="SE673" s="25"/>
      <c r="SF673" s="25"/>
      <c r="SG673" s="25"/>
      <c r="SH673" s="25"/>
      <c r="SI673" s="25"/>
      <c r="SJ673" s="25"/>
      <c r="SK673" s="25"/>
      <c r="SL673" s="25"/>
      <c r="SM673" s="25"/>
      <c r="SN673" s="25"/>
      <c r="SO673" s="25"/>
      <c r="SP673" s="25"/>
      <c r="SQ673" s="25"/>
      <c r="SR673" s="25"/>
      <c r="SS673" s="25"/>
      <c r="ST673" s="25"/>
      <c r="SU673" s="25"/>
      <c r="SV673" s="25"/>
      <c r="SW673" s="25"/>
      <c r="SX673" s="25"/>
      <c r="SY673" s="25"/>
      <c r="SZ673" s="25"/>
      <c r="TA673" s="25"/>
      <c r="TB673" s="25"/>
      <c r="TC673" s="25"/>
      <c r="TD673" s="25"/>
      <c r="TE673" s="25"/>
      <c r="TF673" s="25"/>
      <c r="TG673" s="25"/>
      <c r="TH673" s="25"/>
      <c r="TI673" s="25"/>
      <c r="TJ673" s="25"/>
      <c r="TK673" s="25"/>
      <c r="TL673" s="25"/>
      <c r="TM673" s="25"/>
      <c r="TN673" s="25"/>
      <c r="TO673" s="25"/>
      <c r="TP673" s="25"/>
      <c r="TQ673" s="25"/>
      <c r="TR673" s="25"/>
      <c r="TS673" s="25"/>
      <c r="TT673" s="25"/>
      <c r="TU673" s="25"/>
      <c r="TV673" s="25"/>
      <c r="TW673" s="25"/>
      <c r="TX673" s="25"/>
      <c r="TY673" s="25"/>
      <c r="TZ673" s="25"/>
      <c r="UA673" s="25"/>
      <c r="UB673" s="25"/>
      <c r="UC673" s="25"/>
      <c r="UD673" s="25"/>
      <c r="UE673" s="25"/>
      <c r="UF673" s="25"/>
      <c r="UG673" s="26"/>
    </row>
    <row r="674" spans="1:553" ht="24.75" customHeight="1">
      <c r="A674" s="356" t="s">
        <v>15</v>
      </c>
      <c r="B674" s="366"/>
      <c r="C674" s="1404" t="s">
        <v>16</v>
      </c>
      <c r="D674" s="1389"/>
      <c r="E674" s="1389"/>
      <c r="F674" s="1390"/>
      <c r="G674" s="366"/>
      <c r="H674" s="439"/>
      <c r="I674" s="370"/>
      <c r="J674" s="368"/>
      <c r="K674" s="371"/>
      <c r="L674" s="366"/>
      <c r="M674" s="366"/>
      <c r="N674" s="366"/>
      <c r="O674" s="366"/>
      <c r="P674" s="366"/>
      <c r="Q674" s="1036"/>
      <c r="R674" s="1226"/>
      <c r="S674" s="308"/>
      <c r="T674" s="308"/>
      <c r="U674" s="308"/>
      <c r="V674" s="308"/>
      <c r="W674" s="308"/>
      <c r="X674" s="308"/>
      <c r="Y674" s="308"/>
      <c r="Z674" s="604"/>
      <c r="AA674" s="308"/>
      <c r="AB674" s="308"/>
      <c r="AC674" s="449"/>
      <c r="AD674" s="449"/>
      <c r="AE674" s="449"/>
      <c r="AF674" s="449"/>
      <c r="AG674" s="449"/>
      <c r="AH674" s="449"/>
      <c r="AI674" s="449"/>
      <c r="AJ674" s="449"/>
      <c r="AK674" s="450"/>
      <c r="AL674" s="105"/>
      <c r="AM674" s="30"/>
      <c r="AN674" s="30"/>
      <c r="AO674" s="30"/>
      <c r="AP674" s="30"/>
      <c r="AQ674" s="30"/>
      <c r="AR674" s="30"/>
      <c r="AS674" s="31"/>
      <c r="AT674" s="31"/>
      <c r="AU674" s="31"/>
      <c r="AV674" s="31"/>
      <c r="AW674" s="31"/>
      <c r="AX674" s="31"/>
      <c r="AY674" s="31"/>
      <c r="AZ674" s="31"/>
      <c r="BA674" s="31"/>
      <c r="BB674" s="31"/>
      <c r="BC674" s="31"/>
      <c r="BD674" s="31"/>
      <c r="BE674" s="31"/>
      <c r="BF674" s="31"/>
      <c r="BG674" s="31"/>
      <c r="BH674" s="31"/>
      <c r="BI674" s="31"/>
      <c r="BJ674" s="31"/>
      <c r="BK674" s="31"/>
      <c r="BL674" s="31"/>
      <c r="BM674" s="31"/>
      <c r="BN674" s="31"/>
      <c r="BO674" s="31"/>
      <c r="BP674" s="25"/>
      <c r="BQ674" s="25"/>
      <c r="BR674" s="25"/>
      <c r="BS674" s="25"/>
      <c r="BT674" s="25"/>
      <c r="BU674" s="25"/>
      <c r="BV674" s="25"/>
      <c r="BW674" s="25"/>
      <c r="BX674" s="25"/>
      <c r="BY674" s="25"/>
      <c r="BZ674" s="25"/>
      <c r="CA674" s="25"/>
      <c r="CB674" s="25"/>
      <c r="CC674" s="25"/>
      <c r="CD674" s="25"/>
      <c r="CE674" s="25"/>
      <c r="CF674" s="25"/>
      <c r="CG674" s="25"/>
      <c r="CH674" s="25"/>
      <c r="CI674" s="25"/>
      <c r="CJ674" s="25"/>
      <c r="CK674" s="25"/>
      <c r="CL674" s="25"/>
      <c r="CM674" s="25"/>
      <c r="CN674" s="25"/>
      <c r="CO674" s="25"/>
      <c r="CP674" s="25"/>
      <c r="CQ674" s="25"/>
      <c r="CR674" s="25"/>
      <c r="CS674" s="25"/>
      <c r="CT674" s="25"/>
      <c r="CU674" s="25"/>
      <c r="CV674" s="25"/>
      <c r="CW674" s="25"/>
      <c r="CX674" s="25"/>
      <c r="CY674" s="25"/>
      <c r="CZ674" s="25"/>
      <c r="DA674" s="25"/>
      <c r="DB674" s="25"/>
      <c r="DC674" s="25"/>
      <c r="DD674" s="25"/>
      <c r="DE674" s="25"/>
      <c r="DF674" s="25"/>
      <c r="DG674" s="25"/>
      <c r="DH674" s="25"/>
      <c r="DI674" s="25"/>
      <c r="DJ674" s="25"/>
      <c r="DK674" s="25"/>
      <c r="DL674" s="25"/>
      <c r="DM674" s="25"/>
      <c r="DN674" s="25"/>
      <c r="DO674" s="25"/>
      <c r="DP674" s="25"/>
      <c r="DQ674" s="25"/>
      <c r="DR674" s="25"/>
      <c r="DS674" s="25"/>
      <c r="DT674" s="25"/>
      <c r="DU674" s="25"/>
      <c r="DV674" s="25"/>
      <c r="DW674" s="25"/>
      <c r="DX674" s="25"/>
      <c r="DY674" s="25"/>
      <c r="DZ674" s="25"/>
      <c r="EA674" s="25"/>
      <c r="EB674" s="25"/>
      <c r="EC674" s="25"/>
      <c r="ED674" s="25"/>
      <c r="EE674" s="25"/>
      <c r="EF674" s="25"/>
      <c r="EG674" s="25"/>
      <c r="EH674" s="25"/>
      <c r="EI674" s="25"/>
      <c r="EJ674" s="25"/>
      <c r="EK674" s="25"/>
      <c r="EL674" s="25"/>
      <c r="EM674" s="25"/>
      <c r="EN674" s="25"/>
      <c r="EO674" s="25"/>
      <c r="EP674" s="25"/>
      <c r="EQ674" s="25"/>
      <c r="ER674" s="25"/>
      <c r="ES674" s="25"/>
      <c r="ET674" s="25"/>
      <c r="EU674" s="25"/>
      <c r="EV674" s="25"/>
      <c r="EW674" s="25"/>
      <c r="EX674" s="25"/>
      <c r="EY674" s="25"/>
      <c r="EZ674" s="25"/>
      <c r="FA674" s="25"/>
      <c r="FB674" s="25"/>
      <c r="FC674" s="25"/>
      <c r="FD674" s="25"/>
      <c r="FE674" s="25"/>
      <c r="FF674" s="25"/>
      <c r="FG674" s="25"/>
      <c r="FH674" s="25"/>
      <c r="FI674" s="25"/>
      <c r="FJ674" s="25"/>
      <c r="FK674" s="25"/>
      <c r="FL674" s="25"/>
      <c r="FM674" s="25"/>
      <c r="FN674" s="25"/>
      <c r="FO674" s="25"/>
      <c r="FP674" s="25"/>
      <c r="FQ674" s="25"/>
      <c r="FR674" s="25"/>
      <c r="FS674" s="25"/>
      <c r="FT674" s="25"/>
      <c r="FU674" s="25"/>
      <c r="FV674" s="25"/>
      <c r="FW674" s="25"/>
      <c r="FX674" s="25"/>
      <c r="FY674" s="25"/>
      <c r="FZ674" s="25"/>
      <c r="GA674" s="25"/>
      <c r="GB674" s="25"/>
      <c r="GC674" s="25"/>
      <c r="GD674" s="25"/>
      <c r="GE674" s="25"/>
      <c r="GF674" s="25"/>
      <c r="GG674" s="25"/>
      <c r="GH674" s="25"/>
      <c r="GI674" s="25"/>
      <c r="GJ674" s="25"/>
      <c r="GK674" s="25"/>
      <c r="GL674" s="25"/>
      <c r="GM674" s="25"/>
      <c r="GN674" s="25"/>
      <c r="GO674" s="25"/>
      <c r="GP674" s="25"/>
      <c r="GQ674" s="25"/>
      <c r="GR674" s="25"/>
      <c r="GS674" s="25"/>
      <c r="GT674" s="25"/>
      <c r="GU674" s="25"/>
      <c r="GV674" s="25"/>
      <c r="GW674" s="25"/>
      <c r="GX674" s="25"/>
      <c r="GY674" s="25"/>
      <c r="GZ674" s="25"/>
      <c r="HA674" s="25"/>
      <c r="HB674" s="25"/>
      <c r="HC674" s="25"/>
      <c r="HD674" s="25"/>
      <c r="HE674" s="25"/>
      <c r="HF674" s="25"/>
      <c r="HG674" s="25"/>
      <c r="HH674" s="25"/>
      <c r="HI674" s="25"/>
      <c r="HJ674" s="25"/>
      <c r="HK674" s="25"/>
      <c r="HL674" s="25"/>
      <c r="HM674" s="25"/>
      <c r="HN674" s="25"/>
      <c r="HO674" s="25"/>
      <c r="HP674" s="25"/>
      <c r="HQ674" s="25"/>
      <c r="HR674" s="25"/>
      <c r="HS674" s="25"/>
      <c r="HT674" s="25"/>
      <c r="HU674" s="25"/>
      <c r="HV674" s="25"/>
      <c r="HW674" s="25"/>
      <c r="HX674" s="25"/>
      <c r="HY674" s="25"/>
      <c r="HZ674" s="25"/>
      <c r="IA674" s="25"/>
      <c r="IB674" s="25"/>
      <c r="IC674" s="25"/>
      <c r="ID674" s="25"/>
      <c r="IE674" s="25"/>
      <c r="IF674" s="25"/>
      <c r="IG674" s="25"/>
      <c r="IH674" s="25"/>
      <c r="II674" s="25"/>
      <c r="IJ674" s="25"/>
      <c r="IK674" s="25"/>
      <c r="IL674" s="25"/>
      <c r="IM674" s="25"/>
      <c r="IN674" s="25"/>
      <c r="IO674" s="25"/>
      <c r="IP674" s="25"/>
      <c r="IQ674" s="25"/>
      <c r="IR674" s="25"/>
      <c r="IS674" s="25"/>
      <c r="IT674" s="25"/>
      <c r="IU674" s="25"/>
      <c r="IV674" s="25"/>
      <c r="IW674" s="25"/>
      <c r="IX674" s="25"/>
      <c r="IY674" s="25"/>
      <c r="IZ674" s="25"/>
      <c r="JA674" s="25"/>
      <c r="JB674" s="25"/>
      <c r="JC674" s="25"/>
      <c r="JD674" s="25"/>
      <c r="JE674" s="25"/>
      <c r="JF674" s="25"/>
      <c r="JG674" s="25"/>
      <c r="JH674" s="25"/>
      <c r="JI674" s="25"/>
      <c r="JJ674" s="25"/>
      <c r="JK674" s="25"/>
      <c r="JL674" s="25"/>
      <c r="JM674" s="25"/>
      <c r="JN674" s="25"/>
      <c r="JO674" s="25"/>
      <c r="JP674" s="25"/>
      <c r="JQ674" s="25"/>
      <c r="JR674" s="25"/>
      <c r="JS674" s="25"/>
      <c r="JT674" s="25"/>
      <c r="JU674" s="25"/>
      <c r="JV674" s="25"/>
      <c r="JW674" s="25"/>
      <c r="JX674" s="25"/>
      <c r="JY674" s="25"/>
      <c r="JZ674" s="25"/>
      <c r="KA674" s="25"/>
      <c r="KB674" s="25"/>
      <c r="KC674" s="25"/>
      <c r="KD674" s="25"/>
      <c r="KE674" s="25"/>
      <c r="KF674" s="25"/>
      <c r="KG674" s="25"/>
      <c r="KH674" s="25"/>
      <c r="KI674" s="25"/>
      <c r="KJ674" s="25"/>
      <c r="KK674" s="25"/>
      <c r="KL674" s="25"/>
      <c r="KM674" s="25"/>
      <c r="KN674" s="25"/>
      <c r="KO674" s="25"/>
      <c r="KP674" s="25"/>
      <c r="KQ674" s="25"/>
      <c r="KR674" s="25"/>
      <c r="KS674" s="25"/>
      <c r="KT674" s="25"/>
      <c r="KU674" s="25"/>
      <c r="KV674" s="25"/>
      <c r="KW674" s="25"/>
      <c r="KX674" s="25"/>
      <c r="KY674" s="25"/>
      <c r="KZ674" s="25"/>
      <c r="LA674" s="25"/>
      <c r="LB674" s="25"/>
      <c r="LC674" s="25"/>
      <c r="LD674" s="25"/>
      <c r="LE674" s="25"/>
      <c r="LF674" s="25"/>
      <c r="LG674" s="25"/>
      <c r="LH674" s="25"/>
      <c r="LI674" s="25"/>
      <c r="LJ674" s="25"/>
      <c r="LK674" s="25"/>
      <c r="LL674" s="25"/>
      <c r="LM674" s="25"/>
      <c r="LN674" s="25"/>
      <c r="LO674" s="25"/>
      <c r="LP674" s="25"/>
      <c r="LQ674" s="25"/>
      <c r="LR674" s="25"/>
      <c r="LS674" s="25"/>
      <c r="LT674" s="25"/>
      <c r="LU674" s="25"/>
      <c r="LV674" s="25"/>
      <c r="LW674" s="25"/>
      <c r="LX674" s="25"/>
      <c r="LY674" s="25"/>
      <c r="LZ674" s="25"/>
      <c r="MA674" s="25"/>
      <c r="MB674" s="25"/>
      <c r="MC674" s="25"/>
      <c r="MD674" s="25"/>
      <c r="ME674" s="25"/>
      <c r="MF674" s="25"/>
      <c r="MG674" s="25"/>
      <c r="MH674" s="25"/>
      <c r="MI674" s="25"/>
      <c r="MJ674" s="25"/>
      <c r="MK674" s="25"/>
      <c r="ML674" s="25"/>
      <c r="MM674" s="25"/>
      <c r="MN674" s="25"/>
      <c r="MO674" s="25"/>
      <c r="MP674" s="25"/>
      <c r="MQ674" s="25"/>
      <c r="MR674" s="25"/>
      <c r="MS674" s="25"/>
      <c r="MT674" s="25"/>
      <c r="MU674" s="25"/>
      <c r="MV674" s="25"/>
      <c r="MW674" s="25"/>
      <c r="MX674" s="25"/>
      <c r="MY674" s="25"/>
      <c r="MZ674" s="25"/>
      <c r="NA674" s="25"/>
      <c r="NB674" s="25"/>
      <c r="NC674" s="25"/>
      <c r="ND674" s="25"/>
      <c r="NE674" s="25"/>
      <c r="NF674" s="25"/>
      <c r="NG674" s="25"/>
      <c r="NH674" s="25"/>
      <c r="NI674" s="25"/>
      <c r="NJ674" s="25"/>
      <c r="NK674" s="25"/>
      <c r="NL674" s="25"/>
      <c r="NM674" s="25"/>
      <c r="NN674" s="25"/>
      <c r="NO674" s="25"/>
      <c r="NP674" s="25"/>
      <c r="NQ674" s="25"/>
      <c r="NR674" s="25"/>
      <c r="NS674" s="25"/>
      <c r="NT674" s="25"/>
      <c r="NU674" s="25"/>
      <c r="NV674" s="25"/>
      <c r="NW674" s="25"/>
      <c r="NX674" s="25"/>
      <c r="NY674" s="25"/>
      <c r="NZ674" s="25"/>
      <c r="OA674" s="25"/>
      <c r="OB674" s="25"/>
      <c r="OC674" s="25"/>
      <c r="OD674" s="25"/>
      <c r="OE674" s="25"/>
      <c r="OF674" s="25"/>
      <c r="OG674" s="25"/>
      <c r="OH674" s="25"/>
      <c r="OI674" s="25"/>
      <c r="OJ674" s="25"/>
      <c r="OK674" s="25"/>
      <c r="OL674" s="25"/>
      <c r="OM674" s="25"/>
      <c r="ON674" s="25"/>
      <c r="OO674" s="25"/>
      <c r="OP674" s="25"/>
      <c r="OQ674" s="25"/>
      <c r="OR674" s="25"/>
      <c r="OS674" s="25"/>
      <c r="OT674" s="25"/>
      <c r="OU674" s="25"/>
      <c r="OV674" s="25"/>
      <c r="OW674" s="25"/>
      <c r="OX674" s="25"/>
      <c r="OY674" s="25"/>
      <c r="OZ674" s="25"/>
      <c r="PA674" s="25"/>
      <c r="PB674" s="25"/>
      <c r="PC674" s="25"/>
      <c r="PD674" s="25"/>
      <c r="PE674" s="25"/>
      <c r="PF674" s="25"/>
      <c r="PG674" s="25"/>
      <c r="PH674" s="25"/>
      <c r="PI674" s="25"/>
      <c r="PJ674" s="25"/>
      <c r="PK674" s="25"/>
      <c r="PL674" s="25"/>
      <c r="PM674" s="25"/>
      <c r="PN674" s="25"/>
      <c r="PO674" s="25"/>
      <c r="PP674" s="25"/>
      <c r="PQ674" s="25"/>
      <c r="PR674" s="25"/>
      <c r="PS674" s="25"/>
      <c r="PT674" s="25"/>
      <c r="PU674" s="25"/>
      <c r="PV674" s="25"/>
      <c r="PW674" s="25"/>
      <c r="PX674" s="25"/>
      <c r="PY674" s="25"/>
      <c r="PZ674" s="25"/>
      <c r="QA674" s="25"/>
      <c r="QB674" s="25"/>
      <c r="QC674" s="25"/>
      <c r="QD674" s="25"/>
      <c r="QE674" s="25"/>
      <c r="QF674" s="25"/>
      <c r="QG674" s="25"/>
      <c r="QH674" s="25"/>
      <c r="QI674" s="25"/>
      <c r="QJ674" s="25"/>
      <c r="QK674" s="25"/>
      <c r="QL674" s="25"/>
      <c r="QM674" s="25"/>
      <c r="QN674" s="25"/>
      <c r="QO674" s="25"/>
      <c r="QP674" s="25"/>
      <c r="QQ674" s="25"/>
      <c r="QR674" s="25"/>
      <c r="QS674" s="25"/>
      <c r="QT674" s="25"/>
      <c r="QU674" s="25"/>
      <c r="QV674" s="25"/>
      <c r="QW674" s="25"/>
      <c r="QX674" s="25"/>
      <c r="QY674" s="25"/>
      <c r="QZ674" s="25"/>
      <c r="RA674" s="25"/>
      <c r="RB674" s="25"/>
      <c r="RC674" s="25"/>
      <c r="RD674" s="25"/>
      <c r="RE674" s="25"/>
      <c r="RF674" s="25"/>
      <c r="RG674" s="25"/>
      <c r="RH674" s="25"/>
      <c r="RI674" s="25"/>
      <c r="RJ674" s="25"/>
      <c r="RK674" s="25"/>
      <c r="RL674" s="25"/>
      <c r="RM674" s="25"/>
      <c r="RN674" s="25"/>
      <c r="RO674" s="25"/>
      <c r="RP674" s="25"/>
      <c r="RQ674" s="25"/>
      <c r="RR674" s="25"/>
      <c r="RS674" s="25"/>
      <c r="RT674" s="25"/>
      <c r="RU674" s="25"/>
      <c r="RV674" s="25"/>
      <c r="RW674" s="25"/>
      <c r="RX674" s="25"/>
      <c r="RY674" s="25"/>
      <c r="RZ674" s="25"/>
      <c r="SA674" s="25"/>
      <c r="SB674" s="25"/>
      <c r="SC674" s="25"/>
      <c r="SD674" s="25"/>
      <c r="SE674" s="25"/>
      <c r="SF674" s="25"/>
      <c r="SG674" s="25"/>
      <c r="SH674" s="25"/>
      <c r="SI674" s="25"/>
      <c r="SJ674" s="25"/>
      <c r="SK674" s="25"/>
      <c r="SL674" s="25"/>
      <c r="SM674" s="25"/>
      <c r="SN674" s="25"/>
      <c r="SO674" s="25"/>
      <c r="SP674" s="25"/>
      <c r="SQ674" s="25"/>
      <c r="SR674" s="25"/>
      <c r="SS674" s="25"/>
      <c r="ST674" s="25"/>
      <c r="SU674" s="25"/>
      <c r="SV674" s="25"/>
      <c r="SW674" s="25"/>
      <c r="SX674" s="25"/>
      <c r="SY674" s="25"/>
      <c r="SZ674" s="25"/>
      <c r="TA674" s="25"/>
      <c r="TB674" s="25"/>
      <c r="TC674" s="25"/>
      <c r="TD674" s="25"/>
      <c r="TE674" s="25"/>
      <c r="TF674" s="25"/>
      <c r="TG674" s="25"/>
      <c r="TH674" s="25"/>
      <c r="TI674" s="25"/>
      <c r="TJ674" s="25"/>
      <c r="TK674" s="25"/>
      <c r="TL674" s="25"/>
      <c r="TM674" s="25"/>
      <c r="TN674" s="25"/>
      <c r="TO674" s="25"/>
      <c r="TP674" s="25"/>
      <c r="TQ674" s="25"/>
      <c r="TR674" s="25"/>
      <c r="TS674" s="25"/>
      <c r="TT674" s="25"/>
      <c r="TU674" s="25"/>
      <c r="TV674" s="25"/>
      <c r="TW674" s="25"/>
      <c r="TX674" s="25"/>
      <c r="TY674" s="25"/>
      <c r="TZ674" s="25"/>
      <c r="UA674" s="25"/>
      <c r="UB674" s="25"/>
      <c r="UC674" s="25"/>
      <c r="UD674" s="25"/>
      <c r="UE674" s="25"/>
      <c r="UF674" s="25"/>
      <c r="UG674" s="26"/>
    </row>
    <row r="675" spans="1:553" ht="24.75" customHeight="1">
      <c r="A675" s="356" t="s">
        <v>15</v>
      </c>
      <c r="B675" s="366"/>
      <c r="C675" s="1404" t="s">
        <v>394</v>
      </c>
      <c r="D675" s="1389"/>
      <c r="E675" s="1389"/>
      <c r="F675" s="1390"/>
      <c r="G675" s="366"/>
      <c r="H675" s="370"/>
      <c r="I675" s="370"/>
      <c r="J675" s="368"/>
      <c r="K675" s="371"/>
      <c r="L675" s="366"/>
      <c r="M675" s="366"/>
      <c r="N675" s="366"/>
      <c r="O675" s="366"/>
      <c r="P675" s="366"/>
      <c r="Q675" s="1036"/>
      <c r="R675" s="1226"/>
      <c r="S675" s="308"/>
      <c r="T675" s="308"/>
      <c r="U675" s="308"/>
      <c r="V675" s="308"/>
      <c r="W675" s="308"/>
      <c r="X675" s="308"/>
      <c r="Y675" s="308"/>
      <c r="Z675" s="604"/>
      <c r="AA675" s="308"/>
      <c r="AB675" s="308"/>
      <c r="AC675" s="449"/>
      <c r="AD675" s="449"/>
      <c r="AE675" s="449"/>
      <c r="AF675" s="449"/>
      <c r="AG675" s="449"/>
      <c r="AH675" s="449"/>
      <c r="AI675" s="449"/>
      <c r="AJ675" s="449"/>
      <c r="AK675" s="450"/>
      <c r="AL675" s="105"/>
      <c r="AM675" s="30"/>
      <c r="AN675" s="30"/>
      <c r="AO675" s="30"/>
      <c r="AP675" s="30"/>
      <c r="AQ675" s="30"/>
      <c r="AR675" s="30"/>
      <c r="AS675" s="31"/>
      <c r="AT675" s="31"/>
      <c r="AU675" s="31"/>
      <c r="AV675" s="31"/>
      <c r="AW675" s="31"/>
      <c r="AX675" s="31"/>
      <c r="AY675" s="31"/>
      <c r="AZ675" s="31"/>
      <c r="BA675" s="31"/>
      <c r="BB675" s="31"/>
      <c r="BC675" s="31"/>
      <c r="BD675" s="31"/>
      <c r="BE675" s="31"/>
      <c r="BF675" s="31"/>
      <c r="BG675" s="31"/>
      <c r="BH675" s="31"/>
      <c r="BI675" s="31"/>
      <c r="BJ675" s="31"/>
      <c r="BK675" s="31"/>
      <c r="BL675" s="31"/>
      <c r="BM675" s="31"/>
      <c r="BN675" s="31"/>
      <c r="BO675" s="31"/>
      <c r="BP675" s="25"/>
      <c r="BQ675" s="25"/>
      <c r="BR675" s="25"/>
      <c r="BS675" s="25"/>
      <c r="BT675" s="25"/>
      <c r="BU675" s="25"/>
      <c r="BV675" s="25"/>
      <c r="BW675" s="25"/>
      <c r="BX675" s="25"/>
      <c r="BY675" s="25"/>
      <c r="BZ675" s="25"/>
      <c r="CA675" s="25"/>
      <c r="CB675" s="25"/>
      <c r="CC675" s="25"/>
      <c r="CD675" s="25"/>
      <c r="CE675" s="25"/>
      <c r="CF675" s="25"/>
      <c r="CG675" s="25"/>
      <c r="CH675" s="25"/>
      <c r="CI675" s="25"/>
      <c r="CJ675" s="25"/>
      <c r="CK675" s="25"/>
      <c r="CL675" s="25"/>
      <c r="CM675" s="25"/>
      <c r="CN675" s="25"/>
      <c r="CO675" s="25"/>
      <c r="CP675" s="25"/>
      <c r="CQ675" s="25"/>
      <c r="CR675" s="25"/>
      <c r="CS675" s="25"/>
      <c r="CT675" s="25"/>
      <c r="CU675" s="25"/>
      <c r="CV675" s="25"/>
      <c r="CW675" s="25"/>
      <c r="CX675" s="25"/>
      <c r="CY675" s="25"/>
      <c r="CZ675" s="25"/>
      <c r="DA675" s="25"/>
      <c r="DB675" s="25"/>
      <c r="DC675" s="25"/>
      <c r="DD675" s="25"/>
      <c r="DE675" s="25"/>
      <c r="DF675" s="25"/>
      <c r="DG675" s="25"/>
      <c r="DH675" s="25"/>
      <c r="DI675" s="25"/>
      <c r="DJ675" s="25"/>
      <c r="DK675" s="25"/>
      <c r="DL675" s="25"/>
      <c r="DM675" s="25"/>
      <c r="DN675" s="25"/>
      <c r="DO675" s="25"/>
      <c r="DP675" s="25"/>
      <c r="DQ675" s="25"/>
      <c r="DR675" s="25"/>
      <c r="DS675" s="25"/>
      <c r="DT675" s="25"/>
      <c r="DU675" s="25"/>
      <c r="DV675" s="25"/>
      <c r="DW675" s="25"/>
      <c r="DX675" s="25"/>
      <c r="DY675" s="25"/>
      <c r="DZ675" s="25"/>
      <c r="EA675" s="25"/>
      <c r="EB675" s="25"/>
      <c r="EC675" s="25"/>
      <c r="ED675" s="25"/>
      <c r="EE675" s="25"/>
      <c r="EF675" s="25"/>
      <c r="EG675" s="25"/>
      <c r="EH675" s="25"/>
      <c r="EI675" s="25"/>
      <c r="EJ675" s="25"/>
      <c r="EK675" s="25"/>
      <c r="EL675" s="25"/>
      <c r="EM675" s="25"/>
      <c r="EN675" s="25"/>
      <c r="EO675" s="25"/>
      <c r="EP675" s="25"/>
      <c r="EQ675" s="25"/>
      <c r="ER675" s="25"/>
      <c r="ES675" s="25"/>
      <c r="ET675" s="25"/>
      <c r="EU675" s="25"/>
      <c r="EV675" s="25"/>
      <c r="EW675" s="25"/>
      <c r="EX675" s="25"/>
      <c r="EY675" s="25"/>
      <c r="EZ675" s="25"/>
      <c r="FA675" s="25"/>
      <c r="FB675" s="25"/>
      <c r="FC675" s="25"/>
      <c r="FD675" s="25"/>
      <c r="FE675" s="25"/>
      <c r="FF675" s="25"/>
      <c r="FG675" s="25"/>
      <c r="FH675" s="25"/>
      <c r="FI675" s="25"/>
      <c r="FJ675" s="25"/>
      <c r="FK675" s="25"/>
      <c r="FL675" s="25"/>
      <c r="FM675" s="25"/>
      <c r="FN675" s="25"/>
      <c r="FO675" s="25"/>
      <c r="FP675" s="25"/>
      <c r="FQ675" s="25"/>
      <c r="FR675" s="25"/>
      <c r="FS675" s="25"/>
      <c r="FT675" s="25"/>
      <c r="FU675" s="25"/>
      <c r="FV675" s="25"/>
      <c r="FW675" s="25"/>
      <c r="FX675" s="25"/>
      <c r="FY675" s="25"/>
      <c r="FZ675" s="25"/>
      <c r="GA675" s="25"/>
      <c r="GB675" s="25"/>
      <c r="GC675" s="25"/>
      <c r="GD675" s="25"/>
      <c r="GE675" s="25"/>
      <c r="GF675" s="25"/>
      <c r="GG675" s="25"/>
      <c r="GH675" s="25"/>
      <c r="GI675" s="25"/>
      <c r="GJ675" s="25"/>
      <c r="GK675" s="25"/>
      <c r="GL675" s="25"/>
      <c r="GM675" s="25"/>
      <c r="GN675" s="25"/>
      <c r="GO675" s="25"/>
      <c r="GP675" s="25"/>
      <c r="GQ675" s="25"/>
      <c r="GR675" s="25"/>
      <c r="GS675" s="25"/>
      <c r="GT675" s="25"/>
      <c r="GU675" s="25"/>
      <c r="GV675" s="25"/>
      <c r="GW675" s="25"/>
      <c r="GX675" s="25"/>
      <c r="GY675" s="25"/>
      <c r="GZ675" s="25"/>
      <c r="HA675" s="25"/>
      <c r="HB675" s="25"/>
      <c r="HC675" s="25"/>
      <c r="HD675" s="25"/>
      <c r="HE675" s="25"/>
      <c r="HF675" s="25"/>
      <c r="HG675" s="25"/>
      <c r="HH675" s="25"/>
      <c r="HI675" s="25"/>
      <c r="HJ675" s="25"/>
      <c r="HK675" s="25"/>
      <c r="HL675" s="25"/>
      <c r="HM675" s="25"/>
      <c r="HN675" s="25"/>
      <c r="HO675" s="25"/>
      <c r="HP675" s="25"/>
      <c r="HQ675" s="25"/>
      <c r="HR675" s="25"/>
      <c r="HS675" s="25"/>
      <c r="HT675" s="25"/>
      <c r="HU675" s="25"/>
      <c r="HV675" s="25"/>
      <c r="HW675" s="25"/>
      <c r="HX675" s="25"/>
      <c r="HY675" s="25"/>
      <c r="HZ675" s="25"/>
      <c r="IA675" s="25"/>
      <c r="IB675" s="25"/>
      <c r="IC675" s="25"/>
      <c r="ID675" s="25"/>
      <c r="IE675" s="25"/>
      <c r="IF675" s="25"/>
      <c r="IG675" s="25"/>
      <c r="IH675" s="25"/>
      <c r="II675" s="25"/>
      <c r="IJ675" s="25"/>
      <c r="IK675" s="25"/>
      <c r="IL675" s="25"/>
      <c r="IM675" s="25"/>
      <c r="IN675" s="25"/>
      <c r="IO675" s="25"/>
      <c r="IP675" s="25"/>
      <c r="IQ675" s="25"/>
      <c r="IR675" s="25"/>
      <c r="IS675" s="25"/>
      <c r="IT675" s="25"/>
      <c r="IU675" s="25"/>
      <c r="IV675" s="25"/>
      <c r="IW675" s="25"/>
      <c r="IX675" s="25"/>
      <c r="IY675" s="25"/>
      <c r="IZ675" s="25"/>
      <c r="JA675" s="25"/>
      <c r="JB675" s="25"/>
      <c r="JC675" s="25"/>
      <c r="JD675" s="25"/>
      <c r="JE675" s="25"/>
      <c r="JF675" s="25"/>
      <c r="JG675" s="25"/>
      <c r="JH675" s="25"/>
      <c r="JI675" s="25"/>
      <c r="JJ675" s="25"/>
      <c r="JK675" s="25"/>
      <c r="JL675" s="25"/>
      <c r="JM675" s="25"/>
      <c r="JN675" s="25"/>
      <c r="JO675" s="25"/>
      <c r="JP675" s="25"/>
      <c r="JQ675" s="25"/>
      <c r="JR675" s="25"/>
      <c r="JS675" s="25"/>
      <c r="JT675" s="25"/>
      <c r="JU675" s="25"/>
      <c r="JV675" s="25"/>
      <c r="JW675" s="25"/>
      <c r="JX675" s="25"/>
      <c r="JY675" s="25"/>
      <c r="JZ675" s="25"/>
      <c r="KA675" s="25"/>
      <c r="KB675" s="25"/>
      <c r="KC675" s="25"/>
      <c r="KD675" s="25"/>
      <c r="KE675" s="25"/>
      <c r="KF675" s="25"/>
      <c r="KG675" s="25"/>
      <c r="KH675" s="25"/>
      <c r="KI675" s="25"/>
      <c r="KJ675" s="25"/>
      <c r="KK675" s="25"/>
      <c r="KL675" s="25"/>
      <c r="KM675" s="25"/>
      <c r="KN675" s="25"/>
      <c r="KO675" s="25"/>
      <c r="KP675" s="25"/>
      <c r="KQ675" s="25"/>
      <c r="KR675" s="25"/>
      <c r="KS675" s="25"/>
      <c r="KT675" s="25"/>
      <c r="KU675" s="25"/>
      <c r="KV675" s="25"/>
      <c r="KW675" s="25"/>
      <c r="KX675" s="25"/>
      <c r="KY675" s="25"/>
      <c r="KZ675" s="25"/>
      <c r="LA675" s="25"/>
      <c r="LB675" s="25"/>
      <c r="LC675" s="25"/>
      <c r="LD675" s="25"/>
      <c r="LE675" s="25"/>
      <c r="LF675" s="25"/>
      <c r="LG675" s="25"/>
      <c r="LH675" s="25"/>
      <c r="LI675" s="25"/>
      <c r="LJ675" s="25"/>
      <c r="LK675" s="25"/>
      <c r="LL675" s="25"/>
      <c r="LM675" s="25"/>
      <c r="LN675" s="25"/>
      <c r="LO675" s="25"/>
      <c r="LP675" s="25"/>
      <c r="LQ675" s="25"/>
      <c r="LR675" s="25"/>
      <c r="LS675" s="25"/>
      <c r="LT675" s="25"/>
      <c r="LU675" s="25"/>
      <c r="LV675" s="25"/>
      <c r="LW675" s="25"/>
      <c r="LX675" s="25"/>
      <c r="LY675" s="25"/>
      <c r="LZ675" s="25"/>
      <c r="MA675" s="25"/>
      <c r="MB675" s="25"/>
      <c r="MC675" s="25"/>
      <c r="MD675" s="25"/>
      <c r="ME675" s="25"/>
      <c r="MF675" s="25"/>
      <c r="MG675" s="25"/>
      <c r="MH675" s="25"/>
      <c r="MI675" s="25"/>
      <c r="MJ675" s="25"/>
      <c r="MK675" s="25"/>
      <c r="ML675" s="25"/>
      <c r="MM675" s="25"/>
      <c r="MN675" s="25"/>
      <c r="MO675" s="25"/>
      <c r="MP675" s="25"/>
      <c r="MQ675" s="25"/>
      <c r="MR675" s="25"/>
      <c r="MS675" s="25"/>
      <c r="MT675" s="25"/>
      <c r="MU675" s="25"/>
      <c r="MV675" s="25"/>
      <c r="MW675" s="25"/>
      <c r="MX675" s="25"/>
      <c r="MY675" s="25"/>
      <c r="MZ675" s="25"/>
      <c r="NA675" s="25"/>
      <c r="NB675" s="25"/>
      <c r="NC675" s="25"/>
      <c r="ND675" s="25"/>
      <c r="NE675" s="25"/>
      <c r="NF675" s="25"/>
      <c r="NG675" s="25"/>
      <c r="NH675" s="25"/>
      <c r="NI675" s="25"/>
      <c r="NJ675" s="25"/>
      <c r="NK675" s="25"/>
      <c r="NL675" s="25"/>
      <c r="NM675" s="25"/>
      <c r="NN675" s="25"/>
      <c r="NO675" s="25"/>
      <c r="NP675" s="25"/>
      <c r="NQ675" s="25"/>
      <c r="NR675" s="25"/>
      <c r="NS675" s="25"/>
      <c r="NT675" s="25"/>
      <c r="NU675" s="25"/>
      <c r="NV675" s="25"/>
      <c r="NW675" s="25"/>
      <c r="NX675" s="25"/>
      <c r="NY675" s="25"/>
      <c r="NZ675" s="25"/>
      <c r="OA675" s="25"/>
      <c r="OB675" s="25"/>
      <c r="OC675" s="25"/>
      <c r="OD675" s="25"/>
      <c r="OE675" s="25"/>
      <c r="OF675" s="25"/>
      <c r="OG675" s="25"/>
      <c r="OH675" s="25"/>
      <c r="OI675" s="25"/>
      <c r="OJ675" s="25"/>
      <c r="OK675" s="25"/>
      <c r="OL675" s="25"/>
      <c r="OM675" s="25"/>
      <c r="ON675" s="25"/>
      <c r="OO675" s="25"/>
      <c r="OP675" s="25"/>
      <c r="OQ675" s="25"/>
      <c r="OR675" s="25"/>
      <c r="OS675" s="25"/>
      <c r="OT675" s="25"/>
      <c r="OU675" s="25"/>
      <c r="OV675" s="25"/>
      <c r="OW675" s="25"/>
      <c r="OX675" s="25"/>
      <c r="OY675" s="25"/>
      <c r="OZ675" s="25"/>
      <c r="PA675" s="25"/>
      <c r="PB675" s="25"/>
      <c r="PC675" s="25"/>
      <c r="PD675" s="25"/>
      <c r="PE675" s="25"/>
      <c r="PF675" s="25"/>
      <c r="PG675" s="25"/>
      <c r="PH675" s="25"/>
      <c r="PI675" s="25"/>
      <c r="PJ675" s="25"/>
      <c r="PK675" s="25"/>
      <c r="PL675" s="25"/>
      <c r="PM675" s="25"/>
      <c r="PN675" s="25"/>
      <c r="PO675" s="25"/>
      <c r="PP675" s="25"/>
      <c r="PQ675" s="25"/>
      <c r="PR675" s="25"/>
      <c r="PS675" s="25"/>
      <c r="PT675" s="25"/>
      <c r="PU675" s="25"/>
      <c r="PV675" s="25"/>
      <c r="PW675" s="25"/>
      <c r="PX675" s="25"/>
      <c r="PY675" s="25"/>
      <c r="PZ675" s="25"/>
      <c r="QA675" s="25"/>
      <c r="QB675" s="25"/>
      <c r="QC675" s="25"/>
      <c r="QD675" s="25"/>
      <c r="QE675" s="25"/>
      <c r="QF675" s="25"/>
      <c r="QG675" s="25"/>
      <c r="QH675" s="25"/>
      <c r="QI675" s="25"/>
      <c r="QJ675" s="25"/>
      <c r="QK675" s="25"/>
      <c r="QL675" s="25"/>
      <c r="QM675" s="25"/>
      <c r="QN675" s="25"/>
      <c r="QO675" s="25"/>
      <c r="QP675" s="25"/>
      <c r="QQ675" s="25"/>
      <c r="QR675" s="25"/>
      <c r="QS675" s="25"/>
      <c r="QT675" s="25"/>
      <c r="QU675" s="25"/>
      <c r="QV675" s="25"/>
      <c r="QW675" s="25"/>
      <c r="QX675" s="25"/>
      <c r="QY675" s="25"/>
      <c r="QZ675" s="25"/>
      <c r="RA675" s="25"/>
      <c r="RB675" s="25"/>
      <c r="RC675" s="25"/>
      <c r="RD675" s="25"/>
      <c r="RE675" s="25"/>
      <c r="RF675" s="25"/>
      <c r="RG675" s="25"/>
      <c r="RH675" s="25"/>
      <c r="RI675" s="25"/>
      <c r="RJ675" s="25"/>
      <c r="RK675" s="25"/>
      <c r="RL675" s="25"/>
      <c r="RM675" s="25"/>
      <c r="RN675" s="25"/>
      <c r="RO675" s="25"/>
      <c r="RP675" s="25"/>
      <c r="RQ675" s="25"/>
      <c r="RR675" s="25"/>
      <c r="RS675" s="25"/>
      <c r="RT675" s="25"/>
      <c r="RU675" s="25"/>
      <c r="RV675" s="25"/>
      <c r="RW675" s="25"/>
      <c r="RX675" s="25"/>
      <c r="RY675" s="25"/>
      <c r="RZ675" s="25"/>
      <c r="SA675" s="25"/>
      <c r="SB675" s="25"/>
      <c r="SC675" s="25"/>
      <c r="SD675" s="25"/>
      <c r="SE675" s="25"/>
      <c r="SF675" s="25"/>
      <c r="SG675" s="25"/>
      <c r="SH675" s="25"/>
      <c r="SI675" s="25"/>
      <c r="SJ675" s="25"/>
      <c r="SK675" s="25"/>
      <c r="SL675" s="25"/>
      <c r="SM675" s="25"/>
      <c r="SN675" s="25"/>
      <c r="SO675" s="25"/>
      <c r="SP675" s="25"/>
      <c r="SQ675" s="25"/>
      <c r="SR675" s="25"/>
      <c r="SS675" s="25"/>
      <c r="ST675" s="25"/>
      <c r="SU675" s="25"/>
      <c r="SV675" s="25"/>
      <c r="SW675" s="25"/>
      <c r="SX675" s="25"/>
      <c r="SY675" s="25"/>
      <c r="SZ675" s="25"/>
      <c r="TA675" s="25"/>
      <c r="TB675" s="25"/>
      <c r="TC675" s="25"/>
      <c r="TD675" s="25"/>
      <c r="TE675" s="25"/>
      <c r="TF675" s="25"/>
      <c r="TG675" s="25"/>
      <c r="TH675" s="25"/>
      <c r="TI675" s="25"/>
      <c r="TJ675" s="25"/>
      <c r="TK675" s="25"/>
      <c r="TL675" s="25"/>
      <c r="TM675" s="25"/>
      <c r="TN675" s="25"/>
      <c r="TO675" s="25"/>
      <c r="TP675" s="25"/>
      <c r="TQ675" s="25"/>
      <c r="TR675" s="25"/>
      <c r="TS675" s="25"/>
      <c r="TT675" s="25"/>
      <c r="TU675" s="25"/>
      <c r="TV675" s="25"/>
      <c r="TW675" s="25"/>
      <c r="TX675" s="25"/>
      <c r="TY675" s="25"/>
      <c r="TZ675" s="25"/>
      <c r="UA675" s="25"/>
      <c r="UB675" s="25"/>
      <c r="UC675" s="25"/>
      <c r="UD675" s="25"/>
      <c r="UE675" s="25"/>
      <c r="UF675" s="25"/>
      <c r="UG675" s="26"/>
    </row>
    <row r="676" spans="1:553" ht="53.25" customHeight="1">
      <c r="A676" s="356" t="s">
        <v>17</v>
      </c>
      <c r="B676" s="356"/>
      <c r="C676" s="1404" t="s">
        <v>18</v>
      </c>
      <c r="D676" s="1389"/>
      <c r="E676" s="1389"/>
      <c r="F676" s="1390"/>
      <c r="G676" s="356" t="s">
        <v>1393</v>
      </c>
      <c r="H676" s="359">
        <f t="shared" ref="H676:I676" si="108">SUM(H677:H716)</f>
        <v>13053.799999999996</v>
      </c>
      <c r="I676" s="359">
        <f t="shared" si="108"/>
        <v>12833.499999999995</v>
      </c>
      <c r="J676" s="368"/>
      <c r="K676" s="371"/>
      <c r="L676" s="461">
        <f>SUM(L677:L716)</f>
        <v>754053800</v>
      </c>
      <c r="M676" s="356"/>
      <c r="N676" s="356"/>
      <c r="O676" s="356"/>
      <c r="P676" s="356">
        <f>L676</f>
        <v>754053800</v>
      </c>
      <c r="Q676" s="1084"/>
      <c r="R676" s="1447" t="s">
        <v>872</v>
      </c>
      <c r="S676" s="308"/>
      <c r="T676" s="308"/>
      <c r="U676" s="308"/>
      <c r="V676" s="308"/>
      <c r="W676" s="308"/>
      <c r="X676" s="308"/>
      <c r="Y676" s="308"/>
      <c r="Z676" s="604"/>
      <c r="AA676" s="308"/>
      <c r="AB676" s="308"/>
      <c r="AC676" s="449"/>
      <c r="AD676" s="449"/>
      <c r="AE676" s="449"/>
      <c r="AF676" s="449"/>
      <c r="AG676" s="449"/>
      <c r="AH676" s="449"/>
      <c r="AI676" s="449"/>
      <c r="AJ676" s="449"/>
      <c r="AK676" s="452"/>
      <c r="AL676" s="104"/>
      <c r="AM676" s="32"/>
      <c r="AN676" s="32"/>
      <c r="AO676" s="30"/>
      <c r="AP676" s="32"/>
      <c r="AQ676" s="32"/>
      <c r="AR676" s="32"/>
      <c r="AS676" s="31"/>
      <c r="AT676" s="31"/>
      <c r="AU676" s="31"/>
      <c r="AV676" s="31"/>
      <c r="AW676" s="31"/>
      <c r="AX676" s="31"/>
      <c r="AY676" s="31"/>
      <c r="AZ676" s="31"/>
      <c r="BA676" s="31"/>
      <c r="BB676" s="31"/>
      <c r="BC676" s="31"/>
      <c r="BD676" s="31"/>
      <c r="BE676" s="31"/>
      <c r="BF676" s="31"/>
      <c r="BG676" s="31"/>
      <c r="BH676" s="31"/>
      <c r="BI676" s="31"/>
      <c r="BJ676" s="31"/>
      <c r="BK676" s="31"/>
      <c r="BL676" s="31"/>
      <c r="BM676" s="31"/>
      <c r="BN676" s="31"/>
      <c r="BO676" s="31"/>
      <c r="BP676" s="25"/>
      <c r="BQ676" s="25"/>
      <c r="BR676" s="25"/>
      <c r="BS676" s="25"/>
      <c r="BT676" s="25"/>
      <c r="BU676" s="25"/>
      <c r="BV676" s="25"/>
      <c r="BW676" s="25"/>
      <c r="BX676" s="25"/>
      <c r="BY676" s="25"/>
      <c r="BZ676" s="25"/>
      <c r="CA676" s="25"/>
      <c r="CB676" s="25"/>
      <c r="CC676" s="25"/>
      <c r="CD676" s="25"/>
      <c r="CE676" s="25"/>
      <c r="CF676" s="25"/>
      <c r="CG676" s="25"/>
      <c r="CH676" s="25"/>
      <c r="CI676" s="25"/>
      <c r="CJ676" s="25"/>
      <c r="CK676" s="25"/>
      <c r="CL676" s="25"/>
      <c r="CM676" s="25"/>
      <c r="CN676" s="25"/>
      <c r="CO676" s="25"/>
      <c r="CP676" s="25"/>
      <c r="CQ676" s="25"/>
      <c r="CR676" s="25"/>
      <c r="CS676" s="25"/>
      <c r="CT676" s="25"/>
      <c r="CU676" s="25"/>
      <c r="CV676" s="25"/>
      <c r="CW676" s="25"/>
      <c r="CX676" s="25"/>
      <c r="CY676" s="25"/>
      <c r="CZ676" s="25"/>
      <c r="DA676" s="25"/>
      <c r="DB676" s="25"/>
      <c r="DC676" s="25"/>
      <c r="DD676" s="25"/>
      <c r="DE676" s="25"/>
      <c r="DF676" s="25"/>
      <c r="DG676" s="25"/>
      <c r="DH676" s="25"/>
      <c r="DI676" s="25"/>
      <c r="DJ676" s="25"/>
      <c r="DK676" s="25"/>
      <c r="DL676" s="25"/>
      <c r="DM676" s="25"/>
      <c r="DN676" s="25"/>
      <c r="DO676" s="25"/>
      <c r="DP676" s="25"/>
      <c r="DQ676" s="25"/>
      <c r="DR676" s="25"/>
      <c r="DS676" s="25"/>
      <c r="DT676" s="25"/>
      <c r="DU676" s="25"/>
      <c r="DV676" s="25"/>
      <c r="DW676" s="25"/>
      <c r="DX676" s="25"/>
      <c r="DY676" s="25"/>
      <c r="DZ676" s="25"/>
      <c r="EA676" s="25"/>
      <c r="EB676" s="25"/>
      <c r="EC676" s="25"/>
      <c r="ED676" s="25"/>
      <c r="EE676" s="25"/>
      <c r="EF676" s="25"/>
      <c r="EG676" s="25"/>
      <c r="EH676" s="25"/>
      <c r="EI676" s="25"/>
      <c r="EJ676" s="25"/>
      <c r="EK676" s="25"/>
      <c r="EL676" s="25"/>
      <c r="EM676" s="25"/>
      <c r="EN676" s="25"/>
      <c r="EO676" s="25"/>
      <c r="EP676" s="25"/>
      <c r="EQ676" s="25"/>
      <c r="ER676" s="25"/>
      <c r="ES676" s="25"/>
      <c r="ET676" s="25"/>
      <c r="EU676" s="25"/>
      <c r="EV676" s="25"/>
      <c r="EW676" s="25"/>
      <c r="EX676" s="25"/>
      <c r="EY676" s="25"/>
      <c r="EZ676" s="25"/>
      <c r="FA676" s="25"/>
      <c r="FB676" s="25"/>
      <c r="FC676" s="25"/>
      <c r="FD676" s="25"/>
      <c r="FE676" s="25"/>
      <c r="FF676" s="25"/>
      <c r="FG676" s="25"/>
      <c r="FH676" s="25"/>
      <c r="FI676" s="25"/>
      <c r="FJ676" s="25"/>
      <c r="FK676" s="25"/>
      <c r="FL676" s="25"/>
      <c r="FM676" s="25"/>
      <c r="FN676" s="25"/>
      <c r="FO676" s="25"/>
      <c r="FP676" s="25"/>
      <c r="FQ676" s="25"/>
      <c r="FR676" s="25"/>
      <c r="FS676" s="25"/>
      <c r="FT676" s="25"/>
      <c r="FU676" s="25"/>
      <c r="FV676" s="25"/>
      <c r="FW676" s="25"/>
      <c r="FX676" s="25"/>
      <c r="FY676" s="25"/>
      <c r="FZ676" s="25"/>
      <c r="GA676" s="25"/>
      <c r="GB676" s="25"/>
      <c r="GC676" s="25"/>
      <c r="GD676" s="25"/>
      <c r="GE676" s="25"/>
      <c r="GF676" s="25"/>
      <c r="GG676" s="25"/>
      <c r="GH676" s="25"/>
      <c r="GI676" s="25"/>
      <c r="GJ676" s="25"/>
      <c r="GK676" s="25"/>
      <c r="GL676" s="25"/>
      <c r="GM676" s="25"/>
      <c r="GN676" s="25"/>
      <c r="GO676" s="25"/>
      <c r="GP676" s="25"/>
      <c r="GQ676" s="25"/>
      <c r="GR676" s="25"/>
      <c r="GS676" s="25"/>
      <c r="GT676" s="25"/>
      <c r="GU676" s="25"/>
      <c r="GV676" s="25"/>
      <c r="GW676" s="25"/>
      <c r="GX676" s="25"/>
      <c r="GY676" s="25"/>
      <c r="GZ676" s="25"/>
      <c r="HA676" s="25"/>
      <c r="HB676" s="25"/>
      <c r="HC676" s="25"/>
      <c r="HD676" s="25"/>
      <c r="HE676" s="25"/>
      <c r="HF676" s="25"/>
      <c r="HG676" s="25"/>
      <c r="HH676" s="25"/>
      <c r="HI676" s="25"/>
      <c r="HJ676" s="25"/>
      <c r="HK676" s="25"/>
      <c r="HL676" s="25"/>
      <c r="HM676" s="25"/>
      <c r="HN676" s="25"/>
      <c r="HO676" s="25"/>
      <c r="HP676" s="25"/>
      <c r="HQ676" s="25"/>
      <c r="HR676" s="25"/>
      <c r="HS676" s="25"/>
      <c r="HT676" s="25"/>
      <c r="HU676" s="25"/>
      <c r="HV676" s="25"/>
      <c r="HW676" s="25"/>
      <c r="HX676" s="25"/>
      <c r="HY676" s="25"/>
      <c r="HZ676" s="25"/>
      <c r="IA676" s="25"/>
      <c r="IB676" s="25"/>
      <c r="IC676" s="25"/>
      <c r="ID676" s="25"/>
      <c r="IE676" s="25"/>
      <c r="IF676" s="25"/>
      <c r="IG676" s="25"/>
      <c r="IH676" s="25"/>
      <c r="II676" s="25"/>
      <c r="IJ676" s="25"/>
      <c r="IK676" s="25"/>
      <c r="IL676" s="25"/>
      <c r="IM676" s="25"/>
      <c r="IN676" s="25"/>
      <c r="IO676" s="25"/>
      <c r="IP676" s="25"/>
      <c r="IQ676" s="25"/>
      <c r="IR676" s="25"/>
      <c r="IS676" s="25"/>
      <c r="IT676" s="25"/>
      <c r="IU676" s="25"/>
      <c r="IV676" s="25"/>
      <c r="IW676" s="25"/>
      <c r="IX676" s="25"/>
      <c r="IY676" s="25"/>
      <c r="IZ676" s="25"/>
      <c r="JA676" s="25"/>
      <c r="JB676" s="25"/>
      <c r="JC676" s="25"/>
      <c r="JD676" s="25"/>
      <c r="JE676" s="25"/>
      <c r="JF676" s="25"/>
      <c r="JG676" s="25"/>
      <c r="JH676" s="25"/>
      <c r="JI676" s="25"/>
      <c r="JJ676" s="25"/>
      <c r="JK676" s="25"/>
      <c r="JL676" s="25"/>
      <c r="JM676" s="25"/>
      <c r="JN676" s="25"/>
      <c r="JO676" s="25"/>
      <c r="JP676" s="25"/>
      <c r="JQ676" s="25"/>
      <c r="JR676" s="25"/>
      <c r="JS676" s="25"/>
      <c r="JT676" s="25"/>
      <c r="JU676" s="25"/>
      <c r="JV676" s="25"/>
      <c r="JW676" s="25"/>
      <c r="JX676" s="25"/>
      <c r="JY676" s="25"/>
      <c r="JZ676" s="25"/>
      <c r="KA676" s="25"/>
      <c r="KB676" s="25"/>
      <c r="KC676" s="25"/>
      <c r="KD676" s="25"/>
      <c r="KE676" s="25"/>
      <c r="KF676" s="25"/>
      <c r="KG676" s="25"/>
      <c r="KH676" s="25"/>
      <c r="KI676" s="25"/>
      <c r="KJ676" s="25"/>
      <c r="KK676" s="25"/>
      <c r="KL676" s="25"/>
      <c r="KM676" s="25"/>
      <c r="KN676" s="25"/>
      <c r="KO676" s="25"/>
      <c r="KP676" s="25"/>
      <c r="KQ676" s="25"/>
      <c r="KR676" s="25"/>
      <c r="KS676" s="25"/>
      <c r="KT676" s="25"/>
      <c r="KU676" s="25"/>
      <c r="KV676" s="25"/>
      <c r="KW676" s="25"/>
      <c r="KX676" s="25"/>
      <c r="KY676" s="25"/>
      <c r="KZ676" s="25"/>
      <c r="LA676" s="25"/>
      <c r="LB676" s="25"/>
      <c r="LC676" s="25"/>
      <c r="LD676" s="25"/>
      <c r="LE676" s="25"/>
      <c r="LF676" s="25"/>
      <c r="LG676" s="25"/>
      <c r="LH676" s="25"/>
      <c r="LI676" s="25"/>
      <c r="LJ676" s="25"/>
      <c r="LK676" s="25"/>
      <c r="LL676" s="25"/>
      <c r="LM676" s="25"/>
      <c r="LN676" s="25"/>
      <c r="LO676" s="25"/>
      <c r="LP676" s="25"/>
      <c r="LQ676" s="25"/>
      <c r="LR676" s="25"/>
      <c r="LS676" s="25"/>
      <c r="LT676" s="25"/>
      <c r="LU676" s="25"/>
      <c r="LV676" s="25"/>
      <c r="LW676" s="25"/>
      <c r="LX676" s="25"/>
      <c r="LY676" s="25"/>
      <c r="LZ676" s="25"/>
      <c r="MA676" s="25"/>
      <c r="MB676" s="25"/>
      <c r="MC676" s="25"/>
      <c r="MD676" s="25"/>
      <c r="ME676" s="25"/>
      <c r="MF676" s="25"/>
      <c r="MG676" s="25"/>
      <c r="MH676" s="25"/>
      <c r="MI676" s="25"/>
      <c r="MJ676" s="25"/>
      <c r="MK676" s="25"/>
      <c r="ML676" s="25"/>
      <c r="MM676" s="25"/>
      <c r="MN676" s="25"/>
      <c r="MO676" s="25"/>
      <c r="MP676" s="25"/>
      <c r="MQ676" s="25"/>
      <c r="MR676" s="25"/>
      <c r="MS676" s="25"/>
      <c r="MT676" s="25"/>
      <c r="MU676" s="25"/>
      <c r="MV676" s="25"/>
      <c r="MW676" s="25"/>
      <c r="MX676" s="25"/>
      <c r="MY676" s="25"/>
      <c r="MZ676" s="25"/>
      <c r="NA676" s="25"/>
      <c r="NB676" s="25"/>
      <c r="NC676" s="25"/>
      <c r="ND676" s="25"/>
      <c r="NE676" s="25"/>
      <c r="NF676" s="25"/>
      <c r="NG676" s="25"/>
      <c r="NH676" s="25"/>
      <c r="NI676" s="25"/>
      <c r="NJ676" s="25"/>
      <c r="NK676" s="25"/>
      <c r="NL676" s="25"/>
      <c r="NM676" s="25"/>
      <c r="NN676" s="25"/>
      <c r="NO676" s="25"/>
      <c r="NP676" s="25"/>
      <c r="NQ676" s="25"/>
      <c r="NR676" s="25"/>
      <c r="NS676" s="25"/>
      <c r="NT676" s="25"/>
      <c r="NU676" s="25"/>
      <c r="NV676" s="25"/>
      <c r="NW676" s="25"/>
      <c r="NX676" s="25"/>
      <c r="NY676" s="25"/>
      <c r="NZ676" s="25"/>
      <c r="OA676" s="25"/>
      <c r="OB676" s="25"/>
      <c r="OC676" s="25"/>
      <c r="OD676" s="25"/>
      <c r="OE676" s="25"/>
      <c r="OF676" s="25"/>
      <c r="OG676" s="25"/>
      <c r="OH676" s="25"/>
      <c r="OI676" s="25"/>
      <c r="OJ676" s="25"/>
      <c r="OK676" s="25"/>
      <c r="OL676" s="25"/>
      <c r="OM676" s="25"/>
      <c r="ON676" s="25"/>
      <c r="OO676" s="25"/>
      <c r="OP676" s="25"/>
      <c r="OQ676" s="25"/>
      <c r="OR676" s="25"/>
      <c r="OS676" s="25"/>
      <c r="OT676" s="25"/>
      <c r="OU676" s="25"/>
      <c r="OV676" s="25"/>
      <c r="OW676" s="25"/>
      <c r="OX676" s="25"/>
      <c r="OY676" s="25"/>
      <c r="OZ676" s="25"/>
      <c r="PA676" s="25"/>
      <c r="PB676" s="25"/>
      <c r="PC676" s="25"/>
      <c r="PD676" s="25"/>
      <c r="PE676" s="25"/>
      <c r="PF676" s="25"/>
      <c r="PG676" s="25"/>
      <c r="PH676" s="25"/>
      <c r="PI676" s="25"/>
      <c r="PJ676" s="25"/>
      <c r="PK676" s="25"/>
      <c r="PL676" s="25"/>
      <c r="PM676" s="25"/>
      <c r="PN676" s="25"/>
      <c r="PO676" s="25"/>
      <c r="PP676" s="25"/>
      <c r="PQ676" s="25"/>
      <c r="PR676" s="25"/>
      <c r="PS676" s="25"/>
      <c r="PT676" s="25"/>
      <c r="PU676" s="25"/>
      <c r="PV676" s="25"/>
      <c r="PW676" s="25"/>
      <c r="PX676" s="25"/>
      <c r="PY676" s="25"/>
      <c r="PZ676" s="25"/>
      <c r="QA676" s="25"/>
      <c r="QB676" s="25"/>
      <c r="QC676" s="25"/>
      <c r="QD676" s="25"/>
      <c r="QE676" s="25"/>
      <c r="QF676" s="25"/>
      <c r="QG676" s="25"/>
      <c r="QH676" s="25"/>
      <c r="QI676" s="25"/>
      <c r="QJ676" s="25"/>
      <c r="QK676" s="25"/>
      <c r="QL676" s="25"/>
      <c r="QM676" s="25"/>
      <c r="QN676" s="25"/>
      <c r="QO676" s="25"/>
      <c r="QP676" s="25"/>
      <c r="QQ676" s="25"/>
      <c r="QR676" s="25"/>
      <c r="QS676" s="25"/>
      <c r="QT676" s="25"/>
      <c r="QU676" s="25"/>
      <c r="QV676" s="25"/>
      <c r="QW676" s="25"/>
      <c r="QX676" s="25"/>
      <c r="QY676" s="25"/>
      <c r="QZ676" s="25"/>
      <c r="RA676" s="25"/>
      <c r="RB676" s="25"/>
      <c r="RC676" s="25"/>
      <c r="RD676" s="25"/>
      <c r="RE676" s="25"/>
      <c r="RF676" s="25"/>
      <c r="RG676" s="25"/>
      <c r="RH676" s="25"/>
      <c r="RI676" s="25"/>
      <c r="RJ676" s="25"/>
      <c r="RK676" s="25"/>
      <c r="RL676" s="25"/>
      <c r="RM676" s="25"/>
      <c r="RN676" s="25"/>
      <c r="RO676" s="25"/>
      <c r="RP676" s="25"/>
      <c r="RQ676" s="25"/>
      <c r="RR676" s="25"/>
      <c r="RS676" s="25"/>
      <c r="RT676" s="25"/>
      <c r="RU676" s="25"/>
      <c r="RV676" s="25"/>
      <c r="RW676" s="25"/>
      <c r="RX676" s="25"/>
      <c r="RY676" s="25"/>
      <c r="RZ676" s="25"/>
      <c r="SA676" s="25"/>
      <c r="SB676" s="25"/>
      <c r="SC676" s="25"/>
      <c r="SD676" s="25"/>
      <c r="SE676" s="25"/>
      <c r="SF676" s="25"/>
      <c r="SG676" s="25"/>
      <c r="SH676" s="25"/>
      <c r="SI676" s="25"/>
      <c r="SJ676" s="25"/>
      <c r="SK676" s="25"/>
      <c r="SL676" s="25"/>
      <c r="SM676" s="25"/>
      <c r="SN676" s="25"/>
      <c r="SO676" s="25"/>
      <c r="SP676" s="25"/>
      <c r="SQ676" s="25"/>
      <c r="SR676" s="25"/>
      <c r="SS676" s="25"/>
      <c r="ST676" s="25"/>
      <c r="SU676" s="25"/>
      <c r="SV676" s="25"/>
      <c r="SW676" s="25"/>
      <c r="SX676" s="25"/>
      <c r="SY676" s="25"/>
      <c r="SZ676" s="25"/>
      <c r="TA676" s="25"/>
      <c r="TB676" s="25"/>
      <c r="TC676" s="25"/>
      <c r="TD676" s="25"/>
      <c r="TE676" s="25"/>
      <c r="TF676" s="25"/>
      <c r="TG676" s="25"/>
      <c r="TH676" s="25"/>
      <c r="TI676" s="25"/>
      <c r="TJ676" s="25"/>
      <c r="TK676" s="25"/>
      <c r="TL676" s="25"/>
      <c r="TM676" s="25"/>
      <c r="TN676" s="25"/>
      <c r="TO676" s="25"/>
      <c r="TP676" s="25"/>
      <c r="TQ676" s="25"/>
      <c r="TR676" s="25"/>
      <c r="TS676" s="25"/>
      <c r="TT676" s="25"/>
      <c r="TU676" s="25"/>
      <c r="TV676" s="25"/>
      <c r="TW676" s="25"/>
      <c r="TX676" s="25"/>
      <c r="TY676" s="25"/>
      <c r="TZ676" s="25"/>
      <c r="UA676" s="25"/>
      <c r="UB676" s="25"/>
      <c r="UC676" s="25"/>
      <c r="UD676" s="25"/>
      <c r="UE676" s="25"/>
      <c r="UF676" s="25"/>
      <c r="UG676" s="26"/>
    </row>
    <row r="677" spans="1:553" ht="68.5" customHeight="1">
      <c r="A677" s="356" t="s">
        <v>15</v>
      </c>
      <c r="B677" s="385"/>
      <c r="C677" s="384" t="s">
        <v>19</v>
      </c>
      <c r="D677" s="1432">
        <v>2</v>
      </c>
      <c r="E677" s="1432">
        <v>370</v>
      </c>
      <c r="F677" s="1435">
        <v>1</v>
      </c>
      <c r="G677" s="1469" t="s">
        <v>935</v>
      </c>
      <c r="H677" s="1470">
        <v>750.4</v>
      </c>
      <c r="I677" s="441">
        <v>400</v>
      </c>
      <c r="J677" s="368">
        <v>390000</v>
      </c>
      <c r="K677" s="371"/>
      <c r="L677" s="391">
        <f t="shared" ref="L677:L678" si="109">ROUND(PRODUCT(I677:K677),0)</f>
        <v>156000000</v>
      </c>
      <c r="M677" s="617" t="s">
        <v>21</v>
      </c>
      <c r="N677" s="618">
        <v>198000</v>
      </c>
      <c r="O677" s="544">
        <f>I677*M677*N677</f>
        <v>15840000</v>
      </c>
      <c r="P677" s="366"/>
      <c r="Q677" s="1415" t="s">
        <v>929</v>
      </c>
      <c r="R677" s="1452"/>
      <c r="S677" s="308"/>
      <c r="T677" s="308"/>
      <c r="U677" s="308"/>
      <c r="V677" s="308"/>
      <c r="W677" s="308"/>
      <c r="X677" s="308"/>
      <c r="Y677" s="308"/>
      <c r="Z677" s="604"/>
      <c r="AA677" s="308"/>
      <c r="AB677" s="308"/>
      <c r="AC677" s="449">
        <f>I677</f>
        <v>400</v>
      </c>
      <c r="AD677" s="449"/>
      <c r="AE677" s="449"/>
      <c r="AF677" s="449"/>
      <c r="AG677" s="449"/>
      <c r="AH677" s="449"/>
      <c r="AI677" s="449"/>
      <c r="AJ677" s="449"/>
      <c r="AK677" s="452"/>
      <c r="AL677" s="104"/>
      <c r="AM677" s="32"/>
      <c r="AN677" s="32"/>
      <c r="AO677" s="32"/>
      <c r="AP677" s="32"/>
      <c r="AQ677" s="32"/>
      <c r="AR677" s="32"/>
      <c r="AS677" s="31"/>
      <c r="AT677" s="22"/>
      <c r="AU677" s="22"/>
      <c r="AV677" s="22"/>
      <c r="AW677" s="22"/>
      <c r="AX677" s="22"/>
      <c r="AY677" s="22"/>
      <c r="AZ677" s="22"/>
      <c r="BA677" s="22"/>
      <c r="BB677" s="22"/>
      <c r="BC677" s="22"/>
      <c r="BD677" s="22"/>
      <c r="BE677" s="22"/>
      <c r="BF677" s="22"/>
      <c r="BG677" s="22"/>
      <c r="BH677" s="22"/>
      <c r="BI677" s="22"/>
      <c r="BJ677" s="22"/>
      <c r="BK677" s="22"/>
      <c r="BL677" s="22"/>
      <c r="BM677" s="22"/>
      <c r="BN677" s="22"/>
      <c r="BO677" s="22"/>
      <c r="BP677" s="25"/>
      <c r="BQ677" s="25"/>
      <c r="BR677" s="25"/>
      <c r="BS677" s="25"/>
      <c r="BT677" s="25"/>
      <c r="BU677" s="25"/>
      <c r="BV677" s="25"/>
      <c r="BW677" s="25"/>
      <c r="BX677" s="25"/>
      <c r="BY677" s="25"/>
      <c r="BZ677" s="25"/>
      <c r="CA677" s="25"/>
      <c r="CB677" s="25"/>
      <c r="CC677" s="25"/>
      <c r="CD677" s="25"/>
      <c r="CE677" s="25"/>
      <c r="CF677" s="25"/>
      <c r="CG677" s="25"/>
      <c r="CH677" s="25"/>
      <c r="CI677" s="25"/>
      <c r="CJ677" s="25"/>
      <c r="CK677" s="25"/>
      <c r="CL677" s="25"/>
      <c r="CM677" s="25"/>
      <c r="CN677" s="25"/>
      <c r="CO677" s="25"/>
      <c r="CP677" s="25"/>
      <c r="CQ677" s="25"/>
      <c r="CR677" s="25"/>
      <c r="CS677" s="25"/>
      <c r="CT677" s="25"/>
      <c r="CU677" s="25"/>
      <c r="CV677" s="25"/>
      <c r="CW677" s="25"/>
      <c r="CX677" s="25"/>
      <c r="CY677" s="25"/>
      <c r="CZ677" s="25"/>
      <c r="DA677" s="25"/>
      <c r="DB677" s="25"/>
      <c r="DC677" s="25"/>
      <c r="DD677" s="25"/>
      <c r="DE677" s="25"/>
      <c r="DF677" s="25"/>
      <c r="DG677" s="25"/>
      <c r="DH677" s="25"/>
      <c r="DI677" s="25"/>
      <c r="DJ677" s="25"/>
      <c r="DK677" s="25"/>
      <c r="DL677" s="25"/>
      <c r="DM677" s="25"/>
      <c r="DN677" s="25"/>
      <c r="DO677" s="25"/>
      <c r="DP677" s="25"/>
      <c r="DQ677" s="25"/>
      <c r="DR677" s="25"/>
      <c r="DS677" s="25"/>
      <c r="DT677" s="25"/>
      <c r="DU677" s="25"/>
      <c r="DV677" s="25"/>
      <c r="DW677" s="25"/>
      <c r="DX677" s="25"/>
      <c r="DY677" s="25"/>
      <c r="DZ677" s="25"/>
      <c r="EA677" s="25"/>
      <c r="EB677" s="25"/>
      <c r="EC677" s="25"/>
      <c r="ED677" s="25"/>
      <c r="EE677" s="25"/>
      <c r="EF677" s="25"/>
      <c r="EG677" s="25"/>
      <c r="EH677" s="25"/>
      <c r="EI677" s="25"/>
      <c r="EJ677" s="25"/>
      <c r="EK677" s="25"/>
      <c r="EL677" s="25"/>
      <c r="EM677" s="25"/>
      <c r="EN677" s="25"/>
      <c r="EO677" s="25"/>
      <c r="EP677" s="25"/>
      <c r="EQ677" s="25"/>
      <c r="ER677" s="25"/>
      <c r="ES677" s="25"/>
      <c r="ET677" s="25"/>
      <c r="EU677" s="25"/>
      <c r="EV677" s="25"/>
      <c r="EW677" s="25"/>
      <c r="EX677" s="25"/>
      <c r="EY677" s="25"/>
      <c r="EZ677" s="25"/>
      <c r="FA677" s="25"/>
      <c r="FB677" s="25"/>
      <c r="FC677" s="25"/>
      <c r="FD677" s="25"/>
      <c r="FE677" s="25"/>
      <c r="FF677" s="25"/>
      <c r="FG677" s="25"/>
      <c r="FH677" s="25"/>
      <c r="FI677" s="25"/>
      <c r="FJ677" s="25"/>
      <c r="FK677" s="25"/>
      <c r="FL677" s="25"/>
      <c r="FM677" s="25"/>
      <c r="FN677" s="25"/>
      <c r="FO677" s="25"/>
      <c r="FP677" s="25"/>
      <c r="FQ677" s="25"/>
      <c r="FR677" s="25"/>
      <c r="FS677" s="25"/>
      <c r="FT677" s="25"/>
      <c r="FU677" s="25"/>
      <c r="FV677" s="25"/>
      <c r="FW677" s="25"/>
      <c r="FX677" s="25"/>
      <c r="FY677" s="25"/>
      <c r="FZ677" s="25"/>
      <c r="GA677" s="25"/>
      <c r="GB677" s="25"/>
      <c r="GC677" s="25"/>
      <c r="GD677" s="25"/>
      <c r="GE677" s="25"/>
      <c r="GF677" s="25"/>
      <c r="GG677" s="25"/>
      <c r="GH677" s="25"/>
      <c r="GI677" s="25"/>
      <c r="GJ677" s="25"/>
      <c r="GK677" s="25"/>
      <c r="GL677" s="25"/>
      <c r="GM677" s="25"/>
      <c r="GN677" s="25"/>
      <c r="GO677" s="25"/>
      <c r="GP677" s="25"/>
      <c r="GQ677" s="25"/>
      <c r="GR677" s="25"/>
      <c r="GS677" s="25"/>
      <c r="GT677" s="25"/>
      <c r="GU677" s="25"/>
      <c r="GV677" s="25"/>
      <c r="GW677" s="25"/>
      <c r="GX677" s="25"/>
      <c r="GY677" s="25"/>
      <c r="GZ677" s="25"/>
      <c r="HA677" s="25"/>
      <c r="HB677" s="25"/>
      <c r="HC677" s="25"/>
      <c r="HD677" s="25"/>
      <c r="HE677" s="25"/>
      <c r="HF677" s="25"/>
      <c r="HG677" s="25"/>
      <c r="HH677" s="25"/>
      <c r="HI677" s="25"/>
      <c r="HJ677" s="25"/>
      <c r="HK677" s="25"/>
      <c r="HL677" s="25"/>
      <c r="HM677" s="25"/>
      <c r="HN677" s="25"/>
      <c r="HO677" s="25"/>
      <c r="HP677" s="25"/>
      <c r="HQ677" s="25"/>
      <c r="HR677" s="25"/>
      <c r="HS677" s="25"/>
      <c r="HT677" s="25"/>
      <c r="HU677" s="25"/>
      <c r="HV677" s="25"/>
      <c r="HW677" s="25"/>
      <c r="HX677" s="25"/>
      <c r="HY677" s="25"/>
      <c r="HZ677" s="25"/>
      <c r="IA677" s="25"/>
      <c r="IB677" s="25"/>
      <c r="IC677" s="25"/>
      <c r="ID677" s="25"/>
      <c r="IE677" s="25"/>
      <c r="IF677" s="25"/>
      <c r="IG677" s="25"/>
      <c r="IH677" s="25"/>
      <c r="II677" s="25"/>
      <c r="IJ677" s="25"/>
      <c r="IK677" s="25"/>
      <c r="IL677" s="25"/>
      <c r="IM677" s="25"/>
      <c r="IN677" s="25"/>
      <c r="IO677" s="25"/>
      <c r="IP677" s="25"/>
      <c r="IQ677" s="25"/>
      <c r="IR677" s="25"/>
      <c r="IS677" s="25"/>
      <c r="IT677" s="25"/>
      <c r="IU677" s="25"/>
      <c r="IV677" s="25"/>
      <c r="IW677" s="25"/>
      <c r="IX677" s="25"/>
      <c r="IY677" s="25"/>
      <c r="IZ677" s="25"/>
      <c r="JA677" s="25"/>
      <c r="JB677" s="25"/>
      <c r="JC677" s="25"/>
      <c r="JD677" s="25"/>
      <c r="JE677" s="25"/>
      <c r="JF677" s="25"/>
      <c r="JG677" s="25"/>
      <c r="JH677" s="25"/>
      <c r="JI677" s="25"/>
      <c r="JJ677" s="25"/>
      <c r="JK677" s="25"/>
      <c r="JL677" s="25"/>
      <c r="JM677" s="25"/>
      <c r="JN677" s="25"/>
      <c r="JO677" s="25"/>
      <c r="JP677" s="25"/>
      <c r="JQ677" s="25"/>
      <c r="JR677" s="25"/>
      <c r="JS677" s="25"/>
      <c r="JT677" s="25"/>
      <c r="JU677" s="25"/>
      <c r="JV677" s="25"/>
      <c r="JW677" s="25"/>
      <c r="JX677" s="25"/>
      <c r="JY677" s="25"/>
      <c r="JZ677" s="25"/>
      <c r="KA677" s="25"/>
      <c r="KB677" s="25"/>
      <c r="KC677" s="25"/>
      <c r="KD677" s="25"/>
      <c r="KE677" s="25"/>
      <c r="KF677" s="25"/>
      <c r="KG677" s="25"/>
      <c r="KH677" s="25"/>
      <c r="KI677" s="25"/>
      <c r="KJ677" s="25"/>
      <c r="KK677" s="25"/>
      <c r="KL677" s="25"/>
      <c r="KM677" s="25"/>
      <c r="KN677" s="25"/>
      <c r="KO677" s="25"/>
      <c r="KP677" s="25"/>
      <c r="KQ677" s="25"/>
      <c r="KR677" s="25"/>
      <c r="KS677" s="25"/>
      <c r="KT677" s="25"/>
      <c r="KU677" s="25"/>
      <c r="KV677" s="25"/>
      <c r="KW677" s="25"/>
      <c r="KX677" s="25"/>
      <c r="KY677" s="25"/>
      <c r="KZ677" s="25"/>
      <c r="LA677" s="25"/>
      <c r="LB677" s="25"/>
      <c r="LC677" s="25"/>
      <c r="LD677" s="25"/>
      <c r="LE677" s="25"/>
      <c r="LF677" s="25"/>
      <c r="LG677" s="25"/>
      <c r="LH677" s="25"/>
      <c r="LI677" s="25"/>
      <c r="LJ677" s="25"/>
      <c r="LK677" s="25"/>
      <c r="LL677" s="25"/>
      <c r="LM677" s="25"/>
      <c r="LN677" s="25"/>
      <c r="LO677" s="25"/>
      <c r="LP677" s="25"/>
      <c r="LQ677" s="25"/>
      <c r="LR677" s="25"/>
      <c r="LS677" s="25"/>
      <c r="LT677" s="25"/>
      <c r="LU677" s="25"/>
      <c r="LV677" s="25"/>
      <c r="LW677" s="25"/>
      <c r="LX677" s="25"/>
      <c r="LY677" s="25"/>
      <c r="LZ677" s="25"/>
      <c r="MA677" s="25"/>
      <c r="MB677" s="25"/>
      <c r="MC677" s="25"/>
      <c r="MD677" s="25"/>
      <c r="ME677" s="25"/>
      <c r="MF677" s="25"/>
      <c r="MG677" s="25"/>
      <c r="MH677" s="25"/>
      <c r="MI677" s="25"/>
      <c r="MJ677" s="25"/>
      <c r="MK677" s="25"/>
      <c r="ML677" s="25"/>
      <c r="MM677" s="25"/>
      <c r="MN677" s="25"/>
      <c r="MO677" s="25"/>
      <c r="MP677" s="25"/>
      <c r="MQ677" s="25"/>
      <c r="MR677" s="25"/>
      <c r="MS677" s="25"/>
      <c r="MT677" s="25"/>
      <c r="MU677" s="25"/>
      <c r="MV677" s="25"/>
      <c r="MW677" s="25"/>
      <c r="MX677" s="25"/>
      <c r="MY677" s="25"/>
      <c r="MZ677" s="25"/>
      <c r="NA677" s="25"/>
      <c r="NB677" s="25"/>
      <c r="NC677" s="25"/>
      <c r="ND677" s="25"/>
      <c r="NE677" s="25"/>
      <c r="NF677" s="25"/>
      <c r="NG677" s="25"/>
      <c r="NH677" s="25"/>
      <c r="NI677" s="25"/>
      <c r="NJ677" s="25"/>
      <c r="NK677" s="25"/>
      <c r="NL677" s="25"/>
      <c r="NM677" s="25"/>
      <c r="NN677" s="25"/>
      <c r="NO677" s="25"/>
      <c r="NP677" s="25"/>
      <c r="NQ677" s="25"/>
      <c r="NR677" s="25"/>
      <c r="NS677" s="25"/>
      <c r="NT677" s="25"/>
      <c r="NU677" s="25"/>
      <c r="NV677" s="25"/>
      <c r="NW677" s="25"/>
      <c r="NX677" s="25"/>
      <c r="NY677" s="25"/>
      <c r="NZ677" s="25"/>
      <c r="OA677" s="25"/>
      <c r="OB677" s="25"/>
      <c r="OC677" s="25"/>
      <c r="OD677" s="25"/>
      <c r="OE677" s="25"/>
      <c r="OF677" s="25"/>
      <c r="OG677" s="25"/>
      <c r="OH677" s="25"/>
      <c r="OI677" s="25"/>
      <c r="OJ677" s="25"/>
      <c r="OK677" s="25"/>
      <c r="OL677" s="25"/>
      <c r="OM677" s="25"/>
      <c r="ON677" s="25"/>
      <c r="OO677" s="25"/>
      <c r="OP677" s="25"/>
      <c r="OQ677" s="25"/>
      <c r="OR677" s="25"/>
      <c r="OS677" s="25"/>
      <c r="OT677" s="25"/>
      <c r="OU677" s="25"/>
      <c r="OV677" s="25"/>
      <c r="OW677" s="25"/>
      <c r="OX677" s="25"/>
      <c r="OY677" s="25"/>
      <c r="OZ677" s="25"/>
      <c r="PA677" s="25"/>
      <c r="PB677" s="25"/>
      <c r="PC677" s="25"/>
      <c r="PD677" s="25"/>
      <c r="PE677" s="25"/>
      <c r="PF677" s="25"/>
      <c r="PG677" s="25"/>
      <c r="PH677" s="25"/>
      <c r="PI677" s="25"/>
      <c r="PJ677" s="25"/>
      <c r="PK677" s="25"/>
      <c r="PL677" s="25"/>
      <c r="PM677" s="25"/>
      <c r="PN677" s="25"/>
      <c r="PO677" s="25"/>
      <c r="PP677" s="25"/>
      <c r="PQ677" s="25"/>
      <c r="PR677" s="25"/>
      <c r="PS677" s="25"/>
      <c r="PT677" s="25"/>
      <c r="PU677" s="25"/>
      <c r="PV677" s="25"/>
      <c r="PW677" s="25"/>
      <c r="PX677" s="25"/>
      <c r="PY677" s="25"/>
      <c r="PZ677" s="25"/>
      <c r="QA677" s="25"/>
      <c r="QB677" s="25"/>
      <c r="QC677" s="25"/>
      <c r="QD677" s="25"/>
      <c r="QE677" s="25"/>
      <c r="QF677" s="25"/>
      <c r="QG677" s="25"/>
      <c r="QH677" s="25"/>
      <c r="QI677" s="25"/>
      <c r="QJ677" s="25"/>
      <c r="QK677" s="25"/>
      <c r="QL677" s="25"/>
      <c r="QM677" s="25"/>
      <c r="QN677" s="25"/>
      <c r="QO677" s="25"/>
      <c r="QP677" s="25"/>
      <c r="QQ677" s="25"/>
      <c r="QR677" s="25"/>
      <c r="QS677" s="25"/>
      <c r="QT677" s="25"/>
      <c r="QU677" s="25"/>
      <c r="QV677" s="25"/>
      <c r="QW677" s="25"/>
      <c r="QX677" s="25"/>
      <c r="QY677" s="25"/>
      <c r="QZ677" s="25"/>
      <c r="RA677" s="25"/>
      <c r="RB677" s="25"/>
      <c r="RC677" s="25"/>
      <c r="RD677" s="25"/>
      <c r="RE677" s="25"/>
      <c r="RF677" s="25"/>
      <c r="RG677" s="25"/>
      <c r="RH677" s="25"/>
      <c r="RI677" s="25"/>
      <c r="RJ677" s="25"/>
      <c r="RK677" s="25"/>
      <c r="RL677" s="25"/>
      <c r="RM677" s="25"/>
      <c r="RN677" s="25"/>
      <c r="RO677" s="25"/>
      <c r="RP677" s="25"/>
      <c r="RQ677" s="25"/>
      <c r="RR677" s="25"/>
      <c r="RS677" s="25"/>
      <c r="RT677" s="25"/>
      <c r="RU677" s="25"/>
      <c r="RV677" s="25"/>
      <c r="RW677" s="25"/>
      <c r="RX677" s="25"/>
      <c r="RY677" s="25"/>
      <c r="RZ677" s="25"/>
      <c r="SA677" s="25"/>
      <c r="SB677" s="25"/>
      <c r="SC677" s="25"/>
      <c r="SD677" s="25"/>
      <c r="SE677" s="25"/>
      <c r="SF677" s="25"/>
      <c r="SG677" s="25"/>
      <c r="SH677" s="25"/>
      <c r="SI677" s="25"/>
      <c r="SJ677" s="25"/>
      <c r="SK677" s="25"/>
      <c r="SL677" s="25"/>
      <c r="SM677" s="25"/>
      <c r="SN677" s="25"/>
      <c r="SO677" s="25"/>
      <c r="SP677" s="25"/>
      <c r="SQ677" s="25"/>
      <c r="SR677" s="25"/>
      <c r="SS677" s="25"/>
      <c r="ST677" s="25"/>
      <c r="SU677" s="25"/>
      <c r="SV677" s="25"/>
      <c r="SW677" s="25"/>
      <c r="SX677" s="25"/>
      <c r="SY677" s="25"/>
      <c r="SZ677" s="25"/>
      <c r="TA677" s="25"/>
      <c r="TB677" s="25"/>
      <c r="TC677" s="25"/>
      <c r="TD677" s="25"/>
      <c r="TE677" s="25"/>
      <c r="TF677" s="25"/>
      <c r="TG677" s="25"/>
      <c r="TH677" s="25"/>
      <c r="TI677" s="25"/>
      <c r="TJ677" s="25"/>
      <c r="TK677" s="25"/>
      <c r="TL677" s="25"/>
      <c r="TM677" s="25"/>
      <c r="TN677" s="25"/>
      <c r="TO677" s="25"/>
      <c r="TP677" s="25"/>
      <c r="TQ677" s="25"/>
      <c r="TR677" s="25"/>
      <c r="TS677" s="25"/>
      <c r="TT677" s="25"/>
      <c r="TU677" s="25"/>
      <c r="TV677" s="25"/>
      <c r="TW677" s="25"/>
      <c r="TX677" s="25"/>
      <c r="TY677" s="25"/>
      <c r="TZ677" s="25"/>
      <c r="UA677" s="25"/>
      <c r="UB677" s="25"/>
      <c r="UC677" s="25"/>
      <c r="UD677" s="25"/>
      <c r="UE677" s="25"/>
      <c r="UF677" s="25"/>
      <c r="UG677" s="26"/>
    </row>
    <row r="678" spans="1:553" s="169" customFormat="1" ht="59.25" customHeight="1">
      <c r="A678" s="356" t="s">
        <v>15</v>
      </c>
      <c r="B678" s="385"/>
      <c r="C678" s="384" t="s">
        <v>22</v>
      </c>
      <c r="D678" s="1433"/>
      <c r="E678" s="1434"/>
      <c r="F678" s="1433"/>
      <c r="G678" s="1434"/>
      <c r="H678" s="1433"/>
      <c r="I678" s="441">
        <f>H677-I677</f>
        <v>350.4</v>
      </c>
      <c r="J678" s="368">
        <v>60000</v>
      </c>
      <c r="K678" s="371"/>
      <c r="L678" s="391">
        <f t="shared" si="109"/>
        <v>21024000</v>
      </c>
      <c r="M678" s="392"/>
      <c r="N678" s="392"/>
      <c r="O678" s="366"/>
      <c r="P678" s="366"/>
      <c r="Q678" s="1416"/>
      <c r="R678" s="1452"/>
      <c r="S678" s="308"/>
      <c r="T678" s="308"/>
      <c r="U678" s="308"/>
      <c r="V678" s="308"/>
      <c r="W678" s="308"/>
      <c r="X678" s="308"/>
      <c r="Y678" s="308"/>
      <c r="Z678" s="604"/>
      <c r="AA678" s="308"/>
      <c r="AB678" s="307">
        <f>I678</f>
        <v>350.4</v>
      </c>
      <c r="AC678" s="449"/>
      <c r="AD678" s="449"/>
      <c r="AE678" s="449"/>
      <c r="AF678" s="449"/>
      <c r="AG678" s="449"/>
      <c r="AH678" s="449"/>
      <c r="AI678" s="449"/>
      <c r="AJ678" s="449"/>
      <c r="AK678" s="452"/>
      <c r="AL678" s="869"/>
      <c r="AM678" s="870"/>
      <c r="AN678" s="870"/>
      <c r="AO678" s="870"/>
      <c r="AP678" s="870"/>
      <c r="AQ678" s="870"/>
      <c r="AR678" s="870"/>
      <c r="AS678" s="165"/>
      <c r="AT678" s="166"/>
      <c r="AU678" s="166"/>
      <c r="AV678" s="166"/>
      <c r="AW678" s="166"/>
      <c r="AX678" s="166"/>
      <c r="AY678" s="166"/>
      <c r="AZ678" s="166"/>
      <c r="BA678" s="166"/>
      <c r="BB678" s="166"/>
      <c r="BC678" s="166"/>
      <c r="BD678" s="166"/>
      <c r="BE678" s="166"/>
      <c r="BF678" s="166"/>
      <c r="BG678" s="166"/>
      <c r="BH678" s="166"/>
      <c r="BI678" s="166"/>
      <c r="BJ678" s="166"/>
      <c r="BK678" s="166"/>
      <c r="BL678" s="166"/>
      <c r="BM678" s="166"/>
      <c r="BN678" s="166"/>
      <c r="BO678" s="166"/>
      <c r="BP678" s="167"/>
      <c r="BQ678" s="167"/>
      <c r="BR678" s="167"/>
      <c r="BS678" s="167"/>
      <c r="BT678" s="167"/>
      <c r="BU678" s="167"/>
      <c r="BV678" s="167"/>
      <c r="BW678" s="167"/>
      <c r="BX678" s="167"/>
      <c r="BY678" s="167"/>
      <c r="BZ678" s="167"/>
      <c r="CA678" s="167"/>
      <c r="CB678" s="167"/>
      <c r="CC678" s="167"/>
      <c r="CD678" s="167"/>
      <c r="CE678" s="167"/>
      <c r="CF678" s="167"/>
      <c r="CG678" s="167"/>
      <c r="CH678" s="167"/>
      <c r="CI678" s="167"/>
      <c r="CJ678" s="167"/>
      <c r="CK678" s="167"/>
      <c r="CL678" s="167"/>
      <c r="CM678" s="167"/>
      <c r="CN678" s="167"/>
      <c r="CO678" s="167"/>
      <c r="CP678" s="167"/>
      <c r="CQ678" s="167"/>
      <c r="CR678" s="167"/>
      <c r="CS678" s="167"/>
      <c r="CT678" s="167"/>
      <c r="CU678" s="167"/>
      <c r="CV678" s="167"/>
      <c r="CW678" s="167"/>
      <c r="CX678" s="167"/>
      <c r="CY678" s="167"/>
      <c r="CZ678" s="167"/>
      <c r="DA678" s="167"/>
      <c r="DB678" s="167"/>
      <c r="DC678" s="167"/>
      <c r="DD678" s="167"/>
      <c r="DE678" s="167"/>
      <c r="DF678" s="167"/>
      <c r="DG678" s="167"/>
      <c r="DH678" s="167"/>
      <c r="DI678" s="167"/>
      <c r="DJ678" s="167"/>
      <c r="DK678" s="167"/>
      <c r="DL678" s="167"/>
      <c r="DM678" s="167"/>
      <c r="DN678" s="167"/>
      <c r="DO678" s="167"/>
      <c r="DP678" s="167"/>
      <c r="DQ678" s="167"/>
      <c r="DR678" s="167"/>
      <c r="DS678" s="167"/>
      <c r="DT678" s="167"/>
      <c r="DU678" s="167"/>
      <c r="DV678" s="167"/>
      <c r="DW678" s="167"/>
      <c r="DX678" s="167"/>
      <c r="DY678" s="167"/>
      <c r="DZ678" s="167"/>
      <c r="EA678" s="167"/>
      <c r="EB678" s="167"/>
      <c r="EC678" s="167"/>
      <c r="ED678" s="167"/>
      <c r="EE678" s="167"/>
      <c r="EF678" s="167"/>
      <c r="EG678" s="167"/>
      <c r="EH678" s="167"/>
      <c r="EI678" s="167"/>
      <c r="EJ678" s="167"/>
      <c r="EK678" s="167"/>
      <c r="EL678" s="167"/>
      <c r="EM678" s="167"/>
      <c r="EN678" s="167"/>
      <c r="EO678" s="167"/>
      <c r="EP678" s="167"/>
      <c r="EQ678" s="167"/>
      <c r="ER678" s="167"/>
      <c r="ES678" s="167"/>
      <c r="ET678" s="167"/>
      <c r="EU678" s="167"/>
      <c r="EV678" s="167"/>
      <c r="EW678" s="167"/>
      <c r="EX678" s="167"/>
      <c r="EY678" s="167"/>
      <c r="EZ678" s="167"/>
      <c r="FA678" s="167"/>
      <c r="FB678" s="167"/>
      <c r="FC678" s="167"/>
      <c r="FD678" s="167"/>
      <c r="FE678" s="167"/>
      <c r="FF678" s="167"/>
      <c r="FG678" s="167"/>
      <c r="FH678" s="167"/>
      <c r="FI678" s="167"/>
      <c r="FJ678" s="167"/>
      <c r="FK678" s="167"/>
      <c r="FL678" s="167"/>
      <c r="FM678" s="167"/>
      <c r="FN678" s="167"/>
      <c r="FO678" s="167"/>
      <c r="FP678" s="167"/>
      <c r="FQ678" s="167"/>
      <c r="FR678" s="167"/>
      <c r="FS678" s="167"/>
      <c r="FT678" s="167"/>
      <c r="FU678" s="167"/>
      <c r="FV678" s="167"/>
      <c r="FW678" s="167"/>
      <c r="FX678" s="167"/>
      <c r="FY678" s="167"/>
      <c r="FZ678" s="167"/>
      <c r="GA678" s="167"/>
      <c r="GB678" s="167"/>
      <c r="GC678" s="167"/>
      <c r="GD678" s="167"/>
      <c r="GE678" s="167"/>
      <c r="GF678" s="167"/>
      <c r="GG678" s="167"/>
      <c r="GH678" s="167"/>
      <c r="GI678" s="167"/>
      <c r="GJ678" s="167"/>
      <c r="GK678" s="167"/>
      <c r="GL678" s="167"/>
      <c r="GM678" s="167"/>
      <c r="GN678" s="167"/>
      <c r="GO678" s="167"/>
      <c r="GP678" s="167"/>
      <c r="GQ678" s="167"/>
      <c r="GR678" s="167"/>
      <c r="GS678" s="167"/>
      <c r="GT678" s="167"/>
      <c r="GU678" s="167"/>
      <c r="GV678" s="167"/>
      <c r="GW678" s="167"/>
      <c r="GX678" s="167"/>
      <c r="GY678" s="167"/>
      <c r="GZ678" s="167"/>
      <c r="HA678" s="167"/>
      <c r="HB678" s="167"/>
      <c r="HC678" s="167"/>
      <c r="HD678" s="167"/>
      <c r="HE678" s="167"/>
      <c r="HF678" s="167"/>
      <c r="HG678" s="167"/>
      <c r="HH678" s="167"/>
      <c r="HI678" s="167"/>
      <c r="HJ678" s="167"/>
      <c r="HK678" s="167"/>
      <c r="HL678" s="167"/>
      <c r="HM678" s="167"/>
      <c r="HN678" s="167"/>
      <c r="HO678" s="167"/>
      <c r="HP678" s="167"/>
      <c r="HQ678" s="167"/>
      <c r="HR678" s="167"/>
      <c r="HS678" s="167"/>
      <c r="HT678" s="167"/>
      <c r="HU678" s="167"/>
      <c r="HV678" s="167"/>
      <c r="HW678" s="167"/>
      <c r="HX678" s="167"/>
      <c r="HY678" s="167"/>
      <c r="HZ678" s="167"/>
      <c r="IA678" s="167"/>
      <c r="IB678" s="167"/>
      <c r="IC678" s="167"/>
      <c r="ID678" s="167"/>
      <c r="IE678" s="167"/>
      <c r="IF678" s="167"/>
      <c r="IG678" s="167"/>
      <c r="IH678" s="167"/>
      <c r="II678" s="167"/>
      <c r="IJ678" s="167"/>
      <c r="IK678" s="167"/>
      <c r="IL678" s="167"/>
      <c r="IM678" s="167"/>
      <c r="IN678" s="167"/>
      <c r="IO678" s="167"/>
      <c r="IP678" s="167"/>
      <c r="IQ678" s="167"/>
      <c r="IR678" s="167"/>
      <c r="IS678" s="167"/>
      <c r="IT678" s="167"/>
      <c r="IU678" s="167"/>
      <c r="IV678" s="167"/>
      <c r="IW678" s="167"/>
      <c r="IX678" s="167"/>
      <c r="IY678" s="167"/>
      <c r="IZ678" s="167"/>
      <c r="JA678" s="167"/>
      <c r="JB678" s="167"/>
      <c r="JC678" s="167"/>
      <c r="JD678" s="167"/>
      <c r="JE678" s="167"/>
      <c r="JF678" s="167"/>
      <c r="JG678" s="167"/>
      <c r="JH678" s="167"/>
      <c r="JI678" s="167"/>
      <c r="JJ678" s="167"/>
      <c r="JK678" s="167"/>
      <c r="JL678" s="167"/>
      <c r="JM678" s="167"/>
      <c r="JN678" s="167"/>
      <c r="JO678" s="167"/>
      <c r="JP678" s="167"/>
      <c r="JQ678" s="167"/>
      <c r="JR678" s="167"/>
      <c r="JS678" s="167"/>
      <c r="JT678" s="167"/>
      <c r="JU678" s="167"/>
      <c r="JV678" s="167"/>
      <c r="JW678" s="167"/>
      <c r="JX678" s="167"/>
      <c r="JY678" s="167"/>
      <c r="JZ678" s="167"/>
      <c r="KA678" s="167"/>
      <c r="KB678" s="167"/>
      <c r="KC678" s="167"/>
      <c r="KD678" s="167"/>
      <c r="KE678" s="167"/>
      <c r="KF678" s="167"/>
      <c r="KG678" s="167"/>
      <c r="KH678" s="167"/>
      <c r="KI678" s="167"/>
      <c r="KJ678" s="167"/>
      <c r="KK678" s="167"/>
      <c r="KL678" s="167"/>
      <c r="KM678" s="167"/>
      <c r="KN678" s="167"/>
      <c r="KO678" s="167"/>
      <c r="KP678" s="167"/>
      <c r="KQ678" s="167"/>
      <c r="KR678" s="167"/>
      <c r="KS678" s="167"/>
      <c r="KT678" s="167"/>
      <c r="KU678" s="167"/>
      <c r="KV678" s="167"/>
      <c r="KW678" s="167"/>
      <c r="KX678" s="167"/>
      <c r="KY678" s="167"/>
      <c r="KZ678" s="167"/>
      <c r="LA678" s="167"/>
      <c r="LB678" s="167"/>
      <c r="LC678" s="167"/>
      <c r="LD678" s="167"/>
      <c r="LE678" s="167"/>
      <c r="LF678" s="167"/>
      <c r="LG678" s="167"/>
      <c r="LH678" s="167"/>
      <c r="LI678" s="167"/>
      <c r="LJ678" s="167"/>
      <c r="LK678" s="167"/>
      <c r="LL678" s="167"/>
      <c r="LM678" s="167"/>
      <c r="LN678" s="167"/>
      <c r="LO678" s="167"/>
      <c r="LP678" s="167"/>
      <c r="LQ678" s="167"/>
      <c r="LR678" s="167"/>
      <c r="LS678" s="167"/>
      <c r="LT678" s="167"/>
      <c r="LU678" s="167"/>
      <c r="LV678" s="167"/>
      <c r="LW678" s="167"/>
      <c r="LX678" s="167"/>
      <c r="LY678" s="167"/>
      <c r="LZ678" s="167"/>
      <c r="MA678" s="167"/>
      <c r="MB678" s="167"/>
      <c r="MC678" s="167"/>
      <c r="MD678" s="167"/>
      <c r="ME678" s="167"/>
      <c r="MF678" s="167"/>
      <c r="MG678" s="167"/>
      <c r="MH678" s="167"/>
      <c r="MI678" s="167"/>
      <c r="MJ678" s="167"/>
      <c r="MK678" s="167"/>
      <c r="ML678" s="167"/>
      <c r="MM678" s="167"/>
      <c r="MN678" s="167"/>
      <c r="MO678" s="167"/>
      <c r="MP678" s="167"/>
      <c r="MQ678" s="167"/>
      <c r="MR678" s="167"/>
      <c r="MS678" s="167"/>
      <c r="MT678" s="167"/>
      <c r="MU678" s="167"/>
      <c r="MV678" s="167"/>
      <c r="MW678" s="167"/>
      <c r="MX678" s="167"/>
      <c r="MY678" s="167"/>
      <c r="MZ678" s="167"/>
      <c r="NA678" s="167"/>
      <c r="NB678" s="167"/>
      <c r="NC678" s="167"/>
      <c r="ND678" s="167"/>
      <c r="NE678" s="167"/>
      <c r="NF678" s="167"/>
      <c r="NG678" s="167"/>
      <c r="NH678" s="167"/>
      <c r="NI678" s="167"/>
      <c r="NJ678" s="167"/>
      <c r="NK678" s="167"/>
      <c r="NL678" s="167"/>
      <c r="NM678" s="167"/>
      <c r="NN678" s="167"/>
      <c r="NO678" s="167"/>
      <c r="NP678" s="167"/>
      <c r="NQ678" s="167"/>
      <c r="NR678" s="167"/>
      <c r="NS678" s="167"/>
      <c r="NT678" s="167"/>
      <c r="NU678" s="167"/>
      <c r="NV678" s="167"/>
      <c r="NW678" s="167"/>
      <c r="NX678" s="167"/>
      <c r="NY678" s="167"/>
      <c r="NZ678" s="167"/>
      <c r="OA678" s="167"/>
      <c r="OB678" s="167"/>
      <c r="OC678" s="167"/>
      <c r="OD678" s="167"/>
      <c r="OE678" s="167"/>
      <c r="OF678" s="167"/>
      <c r="OG678" s="167"/>
      <c r="OH678" s="167"/>
      <c r="OI678" s="167"/>
      <c r="OJ678" s="167"/>
      <c r="OK678" s="167"/>
      <c r="OL678" s="167"/>
      <c r="OM678" s="167"/>
      <c r="ON678" s="167"/>
      <c r="OO678" s="167"/>
      <c r="OP678" s="167"/>
      <c r="OQ678" s="167"/>
      <c r="OR678" s="167"/>
      <c r="OS678" s="167"/>
      <c r="OT678" s="167"/>
      <c r="OU678" s="167"/>
      <c r="OV678" s="167"/>
      <c r="OW678" s="167"/>
      <c r="OX678" s="167"/>
      <c r="OY678" s="167"/>
      <c r="OZ678" s="167"/>
      <c r="PA678" s="167"/>
      <c r="PB678" s="167"/>
      <c r="PC678" s="167"/>
      <c r="PD678" s="167"/>
      <c r="PE678" s="167"/>
      <c r="PF678" s="167"/>
      <c r="PG678" s="167"/>
      <c r="PH678" s="167"/>
      <c r="PI678" s="167"/>
      <c r="PJ678" s="167"/>
      <c r="PK678" s="167"/>
      <c r="PL678" s="167"/>
      <c r="PM678" s="167"/>
      <c r="PN678" s="167"/>
      <c r="PO678" s="167"/>
      <c r="PP678" s="167"/>
      <c r="PQ678" s="167"/>
      <c r="PR678" s="167"/>
      <c r="PS678" s="167"/>
      <c r="PT678" s="167"/>
      <c r="PU678" s="167"/>
      <c r="PV678" s="167"/>
      <c r="PW678" s="167"/>
      <c r="PX678" s="167"/>
      <c r="PY678" s="167"/>
      <c r="PZ678" s="167"/>
      <c r="QA678" s="167"/>
      <c r="QB678" s="167"/>
      <c r="QC678" s="167"/>
      <c r="QD678" s="167"/>
      <c r="QE678" s="167"/>
      <c r="QF678" s="167"/>
      <c r="QG678" s="167"/>
      <c r="QH678" s="167"/>
      <c r="QI678" s="167"/>
      <c r="QJ678" s="167"/>
      <c r="QK678" s="167"/>
      <c r="QL678" s="167"/>
      <c r="QM678" s="167"/>
      <c r="QN678" s="167"/>
      <c r="QO678" s="167"/>
      <c r="QP678" s="167"/>
      <c r="QQ678" s="167"/>
      <c r="QR678" s="167"/>
      <c r="QS678" s="167"/>
      <c r="QT678" s="167"/>
      <c r="QU678" s="167"/>
      <c r="QV678" s="167"/>
      <c r="QW678" s="167"/>
      <c r="QX678" s="167"/>
      <c r="QY678" s="167"/>
      <c r="QZ678" s="167"/>
      <c r="RA678" s="167"/>
      <c r="RB678" s="167"/>
      <c r="RC678" s="167"/>
      <c r="RD678" s="167"/>
      <c r="RE678" s="167"/>
      <c r="RF678" s="167"/>
      <c r="RG678" s="167"/>
      <c r="RH678" s="167"/>
      <c r="RI678" s="167"/>
      <c r="RJ678" s="167"/>
      <c r="RK678" s="167"/>
      <c r="RL678" s="167"/>
      <c r="RM678" s="167"/>
      <c r="RN678" s="167"/>
      <c r="RO678" s="167"/>
      <c r="RP678" s="167"/>
      <c r="RQ678" s="167"/>
      <c r="RR678" s="167"/>
      <c r="RS678" s="167"/>
      <c r="RT678" s="167"/>
      <c r="RU678" s="167"/>
      <c r="RV678" s="167"/>
      <c r="RW678" s="167"/>
      <c r="RX678" s="167"/>
      <c r="RY678" s="167"/>
      <c r="RZ678" s="167"/>
      <c r="SA678" s="167"/>
      <c r="SB678" s="167"/>
      <c r="SC678" s="167"/>
      <c r="SD678" s="167"/>
      <c r="SE678" s="167"/>
      <c r="SF678" s="167"/>
      <c r="SG678" s="167"/>
      <c r="SH678" s="167"/>
      <c r="SI678" s="167"/>
      <c r="SJ678" s="167"/>
      <c r="SK678" s="167"/>
      <c r="SL678" s="167"/>
      <c r="SM678" s="167"/>
      <c r="SN678" s="167"/>
      <c r="SO678" s="167"/>
      <c r="SP678" s="167"/>
      <c r="SQ678" s="167"/>
      <c r="SR678" s="167"/>
      <c r="SS678" s="167"/>
      <c r="ST678" s="167"/>
      <c r="SU678" s="167"/>
      <c r="SV678" s="167"/>
      <c r="SW678" s="167"/>
      <c r="SX678" s="167"/>
      <c r="SY678" s="167"/>
      <c r="SZ678" s="167"/>
      <c r="TA678" s="167"/>
      <c r="TB678" s="167"/>
      <c r="TC678" s="167"/>
      <c r="TD678" s="167"/>
      <c r="TE678" s="167"/>
      <c r="TF678" s="167"/>
      <c r="TG678" s="167"/>
      <c r="TH678" s="167"/>
      <c r="TI678" s="167"/>
      <c r="TJ678" s="167"/>
      <c r="TK678" s="167"/>
      <c r="TL678" s="167"/>
      <c r="TM678" s="167"/>
      <c r="TN678" s="167"/>
      <c r="TO678" s="167"/>
      <c r="TP678" s="167"/>
      <c r="TQ678" s="167"/>
      <c r="TR678" s="167"/>
      <c r="TS678" s="167"/>
      <c r="TT678" s="167"/>
      <c r="TU678" s="167"/>
      <c r="TV678" s="167"/>
      <c r="TW678" s="167"/>
      <c r="TX678" s="167"/>
      <c r="TY678" s="167"/>
      <c r="TZ678" s="167"/>
      <c r="UA678" s="167"/>
      <c r="UB678" s="167"/>
      <c r="UC678" s="167"/>
      <c r="UD678" s="167"/>
      <c r="UE678" s="167"/>
      <c r="UF678" s="167"/>
      <c r="UG678" s="168"/>
    </row>
    <row r="679" spans="1:553" ht="191.25" customHeight="1">
      <c r="A679" s="356"/>
      <c r="B679" s="385"/>
      <c r="C679" s="384" t="s">
        <v>23</v>
      </c>
      <c r="D679" s="376" t="s">
        <v>70</v>
      </c>
      <c r="E679" s="376">
        <v>236</v>
      </c>
      <c r="F679" s="385">
        <v>1</v>
      </c>
      <c r="G679" s="396" t="s">
        <v>33</v>
      </c>
      <c r="H679" s="387">
        <v>14.6</v>
      </c>
      <c r="I679" s="490">
        <v>14.6</v>
      </c>
      <c r="J679" s="368">
        <v>62000</v>
      </c>
      <c r="K679" s="391"/>
      <c r="L679" s="480">
        <f t="shared" ref="L679:L710" si="110">PRODUCT(I679:K679)</f>
        <v>905200</v>
      </c>
      <c r="M679" s="392"/>
      <c r="N679" s="392"/>
      <c r="O679" s="366"/>
      <c r="P679" s="366"/>
      <c r="Q679" s="761" t="s">
        <v>476</v>
      </c>
      <c r="R679" s="1547" t="s">
        <v>931</v>
      </c>
      <c r="S679" s="308"/>
      <c r="T679" s="308"/>
      <c r="U679" s="308"/>
      <c r="V679" s="308"/>
      <c r="W679" s="685">
        <f>I679</f>
        <v>14.6</v>
      </c>
      <c r="X679" s="308"/>
      <c r="Y679" s="308"/>
      <c r="Z679" s="604"/>
      <c r="AA679" s="308"/>
      <c r="AB679" s="308"/>
      <c r="AC679" s="449"/>
      <c r="AD679" s="449"/>
      <c r="AE679" s="449"/>
      <c r="AF679" s="449"/>
      <c r="AG679" s="449"/>
      <c r="AH679" s="449"/>
      <c r="AI679" s="449"/>
      <c r="AJ679" s="449"/>
      <c r="AK679" s="452"/>
      <c r="AL679" s="104"/>
      <c r="AM679" s="32"/>
      <c r="AN679" s="32"/>
      <c r="AO679" s="32"/>
      <c r="AP679" s="32"/>
      <c r="AQ679" s="32"/>
      <c r="AR679" s="32"/>
      <c r="AS679" s="31"/>
      <c r="AT679" s="22"/>
      <c r="AU679" s="22"/>
      <c r="AV679" s="22"/>
      <c r="AW679" s="22"/>
      <c r="AX679" s="22"/>
      <c r="AY679" s="22"/>
      <c r="AZ679" s="22"/>
      <c r="BA679" s="22"/>
      <c r="BB679" s="22"/>
      <c r="BC679" s="22"/>
      <c r="BD679" s="22"/>
      <c r="BE679" s="22"/>
      <c r="BF679" s="22"/>
      <c r="BG679" s="22"/>
      <c r="BH679" s="22"/>
      <c r="BI679" s="22"/>
      <c r="BJ679" s="22"/>
      <c r="BK679" s="22"/>
      <c r="BL679" s="22"/>
      <c r="BM679" s="22"/>
      <c r="BN679" s="22"/>
      <c r="BO679" s="22"/>
      <c r="BP679" s="25"/>
      <c r="BQ679" s="25"/>
      <c r="BR679" s="25"/>
      <c r="BS679" s="25"/>
      <c r="BT679" s="25"/>
      <c r="BU679" s="25"/>
      <c r="BV679" s="25"/>
      <c r="BW679" s="25"/>
      <c r="BX679" s="25"/>
      <c r="BY679" s="25"/>
      <c r="BZ679" s="25"/>
      <c r="CA679" s="25"/>
      <c r="CB679" s="25"/>
      <c r="CC679" s="25"/>
      <c r="CD679" s="25"/>
      <c r="CE679" s="25"/>
      <c r="CF679" s="25"/>
      <c r="CG679" s="25"/>
      <c r="CH679" s="25"/>
      <c r="CI679" s="25"/>
      <c r="CJ679" s="25"/>
      <c r="CK679" s="25"/>
      <c r="CL679" s="25"/>
      <c r="CM679" s="25"/>
      <c r="CN679" s="25"/>
      <c r="CO679" s="25"/>
      <c r="CP679" s="25"/>
      <c r="CQ679" s="25"/>
      <c r="CR679" s="25"/>
      <c r="CS679" s="25"/>
      <c r="CT679" s="25"/>
      <c r="CU679" s="25"/>
      <c r="CV679" s="25"/>
      <c r="CW679" s="25"/>
      <c r="CX679" s="25"/>
      <c r="CY679" s="25"/>
      <c r="CZ679" s="25"/>
      <c r="DA679" s="25"/>
      <c r="DB679" s="25"/>
      <c r="DC679" s="25"/>
      <c r="DD679" s="25"/>
      <c r="DE679" s="25"/>
      <c r="DF679" s="25"/>
      <c r="DG679" s="25"/>
      <c r="DH679" s="25"/>
      <c r="DI679" s="25"/>
      <c r="DJ679" s="25"/>
      <c r="DK679" s="25"/>
      <c r="DL679" s="25"/>
      <c r="DM679" s="25"/>
      <c r="DN679" s="25"/>
      <c r="DO679" s="25"/>
      <c r="DP679" s="25"/>
      <c r="DQ679" s="25"/>
      <c r="DR679" s="25"/>
      <c r="DS679" s="25"/>
      <c r="DT679" s="25"/>
      <c r="DU679" s="25"/>
      <c r="DV679" s="25"/>
      <c r="DW679" s="25"/>
      <c r="DX679" s="25"/>
      <c r="DY679" s="25"/>
      <c r="DZ679" s="25"/>
      <c r="EA679" s="25"/>
      <c r="EB679" s="25"/>
      <c r="EC679" s="25"/>
      <c r="ED679" s="25"/>
      <c r="EE679" s="25"/>
      <c r="EF679" s="25"/>
      <c r="EG679" s="25"/>
      <c r="EH679" s="25"/>
      <c r="EI679" s="25"/>
      <c r="EJ679" s="25"/>
      <c r="EK679" s="25"/>
      <c r="EL679" s="25"/>
      <c r="EM679" s="25"/>
      <c r="EN679" s="25"/>
      <c r="EO679" s="25"/>
      <c r="EP679" s="25"/>
      <c r="EQ679" s="25"/>
      <c r="ER679" s="25"/>
      <c r="ES679" s="25"/>
      <c r="ET679" s="25"/>
      <c r="EU679" s="25"/>
      <c r="EV679" s="25"/>
      <c r="EW679" s="25"/>
      <c r="EX679" s="25"/>
      <c r="EY679" s="25"/>
      <c r="EZ679" s="25"/>
      <c r="FA679" s="25"/>
      <c r="FB679" s="25"/>
      <c r="FC679" s="25"/>
      <c r="FD679" s="25"/>
      <c r="FE679" s="25"/>
      <c r="FF679" s="25"/>
      <c r="FG679" s="25"/>
      <c r="FH679" s="25"/>
      <c r="FI679" s="25"/>
      <c r="FJ679" s="25"/>
      <c r="FK679" s="25"/>
      <c r="FL679" s="25"/>
      <c r="FM679" s="25"/>
      <c r="FN679" s="25"/>
      <c r="FO679" s="25"/>
      <c r="FP679" s="25"/>
      <c r="FQ679" s="25"/>
      <c r="FR679" s="25"/>
      <c r="FS679" s="25"/>
      <c r="FT679" s="25"/>
      <c r="FU679" s="25"/>
      <c r="FV679" s="25"/>
      <c r="FW679" s="25"/>
      <c r="FX679" s="25"/>
      <c r="FY679" s="25"/>
      <c r="FZ679" s="25"/>
      <c r="GA679" s="25"/>
      <c r="GB679" s="25"/>
      <c r="GC679" s="25"/>
      <c r="GD679" s="25"/>
      <c r="GE679" s="25"/>
      <c r="GF679" s="25"/>
      <c r="GG679" s="25"/>
      <c r="GH679" s="25"/>
      <c r="GI679" s="25"/>
      <c r="GJ679" s="25"/>
      <c r="GK679" s="25"/>
      <c r="GL679" s="25"/>
      <c r="GM679" s="25"/>
      <c r="GN679" s="25"/>
      <c r="GO679" s="25"/>
      <c r="GP679" s="25"/>
      <c r="GQ679" s="25"/>
      <c r="GR679" s="25"/>
      <c r="GS679" s="25"/>
      <c r="GT679" s="25"/>
      <c r="GU679" s="25"/>
      <c r="GV679" s="25"/>
      <c r="GW679" s="25"/>
      <c r="GX679" s="25"/>
      <c r="GY679" s="25"/>
      <c r="GZ679" s="25"/>
      <c r="HA679" s="25"/>
      <c r="HB679" s="25"/>
      <c r="HC679" s="25"/>
      <c r="HD679" s="25"/>
      <c r="HE679" s="25"/>
      <c r="HF679" s="25"/>
      <c r="HG679" s="25"/>
      <c r="HH679" s="25"/>
      <c r="HI679" s="25"/>
      <c r="HJ679" s="25"/>
      <c r="HK679" s="25"/>
      <c r="HL679" s="25"/>
      <c r="HM679" s="25"/>
      <c r="HN679" s="25"/>
      <c r="HO679" s="25"/>
      <c r="HP679" s="25"/>
      <c r="HQ679" s="25"/>
      <c r="HR679" s="25"/>
      <c r="HS679" s="25"/>
      <c r="HT679" s="25"/>
      <c r="HU679" s="25"/>
      <c r="HV679" s="25"/>
      <c r="HW679" s="25"/>
      <c r="HX679" s="25"/>
      <c r="HY679" s="25"/>
      <c r="HZ679" s="25"/>
      <c r="IA679" s="25"/>
      <c r="IB679" s="25"/>
      <c r="IC679" s="25"/>
      <c r="ID679" s="25"/>
      <c r="IE679" s="25"/>
      <c r="IF679" s="25"/>
      <c r="IG679" s="25"/>
      <c r="IH679" s="25"/>
      <c r="II679" s="25"/>
      <c r="IJ679" s="25"/>
      <c r="IK679" s="25"/>
      <c r="IL679" s="25"/>
      <c r="IM679" s="25"/>
      <c r="IN679" s="25"/>
      <c r="IO679" s="25"/>
      <c r="IP679" s="25"/>
      <c r="IQ679" s="25"/>
      <c r="IR679" s="25"/>
      <c r="IS679" s="25"/>
      <c r="IT679" s="25"/>
      <c r="IU679" s="25"/>
      <c r="IV679" s="25"/>
      <c r="IW679" s="25"/>
      <c r="IX679" s="25"/>
      <c r="IY679" s="25"/>
      <c r="IZ679" s="25"/>
      <c r="JA679" s="25"/>
      <c r="JB679" s="25"/>
      <c r="JC679" s="25"/>
      <c r="JD679" s="25"/>
      <c r="JE679" s="25"/>
      <c r="JF679" s="25"/>
      <c r="JG679" s="25"/>
      <c r="JH679" s="25"/>
      <c r="JI679" s="25"/>
      <c r="JJ679" s="25"/>
      <c r="JK679" s="25"/>
      <c r="JL679" s="25"/>
      <c r="JM679" s="25"/>
      <c r="JN679" s="25"/>
      <c r="JO679" s="25"/>
      <c r="JP679" s="25"/>
      <c r="JQ679" s="25"/>
      <c r="JR679" s="25"/>
      <c r="JS679" s="25"/>
      <c r="JT679" s="25"/>
      <c r="JU679" s="25"/>
      <c r="JV679" s="25"/>
      <c r="JW679" s="25"/>
      <c r="JX679" s="25"/>
      <c r="JY679" s="25"/>
      <c r="JZ679" s="25"/>
      <c r="KA679" s="25"/>
      <c r="KB679" s="25"/>
      <c r="KC679" s="25"/>
      <c r="KD679" s="25"/>
      <c r="KE679" s="25"/>
      <c r="KF679" s="25"/>
      <c r="KG679" s="25"/>
      <c r="KH679" s="25"/>
      <c r="KI679" s="25"/>
      <c r="KJ679" s="25"/>
      <c r="KK679" s="25"/>
      <c r="KL679" s="25"/>
      <c r="KM679" s="25"/>
      <c r="KN679" s="25"/>
      <c r="KO679" s="25"/>
      <c r="KP679" s="25"/>
      <c r="KQ679" s="25"/>
      <c r="KR679" s="25"/>
      <c r="KS679" s="25"/>
      <c r="KT679" s="25"/>
      <c r="KU679" s="25"/>
      <c r="KV679" s="25"/>
      <c r="KW679" s="25"/>
      <c r="KX679" s="25"/>
      <c r="KY679" s="25"/>
      <c r="KZ679" s="25"/>
      <c r="LA679" s="25"/>
      <c r="LB679" s="25"/>
      <c r="LC679" s="25"/>
      <c r="LD679" s="25"/>
      <c r="LE679" s="25"/>
      <c r="LF679" s="25"/>
      <c r="LG679" s="25"/>
      <c r="LH679" s="25"/>
      <c r="LI679" s="25"/>
      <c r="LJ679" s="25"/>
      <c r="LK679" s="25"/>
      <c r="LL679" s="25"/>
      <c r="LM679" s="25"/>
      <c r="LN679" s="25"/>
      <c r="LO679" s="25"/>
      <c r="LP679" s="25"/>
      <c r="LQ679" s="25"/>
      <c r="LR679" s="25"/>
      <c r="LS679" s="25"/>
      <c r="LT679" s="25"/>
      <c r="LU679" s="25"/>
      <c r="LV679" s="25"/>
      <c r="LW679" s="25"/>
      <c r="LX679" s="25"/>
      <c r="LY679" s="25"/>
      <c r="LZ679" s="25"/>
      <c r="MA679" s="25"/>
      <c r="MB679" s="25"/>
      <c r="MC679" s="25"/>
      <c r="MD679" s="25"/>
      <c r="ME679" s="25"/>
      <c r="MF679" s="25"/>
      <c r="MG679" s="25"/>
      <c r="MH679" s="25"/>
      <c r="MI679" s="25"/>
      <c r="MJ679" s="25"/>
      <c r="MK679" s="25"/>
      <c r="ML679" s="25"/>
      <c r="MM679" s="25"/>
      <c r="MN679" s="25"/>
      <c r="MO679" s="25"/>
      <c r="MP679" s="25"/>
      <c r="MQ679" s="25"/>
      <c r="MR679" s="25"/>
      <c r="MS679" s="25"/>
      <c r="MT679" s="25"/>
      <c r="MU679" s="25"/>
      <c r="MV679" s="25"/>
      <c r="MW679" s="25"/>
      <c r="MX679" s="25"/>
      <c r="MY679" s="25"/>
      <c r="MZ679" s="25"/>
      <c r="NA679" s="25"/>
      <c r="NB679" s="25"/>
      <c r="NC679" s="25"/>
      <c r="ND679" s="25"/>
      <c r="NE679" s="25"/>
      <c r="NF679" s="25"/>
      <c r="NG679" s="25"/>
      <c r="NH679" s="25"/>
      <c r="NI679" s="25"/>
      <c r="NJ679" s="25"/>
      <c r="NK679" s="25"/>
      <c r="NL679" s="25"/>
      <c r="NM679" s="25"/>
      <c r="NN679" s="25"/>
      <c r="NO679" s="25"/>
      <c r="NP679" s="25"/>
      <c r="NQ679" s="25"/>
      <c r="NR679" s="25"/>
      <c r="NS679" s="25"/>
      <c r="NT679" s="25"/>
      <c r="NU679" s="25"/>
      <c r="NV679" s="25"/>
      <c r="NW679" s="25"/>
      <c r="NX679" s="25"/>
      <c r="NY679" s="25"/>
      <c r="NZ679" s="25"/>
      <c r="OA679" s="25"/>
      <c r="OB679" s="25"/>
      <c r="OC679" s="25"/>
      <c r="OD679" s="25"/>
      <c r="OE679" s="25"/>
      <c r="OF679" s="25"/>
      <c r="OG679" s="25"/>
      <c r="OH679" s="25"/>
      <c r="OI679" s="25"/>
      <c r="OJ679" s="25"/>
      <c r="OK679" s="25"/>
      <c r="OL679" s="25"/>
      <c r="OM679" s="25"/>
      <c r="ON679" s="25"/>
      <c r="OO679" s="25"/>
      <c r="OP679" s="25"/>
      <c r="OQ679" s="25"/>
      <c r="OR679" s="25"/>
      <c r="OS679" s="25"/>
      <c r="OT679" s="25"/>
      <c r="OU679" s="25"/>
      <c r="OV679" s="25"/>
      <c r="OW679" s="25"/>
      <c r="OX679" s="25"/>
      <c r="OY679" s="25"/>
      <c r="OZ679" s="25"/>
      <c r="PA679" s="25"/>
      <c r="PB679" s="25"/>
      <c r="PC679" s="25"/>
      <c r="PD679" s="25"/>
      <c r="PE679" s="25"/>
      <c r="PF679" s="25"/>
      <c r="PG679" s="25"/>
      <c r="PH679" s="25"/>
      <c r="PI679" s="25"/>
      <c r="PJ679" s="25"/>
      <c r="PK679" s="25"/>
      <c r="PL679" s="25"/>
      <c r="PM679" s="25"/>
      <c r="PN679" s="25"/>
      <c r="PO679" s="25"/>
      <c r="PP679" s="25"/>
      <c r="PQ679" s="25"/>
      <c r="PR679" s="25"/>
      <c r="PS679" s="25"/>
      <c r="PT679" s="25"/>
      <c r="PU679" s="25"/>
      <c r="PV679" s="25"/>
      <c r="PW679" s="25"/>
      <c r="PX679" s="25"/>
      <c r="PY679" s="25"/>
      <c r="PZ679" s="25"/>
      <c r="QA679" s="25"/>
      <c r="QB679" s="25"/>
      <c r="QC679" s="25"/>
      <c r="QD679" s="25"/>
      <c r="QE679" s="25"/>
      <c r="QF679" s="25"/>
      <c r="QG679" s="25"/>
      <c r="QH679" s="25"/>
      <c r="QI679" s="25"/>
      <c r="QJ679" s="25"/>
      <c r="QK679" s="25"/>
      <c r="QL679" s="25"/>
      <c r="QM679" s="25"/>
      <c r="QN679" s="25"/>
      <c r="QO679" s="25"/>
      <c r="QP679" s="25"/>
      <c r="QQ679" s="25"/>
      <c r="QR679" s="25"/>
      <c r="QS679" s="25"/>
      <c r="QT679" s="25"/>
      <c r="QU679" s="25"/>
      <c r="QV679" s="25"/>
      <c r="QW679" s="25"/>
      <c r="QX679" s="25"/>
      <c r="QY679" s="25"/>
      <c r="QZ679" s="25"/>
      <c r="RA679" s="25"/>
      <c r="RB679" s="25"/>
      <c r="RC679" s="25"/>
      <c r="RD679" s="25"/>
      <c r="RE679" s="25"/>
      <c r="RF679" s="25"/>
      <c r="RG679" s="25"/>
      <c r="RH679" s="25"/>
      <c r="RI679" s="25"/>
      <c r="RJ679" s="25"/>
      <c r="RK679" s="25"/>
      <c r="RL679" s="25"/>
      <c r="RM679" s="25"/>
      <c r="RN679" s="25"/>
      <c r="RO679" s="25"/>
      <c r="RP679" s="25"/>
      <c r="RQ679" s="25"/>
      <c r="RR679" s="25"/>
      <c r="RS679" s="25"/>
      <c r="RT679" s="25"/>
      <c r="RU679" s="25"/>
      <c r="RV679" s="25"/>
      <c r="RW679" s="25"/>
      <c r="RX679" s="25"/>
      <c r="RY679" s="25"/>
      <c r="RZ679" s="25"/>
      <c r="SA679" s="25"/>
      <c r="SB679" s="25"/>
      <c r="SC679" s="25"/>
      <c r="SD679" s="25"/>
      <c r="SE679" s="25"/>
      <c r="SF679" s="25"/>
      <c r="SG679" s="25"/>
      <c r="SH679" s="25"/>
      <c r="SI679" s="25"/>
      <c r="SJ679" s="25"/>
      <c r="SK679" s="25"/>
      <c r="SL679" s="25"/>
      <c r="SM679" s="25"/>
      <c r="SN679" s="25"/>
      <c r="SO679" s="25"/>
      <c r="SP679" s="25"/>
      <c r="SQ679" s="25"/>
      <c r="SR679" s="25"/>
      <c r="SS679" s="25"/>
      <c r="ST679" s="25"/>
      <c r="SU679" s="25"/>
      <c r="SV679" s="25"/>
      <c r="SW679" s="25"/>
      <c r="SX679" s="25"/>
      <c r="SY679" s="25"/>
      <c r="SZ679" s="25"/>
      <c r="TA679" s="25"/>
      <c r="TB679" s="25"/>
      <c r="TC679" s="25"/>
      <c r="TD679" s="25"/>
      <c r="TE679" s="25"/>
      <c r="TF679" s="25"/>
      <c r="TG679" s="25"/>
      <c r="TH679" s="25"/>
      <c r="TI679" s="25"/>
      <c r="TJ679" s="25"/>
      <c r="TK679" s="25"/>
      <c r="TL679" s="25"/>
      <c r="TM679" s="25"/>
      <c r="TN679" s="25"/>
      <c r="TO679" s="25"/>
      <c r="TP679" s="25"/>
      <c r="TQ679" s="25"/>
      <c r="TR679" s="25"/>
      <c r="TS679" s="25"/>
      <c r="TT679" s="25"/>
      <c r="TU679" s="25"/>
      <c r="TV679" s="25"/>
      <c r="TW679" s="25"/>
      <c r="TX679" s="25"/>
      <c r="TY679" s="25"/>
      <c r="TZ679" s="25"/>
      <c r="UA679" s="25"/>
      <c r="UB679" s="25"/>
      <c r="UC679" s="25"/>
      <c r="UD679" s="25"/>
      <c r="UE679" s="25"/>
      <c r="UF679" s="25"/>
      <c r="UG679" s="26"/>
    </row>
    <row r="680" spans="1:553" ht="201" customHeight="1">
      <c r="A680" s="356"/>
      <c r="B680" s="385"/>
      <c r="C680" s="384" t="s">
        <v>23</v>
      </c>
      <c r="D680" s="376" t="s">
        <v>70</v>
      </c>
      <c r="E680" s="376" t="s">
        <v>477</v>
      </c>
      <c r="F680" s="385">
        <v>1</v>
      </c>
      <c r="G680" s="396" t="s">
        <v>33</v>
      </c>
      <c r="H680" s="387">
        <v>145.5</v>
      </c>
      <c r="I680" s="490">
        <v>145.5</v>
      </c>
      <c r="J680" s="368">
        <v>62000</v>
      </c>
      <c r="K680" s="391"/>
      <c r="L680" s="480">
        <f t="shared" si="110"/>
        <v>9021000</v>
      </c>
      <c r="M680" s="392"/>
      <c r="N680" s="392"/>
      <c r="O680" s="366"/>
      <c r="P680" s="366"/>
      <c r="Q680" s="761" t="s">
        <v>476</v>
      </c>
      <c r="R680" s="1452"/>
      <c r="S680" s="308"/>
      <c r="T680" s="308"/>
      <c r="U680" s="308"/>
      <c r="V680" s="308"/>
      <c r="W680" s="685">
        <f>I680</f>
        <v>145.5</v>
      </c>
      <c r="X680" s="308"/>
      <c r="Y680" s="308"/>
      <c r="Z680" s="604"/>
      <c r="AA680" s="308"/>
      <c r="AB680" s="308"/>
      <c r="AC680" s="449"/>
      <c r="AD680" s="449"/>
      <c r="AE680" s="449"/>
      <c r="AF680" s="449"/>
      <c r="AG680" s="449"/>
      <c r="AH680" s="449"/>
      <c r="AI680" s="449"/>
      <c r="AJ680" s="449"/>
      <c r="AK680" s="452"/>
      <c r="AL680" s="104"/>
      <c r="AM680" s="32"/>
      <c r="AN680" s="32"/>
      <c r="AO680" s="32"/>
      <c r="AP680" s="32"/>
      <c r="AQ680" s="32"/>
      <c r="AR680" s="32"/>
      <c r="AS680" s="31"/>
      <c r="AT680" s="22"/>
      <c r="AU680" s="22"/>
      <c r="AV680" s="22"/>
      <c r="AW680" s="22"/>
      <c r="AX680" s="22"/>
      <c r="AY680" s="22"/>
      <c r="AZ680" s="22"/>
      <c r="BA680" s="22"/>
      <c r="BB680" s="22"/>
      <c r="BC680" s="22"/>
      <c r="BD680" s="22"/>
      <c r="BE680" s="22"/>
      <c r="BF680" s="22"/>
      <c r="BG680" s="22"/>
      <c r="BH680" s="22"/>
      <c r="BI680" s="22"/>
      <c r="BJ680" s="22"/>
      <c r="BK680" s="22"/>
      <c r="BL680" s="22"/>
      <c r="BM680" s="22"/>
      <c r="BN680" s="22"/>
      <c r="BO680" s="22"/>
      <c r="BP680" s="25"/>
      <c r="BQ680" s="25"/>
      <c r="BR680" s="25"/>
      <c r="BS680" s="25"/>
      <c r="BT680" s="25"/>
      <c r="BU680" s="25"/>
      <c r="BV680" s="25"/>
      <c r="BW680" s="25"/>
      <c r="BX680" s="25"/>
      <c r="BY680" s="25"/>
      <c r="BZ680" s="25"/>
      <c r="CA680" s="25"/>
      <c r="CB680" s="25"/>
      <c r="CC680" s="25"/>
      <c r="CD680" s="25"/>
      <c r="CE680" s="25"/>
      <c r="CF680" s="25"/>
      <c r="CG680" s="25"/>
      <c r="CH680" s="25"/>
      <c r="CI680" s="25"/>
      <c r="CJ680" s="25"/>
      <c r="CK680" s="25"/>
      <c r="CL680" s="25"/>
      <c r="CM680" s="25"/>
      <c r="CN680" s="25"/>
      <c r="CO680" s="25"/>
      <c r="CP680" s="25"/>
      <c r="CQ680" s="25"/>
      <c r="CR680" s="25"/>
      <c r="CS680" s="25"/>
      <c r="CT680" s="25"/>
      <c r="CU680" s="25"/>
      <c r="CV680" s="25"/>
      <c r="CW680" s="25"/>
      <c r="CX680" s="25"/>
      <c r="CY680" s="25"/>
      <c r="CZ680" s="25"/>
      <c r="DA680" s="25"/>
      <c r="DB680" s="25"/>
      <c r="DC680" s="25"/>
      <c r="DD680" s="25"/>
      <c r="DE680" s="25"/>
      <c r="DF680" s="25"/>
      <c r="DG680" s="25"/>
      <c r="DH680" s="25"/>
      <c r="DI680" s="25"/>
      <c r="DJ680" s="25"/>
      <c r="DK680" s="25"/>
      <c r="DL680" s="25"/>
      <c r="DM680" s="25"/>
      <c r="DN680" s="25"/>
      <c r="DO680" s="25"/>
      <c r="DP680" s="25"/>
      <c r="DQ680" s="25"/>
      <c r="DR680" s="25"/>
      <c r="DS680" s="25"/>
      <c r="DT680" s="25"/>
      <c r="DU680" s="25"/>
      <c r="DV680" s="25"/>
      <c r="DW680" s="25"/>
      <c r="DX680" s="25"/>
      <c r="DY680" s="25"/>
      <c r="DZ680" s="25"/>
      <c r="EA680" s="25"/>
      <c r="EB680" s="25"/>
      <c r="EC680" s="25"/>
      <c r="ED680" s="25"/>
      <c r="EE680" s="25"/>
      <c r="EF680" s="25"/>
      <c r="EG680" s="25"/>
      <c r="EH680" s="25"/>
      <c r="EI680" s="25"/>
      <c r="EJ680" s="25"/>
      <c r="EK680" s="25"/>
      <c r="EL680" s="25"/>
      <c r="EM680" s="25"/>
      <c r="EN680" s="25"/>
      <c r="EO680" s="25"/>
      <c r="EP680" s="25"/>
      <c r="EQ680" s="25"/>
      <c r="ER680" s="25"/>
      <c r="ES680" s="25"/>
      <c r="ET680" s="25"/>
      <c r="EU680" s="25"/>
      <c r="EV680" s="25"/>
      <c r="EW680" s="25"/>
      <c r="EX680" s="25"/>
      <c r="EY680" s="25"/>
      <c r="EZ680" s="25"/>
      <c r="FA680" s="25"/>
      <c r="FB680" s="25"/>
      <c r="FC680" s="25"/>
      <c r="FD680" s="25"/>
      <c r="FE680" s="25"/>
      <c r="FF680" s="25"/>
      <c r="FG680" s="25"/>
      <c r="FH680" s="25"/>
      <c r="FI680" s="25"/>
      <c r="FJ680" s="25"/>
      <c r="FK680" s="25"/>
      <c r="FL680" s="25"/>
      <c r="FM680" s="25"/>
      <c r="FN680" s="25"/>
      <c r="FO680" s="25"/>
      <c r="FP680" s="25"/>
      <c r="FQ680" s="25"/>
      <c r="FR680" s="25"/>
      <c r="FS680" s="25"/>
      <c r="FT680" s="25"/>
      <c r="FU680" s="25"/>
      <c r="FV680" s="25"/>
      <c r="FW680" s="25"/>
      <c r="FX680" s="25"/>
      <c r="FY680" s="25"/>
      <c r="FZ680" s="25"/>
      <c r="GA680" s="25"/>
      <c r="GB680" s="25"/>
      <c r="GC680" s="25"/>
      <c r="GD680" s="25"/>
      <c r="GE680" s="25"/>
      <c r="GF680" s="25"/>
      <c r="GG680" s="25"/>
      <c r="GH680" s="25"/>
      <c r="GI680" s="25"/>
      <c r="GJ680" s="25"/>
      <c r="GK680" s="25"/>
      <c r="GL680" s="25"/>
      <c r="GM680" s="25"/>
      <c r="GN680" s="25"/>
      <c r="GO680" s="25"/>
      <c r="GP680" s="25"/>
      <c r="GQ680" s="25"/>
      <c r="GR680" s="25"/>
      <c r="GS680" s="25"/>
      <c r="GT680" s="25"/>
      <c r="GU680" s="25"/>
      <c r="GV680" s="25"/>
      <c r="GW680" s="25"/>
      <c r="GX680" s="25"/>
      <c r="GY680" s="25"/>
      <c r="GZ680" s="25"/>
      <c r="HA680" s="25"/>
      <c r="HB680" s="25"/>
      <c r="HC680" s="25"/>
      <c r="HD680" s="25"/>
      <c r="HE680" s="25"/>
      <c r="HF680" s="25"/>
      <c r="HG680" s="25"/>
      <c r="HH680" s="25"/>
      <c r="HI680" s="25"/>
      <c r="HJ680" s="25"/>
      <c r="HK680" s="25"/>
      <c r="HL680" s="25"/>
      <c r="HM680" s="25"/>
      <c r="HN680" s="25"/>
      <c r="HO680" s="25"/>
      <c r="HP680" s="25"/>
      <c r="HQ680" s="25"/>
      <c r="HR680" s="25"/>
      <c r="HS680" s="25"/>
      <c r="HT680" s="25"/>
      <c r="HU680" s="25"/>
      <c r="HV680" s="25"/>
      <c r="HW680" s="25"/>
      <c r="HX680" s="25"/>
      <c r="HY680" s="25"/>
      <c r="HZ680" s="25"/>
      <c r="IA680" s="25"/>
      <c r="IB680" s="25"/>
      <c r="IC680" s="25"/>
      <c r="ID680" s="25"/>
      <c r="IE680" s="25"/>
      <c r="IF680" s="25"/>
      <c r="IG680" s="25"/>
      <c r="IH680" s="25"/>
      <c r="II680" s="25"/>
      <c r="IJ680" s="25"/>
      <c r="IK680" s="25"/>
      <c r="IL680" s="25"/>
      <c r="IM680" s="25"/>
      <c r="IN680" s="25"/>
      <c r="IO680" s="25"/>
      <c r="IP680" s="25"/>
      <c r="IQ680" s="25"/>
      <c r="IR680" s="25"/>
      <c r="IS680" s="25"/>
      <c r="IT680" s="25"/>
      <c r="IU680" s="25"/>
      <c r="IV680" s="25"/>
      <c r="IW680" s="25"/>
      <c r="IX680" s="25"/>
      <c r="IY680" s="25"/>
      <c r="IZ680" s="25"/>
      <c r="JA680" s="25"/>
      <c r="JB680" s="25"/>
      <c r="JC680" s="25"/>
      <c r="JD680" s="25"/>
      <c r="JE680" s="25"/>
      <c r="JF680" s="25"/>
      <c r="JG680" s="25"/>
      <c r="JH680" s="25"/>
      <c r="JI680" s="25"/>
      <c r="JJ680" s="25"/>
      <c r="JK680" s="25"/>
      <c r="JL680" s="25"/>
      <c r="JM680" s="25"/>
      <c r="JN680" s="25"/>
      <c r="JO680" s="25"/>
      <c r="JP680" s="25"/>
      <c r="JQ680" s="25"/>
      <c r="JR680" s="25"/>
      <c r="JS680" s="25"/>
      <c r="JT680" s="25"/>
      <c r="JU680" s="25"/>
      <c r="JV680" s="25"/>
      <c r="JW680" s="25"/>
      <c r="JX680" s="25"/>
      <c r="JY680" s="25"/>
      <c r="JZ680" s="25"/>
      <c r="KA680" s="25"/>
      <c r="KB680" s="25"/>
      <c r="KC680" s="25"/>
      <c r="KD680" s="25"/>
      <c r="KE680" s="25"/>
      <c r="KF680" s="25"/>
      <c r="KG680" s="25"/>
      <c r="KH680" s="25"/>
      <c r="KI680" s="25"/>
      <c r="KJ680" s="25"/>
      <c r="KK680" s="25"/>
      <c r="KL680" s="25"/>
      <c r="KM680" s="25"/>
      <c r="KN680" s="25"/>
      <c r="KO680" s="25"/>
      <c r="KP680" s="25"/>
      <c r="KQ680" s="25"/>
      <c r="KR680" s="25"/>
      <c r="KS680" s="25"/>
      <c r="KT680" s="25"/>
      <c r="KU680" s="25"/>
      <c r="KV680" s="25"/>
      <c r="KW680" s="25"/>
      <c r="KX680" s="25"/>
      <c r="KY680" s="25"/>
      <c r="KZ680" s="25"/>
      <c r="LA680" s="25"/>
      <c r="LB680" s="25"/>
      <c r="LC680" s="25"/>
      <c r="LD680" s="25"/>
      <c r="LE680" s="25"/>
      <c r="LF680" s="25"/>
      <c r="LG680" s="25"/>
      <c r="LH680" s="25"/>
      <c r="LI680" s="25"/>
      <c r="LJ680" s="25"/>
      <c r="LK680" s="25"/>
      <c r="LL680" s="25"/>
      <c r="LM680" s="25"/>
      <c r="LN680" s="25"/>
      <c r="LO680" s="25"/>
      <c r="LP680" s="25"/>
      <c r="LQ680" s="25"/>
      <c r="LR680" s="25"/>
      <c r="LS680" s="25"/>
      <c r="LT680" s="25"/>
      <c r="LU680" s="25"/>
      <c r="LV680" s="25"/>
      <c r="LW680" s="25"/>
      <c r="LX680" s="25"/>
      <c r="LY680" s="25"/>
      <c r="LZ680" s="25"/>
      <c r="MA680" s="25"/>
      <c r="MB680" s="25"/>
      <c r="MC680" s="25"/>
      <c r="MD680" s="25"/>
      <c r="ME680" s="25"/>
      <c r="MF680" s="25"/>
      <c r="MG680" s="25"/>
      <c r="MH680" s="25"/>
      <c r="MI680" s="25"/>
      <c r="MJ680" s="25"/>
      <c r="MK680" s="25"/>
      <c r="ML680" s="25"/>
      <c r="MM680" s="25"/>
      <c r="MN680" s="25"/>
      <c r="MO680" s="25"/>
      <c r="MP680" s="25"/>
      <c r="MQ680" s="25"/>
      <c r="MR680" s="25"/>
      <c r="MS680" s="25"/>
      <c r="MT680" s="25"/>
      <c r="MU680" s="25"/>
      <c r="MV680" s="25"/>
      <c r="MW680" s="25"/>
      <c r="MX680" s="25"/>
      <c r="MY680" s="25"/>
      <c r="MZ680" s="25"/>
      <c r="NA680" s="25"/>
      <c r="NB680" s="25"/>
      <c r="NC680" s="25"/>
      <c r="ND680" s="25"/>
      <c r="NE680" s="25"/>
      <c r="NF680" s="25"/>
      <c r="NG680" s="25"/>
      <c r="NH680" s="25"/>
      <c r="NI680" s="25"/>
      <c r="NJ680" s="25"/>
      <c r="NK680" s="25"/>
      <c r="NL680" s="25"/>
      <c r="NM680" s="25"/>
      <c r="NN680" s="25"/>
      <c r="NO680" s="25"/>
      <c r="NP680" s="25"/>
      <c r="NQ680" s="25"/>
      <c r="NR680" s="25"/>
      <c r="NS680" s="25"/>
      <c r="NT680" s="25"/>
      <c r="NU680" s="25"/>
      <c r="NV680" s="25"/>
      <c r="NW680" s="25"/>
      <c r="NX680" s="25"/>
      <c r="NY680" s="25"/>
      <c r="NZ680" s="25"/>
      <c r="OA680" s="25"/>
      <c r="OB680" s="25"/>
      <c r="OC680" s="25"/>
      <c r="OD680" s="25"/>
      <c r="OE680" s="25"/>
      <c r="OF680" s="25"/>
      <c r="OG680" s="25"/>
      <c r="OH680" s="25"/>
      <c r="OI680" s="25"/>
      <c r="OJ680" s="25"/>
      <c r="OK680" s="25"/>
      <c r="OL680" s="25"/>
      <c r="OM680" s="25"/>
      <c r="ON680" s="25"/>
      <c r="OO680" s="25"/>
      <c r="OP680" s="25"/>
      <c r="OQ680" s="25"/>
      <c r="OR680" s="25"/>
      <c r="OS680" s="25"/>
      <c r="OT680" s="25"/>
      <c r="OU680" s="25"/>
      <c r="OV680" s="25"/>
      <c r="OW680" s="25"/>
      <c r="OX680" s="25"/>
      <c r="OY680" s="25"/>
      <c r="OZ680" s="25"/>
      <c r="PA680" s="25"/>
      <c r="PB680" s="25"/>
      <c r="PC680" s="25"/>
      <c r="PD680" s="25"/>
      <c r="PE680" s="25"/>
      <c r="PF680" s="25"/>
      <c r="PG680" s="25"/>
      <c r="PH680" s="25"/>
      <c r="PI680" s="25"/>
      <c r="PJ680" s="25"/>
      <c r="PK680" s="25"/>
      <c r="PL680" s="25"/>
      <c r="PM680" s="25"/>
      <c r="PN680" s="25"/>
      <c r="PO680" s="25"/>
      <c r="PP680" s="25"/>
      <c r="PQ680" s="25"/>
      <c r="PR680" s="25"/>
      <c r="PS680" s="25"/>
      <c r="PT680" s="25"/>
      <c r="PU680" s="25"/>
      <c r="PV680" s="25"/>
      <c r="PW680" s="25"/>
      <c r="PX680" s="25"/>
      <c r="PY680" s="25"/>
      <c r="PZ680" s="25"/>
      <c r="QA680" s="25"/>
      <c r="QB680" s="25"/>
      <c r="QC680" s="25"/>
      <c r="QD680" s="25"/>
      <c r="QE680" s="25"/>
      <c r="QF680" s="25"/>
      <c r="QG680" s="25"/>
      <c r="QH680" s="25"/>
      <c r="QI680" s="25"/>
      <c r="QJ680" s="25"/>
      <c r="QK680" s="25"/>
      <c r="QL680" s="25"/>
      <c r="QM680" s="25"/>
      <c r="QN680" s="25"/>
      <c r="QO680" s="25"/>
      <c r="QP680" s="25"/>
      <c r="QQ680" s="25"/>
      <c r="QR680" s="25"/>
      <c r="QS680" s="25"/>
      <c r="QT680" s="25"/>
      <c r="QU680" s="25"/>
      <c r="QV680" s="25"/>
      <c r="QW680" s="25"/>
      <c r="QX680" s="25"/>
      <c r="QY680" s="25"/>
      <c r="QZ680" s="25"/>
      <c r="RA680" s="25"/>
      <c r="RB680" s="25"/>
      <c r="RC680" s="25"/>
      <c r="RD680" s="25"/>
      <c r="RE680" s="25"/>
      <c r="RF680" s="25"/>
      <c r="RG680" s="25"/>
      <c r="RH680" s="25"/>
      <c r="RI680" s="25"/>
      <c r="RJ680" s="25"/>
      <c r="RK680" s="25"/>
      <c r="RL680" s="25"/>
      <c r="RM680" s="25"/>
      <c r="RN680" s="25"/>
      <c r="RO680" s="25"/>
      <c r="RP680" s="25"/>
      <c r="RQ680" s="25"/>
      <c r="RR680" s="25"/>
      <c r="RS680" s="25"/>
      <c r="RT680" s="25"/>
      <c r="RU680" s="25"/>
      <c r="RV680" s="25"/>
      <c r="RW680" s="25"/>
      <c r="RX680" s="25"/>
      <c r="RY680" s="25"/>
      <c r="RZ680" s="25"/>
      <c r="SA680" s="25"/>
      <c r="SB680" s="25"/>
      <c r="SC680" s="25"/>
      <c r="SD680" s="25"/>
      <c r="SE680" s="25"/>
      <c r="SF680" s="25"/>
      <c r="SG680" s="25"/>
      <c r="SH680" s="25"/>
      <c r="SI680" s="25"/>
      <c r="SJ680" s="25"/>
      <c r="SK680" s="25"/>
      <c r="SL680" s="25"/>
      <c r="SM680" s="25"/>
      <c r="SN680" s="25"/>
      <c r="SO680" s="25"/>
      <c r="SP680" s="25"/>
      <c r="SQ680" s="25"/>
      <c r="SR680" s="25"/>
      <c r="SS680" s="25"/>
      <c r="ST680" s="25"/>
      <c r="SU680" s="25"/>
      <c r="SV680" s="25"/>
      <c r="SW680" s="25"/>
      <c r="SX680" s="25"/>
      <c r="SY680" s="25"/>
      <c r="SZ680" s="25"/>
      <c r="TA680" s="25"/>
      <c r="TB680" s="25"/>
      <c r="TC680" s="25"/>
      <c r="TD680" s="25"/>
      <c r="TE680" s="25"/>
      <c r="TF680" s="25"/>
      <c r="TG680" s="25"/>
      <c r="TH680" s="25"/>
      <c r="TI680" s="25"/>
      <c r="TJ680" s="25"/>
      <c r="TK680" s="25"/>
      <c r="TL680" s="25"/>
      <c r="TM680" s="25"/>
      <c r="TN680" s="25"/>
      <c r="TO680" s="25"/>
      <c r="TP680" s="25"/>
      <c r="TQ680" s="25"/>
      <c r="TR680" s="25"/>
      <c r="TS680" s="25"/>
      <c r="TT680" s="25"/>
      <c r="TU680" s="25"/>
      <c r="TV680" s="25"/>
      <c r="TW680" s="25"/>
      <c r="TX680" s="25"/>
      <c r="TY680" s="25"/>
      <c r="TZ680" s="25"/>
      <c r="UA680" s="25"/>
      <c r="UB680" s="25"/>
      <c r="UC680" s="25"/>
      <c r="UD680" s="25"/>
      <c r="UE680" s="25"/>
      <c r="UF680" s="25"/>
      <c r="UG680" s="26"/>
    </row>
    <row r="681" spans="1:553" ht="408.75" customHeight="1">
      <c r="A681" s="356"/>
      <c r="B681" s="385"/>
      <c r="C681" s="384" t="s">
        <v>23</v>
      </c>
      <c r="D681" s="376" t="s">
        <v>70</v>
      </c>
      <c r="E681" s="376">
        <v>315</v>
      </c>
      <c r="F681" s="385">
        <v>1</v>
      </c>
      <c r="G681" s="396" t="s">
        <v>33</v>
      </c>
      <c r="H681" s="387">
        <v>821</v>
      </c>
      <c r="I681" s="490">
        <v>821</v>
      </c>
      <c r="J681" s="368">
        <v>62000</v>
      </c>
      <c r="K681" s="391"/>
      <c r="L681" s="480">
        <f t="shared" si="110"/>
        <v>50902000</v>
      </c>
      <c r="M681" s="392"/>
      <c r="N681" s="392"/>
      <c r="O681" s="366"/>
      <c r="P681" s="366"/>
      <c r="Q681" s="761" t="s">
        <v>940</v>
      </c>
      <c r="R681" s="1547" t="s">
        <v>942</v>
      </c>
      <c r="S681" s="308"/>
      <c r="T681" s="308"/>
      <c r="U681" s="308"/>
      <c r="V681" s="308"/>
      <c r="W681" s="685">
        <f>I681</f>
        <v>821</v>
      </c>
      <c r="X681" s="308"/>
      <c r="Y681" s="308"/>
      <c r="Z681" s="604"/>
      <c r="AA681" s="308"/>
      <c r="AB681" s="308"/>
      <c r="AC681" s="449"/>
      <c r="AD681" s="449"/>
      <c r="AE681" s="449"/>
      <c r="AF681" s="449"/>
      <c r="AG681" s="449"/>
      <c r="AH681" s="449"/>
      <c r="AI681" s="449"/>
      <c r="AJ681" s="449"/>
      <c r="AK681" s="452"/>
      <c r="AL681" s="104"/>
      <c r="AM681" s="32"/>
      <c r="AN681" s="32"/>
      <c r="AO681" s="32"/>
      <c r="AP681" s="32"/>
      <c r="AQ681" s="32"/>
      <c r="AR681" s="32"/>
      <c r="AS681" s="31"/>
      <c r="AT681" s="22"/>
      <c r="AU681" s="22"/>
      <c r="AV681" s="22"/>
      <c r="AW681" s="22"/>
      <c r="AX681" s="22"/>
      <c r="AY681" s="22"/>
      <c r="AZ681" s="22"/>
      <c r="BA681" s="22"/>
      <c r="BB681" s="22"/>
      <c r="BC681" s="22"/>
      <c r="BD681" s="22"/>
      <c r="BE681" s="22"/>
      <c r="BF681" s="22"/>
      <c r="BG681" s="22"/>
      <c r="BH681" s="22"/>
      <c r="BI681" s="22"/>
      <c r="BJ681" s="22"/>
      <c r="BK681" s="22"/>
      <c r="BL681" s="22"/>
      <c r="BM681" s="22"/>
      <c r="BN681" s="22"/>
      <c r="BO681" s="22"/>
      <c r="BP681" s="25"/>
      <c r="BQ681" s="25"/>
      <c r="BR681" s="25"/>
      <c r="BS681" s="25"/>
      <c r="BT681" s="25"/>
      <c r="BU681" s="25"/>
      <c r="BV681" s="25"/>
      <c r="BW681" s="25"/>
      <c r="BX681" s="25"/>
      <c r="BY681" s="25"/>
      <c r="BZ681" s="25"/>
      <c r="CA681" s="25"/>
      <c r="CB681" s="25"/>
      <c r="CC681" s="25"/>
      <c r="CD681" s="25"/>
      <c r="CE681" s="25"/>
      <c r="CF681" s="25"/>
      <c r="CG681" s="25"/>
      <c r="CH681" s="25"/>
      <c r="CI681" s="25"/>
      <c r="CJ681" s="25"/>
      <c r="CK681" s="25"/>
      <c r="CL681" s="25"/>
      <c r="CM681" s="25"/>
      <c r="CN681" s="25"/>
      <c r="CO681" s="25"/>
      <c r="CP681" s="25"/>
      <c r="CQ681" s="25"/>
      <c r="CR681" s="25"/>
      <c r="CS681" s="25"/>
      <c r="CT681" s="25"/>
      <c r="CU681" s="25"/>
      <c r="CV681" s="25"/>
      <c r="CW681" s="25"/>
      <c r="CX681" s="25"/>
      <c r="CY681" s="25"/>
      <c r="CZ681" s="25"/>
      <c r="DA681" s="25"/>
      <c r="DB681" s="25"/>
      <c r="DC681" s="25"/>
      <c r="DD681" s="25"/>
      <c r="DE681" s="25"/>
      <c r="DF681" s="25"/>
      <c r="DG681" s="25"/>
      <c r="DH681" s="25"/>
      <c r="DI681" s="25"/>
      <c r="DJ681" s="25"/>
      <c r="DK681" s="25"/>
      <c r="DL681" s="25"/>
      <c r="DM681" s="25"/>
      <c r="DN681" s="25"/>
      <c r="DO681" s="25"/>
      <c r="DP681" s="25"/>
      <c r="DQ681" s="25"/>
      <c r="DR681" s="25"/>
      <c r="DS681" s="25"/>
      <c r="DT681" s="25"/>
      <c r="DU681" s="25"/>
      <c r="DV681" s="25"/>
      <c r="DW681" s="25"/>
      <c r="DX681" s="25"/>
      <c r="DY681" s="25"/>
      <c r="DZ681" s="25"/>
      <c r="EA681" s="25"/>
      <c r="EB681" s="25"/>
      <c r="EC681" s="25"/>
      <c r="ED681" s="25"/>
      <c r="EE681" s="25"/>
      <c r="EF681" s="25"/>
      <c r="EG681" s="25"/>
      <c r="EH681" s="25"/>
      <c r="EI681" s="25"/>
      <c r="EJ681" s="25"/>
      <c r="EK681" s="25"/>
      <c r="EL681" s="25"/>
      <c r="EM681" s="25"/>
      <c r="EN681" s="25"/>
      <c r="EO681" s="25"/>
      <c r="EP681" s="25"/>
      <c r="EQ681" s="25"/>
      <c r="ER681" s="25"/>
      <c r="ES681" s="25"/>
      <c r="ET681" s="25"/>
      <c r="EU681" s="25"/>
      <c r="EV681" s="25"/>
      <c r="EW681" s="25"/>
      <c r="EX681" s="25"/>
      <c r="EY681" s="25"/>
      <c r="EZ681" s="25"/>
      <c r="FA681" s="25"/>
      <c r="FB681" s="25"/>
      <c r="FC681" s="25"/>
      <c r="FD681" s="25"/>
      <c r="FE681" s="25"/>
      <c r="FF681" s="25"/>
      <c r="FG681" s="25"/>
      <c r="FH681" s="25"/>
      <c r="FI681" s="25"/>
      <c r="FJ681" s="25"/>
      <c r="FK681" s="25"/>
      <c r="FL681" s="25"/>
      <c r="FM681" s="25"/>
      <c r="FN681" s="25"/>
      <c r="FO681" s="25"/>
      <c r="FP681" s="25"/>
      <c r="FQ681" s="25"/>
      <c r="FR681" s="25"/>
      <c r="FS681" s="25"/>
      <c r="FT681" s="25"/>
      <c r="FU681" s="25"/>
      <c r="FV681" s="25"/>
      <c r="FW681" s="25"/>
      <c r="FX681" s="25"/>
      <c r="FY681" s="25"/>
      <c r="FZ681" s="25"/>
      <c r="GA681" s="25"/>
      <c r="GB681" s="25"/>
      <c r="GC681" s="25"/>
      <c r="GD681" s="25"/>
      <c r="GE681" s="25"/>
      <c r="GF681" s="25"/>
      <c r="GG681" s="25"/>
      <c r="GH681" s="25"/>
      <c r="GI681" s="25"/>
      <c r="GJ681" s="25"/>
      <c r="GK681" s="25"/>
      <c r="GL681" s="25"/>
      <c r="GM681" s="25"/>
      <c r="GN681" s="25"/>
      <c r="GO681" s="25"/>
      <c r="GP681" s="25"/>
      <c r="GQ681" s="25"/>
      <c r="GR681" s="25"/>
      <c r="GS681" s="25"/>
      <c r="GT681" s="25"/>
      <c r="GU681" s="25"/>
      <c r="GV681" s="25"/>
      <c r="GW681" s="25"/>
      <c r="GX681" s="25"/>
      <c r="GY681" s="25"/>
      <c r="GZ681" s="25"/>
      <c r="HA681" s="25"/>
      <c r="HB681" s="25"/>
      <c r="HC681" s="25"/>
      <c r="HD681" s="25"/>
      <c r="HE681" s="25"/>
      <c r="HF681" s="25"/>
      <c r="HG681" s="25"/>
      <c r="HH681" s="25"/>
      <c r="HI681" s="25"/>
      <c r="HJ681" s="25"/>
      <c r="HK681" s="25"/>
      <c r="HL681" s="25"/>
      <c r="HM681" s="25"/>
      <c r="HN681" s="25"/>
      <c r="HO681" s="25"/>
      <c r="HP681" s="25"/>
      <c r="HQ681" s="25"/>
      <c r="HR681" s="25"/>
      <c r="HS681" s="25"/>
      <c r="HT681" s="25"/>
      <c r="HU681" s="25"/>
      <c r="HV681" s="25"/>
      <c r="HW681" s="25"/>
      <c r="HX681" s="25"/>
      <c r="HY681" s="25"/>
      <c r="HZ681" s="25"/>
      <c r="IA681" s="25"/>
      <c r="IB681" s="25"/>
      <c r="IC681" s="25"/>
      <c r="ID681" s="25"/>
      <c r="IE681" s="25"/>
      <c r="IF681" s="25"/>
      <c r="IG681" s="25"/>
      <c r="IH681" s="25"/>
      <c r="II681" s="25"/>
      <c r="IJ681" s="25"/>
      <c r="IK681" s="25"/>
      <c r="IL681" s="25"/>
      <c r="IM681" s="25"/>
      <c r="IN681" s="25"/>
      <c r="IO681" s="25"/>
      <c r="IP681" s="25"/>
      <c r="IQ681" s="25"/>
      <c r="IR681" s="25"/>
      <c r="IS681" s="25"/>
      <c r="IT681" s="25"/>
      <c r="IU681" s="25"/>
      <c r="IV681" s="25"/>
      <c r="IW681" s="25"/>
      <c r="IX681" s="25"/>
      <c r="IY681" s="25"/>
      <c r="IZ681" s="25"/>
      <c r="JA681" s="25"/>
      <c r="JB681" s="25"/>
      <c r="JC681" s="25"/>
      <c r="JD681" s="25"/>
      <c r="JE681" s="25"/>
      <c r="JF681" s="25"/>
      <c r="JG681" s="25"/>
      <c r="JH681" s="25"/>
      <c r="JI681" s="25"/>
      <c r="JJ681" s="25"/>
      <c r="JK681" s="25"/>
      <c r="JL681" s="25"/>
      <c r="JM681" s="25"/>
      <c r="JN681" s="25"/>
      <c r="JO681" s="25"/>
      <c r="JP681" s="25"/>
      <c r="JQ681" s="25"/>
      <c r="JR681" s="25"/>
      <c r="JS681" s="25"/>
      <c r="JT681" s="25"/>
      <c r="JU681" s="25"/>
      <c r="JV681" s="25"/>
      <c r="JW681" s="25"/>
      <c r="JX681" s="25"/>
      <c r="JY681" s="25"/>
      <c r="JZ681" s="25"/>
      <c r="KA681" s="25"/>
      <c r="KB681" s="25"/>
      <c r="KC681" s="25"/>
      <c r="KD681" s="25"/>
      <c r="KE681" s="25"/>
      <c r="KF681" s="25"/>
      <c r="KG681" s="25"/>
      <c r="KH681" s="25"/>
      <c r="KI681" s="25"/>
      <c r="KJ681" s="25"/>
      <c r="KK681" s="25"/>
      <c r="KL681" s="25"/>
      <c r="KM681" s="25"/>
      <c r="KN681" s="25"/>
      <c r="KO681" s="25"/>
      <c r="KP681" s="25"/>
      <c r="KQ681" s="25"/>
      <c r="KR681" s="25"/>
      <c r="KS681" s="25"/>
      <c r="KT681" s="25"/>
      <c r="KU681" s="25"/>
      <c r="KV681" s="25"/>
      <c r="KW681" s="25"/>
      <c r="KX681" s="25"/>
      <c r="KY681" s="25"/>
      <c r="KZ681" s="25"/>
      <c r="LA681" s="25"/>
      <c r="LB681" s="25"/>
      <c r="LC681" s="25"/>
      <c r="LD681" s="25"/>
      <c r="LE681" s="25"/>
      <c r="LF681" s="25"/>
      <c r="LG681" s="25"/>
      <c r="LH681" s="25"/>
      <c r="LI681" s="25"/>
      <c r="LJ681" s="25"/>
      <c r="LK681" s="25"/>
      <c r="LL681" s="25"/>
      <c r="LM681" s="25"/>
      <c r="LN681" s="25"/>
      <c r="LO681" s="25"/>
      <c r="LP681" s="25"/>
      <c r="LQ681" s="25"/>
      <c r="LR681" s="25"/>
      <c r="LS681" s="25"/>
      <c r="LT681" s="25"/>
      <c r="LU681" s="25"/>
      <c r="LV681" s="25"/>
      <c r="LW681" s="25"/>
      <c r="LX681" s="25"/>
      <c r="LY681" s="25"/>
      <c r="LZ681" s="25"/>
      <c r="MA681" s="25"/>
      <c r="MB681" s="25"/>
      <c r="MC681" s="25"/>
      <c r="MD681" s="25"/>
      <c r="ME681" s="25"/>
      <c r="MF681" s="25"/>
      <c r="MG681" s="25"/>
      <c r="MH681" s="25"/>
      <c r="MI681" s="25"/>
      <c r="MJ681" s="25"/>
      <c r="MK681" s="25"/>
      <c r="ML681" s="25"/>
      <c r="MM681" s="25"/>
      <c r="MN681" s="25"/>
      <c r="MO681" s="25"/>
      <c r="MP681" s="25"/>
      <c r="MQ681" s="25"/>
      <c r="MR681" s="25"/>
      <c r="MS681" s="25"/>
      <c r="MT681" s="25"/>
      <c r="MU681" s="25"/>
      <c r="MV681" s="25"/>
      <c r="MW681" s="25"/>
      <c r="MX681" s="25"/>
      <c r="MY681" s="25"/>
      <c r="MZ681" s="25"/>
      <c r="NA681" s="25"/>
      <c r="NB681" s="25"/>
      <c r="NC681" s="25"/>
      <c r="ND681" s="25"/>
      <c r="NE681" s="25"/>
      <c r="NF681" s="25"/>
      <c r="NG681" s="25"/>
      <c r="NH681" s="25"/>
      <c r="NI681" s="25"/>
      <c r="NJ681" s="25"/>
      <c r="NK681" s="25"/>
      <c r="NL681" s="25"/>
      <c r="NM681" s="25"/>
      <c r="NN681" s="25"/>
      <c r="NO681" s="25"/>
      <c r="NP681" s="25"/>
      <c r="NQ681" s="25"/>
      <c r="NR681" s="25"/>
      <c r="NS681" s="25"/>
      <c r="NT681" s="25"/>
      <c r="NU681" s="25"/>
      <c r="NV681" s="25"/>
      <c r="NW681" s="25"/>
      <c r="NX681" s="25"/>
      <c r="NY681" s="25"/>
      <c r="NZ681" s="25"/>
      <c r="OA681" s="25"/>
      <c r="OB681" s="25"/>
      <c r="OC681" s="25"/>
      <c r="OD681" s="25"/>
      <c r="OE681" s="25"/>
      <c r="OF681" s="25"/>
      <c r="OG681" s="25"/>
      <c r="OH681" s="25"/>
      <c r="OI681" s="25"/>
      <c r="OJ681" s="25"/>
      <c r="OK681" s="25"/>
      <c r="OL681" s="25"/>
      <c r="OM681" s="25"/>
      <c r="ON681" s="25"/>
      <c r="OO681" s="25"/>
      <c r="OP681" s="25"/>
      <c r="OQ681" s="25"/>
      <c r="OR681" s="25"/>
      <c r="OS681" s="25"/>
      <c r="OT681" s="25"/>
      <c r="OU681" s="25"/>
      <c r="OV681" s="25"/>
      <c r="OW681" s="25"/>
      <c r="OX681" s="25"/>
      <c r="OY681" s="25"/>
      <c r="OZ681" s="25"/>
      <c r="PA681" s="25"/>
      <c r="PB681" s="25"/>
      <c r="PC681" s="25"/>
      <c r="PD681" s="25"/>
      <c r="PE681" s="25"/>
      <c r="PF681" s="25"/>
      <c r="PG681" s="25"/>
      <c r="PH681" s="25"/>
      <c r="PI681" s="25"/>
      <c r="PJ681" s="25"/>
      <c r="PK681" s="25"/>
      <c r="PL681" s="25"/>
      <c r="PM681" s="25"/>
      <c r="PN681" s="25"/>
      <c r="PO681" s="25"/>
      <c r="PP681" s="25"/>
      <c r="PQ681" s="25"/>
      <c r="PR681" s="25"/>
      <c r="PS681" s="25"/>
      <c r="PT681" s="25"/>
      <c r="PU681" s="25"/>
      <c r="PV681" s="25"/>
      <c r="PW681" s="25"/>
      <c r="PX681" s="25"/>
      <c r="PY681" s="25"/>
      <c r="PZ681" s="25"/>
      <c r="QA681" s="25"/>
      <c r="QB681" s="25"/>
      <c r="QC681" s="25"/>
      <c r="QD681" s="25"/>
      <c r="QE681" s="25"/>
      <c r="QF681" s="25"/>
      <c r="QG681" s="25"/>
      <c r="QH681" s="25"/>
      <c r="QI681" s="25"/>
      <c r="QJ681" s="25"/>
      <c r="QK681" s="25"/>
      <c r="QL681" s="25"/>
      <c r="QM681" s="25"/>
      <c r="QN681" s="25"/>
      <c r="QO681" s="25"/>
      <c r="QP681" s="25"/>
      <c r="QQ681" s="25"/>
      <c r="QR681" s="25"/>
      <c r="QS681" s="25"/>
      <c r="QT681" s="25"/>
      <c r="QU681" s="25"/>
      <c r="QV681" s="25"/>
      <c r="QW681" s="25"/>
      <c r="QX681" s="25"/>
      <c r="QY681" s="25"/>
      <c r="QZ681" s="25"/>
      <c r="RA681" s="25"/>
      <c r="RB681" s="25"/>
      <c r="RC681" s="25"/>
      <c r="RD681" s="25"/>
      <c r="RE681" s="25"/>
      <c r="RF681" s="25"/>
      <c r="RG681" s="25"/>
      <c r="RH681" s="25"/>
      <c r="RI681" s="25"/>
      <c r="RJ681" s="25"/>
      <c r="RK681" s="25"/>
      <c r="RL681" s="25"/>
      <c r="RM681" s="25"/>
      <c r="RN681" s="25"/>
      <c r="RO681" s="25"/>
      <c r="RP681" s="25"/>
      <c r="RQ681" s="25"/>
      <c r="RR681" s="25"/>
      <c r="RS681" s="25"/>
      <c r="RT681" s="25"/>
      <c r="RU681" s="25"/>
      <c r="RV681" s="25"/>
      <c r="RW681" s="25"/>
      <c r="RX681" s="25"/>
      <c r="RY681" s="25"/>
      <c r="RZ681" s="25"/>
      <c r="SA681" s="25"/>
      <c r="SB681" s="25"/>
      <c r="SC681" s="25"/>
      <c r="SD681" s="25"/>
      <c r="SE681" s="25"/>
      <c r="SF681" s="25"/>
      <c r="SG681" s="25"/>
      <c r="SH681" s="25"/>
      <c r="SI681" s="25"/>
      <c r="SJ681" s="25"/>
      <c r="SK681" s="25"/>
      <c r="SL681" s="25"/>
      <c r="SM681" s="25"/>
      <c r="SN681" s="25"/>
      <c r="SO681" s="25"/>
      <c r="SP681" s="25"/>
      <c r="SQ681" s="25"/>
      <c r="SR681" s="25"/>
      <c r="SS681" s="25"/>
      <c r="ST681" s="25"/>
      <c r="SU681" s="25"/>
      <c r="SV681" s="25"/>
      <c r="SW681" s="25"/>
      <c r="SX681" s="25"/>
      <c r="SY681" s="25"/>
      <c r="SZ681" s="25"/>
      <c r="TA681" s="25"/>
      <c r="TB681" s="25"/>
      <c r="TC681" s="25"/>
      <c r="TD681" s="25"/>
      <c r="TE681" s="25"/>
      <c r="TF681" s="25"/>
      <c r="TG681" s="25"/>
      <c r="TH681" s="25"/>
      <c r="TI681" s="25"/>
      <c r="TJ681" s="25"/>
      <c r="TK681" s="25"/>
      <c r="TL681" s="25"/>
      <c r="TM681" s="25"/>
      <c r="TN681" s="25"/>
      <c r="TO681" s="25"/>
      <c r="TP681" s="25"/>
      <c r="TQ681" s="25"/>
      <c r="TR681" s="25"/>
      <c r="TS681" s="25"/>
      <c r="TT681" s="25"/>
      <c r="TU681" s="25"/>
      <c r="TV681" s="25"/>
      <c r="TW681" s="25"/>
      <c r="TX681" s="25"/>
      <c r="TY681" s="25"/>
      <c r="TZ681" s="25"/>
      <c r="UA681" s="25"/>
      <c r="UB681" s="25"/>
      <c r="UC681" s="25"/>
      <c r="UD681" s="25"/>
      <c r="UE681" s="25"/>
      <c r="UF681" s="25"/>
      <c r="UG681" s="26"/>
    </row>
    <row r="682" spans="1:553" ht="315.75" customHeight="1">
      <c r="A682" s="356"/>
      <c r="B682" s="385"/>
      <c r="C682" s="384" t="s">
        <v>23</v>
      </c>
      <c r="D682" s="376" t="s">
        <v>70</v>
      </c>
      <c r="E682" s="376">
        <v>335</v>
      </c>
      <c r="F682" s="385">
        <v>1</v>
      </c>
      <c r="G682" s="396" t="s">
        <v>33</v>
      </c>
      <c r="H682" s="387">
        <v>692.2</v>
      </c>
      <c r="I682" s="490">
        <v>692.2</v>
      </c>
      <c r="J682" s="368">
        <v>62000</v>
      </c>
      <c r="K682" s="391"/>
      <c r="L682" s="480">
        <f t="shared" si="110"/>
        <v>42916400</v>
      </c>
      <c r="M682" s="392"/>
      <c r="N682" s="392"/>
      <c r="O682" s="366"/>
      <c r="P682" s="366"/>
      <c r="Q682" s="761" t="s">
        <v>941</v>
      </c>
      <c r="R682" s="1452"/>
      <c r="S682" s="308"/>
      <c r="T682" s="308"/>
      <c r="U682" s="308"/>
      <c r="V682" s="308"/>
      <c r="W682" s="685">
        <f>I682</f>
        <v>692.2</v>
      </c>
      <c r="X682" s="308"/>
      <c r="Y682" s="308"/>
      <c r="Z682" s="604"/>
      <c r="AA682" s="308"/>
      <c r="AB682" s="308"/>
      <c r="AC682" s="449"/>
      <c r="AD682" s="449"/>
      <c r="AE682" s="449"/>
      <c r="AF682" s="449"/>
      <c r="AG682" s="449"/>
      <c r="AH682" s="449"/>
      <c r="AI682" s="449"/>
      <c r="AJ682" s="449"/>
      <c r="AK682" s="452"/>
      <c r="AL682" s="104"/>
      <c r="AM682" s="32"/>
      <c r="AN682" s="32"/>
      <c r="AO682" s="32"/>
      <c r="AP682" s="32"/>
      <c r="AQ682" s="32"/>
      <c r="AR682" s="32"/>
      <c r="AS682" s="31"/>
      <c r="AT682" s="22"/>
      <c r="AU682" s="22"/>
      <c r="AV682" s="22"/>
      <c r="AW682" s="22"/>
      <c r="AX682" s="22"/>
      <c r="AY682" s="22"/>
      <c r="AZ682" s="22"/>
      <c r="BA682" s="22"/>
      <c r="BB682" s="22"/>
      <c r="BC682" s="22"/>
      <c r="BD682" s="22"/>
      <c r="BE682" s="22"/>
      <c r="BF682" s="22"/>
      <c r="BG682" s="22"/>
      <c r="BH682" s="22"/>
      <c r="BI682" s="22"/>
      <c r="BJ682" s="22"/>
      <c r="BK682" s="22"/>
      <c r="BL682" s="22"/>
      <c r="BM682" s="22"/>
      <c r="BN682" s="22"/>
      <c r="BO682" s="22"/>
      <c r="BP682" s="25"/>
      <c r="BQ682" s="25"/>
      <c r="BR682" s="25"/>
      <c r="BS682" s="25"/>
      <c r="BT682" s="25"/>
      <c r="BU682" s="25"/>
      <c r="BV682" s="25"/>
      <c r="BW682" s="25"/>
      <c r="BX682" s="25"/>
      <c r="BY682" s="25"/>
      <c r="BZ682" s="25"/>
      <c r="CA682" s="25"/>
      <c r="CB682" s="25"/>
      <c r="CC682" s="25"/>
      <c r="CD682" s="25"/>
      <c r="CE682" s="25"/>
      <c r="CF682" s="25"/>
      <c r="CG682" s="25"/>
      <c r="CH682" s="25"/>
      <c r="CI682" s="25"/>
      <c r="CJ682" s="25"/>
      <c r="CK682" s="25"/>
      <c r="CL682" s="25"/>
      <c r="CM682" s="25"/>
      <c r="CN682" s="25"/>
      <c r="CO682" s="25"/>
      <c r="CP682" s="25"/>
      <c r="CQ682" s="25"/>
      <c r="CR682" s="25"/>
      <c r="CS682" s="25"/>
      <c r="CT682" s="25"/>
      <c r="CU682" s="25"/>
      <c r="CV682" s="25"/>
      <c r="CW682" s="25"/>
      <c r="CX682" s="25"/>
      <c r="CY682" s="25"/>
      <c r="CZ682" s="25"/>
      <c r="DA682" s="25"/>
      <c r="DB682" s="25"/>
      <c r="DC682" s="25"/>
      <c r="DD682" s="25"/>
      <c r="DE682" s="25"/>
      <c r="DF682" s="25"/>
      <c r="DG682" s="25"/>
      <c r="DH682" s="25"/>
      <c r="DI682" s="25"/>
      <c r="DJ682" s="25"/>
      <c r="DK682" s="25"/>
      <c r="DL682" s="25"/>
      <c r="DM682" s="25"/>
      <c r="DN682" s="25"/>
      <c r="DO682" s="25"/>
      <c r="DP682" s="25"/>
      <c r="DQ682" s="25"/>
      <c r="DR682" s="25"/>
      <c r="DS682" s="25"/>
      <c r="DT682" s="25"/>
      <c r="DU682" s="25"/>
      <c r="DV682" s="25"/>
      <c r="DW682" s="25"/>
      <c r="DX682" s="25"/>
      <c r="DY682" s="25"/>
      <c r="DZ682" s="25"/>
      <c r="EA682" s="25"/>
      <c r="EB682" s="25"/>
      <c r="EC682" s="25"/>
      <c r="ED682" s="25"/>
      <c r="EE682" s="25"/>
      <c r="EF682" s="25"/>
      <c r="EG682" s="25"/>
      <c r="EH682" s="25"/>
      <c r="EI682" s="25"/>
      <c r="EJ682" s="25"/>
      <c r="EK682" s="25"/>
      <c r="EL682" s="25"/>
      <c r="EM682" s="25"/>
      <c r="EN682" s="25"/>
      <c r="EO682" s="25"/>
      <c r="EP682" s="25"/>
      <c r="EQ682" s="25"/>
      <c r="ER682" s="25"/>
      <c r="ES682" s="25"/>
      <c r="ET682" s="25"/>
      <c r="EU682" s="25"/>
      <c r="EV682" s="25"/>
      <c r="EW682" s="25"/>
      <c r="EX682" s="25"/>
      <c r="EY682" s="25"/>
      <c r="EZ682" s="25"/>
      <c r="FA682" s="25"/>
      <c r="FB682" s="25"/>
      <c r="FC682" s="25"/>
      <c r="FD682" s="25"/>
      <c r="FE682" s="25"/>
      <c r="FF682" s="25"/>
      <c r="FG682" s="25"/>
      <c r="FH682" s="25"/>
      <c r="FI682" s="25"/>
      <c r="FJ682" s="25"/>
      <c r="FK682" s="25"/>
      <c r="FL682" s="25"/>
      <c r="FM682" s="25"/>
      <c r="FN682" s="25"/>
      <c r="FO682" s="25"/>
      <c r="FP682" s="25"/>
      <c r="FQ682" s="25"/>
      <c r="FR682" s="25"/>
      <c r="FS682" s="25"/>
      <c r="FT682" s="25"/>
      <c r="FU682" s="25"/>
      <c r="FV682" s="25"/>
      <c r="FW682" s="25"/>
      <c r="FX682" s="25"/>
      <c r="FY682" s="25"/>
      <c r="FZ682" s="25"/>
      <c r="GA682" s="25"/>
      <c r="GB682" s="25"/>
      <c r="GC682" s="25"/>
      <c r="GD682" s="25"/>
      <c r="GE682" s="25"/>
      <c r="GF682" s="25"/>
      <c r="GG682" s="25"/>
      <c r="GH682" s="25"/>
      <c r="GI682" s="25"/>
      <c r="GJ682" s="25"/>
      <c r="GK682" s="25"/>
      <c r="GL682" s="25"/>
      <c r="GM682" s="25"/>
      <c r="GN682" s="25"/>
      <c r="GO682" s="25"/>
      <c r="GP682" s="25"/>
      <c r="GQ682" s="25"/>
      <c r="GR682" s="25"/>
      <c r="GS682" s="25"/>
      <c r="GT682" s="25"/>
      <c r="GU682" s="25"/>
      <c r="GV682" s="25"/>
      <c r="GW682" s="25"/>
      <c r="GX682" s="25"/>
      <c r="GY682" s="25"/>
      <c r="GZ682" s="25"/>
      <c r="HA682" s="25"/>
      <c r="HB682" s="25"/>
      <c r="HC682" s="25"/>
      <c r="HD682" s="25"/>
      <c r="HE682" s="25"/>
      <c r="HF682" s="25"/>
      <c r="HG682" s="25"/>
      <c r="HH682" s="25"/>
      <c r="HI682" s="25"/>
      <c r="HJ682" s="25"/>
      <c r="HK682" s="25"/>
      <c r="HL682" s="25"/>
      <c r="HM682" s="25"/>
      <c r="HN682" s="25"/>
      <c r="HO682" s="25"/>
      <c r="HP682" s="25"/>
      <c r="HQ682" s="25"/>
      <c r="HR682" s="25"/>
      <c r="HS682" s="25"/>
      <c r="HT682" s="25"/>
      <c r="HU682" s="25"/>
      <c r="HV682" s="25"/>
      <c r="HW682" s="25"/>
      <c r="HX682" s="25"/>
      <c r="HY682" s="25"/>
      <c r="HZ682" s="25"/>
      <c r="IA682" s="25"/>
      <c r="IB682" s="25"/>
      <c r="IC682" s="25"/>
      <c r="ID682" s="25"/>
      <c r="IE682" s="25"/>
      <c r="IF682" s="25"/>
      <c r="IG682" s="25"/>
      <c r="IH682" s="25"/>
      <c r="II682" s="25"/>
      <c r="IJ682" s="25"/>
      <c r="IK682" s="25"/>
      <c r="IL682" s="25"/>
      <c r="IM682" s="25"/>
      <c r="IN682" s="25"/>
      <c r="IO682" s="25"/>
      <c r="IP682" s="25"/>
      <c r="IQ682" s="25"/>
      <c r="IR682" s="25"/>
      <c r="IS682" s="25"/>
      <c r="IT682" s="25"/>
      <c r="IU682" s="25"/>
      <c r="IV682" s="25"/>
      <c r="IW682" s="25"/>
      <c r="IX682" s="25"/>
      <c r="IY682" s="25"/>
      <c r="IZ682" s="25"/>
      <c r="JA682" s="25"/>
      <c r="JB682" s="25"/>
      <c r="JC682" s="25"/>
      <c r="JD682" s="25"/>
      <c r="JE682" s="25"/>
      <c r="JF682" s="25"/>
      <c r="JG682" s="25"/>
      <c r="JH682" s="25"/>
      <c r="JI682" s="25"/>
      <c r="JJ682" s="25"/>
      <c r="JK682" s="25"/>
      <c r="JL682" s="25"/>
      <c r="JM682" s="25"/>
      <c r="JN682" s="25"/>
      <c r="JO682" s="25"/>
      <c r="JP682" s="25"/>
      <c r="JQ682" s="25"/>
      <c r="JR682" s="25"/>
      <c r="JS682" s="25"/>
      <c r="JT682" s="25"/>
      <c r="JU682" s="25"/>
      <c r="JV682" s="25"/>
      <c r="JW682" s="25"/>
      <c r="JX682" s="25"/>
      <c r="JY682" s="25"/>
      <c r="JZ682" s="25"/>
      <c r="KA682" s="25"/>
      <c r="KB682" s="25"/>
      <c r="KC682" s="25"/>
      <c r="KD682" s="25"/>
      <c r="KE682" s="25"/>
      <c r="KF682" s="25"/>
      <c r="KG682" s="25"/>
      <c r="KH682" s="25"/>
      <c r="KI682" s="25"/>
      <c r="KJ682" s="25"/>
      <c r="KK682" s="25"/>
      <c r="KL682" s="25"/>
      <c r="KM682" s="25"/>
      <c r="KN682" s="25"/>
      <c r="KO682" s="25"/>
      <c r="KP682" s="25"/>
      <c r="KQ682" s="25"/>
      <c r="KR682" s="25"/>
      <c r="KS682" s="25"/>
      <c r="KT682" s="25"/>
      <c r="KU682" s="25"/>
      <c r="KV682" s="25"/>
      <c r="KW682" s="25"/>
      <c r="KX682" s="25"/>
      <c r="KY682" s="25"/>
      <c r="KZ682" s="25"/>
      <c r="LA682" s="25"/>
      <c r="LB682" s="25"/>
      <c r="LC682" s="25"/>
      <c r="LD682" s="25"/>
      <c r="LE682" s="25"/>
      <c r="LF682" s="25"/>
      <c r="LG682" s="25"/>
      <c r="LH682" s="25"/>
      <c r="LI682" s="25"/>
      <c r="LJ682" s="25"/>
      <c r="LK682" s="25"/>
      <c r="LL682" s="25"/>
      <c r="LM682" s="25"/>
      <c r="LN682" s="25"/>
      <c r="LO682" s="25"/>
      <c r="LP682" s="25"/>
      <c r="LQ682" s="25"/>
      <c r="LR682" s="25"/>
      <c r="LS682" s="25"/>
      <c r="LT682" s="25"/>
      <c r="LU682" s="25"/>
      <c r="LV682" s="25"/>
      <c r="LW682" s="25"/>
      <c r="LX682" s="25"/>
      <c r="LY682" s="25"/>
      <c r="LZ682" s="25"/>
      <c r="MA682" s="25"/>
      <c r="MB682" s="25"/>
      <c r="MC682" s="25"/>
      <c r="MD682" s="25"/>
      <c r="ME682" s="25"/>
      <c r="MF682" s="25"/>
      <c r="MG682" s="25"/>
      <c r="MH682" s="25"/>
      <c r="MI682" s="25"/>
      <c r="MJ682" s="25"/>
      <c r="MK682" s="25"/>
      <c r="ML682" s="25"/>
      <c r="MM682" s="25"/>
      <c r="MN682" s="25"/>
      <c r="MO682" s="25"/>
      <c r="MP682" s="25"/>
      <c r="MQ682" s="25"/>
      <c r="MR682" s="25"/>
      <c r="MS682" s="25"/>
      <c r="MT682" s="25"/>
      <c r="MU682" s="25"/>
      <c r="MV682" s="25"/>
      <c r="MW682" s="25"/>
      <c r="MX682" s="25"/>
      <c r="MY682" s="25"/>
      <c r="MZ682" s="25"/>
      <c r="NA682" s="25"/>
      <c r="NB682" s="25"/>
      <c r="NC682" s="25"/>
      <c r="ND682" s="25"/>
      <c r="NE682" s="25"/>
      <c r="NF682" s="25"/>
      <c r="NG682" s="25"/>
      <c r="NH682" s="25"/>
      <c r="NI682" s="25"/>
      <c r="NJ682" s="25"/>
      <c r="NK682" s="25"/>
      <c r="NL682" s="25"/>
      <c r="NM682" s="25"/>
      <c r="NN682" s="25"/>
      <c r="NO682" s="25"/>
      <c r="NP682" s="25"/>
      <c r="NQ682" s="25"/>
      <c r="NR682" s="25"/>
      <c r="NS682" s="25"/>
      <c r="NT682" s="25"/>
      <c r="NU682" s="25"/>
      <c r="NV682" s="25"/>
      <c r="NW682" s="25"/>
      <c r="NX682" s="25"/>
      <c r="NY682" s="25"/>
      <c r="NZ682" s="25"/>
      <c r="OA682" s="25"/>
      <c r="OB682" s="25"/>
      <c r="OC682" s="25"/>
      <c r="OD682" s="25"/>
      <c r="OE682" s="25"/>
      <c r="OF682" s="25"/>
      <c r="OG682" s="25"/>
      <c r="OH682" s="25"/>
      <c r="OI682" s="25"/>
      <c r="OJ682" s="25"/>
      <c r="OK682" s="25"/>
      <c r="OL682" s="25"/>
      <c r="OM682" s="25"/>
      <c r="ON682" s="25"/>
      <c r="OO682" s="25"/>
      <c r="OP682" s="25"/>
      <c r="OQ682" s="25"/>
      <c r="OR682" s="25"/>
      <c r="OS682" s="25"/>
      <c r="OT682" s="25"/>
      <c r="OU682" s="25"/>
      <c r="OV682" s="25"/>
      <c r="OW682" s="25"/>
      <c r="OX682" s="25"/>
      <c r="OY682" s="25"/>
      <c r="OZ682" s="25"/>
      <c r="PA682" s="25"/>
      <c r="PB682" s="25"/>
      <c r="PC682" s="25"/>
      <c r="PD682" s="25"/>
      <c r="PE682" s="25"/>
      <c r="PF682" s="25"/>
      <c r="PG682" s="25"/>
      <c r="PH682" s="25"/>
      <c r="PI682" s="25"/>
      <c r="PJ682" s="25"/>
      <c r="PK682" s="25"/>
      <c r="PL682" s="25"/>
      <c r="PM682" s="25"/>
      <c r="PN682" s="25"/>
      <c r="PO682" s="25"/>
      <c r="PP682" s="25"/>
      <c r="PQ682" s="25"/>
      <c r="PR682" s="25"/>
      <c r="PS682" s="25"/>
      <c r="PT682" s="25"/>
      <c r="PU682" s="25"/>
      <c r="PV682" s="25"/>
      <c r="PW682" s="25"/>
      <c r="PX682" s="25"/>
      <c r="PY682" s="25"/>
      <c r="PZ682" s="25"/>
      <c r="QA682" s="25"/>
      <c r="QB682" s="25"/>
      <c r="QC682" s="25"/>
      <c r="QD682" s="25"/>
      <c r="QE682" s="25"/>
      <c r="QF682" s="25"/>
      <c r="QG682" s="25"/>
      <c r="QH682" s="25"/>
      <c r="QI682" s="25"/>
      <c r="QJ682" s="25"/>
      <c r="QK682" s="25"/>
      <c r="QL682" s="25"/>
      <c r="QM682" s="25"/>
      <c r="QN682" s="25"/>
      <c r="QO682" s="25"/>
      <c r="QP682" s="25"/>
      <c r="QQ682" s="25"/>
      <c r="QR682" s="25"/>
      <c r="QS682" s="25"/>
      <c r="QT682" s="25"/>
      <c r="QU682" s="25"/>
      <c r="QV682" s="25"/>
      <c r="QW682" s="25"/>
      <c r="QX682" s="25"/>
      <c r="QY682" s="25"/>
      <c r="QZ682" s="25"/>
      <c r="RA682" s="25"/>
      <c r="RB682" s="25"/>
      <c r="RC682" s="25"/>
      <c r="RD682" s="25"/>
      <c r="RE682" s="25"/>
      <c r="RF682" s="25"/>
      <c r="RG682" s="25"/>
      <c r="RH682" s="25"/>
      <c r="RI682" s="25"/>
      <c r="RJ682" s="25"/>
      <c r="RK682" s="25"/>
      <c r="RL682" s="25"/>
      <c r="RM682" s="25"/>
      <c r="RN682" s="25"/>
      <c r="RO682" s="25"/>
      <c r="RP682" s="25"/>
      <c r="RQ682" s="25"/>
      <c r="RR682" s="25"/>
      <c r="RS682" s="25"/>
      <c r="RT682" s="25"/>
      <c r="RU682" s="25"/>
      <c r="RV682" s="25"/>
      <c r="RW682" s="25"/>
      <c r="RX682" s="25"/>
      <c r="RY682" s="25"/>
      <c r="RZ682" s="25"/>
      <c r="SA682" s="25"/>
      <c r="SB682" s="25"/>
      <c r="SC682" s="25"/>
      <c r="SD682" s="25"/>
      <c r="SE682" s="25"/>
      <c r="SF682" s="25"/>
      <c r="SG682" s="25"/>
      <c r="SH682" s="25"/>
      <c r="SI682" s="25"/>
      <c r="SJ682" s="25"/>
      <c r="SK682" s="25"/>
      <c r="SL682" s="25"/>
      <c r="SM682" s="25"/>
      <c r="SN682" s="25"/>
      <c r="SO682" s="25"/>
      <c r="SP682" s="25"/>
      <c r="SQ682" s="25"/>
      <c r="SR682" s="25"/>
      <c r="SS682" s="25"/>
      <c r="ST682" s="25"/>
      <c r="SU682" s="25"/>
      <c r="SV682" s="25"/>
      <c r="SW682" s="25"/>
      <c r="SX682" s="25"/>
      <c r="SY682" s="25"/>
      <c r="SZ682" s="25"/>
      <c r="TA682" s="25"/>
      <c r="TB682" s="25"/>
      <c r="TC682" s="25"/>
      <c r="TD682" s="25"/>
      <c r="TE682" s="25"/>
      <c r="TF682" s="25"/>
      <c r="TG682" s="25"/>
      <c r="TH682" s="25"/>
      <c r="TI682" s="25"/>
      <c r="TJ682" s="25"/>
      <c r="TK682" s="25"/>
      <c r="TL682" s="25"/>
      <c r="TM682" s="25"/>
      <c r="TN682" s="25"/>
      <c r="TO682" s="25"/>
      <c r="TP682" s="25"/>
      <c r="TQ682" s="25"/>
      <c r="TR682" s="25"/>
      <c r="TS682" s="25"/>
      <c r="TT682" s="25"/>
      <c r="TU682" s="25"/>
      <c r="TV682" s="25"/>
      <c r="TW682" s="25"/>
      <c r="TX682" s="25"/>
      <c r="TY682" s="25"/>
      <c r="TZ682" s="25"/>
      <c r="UA682" s="25"/>
      <c r="UB682" s="25"/>
      <c r="UC682" s="25"/>
      <c r="UD682" s="25"/>
      <c r="UE682" s="25"/>
      <c r="UF682" s="25"/>
      <c r="UG682" s="26"/>
    </row>
    <row r="683" spans="1:553" ht="97.5" customHeight="1">
      <c r="A683" s="356"/>
      <c r="B683" s="385"/>
      <c r="C683" s="384" t="s">
        <v>26</v>
      </c>
      <c r="D683" s="376">
        <v>2</v>
      </c>
      <c r="E683" s="376">
        <v>5</v>
      </c>
      <c r="F683" s="385">
        <v>1</v>
      </c>
      <c r="G683" s="396" t="s">
        <v>33</v>
      </c>
      <c r="H683" s="620">
        <v>3256</v>
      </c>
      <c r="I683" s="490">
        <v>3093.8</v>
      </c>
      <c r="J683" s="368">
        <v>40000</v>
      </c>
      <c r="K683" s="391"/>
      <c r="L683" s="480">
        <f t="shared" si="110"/>
        <v>123752000</v>
      </c>
      <c r="M683" s="392"/>
      <c r="N683" s="392"/>
      <c r="O683" s="366"/>
      <c r="P683" s="366"/>
      <c r="Q683" s="1149" t="s">
        <v>479</v>
      </c>
      <c r="R683" s="1547" t="s">
        <v>931</v>
      </c>
      <c r="S683" s="308"/>
      <c r="T683" s="308"/>
      <c r="U683" s="308"/>
      <c r="V683" s="308"/>
      <c r="W683" s="308"/>
      <c r="X683" s="308"/>
      <c r="Y683" s="685">
        <f>I683</f>
        <v>3093.8</v>
      </c>
      <c r="Z683" s="604"/>
      <c r="AA683" s="308"/>
      <c r="AB683" s="308"/>
      <c r="AC683" s="449"/>
      <c r="AD683" s="449"/>
      <c r="AE683" s="449"/>
      <c r="AF683" s="449"/>
      <c r="AG683" s="449"/>
      <c r="AH683" s="449"/>
      <c r="AI683" s="449"/>
      <c r="AJ683" s="449"/>
      <c r="AK683" s="452"/>
      <c r="AL683" s="104"/>
      <c r="AM683" s="32"/>
      <c r="AN683" s="32"/>
      <c r="AO683" s="32"/>
      <c r="AP683" s="32"/>
      <c r="AQ683" s="32"/>
      <c r="AR683" s="32"/>
      <c r="AS683" s="31"/>
      <c r="AT683" s="22"/>
      <c r="AU683" s="22"/>
      <c r="AV683" s="22"/>
      <c r="AW683" s="22"/>
      <c r="AX683" s="22"/>
      <c r="AY683" s="22"/>
      <c r="AZ683" s="22"/>
      <c r="BA683" s="22"/>
      <c r="BB683" s="22"/>
      <c r="BC683" s="22"/>
      <c r="BD683" s="22"/>
      <c r="BE683" s="22"/>
      <c r="BF683" s="22"/>
      <c r="BG683" s="22"/>
      <c r="BH683" s="22"/>
      <c r="BI683" s="22"/>
      <c r="BJ683" s="22"/>
      <c r="BK683" s="22"/>
      <c r="BL683" s="22"/>
      <c r="BM683" s="22"/>
      <c r="BN683" s="22"/>
      <c r="BO683" s="22"/>
      <c r="BP683" s="25"/>
      <c r="BQ683" s="25"/>
      <c r="BR683" s="25"/>
      <c r="BS683" s="25"/>
      <c r="BT683" s="25"/>
      <c r="BU683" s="25"/>
      <c r="BV683" s="25"/>
      <c r="BW683" s="25"/>
      <c r="BX683" s="25"/>
      <c r="BY683" s="25"/>
      <c r="BZ683" s="25"/>
      <c r="CA683" s="25"/>
      <c r="CB683" s="25"/>
      <c r="CC683" s="25"/>
      <c r="CD683" s="25"/>
      <c r="CE683" s="25"/>
      <c r="CF683" s="25"/>
      <c r="CG683" s="25"/>
      <c r="CH683" s="25"/>
      <c r="CI683" s="25"/>
      <c r="CJ683" s="25"/>
      <c r="CK683" s="25"/>
      <c r="CL683" s="25"/>
      <c r="CM683" s="25"/>
      <c r="CN683" s="25"/>
      <c r="CO683" s="25"/>
      <c r="CP683" s="25"/>
      <c r="CQ683" s="25"/>
      <c r="CR683" s="25"/>
      <c r="CS683" s="25"/>
      <c r="CT683" s="25"/>
      <c r="CU683" s="25"/>
      <c r="CV683" s="25"/>
      <c r="CW683" s="25"/>
      <c r="CX683" s="25"/>
      <c r="CY683" s="25"/>
      <c r="CZ683" s="25"/>
      <c r="DA683" s="25"/>
      <c r="DB683" s="25"/>
      <c r="DC683" s="25"/>
      <c r="DD683" s="25"/>
      <c r="DE683" s="25"/>
      <c r="DF683" s="25"/>
      <c r="DG683" s="25"/>
      <c r="DH683" s="25"/>
      <c r="DI683" s="25"/>
      <c r="DJ683" s="25"/>
      <c r="DK683" s="25"/>
      <c r="DL683" s="25"/>
      <c r="DM683" s="25"/>
      <c r="DN683" s="25"/>
      <c r="DO683" s="25"/>
      <c r="DP683" s="25"/>
      <c r="DQ683" s="25"/>
      <c r="DR683" s="25"/>
      <c r="DS683" s="25"/>
      <c r="DT683" s="25"/>
      <c r="DU683" s="25"/>
      <c r="DV683" s="25"/>
      <c r="DW683" s="25"/>
      <c r="DX683" s="25"/>
      <c r="DY683" s="25"/>
      <c r="DZ683" s="25"/>
      <c r="EA683" s="25"/>
      <c r="EB683" s="25"/>
      <c r="EC683" s="25"/>
      <c r="ED683" s="25"/>
      <c r="EE683" s="25"/>
      <c r="EF683" s="25"/>
      <c r="EG683" s="25"/>
      <c r="EH683" s="25"/>
      <c r="EI683" s="25"/>
      <c r="EJ683" s="25"/>
      <c r="EK683" s="25"/>
      <c r="EL683" s="25"/>
      <c r="EM683" s="25"/>
      <c r="EN683" s="25"/>
      <c r="EO683" s="25"/>
      <c r="EP683" s="25"/>
      <c r="EQ683" s="25"/>
      <c r="ER683" s="25"/>
      <c r="ES683" s="25"/>
      <c r="ET683" s="25"/>
      <c r="EU683" s="25"/>
      <c r="EV683" s="25"/>
      <c r="EW683" s="25"/>
      <c r="EX683" s="25"/>
      <c r="EY683" s="25"/>
      <c r="EZ683" s="25"/>
      <c r="FA683" s="25"/>
      <c r="FB683" s="25"/>
      <c r="FC683" s="25"/>
      <c r="FD683" s="25"/>
      <c r="FE683" s="25"/>
      <c r="FF683" s="25"/>
      <c r="FG683" s="25"/>
      <c r="FH683" s="25"/>
      <c r="FI683" s="25"/>
      <c r="FJ683" s="25"/>
      <c r="FK683" s="25"/>
      <c r="FL683" s="25"/>
      <c r="FM683" s="25"/>
      <c r="FN683" s="25"/>
      <c r="FO683" s="25"/>
      <c r="FP683" s="25"/>
      <c r="FQ683" s="25"/>
      <c r="FR683" s="25"/>
      <c r="FS683" s="25"/>
      <c r="FT683" s="25"/>
      <c r="FU683" s="25"/>
      <c r="FV683" s="25"/>
      <c r="FW683" s="25"/>
      <c r="FX683" s="25"/>
      <c r="FY683" s="25"/>
      <c r="FZ683" s="25"/>
      <c r="GA683" s="25"/>
      <c r="GB683" s="25"/>
      <c r="GC683" s="25"/>
      <c r="GD683" s="25"/>
      <c r="GE683" s="25"/>
      <c r="GF683" s="25"/>
      <c r="GG683" s="25"/>
      <c r="GH683" s="25"/>
      <c r="GI683" s="25"/>
      <c r="GJ683" s="25"/>
      <c r="GK683" s="25"/>
      <c r="GL683" s="25"/>
      <c r="GM683" s="25"/>
      <c r="GN683" s="25"/>
      <c r="GO683" s="25"/>
      <c r="GP683" s="25"/>
      <c r="GQ683" s="25"/>
      <c r="GR683" s="25"/>
      <c r="GS683" s="25"/>
      <c r="GT683" s="25"/>
      <c r="GU683" s="25"/>
      <c r="GV683" s="25"/>
      <c r="GW683" s="25"/>
      <c r="GX683" s="25"/>
      <c r="GY683" s="25"/>
      <c r="GZ683" s="25"/>
      <c r="HA683" s="25"/>
      <c r="HB683" s="25"/>
      <c r="HC683" s="25"/>
      <c r="HD683" s="25"/>
      <c r="HE683" s="25"/>
      <c r="HF683" s="25"/>
      <c r="HG683" s="25"/>
      <c r="HH683" s="25"/>
      <c r="HI683" s="25"/>
      <c r="HJ683" s="25"/>
      <c r="HK683" s="25"/>
      <c r="HL683" s="25"/>
      <c r="HM683" s="25"/>
      <c r="HN683" s="25"/>
      <c r="HO683" s="25"/>
      <c r="HP683" s="25"/>
      <c r="HQ683" s="25"/>
      <c r="HR683" s="25"/>
      <c r="HS683" s="25"/>
      <c r="HT683" s="25"/>
      <c r="HU683" s="25"/>
      <c r="HV683" s="25"/>
      <c r="HW683" s="25"/>
      <c r="HX683" s="25"/>
      <c r="HY683" s="25"/>
      <c r="HZ683" s="25"/>
      <c r="IA683" s="25"/>
      <c r="IB683" s="25"/>
      <c r="IC683" s="25"/>
      <c r="ID683" s="25"/>
      <c r="IE683" s="25"/>
      <c r="IF683" s="25"/>
      <c r="IG683" s="25"/>
      <c r="IH683" s="25"/>
      <c r="II683" s="25"/>
      <c r="IJ683" s="25"/>
      <c r="IK683" s="25"/>
      <c r="IL683" s="25"/>
      <c r="IM683" s="25"/>
      <c r="IN683" s="25"/>
      <c r="IO683" s="25"/>
      <c r="IP683" s="25"/>
      <c r="IQ683" s="25"/>
      <c r="IR683" s="25"/>
      <c r="IS683" s="25"/>
      <c r="IT683" s="25"/>
      <c r="IU683" s="25"/>
      <c r="IV683" s="25"/>
      <c r="IW683" s="25"/>
      <c r="IX683" s="25"/>
      <c r="IY683" s="25"/>
      <c r="IZ683" s="25"/>
      <c r="JA683" s="25"/>
      <c r="JB683" s="25"/>
      <c r="JC683" s="25"/>
      <c r="JD683" s="25"/>
      <c r="JE683" s="25"/>
      <c r="JF683" s="25"/>
      <c r="JG683" s="25"/>
      <c r="JH683" s="25"/>
      <c r="JI683" s="25"/>
      <c r="JJ683" s="25"/>
      <c r="JK683" s="25"/>
      <c r="JL683" s="25"/>
      <c r="JM683" s="25"/>
      <c r="JN683" s="25"/>
      <c r="JO683" s="25"/>
      <c r="JP683" s="25"/>
      <c r="JQ683" s="25"/>
      <c r="JR683" s="25"/>
      <c r="JS683" s="25"/>
      <c r="JT683" s="25"/>
      <c r="JU683" s="25"/>
      <c r="JV683" s="25"/>
      <c r="JW683" s="25"/>
      <c r="JX683" s="25"/>
      <c r="JY683" s="25"/>
      <c r="JZ683" s="25"/>
      <c r="KA683" s="25"/>
      <c r="KB683" s="25"/>
      <c r="KC683" s="25"/>
      <c r="KD683" s="25"/>
      <c r="KE683" s="25"/>
      <c r="KF683" s="25"/>
      <c r="KG683" s="25"/>
      <c r="KH683" s="25"/>
      <c r="KI683" s="25"/>
      <c r="KJ683" s="25"/>
      <c r="KK683" s="25"/>
      <c r="KL683" s="25"/>
      <c r="KM683" s="25"/>
      <c r="KN683" s="25"/>
      <c r="KO683" s="25"/>
      <c r="KP683" s="25"/>
      <c r="KQ683" s="25"/>
      <c r="KR683" s="25"/>
      <c r="KS683" s="25"/>
      <c r="KT683" s="25"/>
      <c r="KU683" s="25"/>
      <c r="KV683" s="25"/>
      <c r="KW683" s="25"/>
      <c r="KX683" s="25"/>
      <c r="KY683" s="25"/>
      <c r="KZ683" s="25"/>
      <c r="LA683" s="25"/>
      <c r="LB683" s="25"/>
      <c r="LC683" s="25"/>
      <c r="LD683" s="25"/>
      <c r="LE683" s="25"/>
      <c r="LF683" s="25"/>
      <c r="LG683" s="25"/>
      <c r="LH683" s="25"/>
      <c r="LI683" s="25"/>
      <c r="LJ683" s="25"/>
      <c r="LK683" s="25"/>
      <c r="LL683" s="25"/>
      <c r="LM683" s="25"/>
      <c r="LN683" s="25"/>
      <c r="LO683" s="25"/>
      <c r="LP683" s="25"/>
      <c r="LQ683" s="25"/>
      <c r="LR683" s="25"/>
      <c r="LS683" s="25"/>
      <c r="LT683" s="25"/>
      <c r="LU683" s="25"/>
      <c r="LV683" s="25"/>
      <c r="LW683" s="25"/>
      <c r="LX683" s="25"/>
      <c r="LY683" s="25"/>
      <c r="LZ683" s="25"/>
      <c r="MA683" s="25"/>
      <c r="MB683" s="25"/>
      <c r="MC683" s="25"/>
      <c r="MD683" s="25"/>
      <c r="ME683" s="25"/>
      <c r="MF683" s="25"/>
      <c r="MG683" s="25"/>
      <c r="MH683" s="25"/>
      <c r="MI683" s="25"/>
      <c r="MJ683" s="25"/>
      <c r="MK683" s="25"/>
      <c r="ML683" s="25"/>
      <c r="MM683" s="25"/>
      <c r="MN683" s="25"/>
      <c r="MO683" s="25"/>
      <c r="MP683" s="25"/>
      <c r="MQ683" s="25"/>
      <c r="MR683" s="25"/>
      <c r="MS683" s="25"/>
      <c r="MT683" s="25"/>
      <c r="MU683" s="25"/>
      <c r="MV683" s="25"/>
      <c r="MW683" s="25"/>
      <c r="MX683" s="25"/>
      <c r="MY683" s="25"/>
      <c r="MZ683" s="25"/>
      <c r="NA683" s="25"/>
      <c r="NB683" s="25"/>
      <c r="NC683" s="25"/>
      <c r="ND683" s="25"/>
      <c r="NE683" s="25"/>
      <c r="NF683" s="25"/>
      <c r="NG683" s="25"/>
      <c r="NH683" s="25"/>
      <c r="NI683" s="25"/>
      <c r="NJ683" s="25"/>
      <c r="NK683" s="25"/>
      <c r="NL683" s="25"/>
      <c r="NM683" s="25"/>
      <c r="NN683" s="25"/>
      <c r="NO683" s="25"/>
      <c r="NP683" s="25"/>
      <c r="NQ683" s="25"/>
      <c r="NR683" s="25"/>
      <c r="NS683" s="25"/>
      <c r="NT683" s="25"/>
      <c r="NU683" s="25"/>
      <c r="NV683" s="25"/>
      <c r="NW683" s="25"/>
      <c r="NX683" s="25"/>
      <c r="NY683" s="25"/>
      <c r="NZ683" s="25"/>
      <c r="OA683" s="25"/>
      <c r="OB683" s="25"/>
      <c r="OC683" s="25"/>
      <c r="OD683" s="25"/>
      <c r="OE683" s="25"/>
      <c r="OF683" s="25"/>
      <c r="OG683" s="25"/>
      <c r="OH683" s="25"/>
      <c r="OI683" s="25"/>
      <c r="OJ683" s="25"/>
      <c r="OK683" s="25"/>
      <c r="OL683" s="25"/>
      <c r="OM683" s="25"/>
      <c r="ON683" s="25"/>
      <c r="OO683" s="25"/>
      <c r="OP683" s="25"/>
      <c r="OQ683" s="25"/>
      <c r="OR683" s="25"/>
      <c r="OS683" s="25"/>
      <c r="OT683" s="25"/>
      <c r="OU683" s="25"/>
      <c r="OV683" s="25"/>
      <c r="OW683" s="25"/>
      <c r="OX683" s="25"/>
      <c r="OY683" s="25"/>
      <c r="OZ683" s="25"/>
      <c r="PA683" s="25"/>
      <c r="PB683" s="25"/>
      <c r="PC683" s="25"/>
      <c r="PD683" s="25"/>
      <c r="PE683" s="25"/>
      <c r="PF683" s="25"/>
      <c r="PG683" s="25"/>
      <c r="PH683" s="25"/>
      <c r="PI683" s="25"/>
      <c r="PJ683" s="25"/>
      <c r="PK683" s="25"/>
      <c r="PL683" s="25"/>
      <c r="PM683" s="25"/>
      <c r="PN683" s="25"/>
      <c r="PO683" s="25"/>
      <c r="PP683" s="25"/>
      <c r="PQ683" s="25"/>
      <c r="PR683" s="25"/>
      <c r="PS683" s="25"/>
      <c r="PT683" s="25"/>
      <c r="PU683" s="25"/>
      <c r="PV683" s="25"/>
      <c r="PW683" s="25"/>
      <c r="PX683" s="25"/>
      <c r="PY683" s="25"/>
      <c r="PZ683" s="25"/>
      <c r="QA683" s="25"/>
      <c r="QB683" s="25"/>
      <c r="QC683" s="25"/>
      <c r="QD683" s="25"/>
      <c r="QE683" s="25"/>
      <c r="QF683" s="25"/>
      <c r="QG683" s="25"/>
      <c r="QH683" s="25"/>
      <c r="QI683" s="25"/>
      <c r="QJ683" s="25"/>
      <c r="QK683" s="25"/>
      <c r="QL683" s="25"/>
      <c r="QM683" s="25"/>
      <c r="QN683" s="25"/>
      <c r="QO683" s="25"/>
      <c r="QP683" s="25"/>
      <c r="QQ683" s="25"/>
      <c r="QR683" s="25"/>
      <c r="QS683" s="25"/>
      <c r="QT683" s="25"/>
      <c r="QU683" s="25"/>
      <c r="QV683" s="25"/>
      <c r="QW683" s="25"/>
      <c r="QX683" s="25"/>
      <c r="QY683" s="25"/>
      <c r="QZ683" s="25"/>
      <c r="RA683" s="25"/>
      <c r="RB683" s="25"/>
      <c r="RC683" s="25"/>
      <c r="RD683" s="25"/>
      <c r="RE683" s="25"/>
      <c r="RF683" s="25"/>
      <c r="RG683" s="25"/>
      <c r="RH683" s="25"/>
      <c r="RI683" s="25"/>
      <c r="RJ683" s="25"/>
      <c r="RK683" s="25"/>
      <c r="RL683" s="25"/>
      <c r="RM683" s="25"/>
      <c r="RN683" s="25"/>
      <c r="RO683" s="25"/>
      <c r="RP683" s="25"/>
      <c r="RQ683" s="25"/>
      <c r="RR683" s="25"/>
      <c r="RS683" s="25"/>
      <c r="RT683" s="25"/>
      <c r="RU683" s="25"/>
      <c r="RV683" s="25"/>
      <c r="RW683" s="25"/>
      <c r="RX683" s="25"/>
      <c r="RY683" s="25"/>
      <c r="RZ683" s="25"/>
      <c r="SA683" s="25"/>
      <c r="SB683" s="25"/>
      <c r="SC683" s="25"/>
      <c r="SD683" s="25"/>
      <c r="SE683" s="25"/>
      <c r="SF683" s="25"/>
      <c r="SG683" s="25"/>
      <c r="SH683" s="25"/>
      <c r="SI683" s="25"/>
      <c r="SJ683" s="25"/>
      <c r="SK683" s="25"/>
      <c r="SL683" s="25"/>
      <c r="SM683" s="25"/>
      <c r="SN683" s="25"/>
      <c r="SO683" s="25"/>
      <c r="SP683" s="25"/>
      <c r="SQ683" s="25"/>
      <c r="SR683" s="25"/>
      <c r="SS683" s="25"/>
      <c r="ST683" s="25"/>
      <c r="SU683" s="25"/>
      <c r="SV683" s="25"/>
      <c r="SW683" s="25"/>
      <c r="SX683" s="25"/>
      <c r="SY683" s="25"/>
      <c r="SZ683" s="25"/>
      <c r="TA683" s="25"/>
      <c r="TB683" s="25"/>
      <c r="TC683" s="25"/>
      <c r="TD683" s="25"/>
      <c r="TE683" s="25"/>
      <c r="TF683" s="25"/>
      <c r="TG683" s="25"/>
      <c r="TH683" s="25"/>
      <c r="TI683" s="25"/>
      <c r="TJ683" s="25"/>
      <c r="TK683" s="25"/>
      <c r="TL683" s="25"/>
      <c r="TM683" s="25"/>
      <c r="TN683" s="25"/>
      <c r="TO683" s="25"/>
      <c r="TP683" s="25"/>
      <c r="TQ683" s="25"/>
      <c r="TR683" s="25"/>
      <c r="TS683" s="25"/>
      <c r="TT683" s="25"/>
      <c r="TU683" s="25"/>
      <c r="TV683" s="25"/>
      <c r="TW683" s="25"/>
      <c r="TX683" s="25"/>
      <c r="TY683" s="25"/>
      <c r="TZ683" s="25"/>
      <c r="UA683" s="25"/>
      <c r="UB683" s="25"/>
      <c r="UC683" s="25"/>
      <c r="UD683" s="25"/>
      <c r="UE683" s="25"/>
      <c r="UF683" s="25"/>
      <c r="UG683" s="26"/>
    </row>
    <row r="684" spans="1:553" ht="191.25" customHeight="1">
      <c r="A684" s="356"/>
      <c r="B684" s="385"/>
      <c r="C684" s="384" t="s">
        <v>69</v>
      </c>
      <c r="D684" s="376" t="s">
        <v>20</v>
      </c>
      <c r="E684" s="376">
        <v>21</v>
      </c>
      <c r="F684" s="385">
        <v>1</v>
      </c>
      <c r="G684" s="396" t="s">
        <v>33</v>
      </c>
      <c r="H684" s="387">
        <v>40.200000000000003</v>
      </c>
      <c r="I684" s="490">
        <v>40.200000000000003</v>
      </c>
      <c r="J684" s="477">
        <v>55000</v>
      </c>
      <c r="K684" s="391"/>
      <c r="L684" s="480">
        <f t="shared" si="110"/>
        <v>2211000</v>
      </c>
      <c r="M684" s="392"/>
      <c r="N684" s="392"/>
      <c r="O684" s="366"/>
      <c r="P684" s="366"/>
      <c r="Q684" s="761" t="s">
        <v>480</v>
      </c>
      <c r="R684" s="1452"/>
      <c r="S684" s="308"/>
      <c r="T684" s="308"/>
      <c r="U684" s="308"/>
      <c r="V684" s="308"/>
      <c r="W684" s="308"/>
      <c r="X684" s="685">
        <f>I684</f>
        <v>40.200000000000003</v>
      </c>
      <c r="Y684" s="308"/>
      <c r="Z684" s="604"/>
      <c r="AA684" s="308"/>
      <c r="AB684" s="308"/>
      <c r="AC684" s="449"/>
      <c r="AD684" s="449"/>
      <c r="AE684" s="449"/>
      <c r="AF684" s="449"/>
      <c r="AG684" s="449"/>
      <c r="AH684" s="449"/>
      <c r="AI684" s="449"/>
      <c r="AJ684" s="449"/>
      <c r="AK684" s="452"/>
      <c r="AL684" s="104"/>
      <c r="AM684" s="32"/>
      <c r="AN684" s="32"/>
      <c r="AO684" s="32"/>
      <c r="AP684" s="32"/>
      <c r="AQ684" s="32"/>
      <c r="AR684" s="32"/>
      <c r="AS684" s="31"/>
      <c r="AT684" s="22"/>
      <c r="AU684" s="22"/>
      <c r="AV684" s="22"/>
      <c r="AW684" s="22"/>
      <c r="AX684" s="22"/>
      <c r="AY684" s="22"/>
      <c r="AZ684" s="22"/>
      <c r="BA684" s="22"/>
      <c r="BB684" s="22"/>
      <c r="BC684" s="22"/>
      <c r="BD684" s="22"/>
      <c r="BE684" s="22"/>
      <c r="BF684" s="22"/>
      <c r="BG684" s="22"/>
      <c r="BH684" s="22"/>
      <c r="BI684" s="22"/>
      <c r="BJ684" s="22"/>
      <c r="BK684" s="22"/>
      <c r="BL684" s="22"/>
      <c r="BM684" s="22"/>
      <c r="BN684" s="22"/>
      <c r="BO684" s="22"/>
      <c r="BP684" s="25"/>
      <c r="BQ684" s="25"/>
      <c r="BR684" s="25"/>
      <c r="BS684" s="25"/>
      <c r="BT684" s="25"/>
      <c r="BU684" s="25"/>
      <c r="BV684" s="25"/>
      <c r="BW684" s="25"/>
      <c r="BX684" s="25"/>
      <c r="BY684" s="25"/>
      <c r="BZ684" s="25"/>
      <c r="CA684" s="25"/>
      <c r="CB684" s="25"/>
      <c r="CC684" s="25"/>
      <c r="CD684" s="25"/>
      <c r="CE684" s="25"/>
      <c r="CF684" s="25"/>
      <c r="CG684" s="25"/>
      <c r="CH684" s="25"/>
      <c r="CI684" s="25"/>
      <c r="CJ684" s="25"/>
      <c r="CK684" s="25"/>
      <c r="CL684" s="25"/>
      <c r="CM684" s="25"/>
      <c r="CN684" s="25"/>
      <c r="CO684" s="25"/>
      <c r="CP684" s="25"/>
      <c r="CQ684" s="25"/>
      <c r="CR684" s="25"/>
      <c r="CS684" s="25"/>
      <c r="CT684" s="25"/>
      <c r="CU684" s="25"/>
      <c r="CV684" s="25"/>
      <c r="CW684" s="25"/>
      <c r="CX684" s="25"/>
      <c r="CY684" s="25"/>
      <c r="CZ684" s="25"/>
      <c r="DA684" s="25"/>
      <c r="DB684" s="25"/>
      <c r="DC684" s="25"/>
      <c r="DD684" s="25"/>
      <c r="DE684" s="25"/>
      <c r="DF684" s="25"/>
      <c r="DG684" s="25"/>
      <c r="DH684" s="25"/>
      <c r="DI684" s="25"/>
      <c r="DJ684" s="25"/>
      <c r="DK684" s="25"/>
      <c r="DL684" s="25"/>
      <c r="DM684" s="25"/>
      <c r="DN684" s="25"/>
      <c r="DO684" s="25"/>
      <c r="DP684" s="25"/>
      <c r="DQ684" s="25"/>
      <c r="DR684" s="25"/>
      <c r="DS684" s="25"/>
      <c r="DT684" s="25"/>
      <c r="DU684" s="25"/>
      <c r="DV684" s="25"/>
      <c r="DW684" s="25"/>
      <c r="DX684" s="25"/>
      <c r="DY684" s="25"/>
      <c r="DZ684" s="25"/>
      <c r="EA684" s="25"/>
      <c r="EB684" s="25"/>
      <c r="EC684" s="25"/>
      <c r="ED684" s="25"/>
      <c r="EE684" s="25"/>
      <c r="EF684" s="25"/>
      <c r="EG684" s="25"/>
      <c r="EH684" s="25"/>
      <c r="EI684" s="25"/>
      <c r="EJ684" s="25"/>
      <c r="EK684" s="25"/>
      <c r="EL684" s="25"/>
      <c r="EM684" s="25"/>
      <c r="EN684" s="25"/>
      <c r="EO684" s="25"/>
      <c r="EP684" s="25"/>
      <c r="EQ684" s="25"/>
      <c r="ER684" s="25"/>
      <c r="ES684" s="25"/>
      <c r="ET684" s="25"/>
      <c r="EU684" s="25"/>
      <c r="EV684" s="25"/>
      <c r="EW684" s="25"/>
      <c r="EX684" s="25"/>
      <c r="EY684" s="25"/>
      <c r="EZ684" s="25"/>
      <c r="FA684" s="25"/>
      <c r="FB684" s="25"/>
      <c r="FC684" s="25"/>
      <c r="FD684" s="25"/>
      <c r="FE684" s="25"/>
      <c r="FF684" s="25"/>
      <c r="FG684" s="25"/>
      <c r="FH684" s="25"/>
      <c r="FI684" s="25"/>
      <c r="FJ684" s="25"/>
      <c r="FK684" s="25"/>
      <c r="FL684" s="25"/>
      <c r="FM684" s="25"/>
      <c r="FN684" s="25"/>
      <c r="FO684" s="25"/>
      <c r="FP684" s="25"/>
      <c r="FQ684" s="25"/>
      <c r="FR684" s="25"/>
      <c r="FS684" s="25"/>
      <c r="FT684" s="25"/>
      <c r="FU684" s="25"/>
      <c r="FV684" s="25"/>
      <c r="FW684" s="25"/>
      <c r="FX684" s="25"/>
      <c r="FY684" s="25"/>
      <c r="FZ684" s="25"/>
      <c r="GA684" s="25"/>
      <c r="GB684" s="25"/>
      <c r="GC684" s="25"/>
      <c r="GD684" s="25"/>
      <c r="GE684" s="25"/>
      <c r="GF684" s="25"/>
      <c r="GG684" s="25"/>
      <c r="GH684" s="25"/>
      <c r="GI684" s="25"/>
      <c r="GJ684" s="25"/>
      <c r="GK684" s="25"/>
      <c r="GL684" s="25"/>
      <c r="GM684" s="25"/>
      <c r="GN684" s="25"/>
      <c r="GO684" s="25"/>
      <c r="GP684" s="25"/>
      <c r="GQ684" s="25"/>
      <c r="GR684" s="25"/>
      <c r="GS684" s="25"/>
      <c r="GT684" s="25"/>
      <c r="GU684" s="25"/>
      <c r="GV684" s="25"/>
      <c r="GW684" s="25"/>
      <c r="GX684" s="25"/>
      <c r="GY684" s="25"/>
      <c r="GZ684" s="25"/>
      <c r="HA684" s="25"/>
      <c r="HB684" s="25"/>
      <c r="HC684" s="25"/>
      <c r="HD684" s="25"/>
      <c r="HE684" s="25"/>
      <c r="HF684" s="25"/>
      <c r="HG684" s="25"/>
      <c r="HH684" s="25"/>
      <c r="HI684" s="25"/>
      <c r="HJ684" s="25"/>
      <c r="HK684" s="25"/>
      <c r="HL684" s="25"/>
      <c r="HM684" s="25"/>
      <c r="HN684" s="25"/>
      <c r="HO684" s="25"/>
      <c r="HP684" s="25"/>
      <c r="HQ684" s="25"/>
      <c r="HR684" s="25"/>
      <c r="HS684" s="25"/>
      <c r="HT684" s="25"/>
      <c r="HU684" s="25"/>
      <c r="HV684" s="25"/>
      <c r="HW684" s="25"/>
      <c r="HX684" s="25"/>
      <c r="HY684" s="25"/>
      <c r="HZ684" s="25"/>
      <c r="IA684" s="25"/>
      <c r="IB684" s="25"/>
      <c r="IC684" s="25"/>
      <c r="ID684" s="25"/>
      <c r="IE684" s="25"/>
      <c r="IF684" s="25"/>
      <c r="IG684" s="25"/>
      <c r="IH684" s="25"/>
      <c r="II684" s="25"/>
      <c r="IJ684" s="25"/>
      <c r="IK684" s="25"/>
      <c r="IL684" s="25"/>
      <c r="IM684" s="25"/>
      <c r="IN684" s="25"/>
      <c r="IO684" s="25"/>
      <c r="IP684" s="25"/>
      <c r="IQ684" s="25"/>
      <c r="IR684" s="25"/>
      <c r="IS684" s="25"/>
      <c r="IT684" s="25"/>
      <c r="IU684" s="25"/>
      <c r="IV684" s="25"/>
      <c r="IW684" s="25"/>
      <c r="IX684" s="25"/>
      <c r="IY684" s="25"/>
      <c r="IZ684" s="25"/>
      <c r="JA684" s="25"/>
      <c r="JB684" s="25"/>
      <c r="JC684" s="25"/>
      <c r="JD684" s="25"/>
      <c r="JE684" s="25"/>
      <c r="JF684" s="25"/>
      <c r="JG684" s="25"/>
      <c r="JH684" s="25"/>
      <c r="JI684" s="25"/>
      <c r="JJ684" s="25"/>
      <c r="JK684" s="25"/>
      <c r="JL684" s="25"/>
      <c r="JM684" s="25"/>
      <c r="JN684" s="25"/>
      <c r="JO684" s="25"/>
      <c r="JP684" s="25"/>
      <c r="JQ684" s="25"/>
      <c r="JR684" s="25"/>
      <c r="JS684" s="25"/>
      <c r="JT684" s="25"/>
      <c r="JU684" s="25"/>
      <c r="JV684" s="25"/>
      <c r="JW684" s="25"/>
      <c r="JX684" s="25"/>
      <c r="JY684" s="25"/>
      <c r="JZ684" s="25"/>
      <c r="KA684" s="25"/>
      <c r="KB684" s="25"/>
      <c r="KC684" s="25"/>
      <c r="KD684" s="25"/>
      <c r="KE684" s="25"/>
      <c r="KF684" s="25"/>
      <c r="KG684" s="25"/>
      <c r="KH684" s="25"/>
      <c r="KI684" s="25"/>
      <c r="KJ684" s="25"/>
      <c r="KK684" s="25"/>
      <c r="KL684" s="25"/>
      <c r="KM684" s="25"/>
      <c r="KN684" s="25"/>
      <c r="KO684" s="25"/>
      <c r="KP684" s="25"/>
      <c r="KQ684" s="25"/>
      <c r="KR684" s="25"/>
      <c r="KS684" s="25"/>
      <c r="KT684" s="25"/>
      <c r="KU684" s="25"/>
      <c r="KV684" s="25"/>
      <c r="KW684" s="25"/>
      <c r="KX684" s="25"/>
      <c r="KY684" s="25"/>
      <c r="KZ684" s="25"/>
      <c r="LA684" s="25"/>
      <c r="LB684" s="25"/>
      <c r="LC684" s="25"/>
      <c r="LD684" s="25"/>
      <c r="LE684" s="25"/>
      <c r="LF684" s="25"/>
      <c r="LG684" s="25"/>
      <c r="LH684" s="25"/>
      <c r="LI684" s="25"/>
      <c r="LJ684" s="25"/>
      <c r="LK684" s="25"/>
      <c r="LL684" s="25"/>
      <c r="LM684" s="25"/>
      <c r="LN684" s="25"/>
      <c r="LO684" s="25"/>
      <c r="LP684" s="25"/>
      <c r="LQ684" s="25"/>
      <c r="LR684" s="25"/>
      <c r="LS684" s="25"/>
      <c r="LT684" s="25"/>
      <c r="LU684" s="25"/>
      <c r="LV684" s="25"/>
      <c r="LW684" s="25"/>
      <c r="LX684" s="25"/>
      <c r="LY684" s="25"/>
      <c r="LZ684" s="25"/>
      <c r="MA684" s="25"/>
      <c r="MB684" s="25"/>
      <c r="MC684" s="25"/>
      <c r="MD684" s="25"/>
      <c r="ME684" s="25"/>
      <c r="MF684" s="25"/>
      <c r="MG684" s="25"/>
      <c r="MH684" s="25"/>
      <c r="MI684" s="25"/>
      <c r="MJ684" s="25"/>
      <c r="MK684" s="25"/>
      <c r="ML684" s="25"/>
      <c r="MM684" s="25"/>
      <c r="MN684" s="25"/>
      <c r="MO684" s="25"/>
      <c r="MP684" s="25"/>
      <c r="MQ684" s="25"/>
      <c r="MR684" s="25"/>
      <c r="MS684" s="25"/>
      <c r="MT684" s="25"/>
      <c r="MU684" s="25"/>
      <c r="MV684" s="25"/>
      <c r="MW684" s="25"/>
      <c r="MX684" s="25"/>
      <c r="MY684" s="25"/>
      <c r="MZ684" s="25"/>
      <c r="NA684" s="25"/>
      <c r="NB684" s="25"/>
      <c r="NC684" s="25"/>
      <c r="ND684" s="25"/>
      <c r="NE684" s="25"/>
      <c r="NF684" s="25"/>
      <c r="NG684" s="25"/>
      <c r="NH684" s="25"/>
      <c r="NI684" s="25"/>
      <c r="NJ684" s="25"/>
      <c r="NK684" s="25"/>
      <c r="NL684" s="25"/>
      <c r="NM684" s="25"/>
      <c r="NN684" s="25"/>
      <c r="NO684" s="25"/>
      <c r="NP684" s="25"/>
      <c r="NQ684" s="25"/>
      <c r="NR684" s="25"/>
      <c r="NS684" s="25"/>
      <c r="NT684" s="25"/>
      <c r="NU684" s="25"/>
      <c r="NV684" s="25"/>
      <c r="NW684" s="25"/>
      <c r="NX684" s="25"/>
      <c r="NY684" s="25"/>
      <c r="NZ684" s="25"/>
      <c r="OA684" s="25"/>
      <c r="OB684" s="25"/>
      <c r="OC684" s="25"/>
      <c r="OD684" s="25"/>
      <c r="OE684" s="25"/>
      <c r="OF684" s="25"/>
      <c r="OG684" s="25"/>
      <c r="OH684" s="25"/>
      <c r="OI684" s="25"/>
      <c r="OJ684" s="25"/>
      <c r="OK684" s="25"/>
      <c r="OL684" s="25"/>
      <c r="OM684" s="25"/>
      <c r="ON684" s="25"/>
      <c r="OO684" s="25"/>
      <c r="OP684" s="25"/>
      <c r="OQ684" s="25"/>
      <c r="OR684" s="25"/>
      <c r="OS684" s="25"/>
      <c r="OT684" s="25"/>
      <c r="OU684" s="25"/>
      <c r="OV684" s="25"/>
      <c r="OW684" s="25"/>
      <c r="OX684" s="25"/>
      <c r="OY684" s="25"/>
      <c r="OZ684" s="25"/>
      <c r="PA684" s="25"/>
      <c r="PB684" s="25"/>
      <c r="PC684" s="25"/>
      <c r="PD684" s="25"/>
      <c r="PE684" s="25"/>
      <c r="PF684" s="25"/>
      <c r="PG684" s="25"/>
      <c r="PH684" s="25"/>
      <c r="PI684" s="25"/>
      <c r="PJ684" s="25"/>
      <c r="PK684" s="25"/>
      <c r="PL684" s="25"/>
      <c r="PM684" s="25"/>
      <c r="PN684" s="25"/>
      <c r="PO684" s="25"/>
      <c r="PP684" s="25"/>
      <c r="PQ684" s="25"/>
      <c r="PR684" s="25"/>
      <c r="PS684" s="25"/>
      <c r="PT684" s="25"/>
      <c r="PU684" s="25"/>
      <c r="PV684" s="25"/>
      <c r="PW684" s="25"/>
      <c r="PX684" s="25"/>
      <c r="PY684" s="25"/>
      <c r="PZ684" s="25"/>
      <c r="QA684" s="25"/>
      <c r="QB684" s="25"/>
      <c r="QC684" s="25"/>
      <c r="QD684" s="25"/>
      <c r="QE684" s="25"/>
      <c r="QF684" s="25"/>
      <c r="QG684" s="25"/>
      <c r="QH684" s="25"/>
      <c r="QI684" s="25"/>
      <c r="QJ684" s="25"/>
      <c r="QK684" s="25"/>
      <c r="QL684" s="25"/>
      <c r="QM684" s="25"/>
      <c r="QN684" s="25"/>
      <c r="QO684" s="25"/>
      <c r="QP684" s="25"/>
      <c r="QQ684" s="25"/>
      <c r="QR684" s="25"/>
      <c r="QS684" s="25"/>
      <c r="QT684" s="25"/>
      <c r="QU684" s="25"/>
      <c r="QV684" s="25"/>
      <c r="QW684" s="25"/>
      <c r="QX684" s="25"/>
      <c r="QY684" s="25"/>
      <c r="QZ684" s="25"/>
      <c r="RA684" s="25"/>
      <c r="RB684" s="25"/>
      <c r="RC684" s="25"/>
      <c r="RD684" s="25"/>
      <c r="RE684" s="25"/>
      <c r="RF684" s="25"/>
      <c r="RG684" s="25"/>
      <c r="RH684" s="25"/>
      <c r="RI684" s="25"/>
      <c r="RJ684" s="25"/>
      <c r="RK684" s="25"/>
      <c r="RL684" s="25"/>
      <c r="RM684" s="25"/>
      <c r="RN684" s="25"/>
      <c r="RO684" s="25"/>
      <c r="RP684" s="25"/>
      <c r="RQ684" s="25"/>
      <c r="RR684" s="25"/>
      <c r="RS684" s="25"/>
      <c r="RT684" s="25"/>
      <c r="RU684" s="25"/>
      <c r="RV684" s="25"/>
      <c r="RW684" s="25"/>
      <c r="RX684" s="25"/>
      <c r="RY684" s="25"/>
      <c r="RZ684" s="25"/>
      <c r="SA684" s="25"/>
      <c r="SB684" s="25"/>
      <c r="SC684" s="25"/>
      <c r="SD684" s="25"/>
      <c r="SE684" s="25"/>
      <c r="SF684" s="25"/>
      <c r="SG684" s="25"/>
      <c r="SH684" s="25"/>
      <c r="SI684" s="25"/>
      <c r="SJ684" s="25"/>
      <c r="SK684" s="25"/>
      <c r="SL684" s="25"/>
      <c r="SM684" s="25"/>
      <c r="SN684" s="25"/>
      <c r="SO684" s="25"/>
      <c r="SP684" s="25"/>
      <c r="SQ684" s="25"/>
      <c r="SR684" s="25"/>
      <c r="SS684" s="25"/>
      <c r="ST684" s="25"/>
      <c r="SU684" s="25"/>
      <c r="SV684" s="25"/>
      <c r="SW684" s="25"/>
      <c r="SX684" s="25"/>
      <c r="SY684" s="25"/>
      <c r="SZ684" s="25"/>
      <c r="TA684" s="25"/>
      <c r="TB684" s="25"/>
      <c r="TC684" s="25"/>
      <c r="TD684" s="25"/>
      <c r="TE684" s="25"/>
      <c r="TF684" s="25"/>
      <c r="TG684" s="25"/>
      <c r="TH684" s="25"/>
      <c r="TI684" s="25"/>
      <c r="TJ684" s="25"/>
      <c r="TK684" s="25"/>
      <c r="TL684" s="25"/>
      <c r="TM684" s="25"/>
      <c r="TN684" s="25"/>
      <c r="TO684" s="25"/>
      <c r="TP684" s="25"/>
      <c r="TQ684" s="25"/>
      <c r="TR684" s="25"/>
      <c r="TS684" s="25"/>
      <c r="TT684" s="25"/>
      <c r="TU684" s="25"/>
      <c r="TV684" s="25"/>
      <c r="TW684" s="25"/>
      <c r="TX684" s="25"/>
      <c r="TY684" s="25"/>
      <c r="TZ684" s="25"/>
      <c r="UA684" s="25"/>
      <c r="UB684" s="25"/>
      <c r="UC684" s="25"/>
      <c r="UD684" s="25"/>
      <c r="UE684" s="25"/>
      <c r="UF684" s="25"/>
      <c r="UG684" s="26"/>
    </row>
    <row r="685" spans="1:553" ht="171" customHeight="1">
      <c r="A685" s="356"/>
      <c r="B685" s="385"/>
      <c r="C685" s="384" t="s">
        <v>69</v>
      </c>
      <c r="D685" s="376" t="s">
        <v>20</v>
      </c>
      <c r="E685" s="376" t="s">
        <v>481</v>
      </c>
      <c r="F685" s="385">
        <v>1</v>
      </c>
      <c r="G685" s="396" t="s">
        <v>33</v>
      </c>
      <c r="H685" s="387">
        <v>25.4</v>
      </c>
      <c r="I685" s="490">
        <v>25.4</v>
      </c>
      <c r="J685" s="477">
        <v>55000</v>
      </c>
      <c r="K685" s="391"/>
      <c r="L685" s="480">
        <f t="shared" si="110"/>
        <v>1397000</v>
      </c>
      <c r="M685" s="392"/>
      <c r="N685" s="392"/>
      <c r="O685" s="366"/>
      <c r="P685" s="366"/>
      <c r="Q685" s="761" t="s">
        <v>480</v>
      </c>
      <c r="R685" s="1452"/>
      <c r="S685" s="308"/>
      <c r="T685" s="308"/>
      <c r="U685" s="308"/>
      <c r="V685" s="308"/>
      <c r="W685" s="308"/>
      <c r="X685" s="685">
        <f>I685</f>
        <v>25.4</v>
      </c>
      <c r="Y685" s="308"/>
      <c r="Z685" s="604"/>
      <c r="AA685" s="308"/>
      <c r="AB685" s="308"/>
      <c r="AC685" s="449"/>
      <c r="AD685" s="449"/>
      <c r="AE685" s="449"/>
      <c r="AF685" s="449"/>
      <c r="AG685" s="449"/>
      <c r="AH685" s="449"/>
      <c r="AI685" s="449"/>
      <c r="AJ685" s="449"/>
      <c r="AK685" s="452"/>
      <c r="AL685" s="104"/>
      <c r="AM685" s="32"/>
      <c r="AN685" s="32"/>
      <c r="AO685" s="32"/>
      <c r="AP685" s="32"/>
      <c r="AQ685" s="32"/>
      <c r="AR685" s="32"/>
      <c r="AS685" s="31"/>
      <c r="AT685" s="22"/>
      <c r="AU685" s="22"/>
      <c r="AV685" s="22"/>
      <c r="AW685" s="22"/>
      <c r="AX685" s="22"/>
      <c r="AY685" s="22"/>
      <c r="AZ685" s="22"/>
      <c r="BA685" s="22"/>
      <c r="BB685" s="22"/>
      <c r="BC685" s="22"/>
      <c r="BD685" s="22"/>
      <c r="BE685" s="22"/>
      <c r="BF685" s="22"/>
      <c r="BG685" s="22"/>
      <c r="BH685" s="22"/>
      <c r="BI685" s="22"/>
      <c r="BJ685" s="22"/>
      <c r="BK685" s="22"/>
      <c r="BL685" s="22"/>
      <c r="BM685" s="22"/>
      <c r="BN685" s="22"/>
      <c r="BO685" s="22"/>
      <c r="BP685" s="25"/>
      <c r="BQ685" s="25"/>
      <c r="BR685" s="25"/>
      <c r="BS685" s="25"/>
      <c r="BT685" s="25"/>
      <c r="BU685" s="25"/>
      <c r="BV685" s="25"/>
      <c r="BW685" s="25"/>
      <c r="BX685" s="25"/>
      <c r="BY685" s="25"/>
      <c r="BZ685" s="25"/>
      <c r="CA685" s="25"/>
      <c r="CB685" s="25"/>
      <c r="CC685" s="25"/>
      <c r="CD685" s="25"/>
      <c r="CE685" s="25"/>
      <c r="CF685" s="25"/>
      <c r="CG685" s="25"/>
      <c r="CH685" s="25"/>
      <c r="CI685" s="25"/>
      <c r="CJ685" s="25"/>
      <c r="CK685" s="25"/>
      <c r="CL685" s="25"/>
      <c r="CM685" s="25"/>
      <c r="CN685" s="25"/>
      <c r="CO685" s="25"/>
      <c r="CP685" s="25"/>
      <c r="CQ685" s="25"/>
      <c r="CR685" s="25"/>
      <c r="CS685" s="25"/>
      <c r="CT685" s="25"/>
      <c r="CU685" s="25"/>
      <c r="CV685" s="25"/>
      <c r="CW685" s="25"/>
      <c r="CX685" s="25"/>
      <c r="CY685" s="25"/>
      <c r="CZ685" s="25"/>
      <c r="DA685" s="25"/>
      <c r="DB685" s="25"/>
      <c r="DC685" s="25"/>
      <c r="DD685" s="25"/>
      <c r="DE685" s="25"/>
      <c r="DF685" s="25"/>
      <c r="DG685" s="25"/>
      <c r="DH685" s="25"/>
      <c r="DI685" s="25"/>
      <c r="DJ685" s="25"/>
      <c r="DK685" s="25"/>
      <c r="DL685" s="25"/>
      <c r="DM685" s="25"/>
      <c r="DN685" s="25"/>
      <c r="DO685" s="25"/>
      <c r="DP685" s="25"/>
      <c r="DQ685" s="25"/>
      <c r="DR685" s="25"/>
      <c r="DS685" s="25"/>
      <c r="DT685" s="25"/>
      <c r="DU685" s="25"/>
      <c r="DV685" s="25"/>
      <c r="DW685" s="25"/>
      <c r="DX685" s="25"/>
      <c r="DY685" s="25"/>
      <c r="DZ685" s="25"/>
      <c r="EA685" s="25"/>
      <c r="EB685" s="25"/>
      <c r="EC685" s="25"/>
      <c r="ED685" s="25"/>
      <c r="EE685" s="25"/>
      <c r="EF685" s="25"/>
      <c r="EG685" s="25"/>
      <c r="EH685" s="25"/>
      <c r="EI685" s="25"/>
      <c r="EJ685" s="25"/>
      <c r="EK685" s="25"/>
      <c r="EL685" s="25"/>
      <c r="EM685" s="25"/>
      <c r="EN685" s="25"/>
      <c r="EO685" s="25"/>
      <c r="EP685" s="25"/>
      <c r="EQ685" s="25"/>
      <c r="ER685" s="25"/>
      <c r="ES685" s="25"/>
      <c r="ET685" s="25"/>
      <c r="EU685" s="25"/>
      <c r="EV685" s="25"/>
      <c r="EW685" s="25"/>
      <c r="EX685" s="25"/>
      <c r="EY685" s="25"/>
      <c r="EZ685" s="25"/>
      <c r="FA685" s="25"/>
      <c r="FB685" s="25"/>
      <c r="FC685" s="25"/>
      <c r="FD685" s="25"/>
      <c r="FE685" s="25"/>
      <c r="FF685" s="25"/>
      <c r="FG685" s="25"/>
      <c r="FH685" s="25"/>
      <c r="FI685" s="25"/>
      <c r="FJ685" s="25"/>
      <c r="FK685" s="25"/>
      <c r="FL685" s="25"/>
      <c r="FM685" s="25"/>
      <c r="FN685" s="25"/>
      <c r="FO685" s="25"/>
      <c r="FP685" s="25"/>
      <c r="FQ685" s="25"/>
      <c r="FR685" s="25"/>
      <c r="FS685" s="25"/>
      <c r="FT685" s="25"/>
      <c r="FU685" s="25"/>
      <c r="FV685" s="25"/>
      <c r="FW685" s="25"/>
      <c r="FX685" s="25"/>
      <c r="FY685" s="25"/>
      <c r="FZ685" s="25"/>
      <c r="GA685" s="25"/>
      <c r="GB685" s="25"/>
      <c r="GC685" s="25"/>
      <c r="GD685" s="25"/>
      <c r="GE685" s="25"/>
      <c r="GF685" s="25"/>
      <c r="GG685" s="25"/>
      <c r="GH685" s="25"/>
      <c r="GI685" s="25"/>
      <c r="GJ685" s="25"/>
      <c r="GK685" s="25"/>
      <c r="GL685" s="25"/>
      <c r="GM685" s="25"/>
      <c r="GN685" s="25"/>
      <c r="GO685" s="25"/>
      <c r="GP685" s="25"/>
      <c r="GQ685" s="25"/>
      <c r="GR685" s="25"/>
      <c r="GS685" s="25"/>
      <c r="GT685" s="25"/>
      <c r="GU685" s="25"/>
      <c r="GV685" s="25"/>
      <c r="GW685" s="25"/>
      <c r="GX685" s="25"/>
      <c r="GY685" s="25"/>
      <c r="GZ685" s="25"/>
      <c r="HA685" s="25"/>
      <c r="HB685" s="25"/>
      <c r="HC685" s="25"/>
      <c r="HD685" s="25"/>
      <c r="HE685" s="25"/>
      <c r="HF685" s="25"/>
      <c r="HG685" s="25"/>
      <c r="HH685" s="25"/>
      <c r="HI685" s="25"/>
      <c r="HJ685" s="25"/>
      <c r="HK685" s="25"/>
      <c r="HL685" s="25"/>
      <c r="HM685" s="25"/>
      <c r="HN685" s="25"/>
      <c r="HO685" s="25"/>
      <c r="HP685" s="25"/>
      <c r="HQ685" s="25"/>
      <c r="HR685" s="25"/>
      <c r="HS685" s="25"/>
      <c r="HT685" s="25"/>
      <c r="HU685" s="25"/>
      <c r="HV685" s="25"/>
      <c r="HW685" s="25"/>
      <c r="HX685" s="25"/>
      <c r="HY685" s="25"/>
      <c r="HZ685" s="25"/>
      <c r="IA685" s="25"/>
      <c r="IB685" s="25"/>
      <c r="IC685" s="25"/>
      <c r="ID685" s="25"/>
      <c r="IE685" s="25"/>
      <c r="IF685" s="25"/>
      <c r="IG685" s="25"/>
      <c r="IH685" s="25"/>
      <c r="II685" s="25"/>
      <c r="IJ685" s="25"/>
      <c r="IK685" s="25"/>
      <c r="IL685" s="25"/>
      <c r="IM685" s="25"/>
      <c r="IN685" s="25"/>
      <c r="IO685" s="25"/>
      <c r="IP685" s="25"/>
      <c r="IQ685" s="25"/>
      <c r="IR685" s="25"/>
      <c r="IS685" s="25"/>
      <c r="IT685" s="25"/>
      <c r="IU685" s="25"/>
      <c r="IV685" s="25"/>
      <c r="IW685" s="25"/>
      <c r="IX685" s="25"/>
      <c r="IY685" s="25"/>
      <c r="IZ685" s="25"/>
      <c r="JA685" s="25"/>
      <c r="JB685" s="25"/>
      <c r="JC685" s="25"/>
      <c r="JD685" s="25"/>
      <c r="JE685" s="25"/>
      <c r="JF685" s="25"/>
      <c r="JG685" s="25"/>
      <c r="JH685" s="25"/>
      <c r="JI685" s="25"/>
      <c r="JJ685" s="25"/>
      <c r="JK685" s="25"/>
      <c r="JL685" s="25"/>
      <c r="JM685" s="25"/>
      <c r="JN685" s="25"/>
      <c r="JO685" s="25"/>
      <c r="JP685" s="25"/>
      <c r="JQ685" s="25"/>
      <c r="JR685" s="25"/>
      <c r="JS685" s="25"/>
      <c r="JT685" s="25"/>
      <c r="JU685" s="25"/>
      <c r="JV685" s="25"/>
      <c r="JW685" s="25"/>
      <c r="JX685" s="25"/>
      <c r="JY685" s="25"/>
      <c r="JZ685" s="25"/>
      <c r="KA685" s="25"/>
      <c r="KB685" s="25"/>
      <c r="KC685" s="25"/>
      <c r="KD685" s="25"/>
      <c r="KE685" s="25"/>
      <c r="KF685" s="25"/>
      <c r="KG685" s="25"/>
      <c r="KH685" s="25"/>
      <c r="KI685" s="25"/>
      <c r="KJ685" s="25"/>
      <c r="KK685" s="25"/>
      <c r="KL685" s="25"/>
      <c r="KM685" s="25"/>
      <c r="KN685" s="25"/>
      <c r="KO685" s="25"/>
      <c r="KP685" s="25"/>
      <c r="KQ685" s="25"/>
      <c r="KR685" s="25"/>
      <c r="KS685" s="25"/>
      <c r="KT685" s="25"/>
      <c r="KU685" s="25"/>
      <c r="KV685" s="25"/>
      <c r="KW685" s="25"/>
      <c r="KX685" s="25"/>
      <c r="KY685" s="25"/>
      <c r="KZ685" s="25"/>
      <c r="LA685" s="25"/>
      <c r="LB685" s="25"/>
      <c r="LC685" s="25"/>
      <c r="LD685" s="25"/>
      <c r="LE685" s="25"/>
      <c r="LF685" s="25"/>
      <c r="LG685" s="25"/>
      <c r="LH685" s="25"/>
      <c r="LI685" s="25"/>
      <c r="LJ685" s="25"/>
      <c r="LK685" s="25"/>
      <c r="LL685" s="25"/>
      <c r="LM685" s="25"/>
      <c r="LN685" s="25"/>
      <c r="LO685" s="25"/>
      <c r="LP685" s="25"/>
      <c r="LQ685" s="25"/>
      <c r="LR685" s="25"/>
      <c r="LS685" s="25"/>
      <c r="LT685" s="25"/>
      <c r="LU685" s="25"/>
      <c r="LV685" s="25"/>
      <c r="LW685" s="25"/>
      <c r="LX685" s="25"/>
      <c r="LY685" s="25"/>
      <c r="LZ685" s="25"/>
      <c r="MA685" s="25"/>
      <c r="MB685" s="25"/>
      <c r="MC685" s="25"/>
      <c r="MD685" s="25"/>
      <c r="ME685" s="25"/>
      <c r="MF685" s="25"/>
      <c r="MG685" s="25"/>
      <c r="MH685" s="25"/>
      <c r="MI685" s="25"/>
      <c r="MJ685" s="25"/>
      <c r="MK685" s="25"/>
      <c r="ML685" s="25"/>
      <c r="MM685" s="25"/>
      <c r="MN685" s="25"/>
      <c r="MO685" s="25"/>
      <c r="MP685" s="25"/>
      <c r="MQ685" s="25"/>
      <c r="MR685" s="25"/>
      <c r="MS685" s="25"/>
      <c r="MT685" s="25"/>
      <c r="MU685" s="25"/>
      <c r="MV685" s="25"/>
      <c r="MW685" s="25"/>
      <c r="MX685" s="25"/>
      <c r="MY685" s="25"/>
      <c r="MZ685" s="25"/>
      <c r="NA685" s="25"/>
      <c r="NB685" s="25"/>
      <c r="NC685" s="25"/>
      <c r="ND685" s="25"/>
      <c r="NE685" s="25"/>
      <c r="NF685" s="25"/>
      <c r="NG685" s="25"/>
      <c r="NH685" s="25"/>
      <c r="NI685" s="25"/>
      <c r="NJ685" s="25"/>
      <c r="NK685" s="25"/>
      <c r="NL685" s="25"/>
      <c r="NM685" s="25"/>
      <c r="NN685" s="25"/>
      <c r="NO685" s="25"/>
      <c r="NP685" s="25"/>
      <c r="NQ685" s="25"/>
      <c r="NR685" s="25"/>
      <c r="NS685" s="25"/>
      <c r="NT685" s="25"/>
      <c r="NU685" s="25"/>
      <c r="NV685" s="25"/>
      <c r="NW685" s="25"/>
      <c r="NX685" s="25"/>
      <c r="NY685" s="25"/>
      <c r="NZ685" s="25"/>
      <c r="OA685" s="25"/>
      <c r="OB685" s="25"/>
      <c r="OC685" s="25"/>
      <c r="OD685" s="25"/>
      <c r="OE685" s="25"/>
      <c r="OF685" s="25"/>
      <c r="OG685" s="25"/>
      <c r="OH685" s="25"/>
      <c r="OI685" s="25"/>
      <c r="OJ685" s="25"/>
      <c r="OK685" s="25"/>
      <c r="OL685" s="25"/>
      <c r="OM685" s="25"/>
      <c r="ON685" s="25"/>
      <c r="OO685" s="25"/>
      <c r="OP685" s="25"/>
      <c r="OQ685" s="25"/>
      <c r="OR685" s="25"/>
      <c r="OS685" s="25"/>
      <c r="OT685" s="25"/>
      <c r="OU685" s="25"/>
      <c r="OV685" s="25"/>
      <c r="OW685" s="25"/>
      <c r="OX685" s="25"/>
      <c r="OY685" s="25"/>
      <c r="OZ685" s="25"/>
      <c r="PA685" s="25"/>
      <c r="PB685" s="25"/>
      <c r="PC685" s="25"/>
      <c r="PD685" s="25"/>
      <c r="PE685" s="25"/>
      <c r="PF685" s="25"/>
      <c r="PG685" s="25"/>
      <c r="PH685" s="25"/>
      <c r="PI685" s="25"/>
      <c r="PJ685" s="25"/>
      <c r="PK685" s="25"/>
      <c r="PL685" s="25"/>
      <c r="PM685" s="25"/>
      <c r="PN685" s="25"/>
      <c r="PO685" s="25"/>
      <c r="PP685" s="25"/>
      <c r="PQ685" s="25"/>
      <c r="PR685" s="25"/>
      <c r="PS685" s="25"/>
      <c r="PT685" s="25"/>
      <c r="PU685" s="25"/>
      <c r="PV685" s="25"/>
      <c r="PW685" s="25"/>
      <c r="PX685" s="25"/>
      <c r="PY685" s="25"/>
      <c r="PZ685" s="25"/>
      <c r="QA685" s="25"/>
      <c r="QB685" s="25"/>
      <c r="QC685" s="25"/>
      <c r="QD685" s="25"/>
      <c r="QE685" s="25"/>
      <c r="QF685" s="25"/>
      <c r="QG685" s="25"/>
      <c r="QH685" s="25"/>
      <c r="QI685" s="25"/>
      <c r="QJ685" s="25"/>
      <c r="QK685" s="25"/>
      <c r="QL685" s="25"/>
      <c r="QM685" s="25"/>
      <c r="QN685" s="25"/>
      <c r="QO685" s="25"/>
      <c r="QP685" s="25"/>
      <c r="QQ685" s="25"/>
      <c r="QR685" s="25"/>
      <c r="QS685" s="25"/>
      <c r="QT685" s="25"/>
      <c r="QU685" s="25"/>
      <c r="QV685" s="25"/>
      <c r="QW685" s="25"/>
      <c r="QX685" s="25"/>
      <c r="QY685" s="25"/>
      <c r="QZ685" s="25"/>
      <c r="RA685" s="25"/>
      <c r="RB685" s="25"/>
      <c r="RC685" s="25"/>
      <c r="RD685" s="25"/>
      <c r="RE685" s="25"/>
      <c r="RF685" s="25"/>
      <c r="RG685" s="25"/>
      <c r="RH685" s="25"/>
      <c r="RI685" s="25"/>
      <c r="RJ685" s="25"/>
      <c r="RK685" s="25"/>
      <c r="RL685" s="25"/>
      <c r="RM685" s="25"/>
      <c r="RN685" s="25"/>
      <c r="RO685" s="25"/>
      <c r="RP685" s="25"/>
      <c r="RQ685" s="25"/>
      <c r="RR685" s="25"/>
      <c r="RS685" s="25"/>
      <c r="RT685" s="25"/>
      <c r="RU685" s="25"/>
      <c r="RV685" s="25"/>
      <c r="RW685" s="25"/>
      <c r="RX685" s="25"/>
      <c r="RY685" s="25"/>
      <c r="RZ685" s="25"/>
      <c r="SA685" s="25"/>
      <c r="SB685" s="25"/>
      <c r="SC685" s="25"/>
      <c r="SD685" s="25"/>
      <c r="SE685" s="25"/>
      <c r="SF685" s="25"/>
      <c r="SG685" s="25"/>
      <c r="SH685" s="25"/>
      <c r="SI685" s="25"/>
      <c r="SJ685" s="25"/>
      <c r="SK685" s="25"/>
      <c r="SL685" s="25"/>
      <c r="SM685" s="25"/>
      <c r="SN685" s="25"/>
      <c r="SO685" s="25"/>
      <c r="SP685" s="25"/>
      <c r="SQ685" s="25"/>
      <c r="SR685" s="25"/>
      <c r="SS685" s="25"/>
      <c r="ST685" s="25"/>
      <c r="SU685" s="25"/>
      <c r="SV685" s="25"/>
      <c r="SW685" s="25"/>
      <c r="SX685" s="25"/>
      <c r="SY685" s="25"/>
      <c r="SZ685" s="25"/>
      <c r="TA685" s="25"/>
      <c r="TB685" s="25"/>
      <c r="TC685" s="25"/>
      <c r="TD685" s="25"/>
      <c r="TE685" s="25"/>
      <c r="TF685" s="25"/>
      <c r="TG685" s="25"/>
      <c r="TH685" s="25"/>
      <c r="TI685" s="25"/>
      <c r="TJ685" s="25"/>
      <c r="TK685" s="25"/>
      <c r="TL685" s="25"/>
      <c r="TM685" s="25"/>
      <c r="TN685" s="25"/>
      <c r="TO685" s="25"/>
      <c r="TP685" s="25"/>
      <c r="TQ685" s="25"/>
      <c r="TR685" s="25"/>
      <c r="TS685" s="25"/>
      <c r="TT685" s="25"/>
      <c r="TU685" s="25"/>
      <c r="TV685" s="25"/>
      <c r="TW685" s="25"/>
      <c r="TX685" s="25"/>
      <c r="TY685" s="25"/>
      <c r="TZ685" s="25"/>
      <c r="UA685" s="25"/>
      <c r="UB685" s="25"/>
      <c r="UC685" s="25"/>
      <c r="UD685" s="25"/>
      <c r="UE685" s="25"/>
      <c r="UF685" s="25"/>
      <c r="UG685" s="26"/>
    </row>
    <row r="686" spans="1:553" ht="171" customHeight="1">
      <c r="A686" s="356"/>
      <c r="B686" s="385"/>
      <c r="C686" s="384" t="s">
        <v>69</v>
      </c>
      <c r="D686" s="376" t="s">
        <v>20</v>
      </c>
      <c r="E686" s="376" t="s">
        <v>482</v>
      </c>
      <c r="F686" s="385">
        <v>1</v>
      </c>
      <c r="G686" s="396" t="s">
        <v>33</v>
      </c>
      <c r="H686" s="387">
        <v>122.2</v>
      </c>
      <c r="I686" s="490">
        <v>122.2</v>
      </c>
      <c r="J686" s="477">
        <v>55000</v>
      </c>
      <c r="K686" s="391"/>
      <c r="L686" s="480">
        <f t="shared" si="110"/>
        <v>6721000</v>
      </c>
      <c r="M686" s="392"/>
      <c r="N686" s="392"/>
      <c r="O686" s="366"/>
      <c r="P686" s="366"/>
      <c r="Q686" s="761" t="s">
        <v>480</v>
      </c>
      <c r="R686" s="1452"/>
      <c r="S686" s="308"/>
      <c r="T686" s="308"/>
      <c r="U686" s="308"/>
      <c r="V686" s="308"/>
      <c r="W686" s="308"/>
      <c r="X686" s="685">
        <f>I686</f>
        <v>122.2</v>
      </c>
      <c r="Y686" s="308"/>
      <c r="Z686" s="604"/>
      <c r="AA686" s="308"/>
      <c r="AB686" s="308"/>
      <c r="AC686" s="449"/>
      <c r="AD686" s="449"/>
      <c r="AE686" s="449"/>
      <c r="AF686" s="449"/>
      <c r="AG686" s="449"/>
      <c r="AH686" s="449"/>
      <c r="AI686" s="449"/>
      <c r="AJ686" s="449"/>
      <c r="AK686" s="452"/>
      <c r="AL686" s="104"/>
      <c r="AM686" s="32"/>
      <c r="AN686" s="32"/>
      <c r="AO686" s="32"/>
      <c r="AP686" s="32"/>
      <c r="AQ686" s="32"/>
      <c r="AR686" s="32"/>
      <c r="AS686" s="31"/>
      <c r="AT686" s="22"/>
      <c r="AU686" s="22"/>
      <c r="AV686" s="22"/>
      <c r="AW686" s="22"/>
      <c r="AX686" s="22"/>
      <c r="AY686" s="22"/>
      <c r="AZ686" s="22"/>
      <c r="BA686" s="22"/>
      <c r="BB686" s="22"/>
      <c r="BC686" s="22"/>
      <c r="BD686" s="22"/>
      <c r="BE686" s="22"/>
      <c r="BF686" s="22"/>
      <c r="BG686" s="22"/>
      <c r="BH686" s="22"/>
      <c r="BI686" s="22"/>
      <c r="BJ686" s="22"/>
      <c r="BK686" s="22"/>
      <c r="BL686" s="22"/>
      <c r="BM686" s="22"/>
      <c r="BN686" s="22"/>
      <c r="BO686" s="22"/>
      <c r="BP686" s="25"/>
      <c r="BQ686" s="25"/>
      <c r="BR686" s="25"/>
      <c r="BS686" s="25"/>
      <c r="BT686" s="25"/>
      <c r="BU686" s="25"/>
      <c r="BV686" s="25"/>
      <c r="BW686" s="25"/>
      <c r="BX686" s="25"/>
      <c r="BY686" s="25"/>
      <c r="BZ686" s="25"/>
      <c r="CA686" s="25"/>
      <c r="CB686" s="25"/>
      <c r="CC686" s="25"/>
      <c r="CD686" s="25"/>
      <c r="CE686" s="25"/>
      <c r="CF686" s="25"/>
      <c r="CG686" s="25"/>
      <c r="CH686" s="25"/>
      <c r="CI686" s="25"/>
      <c r="CJ686" s="25"/>
      <c r="CK686" s="25"/>
      <c r="CL686" s="25"/>
      <c r="CM686" s="25"/>
      <c r="CN686" s="25"/>
      <c r="CO686" s="25"/>
      <c r="CP686" s="25"/>
      <c r="CQ686" s="25"/>
      <c r="CR686" s="25"/>
      <c r="CS686" s="25"/>
      <c r="CT686" s="25"/>
      <c r="CU686" s="25"/>
      <c r="CV686" s="25"/>
      <c r="CW686" s="25"/>
      <c r="CX686" s="25"/>
      <c r="CY686" s="25"/>
      <c r="CZ686" s="25"/>
      <c r="DA686" s="25"/>
      <c r="DB686" s="25"/>
      <c r="DC686" s="25"/>
      <c r="DD686" s="25"/>
      <c r="DE686" s="25"/>
      <c r="DF686" s="25"/>
      <c r="DG686" s="25"/>
      <c r="DH686" s="25"/>
      <c r="DI686" s="25"/>
      <c r="DJ686" s="25"/>
      <c r="DK686" s="25"/>
      <c r="DL686" s="25"/>
      <c r="DM686" s="25"/>
      <c r="DN686" s="25"/>
      <c r="DO686" s="25"/>
      <c r="DP686" s="25"/>
      <c r="DQ686" s="25"/>
      <c r="DR686" s="25"/>
      <c r="DS686" s="25"/>
      <c r="DT686" s="25"/>
      <c r="DU686" s="25"/>
      <c r="DV686" s="25"/>
      <c r="DW686" s="25"/>
      <c r="DX686" s="25"/>
      <c r="DY686" s="25"/>
      <c r="DZ686" s="25"/>
      <c r="EA686" s="25"/>
      <c r="EB686" s="25"/>
      <c r="EC686" s="25"/>
      <c r="ED686" s="25"/>
      <c r="EE686" s="25"/>
      <c r="EF686" s="25"/>
      <c r="EG686" s="25"/>
      <c r="EH686" s="25"/>
      <c r="EI686" s="25"/>
      <c r="EJ686" s="25"/>
      <c r="EK686" s="25"/>
      <c r="EL686" s="25"/>
      <c r="EM686" s="25"/>
      <c r="EN686" s="25"/>
      <c r="EO686" s="25"/>
      <c r="EP686" s="25"/>
      <c r="EQ686" s="25"/>
      <c r="ER686" s="25"/>
      <c r="ES686" s="25"/>
      <c r="ET686" s="25"/>
      <c r="EU686" s="25"/>
      <c r="EV686" s="25"/>
      <c r="EW686" s="25"/>
      <c r="EX686" s="25"/>
      <c r="EY686" s="25"/>
      <c r="EZ686" s="25"/>
      <c r="FA686" s="25"/>
      <c r="FB686" s="25"/>
      <c r="FC686" s="25"/>
      <c r="FD686" s="25"/>
      <c r="FE686" s="25"/>
      <c r="FF686" s="25"/>
      <c r="FG686" s="25"/>
      <c r="FH686" s="25"/>
      <c r="FI686" s="25"/>
      <c r="FJ686" s="25"/>
      <c r="FK686" s="25"/>
      <c r="FL686" s="25"/>
      <c r="FM686" s="25"/>
      <c r="FN686" s="25"/>
      <c r="FO686" s="25"/>
      <c r="FP686" s="25"/>
      <c r="FQ686" s="25"/>
      <c r="FR686" s="25"/>
      <c r="FS686" s="25"/>
      <c r="FT686" s="25"/>
      <c r="FU686" s="25"/>
      <c r="FV686" s="25"/>
      <c r="FW686" s="25"/>
      <c r="FX686" s="25"/>
      <c r="FY686" s="25"/>
      <c r="FZ686" s="25"/>
      <c r="GA686" s="25"/>
      <c r="GB686" s="25"/>
      <c r="GC686" s="25"/>
      <c r="GD686" s="25"/>
      <c r="GE686" s="25"/>
      <c r="GF686" s="25"/>
      <c r="GG686" s="25"/>
      <c r="GH686" s="25"/>
      <c r="GI686" s="25"/>
      <c r="GJ686" s="25"/>
      <c r="GK686" s="25"/>
      <c r="GL686" s="25"/>
      <c r="GM686" s="25"/>
      <c r="GN686" s="25"/>
      <c r="GO686" s="25"/>
      <c r="GP686" s="25"/>
      <c r="GQ686" s="25"/>
      <c r="GR686" s="25"/>
      <c r="GS686" s="25"/>
      <c r="GT686" s="25"/>
      <c r="GU686" s="25"/>
      <c r="GV686" s="25"/>
      <c r="GW686" s="25"/>
      <c r="GX686" s="25"/>
      <c r="GY686" s="25"/>
      <c r="GZ686" s="25"/>
      <c r="HA686" s="25"/>
      <c r="HB686" s="25"/>
      <c r="HC686" s="25"/>
      <c r="HD686" s="25"/>
      <c r="HE686" s="25"/>
      <c r="HF686" s="25"/>
      <c r="HG686" s="25"/>
      <c r="HH686" s="25"/>
      <c r="HI686" s="25"/>
      <c r="HJ686" s="25"/>
      <c r="HK686" s="25"/>
      <c r="HL686" s="25"/>
      <c r="HM686" s="25"/>
      <c r="HN686" s="25"/>
      <c r="HO686" s="25"/>
      <c r="HP686" s="25"/>
      <c r="HQ686" s="25"/>
      <c r="HR686" s="25"/>
      <c r="HS686" s="25"/>
      <c r="HT686" s="25"/>
      <c r="HU686" s="25"/>
      <c r="HV686" s="25"/>
      <c r="HW686" s="25"/>
      <c r="HX686" s="25"/>
      <c r="HY686" s="25"/>
      <c r="HZ686" s="25"/>
      <c r="IA686" s="25"/>
      <c r="IB686" s="25"/>
      <c r="IC686" s="25"/>
      <c r="ID686" s="25"/>
      <c r="IE686" s="25"/>
      <c r="IF686" s="25"/>
      <c r="IG686" s="25"/>
      <c r="IH686" s="25"/>
      <c r="II686" s="25"/>
      <c r="IJ686" s="25"/>
      <c r="IK686" s="25"/>
      <c r="IL686" s="25"/>
      <c r="IM686" s="25"/>
      <c r="IN686" s="25"/>
      <c r="IO686" s="25"/>
      <c r="IP686" s="25"/>
      <c r="IQ686" s="25"/>
      <c r="IR686" s="25"/>
      <c r="IS686" s="25"/>
      <c r="IT686" s="25"/>
      <c r="IU686" s="25"/>
      <c r="IV686" s="25"/>
      <c r="IW686" s="25"/>
      <c r="IX686" s="25"/>
      <c r="IY686" s="25"/>
      <c r="IZ686" s="25"/>
      <c r="JA686" s="25"/>
      <c r="JB686" s="25"/>
      <c r="JC686" s="25"/>
      <c r="JD686" s="25"/>
      <c r="JE686" s="25"/>
      <c r="JF686" s="25"/>
      <c r="JG686" s="25"/>
      <c r="JH686" s="25"/>
      <c r="JI686" s="25"/>
      <c r="JJ686" s="25"/>
      <c r="JK686" s="25"/>
      <c r="JL686" s="25"/>
      <c r="JM686" s="25"/>
      <c r="JN686" s="25"/>
      <c r="JO686" s="25"/>
      <c r="JP686" s="25"/>
      <c r="JQ686" s="25"/>
      <c r="JR686" s="25"/>
      <c r="JS686" s="25"/>
      <c r="JT686" s="25"/>
      <c r="JU686" s="25"/>
      <c r="JV686" s="25"/>
      <c r="JW686" s="25"/>
      <c r="JX686" s="25"/>
      <c r="JY686" s="25"/>
      <c r="JZ686" s="25"/>
      <c r="KA686" s="25"/>
      <c r="KB686" s="25"/>
      <c r="KC686" s="25"/>
      <c r="KD686" s="25"/>
      <c r="KE686" s="25"/>
      <c r="KF686" s="25"/>
      <c r="KG686" s="25"/>
      <c r="KH686" s="25"/>
      <c r="KI686" s="25"/>
      <c r="KJ686" s="25"/>
      <c r="KK686" s="25"/>
      <c r="KL686" s="25"/>
      <c r="KM686" s="25"/>
      <c r="KN686" s="25"/>
      <c r="KO686" s="25"/>
      <c r="KP686" s="25"/>
      <c r="KQ686" s="25"/>
      <c r="KR686" s="25"/>
      <c r="KS686" s="25"/>
      <c r="KT686" s="25"/>
      <c r="KU686" s="25"/>
      <c r="KV686" s="25"/>
      <c r="KW686" s="25"/>
      <c r="KX686" s="25"/>
      <c r="KY686" s="25"/>
      <c r="KZ686" s="25"/>
      <c r="LA686" s="25"/>
      <c r="LB686" s="25"/>
      <c r="LC686" s="25"/>
      <c r="LD686" s="25"/>
      <c r="LE686" s="25"/>
      <c r="LF686" s="25"/>
      <c r="LG686" s="25"/>
      <c r="LH686" s="25"/>
      <c r="LI686" s="25"/>
      <c r="LJ686" s="25"/>
      <c r="LK686" s="25"/>
      <c r="LL686" s="25"/>
      <c r="LM686" s="25"/>
      <c r="LN686" s="25"/>
      <c r="LO686" s="25"/>
      <c r="LP686" s="25"/>
      <c r="LQ686" s="25"/>
      <c r="LR686" s="25"/>
      <c r="LS686" s="25"/>
      <c r="LT686" s="25"/>
      <c r="LU686" s="25"/>
      <c r="LV686" s="25"/>
      <c r="LW686" s="25"/>
      <c r="LX686" s="25"/>
      <c r="LY686" s="25"/>
      <c r="LZ686" s="25"/>
      <c r="MA686" s="25"/>
      <c r="MB686" s="25"/>
      <c r="MC686" s="25"/>
      <c r="MD686" s="25"/>
      <c r="ME686" s="25"/>
      <c r="MF686" s="25"/>
      <c r="MG686" s="25"/>
      <c r="MH686" s="25"/>
      <c r="MI686" s="25"/>
      <c r="MJ686" s="25"/>
      <c r="MK686" s="25"/>
      <c r="ML686" s="25"/>
      <c r="MM686" s="25"/>
      <c r="MN686" s="25"/>
      <c r="MO686" s="25"/>
      <c r="MP686" s="25"/>
      <c r="MQ686" s="25"/>
      <c r="MR686" s="25"/>
      <c r="MS686" s="25"/>
      <c r="MT686" s="25"/>
      <c r="MU686" s="25"/>
      <c r="MV686" s="25"/>
      <c r="MW686" s="25"/>
      <c r="MX686" s="25"/>
      <c r="MY686" s="25"/>
      <c r="MZ686" s="25"/>
      <c r="NA686" s="25"/>
      <c r="NB686" s="25"/>
      <c r="NC686" s="25"/>
      <c r="ND686" s="25"/>
      <c r="NE686" s="25"/>
      <c r="NF686" s="25"/>
      <c r="NG686" s="25"/>
      <c r="NH686" s="25"/>
      <c r="NI686" s="25"/>
      <c r="NJ686" s="25"/>
      <c r="NK686" s="25"/>
      <c r="NL686" s="25"/>
      <c r="NM686" s="25"/>
      <c r="NN686" s="25"/>
      <c r="NO686" s="25"/>
      <c r="NP686" s="25"/>
      <c r="NQ686" s="25"/>
      <c r="NR686" s="25"/>
      <c r="NS686" s="25"/>
      <c r="NT686" s="25"/>
      <c r="NU686" s="25"/>
      <c r="NV686" s="25"/>
      <c r="NW686" s="25"/>
      <c r="NX686" s="25"/>
      <c r="NY686" s="25"/>
      <c r="NZ686" s="25"/>
      <c r="OA686" s="25"/>
      <c r="OB686" s="25"/>
      <c r="OC686" s="25"/>
      <c r="OD686" s="25"/>
      <c r="OE686" s="25"/>
      <c r="OF686" s="25"/>
      <c r="OG686" s="25"/>
      <c r="OH686" s="25"/>
      <c r="OI686" s="25"/>
      <c r="OJ686" s="25"/>
      <c r="OK686" s="25"/>
      <c r="OL686" s="25"/>
      <c r="OM686" s="25"/>
      <c r="ON686" s="25"/>
      <c r="OO686" s="25"/>
      <c r="OP686" s="25"/>
      <c r="OQ686" s="25"/>
      <c r="OR686" s="25"/>
      <c r="OS686" s="25"/>
      <c r="OT686" s="25"/>
      <c r="OU686" s="25"/>
      <c r="OV686" s="25"/>
      <c r="OW686" s="25"/>
      <c r="OX686" s="25"/>
      <c r="OY686" s="25"/>
      <c r="OZ686" s="25"/>
      <c r="PA686" s="25"/>
      <c r="PB686" s="25"/>
      <c r="PC686" s="25"/>
      <c r="PD686" s="25"/>
      <c r="PE686" s="25"/>
      <c r="PF686" s="25"/>
      <c r="PG686" s="25"/>
      <c r="PH686" s="25"/>
      <c r="PI686" s="25"/>
      <c r="PJ686" s="25"/>
      <c r="PK686" s="25"/>
      <c r="PL686" s="25"/>
      <c r="PM686" s="25"/>
      <c r="PN686" s="25"/>
      <c r="PO686" s="25"/>
      <c r="PP686" s="25"/>
      <c r="PQ686" s="25"/>
      <c r="PR686" s="25"/>
      <c r="PS686" s="25"/>
      <c r="PT686" s="25"/>
      <c r="PU686" s="25"/>
      <c r="PV686" s="25"/>
      <c r="PW686" s="25"/>
      <c r="PX686" s="25"/>
      <c r="PY686" s="25"/>
      <c r="PZ686" s="25"/>
      <c r="QA686" s="25"/>
      <c r="QB686" s="25"/>
      <c r="QC686" s="25"/>
      <c r="QD686" s="25"/>
      <c r="QE686" s="25"/>
      <c r="QF686" s="25"/>
      <c r="QG686" s="25"/>
      <c r="QH686" s="25"/>
      <c r="QI686" s="25"/>
      <c r="QJ686" s="25"/>
      <c r="QK686" s="25"/>
      <c r="QL686" s="25"/>
      <c r="QM686" s="25"/>
      <c r="QN686" s="25"/>
      <c r="QO686" s="25"/>
      <c r="QP686" s="25"/>
      <c r="QQ686" s="25"/>
      <c r="QR686" s="25"/>
      <c r="QS686" s="25"/>
      <c r="QT686" s="25"/>
      <c r="QU686" s="25"/>
      <c r="QV686" s="25"/>
      <c r="QW686" s="25"/>
      <c r="QX686" s="25"/>
      <c r="QY686" s="25"/>
      <c r="QZ686" s="25"/>
      <c r="RA686" s="25"/>
      <c r="RB686" s="25"/>
      <c r="RC686" s="25"/>
      <c r="RD686" s="25"/>
      <c r="RE686" s="25"/>
      <c r="RF686" s="25"/>
      <c r="RG686" s="25"/>
      <c r="RH686" s="25"/>
      <c r="RI686" s="25"/>
      <c r="RJ686" s="25"/>
      <c r="RK686" s="25"/>
      <c r="RL686" s="25"/>
      <c r="RM686" s="25"/>
      <c r="RN686" s="25"/>
      <c r="RO686" s="25"/>
      <c r="RP686" s="25"/>
      <c r="RQ686" s="25"/>
      <c r="RR686" s="25"/>
      <c r="RS686" s="25"/>
      <c r="RT686" s="25"/>
      <c r="RU686" s="25"/>
      <c r="RV686" s="25"/>
      <c r="RW686" s="25"/>
      <c r="RX686" s="25"/>
      <c r="RY686" s="25"/>
      <c r="RZ686" s="25"/>
      <c r="SA686" s="25"/>
      <c r="SB686" s="25"/>
      <c r="SC686" s="25"/>
      <c r="SD686" s="25"/>
      <c r="SE686" s="25"/>
      <c r="SF686" s="25"/>
      <c r="SG686" s="25"/>
      <c r="SH686" s="25"/>
      <c r="SI686" s="25"/>
      <c r="SJ686" s="25"/>
      <c r="SK686" s="25"/>
      <c r="SL686" s="25"/>
      <c r="SM686" s="25"/>
      <c r="SN686" s="25"/>
      <c r="SO686" s="25"/>
      <c r="SP686" s="25"/>
      <c r="SQ686" s="25"/>
      <c r="SR686" s="25"/>
      <c r="SS686" s="25"/>
      <c r="ST686" s="25"/>
      <c r="SU686" s="25"/>
      <c r="SV686" s="25"/>
      <c r="SW686" s="25"/>
      <c r="SX686" s="25"/>
      <c r="SY686" s="25"/>
      <c r="SZ686" s="25"/>
      <c r="TA686" s="25"/>
      <c r="TB686" s="25"/>
      <c r="TC686" s="25"/>
      <c r="TD686" s="25"/>
      <c r="TE686" s="25"/>
      <c r="TF686" s="25"/>
      <c r="TG686" s="25"/>
      <c r="TH686" s="25"/>
      <c r="TI686" s="25"/>
      <c r="TJ686" s="25"/>
      <c r="TK686" s="25"/>
      <c r="TL686" s="25"/>
      <c r="TM686" s="25"/>
      <c r="TN686" s="25"/>
      <c r="TO686" s="25"/>
      <c r="TP686" s="25"/>
      <c r="TQ686" s="25"/>
      <c r="TR686" s="25"/>
      <c r="TS686" s="25"/>
      <c r="TT686" s="25"/>
      <c r="TU686" s="25"/>
      <c r="TV686" s="25"/>
      <c r="TW686" s="25"/>
      <c r="TX686" s="25"/>
      <c r="TY686" s="25"/>
      <c r="TZ686" s="25"/>
      <c r="UA686" s="25"/>
      <c r="UB686" s="25"/>
      <c r="UC686" s="25"/>
      <c r="UD686" s="25"/>
      <c r="UE686" s="25"/>
      <c r="UF686" s="25"/>
      <c r="UG686" s="26"/>
    </row>
    <row r="687" spans="1:553" ht="171" customHeight="1">
      <c r="A687" s="356"/>
      <c r="B687" s="385"/>
      <c r="C687" s="384" t="s">
        <v>69</v>
      </c>
      <c r="D687" s="376" t="s">
        <v>20</v>
      </c>
      <c r="E687" s="376" t="s">
        <v>483</v>
      </c>
      <c r="F687" s="385">
        <v>1</v>
      </c>
      <c r="G687" s="396" t="s">
        <v>33</v>
      </c>
      <c r="H687" s="387">
        <v>218.6</v>
      </c>
      <c r="I687" s="490">
        <v>218.6</v>
      </c>
      <c r="J687" s="477">
        <v>55000</v>
      </c>
      <c r="K687" s="391"/>
      <c r="L687" s="480">
        <f t="shared" si="110"/>
        <v>12023000</v>
      </c>
      <c r="M687" s="392"/>
      <c r="N687" s="392"/>
      <c r="O687" s="366"/>
      <c r="P687" s="366"/>
      <c r="Q687" s="761" t="s">
        <v>480</v>
      </c>
      <c r="R687" s="1452"/>
      <c r="S687" s="308"/>
      <c r="T687" s="308"/>
      <c r="U687" s="308"/>
      <c r="V687" s="308"/>
      <c r="W687" s="308"/>
      <c r="X687" s="685">
        <f>I687</f>
        <v>218.6</v>
      </c>
      <c r="Y687" s="308"/>
      <c r="Z687" s="604"/>
      <c r="AA687" s="308"/>
      <c r="AB687" s="308"/>
      <c r="AC687" s="449"/>
      <c r="AD687" s="449"/>
      <c r="AE687" s="449"/>
      <c r="AF687" s="449"/>
      <c r="AG687" s="449"/>
      <c r="AH687" s="449"/>
      <c r="AI687" s="449"/>
      <c r="AJ687" s="449"/>
      <c r="AK687" s="452"/>
      <c r="AL687" s="104"/>
      <c r="AM687" s="32"/>
      <c r="AN687" s="32"/>
      <c r="AO687" s="32"/>
      <c r="AP687" s="32"/>
      <c r="AQ687" s="32"/>
      <c r="AR687" s="32"/>
      <c r="AS687" s="31"/>
      <c r="AT687" s="22"/>
      <c r="AU687" s="22"/>
      <c r="AV687" s="22"/>
      <c r="AW687" s="22"/>
      <c r="AX687" s="22"/>
      <c r="AY687" s="22"/>
      <c r="AZ687" s="22"/>
      <c r="BA687" s="22"/>
      <c r="BB687" s="22"/>
      <c r="BC687" s="22"/>
      <c r="BD687" s="22"/>
      <c r="BE687" s="22"/>
      <c r="BF687" s="22"/>
      <c r="BG687" s="22"/>
      <c r="BH687" s="22"/>
      <c r="BI687" s="22"/>
      <c r="BJ687" s="22"/>
      <c r="BK687" s="22"/>
      <c r="BL687" s="22"/>
      <c r="BM687" s="22"/>
      <c r="BN687" s="22"/>
      <c r="BO687" s="22"/>
      <c r="BP687" s="25"/>
      <c r="BQ687" s="25"/>
      <c r="BR687" s="25"/>
      <c r="BS687" s="25"/>
      <c r="BT687" s="25"/>
      <c r="BU687" s="25"/>
      <c r="BV687" s="25"/>
      <c r="BW687" s="25"/>
      <c r="BX687" s="25"/>
      <c r="BY687" s="25"/>
      <c r="BZ687" s="25"/>
      <c r="CA687" s="25"/>
      <c r="CB687" s="25"/>
      <c r="CC687" s="25"/>
      <c r="CD687" s="25"/>
      <c r="CE687" s="25"/>
      <c r="CF687" s="25"/>
      <c r="CG687" s="25"/>
      <c r="CH687" s="25"/>
      <c r="CI687" s="25"/>
      <c r="CJ687" s="25"/>
      <c r="CK687" s="25"/>
      <c r="CL687" s="25"/>
      <c r="CM687" s="25"/>
      <c r="CN687" s="25"/>
      <c r="CO687" s="25"/>
      <c r="CP687" s="25"/>
      <c r="CQ687" s="25"/>
      <c r="CR687" s="25"/>
      <c r="CS687" s="25"/>
      <c r="CT687" s="25"/>
      <c r="CU687" s="25"/>
      <c r="CV687" s="25"/>
      <c r="CW687" s="25"/>
      <c r="CX687" s="25"/>
      <c r="CY687" s="25"/>
      <c r="CZ687" s="25"/>
      <c r="DA687" s="25"/>
      <c r="DB687" s="25"/>
      <c r="DC687" s="25"/>
      <c r="DD687" s="25"/>
      <c r="DE687" s="25"/>
      <c r="DF687" s="25"/>
      <c r="DG687" s="25"/>
      <c r="DH687" s="25"/>
      <c r="DI687" s="25"/>
      <c r="DJ687" s="25"/>
      <c r="DK687" s="25"/>
      <c r="DL687" s="25"/>
      <c r="DM687" s="25"/>
      <c r="DN687" s="25"/>
      <c r="DO687" s="25"/>
      <c r="DP687" s="25"/>
      <c r="DQ687" s="25"/>
      <c r="DR687" s="25"/>
      <c r="DS687" s="25"/>
      <c r="DT687" s="25"/>
      <c r="DU687" s="25"/>
      <c r="DV687" s="25"/>
      <c r="DW687" s="25"/>
      <c r="DX687" s="25"/>
      <c r="DY687" s="25"/>
      <c r="DZ687" s="25"/>
      <c r="EA687" s="25"/>
      <c r="EB687" s="25"/>
      <c r="EC687" s="25"/>
      <c r="ED687" s="25"/>
      <c r="EE687" s="25"/>
      <c r="EF687" s="25"/>
      <c r="EG687" s="25"/>
      <c r="EH687" s="25"/>
      <c r="EI687" s="25"/>
      <c r="EJ687" s="25"/>
      <c r="EK687" s="25"/>
      <c r="EL687" s="25"/>
      <c r="EM687" s="25"/>
      <c r="EN687" s="25"/>
      <c r="EO687" s="25"/>
      <c r="EP687" s="25"/>
      <c r="EQ687" s="25"/>
      <c r="ER687" s="25"/>
      <c r="ES687" s="25"/>
      <c r="ET687" s="25"/>
      <c r="EU687" s="25"/>
      <c r="EV687" s="25"/>
      <c r="EW687" s="25"/>
      <c r="EX687" s="25"/>
      <c r="EY687" s="25"/>
      <c r="EZ687" s="25"/>
      <c r="FA687" s="25"/>
      <c r="FB687" s="25"/>
      <c r="FC687" s="25"/>
      <c r="FD687" s="25"/>
      <c r="FE687" s="25"/>
      <c r="FF687" s="25"/>
      <c r="FG687" s="25"/>
      <c r="FH687" s="25"/>
      <c r="FI687" s="25"/>
      <c r="FJ687" s="25"/>
      <c r="FK687" s="25"/>
      <c r="FL687" s="25"/>
      <c r="FM687" s="25"/>
      <c r="FN687" s="25"/>
      <c r="FO687" s="25"/>
      <c r="FP687" s="25"/>
      <c r="FQ687" s="25"/>
      <c r="FR687" s="25"/>
      <c r="FS687" s="25"/>
      <c r="FT687" s="25"/>
      <c r="FU687" s="25"/>
      <c r="FV687" s="25"/>
      <c r="FW687" s="25"/>
      <c r="FX687" s="25"/>
      <c r="FY687" s="25"/>
      <c r="FZ687" s="25"/>
      <c r="GA687" s="25"/>
      <c r="GB687" s="25"/>
      <c r="GC687" s="25"/>
      <c r="GD687" s="25"/>
      <c r="GE687" s="25"/>
      <c r="GF687" s="25"/>
      <c r="GG687" s="25"/>
      <c r="GH687" s="25"/>
      <c r="GI687" s="25"/>
      <c r="GJ687" s="25"/>
      <c r="GK687" s="25"/>
      <c r="GL687" s="25"/>
      <c r="GM687" s="25"/>
      <c r="GN687" s="25"/>
      <c r="GO687" s="25"/>
      <c r="GP687" s="25"/>
      <c r="GQ687" s="25"/>
      <c r="GR687" s="25"/>
      <c r="GS687" s="25"/>
      <c r="GT687" s="25"/>
      <c r="GU687" s="25"/>
      <c r="GV687" s="25"/>
      <c r="GW687" s="25"/>
      <c r="GX687" s="25"/>
      <c r="GY687" s="25"/>
      <c r="GZ687" s="25"/>
      <c r="HA687" s="25"/>
      <c r="HB687" s="25"/>
      <c r="HC687" s="25"/>
      <c r="HD687" s="25"/>
      <c r="HE687" s="25"/>
      <c r="HF687" s="25"/>
      <c r="HG687" s="25"/>
      <c r="HH687" s="25"/>
      <c r="HI687" s="25"/>
      <c r="HJ687" s="25"/>
      <c r="HK687" s="25"/>
      <c r="HL687" s="25"/>
      <c r="HM687" s="25"/>
      <c r="HN687" s="25"/>
      <c r="HO687" s="25"/>
      <c r="HP687" s="25"/>
      <c r="HQ687" s="25"/>
      <c r="HR687" s="25"/>
      <c r="HS687" s="25"/>
      <c r="HT687" s="25"/>
      <c r="HU687" s="25"/>
      <c r="HV687" s="25"/>
      <c r="HW687" s="25"/>
      <c r="HX687" s="25"/>
      <c r="HY687" s="25"/>
      <c r="HZ687" s="25"/>
      <c r="IA687" s="25"/>
      <c r="IB687" s="25"/>
      <c r="IC687" s="25"/>
      <c r="ID687" s="25"/>
      <c r="IE687" s="25"/>
      <c r="IF687" s="25"/>
      <c r="IG687" s="25"/>
      <c r="IH687" s="25"/>
      <c r="II687" s="25"/>
      <c r="IJ687" s="25"/>
      <c r="IK687" s="25"/>
      <c r="IL687" s="25"/>
      <c r="IM687" s="25"/>
      <c r="IN687" s="25"/>
      <c r="IO687" s="25"/>
      <c r="IP687" s="25"/>
      <c r="IQ687" s="25"/>
      <c r="IR687" s="25"/>
      <c r="IS687" s="25"/>
      <c r="IT687" s="25"/>
      <c r="IU687" s="25"/>
      <c r="IV687" s="25"/>
      <c r="IW687" s="25"/>
      <c r="IX687" s="25"/>
      <c r="IY687" s="25"/>
      <c r="IZ687" s="25"/>
      <c r="JA687" s="25"/>
      <c r="JB687" s="25"/>
      <c r="JC687" s="25"/>
      <c r="JD687" s="25"/>
      <c r="JE687" s="25"/>
      <c r="JF687" s="25"/>
      <c r="JG687" s="25"/>
      <c r="JH687" s="25"/>
      <c r="JI687" s="25"/>
      <c r="JJ687" s="25"/>
      <c r="JK687" s="25"/>
      <c r="JL687" s="25"/>
      <c r="JM687" s="25"/>
      <c r="JN687" s="25"/>
      <c r="JO687" s="25"/>
      <c r="JP687" s="25"/>
      <c r="JQ687" s="25"/>
      <c r="JR687" s="25"/>
      <c r="JS687" s="25"/>
      <c r="JT687" s="25"/>
      <c r="JU687" s="25"/>
      <c r="JV687" s="25"/>
      <c r="JW687" s="25"/>
      <c r="JX687" s="25"/>
      <c r="JY687" s="25"/>
      <c r="JZ687" s="25"/>
      <c r="KA687" s="25"/>
      <c r="KB687" s="25"/>
      <c r="KC687" s="25"/>
      <c r="KD687" s="25"/>
      <c r="KE687" s="25"/>
      <c r="KF687" s="25"/>
      <c r="KG687" s="25"/>
      <c r="KH687" s="25"/>
      <c r="KI687" s="25"/>
      <c r="KJ687" s="25"/>
      <c r="KK687" s="25"/>
      <c r="KL687" s="25"/>
      <c r="KM687" s="25"/>
      <c r="KN687" s="25"/>
      <c r="KO687" s="25"/>
      <c r="KP687" s="25"/>
      <c r="KQ687" s="25"/>
      <c r="KR687" s="25"/>
      <c r="KS687" s="25"/>
      <c r="KT687" s="25"/>
      <c r="KU687" s="25"/>
      <c r="KV687" s="25"/>
      <c r="KW687" s="25"/>
      <c r="KX687" s="25"/>
      <c r="KY687" s="25"/>
      <c r="KZ687" s="25"/>
      <c r="LA687" s="25"/>
      <c r="LB687" s="25"/>
      <c r="LC687" s="25"/>
      <c r="LD687" s="25"/>
      <c r="LE687" s="25"/>
      <c r="LF687" s="25"/>
      <c r="LG687" s="25"/>
      <c r="LH687" s="25"/>
      <c r="LI687" s="25"/>
      <c r="LJ687" s="25"/>
      <c r="LK687" s="25"/>
      <c r="LL687" s="25"/>
      <c r="LM687" s="25"/>
      <c r="LN687" s="25"/>
      <c r="LO687" s="25"/>
      <c r="LP687" s="25"/>
      <c r="LQ687" s="25"/>
      <c r="LR687" s="25"/>
      <c r="LS687" s="25"/>
      <c r="LT687" s="25"/>
      <c r="LU687" s="25"/>
      <c r="LV687" s="25"/>
      <c r="LW687" s="25"/>
      <c r="LX687" s="25"/>
      <c r="LY687" s="25"/>
      <c r="LZ687" s="25"/>
      <c r="MA687" s="25"/>
      <c r="MB687" s="25"/>
      <c r="MC687" s="25"/>
      <c r="MD687" s="25"/>
      <c r="ME687" s="25"/>
      <c r="MF687" s="25"/>
      <c r="MG687" s="25"/>
      <c r="MH687" s="25"/>
      <c r="MI687" s="25"/>
      <c r="MJ687" s="25"/>
      <c r="MK687" s="25"/>
      <c r="ML687" s="25"/>
      <c r="MM687" s="25"/>
      <c r="MN687" s="25"/>
      <c r="MO687" s="25"/>
      <c r="MP687" s="25"/>
      <c r="MQ687" s="25"/>
      <c r="MR687" s="25"/>
      <c r="MS687" s="25"/>
      <c r="MT687" s="25"/>
      <c r="MU687" s="25"/>
      <c r="MV687" s="25"/>
      <c r="MW687" s="25"/>
      <c r="MX687" s="25"/>
      <c r="MY687" s="25"/>
      <c r="MZ687" s="25"/>
      <c r="NA687" s="25"/>
      <c r="NB687" s="25"/>
      <c r="NC687" s="25"/>
      <c r="ND687" s="25"/>
      <c r="NE687" s="25"/>
      <c r="NF687" s="25"/>
      <c r="NG687" s="25"/>
      <c r="NH687" s="25"/>
      <c r="NI687" s="25"/>
      <c r="NJ687" s="25"/>
      <c r="NK687" s="25"/>
      <c r="NL687" s="25"/>
      <c r="NM687" s="25"/>
      <c r="NN687" s="25"/>
      <c r="NO687" s="25"/>
      <c r="NP687" s="25"/>
      <c r="NQ687" s="25"/>
      <c r="NR687" s="25"/>
      <c r="NS687" s="25"/>
      <c r="NT687" s="25"/>
      <c r="NU687" s="25"/>
      <c r="NV687" s="25"/>
      <c r="NW687" s="25"/>
      <c r="NX687" s="25"/>
      <c r="NY687" s="25"/>
      <c r="NZ687" s="25"/>
      <c r="OA687" s="25"/>
      <c r="OB687" s="25"/>
      <c r="OC687" s="25"/>
      <c r="OD687" s="25"/>
      <c r="OE687" s="25"/>
      <c r="OF687" s="25"/>
      <c r="OG687" s="25"/>
      <c r="OH687" s="25"/>
      <c r="OI687" s="25"/>
      <c r="OJ687" s="25"/>
      <c r="OK687" s="25"/>
      <c r="OL687" s="25"/>
      <c r="OM687" s="25"/>
      <c r="ON687" s="25"/>
      <c r="OO687" s="25"/>
      <c r="OP687" s="25"/>
      <c r="OQ687" s="25"/>
      <c r="OR687" s="25"/>
      <c r="OS687" s="25"/>
      <c r="OT687" s="25"/>
      <c r="OU687" s="25"/>
      <c r="OV687" s="25"/>
      <c r="OW687" s="25"/>
      <c r="OX687" s="25"/>
      <c r="OY687" s="25"/>
      <c r="OZ687" s="25"/>
      <c r="PA687" s="25"/>
      <c r="PB687" s="25"/>
      <c r="PC687" s="25"/>
      <c r="PD687" s="25"/>
      <c r="PE687" s="25"/>
      <c r="PF687" s="25"/>
      <c r="PG687" s="25"/>
      <c r="PH687" s="25"/>
      <c r="PI687" s="25"/>
      <c r="PJ687" s="25"/>
      <c r="PK687" s="25"/>
      <c r="PL687" s="25"/>
      <c r="PM687" s="25"/>
      <c r="PN687" s="25"/>
      <c r="PO687" s="25"/>
      <c r="PP687" s="25"/>
      <c r="PQ687" s="25"/>
      <c r="PR687" s="25"/>
      <c r="PS687" s="25"/>
      <c r="PT687" s="25"/>
      <c r="PU687" s="25"/>
      <c r="PV687" s="25"/>
      <c r="PW687" s="25"/>
      <c r="PX687" s="25"/>
      <c r="PY687" s="25"/>
      <c r="PZ687" s="25"/>
      <c r="QA687" s="25"/>
      <c r="QB687" s="25"/>
      <c r="QC687" s="25"/>
      <c r="QD687" s="25"/>
      <c r="QE687" s="25"/>
      <c r="QF687" s="25"/>
      <c r="QG687" s="25"/>
      <c r="QH687" s="25"/>
      <c r="QI687" s="25"/>
      <c r="QJ687" s="25"/>
      <c r="QK687" s="25"/>
      <c r="QL687" s="25"/>
      <c r="QM687" s="25"/>
      <c r="QN687" s="25"/>
      <c r="QO687" s="25"/>
      <c r="QP687" s="25"/>
      <c r="QQ687" s="25"/>
      <c r="QR687" s="25"/>
      <c r="QS687" s="25"/>
      <c r="QT687" s="25"/>
      <c r="QU687" s="25"/>
      <c r="QV687" s="25"/>
      <c r="QW687" s="25"/>
      <c r="QX687" s="25"/>
      <c r="QY687" s="25"/>
      <c r="QZ687" s="25"/>
      <c r="RA687" s="25"/>
      <c r="RB687" s="25"/>
      <c r="RC687" s="25"/>
      <c r="RD687" s="25"/>
      <c r="RE687" s="25"/>
      <c r="RF687" s="25"/>
      <c r="RG687" s="25"/>
      <c r="RH687" s="25"/>
      <c r="RI687" s="25"/>
      <c r="RJ687" s="25"/>
      <c r="RK687" s="25"/>
      <c r="RL687" s="25"/>
      <c r="RM687" s="25"/>
      <c r="RN687" s="25"/>
      <c r="RO687" s="25"/>
      <c r="RP687" s="25"/>
      <c r="RQ687" s="25"/>
      <c r="RR687" s="25"/>
      <c r="RS687" s="25"/>
      <c r="RT687" s="25"/>
      <c r="RU687" s="25"/>
      <c r="RV687" s="25"/>
      <c r="RW687" s="25"/>
      <c r="RX687" s="25"/>
      <c r="RY687" s="25"/>
      <c r="RZ687" s="25"/>
      <c r="SA687" s="25"/>
      <c r="SB687" s="25"/>
      <c r="SC687" s="25"/>
      <c r="SD687" s="25"/>
      <c r="SE687" s="25"/>
      <c r="SF687" s="25"/>
      <c r="SG687" s="25"/>
      <c r="SH687" s="25"/>
      <c r="SI687" s="25"/>
      <c r="SJ687" s="25"/>
      <c r="SK687" s="25"/>
      <c r="SL687" s="25"/>
      <c r="SM687" s="25"/>
      <c r="SN687" s="25"/>
      <c r="SO687" s="25"/>
      <c r="SP687" s="25"/>
      <c r="SQ687" s="25"/>
      <c r="SR687" s="25"/>
      <c r="SS687" s="25"/>
      <c r="ST687" s="25"/>
      <c r="SU687" s="25"/>
      <c r="SV687" s="25"/>
      <c r="SW687" s="25"/>
      <c r="SX687" s="25"/>
      <c r="SY687" s="25"/>
      <c r="SZ687" s="25"/>
      <c r="TA687" s="25"/>
      <c r="TB687" s="25"/>
      <c r="TC687" s="25"/>
      <c r="TD687" s="25"/>
      <c r="TE687" s="25"/>
      <c r="TF687" s="25"/>
      <c r="TG687" s="25"/>
      <c r="TH687" s="25"/>
      <c r="TI687" s="25"/>
      <c r="TJ687" s="25"/>
      <c r="TK687" s="25"/>
      <c r="TL687" s="25"/>
      <c r="TM687" s="25"/>
      <c r="TN687" s="25"/>
      <c r="TO687" s="25"/>
      <c r="TP687" s="25"/>
      <c r="TQ687" s="25"/>
      <c r="TR687" s="25"/>
      <c r="TS687" s="25"/>
      <c r="TT687" s="25"/>
      <c r="TU687" s="25"/>
      <c r="TV687" s="25"/>
      <c r="TW687" s="25"/>
      <c r="TX687" s="25"/>
      <c r="TY687" s="25"/>
      <c r="TZ687" s="25"/>
      <c r="UA687" s="25"/>
      <c r="UB687" s="25"/>
      <c r="UC687" s="25"/>
      <c r="UD687" s="25"/>
      <c r="UE687" s="25"/>
      <c r="UF687" s="25"/>
      <c r="UG687" s="26"/>
    </row>
    <row r="688" spans="1:553" ht="207" customHeight="1">
      <c r="A688" s="356"/>
      <c r="B688" s="385"/>
      <c r="C688" s="384" t="s">
        <v>72</v>
      </c>
      <c r="D688" s="376" t="s">
        <v>20</v>
      </c>
      <c r="E688" s="540" t="s">
        <v>484</v>
      </c>
      <c r="F688" s="385">
        <v>1</v>
      </c>
      <c r="G688" s="396" t="s">
        <v>33</v>
      </c>
      <c r="H688" s="387">
        <v>591.1</v>
      </c>
      <c r="I688" s="441">
        <v>533</v>
      </c>
      <c r="J688" s="477">
        <v>9000</v>
      </c>
      <c r="K688" s="391"/>
      <c r="L688" s="480">
        <f t="shared" si="110"/>
        <v>4797000</v>
      </c>
      <c r="M688" s="392"/>
      <c r="N688" s="392"/>
      <c r="O688" s="366"/>
      <c r="P688" s="366"/>
      <c r="Q688" s="761" t="s">
        <v>485</v>
      </c>
      <c r="R688" s="1452"/>
      <c r="S688" s="308"/>
      <c r="T688" s="308"/>
      <c r="U688" s="308"/>
      <c r="V688" s="308"/>
      <c r="W688" s="308"/>
      <c r="X688" s="308"/>
      <c r="Y688" s="308"/>
      <c r="Z688" s="931">
        <f>I688</f>
        <v>533</v>
      </c>
      <c r="AA688" s="308"/>
      <c r="AB688" s="308"/>
      <c r="AC688" s="449"/>
      <c r="AD688" s="449"/>
      <c r="AE688" s="449"/>
      <c r="AF688" s="449"/>
      <c r="AG688" s="449"/>
      <c r="AH688" s="449"/>
      <c r="AI688" s="449"/>
      <c r="AJ688" s="449"/>
      <c r="AK688" s="452"/>
      <c r="AL688" s="104"/>
      <c r="AM688" s="32"/>
      <c r="AN688" s="32"/>
      <c r="AO688" s="32"/>
      <c r="AP688" s="32"/>
      <c r="AQ688" s="32"/>
      <c r="AR688" s="32"/>
      <c r="AS688" s="31"/>
      <c r="AT688" s="22"/>
      <c r="AU688" s="22"/>
      <c r="AV688" s="22"/>
      <c r="AW688" s="22"/>
      <c r="AX688" s="22"/>
      <c r="AY688" s="22"/>
      <c r="AZ688" s="22"/>
      <c r="BA688" s="22"/>
      <c r="BB688" s="22"/>
      <c r="BC688" s="22"/>
      <c r="BD688" s="22"/>
      <c r="BE688" s="22"/>
      <c r="BF688" s="22"/>
      <c r="BG688" s="22"/>
      <c r="BH688" s="22"/>
      <c r="BI688" s="22"/>
      <c r="BJ688" s="22"/>
      <c r="BK688" s="22"/>
      <c r="BL688" s="22"/>
      <c r="BM688" s="22"/>
      <c r="BN688" s="22"/>
      <c r="BO688" s="22"/>
      <c r="BP688" s="25"/>
      <c r="BQ688" s="25"/>
      <c r="BR688" s="25"/>
      <c r="BS688" s="25"/>
      <c r="BT688" s="25"/>
      <c r="BU688" s="25"/>
      <c r="BV688" s="25"/>
      <c r="BW688" s="25"/>
      <c r="BX688" s="25"/>
      <c r="BY688" s="25"/>
      <c r="BZ688" s="25"/>
      <c r="CA688" s="25"/>
      <c r="CB688" s="25"/>
      <c r="CC688" s="25"/>
      <c r="CD688" s="25"/>
      <c r="CE688" s="25"/>
      <c r="CF688" s="25"/>
      <c r="CG688" s="25"/>
      <c r="CH688" s="25"/>
      <c r="CI688" s="25"/>
      <c r="CJ688" s="25"/>
      <c r="CK688" s="25"/>
      <c r="CL688" s="25"/>
      <c r="CM688" s="25"/>
      <c r="CN688" s="25"/>
      <c r="CO688" s="25"/>
      <c r="CP688" s="25"/>
      <c r="CQ688" s="25"/>
      <c r="CR688" s="25"/>
      <c r="CS688" s="25"/>
      <c r="CT688" s="25"/>
      <c r="CU688" s="25"/>
      <c r="CV688" s="25"/>
      <c r="CW688" s="25"/>
      <c r="CX688" s="25"/>
      <c r="CY688" s="25"/>
      <c r="CZ688" s="25"/>
      <c r="DA688" s="25"/>
      <c r="DB688" s="25"/>
      <c r="DC688" s="25"/>
      <c r="DD688" s="25"/>
      <c r="DE688" s="25"/>
      <c r="DF688" s="25"/>
      <c r="DG688" s="25"/>
      <c r="DH688" s="25"/>
      <c r="DI688" s="25"/>
      <c r="DJ688" s="25"/>
      <c r="DK688" s="25"/>
      <c r="DL688" s="25"/>
      <c r="DM688" s="25"/>
      <c r="DN688" s="25"/>
      <c r="DO688" s="25"/>
      <c r="DP688" s="25"/>
      <c r="DQ688" s="25"/>
      <c r="DR688" s="25"/>
      <c r="DS688" s="25"/>
      <c r="DT688" s="25"/>
      <c r="DU688" s="25"/>
      <c r="DV688" s="25"/>
      <c r="DW688" s="25"/>
      <c r="DX688" s="25"/>
      <c r="DY688" s="25"/>
      <c r="DZ688" s="25"/>
      <c r="EA688" s="25"/>
      <c r="EB688" s="25"/>
      <c r="EC688" s="25"/>
      <c r="ED688" s="25"/>
      <c r="EE688" s="25"/>
      <c r="EF688" s="25"/>
      <c r="EG688" s="25"/>
      <c r="EH688" s="25"/>
      <c r="EI688" s="25"/>
      <c r="EJ688" s="25"/>
      <c r="EK688" s="25"/>
      <c r="EL688" s="25"/>
      <c r="EM688" s="25"/>
      <c r="EN688" s="25"/>
      <c r="EO688" s="25"/>
      <c r="EP688" s="25"/>
      <c r="EQ688" s="25"/>
      <c r="ER688" s="25"/>
      <c r="ES688" s="25"/>
      <c r="ET688" s="25"/>
      <c r="EU688" s="25"/>
      <c r="EV688" s="25"/>
      <c r="EW688" s="25"/>
      <c r="EX688" s="25"/>
      <c r="EY688" s="25"/>
      <c r="EZ688" s="25"/>
      <c r="FA688" s="25"/>
      <c r="FB688" s="25"/>
      <c r="FC688" s="25"/>
      <c r="FD688" s="25"/>
      <c r="FE688" s="25"/>
      <c r="FF688" s="25"/>
      <c r="FG688" s="25"/>
      <c r="FH688" s="25"/>
      <c r="FI688" s="25"/>
      <c r="FJ688" s="25"/>
      <c r="FK688" s="25"/>
      <c r="FL688" s="25"/>
      <c r="FM688" s="25"/>
      <c r="FN688" s="25"/>
      <c r="FO688" s="25"/>
      <c r="FP688" s="25"/>
      <c r="FQ688" s="25"/>
      <c r="FR688" s="25"/>
      <c r="FS688" s="25"/>
      <c r="FT688" s="25"/>
      <c r="FU688" s="25"/>
      <c r="FV688" s="25"/>
      <c r="FW688" s="25"/>
      <c r="FX688" s="25"/>
      <c r="FY688" s="25"/>
      <c r="FZ688" s="25"/>
      <c r="GA688" s="25"/>
      <c r="GB688" s="25"/>
      <c r="GC688" s="25"/>
      <c r="GD688" s="25"/>
      <c r="GE688" s="25"/>
      <c r="GF688" s="25"/>
      <c r="GG688" s="25"/>
      <c r="GH688" s="25"/>
      <c r="GI688" s="25"/>
      <c r="GJ688" s="25"/>
      <c r="GK688" s="25"/>
      <c r="GL688" s="25"/>
      <c r="GM688" s="25"/>
      <c r="GN688" s="25"/>
      <c r="GO688" s="25"/>
      <c r="GP688" s="25"/>
      <c r="GQ688" s="25"/>
      <c r="GR688" s="25"/>
      <c r="GS688" s="25"/>
      <c r="GT688" s="25"/>
      <c r="GU688" s="25"/>
      <c r="GV688" s="25"/>
      <c r="GW688" s="25"/>
      <c r="GX688" s="25"/>
      <c r="GY688" s="25"/>
      <c r="GZ688" s="25"/>
      <c r="HA688" s="25"/>
      <c r="HB688" s="25"/>
      <c r="HC688" s="25"/>
      <c r="HD688" s="25"/>
      <c r="HE688" s="25"/>
      <c r="HF688" s="25"/>
      <c r="HG688" s="25"/>
      <c r="HH688" s="25"/>
      <c r="HI688" s="25"/>
      <c r="HJ688" s="25"/>
      <c r="HK688" s="25"/>
      <c r="HL688" s="25"/>
      <c r="HM688" s="25"/>
      <c r="HN688" s="25"/>
      <c r="HO688" s="25"/>
      <c r="HP688" s="25"/>
      <c r="HQ688" s="25"/>
      <c r="HR688" s="25"/>
      <c r="HS688" s="25"/>
      <c r="HT688" s="25"/>
      <c r="HU688" s="25"/>
      <c r="HV688" s="25"/>
      <c r="HW688" s="25"/>
      <c r="HX688" s="25"/>
      <c r="HY688" s="25"/>
      <c r="HZ688" s="25"/>
      <c r="IA688" s="25"/>
      <c r="IB688" s="25"/>
      <c r="IC688" s="25"/>
      <c r="ID688" s="25"/>
      <c r="IE688" s="25"/>
      <c r="IF688" s="25"/>
      <c r="IG688" s="25"/>
      <c r="IH688" s="25"/>
      <c r="II688" s="25"/>
      <c r="IJ688" s="25"/>
      <c r="IK688" s="25"/>
      <c r="IL688" s="25"/>
      <c r="IM688" s="25"/>
      <c r="IN688" s="25"/>
      <c r="IO688" s="25"/>
      <c r="IP688" s="25"/>
      <c r="IQ688" s="25"/>
      <c r="IR688" s="25"/>
      <c r="IS688" s="25"/>
      <c r="IT688" s="25"/>
      <c r="IU688" s="25"/>
      <c r="IV688" s="25"/>
      <c r="IW688" s="25"/>
      <c r="IX688" s="25"/>
      <c r="IY688" s="25"/>
      <c r="IZ688" s="25"/>
      <c r="JA688" s="25"/>
      <c r="JB688" s="25"/>
      <c r="JC688" s="25"/>
      <c r="JD688" s="25"/>
      <c r="JE688" s="25"/>
      <c r="JF688" s="25"/>
      <c r="JG688" s="25"/>
      <c r="JH688" s="25"/>
      <c r="JI688" s="25"/>
      <c r="JJ688" s="25"/>
      <c r="JK688" s="25"/>
      <c r="JL688" s="25"/>
      <c r="JM688" s="25"/>
      <c r="JN688" s="25"/>
      <c r="JO688" s="25"/>
      <c r="JP688" s="25"/>
      <c r="JQ688" s="25"/>
      <c r="JR688" s="25"/>
      <c r="JS688" s="25"/>
      <c r="JT688" s="25"/>
      <c r="JU688" s="25"/>
      <c r="JV688" s="25"/>
      <c r="JW688" s="25"/>
      <c r="JX688" s="25"/>
      <c r="JY688" s="25"/>
      <c r="JZ688" s="25"/>
      <c r="KA688" s="25"/>
      <c r="KB688" s="25"/>
      <c r="KC688" s="25"/>
      <c r="KD688" s="25"/>
      <c r="KE688" s="25"/>
      <c r="KF688" s="25"/>
      <c r="KG688" s="25"/>
      <c r="KH688" s="25"/>
      <c r="KI688" s="25"/>
      <c r="KJ688" s="25"/>
      <c r="KK688" s="25"/>
      <c r="KL688" s="25"/>
      <c r="KM688" s="25"/>
      <c r="KN688" s="25"/>
      <c r="KO688" s="25"/>
      <c r="KP688" s="25"/>
      <c r="KQ688" s="25"/>
      <c r="KR688" s="25"/>
      <c r="KS688" s="25"/>
      <c r="KT688" s="25"/>
      <c r="KU688" s="25"/>
      <c r="KV688" s="25"/>
      <c r="KW688" s="25"/>
      <c r="KX688" s="25"/>
      <c r="KY688" s="25"/>
      <c r="KZ688" s="25"/>
      <c r="LA688" s="25"/>
      <c r="LB688" s="25"/>
      <c r="LC688" s="25"/>
      <c r="LD688" s="25"/>
      <c r="LE688" s="25"/>
      <c r="LF688" s="25"/>
      <c r="LG688" s="25"/>
      <c r="LH688" s="25"/>
      <c r="LI688" s="25"/>
      <c r="LJ688" s="25"/>
      <c r="LK688" s="25"/>
      <c r="LL688" s="25"/>
      <c r="LM688" s="25"/>
      <c r="LN688" s="25"/>
      <c r="LO688" s="25"/>
      <c r="LP688" s="25"/>
      <c r="LQ688" s="25"/>
      <c r="LR688" s="25"/>
      <c r="LS688" s="25"/>
      <c r="LT688" s="25"/>
      <c r="LU688" s="25"/>
      <c r="LV688" s="25"/>
      <c r="LW688" s="25"/>
      <c r="LX688" s="25"/>
      <c r="LY688" s="25"/>
      <c r="LZ688" s="25"/>
      <c r="MA688" s="25"/>
      <c r="MB688" s="25"/>
      <c r="MC688" s="25"/>
      <c r="MD688" s="25"/>
      <c r="ME688" s="25"/>
      <c r="MF688" s="25"/>
      <c r="MG688" s="25"/>
      <c r="MH688" s="25"/>
      <c r="MI688" s="25"/>
      <c r="MJ688" s="25"/>
      <c r="MK688" s="25"/>
      <c r="ML688" s="25"/>
      <c r="MM688" s="25"/>
      <c r="MN688" s="25"/>
      <c r="MO688" s="25"/>
      <c r="MP688" s="25"/>
      <c r="MQ688" s="25"/>
      <c r="MR688" s="25"/>
      <c r="MS688" s="25"/>
      <c r="MT688" s="25"/>
      <c r="MU688" s="25"/>
      <c r="MV688" s="25"/>
      <c r="MW688" s="25"/>
      <c r="MX688" s="25"/>
      <c r="MY688" s="25"/>
      <c r="MZ688" s="25"/>
      <c r="NA688" s="25"/>
      <c r="NB688" s="25"/>
      <c r="NC688" s="25"/>
      <c r="ND688" s="25"/>
      <c r="NE688" s="25"/>
      <c r="NF688" s="25"/>
      <c r="NG688" s="25"/>
      <c r="NH688" s="25"/>
      <c r="NI688" s="25"/>
      <c r="NJ688" s="25"/>
      <c r="NK688" s="25"/>
      <c r="NL688" s="25"/>
      <c r="NM688" s="25"/>
      <c r="NN688" s="25"/>
      <c r="NO688" s="25"/>
      <c r="NP688" s="25"/>
      <c r="NQ688" s="25"/>
      <c r="NR688" s="25"/>
      <c r="NS688" s="25"/>
      <c r="NT688" s="25"/>
      <c r="NU688" s="25"/>
      <c r="NV688" s="25"/>
      <c r="NW688" s="25"/>
      <c r="NX688" s="25"/>
      <c r="NY688" s="25"/>
      <c r="NZ688" s="25"/>
      <c r="OA688" s="25"/>
      <c r="OB688" s="25"/>
      <c r="OC688" s="25"/>
      <c r="OD688" s="25"/>
      <c r="OE688" s="25"/>
      <c r="OF688" s="25"/>
      <c r="OG688" s="25"/>
      <c r="OH688" s="25"/>
      <c r="OI688" s="25"/>
      <c r="OJ688" s="25"/>
      <c r="OK688" s="25"/>
      <c r="OL688" s="25"/>
      <c r="OM688" s="25"/>
      <c r="ON688" s="25"/>
      <c r="OO688" s="25"/>
      <c r="OP688" s="25"/>
      <c r="OQ688" s="25"/>
      <c r="OR688" s="25"/>
      <c r="OS688" s="25"/>
      <c r="OT688" s="25"/>
      <c r="OU688" s="25"/>
      <c r="OV688" s="25"/>
      <c r="OW688" s="25"/>
      <c r="OX688" s="25"/>
      <c r="OY688" s="25"/>
      <c r="OZ688" s="25"/>
      <c r="PA688" s="25"/>
      <c r="PB688" s="25"/>
      <c r="PC688" s="25"/>
      <c r="PD688" s="25"/>
      <c r="PE688" s="25"/>
      <c r="PF688" s="25"/>
      <c r="PG688" s="25"/>
      <c r="PH688" s="25"/>
      <c r="PI688" s="25"/>
      <c r="PJ688" s="25"/>
      <c r="PK688" s="25"/>
      <c r="PL688" s="25"/>
      <c r="PM688" s="25"/>
      <c r="PN688" s="25"/>
      <c r="PO688" s="25"/>
      <c r="PP688" s="25"/>
      <c r="PQ688" s="25"/>
      <c r="PR688" s="25"/>
      <c r="PS688" s="25"/>
      <c r="PT688" s="25"/>
      <c r="PU688" s="25"/>
      <c r="PV688" s="25"/>
      <c r="PW688" s="25"/>
      <c r="PX688" s="25"/>
      <c r="PY688" s="25"/>
      <c r="PZ688" s="25"/>
      <c r="QA688" s="25"/>
      <c r="QB688" s="25"/>
      <c r="QC688" s="25"/>
      <c r="QD688" s="25"/>
      <c r="QE688" s="25"/>
      <c r="QF688" s="25"/>
      <c r="QG688" s="25"/>
      <c r="QH688" s="25"/>
      <c r="QI688" s="25"/>
      <c r="QJ688" s="25"/>
      <c r="QK688" s="25"/>
      <c r="QL688" s="25"/>
      <c r="QM688" s="25"/>
      <c r="QN688" s="25"/>
      <c r="QO688" s="25"/>
      <c r="QP688" s="25"/>
      <c r="QQ688" s="25"/>
      <c r="QR688" s="25"/>
      <c r="QS688" s="25"/>
      <c r="QT688" s="25"/>
      <c r="QU688" s="25"/>
      <c r="QV688" s="25"/>
      <c r="QW688" s="25"/>
      <c r="QX688" s="25"/>
      <c r="QY688" s="25"/>
      <c r="QZ688" s="25"/>
      <c r="RA688" s="25"/>
      <c r="RB688" s="25"/>
      <c r="RC688" s="25"/>
      <c r="RD688" s="25"/>
      <c r="RE688" s="25"/>
      <c r="RF688" s="25"/>
      <c r="RG688" s="25"/>
      <c r="RH688" s="25"/>
      <c r="RI688" s="25"/>
      <c r="RJ688" s="25"/>
      <c r="RK688" s="25"/>
      <c r="RL688" s="25"/>
      <c r="RM688" s="25"/>
      <c r="RN688" s="25"/>
      <c r="RO688" s="25"/>
      <c r="RP688" s="25"/>
      <c r="RQ688" s="25"/>
      <c r="RR688" s="25"/>
      <c r="RS688" s="25"/>
      <c r="RT688" s="25"/>
      <c r="RU688" s="25"/>
      <c r="RV688" s="25"/>
      <c r="RW688" s="25"/>
      <c r="RX688" s="25"/>
      <c r="RY688" s="25"/>
      <c r="RZ688" s="25"/>
      <c r="SA688" s="25"/>
      <c r="SB688" s="25"/>
      <c r="SC688" s="25"/>
      <c r="SD688" s="25"/>
      <c r="SE688" s="25"/>
      <c r="SF688" s="25"/>
      <c r="SG688" s="25"/>
      <c r="SH688" s="25"/>
      <c r="SI688" s="25"/>
      <c r="SJ688" s="25"/>
      <c r="SK688" s="25"/>
      <c r="SL688" s="25"/>
      <c r="SM688" s="25"/>
      <c r="SN688" s="25"/>
      <c r="SO688" s="25"/>
      <c r="SP688" s="25"/>
      <c r="SQ688" s="25"/>
      <c r="SR688" s="25"/>
      <c r="SS688" s="25"/>
      <c r="ST688" s="25"/>
      <c r="SU688" s="25"/>
      <c r="SV688" s="25"/>
      <c r="SW688" s="25"/>
      <c r="SX688" s="25"/>
      <c r="SY688" s="25"/>
      <c r="SZ688" s="25"/>
      <c r="TA688" s="25"/>
      <c r="TB688" s="25"/>
      <c r="TC688" s="25"/>
      <c r="TD688" s="25"/>
      <c r="TE688" s="25"/>
      <c r="TF688" s="25"/>
      <c r="TG688" s="25"/>
      <c r="TH688" s="25"/>
      <c r="TI688" s="25"/>
      <c r="TJ688" s="25"/>
      <c r="TK688" s="25"/>
      <c r="TL688" s="25"/>
      <c r="TM688" s="25"/>
      <c r="TN688" s="25"/>
      <c r="TO688" s="25"/>
      <c r="TP688" s="25"/>
      <c r="TQ688" s="25"/>
      <c r="TR688" s="25"/>
      <c r="TS688" s="25"/>
      <c r="TT688" s="25"/>
      <c r="TU688" s="25"/>
      <c r="TV688" s="25"/>
      <c r="TW688" s="25"/>
      <c r="TX688" s="25"/>
      <c r="TY688" s="25"/>
      <c r="TZ688" s="25"/>
      <c r="UA688" s="25"/>
      <c r="UB688" s="25"/>
      <c r="UC688" s="25"/>
      <c r="UD688" s="25"/>
      <c r="UE688" s="25"/>
      <c r="UF688" s="25"/>
      <c r="UG688" s="26"/>
    </row>
    <row r="689" spans="1:553" ht="207" customHeight="1">
      <c r="A689" s="356"/>
      <c r="B689" s="385"/>
      <c r="C689" s="384" t="s">
        <v>69</v>
      </c>
      <c r="D689" s="376" t="s">
        <v>20</v>
      </c>
      <c r="E689" s="376" t="s">
        <v>486</v>
      </c>
      <c r="F689" s="385">
        <v>1</v>
      </c>
      <c r="G689" s="396" t="s">
        <v>33</v>
      </c>
      <c r="H689" s="387">
        <v>458.5</v>
      </c>
      <c r="I689" s="490">
        <v>458.5</v>
      </c>
      <c r="J689" s="477">
        <v>55000</v>
      </c>
      <c r="K689" s="391"/>
      <c r="L689" s="480">
        <f t="shared" si="110"/>
        <v>25217500</v>
      </c>
      <c r="M689" s="392"/>
      <c r="N689" s="392"/>
      <c r="O689" s="366"/>
      <c r="P689" s="366"/>
      <c r="Q689" s="761" t="s">
        <v>480</v>
      </c>
      <c r="R689" s="1452"/>
      <c r="S689" s="308"/>
      <c r="T689" s="308"/>
      <c r="U689" s="308"/>
      <c r="V689" s="308"/>
      <c r="W689" s="308"/>
      <c r="X689" s="685">
        <f>I689</f>
        <v>458.5</v>
      </c>
      <c r="Y689" s="308"/>
      <c r="Z689" s="604"/>
      <c r="AA689" s="308"/>
      <c r="AB689" s="308"/>
      <c r="AC689" s="449"/>
      <c r="AD689" s="449"/>
      <c r="AE689" s="449"/>
      <c r="AF689" s="449"/>
      <c r="AG689" s="449"/>
      <c r="AH689" s="449"/>
      <c r="AI689" s="449"/>
      <c r="AJ689" s="449"/>
      <c r="AK689" s="452"/>
      <c r="AL689" s="104"/>
      <c r="AM689" s="32"/>
      <c r="AN689" s="32"/>
      <c r="AO689" s="32"/>
      <c r="AP689" s="32"/>
      <c r="AQ689" s="32"/>
      <c r="AR689" s="32"/>
      <c r="AS689" s="31"/>
      <c r="AT689" s="22"/>
      <c r="AU689" s="22"/>
      <c r="AV689" s="22"/>
      <c r="AW689" s="22"/>
      <c r="AX689" s="22"/>
      <c r="AY689" s="22"/>
      <c r="AZ689" s="22"/>
      <c r="BA689" s="22"/>
      <c r="BB689" s="22"/>
      <c r="BC689" s="22"/>
      <c r="BD689" s="22"/>
      <c r="BE689" s="22"/>
      <c r="BF689" s="22"/>
      <c r="BG689" s="22"/>
      <c r="BH689" s="22"/>
      <c r="BI689" s="22"/>
      <c r="BJ689" s="22"/>
      <c r="BK689" s="22"/>
      <c r="BL689" s="22"/>
      <c r="BM689" s="22"/>
      <c r="BN689" s="22"/>
      <c r="BO689" s="22"/>
      <c r="BP689" s="25"/>
      <c r="BQ689" s="25"/>
      <c r="BR689" s="25"/>
      <c r="BS689" s="25"/>
      <c r="BT689" s="25"/>
      <c r="BU689" s="25"/>
      <c r="BV689" s="25"/>
      <c r="BW689" s="25"/>
      <c r="BX689" s="25"/>
      <c r="BY689" s="25"/>
      <c r="BZ689" s="25"/>
      <c r="CA689" s="25"/>
      <c r="CB689" s="25"/>
      <c r="CC689" s="25"/>
      <c r="CD689" s="25"/>
      <c r="CE689" s="25"/>
      <c r="CF689" s="25"/>
      <c r="CG689" s="25"/>
      <c r="CH689" s="25"/>
      <c r="CI689" s="25"/>
      <c r="CJ689" s="25"/>
      <c r="CK689" s="25"/>
      <c r="CL689" s="25"/>
      <c r="CM689" s="25"/>
      <c r="CN689" s="25"/>
      <c r="CO689" s="25"/>
      <c r="CP689" s="25"/>
      <c r="CQ689" s="25"/>
      <c r="CR689" s="25"/>
      <c r="CS689" s="25"/>
      <c r="CT689" s="25"/>
      <c r="CU689" s="25"/>
      <c r="CV689" s="25"/>
      <c r="CW689" s="25"/>
      <c r="CX689" s="25"/>
      <c r="CY689" s="25"/>
      <c r="CZ689" s="25"/>
      <c r="DA689" s="25"/>
      <c r="DB689" s="25"/>
      <c r="DC689" s="25"/>
      <c r="DD689" s="25"/>
      <c r="DE689" s="25"/>
      <c r="DF689" s="25"/>
      <c r="DG689" s="25"/>
      <c r="DH689" s="25"/>
      <c r="DI689" s="25"/>
      <c r="DJ689" s="25"/>
      <c r="DK689" s="25"/>
      <c r="DL689" s="25"/>
      <c r="DM689" s="25"/>
      <c r="DN689" s="25"/>
      <c r="DO689" s="25"/>
      <c r="DP689" s="25"/>
      <c r="DQ689" s="25"/>
      <c r="DR689" s="25"/>
      <c r="DS689" s="25"/>
      <c r="DT689" s="25"/>
      <c r="DU689" s="25"/>
      <c r="DV689" s="25"/>
      <c r="DW689" s="25"/>
      <c r="DX689" s="25"/>
      <c r="DY689" s="25"/>
      <c r="DZ689" s="25"/>
      <c r="EA689" s="25"/>
      <c r="EB689" s="25"/>
      <c r="EC689" s="25"/>
      <c r="ED689" s="25"/>
      <c r="EE689" s="25"/>
      <c r="EF689" s="25"/>
      <c r="EG689" s="25"/>
      <c r="EH689" s="25"/>
      <c r="EI689" s="25"/>
      <c r="EJ689" s="25"/>
      <c r="EK689" s="25"/>
      <c r="EL689" s="25"/>
      <c r="EM689" s="25"/>
      <c r="EN689" s="25"/>
      <c r="EO689" s="25"/>
      <c r="EP689" s="25"/>
      <c r="EQ689" s="25"/>
      <c r="ER689" s="25"/>
      <c r="ES689" s="25"/>
      <c r="ET689" s="25"/>
      <c r="EU689" s="25"/>
      <c r="EV689" s="25"/>
      <c r="EW689" s="25"/>
      <c r="EX689" s="25"/>
      <c r="EY689" s="25"/>
      <c r="EZ689" s="25"/>
      <c r="FA689" s="25"/>
      <c r="FB689" s="25"/>
      <c r="FC689" s="25"/>
      <c r="FD689" s="25"/>
      <c r="FE689" s="25"/>
      <c r="FF689" s="25"/>
      <c r="FG689" s="25"/>
      <c r="FH689" s="25"/>
      <c r="FI689" s="25"/>
      <c r="FJ689" s="25"/>
      <c r="FK689" s="25"/>
      <c r="FL689" s="25"/>
      <c r="FM689" s="25"/>
      <c r="FN689" s="25"/>
      <c r="FO689" s="25"/>
      <c r="FP689" s="25"/>
      <c r="FQ689" s="25"/>
      <c r="FR689" s="25"/>
      <c r="FS689" s="25"/>
      <c r="FT689" s="25"/>
      <c r="FU689" s="25"/>
      <c r="FV689" s="25"/>
      <c r="FW689" s="25"/>
      <c r="FX689" s="25"/>
      <c r="FY689" s="25"/>
      <c r="FZ689" s="25"/>
      <c r="GA689" s="25"/>
      <c r="GB689" s="25"/>
      <c r="GC689" s="25"/>
      <c r="GD689" s="25"/>
      <c r="GE689" s="25"/>
      <c r="GF689" s="25"/>
      <c r="GG689" s="25"/>
      <c r="GH689" s="25"/>
      <c r="GI689" s="25"/>
      <c r="GJ689" s="25"/>
      <c r="GK689" s="25"/>
      <c r="GL689" s="25"/>
      <c r="GM689" s="25"/>
      <c r="GN689" s="25"/>
      <c r="GO689" s="25"/>
      <c r="GP689" s="25"/>
      <c r="GQ689" s="25"/>
      <c r="GR689" s="25"/>
      <c r="GS689" s="25"/>
      <c r="GT689" s="25"/>
      <c r="GU689" s="25"/>
      <c r="GV689" s="25"/>
      <c r="GW689" s="25"/>
      <c r="GX689" s="25"/>
      <c r="GY689" s="25"/>
      <c r="GZ689" s="25"/>
      <c r="HA689" s="25"/>
      <c r="HB689" s="25"/>
      <c r="HC689" s="25"/>
      <c r="HD689" s="25"/>
      <c r="HE689" s="25"/>
      <c r="HF689" s="25"/>
      <c r="HG689" s="25"/>
      <c r="HH689" s="25"/>
      <c r="HI689" s="25"/>
      <c r="HJ689" s="25"/>
      <c r="HK689" s="25"/>
      <c r="HL689" s="25"/>
      <c r="HM689" s="25"/>
      <c r="HN689" s="25"/>
      <c r="HO689" s="25"/>
      <c r="HP689" s="25"/>
      <c r="HQ689" s="25"/>
      <c r="HR689" s="25"/>
      <c r="HS689" s="25"/>
      <c r="HT689" s="25"/>
      <c r="HU689" s="25"/>
      <c r="HV689" s="25"/>
      <c r="HW689" s="25"/>
      <c r="HX689" s="25"/>
      <c r="HY689" s="25"/>
      <c r="HZ689" s="25"/>
      <c r="IA689" s="25"/>
      <c r="IB689" s="25"/>
      <c r="IC689" s="25"/>
      <c r="ID689" s="25"/>
      <c r="IE689" s="25"/>
      <c r="IF689" s="25"/>
      <c r="IG689" s="25"/>
      <c r="IH689" s="25"/>
      <c r="II689" s="25"/>
      <c r="IJ689" s="25"/>
      <c r="IK689" s="25"/>
      <c r="IL689" s="25"/>
      <c r="IM689" s="25"/>
      <c r="IN689" s="25"/>
      <c r="IO689" s="25"/>
      <c r="IP689" s="25"/>
      <c r="IQ689" s="25"/>
      <c r="IR689" s="25"/>
      <c r="IS689" s="25"/>
      <c r="IT689" s="25"/>
      <c r="IU689" s="25"/>
      <c r="IV689" s="25"/>
      <c r="IW689" s="25"/>
      <c r="IX689" s="25"/>
      <c r="IY689" s="25"/>
      <c r="IZ689" s="25"/>
      <c r="JA689" s="25"/>
      <c r="JB689" s="25"/>
      <c r="JC689" s="25"/>
      <c r="JD689" s="25"/>
      <c r="JE689" s="25"/>
      <c r="JF689" s="25"/>
      <c r="JG689" s="25"/>
      <c r="JH689" s="25"/>
      <c r="JI689" s="25"/>
      <c r="JJ689" s="25"/>
      <c r="JK689" s="25"/>
      <c r="JL689" s="25"/>
      <c r="JM689" s="25"/>
      <c r="JN689" s="25"/>
      <c r="JO689" s="25"/>
      <c r="JP689" s="25"/>
      <c r="JQ689" s="25"/>
      <c r="JR689" s="25"/>
      <c r="JS689" s="25"/>
      <c r="JT689" s="25"/>
      <c r="JU689" s="25"/>
      <c r="JV689" s="25"/>
      <c r="JW689" s="25"/>
      <c r="JX689" s="25"/>
      <c r="JY689" s="25"/>
      <c r="JZ689" s="25"/>
      <c r="KA689" s="25"/>
      <c r="KB689" s="25"/>
      <c r="KC689" s="25"/>
      <c r="KD689" s="25"/>
      <c r="KE689" s="25"/>
      <c r="KF689" s="25"/>
      <c r="KG689" s="25"/>
      <c r="KH689" s="25"/>
      <c r="KI689" s="25"/>
      <c r="KJ689" s="25"/>
      <c r="KK689" s="25"/>
      <c r="KL689" s="25"/>
      <c r="KM689" s="25"/>
      <c r="KN689" s="25"/>
      <c r="KO689" s="25"/>
      <c r="KP689" s="25"/>
      <c r="KQ689" s="25"/>
      <c r="KR689" s="25"/>
      <c r="KS689" s="25"/>
      <c r="KT689" s="25"/>
      <c r="KU689" s="25"/>
      <c r="KV689" s="25"/>
      <c r="KW689" s="25"/>
      <c r="KX689" s="25"/>
      <c r="KY689" s="25"/>
      <c r="KZ689" s="25"/>
      <c r="LA689" s="25"/>
      <c r="LB689" s="25"/>
      <c r="LC689" s="25"/>
      <c r="LD689" s="25"/>
      <c r="LE689" s="25"/>
      <c r="LF689" s="25"/>
      <c r="LG689" s="25"/>
      <c r="LH689" s="25"/>
      <c r="LI689" s="25"/>
      <c r="LJ689" s="25"/>
      <c r="LK689" s="25"/>
      <c r="LL689" s="25"/>
      <c r="LM689" s="25"/>
      <c r="LN689" s="25"/>
      <c r="LO689" s="25"/>
      <c r="LP689" s="25"/>
      <c r="LQ689" s="25"/>
      <c r="LR689" s="25"/>
      <c r="LS689" s="25"/>
      <c r="LT689" s="25"/>
      <c r="LU689" s="25"/>
      <c r="LV689" s="25"/>
      <c r="LW689" s="25"/>
      <c r="LX689" s="25"/>
      <c r="LY689" s="25"/>
      <c r="LZ689" s="25"/>
      <c r="MA689" s="25"/>
      <c r="MB689" s="25"/>
      <c r="MC689" s="25"/>
      <c r="MD689" s="25"/>
      <c r="ME689" s="25"/>
      <c r="MF689" s="25"/>
      <c r="MG689" s="25"/>
      <c r="MH689" s="25"/>
      <c r="MI689" s="25"/>
      <c r="MJ689" s="25"/>
      <c r="MK689" s="25"/>
      <c r="ML689" s="25"/>
      <c r="MM689" s="25"/>
      <c r="MN689" s="25"/>
      <c r="MO689" s="25"/>
      <c r="MP689" s="25"/>
      <c r="MQ689" s="25"/>
      <c r="MR689" s="25"/>
      <c r="MS689" s="25"/>
      <c r="MT689" s="25"/>
      <c r="MU689" s="25"/>
      <c r="MV689" s="25"/>
      <c r="MW689" s="25"/>
      <c r="MX689" s="25"/>
      <c r="MY689" s="25"/>
      <c r="MZ689" s="25"/>
      <c r="NA689" s="25"/>
      <c r="NB689" s="25"/>
      <c r="NC689" s="25"/>
      <c r="ND689" s="25"/>
      <c r="NE689" s="25"/>
      <c r="NF689" s="25"/>
      <c r="NG689" s="25"/>
      <c r="NH689" s="25"/>
      <c r="NI689" s="25"/>
      <c r="NJ689" s="25"/>
      <c r="NK689" s="25"/>
      <c r="NL689" s="25"/>
      <c r="NM689" s="25"/>
      <c r="NN689" s="25"/>
      <c r="NO689" s="25"/>
      <c r="NP689" s="25"/>
      <c r="NQ689" s="25"/>
      <c r="NR689" s="25"/>
      <c r="NS689" s="25"/>
      <c r="NT689" s="25"/>
      <c r="NU689" s="25"/>
      <c r="NV689" s="25"/>
      <c r="NW689" s="25"/>
      <c r="NX689" s="25"/>
      <c r="NY689" s="25"/>
      <c r="NZ689" s="25"/>
      <c r="OA689" s="25"/>
      <c r="OB689" s="25"/>
      <c r="OC689" s="25"/>
      <c r="OD689" s="25"/>
      <c r="OE689" s="25"/>
      <c r="OF689" s="25"/>
      <c r="OG689" s="25"/>
      <c r="OH689" s="25"/>
      <c r="OI689" s="25"/>
      <c r="OJ689" s="25"/>
      <c r="OK689" s="25"/>
      <c r="OL689" s="25"/>
      <c r="OM689" s="25"/>
      <c r="ON689" s="25"/>
      <c r="OO689" s="25"/>
      <c r="OP689" s="25"/>
      <c r="OQ689" s="25"/>
      <c r="OR689" s="25"/>
      <c r="OS689" s="25"/>
      <c r="OT689" s="25"/>
      <c r="OU689" s="25"/>
      <c r="OV689" s="25"/>
      <c r="OW689" s="25"/>
      <c r="OX689" s="25"/>
      <c r="OY689" s="25"/>
      <c r="OZ689" s="25"/>
      <c r="PA689" s="25"/>
      <c r="PB689" s="25"/>
      <c r="PC689" s="25"/>
      <c r="PD689" s="25"/>
      <c r="PE689" s="25"/>
      <c r="PF689" s="25"/>
      <c r="PG689" s="25"/>
      <c r="PH689" s="25"/>
      <c r="PI689" s="25"/>
      <c r="PJ689" s="25"/>
      <c r="PK689" s="25"/>
      <c r="PL689" s="25"/>
      <c r="PM689" s="25"/>
      <c r="PN689" s="25"/>
      <c r="PO689" s="25"/>
      <c r="PP689" s="25"/>
      <c r="PQ689" s="25"/>
      <c r="PR689" s="25"/>
      <c r="PS689" s="25"/>
      <c r="PT689" s="25"/>
      <c r="PU689" s="25"/>
      <c r="PV689" s="25"/>
      <c r="PW689" s="25"/>
      <c r="PX689" s="25"/>
      <c r="PY689" s="25"/>
      <c r="PZ689" s="25"/>
      <c r="QA689" s="25"/>
      <c r="QB689" s="25"/>
      <c r="QC689" s="25"/>
      <c r="QD689" s="25"/>
      <c r="QE689" s="25"/>
      <c r="QF689" s="25"/>
      <c r="QG689" s="25"/>
      <c r="QH689" s="25"/>
      <c r="QI689" s="25"/>
      <c r="QJ689" s="25"/>
      <c r="QK689" s="25"/>
      <c r="QL689" s="25"/>
      <c r="QM689" s="25"/>
      <c r="QN689" s="25"/>
      <c r="QO689" s="25"/>
      <c r="QP689" s="25"/>
      <c r="QQ689" s="25"/>
      <c r="QR689" s="25"/>
      <c r="QS689" s="25"/>
      <c r="QT689" s="25"/>
      <c r="QU689" s="25"/>
      <c r="QV689" s="25"/>
      <c r="QW689" s="25"/>
      <c r="QX689" s="25"/>
      <c r="QY689" s="25"/>
      <c r="QZ689" s="25"/>
      <c r="RA689" s="25"/>
      <c r="RB689" s="25"/>
      <c r="RC689" s="25"/>
      <c r="RD689" s="25"/>
      <c r="RE689" s="25"/>
      <c r="RF689" s="25"/>
      <c r="RG689" s="25"/>
      <c r="RH689" s="25"/>
      <c r="RI689" s="25"/>
      <c r="RJ689" s="25"/>
      <c r="RK689" s="25"/>
      <c r="RL689" s="25"/>
      <c r="RM689" s="25"/>
      <c r="RN689" s="25"/>
      <c r="RO689" s="25"/>
      <c r="RP689" s="25"/>
      <c r="RQ689" s="25"/>
      <c r="RR689" s="25"/>
      <c r="RS689" s="25"/>
      <c r="RT689" s="25"/>
      <c r="RU689" s="25"/>
      <c r="RV689" s="25"/>
      <c r="RW689" s="25"/>
      <c r="RX689" s="25"/>
      <c r="RY689" s="25"/>
      <c r="RZ689" s="25"/>
      <c r="SA689" s="25"/>
      <c r="SB689" s="25"/>
      <c r="SC689" s="25"/>
      <c r="SD689" s="25"/>
      <c r="SE689" s="25"/>
      <c r="SF689" s="25"/>
      <c r="SG689" s="25"/>
      <c r="SH689" s="25"/>
      <c r="SI689" s="25"/>
      <c r="SJ689" s="25"/>
      <c r="SK689" s="25"/>
      <c r="SL689" s="25"/>
      <c r="SM689" s="25"/>
      <c r="SN689" s="25"/>
      <c r="SO689" s="25"/>
      <c r="SP689" s="25"/>
      <c r="SQ689" s="25"/>
      <c r="SR689" s="25"/>
      <c r="SS689" s="25"/>
      <c r="ST689" s="25"/>
      <c r="SU689" s="25"/>
      <c r="SV689" s="25"/>
      <c r="SW689" s="25"/>
      <c r="SX689" s="25"/>
      <c r="SY689" s="25"/>
      <c r="SZ689" s="25"/>
      <c r="TA689" s="25"/>
      <c r="TB689" s="25"/>
      <c r="TC689" s="25"/>
      <c r="TD689" s="25"/>
      <c r="TE689" s="25"/>
      <c r="TF689" s="25"/>
      <c r="TG689" s="25"/>
      <c r="TH689" s="25"/>
      <c r="TI689" s="25"/>
      <c r="TJ689" s="25"/>
      <c r="TK689" s="25"/>
      <c r="TL689" s="25"/>
      <c r="TM689" s="25"/>
      <c r="TN689" s="25"/>
      <c r="TO689" s="25"/>
      <c r="TP689" s="25"/>
      <c r="TQ689" s="25"/>
      <c r="TR689" s="25"/>
      <c r="TS689" s="25"/>
      <c r="TT689" s="25"/>
      <c r="TU689" s="25"/>
      <c r="TV689" s="25"/>
      <c r="TW689" s="25"/>
      <c r="TX689" s="25"/>
      <c r="TY689" s="25"/>
      <c r="TZ689" s="25"/>
      <c r="UA689" s="25"/>
      <c r="UB689" s="25"/>
      <c r="UC689" s="25"/>
      <c r="UD689" s="25"/>
      <c r="UE689" s="25"/>
      <c r="UF689" s="25"/>
      <c r="UG689" s="26"/>
    </row>
    <row r="690" spans="1:553" ht="171" customHeight="1">
      <c r="A690" s="356"/>
      <c r="B690" s="385"/>
      <c r="C690" s="384" t="s">
        <v>69</v>
      </c>
      <c r="D690" s="376" t="s">
        <v>20</v>
      </c>
      <c r="E690" s="376" t="s">
        <v>487</v>
      </c>
      <c r="F690" s="385">
        <v>1</v>
      </c>
      <c r="G690" s="396" t="s">
        <v>33</v>
      </c>
      <c r="H690" s="387">
        <v>179</v>
      </c>
      <c r="I690" s="490">
        <v>179</v>
      </c>
      <c r="J690" s="477">
        <v>55000</v>
      </c>
      <c r="K690" s="391"/>
      <c r="L690" s="480">
        <f t="shared" si="110"/>
        <v>9845000</v>
      </c>
      <c r="M690" s="392"/>
      <c r="N690" s="392"/>
      <c r="O690" s="366"/>
      <c r="P690" s="366"/>
      <c r="Q690" s="761" t="s">
        <v>480</v>
      </c>
      <c r="R690" s="1452"/>
      <c r="S690" s="308"/>
      <c r="T690" s="308"/>
      <c r="U690" s="308"/>
      <c r="V690" s="308"/>
      <c r="W690" s="308"/>
      <c r="X690" s="685">
        <f>I690</f>
        <v>179</v>
      </c>
      <c r="Y690" s="308"/>
      <c r="Z690" s="604"/>
      <c r="AA690" s="308"/>
      <c r="AB690" s="308"/>
      <c r="AC690" s="449"/>
      <c r="AD690" s="449"/>
      <c r="AE690" s="449"/>
      <c r="AF690" s="449"/>
      <c r="AG690" s="449"/>
      <c r="AH690" s="449"/>
      <c r="AI690" s="449"/>
      <c r="AJ690" s="449"/>
      <c r="AK690" s="452"/>
      <c r="AL690" s="104"/>
      <c r="AM690" s="32"/>
      <c r="AN690" s="32"/>
      <c r="AO690" s="32"/>
      <c r="AP690" s="32"/>
      <c r="AQ690" s="32"/>
      <c r="AR690" s="32"/>
      <c r="AS690" s="31"/>
      <c r="AT690" s="22"/>
      <c r="AU690" s="22"/>
      <c r="AV690" s="22"/>
      <c r="AW690" s="22"/>
      <c r="AX690" s="22"/>
      <c r="AY690" s="22"/>
      <c r="AZ690" s="22"/>
      <c r="BA690" s="22"/>
      <c r="BB690" s="22"/>
      <c r="BC690" s="22"/>
      <c r="BD690" s="22"/>
      <c r="BE690" s="22"/>
      <c r="BF690" s="22"/>
      <c r="BG690" s="22"/>
      <c r="BH690" s="22"/>
      <c r="BI690" s="22"/>
      <c r="BJ690" s="22"/>
      <c r="BK690" s="22"/>
      <c r="BL690" s="22"/>
      <c r="BM690" s="22"/>
      <c r="BN690" s="22"/>
      <c r="BO690" s="22"/>
      <c r="BP690" s="25"/>
      <c r="BQ690" s="25"/>
      <c r="BR690" s="25"/>
      <c r="BS690" s="25"/>
      <c r="BT690" s="25"/>
      <c r="BU690" s="25"/>
      <c r="BV690" s="25"/>
      <c r="BW690" s="25"/>
      <c r="BX690" s="25"/>
      <c r="BY690" s="25"/>
      <c r="BZ690" s="25"/>
      <c r="CA690" s="25"/>
      <c r="CB690" s="25"/>
      <c r="CC690" s="25"/>
      <c r="CD690" s="25"/>
      <c r="CE690" s="25"/>
      <c r="CF690" s="25"/>
      <c r="CG690" s="25"/>
      <c r="CH690" s="25"/>
      <c r="CI690" s="25"/>
      <c r="CJ690" s="25"/>
      <c r="CK690" s="25"/>
      <c r="CL690" s="25"/>
      <c r="CM690" s="25"/>
      <c r="CN690" s="25"/>
      <c r="CO690" s="25"/>
      <c r="CP690" s="25"/>
      <c r="CQ690" s="25"/>
      <c r="CR690" s="25"/>
      <c r="CS690" s="25"/>
      <c r="CT690" s="25"/>
      <c r="CU690" s="25"/>
      <c r="CV690" s="25"/>
      <c r="CW690" s="25"/>
      <c r="CX690" s="25"/>
      <c r="CY690" s="25"/>
      <c r="CZ690" s="25"/>
      <c r="DA690" s="25"/>
      <c r="DB690" s="25"/>
      <c r="DC690" s="25"/>
      <c r="DD690" s="25"/>
      <c r="DE690" s="25"/>
      <c r="DF690" s="25"/>
      <c r="DG690" s="25"/>
      <c r="DH690" s="25"/>
      <c r="DI690" s="25"/>
      <c r="DJ690" s="25"/>
      <c r="DK690" s="25"/>
      <c r="DL690" s="25"/>
      <c r="DM690" s="25"/>
      <c r="DN690" s="25"/>
      <c r="DO690" s="25"/>
      <c r="DP690" s="25"/>
      <c r="DQ690" s="25"/>
      <c r="DR690" s="25"/>
      <c r="DS690" s="25"/>
      <c r="DT690" s="25"/>
      <c r="DU690" s="25"/>
      <c r="DV690" s="25"/>
      <c r="DW690" s="25"/>
      <c r="DX690" s="25"/>
      <c r="DY690" s="25"/>
      <c r="DZ690" s="25"/>
      <c r="EA690" s="25"/>
      <c r="EB690" s="25"/>
      <c r="EC690" s="25"/>
      <c r="ED690" s="25"/>
      <c r="EE690" s="25"/>
      <c r="EF690" s="25"/>
      <c r="EG690" s="25"/>
      <c r="EH690" s="25"/>
      <c r="EI690" s="25"/>
      <c r="EJ690" s="25"/>
      <c r="EK690" s="25"/>
      <c r="EL690" s="25"/>
      <c r="EM690" s="25"/>
      <c r="EN690" s="25"/>
      <c r="EO690" s="25"/>
      <c r="EP690" s="25"/>
      <c r="EQ690" s="25"/>
      <c r="ER690" s="25"/>
      <c r="ES690" s="25"/>
      <c r="ET690" s="25"/>
      <c r="EU690" s="25"/>
      <c r="EV690" s="25"/>
      <c r="EW690" s="25"/>
      <c r="EX690" s="25"/>
      <c r="EY690" s="25"/>
      <c r="EZ690" s="25"/>
      <c r="FA690" s="25"/>
      <c r="FB690" s="25"/>
      <c r="FC690" s="25"/>
      <c r="FD690" s="25"/>
      <c r="FE690" s="25"/>
      <c r="FF690" s="25"/>
      <c r="FG690" s="25"/>
      <c r="FH690" s="25"/>
      <c r="FI690" s="25"/>
      <c r="FJ690" s="25"/>
      <c r="FK690" s="25"/>
      <c r="FL690" s="25"/>
      <c r="FM690" s="25"/>
      <c r="FN690" s="25"/>
      <c r="FO690" s="25"/>
      <c r="FP690" s="25"/>
      <c r="FQ690" s="25"/>
      <c r="FR690" s="25"/>
      <c r="FS690" s="25"/>
      <c r="FT690" s="25"/>
      <c r="FU690" s="25"/>
      <c r="FV690" s="25"/>
      <c r="FW690" s="25"/>
      <c r="FX690" s="25"/>
      <c r="FY690" s="25"/>
      <c r="FZ690" s="25"/>
      <c r="GA690" s="25"/>
      <c r="GB690" s="25"/>
      <c r="GC690" s="25"/>
      <c r="GD690" s="25"/>
      <c r="GE690" s="25"/>
      <c r="GF690" s="25"/>
      <c r="GG690" s="25"/>
      <c r="GH690" s="25"/>
      <c r="GI690" s="25"/>
      <c r="GJ690" s="25"/>
      <c r="GK690" s="25"/>
      <c r="GL690" s="25"/>
      <c r="GM690" s="25"/>
      <c r="GN690" s="25"/>
      <c r="GO690" s="25"/>
      <c r="GP690" s="25"/>
      <c r="GQ690" s="25"/>
      <c r="GR690" s="25"/>
      <c r="GS690" s="25"/>
      <c r="GT690" s="25"/>
      <c r="GU690" s="25"/>
      <c r="GV690" s="25"/>
      <c r="GW690" s="25"/>
      <c r="GX690" s="25"/>
      <c r="GY690" s="25"/>
      <c r="GZ690" s="25"/>
      <c r="HA690" s="25"/>
      <c r="HB690" s="25"/>
      <c r="HC690" s="25"/>
      <c r="HD690" s="25"/>
      <c r="HE690" s="25"/>
      <c r="HF690" s="25"/>
      <c r="HG690" s="25"/>
      <c r="HH690" s="25"/>
      <c r="HI690" s="25"/>
      <c r="HJ690" s="25"/>
      <c r="HK690" s="25"/>
      <c r="HL690" s="25"/>
      <c r="HM690" s="25"/>
      <c r="HN690" s="25"/>
      <c r="HO690" s="25"/>
      <c r="HP690" s="25"/>
      <c r="HQ690" s="25"/>
      <c r="HR690" s="25"/>
      <c r="HS690" s="25"/>
      <c r="HT690" s="25"/>
      <c r="HU690" s="25"/>
      <c r="HV690" s="25"/>
      <c r="HW690" s="25"/>
      <c r="HX690" s="25"/>
      <c r="HY690" s="25"/>
      <c r="HZ690" s="25"/>
      <c r="IA690" s="25"/>
      <c r="IB690" s="25"/>
      <c r="IC690" s="25"/>
      <c r="ID690" s="25"/>
      <c r="IE690" s="25"/>
      <c r="IF690" s="25"/>
      <c r="IG690" s="25"/>
      <c r="IH690" s="25"/>
      <c r="II690" s="25"/>
      <c r="IJ690" s="25"/>
      <c r="IK690" s="25"/>
      <c r="IL690" s="25"/>
      <c r="IM690" s="25"/>
      <c r="IN690" s="25"/>
      <c r="IO690" s="25"/>
      <c r="IP690" s="25"/>
      <c r="IQ690" s="25"/>
      <c r="IR690" s="25"/>
      <c r="IS690" s="25"/>
      <c r="IT690" s="25"/>
      <c r="IU690" s="25"/>
      <c r="IV690" s="25"/>
      <c r="IW690" s="25"/>
      <c r="IX690" s="25"/>
      <c r="IY690" s="25"/>
      <c r="IZ690" s="25"/>
      <c r="JA690" s="25"/>
      <c r="JB690" s="25"/>
      <c r="JC690" s="25"/>
      <c r="JD690" s="25"/>
      <c r="JE690" s="25"/>
      <c r="JF690" s="25"/>
      <c r="JG690" s="25"/>
      <c r="JH690" s="25"/>
      <c r="JI690" s="25"/>
      <c r="JJ690" s="25"/>
      <c r="JK690" s="25"/>
      <c r="JL690" s="25"/>
      <c r="JM690" s="25"/>
      <c r="JN690" s="25"/>
      <c r="JO690" s="25"/>
      <c r="JP690" s="25"/>
      <c r="JQ690" s="25"/>
      <c r="JR690" s="25"/>
      <c r="JS690" s="25"/>
      <c r="JT690" s="25"/>
      <c r="JU690" s="25"/>
      <c r="JV690" s="25"/>
      <c r="JW690" s="25"/>
      <c r="JX690" s="25"/>
      <c r="JY690" s="25"/>
      <c r="JZ690" s="25"/>
      <c r="KA690" s="25"/>
      <c r="KB690" s="25"/>
      <c r="KC690" s="25"/>
      <c r="KD690" s="25"/>
      <c r="KE690" s="25"/>
      <c r="KF690" s="25"/>
      <c r="KG690" s="25"/>
      <c r="KH690" s="25"/>
      <c r="KI690" s="25"/>
      <c r="KJ690" s="25"/>
      <c r="KK690" s="25"/>
      <c r="KL690" s="25"/>
      <c r="KM690" s="25"/>
      <c r="KN690" s="25"/>
      <c r="KO690" s="25"/>
      <c r="KP690" s="25"/>
      <c r="KQ690" s="25"/>
      <c r="KR690" s="25"/>
      <c r="KS690" s="25"/>
      <c r="KT690" s="25"/>
      <c r="KU690" s="25"/>
      <c r="KV690" s="25"/>
      <c r="KW690" s="25"/>
      <c r="KX690" s="25"/>
      <c r="KY690" s="25"/>
      <c r="KZ690" s="25"/>
      <c r="LA690" s="25"/>
      <c r="LB690" s="25"/>
      <c r="LC690" s="25"/>
      <c r="LD690" s="25"/>
      <c r="LE690" s="25"/>
      <c r="LF690" s="25"/>
      <c r="LG690" s="25"/>
      <c r="LH690" s="25"/>
      <c r="LI690" s="25"/>
      <c r="LJ690" s="25"/>
      <c r="LK690" s="25"/>
      <c r="LL690" s="25"/>
      <c r="LM690" s="25"/>
      <c r="LN690" s="25"/>
      <c r="LO690" s="25"/>
      <c r="LP690" s="25"/>
      <c r="LQ690" s="25"/>
      <c r="LR690" s="25"/>
      <c r="LS690" s="25"/>
      <c r="LT690" s="25"/>
      <c r="LU690" s="25"/>
      <c r="LV690" s="25"/>
      <c r="LW690" s="25"/>
      <c r="LX690" s="25"/>
      <c r="LY690" s="25"/>
      <c r="LZ690" s="25"/>
      <c r="MA690" s="25"/>
      <c r="MB690" s="25"/>
      <c r="MC690" s="25"/>
      <c r="MD690" s="25"/>
      <c r="ME690" s="25"/>
      <c r="MF690" s="25"/>
      <c r="MG690" s="25"/>
      <c r="MH690" s="25"/>
      <c r="MI690" s="25"/>
      <c r="MJ690" s="25"/>
      <c r="MK690" s="25"/>
      <c r="ML690" s="25"/>
      <c r="MM690" s="25"/>
      <c r="MN690" s="25"/>
      <c r="MO690" s="25"/>
      <c r="MP690" s="25"/>
      <c r="MQ690" s="25"/>
      <c r="MR690" s="25"/>
      <c r="MS690" s="25"/>
      <c r="MT690" s="25"/>
      <c r="MU690" s="25"/>
      <c r="MV690" s="25"/>
      <c r="MW690" s="25"/>
      <c r="MX690" s="25"/>
      <c r="MY690" s="25"/>
      <c r="MZ690" s="25"/>
      <c r="NA690" s="25"/>
      <c r="NB690" s="25"/>
      <c r="NC690" s="25"/>
      <c r="ND690" s="25"/>
      <c r="NE690" s="25"/>
      <c r="NF690" s="25"/>
      <c r="NG690" s="25"/>
      <c r="NH690" s="25"/>
      <c r="NI690" s="25"/>
      <c r="NJ690" s="25"/>
      <c r="NK690" s="25"/>
      <c r="NL690" s="25"/>
      <c r="NM690" s="25"/>
      <c r="NN690" s="25"/>
      <c r="NO690" s="25"/>
      <c r="NP690" s="25"/>
      <c r="NQ690" s="25"/>
      <c r="NR690" s="25"/>
      <c r="NS690" s="25"/>
      <c r="NT690" s="25"/>
      <c r="NU690" s="25"/>
      <c r="NV690" s="25"/>
      <c r="NW690" s="25"/>
      <c r="NX690" s="25"/>
      <c r="NY690" s="25"/>
      <c r="NZ690" s="25"/>
      <c r="OA690" s="25"/>
      <c r="OB690" s="25"/>
      <c r="OC690" s="25"/>
      <c r="OD690" s="25"/>
      <c r="OE690" s="25"/>
      <c r="OF690" s="25"/>
      <c r="OG690" s="25"/>
      <c r="OH690" s="25"/>
      <c r="OI690" s="25"/>
      <c r="OJ690" s="25"/>
      <c r="OK690" s="25"/>
      <c r="OL690" s="25"/>
      <c r="OM690" s="25"/>
      <c r="ON690" s="25"/>
      <c r="OO690" s="25"/>
      <c r="OP690" s="25"/>
      <c r="OQ690" s="25"/>
      <c r="OR690" s="25"/>
      <c r="OS690" s="25"/>
      <c r="OT690" s="25"/>
      <c r="OU690" s="25"/>
      <c r="OV690" s="25"/>
      <c r="OW690" s="25"/>
      <c r="OX690" s="25"/>
      <c r="OY690" s="25"/>
      <c r="OZ690" s="25"/>
      <c r="PA690" s="25"/>
      <c r="PB690" s="25"/>
      <c r="PC690" s="25"/>
      <c r="PD690" s="25"/>
      <c r="PE690" s="25"/>
      <c r="PF690" s="25"/>
      <c r="PG690" s="25"/>
      <c r="PH690" s="25"/>
      <c r="PI690" s="25"/>
      <c r="PJ690" s="25"/>
      <c r="PK690" s="25"/>
      <c r="PL690" s="25"/>
      <c r="PM690" s="25"/>
      <c r="PN690" s="25"/>
      <c r="PO690" s="25"/>
      <c r="PP690" s="25"/>
      <c r="PQ690" s="25"/>
      <c r="PR690" s="25"/>
      <c r="PS690" s="25"/>
      <c r="PT690" s="25"/>
      <c r="PU690" s="25"/>
      <c r="PV690" s="25"/>
      <c r="PW690" s="25"/>
      <c r="PX690" s="25"/>
      <c r="PY690" s="25"/>
      <c r="PZ690" s="25"/>
      <c r="QA690" s="25"/>
      <c r="QB690" s="25"/>
      <c r="QC690" s="25"/>
      <c r="QD690" s="25"/>
      <c r="QE690" s="25"/>
      <c r="QF690" s="25"/>
      <c r="QG690" s="25"/>
      <c r="QH690" s="25"/>
      <c r="QI690" s="25"/>
      <c r="QJ690" s="25"/>
      <c r="QK690" s="25"/>
      <c r="QL690" s="25"/>
      <c r="QM690" s="25"/>
      <c r="QN690" s="25"/>
      <c r="QO690" s="25"/>
      <c r="QP690" s="25"/>
      <c r="QQ690" s="25"/>
      <c r="QR690" s="25"/>
      <c r="QS690" s="25"/>
      <c r="QT690" s="25"/>
      <c r="QU690" s="25"/>
      <c r="QV690" s="25"/>
      <c r="QW690" s="25"/>
      <c r="QX690" s="25"/>
      <c r="QY690" s="25"/>
      <c r="QZ690" s="25"/>
      <c r="RA690" s="25"/>
      <c r="RB690" s="25"/>
      <c r="RC690" s="25"/>
      <c r="RD690" s="25"/>
      <c r="RE690" s="25"/>
      <c r="RF690" s="25"/>
      <c r="RG690" s="25"/>
      <c r="RH690" s="25"/>
      <c r="RI690" s="25"/>
      <c r="RJ690" s="25"/>
      <c r="RK690" s="25"/>
      <c r="RL690" s="25"/>
      <c r="RM690" s="25"/>
      <c r="RN690" s="25"/>
      <c r="RO690" s="25"/>
      <c r="RP690" s="25"/>
      <c r="RQ690" s="25"/>
      <c r="RR690" s="25"/>
      <c r="RS690" s="25"/>
      <c r="RT690" s="25"/>
      <c r="RU690" s="25"/>
      <c r="RV690" s="25"/>
      <c r="RW690" s="25"/>
      <c r="RX690" s="25"/>
      <c r="RY690" s="25"/>
      <c r="RZ690" s="25"/>
      <c r="SA690" s="25"/>
      <c r="SB690" s="25"/>
      <c r="SC690" s="25"/>
      <c r="SD690" s="25"/>
      <c r="SE690" s="25"/>
      <c r="SF690" s="25"/>
      <c r="SG690" s="25"/>
      <c r="SH690" s="25"/>
      <c r="SI690" s="25"/>
      <c r="SJ690" s="25"/>
      <c r="SK690" s="25"/>
      <c r="SL690" s="25"/>
      <c r="SM690" s="25"/>
      <c r="SN690" s="25"/>
      <c r="SO690" s="25"/>
      <c r="SP690" s="25"/>
      <c r="SQ690" s="25"/>
      <c r="SR690" s="25"/>
      <c r="SS690" s="25"/>
      <c r="ST690" s="25"/>
      <c r="SU690" s="25"/>
      <c r="SV690" s="25"/>
      <c r="SW690" s="25"/>
      <c r="SX690" s="25"/>
      <c r="SY690" s="25"/>
      <c r="SZ690" s="25"/>
      <c r="TA690" s="25"/>
      <c r="TB690" s="25"/>
      <c r="TC690" s="25"/>
      <c r="TD690" s="25"/>
      <c r="TE690" s="25"/>
      <c r="TF690" s="25"/>
      <c r="TG690" s="25"/>
      <c r="TH690" s="25"/>
      <c r="TI690" s="25"/>
      <c r="TJ690" s="25"/>
      <c r="TK690" s="25"/>
      <c r="TL690" s="25"/>
      <c r="TM690" s="25"/>
      <c r="TN690" s="25"/>
      <c r="TO690" s="25"/>
      <c r="TP690" s="25"/>
      <c r="TQ690" s="25"/>
      <c r="TR690" s="25"/>
      <c r="TS690" s="25"/>
      <c r="TT690" s="25"/>
      <c r="TU690" s="25"/>
      <c r="TV690" s="25"/>
      <c r="TW690" s="25"/>
      <c r="TX690" s="25"/>
      <c r="TY690" s="25"/>
      <c r="TZ690" s="25"/>
      <c r="UA690" s="25"/>
      <c r="UB690" s="25"/>
      <c r="UC690" s="25"/>
      <c r="UD690" s="25"/>
      <c r="UE690" s="25"/>
      <c r="UF690" s="25"/>
      <c r="UG690" s="26"/>
    </row>
    <row r="691" spans="1:553" ht="171" customHeight="1">
      <c r="A691" s="356"/>
      <c r="B691" s="385"/>
      <c r="C691" s="384" t="s">
        <v>69</v>
      </c>
      <c r="D691" s="376" t="s">
        <v>20</v>
      </c>
      <c r="E691" s="376" t="s">
        <v>488</v>
      </c>
      <c r="F691" s="385">
        <v>1</v>
      </c>
      <c r="G691" s="396" t="s">
        <v>33</v>
      </c>
      <c r="H691" s="387">
        <v>126.4</v>
      </c>
      <c r="I691" s="490">
        <v>126.4</v>
      </c>
      <c r="J691" s="477">
        <v>55000</v>
      </c>
      <c r="K691" s="391"/>
      <c r="L691" s="480">
        <f t="shared" si="110"/>
        <v>6952000</v>
      </c>
      <c r="M691" s="392"/>
      <c r="N691" s="392"/>
      <c r="O691" s="366"/>
      <c r="P691" s="366"/>
      <c r="Q691" s="761" t="s">
        <v>480</v>
      </c>
      <c r="R691" s="1452"/>
      <c r="S691" s="308"/>
      <c r="T691" s="308"/>
      <c r="U691" s="308"/>
      <c r="V691" s="308"/>
      <c r="W691" s="308"/>
      <c r="X691" s="685">
        <f>I691</f>
        <v>126.4</v>
      </c>
      <c r="Y691" s="308"/>
      <c r="Z691" s="604"/>
      <c r="AA691" s="308"/>
      <c r="AB691" s="308"/>
      <c r="AC691" s="449"/>
      <c r="AD691" s="449"/>
      <c r="AE691" s="449"/>
      <c r="AF691" s="449"/>
      <c r="AG691" s="449"/>
      <c r="AH691" s="449"/>
      <c r="AI691" s="449"/>
      <c r="AJ691" s="449"/>
      <c r="AK691" s="452"/>
      <c r="AL691" s="104"/>
      <c r="AM691" s="32"/>
      <c r="AN691" s="32"/>
      <c r="AO691" s="32"/>
      <c r="AP691" s="32"/>
      <c r="AQ691" s="32"/>
      <c r="AR691" s="32"/>
      <c r="AS691" s="31"/>
      <c r="AT691" s="22"/>
      <c r="AU691" s="22"/>
      <c r="AV691" s="22"/>
      <c r="AW691" s="22"/>
      <c r="AX691" s="22"/>
      <c r="AY691" s="22"/>
      <c r="AZ691" s="22"/>
      <c r="BA691" s="22"/>
      <c r="BB691" s="22"/>
      <c r="BC691" s="22"/>
      <c r="BD691" s="22"/>
      <c r="BE691" s="22"/>
      <c r="BF691" s="22"/>
      <c r="BG691" s="22"/>
      <c r="BH691" s="22"/>
      <c r="BI691" s="22"/>
      <c r="BJ691" s="22"/>
      <c r="BK691" s="22"/>
      <c r="BL691" s="22"/>
      <c r="BM691" s="22"/>
      <c r="BN691" s="22"/>
      <c r="BO691" s="22"/>
      <c r="BP691" s="25"/>
      <c r="BQ691" s="25"/>
      <c r="BR691" s="25"/>
      <c r="BS691" s="25"/>
      <c r="BT691" s="25"/>
      <c r="BU691" s="25"/>
      <c r="BV691" s="25"/>
      <c r="BW691" s="25"/>
      <c r="BX691" s="25"/>
      <c r="BY691" s="25"/>
      <c r="BZ691" s="25"/>
      <c r="CA691" s="25"/>
      <c r="CB691" s="25"/>
      <c r="CC691" s="25"/>
      <c r="CD691" s="25"/>
      <c r="CE691" s="25"/>
      <c r="CF691" s="25"/>
      <c r="CG691" s="25"/>
      <c r="CH691" s="25"/>
      <c r="CI691" s="25"/>
      <c r="CJ691" s="25"/>
      <c r="CK691" s="25"/>
      <c r="CL691" s="25"/>
      <c r="CM691" s="25"/>
      <c r="CN691" s="25"/>
      <c r="CO691" s="25"/>
      <c r="CP691" s="25"/>
      <c r="CQ691" s="25"/>
      <c r="CR691" s="25"/>
      <c r="CS691" s="25"/>
      <c r="CT691" s="25"/>
      <c r="CU691" s="25"/>
      <c r="CV691" s="25"/>
      <c r="CW691" s="25"/>
      <c r="CX691" s="25"/>
      <c r="CY691" s="25"/>
      <c r="CZ691" s="25"/>
      <c r="DA691" s="25"/>
      <c r="DB691" s="25"/>
      <c r="DC691" s="25"/>
      <c r="DD691" s="25"/>
      <c r="DE691" s="25"/>
      <c r="DF691" s="25"/>
      <c r="DG691" s="25"/>
      <c r="DH691" s="25"/>
      <c r="DI691" s="25"/>
      <c r="DJ691" s="25"/>
      <c r="DK691" s="25"/>
      <c r="DL691" s="25"/>
      <c r="DM691" s="25"/>
      <c r="DN691" s="25"/>
      <c r="DO691" s="25"/>
      <c r="DP691" s="25"/>
      <c r="DQ691" s="25"/>
      <c r="DR691" s="25"/>
      <c r="DS691" s="25"/>
      <c r="DT691" s="25"/>
      <c r="DU691" s="25"/>
      <c r="DV691" s="25"/>
      <c r="DW691" s="25"/>
      <c r="DX691" s="25"/>
      <c r="DY691" s="25"/>
      <c r="DZ691" s="25"/>
      <c r="EA691" s="25"/>
      <c r="EB691" s="25"/>
      <c r="EC691" s="25"/>
      <c r="ED691" s="25"/>
      <c r="EE691" s="25"/>
      <c r="EF691" s="25"/>
      <c r="EG691" s="25"/>
      <c r="EH691" s="25"/>
      <c r="EI691" s="25"/>
      <c r="EJ691" s="25"/>
      <c r="EK691" s="25"/>
      <c r="EL691" s="25"/>
      <c r="EM691" s="25"/>
      <c r="EN691" s="25"/>
      <c r="EO691" s="25"/>
      <c r="EP691" s="25"/>
      <c r="EQ691" s="25"/>
      <c r="ER691" s="25"/>
      <c r="ES691" s="25"/>
      <c r="ET691" s="25"/>
      <c r="EU691" s="25"/>
      <c r="EV691" s="25"/>
      <c r="EW691" s="25"/>
      <c r="EX691" s="25"/>
      <c r="EY691" s="25"/>
      <c r="EZ691" s="25"/>
      <c r="FA691" s="25"/>
      <c r="FB691" s="25"/>
      <c r="FC691" s="25"/>
      <c r="FD691" s="25"/>
      <c r="FE691" s="25"/>
      <c r="FF691" s="25"/>
      <c r="FG691" s="25"/>
      <c r="FH691" s="25"/>
      <c r="FI691" s="25"/>
      <c r="FJ691" s="25"/>
      <c r="FK691" s="25"/>
      <c r="FL691" s="25"/>
      <c r="FM691" s="25"/>
      <c r="FN691" s="25"/>
      <c r="FO691" s="25"/>
      <c r="FP691" s="25"/>
      <c r="FQ691" s="25"/>
      <c r="FR691" s="25"/>
      <c r="FS691" s="25"/>
      <c r="FT691" s="25"/>
      <c r="FU691" s="25"/>
      <c r="FV691" s="25"/>
      <c r="FW691" s="25"/>
      <c r="FX691" s="25"/>
      <c r="FY691" s="25"/>
      <c r="FZ691" s="25"/>
      <c r="GA691" s="25"/>
      <c r="GB691" s="25"/>
      <c r="GC691" s="25"/>
      <c r="GD691" s="25"/>
      <c r="GE691" s="25"/>
      <c r="GF691" s="25"/>
      <c r="GG691" s="25"/>
      <c r="GH691" s="25"/>
      <c r="GI691" s="25"/>
      <c r="GJ691" s="25"/>
      <c r="GK691" s="25"/>
      <c r="GL691" s="25"/>
      <c r="GM691" s="25"/>
      <c r="GN691" s="25"/>
      <c r="GO691" s="25"/>
      <c r="GP691" s="25"/>
      <c r="GQ691" s="25"/>
      <c r="GR691" s="25"/>
      <c r="GS691" s="25"/>
      <c r="GT691" s="25"/>
      <c r="GU691" s="25"/>
      <c r="GV691" s="25"/>
      <c r="GW691" s="25"/>
      <c r="GX691" s="25"/>
      <c r="GY691" s="25"/>
      <c r="GZ691" s="25"/>
      <c r="HA691" s="25"/>
      <c r="HB691" s="25"/>
      <c r="HC691" s="25"/>
      <c r="HD691" s="25"/>
      <c r="HE691" s="25"/>
      <c r="HF691" s="25"/>
      <c r="HG691" s="25"/>
      <c r="HH691" s="25"/>
      <c r="HI691" s="25"/>
      <c r="HJ691" s="25"/>
      <c r="HK691" s="25"/>
      <c r="HL691" s="25"/>
      <c r="HM691" s="25"/>
      <c r="HN691" s="25"/>
      <c r="HO691" s="25"/>
      <c r="HP691" s="25"/>
      <c r="HQ691" s="25"/>
      <c r="HR691" s="25"/>
      <c r="HS691" s="25"/>
      <c r="HT691" s="25"/>
      <c r="HU691" s="25"/>
      <c r="HV691" s="25"/>
      <c r="HW691" s="25"/>
      <c r="HX691" s="25"/>
      <c r="HY691" s="25"/>
      <c r="HZ691" s="25"/>
      <c r="IA691" s="25"/>
      <c r="IB691" s="25"/>
      <c r="IC691" s="25"/>
      <c r="ID691" s="25"/>
      <c r="IE691" s="25"/>
      <c r="IF691" s="25"/>
      <c r="IG691" s="25"/>
      <c r="IH691" s="25"/>
      <c r="II691" s="25"/>
      <c r="IJ691" s="25"/>
      <c r="IK691" s="25"/>
      <c r="IL691" s="25"/>
      <c r="IM691" s="25"/>
      <c r="IN691" s="25"/>
      <c r="IO691" s="25"/>
      <c r="IP691" s="25"/>
      <c r="IQ691" s="25"/>
      <c r="IR691" s="25"/>
      <c r="IS691" s="25"/>
      <c r="IT691" s="25"/>
      <c r="IU691" s="25"/>
      <c r="IV691" s="25"/>
      <c r="IW691" s="25"/>
      <c r="IX691" s="25"/>
      <c r="IY691" s="25"/>
      <c r="IZ691" s="25"/>
      <c r="JA691" s="25"/>
      <c r="JB691" s="25"/>
      <c r="JC691" s="25"/>
      <c r="JD691" s="25"/>
      <c r="JE691" s="25"/>
      <c r="JF691" s="25"/>
      <c r="JG691" s="25"/>
      <c r="JH691" s="25"/>
      <c r="JI691" s="25"/>
      <c r="JJ691" s="25"/>
      <c r="JK691" s="25"/>
      <c r="JL691" s="25"/>
      <c r="JM691" s="25"/>
      <c r="JN691" s="25"/>
      <c r="JO691" s="25"/>
      <c r="JP691" s="25"/>
      <c r="JQ691" s="25"/>
      <c r="JR691" s="25"/>
      <c r="JS691" s="25"/>
      <c r="JT691" s="25"/>
      <c r="JU691" s="25"/>
      <c r="JV691" s="25"/>
      <c r="JW691" s="25"/>
      <c r="JX691" s="25"/>
      <c r="JY691" s="25"/>
      <c r="JZ691" s="25"/>
      <c r="KA691" s="25"/>
      <c r="KB691" s="25"/>
      <c r="KC691" s="25"/>
      <c r="KD691" s="25"/>
      <c r="KE691" s="25"/>
      <c r="KF691" s="25"/>
      <c r="KG691" s="25"/>
      <c r="KH691" s="25"/>
      <c r="KI691" s="25"/>
      <c r="KJ691" s="25"/>
      <c r="KK691" s="25"/>
      <c r="KL691" s="25"/>
      <c r="KM691" s="25"/>
      <c r="KN691" s="25"/>
      <c r="KO691" s="25"/>
      <c r="KP691" s="25"/>
      <c r="KQ691" s="25"/>
      <c r="KR691" s="25"/>
      <c r="KS691" s="25"/>
      <c r="KT691" s="25"/>
      <c r="KU691" s="25"/>
      <c r="KV691" s="25"/>
      <c r="KW691" s="25"/>
      <c r="KX691" s="25"/>
      <c r="KY691" s="25"/>
      <c r="KZ691" s="25"/>
      <c r="LA691" s="25"/>
      <c r="LB691" s="25"/>
      <c r="LC691" s="25"/>
      <c r="LD691" s="25"/>
      <c r="LE691" s="25"/>
      <c r="LF691" s="25"/>
      <c r="LG691" s="25"/>
      <c r="LH691" s="25"/>
      <c r="LI691" s="25"/>
      <c r="LJ691" s="25"/>
      <c r="LK691" s="25"/>
      <c r="LL691" s="25"/>
      <c r="LM691" s="25"/>
      <c r="LN691" s="25"/>
      <c r="LO691" s="25"/>
      <c r="LP691" s="25"/>
      <c r="LQ691" s="25"/>
      <c r="LR691" s="25"/>
      <c r="LS691" s="25"/>
      <c r="LT691" s="25"/>
      <c r="LU691" s="25"/>
      <c r="LV691" s="25"/>
      <c r="LW691" s="25"/>
      <c r="LX691" s="25"/>
      <c r="LY691" s="25"/>
      <c r="LZ691" s="25"/>
      <c r="MA691" s="25"/>
      <c r="MB691" s="25"/>
      <c r="MC691" s="25"/>
      <c r="MD691" s="25"/>
      <c r="ME691" s="25"/>
      <c r="MF691" s="25"/>
      <c r="MG691" s="25"/>
      <c r="MH691" s="25"/>
      <c r="MI691" s="25"/>
      <c r="MJ691" s="25"/>
      <c r="MK691" s="25"/>
      <c r="ML691" s="25"/>
      <c r="MM691" s="25"/>
      <c r="MN691" s="25"/>
      <c r="MO691" s="25"/>
      <c r="MP691" s="25"/>
      <c r="MQ691" s="25"/>
      <c r="MR691" s="25"/>
      <c r="MS691" s="25"/>
      <c r="MT691" s="25"/>
      <c r="MU691" s="25"/>
      <c r="MV691" s="25"/>
      <c r="MW691" s="25"/>
      <c r="MX691" s="25"/>
      <c r="MY691" s="25"/>
      <c r="MZ691" s="25"/>
      <c r="NA691" s="25"/>
      <c r="NB691" s="25"/>
      <c r="NC691" s="25"/>
      <c r="ND691" s="25"/>
      <c r="NE691" s="25"/>
      <c r="NF691" s="25"/>
      <c r="NG691" s="25"/>
      <c r="NH691" s="25"/>
      <c r="NI691" s="25"/>
      <c r="NJ691" s="25"/>
      <c r="NK691" s="25"/>
      <c r="NL691" s="25"/>
      <c r="NM691" s="25"/>
      <c r="NN691" s="25"/>
      <c r="NO691" s="25"/>
      <c r="NP691" s="25"/>
      <c r="NQ691" s="25"/>
      <c r="NR691" s="25"/>
      <c r="NS691" s="25"/>
      <c r="NT691" s="25"/>
      <c r="NU691" s="25"/>
      <c r="NV691" s="25"/>
      <c r="NW691" s="25"/>
      <c r="NX691" s="25"/>
      <c r="NY691" s="25"/>
      <c r="NZ691" s="25"/>
      <c r="OA691" s="25"/>
      <c r="OB691" s="25"/>
      <c r="OC691" s="25"/>
      <c r="OD691" s="25"/>
      <c r="OE691" s="25"/>
      <c r="OF691" s="25"/>
      <c r="OG691" s="25"/>
      <c r="OH691" s="25"/>
      <c r="OI691" s="25"/>
      <c r="OJ691" s="25"/>
      <c r="OK691" s="25"/>
      <c r="OL691" s="25"/>
      <c r="OM691" s="25"/>
      <c r="ON691" s="25"/>
      <c r="OO691" s="25"/>
      <c r="OP691" s="25"/>
      <c r="OQ691" s="25"/>
      <c r="OR691" s="25"/>
      <c r="OS691" s="25"/>
      <c r="OT691" s="25"/>
      <c r="OU691" s="25"/>
      <c r="OV691" s="25"/>
      <c r="OW691" s="25"/>
      <c r="OX691" s="25"/>
      <c r="OY691" s="25"/>
      <c r="OZ691" s="25"/>
      <c r="PA691" s="25"/>
      <c r="PB691" s="25"/>
      <c r="PC691" s="25"/>
      <c r="PD691" s="25"/>
      <c r="PE691" s="25"/>
      <c r="PF691" s="25"/>
      <c r="PG691" s="25"/>
      <c r="PH691" s="25"/>
      <c r="PI691" s="25"/>
      <c r="PJ691" s="25"/>
      <c r="PK691" s="25"/>
      <c r="PL691" s="25"/>
      <c r="PM691" s="25"/>
      <c r="PN691" s="25"/>
      <c r="PO691" s="25"/>
      <c r="PP691" s="25"/>
      <c r="PQ691" s="25"/>
      <c r="PR691" s="25"/>
      <c r="PS691" s="25"/>
      <c r="PT691" s="25"/>
      <c r="PU691" s="25"/>
      <c r="PV691" s="25"/>
      <c r="PW691" s="25"/>
      <c r="PX691" s="25"/>
      <c r="PY691" s="25"/>
      <c r="PZ691" s="25"/>
      <c r="QA691" s="25"/>
      <c r="QB691" s="25"/>
      <c r="QC691" s="25"/>
      <c r="QD691" s="25"/>
      <c r="QE691" s="25"/>
      <c r="QF691" s="25"/>
      <c r="QG691" s="25"/>
      <c r="QH691" s="25"/>
      <c r="QI691" s="25"/>
      <c r="QJ691" s="25"/>
      <c r="QK691" s="25"/>
      <c r="QL691" s="25"/>
      <c r="QM691" s="25"/>
      <c r="QN691" s="25"/>
      <c r="QO691" s="25"/>
      <c r="QP691" s="25"/>
      <c r="QQ691" s="25"/>
      <c r="QR691" s="25"/>
      <c r="QS691" s="25"/>
      <c r="QT691" s="25"/>
      <c r="QU691" s="25"/>
      <c r="QV691" s="25"/>
      <c r="QW691" s="25"/>
      <c r="QX691" s="25"/>
      <c r="QY691" s="25"/>
      <c r="QZ691" s="25"/>
      <c r="RA691" s="25"/>
      <c r="RB691" s="25"/>
      <c r="RC691" s="25"/>
      <c r="RD691" s="25"/>
      <c r="RE691" s="25"/>
      <c r="RF691" s="25"/>
      <c r="RG691" s="25"/>
      <c r="RH691" s="25"/>
      <c r="RI691" s="25"/>
      <c r="RJ691" s="25"/>
      <c r="RK691" s="25"/>
      <c r="RL691" s="25"/>
      <c r="RM691" s="25"/>
      <c r="RN691" s="25"/>
      <c r="RO691" s="25"/>
      <c r="RP691" s="25"/>
      <c r="RQ691" s="25"/>
      <c r="RR691" s="25"/>
      <c r="RS691" s="25"/>
      <c r="RT691" s="25"/>
      <c r="RU691" s="25"/>
      <c r="RV691" s="25"/>
      <c r="RW691" s="25"/>
      <c r="RX691" s="25"/>
      <c r="RY691" s="25"/>
      <c r="RZ691" s="25"/>
      <c r="SA691" s="25"/>
      <c r="SB691" s="25"/>
      <c r="SC691" s="25"/>
      <c r="SD691" s="25"/>
      <c r="SE691" s="25"/>
      <c r="SF691" s="25"/>
      <c r="SG691" s="25"/>
      <c r="SH691" s="25"/>
      <c r="SI691" s="25"/>
      <c r="SJ691" s="25"/>
      <c r="SK691" s="25"/>
      <c r="SL691" s="25"/>
      <c r="SM691" s="25"/>
      <c r="SN691" s="25"/>
      <c r="SO691" s="25"/>
      <c r="SP691" s="25"/>
      <c r="SQ691" s="25"/>
      <c r="SR691" s="25"/>
      <c r="SS691" s="25"/>
      <c r="ST691" s="25"/>
      <c r="SU691" s="25"/>
      <c r="SV691" s="25"/>
      <c r="SW691" s="25"/>
      <c r="SX691" s="25"/>
      <c r="SY691" s="25"/>
      <c r="SZ691" s="25"/>
      <c r="TA691" s="25"/>
      <c r="TB691" s="25"/>
      <c r="TC691" s="25"/>
      <c r="TD691" s="25"/>
      <c r="TE691" s="25"/>
      <c r="TF691" s="25"/>
      <c r="TG691" s="25"/>
      <c r="TH691" s="25"/>
      <c r="TI691" s="25"/>
      <c r="TJ691" s="25"/>
      <c r="TK691" s="25"/>
      <c r="TL691" s="25"/>
      <c r="TM691" s="25"/>
      <c r="TN691" s="25"/>
      <c r="TO691" s="25"/>
      <c r="TP691" s="25"/>
      <c r="TQ691" s="25"/>
      <c r="TR691" s="25"/>
      <c r="TS691" s="25"/>
      <c r="TT691" s="25"/>
      <c r="TU691" s="25"/>
      <c r="TV691" s="25"/>
      <c r="TW691" s="25"/>
      <c r="TX691" s="25"/>
      <c r="TY691" s="25"/>
      <c r="TZ691" s="25"/>
      <c r="UA691" s="25"/>
      <c r="UB691" s="25"/>
      <c r="UC691" s="25"/>
      <c r="UD691" s="25"/>
      <c r="UE691" s="25"/>
      <c r="UF691" s="25"/>
      <c r="UG691" s="26"/>
    </row>
    <row r="692" spans="1:553" ht="165.75" customHeight="1">
      <c r="A692" s="356"/>
      <c r="B692" s="385"/>
      <c r="C692" s="384" t="s">
        <v>72</v>
      </c>
      <c r="D692" s="376" t="s">
        <v>20</v>
      </c>
      <c r="E692" s="540" t="s">
        <v>489</v>
      </c>
      <c r="F692" s="385">
        <v>1</v>
      </c>
      <c r="G692" s="396" t="s">
        <v>33</v>
      </c>
      <c r="H692" s="387">
        <v>767.7</v>
      </c>
      <c r="I692" s="441">
        <v>767.7</v>
      </c>
      <c r="J692" s="477">
        <v>9000</v>
      </c>
      <c r="K692" s="391"/>
      <c r="L692" s="480">
        <f t="shared" si="110"/>
        <v>6909300</v>
      </c>
      <c r="M692" s="392"/>
      <c r="N692" s="392"/>
      <c r="O692" s="366"/>
      <c r="P692" s="366"/>
      <c r="Q692" s="761" t="s">
        <v>485</v>
      </c>
      <c r="R692" s="1452"/>
      <c r="S692" s="308"/>
      <c r="T692" s="308"/>
      <c r="U692" s="308"/>
      <c r="V692" s="308"/>
      <c r="W692" s="308"/>
      <c r="X692" s="308"/>
      <c r="Y692" s="308"/>
      <c r="Z692" s="931">
        <f>I692</f>
        <v>767.7</v>
      </c>
      <c r="AA692" s="308"/>
      <c r="AB692" s="308"/>
      <c r="AC692" s="449"/>
      <c r="AD692" s="449"/>
      <c r="AE692" s="449"/>
      <c r="AF692" s="449"/>
      <c r="AG692" s="449"/>
      <c r="AH692" s="449"/>
      <c r="AI692" s="449"/>
      <c r="AJ692" s="449"/>
      <c r="AK692" s="452"/>
      <c r="AL692" s="104"/>
      <c r="AM692" s="32"/>
      <c r="AN692" s="32"/>
      <c r="AO692" s="32"/>
      <c r="AP692" s="32"/>
      <c r="AQ692" s="32"/>
      <c r="AR692" s="32"/>
      <c r="AS692" s="31"/>
      <c r="AT692" s="22"/>
      <c r="AU692" s="22"/>
      <c r="AV692" s="22"/>
      <c r="AW692" s="22"/>
      <c r="AX692" s="22"/>
      <c r="AY692" s="22"/>
      <c r="AZ692" s="22"/>
      <c r="BA692" s="22"/>
      <c r="BB692" s="22"/>
      <c r="BC692" s="22"/>
      <c r="BD692" s="22"/>
      <c r="BE692" s="22"/>
      <c r="BF692" s="22"/>
      <c r="BG692" s="22"/>
      <c r="BH692" s="22"/>
      <c r="BI692" s="22"/>
      <c r="BJ692" s="22"/>
      <c r="BK692" s="22"/>
      <c r="BL692" s="22"/>
      <c r="BM692" s="22"/>
      <c r="BN692" s="22"/>
      <c r="BO692" s="22"/>
      <c r="BP692" s="25"/>
      <c r="BQ692" s="25"/>
      <c r="BR692" s="25"/>
      <c r="BS692" s="25"/>
      <c r="BT692" s="25"/>
      <c r="BU692" s="25"/>
      <c r="BV692" s="25"/>
      <c r="BW692" s="25"/>
      <c r="BX692" s="25"/>
      <c r="BY692" s="25"/>
      <c r="BZ692" s="25"/>
      <c r="CA692" s="25"/>
      <c r="CB692" s="25"/>
      <c r="CC692" s="25"/>
      <c r="CD692" s="25"/>
      <c r="CE692" s="25"/>
      <c r="CF692" s="25"/>
      <c r="CG692" s="25"/>
      <c r="CH692" s="25"/>
      <c r="CI692" s="25"/>
      <c r="CJ692" s="25"/>
      <c r="CK692" s="25"/>
      <c r="CL692" s="25"/>
      <c r="CM692" s="25"/>
      <c r="CN692" s="25"/>
      <c r="CO692" s="25"/>
      <c r="CP692" s="25"/>
      <c r="CQ692" s="25"/>
      <c r="CR692" s="25"/>
      <c r="CS692" s="25"/>
      <c r="CT692" s="25"/>
      <c r="CU692" s="25"/>
      <c r="CV692" s="25"/>
      <c r="CW692" s="25"/>
      <c r="CX692" s="25"/>
      <c r="CY692" s="25"/>
      <c r="CZ692" s="25"/>
      <c r="DA692" s="25"/>
      <c r="DB692" s="25"/>
      <c r="DC692" s="25"/>
      <c r="DD692" s="25"/>
      <c r="DE692" s="25"/>
      <c r="DF692" s="25"/>
      <c r="DG692" s="25"/>
      <c r="DH692" s="25"/>
      <c r="DI692" s="25"/>
      <c r="DJ692" s="25"/>
      <c r="DK692" s="25"/>
      <c r="DL692" s="25"/>
      <c r="DM692" s="25"/>
      <c r="DN692" s="25"/>
      <c r="DO692" s="25"/>
      <c r="DP692" s="25"/>
      <c r="DQ692" s="25"/>
      <c r="DR692" s="25"/>
      <c r="DS692" s="25"/>
      <c r="DT692" s="25"/>
      <c r="DU692" s="25"/>
      <c r="DV692" s="25"/>
      <c r="DW692" s="25"/>
      <c r="DX692" s="25"/>
      <c r="DY692" s="25"/>
      <c r="DZ692" s="25"/>
      <c r="EA692" s="25"/>
      <c r="EB692" s="25"/>
      <c r="EC692" s="25"/>
      <c r="ED692" s="25"/>
      <c r="EE692" s="25"/>
      <c r="EF692" s="25"/>
      <c r="EG692" s="25"/>
      <c r="EH692" s="25"/>
      <c r="EI692" s="25"/>
      <c r="EJ692" s="25"/>
      <c r="EK692" s="25"/>
      <c r="EL692" s="25"/>
      <c r="EM692" s="25"/>
      <c r="EN692" s="25"/>
      <c r="EO692" s="25"/>
      <c r="EP692" s="25"/>
      <c r="EQ692" s="25"/>
      <c r="ER692" s="25"/>
      <c r="ES692" s="25"/>
      <c r="ET692" s="25"/>
      <c r="EU692" s="25"/>
      <c r="EV692" s="25"/>
      <c r="EW692" s="25"/>
      <c r="EX692" s="25"/>
      <c r="EY692" s="25"/>
      <c r="EZ692" s="25"/>
      <c r="FA692" s="25"/>
      <c r="FB692" s="25"/>
      <c r="FC692" s="25"/>
      <c r="FD692" s="25"/>
      <c r="FE692" s="25"/>
      <c r="FF692" s="25"/>
      <c r="FG692" s="25"/>
      <c r="FH692" s="25"/>
      <c r="FI692" s="25"/>
      <c r="FJ692" s="25"/>
      <c r="FK692" s="25"/>
      <c r="FL692" s="25"/>
      <c r="FM692" s="25"/>
      <c r="FN692" s="25"/>
      <c r="FO692" s="25"/>
      <c r="FP692" s="25"/>
      <c r="FQ692" s="25"/>
      <c r="FR692" s="25"/>
      <c r="FS692" s="25"/>
      <c r="FT692" s="25"/>
      <c r="FU692" s="25"/>
      <c r="FV692" s="25"/>
      <c r="FW692" s="25"/>
      <c r="FX692" s="25"/>
      <c r="FY692" s="25"/>
      <c r="FZ692" s="25"/>
      <c r="GA692" s="25"/>
      <c r="GB692" s="25"/>
      <c r="GC692" s="25"/>
      <c r="GD692" s="25"/>
      <c r="GE692" s="25"/>
      <c r="GF692" s="25"/>
      <c r="GG692" s="25"/>
      <c r="GH692" s="25"/>
      <c r="GI692" s="25"/>
      <c r="GJ692" s="25"/>
      <c r="GK692" s="25"/>
      <c r="GL692" s="25"/>
      <c r="GM692" s="25"/>
      <c r="GN692" s="25"/>
      <c r="GO692" s="25"/>
      <c r="GP692" s="25"/>
      <c r="GQ692" s="25"/>
      <c r="GR692" s="25"/>
      <c r="GS692" s="25"/>
      <c r="GT692" s="25"/>
      <c r="GU692" s="25"/>
      <c r="GV692" s="25"/>
      <c r="GW692" s="25"/>
      <c r="GX692" s="25"/>
      <c r="GY692" s="25"/>
      <c r="GZ692" s="25"/>
      <c r="HA692" s="25"/>
      <c r="HB692" s="25"/>
      <c r="HC692" s="25"/>
      <c r="HD692" s="25"/>
      <c r="HE692" s="25"/>
      <c r="HF692" s="25"/>
      <c r="HG692" s="25"/>
      <c r="HH692" s="25"/>
      <c r="HI692" s="25"/>
      <c r="HJ692" s="25"/>
      <c r="HK692" s="25"/>
      <c r="HL692" s="25"/>
      <c r="HM692" s="25"/>
      <c r="HN692" s="25"/>
      <c r="HO692" s="25"/>
      <c r="HP692" s="25"/>
      <c r="HQ692" s="25"/>
      <c r="HR692" s="25"/>
      <c r="HS692" s="25"/>
      <c r="HT692" s="25"/>
      <c r="HU692" s="25"/>
      <c r="HV692" s="25"/>
      <c r="HW692" s="25"/>
      <c r="HX692" s="25"/>
      <c r="HY692" s="25"/>
      <c r="HZ692" s="25"/>
      <c r="IA692" s="25"/>
      <c r="IB692" s="25"/>
      <c r="IC692" s="25"/>
      <c r="ID692" s="25"/>
      <c r="IE692" s="25"/>
      <c r="IF692" s="25"/>
      <c r="IG692" s="25"/>
      <c r="IH692" s="25"/>
      <c r="II692" s="25"/>
      <c r="IJ692" s="25"/>
      <c r="IK692" s="25"/>
      <c r="IL692" s="25"/>
      <c r="IM692" s="25"/>
      <c r="IN692" s="25"/>
      <c r="IO692" s="25"/>
      <c r="IP692" s="25"/>
      <c r="IQ692" s="25"/>
      <c r="IR692" s="25"/>
      <c r="IS692" s="25"/>
      <c r="IT692" s="25"/>
      <c r="IU692" s="25"/>
      <c r="IV692" s="25"/>
      <c r="IW692" s="25"/>
      <c r="IX692" s="25"/>
      <c r="IY692" s="25"/>
      <c r="IZ692" s="25"/>
      <c r="JA692" s="25"/>
      <c r="JB692" s="25"/>
      <c r="JC692" s="25"/>
      <c r="JD692" s="25"/>
      <c r="JE692" s="25"/>
      <c r="JF692" s="25"/>
      <c r="JG692" s="25"/>
      <c r="JH692" s="25"/>
      <c r="JI692" s="25"/>
      <c r="JJ692" s="25"/>
      <c r="JK692" s="25"/>
      <c r="JL692" s="25"/>
      <c r="JM692" s="25"/>
      <c r="JN692" s="25"/>
      <c r="JO692" s="25"/>
      <c r="JP692" s="25"/>
      <c r="JQ692" s="25"/>
      <c r="JR692" s="25"/>
      <c r="JS692" s="25"/>
      <c r="JT692" s="25"/>
      <c r="JU692" s="25"/>
      <c r="JV692" s="25"/>
      <c r="JW692" s="25"/>
      <c r="JX692" s="25"/>
      <c r="JY692" s="25"/>
      <c r="JZ692" s="25"/>
      <c r="KA692" s="25"/>
      <c r="KB692" s="25"/>
      <c r="KC692" s="25"/>
      <c r="KD692" s="25"/>
      <c r="KE692" s="25"/>
      <c r="KF692" s="25"/>
      <c r="KG692" s="25"/>
      <c r="KH692" s="25"/>
      <c r="KI692" s="25"/>
      <c r="KJ692" s="25"/>
      <c r="KK692" s="25"/>
      <c r="KL692" s="25"/>
      <c r="KM692" s="25"/>
      <c r="KN692" s="25"/>
      <c r="KO692" s="25"/>
      <c r="KP692" s="25"/>
      <c r="KQ692" s="25"/>
      <c r="KR692" s="25"/>
      <c r="KS692" s="25"/>
      <c r="KT692" s="25"/>
      <c r="KU692" s="25"/>
      <c r="KV692" s="25"/>
      <c r="KW692" s="25"/>
      <c r="KX692" s="25"/>
      <c r="KY692" s="25"/>
      <c r="KZ692" s="25"/>
      <c r="LA692" s="25"/>
      <c r="LB692" s="25"/>
      <c r="LC692" s="25"/>
      <c r="LD692" s="25"/>
      <c r="LE692" s="25"/>
      <c r="LF692" s="25"/>
      <c r="LG692" s="25"/>
      <c r="LH692" s="25"/>
      <c r="LI692" s="25"/>
      <c r="LJ692" s="25"/>
      <c r="LK692" s="25"/>
      <c r="LL692" s="25"/>
      <c r="LM692" s="25"/>
      <c r="LN692" s="25"/>
      <c r="LO692" s="25"/>
      <c r="LP692" s="25"/>
      <c r="LQ692" s="25"/>
      <c r="LR692" s="25"/>
      <c r="LS692" s="25"/>
      <c r="LT692" s="25"/>
      <c r="LU692" s="25"/>
      <c r="LV692" s="25"/>
      <c r="LW692" s="25"/>
      <c r="LX692" s="25"/>
      <c r="LY692" s="25"/>
      <c r="LZ692" s="25"/>
      <c r="MA692" s="25"/>
      <c r="MB692" s="25"/>
      <c r="MC692" s="25"/>
      <c r="MD692" s="25"/>
      <c r="ME692" s="25"/>
      <c r="MF692" s="25"/>
      <c r="MG692" s="25"/>
      <c r="MH692" s="25"/>
      <c r="MI692" s="25"/>
      <c r="MJ692" s="25"/>
      <c r="MK692" s="25"/>
      <c r="ML692" s="25"/>
      <c r="MM692" s="25"/>
      <c r="MN692" s="25"/>
      <c r="MO692" s="25"/>
      <c r="MP692" s="25"/>
      <c r="MQ692" s="25"/>
      <c r="MR692" s="25"/>
      <c r="MS692" s="25"/>
      <c r="MT692" s="25"/>
      <c r="MU692" s="25"/>
      <c r="MV692" s="25"/>
      <c r="MW692" s="25"/>
      <c r="MX692" s="25"/>
      <c r="MY692" s="25"/>
      <c r="MZ692" s="25"/>
      <c r="NA692" s="25"/>
      <c r="NB692" s="25"/>
      <c r="NC692" s="25"/>
      <c r="ND692" s="25"/>
      <c r="NE692" s="25"/>
      <c r="NF692" s="25"/>
      <c r="NG692" s="25"/>
      <c r="NH692" s="25"/>
      <c r="NI692" s="25"/>
      <c r="NJ692" s="25"/>
      <c r="NK692" s="25"/>
      <c r="NL692" s="25"/>
      <c r="NM692" s="25"/>
      <c r="NN692" s="25"/>
      <c r="NO692" s="25"/>
      <c r="NP692" s="25"/>
      <c r="NQ692" s="25"/>
      <c r="NR692" s="25"/>
      <c r="NS692" s="25"/>
      <c r="NT692" s="25"/>
      <c r="NU692" s="25"/>
      <c r="NV692" s="25"/>
      <c r="NW692" s="25"/>
      <c r="NX692" s="25"/>
      <c r="NY692" s="25"/>
      <c r="NZ692" s="25"/>
      <c r="OA692" s="25"/>
      <c r="OB692" s="25"/>
      <c r="OC692" s="25"/>
      <c r="OD692" s="25"/>
      <c r="OE692" s="25"/>
      <c r="OF692" s="25"/>
      <c r="OG692" s="25"/>
      <c r="OH692" s="25"/>
      <c r="OI692" s="25"/>
      <c r="OJ692" s="25"/>
      <c r="OK692" s="25"/>
      <c r="OL692" s="25"/>
      <c r="OM692" s="25"/>
      <c r="ON692" s="25"/>
      <c r="OO692" s="25"/>
      <c r="OP692" s="25"/>
      <c r="OQ692" s="25"/>
      <c r="OR692" s="25"/>
      <c r="OS692" s="25"/>
      <c r="OT692" s="25"/>
      <c r="OU692" s="25"/>
      <c r="OV692" s="25"/>
      <c r="OW692" s="25"/>
      <c r="OX692" s="25"/>
      <c r="OY692" s="25"/>
      <c r="OZ692" s="25"/>
      <c r="PA692" s="25"/>
      <c r="PB692" s="25"/>
      <c r="PC692" s="25"/>
      <c r="PD692" s="25"/>
      <c r="PE692" s="25"/>
      <c r="PF692" s="25"/>
      <c r="PG692" s="25"/>
      <c r="PH692" s="25"/>
      <c r="PI692" s="25"/>
      <c r="PJ692" s="25"/>
      <c r="PK692" s="25"/>
      <c r="PL692" s="25"/>
      <c r="PM692" s="25"/>
      <c r="PN692" s="25"/>
      <c r="PO692" s="25"/>
      <c r="PP692" s="25"/>
      <c r="PQ692" s="25"/>
      <c r="PR692" s="25"/>
      <c r="PS692" s="25"/>
      <c r="PT692" s="25"/>
      <c r="PU692" s="25"/>
      <c r="PV692" s="25"/>
      <c r="PW692" s="25"/>
      <c r="PX692" s="25"/>
      <c r="PY692" s="25"/>
      <c r="PZ692" s="25"/>
      <c r="QA692" s="25"/>
      <c r="QB692" s="25"/>
      <c r="QC692" s="25"/>
      <c r="QD692" s="25"/>
      <c r="QE692" s="25"/>
      <c r="QF692" s="25"/>
      <c r="QG692" s="25"/>
      <c r="QH692" s="25"/>
      <c r="QI692" s="25"/>
      <c r="QJ692" s="25"/>
      <c r="QK692" s="25"/>
      <c r="QL692" s="25"/>
      <c r="QM692" s="25"/>
      <c r="QN692" s="25"/>
      <c r="QO692" s="25"/>
      <c r="QP692" s="25"/>
      <c r="QQ692" s="25"/>
      <c r="QR692" s="25"/>
      <c r="QS692" s="25"/>
      <c r="QT692" s="25"/>
      <c r="QU692" s="25"/>
      <c r="QV692" s="25"/>
      <c r="QW692" s="25"/>
      <c r="QX692" s="25"/>
      <c r="QY692" s="25"/>
      <c r="QZ692" s="25"/>
      <c r="RA692" s="25"/>
      <c r="RB692" s="25"/>
      <c r="RC692" s="25"/>
      <c r="RD692" s="25"/>
      <c r="RE692" s="25"/>
      <c r="RF692" s="25"/>
      <c r="RG692" s="25"/>
      <c r="RH692" s="25"/>
      <c r="RI692" s="25"/>
      <c r="RJ692" s="25"/>
      <c r="RK692" s="25"/>
      <c r="RL692" s="25"/>
      <c r="RM692" s="25"/>
      <c r="RN692" s="25"/>
      <c r="RO692" s="25"/>
      <c r="RP692" s="25"/>
      <c r="RQ692" s="25"/>
      <c r="RR692" s="25"/>
      <c r="RS692" s="25"/>
      <c r="RT692" s="25"/>
      <c r="RU692" s="25"/>
      <c r="RV692" s="25"/>
      <c r="RW692" s="25"/>
      <c r="RX692" s="25"/>
      <c r="RY692" s="25"/>
      <c r="RZ692" s="25"/>
      <c r="SA692" s="25"/>
      <c r="SB692" s="25"/>
      <c r="SC692" s="25"/>
      <c r="SD692" s="25"/>
      <c r="SE692" s="25"/>
      <c r="SF692" s="25"/>
      <c r="SG692" s="25"/>
      <c r="SH692" s="25"/>
      <c r="SI692" s="25"/>
      <c r="SJ692" s="25"/>
      <c r="SK692" s="25"/>
      <c r="SL692" s="25"/>
      <c r="SM692" s="25"/>
      <c r="SN692" s="25"/>
      <c r="SO692" s="25"/>
      <c r="SP692" s="25"/>
      <c r="SQ692" s="25"/>
      <c r="SR692" s="25"/>
      <c r="SS692" s="25"/>
      <c r="ST692" s="25"/>
      <c r="SU692" s="25"/>
      <c r="SV692" s="25"/>
      <c r="SW692" s="25"/>
      <c r="SX692" s="25"/>
      <c r="SY692" s="25"/>
      <c r="SZ692" s="25"/>
      <c r="TA692" s="25"/>
      <c r="TB692" s="25"/>
      <c r="TC692" s="25"/>
      <c r="TD692" s="25"/>
      <c r="TE692" s="25"/>
      <c r="TF692" s="25"/>
      <c r="TG692" s="25"/>
      <c r="TH692" s="25"/>
      <c r="TI692" s="25"/>
      <c r="TJ692" s="25"/>
      <c r="TK692" s="25"/>
      <c r="TL692" s="25"/>
      <c r="TM692" s="25"/>
      <c r="TN692" s="25"/>
      <c r="TO692" s="25"/>
      <c r="TP692" s="25"/>
      <c r="TQ692" s="25"/>
      <c r="TR692" s="25"/>
      <c r="TS692" s="25"/>
      <c r="TT692" s="25"/>
      <c r="TU692" s="25"/>
      <c r="TV692" s="25"/>
      <c r="TW692" s="25"/>
      <c r="TX692" s="25"/>
      <c r="TY692" s="25"/>
      <c r="TZ692" s="25"/>
      <c r="UA692" s="25"/>
      <c r="UB692" s="25"/>
      <c r="UC692" s="25"/>
      <c r="UD692" s="25"/>
      <c r="UE692" s="25"/>
      <c r="UF692" s="25"/>
      <c r="UG692" s="26"/>
    </row>
    <row r="693" spans="1:553" ht="163.5" customHeight="1">
      <c r="A693" s="356"/>
      <c r="B693" s="385"/>
      <c r="C693" s="384" t="s">
        <v>23</v>
      </c>
      <c r="D693" s="376" t="s">
        <v>20</v>
      </c>
      <c r="E693" s="376" t="s">
        <v>490</v>
      </c>
      <c r="F693" s="385">
        <v>1</v>
      </c>
      <c r="G693" s="396" t="s">
        <v>33</v>
      </c>
      <c r="H693" s="387">
        <v>131.19999999999999</v>
      </c>
      <c r="I693" s="490">
        <v>131.19999999999999</v>
      </c>
      <c r="J693" s="368">
        <v>62000</v>
      </c>
      <c r="K693" s="391"/>
      <c r="L693" s="480">
        <f t="shared" si="110"/>
        <v>8134399.9999999991</v>
      </c>
      <c r="M693" s="392"/>
      <c r="N693" s="392"/>
      <c r="O693" s="366"/>
      <c r="P693" s="366"/>
      <c r="Q693" s="761" t="s">
        <v>491</v>
      </c>
      <c r="R693" s="1452"/>
      <c r="S693" s="308"/>
      <c r="T693" s="308"/>
      <c r="U693" s="308"/>
      <c r="V693" s="308"/>
      <c r="W693" s="685">
        <f>I693</f>
        <v>131.19999999999999</v>
      </c>
      <c r="X693" s="308"/>
      <c r="Y693" s="308"/>
      <c r="Z693" s="604"/>
      <c r="AA693" s="308"/>
      <c r="AB693" s="308"/>
      <c r="AC693" s="449"/>
      <c r="AD693" s="449"/>
      <c r="AE693" s="449"/>
      <c r="AF693" s="449"/>
      <c r="AG693" s="449"/>
      <c r="AH693" s="449"/>
      <c r="AI693" s="449"/>
      <c r="AJ693" s="449"/>
      <c r="AK693" s="452"/>
      <c r="AL693" s="104"/>
      <c r="AM693" s="32"/>
      <c r="AN693" s="32"/>
      <c r="AO693" s="32"/>
      <c r="AP693" s="32"/>
      <c r="AQ693" s="32"/>
      <c r="AR693" s="32"/>
      <c r="AS693" s="31"/>
      <c r="AT693" s="22"/>
      <c r="AU693" s="22"/>
      <c r="AV693" s="22"/>
      <c r="AW693" s="22"/>
      <c r="AX693" s="22"/>
      <c r="AY693" s="22"/>
      <c r="AZ693" s="22"/>
      <c r="BA693" s="22"/>
      <c r="BB693" s="22"/>
      <c r="BC693" s="22"/>
      <c r="BD693" s="22"/>
      <c r="BE693" s="22"/>
      <c r="BF693" s="22"/>
      <c r="BG693" s="22"/>
      <c r="BH693" s="22"/>
      <c r="BI693" s="22"/>
      <c r="BJ693" s="22"/>
      <c r="BK693" s="22"/>
      <c r="BL693" s="22"/>
      <c r="BM693" s="22"/>
      <c r="BN693" s="22"/>
      <c r="BO693" s="22"/>
      <c r="BP693" s="25"/>
      <c r="BQ693" s="25"/>
      <c r="BR693" s="25"/>
      <c r="BS693" s="25"/>
      <c r="BT693" s="25"/>
      <c r="BU693" s="25"/>
      <c r="BV693" s="25"/>
      <c r="BW693" s="25"/>
      <c r="BX693" s="25"/>
      <c r="BY693" s="25"/>
      <c r="BZ693" s="25"/>
      <c r="CA693" s="25"/>
      <c r="CB693" s="25"/>
      <c r="CC693" s="25"/>
      <c r="CD693" s="25"/>
      <c r="CE693" s="25"/>
      <c r="CF693" s="25"/>
      <c r="CG693" s="25"/>
      <c r="CH693" s="25"/>
      <c r="CI693" s="25"/>
      <c r="CJ693" s="25"/>
      <c r="CK693" s="25"/>
      <c r="CL693" s="25"/>
      <c r="CM693" s="25"/>
      <c r="CN693" s="25"/>
      <c r="CO693" s="25"/>
      <c r="CP693" s="25"/>
      <c r="CQ693" s="25"/>
      <c r="CR693" s="25"/>
      <c r="CS693" s="25"/>
      <c r="CT693" s="25"/>
      <c r="CU693" s="25"/>
      <c r="CV693" s="25"/>
      <c r="CW693" s="25"/>
      <c r="CX693" s="25"/>
      <c r="CY693" s="25"/>
      <c r="CZ693" s="25"/>
      <c r="DA693" s="25"/>
      <c r="DB693" s="25"/>
      <c r="DC693" s="25"/>
      <c r="DD693" s="25"/>
      <c r="DE693" s="25"/>
      <c r="DF693" s="25"/>
      <c r="DG693" s="25"/>
      <c r="DH693" s="25"/>
      <c r="DI693" s="25"/>
      <c r="DJ693" s="25"/>
      <c r="DK693" s="25"/>
      <c r="DL693" s="25"/>
      <c r="DM693" s="25"/>
      <c r="DN693" s="25"/>
      <c r="DO693" s="25"/>
      <c r="DP693" s="25"/>
      <c r="DQ693" s="25"/>
      <c r="DR693" s="25"/>
      <c r="DS693" s="25"/>
      <c r="DT693" s="25"/>
      <c r="DU693" s="25"/>
      <c r="DV693" s="25"/>
      <c r="DW693" s="25"/>
      <c r="DX693" s="25"/>
      <c r="DY693" s="25"/>
      <c r="DZ693" s="25"/>
      <c r="EA693" s="25"/>
      <c r="EB693" s="25"/>
      <c r="EC693" s="25"/>
      <c r="ED693" s="25"/>
      <c r="EE693" s="25"/>
      <c r="EF693" s="25"/>
      <c r="EG693" s="25"/>
      <c r="EH693" s="25"/>
      <c r="EI693" s="25"/>
      <c r="EJ693" s="25"/>
      <c r="EK693" s="25"/>
      <c r="EL693" s="25"/>
      <c r="EM693" s="25"/>
      <c r="EN693" s="25"/>
      <c r="EO693" s="25"/>
      <c r="EP693" s="25"/>
      <c r="EQ693" s="25"/>
      <c r="ER693" s="25"/>
      <c r="ES693" s="25"/>
      <c r="ET693" s="25"/>
      <c r="EU693" s="25"/>
      <c r="EV693" s="25"/>
      <c r="EW693" s="25"/>
      <c r="EX693" s="25"/>
      <c r="EY693" s="25"/>
      <c r="EZ693" s="25"/>
      <c r="FA693" s="25"/>
      <c r="FB693" s="25"/>
      <c r="FC693" s="25"/>
      <c r="FD693" s="25"/>
      <c r="FE693" s="25"/>
      <c r="FF693" s="25"/>
      <c r="FG693" s="25"/>
      <c r="FH693" s="25"/>
      <c r="FI693" s="25"/>
      <c r="FJ693" s="25"/>
      <c r="FK693" s="25"/>
      <c r="FL693" s="25"/>
      <c r="FM693" s="25"/>
      <c r="FN693" s="25"/>
      <c r="FO693" s="25"/>
      <c r="FP693" s="25"/>
      <c r="FQ693" s="25"/>
      <c r="FR693" s="25"/>
      <c r="FS693" s="25"/>
      <c r="FT693" s="25"/>
      <c r="FU693" s="25"/>
      <c r="FV693" s="25"/>
      <c r="FW693" s="25"/>
      <c r="FX693" s="25"/>
      <c r="FY693" s="25"/>
      <c r="FZ693" s="25"/>
      <c r="GA693" s="25"/>
      <c r="GB693" s="25"/>
      <c r="GC693" s="25"/>
      <c r="GD693" s="25"/>
      <c r="GE693" s="25"/>
      <c r="GF693" s="25"/>
      <c r="GG693" s="25"/>
      <c r="GH693" s="25"/>
      <c r="GI693" s="25"/>
      <c r="GJ693" s="25"/>
      <c r="GK693" s="25"/>
      <c r="GL693" s="25"/>
      <c r="GM693" s="25"/>
      <c r="GN693" s="25"/>
      <c r="GO693" s="25"/>
      <c r="GP693" s="25"/>
      <c r="GQ693" s="25"/>
      <c r="GR693" s="25"/>
      <c r="GS693" s="25"/>
      <c r="GT693" s="25"/>
      <c r="GU693" s="25"/>
      <c r="GV693" s="25"/>
      <c r="GW693" s="25"/>
      <c r="GX693" s="25"/>
      <c r="GY693" s="25"/>
      <c r="GZ693" s="25"/>
      <c r="HA693" s="25"/>
      <c r="HB693" s="25"/>
      <c r="HC693" s="25"/>
      <c r="HD693" s="25"/>
      <c r="HE693" s="25"/>
      <c r="HF693" s="25"/>
      <c r="HG693" s="25"/>
      <c r="HH693" s="25"/>
      <c r="HI693" s="25"/>
      <c r="HJ693" s="25"/>
      <c r="HK693" s="25"/>
      <c r="HL693" s="25"/>
      <c r="HM693" s="25"/>
      <c r="HN693" s="25"/>
      <c r="HO693" s="25"/>
      <c r="HP693" s="25"/>
      <c r="HQ693" s="25"/>
      <c r="HR693" s="25"/>
      <c r="HS693" s="25"/>
      <c r="HT693" s="25"/>
      <c r="HU693" s="25"/>
      <c r="HV693" s="25"/>
      <c r="HW693" s="25"/>
      <c r="HX693" s="25"/>
      <c r="HY693" s="25"/>
      <c r="HZ693" s="25"/>
      <c r="IA693" s="25"/>
      <c r="IB693" s="25"/>
      <c r="IC693" s="25"/>
      <c r="ID693" s="25"/>
      <c r="IE693" s="25"/>
      <c r="IF693" s="25"/>
      <c r="IG693" s="25"/>
      <c r="IH693" s="25"/>
      <c r="II693" s="25"/>
      <c r="IJ693" s="25"/>
      <c r="IK693" s="25"/>
      <c r="IL693" s="25"/>
      <c r="IM693" s="25"/>
      <c r="IN693" s="25"/>
      <c r="IO693" s="25"/>
      <c r="IP693" s="25"/>
      <c r="IQ693" s="25"/>
      <c r="IR693" s="25"/>
      <c r="IS693" s="25"/>
      <c r="IT693" s="25"/>
      <c r="IU693" s="25"/>
      <c r="IV693" s="25"/>
      <c r="IW693" s="25"/>
      <c r="IX693" s="25"/>
      <c r="IY693" s="25"/>
      <c r="IZ693" s="25"/>
      <c r="JA693" s="25"/>
      <c r="JB693" s="25"/>
      <c r="JC693" s="25"/>
      <c r="JD693" s="25"/>
      <c r="JE693" s="25"/>
      <c r="JF693" s="25"/>
      <c r="JG693" s="25"/>
      <c r="JH693" s="25"/>
      <c r="JI693" s="25"/>
      <c r="JJ693" s="25"/>
      <c r="JK693" s="25"/>
      <c r="JL693" s="25"/>
      <c r="JM693" s="25"/>
      <c r="JN693" s="25"/>
      <c r="JO693" s="25"/>
      <c r="JP693" s="25"/>
      <c r="JQ693" s="25"/>
      <c r="JR693" s="25"/>
      <c r="JS693" s="25"/>
      <c r="JT693" s="25"/>
      <c r="JU693" s="25"/>
      <c r="JV693" s="25"/>
      <c r="JW693" s="25"/>
      <c r="JX693" s="25"/>
      <c r="JY693" s="25"/>
      <c r="JZ693" s="25"/>
      <c r="KA693" s="25"/>
      <c r="KB693" s="25"/>
      <c r="KC693" s="25"/>
      <c r="KD693" s="25"/>
      <c r="KE693" s="25"/>
      <c r="KF693" s="25"/>
      <c r="KG693" s="25"/>
      <c r="KH693" s="25"/>
      <c r="KI693" s="25"/>
      <c r="KJ693" s="25"/>
      <c r="KK693" s="25"/>
      <c r="KL693" s="25"/>
      <c r="KM693" s="25"/>
      <c r="KN693" s="25"/>
      <c r="KO693" s="25"/>
      <c r="KP693" s="25"/>
      <c r="KQ693" s="25"/>
      <c r="KR693" s="25"/>
      <c r="KS693" s="25"/>
      <c r="KT693" s="25"/>
      <c r="KU693" s="25"/>
      <c r="KV693" s="25"/>
      <c r="KW693" s="25"/>
      <c r="KX693" s="25"/>
      <c r="KY693" s="25"/>
      <c r="KZ693" s="25"/>
      <c r="LA693" s="25"/>
      <c r="LB693" s="25"/>
      <c r="LC693" s="25"/>
      <c r="LD693" s="25"/>
      <c r="LE693" s="25"/>
      <c r="LF693" s="25"/>
      <c r="LG693" s="25"/>
      <c r="LH693" s="25"/>
      <c r="LI693" s="25"/>
      <c r="LJ693" s="25"/>
      <c r="LK693" s="25"/>
      <c r="LL693" s="25"/>
      <c r="LM693" s="25"/>
      <c r="LN693" s="25"/>
      <c r="LO693" s="25"/>
      <c r="LP693" s="25"/>
      <c r="LQ693" s="25"/>
      <c r="LR693" s="25"/>
      <c r="LS693" s="25"/>
      <c r="LT693" s="25"/>
      <c r="LU693" s="25"/>
      <c r="LV693" s="25"/>
      <c r="LW693" s="25"/>
      <c r="LX693" s="25"/>
      <c r="LY693" s="25"/>
      <c r="LZ693" s="25"/>
      <c r="MA693" s="25"/>
      <c r="MB693" s="25"/>
      <c r="MC693" s="25"/>
      <c r="MD693" s="25"/>
      <c r="ME693" s="25"/>
      <c r="MF693" s="25"/>
      <c r="MG693" s="25"/>
      <c r="MH693" s="25"/>
      <c r="MI693" s="25"/>
      <c r="MJ693" s="25"/>
      <c r="MK693" s="25"/>
      <c r="ML693" s="25"/>
      <c r="MM693" s="25"/>
      <c r="MN693" s="25"/>
      <c r="MO693" s="25"/>
      <c r="MP693" s="25"/>
      <c r="MQ693" s="25"/>
      <c r="MR693" s="25"/>
      <c r="MS693" s="25"/>
      <c r="MT693" s="25"/>
      <c r="MU693" s="25"/>
      <c r="MV693" s="25"/>
      <c r="MW693" s="25"/>
      <c r="MX693" s="25"/>
      <c r="MY693" s="25"/>
      <c r="MZ693" s="25"/>
      <c r="NA693" s="25"/>
      <c r="NB693" s="25"/>
      <c r="NC693" s="25"/>
      <c r="ND693" s="25"/>
      <c r="NE693" s="25"/>
      <c r="NF693" s="25"/>
      <c r="NG693" s="25"/>
      <c r="NH693" s="25"/>
      <c r="NI693" s="25"/>
      <c r="NJ693" s="25"/>
      <c r="NK693" s="25"/>
      <c r="NL693" s="25"/>
      <c r="NM693" s="25"/>
      <c r="NN693" s="25"/>
      <c r="NO693" s="25"/>
      <c r="NP693" s="25"/>
      <c r="NQ693" s="25"/>
      <c r="NR693" s="25"/>
      <c r="NS693" s="25"/>
      <c r="NT693" s="25"/>
      <c r="NU693" s="25"/>
      <c r="NV693" s="25"/>
      <c r="NW693" s="25"/>
      <c r="NX693" s="25"/>
      <c r="NY693" s="25"/>
      <c r="NZ693" s="25"/>
      <c r="OA693" s="25"/>
      <c r="OB693" s="25"/>
      <c r="OC693" s="25"/>
      <c r="OD693" s="25"/>
      <c r="OE693" s="25"/>
      <c r="OF693" s="25"/>
      <c r="OG693" s="25"/>
      <c r="OH693" s="25"/>
      <c r="OI693" s="25"/>
      <c r="OJ693" s="25"/>
      <c r="OK693" s="25"/>
      <c r="OL693" s="25"/>
      <c r="OM693" s="25"/>
      <c r="ON693" s="25"/>
      <c r="OO693" s="25"/>
      <c r="OP693" s="25"/>
      <c r="OQ693" s="25"/>
      <c r="OR693" s="25"/>
      <c r="OS693" s="25"/>
      <c r="OT693" s="25"/>
      <c r="OU693" s="25"/>
      <c r="OV693" s="25"/>
      <c r="OW693" s="25"/>
      <c r="OX693" s="25"/>
      <c r="OY693" s="25"/>
      <c r="OZ693" s="25"/>
      <c r="PA693" s="25"/>
      <c r="PB693" s="25"/>
      <c r="PC693" s="25"/>
      <c r="PD693" s="25"/>
      <c r="PE693" s="25"/>
      <c r="PF693" s="25"/>
      <c r="PG693" s="25"/>
      <c r="PH693" s="25"/>
      <c r="PI693" s="25"/>
      <c r="PJ693" s="25"/>
      <c r="PK693" s="25"/>
      <c r="PL693" s="25"/>
      <c r="PM693" s="25"/>
      <c r="PN693" s="25"/>
      <c r="PO693" s="25"/>
      <c r="PP693" s="25"/>
      <c r="PQ693" s="25"/>
      <c r="PR693" s="25"/>
      <c r="PS693" s="25"/>
      <c r="PT693" s="25"/>
      <c r="PU693" s="25"/>
      <c r="PV693" s="25"/>
      <c r="PW693" s="25"/>
      <c r="PX693" s="25"/>
      <c r="PY693" s="25"/>
      <c r="PZ693" s="25"/>
      <c r="QA693" s="25"/>
      <c r="QB693" s="25"/>
      <c r="QC693" s="25"/>
      <c r="QD693" s="25"/>
      <c r="QE693" s="25"/>
      <c r="QF693" s="25"/>
      <c r="QG693" s="25"/>
      <c r="QH693" s="25"/>
      <c r="QI693" s="25"/>
      <c r="QJ693" s="25"/>
      <c r="QK693" s="25"/>
      <c r="QL693" s="25"/>
      <c r="QM693" s="25"/>
      <c r="QN693" s="25"/>
      <c r="QO693" s="25"/>
      <c r="QP693" s="25"/>
      <c r="QQ693" s="25"/>
      <c r="QR693" s="25"/>
      <c r="QS693" s="25"/>
      <c r="QT693" s="25"/>
      <c r="QU693" s="25"/>
      <c r="QV693" s="25"/>
      <c r="QW693" s="25"/>
      <c r="QX693" s="25"/>
      <c r="QY693" s="25"/>
      <c r="QZ693" s="25"/>
      <c r="RA693" s="25"/>
      <c r="RB693" s="25"/>
      <c r="RC693" s="25"/>
      <c r="RD693" s="25"/>
      <c r="RE693" s="25"/>
      <c r="RF693" s="25"/>
      <c r="RG693" s="25"/>
      <c r="RH693" s="25"/>
      <c r="RI693" s="25"/>
      <c r="RJ693" s="25"/>
      <c r="RK693" s="25"/>
      <c r="RL693" s="25"/>
      <c r="RM693" s="25"/>
      <c r="RN693" s="25"/>
      <c r="RO693" s="25"/>
      <c r="RP693" s="25"/>
      <c r="RQ693" s="25"/>
      <c r="RR693" s="25"/>
      <c r="RS693" s="25"/>
      <c r="RT693" s="25"/>
      <c r="RU693" s="25"/>
      <c r="RV693" s="25"/>
      <c r="RW693" s="25"/>
      <c r="RX693" s="25"/>
      <c r="RY693" s="25"/>
      <c r="RZ693" s="25"/>
      <c r="SA693" s="25"/>
      <c r="SB693" s="25"/>
      <c r="SC693" s="25"/>
      <c r="SD693" s="25"/>
      <c r="SE693" s="25"/>
      <c r="SF693" s="25"/>
      <c r="SG693" s="25"/>
      <c r="SH693" s="25"/>
      <c r="SI693" s="25"/>
      <c r="SJ693" s="25"/>
      <c r="SK693" s="25"/>
      <c r="SL693" s="25"/>
      <c r="SM693" s="25"/>
      <c r="SN693" s="25"/>
      <c r="SO693" s="25"/>
      <c r="SP693" s="25"/>
      <c r="SQ693" s="25"/>
      <c r="SR693" s="25"/>
      <c r="SS693" s="25"/>
      <c r="ST693" s="25"/>
      <c r="SU693" s="25"/>
      <c r="SV693" s="25"/>
      <c r="SW693" s="25"/>
      <c r="SX693" s="25"/>
      <c r="SY693" s="25"/>
      <c r="SZ693" s="25"/>
      <c r="TA693" s="25"/>
      <c r="TB693" s="25"/>
      <c r="TC693" s="25"/>
      <c r="TD693" s="25"/>
      <c r="TE693" s="25"/>
      <c r="TF693" s="25"/>
      <c r="TG693" s="25"/>
      <c r="TH693" s="25"/>
      <c r="TI693" s="25"/>
      <c r="TJ693" s="25"/>
      <c r="TK693" s="25"/>
      <c r="TL693" s="25"/>
      <c r="TM693" s="25"/>
      <c r="TN693" s="25"/>
      <c r="TO693" s="25"/>
      <c r="TP693" s="25"/>
      <c r="TQ693" s="25"/>
      <c r="TR693" s="25"/>
      <c r="TS693" s="25"/>
      <c r="TT693" s="25"/>
      <c r="TU693" s="25"/>
      <c r="TV693" s="25"/>
      <c r="TW693" s="25"/>
      <c r="TX693" s="25"/>
      <c r="TY693" s="25"/>
      <c r="TZ693" s="25"/>
      <c r="UA693" s="25"/>
      <c r="UB693" s="25"/>
      <c r="UC693" s="25"/>
      <c r="UD693" s="25"/>
      <c r="UE693" s="25"/>
      <c r="UF693" s="25"/>
      <c r="UG693" s="26"/>
    </row>
    <row r="694" spans="1:553" ht="163.5" customHeight="1">
      <c r="A694" s="356"/>
      <c r="B694" s="385"/>
      <c r="C694" s="384" t="s">
        <v>23</v>
      </c>
      <c r="D694" s="376" t="s">
        <v>20</v>
      </c>
      <c r="E694" s="376" t="s">
        <v>492</v>
      </c>
      <c r="F694" s="385">
        <v>1</v>
      </c>
      <c r="G694" s="396" t="s">
        <v>33</v>
      </c>
      <c r="H694" s="387">
        <v>243.3</v>
      </c>
      <c r="I694" s="490">
        <v>243.3</v>
      </c>
      <c r="J694" s="368">
        <v>62000</v>
      </c>
      <c r="K694" s="391"/>
      <c r="L694" s="480">
        <f t="shared" si="110"/>
        <v>15084600</v>
      </c>
      <c r="M694" s="392"/>
      <c r="N694" s="392"/>
      <c r="O694" s="366"/>
      <c r="P694" s="366"/>
      <c r="Q694" s="761" t="s">
        <v>491</v>
      </c>
      <c r="R694" s="1452"/>
      <c r="S694" s="308"/>
      <c r="T694" s="308"/>
      <c r="U694" s="308"/>
      <c r="V694" s="308"/>
      <c r="W694" s="685">
        <f>I694</f>
        <v>243.3</v>
      </c>
      <c r="X694" s="308"/>
      <c r="Y694" s="308"/>
      <c r="Z694" s="604"/>
      <c r="AA694" s="308"/>
      <c r="AB694" s="308"/>
      <c r="AC694" s="449"/>
      <c r="AD694" s="449"/>
      <c r="AE694" s="449"/>
      <c r="AF694" s="449"/>
      <c r="AG694" s="449"/>
      <c r="AH694" s="449"/>
      <c r="AI694" s="449"/>
      <c r="AJ694" s="449"/>
      <c r="AK694" s="452"/>
      <c r="AL694" s="104"/>
      <c r="AM694" s="32"/>
      <c r="AN694" s="32"/>
      <c r="AO694" s="32"/>
      <c r="AP694" s="32"/>
      <c r="AQ694" s="32"/>
      <c r="AR694" s="32"/>
      <c r="AS694" s="31"/>
      <c r="AT694" s="22"/>
      <c r="AU694" s="22"/>
      <c r="AV694" s="22"/>
      <c r="AW694" s="22"/>
      <c r="AX694" s="22"/>
      <c r="AY694" s="22"/>
      <c r="AZ694" s="22"/>
      <c r="BA694" s="22"/>
      <c r="BB694" s="22"/>
      <c r="BC694" s="22"/>
      <c r="BD694" s="22"/>
      <c r="BE694" s="22"/>
      <c r="BF694" s="22"/>
      <c r="BG694" s="22"/>
      <c r="BH694" s="22"/>
      <c r="BI694" s="22"/>
      <c r="BJ694" s="22"/>
      <c r="BK694" s="22"/>
      <c r="BL694" s="22"/>
      <c r="BM694" s="22"/>
      <c r="BN694" s="22"/>
      <c r="BO694" s="22"/>
      <c r="BP694" s="25"/>
      <c r="BQ694" s="25"/>
      <c r="BR694" s="25"/>
      <c r="BS694" s="25"/>
      <c r="BT694" s="25"/>
      <c r="BU694" s="25"/>
      <c r="BV694" s="25"/>
      <c r="BW694" s="25"/>
      <c r="BX694" s="25"/>
      <c r="BY694" s="25"/>
      <c r="BZ694" s="25"/>
      <c r="CA694" s="25"/>
      <c r="CB694" s="25"/>
      <c r="CC694" s="25"/>
      <c r="CD694" s="25"/>
      <c r="CE694" s="25"/>
      <c r="CF694" s="25"/>
      <c r="CG694" s="25"/>
      <c r="CH694" s="25"/>
      <c r="CI694" s="25"/>
      <c r="CJ694" s="25"/>
      <c r="CK694" s="25"/>
      <c r="CL694" s="25"/>
      <c r="CM694" s="25"/>
      <c r="CN694" s="25"/>
      <c r="CO694" s="25"/>
      <c r="CP694" s="25"/>
      <c r="CQ694" s="25"/>
      <c r="CR694" s="25"/>
      <c r="CS694" s="25"/>
      <c r="CT694" s="25"/>
      <c r="CU694" s="25"/>
      <c r="CV694" s="25"/>
      <c r="CW694" s="25"/>
      <c r="CX694" s="25"/>
      <c r="CY694" s="25"/>
      <c r="CZ694" s="25"/>
      <c r="DA694" s="25"/>
      <c r="DB694" s="25"/>
      <c r="DC694" s="25"/>
      <c r="DD694" s="25"/>
      <c r="DE694" s="25"/>
      <c r="DF694" s="25"/>
      <c r="DG694" s="25"/>
      <c r="DH694" s="25"/>
      <c r="DI694" s="25"/>
      <c r="DJ694" s="25"/>
      <c r="DK694" s="25"/>
      <c r="DL694" s="25"/>
      <c r="DM694" s="25"/>
      <c r="DN694" s="25"/>
      <c r="DO694" s="25"/>
      <c r="DP694" s="25"/>
      <c r="DQ694" s="25"/>
      <c r="DR694" s="25"/>
      <c r="DS694" s="25"/>
      <c r="DT694" s="25"/>
      <c r="DU694" s="25"/>
      <c r="DV694" s="25"/>
      <c r="DW694" s="25"/>
      <c r="DX694" s="25"/>
      <c r="DY694" s="25"/>
      <c r="DZ694" s="25"/>
      <c r="EA694" s="25"/>
      <c r="EB694" s="25"/>
      <c r="EC694" s="25"/>
      <c r="ED694" s="25"/>
      <c r="EE694" s="25"/>
      <c r="EF694" s="25"/>
      <c r="EG694" s="25"/>
      <c r="EH694" s="25"/>
      <c r="EI694" s="25"/>
      <c r="EJ694" s="25"/>
      <c r="EK694" s="25"/>
      <c r="EL694" s="25"/>
      <c r="EM694" s="25"/>
      <c r="EN694" s="25"/>
      <c r="EO694" s="25"/>
      <c r="EP694" s="25"/>
      <c r="EQ694" s="25"/>
      <c r="ER694" s="25"/>
      <c r="ES694" s="25"/>
      <c r="ET694" s="25"/>
      <c r="EU694" s="25"/>
      <c r="EV694" s="25"/>
      <c r="EW694" s="25"/>
      <c r="EX694" s="25"/>
      <c r="EY694" s="25"/>
      <c r="EZ694" s="25"/>
      <c r="FA694" s="25"/>
      <c r="FB694" s="25"/>
      <c r="FC694" s="25"/>
      <c r="FD694" s="25"/>
      <c r="FE694" s="25"/>
      <c r="FF694" s="25"/>
      <c r="FG694" s="25"/>
      <c r="FH694" s="25"/>
      <c r="FI694" s="25"/>
      <c r="FJ694" s="25"/>
      <c r="FK694" s="25"/>
      <c r="FL694" s="25"/>
      <c r="FM694" s="25"/>
      <c r="FN694" s="25"/>
      <c r="FO694" s="25"/>
      <c r="FP694" s="25"/>
      <c r="FQ694" s="25"/>
      <c r="FR694" s="25"/>
      <c r="FS694" s="25"/>
      <c r="FT694" s="25"/>
      <c r="FU694" s="25"/>
      <c r="FV694" s="25"/>
      <c r="FW694" s="25"/>
      <c r="FX694" s="25"/>
      <c r="FY694" s="25"/>
      <c r="FZ694" s="25"/>
      <c r="GA694" s="25"/>
      <c r="GB694" s="25"/>
      <c r="GC694" s="25"/>
      <c r="GD694" s="25"/>
      <c r="GE694" s="25"/>
      <c r="GF694" s="25"/>
      <c r="GG694" s="25"/>
      <c r="GH694" s="25"/>
      <c r="GI694" s="25"/>
      <c r="GJ694" s="25"/>
      <c r="GK694" s="25"/>
      <c r="GL694" s="25"/>
      <c r="GM694" s="25"/>
      <c r="GN694" s="25"/>
      <c r="GO694" s="25"/>
      <c r="GP694" s="25"/>
      <c r="GQ694" s="25"/>
      <c r="GR694" s="25"/>
      <c r="GS694" s="25"/>
      <c r="GT694" s="25"/>
      <c r="GU694" s="25"/>
      <c r="GV694" s="25"/>
      <c r="GW694" s="25"/>
      <c r="GX694" s="25"/>
      <c r="GY694" s="25"/>
      <c r="GZ694" s="25"/>
      <c r="HA694" s="25"/>
      <c r="HB694" s="25"/>
      <c r="HC694" s="25"/>
      <c r="HD694" s="25"/>
      <c r="HE694" s="25"/>
      <c r="HF694" s="25"/>
      <c r="HG694" s="25"/>
      <c r="HH694" s="25"/>
      <c r="HI694" s="25"/>
      <c r="HJ694" s="25"/>
      <c r="HK694" s="25"/>
      <c r="HL694" s="25"/>
      <c r="HM694" s="25"/>
      <c r="HN694" s="25"/>
      <c r="HO694" s="25"/>
      <c r="HP694" s="25"/>
      <c r="HQ694" s="25"/>
      <c r="HR694" s="25"/>
      <c r="HS694" s="25"/>
      <c r="HT694" s="25"/>
      <c r="HU694" s="25"/>
      <c r="HV694" s="25"/>
      <c r="HW694" s="25"/>
      <c r="HX694" s="25"/>
      <c r="HY694" s="25"/>
      <c r="HZ694" s="25"/>
      <c r="IA694" s="25"/>
      <c r="IB694" s="25"/>
      <c r="IC694" s="25"/>
      <c r="ID694" s="25"/>
      <c r="IE694" s="25"/>
      <c r="IF694" s="25"/>
      <c r="IG694" s="25"/>
      <c r="IH694" s="25"/>
      <c r="II694" s="25"/>
      <c r="IJ694" s="25"/>
      <c r="IK694" s="25"/>
      <c r="IL694" s="25"/>
      <c r="IM694" s="25"/>
      <c r="IN694" s="25"/>
      <c r="IO694" s="25"/>
      <c r="IP694" s="25"/>
      <c r="IQ694" s="25"/>
      <c r="IR694" s="25"/>
      <c r="IS694" s="25"/>
      <c r="IT694" s="25"/>
      <c r="IU694" s="25"/>
      <c r="IV694" s="25"/>
      <c r="IW694" s="25"/>
      <c r="IX694" s="25"/>
      <c r="IY694" s="25"/>
      <c r="IZ694" s="25"/>
      <c r="JA694" s="25"/>
      <c r="JB694" s="25"/>
      <c r="JC694" s="25"/>
      <c r="JD694" s="25"/>
      <c r="JE694" s="25"/>
      <c r="JF694" s="25"/>
      <c r="JG694" s="25"/>
      <c r="JH694" s="25"/>
      <c r="JI694" s="25"/>
      <c r="JJ694" s="25"/>
      <c r="JK694" s="25"/>
      <c r="JL694" s="25"/>
      <c r="JM694" s="25"/>
      <c r="JN694" s="25"/>
      <c r="JO694" s="25"/>
      <c r="JP694" s="25"/>
      <c r="JQ694" s="25"/>
      <c r="JR694" s="25"/>
      <c r="JS694" s="25"/>
      <c r="JT694" s="25"/>
      <c r="JU694" s="25"/>
      <c r="JV694" s="25"/>
      <c r="JW694" s="25"/>
      <c r="JX694" s="25"/>
      <c r="JY694" s="25"/>
      <c r="JZ694" s="25"/>
      <c r="KA694" s="25"/>
      <c r="KB694" s="25"/>
      <c r="KC694" s="25"/>
      <c r="KD694" s="25"/>
      <c r="KE694" s="25"/>
      <c r="KF694" s="25"/>
      <c r="KG694" s="25"/>
      <c r="KH694" s="25"/>
      <c r="KI694" s="25"/>
      <c r="KJ694" s="25"/>
      <c r="KK694" s="25"/>
      <c r="KL694" s="25"/>
      <c r="KM694" s="25"/>
      <c r="KN694" s="25"/>
      <c r="KO694" s="25"/>
      <c r="KP694" s="25"/>
      <c r="KQ694" s="25"/>
      <c r="KR694" s="25"/>
      <c r="KS694" s="25"/>
      <c r="KT694" s="25"/>
      <c r="KU694" s="25"/>
      <c r="KV694" s="25"/>
      <c r="KW694" s="25"/>
      <c r="KX694" s="25"/>
      <c r="KY694" s="25"/>
      <c r="KZ694" s="25"/>
      <c r="LA694" s="25"/>
      <c r="LB694" s="25"/>
      <c r="LC694" s="25"/>
      <c r="LD694" s="25"/>
      <c r="LE694" s="25"/>
      <c r="LF694" s="25"/>
      <c r="LG694" s="25"/>
      <c r="LH694" s="25"/>
      <c r="LI694" s="25"/>
      <c r="LJ694" s="25"/>
      <c r="LK694" s="25"/>
      <c r="LL694" s="25"/>
      <c r="LM694" s="25"/>
      <c r="LN694" s="25"/>
      <c r="LO694" s="25"/>
      <c r="LP694" s="25"/>
      <c r="LQ694" s="25"/>
      <c r="LR694" s="25"/>
      <c r="LS694" s="25"/>
      <c r="LT694" s="25"/>
      <c r="LU694" s="25"/>
      <c r="LV694" s="25"/>
      <c r="LW694" s="25"/>
      <c r="LX694" s="25"/>
      <c r="LY694" s="25"/>
      <c r="LZ694" s="25"/>
      <c r="MA694" s="25"/>
      <c r="MB694" s="25"/>
      <c r="MC694" s="25"/>
      <c r="MD694" s="25"/>
      <c r="ME694" s="25"/>
      <c r="MF694" s="25"/>
      <c r="MG694" s="25"/>
      <c r="MH694" s="25"/>
      <c r="MI694" s="25"/>
      <c r="MJ694" s="25"/>
      <c r="MK694" s="25"/>
      <c r="ML694" s="25"/>
      <c r="MM694" s="25"/>
      <c r="MN694" s="25"/>
      <c r="MO694" s="25"/>
      <c r="MP694" s="25"/>
      <c r="MQ694" s="25"/>
      <c r="MR694" s="25"/>
      <c r="MS694" s="25"/>
      <c r="MT694" s="25"/>
      <c r="MU694" s="25"/>
      <c r="MV694" s="25"/>
      <c r="MW694" s="25"/>
      <c r="MX694" s="25"/>
      <c r="MY694" s="25"/>
      <c r="MZ694" s="25"/>
      <c r="NA694" s="25"/>
      <c r="NB694" s="25"/>
      <c r="NC694" s="25"/>
      <c r="ND694" s="25"/>
      <c r="NE694" s="25"/>
      <c r="NF694" s="25"/>
      <c r="NG694" s="25"/>
      <c r="NH694" s="25"/>
      <c r="NI694" s="25"/>
      <c r="NJ694" s="25"/>
      <c r="NK694" s="25"/>
      <c r="NL694" s="25"/>
      <c r="NM694" s="25"/>
      <c r="NN694" s="25"/>
      <c r="NO694" s="25"/>
      <c r="NP694" s="25"/>
      <c r="NQ694" s="25"/>
      <c r="NR694" s="25"/>
      <c r="NS694" s="25"/>
      <c r="NT694" s="25"/>
      <c r="NU694" s="25"/>
      <c r="NV694" s="25"/>
      <c r="NW694" s="25"/>
      <c r="NX694" s="25"/>
      <c r="NY694" s="25"/>
      <c r="NZ694" s="25"/>
      <c r="OA694" s="25"/>
      <c r="OB694" s="25"/>
      <c r="OC694" s="25"/>
      <c r="OD694" s="25"/>
      <c r="OE694" s="25"/>
      <c r="OF694" s="25"/>
      <c r="OG694" s="25"/>
      <c r="OH694" s="25"/>
      <c r="OI694" s="25"/>
      <c r="OJ694" s="25"/>
      <c r="OK694" s="25"/>
      <c r="OL694" s="25"/>
      <c r="OM694" s="25"/>
      <c r="ON694" s="25"/>
      <c r="OO694" s="25"/>
      <c r="OP694" s="25"/>
      <c r="OQ694" s="25"/>
      <c r="OR694" s="25"/>
      <c r="OS694" s="25"/>
      <c r="OT694" s="25"/>
      <c r="OU694" s="25"/>
      <c r="OV694" s="25"/>
      <c r="OW694" s="25"/>
      <c r="OX694" s="25"/>
      <c r="OY694" s="25"/>
      <c r="OZ694" s="25"/>
      <c r="PA694" s="25"/>
      <c r="PB694" s="25"/>
      <c r="PC694" s="25"/>
      <c r="PD694" s="25"/>
      <c r="PE694" s="25"/>
      <c r="PF694" s="25"/>
      <c r="PG694" s="25"/>
      <c r="PH694" s="25"/>
      <c r="PI694" s="25"/>
      <c r="PJ694" s="25"/>
      <c r="PK694" s="25"/>
      <c r="PL694" s="25"/>
      <c r="PM694" s="25"/>
      <c r="PN694" s="25"/>
      <c r="PO694" s="25"/>
      <c r="PP694" s="25"/>
      <c r="PQ694" s="25"/>
      <c r="PR694" s="25"/>
      <c r="PS694" s="25"/>
      <c r="PT694" s="25"/>
      <c r="PU694" s="25"/>
      <c r="PV694" s="25"/>
      <c r="PW694" s="25"/>
      <c r="PX694" s="25"/>
      <c r="PY694" s="25"/>
      <c r="PZ694" s="25"/>
      <c r="QA694" s="25"/>
      <c r="QB694" s="25"/>
      <c r="QC694" s="25"/>
      <c r="QD694" s="25"/>
      <c r="QE694" s="25"/>
      <c r="QF694" s="25"/>
      <c r="QG694" s="25"/>
      <c r="QH694" s="25"/>
      <c r="QI694" s="25"/>
      <c r="QJ694" s="25"/>
      <c r="QK694" s="25"/>
      <c r="QL694" s="25"/>
      <c r="QM694" s="25"/>
      <c r="QN694" s="25"/>
      <c r="QO694" s="25"/>
      <c r="QP694" s="25"/>
      <c r="QQ694" s="25"/>
      <c r="QR694" s="25"/>
      <c r="QS694" s="25"/>
      <c r="QT694" s="25"/>
      <c r="QU694" s="25"/>
      <c r="QV694" s="25"/>
      <c r="QW694" s="25"/>
      <c r="QX694" s="25"/>
      <c r="QY694" s="25"/>
      <c r="QZ694" s="25"/>
      <c r="RA694" s="25"/>
      <c r="RB694" s="25"/>
      <c r="RC694" s="25"/>
      <c r="RD694" s="25"/>
      <c r="RE694" s="25"/>
      <c r="RF694" s="25"/>
      <c r="RG694" s="25"/>
      <c r="RH694" s="25"/>
      <c r="RI694" s="25"/>
      <c r="RJ694" s="25"/>
      <c r="RK694" s="25"/>
      <c r="RL694" s="25"/>
      <c r="RM694" s="25"/>
      <c r="RN694" s="25"/>
      <c r="RO694" s="25"/>
      <c r="RP694" s="25"/>
      <c r="RQ694" s="25"/>
      <c r="RR694" s="25"/>
      <c r="RS694" s="25"/>
      <c r="RT694" s="25"/>
      <c r="RU694" s="25"/>
      <c r="RV694" s="25"/>
      <c r="RW694" s="25"/>
      <c r="RX694" s="25"/>
      <c r="RY694" s="25"/>
      <c r="RZ694" s="25"/>
      <c r="SA694" s="25"/>
      <c r="SB694" s="25"/>
      <c r="SC694" s="25"/>
      <c r="SD694" s="25"/>
      <c r="SE694" s="25"/>
      <c r="SF694" s="25"/>
      <c r="SG694" s="25"/>
      <c r="SH694" s="25"/>
      <c r="SI694" s="25"/>
      <c r="SJ694" s="25"/>
      <c r="SK694" s="25"/>
      <c r="SL694" s="25"/>
      <c r="SM694" s="25"/>
      <c r="SN694" s="25"/>
      <c r="SO694" s="25"/>
      <c r="SP694" s="25"/>
      <c r="SQ694" s="25"/>
      <c r="SR694" s="25"/>
      <c r="SS694" s="25"/>
      <c r="ST694" s="25"/>
      <c r="SU694" s="25"/>
      <c r="SV694" s="25"/>
      <c r="SW694" s="25"/>
      <c r="SX694" s="25"/>
      <c r="SY694" s="25"/>
      <c r="SZ694" s="25"/>
      <c r="TA694" s="25"/>
      <c r="TB694" s="25"/>
      <c r="TC694" s="25"/>
      <c r="TD694" s="25"/>
      <c r="TE694" s="25"/>
      <c r="TF694" s="25"/>
      <c r="TG694" s="25"/>
      <c r="TH694" s="25"/>
      <c r="TI694" s="25"/>
      <c r="TJ694" s="25"/>
      <c r="TK694" s="25"/>
      <c r="TL694" s="25"/>
      <c r="TM694" s="25"/>
      <c r="TN694" s="25"/>
      <c r="TO694" s="25"/>
      <c r="TP694" s="25"/>
      <c r="TQ694" s="25"/>
      <c r="TR694" s="25"/>
      <c r="TS694" s="25"/>
      <c r="TT694" s="25"/>
      <c r="TU694" s="25"/>
      <c r="TV694" s="25"/>
      <c r="TW694" s="25"/>
      <c r="TX694" s="25"/>
      <c r="TY694" s="25"/>
      <c r="TZ694" s="25"/>
      <c r="UA694" s="25"/>
      <c r="UB694" s="25"/>
      <c r="UC694" s="25"/>
      <c r="UD694" s="25"/>
      <c r="UE694" s="25"/>
      <c r="UF694" s="25"/>
      <c r="UG694" s="26"/>
    </row>
    <row r="695" spans="1:553" ht="163.5" customHeight="1">
      <c r="A695" s="356"/>
      <c r="B695" s="385"/>
      <c r="C695" s="384" t="s">
        <v>23</v>
      </c>
      <c r="D695" s="376" t="s">
        <v>20</v>
      </c>
      <c r="E695" s="376" t="s">
        <v>493</v>
      </c>
      <c r="F695" s="385">
        <v>1</v>
      </c>
      <c r="G695" s="396" t="s">
        <v>33</v>
      </c>
      <c r="H695" s="387">
        <v>122.3</v>
      </c>
      <c r="I695" s="490">
        <v>122.3</v>
      </c>
      <c r="J695" s="368">
        <v>62000</v>
      </c>
      <c r="K695" s="391"/>
      <c r="L695" s="480">
        <f t="shared" si="110"/>
        <v>7582600</v>
      </c>
      <c r="M695" s="392"/>
      <c r="N695" s="392"/>
      <c r="O695" s="366"/>
      <c r="P695" s="366"/>
      <c r="Q695" s="761" t="s">
        <v>491</v>
      </c>
      <c r="R695" s="1452"/>
      <c r="S695" s="308"/>
      <c r="T695" s="308"/>
      <c r="U695" s="308"/>
      <c r="V695" s="308"/>
      <c r="W695" s="685">
        <f>I695</f>
        <v>122.3</v>
      </c>
      <c r="X695" s="308"/>
      <c r="Y695" s="308"/>
      <c r="Z695" s="604"/>
      <c r="AA695" s="308"/>
      <c r="AB695" s="308"/>
      <c r="AC695" s="449"/>
      <c r="AD695" s="449"/>
      <c r="AE695" s="449"/>
      <c r="AF695" s="449"/>
      <c r="AG695" s="449"/>
      <c r="AH695" s="449"/>
      <c r="AI695" s="449"/>
      <c r="AJ695" s="449"/>
      <c r="AK695" s="452"/>
      <c r="AL695" s="104"/>
      <c r="AM695" s="32"/>
      <c r="AN695" s="32"/>
      <c r="AO695" s="32"/>
      <c r="AP695" s="32"/>
      <c r="AQ695" s="32"/>
      <c r="AR695" s="32"/>
      <c r="AS695" s="31"/>
      <c r="AT695" s="22"/>
      <c r="AU695" s="22"/>
      <c r="AV695" s="22"/>
      <c r="AW695" s="22"/>
      <c r="AX695" s="22"/>
      <c r="AY695" s="22"/>
      <c r="AZ695" s="22"/>
      <c r="BA695" s="22"/>
      <c r="BB695" s="22"/>
      <c r="BC695" s="22"/>
      <c r="BD695" s="22"/>
      <c r="BE695" s="22"/>
      <c r="BF695" s="22"/>
      <c r="BG695" s="22"/>
      <c r="BH695" s="22"/>
      <c r="BI695" s="22"/>
      <c r="BJ695" s="22"/>
      <c r="BK695" s="22"/>
      <c r="BL695" s="22"/>
      <c r="BM695" s="22"/>
      <c r="BN695" s="22"/>
      <c r="BO695" s="22"/>
      <c r="BP695" s="25"/>
      <c r="BQ695" s="25"/>
      <c r="BR695" s="25"/>
      <c r="BS695" s="25"/>
      <c r="BT695" s="25"/>
      <c r="BU695" s="25"/>
      <c r="BV695" s="25"/>
      <c r="BW695" s="25"/>
      <c r="BX695" s="25"/>
      <c r="BY695" s="25"/>
      <c r="BZ695" s="25"/>
      <c r="CA695" s="25"/>
      <c r="CB695" s="25"/>
      <c r="CC695" s="25"/>
      <c r="CD695" s="25"/>
      <c r="CE695" s="25"/>
      <c r="CF695" s="25"/>
      <c r="CG695" s="25"/>
      <c r="CH695" s="25"/>
      <c r="CI695" s="25"/>
      <c r="CJ695" s="25"/>
      <c r="CK695" s="25"/>
      <c r="CL695" s="25"/>
      <c r="CM695" s="25"/>
      <c r="CN695" s="25"/>
      <c r="CO695" s="25"/>
      <c r="CP695" s="25"/>
      <c r="CQ695" s="25"/>
      <c r="CR695" s="25"/>
      <c r="CS695" s="25"/>
      <c r="CT695" s="25"/>
      <c r="CU695" s="25"/>
      <c r="CV695" s="25"/>
      <c r="CW695" s="25"/>
      <c r="CX695" s="25"/>
      <c r="CY695" s="25"/>
      <c r="CZ695" s="25"/>
      <c r="DA695" s="25"/>
      <c r="DB695" s="25"/>
      <c r="DC695" s="25"/>
      <c r="DD695" s="25"/>
      <c r="DE695" s="25"/>
      <c r="DF695" s="25"/>
      <c r="DG695" s="25"/>
      <c r="DH695" s="25"/>
      <c r="DI695" s="25"/>
      <c r="DJ695" s="25"/>
      <c r="DK695" s="25"/>
      <c r="DL695" s="25"/>
      <c r="DM695" s="25"/>
      <c r="DN695" s="25"/>
      <c r="DO695" s="25"/>
      <c r="DP695" s="25"/>
      <c r="DQ695" s="25"/>
      <c r="DR695" s="25"/>
      <c r="DS695" s="25"/>
      <c r="DT695" s="25"/>
      <c r="DU695" s="25"/>
      <c r="DV695" s="25"/>
      <c r="DW695" s="25"/>
      <c r="DX695" s="25"/>
      <c r="DY695" s="25"/>
      <c r="DZ695" s="25"/>
      <c r="EA695" s="25"/>
      <c r="EB695" s="25"/>
      <c r="EC695" s="25"/>
      <c r="ED695" s="25"/>
      <c r="EE695" s="25"/>
      <c r="EF695" s="25"/>
      <c r="EG695" s="25"/>
      <c r="EH695" s="25"/>
      <c r="EI695" s="25"/>
      <c r="EJ695" s="25"/>
      <c r="EK695" s="25"/>
      <c r="EL695" s="25"/>
      <c r="EM695" s="25"/>
      <c r="EN695" s="25"/>
      <c r="EO695" s="25"/>
      <c r="EP695" s="25"/>
      <c r="EQ695" s="25"/>
      <c r="ER695" s="25"/>
      <c r="ES695" s="25"/>
      <c r="ET695" s="25"/>
      <c r="EU695" s="25"/>
      <c r="EV695" s="25"/>
      <c r="EW695" s="25"/>
      <c r="EX695" s="25"/>
      <c r="EY695" s="25"/>
      <c r="EZ695" s="25"/>
      <c r="FA695" s="25"/>
      <c r="FB695" s="25"/>
      <c r="FC695" s="25"/>
      <c r="FD695" s="25"/>
      <c r="FE695" s="25"/>
      <c r="FF695" s="25"/>
      <c r="FG695" s="25"/>
      <c r="FH695" s="25"/>
      <c r="FI695" s="25"/>
      <c r="FJ695" s="25"/>
      <c r="FK695" s="25"/>
      <c r="FL695" s="25"/>
      <c r="FM695" s="25"/>
      <c r="FN695" s="25"/>
      <c r="FO695" s="25"/>
      <c r="FP695" s="25"/>
      <c r="FQ695" s="25"/>
      <c r="FR695" s="25"/>
      <c r="FS695" s="25"/>
      <c r="FT695" s="25"/>
      <c r="FU695" s="25"/>
      <c r="FV695" s="25"/>
      <c r="FW695" s="25"/>
      <c r="FX695" s="25"/>
      <c r="FY695" s="25"/>
      <c r="FZ695" s="25"/>
      <c r="GA695" s="25"/>
      <c r="GB695" s="25"/>
      <c r="GC695" s="25"/>
      <c r="GD695" s="25"/>
      <c r="GE695" s="25"/>
      <c r="GF695" s="25"/>
      <c r="GG695" s="25"/>
      <c r="GH695" s="25"/>
      <c r="GI695" s="25"/>
      <c r="GJ695" s="25"/>
      <c r="GK695" s="25"/>
      <c r="GL695" s="25"/>
      <c r="GM695" s="25"/>
      <c r="GN695" s="25"/>
      <c r="GO695" s="25"/>
      <c r="GP695" s="25"/>
      <c r="GQ695" s="25"/>
      <c r="GR695" s="25"/>
      <c r="GS695" s="25"/>
      <c r="GT695" s="25"/>
      <c r="GU695" s="25"/>
      <c r="GV695" s="25"/>
      <c r="GW695" s="25"/>
      <c r="GX695" s="25"/>
      <c r="GY695" s="25"/>
      <c r="GZ695" s="25"/>
      <c r="HA695" s="25"/>
      <c r="HB695" s="25"/>
      <c r="HC695" s="25"/>
      <c r="HD695" s="25"/>
      <c r="HE695" s="25"/>
      <c r="HF695" s="25"/>
      <c r="HG695" s="25"/>
      <c r="HH695" s="25"/>
      <c r="HI695" s="25"/>
      <c r="HJ695" s="25"/>
      <c r="HK695" s="25"/>
      <c r="HL695" s="25"/>
      <c r="HM695" s="25"/>
      <c r="HN695" s="25"/>
      <c r="HO695" s="25"/>
      <c r="HP695" s="25"/>
      <c r="HQ695" s="25"/>
      <c r="HR695" s="25"/>
      <c r="HS695" s="25"/>
      <c r="HT695" s="25"/>
      <c r="HU695" s="25"/>
      <c r="HV695" s="25"/>
      <c r="HW695" s="25"/>
      <c r="HX695" s="25"/>
      <c r="HY695" s="25"/>
      <c r="HZ695" s="25"/>
      <c r="IA695" s="25"/>
      <c r="IB695" s="25"/>
      <c r="IC695" s="25"/>
      <c r="ID695" s="25"/>
      <c r="IE695" s="25"/>
      <c r="IF695" s="25"/>
      <c r="IG695" s="25"/>
      <c r="IH695" s="25"/>
      <c r="II695" s="25"/>
      <c r="IJ695" s="25"/>
      <c r="IK695" s="25"/>
      <c r="IL695" s="25"/>
      <c r="IM695" s="25"/>
      <c r="IN695" s="25"/>
      <c r="IO695" s="25"/>
      <c r="IP695" s="25"/>
      <c r="IQ695" s="25"/>
      <c r="IR695" s="25"/>
      <c r="IS695" s="25"/>
      <c r="IT695" s="25"/>
      <c r="IU695" s="25"/>
      <c r="IV695" s="25"/>
      <c r="IW695" s="25"/>
      <c r="IX695" s="25"/>
      <c r="IY695" s="25"/>
      <c r="IZ695" s="25"/>
      <c r="JA695" s="25"/>
      <c r="JB695" s="25"/>
      <c r="JC695" s="25"/>
      <c r="JD695" s="25"/>
      <c r="JE695" s="25"/>
      <c r="JF695" s="25"/>
      <c r="JG695" s="25"/>
      <c r="JH695" s="25"/>
      <c r="JI695" s="25"/>
      <c r="JJ695" s="25"/>
      <c r="JK695" s="25"/>
      <c r="JL695" s="25"/>
      <c r="JM695" s="25"/>
      <c r="JN695" s="25"/>
      <c r="JO695" s="25"/>
      <c r="JP695" s="25"/>
      <c r="JQ695" s="25"/>
      <c r="JR695" s="25"/>
      <c r="JS695" s="25"/>
      <c r="JT695" s="25"/>
      <c r="JU695" s="25"/>
      <c r="JV695" s="25"/>
      <c r="JW695" s="25"/>
      <c r="JX695" s="25"/>
      <c r="JY695" s="25"/>
      <c r="JZ695" s="25"/>
      <c r="KA695" s="25"/>
      <c r="KB695" s="25"/>
      <c r="KC695" s="25"/>
      <c r="KD695" s="25"/>
      <c r="KE695" s="25"/>
      <c r="KF695" s="25"/>
      <c r="KG695" s="25"/>
      <c r="KH695" s="25"/>
      <c r="KI695" s="25"/>
      <c r="KJ695" s="25"/>
      <c r="KK695" s="25"/>
      <c r="KL695" s="25"/>
      <c r="KM695" s="25"/>
      <c r="KN695" s="25"/>
      <c r="KO695" s="25"/>
      <c r="KP695" s="25"/>
      <c r="KQ695" s="25"/>
      <c r="KR695" s="25"/>
      <c r="KS695" s="25"/>
      <c r="KT695" s="25"/>
      <c r="KU695" s="25"/>
      <c r="KV695" s="25"/>
      <c r="KW695" s="25"/>
      <c r="KX695" s="25"/>
      <c r="KY695" s="25"/>
      <c r="KZ695" s="25"/>
      <c r="LA695" s="25"/>
      <c r="LB695" s="25"/>
      <c r="LC695" s="25"/>
      <c r="LD695" s="25"/>
      <c r="LE695" s="25"/>
      <c r="LF695" s="25"/>
      <c r="LG695" s="25"/>
      <c r="LH695" s="25"/>
      <c r="LI695" s="25"/>
      <c r="LJ695" s="25"/>
      <c r="LK695" s="25"/>
      <c r="LL695" s="25"/>
      <c r="LM695" s="25"/>
      <c r="LN695" s="25"/>
      <c r="LO695" s="25"/>
      <c r="LP695" s="25"/>
      <c r="LQ695" s="25"/>
      <c r="LR695" s="25"/>
      <c r="LS695" s="25"/>
      <c r="LT695" s="25"/>
      <c r="LU695" s="25"/>
      <c r="LV695" s="25"/>
      <c r="LW695" s="25"/>
      <c r="LX695" s="25"/>
      <c r="LY695" s="25"/>
      <c r="LZ695" s="25"/>
      <c r="MA695" s="25"/>
      <c r="MB695" s="25"/>
      <c r="MC695" s="25"/>
      <c r="MD695" s="25"/>
      <c r="ME695" s="25"/>
      <c r="MF695" s="25"/>
      <c r="MG695" s="25"/>
      <c r="MH695" s="25"/>
      <c r="MI695" s="25"/>
      <c r="MJ695" s="25"/>
      <c r="MK695" s="25"/>
      <c r="ML695" s="25"/>
      <c r="MM695" s="25"/>
      <c r="MN695" s="25"/>
      <c r="MO695" s="25"/>
      <c r="MP695" s="25"/>
      <c r="MQ695" s="25"/>
      <c r="MR695" s="25"/>
      <c r="MS695" s="25"/>
      <c r="MT695" s="25"/>
      <c r="MU695" s="25"/>
      <c r="MV695" s="25"/>
      <c r="MW695" s="25"/>
      <c r="MX695" s="25"/>
      <c r="MY695" s="25"/>
      <c r="MZ695" s="25"/>
      <c r="NA695" s="25"/>
      <c r="NB695" s="25"/>
      <c r="NC695" s="25"/>
      <c r="ND695" s="25"/>
      <c r="NE695" s="25"/>
      <c r="NF695" s="25"/>
      <c r="NG695" s="25"/>
      <c r="NH695" s="25"/>
      <c r="NI695" s="25"/>
      <c r="NJ695" s="25"/>
      <c r="NK695" s="25"/>
      <c r="NL695" s="25"/>
      <c r="NM695" s="25"/>
      <c r="NN695" s="25"/>
      <c r="NO695" s="25"/>
      <c r="NP695" s="25"/>
      <c r="NQ695" s="25"/>
      <c r="NR695" s="25"/>
      <c r="NS695" s="25"/>
      <c r="NT695" s="25"/>
      <c r="NU695" s="25"/>
      <c r="NV695" s="25"/>
      <c r="NW695" s="25"/>
      <c r="NX695" s="25"/>
      <c r="NY695" s="25"/>
      <c r="NZ695" s="25"/>
      <c r="OA695" s="25"/>
      <c r="OB695" s="25"/>
      <c r="OC695" s="25"/>
      <c r="OD695" s="25"/>
      <c r="OE695" s="25"/>
      <c r="OF695" s="25"/>
      <c r="OG695" s="25"/>
      <c r="OH695" s="25"/>
      <c r="OI695" s="25"/>
      <c r="OJ695" s="25"/>
      <c r="OK695" s="25"/>
      <c r="OL695" s="25"/>
      <c r="OM695" s="25"/>
      <c r="ON695" s="25"/>
      <c r="OO695" s="25"/>
      <c r="OP695" s="25"/>
      <c r="OQ695" s="25"/>
      <c r="OR695" s="25"/>
      <c r="OS695" s="25"/>
      <c r="OT695" s="25"/>
      <c r="OU695" s="25"/>
      <c r="OV695" s="25"/>
      <c r="OW695" s="25"/>
      <c r="OX695" s="25"/>
      <c r="OY695" s="25"/>
      <c r="OZ695" s="25"/>
      <c r="PA695" s="25"/>
      <c r="PB695" s="25"/>
      <c r="PC695" s="25"/>
      <c r="PD695" s="25"/>
      <c r="PE695" s="25"/>
      <c r="PF695" s="25"/>
      <c r="PG695" s="25"/>
      <c r="PH695" s="25"/>
      <c r="PI695" s="25"/>
      <c r="PJ695" s="25"/>
      <c r="PK695" s="25"/>
      <c r="PL695" s="25"/>
      <c r="PM695" s="25"/>
      <c r="PN695" s="25"/>
      <c r="PO695" s="25"/>
      <c r="PP695" s="25"/>
      <c r="PQ695" s="25"/>
      <c r="PR695" s="25"/>
      <c r="PS695" s="25"/>
      <c r="PT695" s="25"/>
      <c r="PU695" s="25"/>
      <c r="PV695" s="25"/>
      <c r="PW695" s="25"/>
      <c r="PX695" s="25"/>
      <c r="PY695" s="25"/>
      <c r="PZ695" s="25"/>
      <c r="QA695" s="25"/>
      <c r="QB695" s="25"/>
      <c r="QC695" s="25"/>
      <c r="QD695" s="25"/>
      <c r="QE695" s="25"/>
      <c r="QF695" s="25"/>
      <c r="QG695" s="25"/>
      <c r="QH695" s="25"/>
      <c r="QI695" s="25"/>
      <c r="QJ695" s="25"/>
      <c r="QK695" s="25"/>
      <c r="QL695" s="25"/>
      <c r="QM695" s="25"/>
      <c r="QN695" s="25"/>
      <c r="QO695" s="25"/>
      <c r="QP695" s="25"/>
      <c r="QQ695" s="25"/>
      <c r="QR695" s="25"/>
      <c r="QS695" s="25"/>
      <c r="QT695" s="25"/>
      <c r="QU695" s="25"/>
      <c r="QV695" s="25"/>
      <c r="QW695" s="25"/>
      <c r="QX695" s="25"/>
      <c r="QY695" s="25"/>
      <c r="QZ695" s="25"/>
      <c r="RA695" s="25"/>
      <c r="RB695" s="25"/>
      <c r="RC695" s="25"/>
      <c r="RD695" s="25"/>
      <c r="RE695" s="25"/>
      <c r="RF695" s="25"/>
      <c r="RG695" s="25"/>
      <c r="RH695" s="25"/>
      <c r="RI695" s="25"/>
      <c r="RJ695" s="25"/>
      <c r="RK695" s="25"/>
      <c r="RL695" s="25"/>
      <c r="RM695" s="25"/>
      <c r="RN695" s="25"/>
      <c r="RO695" s="25"/>
      <c r="RP695" s="25"/>
      <c r="RQ695" s="25"/>
      <c r="RR695" s="25"/>
      <c r="RS695" s="25"/>
      <c r="RT695" s="25"/>
      <c r="RU695" s="25"/>
      <c r="RV695" s="25"/>
      <c r="RW695" s="25"/>
      <c r="RX695" s="25"/>
      <c r="RY695" s="25"/>
      <c r="RZ695" s="25"/>
      <c r="SA695" s="25"/>
      <c r="SB695" s="25"/>
      <c r="SC695" s="25"/>
      <c r="SD695" s="25"/>
      <c r="SE695" s="25"/>
      <c r="SF695" s="25"/>
      <c r="SG695" s="25"/>
      <c r="SH695" s="25"/>
      <c r="SI695" s="25"/>
      <c r="SJ695" s="25"/>
      <c r="SK695" s="25"/>
      <c r="SL695" s="25"/>
      <c r="SM695" s="25"/>
      <c r="SN695" s="25"/>
      <c r="SO695" s="25"/>
      <c r="SP695" s="25"/>
      <c r="SQ695" s="25"/>
      <c r="SR695" s="25"/>
      <c r="SS695" s="25"/>
      <c r="ST695" s="25"/>
      <c r="SU695" s="25"/>
      <c r="SV695" s="25"/>
      <c r="SW695" s="25"/>
      <c r="SX695" s="25"/>
      <c r="SY695" s="25"/>
      <c r="SZ695" s="25"/>
      <c r="TA695" s="25"/>
      <c r="TB695" s="25"/>
      <c r="TC695" s="25"/>
      <c r="TD695" s="25"/>
      <c r="TE695" s="25"/>
      <c r="TF695" s="25"/>
      <c r="TG695" s="25"/>
      <c r="TH695" s="25"/>
      <c r="TI695" s="25"/>
      <c r="TJ695" s="25"/>
      <c r="TK695" s="25"/>
      <c r="TL695" s="25"/>
      <c r="TM695" s="25"/>
      <c r="TN695" s="25"/>
      <c r="TO695" s="25"/>
      <c r="TP695" s="25"/>
      <c r="TQ695" s="25"/>
      <c r="TR695" s="25"/>
      <c r="TS695" s="25"/>
      <c r="TT695" s="25"/>
      <c r="TU695" s="25"/>
      <c r="TV695" s="25"/>
      <c r="TW695" s="25"/>
      <c r="TX695" s="25"/>
      <c r="TY695" s="25"/>
      <c r="TZ695" s="25"/>
      <c r="UA695" s="25"/>
      <c r="UB695" s="25"/>
      <c r="UC695" s="25"/>
      <c r="UD695" s="25"/>
      <c r="UE695" s="25"/>
      <c r="UF695" s="25"/>
      <c r="UG695" s="26"/>
    </row>
    <row r="696" spans="1:553" ht="163.5" customHeight="1">
      <c r="A696" s="356"/>
      <c r="B696" s="385"/>
      <c r="C696" s="384" t="s">
        <v>23</v>
      </c>
      <c r="D696" s="376" t="s">
        <v>20</v>
      </c>
      <c r="E696" s="376" t="s">
        <v>494</v>
      </c>
      <c r="F696" s="385">
        <v>1</v>
      </c>
      <c r="G696" s="396" t="s">
        <v>33</v>
      </c>
      <c r="H696" s="387">
        <v>84.7</v>
      </c>
      <c r="I696" s="490">
        <v>84.7</v>
      </c>
      <c r="J696" s="368">
        <v>62000</v>
      </c>
      <c r="K696" s="391"/>
      <c r="L696" s="480">
        <f t="shared" si="110"/>
        <v>5251400</v>
      </c>
      <c r="M696" s="392"/>
      <c r="N696" s="392"/>
      <c r="O696" s="366"/>
      <c r="P696" s="366"/>
      <c r="Q696" s="761" t="s">
        <v>491</v>
      </c>
      <c r="R696" s="1452"/>
      <c r="S696" s="308"/>
      <c r="T696" s="308"/>
      <c r="U696" s="308"/>
      <c r="V696" s="308"/>
      <c r="W696" s="685">
        <f>I696</f>
        <v>84.7</v>
      </c>
      <c r="X696" s="308"/>
      <c r="Y696" s="308"/>
      <c r="Z696" s="604"/>
      <c r="AA696" s="308"/>
      <c r="AB696" s="308"/>
      <c r="AC696" s="449"/>
      <c r="AD696" s="449"/>
      <c r="AE696" s="449"/>
      <c r="AF696" s="449"/>
      <c r="AG696" s="449"/>
      <c r="AH696" s="449"/>
      <c r="AI696" s="449"/>
      <c r="AJ696" s="449"/>
      <c r="AK696" s="452"/>
      <c r="AL696" s="104"/>
      <c r="AM696" s="32"/>
      <c r="AN696" s="32"/>
      <c r="AO696" s="32"/>
      <c r="AP696" s="32"/>
      <c r="AQ696" s="32"/>
      <c r="AR696" s="32"/>
      <c r="AS696" s="31"/>
      <c r="AT696" s="22"/>
      <c r="AU696" s="22"/>
      <c r="AV696" s="22"/>
      <c r="AW696" s="22"/>
      <c r="AX696" s="22"/>
      <c r="AY696" s="22"/>
      <c r="AZ696" s="22"/>
      <c r="BA696" s="22"/>
      <c r="BB696" s="22"/>
      <c r="BC696" s="22"/>
      <c r="BD696" s="22"/>
      <c r="BE696" s="22"/>
      <c r="BF696" s="22"/>
      <c r="BG696" s="22"/>
      <c r="BH696" s="22"/>
      <c r="BI696" s="22"/>
      <c r="BJ696" s="22"/>
      <c r="BK696" s="22"/>
      <c r="BL696" s="22"/>
      <c r="BM696" s="22"/>
      <c r="BN696" s="22"/>
      <c r="BO696" s="22"/>
      <c r="BP696" s="25"/>
      <c r="BQ696" s="25"/>
      <c r="BR696" s="25"/>
      <c r="BS696" s="25"/>
      <c r="BT696" s="25"/>
      <c r="BU696" s="25"/>
      <c r="BV696" s="25"/>
      <c r="BW696" s="25"/>
      <c r="BX696" s="25"/>
      <c r="BY696" s="25"/>
      <c r="BZ696" s="25"/>
      <c r="CA696" s="25"/>
      <c r="CB696" s="25"/>
      <c r="CC696" s="25"/>
      <c r="CD696" s="25"/>
      <c r="CE696" s="25"/>
      <c r="CF696" s="25"/>
      <c r="CG696" s="25"/>
      <c r="CH696" s="25"/>
      <c r="CI696" s="25"/>
      <c r="CJ696" s="25"/>
      <c r="CK696" s="25"/>
      <c r="CL696" s="25"/>
      <c r="CM696" s="25"/>
      <c r="CN696" s="25"/>
      <c r="CO696" s="25"/>
      <c r="CP696" s="25"/>
      <c r="CQ696" s="25"/>
      <c r="CR696" s="25"/>
      <c r="CS696" s="25"/>
      <c r="CT696" s="25"/>
      <c r="CU696" s="25"/>
      <c r="CV696" s="25"/>
      <c r="CW696" s="25"/>
      <c r="CX696" s="25"/>
      <c r="CY696" s="25"/>
      <c r="CZ696" s="25"/>
      <c r="DA696" s="25"/>
      <c r="DB696" s="25"/>
      <c r="DC696" s="25"/>
      <c r="DD696" s="25"/>
      <c r="DE696" s="25"/>
      <c r="DF696" s="25"/>
      <c r="DG696" s="25"/>
      <c r="DH696" s="25"/>
      <c r="DI696" s="25"/>
      <c r="DJ696" s="25"/>
      <c r="DK696" s="25"/>
      <c r="DL696" s="25"/>
      <c r="DM696" s="25"/>
      <c r="DN696" s="25"/>
      <c r="DO696" s="25"/>
      <c r="DP696" s="25"/>
      <c r="DQ696" s="25"/>
      <c r="DR696" s="25"/>
      <c r="DS696" s="25"/>
      <c r="DT696" s="25"/>
      <c r="DU696" s="25"/>
      <c r="DV696" s="25"/>
      <c r="DW696" s="25"/>
      <c r="DX696" s="25"/>
      <c r="DY696" s="25"/>
      <c r="DZ696" s="25"/>
      <c r="EA696" s="25"/>
      <c r="EB696" s="25"/>
      <c r="EC696" s="25"/>
      <c r="ED696" s="25"/>
      <c r="EE696" s="25"/>
      <c r="EF696" s="25"/>
      <c r="EG696" s="25"/>
      <c r="EH696" s="25"/>
      <c r="EI696" s="25"/>
      <c r="EJ696" s="25"/>
      <c r="EK696" s="25"/>
      <c r="EL696" s="25"/>
      <c r="EM696" s="25"/>
      <c r="EN696" s="25"/>
      <c r="EO696" s="25"/>
      <c r="EP696" s="25"/>
      <c r="EQ696" s="25"/>
      <c r="ER696" s="25"/>
      <c r="ES696" s="25"/>
      <c r="ET696" s="25"/>
      <c r="EU696" s="25"/>
      <c r="EV696" s="25"/>
      <c r="EW696" s="25"/>
      <c r="EX696" s="25"/>
      <c r="EY696" s="25"/>
      <c r="EZ696" s="25"/>
      <c r="FA696" s="25"/>
      <c r="FB696" s="25"/>
      <c r="FC696" s="25"/>
      <c r="FD696" s="25"/>
      <c r="FE696" s="25"/>
      <c r="FF696" s="25"/>
      <c r="FG696" s="25"/>
      <c r="FH696" s="25"/>
      <c r="FI696" s="25"/>
      <c r="FJ696" s="25"/>
      <c r="FK696" s="25"/>
      <c r="FL696" s="25"/>
      <c r="FM696" s="25"/>
      <c r="FN696" s="25"/>
      <c r="FO696" s="25"/>
      <c r="FP696" s="25"/>
      <c r="FQ696" s="25"/>
      <c r="FR696" s="25"/>
      <c r="FS696" s="25"/>
      <c r="FT696" s="25"/>
      <c r="FU696" s="25"/>
      <c r="FV696" s="25"/>
      <c r="FW696" s="25"/>
      <c r="FX696" s="25"/>
      <c r="FY696" s="25"/>
      <c r="FZ696" s="25"/>
      <c r="GA696" s="25"/>
      <c r="GB696" s="25"/>
      <c r="GC696" s="25"/>
      <c r="GD696" s="25"/>
      <c r="GE696" s="25"/>
      <c r="GF696" s="25"/>
      <c r="GG696" s="25"/>
      <c r="GH696" s="25"/>
      <c r="GI696" s="25"/>
      <c r="GJ696" s="25"/>
      <c r="GK696" s="25"/>
      <c r="GL696" s="25"/>
      <c r="GM696" s="25"/>
      <c r="GN696" s="25"/>
      <c r="GO696" s="25"/>
      <c r="GP696" s="25"/>
      <c r="GQ696" s="25"/>
      <c r="GR696" s="25"/>
      <c r="GS696" s="25"/>
      <c r="GT696" s="25"/>
      <c r="GU696" s="25"/>
      <c r="GV696" s="25"/>
      <c r="GW696" s="25"/>
      <c r="GX696" s="25"/>
      <c r="GY696" s="25"/>
      <c r="GZ696" s="25"/>
      <c r="HA696" s="25"/>
      <c r="HB696" s="25"/>
      <c r="HC696" s="25"/>
      <c r="HD696" s="25"/>
      <c r="HE696" s="25"/>
      <c r="HF696" s="25"/>
      <c r="HG696" s="25"/>
      <c r="HH696" s="25"/>
      <c r="HI696" s="25"/>
      <c r="HJ696" s="25"/>
      <c r="HK696" s="25"/>
      <c r="HL696" s="25"/>
      <c r="HM696" s="25"/>
      <c r="HN696" s="25"/>
      <c r="HO696" s="25"/>
      <c r="HP696" s="25"/>
      <c r="HQ696" s="25"/>
      <c r="HR696" s="25"/>
      <c r="HS696" s="25"/>
      <c r="HT696" s="25"/>
      <c r="HU696" s="25"/>
      <c r="HV696" s="25"/>
      <c r="HW696" s="25"/>
      <c r="HX696" s="25"/>
      <c r="HY696" s="25"/>
      <c r="HZ696" s="25"/>
      <c r="IA696" s="25"/>
      <c r="IB696" s="25"/>
      <c r="IC696" s="25"/>
      <c r="ID696" s="25"/>
      <c r="IE696" s="25"/>
      <c r="IF696" s="25"/>
      <c r="IG696" s="25"/>
      <c r="IH696" s="25"/>
      <c r="II696" s="25"/>
      <c r="IJ696" s="25"/>
      <c r="IK696" s="25"/>
      <c r="IL696" s="25"/>
      <c r="IM696" s="25"/>
      <c r="IN696" s="25"/>
      <c r="IO696" s="25"/>
      <c r="IP696" s="25"/>
      <c r="IQ696" s="25"/>
      <c r="IR696" s="25"/>
      <c r="IS696" s="25"/>
      <c r="IT696" s="25"/>
      <c r="IU696" s="25"/>
      <c r="IV696" s="25"/>
      <c r="IW696" s="25"/>
      <c r="IX696" s="25"/>
      <c r="IY696" s="25"/>
      <c r="IZ696" s="25"/>
      <c r="JA696" s="25"/>
      <c r="JB696" s="25"/>
      <c r="JC696" s="25"/>
      <c r="JD696" s="25"/>
      <c r="JE696" s="25"/>
      <c r="JF696" s="25"/>
      <c r="JG696" s="25"/>
      <c r="JH696" s="25"/>
      <c r="JI696" s="25"/>
      <c r="JJ696" s="25"/>
      <c r="JK696" s="25"/>
      <c r="JL696" s="25"/>
      <c r="JM696" s="25"/>
      <c r="JN696" s="25"/>
      <c r="JO696" s="25"/>
      <c r="JP696" s="25"/>
      <c r="JQ696" s="25"/>
      <c r="JR696" s="25"/>
      <c r="JS696" s="25"/>
      <c r="JT696" s="25"/>
      <c r="JU696" s="25"/>
      <c r="JV696" s="25"/>
      <c r="JW696" s="25"/>
      <c r="JX696" s="25"/>
      <c r="JY696" s="25"/>
      <c r="JZ696" s="25"/>
      <c r="KA696" s="25"/>
      <c r="KB696" s="25"/>
      <c r="KC696" s="25"/>
      <c r="KD696" s="25"/>
      <c r="KE696" s="25"/>
      <c r="KF696" s="25"/>
      <c r="KG696" s="25"/>
      <c r="KH696" s="25"/>
      <c r="KI696" s="25"/>
      <c r="KJ696" s="25"/>
      <c r="KK696" s="25"/>
      <c r="KL696" s="25"/>
      <c r="KM696" s="25"/>
      <c r="KN696" s="25"/>
      <c r="KO696" s="25"/>
      <c r="KP696" s="25"/>
      <c r="KQ696" s="25"/>
      <c r="KR696" s="25"/>
      <c r="KS696" s="25"/>
      <c r="KT696" s="25"/>
      <c r="KU696" s="25"/>
      <c r="KV696" s="25"/>
      <c r="KW696" s="25"/>
      <c r="KX696" s="25"/>
      <c r="KY696" s="25"/>
      <c r="KZ696" s="25"/>
      <c r="LA696" s="25"/>
      <c r="LB696" s="25"/>
      <c r="LC696" s="25"/>
      <c r="LD696" s="25"/>
      <c r="LE696" s="25"/>
      <c r="LF696" s="25"/>
      <c r="LG696" s="25"/>
      <c r="LH696" s="25"/>
      <c r="LI696" s="25"/>
      <c r="LJ696" s="25"/>
      <c r="LK696" s="25"/>
      <c r="LL696" s="25"/>
      <c r="LM696" s="25"/>
      <c r="LN696" s="25"/>
      <c r="LO696" s="25"/>
      <c r="LP696" s="25"/>
      <c r="LQ696" s="25"/>
      <c r="LR696" s="25"/>
      <c r="LS696" s="25"/>
      <c r="LT696" s="25"/>
      <c r="LU696" s="25"/>
      <c r="LV696" s="25"/>
      <c r="LW696" s="25"/>
      <c r="LX696" s="25"/>
      <c r="LY696" s="25"/>
      <c r="LZ696" s="25"/>
      <c r="MA696" s="25"/>
      <c r="MB696" s="25"/>
      <c r="MC696" s="25"/>
      <c r="MD696" s="25"/>
      <c r="ME696" s="25"/>
      <c r="MF696" s="25"/>
      <c r="MG696" s="25"/>
      <c r="MH696" s="25"/>
      <c r="MI696" s="25"/>
      <c r="MJ696" s="25"/>
      <c r="MK696" s="25"/>
      <c r="ML696" s="25"/>
      <c r="MM696" s="25"/>
      <c r="MN696" s="25"/>
      <c r="MO696" s="25"/>
      <c r="MP696" s="25"/>
      <c r="MQ696" s="25"/>
      <c r="MR696" s="25"/>
      <c r="MS696" s="25"/>
      <c r="MT696" s="25"/>
      <c r="MU696" s="25"/>
      <c r="MV696" s="25"/>
      <c r="MW696" s="25"/>
      <c r="MX696" s="25"/>
      <c r="MY696" s="25"/>
      <c r="MZ696" s="25"/>
      <c r="NA696" s="25"/>
      <c r="NB696" s="25"/>
      <c r="NC696" s="25"/>
      <c r="ND696" s="25"/>
      <c r="NE696" s="25"/>
      <c r="NF696" s="25"/>
      <c r="NG696" s="25"/>
      <c r="NH696" s="25"/>
      <c r="NI696" s="25"/>
      <c r="NJ696" s="25"/>
      <c r="NK696" s="25"/>
      <c r="NL696" s="25"/>
      <c r="NM696" s="25"/>
      <c r="NN696" s="25"/>
      <c r="NO696" s="25"/>
      <c r="NP696" s="25"/>
      <c r="NQ696" s="25"/>
      <c r="NR696" s="25"/>
      <c r="NS696" s="25"/>
      <c r="NT696" s="25"/>
      <c r="NU696" s="25"/>
      <c r="NV696" s="25"/>
      <c r="NW696" s="25"/>
      <c r="NX696" s="25"/>
      <c r="NY696" s="25"/>
      <c r="NZ696" s="25"/>
      <c r="OA696" s="25"/>
      <c r="OB696" s="25"/>
      <c r="OC696" s="25"/>
      <c r="OD696" s="25"/>
      <c r="OE696" s="25"/>
      <c r="OF696" s="25"/>
      <c r="OG696" s="25"/>
      <c r="OH696" s="25"/>
      <c r="OI696" s="25"/>
      <c r="OJ696" s="25"/>
      <c r="OK696" s="25"/>
      <c r="OL696" s="25"/>
      <c r="OM696" s="25"/>
      <c r="ON696" s="25"/>
      <c r="OO696" s="25"/>
      <c r="OP696" s="25"/>
      <c r="OQ696" s="25"/>
      <c r="OR696" s="25"/>
      <c r="OS696" s="25"/>
      <c r="OT696" s="25"/>
      <c r="OU696" s="25"/>
      <c r="OV696" s="25"/>
      <c r="OW696" s="25"/>
      <c r="OX696" s="25"/>
      <c r="OY696" s="25"/>
      <c r="OZ696" s="25"/>
      <c r="PA696" s="25"/>
      <c r="PB696" s="25"/>
      <c r="PC696" s="25"/>
      <c r="PD696" s="25"/>
      <c r="PE696" s="25"/>
      <c r="PF696" s="25"/>
      <c r="PG696" s="25"/>
      <c r="PH696" s="25"/>
      <c r="PI696" s="25"/>
      <c r="PJ696" s="25"/>
      <c r="PK696" s="25"/>
      <c r="PL696" s="25"/>
      <c r="PM696" s="25"/>
      <c r="PN696" s="25"/>
      <c r="PO696" s="25"/>
      <c r="PP696" s="25"/>
      <c r="PQ696" s="25"/>
      <c r="PR696" s="25"/>
      <c r="PS696" s="25"/>
      <c r="PT696" s="25"/>
      <c r="PU696" s="25"/>
      <c r="PV696" s="25"/>
      <c r="PW696" s="25"/>
      <c r="PX696" s="25"/>
      <c r="PY696" s="25"/>
      <c r="PZ696" s="25"/>
      <c r="QA696" s="25"/>
      <c r="QB696" s="25"/>
      <c r="QC696" s="25"/>
      <c r="QD696" s="25"/>
      <c r="QE696" s="25"/>
      <c r="QF696" s="25"/>
      <c r="QG696" s="25"/>
      <c r="QH696" s="25"/>
      <c r="QI696" s="25"/>
      <c r="QJ696" s="25"/>
      <c r="QK696" s="25"/>
      <c r="QL696" s="25"/>
      <c r="QM696" s="25"/>
      <c r="QN696" s="25"/>
      <c r="QO696" s="25"/>
      <c r="QP696" s="25"/>
      <c r="QQ696" s="25"/>
      <c r="QR696" s="25"/>
      <c r="QS696" s="25"/>
      <c r="QT696" s="25"/>
      <c r="QU696" s="25"/>
      <c r="QV696" s="25"/>
      <c r="QW696" s="25"/>
      <c r="QX696" s="25"/>
      <c r="QY696" s="25"/>
      <c r="QZ696" s="25"/>
      <c r="RA696" s="25"/>
      <c r="RB696" s="25"/>
      <c r="RC696" s="25"/>
      <c r="RD696" s="25"/>
      <c r="RE696" s="25"/>
      <c r="RF696" s="25"/>
      <c r="RG696" s="25"/>
      <c r="RH696" s="25"/>
      <c r="RI696" s="25"/>
      <c r="RJ696" s="25"/>
      <c r="RK696" s="25"/>
      <c r="RL696" s="25"/>
      <c r="RM696" s="25"/>
      <c r="RN696" s="25"/>
      <c r="RO696" s="25"/>
      <c r="RP696" s="25"/>
      <c r="RQ696" s="25"/>
      <c r="RR696" s="25"/>
      <c r="RS696" s="25"/>
      <c r="RT696" s="25"/>
      <c r="RU696" s="25"/>
      <c r="RV696" s="25"/>
      <c r="RW696" s="25"/>
      <c r="RX696" s="25"/>
      <c r="RY696" s="25"/>
      <c r="RZ696" s="25"/>
      <c r="SA696" s="25"/>
      <c r="SB696" s="25"/>
      <c r="SC696" s="25"/>
      <c r="SD696" s="25"/>
      <c r="SE696" s="25"/>
      <c r="SF696" s="25"/>
      <c r="SG696" s="25"/>
      <c r="SH696" s="25"/>
      <c r="SI696" s="25"/>
      <c r="SJ696" s="25"/>
      <c r="SK696" s="25"/>
      <c r="SL696" s="25"/>
      <c r="SM696" s="25"/>
      <c r="SN696" s="25"/>
      <c r="SO696" s="25"/>
      <c r="SP696" s="25"/>
      <c r="SQ696" s="25"/>
      <c r="SR696" s="25"/>
      <c r="SS696" s="25"/>
      <c r="ST696" s="25"/>
      <c r="SU696" s="25"/>
      <c r="SV696" s="25"/>
      <c r="SW696" s="25"/>
      <c r="SX696" s="25"/>
      <c r="SY696" s="25"/>
      <c r="SZ696" s="25"/>
      <c r="TA696" s="25"/>
      <c r="TB696" s="25"/>
      <c r="TC696" s="25"/>
      <c r="TD696" s="25"/>
      <c r="TE696" s="25"/>
      <c r="TF696" s="25"/>
      <c r="TG696" s="25"/>
      <c r="TH696" s="25"/>
      <c r="TI696" s="25"/>
      <c r="TJ696" s="25"/>
      <c r="TK696" s="25"/>
      <c r="TL696" s="25"/>
      <c r="TM696" s="25"/>
      <c r="TN696" s="25"/>
      <c r="TO696" s="25"/>
      <c r="TP696" s="25"/>
      <c r="TQ696" s="25"/>
      <c r="TR696" s="25"/>
      <c r="TS696" s="25"/>
      <c r="TT696" s="25"/>
      <c r="TU696" s="25"/>
      <c r="TV696" s="25"/>
      <c r="TW696" s="25"/>
      <c r="TX696" s="25"/>
      <c r="TY696" s="25"/>
      <c r="TZ696" s="25"/>
      <c r="UA696" s="25"/>
      <c r="UB696" s="25"/>
      <c r="UC696" s="25"/>
      <c r="UD696" s="25"/>
      <c r="UE696" s="25"/>
      <c r="UF696" s="25"/>
      <c r="UG696" s="26"/>
    </row>
    <row r="697" spans="1:553" ht="163.5" customHeight="1">
      <c r="A697" s="356"/>
      <c r="B697" s="385"/>
      <c r="C697" s="384" t="s">
        <v>23</v>
      </c>
      <c r="D697" s="376" t="s">
        <v>20</v>
      </c>
      <c r="E697" s="376" t="s">
        <v>495</v>
      </c>
      <c r="F697" s="385">
        <v>1</v>
      </c>
      <c r="G697" s="396" t="s">
        <v>33</v>
      </c>
      <c r="H697" s="387">
        <v>20.5</v>
      </c>
      <c r="I697" s="490">
        <v>20.5</v>
      </c>
      <c r="J697" s="368">
        <v>62000</v>
      </c>
      <c r="K697" s="391"/>
      <c r="L697" s="480">
        <f t="shared" si="110"/>
        <v>1271000</v>
      </c>
      <c r="M697" s="392"/>
      <c r="N697" s="392"/>
      <c r="O697" s="366"/>
      <c r="P697" s="366"/>
      <c r="Q697" s="761" t="s">
        <v>491</v>
      </c>
      <c r="R697" s="1452"/>
      <c r="S697" s="308"/>
      <c r="T697" s="308"/>
      <c r="U697" s="308"/>
      <c r="V697" s="308"/>
      <c r="W697" s="685">
        <f>I697</f>
        <v>20.5</v>
      </c>
      <c r="X697" s="308"/>
      <c r="Y697" s="308"/>
      <c r="Z697" s="604"/>
      <c r="AA697" s="308"/>
      <c r="AB697" s="308"/>
      <c r="AC697" s="449"/>
      <c r="AD697" s="449"/>
      <c r="AE697" s="449"/>
      <c r="AF697" s="449"/>
      <c r="AG697" s="449"/>
      <c r="AH697" s="449"/>
      <c r="AI697" s="449"/>
      <c r="AJ697" s="449"/>
      <c r="AK697" s="452"/>
      <c r="AL697" s="104"/>
      <c r="AM697" s="32"/>
      <c r="AN697" s="32"/>
      <c r="AO697" s="32"/>
      <c r="AP697" s="32"/>
      <c r="AQ697" s="32"/>
      <c r="AR697" s="32"/>
      <c r="AS697" s="31"/>
      <c r="AT697" s="22"/>
      <c r="AU697" s="22"/>
      <c r="AV697" s="22"/>
      <c r="AW697" s="22"/>
      <c r="AX697" s="22"/>
      <c r="AY697" s="22"/>
      <c r="AZ697" s="22"/>
      <c r="BA697" s="22"/>
      <c r="BB697" s="22"/>
      <c r="BC697" s="22"/>
      <c r="BD697" s="22"/>
      <c r="BE697" s="22"/>
      <c r="BF697" s="22"/>
      <c r="BG697" s="22"/>
      <c r="BH697" s="22"/>
      <c r="BI697" s="22"/>
      <c r="BJ697" s="22"/>
      <c r="BK697" s="22"/>
      <c r="BL697" s="22"/>
      <c r="BM697" s="22"/>
      <c r="BN697" s="22"/>
      <c r="BO697" s="22"/>
      <c r="BP697" s="25"/>
      <c r="BQ697" s="25"/>
      <c r="BR697" s="25"/>
      <c r="BS697" s="25"/>
      <c r="BT697" s="25"/>
      <c r="BU697" s="25"/>
      <c r="BV697" s="25"/>
      <c r="BW697" s="25"/>
      <c r="BX697" s="25"/>
      <c r="BY697" s="25"/>
      <c r="BZ697" s="25"/>
      <c r="CA697" s="25"/>
      <c r="CB697" s="25"/>
      <c r="CC697" s="25"/>
      <c r="CD697" s="25"/>
      <c r="CE697" s="25"/>
      <c r="CF697" s="25"/>
      <c r="CG697" s="25"/>
      <c r="CH697" s="25"/>
      <c r="CI697" s="25"/>
      <c r="CJ697" s="25"/>
      <c r="CK697" s="25"/>
      <c r="CL697" s="25"/>
      <c r="CM697" s="25"/>
      <c r="CN697" s="25"/>
      <c r="CO697" s="25"/>
      <c r="CP697" s="25"/>
      <c r="CQ697" s="25"/>
      <c r="CR697" s="25"/>
      <c r="CS697" s="25"/>
      <c r="CT697" s="25"/>
      <c r="CU697" s="25"/>
      <c r="CV697" s="25"/>
      <c r="CW697" s="25"/>
      <c r="CX697" s="25"/>
      <c r="CY697" s="25"/>
      <c r="CZ697" s="25"/>
      <c r="DA697" s="25"/>
      <c r="DB697" s="25"/>
      <c r="DC697" s="25"/>
      <c r="DD697" s="25"/>
      <c r="DE697" s="25"/>
      <c r="DF697" s="25"/>
      <c r="DG697" s="25"/>
      <c r="DH697" s="25"/>
      <c r="DI697" s="25"/>
      <c r="DJ697" s="25"/>
      <c r="DK697" s="25"/>
      <c r="DL697" s="25"/>
      <c r="DM697" s="25"/>
      <c r="DN697" s="25"/>
      <c r="DO697" s="25"/>
      <c r="DP697" s="25"/>
      <c r="DQ697" s="25"/>
      <c r="DR697" s="25"/>
      <c r="DS697" s="25"/>
      <c r="DT697" s="25"/>
      <c r="DU697" s="25"/>
      <c r="DV697" s="25"/>
      <c r="DW697" s="25"/>
      <c r="DX697" s="25"/>
      <c r="DY697" s="25"/>
      <c r="DZ697" s="25"/>
      <c r="EA697" s="25"/>
      <c r="EB697" s="25"/>
      <c r="EC697" s="25"/>
      <c r="ED697" s="25"/>
      <c r="EE697" s="25"/>
      <c r="EF697" s="25"/>
      <c r="EG697" s="25"/>
      <c r="EH697" s="25"/>
      <c r="EI697" s="25"/>
      <c r="EJ697" s="25"/>
      <c r="EK697" s="25"/>
      <c r="EL697" s="25"/>
      <c r="EM697" s="25"/>
      <c r="EN697" s="25"/>
      <c r="EO697" s="25"/>
      <c r="EP697" s="25"/>
      <c r="EQ697" s="25"/>
      <c r="ER697" s="25"/>
      <c r="ES697" s="25"/>
      <c r="ET697" s="25"/>
      <c r="EU697" s="25"/>
      <c r="EV697" s="25"/>
      <c r="EW697" s="25"/>
      <c r="EX697" s="25"/>
      <c r="EY697" s="25"/>
      <c r="EZ697" s="25"/>
      <c r="FA697" s="25"/>
      <c r="FB697" s="25"/>
      <c r="FC697" s="25"/>
      <c r="FD697" s="25"/>
      <c r="FE697" s="25"/>
      <c r="FF697" s="25"/>
      <c r="FG697" s="25"/>
      <c r="FH697" s="25"/>
      <c r="FI697" s="25"/>
      <c r="FJ697" s="25"/>
      <c r="FK697" s="25"/>
      <c r="FL697" s="25"/>
      <c r="FM697" s="25"/>
      <c r="FN697" s="25"/>
      <c r="FO697" s="25"/>
      <c r="FP697" s="25"/>
      <c r="FQ697" s="25"/>
      <c r="FR697" s="25"/>
      <c r="FS697" s="25"/>
      <c r="FT697" s="25"/>
      <c r="FU697" s="25"/>
      <c r="FV697" s="25"/>
      <c r="FW697" s="25"/>
      <c r="FX697" s="25"/>
      <c r="FY697" s="25"/>
      <c r="FZ697" s="25"/>
      <c r="GA697" s="25"/>
      <c r="GB697" s="25"/>
      <c r="GC697" s="25"/>
      <c r="GD697" s="25"/>
      <c r="GE697" s="25"/>
      <c r="GF697" s="25"/>
      <c r="GG697" s="25"/>
      <c r="GH697" s="25"/>
      <c r="GI697" s="25"/>
      <c r="GJ697" s="25"/>
      <c r="GK697" s="25"/>
      <c r="GL697" s="25"/>
      <c r="GM697" s="25"/>
      <c r="GN697" s="25"/>
      <c r="GO697" s="25"/>
      <c r="GP697" s="25"/>
      <c r="GQ697" s="25"/>
      <c r="GR697" s="25"/>
      <c r="GS697" s="25"/>
      <c r="GT697" s="25"/>
      <c r="GU697" s="25"/>
      <c r="GV697" s="25"/>
      <c r="GW697" s="25"/>
      <c r="GX697" s="25"/>
      <c r="GY697" s="25"/>
      <c r="GZ697" s="25"/>
      <c r="HA697" s="25"/>
      <c r="HB697" s="25"/>
      <c r="HC697" s="25"/>
      <c r="HD697" s="25"/>
      <c r="HE697" s="25"/>
      <c r="HF697" s="25"/>
      <c r="HG697" s="25"/>
      <c r="HH697" s="25"/>
      <c r="HI697" s="25"/>
      <c r="HJ697" s="25"/>
      <c r="HK697" s="25"/>
      <c r="HL697" s="25"/>
      <c r="HM697" s="25"/>
      <c r="HN697" s="25"/>
      <c r="HO697" s="25"/>
      <c r="HP697" s="25"/>
      <c r="HQ697" s="25"/>
      <c r="HR697" s="25"/>
      <c r="HS697" s="25"/>
      <c r="HT697" s="25"/>
      <c r="HU697" s="25"/>
      <c r="HV697" s="25"/>
      <c r="HW697" s="25"/>
      <c r="HX697" s="25"/>
      <c r="HY697" s="25"/>
      <c r="HZ697" s="25"/>
      <c r="IA697" s="25"/>
      <c r="IB697" s="25"/>
      <c r="IC697" s="25"/>
      <c r="ID697" s="25"/>
      <c r="IE697" s="25"/>
      <c r="IF697" s="25"/>
      <c r="IG697" s="25"/>
      <c r="IH697" s="25"/>
      <c r="II697" s="25"/>
      <c r="IJ697" s="25"/>
      <c r="IK697" s="25"/>
      <c r="IL697" s="25"/>
      <c r="IM697" s="25"/>
      <c r="IN697" s="25"/>
      <c r="IO697" s="25"/>
      <c r="IP697" s="25"/>
      <c r="IQ697" s="25"/>
      <c r="IR697" s="25"/>
      <c r="IS697" s="25"/>
      <c r="IT697" s="25"/>
      <c r="IU697" s="25"/>
      <c r="IV697" s="25"/>
      <c r="IW697" s="25"/>
      <c r="IX697" s="25"/>
      <c r="IY697" s="25"/>
      <c r="IZ697" s="25"/>
      <c r="JA697" s="25"/>
      <c r="JB697" s="25"/>
      <c r="JC697" s="25"/>
      <c r="JD697" s="25"/>
      <c r="JE697" s="25"/>
      <c r="JF697" s="25"/>
      <c r="JG697" s="25"/>
      <c r="JH697" s="25"/>
      <c r="JI697" s="25"/>
      <c r="JJ697" s="25"/>
      <c r="JK697" s="25"/>
      <c r="JL697" s="25"/>
      <c r="JM697" s="25"/>
      <c r="JN697" s="25"/>
      <c r="JO697" s="25"/>
      <c r="JP697" s="25"/>
      <c r="JQ697" s="25"/>
      <c r="JR697" s="25"/>
      <c r="JS697" s="25"/>
      <c r="JT697" s="25"/>
      <c r="JU697" s="25"/>
      <c r="JV697" s="25"/>
      <c r="JW697" s="25"/>
      <c r="JX697" s="25"/>
      <c r="JY697" s="25"/>
      <c r="JZ697" s="25"/>
      <c r="KA697" s="25"/>
      <c r="KB697" s="25"/>
      <c r="KC697" s="25"/>
      <c r="KD697" s="25"/>
      <c r="KE697" s="25"/>
      <c r="KF697" s="25"/>
      <c r="KG697" s="25"/>
      <c r="KH697" s="25"/>
      <c r="KI697" s="25"/>
      <c r="KJ697" s="25"/>
      <c r="KK697" s="25"/>
      <c r="KL697" s="25"/>
      <c r="KM697" s="25"/>
      <c r="KN697" s="25"/>
      <c r="KO697" s="25"/>
      <c r="KP697" s="25"/>
      <c r="KQ697" s="25"/>
      <c r="KR697" s="25"/>
      <c r="KS697" s="25"/>
      <c r="KT697" s="25"/>
      <c r="KU697" s="25"/>
      <c r="KV697" s="25"/>
      <c r="KW697" s="25"/>
      <c r="KX697" s="25"/>
      <c r="KY697" s="25"/>
      <c r="KZ697" s="25"/>
      <c r="LA697" s="25"/>
      <c r="LB697" s="25"/>
      <c r="LC697" s="25"/>
      <c r="LD697" s="25"/>
      <c r="LE697" s="25"/>
      <c r="LF697" s="25"/>
      <c r="LG697" s="25"/>
      <c r="LH697" s="25"/>
      <c r="LI697" s="25"/>
      <c r="LJ697" s="25"/>
      <c r="LK697" s="25"/>
      <c r="LL697" s="25"/>
      <c r="LM697" s="25"/>
      <c r="LN697" s="25"/>
      <c r="LO697" s="25"/>
      <c r="LP697" s="25"/>
      <c r="LQ697" s="25"/>
      <c r="LR697" s="25"/>
      <c r="LS697" s="25"/>
      <c r="LT697" s="25"/>
      <c r="LU697" s="25"/>
      <c r="LV697" s="25"/>
      <c r="LW697" s="25"/>
      <c r="LX697" s="25"/>
      <c r="LY697" s="25"/>
      <c r="LZ697" s="25"/>
      <c r="MA697" s="25"/>
      <c r="MB697" s="25"/>
      <c r="MC697" s="25"/>
      <c r="MD697" s="25"/>
      <c r="ME697" s="25"/>
      <c r="MF697" s="25"/>
      <c r="MG697" s="25"/>
      <c r="MH697" s="25"/>
      <c r="MI697" s="25"/>
      <c r="MJ697" s="25"/>
      <c r="MK697" s="25"/>
      <c r="ML697" s="25"/>
      <c r="MM697" s="25"/>
      <c r="MN697" s="25"/>
      <c r="MO697" s="25"/>
      <c r="MP697" s="25"/>
      <c r="MQ697" s="25"/>
      <c r="MR697" s="25"/>
      <c r="MS697" s="25"/>
      <c r="MT697" s="25"/>
      <c r="MU697" s="25"/>
      <c r="MV697" s="25"/>
      <c r="MW697" s="25"/>
      <c r="MX697" s="25"/>
      <c r="MY697" s="25"/>
      <c r="MZ697" s="25"/>
      <c r="NA697" s="25"/>
      <c r="NB697" s="25"/>
      <c r="NC697" s="25"/>
      <c r="ND697" s="25"/>
      <c r="NE697" s="25"/>
      <c r="NF697" s="25"/>
      <c r="NG697" s="25"/>
      <c r="NH697" s="25"/>
      <c r="NI697" s="25"/>
      <c r="NJ697" s="25"/>
      <c r="NK697" s="25"/>
      <c r="NL697" s="25"/>
      <c r="NM697" s="25"/>
      <c r="NN697" s="25"/>
      <c r="NO697" s="25"/>
      <c r="NP697" s="25"/>
      <c r="NQ697" s="25"/>
      <c r="NR697" s="25"/>
      <c r="NS697" s="25"/>
      <c r="NT697" s="25"/>
      <c r="NU697" s="25"/>
      <c r="NV697" s="25"/>
      <c r="NW697" s="25"/>
      <c r="NX697" s="25"/>
      <c r="NY697" s="25"/>
      <c r="NZ697" s="25"/>
      <c r="OA697" s="25"/>
      <c r="OB697" s="25"/>
      <c r="OC697" s="25"/>
      <c r="OD697" s="25"/>
      <c r="OE697" s="25"/>
      <c r="OF697" s="25"/>
      <c r="OG697" s="25"/>
      <c r="OH697" s="25"/>
      <c r="OI697" s="25"/>
      <c r="OJ697" s="25"/>
      <c r="OK697" s="25"/>
      <c r="OL697" s="25"/>
      <c r="OM697" s="25"/>
      <c r="ON697" s="25"/>
      <c r="OO697" s="25"/>
      <c r="OP697" s="25"/>
      <c r="OQ697" s="25"/>
      <c r="OR697" s="25"/>
      <c r="OS697" s="25"/>
      <c r="OT697" s="25"/>
      <c r="OU697" s="25"/>
      <c r="OV697" s="25"/>
      <c r="OW697" s="25"/>
      <c r="OX697" s="25"/>
      <c r="OY697" s="25"/>
      <c r="OZ697" s="25"/>
      <c r="PA697" s="25"/>
      <c r="PB697" s="25"/>
      <c r="PC697" s="25"/>
      <c r="PD697" s="25"/>
      <c r="PE697" s="25"/>
      <c r="PF697" s="25"/>
      <c r="PG697" s="25"/>
      <c r="PH697" s="25"/>
      <c r="PI697" s="25"/>
      <c r="PJ697" s="25"/>
      <c r="PK697" s="25"/>
      <c r="PL697" s="25"/>
      <c r="PM697" s="25"/>
      <c r="PN697" s="25"/>
      <c r="PO697" s="25"/>
      <c r="PP697" s="25"/>
      <c r="PQ697" s="25"/>
      <c r="PR697" s="25"/>
      <c r="PS697" s="25"/>
      <c r="PT697" s="25"/>
      <c r="PU697" s="25"/>
      <c r="PV697" s="25"/>
      <c r="PW697" s="25"/>
      <c r="PX697" s="25"/>
      <c r="PY697" s="25"/>
      <c r="PZ697" s="25"/>
      <c r="QA697" s="25"/>
      <c r="QB697" s="25"/>
      <c r="QC697" s="25"/>
      <c r="QD697" s="25"/>
      <c r="QE697" s="25"/>
      <c r="QF697" s="25"/>
      <c r="QG697" s="25"/>
      <c r="QH697" s="25"/>
      <c r="QI697" s="25"/>
      <c r="QJ697" s="25"/>
      <c r="QK697" s="25"/>
      <c r="QL697" s="25"/>
      <c r="QM697" s="25"/>
      <c r="QN697" s="25"/>
      <c r="QO697" s="25"/>
      <c r="QP697" s="25"/>
      <c r="QQ697" s="25"/>
      <c r="QR697" s="25"/>
      <c r="QS697" s="25"/>
      <c r="QT697" s="25"/>
      <c r="QU697" s="25"/>
      <c r="QV697" s="25"/>
      <c r="QW697" s="25"/>
      <c r="QX697" s="25"/>
      <c r="QY697" s="25"/>
      <c r="QZ697" s="25"/>
      <c r="RA697" s="25"/>
      <c r="RB697" s="25"/>
      <c r="RC697" s="25"/>
      <c r="RD697" s="25"/>
      <c r="RE697" s="25"/>
      <c r="RF697" s="25"/>
      <c r="RG697" s="25"/>
      <c r="RH697" s="25"/>
      <c r="RI697" s="25"/>
      <c r="RJ697" s="25"/>
      <c r="RK697" s="25"/>
      <c r="RL697" s="25"/>
      <c r="RM697" s="25"/>
      <c r="RN697" s="25"/>
      <c r="RO697" s="25"/>
      <c r="RP697" s="25"/>
      <c r="RQ697" s="25"/>
      <c r="RR697" s="25"/>
      <c r="RS697" s="25"/>
      <c r="RT697" s="25"/>
      <c r="RU697" s="25"/>
      <c r="RV697" s="25"/>
      <c r="RW697" s="25"/>
      <c r="RX697" s="25"/>
      <c r="RY697" s="25"/>
      <c r="RZ697" s="25"/>
      <c r="SA697" s="25"/>
      <c r="SB697" s="25"/>
      <c r="SC697" s="25"/>
      <c r="SD697" s="25"/>
      <c r="SE697" s="25"/>
      <c r="SF697" s="25"/>
      <c r="SG697" s="25"/>
      <c r="SH697" s="25"/>
      <c r="SI697" s="25"/>
      <c r="SJ697" s="25"/>
      <c r="SK697" s="25"/>
      <c r="SL697" s="25"/>
      <c r="SM697" s="25"/>
      <c r="SN697" s="25"/>
      <c r="SO697" s="25"/>
      <c r="SP697" s="25"/>
      <c r="SQ697" s="25"/>
      <c r="SR697" s="25"/>
      <c r="SS697" s="25"/>
      <c r="ST697" s="25"/>
      <c r="SU697" s="25"/>
      <c r="SV697" s="25"/>
      <c r="SW697" s="25"/>
      <c r="SX697" s="25"/>
      <c r="SY697" s="25"/>
      <c r="SZ697" s="25"/>
      <c r="TA697" s="25"/>
      <c r="TB697" s="25"/>
      <c r="TC697" s="25"/>
      <c r="TD697" s="25"/>
      <c r="TE697" s="25"/>
      <c r="TF697" s="25"/>
      <c r="TG697" s="25"/>
      <c r="TH697" s="25"/>
      <c r="TI697" s="25"/>
      <c r="TJ697" s="25"/>
      <c r="TK697" s="25"/>
      <c r="TL697" s="25"/>
      <c r="TM697" s="25"/>
      <c r="TN697" s="25"/>
      <c r="TO697" s="25"/>
      <c r="TP697" s="25"/>
      <c r="TQ697" s="25"/>
      <c r="TR697" s="25"/>
      <c r="TS697" s="25"/>
      <c r="TT697" s="25"/>
      <c r="TU697" s="25"/>
      <c r="TV697" s="25"/>
      <c r="TW697" s="25"/>
      <c r="TX697" s="25"/>
      <c r="TY697" s="25"/>
      <c r="TZ697" s="25"/>
      <c r="UA697" s="25"/>
      <c r="UB697" s="25"/>
      <c r="UC697" s="25"/>
      <c r="UD697" s="25"/>
      <c r="UE697" s="25"/>
      <c r="UF697" s="25"/>
      <c r="UG697" s="26"/>
    </row>
    <row r="698" spans="1:553" ht="163.5" customHeight="1">
      <c r="A698" s="356"/>
      <c r="B698" s="385"/>
      <c r="C698" s="384" t="s">
        <v>213</v>
      </c>
      <c r="D698" s="376">
        <v>2</v>
      </c>
      <c r="E698" s="376">
        <v>177</v>
      </c>
      <c r="F698" s="385">
        <v>1</v>
      </c>
      <c r="G698" s="396" t="s">
        <v>33</v>
      </c>
      <c r="H698" s="387">
        <v>182</v>
      </c>
      <c r="I698" s="490">
        <v>182</v>
      </c>
      <c r="J698" s="368">
        <v>62000</v>
      </c>
      <c r="K698" s="391"/>
      <c r="L698" s="480">
        <f t="shared" si="110"/>
        <v>11284000</v>
      </c>
      <c r="M698" s="392"/>
      <c r="N698" s="392"/>
      <c r="O698" s="366"/>
      <c r="P698" s="366"/>
      <c r="Q698" s="1149" t="s">
        <v>496</v>
      </c>
      <c r="R698" s="1163" t="s">
        <v>942</v>
      </c>
      <c r="S698" s="308"/>
      <c r="T698" s="308"/>
      <c r="U698" s="308"/>
      <c r="V698" s="308"/>
      <c r="W698" s="308"/>
      <c r="X698" s="308"/>
      <c r="Y698" s="308"/>
      <c r="Z698" s="604"/>
      <c r="AA698" s="685">
        <f>I698</f>
        <v>182</v>
      </c>
      <c r="AB698" s="308"/>
      <c r="AC698" s="449"/>
      <c r="AD698" s="449"/>
      <c r="AE698" s="449"/>
      <c r="AF698" s="449"/>
      <c r="AG698" s="449"/>
      <c r="AH698" s="449"/>
      <c r="AI698" s="449"/>
      <c r="AJ698" s="449"/>
      <c r="AK698" s="452"/>
      <c r="AL698" s="104"/>
      <c r="AM698" s="32"/>
      <c r="AN698" s="32"/>
      <c r="AO698" s="32"/>
      <c r="AP698" s="32"/>
      <c r="AQ698" s="32"/>
      <c r="AR698" s="32"/>
      <c r="AS698" s="31"/>
      <c r="AT698" s="22"/>
      <c r="AU698" s="22"/>
      <c r="AV698" s="22"/>
      <c r="AW698" s="22"/>
      <c r="AX698" s="22"/>
      <c r="AY698" s="22"/>
      <c r="AZ698" s="22"/>
      <c r="BA698" s="22"/>
      <c r="BB698" s="22"/>
      <c r="BC698" s="22"/>
      <c r="BD698" s="22"/>
      <c r="BE698" s="22"/>
      <c r="BF698" s="22"/>
      <c r="BG698" s="22"/>
      <c r="BH698" s="22"/>
      <c r="BI698" s="22"/>
      <c r="BJ698" s="22"/>
      <c r="BK698" s="22"/>
      <c r="BL698" s="22"/>
      <c r="BM698" s="22"/>
      <c r="BN698" s="22"/>
      <c r="BO698" s="22"/>
      <c r="BP698" s="25"/>
      <c r="BQ698" s="25"/>
      <c r="BR698" s="25"/>
      <c r="BS698" s="25"/>
      <c r="BT698" s="25"/>
      <c r="BU698" s="25"/>
      <c r="BV698" s="25"/>
      <c r="BW698" s="25"/>
      <c r="BX698" s="25"/>
      <c r="BY698" s="25"/>
      <c r="BZ698" s="25"/>
      <c r="CA698" s="25"/>
      <c r="CB698" s="25"/>
      <c r="CC698" s="25"/>
      <c r="CD698" s="25"/>
      <c r="CE698" s="25"/>
      <c r="CF698" s="25"/>
      <c r="CG698" s="25"/>
      <c r="CH698" s="25"/>
      <c r="CI698" s="25"/>
      <c r="CJ698" s="25"/>
      <c r="CK698" s="25"/>
      <c r="CL698" s="25"/>
      <c r="CM698" s="25"/>
      <c r="CN698" s="25"/>
      <c r="CO698" s="25"/>
      <c r="CP698" s="25"/>
      <c r="CQ698" s="25"/>
      <c r="CR698" s="25"/>
      <c r="CS698" s="25"/>
      <c r="CT698" s="25"/>
      <c r="CU698" s="25"/>
      <c r="CV698" s="25"/>
      <c r="CW698" s="25"/>
      <c r="CX698" s="25"/>
      <c r="CY698" s="25"/>
      <c r="CZ698" s="25"/>
      <c r="DA698" s="25"/>
      <c r="DB698" s="25"/>
      <c r="DC698" s="25"/>
      <c r="DD698" s="25"/>
      <c r="DE698" s="25"/>
      <c r="DF698" s="25"/>
      <c r="DG698" s="25"/>
      <c r="DH698" s="25"/>
      <c r="DI698" s="25"/>
      <c r="DJ698" s="25"/>
      <c r="DK698" s="25"/>
      <c r="DL698" s="25"/>
      <c r="DM698" s="25"/>
      <c r="DN698" s="25"/>
      <c r="DO698" s="25"/>
      <c r="DP698" s="25"/>
      <c r="DQ698" s="25"/>
      <c r="DR698" s="25"/>
      <c r="DS698" s="25"/>
      <c r="DT698" s="25"/>
      <c r="DU698" s="25"/>
      <c r="DV698" s="25"/>
      <c r="DW698" s="25"/>
      <c r="DX698" s="25"/>
      <c r="DY698" s="25"/>
      <c r="DZ698" s="25"/>
      <c r="EA698" s="25"/>
      <c r="EB698" s="25"/>
      <c r="EC698" s="25"/>
      <c r="ED698" s="25"/>
      <c r="EE698" s="25"/>
      <c r="EF698" s="25"/>
      <c r="EG698" s="25"/>
      <c r="EH698" s="25"/>
      <c r="EI698" s="25"/>
      <c r="EJ698" s="25"/>
      <c r="EK698" s="25"/>
      <c r="EL698" s="25"/>
      <c r="EM698" s="25"/>
      <c r="EN698" s="25"/>
      <c r="EO698" s="25"/>
      <c r="EP698" s="25"/>
      <c r="EQ698" s="25"/>
      <c r="ER698" s="25"/>
      <c r="ES698" s="25"/>
      <c r="ET698" s="25"/>
      <c r="EU698" s="25"/>
      <c r="EV698" s="25"/>
      <c r="EW698" s="25"/>
      <c r="EX698" s="25"/>
      <c r="EY698" s="25"/>
      <c r="EZ698" s="25"/>
      <c r="FA698" s="25"/>
      <c r="FB698" s="25"/>
      <c r="FC698" s="25"/>
      <c r="FD698" s="25"/>
      <c r="FE698" s="25"/>
      <c r="FF698" s="25"/>
      <c r="FG698" s="25"/>
      <c r="FH698" s="25"/>
      <c r="FI698" s="25"/>
      <c r="FJ698" s="25"/>
      <c r="FK698" s="25"/>
      <c r="FL698" s="25"/>
      <c r="FM698" s="25"/>
      <c r="FN698" s="25"/>
      <c r="FO698" s="25"/>
      <c r="FP698" s="25"/>
      <c r="FQ698" s="25"/>
      <c r="FR698" s="25"/>
      <c r="FS698" s="25"/>
      <c r="FT698" s="25"/>
      <c r="FU698" s="25"/>
      <c r="FV698" s="25"/>
      <c r="FW698" s="25"/>
      <c r="FX698" s="25"/>
      <c r="FY698" s="25"/>
      <c r="FZ698" s="25"/>
      <c r="GA698" s="25"/>
      <c r="GB698" s="25"/>
      <c r="GC698" s="25"/>
      <c r="GD698" s="25"/>
      <c r="GE698" s="25"/>
      <c r="GF698" s="25"/>
      <c r="GG698" s="25"/>
      <c r="GH698" s="25"/>
      <c r="GI698" s="25"/>
      <c r="GJ698" s="25"/>
      <c r="GK698" s="25"/>
      <c r="GL698" s="25"/>
      <c r="GM698" s="25"/>
      <c r="GN698" s="25"/>
      <c r="GO698" s="25"/>
      <c r="GP698" s="25"/>
      <c r="GQ698" s="25"/>
      <c r="GR698" s="25"/>
      <c r="GS698" s="25"/>
      <c r="GT698" s="25"/>
      <c r="GU698" s="25"/>
      <c r="GV698" s="25"/>
      <c r="GW698" s="25"/>
      <c r="GX698" s="25"/>
      <c r="GY698" s="25"/>
      <c r="GZ698" s="25"/>
      <c r="HA698" s="25"/>
      <c r="HB698" s="25"/>
      <c r="HC698" s="25"/>
      <c r="HD698" s="25"/>
      <c r="HE698" s="25"/>
      <c r="HF698" s="25"/>
      <c r="HG698" s="25"/>
      <c r="HH698" s="25"/>
      <c r="HI698" s="25"/>
      <c r="HJ698" s="25"/>
      <c r="HK698" s="25"/>
      <c r="HL698" s="25"/>
      <c r="HM698" s="25"/>
      <c r="HN698" s="25"/>
      <c r="HO698" s="25"/>
      <c r="HP698" s="25"/>
      <c r="HQ698" s="25"/>
      <c r="HR698" s="25"/>
      <c r="HS698" s="25"/>
      <c r="HT698" s="25"/>
      <c r="HU698" s="25"/>
      <c r="HV698" s="25"/>
      <c r="HW698" s="25"/>
      <c r="HX698" s="25"/>
      <c r="HY698" s="25"/>
      <c r="HZ698" s="25"/>
      <c r="IA698" s="25"/>
      <c r="IB698" s="25"/>
      <c r="IC698" s="25"/>
      <c r="ID698" s="25"/>
      <c r="IE698" s="25"/>
      <c r="IF698" s="25"/>
      <c r="IG698" s="25"/>
      <c r="IH698" s="25"/>
      <c r="II698" s="25"/>
      <c r="IJ698" s="25"/>
      <c r="IK698" s="25"/>
      <c r="IL698" s="25"/>
      <c r="IM698" s="25"/>
      <c r="IN698" s="25"/>
      <c r="IO698" s="25"/>
      <c r="IP698" s="25"/>
      <c r="IQ698" s="25"/>
      <c r="IR698" s="25"/>
      <c r="IS698" s="25"/>
      <c r="IT698" s="25"/>
      <c r="IU698" s="25"/>
      <c r="IV698" s="25"/>
      <c r="IW698" s="25"/>
      <c r="IX698" s="25"/>
      <c r="IY698" s="25"/>
      <c r="IZ698" s="25"/>
      <c r="JA698" s="25"/>
      <c r="JB698" s="25"/>
      <c r="JC698" s="25"/>
      <c r="JD698" s="25"/>
      <c r="JE698" s="25"/>
      <c r="JF698" s="25"/>
      <c r="JG698" s="25"/>
      <c r="JH698" s="25"/>
      <c r="JI698" s="25"/>
      <c r="JJ698" s="25"/>
      <c r="JK698" s="25"/>
      <c r="JL698" s="25"/>
      <c r="JM698" s="25"/>
      <c r="JN698" s="25"/>
      <c r="JO698" s="25"/>
      <c r="JP698" s="25"/>
      <c r="JQ698" s="25"/>
      <c r="JR698" s="25"/>
      <c r="JS698" s="25"/>
      <c r="JT698" s="25"/>
      <c r="JU698" s="25"/>
      <c r="JV698" s="25"/>
      <c r="JW698" s="25"/>
      <c r="JX698" s="25"/>
      <c r="JY698" s="25"/>
      <c r="JZ698" s="25"/>
      <c r="KA698" s="25"/>
      <c r="KB698" s="25"/>
      <c r="KC698" s="25"/>
      <c r="KD698" s="25"/>
      <c r="KE698" s="25"/>
      <c r="KF698" s="25"/>
      <c r="KG698" s="25"/>
      <c r="KH698" s="25"/>
      <c r="KI698" s="25"/>
      <c r="KJ698" s="25"/>
      <c r="KK698" s="25"/>
      <c r="KL698" s="25"/>
      <c r="KM698" s="25"/>
      <c r="KN698" s="25"/>
      <c r="KO698" s="25"/>
      <c r="KP698" s="25"/>
      <c r="KQ698" s="25"/>
      <c r="KR698" s="25"/>
      <c r="KS698" s="25"/>
      <c r="KT698" s="25"/>
      <c r="KU698" s="25"/>
      <c r="KV698" s="25"/>
      <c r="KW698" s="25"/>
      <c r="KX698" s="25"/>
      <c r="KY698" s="25"/>
      <c r="KZ698" s="25"/>
      <c r="LA698" s="25"/>
      <c r="LB698" s="25"/>
      <c r="LC698" s="25"/>
      <c r="LD698" s="25"/>
      <c r="LE698" s="25"/>
      <c r="LF698" s="25"/>
      <c r="LG698" s="25"/>
      <c r="LH698" s="25"/>
      <c r="LI698" s="25"/>
      <c r="LJ698" s="25"/>
      <c r="LK698" s="25"/>
      <c r="LL698" s="25"/>
      <c r="LM698" s="25"/>
      <c r="LN698" s="25"/>
      <c r="LO698" s="25"/>
      <c r="LP698" s="25"/>
      <c r="LQ698" s="25"/>
      <c r="LR698" s="25"/>
      <c r="LS698" s="25"/>
      <c r="LT698" s="25"/>
      <c r="LU698" s="25"/>
      <c r="LV698" s="25"/>
      <c r="LW698" s="25"/>
      <c r="LX698" s="25"/>
      <c r="LY698" s="25"/>
      <c r="LZ698" s="25"/>
      <c r="MA698" s="25"/>
      <c r="MB698" s="25"/>
      <c r="MC698" s="25"/>
      <c r="MD698" s="25"/>
      <c r="ME698" s="25"/>
      <c r="MF698" s="25"/>
      <c r="MG698" s="25"/>
      <c r="MH698" s="25"/>
      <c r="MI698" s="25"/>
      <c r="MJ698" s="25"/>
      <c r="MK698" s="25"/>
      <c r="ML698" s="25"/>
      <c r="MM698" s="25"/>
      <c r="MN698" s="25"/>
      <c r="MO698" s="25"/>
      <c r="MP698" s="25"/>
      <c r="MQ698" s="25"/>
      <c r="MR698" s="25"/>
      <c r="MS698" s="25"/>
      <c r="MT698" s="25"/>
      <c r="MU698" s="25"/>
      <c r="MV698" s="25"/>
      <c r="MW698" s="25"/>
      <c r="MX698" s="25"/>
      <c r="MY698" s="25"/>
      <c r="MZ698" s="25"/>
      <c r="NA698" s="25"/>
      <c r="NB698" s="25"/>
      <c r="NC698" s="25"/>
      <c r="ND698" s="25"/>
      <c r="NE698" s="25"/>
      <c r="NF698" s="25"/>
      <c r="NG698" s="25"/>
      <c r="NH698" s="25"/>
      <c r="NI698" s="25"/>
      <c r="NJ698" s="25"/>
      <c r="NK698" s="25"/>
      <c r="NL698" s="25"/>
      <c r="NM698" s="25"/>
      <c r="NN698" s="25"/>
      <c r="NO698" s="25"/>
      <c r="NP698" s="25"/>
      <c r="NQ698" s="25"/>
      <c r="NR698" s="25"/>
      <c r="NS698" s="25"/>
      <c r="NT698" s="25"/>
      <c r="NU698" s="25"/>
      <c r="NV698" s="25"/>
      <c r="NW698" s="25"/>
      <c r="NX698" s="25"/>
      <c r="NY698" s="25"/>
      <c r="NZ698" s="25"/>
      <c r="OA698" s="25"/>
      <c r="OB698" s="25"/>
      <c r="OC698" s="25"/>
      <c r="OD698" s="25"/>
      <c r="OE698" s="25"/>
      <c r="OF698" s="25"/>
      <c r="OG698" s="25"/>
      <c r="OH698" s="25"/>
      <c r="OI698" s="25"/>
      <c r="OJ698" s="25"/>
      <c r="OK698" s="25"/>
      <c r="OL698" s="25"/>
      <c r="OM698" s="25"/>
      <c r="ON698" s="25"/>
      <c r="OO698" s="25"/>
      <c r="OP698" s="25"/>
      <c r="OQ698" s="25"/>
      <c r="OR698" s="25"/>
      <c r="OS698" s="25"/>
      <c r="OT698" s="25"/>
      <c r="OU698" s="25"/>
      <c r="OV698" s="25"/>
      <c r="OW698" s="25"/>
      <c r="OX698" s="25"/>
      <c r="OY698" s="25"/>
      <c r="OZ698" s="25"/>
      <c r="PA698" s="25"/>
      <c r="PB698" s="25"/>
      <c r="PC698" s="25"/>
      <c r="PD698" s="25"/>
      <c r="PE698" s="25"/>
      <c r="PF698" s="25"/>
      <c r="PG698" s="25"/>
      <c r="PH698" s="25"/>
      <c r="PI698" s="25"/>
      <c r="PJ698" s="25"/>
      <c r="PK698" s="25"/>
      <c r="PL698" s="25"/>
      <c r="PM698" s="25"/>
      <c r="PN698" s="25"/>
      <c r="PO698" s="25"/>
      <c r="PP698" s="25"/>
      <c r="PQ698" s="25"/>
      <c r="PR698" s="25"/>
      <c r="PS698" s="25"/>
      <c r="PT698" s="25"/>
      <c r="PU698" s="25"/>
      <c r="PV698" s="25"/>
      <c r="PW698" s="25"/>
      <c r="PX698" s="25"/>
      <c r="PY698" s="25"/>
      <c r="PZ698" s="25"/>
      <c r="QA698" s="25"/>
      <c r="QB698" s="25"/>
      <c r="QC698" s="25"/>
      <c r="QD698" s="25"/>
      <c r="QE698" s="25"/>
      <c r="QF698" s="25"/>
      <c r="QG698" s="25"/>
      <c r="QH698" s="25"/>
      <c r="QI698" s="25"/>
      <c r="QJ698" s="25"/>
      <c r="QK698" s="25"/>
      <c r="QL698" s="25"/>
      <c r="QM698" s="25"/>
      <c r="QN698" s="25"/>
      <c r="QO698" s="25"/>
      <c r="QP698" s="25"/>
      <c r="QQ698" s="25"/>
      <c r="QR698" s="25"/>
      <c r="QS698" s="25"/>
      <c r="QT698" s="25"/>
      <c r="QU698" s="25"/>
      <c r="QV698" s="25"/>
      <c r="QW698" s="25"/>
      <c r="QX698" s="25"/>
      <c r="QY698" s="25"/>
      <c r="QZ698" s="25"/>
      <c r="RA698" s="25"/>
      <c r="RB698" s="25"/>
      <c r="RC698" s="25"/>
      <c r="RD698" s="25"/>
      <c r="RE698" s="25"/>
      <c r="RF698" s="25"/>
      <c r="RG698" s="25"/>
      <c r="RH698" s="25"/>
      <c r="RI698" s="25"/>
      <c r="RJ698" s="25"/>
      <c r="RK698" s="25"/>
      <c r="RL698" s="25"/>
      <c r="RM698" s="25"/>
      <c r="RN698" s="25"/>
      <c r="RO698" s="25"/>
      <c r="RP698" s="25"/>
      <c r="RQ698" s="25"/>
      <c r="RR698" s="25"/>
      <c r="RS698" s="25"/>
      <c r="RT698" s="25"/>
      <c r="RU698" s="25"/>
      <c r="RV698" s="25"/>
      <c r="RW698" s="25"/>
      <c r="RX698" s="25"/>
      <c r="RY698" s="25"/>
      <c r="RZ698" s="25"/>
      <c r="SA698" s="25"/>
      <c r="SB698" s="25"/>
      <c r="SC698" s="25"/>
      <c r="SD698" s="25"/>
      <c r="SE698" s="25"/>
      <c r="SF698" s="25"/>
      <c r="SG698" s="25"/>
      <c r="SH698" s="25"/>
      <c r="SI698" s="25"/>
      <c r="SJ698" s="25"/>
      <c r="SK698" s="25"/>
      <c r="SL698" s="25"/>
      <c r="SM698" s="25"/>
      <c r="SN698" s="25"/>
      <c r="SO698" s="25"/>
      <c r="SP698" s="25"/>
      <c r="SQ698" s="25"/>
      <c r="SR698" s="25"/>
      <c r="SS698" s="25"/>
      <c r="ST698" s="25"/>
      <c r="SU698" s="25"/>
      <c r="SV698" s="25"/>
      <c r="SW698" s="25"/>
      <c r="SX698" s="25"/>
      <c r="SY698" s="25"/>
      <c r="SZ698" s="25"/>
      <c r="TA698" s="25"/>
      <c r="TB698" s="25"/>
      <c r="TC698" s="25"/>
      <c r="TD698" s="25"/>
      <c r="TE698" s="25"/>
      <c r="TF698" s="25"/>
      <c r="TG698" s="25"/>
      <c r="TH698" s="25"/>
      <c r="TI698" s="25"/>
      <c r="TJ698" s="25"/>
      <c r="TK698" s="25"/>
      <c r="TL698" s="25"/>
      <c r="TM698" s="25"/>
      <c r="TN698" s="25"/>
      <c r="TO698" s="25"/>
      <c r="TP698" s="25"/>
      <c r="TQ698" s="25"/>
      <c r="TR698" s="25"/>
      <c r="TS698" s="25"/>
      <c r="TT698" s="25"/>
      <c r="TU698" s="25"/>
      <c r="TV698" s="25"/>
      <c r="TW698" s="25"/>
      <c r="TX698" s="25"/>
      <c r="TY698" s="25"/>
      <c r="TZ698" s="25"/>
      <c r="UA698" s="25"/>
      <c r="UB698" s="25"/>
      <c r="UC698" s="25"/>
      <c r="UD698" s="25"/>
      <c r="UE698" s="25"/>
      <c r="UF698" s="25"/>
      <c r="UG698" s="26"/>
    </row>
    <row r="699" spans="1:553" ht="168.75" customHeight="1">
      <c r="A699" s="356"/>
      <c r="B699" s="385"/>
      <c r="C699" s="384" t="s">
        <v>23</v>
      </c>
      <c r="D699" s="376" t="s">
        <v>20</v>
      </c>
      <c r="E699" s="376" t="s">
        <v>497</v>
      </c>
      <c r="F699" s="385">
        <v>1</v>
      </c>
      <c r="G699" s="396" t="s">
        <v>33</v>
      </c>
      <c r="H699" s="387">
        <v>97.6</v>
      </c>
      <c r="I699" s="490">
        <v>97.6</v>
      </c>
      <c r="J699" s="368">
        <v>62000</v>
      </c>
      <c r="K699" s="391"/>
      <c r="L699" s="480">
        <f t="shared" si="110"/>
        <v>6051200</v>
      </c>
      <c r="M699" s="392"/>
      <c r="N699" s="392"/>
      <c r="O699" s="366"/>
      <c r="P699" s="366"/>
      <c r="Q699" s="761" t="s">
        <v>491</v>
      </c>
      <c r="R699" s="1547" t="s">
        <v>931</v>
      </c>
      <c r="S699" s="308"/>
      <c r="T699" s="308"/>
      <c r="U699" s="308"/>
      <c r="V699" s="308"/>
      <c r="W699" s="685">
        <f t="shared" ref="W699:W704" si="111">I699</f>
        <v>97.6</v>
      </c>
      <c r="X699" s="308"/>
      <c r="Y699" s="308"/>
      <c r="Z699" s="604"/>
      <c r="AA699" s="308"/>
      <c r="AB699" s="308"/>
      <c r="AC699" s="449"/>
      <c r="AD699" s="449"/>
      <c r="AE699" s="449"/>
      <c r="AF699" s="449"/>
      <c r="AG699" s="449"/>
      <c r="AH699" s="449"/>
      <c r="AI699" s="449"/>
      <c r="AJ699" s="449"/>
      <c r="AK699" s="452"/>
      <c r="AL699" s="104"/>
      <c r="AM699" s="32"/>
      <c r="AN699" s="32"/>
      <c r="AO699" s="32"/>
      <c r="AP699" s="32"/>
      <c r="AQ699" s="32"/>
      <c r="AR699" s="32"/>
      <c r="AS699" s="31"/>
      <c r="AT699" s="22"/>
      <c r="AU699" s="22"/>
      <c r="AV699" s="22"/>
      <c r="AW699" s="22"/>
      <c r="AX699" s="22"/>
      <c r="AY699" s="22"/>
      <c r="AZ699" s="22"/>
      <c r="BA699" s="22"/>
      <c r="BB699" s="22"/>
      <c r="BC699" s="22"/>
      <c r="BD699" s="22"/>
      <c r="BE699" s="22"/>
      <c r="BF699" s="22"/>
      <c r="BG699" s="22"/>
      <c r="BH699" s="22"/>
      <c r="BI699" s="22"/>
      <c r="BJ699" s="22"/>
      <c r="BK699" s="22"/>
      <c r="BL699" s="22"/>
      <c r="BM699" s="22"/>
      <c r="BN699" s="22"/>
      <c r="BO699" s="22"/>
      <c r="BP699" s="25"/>
      <c r="BQ699" s="25"/>
      <c r="BR699" s="25"/>
      <c r="BS699" s="25"/>
      <c r="BT699" s="25"/>
      <c r="BU699" s="25"/>
      <c r="BV699" s="25"/>
      <c r="BW699" s="25"/>
      <c r="BX699" s="25"/>
      <c r="BY699" s="25"/>
      <c r="BZ699" s="25"/>
      <c r="CA699" s="25"/>
      <c r="CB699" s="25"/>
      <c r="CC699" s="25"/>
      <c r="CD699" s="25"/>
      <c r="CE699" s="25"/>
      <c r="CF699" s="25"/>
      <c r="CG699" s="25"/>
      <c r="CH699" s="25"/>
      <c r="CI699" s="25"/>
      <c r="CJ699" s="25"/>
      <c r="CK699" s="25"/>
      <c r="CL699" s="25"/>
      <c r="CM699" s="25"/>
      <c r="CN699" s="25"/>
      <c r="CO699" s="25"/>
      <c r="CP699" s="25"/>
      <c r="CQ699" s="25"/>
      <c r="CR699" s="25"/>
      <c r="CS699" s="25"/>
      <c r="CT699" s="25"/>
      <c r="CU699" s="25"/>
      <c r="CV699" s="25"/>
      <c r="CW699" s="25"/>
      <c r="CX699" s="25"/>
      <c r="CY699" s="25"/>
      <c r="CZ699" s="25"/>
      <c r="DA699" s="25"/>
      <c r="DB699" s="25"/>
      <c r="DC699" s="25"/>
      <c r="DD699" s="25"/>
      <c r="DE699" s="25"/>
      <c r="DF699" s="25"/>
      <c r="DG699" s="25"/>
      <c r="DH699" s="25"/>
      <c r="DI699" s="25"/>
      <c r="DJ699" s="25"/>
      <c r="DK699" s="25"/>
      <c r="DL699" s="25"/>
      <c r="DM699" s="25"/>
      <c r="DN699" s="25"/>
      <c r="DO699" s="25"/>
      <c r="DP699" s="25"/>
      <c r="DQ699" s="25"/>
      <c r="DR699" s="25"/>
      <c r="DS699" s="25"/>
      <c r="DT699" s="25"/>
      <c r="DU699" s="25"/>
      <c r="DV699" s="25"/>
      <c r="DW699" s="25"/>
      <c r="DX699" s="25"/>
      <c r="DY699" s="25"/>
      <c r="DZ699" s="25"/>
      <c r="EA699" s="25"/>
      <c r="EB699" s="25"/>
      <c r="EC699" s="25"/>
      <c r="ED699" s="25"/>
      <c r="EE699" s="25"/>
      <c r="EF699" s="25"/>
      <c r="EG699" s="25"/>
      <c r="EH699" s="25"/>
      <c r="EI699" s="25"/>
      <c r="EJ699" s="25"/>
      <c r="EK699" s="25"/>
      <c r="EL699" s="25"/>
      <c r="EM699" s="25"/>
      <c r="EN699" s="25"/>
      <c r="EO699" s="25"/>
      <c r="EP699" s="25"/>
      <c r="EQ699" s="25"/>
      <c r="ER699" s="25"/>
      <c r="ES699" s="25"/>
      <c r="ET699" s="25"/>
      <c r="EU699" s="25"/>
      <c r="EV699" s="25"/>
      <c r="EW699" s="25"/>
      <c r="EX699" s="25"/>
      <c r="EY699" s="25"/>
      <c r="EZ699" s="25"/>
      <c r="FA699" s="25"/>
      <c r="FB699" s="25"/>
      <c r="FC699" s="25"/>
      <c r="FD699" s="25"/>
      <c r="FE699" s="25"/>
      <c r="FF699" s="25"/>
      <c r="FG699" s="25"/>
      <c r="FH699" s="25"/>
      <c r="FI699" s="25"/>
      <c r="FJ699" s="25"/>
      <c r="FK699" s="25"/>
      <c r="FL699" s="25"/>
      <c r="FM699" s="25"/>
      <c r="FN699" s="25"/>
      <c r="FO699" s="25"/>
      <c r="FP699" s="25"/>
      <c r="FQ699" s="25"/>
      <c r="FR699" s="25"/>
      <c r="FS699" s="25"/>
      <c r="FT699" s="25"/>
      <c r="FU699" s="25"/>
      <c r="FV699" s="25"/>
      <c r="FW699" s="25"/>
      <c r="FX699" s="25"/>
      <c r="FY699" s="25"/>
      <c r="FZ699" s="25"/>
      <c r="GA699" s="25"/>
      <c r="GB699" s="25"/>
      <c r="GC699" s="25"/>
      <c r="GD699" s="25"/>
      <c r="GE699" s="25"/>
      <c r="GF699" s="25"/>
      <c r="GG699" s="25"/>
      <c r="GH699" s="25"/>
      <c r="GI699" s="25"/>
      <c r="GJ699" s="25"/>
      <c r="GK699" s="25"/>
      <c r="GL699" s="25"/>
      <c r="GM699" s="25"/>
      <c r="GN699" s="25"/>
      <c r="GO699" s="25"/>
      <c r="GP699" s="25"/>
      <c r="GQ699" s="25"/>
      <c r="GR699" s="25"/>
      <c r="GS699" s="25"/>
      <c r="GT699" s="25"/>
      <c r="GU699" s="25"/>
      <c r="GV699" s="25"/>
      <c r="GW699" s="25"/>
      <c r="GX699" s="25"/>
      <c r="GY699" s="25"/>
      <c r="GZ699" s="25"/>
      <c r="HA699" s="25"/>
      <c r="HB699" s="25"/>
      <c r="HC699" s="25"/>
      <c r="HD699" s="25"/>
      <c r="HE699" s="25"/>
      <c r="HF699" s="25"/>
      <c r="HG699" s="25"/>
      <c r="HH699" s="25"/>
      <c r="HI699" s="25"/>
      <c r="HJ699" s="25"/>
      <c r="HK699" s="25"/>
      <c r="HL699" s="25"/>
      <c r="HM699" s="25"/>
      <c r="HN699" s="25"/>
      <c r="HO699" s="25"/>
      <c r="HP699" s="25"/>
      <c r="HQ699" s="25"/>
      <c r="HR699" s="25"/>
      <c r="HS699" s="25"/>
      <c r="HT699" s="25"/>
      <c r="HU699" s="25"/>
      <c r="HV699" s="25"/>
      <c r="HW699" s="25"/>
      <c r="HX699" s="25"/>
      <c r="HY699" s="25"/>
      <c r="HZ699" s="25"/>
      <c r="IA699" s="25"/>
      <c r="IB699" s="25"/>
      <c r="IC699" s="25"/>
      <c r="ID699" s="25"/>
      <c r="IE699" s="25"/>
      <c r="IF699" s="25"/>
      <c r="IG699" s="25"/>
      <c r="IH699" s="25"/>
      <c r="II699" s="25"/>
      <c r="IJ699" s="25"/>
      <c r="IK699" s="25"/>
      <c r="IL699" s="25"/>
      <c r="IM699" s="25"/>
      <c r="IN699" s="25"/>
      <c r="IO699" s="25"/>
      <c r="IP699" s="25"/>
      <c r="IQ699" s="25"/>
      <c r="IR699" s="25"/>
      <c r="IS699" s="25"/>
      <c r="IT699" s="25"/>
      <c r="IU699" s="25"/>
      <c r="IV699" s="25"/>
      <c r="IW699" s="25"/>
      <c r="IX699" s="25"/>
      <c r="IY699" s="25"/>
      <c r="IZ699" s="25"/>
      <c r="JA699" s="25"/>
      <c r="JB699" s="25"/>
      <c r="JC699" s="25"/>
      <c r="JD699" s="25"/>
      <c r="JE699" s="25"/>
      <c r="JF699" s="25"/>
      <c r="JG699" s="25"/>
      <c r="JH699" s="25"/>
      <c r="JI699" s="25"/>
      <c r="JJ699" s="25"/>
      <c r="JK699" s="25"/>
      <c r="JL699" s="25"/>
      <c r="JM699" s="25"/>
      <c r="JN699" s="25"/>
      <c r="JO699" s="25"/>
      <c r="JP699" s="25"/>
      <c r="JQ699" s="25"/>
      <c r="JR699" s="25"/>
      <c r="JS699" s="25"/>
      <c r="JT699" s="25"/>
      <c r="JU699" s="25"/>
      <c r="JV699" s="25"/>
      <c r="JW699" s="25"/>
      <c r="JX699" s="25"/>
      <c r="JY699" s="25"/>
      <c r="JZ699" s="25"/>
      <c r="KA699" s="25"/>
      <c r="KB699" s="25"/>
      <c r="KC699" s="25"/>
      <c r="KD699" s="25"/>
      <c r="KE699" s="25"/>
      <c r="KF699" s="25"/>
      <c r="KG699" s="25"/>
      <c r="KH699" s="25"/>
      <c r="KI699" s="25"/>
      <c r="KJ699" s="25"/>
      <c r="KK699" s="25"/>
      <c r="KL699" s="25"/>
      <c r="KM699" s="25"/>
      <c r="KN699" s="25"/>
      <c r="KO699" s="25"/>
      <c r="KP699" s="25"/>
      <c r="KQ699" s="25"/>
      <c r="KR699" s="25"/>
      <c r="KS699" s="25"/>
      <c r="KT699" s="25"/>
      <c r="KU699" s="25"/>
      <c r="KV699" s="25"/>
      <c r="KW699" s="25"/>
      <c r="KX699" s="25"/>
      <c r="KY699" s="25"/>
      <c r="KZ699" s="25"/>
      <c r="LA699" s="25"/>
      <c r="LB699" s="25"/>
      <c r="LC699" s="25"/>
      <c r="LD699" s="25"/>
      <c r="LE699" s="25"/>
      <c r="LF699" s="25"/>
      <c r="LG699" s="25"/>
      <c r="LH699" s="25"/>
      <c r="LI699" s="25"/>
      <c r="LJ699" s="25"/>
      <c r="LK699" s="25"/>
      <c r="LL699" s="25"/>
      <c r="LM699" s="25"/>
      <c r="LN699" s="25"/>
      <c r="LO699" s="25"/>
      <c r="LP699" s="25"/>
      <c r="LQ699" s="25"/>
      <c r="LR699" s="25"/>
      <c r="LS699" s="25"/>
      <c r="LT699" s="25"/>
      <c r="LU699" s="25"/>
      <c r="LV699" s="25"/>
      <c r="LW699" s="25"/>
      <c r="LX699" s="25"/>
      <c r="LY699" s="25"/>
      <c r="LZ699" s="25"/>
      <c r="MA699" s="25"/>
      <c r="MB699" s="25"/>
      <c r="MC699" s="25"/>
      <c r="MD699" s="25"/>
      <c r="ME699" s="25"/>
      <c r="MF699" s="25"/>
      <c r="MG699" s="25"/>
      <c r="MH699" s="25"/>
      <c r="MI699" s="25"/>
      <c r="MJ699" s="25"/>
      <c r="MK699" s="25"/>
      <c r="ML699" s="25"/>
      <c r="MM699" s="25"/>
      <c r="MN699" s="25"/>
      <c r="MO699" s="25"/>
      <c r="MP699" s="25"/>
      <c r="MQ699" s="25"/>
      <c r="MR699" s="25"/>
      <c r="MS699" s="25"/>
      <c r="MT699" s="25"/>
      <c r="MU699" s="25"/>
      <c r="MV699" s="25"/>
      <c r="MW699" s="25"/>
      <c r="MX699" s="25"/>
      <c r="MY699" s="25"/>
      <c r="MZ699" s="25"/>
      <c r="NA699" s="25"/>
      <c r="NB699" s="25"/>
      <c r="NC699" s="25"/>
      <c r="ND699" s="25"/>
      <c r="NE699" s="25"/>
      <c r="NF699" s="25"/>
      <c r="NG699" s="25"/>
      <c r="NH699" s="25"/>
      <c r="NI699" s="25"/>
      <c r="NJ699" s="25"/>
      <c r="NK699" s="25"/>
      <c r="NL699" s="25"/>
      <c r="NM699" s="25"/>
      <c r="NN699" s="25"/>
      <c r="NO699" s="25"/>
      <c r="NP699" s="25"/>
      <c r="NQ699" s="25"/>
      <c r="NR699" s="25"/>
      <c r="NS699" s="25"/>
      <c r="NT699" s="25"/>
      <c r="NU699" s="25"/>
      <c r="NV699" s="25"/>
      <c r="NW699" s="25"/>
      <c r="NX699" s="25"/>
      <c r="NY699" s="25"/>
      <c r="NZ699" s="25"/>
      <c r="OA699" s="25"/>
      <c r="OB699" s="25"/>
      <c r="OC699" s="25"/>
      <c r="OD699" s="25"/>
      <c r="OE699" s="25"/>
      <c r="OF699" s="25"/>
      <c r="OG699" s="25"/>
      <c r="OH699" s="25"/>
      <c r="OI699" s="25"/>
      <c r="OJ699" s="25"/>
      <c r="OK699" s="25"/>
      <c r="OL699" s="25"/>
      <c r="OM699" s="25"/>
      <c r="ON699" s="25"/>
      <c r="OO699" s="25"/>
      <c r="OP699" s="25"/>
      <c r="OQ699" s="25"/>
      <c r="OR699" s="25"/>
      <c r="OS699" s="25"/>
      <c r="OT699" s="25"/>
      <c r="OU699" s="25"/>
      <c r="OV699" s="25"/>
      <c r="OW699" s="25"/>
      <c r="OX699" s="25"/>
      <c r="OY699" s="25"/>
      <c r="OZ699" s="25"/>
      <c r="PA699" s="25"/>
      <c r="PB699" s="25"/>
      <c r="PC699" s="25"/>
      <c r="PD699" s="25"/>
      <c r="PE699" s="25"/>
      <c r="PF699" s="25"/>
      <c r="PG699" s="25"/>
      <c r="PH699" s="25"/>
      <c r="PI699" s="25"/>
      <c r="PJ699" s="25"/>
      <c r="PK699" s="25"/>
      <c r="PL699" s="25"/>
      <c r="PM699" s="25"/>
      <c r="PN699" s="25"/>
      <c r="PO699" s="25"/>
      <c r="PP699" s="25"/>
      <c r="PQ699" s="25"/>
      <c r="PR699" s="25"/>
      <c r="PS699" s="25"/>
      <c r="PT699" s="25"/>
      <c r="PU699" s="25"/>
      <c r="PV699" s="25"/>
      <c r="PW699" s="25"/>
      <c r="PX699" s="25"/>
      <c r="PY699" s="25"/>
      <c r="PZ699" s="25"/>
      <c r="QA699" s="25"/>
      <c r="QB699" s="25"/>
      <c r="QC699" s="25"/>
      <c r="QD699" s="25"/>
      <c r="QE699" s="25"/>
      <c r="QF699" s="25"/>
      <c r="QG699" s="25"/>
      <c r="QH699" s="25"/>
      <c r="QI699" s="25"/>
      <c r="QJ699" s="25"/>
      <c r="QK699" s="25"/>
      <c r="QL699" s="25"/>
      <c r="QM699" s="25"/>
      <c r="QN699" s="25"/>
      <c r="QO699" s="25"/>
      <c r="QP699" s="25"/>
      <c r="QQ699" s="25"/>
      <c r="QR699" s="25"/>
      <c r="QS699" s="25"/>
      <c r="QT699" s="25"/>
      <c r="QU699" s="25"/>
      <c r="QV699" s="25"/>
      <c r="QW699" s="25"/>
      <c r="QX699" s="25"/>
      <c r="QY699" s="25"/>
      <c r="QZ699" s="25"/>
      <c r="RA699" s="25"/>
      <c r="RB699" s="25"/>
      <c r="RC699" s="25"/>
      <c r="RD699" s="25"/>
      <c r="RE699" s="25"/>
      <c r="RF699" s="25"/>
      <c r="RG699" s="25"/>
      <c r="RH699" s="25"/>
      <c r="RI699" s="25"/>
      <c r="RJ699" s="25"/>
      <c r="RK699" s="25"/>
      <c r="RL699" s="25"/>
      <c r="RM699" s="25"/>
      <c r="RN699" s="25"/>
      <c r="RO699" s="25"/>
      <c r="RP699" s="25"/>
      <c r="RQ699" s="25"/>
      <c r="RR699" s="25"/>
      <c r="RS699" s="25"/>
      <c r="RT699" s="25"/>
      <c r="RU699" s="25"/>
      <c r="RV699" s="25"/>
      <c r="RW699" s="25"/>
      <c r="RX699" s="25"/>
      <c r="RY699" s="25"/>
      <c r="RZ699" s="25"/>
      <c r="SA699" s="25"/>
      <c r="SB699" s="25"/>
      <c r="SC699" s="25"/>
      <c r="SD699" s="25"/>
      <c r="SE699" s="25"/>
      <c r="SF699" s="25"/>
      <c r="SG699" s="25"/>
      <c r="SH699" s="25"/>
      <c r="SI699" s="25"/>
      <c r="SJ699" s="25"/>
      <c r="SK699" s="25"/>
      <c r="SL699" s="25"/>
      <c r="SM699" s="25"/>
      <c r="SN699" s="25"/>
      <c r="SO699" s="25"/>
      <c r="SP699" s="25"/>
      <c r="SQ699" s="25"/>
      <c r="SR699" s="25"/>
      <c r="SS699" s="25"/>
      <c r="ST699" s="25"/>
      <c r="SU699" s="25"/>
      <c r="SV699" s="25"/>
      <c r="SW699" s="25"/>
      <c r="SX699" s="25"/>
      <c r="SY699" s="25"/>
      <c r="SZ699" s="25"/>
      <c r="TA699" s="25"/>
      <c r="TB699" s="25"/>
      <c r="TC699" s="25"/>
      <c r="TD699" s="25"/>
      <c r="TE699" s="25"/>
      <c r="TF699" s="25"/>
      <c r="TG699" s="25"/>
      <c r="TH699" s="25"/>
      <c r="TI699" s="25"/>
      <c r="TJ699" s="25"/>
      <c r="TK699" s="25"/>
      <c r="TL699" s="25"/>
      <c r="TM699" s="25"/>
      <c r="TN699" s="25"/>
      <c r="TO699" s="25"/>
      <c r="TP699" s="25"/>
      <c r="TQ699" s="25"/>
      <c r="TR699" s="25"/>
      <c r="TS699" s="25"/>
      <c r="TT699" s="25"/>
      <c r="TU699" s="25"/>
      <c r="TV699" s="25"/>
      <c r="TW699" s="25"/>
      <c r="TX699" s="25"/>
      <c r="TY699" s="25"/>
      <c r="TZ699" s="25"/>
      <c r="UA699" s="25"/>
      <c r="UB699" s="25"/>
      <c r="UC699" s="25"/>
      <c r="UD699" s="25"/>
      <c r="UE699" s="25"/>
      <c r="UF699" s="25"/>
      <c r="UG699" s="26"/>
    </row>
    <row r="700" spans="1:553" ht="168.75" customHeight="1">
      <c r="A700" s="356"/>
      <c r="B700" s="385"/>
      <c r="C700" s="384" t="s">
        <v>23</v>
      </c>
      <c r="D700" s="376" t="s">
        <v>20</v>
      </c>
      <c r="E700" s="376" t="s">
        <v>498</v>
      </c>
      <c r="F700" s="385">
        <v>1</v>
      </c>
      <c r="G700" s="396" t="s">
        <v>33</v>
      </c>
      <c r="H700" s="387">
        <v>37.6</v>
      </c>
      <c r="I700" s="490">
        <v>37.6</v>
      </c>
      <c r="J700" s="368">
        <v>62000</v>
      </c>
      <c r="K700" s="391"/>
      <c r="L700" s="480">
        <f t="shared" si="110"/>
        <v>2331200</v>
      </c>
      <c r="M700" s="392"/>
      <c r="N700" s="392"/>
      <c r="O700" s="366"/>
      <c r="P700" s="366"/>
      <c r="Q700" s="761" t="s">
        <v>491</v>
      </c>
      <c r="R700" s="1452"/>
      <c r="S700" s="308"/>
      <c r="T700" s="308"/>
      <c r="U700" s="308"/>
      <c r="V700" s="308"/>
      <c r="W700" s="685">
        <f t="shared" si="111"/>
        <v>37.6</v>
      </c>
      <c r="X700" s="308"/>
      <c r="Y700" s="308"/>
      <c r="Z700" s="604"/>
      <c r="AA700" s="308"/>
      <c r="AB700" s="308"/>
      <c r="AC700" s="449"/>
      <c r="AD700" s="449"/>
      <c r="AE700" s="449"/>
      <c r="AF700" s="449"/>
      <c r="AG700" s="449"/>
      <c r="AH700" s="449"/>
      <c r="AI700" s="449"/>
      <c r="AJ700" s="449"/>
      <c r="AK700" s="452"/>
      <c r="AL700" s="104"/>
      <c r="AM700" s="32"/>
      <c r="AN700" s="32"/>
      <c r="AO700" s="32"/>
      <c r="AP700" s="32"/>
      <c r="AQ700" s="32"/>
      <c r="AR700" s="32"/>
      <c r="AS700" s="31"/>
      <c r="AT700" s="22"/>
      <c r="AU700" s="22"/>
      <c r="AV700" s="22"/>
      <c r="AW700" s="22"/>
      <c r="AX700" s="22"/>
      <c r="AY700" s="22"/>
      <c r="AZ700" s="22"/>
      <c r="BA700" s="22"/>
      <c r="BB700" s="22"/>
      <c r="BC700" s="22"/>
      <c r="BD700" s="22"/>
      <c r="BE700" s="22"/>
      <c r="BF700" s="22"/>
      <c r="BG700" s="22"/>
      <c r="BH700" s="22"/>
      <c r="BI700" s="22"/>
      <c r="BJ700" s="22"/>
      <c r="BK700" s="22"/>
      <c r="BL700" s="22"/>
      <c r="BM700" s="22"/>
      <c r="BN700" s="22"/>
      <c r="BO700" s="22"/>
      <c r="BP700" s="25"/>
      <c r="BQ700" s="25"/>
      <c r="BR700" s="25"/>
      <c r="BS700" s="25"/>
      <c r="BT700" s="25"/>
      <c r="BU700" s="25"/>
      <c r="BV700" s="25"/>
      <c r="BW700" s="25"/>
      <c r="BX700" s="25"/>
      <c r="BY700" s="25"/>
      <c r="BZ700" s="25"/>
      <c r="CA700" s="25"/>
      <c r="CB700" s="25"/>
      <c r="CC700" s="25"/>
      <c r="CD700" s="25"/>
      <c r="CE700" s="25"/>
      <c r="CF700" s="25"/>
      <c r="CG700" s="25"/>
      <c r="CH700" s="25"/>
      <c r="CI700" s="25"/>
      <c r="CJ700" s="25"/>
      <c r="CK700" s="25"/>
      <c r="CL700" s="25"/>
      <c r="CM700" s="25"/>
      <c r="CN700" s="25"/>
      <c r="CO700" s="25"/>
      <c r="CP700" s="25"/>
      <c r="CQ700" s="25"/>
      <c r="CR700" s="25"/>
      <c r="CS700" s="25"/>
      <c r="CT700" s="25"/>
      <c r="CU700" s="25"/>
      <c r="CV700" s="25"/>
      <c r="CW700" s="25"/>
      <c r="CX700" s="25"/>
      <c r="CY700" s="25"/>
      <c r="CZ700" s="25"/>
      <c r="DA700" s="25"/>
      <c r="DB700" s="25"/>
      <c r="DC700" s="25"/>
      <c r="DD700" s="25"/>
      <c r="DE700" s="25"/>
      <c r="DF700" s="25"/>
      <c r="DG700" s="25"/>
      <c r="DH700" s="25"/>
      <c r="DI700" s="25"/>
      <c r="DJ700" s="25"/>
      <c r="DK700" s="25"/>
      <c r="DL700" s="25"/>
      <c r="DM700" s="25"/>
      <c r="DN700" s="25"/>
      <c r="DO700" s="25"/>
      <c r="DP700" s="25"/>
      <c r="DQ700" s="25"/>
      <c r="DR700" s="25"/>
      <c r="DS700" s="25"/>
      <c r="DT700" s="25"/>
      <c r="DU700" s="25"/>
      <c r="DV700" s="25"/>
      <c r="DW700" s="25"/>
      <c r="DX700" s="25"/>
      <c r="DY700" s="25"/>
      <c r="DZ700" s="25"/>
      <c r="EA700" s="25"/>
      <c r="EB700" s="25"/>
      <c r="EC700" s="25"/>
      <c r="ED700" s="25"/>
      <c r="EE700" s="25"/>
      <c r="EF700" s="25"/>
      <c r="EG700" s="25"/>
      <c r="EH700" s="25"/>
      <c r="EI700" s="25"/>
      <c r="EJ700" s="25"/>
      <c r="EK700" s="25"/>
      <c r="EL700" s="25"/>
      <c r="EM700" s="25"/>
      <c r="EN700" s="25"/>
      <c r="EO700" s="25"/>
      <c r="EP700" s="25"/>
      <c r="EQ700" s="25"/>
      <c r="ER700" s="25"/>
      <c r="ES700" s="25"/>
      <c r="ET700" s="25"/>
      <c r="EU700" s="25"/>
      <c r="EV700" s="25"/>
      <c r="EW700" s="25"/>
      <c r="EX700" s="25"/>
      <c r="EY700" s="25"/>
      <c r="EZ700" s="25"/>
      <c r="FA700" s="25"/>
      <c r="FB700" s="25"/>
      <c r="FC700" s="25"/>
      <c r="FD700" s="25"/>
      <c r="FE700" s="25"/>
      <c r="FF700" s="25"/>
      <c r="FG700" s="25"/>
      <c r="FH700" s="25"/>
      <c r="FI700" s="25"/>
      <c r="FJ700" s="25"/>
      <c r="FK700" s="25"/>
      <c r="FL700" s="25"/>
      <c r="FM700" s="25"/>
      <c r="FN700" s="25"/>
      <c r="FO700" s="25"/>
      <c r="FP700" s="25"/>
      <c r="FQ700" s="25"/>
      <c r="FR700" s="25"/>
      <c r="FS700" s="25"/>
      <c r="FT700" s="25"/>
      <c r="FU700" s="25"/>
      <c r="FV700" s="25"/>
      <c r="FW700" s="25"/>
      <c r="FX700" s="25"/>
      <c r="FY700" s="25"/>
      <c r="FZ700" s="25"/>
      <c r="GA700" s="25"/>
      <c r="GB700" s="25"/>
      <c r="GC700" s="25"/>
      <c r="GD700" s="25"/>
      <c r="GE700" s="25"/>
      <c r="GF700" s="25"/>
      <c r="GG700" s="25"/>
      <c r="GH700" s="25"/>
      <c r="GI700" s="25"/>
      <c r="GJ700" s="25"/>
      <c r="GK700" s="25"/>
      <c r="GL700" s="25"/>
      <c r="GM700" s="25"/>
      <c r="GN700" s="25"/>
      <c r="GO700" s="25"/>
      <c r="GP700" s="25"/>
      <c r="GQ700" s="25"/>
      <c r="GR700" s="25"/>
      <c r="GS700" s="25"/>
      <c r="GT700" s="25"/>
      <c r="GU700" s="25"/>
      <c r="GV700" s="25"/>
      <c r="GW700" s="25"/>
      <c r="GX700" s="25"/>
      <c r="GY700" s="25"/>
      <c r="GZ700" s="25"/>
      <c r="HA700" s="25"/>
      <c r="HB700" s="25"/>
      <c r="HC700" s="25"/>
      <c r="HD700" s="25"/>
      <c r="HE700" s="25"/>
      <c r="HF700" s="25"/>
      <c r="HG700" s="25"/>
      <c r="HH700" s="25"/>
      <c r="HI700" s="25"/>
      <c r="HJ700" s="25"/>
      <c r="HK700" s="25"/>
      <c r="HL700" s="25"/>
      <c r="HM700" s="25"/>
      <c r="HN700" s="25"/>
      <c r="HO700" s="25"/>
      <c r="HP700" s="25"/>
      <c r="HQ700" s="25"/>
      <c r="HR700" s="25"/>
      <c r="HS700" s="25"/>
      <c r="HT700" s="25"/>
      <c r="HU700" s="25"/>
      <c r="HV700" s="25"/>
      <c r="HW700" s="25"/>
      <c r="HX700" s="25"/>
      <c r="HY700" s="25"/>
      <c r="HZ700" s="25"/>
      <c r="IA700" s="25"/>
      <c r="IB700" s="25"/>
      <c r="IC700" s="25"/>
      <c r="ID700" s="25"/>
      <c r="IE700" s="25"/>
      <c r="IF700" s="25"/>
      <c r="IG700" s="25"/>
      <c r="IH700" s="25"/>
      <c r="II700" s="25"/>
      <c r="IJ700" s="25"/>
      <c r="IK700" s="25"/>
      <c r="IL700" s="25"/>
      <c r="IM700" s="25"/>
      <c r="IN700" s="25"/>
      <c r="IO700" s="25"/>
      <c r="IP700" s="25"/>
      <c r="IQ700" s="25"/>
      <c r="IR700" s="25"/>
      <c r="IS700" s="25"/>
      <c r="IT700" s="25"/>
      <c r="IU700" s="25"/>
      <c r="IV700" s="25"/>
      <c r="IW700" s="25"/>
      <c r="IX700" s="25"/>
      <c r="IY700" s="25"/>
      <c r="IZ700" s="25"/>
      <c r="JA700" s="25"/>
      <c r="JB700" s="25"/>
      <c r="JC700" s="25"/>
      <c r="JD700" s="25"/>
      <c r="JE700" s="25"/>
      <c r="JF700" s="25"/>
      <c r="JG700" s="25"/>
      <c r="JH700" s="25"/>
      <c r="JI700" s="25"/>
      <c r="JJ700" s="25"/>
      <c r="JK700" s="25"/>
      <c r="JL700" s="25"/>
      <c r="JM700" s="25"/>
      <c r="JN700" s="25"/>
      <c r="JO700" s="25"/>
      <c r="JP700" s="25"/>
      <c r="JQ700" s="25"/>
      <c r="JR700" s="25"/>
      <c r="JS700" s="25"/>
      <c r="JT700" s="25"/>
      <c r="JU700" s="25"/>
      <c r="JV700" s="25"/>
      <c r="JW700" s="25"/>
      <c r="JX700" s="25"/>
      <c r="JY700" s="25"/>
      <c r="JZ700" s="25"/>
      <c r="KA700" s="25"/>
      <c r="KB700" s="25"/>
      <c r="KC700" s="25"/>
      <c r="KD700" s="25"/>
      <c r="KE700" s="25"/>
      <c r="KF700" s="25"/>
      <c r="KG700" s="25"/>
      <c r="KH700" s="25"/>
      <c r="KI700" s="25"/>
      <c r="KJ700" s="25"/>
      <c r="KK700" s="25"/>
      <c r="KL700" s="25"/>
      <c r="KM700" s="25"/>
      <c r="KN700" s="25"/>
      <c r="KO700" s="25"/>
      <c r="KP700" s="25"/>
      <c r="KQ700" s="25"/>
      <c r="KR700" s="25"/>
      <c r="KS700" s="25"/>
      <c r="KT700" s="25"/>
      <c r="KU700" s="25"/>
      <c r="KV700" s="25"/>
      <c r="KW700" s="25"/>
      <c r="KX700" s="25"/>
      <c r="KY700" s="25"/>
      <c r="KZ700" s="25"/>
      <c r="LA700" s="25"/>
      <c r="LB700" s="25"/>
      <c r="LC700" s="25"/>
      <c r="LD700" s="25"/>
      <c r="LE700" s="25"/>
      <c r="LF700" s="25"/>
      <c r="LG700" s="25"/>
      <c r="LH700" s="25"/>
      <c r="LI700" s="25"/>
      <c r="LJ700" s="25"/>
      <c r="LK700" s="25"/>
      <c r="LL700" s="25"/>
      <c r="LM700" s="25"/>
      <c r="LN700" s="25"/>
      <c r="LO700" s="25"/>
      <c r="LP700" s="25"/>
      <c r="LQ700" s="25"/>
      <c r="LR700" s="25"/>
      <c r="LS700" s="25"/>
      <c r="LT700" s="25"/>
      <c r="LU700" s="25"/>
      <c r="LV700" s="25"/>
      <c r="LW700" s="25"/>
      <c r="LX700" s="25"/>
      <c r="LY700" s="25"/>
      <c r="LZ700" s="25"/>
      <c r="MA700" s="25"/>
      <c r="MB700" s="25"/>
      <c r="MC700" s="25"/>
      <c r="MD700" s="25"/>
      <c r="ME700" s="25"/>
      <c r="MF700" s="25"/>
      <c r="MG700" s="25"/>
      <c r="MH700" s="25"/>
      <c r="MI700" s="25"/>
      <c r="MJ700" s="25"/>
      <c r="MK700" s="25"/>
      <c r="ML700" s="25"/>
      <c r="MM700" s="25"/>
      <c r="MN700" s="25"/>
      <c r="MO700" s="25"/>
      <c r="MP700" s="25"/>
      <c r="MQ700" s="25"/>
      <c r="MR700" s="25"/>
      <c r="MS700" s="25"/>
      <c r="MT700" s="25"/>
      <c r="MU700" s="25"/>
      <c r="MV700" s="25"/>
      <c r="MW700" s="25"/>
      <c r="MX700" s="25"/>
      <c r="MY700" s="25"/>
      <c r="MZ700" s="25"/>
      <c r="NA700" s="25"/>
      <c r="NB700" s="25"/>
      <c r="NC700" s="25"/>
      <c r="ND700" s="25"/>
      <c r="NE700" s="25"/>
      <c r="NF700" s="25"/>
      <c r="NG700" s="25"/>
      <c r="NH700" s="25"/>
      <c r="NI700" s="25"/>
      <c r="NJ700" s="25"/>
      <c r="NK700" s="25"/>
      <c r="NL700" s="25"/>
      <c r="NM700" s="25"/>
      <c r="NN700" s="25"/>
      <c r="NO700" s="25"/>
      <c r="NP700" s="25"/>
      <c r="NQ700" s="25"/>
      <c r="NR700" s="25"/>
      <c r="NS700" s="25"/>
      <c r="NT700" s="25"/>
      <c r="NU700" s="25"/>
      <c r="NV700" s="25"/>
      <c r="NW700" s="25"/>
      <c r="NX700" s="25"/>
      <c r="NY700" s="25"/>
      <c r="NZ700" s="25"/>
      <c r="OA700" s="25"/>
      <c r="OB700" s="25"/>
      <c r="OC700" s="25"/>
      <c r="OD700" s="25"/>
      <c r="OE700" s="25"/>
      <c r="OF700" s="25"/>
      <c r="OG700" s="25"/>
      <c r="OH700" s="25"/>
      <c r="OI700" s="25"/>
      <c r="OJ700" s="25"/>
      <c r="OK700" s="25"/>
      <c r="OL700" s="25"/>
      <c r="OM700" s="25"/>
      <c r="ON700" s="25"/>
      <c r="OO700" s="25"/>
      <c r="OP700" s="25"/>
      <c r="OQ700" s="25"/>
      <c r="OR700" s="25"/>
      <c r="OS700" s="25"/>
      <c r="OT700" s="25"/>
      <c r="OU700" s="25"/>
      <c r="OV700" s="25"/>
      <c r="OW700" s="25"/>
      <c r="OX700" s="25"/>
      <c r="OY700" s="25"/>
      <c r="OZ700" s="25"/>
      <c r="PA700" s="25"/>
      <c r="PB700" s="25"/>
      <c r="PC700" s="25"/>
      <c r="PD700" s="25"/>
      <c r="PE700" s="25"/>
      <c r="PF700" s="25"/>
      <c r="PG700" s="25"/>
      <c r="PH700" s="25"/>
      <c r="PI700" s="25"/>
      <c r="PJ700" s="25"/>
      <c r="PK700" s="25"/>
      <c r="PL700" s="25"/>
      <c r="PM700" s="25"/>
      <c r="PN700" s="25"/>
      <c r="PO700" s="25"/>
      <c r="PP700" s="25"/>
      <c r="PQ700" s="25"/>
      <c r="PR700" s="25"/>
      <c r="PS700" s="25"/>
      <c r="PT700" s="25"/>
      <c r="PU700" s="25"/>
      <c r="PV700" s="25"/>
      <c r="PW700" s="25"/>
      <c r="PX700" s="25"/>
      <c r="PY700" s="25"/>
      <c r="PZ700" s="25"/>
      <c r="QA700" s="25"/>
      <c r="QB700" s="25"/>
      <c r="QC700" s="25"/>
      <c r="QD700" s="25"/>
      <c r="QE700" s="25"/>
      <c r="QF700" s="25"/>
      <c r="QG700" s="25"/>
      <c r="QH700" s="25"/>
      <c r="QI700" s="25"/>
      <c r="QJ700" s="25"/>
      <c r="QK700" s="25"/>
      <c r="QL700" s="25"/>
      <c r="QM700" s="25"/>
      <c r="QN700" s="25"/>
      <c r="QO700" s="25"/>
      <c r="QP700" s="25"/>
      <c r="QQ700" s="25"/>
      <c r="QR700" s="25"/>
      <c r="QS700" s="25"/>
      <c r="QT700" s="25"/>
      <c r="QU700" s="25"/>
      <c r="QV700" s="25"/>
      <c r="QW700" s="25"/>
      <c r="QX700" s="25"/>
      <c r="QY700" s="25"/>
      <c r="QZ700" s="25"/>
      <c r="RA700" s="25"/>
      <c r="RB700" s="25"/>
      <c r="RC700" s="25"/>
      <c r="RD700" s="25"/>
      <c r="RE700" s="25"/>
      <c r="RF700" s="25"/>
      <c r="RG700" s="25"/>
      <c r="RH700" s="25"/>
      <c r="RI700" s="25"/>
      <c r="RJ700" s="25"/>
      <c r="RK700" s="25"/>
      <c r="RL700" s="25"/>
      <c r="RM700" s="25"/>
      <c r="RN700" s="25"/>
      <c r="RO700" s="25"/>
      <c r="RP700" s="25"/>
      <c r="RQ700" s="25"/>
      <c r="RR700" s="25"/>
      <c r="RS700" s="25"/>
      <c r="RT700" s="25"/>
      <c r="RU700" s="25"/>
      <c r="RV700" s="25"/>
      <c r="RW700" s="25"/>
      <c r="RX700" s="25"/>
      <c r="RY700" s="25"/>
      <c r="RZ700" s="25"/>
      <c r="SA700" s="25"/>
      <c r="SB700" s="25"/>
      <c r="SC700" s="25"/>
      <c r="SD700" s="25"/>
      <c r="SE700" s="25"/>
      <c r="SF700" s="25"/>
      <c r="SG700" s="25"/>
      <c r="SH700" s="25"/>
      <c r="SI700" s="25"/>
      <c r="SJ700" s="25"/>
      <c r="SK700" s="25"/>
      <c r="SL700" s="25"/>
      <c r="SM700" s="25"/>
      <c r="SN700" s="25"/>
      <c r="SO700" s="25"/>
      <c r="SP700" s="25"/>
      <c r="SQ700" s="25"/>
      <c r="SR700" s="25"/>
      <c r="SS700" s="25"/>
      <c r="ST700" s="25"/>
      <c r="SU700" s="25"/>
      <c r="SV700" s="25"/>
      <c r="SW700" s="25"/>
      <c r="SX700" s="25"/>
      <c r="SY700" s="25"/>
      <c r="SZ700" s="25"/>
      <c r="TA700" s="25"/>
      <c r="TB700" s="25"/>
      <c r="TC700" s="25"/>
      <c r="TD700" s="25"/>
      <c r="TE700" s="25"/>
      <c r="TF700" s="25"/>
      <c r="TG700" s="25"/>
      <c r="TH700" s="25"/>
      <c r="TI700" s="25"/>
      <c r="TJ700" s="25"/>
      <c r="TK700" s="25"/>
      <c r="TL700" s="25"/>
      <c r="TM700" s="25"/>
      <c r="TN700" s="25"/>
      <c r="TO700" s="25"/>
      <c r="TP700" s="25"/>
      <c r="TQ700" s="25"/>
      <c r="TR700" s="25"/>
      <c r="TS700" s="25"/>
      <c r="TT700" s="25"/>
      <c r="TU700" s="25"/>
      <c r="TV700" s="25"/>
      <c r="TW700" s="25"/>
      <c r="TX700" s="25"/>
      <c r="TY700" s="25"/>
      <c r="TZ700" s="25"/>
      <c r="UA700" s="25"/>
      <c r="UB700" s="25"/>
      <c r="UC700" s="25"/>
      <c r="UD700" s="25"/>
      <c r="UE700" s="25"/>
      <c r="UF700" s="25"/>
      <c r="UG700" s="26"/>
    </row>
    <row r="701" spans="1:553" ht="168" customHeight="1">
      <c r="A701" s="356"/>
      <c r="B701" s="385"/>
      <c r="C701" s="384" t="s">
        <v>23</v>
      </c>
      <c r="D701" s="376" t="s">
        <v>20</v>
      </c>
      <c r="E701" s="376" t="s">
        <v>499</v>
      </c>
      <c r="F701" s="385">
        <v>1</v>
      </c>
      <c r="G701" s="396" t="s">
        <v>33</v>
      </c>
      <c r="H701" s="387">
        <v>49.6</v>
      </c>
      <c r="I701" s="490">
        <v>49.6</v>
      </c>
      <c r="J701" s="368">
        <v>62000</v>
      </c>
      <c r="K701" s="391"/>
      <c r="L701" s="480">
        <f>PRODUCT(I701:K701)</f>
        <v>3075200</v>
      </c>
      <c r="M701" s="392"/>
      <c r="N701" s="392"/>
      <c r="O701" s="366"/>
      <c r="P701" s="366"/>
      <c r="Q701" s="761" t="s">
        <v>491</v>
      </c>
      <c r="R701" s="1452"/>
      <c r="S701" s="308"/>
      <c r="T701" s="308"/>
      <c r="U701" s="308"/>
      <c r="V701" s="308"/>
      <c r="W701" s="685">
        <f t="shared" si="111"/>
        <v>49.6</v>
      </c>
      <c r="X701" s="308"/>
      <c r="Y701" s="308"/>
      <c r="Z701" s="604"/>
      <c r="AA701" s="308"/>
      <c r="AB701" s="308"/>
      <c r="AC701" s="449"/>
      <c r="AD701" s="449"/>
      <c r="AE701" s="449"/>
      <c r="AF701" s="449"/>
      <c r="AG701" s="449"/>
      <c r="AH701" s="449"/>
      <c r="AI701" s="449"/>
      <c r="AJ701" s="449"/>
      <c r="AK701" s="452"/>
      <c r="AL701" s="104"/>
      <c r="AM701" s="32"/>
      <c r="AN701" s="32"/>
      <c r="AO701" s="32"/>
      <c r="AP701" s="32"/>
      <c r="AQ701" s="32"/>
      <c r="AR701" s="32"/>
      <c r="AS701" s="31"/>
      <c r="AT701" s="22"/>
      <c r="AU701" s="22"/>
      <c r="AV701" s="22"/>
      <c r="AW701" s="22"/>
      <c r="AX701" s="22"/>
      <c r="AY701" s="22"/>
      <c r="AZ701" s="22"/>
      <c r="BA701" s="22"/>
      <c r="BB701" s="22"/>
      <c r="BC701" s="22"/>
      <c r="BD701" s="22"/>
      <c r="BE701" s="22"/>
      <c r="BF701" s="22"/>
      <c r="BG701" s="22"/>
      <c r="BH701" s="22"/>
      <c r="BI701" s="22"/>
      <c r="BJ701" s="22"/>
      <c r="BK701" s="22"/>
      <c r="BL701" s="22"/>
      <c r="BM701" s="22"/>
      <c r="BN701" s="22"/>
      <c r="BO701" s="22"/>
      <c r="BP701" s="25"/>
      <c r="BQ701" s="25"/>
      <c r="BR701" s="25"/>
      <c r="BS701" s="25"/>
      <c r="BT701" s="25"/>
      <c r="BU701" s="25"/>
      <c r="BV701" s="25"/>
      <c r="BW701" s="25"/>
      <c r="BX701" s="25"/>
      <c r="BY701" s="25"/>
      <c r="BZ701" s="25"/>
      <c r="CA701" s="25"/>
      <c r="CB701" s="25"/>
      <c r="CC701" s="25"/>
      <c r="CD701" s="25"/>
      <c r="CE701" s="25"/>
      <c r="CF701" s="25"/>
      <c r="CG701" s="25"/>
      <c r="CH701" s="25"/>
      <c r="CI701" s="25"/>
      <c r="CJ701" s="25"/>
      <c r="CK701" s="25"/>
      <c r="CL701" s="25"/>
      <c r="CM701" s="25"/>
      <c r="CN701" s="25"/>
      <c r="CO701" s="25"/>
      <c r="CP701" s="25"/>
      <c r="CQ701" s="25"/>
      <c r="CR701" s="25"/>
      <c r="CS701" s="25"/>
      <c r="CT701" s="25"/>
      <c r="CU701" s="25"/>
      <c r="CV701" s="25"/>
      <c r="CW701" s="25"/>
      <c r="CX701" s="25"/>
      <c r="CY701" s="25"/>
      <c r="CZ701" s="25"/>
      <c r="DA701" s="25"/>
      <c r="DB701" s="25"/>
      <c r="DC701" s="25"/>
      <c r="DD701" s="25"/>
      <c r="DE701" s="25"/>
      <c r="DF701" s="25"/>
      <c r="DG701" s="25"/>
      <c r="DH701" s="25"/>
      <c r="DI701" s="25"/>
      <c r="DJ701" s="25"/>
      <c r="DK701" s="25"/>
      <c r="DL701" s="25"/>
      <c r="DM701" s="25"/>
      <c r="DN701" s="25"/>
      <c r="DO701" s="25"/>
      <c r="DP701" s="25"/>
      <c r="DQ701" s="25"/>
      <c r="DR701" s="25"/>
      <c r="DS701" s="25"/>
      <c r="DT701" s="25"/>
      <c r="DU701" s="25"/>
      <c r="DV701" s="25"/>
      <c r="DW701" s="25"/>
      <c r="DX701" s="25"/>
      <c r="DY701" s="25"/>
      <c r="DZ701" s="25"/>
      <c r="EA701" s="25"/>
      <c r="EB701" s="25"/>
      <c r="EC701" s="25"/>
      <c r="ED701" s="25"/>
      <c r="EE701" s="25"/>
      <c r="EF701" s="25"/>
      <c r="EG701" s="25"/>
      <c r="EH701" s="25"/>
      <c r="EI701" s="25"/>
      <c r="EJ701" s="25"/>
      <c r="EK701" s="25"/>
      <c r="EL701" s="25"/>
      <c r="EM701" s="25"/>
      <c r="EN701" s="25"/>
      <c r="EO701" s="25"/>
      <c r="EP701" s="25"/>
      <c r="EQ701" s="25"/>
      <c r="ER701" s="25"/>
      <c r="ES701" s="25"/>
      <c r="ET701" s="25"/>
      <c r="EU701" s="25"/>
      <c r="EV701" s="25"/>
      <c r="EW701" s="25"/>
      <c r="EX701" s="25"/>
      <c r="EY701" s="25"/>
      <c r="EZ701" s="25"/>
      <c r="FA701" s="25"/>
      <c r="FB701" s="25"/>
      <c r="FC701" s="25"/>
      <c r="FD701" s="25"/>
      <c r="FE701" s="25"/>
      <c r="FF701" s="25"/>
      <c r="FG701" s="25"/>
      <c r="FH701" s="25"/>
      <c r="FI701" s="25"/>
      <c r="FJ701" s="25"/>
      <c r="FK701" s="25"/>
      <c r="FL701" s="25"/>
      <c r="FM701" s="25"/>
      <c r="FN701" s="25"/>
      <c r="FO701" s="25"/>
      <c r="FP701" s="25"/>
      <c r="FQ701" s="25"/>
      <c r="FR701" s="25"/>
      <c r="FS701" s="25"/>
      <c r="FT701" s="25"/>
      <c r="FU701" s="25"/>
      <c r="FV701" s="25"/>
      <c r="FW701" s="25"/>
      <c r="FX701" s="25"/>
      <c r="FY701" s="25"/>
      <c r="FZ701" s="25"/>
      <c r="GA701" s="25"/>
      <c r="GB701" s="25"/>
      <c r="GC701" s="25"/>
      <c r="GD701" s="25"/>
      <c r="GE701" s="25"/>
      <c r="GF701" s="25"/>
      <c r="GG701" s="25"/>
      <c r="GH701" s="25"/>
      <c r="GI701" s="25"/>
      <c r="GJ701" s="25"/>
      <c r="GK701" s="25"/>
      <c r="GL701" s="25"/>
      <c r="GM701" s="25"/>
      <c r="GN701" s="25"/>
      <c r="GO701" s="25"/>
      <c r="GP701" s="25"/>
      <c r="GQ701" s="25"/>
      <c r="GR701" s="25"/>
      <c r="GS701" s="25"/>
      <c r="GT701" s="25"/>
      <c r="GU701" s="25"/>
      <c r="GV701" s="25"/>
      <c r="GW701" s="25"/>
      <c r="GX701" s="25"/>
      <c r="GY701" s="25"/>
      <c r="GZ701" s="25"/>
      <c r="HA701" s="25"/>
      <c r="HB701" s="25"/>
      <c r="HC701" s="25"/>
      <c r="HD701" s="25"/>
      <c r="HE701" s="25"/>
      <c r="HF701" s="25"/>
      <c r="HG701" s="25"/>
      <c r="HH701" s="25"/>
      <c r="HI701" s="25"/>
      <c r="HJ701" s="25"/>
      <c r="HK701" s="25"/>
      <c r="HL701" s="25"/>
      <c r="HM701" s="25"/>
      <c r="HN701" s="25"/>
      <c r="HO701" s="25"/>
      <c r="HP701" s="25"/>
      <c r="HQ701" s="25"/>
      <c r="HR701" s="25"/>
      <c r="HS701" s="25"/>
      <c r="HT701" s="25"/>
      <c r="HU701" s="25"/>
      <c r="HV701" s="25"/>
      <c r="HW701" s="25"/>
      <c r="HX701" s="25"/>
      <c r="HY701" s="25"/>
      <c r="HZ701" s="25"/>
      <c r="IA701" s="25"/>
      <c r="IB701" s="25"/>
      <c r="IC701" s="25"/>
      <c r="ID701" s="25"/>
      <c r="IE701" s="25"/>
      <c r="IF701" s="25"/>
      <c r="IG701" s="25"/>
      <c r="IH701" s="25"/>
      <c r="II701" s="25"/>
      <c r="IJ701" s="25"/>
      <c r="IK701" s="25"/>
      <c r="IL701" s="25"/>
      <c r="IM701" s="25"/>
      <c r="IN701" s="25"/>
      <c r="IO701" s="25"/>
      <c r="IP701" s="25"/>
      <c r="IQ701" s="25"/>
      <c r="IR701" s="25"/>
      <c r="IS701" s="25"/>
      <c r="IT701" s="25"/>
      <c r="IU701" s="25"/>
      <c r="IV701" s="25"/>
      <c r="IW701" s="25"/>
      <c r="IX701" s="25"/>
      <c r="IY701" s="25"/>
      <c r="IZ701" s="25"/>
      <c r="JA701" s="25"/>
      <c r="JB701" s="25"/>
      <c r="JC701" s="25"/>
      <c r="JD701" s="25"/>
      <c r="JE701" s="25"/>
      <c r="JF701" s="25"/>
      <c r="JG701" s="25"/>
      <c r="JH701" s="25"/>
      <c r="JI701" s="25"/>
      <c r="JJ701" s="25"/>
      <c r="JK701" s="25"/>
      <c r="JL701" s="25"/>
      <c r="JM701" s="25"/>
      <c r="JN701" s="25"/>
      <c r="JO701" s="25"/>
      <c r="JP701" s="25"/>
      <c r="JQ701" s="25"/>
      <c r="JR701" s="25"/>
      <c r="JS701" s="25"/>
      <c r="JT701" s="25"/>
      <c r="JU701" s="25"/>
      <c r="JV701" s="25"/>
      <c r="JW701" s="25"/>
      <c r="JX701" s="25"/>
      <c r="JY701" s="25"/>
      <c r="JZ701" s="25"/>
      <c r="KA701" s="25"/>
      <c r="KB701" s="25"/>
      <c r="KC701" s="25"/>
      <c r="KD701" s="25"/>
      <c r="KE701" s="25"/>
      <c r="KF701" s="25"/>
      <c r="KG701" s="25"/>
      <c r="KH701" s="25"/>
      <c r="KI701" s="25"/>
      <c r="KJ701" s="25"/>
      <c r="KK701" s="25"/>
      <c r="KL701" s="25"/>
      <c r="KM701" s="25"/>
      <c r="KN701" s="25"/>
      <c r="KO701" s="25"/>
      <c r="KP701" s="25"/>
      <c r="KQ701" s="25"/>
      <c r="KR701" s="25"/>
      <c r="KS701" s="25"/>
      <c r="KT701" s="25"/>
      <c r="KU701" s="25"/>
      <c r="KV701" s="25"/>
      <c r="KW701" s="25"/>
      <c r="KX701" s="25"/>
      <c r="KY701" s="25"/>
      <c r="KZ701" s="25"/>
      <c r="LA701" s="25"/>
      <c r="LB701" s="25"/>
      <c r="LC701" s="25"/>
      <c r="LD701" s="25"/>
      <c r="LE701" s="25"/>
      <c r="LF701" s="25"/>
      <c r="LG701" s="25"/>
      <c r="LH701" s="25"/>
      <c r="LI701" s="25"/>
      <c r="LJ701" s="25"/>
      <c r="LK701" s="25"/>
      <c r="LL701" s="25"/>
      <c r="LM701" s="25"/>
      <c r="LN701" s="25"/>
      <c r="LO701" s="25"/>
      <c r="LP701" s="25"/>
      <c r="LQ701" s="25"/>
      <c r="LR701" s="25"/>
      <c r="LS701" s="25"/>
      <c r="LT701" s="25"/>
      <c r="LU701" s="25"/>
      <c r="LV701" s="25"/>
      <c r="LW701" s="25"/>
      <c r="LX701" s="25"/>
      <c r="LY701" s="25"/>
      <c r="LZ701" s="25"/>
      <c r="MA701" s="25"/>
      <c r="MB701" s="25"/>
      <c r="MC701" s="25"/>
      <c r="MD701" s="25"/>
      <c r="ME701" s="25"/>
      <c r="MF701" s="25"/>
      <c r="MG701" s="25"/>
      <c r="MH701" s="25"/>
      <c r="MI701" s="25"/>
      <c r="MJ701" s="25"/>
      <c r="MK701" s="25"/>
      <c r="ML701" s="25"/>
      <c r="MM701" s="25"/>
      <c r="MN701" s="25"/>
      <c r="MO701" s="25"/>
      <c r="MP701" s="25"/>
      <c r="MQ701" s="25"/>
      <c r="MR701" s="25"/>
      <c r="MS701" s="25"/>
      <c r="MT701" s="25"/>
      <c r="MU701" s="25"/>
      <c r="MV701" s="25"/>
      <c r="MW701" s="25"/>
      <c r="MX701" s="25"/>
      <c r="MY701" s="25"/>
      <c r="MZ701" s="25"/>
      <c r="NA701" s="25"/>
      <c r="NB701" s="25"/>
      <c r="NC701" s="25"/>
      <c r="ND701" s="25"/>
      <c r="NE701" s="25"/>
      <c r="NF701" s="25"/>
      <c r="NG701" s="25"/>
      <c r="NH701" s="25"/>
      <c r="NI701" s="25"/>
      <c r="NJ701" s="25"/>
      <c r="NK701" s="25"/>
      <c r="NL701" s="25"/>
      <c r="NM701" s="25"/>
      <c r="NN701" s="25"/>
      <c r="NO701" s="25"/>
      <c r="NP701" s="25"/>
      <c r="NQ701" s="25"/>
      <c r="NR701" s="25"/>
      <c r="NS701" s="25"/>
      <c r="NT701" s="25"/>
      <c r="NU701" s="25"/>
      <c r="NV701" s="25"/>
      <c r="NW701" s="25"/>
      <c r="NX701" s="25"/>
      <c r="NY701" s="25"/>
      <c r="NZ701" s="25"/>
      <c r="OA701" s="25"/>
      <c r="OB701" s="25"/>
      <c r="OC701" s="25"/>
      <c r="OD701" s="25"/>
      <c r="OE701" s="25"/>
      <c r="OF701" s="25"/>
      <c r="OG701" s="25"/>
      <c r="OH701" s="25"/>
      <c r="OI701" s="25"/>
      <c r="OJ701" s="25"/>
      <c r="OK701" s="25"/>
      <c r="OL701" s="25"/>
      <c r="OM701" s="25"/>
      <c r="ON701" s="25"/>
      <c r="OO701" s="25"/>
      <c r="OP701" s="25"/>
      <c r="OQ701" s="25"/>
      <c r="OR701" s="25"/>
      <c r="OS701" s="25"/>
      <c r="OT701" s="25"/>
      <c r="OU701" s="25"/>
      <c r="OV701" s="25"/>
      <c r="OW701" s="25"/>
      <c r="OX701" s="25"/>
      <c r="OY701" s="25"/>
      <c r="OZ701" s="25"/>
      <c r="PA701" s="25"/>
      <c r="PB701" s="25"/>
      <c r="PC701" s="25"/>
      <c r="PD701" s="25"/>
      <c r="PE701" s="25"/>
      <c r="PF701" s="25"/>
      <c r="PG701" s="25"/>
      <c r="PH701" s="25"/>
      <c r="PI701" s="25"/>
      <c r="PJ701" s="25"/>
      <c r="PK701" s="25"/>
      <c r="PL701" s="25"/>
      <c r="PM701" s="25"/>
      <c r="PN701" s="25"/>
      <c r="PO701" s="25"/>
      <c r="PP701" s="25"/>
      <c r="PQ701" s="25"/>
      <c r="PR701" s="25"/>
      <c r="PS701" s="25"/>
      <c r="PT701" s="25"/>
      <c r="PU701" s="25"/>
      <c r="PV701" s="25"/>
      <c r="PW701" s="25"/>
      <c r="PX701" s="25"/>
      <c r="PY701" s="25"/>
      <c r="PZ701" s="25"/>
      <c r="QA701" s="25"/>
      <c r="QB701" s="25"/>
      <c r="QC701" s="25"/>
      <c r="QD701" s="25"/>
      <c r="QE701" s="25"/>
      <c r="QF701" s="25"/>
      <c r="QG701" s="25"/>
      <c r="QH701" s="25"/>
      <c r="QI701" s="25"/>
      <c r="QJ701" s="25"/>
      <c r="QK701" s="25"/>
      <c r="QL701" s="25"/>
      <c r="QM701" s="25"/>
      <c r="QN701" s="25"/>
      <c r="QO701" s="25"/>
      <c r="QP701" s="25"/>
      <c r="QQ701" s="25"/>
      <c r="QR701" s="25"/>
      <c r="QS701" s="25"/>
      <c r="QT701" s="25"/>
      <c r="QU701" s="25"/>
      <c r="QV701" s="25"/>
      <c r="QW701" s="25"/>
      <c r="QX701" s="25"/>
      <c r="QY701" s="25"/>
      <c r="QZ701" s="25"/>
      <c r="RA701" s="25"/>
      <c r="RB701" s="25"/>
      <c r="RC701" s="25"/>
      <c r="RD701" s="25"/>
      <c r="RE701" s="25"/>
      <c r="RF701" s="25"/>
      <c r="RG701" s="25"/>
      <c r="RH701" s="25"/>
      <c r="RI701" s="25"/>
      <c r="RJ701" s="25"/>
      <c r="RK701" s="25"/>
      <c r="RL701" s="25"/>
      <c r="RM701" s="25"/>
      <c r="RN701" s="25"/>
      <c r="RO701" s="25"/>
      <c r="RP701" s="25"/>
      <c r="RQ701" s="25"/>
      <c r="RR701" s="25"/>
      <c r="RS701" s="25"/>
      <c r="RT701" s="25"/>
      <c r="RU701" s="25"/>
      <c r="RV701" s="25"/>
      <c r="RW701" s="25"/>
      <c r="RX701" s="25"/>
      <c r="RY701" s="25"/>
      <c r="RZ701" s="25"/>
      <c r="SA701" s="25"/>
      <c r="SB701" s="25"/>
      <c r="SC701" s="25"/>
      <c r="SD701" s="25"/>
      <c r="SE701" s="25"/>
      <c r="SF701" s="25"/>
      <c r="SG701" s="25"/>
      <c r="SH701" s="25"/>
      <c r="SI701" s="25"/>
      <c r="SJ701" s="25"/>
      <c r="SK701" s="25"/>
      <c r="SL701" s="25"/>
      <c r="SM701" s="25"/>
      <c r="SN701" s="25"/>
      <c r="SO701" s="25"/>
      <c r="SP701" s="25"/>
      <c r="SQ701" s="25"/>
      <c r="SR701" s="25"/>
      <c r="SS701" s="25"/>
      <c r="ST701" s="25"/>
      <c r="SU701" s="25"/>
      <c r="SV701" s="25"/>
      <c r="SW701" s="25"/>
      <c r="SX701" s="25"/>
      <c r="SY701" s="25"/>
      <c r="SZ701" s="25"/>
      <c r="TA701" s="25"/>
      <c r="TB701" s="25"/>
      <c r="TC701" s="25"/>
      <c r="TD701" s="25"/>
      <c r="TE701" s="25"/>
      <c r="TF701" s="25"/>
      <c r="TG701" s="25"/>
      <c r="TH701" s="25"/>
      <c r="TI701" s="25"/>
      <c r="TJ701" s="25"/>
      <c r="TK701" s="25"/>
      <c r="TL701" s="25"/>
      <c r="TM701" s="25"/>
      <c r="TN701" s="25"/>
      <c r="TO701" s="25"/>
      <c r="TP701" s="25"/>
      <c r="TQ701" s="25"/>
      <c r="TR701" s="25"/>
      <c r="TS701" s="25"/>
      <c r="TT701" s="25"/>
      <c r="TU701" s="25"/>
      <c r="TV701" s="25"/>
      <c r="TW701" s="25"/>
      <c r="TX701" s="25"/>
      <c r="TY701" s="25"/>
      <c r="TZ701" s="25"/>
      <c r="UA701" s="25"/>
      <c r="UB701" s="25"/>
      <c r="UC701" s="25"/>
      <c r="UD701" s="25"/>
      <c r="UE701" s="25"/>
      <c r="UF701" s="25"/>
      <c r="UG701" s="26"/>
    </row>
    <row r="702" spans="1:553" ht="168" customHeight="1">
      <c r="A702" s="356"/>
      <c r="B702" s="385"/>
      <c r="C702" s="384" t="s">
        <v>23</v>
      </c>
      <c r="D702" s="376" t="s">
        <v>20</v>
      </c>
      <c r="E702" s="376" t="s">
        <v>500</v>
      </c>
      <c r="F702" s="385">
        <v>1</v>
      </c>
      <c r="G702" s="396" t="s">
        <v>33</v>
      </c>
      <c r="H702" s="387">
        <v>228.8</v>
      </c>
      <c r="I702" s="490">
        <v>228.8</v>
      </c>
      <c r="J702" s="368">
        <v>62000</v>
      </c>
      <c r="K702" s="391"/>
      <c r="L702" s="480">
        <f>PRODUCT(I702:K702)</f>
        <v>14185600</v>
      </c>
      <c r="M702" s="392"/>
      <c r="N702" s="392"/>
      <c r="O702" s="366"/>
      <c r="P702" s="366"/>
      <c r="Q702" s="761" t="s">
        <v>491</v>
      </c>
      <c r="R702" s="1452"/>
      <c r="S702" s="308"/>
      <c r="T702" s="308"/>
      <c r="U702" s="308"/>
      <c r="V702" s="308"/>
      <c r="W702" s="685">
        <f t="shared" si="111"/>
        <v>228.8</v>
      </c>
      <c r="X702" s="308"/>
      <c r="Y702" s="308"/>
      <c r="Z702" s="604"/>
      <c r="AA702" s="308"/>
      <c r="AB702" s="308"/>
      <c r="AC702" s="449"/>
      <c r="AD702" s="449"/>
      <c r="AE702" s="449"/>
      <c r="AF702" s="449"/>
      <c r="AG702" s="449"/>
      <c r="AH702" s="449"/>
      <c r="AI702" s="449"/>
      <c r="AJ702" s="449"/>
      <c r="AK702" s="452"/>
      <c r="AL702" s="104"/>
      <c r="AM702" s="32"/>
      <c r="AN702" s="32"/>
      <c r="AO702" s="32"/>
      <c r="AP702" s="32"/>
      <c r="AQ702" s="32"/>
      <c r="AR702" s="32"/>
      <c r="AS702" s="31"/>
      <c r="AT702" s="22"/>
      <c r="AU702" s="22"/>
      <c r="AV702" s="22"/>
      <c r="AW702" s="22"/>
      <c r="AX702" s="22"/>
      <c r="AY702" s="22"/>
      <c r="AZ702" s="22"/>
      <c r="BA702" s="22"/>
      <c r="BB702" s="22"/>
      <c r="BC702" s="22"/>
      <c r="BD702" s="22"/>
      <c r="BE702" s="22"/>
      <c r="BF702" s="22"/>
      <c r="BG702" s="22"/>
      <c r="BH702" s="22"/>
      <c r="BI702" s="22"/>
      <c r="BJ702" s="22"/>
      <c r="BK702" s="22"/>
      <c r="BL702" s="22"/>
      <c r="BM702" s="22"/>
      <c r="BN702" s="22"/>
      <c r="BO702" s="22"/>
      <c r="BP702" s="25"/>
      <c r="BQ702" s="25"/>
      <c r="BR702" s="25"/>
      <c r="BS702" s="25"/>
      <c r="BT702" s="25"/>
      <c r="BU702" s="25"/>
      <c r="BV702" s="25"/>
      <c r="BW702" s="25"/>
      <c r="BX702" s="25"/>
      <c r="BY702" s="25"/>
      <c r="BZ702" s="25"/>
      <c r="CA702" s="25"/>
      <c r="CB702" s="25"/>
      <c r="CC702" s="25"/>
      <c r="CD702" s="25"/>
      <c r="CE702" s="25"/>
      <c r="CF702" s="25"/>
      <c r="CG702" s="25"/>
      <c r="CH702" s="25"/>
      <c r="CI702" s="25"/>
      <c r="CJ702" s="25"/>
      <c r="CK702" s="25"/>
      <c r="CL702" s="25"/>
      <c r="CM702" s="25"/>
      <c r="CN702" s="25"/>
      <c r="CO702" s="25"/>
      <c r="CP702" s="25"/>
      <c r="CQ702" s="25"/>
      <c r="CR702" s="25"/>
      <c r="CS702" s="25"/>
      <c r="CT702" s="25"/>
      <c r="CU702" s="25"/>
      <c r="CV702" s="25"/>
      <c r="CW702" s="25"/>
      <c r="CX702" s="25"/>
      <c r="CY702" s="25"/>
      <c r="CZ702" s="25"/>
      <c r="DA702" s="25"/>
      <c r="DB702" s="25"/>
      <c r="DC702" s="25"/>
      <c r="DD702" s="25"/>
      <c r="DE702" s="25"/>
      <c r="DF702" s="25"/>
      <c r="DG702" s="25"/>
      <c r="DH702" s="25"/>
      <c r="DI702" s="25"/>
      <c r="DJ702" s="25"/>
      <c r="DK702" s="25"/>
      <c r="DL702" s="25"/>
      <c r="DM702" s="25"/>
      <c r="DN702" s="25"/>
      <c r="DO702" s="25"/>
      <c r="DP702" s="25"/>
      <c r="DQ702" s="25"/>
      <c r="DR702" s="25"/>
      <c r="DS702" s="25"/>
      <c r="DT702" s="25"/>
      <c r="DU702" s="25"/>
      <c r="DV702" s="25"/>
      <c r="DW702" s="25"/>
      <c r="DX702" s="25"/>
      <c r="DY702" s="25"/>
      <c r="DZ702" s="25"/>
      <c r="EA702" s="25"/>
      <c r="EB702" s="25"/>
      <c r="EC702" s="25"/>
      <c r="ED702" s="25"/>
      <c r="EE702" s="25"/>
      <c r="EF702" s="25"/>
      <c r="EG702" s="25"/>
      <c r="EH702" s="25"/>
      <c r="EI702" s="25"/>
      <c r="EJ702" s="25"/>
      <c r="EK702" s="25"/>
      <c r="EL702" s="25"/>
      <c r="EM702" s="25"/>
      <c r="EN702" s="25"/>
      <c r="EO702" s="25"/>
      <c r="EP702" s="25"/>
      <c r="EQ702" s="25"/>
      <c r="ER702" s="25"/>
      <c r="ES702" s="25"/>
      <c r="ET702" s="25"/>
      <c r="EU702" s="25"/>
      <c r="EV702" s="25"/>
      <c r="EW702" s="25"/>
      <c r="EX702" s="25"/>
      <c r="EY702" s="25"/>
      <c r="EZ702" s="25"/>
      <c r="FA702" s="25"/>
      <c r="FB702" s="25"/>
      <c r="FC702" s="25"/>
      <c r="FD702" s="25"/>
      <c r="FE702" s="25"/>
      <c r="FF702" s="25"/>
      <c r="FG702" s="25"/>
      <c r="FH702" s="25"/>
      <c r="FI702" s="25"/>
      <c r="FJ702" s="25"/>
      <c r="FK702" s="25"/>
      <c r="FL702" s="25"/>
      <c r="FM702" s="25"/>
      <c r="FN702" s="25"/>
      <c r="FO702" s="25"/>
      <c r="FP702" s="25"/>
      <c r="FQ702" s="25"/>
      <c r="FR702" s="25"/>
      <c r="FS702" s="25"/>
      <c r="FT702" s="25"/>
      <c r="FU702" s="25"/>
      <c r="FV702" s="25"/>
      <c r="FW702" s="25"/>
      <c r="FX702" s="25"/>
      <c r="FY702" s="25"/>
      <c r="FZ702" s="25"/>
      <c r="GA702" s="25"/>
      <c r="GB702" s="25"/>
      <c r="GC702" s="25"/>
      <c r="GD702" s="25"/>
      <c r="GE702" s="25"/>
      <c r="GF702" s="25"/>
      <c r="GG702" s="25"/>
      <c r="GH702" s="25"/>
      <c r="GI702" s="25"/>
      <c r="GJ702" s="25"/>
      <c r="GK702" s="25"/>
      <c r="GL702" s="25"/>
      <c r="GM702" s="25"/>
      <c r="GN702" s="25"/>
      <c r="GO702" s="25"/>
      <c r="GP702" s="25"/>
      <c r="GQ702" s="25"/>
      <c r="GR702" s="25"/>
      <c r="GS702" s="25"/>
      <c r="GT702" s="25"/>
      <c r="GU702" s="25"/>
      <c r="GV702" s="25"/>
      <c r="GW702" s="25"/>
      <c r="GX702" s="25"/>
      <c r="GY702" s="25"/>
      <c r="GZ702" s="25"/>
      <c r="HA702" s="25"/>
      <c r="HB702" s="25"/>
      <c r="HC702" s="25"/>
      <c r="HD702" s="25"/>
      <c r="HE702" s="25"/>
      <c r="HF702" s="25"/>
      <c r="HG702" s="25"/>
      <c r="HH702" s="25"/>
      <c r="HI702" s="25"/>
      <c r="HJ702" s="25"/>
      <c r="HK702" s="25"/>
      <c r="HL702" s="25"/>
      <c r="HM702" s="25"/>
      <c r="HN702" s="25"/>
      <c r="HO702" s="25"/>
      <c r="HP702" s="25"/>
      <c r="HQ702" s="25"/>
      <c r="HR702" s="25"/>
      <c r="HS702" s="25"/>
      <c r="HT702" s="25"/>
      <c r="HU702" s="25"/>
      <c r="HV702" s="25"/>
      <c r="HW702" s="25"/>
      <c r="HX702" s="25"/>
      <c r="HY702" s="25"/>
      <c r="HZ702" s="25"/>
      <c r="IA702" s="25"/>
      <c r="IB702" s="25"/>
      <c r="IC702" s="25"/>
      <c r="ID702" s="25"/>
      <c r="IE702" s="25"/>
      <c r="IF702" s="25"/>
      <c r="IG702" s="25"/>
      <c r="IH702" s="25"/>
      <c r="II702" s="25"/>
      <c r="IJ702" s="25"/>
      <c r="IK702" s="25"/>
      <c r="IL702" s="25"/>
      <c r="IM702" s="25"/>
      <c r="IN702" s="25"/>
      <c r="IO702" s="25"/>
      <c r="IP702" s="25"/>
      <c r="IQ702" s="25"/>
      <c r="IR702" s="25"/>
      <c r="IS702" s="25"/>
      <c r="IT702" s="25"/>
      <c r="IU702" s="25"/>
      <c r="IV702" s="25"/>
      <c r="IW702" s="25"/>
      <c r="IX702" s="25"/>
      <c r="IY702" s="25"/>
      <c r="IZ702" s="25"/>
      <c r="JA702" s="25"/>
      <c r="JB702" s="25"/>
      <c r="JC702" s="25"/>
      <c r="JD702" s="25"/>
      <c r="JE702" s="25"/>
      <c r="JF702" s="25"/>
      <c r="JG702" s="25"/>
      <c r="JH702" s="25"/>
      <c r="JI702" s="25"/>
      <c r="JJ702" s="25"/>
      <c r="JK702" s="25"/>
      <c r="JL702" s="25"/>
      <c r="JM702" s="25"/>
      <c r="JN702" s="25"/>
      <c r="JO702" s="25"/>
      <c r="JP702" s="25"/>
      <c r="JQ702" s="25"/>
      <c r="JR702" s="25"/>
      <c r="JS702" s="25"/>
      <c r="JT702" s="25"/>
      <c r="JU702" s="25"/>
      <c r="JV702" s="25"/>
      <c r="JW702" s="25"/>
      <c r="JX702" s="25"/>
      <c r="JY702" s="25"/>
      <c r="JZ702" s="25"/>
      <c r="KA702" s="25"/>
      <c r="KB702" s="25"/>
      <c r="KC702" s="25"/>
      <c r="KD702" s="25"/>
      <c r="KE702" s="25"/>
      <c r="KF702" s="25"/>
      <c r="KG702" s="25"/>
      <c r="KH702" s="25"/>
      <c r="KI702" s="25"/>
      <c r="KJ702" s="25"/>
      <c r="KK702" s="25"/>
      <c r="KL702" s="25"/>
      <c r="KM702" s="25"/>
      <c r="KN702" s="25"/>
      <c r="KO702" s="25"/>
      <c r="KP702" s="25"/>
      <c r="KQ702" s="25"/>
      <c r="KR702" s="25"/>
      <c r="KS702" s="25"/>
      <c r="KT702" s="25"/>
      <c r="KU702" s="25"/>
      <c r="KV702" s="25"/>
      <c r="KW702" s="25"/>
      <c r="KX702" s="25"/>
      <c r="KY702" s="25"/>
      <c r="KZ702" s="25"/>
      <c r="LA702" s="25"/>
      <c r="LB702" s="25"/>
      <c r="LC702" s="25"/>
      <c r="LD702" s="25"/>
      <c r="LE702" s="25"/>
      <c r="LF702" s="25"/>
      <c r="LG702" s="25"/>
      <c r="LH702" s="25"/>
      <c r="LI702" s="25"/>
      <c r="LJ702" s="25"/>
      <c r="LK702" s="25"/>
      <c r="LL702" s="25"/>
      <c r="LM702" s="25"/>
      <c r="LN702" s="25"/>
      <c r="LO702" s="25"/>
      <c r="LP702" s="25"/>
      <c r="LQ702" s="25"/>
      <c r="LR702" s="25"/>
      <c r="LS702" s="25"/>
      <c r="LT702" s="25"/>
      <c r="LU702" s="25"/>
      <c r="LV702" s="25"/>
      <c r="LW702" s="25"/>
      <c r="LX702" s="25"/>
      <c r="LY702" s="25"/>
      <c r="LZ702" s="25"/>
      <c r="MA702" s="25"/>
      <c r="MB702" s="25"/>
      <c r="MC702" s="25"/>
      <c r="MD702" s="25"/>
      <c r="ME702" s="25"/>
      <c r="MF702" s="25"/>
      <c r="MG702" s="25"/>
      <c r="MH702" s="25"/>
      <c r="MI702" s="25"/>
      <c r="MJ702" s="25"/>
      <c r="MK702" s="25"/>
      <c r="ML702" s="25"/>
      <c r="MM702" s="25"/>
      <c r="MN702" s="25"/>
      <c r="MO702" s="25"/>
      <c r="MP702" s="25"/>
      <c r="MQ702" s="25"/>
      <c r="MR702" s="25"/>
      <c r="MS702" s="25"/>
      <c r="MT702" s="25"/>
      <c r="MU702" s="25"/>
      <c r="MV702" s="25"/>
      <c r="MW702" s="25"/>
      <c r="MX702" s="25"/>
      <c r="MY702" s="25"/>
      <c r="MZ702" s="25"/>
      <c r="NA702" s="25"/>
      <c r="NB702" s="25"/>
      <c r="NC702" s="25"/>
      <c r="ND702" s="25"/>
      <c r="NE702" s="25"/>
      <c r="NF702" s="25"/>
      <c r="NG702" s="25"/>
      <c r="NH702" s="25"/>
      <c r="NI702" s="25"/>
      <c r="NJ702" s="25"/>
      <c r="NK702" s="25"/>
      <c r="NL702" s="25"/>
      <c r="NM702" s="25"/>
      <c r="NN702" s="25"/>
      <c r="NO702" s="25"/>
      <c r="NP702" s="25"/>
      <c r="NQ702" s="25"/>
      <c r="NR702" s="25"/>
      <c r="NS702" s="25"/>
      <c r="NT702" s="25"/>
      <c r="NU702" s="25"/>
      <c r="NV702" s="25"/>
      <c r="NW702" s="25"/>
      <c r="NX702" s="25"/>
      <c r="NY702" s="25"/>
      <c r="NZ702" s="25"/>
      <c r="OA702" s="25"/>
      <c r="OB702" s="25"/>
      <c r="OC702" s="25"/>
      <c r="OD702" s="25"/>
      <c r="OE702" s="25"/>
      <c r="OF702" s="25"/>
      <c r="OG702" s="25"/>
      <c r="OH702" s="25"/>
      <c r="OI702" s="25"/>
      <c r="OJ702" s="25"/>
      <c r="OK702" s="25"/>
      <c r="OL702" s="25"/>
      <c r="OM702" s="25"/>
      <c r="ON702" s="25"/>
      <c r="OO702" s="25"/>
      <c r="OP702" s="25"/>
      <c r="OQ702" s="25"/>
      <c r="OR702" s="25"/>
      <c r="OS702" s="25"/>
      <c r="OT702" s="25"/>
      <c r="OU702" s="25"/>
      <c r="OV702" s="25"/>
      <c r="OW702" s="25"/>
      <c r="OX702" s="25"/>
      <c r="OY702" s="25"/>
      <c r="OZ702" s="25"/>
      <c r="PA702" s="25"/>
      <c r="PB702" s="25"/>
      <c r="PC702" s="25"/>
      <c r="PD702" s="25"/>
      <c r="PE702" s="25"/>
      <c r="PF702" s="25"/>
      <c r="PG702" s="25"/>
      <c r="PH702" s="25"/>
      <c r="PI702" s="25"/>
      <c r="PJ702" s="25"/>
      <c r="PK702" s="25"/>
      <c r="PL702" s="25"/>
      <c r="PM702" s="25"/>
      <c r="PN702" s="25"/>
      <c r="PO702" s="25"/>
      <c r="PP702" s="25"/>
      <c r="PQ702" s="25"/>
      <c r="PR702" s="25"/>
      <c r="PS702" s="25"/>
      <c r="PT702" s="25"/>
      <c r="PU702" s="25"/>
      <c r="PV702" s="25"/>
      <c r="PW702" s="25"/>
      <c r="PX702" s="25"/>
      <c r="PY702" s="25"/>
      <c r="PZ702" s="25"/>
      <c r="QA702" s="25"/>
      <c r="QB702" s="25"/>
      <c r="QC702" s="25"/>
      <c r="QD702" s="25"/>
      <c r="QE702" s="25"/>
      <c r="QF702" s="25"/>
      <c r="QG702" s="25"/>
      <c r="QH702" s="25"/>
      <c r="QI702" s="25"/>
      <c r="QJ702" s="25"/>
      <c r="QK702" s="25"/>
      <c r="QL702" s="25"/>
      <c r="QM702" s="25"/>
      <c r="QN702" s="25"/>
      <c r="QO702" s="25"/>
      <c r="QP702" s="25"/>
      <c r="QQ702" s="25"/>
      <c r="QR702" s="25"/>
      <c r="QS702" s="25"/>
      <c r="QT702" s="25"/>
      <c r="QU702" s="25"/>
      <c r="QV702" s="25"/>
      <c r="QW702" s="25"/>
      <c r="QX702" s="25"/>
      <c r="QY702" s="25"/>
      <c r="QZ702" s="25"/>
      <c r="RA702" s="25"/>
      <c r="RB702" s="25"/>
      <c r="RC702" s="25"/>
      <c r="RD702" s="25"/>
      <c r="RE702" s="25"/>
      <c r="RF702" s="25"/>
      <c r="RG702" s="25"/>
      <c r="RH702" s="25"/>
      <c r="RI702" s="25"/>
      <c r="RJ702" s="25"/>
      <c r="RK702" s="25"/>
      <c r="RL702" s="25"/>
      <c r="RM702" s="25"/>
      <c r="RN702" s="25"/>
      <c r="RO702" s="25"/>
      <c r="RP702" s="25"/>
      <c r="RQ702" s="25"/>
      <c r="RR702" s="25"/>
      <c r="RS702" s="25"/>
      <c r="RT702" s="25"/>
      <c r="RU702" s="25"/>
      <c r="RV702" s="25"/>
      <c r="RW702" s="25"/>
      <c r="RX702" s="25"/>
      <c r="RY702" s="25"/>
      <c r="RZ702" s="25"/>
      <c r="SA702" s="25"/>
      <c r="SB702" s="25"/>
      <c r="SC702" s="25"/>
      <c r="SD702" s="25"/>
      <c r="SE702" s="25"/>
      <c r="SF702" s="25"/>
      <c r="SG702" s="25"/>
      <c r="SH702" s="25"/>
      <c r="SI702" s="25"/>
      <c r="SJ702" s="25"/>
      <c r="SK702" s="25"/>
      <c r="SL702" s="25"/>
      <c r="SM702" s="25"/>
      <c r="SN702" s="25"/>
      <c r="SO702" s="25"/>
      <c r="SP702" s="25"/>
      <c r="SQ702" s="25"/>
      <c r="SR702" s="25"/>
      <c r="SS702" s="25"/>
      <c r="ST702" s="25"/>
      <c r="SU702" s="25"/>
      <c r="SV702" s="25"/>
      <c r="SW702" s="25"/>
      <c r="SX702" s="25"/>
      <c r="SY702" s="25"/>
      <c r="SZ702" s="25"/>
      <c r="TA702" s="25"/>
      <c r="TB702" s="25"/>
      <c r="TC702" s="25"/>
      <c r="TD702" s="25"/>
      <c r="TE702" s="25"/>
      <c r="TF702" s="25"/>
      <c r="TG702" s="25"/>
      <c r="TH702" s="25"/>
      <c r="TI702" s="25"/>
      <c r="TJ702" s="25"/>
      <c r="TK702" s="25"/>
      <c r="TL702" s="25"/>
      <c r="TM702" s="25"/>
      <c r="TN702" s="25"/>
      <c r="TO702" s="25"/>
      <c r="TP702" s="25"/>
      <c r="TQ702" s="25"/>
      <c r="TR702" s="25"/>
      <c r="TS702" s="25"/>
      <c r="TT702" s="25"/>
      <c r="TU702" s="25"/>
      <c r="TV702" s="25"/>
      <c r="TW702" s="25"/>
      <c r="TX702" s="25"/>
      <c r="TY702" s="25"/>
      <c r="TZ702" s="25"/>
      <c r="UA702" s="25"/>
      <c r="UB702" s="25"/>
      <c r="UC702" s="25"/>
      <c r="UD702" s="25"/>
      <c r="UE702" s="25"/>
      <c r="UF702" s="25"/>
      <c r="UG702" s="26"/>
    </row>
    <row r="703" spans="1:553" ht="168" customHeight="1">
      <c r="A703" s="356"/>
      <c r="B703" s="385"/>
      <c r="C703" s="384" t="s">
        <v>23</v>
      </c>
      <c r="D703" s="376" t="s">
        <v>20</v>
      </c>
      <c r="E703" s="376" t="s">
        <v>501</v>
      </c>
      <c r="F703" s="385">
        <v>1</v>
      </c>
      <c r="G703" s="396" t="s">
        <v>33</v>
      </c>
      <c r="H703" s="387">
        <v>164.9</v>
      </c>
      <c r="I703" s="490">
        <v>164.9</v>
      </c>
      <c r="J703" s="368">
        <v>62000</v>
      </c>
      <c r="K703" s="391"/>
      <c r="L703" s="480">
        <f t="shared" si="110"/>
        <v>10223800</v>
      </c>
      <c r="M703" s="392"/>
      <c r="N703" s="392"/>
      <c r="O703" s="366"/>
      <c r="P703" s="366"/>
      <c r="Q703" s="761" t="s">
        <v>491</v>
      </c>
      <c r="R703" s="1452"/>
      <c r="S703" s="308"/>
      <c r="T703" s="308"/>
      <c r="U703" s="308"/>
      <c r="V703" s="308"/>
      <c r="W703" s="685">
        <f t="shared" si="111"/>
        <v>164.9</v>
      </c>
      <c r="X703" s="308"/>
      <c r="Y703" s="308"/>
      <c r="Z703" s="604"/>
      <c r="AA703" s="308"/>
      <c r="AB703" s="308"/>
      <c r="AC703" s="449"/>
      <c r="AD703" s="449"/>
      <c r="AE703" s="449"/>
      <c r="AF703" s="449"/>
      <c r="AG703" s="449"/>
      <c r="AH703" s="449"/>
      <c r="AI703" s="449"/>
      <c r="AJ703" s="449"/>
      <c r="AK703" s="452"/>
      <c r="AL703" s="104"/>
      <c r="AM703" s="32"/>
      <c r="AN703" s="32"/>
      <c r="AO703" s="32"/>
      <c r="AP703" s="32"/>
      <c r="AQ703" s="32"/>
      <c r="AR703" s="32"/>
      <c r="AS703" s="31"/>
      <c r="AT703" s="22"/>
      <c r="AU703" s="22"/>
      <c r="AV703" s="22"/>
      <c r="AW703" s="22"/>
      <c r="AX703" s="22"/>
      <c r="AY703" s="22"/>
      <c r="AZ703" s="22"/>
      <c r="BA703" s="22"/>
      <c r="BB703" s="22"/>
      <c r="BC703" s="22"/>
      <c r="BD703" s="22"/>
      <c r="BE703" s="22"/>
      <c r="BF703" s="22"/>
      <c r="BG703" s="22"/>
      <c r="BH703" s="22"/>
      <c r="BI703" s="22"/>
      <c r="BJ703" s="22"/>
      <c r="BK703" s="22"/>
      <c r="BL703" s="22"/>
      <c r="BM703" s="22"/>
      <c r="BN703" s="22"/>
      <c r="BO703" s="22"/>
      <c r="BP703" s="25"/>
      <c r="BQ703" s="25"/>
      <c r="BR703" s="25"/>
      <c r="BS703" s="25"/>
      <c r="BT703" s="25"/>
      <c r="BU703" s="25"/>
      <c r="BV703" s="25"/>
      <c r="BW703" s="25"/>
      <c r="BX703" s="25"/>
      <c r="BY703" s="25"/>
      <c r="BZ703" s="25"/>
      <c r="CA703" s="25"/>
      <c r="CB703" s="25"/>
      <c r="CC703" s="25"/>
      <c r="CD703" s="25"/>
      <c r="CE703" s="25"/>
      <c r="CF703" s="25"/>
      <c r="CG703" s="25"/>
      <c r="CH703" s="25"/>
      <c r="CI703" s="25"/>
      <c r="CJ703" s="25"/>
      <c r="CK703" s="25"/>
      <c r="CL703" s="25"/>
      <c r="CM703" s="25"/>
      <c r="CN703" s="25"/>
      <c r="CO703" s="25"/>
      <c r="CP703" s="25"/>
      <c r="CQ703" s="25"/>
      <c r="CR703" s="25"/>
      <c r="CS703" s="25"/>
      <c r="CT703" s="25"/>
      <c r="CU703" s="25"/>
      <c r="CV703" s="25"/>
      <c r="CW703" s="25"/>
      <c r="CX703" s="25"/>
      <c r="CY703" s="25"/>
      <c r="CZ703" s="25"/>
      <c r="DA703" s="25"/>
      <c r="DB703" s="25"/>
      <c r="DC703" s="25"/>
      <c r="DD703" s="25"/>
      <c r="DE703" s="25"/>
      <c r="DF703" s="25"/>
      <c r="DG703" s="25"/>
      <c r="DH703" s="25"/>
      <c r="DI703" s="25"/>
      <c r="DJ703" s="25"/>
      <c r="DK703" s="25"/>
      <c r="DL703" s="25"/>
      <c r="DM703" s="25"/>
      <c r="DN703" s="25"/>
      <c r="DO703" s="25"/>
      <c r="DP703" s="25"/>
      <c r="DQ703" s="25"/>
      <c r="DR703" s="25"/>
      <c r="DS703" s="25"/>
      <c r="DT703" s="25"/>
      <c r="DU703" s="25"/>
      <c r="DV703" s="25"/>
      <c r="DW703" s="25"/>
      <c r="DX703" s="25"/>
      <c r="DY703" s="25"/>
      <c r="DZ703" s="25"/>
      <c r="EA703" s="25"/>
      <c r="EB703" s="25"/>
      <c r="EC703" s="25"/>
      <c r="ED703" s="25"/>
      <c r="EE703" s="25"/>
      <c r="EF703" s="25"/>
      <c r="EG703" s="25"/>
      <c r="EH703" s="25"/>
      <c r="EI703" s="25"/>
      <c r="EJ703" s="25"/>
      <c r="EK703" s="25"/>
      <c r="EL703" s="25"/>
      <c r="EM703" s="25"/>
      <c r="EN703" s="25"/>
      <c r="EO703" s="25"/>
      <c r="EP703" s="25"/>
      <c r="EQ703" s="25"/>
      <c r="ER703" s="25"/>
      <c r="ES703" s="25"/>
      <c r="ET703" s="25"/>
      <c r="EU703" s="25"/>
      <c r="EV703" s="25"/>
      <c r="EW703" s="25"/>
      <c r="EX703" s="25"/>
      <c r="EY703" s="25"/>
      <c r="EZ703" s="25"/>
      <c r="FA703" s="25"/>
      <c r="FB703" s="25"/>
      <c r="FC703" s="25"/>
      <c r="FD703" s="25"/>
      <c r="FE703" s="25"/>
      <c r="FF703" s="25"/>
      <c r="FG703" s="25"/>
      <c r="FH703" s="25"/>
      <c r="FI703" s="25"/>
      <c r="FJ703" s="25"/>
      <c r="FK703" s="25"/>
      <c r="FL703" s="25"/>
      <c r="FM703" s="25"/>
      <c r="FN703" s="25"/>
      <c r="FO703" s="25"/>
      <c r="FP703" s="25"/>
      <c r="FQ703" s="25"/>
      <c r="FR703" s="25"/>
      <c r="FS703" s="25"/>
      <c r="FT703" s="25"/>
      <c r="FU703" s="25"/>
      <c r="FV703" s="25"/>
      <c r="FW703" s="25"/>
      <c r="FX703" s="25"/>
      <c r="FY703" s="25"/>
      <c r="FZ703" s="25"/>
      <c r="GA703" s="25"/>
      <c r="GB703" s="25"/>
      <c r="GC703" s="25"/>
      <c r="GD703" s="25"/>
      <c r="GE703" s="25"/>
      <c r="GF703" s="25"/>
      <c r="GG703" s="25"/>
      <c r="GH703" s="25"/>
      <c r="GI703" s="25"/>
      <c r="GJ703" s="25"/>
      <c r="GK703" s="25"/>
      <c r="GL703" s="25"/>
      <c r="GM703" s="25"/>
      <c r="GN703" s="25"/>
      <c r="GO703" s="25"/>
      <c r="GP703" s="25"/>
      <c r="GQ703" s="25"/>
      <c r="GR703" s="25"/>
      <c r="GS703" s="25"/>
      <c r="GT703" s="25"/>
      <c r="GU703" s="25"/>
      <c r="GV703" s="25"/>
      <c r="GW703" s="25"/>
      <c r="GX703" s="25"/>
      <c r="GY703" s="25"/>
      <c r="GZ703" s="25"/>
      <c r="HA703" s="25"/>
      <c r="HB703" s="25"/>
      <c r="HC703" s="25"/>
      <c r="HD703" s="25"/>
      <c r="HE703" s="25"/>
      <c r="HF703" s="25"/>
      <c r="HG703" s="25"/>
      <c r="HH703" s="25"/>
      <c r="HI703" s="25"/>
      <c r="HJ703" s="25"/>
      <c r="HK703" s="25"/>
      <c r="HL703" s="25"/>
      <c r="HM703" s="25"/>
      <c r="HN703" s="25"/>
      <c r="HO703" s="25"/>
      <c r="HP703" s="25"/>
      <c r="HQ703" s="25"/>
      <c r="HR703" s="25"/>
      <c r="HS703" s="25"/>
      <c r="HT703" s="25"/>
      <c r="HU703" s="25"/>
      <c r="HV703" s="25"/>
      <c r="HW703" s="25"/>
      <c r="HX703" s="25"/>
      <c r="HY703" s="25"/>
      <c r="HZ703" s="25"/>
      <c r="IA703" s="25"/>
      <c r="IB703" s="25"/>
      <c r="IC703" s="25"/>
      <c r="ID703" s="25"/>
      <c r="IE703" s="25"/>
      <c r="IF703" s="25"/>
      <c r="IG703" s="25"/>
      <c r="IH703" s="25"/>
      <c r="II703" s="25"/>
      <c r="IJ703" s="25"/>
      <c r="IK703" s="25"/>
      <c r="IL703" s="25"/>
      <c r="IM703" s="25"/>
      <c r="IN703" s="25"/>
      <c r="IO703" s="25"/>
      <c r="IP703" s="25"/>
      <c r="IQ703" s="25"/>
      <c r="IR703" s="25"/>
      <c r="IS703" s="25"/>
      <c r="IT703" s="25"/>
      <c r="IU703" s="25"/>
      <c r="IV703" s="25"/>
      <c r="IW703" s="25"/>
      <c r="IX703" s="25"/>
      <c r="IY703" s="25"/>
      <c r="IZ703" s="25"/>
      <c r="JA703" s="25"/>
      <c r="JB703" s="25"/>
      <c r="JC703" s="25"/>
      <c r="JD703" s="25"/>
      <c r="JE703" s="25"/>
      <c r="JF703" s="25"/>
      <c r="JG703" s="25"/>
      <c r="JH703" s="25"/>
      <c r="JI703" s="25"/>
      <c r="JJ703" s="25"/>
      <c r="JK703" s="25"/>
      <c r="JL703" s="25"/>
      <c r="JM703" s="25"/>
      <c r="JN703" s="25"/>
      <c r="JO703" s="25"/>
      <c r="JP703" s="25"/>
      <c r="JQ703" s="25"/>
      <c r="JR703" s="25"/>
      <c r="JS703" s="25"/>
      <c r="JT703" s="25"/>
      <c r="JU703" s="25"/>
      <c r="JV703" s="25"/>
      <c r="JW703" s="25"/>
      <c r="JX703" s="25"/>
      <c r="JY703" s="25"/>
      <c r="JZ703" s="25"/>
      <c r="KA703" s="25"/>
      <c r="KB703" s="25"/>
      <c r="KC703" s="25"/>
      <c r="KD703" s="25"/>
      <c r="KE703" s="25"/>
      <c r="KF703" s="25"/>
      <c r="KG703" s="25"/>
      <c r="KH703" s="25"/>
      <c r="KI703" s="25"/>
      <c r="KJ703" s="25"/>
      <c r="KK703" s="25"/>
      <c r="KL703" s="25"/>
      <c r="KM703" s="25"/>
      <c r="KN703" s="25"/>
      <c r="KO703" s="25"/>
      <c r="KP703" s="25"/>
      <c r="KQ703" s="25"/>
      <c r="KR703" s="25"/>
      <c r="KS703" s="25"/>
      <c r="KT703" s="25"/>
      <c r="KU703" s="25"/>
      <c r="KV703" s="25"/>
      <c r="KW703" s="25"/>
      <c r="KX703" s="25"/>
      <c r="KY703" s="25"/>
      <c r="KZ703" s="25"/>
      <c r="LA703" s="25"/>
      <c r="LB703" s="25"/>
      <c r="LC703" s="25"/>
      <c r="LD703" s="25"/>
      <c r="LE703" s="25"/>
      <c r="LF703" s="25"/>
      <c r="LG703" s="25"/>
      <c r="LH703" s="25"/>
      <c r="LI703" s="25"/>
      <c r="LJ703" s="25"/>
      <c r="LK703" s="25"/>
      <c r="LL703" s="25"/>
      <c r="LM703" s="25"/>
      <c r="LN703" s="25"/>
      <c r="LO703" s="25"/>
      <c r="LP703" s="25"/>
      <c r="LQ703" s="25"/>
      <c r="LR703" s="25"/>
      <c r="LS703" s="25"/>
      <c r="LT703" s="25"/>
      <c r="LU703" s="25"/>
      <c r="LV703" s="25"/>
      <c r="LW703" s="25"/>
      <c r="LX703" s="25"/>
      <c r="LY703" s="25"/>
      <c r="LZ703" s="25"/>
      <c r="MA703" s="25"/>
      <c r="MB703" s="25"/>
      <c r="MC703" s="25"/>
      <c r="MD703" s="25"/>
      <c r="ME703" s="25"/>
      <c r="MF703" s="25"/>
      <c r="MG703" s="25"/>
      <c r="MH703" s="25"/>
      <c r="MI703" s="25"/>
      <c r="MJ703" s="25"/>
      <c r="MK703" s="25"/>
      <c r="ML703" s="25"/>
      <c r="MM703" s="25"/>
      <c r="MN703" s="25"/>
      <c r="MO703" s="25"/>
      <c r="MP703" s="25"/>
      <c r="MQ703" s="25"/>
      <c r="MR703" s="25"/>
      <c r="MS703" s="25"/>
      <c r="MT703" s="25"/>
      <c r="MU703" s="25"/>
      <c r="MV703" s="25"/>
      <c r="MW703" s="25"/>
      <c r="MX703" s="25"/>
      <c r="MY703" s="25"/>
      <c r="MZ703" s="25"/>
      <c r="NA703" s="25"/>
      <c r="NB703" s="25"/>
      <c r="NC703" s="25"/>
      <c r="ND703" s="25"/>
      <c r="NE703" s="25"/>
      <c r="NF703" s="25"/>
      <c r="NG703" s="25"/>
      <c r="NH703" s="25"/>
      <c r="NI703" s="25"/>
      <c r="NJ703" s="25"/>
      <c r="NK703" s="25"/>
      <c r="NL703" s="25"/>
      <c r="NM703" s="25"/>
      <c r="NN703" s="25"/>
      <c r="NO703" s="25"/>
      <c r="NP703" s="25"/>
      <c r="NQ703" s="25"/>
      <c r="NR703" s="25"/>
      <c r="NS703" s="25"/>
      <c r="NT703" s="25"/>
      <c r="NU703" s="25"/>
      <c r="NV703" s="25"/>
      <c r="NW703" s="25"/>
      <c r="NX703" s="25"/>
      <c r="NY703" s="25"/>
      <c r="NZ703" s="25"/>
      <c r="OA703" s="25"/>
      <c r="OB703" s="25"/>
      <c r="OC703" s="25"/>
      <c r="OD703" s="25"/>
      <c r="OE703" s="25"/>
      <c r="OF703" s="25"/>
      <c r="OG703" s="25"/>
      <c r="OH703" s="25"/>
      <c r="OI703" s="25"/>
      <c r="OJ703" s="25"/>
      <c r="OK703" s="25"/>
      <c r="OL703" s="25"/>
      <c r="OM703" s="25"/>
      <c r="ON703" s="25"/>
      <c r="OO703" s="25"/>
      <c r="OP703" s="25"/>
      <c r="OQ703" s="25"/>
      <c r="OR703" s="25"/>
      <c r="OS703" s="25"/>
      <c r="OT703" s="25"/>
      <c r="OU703" s="25"/>
      <c r="OV703" s="25"/>
      <c r="OW703" s="25"/>
      <c r="OX703" s="25"/>
      <c r="OY703" s="25"/>
      <c r="OZ703" s="25"/>
      <c r="PA703" s="25"/>
      <c r="PB703" s="25"/>
      <c r="PC703" s="25"/>
      <c r="PD703" s="25"/>
      <c r="PE703" s="25"/>
      <c r="PF703" s="25"/>
      <c r="PG703" s="25"/>
      <c r="PH703" s="25"/>
      <c r="PI703" s="25"/>
      <c r="PJ703" s="25"/>
      <c r="PK703" s="25"/>
      <c r="PL703" s="25"/>
      <c r="PM703" s="25"/>
      <c r="PN703" s="25"/>
      <c r="PO703" s="25"/>
      <c r="PP703" s="25"/>
      <c r="PQ703" s="25"/>
      <c r="PR703" s="25"/>
      <c r="PS703" s="25"/>
      <c r="PT703" s="25"/>
      <c r="PU703" s="25"/>
      <c r="PV703" s="25"/>
      <c r="PW703" s="25"/>
      <c r="PX703" s="25"/>
      <c r="PY703" s="25"/>
      <c r="PZ703" s="25"/>
      <c r="QA703" s="25"/>
      <c r="QB703" s="25"/>
      <c r="QC703" s="25"/>
      <c r="QD703" s="25"/>
      <c r="QE703" s="25"/>
      <c r="QF703" s="25"/>
      <c r="QG703" s="25"/>
      <c r="QH703" s="25"/>
      <c r="QI703" s="25"/>
      <c r="QJ703" s="25"/>
      <c r="QK703" s="25"/>
      <c r="QL703" s="25"/>
      <c r="QM703" s="25"/>
      <c r="QN703" s="25"/>
      <c r="QO703" s="25"/>
      <c r="QP703" s="25"/>
      <c r="QQ703" s="25"/>
      <c r="QR703" s="25"/>
      <c r="QS703" s="25"/>
      <c r="QT703" s="25"/>
      <c r="QU703" s="25"/>
      <c r="QV703" s="25"/>
      <c r="QW703" s="25"/>
      <c r="QX703" s="25"/>
      <c r="QY703" s="25"/>
      <c r="QZ703" s="25"/>
      <c r="RA703" s="25"/>
      <c r="RB703" s="25"/>
      <c r="RC703" s="25"/>
      <c r="RD703" s="25"/>
      <c r="RE703" s="25"/>
      <c r="RF703" s="25"/>
      <c r="RG703" s="25"/>
      <c r="RH703" s="25"/>
      <c r="RI703" s="25"/>
      <c r="RJ703" s="25"/>
      <c r="RK703" s="25"/>
      <c r="RL703" s="25"/>
      <c r="RM703" s="25"/>
      <c r="RN703" s="25"/>
      <c r="RO703" s="25"/>
      <c r="RP703" s="25"/>
      <c r="RQ703" s="25"/>
      <c r="RR703" s="25"/>
      <c r="RS703" s="25"/>
      <c r="RT703" s="25"/>
      <c r="RU703" s="25"/>
      <c r="RV703" s="25"/>
      <c r="RW703" s="25"/>
      <c r="RX703" s="25"/>
      <c r="RY703" s="25"/>
      <c r="RZ703" s="25"/>
      <c r="SA703" s="25"/>
      <c r="SB703" s="25"/>
      <c r="SC703" s="25"/>
      <c r="SD703" s="25"/>
      <c r="SE703" s="25"/>
      <c r="SF703" s="25"/>
      <c r="SG703" s="25"/>
      <c r="SH703" s="25"/>
      <c r="SI703" s="25"/>
      <c r="SJ703" s="25"/>
      <c r="SK703" s="25"/>
      <c r="SL703" s="25"/>
      <c r="SM703" s="25"/>
      <c r="SN703" s="25"/>
      <c r="SO703" s="25"/>
      <c r="SP703" s="25"/>
      <c r="SQ703" s="25"/>
      <c r="SR703" s="25"/>
      <c r="SS703" s="25"/>
      <c r="ST703" s="25"/>
      <c r="SU703" s="25"/>
      <c r="SV703" s="25"/>
      <c r="SW703" s="25"/>
      <c r="SX703" s="25"/>
      <c r="SY703" s="25"/>
      <c r="SZ703" s="25"/>
      <c r="TA703" s="25"/>
      <c r="TB703" s="25"/>
      <c r="TC703" s="25"/>
      <c r="TD703" s="25"/>
      <c r="TE703" s="25"/>
      <c r="TF703" s="25"/>
      <c r="TG703" s="25"/>
      <c r="TH703" s="25"/>
      <c r="TI703" s="25"/>
      <c r="TJ703" s="25"/>
      <c r="TK703" s="25"/>
      <c r="TL703" s="25"/>
      <c r="TM703" s="25"/>
      <c r="TN703" s="25"/>
      <c r="TO703" s="25"/>
      <c r="TP703" s="25"/>
      <c r="TQ703" s="25"/>
      <c r="TR703" s="25"/>
      <c r="TS703" s="25"/>
      <c r="TT703" s="25"/>
      <c r="TU703" s="25"/>
      <c r="TV703" s="25"/>
      <c r="TW703" s="25"/>
      <c r="TX703" s="25"/>
      <c r="TY703" s="25"/>
      <c r="TZ703" s="25"/>
      <c r="UA703" s="25"/>
      <c r="UB703" s="25"/>
      <c r="UC703" s="25"/>
      <c r="UD703" s="25"/>
      <c r="UE703" s="25"/>
      <c r="UF703" s="25"/>
      <c r="UG703" s="26"/>
    </row>
    <row r="704" spans="1:553" ht="168" customHeight="1">
      <c r="A704" s="356"/>
      <c r="B704" s="385"/>
      <c r="C704" s="384" t="s">
        <v>23</v>
      </c>
      <c r="D704" s="376" t="s">
        <v>20</v>
      </c>
      <c r="E704" s="376" t="s">
        <v>502</v>
      </c>
      <c r="F704" s="385">
        <v>1</v>
      </c>
      <c r="G704" s="396" t="s">
        <v>33</v>
      </c>
      <c r="H704" s="387">
        <v>84.8</v>
      </c>
      <c r="I704" s="490">
        <v>84.8</v>
      </c>
      <c r="J704" s="368">
        <v>62000</v>
      </c>
      <c r="K704" s="391"/>
      <c r="L704" s="480">
        <f t="shared" si="110"/>
        <v>5257600</v>
      </c>
      <c r="M704" s="392"/>
      <c r="N704" s="392"/>
      <c r="O704" s="366"/>
      <c r="P704" s="366"/>
      <c r="Q704" s="761" t="s">
        <v>491</v>
      </c>
      <c r="R704" s="1452"/>
      <c r="S704" s="308"/>
      <c r="T704" s="308"/>
      <c r="U704" s="308"/>
      <c r="V704" s="308"/>
      <c r="W704" s="685">
        <f t="shared" si="111"/>
        <v>84.8</v>
      </c>
      <c r="X704" s="308"/>
      <c r="Y704" s="308"/>
      <c r="Z704" s="604"/>
      <c r="AA704" s="308"/>
      <c r="AB704" s="308"/>
      <c r="AC704" s="449"/>
      <c r="AD704" s="449"/>
      <c r="AE704" s="449"/>
      <c r="AF704" s="449"/>
      <c r="AG704" s="449"/>
      <c r="AH704" s="449"/>
      <c r="AI704" s="449"/>
      <c r="AJ704" s="449"/>
      <c r="AK704" s="452"/>
      <c r="AL704" s="104"/>
      <c r="AM704" s="32"/>
      <c r="AN704" s="32"/>
      <c r="AO704" s="32"/>
      <c r="AP704" s="32"/>
      <c r="AQ704" s="32"/>
      <c r="AR704" s="32"/>
      <c r="AS704" s="31"/>
      <c r="AT704" s="22"/>
      <c r="AU704" s="22"/>
      <c r="AV704" s="22"/>
      <c r="AW704" s="22"/>
      <c r="AX704" s="22"/>
      <c r="AY704" s="22"/>
      <c r="AZ704" s="22"/>
      <c r="BA704" s="22"/>
      <c r="BB704" s="22"/>
      <c r="BC704" s="22"/>
      <c r="BD704" s="22"/>
      <c r="BE704" s="22"/>
      <c r="BF704" s="22"/>
      <c r="BG704" s="22"/>
      <c r="BH704" s="22"/>
      <c r="BI704" s="22"/>
      <c r="BJ704" s="22"/>
      <c r="BK704" s="22"/>
      <c r="BL704" s="22"/>
      <c r="BM704" s="22"/>
      <c r="BN704" s="22"/>
      <c r="BO704" s="22"/>
      <c r="BP704" s="25"/>
      <c r="BQ704" s="25"/>
      <c r="BR704" s="25"/>
      <c r="BS704" s="25"/>
      <c r="BT704" s="25"/>
      <c r="BU704" s="25"/>
      <c r="BV704" s="25"/>
      <c r="BW704" s="25"/>
      <c r="BX704" s="25"/>
      <c r="BY704" s="25"/>
      <c r="BZ704" s="25"/>
      <c r="CA704" s="25"/>
      <c r="CB704" s="25"/>
      <c r="CC704" s="25"/>
      <c r="CD704" s="25"/>
      <c r="CE704" s="25"/>
      <c r="CF704" s="25"/>
      <c r="CG704" s="25"/>
      <c r="CH704" s="25"/>
      <c r="CI704" s="25"/>
      <c r="CJ704" s="25"/>
      <c r="CK704" s="25"/>
      <c r="CL704" s="25"/>
      <c r="CM704" s="25"/>
      <c r="CN704" s="25"/>
      <c r="CO704" s="25"/>
      <c r="CP704" s="25"/>
      <c r="CQ704" s="25"/>
      <c r="CR704" s="25"/>
      <c r="CS704" s="25"/>
      <c r="CT704" s="25"/>
      <c r="CU704" s="25"/>
      <c r="CV704" s="25"/>
      <c r="CW704" s="25"/>
      <c r="CX704" s="25"/>
      <c r="CY704" s="25"/>
      <c r="CZ704" s="25"/>
      <c r="DA704" s="25"/>
      <c r="DB704" s="25"/>
      <c r="DC704" s="25"/>
      <c r="DD704" s="25"/>
      <c r="DE704" s="25"/>
      <c r="DF704" s="25"/>
      <c r="DG704" s="25"/>
      <c r="DH704" s="25"/>
      <c r="DI704" s="25"/>
      <c r="DJ704" s="25"/>
      <c r="DK704" s="25"/>
      <c r="DL704" s="25"/>
      <c r="DM704" s="25"/>
      <c r="DN704" s="25"/>
      <c r="DO704" s="25"/>
      <c r="DP704" s="25"/>
      <c r="DQ704" s="25"/>
      <c r="DR704" s="25"/>
      <c r="DS704" s="25"/>
      <c r="DT704" s="25"/>
      <c r="DU704" s="25"/>
      <c r="DV704" s="25"/>
      <c r="DW704" s="25"/>
      <c r="DX704" s="25"/>
      <c r="DY704" s="25"/>
      <c r="DZ704" s="25"/>
      <c r="EA704" s="25"/>
      <c r="EB704" s="25"/>
      <c r="EC704" s="25"/>
      <c r="ED704" s="25"/>
      <c r="EE704" s="25"/>
      <c r="EF704" s="25"/>
      <c r="EG704" s="25"/>
      <c r="EH704" s="25"/>
      <c r="EI704" s="25"/>
      <c r="EJ704" s="25"/>
      <c r="EK704" s="25"/>
      <c r="EL704" s="25"/>
      <c r="EM704" s="25"/>
      <c r="EN704" s="25"/>
      <c r="EO704" s="25"/>
      <c r="EP704" s="25"/>
      <c r="EQ704" s="25"/>
      <c r="ER704" s="25"/>
      <c r="ES704" s="25"/>
      <c r="ET704" s="25"/>
      <c r="EU704" s="25"/>
      <c r="EV704" s="25"/>
      <c r="EW704" s="25"/>
      <c r="EX704" s="25"/>
      <c r="EY704" s="25"/>
      <c r="EZ704" s="25"/>
      <c r="FA704" s="25"/>
      <c r="FB704" s="25"/>
      <c r="FC704" s="25"/>
      <c r="FD704" s="25"/>
      <c r="FE704" s="25"/>
      <c r="FF704" s="25"/>
      <c r="FG704" s="25"/>
      <c r="FH704" s="25"/>
      <c r="FI704" s="25"/>
      <c r="FJ704" s="25"/>
      <c r="FK704" s="25"/>
      <c r="FL704" s="25"/>
      <c r="FM704" s="25"/>
      <c r="FN704" s="25"/>
      <c r="FO704" s="25"/>
      <c r="FP704" s="25"/>
      <c r="FQ704" s="25"/>
      <c r="FR704" s="25"/>
      <c r="FS704" s="25"/>
      <c r="FT704" s="25"/>
      <c r="FU704" s="25"/>
      <c r="FV704" s="25"/>
      <c r="FW704" s="25"/>
      <c r="FX704" s="25"/>
      <c r="FY704" s="25"/>
      <c r="FZ704" s="25"/>
      <c r="GA704" s="25"/>
      <c r="GB704" s="25"/>
      <c r="GC704" s="25"/>
      <c r="GD704" s="25"/>
      <c r="GE704" s="25"/>
      <c r="GF704" s="25"/>
      <c r="GG704" s="25"/>
      <c r="GH704" s="25"/>
      <c r="GI704" s="25"/>
      <c r="GJ704" s="25"/>
      <c r="GK704" s="25"/>
      <c r="GL704" s="25"/>
      <c r="GM704" s="25"/>
      <c r="GN704" s="25"/>
      <c r="GO704" s="25"/>
      <c r="GP704" s="25"/>
      <c r="GQ704" s="25"/>
      <c r="GR704" s="25"/>
      <c r="GS704" s="25"/>
      <c r="GT704" s="25"/>
      <c r="GU704" s="25"/>
      <c r="GV704" s="25"/>
      <c r="GW704" s="25"/>
      <c r="GX704" s="25"/>
      <c r="GY704" s="25"/>
      <c r="GZ704" s="25"/>
      <c r="HA704" s="25"/>
      <c r="HB704" s="25"/>
      <c r="HC704" s="25"/>
      <c r="HD704" s="25"/>
      <c r="HE704" s="25"/>
      <c r="HF704" s="25"/>
      <c r="HG704" s="25"/>
      <c r="HH704" s="25"/>
      <c r="HI704" s="25"/>
      <c r="HJ704" s="25"/>
      <c r="HK704" s="25"/>
      <c r="HL704" s="25"/>
      <c r="HM704" s="25"/>
      <c r="HN704" s="25"/>
      <c r="HO704" s="25"/>
      <c r="HP704" s="25"/>
      <c r="HQ704" s="25"/>
      <c r="HR704" s="25"/>
      <c r="HS704" s="25"/>
      <c r="HT704" s="25"/>
      <c r="HU704" s="25"/>
      <c r="HV704" s="25"/>
      <c r="HW704" s="25"/>
      <c r="HX704" s="25"/>
      <c r="HY704" s="25"/>
      <c r="HZ704" s="25"/>
      <c r="IA704" s="25"/>
      <c r="IB704" s="25"/>
      <c r="IC704" s="25"/>
      <c r="ID704" s="25"/>
      <c r="IE704" s="25"/>
      <c r="IF704" s="25"/>
      <c r="IG704" s="25"/>
      <c r="IH704" s="25"/>
      <c r="II704" s="25"/>
      <c r="IJ704" s="25"/>
      <c r="IK704" s="25"/>
      <c r="IL704" s="25"/>
      <c r="IM704" s="25"/>
      <c r="IN704" s="25"/>
      <c r="IO704" s="25"/>
      <c r="IP704" s="25"/>
      <c r="IQ704" s="25"/>
      <c r="IR704" s="25"/>
      <c r="IS704" s="25"/>
      <c r="IT704" s="25"/>
      <c r="IU704" s="25"/>
      <c r="IV704" s="25"/>
      <c r="IW704" s="25"/>
      <c r="IX704" s="25"/>
      <c r="IY704" s="25"/>
      <c r="IZ704" s="25"/>
      <c r="JA704" s="25"/>
      <c r="JB704" s="25"/>
      <c r="JC704" s="25"/>
      <c r="JD704" s="25"/>
      <c r="JE704" s="25"/>
      <c r="JF704" s="25"/>
      <c r="JG704" s="25"/>
      <c r="JH704" s="25"/>
      <c r="JI704" s="25"/>
      <c r="JJ704" s="25"/>
      <c r="JK704" s="25"/>
      <c r="JL704" s="25"/>
      <c r="JM704" s="25"/>
      <c r="JN704" s="25"/>
      <c r="JO704" s="25"/>
      <c r="JP704" s="25"/>
      <c r="JQ704" s="25"/>
      <c r="JR704" s="25"/>
      <c r="JS704" s="25"/>
      <c r="JT704" s="25"/>
      <c r="JU704" s="25"/>
      <c r="JV704" s="25"/>
      <c r="JW704" s="25"/>
      <c r="JX704" s="25"/>
      <c r="JY704" s="25"/>
      <c r="JZ704" s="25"/>
      <c r="KA704" s="25"/>
      <c r="KB704" s="25"/>
      <c r="KC704" s="25"/>
      <c r="KD704" s="25"/>
      <c r="KE704" s="25"/>
      <c r="KF704" s="25"/>
      <c r="KG704" s="25"/>
      <c r="KH704" s="25"/>
      <c r="KI704" s="25"/>
      <c r="KJ704" s="25"/>
      <c r="KK704" s="25"/>
      <c r="KL704" s="25"/>
      <c r="KM704" s="25"/>
      <c r="KN704" s="25"/>
      <c r="KO704" s="25"/>
      <c r="KP704" s="25"/>
      <c r="KQ704" s="25"/>
      <c r="KR704" s="25"/>
      <c r="KS704" s="25"/>
      <c r="KT704" s="25"/>
      <c r="KU704" s="25"/>
      <c r="KV704" s="25"/>
      <c r="KW704" s="25"/>
      <c r="KX704" s="25"/>
      <c r="KY704" s="25"/>
      <c r="KZ704" s="25"/>
      <c r="LA704" s="25"/>
      <c r="LB704" s="25"/>
      <c r="LC704" s="25"/>
      <c r="LD704" s="25"/>
      <c r="LE704" s="25"/>
      <c r="LF704" s="25"/>
      <c r="LG704" s="25"/>
      <c r="LH704" s="25"/>
      <c r="LI704" s="25"/>
      <c r="LJ704" s="25"/>
      <c r="LK704" s="25"/>
      <c r="LL704" s="25"/>
      <c r="LM704" s="25"/>
      <c r="LN704" s="25"/>
      <c r="LO704" s="25"/>
      <c r="LP704" s="25"/>
      <c r="LQ704" s="25"/>
      <c r="LR704" s="25"/>
      <c r="LS704" s="25"/>
      <c r="LT704" s="25"/>
      <c r="LU704" s="25"/>
      <c r="LV704" s="25"/>
      <c r="LW704" s="25"/>
      <c r="LX704" s="25"/>
      <c r="LY704" s="25"/>
      <c r="LZ704" s="25"/>
      <c r="MA704" s="25"/>
      <c r="MB704" s="25"/>
      <c r="MC704" s="25"/>
      <c r="MD704" s="25"/>
      <c r="ME704" s="25"/>
      <c r="MF704" s="25"/>
      <c r="MG704" s="25"/>
      <c r="MH704" s="25"/>
      <c r="MI704" s="25"/>
      <c r="MJ704" s="25"/>
      <c r="MK704" s="25"/>
      <c r="ML704" s="25"/>
      <c r="MM704" s="25"/>
      <c r="MN704" s="25"/>
      <c r="MO704" s="25"/>
      <c r="MP704" s="25"/>
      <c r="MQ704" s="25"/>
      <c r="MR704" s="25"/>
      <c r="MS704" s="25"/>
      <c r="MT704" s="25"/>
      <c r="MU704" s="25"/>
      <c r="MV704" s="25"/>
      <c r="MW704" s="25"/>
      <c r="MX704" s="25"/>
      <c r="MY704" s="25"/>
      <c r="MZ704" s="25"/>
      <c r="NA704" s="25"/>
      <c r="NB704" s="25"/>
      <c r="NC704" s="25"/>
      <c r="ND704" s="25"/>
      <c r="NE704" s="25"/>
      <c r="NF704" s="25"/>
      <c r="NG704" s="25"/>
      <c r="NH704" s="25"/>
      <c r="NI704" s="25"/>
      <c r="NJ704" s="25"/>
      <c r="NK704" s="25"/>
      <c r="NL704" s="25"/>
      <c r="NM704" s="25"/>
      <c r="NN704" s="25"/>
      <c r="NO704" s="25"/>
      <c r="NP704" s="25"/>
      <c r="NQ704" s="25"/>
      <c r="NR704" s="25"/>
      <c r="NS704" s="25"/>
      <c r="NT704" s="25"/>
      <c r="NU704" s="25"/>
      <c r="NV704" s="25"/>
      <c r="NW704" s="25"/>
      <c r="NX704" s="25"/>
      <c r="NY704" s="25"/>
      <c r="NZ704" s="25"/>
      <c r="OA704" s="25"/>
      <c r="OB704" s="25"/>
      <c r="OC704" s="25"/>
      <c r="OD704" s="25"/>
      <c r="OE704" s="25"/>
      <c r="OF704" s="25"/>
      <c r="OG704" s="25"/>
      <c r="OH704" s="25"/>
      <c r="OI704" s="25"/>
      <c r="OJ704" s="25"/>
      <c r="OK704" s="25"/>
      <c r="OL704" s="25"/>
      <c r="OM704" s="25"/>
      <c r="ON704" s="25"/>
      <c r="OO704" s="25"/>
      <c r="OP704" s="25"/>
      <c r="OQ704" s="25"/>
      <c r="OR704" s="25"/>
      <c r="OS704" s="25"/>
      <c r="OT704" s="25"/>
      <c r="OU704" s="25"/>
      <c r="OV704" s="25"/>
      <c r="OW704" s="25"/>
      <c r="OX704" s="25"/>
      <c r="OY704" s="25"/>
      <c r="OZ704" s="25"/>
      <c r="PA704" s="25"/>
      <c r="PB704" s="25"/>
      <c r="PC704" s="25"/>
      <c r="PD704" s="25"/>
      <c r="PE704" s="25"/>
      <c r="PF704" s="25"/>
      <c r="PG704" s="25"/>
      <c r="PH704" s="25"/>
      <c r="PI704" s="25"/>
      <c r="PJ704" s="25"/>
      <c r="PK704" s="25"/>
      <c r="PL704" s="25"/>
      <c r="PM704" s="25"/>
      <c r="PN704" s="25"/>
      <c r="PO704" s="25"/>
      <c r="PP704" s="25"/>
      <c r="PQ704" s="25"/>
      <c r="PR704" s="25"/>
      <c r="PS704" s="25"/>
      <c r="PT704" s="25"/>
      <c r="PU704" s="25"/>
      <c r="PV704" s="25"/>
      <c r="PW704" s="25"/>
      <c r="PX704" s="25"/>
      <c r="PY704" s="25"/>
      <c r="PZ704" s="25"/>
      <c r="QA704" s="25"/>
      <c r="QB704" s="25"/>
      <c r="QC704" s="25"/>
      <c r="QD704" s="25"/>
      <c r="QE704" s="25"/>
      <c r="QF704" s="25"/>
      <c r="QG704" s="25"/>
      <c r="QH704" s="25"/>
      <c r="QI704" s="25"/>
      <c r="QJ704" s="25"/>
      <c r="QK704" s="25"/>
      <c r="QL704" s="25"/>
      <c r="QM704" s="25"/>
      <c r="QN704" s="25"/>
      <c r="QO704" s="25"/>
      <c r="QP704" s="25"/>
      <c r="QQ704" s="25"/>
      <c r="QR704" s="25"/>
      <c r="QS704" s="25"/>
      <c r="QT704" s="25"/>
      <c r="QU704" s="25"/>
      <c r="QV704" s="25"/>
      <c r="QW704" s="25"/>
      <c r="QX704" s="25"/>
      <c r="QY704" s="25"/>
      <c r="QZ704" s="25"/>
      <c r="RA704" s="25"/>
      <c r="RB704" s="25"/>
      <c r="RC704" s="25"/>
      <c r="RD704" s="25"/>
      <c r="RE704" s="25"/>
      <c r="RF704" s="25"/>
      <c r="RG704" s="25"/>
      <c r="RH704" s="25"/>
      <c r="RI704" s="25"/>
      <c r="RJ704" s="25"/>
      <c r="RK704" s="25"/>
      <c r="RL704" s="25"/>
      <c r="RM704" s="25"/>
      <c r="RN704" s="25"/>
      <c r="RO704" s="25"/>
      <c r="RP704" s="25"/>
      <c r="RQ704" s="25"/>
      <c r="RR704" s="25"/>
      <c r="RS704" s="25"/>
      <c r="RT704" s="25"/>
      <c r="RU704" s="25"/>
      <c r="RV704" s="25"/>
      <c r="RW704" s="25"/>
      <c r="RX704" s="25"/>
      <c r="RY704" s="25"/>
      <c r="RZ704" s="25"/>
      <c r="SA704" s="25"/>
      <c r="SB704" s="25"/>
      <c r="SC704" s="25"/>
      <c r="SD704" s="25"/>
      <c r="SE704" s="25"/>
      <c r="SF704" s="25"/>
      <c r="SG704" s="25"/>
      <c r="SH704" s="25"/>
      <c r="SI704" s="25"/>
      <c r="SJ704" s="25"/>
      <c r="SK704" s="25"/>
      <c r="SL704" s="25"/>
      <c r="SM704" s="25"/>
      <c r="SN704" s="25"/>
      <c r="SO704" s="25"/>
      <c r="SP704" s="25"/>
      <c r="SQ704" s="25"/>
      <c r="SR704" s="25"/>
      <c r="SS704" s="25"/>
      <c r="ST704" s="25"/>
      <c r="SU704" s="25"/>
      <c r="SV704" s="25"/>
      <c r="SW704" s="25"/>
      <c r="SX704" s="25"/>
      <c r="SY704" s="25"/>
      <c r="SZ704" s="25"/>
      <c r="TA704" s="25"/>
      <c r="TB704" s="25"/>
      <c r="TC704" s="25"/>
      <c r="TD704" s="25"/>
      <c r="TE704" s="25"/>
      <c r="TF704" s="25"/>
      <c r="TG704" s="25"/>
      <c r="TH704" s="25"/>
      <c r="TI704" s="25"/>
      <c r="TJ704" s="25"/>
      <c r="TK704" s="25"/>
      <c r="TL704" s="25"/>
      <c r="TM704" s="25"/>
      <c r="TN704" s="25"/>
      <c r="TO704" s="25"/>
      <c r="TP704" s="25"/>
      <c r="TQ704" s="25"/>
      <c r="TR704" s="25"/>
      <c r="TS704" s="25"/>
      <c r="TT704" s="25"/>
      <c r="TU704" s="25"/>
      <c r="TV704" s="25"/>
      <c r="TW704" s="25"/>
      <c r="TX704" s="25"/>
      <c r="TY704" s="25"/>
      <c r="TZ704" s="25"/>
      <c r="UA704" s="25"/>
      <c r="UB704" s="25"/>
      <c r="UC704" s="25"/>
      <c r="UD704" s="25"/>
      <c r="UE704" s="25"/>
      <c r="UF704" s="25"/>
      <c r="UG704" s="26"/>
    </row>
    <row r="705" spans="1:553" ht="409.5" customHeight="1">
      <c r="A705" s="356"/>
      <c r="B705" s="385"/>
      <c r="C705" s="384" t="s">
        <v>213</v>
      </c>
      <c r="D705" s="376">
        <v>2</v>
      </c>
      <c r="E705" s="376">
        <v>261</v>
      </c>
      <c r="F705" s="385">
        <v>1</v>
      </c>
      <c r="G705" s="396" t="s">
        <v>33</v>
      </c>
      <c r="H705" s="387">
        <v>269.8</v>
      </c>
      <c r="I705" s="490">
        <v>269.8</v>
      </c>
      <c r="J705" s="368">
        <v>62000</v>
      </c>
      <c r="K705" s="391"/>
      <c r="L705" s="480">
        <f t="shared" si="110"/>
        <v>16727600</v>
      </c>
      <c r="M705" s="392"/>
      <c r="N705" s="392"/>
      <c r="O705" s="366"/>
      <c r="P705" s="366"/>
      <c r="Q705" s="1149" t="s">
        <v>503</v>
      </c>
      <c r="R705" s="1163" t="s">
        <v>942</v>
      </c>
      <c r="S705" s="308"/>
      <c r="T705" s="308"/>
      <c r="U705" s="308"/>
      <c r="V705" s="308"/>
      <c r="W705" s="308"/>
      <c r="X705" s="308"/>
      <c r="Y705" s="308"/>
      <c r="Z705" s="604"/>
      <c r="AA705" s="685">
        <f>I705</f>
        <v>269.8</v>
      </c>
      <c r="AB705" s="308"/>
      <c r="AC705" s="449"/>
      <c r="AD705" s="449"/>
      <c r="AE705" s="449"/>
      <c r="AF705" s="449"/>
      <c r="AG705" s="449"/>
      <c r="AH705" s="449"/>
      <c r="AI705" s="449"/>
      <c r="AJ705" s="449"/>
      <c r="AK705" s="452"/>
      <c r="AL705" s="104"/>
      <c r="AM705" s="32"/>
      <c r="AN705" s="32"/>
      <c r="AO705" s="32"/>
      <c r="AP705" s="32"/>
      <c r="AQ705" s="32"/>
      <c r="AR705" s="32"/>
      <c r="AS705" s="31"/>
      <c r="AT705" s="22"/>
      <c r="AU705" s="22"/>
      <c r="AV705" s="22"/>
      <c r="AW705" s="22"/>
      <c r="AX705" s="22"/>
      <c r="AY705" s="22"/>
      <c r="AZ705" s="22"/>
      <c r="BA705" s="22"/>
      <c r="BB705" s="22"/>
      <c r="BC705" s="22"/>
      <c r="BD705" s="22"/>
      <c r="BE705" s="22"/>
      <c r="BF705" s="22"/>
      <c r="BG705" s="22"/>
      <c r="BH705" s="22"/>
      <c r="BI705" s="22"/>
      <c r="BJ705" s="22"/>
      <c r="BK705" s="22"/>
      <c r="BL705" s="22"/>
      <c r="BM705" s="22"/>
      <c r="BN705" s="22"/>
      <c r="BO705" s="22"/>
      <c r="BP705" s="25"/>
      <c r="BQ705" s="25"/>
      <c r="BR705" s="25"/>
      <c r="BS705" s="25"/>
      <c r="BT705" s="25"/>
      <c r="BU705" s="25"/>
      <c r="BV705" s="25"/>
      <c r="BW705" s="25"/>
      <c r="BX705" s="25"/>
      <c r="BY705" s="25"/>
      <c r="BZ705" s="25"/>
      <c r="CA705" s="25"/>
      <c r="CB705" s="25"/>
      <c r="CC705" s="25"/>
      <c r="CD705" s="25"/>
      <c r="CE705" s="25"/>
      <c r="CF705" s="25"/>
      <c r="CG705" s="25"/>
      <c r="CH705" s="25"/>
      <c r="CI705" s="25"/>
      <c r="CJ705" s="25"/>
      <c r="CK705" s="25"/>
      <c r="CL705" s="25"/>
      <c r="CM705" s="25"/>
      <c r="CN705" s="25"/>
      <c r="CO705" s="25"/>
      <c r="CP705" s="25"/>
      <c r="CQ705" s="25"/>
      <c r="CR705" s="25"/>
      <c r="CS705" s="25"/>
      <c r="CT705" s="25"/>
      <c r="CU705" s="25"/>
      <c r="CV705" s="25"/>
      <c r="CW705" s="25"/>
      <c r="CX705" s="25"/>
      <c r="CY705" s="25"/>
      <c r="CZ705" s="25"/>
      <c r="DA705" s="25"/>
      <c r="DB705" s="25"/>
      <c r="DC705" s="25"/>
      <c r="DD705" s="25"/>
      <c r="DE705" s="25"/>
      <c r="DF705" s="25"/>
      <c r="DG705" s="25"/>
      <c r="DH705" s="25"/>
      <c r="DI705" s="25"/>
      <c r="DJ705" s="25"/>
      <c r="DK705" s="25"/>
      <c r="DL705" s="25"/>
      <c r="DM705" s="25"/>
      <c r="DN705" s="25"/>
      <c r="DO705" s="25"/>
      <c r="DP705" s="25"/>
      <c r="DQ705" s="25"/>
      <c r="DR705" s="25"/>
      <c r="DS705" s="25"/>
      <c r="DT705" s="25"/>
      <c r="DU705" s="25"/>
      <c r="DV705" s="25"/>
      <c r="DW705" s="25"/>
      <c r="DX705" s="25"/>
      <c r="DY705" s="25"/>
      <c r="DZ705" s="25"/>
      <c r="EA705" s="25"/>
      <c r="EB705" s="25"/>
      <c r="EC705" s="25"/>
      <c r="ED705" s="25"/>
      <c r="EE705" s="25"/>
      <c r="EF705" s="25"/>
      <c r="EG705" s="25"/>
      <c r="EH705" s="25"/>
      <c r="EI705" s="25"/>
      <c r="EJ705" s="25"/>
      <c r="EK705" s="25"/>
      <c r="EL705" s="25"/>
      <c r="EM705" s="25"/>
      <c r="EN705" s="25"/>
      <c r="EO705" s="25"/>
      <c r="EP705" s="25"/>
      <c r="EQ705" s="25"/>
      <c r="ER705" s="25"/>
      <c r="ES705" s="25"/>
      <c r="ET705" s="25"/>
      <c r="EU705" s="25"/>
      <c r="EV705" s="25"/>
      <c r="EW705" s="25"/>
      <c r="EX705" s="25"/>
      <c r="EY705" s="25"/>
      <c r="EZ705" s="25"/>
      <c r="FA705" s="25"/>
      <c r="FB705" s="25"/>
      <c r="FC705" s="25"/>
      <c r="FD705" s="25"/>
      <c r="FE705" s="25"/>
      <c r="FF705" s="25"/>
      <c r="FG705" s="25"/>
      <c r="FH705" s="25"/>
      <c r="FI705" s="25"/>
      <c r="FJ705" s="25"/>
      <c r="FK705" s="25"/>
      <c r="FL705" s="25"/>
      <c r="FM705" s="25"/>
      <c r="FN705" s="25"/>
      <c r="FO705" s="25"/>
      <c r="FP705" s="25"/>
      <c r="FQ705" s="25"/>
      <c r="FR705" s="25"/>
      <c r="FS705" s="25"/>
      <c r="FT705" s="25"/>
      <c r="FU705" s="25"/>
      <c r="FV705" s="25"/>
      <c r="FW705" s="25"/>
      <c r="FX705" s="25"/>
      <c r="FY705" s="25"/>
      <c r="FZ705" s="25"/>
      <c r="GA705" s="25"/>
      <c r="GB705" s="25"/>
      <c r="GC705" s="25"/>
      <c r="GD705" s="25"/>
      <c r="GE705" s="25"/>
      <c r="GF705" s="25"/>
      <c r="GG705" s="25"/>
      <c r="GH705" s="25"/>
      <c r="GI705" s="25"/>
      <c r="GJ705" s="25"/>
      <c r="GK705" s="25"/>
      <c r="GL705" s="25"/>
      <c r="GM705" s="25"/>
      <c r="GN705" s="25"/>
      <c r="GO705" s="25"/>
      <c r="GP705" s="25"/>
      <c r="GQ705" s="25"/>
      <c r="GR705" s="25"/>
      <c r="GS705" s="25"/>
      <c r="GT705" s="25"/>
      <c r="GU705" s="25"/>
      <c r="GV705" s="25"/>
      <c r="GW705" s="25"/>
      <c r="GX705" s="25"/>
      <c r="GY705" s="25"/>
      <c r="GZ705" s="25"/>
      <c r="HA705" s="25"/>
      <c r="HB705" s="25"/>
      <c r="HC705" s="25"/>
      <c r="HD705" s="25"/>
      <c r="HE705" s="25"/>
      <c r="HF705" s="25"/>
      <c r="HG705" s="25"/>
      <c r="HH705" s="25"/>
      <c r="HI705" s="25"/>
      <c r="HJ705" s="25"/>
      <c r="HK705" s="25"/>
      <c r="HL705" s="25"/>
      <c r="HM705" s="25"/>
      <c r="HN705" s="25"/>
      <c r="HO705" s="25"/>
      <c r="HP705" s="25"/>
      <c r="HQ705" s="25"/>
      <c r="HR705" s="25"/>
      <c r="HS705" s="25"/>
      <c r="HT705" s="25"/>
      <c r="HU705" s="25"/>
      <c r="HV705" s="25"/>
      <c r="HW705" s="25"/>
      <c r="HX705" s="25"/>
      <c r="HY705" s="25"/>
      <c r="HZ705" s="25"/>
      <c r="IA705" s="25"/>
      <c r="IB705" s="25"/>
      <c r="IC705" s="25"/>
      <c r="ID705" s="25"/>
      <c r="IE705" s="25"/>
      <c r="IF705" s="25"/>
      <c r="IG705" s="25"/>
      <c r="IH705" s="25"/>
      <c r="II705" s="25"/>
      <c r="IJ705" s="25"/>
      <c r="IK705" s="25"/>
      <c r="IL705" s="25"/>
      <c r="IM705" s="25"/>
      <c r="IN705" s="25"/>
      <c r="IO705" s="25"/>
      <c r="IP705" s="25"/>
      <c r="IQ705" s="25"/>
      <c r="IR705" s="25"/>
      <c r="IS705" s="25"/>
      <c r="IT705" s="25"/>
      <c r="IU705" s="25"/>
      <c r="IV705" s="25"/>
      <c r="IW705" s="25"/>
      <c r="IX705" s="25"/>
      <c r="IY705" s="25"/>
      <c r="IZ705" s="25"/>
      <c r="JA705" s="25"/>
      <c r="JB705" s="25"/>
      <c r="JC705" s="25"/>
      <c r="JD705" s="25"/>
      <c r="JE705" s="25"/>
      <c r="JF705" s="25"/>
      <c r="JG705" s="25"/>
      <c r="JH705" s="25"/>
      <c r="JI705" s="25"/>
      <c r="JJ705" s="25"/>
      <c r="JK705" s="25"/>
      <c r="JL705" s="25"/>
      <c r="JM705" s="25"/>
      <c r="JN705" s="25"/>
      <c r="JO705" s="25"/>
      <c r="JP705" s="25"/>
      <c r="JQ705" s="25"/>
      <c r="JR705" s="25"/>
      <c r="JS705" s="25"/>
      <c r="JT705" s="25"/>
      <c r="JU705" s="25"/>
      <c r="JV705" s="25"/>
      <c r="JW705" s="25"/>
      <c r="JX705" s="25"/>
      <c r="JY705" s="25"/>
      <c r="JZ705" s="25"/>
      <c r="KA705" s="25"/>
      <c r="KB705" s="25"/>
      <c r="KC705" s="25"/>
      <c r="KD705" s="25"/>
      <c r="KE705" s="25"/>
      <c r="KF705" s="25"/>
      <c r="KG705" s="25"/>
      <c r="KH705" s="25"/>
      <c r="KI705" s="25"/>
      <c r="KJ705" s="25"/>
      <c r="KK705" s="25"/>
      <c r="KL705" s="25"/>
      <c r="KM705" s="25"/>
      <c r="KN705" s="25"/>
      <c r="KO705" s="25"/>
      <c r="KP705" s="25"/>
      <c r="KQ705" s="25"/>
      <c r="KR705" s="25"/>
      <c r="KS705" s="25"/>
      <c r="KT705" s="25"/>
      <c r="KU705" s="25"/>
      <c r="KV705" s="25"/>
      <c r="KW705" s="25"/>
      <c r="KX705" s="25"/>
      <c r="KY705" s="25"/>
      <c r="KZ705" s="25"/>
      <c r="LA705" s="25"/>
      <c r="LB705" s="25"/>
      <c r="LC705" s="25"/>
      <c r="LD705" s="25"/>
      <c r="LE705" s="25"/>
      <c r="LF705" s="25"/>
      <c r="LG705" s="25"/>
      <c r="LH705" s="25"/>
      <c r="LI705" s="25"/>
      <c r="LJ705" s="25"/>
      <c r="LK705" s="25"/>
      <c r="LL705" s="25"/>
      <c r="LM705" s="25"/>
      <c r="LN705" s="25"/>
      <c r="LO705" s="25"/>
      <c r="LP705" s="25"/>
      <c r="LQ705" s="25"/>
      <c r="LR705" s="25"/>
      <c r="LS705" s="25"/>
      <c r="LT705" s="25"/>
      <c r="LU705" s="25"/>
      <c r="LV705" s="25"/>
      <c r="LW705" s="25"/>
      <c r="LX705" s="25"/>
      <c r="LY705" s="25"/>
      <c r="LZ705" s="25"/>
      <c r="MA705" s="25"/>
      <c r="MB705" s="25"/>
      <c r="MC705" s="25"/>
      <c r="MD705" s="25"/>
      <c r="ME705" s="25"/>
      <c r="MF705" s="25"/>
      <c r="MG705" s="25"/>
      <c r="MH705" s="25"/>
      <c r="MI705" s="25"/>
      <c r="MJ705" s="25"/>
      <c r="MK705" s="25"/>
      <c r="ML705" s="25"/>
      <c r="MM705" s="25"/>
      <c r="MN705" s="25"/>
      <c r="MO705" s="25"/>
      <c r="MP705" s="25"/>
      <c r="MQ705" s="25"/>
      <c r="MR705" s="25"/>
      <c r="MS705" s="25"/>
      <c r="MT705" s="25"/>
      <c r="MU705" s="25"/>
      <c r="MV705" s="25"/>
      <c r="MW705" s="25"/>
      <c r="MX705" s="25"/>
      <c r="MY705" s="25"/>
      <c r="MZ705" s="25"/>
      <c r="NA705" s="25"/>
      <c r="NB705" s="25"/>
      <c r="NC705" s="25"/>
      <c r="ND705" s="25"/>
      <c r="NE705" s="25"/>
      <c r="NF705" s="25"/>
      <c r="NG705" s="25"/>
      <c r="NH705" s="25"/>
      <c r="NI705" s="25"/>
      <c r="NJ705" s="25"/>
      <c r="NK705" s="25"/>
      <c r="NL705" s="25"/>
      <c r="NM705" s="25"/>
      <c r="NN705" s="25"/>
      <c r="NO705" s="25"/>
      <c r="NP705" s="25"/>
      <c r="NQ705" s="25"/>
      <c r="NR705" s="25"/>
      <c r="NS705" s="25"/>
      <c r="NT705" s="25"/>
      <c r="NU705" s="25"/>
      <c r="NV705" s="25"/>
      <c r="NW705" s="25"/>
      <c r="NX705" s="25"/>
      <c r="NY705" s="25"/>
      <c r="NZ705" s="25"/>
      <c r="OA705" s="25"/>
      <c r="OB705" s="25"/>
      <c r="OC705" s="25"/>
      <c r="OD705" s="25"/>
      <c r="OE705" s="25"/>
      <c r="OF705" s="25"/>
      <c r="OG705" s="25"/>
      <c r="OH705" s="25"/>
      <c r="OI705" s="25"/>
      <c r="OJ705" s="25"/>
      <c r="OK705" s="25"/>
      <c r="OL705" s="25"/>
      <c r="OM705" s="25"/>
      <c r="ON705" s="25"/>
      <c r="OO705" s="25"/>
      <c r="OP705" s="25"/>
      <c r="OQ705" s="25"/>
      <c r="OR705" s="25"/>
      <c r="OS705" s="25"/>
      <c r="OT705" s="25"/>
      <c r="OU705" s="25"/>
      <c r="OV705" s="25"/>
      <c r="OW705" s="25"/>
      <c r="OX705" s="25"/>
      <c r="OY705" s="25"/>
      <c r="OZ705" s="25"/>
      <c r="PA705" s="25"/>
      <c r="PB705" s="25"/>
      <c r="PC705" s="25"/>
      <c r="PD705" s="25"/>
      <c r="PE705" s="25"/>
      <c r="PF705" s="25"/>
      <c r="PG705" s="25"/>
      <c r="PH705" s="25"/>
      <c r="PI705" s="25"/>
      <c r="PJ705" s="25"/>
      <c r="PK705" s="25"/>
      <c r="PL705" s="25"/>
      <c r="PM705" s="25"/>
      <c r="PN705" s="25"/>
      <c r="PO705" s="25"/>
      <c r="PP705" s="25"/>
      <c r="PQ705" s="25"/>
      <c r="PR705" s="25"/>
      <c r="PS705" s="25"/>
      <c r="PT705" s="25"/>
      <c r="PU705" s="25"/>
      <c r="PV705" s="25"/>
      <c r="PW705" s="25"/>
      <c r="PX705" s="25"/>
      <c r="PY705" s="25"/>
      <c r="PZ705" s="25"/>
      <c r="QA705" s="25"/>
      <c r="QB705" s="25"/>
      <c r="QC705" s="25"/>
      <c r="QD705" s="25"/>
      <c r="QE705" s="25"/>
      <c r="QF705" s="25"/>
      <c r="QG705" s="25"/>
      <c r="QH705" s="25"/>
      <c r="QI705" s="25"/>
      <c r="QJ705" s="25"/>
      <c r="QK705" s="25"/>
      <c r="QL705" s="25"/>
      <c r="QM705" s="25"/>
      <c r="QN705" s="25"/>
      <c r="QO705" s="25"/>
      <c r="QP705" s="25"/>
      <c r="QQ705" s="25"/>
      <c r="QR705" s="25"/>
      <c r="QS705" s="25"/>
      <c r="QT705" s="25"/>
      <c r="QU705" s="25"/>
      <c r="QV705" s="25"/>
      <c r="QW705" s="25"/>
      <c r="QX705" s="25"/>
      <c r="QY705" s="25"/>
      <c r="QZ705" s="25"/>
      <c r="RA705" s="25"/>
      <c r="RB705" s="25"/>
      <c r="RC705" s="25"/>
      <c r="RD705" s="25"/>
      <c r="RE705" s="25"/>
      <c r="RF705" s="25"/>
      <c r="RG705" s="25"/>
      <c r="RH705" s="25"/>
      <c r="RI705" s="25"/>
      <c r="RJ705" s="25"/>
      <c r="RK705" s="25"/>
      <c r="RL705" s="25"/>
      <c r="RM705" s="25"/>
      <c r="RN705" s="25"/>
      <c r="RO705" s="25"/>
      <c r="RP705" s="25"/>
      <c r="RQ705" s="25"/>
      <c r="RR705" s="25"/>
      <c r="RS705" s="25"/>
      <c r="RT705" s="25"/>
      <c r="RU705" s="25"/>
      <c r="RV705" s="25"/>
      <c r="RW705" s="25"/>
      <c r="RX705" s="25"/>
      <c r="RY705" s="25"/>
      <c r="RZ705" s="25"/>
      <c r="SA705" s="25"/>
      <c r="SB705" s="25"/>
      <c r="SC705" s="25"/>
      <c r="SD705" s="25"/>
      <c r="SE705" s="25"/>
      <c r="SF705" s="25"/>
      <c r="SG705" s="25"/>
      <c r="SH705" s="25"/>
      <c r="SI705" s="25"/>
      <c r="SJ705" s="25"/>
      <c r="SK705" s="25"/>
      <c r="SL705" s="25"/>
      <c r="SM705" s="25"/>
      <c r="SN705" s="25"/>
      <c r="SO705" s="25"/>
      <c r="SP705" s="25"/>
      <c r="SQ705" s="25"/>
      <c r="SR705" s="25"/>
      <c r="SS705" s="25"/>
      <c r="ST705" s="25"/>
      <c r="SU705" s="25"/>
      <c r="SV705" s="25"/>
      <c r="SW705" s="25"/>
      <c r="SX705" s="25"/>
      <c r="SY705" s="25"/>
      <c r="SZ705" s="25"/>
      <c r="TA705" s="25"/>
      <c r="TB705" s="25"/>
      <c r="TC705" s="25"/>
      <c r="TD705" s="25"/>
      <c r="TE705" s="25"/>
      <c r="TF705" s="25"/>
      <c r="TG705" s="25"/>
      <c r="TH705" s="25"/>
      <c r="TI705" s="25"/>
      <c r="TJ705" s="25"/>
      <c r="TK705" s="25"/>
      <c r="TL705" s="25"/>
      <c r="TM705" s="25"/>
      <c r="TN705" s="25"/>
      <c r="TO705" s="25"/>
      <c r="TP705" s="25"/>
      <c r="TQ705" s="25"/>
      <c r="TR705" s="25"/>
      <c r="TS705" s="25"/>
      <c r="TT705" s="25"/>
      <c r="TU705" s="25"/>
      <c r="TV705" s="25"/>
      <c r="TW705" s="25"/>
      <c r="TX705" s="25"/>
      <c r="TY705" s="25"/>
      <c r="TZ705" s="25"/>
      <c r="UA705" s="25"/>
      <c r="UB705" s="25"/>
      <c r="UC705" s="25"/>
      <c r="UD705" s="25"/>
      <c r="UE705" s="25"/>
      <c r="UF705" s="25"/>
      <c r="UG705" s="26"/>
    </row>
    <row r="706" spans="1:553" ht="409.5" customHeight="1">
      <c r="A706" s="356"/>
      <c r="B706" s="385"/>
      <c r="C706" s="384" t="s">
        <v>23</v>
      </c>
      <c r="D706" s="376" t="s">
        <v>20</v>
      </c>
      <c r="E706" s="376">
        <v>293</v>
      </c>
      <c r="F706" s="385">
        <v>1</v>
      </c>
      <c r="G706" s="396" t="s">
        <v>33</v>
      </c>
      <c r="H706" s="387">
        <v>186.8</v>
      </c>
      <c r="I706" s="441">
        <v>186.8</v>
      </c>
      <c r="J706" s="368">
        <v>62000</v>
      </c>
      <c r="K706" s="391"/>
      <c r="L706" s="480">
        <f t="shared" si="110"/>
        <v>11581600</v>
      </c>
      <c r="M706" s="392"/>
      <c r="N706" s="392"/>
      <c r="O706" s="366"/>
      <c r="P706" s="366"/>
      <c r="Q706" s="1213" t="s">
        <v>504</v>
      </c>
      <c r="R706" s="1163" t="s">
        <v>931</v>
      </c>
      <c r="S706" s="308"/>
      <c r="T706" s="308"/>
      <c r="U706" s="308"/>
      <c r="V706" s="308"/>
      <c r="W706" s="307">
        <f>I706</f>
        <v>186.8</v>
      </c>
      <c r="X706" s="308"/>
      <c r="Y706" s="308"/>
      <c r="Z706" s="604"/>
      <c r="AA706" s="308"/>
      <c r="AB706" s="308"/>
      <c r="AC706" s="449"/>
      <c r="AD706" s="449"/>
      <c r="AE706" s="449"/>
      <c r="AF706" s="449"/>
      <c r="AG706" s="449"/>
      <c r="AH706" s="449"/>
      <c r="AI706" s="449"/>
      <c r="AJ706" s="449"/>
      <c r="AK706" s="452"/>
      <c r="AL706" s="104"/>
      <c r="AM706" s="32"/>
      <c r="AN706" s="32"/>
      <c r="AO706" s="32"/>
      <c r="AP706" s="32"/>
      <c r="AQ706" s="32"/>
      <c r="AR706" s="32"/>
      <c r="AS706" s="31"/>
      <c r="AT706" s="22"/>
      <c r="AU706" s="22"/>
      <c r="AV706" s="22"/>
      <c r="AW706" s="22"/>
      <c r="AX706" s="22"/>
      <c r="AY706" s="22"/>
      <c r="AZ706" s="22"/>
      <c r="BA706" s="22"/>
      <c r="BB706" s="22"/>
      <c r="BC706" s="22"/>
      <c r="BD706" s="22"/>
      <c r="BE706" s="22"/>
      <c r="BF706" s="22"/>
      <c r="BG706" s="22"/>
      <c r="BH706" s="22"/>
      <c r="BI706" s="22"/>
      <c r="BJ706" s="22"/>
      <c r="BK706" s="22"/>
      <c r="BL706" s="22"/>
      <c r="BM706" s="22"/>
      <c r="BN706" s="22"/>
      <c r="BO706" s="22"/>
      <c r="BP706" s="25"/>
      <c r="BQ706" s="25"/>
      <c r="BR706" s="25"/>
      <c r="BS706" s="25"/>
      <c r="BT706" s="25"/>
      <c r="BU706" s="25"/>
      <c r="BV706" s="25"/>
      <c r="BW706" s="25"/>
      <c r="BX706" s="25"/>
      <c r="BY706" s="25"/>
      <c r="BZ706" s="25"/>
      <c r="CA706" s="25"/>
      <c r="CB706" s="25"/>
      <c r="CC706" s="25"/>
      <c r="CD706" s="25"/>
      <c r="CE706" s="25"/>
      <c r="CF706" s="25"/>
      <c r="CG706" s="25"/>
      <c r="CH706" s="25"/>
      <c r="CI706" s="25"/>
      <c r="CJ706" s="25"/>
      <c r="CK706" s="25"/>
      <c r="CL706" s="25"/>
      <c r="CM706" s="25"/>
      <c r="CN706" s="25"/>
      <c r="CO706" s="25"/>
      <c r="CP706" s="25"/>
      <c r="CQ706" s="25"/>
      <c r="CR706" s="25"/>
      <c r="CS706" s="25"/>
      <c r="CT706" s="25"/>
      <c r="CU706" s="25"/>
      <c r="CV706" s="25"/>
      <c r="CW706" s="25"/>
      <c r="CX706" s="25"/>
      <c r="CY706" s="25"/>
      <c r="CZ706" s="25"/>
      <c r="DA706" s="25"/>
      <c r="DB706" s="25"/>
      <c r="DC706" s="25"/>
      <c r="DD706" s="25"/>
      <c r="DE706" s="25"/>
      <c r="DF706" s="25"/>
      <c r="DG706" s="25"/>
      <c r="DH706" s="25"/>
      <c r="DI706" s="25"/>
      <c r="DJ706" s="25"/>
      <c r="DK706" s="25"/>
      <c r="DL706" s="25"/>
      <c r="DM706" s="25"/>
      <c r="DN706" s="25"/>
      <c r="DO706" s="25"/>
      <c r="DP706" s="25"/>
      <c r="DQ706" s="25"/>
      <c r="DR706" s="25"/>
      <c r="DS706" s="25"/>
      <c r="DT706" s="25"/>
      <c r="DU706" s="25"/>
      <c r="DV706" s="25"/>
      <c r="DW706" s="25"/>
      <c r="DX706" s="25"/>
      <c r="DY706" s="25"/>
      <c r="DZ706" s="25"/>
      <c r="EA706" s="25"/>
      <c r="EB706" s="25"/>
      <c r="EC706" s="25"/>
      <c r="ED706" s="25"/>
      <c r="EE706" s="25"/>
      <c r="EF706" s="25"/>
      <c r="EG706" s="25"/>
      <c r="EH706" s="25"/>
      <c r="EI706" s="25"/>
      <c r="EJ706" s="25"/>
      <c r="EK706" s="25"/>
      <c r="EL706" s="25"/>
      <c r="EM706" s="25"/>
      <c r="EN706" s="25"/>
      <c r="EO706" s="25"/>
      <c r="EP706" s="25"/>
      <c r="EQ706" s="25"/>
      <c r="ER706" s="25"/>
      <c r="ES706" s="25"/>
      <c r="ET706" s="25"/>
      <c r="EU706" s="25"/>
      <c r="EV706" s="25"/>
      <c r="EW706" s="25"/>
      <c r="EX706" s="25"/>
      <c r="EY706" s="25"/>
      <c r="EZ706" s="25"/>
      <c r="FA706" s="25"/>
      <c r="FB706" s="25"/>
      <c r="FC706" s="25"/>
      <c r="FD706" s="25"/>
      <c r="FE706" s="25"/>
      <c r="FF706" s="25"/>
      <c r="FG706" s="25"/>
      <c r="FH706" s="25"/>
      <c r="FI706" s="25"/>
      <c r="FJ706" s="25"/>
      <c r="FK706" s="25"/>
      <c r="FL706" s="25"/>
      <c r="FM706" s="25"/>
      <c r="FN706" s="25"/>
      <c r="FO706" s="25"/>
      <c r="FP706" s="25"/>
      <c r="FQ706" s="25"/>
      <c r="FR706" s="25"/>
      <c r="FS706" s="25"/>
      <c r="FT706" s="25"/>
      <c r="FU706" s="25"/>
      <c r="FV706" s="25"/>
      <c r="FW706" s="25"/>
      <c r="FX706" s="25"/>
      <c r="FY706" s="25"/>
      <c r="FZ706" s="25"/>
      <c r="GA706" s="25"/>
      <c r="GB706" s="25"/>
      <c r="GC706" s="25"/>
      <c r="GD706" s="25"/>
      <c r="GE706" s="25"/>
      <c r="GF706" s="25"/>
      <c r="GG706" s="25"/>
      <c r="GH706" s="25"/>
      <c r="GI706" s="25"/>
      <c r="GJ706" s="25"/>
      <c r="GK706" s="25"/>
      <c r="GL706" s="25"/>
      <c r="GM706" s="25"/>
      <c r="GN706" s="25"/>
      <c r="GO706" s="25"/>
      <c r="GP706" s="25"/>
      <c r="GQ706" s="25"/>
      <c r="GR706" s="25"/>
      <c r="GS706" s="25"/>
      <c r="GT706" s="25"/>
      <c r="GU706" s="25"/>
      <c r="GV706" s="25"/>
      <c r="GW706" s="25"/>
      <c r="GX706" s="25"/>
      <c r="GY706" s="25"/>
      <c r="GZ706" s="25"/>
      <c r="HA706" s="25"/>
      <c r="HB706" s="25"/>
      <c r="HC706" s="25"/>
      <c r="HD706" s="25"/>
      <c r="HE706" s="25"/>
      <c r="HF706" s="25"/>
      <c r="HG706" s="25"/>
      <c r="HH706" s="25"/>
      <c r="HI706" s="25"/>
      <c r="HJ706" s="25"/>
      <c r="HK706" s="25"/>
      <c r="HL706" s="25"/>
      <c r="HM706" s="25"/>
      <c r="HN706" s="25"/>
      <c r="HO706" s="25"/>
      <c r="HP706" s="25"/>
      <c r="HQ706" s="25"/>
      <c r="HR706" s="25"/>
      <c r="HS706" s="25"/>
      <c r="HT706" s="25"/>
      <c r="HU706" s="25"/>
      <c r="HV706" s="25"/>
      <c r="HW706" s="25"/>
      <c r="HX706" s="25"/>
      <c r="HY706" s="25"/>
      <c r="HZ706" s="25"/>
      <c r="IA706" s="25"/>
      <c r="IB706" s="25"/>
      <c r="IC706" s="25"/>
      <c r="ID706" s="25"/>
      <c r="IE706" s="25"/>
      <c r="IF706" s="25"/>
      <c r="IG706" s="25"/>
      <c r="IH706" s="25"/>
      <c r="II706" s="25"/>
      <c r="IJ706" s="25"/>
      <c r="IK706" s="25"/>
      <c r="IL706" s="25"/>
      <c r="IM706" s="25"/>
      <c r="IN706" s="25"/>
      <c r="IO706" s="25"/>
      <c r="IP706" s="25"/>
      <c r="IQ706" s="25"/>
      <c r="IR706" s="25"/>
      <c r="IS706" s="25"/>
      <c r="IT706" s="25"/>
      <c r="IU706" s="25"/>
      <c r="IV706" s="25"/>
      <c r="IW706" s="25"/>
      <c r="IX706" s="25"/>
      <c r="IY706" s="25"/>
      <c r="IZ706" s="25"/>
      <c r="JA706" s="25"/>
      <c r="JB706" s="25"/>
      <c r="JC706" s="25"/>
      <c r="JD706" s="25"/>
      <c r="JE706" s="25"/>
      <c r="JF706" s="25"/>
      <c r="JG706" s="25"/>
      <c r="JH706" s="25"/>
      <c r="JI706" s="25"/>
      <c r="JJ706" s="25"/>
      <c r="JK706" s="25"/>
      <c r="JL706" s="25"/>
      <c r="JM706" s="25"/>
      <c r="JN706" s="25"/>
      <c r="JO706" s="25"/>
      <c r="JP706" s="25"/>
      <c r="JQ706" s="25"/>
      <c r="JR706" s="25"/>
      <c r="JS706" s="25"/>
      <c r="JT706" s="25"/>
      <c r="JU706" s="25"/>
      <c r="JV706" s="25"/>
      <c r="JW706" s="25"/>
      <c r="JX706" s="25"/>
      <c r="JY706" s="25"/>
      <c r="JZ706" s="25"/>
      <c r="KA706" s="25"/>
      <c r="KB706" s="25"/>
      <c r="KC706" s="25"/>
      <c r="KD706" s="25"/>
      <c r="KE706" s="25"/>
      <c r="KF706" s="25"/>
      <c r="KG706" s="25"/>
      <c r="KH706" s="25"/>
      <c r="KI706" s="25"/>
      <c r="KJ706" s="25"/>
      <c r="KK706" s="25"/>
      <c r="KL706" s="25"/>
      <c r="KM706" s="25"/>
      <c r="KN706" s="25"/>
      <c r="KO706" s="25"/>
      <c r="KP706" s="25"/>
      <c r="KQ706" s="25"/>
      <c r="KR706" s="25"/>
      <c r="KS706" s="25"/>
      <c r="KT706" s="25"/>
      <c r="KU706" s="25"/>
      <c r="KV706" s="25"/>
      <c r="KW706" s="25"/>
      <c r="KX706" s="25"/>
      <c r="KY706" s="25"/>
      <c r="KZ706" s="25"/>
      <c r="LA706" s="25"/>
      <c r="LB706" s="25"/>
      <c r="LC706" s="25"/>
      <c r="LD706" s="25"/>
      <c r="LE706" s="25"/>
      <c r="LF706" s="25"/>
      <c r="LG706" s="25"/>
      <c r="LH706" s="25"/>
      <c r="LI706" s="25"/>
      <c r="LJ706" s="25"/>
      <c r="LK706" s="25"/>
      <c r="LL706" s="25"/>
      <c r="LM706" s="25"/>
      <c r="LN706" s="25"/>
      <c r="LO706" s="25"/>
      <c r="LP706" s="25"/>
      <c r="LQ706" s="25"/>
      <c r="LR706" s="25"/>
      <c r="LS706" s="25"/>
      <c r="LT706" s="25"/>
      <c r="LU706" s="25"/>
      <c r="LV706" s="25"/>
      <c r="LW706" s="25"/>
      <c r="LX706" s="25"/>
      <c r="LY706" s="25"/>
      <c r="LZ706" s="25"/>
      <c r="MA706" s="25"/>
      <c r="MB706" s="25"/>
      <c r="MC706" s="25"/>
      <c r="MD706" s="25"/>
      <c r="ME706" s="25"/>
      <c r="MF706" s="25"/>
      <c r="MG706" s="25"/>
      <c r="MH706" s="25"/>
      <c r="MI706" s="25"/>
      <c r="MJ706" s="25"/>
      <c r="MK706" s="25"/>
      <c r="ML706" s="25"/>
      <c r="MM706" s="25"/>
      <c r="MN706" s="25"/>
      <c r="MO706" s="25"/>
      <c r="MP706" s="25"/>
      <c r="MQ706" s="25"/>
      <c r="MR706" s="25"/>
      <c r="MS706" s="25"/>
      <c r="MT706" s="25"/>
      <c r="MU706" s="25"/>
      <c r="MV706" s="25"/>
      <c r="MW706" s="25"/>
      <c r="MX706" s="25"/>
      <c r="MY706" s="25"/>
      <c r="MZ706" s="25"/>
      <c r="NA706" s="25"/>
      <c r="NB706" s="25"/>
      <c r="NC706" s="25"/>
      <c r="ND706" s="25"/>
      <c r="NE706" s="25"/>
      <c r="NF706" s="25"/>
      <c r="NG706" s="25"/>
      <c r="NH706" s="25"/>
      <c r="NI706" s="25"/>
      <c r="NJ706" s="25"/>
      <c r="NK706" s="25"/>
      <c r="NL706" s="25"/>
      <c r="NM706" s="25"/>
      <c r="NN706" s="25"/>
      <c r="NO706" s="25"/>
      <c r="NP706" s="25"/>
      <c r="NQ706" s="25"/>
      <c r="NR706" s="25"/>
      <c r="NS706" s="25"/>
      <c r="NT706" s="25"/>
      <c r="NU706" s="25"/>
      <c r="NV706" s="25"/>
      <c r="NW706" s="25"/>
      <c r="NX706" s="25"/>
      <c r="NY706" s="25"/>
      <c r="NZ706" s="25"/>
      <c r="OA706" s="25"/>
      <c r="OB706" s="25"/>
      <c r="OC706" s="25"/>
      <c r="OD706" s="25"/>
      <c r="OE706" s="25"/>
      <c r="OF706" s="25"/>
      <c r="OG706" s="25"/>
      <c r="OH706" s="25"/>
      <c r="OI706" s="25"/>
      <c r="OJ706" s="25"/>
      <c r="OK706" s="25"/>
      <c r="OL706" s="25"/>
      <c r="OM706" s="25"/>
      <c r="ON706" s="25"/>
      <c r="OO706" s="25"/>
      <c r="OP706" s="25"/>
      <c r="OQ706" s="25"/>
      <c r="OR706" s="25"/>
      <c r="OS706" s="25"/>
      <c r="OT706" s="25"/>
      <c r="OU706" s="25"/>
      <c r="OV706" s="25"/>
      <c r="OW706" s="25"/>
      <c r="OX706" s="25"/>
      <c r="OY706" s="25"/>
      <c r="OZ706" s="25"/>
      <c r="PA706" s="25"/>
      <c r="PB706" s="25"/>
      <c r="PC706" s="25"/>
      <c r="PD706" s="25"/>
      <c r="PE706" s="25"/>
      <c r="PF706" s="25"/>
      <c r="PG706" s="25"/>
      <c r="PH706" s="25"/>
      <c r="PI706" s="25"/>
      <c r="PJ706" s="25"/>
      <c r="PK706" s="25"/>
      <c r="PL706" s="25"/>
      <c r="PM706" s="25"/>
      <c r="PN706" s="25"/>
      <c r="PO706" s="25"/>
      <c r="PP706" s="25"/>
      <c r="PQ706" s="25"/>
      <c r="PR706" s="25"/>
      <c r="PS706" s="25"/>
      <c r="PT706" s="25"/>
      <c r="PU706" s="25"/>
      <c r="PV706" s="25"/>
      <c r="PW706" s="25"/>
      <c r="PX706" s="25"/>
      <c r="PY706" s="25"/>
      <c r="PZ706" s="25"/>
      <c r="QA706" s="25"/>
      <c r="QB706" s="25"/>
      <c r="QC706" s="25"/>
      <c r="QD706" s="25"/>
      <c r="QE706" s="25"/>
      <c r="QF706" s="25"/>
      <c r="QG706" s="25"/>
      <c r="QH706" s="25"/>
      <c r="QI706" s="25"/>
      <c r="QJ706" s="25"/>
      <c r="QK706" s="25"/>
      <c r="QL706" s="25"/>
      <c r="QM706" s="25"/>
      <c r="QN706" s="25"/>
      <c r="QO706" s="25"/>
      <c r="QP706" s="25"/>
      <c r="QQ706" s="25"/>
      <c r="QR706" s="25"/>
      <c r="QS706" s="25"/>
      <c r="QT706" s="25"/>
      <c r="QU706" s="25"/>
      <c r="QV706" s="25"/>
      <c r="QW706" s="25"/>
      <c r="QX706" s="25"/>
      <c r="QY706" s="25"/>
      <c r="QZ706" s="25"/>
      <c r="RA706" s="25"/>
      <c r="RB706" s="25"/>
      <c r="RC706" s="25"/>
      <c r="RD706" s="25"/>
      <c r="RE706" s="25"/>
      <c r="RF706" s="25"/>
      <c r="RG706" s="25"/>
      <c r="RH706" s="25"/>
      <c r="RI706" s="25"/>
      <c r="RJ706" s="25"/>
      <c r="RK706" s="25"/>
      <c r="RL706" s="25"/>
      <c r="RM706" s="25"/>
      <c r="RN706" s="25"/>
      <c r="RO706" s="25"/>
      <c r="RP706" s="25"/>
      <c r="RQ706" s="25"/>
      <c r="RR706" s="25"/>
      <c r="RS706" s="25"/>
      <c r="RT706" s="25"/>
      <c r="RU706" s="25"/>
      <c r="RV706" s="25"/>
      <c r="RW706" s="25"/>
      <c r="RX706" s="25"/>
      <c r="RY706" s="25"/>
      <c r="RZ706" s="25"/>
      <c r="SA706" s="25"/>
      <c r="SB706" s="25"/>
      <c r="SC706" s="25"/>
      <c r="SD706" s="25"/>
      <c r="SE706" s="25"/>
      <c r="SF706" s="25"/>
      <c r="SG706" s="25"/>
      <c r="SH706" s="25"/>
      <c r="SI706" s="25"/>
      <c r="SJ706" s="25"/>
      <c r="SK706" s="25"/>
      <c r="SL706" s="25"/>
      <c r="SM706" s="25"/>
      <c r="SN706" s="25"/>
      <c r="SO706" s="25"/>
      <c r="SP706" s="25"/>
      <c r="SQ706" s="25"/>
      <c r="SR706" s="25"/>
      <c r="SS706" s="25"/>
      <c r="ST706" s="25"/>
      <c r="SU706" s="25"/>
      <c r="SV706" s="25"/>
      <c r="SW706" s="25"/>
      <c r="SX706" s="25"/>
      <c r="SY706" s="25"/>
      <c r="SZ706" s="25"/>
      <c r="TA706" s="25"/>
      <c r="TB706" s="25"/>
      <c r="TC706" s="25"/>
      <c r="TD706" s="25"/>
      <c r="TE706" s="25"/>
      <c r="TF706" s="25"/>
      <c r="TG706" s="25"/>
      <c r="TH706" s="25"/>
      <c r="TI706" s="25"/>
      <c r="TJ706" s="25"/>
      <c r="TK706" s="25"/>
      <c r="TL706" s="25"/>
      <c r="TM706" s="25"/>
      <c r="TN706" s="25"/>
      <c r="TO706" s="25"/>
      <c r="TP706" s="25"/>
      <c r="TQ706" s="25"/>
      <c r="TR706" s="25"/>
      <c r="TS706" s="25"/>
      <c r="TT706" s="25"/>
      <c r="TU706" s="25"/>
      <c r="TV706" s="25"/>
      <c r="TW706" s="25"/>
      <c r="TX706" s="25"/>
      <c r="TY706" s="25"/>
      <c r="TZ706" s="25"/>
      <c r="UA706" s="25"/>
      <c r="UB706" s="25"/>
      <c r="UC706" s="25"/>
      <c r="UD706" s="25"/>
      <c r="UE706" s="25"/>
      <c r="UF706" s="25"/>
      <c r="UG706" s="26"/>
    </row>
    <row r="707" spans="1:553" ht="166.5" customHeight="1">
      <c r="A707" s="356"/>
      <c r="B707" s="385"/>
      <c r="C707" s="384" t="s">
        <v>23</v>
      </c>
      <c r="D707" s="376" t="s">
        <v>20</v>
      </c>
      <c r="E707" s="376" t="s">
        <v>505</v>
      </c>
      <c r="F707" s="385">
        <v>1</v>
      </c>
      <c r="G707" s="396" t="s">
        <v>33</v>
      </c>
      <c r="H707" s="387">
        <v>55.5</v>
      </c>
      <c r="I707" s="490">
        <v>55.5</v>
      </c>
      <c r="J707" s="368">
        <v>62000</v>
      </c>
      <c r="K707" s="391"/>
      <c r="L707" s="480">
        <f t="shared" si="110"/>
        <v>3441000</v>
      </c>
      <c r="M707" s="392"/>
      <c r="N707" s="392"/>
      <c r="O707" s="366"/>
      <c r="P707" s="366"/>
      <c r="Q707" s="1213" t="s">
        <v>491</v>
      </c>
      <c r="R707" s="1163" t="s">
        <v>931</v>
      </c>
      <c r="S707" s="308"/>
      <c r="T707" s="308"/>
      <c r="U707" s="308"/>
      <c r="V707" s="308"/>
      <c r="W707" s="685">
        <f>I707</f>
        <v>55.5</v>
      </c>
      <c r="X707" s="308"/>
      <c r="Y707" s="308"/>
      <c r="Z707" s="604"/>
      <c r="AA707" s="308"/>
      <c r="AB707" s="308"/>
      <c r="AC707" s="449"/>
      <c r="AD707" s="449"/>
      <c r="AE707" s="449"/>
      <c r="AF707" s="449"/>
      <c r="AG707" s="449"/>
      <c r="AH707" s="449"/>
      <c r="AI707" s="449"/>
      <c r="AJ707" s="449"/>
      <c r="AK707" s="452"/>
      <c r="AL707" s="104"/>
      <c r="AM707" s="32"/>
      <c r="AN707" s="32"/>
      <c r="AO707" s="32"/>
      <c r="AP707" s="32"/>
      <c r="AQ707" s="32"/>
      <c r="AR707" s="32"/>
      <c r="AS707" s="31"/>
      <c r="AT707" s="22"/>
      <c r="AU707" s="22"/>
      <c r="AV707" s="22"/>
      <c r="AW707" s="22"/>
      <c r="AX707" s="22"/>
      <c r="AY707" s="22"/>
      <c r="AZ707" s="22"/>
      <c r="BA707" s="22"/>
      <c r="BB707" s="22"/>
      <c r="BC707" s="22"/>
      <c r="BD707" s="22"/>
      <c r="BE707" s="22"/>
      <c r="BF707" s="22"/>
      <c r="BG707" s="22"/>
      <c r="BH707" s="22"/>
      <c r="BI707" s="22"/>
      <c r="BJ707" s="22"/>
      <c r="BK707" s="22"/>
      <c r="BL707" s="22"/>
      <c r="BM707" s="22"/>
      <c r="BN707" s="22"/>
      <c r="BO707" s="22"/>
      <c r="BP707" s="25"/>
      <c r="BQ707" s="25"/>
      <c r="BR707" s="25"/>
      <c r="BS707" s="25"/>
      <c r="BT707" s="25"/>
      <c r="BU707" s="25"/>
      <c r="BV707" s="25"/>
      <c r="BW707" s="25"/>
      <c r="BX707" s="25"/>
      <c r="BY707" s="25"/>
      <c r="BZ707" s="25"/>
      <c r="CA707" s="25"/>
      <c r="CB707" s="25"/>
      <c r="CC707" s="25"/>
      <c r="CD707" s="25"/>
      <c r="CE707" s="25"/>
      <c r="CF707" s="25"/>
      <c r="CG707" s="25"/>
      <c r="CH707" s="25"/>
      <c r="CI707" s="25"/>
      <c r="CJ707" s="25"/>
      <c r="CK707" s="25"/>
      <c r="CL707" s="25"/>
      <c r="CM707" s="25"/>
      <c r="CN707" s="25"/>
      <c r="CO707" s="25"/>
      <c r="CP707" s="25"/>
      <c r="CQ707" s="25"/>
      <c r="CR707" s="25"/>
      <c r="CS707" s="25"/>
      <c r="CT707" s="25"/>
      <c r="CU707" s="25"/>
      <c r="CV707" s="25"/>
      <c r="CW707" s="25"/>
      <c r="CX707" s="25"/>
      <c r="CY707" s="25"/>
      <c r="CZ707" s="25"/>
      <c r="DA707" s="25"/>
      <c r="DB707" s="25"/>
      <c r="DC707" s="25"/>
      <c r="DD707" s="25"/>
      <c r="DE707" s="25"/>
      <c r="DF707" s="25"/>
      <c r="DG707" s="25"/>
      <c r="DH707" s="25"/>
      <c r="DI707" s="25"/>
      <c r="DJ707" s="25"/>
      <c r="DK707" s="25"/>
      <c r="DL707" s="25"/>
      <c r="DM707" s="25"/>
      <c r="DN707" s="25"/>
      <c r="DO707" s="25"/>
      <c r="DP707" s="25"/>
      <c r="DQ707" s="25"/>
      <c r="DR707" s="25"/>
      <c r="DS707" s="25"/>
      <c r="DT707" s="25"/>
      <c r="DU707" s="25"/>
      <c r="DV707" s="25"/>
      <c r="DW707" s="25"/>
      <c r="DX707" s="25"/>
      <c r="DY707" s="25"/>
      <c r="DZ707" s="25"/>
      <c r="EA707" s="25"/>
      <c r="EB707" s="25"/>
      <c r="EC707" s="25"/>
      <c r="ED707" s="25"/>
      <c r="EE707" s="25"/>
      <c r="EF707" s="25"/>
      <c r="EG707" s="25"/>
      <c r="EH707" s="25"/>
      <c r="EI707" s="25"/>
      <c r="EJ707" s="25"/>
      <c r="EK707" s="25"/>
      <c r="EL707" s="25"/>
      <c r="EM707" s="25"/>
      <c r="EN707" s="25"/>
      <c r="EO707" s="25"/>
      <c r="EP707" s="25"/>
      <c r="EQ707" s="25"/>
      <c r="ER707" s="25"/>
      <c r="ES707" s="25"/>
      <c r="ET707" s="25"/>
      <c r="EU707" s="25"/>
      <c r="EV707" s="25"/>
      <c r="EW707" s="25"/>
      <c r="EX707" s="25"/>
      <c r="EY707" s="25"/>
      <c r="EZ707" s="25"/>
      <c r="FA707" s="25"/>
      <c r="FB707" s="25"/>
      <c r="FC707" s="25"/>
      <c r="FD707" s="25"/>
      <c r="FE707" s="25"/>
      <c r="FF707" s="25"/>
      <c r="FG707" s="25"/>
      <c r="FH707" s="25"/>
      <c r="FI707" s="25"/>
      <c r="FJ707" s="25"/>
      <c r="FK707" s="25"/>
      <c r="FL707" s="25"/>
      <c r="FM707" s="25"/>
      <c r="FN707" s="25"/>
      <c r="FO707" s="25"/>
      <c r="FP707" s="25"/>
      <c r="FQ707" s="25"/>
      <c r="FR707" s="25"/>
      <c r="FS707" s="25"/>
      <c r="FT707" s="25"/>
      <c r="FU707" s="25"/>
      <c r="FV707" s="25"/>
      <c r="FW707" s="25"/>
      <c r="FX707" s="25"/>
      <c r="FY707" s="25"/>
      <c r="FZ707" s="25"/>
      <c r="GA707" s="25"/>
      <c r="GB707" s="25"/>
      <c r="GC707" s="25"/>
      <c r="GD707" s="25"/>
      <c r="GE707" s="25"/>
      <c r="GF707" s="25"/>
      <c r="GG707" s="25"/>
      <c r="GH707" s="25"/>
      <c r="GI707" s="25"/>
      <c r="GJ707" s="25"/>
      <c r="GK707" s="25"/>
      <c r="GL707" s="25"/>
      <c r="GM707" s="25"/>
      <c r="GN707" s="25"/>
      <c r="GO707" s="25"/>
      <c r="GP707" s="25"/>
      <c r="GQ707" s="25"/>
      <c r="GR707" s="25"/>
      <c r="GS707" s="25"/>
      <c r="GT707" s="25"/>
      <c r="GU707" s="25"/>
      <c r="GV707" s="25"/>
      <c r="GW707" s="25"/>
      <c r="GX707" s="25"/>
      <c r="GY707" s="25"/>
      <c r="GZ707" s="25"/>
      <c r="HA707" s="25"/>
      <c r="HB707" s="25"/>
      <c r="HC707" s="25"/>
      <c r="HD707" s="25"/>
      <c r="HE707" s="25"/>
      <c r="HF707" s="25"/>
      <c r="HG707" s="25"/>
      <c r="HH707" s="25"/>
      <c r="HI707" s="25"/>
      <c r="HJ707" s="25"/>
      <c r="HK707" s="25"/>
      <c r="HL707" s="25"/>
      <c r="HM707" s="25"/>
      <c r="HN707" s="25"/>
      <c r="HO707" s="25"/>
      <c r="HP707" s="25"/>
      <c r="HQ707" s="25"/>
      <c r="HR707" s="25"/>
      <c r="HS707" s="25"/>
      <c r="HT707" s="25"/>
      <c r="HU707" s="25"/>
      <c r="HV707" s="25"/>
      <c r="HW707" s="25"/>
      <c r="HX707" s="25"/>
      <c r="HY707" s="25"/>
      <c r="HZ707" s="25"/>
      <c r="IA707" s="25"/>
      <c r="IB707" s="25"/>
      <c r="IC707" s="25"/>
      <c r="ID707" s="25"/>
      <c r="IE707" s="25"/>
      <c r="IF707" s="25"/>
      <c r="IG707" s="25"/>
      <c r="IH707" s="25"/>
      <c r="II707" s="25"/>
      <c r="IJ707" s="25"/>
      <c r="IK707" s="25"/>
      <c r="IL707" s="25"/>
      <c r="IM707" s="25"/>
      <c r="IN707" s="25"/>
      <c r="IO707" s="25"/>
      <c r="IP707" s="25"/>
      <c r="IQ707" s="25"/>
      <c r="IR707" s="25"/>
      <c r="IS707" s="25"/>
      <c r="IT707" s="25"/>
      <c r="IU707" s="25"/>
      <c r="IV707" s="25"/>
      <c r="IW707" s="25"/>
      <c r="IX707" s="25"/>
      <c r="IY707" s="25"/>
      <c r="IZ707" s="25"/>
      <c r="JA707" s="25"/>
      <c r="JB707" s="25"/>
      <c r="JC707" s="25"/>
      <c r="JD707" s="25"/>
      <c r="JE707" s="25"/>
      <c r="JF707" s="25"/>
      <c r="JG707" s="25"/>
      <c r="JH707" s="25"/>
      <c r="JI707" s="25"/>
      <c r="JJ707" s="25"/>
      <c r="JK707" s="25"/>
      <c r="JL707" s="25"/>
      <c r="JM707" s="25"/>
      <c r="JN707" s="25"/>
      <c r="JO707" s="25"/>
      <c r="JP707" s="25"/>
      <c r="JQ707" s="25"/>
      <c r="JR707" s="25"/>
      <c r="JS707" s="25"/>
      <c r="JT707" s="25"/>
      <c r="JU707" s="25"/>
      <c r="JV707" s="25"/>
      <c r="JW707" s="25"/>
      <c r="JX707" s="25"/>
      <c r="JY707" s="25"/>
      <c r="JZ707" s="25"/>
      <c r="KA707" s="25"/>
      <c r="KB707" s="25"/>
      <c r="KC707" s="25"/>
      <c r="KD707" s="25"/>
      <c r="KE707" s="25"/>
      <c r="KF707" s="25"/>
      <c r="KG707" s="25"/>
      <c r="KH707" s="25"/>
      <c r="KI707" s="25"/>
      <c r="KJ707" s="25"/>
      <c r="KK707" s="25"/>
      <c r="KL707" s="25"/>
      <c r="KM707" s="25"/>
      <c r="KN707" s="25"/>
      <c r="KO707" s="25"/>
      <c r="KP707" s="25"/>
      <c r="KQ707" s="25"/>
      <c r="KR707" s="25"/>
      <c r="KS707" s="25"/>
      <c r="KT707" s="25"/>
      <c r="KU707" s="25"/>
      <c r="KV707" s="25"/>
      <c r="KW707" s="25"/>
      <c r="KX707" s="25"/>
      <c r="KY707" s="25"/>
      <c r="KZ707" s="25"/>
      <c r="LA707" s="25"/>
      <c r="LB707" s="25"/>
      <c r="LC707" s="25"/>
      <c r="LD707" s="25"/>
      <c r="LE707" s="25"/>
      <c r="LF707" s="25"/>
      <c r="LG707" s="25"/>
      <c r="LH707" s="25"/>
      <c r="LI707" s="25"/>
      <c r="LJ707" s="25"/>
      <c r="LK707" s="25"/>
      <c r="LL707" s="25"/>
      <c r="LM707" s="25"/>
      <c r="LN707" s="25"/>
      <c r="LO707" s="25"/>
      <c r="LP707" s="25"/>
      <c r="LQ707" s="25"/>
      <c r="LR707" s="25"/>
      <c r="LS707" s="25"/>
      <c r="LT707" s="25"/>
      <c r="LU707" s="25"/>
      <c r="LV707" s="25"/>
      <c r="LW707" s="25"/>
      <c r="LX707" s="25"/>
      <c r="LY707" s="25"/>
      <c r="LZ707" s="25"/>
      <c r="MA707" s="25"/>
      <c r="MB707" s="25"/>
      <c r="MC707" s="25"/>
      <c r="MD707" s="25"/>
      <c r="ME707" s="25"/>
      <c r="MF707" s="25"/>
      <c r="MG707" s="25"/>
      <c r="MH707" s="25"/>
      <c r="MI707" s="25"/>
      <c r="MJ707" s="25"/>
      <c r="MK707" s="25"/>
      <c r="ML707" s="25"/>
      <c r="MM707" s="25"/>
      <c r="MN707" s="25"/>
      <c r="MO707" s="25"/>
      <c r="MP707" s="25"/>
      <c r="MQ707" s="25"/>
      <c r="MR707" s="25"/>
      <c r="MS707" s="25"/>
      <c r="MT707" s="25"/>
      <c r="MU707" s="25"/>
      <c r="MV707" s="25"/>
      <c r="MW707" s="25"/>
      <c r="MX707" s="25"/>
      <c r="MY707" s="25"/>
      <c r="MZ707" s="25"/>
      <c r="NA707" s="25"/>
      <c r="NB707" s="25"/>
      <c r="NC707" s="25"/>
      <c r="ND707" s="25"/>
      <c r="NE707" s="25"/>
      <c r="NF707" s="25"/>
      <c r="NG707" s="25"/>
      <c r="NH707" s="25"/>
      <c r="NI707" s="25"/>
      <c r="NJ707" s="25"/>
      <c r="NK707" s="25"/>
      <c r="NL707" s="25"/>
      <c r="NM707" s="25"/>
      <c r="NN707" s="25"/>
      <c r="NO707" s="25"/>
      <c r="NP707" s="25"/>
      <c r="NQ707" s="25"/>
      <c r="NR707" s="25"/>
      <c r="NS707" s="25"/>
      <c r="NT707" s="25"/>
      <c r="NU707" s="25"/>
      <c r="NV707" s="25"/>
      <c r="NW707" s="25"/>
      <c r="NX707" s="25"/>
      <c r="NY707" s="25"/>
      <c r="NZ707" s="25"/>
      <c r="OA707" s="25"/>
      <c r="OB707" s="25"/>
      <c r="OC707" s="25"/>
      <c r="OD707" s="25"/>
      <c r="OE707" s="25"/>
      <c r="OF707" s="25"/>
      <c r="OG707" s="25"/>
      <c r="OH707" s="25"/>
      <c r="OI707" s="25"/>
      <c r="OJ707" s="25"/>
      <c r="OK707" s="25"/>
      <c r="OL707" s="25"/>
      <c r="OM707" s="25"/>
      <c r="ON707" s="25"/>
      <c r="OO707" s="25"/>
      <c r="OP707" s="25"/>
      <c r="OQ707" s="25"/>
      <c r="OR707" s="25"/>
      <c r="OS707" s="25"/>
      <c r="OT707" s="25"/>
      <c r="OU707" s="25"/>
      <c r="OV707" s="25"/>
      <c r="OW707" s="25"/>
      <c r="OX707" s="25"/>
      <c r="OY707" s="25"/>
      <c r="OZ707" s="25"/>
      <c r="PA707" s="25"/>
      <c r="PB707" s="25"/>
      <c r="PC707" s="25"/>
      <c r="PD707" s="25"/>
      <c r="PE707" s="25"/>
      <c r="PF707" s="25"/>
      <c r="PG707" s="25"/>
      <c r="PH707" s="25"/>
      <c r="PI707" s="25"/>
      <c r="PJ707" s="25"/>
      <c r="PK707" s="25"/>
      <c r="PL707" s="25"/>
      <c r="PM707" s="25"/>
      <c r="PN707" s="25"/>
      <c r="PO707" s="25"/>
      <c r="PP707" s="25"/>
      <c r="PQ707" s="25"/>
      <c r="PR707" s="25"/>
      <c r="PS707" s="25"/>
      <c r="PT707" s="25"/>
      <c r="PU707" s="25"/>
      <c r="PV707" s="25"/>
      <c r="PW707" s="25"/>
      <c r="PX707" s="25"/>
      <c r="PY707" s="25"/>
      <c r="PZ707" s="25"/>
      <c r="QA707" s="25"/>
      <c r="QB707" s="25"/>
      <c r="QC707" s="25"/>
      <c r="QD707" s="25"/>
      <c r="QE707" s="25"/>
      <c r="QF707" s="25"/>
      <c r="QG707" s="25"/>
      <c r="QH707" s="25"/>
      <c r="QI707" s="25"/>
      <c r="QJ707" s="25"/>
      <c r="QK707" s="25"/>
      <c r="QL707" s="25"/>
      <c r="QM707" s="25"/>
      <c r="QN707" s="25"/>
      <c r="QO707" s="25"/>
      <c r="QP707" s="25"/>
      <c r="QQ707" s="25"/>
      <c r="QR707" s="25"/>
      <c r="QS707" s="25"/>
      <c r="QT707" s="25"/>
      <c r="QU707" s="25"/>
      <c r="QV707" s="25"/>
      <c r="QW707" s="25"/>
      <c r="QX707" s="25"/>
      <c r="QY707" s="25"/>
      <c r="QZ707" s="25"/>
      <c r="RA707" s="25"/>
      <c r="RB707" s="25"/>
      <c r="RC707" s="25"/>
      <c r="RD707" s="25"/>
      <c r="RE707" s="25"/>
      <c r="RF707" s="25"/>
      <c r="RG707" s="25"/>
      <c r="RH707" s="25"/>
      <c r="RI707" s="25"/>
      <c r="RJ707" s="25"/>
      <c r="RK707" s="25"/>
      <c r="RL707" s="25"/>
      <c r="RM707" s="25"/>
      <c r="RN707" s="25"/>
      <c r="RO707" s="25"/>
      <c r="RP707" s="25"/>
      <c r="RQ707" s="25"/>
      <c r="RR707" s="25"/>
      <c r="RS707" s="25"/>
      <c r="RT707" s="25"/>
      <c r="RU707" s="25"/>
      <c r="RV707" s="25"/>
      <c r="RW707" s="25"/>
      <c r="RX707" s="25"/>
      <c r="RY707" s="25"/>
      <c r="RZ707" s="25"/>
      <c r="SA707" s="25"/>
      <c r="SB707" s="25"/>
      <c r="SC707" s="25"/>
      <c r="SD707" s="25"/>
      <c r="SE707" s="25"/>
      <c r="SF707" s="25"/>
      <c r="SG707" s="25"/>
      <c r="SH707" s="25"/>
      <c r="SI707" s="25"/>
      <c r="SJ707" s="25"/>
      <c r="SK707" s="25"/>
      <c r="SL707" s="25"/>
      <c r="SM707" s="25"/>
      <c r="SN707" s="25"/>
      <c r="SO707" s="25"/>
      <c r="SP707" s="25"/>
      <c r="SQ707" s="25"/>
      <c r="SR707" s="25"/>
      <c r="SS707" s="25"/>
      <c r="ST707" s="25"/>
      <c r="SU707" s="25"/>
      <c r="SV707" s="25"/>
      <c r="SW707" s="25"/>
      <c r="SX707" s="25"/>
      <c r="SY707" s="25"/>
      <c r="SZ707" s="25"/>
      <c r="TA707" s="25"/>
      <c r="TB707" s="25"/>
      <c r="TC707" s="25"/>
      <c r="TD707" s="25"/>
      <c r="TE707" s="25"/>
      <c r="TF707" s="25"/>
      <c r="TG707" s="25"/>
      <c r="TH707" s="25"/>
      <c r="TI707" s="25"/>
      <c r="TJ707" s="25"/>
      <c r="TK707" s="25"/>
      <c r="TL707" s="25"/>
      <c r="TM707" s="25"/>
      <c r="TN707" s="25"/>
      <c r="TO707" s="25"/>
      <c r="TP707" s="25"/>
      <c r="TQ707" s="25"/>
      <c r="TR707" s="25"/>
      <c r="TS707" s="25"/>
      <c r="TT707" s="25"/>
      <c r="TU707" s="25"/>
      <c r="TV707" s="25"/>
      <c r="TW707" s="25"/>
      <c r="TX707" s="25"/>
      <c r="TY707" s="25"/>
      <c r="TZ707" s="25"/>
      <c r="UA707" s="25"/>
      <c r="UB707" s="25"/>
      <c r="UC707" s="25"/>
      <c r="UD707" s="25"/>
      <c r="UE707" s="25"/>
      <c r="UF707" s="25"/>
      <c r="UG707" s="26"/>
    </row>
    <row r="708" spans="1:553" ht="175.5" customHeight="1">
      <c r="A708" s="356"/>
      <c r="B708" s="385"/>
      <c r="C708" s="384" t="s">
        <v>213</v>
      </c>
      <c r="D708" s="376">
        <v>2</v>
      </c>
      <c r="E708" s="376">
        <v>334</v>
      </c>
      <c r="F708" s="385">
        <v>1</v>
      </c>
      <c r="G708" s="396" t="s">
        <v>33</v>
      </c>
      <c r="H708" s="387">
        <v>375</v>
      </c>
      <c r="I708" s="490">
        <v>375</v>
      </c>
      <c r="J708" s="368">
        <v>62000</v>
      </c>
      <c r="K708" s="391"/>
      <c r="L708" s="480">
        <f t="shared" si="110"/>
        <v>23250000</v>
      </c>
      <c r="M708" s="392"/>
      <c r="N708" s="392"/>
      <c r="O708" s="366"/>
      <c r="P708" s="366"/>
      <c r="Q708" s="1149" t="s">
        <v>496</v>
      </c>
      <c r="R708" s="1547" t="s">
        <v>931</v>
      </c>
      <c r="S708" s="308"/>
      <c r="T708" s="308"/>
      <c r="U708" s="308"/>
      <c r="V708" s="308"/>
      <c r="W708" s="308"/>
      <c r="X708" s="308"/>
      <c r="Y708" s="308"/>
      <c r="Z708" s="604"/>
      <c r="AA708" s="685">
        <f>I708</f>
        <v>375</v>
      </c>
      <c r="AB708" s="308"/>
      <c r="AC708" s="449"/>
      <c r="AD708" s="449"/>
      <c r="AE708" s="449"/>
      <c r="AF708" s="449"/>
      <c r="AG708" s="449"/>
      <c r="AH708" s="449"/>
      <c r="AI708" s="449"/>
      <c r="AJ708" s="449"/>
      <c r="AK708" s="452"/>
      <c r="AL708" s="104"/>
      <c r="AM708" s="32"/>
      <c r="AN708" s="32"/>
      <c r="AO708" s="32"/>
      <c r="AP708" s="32"/>
      <c r="AQ708" s="32"/>
      <c r="AR708" s="32"/>
      <c r="AS708" s="31"/>
      <c r="AT708" s="22"/>
      <c r="AU708" s="22"/>
      <c r="AV708" s="22"/>
      <c r="AW708" s="22"/>
      <c r="AX708" s="22"/>
      <c r="AY708" s="22"/>
      <c r="AZ708" s="22"/>
      <c r="BA708" s="22"/>
      <c r="BB708" s="22"/>
      <c r="BC708" s="22"/>
      <c r="BD708" s="22"/>
      <c r="BE708" s="22"/>
      <c r="BF708" s="22"/>
      <c r="BG708" s="22"/>
      <c r="BH708" s="22"/>
      <c r="BI708" s="22"/>
      <c r="BJ708" s="22"/>
      <c r="BK708" s="22"/>
      <c r="BL708" s="22"/>
      <c r="BM708" s="22"/>
      <c r="BN708" s="22"/>
      <c r="BO708" s="22"/>
      <c r="BP708" s="25"/>
      <c r="BQ708" s="25"/>
      <c r="BR708" s="25"/>
      <c r="BS708" s="25"/>
      <c r="BT708" s="25"/>
      <c r="BU708" s="25"/>
      <c r="BV708" s="25"/>
      <c r="BW708" s="25"/>
      <c r="BX708" s="25"/>
      <c r="BY708" s="25"/>
      <c r="BZ708" s="25"/>
      <c r="CA708" s="25"/>
      <c r="CB708" s="25"/>
      <c r="CC708" s="25"/>
      <c r="CD708" s="25"/>
      <c r="CE708" s="25"/>
      <c r="CF708" s="25"/>
      <c r="CG708" s="25"/>
      <c r="CH708" s="25"/>
      <c r="CI708" s="25"/>
      <c r="CJ708" s="25"/>
      <c r="CK708" s="25"/>
      <c r="CL708" s="25"/>
      <c r="CM708" s="25"/>
      <c r="CN708" s="25"/>
      <c r="CO708" s="25"/>
      <c r="CP708" s="25"/>
      <c r="CQ708" s="25"/>
      <c r="CR708" s="25"/>
      <c r="CS708" s="25"/>
      <c r="CT708" s="25"/>
      <c r="CU708" s="25"/>
      <c r="CV708" s="25"/>
      <c r="CW708" s="25"/>
      <c r="CX708" s="25"/>
      <c r="CY708" s="25"/>
      <c r="CZ708" s="25"/>
      <c r="DA708" s="25"/>
      <c r="DB708" s="25"/>
      <c r="DC708" s="25"/>
      <c r="DD708" s="25"/>
      <c r="DE708" s="25"/>
      <c r="DF708" s="25"/>
      <c r="DG708" s="25"/>
      <c r="DH708" s="25"/>
      <c r="DI708" s="25"/>
      <c r="DJ708" s="25"/>
      <c r="DK708" s="25"/>
      <c r="DL708" s="25"/>
      <c r="DM708" s="25"/>
      <c r="DN708" s="25"/>
      <c r="DO708" s="25"/>
      <c r="DP708" s="25"/>
      <c r="DQ708" s="25"/>
      <c r="DR708" s="25"/>
      <c r="DS708" s="25"/>
      <c r="DT708" s="25"/>
      <c r="DU708" s="25"/>
      <c r="DV708" s="25"/>
      <c r="DW708" s="25"/>
      <c r="DX708" s="25"/>
      <c r="DY708" s="25"/>
      <c r="DZ708" s="25"/>
      <c r="EA708" s="25"/>
      <c r="EB708" s="25"/>
      <c r="EC708" s="25"/>
      <c r="ED708" s="25"/>
      <c r="EE708" s="25"/>
      <c r="EF708" s="25"/>
      <c r="EG708" s="25"/>
      <c r="EH708" s="25"/>
      <c r="EI708" s="25"/>
      <c r="EJ708" s="25"/>
      <c r="EK708" s="25"/>
      <c r="EL708" s="25"/>
      <c r="EM708" s="25"/>
      <c r="EN708" s="25"/>
      <c r="EO708" s="25"/>
      <c r="EP708" s="25"/>
      <c r="EQ708" s="25"/>
      <c r="ER708" s="25"/>
      <c r="ES708" s="25"/>
      <c r="ET708" s="25"/>
      <c r="EU708" s="25"/>
      <c r="EV708" s="25"/>
      <c r="EW708" s="25"/>
      <c r="EX708" s="25"/>
      <c r="EY708" s="25"/>
      <c r="EZ708" s="25"/>
      <c r="FA708" s="25"/>
      <c r="FB708" s="25"/>
      <c r="FC708" s="25"/>
      <c r="FD708" s="25"/>
      <c r="FE708" s="25"/>
      <c r="FF708" s="25"/>
      <c r="FG708" s="25"/>
      <c r="FH708" s="25"/>
      <c r="FI708" s="25"/>
      <c r="FJ708" s="25"/>
      <c r="FK708" s="25"/>
      <c r="FL708" s="25"/>
      <c r="FM708" s="25"/>
      <c r="FN708" s="25"/>
      <c r="FO708" s="25"/>
      <c r="FP708" s="25"/>
      <c r="FQ708" s="25"/>
      <c r="FR708" s="25"/>
      <c r="FS708" s="25"/>
      <c r="FT708" s="25"/>
      <c r="FU708" s="25"/>
      <c r="FV708" s="25"/>
      <c r="FW708" s="25"/>
      <c r="FX708" s="25"/>
      <c r="FY708" s="25"/>
      <c r="FZ708" s="25"/>
      <c r="GA708" s="25"/>
      <c r="GB708" s="25"/>
      <c r="GC708" s="25"/>
      <c r="GD708" s="25"/>
      <c r="GE708" s="25"/>
      <c r="GF708" s="25"/>
      <c r="GG708" s="25"/>
      <c r="GH708" s="25"/>
      <c r="GI708" s="25"/>
      <c r="GJ708" s="25"/>
      <c r="GK708" s="25"/>
      <c r="GL708" s="25"/>
      <c r="GM708" s="25"/>
      <c r="GN708" s="25"/>
      <c r="GO708" s="25"/>
      <c r="GP708" s="25"/>
      <c r="GQ708" s="25"/>
      <c r="GR708" s="25"/>
      <c r="GS708" s="25"/>
      <c r="GT708" s="25"/>
      <c r="GU708" s="25"/>
      <c r="GV708" s="25"/>
      <c r="GW708" s="25"/>
      <c r="GX708" s="25"/>
      <c r="GY708" s="25"/>
      <c r="GZ708" s="25"/>
      <c r="HA708" s="25"/>
      <c r="HB708" s="25"/>
      <c r="HC708" s="25"/>
      <c r="HD708" s="25"/>
      <c r="HE708" s="25"/>
      <c r="HF708" s="25"/>
      <c r="HG708" s="25"/>
      <c r="HH708" s="25"/>
      <c r="HI708" s="25"/>
      <c r="HJ708" s="25"/>
      <c r="HK708" s="25"/>
      <c r="HL708" s="25"/>
      <c r="HM708" s="25"/>
      <c r="HN708" s="25"/>
      <c r="HO708" s="25"/>
      <c r="HP708" s="25"/>
      <c r="HQ708" s="25"/>
      <c r="HR708" s="25"/>
      <c r="HS708" s="25"/>
      <c r="HT708" s="25"/>
      <c r="HU708" s="25"/>
      <c r="HV708" s="25"/>
      <c r="HW708" s="25"/>
      <c r="HX708" s="25"/>
      <c r="HY708" s="25"/>
      <c r="HZ708" s="25"/>
      <c r="IA708" s="25"/>
      <c r="IB708" s="25"/>
      <c r="IC708" s="25"/>
      <c r="ID708" s="25"/>
      <c r="IE708" s="25"/>
      <c r="IF708" s="25"/>
      <c r="IG708" s="25"/>
      <c r="IH708" s="25"/>
      <c r="II708" s="25"/>
      <c r="IJ708" s="25"/>
      <c r="IK708" s="25"/>
      <c r="IL708" s="25"/>
      <c r="IM708" s="25"/>
      <c r="IN708" s="25"/>
      <c r="IO708" s="25"/>
      <c r="IP708" s="25"/>
      <c r="IQ708" s="25"/>
      <c r="IR708" s="25"/>
      <c r="IS708" s="25"/>
      <c r="IT708" s="25"/>
      <c r="IU708" s="25"/>
      <c r="IV708" s="25"/>
      <c r="IW708" s="25"/>
      <c r="IX708" s="25"/>
      <c r="IY708" s="25"/>
      <c r="IZ708" s="25"/>
      <c r="JA708" s="25"/>
      <c r="JB708" s="25"/>
      <c r="JC708" s="25"/>
      <c r="JD708" s="25"/>
      <c r="JE708" s="25"/>
      <c r="JF708" s="25"/>
      <c r="JG708" s="25"/>
      <c r="JH708" s="25"/>
      <c r="JI708" s="25"/>
      <c r="JJ708" s="25"/>
      <c r="JK708" s="25"/>
      <c r="JL708" s="25"/>
      <c r="JM708" s="25"/>
      <c r="JN708" s="25"/>
      <c r="JO708" s="25"/>
      <c r="JP708" s="25"/>
      <c r="JQ708" s="25"/>
      <c r="JR708" s="25"/>
      <c r="JS708" s="25"/>
      <c r="JT708" s="25"/>
      <c r="JU708" s="25"/>
      <c r="JV708" s="25"/>
      <c r="JW708" s="25"/>
      <c r="JX708" s="25"/>
      <c r="JY708" s="25"/>
      <c r="JZ708" s="25"/>
      <c r="KA708" s="25"/>
      <c r="KB708" s="25"/>
      <c r="KC708" s="25"/>
      <c r="KD708" s="25"/>
      <c r="KE708" s="25"/>
      <c r="KF708" s="25"/>
      <c r="KG708" s="25"/>
      <c r="KH708" s="25"/>
      <c r="KI708" s="25"/>
      <c r="KJ708" s="25"/>
      <c r="KK708" s="25"/>
      <c r="KL708" s="25"/>
      <c r="KM708" s="25"/>
      <c r="KN708" s="25"/>
      <c r="KO708" s="25"/>
      <c r="KP708" s="25"/>
      <c r="KQ708" s="25"/>
      <c r="KR708" s="25"/>
      <c r="KS708" s="25"/>
      <c r="KT708" s="25"/>
      <c r="KU708" s="25"/>
      <c r="KV708" s="25"/>
      <c r="KW708" s="25"/>
      <c r="KX708" s="25"/>
      <c r="KY708" s="25"/>
      <c r="KZ708" s="25"/>
      <c r="LA708" s="25"/>
      <c r="LB708" s="25"/>
      <c r="LC708" s="25"/>
      <c r="LD708" s="25"/>
      <c r="LE708" s="25"/>
      <c r="LF708" s="25"/>
      <c r="LG708" s="25"/>
      <c r="LH708" s="25"/>
      <c r="LI708" s="25"/>
      <c r="LJ708" s="25"/>
      <c r="LK708" s="25"/>
      <c r="LL708" s="25"/>
      <c r="LM708" s="25"/>
      <c r="LN708" s="25"/>
      <c r="LO708" s="25"/>
      <c r="LP708" s="25"/>
      <c r="LQ708" s="25"/>
      <c r="LR708" s="25"/>
      <c r="LS708" s="25"/>
      <c r="LT708" s="25"/>
      <c r="LU708" s="25"/>
      <c r="LV708" s="25"/>
      <c r="LW708" s="25"/>
      <c r="LX708" s="25"/>
      <c r="LY708" s="25"/>
      <c r="LZ708" s="25"/>
      <c r="MA708" s="25"/>
      <c r="MB708" s="25"/>
      <c r="MC708" s="25"/>
      <c r="MD708" s="25"/>
      <c r="ME708" s="25"/>
      <c r="MF708" s="25"/>
      <c r="MG708" s="25"/>
      <c r="MH708" s="25"/>
      <c r="MI708" s="25"/>
      <c r="MJ708" s="25"/>
      <c r="MK708" s="25"/>
      <c r="ML708" s="25"/>
      <c r="MM708" s="25"/>
      <c r="MN708" s="25"/>
      <c r="MO708" s="25"/>
      <c r="MP708" s="25"/>
      <c r="MQ708" s="25"/>
      <c r="MR708" s="25"/>
      <c r="MS708" s="25"/>
      <c r="MT708" s="25"/>
      <c r="MU708" s="25"/>
      <c r="MV708" s="25"/>
      <c r="MW708" s="25"/>
      <c r="MX708" s="25"/>
      <c r="MY708" s="25"/>
      <c r="MZ708" s="25"/>
      <c r="NA708" s="25"/>
      <c r="NB708" s="25"/>
      <c r="NC708" s="25"/>
      <c r="ND708" s="25"/>
      <c r="NE708" s="25"/>
      <c r="NF708" s="25"/>
      <c r="NG708" s="25"/>
      <c r="NH708" s="25"/>
      <c r="NI708" s="25"/>
      <c r="NJ708" s="25"/>
      <c r="NK708" s="25"/>
      <c r="NL708" s="25"/>
      <c r="NM708" s="25"/>
      <c r="NN708" s="25"/>
      <c r="NO708" s="25"/>
      <c r="NP708" s="25"/>
      <c r="NQ708" s="25"/>
      <c r="NR708" s="25"/>
      <c r="NS708" s="25"/>
      <c r="NT708" s="25"/>
      <c r="NU708" s="25"/>
      <c r="NV708" s="25"/>
      <c r="NW708" s="25"/>
      <c r="NX708" s="25"/>
      <c r="NY708" s="25"/>
      <c r="NZ708" s="25"/>
      <c r="OA708" s="25"/>
      <c r="OB708" s="25"/>
      <c r="OC708" s="25"/>
      <c r="OD708" s="25"/>
      <c r="OE708" s="25"/>
      <c r="OF708" s="25"/>
      <c r="OG708" s="25"/>
      <c r="OH708" s="25"/>
      <c r="OI708" s="25"/>
      <c r="OJ708" s="25"/>
      <c r="OK708" s="25"/>
      <c r="OL708" s="25"/>
      <c r="OM708" s="25"/>
      <c r="ON708" s="25"/>
      <c r="OO708" s="25"/>
      <c r="OP708" s="25"/>
      <c r="OQ708" s="25"/>
      <c r="OR708" s="25"/>
      <c r="OS708" s="25"/>
      <c r="OT708" s="25"/>
      <c r="OU708" s="25"/>
      <c r="OV708" s="25"/>
      <c r="OW708" s="25"/>
      <c r="OX708" s="25"/>
      <c r="OY708" s="25"/>
      <c r="OZ708" s="25"/>
      <c r="PA708" s="25"/>
      <c r="PB708" s="25"/>
      <c r="PC708" s="25"/>
      <c r="PD708" s="25"/>
      <c r="PE708" s="25"/>
      <c r="PF708" s="25"/>
      <c r="PG708" s="25"/>
      <c r="PH708" s="25"/>
      <c r="PI708" s="25"/>
      <c r="PJ708" s="25"/>
      <c r="PK708" s="25"/>
      <c r="PL708" s="25"/>
      <c r="PM708" s="25"/>
      <c r="PN708" s="25"/>
      <c r="PO708" s="25"/>
      <c r="PP708" s="25"/>
      <c r="PQ708" s="25"/>
      <c r="PR708" s="25"/>
      <c r="PS708" s="25"/>
      <c r="PT708" s="25"/>
      <c r="PU708" s="25"/>
      <c r="PV708" s="25"/>
      <c r="PW708" s="25"/>
      <c r="PX708" s="25"/>
      <c r="PY708" s="25"/>
      <c r="PZ708" s="25"/>
      <c r="QA708" s="25"/>
      <c r="QB708" s="25"/>
      <c r="QC708" s="25"/>
      <c r="QD708" s="25"/>
      <c r="QE708" s="25"/>
      <c r="QF708" s="25"/>
      <c r="QG708" s="25"/>
      <c r="QH708" s="25"/>
      <c r="QI708" s="25"/>
      <c r="QJ708" s="25"/>
      <c r="QK708" s="25"/>
      <c r="QL708" s="25"/>
      <c r="QM708" s="25"/>
      <c r="QN708" s="25"/>
      <c r="QO708" s="25"/>
      <c r="QP708" s="25"/>
      <c r="QQ708" s="25"/>
      <c r="QR708" s="25"/>
      <c r="QS708" s="25"/>
      <c r="QT708" s="25"/>
      <c r="QU708" s="25"/>
      <c r="QV708" s="25"/>
      <c r="QW708" s="25"/>
      <c r="QX708" s="25"/>
      <c r="QY708" s="25"/>
      <c r="QZ708" s="25"/>
      <c r="RA708" s="25"/>
      <c r="RB708" s="25"/>
      <c r="RC708" s="25"/>
      <c r="RD708" s="25"/>
      <c r="RE708" s="25"/>
      <c r="RF708" s="25"/>
      <c r="RG708" s="25"/>
      <c r="RH708" s="25"/>
      <c r="RI708" s="25"/>
      <c r="RJ708" s="25"/>
      <c r="RK708" s="25"/>
      <c r="RL708" s="25"/>
      <c r="RM708" s="25"/>
      <c r="RN708" s="25"/>
      <c r="RO708" s="25"/>
      <c r="RP708" s="25"/>
      <c r="RQ708" s="25"/>
      <c r="RR708" s="25"/>
      <c r="RS708" s="25"/>
      <c r="RT708" s="25"/>
      <c r="RU708" s="25"/>
      <c r="RV708" s="25"/>
      <c r="RW708" s="25"/>
      <c r="RX708" s="25"/>
      <c r="RY708" s="25"/>
      <c r="RZ708" s="25"/>
      <c r="SA708" s="25"/>
      <c r="SB708" s="25"/>
      <c r="SC708" s="25"/>
      <c r="SD708" s="25"/>
      <c r="SE708" s="25"/>
      <c r="SF708" s="25"/>
      <c r="SG708" s="25"/>
      <c r="SH708" s="25"/>
      <c r="SI708" s="25"/>
      <c r="SJ708" s="25"/>
      <c r="SK708" s="25"/>
      <c r="SL708" s="25"/>
      <c r="SM708" s="25"/>
      <c r="SN708" s="25"/>
      <c r="SO708" s="25"/>
      <c r="SP708" s="25"/>
      <c r="SQ708" s="25"/>
      <c r="SR708" s="25"/>
      <c r="SS708" s="25"/>
      <c r="ST708" s="25"/>
      <c r="SU708" s="25"/>
      <c r="SV708" s="25"/>
      <c r="SW708" s="25"/>
      <c r="SX708" s="25"/>
      <c r="SY708" s="25"/>
      <c r="SZ708" s="25"/>
      <c r="TA708" s="25"/>
      <c r="TB708" s="25"/>
      <c r="TC708" s="25"/>
      <c r="TD708" s="25"/>
      <c r="TE708" s="25"/>
      <c r="TF708" s="25"/>
      <c r="TG708" s="25"/>
      <c r="TH708" s="25"/>
      <c r="TI708" s="25"/>
      <c r="TJ708" s="25"/>
      <c r="TK708" s="25"/>
      <c r="TL708" s="25"/>
      <c r="TM708" s="25"/>
      <c r="TN708" s="25"/>
      <c r="TO708" s="25"/>
      <c r="TP708" s="25"/>
      <c r="TQ708" s="25"/>
      <c r="TR708" s="25"/>
      <c r="TS708" s="25"/>
      <c r="TT708" s="25"/>
      <c r="TU708" s="25"/>
      <c r="TV708" s="25"/>
      <c r="TW708" s="25"/>
      <c r="TX708" s="25"/>
      <c r="TY708" s="25"/>
      <c r="TZ708" s="25"/>
      <c r="UA708" s="25"/>
      <c r="UB708" s="25"/>
      <c r="UC708" s="25"/>
      <c r="UD708" s="25"/>
      <c r="UE708" s="25"/>
      <c r="UF708" s="25"/>
      <c r="UG708" s="26"/>
    </row>
    <row r="709" spans="1:553" s="169" customFormat="1" ht="198" customHeight="1">
      <c r="A709" s="356"/>
      <c r="B709" s="385"/>
      <c r="C709" s="384" t="s">
        <v>22</v>
      </c>
      <c r="D709" s="376">
        <v>2</v>
      </c>
      <c r="E709" s="376">
        <v>475</v>
      </c>
      <c r="F709" s="385">
        <v>1</v>
      </c>
      <c r="G709" s="396" t="s">
        <v>33</v>
      </c>
      <c r="H709" s="376">
        <v>121.9</v>
      </c>
      <c r="I709" s="490">
        <v>121.9</v>
      </c>
      <c r="J709" s="1061">
        <v>60000</v>
      </c>
      <c r="K709" s="391"/>
      <c r="L709" s="480">
        <f t="shared" si="110"/>
        <v>7314000</v>
      </c>
      <c r="M709" s="392"/>
      <c r="N709" s="392"/>
      <c r="O709" s="366"/>
      <c r="P709" s="366"/>
      <c r="Q709" s="761" t="s">
        <v>506</v>
      </c>
      <c r="R709" s="1547"/>
      <c r="S709" s="308"/>
      <c r="T709" s="308"/>
      <c r="U709" s="308"/>
      <c r="V709" s="308"/>
      <c r="W709" s="308"/>
      <c r="X709" s="308"/>
      <c r="Y709" s="308"/>
      <c r="Z709" s="604"/>
      <c r="AA709" s="308"/>
      <c r="AB709" s="685">
        <f>I709</f>
        <v>121.9</v>
      </c>
      <c r="AC709" s="449"/>
      <c r="AD709" s="449"/>
      <c r="AE709" s="449"/>
      <c r="AF709" s="449"/>
      <c r="AG709" s="449"/>
      <c r="AH709" s="449"/>
      <c r="AI709" s="449"/>
      <c r="AJ709" s="449"/>
      <c r="AK709" s="452"/>
      <c r="AL709" s="869"/>
      <c r="AM709" s="870"/>
      <c r="AN709" s="870"/>
      <c r="AO709" s="870"/>
      <c r="AP709" s="870"/>
      <c r="AQ709" s="870"/>
      <c r="AR709" s="870"/>
      <c r="AS709" s="165"/>
      <c r="AT709" s="166"/>
      <c r="AU709" s="166"/>
      <c r="AV709" s="166"/>
      <c r="AW709" s="166"/>
      <c r="AX709" s="166"/>
      <c r="AY709" s="166"/>
      <c r="AZ709" s="166"/>
      <c r="BA709" s="166"/>
      <c r="BB709" s="166"/>
      <c r="BC709" s="166"/>
      <c r="BD709" s="166"/>
      <c r="BE709" s="166"/>
      <c r="BF709" s="166"/>
      <c r="BG709" s="166"/>
      <c r="BH709" s="166"/>
      <c r="BI709" s="166"/>
      <c r="BJ709" s="166"/>
      <c r="BK709" s="166"/>
      <c r="BL709" s="166"/>
      <c r="BM709" s="166"/>
      <c r="BN709" s="166"/>
      <c r="BO709" s="166"/>
      <c r="BP709" s="167"/>
      <c r="BQ709" s="167"/>
      <c r="BR709" s="167"/>
      <c r="BS709" s="167"/>
      <c r="BT709" s="167"/>
      <c r="BU709" s="167"/>
      <c r="BV709" s="167"/>
      <c r="BW709" s="167"/>
      <c r="BX709" s="167"/>
      <c r="BY709" s="167"/>
      <c r="BZ709" s="167"/>
      <c r="CA709" s="167"/>
      <c r="CB709" s="167"/>
      <c r="CC709" s="167"/>
      <c r="CD709" s="167"/>
      <c r="CE709" s="167"/>
      <c r="CF709" s="167"/>
      <c r="CG709" s="167"/>
      <c r="CH709" s="167"/>
      <c r="CI709" s="167"/>
      <c r="CJ709" s="167"/>
      <c r="CK709" s="167"/>
      <c r="CL709" s="167"/>
      <c r="CM709" s="167"/>
      <c r="CN709" s="167"/>
      <c r="CO709" s="167"/>
      <c r="CP709" s="167"/>
      <c r="CQ709" s="167"/>
      <c r="CR709" s="167"/>
      <c r="CS709" s="167"/>
      <c r="CT709" s="167"/>
      <c r="CU709" s="167"/>
      <c r="CV709" s="167"/>
      <c r="CW709" s="167"/>
      <c r="CX709" s="167"/>
      <c r="CY709" s="167"/>
      <c r="CZ709" s="167"/>
      <c r="DA709" s="167"/>
      <c r="DB709" s="167"/>
      <c r="DC709" s="167"/>
      <c r="DD709" s="167"/>
      <c r="DE709" s="167"/>
      <c r="DF709" s="167"/>
      <c r="DG709" s="167"/>
      <c r="DH709" s="167"/>
      <c r="DI709" s="167"/>
      <c r="DJ709" s="167"/>
      <c r="DK709" s="167"/>
      <c r="DL709" s="167"/>
      <c r="DM709" s="167"/>
      <c r="DN709" s="167"/>
      <c r="DO709" s="167"/>
      <c r="DP709" s="167"/>
      <c r="DQ709" s="167"/>
      <c r="DR709" s="167"/>
      <c r="DS709" s="167"/>
      <c r="DT709" s="167"/>
      <c r="DU709" s="167"/>
      <c r="DV709" s="167"/>
      <c r="DW709" s="167"/>
      <c r="DX709" s="167"/>
      <c r="DY709" s="167"/>
      <c r="DZ709" s="167"/>
      <c r="EA709" s="167"/>
      <c r="EB709" s="167"/>
      <c r="EC709" s="167"/>
      <c r="ED709" s="167"/>
      <c r="EE709" s="167"/>
      <c r="EF709" s="167"/>
      <c r="EG709" s="167"/>
      <c r="EH709" s="167"/>
      <c r="EI709" s="167"/>
      <c r="EJ709" s="167"/>
      <c r="EK709" s="167"/>
      <c r="EL709" s="167"/>
      <c r="EM709" s="167"/>
      <c r="EN709" s="167"/>
      <c r="EO709" s="167"/>
      <c r="EP709" s="167"/>
      <c r="EQ709" s="167"/>
      <c r="ER709" s="167"/>
      <c r="ES709" s="167"/>
      <c r="ET709" s="167"/>
      <c r="EU709" s="167"/>
      <c r="EV709" s="167"/>
      <c r="EW709" s="167"/>
      <c r="EX709" s="167"/>
      <c r="EY709" s="167"/>
      <c r="EZ709" s="167"/>
      <c r="FA709" s="167"/>
      <c r="FB709" s="167"/>
      <c r="FC709" s="167"/>
      <c r="FD709" s="167"/>
      <c r="FE709" s="167"/>
      <c r="FF709" s="167"/>
      <c r="FG709" s="167"/>
      <c r="FH709" s="167"/>
      <c r="FI709" s="167"/>
      <c r="FJ709" s="167"/>
      <c r="FK709" s="167"/>
      <c r="FL709" s="167"/>
      <c r="FM709" s="167"/>
      <c r="FN709" s="167"/>
      <c r="FO709" s="167"/>
      <c r="FP709" s="167"/>
      <c r="FQ709" s="167"/>
      <c r="FR709" s="167"/>
      <c r="FS709" s="167"/>
      <c r="FT709" s="167"/>
      <c r="FU709" s="167"/>
      <c r="FV709" s="167"/>
      <c r="FW709" s="167"/>
      <c r="FX709" s="167"/>
      <c r="FY709" s="167"/>
      <c r="FZ709" s="167"/>
      <c r="GA709" s="167"/>
      <c r="GB709" s="167"/>
      <c r="GC709" s="167"/>
      <c r="GD709" s="167"/>
      <c r="GE709" s="167"/>
      <c r="GF709" s="167"/>
      <c r="GG709" s="167"/>
      <c r="GH709" s="167"/>
      <c r="GI709" s="167"/>
      <c r="GJ709" s="167"/>
      <c r="GK709" s="167"/>
      <c r="GL709" s="167"/>
      <c r="GM709" s="167"/>
      <c r="GN709" s="167"/>
      <c r="GO709" s="167"/>
      <c r="GP709" s="167"/>
      <c r="GQ709" s="167"/>
      <c r="GR709" s="167"/>
      <c r="GS709" s="167"/>
      <c r="GT709" s="167"/>
      <c r="GU709" s="167"/>
      <c r="GV709" s="167"/>
      <c r="GW709" s="167"/>
      <c r="GX709" s="167"/>
      <c r="GY709" s="167"/>
      <c r="GZ709" s="167"/>
      <c r="HA709" s="167"/>
      <c r="HB709" s="167"/>
      <c r="HC709" s="167"/>
      <c r="HD709" s="167"/>
      <c r="HE709" s="167"/>
      <c r="HF709" s="167"/>
      <c r="HG709" s="167"/>
      <c r="HH709" s="167"/>
      <c r="HI709" s="167"/>
      <c r="HJ709" s="167"/>
      <c r="HK709" s="167"/>
      <c r="HL709" s="167"/>
      <c r="HM709" s="167"/>
      <c r="HN709" s="167"/>
      <c r="HO709" s="167"/>
      <c r="HP709" s="167"/>
      <c r="HQ709" s="167"/>
      <c r="HR709" s="167"/>
      <c r="HS709" s="167"/>
      <c r="HT709" s="167"/>
      <c r="HU709" s="167"/>
      <c r="HV709" s="167"/>
      <c r="HW709" s="167"/>
      <c r="HX709" s="167"/>
      <c r="HY709" s="167"/>
      <c r="HZ709" s="167"/>
      <c r="IA709" s="167"/>
      <c r="IB709" s="167"/>
      <c r="IC709" s="167"/>
      <c r="ID709" s="167"/>
      <c r="IE709" s="167"/>
      <c r="IF709" s="167"/>
      <c r="IG709" s="167"/>
      <c r="IH709" s="167"/>
      <c r="II709" s="167"/>
      <c r="IJ709" s="167"/>
      <c r="IK709" s="167"/>
      <c r="IL709" s="167"/>
      <c r="IM709" s="167"/>
      <c r="IN709" s="167"/>
      <c r="IO709" s="167"/>
      <c r="IP709" s="167"/>
      <c r="IQ709" s="167"/>
      <c r="IR709" s="167"/>
      <c r="IS709" s="167"/>
      <c r="IT709" s="167"/>
      <c r="IU709" s="167"/>
      <c r="IV709" s="167"/>
      <c r="IW709" s="167"/>
      <c r="IX709" s="167"/>
      <c r="IY709" s="167"/>
      <c r="IZ709" s="167"/>
      <c r="JA709" s="167"/>
      <c r="JB709" s="167"/>
      <c r="JC709" s="167"/>
      <c r="JD709" s="167"/>
      <c r="JE709" s="167"/>
      <c r="JF709" s="167"/>
      <c r="JG709" s="167"/>
      <c r="JH709" s="167"/>
      <c r="JI709" s="167"/>
      <c r="JJ709" s="167"/>
      <c r="JK709" s="167"/>
      <c r="JL709" s="167"/>
      <c r="JM709" s="167"/>
      <c r="JN709" s="167"/>
      <c r="JO709" s="167"/>
      <c r="JP709" s="167"/>
      <c r="JQ709" s="167"/>
      <c r="JR709" s="167"/>
      <c r="JS709" s="167"/>
      <c r="JT709" s="167"/>
      <c r="JU709" s="167"/>
      <c r="JV709" s="167"/>
      <c r="JW709" s="167"/>
      <c r="JX709" s="167"/>
      <c r="JY709" s="167"/>
      <c r="JZ709" s="167"/>
      <c r="KA709" s="167"/>
      <c r="KB709" s="167"/>
      <c r="KC709" s="167"/>
      <c r="KD709" s="167"/>
      <c r="KE709" s="167"/>
      <c r="KF709" s="167"/>
      <c r="KG709" s="167"/>
      <c r="KH709" s="167"/>
      <c r="KI709" s="167"/>
      <c r="KJ709" s="167"/>
      <c r="KK709" s="167"/>
      <c r="KL709" s="167"/>
      <c r="KM709" s="167"/>
      <c r="KN709" s="167"/>
      <c r="KO709" s="167"/>
      <c r="KP709" s="167"/>
      <c r="KQ709" s="167"/>
      <c r="KR709" s="167"/>
      <c r="KS709" s="167"/>
      <c r="KT709" s="167"/>
      <c r="KU709" s="167"/>
      <c r="KV709" s="167"/>
      <c r="KW709" s="167"/>
      <c r="KX709" s="167"/>
      <c r="KY709" s="167"/>
      <c r="KZ709" s="167"/>
      <c r="LA709" s="167"/>
      <c r="LB709" s="167"/>
      <c r="LC709" s="167"/>
      <c r="LD709" s="167"/>
      <c r="LE709" s="167"/>
      <c r="LF709" s="167"/>
      <c r="LG709" s="167"/>
      <c r="LH709" s="167"/>
      <c r="LI709" s="167"/>
      <c r="LJ709" s="167"/>
      <c r="LK709" s="167"/>
      <c r="LL709" s="167"/>
      <c r="LM709" s="167"/>
      <c r="LN709" s="167"/>
      <c r="LO709" s="167"/>
      <c r="LP709" s="167"/>
      <c r="LQ709" s="167"/>
      <c r="LR709" s="167"/>
      <c r="LS709" s="167"/>
      <c r="LT709" s="167"/>
      <c r="LU709" s="167"/>
      <c r="LV709" s="167"/>
      <c r="LW709" s="167"/>
      <c r="LX709" s="167"/>
      <c r="LY709" s="167"/>
      <c r="LZ709" s="167"/>
      <c r="MA709" s="167"/>
      <c r="MB709" s="167"/>
      <c r="MC709" s="167"/>
      <c r="MD709" s="167"/>
      <c r="ME709" s="167"/>
      <c r="MF709" s="167"/>
      <c r="MG709" s="167"/>
      <c r="MH709" s="167"/>
      <c r="MI709" s="167"/>
      <c r="MJ709" s="167"/>
      <c r="MK709" s="167"/>
      <c r="ML709" s="167"/>
      <c r="MM709" s="167"/>
      <c r="MN709" s="167"/>
      <c r="MO709" s="167"/>
      <c r="MP709" s="167"/>
      <c r="MQ709" s="167"/>
      <c r="MR709" s="167"/>
      <c r="MS709" s="167"/>
      <c r="MT709" s="167"/>
      <c r="MU709" s="167"/>
      <c r="MV709" s="167"/>
      <c r="MW709" s="167"/>
      <c r="MX709" s="167"/>
      <c r="MY709" s="167"/>
      <c r="MZ709" s="167"/>
      <c r="NA709" s="167"/>
      <c r="NB709" s="167"/>
      <c r="NC709" s="167"/>
      <c r="ND709" s="167"/>
      <c r="NE709" s="167"/>
      <c r="NF709" s="167"/>
      <c r="NG709" s="167"/>
      <c r="NH709" s="167"/>
      <c r="NI709" s="167"/>
      <c r="NJ709" s="167"/>
      <c r="NK709" s="167"/>
      <c r="NL709" s="167"/>
      <c r="NM709" s="167"/>
      <c r="NN709" s="167"/>
      <c r="NO709" s="167"/>
      <c r="NP709" s="167"/>
      <c r="NQ709" s="167"/>
      <c r="NR709" s="167"/>
      <c r="NS709" s="167"/>
      <c r="NT709" s="167"/>
      <c r="NU709" s="167"/>
      <c r="NV709" s="167"/>
      <c r="NW709" s="167"/>
      <c r="NX709" s="167"/>
      <c r="NY709" s="167"/>
      <c r="NZ709" s="167"/>
      <c r="OA709" s="167"/>
      <c r="OB709" s="167"/>
      <c r="OC709" s="167"/>
      <c r="OD709" s="167"/>
      <c r="OE709" s="167"/>
      <c r="OF709" s="167"/>
      <c r="OG709" s="167"/>
      <c r="OH709" s="167"/>
      <c r="OI709" s="167"/>
      <c r="OJ709" s="167"/>
      <c r="OK709" s="167"/>
      <c r="OL709" s="167"/>
      <c r="OM709" s="167"/>
      <c r="ON709" s="167"/>
      <c r="OO709" s="167"/>
      <c r="OP709" s="167"/>
      <c r="OQ709" s="167"/>
      <c r="OR709" s="167"/>
      <c r="OS709" s="167"/>
      <c r="OT709" s="167"/>
      <c r="OU709" s="167"/>
      <c r="OV709" s="167"/>
      <c r="OW709" s="167"/>
      <c r="OX709" s="167"/>
      <c r="OY709" s="167"/>
      <c r="OZ709" s="167"/>
      <c r="PA709" s="167"/>
      <c r="PB709" s="167"/>
      <c r="PC709" s="167"/>
      <c r="PD709" s="167"/>
      <c r="PE709" s="167"/>
      <c r="PF709" s="167"/>
      <c r="PG709" s="167"/>
      <c r="PH709" s="167"/>
      <c r="PI709" s="167"/>
      <c r="PJ709" s="167"/>
      <c r="PK709" s="167"/>
      <c r="PL709" s="167"/>
      <c r="PM709" s="167"/>
      <c r="PN709" s="167"/>
      <c r="PO709" s="167"/>
      <c r="PP709" s="167"/>
      <c r="PQ709" s="167"/>
      <c r="PR709" s="167"/>
      <c r="PS709" s="167"/>
      <c r="PT709" s="167"/>
      <c r="PU709" s="167"/>
      <c r="PV709" s="167"/>
      <c r="PW709" s="167"/>
      <c r="PX709" s="167"/>
      <c r="PY709" s="167"/>
      <c r="PZ709" s="167"/>
      <c r="QA709" s="167"/>
      <c r="QB709" s="167"/>
      <c r="QC709" s="167"/>
      <c r="QD709" s="167"/>
      <c r="QE709" s="167"/>
      <c r="QF709" s="167"/>
      <c r="QG709" s="167"/>
      <c r="QH709" s="167"/>
      <c r="QI709" s="167"/>
      <c r="QJ709" s="167"/>
      <c r="QK709" s="167"/>
      <c r="QL709" s="167"/>
      <c r="QM709" s="167"/>
      <c r="QN709" s="167"/>
      <c r="QO709" s="167"/>
      <c r="QP709" s="167"/>
      <c r="QQ709" s="167"/>
      <c r="QR709" s="167"/>
      <c r="QS709" s="167"/>
      <c r="QT709" s="167"/>
      <c r="QU709" s="167"/>
      <c r="QV709" s="167"/>
      <c r="QW709" s="167"/>
      <c r="QX709" s="167"/>
      <c r="QY709" s="167"/>
      <c r="QZ709" s="167"/>
      <c r="RA709" s="167"/>
      <c r="RB709" s="167"/>
      <c r="RC709" s="167"/>
      <c r="RD709" s="167"/>
      <c r="RE709" s="167"/>
      <c r="RF709" s="167"/>
      <c r="RG709" s="167"/>
      <c r="RH709" s="167"/>
      <c r="RI709" s="167"/>
      <c r="RJ709" s="167"/>
      <c r="RK709" s="167"/>
      <c r="RL709" s="167"/>
      <c r="RM709" s="167"/>
      <c r="RN709" s="167"/>
      <c r="RO709" s="167"/>
      <c r="RP709" s="167"/>
      <c r="RQ709" s="167"/>
      <c r="RR709" s="167"/>
      <c r="RS709" s="167"/>
      <c r="RT709" s="167"/>
      <c r="RU709" s="167"/>
      <c r="RV709" s="167"/>
      <c r="RW709" s="167"/>
      <c r="RX709" s="167"/>
      <c r="RY709" s="167"/>
      <c r="RZ709" s="167"/>
      <c r="SA709" s="167"/>
      <c r="SB709" s="167"/>
      <c r="SC709" s="167"/>
      <c r="SD709" s="167"/>
      <c r="SE709" s="167"/>
      <c r="SF709" s="167"/>
      <c r="SG709" s="167"/>
      <c r="SH709" s="167"/>
      <c r="SI709" s="167"/>
      <c r="SJ709" s="167"/>
      <c r="SK709" s="167"/>
      <c r="SL709" s="167"/>
      <c r="SM709" s="167"/>
      <c r="SN709" s="167"/>
      <c r="SO709" s="167"/>
      <c r="SP709" s="167"/>
      <c r="SQ709" s="167"/>
      <c r="SR709" s="167"/>
      <c r="SS709" s="167"/>
      <c r="ST709" s="167"/>
      <c r="SU709" s="167"/>
      <c r="SV709" s="167"/>
      <c r="SW709" s="167"/>
      <c r="SX709" s="167"/>
      <c r="SY709" s="167"/>
      <c r="SZ709" s="167"/>
      <c r="TA709" s="167"/>
      <c r="TB709" s="167"/>
      <c r="TC709" s="167"/>
      <c r="TD709" s="167"/>
      <c r="TE709" s="167"/>
      <c r="TF709" s="167"/>
      <c r="TG709" s="167"/>
      <c r="TH709" s="167"/>
      <c r="TI709" s="167"/>
      <c r="TJ709" s="167"/>
      <c r="TK709" s="167"/>
      <c r="TL709" s="167"/>
      <c r="TM709" s="167"/>
      <c r="TN709" s="167"/>
      <c r="TO709" s="167"/>
      <c r="TP709" s="167"/>
      <c r="TQ709" s="167"/>
      <c r="TR709" s="167"/>
      <c r="TS709" s="167"/>
      <c r="TT709" s="167"/>
      <c r="TU709" s="167"/>
      <c r="TV709" s="167"/>
      <c r="TW709" s="167"/>
      <c r="TX709" s="167"/>
      <c r="TY709" s="167"/>
      <c r="TZ709" s="167"/>
      <c r="UA709" s="167"/>
      <c r="UB709" s="167"/>
      <c r="UC709" s="167"/>
      <c r="UD709" s="167"/>
      <c r="UE709" s="167"/>
      <c r="UF709" s="167"/>
      <c r="UG709" s="168"/>
    </row>
    <row r="710" spans="1:553" ht="257.25" customHeight="1">
      <c r="A710" s="356"/>
      <c r="B710" s="385"/>
      <c r="C710" s="384" t="s">
        <v>72</v>
      </c>
      <c r="D710" s="376" t="s">
        <v>20</v>
      </c>
      <c r="E710" s="376">
        <v>479</v>
      </c>
      <c r="F710" s="385">
        <v>1</v>
      </c>
      <c r="G710" s="396" t="s">
        <v>33</v>
      </c>
      <c r="H710" s="387">
        <v>299.39999999999998</v>
      </c>
      <c r="I710" s="441">
        <v>299.39999999999998</v>
      </c>
      <c r="J710" s="477">
        <v>9000</v>
      </c>
      <c r="K710" s="391"/>
      <c r="L710" s="480">
        <f t="shared" si="110"/>
        <v>2694600</v>
      </c>
      <c r="M710" s="392"/>
      <c r="N710" s="392"/>
      <c r="O710" s="366"/>
      <c r="P710" s="366"/>
      <c r="Q710" s="761" t="s">
        <v>507</v>
      </c>
      <c r="R710" s="1547"/>
      <c r="S710" s="308"/>
      <c r="T710" s="308"/>
      <c r="U710" s="308"/>
      <c r="V710" s="308"/>
      <c r="W710" s="308"/>
      <c r="X710" s="308"/>
      <c r="Y710" s="308"/>
      <c r="Z710" s="931">
        <f>I710</f>
        <v>299.39999999999998</v>
      </c>
      <c r="AA710" s="308"/>
      <c r="AB710" s="308"/>
      <c r="AC710" s="449"/>
      <c r="AD710" s="449"/>
      <c r="AE710" s="449"/>
      <c r="AF710" s="449"/>
      <c r="AG710" s="449"/>
      <c r="AH710" s="449"/>
      <c r="AI710" s="449"/>
      <c r="AJ710" s="449"/>
      <c r="AK710" s="452"/>
      <c r="AL710" s="104"/>
      <c r="AM710" s="32"/>
      <c r="AN710" s="32"/>
      <c r="AO710" s="32"/>
      <c r="AP710" s="32"/>
      <c r="AQ710" s="32"/>
      <c r="AR710" s="32"/>
      <c r="AS710" s="31"/>
      <c r="AT710" s="22"/>
      <c r="AU710" s="22"/>
      <c r="AV710" s="22"/>
      <c r="AW710" s="22"/>
      <c r="AX710" s="22"/>
      <c r="AY710" s="22"/>
      <c r="AZ710" s="22"/>
      <c r="BA710" s="22"/>
      <c r="BB710" s="22"/>
      <c r="BC710" s="22"/>
      <c r="BD710" s="22"/>
      <c r="BE710" s="22"/>
      <c r="BF710" s="22"/>
      <c r="BG710" s="22"/>
      <c r="BH710" s="22"/>
      <c r="BI710" s="22"/>
      <c r="BJ710" s="22"/>
      <c r="BK710" s="22"/>
      <c r="BL710" s="22"/>
      <c r="BM710" s="22"/>
      <c r="BN710" s="22"/>
      <c r="BO710" s="22"/>
      <c r="BP710" s="25"/>
      <c r="BQ710" s="25"/>
      <c r="BR710" s="25"/>
      <c r="BS710" s="25"/>
      <c r="BT710" s="25"/>
      <c r="BU710" s="25"/>
      <c r="BV710" s="25"/>
      <c r="BW710" s="25"/>
      <c r="BX710" s="25"/>
      <c r="BY710" s="25"/>
      <c r="BZ710" s="25"/>
      <c r="CA710" s="25"/>
      <c r="CB710" s="25"/>
      <c r="CC710" s="25"/>
      <c r="CD710" s="25"/>
      <c r="CE710" s="25"/>
      <c r="CF710" s="25"/>
      <c r="CG710" s="25"/>
      <c r="CH710" s="25"/>
      <c r="CI710" s="25"/>
      <c r="CJ710" s="25"/>
      <c r="CK710" s="25"/>
      <c r="CL710" s="25"/>
      <c r="CM710" s="25"/>
      <c r="CN710" s="25"/>
      <c r="CO710" s="25"/>
      <c r="CP710" s="25"/>
      <c r="CQ710" s="25"/>
      <c r="CR710" s="25"/>
      <c r="CS710" s="25"/>
      <c r="CT710" s="25"/>
      <c r="CU710" s="25"/>
      <c r="CV710" s="25"/>
      <c r="CW710" s="25"/>
      <c r="CX710" s="25"/>
      <c r="CY710" s="25"/>
      <c r="CZ710" s="25"/>
      <c r="DA710" s="25"/>
      <c r="DB710" s="25"/>
      <c r="DC710" s="25"/>
      <c r="DD710" s="25"/>
      <c r="DE710" s="25"/>
      <c r="DF710" s="25"/>
      <c r="DG710" s="25"/>
      <c r="DH710" s="25"/>
      <c r="DI710" s="25"/>
      <c r="DJ710" s="25"/>
      <c r="DK710" s="25"/>
      <c r="DL710" s="25"/>
      <c r="DM710" s="25"/>
      <c r="DN710" s="25"/>
      <c r="DO710" s="25"/>
      <c r="DP710" s="25"/>
      <c r="DQ710" s="25"/>
      <c r="DR710" s="25"/>
      <c r="DS710" s="25"/>
      <c r="DT710" s="25"/>
      <c r="DU710" s="25"/>
      <c r="DV710" s="25"/>
      <c r="DW710" s="25"/>
      <c r="DX710" s="25"/>
      <c r="DY710" s="25"/>
      <c r="DZ710" s="25"/>
      <c r="EA710" s="25"/>
      <c r="EB710" s="25"/>
      <c r="EC710" s="25"/>
      <c r="ED710" s="25"/>
      <c r="EE710" s="25"/>
      <c r="EF710" s="25"/>
      <c r="EG710" s="25"/>
      <c r="EH710" s="25"/>
      <c r="EI710" s="25"/>
      <c r="EJ710" s="25"/>
      <c r="EK710" s="25"/>
      <c r="EL710" s="25"/>
      <c r="EM710" s="25"/>
      <c r="EN710" s="25"/>
      <c r="EO710" s="25"/>
      <c r="EP710" s="25"/>
      <c r="EQ710" s="25"/>
      <c r="ER710" s="25"/>
      <c r="ES710" s="25"/>
      <c r="ET710" s="25"/>
      <c r="EU710" s="25"/>
      <c r="EV710" s="25"/>
      <c r="EW710" s="25"/>
      <c r="EX710" s="25"/>
      <c r="EY710" s="25"/>
      <c r="EZ710" s="25"/>
      <c r="FA710" s="25"/>
      <c r="FB710" s="25"/>
      <c r="FC710" s="25"/>
      <c r="FD710" s="25"/>
      <c r="FE710" s="25"/>
      <c r="FF710" s="25"/>
      <c r="FG710" s="25"/>
      <c r="FH710" s="25"/>
      <c r="FI710" s="25"/>
      <c r="FJ710" s="25"/>
      <c r="FK710" s="25"/>
      <c r="FL710" s="25"/>
      <c r="FM710" s="25"/>
      <c r="FN710" s="25"/>
      <c r="FO710" s="25"/>
      <c r="FP710" s="25"/>
      <c r="FQ710" s="25"/>
      <c r="FR710" s="25"/>
      <c r="FS710" s="25"/>
      <c r="FT710" s="25"/>
      <c r="FU710" s="25"/>
      <c r="FV710" s="25"/>
      <c r="FW710" s="25"/>
      <c r="FX710" s="25"/>
      <c r="FY710" s="25"/>
      <c r="FZ710" s="25"/>
      <c r="GA710" s="25"/>
      <c r="GB710" s="25"/>
      <c r="GC710" s="25"/>
      <c r="GD710" s="25"/>
      <c r="GE710" s="25"/>
      <c r="GF710" s="25"/>
      <c r="GG710" s="25"/>
      <c r="GH710" s="25"/>
      <c r="GI710" s="25"/>
      <c r="GJ710" s="25"/>
      <c r="GK710" s="25"/>
      <c r="GL710" s="25"/>
      <c r="GM710" s="25"/>
      <c r="GN710" s="25"/>
      <c r="GO710" s="25"/>
      <c r="GP710" s="25"/>
      <c r="GQ710" s="25"/>
      <c r="GR710" s="25"/>
      <c r="GS710" s="25"/>
      <c r="GT710" s="25"/>
      <c r="GU710" s="25"/>
      <c r="GV710" s="25"/>
      <c r="GW710" s="25"/>
      <c r="GX710" s="25"/>
      <c r="GY710" s="25"/>
      <c r="GZ710" s="25"/>
      <c r="HA710" s="25"/>
      <c r="HB710" s="25"/>
      <c r="HC710" s="25"/>
      <c r="HD710" s="25"/>
      <c r="HE710" s="25"/>
      <c r="HF710" s="25"/>
      <c r="HG710" s="25"/>
      <c r="HH710" s="25"/>
      <c r="HI710" s="25"/>
      <c r="HJ710" s="25"/>
      <c r="HK710" s="25"/>
      <c r="HL710" s="25"/>
      <c r="HM710" s="25"/>
      <c r="HN710" s="25"/>
      <c r="HO710" s="25"/>
      <c r="HP710" s="25"/>
      <c r="HQ710" s="25"/>
      <c r="HR710" s="25"/>
      <c r="HS710" s="25"/>
      <c r="HT710" s="25"/>
      <c r="HU710" s="25"/>
      <c r="HV710" s="25"/>
      <c r="HW710" s="25"/>
      <c r="HX710" s="25"/>
      <c r="HY710" s="25"/>
      <c r="HZ710" s="25"/>
      <c r="IA710" s="25"/>
      <c r="IB710" s="25"/>
      <c r="IC710" s="25"/>
      <c r="ID710" s="25"/>
      <c r="IE710" s="25"/>
      <c r="IF710" s="25"/>
      <c r="IG710" s="25"/>
      <c r="IH710" s="25"/>
      <c r="II710" s="25"/>
      <c r="IJ710" s="25"/>
      <c r="IK710" s="25"/>
      <c r="IL710" s="25"/>
      <c r="IM710" s="25"/>
      <c r="IN710" s="25"/>
      <c r="IO710" s="25"/>
      <c r="IP710" s="25"/>
      <c r="IQ710" s="25"/>
      <c r="IR710" s="25"/>
      <c r="IS710" s="25"/>
      <c r="IT710" s="25"/>
      <c r="IU710" s="25"/>
      <c r="IV710" s="25"/>
      <c r="IW710" s="25"/>
      <c r="IX710" s="25"/>
      <c r="IY710" s="25"/>
      <c r="IZ710" s="25"/>
      <c r="JA710" s="25"/>
      <c r="JB710" s="25"/>
      <c r="JC710" s="25"/>
      <c r="JD710" s="25"/>
      <c r="JE710" s="25"/>
      <c r="JF710" s="25"/>
      <c r="JG710" s="25"/>
      <c r="JH710" s="25"/>
      <c r="JI710" s="25"/>
      <c r="JJ710" s="25"/>
      <c r="JK710" s="25"/>
      <c r="JL710" s="25"/>
      <c r="JM710" s="25"/>
      <c r="JN710" s="25"/>
      <c r="JO710" s="25"/>
      <c r="JP710" s="25"/>
      <c r="JQ710" s="25"/>
      <c r="JR710" s="25"/>
      <c r="JS710" s="25"/>
      <c r="JT710" s="25"/>
      <c r="JU710" s="25"/>
      <c r="JV710" s="25"/>
      <c r="JW710" s="25"/>
      <c r="JX710" s="25"/>
      <c r="JY710" s="25"/>
      <c r="JZ710" s="25"/>
      <c r="KA710" s="25"/>
      <c r="KB710" s="25"/>
      <c r="KC710" s="25"/>
      <c r="KD710" s="25"/>
      <c r="KE710" s="25"/>
      <c r="KF710" s="25"/>
      <c r="KG710" s="25"/>
      <c r="KH710" s="25"/>
      <c r="KI710" s="25"/>
      <c r="KJ710" s="25"/>
      <c r="KK710" s="25"/>
      <c r="KL710" s="25"/>
      <c r="KM710" s="25"/>
      <c r="KN710" s="25"/>
      <c r="KO710" s="25"/>
      <c r="KP710" s="25"/>
      <c r="KQ710" s="25"/>
      <c r="KR710" s="25"/>
      <c r="KS710" s="25"/>
      <c r="KT710" s="25"/>
      <c r="KU710" s="25"/>
      <c r="KV710" s="25"/>
      <c r="KW710" s="25"/>
      <c r="KX710" s="25"/>
      <c r="KY710" s="25"/>
      <c r="KZ710" s="25"/>
      <c r="LA710" s="25"/>
      <c r="LB710" s="25"/>
      <c r="LC710" s="25"/>
      <c r="LD710" s="25"/>
      <c r="LE710" s="25"/>
      <c r="LF710" s="25"/>
      <c r="LG710" s="25"/>
      <c r="LH710" s="25"/>
      <c r="LI710" s="25"/>
      <c r="LJ710" s="25"/>
      <c r="LK710" s="25"/>
      <c r="LL710" s="25"/>
      <c r="LM710" s="25"/>
      <c r="LN710" s="25"/>
      <c r="LO710" s="25"/>
      <c r="LP710" s="25"/>
      <c r="LQ710" s="25"/>
      <c r="LR710" s="25"/>
      <c r="LS710" s="25"/>
      <c r="LT710" s="25"/>
      <c r="LU710" s="25"/>
      <c r="LV710" s="25"/>
      <c r="LW710" s="25"/>
      <c r="LX710" s="25"/>
      <c r="LY710" s="25"/>
      <c r="LZ710" s="25"/>
      <c r="MA710" s="25"/>
      <c r="MB710" s="25"/>
      <c r="MC710" s="25"/>
      <c r="MD710" s="25"/>
      <c r="ME710" s="25"/>
      <c r="MF710" s="25"/>
      <c r="MG710" s="25"/>
      <c r="MH710" s="25"/>
      <c r="MI710" s="25"/>
      <c r="MJ710" s="25"/>
      <c r="MK710" s="25"/>
      <c r="ML710" s="25"/>
      <c r="MM710" s="25"/>
      <c r="MN710" s="25"/>
      <c r="MO710" s="25"/>
      <c r="MP710" s="25"/>
      <c r="MQ710" s="25"/>
      <c r="MR710" s="25"/>
      <c r="MS710" s="25"/>
      <c r="MT710" s="25"/>
      <c r="MU710" s="25"/>
      <c r="MV710" s="25"/>
      <c r="MW710" s="25"/>
      <c r="MX710" s="25"/>
      <c r="MY710" s="25"/>
      <c r="MZ710" s="25"/>
      <c r="NA710" s="25"/>
      <c r="NB710" s="25"/>
      <c r="NC710" s="25"/>
      <c r="ND710" s="25"/>
      <c r="NE710" s="25"/>
      <c r="NF710" s="25"/>
      <c r="NG710" s="25"/>
      <c r="NH710" s="25"/>
      <c r="NI710" s="25"/>
      <c r="NJ710" s="25"/>
      <c r="NK710" s="25"/>
      <c r="NL710" s="25"/>
      <c r="NM710" s="25"/>
      <c r="NN710" s="25"/>
      <c r="NO710" s="25"/>
      <c r="NP710" s="25"/>
      <c r="NQ710" s="25"/>
      <c r="NR710" s="25"/>
      <c r="NS710" s="25"/>
      <c r="NT710" s="25"/>
      <c r="NU710" s="25"/>
      <c r="NV710" s="25"/>
      <c r="NW710" s="25"/>
      <c r="NX710" s="25"/>
      <c r="NY710" s="25"/>
      <c r="NZ710" s="25"/>
      <c r="OA710" s="25"/>
      <c r="OB710" s="25"/>
      <c r="OC710" s="25"/>
      <c r="OD710" s="25"/>
      <c r="OE710" s="25"/>
      <c r="OF710" s="25"/>
      <c r="OG710" s="25"/>
      <c r="OH710" s="25"/>
      <c r="OI710" s="25"/>
      <c r="OJ710" s="25"/>
      <c r="OK710" s="25"/>
      <c r="OL710" s="25"/>
      <c r="OM710" s="25"/>
      <c r="ON710" s="25"/>
      <c r="OO710" s="25"/>
      <c r="OP710" s="25"/>
      <c r="OQ710" s="25"/>
      <c r="OR710" s="25"/>
      <c r="OS710" s="25"/>
      <c r="OT710" s="25"/>
      <c r="OU710" s="25"/>
      <c r="OV710" s="25"/>
      <c r="OW710" s="25"/>
      <c r="OX710" s="25"/>
      <c r="OY710" s="25"/>
      <c r="OZ710" s="25"/>
      <c r="PA710" s="25"/>
      <c r="PB710" s="25"/>
      <c r="PC710" s="25"/>
      <c r="PD710" s="25"/>
      <c r="PE710" s="25"/>
      <c r="PF710" s="25"/>
      <c r="PG710" s="25"/>
      <c r="PH710" s="25"/>
      <c r="PI710" s="25"/>
      <c r="PJ710" s="25"/>
      <c r="PK710" s="25"/>
      <c r="PL710" s="25"/>
      <c r="PM710" s="25"/>
      <c r="PN710" s="25"/>
      <c r="PO710" s="25"/>
      <c r="PP710" s="25"/>
      <c r="PQ710" s="25"/>
      <c r="PR710" s="25"/>
      <c r="PS710" s="25"/>
      <c r="PT710" s="25"/>
      <c r="PU710" s="25"/>
      <c r="PV710" s="25"/>
      <c r="PW710" s="25"/>
      <c r="PX710" s="25"/>
      <c r="PY710" s="25"/>
      <c r="PZ710" s="25"/>
      <c r="QA710" s="25"/>
      <c r="QB710" s="25"/>
      <c r="QC710" s="25"/>
      <c r="QD710" s="25"/>
      <c r="QE710" s="25"/>
      <c r="QF710" s="25"/>
      <c r="QG710" s="25"/>
      <c r="QH710" s="25"/>
      <c r="QI710" s="25"/>
      <c r="QJ710" s="25"/>
      <c r="QK710" s="25"/>
      <c r="QL710" s="25"/>
      <c r="QM710" s="25"/>
      <c r="QN710" s="25"/>
      <c r="QO710" s="25"/>
      <c r="QP710" s="25"/>
      <c r="QQ710" s="25"/>
      <c r="QR710" s="25"/>
      <c r="QS710" s="25"/>
      <c r="QT710" s="25"/>
      <c r="QU710" s="25"/>
      <c r="QV710" s="25"/>
      <c r="QW710" s="25"/>
      <c r="QX710" s="25"/>
      <c r="QY710" s="25"/>
      <c r="QZ710" s="25"/>
      <c r="RA710" s="25"/>
      <c r="RB710" s="25"/>
      <c r="RC710" s="25"/>
      <c r="RD710" s="25"/>
      <c r="RE710" s="25"/>
      <c r="RF710" s="25"/>
      <c r="RG710" s="25"/>
      <c r="RH710" s="25"/>
      <c r="RI710" s="25"/>
      <c r="RJ710" s="25"/>
      <c r="RK710" s="25"/>
      <c r="RL710" s="25"/>
      <c r="RM710" s="25"/>
      <c r="RN710" s="25"/>
      <c r="RO710" s="25"/>
      <c r="RP710" s="25"/>
      <c r="RQ710" s="25"/>
      <c r="RR710" s="25"/>
      <c r="RS710" s="25"/>
      <c r="RT710" s="25"/>
      <c r="RU710" s="25"/>
      <c r="RV710" s="25"/>
      <c r="RW710" s="25"/>
      <c r="RX710" s="25"/>
      <c r="RY710" s="25"/>
      <c r="RZ710" s="25"/>
      <c r="SA710" s="25"/>
      <c r="SB710" s="25"/>
      <c r="SC710" s="25"/>
      <c r="SD710" s="25"/>
      <c r="SE710" s="25"/>
      <c r="SF710" s="25"/>
      <c r="SG710" s="25"/>
      <c r="SH710" s="25"/>
      <c r="SI710" s="25"/>
      <c r="SJ710" s="25"/>
      <c r="SK710" s="25"/>
      <c r="SL710" s="25"/>
      <c r="SM710" s="25"/>
      <c r="SN710" s="25"/>
      <c r="SO710" s="25"/>
      <c r="SP710" s="25"/>
      <c r="SQ710" s="25"/>
      <c r="SR710" s="25"/>
      <c r="SS710" s="25"/>
      <c r="ST710" s="25"/>
      <c r="SU710" s="25"/>
      <c r="SV710" s="25"/>
      <c r="SW710" s="25"/>
      <c r="SX710" s="25"/>
      <c r="SY710" s="25"/>
      <c r="SZ710" s="25"/>
      <c r="TA710" s="25"/>
      <c r="TB710" s="25"/>
      <c r="TC710" s="25"/>
      <c r="TD710" s="25"/>
      <c r="TE710" s="25"/>
      <c r="TF710" s="25"/>
      <c r="TG710" s="25"/>
      <c r="TH710" s="25"/>
      <c r="TI710" s="25"/>
      <c r="TJ710" s="25"/>
      <c r="TK710" s="25"/>
      <c r="TL710" s="25"/>
      <c r="TM710" s="25"/>
      <c r="TN710" s="25"/>
      <c r="TO710" s="25"/>
      <c r="TP710" s="25"/>
      <c r="TQ710" s="25"/>
      <c r="TR710" s="25"/>
      <c r="TS710" s="25"/>
      <c r="TT710" s="25"/>
      <c r="TU710" s="25"/>
      <c r="TV710" s="25"/>
      <c r="TW710" s="25"/>
      <c r="TX710" s="25"/>
      <c r="TY710" s="25"/>
      <c r="TZ710" s="25"/>
      <c r="UA710" s="25"/>
      <c r="UB710" s="25"/>
      <c r="UC710" s="25"/>
      <c r="UD710" s="25"/>
      <c r="UE710" s="25"/>
      <c r="UF710" s="25"/>
      <c r="UG710" s="26"/>
    </row>
    <row r="711" spans="1:553" s="236" customFormat="1" ht="180.75" customHeight="1">
      <c r="A711" s="1339"/>
      <c r="B711" s="1340"/>
      <c r="C711" s="1341" t="s">
        <v>22</v>
      </c>
      <c r="D711" s="1342">
        <v>2</v>
      </c>
      <c r="E711" s="1342">
        <v>482</v>
      </c>
      <c r="F711" s="1340">
        <v>1</v>
      </c>
      <c r="G711" s="1343"/>
      <c r="H711" s="1344">
        <v>1421.2</v>
      </c>
      <c r="I711" s="1345">
        <v>1421.2</v>
      </c>
      <c r="J711" s="1346">
        <v>60000</v>
      </c>
      <c r="K711" s="1347"/>
      <c r="L711" s="1348">
        <f>I711*J711</f>
        <v>85272000</v>
      </c>
      <c r="M711" s="1349"/>
      <c r="N711" s="1349"/>
      <c r="O711" s="1350"/>
      <c r="P711" s="1350"/>
      <c r="Q711" s="1351" t="s">
        <v>475</v>
      </c>
      <c r="R711" s="1547"/>
      <c r="S711" s="1352"/>
      <c r="T711" s="1352"/>
      <c r="U711" s="1352"/>
      <c r="V711" s="1352"/>
      <c r="W711" s="1352"/>
      <c r="X711" s="1352"/>
      <c r="Y711" s="1352"/>
      <c r="Z711" s="1353"/>
      <c r="AA711" s="1352"/>
      <c r="AB711" s="1354">
        <f>I711</f>
        <v>1421.2</v>
      </c>
      <c r="AC711" s="1355"/>
      <c r="AD711" s="1355"/>
      <c r="AE711" s="1355"/>
      <c r="AF711" s="1355"/>
      <c r="AG711" s="1355"/>
      <c r="AH711" s="1355"/>
      <c r="AI711" s="1355"/>
      <c r="AJ711" s="1355"/>
      <c r="AK711" s="1356"/>
      <c r="AL711" s="242"/>
      <c r="AM711" s="241"/>
      <c r="AN711" s="241"/>
      <c r="AO711" s="241"/>
      <c r="AP711" s="241"/>
      <c r="AQ711" s="241"/>
      <c r="AR711" s="241"/>
      <c r="AS711" s="238"/>
      <c r="AT711" s="234"/>
      <c r="AU711" s="234"/>
      <c r="AV711" s="234"/>
      <c r="AW711" s="234"/>
      <c r="AX711" s="234"/>
      <c r="AY711" s="234"/>
      <c r="AZ711" s="234"/>
      <c r="BA711" s="234"/>
      <c r="BB711" s="234"/>
      <c r="BC711" s="234"/>
      <c r="BD711" s="234"/>
      <c r="BE711" s="234"/>
      <c r="BF711" s="234"/>
      <c r="BG711" s="234"/>
      <c r="BH711" s="234"/>
      <c r="BI711" s="234"/>
      <c r="BJ711" s="234"/>
      <c r="BK711" s="234"/>
      <c r="BL711" s="234"/>
      <c r="BM711" s="234"/>
      <c r="BN711" s="234"/>
      <c r="BO711" s="234"/>
      <c r="BP711" s="239"/>
      <c r="BQ711" s="239"/>
      <c r="BR711" s="239"/>
      <c r="BS711" s="239"/>
      <c r="BT711" s="239"/>
      <c r="BU711" s="239"/>
      <c r="BV711" s="239"/>
      <c r="BW711" s="239"/>
      <c r="BX711" s="239"/>
      <c r="BY711" s="239"/>
      <c r="BZ711" s="239"/>
      <c r="CA711" s="239"/>
      <c r="CB711" s="239"/>
      <c r="CC711" s="239"/>
      <c r="CD711" s="239"/>
      <c r="CE711" s="239"/>
      <c r="CF711" s="239"/>
      <c r="CG711" s="239"/>
      <c r="CH711" s="239"/>
      <c r="CI711" s="239"/>
      <c r="CJ711" s="239"/>
      <c r="CK711" s="239"/>
      <c r="CL711" s="239"/>
      <c r="CM711" s="239"/>
      <c r="CN711" s="239"/>
      <c r="CO711" s="239"/>
      <c r="CP711" s="239"/>
      <c r="CQ711" s="239"/>
      <c r="CR711" s="239"/>
      <c r="CS711" s="239"/>
      <c r="CT711" s="239"/>
      <c r="CU711" s="239"/>
      <c r="CV711" s="239"/>
      <c r="CW711" s="239"/>
      <c r="CX711" s="239"/>
      <c r="CY711" s="239"/>
      <c r="CZ711" s="239"/>
      <c r="DA711" s="239"/>
      <c r="DB711" s="239"/>
      <c r="DC711" s="239"/>
      <c r="DD711" s="239"/>
      <c r="DE711" s="239"/>
      <c r="DF711" s="239"/>
      <c r="DG711" s="239"/>
      <c r="DH711" s="239"/>
      <c r="DI711" s="239"/>
      <c r="DJ711" s="239"/>
      <c r="DK711" s="239"/>
      <c r="DL711" s="239"/>
      <c r="DM711" s="239"/>
      <c r="DN711" s="239"/>
      <c r="DO711" s="239"/>
      <c r="DP711" s="239"/>
      <c r="DQ711" s="239"/>
      <c r="DR711" s="239"/>
      <c r="DS711" s="239"/>
      <c r="DT711" s="239"/>
      <c r="DU711" s="239"/>
      <c r="DV711" s="239"/>
      <c r="DW711" s="239"/>
      <c r="DX711" s="239"/>
      <c r="DY711" s="239"/>
      <c r="DZ711" s="239"/>
      <c r="EA711" s="239"/>
      <c r="EB711" s="239"/>
      <c r="EC711" s="239"/>
      <c r="ED711" s="239"/>
      <c r="EE711" s="239"/>
      <c r="EF711" s="239"/>
      <c r="EG711" s="239"/>
      <c r="EH711" s="239"/>
      <c r="EI711" s="239"/>
      <c r="EJ711" s="239"/>
      <c r="EK711" s="239"/>
      <c r="EL711" s="239"/>
      <c r="EM711" s="239"/>
      <c r="EN711" s="239"/>
      <c r="EO711" s="239"/>
      <c r="EP711" s="239"/>
      <c r="EQ711" s="239"/>
      <c r="ER711" s="239"/>
      <c r="ES711" s="239"/>
      <c r="ET711" s="239"/>
      <c r="EU711" s="239"/>
      <c r="EV711" s="239"/>
      <c r="EW711" s="239"/>
      <c r="EX711" s="239"/>
      <c r="EY711" s="239"/>
      <c r="EZ711" s="239"/>
      <c r="FA711" s="239"/>
      <c r="FB711" s="239"/>
      <c r="FC711" s="239"/>
      <c r="FD711" s="239"/>
      <c r="FE711" s="239"/>
      <c r="FF711" s="239"/>
      <c r="FG711" s="239"/>
      <c r="FH711" s="239"/>
      <c r="FI711" s="239"/>
      <c r="FJ711" s="239"/>
      <c r="FK711" s="239"/>
      <c r="FL711" s="239"/>
      <c r="FM711" s="239"/>
      <c r="FN711" s="239"/>
      <c r="FO711" s="239"/>
      <c r="FP711" s="239"/>
      <c r="FQ711" s="239"/>
      <c r="FR711" s="239"/>
      <c r="FS711" s="239"/>
      <c r="FT711" s="239"/>
      <c r="FU711" s="239"/>
      <c r="FV711" s="239"/>
      <c r="FW711" s="239"/>
      <c r="FX711" s="239"/>
      <c r="FY711" s="239"/>
      <c r="FZ711" s="239"/>
      <c r="GA711" s="239"/>
      <c r="GB711" s="239"/>
      <c r="GC711" s="239"/>
      <c r="GD711" s="239"/>
      <c r="GE711" s="239"/>
      <c r="GF711" s="239"/>
      <c r="GG711" s="239"/>
      <c r="GH711" s="239"/>
      <c r="GI711" s="239"/>
      <c r="GJ711" s="239"/>
      <c r="GK711" s="239"/>
      <c r="GL711" s="239"/>
      <c r="GM711" s="239"/>
      <c r="GN711" s="239"/>
      <c r="GO711" s="239"/>
      <c r="GP711" s="239"/>
      <c r="GQ711" s="239"/>
      <c r="GR711" s="239"/>
      <c r="GS711" s="239"/>
      <c r="GT711" s="239"/>
      <c r="GU711" s="239"/>
      <c r="GV711" s="239"/>
      <c r="GW711" s="239"/>
      <c r="GX711" s="239"/>
      <c r="GY711" s="239"/>
      <c r="GZ711" s="239"/>
      <c r="HA711" s="239"/>
      <c r="HB711" s="239"/>
      <c r="HC711" s="239"/>
      <c r="HD711" s="239"/>
      <c r="HE711" s="239"/>
      <c r="HF711" s="239"/>
      <c r="HG711" s="239"/>
      <c r="HH711" s="239"/>
      <c r="HI711" s="239"/>
      <c r="HJ711" s="239"/>
      <c r="HK711" s="239"/>
      <c r="HL711" s="239"/>
      <c r="HM711" s="239"/>
      <c r="HN711" s="239"/>
      <c r="HO711" s="239"/>
      <c r="HP711" s="239"/>
      <c r="HQ711" s="239"/>
      <c r="HR711" s="239"/>
      <c r="HS711" s="239"/>
      <c r="HT711" s="239"/>
      <c r="HU711" s="239"/>
      <c r="HV711" s="239"/>
      <c r="HW711" s="239"/>
      <c r="HX711" s="239"/>
      <c r="HY711" s="239"/>
      <c r="HZ711" s="239"/>
      <c r="IA711" s="239"/>
      <c r="IB711" s="239"/>
      <c r="IC711" s="239"/>
      <c r="ID711" s="239"/>
      <c r="IE711" s="239"/>
      <c r="IF711" s="239"/>
      <c r="IG711" s="239"/>
      <c r="IH711" s="239"/>
      <c r="II711" s="239"/>
      <c r="IJ711" s="239"/>
      <c r="IK711" s="239"/>
      <c r="IL711" s="239"/>
      <c r="IM711" s="239"/>
      <c r="IN711" s="239"/>
      <c r="IO711" s="239"/>
      <c r="IP711" s="239"/>
      <c r="IQ711" s="239"/>
      <c r="IR711" s="239"/>
      <c r="IS711" s="239"/>
      <c r="IT711" s="239"/>
      <c r="IU711" s="239"/>
      <c r="IV711" s="239"/>
      <c r="IW711" s="239"/>
      <c r="IX711" s="239"/>
      <c r="IY711" s="239"/>
      <c r="IZ711" s="239"/>
      <c r="JA711" s="239"/>
      <c r="JB711" s="239"/>
      <c r="JC711" s="239"/>
      <c r="JD711" s="239"/>
      <c r="JE711" s="239"/>
      <c r="JF711" s="239"/>
      <c r="JG711" s="239"/>
      <c r="JH711" s="239"/>
      <c r="JI711" s="239"/>
      <c r="JJ711" s="239"/>
      <c r="JK711" s="239"/>
      <c r="JL711" s="239"/>
      <c r="JM711" s="239"/>
      <c r="JN711" s="239"/>
      <c r="JO711" s="239"/>
      <c r="JP711" s="239"/>
      <c r="JQ711" s="239"/>
      <c r="JR711" s="239"/>
      <c r="JS711" s="239"/>
      <c r="JT711" s="239"/>
      <c r="JU711" s="239"/>
      <c r="JV711" s="239"/>
      <c r="JW711" s="239"/>
      <c r="JX711" s="239"/>
      <c r="JY711" s="239"/>
      <c r="JZ711" s="239"/>
      <c r="KA711" s="239"/>
      <c r="KB711" s="239"/>
      <c r="KC711" s="239"/>
      <c r="KD711" s="239"/>
      <c r="KE711" s="239"/>
      <c r="KF711" s="239"/>
      <c r="KG711" s="239"/>
      <c r="KH711" s="239"/>
      <c r="KI711" s="239"/>
      <c r="KJ711" s="239"/>
      <c r="KK711" s="239"/>
      <c r="KL711" s="239"/>
      <c r="KM711" s="239"/>
      <c r="KN711" s="239"/>
      <c r="KO711" s="239"/>
      <c r="KP711" s="239"/>
      <c r="KQ711" s="239"/>
      <c r="KR711" s="239"/>
      <c r="KS711" s="239"/>
      <c r="KT711" s="239"/>
      <c r="KU711" s="239"/>
      <c r="KV711" s="239"/>
      <c r="KW711" s="239"/>
      <c r="KX711" s="239"/>
      <c r="KY711" s="239"/>
      <c r="KZ711" s="239"/>
      <c r="LA711" s="239"/>
      <c r="LB711" s="239"/>
      <c r="LC711" s="239"/>
      <c r="LD711" s="239"/>
      <c r="LE711" s="239"/>
      <c r="LF711" s="239"/>
      <c r="LG711" s="239"/>
      <c r="LH711" s="239"/>
      <c r="LI711" s="239"/>
      <c r="LJ711" s="239"/>
      <c r="LK711" s="239"/>
      <c r="LL711" s="239"/>
      <c r="LM711" s="239"/>
      <c r="LN711" s="239"/>
      <c r="LO711" s="239"/>
      <c r="LP711" s="239"/>
      <c r="LQ711" s="239"/>
      <c r="LR711" s="239"/>
      <c r="LS711" s="239"/>
      <c r="LT711" s="239"/>
      <c r="LU711" s="239"/>
      <c r="LV711" s="239"/>
      <c r="LW711" s="239"/>
      <c r="LX711" s="239"/>
      <c r="LY711" s="239"/>
      <c r="LZ711" s="239"/>
      <c r="MA711" s="239"/>
      <c r="MB711" s="239"/>
      <c r="MC711" s="239"/>
      <c r="MD711" s="239"/>
      <c r="ME711" s="239"/>
      <c r="MF711" s="239"/>
      <c r="MG711" s="239"/>
      <c r="MH711" s="239"/>
      <c r="MI711" s="239"/>
      <c r="MJ711" s="239"/>
      <c r="MK711" s="239"/>
      <c r="ML711" s="239"/>
      <c r="MM711" s="239"/>
      <c r="MN711" s="239"/>
      <c r="MO711" s="239"/>
      <c r="MP711" s="239"/>
      <c r="MQ711" s="239"/>
      <c r="MR711" s="239"/>
      <c r="MS711" s="239"/>
      <c r="MT711" s="239"/>
      <c r="MU711" s="239"/>
      <c r="MV711" s="239"/>
      <c r="MW711" s="239"/>
      <c r="MX711" s="239"/>
      <c r="MY711" s="239"/>
      <c r="MZ711" s="239"/>
      <c r="NA711" s="239"/>
      <c r="NB711" s="239"/>
      <c r="NC711" s="239"/>
      <c r="ND711" s="239"/>
      <c r="NE711" s="239"/>
      <c r="NF711" s="239"/>
      <c r="NG711" s="239"/>
      <c r="NH711" s="239"/>
      <c r="NI711" s="239"/>
      <c r="NJ711" s="239"/>
      <c r="NK711" s="239"/>
      <c r="NL711" s="239"/>
      <c r="NM711" s="239"/>
      <c r="NN711" s="239"/>
      <c r="NO711" s="239"/>
      <c r="NP711" s="239"/>
      <c r="NQ711" s="239"/>
      <c r="NR711" s="239"/>
      <c r="NS711" s="239"/>
      <c r="NT711" s="239"/>
      <c r="NU711" s="239"/>
      <c r="NV711" s="239"/>
      <c r="NW711" s="239"/>
      <c r="NX711" s="239"/>
      <c r="NY711" s="239"/>
      <c r="NZ711" s="239"/>
      <c r="OA711" s="239"/>
      <c r="OB711" s="239"/>
      <c r="OC711" s="239"/>
      <c r="OD711" s="239"/>
      <c r="OE711" s="239"/>
      <c r="OF711" s="239"/>
      <c r="OG711" s="239"/>
      <c r="OH711" s="239"/>
      <c r="OI711" s="239"/>
      <c r="OJ711" s="239"/>
      <c r="OK711" s="239"/>
      <c r="OL711" s="239"/>
      <c r="OM711" s="239"/>
      <c r="ON711" s="239"/>
      <c r="OO711" s="239"/>
      <c r="OP711" s="239"/>
      <c r="OQ711" s="239"/>
      <c r="OR711" s="239"/>
      <c r="OS711" s="239"/>
      <c r="OT711" s="239"/>
      <c r="OU711" s="239"/>
      <c r="OV711" s="239"/>
      <c r="OW711" s="239"/>
      <c r="OX711" s="239"/>
      <c r="OY711" s="239"/>
      <c r="OZ711" s="239"/>
      <c r="PA711" s="239"/>
      <c r="PB711" s="239"/>
      <c r="PC711" s="239"/>
      <c r="PD711" s="239"/>
      <c r="PE711" s="239"/>
      <c r="PF711" s="239"/>
      <c r="PG711" s="239"/>
      <c r="PH711" s="239"/>
      <c r="PI711" s="239"/>
      <c r="PJ711" s="239"/>
      <c r="PK711" s="239"/>
      <c r="PL711" s="239"/>
      <c r="PM711" s="239"/>
      <c r="PN711" s="239"/>
      <c r="PO711" s="239"/>
      <c r="PP711" s="239"/>
      <c r="PQ711" s="239"/>
      <c r="PR711" s="239"/>
      <c r="PS711" s="239"/>
      <c r="PT711" s="239"/>
      <c r="PU711" s="239"/>
      <c r="PV711" s="239"/>
      <c r="PW711" s="239"/>
      <c r="PX711" s="239"/>
      <c r="PY711" s="239"/>
      <c r="PZ711" s="239"/>
      <c r="QA711" s="239"/>
      <c r="QB711" s="239"/>
      <c r="QC711" s="239"/>
      <c r="QD711" s="239"/>
      <c r="QE711" s="239"/>
      <c r="QF711" s="239"/>
      <c r="QG711" s="239"/>
      <c r="QH711" s="239"/>
      <c r="QI711" s="239"/>
      <c r="QJ711" s="239"/>
      <c r="QK711" s="239"/>
      <c r="QL711" s="239"/>
      <c r="QM711" s="239"/>
      <c r="QN711" s="239"/>
      <c r="QO711" s="239"/>
      <c r="QP711" s="239"/>
      <c r="QQ711" s="239"/>
      <c r="QR711" s="239"/>
      <c r="QS711" s="239"/>
      <c r="QT711" s="239"/>
      <c r="QU711" s="239"/>
      <c r="QV711" s="239"/>
      <c r="QW711" s="239"/>
      <c r="QX711" s="239"/>
      <c r="QY711" s="239"/>
      <c r="QZ711" s="239"/>
      <c r="RA711" s="239"/>
      <c r="RB711" s="239"/>
      <c r="RC711" s="239"/>
      <c r="RD711" s="239"/>
      <c r="RE711" s="239"/>
      <c r="RF711" s="239"/>
      <c r="RG711" s="239"/>
      <c r="RH711" s="239"/>
      <c r="RI711" s="239"/>
      <c r="RJ711" s="239"/>
      <c r="RK711" s="239"/>
      <c r="RL711" s="239"/>
      <c r="RM711" s="239"/>
      <c r="RN711" s="239"/>
      <c r="RO711" s="239"/>
      <c r="RP711" s="239"/>
      <c r="RQ711" s="239"/>
      <c r="RR711" s="239"/>
      <c r="RS711" s="239"/>
      <c r="RT711" s="239"/>
      <c r="RU711" s="239"/>
      <c r="RV711" s="239"/>
      <c r="RW711" s="239"/>
      <c r="RX711" s="239"/>
      <c r="RY711" s="239"/>
      <c r="RZ711" s="239"/>
      <c r="SA711" s="239"/>
      <c r="SB711" s="239"/>
      <c r="SC711" s="239"/>
      <c r="SD711" s="239"/>
      <c r="SE711" s="239"/>
      <c r="SF711" s="239"/>
      <c r="SG711" s="239"/>
      <c r="SH711" s="239"/>
      <c r="SI711" s="239"/>
      <c r="SJ711" s="239"/>
      <c r="SK711" s="239"/>
      <c r="SL711" s="239"/>
      <c r="SM711" s="239"/>
      <c r="SN711" s="239"/>
      <c r="SO711" s="239"/>
      <c r="SP711" s="239"/>
      <c r="SQ711" s="239"/>
      <c r="SR711" s="239"/>
      <c r="SS711" s="239"/>
      <c r="ST711" s="239"/>
      <c r="SU711" s="239"/>
      <c r="SV711" s="239"/>
      <c r="SW711" s="239"/>
      <c r="SX711" s="239"/>
      <c r="SY711" s="239"/>
      <c r="SZ711" s="239"/>
      <c r="TA711" s="239"/>
      <c r="TB711" s="239"/>
      <c r="TC711" s="239"/>
      <c r="TD711" s="239"/>
      <c r="TE711" s="239"/>
      <c r="TF711" s="239"/>
      <c r="TG711" s="239"/>
      <c r="TH711" s="239"/>
      <c r="TI711" s="239"/>
      <c r="TJ711" s="239"/>
      <c r="TK711" s="239"/>
      <c r="TL711" s="239"/>
      <c r="TM711" s="239"/>
      <c r="TN711" s="239"/>
      <c r="TO711" s="239"/>
      <c r="TP711" s="239"/>
      <c r="TQ711" s="239"/>
      <c r="TR711" s="239"/>
      <c r="TS711" s="239"/>
      <c r="TT711" s="239"/>
      <c r="TU711" s="239"/>
      <c r="TV711" s="239"/>
      <c r="TW711" s="239"/>
      <c r="TX711" s="239"/>
      <c r="TY711" s="239"/>
      <c r="TZ711" s="239"/>
      <c r="UA711" s="239"/>
      <c r="UB711" s="239"/>
      <c r="UC711" s="239"/>
      <c r="UD711" s="239"/>
      <c r="UE711" s="239"/>
      <c r="UF711" s="239"/>
      <c r="UG711" s="240"/>
    </row>
    <row r="712" spans="1:553" s="236" customFormat="1" ht="258" customHeight="1">
      <c r="A712" s="356"/>
      <c r="B712" s="385"/>
      <c r="C712" s="384" t="s">
        <v>69</v>
      </c>
      <c r="D712" s="376" t="s">
        <v>70</v>
      </c>
      <c r="E712" s="376" t="s">
        <v>508</v>
      </c>
      <c r="F712" s="385">
        <v>1</v>
      </c>
      <c r="G712" s="396" t="s">
        <v>33</v>
      </c>
      <c r="H712" s="387">
        <v>113.9</v>
      </c>
      <c r="I712" s="441">
        <v>113.9</v>
      </c>
      <c r="J712" s="477">
        <v>55000</v>
      </c>
      <c r="K712" s="391"/>
      <c r="L712" s="480">
        <f>PRODUCT(I712:K712)</f>
        <v>6264500</v>
      </c>
      <c r="M712" s="392"/>
      <c r="N712" s="392"/>
      <c r="O712" s="366"/>
      <c r="P712" s="366"/>
      <c r="Q712" s="1546" t="s">
        <v>930</v>
      </c>
      <c r="R712" s="1547" t="s">
        <v>943</v>
      </c>
      <c r="S712" s="308"/>
      <c r="T712" s="308"/>
      <c r="U712" s="308"/>
      <c r="V712" s="308"/>
      <c r="W712" s="308"/>
      <c r="X712" s="307">
        <f>I712</f>
        <v>113.9</v>
      </c>
      <c r="Y712" s="308"/>
      <c r="Z712" s="604"/>
      <c r="AA712" s="308"/>
      <c r="AB712" s="308"/>
      <c r="AC712" s="449"/>
      <c r="AD712" s="449"/>
      <c r="AE712" s="449"/>
      <c r="AF712" s="449"/>
      <c r="AG712" s="449"/>
      <c r="AH712" s="449"/>
      <c r="AI712" s="449"/>
      <c r="AJ712" s="449"/>
      <c r="AK712" s="452"/>
      <c r="AL712" s="242"/>
      <c r="AM712" s="241"/>
      <c r="AN712" s="241"/>
      <c r="AO712" s="241"/>
      <c r="AP712" s="241"/>
      <c r="AQ712" s="241"/>
      <c r="AR712" s="241"/>
      <c r="AS712" s="238"/>
      <c r="AT712" s="234"/>
      <c r="AU712" s="234"/>
      <c r="AV712" s="234"/>
      <c r="AW712" s="234"/>
      <c r="AX712" s="234"/>
      <c r="AY712" s="234"/>
      <c r="AZ712" s="234"/>
      <c r="BA712" s="234"/>
      <c r="BB712" s="234"/>
      <c r="BC712" s="234"/>
      <c r="BD712" s="234"/>
      <c r="BE712" s="234"/>
      <c r="BF712" s="234"/>
      <c r="BG712" s="234"/>
      <c r="BH712" s="234"/>
      <c r="BI712" s="234"/>
      <c r="BJ712" s="234"/>
      <c r="BK712" s="234"/>
      <c r="BL712" s="234"/>
      <c r="BM712" s="234"/>
      <c r="BN712" s="234"/>
      <c r="BO712" s="234"/>
      <c r="BP712" s="239"/>
      <c r="BQ712" s="239"/>
      <c r="BR712" s="239"/>
      <c r="BS712" s="239"/>
      <c r="BT712" s="239"/>
      <c r="BU712" s="239"/>
      <c r="BV712" s="239"/>
      <c r="BW712" s="239"/>
      <c r="BX712" s="239"/>
      <c r="BY712" s="239"/>
      <c r="BZ712" s="239"/>
      <c r="CA712" s="239"/>
      <c r="CB712" s="239"/>
      <c r="CC712" s="239"/>
      <c r="CD712" s="239"/>
      <c r="CE712" s="239"/>
      <c r="CF712" s="239"/>
      <c r="CG712" s="239"/>
      <c r="CH712" s="239"/>
      <c r="CI712" s="239"/>
      <c r="CJ712" s="239"/>
      <c r="CK712" s="239"/>
      <c r="CL712" s="239"/>
      <c r="CM712" s="239"/>
      <c r="CN712" s="239"/>
      <c r="CO712" s="239"/>
      <c r="CP712" s="239"/>
      <c r="CQ712" s="239"/>
      <c r="CR712" s="239"/>
      <c r="CS712" s="239"/>
      <c r="CT712" s="239"/>
      <c r="CU712" s="239"/>
      <c r="CV712" s="239"/>
      <c r="CW712" s="239"/>
      <c r="CX712" s="239"/>
      <c r="CY712" s="239"/>
      <c r="CZ712" s="239"/>
      <c r="DA712" s="239"/>
      <c r="DB712" s="239"/>
      <c r="DC712" s="239"/>
      <c r="DD712" s="239"/>
      <c r="DE712" s="239"/>
      <c r="DF712" s="239"/>
      <c r="DG712" s="239"/>
      <c r="DH712" s="239"/>
      <c r="DI712" s="239"/>
      <c r="DJ712" s="239"/>
      <c r="DK712" s="239"/>
      <c r="DL712" s="239"/>
      <c r="DM712" s="239"/>
      <c r="DN712" s="239"/>
      <c r="DO712" s="239"/>
      <c r="DP712" s="239"/>
      <c r="DQ712" s="239"/>
      <c r="DR712" s="239"/>
      <c r="DS712" s="239"/>
      <c r="DT712" s="239"/>
      <c r="DU712" s="239"/>
      <c r="DV712" s="239"/>
      <c r="DW712" s="239"/>
      <c r="DX712" s="239"/>
      <c r="DY712" s="239"/>
      <c r="DZ712" s="239"/>
      <c r="EA712" s="239"/>
      <c r="EB712" s="239"/>
      <c r="EC712" s="239"/>
      <c r="ED712" s="239"/>
      <c r="EE712" s="239"/>
      <c r="EF712" s="239"/>
      <c r="EG712" s="239"/>
      <c r="EH712" s="239"/>
      <c r="EI712" s="239"/>
      <c r="EJ712" s="239"/>
      <c r="EK712" s="239"/>
      <c r="EL712" s="239"/>
      <c r="EM712" s="239"/>
      <c r="EN712" s="239"/>
      <c r="EO712" s="239"/>
      <c r="EP712" s="239"/>
      <c r="EQ712" s="239"/>
      <c r="ER712" s="239"/>
      <c r="ES712" s="239"/>
      <c r="ET712" s="239"/>
      <c r="EU712" s="239"/>
      <c r="EV712" s="239"/>
      <c r="EW712" s="239"/>
      <c r="EX712" s="239"/>
      <c r="EY712" s="239"/>
      <c r="EZ712" s="239"/>
      <c r="FA712" s="239"/>
      <c r="FB712" s="239"/>
      <c r="FC712" s="239"/>
      <c r="FD712" s="239"/>
      <c r="FE712" s="239"/>
      <c r="FF712" s="239"/>
      <c r="FG712" s="239"/>
      <c r="FH712" s="239"/>
      <c r="FI712" s="239"/>
      <c r="FJ712" s="239"/>
      <c r="FK712" s="239"/>
      <c r="FL712" s="239"/>
      <c r="FM712" s="239"/>
      <c r="FN712" s="239"/>
      <c r="FO712" s="239"/>
      <c r="FP712" s="239"/>
      <c r="FQ712" s="239"/>
      <c r="FR712" s="239"/>
      <c r="FS712" s="239"/>
      <c r="FT712" s="239"/>
      <c r="FU712" s="239"/>
      <c r="FV712" s="239"/>
      <c r="FW712" s="239"/>
      <c r="FX712" s="239"/>
      <c r="FY712" s="239"/>
      <c r="FZ712" s="239"/>
      <c r="GA712" s="239"/>
      <c r="GB712" s="239"/>
      <c r="GC712" s="239"/>
      <c r="GD712" s="239"/>
      <c r="GE712" s="239"/>
      <c r="GF712" s="239"/>
      <c r="GG712" s="239"/>
      <c r="GH712" s="239"/>
      <c r="GI712" s="239"/>
      <c r="GJ712" s="239"/>
      <c r="GK712" s="239"/>
      <c r="GL712" s="239"/>
      <c r="GM712" s="239"/>
      <c r="GN712" s="239"/>
      <c r="GO712" s="239"/>
      <c r="GP712" s="239"/>
      <c r="GQ712" s="239"/>
      <c r="GR712" s="239"/>
      <c r="GS712" s="239"/>
      <c r="GT712" s="239"/>
      <c r="GU712" s="239"/>
      <c r="GV712" s="239"/>
      <c r="GW712" s="239"/>
      <c r="GX712" s="239"/>
      <c r="GY712" s="239"/>
      <c r="GZ712" s="239"/>
      <c r="HA712" s="239"/>
      <c r="HB712" s="239"/>
      <c r="HC712" s="239"/>
      <c r="HD712" s="239"/>
      <c r="HE712" s="239"/>
      <c r="HF712" s="239"/>
      <c r="HG712" s="239"/>
      <c r="HH712" s="239"/>
      <c r="HI712" s="239"/>
      <c r="HJ712" s="239"/>
      <c r="HK712" s="239"/>
      <c r="HL712" s="239"/>
      <c r="HM712" s="239"/>
      <c r="HN712" s="239"/>
      <c r="HO712" s="239"/>
      <c r="HP712" s="239"/>
      <c r="HQ712" s="239"/>
      <c r="HR712" s="239"/>
      <c r="HS712" s="239"/>
      <c r="HT712" s="239"/>
      <c r="HU712" s="239"/>
      <c r="HV712" s="239"/>
      <c r="HW712" s="239"/>
      <c r="HX712" s="239"/>
      <c r="HY712" s="239"/>
      <c r="HZ712" s="239"/>
      <c r="IA712" s="239"/>
      <c r="IB712" s="239"/>
      <c r="IC712" s="239"/>
      <c r="ID712" s="239"/>
      <c r="IE712" s="239"/>
      <c r="IF712" s="239"/>
      <c r="IG712" s="239"/>
      <c r="IH712" s="239"/>
      <c r="II712" s="239"/>
      <c r="IJ712" s="239"/>
      <c r="IK712" s="239"/>
      <c r="IL712" s="239"/>
      <c r="IM712" s="239"/>
      <c r="IN712" s="239"/>
      <c r="IO712" s="239"/>
      <c r="IP712" s="239"/>
      <c r="IQ712" s="239"/>
      <c r="IR712" s="239"/>
      <c r="IS712" s="239"/>
      <c r="IT712" s="239"/>
      <c r="IU712" s="239"/>
      <c r="IV712" s="239"/>
      <c r="IW712" s="239"/>
      <c r="IX712" s="239"/>
      <c r="IY712" s="239"/>
      <c r="IZ712" s="239"/>
      <c r="JA712" s="239"/>
      <c r="JB712" s="239"/>
      <c r="JC712" s="239"/>
      <c r="JD712" s="239"/>
      <c r="JE712" s="239"/>
      <c r="JF712" s="239"/>
      <c r="JG712" s="239"/>
      <c r="JH712" s="239"/>
      <c r="JI712" s="239"/>
      <c r="JJ712" s="239"/>
      <c r="JK712" s="239"/>
      <c r="JL712" s="239"/>
      <c r="JM712" s="239"/>
      <c r="JN712" s="239"/>
      <c r="JO712" s="239"/>
      <c r="JP712" s="239"/>
      <c r="JQ712" s="239"/>
      <c r="JR712" s="239"/>
      <c r="JS712" s="239"/>
      <c r="JT712" s="239"/>
      <c r="JU712" s="239"/>
      <c r="JV712" s="239"/>
      <c r="JW712" s="239"/>
      <c r="JX712" s="239"/>
      <c r="JY712" s="239"/>
      <c r="JZ712" s="239"/>
      <c r="KA712" s="239"/>
      <c r="KB712" s="239"/>
      <c r="KC712" s="239"/>
      <c r="KD712" s="239"/>
      <c r="KE712" s="239"/>
      <c r="KF712" s="239"/>
      <c r="KG712" s="239"/>
      <c r="KH712" s="239"/>
      <c r="KI712" s="239"/>
      <c r="KJ712" s="239"/>
      <c r="KK712" s="239"/>
      <c r="KL712" s="239"/>
      <c r="KM712" s="239"/>
      <c r="KN712" s="239"/>
      <c r="KO712" s="239"/>
      <c r="KP712" s="239"/>
      <c r="KQ712" s="239"/>
      <c r="KR712" s="239"/>
      <c r="KS712" s="239"/>
      <c r="KT712" s="239"/>
      <c r="KU712" s="239"/>
      <c r="KV712" s="239"/>
      <c r="KW712" s="239"/>
      <c r="KX712" s="239"/>
      <c r="KY712" s="239"/>
      <c r="KZ712" s="239"/>
      <c r="LA712" s="239"/>
      <c r="LB712" s="239"/>
      <c r="LC712" s="239"/>
      <c r="LD712" s="239"/>
      <c r="LE712" s="239"/>
      <c r="LF712" s="239"/>
      <c r="LG712" s="239"/>
      <c r="LH712" s="239"/>
      <c r="LI712" s="239"/>
      <c r="LJ712" s="239"/>
      <c r="LK712" s="239"/>
      <c r="LL712" s="239"/>
      <c r="LM712" s="239"/>
      <c r="LN712" s="239"/>
      <c r="LO712" s="239"/>
      <c r="LP712" s="239"/>
      <c r="LQ712" s="239"/>
      <c r="LR712" s="239"/>
      <c r="LS712" s="239"/>
      <c r="LT712" s="239"/>
      <c r="LU712" s="239"/>
      <c r="LV712" s="239"/>
      <c r="LW712" s="239"/>
      <c r="LX712" s="239"/>
      <c r="LY712" s="239"/>
      <c r="LZ712" s="239"/>
      <c r="MA712" s="239"/>
      <c r="MB712" s="239"/>
      <c r="MC712" s="239"/>
      <c r="MD712" s="239"/>
      <c r="ME712" s="239"/>
      <c r="MF712" s="239"/>
      <c r="MG712" s="239"/>
      <c r="MH712" s="239"/>
      <c r="MI712" s="239"/>
      <c r="MJ712" s="239"/>
      <c r="MK712" s="239"/>
      <c r="ML712" s="239"/>
      <c r="MM712" s="239"/>
      <c r="MN712" s="239"/>
      <c r="MO712" s="239"/>
      <c r="MP712" s="239"/>
      <c r="MQ712" s="239"/>
      <c r="MR712" s="239"/>
      <c r="MS712" s="239"/>
      <c r="MT712" s="239"/>
      <c r="MU712" s="239"/>
      <c r="MV712" s="239"/>
      <c r="MW712" s="239"/>
      <c r="MX712" s="239"/>
      <c r="MY712" s="239"/>
      <c r="MZ712" s="239"/>
      <c r="NA712" s="239"/>
      <c r="NB712" s="239"/>
      <c r="NC712" s="239"/>
      <c r="ND712" s="239"/>
      <c r="NE712" s="239"/>
      <c r="NF712" s="239"/>
      <c r="NG712" s="239"/>
      <c r="NH712" s="239"/>
      <c r="NI712" s="239"/>
      <c r="NJ712" s="239"/>
      <c r="NK712" s="239"/>
      <c r="NL712" s="239"/>
      <c r="NM712" s="239"/>
      <c r="NN712" s="239"/>
      <c r="NO712" s="239"/>
      <c r="NP712" s="239"/>
      <c r="NQ712" s="239"/>
      <c r="NR712" s="239"/>
      <c r="NS712" s="239"/>
      <c r="NT712" s="239"/>
      <c r="NU712" s="239"/>
      <c r="NV712" s="239"/>
      <c r="NW712" s="239"/>
      <c r="NX712" s="239"/>
      <c r="NY712" s="239"/>
      <c r="NZ712" s="239"/>
      <c r="OA712" s="239"/>
      <c r="OB712" s="239"/>
      <c r="OC712" s="239"/>
      <c r="OD712" s="239"/>
      <c r="OE712" s="239"/>
      <c r="OF712" s="239"/>
      <c r="OG712" s="239"/>
      <c r="OH712" s="239"/>
      <c r="OI712" s="239"/>
      <c r="OJ712" s="239"/>
      <c r="OK712" s="239"/>
      <c r="OL712" s="239"/>
      <c r="OM712" s="239"/>
      <c r="ON712" s="239"/>
      <c r="OO712" s="239"/>
      <c r="OP712" s="239"/>
      <c r="OQ712" s="239"/>
      <c r="OR712" s="239"/>
      <c r="OS712" s="239"/>
      <c r="OT712" s="239"/>
      <c r="OU712" s="239"/>
      <c r="OV712" s="239"/>
      <c r="OW712" s="239"/>
      <c r="OX712" s="239"/>
      <c r="OY712" s="239"/>
      <c r="OZ712" s="239"/>
      <c r="PA712" s="239"/>
      <c r="PB712" s="239"/>
      <c r="PC712" s="239"/>
      <c r="PD712" s="239"/>
      <c r="PE712" s="239"/>
      <c r="PF712" s="239"/>
      <c r="PG712" s="239"/>
      <c r="PH712" s="239"/>
      <c r="PI712" s="239"/>
      <c r="PJ712" s="239"/>
      <c r="PK712" s="239"/>
      <c r="PL712" s="239"/>
      <c r="PM712" s="239"/>
      <c r="PN712" s="239"/>
      <c r="PO712" s="239"/>
      <c r="PP712" s="239"/>
      <c r="PQ712" s="239"/>
      <c r="PR712" s="239"/>
      <c r="PS712" s="239"/>
      <c r="PT712" s="239"/>
      <c r="PU712" s="239"/>
      <c r="PV712" s="239"/>
      <c r="PW712" s="239"/>
      <c r="PX712" s="239"/>
      <c r="PY712" s="239"/>
      <c r="PZ712" s="239"/>
      <c r="QA712" s="239"/>
      <c r="QB712" s="239"/>
      <c r="QC712" s="239"/>
      <c r="QD712" s="239"/>
      <c r="QE712" s="239"/>
      <c r="QF712" s="239"/>
      <c r="QG712" s="239"/>
      <c r="QH712" s="239"/>
      <c r="QI712" s="239"/>
      <c r="QJ712" s="239"/>
      <c r="QK712" s="239"/>
      <c r="QL712" s="239"/>
      <c r="QM712" s="239"/>
      <c r="QN712" s="239"/>
      <c r="QO712" s="239"/>
      <c r="QP712" s="239"/>
      <c r="QQ712" s="239"/>
      <c r="QR712" s="239"/>
      <c r="QS712" s="239"/>
      <c r="QT712" s="239"/>
      <c r="QU712" s="239"/>
      <c r="QV712" s="239"/>
      <c r="QW712" s="239"/>
      <c r="QX712" s="239"/>
      <c r="QY712" s="239"/>
      <c r="QZ712" s="239"/>
      <c r="RA712" s="239"/>
      <c r="RB712" s="239"/>
      <c r="RC712" s="239"/>
      <c r="RD712" s="239"/>
      <c r="RE712" s="239"/>
      <c r="RF712" s="239"/>
      <c r="RG712" s="239"/>
      <c r="RH712" s="239"/>
      <c r="RI712" s="239"/>
      <c r="RJ712" s="239"/>
      <c r="RK712" s="239"/>
      <c r="RL712" s="239"/>
      <c r="RM712" s="239"/>
      <c r="RN712" s="239"/>
      <c r="RO712" s="239"/>
      <c r="RP712" s="239"/>
      <c r="RQ712" s="239"/>
      <c r="RR712" s="239"/>
      <c r="RS712" s="239"/>
      <c r="RT712" s="239"/>
      <c r="RU712" s="239"/>
      <c r="RV712" s="239"/>
      <c r="RW712" s="239"/>
      <c r="RX712" s="239"/>
      <c r="RY712" s="239"/>
      <c r="RZ712" s="239"/>
      <c r="SA712" s="239"/>
      <c r="SB712" s="239"/>
      <c r="SC712" s="239"/>
      <c r="SD712" s="239"/>
      <c r="SE712" s="239"/>
      <c r="SF712" s="239"/>
      <c r="SG712" s="239"/>
      <c r="SH712" s="239"/>
      <c r="SI712" s="239"/>
      <c r="SJ712" s="239"/>
      <c r="SK712" s="239"/>
      <c r="SL712" s="239"/>
      <c r="SM712" s="239"/>
      <c r="SN712" s="239"/>
      <c r="SO712" s="239"/>
      <c r="SP712" s="239"/>
      <c r="SQ712" s="239"/>
      <c r="SR712" s="239"/>
      <c r="SS712" s="239"/>
      <c r="ST712" s="239"/>
      <c r="SU712" s="239"/>
      <c r="SV712" s="239"/>
      <c r="SW712" s="239"/>
      <c r="SX712" s="239"/>
      <c r="SY712" s="239"/>
      <c r="SZ712" s="239"/>
      <c r="TA712" s="239"/>
      <c r="TB712" s="239"/>
      <c r="TC712" s="239"/>
      <c r="TD712" s="239"/>
      <c r="TE712" s="239"/>
      <c r="TF712" s="239"/>
      <c r="TG712" s="239"/>
      <c r="TH712" s="239"/>
      <c r="TI712" s="239"/>
      <c r="TJ712" s="239"/>
      <c r="TK712" s="239"/>
      <c r="TL712" s="239"/>
      <c r="TM712" s="239"/>
      <c r="TN712" s="239"/>
      <c r="TO712" s="239"/>
      <c r="TP712" s="239"/>
      <c r="TQ712" s="239"/>
      <c r="TR712" s="239"/>
      <c r="TS712" s="239"/>
      <c r="TT712" s="239"/>
      <c r="TU712" s="239"/>
      <c r="TV712" s="239"/>
      <c r="TW712" s="239"/>
      <c r="TX712" s="239"/>
      <c r="TY712" s="239"/>
      <c r="TZ712" s="239"/>
      <c r="UA712" s="239"/>
      <c r="UB712" s="239"/>
      <c r="UC712" s="239"/>
      <c r="UD712" s="239"/>
      <c r="UE712" s="239"/>
      <c r="UF712" s="239"/>
      <c r="UG712" s="240"/>
    </row>
    <row r="713" spans="1:553" s="236" customFormat="1" ht="143.25" customHeight="1">
      <c r="A713" s="356"/>
      <c r="B713" s="385"/>
      <c r="C713" s="384" t="s">
        <v>69</v>
      </c>
      <c r="D713" s="376" t="s">
        <v>70</v>
      </c>
      <c r="E713" s="376" t="s">
        <v>212</v>
      </c>
      <c r="F713" s="385">
        <v>1</v>
      </c>
      <c r="G713" s="396" t="s">
        <v>33</v>
      </c>
      <c r="H713" s="387">
        <v>334.3</v>
      </c>
      <c r="I713" s="441">
        <v>334.3</v>
      </c>
      <c r="J713" s="477">
        <v>55000</v>
      </c>
      <c r="K713" s="391"/>
      <c r="L713" s="480">
        <f>PRODUCT(I713:K713)</f>
        <v>18386500</v>
      </c>
      <c r="M713" s="392"/>
      <c r="N713" s="392"/>
      <c r="O713" s="366"/>
      <c r="P713" s="366"/>
      <c r="Q713" s="1445"/>
      <c r="R713" s="1547"/>
      <c r="S713" s="308"/>
      <c r="T713" s="308"/>
      <c r="U713" s="308"/>
      <c r="V713" s="308"/>
      <c r="W713" s="308"/>
      <c r="X713" s="307">
        <f>I713</f>
        <v>334.3</v>
      </c>
      <c r="Y713" s="308"/>
      <c r="Z713" s="604"/>
      <c r="AA713" s="308"/>
      <c r="AB713" s="308"/>
      <c r="AC713" s="449"/>
      <c r="AD713" s="449"/>
      <c r="AE713" s="449"/>
      <c r="AF713" s="449"/>
      <c r="AG713" s="449"/>
      <c r="AH713" s="449"/>
      <c r="AI713" s="449"/>
      <c r="AJ713" s="449"/>
      <c r="AK713" s="452"/>
      <c r="AL713" s="242"/>
      <c r="AM713" s="241"/>
      <c r="AN713" s="241"/>
      <c r="AO713" s="241"/>
      <c r="AP713" s="241"/>
      <c r="AQ713" s="241"/>
      <c r="AR713" s="241"/>
      <c r="AS713" s="238"/>
      <c r="AT713" s="234"/>
      <c r="AU713" s="234"/>
      <c r="AV713" s="234"/>
      <c r="AW713" s="234"/>
      <c r="AX713" s="234"/>
      <c r="AY713" s="234"/>
      <c r="AZ713" s="234"/>
      <c r="BA713" s="234"/>
      <c r="BB713" s="234"/>
      <c r="BC713" s="234"/>
      <c r="BD713" s="234"/>
      <c r="BE713" s="234"/>
      <c r="BF713" s="234"/>
      <c r="BG713" s="234"/>
      <c r="BH713" s="234"/>
      <c r="BI713" s="234"/>
      <c r="BJ713" s="234"/>
      <c r="BK713" s="234"/>
      <c r="BL713" s="234"/>
      <c r="BM713" s="234"/>
      <c r="BN713" s="234"/>
      <c r="BO713" s="234"/>
      <c r="BP713" s="239"/>
      <c r="BQ713" s="239"/>
      <c r="BR713" s="239"/>
      <c r="BS713" s="239"/>
      <c r="BT713" s="239"/>
      <c r="BU713" s="239"/>
      <c r="BV713" s="239"/>
      <c r="BW713" s="239"/>
      <c r="BX713" s="239"/>
      <c r="BY713" s="239"/>
      <c r="BZ713" s="239"/>
      <c r="CA713" s="239"/>
      <c r="CB713" s="239"/>
      <c r="CC713" s="239"/>
      <c r="CD713" s="239"/>
      <c r="CE713" s="239"/>
      <c r="CF713" s="239"/>
      <c r="CG713" s="239"/>
      <c r="CH713" s="239"/>
      <c r="CI713" s="239"/>
      <c r="CJ713" s="239"/>
      <c r="CK713" s="239"/>
      <c r="CL713" s="239"/>
      <c r="CM713" s="239"/>
      <c r="CN713" s="239"/>
      <c r="CO713" s="239"/>
      <c r="CP713" s="239"/>
      <c r="CQ713" s="239"/>
      <c r="CR713" s="239"/>
      <c r="CS713" s="239"/>
      <c r="CT713" s="239"/>
      <c r="CU713" s="239"/>
      <c r="CV713" s="239"/>
      <c r="CW713" s="239"/>
      <c r="CX713" s="239"/>
      <c r="CY713" s="239"/>
      <c r="CZ713" s="239"/>
      <c r="DA713" s="239"/>
      <c r="DB713" s="239"/>
      <c r="DC713" s="239"/>
      <c r="DD713" s="239"/>
      <c r="DE713" s="239"/>
      <c r="DF713" s="239"/>
      <c r="DG713" s="239"/>
      <c r="DH713" s="239"/>
      <c r="DI713" s="239"/>
      <c r="DJ713" s="239"/>
      <c r="DK713" s="239"/>
      <c r="DL713" s="239"/>
      <c r="DM713" s="239"/>
      <c r="DN713" s="239"/>
      <c r="DO713" s="239"/>
      <c r="DP713" s="239"/>
      <c r="DQ713" s="239"/>
      <c r="DR713" s="239"/>
      <c r="DS713" s="239"/>
      <c r="DT713" s="239"/>
      <c r="DU713" s="239"/>
      <c r="DV713" s="239"/>
      <c r="DW713" s="239"/>
      <c r="DX713" s="239"/>
      <c r="DY713" s="239"/>
      <c r="DZ713" s="239"/>
      <c r="EA713" s="239"/>
      <c r="EB713" s="239"/>
      <c r="EC713" s="239"/>
      <c r="ED713" s="239"/>
      <c r="EE713" s="239"/>
      <c r="EF713" s="239"/>
      <c r="EG713" s="239"/>
      <c r="EH713" s="239"/>
      <c r="EI713" s="239"/>
      <c r="EJ713" s="239"/>
      <c r="EK713" s="239"/>
      <c r="EL713" s="239"/>
      <c r="EM713" s="239"/>
      <c r="EN713" s="239"/>
      <c r="EO713" s="239"/>
      <c r="EP713" s="239"/>
      <c r="EQ713" s="239"/>
      <c r="ER713" s="239"/>
      <c r="ES713" s="239"/>
      <c r="ET713" s="239"/>
      <c r="EU713" s="239"/>
      <c r="EV713" s="239"/>
      <c r="EW713" s="239"/>
      <c r="EX713" s="239"/>
      <c r="EY713" s="239"/>
      <c r="EZ713" s="239"/>
      <c r="FA713" s="239"/>
      <c r="FB713" s="239"/>
      <c r="FC713" s="239"/>
      <c r="FD713" s="239"/>
      <c r="FE713" s="239"/>
      <c r="FF713" s="239"/>
      <c r="FG713" s="239"/>
      <c r="FH713" s="239"/>
      <c r="FI713" s="239"/>
      <c r="FJ713" s="239"/>
      <c r="FK713" s="239"/>
      <c r="FL713" s="239"/>
      <c r="FM713" s="239"/>
      <c r="FN713" s="239"/>
      <c r="FO713" s="239"/>
      <c r="FP713" s="239"/>
      <c r="FQ713" s="239"/>
      <c r="FR713" s="239"/>
      <c r="FS713" s="239"/>
      <c r="FT713" s="239"/>
      <c r="FU713" s="239"/>
      <c r="FV713" s="239"/>
      <c r="FW713" s="239"/>
      <c r="FX713" s="239"/>
      <c r="FY713" s="239"/>
      <c r="FZ713" s="239"/>
      <c r="GA713" s="239"/>
      <c r="GB713" s="239"/>
      <c r="GC713" s="239"/>
      <c r="GD713" s="239"/>
      <c r="GE713" s="239"/>
      <c r="GF713" s="239"/>
      <c r="GG713" s="239"/>
      <c r="GH713" s="239"/>
      <c r="GI713" s="239"/>
      <c r="GJ713" s="239"/>
      <c r="GK713" s="239"/>
      <c r="GL713" s="239"/>
      <c r="GM713" s="239"/>
      <c r="GN713" s="239"/>
      <c r="GO713" s="239"/>
      <c r="GP713" s="239"/>
      <c r="GQ713" s="239"/>
      <c r="GR713" s="239"/>
      <c r="GS713" s="239"/>
      <c r="GT713" s="239"/>
      <c r="GU713" s="239"/>
      <c r="GV713" s="239"/>
      <c r="GW713" s="239"/>
      <c r="GX713" s="239"/>
      <c r="GY713" s="239"/>
      <c r="GZ713" s="239"/>
      <c r="HA713" s="239"/>
      <c r="HB713" s="239"/>
      <c r="HC713" s="239"/>
      <c r="HD713" s="239"/>
      <c r="HE713" s="239"/>
      <c r="HF713" s="239"/>
      <c r="HG713" s="239"/>
      <c r="HH713" s="239"/>
      <c r="HI713" s="239"/>
      <c r="HJ713" s="239"/>
      <c r="HK713" s="239"/>
      <c r="HL713" s="239"/>
      <c r="HM713" s="239"/>
      <c r="HN713" s="239"/>
      <c r="HO713" s="239"/>
      <c r="HP713" s="239"/>
      <c r="HQ713" s="239"/>
      <c r="HR713" s="239"/>
      <c r="HS713" s="239"/>
      <c r="HT713" s="239"/>
      <c r="HU713" s="239"/>
      <c r="HV713" s="239"/>
      <c r="HW713" s="239"/>
      <c r="HX713" s="239"/>
      <c r="HY713" s="239"/>
      <c r="HZ713" s="239"/>
      <c r="IA713" s="239"/>
      <c r="IB713" s="239"/>
      <c r="IC713" s="239"/>
      <c r="ID713" s="239"/>
      <c r="IE713" s="239"/>
      <c r="IF713" s="239"/>
      <c r="IG713" s="239"/>
      <c r="IH713" s="239"/>
      <c r="II713" s="239"/>
      <c r="IJ713" s="239"/>
      <c r="IK713" s="239"/>
      <c r="IL713" s="239"/>
      <c r="IM713" s="239"/>
      <c r="IN713" s="239"/>
      <c r="IO713" s="239"/>
      <c r="IP713" s="239"/>
      <c r="IQ713" s="239"/>
      <c r="IR713" s="239"/>
      <c r="IS713" s="239"/>
      <c r="IT713" s="239"/>
      <c r="IU713" s="239"/>
      <c r="IV713" s="239"/>
      <c r="IW713" s="239"/>
      <c r="IX713" s="239"/>
      <c r="IY713" s="239"/>
      <c r="IZ713" s="239"/>
      <c r="JA713" s="239"/>
      <c r="JB713" s="239"/>
      <c r="JC713" s="239"/>
      <c r="JD713" s="239"/>
      <c r="JE713" s="239"/>
      <c r="JF713" s="239"/>
      <c r="JG713" s="239"/>
      <c r="JH713" s="239"/>
      <c r="JI713" s="239"/>
      <c r="JJ713" s="239"/>
      <c r="JK713" s="239"/>
      <c r="JL713" s="239"/>
      <c r="JM713" s="239"/>
      <c r="JN713" s="239"/>
      <c r="JO713" s="239"/>
      <c r="JP713" s="239"/>
      <c r="JQ713" s="239"/>
      <c r="JR713" s="239"/>
      <c r="JS713" s="239"/>
      <c r="JT713" s="239"/>
      <c r="JU713" s="239"/>
      <c r="JV713" s="239"/>
      <c r="JW713" s="239"/>
      <c r="JX713" s="239"/>
      <c r="JY713" s="239"/>
      <c r="JZ713" s="239"/>
      <c r="KA713" s="239"/>
      <c r="KB713" s="239"/>
      <c r="KC713" s="239"/>
      <c r="KD713" s="239"/>
      <c r="KE713" s="239"/>
      <c r="KF713" s="239"/>
      <c r="KG713" s="239"/>
      <c r="KH713" s="239"/>
      <c r="KI713" s="239"/>
      <c r="KJ713" s="239"/>
      <c r="KK713" s="239"/>
      <c r="KL713" s="239"/>
      <c r="KM713" s="239"/>
      <c r="KN713" s="239"/>
      <c r="KO713" s="239"/>
      <c r="KP713" s="239"/>
      <c r="KQ713" s="239"/>
      <c r="KR713" s="239"/>
      <c r="KS713" s="239"/>
      <c r="KT713" s="239"/>
      <c r="KU713" s="239"/>
      <c r="KV713" s="239"/>
      <c r="KW713" s="239"/>
      <c r="KX713" s="239"/>
      <c r="KY713" s="239"/>
      <c r="KZ713" s="239"/>
      <c r="LA713" s="239"/>
      <c r="LB713" s="239"/>
      <c r="LC713" s="239"/>
      <c r="LD713" s="239"/>
      <c r="LE713" s="239"/>
      <c r="LF713" s="239"/>
      <c r="LG713" s="239"/>
      <c r="LH713" s="239"/>
      <c r="LI713" s="239"/>
      <c r="LJ713" s="239"/>
      <c r="LK713" s="239"/>
      <c r="LL713" s="239"/>
      <c r="LM713" s="239"/>
      <c r="LN713" s="239"/>
      <c r="LO713" s="239"/>
      <c r="LP713" s="239"/>
      <c r="LQ713" s="239"/>
      <c r="LR713" s="239"/>
      <c r="LS713" s="239"/>
      <c r="LT713" s="239"/>
      <c r="LU713" s="239"/>
      <c r="LV713" s="239"/>
      <c r="LW713" s="239"/>
      <c r="LX713" s="239"/>
      <c r="LY713" s="239"/>
      <c r="LZ713" s="239"/>
      <c r="MA713" s="239"/>
      <c r="MB713" s="239"/>
      <c r="MC713" s="239"/>
      <c r="MD713" s="239"/>
      <c r="ME713" s="239"/>
      <c r="MF713" s="239"/>
      <c r="MG713" s="239"/>
      <c r="MH713" s="239"/>
      <c r="MI713" s="239"/>
      <c r="MJ713" s="239"/>
      <c r="MK713" s="239"/>
      <c r="ML713" s="239"/>
      <c r="MM713" s="239"/>
      <c r="MN713" s="239"/>
      <c r="MO713" s="239"/>
      <c r="MP713" s="239"/>
      <c r="MQ713" s="239"/>
      <c r="MR713" s="239"/>
      <c r="MS713" s="239"/>
      <c r="MT713" s="239"/>
      <c r="MU713" s="239"/>
      <c r="MV713" s="239"/>
      <c r="MW713" s="239"/>
      <c r="MX713" s="239"/>
      <c r="MY713" s="239"/>
      <c r="MZ713" s="239"/>
      <c r="NA713" s="239"/>
      <c r="NB713" s="239"/>
      <c r="NC713" s="239"/>
      <c r="ND713" s="239"/>
      <c r="NE713" s="239"/>
      <c r="NF713" s="239"/>
      <c r="NG713" s="239"/>
      <c r="NH713" s="239"/>
      <c r="NI713" s="239"/>
      <c r="NJ713" s="239"/>
      <c r="NK713" s="239"/>
      <c r="NL713" s="239"/>
      <c r="NM713" s="239"/>
      <c r="NN713" s="239"/>
      <c r="NO713" s="239"/>
      <c r="NP713" s="239"/>
      <c r="NQ713" s="239"/>
      <c r="NR713" s="239"/>
      <c r="NS713" s="239"/>
      <c r="NT713" s="239"/>
      <c r="NU713" s="239"/>
      <c r="NV713" s="239"/>
      <c r="NW713" s="239"/>
      <c r="NX713" s="239"/>
      <c r="NY713" s="239"/>
      <c r="NZ713" s="239"/>
      <c r="OA713" s="239"/>
      <c r="OB713" s="239"/>
      <c r="OC713" s="239"/>
      <c r="OD713" s="239"/>
      <c r="OE713" s="239"/>
      <c r="OF713" s="239"/>
      <c r="OG713" s="239"/>
      <c r="OH713" s="239"/>
      <c r="OI713" s="239"/>
      <c r="OJ713" s="239"/>
      <c r="OK713" s="239"/>
      <c r="OL713" s="239"/>
      <c r="OM713" s="239"/>
      <c r="ON713" s="239"/>
      <c r="OO713" s="239"/>
      <c r="OP713" s="239"/>
      <c r="OQ713" s="239"/>
      <c r="OR713" s="239"/>
      <c r="OS713" s="239"/>
      <c r="OT713" s="239"/>
      <c r="OU713" s="239"/>
      <c r="OV713" s="239"/>
      <c r="OW713" s="239"/>
      <c r="OX713" s="239"/>
      <c r="OY713" s="239"/>
      <c r="OZ713" s="239"/>
      <c r="PA713" s="239"/>
      <c r="PB713" s="239"/>
      <c r="PC713" s="239"/>
      <c r="PD713" s="239"/>
      <c r="PE713" s="239"/>
      <c r="PF713" s="239"/>
      <c r="PG713" s="239"/>
      <c r="PH713" s="239"/>
      <c r="PI713" s="239"/>
      <c r="PJ713" s="239"/>
      <c r="PK713" s="239"/>
      <c r="PL713" s="239"/>
      <c r="PM713" s="239"/>
      <c r="PN713" s="239"/>
      <c r="PO713" s="239"/>
      <c r="PP713" s="239"/>
      <c r="PQ713" s="239"/>
      <c r="PR713" s="239"/>
      <c r="PS713" s="239"/>
      <c r="PT713" s="239"/>
      <c r="PU713" s="239"/>
      <c r="PV713" s="239"/>
      <c r="PW713" s="239"/>
      <c r="PX713" s="239"/>
      <c r="PY713" s="239"/>
      <c r="PZ713" s="239"/>
      <c r="QA713" s="239"/>
      <c r="QB713" s="239"/>
      <c r="QC713" s="239"/>
      <c r="QD713" s="239"/>
      <c r="QE713" s="239"/>
      <c r="QF713" s="239"/>
      <c r="QG713" s="239"/>
      <c r="QH713" s="239"/>
      <c r="QI713" s="239"/>
      <c r="QJ713" s="239"/>
      <c r="QK713" s="239"/>
      <c r="QL713" s="239"/>
      <c r="QM713" s="239"/>
      <c r="QN713" s="239"/>
      <c r="QO713" s="239"/>
      <c r="QP713" s="239"/>
      <c r="QQ713" s="239"/>
      <c r="QR713" s="239"/>
      <c r="QS713" s="239"/>
      <c r="QT713" s="239"/>
      <c r="QU713" s="239"/>
      <c r="QV713" s="239"/>
      <c r="QW713" s="239"/>
      <c r="QX713" s="239"/>
      <c r="QY713" s="239"/>
      <c r="QZ713" s="239"/>
      <c r="RA713" s="239"/>
      <c r="RB713" s="239"/>
      <c r="RC713" s="239"/>
      <c r="RD713" s="239"/>
      <c r="RE713" s="239"/>
      <c r="RF713" s="239"/>
      <c r="RG713" s="239"/>
      <c r="RH713" s="239"/>
      <c r="RI713" s="239"/>
      <c r="RJ713" s="239"/>
      <c r="RK713" s="239"/>
      <c r="RL713" s="239"/>
      <c r="RM713" s="239"/>
      <c r="RN713" s="239"/>
      <c r="RO713" s="239"/>
      <c r="RP713" s="239"/>
      <c r="RQ713" s="239"/>
      <c r="RR713" s="239"/>
      <c r="RS713" s="239"/>
      <c r="RT713" s="239"/>
      <c r="RU713" s="239"/>
      <c r="RV713" s="239"/>
      <c r="RW713" s="239"/>
      <c r="RX713" s="239"/>
      <c r="RY713" s="239"/>
      <c r="RZ713" s="239"/>
      <c r="SA713" s="239"/>
      <c r="SB713" s="239"/>
      <c r="SC713" s="239"/>
      <c r="SD713" s="239"/>
      <c r="SE713" s="239"/>
      <c r="SF713" s="239"/>
      <c r="SG713" s="239"/>
      <c r="SH713" s="239"/>
      <c r="SI713" s="239"/>
      <c r="SJ713" s="239"/>
      <c r="SK713" s="239"/>
      <c r="SL713" s="239"/>
      <c r="SM713" s="239"/>
      <c r="SN713" s="239"/>
      <c r="SO713" s="239"/>
      <c r="SP713" s="239"/>
      <c r="SQ713" s="239"/>
      <c r="SR713" s="239"/>
      <c r="SS713" s="239"/>
      <c r="ST713" s="239"/>
      <c r="SU713" s="239"/>
      <c r="SV713" s="239"/>
      <c r="SW713" s="239"/>
      <c r="SX713" s="239"/>
      <c r="SY713" s="239"/>
      <c r="SZ713" s="239"/>
      <c r="TA713" s="239"/>
      <c r="TB713" s="239"/>
      <c r="TC713" s="239"/>
      <c r="TD713" s="239"/>
      <c r="TE713" s="239"/>
      <c r="TF713" s="239"/>
      <c r="TG713" s="239"/>
      <c r="TH713" s="239"/>
      <c r="TI713" s="239"/>
      <c r="TJ713" s="239"/>
      <c r="TK713" s="239"/>
      <c r="TL713" s="239"/>
      <c r="TM713" s="239"/>
      <c r="TN713" s="239"/>
      <c r="TO713" s="239"/>
      <c r="TP713" s="239"/>
      <c r="TQ713" s="239"/>
      <c r="TR713" s="239"/>
      <c r="TS713" s="239"/>
      <c r="TT713" s="239"/>
      <c r="TU713" s="239"/>
      <c r="TV713" s="239"/>
      <c r="TW713" s="239"/>
      <c r="TX713" s="239"/>
      <c r="TY713" s="239"/>
      <c r="TZ713" s="239"/>
      <c r="UA713" s="239"/>
      <c r="UB713" s="239"/>
      <c r="UC713" s="239"/>
      <c r="UD713" s="239"/>
      <c r="UE713" s="239"/>
      <c r="UF713" s="239"/>
      <c r="UG713" s="240"/>
    </row>
    <row r="714" spans="1:553" ht="186.75" customHeight="1">
      <c r="A714" s="356"/>
      <c r="B714" s="385"/>
      <c r="C714" s="384" t="s">
        <v>26</v>
      </c>
      <c r="D714" s="376">
        <v>2</v>
      </c>
      <c r="E714" s="376">
        <v>494</v>
      </c>
      <c r="F714" s="385">
        <v>1</v>
      </c>
      <c r="G714" s="396" t="s">
        <v>33</v>
      </c>
      <c r="H714" s="387">
        <v>155.4</v>
      </c>
      <c r="I714" s="490">
        <v>155.4</v>
      </c>
      <c r="J714" s="368">
        <v>40000</v>
      </c>
      <c r="K714" s="391"/>
      <c r="L714" s="480">
        <f t="shared" ref="L714:L716" si="112">PRODUCT(I714:K714)</f>
        <v>6216000</v>
      </c>
      <c r="M714" s="392"/>
      <c r="N714" s="392"/>
      <c r="O714" s="366"/>
      <c r="P714" s="366"/>
      <c r="Q714" s="1149" t="s">
        <v>509</v>
      </c>
      <c r="R714" s="1547" t="s">
        <v>931</v>
      </c>
      <c r="S714" s="308"/>
      <c r="T714" s="308"/>
      <c r="U714" s="308"/>
      <c r="V714" s="308"/>
      <c r="W714" s="308"/>
      <c r="X714" s="308"/>
      <c r="Y714" s="685">
        <f>I714</f>
        <v>155.4</v>
      </c>
      <c r="Z714" s="604"/>
      <c r="AA714" s="308"/>
      <c r="AB714" s="308"/>
      <c r="AC714" s="449"/>
      <c r="AD714" s="449"/>
      <c r="AE714" s="449"/>
      <c r="AF714" s="449"/>
      <c r="AG714" s="449"/>
      <c r="AH714" s="449"/>
      <c r="AI714" s="449"/>
      <c r="AJ714" s="449"/>
      <c r="AK714" s="452"/>
      <c r="AL714" s="104"/>
      <c r="AM714" s="32"/>
      <c r="AN714" s="32"/>
      <c r="AO714" s="32"/>
      <c r="AP714" s="32"/>
      <c r="AQ714" s="32"/>
      <c r="AR714" s="32"/>
      <c r="AS714" s="31"/>
      <c r="AT714" s="22"/>
      <c r="AU714" s="22"/>
      <c r="AV714" s="22"/>
      <c r="AW714" s="22"/>
      <c r="AX714" s="22"/>
      <c r="AY714" s="22"/>
      <c r="AZ714" s="22"/>
      <c r="BA714" s="22"/>
      <c r="BB714" s="22"/>
      <c r="BC714" s="22"/>
      <c r="BD714" s="22"/>
      <c r="BE714" s="22"/>
      <c r="BF714" s="22"/>
      <c r="BG714" s="22"/>
      <c r="BH714" s="22"/>
      <c r="BI714" s="22"/>
      <c r="BJ714" s="22"/>
      <c r="BK714" s="22"/>
      <c r="BL714" s="22"/>
      <c r="BM714" s="22"/>
      <c r="BN714" s="22"/>
      <c r="BO714" s="22"/>
      <c r="BP714" s="25"/>
      <c r="BQ714" s="25"/>
      <c r="BR714" s="25"/>
      <c r="BS714" s="25"/>
      <c r="BT714" s="25"/>
      <c r="BU714" s="25"/>
      <c r="BV714" s="25"/>
      <c r="BW714" s="25"/>
      <c r="BX714" s="25"/>
      <c r="BY714" s="25"/>
      <c r="BZ714" s="25"/>
      <c r="CA714" s="25"/>
      <c r="CB714" s="25"/>
      <c r="CC714" s="25"/>
      <c r="CD714" s="25"/>
      <c r="CE714" s="25"/>
      <c r="CF714" s="25"/>
      <c r="CG714" s="25"/>
      <c r="CH714" s="25"/>
      <c r="CI714" s="25"/>
      <c r="CJ714" s="25"/>
      <c r="CK714" s="25"/>
      <c r="CL714" s="25"/>
      <c r="CM714" s="25"/>
      <c r="CN714" s="25"/>
      <c r="CO714" s="25"/>
      <c r="CP714" s="25"/>
      <c r="CQ714" s="25"/>
      <c r="CR714" s="25"/>
      <c r="CS714" s="25"/>
      <c r="CT714" s="25"/>
      <c r="CU714" s="25"/>
      <c r="CV714" s="25"/>
      <c r="CW714" s="25"/>
      <c r="CX714" s="25"/>
      <c r="CY714" s="25"/>
      <c r="CZ714" s="25"/>
      <c r="DA714" s="25"/>
      <c r="DB714" s="25"/>
      <c r="DC714" s="25"/>
      <c r="DD714" s="25"/>
      <c r="DE714" s="25"/>
      <c r="DF714" s="25"/>
      <c r="DG714" s="25"/>
      <c r="DH714" s="25"/>
      <c r="DI714" s="25"/>
      <c r="DJ714" s="25"/>
      <c r="DK714" s="25"/>
      <c r="DL714" s="25"/>
      <c r="DM714" s="25"/>
      <c r="DN714" s="25"/>
      <c r="DO714" s="25"/>
      <c r="DP714" s="25"/>
      <c r="DQ714" s="25"/>
      <c r="DR714" s="25"/>
      <c r="DS714" s="25"/>
      <c r="DT714" s="25"/>
      <c r="DU714" s="25"/>
      <c r="DV714" s="25"/>
      <c r="DW714" s="25"/>
      <c r="DX714" s="25"/>
      <c r="DY714" s="25"/>
      <c r="DZ714" s="25"/>
      <c r="EA714" s="25"/>
      <c r="EB714" s="25"/>
      <c r="EC714" s="25"/>
      <c r="ED714" s="25"/>
      <c r="EE714" s="25"/>
      <c r="EF714" s="25"/>
      <c r="EG714" s="25"/>
      <c r="EH714" s="25"/>
      <c r="EI714" s="25"/>
      <c r="EJ714" s="25"/>
      <c r="EK714" s="25"/>
      <c r="EL714" s="25"/>
      <c r="EM714" s="25"/>
      <c r="EN714" s="25"/>
      <c r="EO714" s="25"/>
      <c r="EP714" s="25"/>
      <c r="EQ714" s="25"/>
      <c r="ER714" s="25"/>
      <c r="ES714" s="25"/>
      <c r="ET714" s="25"/>
      <c r="EU714" s="25"/>
      <c r="EV714" s="25"/>
      <c r="EW714" s="25"/>
      <c r="EX714" s="25"/>
      <c r="EY714" s="25"/>
      <c r="EZ714" s="25"/>
      <c r="FA714" s="25"/>
      <c r="FB714" s="25"/>
      <c r="FC714" s="25"/>
      <c r="FD714" s="25"/>
      <c r="FE714" s="25"/>
      <c r="FF714" s="25"/>
      <c r="FG714" s="25"/>
      <c r="FH714" s="25"/>
      <c r="FI714" s="25"/>
      <c r="FJ714" s="25"/>
      <c r="FK714" s="25"/>
      <c r="FL714" s="25"/>
      <c r="FM714" s="25"/>
      <c r="FN714" s="25"/>
      <c r="FO714" s="25"/>
      <c r="FP714" s="25"/>
      <c r="FQ714" s="25"/>
      <c r="FR714" s="25"/>
      <c r="FS714" s="25"/>
      <c r="FT714" s="25"/>
      <c r="FU714" s="25"/>
      <c r="FV714" s="25"/>
      <c r="FW714" s="25"/>
      <c r="FX714" s="25"/>
      <c r="FY714" s="25"/>
      <c r="FZ714" s="25"/>
      <c r="GA714" s="25"/>
      <c r="GB714" s="25"/>
      <c r="GC714" s="25"/>
      <c r="GD714" s="25"/>
      <c r="GE714" s="25"/>
      <c r="GF714" s="25"/>
      <c r="GG714" s="25"/>
      <c r="GH714" s="25"/>
      <c r="GI714" s="25"/>
      <c r="GJ714" s="25"/>
      <c r="GK714" s="25"/>
      <c r="GL714" s="25"/>
      <c r="GM714" s="25"/>
      <c r="GN714" s="25"/>
      <c r="GO714" s="25"/>
      <c r="GP714" s="25"/>
      <c r="GQ714" s="25"/>
      <c r="GR714" s="25"/>
      <c r="GS714" s="25"/>
      <c r="GT714" s="25"/>
      <c r="GU714" s="25"/>
      <c r="GV714" s="25"/>
      <c r="GW714" s="25"/>
      <c r="GX714" s="25"/>
      <c r="GY714" s="25"/>
      <c r="GZ714" s="25"/>
      <c r="HA714" s="25"/>
      <c r="HB714" s="25"/>
      <c r="HC714" s="25"/>
      <c r="HD714" s="25"/>
      <c r="HE714" s="25"/>
      <c r="HF714" s="25"/>
      <c r="HG714" s="25"/>
      <c r="HH714" s="25"/>
      <c r="HI714" s="25"/>
      <c r="HJ714" s="25"/>
      <c r="HK714" s="25"/>
      <c r="HL714" s="25"/>
      <c r="HM714" s="25"/>
      <c r="HN714" s="25"/>
      <c r="HO714" s="25"/>
      <c r="HP714" s="25"/>
      <c r="HQ714" s="25"/>
      <c r="HR714" s="25"/>
      <c r="HS714" s="25"/>
      <c r="HT714" s="25"/>
      <c r="HU714" s="25"/>
      <c r="HV714" s="25"/>
      <c r="HW714" s="25"/>
      <c r="HX714" s="25"/>
      <c r="HY714" s="25"/>
      <c r="HZ714" s="25"/>
      <c r="IA714" s="25"/>
      <c r="IB714" s="25"/>
      <c r="IC714" s="25"/>
      <c r="ID714" s="25"/>
      <c r="IE714" s="25"/>
      <c r="IF714" s="25"/>
      <c r="IG714" s="25"/>
      <c r="IH714" s="25"/>
      <c r="II714" s="25"/>
      <c r="IJ714" s="25"/>
      <c r="IK714" s="25"/>
      <c r="IL714" s="25"/>
      <c r="IM714" s="25"/>
      <c r="IN714" s="25"/>
      <c r="IO714" s="25"/>
      <c r="IP714" s="25"/>
      <c r="IQ714" s="25"/>
      <c r="IR714" s="25"/>
      <c r="IS714" s="25"/>
      <c r="IT714" s="25"/>
      <c r="IU714" s="25"/>
      <c r="IV714" s="25"/>
      <c r="IW714" s="25"/>
      <c r="IX714" s="25"/>
      <c r="IY714" s="25"/>
      <c r="IZ714" s="25"/>
      <c r="JA714" s="25"/>
      <c r="JB714" s="25"/>
      <c r="JC714" s="25"/>
      <c r="JD714" s="25"/>
      <c r="JE714" s="25"/>
      <c r="JF714" s="25"/>
      <c r="JG714" s="25"/>
      <c r="JH714" s="25"/>
      <c r="JI714" s="25"/>
      <c r="JJ714" s="25"/>
      <c r="JK714" s="25"/>
      <c r="JL714" s="25"/>
      <c r="JM714" s="25"/>
      <c r="JN714" s="25"/>
      <c r="JO714" s="25"/>
      <c r="JP714" s="25"/>
      <c r="JQ714" s="25"/>
      <c r="JR714" s="25"/>
      <c r="JS714" s="25"/>
      <c r="JT714" s="25"/>
      <c r="JU714" s="25"/>
      <c r="JV714" s="25"/>
      <c r="JW714" s="25"/>
      <c r="JX714" s="25"/>
      <c r="JY714" s="25"/>
      <c r="JZ714" s="25"/>
      <c r="KA714" s="25"/>
      <c r="KB714" s="25"/>
      <c r="KC714" s="25"/>
      <c r="KD714" s="25"/>
      <c r="KE714" s="25"/>
      <c r="KF714" s="25"/>
      <c r="KG714" s="25"/>
      <c r="KH714" s="25"/>
      <c r="KI714" s="25"/>
      <c r="KJ714" s="25"/>
      <c r="KK714" s="25"/>
      <c r="KL714" s="25"/>
      <c r="KM714" s="25"/>
      <c r="KN714" s="25"/>
      <c r="KO714" s="25"/>
      <c r="KP714" s="25"/>
      <c r="KQ714" s="25"/>
      <c r="KR714" s="25"/>
      <c r="KS714" s="25"/>
      <c r="KT714" s="25"/>
      <c r="KU714" s="25"/>
      <c r="KV714" s="25"/>
      <c r="KW714" s="25"/>
      <c r="KX714" s="25"/>
      <c r="KY714" s="25"/>
      <c r="KZ714" s="25"/>
      <c r="LA714" s="25"/>
      <c r="LB714" s="25"/>
      <c r="LC714" s="25"/>
      <c r="LD714" s="25"/>
      <c r="LE714" s="25"/>
      <c r="LF714" s="25"/>
      <c r="LG714" s="25"/>
      <c r="LH714" s="25"/>
      <c r="LI714" s="25"/>
      <c r="LJ714" s="25"/>
      <c r="LK714" s="25"/>
      <c r="LL714" s="25"/>
      <c r="LM714" s="25"/>
      <c r="LN714" s="25"/>
      <c r="LO714" s="25"/>
      <c r="LP714" s="25"/>
      <c r="LQ714" s="25"/>
      <c r="LR714" s="25"/>
      <c r="LS714" s="25"/>
      <c r="LT714" s="25"/>
      <c r="LU714" s="25"/>
      <c r="LV714" s="25"/>
      <c r="LW714" s="25"/>
      <c r="LX714" s="25"/>
      <c r="LY714" s="25"/>
      <c r="LZ714" s="25"/>
      <c r="MA714" s="25"/>
      <c r="MB714" s="25"/>
      <c r="MC714" s="25"/>
      <c r="MD714" s="25"/>
      <c r="ME714" s="25"/>
      <c r="MF714" s="25"/>
      <c r="MG714" s="25"/>
      <c r="MH714" s="25"/>
      <c r="MI714" s="25"/>
      <c r="MJ714" s="25"/>
      <c r="MK714" s="25"/>
      <c r="ML714" s="25"/>
      <c r="MM714" s="25"/>
      <c r="MN714" s="25"/>
      <c r="MO714" s="25"/>
      <c r="MP714" s="25"/>
      <c r="MQ714" s="25"/>
      <c r="MR714" s="25"/>
      <c r="MS714" s="25"/>
      <c r="MT714" s="25"/>
      <c r="MU714" s="25"/>
      <c r="MV714" s="25"/>
      <c r="MW714" s="25"/>
      <c r="MX714" s="25"/>
      <c r="MY714" s="25"/>
      <c r="MZ714" s="25"/>
      <c r="NA714" s="25"/>
      <c r="NB714" s="25"/>
      <c r="NC714" s="25"/>
      <c r="ND714" s="25"/>
      <c r="NE714" s="25"/>
      <c r="NF714" s="25"/>
      <c r="NG714" s="25"/>
      <c r="NH714" s="25"/>
      <c r="NI714" s="25"/>
      <c r="NJ714" s="25"/>
      <c r="NK714" s="25"/>
      <c r="NL714" s="25"/>
      <c r="NM714" s="25"/>
      <c r="NN714" s="25"/>
      <c r="NO714" s="25"/>
      <c r="NP714" s="25"/>
      <c r="NQ714" s="25"/>
      <c r="NR714" s="25"/>
      <c r="NS714" s="25"/>
      <c r="NT714" s="25"/>
      <c r="NU714" s="25"/>
      <c r="NV714" s="25"/>
      <c r="NW714" s="25"/>
      <c r="NX714" s="25"/>
      <c r="NY714" s="25"/>
      <c r="NZ714" s="25"/>
      <c r="OA714" s="25"/>
      <c r="OB714" s="25"/>
      <c r="OC714" s="25"/>
      <c r="OD714" s="25"/>
      <c r="OE714" s="25"/>
      <c r="OF714" s="25"/>
      <c r="OG714" s="25"/>
      <c r="OH714" s="25"/>
      <c r="OI714" s="25"/>
      <c r="OJ714" s="25"/>
      <c r="OK714" s="25"/>
      <c r="OL714" s="25"/>
      <c r="OM714" s="25"/>
      <c r="ON714" s="25"/>
      <c r="OO714" s="25"/>
      <c r="OP714" s="25"/>
      <c r="OQ714" s="25"/>
      <c r="OR714" s="25"/>
      <c r="OS714" s="25"/>
      <c r="OT714" s="25"/>
      <c r="OU714" s="25"/>
      <c r="OV714" s="25"/>
      <c r="OW714" s="25"/>
      <c r="OX714" s="25"/>
      <c r="OY714" s="25"/>
      <c r="OZ714" s="25"/>
      <c r="PA714" s="25"/>
      <c r="PB714" s="25"/>
      <c r="PC714" s="25"/>
      <c r="PD714" s="25"/>
      <c r="PE714" s="25"/>
      <c r="PF714" s="25"/>
      <c r="PG714" s="25"/>
      <c r="PH714" s="25"/>
      <c r="PI714" s="25"/>
      <c r="PJ714" s="25"/>
      <c r="PK714" s="25"/>
      <c r="PL714" s="25"/>
      <c r="PM714" s="25"/>
      <c r="PN714" s="25"/>
      <c r="PO714" s="25"/>
      <c r="PP714" s="25"/>
      <c r="PQ714" s="25"/>
      <c r="PR714" s="25"/>
      <c r="PS714" s="25"/>
      <c r="PT714" s="25"/>
      <c r="PU714" s="25"/>
      <c r="PV714" s="25"/>
      <c r="PW714" s="25"/>
      <c r="PX714" s="25"/>
      <c r="PY714" s="25"/>
      <c r="PZ714" s="25"/>
      <c r="QA714" s="25"/>
      <c r="QB714" s="25"/>
      <c r="QC714" s="25"/>
      <c r="QD714" s="25"/>
      <c r="QE714" s="25"/>
      <c r="QF714" s="25"/>
      <c r="QG714" s="25"/>
      <c r="QH714" s="25"/>
      <c r="QI714" s="25"/>
      <c r="QJ714" s="25"/>
      <c r="QK714" s="25"/>
      <c r="QL714" s="25"/>
      <c r="QM714" s="25"/>
      <c r="QN714" s="25"/>
      <c r="QO714" s="25"/>
      <c r="QP714" s="25"/>
      <c r="QQ714" s="25"/>
      <c r="QR714" s="25"/>
      <c r="QS714" s="25"/>
      <c r="QT714" s="25"/>
      <c r="QU714" s="25"/>
      <c r="QV714" s="25"/>
      <c r="QW714" s="25"/>
      <c r="QX714" s="25"/>
      <c r="QY714" s="25"/>
      <c r="QZ714" s="25"/>
      <c r="RA714" s="25"/>
      <c r="RB714" s="25"/>
      <c r="RC714" s="25"/>
      <c r="RD714" s="25"/>
      <c r="RE714" s="25"/>
      <c r="RF714" s="25"/>
      <c r="RG714" s="25"/>
      <c r="RH714" s="25"/>
      <c r="RI714" s="25"/>
      <c r="RJ714" s="25"/>
      <c r="RK714" s="25"/>
      <c r="RL714" s="25"/>
      <c r="RM714" s="25"/>
      <c r="RN714" s="25"/>
      <c r="RO714" s="25"/>
      <c r="RP714" s="25"/>
      <c r="RQ714" s="25"/>
      <c r="RR714" s="25"/>
      <c r="RS714" s="25"/>
      <c r="RT714" s="25"/>
      <c r="RU714" s="25"/>
      <c r="RV714" s="25"/>
      <c r="RW714" s="25"/>
      <c r="RX714" s="25"/>
      <c r="RY714" s="25"/>
      <c r="RZ714" s="25"/>
      <c r="SA714" s="25"/>
      <c r="SB714" s="25"/>
      <c r="SC714" s="25"/>
      <c r="SD714" s="25"/>
      <c r="SE714" s="25"/>
      <c r="SF714" s="25"/>
      <c r="SG714" s="25"/>
      <c r="SH714" s="25"/>
      <c r="SI714" s="25"/>
      <c r="SJ714" s="25"/>
      <c r="SK714" s="25"/>
      <c r="SL714" s="25"/>
      <c r="SM714" s="25"/>
      <c r="SN714" s="25"/>
      <c r="SO714" s="25"/>
      <c r="SP714" s="25"/>
      <c r="SQ714" s="25"/>
      <c r="SR714" s="25"/>
      <c r="SS714" s="25"/>
      <c r="ST714" s="25"/>
      <c r="SU714" s="25"/>
      <c r="SV714" s="25"/>
      <c r="SW714" s="25"/>
      <c r="SX714" s="25"/>
      <c r="SY714" s="25"/>
      <c r="SZ714" s="25"/>
      <c r="TA714" s="25"/>
      <c r="TB714" s="25"/>
      <c r="TC714" s="25"/>
      <c r="TD714" s="25"/>
      <c r="TE714" s="25"/>
      <c r="TF714" s="25"/>
      <c r="TG714" s="25"/>
      <c r="TH714" s="25"/>
      <c r="TI714" s="25"/>
      <c r="TJ714" s="25"/>
      <c r="TK714" s="25"/>
      <c r="TL714" s="25"/>
      <c r="TM714" s="25"/>
      <c r="TN714" s="25"/>
      <c r="TO714" s="25"/>
      <c r="TP714" s="25"/>
      <c r="TQ714" s="25"/>
      <c r="TR714" s="25"/>
      <c r="TS714" s="25"/>
      <c r="TT714" s="25"/>
      <c r="TU714" s="25"/>
      <c r="TV714" s="25"/>
      <c r="TW714" s="25"/>
      <c r="TX714" s="25"/>
      <c r="TY714" s="25"/>
      <c r="TZ714" s="25"/>
      <c r="UA714" s="25"/>
      <c r="UB714" s="25"/>
      <c r="UC714" s="25"/>
      <c r="UD714" s="25"/>
      <c r="UE714" s="25"/>
      <c r="UF714" s="25"/>
      <c r="UG714" s="26"/>
    </row>
    <row r="715" spans="1:553" ht="186.75" customHeight="1">
      <c r="A715" s="356"/>
      <c r="B715" s="385"/>
      <c r="C715" s="384" t="s">
        <v>26</v>
      </c>
      <c r="D715" s="376">
        <v>2</v>
      </c>
      <c r="E715" s="376">
        <v>498</v>
      </c>
      <c r="F715" s="385">
        <v>1</v>
      </c>
      <c r="G715" s="396" t="s">
        <v>33</v>
      </c>
      <c r="H715" s="387">
        <v>6.2</v>
      </c>
      <c r="I715" s="490">
        <v>6.2</v>
      </c>
      <c r="J715" s="368">
        <v>40000</v>
      </c>
      <c r="K715" s="391"/>
      <c r="L715" s="480">
        <f t="shared" si="112"/>
        <v>248000</v>
      </c>
      <c r="M715" s="392"/>
      <c r="N715" s="392"/>
      <c r="O715" s="366"/>
      <c r="P715" s="366"/>
      <c r="Q715" s="1149" t="s">
        <v>509</v>
      </c>
      <c r="R715" s="1452"/>
      <c r="S715" s="308"/>
      <c r="T715" s="308"/>
      <c r="U715" s="308"/>
      <c r="V715" s="308"/>
      <c r="W715" s="308"/>
      <c r="X715" s="308"/>
      <c r="Y715" s="685">
        <f>I715</f>
        <v>6.2</v>
      </c>
      <c r="Z715" s="604"/>
      <c r="AA715" s="308"/>
      <c r="AB715" s="308"/>
      <c r="AC715" s="449"/>
      <c r="AD715" s="449"/>
      <c r="AE715" s="449"/>
      <c r="AF715" s="449"/>
      <c r="AG715" s="449"/>
      <c r="AH715" s="449"/>
      <c r="AI715" s="449"/>
      <c r="AJ715" s="449"/>
      <c r="AK715" s="452"/>
      <c r="AL715" s="104"/>
      <c r="AM715" s="32"/>
      <c r="AN715" s="32"/>
      <c r="AO715" s="32"/>
      <c r="AP715" s="32"/>
      <c r="AQ715" s="32"/>
      <c r="AR715" s="32"/>
      <c r="AS715" s="31"/>
      <c r="AT715" s="22"/>
      <c r="AU715" s="22"/>
      <c r="AV715" s="22"/>
      <c r="AW715" s="22"/>
      <c r="AX715" s="22"/>
      <c r="AY715" s="22"/>
      <c r="AZ715" s="22"/>
      <c r="BA715" s="22"/>
      <c r="BB715" s="22"/>
      <c r="BC715" s="22"/>
      <c r="BD715" s="22"/>
      <c r="BE715" s="22"/>
      <c r="BF715" s="22"/>
      <c r="BG715" s="22"/>
      <c r="BH715" s="22"/>
      <c r="BI715" s="22"/>
      <c r="BJ715" s="22"/>
      <c r="BK715" s="22"/>
      <c r="BL715" s="22"/>
      <c r="BM715" s="22"/>
      <c r="BN715" s="22"/>
      <c r="BO715" s="22"/>
      <c r="BP715" s="25"/>
      <c r="BQ715" s="25"/>
      <c r="BR715" s="25"/>
      <c r="BS715" s="25"/>
      <c r="BT715" s="25"/>
      <c r="BU715" s="25"/>
      <c r="BV715" s="25"/>
      <c r="BW715" s="25"/>
      <c r="BX715" s="25"/>
      <c r="BY715" s="25"/>
      <c r="BZ715" s="25"/>
      <c r="CA715" s="25"/>
      <c r="CB715" s="25"/>
      <c r="CC715" s="25"/>
      <c r="CD715" s="25"/>
      <c r="CE715" s="25"/>
      <c r="CF715" s="25"/>
      <c r="CG715" s="25"/>
      <c r="CH715" s="25"/>
      <c r="CI715" s="25"/>
      <c r="CJ715" s="25"/>
      <c r="CK715" s="25"/>
      <c r="CL715" s="25"/>
      <c r="CM715" s="25"/>
      <c r="CN715" s="25"/>
      <c r="CO715" s="25"/>
      <c r="CP715" s="25"/>
      <c r="CQ715" s="25"/>
      <c r="CR715" s="25"/>
      <c r="CS715" s="25"/>
      <c r="CT715" s="25"/>
      <c r="CU715" s="25"/>
      <c r="CV715" s="25"/>
      <c r="CW715" s="25"/>
      <c r="CX715" s="25"/>
      <c r="CY715" s="25"/>
      <c r="CZ715" s="25"/>
      <c r="DA715" s="25"/>
      <c r="DB715" s="25"/>
      <c r="DC715" s="25"/>
      <c r="DD715" s="25"/>
      <c r="DE715" s="25"/>
      <c r="DF715" s="25"/>
      <c r="DG715" s="25"/>
      <c r="DH715" s="25"/>
      <c r="DI715" s="25"/>
      <c r="DJ715" s="25"/>
      <c r="DK715" s="25"/>
      <c r="DL715" s="25"/>
      <c r="DM715" s="25"/>
      <c r="DN715" s="25"/>
      <c r="DO715" s="25"/>
      <c r="DP715" s="25"/>
      <c r="DQ715" s="25"/>
      <c r="DR715" s="25"/>
      <c r="DS715" s="25"/>
      <c r="DT715" s="25"/>
      <c r="DU715" s="25"/>
      <c r="DV715" s="25"/>
      <c r="DW715" s="25"/>
      <c r="DX715" s="25"/>
      <c r="DY715" s="25"/>
      <c r="DZ715" s="25"/>
      <c r="EA715" s="25"/>
      <c r="EB715" s="25"/>
      <c r="EC715" s="25"/>
      <c r="ED715" s="25"/>
      <c r="EE715" s="25"/>
      <c r="EF715" s="25"/>
      <c r="EG715" s="25"/>
      <c r="EH715" s="25"/>
      <c r="EI715" s="25"/>
      <c r="EJ715" s="25"/>
      <c r="EK715" s="25"/>
      <c r="EL715" s="25"/>
      <c r="EM715" s="25"/>
      <c r="EN715" s="25"/>
      <c r="EO715" s="25"/>
      <c r="EP715" s="25"/>
      <c r="EQ715" s="25"/>
      <c r="ER715" s="25"/>
      <c r="ES715" s="25"/>
      <c r="ET715" s="25"/>
      <c r="EU715" s="25"/>
      <c r="EV715" s="25"/>
      <c r="EW715" s="25"/>
      <c r="EX715" s="25"/>
      <c r="EY715" s="25"/>
      <c r="EZ715" s="25"/>
      <c r="FA715" s="25"/>
      <c r="FB715" s="25"/>
      <c r="FC715" s="25"/>
      <c r="FD715" s="25"/>
      <c r="FE715" s="25"/>
      <c r="FF715" s="25"/>
      <c r="FG715" s="25"/>
      <c r="FH715" s="25"/>
      <c r="FI715" s="25"/>
      <c r="FJ715" s="25"/>
      <c r="FK715" s="25"/>
      <c r="FL715" s="25"/>
      <c r="FM715" s="25"/>
      <c r="FN715" s="25"/>
      <c r="FO715" s="25"/>
      <c r="FP715" s="25"/>
      <c r="FQ715" s="25"/>
      <c r="FR715" s="25"/>
      <c r="FS715" s="25"/>
      <c r="FT715" s="25"/>
      <c r="FU715" s="25"/>
      <c r="FV715" s="25"/>
      <c r="FW715" s="25"/>
      <c r="FX715" s="25"/>
      <c r="FY715" s="25"/>
      <c r="FZ715" s="25"/>
      <c r="GA715" s="25"/>
      <c r="GB715" s="25"/>
      <c r="GC715" s="25"/>
      <c r="GD715" s="25"/>
      <c r="GE715" s="25"/>
      <c r="GF715" s="25"/>
      <c r="GG715" s="25"/>
      <c r="GH715" s="25"/>
      <c r="GI715" s="25"/>
      <c r="GJ715" s="25"/>
      <c r="GK715" s="25"/>
      <c r="GL715" s="25"/>
      <c r="GM715" s="25"/>
      <c r="GN715" s="25"/>
      <c r="GO715" s="25"/>
      <c r="GP715" s="25"/>
      <c r="GQ715" s="25"/>
      <c r="GR715" s="25"/>
      <c r="GS715" s="25"/>
      <c r="GT715" s="25"/>
      <c r="GU715" s="25"/>
      <c r="GV715" s="25"/>
      <c r="GW715" s="25"/>
      <c r="GX715" s="25"/>
      <c r="GY715" s="25"/>
      <c r="GZ715" s="25"/>
      <c r="HA715" s="25"/>
      <c r="HB715" s="25"/>
      <c r="HC715" s="25"/>
      <c r="HD715" s="25"/>
      <c r="HE715" s="25"/>
      <c r="HF715" s="25"/>
      <c r="HG715" s="25"/>
      <c r="HH715" s="25"/>
      <c r="HI715" s="25"/>
      <c r="HJ715" s="25"/>
      <c r="HK715" s="25"/>
      <c r="HL715" s="25"/>
      <c r="HM715" s="25"/>
      <c r="HN715" s="25"/>
      <c r="HO715" s="25"/>
      <c r="HP715" s="25"/>
      <c r="HQ715" s="25"/>
      <c r="HR715" s="25"/>
      <c r="HS715" s="25"/>
      <c r="HT715" s="25"/>
      <c r="HU715" s="25"/>
      <c r="HV715" s="25"/>
      <c r="HW715" s="25"/>
      <c r="HX715" s="25"/>
      <c r="HY715" s="25"/>
      <c r="HZ715" s="25"/>
      <c r="IA715" s="25"/>
      <c r="IB715" s="25"/>
      <c r="IC715" s="25"/>
      <c r="ID715" s="25"/>
      <c r="IE715" s="25"/>
      <c r="IF715" s="25"/>
      <c r="IG715" s="25"/>
      <c r="IH715" s="25"/>
      <c r="II715" s="25"/>
      <c r="IJ715" s="25"/>
      <c r="IK715" s="25"/>
      <c r="IL715" s="25"/>
      <c r="IM715" s="25"/>
      <c r="IN715" s="25"/>
      <c r="IO715" s="25"/>
      <c r="IP715" s="25"/>
      <c r="IQ715" s="25"/>
      <c r="IR715" s="25"/>
      <c r="IS715" s="25"/>
      <c r="IT715" s="25"/>
      <c r="IU715" s="25"/>
      <c r="IV715" s="25"/>
      <c r="IW715" s="25"/>
      <c r="IX715" s="25"/>
      <c r="IY715" s="25"/>
      <c r="IZ715" s="25"/>
      <c r="JA715" s="25"/>
      <c r="JB715" s="25"/>
      <c r="JC715" s="25"/>
      <c r="JD715" s="25"/>
      <c r="JE715" s="25"/>
      <c r="JF715" s="25"/>
      <c r="JG715" s="25"/>
      <c r="JH715" s="25"/>
      <c r="JI715" s="25"/>
      <c r="JJ715" s="25"/>
      <c r="JK715" s="25"/>
      <c r="JL715" s="25"/>
      <c r="JM715" s="25"/>
      <c r="JN715" s="25"/>
      <c r="JO715" s="25"/>
      <c r="JP715" s="25"/>
      <c r="JQ715" s="25"/>
      <c r="JR715" s="25"/>
      <c r="JS715" s="25"/>
      <c r="JT715" s="25"/>
      <c r="JU715" s="25"/>
      <c r="JV715" s="25"/>
      <c r="JW715" s="25"/>
      <c r="JX715" s="25"/>
      <c r="JY715" s="25"/>
      <c r="JZ715" s="25"/>
      <c r="KA715" s="25"/>
      <c r="KB715" s="25"/>
      <c r="KC715" s="25"/>
      <c r="KD715" s="25"/>
      <c r="KE715" s="25"/>
      <c r="KF715" s="25"/>
      <c r="KG715" s="25"/>
      <c r="KH715" s="25"/>
      <c r="KI715" s="25"/>
      <c r="KJ715" s="25"/>
      <c r="KK715" s="25"/>
      <c r="KL715" s="25"/>
      <c r="KM715" s="25"/>
      <c r="KN715" s="25"/>
      <c r="KO715" s="25"/>
      <c r="KP715" s="25"/>
      <c r="KQ715" s="25"/>
      <c r="KR715" s="25"/>
      <c r="KS715" s="25"/>
      <c r="KT715" s="25"/>
      <c r="KU715" s="25"/>
      <c r="KV715" s="25"/>
      <c r="KW715" s="25"/>
      <c r="KX715" s="25"/>
      <c r="KY715" s="25"/>
      <c r="KZ715" s="25"/>
      <c r="LA715" s="25"/>
      <c r="LB715" s="25"/>
      <c r="LC715" s="25"/>
      <c r="LD715" s="25"/>
      <c r="LE715" s="25"/>
      <c r="LF715" s="25"/>
      <c r="LG715" s="25"/>
      <c r="LH715" s="25"/>
      <c r="LI715" s="25"/>
      <c r="LJ715" s="25"/>
      <c r="LK715" s="25"/>
      <c r="LL715" s="25"/>
      <c r="LM715" s="25"/>
      <c r="LN715" s="25"/>
      <c r="LO715" s="25"/>
      <c r="LP715" s="25"/>
      <c r="LQ715" s="25"/>
      <c r="LR715" s="25"/>
      <c r="LS715" s="25"/>
      <c r="LT715" s="25"/>
      <c r="LU715" s="25"/>
      <c r="LV715" s="25"/>
      <c r="LW715" s="25"/>
      <c r="LX715" s="25"/>
      <c r="LY715" s="25"/>
      <c r="LZ715" s="25"/>
      <c r="MA715" s="25"/>
      <c r="MB715" s="25"/>
      <c r="MC715" s="25"/>
      <c r="MD715" s="25"/>
      <c r="ME715" s="25"/>
      <c r="MF715" s="25"/>
      <c r="MG715" s="25"/>
      <c r="MH715" s="25"/>
      <c r="MI715" s="25"/>
      <c r="MJ715" s="25"/>
      <c r="MK715" s="25"/>
      <c r="ML715" s="25"/>
      <c r="MM715" s="25"/>
      <c r="MN715" s="25"/>
      <c r="MO715" s="25"/>
      <c r="MP715" s="25"/>
      <c r="MQ715" s="25"/>
      <c r="MR715" s="25"/>
      <c r="MS715" s="25"/>
      <c r="MT715" s="25"/>
      <c r="MU715" s="25"/>
      <c r="MV715" s="25"/>
      <c r="MW715" s="25"/>
      <c r="MX715" s="25"/>
      <c r="MY715" s="25"/>
      <c r="MZ715" s="25"/>
      <c r="NA715" s="25"/>
      <c r="NB715" s="25"/>
      <c r="NC715" s="25"/>
      <c r="ND715" s="25"/>
      <c r="NE715" s="25"/>
      <c r="NF715" s="25"/>
      <c r="NG715" s="25"/>
      <c r="NH715" s="25"/>
      <c r="NI715" s="25"/>
      <c r="NJ715" s="25"/>
      <c r="NK715" s="25"/>
      <c r="NL715" s="25"/>
      <c r="NM715" s="25"/>
      <c r="NN715" s="25"/>
      <c r="NO715" s="25"/>
      <c r="NP715" s="25"/>
      <c r="NQ715" s="25"/>
      <c r="NR715" s="25"/>
      <c r="NS715" s="25"/>
      <c r="NT715" s="25"/>
      <c r="NU715" s="25"/>
      <c r="NV715" s="25"/>
      <c r="NW715" s="25"/>
      <c r="NX715" s="25"/>
      <c r="NY715" s="25"/>
      <c r="NZ715" s="25"/>
      <c r="OA715" s="25"/>
      <c r="OB715" s="25"/>
      <c r="OC715" s="25"/>
      <c r="OD715" s="25"/>
      <c r="OE715" s="25"/>
      <c r="OF715" s="25"/>
      <c r="OG715" s="25"/>
      <c r="OH715" s="25"/>
      <c r="OI715" s="25"/>
      <c r="OJ715" s="25"/>
      <c r="OK715" s="25"/>
      <c r="OL715" s="25"/>
      <c r="OM715" s="25"/>
      <c r="ON715" s="25"/>
      <c r="OO715" s="25"/>
      <c r="OP715" s="25"/>
      <c r="OQ715" s="25"/>
      <c r="OR715" s="25"/>
      <c r="OS715" s="25"/>
      <c r="OT715" s="25"/>
      <c r="OU715" s="25"/>
      <c r="OV715" s="25"/>
      <c r="OW715" s="25"/>
      <c r="OX715" s="25"/>
      <c r="OY715" s="25"/>
      <c r="OZ715" s="25"/>
      <c r="PA715" s="25"/>
      <c r="PB715" s="25"/>
      <c r="PC715" s="25"/>
      <c r="PD715" s="25"/>
      <c r="PE715" s="25"/>
      <c r="PF715" s="25"/>
      <c r="PG715" s="25"/>
      <c r="PH715" s="25"/>
      <c r="PI715" s="25"/>
      <c r="PJ715" s="25"/>
      <c r="PK715" s="25"/>
      <c r="PL715" s="25"/>
      <c r="PM715" s="25"/>
      <c r="PN715" s="25"/>
      <c r="PO715" s="25"/>
      <c r="PP715" s="25"/>
      <c r="PQ715" s="25"/>
      <c r="PR715" s="25"/>
      <c r="PS715" s="25"/>
      <c r="PT715" s="25"/>
      <c r="PU715" s="25"/>
      <c r="PV715" s="25"/>
      <c r="PW715" s="25"/>
      <c r="PX715" s="25"/>
      <c r="PY715" s="25"/>
      <c r="PZ715" s="25"/>
      <c r="QA715" s="25"/>
      <c r="QB715" s="25"/>
      <c r="QC715" s="25"/>
      <c r="QD715" s="25"/>
      <c r="QE715" s="25"/>
      <c r="QF715" s="25"/>
      <c r="QG715" s="25"/>
      <c r="QH715" s="25"/>
      <c r="QI715" s="25"/>
      <c r="QJ715" s="25"/>
      <c r="QK715" s="25"/>
      <c r="QL715" s="25"/>
      <c r="QM715" s="25"/>
      <c r="QN715" s="25"/>
      <c r="QO715" s="25"/>
      <c r="QP715" s="25"/>
      <c r="QQ715" s="25"/>
      <c r="QR715" s="25"/>
      <c r="QS715" s="25"/>
      <c r="QT715" s="25"/>
      <c r="QU715" s="25"/>
      <c r="QV715" s="25"/>
      <c r="QW715" s="25"/>
      <c r="QX715" s="25"/>
      <c r="QY715" s="25"/>
      <c r="QZ715" s="25"/>
      <c r="RA715" s="25"/>
      <c r="RB715" s="25"/>
      <c r="RC715" s="25"/>
      <c r="RD715" s="25"/>
      <c r="RE715" s="25"/>
      <c r="RF715" s="25"/>
      <c r="RG715" s="25"/>
      <c r="RH715" s="25"/>
      <c r="RI715" s="25"/>
      <c r="RJ715" s="25"/>
      <c r="RK715" s="25"/>
      <c r="RL715" s="25"/>
      <c r="RM715" s="25"/>
      <c r="RN715" s="25"/>
      <c r="RO715" s="25"/>
      <c r="RP715" s="25"/>
      <c r="RQ715" s="25"/>
      <c r="RR715" s="25"/>
      <c r="RS715" s="25"/>
      <c r="RT715" s="25"/>
      <c r="RU715" s="25"/>
      <c r="RV715" s="25"/>
      <c r="RW715" s="25"/>
      <c r="RX715" s="25"/>
      <c r="RY715" s="25"/>
      <c r="RZ715" s="25"/>
      <c r="SA715" s="25"/>
      <c r="SB715" s="25"/>
      <c r="SC715" s="25"/>
      <c r="SD715" s="25"/>
      <c r="SE715" s="25"/>
      <c r="SF715" s="25"/>
      <c r="SG715" s="25"/>
      <c r="SH715" s="25"/>
      <c r="SI715" s="25"/>
      <c r="SJ715" s="25"/>
      <c r="SK715" s="25"/>
      <c r="SL715" s="25"/>
      <c r="SM715" s="25"/>
      <c r="SN715" s="25"/>
      <c r="SO715" s="25"/>
      <c r="SP715" s="25"/>
      <c r="SQ715" s="25"/>
      <c r="SR715" s="25"/>
      <c r="SS715" s="25"/>
      <c r="ST715" s="25"/>
      <c r="SU715" s="25"/>
      <c r="SV715" s="25"/>
      <c r="SW715" s="25"/>
      <c r="SX715" s="25"/>
      <c r="SY715" s="25"/>
      <c r="SZ715" s="25"/>
      <c r="TA715" s="25"/>
      <c r="TB715" s="25"/>
      <c r="TC715" s="25"/>
      <c r="TD715" s="25"/>
      <c r="TE715" s="25"/>
      <c r="TF715" s="25"/>
      <c r="TG715" s="25"/>
      <c r="TH715" s="25"/>
      <c r="TI715" s="25"/>
      <c r="TJ715" s="25"/>
      <c r="TK715" s="25"/>
      <c r="TL715" s="25"/>
      <c r="TM715" s="25"/>
      <c r="TN715" s="25"/>
      <c r="TO715" s="25"/>
      <c r="TP715" s="25"/>
      <c r="TQ715" s="25"/>
      <c r="TR715" s="25"/>
      <c r="TS715" s="25"/>
      <c r="TT715" s="25"/>
      <c r="TU715" s="25"/>
      <c r="TV715" s="25"/>
      <c r="TW715" s="25"/>
      <c r="TX715" s="25"/>
      <c r="TY715" s="25"/>
      <c r="TZ715" s="25"/>
      <c r="UA715" s="25"/>
      <c r="UB715" s="25"/>
      <c r="UC715" s="25"/>
      <c r="UD715" s="25"/>
      <c r="UE715" s="25"/>
      <c r="UF715" s="25"/>
      <c r="UG715" s="26"/>
    </row>
    <row r="716" spans="1:553" ht="186.75" customHeight="1">
      <c r="A716" s="356"/>
      <c r="B716" s="385"/>
      <c r="C716" s="384" t="s">
        <v>26</v>
      </c>
      <c r="D716" s="376">
        <v>2</v>
      </c>
      <c r="E716" s="376">
        <v>488</v>
      </c>
      <c r="F716" s="385">
        <v>1</v>
      </c>
      <c r="G716" s="396" t="s">
        <v>33</v>
      </c>
      <c r="H716" s="387">
        <v>58.3</v>
      </c>
      <c r="I716" s="490">
        <v>58.3</v>
      </c>
      <c r="J716" s="368">
        <v>40000</v>
      </c>
      <c r="K716" s="391"/>
      <c r="L716" s="480">
        <f t="shared" si="112"/>
        <v>2332000</v>
      </c>
      <c r="M716" s="392"/>
      <c r="N716" s="392"/>
      <c r="O716" s="366"/>
      <c r="P716" s="366"/>
      <c r="Q716" s="1149" t="s">
        <v>509</v>
      </c>
      <c r="R716" s="1452"/>
      <c r="S716" s="308"/>
      <c r="T716" s="308"/>
      <c r="U716" s="308"/>
      <c r="V716" s="308"/>
      <c r="W716" s="308"/>
      <c r="X716" s="308"/>
      <c r="Y716" s="685">
        <f>I716</f>
        <v>58.3</v>
      </c>
      <c r="Z716" s="604"/>
      <c r="AA716" s="308"/>
      <c r="AB716" s="308"/>
      <c r="AC716" s="449"/>
      <c r="AD716" s="449"/>
      <c r="AE716" s="449"/>
      <c r="AF716" s="449"/>
      <c r="AG716" s="449"/>
      <c r="AH716" s="449"/>
      <c r="AI716" s="449"/>
      <c r="AJ716" s="449"/>
      <c r="AK716" s="452"/>
      <c r="AL716" s="104"/>
      <c r="AM716" s="32"/>
      <c r="AN716" s="32"/>
      <c r="AO716" s="32"/>
      <c r="AP716" s="32"/>
      <c r="AQ716" s="32"/>
      <c r="AR716" s="32"/>
      <c r="AS716" s="31"/>
      <c r="AT716" s="22"/>
      <c r="AU716" s="22"/>
      <c r="AV716" s="22"/>
      <c r="AW716" s="22"/>
      <c r="AX716" s="22"/>
      <c r="AY716" s="22"/>
      <c r="AZ716" s="22"/>
      <c r="BA716" s="22"/>
      <c r="BB716" s="22"/>
      <c r="BC716" s="22"/>
      <c r="BD716" s="22"/>
      <c r="BE716" s="22"/>
      <c r="BF716" s="22"/>
      <c r="BG716" s="22"/>
      <c r="BH716" s="22"/>
      <c r="BI716" s="22"/>
      <c r="BJ716" s="22"/>
      <c r="BK716" s="22"/>
      <c r="BL716" s="22"/>
      <c r="BM716" s="22"/>
      <c r="BN716" s="22"/>
      <c r="BO716" s="22"/>
      <c r="BP716" s="25"/>
      <c r="BQ716" s="25"/>
      <c r="BR716" s="25"/>
      <c r="BS716" s="25"/>
      <c r="BT716" s="25"/>
      <c r="BU716" s="25"/>
      <c r="BV716" s="25"/>
      <c r="BW716" s="25"/>
      <c r="BX716" s="25"/>
      <c r="BY716" s="25"/>
      <c r="BZ716" s="25"/>
      <c r="CA716" s="25"/>
      <c r="CB716" s="25"/>
      <c r="CC716" s="25"/>
      <c r="CD716" s="25"/>
      <c r="CE716" s="25"/>
      <c r="CF716" s="25"/>
      <c r="CG716" s="25"/>
      <c r="CH716" s="25"/>
      <c r="CI716" s="25"/>
      <c r="CJ716" s="25"/>
      <c r="CK716" s="25"/>
      <c r="CL716" s="25"/>
      <c r="CM716" s="25"/>
      <c r="CN716" s="25"/>
      <c r="CO716" s="25"/>
      <c r="CP716" s="25"/>
      <c r="CQ716" s="25"/>
      <c r="CR716" s="25"/>
      <c r="CS716" s="25"/>
      <c r="CT716" s="25"/>
      <c r="CU716" s="25"/>
      <c r="CV716" s="25"/>
      <c r="CW716" s="25"/>
      <c r="CX716" s="25"/>
      <c r="CY716" s="25"/>
      <c r="CZ716" s="25"/>
      <c r="DA716" s="25"/>
      <c r="DB716" s="25"/>
      <c r="DC716" s="25"/>
      <c r="DD716" s="25"/>
      <c r="DE716" s="25"/>
      <c r="DF716" s="25"/>
      <c r="DG716" s="25"/>
      <c r="DH716" s="25"/>
      <c r="DI716" s="25"/>
      <c r="DJ716" s="25"/>
      <c r="DK716" s="25"/>
      <c r="DL716" s="25"/>
      <c r="DM716" s="25"/>
      <c r="DN716" s="25"/>
      <c r="DO716" s="25"/>
      <c r="DP716" s="25"/>
      <c r="DQ716" s="25"/>
      <c r="DR716" s="25"/>
      <c r="DS716" s="25"/>
      <c r="DT716" s="25"/>
      <c r="DU716" s="25"/>
      <c r="DV716" s="25"/>
      <c r="DW716" s="25"/>
      <c r="DX716" s="25"/>
      <c r="DY716" s="25"/>
      <c r="DZ716" s="25"/>
      <c r="EA716" s="25"/>
      <c r="EB716" s="25"/>
      <c r="EC716" s="25"/>
      <c r="ED716" s="25"/>
      <c r="EE716" s="25"/>
      <c r="EF716" s="25"/>
      <c r="EG716" s="25"/>
      <c r="EH716" s="25"/>
      <c r="EI716" s="25"/>
      <c r="EJ716" s="25"/>
      <c r="EK716" s="25"/>
      <c r="EL716" s="25"/>
      <c r="EM716" s="25"/>
      <c r="EN716" s="25"/>
      <c r="EO716" s="25"/>
      <c r="EP716" s="25"/>
      <c r="EQ716" s="25"/>
      <c r="ER716" s="25"/>
      <c r="ES716" s="25"/>
      <c r="ET716" s="25"/>
      <c r="EU716" s="25"/>
      <c r="EV716" s="25"/>
      <c r="EW716" s="25"/>
      <c r="EX716" s="25"/>
      <c r="EY716" s="25"/>
      <c r="EZ716" s="25"/>
      <c r="FA716" s="25"/>
      <c r="FB716" s="25"/>
      <c r="FC716" s="25"/>
      <c r="FD716" s="25"/>
      <c r="FE716" s="25"/>
      <c r="FF716" s="25"/>
      <c r="FG716" s="25"/>
      <c r="FH716" s="25"/>
      <c r="FI716" s="25"/>
      <c r="FJ716" s="25"/>
      <c r="FK716" s="25"/>
      <c r="FL716" s="25"/>
      <c r="FM716" s="25"/>
      <c r="FN716" s="25"/>
      <c r="FO716" s="25"/>
      <c r="FP716" s="25"/>
      <c r="FQ716" s="25"/>
      <c r="FR716" s="25"/>
      <c r="FS716" s="25"/>
      <c r="FT716" s="25"/>
      <c r="FU716" s="25"/>
      <c r="FV716" s="25"/>
      <c r="FW716" s="25"/>
      <c r="FX716" s="25"/>
      <c r="FY716" s="25"/>
      <c r="FZ716" s="25"/>
      <c r="GA716" s="25"/>
      <c r="GB716" s="25"/>
      <c r="GC716" s="25"/>
      <c r="GD716" s="25"/>
      <c r="GE716" s="25"/>
      <c r="GF716" s="25"/>
      <c r="GG716" s="25"/>
      <c r="GH716" s="25"/>
      <c r="GI716" s="25"/>
      <c r="GJ716" s="25"/>
      <c r="GK716" s="25"/>
      <c r="GL716" s="25"/>
      <c r="GM716" s="25"/>
      <c r="GN716" s="25"/>
      <c r="GO716" s="25"/>
      <c r="GP716" s="25"/>
      <c r="GQ716" s="25"/>
      <c r="GR716" s="25"/>
      <c r="GS716" s="25"/>
      <c r="GT716" s="25"/>
      <c r="GU716" s="25"/>
      <c r="GV716" s="25"/>
      <c r="GW716" s="25"/>
      <c r="GX716" s="25"/>
      <c r="GY716" s="25"/>
      <c r="GZ716" s="25"/>
      <c r="HA716" s="25"/>
      <c r="HB716" s="25"/>
      <c r="HC716" s="25"/>
      <c r="HD716" s="25"/>
      <c r="HE716" s="25"/>
      <c r="HF716" s="25"/>
      <c r="HG716" s="25"/>
      <c r="HH716" s="25"/>
      <c r="HI716" s="25"/>
      <c r="HJ716" s="25"/>
      <c r="HK716" s="25"/>
      <c r="HL716" s="25"/>
      <c r="HM716" s="25"/>
      <c r="HN716" s="25"/>
      <c r="HO716" s="25"/>
      <c r="HP716" s="25"/>
      <c r="HQ716" s="25"/>
      <c r="HR716" s="25"/>
      <c r="HS716" s="25"/>
      <c r="HT716" s="25"/>
      <c r="HU716" s="25"/>
      <c r="HV716" s="25"/>
      <c r="HW716" s="25"/>
      <c r="HX716" s="25"/>
      <c r="HY716" s="25"/>
      <c r="HZ716" s="25"/>
      <c r="IA716" s="25"/>
      <c r="IB716" s="25"/>
      <c r="IC716" s="25"/>
      <c r="ID716" s="25"/>
      <c r="IE716" s="25"/>
      <c r="IF716" s="25"/>
      <c r="IG716" s="25"/>
      <c r="IH716" s="25"/>
      <c r="II716" s="25"/>
      <c r="IJ716" s="25"/>
      <c r="IK716" s="25"/>
      <c r="IL716" s="25"/>
      <c r="IM716" s="25"/>
      <c r="IN716" s="25"/>
      <c r="IO716" s="25"/>
      <c r="IP716" s="25"/>
      <c r="IQ716" s="25"/>
      <c r="IR716" s="25"/>
      <c r="IS716" s="25"/>
      <c r="IT716" s="25"/>
      <c r="IU716" s="25"/>
      <c r="IV716" s="25"/>
      <c r="IW716" s="25"/>
      <c r="IX716" s="25"/>
      <c r="IY716" s="25"/>
      <c r="IZ716" s="25"/>
      <c r="JA716" s="25"/>
      <c r="JB716" s="25"/>
      <c r="JC716" s="25"/>
      <c r="JD716" s="25"/>
      <c r="JE716" s="25"/>
      <c r="JF716" s="25"/>
      <c r="JG716" s="25"/>
      <c r="JH716" s="25"/>
      <c r="JI716" s="25"/>
      <c r="JJ716" s="25"/>
      <c r="JK716" s="25"/>
      <c r="JL716" s="25"/>
      <c r="JM716" s="25"/>
      <c r="JN716" s="25"/>
      <c r="JO716" s="25"/>
      <c r="JP716" s="25"/>
      <c r="JQ716" s="25"/>
      <c r="JR716" s="25"/>
      <c r="JS716" s="25"/>
      <c r="JT716" s="25"/>
      <c r="JU716" s="25"/>
      <c r="JV716" s="25"/>
      <c r="JW716" s="25"/>
      <c r="JX716" s="25"/>
      <c r="JY716" s="25"/>
      <c r="JZ716" s="25"/>
      <c r="KA716" s="25"/>
      <c r="KB716" s="25"/>
      <c r="KC716" s="25"/>
      <c r="KD716" s="25"/>
      <c r="KE716" s="25"/>
      <c r="KF716" s="25"/>
      <c r="KG716" s="25"/>
      <c r="KH716" s="25"/>
      <c r="KI716" s="25"/>
      <c r="KJ716" s="25"/>
      <c r="KK716" s="25"/>
      <c r="KL716" s="25"/>
      <c r="KM716" s="25"/>
      <c r="KN716" s="25"/>
      <c r="KO716" s="25"/>
      <c r="KP716" s="25"/>
      <c r="KQ716" s="25"/>
      <c r="KR716" s="25"/>
      <c r="KS716" s="25"/>
      <c r="KT716" s="25"/>
      <c r="KU716" s="25"/>
      <c r="KV716" s="25"/>
      <c r="KW716" s="25"/>
      <c r="KX716" s="25"/>
      <c r="KY716" s="25"/>
      <c r="KZ716" s="25"/>
      <c r="LA716" s="25"/>
      <c r="LB716" s="25"/>
      <c r="LC716" s="25"/>
      <c r="LD716" s="25"/>
      <c r="LE716" s="25"/>
      <c r="LF716" s="25"/>
      <c r="LG716" s="25"/>
      <c r="LH716" s="25"/>
      <c r="LI716" s="25"/>
      <c r="LJ716" s="25"/>
      <c r="LK716" s="25"/>
      <c r="LL716" s="25"/>
      <c r="LM716" s="25"/>
      <c r="LN716" s="25"/>
      <c r="LO716" s="25"/>
      <c r="LP716" s="25"/>
      <c r="LQ716" s="25"/>
      <c r="LR716" s="25"/>
      <c r="LS716" s="25"/>
      <c r="LT716" s="25"/>
      <c r="LU716" s="25"/>
      <c r="LV716" s="25"/>
      <c r="LW716" s="25"/>
      <c r="LX716" s="25"/>
      <c r="LY716" s="25"/>
      <c r="LZ716" s="25"/>
      <c r="MA716" s="25"/>
      <c r="MB716" s="25"/>
      <c r="MC716" s="25"/>
      <c r="MD716" s="25"/>
      <c r="ME716" s="25"/>
      <c r="MF716" s="25"/>
      <c r="MG716" s="25"/>
      <c r="MH716" s="25"/>
      <c r="MI716" s="25"/>
      <c r="MJ716" s="25"/>
      <c r="MK716" s="25"/>
      <c r="ML716" s="25"/>
      <c r="MM716" s="25"/>
      <c r="MN716" s="25"/>
      <c r="MO716" s="25"/>
      <c r="MP716" s="25"/>
      <c r="MQ716" s="25"/>
      <c r="MR716" s="25"/>
      <c r="MS716" s="25"/>
      <c r="MT716" s="25"/>
      <c r="MU716" s="25"/>
      <c r="MV716" s="25"/>
      <c r="MW716" s="25"/>
      <c r="MX716" s="25"/>
      <c r="MY716" s="25"/>
      <c r="MZ716" s="25"/>
      <c r="NA716" s="25"/>
      <c r="NB716" s="25"/>
      <c r="NC716" s="25"/>
      <c r="ND716" s="25"/>
      <c r="NE716" s="25"/>
      <c r="NF716" s="25"/>
      <c r="NG716" s="25"/>
      <c r="NH716" s="25"/>
      <c r="NI716" s="25"/>
      <c r="NJ716" s="25"/>
      <c r="NK716" s="25"/>
      <c r="NL716" s="25"/>
      <c r="NM716" s="25"/>
      <c r="NN716" s="25"/>
      <c r="NO716" s="25"/>
      <c r="NP716" s="25"/>
      <c r="NQ716" s="25"/>
      <c r="NR716" s="25"/>
      <c r="NS716" s="25"/>
      <c r="NT716" s="25"/>
      <c r="NU716" s="25"/>
      <c r="NV716" s="25"/>
      <c r="NW716" s="25"/>
      <c r="NX716" s="25"/>
      <c r="NY716" s="25"/>
      <c r="NZ716" s="25"/>
      <c r="OA716" s="25"/>
      <c r="OB716" s="25"/>
      <c r="OC716" s="25"/>
      <c r="OD716" s="25"/>
      <c r="OE716" s="25"/>
      <c r="OF716" s="25"/>
      <c r="OG716" s="25"/>
      <c r="OH716" s="25"/>
      <c r="OI716" s="25"/>
      <c r="OJ716" s="25"/>
      <c r="OK716" s="25"/>
      <c r="OL716" s="25"/>
      <c r="OM716" s="25"/>
      <c r="ON716" s="25"/>
      <c r="OO716" s="25"/>
      <c r="OP716" s="25"/>
      <c r="OQ716" s="25"/>
      <c r="OR716" s="25"/>
      <c r="OS716" s="25"/>
      <c r="OT716" s="25"/>
      <c r="OU716" s="25"/>
      <c r="OV716" s="25"/>
      <c r="OW716" s="25"/>
      <c r="OX716" s="25"/>
      <c r="OY716" s="25"/>
      <c r="OZ716" s="25"/>
      <c r="PA716" s="25"/>
      <c r="PB716" s="25"/>
      <c r="PC716" s="25"/>
      <c r="PD716" s="25"/>
      <c r="PE716" s="25"/>
      <c r="PF716" s="25"/>
      <c r="PG716" s="25"/>
      <c r="PH716" s="25"/>
      <c r="PI716" s="25"/>
      <c r="PJ716" s="25"/>
      <c r="PK716" s="25"/>
      <c r="PL716" s="25"/>
      <c r="PM716" s="25"/>
      <c r="PN716" s="25"/>
      <c r="PO716" s="25"/>
      <c r="PP716" s="25"/>
      <c r="PQ716" s="25"/>
      <c r="PR716" s="25"/>
      <c r="PS716" s="25"/>
      <c r="PT716" s="25"/>
      <c r="PU716" s="25"/>
      <c r="PV716" s="25"/>
      <c r="PW716" s="25"/>
      <c r="PX716" s="25"/>
      <c r="PY716" s="25"/>
      <c r="PZ716" s="25"/>
      <c r="QA716" s="25"/>
      <c r="QB716" s="25"/>
      <c r="QC716" s="25"/>
      <c r="QD716" s="25"/>
      <c r="QE716" s="25"/>
      <c r="QF716" s="25"/>
      <c r="QG716" s="25"/>
      <c r="QH716" s="25"/>
      <c r="QI716" s="25"/>
      <c r="QJ716" s="25"/>
      <c r="QK716" s="25"/>
      <c r="QL716" s="25"/>
      <c r="QM716" s="25"/>
      <c r="QN716" s="25"/>
      <c r="QO716" s="25"/>
      <c r="QP716" s="25"/>
      <c r="QQ716" s="25"/>
      <c r="QR716" s="25"/>
      <c r="QS716" s="25"/>
      <c r="QT716" s="25"/>
      <c r="QU716" s="25"/>
      <c r="QV716" s="25"/>
      <c r="QW716" s="25"/>
      <c r="QX716" s="25"/>
      <c r="QY716" s="25"/>
      <c r="QZ716" s="25"/>
      <c r="RA716" s="25"/>
      <c r="RB716" s="25"/>
      <c r="RC716" s="25"/>
      <c r="RD716" s="25"/>
      <c r="RE716" s="25"/>
      <c r="RF716" s="25"/>
      <c r="RG716" s="25"/>
      <c r="RH716" s="25"/>
      <c r="RI716" s="25"/>
      <c r="RJ716" s="25"/>
      <c r="RK716" s="25"/>
      <c r="RL716" s="25"/>
      <c r="RM716" s="25"/>
      <c r="RN716" s="25"/>
      <c r="RO716" s="25"/>
      <c r="RP716" s="25"/>
      <c r="RQ716" s="25"/>
      <c r="RR716" s="25"/>
      <c r="RS716" s="25"/>
      <c r="RT716" s="25"/>
      <c r="RU716" s="25"/>
      <c r="RV716" s="25"/>
      <c r="RW716" s="25"/>
      <c r="RX716" s="25"/>
      <c r="RY716" s="25"/>
      <c r="RZ716" s="25"/>
      <c r="SA716" s="25"/>
      <c r="SB716" s="25"/>
      <c r="SC716" s="25"/>
      <c r="SD716" s="25"/>
      <c r="SE716" s="25"/>
      <c r="SF716" s="25"/>
      <c r="SG716" s="25"/>
      <c r="SH716" s="25"/>
      <c r="SI716" s="25"/>
      <c r="SJ716" s="25"/>
      <c r="SK716" s="25"/>
      <c r="SL716" s="25"/>
      <c r="SM716" s="25"/>
      <c r="SN716" s="25"/>
      <c r="SO716" s="25"/>
      <c r="SP716" s="25"/>
      <c r="SQ716" s="25"/>
      <c r="SR716" s="25"/>
      <c r="SS716" s="25"/>
      <c r="ST716" s="25"/>
      <c r="SU716" s="25"/>
      <c r="SV716" s="25"/>
      <c r="SW716" s="25"/>
      <c r="SX716" s="25"/>
      <c r="SY716" s="25"/>
      <c r="SZ716" s="25"/>
      <c r="TA716" s="25"/>
      <c r="TB716" s="25"/>
      <c r="TC716" s="25"/>
      <c r="TD716" s="25"/>
      <c r="TE716" s="25"/>
      <c r="TF716" s="25"/>
      <c r="TG716" s="25"/>
      <c r="TH716" s="25"/>
      <c r="TI716" s="25"/>
      <c r="TJ716" s="25"/>
      <c r="TK716" s="25"/>
      <c r="TL716" s="25"/>
      <c r="TM716" s="25"/>
      <c r="TN716" s="25"/>
      <c r="TO716" s="25"/>
      <c r="TP716" s="25"/>
      <c r="TQ716" s="25"/>
      <c r="TR716" s="25"/>
      <c r="TS716" s="25"/>
      <c r="TT716" s="25"/>
      <c r="TU716" s="25"/>
      <c r="TV716" s="25"/>
      <c r="TW716" s="25"/>
      <c r="TX716" s="25"/>
      <c r="TY716" s="25"/>
      <c r="TZ716" s="25"/>
      <c r="UA716" s="25"/>
      <c r="UB716" s="25"/>
      <c r="UC716" s="25"/>
      <c r="UD716" s="25"/>
      <c r="UE716" s="25"/>
      <c r="UF716" s="25"/>
      <c r="UG716" s="26"/>
    </row>
    <row r="717" spans="1:553" s="125" customFormat="1" ht="30.75" customHeight="1">
      <c r="A717" s="431" t="s">
        <v>27</v>
      </c>
      <c r="B717" s="431"/>
      <c r="C717" s="1550" t="s">
        <v>28</v>
      </c>
      <c r="D717" s="1389"/>
      <c r="E717" s="1389"/>
      <c r="F717" s="1390"/>
      <c r="G717" s="544"/>
      <c r="H717" s="543"/>
      <c r="I717" s="432"/>
      <c r="J717" s="990"/>
      <c r="K717" s="584"/>
      <c r="L717" s="431">
        <f>SUM(L719:L773)</f>
        <v>676575798.37888706</v>
      </c>
      <c r="M717" s="431"/>
      <c r="N717" s="431"/>
      <c r="O717" s="431"/>
      <c r="P717" s="431">
        <f>L717</f>
        <v>676575798.37888706</v>
      </c>
      <c r="Q717" s="815"/>
      <c r="R717" s="1549" t="s">
        <v>1400</v>
      </c>
      <c r="S717" s="308"/>
      <c r="T717" s="308"/>
      <c r="U717" s="308"/>
      <c r="V717" s="308"/>
      <c r="W717" s="308"/>
      <c r="X717" s="308"/>
      <c r="Y717" s="308"/>
      <c r="Z717" s="604"/>
      <c r="AA717" s="308"/>
      <c r="AB717" s="308"/>
      <c r="AC717" s="545"/>
      <c r="AD717" s="545"/>
      <c r="AE717" s="545"/>
      <c r="AF717" s="545"/>
      <c r="AG717" s="545"/>
      <c r="AH717" s="545"/>
      <c r="AI717" s="545"/>
      <c r="AJ717" s="545"/>
      <c r="AK717" s="546"/>
      <c r="AL717" s="300"/>
      <c r="AM717" s="122"/>
      <c r="AN717" s="122"/>
      <c r="AO717" s="122"/>
      <c r="AP717" s="122"/>
      <c r="AQ717" s="122"/>
      <c r="AR717" s="122"/>
      <c r="AS717" s="123"/>
      <c r="AT717" s="123"/>
      <c r="AU717" s="123"/>
      <c r="AV717" s="123"/>
      <c r="AW717" s="123"/>
      <c r="AX717" s="123"/>
      <c r="AY717" s="123"/>
      <c r="AZ717" s="123"/>
      <c r="BA717" s="123"/>
      <c r="BB717" s="123"/>
      <c r="BC717" s="123"/>
      <c r="BD717" s="123"/>
      <c r="BE717" s="123"/>
      <c r="BF717" s="123"/>
      <c r="BG717" s="123"/>
      <c r="BH717" s="123"/>
      <c r="BI717" s="123"/>
      <c r="BJ717" s="123"/>
      <c r="BK717" s="123"/>
      <c r="BL717" s="123"/>
      <c r="BM717" s="123"/>
      <c r="BN717" s="123"/>
      <c r="BO717" s="123"/>
      <c r="BP717" s="123"/>
      <c r="BQ717" s="123"/>
      <c r="BR717" s="123"/>
      <c r="BS717" s="123"/>
      <c r="BT717" s="123"/>
      <c r="BU717" s="123"/>
      <c r="BV717" s="123"/>
      <c r="BW717" s="123"/>
      <c r="BX717" s="123"/>
      <c r="BY717" s="123"/>
      <c r="BZ717" s="123"/>
      <c r="CA717" s="123"/>
      <c r="CB717" s="123"/>
      <c r="CC717" s="123"/>
      <c r="CD717" s="123"/>
      <c r="CE717" s="123"/>
      <c r="CF717" s="123"/>
      <c r="CG717" s="123"/>
      <c r="CH717" s="123"/>
      <c r="CI717" s="123"/>
      <c r="CJ717" s="123"/>
      <c r="CK717" s="123"/>
      <c r="CL717" s="123"/>
      <c r="CM717" s="123"/>
      <c r="CN717" s="123"/>
      <c r="CO717" s="123"/>
      <c r="CP717" s="123"/>
      <c r="CQ717" s="123"/>
      <c r="CR717" s="123"/>
      <c r="CS717" s="123"/>
      <c r="CT717" s="123"/>
      <c r="CU717" s="123"/>
      <c r="CV717" s="123"/>
      <c r="CW717" s="123"/>
      <c r="CX717" s="123"/>
      <c r="CY717" s="123"/>
      <c r="CZ717" s="123"/>
      <c r="DA717" s="123"/>
      <c r="DB717" s="123"/>
      <c r="DC717" s="123"/>
      <c r="DD717" s="123"/>
      <c r="DE717" s="123"/>
      <c r="DF717" s="123"/>
      <c r="DG717" s="123"/>
      <c r="DH717" s="123"/>
      <c r="DI717" s="123"/>
      <c r="DJ717" s="123"/>
      <c r="DK717" s="123"/>
      <c r="DL717" s="123"/>
      <c r="DM717" s="123"/>
      <c r="DN717" s="123"/>
      <c r="DO717" s="123"/>
      <c r="DP717" s="123"/>
      <c r="DQ717" s="123"/>
      <c r="DR717" s="123"/>
      <c r="DS717" s="123"/>
      <c r="DT717" s="123"/>
      <c r="DU717" s="123"/>
      <c r="DV717" s="123"/>
      <c r="DW717" s="123"/>
      <c r="DX717" s="123"/>
      <c r="DY717" s="123"/>
      <c r="DZ717" s="123"/>
      <c r="EA717" s="123"/>
      <c r="EB717" s="123"/>
      <c r="EC717" s="123"/>
      <c r="ED717" s="123"/>
      <c r="EE717" s="123"/>
      <c r="EF717" s="123"/>
      <c r="EG717" s="123"/>
      <c r="EH717" s="123"/>
      <c r="EI717" s="123"/>
      <c r="EJ717" s="123"/>
      <c r="EK717" s="123"/>
      <c r="EL717" s="123"/>
      <c r="EM717" s="123"/>
      <c r="EN717" s="123"/>
      <c r="EO717" s="123"/>
      <c r="EP717" s="123"/>
      <c r="EQ717" s="123"/>
      <c r="ER717" s="123"/>
      <c r="ES717" s="123"/>
      <c r="ET717" s="123"/>
      <c r="EU717" s="123"/>
      <c r="EV717" s="123"/>
      <c r="EW717" s="123"/>
      <c r="EX717" s="123"/>
      <c r="EY717" s="123"/>
      <c r="EZ717" s="123"/>
      <c r="FA717" s="123"/>
      <c r="FB717" s="123"/>
      <c r="FC717" s="123"/>
      <c r="FD717" s="123"/>
      <c r="FE717" s="123"/>
      <c r="FF717" s="123"/>
      <c r="FG717" s="123"/>
      <c r="FH717" s="123"/>
      <c r="FI717" s="123"/>
      <c r="FJ717" s="123"/>
      <c r="FK717" s="123"/>
      <c r="FL717" s="123"/>
      <c r="FM717" s="123"/>
      <c r="FN717" s="123"/>
      <c r="FO717" s="123"/>
      <c r="FP717" s="123"/>
      <c r="FQ717" s="123"/>
      <c r="FR717" s="123"/>
      <c r="FS717" s="123"/>
      <c r="FT717" s="123"/>
      <c r="FU717" s="123"/>
      <c r="FV717" s="123"/>
      <c r="FW717" s="123"/>
      <c r="FX717" s="123"/>
      <c r="FY717" s="123"/>
      <c r="FZ717" s="123"/>
      <c r="GA717" s="123"/>
      <c r="GB717" s="123"/>
      <c r="GC717" s="123"/>
      <c r="GD717" s="123"/>
      <c r="GE717" s="123"/>
      <c r="GF717" s="123"/>
      <c r="GG717" s="123"/>
      <c r="GH717" s="123"/>
      <c r="GI717" s="123"/>
      <c r="GJ717" s="123"/>
      <c r="GK717" s="123"/>
      <c r="GL717" s="123"/>
      <c r="GM717" s="123"/>
      <c r="GN717" s="123"/>
      <c r="GO717" s="123"/>
      <c r="GP717" s="123"/>
      <c r="GQ717" s="123"/>
      <c r="GR717" s="123"/>
      <c r="GS717" s="123"/>
      <c r="GT717" s="123"/>
      <c r="GU717" s="123"/>
      <c r="GV717" s="123"/>
      <c r="GW717" s="123"/>
      <c r="GX717" s="123"/>
      <c r="GY717" s="123"/>
      <c r="GZ717" s="123"/>
      <c r="HA717" s="123"/>
      <c r="HB717" s="123"/>
      <c r="HC717" s="123"/>
      <c r="HD717" s="123"/>
      <c r="HE717" s="123"/>
      <c r="HF717" s="123"/>
      <c r="HG717" s="123"/>
      <c r="HH717" s="123"/>
      <c r="HI717" s="123"/>
      <c r="HJ717" s="123"/>
      <c r="HK717" s="123"/>
      <c r="HL717" s="123"/>
      <c r="HM717" s="123"/>
      <c r="HN717" s="123"/>
      <c r="HO717" s="123"/>
      <c r="HP717" s="123"/>
      <c r="HQ717" s="123"/>
      <c r="HR717" s="123"/>
      <c r="HS717" s="123"/>
      <c r="HT717" s="123"/>
      <c r="HU717" s="123"/>
      <c r="HV717" s="123"/>
      <c r="HW717" s="123"/>
      <c r="HX717" s="123"/>
      <c r="HY717" s="123"/>
      <c r="HZ717" s="123"/>
      <c r="IA717" s="123"/>
      <c r="IB717" s="123"/>
      <c r="IC717" s="123"/>
      <c r="ID717" s="123"/>
      <c r="IE717" s="123"/>
      <c r="IF717" s="123"/>
      <c r="IG717" s="123"/>
      <c r="IH717" s="123"/>
      <c r="II717" s="123"/>
      <c r="IJ717" s="123"/>
      <c r="IK717" s="123"/>
      <c r="IL717" s="123"/>
      <c r="IM717" s="123"/>
      <c r="IN717" s="123"/>
      <c r="IO717" s="123"/>
      <c r="IP717" s="123"/>
      <c r="IQ717" s="123"/>
      <c r="IR717" s="123"/>
      <c r="IS717" s="123"/>
      <c r="IT717" s="123"/>
      <c r="IU717" s="123"/>
      <c r="IV717" s="123"/>
      <c r="IW717" s="123"/>
      <c r="IX717" s="123"/>
      <c r="IY717" s="123"/>
      <c r="IZ717" s="123"/>
      <c r="JA717" s="123"/>
      <c r="JB717" s="123"/>
      <c r="JC717" s="123"/>
      <c r="JD717" s="123"/>
      <c r="JE717" s="123"/>
      <c r="JF717" s="123"/>
      <c r="JG717" s="123"/>
      <c r="JH717" s="123"/>
      <c r="JI717" s="123"/>
      <c r="JJ717" s="123"/>
      <c r="JK717" s="123"/>
      <c r="JL717" s="123"/>
      <c r="JM717" s="123"/>
      <c r="JN717" s="123"/>
      <c r="JO717" s="123"/>
      <c r="JP717" s="123"/>
      <c r="JQ717" s="123"/>
      <c r="JR717" s="123"/>
      <c r="JS717" s="123"/>
      <c r="JT717" s="123"/>
      <c r="JU717" s="123"/>
      <c r="JV717" s="123"/>
      <c r="JW717" s="123"/>
      <c r="JX717" s="123"/>
      <c r="JY717" s="123"/>
      <c r="JZ717" s="123"/>
      <c r="KA717" s="123"/>
      <c r="KB717" s="123"/>
      <c r="KC717" s="123"/>
      <c r="KD717" s="123"/>
      <c r="KE717" s="123"/>
      <c r="KF717" s="123"/>
      <c r="KG717" s="123"/>
      <c r="KH717" s="123"/>
      <c r="KI717" s="123"/>
      <c r="KJ717" s="123"/>
      <c r="KK717" s="123"/>
      <c r="KL717" s="123"/>
      <c r="KM717" s="123"/>
      <c r="KN717" s="123"/>
      <c r="KO717" s="123"/>
      <c r="KP717" s="123"/>
      <c r="KQ717" s="123"/>
      <c r="KR717" s="123"/>
      <c r="KS717" s="123"/>
      <c r="KT717" s="123"/>
      <c r="KU717" s="123"/>
      <c r="KV717" s="123"/>
      <c r="KW717" s="123"/>
      <c r="KX717" s="123"/>
      <c r="KY717" s="123"/>
      <c r="KZ717" s="123"/>
      <c r="LA717" s="123"/>
      <c r="LB717" s="123"/>
      <c r="LC717" s="123"/>
      <c r="LD717" s="123"/>
      <c r="LE717" s="123"/>
      <c r="LF717" s="123"/>
      <c r="LG717" s="123"/>
      <c r="LH717" s="123"/>
      <c r="LI717" s="123"/>
      <c r="LJ717" s="123"/>
      <c r="LK717" s="123"/>
      <c r="LL717" s="123"/>
      <c r="LM717" s="123"/>
      <c r="LN717" s="123"/>
      <c r="LO717" s="123"/>
      <c r="LP717" s="123"/>
      <c r="LQ717" s="123"/>
      <c r="LR717" s="123"/>
      <c r="LS717" s="123"/>
      <c r="LT717" s="123"/>
      <c r="LU717" s="123"/>
      <c r="LV717" s="123"/>
      <c r="LW717" s="123"/>
      <c r="LX717" s="123"/>
      <c r="LY717" s="123"/>
      <c r="LZ717" s="123"/>
      <c r="MA717" s="123"/>
      <c r="MB717" s="123"/>
      <c r="MC717" s="123"/>
      <c r="MD717" s="123"/>
      <c r="ME717" s="123"/>
      <c r="MF717" s="123"/>
      <c r="MG717" s="123"/>
      <c r="MH717" s="123"/>
      <c r="MI717" s="123"/>
      <c r="MJ717" s="123"/>
      <c r="MK717" s="123"/>
      <c r="ML717" s="123"/>
      <c r="MM717" s="123"/>
      <c r="MN717" s="123"/>
      <c r="MO717" s="123"/>
      <c r="MP717" s="123"/>
      <c r="MQ717" s="123"/>
      <c r="MR717" s="123"/>
      <c r="MS717" s="123"/>
      <c r="MT717" s="123"/>
      <c r="MU717" s="123"/>
      <c r="MV717" s="123"/>
      <c r="MW717" s="123"/>
      <c r="MX717" s="123"/>
      <c r="MY717" s="123"/>
      <c r="MZ717" s="123"/>
      <c r="NA717" s="123"/>
      <c r="NB717" s="123"/>
      <c r="NC717" s="123"/>
      <c r="ND717" s="123"/>
      <c r="NE717" s="123"/>
      <c r="NF717" s="123"/>
      <c r="NG717" s="123"/>
      <c r="NH717" s="123"/>
      <c r="NI717" s="123"/>
      <c r="NJ717" s="123"/>
      <c r="NK717" s="123"/>
      <c r="NL717" s="123"/>
      <c r="NM717" s="123"/>
      <c r="NN717" s="123"/>
      <c r="NO717" s="123"/>
      <c r="NP717" s="123"/>
      <c r="NQ717" s="123"/>
      <c r="NR717" s="123"/>
      <c r="NS717" s="123"/>
      <c r="NT717" s="123"/>
      <c r="NU717" s="123"/>
      <c r="NV717" s="123"/>
      <c r="NW717" s="123"/>
      <c r="NX717" s="123"/>
      <c r="NY717" s="123"/>
      <c r="NZ717" s="123"/>
      <c r="OA717" s="123"/>
      <c r="OB717" s="123"/>
      <c r="OC717" s="123"/>
      <c r="OD717" s="123"/>
      <c r="OE717" s="123"/>
      <c r="OF717" s="123"/>
      <c r="OG717" s="123"/>
      <c r="OH717" s="123"/>
      <c r="OI717" s="123"/>
      <c r="OJ717" s="123"/>
      <c r="OK717" s="123"/>
      <c r="OL717" s="123"/>
      <c r="OM717" s="123"/>
      <c r="ON717" s="123"/>
      <c r="OO717" s="123"/>
      <c r="OP717" s="123"/>
      <c r="OQ717" s="123"/>
      <c r="OR717" s="123"/>
      <c r="OS717" s="123"/>
      <c r="OT717" s="123"/>
      <c r="OU717" s="123"/>
      <c r="OV717" s="123"/>
      <c r="OW717" s="123"/>
      <c r="OX717" s="123"/>
      <c r="OY717" s="123"/>
      <c r="OZ717" s="123"/>
      <c r="PA717" s="123"/>
      <c r="PB717" s="123"/>
      <c r="PC717" s="123"/>
      <c r="PD717" s="123"/>
      <c r="PE717" s="123"/>
      <c r="PF717" s="123"/>
      <c r="PG717" s="123"/>
      <c r="PH717" s="123"/>
      <c r="PI717" s="123"/>
      <c r="PJ717" s="123"/>
      <c r="PK717" s="123"/>
      <c r="PL717" s="123"/>
      <c r="PM717" s="123"/>
      <c r="PN717" s="123"/>
      <c r="PO717" s="123"/>
      <c r="PP717" s="123"/>
      <c r="PQ717" s="123"/>
      <c r="PR717" s="123"/>
      <c r="PS717" s="123"/>
      <c r="PT717" s="123"/>
      <c r="PU717" s="123"/>
      <c r="PV717" s="123"/>
      <c r="PW717" s="123"/>
      <c r="PX717" s="123"/>
      <c r="PY717" s="123"/>
      <c r="PZ717" s="123"/>
      <c r="QA717" s="123"/>
      <c r="QB717" s="123"/>
      <c r="QC717" s="123"/>
      <c r="QD717" s="123"/>
      <c r="QE717" s="123"/>
      <c r="QF717" s="123"/>
      <c r="QG717" s="123"/>
      <c r="QH717" s="123"/>
      <c r="QI717" s="123"/>
      <c r="QJ717" s="123"/>
      <c r="QK717" s="123"/>
      <c r="QL717" s="123"/>
      <c r="QM717" s="123"/>
      <c r="QN717" s="123"/>
      <c r="QO717" s="123"/>
      <c r="QP717" s="123"/>
      <c r="QQ717" s="123"/>
      <c r="QR717" s="123"/>
      <c r="QS717" s="123"/>
      <c r="QT717" s="123"/>
      <c r="QU717" s="123"/>
      <c r="QV717" s="123"/>
      <c r="QW717" s="123"/>
      <c r="QX717" s="123"/>
      <c r="QY717" s="123"/>
      <c r="QZ717" s="123"/>
      <c r="RA717" s="123"/>
      <c r="RB717" s="123"/>
      <c r="RC717" s="123"/>
      <c r="RD717" s="123"/>
      <c r="RE717" s="123"/>
      <c r="RF717" s="123"/>
      <c r="RG717" s="123"/>
      <c r="RH717" s="123"/>
      <c r="RI717" s="123"/>
      <c r="RJ717" s="123"/>
      <c r="RK717" s="123"/>
      <c r="RL717" s="123"/>
      <c r="RM717" s="123"/>
      <c r="RN717" s="123"/>
      <c r="RO717" s="123"/>
      <c r="RP717" s="123"/>
      <c r="RQ717" s="123"/>
      <c r="RR717" s="123"/>
      <c r="RS717" s="123"/>
      <c r="RT717" s="123"/>
      <c r="RU717" s="123"/>
      <c r="RV717" s="123"/>
      <c r="RW717" s="123"/>
      <c r="RX717" s="123"/>
      <c r="RY717" s="123"/>
      <c r="RZ717" s="123"/>
      <c r="SA717" s="123"/>
      <c r="SB717" s="123"/>
      <c r="SC717" s="123"/>
      <c r="SD717" s="123"/>
      <c r="SE717" s="123"/>
      <c r="SF717" s="123"/>
      <c r="SG717" s="123"/>
      <c r="SH717" s="123"/>
      <c r="SI717" s="123"/>
      <c r="SJ717" s="123"/>
      <c r="SK717" s="123"/>
      <c r="SL717" s="123"/>
      <c r="SM717" s="123"/>
      <c r="SN717" s="123"/>
      <c r="SO717" s="123"/>
      <c r="SP717" s="123"/>
      <c r="SQ717" s="123"/>
      <c r="SR717" s="123"/>
      <c r="SS717" s="123"/>
      <c r="ST717" s="123"/>
      <c r="SU717" s="123"/>
      <c r="SV717" s="123"/>
      <c r="SW717" s="123"/>
      <c r="SX717" s="123"/>
      <c r="SY717" s="123"/>
      <c r="SZ717" s="123"/>
      <c r="TA717" s="123"/>
      <c r="TB717" s="123"/>
      <c r="TC717" s="123"/>
      <c r="TD717" s="123"/>
      <c r="TE717" s="123"/>
      <c r="TF717" s="123"/>
      <c r="TG717" s="123"/>
      <c r="TH717" s="123"/>
      <c r="TI717" s="123"/>
      <c r="TJ717" s="123"/>
      <c r="TK717" s="123"/>
      <c r="TL717" s="123"/>
      <c r="TM717" s="123"/>
      <c r="TN717" s="123"/>
      <c r="TO717" s="123"/>
      <c r="TP717" s="123"/>
      <c r="TQ717" s="123"/>
      <c r="TR717" s="123"/>
      <c r="TS717" s="123"/>
      <c r="TT717" s="123"/>
      <c r="TU717" s="123"/>
      <c r="TV717" s="123"/>
      <c r="TW717" s="123"/>
      <c r="TX717" s="123"/>
      <c r="TY717" s="123"/>
      <c r="TZ717" s="123"/>
      <c r="UA717" s="123"/>
      <c r="UB717" s="123"/>
      <c r="UC717" s="123"/>
      <c r="UD717" s="123"/>
      <c r="UE717" s="123"/>
      <c r="UF717" s="123"/>
      <c r="UG717" s="124"/>
    </row>
    <row r="718" spans="1:553" ht="30.75" customHeight="1">
      <c r="A718" s="356"/>
      <c r="B718" s="356" t="s">
        <v>992</v>
      </c>
      <c r="C718" s="1457" t="s">
        <v>510</v>
      </c>
      <c r="D718" s="1458"/>
      <c r="E718" s="1458"/>
      <c r="F718" s="1459"/>
      <c r="G718" s="366"/>
      <c r="H718" s="622"/>
      <c r="I718" s="623"/>
      <c r="J718" s="369"/>
      <c r="K718" s="371"/>
      <c r="L718" s="624"/>
      <c r="M718" s="356"/>
      <c r="N718" s="356"/>
      <c r="O718" s="356"/>
      <c r="P718" s="356"/>
      <c r="Q718" s="1150"/>
      <c r="R718" s="1549"/>
      <c r="S718" s="308"/>
      <c r="T718" s="308"/>
      <c r="U718" s="308"/>
      <c r="V718" s="308"/>
      <c r="W718" s="308"/>
      <c r="X718" s="308"/>
      <c r="Y718" s="308"/>
      <c r="Z718" s="604"/>
      <c r="AA718" s="308"/>
      <c r="AB718" s="308"/>
      <c r="AC718" s="625"/>
      <c r="AD718" s="625"/>
      <c r="AE718" s="625"/>
      <c r="AF718" s="625"/>
      <c r="AG718" s="625"/>
      <c r="AH718" s="625"/>
      <c r="AI718" s="625"/>
      <c r="AJ718" s="625"/>
      <c r="AK718" s="625"/>
      <c r="AL718" s="133"/>
      <c r="AM718" s="133"/>
      <c r="AN718" s="133"/>
      <c r="AO718" s="133"/>
      <c r="AP718" s="133"/>
      <c r="AQ718" s="133"/>
      <c r="AR718" s="133"/>
      <c r="AS718" s="133"/>
      <c r="AT718" s="133"/>
      <c r="AU718" s="133"/>
      <c r="AV718" s="133"/>
      <c r="AW718" s="133"/>
      <c r="AX718" s="133"/>
      <c r="AY718" s="133"/>
      <c r="AZ718" s="133"/>
      <c r="BA718" s="133"/>
      <c r="BB718" s="133"/>
      <c r="BC718" s="133"/>
      <c r="BD718" s="133"/>
      <c r="BE718" s="133"/>
      <c r="BF718" s="133"/>
      <c r="BG718" s="133"/>
      <c r="BH718" s="133"/>
      <c r="BI718" s="133"/>
      <c r="BJ718" s="133"/>
      <c r="BK718" s="133"/>
      <c r="BL718" s="133"/>
      <c r="BM718" s="133"/>
      <c r="BN718" s="133"/>
      <c r="BO718" s="133"/>
      <c r="BP718" s="133"/>
      <c r="BQ718" s="132"/>
      <c r="BR718" s="132"/>
      <c r="BS718" s="132"/>
      <c r="BT718" s="132"/>
      <c r="BU718" s="132"/>
      <c r="BV718" s="132"/>
      <c r="BW718" s="132"/>
      <c r="BX718" s="132"/>
      <c r="BY718" s="132"/>
      <c r="BZ718" s="132"/>
      <c r="CA718" s="132"/>
      <c r="CB718" s="132"/>
      <c r="CC718" s="132"/>
      <c r="CD718" s="132"/>
      <c r="CE718" s="132"/>
      <c r="CF718" s="132"/>
      <c r="CG718" s="132"/>
      <c r="CH718" s="132"/>
      <c r="CI718" s="132"/>
      <c r="CJ718" s="132"/>
      <c r="CK718" s="132"/>
      <c r="CL718" s="132"/>
      <c r="CM718" s="132"/>
      <c r="CN718" s="132"/>
      <c r="CO718" s="132"/>
      <c r="CP718" s="132"/>
      <c r="CQ718" s="132"/>
      <c r="CR718" s="132"/>
      <c r="CS718" s="132"/>
      <c r="CT718" s="132"/>
      <c r="CU718" s="132"/>
      <c r="CV718" s="132"/>
      <c r="CW718" s="132"/>
      <c r="CX718" s="132"/>
      <c r="CY718" s="132"/>
      <c r="CZ718" s="132"/>
      <c r="DA718" s="132"/>
      <c r="DB718" s="132"/>
      <c r="DC718" s="132"/>
      <c r="DD718" s="132"/>
      <c r="DE718" s="132"/>
      <c r="DF718" s="132"/>
      <c r="DG718" s="132"/>
      <c r="DH718" s="132"/>
      <c r="DI718" s="132"/>
      <c r="DJ718" s="132"/>
      <c r="DK718" s="132"/>
      <c r="DL718" s="132"/>
      <c r="DM718" s="132"/>
      <c r="DN718" s="132"/>
      <c r="DO718" s="132"/>
      <c r="DP718" s="132"/>
      <c r="DQ718" s="132"/>
      <c r="DR718" s="132"/>
      <c r="DS718" s="132"/>
      <c r="DT718" s="132"/>
      <c r="DU718" s="132"/>
      <c r="DV718" s="132"/>
      <c r="DW718" s="132"/>
      <c r="DX718" s="132"/>
      <c r="DY718" s="132"/>
      <c r="DZ718" s="132"/>
      <c r="EA718" s="132"/>
      <c r="EB718" s="132"/>
      <c r="EC718" s="132"/>
      <c r="ED718" s="132"/>
      <c r="EE718" s="132"/>
      <c r="EF718" s="132"/>
      <c r="EG718" s="132"/>
      <c r="EH718" s="132"/>
      <c r="EI718" s="132"/>
      <c r="EJ718" s="132"/>
      <c r="EK718" s="132"/>
      <c r="EL718" s="132"/>
      <c r="EM718" s="132"/>
      <c r="EN718" s="132"/>
      <c r="EO718" s="132"/>
      <c r="EP718" s="132"/>
      <c r="EQ718" s="132"/>
      <c r="ER718" s="132"/>
      <c r="ES718" s="132"/>
      <c r="ET718" s="132"/>
      <c r="EU718" s="132"/>
      <c r="EV718" s="132"/>
      <c r="EW718" s="132"/>
      <c r="EX718" s="132"/>
      <c r="EY718" s="132"/>
      <c r="EZ718" s="132"/>
      <c r="FA718" s="132"/>
      <c r="FB718" s="132"/>
      <c r="FC718" s="132"/>
      <c r="FD718" s="132"/>
      <c r="FE718" s="132"/>
      <c r="FF718" s="132"/>
      <c r="FG718" s="132"/>
      <c r="FH718" s="132"/>
      <c r="FI718" s="132"/>
      <c r="FJ718" s="132"/>
      <c r="FK718" s="132"/>
      <c r="FL718" s="132"/>
      <c r="FM718" s="132"/>
      <c r="FN718" s="132"/>
      <c r="FO718" s="132"/>
      <c r="FP718" s="132"/>
      <c r="FQ718" s="132"/>
      <c r="FR718" s="132"/>
      <c r="FS718" s="132"/>
      <c r="FT718" s="132"/>
      <c r="FU718" s="132"/>
      <c r="FV718" s="132"/>
      <c r="FW718" s="132"/>
      <c r="FX718" s="132"/>
      <c r="FY718" s="132"/>
      <c r="FZ718" s="132"/>
      <c r="GA718" s="132"/>
      <c r="GB718" s="132"/>
      <c r="GC718" s="132"/>
      <c r="GD718" s="132"/>
      <c r="GE718" s="132"/>
      <c r="GF718" s="132"/>
      <c r="GG718" s="132"/>
      <c r="GH718" s="132"/>
      <c r="GI718" s="132"/>
      <c r="GJ718" s="132"/>
      <c r="GK718" s="132"/>
      <c r="GL718" s="132"/>
      <c r="GM718" s="132"/>
      <c r="GN718" s="132"/>
      <c r="GO718" s="132"/>
      <c r="GP718" s="132"/>
      <c r="GQ718" s="132"/>
      <c r="GR718" s="132"/>
      <c r="GS718" s="132"/>
      <c r="GT718" s="132"/>
      <c r="GU718" s="132"/>
      <c r="GV718" s="132"/>
      <c r="GW718" s="132"/>
      <c r="GX718" s="132"/>
      <c r="GY718" s="132"/>
      <c r="GZ718" s="132"/>
      <c r="HA718" s="132"/>
      <c r="HB718" s="132"/>
      <c r="HC718" s="132"/>
      <c r="HD718" s="132"/>
      <c r="HE718" s="132"/>
      <c r="HF718" s="132"/>
      <c r="HG718" s="132"/>
      <c r="HH718" s="132"/>
      <c r="HI718" s="132"/>
      <c r="HJ718" s="132"/>
      <c r="HK718" s="132"/>
      <c r="HL718" s="132"/>
      <c r="HM718" s="132"/>
      <c r="HN718" s="132"/>
      <c r="HO718" s="132"/>
      <c r="HP718" s="132"/>
      <c r="HQ718" s="132"/>
      <c r="HR718" s="132"/>
      <c r="HS718" s="132"/>
      <c r="HT718" s="132"/>
      <c r="HU718" s="132"/>
      <c r="HV718" s="132"/>
      <c r="HW718" s="132"/>
      <c r="HX718" s="132"/>
      <c r="HY718" s="132"/>
      <c r="HZ718" s="132"/>
      <c r="IA718" s="132"/>
      <c r="IB718" s="132"/>
      <c r="IC718" s="132"/>
      <c r="ID718" s="132"/>
      <c r="IE718" s="132"/>
      <c r="IF718" s="132"/>
      <c r="IG718" s="132"/>
      <c r="IH718" s="132"/>
      <c r="II718" s="132"/>
      <c r="IJ718" s="132"/>
      <c r="IK718" s="132"/>
      <c r="IL718" s="132"/>
      <c r="IM718" s="132"/>
      <c r="IN718" s="132"/>
      <c r="IO718" s="132"/>
      <c r="IP718" s="132"/>
      <c r="IQ718" s="132"/>
      <c r="IR718" s="132"/>
      <c r="IS718" s="132"/>
      <c r="IT718" s="132"/>
      <c r="IU718" s="132"/>
      <c r="IV718" s="132"/>
      <c r="IW718" s="132"/>
      <c r="IX718" s="132"/>
      <c r="IY718" s="132"/>
      <c r="IZ718" s="132"/>
      <c r="JA718" s="132"/>
      <c r="JB718" s="132"/>
      <c r="JC718" s="132"/>
      <c r="JD718" s="132"/>
      <c r="JE718" s="132"/>
      <c r="JF718" s="132"/>
      <c r="JG718" s="132"/>
      <c r="JH718" s="132"/>
      <c r="JI718" s="132"/>
      <c r="JJ718" s="132"/>
      <c r="JK718" s="132"/>
      <c r="JL718" s="132"/>
      <c r="JM718" s="132"/>
      <c r="JN718" s="132"/>
      <c r="JO718" s="132"/>
      <c r="JP718" s="132"/>
      <c r="JQ718" s="132"/>
      <c r="JR718" s="132"/>
      <c r="JS718" s="132"/>
      <c r="JT718" s="132"/>
      <c r="JU718" s="132"/>
      <c r="JV718" s="132"/>
      <c r="JW718" s="132"/>
      <c r="JX718" s="132"/>
      <c r="JY718" s="132"/>
      <c r="JZ718" s="132"/>
      <c r="KA718" s="132"/>
      <c r="KB718" s="132"/>
      <c r="KC718" s="132"/>
      <c r="KD718" s="132"/>
      <c r="KE718" s="132"/>
      <c r="KF718" s="132"/>
      <c r="KG718" s="132"/>
      <c r="KH718" s="132"/>
      <c r="KI718" s="132"/>
      <c r="KJ718" s="132"/>
      <c r="KK718" s="132"/>
      <c r="KL718" s="132"/>
      <c r="KM718" s="132"/>
      <c r="KN718" s="132"/>
      <c r="KO718" s="132"/>
      <c r="KP718" s="132"/>
      <c r="KQ718" s="132"/>
      <c r="KR718" s="132"/>
      <c r="KS718" s="132"/>
      <c r="KT718" s="132"/>
      <c r="KU718" s="132"/>
      <c r="KV718" s="132"/>
      <c r="KW718" s="132"/>
      <c r="KX718" s="132"/>
      <c r="KY718" s="132"/>
      <c r="KZ718" s="132"/>
      <c r="LA718" s="132"/>
      <c r="LB718" s="132"/>
      <c r="LC718" s="132"/>
      <c r="LD718" s="132"/>
      <c r="LE718" s="132"/>
      <c r="LF718" s="132"/>
      <c r="LG718" s="132"/>
      <c r="LH718" s="132"/>
      <c r="LI718" s="132"/>
      <c r="LJ718" s="132"/>
      <c r="LK718" s="132"/>
      <c r="LL718" s="132"/>
      <c r="LM718" s="132"/>
      <c r="LN718" s="132"/>
      <c r="LO718" s="132"/>
      <c r="LP718" s="132"/>
      <c r="LQ718" s="132"/>
      <c r="LR718" s="132"/>
      <c r="LS718" s="132"/>
      <c r="LT718" s="132"/>
      <c r="LU718" s="132"/>
      <c r="LV718" s="132"/>
      <c r="LW718" s="132"/>
      <c r="LX718" s="132"/>
      <c r="LY718" s="132"/>
      <c r="LZ718" s="132"/>
      <c r="MA718" s="132"/>
      <c r="MB718" s="132"/>
      <c r="MC718" s="132"/>
      <c r="MD718" s="132"/>
      <c r="ME718" s="132"/>
      <c r="MF718" s="132"/>
      <c r="MG718" s="132"/>
      <c r="MH718" s="132"/>
      <c r="MI718" s="132"/>
      <c r="MJ718" s="132"/>
      <c r="MK718" s="132"/>
      <c r="ML718" s="132"/>
      <c r="MM718" s="132"/>
      <c r="MN718" s="132"/>
      <c r="MO718" s="132"/>
      <c r="MP718" s="132"/>
      <c r="MQ718" s="132"/>
      <c r="MR718" s="132"/>
      <c r="MS718" s="132"/>
      <c r="MT718" s="132"/>
      <c r="MU718" s="132"/>
      <c r="MV718" s="132"/>
      <c r="MW718" s="132"/>
      <c r="MX718" s="132"/>
      <c r="MY718" s="132"/>
      <c r="MZ718" s="132"/>
      <c r="NA718" s="132"/>
      <c r="NB718" s="132"/>
      <c r="NC718" s="132"/>
      <c r="ND718" s="132"/>
      <c r="NE718" s="132"/>
      <c r="NF718" s="132"/>
      <c r="NG718" s="132"/>
      <c r="NH718" s="132"/>
      <c r="NI718" s="132"/>
      <c r="NJ718" s="132"/>
      <c r="NK718" s="132"/>
      <c r="NL718" s="132"/>
      <c r="NM718" s="132"/>
      <c r="NN718" s="132"/>
      <c r="NO718" s="132"/>
      <c r="NP718" s="132"/>
      <c r="NQ718" s="132"/>
      <c r="NR718" s="132"/>
      <c r="NS718" s="132"/>
      <c r="NT718" s="132"/>
      <c r="NU718" s="132"/>
      <c r="NV718" s="132"/>
      <c r="NW718" s="132"/>
      <c r="NX718" s="132"/>
      <c r="NY718" s="132"/>
      <c r="NZ718" s="132"/>
      <c r="OA718" s="132"/>
      <c r="OB718" s="132"/>
      <c r="OC718" s="132"/>
      <c r="OD718" s="132"/>
      <c r="OE718" s="132"/>
      <c r="OF718" s="132"/>
      <c r="OG718" s="132"/>
      <c r="OH718" s="132"/>
      <c r="OI718" s="132"/>
      <c r="OJ718" s="132"/>
      <c r="OK718" s="132"/>
      <c r="OL718" s="132"/>
      <c r="OM718" s="132"/>
      <c r="ON718" s="132"/>
      <c r="OO718" s="132"/>
      <c r="OP718" s="132"/>
      <c r="OQ718" s="132"/>
      <c r="OR718" s="132"/>
      <c r="OS718" s="132"/>
      <c r="OT718" s="132"/>
      <c r="OU718" s="132"/>
      <c r="OV718" s="132"/>
      <c r="OW718" s="132"/>
      <c r="OX718" s="132"/>
      <c r="OY718" s="132"/>
      <c r="OZ718" s="132"/>
      <c r="PA718" s="132"/>
      <c r="PB718" s="132"/>
      <c r="PC718" s="132"/>
      <c r="PD718" s="132"/>
      <c r="PE718" s="132"/>
      <c r="PF718" s="132"/>
      <c r="PG718" s="132"/>
      <c r="PH718" s="132"/>
      <c r="PI718" s="132"/>
      <c r="PJ718" s="132"/>
      <c r="PK718" s="132"/>
      <c r="PL718" s="132"/>
      <c r="PM718" s="132"/>
      <c r="PN718" s="132"/>
      <c r="PO718" s="132"/>
      <c r="PP718" s="132"/>
      <c r="PQ718" s="132"/>
      <c r="PR718" s="132"/>
      <c r="PS718" s="132"/>
      <c r="PT718" s="132"/>
      <c r="PU718" s="132"/>
      <c r="PV718" s="132"/>
      <c r="PW718" s="132"/>
      <c r="PX718" s="132"/>
      <c r="PY718" s="132"/>
      <c r="PZ718" s="132"/>
      <c r="QA718" s="132"/>
      <c r="QB718" s="132"/>
      <c r="QC718" s="132"/>
      <c r="QD718" s="132"/>
      <c r="QE718" s="132"/>
      <c r="QF718" s="132"/>
      <c r="QG718" s="132"/>
      <c r="QH718" s="132"/>
      <c r="QI718" s="132"/>
      <c r="QJ718" s="132"/>
      <c r="QK718" s="132"/>
      <c r="QL718" s="132"/>
      <c r="QM718" s="132"/>
      <c r="QN718" s="132"/>
      <c r="QO718" s="132"/>
      <c r="QP718" s="132"/>
      <c r="QQ718" s="132"/>
      <c r="QR718" s="132"/>
      <c r="QS718" s="132"/>
      <c r="QT718" s="132"/>
      <c r="QU718" s="132"/>
      <c r="QV718" s="132"/>
      <c r="QW718" s="132"/>
      <c r="QX718" s="132"/>
      <c r="QY718" s="132"/>
      <c r="QZ718" s="132"/>
      <c r="RA718" s="132"/>
      <c r="RB718" s="132"/>
      <c r="RC718" s="132"/>
      <c r="RD718" s="132"/>
      <c r="RE718" s="132"/>
      <c r="RF718" s="132"/>
      <c r="RG718" s="132"/>
      <c r="RH718" s="132"/>
      <c r="RI718" s="132"/>
      <c r="RJ718" s="132"/>
      <c r="RK718" s="132"/>
      <c r="RL718" s="132"/>
      <c r="RM718" s="132"/>
      <c r="RN718" s="132"/>
      <c r="RO718" s="132"/>
      <c r="RP718" s="132"/>
      <c r="RQ718" s="132"/>
      <c r="RR718" s="132"/>
      <c r="RS718" s="132"/>
      <c r="RT718" s="132"/>
      <c r="RU718" s="132"/>
      <c r="RV718" s="132"/>
      <c r="RW718" s="132"/>
      <c r="RX718" s="132"/>
      <c r="RY718" s="132"/>
      <c r="RZ718" s="132"/>
      <c r="SA718" s="132"/>
      <c r="SB718" s="132"/>
      <c r="SC718" s="132"/>
      <c r="SD718" s="132"/>
      <c r="SE718" s="132"/>
      <c r="SF718" s="132"/>
      <c r="SG718" s="132"/>
      <c r="SH718" s="132"/>
      <c r="SI718" s="132"/>
      <c r="SJ718" s="132"/>
      <c r="SK718" s="132"/>
      <c r="SL718" s="132"/>
      <c r="SM718" s="132"/>
      <c r="SN718" s="132"/>
      <c r="SO718" s="132"/>
      <c r="SP718" s="132"/>
      <c r="SQ718" s="132"/>
      <c r="SR718" s="132"/>
      <c r="SS718" s="132"/>
      <c r="ST718" s="132"/>
      <c r="SU718" s="132"/>
      <c r="SV718" s="132"/>
      <c r="SW718" s="132"/>
      <c r="SX718" s="132"/>
      <c r="SY718" s="132"/>
      <c r="SZ718" s="132"/>
      <c r="TA718" s="132"/>
      <c r="TB718" s="132"/>
      <c r="TC718" s="132"/>
      <c r="TD718" s="132"/>
      <c r="TE718" s="132"/>
      <c r="TF718" s="132"/>
      <c r="TG718" s="132"/>
      <c r="TH718" s="132"/>
      <c r="TI718" s="132"/>
      <c r="TJ718" s="132"/>
      <c r="TK718" s="132"/>
      <c r="TL718" s="132"/>
      <c r="TM718" s="132"/>
      <c r="TN718" s="132"/>
      <c r="TO718" s="132"/>
      <c r="TP718" s="132"/>
      <c r="TQ718" s="132"/>
      <c r="TR718" s="132"/>
      <c r="TS718" s="132"/>
      <c r="TT718" s="132"/>
      <c r="TU718" s="132"/>
      <c r="TV718" s="132"/>
      <c r="TW718" s="132"/>
      <c r="TX718" s="132"/>
      <c r="TY718" s="132"/>
      <c r="TZ718" s="132"/>
      <c r="UA718" s="132"/>
      <c r="UB718" s="132"/>
      <c r="UC718" s="132"/>
      <c r="UD718" s="132"/>
      <c r="UE718" s="132"/>
      <c r="UF718" s="132"/>
      <c r="UG718" s="132"/>
    </row>
    <row r="719" spans="1:553" ht="68.5" customHeight="1">
      <c r="A719" s="356" t="s">
        <v>15</v>
      </c>
      <c r="B719" s="385" t="s">
        <v>29</v>
      </c>
      <c r="C719" s="1376" t="s">
        <v>991</v>
      </c>
      <c r="D719" s="1389"/>
      <c r="E719" s="1389"/>
      <c r="F719" s="1390"/>
      <c r="G719" s="386" t="s">
        <v>935</v>
      </c>
      <c r="H719" s="622"/>
      <c r="I719" s="626">
        <f>(14*9.9)+(2.4*5.7)</f>
        <v>152.28</v>
      </c>
      <c r="J719" s="369">
        <v>2204600</v>
      </c>
      <c r="K719" s="371"/>
      <c r="L719" s="627">
        <f>I719*J719</f>
        <v>335716488</v>
      </c>
      <c r="M719" s="549"/>
      <c r="N719" s="549"/>
      <c r="O719" s="366"/>
      <c r="P719" s="385"/>
      <c r="Q719" s="394"/>
      <c r="R719" s="1230"/>
      <c r="S719" s="308"/>
      <c r="T719" s="308"/>
      <c r="U719" s="308"/>
      <c r="V719" s="308"/>
      <c r="W719" s="308"/>
      <c r="X719" s="308"/>
      <c r="Y719" s="308"/>
      <c r="Z719" s="604"/>
      <c r="AA719" s="308"/>
      <c r="AB719" s="308"/>
      <c r="AC719" s="628"/>
      <c r="AD719" s="628"/>
      <c r="AE719" s="628"/>
      <c r="AF719" s="628"/>
      <c r="AG719" s="628"/>
      <c r="AH719" s="629"/>
      <c r="AI719" s="629"/>
      <c r="AJ719" s="629"/>
      <c r="AK719" s="629"/>
      <c r="AL719" s="135"/>
      <c r="AM719" s="135"/>
      <c r="AN719" s="135"/>
      <c r="AO719" s="135"/>
      <c r="AP719" s="135"/>
      <c r="AQ719" s="135"/>
      <c r="AR719" s="135"/>
      <c r="AS719" s="135"/>
      <c r="AT719" s="135"/>
      <c r="AU719" s="135"/>
      <c r="AV719" s="135"/>
      <c r="AW719" s="135"/>
      <c r="AX719" s="135"/>
      <c r="AY719" s="135"/>
      <c r="AZ719" s="135"/>
      <c r="BA719" s="135"/>
      <c r="BB719" s="135"/>
      <c r="BC719" s="135"/>
      <c r="BD719" s="135"/>
      <c r="BE719" s="135"/>
      <c r="BF719" s="135"/>
      <c r="BG719" s="135"/>
      <c r="BH719" s="135"/>
      <c r="BI719" s="135"/>
      <c r="BJ719" s="135"/>
      <c r="BK719" s="135"/>
      <c r="BL719" s="135"/>
      <c r="BM719" s="135"/>
      <c r="BN719" s="135"/>
      <c r="BO719" s="135"/>
      <c r="BP719" s="135"/>
      <c r="BQ719" s="135"/>
      <c r="BR719" s="135"/>
      <c r="BS719" s="135"/>
      <c r="BT719" s="135"/>
      <c r="BU719" s="135"/>
      <c r="BV719" s="135"/>
      <c r="BW719" s="135"/>
      <c r="BX719" s="135"/>
      <c r="BY719" s="135"/>
      <c r="BZ719" s="135"/>
      <c r="CA719" s="135"/>
      <c r="CB719" s="135"/>
      <c r="CC719" s="135"/>
      <c r="CD719" s="135"/>
      <c r="CE719" s="135"/>
      <c r="CF719" s="135"/>
      <c r="CG719" s="135"/>
      <c r="CH719" s="135"/>
      <c r="CI719" s="135"/>
      <c r="CJ719" s="135"/>
      <c r="CK719" s="135"/>
      <c r="CL719" s="135"/>
      <c r="CM719" s="135"/>
      <c r="CN719" s="135"/>
      <c r="CO719" s="135"/>
      <c r="CP719" s="135"/>
      <c r="CQ719" s="135"/>
      <c r="CR719" s="135"/>
      <c r="CS719" s="135"/>
      <c r="CT719" s="135"/>
      <c r="CU719" s="135"/>
      <c r="CV719" s="135"/>
      <c r="CW719" s="135"/>
      <c r="CX719" s="135"/>
      <c r="CY719" s="135"/>
      <c r="CZ719" s="135"/>
      <c r="DA719" s="135"/>
      <c r="DB719" s="135"/>
      <c r="DC719" s="135"/>
      <c r="DD719" s="135"/>
      <c r="DE719" s="135"/>
      <c r="DF719" s="135"/>
      <c r="DG719" s="135"/>
      <c r="DH719" s="135"/>
      <c r="DI719" s="135"/>
      <c r="DJ719" s="135"/>
      <c r="DK719" s="135"/>
      <c r="DL719" s="135"/>
      <c r="DM719" s="135"/>
      <c r="DN719" s="135"/>
      <c r="DO719" s="135"/>
      <c r="DP719" s="135"/>
      <c r="DQ719" s="135"/>
      <c r="DR719" s="135"/>
      <c r="DS719" s="135"/>
      <c r="DT719" s="135"/>
      <c r="DU719" s="135"/>
      <c r="DV719" s="135"/>
      <c r="DW719" s="135"/>
      <c r="DX719" s="135"/>
      <c r="DY719" s="135"/>
      <c r="DZ719" s="135"/>
      <c r="EA719" s="135"/>
      <c r="EB719" s="135"/>
      <c r="EC719" s="135"/>
      <c r="ED719" s="135"/>
      <c r="EE719" s="135"/>
      <c r="EF719" s="135"/>
      <c r="EG719" s="135"/>
      <c r="EH719" s="135"/>
      <c r="EI719" s="135"/>
      <c r="EJ719" s="135"/>
      <c r="EK719" s="135"/>
      <c r="EL719" s="135"/>
      <c r="EM719" s="135"/>
      <c r="EN719" s="135"/>
      <c r="EO719" s="135"/>
      <c r="EP719" s="135"/>
      <c r="EQ719" s="135"/>
      <c r="ER719" s="135"/>
      <c r="ES719" s="135"/>
      <c r="ET719" s="135"/>
      <c r="EU719" s="135"/>
      <c r="EV719" s="135"/>
      <c r="EW719" s="135"/>
      <c r="EX719" s="135"/>
      <c r="EY719" s="135"/>
      <c r="EZ719" s="135"/>
      <c r="FA719" s="135"/>
      <c r="FB719" s="135"/>
      <c r="FC719" s="135"/>
      <c r="FD719" s="135"/>
      <c r="FE719" s="135"/>
      <c r="FF719" s="135"/>
      <c r="FG719" s="135"/>
      <c r="FH719" s="135"/>
      <c r="FI719" s="135"/>
      <c r="FJ719" s="135"/>
      <c r="FK719" s="135"/>
      <c r="FL719" s="135"/>
      <c r="FM719" s="135"/>
      <c r="FN719" s="135"/>
      <c r="FO719" s="135"/>
      <c r="FP719" s="135"/>
      <c r="FQ719" s="135"/>
      <c r="FR719" s="135"/>
      <c r="FS719" s="135"/>
      <c r="FT719" s="135"/>
      <c r="FU719" s="135"/>
      <c r="FV719" s="135"/>
      <c r="FW719" s="135"/>
      <c r="FX719" s="135"/>
      <c r="FY719" s="135"/>
      <c r="FZ719" s="135"/>
      <c r="GA719" s="135"/>
      <c r="GB719" s="135"/>
      <c r="GC719" s="135"/>
      <c r="GD719" s="135"/>
      <c r="GE719" s="135"/>
      <c r="GF719" s="135"/>
      <c r="GG719" s="135"/>
      <c r="GH719" s="135"/>
      <c r="GI719" s="135"/>
      <c r="GJ719" s="135"/>
      <c r="GK719" s="135"/>
      <c r="GL719" s="135"/>
      <c r="GM719" s="135"/>
      <c r="GN719" s="135"/>
      <c r="GO719" s="135"/>
      <c r="GP719" s="135"/>
      <c r="GQ719" s="135"/>
      <c r="GR719" s="135"/>
      <c r="GS719" s="135"/>
      <c r="GT719" s="135"/>
      <c r="GU719" s="135"/>
      <c r="GV719" s="135"/>
      <c r="GW719" s="135"/>
      <c r="GX719" s="135"/>
      <c r="GY719" s="135"/>
      <c r="GZ719" s="135"/>
      <c r="HA719" s="135"/>
      <c r="HB719" s="135"/>
      <c r="HC719" s="135"/>
      <c r="HD719" s="135"/>
      <c r="HE719" s="135"/>
      <c r="HF719" s="135"/>
      <c r="HG719" s="135"/>
      <c r="HH719" s="135"/>
      <c r="HI719" s="135"/>
      <c r="HJ719" s="135"/>
      <c r="HK719" s="135"/>
      <c r="HL719" s="135"/>
      <c r="HM719" s="135"/>
      <c r="HN719" s="135"/>
      <c r="HO719" s="135"/>
      <c r="HP719" s="135"/>
      <c r="HQ719" s="135"/>
      <c r="HR719" s="135"/>
      <c r="HS719" s="135"/>
      <c r="HT719" s="135"/>
      <c r="HU719" s="135"/>
      <c r="HV719" s="135"/>
      <c r="HW719" s="135"/>
      <c r="HX719" s="135"/>
      <c r="HY719" s="135"/>
      <c r="HZ719" s="135"/>
      <c r="IA719" s="135"/>
      <c r="IB719" s="135"/>
      <c r="IC719" s="135"/>
      <c r="ID719" s="135"/>
      <c r="IE719" s="135"/>
      <c r="IF719" s="135"/>
      <c r="IG719" s="135"/>
      <c r="IH719" s="135"/>
      <c r="II719" s="135"/>
      <c r="IJ719" s="135"/>
      <c r="IK719" s="135"/>
      <c r="IL719" s="135"/>
      <c r="IM719" s="135"/>
      <c r="IN719" s="135"/>
      <c r="IO719" s="135"/>
      <c r="IP719" s="135"/>
      <c r="IQ719" s="135"/>
      <c r="IR719" s="135"/>
      <c r="IS719" s="135"/>
      <c r="IT719" s="135"/>
      <c r="IU719" s="135"/>
      <c r="IV719" s="135"/>
      <c r="IW719" s="135"/>
      <c r="IX719" s="135"/>
      <c r="IY719" s="135"/>
      <c r="IZ719" s="135"/>
      <c r="JA719" s="135"/>
      <c r="JB719" s="135"/>
      <c r="JC719" s="135"/>
      <c r="JD719" s="135"/>
      <c r="JE719" s="135"/>
      <c r="JF719" s="135"/>
      <c r="JG719" s="135"/>
      <c r="JH719" s="135"/>
      <c r="JI719" s="135"/>
      <c r="JJ719" s="135"/>
      <c r="JK719" s="135"/>
      <c r="JL719" s="135"/>
      <c r="JM719" s="135"/>
      <c r="JN719" s="135"/>
      <c r="JO719" s="135"/>
      <c r="JP719" s="135"/>
      <c r="JQ719" s="135"/>
      <c r="JR719" s="135"/>
      <c r="JS719" s="135"/>
      <c r="JT719" s="135"/>
      <c r="JU719" s="135"/>
      <c r="JV719" s="135"/>
      <c r="JW719" s="135"/>
      <c r="JX719" s="135"/>
      <c r="JY719" s="135"/>
      <c r="JZ719" s="135"/>
      <c r="KA719" s="135"/>
      <c r="KB719" s="135"/>
      <c r="KC719" s="135"/>
      <c r="KD719" s="135"/>
      <c r="KE719" s="135"/>
      <c r="KF719" s="135"/>
      <c r="KG719" s="135"/>
      <c r="KH719" s="135"/>
      <c r="KI719" s="135"/>
      <c r="KJ719" s="135"/>
      <c r="KK719" s="135"/>
      <c r="KL719" s="135"/>
      <c r="KM719" s="135"/>
      <c r="KN719" s="135"/>
      <c r="KO719" s="135"/>
      <c r="KP719" s="135"/>
      <c r="KQ719" s="135"/>
      <c r="KR719" s="135"/>
      <c r="KS719" s="135"/>
      <c r="KT719" s="135"/>
      <c r="KU719" s="135"/>
      <c r="KV719" s="135"/>
      <c r="KW719" s="135"/>
      <c r="KX719" s="135"/>
      <c r="KY719" s="135"/>
      <c r="KZ719" s="135"/>
      <c r="LA719" s="135"/>
      <c r="LB719" s="135"/>
      <c r="LC719" s="135"/>
      <c r="LD719" s="135"/>
      <c r="LE719" s="135"/>
      <c r="LF719" s="135"/>
      <c r="LG719" s="135"/>
      <c r="LH719" s="135"/>
      <c r="LI719" s="135"/>
      <c r="LJ719" s="135"/>
      <c r="LK719" s="135"/>
      <c r="LL719" s="135"/>
      <c r="LM719" s="135"/>
      <c r="LN719" s="135"/>
      <c r="LO719" s="135"/>
      <c r="LP719" s="135"/>
      <c r="LQ719" s="135"/>
      <c r="LR719" s="135"/>
      <c r="LS719" s="135"/>
      <c r="LT719" s="135"/>
      <c r="LU719" s="135"/>
      <c r="LV719" s="135"/>
      <c r="LW719" s="135"/>
      <c r="LX719" s="135"/>
      <c r="LY719" s="135"/>
      <c r="LZ719" s="135"/>
      <c r="MA719" s="135"/>
      <c r="MB719" s="135"/>
      <c r="MC719" s="135"/>
      <c r="MD719" s="135"/>
      <c r="ME719" s="135"/>
      <c r="MF719" s="135"/>
      <c r="MG719" s="135"/>
      <c r="MH719" s="135"/>
      <c r="MI719" s="135"/>
      <c r="MJ719" s="135"/>
      <c r="MK719" s="135"/>
      <c r="ML719" s="135"/>
      <c r="MM719" s="135"/>
      <c r="MN719" s="135"/>
      <c r="MO719" s="135"/>
      <c r="MP719" s="135"/>
      <c r="MQ719" s="135"/>
      <c r="MR719" s="135"/>
      <c r="MS719" s="135"/>
      <c r="MT719" s="135"/>
      <c r="MU719" s="135"/>
      <c r="MV719" s="135"/>
      <c r="MW719" s="135"/>
      <c r="MX719" s="135"/>
      <c r="MY719" s="135"/>
      <c r="MZ719" s="135"/>
      <c r="NA719" s="135"/>
      <c r="NB719" s="135"/>
      <c r="NC719" s="135"/>
      <c r="ND719" s="135"/>
      <c r="NE719" s="135"/>
      <c r="NF719" s="135"/>
      <c r="NG719" s="135"/>
      <c r="NH719" s="135"/>
      <c r="NI719" s="135"/>
      <c r="NJ719" s="135"/>
      <c r="NK719" s="135"/>
      <c r="NL719" s="135"/>
      <c r="NM719" s="135"/>
      <c r="NN719" s="135"/>
      <c r="NO719" s="135"/>
      <c r="NP719" s="135"/>
      <c r="NQ719" s="135"/>
      <c r="NR719" s="135"/>
      <c r="NS719" s="135"/>
      <c r="NT719" s="135"/>
      <c r="NU719" s="135"/>
      <c r="NV719" s="135"/>
      <c r="NW719" s="135"/>
      <c r="NX719" s="135"/>
      <c r="NY719" s="135"/>
      <c r="NZ719" s="135"/>
      <c r="OA719" s="135"/>
      <c r="OB719" s="135"/>
      <c r="OC719" s="135"/>
      <c r="OD719" s="135"/>
      <c r="OE719" s="135"/>
      <c r="OF719" s="135"/>
      <c r="OG719" s="135"/>
      <c r="OH719" s="135"/>
      <c r="OI719" s="135"/>
      <c r="OJ719" s="135"/>
      <c r="OK719" s="135"/>
      <c r="OL719" s="135"/>
      <c r="OM719" s="135"/>
      <c r="ON719" s="135"/>
      <c r="OO719" s="135"/>
      <c r="OP719" s="135"/>
      <c r="OQ719" s="135"/>
      <c r="OR719" s="135"/>
      <c r="OS719" s="135"/>
      <c r="OT719" s="135"/>
      <c r="OU719" s="135"/>
      <c r="OV719" s="135"/>
      <c r="OW719" s="135"/>
      <c r="OX719" s="135"/>
      <c r="OY719" s="135"/>
      <c r="OZ719" s="135"/>
      <c r="PA719" s="135"/>
      <c r="PB719" s="135"/>
      <c r="PC719" s="135"/>
      <c r="PD719" s="135"/>
      <c r="PE719" s="135"/>
      <c r="PF719" s="135"/>
      <c r="PG719" s="135"/>
      <c r="PH719" s="135"/>
      <c r="PI719" s="135"/>
      <c r="PJ719" s="135"/>
      <c r="PK719" s="135"/>
      <c r="PL719" s="135"/>
      <c r="PM719" s="135"/>
      <c r="PN719" s="135"/>
      <c r="PO719" s="135"/>
      <c r="PP719" s="135"/>
      <c r="PQ719" s="135"/>
      <c r="PR719" s="135"/>
      <c r="PS719" s="135"/>
      <c r="PT719" s="135"/>
      <c r="PU719" s="135"/>
      <c r="PV719" s="135"/>
      <c r="PW719" s="135"/>
      <c r="PX719" s="135"/>
      <c r="PY719" s="135"/>
      <c r="PZ719" s="135"/>
      <c r="QA719" s="135"/>
      <c r="QB719" s="135"/>
      <c r="QC719" s="135"/>
      <c r="QD719" s="135"/>
      <c r="QE719" s="135"/>
      <c r="QF719" s="135"/>
      <c r="QG719" s="135"/>
      <c r="QH719" s="135"/>
      <c r="QI719" s="135"/>
      <c r="QJ719" s="135"/>
      <c r="QK719" s="135"/>
      <c r="QL719" s="135"/>
      <c r="QM719" s="135"/>
      <c r="QN719" s="135"/>
      <c r="QO719" s="135"/>
      <c r="QP719" s="135"/>
      <c r="QQ719" s="135"/>
      <c r="QR719" s="135"/>
      <c r="QS719" s="135"/>
      <c r="QT719" s="135"/>
      <c r="QU719" s="135"/>
      <c r="QV719" s="135"/>
      <c r="QW719" s="135"/>
      <c r="QX719" s="135"/>
      <c r="QY719" s="135"/>
      <c r="QZ719" s="135"/>
      <c r="RA719" s="135"/>
      <c r="RB719" s="135"/>
      <c r="RC719" s="135"/>
      <c r="RD719" s="135"/>
      <c r="RE719" s="135"/>
      <c r="RF719" s="135"/>
      <c r="RG719" s="135"/>
      <c r="RH719" s="135"/>
      <c r="RI719" s="135"/>
      <c r="RJ719" s="135"/>
      <c r="RK719" s="135"/>
      <c r="RL719" s="135"/>
      <c r="RM719" s="135"/>
      <c r="RN719" s="135"/>
      <c r="RO719" s="135"/>
      <c r="RP719" s="135"/>
      <c r="RQ719" s="135"/>
      <c r="RR719" s="135"/>
      <c r="RS719" s="135"/>
      <c r="RT719" s="135"/>
      <c r="RU719" s="135"/>
      <c r="RV719" s="135"/>
      <c r="RW719" s="135"/>
      <c r="RX719" s="135"/>
      <c r="RY719" s="135"/>
      <c r="RZ719" s="135"/>
      <c r="SA719" s="135"/>
      <c r="SB719" s="135"/>
      <c r="SC719" s="135"/>
      <c r="SD719" s="135"/>
      <c r="SE719" s="135"/>
      <c r="SF719" s="135"/>
      <c r="SG719" s="135"/>
      <c r="SH719" s="135"/>
      <c r="SI719" s="135"/>
      <c r="SJ719" s="135"/>
      <c r="SK719" s="135"/>
      <c r="SL719" s="135"/>
      <c r="SM719" s="135"/>
      <c r="SN719" s="135"/>
      <c r="SO719" s="135"/>
      <c r="SP719" s="135"/>
      <c r="SQ719" s="135"/>
      <c r="SR719" s="135"/>
      <c r="SS719" s="135"/>
      <c r="ST719" s="135"/>
      <c r="SU719" s="135"/>
      <c r="SV719" s="135"/>
      <c r="SW719" s="135"/>
      <c r="SX719" s="135"/>
      <c r="SY719" s="135"/>
      <c r="SZ719" s="135"/>
      <c r="TA719" s="135"/>
      <c r="TB719" s="135"/>
      <c r="TC719" s="135"/>
      <c r="TD719" s="135"/>
      <c r="TE719" s="135"/>
      <c r="TF719" s="135"/>
      <c r="TG719" s="135"/>
      <c r="TH719" s="135"/>
      <c r="TI719" s="135"/>
      <c r="TJ719" s="135"/>
      <c r="TK719" s="135"/>
      <c r="TL719" s="135"/>
      <c r="TM719" s="135"/>
      <c r="TN719" s="135"/>
      <c r="TO719" s="135"/>
      <c r="TP719" s="135"/>
      <c r="TQ719" s="135"/>
      <c r="TR719" s="135"/>
      <c r="TS719" s="135"/>
      <c r="TT719" s="135"/>
      <c r="TU719" s="135"/>
      <c r="TV719" s="135"/>
      <c r="TW719" s="135"/>
      <c r="TX719" s="135"/>
      <c r="TY719" s="135"/>
      <c r="TZ719" s="135"/>
      <c r="UA719" s="135"/>
      <c r="UB719" s="135"/>
      <c r="UC719" s="135"/>
      <c r="UD719" s="135"/>
      <c r="UE719" s="135"/>
      <c r="UF719" s="135"/>
      <c r="UG719" s="135"/>
    </row>
    <row r="720" spans="1:553" s="125" customFormat="1" ht="30.75" customHeight="1">
      <c r="A720" s="431"/>
      <c r="B720" s="541" t="s">
        <v>31</v>
      </c>
      <c r="C720" s="1373" t="s">
        <v>993</v>
      </c>
      <c r="D720" s="1389"/>
      <c r="E720" s="1389"/>
      <c r="F720" s="1390"/>
      <c r="G720" s="542" t="s">
        <v>34</v>
      </c>
      <c r="H720" s="630"/>
      <c r="I720" s="631">
        <f>-41*1.7*0.22</f>
        <v>-15.334000000000001</v>
      </c>
      <c r="J720" s="992">
        <v>1748702</v>
      </c>
      <c r="K720" s="584"/>
      <c r="L720" s="632">
        <f>I720*J720</f>
        <v>-26814596.468000002</v>
      </c>
      <c r="M720" s="633"/>
      <c r="N720" s="633"/>
      <c r="O720" s="544"/>
      <c r="P720" s="541"/>
      <c r="Q720" s="634"/>
      <c r="R720" s="1071"/>
      <c r="S720" s="308"/>
      <c r="T720" s="308"/>
      <c r="U720" s="308"/>
      <c r="V720" s="308"/>
      <c r="W720" s="308"/>
      <c r="X720" s="308"/>
      <c r="Y720" s="308"/>
      <c r="Z720" s="604"/>
      <c r="AA720" s="308"/>
      <c r="AB720" s="308"/>
      <c r="AC720" s="635"/>
      <c r="AD720" s="635"/>
      <c r="AE720" s="635"/>
      <c r="AF720" s="635"/>
      <c r="AG720" s="635"/>
      <c r="AH720" s="636"/>
      <c r="AI720" s="636"/>
      <c r="AJ720" s="636"/>
      <c r="AK720" s="636"/>
      <c r="AL720" s="192"/>
      <c r="AM720" s="192"/>
      <c r="AN720" s="192"/>
      <c r="AO720" s="192"/>
      <c r="AP720" s="192"/>
      <c r="AQ720" s="192"/>
      <c r="AR720" s="192"/>
      <c r="AS720" s="192"/>
      <c r="AT720" s="192"/>
      <c r="AU720" s="192"/>
      <c r="AV720" s="192"/>
      <c r="AW720" s="192"/>
      <c r="AX720" s="192"/>
      <c r="AY720" s="192"/>
      <c r="AZ720" s="192"/>
      <c r="BA720" s="192"/>
      <c r="BB720" s="192"/>
      <c r="BC720" s="192"/>
      <c r="BD720" s="192"/>
      <c r="BE720" s="192"/>
      <c r="BF720" s="192"/>
      <c r="BG720" s="192"/>
      <c r="BH720" s="192"/>
      <c r="BI720" s="192"/>
      <c r="BJ720" s="192"/>
      <c r="BK720" s="192"/>
      <c r="BL720" s="192"/>
      <c r="BM720" s="192"/>
      <c r="BN720" s="192"/>
      <c r="BO720" s="192"/>
      <c r="BP720" s="192"/>
      <c r="BQ720" s="192"/>
      <c r="BR720" s="192"/>
      <c r="BS720" s="192"/>
      <c r="BT720" s="192"/>
      <c r="BU720" s="192"/>
      <c r="BV720" s="192"/>
      <c r="BW720" s="192"/>
      <c r="BX720" s="192"/>
      <c r="BY720" s="192"/>
      <c r="BZ720" s="192"/>
      <c r="CA720" s="192"/>
      <c r="CB720" s="192"/>
      <c r="CC720" s="192"/>
      <c r="CD720" s="192"/>
      <c r="CE720" s="192"/>
      <c r="CF720" s="192"/>
      <c r="CG720" s="192"/>
      <c r="CH720" s="192"/>
      <c r="CI720" s="192"/>
      <c r="CJ720" s="192"/>
      <c r="CK720" s="192"/>
      <c r="CL720" s="192"/>
      <c r="CM720" s="192"/>
      <c r="CN720" s="192"/>
      <c r="CO720" s="192"/>
      <c r="CP720" s="192"/>
      <c r="CQ720" s="192"/>
      <c r="CR720" s="192"/>
      <c r="CS720" s="192"/>
      <c r="CT720" s="192"/>
      <c r="CU720" s="192"/>
      <c r="CV720" s="192"/>
      <c r="CW720" s="192"/>
      <c r="CX720" s="192"/>
      <c r="CY720" s="192"/>
      <c r="CZ720" s="192"/>
      <c r="DA720" s="192"/>
      <c r="DB720" s="192"/>
      <c r="DC720" s="192"/>
      <c r="DD720" s="192"/>
      <c r="DE720" s="192"/>
      <c r="DF720" s="192"/>
      <c r="DG720" s="192"/>
      <c r="DH720" s="192"/>
      <c r="DI720" s="192"/>
      <c r="DJ720" s="192"/>
      <c r="DK720" s="192"/>
      <c r="DL720" s="192"/>
      <c r="DM720" s="192"/>
      <c r="DN720" s="192"/>
      <c r="DO720" s="192"/>
      <c r="DP720" s="192"/>
      <c r="DQ720" s="192"/>
      <c r="DR720" s="192"/>
      <c r="DS720" s="192"/>
      <c r="DT720" s="192"/>
      <c r="DU720" s="192"/>
      <c r="DV720" s="192"/>
      <c r="DW720" s="192"/>
      <c r="DX720" s="192"/>
      <c r="DY720" s="192"/>
      <c r="DZ720" s="192"/>
      <c r="EA720" s="192"/>
      <c r="EB720" s="192"/>
      <c r="EC720" s="192"/>
      <c r="ED720" s="192"/>
      <c r="EE720" s="192"/>
      <c r="EF720" s="192"/>
      <c r="EG720" s="192"/>
      <c r="EH720" s="192"/>
      <c r="EI720" s="192"/>
      <c r="EJ720" s="192"/>
      <c r="EK720" s="192"/>
      <c r="EL720" s="192"/>
      <c r="EM720" s="192"/>
      <c r="EN720" s="192"/>
      <c r="EO720" s="192"/>
      <c r="EP720" s="192"/>
      <c r="EQ720" s="192"/>
      <c r="ER720" s="192"/>
      <c r="ES720" s="192"/>
      <c r="ET720" s="192"/>
      <c r="EU720" s="192"/>
      <c r="EV720" s="192"/>
      <c r="EW720" s="192"/>
      <c r="EX720" s="192"/>
      <c r="EY720" s="192"/>
      <c r="EZ720" s="192"/>
      <c r="FA720" s="192"/>
      <c r="FB720" s="192"/>
      <c r="FC720" s="192"/>
      <c r="FD720" s="192"/>
      <c r="FE720" s="192"/>
      <c r="FF720" s="192"/>
      <c r="FG720" s="192"/>
      <c r="FH720" s="192"/>
      <c r="FI720" s="192"/>
      <c r="FJ720" s="192"/>
      <c r="FK720" s="192"/>
      <c r="FL720" s="192"/>
      <c r="FM720" s="192"/>
      <c r="FN720" s="192"/>
      <c r="FO720" s="192"/>
      <c r="FP720" s="192"/>
      <c r="FQ720" s="192"/>
      <c r="FR720" s="192"/>
      <c r="FS720" s="192"/>
      <c r="FT720" s="192"/>
      <c r="FU720" s="192"/>
      <c r="FV720" s="192"/>
      <c r="FW720" s="192"/>
      <c r="FX720" s="192"/>
      <c r="FY720" s="192"/>
      <c r="FZ720" s="192"/>
      <c r="GA720" s="192"/>
      <c r="GB720" s="192"/>
      <c r="GC720" s="192"/>
      <c r="GD720" s="192"/>
      <c r="GE720" s="192"/>
      <c r="GF720" s="192"/>
      <c r="GG720" s="192"/>
      <c r="GH720" s="192"/>
      <c r="GI720" s="192"/>
      <c r="GJ720" s="192"/>
      <c r="GK720" s="192"/>
      <c r="GL720" s="192"/>
      <c r="GM720" s="192"/>
      <c r="GN720" s="192"/>
      <c r="GO720" s="192"/>
      <c r="GP720" s="192"/>
      <c r="GQ720" s="192"/>
      <c r="GR720" s="192"/>
      <c r="GS720" s="192"/>
      <c r="GT720" s="192"/>
      <c r="GU720" s="192"/>
      <c r="GV720" s="192"/>
      <c r="GW720" s="192"/>
      <c r="GX720" s="192"/>
      <c r="GY720" s="192"/>
      <c r="GZ720" s="192"/>
      <c r="HA720" s="192"/>
      <c r="HB720" s="192"/>
      <c r="HC720" s="192"/>
      <c r="HD720" s="192"/>
      <c r="HE720" s="192"/>
      <c r="HF720" s="192"/>
      <c r="HG720" s="192"/>
      <c r="HH720" s="192"/>
      <c r="HI720" s="192"/>
      <c r="HJ720" s="192"/>
      <c r="HK720" s="192"/>
      <c r="HL720" s="192"/>
      <c r="HM720" s="192"/>
      <c r="HN720" s="192"/>
      <c r="HO720" s="192"/>
      <c r="HP720" s="192"/>
      <c r="HQ720" s="192"/>
      <c r="HR720" s="192"/>
      <c r="HS720" s="192"/>
      <c r="HT720" s="192"/>
      <c r="HU720" s="192"/>
      <c r="HV720" s="192"/>
      <c r="HW720" s="192"/>
      <c r="HX720" s="192"/>
      <c r="HY720" s="192"/>
      <c r="HZ720" s="192"/>
      <c r="IA720" s="192"/>
      <c r="IB720" s="192"/>
      <c r="IC720" s="192"/>
      <c r="ID720" s="192"/>
      <c r="IE720" s="192"/>
      <c r="IF720" s="192"/>
      <c r="IG720" s="192"/>
      <c r="IH720" s="192"/>
      <c r="II720" s="192"/>
      <c r="IJ720" s="192"/>
      <c r="IK720" s="192"/>
      <c r="IL720" s="192"/>
      <c r="IM720" s="192"/>
      <c r="IN720" s="192"/>
      <c r="IO720" s="192"/>
      <c r="IP720" s="192"/>
      <c r="IQ720" s="192"/>
      <c r="IR720" s="192"/>
      <c r="IS720" s="192"/>
      <c r="IT720" s="192"/>
      <c r="IU720" s="192"/>
      <c r="IV720" s="192"/>
      <c r="IW720" s="192"/>
      <c r="IX720" s="192"/>
      <c r="IY720" s="192"/>
      <c r="IZ720" s="192"/>
      <c r="JA720" s="192"/>
      <c r="JB720" s="192"/>
      <c r="JC720" s="192"/>
      <c r="JD720" s="192"/>
      <c r="JE720" s="192"/>
      <c r="JF720" s="192"/>
      <c r="JG720" s="192"/>
      <c r="JH720" s="192"/>
      <c r="JI720" s="192"/>
      <c r="JJ720" s="192"/>
      <c r="JK720" s="192"/>
      <c r="JL720" s="192"/>
      <c r="JM720" s="192"/>
      <c r="JN720" s="192"/>
      <c r="JO720" s="192"/>
      <c r="JP720" s="192"/>
      <c r="JQ720" s="192"/>
      <c r="JR720" s="192"/>
      <c r="JS720" s="192"/>
      <c r="JT720" s="192"/>
      <c r="JU720" s="192"/>
      <c r="JV720" s="192"/>
      <c r="JW720" s="192"/>
      <c r="JX720" s="192"/>
      <c r="JY720" s="192"/>
      <c r="JZ720" s="192"/>
      <c r="KA720" s="192"/>
      <c r="KB720" s="192"/>
      <c r="KC720" s="192"/>
      <c r="KD720" s="192"/>
      <c r="KE720" s="192"/>
      <c r="KF720" s="192"/>
      <c r="KG720" s="192"/>
      <c r="KH720" s="192"/>
      <c r="KI720" s="192"/>
      <c r="KJ720" s="192"/>
      <c r="KK720" s="192"/>
      <c r="KL720" s="192"/>
      <c r="KM720" s="192"/>
      <c r="KN720" s="192"/>
      <c r="KO720" s="192"/>
      <c r="KP720" s="192"/>
      <c r="KQ720" s="192"/>
      <c r="KR720" s="192"/>
      <c r="KS720" s="192"/>
      <c r="KT720" s="192"/>
      <c r="KU720" s="192"/>
      <c r="KV720" s="192"/>
      <c r="KW720" s="192"/>
      <c r="KX720" s="192"/>
      <c r="KY720" s="192"/>
      <c r="KZ720" s="192"/>
      <c r="LA720" s="192"/>
      <c r="LB720" s="192"/>
      <c r="LC720" s="192"/>
      <c r="LD720" s="192"/>
      <c r="LE720" s="192"/>
      <c r="LF720" s="192"/>
      <c r="LG720" s="192"/>
      <c r="LH720" s="192"/>
      <c r="LI720" s="192"/>
      <c r="LJ720" s="192"/>
      <c r="LK720" s="192"/>
      <c r="LL720" s="192"/>
      <c r="LM720" s="192"/>
      <c r="LN720" s="192"/>
      <c r="LO720" s="192"/>
      <c r="LP720" s="192"/>
      <c r="LQ720" s="192"/>
      <c r="LR720" s="192"/>
      <c r="LS720" s="192"/>
      <c r="LT720" s="192"/>
      <c r="LU720" s="192"/>
      <c r="LV720" s="192"/>
      <c r="LW720" s="192"/>
      <c r="LX720" s="192"/>
      <c r="LY720" s="192"/>
      <c r="LZ720" s="192"/>
      <c r="MA720" s="192"/>
      <c r="MB720" s="192"/>
      <c r="MC720" s="192"/>
      <c r="MD720" s="192"/>
      <c r="ME720" s="192"/>
      <c r="MF720" s="192"/>
      <c r="MG720" s="192"/>
      <c r="MH720" s="192"/>
      <c r="MI720" s="192"/>
      <c r="MJ720" s="192"/>
      <c r="MK720" s="192"/>
      <c r="ML720" s="192"/>
      <c r="MM720" s="192"/>
      <c r="MN720" s="192"/>
      <c r="MO720" s="192"/>
      <c r="MP720" s="192"/>
      <c r="MQ720" s="192"/>
      <c r="MR720" s="192"/>
      <c r="MS720" s="192"/>
      <c r="MT720" s="192"/>
      <c r="MU720" s="192"/>
      <c r="MV720" s="192"/>
      <c r="MW720" s="192"/>
      <c r="MX720" s="192"/>
      <c r="MY720" s="192"/>
      <c r="MZ720" s="192"/>
      <c r="NA720" s="192"/>
      <c r="NB720" s="192"/>
      <c r="NC720" s="192"/>
      <c r="ND720" s="192"/>
      <c r="NE720" s="192"/>
      <c r="NF720" s="192"/>
      <c r="NG720" s="192"/>
      <c r="NH720" s="192"/>
      <c r="NI720" s="192"/>
      <c r="NJ720" s="192"/>
      <c r="NK720" s="192"/>
      <c r="NL720" s="192"/>
      <c r="NM720" s="192"/>
      <c r="NN720" s="192"/>
      <c r="NO720" s="192"/>
      <c r="NP720" s="192"/>
      <c r="NQ720" s="192"/>
      <c r="NR720" s="192"/>
      <c r="NS720" s="192"/>
      <c r="NT720" s="192"/>
      <c r="NU720" s="192"/>
      <c r="NV720" s="192"/>
      <c r="NW720" s="192"/>
      <c r="NX720" s="192"/>
      <c r="NY720" s="192"/>
      <c r="NZ720" s="192"/>
      <c r="OA720" s="192"/>
      <c r="OB720" s="192"/>
      <c r="OC720" s="192"/>
      <c r="OD720" s="192"/>
      <c r="OE720" s="192"/>
      <c r="OF720" s="192"/>
      <c r="OG720" s="192"/>
      <c r="OH720" s="192"/>
      <c r="OI720" s="192"/>
      <c r="OJ720" s="192"/>
      <c r="OK720" s="192"/>
      <c r="OL720" s="192"/>
      <c r="OM720" s="192"/>
      <c r="ON720" s="192"/>
      <c r="OO720" s="192"/>
      <c r="OP720" s="192"/>
      <c r="OQ720" s="192"/>
      <c r="OR720" s="192"/>
      <c r="OS720" s="192"/>
      <c r="OT720" s="192"/>
      <c r="OU720" s="192"/>
      <c r="OV720" s="192"/>
      <c r="OW720" s="192"/>
      <c r="OX720" s="192"/>
      <c r="OY720" s="192"/>
      <c r="OZ720" s="192"/>
      <c r="PA720" s="192"/>
      <c r="PB720" s="192"/>
      <c r="PC720" s="192"/>
      <c r="PD720" s="192"/>
      <c r="PE720" s="192"/>
      <c r="PF720" s="192"/>
      <c r="PG720" s="192"/>
      <c r="PH720" s="192"/>
      <c r="PI720" s="192"/>
      <c r="PJ720" s="192"/>
      <c r="PK720" s="192"/>
      <c r="PL720" s="192"/>
      <c r="PM720" s="192"/>
      <c r="PN720" s="192"/>
      <c r="PO720" s="192"/>
      <c r="PP720" s="192"/>
      <c r="PQ720" s="192"/>
      <c r="PR720" s="192"/>
      <c r="PS720" s="192"/>
      <c r="PT720" s="192"/>
      <c r="PU720" s="192"/>
      <c r="PV720" s="192"/>
      <c r="PW720" s="192"/>
      <c r="PX720" s="192"/>
      <c r="PY720" s="192"/>
      <c r="PZ720" s="192"/>
      <c r="QA720" s="192"/>
      <c r="QB720" s="192"/>
      <c r="QC720" s="192"/>
      <c r="QD720" s="192"/>
      <c r="QE720" s="192"/>
      <c r="QF720" s="192"/>
      <c r="QG720" s="192"/>
      <c r="QH720" s="192"/>
      <c r="QI720" s="192"/>
      <c r="QJ720" s="192"/>
      <c r="QK720" s="192"/>
      <c r="QL720" s="192"/>
      <c r="QM720" s="192"/>
      <c r="QN720" s="192"/>
      <c r="QO720" s="192"/>
      <c r="QP720" s="192"/>
      <c r="QQ720" s="192"/>
      <c r="QR720" s="192"/>
      <c r="QS720" s="192"/>
      <c r="QT720" s="192"/>
      <c r="QU720" s="192"/>
      <c r="QV720" s="192"/>
      <c r="QW720" s="192"/>
      <c r="QX720" s="192"/>
      <c r="QY720" s="192"/>
      <c r="QZ720" s="192"/>
      <c r="RA720" s="192"/>
      <c r="RB720" s="192"/>
      <c r="RC720" s="192"/>
      <c r="RD720" s="192"/>
      <c r="RE720" s="192"/>
      <c r="RF720" s="192"/>
      <c r="RG720" s="192"/>
      <c r="RH720" s="192"/>
      <c r="RI720" s="192"/>
      <c r="RJ720" s="192"/>
      <c r="RK720" s="192"/>
      <c r="RL720" s="192"/>
      <c r="RM720" s="192"/>
      <c r="RN720" s="192"/>
      <c r="RO720" s="192"/>
      <c r="RP720" s="192"/>
      <c r="RQ720" s="192"/>
      <c r="RR720" s="192"/>
      <c r="RS720" s="192"/>
      <c r="RT720" s="192"/>
      <c r="RU720" s="192"/>
      <c r="RV720" s="192"/>
      <c r="RW720" s="192"/>
      <c r="RX720" s="192"/>
      <c r="RY720" s="192"/>
      <c r="RZ720" s="192"/>
      <c r="SA720" s="192"/>
      <c r="SB720" s="192"/>
      <c r="SC720" s="192"/>
      <c r="SD720" s="192"/>
      <c r="SE720" s="192"/>
      <c r="SF720" s="192"/>
      <c r="SG720" s="192"/>
      <c r="SH720" s="192"/>
      <c r="SI720" s="192"/>
      <c r="SJ720" s="192"/>
      <c r="SK720" s="192"/>
      <c r="SL720" s="192"/>
      <c r="SM720" s="192"/>
      <c r="SN720" s="192"/>
      <c r="SO720" s="192"/>
      <c r="SP720" s="192"/>
      <c r="SQ720" s="192"/>
      <c r="SR720" s="192"/>
      <c r="SS720" s="192"/>
      <c r="ST720" s="192"/>
      <c r="SU720" s="192"/>
      <c r="SV720" s="192"/>
      <c r="SW720" s="192"/>
      <c r="SX720" s="192"/>
      <c r="SY720" s="192"/>
      <c r="SZ720" s="192"/>
      <c r="TA720" s="192"/>
      <c r="TB720" s="192"/>
      <c r="TC720" s="192"/>
      <c r="TD720" s="192"/>
      <c r="TE720" s="192"/>
      <c r="TF720" s="192"/>
      <c r="TG720" s="192"/>
      <c r="TH720" s="192"/>
      <c r="TI720" s="192"/>
      <c r="TJ720" s="192"/>
      <c r="TK720" s="192"/>
      <c r="TL720" s="192"/>
      <c r="TM720" s="192"/>
      <c r="TN720" s="192"/>
      <c r="TO720" s="192"/>
      <c r="TP720" s="192"/>
      <c r="TQ720" s="192"/>
      <c r="TR720" s="192"/>
      <c r="TS720" s="192"/>
      <c r="TT720" s="192"/>
      <c r="TU720" s="192"/>
      <c r="TV720" s="192"/>
      <c r="TW720" s="192"/>
      <c r="TX720" s="192"/>
      <c r="TY720" s="192"/>
      <c r="TZ720" s="192"/>
      <c r="UA720" s="192"/>
      <c r="UB720" s="192"/>
      <c r="UC720" s="192"/>
      <c r="UD720" s="192"/>
      <c r="UE720" s="192"/>
      <c r="UF720" s="192"/>
      <c r="UG720" s="192"/>
    </row>
    <row r="721" spans="1:553" s="120" customFormat="1" ht="34.5" customHeight="1">
      <c r="A721" s="431" t="s">
        <v>30</v>
      </c>
      <c r="B721" s="541">
        <v>2</v>
      </c>
      <c r="C721" s="1402" t="s">
        <v>891</v>
      </c>
      <c r="D721" s="1389"/>
      <c r="E721" s="1389"/>
      <c r="F721" s="1390"/>
      <c r="G721" s="542" t="s">
        <v>33</v>
      </c>
      <c r="H721" s="543"/>
      <c r="I721" s="631">
        <f>-41*1.7*2</f>
        <v>-139.4</v>
      </c>
      <c r="J721" s="990">
        <v>52000</v>
      </c>
      <c r="K721" s="584"/>
      <c r="L721" s="585">
        <f t="shared" ref="L721:L722" si="113">I721*J721</f>
        <v>-7248800</v>
      </c>
      <c r="M721" s="637"/>
      <c r="N721" s="637"/>
      <c r="O721" s="544"/>
      <c r="P721" s="638"/>
      <c r="Q721" s="634"/>
      <c r="R721" s="1164"/>
      <c r="S721" s="308"/>
      <c r="T721" s="308"/>
      <c r="U721" s="308"/>
      <c r="V721" s="308"/>
      <c r="W721" s="308"/>
      <c r="X721" s="308"/>
      <c r="Y721" s="308"/>
      <c r="Z721" s="604"/>
      <c r="AA721" s="308"/>
      <c r="AB721" s="308"/>
      <c r="AC721" s="545"/>
      <c r="AD721" s="545"/>
      <c r="AE721" s="545"/>
      <c r="AF721" s="545"/>
      <c r="AG721" s="546"/>
      <c r="AH721" s="546"/>
      <c r="AI721" s="546"/>
      <c r="AJ721" s="546"/>
      <c r="AK721" s="546"/>
      <c r="AL721" s="138"/>
      <c r="AM721" s="138"/>
      <c r="AN721" s="138"/>
      <c r="AO721" s="138"/>
      <c r="AP721" s="138"/>
      <c r="AQ721" s="139"/>
      <c r="AR721" s="139"/>
      <c r="AS721" s="139"/>
      <c r="AT721" s="139"/>
      <c r="AU721" s="139"/>
      <c r="AV721" s="139"/>
      <c r="AW721" s="139"/>
      <c r="AX721" s="139"/>
      <c r="AY721" s="139"/>
      <c r="AZ721" s="139"/>
      <c r="BA721" s="139"/>
      <c r="BB721" s="139"/>
      <c r="BC721" s="139"/>
      <c r="BD721" s="139"/>
      <c r="BE721" s="139"/>
      <c r="BF721" s="139"/>
      <c r="BG721" s="139"/>
      <c r="BH721" s="139"/>
      <c r="BI721" s="139"/>
      <c r="BJ721" s="139"/>
      <c r="BK721" s="139"/>
      <c r="BL721" s="139"/>
      <c r="BM721" s="139"/>
      <c r="BN721" s="139"/>
      <c r="BO721" s="139"/>
      <c r="BP721" s="139"/>
      <c r="BQ721" s="139"/>
      <c r="BR721" s="139"/>
      <c r="BS721" s="139"/>
      <c r="BT721" s="139"/>
      <c r="BU721" s="139"/>
      <c r="BV721" s="139"/>
      <c r="BW721" s="139"/>
      <c r="BX721" s="139"/>
      <c r="BY721" s="139"/>
      <c r="BZ721" s="139"/>
      <c r="CA721" s="139"/>
      <c r="CB721" s="139"/>
      <c r="CC721" s="139"/>
      <c r="CD721" s="139"/>
      <c r="CE721" s="139"/>
      <c r="CF721" s="139"/>
      <c r="CG721" s="139"/>
      <c r="CH721" s="139"/>
      <c r="CI721" s="139"/>
      <c r="CJ721" s="139"/>
      <c r="CK721" s="139"/>
      <c r="CL721" s="139"/>
      <c r="CM721" s="139"/>
      <c r="CN721" s="139"/>
      <c r="CO721" s="139"/>
      <c r="CP721" s="139"/>
      <c r="CQ721" s="139"/>
      <c r="CR721" s="139"/>
      <c r="CS721" s="139"/>
      <c r="CT721" s="139"/>
      <c r="CU721" s="139"/>
      <c r="CV721" s="139"/>
      <c r="CW721" s="139"/>
      <c r="CX721" s="139"/>
      <c r="CY721" s="139"/>
      <c r="CZ721" s="139"/>
      <c r="DA721" s="139"/>
      <c r="DB721" s="139"/>
      <c r="DC721" s="139"/>
      <c r="DD721" s="139"/>
      <c r="DE721" s="139"/>
      <c r="DF721" s="139"/>
      <c r="DG721" s="139"/>
      <c r="DH721" s="139"/>
      <c r="DI721" s="139"/>
      <c r="DJ721" s="139"/>
      <c r="DK721" s="139"/>
      <c r="DL721" s="139"/>
      <c r="DM721" s="139"/>
      <c r="DN721" s="139"/>
      <c r="DO721" s="139"/>
      <c r="DP721" s="139"/>
      <c r="DQ721" s="139"/>
      <c r="DR721" s="139"/>
      <c r="DS721" s="139"/>
      <c r="DT721" s="139"/>
      <c r="DU721" s="139"/>
      <c r="DV721" s="139"/>
      <c r="DW721" s="139"/>
      <c r="DX721" s="139"/>
      <c r="DY721" s="139"/>
      <c r="DZ721" s="139"/>
      <c r="EA721" s="139"/>
      <c r="EB721" s="139"/>
      <c r="EC721" s="139"/>
      <c r="ED721" s="139"/>
      <c r="EE721" s="139"/>
      <c r="EF721" s="139"/>
      <c r="EG721" s="139"/>
      <c r="EH721" s="139"/>
      <c r="EI721" s="139"/>
      <c r="EJ721" s="139"/>
      <c r="EK721" s="139"/>
      <c r="EL721" s="139"/>
      <c r="EM721" s="139"/>
      <c r="EN721" s="139"/>
      <c r="EO721" s="139"/>
      <c r="EP721" s="139"/>
      <c r="EQ721" s="139"/>
      <c r="ER721" s="139"/>
      <c r="ES721" s="139"/>
      <c r="ET721" s="139"/>
      <c r="EU721" s="139"/>
      <c r="EV721" s="139"/>
      <c r="EW721" s="139"/>
      <c r="EX721" s="139"/>
      <c r="EY721" s="139"/>
      <c r="EZ721" s="139"/>
      <c r="FA721" s="139"/>
      <c r="FB721" s="139"/>
      <c r="FC721" s="139"/>
      <c r="FD721" s="139"/>
      <c r="FE721" s="139"/>
      <c r="FF721" s="139"/>
      <c r="FG721" s="139"/>
      <c r="FH721" s="139"/>
      <c r="FI721" s="139"/>
      <c r="FJ721" s="139"/>
      <c r="FK721" s="139"/>
      <c r="FL721" s="139"/>
      <c r="FM721" s="139"/>
      <c r="FN721" s="139"/>
      <c r="FO721" s="139"/>
      <c r="FP721" s="139"/>
      <c r="FQ721" s="139"/>
      <c r="FR721" s="139"/>
      <c r="FS721" s="139"/>
      <c r="FT721" s="139"/>
      <c r="FU721" s="139"/>
      <c r="FV721" s="139"/>
      <c r="FW721" s="139"/>
      <c r="FX721" s="139"/>
      <c r="FY721" s="139"/>
      <c r="FZ721" s="139"/>
      <c r="GA721" s="139"/>
      <c r="GB721" s="139"/>
      <c r="GC721" s="139"/>
      <c r="GD721" s="139"/>
      <c r="GE721" s="139"/>
      <c r="GF721" s="139"/>
      <c r="GG721" s="139"/>
      <c r="GH721" s="139"/>
      <c r="GI721" s="139"/>
      <c r="GJ721" s="139"/>
      <c r="GK721" s="139"/>
      <c r="GL721" s="139"/>
      <c r="GM721" s="139"/>
      <c r="GN721" s="139"/>
      <c r="GO721" s="139"/>
      <c r="GP721" s="139"/>
      <c r="GQ721" s="139"/>
      <c r="GR721" s="139"/>
      <c r="GS721" s="139"/>
      <c r="GT721" s="139"/>
      <c r="GU721" s="139"/>
      <c r="GV721" s="139"/>
      <c r="GW721" s="139"/>
      <c r="GX721" s="139"/>
      <c r="GY721" s="139"/>
      <c r="GZ721" s="139"/>
      <c r="HA721" s="139"/>
      <c r="HB721" s="139"/>
      <c r="HC721" s="139"/>
      <c r="HD721" s="139"/>
      <c r="HE721" s="139"/>
      <c r="HF721" s="139"/>
      <c r="HG721" s="139"/>
      <c r="HH721" s="139"/>
      <c r="HI721" s="139"/>
      <c r="HJ721" s="139"/>
      <c r="HK721" s="139"/>
      <c r="HL721" s="139"/>
      <c r="HM721" s="139"/>
      <c r="HN721" s="139"/>
      <c r="HO721" s="139"/>
      <c r="HP721" s="139"/>
      <c r="HQ721" s="139"/>
      <c r="HR721" s="139"/>
      <c r="HS721" s="139"/>
      <c r="HT721" s="139"/>
      <c r="HU721" s="139"/>
      <c r="HV721" s="139"/>
      <c r="HW721" s="139"/>
      <c r="HX721" s="139"/>
      <c r="HY721" s="139"/>
      <c r="HZ721" s="139"/>
      <c r="IA721" s="139"/>
      <c r="IB721" s="139"/>
      <c r="IC721" s="139"/>
      <c r="ID721" s="139"/>
      <c r="IE721" s="139"/>
      <c r="IF721" s="139"/>
      <c r="IG721" s="139"/>
      <c r="IH721" s="139"/>
      <c r="II721" s="139"/>
      <c r="IJ721" s="139"/>
      <c r="IK721" s="139"/>
      <c r="IL721" s="139"/>
      <c r="IM721" s="139"/>
      <c r="IN721" s="139"/>
      <c r="IO721" s="139"/>
      <c r="IP721" s="139"/>
      <c r="IQ721" s="139"/>
      <c r="IR721" s="139"/>
      <c r="IS721" s="139"/>
      <c r="IT721" s="139"/>
      <c r="IU721" s="139"/>
      <c r="IV721" s="139"/>
      <c r="IW721" s="139"/>
      <c r="IX721" s="139"/>
      <c r="IY721" s="139"/>
      <c r="IZ721" s="139"/>
      <c r="JA721" s="139"/>
      <c r="JB721" s="139"/>
      <c r="JC721" s="139"/>
      <c r="JD721" s="139"/>
      <c r="JE721" s="139"/>
      <c r="JF721" s="139"/>
      <c r="JG721" s="139"/>
      <c r="JH721" s="139"/>
      <c r="JI721" s="139"/>
      <c r="JJ721" s="139"/>
      <c r="JK721" s="139"/>
      <c r="JL721" s="139"/>
      <c r="JM721" s="139"/>
      <c r="JN721" s="139"/>
      <c r="JO721" s="139"/>
      <c r="JP721" s="139"/>
      <c r="JQ721" s="139"/>
      <c r="JR721" s="139"/>
      <c r="JS721" s="139"/>
      <c r="JT721" s="139"/>
      <c r="JU721" s="139"/>
      <c r="JV721" s="139"/>
      <c r="JW721" s="139"/>
      <c r="JX721" s="139"/>
      <c r="JY721" s="139"/>
      <c r="JZ721" s="139"/>
      <c r="KA721" s="139"/>
      <c r="KB721" s="139"/>
      <c r="KC721" s="139"/>
      <c r="KD721" s="139"/>
      <c r="KE721" s="139"/>
      <c r="KF721" s="139"/>
      <c r="KG721" s="139"/>
      <c r="KH721" s="139"/>
      <c r="KI721" s="139"/>
      <c r="KJ721" s="139"/>
      <c r="KK721" s="139"/>
      <c r="KL721" s="139"/>
      <c r="KM721" s="139"/>
      <c r="KN721" s="139"/>
      <c r="KO721" s="139"/>
      <c r="KP721" s="139"/>
      <c r="KQ721" s="139"/>
      <c r="KR721" s="139"/>
      <c r="KS721" s="139"/>
      <c r="KT721" s="139"/>
      <c r="KU721" s="139"/>
      <c r="KV721" s="139"/>
      <c r="KW721" s="139"/>
      <c r="KX721" s="139"/>
      <c r="KY721" s="139"/>
      <c r="KZ721" s="139"/>
      <c r="LA721" s="139"/>
      <c r="LB721" s="139"/>
      <c r="LC721" s="139"/>
      <c r="LD721" s="139"/>
      <c r="LE721" s="139"/>
      <c r="LF721" s="139"/>
      <c r="LG721" s="139"/>
      <c r="LH721" s="139"/>
      <c r="LI721" s="139"/>
      <c r="LJ721" s="139"/>
      <c r="LK721" s="139"/>
      <c r="LL721" s="139"/>
      <c r="LM721" s="139"/>
      <c r="LN721" s="139"/>
      <c r="LO721" s="139"/>
      <c r="LP721" s="139"/>
      <c r="LQ721" s="139"/>
      <c r="LR721" s="139"/>
      <c r="LS721" s="139"/>
      <c r="LT721" s="139"/>
      <c r="LU721" s="139"/>
      <c r="LV721" s="139"/>
      <c r="LW721" s="139"/>
      <c r="LX721" s="139"/>
      <c r="LY721" s="139"/>
      <c r="LZ721" s="139"/>
      <c r="MA721" s="139"/>
      <c r="MB721" s="139"/>
      <c r="MC721" s="139"/>
      <c r="MD721" s="139"/>
      <c r="ME721" s="139"/>
      <c r="MF721" s="139"/>
      <c r="MG721" s="139"/>
      <c r="MH721" s="139"/>
      <c r="MI721" s="139"/>
      <c r="MJ721" s="139"/>
      <c r="MK721" s="139"/>
      <c r="ML721" s="139"/>
      <c r="MM721" s="139"/>
      <c r="MN721" s="139"/>
      <c r="MO721" s="139"/>
      <c r="MP721" s="139"/>
      <c r="MQ721" s="139"/>
      <c r="MR721" s="139"/>
      <c r="MS721" s="139"/>
      <c r="MT721" s="139"/>
      <c r="MU721" s="139"/>
      <c r="MV721" s="139"/>
      <c r="MW721" s="139"/>
      <c r="MX721" s="139"/>
      <c r="MY721" s="139"/>
      <c r="MZ721" s="139"/>
      <c r="NA721" s="139"/>
      <c r="NB721" s="139"/>
      <c r="NC721" s="139"/>
      <c r="ND721" s="139"/>
      <c r="NE721" s="139"/>
      <c r="NF721" s="139"/>
      <c r="NG721" s="139"/>
      <c r="NH721" s="139"/>
      <c r="NI721" s="139"/>
      <c r="NJ721" s="139"/>
      <c r="NK721" s="139"/>
      <c r="NL721" s="139"/>
      <c r="NM721" s="139"/>
      <c r="NN721" s="139"/>
      <c r="NO721" s="139"/>
      <c r="NP721" s="139"/>
      <c r="NQ721" s="139"/>
      <c r="NR721" s="139"/>
      <c r="NS721" s="139"/>
      <c r="NT721" s="139"/>
      <c r="NU721" s="139"/>
      <c r="NV721" s="139"/>
      <c r="NW721" s="139"/>
      <c r="NX721" s="139"/>
      <c r="NY721" s="139"/>
      <c r="NZ721" s="139"/>
      <c r="OA721" s="139"/>
      <c r="OB721" s="139"/>
      <c r="OC721" s="139"/>
      <c r="OD721" s="139"/>
      <c r="OE721" s="139"/>
      <c r="OF721" s="139"/>
      <c r="OG721" s="139"/>
      <c r="OH721" s="139"/>
      <c r="OI721" s="139"/>
      <c r="OJ721" s="139"/>
      <c r="OK721" s="139"/>
      <c r="OL721" s="139"/>
      <c r="OM721" s="139"/>
      <c r="ON721" s="139"/>
      <c r="OO721" s="139"/>
      <c r="OP721" s="139"/>
      <c r="OQ721" s="139"/>
      <c r="OR721" s="139"/>
      <c r="OS721" s="139"/>
      <c r="OT721" s="139"/>
      <c r="OU721" s="139"/>
      <c r="OV721" s="139"/>
      <c r="OW721" s="139"/>
      <c r="OX721" s="139"/>
      <c r="OY721" s="139"/>
      <c r="OZ721" s="139"/>
      <c r="PA721" s="139"/>
      <c r="PB721" s="139"/>
      <c r="PC721" s="139"/>
      <c r="PD721" s="139"/>
      <c r="PE721" s="139"/>
      <c r="PF721" s="139"/>
      <c r="PG721" s="139"/>
      <c r="PH721" s="139"/>
      <c r="PI721" s="139"/>
      <c r="PJ721" s="139"/>
      <c r="PK721" s="139"/>
      <c r="PL721" s="139"/>
      <c r="PM721" s="139"/>
      <c r="PN721" s="139"/>
      <c r="PO721" s="139"/>
      <c r="PP721" s="139"/>
      <c r="PQ721" s="139"/>
      <c r="PR721" s="139"/>
      <c r="PS721" s="139"/>
      <c r="PT721" s="139"/>
      <c r="PU721" s="139"/>
      <c r="PV721" s="139"/>
      <c r="PW721" s="139"/>
      <c r="PX721" s="139"/>
      <c r="PY721" s="139"/>
      <c r="PZ721" s="139"/>
      <c r="QA721" s="139"/>
      <c r="QB721" s="139"/>
      <c r="QC721" s="139"/>
      <c r="QD721" s="139"/>
      <c r="QE721" s="139"/>
      <c r="QF721" s="139"/>
      <c r="QG721" s="139"/>
      <c r="QH721" s="139"/>
      <c r="QI721" s="139"/>
      <c r="QJ721" s="139"/>
      <c r="QK721" s="139"/>
      <c r="QL721" s="139"/>
      <c r="QM721" s="139"/>
      <c r="QN721" s="139"/>
      <c r="QO721" s="139"/>
      <c r="QP721" s="139"/>
      <c r="QQ721" s="139"/>
      <c r="QR721" s="139"/>
      <c r="QS721" s="139"/>
      <c r="QT721" s="139"/>
      <c r="QU721" s="139"/>
      <c r="QV721" s="139"/>
      <c r="QW721" s="139"/>
      <c r="QX721" s="139"/>
      <c r="QY721" s="139"/>
      <c r="QZ721" s="139"/>
      <c r="RA721" s="139"/>
      <c r="RB721" s="139"/>
      <c r="RC721" s="139"/>
      <c r="RD721" s="139"/>
      <c r="RE721" s="139"/>
      <c r="RF721" s="139"/>
      <c r="RG721" s="139"/>
      <c r="RH721" s="139"/>
      <c r="RI721" s="139"/>
      <c r="RJ721" s="139"/>
      <c r="RK721" s="139"/>
      <c r="RL721" s="139"/>
      <c r="RM721" s="139"/>
      <c r="RN721" s="139"/>
      <c r="RO721" s="139"/>
      <c r="RP721" s="139"/>
      <c r="RQ721" s="139"/>
      <c r="RR721" s="139"/>
      <c r="RS721" s="139"/>
      <c r="RT721" s="139"/>
      <c r="RU721" s="139"/>
      <c r="RV721" s="139"/>
      <c r="RW721" s="139"/>
      <c r="RX721" s="139"/>
      <c r="RY721" s="139"/>
      <c r="RZ721" s="139"/>
      <c r="SA721" s="139"/>
      <c r="SB721" s="139"/>
      <c r="SC721" s="139"/>
      <c r="SD721" s="139"/>
      <c r="SE721" s="139"/>
      <c r="SF721" s="139"/>
      <c r="SG721" s="139"/>
      <c r="SH721" s="139"/>
      <c r="SI721" s="139"/>
      <c r="SJ721" s="139"/>
      <c r="SK721" s="139"/>
      <c r="SL721" s="139"/>
      <c r="SM721" s="139"/>
      <c r="SN721" s="139"/>
      <c r="SO721" s="139"/>
      <c r="SP721" s="139"/>
      <c r="SQ721" s="139"/>
      <c r="SR721" s="139"/>
      <c r="SS721" s="139"/>
      <c r="ST721" s="139"/>
      <c r="SU721" s="139"/>
      <c r="SV721" s="139"/>
      <c r="SW721" s="139"/>
      <c r="SX721" s="139"/>
      <c r="SY721" s="139"/>
      <c r="SZ721" s="139"/>
      <c r="TA721" s="139"/>
      <c r="TB721" s="139"/>
      <c r="TC721" s="139"/>
      <c r="TD721" s="139"/>
      <c r="TE721" s="139"/>
      <c r="TF721" s="139"/>
      <c r="TG721" s="139"/>
      <c r="TH721" s="139"/>
      <c r="TI721" s="139"/>
      <c r="TJ721" s="139"/>
      <c r="TK721" s="139"/>
      <c r="TL721" s="139"/>
      <c r="TM721" s="139"/>
      <c r="TN721" s="139"/>
      <c r="TO721" s="139"/>
      <c r="TP721" s="139"/>
      <c r="TQ721" s="139"/>
      <c r="TR721" s="139"/>
      <c r="TS721" s="139"/>
      <c r="TT721" s="139"/>
      <c r="TU721" s="139"/>
      <c r="TV721" s="139"/>
      <c r="TW721" s="139"/>
      <c r="TX721" s="139"/>
      <c r="TY721" s="139"/>
      <c r="TZ721" s="139"/>
      <c r="UA721" s="139"/>
      <c r="UB721" s="139"/>
      <c r="UC721" s="139"/>
      <c r="UD721" s="139"/>
      <c r="UE721" s="139"/>
      <c r="UF721" s="139"/>
      <c r="UG721" s="119"/>
    </row>
    <row r="722" spans="1:553" s="120" customFormat="1" ht="34.5" customHeight="1">
      <c r="A722" s="431" t="s">
        <v>30</v>
      </c>
      <c r="B722" s="541">
        <v>5</v>
      </c>
      <c r="C722" s="1402" t="s">
        <v>892</v>
      </c>
      <c r="D722" s="1389"/>
      <c r="E722" s="1389"/>
      <c r="F722" s="1390"/>
      <c r="G722" s="542" t="s">
        <v>33</v>
      </c>
      <c r="H722" s="543"/>
      <c r="I722" s="631">
        <f>-41*1.7*2</f>
        <v>-139.4</v>
      </c>
      <c r="J722" s="990">
        <v>41700</v>
      </c>
      <c r="K722" s="584"/>
      <c r="L722" s="585">
        <f t="shared" si="113"/>
        <v>-5812980</v>
      </c>
      <c r="M722" s="637"/>
      <c r="N722" s="637"/>
      <c r="O722" s="544"/>
      <c r="P722" s="638"/>
      <c r="Q722" s="634"/>
      <c r="R722" s="1164"/>
      <c r="S722" s="308"/>
      <c r="T722" s="308"/>
      <c r="U722" s="308"/>
      <c r="V722" s="308"/>
      <c r="W722" s="308"/>
      <c r="X722" s="308"/>
      <c r="Y722" s="308"/>
      <c r="Z722" s="604"/>
      <c r="AA722" s="308"/>
      <c r="AB722" s="308"/>
      <c r="AC722" s="545"/>
      <c r="AD722" s="545"/>
      <c r="AE722" s="545"/>
      <c r="AF722" s="545"/>
      <c r="AG722" s="546"/>
      <c r="AH722" s="546"/>
      <c r="AI722" s="546"/>
      <c r="AJ722" s="546"/>
      <c r="AK722" s="546"/>
      <c r="AL722" s="138"/>
      <c r="AM722" s="138"/>
      <c r="AN722" s="138"/>
      <c r="AO722" s="138"/>
      <c r="AP722" s="138"/>
      <c r="AQ722" s="139"/>
      <c r="AR722" s="139"/>
      <c r="AS722" s="139"/>
      <c r="AT722" s="139"/>
      <c r="AU722" s="139"/>
      <c r="AV722" s="139"/>
      <c r="AW722" s="139"/>
      <c r="AX722" s="139"/>
      <c r="AY722" s="139"/>
      <c r="AZ722" s="139"/>
      <c r="BA722" s="139"/>
      <c r="BB722" s="139"/>
      <c r="BC722" s="139"/>
      <c r="BD722" s="139"/>
      <c r="BE722" s="139"/>
      <c r="BF722" s="139"/>
      <c r="BG722" s="139"/>
      <c r="BH722" s="139"/>
      <c r="BI722" s="139"/>
      <c r="BJ722" s="139"/>
      <c r="BK722" s="139"/>
      <c r="BL722" s="139"/>
      <c r="BM722" s="139"/>
      <c r="BN722" s="139"/>
      <c r="BO722" s="139"/>
      <c r="BP722" s="139"/>
      <c r="BQ722" s="139"/>
      <c r="BR722" s="139"/>
      <c r="BS722" s="139"/>
      <c r="BT722" s="139"/>
      <c r="BU722" s="139"/>
      <c r="BV722" s="139"/>
      <c r="BW722" s="139"/>
      <c r="BX722" s="139"/>
      <c r="BY722" s="139"/>
      <c r="BZ722" s="139"/>
      <c r="CA722" s="139"/>
      <c r="CB722" s="139"/>
      <c r="CC722" s="139"/>
      <c r="CD722" s="139"/>
      <c r="CE722" s="139"/>
      <c r="CF722" s="139"/>
      <c r="CG722" s="139"/>
      <c r="CH722" s="139"/>
      <c r="CI722" s="139"/>
      <c r="CJ722" s="139"/>
      <c r="CK722" s="139"/>
      <c r="CL722" s="139"/>
      <c r="CM722" s="139"/>
      <c r="CN722" s="139"/>
      <c r="CO722" s="139"/>
      <c r="CP722" s="139"/>
      <c r="CQ722" s="139"/>
      <c r="CR722" s="139"/>
      <c r="CS722" s="139"/>
      <c r="CT722" s="139"/>
      <c r="CU722" s="139"/>
      <c r="CV722" s="139"/>
      <c r="CW722" s="139"/>
      <c r="CX722" s="139"/>
      <c r="CY722" s="139"/>
      <c r="CZ722" s="139"/>
      <c r="DA722" s="139"/>
      <c r="DB722" s="139"/>
      <c r="DC722" s="139"/>
      <c r="DD722" s="139"/>
      <c r="DE722" s="139"/>
      <c r="DF722" s="139"/>
      <c r="DG722" s="139"/>
      <c r="DH722" s="139"/>
      <c r="DI722" s="139"/>
      <c r="DJ722" s="139"/>
      <c r="DK722" s="139"/>
      <c r="DL722" s="139"/>
      <c r="DM722" s="139"/>
      <c r="DN722" s="139"/>
      <c r="DO722" s="139"/>
      <c r="DP722" s="139"/>
      <c r="DQ722" s="139"/>
      <c r="DR722" s="139"/>
      <c r="DS722" s="139"/>
      <c r="DT722" s="139"/>
      <c r="DU722" s="139"/>
      <c r="DV722" s="139"/>
      <c r="DW722" s="139"/>
      <c r="DX722" s="139"/>
      <c r="DY722" s="139"/>
      <c r="DZ722" s="139"/>
      <c r="EA722" s="139"/>
      <c r="EB722" s="139"/>
      <c r="EC722" s="139"/>
      <c r="ED722" s="139"/>
      <c r="EE722" s="139"/>
      <c r="EF722" s="139"/>
      <c r="EG722" s="139"/>
      <c r="EH722" s="139"/>
      <c r="EI722" s="139"/>
      <c r="EJ722" s="139"/>
      <c r="EK722" s="139"/>
      <c r="EL722" s="139"/>
      <c r="EM722" s="139"/>
      <c r="EN722" s="139"/>
      <c r="EO722" s="139"/>
      <c r="EP722" s="139"/>
      <c r="EQ722" s="139"/>
      <c r="ER722" s="139"/>
      <c r="ES722" s="139"/>
      <c r="ET722" s="139"/>
      <c r="EU722" s="139"/>
      <c r="EV722" s="139"/>
      <c r="EW722" s="139"/>
      <c r="EX722" s="139"/>
      <c r="EY722" s="139"/>
      <c r="EZ722" s="139"/>
      <c r="FA722" s="139"/>
      <c r="FB722" s="139"/>
      <c r="FC722" s="139"/>
      <c r="FD722" s="139"/>
      <c r="FE722" s="139"/>
      <c r="FF722" s="139"/>
      <c r="FG722" s="139"/>
      <c r="FH722" s="139"/>
      <c r="FI722" s="139"/>
      <c r="FJ722" s="139"/>
      <c r="FK722" s="139"/>
      <c r="FL722" s="139"/>
      <c r="FM722" s="139"/>
      <c r="FN722" s="139"/>
      <c r="FO722" s="139"/>
      <c r="FP722" s="139"/>
      <c r="FQ722" s="139"/>
      <c r="FR722" s="139"/>
      <c r="FS722" s="139"/>
      <c r="FT722" s="139"/>
      <c r="FU722" s="139"/>
      <c r="FV722" s="139"/>
      <c r="FW722" s="139"/>
      <c r="FX722" s="139"/>
      <c r="FY722" s="139"/>
      <c r="FZ722" s="139"/>
      <c r="GA722" s="139"/>
      <c r="GB722" s="139"/>
      <c r="GC722" s="139"/>
      <c r="GD722" s="139"/>
      <c r="GE722" s="139"/>
      <c r="GF722" s="139"/>
      <c r="GG722" s="139"/>
      <c r="GH722" s="139"/>
      <c r="GI722" s="139"/>
      <c r="GJ722" s="139"/>
      <c r="GK722" s="139"/>
      <c r="GL722" s="139"/>
      <c r="GM722" s="139"/>
      <c r="GN722" s="139"/>
      <c r="GO722" s="139"/>
      <c r="GP722" s="139"/>
      <c r="GQ722" s="139"/>
      <c r="GR722" s="139"/>
      <c r="GS722" s="139"/>
      <c r="GT722" s="139"/>
      <c r="GU722" s="139"/>
      <c r="GV722" s="139"/>
      <c r="GW722" s="139"/>
      <c r="GX722" s="139"/>
      <c r="GY722" s="139"/>
      <c r="GZ722" s="139"/>
      <c r="HA722" s="139"/>
      <c r="HB722" s="139"/>
      <c r="HC722" s="139"/>
      <c r="HD722" s="139"/>
      <c r="HE722" s="139"/>
      <c r="HF722" s="139"/>
      <c r="HG722" s="139"/>
      <c r="HH722" s="139"/>
      <c r="HI722" s="139"/>
      <c r="HJ722" s="139"/>
      <c r="HK722" s="139"/>
      <c r="HL722" s="139"/>
      <c r="HM722" s="139"/>
      <c r="HN722" s="139"/>
      <c r="HO722" s="139"/>
      <c r="HP722" s="139"/>
      <c r="HQ722" s="139"/>
      <c r="HR722" s="139"/>
      <c r="HS722" s="139"/>
      <c r="HT722" s="139"/>
      <c r="HU722" s="139"/>
      <c r="HV722" s="139"/>
      <c r="HW722" s="139"/>
      <c r="HX722" s="139"/>
      <c r="HY722" s="139"/>
      <c r="HZ722" s="139"/>
      <c r="IA722" s="139"/>
      <c r="IB722" s="139"/>
      <c r="IC722" s="139"/>
      <c r="ID722" s="139"/>
      <c r="IE722" s="139"/>
      <c r="IF722" s="139"/>
      <c r="IG722" s="139"/>
      <c r="IH722" s="139"/>
      <c r="II722" s="139"/>
      <c r="IJ722" s="139"/>
      <c r="IK722" s="139"/>
      <c r="IL722" s="139"/>
      <c r="IM722" s="139"/>
      <c r="IN722" s="139"/>
      <c r="IO722" s="139"/>
      <c r="IP722" s="139"/>
      <c r="IQ722" s="139"/>
      <c r="IR722" s="139"/>
      <c r="IS722" s="139"/>
      <c r="IT722" s="139"/>
      <c r="IU722" s="139"/>
      <c r="IV722" s="139"/>
      <c r="IW722" s="139"/>
      <c r="IX722" s="139"/>
      <c r="IY722" s="139"/>
      <c r="IZ722" s="139"/>
      <c r="JA722" s="139"/>
      <c r="JB722" s="139"/>
      <c r="JC722" s="139"/>
      <c r="JD722" s="139"/>
      <c r="JE722" s="139"/>
      <c r="JF722" s="139"/>
      <c r="JG722" s="139"/>
      <c r="JH722" s="139"/>
      <c r="JI722" s="139"/>
      <c r="JJ722" s="139"/>
      <c r="JK722" s="139"/>
      <c r="JL722" s="139"/>
      <c r="JM722" s="139"/>
      <c r="JN722" s="139"/>
      <c r="JO722" s="139"/>
      <c r="JP722" s="139"/>
      <c r="JQ722" s="139"/>
      <c r="JR722" s="139"/>
      <c r="JS722" s="139"/>
      <c r="JT722" s="139"/>
      <c r="JU722" s="139"/>
      <c r="JV722" s="139"/>
      <c r="JW722" s="139"/>
      <c r="JX722" s="139"/>
      <c r="JY722" s="139"/>
      <c r="JZ722" s="139"/>
      <c r="KA722" s="139"/>
      <c r="KB722" s="139"/>
      <c r="KC722" s="139"/>
      <c r="KD722" s="139"/>
      <c r="KE722" s="139"/>
      <c r="KF722" s="139"/>
      <c r="KG722" s="139"/>
      <c r="KH722" s="139"/>
      <c r="KI722" s="139"/>
      <c r="KJ722" s="139"/>
      <c r="KK722" s="139"/>
      <c r="KL722" s="139"/>
      <c r="KM722" s="139"/>
      <c r="KN722" s="139"/>
      <c r="KO722" s="139"/>
      <c r="KP722" s="139"/>
      <c r="KQ722" s="139"/>
      <c r="KR722" s="139"/>
      <c r="KS722" s="139"/>
      <c r="KT722" s="139"/>
      <c r="KU722" s="139"/>
      <c r="KV722" s="139"/>
      <c r="KW722" s="139"/>
      <c r="KX722" s="139"/>
      <c r="KY722" s="139"/>
      <c r="KZ722" s="139"/>
      <c r="LA722" s="139"/>
      <c r="LB722" s="139"/>
      <c r="LC722" s="139"/>
      <c r="LD722" s="139"/>
      <c r="LE722" s="139"/>
      <c r="LF722" s="139"/>
      <c r="LG722" s="139"/>
      <c r="LH722" s="139"/>
      <c r="LI722" s="139"/>
      <c r="LJ722" s="139"/>
      <c r="LK722" s="139"/>
      <c r="LL722" s="139"/>
      <c r="LM722" s="139"/>
      <c r="LN722" s="139"/>
      <c r="LO722" s="139"/>
      <c r="LP722" s="139"/>
      <c r="LQ722" s="139"/>
      <c r="LR722" s="139"/>
      <c r="LS722" s="139"/>
      <c r="LT722" s="139"/>
      <c r="LU722" s="139"/>
      <c r="LV722" s="139"/>
      <c r="LW722" s="139"/>
      <c r="LX722" s="139"/>
      <c r="LY722" s="139"/>
      <c r="LZ722" s="139"/>
      <c r="MA722" s="139"/>
      <c r="MB722" s="139"/>
      <c r="MC722" s="139"/>
      <c r="MD722" s="139"/>
      <c r="ME722" s="139"/>
      <c r="MF722" s="139"/>
      <c r="MG722" s="139"/>
      <c r="MH722" s="139"/>
      <c r="MI722" s="139"/>
      <c r="MJ722" s="139"/>
      <c r="MK722" s="139"/>
      <c r="ML722" s="139"/>
      <c r="MM722" s="139"/>
      <c r="MN722" s="139"/>
      <c r="MO722" s="139"/>
      <c r="MP722" s="139"/>
      <c r="MQ722" s="139"/>
      <c r="MR722" s="139"/>
      <c r="MS722" s="139"/>
      <c r="MT722" s="139"/>
      <c r="MU722" s="139"/>
      <c r="MV722" s="139"/>
      <c r="MW722" s="139"/>
      <c r="MX722" s="139"/>
      <c r="MY722" s="139"/>
      <c r="MZ722" s="139"/>
      <c r="NA722" s="139"/>
      <c r="NB722" s="139"/>
      <c r="NC722" s="139"/>
      <c r="ND722" s="139"/>
      <c r="NE722" s="139"/>
      <c r="NF722" s="139"/>
      <c r="NG722" s="139"/>
      <c r="NH722" s="139"/>
      <c r="NI722" s="139"/>
      <c r="NJ722" s="139"/>
      <c r="NK722" s="139"/>
      <c r="NL722" s="139"/>
      <c r="NM722" s="139"/>
      <c r="NN722" s="139"/>
      <c r="NO722" s="139"/>
      <c r="NP722" s="139"/>
      <c r="NQ722" s="139"/>
      <c r="NR722" s="139"/>
      <c r="NS722" s="139"/>
      <c r="NT722" s="139"/>
      <c r="NU722" s="139"/>
      <c r="NV722" s="139"/>
      <c r="NW722" s="139"/>
      <c r="NX722" s="139"/>
      <c r="NY722" s="139"/>
      <c r="NZ722" s="139"/>
      <c r="OA722" s="139"/>
      <c r="OB722" s="139"/>
      <c r="OC722" s="139"/>
      <c r="OD722" s="139"/>
      <c r="OE722" s="139"/>
      <c r="OF722" s="139"/>
      <c r="OG722" s="139"/>
      <c r="OH722" s="139"/>
      <c r="OI722" s="139"/>
      <c r="OJ722" s="139"/>
      <c r="OK722" s="139"/>
      <c r="OL722" s="139"/>
      <c r="OM722" s="139"/>
      <c r="ON722" s="139"/>
      <c r="OO722" s="139"/>
      <c r="OP722" s="139"/>
      <c r="OQ722" s="139"/>
      <c r="OR722" s="139"/>
      <c r="OS722" s="139"/>
      <c r="OT722" s="139"/>
      <c r="OU722" s="139"/>
      <c r="OV722" s="139"/>
      <c r="OW722" s="139"/>
      <c r="OX722" s="139"/>
      <c r="OY722" s="139"/>
      <c r="OZ722" s="139"/>
      <c r="PA722" s="139"/>
      <c r="PB722" s="139"/>
      <c r="PC722" s="139"/>
      <c r="PD722" s="139"/>
      <c r="PE722" s="139"/>
      <c r="PF722" s="139"/>
      <c r="PG722" s="139"/>
      <c r="PH722" s="139"/>
      <c r="PI722" s="139"/>
      <c r="PJ722" s="139"/>
      <c r="PK722" s="139"/>
      <c r="PL722" s="139"/>
      <c r="PM722" s="139"/>
      <c r="PN722" s="139"/>
      <c r="PO722" s="139"/>
      <c r="PP722" s="139"/>
      <c r="PQ722" s="139"/>
      <c r="PR722" s="139"/>
      <c r="PS722" s="139"/>
      <c r="PT722" s="139"/>
      <c r="PU722" s="139"/>
      <c r="PV722" s="139"/>
      <c r="PW722" s="139"/>
      <c r="PX722" s="139"/>
      <c r="PY722" s="139"/>
      <c r="PZ722" s="139"/>
      <c r="QA722" s="139"/>
      <c r="QB722" s="139"/>
      <c r="QC722" s="139"/>
      <c r="QD722" s="139"/>
      <c r="QE722" s="139"/>
      <c r="QF722" s="139"/>
      <c r="QG722" s="139"/>
      <c r="QH722" s="139"/>
      <c r="QI722" s="139"/>
      <c r="QJ722" s="139"/>
      <c r="QK722" s="139"/>
      <c r="QL722" s="139"/>
      <c r="QM722" s="139"/>
      <c r="QN722" s="139"/>
      <c r="QO722" s="139"/>
      <c r="QP722" s="139"/>
      <c r="QQ722" s="139"/>
      <c r="QR722" s="139"/>
      <c r="QS722" s="139"/>
      <c r="QT722" s="139"/>
      <c r="QU722" s="139"/>
      <c r="QV722" s="139"/>
      <c r="QW722" s="139"/>
      <c r="QX722" s="139"/>
      <c r="QY722" s="139"/>
      <c r="QZ722" s="139"/>
      <c r="RA722" s="139"/>
      <c r="RB722" s="139"/>
      <c r="RC722" s="139"/>
      <c r="RD722" s="139"/>
      <c r="RE722" s="139"/>
      <c r="RF722" s="139"/>
      <c r="RG722" s="139"/>
      <c r="RH722" s="139"/>
      <c r="RI722" s="139"/>
      <c r="RJ722" s="139"/>
      <c r="RK722" s="139"/>
      <c r="RL722" s="139"/>
      <c r="RM722" s="139"/>
      <c r="RN722" s="139"/>
      <c r="RO722" s="139"/>
      <c r="RP722" s="139"/>
      <c r="RQ722" s="139"/>
      <c r="RR722" s="139"/>
      <c r="RS722" s="139"/>
      <c r="RT722" s="139"/>
      <c r="RU722" s="139"/>
      <c r="RV722" s="139"/>
      <c r="RW722" s="139"/>
      <c r="RX722" s="139"/>
      <c r="RY722" s="139"/>
      <c r="RZ722" s="139"/>
      <c r="SA722" s="139"/>
      <c r="SB722" s="139"/>
      <c r="SC722" s="139"/>
      <c r="SD722" s="139"/>
      <c r="SE722" s="139"/>
      <c r="SF722" s="139"/>
      <c r="SG722" s="139"/>
      <c r="SH722" s="139"/>
      <c r="SI722" s="139"/>
      <c r="SJ722" s="139"/>
      <c r="SK722" s="139"/>
      <c r="SL722" s="139"/>
      <c r="SM722" s="139"/>
      <c r="SN722" s="139"/>
      <c r="SO722" s="139"/>
      <c r="SP722" s="139"/>
      <c r="SQ722" s="139"/>
      <c r="SR722" s="139"/>
      <c r="SS722" s="139"/>
      <c r="ST722" s="139"/>
      <c r="SU722" s="139"/>
      <c r="SV722" s="139"/>
      <c r="SW722" s="139"/>
      <c r="SX722" s="139"/>
      <c r="SY722" s="139"/>
      <c r="SZ722" s="139"/>
      <c r="TA722" s="139"/>
      <c r="TB722" s="139"/>
      <c r="TC722" s="139"/>
      <c r="TD722" s="139"/>
      <c r="TE722" s="139"/>
      <c r="TF722" s="139"/>
      <c r="TG722" s="139"/>
      <c r="TH722" s="139"/>
      <c r="TI722" s="139"/>
      <c r="TJ722" s="139"/>
      <c r="TK722" s="139"/>
      <c r="TL722" s="139"/>
      <c r="TM722" s="139"/>
      <c r="TN722" s="139"/>
      <c r="TO722" s="139"/>
      <c r="TP722" s="139"/>
      <c r="TQ722" s="139"/>
      <c r="TR722" s="139"/>
      <c r="TS722" s="139"/>
      <c r="TT722" s="139"/>
      <c r="TU722" s="139"/>
      <c r="TV722" s="139"/>
      <c r="TW722" s="139"/>
      <c r="TX722" s="139"/>
      <c r="TY722" s="139"/>
      <c r="TZ722" s="139"/>
      <c r="UA722" s="139"/>
      <c r="UB722" s="139"/>
      <c r="UC722" s="139"/>
      <c r="UD722" s="139"/>
      <c r="UE722" s="139"/>
      <c r="UF722" s="139"/>
      <c r="UG722" s="119"/>
    </row>
    <row r="723" spans="1:553" ht="30.75" customHeight="1">
      <c r="A723" s="356"/>
      <c r="B723" s="385"/>
      <c r="C723" s="1401" t="s">
        <v>810</v>
      </c>
      <c r="D723" s="1389"/>
      <c r="E723" s="1389"/>
      <c r="F723" s="1390"/>
      <c r="G723" s="386"/>
      <c r="H723" s="622"/>
      <c r="I723" s="626"/>
      <c r="J723" s="369"/>
      <c r="K723" s="371"/>
      <c r="L723" s="627"/>
      <c r="M723" s="549"/>
      <c r="N723" s="549"/>
      <c r="O723" s="366"/>
      <c r="P723" s="385"/>
      <c r="Q723" s="394"/>
      <c r="R723" s="1230"/>
      <c r="S723" s="308"/>
      <c r="T723" s="308"/>
      <c r="U723" s="308"/>
      <c r="V723" s="308"/>
      <c r="W723" s="308"/>
      <c r="X723" s="308"/>
      <c r="Y723" s="308"/>
      <c r="Z723" s="604"/>
      <c r="AA723" s="308"/>
      <c r="AB723" s="308"/>
      <c r="AC723" s="628"/>
      <c r="AD723" s="628"/>
      <c r="AE723" s="628"/>
      <c r="AF723" s="628"/>
      <c r="AG723" s="628"/>
      <c r="AH723" s="629"/>
      <c r="AI723" s="629"/>
      <c r="AJ723" s="629"/>
      <c r="AK723" s="629"/>
      <c r="AL723" s="135"/>
      <c r="AM723" s="135"/>
      <c r="AN723" s="135"/>
      <c r="AO723" s="135"/>
      <c r="AP723" s="135"/>
      <c r="AQ723" s="135"/>
      <c r="AR723" s="135"/>
      <c r="AS723" s="135"/>
      <c r="AT723" s="135"/>
      <c r="AU723" s="135"/>
      <c r="AV723" s="135"/>
      <c r="AW723" s="135"/>
      <c r="AX723" s="135"/>
      <c r="AY723" s="135"/>
      <c r="AZ723" s="135"/>
      <c r="BA723" s="135"/>
      <c r="BB723" s="135"/>
      <c r="BC723" s="135"/>
      <c r="BD723" s="135"/>
      <c r="BE723" s="135"/>
      <c r="BF723" s="135"/>
      <c r="BG723" s="135"/>
      <c r="BH723" s="135"/>
      <c r="BI723" s="135"/>
      <c r="BJ723" s="135"/>
      <c r="BK723" s="135"/>
      <c r="BL723" s="135"/>
      <c r="BM723" s="135"/>
      <c r="BN723" s="135"/>
      <c r="BO723" s="135"/>
      <c r="BP723" s="135"/>
      <c r="BQ723" s="135"/>
      <c r="BR723" s="135"/>
      <c r="BS723" s="135"/>
      <c r="BT723" s="135"/>
      <c r="BU723" s="135"/>
      <c r="BV723" s="135"/>
      <c r="BW723" s="135"/>
      <c r="BX723" s="135"/>
      <c r="BY723" s="135"/>
      <c r="BZ723" s="135"/>
      <c r="CA723" s="135"/>
      <c r="CB723" s="135"/>
      <c r="CC723" s="135"/>
      <c r="CD723" s="135"/>
      <c r="CE723" s="135"/>
      <c r="CF723" s="135"/>
      <c r="CG723" s="135"/>
      <c r="CH723" s="135"/>
      <c r="CI723" s="135"/>
      <c r="CJ723" s="135"/>
      <c r="CK723" s="135"/>
      <c r="CL723" s="135"/>
      <c r="CM723" s="135"/>
      <c r="CN723" s="135"/>
      <c r="CO723" s="135"/>
      <c r="CP723" s="135"/>
      <c r="CQ723" s="135"/>
      <c r="CR723" s="135"/>
      <c r="CS723" s="135"/>
      <c r="CT723" s="135"/>
      <c r="CU723" s="135"/>
      <c r="CV723" s="135"/>
      <c r="CW723" s="135"/>
      <c r="CX723" s="135"/>
      <c r="CY723" s="135"/>
      <c r="CZ723" s="135"/>
      <c r="DA723" s="135"/>
      <c r="DB723" s="135"/>
      <c r="DC723" s="135"/>
      <c r="DD723" s="135"/>
      <c r="DE723" s="135"/>
      <c r="DF723" s="135"/>
      <c r="DG723" s="135"/>
      <c r="DH723" s="135"/>
      <c r="DI723" s="135"/>
      <c r="DJ723" s="135"/>
      <c r="DK723" s="135"/>
      <c r="DL723" s="135"/>
      <c r="DM723" s="135"/>
      <c r="DN723" s="135"/>
      <c r="DO723" s="135"/>
      <c r="DP723" s="135"/>
      <c r="DQ723" s="135"/>
      <c r="DR723" s="135"/>
      <c r="DS723" s="135"/>
      <c r="DT723" s="135"/>
      <c r="DU723" s="135"/>
      <c r="DV723" s="135"/>
      <c r="DW723" s="135"/>
      <c r="DX723" s="135"/>
      <c r="DY723" s="135"/>
      <c r="DZ723" s="135"/>
      <c r="EA723" s="135"/>
      <c r="EB723" s="135"/>
      <c r="EC723" s="135"/>
      <c r="ED723" s="135"/>
      <c r="EE723" s="135"/>
      <c r="EF723" s="135"/>
      <c r="EG723" s="135"/>
      <c r="EH723" s="135"/>
      <c r="EI723" s="135"/>
      <c r="EJ723" s="135"/>
      <c r="EK723" s="135"/>
      <c r="EL723" s="135"/>
      <c r="EM723" s="135"/>
      <c r="EN723" s="135"/>
      <c r="EO723" s="135"/>
      <c r="EP723" s="135"/>
      <c r="EQ723" s="135"/>
      <c r="ER723" s="135"/>
      <c r="ES723" s="135"/>
      <c r="ET723" s="135"/>
      <c r="EU723" s="135"/>
      <c r="EV723" s="135"/>
      <c r="EW723" s="135"/>
      <c r="EX723" s="135"/>
      <c r="EY723" s="135"/>
      <c r="EZ723" s="135"/>
      <c r="FA723" s="135"/>
      <c r="FB723" s="135"/>
      <c r="FC723" s="135"/>
      <c r="FD723" s="135"/>
      <c r="FE723" s="135"/>
      <c r="FF723" s="135"/>
      <c r="FG723" s="135"/>
      <c r="FH723" s="135"/>
      <c r="FI723" s="135"/>
      <c r="FJ723" s="135"/>
      <c r="FK723" s="135"/>
      <c r="FL723" s="135"/>
      <c r="FM723" s="135"/>
      <c r="FN723" s="135"/>
      <c r="FO723" s="135"/>
      <c r="FP723" s="135"/>
      <c r="FQ723" s="135"/>
      <c r="FR723" s="135"/>
      <c r="FS723" s="135"/>
      <c r="FT723" s="135"/>
      <c r="FU723" s="135"/>
      <c r="FV723" s="135"/>
      <c r="FW723" s="135"/>
      <c r="FX723" s="135"/>
      <c r="FY723" s="135"/>
      <c r="FZ723" s="135"/>
      <c r="GA723" s="135"/>
      <c r="GB723" s="135"/>
      <c r="GC723" s="135"/>
      <c r="GD723" s="135"/>
      <c r="GE723" s="135"/>
      <c r="GF723" s="135"/>
      <c r="GG723" s="135"/>
      <c r="GH723" s="135"/>
      <c r="GI723" s="135"/>
      <c r="GJ723" s="135"/>
      <c r="GK723" s="135"/>
      <c r="GL723" s="135"/>
      <c r="GM723" s="135"/>
      <c r="GN723" s="135"/>
      <c r="GO723" s="135"/>
      <c r="GP723" s="135"/>
      <c r="GQ723" s="135"/>
      <c r="GR723" s="135"/>
      <c r="GS723" s="135"/>
      <c r="GT723" s="135"/>
      <c r="GU723" s="135"/>
      <c r="GV723" s="135"/>
      <c r="GW723" s="135"/>
      <c r="GX723" s="135"/>
      <c r="GY723" s="135"/>
      <c r="GZ723" s="135"/>
      <c r="HA723" s="135"/>
      <c r="HB723" s="135"/>
      <c r="HC723" s="135"/>
      <c r="HD723" s="135"/>
      <c r="HE723" s="135"/>
      <c r="HF723" s="135"/>
      <c r="HG723" s="135"/>
      <c r="HH723" s="135"/>
      <c r="HI723" s="135"/>
      <c r="HJ723" s="135"/>
      <c r="HK723" s="135"/>
      <c r="HL723" s="135"/>
      <c r="HM723" s="135"/>
      <c r="HN723" s="135"/>
      <c r="HO723" s="135"/>
      <c r="HP723" s="135"/>
      <c r="HQ723" s="135"/>
      <c r="HR723" s="135"/>
      <c r="HS723" s="135"/>
      <c r="HT723" s="135"/>
      <c r="HU723" s="135"/>
      <c r="HV723" s="135"/>
      <c r="HW723" s="135"/>
      <c r="HX723" s="135"/>
      <c r="HY723" s="135"/>
      <c r="HZ723" s="135"/>
      <c r="IA723" s="135"/>
      <c r="IB723" s="135"/>
      <c r="IC723" s="135"/>
      <c r="ID723" s="135"/>
      <c r="IE723" s="135"/>
      <c r="IF723" s="135"/>
      <c r="IG723" s="135"/>
      <c r="IH723" s="135"/>
      <c r="II723" s="135"/>
      <c r="IJ723" s="135"/>
      <c r="IK723" s="135"/>
      <c r="IL723" s="135"/>
      <c r="IM723" s="135"/>
      <c r="IN723" s="135"/>
      <c r="IO723" s="135"/>
      <c r="IP723" s="135"/>
      <c r="IQ723" s="135"/>
      <c r="IR723" s="135"/>
      <c r="IS723" s="135"/>
      <c r="IT723" s="135"/>
      <c r="IU723" s="135"/>
      <c r="IV723" s="135"/>
      <c r="IW723" s="135"/>
      <c r="IX723" s="135"/>
      <c r="IY723" s="135"/>
      <c r="IZ723" s="135"/>
      <c r="JA723" s="135"/>
      <c r="JB723" s="135"/>
      <c r="JC723" s="135"/>
      <c r="JD723" s="135"/>
      <c r="JE723" s="135"/>
      <c r="JF723" s="135"/>
      <c r="JG723" s="135"/>
      <c r="JH723" s="135"/>
      <c r="JI723" s="135"/>
      <c r="JJ723" s="135"/>
      <c r="JK723" s="135"/>
      <c r="JL723" s="135"/>
      <c r="JM723" s="135"/>
      <c r="JN723" s="135"/>
      <c r="JO723" s="135"/>
      <c r="JP723" s="135"/>
      <c r="JQ723" s="135"/>
      <c r="JR723" s="135"/>
      <c r="JS723" s="135"/>
      <c r="JT723" s="135"/>
      <c r="JU723" s="135"/>
      <c r="JV723" s="135"/>
      <c r="JW723" s="135"/>
      <c r="JX723" s="135"/>
      <c r="JY723" s="135"/>
      <c r="JZ723" s="135"/>
      <c r="KA723" s="135"/>
      <c r="KB723" s="135"/>
      <c r="KC723" s="135"/>
      <c r="KD723" s="135"/>
      <c r="KE723" s="135"/>
      <c r="KF723" s="135"/>
      <c r="KG723" s="135"/>
      <c r="KH723" s="135"/>
      <c r="KI723" s="135"/>
      <c r="KJ723" s="135"/>
      <c r="KK723" s="135"/>
      <c r="KL723" s="135"/>
      <c r="KM723" s="135"/>
      <c r="KN723" s="135"/>
      <c r="KO723" s="135"/>
      <c r="KP723" s="135"/>
      <c r="KQ723" s="135"/>
      <c r="KR723" s="135"/>
      <c r="KS723" s="135"/>
      <c r="KT723" s="135"/>
      <c r="KU723" s="135"/>
      <c r="KV723" s="135"/>
      <c r="KW723" s="135"/>
      <c r="KX723" s="135"/>
      <c r="KY723" s="135"/>
      <c r="KZ723" s="135"/>
      <c r="LA723" s="135"/>
      <c r="LB723" s="135"/>
      <c r="LC723" s="135"/>
      <c r="LD723" s="135"/>
      <c r="LE723" s="135"/>
      <c r="LF723" s="135"/>
      <c r="LG723" s="135"/>
      <c r="LH723" s="135"/>
      <c r="LI723" s="135"/>
      <c r="LJ723" s="135"/>
      <c r="LK723" s="135"/>
      <c r="LL723" s="135"/>
      <c r="LM723" s="135"/>
      <c r="LN723" s="135"/>
      <c r="LO723" s="135"/>
      <c r="LP723" s="135"/>
      <c r="LQ723" s="135"/>
      <c r="LR723" s="135"/>
      <c r="LS723" s="135"/>
      <c r="LT723" s="135"/>
      <c r="LU723" s="135"/>
      <c r="LV723" s="135"/>
      <c r="LW723" s="135"/>
      <c r="LX723" s="135"/>
      <c r="LY723" s="135"/>
      <c r="LZ723" s="135"/>
      <c r="MA723" s="135"/>
      <c r="MB723" s="135"/>
      <c r="MC723" s="135"/>
      <c r="MD723" s="135"/>
      <c r="ME723" s="135"/>
      <c r="MF723" s="135"/>
      <c r="MG723" s="135"/>
      <c r="MH723" s="135"/>
      <c r="MI723" s="135"/>
      <c r="MJ723" s="135"/>
      <c r="MK723" s="135"/>
      <c r="ML723" s="135"/>
      <c r="MM723" s="135"/>
      <c r="MN723" s="135"/>
      <c r="MO723" s="135"/>
      <c r="MP723" s="135"/>
      <c r="MQ723" s="135"/>
      <c r="MR723" s="135"/>
      <c r="MS723" s="135"/>
      <c r="MT723" s="135"/>
      <c r="MU723" s="135"/>
      <c r="MV723" s="135"/>
      <c r="MW723" s="135"/>
      <c r="MX723" s="135"/>
      <c r="MY723" s="135"/>
      <c r="MZ723" s="135"/>
      <c r="NA723" s="135"/>
      <c r="NB723" s="135"/>
      <c r="NC723" s="135"/>
      <c r="ND723" s="135"/>
      <c r="NE723" s="135"/>
      <c r="NF723" s="135"/>
      <c r="NG723" s="135"/>
      <c r="NH723" s="135"/>
      <c r="NI723" s="135"/>
      <c r="NJ723" s="135"/>
      <c r="NK723" s="135"/>
      <c r="NL723" s="135"/>
      <c r="NM723" s="135"/>
      <c r="NN723" s="135"/>
      <c r="NO723" s="135"/>
      <c r="NP723" s="135"/>
      <c r="NQ723" s="135"/>
      <c r="NR723" s="135"/>
      <c r="NS723" s="135"/>
      <c r="NT723" s="135"/>
      <c r="NU723" s="135"/>
      <c r="NV723" s="135"/>
      <c r="NW723" s="135"/>
      <c r="NX723" s="135"/>
      <c r="NY723" s="135"/>
      <c r="NZ723" s="135"/>
      <c r="OA723" s="135"/>
      <c r="OB723" s="135"/>
      <c r="OC723" s="135"/>
      <c r="OD723" s="135"/>
      <c r="OE723" s="135"/>
      <c r="OF723" s="135"/>
      <c r="OG723" s="135"/>
      <c r="OH723" s="135"/>
      <c r="OI723" s="135"/>
      <c r="OJ723" s="135"/>
      <c r="OK723" s="135"/>
      <c r="OL723" s="135"/>
      <c r="OM723" s="135"/>
      <c r="ON723" s="135"/>
      <c r="OO723" s="135"/>
      <c r="OP723" s="135"/>
      <c r="OQ723" s="135"/>
      <c r="OR723" s="135"/>
      <c r="OS723" s="135"/>
      <c r="OT723" s="135"/>
      <c r="OU723" s="135"/>
      <c r="OV723" s="135"/>
      <c r="OW723" s="135"/>
      <c r="OX723" s="135"/>
      <c r="OY723" s="135"/>
      <c r="OZ723" s="135"/>
      <c r="PA723" s="135"/>
      <c r="PB723" s="135"/>
      <c r="PC723" s="135"/>
      <c r="PD723" s="135"/>
      <c r="PE723" s="135"/>
      <c r="PF723" s="135"/>
      <c r="PG723" s="135"/>
      <c r="PH723" s="135"/>
      <c r="PI723" s="135"/>
      <c r="PJ723" s="135"/>
      <c r="PK723" s="135"/>
      <c r="PL723" s="135"/>
      <c r="PM723" s="135"/>
      <c r="PN723" s="135"/>
      <c r="PO723" s="135"/>
      <c r="PP723" s="135"/>
      <c r="PQ723" s="135"/>
      <c r="PR723" s="135"/>
      <c r="PS723" s="135"/>
      <c r="PT723" s="135"/>
      <c r="PU723" s="135"/>
      <c r="PV723" s="135"/>
      <c r="PW723" s="135"/>
      <c r="PX723" s="135"/>
      <c r="PY723" s="135"/>
      <c r="PZ723" s="135"/>
      <c r="QA723" s="135"/>
      <c r="QB723" s="135"/>
      <c r="QC723" s="135"/>
      <c r="QD723" s="135"/>
      <c r="QE723" s="135"/>
      <c r="QF723" s="135"/>
      <c r="QG723" s="135"/>
      <c r="QH723" s="135"/>
      <c r="QI723" s="135"/>
      <c r="QJ723" s="135"/>
      <c r="QK723" s="135"/>
      <c r="QL723" s="135"/>
      <c r="QM723" s="135"/>
      <c r="QN723" s="135"/>
      <c r="QO723" s="135"/>
      <c r="QP723" s="135"/>
      <c r="QQ723" s="135"/>
      <c r="QR723" s="135"/>
      <c r="QS723" s="135"/>
      <c r="QT723" s="135"/>
      <c r="QU723" s="135"/>
      <c r="QV723" s="135"/>
      <c r="QW723" s="135"/>
      <c r="QX723" s="135"/>
      <c r="QY723" s="135"/>
      <c r="QZ723" s="135"/>
      <c r="RA723" s="135"/>
      <c r="RB723" s="135"/>
      <c r="RC723" s="135"/>
      <c r="RD723" s="135"/>
      <c r="RE723" s="135"/>
      <c r="RF723" s="135"/>
      <c r="RG723" s="135"/>
      <c r="RH723" s="135"/>
      <c r="RI723" s="135"/>
      <c r="RJ723" s="135"/>
      <c r="RK723" s="135"/>
      <c r="RL723" s="135"/>
      <c r="RM723" s="135"/>
      <c r="RN723" s="135"/>
      <c r="RO723" s="135"/>
      <c r="RP723" s="135"/>
      <c r="RQ723" s="135"/>
      <c r="RR723" s="135"/>
      <c r="RS723" s="135"/>
      <c r="RT723" s="135"/>
      <c r="RU723" s="135"/>
      <c r="RV723" s="135"/>
      <c r="RW723" s="135"/>
      <c r="RX723" s="135"/>
      <c r="RY723" s="135"/>
      <c r="RZ723" s="135"/>
      <c r="SA723" s="135"/>
      <c r="SB723" s="135"/>
      <c r="SC723" s="135"/>
      <c r="SD723" s="135"/>
      <c r="SE723" s="135"/>
      <c r="SF723" s="135"/>
      <c r="SG723" s="135"/>
      <c r="SH723" s="135"/>
      <c r="SI723" s="135"/>
      <c r="SJ723" s="135"/>
      <c r="SK723" s="135"/>
      <c r="SL723" s="135"/>
      <c r="SM723" s="135"/>
      <c r="SN723" s="135"/>
      <c r="SO723" s="135"/>
      <c r="SP723" s="135"/>
      <c r="SQ723" s="135"/>
      <c r="SR723" s="135"/>
      <c r="SS723" s="135"/>
      <c r="ST723" s="135"/>
      <c r="SU723" s="135"/>
      <c r="SV723" s="135"/>
      <c r="SW723" s="135"/>
      <c r="SX723" s="135"/>
      <c r="SY723" s="135"/>
      <c r="SZ723" s="135"/>
      <c r="TA723" s="135"/>
      <c r="TB723" s="135"/>
      <c r="TC723" s="135"/>
      <c r="TD723" s="135"/>
      <c r="TE723" s="135"/>
      <c r="TF723" s="135"/>
      <c r="TG723" s="135"/>
      <c r="TH723" s="135"/>
      <c r="TI723" s="135"/>
      <c r="TJ723" s="135"/>
      <c r="TK723" s="135"/>
      <c r="TL723" s="135"/>
      <c r="TM723" s="135"/>
      <c r="TN723" s="135"/>
      <c r="TO723" s="135"/>
      <c r="TP723" s="135"/>
      <c r="TQ723" s="135"/>
      <c r="TR723" s="135"/>
      <c r="TS723" s="135"/>
      <c r="TT723" s="135"/>
      <c r="TU723" s="135"/>
      <c r="TV723" s="135"/>
      <c r="TW723" s="135"/>
      <c r="TX723" s="135"/>
      <c r="TY723" s="135"/>
      <c r="TZ723" s="135"/>
      <c r="UA723" s="135"/>
      <c r="UB723" s="135"/>
      <c r="UC723" s="135"/>
      <c r="UD723" s="135"/>
      <c r="UE723" s="135"/>
      <c r="UF723" s="135"/>
      <c r="UG723" s="135"/>
    </row>
    <row r="724" spans="1:553" ht="30.75" customHeight="1">
      <c r="A724" s="356"/>
      <c r="B724" s="385" t="s">
        <v>35</v>
      </c>
      <c r="C724" s="1401" t="s">
        <v>990</v>
      </c>
      <c r="D724" s="1389"/>
      <c r="E724" s="1389"/>
      <c r="F724" s="1390"/>
      <c r="G724" s="386" t="s">
        <v>33</v>
      </c>
      <c r="H724" s="622"/>
      <c r="I724" s="626">
        <f>0.94*4.5*19</f>
        <v>80.36999999999999</v>
      </c>
      <c r="J724" s="369">
        <v>39000</v>
      </c>
      <c r="K724" s="371"/>
      <c r="L724" s="627">
        <f t="shared" ref="L724:L756" si="114">I724*J724</f>
        <v>3134429.9999999995</v>
      </c>
      <c r="M724" s="549"/>
      <c r="N724" s="549"/>
      <c r="O724" s="366"/>
      <c r="P724" s="385"/>
      <c r="Q724" s="394"/>
      <c r="R724" s="1230"/>
      <c r="S724" s="308"/>
      <c r="T724" s="308"/>
      <c r="U724" s="308"/>
      <c r="V724" s="308"/>
      <c r="W724" s="308"/>
      <c r="X724" s="308"/>
      <c r="Y724" s="308"/>
      <c r="Z724" s="604"/>
      <c r="AA724" s="308"/>
      <c r="AB724" s="308"/>
      <c r="AC724" s="628"/>
      <c r="AD724" s="628"/>
      <c r="AE724" s="628"/>
      <c r="AF724" s="628"/>
      <c r="AG724" s="628"/>
      <c r="AH724" s="629"/>
      <c r="AI724" s="629"/>
      <c r="AJ724" s="629"/>
      <c r="AK724" s="629"/>
      <c r="AL724" s="135"/>
      <c r="AM724" s="135"/>
      <c r="AN724" s="135"/>
      <c r="AO724" s="135"/>
      <c r="AP724" s="135"/>
      <c r="AQ724" s="135"/>
      <c r="AR724" s="135"/>
      <c r="AS724" s="135"/>
      <c r="AT724" s="135"/>
      <c r="AU724" s="135"/>
      <c r="AV724" s="135"/>
      <c r="AW724" s="135"/>
      <c r="AX724" s="135"/>
      <c r="AY724" s="135"/>
      <c r="AZ724" s="135"/>
      <c r="BA724" s="135"/>
      <c r="BB724" s="135"/>
      <c r="BC724" s="135"/>
      <c r="BD724" s="135"/>
      <c r="BE724" s="135"/>
      <c r="BF724" s="135"/>
      <c r="BG724" s="135"/>
      <c r="BH724" s="135"/>
      <c r="BI724" s="135"/>
      <c r="BJ724" s="135"/>
      <c r="BK724" s="135"/>
      <c r="BL724" s="135"/>
      <c r="BM724" s="135"/>
      <c r="BN724" s="135"/>
      <c r="BO724" s="135"/>
      <c r="BP724" s="135"/>
      <c r="BQ724" s="135"/>
      <c r="BR724" s="135"/>
      <c r="BS724" s="135"/>
      <c r="BT724" s="135"/>
      <c r="BU724" s="135"/>
      <c r="BV724" s="135"/>
      <c r="BW724" s="135"/>
      <c r="BX724" s="135"/>
      <c r="BY724" s="135"/>
      <c r="BZ724" s="135"/>
      <c r="CA724" s="135"/>
      <c r="CB724" s="135"/>
      <c r="CC724" s="135"/>
      <c r="CD724" s="135"/>
      <c r="CE724" s="135"/>
      <c r="CF724" s="135"/>
      <c r="CG724" s="135"/>
      <c r="CH724" s="135"/>
      <c r="CI724" s="135"/>
      <c r="CJ724" s="135"/>
      <c r="CK724" s="135"/>
      <c r="CL724" s="135"/>
      <c r="CM724" s="135"/>
      <c r="CN724" s="135"/>
      <c r="CO724" s="135"/>
      <c r="CP724" s="135"/>
      <c r="CQ724" s="135"/>
      <c r="CR724" s="135"/>
      <c r="CS724" s="135"/>
      <c r="CT724" s="135"/>
      <c r="CU724" s="135"/>
      <c r="CV724" s="135"/>
      <c r="CW724" s="135"/>
      <c r="CX724" s="135"/>
      <c r="CY724" s="135"/>
      <c r="CZ724" s="135"/>
      <c r="DA724" s="135"/>
      <c r="DB724" s="135"/>
      <c r="DC724" s="135"/>
      <c r="DD724" s="135"/>
      <c r="DE724" s="135"/>
      <c r="DF724" s="135"/>
      <c r="DG724" s="135"/>
      <c r="DH724" s="135"/>
      <c r="DI724" s="135"/>
      <c r="DJ724" s="135"/>
      <c r="DK724" s="135"/>
      <c r="DL724" s="135"/>
      <c r="DM724" s="135"/>
      <c r="DN724" s="135"/>
      <c r="DO724" s="135"/>
      <c r="DP724" s="135"/>
      <c r="DQ724" s="135"/>
      <c r="DR724" s="135"/>
      <c r="DS724" s="135"/>
      <c r="DT724" s="135"/>
      <c r="DU724" s="135"/>
      <c r="DV724" s="135"/>
      <c r="DW724" s="135"/>
      <c r="DX724" s="135"/>
      <c r="DY724" s="135"/>
      <c r="DZ724" s="135"/>
      <c r="EA724" s="135"/>
      <c r="EB724" s="135"/>
      <c r="EC724" s="135"/>
      <c r="ED724" s="135"/>
      <c r="EE724" s="135"/>
      <c r="EF724" s="135"/>
      <c r="EG724" s="135"/>
      <c r="EH724" s="135"/>
      <c r="EI724" s="135"/>
      <c r="EJ724" s="135"/>
      <c r="EK724" s="135"/>
      <c r="EL724" s="135"/>
      <c r="EM724" s="135"/>
      <c r="EN724" s="135"/>
      <c r="EO724" s="135"/>
      <c r="EP724" s="135"/>
      <c r="EQ724" s="135"/>
      <c r="ER724" s="135"/>
      <c r="ES724" s="135"/>
      <c r="ET724" s="135"/>
      <c r="EU724" s="135"/>
      <c r="EV724" s="135"/>
      <c r="EW724" s="135"/>
      <c r="EX724" s="135"/>
      <c r="EY724" s="135"/>
      <c r="EZ724" s="135"/>
      <c r="FA724" s="135"/>
      <c r="FB724" s="135"/>
      <c r="FC724" s="135"/>
      <c r="FD724" s="135"/>
      <c r="FE724" s="135"/>
      <c r="FF724" s="135"/>
      <c r="FG724" s="135"/>
      <c r="FH724" s="135"/>
      <c r="FI724" s="135"/>
      <c r="FJ724" s="135"/>
      <c r="FK724" s="135"/>
      <c r="FL724" s="135"/>
      <c r="FM724" s="135"/>
      <c r="FN724" s="135"/>
      <c r="FO724" s="135"/>
      <c r="FP724" s="135"/>
      <c r="FQ724" s="135"/>
      <c r="FR724" s="135"/>
      <c r="FS724" s="135"/>
      <c r="FT724" s="135"/>
      <c r="FU724" s="135"/>
      <c r="FV724" s="135"/>
      <c r="FW724" s="135"/>
      <c r="FX724" s="135"/>
      <c r="FY724" s="135"/>
      <c r="FZ724" s="135"/>
      <c r="GA724" s="135"/>
      <c r="GB724" s="135"/>
      <c r="GC724" s="135"/>
      <c r="GD724" s="135"/>
      <c r="GE724" s="135"/>
      <c r="GF724" s="135"/>
      <c r="GG724" s="135"/>
      <c r="GH724" s="135"/>
      <c r="GI724" s="135"/>
      <c r="GJ724" s="135"/>
      <c r="GK724" s="135"/>
      <c r="GL724" s="135"/>
      <c r="GM724" s="135"/>
      <c r="GN724" s="135"/>
      <c r="GO724" s="135"/>
      <c r="GP724" s="135"/>
      <c r="GQ724" s="135"/>
      <c r="GR724" s="135"/>
      <c r="GS724" s="135"/>
      <c r="GT724" s="135"/>
      <c r="GU724" s="135"/>
      <c r="GV724" s="135"/>
      <c r="GW724" s="135"/>
      <c r="GX724" s="135"/>
      <c r="GY724" s="135"/>
      <c r="GZ724" s="135"/>
      <c r="HA724" s="135"/>
      <c r="HB724" s="135"/>
      <c r="HC724" s="135"/>
      <c r="HD724" s="135"/>
      <c r="HE724" s="135"/>
      <c r="HF724" s="135"/>
      <c r="HG724" s="135"/>
      <c r="HH724" s="135"/>
      <c r="HI724" s="135"/>
      <c r="HJ724" s="135"/>
      <c r="HK724" s="135"/>
      <c r="HL724" s="135"/>
      <c r="HM724" s="135"/>
      <c r="HN724" s="135"/>
      <c r="HO724" s="135"/>
      <c r="HP724" s="135"/>
      <c r="HQ724" s="135"/>
      <c r="HR724" s="135"/>
      <c r="HS724" s="135"/>
      <c r="HT724" s="135"/>
      <c r="HU724" s="135"/>
      <c r="HV724" s="135"/>
      <c r="HW724" s="135"/>
      <c r="HX724" s="135"/>
      <c r="HY724" s="135"/>
      <c r="HZ724" s="135"/>
      <c r="IA724" s="135"/>
      <c r="IB724" s="135"/>
      <c r="IC724" s="135"/>
      <c r="ID724" s="135"/>
      <c r="IE724" s="135"/>
      <c r="IF724" s="135"/>
      <c r="IG724" s="135"/>
      <c r="IH724" s="135"/>
      <c r="II724" s="135"/>
      <c r="IJ724" s="135"/>
      <c r="IK724" s="135"/>
      <c r="IL724" s="135"/>
      <c r="IM724" s="135"/>
      <c r="IN724" s="135"/>
      <c r="IO724" s="135"/>
      <c r="IP724" s="135"/>
      <c r="IQ724" s="135"/>
      <c r="IR724" s="135"/>
      <c r="IS724" s="135"/>
      <c r="IT724" s="135"/>
      <c r="IU724" s="135"/>
      <c r="IV724" s="135"/>
      <c r="IW724" s="135"/>
      <c r="IX724" s="135"/>
      <c r="IY724" s="135"/>
      <c r="IZ724" s="135"/>
      <c r="JA724" s="135"/>
      <c r="JB724" s="135"/>
      <c r="JC724" s="135"/>
      <c r="JD724" s="135"/>
      <c r="JE724" s="135"/>
      <c r="JF724" s="135"/>
      <c r="JG724" s="135"/>
      <c r="JH724" s="135"/>
      <c r="JI724" s="135"/>
      <c r="JJ724" s="135"/>
      <c r="JK724" s="135"/>
      <c r="JL724" s="135"/>
      <c r="JM724" s="135"/>
      <c r="JN724" s="135"/>
      <c r="JO724" s="135"/>
      <c r="JP724" s="135"/>
      <c r="JQ724" s="135"/>
      <c r="JR724" s="135"/>
      <c r="JS724" s="135"/>
      <c r="JT724" s="135"/>
      <c r="JU724" s="135"/>
      <c r="JV724" s="135"/>
      <c r="JW724" s="135"/>
      <c r="JX724" s="135"/>
      <c r="JY724" s="135"/>
      <c r="JZ724" s="135"/>
      <c r="KA724" s="135"/>
      <c r="KB724" s="135"/>
      <c r="KC724" s="135"/>
      <c r="KD724" s="135"/>
      <c r="KE724" s="135"/>
      <c r="KF724" s="135"/>
      <c r="KG724" s="135"/>
      <c r="KH724" s="135"/>
      <c r="KI724" s="135"/>
      <c r="KJ724" s="135"/>
      <c r="KK724" s="135"/>
      <c r="KL724" s="135"/>
      <c r="KM724" s="135"/>
      <c r="KN724" s="135"/>
      <c r="KO724" s="135"/>
      <c r="KP724" s="135"/>
      <c r="KQ724" s="135"/>
      <c r="KR724" s="135"/>
      <c r="KS724" s="135"/>
      <c r="KT724" s="135"/>
      <c r="KU724" s="135"/>
      <c r="KV724" s="135"/>
      <c r="KW724" s="135"/>
      <c r="KX724" s="135"/>
      <c r="KY724" s="135"/>
      <c r="KZ724" s="135"/>
      <c r="LA724" s="135"/>
      <c r="LB724" s="135"/>
      <c r="LC724" s="135"/>
      <c r="LD724" s="135"/>
      <c r="LE724" s="135"/>
      <c r="LF724" s="135"/>
      <c r="LG724" s="135"/>
      <c r="LH724" s="135"/>
      <c r="LI724" s="135"/>
      <c r="LJ724" s="135"/>
      <c r="LK724" s="135"/>
      <c r="LL724" s="135"/>
      <c r="LM724" s="135"/>
      <c r="LN724" s="135"/>
      <c r="LO724" s="135"/>
      <c r="LP724" s="135"/>
      <c r="LQ724" s="135"/>
      <c r="LR724" s="135"/>
      <c r="LS724" s="135"/>
      <c r="LT724" s="135"/>
      <c r="LU724" s="135"/>
      <c r="LV724" s="135"/>
      <c r="LW724" s="135"/>
      <c r="LX724" s="135"/>
      <c r="LY724" s="135"/>
      <c r="LZ724" s="135"/>
      <c r="MA724" s="135"/>
      <c r="MB724" s="135"/>
      <c r="MC724" s="135"/>
      <c r="MD724" s="135"/>
      <c r="ME724" s="135"/>
      <c r="MF724" s="135"/>
      <c r="MG724" s="135"/>
      <c r="MH724" s="135"/>
      <c r="MI724" s="135"/>
      <c r="MJ724" s="135"/>
      <c r="MK724" s="135"/>
      <c r="ML724" s="135"/>
      <c r="MM724" s="135"/>
      <c r="MN724" s="135"/>
      <c r="MO724" s="135"/>
      <c r="MP724" s="135"/>
      <c r="MQ724" s="135"/>
      <c r="MR724" s="135"/>
      <c r="MS724" s="135"/>
      <c r="MT724" s="135"/>
      <c r="MU724" s="135"/>
      <c r="MV724" s="135"/>
      <c r="MW724" s="135"/>
      <c r="MX724" s="135"/>
      <c r="MY724" s="135"/>
      <c r="MZ724" s="135"/>
      <c r="NA724" s="135"/>
      <c r="NB724" s="135"/>
      <c r="NC724" s="135"/>
      <c r="ND724" s="135"/>
      <c r="NE724" s="135"/>
      <c r="NF724" s="135"/>
      <c r="NG724" s="135"/>
      <c r="NH724" s="135"/>
      <c r="NI724" s="135"/>
      <c r="NJ724" s="135"/>
      <c r="NK724" s="135"/>
      <c r="NL724" s="135"/>
      <c r="NM724" s="135"/>
      <c r="NN724" s="135"/>
      <c r="NO724" s="135"/>
      <c r="NP724" s="135"/>
      <c r="NQ724" s="135"/>
      <c r="NR724" s="135"/>
      <c r="NS724" s="135"/>
      <c r="NT724" s="135"/>
      <c r="NU724" s="135"/>
      <c r="NV724" s="135"/>
      <c r="NW724" s="135"/>
      <c r="NX724" s="135"/>
      <c r="NY724" s="135"/>
      <c r="NZ724" s="135"/>
      <c r="OA724" s="135"/>
      <c r="OB724" s="135"/>
      <c r="OC724" s="135"/>
      <c r="OD724" s="135"/>
      <c r="OE724" s="135"/>
      <c r="OF724" s="135"/>
      <c r="OG724" s="135"/>
      <c r="OH724" s="135"/>
      <c r="OI724" s="135"/>
      <c r="OJ724" s="135"/>
      <c r="OK724" s="135"/>
      <c r="OL724" s="135"/>
      <c r="OM724" s="135"/>
      <c r="ON724" s="135"/>
      <c r="OO724" s="135"/>
      <c r="OP724" s="135"/>
      <c r="OQ724" s="135"/>
      <c r="OR724" s="135"/>
      <c r="OS724" s="135"/>
      <c r="OT724" s="135"/>
      <c r="OU724" s="135"/>
      <c r="OV724" s="135"/>
      <c r="OW724" s="135"/>
      <c r="OX724" s="135"/>
      <c r="OY724" s="135"/>
      <c r="OZ724" s="135"/>
      <c r="PA724" s="135"/>
      <c r="PB724" s="135"/>
      <c r="PC724" s="135"/>
      <c r="PD724" s="135"/>
      <c r="PE724" s="135"/>
      <c r="PF724" s="135"/>
      <c r="PG724" s="135"/>
      <c r="PH724" s="135"/>
      <c r="PI724" s="135"/>
      <c r="PJ724" s="135"/>
      <c r="PK724" s="135"/>
      <c r="PL724" s="135"/>
      <c r="PM724" s="135"/>
      <c r="PN724" s="135"/>
      <c r="PO724" s="135"/>
      <c r="PP724" s="135"/>
      <c r="PQ724" s="135"/>
      <c r="PR724" s="135"/>
      <c r="PS724" s="135"/>
      <c r="PT724" s="135"/>
      <c r="PU724" s="135"/>
      <c r="PV724" s="135"/>
      <c r="PW724" s="135"/>
      <c r="PX724" s="135"/>
      <c r="PY724" s="135"/>
      <c r="PZ724" s="135"/>
      <c r="QA724" s="135"/>
      <c r="QB724" s="135"/>
      <c r="QC724" s="135"/>
      <c r="QD724" s="135"/>
      <c r="QE724" s="135"/>
      <c r="QF724" s="135"/>
      <c r="QG724" s="135"/>
      <c r="QH724" s="135"/>
      <c r="QI724" s="135"/>
      <c r="QJ724" s="135"/>
      <c r="QK724" s="135"/>
      <c r="QL724" s="135"/>
      <c r="QM724" s="135"/>
      <c r="QN724" s="135"/>
      <c r="QO724" s="135"/>
      <c r="QP724" s="135"/>
      <c r="QQ724" s="135"/>
      <c r="QR724" s="135"/>
      <c r="QS724" s="135"/>
      <c r="QT724" s="135"/>
      <c r="QU724" s="135"/>
      <c r="QV724" s="135"/>
      <c r="QW724" s="135"/>
      <c r="QX724" s="135"/>
      <c r="QY724" s="135"/>
      <c r="QZ724" s="135"/>
      <c r="RA724" s="135"/>
      <c r="RB724" s="135"/>
      <c r="RC724" s="135"/>
      <c r="RD724" s="135"/>
      <c r="RE724" s="135"/>
      <c r="RF724" s="135"/>
      <c r="RG724" s="135"/>
      <c r="RH724" s="135"/>
      <c r="RI724" s="135"/>
      <c r="RJ724" s="135"/>
      <c r="RK724" s="135"/>
      <c r="RL724" s="135"/>
      <c r="RM724" s="135"/>
      <c r="RN724" s="135"/>
      <c r="RO724" s="135"/>
      <c r="RP724" s="135"/>
      <c r="RQ724" s="135"/>
      <c r="RR724" s="135"/>
      <c r="RS724" s="135"/>
      <c r="RT724" s="135"/>
      <c r="RU724" s="135"/>
      <c r="RV724" s="135"/>
      <c r="RW724" s="135"/>
      <c r="RX724" s="135"/>
      <c r="RY724" s="135"/>
      <c r="RZ724" s="135"/>
      <c r="SA724" s="135"/>
      <c r="SB724" s="135"/>
      <c r="SC724" s="135"/>
      <c r="SD724" s="135"/>
      <c r="SE724" s="135"/>
      <c r="SF724" s="135"/>
      <c r="SG724" s="135"/>
      <c r="SH724" s="135"/>
      <c r="SI724" s="135"/>
      <c r="SJ724" s="135"/>
      <c r="SK724" s="135"/>
      <c r="SL724" s="135"/>
      <c r="SM724" s="135"/>
      <c r="SN724" s="135"/>
      <c r="SO724" s="135"/>
      <c r="SP724" s="135"/>
      <c r="SQ724" s="135"/>
      <c r="SR724" s="135"/>
      <c r="SS724" s="135"/>
      <c r="ST724" s="135"/>
      <c r="SU724" s="135"/>
      <c r="SV724" s="135"/>
      <c r="SW724" s="135"/>
      <c r="SX724" s="135"/>
      <c r="SY724" s="135"/>
      <c r="SZ724" s="135"/>
      <c r="TA724" s="135"/>
      <c r="TB724" s="135"/>
      <c r="TC724" s="135"/>
      <c r="TD724" s="135"/>
      <c r="TE724" s="135"/>
      <c r="TF724" s="135"/>
      <c r="TG724" s="135"/>
      <c r="TH724" s="135"/>
      <c r="TI724" s="135"/>
      <c r="TJ724" s="135"/>
      <c r="TK724" s="135"/>
      <c r="TL724" s="135"/>
      <c r="TM724" s="135"/>
      <c r="TN724" s="135"/>
      <c r="TO724" s="135"/>
      <c r="TP724" s="135"/>
      <c r="TQ724" s="135"/>
      <c r="TR724" s="135"/>
      <c r="TS724" s="135"/>
      <c r="TT724" s="135"/>
      <c r="TU724" s="135"/>
      <c r="TV724" s="135"/>
      <c r="TW724" s="135"/>
      <c r="TX724" s="135"/>
      <c r="TY724" s="135"/>
      <c r="TZ724" s="135"/>
      <c r="UA724" s="135"/>
      <c r="UB724" s="135"/>
      <c r="UC724" s="135"/>
      <c r="UD724" s="135"/>
      <c r="UE724" s="135"/>
      <c r="UF724" s="135"/>
      <c r="UG724" s="135"/>
    </row>
    <row r="725" spans="1:553" ht="30.75" customHeight="1">
      <c r="A725" s="356"/>
      <c r="B725" s="385" t="s">
        <v>35</v>
      </c>
      <c r="C725" s="1401" t="s">
        <v>989</v>
      </c>
      <c r="D725" s="1389"/>
      <c r="E725" s="1389"/>
      <c r="F725" s="1390"/>
      <c r="G725" s="386" t="s">
        <v>33</v>
      </c>
      <c r="H725" s="622"/>
      <c r="I725" s="626">
        <f>0.94*6.5*8</f>
        <v>48.879999999999995</v>
      </c>
      <c r="J725" s="369">
        <v>39000</v>
      </c>
      <c r="K725" s="371"/>
      <c r="L725" s="627">
        <f t="shared" si="114"/>
        <v>1906319.9999999998</v>
      </c>
      <c r="M725" s="549"/>
      <c r="N725" s="549"/>
      <c r="O725" s="366"/>
      <c r="P725" s="385"/>
      <c r="Q725" s="394"/>
      <c r="R725" s="1230"/>
      <c r="S725" s="308"/>
      <c r="T725" s="308"/>
      <c r="U725" s="308"/>
      <c r="V725" s="308"/>
      <c r="W725" s="308"/>
      <c r="X725" s="308"/>
      <c r="Y725" s="308"/>
      <c r="Z725" s="604"/>
      <c r="AA725" s="308"/>
      <c r="AB725" s="308"/>
      <c r="AC725" s="628"/>
      <c r="AD725" s="628"/>
      <c r="AE725" s="628"/>
      <c r="AF725" s="628"/>
      <c r="AG725" s="628"/>
      <c r="AH725" s="629"/>
      <c r="AI725" s="629"/>
      <c r="AJ725" s="629"/>
      <c r="AK725" s="629"/>
      <c r="AL725" s="135"/>
      <c r="AM725" s="135"/>
      <c r="AN725" s="135"/>
      <c r="AO725" s="135"/>
      <c r="AP725" s="135"/>
      <c r="AQ725" s="135"/>
      <c r="AR725" s="135"/>
      <c r="AS725" s="135"/>
      <c r="AT725" s="135"/>
      <c r="AU725" s="135"/>
      <c r="AV725" s="135"/>
      <c r="AW725" s="135"/>
      <c r="AX725" s="135"/>
      <c r="AY725" s="135"/>
      <c r="AZ725" s="135"/>
      <c r="BA725" s="135"/>
      <c r="BB725" s="135"/>
      <c r="BC725" s="135"/>
      <c r="BD725" s="135"/>
      <c r="BE725" s="135"/>
      <c r="BF725" s="135"/>
      <c r="BG725" s="135"/>
      <c r="BH725" s="135"/>
      <c r="BI725" s="135"/>
      <c r="BJ725" s="135"/>
      <c r="BK725" s="135"/>
      <c r="BL725" s="135"/>
      <c r="BM725" s="135"/>
      <c r="BN725" s="135"/>
      <c r="BO725" s="135"/>
      <c r="BP725" s="135"/>
      <c r="BQ725" s="135"/>
      <c r="BR725" s="135"/>
      <c r="BS725" s="135"/>
      <c r="BT725" s="135"/>
      <c r="BU725" s="135"/>
      <c r="BV725" s="135"/>
      <c r="BW725" s="135"/>
      <c r="BX725" s="135"/>
      <c r="BY725" s="135"/>
      <c r="BZ725" s="135"/>
      <c r="CA725" s="135"/>
      <c r="CB725" s="135"/>
      <c r="CC725" s="135"/>
      <c r="CD725" s="135"/>
      <c r="CE725" s="135"/>
      <c r="CF725" s="135"/>
      <c r="CG725" s="135"/>
      <c r="CH725" s="135"/>
      <c r="CI725" s="135"/>
      <c r="CJ725" s="135"/>
      <c r="CK725" s="135"/>
      <c r="CL725" s="135"/>
      <c r="CM725" s="135"/>
      <c r="CN725" s="135"/>
      <c r="CO725" s="135"/>
      <c r="CP725" s="135"/>
      <c r="CQ725" s="135"/>
      <c r="CR725" s="135"/>
      <c r="CS725" s="135"/>
      <c r="CT725" s="135"/>
      <c r="CU725" s="135"/>
      <c r="CV725" s="135"/>
      <c r="CW725" s="135"/>
      <c r="CX725" s="135"/>
      <c r="CY725" s="135"/>
      <c r="CZ725" s="135"/>
      <c r="DA725" s="135"/>
      <c r="DB725" s="135"/>
      <c r="DC725" s="135"/>
      <c r="DD725" s="135"/>
      <c r="DE725" s="135"/>
      <c r="DF725" s="135"/>
      <c r="DG725" s="135"/>
      <c r="DH725" s="135"/>
      <c r="DI725" s="135"/>
      <c r="DJ725" s="135"/>
      <c r="DK725" s="135"/>
      <c r="DL725" s="135"/>
      <c r="DM725" s="135"/>
      <c r="DN725" s="135"/>
      <c r="DO725" s="135"/>
      <c r="DP725" s="135"/>
      <c r="DQ725" s="135"/>
      <c r="DR725" s="135"/>
      <c r="DS725" s="135"/>
      <c r="DT725" s="135"/>
      <c r="DU725" s="135"/>
      <c r="DV725" s="135"/>
      <c r="DW725" s="135"/>
      <c r="DX725" s="135"/>
      <c r="DY725" s="135"/>
      <c r="DZ725" s="135"/>
      <c r="EA725" s="135"/>
      <c r="EB725" s="135"/>
      <c r="EC725" s="135"/>
      <c r="ED725" s="135"/>
      <c r="EE725" s="135"/>
      <c r="EF725" s="135"/>
      <c r="EG725" s="135"/>
      <c r="EH725" s="135"/>
      <c r="EI725" s="135"/>
      <c r="EJ725" s="135"/>
      <c r="EK725" s="135"/>
      <c r="EL725" s="135"/>
      <c r="EM725" s="135"/>
      <c r="EN725" s="135"/>
      <c r="EO725" s="135"/>
      <c r="EP725" s="135"/>
      <c r="EQ725" s="135"/>
      <c r="ER725" s="135"/>
      <c r="ES725" s="135"/>
      <c r="ET725" s="135"/>
      <c r="EU725" s="135"/>
      <c r="EV725" s="135"/>
      <c r="EW725" s="135"/>
      <c r="EX725" s="135"/>
      <c r="EY725" s="135"/>
      <c r="EZ725" s="135"/>
      <c r="FA725" s="135"/>
      <c r="FB725" s="135"/>
      <c r="FC725" s="135"/>
      <c r="FD725" s="135"/>
      <c r="FE725" s="135"/>
      <c r="FF725" s="135"/>
      <c r="FG725" s="135"/>
      <c r="FH725" s="135"/>
      <c r="FI725" s="135"/>
      <c r="FJ725" s="135"/>
      <c r="FK725" s="135"/>
      <c r="FL725" s="135"/>
      <c r="FM725" s="135"/>
      <c r="FN725" s="135"/>
      <c r="FO725" s="135"/>
      <c r="FP725" s="135"/>
      <c r="FQ725" s="135"/>
      <c r="FR725" s="135"/>
      <c r="FS725" s="135"/>
      <c r="FT725" s="135"/>
      <c r="FU725" s="135"/>
      <c r="FV725" s="135"/>
      <c r="FW725" s="135"/>
      <c r="FX725" s="135"/>
      <c r="FY725" s="135"/>
      <c r="FZ725" s="135"/>
      <c r="GA725" s="135"/>
      <c r="GB725" s="135"/>
      <c r="GC725" s="135"/>
      <c r="GD725" s="135"/>
      <c r="GE725" s="135"/>
      <c r="GF725" s="135"/>
      <c r="GG725" s="135"/>
      <c r="GH725" s="135"/>
      <c r="GI725" s="135"/>
      <c r="GJ725" s="135"/>
      <c r="GK725" s="135"/>
      <c r="GL725" s="135"/>
      <c r="GM725" s="135"/>
      <c r="GN725" s="135"/>
      <c r="GO725" s="135"/>
      <c r="GP725" s="135"/>
      <c r="GQ725" s="135"/>
      <c r="GR725" s="135"/>
      <c r="GS725" s="135"/>
      <c r="GT725" s="135"/>
      <c r="GU725" s="135"/>
      <c r="GV725" s="135"/>
      <c r="GW725" s="135"/>
      <c r="GX725" s="135"/>
      <c r="GY725" s="135"/>
      <c r="GZ725" s="135"/>
      <c r="HA725" s="135"/>
      <c r="HB725" s="135"/>
      <c r="HC725" s="135"/>
      <c r="HD725" s="135"/>
      <c r="HE725" s="135"/>
      <c r="HF725" s="135"/>
      <c r="HG725" s="135"/>
      <c r="HH725" s="135"/>
      <c r="HI725" s="135"/>
      <c r="HJ725" s="135"/>
      <c r="HK725" s="135"/>
      <c r="HL725" s="135"/>
      <c r="HM725" s="135"/>
      <c r="HN725" s="135"/>
      <c r="HO725" s="135"/>
      <c r="HP725" s="135"/>
      <c r="HQ725" s="135"/>
      <c r="HR725" s="135"/>
      <c r="HS725" s="135"/>
      <c r="HT725" s="135"/>
      <c r="HU725" s="135"/>
      <c r="HV725" s="135"/>
      <c r="HW725" s="135"/>
      <c r="HX725" s="135"/>
      <c r="HY725" s="135"/>
      <c r="HZ725" s="135"/>
      <c r="IA725" s="135"/>
      <c r="IB725" s="135"/>
      <c r="IC725" s="135"/>
      <c r="ID725" s="135"/>
      <c r="IE725" s="135"/>
      <c r="IF725" s="135"/>
      <c r="IG725" s="135"/>
      <c r="IH725" s="135"/>
      <c r="II725" s="135"/>
      <c r="IJ725" s="135"/>
      <c r="IK725" s="135"/>
      <c r="IL725" s="135"/>
      <c r="IM725" s="135"/>
      <c r="IN725" s="135"/>
      <c r="IO725" s="135"/>
      <c r="IP725" s="135"/>
      <c r="IQ725" s="135"/>
      <c r="IR725" s="135"/>
      <c r="IS725" s="135"/>
      <c r="IT725" s="135"/>
      <c r="IU725" s="135"/>
      <c r="IV725" s="135"/>
      <c r="IW725" s="135"/>
      <c r="IX725" s="135"/>
      <c r="IY725" s="135"/>
      <c r="IZ725" s="135"/>
      <c r="JA725" s="135"/>
      <c r="JB725" s="135"/>
      <c r="JC725" s="135"/>
      <c r="JD725" s="135"/>
      <c r="JE725" s="135"/>
      <c r="JF725" s="135"/>
      <c r="JG725" s="135"/>
      <c r="JH725" s="135"/>
      <c r="JI725" s="135"/>
      <c r="JJ725" s="135"/>
      <c r="JK725" s="135"/>
      <c r="JL725" s="135"/>
      <c r="JM725" s="135"/>
      <c r="JN725" s="135"/>
      <c r="JO725" s="135"/>
      <c r="JP725" s="135"/>
      <c r="JQ725" s="135"/>
      <c r="JR725" s="135"/>
      <c r="JS725" s="135"/>
      <c r="JT725" s="135"/>
      <c r="JU725" s="135"/>
      <c r="JV725" s="135"/>
      <c r="JW725" s="135"/>
      <c r="JX725" s="135"/>
      <c r="JY725" s="135"/>
      <c r="JZ725" s="135"/>
      <c r="KA725" s="135"/>
      <c r="KB725" s="135"/>
      <c r="KC725" s="135"/>
      <c r="KD725" s="135"/>
      <c r="KE725" s="135"/>
      <c r="KF725" s="135"/>
      <c r="KG725" s="135"/>
      <c r="KH725" s="135"/>
      <c r="KI725" s="135"/>
      <c r="KJ725" s="135"/>
      <c r="KK725" s="135"/>
      <c r="KL725" s="135"/>
      <c r="KM725" s="135"/>
      <c r="KN725" s="135"/>
      <c r="KO725" s="135"/>
      <c r="KP725" s="135"/>
      <c r="KQ725" s="135"/>
      <c r="KR725" s="135"/>
      <c r="KS725" s="135"/>
      <c r="KT725" s="135"/>
      <c r="KU725" s="135"/>
      <c r="KV725" s="135"/>
      <c r="KW725" s="135"/>
      <c r="KX725" s="135"/>
      <c r="KY725" s="135"/>
      <c r="KZ725" s="135"/>
      <c r="LA725" s="135"/>
      <c r="LB725" s="135"/>
      <c r="LC725" s="135"/>
      <c r="LD725" s="135"/>
      <c r="LE725" s="135"/>
      <c r="LF725" s="135"/>
      <c r="LG725" s="135"/>
      <c r="LH725" s="135"/>
      <c r="LI725" s="135"/>
      <c r="LJ725" s="135"/>
      <c r="LK725" s="135"/>
      <c r="LL725" s="135"/>
      <c r="LM725" s="135"/>
      <c r="LN725" s="135"/>
      <c r="LO725" s="135"/>
      <c r="LP725" s="135"/>
      <c r="LQ725" s="135"/>
      <c r="LR725" s="135"/>
      <c r="LS725" s="135"/>
      <c r="LT725" s="135"/>
      <c r="LU725" s="135"/>
      <c r="LV725" s="135"/>
      <c r="LW725" s="135"/>
      <c r="LX725" s="135"/>
      <c r="LY725" s="135"/>
      <c r="LZ725" s="135"/>
      <c r="MA725" s="135"/>
      <c r="MB725" s="135"/>
      <c r="MC725" s="135"/>
      <c r="MD725" s="135"/>
      <c r="ME725" s="135"/>
      <c r="MF725" s="135"/>
      <c r="MG725" s="135"/>
      <c r="MH725" s="135"/>
      <c r="MI725" s="135"/>
      <c r="MJ725" s="135"/>
      <c r="MK725" s="135"/>
      <c r="ML725" s="135"/>
      <c r="MM725" s="135"/>
      <c r="MN725" s="135"/>
      <c r="MO725" s="135"/>
      <c r="MP725" s="135"/>
      <c r="MQ725" s="135"/>
      <c r="MR725" s="135"/>
      <c r="MS725" s="135"/>
      <c r="MT725" s="135"/>
      <c r="MU725" s="135"/>
      <c r="MV725" s="135"/>
      <c r="MW725" s="135"/>
      <c r="MX725" s="135"/>
      <c r="MY725" s="135"/>
      <c r="MZ725" s="135"/>
      <c r="NA725" s="135"/>
      <c r="NB725" s="135"/>
      <c r="NC725" s="135"/>
      <c r="ND725" s="135"/>
      <c r="NE725" s="135"/>
      <c r="NF725" s="135"/>
      <c r="NG725" s="135"/>
      <c r="NH725" s="135"/>
      <c r="NI725" s="135"/>
      <c r="NJ725" s="135"/>
      <c r="NK725" s="135"/>
      <c r="NL725" s="135"/>
      <c r="NM725" s="135"/>
      <c r="NN725" s="135"/>
      <c r="NO725" s="135"/>
      <c r="NP725" s="135"/>
      <c r="NQ725" s="135"/>
      <c r="NR725" s="135"/>
      <c r="NS725" s="135"/>
      <c r="NT725" s="135"/>
      <c r="NU725" s="135"/>
      <c r="NV725" s="135"/>
      <c r="NW725" s="135"/>
      <c r="NX725" s="135"/>
      <c r="NY725" s="135"/>
      <c r="NZ725" s="135"/>
      <c r="OA725" s="135"/>
      <c r="OB725" s="135"/>
      <c r="OC725" s="135"/>
      <c r="OD725" s="135"/>
      <c r="OE725" s="135"/>
      <c r="OF725" s="135"/>
      <c r="OG725" s="135"/>
      <c r="OH725" s="135"/>
      <c r="OI725" s="135"/>
      <c r="OJ725" s="135"/>
      <c r="OK725" s="135"/>
      <c r="OL725" s="135"/>
      <c r="OM725" s="135"/>
      <c r="ON725" s="135"/>
      <c r="OO725" s="135"/>
      <c r="OP725" s="135"/>
      <c r="OQ725" s="135"/>
      <c r="OR725" s="135"/>
      <c r="OS725" s="135"/>
      <c r="OT725" s="135"/>
      <c r="OU725" s="135"/>
      <c r="OV725" s="135"/>
      <c r="OW725" s="135"/>
      <c r="OX725" s="135"/>
      <c r="OY725" s="135"/>
      <c r="OZ725" s="135"/>
      <c r="PA725" s="135"/>
      <c r="PB725" s="135"/>
      <c r="PC725" s="135"/>
      <c r="PD725" s="135"/>
      <c r="PE725" s="135"/>
      <c r="PF725" s="135"/>
      <c r="PG725" s="135"/>
      <c r="PH725" s="135"/>
      <c r="PI725" s="135"/>
      <c r="PJ725" s="135"/>
      <c r="PK725" s="135"/>
      <c r="PL725" s="135"/>
      <c r="PM725" s="135"/>
      <c r="PN725" s="135"/>
      <c r="PO725" s="135"/>
      <c r="PP725" s="135"/>
      <c r="PQ725" s="135"/>
      <c r="PR725" s="135"/>
      <c r="PS725" s="135"/>
      <c r="PT725" s="135"/>
      <c r="PU725" s="135"/>
      <c r="PV725" s="135"/>
      <c r="PW725" s="135"/>
      <c r="PX725" s="135"/>
      <c r="PY725" s="135"/>
      <c r="PZ725" s="135"/>
      <c r="QA725" s="135"/>
      <c r="QB725" s="135"/>
      <c r="QC725" s="135"/>
      <c r="QD725" s="135"/>
      <c r="QE725" s="135"/>
      <c r="QF725" s="135"/>
      <c r="QG725" s="135"/>
      <c r="QH725" s="135"/>
      <c r="QI725" s="135"/>
      <c r="QJ725" s="135"/>
      <c r="QK725" s="135"/>
      <c r="QL725" s="135"/>
      <c r="QM725" s="135"/>
      <c r="QN725" s="135"/>
      <c r="QO725" s="135"/>
      <c r="QP725" s="135"/>
      <c r="QQ725" s="135"/>
      <c r="QR725" s="135"/>
      <c r="QS725" s="135"/>
      <c r="QT725" s="135"/>
      <c r="QU725" s="135"/>
      <c r="QV725" s="135"/>
      <c r="QW725" s="135"/>
      <c r="QX725" s="135"/>
      <c r="QY725" s="135"/>
      <c r="QZ725" s="135"/>
      <c r="RA725" s="135"/>
      <c r="RB725" s="135"/>
      <c r="RC725" s="135"/>
      <c r="RD725" s="135"/>
      <c r="RE725" s="135"/>
      <c r="RF725" s="135"/>
      <c r="RG725" s="135"/>
      <c r="RH725" s="135"/>
      <c r="RI725" s="135"/>
      <c r="RJ725" s="135"/>
      <c r="RK725" s="135"/>
      <c r="RL725" s="135"/>
      <c r="RM725" s="135"/>
      <c r="RN725" s="135"/>
      <c r="RO725" s="135"/>
      <c r="RP725" s="135"/>
      <c r="RQ725" s="135"/>
      <c r="RR725" s="135"/>
      <c r="RS725" s="135"/>
      <c r="RT725" s="135"/>
      <c r="RU725" s="135"/>
      <c r="RV725" s="135"/>
      <c r="RW725" s="135"/>
      <c r="RX725" s="135"/>
      <c r="RY725" s="135"/>
      <c r="RZ725" s="135"/>
      <c r="SA725" s="135"/>
      <c r="SB725" s="135"/>
      <c r="SC725" s="135"/>
      <c r="SD725" s="135"/>
      <c r="SE725" s="135"/>
      <c r="SF725" s="135"/>
      <c r="SG725" s="135"/>
      <c r="SH725" s="135"/>
      <c r="SI725" s="135"/>
      <c r="SJ725" s="135"/>
      <c r="SK725" s="135"/>
      <c r="SL725" s="135"/>
      <c r="SM725" s="135"/>
      <c r="SN725" s="135"/>
      <c r="SO725" s="135"/>
      <c r="SP725" s="135"/>
      <c r="SQ725" s="135"/>
      <c r="SR725" s="135"/>
      <c r="SS725" s="135"/>
      <c r="ST725" s="135"/>
      <c r="SU725" s="135"/>
      <c r="SV725" s="135"/>
      <c r="SW725" s="135"/>
      <c r="SX725" s="135"/>
      <c r="SY725" s="135"/>
      <c r="SZ725" s="135"/>
      <c r="TA725" s="135"/>
      <c r="TB725" s="135"/>
      <c r="TC725" s="135"/>
      <c r="TD725" s="135"/>
      <c r="TE725" s="135"/>
      <c r="TF725" s="135"/>
      <c r="TG725" s="135"/>
      <c r="TH725" s="135"/>
      <c r="TI725" s="135"/>
      <c r="TJ725" s="135"/>
      <c r="TK725" s="135"/>
      <c r="TL725" s="135"/>
      <c r="TM725" s="135"/>
      <c r="TN725" s="135"/>
      <c r="TO725" s="135"/>
      <c r="TP725" s="135"/>
      <c r="TQ725" s="135"/>
      <c r="TR725" s="135"/>
      <c r="TS725" s="135"/>
      <c r="TT725" s="135"/>
      <c r="TU725" s="135"/>
      <c r="TV725" s="135"/>
      <c r="TW725" s="135"/>
      <c r="TX725" s="135"/>
      <c r="TY725" s="135"/>
      <c r="TZ725" s="135"/>
      <c r="UA725" s="135"/>
      <c r="UB725" s="135"/>
      <c r="UC725" s="135"/>
      <c r="UD725" s="135"/>
      <c r="UE725" s="135"/>
      <c r="UF725" s="135"/>
      <c r="UG725" s="135"/>
    </row>
    <row r="726" spans="1:553" ht="30.75" customHeight="1">
      <c r="A726" s="356"/>
      <c r="B726" s="385" t="s">
        <v>35</v>
      </c>
      <c r="C726" s="1401" t="s">
        <v>988</v>
      </c>
      <c r="D726" s="1389"/>
      <c r="E726" s="1389"/>
      <c r="F726" s="1390"/>
      <c r="G726" s="386" t="s">
        <v>33</v>
      </c>
      <c r="H726" s="622"/>
      <c r="I726" s="626">
        <f>0.62*2.3*4</f>
        <v>5.7039999999999997</v>
      </c>
      <c r="J726" s="369">
        <v>39000</v>
      </c>
      <c r="K726" s="371"/>
      <c r="L726" s="627">
        <f t="shared" si="114"/>
        <v>222456</v>
      </c>
      <c r="M726" s="549"/>
      <c r="N726" s="549"/>
      <c r="O726" s="366"/>
      <c r="P726" s="385"/>
      <c r="Q726" s="394"/>
      <c r="R726" s="1230"/>
      <c r="S726" s="308"/>
      <c r="T726" s="308"/>
      <c r="U726" s="308"/>
      <c r="V726" s="308"/>
      <c r="W726" s="308"/>
      <c r="X726" s="308"/>
      <c r="Y726" s="308"/>
      <c r="Z726" s="604"/>
      <c r="AA726" s="308"/>
      <c r="AB726" s="308"/>
      <c r="AC726" s="628"/>
      <c r="AD726" s="628"/>
      <c r="AE726" s="628"/>
      <c r="AF726" s="628"/>
      <c r="AG726" s="628"/>
      <c r="AH726" s="629"/>
      <c r="AI726" s="629"/>
      <c r="AJ726" s="629"/>
      <c r="AK726" s="629"/>
      <c r="AL726" s="135"/>
      <c r="AM726" s="135"/>
      <c r="AN726" s="135"/>
      <c r="AO726" s="135"/>
      <c r="AP726" s="135"/>
      <c r="AQ726" s="135"/>
      <c r="AR726" s="135"/>
      <c r="AS726" s="135"/>
      <c r="AT726" s="135"/>
      <c r="AU726" s="135"/>
      <c r="AV726" s="135"/>
      <c r="AW726" s="135"/>
      <c r="AX726" s="135"/>
      <c r="AY726" s="135"/>
      <c r="AZ726" s="135"/>
      <c r="BA726" s="135"/>
      <c r="BB726" s="135"/>
      <c r="BC726" s="135"/>
      <c r="BD726" s="135"/>
      <c r="BE726" s="135"/>
      <c r="BF726" s="135"/>
      <c r="BG726" s="135"/>
      <c r="BH726" s="135"/>
      <c r="BI726" s="135"/>
      <c r="BJ726" s="135"/>
      <c r="BK726" s="135"/>
      <c r="BL726" s="135"/>
      <c r="BM726" s="135"/>
      <c r="BN726" s="135"/>
      <c r="BO726" s="135"/>
      <c r="BP726" s="135"/>
      <c r="BQ726" s="135"/>
      <c r="BR726" s="135"/>
      <c r="BS726" s="135"/>
      <c r="BT726" s="135"/>
      <c r="BU726" s="135"/>
      <c r="BV726" s="135"/>
      <c r="BW726" s="135"/>
      <c r="BX726" s="135"/>
      <c r="BY726" s="135"/>
      <c r="BZ726" s="135"/>
      <c r="CA726" s="135"/>
      <c r="CB726" s="135"/>
      <c r="CC726" s="135"/>
      <c r="CD726" s="135"/>
      <c r="CE726" s="135"/>
      <c r="CF726" s="135"/>
      <c r="CG726" s="135"/>
      <c r="CH726" s="135"/>
      <c r="CI726" s="135"/>
      <c r="CJ726" s="135"/>
      <c r="CK726" s="135"/>
      <c r="CL726" s="135"/>
      <c r="CM726" s="135"/>
      <c r="CN726" s="135"/>
      <c r="CO726" s="135"/>
      <c r="CP726" s="135"/>
      <c r="CQ726" s="135"/>
      <c r="CR726" s="135"/>
      <c r="CS726" s="135"/>
      <c r="CT726" s="135"/>
      <c r="CU726" s="135"/>
      <c r="CV726" s="135"/>
      <c r="CW726" s="135"/>
      <c r="CX726" s="135"/>
      <c r="CY726" s="135"/>
      <c r="CZ726" s="135"/>
      <c r="DA726" s="135"/>
      <c r="DB726" s="135"/>
      <c r="DC726" s="135"/>
      <c r="DD726" s="135"/>
      <c r="DE726" s="135"/>
      <c r="DF726" s="135"/>
      <c r="DG726" s="135"/>
      <c r="DH726" s="135"/>
      <c r="DI726" s="135"/>
      <c r="DJ726" s="135"/>
      <c r="DK726" s="135"/>
      <c r="DL726" s="135"/>
      <c r="DM726" s="135"/>
      <c r="DN726" s="135"/>
      <c r="DO726" s="135"/>
      <c r="DP726" s="135"/>
      <c r="DQ726" s="135"/>
      <c r="DR726" s="135"/>
      <c r="DS726" s="135"/>
      <c r="DT726" s="135"/>
      <c r="DU726" s="135"/>
      <c r="DV726" s="135"/>
      <c r="DW726" s="135"/>
      <c r="DX726" s="135"/>
      <c r="DY726" s="135"/>
      <c r="DZ726" s="135"/>
      <c r="EA726" s="135"/>
      <c r="EB726" s="135"/>
      <c r="EC726" s="135"/>
      <c r="ED726" s="135"/>
      <c r="EE726" s="135"/>
      <c r="EF726" s="135"/>
      <c r="EG726" s="135"/>
      <c r="EH726" s="135"/>
      <c r="EI726" s="135"/>
      <c r="EJ726" s="135"/>
      <c r="EK726" s="135"/>
      <c r="EL726" s="135"/>
      <c r="EM726" s="135"/>
      <c r="EN726" s="135"/>
      <c r="EO726" s="135"/>
      <c r="EP726" s="135"/>
      <c r="EQ726" s="135"/>
      <c r="ER726" s="135"/>
      <c r="ES726" s="135"/>
      <c r="ET726" s="135"/>
      <c r="EU726" s="135"/>
      <c r="EV726" s="135"/>
      <c r="EW726" s="135"/>
      <c r="EX726" s="135"/>
      <c r="EY726" s="135"/>
      <c r="EZ726" s="135"/>
      <c r="FA726" s="135"/>
      <c r="FB726" s="135"/>
      <c r="FC726" s="135"/>
      <c r="FD726" s="135"/>
      <c r="FE726" s="135"/>
      <c r="FF726" s="135"/>
      <c r="FG726" s="135"/>
      <c r="FH726" s="135"/>
      <c r="FI726" s="135"/>
      <c r="FJ726" s="135"/>
      <c r="FK726" s="135"/>
      <c r="FL726" s="135"/>
      <c r="FM726" s="135"/>
      <c r="FN726" s="135"/>
      <c r="FO726" s="135"/>
      <c r="FP726" s="135"/>
      <c r="FQ726" s="135"/>
      <c r="FR726" s="135"/>
      <c r="FS726" s="135"/>
      <c r="FT726" s="135"/>
      <c r="FU726" s="135"/>
      <c r="FV726" s="135"/>
      <c r="FW726" s="135"/>
      <c r="FX726" s="135"/>
      <c r="FY726" s="135"/>
      <c r="FZ726" s="135"/>
      <c r="GA726" s="135"/>
      <c r="GB726" s="135"/>
      <c r="GC726" s="135"/>
      <c r="GD726" s="135"/>
      <c r="GE726" s="135"/>
      <c r="GF726" s="135"/>
      <c r="GG726" s="135"/>
      <c r="GH726" s="135"/>
      <c r="GI726" s="135"/>
      <c r="GJ726" s="135"/>
      <c r="GK726" s="135"/>
      <c r="GL726" s="135"/>
      <c r="GM726" s="135"/>
      <c r="GN726" s="135"/>
      <c r="GO726" s="135"/>
      <c r="GP726" s="135"/>
      <c r="GQ726" s="135"/>
      <c r="GR726" s="135"/>
      <c r="GS726" s="135"/>
      <c r="GT726" s="135"/>
      <c r="GU726" s="135"/>
      <c r="GV726" s="135"/>
      <c r="GW726" s="135"/>
      <c r="GX726" s="135"/>
      <c r="GY726" s="135"/>
      <c r="GZ726" s="135"/>
      <c r="HA726" s="135"/>
      <c r="HB726" s="135"/>
      <c r="HC726" s="135"/>
      <c r="HD726" s="135"/>
      <c r="HE726" s="135"/>
      <c r="HF726" s="135"/>
      <c r="HG726" s="135"/>
      <c r="HH726" s="135"/>
      <c r="HI726" s="135"/>
      <c r="HJ726" s="135"/>
      <c r="HK726" s="135"/>
      <c r="HL726" s="135"/>
      <c r="HM726" s="135"/>
      <c r="HN726" s="135"/>
      <c r="HO726" s="135"/>
      <c r="HP726" s="135"/>
      <c r="HQ726" s="135"/>
      <c r="HR726" s="135"/>
      <c r="HS726" s="135"/>
      <c r="HT726" s="135"/>
      <c r="HU726" s="135"/>
      <c r="HV726" s="135"/>
      <c r="HW726" s="135"/>
      <c r="HX726" s="135"/>
      <c r="HY726" s="135"/>
      <c r="HZ726" s="135"/>
      <c r="IA726" s="135"/>
      <c r="IB726" s="135"/>
      <c r="IC726" s="135"/>
      <c r="ID726" s="135"/>
      <c r="IE726" s="135"/>
      <c r="IF726" s="135"/>
      <c r="IG726" s="135"/>
      <c r="IH726" s="135"/>
      <c r="II726" s="135"/>
      <c r="IJ726" s="135"/>
      <c r="IK726" s="135"/>
      <c r="IL726" s="135"/>
      <c r="IM726" s="135"/>
      <c r="IN726" s="135"/>
      <c r="IO726" s="135"/>
      <c r="IP726" s="135"/>
      <c r="IQ726" s="135"/>
      <c r="IR726" s="135"/>
      <c r="IS726" s="135"/>
      <c r="IT726" s="135"/>
      <c r="IU726" s="135"/>
      <c r="IV726" s="135"/>
      <c r="IW726" s="135"/>
      <c r="IX726" s="135"/>
      <c r="IY726" s="135"/>
      <c r="IZ726" s="135"/>
      <c r="JA726" s="135"/>
      <c r="JB726" s="135"/>
      <c r="JC726" s="135"/>
      <c r="JD726" s="135"/>
      <c r="JE726" s="135"/>
      <c r="JF726" s="135"/>
      <c r="JG726" s="135"/>
      <c r="JH726" s="135"/>
      <c r="JI726" s="135"/>
      <c r="JJ726" s="135"/>
      <c r="JK726" s="135"/>
      <c r="JL726" s="135"/>
      <c r="JM726" s="135"/>
      <c r="JN726" s="135"/>
      <c r="JO726" s="135"/>
      <c r="JP726" s="135"/>
      <c r="JQ726" s="135"/>
      <c r="JR726" s="135"/>
      <c r="JS726" s="135"/>
      <c r="JT726" s="135"/>
      <c r="JU726" s="135"/>
      <c r="JV726" s="135"/>
      <c r="JW726" s="135"/>
      <c r="JX726" s="135"/>
      <c r="JY726" s="135"/>
      <c r="JZ726" s="135"/>
      <c r="KA726" s="135"/>
      <c r="KB726" s="135"/>
      <c r="KC726" s="135"/>
      <c r="KD726" s="135"/>
      <c r="KE726" s="135"/>
      <c r="KF726" s="135"/>
      <c r="KG726" s="135"/>
      <c r="KH726" s="135"/>
      <c r="KI726" s="135"/>
      <c r="KJ726" s="135"/>
      <c r="KK726" s="135"/>
      <c r="KL726" s="135"/>
      <c r="KM726" s="135"/>
      <c r="KN726" s="135"/>
      <c r="KO726" s="135"/>
      <c r="KP726" s="135"/>
      <c r="KQ726" s="135"/>
      <c r="KR726" s="135"/>
      <c r="KS726" s="135"/>
      <c r="KT726" s="135"/>
      <c r="KU726" s="135"/>
      <c r="KV726" s="135"/>
      <c r="KW726" s="135"/>
      <c r="KX726" s="135"/>
      <c r="KY726" s="135"/>
      <c r="KZ726" s="135"/>
      <c r="LA726" s="135"/>
      <c r="LB726" s="135"/>
      <c r="LC726" s="135"/>
      <c r="LD726" s="135"/>
      <c r="LE726" s="135"/>
      <c r="LF726" s="135"/>
      <c r="LG726" s="135"/>
      <c r="LH726" s="135"/>
      <c r="LI726" s="135"/>
      <c r="LJ726" s="135"/>
      <c r="LK726" s="135"/>
      <c r="LL726" s="135"/>
      <c r="LM726" s="135"/>
      <c r="LN726" s="135"/>
      <c r="LO726" s="135"/>
      <c r="LP726" s="135"/>
      <c r="LQ726" s="135"/>
      <c r="LR726" s="135"/>
      <c r="LS726" s="135"/>
      <c r="LT726" s="135"/>
      <c r="LU726" s="135"/>
      <c r="LV726" s="135"/>
      <c r="LW726" s="135"/>
      <c r="LX726" s="135"/>
      <c r="LY726" s="135"/>
      <c r="LZ726" s="135"/>
      <c r="MA726" s="135"/>
      <c r="MB726" s="135"/>
      <c r="MC726" s="135"/>
      <c r="MD726" s="135"/>
      <c r="ME726" s="135"/>
      <c r="MF726" s="135"/>
      <c r="MG726" s="135"/>
      <c r="MH726" s="135"/>
      <c r="MI726" s="135"/>
      <c r="MJ726" s="135"/>
      <c r="MK726" s="135"/>
      <c r="ML726" s="135"/>
      <c r="MM726" s="135"/>
      <c r="MN726" s="135"/>
      <c r="MO726" s="135"/>
      <c r="MP726" s="135"/>
      <c r="MQ726" s="135"/>
      <c r="MR726" s="135"/>
      <c r="MS726" s="135"/>
      <c r="MT726" s="135"/>
      <c r="MU726" s="135"/>
      <c r="MV726" s="135"/>
      <c r="MW726" s="135"/>
      <c r="MX726" s="135"/>
      <c r="MY726" s="135"/>
      <c r="MZ726" s="135"/>
      <c r="NA726" s="135"/>
      <c r="NB726" s="135"/>
      <c r="NC726" s="135"/>
      <c r="ND726" s="135"/>
      <c r="NE726" s="135"/>
      <c r="NF726" s="135"/>
      <c r="NG726" s="135"/>
      <c r="NH726" s="135"/>
      <c r="NI726" s="135"/>
      <c r="NJ726" s="135"/>
      <c r="NK726" s="135"/>
      <c r="NL726" s="135"/>
      <c r="NM726" s="135"/>
      <c r="NN726" s="135"/>
      <c r="NO726" s="135"/>
      <c r="NP726" s="135"/>
      <c r="NQ726" s="135"/>
      <c r="NR726" s="135"/>
      <c r="NS726" s="135"/>
      <c r="NT726" s="135"/>
      <c r="NU726" s="135"/>
      <c r="NV726" s="135"/>
      <c r="NW726" s="135"/>
      <c r="NX726" s="135"/>
      <c r="NY726" s="135"/>
      <c r="NZ726" s="135"/>
      <c r="OA726" s="135"/>
      <c r="OB726" s="135"/>
      <c r="OC726" s="135"/>
      <c r="OD726" s="135"/>
      <c r="OE726" s="135"/>
      <c r="OF726" s="135"/>
      <c r="OG726" s="135"/>
      <c r="OH726" s="135"/>
      <c r="OI726" s="135"/>
      <c r="OJ726" s="135"/>
      <c r="OK726" s="135"/>
      <c r="OL726" s="135"/>
      <c r="OM726" s="135"/>
      <c r="ON726" s="135"/>
      <c r="OO726" s="135"/>
      <c r="OP726" s="135"/>
      <c r="OQ726" s="135"/>
      <c r="OR726" s="135"/>
      <c r="OS726" s="135"/>
      <c r="OT726" s="135"/>
      <c r="OU726" s="135"/>
      <c r="OV726" s="135"/>
      <c r="OW726" s="135"/>
      <c r="OX726" s="135"/>
      <c r="OY726" s="135"/>
      <c r="OZ726" s="135"/>
      <c r="PA726" s="135"/>
      <c r="PB726" s="135"/>
      <c r="PC726" s="135"/>
      <c r="PD726" s="135"/>
      <c r="PE726" s="135"/>
      <c r="PF726" s="135"/>
      <c r="PG726" s="135"/>
      <c r="PH726" s="135"/>
      <c r="PI726" s="135"/>
      <c r="PJ726" s="135"/>
      <c r="PK726" s="135"/>
      <c r="PL726" s="135"/>
      <c r="PM726" s="135"/>
      <c r="PN726" s="135"/>
      <c r="PO726" s="135"/>
      <c r="PP726" s="135"/>
      <c r="PQ726" s="135"/>
      <c r="PR726" s="135"/>
      <c r="PS726" s="135"/>
      <c r="PT726" s="135"/>
      <c r="PU726" s="135"/>
      <c r="PV726" s="135"/>
      <c r="PW726" s="135"/>
      <c r="PX726" s="135"/>
      <c r="PY726" s="135"/>
      <c r="PZ726" s="135"/>
      <c r="QA726" s="135"/>
      <c r="QB726" s="135"/>
      <c r="QC726" s="135"/>
      <c r="QD726" s="135"/>
      <c r="QE726" s="135"/>
      <c r="QF726" s="135"/>
      <c r="QG726" s="135"/>
      <c r="QH726" s="135"/>
      <c r="QI726" s="135"/>
      <c r="QJ726" s="135"/>
      <c r="QK726" s="135"/>
      <c r="QL726" s="135"/>
      <c r="QM726" s="135"/>
      <c r="QN726" s="135"/>
      <c r="QO726" s="135"/>
      <c r="QP726" s="135"/>
      <c r="QQ726" s="135"/>
      <c r="QR726" s="135"/>
      <c r="QS726" s="135"/>
      <c r="QT726" s="135"/>
      <c r="QU726" s="135"/>
      <c r="QV726" s="135"/>
      <c r="QW726" s="135"/>
      <c r="QX726" s="135"/>
      <c r="QY726" s="135"/>
      <c r="QZ726" s="135"/>
      <c r="RA726" s="135"/>
      <c r="RB726" s="135"/>
      <c r="RC726" s="135"/>
      <c r="RD726" s="135"/>
      <c r="RE726" s="135"/>
      <c r="RF726" s="135"/>
      <c r="RG726" s="135"/>
      <c r="RH726" s="135"/>
      <c r="RI726" s="135"/>
      <c r="RJ726" s="135"/>
      <c r="RK726" s="135"/>
      <c r="RL726" s="135"/>
      <c r="RM726" s="135"/>
      <c r="RN726" s="135"/>
      <c r="RO726" s="135"/>
      <c r="RP726" s="135"/>
      <c r="RQ726" s="135"/>
      <c r="RR726" s="135"/>
      <c r="RS726" s="135"/>
      <c r="RT726" s="135"/>
      <c r="RU726" s="135"/>
      <c r="RV726" s="135"/>
      <c r="RW726" s="135"/>
      <c r="RX726" s="135"/>
      <c r="RY726" s="135"/>
      <c r="RZ726" s="135"/>
      <c r="SA726" s="135"/>
      <c r="SB726" s="135"/>
      <c r="SC726" s="135"/>
      <c r="SD726" s="135"/>
      <c r="SE726" s="135"/>
      <c r="SF726" s="135"/>
      <c r="SG726" s="135"/>
      <c r="SH726" s="135"/>
      <c r="SI726" s="135"/>
      <c r="SJ726" s="135"/>
      <c r="SK726" s="135"/>
      <c r="SL726" s="135"/>
      <c r="SM726" s="135"/>
      <c r="SN726" s="135"/>
      <c r="SO726" s="135"/>
      <c r="SP726" s="135"/>
      <c r="SQ726" s="135"/>
      <c r="SR726" s="135"/>
      <c r="SS726" s="135"/>
      <c r="ST726" s="135"/>
      <c r="SU726" s="135"/>
      <c r="SV726" s="135"/>
      <c r="SW726" s="135"/>
      <c r="SX726" s="135"/>
      <c r="SY726" s="135"/>
      <c r="SZ726" s="135"/>
      <c r="TA726" s="135"/>
      <c r="TB726" s="135"/>
      <c r="TC726" s="135"/>
      <c r="TD726" s="135"/>
      <c r="TE726" s="135"/>
      <c r="TF726" s="135"/>
      <c r="TG726" s="135"/>
      <c r="TH726" s="135"/>
      <c r="TI726" s="135"/>
      <c r="TJ726" s="135"/>
      <c r="TK726" s="135"/>
      <c r="TL726" s="135"/>
      <c r="TM726" s="135"/>
      <c r="TN726" s="135"/>
      <c r="TO726" s="135"/>
      <c r="TP726" s="135"/>
      <c r="TQ726" s="135"/>
      <c r="TR726" s="135"/>
      <c r="TS726" s="135"/>
      <c r="TT726" s="135"/>
      <c r="TU726" s="135"/>
      <c r="TV726" s="135"/>
      <c r="TW726" s="135"/>
      <c r="TX726" s="135"/>
      <c r="TY726" s="135"/>
      <c r="TZ726" s="135"/>
      <c r="UA726" s="135"/>
      <c r="UB726" s="135"/>
      <c r="UC726" s="135"/>
      <c r="UD726" s="135"/>
      <c r="UE726" s="135"/>
      <c r="UF726" s="135"/>
      <c r="UG726" s="135"/>
    </row>
    <row r="727" spans="1:553" ht="30.75" customHeight="1">
      <c r="A727" s="356"/>
      <c r="B727" s="385" t="s">
        <v>35</v>
      </c>
      <c r="C727" s="1401" t="s">
        <v>987</v>
      </c>
      <c r="D727" s="1389"/>
      <c r="E727" s="1389"/>
      <c r="F727" s="1390"/>
      <c r="G727" s="386" t="s">
        <v>33</v>
      </c>
      <c r="H727" s="622"/>
      <c r="I727" s="626">
        <f>0.54*2.5*18</f>
        <v>24.3</v>
      </c>
      <c r="J727" s="369">
        <v>39000</v>
      </c>
      <c r="K727" s="371"/>
      <c r="L727" s="627">
        <f t="shared" si="114"/>
        <v>947700</v>
      </c>
      <c r="M727" s="549"/>
      <c r="N727" s="549"/>
      <c r="O727" s="366"/>
      <c r="P727" s="385"/>
      <c r="Q727" s="394"/>
      <c r="R727" s="1230"/>
      <c r="S727" s="308"/>
      <c r="T727" s="308"/>
      <c r="U727" s="308"/>
      <c r="V727" s="308"/>
      <c r="W727" s="308"/>
      <c r="X727" s="308"/>
      <c r="Y727" s="308"/>
      <c r="Z727" s="604"/>
      <c r="AA727" s="308"/>
      <c r="AB727" s="308"/>
      <c r="AC727" s="628"/>
      <c r="AD727" s="628"/>
      <c r="AE727" s="628"/>
      <c r="AF727" s="628"/>
      <c r="AG727" s="628"/>
      <c r="AH727" s="629"/>
      <c r="AI727" s="629"/>
      <c r="AJ727" s="629"/>
      <c r="AK727" s="629"/>
      <c r="AL727" s="135"/>
      <c r="AM727" s="135"/>
      <c r="AN727" s="135"/>
      <c r="AO727" s="135"/>
      <c r="AP727" s="135"/>
      <c r="AQ727" s="135"/>
      <c r="AR727" s="135"/>
      <c r="AS727" s="135"/>
      <c r="AT727" s="135"/>
      <c r="AU727" s="135"/>
      <c r="AV727" s="135"/>
      <c r="AW727" s="135"/>
      <c r="AX727" s="135"/>
      <c r="AY727" s="135"/>
      <c r="AZ727" s="135"/>
      <c r="BA727" s="135"/>
      <c r="BB727" s="135"/>
      <c r="BC727" s="135"/>
      <c r="BD727" s="135"/>
      <c r="BE727" s="135"/>
      <c r="BF727" s="135"/>
      <c r="BG727" s="135"/>
      <c r="BH727" s="135"/>
      <c r="BI727" s="135"/>
      <c r="BJ727" s="135"/>
      <c r="BK727" s="135"/>
      <c r="BL727" s="135"/>
      <c r="BM727" s="135"/>
      <c r="BN727" s="135"/>
      <c r="BO727" s="135"/>
      <c r="BP727" s="135"/>
      <c r="BQ727" s="135"/>
      <c r="BR727" s="135"/>
      <c r="BS727" s="135"/>
      <c r="BT727" s="135"/>
      <c r="BU727" s="135"/>
      <c r="BV727" s="135"/>
      <c r="BW727" s="135"/>
      <c r="BX727" s="135"/>
      <c r="BY727" s="135"/>
      <c r="BZ727" s="135"/>
      <c r="CA727" s="135"/>
      <c r="CB727" s="135"/>
      <c r="CC727" s="135"/>
      <c r="CD727" s="135"/>
      <c r="CE727" s="135"/>
      <c r="CF727" s="135"/>
      <c r="CG727" s="135"/>
      <c r="CH727" s="135"/>
      <c r="CI727" s="135"/>
      <c r="CJ727" s="135"/>
      <c r="CK727" s="135"/>
      <c r="CL727" s="135"/>
      <c r="CM727" s="135"/>
      <c r="CN727" s="135"/>
      <c r="CO727" s="135"/>
      <c r="CP727" s="135"/>
      <c r="CQ727" s="135"/>
      <c r="CR727" s="135"/>
      <c r="CS727" s="135"/>
      <c r="CT727" s="135"/>
      <c r="CU727" s="135"/>
      <c r="CV727" s="135"/>
      <c r="CW727" s="135"/>
      <c r="CX727" s="135"/>
      <c r="CY727" s="135"/>
      <c r="CZ727" s="135"/>
      <c r="DA727" s="135"/>
      <c r="DB727" s="135"/>
      <c r="DC727" s="135"/>
      <c r="DD727" s="135"/>
      <c r="DE727" s="135"/>
      <c r="DF727" s="135"/>
      <c r="DG727" s="135"/>
      <c r="DH727" s="135"/>
      <c r="DI727" s="135"/>
      <c r="DJ727" s="135"/>
      <c r="DK727" s="135"/>
      <c r="DL727" s="135"/>
      <c r="DM727" s="135"/>
      <c r="DN727" s="135"/>
      <c r="DO727" s="135"/>
      <c r="DP727" s="135"/>
      <c r="DQ727" s="135"/>
      <c r="DR727" s="135"/>
      <c r="DS727" s="135"/>
      <c r="DT727" s="135"/>
      <c r="DU727" s="135"/>
      <c r="DV727" s="135"/>
      <c r="DW727" s="135"/>
      <c r="DX727" s="135"/>
      <c r="DY727" s="135"/>
      <c r="DZ727" s="135"/>
      <c r="EA727" s="135"/>
      <c r="EB727" s="135"/>
      <c r="EC727" s="135"/>
      <c r="ED727" s="135"/>
      <c r="EE727" s="135"/>
      <c r="EF727" s="135"/>
      <c r="EG727" s="135"/>
      <c r="EH727" s="135"/>
      <c r="EI727" s="135"/>
      <c r="EJ727" s="135"/>
      <c r="EK727" s="135"/>
      <c r="EL727" s="135"/>
      <c r="EM727" s="135"/>
      <c r="EN727" s="135"/>
      <c r="EO727" s="135"/>
      <c r="EP727" s="135"/>
      <c r="EQ727" s="135"/>
      <c r="ER727" s="135"/>
      <c r="ES727" s="135"/>
      <c r="ET727" s="135"/>
      <c r="EU727" s="135"/>
      <c r="EV727" s="135"/>
      <c r="EW727" s="135"/>
      <c r="EX727" s="135"/>
      <c r="EY727" s="135"/>
      <c r="EZ727" s="135"/>
      <c r="FA727" s="135"/>
      <c r="FB727" s="135"/>
      <c r="FC727" s="135"/>
      <c r="FD727" s="135"/>
      <c r="FE727" s="135"/>
      <c r="FF727" s="135"/>
      <c r="FG727" s="135"/>
      <c r="FH727" s="135"/>
      <c r="FI727" s="135"/>
      <c r="FJ727" s="135"/>
      <c r="FK727" s="135"/>
      <c r="FL727" s="135"/>
      <c r="FM727" s="135"/>
      <c r="FN727" s="135"/>
      <c r="FO727" s="135"/>
      <c r="FP727" s="135"/>
      <c r="FQ727" s="135"/>
      <c r="FR727" s="135"/>
      <c r="FS727" s="135"/>
      <c r="FT727" s="135"/>
      <c r="FU727" s="135"/>
      <c r="FV727" s="135"/>
      <c r="FW727" s="135"/>
      <c r="FX727" s="135"/>
      <c r="FY727" s="135"/>
      <c r="FZ727" s="135"/>
      <c r="GA727" s="135"/>
      <c r="GB727" s="135"/>
      <c r="GC727" s="135"/>
      <c r="GD727" s="135"/>
      <c r="GE727" s="135"/>
      <c r="GF727" s="135"/>
      <c r="GG727" s="135"/>
      <c r="GH727" s="135"/>
      <c r="GI727" s="135"/>
      <c r="GJ727" s="135"/>
      <c r="GK727" s="135"/>
      <c r="GL727" s="135"/>
      <c r="GM727" s="135"/>
      <c r="GN727" s="135"/>
      <c r="GO727" s="135"/>
      <c r="GP727" s="135"/>
      <c r="GQ727" s="135"/>
      <c r="GR727" s="135"/>
      <c r="GS727" s="135"/>
      <c r="GT727" s="135"/>
      <c r="GU727" s="135"/>
      <c r="GV727" s="135"/>
      <c r="GW727" s="135"/>
      <c r="GX727" s="135"/>
      <c r="GY727" s="135"/>
      <c r="GZ727" s="135"/>
      <c r="HA727" s="135"/>
      <c r="HB727" s="135"/>
      <c r="HC727" s="135"/>
      <c r="HD727" s="135"/>
      <c r="HE727" s="135"/>
      <c r="HF727" s="135"/>
      <c r="HG727" s="135"/>
      <c r="HH727" s="135"/>
      <c r="HI727" s="135"/>
      <c r="HJ727" s="135"/>
      <c r="HK727" s="135"/>
      <c r="HL727" s="135"/>
      <c r="HM727" s="135"/>
      <c r="HN727" s="135"/>
      <c r="HO727" s="135"/>
      <c r="HP727" s="135"/>
      <c r="HQ727" s="135"/>
      <c r="HR727" s="135"/>
      <c r="HS727" s="135"/>
      <c r="HT727" s="135"/>
      <c r="HU727" s="135"/>
      <c r="HV727" s="135"/>
      <c r="HW727" s="135"/>
      <c r="HX727" s="135"/>
      <c r="HY727" s="135"/>
      <c r="HZ727" s="135"/>
      <c r="IA727" s="135"/>
      <c r="IB727" s="135"/>
      <c r="IC727" s="135"/>
      <c r="ID727" s="135"/>
      <c r="IE727" s="135"/>
      <c r="IF727" s="135"/>
      <c r="IG727" s="135"/>
      <c r="IH727" s="135"/>
      <c r="II727" s="135"/>
      <c r="IJ727" s="135"/>
      <c r="IK727" s="135"/>
      <c r="IL727" s="135"/>
      <c r="IM727" s="135"/>
      <c r="IN727" s="135"/>
      <c r="IO727" s="135"/>
      <c r="IP727" s="135"/>
      <c r="IQ727" s="135"/>
      <c r="IR727" s="135"/>
      <c r="IS727" s="135"/>
      <c r="IT727" s="135"/>
      <c r="IU727" s="135"/>
      <c r="IV727" s="135"/>
      <c r="IW727" s="135"/>
      <c r="IX727" s="135"/>
      <c r="IY727" s="135"/>
      <c r="IZ727" s="135"/>
      <c r="JA727" s="135"/>
      <c r="JB727" s="135"/>
      <c r="JC727" s="135"/>
      <c r="JD727" s="135"/>
      <c r="JE727" s="135"/>
      <c r="JF727" s="135"/>
      <c r="JG727" s="135"/>
      <c r="JH727" s="135"/>
      <c r="JI727" s="135"/>
      <c r="JJ727" s="135"/>
      <c r="JK727" s="135"/>
      <c r="JL727" s="135"/>
      <c r="JM727" s="135"/>
      <c r="JN727" s="135"/>
      <c r="JO727" s="135"/>
      <c r="JP727" s="135"/>
      <c r="JQ727" s="135"/>
      <c r="JR727" s="135"/>
      <c r="JS727" s="135"/>
      <c r="JT727" s="135"/>
      <c r="JU727" s="135"/>
      <c r="JV727" s="135"/>
      <c r="JW727" s="135"/>
      <c r="JX727" s="135"/>
      <c r="JY727" s="135"/>
      <c r="JZ727" s="135"/>
      <c r="KA727" s="135"/>
      <c r="KB727" s="135"/>
      <c r="KC727" s="135"/>
      <c r="KD727" s="135"/>
      <c r="KE727" s="135"/>
      <c r="KF727" s="135"/>
      <c r="KG727" s="135"/>
      <c r="KH727" s="135"/>
      <c r="KI727" s="135"/>
      <c r="KJ727" s="135"/>
      <c r="KK727" s="135"/>
      <c r="KL727" s="135"/>
      <c r="KM727" s="135"/>
      <c r="KN727" s="135"/>
      <c r="KO727" s="135"/>
      <c r="KP727" s="135"/>
      <c r="KQ727" s="135"/>
      <c r="KR727" s="135"/>
      <c r="KS727" s="135"/>
      <c r="KT727" s="135"/>
      <c r="KU727" s="135"/>
      <c r="KV727" s="135"/>
      <c r="KW727" s="135"/>
      <c r="KX727" s="135"/>
      <c r="KY727" s="135"/>
      <c r="KZ727" s="135"/>
      <c r="LA727" s="135"/>
      <c r="LB727" s="135"/>
      <c r="LC727" s="135"/>
      <c r="LD727" s="135"/>
      <c r="LE727" s="135"/>
      <c r="LF727" s="135"/>
      <c r="LG727" s="135"/>
      <c r="LH727" s="135"/>
      <c r="LI727" s="135"/>
      <c r="LJ727" s="135"/>
      <c r="LK727" s="135"/>
      <c r="LL727" s="135"/>
      <c r="LM727" s="135"/>
      <c r="LN727" s="135"/>
      <c r="LO727" s="135"/>
      <c r="LP727" s="135"/>
      <c r="LQ727" s="135"/>
      <c r="LR727" s="135"/>
      <c r="LS727" s="135"/>
      <c r="LT727" s="135"/>
      <c r="LU727" s="135"/>
      <c r="LV727" s="135"/>
      <c r="LW727" s="135"/>
      <c r="LX727" s="135"/>
      <c r="LY727" s="135"/>
      <c r="LZ727" s="135"/>
      <c r="MA727" s="135"/>
      <c r="MB727" s="135"/>
      <c r="MC727" s="135"/>
      <c r="MD727" s="135"/>
      <c r="ME727" s="135"/>
      <c r="MF727" s="135"/>
      <c r="MG727" s="135"/>
      <c r="MH727" s="135"/>
      <c r="MI727" s="135"/>
      <c r="MJ727" s="135"/>
      <c r="MK727" s="135"/>
      <c r="ML727" s="135"/>
      <c r="MM727" s="135"/>
      <c r="MN727" s="135"/>
      <c r="MO727" s="135"/>
      <c r="MP727" s="135"/>
      <c r="MQ727" s="135"/>
      <c r="MR727" s="135"/>
      <c r="MS727" s="135"/>
      <c r="MT727" s="135"/>
      <c r="MU727" s="135"/>
      <c r="MV727" s="135"/>
      <c r="MW727" s="135"/>
      <c r="MX727" s="135"/>
      <c r="MY727" s="135"/>
      <c r="MZ727" s="135"/>
      <c r="NA727" s="135"/>
      <c r="NB727" s="135"/>
      <c r="NC727" s="135"/>
      <c r="ND727" s="135"/>
      <c r="NE727" s="135"/>
      <c r="NF727" s="135"/>
      <c r="NG727" s="135"/>
      <c r="NH727" s="135"/>
      <c r="NI727" s="135"/>
      <c r="NJ727" s="135"/>
      <c r="NK727" s="135"/>
      <c r="NL727" s="135"/>
      <c r="NM727" s="135"/>
      <c r="NN727" s="135"/>
      <c r="NO727" s="135"/>
      <c r="NP727" s="135"/>
      <c r="NQ727" s="135"/>
      <c r="NR727" s="135"/>
      <c r="NS727" s="135"/>
      <c r="NT727" s="135"/>
      <c r="NU727" s="135"/>
      <c r="NV727" s="135"/>
      <c r="NW727" s="135"/>
      <c r="NX727" s="135"/>
      <c r="NY727" s="135"/>
      <c r="NZ727" s="135"/>
      <c r="OA727" s="135"/>
      <c r="OB727" s="135"/>
      <c r="OC727" s="135"/>
      <c r="OD727" s="135"/>
      <c r="OE727" s="135"/>
      <c r="OF727" s="135"/>
      <c r="OG727" s="135"/>
      <c r="OH727" s="135"/>
      <c r="OI727" s="135"/>
      <c r="OJ727" s="135"/>
      <c r="OK727" s="135"/>
      <c r="OL727" s="135"/>
      <c r="OM727" s="135"/>
      <c r="ON727" s="135"/>
      <c r="OO727" s="135"/>
      <c r="OP727" s="135"/>
      <c r="OQ727" s="135"/>
      <c r="OR727" s="135"/>
      <c r="OS727" s="135"/>
      <c r="OT727" s="135"/>
      <c r="OU727" s="135"/>
      <c r="OV727" s="135"/>
      <c r="OW727" s="135"/>
      <c r="OX727" s="135"/>
      <c r="OY727" s="135"/>
      <c r="OZ727" s="135"/>
      <c r="PA727" s="135"/>
      <c r="PB727" s="135"/>
      <c r="PC727" s="135"/>
      <c r="PD727" s="135"/>
      <c r="PE727" s="135"/>
      <c r="PF727" s="135"/>
      <c r="PG727" s="135"/>
      <c r="PH727" s="135"/>
      <c r="PI727" s="135"/>
      <c r="PJ727" s="135"/>
      <c r="PK727" s="135"/>
      <c r="PL727" s="135"/>
      <c r="PM727" s="135"/>
      <c r="PN727" s="135"/>
      <c r="PO727" s="135"/>
      <c r="PP727" s="135"/>
      <c r="PQ727" s="135"/>
      <c r="PR727" s="135"/>
      <c r="PS727" s="135"/>
      <c r="PT727" s="135"/>
      <c r="PU727" s="135"/>
      <c r="PV727" s="135"/>
      <c r="PW727" s="135"/>
      <c r="PX727" s="135"/>
      <c r="PY727" s="135"/>
      <c r="PZ727" s="135"/>
      <c r="QA727" s="135"/>
      <c r="QB727" s="135"/>
      <c r="QC727" s="135"/>
      <c r="QD727" s="135"/>
      <c r="QE727" s="135"/>
      <c r="QF727" s="135"/>
      <c r="QG727" s="135"/>
      <c r="QH727" s="135"/>
      <c r="QI727" s="135"/>
      <c r="QJ727" s="135"/>
      <c r="QK727" s="135"/>
      <c r="QL727" s="135"/>
      <c r="QM727" s="135"/>
      <c r="QN727" s="135"/>
      <c r="QO727" s="135"/>
      <c r="QP727" s="135"/>
      <c r="QQ727" s="135"/>
      <c r="QR727" s="135"/>
      <c r="QS727" s="135"/>
      <c r="QT727" s="135"/>
      <c r="QU727" s="135"/>
      <c r="QV727" s="135"/>
      <c r="QW727" s="135"/>
      <c r="QX727" s="135"/>
      <c r="QY727" s="135"/>
      <c r="QZ727" s="135"/>
      <c r="RA727" s="135"/>
      <c r="RB727" s="135"/>
      <c r="RC727" s="135"/>
      <c r="RD727" s="135"/>
      <c r="RE727" s="135"/>
      <c r="RF727" s="135"/>
      <c r="RG727" s="135"/>
      <c r="RH727" s="135"/>
      <c r="RI727" s="135"/>
      <c r="RJ727" s="135"/>
      <c r="RK727" s="135"/>
      <c r="RL727" s="135"/>
      <c r="RM727" s="135"/>
      <c r="RN727" s="135"/>
      <c r="RO727" s="135"/>
      <c r="RP727" s="135"/>
      <c r="RQ727" s="135"/>
      <c r="RR727" s="135"/>
      <c r="RS727" s="135"/>
      <c r="RT727" s="135"/>
      <c r="RU727" s="135"/>
      <c r="RV727" s="135"/>
      <c r="RW727" s="135"/>
      <c r="RX727" s="135"/>
      <c r="RY727" s="135"/>
      <c r="RZ727" s="135"/>
      <c r="SA727" s="135"/>
      <c r="SB727" s="135"/>
      <c r="SC727" s="135"/>
      <c r="SD727" s="135"/>
      <c r="SE727" s="135"/>
      <c r="SF727" s="135"/>
      <c r="SG727" s="135"/>
      <c r="SH727" s="135"/>
      <c r="SI727" s="135"/>
      <c r="SJ727" s="135"/>
      <c r="SK727" s="135"/>
      <c r="SL727" s="135"/>
      <c r="SM727" s="135"/>
      <c r="SN727" s="135"/>
      <c r="SO727" s="135"/>
      <c r="SP727" s="135"/>
      <c r="SQ727" s="135"/>
      <c r="SR727" s="135"/>
      <c r="SS727" s="135"/>
      <c r="ST727" s="135"/>
      <c r="SU727" s="135"/>
      <c r="SV727" s="135"/>
      <c r="SW727" s="135"/>
      <c r="SX727" s="135"/>
      <c r="SY727" s="135"/>
      <c r="SZ727" s="135"/>
      <c r="TA727" s="135"/>
      <c r="TB727" s="135"/>
      <c r="TC727" s="135"/>
      <c r="TD727" s="135"/>
      <c r="TE727" s="135"/>
      <c r="TF727" s="135"/>
      <c r="TG727" s="135"/>
      <c r="TH727" s="135"/>
      <c r="TI727" s="135"/>
      <c r="TJ727" s="135"/>
      <c r="TK727" s="135"/>
      <c r="TL727" s="135"/>
      <c r="TM727" s="135"/>
      <c r="TN727" s="135"/>
      <c r="TO727" s="135"/>
      <c r="TP727" s="135"/>
      <c r="TQ727" s="135"/>
      <c r="TR727" s="135"/>
      <c r="TS727" s="135"/>
      <c r="TT727" s="135"/>
      <c r="TU727" s="135"/>
      <c r="TV727" s="135"/>
      <c r="TW727" s="135"/>
      <c r="TX727" s="135"/>
      <c r="TY727" s="135"/>
      <c r="TZ727" s="135"/>
      <c r="UA727" s="135"/>
      <c r="UB727" s="135"/>
      <c r="UC727" s="135"/>
      <c r="UD727" s="135"/>
      <c r="UE727" s="135"/>
      <c r="UF727" s="135"/>
      <c r="UG727" s="135"/>
    </row>
    <row r="728" spans="1:553" ht="30.75" customHeight="1">
      <c r="A728" s="356"/>
      <c r="B728" s="385" t="s">
        <v>35</v>
      </c>
      <c r="C728" s="1401" t="s">
        <v>986</v>
      </c>
      <c r="D728" s="1389"/>
      <c r="E728" s="1389"/>
      <c r="F728" s="1390"/>
      <c r="G728" s="386" t="s">
        <v>33</v>
      </c>
      <c r="H728" s="622"/>
      <c r="I728" s="626">
        <f>0.54*12*7</f>
        <v>45.36</v>
      </c>
      <c r="J728" s="369">
        <v>39000</v>
      </c>
      <c r="K728" s="371"/>
      <c r="L728" s="627">
        <f t="shared" si="114"/>
        <v>1769040</v>
      </c>
      <c r="M728" s="549"/>
      <c r="N728" s="549"/>
      <c r="O728" s="366"/>
      <c r="P728" s="385"/>
      <c r="Q728" s="394"/>
      <c r="R728" s="1230"/>
      <c r="S728" s="308"/>
      <c r="T728" s="308"/>
      <c r="U728" s="308"/>
      <c r="V728" s="308"/>
      <c r="W728" s="308"/>
      <c r="X728" s="308"/>
      <c r="Y728" s="308"/>
      <c r="Z728" s="604"/>
      <c r="AA728" s="308"/>
      <c r="AB728" s="308"/>
      <c r="AC728" s="628"/>
      <c r="AD728" s="628"/>
      <c r="AE728" s="628"/>
      <c r="AF728" s="628"/>
      <c r="AG728" s="628"/>
      <c r="AH728" s="629"/>
      <c r="AI728" s="629"/>
      <c r="AJ728" s="629"/>
      <c r="AK728" s="629"/>
      <c r="AL728" s="135"/>
      <c r="AM728" s="135"/>
      <c r="AN728" s="135"/>
      <c r="AO728" s="135"/>
      <c r="AP728" s="135"/>
      <c r="AQ728" s="135"/>
      <c r="AR728" s="135"/>
      <c r="AS728" s="135"/>
      <c r="AT728" s="135"/>
      <c r="AU728" s="135"/>
      <c r="AV728" s="135"/>
      <c r="AW728" s="135"/>
      <c r="AX728" s="135"/>
      <c r="AY728" s="135"/>
      <c r="AZ728" s="135"/>
      <c r="BA728" s="135"/>
      <c r="BB728" s="135"/>
      <c r="BC728" s="135"/>
      <c r="BD728" s="135"/>
      <c r="BE728" s="135"/>
      <c r="BF728" s="135"/>
      <c r="BG728" s="135"/>
      <c r="BH728" s="135"/>
      <c r="BI728" s="135"/>
      <c r="BJ728" s="135"/>
      <c r="BK728" s="135"/>
      <c r="BL728" s="135"/>
      <c r="BM728" s="135"/>
      <c r="BN728" s="135"/>
      <c r="BO728" s="135"/>
      <c r="BP728" s="135"/>
      <c r="BQ728" s="135"/>
      <c r="BR728" s="135"/>
      <c r="BS728" s="135"/>
      <c r="BT728" s="135"/>
      <c r="BU728" s="135"/>
      <c r="BV728" s="135"/>
      <c r="BW728" s="135"/>
      <c r="BX728" s="135"/>
      <c r="BY728" s="135"/>
      <c r="BZ728" s="135"/>
      <c r="CA728" s="135"/>
      <c r="CB728" s="135"/>
      <c r="CC728" s="135"/>
      <c r="CD728" s="135"/>
      <c r="CE728" s="135"/>
      <c r="CF728" s="135"/>
      <c r="CG728" s="135"/>
      <c r="CH728" s="135"/>
      <c r="CI728" s="135"/>
      <c r="CJ728" s="135"/>
      <c r="CK728" s="135"/>
      <c r="CL728" s="135"/>
      <c r="CM728" s="135"/>
      <c r="CN728" s="135"/>
      <c r="CO728" s="135"/>
      <c r="CP728" s="135"/>
      <c r="CQ728" s="135"/>
      <c r="CR728" s="135"/>
      <c r="CS728" s="135"/>
      <c r="CT728" s="135"/>
      <c r="CU728" s="135"/>
      <c r="CV728" s="135"/>
      <c r="CW728" s="135"/>
      <c r="CX728" s="135"/>
      <c r="CY728" s="135"/>
      <c r="CZ728" s="135"/>
      <c r="DA728" s="135"/>
      <c r="DB728" s="135"/>
      <c r="DC728" s="135"/>
      <c r="DD728" s="135"/>
      <c r="DE728" s="135"/>
      <c r="DF728" s="135"/>
      <c r="DG728" s="135"/>
      <c r="DH728" s="135"/>
      <c r="DI728" s="135"/>
      <c r="DJ728" s="135"/>
      <c r="DK728" s="135"/>
      <c r="DL728" s="135"/>
      <c r="DM728" s="135"/>
      <c r="DN728" s="135"/>
      <c r="DO728" s="135"/>
      <c r="DP728" s="135"/>
      <c r="DQ728" s="135"/>
      <c r="DR728" s="135"/>
      <c r="DS728" s="135"/>
      <c r="DT728" s="135"/>
      <c r="DU728" s="135"/>
      <c r="DV728" s="135"/>
      <c r="DW728" s="135"/>
      <c r="DX728" s="135"/>
      <c r="DY728" s="135"/>
      <c r="DZ728" s="135"/>
      <c r="EA728" s="135"/>
      <c r="EB728" s="135"/>
      <c r="EC728" s="135"/>
      <c r="ED728" s="135"/>
      <c r="EE728" s="135"/>
      <c r="EF728" s="135"/>
      <c r="EG728" s="135"/>
      <c r="EH728" s="135"/>
      <c r="EI728" s="135"/>
      <c r="EJ728" s="135"/>
      <c r="EK728" s="135"/>
      <c r="EL728" s="135"/>
      <c r="EM728" s="135"/>
      <c r="EN728" s="135"/>
      <c r="EO728" s="135"/>
      <c r="EP728" s="135"/>
      <c r="EQ728" s="135"/>
      <c r="ER728" s="135"/>
      <c r="ES728" s="135"/>
      <c r="ET728" s="135"/>
      <c r="EU728" s="135"/>
      <c r="EV728" s="135"/>
      <c r="EW728" s="135"/>
      <c r="EX728" s="135"/>
      <c r="EY728" s="135"/>
      <c r="EZ728" s="135"/>
      <c r="FA728" s="135"/>
      <c r="FB728" s="135"/>
      <c r="FC728" s="135"/>
      <c r="FD728" s="135"/>
      <c r="FE728" s="135"/>
      <c r="FF728" s="135"/>
      <c r="FG728" s="135"/>
      <c r="FH728" s="135"/>
      <c r="FI728" s="135"/>
      <c r="FJ728" s="135"/>
      <c r="FK728" s="135"/>
      <c r="FL728" s="135"/>
      <c r="FM728" s="135"/>
      <c r="FN728" s="135"/>
      <c r="FO728" s="135"/>
      <c r="FP728" s="135"/>
      <c r="FQ728" s="135"/>
      <c r="FR728" s="135"/>
      <c r="FS728" s="135"/>
      <c r="FT728" s="135"/>
      <c r="FU728" s="135"/>
      <c r="FV728" s="135"/>
      <c r="FW728" s="135"/>
      <c r="FX728" s="135"/>
      <c r="FY728" s="135"/>
      <c r="FZ728" s="135"/>
      <c r="GA728" s="135"/>
      <c r="GB728" s="135"/>
      <c r="GC728" s="135"/>
      <c r="GD728" s="135"/>
      <c r="GE728" s="135"/>
      <c r="GF728" s="135"/>
      <c r="GG728" s="135"/>
      <c r="GH728" s="135"/>
      <c r="GI728" s="135"/>
      <c r="GJ728" s="135"/>
      <c r="GK728" s="135"/>
      <c r="GL728" s="135"/>
      <c r="GM728" s="135"/>
      <c r="GN728" s="135"/>
      <c r="GO728" s="135"/>
      <c r="GP728" s="135"/>
      <c r="GQ728" s="135"/>
      <c r="GR728" s="135"/>
      <c r="GS728" s="135"/>
      <c r="GT728" s="135"/>
      <c r="GU728" s="135"/>
      <c r="GV728" s="135"/>
      <c r="GW728" s="135"/>
      <c r="GX728" s="135"/>
      <c r="GY728" s="135"/>
      <c r="GZ728" s="135"/>
      <c r="HA728" s="135"/>
      <c r="HB728" s="135"/>
      <c r="HC728" s="135"/>
      <c r="HD728" s="135"/>
      <c r="HE728" s="135"/>
      <c r="HF728" s="135"/>
      <c r="HG728" s="135"/>
      <c r="HH728" s="135"/>
      <c r="HI728" s="135"/>
      <c r="HJ728" s="135"/>
      <c r="HK728" s="135"/>
      <c r="HL728" s="135"/>
      <c r="HM728" s="135"/>
      <c r="HN728" s="135"/>
      <c r="HO728" s="135"/>
      <c r="HP728" s="135"/>
      <c r="HQ728" s="135"/>
      <c r="HR728" s="135"/>
      <c r="HS728" s="135"/>
      <c r="HT728" s="135"/>
      <c r="HU728" s="135"/>
      <c r="HV728" s="135"/>
      <c r="HW728" s="135"/>
      <c r="HX728" s="135"/>
      <c r="HY728" s="135"/>
      <c r="HZ728" s="135"/>
      <c r="IA728" s="135"/>
      <c r="IB728" s="135"/>
      <c r="IC728" s="135"/>
      <c r="ID728" s="135"/>
      <c r="IE728" s="135"/>
      <c r="IF728" s="135"/>
      <c r="IG728" s="135"/>
      <c r="IH728" s="135"/>
      <c r="II728" s="135"/>
      <c r="IJ728" s="135"/>
      <c r="IK728" s="135"/>
      <c r="IL728" s="135"/>
      <c r="IM728" s="135"/>
      <c r="IN728" s="135"/>
      <c r="IO728" s="135"/>
      <c r="IP728" s="135"/>
      <c r="IQ728" s="135"/>
      <c r="IR728" s="135"/>
      <c r="IS728" s="135"/>
      <c r="IT728" s="135"/>
      <c r="IU728" s="135"/>
      <c r="IV728" s="135"/>
      <c r="IW728" s="135"/>
      <c r="IX728" s="135"/>
      <c r="IY728" s="135"/>
      <c r="IZ728" s="135"/>
      <c r="JA728" s="135"/>
      <c r="JB728" s="135"/>
      <c r="JC728" s="135"/>
      <c r="JD728" s="135"/>
      <c r="JE728" s="135"/>
      <c r="JF728" s="135"/>
      <c r="JG728" s="135"/>
      <c r="JH728" s="135"/>
      <c r="JI728" s="135"/>
      <c r="JJ728" s="135"/>
      <c r="JK728" s="135"/>
      <c r="JL728" s="135"/>
      <c r="JM728" s="135"/>
      <c r="JN728" s="135"/>
      <c r="JO728" s="135"/>
      <c r="JP728" s="135"/>
      <c r="JQ728" s="135"/>
      <c r="JR728" s="135"/>
      <c r="JS728" s="135"/>
      <c r="JT728" s="135"/>
      <c r="JU728" s="135"/>
      <c r="JV728" s="135"/>
      <c r="JW728" s="135"/>
      <c r="JX728" s="135"/>
      <c r="JY728" s="135"/>
      <c r="JZ728" s="135"/>
      <c r="KA728" s="135"/>
      <c r="KB728" s="135"/>
      <c r="KC728" s="135"/>
      <c r="KD728" s="135"/>
      <c r="KE728" s="135"/>
      <c r="KF728" s="135"/>
      <c r="KG728" s="135"/>
      <c r="KH728" s="135"/>
      <c r="KI728" s="135"/>
      <c r="KJ728" s="135"/>
      <c r="KK728" s="135"/>
      <c r="KL728" s="135"/>
      <c r="KM728" s="135"/>
      <c r="KN728" s="135"/>
      <c r="KO728" s="135"/>
      <c r="KP728" s="135"/>
      <c r="KQ728" s="135"/>
      <c r="KR728" s="135"/>
      <c r="KS728" s="135"/>
      <c r="KT728" s="135"/>
      <c r="KU728" s="135"/>
      <c r="KV728" s="135"/>
      <c r="KW728" s="135"/>
      <c r="KX728" s="135"/>
      <c r="KY728" s="135"/>
      <c r="KZ728" s="135"/>
      <c r="LA728" s="135"/>
      <c r="LB728" s="135"/>
      <c r="LC728" s="135"/>
      <c r="LD728" s="135"/>
      <c r="LE728" s="135"/>
      <c r="LF728" s="135"/>
      <c r="LG728" s="135"/>
      <c r="LH728" s="135"/>
      <c r="LI728" s="135"/>
      <c r="LJ728" s="135"/>
      <c r="LK728" s="135"/>
      <c r="LL728" s="135"/>
      <c r="LM728" s="135"/>
      <c r="LN728" s="135"/>
      <c r="LO728" s="135"/>
      <c r="LP728" s="135"/>
      <c r="LQ728" s="135"/>
      <c r="LR728" s="135"/>
      <c r="LS728" s="135"/>
      <c r="LT728" s="135"/>
      <c r="LU728" s="135"/>
      <c r="LV728" s="135"/>
      <c r="LW728" s="135"/>
      <c r="LX728" s="135"/>
      <c r="LY728" s="135"/>
      <c r="LZ728" s="135"/>
      <c r="MA728" s="135"/>
      <c r="MB728" s="135"/>
      <c r="MC728" s="135"/>
      <c r="MD728" s="135"/>
      <c r="ME728" s="135"/>
      <c r="MF728" s="135"/>
      <c r="MG728" s="135"/>
      <c r="MH728" s="135"/>
      <c r="MI728" s="135"/>
      <c r="MJ728" s="135"/>
      <c r="MK728" s="135"/>
      <c r="ML728" s="135"/>
      <c r="MM728" s="135"/>
      <c r="MN728" s="135"/>
      <c r="MO728" s="135"/>
      <c r="MP728" s="135"/>
      <c r="MQ728" s="135"/>
      <c r="MR728" s="135"/>
      <c r="MS728" s="135"/>
      <c r="MT728" s="135"/>
      <c r="MU728" s="135"/>
      <c r="MV728" s="135"/>
      <c r="MW728" s="135"/>
      <c r="MX728" s="135"/>
      <c r="MY728" s="135"/>
      <c r="MZ728" s="135"/>
      <c r="NA728" s="135"/>
      <c r="NB728" s="135"/>
      <c r="NC728" s="135"/>
      <c r="ND728" s="135"/>
      <c r="NE728" s="135"/>
      <c r="NF728" s="135"/>
      <c r="NG728" s="135"/>
      <c r="NH728" s="135"/>
      <c r="NI728" s="135"/>
      <c r="NJ728" s="135"/>
      <c r="NK728" s="135"/>
      <c r="NL728" s="135"/>
      <c r="NM728" s="135"/>
      <c r="NN728" s="135"/>
      <c r="NO728" s="135"/>
      <c r="NP728" s="135"/>
      <c r="NQ728" s="135"/>
      <c r="NR728" s="135"/>
      <c r="NS728" s="135"/>
      <c r="NT728" s="135"/>
      <c r="NU728" s="135"/>
      <c r="NV728" s="135"/>
      <c r="NW728" s="135"/>
      <c r="NX728" s="135"/>
      <c r="NY728" s="135"/>
      <c r="NZ728" s="135"/>
      <c r="OA728" s="135"/>
      <c r="OB728" s="135"/>
      <c r="OC728" s="135"/>
      <c r="OD728" s="135"/>
      <c r="OE728" s="135"/>
      <c r="OF728" s="135"/>
      <c r="OG728" s="135"/>
      <c r="OH728" s="135"/>
      <c r="OI728" s="135"/>
      <c r="OJ728" s="135"/>
      <c r="OK728" s="135"/>
      <c r="OL728" s="135"/>
      <c r="OM728" s="135"/>
      <c r="ON728" s="135"/>
      <c r="OO728" s="135"/>
      <c r="OP728" s="135"/>
      <c r="OQ728" s="135"/>
      <c r="OR728" s="135"/>
      <c r="OS728" s="135"/>
      <c r="OT728" s="135"/>
      <c r="OU728" s="135"/>
      <c r="OV728" s="135"/>
      <c r="OW728" s="135"/>
      <c r="OX728" s="135"/>
      <c r="OY728" s="135"/>
      <c r="OZ728" s="135"/>
      <c r="PA728" s="135"/>
      <c r="PB728" s="135"/>
      <c r="PC728" s="135"/>
      <c r="PD728" s="135"/>
      <c r="PE728" s="135"/>
      <c r="PF728" s="135"/>
      <c r="PG728" s="135"/>
      <c r="PH728" s="135"/>
      <c r="PI728" s="135"/>
      <c r="PJ728" s="135"/>
      <c r="PK728" s="135"/>
      <c r="PL728" s="135"/>
      <c r="PM728" s="135"/>
      <c r="PN728" s="135"/>
      <c r="PO728" s="135"/>
      <c r="PP728" s="135"/>
      <c r="PQ728" s="135"/>
      <c r="PR728" s="135"/>
      <c r="PS728" s="135"/>
      <c r="PT728" s="135"/>
      <c r="PU728" s="135"/>
      <c r="PV728" s="135"/>
      <c r="PW728" s="135"/>
      <c r="PX728" s="135"/>
      <c r="PY728" s="135"/>
      <c r="PZ728" s="135"/>
      <c r="QA728" s="135"/>
      <c r="QB728" s="135"/>
      <c r="QC728" s="135"/>
      <c r="QD728" s="135"/>
      <c r="QE728" s="135"/>
      <c r="QF728" s="135"/>
      <c r="QG728" s="135"/>
      <c r="QH728" s="135"/>
      <c r="QI728" s="135"/>
      <c r="QJ728" s="135"/>
      <c r="QK728" s="135"/>
      <c r="QL728" s="135"/>
      <c r="QM728" s="135"/>
      <c r="QN728" s="135"/>
      <c r="QO728" s="135"/>
      <c r="QP728" s="135"/>
      <c r="QQ728" s="135"/>
      <c r="QR728" s="135"/>
      <c r="QS728" s="135"/>
      <c r="QT728" s="135"/>
      <c r="QU728" s="135"/>
      <c r="QV728" s="135"/>
      <c r="QW728" s="135"/>
      <c r="QX728" s="135"/>
      <c r="QY728" s="135"/>
      <c r="QZ728" s="135"/>
      <c r="RA728" s="135"/>
      <c r="RB728" s="135"/>
      <c r="RC728" s="135"/>
      <c r="RD728" s="135"/>
      <c r="RE728" s="135"/>
      <c r="RF728" s="135"/>
      <c r="RG728" s="135"/>
      <c r="RH728" s="135"/>
      <c r="RI728" s="135"/>
      <c r="RJ728" s="135"/>
      <c r="RK728" s="135"/>
      <c r="RL728" s="135"/>
      <c r="RM728" s="135"/>
      <c r="RN728" s="135"/>
      <c r="RO728" s="135"/>
      <c r="RP728" s="135"/>
      <c r="RQ728" s="135"/>
      <c r="RR728" s="135"/>
      <c r="RS728" s="135"/>
      <c r="RT728" s="135"/>
      <c r="RU728" s="135"/>
      <c r="RV728" s="135"/>
      <c r="RW728" s="135"/>
      <c r="RX728" s="135"/>
      <c r="RY728" s="135"/>
      <c r="RZ728" s="135"/>
      <c r="SA728" s="135"/>
      <c r="SB728" s="135"/>
      <c r="SC728" s="135"/>
      <c r="SD728" s="135"/>
      <c r="SE728" s="135"/>
      <c r="SF728" s="135"/>
      <c r="SG728" s="135"/>
      <c r="SH728" s="135"/>
      <c r="SI728" s="135"/>
      <c r="SJ728" s="135"/>
      <c r="SK728" s="135"/>
      <c r="SL728" s="135"/>
      <c r="SM728" s="135"/>
      <c r="SN728" s="135"/>
      <c r="SO728" s="135"/>
      <c r="SP728" s="135"/>
      <c r="SQ728" s="135"/>
      <c r="SR728" s="135"/>
      <c r="SS728" s="135"/>
      <c r="ST728" s="135"/>
      <c r="SU728" s="135"/>
      <c r="SV728" s="135"/>
      <c r="SW728" s="135"/>
      <c r="SX728" s="135"/>
      <c r="SY728" s="135"/>
      <c r="SZ728" s="135"/>
      <c r="TA728" s="135"/>
      <c r="TB728" s="135"/>
      <c r="TC728" s="135"/>
      <c r="TD728" s="135"/>
      <c r="TE728" s="135"/>
      <c r="TF728" s="135"/>
      <c r="TG728" s="135"/>
      <c r="TH728" s="135"/>
      <c r="TI728" s="135"/>
      <c r="TJ728" s="135"/>
      <c r="TK728" s="135"/>
      <c r="TL728" s="135"/>
      <c r="TM728" s="135"/>
      <c r="TN728" s="135"/>
      <c r="TO728" s="135"/>
      <c r="TP728" s="135"/>
      <c r="TQ728" s="135"/>
      <c r="TR728" s="135"/>
      <c r="TS728" s="135"/>
      <c r="TT728" s="135"/>
      <c r="TU728" s="135"/>
      <c r="TV728" s="135"/>
      <c r="TW728" s="135"/>
      <c r="TX728" s="135"/>
      <c r="TY728" s="135"/>
      <c r="TZ728" s="135"/>
      <c r="UA728" s="135"/>
      <c r="UB728" s="135"/>
      <c r="UC728" s="135"/>
      <c r="UD728" s="135"/>
      <c r="UE728" s="135"/>
      <c r="UF728" s="135"/>
      <c r="UG728" s="135"/>
    </row>
    <row r="729" spans="1:553" ht="30.75" customHeight="1">
      <c r="A729" s="356"/>
      <c r="B729" s="385" t="s">
        <v>35</v>
      </c>
      <c r="C729" s="1401" t="s">
        <v>985</v>
      </c>
      <c r="D729" s="1389"/>
      <c r="E729" s="1389"/>
      <c r="F729" s="1390"/>
      <c r="G729" s="386" t="s">
        <v>33</v>
      </c>
      <c r="H729" s="622"/>
      <c r="I729" s="626">
        <f>0.48*7.6*2</f>
        <v>7.2959999999999994</v>
      </c>
      <c r="J729" s="369">
        <v>39000</v>
      </c>
      <c r="K729" s="371"/>
      <c r="L729" s="627">
        <f t="shared" si="114"/>
        <v>284544</v>
      </c>
      <c r="M729" s="549"/>
      <c r="N729" s="549"/>
      <c r="O729" s="366"/>
      <c r="P729" s="385"/>
      <c r="Q729" s="394"/>
      <c r="R729" s="1230"/>
      <c r="S729" s="308"/>
      <c r="T729" s="308"/>
      <c r="U729" s="308"/>
      <c r="V729" s="308"/>
      <c r="W729" s="308"/>
      <c r="X729" s="308"/>
      <c r="Y729" s="308"/>
      <c r="Z729" s="604"/>
      <c r="AA729" s="308"/>
      <c r="AB729" s="308"/>
      <c r="AC729" s="628"/>
      <c r="AD729" s="628"/>
      <c r="AE729" s="628"/>
      <c r="AF729" s="628"/>
      <c r="AG729" s="628"/>
      <c r="AH729" s="629"/>
      <c r="AI729" s="629"/>
      <c r="AJ729" s="629"/>
      <c r="AK729" s="629"/>
      <c r="AL729" s="135"/>
      <c r="AM729" s="135"/>
      <c r="AN729" s="135"/>
      <c r="AO729" s="135"/>
      <c r="AP729" s="135"/>
      <c r="AQ729" s="135"/>
      <c r="AR729" s="135"/>
      <c r="AS729" s="135"/>
      <c r="AT729" s="135"/>
      <c r="AU729" s="135"/>
      <c r="AV729" s="135"/>
      <c r="AW729" s="135"/>
      <c r="AX729" s="135"/>
      <c r="AY729" s="135"/>
      <c r="AZ729" s="135"/>
      <c r="BA729" s="135"/>
      <c r="BB729" s="135"/>
      <c r="BC729" s="135"/>
      <c r="BD729" s="135"/>
      <c r="BE729" s="135"/>
      <c r="BF729" s="135"/>
      <c r="BG729" s="135"/>
      <c r="BH729" s="135"/>
      <c r="BI729" s="135"/>
      <c r="BJ729" s="135"/>
      <c r="BK729" s="135"/>
      <c r="BL729" s="135"/>
      <c r="BM729" s="135"/>
      <c r="BN729" s="135"/>
      <c r="BO729" s="135"/>
      <c r="BP729" s="135"/>
      <c r="BQ729" s="135"/>
      <c r="BR729" s="135"/>
      <c r="BS729" s="135"/>
      <c r="BT729" s="135"/>
      <c r="BU729" s="135"/>
      <c r="BV729" s="135"/>
      <c r="BW729" s="135"/>
      <c r="BX729" s="135"/>
      <c r="BY729" s="135"/>
      <c r="BZ729" s="135"/>
      <c r="CA729" s="135"/>
      <c r="CB729" s="135"/>
      <c r="CC729" s="135"/>
      <c r="CD729" s="135"/>
      <c r="CE729" s="135"/>
      <c r="CF729" s="135"/>
      <c r="CG729" s="135"/>
      <c r="CH729" s="135"/>
      <c r="CI729" s="135"/>
      <c r="CJ729" s="135"/>
      <c r="CK729" s="135"/>
      <c r="CL729" s="135"/>
      <c r="CM729" s="135"/>
      <c r="CN729" s="135"/>
      <c r="CO729" s="135"/>
      <c r="CP729" s="135"/>
      <c r="CQ729" s="135"/>
      <c r="CR729" s="135"/>
      <c r="CS729" s="135"/>
      <c r="CT729" s="135"/>
      <c r="CU729" s="135"/>
      <c r="CV729" s="135"/>
      <c r="CW729" s="135"/>
      <c r="CX729" s="135"/>
      <c r="CY729" s="135"/>
      <c r="CZ729" s="135"/>
      <c r="DA729" s="135"/>
      <c r="DB729" s="135"/>
      <c r="DC729" s="135"/>
      <c r="DD729" s="135"/>
      <c r="DE729" s="135"/>
      <c r="DF729" s="135"/>
      <c r="DG729" s="135"/>
      <c r="DH729" s="135"/>
      <c r="DI729" s="135"/>
      <c r="DJ729" s="135"/>
      <c r="DK729" s="135"/>
      <c r="DL729" s="135"/>
      <c r="DM729" s="135"/>
      <c r="DN729" s="135"/>
      <c r="DO729" s="135"/>
      <c r="DP729" s="135"/>
      <c r="DQ729" s="135"/>
      <c r="DR729" s="135"/>
      <c r="DS729" s="135"/>
      <c r="DT729" s="135"/>
      <c r="DU729" s="135"/>
      <c r="DV729" s="135"/>
      <c r="DW729" s="135"/>
      <c r="DX729" s="135"/>
      <c r="DY729" s="135"/>
      <c r="DZ729" s="135"/>
      <c r="EA729" s="135"/>
      <c r="EB729" s="135"/>
      <c r="EC729" s="135"/>
      <c r="ED729" s="135"/>
      <c r="EE729" s="135"/>
      <c r="EF729" s="135"/>
      <c r="EG729" s="135"/>
      <c r="EH729" s="135"/>
      <c r="EI729" s="135"/>
      <c r="EJ729" s="135"/>
      <c r="EK729" s="135"/>
      <c r="EL729" s="135"/>
      <c r="EM729" s="135"/>
      <c r="EN729" s="135"/>
      <c r="EO729" s="135"/>
      <c r="EP729" s="135"/>
      <c r="EQ729" s="135"/>
      <c r="ER729" s="135"/>
      <c r="ES729" s="135"/>
      <c r="ET729" s="135"/>
      <c r="EU729" s="135"/>
      <c r="EV729" s="135"/>
      <c r="EW729" s="135"/>
      <c r="EX729" s="135"/>
      <c r="EY729" s="135"/>
      <c r="EZ729" s="135"/>
      <c r="FA729" s="135"/>
      <c r="FB729" s="135"/>
      <c r="FC729" s="135"/>
      <c r="FD729" s="135"/>
      <c r="FE729" s="135"/>
      <c r="FF729" s="135"/>
      <c r="FG729" s="135"/>
      <c r="FH729" s="135"/>
      <c r="FI729" s="135"/>
      <c r="FJ729" s="135"/>
      <c r="FK729" s="135"/>
      <c r="FL729" s="135"/>
      <c r="FM729" s="135"/>
      <c r="FN729" s="135"/>
      <c r="FO729" s="135"/>
      <c r="FP729" s="135"/>
      <c r="FQ729" s="135"/>
      <c r="FR729" s="135"/>
      <c r="FS729" s="135"/>
      <c r="FT729" s="135"/>
      <c r="FU729" s="135"/>
      <c r="FV729" s="135"/>
      <c r="FW729" s="135"/>
      <c r="FX729" s="135"/>
      <c r="FY729" s="135"/>
      <c r="FZ729" s="135"/>
      <c r="GA729" s="135"/>
      <c r="GB729" s="135"/>
      <c r="GC729" s="135"/>
      <c r="GD729" s="135"/>
      <c r="GE729" s="135"/>
      <c r="GF729" s="135"/>
      <c r="GG729" s="135"/>
      <c r="GH729" s="135"/>
      <c r="GI729" s="135"/>
      <c r="GJ729" s="135"/>
      <c r="GK729" s="135"/>
      <c r="GL729" s="135"/>
      <c r="GM729" s="135"/>
      <c r="GN729" s="135"/>
      <c r="GO729" s="135"/>
      <c r="GP729" s="135"/>
      <c r="GQ729" s="135"/>
      <c r="GR729" s="135"/>
      <c r="GS729" s="135"/>
      <c r="GT729" s="135"/>
      <c r="GU729" s="135"/>
      <c r="GV729" s="135"/>
      <c r="GW729" s="135"/>
      <c r="GX729" s="135"/>
      <c r="GY729" s="135"/>
      <c r="GZ729" s="135"/>
      <c r="HA729" s="135"/>
      <c r="HB729" s="135"/>
      <c r="HC729" s="135"/>
      <c r="HD729" s="135"/>
      <c r="HE729" s="135"/>
      <c r="HF729" s="135"/>
      <c r="HG729" s="135"/>
      <c r="HH729" s="135"/>
      <c r="HI729" s="135"/>
      <c r="HJ729" s="135"/>
      <c r="HK729" s="135"/>
      <c r="HL729" s="135"/>
      <c r="HM729" s="135"/>
      <c r="HN729" s="135"/>
      <c r="HO729" s="135"/>
      <c r="HP729" s="135"/>
      <c r="HQ729" s="135"/>
      <c r="HR729" s="135"/>
      <c r="HS729" s="135"/>
      <c r="HT729" s="135"/>
      <c r="HU729" s="135"/>
      <c r="HV729" s="135"/>
      <c r="HW729" s="135"/>
      <c r="HX729" s="135"/>
      <c r="HY729" s="135"/>
      <c r="HZ729" s="135"/>
      <c r="IA729" s="135"/>
      <c r="IB729" s="135"/>
      <c r="IC729" s="135"/>
      <c r="ID729" s="135"/>
      <c r="IE729" s="135"/>
      <c r="IF729" s="135"/>
      <c r="IG729" s="135"/>
      <c r="IH729" s="135"/>
      <c r="II729" s="135"/>
      <c r="IJ729" s="135"/>
      <c r="IK729" s="135"/>
      <c r="IL729" s="135"/>
      <c r="IM729" s="135"/>
      <c r="IN729" s="135"/>
      <c r="IO729" s="135"/>
      <c r="IP729" s="135"/>
      <c r="IQ729" s="135"/>
      <c r="IR729" s="135"/>
      <c r="IS729" s="135"/>
      <c r="IT729" s="135"/>
      <c r="IU729" s="135"/>
      <c r="IV729" s="135"/>
      <c r="IW729" s="135"/>
      <c r="IX729" s="135"/>
      <c r="IY729" s="135"/>
      <c r="IZ729" s="135"/>
      <c r="JA729" s="135"/>
      <c r="JB729" s="135"/>
      <c r="JC729" s="135"/>
      <c r="JD729" s="135"/>
      <c r="JE729" s="135"/>
      <c r="JF729" s="135"/>
      <c r="JG729" s="135"/>
      <c r="JH729" s="135"/>
      <c r="JI729" s="135"/>
      <c r="JJ729" s="135"/>
      <c r="JK729" s="135"/>
      <c r="JL729" s="135"/>
      <c r="JM729" s="135"/>
      <c r="JN729" s="135"/>
      <c r="JO729" s="135"/>
      <c r="JP729" s="135"/>
      <c r="JQ729" s="135"/>
      <c r="JR729" s="135"/>
      <c r="JS729" s="135"/>
      <c r="JT729" s="135"/>
      <c r="JU729" s="135"/>
      <c r="JV729" s="135"/>
      <c r="JW729" s="135"/>
      <c r="JX729" s="135"/>
      <c r="JY729" s="135"/>
      <c r="JZ729" s="135"/>
      <c r="KA729" s="135"/>
      <c r="KB729" s="135"/>
      <c r="KC729" s="135"/>
      <c r="KD729" s="135"/>
      <c r="KE729" s="135"/>
      <c r="KF729" s="135"/>
      <c r="KG729" s="135"/>
      <c r="KH729" s="135"/>
      <c r="KI729" s="135"/>
      <c r="KJ729" s="135"/>
      <c r="KK729" s="135"/>
      <c r="KL729" s="135"/>
      <c r="KM729" s="135"/>
      <c r="KN729" s="135"/>
      <c r="KO729" s="135"/>
      <c r="KP729" s="135"/>
      <c r="KQ729" s="135"/>
      <c r="KR729" s="135"/>
      <c r="KS729" s="135"/>
      <c r="KT729" s="135"/>
      <c r="KU729" s="135"/>
      <c r="KV729" s="135"/>
      <c r="KW729" s="135"/>
      <c r="KX729" s="135"/>
      <c r="KY729" s="135"/>
      <c r="KZ729" s="135"/>
      <c r="LA729" s="135"/>
      <c r="LB729" s="135"/>
      <c r="LC729" s="135"/>
      <c r="LD729" s="135"/>
      <c r="LE729" s="135"/>
      <c r="LF729" s="135"/>
      <c r="LG729" s="135"/>
      <c r="LH729" s="135"/>
      <c r="LI729" s="135"/>
      <c r="LJ729" s="135"/>
      <c r="LK729" s="135"/>
      <c r="LL729" s="135"/>
      <c r="LM729" s="135"/>
      <c r="LN729" s="135"/>
      <c r="LO729" s="135"/>
      <c r="LP729" s="135"/>
      <c r="LQ729" s="135"/>
      <c r="LR729" s="135"/>
      <c r="LS729" s="135"/>
      <c r="LT729" s="135"/>
      <c r="LU729" s="135"/>
      <c r="LV729" s="135"/>
      <c r="LW729" s="135"/>
      <c r="LX729" s="135"/>
      <c r="LY729" s="135"/>
      <c r="LZ729" s="135"/>
      <c r="MA729" s="135"/>
      <c r="MB729" s="135"/>
      <c r="MC729" s="135"/>
      <c r="MD729" s="135"/>
      <c r="ME729" s="135"/>
      <c r="MF729" s="135"/>
      <c r="MG729" s="135"/>
      <c r="MH729" s="135"/>
      <c r="MI729" s="135"/>
      <c r="MJ729" s="135"/>
      <c r="MK729" s="135"/>
      <c r="ML729" s="135"/>
      <c r="MM729" s="135"/>
      <c r="MN729" s="135"/>
      <c r="MO729" s="135"/>
      <c r="MP729" s="135"/>
      <c r="MQ729" s="135"/>
      <c r="MR729" s="135"/>
      <c r="MS729" s="135"/>
      <c r="MT729" s="135"/>
      <c r="MU729" s="135"/>
      <c r="MV729" s="135"/>
      <c r="MW729" s="135"/>
      <c r="MX729" s="135"/>
      <c r="MY729" s="135"/>
      <c r="MZ729" s="135"/>
      <c r="NA729" s="135"/>
      <c r="NB729" s="135"/>
      <c r="NC729" s="135"/>
      <c r="ND729" s="135"/>
      <c r="NE729" s="135"/>
      <c r="NF729" s="135"/>
      <c r="NG729" s="135"/>
      <c r="NH729" s="135"/>
      <c r="NI729" s="135"/>
      <c r="NJ729" s="135"/>
      <c r="NK729" s="135"/>
      <c r="NL729" s="135"/>
      <c r="NM729" s="135"/>
      <c r="NN729" s="135"/>
      <c r="NO729" s="135"/>
      <c r="NP729" s="135"/>
      <c r="NQ729" s="135"/>
      <c r="NR729" s="135"/>
      <c r="NS729" s="135"/>
      <c r="NT729" s="135"/>
      <c r="NU729" s="135"/>
      <c r="NV729" s="135"/>
      <c r="NW729" s="135"/>
      <c r="NX729" s="135"/>
      <c r="NY729" s="135"/>
      <c r="NZ729" s="135"/>
      <c r="OA729" s="135"/>
      <c r="OB729" s="135"/>
      <c r="OC729" s="135"/>
      <c r="OD729" s="135"/>
      <c r="OE729" s="135"/>
      <c r="OF729" s="135"/>
      <c r="OG729" s="135"/>
      <c r="OH729" s="135"/>
      <c r="OI729" s="135"/>
      <c r="OJ729" s="135"/>
      <c r="OK729" s="135"/>
      <c r="OL729" s="135"/>
      <c r="OM729" s="135"/>
      <c r="ON729" s="135"/>
      <c r="OO729" s="135"/>
      <c r="OP729" s="135"/>
      <c r="OQ729" s="135"/>
      <c r="OR729" s="135"/>
      <c r="OS729" s="135"/>
      <c r="OT729" s="135"/>
      <c r="OU729" s="135"/>
      <c r="OV729" s="135"/>
      <c r="OW729" s="135"/>
      <c r="OX729" s="135"/>
      <c r="OY729" s="135"/>
      <c r="OZ729" s="135"/>
      <c r="PA729" s="135"/>
      <c r="PB729" s="135"/>
      <c r="PC729" s="135"/>
      <c r="PD729" s="135"/>
      <c r="PE729" s="135"/>
      <c r="PF729" s="135"/>
      <c r="PG729" s="135"/>
      <c r="PH729" s="135"/>
      <c r="PI729" s="135"/>
      <c r="PJ729" s="135"/>
      <c r="PK729" s="135"/>
      <c r="PL729" s="135"/>
      <c r="PM729" s="135"/>
      <c r="PN729" s="135"/>
      <c r="PO729" s="135"/>
      <c r="PP729" s="135"/>
      <c r="PQ729" s="135"/>
      <c r="PR729" s="135"/>
      <c r="PS729" s="135"/>
      <c r="PT729" s="135"/>
      <c r="PU729" s="135"/>
      <c r="PV729" s="135"/>
      <c r="PW729" s="135"/>
      <c r="PX729" s="135"/>
      <c r="PY729" s="135"/>
      <c r="PZ729" s="135"/>
      <c r="QA729" s="135"/>
      <c r="QB729" s="135"/>
      <c r="QC729" s="135"/>
      <c r="QD729" s="135"/>
      <c r="QE729" s="135"/>
      <c r="QF729" s="135"/>
      <c r="QG729" s="135"/>
      <c r="QH729" s="135"/>
      <c r="QI729" s="135"/>
      <c r="QJ729" s="135"/>
      <c r="QK729" s="135"/>
      <c r="QL729" s="135"/>
      <c r="QM729" s="135"/>
      <c r="QN729" s="135"/>
      <c r="QO729" s="135"/>
      <c r="QP729" s="135"/>
      <c r="QQ729" s="135"/>
      <c r="QR729" s="135"/>
      <c r="QS729" s="135"/>
      <c r="QT729" s="135"/>
      <c r="QU729" s="135"/>
      <c r="QV729" s="135"/>
      <c r="QW729" s="135"/>
      <c r="QX729" s="135"/>
      <c r="QY729" s="135"/>
      <c r="QZ729" s="135"/>
      <c r="RA729" s="135"/>
      <c r="RB729" s="135"/>
      <c r="RC729" s="135"/>
      <c r="RD729" s="135"/>
      <c r="RE729" s="135"/>
      <c r="RF729" s="135"/>
      <c r="RG729" s="135"/>
      <c r="RH729" s="135"/>
      <c r="RI729" s="135"/>
      <c r="RJ729" s="135"/>
      <c r="RK729" s="135"/>
      <c r="RL729" s="135"/>
      <c r="RM729" s="135"/>
      <c r="RN729" s="135"/>
      <c r="RO729" s="135"/>
      <c r="RP729" s="135"/>
      <c r="RQ729" s="135"/>
      <c r="RR729" s="135"/>
      <c r="RS729" s="135"/>
      <c r="RT729" s="135"/>
      <c r="RU729" s="135"/>
      <c r="RV729" s="135"/>
      <c r="RW729" s="135"/>
      <c r="RX729" s="135"/>
      <c r="RY729" s="135"/>
      <c r="RZ729" s="135"/>
      <c r="SA729" s="135"/>
      <c r="SB729" s="135"/>
      <c r="SC729" s="135"/>
      <c r="SD729" s="135"/>
      <c r="SE729" s="135"/>
      <c r="SF729" s="135"/>
      <c r="SG729" s="135"/>
      <c r="SH729" s="135"/>
      <c r="SI729" s="135"/>
      <c r="SJ729" s="135"/>
      <c r="SK729" s="135"/>
      <c r="SL729" s="135"/>
      <c r="SM729" s="135"/>
      <c r="SN729" s="135"/>
      <c r="SO729" s="135"/>
      <c r="SP729" s="135"/>
      <c r="SQ729" s="135"/>
      <c r="SR729" s="135"/>
      <c r="SS729" s="135"/>
      <c r="ST729" s="135"/>
      <c r="SU729" s="135"/>
      <c r="SV729" s="135"/>
      <c r="SW729" s="135"/>
      <c r="SX729" s="135"/>
      <c r="SY729" s="135"/>
      <c r="SZ729" s="135"/>
      <c r="TA729" s="135"/>
      <c r="TB729" s="135"/>
      <c r="TC729" s="135"/>
      <c r="TD729" s="135"/>
      <c r="TE729" s="135"/>
      <c r="TF729" s="135"/>
      <c r="TG729" s="135"/>
      <c r="TH729" s="135"/>
      <c r="TI729" s="135"/>
      <c r="TJ729" s="135"/>
      <c r="TK729" s="135"/>
      <c r="TL729" s="135"/>
      <c r="TM729" s="135"/>
      <c r="TN729" s="135"/>
      <c r="TO729" s="135"/>
      <c r="TP729" s="135"/>
      <c r="TQ729" s="135"/>
      <c r="TR729" s="135"/>
      <c r="TS729" s="135"/>
      <c r="TT729" s="135"/>
      <c r="TU729" s="135"/>
      <c r="TV729" s="135"/>
      <c r="TW729" s="135"/>
      <c r="TX729" s="135"/>
      <c r="TY729" s="135"/>
      <c r="TZ729" s="135"/>
      <c r="UA729" s="135"/>
      <c r="UB729" s="135"/>
      <c r="UC729" s="135"/>
      <c r="UD729" s="135"/>
      <c r="UE729" s="135"/>
      <c r="UF729" s="135"/>
      <c r="UG729" s="135"/>
    </row>
    <row r="730" spans="1:553" ht="30.75" customHeight="1">
      <c r="A730" s="356"/>
      <c r="B730" s="385" t="s">
        <v>35</v>
      </c>
      <c r="C730" s="1401" t="s">
        <v>984</v>
      </c>
      <c r="D730" s="1389"/>
      <c r="E730" s="1389"/>
      <c r="F730" s="1390"/>
      <c r="G730" s="386" t="s">
        <v>33</v>
      </c>
      <c r="H730" s="622"/>
      <c r="I730" s="626">
        <f>(7.6+13)*2*1</f>
        <v>41.2</v>
      </c>
      <c r="J730" s="369">
        <v>39000</v>
      </c>
      <c r="K730" s="371"/>
      <c r="L730" s="627">
        <f t="shared" si="114"/>
        <v>1606800</v>
      </c>
      <c r="M730" s="549"/>
      <c r="N730" s="549"/>
      <c r="O730" s="366"/>
      <c r="P730" s="385"/>
      <c r="Q730" s="394"/>
      <c r="R730" s="1230"/>
      <c r="S730" s="308"/>
      <c r="T730" s="308"/>
      <c r="U730" s="308"/>
      <c r="V730" s="308"/>
      <c r="W730" s="308"/>
      <c r="X730" s="308"/>
      <c r="Y730" s="308"/>
      <c r="Z730" s="604"/>
      <c r="AA730" s="308"/>
      <c r="AB730" s="308"/>
      <c r="AC730" s="628"/>
      <c r="AD730" s="628"/>
      <c r="AE730" s="628"/>
      <c r="AF730" s="628"/>
      <c r="AG730" s="628"/>
      <c r="AH730" s="629"/>
      <c r="AI730" s="629"/>
      <c r="AJ730" s="629"/>
      <c r="AK730" s="629"/>
      <c r="AL730" s="135"/>
      <c r="AM730" s="135"/>
      <c r="AN730" s="135"/>
      <c r="AO730" s="135"/>
      <c r="AP730" s="135"/>
      <c r="AQ730" s="135"/>
      <c r="AR730" s="135"/>
      <c r="AS730" s="135"/>
      <c r="AT730" s="135"/>
      <c r="AU730" s="135"/>
      <c r="AV730" s="135"/>
      <c r="AW730" s="135"/>
      <c r="AX730" s="135"/>
      <c r="AY730" s="135"/>
      <c r="AZ730" s="135"/>
      <c r="BA730" s="135"/>
      <c r="BB730" s="135"/>
      <c r="BC730" s="135"/>
      <c r="BD730" s="135"/>
      <c r="BE730" s="135"/>
      <c r="BF730" s="135"/>
      <c r="BG730" s="135"/>
      <c r="BH730" s="135"/>
      <c r="BI730" s="135"/>
      <c r="BJ730" s="135"/>
      <c r="BK730" s="135"/>
      <c r="BL730" s="135"/>
      <c r="BM730" s="135"/>
      <c r="BN730" s="135"/>
      <c r="BO730" s="135"/>
      <c r="BP730" s="135"/>
      <c r="BQ730" s="135"/>
      <c r="BR730" s="135"/>
      <c r="BS730" s="135"/>
      <c r="BT730" s="135"/>
      <c r="BU730" s="135"/>
      <c r="BV730" s="135"/>
      <c r="BW730" s="135"/>
      <c r="BX730" s="135"/>
      <c r="BY730" s="135"/>
      <c r="BZ730" s="135"/>
      <c r="CA730" s="135"/>
      <c r="CB730" s="135"/>
      <c r="CC730" s="135"/>
      <c r="CD730" s="135"/>
      <c r="CE730" s="135"/>
      <c r="CF730" s="135"/>
      <c r="CG730" s="135"/>
      <c r="CH730" s="135"/>
      <c r="CI730" s="135"/>
      <c r="CJ730" s="135"/>
      <c r="CK730" s="135"/>
      <c r="CL730" s="135"/>
      <c r="CM730" s="135"/>
      <c r="CN730" s="135"/>
      <c r="CO730" s="135"/>
      <c r="CP730" s="135"/>
      <c r="CQ730" s="135"/>
      <c r="CR730" s="135"/>
      <c r="CS730" s="135"/>
      <c r="CT730" s="135"/>
      <c r="CU730" s="135"/>
      <c r="CV730" s="135"/>
      <c r="CW730" s="135"/>
      <c r="CX730" s="135"/>
      <c r="CY730" s="135"/>
      <c r="CZ730" s="135"/>
      <c r="DA730" s="135"/>
      <c r="DB730" s="135"/>
      <c r="DC730" s="135"/>
      <c r="DD730" s="135"/>
      <c r="DE730" s="135"/>
      <c r="DF730" s="135"/>
      <c r="DG730" s="135"/>
      <c r="DH730" s="135"/>
      <c r="DI730" s="135"/>
      <c r="DJ730" s="135"/>
      <c r="DK730" s="135"/>
      <c r="DL730" s="135"/>
      <c r="DM730" s="135"/>
      <c r="DN730" s="135"/>
      <c r="DO730" s="135"/>
      <c r="DP730" s="135"/>
      <c r="DQ730" s="135"/>
      <c r="DR730" s="135"/>
      <c r="DS730" s="135"/>
      <c r="DT730" s="135"/>
      <c r="DU730" s="135"/>
      <c r="DV730" s="135"/>
      <c r="DW730" s="135"/>
      <c r="DX730" s="135"/>
      <c r="DY730" s="135"/>
      <c r="DZ730" s="135"/>
      <c r="EA730" s="135"/>
      <c r="EB730" s="135"/>
      <c r="EC730" s="135"/>
      <c r="ED730" s="135"/>
      <c r="EE730" s="135"/>
      <c r="EF730" s="135"/>
      <c r="EG730" s="135"/>
      <c r="EH730" s="135"/>
      <c r="EI730" s="135"/>
      <c r="EJ730" s="135"/>
      <c r="EK730" s="135"/>
      <c r="EL730" s="135"/>
      <c r="EM730" s="135"/>
      <c r="EN730" s="135"/>
      <c r="EO730" s="135"/>
      <c r="EP730" s="135"/>
      <c r="EQ730" s="135"/>
      <c r="ER730" s="135"/>
      <c r="ES730" s="135"/>
      <c r="ET730" s="135"/>
      <c r="EU730" s="135"/>
      <c r="EV730" s="135"/>
      <c r="EW730" s="135"/>
      <c r="EX730" s="135"/>
      <c r="EY730" s="135"/>
      <c r="EZ730" s="135"/>
      <c r="FA730" s="135"/>
      <c r="FB730" s="135"/>
      <c r="FC730" s="135"/>
      <c r="FD730" s="135"/>
      <c r="FE730" s="135"/>
      <c r="FF730" s="135"/>
      <c r="FG730" s="135"/>
      <c r="FH730" s="135"/>
      <c r="FI730" s="135"/>
      <c r="FJ730" s="135"/>
      <c r="FK730" s="135"/>
      <c r="FL730" s="135"/>
      <c r="FM730" s="135"/>
      <c r="FN730" s="135"/>
      <c r="FO730" s="135"/>
      <c r="FP730" s="135"/>
      <c r="FQ730" s="135"/>
      <c r="FR730" s="135"/>
      <c r="FS730" s="135"/>
      <c r="FT730" s="135"/>
      <c r="FU730" s="135"/>
      <c r="FV730" s="135"/>
      <c r="FW730" s="135"/>
      <c r="FX730" s="135"/>
      <c r="FY730" s="135"/>
      <c r="FZ730" s="135"/>
      <c r="GA730" s="135"/>
      <c r="GB730" s="135"/>
      <c r="GC730" s="135"/>
      <c r="GD730" s="135"/>
      <c r="GE730" s="135"/>
      <c r="GF730" s="135"/>
      <c r="GG730" s="135"/>
      <c r="GH730" s="135"/>
      <c r="GI730" s="135"/>
      <c r="GJ730" s="135"/>
      <c r="GK730" s="135"/>
      <c r="GL730" s="135"/>
      <c r="GM730" s="135"/>
      <c r="GN730" s="135"/>
      <c r="GO730" s="135"/>
      <c r="GP730" s="135"/>
      <c r="GQ730" s="135"/>
      <c r="GR730" s="135"/>
      <c r="GS730" s="135"/>
      <c r="GT730" s="135"/>
      <c r="GU730" s="135"/>
      <c r="GV730" s="135"/>
      <c r="GW730" s="135"/>
      <c r="GX730" s="135"/>
      <c r="GY730" s="135"/>
      <c r="GZ730" s="135"/>
      <c r="HA730" s="135"/>
      <c r="HB730" s="135"/>
      <c r="HC730" s="135"/>
      <c r="HD730" s="135"/>
      <c r="HE730" s="135"/>
      <c r="HF730" s="135"/>
      <c r="HG730" s="135"/>
      <c r="HH730" s="135"/>
      <c r="HI730" s="135"/>
      <c r="HJ730" s="135"/>
      <c r="HK730" s="135"/>
      <c r="HL730" s="135"/>
      <c r="HM730" s="135"/>
      <c r="HN730" s="135"/>
      <c r="HO730" s="135"/>
      <c r="HP730" s="135"/>
      <c r="HQ730" s="135"/>
      <c r="HR730" s="135"/>
      <c r="HS730" s="135"/>
      <c r="HT730" s="135"/>
      <c r="HU730" s="135"/>
      <c r="HV730" s="135"/>
      <c r="HW730" s="135"/>
      <c r="HX730" s="135"/>
      <c r="HY730" s="135"/>
      <c r="HZ730" s="135"/>
      <c r="IA730" s="135"/>
      <c r="IB730" s="135"/>
      <c r="IC730" s="135"/>
      <c r="ID730" s="135"/>
      <c r="IE730" s="135"/>
      <c r="IF730" s="135"/>
      <c r="IG730" s="135"/>
      <c r="IH730" s="135"/>
      <c r="II730" s="135"/>
      <c r="IJ730" s="135"/>
      <c r="IK730" s="135"/>
      <c r="IL730" s="135"/>
      <c r="IM730" s="135"/>
      <c r="IN730" s="135"/>
      <c r="IO730" s="135"/>
      <c r="IP730" s="135"/>
      <c r="IQ730" s="135"/>
      <c r="IR730" s="135"/>
      <c r="IS730" s="135"/>
      <c r="IT730" s="135"/>
      <c r="IU730" s="135"/>
      <c r="IV730" s="135"/>
      <c r="IW730" s="135"/>
      <c r="IX730" s="135"/>
      <c r="IY730" s="135"/>
      <c r="IZ730" s="135"/>
      <c r="JA730" s="135"/>
      <c r="JB730" s="135"/>
      <c r="JC730" s="135"/>
      <c r="JD730" s="135"/>
      <c r="JE730" s="135"/>
      <c r="JF730" s="135"/>
      <c r="JG730" s="135"/>
      <c r="JH730" s="135"/>
      <c r="JI730" s="135"/>
      <c r="JJ730" s="135"/>
      <c r="JK730" s="135"/>
      <c r="JL730" s="135"/>
      <c r="JM730" s="135"/>
      <c r="JN730" s="135"/>
      <c r="JO730" s="135"/>
      <c r="JP730" s="135"/>
      <c r="JQ730" s="135"/>
      <c r="JR730" s="135"/>
      <c r="JS730" s="135"/>
      <c r="JT730" s="135"/>
      <c r="JU730" s="135"/>
      <c r="JV730" s="135"/>
      <c r="JW730" s="135"/>
      <c r="JX730" s="135"/>
      <c r="JY730" s="135"/>
      <c r="JZ730" s="135"/>
      <c r="KA730" s="135"/>
      <c r="KB730" s="135"/>
      <c r="KC730" s="135"/>
      <c r="KD730" s="135"/>
      <c r="KE730" s="135"/>
      <c r="KF730" s="135"/>
      <c r="KG730" s="135"/>
      <c r="KH730" s="135"/>
      <c r="KI730" s="135"/>
      <c r="KJ730" s="135"/>
      <c r="KK730" s="135"/>
      <c r="KL730" s="135"/>
      <c r="KM730" s="135"/>
      <c r="KN730" s="135"/>
      <c r="KO730" s="135"/>
      <c r="KP730" s="135"/>
      <c r="KQ730" s="135"/>
      <c r="KR730" s="135"/>
      <c r="KS730" s="135"/>
      <c r="KT730" s="135"/>
      <c r="KU730" s="135"/>
      <c r="KV730" s="135"/>
      <c r="KW730" s="135"/>
      <c r="KX730" s="135"/>
      <c r="KY730" s="135"/>
      <c r="KZ730" s="135"/>
      <c r="LA730" s="135"/>
      <c r="LB730" s="135"/>
      <c r="LC730" s="135"/>
      <c r="LD730" s="135"/>
      <c r="LE730" s="135"/>
      <c r="LF730" s="135"/>
      <c r="LG730" s="135"/>
      <c r="LH730" s="135"/>
      <c r="LI730" s="135"/>
      <c r="LJ730" s="135"/>
      <c r="LK730" s="135"/>
      <c r="LL730" s="135"/>
      <c r="LM730" s="135"/>
      <c r="LN730" s="135"/>
      <c r="LO730" s="135"/>
      <c r="LP730" s="135"/>
      <c r="LQ730" s="135"/>
      <c r="LR730" s="135"/>
      <c r="LS730" s="135"/>
      <c r="LT730" s="135"/>
      <c r="LU730" s="135"/>
      <c r="LV730" s="135"/>
      <c r="LW730" s="135"/>
      <c r="LX730" s="135"/>
      <c r="LY730" s="135"/>
      <c r="LZ730" s="135"/>
      <c r="MA730" s="135"/>
      <c r="MB730" s="135"/>
      <c r="MC730" s="135"/>
      <c r="MD730" s="135"/>
      <c r="ME730" s="135"/>
      <c r="MF730" s="135"/>
      <c r="MG730" s="135"/>
      <c r="MH730" s="135"/>
      <c r="MI730" s="135"/>
      <c r="MJ730" s="135"/>
      <c r="MK730" s="135"/>
      <c r="ML730" s="135"/>
      <c r="MM730" s="135"/>
      <c r="MN730" s="135"/>
      <c r="MO730" s="135"/>
      <c r="MP730" s="135"/>
      <c r="MQ730" s="135"/>
      <c r="MR730" s="135"/>
      <c r="MS730" s="135"/>
      <c r="MT730" s="135"/>
      <c r="MU730" s="135"/>
      <c r="MV730" s="135"/>
      <c r="MW730" s="135"/>
      <c r="MX730" s="135"/>
      <c r="MY730" s="135"/>
      <c r="MZ730" s="135"/>
      <c r="NA730" s="135"/>
      <c r="NB730" s="135"/>
      <c r="NC730" s="135"/>
      <c r="ND730" s="135"/>
      <c r="NE730" s="135"/>
      <c r="NF730" s="135"/>
      <c r="NG730" s="135"/>
      <c r="NH730" s="135"/>
      <c r="NI730" s="135"/>
      <c r="NJ730" s="135"/>
      <c r="NK730" s="135"/>
      <c r="NL730" s="135"/>
      <c r="NM730" s="135"/>
      <c r="NN730" s="135"/>
      <c r="NO730" s="135"/>
      <c r="NP730" s="135"/>
      <c r="NQ730" s="135"/>
      <c r="NR730" s="135"/>
      <c r="NS730" s="135"/>
      <c r="NT730" s="135"/>
      <c r="NU730" s="135"/>
      <c r="NV730" s="135"/>
      <c r="NW730" s="135"/>
      <c r="NX730" s="135"/>
      <c r="NY730" s="135"/>
      <c r="NZ730" s="135"/>
      <c r="OA730" s="135"/>
      <c r="OB730" s="135"/>
      <c r="OC730" s="135"/>
      <c r="OD730" s="135"/>
      <c r="OE730" s="135"/>
      <c r="OF730" s="135"/>
      <c r="OG730" s="135"/>
      <c r="OH730" s="135"/>
      <c r="OI730" s="135"/>
      <c r="OJ730" s="135"/>
      <c r="OK730" s="135"/>
      <c r="OL730" s="135"/>
      <c r="OM730" s="135"/>
      <c r="ON730" s="135"/>
      <c r="OO730" s="135"/>
      <c r="OP730" s="135"/>
      <c r="OQ730" s="135"/>
      <c r="OR730" s="135"/>
      <c r="OS730" s="135"/>
      <c r="OT730" s="135"/>
      <c r="OU730" s="135"/>
      <c r="OV730" s="135"/>
      <c r="OW730" s="135"/>
      <c r="OX730" s="135"/>
      <c r="OY730" s="135"/>
      <c r="OZ730" s="135"/>
      <c r="PA730" s="135"/>
      <c r="PB730" s="135"/>
      <c r="PC730" s="135"/>
      <c r="PD730" s="135"/>
      <c r="PE730" s="135"/>
      <c r="PF730" s="135"/>
      <c r="PG730" s="135"/>
      <c r="PH730" s="135"/>
      <c r="PI730" s="135"/>
      <c r="PJ730" s="135"/>
      <c r="PK730" s="135"/>
      <c r="PL730" s="135"/>
      <c r="PM730" s="135"/>
      <c r="PN730" s="135"/>
      <c r="PO730" s="135"/>
      <c r="PP730" s="135"/>
      <c r="PQ730" s="135"/>
      <c r="PR730" s="135"/>
      <c r="PS730" s="135"/>
      <c r="PT730" s="135"/>
      <c r="PU730" s="135"/>
      <c r="PV730" s="135"/>
      <c r="PW730" s="135"/>
      <c r="PX730" s="135"/>
      <c r="PY730" s="135"/>
      <c r="PZ730" s="135"/>
      <c r="QA730" s="135"/>
      <c r="QB730" s="135"/>
      <c r="QC730" s="135"/>
      <c r="QD730" s="135"/>
      <c r="QE730" s="135"/>
      <c r="QF730" s="135"/>
      <c r="QG730" s="135"/>
      <c r="QH730" s="135"/>
      <c r="QI730" s="135"/>
      <c r="QJ730" s="135"/>
      <c r="QK730" s="135"/>
      <c r="QL730" s="135"/>
      <c r="QM730" s="135"/>
      <c r="QN730" s="135"/>
      <c r="QO730" s="135"/>
      <c r="QP730" s="135"/>
      <c r="QQ730" s="135"/>
      <c r="QR730" s="135"/>
      <c r="QS730" s="135"/>
      <c r="QT730" s="135"/>
      <c r="QU730" s="135"/>
      <c r="QV730" s="135"/>
      <c r="QW730" s="135"/>
      <c r="QX730" s="135"/>
      <c r="QY730" s="135"/>
      <c r="QZ730" s="135"/>
      <c r="RA730" s="135"/>
      <c r="RB730" s="135"/>
      <c r="RC730" s="135"/>
      <c r="RD730" s="135"/>
      <c r="RE730" s="135"/>
      <c r="RF730" s="135"/>
      <c r="RG730" s="135"/>
      <c r="RH730" s="135"/>
      <c r="RI730" s="135"/>
      <c r="RJ730" s="135"/>
      <c r="RK730" s="135"/>
      <c r="RL730" s="135"/>
      <c r="RM730" s="135"/>
      <c r="RN730" s="135"/>
      <c r="RO730" s="135"/>
      <c r="RP730" s="135"/>
      <c r="RQ730" s="135"/>
      <c r="RR730" s="135"/>
      <c r="RS730" s="135"/>
      <c r="RT730" s="135"/>
      <c r="RU730" s="135"/>
      <c r="RV730" s="135"/>
      <c r="RW730" s="135"/>
      <c r="RX730" s="135"/>
      <c r="RY730" s="135"/>
      <c r="RZ730" s="135"/>
      <c r="SA730" s="135"/>
      <c r="SB730" s="135"/>
      <c r="SC730" s="135"/>
      <c r="SD730" s="135"/>
      <c r="SE730" s="135"/>
      <c r="SF730" s="135"/>
      <c r="SG730" s="135"/>
      <c r="SH730" s="135"/>
      <c r="SI730" s="135"/>
      <c r="SJ730" s="135"/>
      <c r="SK730" s="135"/>
      <c r="SL730" s="135"/>
      <c r="SM730" s="135"/>
      <c r="SN730" s="135"/>
      <c r="SO730" s="135"/>
      <c r="SP730" s="135"/>
      <c r="SQ730" s="135"/>
      <c r="SR730" s="135"/>
      <c r="SS730" s="135"/>
      <c r="ST730" s="135"/>
      <c r="SU730" s="135"/>
      <c r="SV730" s="135"/>
      <c r="SW730" s="135"/>
      <c r="SX730" s="135"/>
      <c r="SY730" s="135"/>
      <c r="SZ730" s="135"/>
      <c r="TA730" s="135"/>
      <c r="TB730" s="135"/>
      <c r="TC730" s="135"/>
      <c r="TD730" s="135"/>
      <c r="TE730" s="135"/>
      <c r="TF730" s="135"/>
      <c r="TG730" s="135"/>
      <c r="TH730" s="135"/>
      <c r="TI730" s="135"/>
      <c r="TJ730" s="135"/>
      <c r="TK730" s="135"/>
      <c r="TL730" s="135"/>
      <c r="TM730" s="135"/>
      <c r="TN730" s="135"/>
      <c r="TO730" s="135"/>
      <c r="TP730" s="135"/>
      <c r="TQ730" s="135"/>
      <c r="TR730" s="135"/>
      <c r="TS730" s="135"/>
      <c r="TT730" s="135"/>
      <c r="TU730" s="135"/>
      <c r="TV730" s="135"/>
      <c r="TW730" s="135"/>
      <c r="TX730" s="135"/>
      <c r="TY730" s="135"/>
      <c r="TZ730" s="135"/>
      <c r="UA730" s="135"/>
      <c r="UB730" s="135"/>
      <c r="UC730" s="135"/>
      <c r="UD730" s="135"/>
      <c r="UE730" s="135"/>
      <c r="UF730" s="135"/>
      <c r="UG730" s="135"/>
    </row>
    <row r="731" spans="1:553" ht="30.75" customHeight="1">
      <c r="A731" s="356"/>
      <c r="B731" s="385" t="s">
        <v>35</v>
      </c>
      <c r="C731" s="1401" t="s">
        <v>983</v>
      </c>
      <c r="D731" s="1389"/>
      <c r="E731" s="1389"/>
      <c r="F731" s="1390"/>
      <c r="G731" s="386" t="s">
        <v>33</v>
      </c>
      <c r="H731" s="622"/>
      <c r="I731" s="626">
        <f>(2.4*4.9)+(7.6*13)+(2.4*1)</f>
        <v>112.96000000000001</v>
      </c>
      <c r="J731" s="369">
        <v>39000</v>
      </c>
      <c r="K731" s="371"/>
      <c r="L731" s="627">
        <f t="shared" si="114"/>
        <v>4405440</v>
      </c>
      <c r="M731" s="549"/>
      <c r="N731" s="549"/>
      <c r="O731" s="366"/>
      <c r="P731" s="385"/>
      <c r="Q731" s="394"/>
      <c r="R731" s="1230"/>
      <c r="S731" s="308"/>
      <c r="T731" s="308"/>
      <c r="U731" s="308"/>
      <c r="V731" s="308"/>
      <c r="W731" s="308"/>
      <c r="X731" s="308"/>
      <c r="Y731" s="308"/>
      <c r="Z731" s="604"/>
      <c r="AA731" s="308"/>
      <c r="AB731" s="308"/>
      <c r="AC731" s="628"/>
      <c r="AD731" s="628"/>
      <c r="AE731" s="628"/>
      <c r="AF731" s="628"/>
      <c r="AG731" s="628"/>
      <c r="AH731" s="629"/>
      <c r="AI731" s="629"/>
      <c r="AJ731" s="629"/>
      <c r="AK731" s="629"/>
      <c r="AL731" s="135"/>
      <c r="AM731" s="135"/>
      <c r="AN731" s="135"/>
      <c r="AO731" s="135"/>
      <c r="AP731" s="135"/>
      <c r="AQ731" s="135"/>
      <c r="AR731" s="135"/>
      <c r="AS731" s="135"/>
      <c r="AT731" s="135"/>
      <c r="AU731" s="135"/>
      <c r="AV731" s="135"/>
      <c r="AW731" s="135"/>
      <c r="AX731" s="135"/>
      <c r="AY731" s="135"/>
      <c r="AZ731" s="135"/>
      <c r="BA731" s="135"/>
      <c r="BB731" s="135"/>
      <c r="BC731" s="135"/>
      <c r="BD731" s="135"/>
      <c r="BE731" s="135"/>
      <c r="BF731" s="135"/>
      <c r="BG731" s="135"/>
      <c r="BH731" s="135"/>
      <c r="BI731" s="135"/>
      <c r="BJ731" s="135"/>
      <c r="BK731" s="135"/>
      <c r="BL731" s="135"/>
      <c r="BM731" s="135"/>
      <c r="BN731" s="135"/>
      <c r="BO731" s="135"/>
      <c r="BP731" s="135"/>
      <c r="BQ731" s="135"/>
      <c r="BR731" s="135"/>
      <c r="BS731" s="135"/>
      <c r="BT731" s="135"/>
      <c r="BU731" s="135"/>
      <c r="BV731" s="135"/>
      <c r="BW731" s="135"/>
      <c r="BX731" s="135"/>
      <c r="BY731" s="135"/>
      <c r="BZ731" s="135"/>
      <c r="CA731" s="135"/>
      <c r="CB731" s="135"/>
      <c r="CC731" s="135"/>
      <c r="CD731" s="135"/>
      <c r="CE731" s="135"/>
      <c r="CF731" s="135"/>
      <c r="CG731" s="135"/>
      <c r="CH731" s="135"/>
      <c r="CI731" s="135"/>
      <c r="CJ731" s="135"/>
      <c r="CK731" s="135"/>
      <c r="CL731" s="135"/>
      <c r="CM731" s="135"/>
      <c r="CN731" s="135"/>
      <c r="CO731" s="135"/>
      <c r="CP731" s="135"/>
      <c r="CQ731" s="135"/>
      <c r="CR731" s="135"/>
      <c r="CS731" s="135"/>
      <c r="CT731" s="135"/>
      <c r="CU731" s="135"/>
      <c r="CV731" s="135"/>
      <c r="CW731" s="135"/>
      <c r="CX731" s="135"/>
      <c r="CY731" s="135"/>
      <c r="CZ731" s="135"/>
      <c r="DA731" s="135"/>
      <c r="DB731" s="135"/>
      <c r="DC731" s="135"/>
      <c r="DD731" s="135"/>
      <c r="DE731" s="135"/>
      <c r="DF731" s="135"/>
      <c r="DG731" s="135"/>
      <c r="DH731" s="135"/>
      <c r="DI731" s="135"/>
      <c r="DJ731" s="135"/>
      <c r="DK731" s="135"/>
      <c r="DL731" s="135"/>
      <c r="DM731" s="135"/>
      <c r="DN731" s="135"/>
      <c r="DO731" s="135"/>
      <c r="DP731" s="135"/>
      <c r="DQ731" s="135"/>
      <c r="DR731" s="135"/>
      <c r="DS731" s="135"/>
      <c r="DT731" s="135"/>
      <c r="DU731" s="135"/>
      <c r="DV731" s="135"/>
      <c r="DW731" s="135"/>
      <c r="DX731" s="135"/>
      <c r="DY731" s="135"/>
      <c r="DZ731" s="135"/>
      <c r="EA731" s="135"/>
      <c r="EB731" s="135"/>
      <c r="EC731" s="135"/>
      <c r="ED731" s="135"/>
      <c r="EE731" s="135"/>
      <c r="EF731" s="135"/>
      <c r="EG731" s="135"/>
      <c r="EH731" s="135"/>
      <c r="EI731" s="135"/>
      <c r="EJ731" s="135"/>
      <c r="EK731" s="135"/>
      <c r="EL731" s="135"/>
      <c r="EM731" s="135"/>
      <c r="EN731" s="135"/>
      <c r="EO731" s="135"/>
      <c r="EP731" s="135"/>
      <c r="EQ731" s="135"/>
      <c r="ER731" s="135"/>
      <c r="ES731" s="135"/>
      <c r="ET731" s="135"/>
      <c r="EU731" s="135"/>
      <c r="EV731" s="135"/>
      <c r="EW731" s="135"/>
      <c r="EX731" s="135"/>
      <c r="EY731" s="135"/>
      <c r="EZ731" s="135"/>
      <c r="FA731" s="135"/>
      <c r="FB731" s="135"/>
      <c r="FC731" s="135"/>
      <c r="FD731" s="135"/>
      <c r="FE731" s="135"/>
      <c r="FF731" s="135"/>
      <c r="FG731" s="135"/>
      <c r="FH731" s="135"/>
      <c r="FI731" s="135"/>
      <c r="FJ731" s="135"/>
      <c r="FK731" s="135"/>
      <c r="FL731" s="135"/>
      <c r="FM731" s="135"/>
      <c r="FN731" s="135"/>
      <c r="FO731" s="135"/>
      <c r="FP731" s="135"/>
      <c r="FQ731" s="135"/>
      <c r="FR731" s="135"/>
      <c r="FS731" s="135"/>
      <c r="FT731" s="135"/>
      <c r="FU731" s="135"/>
      <c r="FV731" s="135"/>
      <c r="FW731" s="135"/>
      <c r="FX731" s="135"/>
      <c r="FY731" s="135"/>
      <c r="FZ731" s="135"/>
      <c r="GA731" s="135"/>
      <c r="GB731" s="135"/>
      <c r="GC731" s="135"/>
      <c r="GD731" s="135"/>
      <c r="GE731" s="135"/>
      <c r="GF731" s="135"/>
      <c r="GG731" s="135"/>
      <c r="GH731" s="135"/>
      <c r="GI731" s="135"/>
      <c r="GJ731" s="135"/>
      <c r="GK731" s="135"/>
      <c r="GL731" s="135"/>
      <c r="GM731" s="135"/>
      <c r="GN731" s="135"/>
      <c r="GO731" s="135"/>
      <c r="GP731" s="135"/>
      <c r="GQ731" s="135"/>
      <c r="GR731" s="135"/>
      <c r="GS731" s="135"/>
      <c r="GT731" s="135"/>
      <c r="GU731" s="135"/>
      <c r="GV731" s="135"/>
      <c r="GW731" s="135"/>
      <c r="GX731" s="135"/>
      <c r="GY731" s="135"/>
      <c r="GZ731" s="135"/>
      <c r="HA731" s="135"/>
      <c r="HB731" s="135"/>
      <c r="HC731" s="135"/>
      <c r="HD731" s="135"/>
      <c r="HE731" s="135"/>
      <c r="HF731" s="135"/>
      <c r="HG731" s="135"/>
      <c r="HH731" s="135"/>
      <c r="HI731" s="135"/>
      <c r="HJ731" s="135"/>
      <c r="HK731" s="135"/>
      <c r="HL731" s="135"/>
      <c r="HM731" s="135"/>
      <c r="HN731" s="135"/>
      <c r="HO731" s="135"/>
      <c r="HP731" s="135"/>
      <c r="HQ731" s="135"/>
      <c r="HR731" s="135"/>
      <c r="HS731" s="135"/>
      <c r="HT731" s="135"/>
      <c r="HU731" s="135"/>
      <c r="HV731" s="135"/>
      <c r="HW731" s="135"/>
      <c r="HX731" s="135"/>
      <c r="HY731" s="135"/>
      <c r="HZ731" s="135"/>
      <c r="IA731" s="135"/>
      <c r="IB731" s="135"/>
      <c r="IC731" s="135"/>
      <c r="ID731" s="135"/>
      <c r="IE731" s="135"/>
      <c r="IF731" s="135"/>
      <c r="IG731" s="135"/>
      <c r="IH731" s="135"/>
      <c r="II731" s="135"/>
      <c r="IJ731" s="135"/>
      <c r="IK731" s="135"/>
      <c r="IL731" s="135"/>
      <c r="IM731" s="135"/>
      <c r="IN731" s="135"/>
      <c r="IO731" s="135"/>
      <c r="IP731" s="135"/>
      <c r="IQ731" s="135"/>
      <c r="IR731" s="135"/>
      <c r="IS731" s="135"/>
      <c r="IT731" s="135"/>
      <c r="IU731" s="135"/>
      <c r="IV731" s="135"/>
      <c r="IW731" s="135"/>
      <c r="IX731" s="135"/>
      <c r="IY731" s="135"/>
      <c r="IZ731" s="135"/>
      <c r="JA731" s="135"/>
      <c r="JB731" s="135"/>
      <c r="JC731" s="135"/>
      <c r="JD731" s="135"/>
      <c r="JE731" s="135"/>
      <c r="JF731" s="135"/>
      <c r="JG731" s="135"/>
      <c r="JH731" s="135"/>
      <c r="JI731" s="135"/>
      <c r="JJ731" s="135"/>
      <c r="JK731" s="135"/>
      <c r="JL731" s="135"/>
      <c r="JM731" s="135"/>
      <c r="JN731" s="135"/>
      <c r="JO731" s="135"/>
      <c r="JP731" s="135"/>
      <c r="JQ731" s="135"/>
      <c r="JR731" s="135"/>
      <c r="JS731" s="135"/>
      <c r="JT731" s="135"/>
      <c r="JU731" s="135"/>
      <c r="JV731" s="135"/>
      <c r="JW731" s="135"/>
      <c r="JX731" s="135"/>
      <c r="JY731" s="135"/>
      <c r="JZ731" s="135"/>
      <c r="KA731" s="135"/>
      <c r="KB731" s="135"/>
      <c r="KC731" s="135"/>
      <c r="KD731" s="135"/>
      <c r="KE731" s="135"/>
      <c r="KF731" s="135"/>
      <c r="KG731" s="135"/>
      <c r="KH731" s="135"/>
      <c r="KI731" s="135"/>
      <c r="KJ731" s="135"/>
      <c r="KK731" s="135"/>
      <c r="KL731" s="135"/>
      <c r="KM731" s="135"/>
      <c r="KN731" s="135"/>
      <c r="KO731" s="135"/>
      <c r="KP731" s="135"/>
      <c r="KQ731" s="135"/>
      <c r="KR731" s="135"/>
      <c r="KS731" s="135"/>
      <c r="KT731" s="135"/>
      <c r="KU731" s="135"/>
      <c r="KV731" s="135"/>
      <c r="KW731" s="135"/>
      <c r="KX731" s="135"/>
      <c r="KY731" s="135"/>
      <c r="KZ731" s="135"/>
      <c r="LA731" s="135"/>
      <c r="LB731" s="135"/>
      <c r="LC731" s="135"/>
      <c r="LD731" s="135"/>
      <c r="LE731" s="135"/>
      <c r="LF731" s="135"/>
      <c r="LG731" s="135"/>
      <c r="LH731" s="135"/>
      <c r="LI731" s="135"/>
      <c r="LJ731" s="135"/>
      <c r="LK731" s="135"/>
      <c r="LL731" s="135"/>
      <c r="LM731" s="135"/>
      <c r="LN731" s="135"/>
      <c r="LO731" s="135"/>
      <c r="LP731" s="135"/>
      <c r="LQ731" s="135"/>
      <c r="LR731" s="135"/>
      <c r="LS731" s="135"/>
      <c r="LT731" s="135"/>
      <c r="LU731" s="135"/>
      <c r="LV731" s="135"/>
      <c r="LW731" s="135"/>
      <c r="LX731" s="135"/>
      <c r="LY731" s="135"/>
      <c r="LZ731" s="135"/>
      <c r="MA731" s="135"/>
      <c r="MB731" s="135"/>
      <c r="MC731" s="135"/>
      <c r="MD731" s="135"/>
      <c r="ME731" s="135"/>
      <c r="MF731" s="135"/>
      <c r="MG731" s="135"/>
      <c r="MH731" s="135"/>
      <c r="MI731" s="135"/>
      <c r="MJ731" s="135"/>
      <c r="MK731" s="135"/>
      <c r="ML731" s="135"/>
      <c r="MM731" s="135"/>
      <c r="MN731" s="135"/>
      <c r="MO731" s="135"/>
      <c r="MP731" s="135"/>
      <c r="MQ731" s="135"/>
      <c r="MR731" s="135"/>
      <c r="MS731" s="135"/>
      <c r="MT731" s="135"/>
      <c r="MU731" s="135"/>
      <c r="MV731" s="135"/>
      <c r="MW731" s="135"/>
      <c r="MX731" s="135"/>
      <c r="MY731" s="135"/>
      <c r="MZ731" s="135"/>
      <c r="NA731" s="135"/>
      <c r="NB731" s="135"/>
      <c r="NC731" s="135"/>
      <c r="ND731" s="135"/>
      <c r="NE731" s="135"/>
      <c r="NF731" s="135"/>
      <c r="NG731" s="135"/>
      <c r="NH731" s="135"/>
      <c r="NI731" s="135"/>
      <c r="NJ731" s="135"/>
      <c r="NK731" s="135"/>
      <c r="NL731" s="135"/>
      <c r="NM731" s="135"/>
      <c r="NN731" s="135"/>
      <c r="NO731" s="135"/>
      <c r="NP731" s="135"/>
      <c r="NQ731" s="135"/>
      <c r="NR731" s="135"/>
      <c r="NS731" s="135"/>
      <c r="NT731" s="135"/>
      <c r="NU731" s="135"/>
      <c r="NV731" s="135"/>
      <c r="NW731" s="135"/>
      <c r="NX731" s="135"/>
      <c r="NY731" s="135"/>
      <c r="NZ731" s="135"/>
      <c r="OA731" s="135"/>
      <c r="OB731" s="135"/>
      <c r="OC731" s="135"/>
      <c r="OD731" s="135"/>
      <c r="OE731" s="135"/>
      <c r="OF731" s="135"/>
      <c r="OG731" s="135"/>
      <c r="OH731" s="135"/>
      <c r="OI731" s="135"/>
      <c r="OJ731" s="135"/>
      <c r="OK731" s="135"/>
      <c r="OL731" s="135"/>
      <c r="OM731" s="135"/>
      <c r="ON731" s="135"/>
      <c r="OO731" s="135"/>
      <c r="OP731" s="135"/>
      <c r="OQ731" s="135"/>
      <c r="OR731" s="135"/>
      <c r="OS731" s="135"/>
      <c r="OT731" s="135"/>
      <c r="OU731" s="135"/>
      <c r="OV731" s="135"/>
      <c r="OW731" s="135"/>
      <c r="OX731" s="135"/>
      <c r="OY731" s="135"/>
      <c r="OZ731" s="135"/>
      <c r="PA731" s="135"/>
      <c r="PB731" s="135"/>
      <c r="PC731" s="135"/>
      <c r="PD731" s="135"/>
      <c r="PE731" s="135"/>
      <c r="PF731" s="135"/>
      <c r="PG731" s="135"/>
      <c r="PH731" s="135"/>
      <c r="PI731" s="135"/>
      <c r="PJ731" s="135"/>
      <c r="PK731" s="135"/>
      <c r="PL731" s="135"/>
      <c r="PM731" s="135"/>
      <c r="PN731" s="135"/>
      <c r="PO731" s="135"/>
      <c r="PP731" s="135"/>
      <c r="PQ731" s="135"/>
      <c r="PR731" s="135"/>
      <c r="PS731" s="135"/>
      <c r="PT731" s="135"/>
      <c r="PU731" s="135"/>
      <c r="PV731" s="135"/>
      <c r="PW731" s="135"/>
      <c r="PX731" s="135"/>
      <c r="PY731" s="135"/>
      <c r="PZ731" s="135"/>
      <c r="QA731" s="135"/>
      <c r="QB731" s="135"/>
      <c r="QC731" s="135"/>
      <c r="QD731" s="135"/>
      <c r="QE731" s="135"/>
      <c r="QF731" s="135"/>
      <c r="QG731" s="135"/>
      <c r="QH731" s="135"/>
      <c r="QI731" s="135"/>
      <c r="QJ731" s="135"/>
      <c r="QK731" s="135"/>
      <c r="QL731" s="135"/>
      <c r="QM731" s="135"/>
      <c r="QN731" s="135"/>
      <c r="QO731" s="135"/>
      <c r="QP731" s="135"/>
      <c r="QQ731" s="135"/>
      <c r="QR731" s="135"/>
      <c r="QS731" s="135"/>
      <c r="QT731" s="135"/>
      <c r="QU731" s="135"/>
      <c r="QV731" s="135"/>
      <c r="QW731" s="135"/>
      <c r="QX731" s="135"/>
      <c r="QY731" s="135"/>
      <c r="QZ731" s="135"/>
      <c r="RA731" s="135"/>
      <c r="RB731" s="135"/>
      <c r="RC731" s="135"/>
      <c r="RD731" s="135"/>
      <c r="RE731" s="135"/>
      <c r="RF731" s="135"/>
      <c r="RG731" s="135"/>
      <c r="RH731" s="135"/>
      <c r="RI731" s="135"/>
      <c r="RJ731" s="135"/>
      <c r="RK731" s="135"/>
      <c r="RL731" s="135"/>
      <c r="RM731" s="135"/>
      <c r="RN731" s="135"/>
      <c r="RO731" s="135"/>
      <c r="RP731" s="135"/>
      <c r="RQ731" s="135"/>
      <c r="RR731" s="135"/>
      <c r="RS731" s="135"/>
      <c r="RT731" s="135"/>
      <c r="RU731" s="135"/>
      <c r="RV731" s="135"/>
      <c r="RW731" s="135"/>
      <c r="RX731" s="135"/>
      <c r="RY731" s="135"/>
      <c r="RZ731" s="135"/>
      <c r="SA731" s="135"/>
      <c r="SB731" s="135"/>
      <c r="SC731" s="135"/>
      <c r="SD731" s="135"/>
      <c r="SE731" s="135"/>
      <c r="SF731" s="135"/>
      <c r="SG731" s="135"/>
      <c r="SH731" s="135"/>
      <c r="SI731" s="135"/>
      <c r="SJ731" s="135"/>
      <c r="SK731" s="135"/>
      <c r="SL731" s="135"/>
      <c r="SM731" s="135"/>
      <c r="SN731" s="135"/>
      <c r="SO731" s="135"/>
      <c r="SP731" s="135"/>
      <c r="SQ731" s="135"/>
      <c r="SR731" s="135"/>
      <c r="SS731" s="135"/>
      <c r="ST731" s="135"/>
      <c r="SU731" s="135"/>
      <c r="SV731" s="135"/>
      <c r="SW731" s="135"/>
      <c r="SX731" s="135"/>
      <c r="SY731" s="135"/>
      <c r="SZ731" s="135"/>
      <c r="TA731" s="135"/>
      <c r="TB731" s="135"/>
      <c r="TC731" s="135"/>
      <c r="TD731" s="135"/>
      <c r="TE731" s="135"/>
      <c r="TF731" s="135"/>
      <c r="TG731" s="135"/>
      <c r="TH731" s="135"/>
      <c r="TI731" s="135"/>
      <c r="TJ731" s="135"/>
      <c r="TK731" s="135"/>
      <c r="TL731" s="135"/>
      <c r="TM731" s="135"/>
      <c r="TN731" s="135"/>
      <c r="TO731" s="135"/>
      <c r="TP731" s="135"/>
      <c r="TQ731" s="135"/>
      <c r="TR731" s="135"/>
      <c r="TS731" s="135"/>
      <c r="TT731" s="135"/>
      <c r="TU731" s="135"/>
      <c r="TV731" s="135"/>
      <c r="TW731" s="135"/>
      <c r="TX731" s="135"/>
      <c r="TY731" s="135"/>
      <c r="TZ731" s="135"/>
      <c r="UA731" s="135"/>
      <c r="UB731" s="135"/>
      <c r="UC731" s="135"/>
      <c r="UD731" s="135"/>
      <c r="UE731" s="135"/>
      <c r="UF731" s="135"/>
      <c r="UG731" s="135"/>
    </row>
    <row r="732" spans="1:553" ht="30.75" customHeight="1">
      <c r="A732" s="356"/>
      <c r="B732" s="385" t="s">
        <v>35</v>
      </c>
      <c r="C732" s="1401" t="s">
        <v>982</v>
      </c>
      <c r="D732" s="1389"/>
      <c r="E732" s="1389"/>
      <c r="F732" s="1390"/>
      <c r="G732" s="386" t="s">
        <v>33</v>
      </c>
      <c r="H732" s="622"/>
      <c r="I732" s="626">
        <f>0.44*2.5*5</f>
        <v>5.5</v>
      </c>
      <c r="J732" s="369">
        <v>39000</v>
      </c>
      <c r="K732" s="371"/>
      <c r="L732" s="627">
        <f t="shared" si="114"/>
        <v>214500</v>
      </c>
      <c r="M732" s="549"/>
      <c r="N732" s="549"/>
      <c r="O732" s="366"/>
      <c r="P732" s="385"/>
      <c r="Q732" s="394"/>
      <c r="R732" s="1230"/>
      <c r="S732" s="308"/>
      <c r="T732" s="308"/>
      <c r="U732" s="308"/>
      <c r="V732" s="308"/>
      <c r="W732" s="308"/>
      <c r="X732" s="308"/>
      <c r="Y732" s="308"/>
      <c r="Z732" s="604"/>
      <c r="AA732" s="308"/>
      <c r="AB732" s="308"/>
      <c r="AC732" s="628"/>
      <c r="AD732" s="628"/>
      <c r="AE732" s="628"/>
      <c r="AF732" s="628"/>
      <c r="AG732" s="628"/>
      <c r="AH732" s="629"/>
      <c r="AI732" s="629"/>
      <c r="AJ732" s="629"/>
      <c r="AK732" s="629"/>
      <c r="AL732" s="135"/>
      <c r="AM732" s="135"/>
      <c r="AN732" s="135"/>
      <c r="AO732" s="135"/>
      <c r="AP732" s="135"/>
      <c r="AQ732" s="135"/>
      <c r="AR732" s="135"/>
      <c r="AS732" s="135"/>
      <c r="AT732" s="135"/>
      <c r="AU732" s="135"/>
      <c r="AV732" s="135"/>
      <c r="AW732" s="135"/>
      <c r="AX732" s="135"/>
      <c r="AY732" s="135"/>
      <c r="AZ732" s="135"/>
      <c r="BA732" s="135"/>
      <c r="BB732" s="135"/>
      <c r="BC732" s="135"/>
      <c r="BD732" s="135"/>
      <c r="BE732" s="135"/>
      <c r="BF732" s="135"/>
      <c r="BG732" s="135"/>
      <c r="BH732" s="135"/>
      <c r="BI732" s="135"/>
      <c r="BJ732" s="135"/>
      <c r="BK732" s="135"/>
      <c r="BL732" s="135"/>
      <c r="BM732" s="135"/>
      <c r="BN732" s="135"/>
      <c r="BO732" s="135"/>
      <c r="BP732" s="135"/>
      <c r="BQ732" s="135"/>
      <c r="BR732" s="135"/>
      <c r="BS732" s="135"/>
      <c r="BT732" s="135"/>
      <c r="BU732" s="135"/>
      <c r="BV732" s="135"/>
      <c r="BW732" s="135"/>
      <c r="BX732" s="135"/>
      <c r="BY732" s="135"/>
      <c r="BZ732" s="135"/>
      <c r="CA732" s="135"/>
      <c r="CB732" s="135"/>
      <c r="CC732" s="135"/>
      <c r="CD732" s="135"/>
      <c r="CE732" s="135"/>
      <c r="CF732" s="135"/>
      <c r="CG732" s="135"/>
      <c r="CH732" s="135"/>
      <c r="CI732" s="135"/>
      <c r="CJ732" s="135"/>
      <c r="CK732" s="135"/>
      <c r="CL732" s="135"/>
      <c r="CM732" s="135"/>
      <c r="CN732" s="135"/>
      <c r="CO732" s="135"/>
      <c r="CP732" s="135"/>
      <c r="CQ732" s="135"/>
      <c r="CR732" s="135"/>
      <c r="CS732" s="135"/>
      <c r="CT732" s="135"/>
      <c r="CU732" s="135"/>
      <c r="CV732" s="135"/>
      <c r="CW732" s="135"/>
      <c r="CX732" s="135"/>
      <c r="CY732" s="135"/>
      <c r="CZ732" s="135"/>
      <c r="DA732" s="135"/>
      <c r="DB732" s="135"/>
      <c r="DC732" s="135"/>
      <c r="DD732" s="135"/>
      <c r="DE732" s="135"/>
      <c r="DF732" s="135"/>
      <c r="DG732" s="135"/>
      <c r="DH732" s="135"/>
      <c r="DI732" s="135"/>
      <c r="DJ732" s="135"/>
      <c r="DK732" s="135"/>
      <c r="DL732" s="135"/>
      <c r="DM732" s="135"/>
      <c r="DN732" s="135"/>
      <c r="DO732" s="135"/>
      <c r="DP732" s="135"/>
      <c r="DQ732" s="135"/>
      <c r="DR732" s="135"/>
      <c r="DS732" s="135"/>
      <c r="DT732" s="135"/>
      <c r="DU732" s="135"/>
      <c r="DV732" s="135"/>
      <c r="DW732" s="135"/>
      <c r="DX732" s="135"/>
      <c r="DY732" s="135"/>
      <c r="DZ732" s="135"/>
      <c r="EA732" s="135"/>
      <c r="EB732" s="135"/>
      <c r="EC732" s="135"/>
      <c r="ED732" s="135"/>
      <c r="EE732" s="135"/>
      <c r="EF732" s="135"/>
      <c r="EG732" s="135"/>
      <c r="EH732" s="135"/>
      <c r="EI732" s="135"/>
      <c r="EJ732" s="135"/>
      <c r="EK732" s="135"/>
      <c r="EL732" s="135"/>
      <c r="EM732" s="135"/>
      <c r="EN732" s="135"/>
      <c r="EO732" s="135"/>
      <c r="EP732" s="135"/>
      <c r="EQ732" s="135"/>
      <c r="ER732" s="135"/>
      <c r="ES732" s="135"/>
      <c r="ET732" s="135"/>
      <c r="EU732" s="135"/>
      <c r="EV732" s="135"/>
      <c r="EW732" s="135"/>
      <c r="EX732" s="135"/>
      <c r="EY732" s="135"/>
      <c r="EZ732" s="135"/>
      <c r="FA732" s="135"/>
      <c r="FB732" s="135"/>
      <c r="FC732" s="135"/>
      <c r="FD732" s="135"/>
      <c r="FE732" s="135"/>
      <c r="FF732" s="135"/>
      <c r="FG732" s="135"/>
      <c r="FH732" s="135"/>
      <c r="FI732" s="135"/>
      <c r="FJ732" s="135"/>
      <c r="FK732" s="135"/>
      <c r="FL732" s="135"/>
      <c r="FM732" s="135"/>
      <c r="FN732" s="135"/>
      <c r="FO732" s="135"/>
      <c r="FP732" s="135"/>
      <c r="FQ732" s="135"/>
      <c r="FR732" s="135"/>
      <c r="FS732" s="135"/>
      <c r="FT732" s="135"/>
      <c r="FU732" s="135"/>
      <c r="FV732" s="135"/>
      <c r="FW732" s="135"/>
      <c r="FX732" s="135"/>
      <c r="FY732" s="135"/>
      <c r="FZ732" s="135"/>
      <c r="GA732" s="135"/>
      <c r="GB732" s="135"/>
      <c r="GC732" s="135"/>
      <c r="GD732" s="135"/>
      <c r="GE732" s="135"/>
      <c r="GF732" s="135"/>
      <c r="GG732" s="135"/>
      <c r="GH732" s="135"/>
      <c r="GI732" s="135"/>
      <c r="GJ732" s="135"/>
      <c r="GK732" s="135"/>
      <c r="GL732" s="135"/>
      <c r="GM732" s="135"/>
      <c r="GN732" s="135"/>
      <c r="GO732" s="135"/>
      <c r="GP732" s="135"/>
      <c r="GQ732" s="135"/>
      <c r="GR732" s="135"/>
      <c r="GS732" s="135"/>
      <c r="GT732" s="135"/>
      <c r="GU732" s="135"/>
      <c r="GV732" s="135"/>
      <c r="GW732" s="135"/>
      <c r="GX732" s="135"/>
      <c r="GY732" s="135"/>
      <c r="GZ732" s="135"/>
      <c r="HA732" s="135"/>
      <c r="HB732" s="135"/>
      <c r="HC732" s="135"/>
      <c r="HD732" s="135"/>
      <c r="HE732" s="135"/>
      <c r="HF732" s="135"/>
      <c r="HG732" s="135"/>
      <c r="HH732" s="135"/>
      <c r="HI732" s="135"/>
      <c r="HJ732" s="135"/>
      <c r="HK732" s="135"/>
      <c r="HL732" s="135"/>
      <c r="HM732" s="135"/>
      <c r="HN732" s="135"/>
      <c r="HO732" s="135"/>
      <c r="HP732" s="135"/>
      <c r="HQ732" s="135"/>
      <c r="HR732" s="135"/>
      <c r="HS732" s="135"/>
      <c r="HT732" s="135"/>
      <c r="HU732" s="135"/>
      <c r="HV732" s="135"/>
      <c r="HW732" s="135"/>
      <c r="HX732" s="135"/>
      <c r="HY732" s="135"/>
      <c r="HZ732" s="135"/>
      <c r="IA732" s="135"/>
      <c r="IB732" s="135"/>
      <c r="IC732" s="135"/>
      <c r="ID732" s="135"/>
      <c r="IE732" s="135"/>
      <c r="IF732" s="135"/>
      <c r="IG732" s="135"/>
      <c r="IH732" s="135"/>
      <c r="II732" s="135"/>
      <c r="IJ732" s="135"/>
      <c r="IK732" s="135"/>
      <c r="IL732" s="135"/>
      <c r="IM732" s="135"/>
      <c r="IN732" s="135"/>
      <c r="IO732" s="135"/>
      <c r="IP732" s="135"/>
      <c r="IQ732" s="135"/>
      <c r="IR732" s="135"/>
      <c r="IS732" s="135"/>
      <c r="IT732" s="135"/>
      <c r="IU732" s="135"/>
      <c r="IV732" s="135"/>
      <c r="IW732" s="135"/>
      <c r="IX732" s="135"/>
      <c r="IY732" s="135"/>
      <c r="IZ732" s="135"/>
      <c r="JA732" s="135"/>
      <c r="JB732" s="135"/>
      <c r="JC732" s="135"/>
      <c r="JD732" s="135"/>
      <c r="JE732" s="135"/>
      <c r="JF732" s="135"/>
      <c r="JG732" s="135"/>
      <c r="JH732" s="135"/>
      <c r="JI732" s="135"/>
      <c r="JJ732" s="135"/>
      <c r="JK732" s="135"/>
      <c r="JL732" s="135"/>
      <c r="JM732" s="135"/>
      <c r="JN732" s="135"/>
      <c r="JO732" s="135"/>
      <c r="JP732" s="135"/>
      <c r="JQ732" s="135"/>
      <c r="JR732" s="135"/>
      <c r="JS732" s="135"/>
      <c r="JT732" s="135"/>
      <c r="JU732" s="135"/>
      <c r="JV732" s="135"/>
      <c r="JW732" s="135"/>
      <c r="JX732" s="135"/>
      <c r="JY732" s="135"/>
      <c r="JZ732" s="135"/>
      <c r="KA732" s="135"/>
      <c r="KB732" s="135"/>
      <c r="KC732" s="135"/>
      <c r="KD732" s="135"/>
      <c r="KE732" s="135"/>
      <c r="KF732" s="135"/>
      <c r="KG732" s="135"/>
      <c r="KH732" s="135"/>
      <c r="KI732" s="135"/>
      <c r="KJ732" s="135"/>
      <c r="KK732" s="135"/>
      <c r="KL732" s="135"/>
      <c r="KM732" s="135"/>
      <c r="KN732" s="135"/>
      <c r="KO732" s="135"/>
      <c r="KP732" s="135"/>
      <c r="KQ732" s="135"/>
      <c r="KR732" s="135"/>
      <c r="KS732" s="135"/>
      <c r="KT732" s="135"/>
      <c r="KU732" s="135"/>
      <c r="KV732" s="135"/>
      <c r="KW732" s="135"/>
      <c r="KX732" s="135"/>
      <c r="KY732" s="135"/>
      <c r="KZ732" s="135"/>
      <c r="LA732" s="135"/>
      <c r="LB732" s="135"/>
      <c r="LC732" s="135"/>
      <c r="LD732" s="135"/>
      <c r="LE732" s="135"/>
      <c r="LF732" s="135"/>
      <c r="LG732" s="135"/>
      <c r="LH732" s="135"/>
      <c r="LI732" s="135"/>
      <c r="LJ732" s="135"/>
      <c r="LK732" s="135"/>
      <c r="LL732" s="135"/>
      <c r="LM732" s="135"/>
      <c r="LN732" s="135"/>
      <c r="LO732" s="135"/>
      <c r="LP732" s="135"/>
      <c r="LQ732" s="135"/>
      <c r="LR732" s="135"/>
      <c r="LS732" s="135"/>
      <c r="LT732" s="135"/>
      <c r="LU732" s="135"/>
      <c r="LV732" s="135"/>
      <c r="LW732" s="135"/>
      <c r="LX732" s="135"/>
      <c r="LY732" s="135"/>
      <c r="LZ732" s="135"/>
      <c r="MA732" s="135"/>
      <c r="MB732" s="135"/>
      <c r="MC732" s="135"/>
      <c r="MD732" s="135"/>
      <c r="ME732" s="135"/>
      <c r="MF732" s="135"/>
      <c r="MG732" s="135"/>
      <c r="MH732" s="135"/>
      <c r="MI732" s="135"/>
      <c r="MJ732" s="135"/>
      <c r="MK732" s="135"/>
      <c r="ML732" s="135"/>
      <c r="MM732" s="135"/>
      <c r="MN732" s="135"/>
      <c r="MO732" s="135"/>
      <c r="MP732" s="135"/>
      <c r="MQ732" s="135"/>
      <c r="MR732" s="135"/>
      <c r="MS732" s="135"/>
      <c r="MT732" s="135"/>
      <c r="MU732" s="135"/>
      <c r="MV732" s="135"/>
      <c r="MW732" s="135"/>
      <c r="MX732" s="135"/>
      <c r="MY732" s="135"/>
      <c r="MZ732" s="135"/>
      <c r="NA732" s="135"/>
      <c r="NB732" s="135"/>
      <c r="NC732" s="135"/>
      <c r="ND732" s="135"/>
      <c r="NE732" s="135"/>
      <c r="NF732" s="135"/>
      <c r="NG732" s="135"/>
      <c r="NH732" s="135"/>
      <c r="NI732" s="135"/>
      <c r="NJ732" s="135"/>
      <c r="NK732" s="135"/>
      <c r="NL732" s="135"/>
      <c r="NM732" s="135"/>
      <c r="NN732" s="135"/>
      <c r="NO732" s="135"/>
      <c r="NP732" s="135"/>
      <c r="NQ732" s="135"/>
      <c r="NR732" s="135"/>
      <c r="NS732" s="135"/>
      <c r="NT732" s="135"/>
      <c r="NU732" s="135"/>
      <c r="NV732" s="135"/>
      <c r="NW732" s="135"/>
      <c r="NX732" s="135"/>
      <c r="NY732" s="135"/>
      <c r="NZ732" s="135"/>
      <c r="OA732" s="135"/>
      <c r="OB732" s="135"/>
      <c r="OC732" s="135"/>
      <c r="OD732" s="135"/>
      <c r="OE732" s="135"/>
      <c r="OF732" s="135"/>
      <c r="OG732" s="135"/>
      <c r="OH732" s="135"/>
      <c r="OI732" s="135"/>
      <c r="OJ732" s="135"/>
      <c r="OK732" s="135"/>
      <c r="OL732" s="135"/>
      <c r="OM732" s="135"/>
      <c r="ON732" s="135"/>
      <c r="OO732" s="135"/>
      <c r="OP732" s="135"/>
      <c r="OQ732" s="135"/>
      <c r="OR732" s="135"/>
      <c r="OS732" s="135"/>
      <c r="OT732" s="135"/>
      <c r="OU732" s="135"/>
      <c r="OV732" s="135"/>
      <c r="OW732" s="135"/>
      <c r="OX732" s="135"/>
      <c r="OY732" s="135"/>
      <c r="OZ732" s="135"/>
      <c r="PA732" s="135"/>
      <c r="PB732" s="135"/>
      <c r="PC732" s="135"/>
      <c r="PD732" s="135"/>
      <c r="PE732" s="135"/>
      <c r="PF732" s="135"/>
      <c r="PG732" s="135"/>
      <c r="PH732" s="135"/>
      <c r="PI732" s="135"/>
      <c r="PJ732" s="135"/>
      <c r="PK732" s="135"/>
      <c r="PL732" s="135"/>
      <c r="PM732" s="135"/>
      <c r="PN732" s="135"/>
      <c r="PO732" s="135"/>
      <c r="PP732" s="135"/>
      <c r="PQ732" s="135"/>
      <c r="PR732" s="135"/>
      <c r="PS732" s="135"/>
      <c r="PT732" s="135"/>
      <c r="PU732" s="135"/>
      <c r="PV732" s="135"/>
      <c r="PW732" s="135"/>
      <c r="PX732" s="135"/>
      <c r="PY732" s="135"/>
      <c r="PZ732" s="135"/>
      <c r="QA732" s="135"/>
      <c r="QB732" s="135"/>
      <c r="QC732" s="135"/>
      <c r="QD732" s="135"/>
      <c r="QE732" s="135"/>
      <c r="QF732" s="135"/>
      <c r="QG732" s="135"/>
      <c r="QH732" s="135"/>
      <c r="QI732" s="135"/>
      <c r="QJ732" s="135"/>
      <c r="QK732" s="135"/>
      <c r="QL732" s="135"/>
      <c r="QM732" s="135"/>
      <c r="QN732" s="135"/>
      <c r="QO732" s="135"/>
      <c r="QP732" s="135"/>
      <c r="QQ732" s="135"/>
      <c r="QR732" s="135"/>
      <c r="QS732" s="135"/>
      <c r="QT732" s="135"/>
      <c r="QU732" s="135"/>
      <c r="QV732" s="135"/>
      <c r="QW732" s="135"/>
      <c r="QX732" s="135"/>
      <c r="QY732" s="135"/>
      <c r="QZ732" s="135"/>
      <c r="RA732" s="135"/>
      <c r="RB732" s="135"/>
      <c r="RC732" s="135"/>
      <c r="RD732" s="135"/>
      <c r="RE732" s="135"/>
      <c r="RF732" s="135"/>
      <c r="RG732" s="135"/>
      <c r="RH732" s="135"/>
      <c r="RI732" s="135"/>
      <c r="RJ732" s="135"/>
      <c r="RK732" s="135"/>
      <c r="RL732" s="135"/>
      <c r="RM732" s="135"/>
      <c r="RN732" s="135"/>
      <c r="RO732" s="135"/>
      <c r="RP732" s="135"/>
      <c r="RQ732" s="135"/>
      <c r="RR732" s="135"/>
      <c r="RS732" s="135"/>
      <c r="RT732" s="135"/>
      <c r="RU732" s="135"/>
      <c r="RV732" s="135"/>
      <c r="RW732" s="135"/>
      <c r="RX732" s="135"/>
      <c r="RY732" s="135"/>
      <c r="RZ732" s="135"/>
      <c r="SA732" s="135"/>
      <c r="SB732" s="135"/>
      <c r="SC732" s="135"/>
      <c r="SD732" s="135"/>
      <c r="SE732" s="135"/>
      <c r="SF732" s="135"/>
      <c r="SG732" s="135"/>
      <c r="SH732" s="135"/>
      <c r="SI732" s="135"/>
      <c r="SJ732" s="135"/>
      <c r="SK732" s="135"/>
      <c r="SL732" s="135"/>
      <c r="SM732" s="135"/>
      <c r="SN732" s="135"/>
      <c r="SO732" s="135"/>
      <c r="SP732" s="135"/>
      <c r="SQ732" s="135"/>
      <c r="SR732" s="135"/>
      <c r="SS732" s="135"/>
      <c r="ST732" s="135"/>
      <c r="SU732" s="135"/>
      <c r="SV732" s="135"/>
      <c r="SW732" s="135"/>
      <c r="SX732" s="135"/>
      <c r="SY732" s="135"/>
      <c r="SZ732" s="135"/>
      <c r="TA732" s="135"/>
      <c r="TB732" s="135"/>
      <c r="TC732" s="135"/>
      <c r="TD732" s="135"/>
      <c r="TE732" s="135"/>
      <c r="TF732" s="135"/>
      <c r="TG732" s="135"/>
      <c r="TH732" s="135"/>
      <c r="TI732" s="135"/>
      <c r="TJ732" s="135"/>
      <c r="TK732" s="135"/>
      <c r="TL732" s="135"/>
      <c r="TM732" s="135"/>
      <c r="TN732" s="135"/>
      <c r="TO732" s="135"/>
      <c r="TP732" s="135"/>
      <c r="TQ732" s="135"/>
      <c r="TR732" s="135"/>
      <c r="TS732" s="135"/>
      <c r="TT732" s="135"/>
      <c r="TU732" s="135"/>
      <c r="TV732" s="135"/>
      <c r="TW732" s="135"/>
      <c r="TX732" s="135"/>
      <c r="TY732" s="135"/>
      <c r="TZ732" s="135"/>
      <c r="UA732" s="135"/>
      <c r="UB732" s="135"/>
      <c r="UC732" s="135"/>
      <c r="UD732" s="135"/>
      <c r="UE732" s="135"/>
      <c r="UF732" s="135"/>
      <c r="UG732" s="135"/>
    </row>
    <row r="733" spans="1:553" ht="30.75" customHeight="1">
      <c r="A733" s="356"/>
      <c r="B733" s="385" t="s">
        <v>35</v>
      </c>
      <c r="C733" s="1401" t="s">
        <v>981</v>
      </c>
      <c r="D733" s="1389"/>
      <c r="E733" s="1389"/>
      <c r="F733" s="1390"/>
      <c r="G733" s="386" t="s">
        <v>33</v>
      </c>
      <c r="H733" s="622"/>
      <c r="I733" s="626">
        <f>0.28*4.8*6</f>
        <v>8.0640000000000001</v>
      </c>
      <c r="J733" s="369">
        <v>39000</v>
      </c>
      <c r="K733" s="371"/>
      <c r="L733" s="627">
        <f t="shared" si="114"/>
        <v>314496</v>
      </c>
      <c r="M733" s="549"/>
      <c r="N733" s="549"/>
      <c r="O733" s="366"/>
      <c r="P733" s="385"/>
      <c r="Q733" s="394"/>
      <c r="R733" s="1230"/>
      <c r="S733" s="308"/>
      <c r="T733" s="308"/>
      <c r="U733" s="308"/>
      <c r="V733" s="308"/>
      <c r="W733" s="308"/>
      <c r="X733" s="308"/>
      <c r="Y733" s="308"/>
      <c r="Z733" s="604"/>
      <c r="AA733" s="308"/>
      <c r="AB733" s="308"/>
      <c r="AC733" s="628"/>
      <c r="AD733" s="628"/>
      <c r="AE733" s="628"/>
      <c r="AF733" s="628"/>
      <c r="AG733" s="628"/>
      <c r="AH733" s="629"/>
      <c r="AI733" s="629"/>
      <c r="AJ733" s="629"/>
      <c r="AK733" s="629"/>
      <c r="AL733" s="135"/>
      <c r="AM733" s="135"/>
      <c r="AN733" s="135"/>
      <c r="AO733" s="135"/>
      <c r="AP733" s="135"/>
      <c r="AQ733" s="135"/>
      <c r="AR733" s="135"/>
      <c r="AS733" s="135"/>
      <c r="AT733" s="135"/>
      <c r="AU733" s="135"/>
      <c r="AV733" s="135"/>
      <c r="AW733" s="135"/>
      <c r="AX733" s="135"/>
      <c r="AY733" s="135"/>
      <c r="AZ733" s="135"/>
      <c r="BA733" s="135"/>
      <c r="BB733" s="135"/>
      <c r="BC733" s="135"/>
      <c r="BD733" s="135"/>
      <c r="BE733" s="135"/>
      <c r="BF733" s="135"/>
      <c r="BG733" s="135"/>
      <c r="BH733" s="135"/>
      <c r="BI733" s="135"/>
      <c r="BJ733" s="135"/>
      <c r="BK733" s="135"/>
      <c r="BL733" s="135"/>
      <c r="BM733" s="135"/>
      <c r="BN733" s="135"/>
      <c r="BO733" s="135"/>
      <c r="BP733" s="135"/>
      <c r="BQ733" s="135"/>
      <c r="BR733" s="135"/>
      <c r="BS733" s="135"/>
      <c r="BT733" s="135"/>
      <c r="BU733" s="135"/>
      <c r="BV733" s="135"/>
      <c r="BW733" s="135"/>
      <c r="BX733" s="135"/>
      <c r="BY733" s="135"/>
      <c r="BZ733" s="135"/>
      <c r="CA733" s="135"/>
      <c r="CB733" s="135"/>
      <c r="CC733" s="135"/>
      <c r="CD733" s="135"/>
      <c r="CE733" s="135"/>
      <c r="CF733" s="135"/>
      <c r="CG733" s="135"/>
      <c r="CH733" s="135"/>
      <c r="CI733" s="135"/>
      <c r="CJ733" s="135"/>
      <c r="CK733" s="135"/>
      <c r="CL733" s="135"/>
      <c r="CM733" s="135"/>
      <c r="CN733" s="135"/>
      <c r="CO733" s="135"/>
      <c r="CP733" s="135"/>
      <c r="CQ733" s="135"/>
      <c r="CR733" s="135"/>
      <c r="CS733" s="135"/>
      <c r="CT733" s="135"/>
      <c r="CU733" s="135"/>
      <c r="CV733" s="135"/>
      <c r="CW733" s="135"/>
      <c r="CX733" s="135"/>
      <c r="CY733" s="135"/>
      <c r="CZ733" s="135"/>
      <c r="DA733" s="135"/>
      <c r="DB733" s="135"/>
      <c r="DC733" s="135"/>
      <c r="DD733" s="135"/>
      <c r="DE733" s="135"/>
      <c r="DF733" s="135"/>
      <c r="DG733" s="135"/>
      <c r="DH733" s="135"/>
      <c r="DI733" s="135"/>
      <c r="DJ733" s="135"/>
      <c r="DK733" s="135"/>
      <c r="DL733" s="135"/>
      <c r="DM733" s="135"/>
      <c r="DN733" s="135"/>
      <c r="DO733" s="135"/>
      <c r="DP733" s="135"/>
      <c r="DQ733" s="135"/>
      <c r="DR733" s="135"/>
      <c r="DS733" s="135"/>
      <c r="DT733" s="135"/>
      <c r="DU733" s="135"/>
      <c r="DV733" s="135"/>
      <c r="DW733" s="135"/>
      <c r="DX733" s="135"/>
      <c r="DY733" s="135"/>
      <c r="DZ733" s="135"/>
      <c r="EA733" s="135"/>
      <c r="EB733" s="135"/>
      <c r="EC733" s="135"/>
      <c r="ED733" s="135"/>
      <c r="EE733" s="135"/>
      <c r="EF733" s="135"/>
      <c r="EG733" s="135"/>
      <c r="EH733" s="135"/>
      <c r="EI733" s="135"/>
      <c r="EJ733" s="135"/>
      <c r="EK733" s="135"/>
      <c r="EL733" s="135"/>
      <c r="EM733" s="135"/>
      <c r="EN733" s="135"/>
      <c r="EO733" s="135"/>
      <c r="EP733" s="135"/>
      <c r="EQ733" s="135"/>
      <c r="ER733" s="135"/>
      <c r="ES733" s="135"/>
      <c r="ET733" s="135"/>
      <c r="EU733" s="135"/>
      <c r="EV733" s="135"/>
      <c r="EW733" s="135"/>
      <c r="EX733" s="135"/>
      <c r="EY733" s="135"/>
      <c r="EZ733" s="135"/>
      <c r="FA733" s="135"/>
      <c r="FB733" s="135"/>
      <c r="FC733" s="135"/>
      <c r="FD733" s="135"/>
      <c r="FE733" s="135"/>
      <c r="FF733" s="135"/>
      <c r="FG733" s="135"/>
      <c r="FH733" s="135"/>
      <c r="FI733" s="135"/>
      <c r="FJ733" s="135"/>
      <c r="FK733" s="135"/>
      <c r="FL733" s="135"/>
      <c r="FM733" s="135"/>
      <c r="FN733" s="135"/>
      <c r="FO733" s="135"/>
      <c r="FP733" s="135"/>
      <c r="FQ733" s="135"/>
      <c r="FR733" s="135"/>
      <c r="FS733" s="135"/>
      <c r="FT733" s="135"/>
      <c r="FU733" s="135"/>
      <c r="FV733" s="135"/>
      <c r="FW733" s="135"/>
      <c r="FX733" s="135"/>
      <c r="FY733" s="135"/>
      <c r="FZ733" s="135"/>
      <c r="GA733" s="135"/>
      <c r="GB733" s="135"/>
      <c r="GC733" s="135"/>
      <c r="GD733" s="135"/>
      <c r="GE733" s="135"/>
      <c r="GF733" s="135"/>
      <c r="GG733" s="135"/>
      <c r="GH733" s="135"/>
      <c r="GI733" s="135"/>
      <c r="GJ733" s="135"/>
      <c r="GK733" s="135"/>
      <c r="GL733" s="135"/>
      <c r="GM733" s="135"/>
      <c r="GN733" s="135"/>
      <c r="GO733" s="135"/>
      <c r="GP733" s="135"/>
      <c r="GQ733" s="135"/>
      <c r="GR733" s="135"/>
      <c r="GS733" s="135"/>
      <c r="GT733" s="135"/>
      <c r="GU733" s="135"/>
      <c r="GV733" s="135"/>
      <c r="GW733" s="135"/>
      <c r="GX733" s="135"/>
      <c r="GY733" s="135"/>
      <c r="GZ733" s="135"/>
      <c r="HA733" s="135"/>
      <c r="HB733" s="135"/>
      <c r="HC733" s="135"/>
      <c r="HD733" s="135"/>
      <c r="HE733" s="135"/>
      <c r="HF733" s="135"/>
      <c r="HG733" s="135"/>
      <c r="HH733" s="135"/>
      <c r="HI733" s="135"/>
      <c r="HJ733" s="135"/>
      <c r="HK733" s="135"/>
      <c r="HL733" s="135"/>
      <c r="HM733" s="135"/>
      <c r="HN733" s="135"/>
      <c r="HO733" s="135"/>
      <c r="HP733" s="135"/>
      <c r="HQ733" s="135"/>
      <c r="HR733" s="135"/>
      <c r="HS733" s="135"/>
      <c r="HT733" s="135"/>
      <c r="HU733" s="135"/>
      <c r="HV733" s="135"/>
      <c r="HW733" s="135"/>
      <c r="HX733" s="135"/>
      <c r="HY733" s="135"/>
      <c r="HZ733" s="135"/>
      <c r="IA733" s="135"/>
      <c r="IB733" s="135"/>
      <c r="IC733" s="135"/>
      <c r="ID733" s="135"/>
      <c r="IE733" s="135"/>
      <c r="IF733" s="135"/>
      <c r="IG733" s="135"/>
      <c r="IH733" s="135"/>
      <c r="II733" s="135"/>
      <c r="IJ733" s="135"/>
      <c r="IK733" s="135"/>
      <c r="IL733" s="135"/>
      <c r="IM733" s="135"/>
      <c r="IN733" s="135"/>
      <c r="IO733" s="135"/>
      <c r="IP733" s="135"/>
      <c r="IQ733" s="135"/>
      <c r="IR733" s="135"/>
      <c r="IS733" s="135"/>
      <c r="IT733" s="135"/>
      <c r="IU733" s="135"/>
      <c r="IV733" s="135"/>
      <c r="IW733" s="135"/>
      <c r="IX733" s="135"/>
      <c r="IY733" s="135"/>
      <c r="IZ733" s="135"/>
      <c r="JA733" s="135"/>
      <c r="JB733" s="135"/>
      <c r="JC733" s="135"/>
      <c r="JD733" s="135"/>
      <c r="JE733" s="135"/>
      <c r="JF733" s="135"/>
      <c r="JG733" s="135"/>
      <c r="JH733" s="135"/>
      <c r="JI733" s="135"/>
      <c r="JJ733" s="135"/>
      <c r="JK733" s="135"/>
      <c r="JL733" s="135"/>
      <c r="JM733" s="135"/>
      <c r="JN733" s="135"/>
      <c r="JO733" s="135"/>
      <c r="JP733" s="135"/>
      <c r="JQ733" s="135"/>
      <c r="JR733" s="135"/>
      <c r="JS733" s="135"/>
      <c r="JT733" s="135"/>
      <c r="JU733" s="135"/>
      <c r="JV733" s="135"/>
      <c r="JW733" s="135"/>
      <c r="JX733" s="135"/>
      <c r="JY733" s="135"/>
      <c r="JZ733" s="135"/>
      <c r="KA733" s="135"/>
      <c r="KB733" s="135"/>
      <c r="KC733" s="135"/>
      <c r="KD733" s="135"/>
      <c r="KE733" s="135"/>
      <c r="KF733" s="135"/>
      <c r="KG733" s="135"/>
      <c r="KH733" s="135"/>
      <c r="KI733" s="135"/>
      <c r="KJ733" s="135"/>
      <c r="KK733" s="135"/>
      <c r="KL733" s="135"/>
      <c r="KM733" s="135"/>
      <c r="KN733" s="135"/>
      <c r="KO733" s="135"/>
      <c r="KP733" s="135"/>
      <c r="KQ733" s="135"/>
      <c r="KR733" s="135"/>
      <c r="KS733" s="135"/>
      <c r="KT733" s="135"/>
      <c r="KU733" s="135"/>
      <c r="KV733" s="135"/>
      <c r="KW733" s="135"/>
      <c r="KX733" s="135"/>
      <c r="KY733" s="135"/>
      <c r="KZ733" s="135"/>
      <c r="LA733" s="135"/>
      <c r="LB733" s="135"/>
      <c r="LC733" s="135"/>
      <c r="LD733" s="135"/>
      <c r="LE733" s="135"/>
      <c r="LF733" s="135"/>
      <c r="LG733" s="135"/>
      <c r="LH733" s="135"/>
      <c r="LI733" s="135"/>
      <c r="LJ733" s="135"/>
      <c r="LK733" s="135"/>
      <c r="LL733" s="135"/>
      <c r="LM733" s="135"/>
      <c r="LN733" s="135"/>
      <c r="LO733" s="135"/>
      <c r="LP733" s="135"/>
      <c r="LQ733" s="135"/>
      <c r="LR733" s="135"/>
      <c r="LS733" s="135"/>
      <c r="LT733" s="135"/>
      <c r="LU733" s="135"/>
      <c r="LV733" s="135"/>
      <c r="LW733" s="135"/>
      <c r="LX733" s="135"/>
      <c r="LY733" s="135"/>
      <c r="LZ733" s="135"/>
      <c r="MA733" s="135"/>
      <c r="MB733" s="135"/>
      <c r="MC733" s="135"/>
      <c r="MD733" s="135"/>
      <c r="ME733" s="135"/>
      <c r="MF733" s="135"/>
      <c r="MG733" s="135"/>
      <c r="MH733" s="135"/>
      <c r="MI733" s="135"/>
      <c r="MJ733" s="135"/>
      <c r="MK733" s="135"/>
      <c r="ML733" s="135"/>
      <c r="MM733" s="135"/>
      <c r="MN733" s="135"/>
      <c r="MO733" s="135"/>
      <c r="MP733" s="135"/>
      <c r="MQ733" s="135"/>
      <c r="MR733" s="135"/>
      <c r="MS733" s="135"/>
      <c r="MT733" s="135"/>
      <c r="MU733" s="135"/>
      <c r="MV733" s="135"/>
      <c r="MW733" s="135"/>
      <c r="MX733" s="135"/>
      <c r="MY733" s="135"/>
      <c r="MZ733" s="135"/>
      <c r="NA733" s="135"/>
      <c r="NB733" s="135"/>
      <c r="NC733" s="135"/>
      <c r="ND733" s="135"/>
      <c r="NE733" s="135"/>
      <c r="NF733" s="135"/>
      <c r="NG733" s="135"/>
      <c r="NH733" s="135"/>
      <c r="NI733" s="135"/>
      <c r="NJ733" s="135"/>
      <c r="NK733" s="135"/>
      <c r="NL733" s="135"/>
      <c r="NM733" s="135"/>
      <c r="NN733" s="135"/>
      <c r="NO733" s="135"/>
      <c r="NP733" s="135"/>
      <c r="NQ733" s="135"/>
      <c r="NR733" s="135"/>
      <c r="NS733" s="135"/>
      <c r="NT733" s="135"/>
      <c r="NU733" s="135"/>
      <c r="NV733" s="135"/>
      <c r="NW733" s="135"/>
      <c r="NX733" s="135"/>
      <c r="NY733" s="135"/>
      <c r="NZ733" s="135"/>
      <c r="OA733" s="135"/>
      <c r="OB733" s="135"/>
      <c r="OC733" s="135"/>
      <c r="OD733" s="135"/>
      <c r="OE733" s="135"/>
      <c r="OF733" s="135"/>
      <c r="OG733" s="135"/>
      <c r="OH733" s="135"/>
      <c r="OI733" s="135"/>
      <c r="OJ733" s="135"/>
      <c r="OK733" s="135"/>
      <c r="OL733" s="135"/>
      <c r="OM733" s="135"/>
      <c r="ON733" s="135"/>
      <c r="OO733" s="135"/>
      <c r="OP733" s="135"/>
      <c r="OQ733" s="135"/>
      <c r="OR733" s="135"/>
      <c r="OS733" s="135"/>
      <c r="OT733" s="135"/>
      <c r="OU733" s="135"/>
      <c r="OV733" s="135"/>
      <c r="OW733" s="135"/>
      <c r="OX733" s="135"/>
      <c r="OY733" s="135"/>
      <c r="OZ733" s="135"/>
      <c r="PA733" s="135"/>
      <c r="PB733" s="135"/>
      <c r="PC733" s="135"/>
      <c r="PD733" s="135"/>
      <c r="PE733" s="135"/>
      <c r="PF733" s="135"/>
      <c r="PG733" s="135"/>
      <c r="PH733" s="135"/>
      <c r="PI733" s="135"/>
      <c r="PJ733" s="135"/>
      <c r="PK733" s="135"/>
      <c r="PL733" s="135"/>
      <c r="PM733" s="135"/>
      <c r="PN733" s="135"/>
      <c r="PO733" s="135"/>
      <c r="PP733" s="135"/>
      <c r="PQ733" s="135"/>
      <c r="PR733" s="135"/>
      <c r="PS733" s="135"/>
      <c r="PT733" s="135"/>
      <c r="PU733" s="135"/>
      <c r="PV733" s="135"/>
      <c r="PW733" s="135"/>
      <c r="PX733" s="135"/>
      <c r="PY733" s="135"/>
      <c r="PZ733" s="135"/>
      <c r="QA733" s="135"/>
      <c r="QB733" s="135"/>
      <c r="QC733" s="135"/>
      <c r="QD733" s="135"/>
      <c r="QE733" s="135"/>
      <c r="QF733" s="135"/>
      <c r="QG733" s="135"/>
      <c r="QH733" s="135"/>
      <c r="QI733" s="135"/>
      <c r="QJ733" s="135"/>
      <c r="QK733" s="135"/>
      <c r="QL733" s="135"/>
      <c r="QM733" s="135"/>
      <c r="QN733" s="135"/>
      <c r="QO733" s="135"/>
      <c r="QP733" s="135"/>
      <c r="QQ733" s="135"/>
      <c r="QR733" s="135"/>
      <c r="QS733" s="135"/>
      <c r="QT733" s="135"/>
      <c r="QU733" s="135"/>
      <c r="QV733" s="135"/>
      <c r="QW733" s="135"/>
      <c r="QX733" s="135"/>
      <c r="QY733" s="135"/>
      <c r="QZ733" s="135"/>
      <c r="RA733" s="135"/>
      <c r="RB733" s="135"/>
      <c r="RC733" s="135"/>
      <c r="RD733" s="135"/>
      <c r="RE733" s="135"/>
      <c r="RF733" s="135"/>
      <c r="RG733" s="135"/>
      <c r="RH733" s="135"/>
      <c r="RI733" s="135"/>
      <c r="RJ733" s="135"/>
      <c r="RK733" s="135"/>
      <c r="RL733" s="135"/>
      <c r="RM733" s="135"/>
      <c r="RN733" s="135"/>
      <c r="RO733" s="135"/>
      <c r="RP733" s="135"/>
      <c r="RQ733" s="135"/>
      <c r="RR733" s="135"/>
      <c r="RS733" s="135"/>
      <c r="RT733" s="135"/>
      <c r="RU733" s="135"/>
      <c r="RV733" s="135"/>
      <c r="RW733" s="135"/>
      <c r="RX733" s="135"/>
      <c r="RY733" s="135"/>
      <c r="RZ733" s="135"/>
      <c r="SA733" s="135"/>
      <c r="SB733" s="135"/>
      <c r="SC733" s="135"/>
      <c r="SD733" s="135"/>
      <c r="SE733" s="135"/>
      <c r="SF733" s="135"/>
      <c r="SG733" s="135"/>
      <c r="SH733" s="135"/>
      <c r="SI733" s="135"/>
      <c r="SJ733" s="135"/>
      <c r="SK733" s="135"/>
      <c r="SL733" s="135"/>
      <c r="SM733" s="135"/>
      <c r="SN733" s="135"/>
      <c r="SO733" s="135"/>
      <c r="SP733" s="135"/>
      <c r="SQ733" s="135"/>
      <c r="SR733" s="135"/>
      <c r="SS733" s="135"/>
      <c r="ST733" s="135"/>
      <c r="SU733" s="135"/>
      <c r="SV733" s="135"/>
      <c r="SW733" s="135"/>
      <c r="SX733" s="135"/>
      <c r="SY733" s="135"/>
      <c r="SZ733" s="135"/>
      <c r="TA733" s="135"/>
      <c r="TB733" s="135"/>
      <c r="TC733" s="135"/>
      <c r="TD733" s="135"/>
      <c r="TE733" s="135"/>
      <c r="TF733" s="135"/>
      <c r="TG733" s="135"/>
      <c r="TH733" s="135"/>
      <c r="TI733" s="135"/>
      <c r="TJ733" s="135"/>
      <c r="TK733" s="135"/>
      <c r="TL733" s="135"/>
      <c r="TM733" s="135"/>
      <c r="TN733" s="135"/>
      <c r="TO733" s="135"/>
      <c r="TP733" s="135"/>
      <c r="TQ733" s="135"/>
      <c r="TR733" s="135"/>
      <c r="TS733" s="135"/>
      <c r="TT733" s="135"/>
      <c r="TU733" s="135"/>
      <c r="TV733" s="135"/>
      <c r="TW733" s="135"/>
      <c r="TX733" s="135"/>
      <c r="TY733" s="135"/>
      <c r="TZ733" s="135"/>
      <c r="UA733" s="135"/>
      <c r="UB733" s="135"/>
      <c r="UC733" s="135"/>
      <c r="UD733" s="135"/>
      <c r="UE733" s="135"/>
      <c r="UF733" s="135"/>
      <c r="UG733" s="135"/>
    </row>
    <row r="734" spans="1:553" ht="30.75" customHeight="1">
      <c r="A734" s="356"/>
      <c r="B734" s="385" t="s">
        <v>35</v>
      </c>
      <c r="C734" s="1401" t="s">
        <v>980</v>
      </c>
      <c r="D734" s="1389"/>
      <c r="E734" s="1389"/>
      <c r="F734" s="1390"/>
      <c r="G734" s="386" t="s">
        <v>33</v>
      </c>
      <c r="H734" s="622"/>
      <c r="I734" s="626">
        <f>0.38*3.5*3</f>
        <v>3.99</v>
      </c>
      <c r="J734" s="369">
        <v>39000</v>
      </c>
      <c r="K734" s="371"/>
      <c r="L734" s="627">
        <f t="shared" si="114"/>
        <v>155610</v>
      </c>
      <c r="M734" s="549"/>
      <c r="N734" s="549"/>
      <c r="O734" s="366"/>
      <c r="P734" s="385"/>
      <c r="Q734" s="394"/>
      <c r="R734" s="1230"/>
      <c r="S734" s="308"/>
      <c r="T734" s="308"/>
      <c r="U734" s="308"/>
      <c r="V734" s="308"/>
      <c r="W734" s="308"/>
      <c r="X734" s="308"/>
      <c r="Y734" s="308"/>
      <c r="Z734" s="604"/>
      <c r="AA734" s="308"/>
      <c r="AB734" s="308"/>
      <c r="AC734" s="628"/>
      <c r="AD734" s="628"/>
      <c r="AE734" s="628"/>
      <c r="AF734" s="628"/>
      <c r="AG734" s="628"/>
      <c r="AH734" s="629"/>
      <c r="AI734" s="629"/>
      <c r="AJ734" s="629"/>
      <c r="AK734" s="629"/>
      <c r="AL734" s="135"/>
      <c r="AM734" s="135"/>
      <c r="AN734" s="135"/>
      <c r="AO734" s="135"/>
      <c r="AP734" s="135"/>
      <c r="AQ734" s="135"/>
      <c r="AR734" s="135"/>
      <c r="AS734" s="135"/>
      <c r="AT734" s="135"/>
      <c r="AU734" s="135"/>
      <c r="AV734" s="135"/>
      <c r="AW734" s="135"/>
      <c r="AX734" s="135"/>
      <c r="AY734" s="135"/>
      <c r="AZ734" s="135"/>
      <c r="BA734" s="135"/>
      <c r="BB734" s="135"/>
      <c r="BC734" s="135"/>
      <c r="BD734" s="135"/>
      <c r="BE734" s="135"/>
      <c r="BF734" s="135"/>
      <c r="BG734" s="135"/>
      <c r="BH734" s="135"/>
      <c r="BI734" s="135"/>
      <c r="BJ734" s="135"/>
      <c r="BK734" s="135"/>
      <c r="BL734" s="135"/>
      <c r="BM734" s="135"/>
      <c r="BN734" s="135"/>
      <c r="BO734" s="135"/>
      <c r="BP734" s="135"/>
      <c r="BQ734" s="135"/>
      <c r="BR734" s="135"/>
      <c r="BS734" s="135"/>
      <c r="BT734" s="135"/>
      <c r="BU734" s="135"/>
      <c r="BV734" s="135"/>
      <c r="BW734" s="135"/>
      <c r="BX734" s="135"/>
      <c r="BY734" s="135"/>
      <c r="BZ734" s="135"/>
      <c r="CA734" s="135"/>
      <c r="CB734" s="135"/>
      <c r="CC734" s="135"/>
      <c r="CD734" s="135"/>
      <c r="CE734" s="135"/>
      <c r="CF734" s="135"/>
      <c r="CG734" s="135"/>
      <c r="CH734" s="135"/>
      <c r="CI734" s="135"/>
      <c r="CJ734" s="135"/>
      <c r="CK734" s="135"/>
      <c r="CL734" s="135"/>
      <c r="CM734" s="135"/>
      <c r="CN734" s="135"/>
      <c r="CO734" s="135"/>
      <c r="CP734" s="135"/>
      <c r="CQ734" s="135"/>
      <c r="CR734" s="135"/>
      <c r="CS734" s="135"/>
      <c r="CT734" s="135"/>
      <c r="CU734" s="135"/>
      <c r="CV734" s="135"/>
      <c r="CW734" s="135"/>
      <c r="CX734" s="135"/>
      <c r="CY734" s="135"/>
      <c r="CZ734" s="135"/>
      <c r="DA734" s="135"/>
      <c r="DB734" s="135"/>
      <c r="DC734" s="135"/>
      <c r="DD734" s="135"/>
      <c r="DE734" s="135"/>
      <c r="DF734" s="135"/>
      <c r="DG734" s="135"/>
      <c r="DH734" s="135"/>
      <c r="DI734" s="135"/>
      <c r="DJ734" s="135"/>
      <c r="DK734" s="135"/>
      <c r="DL734" s="135"/>
      <c r="DM734" s="135"/>
      <c r="DN734" s="135"/>
      <c r="DO734" s="135"/>
      <c r="DP734" s="135"/>
      <c r="DQ734" s="135"/>
      <c r="DR734" s="135"/>
      <c r="DS734" s="135"/>
      <c r="DT734" s="135"/>
      <c r="DU734" s="135"/>
      <c r="DV734" s="135"/>
      <c r="DW734" s="135"/>
      <c r="DX734" s="135"/>
      <c r="DY734" s="135"/>
      <c r="DZ734" s="135"/>
      <c r="EA734" s="135"/>
      <c r="EB734" s="135"/>
      <c r="EC734" s="135"/>
      <c r="ED734" s="135"/>
      <c r="EE734" s="135"/>
      <c r="EF734" s="135"/>
      <c r="EG734" s="135"/>
      <c r="EH734" s="135"/>
      <c r="EI734" s="135"/>
      <c r="EJ734" s="135"/>
      <c r="EK734" s="135"/>
      <c r="EL734" s="135"/>
      <c r="EM734" s="135"/>
      <c r="EN734" s="135"/>
      <c r="EO734" s="135"/>
      <c r="EP734" s="135"/>
      <c r="EQ734" s="135"/>
      <c r="ER734" s="135"/>
      <c r="ES734" s="135"/>
      <c r="ET734" s="135"/>
      <c r="EU734" s="135"/>
      <c r="EV734" s="135"/>
      <c r="EW734" s="135"/>
      <c r="EX734" s="135"/>
      <c r="EY734" s="135"/>
      <c r="EZ734" s="135"/>
      <c r="FA734" s="135"/>
      <c r="FB734" s="135"/>
      <c r="FC734" s="135"/>
      <c r="FD734" s="135"/>
      <c r="FE734" s="135"/>
      <c r="FF734" s="135"/>
      <c r="FG734" s="135"/>
      <c r="FH734" s="135"/>
      <c r="FI734" s="135"/>
      <c r="FJ734" s="135"/>
      <c r="FK734" s="135"/>
      <c r="FL734" s="135"/>
      <c r="FM734" s="135"/>
      <c r="FN734" s="135"/>
      <c r="FO734" s="135"/>
      <c r="FP734" s="135"/>
      <c r="FQ734" s="135"/>
      <c r="FR734" s="135"/>
      <c r="FS734" s="135"/>
      <c r="FT734" s="135"/>
      <c r="FU734" s="135"/>
      <c r="FV734" s="135"/>
      <c r="FW734" s="135"/>
      <c r="FX734" s="135"/>
      <c r="FY734" s="135"/>
      <c r="FZ734" s="135"/>
      <c r="GA734" s="135"/>
      <c r="GB734" s="135"/>
      <c r="GC734" s="135"/>
      <c r="GD734" s="135"/>
      <c r="GE734" s="135"/>
      <c r="GF734" s="135"/>
      <c r="GG734" s="135"/>
      <c r="GH734" s="135"/>
      <c r="GI734" s="135"/>
      <c r="GJ734" s="135"/>
      <c r="GK734" s="135"/>
      <c r="GL734" s="135"/>
      <c r="GM734" s="135"/>
      <c r="GN734" s="135"/>
      <c r="GO734" s="135"/>
      <c r="GP734" s="135"/>
      <c r="GQ734" s="135"/>
      <c r="GR734" s="135"/>
      <c r="GS734" s="135"/>
      <c r="GT734" s="135"/>
      <c r="GU734" s="135"/>
      <c r="GV734" s="135"/>
      <c r="GW734" s="135"/>
      <c r="GX734" s="135"/>
      <c r="GY734" s="135"/>
      <c r="GZ734" s="135"/>
      <c r="HA734" s="135"/>
      <c r="HB734" s="135"/>
      <c r="HC734" s="135"/>
      <c r="HD734" s="135"/>
      <c r="HE734" s="135"/>
      <c r="HF734" s="135"/>
      <c r="HG734" s="135"/>
      <c r="HH734" s="135"/>
      <c r="HI734" s="135"/>
      <c r="HJ734" s="135"/>
      <c r="HK734" s="135"/>
      <c r="HL734" s="135"/>
      <c r="HM734" s="135"/>
      <c r="HN734" s="135"/>
      <c r="HO734" s="135"/>
      <c r="HP734" s="135"/>
      <c r="HQ734" s="135"/>
      <c r="HR734" s="135"/>
      <c r="HS734" s="135"/>
      <c r="HT734" s="135"/>
      <c r="HU734" s="135"/>
      <c r="HV734" s="135"/>
      <c r="HW734" s="135"/>
      <c r="HX734" s="135"/>
      <c r="HY734" s="135"/>
      <c r="HZ734" s="135"/>
      <c r="IA734" s="135"/>
      <c r="IB734" s="135"/>
      <c r="IC734" s="135"/>
      <c r="ID734" s="135"/>
      <c r="IE734" s="135"/>
      <c r="IF734" s="135"/>
      <c r="IG734" s="135"/>
      <c r="IH734" s="135"/>
      <c r="II734" s="135"/>
      <c r="IJ734" s="135"/>
      <c r="IK734" s="135"/>
      <c r="IL734" s="135"/>
      <c r="IM734" s="135"/>
      <c r="IN734" s="135"/>
      <c r="IO734" s="135"/>
      <c r="IP734" s="135"/>
      <c r="IQ734" s="135"/>
      <c r="IR734" s="135"/>
      <c r="IS734" s="135"/>
      <c r="IT734" s="135"/>
      <c r="IU734" s="135"/>
      <c r="IV734" s="135"/>
      <c r="IW734" s="135"/>
      <c r="IX734" s="135"/>
      <c r="IY734" s="135"/>
      <c r="IZ734" s="135"/>
      <c r="JA734" s="135"/>
      <c r="JB734" s="135"/>
      <c r="JC734" s="135"/>
      <c r="JD734" s="135"/>
      <c r="JE734" s="135"/>
      <c r="JF734" s="135"/>
      <c r="JG734" s="135"/>
      <c r="JH734" s="135"/>
      <c r="JI734" s="135"/>
      <c r="JJ734" s="135"/>
      <c r="JK734" s="135"/>
      <c r="JL734" s="135"/>
      <c r="JM734" s="135"/>
      <c r="JN734" s="135"/>
      <c r="JO734" s="135"/>
      <c r="JP734" s="135"/>
      <c r="JQ734" s="135"/>
      <c r="JR734" s="135"/>
      <c r="JS734" s="135"/>
      <c r="JT734" s="135"/>
      <c r="JU734" s="135"/>
      <c r="JV734" s="135"/>
      <c r="JW734" s="135"/>
      <c r="JX734" s="135"/>
      <c r="JY734" s="135"/>
      <c r="JZ734" s="135"/>
      <c r="KA734" s="135"/>
      <c r="KB734" s="135"/>
      <c r="KC734" s="135"/>
      <c r="KD734" s="135"/>
      <c r="KE734" s="135"/>
      <c r="KF734" s="135"/>
      <c r="KG734" s="135"/>
      <c r="KH734" s="135"/>
      <c r="KI734" s="135"/>
      <c r="KJ734" s="135"/>
      <c r="KK734" s="135"/>
      <c r="KL734" s="135"/>
      <c r="KM734" s="135"/>
      <c r="KN734" s="135"/>
      <c r="KO734" s="135"/>
      <c r="KP734" s="135"/>
      <c r="KQ734" s="135"/>
      <c r="KR734" s="135"/>
      <c r="KS734" s="135"/>
      <c r="KT734" s="135"/>
      <c r="KU734" s="135"/>
      <c r="KV734" s="135"/>
      <c r="KW734" s="135"/>
      <c r="KX734" s="135"/>
      <c r="KY734" s="135"/>
      <c r="KZ734" s="135"/>
      <c r="LA734" s="135"/>
      <c r="LB734" s="135"/>
      <c r="LC734" s="135"/>
      <c r="LD734" s="135"/>
      <c r="LE734" s="135"/>
      <c r="LF734" s="135"/>
      <c r="LG734" s="135"/>
      <c r="LH734" s="135"/>
      <c r="LI734" s="135"/>
      <c r="LJ734" s="135"/>
      <c r="LK734" s="135"/>
      <c r="LL734" s="135"/>
      <c r="LM734" s="135"/>
      <c r="LN734" s="135"/>
      <c r="LO734" s="135"/>
      <c r="LP734" s="135"/>
      <c r="LQ734" s="135"/>
      <c r="LR734" s="135"/>
      <c r="LS734" s="135"/>
      <c r="LT734" s="135"/>
      <c r="LU734" s="135"/>
      <c r="LV734" s="135"/>
      <c r="LW734" s="135"/>
      <c r="LX734" s="135"/>
      <c r="LY734" s="135"/>
      <c r="LZ734" s="135"/>
      <c r="MA734" s="135"/>
      <c r="MB734" s="135"/>
      <c r="MC734" s="135"/>
      <c r="MD734" s="135"/>
      <c r="ME734" s="135"/>
      <c r="MF734" s="135"/>
      <c r="MG734" s="135"/>
      <c r="MH734" s="135"/>
      <c r="MI734" s="135"/>
      <c r="MJ734" s="135"/>
      <c r="MK734" s="135"/>
      <c r="ML734" s="135"/>
      <c r="MM734" s="135"/>
      <c r="MN734" s="135"/>
      <c r="MO734" s="135"/>
      <c r="MP734" s="135"/>
      <c r="MQ734" s="135"/>
      <c r="MR734" s="135"/>
      <c r="MS734" s="135"/>
      <c r="MT734" s="135"/>
      <c r="MU734" s="135"/>
      <c r="MV734" s="135"/>
      <c r="MW734" s="135"/>
      <c r="MX734" s="135"/>
      <c r="MY734" s="135"/>
      <c r="MZ734" s="135"/>
      <c r="NA734" s="135"/>
      <c r="NB734" s="135"/>
      <c r="NC734" s="135"/>
      <c r="ND734" s="135"/>
      <c r="NE734" s="135"/>
      <c r="NF734" s="135"/>
      <c r="NG734" s="135"/>
      <c r="NH734" s="135"/>
      <c r="NI734" s="135"/>
      <c r="NJ734" s="135"/>
      <c r="NK734" s="135"/>
      <c r="NL734" s="135"/>
      <c r="NM734" s="135"/>
      <c r="NN734" s="135"/>
      <c r="NO734" s="135"/>
      <c r="NP734" s="135"/>
      <c r="NQ734" s="135"/>
      <c r="NR734" s="135"/>
      <c r="NS734" s="135"/>
      <c r="NT734" s="135"/>
      <c r="NU734" s="135"/>
      <c r="NV734" s="135"/>
      <c r="NW734" s="135"/>
      <c r="NX734" s="135"/>
      <c r="NY734" s="135"/>
      <c r="NZ734" s="135"/>
      <c r="OA734" s="135"/>
      <c r="OB734" s="135"/>
      <c r="OC734" s="135"/>
      <c r="OD734" s="135"/>
      <c r="OE734" s="135"/>
      <c r="OF734" s="135"/>
      <c r="OG734" s="135"/>
      <c r="OH734" s="135"/>
      <c r="OI734" s="135"/>
      <c r="OJ734" s="135"/>
      <c r="OK734" s="135"/>
      <c r="OL734" s="135"/>
      <c r="OM734" s="135"/>
      <c r="ON734" s="135"/>
      <c r="OO734" s="135"/>
      <c r="OP734" s="135"/>
      <c r="OQ734" s="135"/>
      <c r="OR734" s="135"/>
      <c r="OS734" s="135"/>
      <c r="OT734" s="135"/>
      <c r="OU734" s="135"/>
      <c r="OV734" s="135"/>
      <c r="OW734" s="135"/>
      <c r="OX734" s="135"/>
      <c r="OY734" s="135"/>
      <c r="OZ734" s="135"/>
      <c r="PA734" s="135"/>
      <c r="PB734" s="135"/>
      <c r="PC734" s="135"/>
      <c r="PD734" s="135"/>
      <c r="PE734" s="135"/>
      <c r="PF734" s="135"/>
      <c r="PG734" s="135"/>
      <c r="PH734" s="135"/>
      <c r="PI734" s="135"/>
      <c r="PJ734" s="135"/>
      <c r="PK734" s="135"/>
      <c r="PL734" s="135"/>
      <c r="PM734" s="135"/>
      <c r="PN734" s="135"/>
      <c r="PO734" s="135"/>
      <c r="PP734" s="135"/>
      <c r="PQ734" s="135"/>
      <c r="PR734" s="135"/>
      <c r="PS734" s="135"/>
      <c r="PT734" s="135"/>
      <c r="PU734" s="135"/>
      <c r="PV734" s="135"/>
      <c r="PW734" s="135"/>
      <c r="PX734" s="135"/>
      <c r="PY734" s="135"/>
      <c r="PZ734" s="135"/>
      <c r="QA734" s="135"/>
      <c r="QB734" s="135"/>
      <c r="QC734" s="135"/>
      <c r="QD734" s="135"/>
      <c r="QE734" s="135"/>
      <c r="QF734" s="135"/>
      <c r="QG734" s="135"/>
      <c r="QH734" s="135"/>
      <c r="QI734" s="135"/>
      <c r="QJ734" s="135"/>
      <c r="QK734" s="135"/>
      <c r="QL734" s="135"/>
      <c r="QM734" s="135"/>
      <c r="QN734" s="135"/>
      <c r="QO734" s="135"/>
      <c r="QP734" s="135"/>
      <c r="QQ734" s="135"/>
      <c r="QR734" s="135"/>
      <c r="QS734" s="135"/>
      <c r="QT734" s="135"/>
      <c r="QU734" s="135"/>
      <c r="QV734" s="135"/>
      <c r="QW734" s="135"/>
      <c r="QX734" s="135"/>
      <c r="QY734" s="135"/>
      <c r="QZ734" s="135"/>
      <c r="RA734" s="135"/>
      <c r="RB734" s="135"/>
      <c r="RC734" s="135"/>
      <c r="RD734" s="135"/>
      <c r="RE734" s="135"/>
      <c r="RF734" s="135"/>
      <c r="RG734" s="135"/>
      <c r="RH734" s="135"/>
      <c r="RI734" s="135"/>
      <c r="RJ734" s="135"/>
      <c r="RK734" s="135"/>
      <c r="RL734" s="135"/>
      <c r="RM734" s="135"/>
      <c r="RN734" s="135"/>
      <c r="RO734" s="135"/>
      <c r="RP734" s="135"/>
      <c r="RQ734" s="135"/>
      <c r="RR734" s="135"/>
      <c r="RS734" s="135"/>
      <c r="RT734" s="135"/>
      <c r="RU734" s="135"/>
      <c r="RV734" s="135"/>
      <c r="RW734" s="135"/>
      <c r="RX734" s="135"/>
      <c r="RY734" s="135"/>
      <c r="RZ734" s="135"/>
      <c r="SA734" s="135"/>
      <c r="SB734" s="135"/>
      <c r="SC734" s="135"/>
      <c r="SD734" s="135"/>
      <c r="SE734" s="135"/>
      <c r="SF734" s="135"/>
      <c r="SG734" s="135"/>
      <c r="SH734" s="135"/>
      <c r="SI734" s="135"/>
      <c r="SJ734" s="135"/>
      <c r="SK734" s="135"/>
      <c r="SL734" s="135"/>
      <c r="SM734" s="135"/>
      <c r="SN734" s="135"/>
      <c r="SO734" s="135"/>
      <c r="SP734" s="135"/>
      <c r="SQ734" s="135"/>
      <c r="SR734" s="135"/>
      <c r="SS734" s="135"/>
      <c r="ST734" s="135"/>
      <c r="SU734" s="135"/>
      <c r="SV734" s="135"/>
      <c r="SW734" s="135"/>
      <c r="SX734" s="135"/>
      <c r="SY734" s="135"/>
      <c r="SZ734" s="135"/>
      <c r="TA734" s="135"/>
      <c r="TB734" s="135"/>
      <c r="TC734" s="135"/>
      <c r="TD734" s="135"/>
      <c r="TE734" s="135"/>
      <c r="TF734" s="135"/>
      <c r="TG734" s="135"/>
      <c r="TH734" s="135"/>
      <c r="TI734" s="135"/>
      <c r="TJ734" s="135"/>
      <c r="TK734" s="135"/>
      <c r="TL734" s="135"/>
      <c r="TM734" s="135"/>
      <c r="TN734" s="135"/>
      <c r="TO734" s="135"/>
      <c r="TP734" s="135"/>
      <c r="TQ734" s="135"/>
      <c r="TR734" s="135"/>
      <c r="TS734" s="135"/>
      <c r="TT734" s="135"/>
      <c r="TU734" s="135"/>
      <c r="TV734" s="135"/>
      <c r="TW734" s="135"/>
      <c r="TX734" s="135"/>
      <c r="TY734" s="135"/>
      <c r="TZ734" s="135"/>
      <c r="UA734" s="135"/>
      <c r="UB734" s="135"/>
      <c r="UC734" s="135"/>
      <c r="UD734" s="135"/>
      <c r="UE734" s="135"/>
      <c r="UF734" s="135"/>
      <c r="UG734" s="135"/>
    </row>
    <row r="735" spans="1:553" ht="30.75" customHeight="1">
      <c r="A735" s="356"/>
      <c r="B735" s="385" t="s">
        <v>35</v>
      </c>
      <c r="C735" s="1401" t="s">
        <v>979</v>
      </c>
      <c r="D735" s="1389"/>
      <c r="E735" s="1389"/>
      <c r="F735" s="1390"/>
      <c r="G735" s="386" t="s">
        <v>33</v>
      </c>
      <c r="H735" s="622"/>
      <c r="I735" s="626">
        <f>11*3.5</f>
        <v>38.5</v>
      </c>
      <c r="J735" s="369">
        <v>39000</v>
      </c>
      <c r="K735" s="371"/>
      <c r="L735" s="627">
        <f t="shared" si="114"/>
        <v>1501500</v>
      </c>
      <c r="M735" s="549"/>
      <c r="N735" s="549"/>
      <c r="O735" s="366"/>
      <c r="P735" s="385"/>
      <c r="Q735" s="394"/>
      <c r="R735" s="1230"/>
      <c r="S735" s="308"/>
      <c r="T735" s="308"/>
      <c r="U735" s="308"/>
      <c r="V735" s="308"/>
      <c r="W735" s="308"/>
      <c r="X735" s="308"/>
      <c r="Y735" s="308"/>
      <c r="Z735" s="604"/>
      <c r="AA735" s="308"/>
      <c r="AB735" s="308"/>
      <c r="AC735" s="628"/>
      <c r="AD735" s="628"/>
      <c r="AE735" s="628"/>
      <c r="AF735" s="628"/>
      <c r="AG735" s="628"/>
      <c r="AH735" s="629"/>
      <c r="AI735" s="629"/>
      <c r="AJ735" s="629"/>
      <c r="AK735" s="629"/>
      <c r="AL735" s="135"/>
      <c r="AM735" s="135"/>
      <c r="AN735" s="135"/>
      <c r="AO735" s="135"/>
      <c r="AP735" s="135"/>
      <c r="AQ735" s="135"/>
      <c r="AR735" s="135"/>
      <c r="AS735" s="135"/>
      <c r="AT735" s="135"/>
      <c r="AU735" s="135"/>
      <c r="AV735" s="135"/>
      <c r="AW735" s="135"/>
      <c r="AX735" s="135"/>
      <c r="AY735" s="135"/>
      <c r="AZ735" s="135"/>
      <c r="BA735" s="135"/>
      <c r="BB735" s="135"/>
      <c r="BC735" s="135"/>
      <c r="BD735" s="135"/>
      <c r="BE735" s="135"/>
      <c r="BF735" s="135"/>
      <c r="BG735" s="135"/>
      <c r="BH735" s="135"/>
      <c r="BI735" s="135"/>
      <c r="BJ735" s="135"/>
      <c r="BK735" s="135"/>
      <c r="BL735" s="135"/>
      <c r="BM735" s="135"/>
      <c r="BN735" s="135"/>
      <c r="BO735" s="135"/>
      <c r="BP735" s="135"/>
      <c r="BQ735" s="135"/>
      <c r="BR735" s="135"/>
      <c r="BS735" s="135"/>
      <c r="BT735" s="135"/>
      <c r="BU735" s="135"/>
      <c r="BV735" s="135"/>
      <c r="BW735" s="135"/>
      <c r="BX735" s="135"/>
      <c r="BY735" s="135"/>
      <c r="BZ735" s="135"/>
      <c r="CA735" s="135"/>
      <c r="CB735" s="135"/>
      <c r="CC735" s="135"/>
      <c r="CD735" s="135"/>
      <c r="CE735" s="135"/>
      <c r="CF735" s="135"/>
      <c r="CG735" s="135"/>
      <c r="CH735" s="135"/>
      <c r="CI735" s="135"/>
      <c r="CJ735" s="135"/>
      <c r="CK735" s="135"/>
      <c r="CL735" s="135"/>
      <c r="CM735" s="135"/>
      <c r="CN735" s="135"/>
      <c r="CO735" s="135"/>
      <c r="CP735" s="135"/>
      <c r="CQ735" s="135"/>
      <c r="CR735" s="135"/>
      <c r="CS735" s="135"/>
      <c r="CT735" s="135"/>
      <c r="CU735" s="135"/>
      <c r="CV735" s="135"/>
      <c r="CW735" s="135"/>
      <c r="CX735" s="135"/>
      <c r="CY735" s="135"/>
      <c r="CZ735" s="135"/>
      <c r="DA735" s="135"/>
      <c r="DB735" s="135"/>
      <c r="DC735" s="135"/>
      <c r="DD735" s="135"/>
      <c r="DE735" s="135"/>
      <c r="DF735" s="135"/>
      <c r="DG735" s="135"/>
      <c r="DH735" s="135"/>
      <c r="DI735" s="135"/>
      <c r="DJ735" s="135"/>
      <c r="DK735" s="135"/>
      <c r="DL735" s="135"/>
      <c r="DM735" s="135"/>
      <c r="DN735" s="135"/>
      <c r="DO735" s="135"/>
      <c r="DP735" s="135"/>
      <c r="DQ735" s="135"/>
      <c r="DR735" s="135"/>
      <c r="DS735" s="135"/>
      <c r="DT735" s="135"/>
      <c r="DU735" s="135"/>
      <c r="DV735" s="135"/>
      <c r="DW735" s="135"/>
      <c r="DX735" s="135"/>
      <c r="DY735" s="135"/>
      <c r="DZ735" s="135"/>
      <c r="EA735" s="135"/>
      <c r="EB735" s="135"/>
      <c r="EC735" s="135"/>
      <c r="ED735" s="135"/>
      <c r="EE735" s="135"/>
      <c r="EF735" s="135"/>
      <c r="EG735" s="135"/>
      <c r="EH735" s="135"/>
      <c r="EI735" s="135"/>
      <c r="EJ735" s="135"/>
      <c r="EK735" s="135"/>
      <c r="EL735" s="135"/>
      <c r="EM735" s="135"/>
      <c r="EN735" s="135"/>
      <c r="EO735" s="135"/>
      <c r="EP735" s="135"/>
      <c r="EQ735" s="135"/>
      <c r="ER735" s="135"/>
      <c r="ES735" s="135"/>
      <c r="ET735" s="135"/>
      <c r="EU735" s="135"/>
      <c r="EV735" s="135"/>
      <c r="EW735" s="135"/>
      <c r="EX735" s="135"/>
      <c r="EY735" s="135"/>
      <c r="EZ735" s="135"/>
      <c r="FA735" s="135"/>
      <c r="FB735" s="135"/>
      <c r="FC735" s="135"/>
      <c r="FD735" s="135"/>
      <c r="FE735" s="135"/>
      <c r="FF735" s="135"/>
      <c r="FG735" s="135"/>
      <c r="FH735" s="135"/>
      <c r="FI735" s="135"/>
      <c r="FJ735" s="135"/>
      <c r="FK735" s="135"/>
      <c r="FL735" s="135"/>
      <c r="FM735" s="135"/>
      <c r="FN735" s="135"/>
      <c r="FO735" s="135"/>
      <c r="FP735" s="135"/>
      <c r="FQ735" s="135"/>
      <c r="FR735" s="135"/>
      <c r="FS735" s="135"/>
      <c r="FT735" s="135"/>
      <c r="FU735" s="135"/>
      <c r="FV735" s="135"/>
      <c r="FW735" s="135"/>
      <c r="FX735" s="135"/>
      <c r="FY735" s="135"/>
      <c r="FZ735" s="135"/>
      <c r="GA735" s="135"/>
      <c r="GB735" s="135"/>
      <c r="GC735" s="135"/>
      <c r="GD735" s="135"/>
      <c r="GE735" s="135"/>
      <c r="GF735" s="135"/>
      <c r="GG735" s="135"/>
      <c r="GH735" s="135"/>
      <c r="GI735" s="135"/>
      <c r="GJ735" s="135"/>
      <c r="GK735" s="135"/>
      <c r="GL735" s="135"/>
      <c r="GM735" s="135"/>
      <c r="GN735" s="135"/>
      <c r="GO735" s="135"/>
      <c r="GP735" s="135"/>
      <c r="GQ735" s="135"/>
      <c r="GR735" s="135"/>
      <c r="GS735" s="135"/>
      <c r="GT735" s="135"/>
      <c r="GU735" s="135"/>
      <c r="GV735" s="135"/>
      <c r="GW735" s="135"/>
      <c r="GX735" s="135"/>
      <c r="GY735" s="135"/>
      <c r="GZ735" s="135"/>
      <c r="HA735" s="135"/>
      <c r="HB735" s="135"/>
      <c r="HC735" s="135"/>
      <c r="HD735" s="135"/>
      <c r="HE735" s="135"/>
      <c r="HF735" s="135"/>
      <c r="HG735" s="135"/>
      <c r="HH735" s="135"/>
      <c r="HI735" s="135"/>
      <c r="HJ735" s="135"/>
      <c r="HK735" s="135"/>
      <c r="HL735" s="135"/>
      <c r="HM735" s="135"/>
      <c r="HN735" s="135"/>
      <c r="HO735" s="135"/>
      <c r="HP735" s="135"/>
      <c r="HQ735" s="135"/>
      <c r="HR735" s="135"/>
      <c r="HS735" s="135"/>
      <c r="HT735" s="135"/>
      <c r="HU735" s="135"/>
      <c r="HV735" s="135"/>
      <c r="HW735" s="135"/>
      <c r="HX735" s="135"/>
      <c r="HY735" s="135"/>
      <c r="HZ735" s="135"/>
      <c r="IA735" s="135"/>
      <c r="IB735" s="135"/>
      <c r="IC735" s="135"/>
      <c r="ID735" s="135"/>
      <c r="IE735" s="135"/>
      <c r="IF735" s="135"/>
      <c r="IG735" s="135"/>
      <c r="IH735" s="135"/>
      <c r="II735" s="135"/>
      <c r="IJ735" s="135"/>
      <c r="IK735" s="135"/>
      <c r="IL735" s="135"/>
      <c r="IM735" s="135"/>
      <c r="IN735" s="135"/>
      <c r="IO735" s="135"/>
      <c r="IP735" s="135"/>
      <c r="IQ735" s="135"/>
      <c r="IR735" s="135"/>
      <c r="IS735" s="135"/>
      <c r="IT735" s="135"/>
      <c r="IU735" s="135"/>
      <c r="IV735" s="135"/>
      <c r="IW735" s="135"/>
      <c r="IX735" s="135"/>
      <c r="IY735" s="135"/>
      <c r="IZ735" s="135"/>
      <c r="JA735" s="135"/>
      <c r="JB735" s="135"/>
      <c r="JC735" s="135"/>
      <c r="JD735" s="135"/>
      <c r="JE735" s="135"/>
      <c r="JF735" s="135"/>
      <c r="JG735" s="135"/>
      <c r="JH735" s="135"/>
      <c r="JI735" s="135"/>
      <c r="JJ735" s="135"/>
      <c r="JK735" s="135"/>
      <c r="JL735" s="135"/>
      <c r="JM735" s="135"/>
      <c r="JN735" s="135"/>
      <c r="JO735" s="135"/>
      <c r="JP735" s="135"/>
      <c r="JQ735" s="135"/>
      <c r="JR735" s="135"/>
      <c r="JS735" s="135"/>
      <c r="JT735" s="135"/>
      <c r="JU735" s="135"/>
      <c r="JV735" s="135"/>
      <c r="JW735" s="135"/>
      <c r="JX735" s="135"/>
      <c r="JY735" s="135"/>
      <c r="JZ735" s="135"/>
      <c r="KA735" s="135"/>
      <c r="KB735" s="135"/>
      <c r="KC735" s="135"/>
      <c r="KD735" s="135"/>
      <c r="KE735" s="135"/>
      <c r="KF735" s="135"/>
      <c r="KG735" s="135"/>
      <c r="KH735" s="135"/>
      <c r="KI735" s="135"/>
      <c r="KJ735" s="135"/>
      <c r="KK735" s="135"/>
      <c r="KL735" s="135"/>
      <c r="KM735" s="135"/>
      <c r="KN735" s="135"/>
      <c r="KO735" s="135"/>
      <c r="KP735" s="135"/>
      <c r="KQ735" s="135"/>
      <c r="KR735" s="135"/>
      <c r="KS735" s="135"/>
      <c r="KT735" s="135"/>
      <c r="KU735" s="135"/>
      <c r="KV735" s="135"/>
      <c r="KW735" s="135"/>
      <c r="KX735" s="135"/>
      <c r="KY735" s="135"/>
      <c r="KZ735" s="135"/>
      <c r="LA735" s="135"/>
      <c r="LB735" s="135"/>
      <c r="LC735" s="135"/>
      <c r="LD735" s="135"/>
      <c r="LE735" s="135"/>
      <c r="LF735" s="135"/>
      <c r="LG735" s="135"/>
      <c r="LH735" s="135"/>
      <c r="LI735" s="135"/>
      <c r="LJ735" s="135"/>
      <c r="LK735" s="135"/>
      <c r="LL735" s="135"/>
      <c r="LM735" s="135"/>
      <c r="LN735" s="135"/>
      <c r="LO735" s="135"/>
      <c r="LP735" s="135"/>
      <c r="LQ735" s="135"/>
      <c r="LR735" s="135"/>
      <c r="LS735" s="135"/>
      <c r="LT735" s="135"/>
      <c r="LU735" s="135"/>
      <c r="LV735" s="135"/>
      <c r="LW735" s="135"/>
      <c r="LX735" s="135"/>
      <c r="LY735" s="135"/>
      <c r="LZ735" s="135"/>
      <c r="MA735" s="135"/>
      <c r="MB735" s="135"/>
      <c r="MC735" s="135"/>
      <c r="MD735" s="135"/>
      <c r="ME735" s="135"/>
      <c r="MF735" s="135"/>
      <c r="MG735" s="135"/>
      <c r="MH735" s="135"/>
      <c r="MI735" s="135"/>
      <c r="MJ735" s="135"/>
      <c r="MK735" s="135"/>
      <c r="ML735" s="135"/>
      <c r="MM735" s="135"/>
      <c r="MN735" s="135"/>
      <c r="MO735" s="135"/>
      <c r="MP735" s="135"/>
      <c r="MQ735" s="135"/>
      <c r="MR735" s="135"/>
      <c r="MS735" s="135"/>
      <c r="MT735" s="135"/>
      <c r="MU735" s="135"/>
      <c r="MV735" s="135"/>
      <c r="MW735" s="135"/>
      <c r="MX735" s="135"/>
      <c r="MY735" s="135"/>
      <c r="MZ735" s="135"/>
      <c r="NA735" s="135"/>
      <c r="NB735" s="135"/>
      <c r="NC735" s="135"/>
      <c r="ND735" s="135"/>
      <c r="NE735" s="135"/>
      <c r="NF735" s="135"/>
      <c r="NG735" s="135"/>
      <c r="NH735" s="135"/>
      <c r="NI735" s="135"/>
      <c r="NJ735" s="135"/>
      <c r="NK735" s="135"/>
      <c r="NL735" s="135"/>
      <c r="NM735" s="135"/>
      <c r="NN735" s="135"/>
      <c r="NO735" s="135"/>
      <c r="NP735" s="135"/>
      <c r="NQ735" s="135"/>
      <c r="NR735" s="135"/>
      <c r="NS735" s="135"/>
      <c r="NT735" s="135"/>
      <c r="NU735" s="135"/>
      <c r="NV735" s="135"/>
      <c r="NW735" s="135"/>
      <c r="NX735" s="135"/>
      <c r="NY735" s="135"/>
      <c r="NZ735" s="135"/>
      <c r="OA735" s="135"/>
      <c r="OB735" s="135"/>
      <c r="OC735" s="135"/>
      <c r="OD735" s="135"/>
      <c r="OE735" s="135"/>
      <c r="OF735" s="135"/>
      <c r="OG735" s="135"/>
      <c r="OH735" s="135"/>
      <c r="OI735" s="135"/>
      <c r="OJ735" s="135"/>
      <c r="OK735" s="135"/>
      <c r="OL735" s="135"/>
      <c r="OM735" s="135"/>
      <c r="ON735" s="135"/>
      <c r="OO735" s="135"/>
      <c r="OP735" s="135"/>
      <c r="OQ735" s="135"/>
      <c r="OR735" s="135"/>
      <c r="OS735" s="135"/>
      <c r="OT735" s="135"/>
      <c r="OU735" s="135"/>
      <c r="OV735" s="135"/>
      <c r="OW735" s="135"/>
      <c r="OX735" s="135"/>
      <c r="OY735" s="135"/>
      <c r="OZ735" s="135"/>
      <c r="PA735" s="135"/>
      <c r="PB735" s="135"/>
      <c r="PC735" s="135"/>
      <c r="PD735" s="135"/>
      <c r="PE735" s="135"/>
      <c r="PF735" s="135"/>
      <c r="PG735" s="135"/>
      <c r="PH735" s="135"/>
      <c r="PI735" s="135"/>
      <c r="PJ735" s="135"/>
      <c r="PK735" s="135"/>
      <c r="PL735" s="135"/>
      <c r="PM735" s="135"/>
      <c r="PN735" s="135"/>
      <c r="PO735" s="135"/>
      <c r="PP735" s="135"/>
      <c r="PQ735" s="135"/>
      <c r="PR735" s="135"/>
      <c r="PS735" s="135"/>
      <c r="PT735" s="135"/>
      <c r="PU735" s="135"/>
      <c r="PV735" s="135"/>
      <c r="PW735" s="135"/>
      <c r="PX735" s="135"/>
      <c r="PY735" s="135"/>
      <c r="PZ735" s="135"/>
      <c r="QA735" s="135"/>
      <c r="QB735" s="135"/>
      <c r="QC735" s="135"/>
      <c r="QD735" s="135"/>
      <c r="QE735" s="135"/>
      <c r="QF735" s="135"/>
      <c r="QG735" s="135"/>
      <c r="QH735" s="135"/>
      <c r="QI735" s="135"/>
      <c r="QJ735" s="135"/>
      <c r="QK735" s="135"/>
      <c r="QL735" s="135"/>
      <c r="QM735" s="135"/>
      <c r="QN735" s="135"/>
      <c r="QO735" s="135"/>
      <c r="QP735" s="135"/>
      <c r="QQ735" s="135"/>
      <c r="QR735" s="135"/>
      <c r="QS735" s="135"/>
      <c r="QT735" s="135"/>
      <c r="QU735" s="135"/>
      <c r="QV735" s="135"/>
      <c r="QW735" s="135"/>
      <c r="QX735" s="135"/>
      <c r="QY735" s="135"/>
      <c r="QZ735" s="135"/>
      <c r="RA735" s="135"/>
      <c r="RB735" s="135"/>
      <c r="RC735" s="135"/>
      <c r="RD735" s="135"/>
      <c r="RE735" s="135"/>
      <c r="RF735" s="135"/>
      <c r="RG735" s="135"/>
      <c r="RH735" s="135"/>
      <c r="RI735" s="135"/>
      <c r="RJ735" s="135"/>
      <c r="RK735" s="135"/>
      <c r="RL735" s="135"/>
      <c r="RM735" s="135"/>
      <c r="RN735" s="135"/>
      <c r="RO735" s="135"/>
      <c r="RP735" s="135"/>
      <c r="RQ735" s="135"/>
      <c r="RR735" s="135"/>
      <c r="RS735" s="135"/>
      <c r="RT735" s="135"/>
      <c r="RU735" s="135"/>
      <c r="RV735" s="135"/>
      <c r="RW735" s="135"/>
      <c r="RX735" s="135"/>
      <c r="RY735" s="135"/>
      <c r="RZ735" s="135"/>
      <c r="SA735" s="135"/>
      <c r="SB735" s="135"/>
      <c r="SC735" s="135"/>
      <c r="SD735" s="135"/>
      <c r="SE735" s="135"/>
      <c r="SF735" s="135"/>
      <c r="SG735" s="135"/>
      <c r="SH735" s="135"/>
      <c r="SI735" s="135"/>
      <c r="SJ735" s="135"/>
      <c r="SK735" s="135"/>
      <c r="SL735" s="135"/>
      <c r="SM735" s="135"/>
      <c r="SN735" s="135"/>
      <c r="SO735" s="135"/>
      <c r="SP735" s="135"/>
      <c r="SQ735" s="135"/>
      <c r="SR735" s="135"/>
      <c r="SS735" s="135"/>
      <c r="ST735" s="135"/>
      <c r="SU735" s="135"/>
      <c r="SV735" s="135"/>
      <c r="SW735" s="135"/>
      <c r="SX735" s="135"/>
      <c r="SY735" s="135"/>
      <c r="SZ735" s="135"/>
      <c r="TA735" s="135"/>
      <c r="TB735" s="135"/>
      <c r="TC735" s="135"/>
      <c r="TD735" s="135"/>
      <c r="TE735" s="135"/>
      <c r="TF735" s="135"/>
      <c r="TG735" s="135"/>
      <c r="TH735" s="135"/>
      <c r="TI735" s="135"/>
      <c r="TJ735" s="135"/>
      <c r="TK735" s="135"/>
      <c r="TL735" s="135"/>
      <c r="TM735" s="135"/>
      <c r="TN735" s="135"/>
      <c r="TO735" s="135"/>
      <c r="TP735" s="135"/>
      <c r="TQ735" s="135"/>
      <c r="TR735" s="135"/>
      <c r="TS735" s="135"/>
      <c r="TT735" s="135"/>
      <c r="TU735" s="135"/>
      <c r="TV735" s="135"/>
      <c r="TW735" s="135"/>
      <c r="TX735" s="135"/>
      <c r="TY735" s="135"/>
      <c r="TZ735" s="135"/>
      <c r="UA735" s="135"/>
      <c r="UB735" s="135"/>
      <c r="UC735" s="135"/>
      <c r="UD735" s="135"/>
      <c r="UE735" s="135"/>
      <c r="UF735" s="135"/>
      <c r="UG735" s="135"/>
    </row>
    <row r="736" spans="1:553" ht="30.75" customHeight="1">
      <c r="A736" s="356"/>
      <c r="B736" s="385">
        <v>39</v>
      </c>
      <c r="C736" s="1401" t="s">
        <v>978</v>
      </c>
      <c r="D736" s="1389"/>
      <c r="E736" s="1389"/>
      <c r="F736" s="1390"/>
      <c r="G736" s="386" t="s">
        <v>33</v>
      </c>
      <c r="H736" s="622"/>
      <c r="I736" s="626">
        <f>8.9*14.5</f>
        <v>129.05000000000001</v>
      </c>
      <c r="J736" s="369">
        <v>90900</v>
      </c>
      <c r="K736" s="371"/>
      <c r="L736" s="627">
        <f t="shared" si="114"/>
        <v>11730645.000000002</v>
      </c>
      <c r="M736" s="549"/>
      <c r="N736" s="549"/>
      <c r="O736" s="366"/>
      <c r="P736" s="385"/>
      <c r="Q736" s="394"/>
      <c r="R736" s="1230"/>
      <c r="S736" s="308"/>
      <c r="T736" s="308"/>
      <c r="U736" s="308"/>
      <c r="V736" s="308"/>
      <c r="W736" s="308"/>
      <c r="X736" s="308"/>
      <c r="Y736" s="308"/>
      <c r="Z736" s="604"/>
      <c r="AA736" s="308"/>
      <c r="AB736" s="308"/>
      <c r="AC736" s="628"/>
      <c r="AD736" s="628"/>
      <c r="AE736" s="628"/>
      <c r="AF736" s="628"/>
      <c r="AG736" s="628"/>
      <c r="AH736" s="629"/>
      <c r="AI736" s="629"/>
      <c r="AJ736" s="629"/>
      <c r="AK736" s="629"/>
      <c r="AL736" s="135"/>
      <c r="AM736" s="135"/>
      <c r="AN736" s="135"/>
      <c r="AO736" s="135"/>
      <c r="AP736" s="135"/>
      <c r="AQ736" s="135"/>
      <c r="AR736" s="135"/>
      <c r="AS736" s="135"/>
      <c r="AT736" s="135"/>
      <c r="AU736" s="135"/>
      <c r="AV736" s="135"/>
      <c r="AW736" s="135"/>
      <c r="AX736" s="135"/>
      <c r="AY736" s="135"/>
      <c r="AZ736" s="135"/>
      <c r="BA736" s="135"/>
      <c r="BB736" s="135"/>
      <c r="BC736" s="135"/>
      <c r="BD736" s="135"/>
      <c r="BE736" s="135"/>
      <c r="BF736" s="135"/>
      <c r="BG736" s="135"/>
      <c r="BH736" s="135"/>
      <c r="BI736" s="135"/>
      <c r="BJ736" s="135"/>
      <c r="BK736" s="135"/>
      <c r="BL736" s="135"/>
      <c r="BM736" s="135"/>
      <c r="BN736" s="135"/>
      <c r="BO736" s="135"/>
      <c r="BP736" s="135"/>
      <c r="BQ736" s="135"/>
      <c r="BR736" s="135"/>
      <c r="BS736" s="135"/>
      <c r="BT736" s="135"/>
      <c r="BU736" s="135"/>
      <c r="BV736" s="135"/>
      <c r="BW736" s="135"/>
      <c r="BX736" s="135"/>
      <c r="BY736" s="135"/>
      <c r="BZ736" s="135"/>
      <c r="CA736" s="135"/>
      <c r="CB736" s="135"/>
      <c r="CC736" s="135"/>
      <c r="CD736" s="135"/>
      <c r="CE736" s="135"/>
      <c r="CF736" s="135"/>
      <c r="CG736" s="135"/>
      <c r="CH736" s="135"/>
      <c r="CI736" s="135"/>
      <c r="CJ736" s="135"/>
      <c r="CK736" s="135"/>
      <c r="CL736" s="135"/>
      <c r="CM736" s="135"/>
      <c r="CN736" s="135"/>
      <c r="CO736" s="135"/>
      <c r="CP736" s="135"/>
      <c r="CQ736" s="135"/>
      <c r="CR736" s="135"/>
      <c r="CS736" s="135"/>
      <c r="CT736" s="135"/>
      <c r="CU736" s="135"/>
      <c r="CV736" s="135"/>
      <c r="CW736" s="135"/>
      <c r="CX736" s="135"/>
      <c r="CY736" s="135"/>
      <c r="CZ736" s="135"/>
      <c r="DA736" s="135"/>
      <c r="DB736" s="135"/>
      <c r="DC736" s="135"/>
      <c r="DD736" s="135"/>
      <c r="DE736" s="135"/>
      <c r="DF736" s="135"/>
      <c r="DG736" s="135"/>
      <c r="DH736" s="135"/>
      <c r="DI736" s="135"/>
      <c r="DJ736" s="135"/>
      <c r="DK736" s="135"/>
      <c r="DL736" s="135"/>
      <c r="DM736" s="135"/>
      <c r="DN736" s="135"/>
      <c r="DO736" s="135"/>
      <c r="DP736" s="135"/>
      <c r="DQ736" s="135"/>
      <c r="DR736" s="135"/>
      <c r="DS736" s="135"/>
      <c r="DT736" s="135"/>
      <c r="DU736" s="135"/>
      <c r="DV736" s="135"/>
      <c r="DW736" s="135"/>
      <c r="DX736" s="135"/>
      <c r="DY736" s="135"/>
      <c r="DZ736" s="135"/>
      <c r="EA736" s="135"/>
      <c r="EB736" s="135"/>
      <c r="EC736" s="135"/>
      <c r="ED736" s="135"/>
      <c r="EE736" s="135"/>
      <c r="EF736" s="135"/>
      <c r="EG736" s="135"/>
      <c r="EH736" s="135"/>
      <c r="EI736" s="135"/>
      <c r="EJ736" s="135"/>
      <c r="EK736" s="135"/>
      <c r="EL736" s="135"/>
      <c r="EM736" s="135"/>
      <c r="EN736" s="135"/>
      <c r="EO736" s="135"/>
      <c r="EP736" s="135"/>
      <c r="EQ736" s="135"/>
      <c r="ER736" s="135"/>
      <c r="ES736" s="135"/>
      <c r="ET736" s="135"/>
      <c r="EU736" s="135"/>
      <c r="EV736" s="135"/>
      <c r="EW736" s="135"/>
      <c r="EX736" s="135"/>
      <c r="EY736" s="135"/>
      <c r="EZ736" s="135"/>
      <c r="FA736" s="135"/>
      <c r="FB736" s="135"/>
      <c r="FC736" s="135"/>
      <c r="FD736" s="135"/>
      <c r="FE736" s="135"/>
      <c r="FF736" s="135"/>
      <c r="FG736" s="135"/>
      <c r="FH736" s="135"/>
      <c r="FI736" s="135"/>
      <c r="FJ736" s="135"/>
      <c r="FK736" s="135"/>
      <c r="FL736" s="135"/>
      <c r="FM736" s="135"/>
      <c r="FN736" s="135"/>
      <c r="FO736" s="135"/>
      <c r="FP736" s="135"/>
      <c r="FQ736" s="135"/>
      <c r="FR736" s="135"/>
      <c r="FS736" s="135"/>
      <c r="FT736" s="135"/>
      <c r="FU736" s="135"/>
      <c r="FV736" s="135"/>
      <c r="FW736" s="135"/>
      <c r="FX736" s="135"/>
      <c r="FY736" s="135"/>
      <c r="FZ736" s="135"/>
      <c r="GA736" s="135"/>
      <c r="GB736" s="135"/>
      <c r="GC736" s="135"/>
      <c r="GD736" s="135"/>
      <c r="GE736" s="135"/>
      <c r="GF736" s="135"/>
      <c r="GG736" s="135"/>
      <c r="GH736" s="135"/>
      <c r="GI736" s="135"/>
      <c r="GJ736" s="135"/>
      <c r="GK736" s="135"/>
      <c r="GL736" s="135"/>
      <c r="GM736" s="135"/>
      <c r="GN736" s="135"/>
      <c r="GO736" s="135"/>
      <c r="GP736" s="135"/>
      <c r="GQ736" s="135"/>
      <c r="GR736" s="135"/>
      <c r="GS736" s="135"/>
      <c r="GT736" s="135"/>
      <c r="GU736" s="135"/>
      <c r="GV736" s="135"/>
      <c r="GW736" s="135"/>
      <c r="GX736" s="135"/>
      <c r="GY736" s="135"/>
      <c r="GZ736" s="135"/>
      <c r="HA736" s="135"/>
      <c r="HB736" s="135"/>
      <c r="HC736" s="135"/>
      <c r="HD736" s="135"/>
      <c r="HE736" s="135"/>
      <c r="HF736" s="135"/>
      <c r="HG736" s="135"/>
      <c r="HH736" s="135"/>
      <c r="HI736" s="135"/>
      <c r="HJ736" s="135"/>
      <c r="HK736" s="135"/>
      <c r="HL736" s="135"/>
      <c r="HM736" s="135"/>
      <c r="HN736" s="135"/>
      <c r="HO736" s="135"/>
      <c r="HP736" s="135"/>
      <c r="HQ736" s="135"/>
      <c r="HR736" s="135"/>
      <c r="HS736" s="135"/>
      <c r="HT736" s="135"/>
      <c r="HU736" s="135"/>
      <c r="HV736" s="135"/>
      <c r="HW736" s="135"/>
      <c r="HX736" s="135"/>
      <c r="HY736" s="135"/>
      <c r="HZ736" s="135"/>
      <c r="IA736" s="135"/>
      <c r="IB736" s="135"/>
      <c r="IC736" s="135"/>
      <c r="ID736" s="135"/>
      <c r="IE736" s="135"/>
      <c r="IF736" s="135"/>
      <c r="IG736" s="135"/>
      <c r="IH736" s="135"/>
      <c r="II736" s="135"/>
      <c r="IJ736" s="135"/>
      <c r="IK736" s="135"/>
      <c r="IL736" s="135"/>
      <c r="IM736" s="135"/>
      <c r="IN736" s="135"/>
      <c r="IO736" s="135"/>
      <c r="IP736" s="135"/>
      <c r="IQ736" s="135"/>
      <c r="IR736" s="135"/>
      <c r="IS736" s="135"/>
      <c r="IT736" s="135"/>
      <c r="IU736" s="135"/>
      <c r="IV736" s="135"/>
      <c r="IW736" s="135"/>
      <c r="IX736" s="135"/>
      <c r="IY736" s="135"/>
      <c r="IZ736" s="135"/>
      <c r="JA736" s="135"/>
      <c r="JB736" s="135"/>
      <c r="JC736" s="135"/>
      <c r="JD736" s="135"/>
      <c r="JE736" s="135"/>
      <c r="JF736" s="135"/>
      <c r="JG736" s="135"/>
      <c r="JH736" s="135"/>
      <c r="JI736" s="135"/>
      <c r="JJ736" s="135"/>
      <c r="JK736" s="135"/>
      <c r="JL736" s="135"/>
      <c r="JM736" s="135"/>
      <c r="JN736" s="135"/>
      <c r="JO736" s="135"/>
      <c r="JP736" s="135"/>
      <c r="JQ736" s="135"/>
      <c r="JR736" s="135"/>
      <c r="JS736" s="135"/>
      <c r="JT736" s="135"/>
      <c r="JU736" s="135"/>
      <c r="JV736" s="135"/>
      <c r="JW736" s="135"/>
      <c r="JX736" s="135"/>
      <c r="JY736" s="135"/>
      <c r="JZ736" s="135"/>
      <c r="KA736" s="135"/>
      <c r="KB736" s="135"/>
      <c r="KC736" s="135"/>
      <c r="KD736" s="135"/>
      <c r="KE736" s="135"/>
      <c r="KF736" s="135"/>
      <c r="KG736" s="135"/>
      <c r="KH736" s="135"/>
      <c r="KI736" s="135"/>
      <c r="KJ736" s="135"/>
      <c r="KK736" s="135"/>
      <c r="KL736" s="135"/>
      <c r="KM736" s="135"/>
      <c r="KN736" s="135"/>
      <c r="KO736" s="135"/>
      <c r="KP736" s="135"/>
      <c r="KQ736" s="135"/>
      <c r="KR736" s="135"/>
      <c r="KS736" s="135"/>
      <c r="KT736" s="135"/>
      <c r="KU736" s="135"/>
      <c r="KV736" s="135"/>
      <c r="KW736" s="135"/>
      <c r="KX736" s="135"/>
      <c r="KY736" s="135"/>
      <c r="KZ736" s="135"/>
      <c r="LA736" s="135"/>
      <c r="LB736" s="135"/>
      <c r="LC736" s="135"/>
      <c r="LD736" s="135"/>
      <c r="LE736" s="135"/>
      <c r="LF736" s="135"/>
      <c r="LG736" s="135"/>
      <c r="LH736" s="135"/>
      <c r="LI736" s="135"/>
      <c r="LJ736" s="135"/>
      <c r="LK736" s="135"/>
      <c r="LL736" s="135"/>
      <c r="LM736" s="135"/>
      <c r="LN736" s="135"/>
      <c r="LO736" s="135"/>
      <c r="LP736" s="135"/>
      <c r="LQ736" s="135"/>
      <c r="LR736" s="135"/>
      <c r="LS736" s="135"/>
      <c r="LT736" s="135"/>
      <c r="LU736" s="135"/>
      <c r="LV736" s="135"/>
      <c r="LW736" s="135"/>
      <c r="LX736" s="135"/>
      <c r="LY736" s="135"/>
      <c r="LZ736" s="135"/>
      <c r="MA736" s="135"/>
      <c r="MB736" s="135"/>
      <c r="MC736" s="135"/>
      <c r="MD736" s="135"/>
      <c r="ME736" s="135"/>
      <c r="MF736" s="135"/>
      <c r="MG736" s="135"/>
      <c r="MH736" s="135"/>
      <c r="MI736" s="135"/>
      <c r="MJ736" s="135"/>
      <c r="MK736" s="135"/>
      <c r="ML736" s="135"/>
      <c r="MM736" s="135"/>
      <c r="MN736" s="135"/>
      <c r="MO736" s="135"/>
      <c r="MP736" s="135"/>
      <c r="MQ736" s="135"/>
      <c r="MR736" s="135"/>
      <c r="MS736" s="135"/>
      <c r="MT736" s="135"/>
      <c r="MU736" s="135"/>
      <c r="MV736" s="135"/>
      <c r="MW736" s="135"/>
      <c r="MX736" s="135"/>
      <c r="MY736" s="135"/>
      <c r="MZ736" s="135"/>
      <c r="NA736" s="135"/>
      <c r="NB736" s="135"/>
      <c r="NC736" s="135"/>
      <c r="ND736" s="135"/>
      <c r="NE736" s="135"/>
      <c r="NF736" s="135"/>
      <c r="NG736" s="135"/>
      <c r="NH736" s="135"/>
      <c r="NI736" s="135"/>
      <c r="NJ736" s="135"/>
      <c r="NK736" s="135"/>
      <c r="NL736" s="135"/>
      <c r="NM736" s="135"/>
      <c r="NN736" s="135"/>
      <c r="NO736" s="135"/>
      <c r="NP736" s="135"/>
      <c r="NQ736" s="135"/>
      <c r="NR736" s="135"/>
      <c r="NS736" s="135"/>
      <c r="NT736" s="135"/>
      <c r="NU736" s="135"/>
      <c r="NV736" s="135"/>
      <c r="NW736" s="135"/>
      <c r="NX736" s="135"/>
      <c r="NY736" s="135"/>
      <c r="NZ736" s="135"/>
      <c r="OA736" s="135"/>
      <c r="OB736" s="135"/>
      <c r="OC736" s="135"/>
      <c r="OD736" s="135"/>
      <c r="OE736" s="135"/>
      <c r="OF736" s="135"/>
      <c r="OG736" s="135"/>
      <c r="OH736" s="135"/>
      <c r="OI736" s="135"/>
      <c r="OJ736" s="135"/>
      <c r="OK736" s="135"/>
      <c r="OL736" s="135"/>
      <c r="OM736" s="135"/>
      <c r="ON736" s="135"/>
      <c r="OO736" s="135"/>
      <c r="OP736" s="135"/>
      <c r="OQ736" s="135"/>
      <c r="OR736" s="135"/>
      <c r="OS736" s="135"/>
      <c r="OT736" s="135"/>
      <c r="OU736" s="135"/>
      <c r="OV736" s="135"/>
      <c r="OW736" s="135"/>
      <c r="OX736" s="135"/>
      <c r="OY736" s="135"/>
      <c r="OZ736" s="135"/>
      <c r="PA736" s="135"/>
      <c r="PB736" s="135"/>
      <c r="PC736" s="135"/>
      <c r="PD736" s="135"/>
      <c r="PE736" s="135"/>
      <c r="PF736" s="135"/>
      <c r="PG736" s="135"/>
      <c r="PH736" s="135"/>
      <c r="PI736" s="135"/>
      <c r="PJ736" s="135"/>
      <c r="PK736" s="135"/>
      <c r="PL736" s="135"/>
      <c r="PM736" s="135"/>
      <c r="PN736" s="135"/>
      <c r="PO736" s="135"/>
      <c r="PP736" s="135"/>
      <c r="PQ736" s="135"/>
      <c r="PR736" s="135"/>
      <c r="PS736" s="135"/>
      <c r="PT736" s="135"/>
      <c r="PU736" s="135"/>
      <c r="PV736" s="135"/>
      <c r="PW736" s="135"/>
      <c r="PX736" s="135"/>
      <c r="PY736" s="135"/>
      <c r="PZ736" s="135"/>
      <c r="QA736" s="135"/>
      <c r="QB736" s="135"/>
      <c r="QC736" s="135"/>
      <c r="QD736" s="135"/>
      <c r="QE736" s="135"/>
      <c r="QF736" s="135"/>
      <c r="QG736" s="135"/>
      <c r="QH736" s="135"/>
      <c r="QI736" s="135"/>
      <c r="QJ736" s="135"/>
      <c r="QK736" s="135"/>
      <c r="QL736" s="135"/>
      <c r="QM736" s="135"/>
      <c r="QN736" s="135"/>
      <c r="QO736" s="135"/>
      <c r="QP736" s="135"/>
      <c r="QQ736" s="135"/>
      <c r="QR736" s="135"/>
      <c r="QS736" s="135"/>
      <c r="QT736" s="135"/>
      <c r="QU736" s="135"/>
      <c r="QV736" s="135"/>
      <c r="QW736" s="135"/>
      <c r="QX736" s="135"/>
      <c r="QY736" s="135"/>
      <c r="QZ736" s="135"/>
      <c r="RA736" s="135"/>
      <c r="RB736" s="135"/>
      <c r="RC736" s="135"/>
      <c r="RD736" s="135"/>
      <c r="RE736" s="135"/>
      <c r="RF736" s="135"/>
      <c r="RG736" s="135"/>
      <c r="RH736" s="135"/>
      <c r="RI736" s="135"/>
      <c r="RJ736" s="135"/>
      <c r="RK736" s="135"/>
      <c r="RL736" s="135"/>
      <c r="RM736" s="135"/>
      <c r="RN736" s="135"/>
      <c r="RO736" s="135"/>
      <c r="RP736" s="135"/>
      <c r="RQ736" s="135"/>
      <c r="RR736" s="135"/>
      <c r="RS736" s="135"/>
      <c r="RT736" s="135"/>
      <c r="RU736" s="135"/>
      <c r="RV736" s="135"/>
      <c r="RW736" s="135"/>
      <c r="RX736" s="135"/>
      <c r="RY736" s="135"/>
      <c r="RZ736" s="135"/>
      <c r="SA736" s="135"/>
      <c r="SB736" s="135"/>
      <c r="SC736" s="135"/>
      <c r="SD736" s="135"/>
      <c r="SE736" s="135"/>
      <c r="SF736" s="135"/>
      <c r="SG736" s="135"/>
      <c r="SH736" s="135"/>
      <c r="SI736" s="135"/>
      <c r="SJ736" s="135"/>
      <c r="SK736" s="135"/>
      <c r="SL736" s="135"/>
      <c r="SM736" s="135"/>
      <c r="SN736" s="135"/>
      <c r="SO736" s="135"/>
      <c r="SP736" s="135"/>
      <c r="SQ736" s="135"/>
      <c r="SR736" s="135"/>
      <c r="SS736" s="135"/>
      <c r="ST736" s="135"/>
      <c r="SU736" s="135"/>
      <c r="SV736" s="135"/>
      <c r="SW736" s="135"/>
      <c r="SX736" s="135"/>
      <c r="SY736" s="135"/>
      <c r="SZ736" s="135"/>
      <c r="TA736" s="135"/>
      <c r="TB736" s="135"/>
      <c r="TC736" s="135"/>
      <c r="TD736" s="135"/>
      <c r="TE736" s="135"/>
      <c r="TF736" s="135"/>
      <c r="TG736" s="135"/>
      <c r="TH736" s="135"/>
      <c r="TI736" s="135"/>
      <c r="TJ736" s="135"/>
      <c r="TK736" s="135"/>
      <c r="TL736" s="135"/>
      <c r="TM736" s="135"/>
      <c r="TN736" s="135"/>
      <c r="TO736" s="135"/>
      <c r="TP736" s="135"/>
      <c r="TQ736" s="135"/>
      <c r="TR736" s="135"/>
      <c r="TS736" s="135"/>
      <c r="TT736" s="135"/>
      <c r="TU736" s="135"/>
      <c r="TV736" s="135"/>
      <c r="TW736" s="135"/>
      <c r="TX736" s="135"/>
      <c r="TY736" s="135"/>
      <c r="TZ736" s="135"/>
      <c r="UA736" s="135"/>
      <c r="UB736" s="135"/>
      <c r="UC736" s="135"/>
      <c r="UD736" s="135"/>
      <c r="UE736" s="135"/>
      <c r="UF736" s="135"/>
      <c r="UG736" s="135"/>
    </row>
    <row r="737" spans="1:553" ht="30.75" customHeight="1">
      <c r="A737" s="356"/>
      <c r="B737" s="385">
        <v>19</v>
      </c>
      <c r="C737" s="1401" t="s">
        <v>977</v>
      </c>
      <c r="D737" s="1389"/>
      <c r="E737" s="1389"/>
      <c r="F737" s="1390"/>
      <c r="G737" s="386" t="s">
        <v>33</v>
      </c>
      <c r="H737" s="622"/>
      <c r="I737" s="626">
        <f>4.5*0.9</f>
        <v>4.05</v>
      </c>
      <c r="J737" s="369">
        <v>224200</v>
      </c>
      <c r="K737" s="371"/>
      <c r="L737" s="627">
        <f t="shared" si="114"/>
        <v>908010</v>
      </c>
      <c r="M737" s="549"/>
      <c r="N737" s="549"/>
      <c r="O737" s="366"/>
      <c r="P737" s="385"/>
      <c r="Q737" s="394"/>
      <c r="R737" s="1230"/>
      <c r="S737" s="308"/>
      <c r="T737" s="308"/>
      <c r="U737" s="308"/>
      <c r="V737" s="308"/>
      <c r="W737" s="308"/>
      <c r="X737" s="308"/>
      <c r="Y737" s="308"/>
      <c r="Z737" s="604"/>
      <c r="AA737" s="308"/>
      <c r="AB737" s="308"/>
      <c r="AC737" s="628"/>
      <c r="AD737" s="628"/>
      <c r="AE737" s="628"/>
      <c r="AF737" s="628"/>
      <c r="AG737" s="628"/>
      <c r="AH737" s="629"/>
      <c r="AI737" s="629"/>
      <c r="AJ737" s="629"/>
      <c r="AK737" s="629"/>
      <c r="AL737" s="135"/>
      <c r="AM737" s="135"/>
      <c r="AN737" s="135"/>
      <c r="AO737" s="135"/>
      <c r="AP737" s="135"/>
      <c r="AQ737" s="135"/>
      <c r="AR737" s="135"/>
      <c r="AS737" s="135"/>
      <c r="AT737" s="135"/>
      <c r="AU737" s="135"/>
      <c r="AV737" s="135"/>
      <c r="AW737" s="135"/>
      <c r="AX737" s="135"/>
      <c r="AY737" s="135"/>
      <c r="AZ737" s="135"/>
      <c r="BA737" s="135"/>
      <c r="BB737" s="135"/>
      <c r="BC737" s="135"/>
      <c r="BD737" s="135"/>
      <c r="BE737" s="135"/>
      <c r="BF737" s="135"/>
      <c r="BG737" s="135"/>
      <c r="BH737" s="135"/>
      <c r="BI737" s="135"/>
      <c r="BJ737" s="135"/>
      <c r="BK737" s="135"/>
      <c r="BL737" s="135"/>
      <c r="BM737" s="135"/>
      <c r="BN737" s="135"/>
      <c r="BO737" s="135"/>
      <c r="BP737" s="135"/>
      <c r="BQ737" s="135"/>
      <c r="BR737" s="135"/>
      <c r="BS737" s="135"/>
      <c r="BT737" s="135"/>
      <c r="BU737" s="135"/>
      <c r="BV737" s="135"/>
      <c r="BW737" s="135"/>
      <c r="BX737" s="135"/>
      <c r="BY737" s="135"/>
      <c r="BZ737" s="135"/>
      <c r="CA737" s="135"/>
      <c r="CB737" s="135"/>
      <c r="CC737" s="135"/>
      <c r="CD737" s="135"/>
      <c r="CE737" s="135"/>
      <c r="CF737" s="135"/>
      <c r="CG737" s="135"/>
      <c r="CH737" s="135"/>
      <c r="CI737" s="135"/>
      <c r="CJ737" s="135"/>
      <c r="CK737" s="135"/>
      <c r="CL737" s="135"/>
      <c r="CM737" s="135"/>
      <c r="CN737" s="135"/>
      <c r="CO737" s="135"/>
      <c r="CP737" s="135"/>
      <c r="CQ737" s="135"/>
      <c r="CR737" s="135"/>
      <c r="CS737" s="135"/>
      <c r="CT737" s="135"/>
      <c r="CU737" s="135"/>
      <c r="CV737" s="135"/>
      <c r="CW737" s="135"/>
      <c r="CX737" s="135"/>
      <c r="CY737" s="135"/>
      <c r="CZ737" s="135"/>
      <c r="DA737" s="135"/>
      <c r="DB737" s="135"/>
      <c r="DC737" s="135"/>
      <c r="DD737" s="135"/>
      <c r="DE737" s="135"/>
      <c r="DF737" s="135"/>
      <c r="DG737" s="135"/>
      <c r="DH737" s="135"/>
      <c r="DI737" s="135"/>
      <c r="DJ737" s="135"/>
      <c r="DK737" s="135"/>
      <c r="DL737" s="135"/>
      <c r="DM737" s="135"/>
      <c r="DN737" s="135"/>
      <c r="DO737" s="135"/>
      <c r="DP737" s="135"/>
      <c r="DQ737" s="135"/>
      <c r="DR737" s="135"/>
      <c r="DS737" s="135"/>
      <c r="DT737" s="135"/>
      <c r="DU737" s="135"/>
      <c r="DV737" s="135"/>
      <c r="DW737" s="135"/>
      <c r="DX737" s="135"/>
      <c r="DY737" s="135"/>
      <c r="DZ737" s="135"/>
      <c r="EA737" s="135"/>
      <c r="EB737" s="135"/>
      <c r="EC737" s="135"/>
      <c r="ED737" s="135"/>
      <c r="EE737" s="135"/>
      <c r="EF737" s="135"/>
      <c r="EG737" s="135"/>
      <c r="EH737" s="135"/>
      <c r="EI737" s="135"/>
      <c r="EJ737" s="135"/>
      <c r="EK737" s="135"/>
      <c r="EL737" s="135"/>
      <c r="EM737" s="135"/>
      <c r="EN737" s="135"/>
      <c r="EO737" s="135"/>
      <c r="EP737" s="135"/>
      <c r="EQ737" s="135"/>
      <c r="ER737" s="135"/>
      <c r="ES737" s="135"/>
      <c r="ET737" s="135"/>
      <c r="EU737" s="135"/>
      <c r="EV737" s="135"/>
      <c r="EW737" s="135"/>
      <c r="EX737" s="135"/>
      <c r="EY737" s="135"/>
      <c r="EZ737" s="135"/>
      <c r="FA737" s="135"/>
      <c r="FB737" s="135"/>
      <c r="FC737" s="135"/>
      <c r="FD737" s="135"/>
      <c r="FE737" s="135"/>
      <c r="FF737" s="135"/>
      <c r="FG737" s="135"/>
      <c r="FH737" s="135"/>
      <c r="FI737" s="135"/>
      <c r="FJ737" s="135"/>
      <c r="FK737" s="135"/>
      <c r="FL737" s="135"/>
      <c r="FM737" s="135"/>
      <c r="FN737" s="135"/>
      <c r="FO737" s="135"/>
      <c r="FP737" s="135"/>
      <c r="FQ737" s="135"/>
      <c r="FR737" s="135"/>
      <c r="FS737" s="135"/>
      <c r="FT737" s="135"/>
      <c r="FU737" s="135"/>
      <c r="FV737" s="135"/>
      <c r="FW737" s="135"/>
      <c r="FX737" s="135"/>
      <c r="FY737" s="135"/>
      <c r="FZ737" s="135"/>
      <c r="GA737" s="135"/>
      <c r="GB737" s="135"/>
      <c r="GC737" s="135"/>
      <c r="GD737" s="135"/>
      <c r="GE737" s="135"/>
      <c r="GF737" s="135"/>
      <c r="GG737" s="135"/>
      <c r="GH737" s="135"/>
      <c r="GI737" s="135"/>
      <c r="GJ737" s="135"/>
      <c r="GK737" s="135"/>
      <c r="GL737" s="135"/>
      <c r="GM737" s="135"/>
      <c r="GN737" s="135"/>
      <c r="GO737" s="135"/>
      <c r="GP737" s="135"/>
      <c r="GQ737" s="135"/>
      <c r="GR737" s="135"/>
      <c r="GS737" s="135"/>
      <c r="GT737" s="135"/>
      <c r="GU737" s="135"/>
      <c r="GV737" s="135"/>
      <c r="GW737" s="135"/>
      <c r="GX737" s="135"/>
      <c r="GY737" s="135"/>
      <c r="GZ737" s="135"/>
      <c r="HA737" s="135"/>
      <c r="HB737" s="135"/>
      <c r="HC737" s="135"/>
      <c r="HD737" s="135"/>
      <c r="HE737" s="135"/>
      <c r="HF737" s="135"/>
      <c r="HG737" s="135"/>
      <c r="HH737" s="135"/>
      <c r="HI737" s="135"/>
      <c r="HJ737" s="135"/>
      <c r="HK737" s="135"/>
      <c r="HL737" s="135"/>
      <c r="HM737" s="135"/>
      <c r="HN737" s="135"/>
      <c r="HO737" s="135"/>
      <c r="HP737" s="135"/>
      <c r="HQ737" s="135"/>
      <c r="HR737" s="135"/>
      <c r="HS737" s="135"/>
      <c r="HT737" s="135"/>
      <c r="HU737" s="135"/>
      <c r="HV737" s="135"/>
      <c r="HW737" s="135"/>
      <c r="HX737" s="135"/>
      <c r="HY737" s="135"/>
      <c r="HZ737" s="135"/>
      <c r="IA737" s="135"/>
      <c r="IB737" s="135"/>
      <c r="IC737" s="135"/>
      <c r="ID737" s="135"/>
      <c r="IE737" s="135"/>
      <c r="IF737" s="135"/>
      <c r="IG737" s="135"/>
      <c r="IH737" s="135"/>
      <c r="II737" s="135"/>
      <c r="IJ737" s="135"/>
      <c r="IK737" s="135"/>
      <c r="IL737" s="135"/>
      <c r="IM737" s="135"/>
      <c r="IN737" s="135"/>
      <c r="IO737" s="135"/>
      <c r="IP737" s="135"/>
      <c r="IQ737" s="135"/>
      <c r="IR737" s="135"/>
      <c r="IS737" s="135"/>
      <c r="IT737" s="135"/>
      <c r="IU737" s="135"/>
      <c r="IV737" s="135"/>
      <c r="IW737" s="135"/>
      <c r="IX737" s="135"/>
      <c r="IY737" s="135"/>
      <c r="IZ737" s="135"/>
      <c r="JA737" s="135"/>
      <c r="JB737" s="135"/>
      <c r="JC737" s="135"/>
      <c r="JD737" s="135"/>
      <c r="JE737" s="135"/>
      <c r="JF737" s="135"/>
      <c r="JG737" s="135"/>
      <c r="JH737" s="135"/>
      <c r="JI737" s="135"/>
      <c r="JJ737" s="135"/>
      <c r="JK737" s="135"/>
      <c r="JL737" s="135"/>
      <c r="JM737" s="135"/>
      <c r="JN737" s="135"/>
      <c r="JO737" s="135"/>
      <c r="JP737" s="135"/>
      <c r="JQ737" s="135"/>
      <c r="JR737" s="135"/>
      <c r="JS737" s="135"/>
      <c r="JT737" s="135"/>
      <c r="JU737" s="135"/>
      <c r="JV737" s="135"/>
      <c r="JW737" s="135"/>
      <c r="JX737" s="135"/>
      <c r="JY737" s="135"/>
      <c r="JZ737" s="135"/>
      <c r="KA737" s="135"/>
      <c r="KB737" s="135"/>
      <c r="KC737" s="135"/>
      <c r="KD737" s="135"/>
      <c r="KE737" s="135"/>
      <c r="KF737" s="135"/>
      <c r="KG737" s="135"/>
      <c r="KH737" s="135"/>
      <c r="KI737" s="135"/>
      <c r="KJ737" s="135"/>
      <c r="KK737" s="135"/>
      <c r="KL737" s="135"/>
      <c r="KM737" s="135"/>
      <c r="KN737" s="135"/>
      <c r="KO737" s="135"/>
      <c r="KP737" s="135"/>
      <c r="KQ737" s="135"/>
      <c r="KR737" s="135"/>
      <c r="KS737" s="135"/>
      <c r="KT737" s="135"/>
      <c r="KU737" s="135"/>
      <c r="KV737" s="135"/>
      <c r="KW737" s="135"/>
      <c r="KX737" s="135"/>
      <c r="KY737" s="135"/>
      <c r="KZ737" s="135"/>
      <c r="LA737" s="135"/>
      <c r="LB737" s="135"/>
      <c r="LC737" s="135"/>
      <c r="LD737" s="135"/>
      <c r="LE737" s="135"/>
      <c r="LF737" s="135"/>
      <c r="LG737" s="135"/>
      <c r="LH737" s="135"/>
      <c r="LI737" s="135"/>
      <c r="LJ737" s="135"/>
      <c r="LK737" s="135"/>
      <c r="LL737" s="135"/>
      <c r="LM737" s="135"/>
      <c r="LN737" s="135"/>
      <c r="LO737" s="135"/>
      <c r="LP737" s="135"/>
      <c r="LQ737" s="135"/>
      <c r="LR737" s="135"/>
      <c r="LS737" s="135"/>
      <c r="LT737" s="135"/>
      <c r="LU737" s="135"/>
      <c r="LV737" s="135"/>
      <c r="LW737" s="135"/>
      <c r="LX737" s="135"/>
      <c r="LY737" s="135"/>
      <c r="LZ737" s="135"/>
      <c r="MA737" s="135"/>
      <c r="MB737" s="135"/>
      <c r="MC737" s="135"/>
      <c r="MD737" s="135"/>
      <c r="ME737" s="135"/>
      <c r="MF737" s="135"/>
      <c r="MG737" s="135"/>
      <c r="MH737" s="135"/>
      <c r="MI737" s="135"/>
      <c r="MJ737" s="135"/>
      <c r="MK737" s="135"/>
      <c r="ML737" s="135"/>
      <c r="MM737" s="135"/>
      <c r="MN737" s="135"/>
      <c r="MO737" s="135"/>
      <c r="MP737" s="135"/>
      <c r="MQ737" s="135"/>
      <c r="MR737" s="135"/>
      <c r="MS737" s="135"/>
      <c r="MT737" s="135"/>
      <c r="MU737" s="135"/>
      <c r="MV737" s="135"/>
      <c r="MW737" s="135"/>
      <c r="MX737" s="135"/>
      <c r="MY737" s="135"/>
      <c r="MZ737" s="135"/>
      <c r="NA737" s="135"/>
      <c r="NB737" s="135"/>
      <c r="NC737" s="135"/>
      <c r="ND737" s="135"/>
      <c r="NE737" s="135"/>
      <c r="NF737" s="135"/>
      <c r="NG737" s="135"/>
      <c r="NH737" s="135"/>
      <c r="NI737" s="135"/>
      <c r="NJ737" s="135"/>
      <c r="NK737" s="135"/>
      <c r="NL737" s="135"/>
      <c r="NM737" s="135"/>
      <c r="NN737" s="135"/>
      <c r="NO737" s="135"/>
      <c r="NP737" s="135"/>
      <c r="NQ737" s="135"/>
      <c r="NR737" s="135"/>
      <c r="NS737" s="135"/>
      <c r="NT737" s="135"/>
      <c r="NU737" s="135"/>
      <c r="NV737" s="135"/>
      <c r="NW737" s="135"/>
      <c r="NX737" s="135"/>
      <c r="NY737" s="135"/>
      <c r="NZ737" s="135"/>
      <c r="OA737" s="135"/>
      <c r="OB737" s="135"/>
      <c r="OC737" s="135"/>
      <c r="OD737" s="135"/>
      <c r="OE737" s="135"/>
      <c r="OF737" s="135"/>
      <c r="OG737" s="135"/>
      <c r="OH737" s="135"/>
      <c r="OI737" s="135"/>
      <c r="OJ737" s="135"/>
      <c r="OK737" s="135"/>
      <c r="OL737" s="135"/>
      <c r="OM737" s="135"/>
      <c r="ON737" s="135"/>
      <c r="OO737" s="135"/>
      <c r="OP737" s="135"/>
      <c r="OQ737" s="135"/>
      <c r="OR737" s="135"/>
      <c r="OS737" s="135"/>
      <c r="OT737" s="135"/>
      <c r="OU737" s="135"/>
      <c r="OV737" s="135"/>
      <c r="OW737" s="135"/>
      <c r="OX737" s="135"/>
      <c r="OY737" s="135"/>
      <c r="OZ737" s="135"/>
      <c r="PA737" s="135"/>
      <c r="PB737" s="135"/>
      <c r="PC737" s="135"/>
      <c r="PD737" s="135"/>
      <c r="PE737" s="135"/>
      <c r="PF737" s="135"/>
      <c r="PG737" s="135"/>
      <c r="PH737" s="135"/>
      <c r="PI737" s="135"/>
      <c r="PJ737" s="135"/>
      <c r="PK737" s="135"/>
      <c r="PL737" s="135"/>
      <c r="PM737" s="135"/>
      <c r="PN737" s="135"/>
      <c r="PO737" s="135"/>
      <c r="PP737" s="135"/>
      <c r="PQ737" s="135"/>
      <c r="PR737" s="135"/>
      <c r="PS737" s="135"/>
      <c r="PT737" s="135"/>
      <c r="PU737" s="135"/>
      <c r="PV737" s="135"/>
      <c r="PW737" s="135"/>
      <c r="PX737" s="135"/>
      <c r="PY737" s="135"/>
      <c r="PZ737" s="135"/>
      <c r="QA737" s="135"/>
      <c r="QB737" s="135"/>
      <c r="QC737" s="135"/>
      <c r="QD737" s="135"/>
      <c r="QE737" s="135"/>
      <c r="QF737" s="135"/>
      <c r="QG737" s="135"/>
      <c r="QH737" s="135"/>
      <c r="QI737" s="135"/>
      <c r="QJ737" s="135"/>
      <c r="QK737" s="135"/>
      <c r="QL737" s="135"/>
      <c r="QM737" s="135"/>
      <c r="QN737" s="135"/>
      <c r="QO737" s="135"/>
      <c r="QP737" s="135"/>
      <c r="QQ737" s="135"/>
      <c r="QR737" s="135"/>
      <c r="QS737" s="135"/>
      <c r="QT737" s="135"/>
      <c r="QU737" s="135"/>
      <c r="QV737" s="135"/>
      <c r="QW737" s="135"/>
      <c r="QX737" s="135"/>
      <c r="QY737" s="135"/>
      <c r="QZ737" s="135"/>
      <c r="RA737" s="135"/>
      <c r="RB737" s="135"/>
      <c r="RC737" s="135"/>
      <c r="RD737" s="135"/>
      <c r="RE737" s="135"/>
      <c r="RF737" s="135"/>
      <c r="RG737" s="135"/>
      <c r="RH737" s="135"/>
      <c r="RI737" s="135"/>
      <c r="RJ737" s="135"/>
      <c r="RK737" s="135"/>
      <c r="RL737" s="135"/>
      <c r="RM737" s="135"/>
      <c r="RN737" s="135"/>
      <c r="RO737" s="135"/>
      <c r="RP737" s="135"/>
      <c r="RQ737" s="135"/>
      <c r="RR737" s="135"/>
      <c r="RS737" s="135"/>
      <c r="RT737" s="135"/>
      <c r="RU737" s="135"/>
      <c r="RV737" s="135"/>
      <c r="RW737" s="135"/>
      <c r="RX737" s="135"/>
      <c r="RY737" s="135"/>
      <c r="RZ737" s="135"/>
      <c r="SA737" s="135"/>
      <c r="SB737" s="135"/>
      <c r="SC737" s="135"/>
      <c r="SD737" s="135"/>
      <c r="SE737" s="135"/>
      <c r="SF737" s="135"/>
      <c r="SG737" s="135"/>
      <c r="SH737" s="135"/>
      <c r="SI737" s="135"/>
      <c r="SJ737" s="135"/>
      <c r="SK737" s="135"/>
      <c r="SL737" s="135"/>
      <c r="SM737" s="135"/>
      <c r="SN737" s="135"/>
      <c r="SO737" s="135"/>
      <c r="SP737" s="135"/>
      <c r="SQ737" s="135"/>
      <c r="SR737" s="135"/>
      <c r="SS737" s="135"/>
      <c r="ST737" s="135"/>
      <c r="SU737" s="135"/>
      <c r="SV737" s="135"/>
      <c r="SW737" s="135"/>
      <c r="SX737" s="135"/>
      <c r="SY737" s="135"/>
      <c r="SZ737" s="135"/>
      <c r="TA737" s="135"/>
      <c r="TB737" s="135"/>
      <c r="TC737" s="135"/>
      <c r="TD737" s="135"/>
      <c r="TE737" s="135"/>
      <c r="TF737" s="135"/>
      <c r="TG737" s="135"/>
      <c r="TH737" s="135"/>
      <c r="TI737" s="135"/>
      <c r="TJ737" s="135"/>
      <c r="TK737" s="135"/>
      <c r="TL737" s="135"/>
      <c r="TM737" s="135"/>
      <c r="TN737" s="135"/>
      <c r="TO737" s="135"/>
      <c r="TP737" s="135"/>
      <c r="TQ737" s="135"/>
      <c r="TR737" s="135"/>
      <c r="TS737" s="135"/>
      <c r="TT737" s="135"/>
      <c r="TU737" s="135"/>
      <c r="TV737" s="135"/>
      <c r="TW737" s="135"/>
      <c r="TX737" s="135"/>
      <c r="TY737" s="135"/>
      <c r="TZ737" s="135"/>
      <c r="UA737" s="135"/>
      <c r="UB737" s="135"/>
      <c r="UC737" s="135"/>
      <c r="UD737" s="135"/>
      <c r="UE737" s="135"/>
      <c r="UF737" s="135"/>
      <c r="UG737" s="135"/>
    </row>
    <row r="738" spans="1:553" ht="30.75" customHeight="1">
      <c r="A738" s="356"/>
      <c r="B738" s="385">
        <v>219</v>
      </c>
      <c r="C738" s="1401" t="s">
        <v>976</v>
      </c>
      <c r="D738" s="1389"/>
      <c r="E738" s="1389"/>
      <c r="F738" s="1390"/>
      <c r="G738" s="386" t="s">
        <v>33</v>
      </c>
      <c r="H738" s="622"/>
      <c r="I738" s="626">
        <f>3.1*0.9</f>
        <v>2.79</v>
      </c>
      <c r="J738" s="369">
        <v>267200</v>
      </c>
      <c r="K738" s="371"/>
      <c r="L738" s="627">
        <f t="shared" si="114"/>
        <v>745488</v>
      </c>
      <c r="M738" s="549"/>
      <c r="N738" s="549"/>
      <c r="O738" s="366"/>
      <c r="P738" s="385"/>
      <c r="Q738" s="394"/>
      <c r="R738" s="1230"/>
      <c r="S738" s="308"/>
      <c r="T738" s="308"/>
      <c r="U738" s="308"/>
      <c r="V738" s="308"/>
      <c r="W738" s="308"/>
      <c r="X738" s="308"/>
      <c r="Y738" s="308"/>
      <c r="Z738" s="604"/>
      <c r="AA738" s="308"/>
      <c r="AB738" s="308"/>
      <c r="AC738" s="628"/>
      <c r="AD738" s="628"/>
      <c r="AE738" s="628"/>
      <c r="AF738" s="628"/>
      <c r="AG738" s="628"/>
      <c r="AH738" s="629"/>
      <c r="AI738" s="629"/>
      <c r="AJ738" s="629"/>
      <c r="AK738" s="629"/>
      <c r="AL738" s="135"/>
      <c r="AM738" s="135"/>
      <c r="AN738" s="135"/>
      <c r="AO738" s="135"/>
      <c r="AP738" s="135"/>
      <c r="AQ738" s="135"/>
      <c r="AR738" s="135"/>
      <c r="AS738" s="135"/>
      <c r="AT738" s="135"/>
      <c r="AU738" s="135"/>
      <c r="AV738" s="135"/>
      <c r="AW738" s="135"/>
      <c r="AX738" s="135"/>
      <c r="AY738" s="135"/>
      <c r="AZ738" s="135"/>
      <c r="BA738" s="135"/>
      <c r="BB738" s="135"/>
      <c r="BC738" s="135"/>
      <c r="BD738" s="135"/>
      <c r="BE738" s="135"/>
      <c r="BF738" s="135"/>
      <c r="BG738" s="135"/>
      <c r="BH738" s="135"/>
      <c r="BI738" s="135"/>
      <c r="BJ738" s="135"/>
      <c r="BK738" s="135"/>
      <c r="BL738" s="135"/>
      <c r="BM738" s="135"/>
      <c r="BN738" s="135"/>
      <c r="BO738" s="135"/>
      <c r="BP738" s="135"/>
      <c r="BQ738" s="135"/>
      <c r="BR738" s="135"/>
      <c r="BS738" s="135"/>
      <c r="BT738" s="135"/>
      <c r="BU738" s="135"/>
      <c r="BV738" s="135"/>
      <c r="BW738" s="135"/>
      <c r="BX738" s="135"/>
      <c r="BY738" s="135"/>
      <c r="BZ738" s="135"/>
      <c r="CA738" s="135"/>
      <c r="CB738" s="135"/>
      <c r="CC738" s="135"/>
      <c r="CD738" s="135"/>
      <c r="CE738" s="135"/>
      <c r="CF738" s="135"/>
      <c r="CG738" s="135"/>
      <c r="CH738" s="135"/>
      <c r="CI738" s="135"/>
      <c r="CJ738" s="135"/>
      <c r="CK738" s="135"/>
      <c r="CL738" s="135"/>
      <c r="CM738" s="135"/>
      <c r="CN738" s="135"/>
      <c r="CO738" s="135"/>
      <c r="CP738" s="135"/>
      <c r="CQ738" s="135"/>
      <c r="CR738" s="135"/>
      <c r="CS738" s="135"/>
      <c r="CT738" s="135"/>
      <c r="CU738" s="135"/>
      <c r="CV738" s="135"/>
      <c r="CW738" s="135"/>
      <c r="CX738" s="135"/>
      <c r="CY738" s="135"/>
      <c r="CZ738" s="135"/>
      <c r="DA738" s="135"/>
      <c r="DB738" s="135"/>
      <c r="DC738" s="135"/>
      <c r="DD738" s="135"/>
      <c r="DE738" s="135"/>
      <c r="DF738" s="135"/>
      <c r="DG738" s="135"/>
      <c r="DH738" s="135"/>
      <c r="DI738" s="135"/>
      <c r="DJ738" s="135"/>
      <c r="DK738" s="135"/>
      <c r="DL738" s="135"/>
      <c r="DM738" s="135"/>
      <c r="DN738" s="135"/>
      <c r="DO738" s="135"/>
      <c r="DP738" s="135"/>
      <c r="DQ738" s="135"/>
      <c r="DR738" s="135"/>
      <c r="DS738" s="135"/>
      <c r="DT738" s="135"/>
      <c r="DU738" s="135"/>
      <c r="DV738" s="135"/>
      <c r="DW738" s="135"/>
      <c r="DX738" s="135"/>
      <c r="DY738" s="135"/>
      <c r="DZ738" s="135"/>
      <c r="EA738" s="135"/>
      <c r="EB738" s="135"/>
      <c r="EC738" s="135"/>
      <c r="ED738" s="135"/>
      <c r="EE738" s="135"/>
      <c r="EF738" s="135"/>
      <c r="EG738" s="135"/>
      <c r="EH738" s="135"/>
      <c r="EI738" s="135"/>
      <c r="EJ738" s="135"/>
      <c r="EK738" s="135"/>
      <c r="EL738" s="135"/>
      <c r="EM738" s="135"/>
      <c r="EN738" s="135"/>
      <c r="EO738" s="135"/>
      <c r="EP738" s="135"/>
      <c r="EQ738" s="135"/>
      <c r="ER738" s="135"/>
      <c r="ES738" s="135"/>
      <c r="ET738" s="135"/>
      <c r="EU738" s="135"/>
      <c r="EV738" s="135"/>
      <c r="EW738" s="135"/>
      <c r="EX738" s="135"/>
      <c r="EY738" s="135"/>
      <c r="EZ738" s="135"/>
      <c r="FA738" s="135"/>
      <c r="FB738" s="135"/>
      <c r="FC738" s="135"/>
      <c r="FD738" s="135"/>
      <c r="FE738" s="135"/>
      <c r="FF738" s="135"/>
      <c r="FG738" s="135"/>
      <c r="FH738" s="135"/>
      <c r="FI738" s="135"/>
      <c r="FJ738" s="135"/>
      <c r="FK738" s="135"/>
      <c r="FL738" s="135"/>
      <c r="FM738" s="135"/>
      <c r="FN738" s="135"/>
      <c r="FO738" s="135"/>
      <c r="FP738" s="135"/>
      <c r="FQ738" s="135"/>
      <c r="FR738" s="135"/>
      <c r="FS738" s="135"/>
      <c r="FT738" s="135"/>
      <c r="FU738" s="135"/>
      <c r="FV738" s="135"/>
      <c r="FW738" s="135"/>
      <c r="FX738" s="135"/>
      <c r="FY738" s="135"/>
      <c r="FZ738" s="135"/>
      <c r="GA738" s="135"/>
      <c r="GB738" s="135"/>
      <c r="GC738" s="135"/>
      <c r="GD738" s="135"/>
      <c r="GE738" s="135"/>
      <c r="GF738" s="135"/>
      <c r="GG738" s="135"/>
      <c r="GH738" s="135"/>
      <c r="GI738" s="135"/>
      <c r="GJ738" s="135"/>
      <c r="GK738" s="135"/>
      <c r="GL738" s="135"/>
      <c r="GM738" s="135"/>
      <c r="GN738" s="135"/>
      <c r="GO738" s="135"/>
      <c r="GP738" s="135"/>
      <c r="GQ738" s="135"/>
      <c r="GR738" s="135"/>
      <c r="GS738" s="135"/>
      <c r="GT738" s="135"/>
      <c r="GU738" s="135"/>
      <c r="GV738" s="135"/>
      <c r="GW738" s="135"/>
      <c r="GX738" s="135"/>
      <c r="GY738" s="135"/>
      <c r="GZ738" s="135"/>
      <c r="HA738" s="135"/>
      <c r="HB738" s="135"/>
      <c r="HC738" s="135"/>
      <c r="HD738" s="135"/>
      <c r="HE738" s="135"/>
      <c r="HF738" s="135"/>
      <c r="HG738" s="135"/>
      <c r="HH738" s="135"/>
      <c r="HI738" s="135"/>
      <c r="HJ738" s="135"/>
      <c r="HK738" s="135"/>
      <c r="HL738" s="135"/>
      <c r="HM738" s="135"/>
      <c r="HN738" s="135"/>
      <c r="HO738" s="135"/>
      <c r="HP738" s="135"/>
      <c r="HQ738" s="135"/>
      <c r="HR738" s="135"/>
      <c r="HS738" s="135"/>
      <c r="HT738" s="135"/>
      <c r="HU738" s="135"/>
      <c r="HV738" s="135"/>
      <c r="HW738" s="135"/>
      <c r="HX738" s="135"/>
      <c r="HY738" s="135"/>
      <c r="HZ738" s="135"/>
      <c r="IA738" s="135"/>
      <c r="IB738" s="135"/>
      <c r="IC738" s="135"/>
      <c r="ID738" s="135"/>
      <c r="IE738" s="135"/>
      <c r="IF738" s="135"/>
      <c r="IG738" s="135"/>
      <c r="IH738" s="135"/>
      <c r="II738" s="135"/>
      <c r="IJ738" s="135"/>
      <c r="IK738" s="135"/>
      <c r="IL738" s="135"/>
      <c r="IM738" s="135"/>
      <c r="IN738" s="135"/>
      <c r="IO738" s="135"/>
      <c r="IP738" s="135"/>
      <c r="IQ738" s="135"/>
      <c r="IR738" s="135"/>
      <c r="IS738" s="135"/>
      <c r="IT738" s="135"/>
      <c r="IU738" s="135"/>
      <c r="IV738" s="135"/>
      <c r="IW738" s="135"/>
      <c r="IX738" s="135"/>
      <c r="IY738" s="135"/>
      <c r="IZ738" s="135"/>
      <c r="JA738" s="135"/>
      <c r="JB738" s="135"/>
      <c r="JC738" s="135"/>
      <c r="JD738" s="135"/>
      <c r="JE738" s="135"/>
      <c r="JF738" s="135"/>
      <c r="JG738" s="135"/>
      <c r="JH738" s="135"/>
      <c r="JI738" s="135"/>
      <c r="JJ738" s="135"/>
      <c r="JK738" s="135"/>
      <c r="JL738" s="135"/>
      <c r="JM738" s="135"/>
      <c r="JN738" s="135"/>
      <c r="JO738" s="135"/>
      <c r="JP738" s="135"/>
      <c r="JQ738" s="135"/>
      <c r="JR738" s="135"/>
      <c r="JS738" s="135"/>
      <c r="JT738" s="135"/>
      <c r="JU738" s="135"/>
      <c r="JV738" s="135"/>
      <c r="JW738" s="135"/>
      <c r="JX738" s="135"/>
      <c r="JY738" s="135"/>
      <c r="JZ738" s="135"/>
      <c r="KA738" s="135"/>
      <c r="KB738" s="135"/>
      <c r="KC738" s="135"/>
      <c r="KD738" s="135"/>
      <c r="KE738" s="135"/>
      <c r="KF738" s="135"/>
      <c r="KG738" s="135"/>
      <c r="KH738" s="135"/>
      <c r="KI738" s="135"/>
      <c r="KJ738" s="135"/>
      <c r="KK738" s="135"/>
      <c r="KL738" s="135"/>
      <c r="KM738" s="135"/>
      <c r="KN738" s="135"/>
      <c r="KO738" s="135"/>
      <c r="KP738" s="135"/>
      <c r="KQ738" s="135"/>
      <c r="KR738" s="135"/>
      <c r="KS738" s="135"/>
      <c r="KT738" s="135"/>
      <c r="KU738" s="135"/>
      <c r="KV738" s="135"/>
      <c r="KW738" s="135"/>
      <c r="KX738" s="135"/>
      <c r="KY738" s="135"/>
      <c r="KZ738" s="135"/>
      <c r="LA738" s="135"/>
      <c r="LB738" s="135"/>
      <c r="LC738" s="135"/>
      <c r="LD738" s="135"/>
      <c r="LE738" s="135"/>
      <c r="LF738" s="135"/>
      <c r="LG738" s="135"/>
      <c r="LH738" s="135"/>
      <c r="LI738" s="135"/>
      <c r="LJ738" s="135"/>
      <c r="LK738" s="135"/>
      <c r="LL738" s="135"/>
      <c r="LM738" s="135"/>
      <c r="LN738" s="135"/>
      <c r="LO738" s="135"/>
      <c r="LP738" s="135"/>
      <c r="LQ738" s="135"/>
      <c r="LR738" s="135"/>
      <c r="LS738" s="135"/>
      <c r="LT738" s="135"/>
      <c r="LU738" s="135"/>
      <c r="LV738" s="135"/>
      <c r="LW738" s="135"/>
      <c r="LX738" s="135"/>
      <c r="LY738" s="135"/>
      <c r="LZ738" s="135"/>
      <c r="MA738" s="135"/>
      <c r="MB738" s="135"/>
      <c r="MC738" s="135"/>
      <c r="MD738" s="135"/>
      <c r="ME738" s="135"/>
      <c r="MF738" s="135"/>
      <c r="MG738" s="135"/>
      <c r="MH738" s="135"/>
      <c r="MI738" s="135"/>
      <c r="MJ738" s="135"/>
      <c r="MK738" s="135"/>
      <c r="ML738" s="135"/>
      <c r="MM738" s="135"/>
      <c r="MN738" s="135"/>
      <c r="MO738" s="135"/>
      <c r="MP738" s="135"/>
      <c r="MQ738" s="135"/>
      <c r="MR738" s="135"/>
      <c r="MS738" s="135"/>
      <c r="MT738" s="135"/>
      <c r="MU738" s="135"/>
      <c r="MV738" s="135"/>
      <c r="MW738" s="135"/>
      <c r="MX738" s="135"/>
      <c r="MY738" s="135"/>
      <c r="MZ738" s="135"/>
      <c r="NA738" s="135"/>
      <c r="NB738" s="135"/>
      <c r="NC738" s="135"/>
      <c r="ND738" s="135"/>
      <c r="NE738" s="135"/>
      <c r="NF738" s="135"/>
      <c r="NG738" s="135"/>
      <c r="NH738" s="135"/>
      <c r="NI738" s="135"/>
      <c r="NJ738" s="135"/>
      <c r="NK738" s="135"/>
      <c r="NL738" s="135"/>
      <c r="NM738" s="135"/>
      <c r="NN738" s="135"/>
      <c r="NO738" s="135"/>
      <c r="NP738" s="135"/>
      <c r="NQ738" s="135"/>
      <c r="NR738" s="135"/>
      <c r="NS738" s="135"/>
      <c r="NT738" s="135"/>
      <c r="NU738" s="135"/>
      <c r="NV738" s="135"/>
      <c r="NW738" s="135"/>
      <c r="NX738" s="135"/>
      <c r="NY738" s="135"/>
      <c r="NZ738" s="135"/>
      <c r="OA738" s="135"/>
      <c r="OB738" s="135"/>
      <c r="OC738" s="135"/>
      <c r="OD738" s="135"/>
      <c r="OE738" s="135"/>
      <c r="OF738" s="135"/>
      <c r="OG738" s="135"/>
      <c r="OH738" s="135"/>
      <c r="OI738" s="135"/>
      <c r="OJ738" s="135"/>
      <c r="OK738" s="135"/>
      <c r="OL738" s="135"/>
      <c r="OM738" s="135"/>
      <c r="ON738" s="135"/>
      <c r="OO738" s="135"/>
      <c r="OP738" s="135"/>
      <c r="OQ738" s="135"/>
      <c r="OR738" s="135"/>
      <c r="OS738" s="135"/>
      <c r="OT738" s="135"/>
      <c r="OU738" s="135"/>
      <c r="OV738" s="135"/>
      <c r="OW738" s="135"/>
      <c r="OX738" s="135"/>
      <c r="OY738" s="135"/>
      <c r="OZ738" s="135"/>
      <c r="PA738" s="135"/>
      <c r="PB738" s="135"/>
      <c r="PC738" s="135"/>
      <c r="PD738" s="135"/>
      <c r="PE738" s="135"/>
      <c r="PF738" s="135"/>
      <c r="PG738" s="135"/>
      <c r="PH738" s="135"/>
      <c r="PI738" s="135"/>
      <c r="PJ738" s="135"/>
      <c r="PK738" s="135"/>
      <c r="PL738" s="135"/>
      <c r="PM738" s="135"/>
      <c r="PN738" s="135"/>
      <c r="PO738" s="135"/>
      <c r="PP738" s="135"/>
      <c r="PQ738" s="135"/>
      <c r="PR738" s="135"/>
      <c r="PS738" s="135"/>
      <c r="PT738" s="135"/>
      <c r="PU738" s="135"/>
      <c r="PV738" s="135"/>
      <c r="PW738" s="135"/>
      <c r="PX738" s="135"/>
      <c r="PY738" s="135"/>
      <c r="PZ738" s="135"/>
      <c r="QA738" s="135"/>
      <c r="QB738" s="135"/>
      <c r="QC738" s="135"/>
      <c r="QD738" s="135"/>
      <c r="QE738" s="135"/>
      <c r="QF738" s="135"/>
      <c r="QG738" s="135"/>
      <c r="QH738" s="135"/>
      <c r="QI738" s="135"/>
      <c r="QJ738" s="135"/>
      <c r="QK738" s="135"/>
      <c r="QL738" s="135"/>
      <c r="QM738" s="135"/>
      <c r="QN738" s="135"/>
      <c r="QO738" s="135"/>
      <c r="QP738" s="135"/>
      <c r="QQ738" s="135"/>
      <c r="QR738" s="135"/>
      <c r="QS738" s="135"/>
      <c r="QT738" s="135"/>
      <c r="QU738" s="135"/>
      <c r="QV738" s="135"/>
      <c r="QW738" s="135"/>
      <c r="QX738" s="135"/>
      <c r="QY738" s="135"/>
      <c r="QZ738" s="135"/>
      <c r="RA738" s="135"/>
      <c r="RB738" s="135"/>
      <c r="RC738" s="135"/>
      <c r="RD738" s="135"/>
      <c r="RE738" s="135"/>
      <c r="RF738" s="135"/>
      <c r="RG738" s="135"/>
      <c r="RH738" s="135"/>
      <c r="RI738" s="135"/>
      <c r="RJ738" s="135"/>
      <c r="RK738" s="135"/>
      <c r="RL738" s="135"/>
      <c r="RM738" s="135"/>
      <c r="RN738" s="135"/>
      <c r="RO738" s="135"/>
      <c r="RP738" s="135"/>
      <c r="RQ738" s="135"/>
      <c r="RR738" s="135"/>
      <c r="RS738" s="135"/>
      <c r="RT738" s="135"/>
      <c r="RU738" s="135"/>
      <c r="RV738" s="135"/>
      <c r="RW738" s="135"/>
      <c r="RX738" s="135"/>
      <c r="RY738" s="135"/>
      <c r="RZ738" s="135"/>
      <c r="SA738" s="135"/>
      <c r="SB738" s="135"/>
      <c r="SC738" s="135"/>
      <c r="SD738" s="135"/>
      <c r="SE738" s="135"/>
      <c r="SF738" s="135"/>
      <c r="SG738" s="135"/>
      <c r="SH738" s="135"/>
      <c r="SI738" s="135"/>
      <c r="SJ738" s="135"/>
      <c r="SK738" s="135"/>
      <c r="SL738" s="135"/>
      <c r="SM738" s="135"/>
      <c r="SN738" s="135"/>
      <c r="SO738" s="135"/>
      <c r="SP738" s="135"/>
      <c r="SQ738" s="135"/>
      <c r="SR738" s="135"/>
      <c r="SS738" s="135"/>
      <c r="ST738" s="135"/>
      <c r="SU738" s="135"/>
      <c r="SV738" s="135"/>
      <c r="SW738" s="135"/>
      <c r="SX738" s="135"/>
      <c r="SY738" s="135"/>
      <c r="SZ738" s="135"/>
      <c r="TA738" s="135"/>
      <c r="TB738" s="135"/>
      <c r="TC738" s="135"/>
      <c r="TD738" s="135"/>
      <c r="TE738" s="135"/>
      <c r="TF738" s="135"/>
      <c r="TG738" s="135"/>
      <c r="TH738" s="135"/>
      <c r="TI738" s="135"/>
      <c r="TJ738" s="135"/>
      <c r="TK738" s="135"/>
      <c r="TL738" s="135"/>
      <c r="TM738" s="135"/>
      <c r="TN738" s="135"/>
      <c r="TO738" s="135"/>
      <c r="TP738" s="135"/>
      <c r="TQ738" s="135"/>
      <c r="TR738" s="135"/>
      <c r="TS738" s="135"/>
      <c r="TT738" s="135"/>
      <c r="TU738" s="135"/>
      <c r="TV738" s="135"/>
      <c r="TW738" s="135"/>
      <c r="TX738" s="135"/>
      <c r="TY738" s="135"/>
      <c r="TZ738" s="135"/>
      <c r="UA738" s="135"/>
      <c r="UB738" s="135"/>
      <c r="UC738" s="135"/>
      <c r="UD738" s="135"/>
      <c r="UE738" s="135"/>
      <c r="UF738" s="135"/>
      <c r="UG738" s="135"/>
    </row>
    <row r="739" spans="1:553" ht="30.75" customHeight="1">
      <c r="A739" s="356"/>
      <c r="B739" s="385" t="s">
        <v>31</v>
      </c>
      <c r="C739" s="1401" t="s">
        <v>975</v>
      </c>
      <c r="D739" s="1389"/>
      <c r="E739" s="1389"/>
      <c r="F739" s="1390"/>
      <c r="G739" s="386" t="s">
        <v>34</v>
      </c>
      <c r="H739" s="622"/>
      <c r="I739" s="626">
        <f>0.9*1.4*0.11</f>
        <v>0.1386</v>
      </c>
      <c r="J739" s="369">
        <v>1913917</v>
      </c>
      <c r="K739" s="371"/>
      <c r="L739" s="627">
        <f t="shared" si="114"/>
        <v>265268.89620000002</v>
      </c>
      <c r="M739" s="549"/>
      <c r="N739" s="549"/>
      <c r="O739" s="366"/>
      <c r="P739" s="385"/>
      <c r="Q739" s="394"/>
      <c r="R739" s="1230"/>
      <c r="S739" s="308"/>
      <c r="T739" s="308"/>
      <c r="U739" s="308"/>
      <c r="V739" s="308"/>
      <c r="W739" s="308"/>
      <c r="X739" s="308"/>
      <c r="Y739" s="308"/>
      <c r="Z739" s="604"/>
      <c r="AA739" s="308"/>
      <c r="AB739" s="308"/>
      <c r="AC739" s="628"/>
      <c r="AD739" s="628"/>
      <c r="AE739" s="628"/>
      <c r="AF739" s="628"/>
      <c r="AG739" s="628"/>
      <c r="AH739" s="629"/>
      <c r="AI739" s="629"/>
      <c r="AJ739" s="629"/>
      <c r="AK739" s="629"/>
      <c r="AL739" s="135"/>
      <c r="AM739" s="135"/>
      <c r="AN739" s="135"/>
      <c r="AO739" s="135"/>
      <c r="AP739" s="135"/>
      <c r="AQ739" s="135"/>
      <c r="AR739" s="135"/>
      <c r="AS739" s="135"/>
      <c r="AT739" s="135"/>
      <c r="AU739" s="135"/>
      <c r="AV739" s="135"/>
      <c r="AW739" s="135"/>
      <c r="AX739" s="135"/>
      <c r="AY739" s="135"/>
      <c r="AZ739" s="135"/>
      <c r="BA739" s="135"/>
      <c r="BB739" s="135"/>
      <c r="BC739" s="135"/>
      <c r="BD739" s="135"/>
      <c r="BE739" s="135"/>
      <c r="BF739" s="135"/>
      <c r="BG739" s="135"/>
      <c r="BH739" s="135"/>
      <c r="BI739" s="135"/>
      <c r="BJ739" s="135"/>
      <c r="BK739" s="135"/>
      <c r="BL739" s="135"/>
      <c r="BM739" s="135"/>
      <c r="BN739" s="135"/>
      <c r="BO739" s="135"/>
      <c r="BP739" s="135"/>
      <c r="BQ739" s="135"/>
      <c r="BR739" s="135"/>
      <c r="BS739" s="135"/>
      <c r="BT739" s="135"/>
      <c r="BU739" s="135"/>
      <c r="BV739" s="135"/>
      <c r="BW739" s="135"/>
      <c r="BX739" s="135"/>
      <c r="BY739" s="135"/>
      <c r="BZ739" s="135"/>
      <c r="CA739" s="135"/>
      <c r="CB739" s="135"/>
      <c r="CC739" s="135"/>
      <c r="CD739" s="135"/>
      <c r="CE739" s="135"/>
      <c r="CF739" s="135"/>
      <c r="CG739" s="135"/>
      <c r="CH739" s="135"/>
      <c r="CI739" s="135"/>
      <c r="CJ739" s="135"/>
      <c r="CK739" s="135"/>
      <c r="CL739" s="135"/>
      <c r="CM739" s="135"/>
      <c r="CN739" s="135"/>
      <c r="CO739" s="135"/>
      <c r="CP739" s="135"/>
      <c r="CQ739" s="135"/>
      <c r="CR739" s="135"/>
      <c r="CS739" s="135"/>
      <c r="CT739" s="135"/>
      <c r="CU739" s="135"/>
      <c r="CV739" s="135"/>
      <c r="CW739" s="135"/>
      <c r="CX739" s="135"/>
      <c r="CY739" s="135"/>
      <c r="CZ739" s="135"/>
      <c r="DA739" s="135"/>
      <c r="DB739" s="135"/>
      <c r="DC739" s="135"/>
      <c r="DD739" s="135"/>
      <c r="DE739" s="135"/>
      <c r="DF739" s="135"/>
      <c r="DG739" s="135"/>
      <c r="DH739" s="135"/>
      <c r="DI739" s="135"/>
      <c r="DJ739" s="135"/>
      <c r="DK739" s="135"/>
      <c r="DL739" s="135"/>
      <c r="DM739" s="135"/>
      <c r="DN739" s="135"/>
      <c r="DO739" s="135"/>
      <c r="DP739" s="135"/>
      <c r="DQ739" s="135"/>
      <c r="DR739" s="135"/>
      <c r="DS739" s="135"/>
      <c r="DT739" s="135"/>
      <c r="DU739" s="135"/>
      <c r="DV739" s="135"/>
      <c r="DW739" s="135"/>
      <c r="DX739" s="135"/>
      <c r="DY739" s="135"/>
      <c r="DZ739" s="135"/>
      <c r="EA739" s="135"/>
      <c r="EB739" s="135"/>
      <c r="EC739" s="135"/>
      <c r="ED739" s="135"/>
      <c r="EE739" s="135"/>
      <c r="EF739" s="135"/>
      <c r="EG739" s="135"/>
      <c r="EH739" s="135"/>
      <c r="EI739" s="135"/>
      <c r="EJ739" s="135"/>
      <c r="EK739" s="135"/>
      <c r="EL739" s="135"/>
      <c r="EM739" s="135"/>
      <c r="EN739" s="135"/>
      <c r="EO739" s="135"/>
      <c r="EP739" s="135"/>
      <c r="EQ739" s="135"/>
      <c r="ER739" s="135"/>
      <c r="ES739" s="135"/>
      <c r="ET739" s="135"/>
      <c r="EU739" s="135"/>
      <c r="EV739" s="135"/>
      <c r="EW739" s="135"/>
      <c r="EX739" s="135"/>
      <c r="EY739" s="135"/>
      <c r="EZ739" s="135"/>
      <c r="FA739" s="135"/>
      <c r="FB739" s="135"/>
      <c r="FC739" s="135"/>
      <c r="FD739" s="135"/>
      <c r="FE739" s="135"/>
      <c r="FF739" s="135"/>
      <c r="FG739" s="135"/>
      <c r="FH739" s="135"/>
      <c r="FI739" s="135"/>
      <c r="FJ739" s="135"/>
      <c r="FK739" s="135"/>
      <c r="FL739" s="135"/>
      <c r="FM739" s="135"/>
      <c r="FN739" s="135"/>
      <c r="FO739" s="135"/>
      <c r="FP739" s="135"/>
      <c r="FQ739" s="135"/>
      <c r="FR739" s="135"/>
      <c r="FS739" s="135"/>
      <c r="FT739" s="135"/>
      <c r="FU739" s="135"/>
      <c r="FV739" s="135"/>
      <c r="FW739" s="135"/>
      <c r="FX739" s="135"/>
      <c r="FY739" s="135"/>
      <c r="FZ739" s="135"/>
      <c r="GA739" s="135"/>
      <c r="GB739" s="135"/>
      <c r="GC739" s="135"/>
      <c r="GD739" s="135"/>
      <c r="GE739" s="135"/>
      <c r="GF739" s="135"/>
      <c r="GG739" s="135"/>
      <c r="GH739" s="135"/>
      <c r="GI739" s="135"/>
      <c r="GJ739" s="135"/>
      <c r="GK739" s="135"/>
      <c r="GL739" s="135"/>
      <c r="GM739" s="135"/>
      <c r="GN739" s="135"/>
      <c r="GO739" s="135"/>
      <c r="GP739" s="135"/>
      <c r="GQ739" s="135"/>
      <c r="GR739" s="135"/>
      <c r="GS739" s="135"/>
      <c r="GT739" s="135"/>
      <c r="GU739" s="135"/>
      <c r="GV739" s="135"/>
      <c r="GW739" s="135"/>
      <c r="GX739" s="135"/>
      <c r="GY739" s="135"/>
      <c r="GZ739" s="135"/>
      <c r="HA739" s="135"/>
      <c r="HB739" s="135"/>
      <c r="HC739" s="135"/>
      <c r="HD739" s="135"/>
      <c r="HE739" s="135"/>
      <c r="HF739" s="135"/>
      <c r="HG739" s="135"/>
      <c r="HH739" s="135"/>
      <c r="HI739" s="135"/>
      <c r="HJ739" s="135"/>
      <c r="HK739" s="135"/>
      <c r="HL739" s="135"/>
      <c r="HM739" s="135"/>
      <c r="HN739" s="135"/>
      <c r="HO739" s="135"/>
      <c r="HP739" s="135"/>
      <c r="HQ739" s="135"/>
      <c r="HR739" s="135"/>
      <c r="HS739" s="135"/>
      <c r="HT739" s="135"/>
      <c r="HU739" s="135"/>
      <c r="HV739" s="135"/>
      <c r="HW739" s="135"/>
      <c r="HX739" s="135"/>
      <c r="HY739" s="135"/>
      <c r="HZ739" s="135"/>
      <c r="IA739" s="135"/>
      <c r="IB739" s="135"/>
      <c r="IC739" s="135"/>
      <c r="ID739" s="135"/>
      <c r="IE739" s="135"/>
      <c r="IF739" s="135"/>
      <c r="IG739" s="135"/>
      <c r="IH739" s="135"/>
      <c r="II739" s="135"/>
      <c r="IJ739" s="135"/>
      <c r="IK739" s="135"/>
      <c r="IL739" s="135"/>
      <c r="IM739" s="135"/>
      <c r="IN739" s="135"/>
      <c r="IO739" s="135"/>
      <c r="IP739" s="135"/>
      <c r="IQ739" s="135"/>
      <c r="IR739" s="135"/>
      <c r="IS739" s="135"/>
      <c r="IT739" s="135"/>
      <c r="IU739" s="135"/>
      <c r="IV739" s="135"/>
      <c r="IW739" s="135"/>
      <c r="IX739" s="135"/>
      <c r="IY739" s="135"/>
      <c r="IZ739" s="135"/>
      <c r="JA739" s="135"/>
      <c r="JB739" s="135"/>
      <c r="JC739" s="135"/>
      <c r="JD739" s="135"/>
      <c r="JE739" s="135"/>
      <c r="JF739" s="135"/>
      <c r="JG739" s="135"/>
      <c r="JH739" s="135"/>
      <c r="JI739" s="135"/>
      <c r="JJ739" s="135"/>
      <c r="JK739" s="135"/>
      <c r="JL739" s="135"/>
      <c r="JM739" s="135"/>
      <c r="JN739" s="135"/>
      <c r="JO739" s="135"/>
      <c r="JP739" s="135"/>
      <c r="JQ739" s="135"/>
      <c r="JR739" s="135"/>
      <c r="JS739" s="135"/>
      <c r="JT739" s="135"/>
      <c r="JU739" s="135"/>
      <c r="JV739" s="135"/>
      <c r="JW739" s="135"/>
      <c r="JX739" s="135"/>
      <c r="JY739" s="135"/>
      <c r="JZ739" s="135"/>
      <c r="KA739" s="135"/>
      <c r="KB739" s="135"/>
      <c r="KC739" s="135"/>
      <c r="KD739" s="135"/>
      <c r="KE739" s="135"/>
      <c r="KF739" s="135"/>
      <c r="KG739" s="135"/>
      <c r="KH739" s="135"/>
      <c r="KI739" s="135"/>
      <c r="KJ739" s="135"/>
      <c r="KK739" s="135"/>
      <c r="KL739" s="135"/>
      <c r="KM739" s="135"/>
      <c r="KN739" s="135"/>
      <c r="KO739" s="135"/>
      <c r="KP739" s="135"/>
      <c r="KQ739" s="135"/>
      <c r="KR739" s="135"/>
      <c r="KS739" s="135"/>
      <c r="KT739" s="135"/>
      <c r="KU739" s="135"/>
      <c r="KV739" s="135"/>
      <c r="KW739" s="135"/>
      <c r="KX739" s="135"/>
      <c r="KY739" s="135"/>
      <c r="KZ739" s="135"/>
      <c r="LA739" s="135"/>
      <c r="LB739" s="135"/>
      <c r="LC739" s="135"/>
      <c r="LD739" s="135"/>
      <c r="LE739" s="135"/>
      <c r="LF739" s="135"/>
      <c r="LG739" s="135"/>
      <c r="LH739" s="135"/>
      <c r="LI739" s="135"/>
      <c r="LJ739" s="135"/>
      <c r="LK739" s="135"/>
      <c r="LL739" s="135"/>
      <c r="LM739" s="135"/>
      <c r="LN739" s="135"/>
      <c r="LO739" s="135"/>
      <c r="LP739" s="135"/>
      <c r="LQ739" s="135"/>
      <c r="LR739" s="135"/>
      <c r="LS739" s="135"/>
      <c r="LT739" s="135"/>
      <c r="LU739" s="135"/>
      <c r="LV739" s="135"/>
      <c r="LW739" s="135"/>
      <c r="LX739" s="135"/>
      <c r="LY739" s="135"/>
      <c r="LZ739" s="135"/>
      <c r="MA739" s="135"/>
      <c r="MB739" s="135"/>
      <c r="MC739" s="135"/>
      <c r="MD739" s="135"/>
      <c r="ME739" s="135"/>
      <c r="MF739" s="135"/>
      <c r="MG739" s="135"/>
      <c r="MH739" s="135"/>
      <c r="MI739" s="135"/>
      <c r="MJ739" s="135"/>
      <c r="MK739" s="135"/>
      <c r="ML739" s="135"/>
      <c r="MM739" s="135"/>
      <c r="MN739" s="135"/>
      <c r="MO739" s="135"/>
      <c r="MP739" s="135"/>
      <c r="MQ739" s="135"/>
      <c r="MR739" s="135"/>
      <c r="MS739" s="135"/>
      <c r="MT739" s="135"/>
      <c r="MU739" s="135"/>
      <c r="MV739" s="135"/>
      <c r="MW739" s="135"/>
      <c r="MX739" s="135"/>
      <c r="MY739" s="135"/>
      <c r="MZ739" s="135"/>
      <c r="NA739" s="135"/>
      <c r="NB739" s="135"/>
      <c r="NC739" s="135"/>
      <c r="ND739" s="135"/>
      <c r="NE739" s="135"/>
      <c r="NF739" s="135"/>
      <c r="NG739" s="135"/>
      <c r="NH739" s="135"/>
      <c r="NI739" s="135"/>
      <c r="NJ739" s="135"/>
      <c r="NK739" s="135"/>
      <c r="NL739" s="135"/>
      <c r="NM739" s="135"/>
      <c r="NN739" s="135"/>
      <c r="NO739" s="135"/>
      <c r="NP739" s="135"/>
      <c r="NQ739" s="135"/>
      <c r="NR739" s="135"/>
      <c r="NS739" s="135"/>
      <c r="NT739" s="135"/>
      <c r="NU739" s="135"/>
      <c r="NV739" s="135"/>
      <c r="NW739" s="135"/>
      <c r="NX739" s="135"/>
      <c r="NY739" s="135"/>
      <c r="NZ739" s="135"/>
      <c r="OA739" s="135"/>
      <c r="OB739" s="135"/>
      <c r="OC739" s="135"/>
      <c r="OD739" s="135"/>
      <c r="OE739" s="135"/>
      <c r="OF739" s="135"/>
      <c r="OG739" s="135"/>
      <c r="OH739" s="135"/>
      <c r="OI739" s="135"/>
      <c r="OJ739" s="135"/>
      <c r="OK739" s="135"/>
      <c r="OL739" s="135"/>
      <c r="OM739" s="135"/>
      <c r="ON739" s="135"/>
      <c r="OO739" s="135"/>
      <c r="OP739" s="135"/>
      <c r="OQ739" s="135"/>
      <c r="OR739" s="135"/>
      <c r="OS739" s="135"/>
      <c r="OT739" s="135"/>
      <c r="OU739" s="135"/>
      <c r="OV739" s="135"/>
      <c r="OW739" s="135"/>
      <c r="OX739" s="135"/>
      <c r="OY739" s="135"/>
      <c r="OZ739" s="135"/>
      <c r="PA739" s="135"/>
      <c r="PB739" s="135"/>
      <c r="PC739" s="135"/>
      <c r="PD739" s="135"/>
      <c r="PE739" s="135"/>
      <c r="PF739" s="135"/>
      <c r="PG739" s="135"/>
      <c r="PH739" s="135"/>
      <c r="PI739" s="135"/>
      <c r="PJ739" s="135"/>
      <c r="PK739" s="135"/>
      <c r="PL739" s="135"/>
      <c r="PM739" s="135"/>
      <c r="PN739" s="135"/>
      <c r="PO739" s="135"/>
      <c r="PP739" s="135"/>
      <c r="PQ739" s="135"/>
      <c r="PR739" s="135"/>
      <c r="PS739" s="135"/>
      <c r="PT739" s="135"/>
      <c r="PU739" s="135"/>
      <c r="PV739" s="135"/>
      <c r="PW739" s="135"/>
      <c r="PX739" s="135"/>
      <c r="PY739" s="135"/>
      <c r="PZ739" s="135"/>
      <c r="QA739" s="135"/>
      <c r="QB739" s="135"/>
      <c r="QC739" s="135"/>
      <c r="QD739" s="135"/>
      <c r="QE739" s="135"/>
      <c r="QF739" s="135"/>
      <c r="QG739" s="135"/>
      <c r="QH739" s="135"/>
      <c r="QI739" s="135"/>
      <c r="QJ739" s="135"/>
      <c r="QK739" s="135"/>
      <c r="QL739" s="135"/>
      <c r="QM739" s="135"/>
      <c r="QN739" s="135"/>
      <c r="QO739" s="135"/>
      <c r="QP739" s="135"/>
      <c r="QQ739" s="135"/>
      <c r="QR739" s="135"/>
      <c r="QS739" s="135"/>
      <c r="QT739" s="135"/>
      <c r="QU739" s="135"/>
      <c r="QV739" s="135"/>
      <c r="QW739" s="135"/>
      <c r="QX739" s="135"/>
      <c r="QY739" s="135"/>
      <c r="QZ739" s="135"/>
      <c r="RA739" s="135"/>
      <c r="RB739" s="135"/>
      <c r="RC739" s="135"/>
      <c r="RD739" s="135"/>
      <c r="RE739" s="135"/>
      <c r="RF739" s="135"/>
      <c r="RG739" s="135"/>
      <c r="RH739" s="135"/>
      <c r="RI739" s="135"/>
      <c r="RJ739" s="135"/>
      <c r="RK739" s="135"/>
      <c r="RL739" s="135"/>
      <c r="RM739" s="135"/>
      <c r="RN739" s="135"/>
      <c r="RO739" s="135"/>
      <c r="RP739" s="135"/>
      <c r="RQ739" s="135"/>
      <c r="RR739" s="135"/>
      <c r="RS739" s="135"/>
      <c r="RT739" s="135"/>
      <c r="RU739" s="135"/>
      <c r="RV739" s="135"/>
      <c r="RW739" s="135"/>
      <c r="RX739" s="135"/>
      <c r="RY739" s="135"/>
      <c r="RZ739" s="135"/>
      <c r="SA739" s="135"/>
      <c r="SB739" s="135"/>
      <c r="SC739" s="135"/>
      <c r="SD739" s="135"/>
      <c r="SE739" s="135"/>
      <c r="SF739" s="135"/>
      <c r="SG739" s="135"/>
      <c r="SH739" s="135"/>
      <c r="SI739" s="135"/>
      <c r="SJ739" s="135"/>
      <c r="SK739" s="135"/>
      <c r="SL739" s="135"/>
      <c r="SM739" s="135"/>
      <c r="SN739" s="135"/>
      <c r="SO739" s="135"/>
      <c r="SP739" s="135"/>
      <c r="SQ739" s="135"/>
      <c r="SR739" s="135"/>
      <c r="SS739" s="135"/>
      <c r="ST739" s="135"/>
      <c r="SU739" s="135"/>
      <c r="SV739" s="135"/>
      <c r="SW739" s="135"/>
      <c r="SX739" s="135"/>
      <c r="SY739" s="135"/>
      <c r="SZ739" s="135"/>
      <c r="TA739" s="135"/>
      <c r="TB739" s="135"/>
      <c r="TC739" s="135"/>
      <c r="TD739" s="135"/>
      <c r="TE739" s="135"/>
      <c r="TF739" s="135"/>
      <c r="TG739" s="135"/>
      <c r="TH739" s="135"/>
      <c r="TI739" s="135"/>
      <c r="TJ739" s="135"/>
      <c r="TK739" s="135"/>
      <c r="TL739" s="135"/>
      <c r="TM739" s="135"/>
      <c r="TN739" s="135"/>
      <c r="TO739" s="135"/>
      <c r="TP739" s="135"/>
      <c r="TQ739" s="135"/>
      <c r="TR739" s="135"/>
      <c r="TS739" s="135"/>
      <c r="TT739" s="135"/>
      <c r="TU739" s="135"/>
      <c r="TV739" s="135"/>
      <c r="TW739" s="135"/>
      <c r="TX739" s="135"/>
      <c r="TY739" s="135"/>
      <c r="TZ739" s="135"/>
      <c r="UA739" s="135"/>
      <c r="UB739" s="135"/>
      <c r="UC739" s="135"/>
      <c r="UD739" s="135"/>
      <c r="UE739" s="135"/>
      <c r="UF739" s="135"/>
      <c r="UG739" s="135"/>
    </row>
    <row r="740" spans="1:553" ht="30.75" customHeight="1">
      <c r="A740" s="356"/>
      <c r="B740" s="639">
        <v>38</v>
      </c>
      <c r="C740" s="1401" t="s">
        <v>974</v>
      </c>
      <c r="D740" s="1389"/>
      <c r="E740" s="1389"/>
      <c r="F740" s="1390"/>
      <c r="G740" s="386"/>
      <c r="H740" s="622"/>
      <c r="I740" s="626">
        <f>18.1*0.3</f>
        <v>5.4300000000000006</v>
      </c>
      <c r="J740" s="369">
        <v>220000</v>
      </c>
      <c r="K740" s="371"/>
      <c r="L740" s="627">
        <f t="shared" si="114"/>
        <v>1194600.0000000002</v>
      </c>
      <c r="M740" s="549"/>
      <c r="N740" s="549"/>
      <c r="O740" s="366"/>
      <c r="P740" s="385"/>
      <c r="Q740" s="394"/>
      <c r="R740" s="1230"/>
      <c r="S740" s="308"/>
      <c r="T740" s="308"/>
      <c r="U740" s="308"/>
      <c r="V740" s="308"/>
      <c r="W740" s="308"/>
      <c r="X740" s="308"/>
      <c r="Y740" s="308"/>
      <c r="Z740" s="604"/>
      <c r="AA740" s="308"/>
      <c r="AB740" s="308"/>
      <c r="AC740" s="628"/>
      <c r="AD740" s="628"/>
      <c r="AE740" s="628"/>
      <c r="AF740" s="628"/>
      <c r="AG740" s="628"/>
      <c r="AH740" s="629"/>
      <c r="AI740" s="629"/>
      <c r="AJ740" s="629"/>
      <c r="AK740" s="629"/>
      <c r="AL740" s="135"/>
      <c r="AM740" s="135"/>
      <c r="AN740" s="135"/>
      <c r="AO740" s="135"/>
      <c r="AP740" s="135"/>
      <c r="AQ740" s="135"/>
      <c r="AR740" s="135"/>
      <c r="AS740" s="135"/>
      <c r="AT740" s="135"/>
      <c r="AU740" s="135"/>
      <c r="AV740" s="135"/>
      <c r="AW740" s="135"/>
      <c r="AX740" s="135"/>
      <c r="AY740" s="135"/>
      <c r="AZ740" s="135"/>
      <c r="BA740" s="135"/>
      <c r="BB740" s="135"/>
      <c r="BC740" s="135"/>
      <c r="BD740" s="135"/>
      <c r="BE740" s="135"/>
      <c r="BF740" s="135"/>
      <c r="BG740" s="135"/>
      <c r="BH740" s="135"/>
      <c r="BI740" s="135"/>
      <c r="BJ740" s="135"/>
      <c r="BK740" s="135"/>
      <c r="BL740" s="135"/>
      <c r="BM740" s="135"/>
      <c r="BN740" s="135"/>
      <c r="BO740" s="135"/>
      <c r="BP740" s="135"/>
      <c r="BQ740" s="135"/>
      <c r="BR740" s="135"/>
      <c r="BS740" s="135"/>
      <c r="BT740" s="135"/>
      <c r="BU740" s="135"/>
      <c r="BV740" s="135"/>
      <c r="BW740" s="135"/>
      <c r="BX740" s="135"/>
      <c r="BY740" s="135"/>
      <c r="BZ740" s="135"/>
      <c r="CA740" s="135"/>
      <c r="CB740" s="135"/>
      <c r="CC740" s="135"/>
      <c r="CD740" s="135"/>
      <c r="CE740" s="135"/>
      <c r="CF740" s="135"/>
      <c r="CG740" s="135"/>
      <c r="CH740" s="135"/>
      <c r="CI740" s="135"/>
      <c r="CJ740" s="135"/>
      <c r="CK740" s="135"/>
      <c r="CL740" s="135"/>
      <c r="CM740" s="135"/>
      <c r="CN740" s="135"/>
      <c r="CO740" s="135"/>
      <c r="CP740" s="135"/>
      <c r="CQ740" s="135"/>
      <c r="CR740" s="135"/>
      <c r="CS740" s="135"/>
      <c r="CT740" s="135"/>
      <c r="CU740" s="135"/>
      <c r="CV740" s="135"/>
      <c r="CW740" s="135"/>
      <c r="CX740" s="135"/>
      <c r="CY740" s="135"/>
      <c r="CZ740" s="135"/>
      <c r="DA740" s="135"/>
      <c r="DB740" s="135"/>
      <c r="DC740" s="135"/>
      <c r="DD740" s="135"/>
      <c r="DE740" s="135"/>
      <c r="DF740" s="135"/>
      <c r="DG740" s="135"/>
      <c r="DH740" s="135"/>
      <c r="DI740" s="135"/>
      <c r="DJ740" s="135"/>
      <c r="DK740" s="135"/>
      <c r="DL740" s="135"/>
      <c r="DM740" s="135"/>
      <c r="DN740" s="135"/>
      <c r="DO740" s="135"/>
      <c r="DP740" s="135"/>
      <c r="DQ740" s="135"/>
      <c r="DR740" s="135"/>
      <c r="DS740" s="135"/>
      <c r="DT740" s="135"/>
      <c r="DU740" s="135"/>
      <c r="DV740" s="135"/>
      <c r="DW740" s="135"/>
      <c r="DX740" s="135"/>
      <c r="DY740" s="135"/>
      <c r="DZ740" s="135"/>
      <c r="EA740" s="135"/>
      <c r="EB740" s="135"/>
      <c r="EC740" s="135"/>
      <c r="ED740" s="135"/>
      <c r="EE740" s="135"/>
      <c r="EF740" s="135"/>
      <c r="EG740" s="135"/>
      <c r="EH740" s="135"/>
      <c r="EI740" s="135"/>
      <c r="EJ740" s="135"/>
      <c r="EK740" s="135"/>
      <c r="EL740" s="135"/>
      <c r="EM740" s="135"/>
      <c r="EN740" s="135"/>
      <c r="EO740" s="135"/>
      <c r="EP740" s="135"/>
      <c r="EQ740" s="135"/>
      <c r="ER740" s="135"/>
      <c r="ES740" s="135"/>
      <c r="ET740" s="135"/>
      <c r="EU740" s="135"/>
      <c r="EV740" s="135"/>
      <c r="EW740" s="135"/>
      <c r="EX740" s="135"/>
      <c r="EY740" s="135"/>
      <c r="EZ740" s="135"/>
      <c r="FA740" s="135"/>
      <c r="FB740" s="135"/>
      <c r="FC740" s="135"/>
      <c r="FD740" s="135"/>
      <c r="FE740" s="135"/>
      <c r="FF740" s="135"/>
      <c r="FG740" s="135"/>
      <c r="FH740" s="135"/>
      <c r="FI740" s="135"/>
      <c r="FJ740" s="135"/>
      <c r="FK740" s="135"/>
      <c r="FL740" s="135"/>
      <c r="FM740" s="135"/>
      <c r="FN740" s="135"/>
      <c r="FO740" s="135"/>
      <c r="FP740" s="135"/>
      <c r="FQ740" s="135"/>
      <c r="FR740" s="135"/>
      <c r="FS740" s="135"/>
      <c r="FT740" s="135"/>
      <c r="FU740" s="135"/>
      <c r="FV740" s="135"/>
      <c r="FW740" s="135"/>
      <c r="FX740" s="135"/>
      <c r="FY740" s="135"/>
      <c r="FZ740" s="135"/>
      <c r="GA740" s="135"/>
      <c r="GB740" s="135"/>
      <c r="GC740" s="135"/>
      <c r="GD740" s="135"/>
      <c r="GE740" s="135"/>
      <c r="GF740" s="135"/>
      <c r="GG740" s="135"/>
      <c r="GH740" s="135"/>
      <c r="GI740" s="135"/>
      <c r="GJ740" s="135"/>
      <c r="GK740" s="135"/>
      <c r="GL740" s="135"/>
      <c r="GM740" s="135"/>
      <c r="GN740" s="135"/>
      <c r="GO740" s="135"/>
      <c r="GP740" s="135"/>
      <c r="GQ740" s="135"/>
      <c r="GR740" s="135"/>
      <c r="GS740" s="135"/>
      <c r="GT740" s="135"/>
      <c r="GU740" s="135"/>
      <c r="GV740" s="135"/>
      <c r="GW740" s="135"/>
      <c r="GX740" s="135"/>
      <c r="GY740" s="135"/>
      <c r="GZ740" s="135"/>
      <c r="HA740" s="135"/>
      <c r="HB740" s="135"/>
      <c r="HC740" s="135"/>
      <c r="HD740" s="135"/>
      <c r="HE740" s="135"/>
      <c r="HF740" s="135"/>
      <c r="HG740" s="135"/>
      <c r="HH740" s="135"/>
      <c r="HI740" s="135"/>
      <c r="HJ740" s="135"/>
      <c r="HK740" s="135"/>
      <c r="HL740" s="135"/>
      <c r="HM740" s="135"/>
      <c r="HN740" s="135"/>
      <c r="HO740" s="135"/>
      <c r="HP740" s="135"/>
      <c r="HQ740" s="135"/>
      <c r="HR740" s="135"/>
      <c r="HS740" s="135"/>
      <c r="HT740" s="135"/>
      <c r="HU740" s="135"/>
      <c r="HV740" s="135"/>
      <c r="HW740" s="135"/>
      <c r="HX740" s="135"/>
      <c r="HY740" s="135"/>
      <c r="HZ740" s="135"/>
      <c r="IA740" s="135"/>
      <c r="IB740" s="135"/>
      <c r="IC740" s="135"/>
      <c r="ID740" s="135"/>
      <c r="IE740" s="135"/>
      <c r="IF740" s="135"/>
      <c r="IG740" s="135"/>
      <c r="IH740" s="135"/>
      <c r="II740" s="135"/>
      <c r="IJ740" s="135"/>
      <c r="IK740" s="135"/>
      <c r="IL740" s="135"/>
      <c r="IM740" s="135"/>
      <c r="IN740" s="135"/>
      <c r="IO740" s="135"/>
      <c r="IP740" s="135"/>
      <c r="IQ740" s="135"/>
      <c r="IR740" s="135"/>
      <c r="IS740" s="135"/>
      <c r="IT740" s="135"/>
      <c r="IU740" s="135"/>
      <c r="IV740" s="135"/>
      <c r="IW740" s="135"/>
      <c r="IX740" s="135"/>
      <c r="IY740" s="135"/>
      <c r="IZ740" s="135"/>
      <c r="JA740" s="135"/>
      <c r="JB740" s="135"/>
      <c r="JC740" s="135"/>
      <c r="JD740" s="135"/>
      <c r="JE740" s="135"/>
      <c r="JF740" s="135"/>
      <c r="JG740" s="135"/>
      <c r="JH740" s="135"/>
      <c r="JI740" s="135"/>
      <c r="JJ740" s="135"/>
      <c r="JK740" s="135"/>
      <c r="JL740" s="135"/>
      <c r="JM740" s="135"/>
      <c r="JN740" s="135"/>
      <c r="JO740" s="135"/>
      <c r="JP740" s="135"/>
      <c r="JQ740" s="135"/>
      <c r="JR740" s="135"/>
      <c r="JS740" s="135"/>
      <c r="JT740" s="135"/>
      <c r="JU740" s="135"/>
      <c r="JV740" s="135"/>
      <c r="JW740" s="135"/>
      <c r="JX740" s="135"/>
      <c r="JY740" s="135"/>
      <c r="JZ740" s="135"/>
      <c r="KA740" s="135"/>
      <c r="KB740" s="135"/>
      <c r="KC740" s="135"/>
      <c r="KD740" s="135"/>
      <c r="KE740" s="135"/>
      <c r="KF740" s="135"/>
      <c r="KG740" s="135"/>
      <c r="KH740" s="135"/>
      <c r="KI740" s="135"/>
      <c r="KJ740" s="135"/>
      <c r="KK740" s="135"/>
      <c r="KL740" s="135"/>
      <c r="KM740" s="135"/>
      <c r="KN740" s="135"/>
      <c r="KO740" s="135"/>
      <c r="KP740" s="135"/>
      <c r="KQ740" s="135"/>
      <c r="KR740" s="135"/>
      <c r="KS740" s="135"/>
      <c r="KT740" s="135"/>
      <c r="KU740" s="135"/>
      <c r="KV740" s="135"/>
      <c r="KW740" s="135"/>
      <c r="KX740" s="135"/>
      <c r="KY740" s="135"/>
      <c r="KZ740" s="135"/>
      <c r="LA740" s="135"/>
      <c r="LB740" s="135"/>
      <c r="LC740" s="135"/>
      <c r="LD740" s="135"/>
      <c r="LE740" s="135"/>
      <c r="LF740" s="135"/>
      <c r="LG740" s="135"/>
      <c r="LH740" s="135"/>
      <c r="LI740" s="135"/>
      <c r="LJ740" s="135"/>
      <c r="LK740" s="135"/>
      <c r="LL740" s="135"/>
      <c r="LM740" s="135"/>
      <c r="LN740" s="135"/>
      <c r="LO740" s="135"/>
      <c r="LP740" s="135"/>
      <c r="LQ740" s="135"/>
      <c r="LR740" s="135"/>
      <c r="LS740" s="135"/>
      <c r="LT740" s="135"/>
      <c r="LU740" s="135"/>
      <c r="LV740" s="135"/>
      <c r="LW740" s="135"/>
      <c r="LX740" s="135"/>
      <c r="LY740" s="135"/>
      <c r="LZ740" s="135"/>
      <c r="MA740" s="135"/>
      <c r="MB740" s="135"/>
      <c r="MC740" s="135"/>
      <c r="MD740" s="135"/>
      <c r="ME740" s="135"/>
      <c r="MF740" s="135"/>
      <c r="MG740" s="135"/>
      <c r="MH740" s="135"/>
      <c r="MI740" s="135"/>
      <c r="MJ740" s="135"/>
      <c r="MK740" s="135"/>
      <c r="ML740" s="135"/>
      <c r="MM740" s="135"/>
      <c r="MN740" s="135"/>
      <c r="MO740" s="135"/>
      <c r="MP740" s="135"/>
      <c r="MQ740" s="135"/>
      <c r="MR740" s="135"/>
      <c r="MS740" s="135"/>
      <c r="MT740" s="135"/>
      <c r="MU740" s="135"/>
      <c r="MV740" s="135"/>
      <c r="MW740" s="135"/>
      <c r="MX740" s="135"/>
      <c r="MY740" s="135"/>
      <c r="MZ740" s="135"/>
      <c r="NA740" s="135"/>
      <c r="NB740" s="135"/>
      <c r="NC740" s="135"/>
      <c r="ND740" s="135"/>
      <c r="NE740" s="135"/>
      <c r="NF740" s="135"/>
      <c r="NG740" s="135"/>
      <c r="NH740" s="135"/>
      <c r="NI740" s="135"/>
      <c r="NJ740" s="135"/>
      <c r="NK740" s="135"/>
      <c r="NL740" s="135"/>
      <c r="NM740" s="135"/>
      <c r="NN740" s="135"/>
      <c r="NO740" s="135"/>
      <c r="NP740" s="135"/>
      <c r="NQ740" s="135"/>
      <c r="NR740" s="135"/>
      <c r="NS740" s="135"/>
      <c r="NT740" s="135"/>
      <c r="NU740" s="135"/>
      <c r="NV740" s="135"/>
      <c r="NW740" s="135"/>
      <c r="NX740" s="135"/>
      <c r="NY740" s="135"/>
      <c r="NZ740" s="135"/>
      <c r="OA740" s="135"/>
      <c r="OB740" s="135"/>
      <c r="OC740" s="135"/>
      <c r="OD740" s="135"/>
      <c r="OE740" s="135"/>
      <c r="OF740" s="135"/>
      <c r="OG740" s="135"/>
      <c r="OH740" s="135"/>
      <c r="OI740" s="135"/>
      <c r="OJ740" s="135"/>
      <c r="OK740" s="135"/>
      <c r="OL740" s="135"/>
      <c r="OM740" s="135"/>
      <c r="ON740" s="135"/>
      <c r="OO740" s="135"/>
      <c r="OP740" s="135"/>
      <c r="OQ740" s="135"/>
      <c r="OR740" s="135"/>
      <c r="OS740" s="135"/>
      <c r="OT740" s="135"/>
      <c r="OU740" s="135"/>
      <c r="OV740" s="135"/>
      <c r="OW740" s="135"/>
      <c r="OX740" s="135"/>
      <c r="OY740" s="135"/>
      <c r="OZ740" s="135"/>
      <c r="PA740" s="135"/>
      <c r="PB740" s="135"/>
      <c r="PC740" s="135"/>
      <c r="PD740" s="135"/>
      <c r="PE740" s="135"/>
      <c r="PF740" s="135"/>
      <c r="PG740" s="135"/>
      <c r="PH740" s="135"/>
      <c r="PI740" s="135"/>
      <c r="PJ740" s="135"/>
      <c r="PK740" s="135"/>
      <c r="PL740" s="135"/>
      <c r="PM740" s="135"/>
      <c r="PN740" s="135"/>
      <c r="PO740" s="135"/>
      <c r="PP740" s="135"/>
      <c r="PQ740" s="135"/>
      <c r="PR740" s="135"/>
      <c r="PS740" s="135"/>
      <c r="PT740" s="135"/>
      <c r="PU740" s="135"/>
      <c r="PV740" s="135"/>
      <c r="PW740" s="135"/>
      <c r="PX740" s="135"/>
      <c r="PY740" s="135"/>
      <c r="PZ740" s="135"/>
      <c r="QA740" s="135"/>
      <c r="QB740" s="135"/>
      <c r="QC740" s="135"/>
      <c r="QD740" s="135"/>
      <c r="QE740" s="135"/>
      <c r="QF740" s="135"/>
      <c r="QG740" s="135"/>
      <c r="QH740" s="135"/>
      <c r="QI740" s="135"/>
      <c r="QJ740" s="135"/>
      <c r="QK740" s="135"/>
      <c r="QL740" s="135"/>
      <c r="QM740" s="135"/>
      <c r="QN740" s="135"/>
      <c r="QO740" s="135"/>
      <c r="QP740" s="135"/>
      <c r="QQ740" s="135"/>
      <c r="QR740" s="135"/>
      <c r="QS740" s="135"/>
      <c r="QT740" s="135"/>
      <c r="QU740" s="135"/>
      <c r="QV740" s="135"/>
      <c r="QW740" s="135"/>
      <c r="QX740" s="135"/>
      <c r="QY740" s="135"/>
      <c r="QZ740" s="135"/>
      <c r="RA740" s="135"/>
      <c r="RB740" s="135"/>
      <c r="RC740" s="135"/>
      <c r="RD740" s="135"/>
      <c r="RE740" s="135"/>
      <c r="RF740" s="135"/>
      <c r="RG740" s="135"/>
      <c r="RH740" s="135"/>
      <c r="RI740" s="135"/>
      <c r="RJ740" s="135"/>
      <c r="RK740" s="135"/>
      <c r="RL740" s="135"/>
      <c r="RM740" s="135"/>
      <c r="RN740" s="135"/>
      <c r="RO740" s="135"/>
      <c r="RP740" s="135"/>
      <c r="RQ740" s="135"/>
      <c r="RR740" s="135"/>
      <c r="RS740" s="135"/>
      <c r="RT740" s="135"/>
      <c r="RU740" s="135"/>
      <c r="RV740" s="135"/>
      <c r="RW740" s="135"/>
      <c r="RX740" s="135"/>
      <c r="RY740" s="135"/>
      <c r="RZ740" s="135"/>
      <c r="SA740" s="135"/>
      <c r="SB740" s="135"/>
      <c r="SC740" s="135"/>
      <c r="SD740" s="135"/>
      <c r="SE740" s="135"/>
      <c r="SF740" s="135"/>
      <c r="SG740" s="135"/>
      <c r="SH740" s="135"/>
      <c r="SI740" s="135"/>
      <c r="SJ740" s="135"/>
      <c r="SK740" s="135"/>
      <c r="SL740" s="135"/>
      <c r="SM740" s="135"/>
      <c r="SN740" s="135"/>
      <c r="SO740" s="135"/>
      <c r="SP740" s="135"/>
      <c r="SQ740" s="135"/>
      <c r="SR740" s="135"/>
      <c r="SS740" s="135"/>
      <c r="ST740" s="135"/>
      <c r="SU740" s="135"/>
      <c r="SV740" s="135"/>
      <c r="SW740" s="135"/>
      <c r="SX740" s="135"/>
      <c r="SY740" s="135"/>
      <c r="SZ740" s="135"/>
      <c r="TA740" s="135"/>
      <c r="TB740" s="135"/>
      <c r="TC740" s="135"/>
      <c r="TD740" s="135"/>
      <c r="TE740" s="135"/>
      <c r="TF740" s="135"/>
      <c r="TG740" s="135"/>
      <c r="TH740" s="135"/>
      <c r="TI740" s="135"/>
      <c r="TJ740" s="135"/>
      <c r="TK740" s="135"/>
      <c r="TL740" s="135"/>
      <c r="TM740" s="135"/>
      <c r="TN740" s="135"/>
      <c r="TO740" s="135"/>
      <c r="TP740" s="135"/>
      <c r="TQ740" s="135"/>
      <c r="TR740" s="135"/>
      <c r="TS740" s="135"/>
      <c r="TT740" s="135"/>
      <c r="TU740" s="135"/>
      <c r="TV740" s="135"/>
      <c r="TW740" s="135"/>
      <c r="TX740" s="135"/>
      <c r="TY740" s="135"/>
      <c r="TZ740" s="135"/>
      <c r="UA740" s="135"/>
      <c r="UB740" s="135"/>
      <c r="UC740" s="135"/>
      <c r="UD740" s="135"/>
      <c r="UE740" s="135"/>
      <c r="UF740" s="135"/>
      <c r="UG740" s="135"/>
    </row>
    <row r="741" spans="1:553" ht="78.75" customHeight="1">
      <c r="A741" s="356"/>
      <c r="B741" s="385">
        <v>147</v>
      </c>
      <c r="C741" s="1401" t="s">
        <v>973</v>
      </c>
      <c r="D741" s="1389"/>
      <c r="E741" s="1389"/>
      <c r="F741" s="1390"/>
      <c r="G741" s="386" t="s">
        <v>33</v>
      </c>
      <c r="H741" s="622"/>
      <c r="I741" s="626">
        <f>4.1*2.4</f>
        <v>9.8399999999999981</v>
      </c>
      <c r="J741" s="369">
        <v>4500000</v>
      </c>
      <c r="K741" s="371"/>
      <c r="L741" s="627">
        <f t="shared" si="114"/>
        <v>44279999.999999993</v>
      </c>
      <c r="M741" s="549"/>
      <c r="N741" s="549"/>
      <c r="O741" s="366"/>
      <c r="P741" s="385"/>
      <c r="Q741" s="394"/>
      <c r="R741" s="1230"/>
      <c r="S741" s="308"/>
      <c r="T741" s="308"/>
      <c r="U741" s="308"/>
      <c r="V741" s="308"/>
      <c r="W741" s="308"/>
      <c r="X741" s="308"/>
      <c r="Y741" s="308"/>
      <c r="Z741" s="604"/>
      <c r="AA741" s="308"/>
      <c r="AB741" s="308"/>
      <c r="AC741" s="628"/>
      <c r="AD741" s="628"/>
      <c r="AE741" s="628"/>
      <c r="AF741" s="628"/>
      <c r="AG741" s="628"/>
      <c r="AH741" s="629"/>
      <c r="AI741" s="629"/>
      <c r="AJ741" s="629"/>
      <c r="AK741" s="629"/>
      <c r="AL741" s="136"/>
      <c r="AM741" s="136"/>
      <c r="AN741" s="136"/>
      <c r="AO741" s="136"/>
      <c r="AP741" s="136"/>
      <c r="AQ741" s="136"/>
      <c r="AR741" s="136"/>
      <c r="AS741" s="136"/>
      <c r="AT741" s="136"/>
      <c r="AU741" s="136"/>
      <c r="AV741" s="136"/>
      <c r="AW741" s="136"/>
      <c r="AX741" s="136"/>
      <c r="AY741" s="136"/>
      <c r="AZ741" s="136"/>
      <c r="BA741" s="136"/>
      <c r="BB741" s="136"/>
      <c r="BC741" s="136"/>
      <c r="BD741" s="136"/>
      <c r="BE741" s="136"/>
      <c r="BF741" s="136"/>
      <c r="BG741" s="136"/>
      <c r="BH741" s="136"/>
      <c r="BI741" s="136"/>
      <c r="BJ741" s="136"/>
      <c r="BK741" s="136"/>
      <c r="BL741" s="136"/>
      <c r="BM741" s="136"/>
      <c r="BN741" s="136"/>
      <c r="BO741" s="136"/>
      <c r="BP741" s="136"/>
      <c r="BQ741" s="136"/>
      <c r="BR741" s="136"/>
      <c r="BS741" s="136"/>
      <c r="BT741" s="136"/>
      <c r="BU741" s="136"/>
      <c r="BV741" s="136"/>
      <c r="BW741" s="136"/>
      <c r="BX741" s="136"/>
      <c r="BY741" s="136"/>
      <c r="BZ741" s="136"/>
      <c r="CA741" s="136"/>
      <c r="CB741" s="136"/>
      <c r="CC741" s="136"/>
      <c r="CD741" s="136"/>
      <c r="CE741" s="136"/>
      <c r="CF741" s="136"/>
      <c r="CG741" s="136"/>
      <c r="CH741" s="136"/>
      <c r="CI741" s="136"/>
      <c r="CJ741" s="136"/>
      <c r="CK741" s="136"/>
      <c r="CL741" s="136"/>
      <c r="CM741" s="136"/>
      <c r="CN741" s="136"/>
      <c r="CO741" s="136"/>
      <c r="CP741" s="136"/>
      <c r="CQ741" s="136"/>
      <c r="CR741" s="136"/>
      <c r="CS741" s="136"/>
      <c r="CT741" s="136"/>
      <c r="CU741" s="136"/>
      <c r="CV741" s="136"/>
      <c r="CW741" s="136"/>
      <c r="CX741" s="136"/>
      <c r="CY741" s="136"/>
      <c r="CZ741" s="136"/>
      <c r="DA741" s="136"/>
      <c r="DB741" s="136"/>
      <c r="DC741" s="136"/>
      <c r="DD741" s="136"/>
      <c r="DE741" s="136"/>
      <c r="DF741" s="136"/>
      <c r="DG741" s="136"/>
      <c r="DH741" s="136"/>
      <c r="DI741" s="136"/>
      <c r="DJ741" s="136"/>
      <c r="DK741" s="136"/>
      <c r="DL741" s="136"/>
      <c r="DM741" s="136"/>
      <c r="DN741" s="136"/>
      <c r="DO741" s="136"/>
      <c r="DP741" s="136"/>
      <c r="DQ741" s="136"/>
      <c r="DR741" s="136"/>
      <c r="DS741" s="136"/>
      <c r="DT741" s="136"/>
      <c r="DU741" s="136"/>
      <c r="DV741" s="136"/>
      <c r="DW741" s="136"/>
      <c r="DX741" s="136"/>
      <c r="DY741" s="136"/>
      <c r="DZ741" s="136"/>
      <c r="EA741" s="136"/>
      <c r="EB741" s="136"/>
      <c r="EC741" s="136"/>
      <c r="ED741" s="136"/>
      <c r="EE741" s="136"/>
      <c r="EF741" s="136"/>
      <c r="EG741" s="136"/>
      <c r="EH741" s="136"/>
      <c r="EI741" s="136"/>
      <c r="EJ741" s="136"/>
      <c r="EK741" s="136"/>
      <c r="EL741" s="136"/>
      <c r="EM741" s="136"/>
      <c r="EN741" s="136"/>
      <c r="EO741" s="136"/>
      <c r="EP741" s="136"/>
      <c r="EQ741" s="136"/>
      <c r="ER741" s="136"/>
      <c r="ES741" s="136"/>
      <c r="ET741" s="136"/>
      <c r="EU741" s="136"/>
      <c r="EV741" s="136"/>
      <c r="EW741" s="136"/>
      <c r="EX741" s="136"/>
      <c r="EY741" s="136"/>
      <c r="EZ741" s="136"/>
      <c r="FA741" s="136"/>
      <c r="FB741" s="136"/>
      <c r="FC741" s="136"/>
      <c r="FD741" s="136"/>
      <c r="FE741" s="136"/>
      <c r="FF741" s="136"/>
      <c r="FG741" s="136"/>
      <c r="FH741" s="136"/>
      <c r="FI741" s="136"/>
      <c r="FJ741" s="136"/>
      <c r="FK741" s="136"/>
      <c r="FL741" s="136"/>
      <c r="FM741" s="136"/>
      <c r="FN741" s="136"/>
      <c r="FO741" s="136"/>
      <c r="FP741" s="136"/>
      <c r="FQ741" s="136"/>
      <c r="FR741" s="136"/>
      <c r="FS741" s="136"/>
      <c r="FT741" s="136"/>
      <c r="FU741" s="136"/>
      <c r="FV741" s="136"/>
      <c r="FW741" s="136"/>
      <c r="FX741" s="136"/>
      <c r="FY741" s="136"/>
      <c r="FZ741" s="136"/>
      <c r="GA741" s="136"/>
      <c r="GB741" s="136"/>
      <c r="GC741" s="136"/>
      <c r="GD741" s="136"/>
      <c r="GE741" s="136"/>
      <c r="GF741" s="136"/>
      <c r="GG741" s="136"/>
      <c r="GH741" s="136"/>
      <c r="GI741" s="136"/>
      <c r="GJ741" s="136"/>
      <c r="GK741" s="136"/>
      <c r="GL741" s="136"/>
      <c r="GM741" s="136"/>
      <c r="GN741" s="136"/>
      <c r="GO741" s="136"/>
      <c r="GP741" s="136"/>
      <c r="GQ741" s="136"/>
      <c r="GR741" s="136"/>
      <c r="GS741" s="136"/>
      <c r="GT741" s="136"/>
      <c r="GU741" s="136"/>
      <c r="GV741" s="136"/>
      <c r="GW741" s="136"/>
      <c r="GX741" s="136"/>
      <c r="GY741" s="136"/>
      <c r="GZ741" s="136"/>
      <c r="HA741" s="136"/>
      <c r="HB741" s="136"/>
      <c r="HC741" s="136"/>
      <c r="HD741" s="136"/>
      <c r="HE741" s="136"/>
      <c r="HF741" s="136"/>
      <c r="HG741" s="136"/>
      <c r="HH741" s="136"/>
      <c r="HI741" s="136"/>
      <c r="HJ741" s="136"/>
      <c r="HK741" s="136"/>
      <c r="HL741" s="136"/>
      <c r="HM741" s="136"/>
      <c r="HN741" s="136"/>
      <c r="HO741" s="136"/>
      <c r="HP741" s="136"/>
      <c r="HQ741" s="136"/>
      <c r="HR741" s="136"/>
      <c r="HS741" s="136"/>
      <c r="HT741" s="136"/>
      <c r="HU741" s="136"/>
      <c r="HV741" s="136"/>
      <c r="HW741" s="136"/>
      <c r="HX741" s="136"/>
      <c r="HY741" s="136"/>
      <c r="HZ741" s="136"/>
      <c r="IA741" s="136"/>
      <c r="IB741" s="136"/>
      <c r="IC741" s="136"/>
      <c r="ID741" s="136"/>
      <c r="IE741" s="136"/>
      <c r="IF741" s="136"/>
      <c r="IG741" s="136"/>
      <c r="IH741" s="136"/>
      <c r="II741" s="136"/>
      <c r="IJ741" s="136"/>
      <c r="IK741" s="136"/>
      <c r="IL741" s="136"/>
      <c r="IM741" s="136"/>
      <c r="IN741" s="136"/>
      <c r="IO741" s="136"/>
      <c r="IP741" s="136"/>
      <c r="IQ741" s="136"/>
      <c r="IR741" s="136"/>
      <c r="IS741" s="136"/>
      <c r="IT741" s="136"/>
      <c r="IU741" s="136"/>
      <c r="IV741" s="136"/>
      <c r="IW741" s="136"/>
      <c r="IX741" s="136"/>
      <c r="IY741" s="136"/>
      <c r="IZ741" s="136"/>
      <c r="JA741" s="136"/>
      <c r="JB741" s="136"/>
      <c r="JC741" s="136"/>
      <c r="JD741" s="136"/>
      <c r="JE741" s="136"/>
      <c r="JF741" s="136"/>
      <c r="JG741" s="136"/>
      <c r="JH741" s="136"/>
      <c r="JI741" s="136"/>
      <c r="JJ741" s="136"/>
      <c r="JK741" s="136"/>
      <c r="JL741" s="136"/>
      <c r="JM741" s="136"/>
      <c r="JN741" s="136"/>
      <c r="JO741" s="136"/>
      <c r="JP741" s="136"/>
      <c r="JQ741" s="136"/>
      <c r="JR741" s="136"/>
      <c r="JS741" s="136"/>
      <c r="JT741" s="136"/>
      <c r="JU741" s="136"/>
      <c r="JV741" s="136"/>
      <c r="JW741" s="136"/>
      <c r="JX741" s="136"/>
      <c r="JY741" s="136"/>
      <c r="JZ741" s="136"/>
      <c r="KA741" s="136"/>
      <c r="KB741" s="136"/>
      <c r="KC741" s="136"/>
      <c r="KD741" s="136"/>
      <c r="KE741" s="136"/>
      <c r="KF741" s="136"/>
      <c r="KG741" s="136"/>
      <c r="KH741" s="136"/>
      <c r="KI741" s="136"/>
      <c r="KJ741" s="136"/>
      <c r="KK741" s="136"/>
      <c r="KL741" s="136"/>
      <c r="KM741" s="136"/>
      <c r="KN741" s="136"/>
      <c r="KO741" s="136"/>
      <c r="KP741" s="136"/>
      <c r="KQ741" s="136"/>
      <c r="KR741" s="136"/>
      <c r="KS741" s="136"/>
      <c r="KT741" s="136"/>
      <c r="KU741" s="136"/>
      <c r="KV741" s="136"/>
      <c r="KW741" s="136"/>
      <c r="KX741" s="136"/>
      <c r="KY741" s="136"/>
      <c r="KZ741" s="136"/>
      <c r="LA741" s="136"/>
      <c r="LB741" s="136"/>
      <c r="LC741" s="136"/>
      <c r="LD741" s="136"/>
      <c r="LE741" s="136"/>
      <c r="LF741" s="136"/>
      <c r="LG741" s="136"/>
      <c r="LH741" s="136"/>
      <c r="LI741" s="136"/>
      <c r="LJ741" s="136"/>
      <c r="LK741" s="136"/>
      <c r="LL741" s="136"/>
      <c r="LM741" s="136"/>
      <c r="LN741" s="136"/>
      <c r="LO741" s="136"/>
      <c r="LP741" s="136"/>
      <c r="LQ741" s="136"/>
      <c r="LR741" s="136"/>
      <c r="LS741" s="136"/>
      <c r="LT741" s="136"/>
      <c r="LU741" s="136"/>
      <c r="LV741" s="136"/>
      <c r="LW741" s="136"/>
      <c r="LX741" s="136"/>
      <c r="LY741" s="136"/>
      <c r="LZ741" s="136"/>
      <c r="MA741" s="136"/>
      <c r="MB741" s="136"/>
      <c r="MC741" s="136"/>
      <c r="MD741" s="136"/>
      <c r="ME741" s="136"/>
      <c r="MF741" s="136"/>
      <c r="MG741" s="136"/>
      <c r="MH741" s="136"/>
      <c r="MI741" s="136"/>
      <c r="MJ741" s="136"/>
      <c r="MK741" s="136"/>
      <c r="ML741" s="136"/>
      <c r="MM741" s="136"/>
      <c r="MN741" s="136"/>
      <c r="MO741" s="136"/>
      <c r="MP741" s="136"/>
      <c r="MQ741" s="136"/>
      <c r="MR741" s="136"/>
      <c r="MS741" s="136"/>
      <c r="MT741" s="136"/>
      <c r="MU741" s="136"/>
      <c r="MV741" s="136"/>
      <c r="MW741" s="136"/>
      <c r="MX741" s="136"/>
      <c r="MY741" s="136"/>
      <c r="MZ741" s="136"/>
      <c r="NA741" s="136"/>
      <c r="NB741" s="136"/>
      <c r="NC741" s="136"/>
      <c r="ND741" s="136"/>
      <c r="NE741" s="136"/>
      <c r="NF741" s="136"/>
      <c r="NG741" s="136"/>
      <c r="NH741" s="136"/>
      <c r="NI741" s="136"/>
      <c r="NJ741" s="136"/>
      <c r="NK741" s="136"/>
      <c r="NL741" s="136"/>
      <c r="NM741" s="136"/>
      <c r="NN741" s="136"/>
      <c r="NO741" s="136"/>
      <c r="NP741" s="136"/>
      <c r="NQ741" s="136"/>
      <c r="NR741" s="136"/>
      <c r="NS741" s="136"/>
      <c r="NT741" s="136"/>
      <c r="NU741" s="136"/>
      <c r="NV741" s="136"/>
      <c r="NW741" s="136"/>
      <c r="NX741" s="136"/>
      <c r="NY741" s="136"/>
      <c r="NZ741" s="136"/>
      <c r="OA741" s="136"/>
      <c r="OB741" s="136"/>
      <c r="OC741" s="136"/>
      <c r="OD741" s="136"/>
      <c r="OE741" s="136"/>
      <c r="OF741" s="136"/>
      <c r="OG741" s="136"/>
      <c r="OH741" s="136"/>
      <c r="OI741" s="136"/>
      <c r="OJ741" s="136"/>
      <c r="OK741" s="136"/>
      <c r="OL741" s="136"/>
      <c r="OM741" s="136"/>
      <c r="ON741" s="136"/>
      <c r="OO741" s="136"/>
      <c r="OP741" s="136"/>
      <c r="OQ741" s="136"/>
      <c r="OR741" s="136"/>
      <c r="OS741" s="136"/>
      <c r="OT741" s="136"/>
      <c r="OU741" s="136"/>
      <c r="OV741" s="136"/>
      <c r="OW741" s="136"/>
      <c r="OX741" s="136"/>
      <c r="OY741" s="136"/>
      <c r="OZ741" s="136"/>
      <c r="PA741" s="136"/>
      <c r="PB741" s="136"/>
      <c r="PC741" s="136"/>
      <c r="PD741" s="136"/>
      <c r="PE741" s="136"/>
      <c r="PF741" s="136"/>
      <c r="PG741" s="136"/>
      <c r="PH741" s="136"/>
      <c r="PI741" s="136"/>
      <c r="PJ741" s="136"/>
      <c r="PK741" s="136"/>
      <c r="PL741" s="136"/>
      <c r="PM741" s="136"/>
      <c r="PN741" s="136"/>
      <c r="PO741" s="136"/>
      <c r="PP741" s="136"/>
      <c r="PQ741" s="136"/>
      <c r="PR741" s="136"/>
      <c r="PS741" s="136"/>
      <c r="PT741" s="136"/>
      <c r="PU741" s="136"/>
      <c r="PV741" s="136"/>
      <c r="PW741" s="136"/>
      <c r="PX741" s="136"/>
      <c r="PY741" s="136"/>
      <c r="PZ741" s="136"/>
      <c r="QA741" s="136"/>
      <c r="QB741" s="136"/>
      <c r="QC741" s="136"/>
      <c r="QD741" s="136"/>
      <c r="QE741" s="136"/>
      <c r="QF741" s="136"/>
      <c r="QG741" s="136"/>
      <c r="QH741" s="136"/>
      <c r="QI741" s="136"/>
      <c r="QJ741" s="136"/>
      <c r="QK741" s="136"/>
      <c r="QL741" s="136"/>
      <c r="QM741" s="136"/>
      <c r="QN741" s="136"/>
      <c r="QO741" s="136"/>
      <c r="QP741" s="136"/>
      <c r="QQ741" s="136"/>
      <c r="QR741" s="136"/>
      <c r="QS741" s="136"/>
      <c r="QT741" s="136"/>
      <c r="QU741" s="136"/>
      <c r="QV741" s="136"/>
      <c r="QW741" s="136"/>
      <c r="QX741" s="136"/>
      <c r="QY741" s="136"/>
      <c r="QZ741" s="136"/>
      <c r="RA741" s="136"/>
      <c r="RB741" s="136"/>
      <c r="RC741" s="136"/>
      <c r="RD741" s="136"/>
      <c r="RE741" s="136"/>
      <c r="RF741" s="136"/>
      <c r="RG741" s="136"/>
      <c r="RH741" s="136"/>
      <c r="RI741" s="136"/>
      <c r="RJ741" s="136"/>
      <c r="RK741" s="136"/>
      <c r="RL741" s="136"/>
      <c r="RM741" s="136"/>
      <c r="RN741" s="136"/>
      <c r="RO741" s="136"/>
      <c r="RP741" s="136"/>
      <c r="RQ741" s="136"/>
      <c r="RR741" s="136"/>
      <c r="RS741" s="136"/>
      <c r="RT741" s="136"/>
      <c r="RU741" s="136"/>
      <c r="RV741" s="136"/>
      <c r="RW741" s="136"/>
      <c r="RX741" s="136"/>
      <c r="RY741" s="136"/>
      <c r="RZ741" s="136"/>
      <c r="SA741" s="136"/>
      <c r="SB741" s="136"/>
      <c r="SC741" s="136"/>
      <c r="SD741" s="136"/>
      <c r="SE741" s="136"/>
      <c r="SF741" s="136"/>
      <c r="SG741" s="136"/>
      <c r="SH741" s="136"/>
      <c r="SI741" s="136"/>
      <c r="SJ741" s="136"/>
      <c r="SK741" s="136"/>
      <c r="SL741" s="136"/>
      <c r="SM741" s="136"/>
      <c r="SN741" s="136"/>
      <c r="SO741" s="136"/>
      <c r="SP741" s="136"/>
      <c r="SQ741" s="136"/>
      <c r="SR741" s="136"/>
      <c r="SS741" s="136"/>
      <c r="ST741" s="136"/>
      <c r="SU741" s="136"/>
      <c r="SV741" s="136"/>
      <c r="SW741" s="136"/>
      <c r="SX741" s="136"/>
      <c r="SY741" s="136"/>
      <c r="SZ741" s="136"/>
      <c r="TA741" s="136"/>
      <c r="TB741" s="136"/>
      <c r="TC741" s="136"/>
      <c r="TD741" s="136"/>
      <c r="TE741" s="136"/>
      <c r="TF741" s="136"/>
      <c r="TG741" s="136"/>
      <c r="TH741" s="136"/>
      <c r="TI741" s="136"/>
      <c r="TJ741" s="136"/>
      <c r="TK741" s="136"/>
      <c r="TL741" s="136"/>
      <c r="TM741" s="136"/>
      <c r="TN741" s="136"/>
      <c r="TO741" s="136"/>
      <c r="TP741" s="136"/>
      <c r="TQ741" s="136"/>
      <c r="TR741" s="136"/>
      <c r="TS741" s="136"/>
      <c r="TT741" s="136"/>
      <c r="TU741" s="136"/>
      <c r="TV741" s="136"/>
      <c r="TW741" s="136"/>
      <c r="TX741" s="136"/>
      <c r="TY741" s="136"/>
      <c r="TZ741" s="136"/>
      <c r="UA741" s="136"/>
      <c r="UB741" s="136"/>
      <c r="UC741" s="136"/>
      <c r="UD741" s="136"/>
      <c r="UE741" s="136"/>
      <c r="UF741" s="136"/>
      <c r="UG741" s="136"/>
    </row>
    <row r="742" spans="1:553" ht="54" customHeight="1">
      <c r="A742" s="356"/>
      <c r="B742" s="385" t="s">
        <v>31</v>
      </c>
      <c r="C742" s="1401" t="s">
        <v>972</v>
      </c>
      <c r="D742" s="1389"/>
      <c r="E742" s="1389"/>
      <c r="F742" s="1390"/>
      <c r="G742" s="386" t="s">
        <v>34</v>
      </c>
      <c r="H742" s="622"/>
      <c r="I742" s="626">
        <f>-11.8*1.8*0.11</f>
        <v>-2.3364000000000003</v>
      </c>
      <c r="J742" s="369">
        <v>1913917</v>
      </c>
      <c r="K742" s="371"/>
      <c r="L742" s="627">
        <f t="shared" si="114"/>
        <v>-4471675.6788000008</v>
      </c>
      <c r="M742" s="549"/>
      <c r="N742" s="549"/>
      <c r="O742" s="366"/>
      <c r="P742" s="385"/>
      <c r="Q742" s="394"/>
      <c r="R742" s="1230"/>
      <c r="S742" s="308"/>
      <c r="T742" s="308"/>
      <c r="U742" s="308"/>
      <c r="V742" s="308"/>
      <c r="W742" s="308"/>
      <c r="X742" s="308"/>
      <c r="Y742" s="308"/>
      <c r="Z742" s="604"/>
      <c r="AA742" s="308"/>
      <c r="AB742" s="308"/>
      <c r="AC742" s="628"/>
      <c r="AD742" s="628"/>
      <c r="AE742" s="628"/>
      <c r="AF742" s="628"/>
      <c r="AG742" s="628"/>
      <c r="AH742" s="629"/>
      <c r="AI742" s="629"/>
      <c r="AJ742" s="629"/>
      <c r="AK742" s="629"/>
      <c r="AL742" s="135"/>
      <c r="AM742" s="135"/>
      <c r="AN742" s="135"/>
      <c r="AO742" s="135"/>
      <c r="AP742" s="135"/>
      <c r="AQ742" s="135"/>
      <c r="AR742" s="135"/>
      <c r="AS742" s="135"/>
      <c r="AT742" s="135"/>
      <c r="AU742" s="135"/>
      <c r="AV742" s="135"/>
      <c r="AW742" s="135"/>
      <c r="AX742" s="135"/>
      <c r="AY742" s="135"/>
      <c r="AZ742" s="135"/>
      <c r="BA742" s="135"/>
      <c r="BB742" s="135"/>
      <c r="BC742" s="135"/>
      <c r="BD742" s="135"/>
      <c r="BE742" s="135"/>
      <c r="BF742" s="135"/>
      <c r="BG742" s="135"/>
      <c r="BH742" s="135"/>
      <c r="BI742" s="135"/>
      <c r="BJ742" s="135"/>
      <c r="BK742" s="135"/>
      <c r="BL742" s="135"/>
      <c r="BM742" s="135"/>
      <c r="BN742" s="135"/>
      <c r="BO742" s="135"/>
      <c r="BP742" s="135"/>
      <c r="BQ742" s="135"/>
      <c r="BR742" s="135"/>
      <c r="BS742" s="135"/>
      <c r="BT742" s="135"/>
      <c r="BU742" s="135"/>
      <c r="BV742" s="135"/>
      <c r="BW742" s="135"/>
      <c r="BX742" s="135"/>
      <c r="BY742" s="135"/>
      <c r="BZ742" s="135"/>
      <c r="CA742" s="135"/>
      <c r="CB742" s="135"/>
      <c r="CC742" s="135"/>
      <c r="CD742" s="135"/>
      <c r="CE742" s="135"/>
      <c r="CF742" s="135"/>
      <c r="CG742" s="135"/>
      <c r="CH742" s="135"/>
      <c r="CI742" s="135"/>
      <c r="CJ742" s="135"/>
      <c r="CK742" s="135"/>
      <c r="CL742" s="135"/>
      <c r="CM742" s="135"/>
      <c r="CN742" s="135"/>
      <c r="CO742" s="135"/>
      <c r="CP742" s="135"/>
      <c r="CQ742" s="135"/>
      <c r="CR742" s="135"/>
      <c r="CS742" s="135"/>
      <c r="CT742" s="135"/>
      <c r="CU742" s="135"/>
      <c r="CV742" s="135"/>
      <c r="CW742" s="135"/>
      <c r="CX742" s="135"/>
      <c r="CY742" s="135"/>
      <c r="CZ742" s="135"/>
      <c r="DA742" s="135"/>
      <c r="DB742" s="135"/>
      <c r="DC742" s="135"/>
      <c r="DD742" s="135"/>
      <c r="DE742" s="135"/>
      <c r="DF742" s="135"/>
      <c r="DG742" s="135"/>
      <c r="DH742" s="135"/>
      <c r="DI742" s="135"/>
      <c r="DJ742" s="135"/>
      <c r="DK742" s="135"/>
      <c r="DL742" s="135"/>
      <c r="DM742" s="135"/>
      <c r="DN742" s="135"/>
      <c r="DO742" s="135"/>
      <c r="DP742" s="135"/>
      <c r="DQ742" s="135"/>
      <c r="DR742" s="135"/>
      <c r="DS742" s="135"/>
      <c r="DT742" s="135"/>
      <c r="DU742" s="135"/>
      <c r="DV742" s="135"/>
      <c r="DW742" s="135"/>
      <c r="DX742" s="135"/>
      <c r="DY742" s="135"/>
      <c r="DZ742" s="135"/>
      <c r="EA742" s="135"/>
      <c r="EB742" s="135"/>
      <c r="EC742" s="135"/>
      <c r="ED742" s="135"/>
      <c r="EE742" s="135"/>
      <c r="EF742" s="135"/>
      <c r="EG742" s="135"/>
      <c r="EH742" s="135"/>
      <c r="EI742" s="135"/>
      <c r="EJ742" s="135"/>
      <c r="EK742" s="135"/>
      <c r="EL742" s="135"/>
      <c r="EM742" s="135"/>
      <c r="EN742" s="135"/>
      <c r="EO742" s="135"/>
      <c r="EP742" s="135"/>
      <c r="EQ742" s="135"/>
      <c r="ER742" s="135"/>
      <c r="ES742" s="135"/>
      <c r="ET742" s="135"/>
      <c r="EU742" s="135"/>
      <c r="EV742" s="135"/>
      <c r="EW742" s="135"/>
      <c r="EX742" s="135"/>
      <c r="EY742" s="135"/>
      <c r="EZ742" s="135"/>
      <c r="FA742" s="135"/>
      <c r="FB742" s="135"/>
      <c r="FC742" s="135"/>
      <c r="FD742" s="135"/>
      <c r="FE742" s="135"/>
      <c r="FF742" s="135"/>
      <c r="FG742" s="135"/>
      <c r="FH742" s="135"/>
      <c r="FI742" s="135"/>
      <c r="FJ742" s="135"/>
      <c r="FK742" s="135"/>
      <c r="FL742" s="135"/>
      <c r="FM742" s="135"/>
      <c r="FN742" s="135"/>
      <c r="FO742" s="135"/>
      <c r="FP742" s="135"/>
      <c r="FQ742" s="135"/>
      <c r="FR742" s="135"/>
      <c r="FS742" s="135"/>
      <c r="FT742" s="135"/>
      <c r="FU742" s="135"/>
      <c r="FV742" s="135"/>
      <c r="FW742" s="135"/>
      <c r="FX742" s="135"/>
      <c r="FY742" s="135"/>
      <c r="FZ742" s="135"/>
      <c r="GA742" s="135"/>
      <c r="GB742" s="135"/>
      <c r="GC742" s="135"/>
      <c r="GD742" s="135"/>
      <c r="GE742" s="135"/>
      <c r="GF742" s="135"/>
      <c r="GG742" s="135"/>
      <c r="GH742" s="135"/>
      <c r="GI742" s="135"/>
      <c r="GJ742" s="135"/>
      <c r="GK742" s="135"/>
      <c r="GL742" s="135"/>
      <c r="GM742" s="135"/>
      <c r="GN742" s="135"/>
      <c r="GO742" s="135"/>
      <c r="GP742" s="135"/>
      <c r="GQ742" s="135"/>
      <c r="GR742" s="135"/>
      <c r="GS742" s="135"/>
      <c r="GT742" s="135"/>
      <c r="GU742" s="135"/>
      <c r="GV742" s="135"/>
      <c r="GW742" s="135"/>
      <c r="GX742" s="135"/>
      <c r="GY742" s="135"/>
      <c r="GZ742" s="135"/>
      <c r="HA742" s="135"/>
      <c r="HB742" s="135"/>
      <c r="HC742" s="135"/>
      <c r="HD742" s="135"/>
      <c r="HE742" s="135"/>
      <c r="HF742" s="135"/>
      <c r="HG742" s="135"/>
      <c r="HH742" s="135"/>
      <c r="HI742" s="135"/>
      <c r="HJ742" s="135"/>
      <c r="HK742" s="135"/>
      <c r="HL742" s="135"/>
      <c r="HM742" s="135"/>
      <c r="HN742" s="135"/>
      <c r="HO742" s="135"/>
      <c r="HP742" s="135"/>
      <c r="HQ742" s="135"/>
      <c r="HR742" s="135"/>
      <c r="HS742" s="135"/>
      <c r="HT742" s="135"/>
      <c r="HU742" s="135"/>
      <c r="HV742" s="135"/>
      <c r="HW742" s="135"/>
      <c r="HX742" s="135"/>
      <c r="HY742" s="135"/>
      <c r="HZ742" s="135"/>
      <c r="IA742" s="135"/>
      <c r="IB742" s="135"/>
      <c r="IC742" s="135"/>
      <c r="ID742" s="135"/>
      <c r="IE742" s="135"/>
      <c r="IF742" s="135"/>
      <c r="IG742" s="135"/>
      <c r="IH742" s="135"/>
      <c r="II742" s="135"/>
      <c r="IJ742" s="135"/>
      <c r="IK742" s="135"/>
      <c r="IL742" s="135"/>
      <c r="IM742" s="135"/>
      <c r="IN742" s="135"/>
      <c r="IO742" s="135"/>
      <c r="IP742" s="135"/>
      <c r="IQ742" s="135"/>
      <c r="IR742" s="135"/>
      <c r="IS742" s="135"/>
      <c r="IT742" s="135"/>
      <c r="IU742" s="135"/>
      <c r="IV742" s="135"/>
      <c r="IW742" s="135"/>
      <c r="IX742" s="135"/>
      <c r="IY742" s="135"/>
      <c r="IZ742" s="135"/>
      <c r="JA742" s="135"/>
      <c r="JB742" s="135"/>
      <c r="JC742" s="135"/>
      <c r="JD742" s="135"/>
      <c r="JE742" s="135"/>
      <c r="JF742" s="135"/>
      <c r="JG742" s="135"/>
      <c r="JH742" s="135"/>
      <c r="JI742" s="135"/>
      <c r="JJ742" s="135"/>
      <c r="JK742" s="135"/>
      <c r="JL742" s="135"/>
      <c r="JM742" s="135"/>
      <c r="JN742" s="135"/>
      <c r="JO742" s="135"/>
      <c r="JP742" s="135"/>
      <c r="JQ742" s="135"/>
      <c r="JR742" s="135"/>
      <c r="JS742" s="135"/>
      <c r="JT742" s="135"/>
      <c r="JU742" s="135"/>
      <c r="JV742" s="135"/>
      <c r="JW742" s="135"/>
      <c r="JX742" s="135"/>
      <c r="JY742" s="135"/>
      <c r="JZ742" s="135"/>
      <c r="KA742" s="135"/>
      <c r="KB742" s="135"/>
      <c r="KC742" s="135"/>
      <c r="KD742" s="135"/>
      <c r="KE742" s="135"/>
      <c r="KF742" s="135"/>
      <c r="KG742" s="135"/>
      <c r="KH742" s="135"/>
      <c r="KI742" s="135"/>
      <c r="KJ742" s="135"/>
      <c r="KK742" s="135"/>
      <c r="KL742" s="135"/>
      <c r="KM742" s="135"/>
      <c r="KN742" s="135"/>
      <c r="KO742" s="135"/>
      <c r="KP742" s="135"/>
      <c r="KQ742" s="135"/>
      <c r="KR742" s="135"/>
      <c r="KS742" s="135"/>
      <c r="KT742" s="135"/>
      <c r="KU742" s="135"/>
      <c r="KV742" s="135"/>
      <c r="KW742" s="135"/>
      <c r="KX742" s="135"/>
      <c r="KY742" s="135"/>
      <c r="KZ742" s="135"/>
      <c r="LA742" s="135"/>
      <c r="LB742" s="135"/>
      <c r="LC742" s="135"/>
      <c r="LD742" s="135"/>
      <c r="LE742" s="135"/>
      <c r="LF742" s="135"/>
      <c r="LG742" s="135"/>
      <c r="LH742" s="135"/>
      <c r="LI742" s="135"/>
      <c r="LJ742" s="135"/>
      <c r="LK742" s="135"/>
      <c r="LL742" s="135"/>
      <c r="LM742" s="135"/>
      <c r="LN742" s="135"/>
      <c r="LO742" s="135"/>
      <c r="LP742" s="135"/>
      <c r="LQ742" s="135"/>
      <c r="LR742" s="135"/>
      <c r="LS742" s="135"/>
      <c r="LT742" s="135"/>
      <c r="LU742" s="135"/>
      <c r="LV742" s="135"/>
      <c r="LW742" s="135"/>
      <c r="LX742" s="135"/>
      <c r="LY742" s="135"/>
      <c r="LZ742" s="135"/>
      <c r="MA742" s="135"/>
      <c r="MB742" s="135"/>
      <c r="MC742" s="135"/>
      <c r="MD742" s="135"/>
      <c r="ME742" s="135"/>
      <c r="MF742" s="135"/>
      <c r="MG742" s="135"/>
      <c r="MH742" s="135"/>
      <c r="MI742" s="135"/>
      <c r="MJ742" s="135"/>
      <c r="MK742" s="135"/>
      <c r="ML742" s="135"/>
      <c r="MM742" s="135"/>
      <c r="MN742" s="135"/>
      <c r="MO742" s="135"/>
      <c r="MP742" s="135"/>
      <c r="MQ742" s="135"/>
      <c r="MR742" s="135"/>
      <c r="MS742" s="135"/>
      <c r="MT742" s="135"/>
      <c r="MU742" s="135"/>
      <c r="MV742" s="135"/>
      <c r="MW742" s="135"/>
      <c r="MX742" s="135"/>
      <c r="MY742" s="135"/>
      <c r="MZ742" s="135"/>
      <c r="NA742" s="135"/>
      <c r="NB742" s="135"/>
      <c r="NC742" s="135"/>
      <c r="ND742" s="135"/>
      <c r="NE742" s="135"/>
      <c r="NF742" s="135"/>
      <c r="NG742" s="135"/>
      <c r="NH742" s="135"/>
      <c r="NI742" s="135"/>
      <c r="NJ742" s="135"/>
      <c r="NK742" s="135"/>
      <c r="NL742" s="135"/>
      <c r="NM742" s="135"/>
      <c r="NN742" s="135"/>
      <c r="NO742" s="135"/>
      <c r="NP742" s="135"/>
      <c r="NQ742" s="135"/>
      <c r="NR742" s="135"/>
      <c r="NS742" s="135"/>
      <c r="NT742" s="135"/>
      <c r="NU742" s="135"/>
      <c r="NV742" s="135"/>
      <c r="NW742" s="135"/>
      <c r="NX742" s="135"/>
      <c r="NY742" s="135"/>
      <c r="NZ742" s="135"/>
      <c r="OA742" s="135"/>
      <c r="OB742" s="135"/>
      <c r="OC742" s="135"/>
      <c r="OD742" s="135"/>
      <c r="OE742" s="135"/>
      <c r="OF742" s="135"/>
      <c r="OG742" s="135"/>
      <c r="OH742" s="135"/>
      <c r="OI742" s="135"/>
      <c r="OJ742" s="135"/>
      <c r="OK742" s="135"/>
      <c r="OL742" s="135"/>
      <c r="OM742" s="135"/>
      <c r="ON742" s="135"/>
      <c r="OO742" s="135"/>
      <c r="OP742" s="135"/>
      <c r="OQ742" s="135"/>
      <c r="OR742" s="135"/>
      <c r="OS742" s="135"/>
      <c r="OT742" s="135"/>
      <c r="OU742" s="135"/>
      <c r="OV742" s="135"/>
      <c r="OW742" s="135"/>
      <c r="OX742" s="135"/>
      <c r="OY742" s="135"/>
      <c r="OZ742" s="135"/>
      <c r="PA742" s="135"/>
      <c r="PB742" s="135"/>
      <c r="PC742" s="135"/>
      <c r="PD742" s="135"/>
      <c r="PE742" s="135"/>
      <c r="PF742" s="135"/>
      <c r="PG742" s="135"/>
      <c r="PH742" s="135"/>
      <c r="PI742" s="135"/>
      <c r="PJ742" s="135"/>
      <c r="PK742" s="135"/>
      <c r="PL742" s="135"/>
      <c r="PM742" s="135"/>
      <c r="PN742" s="135"/>
      <c r="PO742" s="135"/>
      <c r="PP742" s="135"/>
      <c r="PQ742" s="135"/>
      <c r="PR742" s="135"/>
      <c r="PS742" s="135"/>
      <c r="PT742" s="135"/>
      <c r="PU742" s="135"/>
      <c r="PV742" s="135"/>
      <c r="PW742" s="135"/>
      <c r="PX742" s="135"/>
      <c r="PY742" s="135"/>
      <c r="PZ742" s="135"/>
      <c r="QA742" s="135"/>
      <c r="QB742" s="135"/>
      <c r="QC742" s="135"/>
      <c r="QD742" s="135"/>
      <c r="QE742" s="135"/>
      <c r="QF742" s="135"/>
      <c r="QG742" s="135"/>
      <c r="QH742" s="135"/>
      <c r="QI742" s="135"/>
      <c r="QJ742" s="135"/>
      <c r="QK742" s="135"/>
      <c r="QL742" s="135"/>
      <c r="QM742" s="135"/>
      <c r="QN742" s="135"/>
      <c r="QO742" s="135"/>
      <c r="QP742" s="135"/>
      <c r="QQ742" s="135"/>
      <c r="QR742" s="135"/>
      <c r="QS742" s="135"/>
      <c r="QT742" s="135"/>
      <c r="QU742" s="135"/>
      <c r="QV742" s="135"/>
      <c r="QW742" s="135"/>
      <c r="QX742" s="135"/>
      <c r="QY742" s="135"/>
      <c r="QZ742" s="135"/>
      <c r="RA742" s="135"/>
      <c r="RB742" s="135"/>
      <c r="RC742" s="135"/>
      <c r="RD742" s="135"/>
      <c r="RE742" s="135"/>
      <c r="RF742" s="135"/>
      <c r="RG742" s="135"/>
      <c r="RH742" s="135"/>
      <c r="RI742" s="135"/>
      <c r="RJ742" s="135"/>
      <c r="RK742" s="135"/>
      <c r="RL742" s="135"/>
      <c r="RM742" s="135"/>
      <c r="RN742" s="135"/>
      <c r="RO742" s="135"/>
      <c r="RP742" s="135"/>
      <c r="RQ742" s="135"/>
      <c r="RR742" s="135"/>
      <c r="RS742" s="135"/>
      <c r="RT742" s="135"/>
      <c r="RU742" s="135"/>
      <c r="RV742" s="135"/>
      <c r="RW742" s="135"/>
      <c r="RX742" s="135"/>
      <c r="RY742" s="135"/>
      <c r="RZ742" s="135"/>
      <c r="SA742" s="135"/>
      <c r="SB742" s="135"/>
      <c r="SC742" s="135"/>
      <c r="SD742" s="135"/>
      <c r="SE742" s="135"/>
      <c r="SF742" s="135"/>
      <c r="SG742" s="135"/>
      <c r="SH742" s="135"/>
      <c r="SI742" s="135"/>
      <c r="SJ742" s="135"/>
      <c r="SK742" s="135"/>
      <c r="SL742" s="135"/>
      <c r="SM742" s="135"/>
      <c r="SN742" s="135"/>
      <c r="SO742" s="135"/>
      <c r="SP742" s="135"/>
      <c r="SQ742" s="135"/>
      <c r="SR742" s="135"/>
      <c r="SS742" s="135"/>
      <c r="ST742" s="135"/>
      <c r="SU742" s="135"/>
      <c r="SV742" s="135"/>
      <c r="SW742" s="135"/>
      <c r="SX742" s="135"/>
      <c r="SY742" s="135"/>
      <c r="SZ742" s="135"/>
      <c r="TA742" s="135"/>
      <c r="TB742" s="135"/>
      <c r="TC742" s="135"/>
      <c r="TD742" s="135"/>
      <c r="TE742" s="135"/>
      <c r="TF742" s="135"/>
      <c r="TG742" s="135"/>
      <c r="TH742" s="135"/>
      <c r="TI742" s="135"/>
      <c r="TJ742" s="135"/>
      <c r="TK742" s="135"/>
      <c r="TL742" s="135"/>
      <c r="TM742" s="135"/>
      <c r="TN742" s="135"/>
      <c r="TO742" s="135"/>
      <c r="TP742" s="135"/>
      <c r="TQ742" s="135"/>
      <c r="TR742" s="135"/>
      <c r="TS742" s="135"/>
      <c r="TT742" s="135"/>
      <c r="TU742" s="135"/>
      <c r="TV742" s="135"/>
      <c r="TW742" s="135"/>
      <c r="TX742" s="135"/>
      <c r="TY742" s="135"/>
      <c r="TZ742" s="135"/>
      <c r="UA742" s="135"/>
      <c r="UB742" s="135"/>
      <c r="UC742" s="135"/>
      <c r="UD742" s="135"/>
      <c r="UE742" s="135"/>
      <c r="UF742" s="135"/>
      <c r="UG742" s="135"/>
    </row>
    <row r="743" spans="1:553" ht="54" customHeight="1">
      <c r="A743" s="356" t="s">
        <v>15</v>
      </c>
      <c r="B743" s="385">
        <v>137</v>
      </c>
      <c r="C743" s="1401" t="s">
        <v>994</v>
      </c>
      <c r="D743" s="1389"/>
      <c r="E743" s="1389"/>
      <c r="F743" s="1390"/>
      <c r="G743" s="386" t="s">
        <v>33</v>
      </c>
      <c r="H743" s="622"/>
      <c r="I743" s="626">
        <f>4.6*3.4</f>
        <v>15.639999999999999</v>
      </c>
      <c r="J743" s="369">
        <v>3904400</v>
      </c>
      <c r="K743" s="371"/>
      <c r="L743" s="627">
        <f t="shared" si="114"/>
        <v>61064815.999999993</v>
      </c>
      <c r="M743" s="549"/>
      <c r="N743" s="549"/>
      <c r="O743" s="366"/>
      <c r="P743" s="385"/>
      <c r="Q743" s="394"/>
      <c r="R743" s="1230"/>
      <c r="S743" s="308"/>
      <c r="T743" s="308"/>
      <c r="U743" s="308"/>
      <c r="V743" s="308"/>
      <c r="W743" s="308"/>
      <c r="X743" s="308"/>
      <c r="Y743" s="308"/>
      <c r="Z743" s="604"/>
      <c r="AA743" s="308"/>
      <c r="AB743" s="308"/>
      <c r="AC743" s="628"/>
      <c r="AD743" s="628"/>
      <c r="AE743" s="628"/>
      <c r="AF743" s="628"/>
      <c r="AG743" s="628"/>
      <c r="AH743" s="629"/>
      <c r="AI743" s="629"/>
      <c r="AJ743" s="629"/>
      <c r="AK743" s="629"/>
      <c r="AL743" s="135"/>
      <c r="AM743" s="135"/>
      <c r="AN743" s="135"/>
      <c r="AO743" s="135"/>
      <c r="AP743" s="135"/>
      <c r="AQ743" s="135"/>
      <c r="AR743" s="135"/>
      <c r="AS743" s="135"/>
      <c r="AT743" s="135"/>
      <c r="AU743" s="135"/>
      <c r="AV743" s="135"/>
      <c r="AW743" s="135"/>
      <c r="AX743" s="135"/>
      <c r="AY743" s="135"/>
      <c r="AZ743" s="135"/>
      <c r="BA743" s="135"/>
      <c r="BB743" s="135"/>
      <c r="BC743" s="135"/>
      <c r="BD743" s="135"/>
      <c r="BE743" s="135"/>
      <c r="BF743" s="135"/>
      <c r="BG743" s="135"/>
      <c r="BH743" s="135"/>
      <c r="BI743" s="135"/>
      <c r="BJ743" s="135"/>
      <c r="BK743" s="135"/>
      <c r="BL743" s="135"/>
      <c r="BM743" s="135"/>
      <c r="BN743" s="135"/>
      <c r="BO743" s="135"/>
      <c r="BP743" s="135"/>
      <c r="BQ743" s="135"/>
      <c r="BR743" s="135"/>
      <c r="BS743" s="135"/>
      <c r="BT743" s="135"/>
      <c r="BU743" s="135"/>
      <c r="BV743" s="135"/>
      <c r="BW743" s="135"/>
      <c r="BX743" s="135"/>
      <c r="BY743" s="135"/>
      <c r="BZ743" s="135"/>
      <c r="CA743" s="135"/>
      <c r="CB743" s="135"/>
      <c r="CC743" s="135"/>
      <c r="CD743" s="135"/>
      <c r="CE743" s="135"/>
      <c r="CF743" s="135"/>
      <c r="CG743" s="135"/>
      <c r="CH743" s="135"/>
      <c r="CI743" s="135"/>
      <c r="CJ743" s="135"/>
      <c r="CK743" s="135"/>
      <c r="CL743" s="135"/>
      <c r="CM743" s="135"/>
      <c r="CN743" s="135"/>
      <c r="CO743" s="135"/>
      <c r="CP743" s="135"/>
      <c r="CQ743" s="135"/>
      <c r="CR743" s="135"/>
      <c r="CS743" s="135"/>
      <c r="CT743" s="135"/>
      <c r="CU743" s="135"/>
      <c r="CV743" s="135"/>
      <c r="CW743" s="135"/>
      <c r="CX743" s="135"/>
      <c r="CY743" s="135"/>
      <c r="CZ743" s="135"/>
      <c r="DA743" s="135"/>
      <c r="DB743" s="135"/>
      <c r="DC743" s="135"/>
      <c r="DD743" s="135"/>
      <c r="DE743" s="135"/>
      <c r="DF743" s="135"/>
      <c r="DG743" s="135"/>
      <c r="DH743" s="135"/>
      <c r="DI743" s="135"/>
      <c r="DJ743" s="135"/>
      <c r="DK743" s="135"/>
      <c r="DL743" s="135"/>
      <c r="DM743" s="135"/>
      <c r="DN743" s="135"/>
      <c r="DO743" s="135"/>
      <c r="DP743" s="135"/>
      <c r="DQ743" s="135"/>
      <c r="DR743" s="135"/>
      <c r="DS743" s="135"/>
      <c r="DT743" s="135"/>
      <c r="DU743" s="135"/>
      <c r="DV743" s="135"/>
      <c r="DW743" s="135"/>
      <c r="DX743" s="135"/>
      <c r="DY743" s="135"/>
      <c r="DZ743" s="135"/>
      <c r="EA743" s="135"/>
      <c r="EB743" s="135"/>
      <c r="EC743" s="135"/>
      <c r="ED743" s="135"/>
      <c r="EE743" s="135"/>
      <c r="EF743" s="135"/>
      <c r="EG743" s="135"/>
      <c r="EH743" s="135"/>
      <c r="EI743" s="135"/>
      <c r="EJ743" s="135"/>
      <c r="EK743" s="135"/>
      <c r="EL743" s="135"/>
      <c r="EM743" s="135"/>
      <c r="EN743" s="135"/>
      <c r="EO743" s="135"/>
      <c r="EP743" s="135"/>
      <c r="EQ743" s="135"/>
      <c r="ER743" s="135"/>
      <c r="ES743" s="135"/>
      <c r="ET743" s="135"/>
      <c r="EU743" s="135"/>
      <c r="EV743" s="135"/>
      <c r="EW743" s="135"/>
      <c r="EX743" s="135"/>
      <c r="EY743" s="135"/>
      <c r="EZ743" s="135"/>
      <c r="FA743" s="135"/>
      <c r="FB743" s="135"/>
      <c r="FC743" s="135"/>
      <c r="FD743" s="135"/>
      <c r="FE743" s="135"/>
      <c r="FF743" s="135"/>
      <c r="FG743" s="135"/>
      <c r="FH743" s="135"/>
      <c r="FI743" s="135"/>
      <c r="FJ743" s="135"/>
      <c r="FK743" s="135"/>
      <c r="FL743" s="135"/>
      <c r="FM743" s="135"/>
      <c r="FN743" s="135"/>
      <c r="FO743" s="135"/>
      <c r="FP743" s="135"/>
      <c r="FQ743" s="135"/>
      <c r="FR743" s="135"/>
      <c r="FS743" s="135"/>
      <c r="FT743" s="135"/>
      <c r="FU743" s="135"/>
      <c r="FV743" s="135"/>
      <c r="FW743" s="135"/>
      <c r="FX743" s="135"/>
      <c r="FY743" s="135"/>
      <c r="FZ743" s="135"/>
      <c r="GA743" s="135"/>
      <c r="GB743" s="135"/>
      <c r="GC743" s="135"/>
      <c r="GD743" s="135"/>
      <c r="GE743" s="135"/>
      <c r="GF743" s="135"/>
      <c r="GG743" s="135"/>
      <c r="GH743" s="135"/>
      <c r="GI743" s="135"/>
      <c r="GJ743" s="135"/>
      <c r="GK743" s="135"/>
      <c r="GL743" s="135"/>
      <c r="GM743" s="135"/>
      <c r="GN743" s="135"/>
      <c r="GO743" s="135"/>
      <c r="GP743" s="135"/>
      <c r="GQ743" s="135"/>
      <c r="GR743" s="135"/>
      <c r="GS743" s="135"/>
      <c r="GT743" s="135"/>
      <c r="GU743" s="135"/>
      <c r="GV743" s="135"/>
      <c r="GW743" s="135"/>
      <c r="GX743" s="135"/>
      <c r="GY743" s="135"/>
      <c r="GZ743" s="135"/>
      <c r="HA743" s="135"/>
      <c r="HB743" s="135"/>
      <c r="HC743" s="135"/>
      <c r="HD743" s="135"/>
      <c r="HE743" s="135"/>
      <c r="HF743" s="135"/>
      <c r="HG743" s="135"/>
      <c r="HH743" s="135"/>
      <c r="HI743" s="135"/>
      <c r="HJ743" s="135"/>
      <c r="HK743" s="135"/>
      <c r="HL743" s="135"/>
      <c r="HM743" s="135"/>
      <c r="HN743" s="135"/>
      <c r="HO743" s="135"/>
      <c r="HP743" s="135"/>
      <c r="HQ743" s="135"/>
      <c r="HR743" s="135"/>
      <c r="HS743" s="135"/>
      <c r="HT743" s="135"/>
      <c r="HU743" s="135"/>
      <c r="HV743" s="135"/>
      <c r="HW743" s="135"/>
      <c r="HX743" s="135"/>
      <c r="HY743" s="135"/>
      <c r="HZ743" s="135"/>
      <c r="IA743" s="135"/>
      <c r="IB743" s="135"/>
      <c r="IC743" s="135"/>
      <c r="ID743" s="135"/>
      <c r="IE743" s="135"/>
      <c r="IF743" s="135"/>
      <c r="IG743" s="135"/>
      <c r="IH743" s="135"/>
      <c r="II743" s="135"/>
      <c r="IJ743" s="135"/>
      <c r="IK743" s="135"/>
      <c r="IL743" s="135"/>
      <c r="IM743" s="135"/>
      <c r="IN743" s="135"/>
      <c r="IO743" s="135"/>
      <c r="IP743" s="135"/>
      <c r="IQ743" s="135"/>
      <c r="IR743" s="135"/>
      <c r="IS743" s="135"/>
      <c r="IT743" s="135"/>
      <c r="IU743" s="135"/>
      <c r="IV743" s="135"/>
      <c r="IW743" s="135"/>
      <c r="IX743" s="135"/>
      <c r="IY743" s="135"/>
      <c r="IZ743" s="135"/>
      <c r="JA743" s="135"/>
      <c r="JB743" s="135"/>
      <c r="JC743" s="135"/>
      <c r="JD743" s="135"/>
      <c r="JE743" s="135"/>
      <c r="JF743" s="135"/>
      <c r="JG743" s="135"/>
      <c r="JH743" s="135"/>
      <c r="JI743" s="135"/>
      <c r="JJ743" s="135"/>
      <c r="JK743" s="135"/>
      <c r="JL743" s="135"/>
      <c r="JM743" s="135"/>
      <c r="JN743" s="135"/>
      <c r="JO743" s="135"/>
      <c r="JP743" s="135"/>
      <c r="JQ743" s="135"/>
      <c r="JR743" s="135"/>
      <c r="JS743" s="135"/>
      <c r="JT743" s="135"/>
      <c r="JU743" s="135"/>
      <c r="JV743" s="135"/>
      <c r="JW743" s="135"/>
      <c r="JX743" s="135"/>
      <c r="JY743" s="135"/>
      <c r="JZ743" s="135"/>
      <c r="KA743" s="135"/>
      <c r="KB743" s="135"/>
      <c r="KC743" s="135"/>
      <c r="KD743" s="135"/>
      <c r="KE743" s="135"/>
      <c r="KF743" s="135"/>
      <c r="KG743" s="135"/>
      <c r="KH743" s="135"/>
      <c r="KI743" s="135"/>
      <c r="KJ743" s="135"/>
      <c r="KK743" s="135"/>
      <c r="KL743" s="135"/>
      <c r="KM743" s="135"/>
      <c r="KN743" s="135"/>
      <c r="KO743" s="135"/>
      <c r="KP743" s="135"/>
      <c r="KQ743" s="135"/>
      <c r="KR743" s="135"/>
      <c r="KS743" s="135"/>
      <c r="KT743" s="135"/>
      <c r="KU743" s="135"/>
      <c r="KV743" s="135"/>
      <c r="KW743" s="135"/>
      <c r="KX743" s="135"/>
      <c r="KY743" s="135"/>
      <c r="KZ743" s="135"/>
      <c r="LA743" s="135"/>
      <c r="LB743" s="135"/>
      <c r="LC743" s="135"/>
      <c r="LD743" s="135"/>
      <c r="LE743" s="135"/>
      <c r="LF743" s="135"/>
      <c r="LG743" s="135"/>
      <c r="LH743" s="135"/>
      <c r="LI743" s="135"/>
      <c r="LJ743" s="135"/>
      <c r="LK743" s="135"/>
      <c r="LL743" s="135"/>
      <c r="LM743" s="135"/>
      <c r="LN743" s="135"/>
      <c r="LO743" s="135"/>
      <c r="LP743" s="135"/>
      <c r="LQ743" s="135"/>
      <c r="LR743" s="135"/>
      <c r="LS743" s="135"/>
      <c r="LT743" s="135"/>
      <c r="LU743" s="135"/>
      <c r="LV743" s="135"/>
      <c r="LW743" s="135"/>
      <c r="LX743" s="135"/>
      <c r="LY743" s="135"/>
      <c r="LZ743" s="135"/>
      <c r="MA743" s="135"/>
      <c r="MB743" s="135"/>
      <c r="MC743" s="135"/>
      <c r="MD743" s="135"/>
      <c r="ME743" s="135"/>
      <c r="MF743" s="135"/>
      <c r="MG743" s="135"/>
      <c r="MH743" s="135"/>
      <c r="MI743" s="135"/>
      <c r="MJ743" s="135"/>
      <c r="MK743" s="135"/>
      <c r="ML743" s="135"/>
      <c r="MM743" s="135"/>
      <c r="MN743" s="135"/>
      <c r="MO743" s="135"/>
      <c r="MP743" s="135"/>
      <c r="MQ743" s="135"/>
      <c r="MR743" s="135"/>
      <c r="MS743" s="135"/>
      <c r="MT743" s="135"/>
      <c r="MU743" s="135"/>
      <c r="MV743" s="135"/>
      <c r="MW743" s="135"/>
      <c r="MX743" s="135"/>
      <c r="MY743" s="135"/>
      <c r="MZ743" s="135"/>
      <c r="NA743" s="135"/>
      <c r="NB743" s="135"/>
      <c r="NC743" s="135"/>
      <c r="ND743" s="135"/>
      <c r="NE743" s="135"/>
      <c r="NF743" s="135"/>
      <c r="NG743" s="135"/>
      <c r="NH743" s="135"/>
      <c r="NI743" s="135"/>
      <c r="NJ743" s="135"/>
      <c r="NK743" s="135"/>
      <c r="NL743" s="135"/>
      <c r="NM743" s="135"/>
      <c r="NN743" s="135"/>
      <c r="NO743" s="135"/>
      <c r="NP743" s="135"/>
      <c r="NQ743" s="135"/>
      <c r="NR743" s="135"/>
      <c r="NS743" s="135"/>
      <c r="NT743" s="135"/>
      <c r="NU743" s="135"/>
      <c r="NV743" s="135"/>
      <c r="NW743" s="135"/>
      <c r="NX743" s="135"/>
      <c r="NY743" s="135"/>
      <c r="NZ743" s="135"/>
      <c r="OA743" s="135"/>
      <c r="OB743" s="135"/>
      <c r="OC743" s="135"/>
      <c r="OD743" s="135"/>
      <c r="OE743" s="135"/>
      <c r="OF743" s="135"/>
      <c r="OG743" s="135"/>
      <c r="OH743" s="135"/>
      <c r="OI743" s="135"/>
      <c r="OJ743" s="135"/>
      <c r="OK743" s="135"/>
      <c r="OL743" s="135"/>
      <c r="OM743" s="135"/>
      <c r="ON743" s="135"/>
      <c r="OO743" s="135"/>
      <c r="OP743" s="135"/>
      <c r="OQ743" s="135"/>
      <c r="OR743" s="135"/>
      <c r="OS743" s="135"/>
      <c r="OT743" s="135"/>
      <c r="OU743" s="135"/>
      <c r="OV743" s="135"/>
      <c r="OW743" s="135"/>
      <c r="OX743" s="135"/>
      <c r="OY743" s="135"/>
      <c r="OZ743" s="135"/>
      <c r="PA743" s="135"/>
      <c r="PB743" s="135"/>
      <c r="PC743" s="135"/>
      <c r="PD743" s="135"/>
      <c r="PE743" s="135"/>
      <c r="PF743" s="135"/>
      <c r="PG743" s="135"/>
      <c r="PH743" s="135"/>
      <c r="PI743" s="135"/>
      <c r="PJ743" s="135"/>
      <c r="PK743" s="135"/>
      <c r="PL743" s="135"/>
      <c r="PM743" s="135"/>
      <c r="PN743" s="135"/>
      <c r="PO743" s="135"/>
      <c r="PP743" s="135"/>
      <c r="PQ743" s="135"/>
      <c r="PR743" s="135"/>
      <c r="PS743" s="135"/>
      <c r="PT743" s="135"/>
      <c r="PU743" s="135"/>
      <c r="PV743" s="135"/>
      <c r="PW743" s="135"/>
      <c r="PX743" s="135"/>
      <c r="PY743" s="135"/>
      <c r="PZ743" s="135"/>
      <c r="QA743" s="135"/>
      <c r="QB743" s="135"/>
      <c r="QC743" s="135"/>
      <c r="QD743" s="135"/>
      <c r="QE743" s="135"/>
      <c r="QF743" s="135"/>
      <c r="QG743" s="135"/>
      <c r="QH743" s="135"/>
      <c r="QI743" s="135"/>
      <c r="QJ743" s="135"/>
      <c r="QK743" s="135"/>
      <c r="QL743" s="135"/>
      <c r="QM743" s="135"/>
      <c r="QN743" s="135"/>
      <c r="QO743" s="135"/>
      <c r="QP743" s="135"/>
      <c r="QQ743" s="135"/>
      <c r="QR743" s="135"/>
      <c r="QS743" s="135"/>
      <c r="QT743" s="135"/>
      <c r="QU743" s="135"/>
      <c r="QV743" s="135"/>
      <c r="QW743" s="135"/>
      <c r="QX743" s="135"/>
      <c r="QY743" s="135"/>
      <c r="QZ743" s="135"/>
      <c r="RA743" s="135"/>
      <c r="RB743" s="135"/>
      <c r="RC743" s="135"/>
      <c r="RD743" s="135"/>
      <c r="RE743" s="135"/>
      <c r="RF743" s="135"/>
      <c r="RG743" s="135"/>
      <c r="RH743" s="135"/>
      <c r="RI743" s="135"/>
      <c r="RJ743" s="135"/>
      <c r="RK743" s="135"/>
      <c r="RL743" s="135"/>
      <c r="RM743" s="135"/>
      <c r="RN743" s="135"/>
      <c r="RO743" s="135"/>
      <c r="RP743" s="135"/>
      <c r="RQ743" s="135"/>
      <c r="RR743" s="135"/>
      <c r="RS743" s="135"/>
      <c r="RT743" s="135"/>
      <c r="RU743" s="135"/>
      <c r="RV743" s="135"/>
      <c r="RW743" s="135"/>
      <c r="RX743" s="135"/>
      <c r="RY743" s="135"/>
      <c r="RZ743" s="135"/>
      <c r="SA743" s="135"/>
      <c r="SB743" s="135"/>
      <c r="SC743" s="135"/>
      <c r="SD743" s="135"/>
      <c r="SE743" s="135"/>
      <c r="SF743" s="135"/>
      <c r="SG743" s="135"/>
      <c r="SH743" s="135"/>
      <c r="SI743" s="135"/>
      <c r="SJ743" s="135"/>
      <c r="SK743" s="135"/>
      <c r="SL743" s="135"/>
      <c r="SM743" s="135"/>
      <c r="SN743" s="135"/>
      <c r="SO743" s="135"/>
      <c r="SP743" s="135"/>
      <c r="SQ743" s="135"/>
      <c r="SR743" s="135"/>
      <c r="SS743" s="135"/>
      <c r="ST743" s="135"/>
      <c r="SU743" s="135"/>
      <c r="SV743" s="135"/>
      <c r="SW743" s="135"/>
      <c r="SX743" s="135"/>
      <c r="SY743" s="135"/>
      <c r="SZ743" s="135"/>
      <c r="TA743" s="135"/>
      <c r="TB743" s="135"/>
      <c r="TC743" s="135"/>
      <c r="TD743" s="135"/>
      <c r="TE743" s="135"/>
      <c r="TF743" s="135"/>
      <c r="TG743" s="135"/>
      <c r="TH743" s="135"/>
      <c r="TI743" s="135"/>
      <c r="TJ743" s="135"/>
      <c r="TK743" s="135"/>
      <c r="TL743" s="135"/>
      <c r="TM743" s="135"/>
      <c r="TN743" s="135"/>
      <c r="TO743" s="135"/>
      <c r="TP743" s="135"/>
      <c r="TQ743" s="135"/>
      <c r="TR743" s="135"/>
      <c r="TS743" s="135"/>
      <c r="TT743" s="135"/>
      <c r="TU743" s="135"/>
      <c r="TV743" s="135"/>
      <c r="TW743" s="135"/>
      <c r="TX743" s="135"/>
      <c r="TY743" s="135"/>
      <c r="TZ743" s="135"/>
      <c r="UA743" s="135"/>
      <c r="UB743" s="135"/>
      <c r="UC743" s="135"/>
      <c r="UD743" s="135"/>
      <c r="UE743" s="135"/>
      <c r="UF743" s="135"/>
      <c r="UG743" s="135"/>
    </row>
    <row r="744" spans="1:553" ht="54" customHeight="1">
      <c r="A744" s="356" t="s">
        <v>30</v>
      </c>
      <c r="B744" s="385">
        <v>2</v>
      </c>
      <c r="C744" s="1401" t="s">
        <v>971</v>
      </c>
      <c r="D744" s="1389"/>
      <c r="E744" s="1389"/>
      <c r="F744" s="1390"/>
      <c r="G744" s="386" t="s">
        <v>33</v>
      </c>
      <c r="H744" s="622"/>
      <c r="I744" s="626">
        <f>-14.8*1.9</f>
        <v>-28.12</v>
      </c>
      <c r="J744" s="369">
        <v>52000</v>
      </c>
      <c r="K744" s="371"/>
      <c r="L744" s="627">
        <f t="shared" si="114"/>
        <v>-1462240</v>
      </c>
      <c r="M744" s="549"/>
      <c r="N744" s="549"/>
      <c r="O744" s="366"/>
      <c r="P744" s="385"/>
      <c r="Q744" s="394"/>
      <c r="R744" s="1230"/>
      <c r="S744" s="308"/>
      <c r="T744" s="308"/>
      <c r="U744" s="308"/>
      <c r="V744" s="308"/>
      <c r="W744" s="308"/>
      <c r="X744" s="308"/>
      <c r="Y744" s="308"/>
      <c r="Z744" s="604"/>
      <c r="AA744" s="308"/>
      <c r="AB744" s="308"/>
      <c r="AC744" s="628"/>
      <c r="AD744" s="628"/>
      <c r="AE744" s="628"/>
      <c r="AF744" s="628"/>
      <c r="AG744" s="628"/>
      <c r="AH744" s="629"/>
      <c r="AI744" s="629"/>
      <c r="AJ744" s="629"/>
      <c r="AK744" s="629"/>
      <c r="AL744" s="135"/>
      <c r="AM744" s="135"/>
      <c r="AN744" s="135"/>
      <c r="AO744" s="135"/>
      <c r="AP744" s="135"/>
      <c r="AQ744" s="135"/>
      <c r="AR744" s="135"/>
      <c r="AS744" s="135"/>
      <c r="AT744" s="135"/>
      <c r="AU744" s="135"/>
      <c r="AV744" s="135"/>
      <c r="AW744" s="135"/>
      <c r="AX744" s="135"/>
      <c r="AY744" s="135"/>
      <c r="AZ744" s="135"/>
      <c r="BA744" s="135"/>
      <c r="BB744" s="135"/>
      <c r="BC744" s="135"/>
      <c r="BD744" s="135"/>
      <c r="BE744" s="135"/>
      <c r="BF744" s="135"/>
      <c r="BG744" s="135"/>
      <c r="BH744" s="135"/>
      <c r="BI744" s="135"/>
      <c r="BJ744" s="135"/>
      <c r="BK744" s="135"/>
      <c r="BL744" s="135"/>
      <c r="BM744" s="135"/>
      <c r="BN744" s="135"/>
      <c r="BO744" s="135"/>
      <c r="BP744" s="135"/>
      <c r="BQ744" s="135"/>
      <c r="BR744" s="135"/>
      <c r="BS744" s="135"/>
      <c r="BT744" s="135"/>
      <c r="BU744" s="135"/>
      <c r="BV744" s="135"/>
      <c r="BW744" s="135"/>
      <c r="BX744" s="135"/>
      <c r="BY744" s="135"/>
      <c r="BZ744" s="135"/>
      <c r="CA744" s="135"/>
      <c r="CB744" s="135"/>
      <c r="CC744" s="135"/>
      <c r="CD744" s="135"/>
      <c r="CE744" s="135"/>
      <c r="CF744" s="135"/>
      <c r="CG744" s="135"/>
      <c r="CH744" s="135"/>
      <c r="CI744" s="135"/>
      <c r="CJ744" s="135"/>
      <c r="CK744" s="135"/>
      <c r="CL744" s="135"/>
      <c r="CM744" s="135"/>
      <c r="CN744" s="135"/>
      <c r="CO744" s="135"/>
      <c r="CP744" s="135"/>
      <c r="CQ744" s="135"/>
      <c r="CR744" s="135"/>
      <c r="CS744" s="135"/>
      <c r="CT744" s="135"/>
      <c r="CU744" s="135"/>
      <c r="CV744" s="135"/>
      <c r="CW744" s="135"/>
      <c r="CX744" s="135"/>
      <c r="CY744" s="135"/>
      <c r="CZ744" s="135"/>
      <c r="DA744" s="135"/>
      <c r="DB744" s="135"/>
      <c r="DC744" s="135"/>
      <c r="DD744" s="135"/>
      <c r="DE744" s="135"/>
      <c r="DF744" s="135"/>
      <c r="DG744" s="135"/>
      <c r="DH744" s="135"/>
      <c r="DI744" s="135"/>
      <c r="DJ744" s="135"/>
      <c r="DK744" s="135"/>
      <c r="DL744" s="135"/>
      <c r="DM744" s="135"/>
      <c r="DN744" s="135"/>
      <c r="DO744" s="135"/>
      <c r="DP744" s="135"/>
      <c r="DQ744" s="135"/>
      <c r="DR744" s="135"/>
      <c r="DS744" s="135"/>
      <c r="DT744" s="135"/>
      <c r="DU744" s="135"/>
      <c r="DV744" s="135"/>
      <c r="DW744" s="135"/>
      <c r="DX744" s="135"/>
      <c r="DY744" s="135"/>
      <c r="DZ744" s="135"/>
      <c r="EA744" s="135"/>
      <c r="EB744" s="135"/>
      <c r="EC744" s="135"/>
      <c r="ED744" s="135"/>
      <c r="EE744" s="135"/>
      <c r="EF744" s="135"/>
      <c r="EG744" s="135"/>
      <c r="EH744" s="135"/>
      <c r="EI744" s="135"/>
      <c r="EJ744" s="135"/>
      <c r="EK744" s="135"/>
      <c r="EL744" s="135"/>
      <c r="EM744" s="135"/>
      <c r="EN744" s="135"/>
      <c r="EO744" s="135"/>
      <c r="EP744" s="135"/>
      <c r="EQ744" s="135"/>
      <c r="ER744" s="135"/>
      <c r="ES744" s="135"/>
      <c r="ET744" s="135"/>
      <c r="EU744" s="135"/>
      <c r="EV744" s="135"/>
      <c r="EW744" s="135"/>
      <c r="EX744" s="135"/>
      <c r="EY744" s="135"/>
      <c r="EZ744" s="135"/>
      <c r="FA744" s="135"/>
      <c r="FB744" s="135"/>
      <c r="FC744" s="135"/>
      <c r="FD744" s="135"/>
      <c r="FE744" s="135"/>
      <c r="FF744" s="135"/>
      <c r="FG744" s="135"/>
      <c r="FH744" s="135"/>
      <c r="FI744" s="135"/>
      <c r="FJ744" s="135"/>
      <c r="FK744" s="135"/>
      <c r="FL744" s="135"/>
      <c r="FM744" s="135"/>
      <c r="FN744" s="135"/>
      <c r="FO744" s="135"/>
      <c r="FP744" s="135"/>
      <c r="FQ744" s="135"/>
      <c r="FR744" s="135"/>
      <c r="FS744" s="135"/>
      <c r="FT744" s="135"/>
      <c r="FU744" s="135"/>
      <c r="FV744" s="135"/>
      <c r="FW744" s="135"/>
      <c r="FX744" s="135"/>
      <c r="FY744" s="135"/>
      <c r="FZ744" s="135"/>
      <c r="GA744" s="135"/>
      <c r="GB744" s="135"/>
      <c r="GC744" s="135"/>
      <c r="GD744" s="135"/>
      <c r="GE744" s="135"/>
      <c r="GF744" s="135"/>
      <c r="GG744" s="135"/>
      <c r="GH744" s="135"/>
      <c r="GI744" s="135"/>
      <c r="GJ744" s="135"/>
      <c r="GK744" s="135"/>
      <c r="GL744" s="135"/>
      <c r="GM744" s="135"/>
      <c r="GN744" s="135"/>
      <c r="GO744" s="135"/>
      <c r="GP744" s="135"/>
      <c r="GQ744" s="135"/>
      <c r="GR744" s="135"/>
      <c r="GS744" s="135"/>
      <c r="GT744" s="135"/>
      <c r="GU744" s="135"/>
      <c r="GV744" s="135"/>
      <c r="GW744" s="135"/>
      <c r="GX744" s="135"/>
      <c r="GY744" s="135"/>
      <c r="GZ744" s="135"/>
      <c r="HA744" s="135"/>
      <c r="HB744" s="135"/>
      <c r="HC744" s="135"/>
      <c r="HD744" s="135"/>
      <c r="HE744" s="135"/>
      <c r="HF744" s="135"/>
      <c r="HG744" s="135"/>
      <c r="HH744" s="135"/>
      <c r="HI744" s="135"/>
      <c r="HJ744" s="135"/>
      <c r="HK744" s="135"/>
      <c r="HL744" s="135"/>
      <c r="HM744" s="135"/>
      <c r="HN744" s="135"/>
      <c r="HO744" s="135"/>
      <c r="HP744" s="135"/>
      <c r="HQ744" s="135"/>
      <c r="HR744" s="135"/>
      <c r="HS744" s="135"/>
      <c r="HT744" s="135"/>
      <c r="HU744" s="135"/>
      <c r="HV744" s="135"/>
      <c r="HW744" s="135"/>
      <c r="HX744" s="135"/>
      <c r="HY744" s="135"/>
      <c r="HZ744" s="135"/>
      <c r="IA744" s="135"/>
      <c r="IB744" s="135"/>
      <c r="IC744" s="135"/>
      <c r="ID744" s="135"/>
      <c r="IE744" s="135"/>
      <c r="IF744" s="135"/>
      <c r="IG744" s="135"/>
      <c r="IH744" s="135"/>
      <c r="II744" s="135"/>
      <c r="IJ744" s="135"/>
      <c r="IK744" s="135"/>
      <c r="IL744" s="135"/>
      <c r="IM744" s="135"/>
      <c r="IN744" s="135"/>
      <c r="IO744" s="135"/>
      <c r="IP744" s="135"/>
      <c r="IQ744" s="135"/>
      <c r="IR744" s="135"/>
      <c r="IS744" s="135"/>
      <c r="IT744" s="135"/>
      <c r="IU744" s="135"/>
      <c r="IV744" s="135"/>
      <c r="IW744" s="135"/>
      <c r="IX744" s="135"/>
      <c r="IY744" s="135"/>
      <c r="IZ744" s="135"/>
      <c r="JA744" s="135"/>
      <c r="JB744" s="135"/>
      <c r="JC744" s="135"/>
      <c r="JD744" s="135"/>
      <c r="JE744" s="135"/>
      <c r="JF744" s="135"/>
      <c r="JG744" s="135"/>
      <c r="JH744" s="135"/>
      <c r="JI744" s="135"/>
      <c r="JJ744" s="135"/>
      <c r="JK744" s="135"/>
      <c r="JL744" s="135"/>
      <c r="JM744" s="135"/>
      <c r="JN744" s="135"/>
      <c r="JO744" s="135"/>
      <c r="JP744" s="135"/>
      <c r="JQ744" s="135"/>
      <c r="JR744" s="135"/>
      <c r="JS744" s="135"/>
      <c r="JT744" s="135"/>
      <c r="JU744" s="135"/>
      <c r="JV744" s="135"/>
      <c r="JW744" s="135"/>
      <c r="JX744" s="135"/>
      <c r="JY744" s="135"/>
      <c r="JZ744" s="135"/>
      <c r="KA744" s="135"/>
      <c r="KB744" s="135"/>
      <c r="KC744" s="135"/>
      <c r="KD744" s="135"/>
      <c r="KE744" s="135"/>
      <c r="KF744" s="135"/>
      <c r="KG744" s="135"/>
      <c r="KH744" s="135"/>
      <c r="KI744" s="135"/>
      <c r="KJ744" s="135"/>
      <c r="KK744" s="135"/>
      <c r="KL744" s="135"/>
      <c r="KM744" s="135"/>
      <c r="KN744" s="135"/>
      <c r="KO744" s="135"/>
      <c r="KP744" s="135"/>
      <c r="KQ744" s="135"/>
      <c r="KR744" s="135"/>
      <c r="KS744" s="135"/>
      <c r="KT744" s="135"/>
      <c r="KU744" s="135"/>
      <c r="KV744" s="135"/>
      <c r="KW744" s="135"/>
      <c r="KX744" s="135"/>
      <c r="KY744" s="135"/>
      <c r="KZ744" s="135"/>
      <c r="LA744" s="135"/>
      <c r="LB744" s="135"/>
      <c r="LC744" s="135"/>
      <c r="LD744" s="135"/>
      <c r="LE744" s="135"/>
      <c r="LF744" s="135"/>
      <c r="LG744" s="135"/>
      <c r="LH744" s="135"/>
      <c r="LI744" s="135"/>
      <c r="LJ744" s="135"/>
      <c r="LK744" s="135"/>
      <c r="LL744" s="135"/>
      <c r="LM744" s="135"/>
      <c r="LN744" s="135"/>
      <c r="LO744" s="135"/>
      <c r="LP744" s="135"/>
      <c r="LQ744" s="135"/>
      <c r="LR744" s="135"/>
      <c r="LS744" s="135"/>
      <c r="LT744" s="135"/>
      <c r="LU744" s="135"/>
      <c r="LV744" s="135"/>
      <c r="LW744" s="135"/>
      <c r="LX744" s="135"/>
      <c r="LY744" s="135"/>
      <c r="LZ744" s="135"/>
      <c r="MA744" s="135"/>
      <c r="MB744" s="135"/>
      <c r="MC744" s="135"/>
      <c r="MD744" s="135"/>
      <c r="ME744" s="135"/>
      <c r="MF744" s="135"/>
      <c r="MG744" s="135"/>
      <c r="MH744" s="135"/>
      <c r="MI744" s="135"/>
      <c r="MJ744" s="135"/>
      <c r="MK744" s="135"/>
      <c r="ML744" s="135"/>
      <c r="MM744" s="135"/>
      <c r="MN744" s="135"/>
      <c r="MO744" s="135"/>
      <c r="MP744" s="135"/>
      <c r="MQ744" s="135"/>
      <c r="MR744" s="135"/>
      <c r="MS744" s="135"/>
      <c r="MT744" s="135"/>
      <c r="MU744" s="135"/>
      <c r="MV744" s="135"/>
      <c r="MW744" s="135"/>
      <c r="MX744" s="135"/>
      <c r="MY744" s="135"/>
      <c r="MZ744" s="135"/>
      <c r="NA744" s="135"/>
      <c r="NB744" s="135"/>
      <c r="NC744" s="135"/>
      <c r="ND744" s="135"/>
      <c r="NE744" s="135"/>
      <c r="NF744" s="135"/>
      <c r="NG744" s="135"/>
      <c r="NH744" s="135"/>
      <c r="NI744" s="135"/>
      <c r="NJ744" s="135"/>
      <c r="NK744" s="135"/>
      <c r="NL744" s="135"/>
      <c r="NM744" s="135"/>
      <c r="NN744" s="135"/>
      <c r="NO744" s="135"/>
      <c r="NP744" s="135"/>
      <c r="NQ744" s="135"/>
      <c r="NR744" s="135"/>
      <c r="NS744" s="135"/>
      <c r="NT744" s="135"/>
      <c r="NU744" s="135"/>
      <c r="NV744" s="135"/>
      <c r="NW744" s="135"/>
      <c r="NX744" s="135"/>
      <c r="NY744" s="135"/>
      <c r="NZ744" s="135"/>
      <c r="OA744" s="135"/>
      <c r="OB744" s="135"/>
      <c r="OC744" s="135"/>
      <c r="OD744" s="135"/>
      <c r="OE744" s="135"/>
      <c r="OF744" s="135"/>
      <c r="OG744" s="135"/>
      <c r="OH744" s="135"/>
      <c r="OI744" s="135"/>
      <c r="OJ744" s="135"/>
      <c r="OK744" s="135"/>
      <c r="OL744" s="135"/>
      <c r="OM744" s="135"/>
      <c r="ON744" s="135"/>
      <c r="OO744" s="135"/>
      <c r="OP744" s="135"/>
      <c r="OQ744" s="135"/>
      <c r="OR744" s="135"/>
      <c r="OS744" s="135"/>
      <c r="OT744" s="135"/>
      <c r="OU744" s="135"/>
      <c r="OV744" s="135"/>
      <c r="OW744" s="135"/>
      <c r="OX744" s="135"/>
      <c r="OY744" s="135"/>
      <c r="OZ744" s="135"/>
      <c r="PA744" s="135"/>
      <c r="PB744" s="135"/>
      <c r="PC744" s="135"/>
      <c r="PD744" s="135"/>
      <c r="PE744" s="135"/>
      <c r="PF744" s="135"/>
      <c r="PG744" s="135"/>
      <c r="PH744" s="135"/>
      <c r="PI744" s="135"/>
      <c r="PJ744" s="135"/>
      <c r="PK744" s="135"/>
      <c r="PL744" s="135"/>
      <c r="PM744" s="135"/>
      <c r="PN744" s="135"/>
      <c r="PO744" s="135"/>
      <c r="PP744" s="135"/>
      <c r="PQ744" s="135"/>
      <c r="PR744" s="135"/>
      <c r="PS744" s="135"/>
      <c r="PT744" s="135"/>
      <c r="PU744" s="135"/>
      <c r="PV744" s="135"/>
      <c r="PW744" s="135"/>
      <c r="PX744" s="135"/>
      <c r="PY744" s="135"/>
      <c r="PZ744" s="135"/>
      <c r="QA744" s="135"/>
      <c r="QB744" s="135"/>
      <c r="QC744" s="135"/>
      <c r="QD744" s="135"/>
      <c r="QE744" s="135"/>
      <c r="QF744" s="135"/>
      <c r="QG744" s="135"/>
      <c r="QH744" s="135"/>
      <c r="QI744" s="135"/>
      <c r="QJ744" s="135"/>
      <c r="QK744" s="135"/>
      <c r="QL744" s="135"/>
      <c r="QM744" s="135"/>
      <c r="QN744" s="135"/>
      <c r="QO744" s="135"/>
      <c r="QP744" s="135"/>
      <c r="QQ744" s="135"/>
      <c r="QR744" s="135"/>
      <c r="QS744" s="135"/>
      <c r="QT744" s="135"/>
      <c r="QU744" s="135"/>
      <c r="QV744" s="135"/>
      <c r="QW744" s="135"/>
      <c r="QX744" s="135"/>
      <c r="QY744" s="135"/>
      <c r="QZ744" s="135"/>
      <c r="RA744" s="135"/>
      <c r="RB744" s="135"/>
      <c r="RC744" s="135"/>
      <c r="RD744" s="135"/>
      <c r="RE744" s="135"/>
      <c r="RF744" s="135"/>
      <c r="RG744" s="135"/>
      <c r="RH744" s="135"/>
      <c r="RI744" s="135"/>
      <c r="RJ744" s="135"/>
      <c r="RK744" s="135"/>
      <c r="RL744" s="135"/>
      <c r="RM744" s="135"/>
      <c r="RN744" s="135"/>
      <c r="RO744" s="135"/>
      <c r="RP744" s="135"/>
      <c r="RQ744" s="135"/>
      <c r="RR744" s="135"/>
      <c r="RS744" s="135"/>
      <c r="RT744" s="135"/>
      <c r="RU744" s="135"/>
      <c r="RV744" s="135"/>
      <c r="RW744" s="135"/>
      <c r="RX744" s="135"/>
      <c r="RY744" s="135"/>
      <c r="RZ744" s="135"/>
      <c r="SA744" s="135"/>
      <c r="SB744" s="135"/>
      <c r="SC744" s="135"/>
      <c r="SD744" s="135"/>
      <c r="SE744" s="135"/>
      <c r="SF744" s="135"/>
      <c r="SG744" s="135"/>
      <c r="SH744" s="135"/>
      <c r="SI744" s="135"/>
      <c r="SJ744" s="135"/>
      <c r="SK744" s="135"/>
      <c r="SL744" s="135"/>
      <c r="SM744" s="135"/>
      <c r="SN744" s="135"/>
      <c r="SO744" s="135"/>
      <c r="SP744" s="135"/>
      <c r="SQ744" s="135"/>
      <c r="SR744" s="135"/>
      <c r="SS744" s="135"/>
      <c r="ST744" s="135"/>
      <c r="SU744" s="135"/>
      <c r="SV744" s="135"/>
      <c r="SW744" s="135"/>
      <c r="SX744" s="135"/>
      <c r="SY744" s="135"/>
      <c r="SZ744" s="135"/>
      <c r="TA744" s="135"/>
      <c r="TB744" s="135"/>
      <c r="TC744" s="135"/>
      <c r="TD744" s="135"/>
      <c r="TE744" s="135"/>
      <c r="TF744" s="135"/>
      <c r="TG744" s="135"/>
      <c r="TH744" s="135"/>
      <c r="TI744" s="135"/>
      <c r="TJ744" s="135"/>
      <c r="TK744" s="135"/>
      <c r="TL744" s="135"/>
      <c r="TM744" s="135"/>
      <c r="TN744" s="135"/>
      <c r="TO744" s="135"/>
      <c r="TP744" s="135"/>
      <c r="TQ744" s="135"/>
      <c r="TR744" s="135"/>
      <c r="TS744" s="135"/>
      <c r="TT744" s="135"/>
      <c r="TU744" s="135"/>
      <c r="TV744" s="135"/>
      <c r="TW744" s="135"/>
      <c r="TX744" s="135"/>
      <c r="TY744" s="135"/>
      <c r="TZ744" s="135"/>
      <c r="UA744" s="135"/>
      <c r="UB744" s="135"/>
      <c r="UC744" s="135"/>
      <c r="UD744" s="135"/>
      <c r="UE744" s="135"/>
      <c r="UF744" s="135"/>
      <c r="UG744" s="135"/>
    </row>
    <row r="745" spans="1:553" ht="30.75" customHeight="1">
      <c r="A745" s="356" t="s">
        <v>30</v>
      </c>
      <c r="B745" s="385">
        <v>5</v>
      </c>
      <c r="C745" s="1401" t="s">
        <v>995</v>
      </c>
      <c r="D745" s="1389"/>
      <c r="E745" s="1389"/>
      <c r="F745" s="1390"/>
      <c r="G745" s="386" t="s">
        <v>33</v>
      </c>
      <c r="H745" s="622"/>
      <c r="I745" s="626">
        <f>-(14.8*1.9)*2</f>
        <v>-56.24</v>
      </c>
      <c r="J745" s="369">
        <v>41700</v>
      </c>
      <c r="K745" s="371"/>
      <c r="L745" s="627">
        <f t="shared" si="114"/>
        <v>-2345208</v>
      </c>
      <c r="M745" s="549"/>
      <c r="N745" s="549"/>
      <c r="O745" s="366"/>
      <c r="P745" s="385"/>
      <c r="Q745" s="394"/>
      <c r="R745" s="1230"/>
      <c r="S745" s="308"/>
      <c r="T745" s="308"/>
      <c r="U745" s="308"/>
      <c r="V745" s="308"/>
      <c r="W745" s="308"/>
      <c r="X745" s="308"/>
      <c r="Y745" s="308"/>
      <c r="Z745" s="604"/>
      <c r="AA745" s="308"/>
      <c r="AB745" s="308"/>
      <c r="AC745" s="628"/>
      <c r="AD745" s="628"/>
      <c r="AE745" s="628"/>
      <c r="AF745" s="628"/>
      <c r="AG745" s="628"/>
      <c r="AH745" s="629"/>
      <c r="AI745" s="629"/>
      <c r="AJ745" s="629"/>
      <c r="AK745" s="629"/>
      <c r="AL745" s="135"/>
      <c r="AM745" s="135"/>
      <c r="AN745" s="135"/>
      <c r="AO745" s="135"/>
      <c r="AP745" s="135"/>
      <c r="AQ745" s="135"/>
      <c r="AR745" s="135"/>
      <c r="AS745" s="135"/>
      <c r="AT745" s="135"/>
      <c r="AU745" s="135"/>
      <c r="AV745" s="135"/>
      <c r="AW745" s="135"/>
      <c r="AX745" s="135"/>
      <c r="AY745" s="135"/>
      <c r="AZ745" s="135"/>
      <c r="BA745" s="135"/>
      <c r="BB745" s="135"/>
      <c r="BC745" s="135"/>
      <c r="BD745" s="135"/>
      <c r="BE745" s="135"/>
      <c r="BF745" s="135"/>
      <c r="BG745" s="135"/>
      <c r="BH745" s="135"/>
      <c r="BI745" s="135"/>
      <c r="BJ745" s="135"/>
      <c r="BK745" s="135"/>
      <c r="BL745" s="135"/>
      <c r="BM745" s="135"/>
      <c r="BN745" s="135"/>
      <c r="BO745" s="135"/>
      <c r="BP745" s="135"/>
      <c r="BQ745" s="135"/>
      <c r="BR745" s="135"/>
      <c r="BS745" s="135"/>
      <c r="BT745" s="135"/>
      <c r="BU745" s="135"/>
      <c r="BV745" s="135"/>
      <c r="BW745" s="135"/>
      <c r="BX745" s="135"/>
      <c r="BY745" s="135"/>
      <c r="BZ745" s="135"/>
      <c r="CA745" s="135"/>
      <c r="CB745" s="135"/>
      <c r="CC745" s="135"/>
      <c r="CD745" s="135"/>
      <c r="CE745" s="135"/>
      <c r="CF745" s="135"/>
      <c r="CG745" s="135"/>
      <c r="CH745" s="135"/>
      <c r="CI745" s="135"/>
      <c r="CJ745" s="135"/>
      <c r="CK745" s="135"/>
      <c r="CL745" s="135"/>
      <c r="CM745" s="135"/>
      <c r="CN745" s="135"/>
      <c r="CO745" s="135"/>
      <c r="CP745" s="135"/>
      <c r="CQ745" s="135"/>
      <c r="CR745" s="135"/>
      <c r="CS745" s="135"/>
      <c r="CT745" s="135"/>
      <c r="CU745" s="135"/>
      <c r="CV745" s="135"/>
      <c r="CW745" s="135"/>
      <c r="CX745" s="135"/>
      <c r="CY745" s="135"/>
      <c r="CZ745" s="135"/>
      <c r="DA745" s="135"/>
      <c r="DB745" s="135"/>
      <c r="DC745" s="135"/>
      <c r="DD745" s="135"/>
      <c r="DE745" s="135"/>
      <c r="DF745" s="135"/>
      <c r="DG745" s="135"/>
      <c r="DH745" s="135"/>
      <c r="DI745" s="135"/>
      <c r="DJ745" s="135"/>
      <c r="DK745" s="135"/>
      <c r="DL745" s="135"/>
      <c r="DM745" s="135"/>
      <c r="DN745" s="135"/>
      <c r="DO745" s="135"/>
      <c r="DP745" s="135"/>
      <c r="DQ745" s="135"/>
      <c r="DR745" s="135"/>
      <c r="DS745" s="135"/>
      <c r="DT745" s="135"/>
      <c r="DU745" s="135"/>
      <c r="DV745" s="135"/>
      <c r="DW745" s="135"/>
      <c r="DX745" s="135"/>
      <c r="DY745" s="135"/>
      <c r="DZ745" s="135"/>
      <c r="EA745" s="135"/>
      <c r="EB745" s="135"/>
      <c r="EC745" s="135"/>
      <c r="ED745" s="135"/>
      <c r="EE745" s="135"/>
      <c r="EF745" s="135"/>
      <c r="EG745" s="135"/>
      <c r="EH745" s="135"/>
      <c r="EI745" s="135"/>
      <c r="EJ745" s="135"/>
      <c r="EK745" s="135"/>
      <c r="EL745" s="135"/>
      <c r="EM745" s="135"/>
      <c r="EN745" s="135"/>
      <c r="EO745" s="135"/>
      <c r="EP745" s="135"/>
      <c r="EQ745" s="135"/>
      <c r="ER745" s="135"/>
      <c r="ES745" s="135"/>
      <c r="ET745" s="135"/>
      <c r="EU745" s="135"/>
      <c r="EV745" s="135"/>
      <c r="EW745" s="135"/>
      <c r="EX745" s="135"/>
      <c r="EY745" s="135"/>
      <c r="EZ745" s="135"/>
      <c r="FA745" s="135"/>
      <c r="FB745" s="135"/>
      <c r="FC745" s="135"/>
      <c r="FD745" s="135"/>
      <c r="FE745" s="135"/>
      <c r="FF745" s="135"/>
      <c r="FG745" s="135"/>
      <c r="FH745" s="135"/>
      <c r="FI745" s="135"/>
      <c r="FJ745" s="135"/>
      <c r="FK745" s="135"/>
      <c r="FL745" s="135"/>
      <c r="FM745" s="135"/>
      <c r="FN745" s="135"/>
      <c r="FO745" s="135"/>
      <c r="FP745" s="135"/>
      <c r="FQ745" s="135"/>
      <c r="FR745" s="135"/>
      <c r="FS745" s="135"/>
      <c r="FT745" s="135"/>
      <c r="FU745" s="135"/>
      <c r="FV745" s="135"/>
      <c r="FW745" s="135"/>
      <c r="FX745" s="135"/>
      <c r="FY745" s="135"/>
      <c r="FZ745" s="135"/>
      <c r="GA745" s="135"/>
      <c r="GB745" s="135"/>
      <c r="GC745" s="135"/>
      <c r="GD745" s="135"/>
      <c r="GE745" s="135"/>
      <c r="GF745" s="135"/>
      <c r="GG745" s="135"/>
      <c r="GH745" s="135"/>
      <c r="GI745" s="135"/>
      <c r="GJ745" s="135"/>
      <c r="GK745" s="135"/>
      <c r="GL745" s="135"/>
      <c r="GM745" s="135"/>
      <c r="GN745" s="135"/>
      <c r="GO745" s="135"/>
      <c r="GP745" s="135"/>
      <c r="GQ745" s="135"/>
      <c r="GR745" s="135"/>
      <c r="GS745" s="135"/>
      <c r="GT745" s="135"/>
      <c r="GU745" s="135"/>
      <c r="GV745" s="135"/>
      <c r="GW745" s="135"/>
      <c r="GX745" s="135"/>
      <c r="GY745" s="135"/>
      <c r="GZ745" s="135"/>
      <c r="HA745" s="135"/>
      <c r="HB745" s="135"/>
      <c r="HC745" s="135"/>
      <c r="HD745" s="135"/>
      <c r="HE745" s="135"/>
      <c r="HF745" s="135"/>
      <c r="HG745" s="135"/>
      <c r="HH745" s="135"/>
      <c r="HI745" s="135"/>
      <c r="HJ745" s="135"/>
      <c r="HK745" s="135"/>
      <c r="HL745" s="135"/>
      <c r="HM745" s="135"/>
      <c r="HN745" s="135"/>
      <c r="HO745" s="135"/>
      <c r="HP745" s="135"/>
      <c r="HQ745" s="135"/>
      <c r="HR745" s="135"/>
      <c r="HS745" s="135"/>
      <c r="HT745" s="135"/>
      <c r="HU745" s="135"/>
      <c r="HV745" s="135"/>
      <c r="HW745" s="135"/>
      <c r="HX745" s="135"/>
      <c r="HY745" s="135"/>
      <c r="HZ745" s="135"/>
      <c r="IA745" s="135"/>
      <c r="IB745" s="135"/>
      <c r="IC745" s="135"/>
      <c r="ID745" s="135"/>
      <c r="IE745" s="135"/>
      <c r="IF745" s="135"/>
      <c r="IG745" s="135"/>
      <c r="IH745" s="135"/>
      <c r="II745" s="135"/>
      <c r="IJ745" s="135"/>
      <c r="IK745" s="135"/>
      <c r="IL745" s="135"/>
      <c r="IM745" s="135"/>
      <c r="IN745" s="135"/>
      <c r="IO745" s="135"/>
      <c r="IP745" s="135"/>
      <c r="IQ745" s="135"/>
      <c r="IR745" s="135"/>
      <c r="IS745" s="135"/>
      <c r="IT745" s="135"/>
      <c r="IU745" s="135"/>
      <c r="IV745" s="135"/>
      <c r="IW745" s="135"/>
      <c r="IX745" s="135"/>
      <c r="IY745" s="135"/>
      <c r="IZ745" s="135"/>
      <c r="JA745" s="135"/>
      <c r="JB745" s="135"/>
      <c r="JC745" s="135"/>
      <c r="JD745" s="135"/>
      <c r="JE745" s="135"/>
      <c r="JF745" s="135"/>
      <c r="JG745" s="135"/>
      <c r="JH745" s="135"/>
      <c r="JI745" s="135"/>
      <c r="JJ745" s="135"/>
      <c r="JK745" s="135"/>
      <c r="JL745" s="135"/>
      <c r="JM745" s="135"/>
      <c r="JN745" s="135"/>
      <c r="JO745" s="135"/>
      <c r="JP745" s="135"/>
      <c r="JQ745" s="135"/>
      <c r="JR745" s="135"/>
      <c r="JS745" s="135"/>
      <c r="JT745" s="135"/>
      <c r="JU745" s="135"/>
      <c r="JV745" s="135"/>
      <c r="JW745" s="135"/>
      <c r="JX745" s="135"/>
      <c r="JY745" s="135"/>
      <c r="JZ745" s="135"/>
      <c r="KA745" s="135"/>
      <c r="KB745" s="135"/>
      <c r="KC745" s="135"/>
      <c r="KD745" s="135"/>
      <c r="KE745" s="135"/>
      <c r="KF745" s="135"/>
      <c r="KG745" s="135"/>
      <c r="KH745" s="135"/>
      <c r="KI745" s="135"/>
      <c r="KJ745" s="135"/>
      <c r="KK745" s="135"/>
      <c r="KL745" s="135"/>
      <c r="KM745" s="135"/>
      <c r="KN745" s="135"/>
      <c r="KO745" s="135"/>
      <c r="KP745" s="135"/>
      <c r="KQ745" s="135"/>
      <c r="KR745" s="135"/>
      <c r="KS745" s="135"/>
      <c r="KT745" s="135"/>
      <c r="KU745" s="135"/>
      <c r="KV745" s="135"/>
      <c r="KW745" s="135"/>
      <c r="KX745" s="135"/>
      <c r="KY745" s="135"/>
      <c r="KZ745" s="135"/>
      <c r="LA745" s="135"/>
      <c r="LB745" s="135"/>
      <c r="LC745" s="135"/>
      <c r="LD745" s="135"/>
      <c r="LE745" s="135"/>
      <c r="LF745" s="135"/>
      <c r="LG745" s="135"/>
      <c r="LH745" s="135"/>
      <c r="LI745" s="135"/>
      <c r="LJ745" s="135"/>
      <c r="LK745" s="135"/>
      <c r="LL745" s="135"/>
      <c r="LM745" s="135"/>
      <c r="LN745" s="135"/>
      <c r="LO745" s="135"/>
      <c r="LP745" s="135"/>
      <c r="LQ745" s="135"/>
      <c r="LR745" s="135"/>
      <c r="LS745" s="135"/>
      <c r="LT745" s="135"/>
      <c r="LU745" s="135"/>
      <c r="LV745" s="135"/>
      <c r="LW745" s="135"/>
      <c r="LX745" s="135"/>
      <c r="LY745" s="135"/>
      <c r="LZ745" s="135"/>
      <c r="MA745" s="135"/>
      <c r="MB745" s="135"/>
      <c r="MC745" s="135"/>
      <c r="MD745" s="135"/>
      <c r="ME745" s="135"/>
      <c r="MF745" s="135"/>
      <c r="MG745" s="135"/>
      <c r="MH745" s="135"/>
      <c r="MI745" s="135"/>
      <c r="MJ745" s="135"/>
      <c r="MK745" s="135"/>
      <c r="ML745" s="135"/>
      <c r="MM745" s="135"/>
      <c r="MN745" s="135"/>
      <c r="MO745" s="135"/>
      <c r="MP745" s="135"/>
      <c r="MQ745" s="135"/>
      <c r="MR745" s="135"/>
      <c r="MS745" s="135"/>
      <c r="MT745" s="135"/>
      <c r="MU745" s="135"/>
      <c r="MV745" s="135"/>
      <c r="MW745" s="135"/>
      <c r="MX745" s="135"/>
      <c r="MY745" s="135"/>
      <c r="MZ745" s="135"/>
      <c r="NA745" s="135"/>
      <c r="NB745" s="135"/>
      <c r="NC745" s="135"/>
      <c r="ND745" s="135"/>
      <c r="NE745" s="135"/>
      <c r="NF745" s="135"/>
      <c r="NG745" s="135"/>
      <c r="NH745" s="135"/>
      <c r="NI745" s="135"/>
      <c r="NJ745" s="135"/>
      <c r="NK745" s="135"/>
      <c r="NL745" s="135"/>
      <c r="NM745" s="135"/>
      <c r="NN745" s="135"/>
      <c r="NO745" s="135"/>
      <c r="NP745" s="135"/>
      <c r="NQ745" s="135"/>
      <c r="NR745" s="135"/>
      <c r="NS745" s="135"/>
      <c r="NT745" s="135"/>
      <c r="NU745" s="135"/>
      <c r="NV745" s="135"/>
      <c r="NW745" s="135"/>
      <c r="NX745" s="135"/>
      <c r="NY745" s="135"/>
      <c r="NZ745" s="135"/>
      <c r="OA745" s="135"/>
      <c r="OB745" s="135"/>
      <c r="OC745" s="135"/>
      <c r="OD745" s="135"/>
      <c r="OE745" s="135"/>
      <c r="OF745" s="135"/>
      <c r="OG745" s="135"/>
      <c r="OH745" s="135"/>
      <c r="OI745" s="135"/>
      <c r="OJ745" s="135"/>
      <c r="OK745" s="135"/>
      <c r="OL745" s="135"/>
      <c r="OM745" s="135"/>
      <c r="ON745" s="135"/>
      <c r="OO745" s="135"/>
      <c r="OP745" s="135"/>
      <c r="OQ745" s="135"/>
      <c r="OR745" s="135"/>
      <c r="OS745" s="135"/>
      <c r="OT745" s="135"/>
      <c r="OU745" s="135"/>
      <c r="OV745" s="135"/>
      <c r="OW745" s="135"/>
      <c r="OX745" s="135"/>
      <c r="OY745" s="135"/>
      <c r="OZ745" s="135"/>
      <c r="PA745" s="135"/>
      <c r="PB745" s="135"/>
      <c r="PC745" s="135"/>
      <c r="PD745" s="135"/>
      <c r="PE745" s="135"/>
      <c r="PF745" s="135"/>
      <c r="PG745" s="135"/>
      <c r="PH745" s="135"/>
      <c r="PI745" s="135"/>
      <c r="PJ745" s="135"/>
      <c r="PK745" s="135"/>
      <c r="PL745" s="135"/>
      <c r="PM745" s="135"/>
      <c r="PN745" s="135"/>
      <c r="PO745" s="135"/>
      <c r="PP745" s="135"/>
      <c r="PQ745" s="135"/>
      <c r="PR745" s="135"/>
      <c r="PS745" s="135"/>
      <c r="PT745" s="135"/>
      <c r="PU745" s="135"/>
      <c r="PV745" s="135"/>
      <c r="PW745" s="135"/>
      <c r="PX745" s="135"/>
      <c r="PY745" s="135"/>
      <c r="PZ745" s="135"/>
      <c r="QA745" s="135"/>
      <c r="QB745" s="135"/>
      <c r="QC745" s="135"/>
      <c r="QD745" s="135"/>
      <c r="QE745" s="135"/>
      <c r="QF745" s="135"/>
      <c r="QG745" s="135"/>
      <c r="QH745" s="135"/>
      <c r="QI745" s="135"/>
      <c r="QJ745" s="135"/>
      <c r="QK745" s="135"/>
      <c r="QL745" s="135"/>
      <c r="QM745" s="135"/>
      <c r="QN745" s="135"/>
      <c r="QO745" s="135"/>
      <c r="QP745" s="135"/>
      <c r="QQ745" s="135"/>
      <c r="QR745" s="135"/>
      <c r="QS745" s="135"/>
      <c r="QT745" s="135"/>
      <c r="QU745" s="135"/>
      <c r="QV745" s="135"/>
      <c r="QW745" s="135"/>
      <c r="QX745" s="135"/>
      <c r="QY745" s="135"/>
      <c r="QZ745" s="135"/>
      <c r="RA745" s="135"/>
      <c r="RB745" s="135"/>
      <c r="RC745" s="135"/>
      <c r="RD745" s="135"/>
      <c r="RE745" s="135"/>
      <c r="RF745" s="135"/>
      <c r="RG745" s="135"/>
      <c r="RH745" s="135"/>
      <c r="RI745" s="135"/>
      <c r="RJ745" s="135"/>
      <c r="RK745" s="135"/>
      <c r="RL745" s="135"/>
      <c r="RM745" s="135"/>
      <c r="RN745" s="135"/>
      <c r="RO745" s="135"/>
      <c r="RP745" s="135"/>
      <c r="RQ745" s="135"/>
      <c r="RR745" s="135"/>
      <c r="RS745" s="135"/>
      <c r="RT745" s="135"/>
      <c r="RU745" s="135"/>
      <c r="RV745" s="135"/>
      <c r="RW745" s="135"/>
      <c r="RX745" s="135"/>
      <c r="RY745" s="135"/>
      <c r="RZ745" s="135"/>
      <c r="SA745" s="135"/>
      <c r="SB745" s="135"/>
      <c r="SC745" s="135"/>
      <c r="SD745" s="135"/>
      <c r="SE745" s="135"/>
      <c r="SF745" s="135"/>
      <c r="SG745" s="135"/>
      <c r="SH745" s="135"/>
      <c r="SI745" s="135"/>
      <c r="SJ745" s="135"/>
      <c r="SK745" s="135"/>
      <c r="SL745" s="135"/>
      <c r="SM745" s="135"/>
      <c r="SN745" s="135"/>
      <c r="SO745" s="135"/>
      <c r="SP745" s="135"/>
      <c r="SQ745" s="135"/>
      <c r="SR745" s="135"/>
      <c r="SS745" s="135"/>
      <c r="ST745" s="135"/>
      <c r="SU745" s="135"/>
      <c r="SV745" s="135"/>
      <c r="SW745" s="135"/>
      <c r="SX745" s="135"/>
      <c r="SY745" s="135"/>
      <c r="SZ745" s="135"/>
      <c r="TA745" s="135"/>
      <c r="TB745" s="135"/>
      <c r="TC745" s="135"/>
      <c r="TD745" s="135"/>
      <c r="TE745" s="135"/>
      <c r="TF745" s="135"/>
      <c r="TG745" s="135"/>
      <c r="TH745" s="135"/>
      <c r="TI745" s="135"/>
      <c r="TJ745" s="135"/>
      <c r="TK745" s="135"/>
      <c r="TL745" s="135"/>
      <c r="TM745" s="135"/>
      <c r="TN745" s="135"/>
      <c r="TO745" s="135"/>
      <c r="TP745" s="135"/>
      <c r="TQ745" s="135"/>
      <c r="TR745" s="135"/>
      <c r="TS745" s="135"/>
      <c r="TT745" s="135"/>
      <c r="TU745" s="135"/>
      <c r="TV745" s="135"/>
      <c r="TW745" s="135"/>
      <c r="TX745" s="135"/>
      <c r="TY745" s="135"/>
      <c r="TZ745" s="135"/>
      <c r="UA745" s="135"/>
      <c r="UB745" s="135"/>
      <c r="UC745" s="135"/>
      <c r="UD745" s="135"/>
      <c r="UE745" s="135"/>
      <c r="UF745" s="135"/>
      <c r="UG745" s="135"/>
    </row>
    <row r="746" spans="1:553" ht="30.75" customHeight="1">
      <c r="A746" s="356"/>
      <c r="B746" s="385">
        <v>219</v>
      </c>
      <c r="C746" s="1401" t="s">
        <v>970</v>
      </c>
      <c r="D746" s="1389"/>
      <c r="E746" s="1389"/>
      <c r="F746" s="1390"/>
      <c r="G746" s="386" t="s">
        <v>33</v>
      </c>
      <c r="H746" s="622"/>
      <c r="I746" s="626">
        <f>2.4*1.1</f>
        <v>2.64</v>
      </c>
      <c r="J746" s="369">
        <v>267200</v>
      </c>
      <c r="K746" s="371"/>
      <c r="L746" s="627">
        <f t="shared" si="114"/>
        <v>705408</v>
      </c>
      <c r="M746" s="549"/>
      <c r="N746" s="549"/>
      <c r="O746" s="366"/>
      <c r="P746" s="385"/>
      <c r="Q746" s="394"/>
      <c r="R746" s="1230"/>
      <c r="S746" s="308"/>
      <c r="T746" s="308"/>
      <c r="U746" s="308"/>
      <c r="V746" s="308"/>
      <c r="W746" s="308"/>
      <c r="X746" s="308"/>
      <c r="Y746" s="308"/>
      <c r="Z746" s="604"/>
      <c r="AA746" s="308"/>
      <c r="AB746" s="308"/>
      <c r="AC746" s="628"/>
      <c r="AD746" s="628"/>
      <c r="AE746" s="628"/>
      <c r="AF746" s="628"/>
      <c r="AG746" s="628"/>
      <c r="AH746" s="629"/>
      <c r="AI746" s="629"/>
      <c r="AJ746" s="629"/>
      <c r="AK746" s="629"/>
      <c r="AL746" s="135"/>
      <c r="AM746" s="135"/>
      <c r="AN746" s="135"/>
      <c r="AO746" s="135"/>
      <c r="AP746" s="135"/>
      <c r="AQ746" s="135"/>
      <c r="AR746" s="135"/>
      <c r="AS746" s="135"/>
      <c r="AT746" s="135"/>
      <c r="AU746" s="135"/>
      <c r="AV746" s="135"/>
      <c r="AW746" s="135"/>
      <c r="AX746" s="135"/>
      <c r="AY746" s="135"/>
      <c r="AZ746" s="135"/>
      <c r="BA746" s="135"/>
      <c r="BB746" s="135"/>
      <c r="BC746" s="135"/>
      <c r="BD746" s="135"/>
      <c r="BE746" s="135"/>
      <c r="BF746" s="135"/>
      <c r="BG746" s="135"/>
      <c r="BH746" s="135"/>
      <c r="BI746" s="135"/>
      <c r="BJ746" s="135"/>
      <c r="BK746" s="135"/>
      <c r="BL746" s="135"/>
      <c r="BM746" s="135"/>
      <c r="BN746" s="135"/>
      <c r="BO746" s="135"/>
      <c r="BP746" s="135"/>
      <c r="BQ746" s="135"/>
      <c r="BR746" s="135"/>
      <c r="BS746" s="135"/>
      <c r="BT746" s="135"/>
      <c r="BU746" s="135"/>
      <c r="BV746" s="135"/>
      <c r="BW746" s="135"/>
      <c r="BX746" s="135"/>
      <c r="BY746" s="135"/>
      <c r="BZ746" s="135"/>
      <c r="CA746" s="135"/>
      <c r="CB746" s="135"/>
      <c r="CC746" s="135"/>
      <c r="CD746" s="135"/>
      <c r="CE746" s="135"/>
      <c r="CF746" s="135"/>
      <c r="CG746" s="135"/>
      <c r="CH746" s="135"/>
      <c r="CI746" s="135"/>
      <c r="CJ746" s="135"/>
      <c r="CK746" s="135"/>
      <c r="CL746" s="135"/>
      <c r="CM746" s="135"/>
      <c r="CN746" s="135"/>
      <c r="CO746" s="135"/>
      <c r="CP746" s="135"/>
      <c r="CQ746" s="135"/>
      <c r="CR746" s="135"/>
      <c r="CS746" s="135"/>
      <c r="CT746" s="135"/>
      <c r="CU746" s="135"/>
      <c r="CV746" s="135"/>
      <c r="CW746" s="135"/>
      <c r="CX746" s="135"/>
      <c r="CY746" s="135"/>
      <c r="CZ746" s="135"/>
      <c r="DA746" s="135"/>
      <c r="DB746" s="135"/>
      <c r="DC746" s="135"/>
      <c r="DD746" s="135"/>
      <c r="DE746" s="135"/>
      <c r="DF746" s="135"/>
      <c r="DG746" s="135"/>
      <c r="DH746" s="135"/>
      <c r="DI746" s="135"/>
      <c r="DJ746" s="135"/>
      <c r="DK746" s="135"/>
      <c r="DL746" s="135"/>
      <c r="DM746" s="135"/>
      <c r="DN746" s="135"/>
      <c r="DO746" s="135"/>
      <c r="DP746" s="135"/>
      <c r="DQ746" s="135"/>
      <c r="DR746" s="135"/>
      <c r="DS746" s="135"/>
      <c r="DT746" s="135"/>
      <c r="DU746" s="135"/>
      <c r="DV746" s="135"/>
      <c r="DW746" s="135"/>
      <c r="DX746" s="135"/>
      <c r="DY746" s="135"/>
      <c r="DZ746" s="135"/>
      <c r="EA746" s="135"/>
      <c r="EB746" s="135"/>
      <c r="EC746" s="135"/>
      <c r="ED746" s="135"/>
      <c r="EE746" s="135"/>
      <c r="EF746" s="135"/>
      <c r="EG746" s="135"/>
      <c r="EH746" s="135"/>
      <c r="EI746" s="135"/>
      <c r="EJ746" s="135"/>
      <c r="EK746" s="135"/>
      <c r="EL746" s="135"/>
      <c r="EM746" s="135"/>
      <c r="EN746" s="135"/>
      <c r="EO746" s="135"/>
      <c r="EP746" s="135"/>
      <c r="EQ746" s="135"/>
      <c r="ER746" s="135"/>
      <c r="ES746" s="135"/>
      <c r="ET746" s="135"/>
      <c r="EU746" s="135"/>
      <c r="EV746" s="135"/>
      <c r="EW746" s="135"/>
      <c r="EX746" s="135"/>
      <c r="EY746" s="135"/>
      <c r="EZ746" s="135"/>
      <c r="FA746" s="135"/>
      <c r="FB746" s="135"/>
      <c r="FC746" s="135"/>
      <c r="FD746" s="135"/>
      <c r="FE746" s="135"/>
      <c r="FF746" s="135"/>
      <c r="FG746" s="135"/>
      <c r="FH746" s="135"/>
      <c r="FI746" s="135"/>
      <c r="FJ746" s="135"/>
      <c r="FK746" s="135"/>
      <c r="FL746" s="135"/>
      <c r="FM746" s="135"/>
      <c r="FN746" s="135"/>
      <c r="FO746" s="135"/>
      <c r="FP746" s="135"/>
      <c r="FQ746" s="135"/>
      <c r="FR746" s="135"/>
      <c r="FS746" s="135"/>
      <c r="FT746" s="135"/>
      <c r="FU746" s="135"/>
      <c r="FV746" s="135"/>
      <c r="FW746" s="135"/>
      <c r="FX746" s="135"/>
      <c r="FY746" s="135"/>
      <c r="FZ746" s="135"/>
      <c r="GA746" s="135"/>
      <c r="GB746" s="135"/>
      <c r="GC746" s="135"/>
      <c r="GD746" s="135"/>
      <c r="GE746" s="135"/>
      <c r="GF746" s="135"/>
      <c r="GG746" s="135"/>
      <c r="GH746" s="135"/>
      <c r="GI746" s="135"/>
      <c r="GJ746" s="135"/>
      <c r="GK746" s="135"/>
      <c r="GL746" s="135"/>
      <c r="GM746" s="135"/>
      <c r="GN746" s="135"/>
      <c r="GO746" s="135"/>
      <c r="GP746" s="135"/>
      <c r="GQ746" s="135"/>
      <c r="GR746" s="135"/>
      <c r="GS746" s="135"/>
      <c r="GT746" s="135"/>
      <c r="GU746" s="135"/>
      <c r="GV746" s="135"/>
      <c r="GW746" s="135"/>
      <c r="GX746" s="135"/>
      <c r="GY746" s="135"/>
      <c r="GZ746" s="135"/>
      <c r="HA746" s="135"/>
      <c r="HB746" s="135"/>
      <c r="HC746" s="135"/>
      <c r="HD746" s="135"/>
      <c r="HE746" s="135"/>
      <c r="HF746" s="135"/>
      <c r="HG746" s="135"/>
      <c r="HH746" s="135"/>
      <c r="HI746" s="135"/>
      <c r="HJ746" s="135"/>
      <c r="HK746" s="135"/>
      <c r="HL746" s="135"/>
      <c r="HM746" s="135"/>
      <c r="HN746" s="135"/>
      <c r="HO746" s="135"/>
      <c r="HP746" s="135"/>
      <c r="HQ746" s="135"/>
      <c r="HR746" s="135"/>
      <c r="HS746" s="135"/>
      <c r="HT746" s="135"/>
      <c r="HU746" s="135"/>
      <c r="HV746" s="135"/>
      <c r="HW746" s="135"/>
      <c r="HX746" s="135"/>
      <c r="HY746" s="135"/>
      <c r="HZ746" s="135"/>
      <c r="IA746" s="135"/>
      <c r="IB746" s="135"/>
      <c r="IC746" s="135"/>
      <c r="ID746" s="135"/>
      <c r="IE746" s="135"/>
      <c r="IF746" s="135"/>
      <c r="IG746" s="135"/>
      <c r="IH746" s="135"/>
      <c r="II746" s="135"/>
      <c r="IJ746" s="135"/>
      <c r="IK746" s="135"/>
      <c r="IL746" s="135"/>
      <c r="IM746" s="135"/>
      <c r="IN746" s="135"/>
      <c r="IO746" s="135"/>
      <c r="IP746" s="135"/>
      <c r="IQ746" s="135"/>
      <c r="IR746" s="135"/>
      <c r="IS746" s="135"/>
      <c r="IT746" s="135"/>
      <c r="IU746" s="135"/>
      <c r="IV746" s="135"/>
      <c r="IW746" s="135"/>
      <c r="IX746" s="135"/>
      <c r="IY746" s="135"/>
      <c r="IZ746" s="135"/>
      <c r="JA746" s="135"/>
      <c r="JB746" s="135"/>
      <c r="JC746" s="135"/>
      <c r="JD746" s="135"/>
      <c r="JE746" s="135"/>
      <c r="JF746" s="135"/>
      <c r="JG746" s="135"/>
      <c r="JH746" s="135"/>
      <c r="JI746" s="135"/>
      <c r="JJ746" s="135"/>
      <c r="JK746" s="135"/>
      <c r="JL746" s="135"/>
      <c r="JM746" s="135"/>
      <c r="JN746" s="135"/>
      <c r="JO746" s="135"/>
      <c r="JP746" s="135"/>
      <c r="JQ746" s="135"/>
      <c r="JR746" s="135"/>
      <c r="JS746" s="135"/>
      <c r="JT746" s="135"/>
      <c r="JU746" s="135"/>
      <c r="JV746" s="135"/>
      <c r="JW746" s="135"/>
      <c r="JX746" s="135"/>
      <c r="JY746" s="135"/>
      <c r="JZ746" s="135"/>
      <c r="KA746" s="135"/>
      <c r="KB746" s="135"/>
      <c r="KC746" s="135"/>
      <c r="KD746" s="135"/>
      <c r="KE746" s="135"/>
      <c r="KF746" s="135"/>
      <c r="KG746" s="135"/>
      <c r="KH746" s="135"/>
      <c r="KI746" s="135"/>
      <c r="KJ746" s="135"/>
      <c r="KK746" s="135"/>
      <c r="KL746" s="135"/>
      <c r="KM746" s="135"/>
      <c r="KN746" s="135"/>
      <c r="KO746" s="135"/>
      <c r="KP746" s="135"/>
      <c r="KQ746" s="135"/>
      <c r="KR746" s="135"/>
      <c r="KS746" s="135"/>
      <c r="KT746" s="135"/>
      <c r="KU746" s="135"/>
      <c r="KV746" s="135"/>
      <c r="KW746" s="135"/>
      <c r="KX746" s="135"/>
      <c r="KY746" s="135"/>
      <c r="KZ746" s="135"/>
      <c r="LA746" s="135"/>
      <c r="LB746" s="135"/>
      <c r="LC746" s="135"/>
      <c r="LD746" s="135"/>
      <c r="LE746" s="135"/>
      <c r="LF746" s="135"/>
      <c r="LG746" s="135"/>
      <c r="LH746" s="135"/>
      <c r="LI746" s="135"/>
      <c r="LJ746" s="135"/>
      <c r="LK746" s="135"/>
      <c r="LL746" s="135"/>
      <c r="LM746" s="135"/>
      <c r="LN746" s="135"/>
      <c r="LO746" s="135"/>
      <c r="LP746" s="135"/>
      <c r="LQ746" s="135"/>
      <c r="LR746" s="135"/>
      <c r="LS746" s="135"/>
      <c r="LT746" s="135"/>
      <c r="LU746" s="135"/>
      <c r="LV746" s="135"/>
      <c r="LW746" s="135"/>
      <c r="LX746" s="135"/>
      <c r="LY746" s="135"/>
      <c r="LZ746" s="135"/>
      <c r="MA746" s="135"/>
      <c r="MB746" s="135"/>
      <c r="MC746" s="135"/>
      <c r="MD746" s="135"/>
      <c r="ME746" s="135"/>
      <c r="MF746" s="135"/>
      <c r="MG746" s="135"/>
      <c r="MH746" s="135"/>
      <c r="MI746" s="135"/>
      <c r="MJ746" s="135"/>
      <c r="MK746" s="135"/>
      <c r="ML746" s="135"/>
      <c r="MM746" s="135"/>
      <c r="MN746" s="135"/>
      <c r="MO746" s="135"/>
      <c r="MP746" s="135"/>
      <c r="MQ746" s="135"/>
      <c r="MR746" s="135"/>
      <c r="MS746" s="135"/>
      <c r="MT746" s="135"/>
      <c r="MU746" s="135"/>
      <c r="MV746" s="135"/>
      <c r="MW746" s="135"/>
      <c r="MX746" s="135"/>
      <c r="MY746" s="135"/>
      <c r="MZ746" s="135"/>
      <c r="NA746" s="135"/>
      <c r="NB746" s="135"/>
      <c r="NC746" s="135"/>
      <c r="ND746" s="135"/>
      <c r="NE746" s="135"/>
      <c r="NF746" s="135"/>
      <c r="NG746" s="135"/>
      <c r="NH746" s="135"/>
      <c r="NI746" s="135"/>
      <c r="NJ746" s="135"/>
      <c r="NK746" s="135"/>
      <c r="NL746" s="135"/>
      <c r="NM746" s="135"/>
      <c r="NN746" s="135"/>
      <c r="NO746" s="135"/>
      <c r="NP746" s="135"/>
      <c r="NQ746" s="135"/>
      <c r="NR746" s="135"/>
      <c r="NS746" s="135"/>
      <c r="NT746" s="135"/>
      <c r="NU746" s="135"/>
      <c r="NV746" s="135"/>
      <c r="NW746" s="135"/>
      <c r="NX746" s="135"/>
      <c r="NY746" s="135"/>
      <c r="NZ746" s="135"/>
      <c r="OA746" s="135"/>
      <c r="OB746" s="135"/>
      <c r="OC746" s="135"/>
      <c r="OD746" s="135"/>
      <c r="OE746" s="135"/>
      <c r="OF746" s="135"/>
      <c r="OG746" s="135"/>
      <c r="OH746" s="135"/>
      <c r="OI746" s="135"/>
      <c r="OJ746" s="135"/>
      <c r="OK746" s="135"/>
      <c r="OL746" s="135"/>
      <c r="OM746" s="135"/>
      <c r="ON746" s="135"/>
      <c r="OO746" s="135"/>
      <c r="OP746" s="135"/>
      <c r="OQ746" s="135"/>
      <c r="OR746" s="135"/>
      <c r="OS746" s="135"/>
      <c r="OT746" s="135"/>
      <c r="OU746" s="135"/>
      <c r="OV746" s="135"/>
      <c r="OW746" s="135"/>
      <c r="OX746" s="135"/>
      <c r="OY746" s="135"/>
      <c r="OZ746" s="135"/>
      <c r="PA746" s="135"/>
      <c r="PB746" s="135"/>
      <c r="PC746" s="135"/>
      <c r="PD746" s="135"/>
      <c r="PE746" s="135"/>
      <c r="PF746" s="135"/>
      <c r="PG746" s="135"/>
      <c r="PH746" s="135"/>
      <c r="PI746" s="135"/>
      <c r="PJ746" s="135"/>
      <c r="PK746" s="135"/>
      <c r="PL746" s="135"/>
      <c r="PM746" s="135"/>
      <c r="PN746" s="135"/>
      <c r="PO746" s="135"/>
      <c r="PP746" s="135"/>
      <c r="PQ746" s="135"/>
      <c r="PR746" s="135"/>
      <c r="PS746" s="135"/>
      <c r="PT746" s="135"/>
      <c r="PU746" s="135"/>
      <c r="PV746" s="135"/>
      <c r="PW746" s="135"/>
      <c r="PX746" s="135"/>
      <c r="PY746" s="135"/>
      <c r="PZ746" s="135"/>
      <c r="QA746" s="135"/>
      <c r="QB746" s="135"/>
      <c r="QC746" s="135"/>
      <c r="QD746" s="135"/>
      <c r="QE746" s="135"/>
      <c r="QF746" s="135"/>
      <c r="QG746" s="135"/>
      <c r="QH746" s="135"/>
      <c r="QI746" s="135"/>
      <c r="QJ746" s="135"/>
      <c r="QK746" s="135"/>
      <c r="QL746" s="135"/>
      <c r="QM746" s="135"/>
      <c r="QN746" s="135"/>
      <c r="QO746" s="135"/>
      <c r="QP746" s="135"/>
      <c r="QQ746" s="135"/>
      <c r="QR746" s="135"/>
      <c r="QS746" s="135"/>
      <c r="QT746" s="135"/>
      <c r="QU746" s="135"/>
      <c r="QV746" s="135"/>
      <c r="QW746" s="135"/>
      <c r="QX746" s="135"/>
      <c r="QY746" s="135"/>
      <c r="QZ746" s="135"/>
      <c r="RA746" s="135"/>
      <c r="RB746" s="135"/>
      <c r="RC746" s="135"/>
      <c r="RD746" s="135"/>
      <c r="RE746" s="135"/>
      <c r="RF746" s="135"/>
      <c r="RG746" s="135"/>
      <c r="RH746" s="135"/>
      <c r="RI746" s="135"/>
      <c r="RJ746" s="135"/>
      <c r="RK746" s="135"/>
      <c r="RL746" s="135"/>
      <c r="RM746" s="135"/>
      <c r="RN746" s="135"/>
      <c r="RO746" s="135"/>
      <c r="RP746" s="135"/>
      <c r="RQ746" s="135"/>
      <c r="RR746" s="135"/>
      <c r="RS746" s="135"/>
      <c r="RT746" s="135"/>
      <c r="RU746" s="135"/>
      <c r="RV746" s="135"/>
      <c r="RW746" s="135"/>
      <c r="RX746" s="135"/>
      <c r="RY746" s="135"/>
      <c r="RZ746" s="135"/>
      <c r="SA746" s="135"/>
      <c r="SB746" s="135"/>
      <c r="SC746" s="135"/>
      <c r="SD746" s="135"/>
      <c r="SE746" s="135"/>
      <c r="SF746" s="135"/>
      <c r="SG746" s="135"/>
      <c r="SH746" s="135"/>
      <c r="SI746" s="135"/>
      <c r="SJ746" s="135"/>
      <c r="SK746" s="135"/>
      <c r="SL746" s="135"/>
      <c r="SM746" s="135"/>
      <c r="SN746" s="135"/>
      <c r="SO746" s="135"/>
      <c r="SP746" s="135"/>
      <c r="SQ746" s="135"/>
      <c r="SR746" s="135"/>
      <c r="SS746" s="135"/>
      <c r="ST746" s="135"/>
      <c r="SU746" s="135"/>
      <c r="SV746" s="135"/>
      <c r="SW746" s="135"/>
      <c r="SX746" s="135"/>
      <c r="SY746" s="135"/>
      <c r="SZ746" s="135"/>
      <c r="TA746" s="135"/>
      <c r="TB746" s="135"/>
      <c r="TC746" s="135"/>
      <c r="TD746" s="135"/>
      <c r="TE746" s="135"/>
      <c r="TF746" s="135"/>
      <c r="TG746" s="135"/>
      <c r="TH746" s="135"/>
      <c r="TI746" s="135"/>
      <c r="TJ746" s="135"/>
      <c r="TK746" s="135"/>
      <c r="TL746" s="135"/>
      <c r="TM746" s="135"/>
      <c r="TN746" s="135"/>
      <c r="TO746" s="135"/>
      <c r="TP746" s="135"/>
      <c r="TQ746" s="135"/>
      <c r="TR746" s="135"/>
      <c r="TS746" s="135"/>
      <c r="TT746" s="135"/>
      <c r="TU746" s="135"/>
      <c r="TV746" s="135"/>
      <c r="TW746" s="135"/>
      <c r="TX746" s="135"/>
      <c r="TY746" s="135"/>
      <c r="TZ746" s="135"/>
      <c r="UA746" s="135"/>
      <c r="UB746" s="135"/>
      <c r="UC746" s="135"/>
      <c r="UD746" s="135"/>
      <c r="UE746" s="135"/>
      <c r="UF746" s="135"/>
      <c r="UG746" s="135"/>
    </row>
    <row r="747" spans="1:553" ht="30.75" customHeight="1">
      <c r="A747" s="356"/>
      <c r="B747" s="385">
        <v>52</v>
      </c>
      <c r="C747" s="1401" t="s">
        <v>969</v>
      </c>
      <c r="D747" s="1389"/>
      <c r="E747" s="1389"/>
      <c r="F747" s="1390"/>
      <c r="G747" s="386" t="s">
        <v>34</v>
      </c>
      <c r="H747" s="622"/>
      <c r="I747" s="626">
        <f>2.4*1.1*0.11</f>
        <v>0.29039999999999999</v>
      </c>
      <c r="J747" s="369">
        <v>1913917</v>
      </c>
      <c r="K747" s="371"/>
      <c r="L747" s="627">
        <f t="shared" si="114"/>
        <v>555801.49679999996</v>
      </c>
      <c r="M747" s="549"/>
      <c r="N747" s="549"/>
      <c r="O747" s="366"/>
      <c r="P747" s="385"/>
      <c r="Q747" s="394"/>
      <c r="R747" s="1230"/>
      <c r="S747" s="308"/>
      <c r="T747" s="308"/>
      <c r="U747" s="308"/>
      <c r="V747" s="308"/>
      <c r="W747" s="308"/>
      <c r="X747" s="308"/>
      <c r="Y747" s="308"/>
      <c r="Z747" s="604"/>
      <c r="AA747" s="308"/>
      <c r="AB747" s="308"/>
      <c r="AC747" s="628"/>
      <c r="AD747" s="628"/>
      <c r="AE747" s="628"/>
      <c r="AF747" s="628"/>
      <c r="AG747" s="628"/>
      <c r="AH747" s="629"/>
      <c r="AI747" s="629"/>
      <c r="AJ747" s="629"/>
      <c r="AK747" s="629"/>
      <c r="AL747" s="135"/>
      <c r="AM747" s="135"/>
      <c r="AN747" s="135"/>
      <c r="AO747" s="135"/>
      <c r="AP747" s="135"/>
      <c r="AQ747" s="135"/>
      <c r="AR747" s="135"/>
      <c r="AS747" s="135"/>
      <c r="AT747" s="135"/>
      <c r="AU747" s="135"/>
      <c r="AV747" s="135"/>
      <c r="AW747" s="135"/>
      <c r="AX747" s="135"/>
      <c r="AY747" s="135"/>
      <c r="AZ747" s="135"/>
      <c r="BA747" s="135"/>
      <c r="BB747" s="135"/>
      <c r="BC747" s="135"/>
      <c r="BD747" s="135"/>
      <c r="BE747" s="135"/>
      <c r="BF747" s="135"/>
      <c r="BG747" s="135"/>
      <c r="BH747" s="135"/>
      <c r="BI747" s="135"/>
      <c r="BJ747" s="135"/>
      <c r="BK747" s="135"/>
      <c r="BL747" s="135"/>
      <c r="BM747" s="135"/>
      <c r="BN747" s="135"/>
      <c r="BO747" s="135"/>
      <c r="BP747" s="135"/>
      <c r="BQ747" s="135"/>
      <c r="BR747" s="135"/>
      <c r="BS747" s="135"/>
      <c r="BT747" s="135"/>
      <c r="BU747" s="135"/>
      <c r="BV747" s="135"/>
      <c r="BW747" s="135"/>
      <c r="BX747" s="135"/>
      <c r="BY747" s="135"/>
      <c r="BZ747" s="135"/>
      <c r="CA747" s="135"/>
      <c r="CB747" s="135"/>
      <c r="CC747" s="135"/>
      <c r="CD747" s="135"/>
      <c r="CE747" s="135"/>
      <c r="CF747" s="135"/>
      <c r="CG747" s="135"/>
      <c r="CH747" s="135"/>
      <c r="CI747" s="135"/>
      <c r="CJ747" s="135"/>
      <c r="CK747" s="135"/>
      <c r="CL747" s="135"/>
      <c r="CM747" s="135"/>
      <c r="CN747" s="135"/>
      <c r="CO747" s="135"/>
      <c r="CP747" s="135"/>
      <c r="CQ747" s="135"/>
      <c r="CR747" s="135"/>
      <c r="CS747" s="135"/>
      <c r="CT747" s="135"/>
      <c r="CU747" s="135"/>
      <c r="CV747" s="135"/>
      <c r="CW747" s="135"/>
      <c r="CX747" s="135"/>
      <c r="CY747" s="135"/>
      <c r="CZ747" s="135"/>
      <c r="DA747" s="135"/>
      <c r="DB747" s="135"/>
      <c r="DC747" s="135"/>
      <c r="DD747" s="135"/>
      <c r="DE747" s="135"/>
      <c r="DF747" s="135"/>
      <c r="DG747" s="135"/>
      <c r="DH747" s="135"/>
      <c r="DI747" s="135"/>
      <c r="DJ747" s="135"/>
      <c r="DK747" s="135"/>
      <c r="DL747" s="135"/>
      <c r="DM747" s="135"/>
      <c r="DN747" s="135"/>
      <c r="DO747" s="135"/>
      <c r="DP747" s="135"/>
      <c r="DQ747" s="135"/>
      <c r="DR747" s="135"/>
      <c r="DS747" s="135"/>
      <c r="DT747" s="135"/>
      <c r="DU747" s="135"/>
      <c r="DV747" s="135"/>
      <c r="DW747" s="135"/>
      <c r="DX747" s="135"/>
      <c r="DY747" s="135"/>
      <c r="DZ747" s="135"/>
      <c r="EA747" s="135"/>
      <c r="EB747" s="135"/>
      <c r="EC747" s="135"/>
      <c r="ED747" s="135"/>
      <c r="EE747" s="135"/>
      <c r="EF747" s="135"/>
      <c r="EG747" s="135"/>
      <c r="EH747" s="135"/>
      <c r="EI747" s="135"/>
      <c r="EJ747" s="135"/>
      <c r="EK747" s="135"/>
      <c r="EL747" s="135"/>
      <c r="EM747" s="135"/>
      <c r="EN747" s="135"/>
      <c r="EO747" s="135"/>
      <c r="EP747" s="135"/>
      <c r="EQ747" s="135"/>
      <c r="ER747" s="135"/>
      <c r="ES747" s="135"/>
      <c r="ET747" s="135"/>
      <c r="EU747" s="135"/>
      <c r="EV747" s="135"/>
      <c r="EW747" s="135"/>
      <c r="EX747" s="135"/>
      <c r="EY747" s="135"/>
      <c r="EZ747" s="135"/>
      <c r="FA747" s="135"/>
      <c r="FB747" s="135"/>
      <c r="FC747" s="135"/>
      <c r="FD747" s="135"/>
      <c r="FE747" s="135"/>
      <c r="FF747" s="135"/>
      <c r="FG747" s="135"/>
      <c r="FH747" s="135"/>
      <c r="FI747" s="135"/>
      <c r="FJ747" s="135"/>
      <c r="FK747" s="135"/>
      <c r="FL747" s="135"/>
      <c r="FM747" s="135"/>
      <c r="FN747" s="135"/>
      <c r="FO747" s="135"/>
      <c r="FP747" s="135"/>
      <c r="FQ747" s="135"/>
      <c r="FR747" s="135"/>
      <c r="FS747" s="135"/>
      <c r="FT747" s="135"/>
      <c r="FU747" s="135"/>
      <c r="FV747" s="135"/>
      <c r="FW747" s="135"/>
      <c r="FX747" s="135"/>
      <c r="FY747" s="135"/>
      <c r="FZ747" s="135"/>
      <c r="GA747" s="135"/>
      <c r="GB747" s="135"/>
      <c r="GC747" s="135"/>
      <c r="GD747" s="135"/>
      <c r="GE747" s="135"/>
      <c r="GF747" s="135"/>
      <c r="GG747" s="135"/>
      <c r="GH747" s="135"/>
      <c r="GI747" s="135"/>
      <c r="GJ747" s="135"/>
      <c r="GK747" s="135"/>
      <c r="GL747" s="135"/>
      <c r="GM747" s="135"/>
      <c r="GN747" s="135"/>
      <c r="GO747" s="135"/>
      <c r="GP747" s="135"/>
      <c r="GQ747" s="135"/>
      <c r="GR747" s="135"/>
      <c r="GS747" s="135"/>
      <c r="GT747" s="135"/>
      <c r="GU747" s="135"/>
      <c r="GV747" s="135"/>
      <c r="GW747" s="135"/>
      <c r="GX747" s="135"/>
      <c r="GY747" s="135"/>
      <c r="GZ747" s="135"/>
      <c r="HA747" s="135"/>
      <c r="HB747" s="135"/>
      <c r="HC747" s="135"/>
      <c r="HD747" s="135"/>
      <c r="HE747" s="135"/>
      <c r="HF747" s="135"/>
      <c r="HG747" s="135"/>
      <c r="HH747" s="135"/>
      <c r="HI747" s="135"/>
      <c r="HJ747" s="135"/>
      <c r="HK747" s="135"/>
      <c r="HL747" s="135"/>
      <c r="HM747" s="135"/>
      <c r="HN747" s="135"/>
      <c r="HO747" s="135"/>
      <c r="HP747" s="135"/>
      <c r="HQ747" s="135"/>
      <c r="HR747" s="135"/>
      <c r="HS747" s="135"/>
      <c r="HT747" s="135"/>
      <c r="HU747" s="135"/>
      <c r="HV747" s="135"/>
      <c r="HW747" s="135"/>
      <c r="HX747" s="135"/>
      <c r="HY747" s="135"/>
      <c r="HZ747" s="135"/>
      <c r="IA747" s="135"/>
      <c r="IB747" s="135"/>
      <c r="IC747" s="135"/>
      <c r="ID747" s="135"/>
      <c r="IE747" s="135"/>
      <c r="IF747" s="135"/>
      <c r="IG747" s="135"/>
      <c r="IH747" s="135"/>
      <c r="II747" s="135"/>
      <c r="IJ747" s="135"/>
      <c r="IK747" s="135"/>
      <c r="IL747" s="135"/>
      <c r="IM747" s="135"/>
      <c r="IN747" s="135"/>
      <c r="IO747" s="135"/>
      <c r="IP747" s="135"/>
      <c r="IQ747" s="135"/>
      <c r="IR747" s="135"/>
      <c r="IS747" s="135"/>
      <c r="IT747" s="135"/>
      <c r="IU747" s="135"/>
      <c r="IV747" s="135"/>
      <c r="IW747" s="135"/>
      <c r="IX747" s="135"/>
      <c r="IY747" s="135"/>
      <c r="IZ747" s="135"/>
      <c r="JA747" s="135"/>
      <c r="JB747" s="135"/>
      <c r="JC747" s="135"/>
      <c r="JD747" s="135"/>
      <c r="JE747" s="135"/>
      <c r="JF747" s="135"/>
      <c r="JG747" s="135"/>
      <c r="JH747" s="135"/>
      <c r="JI747" s="135"/>
      <c r="JJ747" s="135"/>
      <c r="JK747" s="135"/>
      <c r="JL747" s="135"/>
      <c r="JM747" s="135"/>
      <c r="JN747" s="135"/>
      <c r="JO747" s="135"/>
      <c r="JP747" s="135"/>
      <c r="JQ747" s="135"/>
      <c r="JR747" s="135"/>
      <c r="JS747" s="135"/>
      <c r="JT747" s="135"/>
      <c r="JU747" s="135"/>
      <c r="JV747" s="135"/>
      <c r="JW747" s="135"/>
      <c r="JX747" s="135"/>
      <c r="JY747" s="135"/>
      <c r="JZ747" s="135"/>
      <c r="KA747" s="135"/>
      <c r="KB747" s="135"/>
      <c r="KC747" s="135"/>
      <c r="KD747" s="135"/>
      <c r="KE747" s="135"/>
      <c r="KF747" s="135"/>
      <c r="KG747" s="135"/>
      <c r="KH747" s="135"/>
      <c r="KI747" s="135"/>
      <c r="KJ747" s="135"/>
      <c r="KK747" s="135"/>
      <c r="KL747" s="135"/>
      <c r="KM747" s="135"/>
      <c r="KN747" s="135"/>
      <c r="KO747" s="135"/>
      <c r="KP747" s="135"/>
      <c r="KQ747" s="135"/>
      <c r="KR747" s="135"/>
      <c r="KS747" s="135"/>
      <c r="KT747" s="135"/>
      <c r="KU747" s="135"/>
      <c r="KV747" s="135"/>
      <c r="KW747" s="135"/>
      <c r="KX747" s="135"/>
      <c r="KY747" s="135"/>
      <c r="KZ747" s="135"/>
      <c r="LA747" s="135"/>
      <c r="LB747" s="135"/>
      <c r="LC747" s="135"/>
      <c r="LD747" s="135"/>
      <c r="LE747" s="135"/>
      <c r="LF747" s="135"/>
      <c r="LG747" s="135"/>
      <c r="LH747" s="135"/>
      <c r="LI747" s="135"/>
      <c r="LJ747" s="135"/>
      <c r="LK747" s="135"/>
      <c r="LL747" s="135"/>
      <c r="LM747" s="135"/>
      <c r="LN747" s="135"/>
      <c r="LO747" s="135"/>
      <c r="LP747" s="135"/>
      <c r="LQ747" s="135"/>
      <c r="LR747" s="135"/>
      <c r="LS747" s="135"/>
      <c r="LT747" s="135"/>
      <c r="LU747" s="135"/>
      <c r="LV747" s="135"/>
      <c r="LW747" s="135"/>
      <c r="LX747" s="135"/>
      <c r="LY747" s="135"/>
      <c r="LZ747" s="135"/>
      <c r="MA747" s="135"/>
      <c r="MB747" s="135"/>
      <c r="MC747" s="135"/>
      <c r="MD747" s="135"/>
      <c r="ME747" s="135"/>
      <c r="MF747" s="135"/>
      <c r="MG747" s="135"/>
      <c r="MH747" s="135"/>
      <c r="MI747" s="135"/>
      <c r="MJ747" s="135"/>
      <c r="MK747" s="135"/>
      <c r="ML747" s="135"/>
      <c r="MM747" s="135"/>
      <c r="MN747" s="135"/>
      <c r="MO747" s="135"/>
      <c r="MP747" s="135"/>
      <c r="MQ747" s="135"/>
      <c r="MR747" s="135"/>
      <c r="MS747" s="135"/>
      <c r="MT747" s="135"/>
      <c r="MU747" s="135"/>
      <c r="MV747" s="135"/>
      <c r="MW747" s="135"/>
      <c r="MX747" s="135"/>
      <c r="MY747" s="135"/>
      <c r="MZ747" s="135"/>
      <c r="NA747" s="135"/>
      <c r="NB747" s="135"/>
      <c r="NC747" s="135"/>
      <c r="ND747" s="135"/>
      <c r="NE747" s="135"/>
      <c r="NF747" s="135"/>
      <c r="NG747" s="135"/>
      <c r="NH747" s="135"/>
      <c r="NI747" s="135"/>
      <c r="NJ747" s="135"/>
      <c r="NK747" s="135"/>
      <c r="NL747" s="135"/>
      <c r="NM747" s="135"/>
      <c r="NN747" s="135"/>
      <c r="NO747" s="135"/>
      <c r="NP747" s="135"/>
      <c r="NQ747" s="135"/>
      <c r="NR747" s="135"/>
      <c r="NS747" s="135"/>
      <c r="NT747" s="135"/>
      <c r="NU747" s="135"/>
      <c r="NV747" s="135"/>
      <c r="NW747" s="135"/>
      <c r="NX747" s="135"/>
      <c r="NY747" s="135"/>
      <c r="NZ747" s="135"/>
      <c r="OA747" s="135"/>
      <c r="OB747" s="135"/>
      <c r="OC747" s="135"/>
      <c r="OD747" s="135"/>
      <c r="OE747" s="135"/>
      <c r="OF747" s="135"/>
      <c r="OG747" s="135"/>
      <c r="OH747" s="135"/>
      <c r="OI747" s="135"/>
      <c r="OJ747" s="135"/>
      <c r="OK747" s="135"/>
      <c r="OL747" s="135"/>
      <c r="OM747" s="135"/>
      <c r="ON747" s="135"/>
      <c r="OO747" s="135"/>
      <c r="OP747" s="135"/>
      <c r="OQ747" s="135"/>
      <c r="OR747" s="135"/>
      <c r="OS747" s="135"/>
      <c r="OT747" s="135"/>
      <c r="OU747" s="135"/>
      <c r="OV747" s="135"/>
      <c r="OW747" s="135"/>
      <c r="OX747" s="135"/>
      <c r="OY747" s="135"/>
      <c r="OZ747" s="135"/>
      <c r="PA747" s="135"/>
      <c r="PB747" s="135"/>
      <c r="PC747" s="135"/>
      <c r="PD747" s="135"/>
      <c r="PE747" s="135"/>
      <c r="PF747" s="135"/>
      <c r="PG747" s="135"/>
      <c r="PH747" s="135"/>
      <c r="PI747" s="135"/>
      <c r="PJ747" s="135"/>
      <c r="PK747" s="135"/>
      <c r="PL747" s="135"/>
      <c r="PM747" s="135"/>
      <c r="PN747" s="135"/>
      <c r="PO747" s="135"/>
      <c r="PP747" s="135"/>
      <c r="PQ747" s="135"/>
      <c r="PR747" s="135"/>
      <c r="PS747" s="135"/>
      <c r="PT747" s="135"/>
      <c r="PU747" s="135"/>
      <c r="PV747" s="135"/>
      <c r="PW747" s="135"/>
      <c r="PX747" s="135"/>
      <c r="PY747" s="135"/>
      <c r="PZ747" s="135"/>
      <c r="QA747" s="135"/>
      <c r="QB747" s="135"/>
      <c r="QC747" s="135"/>
      <c r="QD747" s="135"/>
      <c r="QE747" s="135"/>
      <c r="QF747" s="135"/>
      <c r="QG747" s="135"/>
      <c r="QH747" s="135"/>
      <c r="QI747" s="135"/>
      <c r="QJ747" s="135"/>
      <c r="QK747" s="135"/>
      <c r="QL747" s="135"/>
      <c r="QM747" s="135"/>
      <c r="QN747" s="135"/>
      <c r="QO747" s="135"/>
      <c r="QP747" s="135"/>
      <c r="QQ747" s="135"/>
      <c r="QR747" s="135"/>
      <c r="QS747" s="135"/>
      <c r="QT747" s="135"/>
      <c r="QU747" s="135"/>
      <c r="QV747" s="135"/>
      <c r="QW747" s="135"/>
      <c r="QX747" s="135"/>
      <c r="QY747" s="135"/>
      <c r="QZ747" s="135"/>
      <c r="RA747" s="135"/>
      <c r="RB747" s="135"/>
      <c r="RC747" s="135"/>
      <c r="RD747" s="135"/>
      <c r="RE747" s="135"/>
      <c r="RF747" s="135"/>
      <c r="RG747" s="135"/>
      <c r="RH747" s="135"/>
      <c r="RI747" s="135"/>
      <c r="RJ747" s="135"/>
      <c r="RK747" s="135"/>
      <c r="RL747" s="135"/>
      <c r="RM747" s="135"/>
      <c r="RN747" s="135"/>
      <c r="RO747" s="135"/>
      <c r="RP747" s="135"/>
      <c r="RQ747" s="135"/>
      <c r="RR747" s="135"/>
      <c r="RS747" s="135"/>
      <c r="RT747" s="135"/>
      <c r="RU747" s="135"/>
      <c r="RV747" s="135"/>
      <c r="RW747" s="135"/>
      <c r="RX747" s="135"/>
      <c r="RY747" s="135"/>
      <c r="RZ747" s="135"/>
      <c r="SA747" s="135"/>
      <c r="SB747" s="135"/>
      <c r="SC747" s="135"/>
      <c r="SD747" s="135"/>
      <c r="SE747" s="135"/>
      <c r="SF747" s="135"/>
      <c r="SG747" s="135"/>
      <c r="SH747" s="135"/>
      <c r="SI747" s="135"/>
      <c r="SJ747" s="135"/>
      <c r="SK747" s="135"/>
      <c r="SL747" s="135"/>
      <c r="SM747" s="135"/>
      <c r="SN747" s="135"/>
      <c r="SO747" s="135"/>
      <c r="SP747" s="135"/>
      <c r="SQ747" s="135"/>
      <c r="SR747" s="135"/>
      <c r="SS747" s="135"/>
      <c r="ST747" s="135"/>
      <c r="SU747" s="135"/>
      <c r="SV747" s="135"/>
      <c r="SW747" s="135"/>
      <c r="SX747" s="135"/>
      <c r="SY747" s="135"/>
      <c r="SZ747" s="135"/>
      <c r="TA747" s="135"/>
      <c r="TB747" s="135"/>
      <c r="TC747" s="135"/>
      <c r="TD747" s="135"/>
      <c r="TE747" s="135"/>
      <c r="TF747" s="135"/>
      <c r="TG747" s="135"/>
      <c r="TH747" s="135"/>
      <c r="TI747" s="135"/>
      <c r="TJ747" s="135"/>
      <c r="TK747" s="135"/>
      <c r="TL747" s="135"/>
      <c r="TM747" s="135"/>
      <c r="TN747" s="135"/>
      <c r="TO747" s="135"/>
      <c r="TP747" s="135"/>
      <c r="TQ747" s="135"/>
      <c r="TR747" s="135"/>
      <c r="TS747" s="135"/>
      <c r="TT747" s="135"/>
      <c r="TU747" s="135"/>
      <c r="TV747" s="135"/>
      <c r="TW747" s="135"/>
      <c r="TX747" s="135"/>
      <c r="TY747" s="135"/>
      <c r="TZ747" s="135"/>
      <c r="UA747" s="135"/>
      <c r="UB747" s="135"/>
      <c r="UC747" s="135"/>
      <c r="UD747" s="135"/>
      <c r="UE747" s="135"/>
      <c r="UF747" s="135"/>
      <c r="UG747" s="135"/>
    </row>
    <row r="748" spans="1:553" ht="30.75" customHeight="1">
      <c r="A748" s="356" t="s">
        <v>15</v>
      </c>
      <c r="B748" s="385">
        <v>51</v>
      </c>
      <c r="C748" s="1401" t="s">
        <v>968</v>
      </c>
      <c r="D748" s="1389"/>
      <c r="E748" s="1389"/>
      <c r="F748" s="1390"/>
      <c r="G748" s="386" t="s">
        <v>33</v>
      </c>
      <c r="H748" s="622"/>
      <c r="I748" s="626">
        <f>(1.4*1.8)+(3.7*3.6)</f>
        <v>15.84</v>
      </c>
      <c r="J748" s="369">
        <v>153000</v>
      </c>
      <c r="K748" s="371"/>
      <c r="L748" s="627">
        <f t="shared" si="114"/>
        <v>2423520</v>
      </c>
      <c r="M748" s="549"/>
      <c r="N748" s="549"/>
      <c r="O748" s="366"/>
      <c r="P748" s="385"/>
      <c r="Q748" s="394"/>
      <c r="R748" s="1230"/>
      <c r="S748" s="308"/>
      <c r="T748" s="308"/>
      <c r="U748" s="308"/>
      <c r="V748" s="308"/>
      <c r="W748" s="308"/>
      <c r="X748" s="308"/>
      <c r="Y748" s="308"/>
      <c r="Z748" s="604"/>
      <c r="AA748" s="308"/>
      <c r="AB748" s="308"/>
      <c r="AC748" s="628"/>
      <c r="AD748" s="628"/>
      <c r="AE748" s="628"/>
      <c r="AF748" s="628"/>
      <c r="AG748" s="628"/>
      <c r="AH748" s="629"/>
      <c r="AI748" s="629"/>
      <c r="AJ748" s="629"/>
      <c r="AK748" s="629"/>
      <c r="AL748" s="135"/>
      <c r="AM748" s="135"/>
      <c r="AN748" s="135"/>
      <c r="AO748" s="135"/>
      <c r="AP748" s="135"/>
      <c r="AQ748" s="135"/>
      <c r="AR748" s="135"/>
      <c r="AS748" s="135"/>
      <c r="AT748" s="135"/>
      <c r="AU748" s="135"/>
      <c r="AV748" s="135"/>
      <c r="AW748" s="135"/>
      <c r="AX748" s="135"/>
      <c r="AY748" s="135"/>
      <c r="AZ748" s="135"/>
      <c r="BA748" s="135"/>
      <c r="BB748" s="135"/>
      <c r="BC748" s="135"/>
      <c r="BD748" s="135"/>
      <c r="BE748" s="135"/>
      <c r="BF748" s="135"/>
      <c r="BG748" s="135"/>
      <c r="BH748" s="135"/>
      <c r="BI748" s="135"/>
      <c r="BJ748" s="135"/>
      <c r="BK748" s="135"/>
      <c r="BL748" s="135"/>
      <c r="BM748" s="135"/>
      <c r="BN748" s="135"/>
      <c r="BO748" s="135"/>
      <c r="BP748" s="135"/>
      <c r="BQ748" s="135"/>
      <c r="BR748" s="135"/>
      <c r="BS748" s="135"/>
      <c r="BT748" s="135"/>
      <c r="BU748" s="135"/>
      <c r="BV748" s="135"/>
      <c r="BW748" s="135"/>
      <c r="BX748" s="135"/>
      <c r="BY748" s="135"/>
      <c r="BZ748" s="135"/>
      <c r="CA748" s="135"/>
      <c r="CB748" s="135"/>
      <c r="CC748" s="135"/>
      <c r="CD748" s="135"/>
      <c r="CE748" s="135"/>
      <c r="CF748" s="135"/>
      <c r="CG748" s="135"/>
      <c r="CH748" s="135"/>
      <c r="CI748" s="135"/>
      <c r="CJ748" s="135"/>
      <c r="CK748" s="135"/>
      <c r="CL748" s="135"/>
      <c r="CM748" s="135"/>
      <c r="CN748" s="135"/>
      <c r="CO748" s="135"/>
      <c r="CP748" s="135"/>
      <c r="CQ748" s="135"/>
      <c r="CR748" s="135"/>
      <c r="CS748" s="135"/>
      <c r="CT748" s="135"/>
      <c r="CU748" s="135"/>
      <c r="CV748" s="135"/>
      <c r="CW748" s="135"/>
      <c r="CX748" s="135"/>
      <c r="CY748" s="135"/>
      <c r="CZ748" s="135"/>
      <c r="DA748" s="135"/>
      <c r="DB748" s="135"/>
      <c r="DC748" s="135"/>
      <c r="DD748" s="135"/>
      <c r="DE748" s="135"/>
      <c r="DF748" s="135"/>
      <c r="DG748" s="135"/>
      <c r="DH748" s="135"/>
      <c r="DI748" s="135"/>
      <c r="DJ748" s="135"/>
      <c r="DK748" s="135"/>
      <c r="DL748" s="135"/>
      <c r="DM748" s="135"/>
      <c r="DN748" s="135"/>
      <c r="DO748" s="135"/>
      <c r="DP748" s="135"/>
      <c r="DQ748" s="135"/>
      <c r="DR748" s="135"/>
      <c r="DS748" s="135"/>
      <c r="DT748" s="135"/>
      <c r="DU748" s="135"/>
      <c r="DV748" s="135"/>
      <c r="DW748" s="135"/>
      <c r="DX748" s="135"/>
      <c r="DY748" s="135"/>
      <c r="DZ748" s="135"/>
      <c r="EA748" s="135"/>
      <c r="EB748" s="135"/>
      <c r="EC748" s="135"/>
      <c r="ED748" s="135"/>
      <c r="EE748" s="135"/>
      <c r="EF748" s="135"/>
      <c r="EG748" s="135"/>
      <c r="EH748" s="135"/>
      <c r="EI748" s="135"/>
      <c r="EJ748" s="135"/>
      <c r="EK748" s="135"/>
      <c r="EL748" s="135"/>
      <c r="EM748" s="135"/>
      <c r="EN748" s="135"/>
      <c r="EO748" s="135"/>
      <c r="EP748" s="135"/>
      <c r="EQ748" s="135"/>
      <c r="ER748" s="135"/>
      <c r="ES748" s="135"/>
      <c r="ET748" s="135"/>
      <c r="EU748" s="135"/>
      <c r="EV748" s="135"/>
      <c r="EW748" s="135"/>
      <c r="EX748" s="135"/>
      <c r="EY748" s="135"/>
      <c r="EZ748" s="135"/>
      <c r="FA748" s="135"/>
      <c r="FB748" s="135"/>
      <c r="FC748" s="135"/>
      <c r="FD748" s="135"/>
      <c r="FE748" s="135"/>
      <c r="FF748" s="135"/>
      <c r="FG748" s="135"/>
      <c r="FH748" s="135"/>
      <c r="FI748" s="135"/>
      <c r="FJ748" s="135"/>
      <c r="FK748" s="135"/>
      <c r="FL748" s="135"/>
      <c r="FM748" s="135"/>
      <c r="FN748" s="135"/>
      <c r="FO748" s="135"/>
      <c r="FP748" s="135"/>
      <c r="FQ748" s="135"/>
      <c r="FR748" s="135"/>
      <c r="FS748" s="135"/>
      <c r="FT748" s="135"/>
      <c r="FU748" s="135"/>
      <c r="FV748" s="135"/>
      <c r="FW748" s="135"/>
      <c r="FX748" s="135"/>
      <c r="FY748" s="135"/>
      <c r="FZ748" s="135"/>
      <c r="GA748" s="135"/>
      <c r="GB748" s="135"/>
      <c r="GC748" s="135"/>
      <c r="GD748" s="135"/>
      <c r="GE748" s="135"/>
      <c r="GF748" s="135"/>
      <c r="GG748" s="135"/>
      <c r="GH748" s="135"/>
      <c r="GI748" s="135"/>
      <c r="GJ748" s="135"/>
      <c r="GK748" s="135"/>
      <c r="GL748" s="135"/>
      <c r="GM748" s="135"/>
      <c r="GN748" s="135"/>
      <c r="GO748" s="135"/>
      <c r="GP748" s="135"/>
      <c r="GQ748" s="135"/>
      <c r="GR748" s="135"/>
      <c r="GS748" s="135"/>
      <c r="GT748" s="135"/>
      <c r="GU748" s="135"/>
      <c r="GV748" s="135"/>
      <c r="GW748" s="135"/>
      <c r="GX748" s="135"/>
      <c r="GY748" s="135"/>
      <c r="GZ748" s="135"/>
      <c r="HA748" s="135"/>
      <c r="HB748" s="135"/>
      <c r="HC748" s="135"/>
      <c r="HD748" s="135"/>
      <c r="HE748" s="135"/>
      <c r="HF748" s="135"/>
      <c r="HG748" s="135"/>
      <c r="HH748" s="135"/>
      <c r="HI748" s="135"/>
      <c r="HJ748" s="135"/>
      <c r="HK748" s="135"/>
      <c r="HL748" s="135"/>
      <c r="HM748" s="135"/>
      <c r="HN748" s="135"/>
      <c r="HO748" s="135"/>
      <c r="HP748" s="135"/>
      <c r="HQ748" s="135"/>
      <c r="HR748" s="135"/>
      <c r="HS748" s="135"/>
      <c r="HT748" s="135"/>
      <c r="HU748" s="135"/>
      <c r="HV748" s="135"/>
      <c r="HW748" s="135"/>
      <c r="HX748" s="135"/>
      <c r="HY748" s="135"/>
      <c r="HZ748" s="135"/>
      <c r="IA748" s="135"/>
      <c r="IB748" s="135"/>
      <c r="IC748" s="135"/>
      <c r="ID748" s="135"/>
      <c r="IE748" s="135"/>
      <c r="IF748" s="135"/>
      <c r="IG748" s="135"/>
      <c r="IH748" s="135"/>
      <c r="II748" s="135"/>
      <c r="IJ748" s="135"/>
      <c r="IK748" s="135"/>
      <c r="IL748" s="135"/>
      <c r="IM748" s="135"/>
      <c r="IN748" s="135"/>
      <c r="IO748" s="135"/>
      <c r="IP748" s="135"/>
      <c r="IQ748" s="135"/>
      <c r="IR748" s="135"/>
      <c r="IS748" s="135"/>
      <c r="IT748" s="135"/>
      <c r="IU748" s="135"/>
      <c r="IV748" s="135"/>
      <c r="IW748" s="135"/>
      <c r="IX748" s="135"/>
      <c r="IY748" s="135"/>
      <c r="IZ748" s="135"/>
      <c r="JA748" s="135"/>
      <c r="JB748" s="135"/>
      <c r="JC748" s="135"/>
      <c r="JD748" s="135"/>
      <c r="JE748" s="135"/>
      <c r="JF748" s="135"/>
      <c r="JG748" s="135"/>
      <c r="JH748" s="135"/>
      <c r="JI748" s="135"/>
      <c r="JJ748" s="135"/>
      <c r="JK748" s="135"/>
      <c r="JL748" s="135"/>
      <c r="JM748" s="135"/>
      <c r="JN748" s="135"/>
      <c r="JO748" s="135"/>
      <c r="JP748" s="135"/>
      <c r="JQ748" s="135"/>
      <c r="JR748" s="135"/>
      <c r="JS748" s="135"/>
      <c r="JT748" s="135"/>
      <c r="JU748" s="135"/>
      <c r="JV748" s="135"/>
      <c r="JW748" s="135"/>
      <c r="JX748" s="135"/>
      <c r="JY748" s="135"/>
      <c r="JZ748" s="135"/>
      <c r="KA748" s="135"/>
      <c r="KB748" s="135"/>
      <c r="KC748" s="135"/>
      <c r="KD748" s="135"/>
      <c r="KE748" s="135"/>
      <c r="KF748" s="135"/>
      <c r="KG748" s="135"/>
      <c r="KH748" s="135"/>
      <c r="KI748" s="135"/>
      <c r="KJ748" s="135"/>
      <c r="KK748" s="135"/>
      <c r="KL748" s="135"/>
      <c r="KM748" s="135"/>
      <c r="KN748" s="135"/>
      <c r="KO748" s="135"/>
      <c r="KP748" s="135"/>
      <c r="KQ748" s="135"/>
      <c r="KR748" s="135"/>
      <c r="KS748" s="135"/>
      <c r="KT748" s="135"/>
      <c r="KU748" s="135"/>
      <c r="KV748" s="135"/>
      <c r="KW748" s="135"/>
      <c r="KX748" s="135"/>
      <c r="KY748" s="135"/>
      <c r="KZ748" s="135"/>
      <c r="LA748" s="135"/>
      <c r="LB748" s="135"/>
      <c r="LC748" s="135"/>
      <c r="LD748" s="135"/>
      <c r="LE748" s="135"/>
      <c r="LF748" s="135"/>
      <c r="LG748" s="135"/>
      <c r="LH748" s="135"/>
      <c r="LI748" s="135"/>
      <c r="LJ748" s="135"/>
      <c r="LK748" s="135"/>
      <c r="LL748" s="135"/>
      <c r="LM748" s="135"/>
      <c r="LN748" s="135"/>
      <c r="LO748" s="135"/>
      <c r="LP748" s="135"/>
      <c r="LQ748" s="135"/>
      <c r="LR748" s="135"/>
      <c r="LS748" s="135"/>
      <c r="LT748" s="135"/>
      <c r="LU748" s="135"/>
      <c r="LV748" s="135"/>
      <c r="LW748" s="135"/>
      <c r="LX748" s="135"/>
      <c r="LY748" s="135"/>
      <c r="LZ748" s="135"/>
      <c r="MA748" s="135"/>
      <c r="MB748" s="135"/>
      <c r="MC748" s="135"/>
      <c r="MD748" s="135"/>
      <c r="ME748" s="135"/>
      <c r="MF748" s="135"/>
      <c r="MG748" s="135"/>
      <c r="MH748" s="135"/>
      <c r="MI748" s="135"/>
      <c r="MJ748" s="135"/>
      <c r="MK748" s="135"/>
      <c r="ML748" s="135"/>
      <c r="MM748" s="135"/>
      <c r="MN748" s="135"/>
      <c r="MO748" s="135"/>
      <c r="MP748" s="135"/>
      <c r="MQ748" s="135"/>
      <c r="MR748" s="135"/>
      <c r="MS748" s="135"/>
      <c r="MT748" s="135"/>
      <c r="MU748" s="135"/>
      <c r="MV748" s="135"/>
      <c r="MW748" s="135"/>
      <c r="MX748" s="135"/>
      <c r="MY748" s="135"/>
      <c r="MZ748" s="135"/>
      <c r="NA748" s="135"/>
      <c r="NB748" s="135"/>
      <c r="NC748" s="135"/>
      <c r="ND748" s="135"/>
      <c r="NE748" s="135"/>
      <c r="NF748" s="135"/>
      <c r="NG748" s="135"/>
      <c r="NH748" s="135"/>
      <c r="NI748" s="135"/>
      <c r="NJ748" s="135"/>
      <c r="NK748" s="135"/>
      <c r="NL748" s="135"/>
      <c r="NM748" s="135"/>
      <c r="NN748" s="135"/>
      <c r="NO748" s="135"/>
      <c r="NP748" s="135"/>
      <c r="NQ748" s="135"/>
      <c r="NR748" s="135"/>
      <c r="NS748" s="135"/>
      <c r="NT748" s="135"/>
      <c r="NU748" s="135"/>
      <c r="NV748" s="135"/>
      <c r="NW748" s="135"/>
      <c r="NX748" s="135"/>
      <c r="NY748" s="135"/>
      <c r="NZ748" s="135"/>
      <c r="OA748" s="135"/>
      <c r="OB748" s="135"/>
      <c r="OC748" s="135"/>
      <c r="OD748" s="135"/>
      <c r="OE748" s="135"/>
      <c r="OF748" s="135"/>
      <c r="OG748" s="135"/>
      <c r="OH748" s="135"/>
      <c r="OI748" s="135"/>
      <c r="OJ748" s="135"/>
      <c r="OK748" s="135"/>
      <c r="OL748" s="135"/>
      <c r="OM748" s="135"/>
      <c r="ON748" s="135"/>
      <c r="OO748" s="135"/>
      <c r="OP748" s="135"/>
      <c r="OQ748" s="135"/>
      <c r="OR748" s="135"/>
      <c r="OS748" s="135"/>
      <c r="OT748" s="135"/>
      <c r="OU748" s="135"/>
      <c r="OV748" s="135"/>
      <c r="OW748" s="135"/>
      <c r="OX748" s="135"/>
      <c r="OY748" s="135"/>
      <c r="OZ748" s="135"/>
      <c r="PA748" s="135"/>
      <c r="PB748" s="135"/>
      <c r="PC748" s="135"/>
      <c r="PD748" s="135"/>
      <c r="PE748" s="135"/>
      <c r="PF748" s="135"/>
      <c r="PG748" s="135"/>
      <c r="PH748" s="135"/>
      <c r="PI748" s="135"/>
      <c r="PJ748" s="135"/>
      <c r="PK748" s="135"/>
      <c r="PL748" s="135"/>
      <c r="PM748" s="135"/>
      <c r="PN748" s="135"/>
      <c r="PO748" s="135"/>
      <c r="PP748" s="135"/>
      <c r="PQ748" s="135"/>
      <c r="PR748" s="135"/>
      <c r="PS748" s="135"/>
      <c r="PT748" s="135"/>
      <c r="PU748" s="135"/>
      <c r="PV748" s="135"/>
      <c r="PW748" s="135"/>
      <c r="PX748" s="135"/>
      <c r="PY748" s="135"/>
      <c r="PZ748" s="135"/>
      <c r="QA748" s="135"/>
      <c r="QB748" s="135"/>
      <c r="QC748" s="135"/>
      <c r="QD748" s="135"/>
      <c r="QE748" s="135"/>
      <c r="QF748" s="135"/>
      <c r="QG748" s="135"/>
      <c r="QH748" s="135"/>
      <c r="QI748" s="135"/>
      <c r="QJ748" s="135"/>
      <c r="QK748" s="135"/>
      <c r="QL748" s="135"/>
      <c r="QM748" s="135"/>
      <c r="QN748" s="135"/>
      <c r="QO748" s="135"/>
      <c r="QP748" s="135"/>
      <c r="QQ748" s="135"/>
      <c r="QR748" s="135"/>
      <c r="QS748" s="135"/>
      <c r="QT748" s="135"/>
      <c r="QU748" s="135"/>
      <c r="QV748" s="135"/>
      <c r="QW748" s="135"/>
      <c r="QX748" s="135"/>
      <c r="QY748" s="135"/>
      <c r="QZ748" s="135"/>
      <c r="RA748" s="135"/>
      <c r="RB748" s="135"/>
      <c r="RC748" s="135"/>
      <c r="RD748" s="135"/>
      <c r="RE748" s="135"/>
      <c r="RF748" s="135"/>
      <c r="RG748" s="135"/>
      <c r="RH748" s="135"/>
      <c r="RI748" s="135"/>
      <c r="RJ748" s="135"/>
      <c r="RK748" s="135"/>
      <c r="RL748" s="135"/>
      <c r="RM748" s="135"/>
      <c r="RN748" s="135"/>
      <c r="RO748" s="135"/>
      <c r="RP748" s="135"/>
      <c r="RQ748" s="135"/>
      <c r="RR748" s="135"/>
      <c r="RS748" s="135"/>
      <c r="RT748" s="135"/>
      <c r="RU748" s="135"/>
      <c r="RV748" s="135"/>
      <c r="RW748" s="135"/>
      <c r="RX748" s="135"/>
      <c r="RY748" s="135"/>
      <c r="RZ748" s="135"/>
      <c r="SA748" s="135"/>
      <c r="SB748" s="135"/>
      <c r="SC748" s="135"/>
      <c r="SD748" s="135"/>
      <c r="SE748" s="135"/>
      <c r="SF748" s="135"/>
      <c r="SG748" s="135"/>
      <c r="SH748" s="135"/>
      <c r="SI748" s="135"/>
      <c r="SJ748" s="135"/>
      <c r="SK748" s="135"/>
      <c r="SL748" s="135"/>
      <c r="SM748" s="135"/>
      <c r="SN748" s="135"/>
      <c r="SO748" s="135"/>
      <c r="SP748" s="135"/>
      <c r="SQ748" s="135"/>
      <c r="SR748" s="135"/>
      <c r="SS748" s="135"/>
      <c r="ST748" s="135"/>
      <c r="SU748" s="135"/>
      <c r="SV748" s="135"/>
      <c r="SW748" s="135"/>
      <c r="SX748" s="135"/>
      <c r="SY748" s="135"/>
      <c r="SZ748" s="135"/>
      <c r="TA748" s="135"/>
      <c r="TB748" s="135"/>
      <c r="TC748" s="135"/>
      <c r="TD748" s="135"/>
      <c r="TE748" s="135"/>
      <c r="TF748" s="135"/>
      <c r="TG748" s="135"/>
      <c r="TH748" s="135"/>
      <c r="TI748" s="135"/>
      <c r="TJ748" s="135"/>
      <c r="TK748" s="135"/>
      <c r="TL748" s="135"/>
      <c r="TM748" s="135"/>
      <c r="TN748" s="135"/>
      <c r="TO748" s="135"/>
      <c r="TP748" s="135"/>
      <c r="TQ748" s="135"/>
      <c r="TR748" s="135"/>
      <c r="TS748" s="135"/>
      <c r="TT748" s="135"/>
      <c r="TU748" s="135"/>
      <c r="TV748" s="135"/>
      <c r="TW748" s="135"/>
      <c r="TX748" s="135"/>
      <c r="TY748" s="135"/>
      <c r="TZ748" s="135"/>
      <c r="UA748" s="135"/>
      <c r="UB748" s="135"/>
      <c r="UC748" s="135"/>
      <c r="UD748" s="135"/>
      <c r="UE748" s="135"/>
      <c r="UF748" s="135"/>
      <c r="UG748" s="135"/>
    </row>
    <row r="749" spans="1:553" ht="30.75" customHeight="1">
      <c r="A749" s="366"/>
      <c r="B749" s="366">
        <v>52</v>
      </c>
      <c r="C749" s="1401" t="s">
        <v>967</v>
      </c>
      <c r="D749" s="1389"/>
      <c r="E749" s="1389"/>
      <c r="F749" s="1390"/>
      <c r="G749" s="366" t="s">
        <v>33</v>
      </c>
      <c r="H749" s="622"/>
      <c r="I749" s="626">
        <f>2.9*4.2</f>
        <v>12.18</v>
      </c>
      <c r="J749" s="369">
        <v>60200</v>
      </c>
      <c r="K749" s="371"/>
      <c r="L749" s="627">
        <f t="shared" si="114"/>
        <v>733236</v>
      </c>
      <c r="M749" s="366"/>
      <c r="N749" s="366"/>
      <c r="O749" s="366"/>
      <c r="P749" s="366"/>
      <c r="Q749" s="1151"/>
      <c r="R749" s="1226"/>
      <c r="S749" s="308"/>
      <c r="T749" s="308"/>
      <c r="U749" s="308"/>
      <c r="V749" s="308"/>
      <c r="W749" s="308"/>
      <c r="X749" s="308"/>
      <c r="Y749" s="308"/>
      <c r="Z749" s="604"/>
      <c r="AA749" s="308"/>
      <c r="AB749" s="308"/>
      <c r="AC749" s="625"/>
      <c r="AD749" s="625"/>
      <c r="AE749" s="625"/>
      <c r="AF749" s="625"/>
      <c r="AG749" s="625"/>
      <c r="AH749" s="625"/>
      <c r="AI749" s="625"/>
      <c r="AJ749" s="625"/>
      <c r="AK749" s="625"/>
      <c r="AL749" s="133"/>
      <c r="AM749" s="133"/>
      <c r="AN749" s="133"/>
      <c r="AO749" s="133"/>
      <c r="AP749" s="133"/>
      <c r="AQ749" s="133"/>
      <c r="AR749" s="133"/>
      <c r="AS749" s="133"/>
      <c r="AT749" s="133"/>
      <c r="AU749" s="133"/>
      <c r="AV749" s="133"/>
      <c r="AW749" s="133"/>
      <c r="AX749" s="133"/>
      <c r="AY749" s="133"/>
      <c r="AZ749" s="133"/>
      <c r="BA749" s="133"/>
      <c r="BB749" s="133"/>
      <c r="BC749" s="133"/>
      <c r="BD749" s="133"/>
      <c r="BE749" s="133"/>
      <c r="BF749" s="133"/>
      <c r="BG749" s="133"/>
      <c r="BH749" s="133"/>
      <c r="BI749" s="133"/>
      <c r="BJ749" s="133"/>
      <c r="BK749" s="133"/>
      <c r="BL749" s="133"/>
      <c r="BM749" s="133"/>
      <c r="BN749" s="133"/>
      <c r="BO749" s="133"/>
      <c r="BP749" s="133"/>
      <c r="BQ749" s="132"/>
      <c r="BR749" s="132"/>
      <c r="BS749" s="132"/>
      <c r="BT749" s="132"/>
      <c r="BU749" s="132"/>
      <c r="BV749" s="132"/>
      <c r="BW749" s="132"/>
      <c r="BX749" s="132"/>
      <c r="BY749" s="132"/>
      <c r="BZ749" s="132"/>
      <c r="CA749" s="132"/>
      <c r="CB749" s="132"/>
      <c r="CC749" s="132"/>
      <c r="CD749" s="132"/>
      <c r="CE749" s="132"/>
      <c r="CF749" s="132"/>
      <c r="CG749" s="132"/>
      <c r="CH749" s="132"/>
      <c r="CI749" s="132"/>
      <c r="CJ749" s="132"/>
      <c r="CK749" s="132"/>
      <c r="CL749" s="132"/>
      <c r="CM749" s="132"/>
      <c r="CN749" s="132"/>
      <c r="CO749" s="132"/>
      <c r="CP749" s="132"/>
      <c r="CQ749" s="132"/>
      <c r="CR749" s="132"/>
      <c r="CS749" s="132"/>
      <c r="CT749" s="132"/>
      <c r="CU749" s="132"/>
      <c r="CV749" s="132"/>
      <c r="CW749" s="132"/>
      <c r="CX749" s="132"/>
      <c r="CY749" s="132"/>
      <c r="CZ749" s="132"/>
      <c r="DA749" s="132"/>
      <c r="DB749" s="132"/>
      <c r="DC749" s="132"/>
      <c r="DD749" s="132"/>
      <c r="DE749" s="132"/>
      <c r="DF749" s="132"/>
      <c r="DG749" s="132"/>
      <c r="DH749" s="132"/>
      <c r="DI749" s="132"/>
      <c r="DJ749" s="132"/>
      <c r="DK749" s="132"/>
      <c r="DL749" s="132"/>
      <c r="DM749" s="132"/>
      <c r="DN749" s="132"/>
      <c r="DO749" s="132"/>
      <c r="DP749" s="132"/>
      <c r="DQ749" s="132"/>
      <c r="DR749" s="132"/>
      <c r="DS749" s="132"/>
      <c r="DT749" s="132"/>
      <c r="DU749" s="132"/>
      <c r="DV749" s="132"/>
      <c r="DW749" s="132"/>
      <c r="DX749" s="132"/>
      <c r="DY749" s="132"/>
      <c r="DZ749" s="132"/>
      <c r="EA749" s="132"/>
      <c r="EB749" s="132"/>
      <c r="EC749" s="132"/>
      <c r="ED749" s="132"/>
      <c r="EE749" s="132"/>
      <c r="EF749" s="132"/>
      <c r="EG749" s="132"/>
      <c r="EH749" s="132"/>
      <c r="EI749" s="132"/>
      <c r="EJ749" s="132"/>
      <c r="EK749" s="132"/>
      <c r="EL749" s="132"/>
      <c r="EM749" s="132"/>
      <c r="EN749" s="132"/>
      <c r="EO749" s="132"/>
      <c r="EP749" s="132"/>
      <c r="EQ749" s="132"/>
      <c r="ER749" s="132"/>
      <c r="ES749" s="132"/>
      <c r="ET749" s="132"/>
      <c r="EU749" s="132"/>
      <c r="EV749" s="132"/>
      <c r="EW749" s="132"/>
      <c r="EX749" s="132"/>
      <c r="EY749" s="132"/>
      <c r="EZ749" s="132"/>
      <c r="FA749" s="132"/>
      <c r="FB749" s="132"/>
      <c r="FC749" s="132"/>
      <c r="FD749" s="132"/>
      <c r="FE749" s="132"/>
      <c r="FF749" s="132"/>
      <c r="FG749" s="132"/>
      <c r="FH749" s="132"/>
      <c r="FI749" s="132"/>
      <c r="FJ749" s="132"/>
      <c r="FK749" s="132"/>
      <c r="FL749" s="132"/>
      <c r="FM749" s="132"/>
      <c r="FN749" s="132"/>
      <c r="FO749" s="132"/>
      <c r="FP749" s="132"/>
      <c r="FQ749" s="132"/>
      <c r="FR749" s="132"/>
      <c r="FS749" s="132"/>
      <c r="FT749" s="132"/>
      <c r="FU749" s="132"/>
      <c r="FV749" s="132"/>
      <c r="FW749" s="132"/>
      <c r="FX749" s="132"/>
      <c r="FY749" s="132"/>
      <c r="FZ749" s="132"/>
      <c r="GA749" s="132"/>
      <c r="GB749" s="132"/>
      <c r="GC749" s="132"/>
      <c r="GD749" s="132"/>
      <c r="GE749" s="132"/>
      <c r="GF749" s="132"/>
      <c r="GG749" s="132"/>
      <c r="GH749" s="132"/>
      <c r="GI749" s="132"/>
      <c r="GJ749" s="132"/>
      <c r="GK749" s="132"/>
      <c r="GL749" s="132"/>
      <c r="GM749" s="132"/>
      <c r="GN749" s="132"/>
      <c r="GO749" s="132"/>
      <c r="GP749" s="132"/>
      <c r="GQ749" s="132"/>
      <c r="GR749" s="132"/>
      <c r="GS749" s="132"/>
      <c r="GT749" s="132"/>
      <c r="GU749" s="132"/>
      <c r="GV749" s="132"/>
      <c r="GW749" s="132"/>
      <c r="GX749" s="132"/>
      <c r="GY749" s="132"/>
      <c r="GZ749" s="132"/>
      <c r="HA749" s="132"/>
      <c r="HB749" s="132"/>
      <c r="HC749" s="132"/>
      <c r="HD749" s="132"/>
      <c r="HE749" s="132"/>
      <c r="HF749" s="132"/>
      <c r="HG749" s="132"/>
      <c r="HH749" s="132"/>
      <c r="HI749" s="132"/>
      <c r="HJ749" s="132"/>
      <c r="HK749" s="132"/>
      <c r="HL749" s="132"/>
      <c r="HM749" s="132"/>
      <c r="HN749" s="132"/>
      <c r="HO749" s="132"/>
      <c r="HP749" s="132"/>
      <c r="HQ749" s="132"/>
      <c r="HR749" s="132"/>
      <c r="HS749" s="132"/>
      <c r="HT749" s="132"/>
      <c r="HU749" s="132"/>
      <c r="HV749" s="132"/>
      <c r="HW749" s="132"/>
      <c r="HX749" s="132"/>
      <c r="HY749" s="132"/>
      <c r="HZ749" s="132"/>
      <c r="IA749" s="132"/>
      <c r="IB749" s="132"/>
      <c r="IC749" s="132"/>
      <c r="ID749" s="132"/>
      <c r="IE749" s="132"/>
      <c r="IF749" s="132"/>
      <c r="IG749" s="132"/>
      <c r="IH749" s="132"/>
      <c r="II749" s="132"/>
      <c r="IJ749" s="132"/>
      <c r="IK749" s="132"/>
      <c r="IL749" s="132"/>
      <c r="IM749" s="132"/>
      <c r="IN749" s="132"/>
      <c r="IO749" s="132"/>
      <c r="IP749" s="132"/>
      <c r="IQ749" s="132"/>
      <c r="IR749" s="132"/>
      <c r="IS749" s="132"/>
      <c r="IT749" s="132"/>
      <c r="IU749" s="132"/>
      <c r="IV749" s="132"/>
      <c r="IW749" s="132"/>
      <c r="IX749" s="132"/>
      <c r="IY749" s="132"/>
      <c r="IZ749" s="132"/>
      <c r="JA749" s="132"/>
      <c r="JB749" s="132"/>
      <c r="JC749" s="132"/>
      <c r="JD749" s="132"/>
      <c r="JE749" s="132"/>
      <c r="JF749" s="132"/>
      <c r="JG749" s="132"/>
      <c r="JH749" s="132"/>
      <c r="JI749" s="132"/>
      <c r="JJ749" s="132"/>
      <c r="JK749" s="132"/>
      <c r="JL749" s="132"/>
      <c r="JM749" s="132"/>
      <c r="JN749" s="132"/>
      <c r="JO749" s="132"/>
      <c r="JP749" s="132"/>
      <c r="JQ749" s="132"/>
      <c r="JR749" s="132"/>
      <c r="JS749" s="132"/>
      <c r="JT749" s="132"/>
      <c r="JU749" s="132"/>
      <c r="JV749" s="132"/>
      <c r="JW749" s="132"/>
      <c r="JX749" s="132"/>
      <c r="JY749" s="132"/>
      <c r="JZ749" s="132"/>
      <c r="KA749" s="132"/>
      <c r="KB749" s="132"/>
      <c r="KC749" s="132"/>
      <c r="KD749" s="132"/>
      <c r="KE749" s="132"/>
      <c r="KF749" s="132"/>
      <c r="KG749" s="132"/>
      <c r="KH749" s="132"/>
      <c r="KI749" s="132"/>
      <c r="KJ749" s="132"/>
      <c r="KK749" s="132"/>
      <c r="KL749" s="132"/>
      <c r="KM749" s="132"/>
      <c r="KN749" s="132"/>
      <c r="KO749" s="132"/>
      <c r="KP749" s="132"/>
      <c r="KQ749" s="132"/>
      <c r="KR749" s="132"/>
      <c r="KS749" s="132"/>
      <c r="KT749" s="132"/>
      <c r="KU749" s="132"/>
      <c r="KV749" s="132"/>
      <c r="KW749" s="132"/>
      <c r="KX749" s="132"/>
      <c r="KY749" s="132"/>
      <c r="KZ749" s="132"/>
      <c r="LA749" s="132"/>
      <c r="LB749" s="132"/>
      <c r="LC749" s="132"/>
      <c r="LD749" s="132"/>
      <c r="LE749" s="132"/>
      <c r="LF749" s="132"/>
      <c r="LG749" s="132"/>
      <c r="LH749" s="132"/>
      <c r="LI749" s="132"/>
      <c r="LJ749" s="132"/>
      <c r="LK749" s="132"/>
      <c r="LL749" s="132"/>
      <c r="LM749" s="132"/>
      <c r="LN749" s="132"/>
      <c r="LO749" s="132"/>
      <c r="LP749" s="132"/>
      <c r="LQ749" s="132"/>
      <c r="LR749" s="132"/>
      <c r="LS749" s="132"/>
      <c r="LT749" s="132"/>
      <c r="LU749" s="132"/>
      <c r="LV749" s="132"/>
      <c r="LW749" s="132"/>
      <c r="LX749" s="132"/>
      <c r="LY749" s="132"/>
      <c r="LZ749" s="132"/>
      <c r="MA749" s="132"/>
      <c r="MB749" s="132"/>
      <c r="MC749" s="132"/>
      <c r="MD749" s="132"/>
      <c r="ME749" s="132"/>
      <c r="MF749" s="132"/>
      <c r="MG749" s="132"/>
      <c r="MH749" s="132"/>
      <c r="MI749" s="132"/>
      <c r="MJ749" s="132"/>
      <c r="MK749" s="132"/>
      <c r="ML749" s="132"/>
      <c r="MM749" s="132"/>
      <c r="MN749" s="132"/>
      <c r="MO749" s="132"/>
      <c r="MP749" s="132"/>
      <c r="MQ749" s="132"/>
      <c r="MR749" s="132"/>
      <c r="MS749" s="132"/>
      <c r="MT749" s="132"/>
      <c r="MU749" s="132"/>
      <c r="MV749" s="132"/>
      <c r="MW749" s="132"/>
      <c r="MX749" s="132"/>
      <c r="MY749" s="132"/>
      <c r="MZ749" s="132"/>
      <c r="NA749" s="132"/>
      <c r="NB749" s="132"/>
      <c r="NC749" s="132"/>
      <c r="ND749" s="132"/>
      <c r="NE749" s="132"/>
      <c r="NF749" s="132"/>
      <c r="NG749" s="132"/>
      <c r="NH749" s="132"/>
      <c r="NI749" s="132"/>
      <c r="NJ749" s="132"/>
      <c r="NK749" s="132"/>
      <c r="NL749" s="132"/>
      <c r="NM749" s="132"/>
      <c r="NN749" s="132"/>
      <c r="NO749" s="132"/>
      <c r="NP749" s="132"/>
      <c r="NQ749" s="132"/>
      <c r="NR749" s="132"/>
      <c r="NS749" s="132"/>
      <c r="NT749" s="132"/>
      <c r="NU749" s="132"/>
      <c r="NV749" s="132"/>
      <c r="NW749" s="132"/>
      <c r="NX749" s="132"/>
      <c r="NY749" s="132"/>
      <c r="NZ749" s="132"/>
      <c r="OA749" s="132"/>
      <c r="OB749" s="132"/>
      <c r="OC749" s="132"/>
      <c r="OD749" s="132"/>
      <c r="OE749" s="132"/>
      <c r="OF749" s="132"/>
      <c r="OG749" s="132"/>
      <c r="OH749" s="132"/>
      <c r="OI749" s="132"/>
      <c r="OJ749" s="132"/>
      <c r="OK749" s="132"/>
      <c r="OL749" s="132"/>
      <c r="OM749" s="132"/>
      <c r="ON749" s="132"/>
      <c r="OO749" s="132"/>
      <c r="OP749" s="132"/>
      <c r="OQ749" s="132"/>
      <c r="OR749" s="132"/>
      <c r="OS749" s="132"/>
      <c r="OT749" s="132"/>
      <c r="OU749" s="132"/>
      <c r="OV749" s="132"/>
      <c r="OW749" s="132"/>
      <c r="OX749" s="132"/>
      <c r="OY749" s="132"/>
      <c r="OZ749" s="132"/>
      <c r="PA749" s="132"/>
      <c r="PB749" s="132"/>
      <c r="PC749" s="132"/>
      <c r="PD749" s="132"/>
      <c r="PE749" s="132"/>
      <c r="PF749" s="132"/>
      <c r="PG749" s="132"/>
      <c r="PH749" s="132"/>
      <c r="PI749" s="132"/>
      <c r="PJ749" s="132"/>
      <c r="PK749" s="132"/>
      <c r="PL749" s="132"/>
      <c r="PM749" s="132"/>
      <c r="PN749" s="132"/>
      <c r="PO749" s="132"/>
      <c r="PP749" s="132"/>
      <c r="PQ749" s="132"/>
      <c r="PR749" s="132"/>
      <c r="PS749" s="132"/>
      <c r="PT749" s="132"/>
      <c r="PU749" s="132"/>
      <c r="PV749" s="132"/>
      <c r="PW749" s="132"/>
      <c r="PX749" s="132"/>
      <c r="PY749" s="132"/>
      <c r="PZ749" s="132"/>
      <c r="QA749" s="132"/>
      <c r="QB749" s="132"/>
      <c r="QC749" s="132"/>
      <c r="QD749" s="132"/>
      <c r="QE749" s="132"/>
      <c r="QF749" s="132"/>
      <c r="QG749" s="132"/>
      <c r="QH749" s="132"/>
      <c r="QI749" s="132"/>
      <c r="QJ749" s="132"/>
      <c r="QK749" s="132"/>
      <c r="QL749" s="132"/>
      <c r="QM749" s="132"/>
      <c r="QN749" s="132"/>
      <c r="QO749" s="132"/>
      <c r="QP749" s="132"/>
      <c r="QQ749" s="132"/>
      <c r="QR749" s="132"/>
      <c r="QS749" s="132"/>
      <c r="QT749" s="132"/>
      <c r="QU749" s="132"/>
      <c r="QV749" s="132"/>
      <c r="QW749" s="132"/>
      <c r="QX749" s="132"/>
      <c r="QY749" s="132"/>
      <c r="QZ749" s="132"/>
      <c r="RA749" s="132"/>
      <c r="RB749" s="132"/>
      <c r="RC749" s="132"/>
      <c r="RD749" s="132"/>
      <c r="RE749" s="132"/>
      <c r="RF749" s="132"/>
      <c r="RG749" s="132"/>
      <c r="RH749" s="132"/>
      <c r="RI749" s="132"/>
      <c r="RJ749" s="132"/>
      <c r="RK749" s="132"/>
      <c r="RL749" s="132"/>
      <c r="RM749" s="132"/>
      <c r="RN749" s="132"/>
      <c r="RO749" s="132"/>
      <c r="RP749" s="132"/>
      <c r="RQ749" s="132"/>
      <c r="RR749" s="132"/>
      <c r="RS749" s="132"/>
      <c r="RT749" s="132"/>
      <c r="RU749" s="132"/>
      <c r="RV749" s="132"/>
      <c r="RW749" s="132"/>
      <c r="RX749" s="132"/>
      <c r="RY749" s="132"/>
      <c r="RZ749" s="132"/>
      <c r="SA749" s="132"/>
      <c r="SB749" s="132"/>
      <c r="SC749" s="132"/>
      <c r="SD749" s="132"/>
      <c r="SE749" s="132"/>
      <c r="SF749" s="132"/>
      <c r="SG749" s="132"/>
      <c r="SH749" s="132"/>
      <c r="SI749" s="132"/>
      <c r="SJ749" s="132"/>
      <c r="SK749" s="132"/>
      <c r="SL749" s="132"/>
      <c r="SM749" s="132"/>
      <c r="SN749" s="132"/>
      <c r="SO749" s="132"/>
      <c r="SP749" s="132"/>
      <c r="SQ749" s="132"/>
      <c r="SR749" s="132"/>
      <c r="SS749" s="132"/>
      <c r="ST749" s="132"/>
      <c r="SU749" s="132"/>
      <c r="SV749" s="132"/>
      <c r="SW749" s="132"/>
      <c r="SX749" s="132"/>
      <c r="SY749" s="132"/>
      <c r="SZ749" s="132"/>
      <c r="TA749" s="132"/>
      <c r="TB749" s="132"/>
      <c r="TC749" s="132"/>
      <c r="TD749" s="132"/>
      <c r="TE749" s="132"/>
      <c r="TF749" s="132"/>
      <c r="TG749" s="132"/>
      <c r="TH749" s="132"/>
      <c r="TI749" s="132"/>
      <c r="TJ749" s="132"/>
      <c r="TK749" s="132"/>
      <c r="TL749" s="132"/>
      <c r="TM749" s="132"/>
      <c r="TN749" s="132"/>
      <c r="TO749" s="132"/>
      <c r="TP749" s="132"/>
      <c r="TQ749" s="132"/>
      <c r="TR749" s="132"/>
      <c r="TS749" s="132"/>
      <c r="TT749" s="132"/>
      <c r="TU749" s="132"/>
      <c r="TV749" s="132"/>
      <c r="TW749" s="132"/>
      <c r="TX749" s="132"/>
      <c r="TY749" s="132"/>
      <c r="TZ749" s="132"/>
      <c r="UA749" s="132"/>
      <c r="UB749" s="132"/>
      <c r="UC749" s="132"/>
      <c r="UD749" s="132"/>
      <c r="UE749" s="132"/>
      <c r="UF749" s="132"/>
      <c r="UG749" s="132"/>
    </row>
    <row r="750" spans="1:553" ht="30.75" customHeight="1">
      <c r="A750" s="366"/>
      <c r="B750" s="366">
        <v>217</v>
      </c>
      <c r="C750" s="1401" t="s">
        <v>966</v>
      </c>
      <c r="D750" s="1389"/>
      <c r="E750" s="1389"/>
      <c r="F750" s="1390"/>
      <c r="G750" s="366" t="s">
        <v>33</v>
      </c>
      <c r="H750" s="622"/>
      <c r="I750" s="626">
        <f>(5.8*4.3)+(2.1*3.8)+(5.2*1.9)+(7*4.4)</f>
        <v>73.599999999999994</v>
      </c>
      <c r="J750" s="369">
        <v>137200</v>
      </c>
      <c r="K750" s="371"/>
      <c r="L750" s="627">
        <f t="shared" si="114"/>
        <v>10097920</v>
      </c>
      <c r="M750" s="366"/>
      <c r="N750" s="366"/>
      <c r="O750" s="366"/>
      <c r="P750" s="366"/>
      <c r="Q750" s="1151"/>
      <c r="R750" s="1226"/>
      <c r="S750" s="308"/>
      <c r="T750" s="308"/>
      <c r="U750" s="308"/>
      <c r="V750" s="308"/>
      <c r="W750" s="308"/>
      <c r="X750" s="308"/>
      <c r="Y750" s="308"/>
      <c r="Z750" s="604"/>
      <c r="AA750" s="308"/>
      <c r="AB750" s="308"/>
      <c r="AC750" s="625"/>
      <c r="AD750" s="625"/>
      <c r="AE750" s="625"/>
      <c r="AF750" s="625"/>
      <c r="AG750" s="625"/>
      <c r="AH750" s="625"/>
      <c r="AI750" s="625"/>
      <c r="AJ750" s="625"/>
      <c r="AK750" s="625"/>
      <c r="AL750" s="133"/>
      <c r="AM750" s="133"/>
      <c r="AN750" s="133"/>
      <c r="AO750" s="133"/>
      <c r="AP750" s="133"/>
      <c r="AQ750" s="133"/>
      <c r="AR750" s="133"/>
      <c r="AS750" s="133"/>
      <c r="AT750" s="133"/>
      <c r="AU750" s="133"/>
      <c r="AV750" s="133"/>
      <c r="AW750" s="133"/>
      <c r="AX750" s="133"/>
      <c r="AY750" s="133"/>
      <c r="AZ750" s="133"/>
      <c r="BA750" s="133"/>
      <c r="BB750" s="133"/>
      <c r="BC750" s="133"/>
      <c r="BD750" s="133"/>
      <c r="BE750" s="133"/>
      <c r="BF750" s="133"/>
      <c r="BG750" s="133"/>
      <c r="BH750" s="133"/>
      <c r="BI750" s="133"/>
      <c r="BJ750" s="133"/>
      <c r="BK750" s="133"/>
      <c r="BL750" s="133"/>
      <c r="BM750" s="133"/>
      <c r="BN750" s="133"/>
      <c r="BO750" s="133"/>
      <c r="BP750" s="133"/>
      <c r="BQ750" s="132"/>
      <c r="BR750" s="132"/>
      <c r="BS750" s="132"/>
      <c r="BT750" s="132"/>
      <c r="BU750" s="132"/>
      <c r="BV750" s="132"/>
      <c r="BW750" s="132"/>
      <c r="BX750" s="132"/>
      <c r="BY750" s="132"/>
      <c r="BZ750" s="132"/>
      <c r="CA750" s="132"/>
      <c r="CB750" s="132"/>
      <c r="CC750" s="132"/>
      <c r="CD750" s="132"/>
      <c r="CE750" s="132"/>
      <c r="CF750" s="132"/>
      <c r="CG750" s="132"/>
      <c r="CH750" s="132"/>
      <c r="CI750" s="132"/>
      <c r="CJ750" s="132"/>
      <c r="CK750" s="132"/>
      <c r="CL750" s="132"/>
      <c r="CM750" s="132"/>
      <c r="CN750" s="132"/>
      <c r="CO750" s="132"/>
      <c r="CP750" s="132"/>
      <c r="CQ750" s="132"/>
      <c r="CR750" s="132"/>
      <c r="CS750" s="132"/>
      <c r="CT750" s="132"/>
      <c r="CU750" s="132"/>
      <c r="CV750" s="132"/>
      <c r="CW750" s="132"/>
      <c r="CX750" s="132"/>
      <c r="CY750" s="132"/>
      <c r="CZ750" s="132"/>
      <c r="DA750" s="132"/>
      <c r="DB750" s="132"/>
      <c r="DC750" s="132"/>
      <c r="DD750" s="132"/>
      <c r="DE750" s="132"/>
      <c r="DF750" s="132"/>
      <c r="DG750" s="132"/>
      <c r="DH750" s="132"/>
      <c r="DI750" s="132"/>
      <c r="DJ750" s="132"/>
      <c r="DK750" s="132"/>
      <c r="DL750" s="132"/>
      <c r="DM750" s="132"/>
      <c r="DN750" s="132"/>
      <c r="DO750" s="132"/>
      <c r="DP750" s="132"/>
      <c r="DQ750" s="132"/>
      <c r="DR750" s="132"/>
      <c r="DS750" s="132"/>
      <c r="DT750" s="132"/>
      <c r="DU750" s="132"/>
      <c r="DV750" s="132"/>
      <c r="DW750" s="132"/>
      <c r="DX750" s="132"/>
      <c r="DY750" s="132"/>
      <c r="DZ750" s="132"/>
      <c r="EA750" s="132"/>
      <c r="EB750" s="132"/>
      <c r="EC750" s="132"/>
      <c r="ED750" s="132"/>
      <c r="EE750" s="132"/>
      <c r="EF750" s="132"/>
      <c r="EG750" s="132"/>
      <c r="EH750" s="132"/>
      <c r="EI750" s="132"/>
      <c r="EJ750" s="132"/>
      <c r="EK750" s="132"/>
      <c r="EL750" s="132"/>
      <c r="EM750" s="132"/>
      <c r="EN750" s="132"/>
      <c r="EO750" s="132"/>
      <c r="EP750" s="132"/>
      <c r="EQ750" s="132"/>
      <c r="ER750" s="132"/>
      <c r="ES750" s="132"/>
      <c r="ET750" s="132"/>
      <c r="EU750" s="132"/>
      <c r="EV750" s="132"/>
      <c r="EW750" s="132"/>
      <c r="EX750" s="132"/>
      <c r="EY750" s="132"/>
      <c r="EZ750" s="132"/>
      <c r="FA750" s="132"/>
      <c r="FB750" s="132"/>
      <c r="FC750" s="132"/>
      <c r="FD750" s="132"/>
      <c r="FE750" s="132"/>
      <c r="FF750" s="132"/>
      <c r="FG750" s="132"/>
      <c r="FH750" s="132"/>
      <c r="FI750" s="132"/>
      <c r="FJ750" s="132"/>
      <c r="FK750" s="132"/>
      <c r="FL750" s="132"/>
      <c r="FM750" s="132"/>
      <c r="FN750" s="132"/>
      <c r="FO750" s="132"/>
      <c r="FP750" s="132"/>
      <c r="FQ750" s="132"/>
      <c r="FR750" s="132"/>
      <c r="FS750" s="132"/>
      <c r="FT750" s="132"/>
      <c r="FU750" s="132"/>
      <c r="FV750" s="132"/>
      <c r="FW750" s="132"/>
      <c r="FX750" s="132"/>
      <c r="FY750" s="132"/>
      <c r="FZ750" s="132"/>
      <c r="GA750" s="132"/>
      <c r="GB750" s="132"/>
      <c r="GC750" s="132"/>
      <c r="GD750" s="132"/>
      <c r="GE750" s="132"/>
      <c r="GF750" s="132"/>
      <c r="GG750" s="132"/>
      <c r="GH750" s="132"/>
      <c r="GI750" s="132"/>
      <c r="GJ750" s="132"/>
      <c r="GK750" s="132"/>
      <c r="GL750" s="132"/>
      <c r="GM750" s="132"/>
      <c r="GN750" s="132"/>
      <c r="GO750" s="132"/>
      <c r="GP750" s="132"/>
      <c r="GQ750" s="132"/>
      <c r="GR750" s="132"/>
      <c r="GS750" s="132"/>
      <c r="GT750" s="132"/>
      <c r="GU750" s="132"/>
      <c r="GV750" s="132"/>
      <c r="GW750" s="132"/>
      <c r="GX750" s="132"/>
      <c r="GY750" s="132"/>
      <c r="GZ750" s="132"/>
      <c r="HA750" s="132"/>
      <c r="HB750" s="132"/>
      <c r="HC750" s="132"/>
      <c r="HD750" s="132"/>
      <c r="HE750" s="132"/>
      <c r="HF750" s="132"/>
      <c r="HG750" s="132"/>
      <c r="HH750" s="132"/>
      <c r="HI750" s="132"/>
      <c r="HJ750" s="132"/>
      <c r="HK750" s="132"/>
      <c r="HL750" s="132"/>
      <c r="HM750" s="132"/>
      <c r="HN750" s="132"/>
      <c r="HO750" s="132"/>
      <c r="HP750" s="132"/>
      <c r="HQ750" s="132"/>
      <c r="HR750" s="132"/>
      <c r="HS750" s="132"/>
      <c r="HT750" s="132"/>
      <c r="HU750" s="132"/>
      <c r="HV750" s="132"/>
      <c r="HW750" s="132"/>
      <c r="HX750" s="132"/>
      <c r="HY750" s="132"/>
      <c r="HZ750" s="132"/>
      <c r="IA750" s="132"/>
      <c r="IB750" s="132"/>
      <c r="IC750" s="132"/>
      <c r="ID750" s="132"/>
      <c r="IE750" s="132"/>
      <c r="IF750" s="132"/>
      <c r="IG750" s="132"/>
      <c r="IH750" s="132"/>
      <c r="II750" s="132"/>
      <c r="IJ750" s="132"/>
      <c r="IK750" s="132"/>
      <c r="IL750" s="132"/>
      <c r="IM750" s="132"/>
      <c r="IN750" s="132"/>
      <c r="IO750" s="132"/>
      <c r="IP750" s="132"/>
      <c r="IQ750" s="132"/>
      <c r="IR750" s="132"/>
      <c r="IS750" s="132"/>
      <c r="IT750" s="132"/>
      <c r="IU750" s="132"/>
      <c r="IV750" s="132"/>
      <c r="IW750" s="132"/>
      <c r="IX750" s="132"/>
      <c r="IY750" s="132"/>
      <c r="IZ750" s="132"/>
      <c r="JA750" s="132"/>
      <c r="JB750" s="132"/>
      <c r="JC750" s="132"/>
      <c r="JD750" s="132"/>
      <c r="JE750" s="132"/>
      <c r="JF750" s="132"/>
      <c r="JG750" s="132"/>
      <c r="JH750" s="132"/>
      <c r="JI750" s="132"/>
      <c r="JJ750" s="132"/>
      <c r="JK750" s="132"/>
      <c r="JL750" s="132"/>
      <c r="JM750" s="132"/>
      <c r="JN750" s="132"/>
      <c r="JO750" s="132"/>
      <c r="JP750" s="132"/>
      <c r="JQ750" s="132"/>
      <c r="JR750" s="132"/>
      <c r="JS750" s="132"/>
      <c r="JT750" s="132"/>
      <c r="JU750" s="132"/>
      <c r="JV750" s="132"/>
      <c r="JW750" s="132"/>
      <c r="JX750" s="132"/>
      <c r="JY750" s="132"/>
      <c r="JZ750" s="132"/>
      <c r="KA750" s="132"/>
      <c r="KB750" s="132"/>
      <c r="KC750" s="132"/>
      <c r="KD750" s="132"/>
      <c r="KE750" s="132"/>
      <c r="KF750" s="132"/>
      <c r="KG750" s="132"/>
      <c r="KH750" s="132"/>
      <c r="KI750" s="132"/>
      <c r="KJ750" s="132"/>
      <c r="KK750" s="132"/>
      <c r="KL750" s="132"/>
      <c r="KM750" s="132"/>
      <c r="KN750" s="132"/>
      <c r="KO750" s="132"/>
      <c r="KP750" s="132"/>
      <c r="KQ750" s="132"/>
      <c r="KR750" s="132"/>
      <c r="KS750" s="132"/>
      <c r="KT750" s="132"/>
      <c r="KU750" s="132"/>
      <c r="KV750" s="132"/>
      <c r="KW750" s="132"/>
      <c r="KX750" s="132"/>
      <c r="KY750" s="132"/>
      <c r="KZ750" s="132"/>
      <c r="LA750" s="132"/>
      <c r="LB750" s="132"/>
      <c r="LC750" s="132"/>
      <c r="LD750" s="132"/>
      <c r="LE750" s="132"/>
      <c r="LF750" s="132"/>
      <c r="LG750" s="132"/>
      <c r="LH750" s="132"/>
      <c r="LI750" s="132"/>
      <c r="LJ750" s="132"/>
      <c r="LK750" s="132"/>
      <c r="LL750" s="132"/>
      <c r="LM750" s="132"/>
      <c r="LN750" s="132"/>
      <c r="LO750" s="132"/>
      <c r="LP750" s="132"/>
      <c r="LQ750" s="132"/>
      <c r="LR750" s="132"/>
      <c r="LS750" s="132"/>
      <c r="LT750" s="132"/>
      <c r="LU750" s="132"/>
      <c r="LV750" s="132"/>
      <c r="LW750" s="132"/>
      <c r="LX750" s="132"/>
      <c r="LY750" s="132"/>
      <c r="LZ750" s="132"/>
      <c r="MA750" s="132"/>
      <c r="MB750" s="132"/>
      <c r="MC750" s="132"/>
      <c r="MD750" s="132"/>
      <c r="ME750" s="132"/>
      <c r="MF750" s="132"/>
      <c r="MG750" s="132"/>
      <c r="MH750" s="132"/>
      <c r="MI750" s="132"/>
      <c r="MJ750" s="132"/>
      <c r="MK750" s="132"/>
      <c r="ML750" s="132"/>
      <c r="MM750" s="132"/>
      <c r="MN750" s="132"/>
      <c r="MO750" s="132"/>
      <c r="MP750" s="132"/>
      <c r="MQ750" s="132"/>
      <c r="MR750" s="132"/>
      <c r="MS750" s="132"/>
      <c r="MT750" s="132"/>
      <c r="MU750" s="132"/>
      <c r="MV750" s="132"/>
      <c r="MW750" s="132"/>
      <c r="MX750" s="132"/>
      <c r="MY750" s="132"/>
      <c r="MZ750" s="132"/>
      <c r="NA750" s="132"/>
      <c r="NB750" s="132"/>
      <c r="NC750" s="132"/>
      <c r="ND750" s="132"/>
      <c r="NE750" s="132"/>
      <c r="NF750" s="132"/>
      <c r="NG750" s="132"/>
      <c r="NH750" s="132"/>
      <c r="NI750" s="132"/>
      <c r="NJ750" s="132"/>
      <c r="NK750" s="132"/>
      <c r="NL750" s="132"/>
      <c r="NM750" s="132"/>
      <c r="NN750" s="132"/>
      <c r="NO750" s="132"/>
      <c r="NP750" s="132"/>
      <c r="NQ750" s="132"/>
      <c r="NR750" s="132"/>
      <c r="NS750" s="132"/>
      <c r="NT750" s="132"/>
      <c r="NU750" s="132"/>
      <c r="NV750" s="132"/>
      <c r="NW750" s="132"/>
      <c r="NX750" s="132"/>
      <c r="NY750" s="132"/>
      <c r="NZ750" s="132"/>
      <c r="OA750" s="132"/>
      <c r="OB750" s="132"/>
      <c r="OC750" s="132"/>
      <c r="OD750" s="132"/>
      <c r="OE750" s="132"/>
      <c r="OF750" s="132"/>
      <c r="OG750" s="132"/>
      <c r="OH750" s="132"/>
      <c r="OI750" s="132"/>
      <c r="OJ750" s="132"/>
      <c r="OK750" s="132"/>
      <c r="OL750" s="132"/>
      <c r="OM750" s="132"/>
      <c r="ON750" s="132"/>
      <c r="OO750" s="132"/>
      <c r="OP750" s="132"/>
      <c r="OQ750" s="132"/>
      <c r="OR750" s="132"/>
      <c r="OS750" s="132"/>
      <c r="OT750" s="132"/>
      <c r="OU750" s="132"/>
      <c r="OV750" s="132"/>
      <c r="OW750" s="132"/>
      <c r="OX750" s="132"/>
      <c r="OY750" s="132"/>
      <c r="OZ750" s="132"/>
      <c r="PA750" s="132"/>
      <c r="PB750" s="132"/>
      <c r="PC750" s="132"/>
      <c r="PD750" s="132"/>
      <c r="PE750" s="132"/>
      <c r="PF750" s="132"/>
      <c r="PG750" s="132"/>
      <c r="PH750" s="132"/>
      <c r="PI750" s="132"/>
      <c r="PJ750" s="132"/>
      <c r="PK750" s="132"/>
      <c r="PL750" s="132"/>
      <c r="PM750" s="132"/>
      <c r="PN750" s="132"/>
      <c r="PO750" s="132"/>
      <c r="PP750" s="132"/>
      <c r="PQ750" s="132"/>
      <c r="PR750" s="132"/>
      <c r="PS750" s="132"/>
      <c r="PT750" s="132"/>
      <c r="PU750" s="132"/>
      <c r="PV750" s="132"/>
      <c r="PW750" s="132"/>
      <c r="PX750" s="132"/>
      <c r="PY750" s="132"/>
      <c r="PZ750" s="132"/>
      <c r="QA750" s="132"/>
      <c r="QB750" s="132"/>
      <c r="QC750" s="132"/>
      <c r="QD750" s="132"/>
      <c r="QE750" s="132"/>
      <c r="QF750" s="132"/>
      <c r="QG750" s="132"/>
      <c r="QH750" s="132"/>
      <c r="QI750" s="132"/>
      <c r="QJ750" s="132"/>
      <c r="QK750" s="132"/>
      <c r="QL750" s="132"/>
      <c r="QM750" s="132"/>
      <c r="QN750" s="132"/>
      <c r="QO750" s="132"/>
      <c r="QP750" s="132"/>
      <c r="QQ750" s="132"/>
      <c r="QR750" s="132"/>
      <c r="QS750" s="132"/>
      <c r="QT750" s="132"/>
      <c r="QU750" s="132"/>
      <c r="QV750" s="132"/>
      <c r="QW750" s="132"/>
      <c r="QX750" s="132"/>
      <c r="QY750" s="132"/>
      <c r="QZ750" s="132"/>
      <c r="RA750" s="132"/>
      <c r="RB750" s="132"/>
      <c r="RC750" s="132"/>
      <c r="RD750" s="132"/>
      <c r="RE750" s="132"/>
      <c r="RF750" s="132"/>
      <c r="RG750" s="132"/>
      <c r="RH750" s="132"/>
      <c r="RI750" s="132"/>
      <c r="RJ750" s="132"/>
      <c r="RK750" s="132"/>
      <c r="RL750" s="132"/>
      <c r="RM750" s="132"/>
      <c r="RN750" s="132"/>
      <c r="RO750" s="132"/>
      <c r="RP750" s="132"/>
      <c r="RQ750" s="132"/>
      <c r="RR750" s="132"/>
      <c r="RS750" s="132"/>
      <c r="RT750" s="132"/>
      <c r="RU750" s="132"/>
      <c r="RV750" s="132"/>
      <c r="RW750" s="132"/>
      <c r="RX750" s="132"/>
      <c r="RY750" s="132"/>
      <c r="RZ750" s="132"/>
      <c r="SA750" s="132"/>
      <c r="SB750" s="132"/>
      <c r="SC750" s="132"/>
      <c r="SD750" s="132"/>
      <c r="SE750" s="132"/>
      <c r="SF750" s="132"/>
      <c r="SG750" s="132"/>
      <c r="SH750" s="132"/>
      <c r="SI750" s="132"/>
      <c r="SJ750" s="132"/>
      <c r="SK750" s="132"/>
      <c r="SL750" s="132"/>
      <c r="SM750" s="132"/>
      <c r="SN750" s="132"/>
      <c r="SO750" s="132"/>
      <c r="SP750" s="132"/>
      <c r="SQ750" s="132"/>
      <c r="SR750" s="132"/>
      <c r="SS750" s="132"/>
      <c r="ST750" s="132"/>
      <c r="SU750" s="132"/>
      <c r="SV750" s="132"/>
      <c r="SW750" s="132"/>
      <c r="SX750" s="132"/>
      <c r="SY750" s="132"/>
      <c r="SZ750" s="132"/>
      <c r="TA750" s="132"/>
      <c r="TB750" s="132"/>
      <c r="TC750" s="132"/>
      <c r="TD750" s="132"/>
      <c r="TE750" s="132"/>
      <c r="TF750" s="132"/>
      <c r="TG750" s="132"/>
      <c r="TH750" s="132"/>
      <c r="TI750" s="132"/>
      <c r="TJ750" s="132"/>
      <c r="TK750" s="132"/>
      <c r="TL750" s="132"/>
      <c r="TM750" s="132"/>
      <c r="TN750" s="132"/>
      <c r="TO750" s="132"/>
      <c r="TP750" s="132"/>
      <c r="TQ750" s="132"/>
      <c r="TR750" s="132"/>
      <c r="TS750" s="132"/>
      <c r="TT750" s="132"/>
      <c r="TU750" s="132"/>
      <c r="TV750" s="132"/>
      <c r="TW750" s="132"/>
      <c r="TX750" s="132"/>
      <c r="TY750" s="132"/>
      <c r="TZ750" s="132"/>
      <c r="UA750" s="132"/>
      <c r="UB750" s="132"/>
      <c r="UC750" s="132"/>
      <c r="UD750" s="132"/>
      <c r="UE750" s="132"/>
      <c r="UF750" s="132"/>
      <c r="UG750" s="132"/>
    </row>
    <row r="751" spans="1:553" ht="30.75" customHeight="1">
      <c r="A751" s="366"/>
      <c r="B751" s="366">
        <v>161</v>
      </c>
      <c r="C751" s="1401" t="s">
        <v>965</v>
      </c>
      <c r="D751" s="1389"/>
      <c r="E751" s="1389"/>
      <c r="F751" s="1390"/>
      <c r="G751" s="366" t="s">
        <v>34</v>
      </c>
      <c r="H751" s="622"/>
      <c r="I751" s="626">
        <f>(1.5*2.1*1.3)+(1*1.2*1)</f>
        <v>5.2950000000000008</v>
      </c>
      <c r="J751" s="369">
        <v>1080400</v>
      </c>
      <c r="K751" s="371"/>
      <c r="L751" s="627">
        <f t="shared" si="114"/>
        <v>5720718.0000000009</v>
      </c>
      <c r="M751" s="366"/>
      <c r="N751" s="366"/>
      <c r="O751" s="366"/>
      <c r="P751" s="366"/>
      <c r="Q751" s="1151"/>
      <c r="R751" s="1226"/>
      <c r="S751" s="308"/>
      <c r="T751" s="308"/>
      <c r="U751" s="308"/>
      <c r="V751" s="308"/>
      <c r="W751" s="308"/>
      <c r="X751" s="308"/>
      <c r="Y751" s="308"/>
      <c r="Z751" s="604"/>
      <c r="AA751" s="308"/>
      <c r="AB751" s="308"/>
      <c r="AC751" s="625"/>
      <c r="AD751" s="625"/>
      <c r="AE751" s="625"/>
      <c r="AF751" s="625"/>
      <c r="AG751" s="625"/>
      <c r="AH751" s="625"/>
      <c r="AI751" s="625"/>
      <c r="AJ751" s="625"/>
      <c r="AK751" s="625"/>
      <c r="AL751" s="133"/>
      <c r="AM751" s="133"/>
      <c r="AN751" s="133"/>
      <c r="AO751" s="133"/>
      <c r="AP751" s="133"/>
      <c r="AQ751" s="133"/>
      <c r="AR751" s="133"/>
      <c r="AS751" s="133"/>
      <c r="AT751" s="133"/>
      <c r="AU751" s="133"/>
      <c r="AV751" s="133"/>
      <c r="AW751" s="133"/>
      <c r="AX751" s="133"/>
      <c r="AY751" s="133"/>
      <c r="AZ751" s="133"/>
      <c r="BA751" s="133"/>
      <c r="BB751" s="133"/>
      <c r="BC751" s="133"/>
      <c r="BD751" s="133"/>
      <c r="BE751" s="133"/>
      <c r="BF751" s="133"/>
      <c r="BG751" s="133"/>
      <c r="BH751" s="133"/>
      <c r="BI751" s="133"/>
      <c r="BJ751" s="133"/>
      <c r="BK751" s="133"/>
      <c r="BL751" s="133"/>
      <c r="BM751" s="133"/>
      <c r="BN751" s="133"/>
      <c r="BO751" s="133"/>
      <c r="BP751" s="133"/>
      <c r="BQ751" s="132"/>
      <c r="BR751" s="132"/>
      <c r="BS751" s="132"/>
      <c r="BT751" s="132"/>
      <c r="BU751" s="132"/>
      <c r="BV751" s="132"/>
      <c r="BW751" s="132"/>
      <c r="BX751" s="132"/>
      <c r="BY751" s="132"/>
      <c r="BZ751" s="132"/>
      <c r="CA751" s="132"/>
      <c r="CB751" s="132"/>
      <c r="CC751" s="132"/>
      <c r="CD751" s="132"/>
      <c r="CE751" s="132"/>
      <c r="CF751" s="132"/>
      <c r="CG751" s="132"/>
      <c r="CH751" s="132"/>
      <c r="CI751" s="132"/>
      <c r="CJ751" s="132"/>
      <c r="CK751" s="132"/>
      <c r="CL751" s="132"/>
      <c r="CM751" s="132"/>
      <c r="CN751" s="132"/>
      <c r="CO751" s="132"/>
      <c r="CP751" s="132"/>
      <c r="CQ751" s="132"/>
      <c r="CR751" s="132"/>
      <c r="CS751" s="132"/>
      <c r="CT751" s="132"/>
      <c r="CU751" s="132"/>
      <c r="CV751" s="132"/>
      <c r="CW751" s="132"/>
      <c r="CX751" s="132"/>
      <c r="CY751" s="132"/>
      <c r="CZ751" s="132"/>
      <c r="DA751" s="132"/>
      <c r="DB751" s="132"/>
      <c r="DC751" s="132"/>
      <c r="DD751" s="132"/>
      <c r="DE751" s="132"/>
      <c r="DF751" s="132"/>
      <c r="DG751" s="132"/>
      <c r="DH751" s="132"/>
      <c r="DI751" s="132"/>
      <c r="DJ751" s="132"/>
      <c r="DK751" s="132"/>
      <c r="DL751" s="132"/>
      <c r="DM751" s="132"/>
      <c r="DN751" s="132"/>
      <c r="DO751" s="132"/>
      <c r="DP751" s="132"/>
      <c r="DQ751" s="132"/>
      <c r="DR751" s="132"/>
      <c r="DS751" s="132"/>
      <c r="DT751" s="132"/>
      <c r="DU751" s="132"/>
      <c r="DV751" s="132"/>
      <c r="DW751" s="132"/>
      <c r="DX751" s="132"/>
      <c r="DY751" s="132"/>
      <c r="DZ751" s="132"/>
      <c r="EA751" s="132"/>
      <c r="EB751" s="132"/>
      <c r="EC751" s="132"/>
      <c r="ED751" s="132"/>
      <c r="EE751" s="132"/>
      <c r="EF751" s="132"/>
      <c r="EG751" s="132"/>
      <c r="EH751" s="132"/>
      <c r="EI751" s="132"/>
      <c r="EJ751" s="132"/>
      <c r="EK751" s="132"/>
      <c r="EL751" s="132"/>
      <c r="EM751" s="132"/>
      <c r="EN751" s="132"/>
      <c r="EO751" s="132"/>
      <c r="EP751" s="132"/>
      <c r="EQ751" s="132"/>
      <c r="ER751" s="132"/>
      <c r="ES751" s="132"/>
      <c r="ET751" s="132"/>
      <c r="EU751" s="132"/>
      <c r="EV751" s="132"/>
      <c r="EW751" s="132"/>
      <c r="EX751" s="132"/>
      <c r="EY751" s="132"/>
      <c r="EZ751" s="132"/>
      <c r="FA751" s="132"/>
      <c r="FB751" s="132"/>
      <c r="FC751" s="132"/>
      <c r="FD751" s="132"/>
      <c r="FE751" s="132"/>
      <c r="FF751" s="132"/>
      <c r="FG751" s="132"/>
      <c r="FH751" s="132"/>
      <c r="FI751" s="132"/>
      <c r="FJ751" s="132"/>
      <c r="FK751" s="132"/>
      <c r="FL751" s="132"/>
      <c r="FM751" s="132"/>
      <c r="FN751" s="132"/>
      <c r="FO751" s="132"/>
      <c r="FP751" s="132"/>
      <c r="FQ751" s="132"/>
      <c r="FR751" s="132"/>
      <c r="FS751" s="132"/>
      <c r="FT751" s="132"/>
      <c r="FU751" s="132"/>
      <c r="FV751" s="132"/>
      <c r="FW751" s="132"/>
      <c r="FX751" s="132"/>
      <c r="FY751" s="132"/>
      <c r="FZ751" s="132"/>
      <c r="GA751" s="132"/>
      <c r="GB751" s="132"/>
      <c r="GC751" s="132"/>
      <c r="GD751" s="132"/>
      <c r="GE751" s="132"/>
      <c r="GF751" s="132"/>
      <c r="GG751" s="132"/>
      <c r="GH751" s="132"/>
      <c r="GI751" s="132"/>
      <c r="GJ751" s="132"/>
      <c r="GK751" s="132"/>
      <c r="GL751" s="132"/>
      <c r="GM751" s="132"/>
      <c r="GN751" s="132"/>
      <c r="GO751" s="132"/>
      <c r="GP751" s="132"/>
      <c r="GQ751" s="132"/>
      <c r="GR751" s="132"/>
      <c r="GS751" s="132"/>
      <c r="GT751" s="132"/>
      <c r="GU751" s="132"/>
      <c r="GV751" s="132"/>
      <c r="GW751" s="132"/>
      <c r="GX751" s="132"/>
      <c r="GY751" s="132"/>
      <c r="GZ751" s="132"/>
      <c r="HA751" s="132"/>
      <c r="HB751" s="132"/>
      <c r="HC751" s="132"/>
      <c r="HD751" s="132"/>
      <c r="HE751" s="132"/>
      <c r="HF751" s="132"/>
      <c r="HG751" s="132"/>
      <c r="HH751" s="132"/>
      <c r="HI751" s="132"/>
      <c r="HJ751" s="132"/>
      <c r="HK751" s="132"/>
      <c r="HL751" s="132"/>
      <c r="HM751" s="132"/>
      <c r="HN751" s="132"/>
      <c r="HO751" s="132"/>
      <c r="HP751" s="132"/>
      <c r="HQ751" s="132"/>
      <c r="HR751" s="132"/>
      <c r="HS751" s="132"/>
      <c r="HT751" s="132"/>
      <c r="HU751" s="132"/>
      <c r="HV751" s="132"/>
      <c r="HW751" s="132"/>
      <c r="HX751" s="132"/>
      <c r="HY751" s="132"/>
      <c r="HZ751" s="132"/>
      <c r="IA751" s="132"/>
      <c r="IB751" s="132"/>
      <c r="IC751" s="132"/>
      <c r="ID751" s="132"/>
      <c r="IE751" s="132"/>
      <c r="IF751" s="132"/>
      <c r="IG751" s="132"/>
      <c r="IH751" s="132"/>
      <c r="II751" s="132"/>
      <c r="IJ751" s="132"/>
      <c r="IK751" s="132"/>
      <c r="IL751" s="132"/>
      <c r="IM751" s="132"/>
      <c r="IN751" s="132"/>
      <c r="IO751" s="132"/>
      <c r="IP751" s="132"/>
      <c r="IQ751" s="132"/>
      <c r="IR751" s="132"/>
      <c r="IS751" s="132"/>
      <c r="IT751" s="132"/>
      <c r="IU751" s="132"/>
      <c r="IV751" s="132"/>
      <c r="IW751" s="132"/>
      <c r="IX751" s="132"/>
      <c r="IY751" s="132"/>
      <c r="IZ751" s="132"/>
      <c r="JA751" s="132"/>
      <c r="JB751" s="132"/>
      <c r="JC751" s="132"/>
      <c r="JD751" s="132"/>
      <c r="JE751" s="132"/>
      <c r="JF751" s="132"/>
      <c r="JG751" s="132"/>
      <c r="JH751" s="132"/>
      <c r="JI751" s="132"/>
      <c r="JJ751" s="132"/>
      <c r="JK751" s="132"/>
      <c r="JL751" s="132"/>
      <c r="JM751" s="132"/>
      <c r="JN751" s="132"/>
      <c r="JO751" s="132"/>
      <c r="JP751" s="132"/>
      <c r="JQ751" s="132"/>
      <c r="JR751" s="132"/>
      <c r="JS751" s="132"/>
      <c r="JT751" s="132"/>
      <c r="JU751" s="132"/>
      <c r="JV751" s="132"/>
      <c r="JW751" s="132"/>
      <c r="JX751" s="132"/>
      <c r="JY751" s="132"/>
      <c r="JZ751" s="132"/>
      <c r="KA751" s="132"/>
      <c r="KB751" s="132"/>
      <c r="KC751" s="132"/>
      <c r="KD751" s="132"/>
      <c r="KE751" s="132"/>
      <c r="KF751" s="132"/>
      <c r="KG751" s="132"/>
      <c r="KH751" s="132"/>
      <c r="KI751" s="132"/>
      <c r="KJ751" s="132"/>
      <c r="KK751" s="132"/>
      <c r="KL751" s="132"/>
      <c r="KM751" s="132"/>
      <c r="KN751" s="132"/>
      <c r="KO751" s="132"/>
      <c r="KP751" s="132"/>
      <c r="KQ751" s="132"/>
      <c r="KR751" s="132"/>
      <c r="KS751" s="132"/>
      <c r="KT751" s="132"/>
      <c r="KU751" s="132"/>
      <c r="KV751" s="132"/>
      <c r="KW751" s="132"/>
      <c r="KX751" s="132"/>
      <c r="KY751" s="132"/>
      <c r="KZ751" s="132"/>
      <c r="LA751" s="132"/>
      <c r="LB751" s="132"/>
      <c r="LC751" s="132"/>
      <c r="LD751" s="132"/>
      <c r="LE751" s="132"/>
      <c r="LF751" s="132"/>
      <c r="LG751" s="132"/>
      <c r="LH751" s="132"/>
      <c r="LI751" s="132"/>
      <c r="LJ751" s="132"/>
      <c r="LK751" s="132"/>
      <c r="LL751" s="132"/>
      <c r="LM751" s="132"/>
      <c r="LN751" s="132"/>
      <c r="LO751" s="132"/>
      <c r="LP751" s="132"/>
      <c r="LQ751" s="132"/>
      <c r="LR751" s="132"/>
      <c r="LS751" s="132"/>
      <c r="LT751" s="132"/>
      <c r="LU751" s="132"/>
      <c r="LV751" s="132"/>
      <c r="LW751" s="132"/>
      <c r="LX751" s="132"/>
      <c r="LY751" s="132"/>
      <c r="LZ751" s="132"/>
      <c r="MA751" s="132"/>
      <c r="MB751" s="132"/>
      <c r="MC751" s="132"/>
      <c r="MD751" s="132"/>
      <c r="ME751" s="132"/>
      <c r="MF751" s="132"/>
      <c r="MG751" s="132"/>
      <c r="MH751" s="132"/>
      <c r="MI751" s="132"/>
      <c r="MJ751" s="132"/>
      <c r="MK751" s="132"/>
      <c r="ML751" s="132"/>
      <c r="MM751" s="132"/>
      <c r="MN751" s="132"/>
      <c r="MO751" s="132"/>
      <c r="MP751" s="132"/>
      <c r="MQ751" s="132"/>
      <c r="MR751" s="132"/>
      <c r="MS751" s="132"/>
      <c r="MT751" s="132"/>
      <c r="MU751" s="132"/>
      <c r="MV751" s="132"/>
      <c r="MW751" s="132"/>
      <c r="MX751" s="132"/>
      <c r="MY751" s="132"/>
      <c r="MZ751" s="132"/>
      <c r="NA751" s="132"/>
      <c r="NB751" s="132"/>
      <c r="NC751" s="132"/>
      <c r="ND751" s="132"/>
      <c r="NE751" s="132"/>
      <c r="NF751" s="132"/>
      <c r="NG751" s="132"/>
      <c r="NH751" s="132"/>
      <c r="NI751" s="132"/>
      <c r="NJ751" s="132"/>
      <c r="NK751" s="132"/>
      <c r="NL751" s="132"/>
      <c r="NM751" s="132"/>
      <c r="NN751" s="132"/>
      <c r="NO751" s="132"/>
      <c r="NP751" s="132"/>
      <c r="NQ751" s="132"/>
      <c r="NR751" s="132"/>
      <c r="NS751" s="132"/>
      <c r="NT751" s="132"/>
      <c r="NU751" s="132"/>
      <c r="NV751" s="132"/>
      <c r="NW751" s="132"/>
      <c r="NX751" s="132"/>
      <c r="NY751" s="132"/>
      <c r="NZ751" s="132"/>
      <c r="OA751" s="132"/>
      <c r="OB751" s="132"/>
      <c r="OC751" s="132"/>
      <c r="OD751" s="132"/>
      <c r="OE751" s="132"/>
      <c r="OF751" s="132"/>
      <c r="OG751" s="132"/>
      <c r="OH751" s="132"/>
      <c r="OI751" s="132"/>
      <c r="OJ751" s="132"/>
      <c r="OK751" s="132"/>
      <c r="OL751" s="132"/>
      <c r="OM751" s="132"/>
      <c r="ON751" s="132"/>
      <c r="OO751" s="132"/>
      <c r="OP751" s="132"/>
      <c r="OQ751" s="132"/>
      <c r="OR751" s="132"/>
      <c r="OS751" s="132"/>
      <c r="OT751" s="132"/>
      <c r="OU751" s="132"/>
      <c r="OV751" s="132"/>
      <c r="OW751" s="132"/>
      <c r="OX751" s="132"/>
      <c r="OY751" s="132"/>
      <c r="OZ751" s="132"/>
      <c r="PA751" s="132"/>
      <c r="PB751" s="132"/>
      <c r="PC751" s="132"/>
      <c r="PD751" s="132"/>
      <c r="PE751" s="132"/>
      <c r="PF751" s="132"/>
      <c r="PG751" s="132"/>
      <c r="PH751" s="132"/>
      <c r="PI751" s="132"/>
      <c r="PJ751" s="132"/>
      <c r="PK751" s="132"/>
      <c r="PL751" s="132"/>
      <c r="PM751" s="132"/>
      <c r="PN751" s="132"/>
      <c r="PO751" s="132"/>
      <c r="PP751" s="132"/>
      <c r="PQ751" s="132"/>
      <c r="PR751" s="132"/>
      <c r="PS751" s="132"/>
      <c r="PT751" s="132"/>
      <c r="PU751" s="132"/>
      <c r="PV751" s="132"/>
      <c r="PW751" s="132"/>
      <c r="PX751" s="132"/>
      <c r="PY751" s="132"/>
      <c r="PZ751" s="132"/>
      <c r="QA751" s="132"/>
      <c r="QB751" s="132"/>
      <c r="QC751" s="132"/>
      <c r="QD751" s="132"/>
      <c r="QE751" s="132"/>
      <c r="QF751" s="132"/>
      <c r="QG751" s="132"/>
      <c r="QH751" s="132"/>
      <c r="QI751" s="132"/>
      <c r="QJ751" s="132"/>
      <c r="QK751" s="132"/>
      <c r="QL751" s="132"/>
      <c r="QM751" s="132"/>
      <c r="QN751" s="132"/>
      <c r="QO751" s="132"/>
      <c r="QP751" s="132"/>
      <c r="QQ751" s="132"/>
      <c r="QR751" s="132"/>
      <c r="QS751" s="132"/>
      <c r="QT751" s="132"/>
      <c r="QU751" s="132"/>
      <c r="QV751" s="132"/>
      <c r="QW751" s="132"/>
      <c r="QX751" s="132"/>
      <c r="QY751" s="132"/>
      <c r="QZ751" s="132"/>
      <c r="RA751" s="132"/>
      <c r="RB751" s="132"/>
      <c r="RC751" s="132"/>
      <c r="RD751" s="132"/>
      <c r="RE751" s="132"/>
      <c r="RF751" s="132"/>
      <c r="RG751" s="132"/>
      <c r="RH751" s="132"/>
      <c r="RI751" s="132"/>
      <c r="RJ751" s="132"/>
      <c r="RK751" s="132"/>
      <c r="RL751" s="132"/>
      <c r="RM751" s="132"/>
      <c r="RN751" s="132"/>
      <c r="RO751" s="132"/>
      <c r="RP751" s="132"/>
      <c r="RQ751" s="132"/>
      <c r="RR751" s="132"/>
      <c r="RS751" s="132"/>
      <c r="RT751" s="132"/>
      <c r="RU751" s="132"/>
      <c r="RV751" s="132"/>
      <c r="RW751" s="132"/>
      <c r="RX751" s="132"/>
      <c r="RY751" s="132"/>
      <c r="RZ751" s="132"/>
      <c r="SA751" s="132"/>
      <c r="SB751" s="132"/>
      <c r="SC751" s="132"/>
      <c r="SD751" s="132"/>
      <c r="SE751" s="132"/>
      <c r="SF751" s="132"/>
      <c r="SG751" s="132"/>
      <c r="SH751" s="132"/>
      <c r="SI751" s="132"/>
      <c r="SJ751" s="132"/>
      <c r="SK751" s="132"/>
      <c r="SL751" s="132"/>
      <c r="SM751" s="132"/>
      <c r="SN751" s="132"/>
      <c r="SO751" s="132"/>
      <c r="SP751" s="132"/>
      <c r="SQ751" s="132"/>
      <c r="SR751" s="132"/>
      <c r="SS751" s="132"/>
      <c r="ST751" s="132"/>
      <c r="SU751" s="132"/>
      <c r="SV751" s="132"/>
      <c r="SW751" s="132"/>
      <c r="SX751" s="132"/>
      <c r="SY751" s="132"/>
      <c r="SZ751" s="132"/>
      <c r="TA751" s="132"/>
      <c r="TB751" s="132"/>
      <c r="TC751" s="132"/>
      <c r="TD751" s="132"/>
      <c r="TE751" s="132"/>
      <c r="TF751" s="132"/>
      <c r="TG751" s="132"/>
      <c r="TH751" s="132"/>
      <c r="TI751" s="132"/>
      <c r="TJ751" s="132"/>
      <c r="TK751" s="132"/>
      <c r="TL751" s="132"/>
      <c r="TM751" s="132"/>
      <c r="TN751" s="132"/>
      <c r="TO751" s="132"/>
      <c r="TP751" s="132"/>
      <c r="TQ751" s="132"/>
      <c r="TR751" s="132"/>
      <c r="TS751" s="132"/>
      <c r="TT751" s="132"/>
      <c r="TU751" s="132"/>
      <c r="TV751" s="132"/>
      <c r="TW751" s="132"/>
      <c r="TX751" s="132"/>
      <c r="TY751" s="132"/>
      <c r="TZ751" s="132"/>
      <c r="UA751" s="132"/>
      <c r="UB751" s="132"/>
      <c r="UC751" s="132"/>
      <c r="UD751" s="132"/>
      <c r="UE751" s="132"/>
      <c r="UF751" s="132"/>
      <c r="UG751" s="132"/>
    </row>
    <row r="752" spans="1:553" ht="30.75" customHeight="1">
      <c r="A752" s="366"/>
      <c r="B752" s="366">
        <v>158</v>
      </c>
      <c r="C752" s="1401" t="s">
        <v>996</v>
      </c>
      <c r="D752" s="1389"/>
      <c r="E752" s="1389"/>
      <c r="F752" s="1390"/>
      <c r="G752" s="366" t="s">
        <v>34</v>
      </c>
      <c r="H752" s="622"/>
      <c r="I752" s="626">
        <f>3.14*(0.45*0.45)*12</f>
        <v>7.6302000000000003</v>
      </c>
      <c r="J752" s="369">
        <v>3743600</v>
      </c>
      <c r="K752" s="371"/>
      <c r="L752" s="627">
        <f t="shared" si="114"/>
        <v>28564416.720000003</v>
      </c>
      <c r="M752" s="366"/>
      <c r="N752" s="366"/>
      <c r="O752" s="366"/>
      <c r="P752" s="366"/>
      <c r="Q752" s="1151"/>
      <c r="R752" s="1226"/>
      <c r="S752" s="308"/>
      <c r="T752" s="308"/>
      <c r="U752" s="308"/>
      <c r="V752" s="308"/>
      <c r="W752" s="308"/>
      <c r="X752" s="308"/>
      <c r="Y752" s="308"/>
      <c r="Z752" s="604"/>
      <c r="AA752" s="308"/>
      <c r="AB752" s="308"/>
      <c r="AC752" s="625"/>
      <c r="AD752" s="625"/>
      <c r="AE752" s="625"/>
      <c r="AF752" s="625"/>
      <c r="AG752" s="625"/>
      <c r="AH752" s="625"/>
      <c r="AI752" s="625"/>
      <c r="AJ752" s="625"/>
      <c r="AK752" s="625"/>
      <c r="AL752" s="133"/>
      <c r="AM752" s="133"/>
      <c r="AN752" s="133"/>
      <c r="AO752" s="133"/>
      <c r="AP752" s="133"/>
      <c r="AQ752" s="133"/>
      <c r="AR752" s="133"/>
      <c r="AS752" s="133"/>
      <c r="AT752" s="133"/>
      <c r="AU752" s="133"/>
      <c r="AV752" s="133"/>
      <c r="AW752" s="133"/>
      <c r="AX752" s="133"/>
      <c r="AY752" s="133"/>
      <c r="AZ752" s="133"/>
      <c r="BA752" s="133"/>
      <c r="BB752" s="133"/>
      <c r="BC752" s="133"/>
      <c r="BD752" s="133"/>
      <c r="BE752" s="133"/>
      <c r="BF752" s="133"/>
      <c r="BG752" s="133"/>
      <c r="BH752" s="133"/>
      <c r="BI752" s="133"/>
      <c r="BJ752" s="133"/>
      <c r="BK752" s="133"/>
      <c r="BL752" s="133"/>
      <c r="BM752" s="133"/>
      <c r="BN752" s="133"/>
      <c r="BO752" s="133"/>
      <c r="BP752" s="133"/>
      <c r="BQ752" s="132"/>
      <c r="BR752" s="132"/>
      <c r="BS752" s="132"/>
      <c r="BT752" s="132"/>
      <c r="BU752" s="132"/>
      <c r="BV752" s="132"/>
      <c r="BW752" s="132"/>
      <c r="BX752" s="132"/>
      <c r="BY752" s="132"/>
      <c r="BZ752" s="132"/>
      <c r="CA752" s="132"/>
      <c r="CB752" s="132"/>
      <c r="CC752" s="132"/>
      <c r="CD752" s="132"/>
      <c r="CE752" s="132"/>
      <c r="CF752" s="132"/>
      <c r="CG752" s="132"/>
      <c r="CH752" s="132"/>
      <c r="CI752" s="132"/>
      <c r="CJ752" s="132"/>
      <c r="CK752" s="132"/>
      <c r="CL752" s="132"/>
      <c r="CM752" s="132"/>
      <c r="CN752" s="132"/>
      <c r="CO752" s="132"/>
      <c r="CP752" s="132"/>
      <c r="CQ752" s="132"/>
      <c r="CR752" s="132"/>
      <c r="CS752" s="132"/>
      <c r="CT752" s="132"/>
      <c r="CU752" s="132"/>
      <c r="CV752" s="132"/>
      <c r="CW752" s="132"/>
      <c r="CX752" s="132"/>
      <c r="CY752" s="132"/>
      <c r="CZ752" s="132"/>
      <c r="DA752" s="132"/>
      <c r="DB752" s="132"/>
      <c r="DC752" s="132"/>
      <c r="DD752" s="132"/>
      <c r="DE752" s="132"/>
      <c r="DF752" s="132"/>
      <c r="DG752" s="132"/>
      <c r="DH752" s="132"/>
      <c r="DI752" s="132"/>
      <c r="DJ752" s="132"/>
      <c r="DK752" s="132"/>
      <c r="DL752" s="132"/>
      <c r="DM752" s="132"/>
      <c r="DN752" s="132"/>
      <c r="DO752" s="132"/>
      <c r="DP752" s="132"/>
      <c r="DQ752" s="132"/>
      <c r="DR752" s="132"/>
      <c r="DS752" s="132"/>
      <c r="DT752" s="132"/>
      <c r="DU752" s="132"/>
      <c r="DV752" s="132"/>
      <c r="DW752" s="132"/>
      <c r="DX752" s="132"/>
      <c r="DY752" s="132"/>
      <c r="DZ752" s="132"/>
      <c r="EA752" s="132"/>
      <c r="EB752" s="132"/>
      <c r="EC752" s="132"/>
      <c r="ED752" s="132"/>
      <c r="EE752" s="132"/>
      <c r="EF752" s="132"/>
      <c r="EG752" s="132"/>
      <c r="EH752" s="132"/>
      <c r="EI752" s="132"/>
      <c r="EJ752" s="132"/>
      <c r="EK752" s="132"/>
      <c r="EL752" s="132"/>
      <c r="EM752" s="132"/>
      <c r="EN752" s="132"/>
      <c r="EO752" s="132"/>
      <c r="EP752" s="132"/>
      <c r="EQ752" s="132"/>
      <c r="ER752" s="132"/>
      <c r="ES752" s="132"/>
      <c r="ET752" s="132"/>
      <c r="EU752" s="132"/>
      <c r="EV752" s="132"/>
      <c r="EW752" s="132"/>
      <c r="EX752" s="132"/>
      <c r="EY752" s="132"/>
      <c r="EZ752" s="132"/>
      <c r="FA752" s="132"/>
      <c r="FB752" s="132"/>
      <c r="FC752" s="132"/>
      <c r="FD752" s="132"/>
      <c r="FE752" s="132"/>
      <c r="FF752" s="132"/>
      <c r="FG752" s="132"/>
      <c r="FH752" s="132"/>
      <c r="FI752" s="132"/>
      <c r="FJ752" s="132"/>
      <c r="FK752" s="132"/>
      <c r="FL752" s="132"/>
      <c r="FM752" s="132"/>
      <c r="FN752" s="132"/>
      <c r="FO752" s="132"/>
      <c r="FP752" s="132"/>
      <c r="FQ752" s="132"/>
      <c r="FR752" s="132"/>
      <c r="FS752" s="132"/>
      <c r="FT752" s="132"/>
      <c r="FU752" s="132"/>
      <c r="FV752" s="132"/>
      <c r="FW752" s="132"/>
      <c r="FX752" s="132"/>
      <c r="FY752" s="132"/>
      <c r="FZ752" s="132"/>
      <c r="GA752" s="132"/>
      <c r="GB752" s="132"/>
      <c r="GC752" s="132"/>
      <c r="GD752" s="132"/>
      <c r="GE752" s="132"/>
      <c r="GF752" s="132"/>
      <c r="GG752" s="132"/>
      <c r="GH752" s="132"/>
      <c r="GI752" s="132"/>
      <c r="GJ752" s="132"/>
      <c r="GK752" s="132"/>
      <c r="GL752" s="132"/>
      <c r="GM752" s="132"/>
      <c r="GN752" s="132"/>
      <c r="GO752" s="132"/>
      <c r="GP752" s="132"/>
      <c r="GQ752" s="132"/>
      <c r="GR752" s="132"/>
      <c r="GS752" s="132"/>
      <c r="GT752" s="132"/>
      <c r="GU752" s="132"/>
      <c r="GV752" s="132"/>
      <c r="GW752" s="132"/>
      <c r="GX752" s="132"/>
      <c r="GY752" s="132"/>
      <c r="GZ752" s="132"/>
      <c r="HA752" s="132"/>
      <c r="HB752" s="132"/>
      <c r="HC752" s="132"/>
      <c r="HD752" s="132"/>
      <c r="HE752" s="132"/>
      <c r="HF752" s="132"/>
      <c r="HG752" s="132"/>
      <c r="HH752" s="132"/>
      <c r="HI752" s="132"/>
      <c r="HJ752" s="132"/>
      <c r="HK752" s="132"/>
      <c r="HL752" s="132"/>
      <c r="HM752" s="132"/>
      <c r="HN752" s="132"/>
      <c r="HO752" s="132"/>
      <c r="HP752" s="132"/>
      <c r="HQ752" s="132"/>
      <c r="HR752" s="132"/>
      <c r="HS752" s="132"/>
      <c r="HT752" s="132"/>
      <c r="HU752" s="132"/>
      <c r="HV752" s="132"/>
      <c r="HW752" s="132"/>
      <c r="HX752" s="132"/>
      <c r="HY752" s="132"/>
      <c r="HZ752" s="132"/>
      <c r="IA752" s="132"/>
      <c r="IB752" s="132"/>
      <c r="IC752" s="132"/>
      <c r="ID752" s="132"/>
      <c r="IE752" s="132"/>
      <c r="IF752" s="132"/>
      <c r="IG752" s="132"/>
      <c r="IH752" s="132"/>
      <c r="II752" s="132"/>
      <c r="IJ752" s="132"/>
      <c r="IK752" s="132"/>
      <c r="IL752" s="132"/>
      <c r="IM752" s="132"/>
      <c r="IN752" s="132"/>
      <c r="IO752" s="132"/>
      <c r="IP752" s="132"/>
      <c r="IQ752" s="132"/>
      <c r="IR752" s="132"/>
      <c r="IS752" s="132"/>
      <c r="IT752" s="132"/>
      <c r="IU752" s="132"/>
      <c r="IV752" s="132"/>
      <c r="IW752" s="132"/>
      <c r="IX752" s="132"/>
      <c r="IY752" s="132"/>
      <c r="IZ752" s="132"/>
      <c r="JA752" s="132"/>
      <c r="JB752" s="132"/>
      <c r="JC752" s="132"/>
      <c r="JD752" s="132"/>
      <c r="JE752" s="132"/>
      <c r="JF752" s="132"/>
      <c r="JG752" s="132"/>
      <c r="JH752" s="132"/>
      <c r="JI752" s="132"/>
      <c r="JJ752" s="132"/>
      <c r="JK752" s="132"/>
      <c r="JL752" s="132"/>
      <c r="JM752" s="132"/>
      <c r="JN752" s="132"/>
      <c r="JO752" s="132"/>
      <c r="JP752" s="132"/>
      <c r="JQ752" s="132"/>
      <c r="JR752" s="132"/>
      <c r="JS752" s="132"/>
      <c r="JT752" s="132"/>
      <c r="JU752" s="132"/>
      <c r="JV752" s="132"/>
      <c r="JW752" s="132"/>
      <c r="JX752" s="132"/>
      <c r="JY752" s="132"/>
      <c r="JZ752" s="132"/>
      <c r="KA752" s="132"/>
      <c r="KB752" s="132"/>
      <c r="KC752" s="132"/>
      <c r="KD752" s="132"/>
      <c r="KE752" s="132"/>
      <c r="KF752" s="132"/>
      <c r="KG752" s="132"/>
      <c r="KH752" s="132"/>
      <c r="KI752" s="132"/>
      <c r="KJ752" s="132"/>
      <c r="KK752" s="132"/>
      <c r="KL752" s="132"/>
      <c r="KM752" s="132"/>
      <c r="KN752" s="132"/>
      <c r="KO752" s="132"/>
      <c r="KP752" s="132"/>
      <c r="KQ752" s="132"/>
      <c r="KR752" s="132"/>
      <c r="KS752" s="132"/>
      <c r="KT752" s="132"/>
      <c r="KU752" s="132"/>
      <c r="KV752" s="132"/>
      <c r="KW752" s="132"/>
      <c r="KX752" s="132"/>
      <c r="KY752" s="132"/>
      <c r="KZ752" s="132"/>
      <c r="LA752" s="132"/>
      <c r="LB752" s="132"/>
      <c r="LC752" s="132"/>
      <c r="LD752" s="132"/>
      <c r="LE752" s="132"/>
      <c r="LF752" s="132"/>
      <c r="LG752" s="132"/>
      <c r="LH752" s="132"/>
      <c r="LI752" s="132"/>
      <c r="LJ752" s="132"/>
      <c r="LK752" s="132"/>
      <c r="LL752" s="132"/>
      <c r="LM752" s="132"/>
      <c r="LN752" s="132"/>
      <c r="LO752" s="132"/>
      <c r="LP752" s="132"/>
      <c r="LQ752" s="132"/>
      <c r="LR752" s="132"/>
      <c r="LS752" s="132"/>
      <c r="LT752" s="132"/>
      <c r="LU752" s="132"/>
      <c r="LV752" s="132"/>
      <c r="LW752" s="132"/>
      <c r="LX752" s="132"/>
      <c r="LY752" s="132"/>
      <c r="LZ752" s="132"/>
      <c r="MA752" s="132"/>
      <c r="MB752" s="132"/>
      <c r="MC752" s="132"/>
      <c r="MD752" s="132"/>
      <c r="ME752" s="132"/>
      <c r="MF752" s="132"/>
      <c r="MG752" s="132"/>
      <c r="MH752" s="132"/>
      <c r="MI752" s="132"/>
      <c r="MJ752" s="132"/>
      <c r="MK752" s="132"/>
      <c r="ML752" s="132"/>
      <c r="MM752" s="132"/>
      <c r="MN752" s="132"/>
      <c r="MO752" s="132"/>
      <c r="MP752" s="132"/>
      <c r="MQ752" s="132"/>
      <c r="MR752" s="132"/>
      <c r="MS752" s="132"/>
      <c r="MT752" s="132"/>
      <c r="MU752" s="132"/>
      <c r="MV752" s="132"/>
      <c r="MW752" s="132"/>
      <c r="MX752" s="132"/>
      <c r="MY752" s="132"/>
      <c r="MZ752" s="132"/>
      <c r="NA752" s="132"/>
      <c r="NB752" s="132"/>
      <c r="NC752" s="132"/>
      <c r="ND752" s="132"/>
      <c r="NE752" s="132"/>
      <c r="NF752" s="132"/>
      <c r="NG752" s="132"/>
      <c r="NH752" s="132"/>
      <c r="NI752" s="132"/>
      <c r="NJ752" s="132"/>
      <c r="NK752" s="132"/>
      <c r="NL752" s="132"/>
      <c r="NM752" s="132"/>
      <c r="NN752" s="132"/>
      <c r="NO752" s="132"/>
      <c r="NP752" s="132"/>
      <c r="NQ752" s="132"/>
      <c r="NR752" s="132"/>
      <c r="NS752" s="132"/>
      <c r="NT752" s="132"/>
      <c r="NU752" s="132"/>
      <c r="NV752" s="132"/>
      <c r="NW752" s="132"/>
      <c r="NX752" s="132"/>
      <c r="NY752" s="132"/>
      <c r="NZ752" s="132"/>
      <c r="OA752" s="132"/>
      <c r="OB752" s="132"/>
      <c r="OC752" s="132"/>
      <c r="OD752" s="132"/>
      <c r="OE752" s="132"/>
      <c r="OF752" s="132"/>
      <c r="OG752" s="132"/>
      <c r="OH752" s="132"/>
      <c r="OI752" s="132"/>
      <c r="OJ752" s="132"/>
      <c r="OK752" s="132"/>
      <c r="OL752" s="132"/>
      <c r="OM752" s="132"/>
      <c r="ON752" s="132"/>
      <c r="OO752" s="132"/>
      <c r="OP752" s="132"/>
      <c r="OQ752" s="132"/>
      <c r="OR752" s="132"/>
      <c r="OS752" s="132"/>
      <c r="OT752" s="132"/>
      <c r="OU752" s="132"/>
      <c r="OV752" s="132"/>
      <c r="OW752" s="132"/>
      <c r="OX752" s="132"/>
      <c r="OY752" s="132"/>
      <c r="OZ752" s="132"/>
      <c r="PA752" s="132"/>
      <c r="PB752" s="132"/>
      <c r="PC752" s="132"/>
      <c r="PD752" s="132"/>
      <c r="PE752" s="132"/>
      <c r="PF752" s="132"/>
      <c r="PG752" s="132"/>
      <c r="PH752" s="132"/>
      <c r="PI752" s="132"/>
      <c r="PJ752" s="132"/>
      <c r="PK752" s="132"/>
      <c r="PL752" s="132"/>
      <c r="PM752" s="132"/>
      <c r="PN752" s="132"/>
      <c r="PO752" s="132"/>
      <c r="PP752" s="132"/>
      <c r="PQ752" s="132"/>
      <c r="PR752" s="132"/>
      <c r="PS752" s="132"/>
      <c r="PT752" s="132"/>
      <c r="PU752" s="132"/>
      <c r="PV752" s="132"/>
      <c r="PW752" s="132"/>
      <c r="PX752" s="132"/>
      <c r="PY752" s="132"/>
      <c r="PZ752" s="132"/>
      <c r="QA752" s="132"/>
      <c r="QB752" s="132"/>
      <c r="QC752" s="132"/>
      <c r="QD752" s="132"/>
      <c r="QE752" s="132"/>
      <c r="QF752" s="132"/>
      <c r="QG752" s="132"/>
      <c r="QH752" s="132"/>
      <c r="QI752" s="132"/>
      <c r="QJ752" s="132"/>
      <c r="QK752" s="132"/>
      <c r="QL752" s="132"/>
      <c r="QM752" s="132"/>
      <c r="QN752" s="132"/>
      <c r="QO752" s="132"/>
      <c r="QP752" s="132"/>
      <c r="QQ752" s="132"/>
      <c r="QR752" s="132"/>
      <c r="QS752" s="132"/>
      <c r="QT752" s="132"/>
      <c r="QU752" s="132"/>
      <c r="QV752" s="132"/>
      <c r="QW752" s="132"/>
      <c r="QX752" s="132"/>
      <c r="QY752" s="132"/>
      <c r="QZ752" s="132"/>
      <c r="RA752" s="132"/>
      <c r="RB752" s="132"/>
      <c r="RC752" s="132"/>
      <c r="RD752" s="132"/>
      <c r="RE752" s="132"/>
      <c r="RF752" s="132"/>
      <c r="RG752" s="132"/>
      <c r="RH752" s="132"/>
      <c r="RI752" s="132"/>
      <c r="RJ752" s="132"/>
      <c r="RK752" s="132"/>
      <c r="RL752" s="132"/>
      <c r="RM752" s="132"/>
      <c r="RN752" s="132"/>
      <c r="RO752" s="132"/>
      <c r="RP752" s="132"/>
      <c r="RQ752" s="132"/>
      <c r="RR752" s="132"/>
      <c r="RS752" s="132"/>
      <c r="RT752" s="132"/>
      <c r="RU752" s="132"/>
      <c r="RV752" s="132"/>
      <c r="RW752" s="132"/>
      <c r="RX752" s="132"/>
      <c r="RY752" s="132"/>
      <c r="RZ752" s="132"/>
      <c r="SA752" s="132"/>
      <c r="SB752" s="132"/>
      <c r="SC752" s="132"/>
      <c r="SD752" s="132"/>
      <c r="SE752" s="132"/>
      <c r="SF752" s="132"/>
      <c r="SG752" s="132"/>
      <c r="SH752" s="132"/>
      <c r="SI752" s="132"/>
      <c r="SJ752" s="132"/>
      <c r="SK752" s="132"/>
      <c r="SL752" s="132"/>
      <c r="SM752" s="132"/>
      <c r="SN752" s="132"/>
      <c r="SO752" s="132"/>
      <c r="SP752" s="132"/>
      <c r="SQ752" s="132"/>
      <c r="SR752" s="132"/>
      <c r="SS752" s="132"/>
      <c r="ST752" s="132"/>
      <c r="SU752" s="132"/>
      <c r="SV752" s="132"/>
      <c r="SW752" s="132"/>
      <c r="SX752" s="132"/>
      <c r="SY752" s="132"/>
      <c r="SZ752" s="132"/>
      <c r="TA752" s="132"/>
      <c r="TB752" s="132"/>
      <c r="TC752" s="132"/>
      <c r="TD752" s="132"/>
      <c r="TE752" s="132"/>
      <c r="TF752" s="132"/>
      <c r="TG752" s="132"/>
      <c r="TH752" s="132"/>
      <c r="TI752" s="132"/>
      <c r="TJ752" s="132"/>
      <c r="TK752" s="132"/>
      <c r="TL752" s="132"/>
      <c r="TM752" s="132"/>
      <c r="TN752" s="132"/>
      <c r="TO752" s="132"/>
      <c r="TP752" s="132"/>
      <c r="TQ752" s="132"/>
      <c r="TR752" s="132"/>
      <c r="TS752" s="132"/>
      <c r="TT752" s="132"/>
      <c r="TU752" s="132"/>
      <c r="TV752" s="132"/>
      <c r="TW752" s="132"/>
      <c r="TX752" s="132"/>
      <c r="TY752" s="132"/>
      <c r="TZ752" s="132"/>
      <c r="UA752" s="132"/>
      <c r="UB752" s="132"/>
      <c r="UC752" s="132"/>
      <c r="UD752" s="132"/>
      <c r="UE752" s="132"/>
      <c r="UF752" s="132"/>
      <c r="UG752" s="132"/>
    </row>
    <row r="753" spans="1:553" ht="30.75" customHeight="1">
      <c r="A753" s="366"/>
      <c r="B753" s="366"/>
      <c r="C753" s="1401" t="s">
        <v>964</v>
      </c>
      <c r="D753" s="1389"/>
      <c r="E753" s="1389"/>
      <c r="F753" s="1390"/>
      <c r="G753" s="366"/>
      <c r="H753" s="622"/>
      <c r="I753" s="626"/>
      <c r="J753" s="369"/>
      <c r="K753" s="371"/>
      <c r="L753" s="627">
        <f t="shared" si="114"/>
        <v>0</v>
      </c>
      <c r="M753" s="366"/>
      <c r="N753" s="366"/>
      <c r="O753" s="366"/>
      <c r="P753" s="366"/>
      <c r="Q753" s="1151"/>
      <c r="R753" s="1226"/>
      <c r="S753" s="308"/>
      <c r="T753" s="308"/>
      <c r="U753" s="308"/>
      <c r="V753" s="308"/>
      <c r="W753" s="308"/>
      <c r="X753" s="308"/>
      <c r="Y753" s="308"/>
      <c r="Z753" s="604"/>
      <c r="AA753" s="308"/>
      <c r="AB753" s="308"/>
      <c r="AC753" s="625"/>
      <c r="AD753" s="625"/>
      <c r="AE753" s="625"/>
      <c r="AF753" s="625"/>
      <c r="AG753" s="625"/>
      <c r="AH753" s="625"/>
      <c r="AI753" s="625"/>
      <c r="AJ753" s="625"/>
      <c r="AK753" s="625"/>
      <c r="AL753" s="133"/>
      <c r="AM753" s="133"/>
      <c r="AN753" s="133"/>
      <c r="AO753" s="133"/>
      <c r="AP753" s="133"/>
      <c r="AQ753" s="133"/>
      <c r="AR753" s="133"/>
      <c r="AS753" s="133"/>
      <c r="AT753" s="133"/>
      <c r="AU753" s="133"/>
      <c r="AV753" s="133"/>
      <c r="AW753" s="133"/>
      <c r="AX753" s="133"/>
      <c r="AY753" s="133"/>
      <c r="AZ753" s="133"/>
      <c r="BA753" s="133"/>
      <c r="BB753" s="133"/>
      <c r="BC753" s="133"/>
      <c r="BD753" s="133"/>
      <c r="BE753" s="133"/>
      <c r="BF753" s="133"/>
      <c r="BG753" s="133"/>
      <c r="BH753" s="133"/>
      <c r="BI753" s="133"/>
      <c r="BJ753" s="133"/>
      <c r="BK753" s="133"/>
      <c r="BL753" s="133"/>
      <c r="BM753" s="133"/>
      <c r="BN753" s="133"/>
      <c r="BO753" s="133"/>
      <c r="BP753" s="133"/>
      <c r="BQ753" s="132"/>
      <c r="BR753" s="132"/>
      <c r="BS753" s="132"/>
      <c r="BT753" s="132"/>
      <c r="BU753" s="132"/>
      <c r="BV753" s="132"/>
      <c r="BW753" s="132"/>
      <c r="BX753" s="132"/>
      <c r="BY753" s="132"/>
      <c r="BZ753" s="132"/>
      <c r="CA753" s="132"/>
      <c r="CB753" s="132"/>
      <c r="CC753" s="132"/>
      <c r="CD753" s="132"/>
      <c r="CE753" s="132"/>
      <c r="CF753" s="132"/>
      <c r="CG753" s="132"/>
      <c r="CH753" s="132"/>
      <c r="CI753" s="132"/>
      <c r="CJ753" s="132"/>
      <c r="CK753" s="132"/>
      <c r="CL753" s="132"/>
      <c r="CM753" s="132"/>
      <c r="CN753" s="132"/>
      <c r="CO753" s="132"/>
      <c r="CP753" s="132"/>
      <c r="CQ753" s="132"/>
      <c r="CR753" s="132"/>
      <c r="CS753" s="132"/>
      <c r="CT753" s="132"/>
      <c r="CU753" s="132"/>
      <c r="CV753" s="132"/>
      <c r="CW753" s="132"/>
      <c r="CX753" s="132"/>
      <c r="CY753" s="132"/>
      <c r="CZ753" s="132"/>
      <c r="DA753" s="132"/>
      <c r="DB753" s="132"/>
      <c r="DC753" s="132"/>
      <c r="DD753" s="132"/>
      <c r="DE753" s="132"/>
      <c r="DF753" s="132"/>
      <c r="DG753" s="132"/>
      <c r="DH753" s="132"/>
      <c r="DI753" s="132"/>
      <c r="DJ753" s="132"/>
      <c r="DK753" s="132"/>
      <c r="DL753" s="132"/>
      <c r="DM753" s="132"/>
      <c r="DN753" s="132"/>
      <c r="DO753" s="132"/>
      <c r="DP753" s="132"/>
      <c r="DQ753" s="132"/>
      <c r="DR753" s="132"/>
      <c r="DS753" s="132"/>
      <c r="DT753" s="132"/>
      <c r="DU753" s="132"/>
      <c r="DV753" s="132"/>
      <c r="DW753" s="132"/>
      <c r="DX753" s="132"/>
      <c r="DY753" s="132"/>
      <c r="DZ753" s="132"/>
      <c r="EA753" s="132"/>
      <c r="EB753" s="132"/>
      <c r="EC753" s="132"/>
      <c r="ED753" s="132"/>
      <c r="EE753" s="132"/>
      <c r="EF753" s="132"/>
      <c r="EG753" s="132"/>
      <c r="EH753" s="132"/>
      <c r="EI753" s="132"/>
      <c r="EJ753" s="132"/>
      <c r="EK753" s="132"/>
      <c r="EL753" s="132"/>
      <c r="EM753" s="132"/>
      <c r="EN753" s="132"/>
      <c r="EO753" s="132"/>
      <c r="EP753" s="132"/>
      <c r="EQ753" s="132"/>
      <c r="ER753" s="132"/>
      <c r="ES753" s="132"/>
      <c r="ET753" s="132"/>
      <c r="EU753" s="132"/>
      <c r="EV753" s="132"/>
      <c r="EW753" s="132"/>
      <c r="EX753" s="132"/>
      <c r="EY753" s="132"/>
      <c r="EZ753" s="132"/>
      <c r="FA753" s="132"/>
      <c r="FB753" s="132"/>
      <c r="FC753" s="132"/>
      <c r="FD753" s="132"/>
      <c r="FE753" s="132"/>
      <c r="FF753" s="132"/>
      <c r="FG753" s="132"/>
      <c r="FH753" s="132"/>
      <c r="FI753" s="132"/>
      <c r="FJ753" s="132"/>
      <c r="FK753" s="132"/>
      <c r="FL753" s="132"/>
      <c r="FM753" s="132"/>
      <c r="FN753" s="132"/>
      <c r="FO753" s="132"/>
      <c r="FP753" s="132"/>
      <c r="FQ753" s="132"/>
      <c r="FR753" s="132"/>
      <c r="FS753" s="132"/>
      <c r="FT753" s="132"/>
      <c r="FU753" s="132"/>
      <c r="FV753" s="132"/>
      <c r="FW753" s="132"/>
      <c r="FX753" s="132"/>
      <c r="FY753" s="132"/>
      <c r="FZ753" s="132"/>
      <c r="GA753" s="132"/>
      <c r="GB753" s="132"/>
      <c r="GC753" s="132"/>
      <c r="GD753" s="132"/>
      <c r="GE753" s="132"/>
      <c r="GF753" s="132"/>
      <c r="GG753" s="132"/>
      <c r="GH753" s="132"/>
      <c r="GI753" s="132"/>
      <c r="GJ753" s="132"/>
      <c r="GK753" s="132"/>
      <c r="GL753" s="132"/>
      <c r="GM753" s="132"/>
      <c r="GN753" s="132"/>
      <c r="GO753" s="132"/>
      <c r="GP753" s="132"/>
      <c r="GQ753" s="132"/>
      <c r="GR753" s="132"/>
      <c r="GS753" s="132"/>
      <c r="GT753" s="132"/>
      <c r="GU753" s="132"/>
      <c r="GV753" s="132"/>
      <c r="GW753" s="132"/>
      <c r="GX753" s="132"/>
      <c r="GY753" s="132"/>
      <c r="GZ753" s="132"/>
      <c r="HA753" s="132"/>
      <c r="HB753" s="132"/>
      <c r="HC753" s="132"/>
      <c r="HD753" s="132"/>
      <c r="HE753" s="132"/>
      <c r="HF753" s="132"/>
      <c r="HG753" s="132"/>
      <c r="HH753" s="132"/>
      <c r="HI753" s="132"/>
      <c r="HJ753" s="132"/>
      <c r="HK753" s="132"/>
      <c r="HL753" s="132"/>
      <c r="HM753" s="132"/>
      <c r="HN753" s="132"/>
      <c r="HO753" s="132"/>
      <c r="HP753" s="132"/>
      <c r="HQ753" s="132"/>
      <c r="HR753" s="132"/>
      <c r="HS753" s="132"/>
      <c r="HT753" s="132"/>
      <c r="HU753" s="132"/>
      <c r="HV753" s="132"/>
      <c r="HW753" s="132"/>
      <c r="HX753" s="132"/>
      <c r="HY753" s="132"/>
      <c r="HZ753" s="132"/>
      <c r="IA753" s="132"/>
      <c r="IB753" s="132"/>
      <c r="IC753" s="132"/>
      <c r="ID753" s="132"/>
      <c r="IE753" s="132"/>
      <c r="IF753" s="132"/>
      <c r="IG753" s="132"/>
      <c r="IH753" s="132"/>
      <c r="II753" s="132"/>
      <c r="IJ753" s="132"/>
      <c r="IK753" s="132"/>
      <c r="IL753" s="132"/>
      <c r="IM753" s="132"/>
      <c r="IN753" s="132"/>
      <c r="IO753" s="132"/>
      <c r="IP753" s="132"/>
      <c r="IQ753" s="132"/>
      <c r="IR753" s="132"/>
      <c r="IS753" s="132"/>
      <c r="IT753" s="132"/>
      <c r="IU753" s="132"/>
      <c r="IV753" s="132"/>
      <c r="IW753" s="132"/>
      <c r="IX753" s="132"/>
      <c r="IY753" s="132"/>
      <c r="IZ753" s="132"/>
      <c r="JA753" s="132"/>
      <c r="JB753" s="132"/>
      <c r="JC753" s="132"/>
      <c r="JD753" s="132"/>
      <c r="JE753" s="132"/>
      <c r="JF753" s="132"/>
      <c r="JG753" s="132"/>
      <c r="JH753" s="132"/>
      <c r="JI753" s="132"/>
      <c r="JJ753" s="132"/>
      <c r="JK753" s="132"/>
      <c r="JL753" s="132"/>
      <c r="JM753" s="132"/>
      <c r="JN753" s="132"/>
      <c r="JO753" s="132"/>
      <c r="JP753" s="132"/>
      <c r="JQ753" s="132"/>
      <c r="JR753" s="132"/>
      <c r="JS753" s="132"/>
      <c r="JT753" s="132"/>
      <c r="JU753" s="132"/>
      <c r="JV753" s="132"/>
      <c r="JW753" s="132"/>
      <c r="JX753" s="132"/>
      <c r="JY753" s="132"/>
      <c r="JZ753" s="132"/>
      <c r="KA753" s="132"/>
      <c r="KB753" s="132"/>
      <c r="KC753" s="132"/>
      <c r="KD753" s="132"/>
      <c r="KE753" s="132"/>
      <c r="KF753" s="132"/>
      <c r="KG753" s="132"/>
      <c r="KH753" s="132"/>
      <c r="KI753" s="132"/>
      <c r="KJ753" s="132"/>
      <c r="KK753" s="132"/>
      <c r="KL753" s="132"/>
      <c r="KM753" s="132"/>
      <c r="KN753" s="132"/>
      <c r="KO753" s="132"/>
      <c r="KP753" s="132"/>
      <c r="KQ753" s="132"/>
      <c r="KR753" s="132"/>
      <c r="KS753" s="132"/>
      <c r="KT753" s="132"/>
      <c r="KU753" s="132"/>
      <c r="KV753" s="132"/>
      <c r="KW753" s="132"/>
      <c r="KX753" s="132"/>
      <c r="KY753" s="132"/>
      <c r="KZ753" s="132"/>
      <c r="LA753" s="132"/>
      <c r="LB753" s="132"/>
      <c r="LC753" s="132"/>
      <c r="LD753" s="132"/>
      <c r="LE753" s="132"/>
      <c r="LF753" s="132"/>
      <c r="LG753" s="132"/>
      <c r="LH753" s="132"/>
      <c r="LI753" s="132"/>
      <c r="LJ753" s="132"/>
      <c r="LK753" s="132"/>
      <c r="LL753" s="132"/>
      <c r="LM753" s="132"/>
      <c r="LN753" s="132"/>
      <c r="LO753" s="132"/>
      <c r="LP753" s="132"/>
      <c r="LQ753" s="132"/>
      <c r="LR753" s="132"/>
      <c r="LS753" s="132"/>
      <c r="LT753" s="132"/>
      <c r="LU753" s="132"/>
      <c r="LV753" s="132"/>
      <c r="LW753" s="132"/>
      <c r="LX753" s="132"/>
      <c r="LY753" s="132"/>
      <c r="LZ753" s="132"/>
      <c r="MA753" s="132"/>
      <c r="MB753" s="132"/>
      <c r="MC753" s="132"/>
      <c r="MD753" s="132"/>
      <c r="ME753" s="132"/>
      <c r="MF753" s="132"/>
      <c r="MG753" s="132"/>
      <c r="MH753" s="132"/>
      <c r="MI753" s="132"/>
      <c r="MJ753" s="132"/>
      <c r="MK753" s="132"/>
      <c r="ML753" s="132"/>
      <c r="MM753" s="132"/>
      <c r="MN753" s="132"/>
      <c r="MO753" s="132"/>
      <c r="MP753" s="132"/>
      <c r="MQ753" s="132"/>
      <c r="MR753" s="132"/>
      <c r="MS753" s="132"/>
      <c r="MT753" s="132"/>
      <c r="MU753" s="132"/>
      <c r="MV753" s="132"/>
      <c r="MW753" s="132"/>
      <c r="MX753" s="132"/>
      <c r="MY753" s="132"/>
      <c r="MZ753" s="132"/>
      <c r="NA753" s="132"/>
      <c r="NB753" s="132"/>
      <c r="NC753" s="132"/>
      <c r="ND753" s="132"/>
      <c r="NE753" s="132"/>
      <c r="NF753" s="132"/>
      <c r="NG753" s="132"/>
      <c r="NH753" s="132"/>
      <c r="NI753" s="132"/>
      <c r="NJ753" s="132"/>
      <c r="NK753" s="132"/>
      <c r="NL753" s="132"/>
      <c r="NM753" s="132"/>
      <c r="NN753" s="132"/>
      <c r="NO753" s="132"/>
      <c r="NP753" s="132"/>
      <c r="NQ753" s="132"/>
      <c r="NR753" s="132"/>
      <c r="NS753" s="132"/>
      <c r="NT753" s="132"/>
      <c r="NU753" s="132"/>
      <c r="NV753" s="132"/>
      <c r="NW753" s="132"/>
      <c r="NX753" s="132"/>
      <c r="NY753" s="132"/>
      <c r="NZ753" s="132"/>
      <c r="OA753" s="132"/>
      <c r="OB753" s="132"/>
      <c r="OC753" s="132"/>
      <c r="OD753" s="132"/>
      <c r="OE753" s="132"/>
      <c r="OF753" s="132"/>
      <c r="OG753" s="132"/>
      <c r="OH753" s="132"/>
      <c r="OI753" s="132"/>
      <c r="OJ753" s="132"/>
      <c r="OK753" s="132"/>
      <c r="OL753" s="132"/>
      <c r="OM753" s="132"/>
      <c r="ON753" s="132"/>
      <c r="OO753" s="132"/>
      <c r="OP753" s="132"/>
      <c r="OQ753" s="132"/>
      <c r="OR753" s="132"/>
      <c r="OS753" s="132"/>
      <c r="OT753" s="132"/>
      <c r="OU753" s="132"/>
      <c r="OV753" s="132"/>
      <c r="OW753" s="132"/>
      <c r="OX753" s="132"/>
      <c r="OY753" s="132"/>
      <c r="OZ753" s="132"/>
      <c r="PA753" s="132"/>
      <c r="PB753" s="132"/>
      <c r="PC753" s="132"/>
      <c r="PD753" s="132"/>
      <c r="PE753" s="132"/>
      <c r="PF753" s="132"/>
      <c r="PG753" s="132"/>
      <c r="PH753" s="132"/>
      <c r="PI753" s="132"/>
      <c r="PJ753" s="132"/>
      <c r="PK753" s="132"/>
      <c r="PL753" s="132"/>
      <c r="PM753" s="132"/>
      <c r="PN753" s="132"/>
      <c r="PO753" s="132"/>
      <c r="PP753" s="132"/>
      <c r="PQ753" s="132"/>
      <c r="PR753" s="132"/>
      <c r="PS753" s="132"/>
      <c r="PT753" s="132"/>
      <c r="PU753" s="132"/>
      <c r="PV753" s="132"/>
      <c r="PW753" s="132"/>
      <c r="PX753" s="132"/>
      <c r="PY753" s="132"/>
      <c r="PZ753" s="132"/>
      <c r="QA753" s="132"/>
      <c r="QB753" s="132"/>
      <c r="QC753" s="132"/>
      <c r="QD753" s="132"/>
      <c r="QE753" s="132"/>
      <c r="QF753" s="132"/>
      <c r="QG753" s="132"/>
      <c r="QH753" s="132"/>
      <c r="QI753" s="132"/>
      <c r="QJ753" s="132"/>
      <c r="QK753" s="132"/>
      <c r="QL753" s="132"/>
      <c r="QM753" s="132"/>
      <c r="QN753" s="132"/>
      <c r="QO753" s="132"/>
      <c r="QP753" s="132"/>
      <c r="QQ753" s="132"/>
      <c r="QR753" s="132"/>
      <c r="QS753" s="132"/>
      <c r="QT753" s="132"/>
      <c r="QU753" s="132"/>
      <c r="QV753" s="132"/>
      <c r="QW753" s="132"/>
      <c r="QX753" s="132"/>
      <c r="QY753" s="132"/>
      <c r="QZ753" s="132"/>
      <c r="RA753" s="132"/>
      <c r="RB753" s="132"/>
      <c r="RC753" s="132"/>
      <c r="RD753" s="132"/>
      <c r="RE753" s="132"/>
      <c r="RF753" s="132"/>
      <c r="RG753" s="132"/>
      <c r="RH753" s="132"/>
      <c r="RI753" s="132"/>
      <c r="RJ753" s="132"/>
      <c r="RK753" s="132"/>
      <c r="RL753" s="132"/>
      <c r="RM753" s="132"/>
      <c r="RN753" s="132"/>
      <c r="RO753" s="132"/>
      <c r="RP753" s="132"/>
      <c r="RQ753" s="132"/>
      <c r="RR753" s="132"/>
      <c r="RS753" s="132"/>
      <c r="RT753" s="132"/>
      <c r="RU753" s="132"/>
      <c r="RV753" s="132"/>
      <c r="RW753" s="132"/>
      <c r="RX753" s="132"/>
      <c r="RY753" s="132"/>
      <c r="RZ753" s="132"/>
      <c r="SA753" s="132"/>
      <c r="SB753" s="132"/>
      <c r="SC753" s="132"/>
      <c r="SD753" s="132"/>
      <c r="SE753" s="132"/>
      <c r="SF753" s="132"/>
      <c r="SG753" s="132"/>
      <c r="SH753" s="132"/>
      <c r="SI753" s="132"/>
      <c r="SJ753" s="132"/>
      <c r="SK753" s="132"/>
      <c r="SL753" s="132"/>
      <c r="SM753" s="132"/>
      <c r="SN753" s="132"/>
      <c r="SO753" s="132"/>
      <c r="SP753" s="132"/>
      <c r="SQ753" s="132"/>
      <c r="SR753" s="132"/>
      <c r="SS753" s="132"/>
      <c r="ST753" s="132"/>
      <c r="SU753" s="132"/>
      <c r="SV753" s="132"/>
      <c r="SW753" s="132"/>
      <c r="SX753" s="132"/>
      <c r="SY753" s="132"/>
      <c r="SZ753" s="132"/>
      <c r="TA753" s="132"/>
      <c r="TB753" s="132"/>
      <c r="TC753" s="132"/>
      <c r="TD753" s="132"/>
      <c r="TE753" s="132"/>
      <c r="TF753" s="132"/>
      <c r="TG753" s="132"/>
      <c r="TH753" s="132"/>
      <c r="TI753" s="132"/>
      <c r="TJ753" s="132"/>
      <c r="TK753" s="132"/>
      <c r="TL753" s="132"/>
      <c r="TM753" s="132"/>
      <c r="TN753" s="132"/>
      <c r="TO753" s="132"/>
      <c r="TP753" s="132"/>
      <c r="TQ753" s="132"/>
      <c r="TR753" s="132"/>
      <c r="TS753" s="132"/>
      <c r="TT753" s="132"/>
      <c r="TU753" s="132"/>
      <c r="TV753" s="132"/>
      <c r="TW753" s="132"/>
      <c r="TX753" s="132"/>
      <c r="TY753" s="132"/>
      <c r="TZ753" s="132"/>
      <c r="UA753" s="132"/>
      <c r="UB753" s="132"/>
      <c r="UC753" s="132"/>
      <c r="UD753" s="132"/>
      <c r="UE753" s="132"/>
      <c r="UF753" s="132"/>
      <c r="UG753" s="132"/>
    </row>
    <row r="754" spans="1:553" s="125" customFormat="1" ht="30.75" customHeight="1">
      <c r="A754" s="544"/>
      <c r="B754" s="544" t="s">
        <v>31</v>
      </c>
      <c r="C754" s="1400" t="s">
        <v>963</v>
      </c>
      <c r="D754" s="1389"/>
      <c r="E754" s="1389"/>
      <c r="F754" s="1390"/>
      <c r="G754" s="544" t="s">
        <v>34</v>
      </c>
      <c r="H754" s="630"/>
      <c r="I754" s="631">
        <f>1.2*0.9*0.2</f>
        <v>0.21600000000000003</v>
      </c>
      <c r="J754" s="992">
        <v>1748702</v>
      </c>
      <c r="K754" s="584"/>
      <c r="L754" s="632">
        <f t="shared" si="114"/>
        <v>377719.63200000004</v>
      </c>
      <c r="M754" s="544"/>
      <c r="N754" s="544"/>
      <c r="O754" s="544"/>
      <c r="P754" s="544"/>
      <c r="Q754" s="1152"/>
      <c r="R754" s="1241"/>
      <c r="S754" s="308"/>
      <c r="T754" s="308"/>
      <c r="U754" s="308"/>
      <c r="V754" s="308"/>
      <c r="W754" s="308"/>
      <c r="X754" s="308"/>
      <c r="Y754" s="308"/>
      <c r="Z754" s="604"/>
      <c r="AA754" s="308"/>
      <c r="AB754" s="308"/>
      <c r="AC754" s="635"/>
      <c r="AD754" s="635"/>
      <c r="AE754" s="635"/>
      <c r="AF754" s="635"/>
      <c r="AG754" s="635"/>
      <c r="AH754" s="635"/>
      <c r="AI754" s="635"/>
      <c r="AJ754" s="635"/>
      <c r="AK754" s="635"/>
      <c r="AL754" s="137"/>
      <c r="AM754" s="137"/>
      <c r="AN754" s="137"/>
      <c r="AO754" s="137"/>
      <c r="AP754" s="137"/>
      <c r="AQ754" s="137"/>
      <c r="AR754" s="137"/>
      <c r="AS754" s="137"/>
      <c r="AT754" s="137"/>
      <c r="AU754" s="137"/>
      <c r="AV754" s="137"/>
      <c r="AW754" s="137"/>
      <c r="AX754" s="137"/>
      <c r="AY754" s="137"/>
      <c r="AZ754" s="137"/>
      <c r="BA754" s="137"/>
      <c r="BB754" s="137"/>
      <c r="BC754" s="137"/>
      <c r="BD754" s="137"/>
      <c r="BE754" s="137"/>
      <c r="BF754" s="137"/>
      <c r="BG754" s="137"/>
      <c r="BH754" s="137"/>
      <c r="BI754" s="137"/>
      <c r="BJ754" s="137"/>
      <c r="BK754" s="137"/>
      <c r="BL754" s="137"/>
      <c r="BM754" s="137"/>
      <c r="BN754" s="137"/>
      <c r="BO754" s="137"/>
      <c r="BP754" s="137"/>
      <c r="BQ754" s="137"/>
      <c r="BR754" s="137"/>
      <c r="BS754" s="137"/>
      <c r="BT754" s="137"/>
      <c r="BU754" s="137"/>
      <c r="BV754" s="137"/>
      <c r="BW754" s="137"/>
      <c r="BX754" s="137"/>
      <c r="BY754" s="137"/>
      <c r="BZ754" s="137"/>
      <c r="CA754" s="137"/>
      <c r="CB754" s="137"/>
      <c r="CC754" s="137"/>
      <c r="CD754" s="137"/>
      <c r="CE754" s="137"/>
      <c r="CF754" s="137"/>
      <c r="CG754" s="137"/>
      <c r="CH754" s="137"/>
      <c r="CI754" s="137"/>
      <c r="CJ754" s="137"/>
      <c r="CK754" s="137"/>
      <c r="CL754" s="137"/>
      <c r="CM754" s="137"/>
      <c r="CN754" s="137"/>
      <c r="CO754" s="137"/>
      <c r="CP754" s="137"/>
      <c r="CQ754" s="137"/>
      <c r="CR754" s="137"/>
      <c r="CS754" s="137"/>
      <c r="CT754" s="137"/>
      <c r="CU754" s="137"/>
      <c r="CV754" s="137"/>
      <c r="CW754" s="137"/>
      <c r="CX754" s="137"/>
      <c r="CY754" s="137"/>
      <c r="CZ754" s="137"/>
      <c r="DA754" s="137"/>
      <c r="DB754" s="137"/>
      <c r="DC754" s="137"/>
      <c r="DD754" s="137"/>
      <c r="DE754" s="137"/>
      <c r="DF754" s="137"/>
      <c r="DG754" s="137"/>
      <c r="DH754" s="137"/>
      <c r="DI754" s="137"/>
      <c r="DJ754" s="137"/>
      <c r="DK754" s="137"/>
      <c r="DL754" s="137"/>
      <c r="DM754" s="137"/>
      <c r="DN754" s="137"/>
      <c r="DO754" s="137"/>
      <c r="DP754" s="137"/>
      <c r="DQ754" s="137"/>
      <c r="DR754" s="137"/>
      <c r="DS754" s="137"/>
      <c r="DT754" s="137"/>
      <c r="DU754" s="137"/>
      <c r="DV754" s="137"/>
      <c r="DW754" s="137"/>
      <c r="DX754" s="137"/>
      <c r="DY754" s="137"/>
      <c r="DZ754" s="137"/>
      <c r="EA754" s="137"/>
      <c r="EB754" s="137"/>
      <c r="EC754" s="137"/>
      <c r="ED754" s="137"/>
      <c r="EE754" s="137"/>
      <c r="EF754" s="137"/>
      <c r="EG754" s="137"/>
      <c r="EH754" s="137"/>
      <c r="EI754" s="137"/>
      <c r="EJ754" s="137"/>
      <c r="EK754" s="137"/>
      <c r="EL754" s="137"/>
      <c r="EM754" s="137"/>
      <c r="EN754" s="137"/>
      <c r="EO754" s="137"/>
      <c r="EP754" s="137"/>
      <c r="EQ754" s="137"/>
      <c r="ER754" s="137"/>
      <c r="ES754" s="137"/>
      <c r="ET754" s="137"/>
      <c r="EU754" s="137"/>
      <c r="EV754" s="137"/>
      <c r="EW754" s="137"/>
      <c r="EX754" s="137"/>
      <c r="EY754" s="137"/>
      <c r="EZ754" s="137"/>
      <c r="FA754" s="137"/>
      <c r="FB754" s="137"/>
      <c r="FC754" s="137"/>
      <c r="FD754" s="137"/>
      <c r="FE754" s="137"/>
      <c r="FF754" s="137"/>
      <c r="FG754" s="137"/>
      <c r="FH754" s="137"/>
      <c r="FI754" s="137"/>
      <c r="FJ754" s="137"/>
      <c r="FK754" s="137"/>
      <c r="FL754" s="137"/>
      <c r="FM754" s="137"/>
      <c r="FN754" s="137"/>
      <c r="FO754" s="137"/>
      <c r="FP754" s="137"/>
      <c r="FQ754" s="137"/>
      <c r="FR754" s="137"/>
      <c r="FS754" s="137"/>
      <c r="FT754" s="137"/>
      <c r="FU754" s="137"/>
      <c r="FV754" s="137"/>
      <c r="FW754" s="137"/>
      <c r="FX754" s="137"/>
      <c r="FY754" s="137"/>
      <c r="FZ754" s="137"/>
      <c r="GA754" s="137"/>
      <c r="GB754" s="137"/>
      <c r="GC754" s="137"/>
      <c r="GD754" s="137"/>
      <c r="GE754" s="137"/>
      <c r="GF754" s="137"/>
      <c r="GG754" s="137"/>
      <c r="GH754" s="137"/>
      <c r="GI754" s="137"/>
      <c r="GJ754" s="137"/>
      <c r="GK754" s="137"/>
      <c r="GL754" s="137"/>
      <c r="GM754" s="137"/>
      <c r="GN754" s="137"/>
      <c r="GO754" s="137"/>
      <c r="GP754" s="137"/>
      <c r="GQ754" s="137"/>
      <c r="GR754" s="137"/>
      <c r="GS754" s="137"/>
      <c r="GT754" s="137"/>
      <c r="GU754" s="137"/>
      <c r="GV754" s="137"/>
      <c r="GW754" s="137"/>
      <c r="GX754" s="137"/>
      <c r="GY754" s="137"/>
      <c r="GZ754" s="137"/>
      <c r="HA754" s="137"/>
      <c r="HB754" s="137"/>
      <c r="HC754" s="137"/>
      <c r="HD754" s="137"/>
      <c r="HE754" s="137"/>
      <c r="HF754" s="137"/>
      <c r="HG754" s="137"/>
      <c r="HH754" s="137"/>
      <c r="HI754" s="137"/>
      <c r="HJ754" s="137"/>
      <c r="HK754" s="137"/>
      <c r="HL754" s="137"/>
      <c r="HM754" s="137"/>
      <c r="HN754" s="137"/>
      <c r="HO754" s="137"/>
      <c r="HP754" s="137"/>
      <c r="HQ754" s="137"/>
      <c r="HR754" s="137"/>
      <c r="HS754" s="137"/>
      <c r="HT754" s="137"/>
      <c r="HU754" s="137"/>
      <c r="HV754" s="137"/>
      <c r="HW754" s="137"/>
      <c r="HX754" s="137"/>
      <c r="HY754" s="137"/>
      <c r="HZ754" s="137"/>
      <c r="IA754" s="137"/>
      <c r="IB754" s="137"/>
      <c r="IC754" s="137"/>
      <c r="ID754" s="137"/>
      <c r="IE754" s="137"/>
      <c r="IF754" s="137"/>
      <c r="IG754" s="137"/>
      <c r="IH754" s="137"/>
      <c r="II754" s="137"/>
      <c r="IJ754" s="137"/>
      <c r="IK754" s="137"/>
      <c r="IL754" s="137"/>
      <c r="IM754" s="137"/>
      <c r="IN754" s="137"/>
      <c r="IO754" s="137"/>
      <c r="IP754" s="137"/>
      <c r="IQ754" s="137"/>
      <c r="IR754" s="137"/>
      <c r="IS754" s="137"/>
      <c r="IT754" s="137"/>
      <c r="IU754" s="137"/>
      <c r="IV754" s="137"/>
      <c r="IW754" s="137"/>
      <c r="IX754" s="137"/>
      <c r="IY754" s="137"/>
      <c r="IZ754" s="137"/>
      <c r="JA754" s="137"/>
      <c r="JB754" s="137"/>
      <c r="JC754" s="137"/>
      <c r="JD754" s="137"/>
      <c r="JE754" s="137"/>
      <c r="JF754" s="137"/>
      <c r="JG754" s="137"/>
      <c r="JH754" s="137"/>
      <c r="JI754" s="137"/>
      <c r="JJ754" s="137"/>
      <c r="JK754" s="137"/>
      <c r="JL754" s="137"/>
      <c r="JM754" s="137"/>
      <c r="JN754" s="137"/>
      <c r="JO754" s="137"/>
      <c r="JP754" s="137"/>
      <c r="JQ754" s="137"/>
      <c r="JR754" s="137"/>
      <c r="JS754" s="137"/>
      <c r="JT754" s="137"/>
      <c r="JU754" s="137"/>
      <c r="JV754" s="137"/>
      <c r="JW754" s="137"/>
      <c r="JX754" s="137"/>
      <c r="JY754" s="137"/>
      <c r="JZ754" s="137"/>
      <c r="KA754" s="137"/>
      <c r="KB754" s="137"/>
      <c r="KC754" s="137"/>
      <c r="KD754" s="137"/>
      <c r="KE754" s="137"/>
      <c r="KF754" s="137"/>
      <c r="KG754" s="137"/>
      <c r="KH754" s="137"/>
      <c r="KI754" s="137"/>
      <c r="KJ754" s="137"/>
      <c r="KK754" s="137"/>
      <c r="KL754" s="137"/>
      <c r="KM754" s="137"/>
      <c r="KN754" s="137"/>
      <c r="KO754" s="137"/>
      <c r="KP754" s="137"/>
      <c r="KQ754" s="137"/>
      <c r="KR754" s="137"/>
      <c r="KS754" s="137"/>
      <c r="KT754" s="137"/>
      <c r="KU754" s="137"/>
      <c r="KV754" s="137"/>
      <c r="KW754" s="137"/>
      <c r="KX754" s="137"/>
      <c r="KY754" s="137"/>
      <c r="KZ754" s="137"/>
      <c r="LA754" s="137"/>
      <c r="LB754" s="137"/>
      <c r="LC754" s="137"/>
      <c r="LD754" s="137"/>
      <c r="LE754" s="137"/>
      <c r="LF754" s="137"/>
      <c r="LG754" s="137"/>
      <c r="LH754" s="137"/>
      <c r="LI754" s="137"/>
      <c r="LJ754" s="137"/>
      <c r="LK754" s="137"/>
      <c r="LL754" s="137"/>
      <c r="LM754" s="137"/>
      <c r="LN754" s="137"/>
      <c r="LO754" s="137"/>
      <c r="LP754" s="137"/>
      <c r="LQ754" s="137"/>
      <c r="LR754" s="137"/>
      <c r="LS754" s="137"/>
      <c r="LT754" s="137"/>
      <c r="LU754" s="137"/>
      <c r="LV754" s="137"/>
      <c r="LW754" s="137"/>
      <c r="LX754" s="137"/>
      <c r="LY754" s="137"/>
      <c r="LZ754" s="137"/>
      <c r="MA754" s="137"/>
      <c r="MB754" s="137"/>
      <c r="MC754" s="137"/>
      <c r="MD754" s="137"/>
      <c r="ME754" s="137"/>
      <c r="MF754" s="137"/>
      <c r="MG754" s="137"/>
      <c r="MH754" s="137"/>
      <c r="MI754" s="137"/>
      <c r="MJ754" s="137"/>
      <c r="MK754" s="137"/>
      <c r="ML754" s="137"/>
      <c r="MM754" s="137"/>
      <c r="MN754" s="137"/>
      <c r="MO754" s="137"/>
      <c r="MP754" s="137"/>
      <c r="MQ754" s="137"/>
      <c r="MR754" s="137"/>
      <c r="MS754" s="137"/>
      <c r="MT754" s="137"/>
      <c r="MU754" s="137"/>
      <c r="MV754" s="137"/>
      <c r="MW754" s="137"/>
      <c r="MX754" s="137"/>
      <c r="MY754" s="137"/>
      <c r="MZ754" s="137"/>
      <c r="NA754" s="137"/>
      <c r="NB754" s="137"/>
      <c r="NC754" s="137"/>
      <c r="ND754" s="137"/>
      <c r="NE754" s="137"/>
      <c r="NF754" s="137"/>
      <c r="NG754" s="137"/>
      <c r="NH754" s="137"/>
      <c r="NI754" s="137"/>
      <c r="NJ754" s="137"/>
      <c r="NK754" s="137"/>
      <c r="NL754" s="137"/>
      <c r="NM754" s="137"/>
      <c r="NN754" s="137"/>
      <c r="NO754" s="137"/>
      <c r="NP754" s="137"/>
      <c r="NQ754" s="137"/>
      <c r="NR754" s="137"/>
      <c r="NS754" s="137"/>
      <c r="NT754" s="137"/>
      <c r="NU754" s="137"/>
      <c r="NV754" s="137"/>
      <c r="NW754" s="137"/>
      <c r="NX754" s="137"/>
      <c r="NY754" s="137"/>
      <c r="NZ754" s="137"/>
      <c r="OA754" s="137"/>
      <c r="OB754" s="137"/>
      <c r="OC754" s="137"/>
      <c r="OD754" s="137"/>
      <c r="OE754" s="137"/>
      <c r="OF754" s="137"/>
      <c r="OG754" s="137"/>
      <c r="OH754" s="137"/>
      <c r="OI754" s="137"/>
      <c r="OJ754" s="137"/>
      <c r="OK754" s="137"/>
      <c r="OL754" s="137"/>
      <c r="OM754" s="137"/>
      <c r="ON754" s="137"/>
      <c r="OO754" s="137"/>
      <c r="OP754" s="137"/>
      <c r="OQ754" s="137"/>
      <c r="OR754" s="137"/>
      <c r="OS754" s="137"/>
      <c r="OT754" s="137"/>
      <c r="OU754" s="137"/>
      <c r="OV754" s="137"/>
      <c r="OW754" s="137"/>
      <c r="OX754" s="137"/>
      <c r="OY754" s="137"/>
      <c r="OZ754" s="137"/>
      <c r="PA754" s="137"/>
      <c r="PB754" s="137"/>
      <c r="PC754" s="137"/>
      <c r="PD754" s="137"/>
      <c r="PE754" s="137"/>
      <c r="PF754" s="137"/>
      <c r="PG754" s="137"/>
      <c r="PH754" s="137"/>
      <c r="PI754" s="137"/>
      <c r="PJ754" s="137"/>
      <c r="PK754" s="137"/>
      <c r="PL754" s="137"/>
      <c r="PM754" s="137"/>
      <c r="PN754" s="137"/>
      <c r="PO754" s="137"/>
      <c r="PP754" s="137"/>
      <c r="PQ754" s="137"/>
      <c r="PR754" s="137"/>
      <c r="PS754" s="137"/>
      <c r="PT754" s="137"/>
      <c r="PU754" s="137"/>
      <c r="PV754" s="137"/>
      <c r="PW754" s="137"/>
      <c r="PX754" s="137"/>
      <c r="PY754" s="137"/>
      <c r="PZ754" s="137"/>
      <c r="QA754" s="137"/>
      <c r="QB754" s="137"/>
      <c r="QC754" s="137"/>
      <c r="QD754" s="137"/>
      <c r="QE754" s="137"/>
      <c r="QF754" s="137"/>
      <c r="QG754" s="137"/>
      <c r="QH754" s="137"/>
      <c r="QI754" s="137"/>
      <c r="QJ754" s="137"/>
      <c r="QK754" s="137"/>
      <c r="QL754" s="137"/>
      <c r="QM754" s="137"/>
      <c r="QN754" s="137"/>
      <c r="QO754" s="137"/>
      <c r="QP754" s="137"/>
      <c r="QQ754" s="137"/>
      <c r="QR754" s="137"/>
      <c r="QS754" s="137"/>
      <c r="QT754" s="137"/>
      <c r="QU754" s="137"/>
      <c r="QV754" s="137"/>
      <c r="QW754" s="137"/>
      <c r="QX754" s="137"/>
      <c r="QY754" s="137"/>
      <c r="QZ754" s="137"/>
      <c r="RA754" s="137"/>
      <c r="RB754" s="137"/>
      <c r="RC754" s="137"/>
      <c r="RD754" s="137"/>
      <c r="RE754" s="137"/>
      <c r="RF754" s="137"/>
      <c r="RG754" s="137"/>
      <c r="RH754" s="137"/>
      <c r="RI754" s="137"/>
      <c r="RJ754" s="137"/>
      <c r="RK754" s="137"/>
      <c r="RL754" s="137"/>
      <c r="RM754" s="137"/>
      <c r="RN754" s="137"/>
      <c r="RO754" s="137"/>
      <c r="RP754" s="137"/>
      <c r="RQ754" s="137"/>
      <c r="RR754" s="137"/>
      <c r="RS754" s="137"/>
      <c r="RT754" s="137"/>
      <c r="RU754" s="137"/>
      <c r="RV754" s="137"/>
      <c r="RW754" s="137"/>
      <c r="RX754" s="137"/>
      <c r="RY754" s="137"/>
      <c r="RZ754" s="137"/>
      <c r="SA754" s="137"/>
      <c r="SB754" s="137"/>
      <c r="SC754" s="137"/>
      <c r="SD754" s="137"/>
      <c r="SE754" s="137"/>
      <c r="SF754" s="137"/>
      <c r="SG754" s="137"/>
      <c r="SH754" s="137"/>
      <c r="SI754" s="137"/>
      <c r="SJ754" s="137"/>
      <c r="SK754" s="137"/>
      <c r="SL754" s="137"/>
      <c r="SM754" s="137"/>
      <c r="SN754" s="137"/>
      <c r="SO754" s="137"/>
      <c r="SP754" s="137"/>
      <c r="SQ754" s="137"/>
      <c r="SR754" s="137"/>
      <c r="SS754" s="137"/>
      <c r="ST754" s="137"/>
      <c r="SU754" s="137"/>
      <c r="SV754" s="137"/>
      <c r="SW754" s="137"/>
      <c r="SX754" s="137"/>
      <c r="SY754" s="137"/>
      <c r="SZ754" s="137"/>
      <c r="TA754" s="137"/>
      <c r="TB754" s="137"/>
      <c r="TC754" s="137"/>
      <c r="TD754" s="137"/>
      <c r="TE754" s="137"/>
      <c r="TF754" s="137"/>
      <c r="TG754" s="137"/>
      <c r="TH754" s="137"/>
      <c r="TI754" s="137"/>
      <c r="TJ754" s="137"/>
      <c r="TK754" s="137"/>
      <c r="TL754" s="137"/>
      <c r="TM754" s="137"/>
      <c r="TN754" s="137"/>
      <c r="TO754" s="137"/>
      <c r="TP754" s="137"/>
      <c r="TQ754" s="137"/>
      <c r="TR754" s="137"/>
      <c r="TS754" s="137"/>
      <c r="TT754" s="137"/>
      <c r="TU754" s="137"/>
      <c r="TV754" s="137"/>
      <c r="TW754" s="137"/>
      <c r="TX754" s="137"/>
      <c r="TY754" s="137"/>
      <c r="TZ754" s="137"/>
      <c r="UA754" s="137"/>
      <c r="UB754" s="137"/>
      <c r="UC754" s="137"/>
      <c r="UD754" s="137"/>
      <c r="UE754" s="137"/>
      <c r="UF754" s="137"/>
      <c r="UG754" s="137"/>
    </row>
    <row r="755" spans="1:553" ht="30.75" customHeight="1">
      <c r="A755" s="366"/>
      <c r="B755" s="366">
        <v>20</v>
      </c>
      <c r="C755" s="1401" t="s">
        <v>962</v>
      </c>
      <c r="D755" s="1389"/>
      <c r="E755" s="1389"/>
      <c r="F755" s="1390"/>
      <c r="G755" s="366" t="s">
        <v>33</v>
      </c>
      <c r="H755" s="622"/>
      <c r="I755" s="626">
        <f>1.2*0.9</f>
        <v>1.08</v>
      </c>
      <c r="J755" s="369">
        <v>185700</v>
      </c>
      <c r="K755" s="371"/>
      <c r="L755" s="627">
        <f t="shared" si="114"/>
        <v>200556</v>
      </c>
      <c r="M755" s="366"/>
      <c r="N755" s="366"/>
      <c r="O755" s="366"/>
      <c r="P755" s="366"/>
      <c r="Q755" s="1151"/>
      <c r="R755" s="1226"/>
      <c r="S755" s="308"/>
      <c r="T755" s="308"/>
      <c r="U755" s="308"/>
      <c r="V755" s="308"/>
      <c r="W755" s="308"/>
      <c r="X755" s="308"/>
      <c r="Y755" s="308"/>
      <c r="Z755" s="604"/>
      <c r="AA755" s="308"/>
      <c r="AB755" s="308"/>
      <c r="AC755" s="625"/>
      <c r="AD755" s="625"/>
      <c r="AE755" s="625"/>
      <c r="AF755" s="625"/>
      <c r="AG755" s="625"/>
      <c r="AH755" s="625"/>
      <c r="AI755" s="625"/>
      <c r="AJ755" s="625"/>
      <c r="AK755" s="625"/>
      <c r="AL755" s="133"/>
      <c r="AM755" s="133"/>
      <c r="AN755" s="133"/>
      <c r="AO755" s="133"/>
      <c r="AP755" s="133"/>
      <c r="AQ755" s="133"/>
      <c r="AR755" s="133"/>
      <c r="AS755" s="133"/>
      <c r="AT755" s="133"/>
      <c r="AU755" s="133"/>
      <c r="AV755" s="133"/>
      <c r="AW755" s="133"/>
      <c r="AX755" s="133"/>
      <c r="AY755" s="133"/>
      <c r="AZ755" s="133"/>
      <c r="BA755" s="133"/>
      <c r="BB755" s="133"/>
      <c r="BC755" s="133"/>
      <c r="BD755" s="133"/>
      <c r="BE755" s="133"/>
      <c r="BF755" s="133"/>
      <c r="BG755" s="133"/>
      <c r="BH755" s="133"/>
      <c r="BI755" s="133"/>
      <c r="BJ755" s="133"/>
      <c r="BK755" s="133"/>
      <c r="BL755" s="133"/>
      <c r="BM755" s="133"/>
      <c r="BN755" s="133"/>
      <c r="BO755" s="133"/>
      <c r="BP755" s="133"/>
      <c r="BQ755" s="132"/>
      <c r="BR755" s="132"/>
      <c r="BS755" s="132"/>
      <c r="BT755" s="132"/>
      <c r="BU755" s="132"/>
      <c r="BV755" s="132"/>
      <c r="BW755" s="132"/>
      <c r="BX755" s="132"/>
      <c r="BY755" s="132"/>
      <c r="BZ755" s="132"/>
      <c r="CA755" s="132"/>
      <c r="CB755" s="132"/>
      <c r="CC755" s="132"/>
      <c r="CD755" s="132"/>
      <c r="CE755" s="132"/>
      <c r="CF755" s="132"/>
      <c r="CG755" s="132"/>
      <c r="CH755" s="132"/>
      <c r="CI755" s="132"/>
      <c r="CJ755" s="132"/>
      <c r="CK755" s="132"/>
      <c r="CL755" s="132"/>
      <c r="CM755" s="132"/>
      <c r="CN755" s="132"/>
      <c r="CO755" s="132"/>
      <c r="CP755" s="132"/>
      <c r="CQ755" s="132"/>
      <c r="CR755" s="132"/>
      <c r="CS755" s="132"/>
      <c r="CT755" s="132"/>
      <c r="CU755" s="132"/>
      <c r="CV755" s="132"/>
      <c r="CW755" s="132"/>
      <c r="CX755" s="132"/>
      <c r="CY755" s="132"/>
      <c r="CZ755" s="132"/>
      <c r="DA755" s="132"/>
      <c r="DB755" s="132"/>
      <c r="DC755" s="132"/>
      <c r="DD755" s="132"/>
      <c r="DE755" s="132"/>
      <c r="DF755" s="132"/>
      <c r="DG755" s="132"/>
      <c r="DH755" s="132"/>
      <c r="DI755" s="132"/>
      <c r="DJ755" s="132"/>
      <c r="DK755" s="132"/>
      <c r="DL755" s="132"/>
      <c r="DM755" s="132"/>
      <c r="DN755" s="132"/>
      <c r="DO755" s="132"/>
      <c r="DP755" s="132"/>
      <c r="DQ755" s="132"/>
      <c r="DR755" s="132"/>
      <c r="DS755" s="132"/>
      <c r="DT755" s="132"/>
      <c r="DU755" s="132"/>
      <c r="DV755" s="132"/>
      <c r="DW755" s="132"/>
      <c r="DX755" s="132"/>
      <c r="DY755" s="132"/>
      <c r="DZ755" s="132"/>
      <c r="EA755" s="132"/>
      <c r="EB755" s="132"/>
      <c r="EC755" s="132"/>
      <c r="ED755" s="132"/>
      <c r="EE755" s="132"/>
      <c r="EF755" s="132"/>
      <c r="EG755" s="132"/>
      <c r="EH755" s="132"/>
      <c r="EI755" s="132"/>
      <c r="EJ755" s="132"/>
      <c r="EK755" s="132"/>
      <c r="EL755" s="132"/>
      <c r="EM755" s="132"/>
      <c r="EN755" s="132"/>
      <c r="EO755" s="132"/>
      <c r="EP755" s="132"/>
      <c r="EQ755" s="132"/>
      <c r="ER755" s="132"/>
      <c r="ES755" s="132"/>
      <c r="ET755" s="132"/>
      <c r="EU755" s="132"/>
      <c r="EV755" s="132"/>
      <c r="EW755" s="132"/>
      <c r="EX755" s="132"/>
      <c r="EY755" s="132"/>
      <c r="EZ755" s="132"/>
      <c r="FA755" s="132"/>
      <c r="FB755" s="132"/>
      <c r="FC755" s="132"/>
      <c r="FD755" s="132"/>
      <c r="FE755" s="132"/>
      <c r="FF755" s="132"/>
      <c r="FG755" s="132"/>
      <c r="FH755" s="132"/>
      <c r="FI755" s="132"/>
      <c r="FJ755" s="132"/>
      <c r="FK755" s="132"/>
      <c r="FL755" s="132"/>
      <c r="FM755" s="132"/>
      <c r="FN755" s="132"/>
      <c r="FO755" s="132"/>
      <c r="FP755" s="132"/>
      <c r="FQ755" s="132"/>
      <c r="FR755" s="132"/>
      <c r="FS755" s="132"/>
      <c r="FT755" s="132"/>
      <c r="FU755" s="132"/>
      <c r="FV755" s="132"/>
      <c r="FW755" s="132"/>
      <c r="FX755" s="132"/>
      <c r="FY755" s="132"/>
      <c r="FZ755" s="132"/>
      <c r="GA755" s="132"/>
      <c r="GB755" s="132"/>
      <c r="GC755" s="132"/>
      <c r="GD755" s="132"/>
      <c r="GE755" s="132"/>
      <c r="GF755" s="132"/>
      <c r="GG755" s="132"/>
      <c r="GH755" s="132"/>
      <c r="GI755" s="132"/>
      <c r="GJ755" s="132"/>
      <c r="GK755" s="132"/>
      <c r="GL755" s="132"/>
      <c r="GM755" s="132"/>
      <c r="GN755" s="132"/>
      <c r="GO755" s="132"/>
      <c r="GP755" s="132"/>
      <c r="GQ755" s="132"/>
      <c r="GR755" s="132"/>
      <c r="GS755" s="132"/>
      <c r="GT755" s="132"/>
      <c r="GU755" s="132"/>
      <c r="GV755" s="132"/>
      <c r="GW755" s="132"/>
      <c r="GX755" s="132"/>
      <c r="GY755" s="132"/>
      <c r="GZ755" s="132"/>
      <c r="HA755" s="132"/>
      <c r="HB755" s="132"/>
      <c r="HC755" s="132"/>
      <c r="HD755" s="132"/>
      <c r="HE755" s="132"/>
      <c r="HF755" s="132"/>
      <c r="HG755" s="132"/>
      <c r="HH755" s="132"/>
      <c r="HI755" s="132"/>
      <c r="HJ755" s="132"/>
      <c r="HK755" s="132"/>
      <c r="HL755" s="132"/>
      <c r="HM755" s="132"/>
      <c r="HN755" s="132"/>
      <c r="HO755" s="132"/>
      <c r="HP755" s="132"/>
      <c r="HQ755" s="132"/>
      <c r="HR755" s="132"/>
      <c r="HS755" s="132"/>
      <c r="HT755" s="132"/>
      <c r="HU755" s="132"/>
      <c r="HV755" s="132"/>
      <c r="HW755" s="132"/>
      <c r="HX755" s="132"/>
      <c r="HY755" s="132"/>
      <c r="HZ755" s="132"/>
      <c r="IA755" s="132"/>
      <c r="IB755" s="132"/>
      <c r="IC755" s="132"/>
      <c r="ID755" s="132"/>
      <c r="IE755" s="132"/>
      <c r="IF755" s="132"/>
      <c r="IG755" s="132"/>
      <c r="IH755" s="132"/>
      <c r="II755" s="132"/>
      <c r="IJ755" s="132"/>
      <c r="IK755" s="132"/>
      <c r="IL755" s="132"/>
      <c r="IM755" s="132"/>
      <c r="IN755" s="132"/>
      <c r="IO755" s="132"/>
      <c r="IP755" s="132"/>
      <c r="IQ755" s="132"/>
      <c r="IR755" s="132"/>
      <c r="IS755" s="132"/>
      <c r="IT755" s="132"/>
      <c r="IU755" s="132"/>
      <c r="IV755" s="132"/>
      <c r="IW755" s="132"/>
      <c r="IX755" s="132"/>
      <c r="IY755" s="132"/>
      <c r="IZ755" s="132"/>
      <c r="JA755" s="132"/>
      <c r="JB755" s="132"/>
      <c r="JC755" s="132"/>
      <c r="JD755" s="132"/>
      <c r="JE755" s="132"/>
      <c r="JF755" s="132"/>
      <c r="JG755" s="132"/>
      <c r="JH755" s="132"/>
      <c r="JI755" s="132"/>
      <c r="JJ755" s="132"/>
      <c r="JK755" s="132"/>
      <c r="JL755" s="132"/>
      <c r="JM755" s="132"/>
      <c r="JN755" s="132"/>
      <c r="JO755" s="132"/>
      <c r="JP755" s="132"/>
      <c r="JQ755" s="132"/>
      <c r="JR755" s="132"/>
      <c r="JS755" s="132"/>
      <c r="JT755" s="132"/>
      <c r="JU755" s="132"/>
      <c r="JV755" s="132"/>
      <c r="JW755" s="132"/>
      <c r="JX755" s="132"/>
      <c r="JY755" s="132"/>
      <c r="JZ755" s="132"/>
      <c r="KA755" s="132"/>
      <c r="KB755" s="132"/>
      <c r="KC755" s="132"/>
      <c r="KD755" s="132"/>
      <c r="KE755" s="132"/>
      <c r="KF755" s="132"/>
      <c r="KG755" s="132"/>
      <c r="KH755" s="132"/>
      <c r="KI755" s="132"/>
      <c r="KJ755" s="132"/>
      <c r="KK755" s="132"/>
      <c r="KL755" s="132"/>
      <c r="KM755" s="132"/>
      <c r="KN755" s="132"/>
      <c r="KO755" s="132"/>
      <c r="KP755" s="132"/>
      <c r="KQ755" s="132"/>
      <c r="KR755" s="132"/>
      <c r="KS755" s="132"/>
      <c r="KT755" s="132"/>
      <c r="KU755" s="132"/>
      <c r="KV755" s="132"/>
      <c r="KW755" s="132"/>
      <c r="KX755" s="132"/>
      <c r="KY755" s="132"/>
      <c r="KZ755" s="132"/>
      <c r="LA755" s="132"/>
      <c r="LB755" s="132"/>
      <c r="LC755" s="132"/>
      <c r="LD755" s="132"/>
      <c r="LE755" s="132"/>
      <c r="LF755" s="132"/>
      <c r="LG755" s="132"/>
      <c r="LH755" s="132"/>
      <c r="LI755" s="132"/>
      <c r="LJ755" s="132"/>
      <c r="LK755" s="132"/>
      <c r="LL755" s="132"/>
      <c r="LM755" s="132"/>
      <c r="LN755" s="132"/>
      <c r="LO755" s="132"/>
      <c r="LP755" s="132"/>
      <c r="LQ755" s="132"/>
      <c r="LR755" s="132"/>
      <c r="LS755" s="132"/>
      <c r="LT755" s="132"/>
      <c r="LU755" s="132"/>
      <c r="LV755" s="132"/>
      <c r="LW755" s="132"/>
      <c r="LX755" s="132"/>
      <c r="LY755" s="132"/>
      <c r="LZ755" s="132"/>
      <c r="MA755" s="132"/>
      <c r="MB755" s="132"/>
      <c r="MC755" s="132"/>
      <c r="MD755" s="132"/>
      <c r="ME755" s="132"/>
      <c r="MF755" s="132"/>
      <c r="MG755" s="132"/>
      <c r="MH755" s="132"/>
      <c r="MI755" s="132"/>
      <c r="MJ755" s="132"/>
      <c r="MK755" s="132"/>
      <c r="ML755" s="132"/>
      <c r="MM755" s="132"/>
      <c r="MN755" s="132"/>
      <c r="MO755" s="132"/>
      <c r="MP755" s="132"/>
      <c r="MQ755" s="132"/>
      <c r="MR755" s="132"/>
      <c r="MS755" s="132"/>
      <c r="MT755" s="132"/>
      <c r="MU755" s="132"/>
      <c r="MV755" s="132"/>
      <c r="MW755" s="132"/>
      <c r="MX755" s="132"/>
      <c r="MY755" s="132"/>
      <c r="MZ755" s="132"/>
      <c r="NA755" s="132"/>
      <c r="NB755" s="132"/>
      <c r="NC755" s="132"/>
      <c r="ND755" s="132"/>
      <c r="NE755" s="132"/>
      <c r="NF755" s="132"/>
      <c r="NG755" s="132"/>
      <c r="NH755" s="132"/>
      <c r="NI755" s="132"/>
      <c r="NJ755" s="132"/>
      <c r="NK755" s="132"/>
      <c r="NL755" s="132"/>
      <c r="NM755" s="132"/>
      <c r="NN755" s="132"/>
      <c r="NO755" s="132"/>
      <c r="NP755" s="132"/>
      <c r="NQ755" s="132"/>
      <c r="NR755" s="132"/>
      <c r="NS755" s="132"/>
      <c r="NT755" s="132"/>
      <c r="NU755" s="132"/>
      <c r="NV755" s="132"/>
      <c r="NW755" s="132"/>
      <c r="NX755" s="132"/>
      <c r="NY755" s="132"/>
      <c r="NZ755" s="132"/>
      <c r="OA755" s="132"/>
      <c r="OB755" s="132"/>
      <c r="OC755" s="132"/>
      <c r="OD755" s="132"/>
      <c r="OE755" s="132"/>
      <c r="OF755" s="132"/>
      <c r="OG755" s="132"/>
      <c r="OH755" s="132"/>
      <c r="OI755" s="132"/>
      <c r="OJ755" s="132"/>
      <c r="OK755" s="132"/>
      <c r="OL755" s="132"/>
      <c r="OM755" s="132"/>
      <c r="ON755" s="132"/>
      <c r="OO755" s="132"/>
      <c r="OP755" s="132"/>
      <c r="OQ755" s="132"/>
      <c r="OR755" s="132"/>
      <c r="OS755" s="132"/>
      <c r="OT755" s="132"/>
      <c r="OU755" s="132"/>
      <c r="OV755" s="132"/>
      <c r="OW755" s="132"/>
      <c r="OX755" s="132"/>
      <c r="OY755" s="132"/>
      <c r="OZ755" s="132"/>
      <c r="PA755" s="132"/>
      <c r="PB755" s="132"/>
      <c r="PC755" s="132"/>
      <c r="PD755" s="132"/>
      <c r="PE755" s="132"/>
      <c r="PF755" s="132"/>
      <c r="PG755" s="132"/>
      <c r="PH755" s="132"/>
      <c r="PI755" s="132"/>
      <c r="PJ755" s="132"/>
      <c r="PK755" s="132"/>
      <c r="PL755" s="132"/>
      <c r="PM755" s="132"/>
      <c r="PN755" s="132"/>
      <c r="PO755" s="132"/>
      <c r="PP755" s="132"/>
      <c r="PQ755" s="132"/>
      <c r="PR755" s="132"/>
      <c r="PS755" s="132"/>
      <c r="PT755" s="132"/>
      <c r="PU755" s="132"/>
      <c r="PV755" s="132"/>
      <c r="PW755" s="132"/>
      <c r="PX755" s="132"/>
      <c r="PY755" s="132"/>
      <c r="PZ755" s="132"/>
      <c r="QA755" s="132"/>
      <c r="QB755" s="132"/>
      <c r="QC755" s="132"/>
      <c r="QD755" s="132"/>
      <c r="QE755" s="132"/>
      <c r="QF755" s="132"/>
      <c r="QG755" s="132"/>
      <c r="QH755" s="132"/>
      <c r="QI755" s="132"/>
      <c r="QJ755" s="132"/>
      <c r="QK755" s="132"/>
      <c r="QL755" s="132"/>
      <c r="QM755" s="132"/>
      <c r="QN755" s="132"/>
      <c r="QO755" s="132"/>
      <c r="QP755" s="132"/>
      <c r="QQ755" s="132"/>
      <c r="QR755" s="132"/>
      <c r="QS755" s="132"/>
      <c r="QT755" s="132"/>
      <c r="QU755" s="132"/>
      <c r="QV755" s="132"/>
      <c r="QW755" s="132"/>
      <c r="QX755" s="132"/>
      <c r="QY755" s="132"/>
      <c r="QZ755" s="132"/>
      <c r="RA755" s="132"/>
      <c r="RB755" s="132"/>
      <c r="RC755" s="132"/>
      <c r="RD755" s="132"/>
      <c r="RE755" s="132"/>
      <c r="RF755" s="132"/>
      <c r="RG755" s="132"/>
      <c r="RH755" s="132"/>
      <c r="RI755" s="132"/>
      <c r="RJ755" s="132"/>
      <c r="RK755" s="132"/>
      <c r="RL755" s="132"/>
      <c r="RM755" s="132"/>
      <c r="RN755" s="132"/>
      <c r="RO755" s="132"/>
      <c r="RP755" s="132"/>
      <c r="RQ755" s="132"/>
      <c r="RR755" s="132"/>
      <c r="RS755" s="132"/>
      <c r="RT755" s="132"/>
      <c r="RU755" s="132"/>
      <c r="RV755" s="132"/>
      <c r="RW755" s="132"/>
      <c r="RX755" s="132"/>
      <c r="RY755" s="132"/>
      <c r="RZ755" s="132"/>
      <c r="SA755" s="132"/>
      <c r="SB755" s="132"/>
      <c r="SC755" s="132"/>
      <c r="SD755" s="132"/>
      <c r="SE755" s="132"/>
      <c r="SF755" s="132"/>
      <c r="SG755" s="132"/>
      <c r="SH755" s="132"/>
      <c r="SI755" s="132"/>
      <c r="SJ755" s="132"/>
      <c r="SK755" s="132"/>
      <c r="SL755" s="132"/>
      <c r="SM755" s="132"/>
      <c r="SN755" s="132"/>
      <c r="SO755" s="132"/>
      <c r="SP755" s="132"/>
      <c r="SQ755" s="132"/>
      <c r="SR755" s="132"/>
      <c r="SS755" s="132"/>
      <c r="ST755" s="132"/>
      <c r="SU755" s="132"/>
      <c r="SV755" s="132"/>
      <c r="SW755" s="132"/>
      <c r="SX755" s="132"/>
      <c r="SY755" s="132"/>
      <c r="SZ755" s="132"/>
      <c r="TA755" s="132"/>
      <c r="TB755" s="132"/>
      <c r="TC755" s="132"/>
      <c r="TD755" s="132"/>
      <c r="TE755" s="132"/>
      <c r="TF755" s="132"/>
      <c r="TG755" s="132"/>
      <c r="TH755" s="132"/>
      <c r="TI755" s="132"/>
      <c r="TJ755" s="132"/>
      <c r="TK755" s="132"/>
      <c r="TL755" s="132"/>
      <c r="TM755" s="132"/>
      <c r="TN755" s="132"/>
      <c r="TO755" s="132"/>
      <c r="TP755" s="132"/>
      <c r="TQ755" s="132"/>
      <c r="TR755" s="132"/>
      <c r="TS755" s="132"/>
      <c r="TT755" s="132"/>
      <c r="TU755" s="132"/>
      <c r="TV755" s="132"/>
      <c r="TW755" s="132"/>
      <c r="TX755" s="132"/>
      <c r="TY755" s="132"/>
      <c r="TZ755" s="132"/>
      <c r="UA755" s="132"/>
      <c r="UB755" s="132"/>
      <c r="UC755" s="132"/>
      <c r="UD755" s="132"/>
      <c r="UE755" s="132"/>
      <c r="UF755" s="132"/>
      <c r="UG755" s="132"/>
    </row>
    <row r="756" spans="1:553" ht="30.75" customHeight="1">
      <c r="A756" s="366"/>
      <c r="B756" s="366">
        <v>203</v>
      </c>
      <c r="C756" s="1401" t="s">
        <v>961</v>
      </c>
      <c r="D756" s="1389"/>
      <c r="E756" s="1389"/>
      <c r="F756" s="1390"/>
      <c r="G756" s="366" t="s">
        <v>113</v>
      </c>
      <c r="H756" s="622"/>
      <c r="I756" s="626">
        <f>(18+13+23+8)*1.5/1.7</f>
        <v>54.705882352941181</v>
      </c>
      <c r="J756" s="369">
        <v>815000</v>
      </c>
      <c r="K756" s="371"/>
      <c r="L756" s="627">
        <f t="shared" si="114"/>
        <v>44585294.117647059</v>
      </c>
      <c r="M756" s="366"/>
      <c r="N756" s="366"/>
      <c r="O756" s="366"/>
      <c r="P756" s="366"/>
      <c r="Q756" s="1151"/>
      <c r="R756" s="1226"/>
      <c r="S756" s="308"/>
      <c r="T756" s="308"/>
      <c r="U756" s="308"/>
      <c r="V756" s="308"/>
      <c r="W756" s="308"/>
      <c r="X756" s="308"/>
      <c r="Y756" s="308"/>
      <c r="Z756" s="604"/>
      <c r="AA756" s="308"/>
      <c r="AB756" s="308"/>
      <c r="AC756" s="625"/>
      <c r="AD756" s="625"/>
      <c r="AE756" s="625"/>
      <c r="AF756" s="625"/>
      <c r="AG756" s="625"/>
      <c r="AH756" s="625"/>
      <c r="AI756" s="625"/>
      <c r="AJ756" s="625"/>
      <c r="AK756" s="625"/>
      <c r="AL756" s="133"/>
      <c r="AM756" s="133"/>
      <c r="AN756" s="133"/>
      <c r="AO756" s="133"/>
      <c r="AP756" s="133"/>
      <c r="AQ756" s="133"/>
      <c r="AR756" s="133"/>
      <c r="AS756" s="133"/>
      <c r="AT756" s="133"/>
      <c r="AU756" s="133"/>
      <c r="AV756" s="133"/>
      <c r="AW756" s="133"/>
      <c r="AX756" s="133"/>
      <c r="AY756" s="133"/>
      <c r="AZ756" s="133"/>
      <c r="BA756" s="133"/>
      <c r="BB756" s="133"/>
      <c r="BC756" s="133"/>
      <c r="BD756" s="133"/>
      <c r="BE756" s="133"/>
      <c r="BF756" s="133"/>
      <c r="BG756" s="133"/>
      <c r="BH756" s="133"/>
      <c r="BI756" s="133"/>
      <c r="BJ756" s="133"/>
      <c r="BK756" s="133"/>
      <c r="BL756" s="133"/>
      <c r="BM756" s="133"/>
      <c r="BN756" s="133"/>
      <c r="BO756" s="133"/>
      <c r="BP756" s="133"/>
      <c r="BQ756" s="132"/>
      <c r="BR756" s="132"/>
      <c r="BS756" s="132"/>
      <c r="BT756" s="132"/>
      <c r="BU756" s="132"/>
      <c r="BV756" s="132"/>
      <c r="BW756" s="132"/>
      <c r="BX756" s="132"/>
      <c r="BY756" s="132"/>
      <c r="BZ756" s="132"/>
      <c r="CA756" s="132"/>
      <c r="CB756" s="132"/>
      <c r="CC756" s="132"/>
      <c r="CD756" s="132"/>
      <c r="CE756" s="132"/>
      <c r="CF756" s="132"/>
      <c r="CG756" s="132"/>
      <c r="CH756" s="132"/>
      <c r="CI756" s="132"/>
      <c r="CJ756" s="132"/>
      <c r="CK756" s="132"/>
      <c r="CL756" s="132"/>
      <c r="CM756" s="132"/>
      <c r="CN756" s="132"/>
      <c r="CO756" s="132"/>
      <c r="CP756" s="132"/>
      <c r="CQ756" s="132"/>
      <c r="CR756" s="132"/>
      <c r="CS756" s="132"/>
      <c r="CT756" s="132"/>
      <c r="CU756" s="132"/>
      <c r="CV756" s="132"/>
      <c r="CW756" s="132"/>
      <c r="CX756" s="132"/>
      <c r="CY756" s="132"/>
      <c r="CZ756" s="132"/>
      <c r="DA756" s="132"/>
      <c r="DB756" s="132"/>
      <c r="DC756" s="132"/>
      <c r="DD756" s="132"/>
      <c r="DE756" s="132"/>
      <c r="DF756" s="132"/>
      <c r="DG756" s="132"/>
      <c r="DH756" s="132"/>
      <c r="DI756" s="132"/>
      <c r="DJ756" s="132"/>
      <c r="DK756" s="132"/>
      <c r="DL756" s="132"/>
      <c r="DM756" s="132"/>
      <c r="DN756" s="132"/>
      <c r="DO756" s="132"/>
      <c r="DP756" s="132"/>
      <c r="DQ756" s="132"/>
      <c r="DR756" s="132"/>
      <c r="DS756" s="132"/>
      <c r="DT756" s="132"/>
      <c r="DU756" s="132"/>
      <c r="DV756" s="132"/>
      <c r="DW756" s="132"/>
      <c r="DX756" s="132"/>
      <c r="DY756" s="132"/>
      <c r="DZ756" s="132"/>
      <c r="EA756" s="132"/>
      <c r="EB756" s="132"/>
      <c r="EC756" s="132"/>
      <c r="ED756" s="132"/>
      <c r="EE756" s="132"/>
      <c r="EF756" s="132"/>
      <c r="EG756" s="132"/>
      <c r="EH756" s="132"/>
      <c r="EI756" s="132"/>
      <c r="EJ756" s="132"/>
      <c r="EK756" s="132"/>
      <c r="EL756" s="132"/>
      <c r="EM756" s="132"/>
      <c r="EN756" s="132"/>
      <c r="EO756" s="132"/>
      <c r="EP756" s="132"/>
      <c r="EQ756" s="132"/>
      <c r="ER756" s="132"/>
      <c r="ES756" s="132"/>
      <c r="ET756" s="132"/>
      <c r="EU756" s="132"/>
      <c r="EV756" s="132"/>
      <c r="EW756" s="132"/>
      <c r="EX756" s="132"/>
      <c r="EY756" s="132"/>
      <c r="EZ756" s="132"/>
      <c r="FA756" s="132"/>
      <c r="FB756" s="132"/>
      <c r="FC756" s="132"/>
      <c r="FD756" s="132"/>
      <c r="FE756" s="132"/>
      <c r="FF756" s="132"/>
      <c r="FG756" s="132"/>
      <c r="FH756" s="132"/>
      <c r="FI756" s="132"/>
      <c r="FJ756" s="132"/>
      <c r="FK756" s="132"/>
      <c r="FL756" s="132"/>
      <c r="FM756" s="132"/>
      <c r="FN756" s="132"/>
      <c r="FO756" s="132"/>
      <c r="FP756" s="132"/>
      <c r="FQ756" s="132"/>
      <c r="FR756" s="132"/>
      <c r="FS756" s="132"/>
      <c r="FT756" s="132"/>
      <c r="FU756" s="132"/>
      <c r="FV756" s="132"/>
      <c r="FW756" s="132"/>
      <c r="FX756" s="132"/>
      <c r="FY756" s="132"/>
      <c r="FZ756" s="132"/>
      <c r="GA756" s="132"/>
      <c r="GB756" s="132"/>
      <c r="GC756" s="132"/>
      <c r="GD756" s="132"/>
      <c r="GE756" s="132"/>
      <c r="GF756" s="132"/>
      <c r="GG756" s="132"/>
      <c r="GH756" s="132"/>
      <c r="GI756" s="132"/>
      <c r="GJ756" s="132"/>
      <c r="GK756" s="132"/>
      <c r="GL756" s="132"/>
      <c r="GM756" s="132"/>
      <c r="GN756" s="132"/>
      <c r="GO756" s="132"/>
      <c r="GP756" s="132"/>
      <c r="GQ756" s="132"/>
      <c r="GR756" s="132"/>
      <c r="GS756" s="132"/>
      <c r="GT756" s="132"/>
      <c r="GU756" s="132"/>
      <c r="GV756" s="132"/>
      <c r="GW756" s="132"/>
      <c r="GX756" s="132"/>
      <c r="GY756" s="132"/>
      <c r="GZ756" s="132"/>
      <c r="HA756" s="132"/>
      <c r="HB756" s="132"/>
      <c r="HC756" s="132"/>
      <c r="HD756" s="132"/>
      <c r="HE756" s="132"/>
      <c r="HF756" s="132"/>
      <c r="HG756" s="132"/>
      <c r="HH756" s="132"/>
      <c r="HI756" s="132"/>
      <c r="HJ756" s="132"/>
      <c r="HK756" s="132"/>
      <c r="HL756" s="132"/>
      <c r="HM756" s="132"/>
      <c r="HN756" s="132"/>
      <c r="HO756" s="132"/>
      <c r="HP756" s="132"/>
      <c r="HQ756" s="132"/>
      <c r="HR756" s="132"/>
      <c r="HS756" s="132"/>
      <c r="HT756" s="132"/>
      <c r="HU756" s="132"/>
      <c r="HV756" s="132"/>
      <c r="HW756" s="132"/>
      <c r="HX756" s="132"/>
      <c r="HY756" s="132"/>
      <c r="HZ756" s="132"/>
      <c r="IA756" s="132"/>
      <c r="IB756" s="132"/>
      <c r="IC756" s="132"/>
      <c r="ID756" s="132"/>
      <c r="IE756" s="132"/>
      <c r="IF756" s="132"/>
      <c r="IG756" s="132"/>
      <c r="IH756" s="132"/>
      <c r="II756" s="132"/>
      <c r="IJ756" s="132"/>
      <c r="IK756" s="132"/>
      <c r="IL756" s="132"/>
      <c r="IM756" s="132"/>
      <c r="IN756" s="132"/>
      <c r="IO756" s="132"/>
      <c r="IP756" s="132"/>
      <c r="IQ756" s="132"/>
      <c r="IR756" s="132"/>
      <c r="IS756" s="132"/>
      <c r="IT756" s="132"/>
      <c r="IU756" s="132"/>
      <c r="IV756" s="132"/>
      <c r="IW756" s="132"/>
      <c r="IX756" s="132"/>
      <c r="IY756" s="132"/>
      <c r="IZ756" s="132"/>
      <c r="JA756" s="132"/>
      <c r="JB756" s="132"/>
      <c r="JC756" s="132"/>
      <c r="JD756" s="132"/>
      <c r="JE756" s="132"/>
      <c r="JF756" s="132"/>
      <c r="JG756" s="132"/>
      <c r="JH756" s="132"/>
      <c r="JI756" s="132"/>
      <c r="JJ756" s="132"/>
      <c r="JK756" s="132"/>
      <c r="JL756" s="132"/>
      <c r="JM756" s="132"/>
      <c r="JN756" s="132"/>
      <c r="JO756" s="132"/>
      <c r="JP756" s="132"/>
      <c r="JQ756" s="132"/>
      <c r="JR756" s="132"/>
      <c r="JS756" s="132"/>
      <c r="JT756" s="132"/>
      <c r="JU756" s="132"/>
      <c r="JV756" s="132"/>
      <c r="JW756" s="132"/>
      <c r="JX756" s="132"/>
      <c r="JY756" s="132"/>
      <c r="JZ756" s="132"/>
      <c r="KA756" s="132"/>
      <c r="KB756" s="132"/>
      <c r="KC756" s="132"/>
      <c r="KD756" s="132"/>
      <c r="KE756" s="132"/>
      <c r="KF756" s="132"/>
      <c r="KG756" s="132"/>
      <c r="KH756" s="132"/>
      <c r="KI756" s="132"/>
      <c r="KJ756" s="132"/>
      <c r="KK756" s="132"/>
      <c r="KL756" s="132"/>
      <c r="KM756" s="132"/>
      <c r="KN756" s="132"/>
      <c r="KO756" s="132"/>
      <c r="KP756" s="132"/>
      <c r="KQ756" s="132"/>
      <c r="KR756" s="132"/>
      <c r="KS756" s="132"/>
      <c r="KT756" s="132"/>
      <c r="KU756" s="132"/>
      <c r="KV756" s="132"/>
      <c r="KW756" s="132"/>
      <c r="KX756" s="132"/>
      <c r="KY756" s="132"/>
      <c r="KZ756" s="132"/>
      <c r="LA756" s="132"/>
      <c r="LB756" s="132"/>
      <c r="LC756" s="132"/>
      <c r="LD756" s="132"/>
      <c r="LE756" s="132"/>
      <c r="LF756" s="132"/>
      <c r="LG756" s="132"/>
      <c r="LH756" s="132"/>
      <c r="LI756" s="132"/>
      <c r="LJ756" s="132"/>
      <c r="LK756" s="132"/>
      <c r="LL756" s="132"/>
      <c r="LM756" s="132"/>
      <c r="LN756" s="132"/>
      <c r="LO756" s="132"/>
      <c r="LP756" s="132"/>
      <c r="LQ756" s="132"/>
      <c r="LR756" s="132"/>
      <c r="LS756" s="132"/>
      <c r="LT756" s="132"/>
      <c r="LU756" s="132"/>
      <c r="LV756" s="132"/>
      <c r="LW756" s="132"/>
      <c r="LX756" s="132"/>
      <c r="LY756" s="132"/>
      <c r="LZ756" s="132"/>
      <c r="MA756" s="132"/>
      <c r="MB756" s="132"/>
      <c r="MC756" s="132"/>
      <c r="MD756" s="132"/>
      <c r="ME756" s="132"/>
      <c r="MF756" s="132"/>
      <c r="MG756" s="132"/>
      <c r="MH756" s="132"/>
      <c r="MI756" s="132"/>
      <c r="MJ756" s="132"/>
      <c r="MK756" s="132"/>
      <c r="ML756" s="132"/>
      <c r="MM756" s="132"/>
      <c r="MN756" s="132"/>
      <c r="MO756" s="132"/>
      <c r="MP756" s="132"/>
      <c r="MQ756" s="132"/>
      <c r="MR756" s="132"/>
      <c r="MS756" s="132"/>
      <c r="MT756" s="132"/>
      <c r="MU756" s="132"/>
      <c r="MV756" s="132"/>
      <c r="MW756" s="132"/>
      <c r="MX756" s="132"/>
      <c r="MY756" s="132"/>
      <c r="MZ756" s="132"/>
      <c r="NA756" s="132"/>
      <c r="NB756" s="132"/>
      <c r="NC756" s="132"/>
      <c r="ND756" s="132"/>
      <c r="NE756" s="132"/>
      <c r="NF756" s="132"/>
      <c r="NG756" s="132"/>
      <c r="NH756" s="132"/>
      <c r="NI756" s="132"/>
      <c r="NJ756" s="132"/>
      <c r="NK756" s="132"/>
      <c r="NL756" s="132"/>
      <c r="NM756" s="132"/>
      <c r="NN756" s="132"/>
      <c r="NO756" s="132"/>
      <c r="NP756" s="132"/>
      <c r="NQ756" s="132"/>
      <c r="NR756" s="132"/>
      <c r="NS756" s="132"/>
      <c r="NT756" s="132"/>
      <c r="NU756" s="132"/>
      <c r="NV756" s="132"/>
      <c r="NW756" s="132"/>
      <c r="NX756" s="132"/>
      <c r="NY756" s="132"/>
      <c r="NZ756" s="132"/>
      <c r="OA756" s="132"/>
      <c r="OB756" s="132"/>
      <c r="OC756" s="132"/>
      <c r="OD756" s="132"/>
      <c r="OE756" s="132"/>
      <c r="OF756" s="132"/>
      <c r="OG756" s="132"/>
      <c r="OH756" s="132"/>
      <c r="OI756" s="132"/>
      <c r="OJ756" s="132"/>
      <c r="OK756" s="132"/>
      <c r="OL756" s="132"/>
      <c r="OM756" s="132"/>
      <c r="ON756" s="132"/>
      <c r="OO756" s="132"/>
      <c r="OP756" s="132"/>
      <c r="OQ756" s="132"/>
      <c r="OR756" s="132"/>
      <c r="OS756" s="132"/>
      <c r="OT756" s="132"/>
      <c r="OU756" s="132"/>
      <c r="OV756" s="132"/>
      <c r="OW756" s="132"/>
      <c r="OX756" s="132"/>
      <c r="OY756" s="132"/>
      <c r="OZ756" s="132"/>
      <c r="PA756" s="132"/>
      <c r="PB756" s="132"/>
      <c r="PC756" s="132"/>
      <c r="PD756" s="132"/>
      <c r="PE756" s="132"/>
      <c r="PF756" s="132"/>
      <c r="PG756" s="132"/>
      <c r="PH756" s="132"/>
      <c r="PI756" s="132"/>
      <c r="PJ756" s="132"/>
      <c r="PK756" s="132"/>
      <c r="PL756" s="132"/>
      <c r="PM756" s="132"/>
      <c r="PN756" s="132"/>
      <c r="PO756" s="132"/>
      <c r="PP756" s="132"/>
      <c r="PQ756" s="132"/>
      <c r="PR756" s="132"/>
      <c r="PS756" s="132"/>
      <c r="PT756" s="132"/>
      <c r="PU756" s="132"/>
      <c r="PV756" s="132"/>
      <c r="PW756" s="132"/>
      <c r="PX756" s="132"/>
      <c r="PY756" s="132"/>
      <c r="PZ756" s="132"/>
      <c r="QA756" s="132"/>
      <c r="QB756" s="132"/>
      <c r="QC756" s="132"/>
      <c r="QD756" s="132"/>
      <c r="QE756" s="132"/>
      <c r="QF756" s="132"/>
      <c r="QG756" s="132"/>
      <c r="QH756" s="132"/>
      <c r="QI756" s="132"/>
      <c r="QJ756" s="132"/>
      <c r="QK756" s="132"/>
      <c r="QL756" s="132"/>
      <c r="QM756" s="132"/>
      <c r="QN756" s="132"/>
      <c r="QO756" s="132"/>
      <c r="QP756" s="132"/>
      <c r="QQ756" s="132"/>
      <c r="QR756" s="132"/>
      <c r="QS756" s="132"/>
      <c r="QT756" s="132"/>
      <c r="QU756" s="132"/>
      <c r="QV756" s="132"/>
      <c r="QW756" s="132"/>
      <c r="QX756" s="132"/>
      <c r="QY756" s="132"/>
      <c r="QZ756" s="132"/>
      <c r="RA756" s="132"/>
      <c r="RB756" s="132"/>
      <c r="RC756" s="132"/>
      <c r="RD756" s="132"/>
      <c r="RE756" s="132"/>
      <c r="RF756" s="132"/>
      <c r="RG756" s="132"/>
      <c r="RH756" s="132"/>
      <c r="RI756" s="132"/>
      <c r="RJ756" s="132"/>
      <c r="RK756" s="132"/>
      <c r="RL756" s="132"/>
      <c r="RM756" s="132"/>
      <c r="RN756" s="132"/>
      <c r="RO756" s="132"/>
      <c r="RP756" s="132"/>
      <c r="RQ756" s="132"/>
      <c r="RR756" s="132"/>
      <c r="RS756" s="132"/>
      <c r="RT756" s="132"/>
      <c r="RU756" s="132"/>
      <c r="RV756" s="132"/>
      <c r="RW756" s="132"/>
      <c r="RX756" s="132"/>
      <c r="RY756" s="132"/>
      <c r="RZ756" s="132"/>
      <c r="SA756" s="132"/>
      <c r="SB756" s="132"/>
      <c r="SC756" s="132"/>
      <c r="SD756" s="132"/>
      <c r="SE756" s="132"/>
      <c r="SF756" s="132"/>
      <c r="SG756" s="132"/>
      <c r="SH756" s="132"/>
      <c r="SI756" s="132"/>
      <c r="SJ756" s="132"/>
      <c r="SK756" s="132"/>
      <c r="SL756" s="132"/>
      <c r="SM756" s="132"/>
      <c r="SN756" s="132"/>
      <c r="SO756" s="132"/>
      <c r="SP756" s="132"/>
      <c r="SQ756" s="132"/>
      <c r="SR756" s="132"/>
      <c r="SS756" s="132"/>
      <c r="ST756" s="132"/>
      <c r="SU756" s="132"/>
      <c r="SV756" s="132"/>
      <c r="SW756" s="132"/>
      <c r="SX756" s="132"/>
      <c r="SY756" s="132"/>
      <c r="SZ756" s="132"/>
      <c r="TA756" s="132"/>
      <c r="TB756" s="132"/>
      <c r="TC756" s="132"/>
      <c r="TD756" s="132"/>
      <c r="TE756" s="132"/>
      <c r="TF756" s="132"/>
      <c r="TG756" s="132"/>
      <c r="TH756" s="132"/>
      <c r="TI756" s="132"/>
      <c r="TJ756" s="132"/>
      <c r="TK756" s="132"/>
      <c r="TL756" s="132"/>
      <c r="TM756" s="132"/>
      <c r="TN756" s="132"/>
      <c r="TO756" s="132"/>
      <c r="TP756" s="132"/>
      <c r="TQ756" s="132"/>
      <c r="TR756" s="132"/>
      <c r="TS756" s="132"/>
      <c r="TT756" s="132"/>
      <c r="TU756" s="132"/>
      <c r="TV756" s="132"/>
      <c r="TW756" s="132"/>
      <c r="TX756" s="132"/>
      <c r="TY756" s="132"/>
      <c r="TZ756" s="132"/>
      <c r="UA756" s="132"/>
      <c r="UB756" s="132"/>
      <c r="UC756" s="132"/>
      <c r="UD756" s="132"/>
      <c r="UE756" s="132"/>
      <c r="UF756" s="132"/>
      <c r="UG756" s="132"/>
    </row>
    <row r="757" spans="1:553" s="120" customFormat="1" ht="27.65" customHeight="1">
      <c r="A757" s="431" t="s">
        <v>30</v>
      </c>
      <c r="B757" s="541">
        <v>2</v>
      </c>
      <c r="C757" s="1402" t="s">
        <v>891</v>
      </c>
      <c r="D757" s="1389"/>
      <c r="E757" s="1389"/>
      <c r="F757" s="1390"/>
      <c r="G757" s="542" t="s">
        <v>33</v>
      </c>
      <c r="H757" s="543"/>
      <c r="I757" s="626">
        <f>-(18+13+23+8)*1.5*2</f>
        <v>-186</v>
      </c>
      <c r="J757" s="990">
        <v>52000</v>
      </c>
      <c r="K757" s="584"/>
      <c r="L757" s="640">
        <f t="shared" ref="L757:L758" si="115">I757*J757</f>
        <v>-9672000</v>
      </c>
      <c r="M757" s="637"/>
      <c r="N757" s="637"/>
      <c r="O757" s="544"/>
      <c r="P757" s="638"/>
      <c r="Q757" s="634"/>
      <c r="R757" s="1164"/>
      <c r="S757" s="308"/>
      <c r="T757" s="308"/>
      <c r="U757" s="308"/>
      <c r="V757" s="308"/>
      <c r="W757" s="308"/>
      <c r="X757" s="308"/>
      <c r="Y757" s="308"/>
      <c r="Z757" s="604"/>
      <c r="AA757" s="308"/>
      <c r="AB757" s="308"/>
      <c r="AC757" s="545"/>
      <c r="AD757" s="545"/>
      <c r="AE757" s="545"/>
      <c r="AF757" s="545"/>
      <c r="AG757" s="546"/>
      <c r="AH757" s="546"/>
      <c r="AI757" s="546"/>
      <c r="AJ757" s="546"/>
      <c r="AK757" s="546"/>
      <c r="AL757" s="138"/>
      <c r="AM757" s="138"/>
      <c r="AN757" s="138"/>
      <c r="AO757" s="138"/>
      <c r="AP757" s="138"/>
      <c r="AQ757" s="139"/>
      <c r="AR757" s="139"/>
      <c r="AS757" s="139"/>
      <c r="AT757" s="139"/>
      <c r="AU757" s="139"/>
      <c r="AV757" s="139"/>
      <c r="AW757" s="139"/>
      <c r="AX757" s="139"/>
      <c r="AY757" s="139"/>
      <c r="AZ757" s="139"/>
      <c r="BA757" s="139"/>
      <c r="BB757" s="139"/>
      <c r="BC757" s="139"/>
      <c r="BD757" s="139"/>
      <c r="BE757" s="139"/>
      <c r="BF757" s="139"/>
      <c r="BG757" s="139"/>
      <c r="BH757" s="139"/>
      <c r="BI757" s="139"/>
      <c r="BJ757" s="139"/>
      <c r="BK757" s="139"/>
      <c r="BL757" s="139"/>
      <c r="BM757" s="139"/>
      <c r="BN757" s="139"/>
      <c r="BO757" s="139"/>
      <c r="BP757" s="139"/>
      <c r="BQ757" s="139"/>
      <c r="BR757" s="139"/>
      <c r="BS757" s="139"/>
      <c r="BT757" s="139"/>
      <c r="BU757" s="139"/>
      <c r="BV757" s="139"/>
      <c r="BW757" s="139"/>
      <c r="BX757" s="139"/>
      <c r="BY757" s="139"/>
      <c r="BZ757" s="139"/>
      <c r="CA757" s="139"/>
      <c r="CB757" s="139"/>
      <c r="CC757" s="139"/>
      <c r="CD757" s="139"/>
      <c r="CE757" s="139"/>
      <c r="CF757" s="139"/>
      <c r="CG757" s="139"/>
      <c r="CH757" s="139"/>
      <c r="CI757" s="139"/>
      <c r="CJ757" s="139"/>
      <c r="CK757" s="139"/>
      <c r="CL757" s="139"/>
      <c r="CM757" s="139"/>
      <c r="CN757" s="139"/>
      <c r="CO757" s="139"/>
      <c r="CP757" s="139"/>
      <c r="CQ757" s="139"/>
      <c r="CR757" s="139"/>
      <c r="CS757" s="139"/>
      <c r="CT757" s="139"/>
      <c r="CU757" s="139"/>
      <c r="CV757" s="139"/>
      <c r="CW757" s="139"/>
      <c r="CX757" s="139"/>
      <c r="CY757" s="139"/>
      <c r="CZ757" s="139"/>
      <c r="DA757" s="139"/>
      <c r="DB757" s="139"/>
      <c r="DC757" s="139"/>
      <c r="DD757" s="139"/>
      <c r="DE757" s="139"/>
      <c r="DF757" s="139"/>
      <c r="DG757" s="139"/>
      <c r="DH757" s="139"/>
      <c r="DI757" s="139"/>
      <c r="DJ757" s="139"/>
      <c r="DK757" s="139"/>
      <c r="DL757" s="139"/>
      <c r="DM757" s="139"/>
      <c r="DN757" s="139"/>
      <c r="DO757" s="139"/>
      <c r="DP757" s="139"/>
      <c r="DQ757" s="139"/>
      <c r="DR757" s="139"/>
      <c r="DS757" s="139"/>
      <c r="DT757" s="139"/>
      <c r="DU757" s="139"/>
      <c r="DV757" s="139"/>
      <c r="DW757" s="139"/>
      <c r="DX757" s="139"/>
      <c r="DY757" s="139"/>
      <c r="DZ757" s="139"/>
      <c r="EA757" s="139"/>
      <c r="EB757" s="139"/>
      <c r="EC757" s="139"/>
      <c r="ED757" s="139"/>
      <c r="EE757" s="139"/>
      <c r="EF757" s="139"/>
      <c r="EG757" s="139"/>
      <c r="EH757" s="139"/>
      <c r="EI757" s="139"/>
      <c r="EJ757" s="139"/>
      <c r="EK757" s="139"/>
      <c r="EL757" s="139"/>
      <c r="EM757" s="139"/>
      <c r="EN757" s="139"/>
      <c r="EO757" s="139"/>
      <c r="EP757" s="139"/>
      <c r="EQ757" s="139"/>
      <c r="ER757" s="139"/>
      <c r="ES757" s="139"/>
      <c r="ET757" s="139"/>
      <c r="EU757" s="139"/>
      <c r="EV757" s="139"/>
      <c r="EW757" s="139"/>
      <c r="EX757" s="139"/>
      <c r="EY757" s="139"/>
      <c r="EZ757" s="139"/>
      <c r="FA757" s="139"/>
      <c r="FB757" s="139"/>
      <c r="FC757" s="139"/>
      <c r="FD757" s="139"/>
      <c r="FE757" s="139"/>
      <c r="FF757" s="139"/>
      <c r="FG757" s="139"/>
      <c r="FH757" s="139"/>
      <c r="FI757" s="139"/>
      <c r="FJ757" s="139"/>
      <c r="FK757" s="139"/>
      <c r="FL757" s="139"/>
      <c r="FM757" s="139"/>
      <c r="FN757" s="139"/>
      <c r="FO757" s="139"/>
      <c r="FP757" s="139"/>
      <c r="FQ757" s="139"/>
      <c r="FR757" s="139"/>
      <c r="FS757" s="139"/>
      <c r="FT757" s="139"/>
      <c r="FU757" s="139"/>
      <c r="FV757" s="139"/>
      <c r="FW757" s="139"/>
      <c r="FX757" s="139"/>
      <c r="FY757" s="139"/>
      <c r="FZ757" s="139"/>
      <c r="GA757" s="139"/>
      <c r="GB757" s="139"/>
      <c r="GC757" s="139"/>
      <c r="GD757" s="139"/>
      <c r="GE757" s="139"/>
      <c r="GF757" s="139"/>
      <c r="GG757" s="139"/>
      <c r="GH757" s="139"/>
      <c r="GI757" s="139"/>
      <c r="GJ757" s="139"/>
      <c r="GK757" s="139"/>
      <c r="GL757" s="139"/>
      <c r="GM757" s="139"/>
      <c r="GN757" s="139"/>
      <c r="GO757" s="139"/>
      <c r="GP757" s="139"/>
      <c r="GQ757" s="139"/>
      <c r="GR757" s="139"/>
      <c r="GS757" s="139"/>
      <c r="GT757" s="139"/>
      <c r="GU757" s="139"/>
      <c r="GV757" s="139"/>
      <c r="GW757" s="139"/>
      <c r="GX757" s="139"/>
      <c r="GY757" s="139"/>
      <c r="GZ757" s="139"/>
      <c r="HA757" s="139"/>
      <c r="HB757" s="139"/>
      <c r="HC757" s="139"/>
      <c r="HD757" s="139"/>
      <c r="HE757" s="139"/>
      <c r="HF757" s="139"/>
      <c r="HG757" s="139"/>
      <c r="HH757" s="139"/>
      <c r="HI757" s="139"/>
      <c r="HJ757" s="139"/>
      <c r="HK757" s="139"/>
      <c r="HL757" s="139"/>
      <c r="HM757" s="139"/>
      <c r="HN757" s="139"/>
      <c r="HO757" s="139"/>
      <c r="HP757" s="139"/>
      <c r="HQ757" s="139"/>
      <c r="HR757" s="139"/>
      <c r="HS757" s="139"/>
      <c r="HT757" s="139"/>
      <c r="HU757" s="139"/>
      <c r="HV757" s="139"/>
      <c r="HW757" s="139"/>
      <c r="HX757" s="139"/>
      <c r="HY757" s="139"/>
      <c r="HZ757" s="139"/>
      <c r="IA757" s="139"/>
      <c r="IB757" s="139"/>
      <c r="IC757" s="139"/>
      <c r="ID757" s="139"/>
      <c r="IE757" s="139"/>
      <c r="IF757" s="139"/>
      <c r="IG757" s="139"/>
      <c r="IH757" s="139"/>
      <c r="II757" s="139"/>
      <c r="IJ757" s="139"/>
      <c r="IK757" s="139"/>
      <c r="IL757" s="139"/>
      <c r="IM757" s="139"/>
      <c r="IN757" s="139"/>
      <c r="IO757" s="139"/>
      <c r="IP757" s="139"/>
      <c r="IQ757" s="139"/>
      <c r="IR757" s="139"/>
      <c r="IS757" s="139"/>
      <c r="IT757" s="139"/>
      <c r="IU757" s="139"/>
      <c r="IV757" s="139"/>
      <c r="IW757" s="139"/>
      <c r="IX757" s="139"/>
      <c r="IY757" s="139"/>
      <c r="IZ757" s="139"/>
      <c r="JA757" s="139"/>
      <c r="JB757" s="139"/>
      <c r="JC757" s="139"/>
      <c r="JD757" s="139"/>
      <c r="JE757" s="139"/>
      <c r="JF757" s="139"/>
      <c r="JG757" s="139"/>
      <c r="JH757" s="139"/>
      <c r="JI757" s="139"/>
      <c r="JJ757" s="139"/>
      <c r="JK757" s="139"/>
      <c r="JL757" s="139"/>
      <c r="JM757" s="139"/>
      <c r="JN757" s="139"/>
      <c r="JO757" s="139"/>
      <c r="JP757" s="139"/>
      <c r="JQ757" s="139"/>
      <c r="JR757" s="139"/>
      <c r="JS757" s="139"/>
      <c r="JT757" s="139"/>
      <c r="JU757" s="139"/>
      <c r="JV757" s="139"/>
      <c r="JW757" s="139"/>
      <c r="JX757" s="139"/>
      <c r="JY757" s="139"/>
      <c r="JZ757" s="139"/>
      <c r="KA757" s="139"/>
      <c r="KB757" s="139"/>
      <c r="KC757" s="139"/>
      <c r="KD757" s="139"/>
      <c r="KE757" s="139"/>
      <c r="KF757" s="139"/>
      <c r="KG757" s="139"/>
      <c r="KH757" s="139"/>
      <c r="KI757" s="139"/>
      <c r="KJ757" s="139"/>
      <c r="KK757" s="139"/>
      <c r="KL757" s="139"/>
      <c r="KM757" s="139"/>
      <c r="KN757" s="139"/>
      <c r="KO757" s="139"/>
      <c r="KP757" s="139"/>
      <c r="KQ757" s="139"/>
      <c r="KR757" s="139"/>
      <c r="KS757" s="139"/>
      <c r="KT757" s="139"/>
      <c r="KU757" s="139"/>
      <c r="KV757" s="139"/>
      <c r="KW757" s="139"/>
      <c r="KX757" s="139"/>
      <c r="KY757" s="139"/>
      <c r="KZ757" s="139"/>
      <c r="LA757" s="139"/>
      <c r="LB757" s="139"/>
      <c r="LC757" s="139"/>
      <c r="LD757" s="139"/>
      <c r="LE757" s="139"/>
      <c r="LF757" s="139"/>
      <c r="LG757" s="139"/>
      <c r="LH757" s="139"/>
      <c r="LI757" s="139"/>
      <c r="LJ757" s="139"/>
      <c r="LK757" s="139"/>
      <c r="LL757" s="139"/>
      <c r="LM757" s="139"/>
      <c r="LN757" s="139"/>
      <c r="LO757" s="139"/>
      <c r="LP757" s="139"/>
      <c r="LQ757" s="139"/>
      <c r="LR757" s="139"/>
      <c r="LS757" s="139"/>
      <c r="LT757" s="139"/>
      <c r="LU757" s="139"/>
      <c r="LV757" s="139"/>
      <c r="LW757" s="139"/>
      <c r="LX757" s="139"/>
      <c r="LY757" s="139"/>
      <c r="LZ757" s="139"/>
      <c r="MA757" s="139"/>
      <c r="MB757" s="139"/>
      <c r="MC757" s="139"/>
      <c r="MD757" s="139"/>
      <c r="ME757" s="139"/>
      <c r="MF757" s="139"/>
      <c r="MG757" s="139"/>
      <c r="MH757" s="139"/>
      <c r="MI757" s="139"/>
      <c r="MJ757" s="139"/>
      <c r="MK757" s="139"/>
      <c r="ML757" s="139"/>
      <c r="MM757" s="139"/>
      <c r="MN757" s="139"/>
      <c r="MO757" s="139"/>
      <c r="MP757" s="139"/>
      <c r="MQ757" s="139"/>
      <c r="MR757" s="139"/>
      <c r="MS757" s="139"/>
      <c r="MT757" s="139"/>
      <c r="MU757" s="139"/>
      <c r="MV757" s="139"/>
      <c r="MW757" s="139"/>
      <c r="MX757" s="139"/>
      <c r="MY757" s="139"/>
      <c r="MZ757" s="139"/>
      <c r="NA757" s="139"/>
      <c r="NB757" s="139"/>
      <c r="NC757" s="139"/>
      <c r="ND757" s="139"/>
      <c r="NE757" s="139"/>
      <c r="NF757" s="139"/>
      <c r="NG757" s="139"/>
      <c r="NH757" s="139"/>
      <c r="NI757" s="139"/>
      <c r="NJ757" s="139"/>
      <c r="NK757" s="139"/>
      <c r="NL757" s="139"/>
      <c r="NM757" s="139"/>
      <c r="NN757" s="139"/>
      <c r="NO757" s="139"/>
      <c r="NP757" s="139"/>
      <c r="NQ757" s="139"/>
      <c r="NR757" s="139"/>
      <c r="NS757" s="139"/>
      <c r="NT757" s="139"/>
      <c r="NU757" s="139"/>
      <c r="NV757" s="139"/>
      <c r="NW757" s="139"/>
      <c r="NX757" s="139"/>
      <c r="NY757" s="139"/>
      <c r="NZ757" s="139"/>
      <c r="OA757" s="139"/>
      <c r="OB757" s="139"/>
      <c r="OC757" s="139"/>
      <c r="OD757" s="139"/>
      <c r="OE757" s="139"/>
      <c r="OF757" s="139"/>
      <c r="OG757" s="139"/>
      <c r="OH757" s="139"/>
      <c r="OI757" s="139"/>
      <c r="OJ757" s="139"/>
      <c r="OK757" s="139"/>
      <c r="OL757" s="139"/>
      <c r="OM757" s="139"/>
      <c r="ON757" s="139"/>
      <c r="OO757" s="139"/>
      <c r="OP757" s="139"/>
      <c r="OQ757" s="139"/>
      <c r="OR757" s="139"/>
      <c r="OS757" s="139"/>
      <c r="OT757" s="139"/>
      <c r="OU757" s="139"/>
      <c r="OV757" s="139"/>
      <c r="OW757" s="139"/>
      <c r="OX757" s="139"/>
      <c r="OY757" s="139"/>
      <c r="OZ757" s="139"/>
      <c r="PA757" s="139"/>
      <c r="PB757" s="139"/>
      <c r="PC757" s="139"/>
      <c r="PD757" s="139"/>
      <c r="PE757" s="139"/>
      <c r="PF757" s="139"/>
      <c r="PG757" s="139"/>
      <c r="PH757" s="139"/>
      <c r="PI757" s="139"/>
      <c r="PJ757" s="139"/>
      <c r="PK757" s="139"/>
      <c r="PL757" s="139"/>
      <c r="PM757" s="139"/>
      <c r="PN757" s="139"/>
      <c r="PO757" s="139"/>
      <c r="PP757" s="139"/>
      <c r="PQ757" s="139"/>
      <c r="PR757" s="139"/>
      <c r="PS757" s="139"/>
      <c r="PT757" s="139"/>
      <c r="PU757" s="139"/>
      <c r="PV757" s="139"/>
      <c r="PW757" s="139"/>
      <c r="PX757" s="139"/>
      <c r="PY757" s="139"/>
      <c r="PZ757" s="139"/>
      <c r="QA757" s="139"/>
      <c r="QB757" s="139"/>
      <c r="QC757" s="139"/>
      <c r="QD757" s="139"/>
      <c r="QE757" s="139"/>
      <c r="QF757" s="139"/>
      <c r="QG757" s="139"/>
      <c r="QH757" s="139"/>
      <c r="QI757" s="139"/>
      <c r="QJ757" s="139"/>
      <c r="QK757" s="139"/>
      <c r="QL757" s="139"/>
      <c r="QM757" s="139"/>
      <c r="QN757" s="139"/>
      <c r="QO757" s="139"/>
      <c r="QP757" s="139"/>
      <c r="QQ757" s="139"/>
      <c r="QR757" s="139"/>
      <c r="QS757" s="139"/>
      <c r="QT757" s="139"/>
      <c r="QU757" s="139"/>
      <c r="QV757" s="139"/>
      <c r="QW757" s="139"/>
      <c r="QX757" s="139"/>
      <c r="QY757" s="139"/>
      <c r="QZ757" s="139"/>
      <c r="RA757" s="139"/>
      <c r="RB757" s="139"/>
      <c r="RC757" s="139"/>
      <c r="RD757" s="139"/>
      <c r="RE757" s="139"/>
      <c r="RF757" s="139"/>
      <c r="RG757" s="139"/>
      <c r="RH757" s="139"/>
      <c r="RI757" s="139"/>
      <c r="RJ757" s="139"/>
      <c r="RK757" s="139"/>
      <c r="RL757" s="139"/>
      <c r="RM757" s="139"/>
      <c r="RN757" s="139"/>
      <c r="RO757" s="139"/>
      <c r="RP757" s="139"/>
      <c r="RQ757" s="139"/>
      <c r="RR757" s="139"/>
      <c r="RS757" s="139"/>
      <c r="RT757" s="139"/>
      <c r="RU757" s="139"/>
      <c r="RV757" s="139"/>
      <c r="RW757" s="139"/>
      <c r="RX757" s="139"/>
      <c r="RY757" s="139"/>
      <c r="RZ757" s="139"/>
      <c r="SA757" s="139"/>
      <c r="SB757" s="139"/>
      <c r="SC757" s="139"/>
      <c r="SD757" s="139"/>
      <c r="SE757" s="139"/>
      <c r="SF757" s="139"/>
      <c r="SG757" s="139"/>
      <c r="SH757" s="139"/>
      <c r="SI757" s="139"/>
      <c r="SJ757" s="139"/>
      <c r="SK757" s="139"/>
      <c r="SL757" s="139"/>
      <c r="SM757" s="139"/>
      <c r="SN757" s="139"/>
      <c r="SO757" s="139"/>
      <c r="SP757" s="139"/>
      <c r="SQ757" s="139"/>
      <c r="SR757" s="139"/>
      <c r="SS757" s="139"/>
      <c r="ST757" s="139"/>
      <c r="SU757" s="139"/>
      <c r="SV757" s="139"/>
      <c r="SW757" s="139"/>
      <c r="SX757" s="139"/>
      <c r="SY757" s="139"/>
      <c r="SZ757" s="139"/>
      <c r="TA757" s="139"/>
      <c r="TB757" s="139"/>
      <c r="TC757" s="139"/>
      <c r="TD757" s="139"/>
      <c r="TE757" s="139"/>
      <c r="TF757" s="139"/>
      <c r="TG757" s="139"/>
      <c r="TH757" s="139"/>
      <c r="TI757" s="139"/>
      <c r="TJ757" s="139"/>
      <c r="TK757" s="139"/>
      <c r="TL757" s="139"/>
      <c r="TM757" s="139"/>
      <c r="TN757" s="139"/>
      <c r="TO757" s="139"/>
      <c r="TP757" s="139"/>
      <c r="TQ757" s="139"/>
      <c r="TR757" s="139"/>
      <c r="TS757" s="139"/>
      <c r="TT757" s="139"/>
      <c r="TU757" s="139"/>
      <c r="TV757" s="139"/>
      <c r="TW757" s="139"/>
      <c r="TX757" s="139"/>
      <c r="TY757" s="139"/>
      <c r="TZ757" s="139"/>
      <c r="UA757" s="139"/>
      <c r="UB757" s="139"/>
      <c r="UC757" s="139"/>
      <c r="UD757" s="139"/>
      <c r="UE757" s="139"/>
      <c r="UF757" s="139"/>
      <c r="UG757" s="119"/>
    </row>
    <row r="758" spans="1:553" s="120" customFormat="1" ht="27.65" customHeight="1">
      <c r="A758" s="431" t="s">
        <v>30</v>
      </c>
      <c r="B758" s="541">
        <v>5</v>
      </c>
      <c r="C758" s="1402" t="s">
        <v>892</v>
      </c>
      <c r="D758" s="1389"/>
      <c r="E758" s="1389"/>
      <c r="F758" s="1390"/>
      <c r="G758" s="542" t="s">
        <v>33</v>
      </c>
      <c r="H758" s="543"/>
      <c r="I758" s="626">
        <f>-(18+13+23+8)*1.5*2</f>
        <v>-186</v>
      </c>
      <c r="J758" s="990">
        <v>41700</v>
      </c>
      <c r="K758" s="584"/>
      <c r="L758" s="640">
        <f t="shared" si="115"/>
        <v>-7756200</v>
      </c>
      <c r="M758" s="637"/>
      <c r="N758" s="637"/>
      <c r="O758" s="544"/>
      <c r="P758" s="638"/>
      <c r="Q758" s="634"/>
      <c r="R758" s="1164"/>
      <c r="S758" s="308"/>
      <c r="T758" s="308"/>
      <c r="U758" s="308"/>
      <c r="V758" s="308"/>
      <c r="W758" s="308"/>
      <c r="X758" s="308"/>
      <c r="Y758" s="308"/>
      <c r="Z758" s="604"/>
      <c r="AA758" s="308"/>
      <c r="AB758" s="308"/>
      <c r="AC758" s="545"/>
      <c r="AD758" s="545"/>
      <c r="AE758" s="545"/>
      <c r="AF758" s="545"/>
      <c r="AG758" s="546"/>
      <c r="AH758" s="546"/>
      <c r="AI758" s="546"/>
      <c r="AJ758" s="546"/>
      <c r="AK758" s="546"/>
      <c r="AL758" s="138"/>
      <c r="AM758" s="138"/>
      <c r="AN758" s="138"/>
      <c r="AO758" s="138"/>
      <c r="AP758" s="138"/>
      <c r="AQ758" s="139"/>
      <c r="AR758" s="139"/>
      <c r="AS758" s="139"/>
      <c r="AT758" s="139"/>
      <c r="AU758" s="139"/>
      <c r="AV758" s="139"/>
      <c r="AW758" s="139"/>
      <c r="AX758" s="139"/>
      <c r="AY758" s="139"/>
      <c r="AZ758" s="139"/>
      <c r="BA758" s="139"/>
      <c r="BB758" s="139"/>
      <c r="BC758" s="139"/>
      <c r="BD758" s="139"/>
      <c r="BE758" s="139"/>
      <c r="BF758" s="139"/>
      <c r="BG758" s="139"/>
      <c r="BH758" s="139"/>
      <c r="BI758" s="139"/>
      <c r="BJ758" s="139"/>
      <c r="BK758" s="139"/>
      <c r="BL758" s="139"/>
      <c r="BM758" s="139"/>
      <c r="BN758" s="139"/>
      <c r="BO758" s="139"/>
      <c r="BP758" s="139"/>
      <c r="BQ758" s="139"/>
      <c r="BR758" s="139"/>
      <c r="BS758" s="139"/>
      <c r="BT758" s="139"/>
      <c r="BU758" s="139"/>
      <c r="BV758" s="139"/>
      <c r="BW758" s="139"/>
      <c r="BX758" s="139"/>
      <c r="BY758" s="139"/>
      <c r="BZ758" s="139"/>
      <c r="CA758" s="139"/>
      <c r="CB758" s="139"/>
      <c r="CC758" s="139"/>
      <c r="CD758" s="139"/>
      <c r="CE758" s="139"/>
      <c r="CF758" s="139"/>
      <c r="CG758" s="139"/>
      <c r="CH758" s="139"/>
      <c r="CI758" s="139"/>
      <c r="CJ758" s="139"/>
      <c r="CK758" s="139"/>
      <c r="CL758" s="139"/>
      <c r="CM758" s="139"/>
      <c r="CN758" s="139"/>
      <c r="CO758" s="139"/>
      <c r="CP758" s="139"/>
      <c r="CQ758" s="139"/>
      <c r="CR758" s="139"/>
      <c r="CS758" s="139"/>
      <c r="CT758" s="139"/>
      <c r="CU758" s="139"/>
      <c r="CV758" s="139"/>
      <c r="CW758" s="139"/>
      <c r="CX758" s="139"/>
      <c r="CY758" s="139"/>
      <c r="CZ758" s="139"/>
      <c r="DA758" s="139"/>
      <c r="DB758" s="139"/>
      <c r="DC758" s="139"/>
      <c r="DD758" s="139"/>
      <c r="DE758" s="139"/>
      <c r="DF758" s="139"/>
      <c r="DG758" s="139"/>
      <c r="DH758" s="139"/>
      <c r="DI758" s="139"/>
      <c r="DJ758" s="139"/>
      <c r="DK758" s="139"/>
      <c r="DL758" s="139"/>
      <c r="DM758" s="139"/>
      <c r="DN758" s="139"/>
      <c r="DO758" s="139"/>
      <c r="DP758" s="139"/>
      <c r="DQ758" s="139"/>
      <c r="DR758" s="139"/>
      <c r="DS758" s="139"/>
      <c r="DT758" s="139"/>
      <c r="DU758" s="139"/>
      <c r="DV758" s="139"/>
      <c r="DW758" s="139"/>
      <c r="DX758" s="139"/>
      <c r="DY758" s="139"/>
      <c r="DZ758" s="139"/>
      <c r="EA758" s="139"/>
      <c r="EB758" s="139"/>
      <c r="EC758" s="139"/>
      <c r="ED758" s="139"/>
      <c r="EE758" s="139"/>
      <c r="EF758" s="139"/>
      <c r="EG758" s="139"/>
      <c r="EH758" s="139"/>
      <c r="EI758" s="139"/>
      <c r="EJ758" s="139"/>
      <c r="EK758" s="139"/>
      <c r="EL758" s="139"/>
      <c r="EM758" s="139"/>
      <c r="EN758" s="139"/>
      <c r="EO758" s="139"/>
      <c r="EP758" s="139"/>
      <c r="EQ758" s="139"/>
      <c r="ER758" s="139"/>
      <c r="ES758" s="139"/>
      <c r="ET758" s="139"/>
      <c r="EU758" s="139"/>
      <c r="EV758" s="139"/>
      <c r="EW758" s="139"/>
      <c r="EX758" s="139"/>
      <c r="EY758" s="139"/>
      <c r="EZ758" s="139"/>
      <c r="FA758" s="139"/>
      <c r="FB758" s="139"/>
      <c r="FC758" s="139"/>
      <c r="FD758" s="139"/>
      <c r="FE758" s="139"/>
      <c r="FF758" s="139"/>
      <c r="FG758" s="139"/>
      <c r="FH758" s="139"/>
      <c r="FI758" s="139"/>
      <c r="FJ758" s="139"/>
      <c r="FK758" s="139"/>
      <c r="FL758" s="139"/>
      <c r="FM758" s="139"/>
      <c r="FN758" s="139"/>
      <c r="FO758" s="139"/>
      <c r="FP758" s="139"/>
      <c r="FQ758" s="139"/>
      <c r="FR758" s="139"/>
      <c r="FS758" s="139"/>
      <c r="FT758" s="139"/>
      <c r="FU758" s="139"/>
      <c r="FV758" s="139"/>
      <c r="FW758" s="139"/>
      <c r="FX758" s="139"/>
      <c r="FY758" s="139"/>
      <c r="FZ758" s="139"/>
      <c r="GA758" s="139"/>
      <c r="GB758" s="139"/>
      <c r="GC758" s="139"/>
      <c r="GD758" s="139"/>
      <c r="GE758" s="139"/>
      <c r="GF758" s="139"/>
      <c r="GG758" s="139"/>
      <c r="GH758" s="139"/>
      <c r="GI758" s="139"/>
      <c r="GJ758" s="139"/>
      <c r="GK758" s="139"/>
      <c r="GL758" s="139"/>
      <c r="GM758" s="139"/>
      <c r="GN758" s="139"/>
      <c r="GO758" s="139"/>
      <c r="GP758" s="139"/>
      <c r="GQ758" s="139"/>
      <c r="GR758" s="139"/>
      <c r="GS758" s="139"/>
      <c r="GT758" s="139"/>
      <c r="GU758" s="139"/>
      <c r="GV758" s="139"/>
      <c r="GW758" s="139"/>
      <c r="GX758" s="139"/>
      <c r="GY758" s="139"/>
      <c r="GZ758" s="139"/>
      <c r="HA758" s="139"/>
      <c r="HB758" s="139"/>
      <c r="HC758" s="139"/>
      <c r="HD758" s="139"/>
      <c r="HE758" s="139"/>
      <c r="HF758" s="139"/>
      <c r="HG758" s="139"/>
      <c r="HH758" s="139"/>
      <c r="HI758" s="139"/>
      <c r="HJ758" s="139"/>
      <c r="HK758" s="139"/>
      <c r="HL758" s="139"/>
      <c r="HM758" s="139"/>
      <c r="HN758" s="139"/>
      <c r="HO758" s="139"/>
      <c r="HP758" s="139"/>
      <c r="HQ758" s="139"/>
      <c r="HR758" s="139"/>
      <c r="HS758" s="139"/>
      <c r="HT758" s="139"/>
      <c r="HU758" s="139"/>
      <c r="HV758" s="139"/>
      <c r="HW758" s="139"/>
      <c r="HX758" s="139"/>
      <c r="HY758" s="139"/>
      <c r="HZ758" s="139"/>
      <c r="IA758" s="139"/>
      <c r="IB758" s="139"/>
      <c r="IC758" s="139"/>
      <c r="ID758" s="139"/>
      <c r="IE758" s="139"/>
      <c r="IF758" s="139"/>
      <c r="IG758" s="139"/>
      <c r="IH758" s="139"/>
      <c r="II758" s="139"/>
      <c r="IJ758" s="139"/>
      <c r="IK758" s="139"/>
      <c r="IL758" s="139"/>
      <c r="IM758" s="139"/>
      <c r="IN758" s="139"/>
      <c r="IO758" s="139"/>
      <c r="IP758" s="139"/>
      <c r="IQ758" s="139"/>
      <c r="IR758" s="139"/>
      <c r="IS758" s="139"/>
      <c r="IT758" s="139"/>
      <c r="IU758" s="139"/>
      <c r="IV758" s="139"/>
      <c r="IW758" s="139"/>
      <c r="IX758" s="139"/>
      <c r="IY758" s="139"/>
      <c r="IZ758" s="139"/>
      <c r="JA758" s="139"/>
      <c r="JB758" s="139"/>
      <c r="JC758" s="139"/>
      <c r="JD758" s="139"/>
      <c r="JE758" s="139"/>
      <c r="JF758" s="139"/>
      <c r="JG758" s="139"/>
      <c r="JH758" s="139"/>
      <c r="JI758" s="139"/>
      <c r="JJ758" s="139"/>
      <c r="JK758" s="139"/>
      <c r="JL758" s="139"/>
      <c r="JM758" s="139"/>
      <c r="JN758" s="139"/>
      <c r="JO758" s="139"/>
      <c r="JP758" s="139"/>
      <c r="JQ758" s="139"/>
      <c r="JR758" s="139"/>
      <c r="JS758" s="139"/>
      <c r="JT758" s="139"/>
      <c r="JU758" s="139"/>
      <c r="JV758" s="139"/>
      <c r="JW758" s="139"/>
      <c r="JX758" s="139"/>
      <c r="JY758" s="139"/>
      <c r="JZ758" s="139"/>
      <c r="KA758" s="139"/>
      <c r="KB758" s="139"/>
      <c r="KC758" s="139"/>
      <c r="KD758" s="139"/>
      <c r="KE758" s="139"/>
      <c r="KF758" s="139"/>
      <c r="KG758" s="139"/>
      <c r="KH758" s="139"/>
      <c r="KI758" s="139"/>
      <c r="KJ758" s="139"/>
      <c r="KK758" s="139"/>
      <c r="KL758" s="139"/>
      <c r="KM758" s="139"/>
      <c r="KN758" s="139"/>
      <c r="KO758" s="139"/>
      <c r="KP758" s="139"/>
      <c r="KQ758" s="139"/>
      <c r="KR758" s="139"/>
      <c r="KS758" s="139"/>
      <c r="KT758" s="139"/>
      <c r="KU758" s="139"/>
      <c r="KV758" s="139"/>
      <c r="KW758" s="139"/>
      <c r="KX758" s="139"/>
      <c r="KY758" s="139"/>
      <c r="KZ758" s="139"/>
      <c r="LA758" s="139"/>
      <c r="LB758" s="139"/>
      <c r="LC758" s="139"/>
      <c r="LD758" s="139"/>
      <c r="LE758" s="139"/>
      <c r="LF758" s="139"/>
      <c r="LG758" s="139"/>
      <c r="LH758" s="139"/>
      <c r="LI758" s="139"/>
      <c r="LJ758" s="139"/>
      <c r="LK758" s="139"/>
      <c r="LL758" s="139"/>
      <c r="LM758" s="139"/>
      <c r="LN758" s="139"/>
      <c r="LO758" s="139"/>
      <c r="LP758" s="139"/>
      <c r="LQ758" s="139"/>
      <c r="LR758" s="139"/>
      <c r="LS758" s="139"/>
      <c r="LT758" s="139"/>
      <c r="LU758" s="139"/>
      <c r="LV758" s="139"/>
      <c r="LW758" s="139"/>
      <c r="LX758" s="139"/>
      <c r="LY758" s="139"/>
      <c r="LZ758" s="139"/>
      <c r="MA758" s="139"/>
      <c r="MB758" s="139"/>
      <c r="MC758" s="139"/>
      <c r="MD758" s="139"/>
      <c r="ME758" s="139"/>
      <c r="MF758" s="139"/>
      <c r="MG758" s="139"/>
      <c r="MH758" s="139"/>
      <c r="MI758" s="139"/>
      <c r="MJ758" s="139"/>
      <c r="MK758" s="139"/>
      <c r="ML758" s="139"/>
      <c r="MM758" s="139"/>
      <c r="MN758" s="139"/>
      <c r="MO758" s="139"/>
      <c r="MP758" s="139"/>
      <c r="MQ758" s="139"/>
      <c r="MR758" s="139"/>
      <c r="MS758" s="139"/>
      <c r="MT758" s="139"/>
      <c r="MU758" s="139"/>
      <c r="MV758" s="139"/>
      <c r="MW758" s="139"/>
      <c r="MX758" s="139"/>
      <c r="MY758" s="139"/>
      <c r="MZ758" s="139"/>
      <c r="NA758" s="139"/>
      <c r="NB758" s="139"/>
      <c r="NC758" s="139"/>
      <c r="ND758" s="139"/>
      <c r="NE758" s="139"/>
      <c r="NF758" s="139"/>
      <c r="NG758" s="139"/>
      <c r="NH758" s="139"/>
      <c r="NI758" s="139"/>
      <c r="NJ758" s="139"/>
      <c r="NK758" s="139"/>
      <c r="NL758" s="139"/>
      <c r="NM758" s="139"/>
      <c r="NN758" s="139"/>
      <c r="NO758" s="139"/>
      <c r="NP758" s="139"/>
      <c r="NQ758" s="139"/>
      <c r="NR758" s="139"/>
      <c r="NS758" s="139"/>
      <c r="NT758" s="139"/>
      <c r="NU758" s="139"/>
      <c r="NV758" s="139"/>
      <c r="NW758" s="139"/>
      <c r="NX758" s="139"/>
      <c r="NY758" s="139"/>
      <c r="NZ758" s="139"/>
      <c r="OA758" s="139"/>
      <c r="OB758" s="139"/>
      <c r="OC758" s="139"/>
      <c r="OD758" s="139"/>
      <c r="OE758" s="139"/>
      <c r="OF758" s="139"/>
      <c r="OG758" s="139"/>
      <c r="OH758" s="139"/>
      <c r="OI758" s="139"/>
      <c r="OJ758" s="139"/>
      <c r="OK758" s="139"/>
      <c r="OL758" s="139"/>
      <c r="OM758" s="139"/>
      <c r="ON758" s="139"/>
      <c r="OO758" s="139"/>
      <c r="OP758" s="139"/>
      <c r="OQ758" s="139"/>
      <c r="OR758" s="139"/>
      <c r="OS758" s="139"/>
      <c r="OT758" s="139"/>
      <c r="OU758" s="139"/>
      <c r="OV758" s="139"/>
      <c r="OW758" s="139"/>
      <c r="OX758" s="139"/>
      <c r="OY758" s="139"/>
      <c r="OZ758" s="139"/>
      <c r="PA758" s="139"/>
      <c r="PB758" s="139"/>
      <c r="PC758" s="139"/>
      <c r="PD758" s="139"/>
      <c r="PE758" s="139"/>
      <c r="PF758" s="139"/>
      <c r="PG758" s="139"/>
      <c r="PH758" s="139"/>
      <c r="PI758" s="139"/>
      <c r="PJ758" s="139"/>
      <c r="PK758" s="139"/>
      <c r="PL758" s="139"/>
      <c r="PM758" s="139"/>
      <c r="PN758" s="139"/>
      <c r="PO758" s="139"/>
      <c r="PP758" s="139"/>
      <c r="PQ758" s="139"/>
      <c r="PR758" s="139"/>
      <c r="PS758" s="139"/>
      <c r="PT758" s="139"/>
      <c r="PU758" s="139"/>
      <c r="PV758" s="139"/>
      <c r="PW758" s="139"/>
      <c r="PX758" s="139"/>
      <c r="PY758" s="139"/>
      <c r="PZ758" s="139"/>
      <c r="QA758" s="139"/>
      <c r="QB758" s="139"/>
      <c r="QC758" s="139"/>
      <c r="QD758" s="139"/>
      <c r="QE758" s="139"/>
      <c r="QF758" s="139"/>
      <c r="QG758" s="139"/>
      <c r="QH758" s="139"/>
      <c r="QI758" s="139"/>
      <c r="QJ758" s="139"/>
      <c r="QK758" s="139"/>
      <c r="QL758" s="139"/>
      <c r="QM758" s="139"/>
      <c r="QN758" s="139"/>
      <c r="QO758" s="139"/>
      <c r="QP758" s="139"/>
      <c r="QQ758" s="139"/>
      <c r="QR758" s="139"/>
      <c r="QS758" s="139"/>
      <c r="QT758" s="139"/>
      <c r="QU758" s="139"/>
      <c r="QV758" s="139"/>
      <c r="QW758" s="139"/>
      <c r="QX758" s="139"/>
      <c r="QY758" s="139"/>
      <c r="QZ758" s="139"/>
      <c r="RA758" s="139"/>
      <c r="RB758" s="139"/>
      <c r="RC758" s="139"/>
      <c r="RD758" s="139"/>
      <c r="RE758" s="139"/>
      <c r="RF758" s="139"/>
      <c r="RG758" s="139"/>
      <c r="RH758" s="139"/>
      <c r="RI758" s="139"/>
      <c r="RJ758" s="139"/>
      <c r="RK758" s="139"/>
      <c r="RL758" s="139"/>
      <c r="RM758" s="139"/>
      <c r="RN758" s="139"/>
      <c r="RO758" s="139"/>
      <c r="RP758" s="139"/>
      <c r="RQ758" s="139"/>
      <c r="RR758" s="139"/>
      <c r="RS758" s="139"/>
      <c r="RT758" s="139"/>
      <c r="RU758" s="139"/>
      <c r="RV758" s="139"/>
      <c r="RW758" s="139"/>
      <c r="RX758" s="139"/>
      <c r="RY758" s="139"/>
      <c r="RZ758" s="139"/>
      <c r="SA758" s="139"/>
      <c r="SB758" s="139"/>
      <c r="SC758" s="139"/>
      <c r="SD758" s="139"/>
      <c r="SE758" s="139"/>
      <c r="SF758" s="139"/>
      <c r="SG758" s="139"/>
      <c r="SH758" s="139"/>
      <c r="SI758" s="139"/>
      <c r="SJ758" s="139"/>
      <c r="SK758" s="139"/>
      <c r="SL758" s="139"/>
      <c r="SM758" s="139"/>
      <c r="SN758" s="139"/>
      <c r="SO758" s="139"/>
      <c r="SP758" s="139"/>
      <c r="SQ758" s="139"/>
      <c r="SR758" s="139"/>
      <c r="SS758" s="139"/>
      <c r="ST758" s="139"/>
      <c r="SU758" s="139"/>
      <c r="SV758" s="139"/>
      <c r="SW758" s="139"/>
      <c r="SX758" s="139"/>
      <c r="SY758" s="139"/>
      <c r="SZ758" s="139"/>
      <c r="TA758" s="139"/>
      <c r="TB758" s="139"/>
      <c r="TC758" s="139"/>
      <c r="TD758" s="139"/>
      <c r="TE758" s="139"/>
      <c r="TF758" s="139"/>
      <c r="TG758" s="139"/>
      <c r="TH758" s="139"/>
      <c r="TI758" s="139"/>
      <c r="TJ758" s="139"/>
      <c r="TK758" s="139"/>
      <c r="TL758" s="139"/>
      <c r="TM758" s="139"/>
      <c r="TN758" s="139"/>
      <c r="TO758" s="139"/>
      <c r="TP758" s="139"/>
      <c r="TQ758" s="139"/>
      <c r="TR758" s="139"/>
      <c r="TS758" s="139"/>
      <c r="TT758" s="139"/>
      <c r="TU758" s="139"/>
      <c r="TV758" s="139"/>
      <c r="TW758" s="139"/>
      <c r="TX758" s="139"/>
      <c r="TY758" s="139"/>
      <c r="TZ758" s="139"/>
      <c r="UA758" s="139"/>
      <c r="UB758" s="139"/>
      <c r="UC758" s="139"/>
      <c r="UD758" s="139"/>
      <c r="UE758" s="139"/>
      <c r="UF758" s="139"/>
      <c r="UG758" s="119"/>
    </row>
    <row r="759" spans="1:553" ht="30.75" customHeight="1">
      <c r="A759" s="366"/>
      <c r="B759" s="366">
        <v>223</v>
      </c>
      <c r="C759" s="1401" t="s">
        <v>960</v>
      </c>
      <c r="D759" s="1389"/>
      <c r="E759" s="1389"/>
      <c r="F759" s="1390"/>
      <c r="G759" s="366" t="s">
        <v>33</v>
      </c>
      <c r="H759" s="622"/>
      <c r="I759" s="626">
        <f>2*2</f>
        <v>4</v>
      </c>
      <c r="J759" s="369">
        <v>569800</v>
      </c>
      <c r="K759" s="371"/>
      <c r="L759" s="627">
        <f t="shared" ref="L759:L764" si="116">I759*J759</f>
        <v>2279200</v>
      </c>
      <c r="M759" s="366"/>
      <c r="N759" s="366"/>
      <c r="O759" s="366"/>
      <c r="P759" s="366"/>
      <c r="Q759" s="1151"/>
      <c r="R759" s="1226"/>
      <c r="S759" s="308"/>
      <c r="T759" s="308"/>
      <c r="U759" s="308"/>
      <c r="V759" s="308"/>
      <c r="W759" s="308"/>
      <c r="X759" s="308"/>
      <c r="Y759" s="308"/>
      <c r="Z759" s="604"/>
      <c r="AA759" s="308"/>
      <c r="AB759" s="308"/>
      <c r="AC759" s="625"/>
      <c r="AD759" s="625"/>
      <c r="AE759" s="625"/>
      <c r="AF759" s="625"/>
      <c r="AG759" s="625"/>
      <c r="AH759" s="625"/>
      <c r="AI759" s="625"/>
      <c r="AJ759" s="625"/>
      <c r="AK759" s="625"/>
      <c r="AL759" s="133"/>
      <c r="AM759" s="133"/>
      <c r="AN759" s="133"/>
      <c r="AO759" s="133"/>
      <c r="AP759" s="133"/>
      <c r="AQ759" s="133"/>
      <c r="AR759" s="133"/>
      <c r="AS759" s="133"/>
      <c r="AT759" s="133"/>
      <c r="AU759" s="133"/>
      <c r="AV759" s="133"/>
      <c r="AW759" s="133"/>
      <c r="AX759" s="133"/>
      <c r="AY759" s="133"/>
      <c r="AZ759" s="133"/>
      <c r="BA759" s="133"/>
      <c r="BB759" s="133"/>
      <c r="BC759" s="133"/>
      <c r="BD759" s="133"/>
      <c r="BE759" s="133"/>
      <c r="BF759" s="133"/>
      <c r="BG759" s="133"/>
      <c r="BH759" s="133"/>
      <c r="BI759" s="133"/>
      <c r="BJ759" s="133"/>
      <c r="BK759" s="133"/>
      <c r="BL759" s="133"/>
      <c r="BM759" s="133"/>
      <c r="BN759" s="133"/>
      <c r="BO759" s="133"/>
      <c r="BP759" s="133"/>
      <c r="BQ759" s="132"/>
      <c r="BR759" s="132"/>
      <c r="BS759" s="132"/>
      <c r="BT759" s="132"/>
      <c r="BU759" s="132"/>
      <c r="BV759" s="132"/>
      <c r="BW759" s="132"/>
      <c r="BX759" s="132"/>
      <c r="BY759" s="132"/>
      <c r="BZ759" s="132"/>
      <c r="CA759" s="132"/>
      <c r="CB759" s="132"/>
      <c r="CC759" s="132"/>
      <c r="CD759" s="132"/>
      <c r="CE759" s="132"/>
      <c r="CF759" s="132"/>
      <c r="CG759" s="132"/>
      <c r="CH759" s="132"/>
      <c r="CI759" s="132"/>
      <c r="CJ759" s="132"/>
      <c r="CK759" s="132"/>
      <c r="CL759" s="132"/>
      <c r="CM759" s="132"/>
      <c r="CN759" s="132"/>
      <c r="CO759" s="132"/>
      <c r="CP759" s="132"/>
      <c r="CQ759" s="132"/>
      <c r="CR759" s="132"/>
      <c r="CS759" s="132"/>
      <c r="CT759" s="132"/>
      <c r="CU759" s="132"/>
      <c r="CV759" s="132"/>
      <c r="CW759" s="132"/>
      <c r="CX759" s="132"/>
      <c r="CY759" s="132"/>
      <c r="CZ759" s="132"/>
      <c r="DA759" s="132"/>
      <c r="DB759" s="132"/>
      <c r="DC759" s="132"/>
      <c r="DD759" s="132"/>
      <c r="DE759" s="132"/>
      <c r="DF759" s="132"/>
      <c r="DG759" s="132"/>
      <c r="DH759" s="132"/>
      <c r="DI759" s="132"/>
      <c r="DJ759" s="132"/>
      <c r="DK759" s="132"/>
      <c r="DL759" s="132"/>
      <c r="DM759" s="132"/>
      <c r="DN759" s="132"/>
      <c r="DO759" s="132"/>
      <c r="DP759" s="132"/>
      <c r="DQ759" s="132"/>
      <c r="DR759" s="132"/>
      <c r="DS759" s="132"/>
      <c r="DT759" s="132"/>
      <c r="DU759" s="132"/>
      <c r="DV759" s="132"/>
      <c r="DW759" s="132"/>
      <c r="DX759" s="132"/>
      <c r="DY759" s="132"/>
      <c r="DZ759" s="132"/>
      <c r="EA759" s="132"/>
      <c r="EB759" s="132"/>
      <c r="EC759" s="132"/>
      <c r="ED759" s="132"/>
      <c r="EE759" s="132"/>
      <c r="EF759" s="132"/>
      <c r="EG759" s="132"/>
      <c r="EH759" s="132"/>
      <c r="EI759" s="132"/>
      <c r="EJ759" s="132"/>
      <c r="EK759" s="132"/>
      <c r="EL759" s="132"/>
      <c r="EM759" s="132"/>
      <c r="EN759" s="132"/>
      <c r="EO759" s="132"/>
      <c r="EP759" s="132"/>
      <c r="EQ759" s="132"/>
      <c r="ER759" s="132"/>
      <c r="ES759" s="132"/>
      <c r="ET759" s="132"/>
      <c r="EU759" s="132"/>
      <c r="EV759" s="132"/>
      <c r="EW759" s="132"/>
      <c r="EX759" s="132"/>
      <c r="EY759" s="132"/>
      <c r="EZ759" s="132"/>
      <c r="FA759" s="132"/>
      <c r="FB759" s="132"/>
      <c r="FC759" s="132"/>
      <c r="FD759" s="132"/>
      <c r="FE759" s="132"/>
      <c r="FF759" s="132"/>
      <c r="FG759" s="132"/>
      <c r="FH759" s="132"/>
      <c r="FI759" s="132"/>
      <c r="FJ759" s="132"/>
      <c r="FK759" s="132"/>
      <c r="FL759" s="132"/>
      <c r="FM759" s="132"/>
      <c r="FN759" s="132"/>
      <c r="FO759" s="132"/>
      <c r="FP759" s="132"/>
      <c r="FQ759" s="132"/>
      <c r="FR759" s="132"/>
      <c r="FS759" s="132"/>
      <c r="FT759" s="132"/>
      <c r="FU759" s="132"/>
      <c r="FV759" s="132"/>
      <c r="FW759" s="132"/>
      <c r="FX759" s="132"/>
      <c r="FY759" s="132"/>
      <c r="FZ759" s="132"/>
      <c r="GA759" s="132"/>
      <c r="GB759" s="132"/>
      <c r="GC759" s="132"/>
      <c r="GD759" s="132"/>
      <c r="GE759" s="132"/>
      <c r="GF759" s="132"/>
      <c r="GG759" s="132"/>
      <c r="GH759" s="132"/>
      <c r="GI759" s="132"/>
      <c r="GJ759" s="132"/>
      <c r="GK759" s="132"/>
      <c r="GL759" s="132"/>
      <c r="GM759" s="132"/>
      <c r="GN759" s="132"/>
      <c r="GO759" s="132"/>
      <c r="GP759" s="132"/>
      <c r="GQ759" s="132"/>
      <c r="GR759" s="132"/>
      <c r="GS759" s="132"/>
      <c r="GT759" s="132"/>
      <c r="GU759" s="132"/>
      <c r="GV759" s="132"/>
      <c r="GW759" s="132"/>
      <c r="GX759" s="132"/>
      <c r="GY759" s="132"/>
      <c r="GZ759" s="132"/>
      <c r="HA759" s="132"/>
      <c r="HB759" s="132"/>
      <c r="HC759" s="132"/>
      <c r="HD759" s="132"/>
      <c r="HE759" s="132"/>
      <c r="HF759" s="132"/>
      <c r="HG759" s="132"/>
      <c r="HH759" s="132"/>
      <c r="HI759" s="132"/>
      <c r="HJ759" s="132"/>
      <c r="HK759" s="132"/>
      <c r="HL759" s="132"/>
      <c r="HM759" s="132"/>
      <c r="HN759" s="132"/>
      <c r="HO759" s="132"/>
      <c r="HP759" s="132"/>
      <c r="HQ759" s="132"/>
      <c r="HR759" s="132"/>
      <c r="HS759" s="132"/>
      <c r="HT759" s="132"/>
      <c r="HU759" s="132"/>
      <c r="HV759" s="132"/>
      <c r="HW759" s="132"/>
      <c r="HX759" s="132"/>
      <c r="HY759" s="132"/>
      <c r="HZ759" s="132"/>
      <c r="IA759" s="132"/>
      <c r="IB759" s="132"/>
      <c r="IC759" s="132"/>
      <c r="ID759" s="132"/>
      <c r="IE759" s="132"/>
      <c r="IF759" s="132"/>
      <c r="IG759" s="132"/>
      <c r="IH759" s="132"/>
      <c r="II759" s="132"/>
      <c r="IJ759" s="132"/>
      <c r="IK759" s="132"/>
      <c r="IL759" s="132"/>
      <c r="IM759" s="132"/>
      <c r="IN759" s="132"/>
      <c r="IO759" s="132"/>
      <c r="IP759" s="132"/>
      <c r="IQ759" s="132"/>
      <c r="IR759" s="132"/>
      <c r="IS759" s="132"/>
      <c r="IT759" s="132"/>
      <c r="IU759" s="132"/>
      <c r="IV759" s="132"/>
      <c r="IW759" s="132"/>
      <c r="IX759" s="132"/>
      <c r="IY759" s="132"/>
      <c r="IZ759" s="132"/>
      <c r="JA759" s="132"/>
      <c r="JB759" s="132"/>
      <c r="JC759" s="132"/>
      <c r="JD759" s="132"/>
      <c r="JE759" s="132"/>
      <c r="JF759" s="132"/>
      <c r="JG759" s="132"/>
      <c r="JH759" s="132"/>
      <c r="JI759" s="132"/>
      <c r="JJ759" s="132"/>
      <c r="JK759" s="132"/>
      <c r="JL759" s="132"/>
      <c r="JM759" s="132"/>
      <c r="JN759" s="132"/>
      <c r="JO759" s="132"/>
      <c r="JP759" s="132"/>
      <c r="JQ759" s="132"/>
      <c r="JR759" s="132"/>
      <c r="JS759" s="132"/>
      <c r="JT759" s="132"/>
      <c r="JU759" s="132"/>
      <c r="JV759" s="132"/>
      <c r="JW759" s="132"/>
      <c r="JX759" s="132"/>
      <c r="JY759" s="132"/>
      <c r="JZ759" s="132"/>
      <c r="KA759" s="132"/>
      <c r="KB759" s="132"/>
      <c r="KC759" s="132"/>
      <c r="KD759" s="132"/>
      <c r="KE759" s="132"/>
      <c r="KF759" s="132"/>
      <c r="KG759" s="132"/>
      <c r="KH759" s="132"/>
      <c r="KI759" s="132"/>
      <c r="KJ759" s="132"/>
      <c r="KK759" s="132"/>
      <c r="KL759" s="132"/>
      <c r="KM759" s="132"/>
      <c r="KN759" s="132"/>
      <c r="KO759" s="132"/>
      <c r="KP759" s="132"/>
      <c r="KQ759" s="132"/>
      <c r="KR759" s="132"/>
      <c r="KS759" s="132"/>
      <c r="KT759" s="132"/>
      <c r="KU759" s="132"/>
      <c r="KV759" s="132"/>
      <c r="KW759" s="132"/>
      <c r="KX759" s="132"/>
      <c r="KY759" s="132"/>
      <c r="KZ759" s="132"/>
      <c r="LA759" s="132"/>
      <c r="LB759" s="132"/>
      <c r="LC759" s="132"/>
      <c r="LD759" s="132"/>
      <c r="LE759" s="132"/>
      <c r="LF759" s="132"/>
      <c r="LG759" s="132"/>
      <c r="LH759" s="132"/>
      <c r="LI759" s="132"/>
      <c r="LJ759" s="132"/>
      <c r="LK759" s="132"/>
      <c r="LL759" s="132"/>
      <c r="LM759" s="132"/>
      <c r="LN759" s="132"/>
      <c r="LO759" s="132"/>
      <c r="LP759" s="132"/>
      <c r="LQ759" s="132"/>
      <c r="LR759" s="132"/>
      <c r="LS759" s="132"/>
      <c r="LT759" s="132"/>
      <c r="LU759" s="132"/>
      <c r="LV759" s="132"/>
      <c r="LW759" s="132"/>
      <c r="LX759" s="132"/>
      <c r="LY759" s="132"/>
      <c r="LZ759" s="132"/>
      <c r="MA759" s="132"/>
      <c r="MB759" s="132"/>
      <c r="MC759" s="132"/>
      <c r="MD759" s="132"/>
      <c r="ME759" s="132"/>
      <c r="MF759" s="132"/>
      <c r="MG759" s="132"/>
      <c r="MH759" s="132"/>
      <c r="MI759" s="132"/>
      <c r="MJ759" s="132"/>
      <c r="MK759" s="132"/>
      <c r="ML759" s="132"/>
      <c r="MM759" s="132"/>
      <c r="MN759" s="132"/>
      <c r="MO759" s="132"/>
      <c r="MP759" s="132"/>
      <c r="MQ759" s="132"/>
      <c r="MR759" s="132"/>
      <c r="MS759" s="132"/>
      <c r="MT759" s="132"/>
      <c r="MU759" s="132"/>
      <c r="MV759" s="132"/>
      <c r="MW759" s="132"/>
      <c r="MX759" s="132"/>
      <c r="MY759" s="132"/>
      <c r="MZ759" s="132"/>
      <c r="NA759" s="132"/>
      <c r="NB759" s="132"/>
      <c r="NC759" s="132"/>
      <c r="ND759" s="132"/>
      <c r="NE759" s="132"/>
      <c r="NF759" s="132"/>
      <c r="NG759" s="132"/>
      <c r="NH759" s="132"/>
      <c r="NI759" s="132"/>
      <c r="NJ759" s="132"/>
      <c r="NK759" s="132"/>
      <c r="NL759" s="132"/>
      <c r="NM759" s="132"/>
      <c r="NN759" s="132"/>
      <c r="NO759" s="132"/>
      <c r="NP759" s="132"/>
      <c r="NQ759" s="132"/>
      <c r="NR759" s="132"/>
      <c r="NS759" s="132"/>
      <c r="NT759" s="132"/>
      <c r="NU759" s="132"/>
      <c r="NV759" s="132"/>
      <c r="NW759" s="132"/>
      <c r="NX759" s="132"/>
      <c r="NY759" s="132"/>
      <c r="NZ759" s="132"/>
      <c r="OA759" s="132"/>
      <c r="OB759" s="132"/>
      <c r="OC759" s="132"/>
      <c r="OD759" s="132"/>
      <c r="OE759" s="132"/>
      <c r="OF759" s="132"/>
      <c r="OG759" s="132"/>
      <c r="OH759" s="132"/>
      <c r="OI759" s="132"/>
      <c r="OJ759" s="132"/>
      <c r="OK759" s="132"/>
      <c r="OL759" s="132"/>
      <c r="OM759" s="132"/>
      <c r="ON759" s="132"/>
      <c r="OO759" s="132"/>
      <c r="OP759" s="132"/>
      <c r="OQ759" s="132"/>
      <c r="OR759" s="132"/>
      <c r="OS759" s="132"/>
      <c r="OT759" s="132"/>
      <c r="OU759" s="132"/>
      <c r="OV759" s="132"/>
      <c r="OW759" s="132"/>
      <c r="OX759" s="132"/>
      <c r="OY759" s="132"/>
      <c r="OZ759" s="132"/>
      <c r="PA759" s="132"/>
      <c r="PB759" s="132"/>
      <c r="PC759" s="132"/>
      <c r="PD759" s="132"/>
      <c r="PE759" s="132"/>
      <c r="PF759" s="132"/>
      <c r="PG759" s="132"/>
      <c r="PH759" s="132"/>
      <c r="PI759" s="132"/>
      <c r="PJ759" s="132"/>
      <c r="PK759" s="132"/>
      <c r="PL759" s="132"/>
      <c r="PM759" s="132"/>
      <c r="PN759" s="132"/>
      <c r="PO759" s="132"/>
      <c r="PP759" s="132"/>
      <c r="PQ759" s="132"/>
      <c r="PR759" s="132"/>
      <c r="PS759" s="132"/>
      <c r="PT759" s="132"/>
      <c r="PU759" s="132"/>
      <c r="PV759" s="132"/>
      <c r="PW759" s="132"/>
      <c r="PX759" s="132"/>
      <c r="PY759" s="132"/>
      <c r="PZ759" s="132"/>
      <c r="QA759" s="132"/>
      <c r="QB759" s="132"/>
      <c r="QC759" s="132"/>
      <c r="QD759" s="132"/>
      <c r="QE759" s="132"/>
      <c r="QF759" s="132"/>
      <c r="QG759" s="132"/>
      <c r="QH759" s="132"/>
      <c r="QI759" s="132"/>
      <c r="QJ759" s="132"/>
      <c r="QK759" s="132"/>
      <c r="QL759" s="132"/>
      <c r="QM759" s="132"/>
      <c r="QN759" s="132"/>
      <c r="QO759" s="132"/>
      <c r="QP759" s="132"/>
      <c r="QQ759" s="132"/>
      <c r="QR759" s="132"/>
      <c r="QS759" s="132"/>
      <c r="QT759" s="132"/>
      <c r="QU759" s="132"/>
      <c r="QV759" s="132"/>
      <c r="QW759" s="132"/>
      <c r="QX759" s="132"/>
      <c r="QY759" s="132"/>
      <c r="QZ759" s="132"/>
      <c r="RA759" s="132"/>
      <c r="RB759" s="132"/>
      <c r="RC759" s="132"/>
      <c r="RD759" s="132"/>
      <c r="RE759" s="132"/>
      <c r="RF759" s="132"/>
      <c r="RG759" s="132"/>
      <c r="RH759" s="132"/>
      <c r="RI759" s="132"/>
      <c r="RJ759" s="132"/>
      <c r="RK759" s="132"/>
      <c r="RL759" s="132"/>
      <c r="RM759" s="132"/>
      <c r="RN759" s="132"/>
      <c r="RO759" s="132"/>
      <c r="RP759" s="132"/>
      <c r="RQ759" s="132"/>
      <c r="RR759" s="132"/>
      <c r="RS759" s="132"/>
      <c r="RT759" s="132"/>
      <c r="RU759" s="132"/>
      <c r="RV759" s="132"/>
      <c r="RW759" s="132"/>
      <c r="RX759" s="132"/>
      <c r="RY759" s="132"/>
      <c r="RZ759" s="132"/>
      <c r="SA759" s="132"/>
      <c r="SB759" s="132"/>
      <c r="SC759" s="132"/>
      <c r="SD759" s="132"/>
      <c r="SE759" s="132"/>
      <c r="SF759" s="132"/>
      <c r="SG759" s="132"/>
      <c r="SH759" s="132"/>
      <c r="SI759" s="132"/>
      <c r="SJ759" s="132"/>
      <c r="SK759" s="132"/>
      <c r="SL759" s="132"/>
      <c r="SM759" s="132"/>
      <c r="SN759" s="132"/>
      <c r="SO759" s="132"/>
      <c r="SP759" s="132"/>
      <c r="SQ759" s="132"/>
      <c r="SR759" s="132"/>
      <c r="SS759" s="132"/>
      <c r="ST759" s="132"/>
      <c r="SU759" s="132"/>
      <c r="SV759" s="132"/>
      <c r="SW759" s="132"/>
      <c r="SX759" s="132"/>
      <c r="SY759" s="132"/>
      <c r="SZ759" s="132"/>
      <c r="TA759" s="132"/>
      <c r="TB759" s="132"/>
      <c r="TC759" s="132"/>
      <c r="TD759" s="132"/>
      <c r="TE759" s="132"/>
      <c r="TF759" s="132"/>
      <c r="TG759" s="132"/>
      <c r="TH759" s="132"/>
      <c r="TI759" s="132"/>
      <c r="TJ759" s="132"/>
      <c r="TK759" s="132"/>
      <c r="TL759" s="132"/>
      <c r="TM759" s="132"/>
      <c r="TN759" s="132"/>
      <c r="TO759" s="132"/>
      <c r="TP759" s="132"/>
      <c r="TQ759" s="132"/>
      <c r="TR759" s="132"/>
      <c r="TS759" s="132"/>
      <c r="TT759" s="132"/>
      <c r="TU759" s="132"/>
      <c r="TV759" s="132"/>
      <c r="TW759" s="132"/>
      <c r="TX759" s="132"/>
      <c r="TY759" s="132"/>
      <c r="TZ759" s="132"/>
      <c r="UA759" s="132"/>
      <c r="UB759" s="132"/>
      <c r="UC759" s="132"/>
      <c r="UD759" s="132"/>
      <c r="UE759" s="132"/>
      <c r="UF759" s="132"/>
      <c r="UG759" s="132"/>
    </row>
    <row r="760" spans="1:553" ht="30.75" customHeight="1">
      <c r="A760" s="366"/>
      <c r="B760" s="366">
        <v>251</v>
      </c>
      <c r="C760" s="1401" t="s">
        <v>959</v>
      </c>
      <c r="D760" s="1389"/>
      <c r="E760" s="1389"/>
      <c r="F760" s="1390"/>
      <c r="G760" s="366" t="s">
        <v>33</v>
      </c>
      <c r="H760" s="622"/>
      <c r="I760" s="626">
        <f>6*6</f>
        <v>36</v>
      </c>
      <c r="J760" s="369">
        <v>97900</v>
      </c>
      <c r="K760" s="371"/>
      <c r="L760" s="627">
        <f t="shared" si="116"/>
        <v>3524400</v>
      </c>
      <c r="M760" s="366"/>
      <c r="N760" s="366"/>
      <c r="O760" s="366"/>
      <c r="P760" s="366"/>
      <c r="Q760" s="1151"/>
      <c r="R760" s="1226"/>
      <c r="S760" s="308"/>
      <c r="T760" s="308"/>
      <c r="U760" s="308"/>
      <c r="V760" s="308"/>
      <c r="W760" s="308"/>
      <c r="X760" s="308"/>
      <c r="Y760" s="308"/>
      <c r="Z760" s="604"/>
      <c r="AA760" s="308"/>
      <c r="AB760" s="308"/>
      <c r="AC760" s="625"/>
      <c r="AD760" s="625"/>
      <c r="AE760" s="625"/>
      <c r="AF760" s="625"/>
      <c r="AG760" s="625"/>
      <c r="AH760" s="625"/>
      <c r="AI760" s="625"/>
      <c r="AJ760" s="625"/>
      <c r="AK760" s="625"/>
      <c r="AL760" s="133"/>
      <c r="AM760" s="133"/>
      <c r="AN760" s="133"/>
      <c r="AO760" s="133"/>
      <c r="AP760" s="133"/>
      <c r="AQ760" s="133"/>
      <c r="AR760" s="133"/>
      <c r="AS760" s="133"/>
      <c r="AT760" s="133"/>
      <c r="AU760" s="133"/>
      <c r="AV760" s="133"/>
      <c r="AW760" s="133"/>
      <c r="AX760" s="133"/>
      <c r="AY760" s="133"/>
      <c r="AZ760" s="133"/>
      <c r="BA760" s="133"/>
      <c r="BB760" s="133"/>
      <c r="BC760" s="133"/>
      <c r="BD760" s="133"/>
      <c r="BE760" s="133"/>
      <c r="BF760" s="133"/>
      <c r="BG760" s="133"/>
      <c r="BH760" s="133"/>
      <c r="BI760" s="133"/>
      <c r="BJ760" s="133"/>
      <c r="BK760" s="133"/>
      <c r="BL760" s="133"/>
      <c r="BM760" s="133"/>
      <c r="BN760" s="133"/>
      <c r="BO760" s="133"/>
      <c r="BP760" s="133"/>
      <c r="BQ760" s="132"/>
      <c r="BR760" s="132"/>
      <c r="BS760" s="132"/>
      <c r="BT760" s="132"/>
      <c r="BU760" s="132"/>
      <c r="BV760" s="132"/>
      <c r="BW760" s="132"/>
      <c r="BX760" s="132"/>
      <c r="BY760" s="132"/>
      <c r="BZ760" s="132"/>
      <c r="CA760" s="132"/>
      <c r="CB760" s="132"/>
      <c r="CC760" s="132"/>
      <c r="CD760" s="132"/>
      <c r="CE760" s="132"/>
      <c r="CF760" s="132"/>
      <c r="CG760" s="132"/>
      <c r="CH760" s="132"/>
      <c r="CI760" s="132"/>
      <c r="CJ760" s="132"/>
      <c r="CK760" s="132"/>
      <c r="CL760" s="132"/>
      <c r="CM760" s="132"/>
      <c r="CN760" s="132"/>
      <c r="CO760" s="132"/>
      <c r="CP760" s="132"/>
      <c r="CQ760" s="132"/>
      <c r="CR760" s="132"/>
      <c r="CS760" s="132"/>
      <c r="CT760" s="132"/>
      <c r="CU760" s="132"/>
      <c r="CV760" s="132"/>
      <c r="CW760" s="132"/>
      <c r="CX760" s="132"/>
      <c r="CY760" s="132"/>
      <c r="CZ760" s="132"/>
      <c r="DA760" s="132"/>
      <c r="DB760" s="132"/>
      <c r="DC760" s="132"/>
      <c r="DD760" s="132"/>
      <c r="DE760" s="132"/>
      <c r="DF760" s="132"/>
      <c r="DG760" s="132"/>
      <c r="DH760" s="132"/>
      <c r="DI760" s="132"/>
      <c r="DJ760" s="132"/>
      <c r="DK760" s="132"/>
      <c r="DL760" s="132"/>
      <c r="DM760" s="132"/>
      <c r="DN760" s="132"/>
      <c r="DO760" s="132"/>
      <c r="DP760" s="132"/>
      <c r="DQ760" s="132"/>
      <c r="DR760" s="132"/>
      <c r="DS760" s="132"/>
      <c r="DT760" s="132"/>
      <c r="DU760" s="132"/>
      <c r="DV760" s="132"/>
      <c r="DW760" s="132"/>
      <c r="DX760" s="132"/>
      <c r="DY760" s="132"/>
      <c r="DZ760" s="132"/>
      <c r="EA760" s="132"/>
      <c r="EB760" s="132"/>
      <c r="EC760" s="132"/>
      <c r="ED760" s="132"/>
      <c r="EE760" s="132"/>
      <c r="EF760" s="132"/>
      <c r="EG760" s="132"/>
      <c r="EH760" s="132"/>
      <c r="EI760" s="132"/>
      <c r="EJ760" s="132"/>
      <c r="EK760" s="132"/>
      <c r="EL760" s="132"/>
      <c r="EM760" s="132"/>
      <c r="EN760" s="132"/>
      <c r="EO760" s="132"/>
      <c r="EP760" s="132"/>
      <c r="EQ760" s="132"/>
      <c r="ER760" s="132"/>
      <c r="ES760" s="132"/>
      <c r="ET760" s="132"/>
      <c r="EU760" s="132"/>
      <c r="EV760" s="132"/>
      <c r="EW760" s="132"/>
      <c r="EX760" s="132"/>
      <c r="EY760" s="132"/>
      <c r="EZ760" s="132"/>
      <c r="FA760" s="132"/>
      <c r="FB760" s="132"/>
      <c r="FC760" s="132"/>
      <c r="FD760" s="132"/>
      <c r="FE760" s="132"/>
      <c r="FF760" s="132"/>
      <c r="FG760" s="132"/>
      <c r="FH760" s="132"/>
      <c r="FI760" s="132"/>
      <c r="FJ760" s="132"/>
      <c r="FK760" s="132"/>
      <c r="FL760" s="132"/>
      <c r="FM760" s="132"/>
      <c r="FN760" s="132"/>
      <c r="FO760" s="132"/>
      <c r="FP760" s="132"/>
      <c r="FQ760" s="132"/>
      <c r="FR760" s="132"/>
      <c r="FS760" s="132"/>
      <c r="FT760" s="132"/>
      <c r="FU760" s="132"/>
      <c r="FV760" s="132"/>
      <c r="FW760" s="132"/>
      <c r="FX760" s="132"/>
      <c r="FY760" s="132"/>
      <c r="FZ760" s="132"/>
      <c r="GA760" s="132"/>
      <c r="GB760" s="132"/>
      <c r="GC760" s="132"/>
      <c r="GD760" s="132"/>
      <c r="GE760" s="132"/>
      <c r="GF760" s="132"/>
      <c r="GG760" s="132"/>
      <c r="GH760" s="132"/>
      <c r="GI760" s="132"/>
      <c r="GJ760" s="132"/>
      <c r="GK760" s="132"/>
      <c r="GL760" s="132"/>
      <c r="GM760" s="132"/>
      <c r="GN760" s="132"/>
      <c r="GO760" s="132"/>
      <c r="GP760" s="132"/>
      <c r="GQ760" s="132"/>
      <c r="GR760" s="132"/>
      <c r="GS760" s="132"/>
      <c r="GT760" s="132"/>
      <c r="GU760" s="132"/>
      <c r="GV760" s="132"/>
      <c r="GW760" s="132"/>
      <c r="GX760" s="132"/>
      <c r="GY760" s="132"/>
      <c r="GZ760" s="132"/>
      <c r="HA760" s="132"/>
      <c r="HB760" s="132"/>
      <c r="HC760" s="132"/>
      <c r="HD760" s="132"/>
      <c r="HE760" s="132"/>
      <c r="HF760" s="132"/>
      <c r="HG760" s="132"/>
      <c r="HH760" s="132"/>
      <c r="HI760" s="132"/>
      <c r="HJ760" s="132"/>
      <c r="HK760" s="132"/>
      <c r="HL760" s="132"/>
      <c r="HM760" s="132"/>
      <c r="HN760" s="132"/>
      <c r="HO760" s="132"/>
      <c r="HP760" s="132"/>
      <c r="HQ760" s="132"/>
      <c r="HR760" s="132"/>
      <c r="HS760" s="132"/>
      <c r="HT760" s="132"/>
      <c r="HU760" s="132"/>
      <c r="HV760" s="132"/>
      <c r="HW760" s="132"/>
      <c r="HX760" s="132"/>
      <c r="HY760" s="132"/>
      <c r="HZ760" s="132"/>
      <c r="IA760" s="132"/>
      <c r="IB760" s="132"/>
      <c r="IC760" s="132"/>
      <c r="ID760" s="132"/>
      <c r="IE760" s="132"/>
      <c r="IF760" s="132"/>
      <c r="IG760" s="132"/>
      <c r="IH760" s="132"/>
      <c r="II760" s="132"/>
      <c r="IJ760" s="132"/>
      <c r="IK760" s="132"/>
      <c r="IL760" s="132"/>
      <c r="IM760" s="132"/>
      <c r="IN760" s="132"/>
      <c r="IO760" s="132"/>
      <c r="IP760" s="132"/>
      <c r="IQ760" s="132"/>
      <c r="IR760" s="132"/>
      <c r="IS760" s="132"/>
      <c r="IT760" s="132"/>
      <c r="IU760" s="132"/>
      <c r="IV760" s="132"/>
      <c r="IW760" s="132"/>
      <c r="IX760" s="132"/>
      <c r="IY760" s="132"/>
      <c r="IZ760" s="132"/>
      <c r="JA760" s="132"/>
      <c r="JB760" s="132"/>
      <c r="JC760" s="132"/>
      <c r="JD760" s="132"/>
      <c r="JE760" s="132"/>
      <c r="JF760" s="132"/>
      <c r="JG760" s="132"/>
      <c r="JH760" s="132"/>
      <c r="JI760" s="132"/>
      <c r="JJ760" s="132"/>
      <c r="JK760" s="132"/>
      <c r="JL760" s="132"/>
      <c r="JM760" s="132"/>
      <c r="JN760" s="132"/>
      <c r="JO760" s="132"/>
      <c r="JP760" s="132"/>
      <c r="JQ760" s="132"/>
      <c r="JR760" s="132"/>
      <c r="JS760" s="132"/>
      <c r="JT760" s="132"/>
      <c r="JU760" s="132"/>
      <c r="JV760" s="132"/>
      <c r="JW760" s="132"/>
      <c r="JX760" s="132"/>
      <c r="JY760" s="132"/>
      <c r="JZ760" s="132"/>
      <c r="KA760" s="132"/>
      <c r="KB760" s="132"/>
      <c r="KC760" s="132"/>
      <c r="KD760" s="132"/>
      <c r="KE760" s="132"/>
      <c r="KF760" s="132"/>
      <c r="KG760" s="132"/>
      <c r="KH760" s="132"/>
      <c r="KI760" s="132"/>
      <c r="KJ760" s="132"/>
      <c r="KK760" s="132"/>
      <c r="KL760" s="132"/>
      <c r="KM760" s="132"/>
      <c r="KN760" s="132"/>
      <c r="KO760" s="132"/>
      <c r="KP760" s="132"/>
      <c r="KQ760" s="132"/>
      <c r="KR760" s="132"/>
      <c r="KS760" s="132"/>
      <c r="KT760" s="132"/>
      <c r="KU760" s="132"/>
      <c r="KV760" s="132"/>
      <c r="KW760" s="132"/>
      <c r="KX760" s="132"/>
      <c r="KY760" s="132"/>
      <c r="KZ760" s="132"/>
      <c r="LA760" s="132"/>
      <c r="LB760" s="132"/>
      <c r="LC760" s="132"/>
      <c r="LD760" s="132"/>
      <c r="LE760" s="132"/>
      <c r="LF760" s="132"/>
      <c r="LG760" s="132"/>
      <c r="LH760" s="132"/>
      <c r="LI760" s="132"/>
      <c r="LJ760" s="132"/>
      <c r="LK760" s="132"/>
      <c r="LL760" s="132"/>
      <c r="LM760" s="132"/>
      <c r="LN760" s="132"/>
      <c r="LO760" s="132"/>
      <c r="LP760" s="132"/>
      <c r="LQ760" s="132"/>
      <c r="LR760" s="132"/>
      <c r="LS760" s="132"/>
      <c r="LT760" s="132"/>
      <c r="LU760" s="132"/>
      <c r="LV760" s="132"/>
      <c r="LW760" s="132"/>
      <c r="LX760" s="132"/>
      <c r="LY760" s="132"/>
      <c r="LZ760" s="132"/>
      <c r="MA760" s="132"/>
      <c r="MB760" s="132"/>
      <c r="MC760" s="132"/>
      <c r="MD760" s="132"/>
      <c r="ME760" s="132"/>
      <c r="MF760" s="132"/>
      <c r="MG760" s="132"/>
      <c r="MH760" s="132"/>
      <c r="MI760" s="132"/>
      <c r="MJ760" s="132"/>
      <c r="MK760" s="132"/>
      <c r="ML760" s="132"/>
      <c r="MM760" s="132"/>
      <c r="MN760" s="132"/>
      <c r="MO760" s="132"/>
      <c r="MP760" s="132"/>
      <c r="MQ760" s="132"/>
      <c r="MR760" s="132"/>
      <c r="MS760" s="132"/>
      <c r="MT760" s="132"/>
      <c r="MU760" s="132"/>
      <c r="MV760" s="132"/>
      <c r="MW760" s="132"/>
      <c r="MX760" s="132"/>
      <c r="MY760" s="132"/>
      <c r="MZ760" s="132"/>
      <c r="NA760" s="132"/>
      <c r="NB760" s="132"/>
      <c r="NC760" s="132"/>
      <c r="ND760" s="132"/>
      <c r="NE760" s="132"/>
      <c r="NF760" s="132"/>
      <c r="NG760" s="132"/>
      <c r="NH760" s="132"/>
      <c r="NI760" s="132"/>
      <c r="NJ760" s="132"/>
      <c r="NK760" s="132"/>
      <c r="NL760" s="132"/>
      <c r="NM760" s="132"/>
      <c r="NN760" s="132"/>
      <c r="NO760" s="132"/>
      <c r="NP760" s="132"/>
      <c r="NQ760" s="132"/>
      <c r="NR760" s="132"/>
      <c r="NS760" s="132"/>
      <c r="NT760" s="132"/>
      <c r="NU760" s="132"/>
      <c r="NV760" s="132"/>
      <c r="NW760" s="132"/>
      <c r="NX760" s="132"/>
      <c r="NY760" s="132"/>
      <c r="NZ760" s="132"/>
      <c r="OA760" s="132"/>
      <c r="OB760" s="132"/>
      <c r="OC760" s="132"/>
      <c r="OD760" s="132"/>
      <c r="OE760" s="132"/>
      <c r="OF760" s="132"/>
      <c r="OG760" s="132"/>
      <c r="OH760" s="132"/>
      <c r="OI760" s="132"/>
      <c r="OJ760" s="132"/>
      <c r="OK760" s="132"/>
      <c r="OL760" s="132"/>
      <c r="OM760" s="132"/>
      <c r="ON760" s="132"/>
      <c r="OO760" s="132"/>
      <c r="OP760" s="132"/>
      <c r="OQ760" s="132"/>
      <c r="OR760" s="132"/>
      <c r="OS760" s="132"/>
      <c r="OT760" s="132"/>
      <c r="OU760" s="132"/>
      <c r="OV760" s="132"/>
      <c r="OW760" s="132"/>
      <c r="OX760" s="132"/>
      <c r="OY760" s="132"/>
      <c r="OZ760" s="132"/>
      <c r="PA760" s="132"/>
      <c r="PB760" s="132"/>
      <c r="PC760" s="132"/>
      <c r="PD760" s="132"/>
      <c r="PE760" s="132"/>
      <c r="PF760" s="132"/>
      <c r="PG760" s="132"/>
      <c r="PH760" s="132"/>
      <c r="PI760" s="132"/>
      <c r="PJ760" s="132"/>
      <c r="PK760" s="132"/>
      <c r="PL760" s="132"/>
      <c r="PM760" s="132"/>
      <c r="PN760" s="132"/>
      <c r="PO760" s="132"/>
      <c r="PP760" s="132"/>
      <c r="PQ760" s="132"/>
      <c r="PR760" s="132"/>
      <c r="PS760" s="132"/>
      <c r="PT760" s="132"/>
      <c r="PU760" s="132"/>
      <c r="PV760" s="132"/>
      <c r="PW760" s="132"/>
      <c r="PX760" s="132"/>
      <c r="PY760" s="132"/>
      <c r="PZ760" s="132"/>
      <c r="QA760" s="132"/>
      <c r="QB760" s="132"/>
      <c r="QC760" s="132"/>
      <c r="QD760" s="132"/>
      <c r="QE760" s="132"/>
      <c r="QF760" s="132"/>
      <c r="QG760" s="132"/>
      <c r="QH760" s="132"/>
      <c r="QI760" s="132"/>
      <c r="QJ760" s="132"/>
      <c r="QK760" s="132"/>
      <c r="QL760" s="132"/>
      <c r="QM760" s="132"/>
      <c r="QN760" s="132"/>
      <c r="QO760" s="132"/>
      <c r="QP760" s="132"/>
      <c r="QQ760" s="132"/>
      <c r="QR760" s="132"/>
      <c r="QS760" s="132"/>
      <c r="QT760" s="132"/>
      <c r="QU760" s="132"/>
      <c r="QV760" s="132"/>
      <c r="QW760" s="132"/>
      <c r="QX760" s="132"/>
      <c r="QY760" s="132"/>
      <c r="QZ760" s="132"/>
      <c r="RA760" s="132"/>
      <c r="RB760" s="132"/>
      <c r="RC760" s="132"/>
      <c r="RD760" s="132"/>
      <c r="RE760" s="132"/>
      <c r="RF760" s="132"/>
      <c r="RG760" s="132"/>
      <c r="RH760" s="132"/>
      <c r="RI760" s="132"/>
      <c r="RJ760" s="132"/>
      <c r="RK760" s="132"/>
      <c r="RL760" s="132"/>
      <c r="RM760" s="132"/>
      <c r="RN760" s="132"/>
      <c r="RO760" s="132"/>
      <c r="RP760" s="132"/>
      <c r="RQ760" s="132"/>
      <c r="RR760" s="132"/>
      <c r="RS760" s="132"/>
      <c r="RT760" s="132"/>
      <c r="RU760" s="132"/>
      <c r="RV760" s="132"/>
      <c r="RW760" s="132"/>
      <c r="RX760" s="132"/>
      <c r="RY760" s="132"/>
      <c r="RZ760" s="132"/>
      <c r="SA760" s="132"/>
      <c r="SB760" s="132"/>
      <c r="SC760" s="132"/>
      <c r="SD760" s="132"/>
      <c r="SE760" s="132"/>
      <c r="SF760" s="132"/>
      <c r="SG760" s="132"/>
      <c r="SH760" s="132"/>
      <c r="SI760" s="132"/>
      <c r="SJ760" s="132"/>
      <c r="SK760" s="132"/>
      <c r="SL760" s="132"/>
      <c r="SM760" s="132"/>
      <c r="SN760" s="132"/>
      <c r="SO760" s="132"/>
      <c r="SP760" s="132"/>
      <c r="SQ760" s="132"/>
      <c r="SR760" s="132"/>
      <c r="SS760" s="132"/>
      <c r="ST760" s="132"/>
      <c r="SU760" s="132"/>
      <c r="SV760" s="132"/>
      <c r="SW760" s="132"/>
      <c r="SX760" s="132"/>
      <c r="SY760" s="132"/>
      <c r="SZ760" s="132"/>
      <c r="TA760" s="132"/>
      <c r="TB760" s="132"/>
      <c r="TC760" s="132"/>
      <c r="TD760" s="132"/>
      <c r="TE760" s="132"/>
      <c r="TF760" s="132"/>
      <c r="TG760" s="132"/>
      <c r="TH760" s="132"/>
      <c r="TI760" s="132"/>
      <c r="TJ760" s="132"/>
      <c r="TK760" s="132"/>
      <c r="TL760" s="132"/>
      <c r="TM760" s="132"/>
      <c r="TN760" s="132"/>
      <c r="TO760" s="132"/>
      <c r="TP760" s="132"/>
      <c r="TQ760" s="132"/>
      <c r="TR760" s="132"/>
      <c r="TS760" s="132"/>
      <c r="TT760" s="132"/>
      <c r="TU760" s="132"/>
      <c r="TV760" s="132"/>
      <c r="TW760" s="132"/>
      <c r="TX760" s="132"/>
      <c r="TY760" s="132"/>
      <c r="TZ760" s="132"/>
      <c r="UA760" s="132"/>
      <c r="UB760" s="132"/>
      <c r="UC760" s="132"/>
      <c r="UD760" s="132"/>
      <c r="UE760" s="132"/>
      <c r="UF760" s="132"/>
      <c r="UG760" s="132"/>
    </row>
    <row r="761" spans="1:553" ht="47.5" customHeight="1">
      <c r="A761" s="366"/>
      <c r="B761" s="366">
        <v>250</v>
      </c>
      <c r="C761" s="1401" t="s">
        <v>958</v>
      </c>
      <c r="D761" s="1389"/>
      <c r="E761" s="1389"/>
      <c r="F761" s="1390"/>
      <c r="G761" s="366" t="s">
        <v>33</v>
      </c>
      <c r="H761" s="622"/>
      <c r="I761" s="626">
        <f>6*6.2</f>
        <v>37.200000000000003</v>
      </c>
      <c r="J761" s="369">
        <v>743600</v>
      </c>
      <c r="K761" s="371"/>
      <c r="L761" s="627">
        <f t="shared" si="116"/>
        <v>27661920.000000004</v>
      </c>
      <c r="M761" s="366"/>
      <c r="N761" s="366"/>
      <c r="O761" s="366"/>
      <c r="P761" s="366"/>
      <c r="Q761" s="1151"/>
      <c r="R761" s="1226"/>
      <c r="S761" s="308"/>
      <c r="T761" s="308"/>
      <c r="U761" s="308"/>
      <c r="V761" s="308"/>
      <c r="W761" s="308"/>
      <c r="X761" s="308"/>
      <c r="Y761" s="308"/>
      <c r="Z761" s="604"/>
      <c r="AA761" s="308"/>
      <c r="AB761" s="308"/>
      <c r="AC761" s="625"/>
      <c r="AD761" s="625"/>
      <c r="AE761" s="625"/>
      <c r="AF761" s="625"/>
      <c r="AG761" s="625"/>
      <c r="AH761" s="625"/>
      <c r="AI761" s="625"/>
      <c r="AJ761" s="625"/>
      <c r="AK761" s="625"/>
      <c r="AL761" s="133"/>
      <c r="AM761" s="133"/>
      <c r="AN761" s="133"/>
      <c r="AO761" s="133"/>
      <c r="AP761" s="133"/>
      <c r="AQ761" s="133"/>
      <c r="AR761" s="133"/>
      <c r="AS761" s="133"/>
      <c r="AT761" s="133"/>
      <c r="AU761" s="133"/>
      <c r="AV761" s="133"/>
      <c r="AW761" s="133"/>
      <c r="AX761" s="133"/>
      <c r="AY761" s="133"/>
      <c r="AZ761" s="133"/>
      <c r="BA761" s="133"/>
      <c r="BB761" s="133"/>
      <c r="BC761" s="133"/>
      <c r="BD761" s="133"/>
      <c r="BE761" s="133"/>
      <c r="BF761" s="133"/>
      <c r="BG761" s="133"/>
      <c r="BH761" s="133"/>
      <c r="BI761" s="133"/>
      <c r="BJ761" s="133"/>
      <c r="BK761" s="133"/>
      <c r="BL761" s="133"/>
      <c r="BM761" s="133"/>
      <c r="BN761" s="133"/>
      <c r="BO761" s="133"/>
      <c r="BP761" s="133"/>
      <c r="BQ761" s="132"/>
      <c r="BR761" s="132"/>
      <c r="BS761" s="132"/>
      <c r="BT761" s="132"/>
      <c r="BU761" s="132"/>
      <c r="BV761" s="132"/>
      <c r="BW761" s="132"/>
      <c r="BX761" s="132"/>
      <c r="BY761" s="132"/>
      <c r="BZ761" s="132"/>
      <c r="CA761" s="132"/>
      <c r="CB761" s="132"/>
      <c r="CC761" s="132"/>
      <c r="CD761" s="132"/>
      <c r="CE761" s="132"/>
      <c r="CF761" s="132"/>
      <c r="CG761" s="132"/>
      <c r="CH761" s="132"/>
      <c r="CI761" s="132"/>
      <c r="CJ761" s="132"/>
      <c r="CK761" s="132"/>
      <c r="CL761" s="132"/>
      <c r="CM761" s="132"/>
      <c r="CN761" s="132"/>
      <c r="CO761" s="132"/>
      <c r="CP761" s="132"/>
      <c r="CQ761" s="132"/>
      <c r="CR761" s="132"/>
      <c r="CS761" s="132"/>
      <c r="CT761" s="132"/>
      <c r="CU761" s="132"/>
      <c r="CV761" s="132"/>
      <c r="CW761" s="132"/>
      <c r="CX761" s="132"/>
      <c r="CY761" s="132"/>
      <c r="CZ761" s="132"/>
      <c r="DA761" s="132"/>
      <c r="DB761" s="132"/>
      <c r="DC761" s="132"/>
      <c r="DD761" s="132"/>
      <c r="DE761" s="132"/>
      <c r="DF761" s="132"/>
      <c r="DG761" s="132"/>
      <c r="DH761" s="132"/>
      <c r="DI761" s="132"/>
      <c r="DJ761" s="132"/>
      <c r="DK761" s="132"/>
      <c r="DL761" s="132"/>
      <c r="DM761" s="132"/>
      <c r="DN761" s="132"/>
      <c r="DO761" s="132"/>
      <c r="DP761" s="132"/>
      <c r="DQ761" s="132"/>
      <c r="DR761" s="132"/>
      <c r="DS761" s="132"/>
      <c r="DT761" s="132"/>
      <c r="DU761" s="132"/>
      <c r="DV761" s="132"/>
      <c r="DW761" s="132"/>
      <c r="DX761" s="132"/>
      <c r="DY761" s="132"/>
      <c r="DZ761" s="132"/>
      <c r="EA761" s="132"/>
      <c r="EB761" s="132"/>
      <c r="EC761" s="132"/>
      <c r="ED761" s="132"/>
      <c r="EE761" s="132"/>
      <c r="EF761" s="132"/>
      <c r="EG761" s="132"/>
      <c r="EH761" s="132"/>
      <c r="EI761" s="132"/>
      <c r="EJ761" s="132"/>
      <c r="EK761" s="132"/>
      <c r="EL761" s="132"/>
      <c r="EM761" s="132"/>
      <c r="EN761" s="132"/>
      <c r="EO761" s="132"/>
      <c r="EP761" s="132"/>
      <c r="EQ761" s="132"/>
      <c r="ER761" s="132"/>
      <c r="ES761" s="132"/>
      <c r="ET761" s="132"/>
      <c r="EU761" s="132"/>
      <c r="EV761" s="132"/>
      <c r="EW761" s="132"/>
      <c r="EX761" s="132"/>
      <c r="EY761" s="132"/>
      <c r="EZ761" s="132"/>
      <c r="FA761" s="132"/>
      <c r="FB761" s="132"/>
      <c r="FC761" s="132"/>
      <c r="FD761" s="132"/>
      <c r="FE761" s="132"/>
      <c r="FF761" s="132"/>
      <c r="FG761" s="132"/>
      <c r="FH761" s="132"/>
      <c r="FI761" s="132"/>
      <c r="FJ761" s="132"/>
      <c r="FK761" s="132"/>
      <c r="FL761" s="132"/>
      <c r="FM761" s="132"/>
      <c r="FN761" s="132"/>
      <c r="FO761" s="132"/>
      <c r="FP761" s="132"/>
      <c r="FQ761" s="132"/>
      <c r="FR761" s="132"/>
      <c r="FS761" s="132"/>
      <c r="FT761" s="132"/>
      <c r="FU761" s="132"/>
      <c r="FV761" s="132"/>
      <c r="FW761" s="132"/>
      <c r="FX761" s="132"/>
      <c r="FY761" s="132"/>
      <c r="FZ761" s="132"/>
      <c r="GA761" s="132"/>
      <c r="GB761" s="132"/>
      <c r="GC761" s="132"/>
      <c r="GD761" s="132"/>
      <c r="GE761" s="132"/>
      <c r="GF761" s="132"/>
      <c r="GG761" s="132"/>
      <c r="GH761" s="132"/>
      <c r="GI761" s="132"/>
      <c r="GJ761" s="132"/>
      <c r="GK761" s="132"/>
      <c r="GL761" s="132"/>
      <c r="GM761" s="132"/>
      <c r="GN761" s="132"/>
      <c r="GO761" s="132"/>
      <c r="GP761" s="132"/>
      <c r="GQ761" s="132"/>
      <c r="GR761" s="132"/>
      <c r="GS761" s="132"/>
      <c r="GT761" s="132"/>
      <c r="GU761" s="132"/>
      <c r="GV761" s="132"/>
      <c r="GW761" s="132"/>
      <c r="GX761" s="132"/>
      <c r="GY761" s="132"/>
      <c r="GZ761" s="132"/>
      <c r="HA761" s="132"/>
      <c r="HB761" s="132"/>
      <c r="HC761" s="132"/>
      <c r="HD761" s="132"/>
      <c r="HE761" s="132"/>
      <c r="HF761" s="132"/>
      <c r="HG761" s="132"/>
      <c r="HH761" s="132"/>
      <c r="HI761" s="132"/>
      <c r="HJ761" s="132"/>
      <c r="HK761" s="132"/>
      <c r="HL761" s="132"/>
      <c r="HM761" s="132"/>
      <c r="HN761" s="132"/>
      <c r="HO761" s="132"/>
      <c r="HP761" s="132"/>
      <c r="HQ761" s="132"/>
      <c r="HR761" s="132"/>
      <c r="HS761" s="132"/>
      <c r="HT761" s="132"/>
      <c r="HU761" s="132"/>
      <c r="HV761" s="132"/>
      <c r="HW761" s="132"/>
      <c r="HX761" s="132"/>
      <c r="HY761" s="132"/>
      <c r="HZ761" s="132"/>
      <c r="IA761" s="132"/>
      <c r="IB761" s="132"/>
      <c r="IC761" s="132"/>
      <c r="ID761" s="132"/>
      <c r="IE761" s="132"/>
      <c r="IF761" s="132"/>
      <c r="IG761" s="132"/>
      <c r="IH761" s="132"/>
      <c r="II761" s="132"/>
      <c r="IJ761" s="132"/>
      <c r="IK761" s="132"/>
      <c r="IL761" s="132"/>
      <c r="IM761" s="132"/>
      <c r="IN761" s="132"/>
      <c r="IO761" s="132"/>
      <c r="IP761" s="132"/>
      <c r="IQ761" s="132"/>
      <c r="IR761" s="132"/>
      <c r="IS761" s="132"/>
      <c r="IT761" s="132"/>
      <c r="IU761" s="132"/>
      <c r="IV761" s="132"/>
      <c r="IW761" s="132"/>
      <c r="IX761" s="132"/>
      <c r="IY761" s="132"/>
      <c r="IZ761" s="132"/>
      <c r="JA761" s="132"/>
      <c r="JB761" s="132"/>
      <c r="JC761" s="132"/>
      <c r="JD761" s="132"/>
      <c r="JE761" s="132"/>
      <c r="JF761" s="132"/>
      <c r="JG761" s="132"/>
      <c r="JH761" s="132"/>
      <c r="JI761" s="132"/>
      <c r="JJ761" s="132"/>
      <c r="JK761" s="132"/>
      <c r="JL761" s="132"/>
      <c r="JM761" s="132"/>
      <c r="JN761" s="132"/>
      <c r="JO761" s="132"/>
      <c r="JP761" s="132"/>
      <c r="JQ761" s="132"/>
      <c r="JR761" s="132"/>
      <c r="JS761" s="132"/>
      <c r="JT761" s="132"/>
      <c r="JU761" s="132"/>
      <c r="JV761" s="132"/>
      <c r="JW761" s="132"/>
      <c r="JX761" s="132"/>
      <c r="JY761" s="132"/>
      <c r="JZ761" s="132"/>
      <c r="KA761" s="132"/>
      <c r="KB761" s="132"/>
      <c r="KC761" s="132"/>
      <c r="KD761" s="132"/>
      <c r="KE761" s="132"/>
      <c r="KF761" s="132"/>
      <c r="KG761" s="132"/>
      <c r="KH761" s="132"/>
      <c r="KI761" s="132"/>
      <c r="KJ761" s="132"/>
      <c r="KK761" s="132"/>
      <c r="KL761" s="132"/>
      <c r="KM761" s="132"/>
      <c r="KN761" s="132"/>
      <c r="KO761" s="132"/>
      <c r="KP761" s="132"/>
      <c r="KQ761" s="132"/>
      <c r="KR761" s="132"/>
      <c r="KS761" s="132"/>
      <c r="KT761" s="132"/>
      <c r="KU761" s="132"/>
      <c r="KV761" s="132"/>
      <c r="KW761" s="132"/>
      <c r="KX761" s="132"/>
      <c r="KY761" s="132"/>
      <c r="KZ761" s="132"/>
      <c r="LA761" s="132"/>
      <c r="LB761" s="132"/>
      <c r="LC761" s="132"/>
      <c r="LD761" s="132"/>
      <c r="LE761" s="132"/>
      <c r="LF761" s="132"/>
      <c r="LG761" s="132"/>
      <c r="LH761" s="132"/>
      <c r="LI761" s="132"/>
      <c r="LJ761" s="132"/>
      <c r="LK761" s="132"/>
      <c r="LL761" s="132"/>
      <c r="LM761" s="132"/>
      <c r="LN761" s="132"/>
      <c r="LO761" s="132"/>
      <c r="LP761" s="132"/>
      <c r="LQ761" s="132"/>
      <c r="LR761" s="132"/>
      <c r="LS761" s="132"/>
      <c r="LT761" s="132"/>
      <c r="LU761" s="132"/>
      <c r="LV761" s="132"/>
      <c r="LW761" s="132"/>
      <c r="LX761" s="132"/>
      <c r="LY761" s="132"/>
      <c r="LZ761" s="132"/>
      <c r="MA761" s="132"/>
      <c r="MB761" s="132"/>
      <c r="MC761" s="132"/>
      <c r="MD761" s="132"/>
      <c r="ME761" s="132"/>
      <c r="MF761" s="132"/>
      <c r="MG761" s="132"/>
      <c r="MH761" s="132"/>
      <c r="MI761" s="132"/>
      <c r="MJ761" s="132"/>
      <c r="MK761" s="132"/>
      <c r="ML761" s="132"/>
      <c r="MM761" s="132"/>
      <c r="MN761" s="132"/>
      <c r="MO761" s="132"/>
      <c r="MP761" s="132"/>
      <c r="MQ761" s="132"/>
      <c r="MR761" s="132"/>
      <c r="MS761" s="132"/>
      <c r="MT761" s="132"/>
      <c r="MU761" s="132"/>
      <c r="MV761" s="132"/>
      <c r="MW761" s="132"/>
      <c r="MX761" s="132"/>
      <c r="MY761" s="132"/>
      <c r="MZ761" s="132"/>
      <c r="NA761" s="132"/>
      <c r="NB761" s="132"/>
      <c r="NC761" s="132"/>
      <c r="ND761" s="132"/>
      <c r="NE761" s="132"/>
      <c r="NF761" s="132"/>
      <c r="NG761" s="132"/>
      <c r="NH761" s="132"/>
      <c r="NI761" s="132"/>
      <c r="NJ761" s="132"/>
      <c r="NK761" s="132"/>
      <c r="NL761" s="132"/>
      <c r="NM761" s="132"/>
      <c r="NN761" s="132"/>
      <c r="NO761" s="132"/>
      <c r="NP761" s="132"/>
      <c r="NQ761" s="132"/>
      <c r="NR761" s="132"/>
      <c r="NS761" s="132"/>
      <c r="NT761" s="132"/>
      <c r="NU761" s="132"/>
      <c r="NV761" s="132"/>
      <c r="NW761" s="132"/>
      <c r="NX761" s="132"/>
      <c r="NY761" s="132"/>
      <c r="NZ761" s="132"/>
      <c r="OA761" s="132"/>
      <c r="OB761" s="132"/>
      <c r="OC761" s="132"/>
      <c r="OD761" s="132"/>
      <c r="OE761" s="132"/>
      <c r="OF761" s="132"/>
      <c r="OG761" s="132"/>
      <c r="OH761" s="132"/>
      <c r="OI761" s="132"/>
      <c r="OJ761" s="132"/>
      <c r="OK761" s="132"/>
      <c r="OL761" s="132"/>
      <c r="OM761" s="132"/>
      <c r="ON761" s="132"/>
      <c r="OO761" s="132"/>
      <c r="OP761" s="132"/>
      <c r="OQ761" s="132"/>
      <c r="OR761" s="132"/>
      <c r="OS761" s="132"/>
      <c r="OT761" s="132"/>
      <c r="OU761" s="132"/>
      <c r="OV761" s="132"/>
      <c r="OW761" s="132"/>
      <c r="OX761" s="132"/>
      <c r="OY761" s="132"/>
      <c r="OZ761" s="132"/>
      <c r="PA761" s="132"/>
      <c r="PB761" s="132"/>
      <c r="PC761" s="132"/>
      <c r="PD761" s="132"/>
      <c r="PE761" s="132"/>
      <c r="PF761" s="132"/>
      <c r="PG761" s="132"/>
      <c r="PH761" s="132"/>
      <c r="PI761" s="132"/>
      <c r="PJ761" s="132"/>
      <c r="PK761" s="132"/>
      <c r="PL761" s="132"/>
      <c r="PM761" s="132"/>
      <c r="PN761" s="132"/>
      <c r="PO761" s="132"/>
      <c r="PP761" s="132"/>
      <c r="PQ761" s="132"/>
      <c r="PR761" s="132"/>
      <c r="PS761" s="132"/>
      <c r="PT761" s="132"/>
      <c r="PU761" s="132"/>
      <c r="PV761" s="132"/>
      <c r="PW761" s="132"/>
      <c r="PX761" s="132"/>
      <c r="PY761" s="132"/>
      <c r="PZ761" s="132"/>
      <c r="QA761" s="132"/>
      <c r="QB761" s="132"/>
      <c r="QC761" s="132"/>
      <c r="QD761" s="132"/>
      <c r="QE761" s="132"/>
      <c r="QF761" s="132"/>
      <c r="QG761" s="132"/>
      <c r="QH761" s="132"/>
      <c r="QI761" s="132"/>
      <c r="QJ761" s="132"/>
      <c r="QK761" s="132"/>
      <c r="QL761" s="132"/>
      <c r="QM761" s="132"/>
      <c r="QN761" s="132"/>
      <c r="QO761" s="132"/>
      <c r="QP761" s="132"/>
      <c r="QQ761" s="132"/>
      <c r="QR761" s="132"/>
      <c r="QS761" s="132"/>
      <c r="QT761" s="132"/>
      <c r="QU761" s="132"/>
      <c r="QV761" s="132"/>
      <c r="QW761" s="132"/>
      <c r="QX761" s="132"/>
      <c r="QY761" s="132"/>
      <c r="QZ761" s="132"/>
      <c r="RA761" s="132"/>
      <c r="RB761" s="132"/>
      <c r="RC761" s="132"/>
      <c r="RD761" s="132"/>
      <c r="RE761" s="132"/>
      <c r="RF761" s="132"/>
      <c r="RG761" s="132"/>
      <c r="RH761" s="132"/>
      <c r="RI761" s="132"/>
      <c r="RJ761" s="132"/>
      <c r="RK761" s="132"/>
      <c r="RL761" s="132"/>
      <c r="RM761" s="132"/>
      <c r="RN761" s="132"/>
      <c r="RO761" s="132"/>
      <c r="RP761" s="132"/>
      <c r="RQ761" s="132"/>
      <c r="RR761" s="132"/>
      <c r="RS761" s="132"/>
      <c r="RT761" s="132"/>
      <c r="RU761" s="132"/>
      <c r="RV761" s="132"/>
      <c r="RW761" s="132"/>
      <c r="RX761" s="132"/>
      <c r="RY761" s="132"/>
      <c r="RZ761" s="132"/>
      <c r="SA761" s="132"/>
      <c r="SB761" s="132"/>
      <c r="SC761" s="132"/>
      <c r="SD761" s="132"/>
      <c r="SE761" s="132"/>
      <c r="SF761" s="132"/>
      <c r="SG761" s="132"/>
      <c r="SH761" s="132"/>
      <c r="SI761" s="132"/>
      <c r="SJ761" s="132"/>
      <c r="SK761" s="132"/>
      <c r="SL761" s="132"/>
      <c r="SM761" s="132"/>
      <c r="SN761" s="132"/>
      <c r="SO761" s="132"/>
      <c r="SP761" s="132"/>
      <c r="SQ761" s="132"/>
      <c r="SR761" s="132"/>
      <c r="SS761" s="132"/>
      <c r="ST761" s="132"/>
      <c r="SU761" s="132"/>
      <c r="SV761" s="132"/>
      <c r="SW761" s="132"/>
      <c r="SX761" s="132"/>
      <c r="SY761" s="132"/>
      <c r="SZ761" s="132"/>
      <c r="TA761" s="132"/>
      <c r="TB761" s="132"/>
      <c r="TC761" s="132"/>
      <c r="TD761" s="132"/>
      <c r="TE761" s="132"/>
      <c r="TF761" s="132"/>
      <c r="TG761" s="132"/>
      <c r="TH761" s="132"/>
      <c r="TI761" s="132"/>
      <c r="TJ761" s="132"/>
      <c r="TK761" s="132"/>
      <c r="TL761" s="132"/>
      <c r="TM761" s="132"/>
      <c r="TN761" s="132"/>
      <c r="TO761" s="132"/>
      <c r="TP761" s="132"/>
      <c r="TQ761" s="132"/>
      <c r="TR761" s="132"/>
      <c r="TS761" s="132"/>
      <c r="TT761" s="132"/>
      <c r="TU761" s="132"/>
      <c r="TV761" s="132"/>
      <c r="TW761" s="132"/>
      <c r="TX761" s="132"/>
      <c r="TY761" s="132"/>
      <c r="TZ761" s="132"/>
      <c r="UA761" s="132"/>
      <c r="UB761" s="132"/>
      <c r="UC761" s="132"/>
      <c r="UD761" s="132"/>
      <c r="UE761" s="132"/>
      <c r="UF761" s="132"/>
      <c r="UG761" s="132"/>
    </row>
    <row r="762" spans="1:553" ht="30.75" customHeight="1">
      <c r="A762" s="366"/>
      <c r="B762" s="366">
        <v>242</v>
      </c>
      <c r="C762" s="1401" t="s">
        <v>957</v>
      </c>
      <c r="D762" s="1389"/>
      <c r="E762" s="1389"/>
      <c r="F762" s="1390"/>
      <c r="G762" s="366" t="s">
        <v>33</v>
      </c>
      <c r="H762" s="622"/>
      <c r="I762" s="626">
        <f>3*2.5</f>
        <v>7.5</v>
      </c>
      <c r="J762" s="369">
        <v>279800</v>
      </c>
      <c r="K762" s="371"/>
      <c r="L762" s="627">
        <f t="shared" si="116"/>
        <v>2098500</v>
      </c>
      <c r="M762" s="366"/>
      <c r="N762" s="366"/>
      <c r="O762" s="366"/>
      <c r="P762" s="366"/>
      <c r="Q762" s="1151"/>
      <c r="R762" s="1226"/>
      <c r="S762" s="308"/>
      <c r="T762" s="308"/>
      <c r="U762" s="308"/>
      <c r="V762" s="308"/>
      <c r="W762" s="308"/>
      <c r="X762" s="308"/>
      <c r="Y762" s="308"/>
      <c r="Z762" s="604"/>
      <c r="AA762" s="308"/>
      <c r="AB762" s="308"/>
      <c r="AC762" s="625"/>
      <c r="AD762" s="625"/>
      <c r="AE762" s="625"/>
      <c r="AF762" s="625"/>
      <c r="AG762" s="625"/>
      <c r="AH762" s="625"/>
      <c r="AI762" s="625"/>
      <c r="AJ762" s="625"/>
      <c r="AK762" s="625"/>
      <c r="AL762" s="133"/>
      <c r="AM762" s="133"/>
      <c r="AN762" s="133"/>
      <c r="AO762" s="133"/>
      <c r="AP762" s="133"/>
      <c r="AQ762" s="133"/>
      <c r="AR762" s="133"/>
      <c r="AS762" s="133"/>
      <c r="AT762" s="133"/>
      <c r="AU762" s="133"/>
      <c r="AV762" s="133"/>
      <c r="AW762" s="133"/>
      <c r="AX762" s="133"/>
      <c r="AY762" s="133"/>
      <c r="AZ762" s="133"/>
      <c r="BA762" s="133"/>
      <c r="BB762" s="133"/>
      <c r="BC762" s="133"/>
      <c r="BD762" s="133"/>
      <c r="BE762" s="133"/>
      <c r="BF762" s="133"/>
      <c r="BG762" s="133"/>
      <c r="BH762" s="133"/>
      <c r="BI762" s="133"/>
      <c r="BJ762" s="133"/>
      <c r="BK762" s="133"/>
      <c r="BL762" s="133"/>
      <c r="BM762" s="133"/>
      <c r="BN762" s="133"/>
      <c r="BO762" s="133"/>
      <c r="BP762" s="133"/>
      <c r="BQ762" s="132"/>
      <c r="BR762" s="132"/>
      <c r="BS762" s="132"/>
      <c r="BT762" s="132"/>
      <c r="BU762" s="132"/>
      <c r="BV762" s="132"/>
      <c r="BW762" s="132"/>
      <c r="BX762" s="132"/>
      <c r="BY762" s="132"/>
      <c r="BZ762" s="132"/>
      <c r="CA762" s="132"/>
      <c r="CB762" s="132"/>
      <c r="CC762" s="132"/>
      <c r="CD762" s="132"/>
      <c r="CE762" s="132"/>
      <c r="CF762" s="132"/>
      <c r="CG762" s="132"/>
      <c r="CH762" s="132"/>
      <c r="CI762" s="132"/>
      <c r="CJ762" s="132"/>
      <c r="CK762" s="132"/>
      <c r="CL762" s="132"/>
      <c r="CM762" s="132"/>
      <c r="CN762" s="132"/>
      <c r="CO762" s="132"/>
      <c r="CP762" s="132"/>
      <c r="CQ762" s="132"/>
      <c r="CR762" s="132"/>
      <c r="CS762" s="132"/>
      <c r="CT762" s="132"/>
      <c r="CU762" s="132"/>
      <c r="CV762" s="132"/>
      <c r="CW762" s="132"/>
      <c r="CX762" s="132"/>
      <c r="CY762" s="132"/>
      <c r="CZ762" s="132"/>
      <c r="DA762" s="132"/>
      <c r="DB762" s="132"/>
      <c r="DC762" s="132"/>
      <c r="DD762" s="132"/>
      <c r="DE762" s="132"/>
      <c r="DF762" s="132"/>
      <c r="DG762" s="132"/>
      <c r="DH762" s="132"/>
      <c r="DI762" s="132"/>
      <c r="DJ762" s="132"/>
      <c r="DK762" s="132"/>
      <c r="DL762" s="132"/>
      <c r="DM762" s="132"/>
      <c r="DN762" s="132"/>
      <c r="DO762" s="132"/>
      <c r="DP762" s="132"/>
      <c r="DQ762" s="132"/>
      <c r="DR762" s="132"/>
      <c r="DS762" s="132"/>
      <c r="DT762" s="132"/>
      <c r="DU762" s="132"/>
      <c r="DV762" s="132"/>
      <c r="DW762" s="132"/>
      <c r="DX762" s="132"/>
      <c r="DY762" s="132"/>
      <c r="DZ762" s="132"/>
      <c r="EA762" s="132"/>
      <c r="EB762" s="132"/>
      <c r="EC762" s="132"/>
      <c r="ED762" s="132"/>
      <c r="EE762" s="132"/>
      <c r="EF762" s="132"/>
      <c r="EG762" s="132"/>
      <c r="EH762" s="132"/>
      <c r="EI762" s="132"/>
      <c r="EJ762" s="132"/>
      <c r="EK762" s="132"/>
      <c r="EL762" s="132"/>
      <c r="EM762" s="132"/>
      <c r="EN762" s="132"/>
      <c r="EO762" s="132"/>
      <c r="EP762" s="132"/>
      <c r="EQ762" s="132"/>
      <c r="ER762" s="132"/>
      <c r="ES762" s="132"/>
      <c r="ET762" s="132"/>
      <c r="EU762" s="132"/>
      <c r="EV762" s="132"/>
      <c r="EW762" s="132"/>
      <c r="EX762" s="132"/>
      <c r="EY762" s="132"/>
      <c r="EZ762" s="132"/>
      <c r="FA762" s="132"/>
      <c r="FB762" s="132"/>
      <c r="FC762" s="132"/>
      <c r="FD762" s="132"/>
      <c r="FE762" s="132"/>
      <c r="FF762" s="132"/>
      <c r="FG762" s="132"/>
      <c r="FH762" s="132"/>
      <c r="FI762" s="132"/>
      <c r="FJ762" s="132"/>
      <c r="FK762" s="132"/>
      <c r="FL762" s="132"/>
      <c r="FM762" s="132"/>
      <c r="FN762" s="132"/>
      <c r="FO762" s="132"/>
      <c r="FP762" s="132"/>
      <c r="FQ762" s="132"/>
      <c r="FR762" s="132"/>
      <c r="FS762" s="132"/>
      <c r="FT762" s="132"/>
      <c r="FU762" s="132"/>
      <c r="FV762" s="132"/>
      <c r="FW762" s="132"/>
      <c r="FX762" s="132"/>
      <c r="FY762" s="132"/>
      <c r="FZ762" s="132"/>
      <c r="GA762" s="132"/>
      <c r="GB762" s="132"/>
      <c r="GC762" s="132"/>
      <c r="GD762" s="132"/>
      <c r="GE762" s="132"/>
      <c r="GF762" s="132"/>
      <c r="GG762" s="132"/>
      <c r="GH762" s="132"/>
      <c r="GI762" s="132"/>
      <c r="GJ762" s="132"/>
      <c r="GK762" s="132"/>
      <c r="GL762" s="132"/>
      <c r="GM762" s="132"/>
      <c r="GN762" s="132"/>
      <c r="GO762" s="132"/>
      <c r="GP762" s="132"/>
      <c r="GQ762" s="132"/>
      <c r="GR762" s="132"/>
      <c r="GS762" s="132"/>
      <c r="GT762" s="132"/>
      <c r="GU762" s="132"/>
      <c r="GV762" s="132"/>
      <c r="GW762" s="132"/>
      <c r="GX762" s="132"/>
      <c r="GY762" s="132"/>
      <c r="GZ762" s="132"/>
      <c r="HA762" s="132"/>
      <c r="HB762" s="132"/>
      <c r="HC762" s="132"/>
      <c r="HD762" s="132"/>
      <c r="HE762" s="132"/>
      <c r="HF762" s="132"/>
      <c r="HG762" s="132"/>
      <c r="HH762" s="132"/>
      <c r="HI762" s="132"/>
      <c r="HJ762" s="132"/>
      <c r="HK762" s="132"/>
      <c r="HL762" s="132"/>
      <c r="HM762" s="132"/>
      <c r="HN762" s="132"/>
      <c r="HO762" s="132"/>
      <c r="HP762" s="132"/>
      <c r="HQ762" s="132"/>
      <c r="HR762" s="132"/>
      <c r="HS762" s="132"/>
      <c r="HT762" s="132"/>
      <c r="HU762" s="132"/>
      <c r="HV762" s="132"/>
      <c r="HW762" s="132"/>
      <c r="HX762" s="132"/>
      <c r="HY762" s="132"/>
      <c r="HZ762" s="132"/>
      <c r="IA762" s="132"/>
      <c r="IB762" s="132"/>
      <c r="IC762" s="132"/>
      <c r="ID762" s="132"/>
      <c r="IE762" s="132"/>
      <c r="IF762" s="132"/>
      <c r="IG762" s="132"/>
      <c r="IH762" s="132"/>
      <c r="II762" s="132"/>
      <c r="IJ762" s="132"/>
      <c r="IK762" s="132"/>
      <c r="IL762" s="132"/>
      <c r="IM762" s="132"/>
      <c r="IN762" s="132"/>
      <c r="IO762" s="132"/>
      <c r="IP762" s="132"/>
      <c r="IQ762" s="132"/>
      <c r="IR762" s="132"/>
      <c r="IS762" s="132"/>
      <c r="IT762" s="132"/>
      <c r="IU762" s="132"/>
      <c r="IV762" s="132"/>
      <c r="IW762" s="132"/>
      <c r="IX762" s="132"/>
      <c r="IY762" s="132"/>
      <c r="IZ762" s="132"/>
      <c r="JA762" s="132"/>
      <c r="JB762" s="132"/>
      <c r="JC762" s="132"/>
      <c r="JD762" s="132"/>
      <c r="JE762" s="132"/>
      <c r="JF762" s="132"/>
      <c r="JG762" s="132"/>
      <c r="JH762" s="132"/>
      <c r="JI762" s="132"/>
      <c r="JJ762" s="132"/>
      <c r="JK762" s="132"/>
      <c r="JL762" s="132"/>
      <c r="JM762" s="132"/>
      <c r="JN762" s="132"/>
      <c r="JO762" s="132"/>
      <c r="JP762" s="132"/>
      <c r="JQ762" s="132"/>
      <c r="JR762" s="132"/>
      <c r="JS762" s="132"/>
      <c r="JT762" s="132"/>
      <c r="JU762" s="132"/>
      <c r="JV762" s="132"/>
      <c r="JW762" s="132"/>
      <c r="JX762" s="132"/>
      <c r="JY762" s="132"/>
      <c r="JZ762" s="132"/>
      <c r="KA762" s="132"/>
      <c r="KB762" s="132"/>
      <c r="KC762" s="132"/>
      <c r="KD762" s="132"/>
      <c r="KE762" s="132"/>
      <c r="KF762" s="132"/>
      <c r="KG762" s="132"/>
      <c r="KH762" s="132"/>
      <c r="KI762" s="132"/>
      <c r="KJ762" s="132"/>
      <c r="KK762" s="132"/>
      <c r="KL762" s="132"/>
      <c r="KM762" s="132"/>
      <c r="KN762" s="132"/>
      <c r="KO762" s="132"/>
      <c r="KP762" s="132"/>
      <c r="KQ762" s="132"/>
      <c r="KR762" s="132"/>
      <c r="KS762" s="132"/>
      <c r="KT762" s="132"/>
      <c r="KU762" s="132"/>
      <c r="KV762" s="132"/>
      <c r="KW762" s="132"/>
      <c r="KX762" s="132"/>
      <c r="KY762" s="132"/>
      <c r="KZ762" s="132"/>
      <c r="LA762" s="132"/>
      <c r="LB762" s="132"/>
      <c r="LC762" s="132"/>
      <c r="LD762" s="132"/>
      <c r="LE762" s="132"/>
      <c r="LF762" s="132"/>
      <c r="LG762" s="132"/>
      <c r="LH762" s="132"/>
      <c r="LI762" s="132"/>
      <c r="LJ762" s="132"/>
      <c r="LK762" s="132"/>
      <c r="LL762" s="132"/>
      <c r="LM762" s="132"/>
      <c r="LN762" s="132"/>
      <c r="LO762" s="132"/>
      <c r="LP762" s="132"/>
      <c r="LQ762" s="132"/>
      <c r="LR762" s="132"/>
      <c r="LS762" s="132"/>
      <c r="LT762" s="132"/>
      <c r="LU762" s="132"/>
      <c r="LV762" s="132"/>
      <c r="LW762" s="132"/>
      <c r="LX762" s="132"/>
      <c r="LY762" s="132"/>
      <c r="LZ762" s="132"/>
      <c r="MA762" s="132"/>
      <c r="MB762" s="132"/>
      <c r="MC762" s="132"/>
      <c r="MD762" s="132"/>
      <c r="ME762" s="132"/>
      <c r="MF762" s="132"/>
      <c r="MG762" s="132"/>
      <c r="MH762" s="132"/>
      <c r="MI762" s="132"/>
      <c r="MJ762" s="132"/>
      <c r="MK762" s="132"/>
      <c r="ML762" s="132"/>
      <c r="MM762" s="132"/>
      <c r="MN762" s="132"/>
      <c r="MO762" s="132"/>
      <c r="MP762" s="132"/>
      <c r="MQ762" s="132"/>
      <c r="MR762" s="132"/>
      <c r="MS762" s="132"/>
      <c r="MT762" s="132"/>
      <c r="MU762" s="132"/>
      <c r="MV762" s="132"/>
      <c r="MW762" s="132"/>
      <c r="MX762" s="132"/>
      <c r="MY762" s="132"/>
      <c r="MZ762" s="132"/>
      <c r="NA762" s="132"/>
      <c r="NB762" s="132"/>
      <c r="NC762" s="132"/>
      <c r="ND762" s="132"/>
      <c r="NE762" s="132"/>
      <c r="NF762" s="132"/>
      <c r="NG762" s="132"/>
      <c r="NH762" s="132"/>
      <c r="NI762" s="132"/>
      <c r="NJ762" s="132"/>
      <c r="NK762" s="132"/>
      <c r="NL762" s="132"/>
      <c r="NM762" s="132"/>
      <c r="NN762" s="132"/>
      <c r="NO762" s="132"/>
      <c r="NP762" s="132"/>
      <c r="NQ762" s="132"/>
      <c r="NR762" s="132"/>
      <c r="NS762" s="132"/>
      <c r="NT762" s="132"/>
      <c r="NU762" s="132"/>
      <c r="NV762" s="132"/>
      <c r="NW762" s="132"/>
      <c r="NX762" s="132"/>
      <c r="NY762" s="132"/>
      <c r="NZ762" s="132"/>
      <c r="OA762" s="132"/>
      <c r="OB762" s="132"/>
      <c r="OC762" s="132"/>
      <c r="OD762" s="132"/>
      <c r="OE762" s="132"/>
      <c r="OF762" s="132"/>
      <c r="OG762" s="132"/>
      <c r="OH762" s="132"/>
      <c r="OI762" s="132"/>
      <c r="OJ762" s="132"/>
      <c r="OK762" s="132"/>
      <c r="OL762" s="132"/>
      <c r="OM762" s="132"/>
      <c r="ON762" s="132"/>
      <c r="OO762" s="132"/>
      <c r="OP762" s="132"/>
      <c r="OQ762" s="132"/>
      <c r="OR762" s="132"/>
      <c r="OS762" s="132"/>
      <c r="OT762" s="132"/>
      <c r="OU762" s="132"/>
      <c r="OV762" s="132"/>
      <c r="OW762" s="132"/>
      <c r="OX762" s="132"/>
      <c r="OY762" s="132"/>
      <c r="OZ762" s="132"/>
      <c r="PA762" s="132"/>
      <c r="PB762" s="132"/>
      <c r="PC762" s="132"/>
      <c r="PD762" s="132"/>
      <c r="PE762" s="132"/>
      <c r="PF762" s="132"/>
      <c r="PG762" s="132"/>
      <c r="PH762" s="132"/>
      <c r="PI762" s="132"/>
      <c r="PJ762" s="132"/>
      <c r="PK762" s="132"/>
      <c r="PL762" s="132"/>
      <c r="PM762" s="132"/>
      <c r="PN762" s="132"/>
      <c r="PO762" s="132"/>
      <c r="PP762" s="132"/>
      <c r="PQ762" s="132"/>
      <c r="PR762" s="132"/>
      <c r="PS762" s="132"/>
      <c r="PT762" s="132"/>
      <c r="PU762" s="132"/>
      <c r="PV762" s="132"/>
      <c r="PW762" s="132"/>
      <c r="PX762" s="132"/>
      <c r="PY762" s="132"/>
      <c r="PZ762" s="132"/>
      <c r="QA762" s="132"/>
      <c r="QB762" s="132"/>
      <c r="QC762" s="132"/>
      <c r="QD762" s="132"/>
      <c r="QE762" s="132"/>
      <c r="QF762" s="132"/>
      <c r="QG762" s="132"/>
      <c r="QH762" s="132"/>
      <c r="QI762" s="132"/>
      <c r="QJ762" s="132"/>
      <c r="QK762" s="132"/>
      <c r="QL762" s="132"/>
      <c r="QM762" s="132"/>
      <c r="QN762" s="132"/>
      <c r="QO762" s="132"/>
      <c r="QP762" s="132"/>
      <c r="QQ762" s="132"/>
      <c r="QR762" s="132"/>
      <c r="QS762" s="132"/>
      <c r="QT762" s="132"/>
      <c r="QU762" s="132"/>
      <c r="QV762" s="132"/>
      <c r="QW762" s="132"/>
      <c r="QX762" s="132"/>
      <c r="QY762" s="132"/>
      <c r="QZ762" s="132"/>
      <c r="RA762" s="132"/>
      <c r="RB762" s="132"/>
      <c r="RC762" s="132"/>
      <c r="RD762" s="132"/>
      <c r="RE762" s="132"/>
      <c r="RF762" s="132"/>
      <c r="RG762" s="132"/>
      <c r="RH762" s="132"/>
      <c r="RI762" s="132"/>
      <c r="RJ762" s="132"/>
      <c r="RK762" s="132"/>
      <c r="RL762" s="132"/>
      <c r="RM762" s="132"/>
      <c r="RN762" s="132"/>
      <c r="RO762" s="132"/>
      <c r="RP762" s="132"/>
      <c r="RQ762" s="132"/>
      <c r="RR762" s="132"/>
      <c r="RS762" s="132"/>
      <c r="RT762" s="132"/>
      <c r="RU762" s="132"/>
      <c r="RV762" s="132"/>
      <c r="RW762" s="132"/>
      <c r="RX762" s="132"/>
      <c r="RY762" s="132"/>
      <c r="RZ762" s="132"/>
      <c r="SA762" s="132"/>
      <c r="SB762" s="132"/>
      <c r="SC762" s="132"/>
      <c r="SD762" s="132"/>
      <c r="SE762" s="132"/>
      <c r="SF762" s="132"/>
      <c r="SG762" s="132"/>
      <c r="SH762" s="132"/>
      <c r="SI762" s="132"/>
      <c r="SJ762" s="132"/>
      <c r="SK762" s="132"/>
      <c r="SL762" s="132"/>
      <c r="SM762" s="132"/>
      <c r="SN762" s="132"/>
      <c r="SO762" s="132"/>
      <c r="SP762" s="132"/>
      <c r="SQ762" s="132"/>
      <c r="SR762" s="132"/>
      <c r="SS762" s="132"/>
      <c r="ST762" s="132"/>
      <c r="SU762" s="132"/>
      <c r="SV762" s="132"/>
      <c r="SW762" s="132"/>
      <c r="SX762" s="132"/>
      <c r="SY762" s="132"/>
      <c r="SZ762" s="132"/>
      <c r="TA762" s="132"/>
      <c r="TB762" s="132"/>
      <c r="TC762" s="132"/>
      <c r="TD762" s="132"/>
      <c r="TE762" s="132"/>
      <c r="TF762" s="132"/>
      <c r="TG762" s="132"/>
      <c r="TH762" s="132"/>
      <c r="TI762" s="132"/>
      <c r="TJ762" s="132"/>
      <c r="TK762" s="132"/>
      <c r="TL762" s="132"/>
      <c r="TM762" s="132"/>
      <c r="TN762" s="132"/>
      <c r="TO762" s="132"/>
      <c r="TP762" s="132"/>
      <c r="TQ762" s="132"/>
      <c r="TR762" s="132"/>
      <c r="TS762" s="132"/>
      <c r="TT762" s="132"/>
      <c r="TU762" s="132"/>
      <c r="TV762" s="132"/>
      <c r="TW762" s="132"/>
      <c r="TX762" s="132"/>
      <c r="TY762" s="132"/>
      <c r="TZ762" s="132"/>
      <c r="UA762" s="132"/>
      <c r="UB762" s="132"/>
      <c r="UC762" s="132"/>
      <c r="UD762" s="132"/>
      <c r="UE762" s="132"/>
      <c r="UF762" s="132"/>
      <c r="UG762" s="132"/>
    </row>
    <row r="763" spans="1:553" ht="30.75" customHeight="1">
      <c r="A763" s="366"/>
      <c r="B763" s="366">
        <v>178</v>
      </c>
      <c r="C763" s="1401" t="s">
        <v>997</v>
      </c>
      <c r="D763" s="1389"/>
      <c r="E763" s="1389"/>
      <c r="F763" s="1390"/>
      <c r="G763" s="366" t="s">
        <v>113</v>
      </c>
      <c r="H763" s="622"/>
      <c r="I763" s="626">
        <f>13+18+6+8+18+8+26+26+5+75+222+260</f>
        <v>685</v>
      </c>
      <c r="J763" s="369">
        <v>114600</v>
      </c>
      <c r="K763" s="371"/>
      <c r="L763" s="627">
        <f t="shared" si="116"/>
        <v>78501000</v>
      </c>
      <c r="M763" s="366"/>
      <c r="N763" s="366"/>
      <c r="O763" s="366"/>
      <c r="P763" s="366"/>
      <c r="Q763" s="1151"/>
      <c r="R763" s="1226"/>
      <c r="S763" s="308"/>
      <c r="T763" s="308"/>
      <c r="U763" s="308"/>
      <c r="V763" s="308"/>
      <c r="W763" s="308"/>
      <c r="X763" s="308"/>
      <c r="Y763" s="308"/>
      <c r="Z763" s="604"/>
      <c r="AA763" s="308"/>
      <c r="AB763" s="308"/>
      <c r="AC763" s="625"/>
      <c r="AD763" s="625"/>
      <c r="AE763" s="625"/>
      <c r="AF763" s="625"/>
      <c r="AG763" s="625"/>
      <c r="AH763" s="625"/>
      <c r="AI763" s="625"/>
      <c r="AJ763" s="625"/>
      <c r="AK763" s="625"/>
      <c r="AL763" s="133"/>
      <c r="AM763" s="133"/>
      <c r="AN763" s="133"/>
      <c r="AO763" s="133"/>
      <c r="AP763" s="133"/>
      <c r="AQ763" s="133"/>
      <c r="AR763" s="133"/>
      <c r="AS763" s="133"/>
      <c r="AT763" s="133"/>
      <c r="AU763" s="133"/>
      <c r="AV763" s="133"/>
      <c r="AW763" s="133"/>
      <c r="AX763" s="133"/>
      <c r="AY763" s="133"/>
      <c r="AZ763" s="133"/>
      <c r="BA763" s="133"/>
      <c r="BB763" s="133"/>
      <c r="BC763" s="133"/>
      <c r="BD763" s="133"/>
      <c r="BE763" s="133"/>
      <c r="BF763" s="133"/>
      <c r="BG763" s="133"/>
      <c r="BH763" s="133"/>
      <c r="BI763" s="133"/>
      <c r="BJ763" s="133"/>
      <c r="BK763" s="133"/>
      <c r="BL763" s="133"/>
      <c r="BM763" s="133"/>
      <c r="BN763" s="133"/>
      <c r="BO763" s="133"/>
      <c r="BP763" s="133"/>
      <c r="BQ763" s="132"/>
      <c r="BR763" s="132"/>
      <c r="BS763" s="132"/>
      <c r="BT763" s="132"/>
      <c r="BU763" s="132"/>
      <c r="BV763" s="132"/>
      <c r="BW763" s="132"/>
      <c r="BX763" s="132"/>
      <c r="BY763" s="132"/>
      <c r="BZ763" s="132"/>
      <c r="CA763" s="132"/>
      <c r="CB763" s="132"/>
      <c r="CC763" s="132"/>
      <c r="CD763" s="132"/>
      <c r="CE763" s="132"/>
      <c r="CF763" s="132"/>
      <c r="CG763" s="132"/>
      <c r="CH763" s="132"/>
      <c r="CI763" s="132"/>
      <c r="CJ763" s="132"/>
      <c r="CK763" s="132"/>
      <c r="CL763" s="132"/>
      <c r="CM763" s="132"/>
      <c r="CN763" s="132"/>
      <c r="CO763" s="132"/>
      <c r="CP763" s="132"/>
      <c r="CQ763" s="132"/>
      <c r="CR763" s="132"/>
      <c r="CS763" s="132"/>
      <c r="CT763" s="132"/>
      <c r="CU763" s="132"/>
      <c r="CV763" s="132"/>
      <c r="CW763" s="132"/>
      <c r="CX763" s="132"/>
      <c r="CY763" s="132"/>
      <c r="CZ763" s="132"/>
      <c r="DA763" s="132"/>
      <c r="DB763" s="132"/>
      <c r="DC763" s="132"/>
      <c r="DD763" s="132"/>
      <c r="DE763" s="132"/>
      <c r="DF763" s="132"/>
      <c r="DG763" s="132"/>
      <c r="DH763" s="132"/>
      <c r="DI763" s="132"/>
      <c r="DJ763" s="132"/>
      <c r="DK763" s="132"/>
      <c r="DL763" s="132"/>
      <c r="DM763" s="132"/>
      <c r="DN763" s="132"/>
      <c r="DO763" s="132"/>
      <c r="DP763" s="132"/>
      <c r="DQ763" s="132"/>
      <c r="DR763" s="132"/>
      <c r="DS763" s="132"/>
      <c r="DT763" s="132"/>
      <c r="DU763" s="132"/>
      <c r="DV763" s="132"/>
      <c r="DW763" s="132"/>
      <c r="DX763" s="132"/>
      <c r="DY763" s="132"/>
      <c r="DZ763" s="132"/>
      <c r="EA763" s="132"/>
      <c r="EB763" s="132"/>
      <c r="EC763" s="132"/>
      <c r="ED763" s="132"/>
      <c r="EE763" s="132"/>
      <c r="EF763" s="132"/>
      <c r="EG763" s="132"/>
      <c r="EH763" s="132"/>
      <c r="EI763" s="132"/>
      <c r="EJ763" s="132"/>
      <c r="EK763" s="132"/>
      <c r="EL763" s="132"/>
      <c r="EM763" s="132"/>
      <c r="EN763" s="132"/>
      <c r="EO763" s="132"/>
      <c r="EP763" s="132"/>
      <c r="EQ763" s="132"/>
      <c r="ER763" s="132"/>
      <c r="ES763" s="132"/>
      <c r="ET763" s="132"/>
      <c r="EU763" s="132"/>
      <c r="EV763" s="132"/>
      <c r="EW763" s="132"/>
      <c r="EX763" s="132"/>
      <c r="EY763" s="132"/>
      <c r="EZ763" s="132"/>
      <c r="FA763" s="132"/>
      <c r="FB763" s="132"/>
      <c r="FC763" s="132"/>
      <c r="FD763" s="132"/>
      <c r="FE763" s="132"/>
      <c r="FF763" s="132"/>
      <c r="FG763" s="132"/>
      <c r="FH763" s="132"/>
      <c r="FI763" s="132"/>
      <c r="FJ763" s="132"/>
      <c r="FK763" s="132"/>
      <c r="FL763" s="132"/>
      <c r="FM763" s="132"/>
      <c r="FN763" s="132"/>
      <c r="FO763" s="132"/>
      <c r="FP763" s="132"/>
      <c r="FQ763" s="132"/>
      <c r="FR763" s="132"/>
      <c r="FS763" s="132"/>
      <c r="FT763" s="132"/>
      <c r="FU763" s="132"/>
      <c r="FV763" s="132"/>
      <c r="FW763" s="132"/>
      <c r="FX763" s="132"/>
      <c r="FY763" s="132"/>
      <c r="FZ763" s="132"/>
      <c r="GA763" s="132"/>
      <c r="GB763" s="132"/>
      <c r="GC763" s="132"/>
      <c r="GD763" s="132"/>
      <c r="GE763" s="132"/>
      <c r="GF763" s="132"/>
      <c r="GG763" s="132"/>
      <c r="GH763" s="132"/>
      <c r="GI763" s="132"/>
      <c r="GJ763" s="132"/>
      <c r="GK763" s="132"/>
      <c r="GL763" s="132"/>
      <c r="GM763" s="132"/>
      <c r="GN763" s="132"/>
      <c r="GO763" s="132"/>
      <c r="GP763" s="132"/>
      <c r="GQ763" s="132"/>
      <c r="GR763" s="132"/>
      <c r="GS763" s="132"/>
      <c r="GT763" s="132"/>
      <c r="GU763" s="132"/>
      <c r="GV763" s="132"/>
      <c r="GW763" s="132"/>
      <c r="GX763" s="132"/>
      <c r="GY763" s="132"/>
      <c r="GZ763" s="132"/>
      <c r="HA763" s="132"/>
      <c r="HB763" s="132"/>
      <c r="HC763" s="132"/>
      <c r="HD763" s="132"/>
      <c r="HE763" s="132"/>
      <c r="HF763" s="132"/>
      <c r="HG763" s="132"/>
      <c r="HH763" s="132"/>
      <c r="HI763" s="132"/>
      <c r="HJ763" s="132"/>
      <c r="HK763" s="132"/>
      <c r="HL763" s="132"/>
      <c r="HM763" s="132"/>
      <c r="HN763" s="132"/>
      <c r="HO763" s="132"/>
      <c r="HP763" s="132"/>
      <c r="HQ763" s="132"/>
      <c r="HR763" s="132"/>
      <c r="HS763" s="132"/>
      <c r="HT763" s="132"/>
      <c r="HU763" s="132"/>
      <c r="HV763" s="132"/>
      <c r="HW763" s="132"/>
      <c r="HX763" s="132"/>
      <c r="HY763" s="132"/>
      <c r="HZ763" s="132"/>
      <c r="IA763" s="132"/>
      <c r="IB763" s="132"/>
      <c r="IC763" s="132"/>
      <c r="ID763" s="132"/>
      <c r="IE763" s="132"/>
      <c r="IF763" s="132"/>
      <c r="IG763" s="132"/>
      <c r="IH763" s="132"/>
      <c r="II763" s="132"/>
      <c r="IJ763" s="132"/>
      <c r="IK763" s="132"/>
      <c r="IL763" s="132"/>
      <c r="IM763" s="132"/>
      <c r="IN763" s="132"/>
      <c r="IO763" s="132"/>
      <c r="IP763" s="132"/>
      <c r="IQ763" s="132"/>
      <c r="IR763" s="132"/>
      <c r="IS763" s="132"/>
      <c r="IT763" s="132"/>
      <c r="IU763" s="132"/>
      <c r="IV763" s="132"/>
      <c r="IW763" s="132"/>
      <c r="IX763" s="132"/>
      <c r="IY763" s="132"/>
      <c r="IZ763" s="132"/>
      <c r="JA763" s="132"/>
      <c r="JB763" s="132"/>
      <c r="JC763" s="132"/>
      <c r="JD763" s="132"/>
      <c r="JE763" s="132"/>
      <c r="JF763" s="132"/>
      <c r="JG763" s="132"/>
      <c r="JH763" s="132"/>
      <c r="JI763" s="132"/>
      <c r="JJ763" s="132"/>
      <c r="JK763" s="132"/>
      <c r="JL763" s="132"/>
      <c r="JM763" s="132"/>
      <c r="JN763" s="132"/>
      <c r="JO763" s="132"/>
      <c r="JP763" s="132"/>
      <c r="JQ763" s="132"/>
      <c r="JR763" s="132"/>
      <c r="JS763" s="132"/>
      <c r="JT763" s="132"/>
      <c r="JU763" s="132"/>
      <c r="JV763" s="132"/>
      <c r="JW763" s="132"/>
      <c r="JX763" s="132"/>
      <c r="JY763" s="132"/>
      <c r="JZ763" s="132"/>
      <c r="KA763" s="132"/>
      <c r="KB763" s="132"/>
      <c r="KC763" s="132"/>
      <c r="KD763" s="132"/>
      <c r="KE763" s="132"/>
      <c r="KF763" s="132"/>
      <c r="KG763" s="132"/>
      <c r="KH763" s="132"/>
      <c r="KI763" s="132"/>
      <c r="KJ763" s="132"/>
      <c r="KK763" s="132"/>
      <c r="KL763" s="132"/>
      <c r="KM763" s="132"/>
      <c r="KN763" s="132"/>
      <c r="KO763" s="132"/>
      <c r="KP763" s="132"/>
      <c r="KQ763" s="132"/>
      <c r="KR763" s="132"/>
      <c r="KS763" s="132"/>
      <c r="KT763" s="132"/>
      <c r="KU763" s="132"/>
      <c r="KV763" s="132"/>
      <c r="KW763" s="132"/>
      <c r="KX763" s="132"/>
      <c r="KY763" s="132"/>
      <c r="KZ763" s="132"/>
      <c r="LA763" s="132"/>
      <c r="LB763" s="132"/>
      <c r="LC763" s="132"/>
      <c r="LD763" s="132"/>
      <c r="LE763" s="132"/>
      <c r="LF763" s="132"/>
      <c r="LG763" s="132"/>
      <c r="LH763" s="132"/>
      <c r="LI763" s="132"/>
      <c r="LJ763" s="132"/>
      <c r="LK763" s="132"/>
      <c r="LL763" s="132"/>
      <c r="LM763" s="132"/>
      <c r="LN763" s="132"/>
      <c r="LO763" s="132"/>
      <c r="LP763" s="132"/>
      <c r="LQ763" s="132"/>
      <c r="LR763" s="132"/>
      <c r="LS763" s="132"/>
      <c r="LT763" s="132"/>
      <c r="LU763" s="132"/>
      <c r="LV763" s="132"/>
      <c r="LW763" s="132"/>
      <c r="LX763" s="132"/>
      <c r="LY763" s="132"/>
      <c r="LZ763" s="132"/>
      <c r="MA763" s="132"/>
      <c r="MB763" s="132"/>
      <c r="MC763" s="132"/>
      <c r="MD763" s="132"/>
      <c r="ME763" s="132"/>
      <c r="MF763" s="132"/>
      <c r="MG763" s="132"/>
      <c r="MH763" s="132"/>
      <c r="MI763" s="132"/>
      <c r="MJ763" s="132"/>
      <c r="MK763" s="132"/>
      <c r="ML763" s="132"/>
      <c r="MM763" s="132"/>
      <c r="MN763" s="132"/>
      <c r="MO763" s="132"/>
      <c r="MP763" s="132"/>
      <c r="MQ763" s="132"/>
      <c r="MR763" s="132"/>
      <c r="MS763" s="132"/>
      <c r="MT763" s="132"/>
      <c r="MU763" s="132"/>
      <c r="MV763" s="132"/>
      <c r="MW763" s="132"/>
      <c r="MX763" s="132"/>
      <c r="MY763" s="132"/>
      <c r="MZ763" s="132"/>
      <c r="NA763" s="132"/>
      <c r="NB763" s="132"/>
      <c r="NC763" s="132"/>
      <c r="ND763" s="132"/>
      <c r="NE763" s="132"/>
      <c r="NF763" s="132"/>
      <c r="NG763" s="132"/>
      <c r="NH763" s="132"/>
      <c r="NI763" s="132"/>
      <c r="NJ763" s="132"/>
      <c r="NK763" s="132"/>
      <c r="NL763" s="132"/>
      <c r="NM763" s="132"/>
      <c r="NN763" s="132"/>
      <c r="NO763" s="132"/>
      <c r="NP763" s="132"/>
      <c r="NQ763" s="132"/>
      <c r="NR763" s="132"/>
      <c r="NS763" s="132"/>
      <c r="NT763" s="132"/>
      <c r="NU763" s="132"/>
      <c r="NV763" s="132"/>
      <c r="NW763" s="132"/>
      <c r="NX763" s="132"/>
      <c r="NY763" s="132"/>
      <c r="NZ763" s="132"/>
      <c r="OA763" s="132"/>
      <c r="OB763" s="132"/>
      <c r="OC763" s="132"/>
      <c r="OD763" s="132"/>
      <c r="OE763" s="132"/>
      <c r="OF763" s="132"/>
      <c r="OG763" s="132"/>
      <c r="OH763" s="132"/>
      <c r="OI763" s="132"/>
      <c r="OJ763" s="132"/>
      <c r="OK763" s="132"/>
      <c r="OL763" s="132"/>
      <c r="OM763" s="132"/>
      <c r="ON763" s="132"/>
      <c r="OO763" s="132"/>
      <c r="OP763" s="132"/>
      <c r="OQ763" s="132"/>
      <c r="OR763" s="132"/>
      <c r="OS763" s="132"/>
      <c r="OT763" s="132"/>
      <c r="OU763" s="132"/>
      <c r="OV763" s="132"/>
      <c r="OW763" s="132"/>
      <c r="OX763" s="132"/>
      <c r="OY763" s="132"/>
      <c r="OZ763" s="132"/>
      <c r="PA763" s="132"/>
      <c r="PB763" s="132"/>
      <c r="PC763" s="132"/>
      <c r="PD763" s="132"/>
      <c r="PE763" s="132"/>
      <c r="PF763" s="132"/>
      <c r="PG763" s="132"/>
      <c r="PH763" s="132"/>
      <c r="PI763" s="132"/>
      <c r="PJ763" s="132"/>
      <c r="PK763" s="132"/>
      <c r="PL763" s="132"/>
      <c r="PM763" s="132"/>
      <c r="PN763" s="132"/>
      <c r="PO763" s="132"/>
      <c r="PP763" s="132"/>
      <c r="PQ763" s="132"/>
      <c r="PR763" s="132"/>
      <c r="PS763" s="132"/>
      <c r="PT763" s="132"/>
      <c r="PU763" s="132"/>
      <c r="PV763" s="132"/>
      <c r="PW763" s="132"/>
      <c r="PX763" s="132"/>
      <c r="PY763" s="132"/>
      <c r="PZ763" s="132"/>
      <c r="QA763" s="132"/>
      <c r="QB763" s="132"/>
      <c r="QC763" s="132"/>
      <c r="QD763" s="132"/>
      <c r="QE763" s="132"/>
      <c r="QF763" s="132"/>
      <c r="QG763" s="132"/>
      <c r="QH763" s="132"/>
      <c r="QI763" s="132"/>
      <c r="QJ763" s="132"/>
      <c r="QK763" s="132"/>
      <c r="QL763" s="132"/>
      <c r="QM763" s="132"/>
      <c r="QN763" s="132"/>
      <c r="QO763" s="132"/>
      <c r="QP763" s="132"/>
      <c r="QQ763" s="132"/>
      <c r="QR763" s="132"/>
      <c r="QS763" s="132"/>
      <c r="QT763" s="132"/>
      <c r="QU763" s="132"/>
      <c r="QV763" s="132"/>
      <c r="QW763" s="132"/>
      <c r="QX763" s="132"/>
      <c r="QY763" s="132"/>
      <c r="QZ763" s="132"/>
      <c r="RA763" s="132"/>
      <c r="RB763" s="132"/>
      <c r="RC763" s="132"/>
      <c r="RD763" s="132"/>
      <c r="RE763" s="132"/>
      <c r="RF763" s="132"/>
      <c r="RG763" s="132"/>
      <c r="RH763" s="132"/>
      <c r="RI763" s="132"/>
      <c r="RJ763" s="132"/>
      <c r="RK763" s="132"/>
      <c r="RL763" s="132"/>
      <c r="RM763" s="132"/>
      <c r="RN763" s="132"/>
      <c r="RO763" s="132"/>
      <c r="RP763" s="132"/>
      <c r="RQ763" s="132"/>
      <c r="RR763" s="132"/>
      <c r="RS763" s="132"/>
      <c r="RT763" s="132"/>
      <c r="RU763" s="132"/>
      <c r="RV763" s="132"/>
      <c r="RW763" s="132"/>
      <c r="RX763" s="132"/>
      <c r="RY763" s="132"/>
      <c r="RZ763" s="132"/>
      <c r="SA763" s="132"/>
      <c r="SB763" s="132"/>
      <c r="SC763" s="132"/>
      <c r="SD763" s="132"/>
      <c r="SE763" s="132"/>
      <c r="SF763" s="132"/>
      <c r="SG763" s="132"/>
      <c r="SH763" s="132"/>
      <c r="SI763" s="132"/>
      <c r="SJ763" s="132"/>
      <c r="SK763" s="132"/>
      <c r="SL763" s="132"/>
      <c r="SM763" s="132"/>
      <c r="SN763" s="132"/>
      <c r="SO763" s="132"/>
      <c r="SP763" s="132"/>
      <c r="SQ763" s="132"/>
      <c r="SR763" s="132"/>
      <c r="SS763" s="132"/>
      <c r="ST763" s="132"/>
      <c r="SU763" s="132"/>
      <c r="SV763" s="132"/>
      <c r="SW763" s="132"/>
      <c r="SX763" s="132"/>
      <c r="SY763" s="132"/>
      <c r="SZ763" s="132"/>
      <c r="TA763" s="132"/>
      <c r="TB763" s="132"/>
      <c r="TC763" s="132"/>
      <c r="TD763" s="132"/>
      <c r="TE763" s="132"/>
      <c r="TF763" s="132"/>
      <c r="TG763" s="132"/>
      <c r="TH763" s="132"/>
      <c r="TI763" s="132"/>
      <c r="TJ763" s="132"/>
      <c r="TK763" s="132"/>
      <c r="TL763" s="132"/>
      <c r="TM763" s="132"/>
      <c r="TN763" s="132"/>
      <c r="TO763" s="132"/>
      <c r="TP763" s="132"/>
      <c r="TQ763" s="132"/>
      <c r="TR763" s="132"/>
      <c r="TS763" s="132"/>
      <c r="TT763" s="132"/>
      <c r="TU763" s="132"/>
      <c r="TV763" s="132"/>
      <c r="TW763" s="132"/>
      <c r="TX763" s="132"/>
      <c r="TY763" s="132"/>
      <c r="TZ763" s="132"/>
      <c r="UA763" s="132"/>
      <c r="UB763" s="132"/>
      <c r="UC763" s="132"/>
      <c r="UD763" s="132"/>
      <c r="UE763" s="132"/>
      <c r="UF763" s="132"/>
      <c r="UG763" s="132"/>
    </row>
    <row r="764" spans="1:553" s="125" customFormat="1" ht="22.15" customHeight="1">
      <c r="A764" s="544"/>
      <c r="B764" s="544" t="s">
        <v>31</v>
      </c>
      <c r="C764" s="1400" t="s">
        <v>1284</v>
      </c>
      <c r="D764" s="1389"/>
      <c r="E764" s="1389"/>
      <c r="F764" s="1390"/>
      <c r="G764" s="544" t="s">
        <v>34</v>
      </c>
      <c r="H764" s="630"/>
      <c r="I764" s="631">
        <f>(0.5+0.7)/2*1.2*32</f>
        <v>23.04</v>
      </c>
      <c r="J764" s="992">
        <v>606342</v>
      </c>
      <c r="K764" s="584"/>
      <c r="L764" s="632">
        <f t="shared" si="116"/>
        <v>13970119.68</v>
      </c>
      <c r="M764" s="544"/>
      <c r="N764" s="544"/>
      <c r="O764" s="544"/>
      <c r="P764" s="544"/>
      <c r="Q764" s="1152"/>
      <c r="R764" s="1241"/>
      <c r="S764" s="308"/>
      <c r="T764" s="308"/>
      <c r="U764" s="308"/>
      <c r="V764" s="308"/>
      <c r="W764" s="308"/>
      <c r="X764" s="308"/>
      <c r="Y764" s="308"/>
      <c r="Z764" s="604"/>
      <c r="AA764" s="308"/>
      <c r="AB764" s="308"/>
      <c r="AC764" s="635"/>
      <c r="AD764" s="635"/>
      <c r="AE764" s="635"/>
      <c r="AF764" s="635"/>
      <c r="AG764" s="635"/>
      <c r="AH764" s="635"/>
      <c r="AI764" s="635"/>
      <c r="AJ764" s="635"/>
      <c r="AK764" s="635"/>
      <c r="AL764" s="137"/>
      <c r="AM764" s="137"/>
      <c r="AN764" s="137"/>
      <c r="AO764" s="137"/>
      <c r="AP764" s="137"/>
      <c r="AQ764" s="137"/>
      <c r="AR764" s="137"/>
      <c r="AS764" s="137"/>
      <c r="AT764" s="137"/>
      <c r="AU764" s="137"/>
      <c r="AV764" s="137"/>
      <c r="AW764" s="137"/>
      <c r="AX764" s="137"/>
      <c r="AY764" s="137"/>
      <c r="AZ764" s="137"/>
      <c r="BA764" s="137"/>
      <c r="BB764" s="137"/>
      <c r="BC764" s="137"/>
      <c r="BD764" s="137"/>
      <c r="BE764" s="137"/>
      <c r="BF764" s="137"/>
      <c r="BG764" s="137"/>
      <c r="BH764" s="137"/>
      <c r="BI764" s="137"/>
      <c r="BJ764" s="137"/>
      <c r="BK764" s="137"/>
      <c r="BL764" s="137"/>
      <c r="BM764" s="137"/>
      <c r="BN764" s="137"/>
      <c r="BO764" s="137"/>
      <c r="BP764" s="137"/>
      <c r="BQ764" s="137"/>
      <c r="BR764" s="137"/>
      <c r="BS764" s="137"/>
      <c r="BT764" s="137"/>
      <c r="BU764" s="137"/>
      <c r="BV764" s="137"/>
      <c r="BW764" s="137"/>
      <c r="BX764" s="137"/>
      <c r="BY764" s="137"/>
      <c r="BZ764" s="137"/>
      <c r="CA764" s="137"/>
      <c r="CB764" s="137"/>
      <c r="CC764" s="137"/>
      <c r="CD764" s="137"/>
      <c r="CE764" s="137"/>
      <c r="CF764" s="137"/>
      <c r="CG764" s="137"/>
      <c r="CH764" s="137"/>
      <c r="CI764" s="137"/>
      <c r="CJ764" s="137"/>
      <c r="CK764" s="137"/>
      <c r="CL764" s="137"/>
      <c r="CM764" s="137"/>
      <c r="CN764" s="137"/>
      <c r="CO764" s="137"/>
      <c r="CP764" s="137"/>
      <c r="CQ764" s="137"/>
      <c r="CR764" s="137"/>
      <c r="CS764" s="137"/>
      <c r="CT764" s="137"/>
      <c r="CU764" s="137"/>
      <c r="CV764" s="137"/>
      <c r="CW764" s="137"/>
      <c r="CX764" s="137"/>
      <c r="CY764" s="137"/>
      <c r="CZ764" s="137"/>
      <c r="DA764" s="137"/>
      <c r="DB764" s="137"/>
      <c r="DC764" s="137"/>
      <c r="DD764" s="137"/>
      <c r="DE764" s="137"/>
      <c r="DF764" s="137"/>
      <c r="DG764" s="137"/>
      <c r="DH764" s="137"/>
      <c r="DI764" s="137"/>
      <c r="DJ764" s="137"/>
      <c r="DK764" s="137"/>
      <c r="DL764" s="137"/>
      <c r="DM764" s="137"/>
      <c r="DN764" s="137"/>
      <c r="DO764" s="137"/>
      <c r="DP764" s="137"/>
      <c r="DQ764" s="137"/>
      <c r="DR764" s="137"/>
      <c r="DS764" s="137"/>
      <c r="DT764" s="137"/>
      <c r="DU764" s="137"/>
      <c r="DV764" s="137"/>
      <c r="DW764" s="137"/>
      <c r="DX764" s="137"/>
      <c r="DY764" s="137"/>
      <c r="DZ764" s="137"/>
      <c r="EA764" s="137"/>
      <c r="EB764" s="137"/>
      <c r="EC764" s="137"/>
      <c r="ED764" s="137"/>
      <c r="EE764" s="137"/>
      <c r="EF764" s="137"/>
      <c r="EG764" s="137"/>
      <c r="EH764" s="137"/>
      <c r="EI764" s="137"/>
      <c r="EJ764" s="137"/>
      <c r="EK764" s="137"/>
      <c r="EL764" s="137"/>
      <c r="EM764" s="137"/>
      <c r="EN764" s="137"/>
      <c r="EO764" s="137"/>
      <c r="EP764" s="137"/>
      <c r="EQ764" s="137"/>
      <c r="ER764" s="137"/>
      <c r="ES764" s="137"/>
      <c r="ET764" s="137"/>
      <c r="EU764" s="137"/>
      <c r="EV764" s="137"/>
      <c r="EW764" s="137"/>
      <c r="EX764" s="137"/>
      <c r="EY764" s="137"/>
      <c r="EZ764" s="137"/>
      <c r="FA764" s="137"/>
      <c r="FB764" s="137"/>
      <c r="FC764" s="137"/>
      <c r="FD764" s="137"/>
      <c r="FE764" s="137"/>
      <c r="FF764" s="137"/>
      <c r="FG764" s="137"/>
      <c r="FH764" s="137"/>
      <c r="FI764" s="137"/>
      <c r="FJ764" s="137"/>
      <c r="FK764" s="137"/>
      <c r="FL764" s="137"/>
      <c r="FM764" s="137"/>
      <c r="FN764" s="137"/>
      <c r="FO764" s="137"/>
      <c r="FP764" s="137"/>
      <c r="FQ764" s="137"/>
      <c r="FR764" s="137"/>
      <c r="FS764" s="137"/>
      <c r="FT764" s="137"/>
      <c r="FU764" s="137"/>
      <c r="FV764" s="137"/>
      <c r="FW764" s="137"/>
      <c r="FX764" s="137"/>
      <c r="FY764" s="137"/>
      <c r="FZ764" s="137"/>
      <c r="GA764" s="137"/>
      <c r="GB764" s="137"/>
      <c r="GC764" s="137"/>
      <c r="GD764" s="137"/>
      <c r="GE764" s="137"/>
      <c r="GF764" s="137"/>
      <c r="GG764" s="137"/>
      <c r="GH764" s="137"/>
      <c r="GI764" s="137"/>
      <c r="GJ764" s="137"/>
      <c r="GK764" s="137"/>
      <c r="GL764" s="137"/>
      <c r="GM764" s="137"/>
      <c r="GN764" s="137"/>
      <c r="GO764" s="137"/>
      <c r="GP764" s="137"/>
      <c r="GQ764" s="137"/>
      <c r="GR764" s="137"/>
      <c r="GS764" s="137"/>
      <c r="GT764" s="137"/>
      <c r="GU764" s="137"/>
      <c r="GV764" s="137"/>
      <c r="GW764" s="137"/>
      <c r="GX764" s="137"/>
      <c r="GY764" s="137"/>
      <c r="GZ764" s="137"/>
      <c r="HA764" s="137"/>
      <c r="HB764" s="137"/>
      <c r="HC764" s="137"/>
      <c r="HD764" s="137"/>
      <c r="HE764" s="137"/>
      <c r="HF764" s="137"/>
      <c r="HG764" s="137"/>
      <c r="HH764" s="137"/>
      <c r="HI764" s="137"/>
      <c r="HJ764" s="137"/>
      <c r="HK764" s="137"/>
      <c r="HL764" s="137"/>
      <c r="HM764" s="137"/>
      <c r="HN764" s="137"/>
      <c r="HO764" s="137"/>
      <c r="HP764" s="137"/>
      <c r="HQ764" s="137"/>
      <c r="HR764" s="137"/>
      <c r="HS764" s="137"/>
      <c r="HT764" s="137"/>
      <c r="HU764" s="137"/>
      <c r="HV764" s="137"/>
      <c r="HW764" s="137"/>
      <c r="HX764" s="137"/>
      <c r="HY764" s="137"/>
      <c r="HZ764" s="137"/>
      <c r="IA764" s="137"/>
      <c r="IB764" s="137"/>
      <c r="IC764" s="137"/>
      <c r="ID764" s="137"/>
      <c r="IE764" s="137"/>
      <c r="IF764" s="137"/>
      <c r="IG764" s="137"/>
      <c r="IH764" s="137"/>
      <c r="II764" s="137"/>
      <c r="IJ764" s="137"/>
      <c r="IK764" s="137"/>
      <c r="IL764" s="137"/>
      <c r="IM764" s="137"/>
      <c r="IN764" s="137"/>
      <c r="IO764" s="137"/>
      <c r="IP764" s="137"/>
      <c r="IQ764" s="137"/>
      <c r="IR764" s="137"/>
      <c r="IS764" s="137"/>
      <c r="IT764" s="137"/>
      <c r="IU764" s="137"/>
      <c r="IV764" s="137"/>
      <c r="IW764" s="137"/>
      <c r="IX764" s="137"/>
      <c r="IY764" s="137"/>
      <c r="IZ764" s="137"/>
      <c r="JA764" s="137"/>
      <c r="JB764" s="137"/>
      <c r="JC764" s="137"/>
      <c r="JD764" s="137"/>
      <c r="JE764" s="137"/>
      <c r="JF764" s="137"/>
      <c r="JG764" s="137"/>
      <c r="JH764" s="137"/>
      <c r="JI764" s="137"/>
      <c r="JJ764" s="137"/>
      <c r="JK764" s="137"/>
      <c r="JL764" s="137"/>
      <c r="JM764" s="137"/>
      <c r="JN764" s="137"/>
      <c r="JO764" s="137"/>
      <c r="JP764" s="137"/>
      <c r="JQ764" s="137"/>
      <c r="JR764" s="137"/>
      <c r="JS764" s="137"/>
      <c r="JT764" s="137"/>
      <c r="JU764" s="137"/>
      <c r="JV764" s="137"/>
      <c r="JW764" s="137"/>
      <c r="JX764" s="137"/>
      <c r="JY764" s="137"/>
      <c r="JZ764" s="137"/>
      <c r="KA764" s="137"/>
      <c r="KB764" s="137"/>
      <c r="KC764" s="137"/>
      <c r="KD764" s="137"/>
      <c r="KE764" s="137"/>
      <c r="KF764" s="137"/>
      <c r="KG764" s="137"/>
      <c r="KH764" s="137"/>
      <c r="KI764" s="137"/>
      <c r="KJ764" s="137"/>
      <c r="KK764" s="137"/>
      <c r="KL764" s="137"/>
      <c r="KM764" s="137"/>
      <c r="KN764" s="137"/>
      <c r="KO764" s="137"/>
      <c r="KP764" s="137"/>
      <c r="KQ764" s="137"/>
      <c r="KR764" s="137"/>
      <c r="KS764" s="137"/>
      <c r="KT764" s="137"/>
      <c r="KU764" s="137"/>
      <c r="KV764" s="137"/>
      <c r="KW764" s="137"/>
      <c r="KX764" s="137"/>
      <c r="KY764" s="137"/>
      <c r="KZ764" s="137"/>
      <c r="LA764" s="137"/>
      <c r="LB764" s="137"/>
      <c r="LC764" s="137"/>
      <c r="LD764" s="137"/>
      <c r="LE764" s="137"/>
      <c r="LF764" s="137"/>
      <c r="LG764" s="137"/>
      <c r="LH764" s="137"/>
      <c r="LI764" s="137"/>
      <c r="LJ764" s="137"/>
      <c r="LK764" s="137"/>
      <c r="LL764" s="137"/>
      <c r="LM764" s="137"/>
      <c r="LN764" s="137"/>
      <c r="LO764" s="137"/>
      <c r="LP764" s="137"/>
      <c r="LQ764" s="137"/>
      <c r="LR764" s="137"/>
      <c r="LS764" s="137"/>
      <c r="LT764" s="137"/>
      <c r="LU764" s="137"/>
      <c r="LV764" s="137"/>
      <c r="LW764" s="137"/>
      <c r="LX764" s="137"/>
      <c r="LY764" s="137"/>
      <c r="LZ764" s="137"/>
      <c r="MA764" s="137"/>
      <c r="MB764" s="137"/>
      <c r="MC764" s="137"/>
      <c r="MD764" s="137"/>
      <c r="ME764" s="137"/>
      <c r="MF764" s="137"/>
      <c r="MG764" s="137"/>
      <c r="MH764" s="137"/>
      <c r="MI764" s="137"/>
      <c r="MJ764" s="137"/>
      <c r="MK764" s="137"/>
      <c r="ML764" s="137"/>
      <c r="MM764" s="137"/>
      <c r="MN764" s="137"/>
      <c r="MO764" s="137"/>
      <c r="MP764" s="137"/>
      <c r="MQ764" s="137"/>
      <c r="MR764" s="137"/>
      <c r="MS764" s="137"/>
      <c r="MT764" s="137"/>
      <c r="MU764" s="137"/>
      <c r="MV764" s="137"/>
      <c r="MW764" s="137"/>
      <c r="MX764" s="137"/>
      <c r="MY764" s="137"/>
      <c r="MZ764" s="137"/>
      <c r="NA764" s="137"/>
      <c r="NB764" s="137"/>
      <c r="NC764" s="137"/>
      <c r="ND764" s="137"/>
      <c r="NE764" s="137"/>
      <c r="NF764" s="137"/>
      <c r="NG764" s="137"/>
      <c r="NH764" s="137"/>
      <c r="NI764" s="137"/>
      <c r="NJ764" s="137"/>
      <c r="NK764" s="137"/>
      <c r="NL764" s="137"/>
      <c r="NM764" s="137"/>
      <c r="NN764" s="137"/>
      <c r="NO764" s="137"/>
      <c r="NP764" s="137"/>
      <c r="NQ764" s="137"/>
      <c r="NR764" s="137"/>
      <c r="NS764" s="137"/>
      <c r="NT764" s="137"/>
      <c r="NU764" s="137"/>
      <c r="NV764" s="137"/>
      <c r="NW764" s="137"/>
      <c r="NX764" s="137"/>
      <c r="NY764" s="137"/>
      <c r="NZ764" s="137"/>
      <c r="OA764" s="137"/>
      <c r="OB764" s="137"/>
      <c r="OC764" s="137"/>
      <c r="OD764" s="137"/>
      <c r="OE764" s="137"/>
      <c r="OF764" s="137"/>
      <c r="OG764" s="137"/>
      <c r="OH764" s="137"/>
      <c r="OI764" s="137"/>
      <c r="OJ764" s="137"/>
      <c r="OK764" s="137"/>
      <c r="OL764" s="137"/>
      <c r="OM764" s="137"/>
      <c r="ON764" s="137"/>
      <c r="OO764" s="137"/>
      <c r="OP764" s="137"/>
      <c r="OQ764" s="137"/>
      <c r="OR764" s="137"/>
      <c r="OS764" s="137"/>
      <c r="OT764" s="137"/>
      <c r="OU764" s="137"/>
      <c r="OV764" s="137"/>
      <c r="OW764" s="137"/>
      <c r="OX764" s="137"/>
      <c r="OY764" s="137"/>
      <c r="OZ764" s="137"/>
      <c r="PA764" s="137"/>
      <c r="PB764" s="137"/>
      <c r="PC764" s="137"/>
      <c r="PD764" s="137"/>
      <c r="PE764" s="137"/>
      <c r="PF764" s="137"/>
      <c r="PG764" s="137"/>
      <c r="PH764" s="137"/>
      <c r="PI764" s="137"/>
      <c r="PJ764" s="137"/>
      <c r="PK764" s="137"/>
      <c r="PL764" s="137"/>
      <c r="PM764" s="137"/>
      <c r="PN764" s="137"/>
      <c r="PO764" s="137"/>
      <c r="PP764" s="137"/>
      <c r="PQ764" s="137"/>
      <c r="PR764" s="137"/>
      <c r="PS764" s="137"/>
      <c r="PT764" s="137"/>
      <c r="PU764" s="137"/>
      <c r="PV764" s="137"/>
      <c r="PW764" s="137"/>
      <c r="PX764" s="137"/>
      <c r="PY764" s="137"/>
      <c r="PZ764" s="137"/>
      <c r="QA764" s="137"/>
      <c r="QB764" s="137"/>
      <c r="QC764" s="137"/>
      <c r="QD764" s="137"/>
      <c r="QE764" s="137"/>
      <c r="QF764" s="137"/>
      <c r="QG764" s="137"/>
      <c r="QH764" s="137"/>
      <c r="QI764" s="137"/>
      <c r="QJ764" s="137"/>
      <c r="QK764" s="137"/>
      <c r="QL764" s="137"/>
      <c r="QM764" s="137"/>
      <c r="QN764" s="137"/>
      <c r="QO764" s="137"/>
      <c r="QP764" s="137"/>
      <c r="QQ764" s="137"/>
      <c r="QR764" s="137"/>
      <c r="QS764" s="137"/>
      <c r="QT764" s="137"/>
      <c r="QU764" s="137"/>
      <c r="QV764" s="137"/>
      <c r="QW764" s="137"/>
      <c r="QX764" s="137"/>
      <c r="QY764" s="137"/>
      <c r="QZ764" s="137"/>
      <c r="RA764" s="137"/>
      <c r="RB764" s="137"/>
      <c r="RC764" s="137"/>
      <c r="RD764" s="137"/>
      <c r="RE764" s="137"/>
      <c r="RF764" s="137"/>
      <c r="RG764" s="137"/>
      <c r="RH764" s="137"/>
      <c r="RI764" s="137"/>
      <c r="RJ764" s="137"/>
      <c r="RK764" s="137"/>
      <c r="RL764" s="137"/>
      <c r="RM764" s="137"/>
      <c r="RN764" s="137"/>
      <c r="RO764" s="137"/>
      <c r="RP764" s="137"/>
      <c r="RQ764" s="137"/>
      <c r="RR764" s="137"/>
      <c r="RS764" s="137"/>
      <c r="RT764" s="137"/>
      <c r="RU764" s="137"/>
      <c r="RV764" s="137"/>
      <c r="RW764" s="137"/>
      <c r="RX764" s="137"/>
      <c r="RY764" s="137"/>
      <c r="RZ764" s="137"/>
      <c r="SA764" s="137"/>
      <c r="SB764" s="137"/>
      <c r="SC764" s="137"/>
      <c r="SD764" s="137"/>
      <c r="SE764" s="137"/>
      <c r="SF764" s="137"/>
      <c r="SG764" s="137"/>
      <c r="SH764" s="137"/>
      <c r="SI764" s="137"/>
      <c r="SJ764" s="137"/>
      <c r="SK764" s="137"/>
      <c r="SL764" s="137"/>
      <c r="SM764" s="137"/>
      <c r="SN764" s="137"/>
      <c r="SO764" s="137"/>
      <c r="SP764" s="137"/>
      <c r="SQ764" s="137"/>
      <c r="SR764" s="137"/>
      <c r="SS764" s="137"/>
      <c r="ST764" s="137"/>
      <c r="SU764" s="137"/>
      <c r="SV764" s="137"/>
      <c r="SW764" s="137"/>
      <c r="SX764" s="137"/>
      <c r="SY764" s="137"/>
      <c r="SZ764" s="137"/>
      <c r="TA764" s="137"/>
      <c r="TB764" s="137"/>
      <c r="TC764" s="137"/>
      <c r="TD764" s="137"/>
      <c r="TE764" s="137"/>
      <c r="TF764" s="137"/>
      <c r="TG764" s="137"/>
      <c r="TH764" s="137"/>
      <c r="TI764" s="137"/>
      <c r="TJ764" s="137"/>
      <c r="TK764" s="137"/>
      <c r="TL764" s="137"/>
      <c r="TM764" s="137"/>
      <c r="TN764" s="137"/>
      <c r="TO764" s="137"/>
      <c r="TP764" s="137"/>
      <c r="TQ764" s="137"/>
      <c r="TR764" s="137"/>
      <c r="TS764" s="137"/>
      <c r="TT764" s="137"/>
      <c r="TU764" s="137"/>
      <c r="TV764" s="137"/>
      <c r="TW764" s="137"/>
      <c r="TX764" s="137"/>
      <c r="TY764" s="137"/>
      <c r="TZ764" s="137"/>
      <c r="UA764" s="137"/>
      <c r="UB764" s="137"/>
      <c r="UC764" s="137"/>
      <c r="UD764" s="137"/>
      <c r="UE764" s="137"/>
      <c r="UF764" s="137"/>
      <c r="UG764" s="137"/>
    </row>
    <row r="765" spans="1:553" ht="63" customHeight="1">
      <c r="A765" s="366"/>
      <c r="B765" s="366">
        <v>70</v>
      </c>
      <c r="C765" s="1401" t="s">
        <v>956</v>
      </c>
      <c r="D765" s="1389"/>
      <c r="E765" s="1389"/>
      <c r="F765" s="1390"/>
      <c r="G765" s="366" t="s">
        <v>33</v>
      </c>
      <c r="H765" s="622"/>
      <c r="I765" s="626">
        <f>9.1*7.2</f>
        <v>65.52</v>
      </c>
      <c r="J765" s="369">
        <v>1630800</v>
      </c>
      <c r="K765" s="641">
        <v>0.8</v>
      </c>
      <c r="L765" s="627">
        <f>I765*J765*K765</f>
        <v>85480012.800000012</v>
      </c>
      <c r="M765" s="366"/>
      <c r="N765" s="366"/>
      <c r="O765" s="366"/>
      <c r="P765" s="366"/>
      <c r="Q765" s="1151"/>
      <c r="R765" s="1226"/>
      <c r="S765" s="308"/>
      <c r="T765" s="308"/>
      <c r="U765" s="308"/>
      <c r="V765" s="308"/>
      <c r="W765" s="308"/>
      <c r="X765" s="308"/>
      <c r="Y765" s="308"/>
      <c r="Z765" s="604"/>
      <c r="AA765" s="308"/>
      <c r="AB765" s="308"/>
      <c r="AC765" s="625"/>
      <c r="AD765" s="625"/>
      <c r="AE765" s="625"/>
      <c r="AF765" s="625"/>
      <c r="AG765" s="625"/>
      <c r="AH765" s="625"/>
      <c r="AI765" s="625"/>
      <c r="AJ765" s="625"/>
      <c r="AK765" s="625"/>
      <c r="AL765" s="133"/>
      <c r="AM765" s="133"/>
      <c r="AN765" s="133"/>
      <c r="AO765" s="133"/>
      <c r="AP765" s="133"/>
      <c r="AQ765" s="133"/>
      <c r="AR765" s="133"/>
      <c r="AS765" s="133"/>
      <c r="AT765" s="133"/>
      <c r="AU765" s="133"/>
      <c r="AV765" s="133"/>
      <c r="AW765" s="133"/>
      <c r="AX765" s="133"/>
      <c r="AY765" s="133"/>
      <c r="AZ765" s="133"/>
      <c r="BA765" s="133"/>
      <c r="BB765" s="133"/>
      <c r="BC765" s="133"/>
      <c r="BD765" s="133"/>
      <c r="BE765" s="133"/>
      <c r="BF765" s="133"/>
      <c r="BG765" s="133"/>
      <c r="BH765" s="133"/>
      <c r="BI765" s="133"/>
      <c r="BJ765" s="133"/>
      <c r="BK765" s="133"/>
      <c r="BL765" s="133"/>
      <c r="BM765" s="133"/>
      <c r="BN765" s="133"/>
      <c r="BO765" s="133"/>
      <c r="BP765" s="133"/>
      <c r="BQ765" s="132"/>
      <c r="BR765" s="132"/>
      <c r="BS765" s="132"/>
      <c r="BT765" s="132"/>
      <c r="BU765" s="132"/>
      <c r="BV765" s="132"/>
      <c r="BW765" s="132"/>
      <c r="BX765" s="132"/>
      <c r="BY765" s="132"/>
      <c r="BZ765" s="132"/>
      <c r="CA765" s="132"/>
      <c r="CB765" s="132"/>
      <c r="CC765" s="132"/>
      <c r="CD765" s="132"/>
      <c r="CE765" s="132"/>
      <c r="CF765" s="132"/>
      <c r="CG765" s="132"/>
      <c r="CH765" s="132"/>
      <c r="CI765" s="132"/>
      <c r="CJ765" s="132"/>
      <c r="CK765" s="132"/>
      <c r="CL765" s="132"/>
      <c r="CM765" s="132"/>
      <c r="CN765" s="132"/>
      <c r="CO765" s="132"/>
      <c r="CP765" s="132"/>
      <c r="CQ765" s="132"/>
      <c r="CR765" s="132"/>
      <c r="CS765" s="132"/>
      <c r="CT765" s="132"/>
      <c r="CU765" s="132"/>
      <c r="CV765" s="132"/>
      <c r="CW765" s="132"/>
      <c r="CX765" s="132"/>
      <c r="CY765" s="132"/>
      <c r="CZ765" s="132"/>
      <c r="DA765" s="132"/>
      <c r="DB765" s="132"/>
      <c r="DC765" s="132"/>
      <c r="DD765" s="132"/>
      <c r="DE765" s="132"/>
      <c r="DF765" s="132"/>
      <c r="DG765" s="132"/>
      <c r="DH765" s="132"/>
      <c r="DI765" s="132"/>
      <c r="DJ765" s="132"/>
      <c r="DK765" s="132"/>
      <c r="DL765" s="132"/>
      <c r="DM765" s="132"/>
      <c r="DN765" s="132"/>
      <c r="DO765" s="132"/>
      <c r="DP765" s="132"/>
      <c r="DQ765" s="132"/>
      <c r="DR765" s="132"/>
      <c r="DS765" s="132"/>
      <c r="DT765" s="132"/>
      <c r="DU765" s="132"/>
      <c r="DV765" s="132"/>
      <c r="DW765" s="132"/>
      <c r="DX765" s="132"/>
      <c r="DY765" s="132"/>
      <c r="DZ765" s="132"/>
      <c r="EA765" s="132"/>
      <c r="EB765" s="132"/>
      <c r="EC765" s="132"/>
      <c r="ED765" s="132"/>
      <c r="EE765" s="132"/>
      <c r="EF765" s="132"/>
      <c r="EG765" s="132"/>
      <c r="EH765" s="132"/>
      <c r="EI765" s="132"/>
      <c r="EJ765" s="132"/>
      <c r="EK765" s="132"/>
      <c r="EL765" s="132"/>
      <c r="EM765" s="132"/>
      <c r="EN765" s="132"/>
      <c r="EO765" s="132"/>
      <c r="EP765" s="132"/>
      <c r="EQ765" s="132"/>
      <c r="ER765" s="132"/>
      <c r="ES765" s="132"/>
      <c r="ET765" s="132"/>
      <c r="EU765" s="132"/>
      <c r="EV765" s="132"/>
      <c r="EW765" s="132"/>
      <c r="EX765" s="132"/>
      <c r="EY765" s="132"/>
      <c r="EZ765" s="132"/>
      <c r="FA765" s="132"/>
      <c r="FB765" s="132"/>
      <c r="FC765" s="132"/>
      <c r="FD765" s="132"/>
      <c r="FE765" s="132"/>
      <c r="FF765" s="132"/>
      <c r="FG765" s="132"/>
      <c r="FH765" s="132"/>
      <c r="FI765" s="132"/>
      <c r="FJ765" s="132"/>
      <c r="FK765" s="132"/>
      <c r="FL765" s="132"/>
      <c r="FM765" s="132"/>
      <c r="FN765" s="132"/>
      <c r="FO765" s="132"/>
      <c r="FP765" s="132"/>
      <c r="FQ765" s="132"/>
      <c r="FR765" s="132"/>
      <c r="FS765" s="132"/>
      <c r="FT765" s="132"/>
      <c r="FU765" s="132"/>
      <c r="FV765" s="132"/>
      <c r="FW765" s="132"/>
      <c r="FX765" s="132"/>
      <c r="FY765" s="132"/>
      <c r="FZ765" s="132"/>
      <c r="GA765" s="132"/>
      <c r="GB765" s="132"/>
      <c r="GC765" s="132"/>
      <c r="GD765" s="132"/>
      <c r="GE765" s="132"/>
      <c r="GF765" s="132"/>
      <c r="GG765" s="132"/>
      <c r="GH765" s="132"/>
      <c r="GI765" s="132"/>
      <c r="GJ765" s="132"/>
      <c r="GK765" s="132"/>
      <c r="GL765" s="132"/>
      <c r="GM765" s="132"/>
      <c r="GN765" s="132"/>
      <c r="GO765" s="132"/>
      <c r="GP765" s="132"/>
      <c r="GQ765" s="132"/>
      <c r="GR765" s="132"/>
      <c r="GS765" s="132"/>
      <c r="GT765" s="132"/>
      <c r="GU765" s="132"/>
      <c r="GV765" s="132"/>
      <c r="GW765" s="132"/>
      <c r="GX765" s="132"/>
      <c r="GY765" s="132"/>
      <c r="GZ765" s="132"/>
      <c r="HA765" s="132"/>
      <c r="HB765" s="132"/>
      <c r="HC765" s="132"/>
      <c r="HD765" s="132"/>
      <c r="HE765" s="132"/>
      <c r="HF765" s="132"/>
      <c r="HG765" s="132"/>
      <c r="HH765" s="132"/>
      <c r="HI765" s="132"/>
      <c r="HJ765" s="132"/>
      <c r="HK765" s="132"/>
      <c r="HL765" s="132"/>
      <c r="HM765" s="132"/>
      <c r="HN765" s="132"/>
      <c r="HO765" s="132"/>
      <c r="HP765" s="132"/>
      <c r="HQ765" s="132"/>
      <c r="HR765" s="132"/>
      <c r="HS765" s="132"/>
      <c r="HT765" s="132"/>
      <c r="HU765" s="132"/>
      <c r="HV765" s="132"/>
      <c r="HW765" s="132"/>
      <c r="HX765" s="132"/>
      <c r="HY765" s="132"/>
      <c r="HZ765" s="132"/>
      <c r="IA765" s="132"/>
      <c r="IB765" s="132"/>
      <c r="IC765" s="132"/>
      <c r="ID765" s="132"/>
      <c r="IE765" s="132"/>
      <c r="IF765" s="132"/>
      <c r="IG765" s="132"/>
      <c r="IH765" s="132"/>
      <c r="II765" s="132"/>
      <c r="IJ765" s="132"/>
      <c r="IK765" s="132"/>
      <c r="IL765" s="132"/>
      <c r="IM765" s="132"/>
      <c r="IN765" s="132"/>
      <c r="IO765" s="132"/>
      <c r="IP765" s="132"/>
      <c r="IQ765" s="132"/>
      <c r="IR765" s="132"/>
      <c r="IS765" s="132"/>
      <c r="IT765" s="132"/>
      <c r="IU765" s="132"/>
      <c r="IV765" s="132"/>
      <c r="IW765" s="132"/>
      <c r="IX765" s="132"/>
      <c r="IY765" s="132"/>
      <c r="IZ765" s="132"/>
      <c r="JA765" s="132"/>
      <c r="JB765" s="132"/>
      <c r="JC765" s="132"/>
      <c r="JD765" s="132"/>
      <c r="JE765" s="132"/>
      <c r="JF765" s="132"/>
      <c r="JG765" s="132"/>
      <c r="JH765" s="132"/>
      <c r="JI765" s="132"/>
      <c r="JJ765" s="132"/>
      <c r="JK765" s="132"/>
      <c r="JL765" s="132"/>
      <c r="JM765" s="132"/>
      <c r="JN765" s="132"/>
      <c r="JO765" s="132"/>
      <c r="JP765" s="132"/>
      <c r="JQ765" s="132"/>
      <c r="JR765" s="132"/>
      <c r="JS765" s="132"/>
      <c r="JT765" s="132"/>
      <c r="JU765" s="132"/>
      <c r="JV765" s="132"/>
      <c r="JW765" s="132"/>
      <c r="JX765" s="132"/>
      <c r="JY765" s="132"/>
      <c r="JZ765" s="132"/>
      <c r="KA765" s="132"/>
      <c r="KB765" s="132"/>
      <c r="KC765" s="132"/>
      <c r="KD765" s="132"/>
      <c r="KE765" s="132"/>
      <c r="KF765" s="132"/>
      <c r="KG765" s="132"/>
      <c r="KH765" s="132"/>
      <c r="KI765" s="132"/>
      <c r="KJ765" s="132"/>
      <c r="KK765" s="132"/>
      <c r="KL765" s="132"/>
      <c r="KM765" s="132"/>
      <c r="KN765" s="132"/>
      <c r="KO765" s="132"/>
      <c r="KP765" s="132"/>
      <c r="KQ765" s="132"/>
      <c r="KR765" s="132"/>
      <c r="KS765" s="132"/>
      <c r="KT765" s="132"/>
      <c r="KU765" s="132"/>
      <c r="KV765" s="132"/>
      <c r="KW765" s="132"/>
      <c r="KX765" s="132"/>
      <c r="KY765" s="132"/>
      <c r="KZ765" s="132"/>
      <c r="LA765" s="132"/>
      <c r="LB765" s="132"/>
      <c r="LC765" s="132"/>
      <c r="LD765" s="132"/>
      <c r="LE765" s="132"/>
      <c r="LF765" s="132"/>
      <c r="LG765" s="132"/>
      <c r="LH765" s="132"/>
      <c r="LI765" s="132"/>
      <c r="LJ765" s="132"/>
      <c r="LK765" s="132"/>
      <c r="LL765" s="132"/>
      <c r="LM765" s="132"/>
      <c r="LN765" s="132"/>
      <c r="LO765" s="132"/>
      <c r="LP765" s="132"/>
      <c r="LQ765" s="132"/>
      <c r="LR765" s="132"/>
      <c r="LS765" s="132"/>
      <c r="LT765" s="132"/>
      <c r="LU765" s="132"/>
      <c r="LV765" s="132"/>
      <c r="LW765" s="132"/>
      <c r="LX765" s="132"/>
      <c r="LY765" s="132"/>
      <c r="LZ765" s="132"/>
      <c r="MA765" s="132"/>
      <c r="MB765" s="132"/>
      <c r="MC765" s="132"/>
      <c r="MD765" s="132"/>
      <c r="ME765" s="132"/>
      <c r="MF765" s="132"/>
      <c r="MG765" s="132"/>
      <c r="MH765" s="132"/>
      <c r="MI765" s="132"/>
      <c r="MJ765" s="132"/>
      <c r="MK765" s="132"/>
      <c r="ML765" s="132"/>
      <c r="MM765" s="132"/>
      <c r="MN765" s="132"/>
      <c r="MO765" s="132"/>
      <c r="MP765" s="132"/>
      <c r="MQ765" s="132"/>
      <c r="MR765" s="132"/>
      <c r="MS765" s="132"/>
      <c r="MT765" s="132"/>
      <c r="MU765" s="132"/>
      <c r="MV765" s="132"/>
      <c r="MW765" s="132"/>
      <c r="MX765" s="132"/>
      <c r="MY765" s="132"/>
      <c r="MZ765" s="132"/>
      <c r="NA765" s="132"/>
      <c r="NB765" s="132"/>
      <c r="NC765" s="132"/>
      <c r="ND765" s="132"/>
      <c r="NE765" s="132"/>
      <c r="NF765" s="132"/>
      <c r="NG765" s="132"/>
      <c r="NH765" s="132"/>
      <c r="NI765" s="132"/>
      <c r="NJ765" s="132"/>
      <c r="NK765" s="132"/>
      <c r="NL765" s="132"/>
      <c r="NM765" s="132"/>
      <c r="NN765" s="132"/>
      <c r="NO765" s="132"/>
      <c r="NP765" s="132"/>
      <c r="NQ765" s="132"/>
      <c r="NR765" s="132"/>
      <c r="NS765" s="132"/>
      <c r="NT765" s="132"/>
      <c r="NU765" s="132"/>
      <c r="NV765" s="132"/>
      <c r="NW765" s="132"/>
      <c r="NX765" s="132"/>
      <c r="NY765" s="132"/>
      <c r="NZ765" s="132"/>
      <c r="OA765" s="132"/>
      <c r="OB765" s="132"/>
      <c r="OC765" s="132"/>
      <c r="OD765" s="132"/>
      <c r="OE765" s="132"/>
      <c r="OF765" s="132"/>
      <c r="OG765" s="132"/>
      <c r="OH765" s="132"/>
      <c r="OI765" s="132"/>
      <c r="OJ765" s="132"/>
      <c r="OK765" s="132"/>
      <c r="OL765" s="132"/>
      <c r="OM765" s="132"/>
      <c r="ON765" s="132"/>
      <c r="OO765" s="132"/>
      <c r="OP765" s="132"/>
      <c r="OQ765" s="132"/>
      <c r="OR765" s="132"/>
      <c r="OS765" s="132"/>
      <c r="OT765" s="132"/>
      <c r="OU765" s="132"/>
      <c r="OV765" s="132"/>
      <c r="OW765" s="132"/>
      <c r="OX765" s="132"/>
      <c r="OY765" s="132"/>
      <c r="OZ765" s="132"/>
      <c r="PA765" s="132"/>
      <c r="PB765" s="132"/>
      <c r="PC765" s="132"/>
      <c r="PD765" s="132"/>
      <c r="PE765" s="132"/>
      <c r="PF765" s="132"/>
      <c r="PG765" s="132"/>
      <c r="PH765" s="132"/>
      <c r="PI765" s="132"/>
      <c r="PJ765" s="132"/>
      <c r="PK765" s="132"/>
      <c r="PL765" s="132"/>
      <c r="PM765" s="132"/>
      <c r="PN765" s="132"/>
      <c r="PO765" s="132"/>
      <c r="PP765" s="132"/>
      <c r="PQ765" s="132"/>
      <c r="PR765" s="132"/>
      <c r="PS765" s="132"/>
      <c r="PT765" s="132"/>
      <c r="PU765" s="132"/>
      <c r="PV765" s="132"/>
      <c r="PW765" s="132"/>
      <c r="PX765" s="132"/>
      <c r="PY765" s="132"/>
      <c r="PZ765" s="132"/>
      <c r="QA765" s="132"/>
      <c r="QB765" s="132"/>
      <c r="QC765" s="132"/>
      <c r="QD765" s="132"/>
      <c r="QE765" s="132"/>
      <c r="QF765" s="132"/>
      <c r="QG765" s="132"/>
      <c r="QH765" s="132"/>
      <c r="QI765" s="132"/>
      <c r="QJ765" s="132"/>
      <c r="QK765" s="132"/>
      <c r="QL765" s="132"/>
      <c r="QM765" s="132"/>
      <c r="QN765" s="132"/>
      <c r="QO765" s="132"/>
      <c r="QP765" s="132"/>
      <c r="QQ765" s="132"/>
      <c r="QR765" s="132"/>
      <c r="QS765" s="132"/>
      <c r="QT765" s="132"/>
      <c r="QU765" s="132"/>
      <c r="QV765" s="132"/>
      <c r="QW765" s="132"/>
      <c r="QX765" s="132"/>
      <c r="QY765" s="132"/>
      <c r="QZ765" s="132"/>
      <c r="RA765" s="132"/>
      <c r="RB765" s="132"/>
      <c r="RC765" s="132"/>
      <c r="RD765" s="132"/>
      <c r="RE765" s="132"/>
      <c r="RF765" s="132"/>
      <c r="RG765" s="132"/>
      <c r="RH765" s="132"/>
      <c r="RI765" s="132"/>
      <c r="RJ765" s="132"/>
      <c r="RK765" s="132"/>
      <c r="RL765" s="132"/>
      <c r="RM765" s="132"/>
      <c r="RN765" s="132"/>
      <c r="RO765" s="132"/>
      <c r="RP765" s="132"/>
      <c r="RQ765" s="132"/>
      <c r="RR765" s="132"/>
      <c r="RS765" s="132"/>
      <c r="RT765" s="132"/>
      <c r="RU765" s="132"/>
      <c r="RV765" s="132"/>
      <c r="RW765" s="132"/>
      <c r="RX765" s="132"/>
      <c r="RY765" s="132"/>
      <c r="RZ765" s="132"/>
      <c r="SA765" s="132"/>
      <c r="SB765" s="132"/>
      <c r="SC765" s="132"/>
      <c r="SD765" s="132"/>
      <c r="SE765" s="132"/>
      <c r="SF765" s="132"/>
      <c r="SG765" s="132"/>
      <c r="SH765" s="132"/>
      <c r="SI765" s="132"/>
      <c r="SJ765" s="132"/>
      <c r="SK765" s="132"/>
      <c r="SL765" s="132"/>
      <c r="SM765" s="132"/>
      <c r="SN765" s="132"/>
      <c r="SO765" s="132"/>
      <c r="SP765" s="132"/>
      <c r="SQ765" s="132"/>
      <c r="SR765" s="132"/>
      <c r="SS765" s="132"/>
      <c r="ST765" s="132"/>
      <c r="SU765" s="132"/>
      <c r="SV765" s="132"/>
      <c r="SW765" s="132"/>
      <c r="SX765" s="132"/>
      <c r="SY765" s="132"/>
      <c r="SZ765" s="132"/>
      <c r="TA765" s="132"/>
      <c r="TB765" s="132"/>
      <c r="TC765" s="132"/>
      <c r="TD765" s="132"/>
      <c r="TE765" s="132"/>
      <c r="TF765" s="132"/>
      <c r="TG765" s="132"/>
      <c r="TH765" s="132"/>
      <c r="TI765" s="132"/>
      <c r="TJ765" s="132"/>
      <c r="TK765" s="132"/>
      <c r="TL765" s="132"/>
      <c r="TM765" s="132"/>
      <c r="TN765" s="132"/>
      <c r="TO765" s="132"/>
      <c r="TP765" s="132"/>
      <c r="TQ765" s="132"/>
      <c r="TR765" s="132"/>
      <c r="TS765" s="132"/>
      <c r="TT765" s="132"/>
      <c r="TU765" s="132"/>
      <c r="TV765" s="132"/>
      <c r="TW765" s="132"/>
      <c r="TX765" s="132"/>
      <c r="TY765" s="132"/>
      <c r="TZ765" s="132"/>
      <c r="UA765" s="132"/>
      <c r="UB765" s="132"/>
      <c r="UC765" s="132"/>
      <c r="UD765" s="132"/>
      <c r="UE765" s="132"/>
      <c r="UF765" s="132"/>
      <c r="UG765" s="132"/>
    </row>
    <row r="766" spans="1:553" ht="30.75" customHeight="1">
      <c r="A766" s="1094"/>
      <c r="B766" s="1095" t="s">
        <v>31</v>
      </c>
      <c r="C766" s="1442" t="s">
        <v>955</v>
      </c>
      <c r="D766" s="1389"/>
      <c r="E766" s="1389"/>
      <c r="F766" s="1390"/>
      <c r="G766" s="642" t="s">
        <v>34</v>
      </c>
      <c r="H766" s="1096"/>
      <c r="I766" s="1097">
        <f>(0.1*0.1*3.14)-(0.15*0.15*3.14)*5*4</f>
        <v>-1.3815999999999999</v>
      </c>
      <c r="J766" s="1098">
        <v>4000000</v>
      </c>
      <c r="K766" s="641">
        <v>0.8</v>
      </c>
      <c r="L766" s="627">
        <f t="shared" ref="L766:L773" si="117">I766*J766*K766</f>
        <v>-4421120</v>
      </c>
      <c r="M766" s="1099"/>
      <c r="N766" s="1099"/>
      <c r="O766" s="1099"/>
      <c r="P766" s="1099"/>
      <c r="Q766" s="1222"/>
      <c r="R766" s="1165"/>
      <c r="S766" s="308"/>
      <c r="T766" s="308"/>
      <c r="U766" s="308"/>
      <c r="V766" s="308"/>
      <c r="W766" s="308"/>
      <c r="X766" s="308"/>
      <c r="Y766" s="308"/>
      <c r="Z766" s="604"/>
      <c r="AA766" s="308"/>
      <c r="AB766" s="308"/>
      <c r="AC766" s="1100"/>
      <c r="AD766" s="1100"/>
      <c r="AE766" s="1100"/>
      <c r="AF766" s="1100"/>
      <c r="AG766" s="1100"/>
      <c r="AH766" s="1100"/>
      <c r="AI766" s="1100"/>
      <c r="AJ766" s="1100"/>
      <c r="AK766" s="1100"/>
      <c r="AL766" s="350"/>
      <c r="AM766" s="134"/>
      <c r="AN766" s="134"/>
      <c r="AO766" s="134"/>
      <c r="AP766" s="134"/>
      <c r="AQ766" s="134"/>
      <c r="AR766" s="134"/>
      <c r="AS766" s="134"/>
      <c r="AT766" s="134"/>
      <c r="AU766" s="134"/>
      <c r="AV766" s="134"/>
      <c r="AW766" s="134"/>
      <c r="AX766" s="134"/>
      <c r="AY766" s="134"/>
      <c r="AZ766" s="134"/>
      <c r="BA766" s="134"/>
      <c r="BB766" s="134"/>
      <c r="BC766" s="134"/>
      <c r="BD766" s="134"/>
      <c r="BE766" s="134"/>
      <c r="BF766" s="134"/>
      <c r="BG766" s="134"/>
      <c r="BH766" s="134"/>
      <c r="BI766" s="134"/>
      <c r="BJ766" s="134"/>
      <c r="BK766" s="134"/>
      <c r="BL766" s="134"/>
      <c r="BM766" s="134"/>
      <c r="BN766" s="134"/>
      <c r="BO766" s="134"/>
      <c r="BP766" s="134"/>
      <c r="BQ766" s="134"/>
      <c r="BR766" s="134"/>
      <c r="BS766" s="134"/>
      <c r="BT766" s="134"/>
      <c r="BU766" s="134"/>
      <c r="BV766" s="134"/>
      <c r="BW766" s="134"/>
      <c r="BX766" s="134"/>
      <c r="BY766" s="134"/>
      <c r="BZ766" s="134"/>
      <c r="CA766" s="134"/>
      <c r="CB766" s="134"/>
      <c r="CC766" s="134"/>
      <c r="CD766" s="134"/>
      <c r="CE766" s="134"/>
      <c r="CF766" s="134"/>
      <c r="CG766" s="134"/>
      <c r="CH766" s="134"/>
      <c r="CI766" s="134"/>
      <c r="CJ766" s="134"/>
      <c r="CK766" s="134"/>
      <c r="CL766" s="134"/>
      <c r="CM766" s="134"/>
      <c r="CN766" s="134"/>
      <c r="CO766" s="134"/>
      <c r="CP766" s="134"/>
      <c r="CQ766" s="134"/>
      <c r="CR766" s="134"/>
      <c r="CS766" s="134"/>
      <c r="CT766" s="134"/>
      <c r="CU766" s="134"/>
      <c r="CV766" s="134"/>
      <c r="CW766" s="134"/>
      <c r="CX766" s="134"/>
      <c r="CY766" s="134"/>
      <c r="CZ766" s="134"/>
      <c r="DA766" s="134"/>
      <c r="DB766" s="134"/>
      <c r="DC766" s="134"/>
      <c r="DD766" s="134"/>
      <c r="DE766" s="134"/>
      <c r="DF766" s="134"/>
      <c r="DG766" s="134"/>
      <c r="DH766" s="134"/>
      <c r="DI766" s="134"/>
      <c r="DJ766" s="134"/>
      <c r="DK766" s="134"/>
      <c r="DL766" s="134"/>
      <c r="DM766" s="134"/>
      <c r="DN766" s="134"/>
      <c r="DO766" s="134"/>
      <c r="DP766" s="134"/>
      <c r="DQ766" s="134"/>
      <c r="DR766" s="134"/>
      <c r="DS766" s="134"/>
      <c r="DT766" s="134"/>
      <c r="DU766" s="134"/>
      <c r="DV766" s="134"/>
      <c r="DW766" s="134"/>
      <c r="DX766" s="134"/>
      <c r="DY766" s="134"/>
      <c r="DZ766" s="134"/>
      <c r="EA766" s="134"/>
      <c r="EB766" s="134"/>
      <c r="EC766" s="134"/>
      <c r="ED766" s="134"/>
      <c r="EE766" s="134"/>
      <c r="EF766" s="134"/>
      <c r="EG766" s="134"/>
      <c r="EH766" s="134"/>
      <c r="EI766" s="134"/>
      <c r="EJ766" s="134"/>
      <c r="EK766" s="134"/>
      <c r="EL766" s="134"/>
      <c r="EM766" s="134"/>
      <c r="EN766" s="134"/>
      <c r="EO766" s="134"/>
      <c r="EP766" s="134"/>
      <c r="EQ766" s="134"/>
      <c r="ER766" s="134"/>
      <c r="ES766" s="134"/>
      <c r="ET766" s="134"/>
      <c r="EU766" s="134"/>
      <c r="EV766" s="134"/>
      <c r="EW766" s="134"/>
      <c r="EX766" s="134"/>
      <c r="EY766" s="134"/>
      <c r="EZ766" s="134"/>
      <c r="FA766" s="134"/>
      <c r="FB766" s="134"/>
      <c r="FC766" s="134"/>
      <c r="FD766" s="134"/>
      <c r="FE766" s="134"/>
      <c r="FF766" s="134"/>
      <c r="FG766" s="134"/>
      <c r="FH766" s="134"/>
      <c r="FI766" s="134"/>
      <c r="FJ766" s="134"/>
      <c r="FK766" s="134"/>
      <c r="FL766" s="134"/>
      <c r="FM766" s="134"/>
      <c r="FN766" s="134"/>
      <c r="FO766" s="134"/>
      <c r="FP766" s="134"/>
      <c r="FQ766" s="134"/>
      <c r="FR766" s="134"/>
      <c r="FS766" s="134"/>
      <c r="FT766" s="134"/>
      <c r="FU766" s="134"/>
      <c r="FV766" s="134"/>
      <c r="FW766" s="134"/>
      <c r="FX766" s="134"/>
      <c r="FY766" s="134"/>
      <c r="FZ766" s="134"/>
      <c r="GA766" s="134"/>
      <c r="GB766" s="134"/>
      <c r="GC766" s="134"/>
      <c r="GD766" s="134"/>
      <c r="GE766" s="134"/>
      <c r="GF766" s="134"/>
      <c r="GG766" s="134"/>
      <c r="GH766" s="134"/>
      <c r="GI766" s="134"/>
      <c r="GJ766" s="134"/>
      <c r="GK766" s="134"/>
      <c r="GL766" s="134"/>
      <c r="GM766" s="134"/>
      <c r="GN766" s="134"/>
      <c r="GO766" s="134"/>
      <c r="GP766" s="134"/>
      <c r="GQ766" s="134"/>
      <c r="GR766" s="134"/>
      <c r="GS766" s="134"/>
      <c r="GT766" s="134"/>
      <c r="GU766" s="134"/>
      <c r="GV766" s="134"/>
      <c r="GW766" s="134"/>
      <c r="GX766" s="134"/>
      <c r="GY766" s="134"/>
      <c r="GZ766" s="134"/>
      <c r="HA766" s="134"/>
      <c r="HB766" s="134"/>
      <c r="HC766" s="134"/>
      <c r="HD766" s="134"/>
      <c r="HE766" s="134"/>
      <c r="HF766" s="134"/>
      <c r="HG766" s="134"/>
      <c r="HH766" s="134"/>
      <c r="HI766" s="134"/>
      <c r="HJ766" s="134"/>
      <c r="HK766" s="134"/>
      <c r="HL766" s="134"/>
      <c r="HM766" s="134"/>
      <c r="HN766" s="134"/>
      <c r="HO766" s="134"/>
      <c r="HP766" s="134"/>
      <c r="HQ766" s="134"/>
      <c r="HR766" s="134"/>
      <c r="HS766" s="134"/>
      <c r="HT766" s="134"/>
      <c r="HU766" s="134"/>
      <c r="HV766" s="134"/>
      <c r="HW766" s="134"/>
      <c r="HX766" s="134"/>
      <c r="HY766" s="134"/>
      <c r="HZ766" s="134"/>
      <c r="IA766" s="134"/>
      <c r="IB766" s="134"/>
      <c r="IC766" s="134"/>
      <c r="ID766" s="134"/>
      <c r="IE766" s="134"/>
      <c r="IF766" s="134"/>
      <c r="IG766" s="134"/>
      <c r="IH766" s="134"/>
      <c r="II766" s="134"/>
      <c r="IJ766" s="134"/>
      <c r="IK766" s="134"/>
      <c r="IL766" s="134"/>
      <c r="IM766" s="134"/>
      <c r="IN766" s="134"/>
      <c r="IO766" s="134"/>
      <c r="IP766" s="134"/>
      <c r="IQ766" s="134"/>
      <c r="IR766" s="134"/>
      <c r="IS766" s="134"/>
      <c r="IT766" s="134"/>
      <c r="IU766" s="134"/>
      <c r="IV766" s="134"/>
      <c r="IW766" s="134"/>
      <c r="IX766" s="134"/>
      <c r="IY766" s="134"/>
      <c r="IZ766" s="134"/>
      <c r="JA766" s="134"/>
      <c r="JB766" s="134"/>
      <c r="JC766" s="134"/>
      <c r="JD766" s="134"/>
      <c r="JE766" s="134"/>
      <c r="JF766" s="134"/>
      <c r="JG766" s="134"/>
      <c r="JH766" s="134"/>
      <c r="JI766" s="134"/>
      <c r="JJ766" s="134"/>
      <c r="JK766" s="134"/>
      <c r="JL766" s="134"/>
      <c r="JM766" s="134"/>
      <c r="JN766" s="134"/>
      <c r="JO766" s="134"/>
      <c r="JP766" s="134"/>
      <c r="JQ766" s="134"/>
      <c r="JR766" s="134"/>
      <c r="JS766" s="134"/>
      <c r="JT766" s="134"/>
      <c r="JU766" s="134"/>
      <c r="JV766" s="134"/>
      <c r="JW766" s="134"/>
      <c r="JX766" s="134"/>
      <c r="JY766" s="134"/>
      <c r="JZ766" s="134"/>
      <c r="KA766" s="134"/>
      <c r="KB766" s="134"/>
      <c r="KC766" s="134"/>
      <c r="KD766" s="134"/>
      <c r="KE766" s="134"/>
      <c r="KF766" s="134"/>
      <c r="KG766" s="134"/>
      <c r="KH766" s="134"/>
      <c r="KI766" s="134"/>
      <c r="KJ766" s="134"/>
      <c r="KK766" s="134"/>
      <c r="KL766" s="134"/>
      <c r="KM766" s="134"/>
      <c r="KN766" s="134"/>
      <c r="KO766" s="134"/>
      <c r="KP766" s="134"/>
      <c r="KQ766" s="134"/>
      <c r="KR766" s="134"/>
      <c r="KS766" s="134"/>
      <c r="KT766" s="134"/>
      <c r="KU766" s="134"/>
      <c r="KV766" s="134"/>
      <c r="KW766" s="134"/>
      <c r="KX766" s="134"/>
      <c r="KY766" s="134"/>
      <c r="KZ766" s="134"/>
      <c r="LA766" s="134"/>
      <c r="LB766" s="134"/>
      <c r="LC766" s="134"/>
      <c r="LD766" s="134"/>
      <c r="LE766" s="134"/>
      <c r="LF766" s="134"/>
      <c r="LG766" s="134"/>
      <c r="LH766" s="134"/>
      <c r="LI766" s="134"/>
      <c r="LJ766" s="134"/>
      <c r="LK766" s="134"/>
      <c r="LL766" s="134"/>
      <c r="LM766" s="134"/>
      <c r="LN766" s="134"/>
      <c r="LO766" s="134"/>
      <c r="LP766" s="134"/>
      <c r="LQ766" s="134"/>
      <c r="LR766" s="134"/>
      <c r="LS766" s="134"/>
      <c r="LT766" s="134"/>
      <c r="LU766" s="134"/>
      <c r="LV766" s="134"/>
      <c r="LW766" s="134"/>
      <c r="LX766" s="134"/>
      <c r="LY766" s="134"/>
      <c r="LZ766" s="134"/>
      <c r="MA766" s="134"/>
      <c r="MB766" s="134"/>
      <c r="MC766" s="134"/>
      <c r="MD766" s="134"/>
      <c r="ME766" s="134"/>
      <c r="MF766" s="134"/>
      <c r="MG766" s="134"/>
      <c r="MH766" s="134"/>
      <c r="MI766" s="134"/>
      <c r="MJ766" s="134"/>
      <c r="MK766" s="134"/>
      <c r="ML766" s="134"/>
      <c r="MM766" s="134"/>
      <c r="MN766" s="134"/>
      <c r="MO766" s="134"/>
      <c r="MP766" s="134"/>
      <c r="MQ766" s="134"/>
      <c r="MR766" s="134"/>
      <c r="MS766" s="134"/>
      <c r="MT766" s="134"/>
      <c r="MU766" s="134"/>
      <c r="MV766" s="134"/>
      <c r="MW766" s="134"/>
      <c r="MX766" s="134"/>
      <c r="MY766" s="134"/>
      <c r="MZ766" s="134"/>
      <c r="NA766" s="134"/>
      <c r="NB766" s="134"/>
      <c r="NC766" s="134"/>
      <c r="ND766" s="134"/>
      <c r="NE766" s="134"/>
      <c r="NF766" s="134"/>
      <c r="NG766" s="134"/>
      <c r="NH766" s="134"/>
      <c r="NI766" s="134"/>
      <c r="NJ766" s="134"/>
      <c r="NK766" s="134"/>
      <c r="NL766" s="134"/>
      <c r="NM766" s="134"/>
      <c r="NN766" s="134"/>
      <c r="NO766" s="134"/>
      <c r="NP766" s="134"/>
      <c r="NQ766" s="134"/>
      <c r="NR766" s="134"/>
      <c r="NS766" s="134"/>
      <c r="NT766" s="134"/>
      <c r="NU766" s="134"/>
      <c r="NV766" s="134"/>
      <c r="NW766" s="134"/>
      <c r="NX766" s="134"/>
      <c r="NY766" s="134"/>
      <c r="NZ766" s="134"/>
      <c r="OA766" s="134"/>
      <c r="OB766" s="134"/>
      <c r="OC766" s="134"/>
      <c r="OD766" s="134"/>
      <c r="OE766" s="134"/>
      <c r="OF766" s="134"/>
      <c r="OG766" s="134"/>
      <c r="OH766" s="134"/>
      <c r="OI766" s="134"/>
      <c r="OJ766" s="134"/>
      <c r="OK766" s="134"/>
      <c r="OL766" s="134"/>
      <c r="OM766" s="134"/>
      <c r="ON766" s="134"/>
      <c r="OO766" s="134"/>
      <c r="OP766" s="134"/>
      <c r="OQ766" s="134"/>
      <c r="OR766" s="134"/>
      <c r="OS766" s="134"/>
      <c r="OT766" s="134"/>
      <c r="OU766" s="134"/>
      <c r="OV766" s="134"/>
      <c r="OW766" s="134"/>
      <c r="OX766" s="134"/>
      <c r="OY766" s="134"/>
      <c r="OZ766" s="134"/>
      <c r="PA766" s="134"/>
      <c r="PB766" s="134"/>
      <c r="PC766" s="134"/>
      <c r="PD766" s="134"/>
      <c r="PE766" s="134"/>
      <c r="PF766" s="134"/>
      <c r="PG766" s="134"/>
      <c r="PH766" s="134"/>
      <c r="PI766" s="134"/>
      <c r="PJ766" s="134"/>
      <c r="PK766" s="134"/>
      <c r="PL766" s="134"/>
      <c r="PM766" s="134"/>
      <c r="PN766" s="134"/>
      <c r="PO766" s="134"/>
      <c r="PP766" s="134"/>
      <c r="PQ766" s="134"/>
      <c r="PR766" s="134"/>
      <c r="PS766" s="134"/>
      <c r="PT766" s="134"/>
      <c r="PU766" s="134"/>
      <c r="PV766" s="134"/>
      <c r="PW766" s="134"/>
      <c r="PX766" s="134"/>
      <c r="PY766" s="134"/>
      <c r="PZ766" s="134"/>
      <c r="QA766" s="134"/>
      <c r="QB766" s="134"/>
      <c r="QC766" s="134"/>
      <c r="QD766" s="134"/>
      <c r="QE766" s="134"/>
      <c r="QF766" s="134"/>
      <c r="QG766" s="134"/>
      <c r="QH766" s="134"/>
      <c r="QI766" s="134"/>
      <c r="QJ766" s="134"/>
      <c r="QK766" s="134"/>
      <c r="QL766" s="134"/>
      <c r="QM766" s="134"/>
      <c r="QN766" s="134"/>
      <c r="QO766" s="134"/>
      <c r="QP766" s="134"/>
      <c r="QQ766" s="134"/>
      <c r="QR766" s="134"/>
      <c r="QS766" s="134"/>
      <c r="QT766" s="134"/>
      <c r="QU766" s="134"/>
      <c r="QV766" s="134"/>
      <c r="QW766" s="134"/>
      <c r="QX766" s="134"/>
      <c r="QY766" s="134"/>
      <c r="QZ766" s="134"/>
      <c r="RA766" s="134"/>
      <c r="RB766" s="134"/>
      <c r="RC766" s="134"/>
      <c r="RD766" s="134"/>
      <c r="RE766" s="134"/>
      <c r="RF766" s="134"/>
      <c r="RG766" s="134"/>
      <c r="RH766" s="134"/>
      <c r="RI766" s="134"/>
      <c r="RJ766" s="134"/>
      <c r="RK766" s="134"/>
      <c r="RL766" s="134"/>
      <c r="RM766" s="134"/>
      <c r="RN766" s="134"/>
      <c r="RO766" s="134"/>
      <c r="RP766" s="134"/>
      <c r="RQ766" s="134"/>
      <c r="RR766" s="134"/>
      <c r="RS766" s="134"/>
      <c r="RT766" s="134"/>
      <c r="RU766" s="134"/>
      <c r="RV766" s="134"/>
      <c r="RW766" s="134"/>
      <c r="RX766" s="134"/>
      <c r="RY766" s="134"/>
      <c r="RZ766" s="134"/>
      <c r="SA766" s="134"/>
      <c r="SB766" s="134"/>
      <c r="SC766" s="134"/>
      <c r="SD766" s="134"/>
      <c r="SE766" s="134"/>
      <c r="SF766" s="134"/>
      <c r="SG766" s="134"/>
      <c r="SH766" s="134"/>
      <c r="SI766" s="134"/>
      <c r="SJ766" s="134"/>
      <c r="SK766" s="134"/>
      <c r="SL766" s="134"/>
      <c r="SM766" s="134"/>
      <c r="SN766" s="134"/>
      <c r="SO766" s="134"/>
      <c r="SP766" s="134"/>
      <c r="SQ766" s="134"/>
      <c r="SR766" s="134"/>
      <c r="SS766" s="134"/>
      <c r="ST766" s="134"/>
      <c r="SU766" s="134"/>
      <c r="SV766" s="134"/>
      <c r="SW766" s="134"/>
      <c r="SX766" s="134"/>
      <c r="SY766" s="134"/>
      <c r="SZ766" s="134"/>
      <c r="TA766" s="134"/>
      <c r="TB766" s="134"/>
      <c r="TC766" s="134"/>
      <c r="TD766" s="134"/>
      <c r="TE766" s="134"/>
      <c r="TF766" s="134"/>
      <c r="TG766" s="134"/>
      <c r="TH766" s="134"/>
      <c r="TI766" s="134"/>
      <c r="TJ766" s="134"/>
      <c r="TK766" s="134"/>
      <c r="TL766" s="134"/>
      <c r="TM766" s="134"/>
      <c r="TN766" s="134"/>
      <c r="TO766" s="134"/>
      <c r="TP766" s="134"/>
      <c r="TQ766" s="134"/>
      <c r="TR766" s="134"/>
      <c r="TS766" s="134"/>
      <c r="TT766" s="134"/>
      <c r="TU766" s="134"/>
      <c r="TV766" s="134"/>
      <c r="TW766" s="134"/>
      <c r="TX766" s="134"/>
      <c r="TY766" s="134"/>
      <c r="TZ766" s="134"/>
      <c r="UA766" s="134"/>
      <c r="UB766" s="134"/>
      <c r="UC766" s="134"/>
      <c r="UD766" s="134"/>
      <c r="UE766" s="134"/>
      <c r="UF766" s="134"/>
      <c r="UG766" s="134"/>
    </row>
    <row r="767" spans="1:553" ht="30.75" customHeight="1">
      <c r="A767" s="1094"/>
      <c r="B767" s="1095" t="s">
        <v>31</v>
      </c>
      <c r="C767" s="1442" t="s">
        <v>954</v>
      </c>
      <c r="D767" s="1389"/>
      <c r="E767" s="1389"/>
      <c r="F767" s="1390"/>
      <c r="G767" s="643" t="s">
        <v>34</v>
      </c>
      <c r="H767" s="1101"/>
      <c r="I767" s="1102">
        <f>(0.1*0.1*3.14)-(0.15*0.15*3.14)*4*12</f>
        <v>-3.3598000000000003</v>
      </c>
      <c r="J767" s="1103">
        <v>4000000</v>
      </c>
      <c r="K767" s="641">
        <v>0.8</v>
      </c>
      <c r="L767" s="627">
        <f t="shared" si="117"/>
        <v>-10751360.000000002</v>
      </c>
      <c r="M767" s="1104"/>
      <c r="N767" s="1104"/>
      <c r="O767" s="1104"/>
      <c r="P767" s="1104"/>
      <c r="Q767" s="1153"/>
      <c r="R767" s="1165"/>
      <c r="S767" s="308"/>
      <c r="T767" s="308"/>
      <c r="U767" s="308"/>
      <c r="V767" s="308"/>
      <c r="W767" s="308"/>
      <c r="X767" s="308"/>
      <c r="Y767" s="308"/>
      <c r="Z767" s="604"/>
      <c r="AA767" s="308"/>
      <c r="AB767" s="308"/>
      <c r="AC767" s="1100"/>
      <c r="AD767" s="1100"/>
      <c r="AE767" s="1100"/>
      <c r="AF767" s="1100"/>
      <c r="AG767" s="1100"/>
      <c r="AH767" s="1100"/>
      <c r="AI767" s="1100"/>
      <c r="AJ767" s="1100"/>
      <c r="AK767" s="1100"/>
      <c r="AL767" s="350"/>
      <c r="AM767" s="134"/>
      <c r="AN767" s="134"/>
      <c r="AO767" s="134"/>
      <c r="AP767" s="134"/>
      <c r="AQ767" s="134"/>
      <c r="AR767" s="134"/>
      <c r="AS767" s="134"/>
      <c r="AT767" s="134"/>
      <c r="AU767" s="134"/>
      <c r="AV767" s="134"/>
      <c r="AW767" s="134"/>
      <c r="AX767" s="134"/>
      <c r="AY767" s="134"/>
      <c r="AZ767" s="134"/>
      <c r="BA767" s="134"/>
      <c r="BB767" s="134"/>
      <c r="BC767" s="134"/>
      <c r="BD767" s="134"/>
      <c r="BE767" s="134"/>
      <c r="BF767" s="134"/>
      <c r="BG767" s="134"/>
      <c r="BH767" s="134"/>
      <c r="BI767" s="134"/>
      <c r="BJ767" s="134"/>
      <c r="BK767" s="134"/>
      <c r="BL767" s="134"/>
      <c r="BM767" s="134"/>
      <c r="BN767" s="134"/>
      <c r="BO767" s="134"/>
      <c r="BP767" s="134"/>
      <c r="BQ767" s="134"/>
      <c r="BR767" s="134"/>
      <c r="BS767" s="134"/>
      <c r="BT767" s="134"/>
      <c r="BU767" s="134"/>
      <c r="BV767" s="134"/>
      <c r="BW767" s="134"/>
      <c r="BX767" s="134"/>
      <c r="BY767" s="134"/>
      <c r="BZ767" s="134"/>
      <c r="CA767" s="134"/>
      <c r="CB767" s="134"/>
      <c r="CC767" s="134"/>
      <c r="CD767" s="134"/>
      <c r="CE767" s="134"/>
      <c r="CF767" s="134"/>
      <c r="CG767" s="134"/>
      <c r="CH767" s="134"/>
      <c r="CI767" s="134"/>
      <c r="CJ767" s="134"/>
      <c r="CK767" s="134"/>
      <c r="CL767" s="134"/>
      <c r="CM767" s="134"/>
      <c r="CN767" s="134"/>
      <c r="CO767" s="134"/>
      <c r="CP767" s="134"/>
      <c r="CQ767" s="134"/>
      <c r="CR767" s="134"/>
      <c r="CS767" s="134"/>
      <c r="CT767" s="134"/>
      <c r="CU767" s="134"/>
      <c r="CV767" s="134"/>
      <c r="CW767" s="134"/>
      <c r="CX767" s="134"/>
      <c r="CY767" s="134"/>
      <c r="CZ767" s="134"/>
      <c r="DA767" s="134"/>
      <c r="DB767" s="134"/>
      <c r="DC767" s="134"/>
      <c r="DD767" s="134"/>
      <c r="DE767" s="134"/>
      <c r="DF767" s="134"/>
      <c r="DG767" s="134"/>
      <c r="DH767" s="134"/>
      <c r="DI767" s="134"/>
      <c r="DJ767" s="134"/>
      <c r="DK767" s="134"/>
      <c r="DL767" s="134"/>
      <c r="DM767" s="134"/>
      <c r="DN767" s="134"/>
      <c r="DO767" s="134"/>
      <c r="DP767" s="134"/>
      <c r="DQ767" s="134"/>
      <c r="DR767" s="134"/>
      <c r="DS767" s="134"/>
      <c r="DT767" s="134"/>
      <c r="DU767" s="134"/>
      <c r="DV767" s="134"/>
      <c r="DW767" s="134"/>
      <c r="DX767" s="134"/>
      <c r="DY767" s="134"/>
      <c r="DZ767" s="134"/>
      <c r="EA767" s="134"/>
      <c r="EB767" s="134"/>
      <c r="EC767" s="134"/>
      <c r="ED767" s="134"/>
      <c r="EE767" s="134"/>
      <c r="EF767" s="134"/>
      <c r="EG767" s="134"/>
      <c r="EH767" s="134"/>
      <c r="EI767" s="134"/>
      <c r="EJ767" s="134"/>
      <c r="EK767" s="134"/>
      <c r="EL767" s="134"/>
      <c r="EM767" s="134"/>
      <c r="EN767" s="134"/>
      <c r="EO767" s="134"/>
      <c r="EP767" s="134"/>
      <c r="EQ767" s="134"/>
      <c r="ER767" s="134"/>
      <c r="ES767" s="134"/>
      <c r="ET767" s="134"/>
      <c r="EU767" s="134"/>
      <c r="EV767" s="134"/>
      <c r="EW767" s="134"/>
      <c r="EX767" s="134"/>
      <c r="EY767" s="134"/>
      <c r="EZ767" s="134"/>
      <c r="FA767" s="134"/>
      <c r="FB767" s="134"/>
      <c r="FC767" s="134"/>
      <c r="FD767" s="134"/>
      <c r="FE767" s="134"/>
      <c r="FF767" s="134"/>
      <c r="FG767" s="134"/>
      <c r="FH767" s="134"/>
      <c r="FI767" s="134"/>
      <c r="FJ767" s="134"/>
      <c r="FK767" s="134"/>
      <c r="FL767" s="134"/>
      <c r="FM767" s="134"/>
      <c r="FN767" s="134"/>
      <c r="FO767" s="134"/>
      <c r="FP767" s="134"/>
      <c r="FQ767" s="134"/>
      <c r="FR767" s="134"/>
      <c r="FS767" s="134"/>
      <c r="FT767" s="134"/>
      <c r="FU767" s="134"/>
      <c r="FV767" s="134"/>
      <c r="FW767" s="134"/>
      <c r="FX767" s="134"/>
      <c r="FY767" s="134"/>
      <c r="FZ767" s="134"/>
      <c r="GA767" s="134"/>
      <c r="GB767" s="134"/>
      <c r="GC767" s="134"/>
      <c r="GD767" s="134"/>
      <c r="GE767" s="134"/>
      <c r="GF767" s="134"/>
      <c r="GG767" s="134"/>
      <c r="GH767" s="134"/>
      <c r="GI767" s="134"/>
      <c r="GJ767" s="134"/>
      <c r="GK767" s="134"/>
      <c r="GL767" s="134"/>
      <c r="GM767" s="134"/>
      <c r="GN767" s="134"/>
      <c r="GO767" s="134"/>
      <c r="GP767" s="134"/>
      <c r="GQ767" s="134"/>
      <c r="GR767" s="134"/>
      <c r="GS767" s="134"/>
      <c r="GT767" s="134"/>
      <c r="GU767" s="134"/>
      <c r="GV767" s="134"/>
      <c r="GW767" s="134"/>
      <c r="GX767" s="134"/>
      <c r="GY767" s="134"/>
      <c r="GZ767" s="134"/>
      <c r="HA767" s="134"/>
      <c r="HB767" s="134"/>
      <c r="HC767" s="134"/>
      <c r="HD767" s="134"/>
      <c r="HE767" s="134"/>
      <c r="HF767" s="134"/>
      <c r="HG767" s="134"/>
      <c r="HH767" s="134"/>
      <c r="HI767" s="134"/>
      <c r="HJ767" s="134"/>
      <c r="HK767" s="134"/>
      <c r="HL767" s="134"/>
      <c r="HM767" s="134"/>
      <c r="HN767" s="134"/>
      <c r="HO767" s="134"/>
      <c r="HP767" s="134"/>
      <c r="HQ767" s="134"/>
      <c r="HR767" s="134"/>
      <c r="HS767" s="134"/>
      <c r="HT767" s="134"/>
      <c r="HU767" s="134"/>
      <c r="HV767" s="134"/>
      <c r="HW767" s="134"/>
      <c r="HX767" s="134"/>
      <c r="HY767" s="134"/>
      <c r="HZ767" s="134"/>
      <c r="IA767" s="134"/>
      <c r="IB767" s="134"/>
      <c r="IC767" s="134"/>
      <c r="ID767" s="134"/>
      <c r="IE767" s="134"/>
      <c r="IF767" s="134"/>
      <c r="IG767" s="134"/>
      <c r="IH767" s="134"/>
      <c r="II767" s="134"/>
      <c r="IJ767" s="134"/>
      <c r="IK767" s="134"/>
      <c r="IL767" s="134"/>
      <c r="IM767" s="134"/>
      <c r="IN767" s="134"/>
      <c r="IO767" s="134"/>
      <c r="IP767" s="134"/>
      <c r="IQ767" s="134"/>
      <c r="IR767" s="134"/>
      <c r="IS767" s="134"/>
      <c r="IT767" s="134"/>
      <c r="IU767" s="134"/>
      <c r="IV767" s="134"/>
      <c r="IW767" s="134"/>
      <c r="IX767" s="134"/>
      <c r="IY767" s="134"/>
      <c r="IZ767" s="134"/>
      <c r="JA767" s="134"/>
      <c r="JB767" s="134"/>
      <c r="JC767" s="134"/>
      <c r="JD767" s="134"/>
      <c r="JE767" s="134"/>
      <c r="JF767" s="134"/>
      <c r="JG767" s="134"/>
      <c r="JH767" s="134"/>
      <c r="JI767" s="134"/>
      <c r="JJ767" s="134"/>
      <c r="JK767" s="134"/>
      <c r="JL767" s="134"/>
      <c r="JM767" s="134"/>
      <c r="JN767" s="134"/>
      <c r="JO767" s="134"/>
      <c r="JP767" s="134"/>
      <c r="JQ767" s="134"/>
      <c r="JR767" s="134"/>
      <c r="JS767" s="134"/>
      <c r="JT767" s="134"/>
      <c r="JU767" s="134"/>
      <c r="JV767" s="134"/>
      <c r="JW767" s="134"/>
      <c r="JX767" s="134"/>
      <c r="JY767" s="134"/>
      <c r="JZ767" s="134"/>
      <c r="KA767" s="134"/>
      <c r="KB767" s="134"/>
      <c r="KC767" s="134"/>
      <c r="KD767" s="134"/>
      <c r="KE767" s="134"/>
      <c r="KF767" s="134"/>
      <c r="KG767" s="134"/>
      <c r="KH767" s="134"/>
      <c r="KI767" s="134"/>
      <c r="KJ767" s="134"/>
      <c r="KK767" s="134"/>
      <c r="KL767" s="134"/>
      <c r="KM767" s="134"/>
      <c r="KN767" s="134"/>
      <c r="KO767" s="134"/>
      <c r="KP767" s="134"/>
      <c r="KQ767" s="134"/>
      <c r="KR767" s="134"/>
      <c r="KS767" s="134"/>
      <c r="KT767" s="134"/>
      <c r="KU767" s="134"/>
      <c r="KV767" s="134"/>
      <c r="KW767" s="134"/>
      <c r="KX767" s="134"/>
      <c r="KY767" s="134"/>
      <c r="KZ767" s="134"/>
      <c r="LA767" s="134"/>
      <c r="LB767" s="134"/>
      <c r="LC767" s="134"/>
      <c r="LD767" s="134"/>
      <c r="LE767" s="134"/>
      <c r="LF767" s="134"/>
      <c r="LG767" s="134"/>
      <c r="LH767" s="134"/>
      <c r="LI767" s="134"/>
      <c r="LJ767" s="134"/>
      <c r="LK767" s="134"/>
      <c r="LL767" s="134"/>
      <c r="LM767" s="134"/>
      <c r="LN767" s="134"/>
      <c r="LO767" s="134"/>
      <c r="LP767" s="134"/>
      <c r="LQ767" s="134"/>
      <c r="LR767" s="134"/>
      <c r="LS767" s="134"/>
      <c r="LT767" s="134"/>
      <c r="LU767" s="134"/>
      <c r="LV767" s="134"/>
      <c r="LW767" s="134"/>
      <c r="LX767" s="134"/>
      <c r="LY767" s="134"/>
      <c r="LZ767" s="134"/>
      <c r="MA767" s="134"/>
      <c r="MB767" s="134"/>
      <c r="MC767" s="134"/>
      <c r="MD767" s="134"/>
      <c r="ME767" s="134"/>
      <c r="MF767" s="134"/>
      <c r="MG767" s="134"/>
      <c r="MH767" s="134"/>
      <c r="MI767" s="134"/>
      <c r="MJ767" s="134"/>
      <c r="MK767" s="134"/>
      <c r="ML767" s="134"/>
      <c r="MM767" s="134"/>
      <c r="MN767" s="134"/>
      <c r="MO767" s="134"/>
      <c r="MP767" s="134"/>
      <c r="MQ767" s="134"/>
      <c r="MR767" s="134"/>
      <c r="MS767" s="134"/>
      <c r="MT767" s="134"/>
      <c r="MU767" s="134"/>
      <c r="MV767" s="134"/>
      <c r="MW767" s="134"/>
      <c r="MX767" s="134"/>
      <c r="MY767" s="134"/>
      <c r="MZ767" s="134"/>
      <c r="NA767" s="134"/>
      <c r="NB767" s="134"/>
      <c r="NC767" s="134"/>
      <c r="ND767" s="134"/>
      <c r="NE767" s="134"/>
      <c r="NF767" s="134"/>
      <c r="NG767" s="134"/>
      <c r="NH767" s="134"/>
      <c r="NI767" s="134"/>
      <c r="NJ767" s="134"/>
      <c r="NK767" s="134"/>
      <c r="NL767" s="134"/>
      <c r="NM767" s="134"/>
      <c r="NN767" s="134"/>
      <c r="NO767" s="134"/>
      <c r="NP767" s="134"/>
      <c r="NQ767" s="134"/>
      <c r="NR767" s="134"/>
      <c r="NS767" s="134"/>
      <c r="NT767" s="134"/>
      <c r="NU767" s="134"/>
      <c r="NV767" s="134"/>
      <c r="NW767" s="134"/>
      <c r="NX767" s="134"/>
      <c r="NY767" s="134"/>
      <c r="NZ767" s="134"/>
      <c r="OA767" s="134"/>
      <c r="OB767" s="134"/>
      <c r="OC767" s="134"/>
      <c r="OD767" s="134"/>
      <c r="OE767" s="134"/>
      <c r="OF767" s="134"/>
      <c r="OG767" s="134"/>
      <c r="OH767" s="134"/>
      <c r="OI767" s="134"/>
      <c r="OJ767" s="134"/>
      <c r="OK767" s="134"/>
      <c r="OL767" s="134"/>
      <c r="OM767" s="134"/>
      <c r="ON767" s="134"/>
      <c r="OO767" s="134"/>
      <c r="OP767" s="134"/>
      <c r="OQ767" s="134"/>
      <c r="OR767" s="134"/>
      <c r="OS767" s="134"/>
      <c r="OT767" s="134"/>
      <c r="OU767" s="134"/>
      <c r="OV767" s="134"/>
      <c r="OW767" s="134"/>
      <c r="OX767" s="134"/>
      <c r="OY767" s="134"/>
      <c r="OZ767" s="134"/>
      <c r="PA767" s="134"/>
      <c r="PB767" s="134"/>
      <c r="PC767" s="134"/>
      <c r="PD767" s="134"/>
      <c r="PE767" s="134"/>
      <c r="PF767" s="134"/>
      <c r="PG767" s="134"/>
      <c r="PH767" s="134"/>
      <c r="PI767" s="134"/>
      <c r="PJ767" s="134"/>
      <c r="PK767" s="134"/>
      <c r="PL767" s="134"/>
      <c r="PM767" s="134"/>
      <c r="PN767" s="134"/>
      <c r="PO767" s="134"/>
      <c r="PP767" s="134"/>
      <c r="PQ767" s="134"/>
      <c r="PR767" s="134"/>
      <c r="PS767" s="134"/>
      <c r="PT767" s="134"/>
      <c r="PU767" s="134"/>
      <c r="PV767" s="134"/>
      <c r="PW767" s="134"/>
      <c r="PX767" s="134"/>
      <c r="PY767" s="134"/>
      <c r="PZ767" s="134"/>
      <c r="QA767" s="134"/>
      <c r="QB767" s="134"/>
      <c r="QC767" s="134"/>
      <c r="QD767" s="134"/>
      <c r="QE767" s="134"/>
      <c r="QF767" s="134"/>
      <c r="QG767" s="134"/>
      <c r="QH767" s="134"/>
      <c r="QI767" s="134"/>
      <c r="QJ767" s="134"/>
      <c r="QK767" s="134"/>
      <c r="QL767" s="134"/>
      <c r="QM767" s="134"/>
      <c r="QN767" s="134"/>
      <c r="QO767" s="134"/>
      <c r="QP767" s="134"/>
      <c r="QQ767" s="134"/>
      <c r="QR767" s="134"/>
      <c r="QS767" s="134"/>
      <c r="QT767" s="134"/>
      <c r="QU767" s="134"/>
      <c r="QV767" s="134"/>
      <c r="QW767" s="134"/>
      <c r="QX767" s="134"/>
      <c r="QY767" s="134"/>
      <c r="QZ767" s="134"/>
      <c r="RA767" s="134"/>
      <c r="RB767" s="134"/>
      <c r="RC767" s="134"/>
      <c r="RD767" s="134"/>
      <c r="RE767" s="134"/>
      <c r="RF767" s="134"/>
      <c r="RG767" s="134"/>
      <c r="RH767" s="134"/>
      <c r="RI767" s="134"/>
      <c r="RJ767" s="134"/>
      <c r="RK767" s="134"/>
      <c r="RL767" s="134"/>
      <c r="RM767" s="134"/>
      <c r="RN767" s="134"/>
      <c r="RO767" s="134"/>
      <c r="RP767" s="134"/>
      <c r="RQ767" s="134"/>
      <c r="RR767" s="134"/>
      <c r="RS767" s="134"/>
      <c r="RT767" s="134"/>
      <c r="RU767" s="134"/>
      <c r="RV767" s="134"/>
      <c r="RW767" s="134"/>
      <c r="RX767" s="134"/>
      <c r="RY767" s="134"/>
      <c r="RZ767" s="134"/>
      <c r="SA767" s="134"/>
      <c r="SB767" s="134"/>
      <c r="SC767" s="134"/>
      <c r="SD767" s="134"/>
      <c r="SE767" s="134"/>
      <c r="SF767" s="134"/>
      <c r="SG767" s="134"/>
      <c r="SH767" s="134"/>
      <c r="SI767" s="134"/>
      <c r="SJ767" s="134"/>
      <c r="SK767" s="134"/>
      <c r="SL767" s="134"/>
      <c r="SM767" s="134"/>
      <c r="SN767" s="134"/>
      <c r="SO767" s="134"/>
      <c r="SP767" s="134"/>
      <c r="SQ767" s="134"/>
      <c r="SR767" s="134"/>
      <c r="SS767" s="134"/>
      <c r="ST767" s="134"/>
      <c r="SU767" s="134"/>
      <c r="SV767" s="134"/>
      <c r="SW767" s="134"/>
      <c r="SX767" s="134"/>
      <c r="SY767" s="134"/>
      <c r="SZ767" s="134"/>
      <c r="TA767" s="134"/>
      <c r="TB767" s="134"/>
      <c r="TC767" s="134"/>
      <c r="TD767" s="134"/>
      <c r="TE767" s="134"/>
      <c r="TF767" s="134"/>
      <c r="TG767" s="134"/>
      <c r="TH767" s="134"/>
      <c r="TI767" s="134"/>
      <c r="TJ767" s="134"/>
      <c r="TK767" s="134"/>
      <c r="TL767" s="134"/>
      <c r="TM767" s="134"/>
      <c r="TN767" s="134"/>
      <c r="TO767" s="134"/>
      <c r="TP767" s="134"/>
      <c r="TQ767" s="134"/>
      <c r="TR767" s="134"/>
      <c r="TS767" s="134"/>
      <c r="TT767" s="134"/>
      <c r="TU767" s="134"/>
      <c r="TV767" s="134"/>
      <c r="TW767" s="134"/>
      <c r="TX767" s="134"/>
      <c r="TY767" s="134"/>
      <c r="TZ767" s="134"/>
      <c r="UA767" s="134"/>
      <c r="UB767" s="134"/>
      <c r="UC767" s="134"/>
      <c r="UD767" s="134"/>
      <c r="UE767" s="134"/>
      <c r="UF767" s="134"/>
      <c r="UG767" s="134"/>
    </row>
    <row r="768" spans="1:553" ht="30.75" customHeight="1">
      <c r="A768" s="366"/>
      <c r="B768" s="366" t="s">
        <v>31</v>
      </c>
      <c r="C768" s="1401" t="s">
        <v>953</v>
      </c>
      <c r="D768" s="1389"/>
      <c r="E768" s="1389"/>
      <c r="F768" s="1390"/>
      <c r="G768" s="366" t="s">
        <v>34</v>
      </c>
      <c r="H768" s="622"/>
      <c r="I768" s="626">
        <f>-22.8*1.6*0.22</f>
        <v>-8.0256000000000007</v>
      </c>
      <c r="J768" s="369">
        <v>1748702</v>
      </c>
      <c r="K768" s="641">
        <v>0.8</v>
      </c>
      <c r="L768" s="627">
        <f t="shared" si="117"/>
        <v>-11227506.216960002</v>
      </c>
      <c r="M768" s="366"/>
      <c r="N768" s="366"/>
      <c r="O768" s="366"/>
      <c r="P768" s="366"/>
      <c r="Q768" s="1151"/>
      <c r="R768" s="1226"/>
      <c r="S768" s="308"/>
      <c r="T768" s="308"/>
      <c r="U768" s="308"/>
      <c r="V768" s="308"/>
      <c r="W768" s="308"/>
      <c r="X768" s="308"/>
      <c r="Y768" s="308"/>
      <c r="Z768" s="604"/>
      <c r="AA768" s="308"/>
      <c r="AB768" s="308"/>
      <c r="AC768" s="625"/>
      <c r="AD768" s="625"/>
      <c r="AE768" s="625"/>
      <c r="AF768" s="625"/>
      <c r="AG768" s="625"/>
      <c r="AH768" s="625"/>
      <c r="AI768" s="625"/>
      <c r="AJ768" s="625"/>
      <c r="AK768" s="625"/>
      <c r="AL768" s="133"/>
      <c r="AM768" s="133"/>
      <c r="AN768" s="133"/>
      <c r="AO768" s="133"/>
      <c r="AP768" s="133"/>
      <c r="AQ768" s="133"/>
      <c r="AR768" s="133"/>
      <c r="AS768" s="133"/>
      <c r="AT768" s="133"/>
      <c r="AU768" s="133"/>
      <c r="AV768" s="133"/>
      <c r="AW768" s="133"/>
      <c r="AX768" s="133"/>
      <c r="AY768" s="133"/>
      <c r="AZ768" s="133"/>
      <c r="BA768" s="133"/>
      <c r="BB768" s="133"/>
      <c r="BC768" s="133"/>
      <c r="BD768" s="133"/>
      <c r="BE768" s="133"/>
      <c r="BF768" s="133"/>
      <c r="BG768" s="133"/>
      <c r="BH768" s="133"/>
      <c r="BI768" s="133"/>
      <c r="BJ768" s="133"/>
      <c r="BK768" s="133"/>
      <c r="BL768" s="133"/>
      <c r="BM768" s="133"/>
      <c r="BN768" s="133"/>
      <c r="BO768" s="133"/>
      <c r="BP768" s="133"/>
      <c r="BQ768" s="132"/>
      <c r="BR768" s="132"/>
      <c r="BS768" s="132"/>
      <c r="BT768" s="132"/>
      <c r="BU768" s="132"/>
      <c r="BV768" s="132"/>
      <c r="BW768" s="132"/>
      <c r="BX768" s="132"/>
      <c r="BY768" s="132"/>
      <c r="BZ768" s="132"/>
      <c r="CA768" s="132"/>
      <c r="CB768" s="132"/>
      <c r="CC768" s="132"/>
      <c r="CD768" s="132"/>
      <c r="CE768" s="132"/>
      <c r="CF768" s="132"/>
      <c r="CG768" s="132"/>
      <c r="CH768" s="132"/>
      <c r="CI768" s="132"/>
      <c r="CJ768" s="132"/>
      <c r="CK768" s="132"/>
      <c r="CL768" s="132"/>
      <c r="CM768" s="132"/>
      <c r="CN768" s="132"/>
      <c r="CO768" s="132"/>
      <c r="CP768" s="132"/>
      <c r="CQ768" s="132"/>
      <c r="CR768" s="132"/>
      <c r="CS768" s="132"/>
      <c r="CT768" s="132"/>
      <c r="CU768" s="132"/>
      <c r="CV768" s="132"/>
      <c r="CW768" s="132"/>
      <c r="CX768" s="132"/>
      <c r="CY768" s="132"/>
      <c r="CZ768" s="132"/>
      <c r="DA768" s="132"/>
      <c r="DB768" s="132"/>
      <c r="DC768" s="132"/>
      <c r="DD768" s="132"/>
      <c r="DE768" s="132"/>
      <c r="DF768" s="132"/>
      <c r="DG768" s="132"/>
      <c r="DH768" s="132"/>
      <c r="DI768" s="132"/>
      <c r="DJ768" s="132"/>
      <c r="DK768" s="132"/>
      <c r="DL768" s="132"/>
      <c r="DM768" s="132"/>
      <c r="DN768" s="132"/>
      <c r="DO768" s="132"/>
      <c r="DP768" s="132"/>
      <c r="DQ768" s="132"/>
      <c r="DR768" s="132"/>
      <c r="DS768" s="132"/>
      <c r="DT768" s="132"/>
      <c r="DU768" s="132"/>
      <c r="DV768" s="132"/>
      <c r="DW768" s="132"/>
      <c r="DX768" s="132"/>
      <c r="DY768" s="132"/>
      <c r="DZ768" s="132"/>
      <c r="EA768" s="132"/>
      <c r="EB768" s="132"/>
      <c r="EC768" s="132"/>
      <c r="ED768" s="132"/>
      <c r="EE768" s="132"/>
      <c r="EF768" s="132"/>
      <c r="EG768" s="132"/>
      <c r="EH768" s="132"/>
      <c r="EI768" s="132"/>
      <c r="EJ768" s="132"/>
      <c r="EK768" s="132"/>
      <c r="EL768" s="132"/>
      <c r="EM768" s="132"/>
      <c r="EN768" s="132"/>
      <c r="EO768" s="132"/>
      <c r="EP768" s="132"/>
      <c r="EQ768" s="132"/>
      <c r="ER768" s="132"/>
      <c r="ES768" s="132"/>
      <c r="ET768" s="132"/>
      <c r="EU768" s="132"/>
      <c r="EV768" s="132"/>
      <c r="EW768" s="132"/>
      <c r="EX768" s="132"/>
      <c r="EY768" s="132"/>
      <c r="EZ768" s="132"/>
      <c r="FA768" s="132"/>
      <c r="FB768" s="132"/>
      <c r="FC768" s="132"/>
      <c r="FD768" s="132"/>
      <c r="FE768" s="132"/>
      <c r="FF768" s="132"/>
      <c r="FG768" s="132"/>
      <c r="FH768" s="132"/>
      <c r="FI768" s="132"/>
      <c r="FJ768" s="132"/>
      <c r="FK768" s="132"/>
      <c r="FL768" s="132"/>
      <c r="FM768" s="132"/>
      <c r="FN768" s="132"/>
      <c r="FO768" s="132"/>
      <c r="FP768" s="132"/>
      <c r="FQ768" s="132"/>
      <c r="FR768" s="132"/>
      <c r="FS768" s="132"/>
      <c r="FT768" s="132"/>
      <c r="FU768" s="132"/>
      <c r="FV768" s="132"/>
      <c r="FW768" s="132"/>
      <c r="FX768" s="132"/>
      <c r="FY768" s="132"/>
      <c r="FZ768" s="132"/>
      <c r="GA768" s="132"/>
      <c r="GB768" s="132"/>
      <c r="GC768" s="132"/>
      <c r="GD768" s="132"/>
      <c r="GE768" s="132"/>
      <c r="GF768" s="132"/>
      <c r="GG768" s="132"/>
      <c r="GH768" s="132"/>
      <c r="GI768" s="132"/>
      <c r="GJ768" s="132"/>
      <c r="GK768" s="132"/>
      <c r="GL768" s="132"/>
      <c r="GM768" s="132"/>
      <c r="GN768" s="132"/>
      <c r="GO768" s="132"/>
      <c r="GP768" s="132"/>
      <c r="GQ768" s="132"/>
      <c r="GR768" s="132"/>
      <c r="GS768" s="132"/>
      <c r="GT768" s="132"/>
      <c r="GU768" s="132"/>
      <c r="GV768" s="132"/>
      <c r="GW768" s="132"/>
      <c r="GX768" s="132"/>
      <c r="GY768" s="132"/>
      <c r="GZ768" s="132"/>
      <c r="HA768" s="132"/>
      <c r="HB768" s="132"/>
      <c r="HC768" s="132"/>
      <c r="HD768" s="132"/>
      <c r="HE768" s="132"/>
      <c r="HF768" s="132"/>
      <c r="HG768" s="132"/>
      <c r="HH768" s="132"/>
      <c r="HI768" s="132"/>
      <c r="HJ768" s="132"/>
      <c r="HK768" s="132"/>
      <c r="HL768" s="132"/>
      <c r="HM768" s="132"/>
      <c r="HN768" s="132"/>
      <c r="HO768" s="132"/>
      <c r="HP768" s="132"/>
      <c r="HQ768" s="132"/>
      <c r="HR768" s="132"/>
      <c r="HS768" s="132"/>
      <c r="HT768" s="132"/>
      <c r="HU768" s="132"/>
      <c r="HV768" s="132"/>
      <c r="HW768" s="132"/>
      <c r="HX768" s="132"/>
      <c r="HY768" s="132"/>
      <c r="HZ768" s="132"/>
      <c r="IA768" s="132"/>
      <c r="IB768" s="132"/>
      <c r="IC768" s="132"/>
      <c r="ID768" s="132"/>
      <c r="IE768" s="132"/>
      <c r="IF768" s="132"/>
      <c r="IG768" s="132"/>
      <c r="IH768" s="132"/>
      <c r="II768" s="132"/>
      <c r="IJ768" s="132"/>
      <c r="IK768" s="132"/>
      <c r="IL768" s="132"/>
      <c r="IM768" s="132"/>
      <c r="IN768" s="132"/>
      <c r="IO768" s="132"/>
      <c r="IP768" s="132"/>
      <c r="IQ768" s="132"/>
      <c r="IR768" s="132"/>
      <c r="IS768" s="132"/>
      <c r="IT768" s="132"/>
      <c r="IU768" s="132"/>
      <c r="IV768" s="132"/>
      <c r="IW768" s="132"/>
      <c r="IX768" s="132"/>
      <c r="IY768" s="132"/>
      <c r="IZ768" s="132"/>
      <c r="JA768" s="132"/>
      <c r="JB768" s="132"/>
      <c r="JC768" s="132"/>
      <c r="JD768" s="132"/>
      <c r="JE768" s="132"/>
      <c r="JF768" s="132"/>
      <c r="JG768" s="132"/>
      <c r="JH768" s="132"/>
      <c r="JI768" s="132"/>
      <c r="JJ768" s="132"/>
      <c r="JK768" s="132"/>
      <c r="JL768" s="132"/>
      <c r="JM768" s="132"/>
      <c r="JN768" s="132"/>
      <c r="JO768" s="132"/>
      <c r="JP768" s="132"/>
      <c r="JQ768" s="132"/>
      <c r="JR768" s="132"/>
      <c r="JS768" s="132"/>
      <c r="JT768" s="132"/>
      <c r="JU768" s="132"/>
      <c r="JV768" s="132"/>
      <c r="JW768" s="132"/>
      <c r="JX768" s="132"/>
      <c r="JY768" s="132"/>
      <c r="JZ768" s="132"/>
      <c r="KA768" s="132"/>
      <c r="KB768" s="132"/>
      <c r="KC768" s="132"/>
      <c r="KD768" s="132"/>
      <c r="KE768" s="132"/>
      <c r="KF768" s="132"/>
      <c r="KG768" s="132"/>
      <c r="KH768" s="132"/>
      <c r="KI768" s="132"/>
      <c r="KJ768" s="132"/>
      <c r="KK768" s="132"/>
      <c r="KL768" s="132"/>
      <c r="KM768" s="132"/>
      <c r="KN768" s="132"/>
      <c r="KO768" s="132"/>
      <c r="KP768" s="132"/>
      <c r="KQ768" s="132"/>
      <c r="KR768" s="132"/>
      <c r="KS768" s="132"/>
      <c r="KT768" s="132"/>
      <c r="KU768" s="132"/>
      <c r="KV768" s="132"/>
      <c r="KW768" s="132"/>
      <c r="KX768" s="132"/>
      <c r="KY768" s="132"/>
      <c r="KZ768" s="132"/>
      <c r="LA768" s="132"/>
      <c r="LB768" s="132"/>
      <c r="LC768" s="132"/>
      <c r="LD768" s="132"/>
      <c r="LE768" s="132"/>
      <c r="LF768" s="132"/>
      <c r="LG768" s="132"/>
      <c r="LH768" s="132"/>
      <c r="LI768" s="132"/>
      <c r="LJ768" s="132"/>
      <c r="LK768" s="132"/>
      <c r="LL768" s="132"/>
      <c r="LM768" s="132"/>
      <c r="LN768" s="132"/>
      <c r="LO768" s="132"/>
      <c r="LP768" s="132"/>
      <c r="LQ768" s="132"/>
      <c r="LR768" s="132"/>
      <c r="LS768" s="132"/>
      <c r="LT768" s="132"/>
      <c r="LU768" s="132"/>
      <c r="LV768" s="132"/>
      <c r="LW768" s="132"/>
      <c r="LX768" s="132"/>
      <c r="LY768" s="132"/>
      <c r="LZ768" s="132"/>
      <c r="MA768" s="132"/>
      <c r="MB768" s="132"/>
      <c r="MC768" s="132"/>
      <c r="MD768" s="132"/>
      <c r="ME768" s="132"/>
      <c r="MF768" s="132"/>
      <c r="MG768" s="132"/>
      <c r="MH768" s="132"/>
      <c r="MI768" s="132"/>
      <c r="MJ768" s="132"/>
      <c r="MK768" s="132"/>
      <c r="ML768" s="132"/>
      <c r="MM768" s="132"/>
      <c r="MN768" s="132"/>
      <c r="MO768" s="132"/>
      <c r="MP768" s="132"/>
      <c r="MQ768" s="132"/>
      <c r="MR768" s="132"/>
      <c r="MS768" s="132"/>
      <c r="MT768" s="132"/>
      <c r="MU768" s="132"/>
      <c r="MV768" s="132"/>
      <c r="MW768" s="132"/>
      <c r="MX768" s="132"/>
      <c r="MY768" s="132"/>
      <c r="MZ768" s="132"/>
      <c r="NA768" s="132"/>
      <c r="NB768" s="132"/>
      <c r="NC768" s="132"/>
      <c r="ND768" s="132"/>
      <c r="NE768" s="132"/>
      <c r="NF768" s="132"/>
      <c r="NG768" s="132"/>
      <c r="NH768" s="132"/>
      <c r="NI768" s="132"/>
      <c r="NJ768" s="132"/>
      <c r="NK768" s="132"/>
      <c r="NL768" s="132"/>
      <c r="NM768" s="132"/>
      <c r="NN768" s="132"/>
      <c r="NO768" s="132"/>
      <c r="NP768" s="132"/>
      <c r="NQ768" s="132"/>
      <c r="NR768" s="132"/>
      <c r="NS768" s="132"/>
      <c r="NT768" s="132"/>
      <c r="NU768" s="132"/>
      <c r="NV768" s="132"/>
      <c r="NW768" s="132"/>
      <c r="NX768" s="132"/>
      <c r="NY768" s="132"/>
      <c r="NZ768" s="132"/>
      <c r="OA768" s="132"/>
      <c r="OB768" s="132"/>
      <c r="OC768" s="132"/>
      <c r="OD768" s="132"/>
      <c r="OE768" s="132"/>
      <c r="OF768" s="132"/>
      <c r="OG768" s="132"/>
      <c r="OH768" s="132"/>
      <c r="OI768" s="132"/>
      <c r="OJ768" s="132"/>
      <c r="OK768" s="132"/>
      <c r="OL768" s="132"/>
      <c r="OM768" s="132"/>
      <c r="ON768" s="132"/>
      <c r="OO768" s="132"/>
      <c r="OP768" s="132"/>
      <c r="OQ768" s="132"/>
      <c r="OR768" s="132"/>
      <c r="OS768" s="132"/>
      <c r="OT768" s="132"/>
      <c r="OU768" s="132"/>
      <c r="OV768" s="132"/>
      <c r="OW768" s="132"/>
      <c r="OX768" s="132"/>
      <c r="OY768" s="132"/>
      <c r="OZ768" s="132"/>
      <c r="PA768" s="132"/>
      <c r="PB768" s="132"/>
      <c r="PC768" s="132"/>
      <c r="PD768" s="132"/>
      <c r="PE768" s="132"/>
      <c r="PF768" s="132"/>
      <c r="PG768" s="132"/>
      <c r="PH768" s="132"/>
      <c r="PI768" s="132"/>
      <c r="PJ768" s="132"/>
      <c r="PK768" s="132"/>
      <c r="PL768" s="132"/>
      <c r="PM768" s="132"/>
      <c r="PN768" s="132"/>
      <c r="PO768" s="132"/>
      <c r="PP768" s="132"/>
      <c r="PQ768" s="132"/>
      <c r="PR768" s="132"/>
      <c r="PS768" s="132"/>
      <c r="PT768" s="132"/>
      <c r="PU768" s="132"/>
      <c r="PV768" s="132"/>
      <c r="PW768" s="132"/>
      <c r="PX768" s="132"/>
      <c r="PY768" s="132"/>
      <c r="PZ768" s="132"/>
      <c r="QA768" s="132"/>
      <c r="QB768" s="132"/>
      <c r="QC768" s="132"/>
      <c r="QD768" s="132"/>
      <c r="QE768" s="132"/>
      <c r="QF768" s="132"/>
      <c r="QG768" s="132"/>
      <c r="QH768" s="132"/>
      <c r="QI768" s="132"/>
      <c r="QJ768" s="132"/>
      <c r="QK768" s="132"/>
      <c r="QL768" s="132"/>
      <c r="QM768" s="132"/>
      <c r="QN768" s="132"/>
      <c r="QO768" s="132"/>
      <c r="QP768" s="132"/>
      <c r="QQ768" s="132"/>
      <c r="QR768" s="132"/>
      <c r="QS768" s="132"/>
      <c r="QT768" s="132"/>
      <c r="QU768" s="132"/>
      <c r="QV768" s="132"/>
      <c r="QW768" s="132"/>
      <c r="QX768" s="132"/>
      <c r="QY768" s="132"/>
      <c r="QZ768" s="132"/>
      <c r="RA768" s="132"/>
      <c r="RB768" s="132"/>
      <c r="RC768" s="132"/>
      <c r="RD768" s="132"/>
      <c r="RE768" s="132"/>
      <c r="RF768" s="132"/>
      <c r="RG768" s="132"/>
      <c r="RH768" s="132"/>
      <c r="RI768" s="132"/>
      <c r="RJ768" s="132"/>
      <c r="RK768" s="132"/>
      <c r="RL768" s="132"/>
      <c r="RM768" s="132"/>
      <c r="RN768" s="132"/>
      <c r="RO768" s="132"/>
      <c r="RP768" s="132"/>
      <c r="RQ768" s="132"/>
      <c r="RR768" s="132"/>
      <c r="RS768" s="132"/>
      <c r="RT768" s="132"/>
      <c r="RU768" s="132"/>
      <c r="RV768" s="132"/>
      <c r="RW768" s="132"/>
      <c r="RX768" s="132"/>
      <c r="RY768" s="132"/>
      <c r="RZ768" s="132"/>
      <c r="SA768" s="132"/>
      <c r="SB768" s="132"/>
      <c r="SC768" s="132"/>
      <c r="SD768" s="132"/>
      <c r="SE768" s="132"/>
      <c r="SF768" s="132"/>
      <c r="SG768" s="132"/>
      <c r="SH768" s="132"/>
      <c r="SI768" s="132"/>
      <c r="SJ768" s="132"/>
      <c r="SK768" s="132"/>
      <c r="SL768" s="132"/>
      <c r="SM768" s="132"/>
      <c r="SN768" s="132"/>
      <c r="SO768" s="132"/>
      <c r="SP768" s="132"/>
      <c r="SQ768" s="132"/>
      <c r="SR768" s="132"/>
      <c r="SS768" s="132"/>
      <c r="ST768" s="132"/>
      <c r="SU768" s="132"/>
      <c r="SV768" s="132"/>
      <c r="SW768" s="132"/>
      <c r="SX768" s="132"/>
      <c r="SY768" s="132"/>
      <c r="SZ768" s="132"/>
      <c r="TA768" s="132"/>
      <c r="TB768" s="132"/>
      <c r="TC768" s="132"/>
      <c r="TD768" s="132"/>
      <c r="TE768" s="132"/>
      <c r="TF768" s="132"/>
      <c r="TG768" s="132"/>
      <c r="TH768" s="132"/>
      <c r="TI768" s="132"/>
      <c r="TJ768" s="132"/>
      <c r="TK768" s="132"/>
      <c r="TL768" s="132"/>
      <c r="TM768" s="132"/>
      <c r="TN768" s="132"/>
      <c r="TO768" s="132"/>
      <c r="TP768" s="132"/>
      <c r="TQ768" s="132"/>
      <c r="TR768" s="132"/>
      <c r="TS768" s="132"/>
      <c r="TT768" s="132"/>
      <c r="TU768" s="132"/>
      <c r="TV768" s="132"/>
      <c r="TW768" s="132"/>
      <c r="TX768" s="132"/>
      <c r="TY768" s="132"/>
      <c r="TZ768" s="132"/>
      <c r="UA768" s="132"/>
      <c r="UB768" s="132"/>
      <c r="UC768" s="132"/>
      <c r="UD768" s="132"/>
      <c r="UE768" s="132"/>
      <c r="UF768" s="132"/>
      <c r="UG768" s="132"/>
    </row>
    <row r="769" spans="1:553" s="120" customFormat="1" ht="34.5" customHeight="1">
      <c r="A769" s="431" t="s">
        <v>30</v>
      </c>
      <c r="B769" s="541">
        <v>2</v>
      </c>
      <c r="C769" s="1402" t="s">
        <v>891</v>
      </c>
      <c r="D769" s="1389"/>
      <c r="E769" s="1389"/>
      <c r="F769" s="1390"/>
      <c r="G769" s="542" t="s">
        <v>33</v>
      </c>
      <c r="H769" s="543"/>
      <c r="I769" s="631">
        <f>-22.8*1.6*2</f>
        <v>-72.960000000000008</v>
      </c>
      <c r="J769" s="990">
        <v>52000</v>
      </c>
      <c r="K769" s="644">
        <v>0.8</v>
      </c>
      <c r="L769" s="632">
        <f t="shared" si="117"/>
        <v>-3035136.0000000005</v>
      </c>
      <c r="M769" s="637"/>
      <c r="N769" s="637"/>
      <c r="O769" s="544"/>
      <c r="P769" s="638"/>
      <c r="Q769" s="634"/>
      <c r="R769" s="1164"/>
      <c r="S769" s="308"/>
      <c r="T769" s="308"/>
      <c r="U769" s="308"/>
      <c r="V769" s="308"/>
      <c r="W769" s="308"/>
      <c r="X769" s="308"/>
      <c r="Y769" s="308"/>
      <c r="Z769" s="604"/>
      <c r="AA769" s="308"/>
      <c r="AB769" s="308"/>
      <c r="AC769" s="545"/>
      <c r="AD769" s="545"/>
      <c r="AE769" s="545"/>
      <c r="AF769" s="545"/>
      <c r="AG769" s="546"/>
      <c r="AH769" s="546"/>
      <c r="AI769" s="546"/>
      <c r="AJ769" s="546"/>
      <c r="AK769" s="546"/>
      <c r="AL769" s="138"/>
      <c r="AM769" s="138"/>
      <c r="AN769" s="138"/>
      <c r="AO769" s="138"/>
      <c r="AP769" s="138"/>
      <c r="AQ769" s="139"/>
      <c r="AR769" s="139"/>
      <c r="AS769" s="139"/>
      <c r="AT769" s="139"/>
      <c r="AU769" s="139"/>
      <c r="AV769" s="139"/>
      <c r="AW769" s="139"/>
      <c r="AX769" s="139"/>
      <c r="AY769" s="139"/>
      <c r="AZ769" s="139"/>
      <c r="BA769" s="139"/>
      <c r="BB769" s="139"/>
      <c r="BC769" s="139"/>
      <c r="BD769" s="139"/>
      <c r="BE769" s="139"/>
      <c r="BF769" s="139"/>
      <c r="BG769" s="139"/>
      <c r="BH769" s="139"/>
      <c r="BI769" s="139"/>
      <c r="BJ769" s="139"/>
      <c r="BK769" s="139"/>
      <c r="BL769" s="139"/>
      <c r="BM769" s="139"/>
      <c r="BN769" s="139"/>
      <c r="BO769" s="139"/>
      <c r="BP769" s="139"/>
      <c r="BQ769" s="139"/>
      <c r="BR769" s="139"/>
      <c r="BS769" s="139"/>
      <c r="BT769" s="139"/>
      <c r="BU769" s="139"/>
      <c r="BV769" s="139"/>
      <c r="BW769" s="139"/>
      <c r="BX769" s="139"/>
      <c r="BY769" s="139"/>
      <c r="BZ769" s="139"/>
      <c r="CA769" s="139"/>
      <c r="CB769" s="139"/>
      <c r="CC769" s="139"/>
      <c r="CD769" s="139"/>
      <c r="CE769" s="139"/>
      <c r="CF769" s="139"/>
      <c r="CG769" s="139"/>
      <c r="CH769" s="139"/>
      <c r="CI769" s="139"/>
      <c r="CJ769" s="139"/>
      <c r="CK769" s="139"/>
      <c r="CL769" s="139"/>
      <c r="CM769" s="139"/>
      <c r="CN769" s="139"/>
      <c r="CO769" s="139"/>
      <c r="CP769" s="139"/>
      <c r="CQ769" s="139"/>
      <c r="CR769" s="139"/>
      <c r="CS769" s="139"/>
      <c r="CT769" s="139"/>
      <c r="CU769" s="139"/>
      <c r="CV769" s="139"/>
      <c r="CW769" s="139"/>
      <c r="CX769" s="139"/>
      <c r="CY769" s="139"/>
      <c r="CZ769" s="139"/>
      <c r="DA769" s="139"/>
      <c r="DB769" s="139"/>
      <c r="DC769" s="139"/>
      <c r="DD769" s="139"/>
      <c r="DE769" s="139"/>
      <c r="DF769" s="139"/>
      <c r="DG769" s="139"/>
      <c r="DH769" s="139"/>
      <c r="DI769" s="139"/>
      <c r="DJ769" s="139"/>
      <c r="DK769" s="139"/>
      <c r="DL769" s="139"/>
      <c r="DM769" s="139"/>
      <c r="DN769" s="139"/>
      <c r="DO769" s="139"/>
      <c r="DP769" s="139"/>
      <c r="DQ769" s="139"/>
      <c r="DR769" s="139"/>
      <c r="DS769" s="139"/>
      <c r="DT769" s="139"/>
      <c r="DU769" s="139"/>
      <c r="DV769" s="139"/>
      <c r="DW769" s="139"/>
      <c r="DX769" s="139"/>
      <c r="DY769" s="139"/>
      <c r="DZ769" s="139"/>
      <c r="EA769" s="139"/>
      <c r="EB769" s="139"/>
      <c r="EC769" s="139"/>
      <c r="ED769" s="139"/>
      <c r="EE769" s="139"/>
      <c r="EF769" s="139"/>
      <c r="EG769" s="139"/>
      <c r="EH769" s="139"/>
      <c r="EI769" s="139"/>
      <c r="EJ769" s="139"/>
      <c r="EK769" s="139"/>
      <c r="EL769" s="139"/>
      <c r="EM769" s="139"/>
      <c r="EN769" s="139"/>
      <c r="EO769" s="139"/>
      <c r="EP769" s="139"/>
      <c r="EQ769" s="139"/>
      <c r="ER769" s="139"/>
      <c r="ES769" s="139"/>
      <c r="ET769" s="139"/>
      <c r="EU769" s="139"/>
      <c r="EV769" s="139"/>
      <c r="EW769" s="139"/>
      <c r="EX769" s="139"/>
      <c r="EY769" s="139"/>
      <c r="EZ769" s="139"/>
      <c r="FA769" s="139"/>
      <c r="FB769" s="139"/>
      <c r="FC769" s="139"/>
      <c r="FD769" s="139"/>
      <c r="FE769" s="139"/>
      <c r="FF769" s="139"/>
      <c r="FG769" s="139"/>
      <c r="FH769" s="139"/>
      <c r="FI769" s="139"/>
      <c r="FJ769" s="139"/>
      <c r="FK769" s="139"/>
      <c r="FL769" s="139"/>
      <c r="FM769" s="139"/>
      <c r="FN769" s="139"/>
      <c r="FO769" s="139"/>
      <c r="FP769" s="139"/>
      <c r="FQ769" s="139"/>
      <c r="FR769" s="139"/>
      <c r="FS769" s="139"/>
      <c r="FT769" s="139"/>
      <c r="FU769" s="139"/>
      <c r="FV769" s="139"/>
      <c r="FW769" s="139"/>
      <c r="FX769" s="139"/>
      <c r="FY769" s="139"/>
      <c r="FZ769" s="139"/>
      <c r="GA769" s="139"/>
      <c r="GB769" s="139"/>
      <c r="GC769" s="139"/>
      <c r="GD769" s="139"/>
      <c r="GE769" s="139"/>
      <c r="GF769" s="139"/>
      <c r="GG769" s="139"/>
      <c r="GH769" s="139"/>
      <c r="GI769" s="139"/>
      <c r="GJ769" s="139"/>
      <c r="GK769" s="139"/>
      <c r="GL769" s="139"/>
      <c r="GM769" s="139"/>
      <c r="GN769" s="139"/>
      <c r="GO769" s="139"/>
      <c r="GP769" s="139"/>
      <c r="GQ769" s="139"/>
      <c r="GR769" s="139"/>
      <c r="GS769" s="139"/>
      <c r="GT769" s="139"/>
      <c r="GU769" s="139"/>
      <c r="GV769" s="139"/>
      <c r="GW769" s="139"/>
      <c r="GX769" s="139"/>
      <c r="GY769" s="139"/>
      <c r="GZ769" s="139"/>
      <c r="HA769" s="139"/>
      <c r="HB769" s="139"/>
      <c r="HC769" s="139"/>
      <c r="HD769" s="139"/>
      <c r="HE769" s="139"/>
      <c r="HF769" s="139"/>
      <c r="HG769" s="139"/>
      <c r="HH769" s="139"/>
      <c r="HI769" s="139"/>
      <c r="HJ769" s="139"/>
      <c r="HK769" s="139"/>
      <c r="HL769" s="139"/>
      <c r="HM769" s="139"/>
      <c r="HN769" s="139"/>
      <c r="HO769" s="139"/>
      <c r="HP769" s="139"/>
      <c r="HQ769" s="139"/>
      <c r="HR769" s="139"/>
      <c r="HS769" s="139"/>
      <c r="HT769" s="139"/>
      <c r="HU769" s="139"/>
      <c r="HV769" s="139"/>
      <c r="HW769" s="139"/>
      <c r="HX769" s="139"/>
      <c r="HY769" s="139"/>
      <c r="HZ769" s="139"/>
      <c r="IA769" s="139"/>
      <c r="IB769" s="139"/>
      <c r="IC769" s="139"/>
      <c r="ID769" s="139"/>
      <c r="IE769" s="139"/>
      <c r="IF769" s="139"/>
      <c r="IG769" s="139"/>
      <c r="IH769" s="139"/>
      <c r="II769" s="139"/>
      <c r="IJ769" s="139"/>
      <c r="IK769" s="139"/>
      <c r="IL769" s="139"/>
      <c r="IM769" s="139"/>
      <c r="IN769" s="139"/>
      <c r="IO769" s="139"/>
      <c r="IP769" s="139"/>
      <c r="IQ769" s="139"/>
      <c r="IR769" s="139"/>
      <c r="IS769" s="139"/>
      <c r="IT769" s="139"/>
      <c r="IU769" s="139"/>
      <c r="IV769" s="139"/>
      <c r="IW769" s="139"/>
      <c r="IX769" s="139"/>
      <c r="IY769" s="139"/>
      <c r="IZ769" s="139"/>
      <c r="JA769" s="139"/>
      <c r="JB769" s="139"/>
      <c r="JC769" s="139"/>
      <c r="JD769" s="139"/>
      <c r="JE769" s="139"/>
      <c r="JF769" s="139"/>
      <c r="JG769" s="139"/>
      <c r="JH769" s="139"/>
      <c r="JI769" s="139"/>
      <c r="JJ769" s="139"/>
      <c r="JK769" s="139"/>
      <c r="JL769" s="139"/>
      <c r="JM769" s="139"/>
      <c r="JN769" s="139"/>
      <c r="JO769" s="139"/>
      <c r="JP769" s="139"/>
      <c r="JQ769" s="139"/>
      <c r="JR769" s="139"/>
      <c r="JS769" s="139"/>
      <c r="JT769" s="139"/>
      <c r="JU769" s="139"/>
      <c r="JV769" s="139"/>
      <c r="JW769" s="139"/>
      <c r="JX769" s="139"/>
      <c r="JY769" s="139"/>
      <c r="JZ769" s="139"/>
      <c r="KA769" s="139"/>
      <c r="KB769" s="139"/>
      <c r="KC769" s="139"/>
      <c r="KD769" s="139"/>
      <c r="KE769" s="139"/>
      <c r="KF769" s="139"/>
      <c r="KG769" s="139"/>
      <c r="KH769" s="139"/>
      <c r="KI769" s="139"/>
      <c r="KJ769" s="139"/>
      <c r="KK769" s="139"/>
      <c r="KL769" s="139"/>
      <c r="KM769" s="139"/>
      <c r="KN769" s="139"/>
      <c r="KO769" s="139"/>
      <c r="KP769" s="139"/>
      <c r="KQ769" s="139"/>
      <c r="KR769" s="139"/>
      <c r="KS769" s="139"/>
      <c r="KT769" s="139"/>
      <c r="KU769" s="139"/>
      <c r="KV769" s="139"/>
      <c r="KW769" s="139"/>
      <c r="KX769" s="139"/>
      <c r="KY769" s="139"/>
      <c r="KZ769" s="139"/>
      <c r="LA769" s="139"/>
      <c r="LB769" s="139"/>
      <c r="LC769" s="139"/>
      <c r="LD769" s="139"/>
      <c r="LE769" s="139"/>
      <c r="LF769" s="139"/>
      <c r="LG769" s="139"/>
      <c r="LH769" s="139"/>
      <c r="LI769" s="139"/>
      <c r="LJ769" s="139"/>
      <c r="LK769" s="139"/>
      <c r="LL769" s="139"/>
      <c r="LM769" s="139"/>
      <c r="LN769" s="139"/>
      <c r="LO769" s="139"/>
      <c r="LP769" s="139"/>
      <c r="LQ769" s="139"/>
      <c r="LR769" s="139"/>
      <c r="LS769" s="139"/>
      <c r="LT769" s="139"/>
      <c r="LU769" s="139"/>
      <c r="LV769" s="139"/>
      <c r="LW769" s="139"/>
      <c r="LX769" s="139"/>
      <c r="LY769" s="139"/>
      <c r="LZ769" s="139"/>
      <c r="MA769" s="139"/>
      <c r="MB769" s="139"/>
      <c r="MC769" s="139"/>
      <c r="MD769" s="139"/>
      <c r="ME769" s="139"/>
      <c r="MF769" s="139"/>
      <c r="MG769" s="139"/>
      <c r="MH769" s="139"/>
      <c r="MI769" s="139"/>
      <c r="MJ769" s="139"/>
      <c r="MK769" s="139"/>
      <c r="ML769" s="139"/>
      <c r="MM769" s="139"/>
      <c r="MN769" s="139"/>
      <c r="MO769" s="139"/>
      <c r="MP769" s="139"/>
      <c r="MQ769" s="139"/>
      <c r="MR769" s="139"/>
      <c r="MS769" s="139"/>
      <c r="MT769" s="139"/>
      <c r="MU769" s="139"/>
      <c r="MV769" s="139"/>
      <c r="MW769" s="139"/>
      <c r="MX769" s="139"/>
      <c r="MY769" s="139"/>
      <c r="MZ769" s="139"/>
      <c r="NA769" s="139"/>
      <c r="NB769" s="139"/>
      <c r="NC769" s="139"/>
      <c r="ND769" s="139"/>
      <c r="NE769" s="139"/>
      <c r="NF769" s="139"/>
      <c r="NG769" s="139"/>
      <c r="NH769" s="139"/>
      <c r="NI769" s="139"/>
      <c r="NJ769" s="139"/>
      <c r="NK769" s="139"/>
      <c r="NL769" s="139"/>
      <c r="NM769" s="139"/>
      <c r="NN769" s="139"/>
      <c r="NO769" s="139"/>
      <c r="NP769" s="139"/>
      <c r="NQ769" s="139"/>
      <c r="NR769" s="139"/>
      <c r="NS769" s="139"/>
      <c r="NT769" s="139"/>
      <c r="NU769" s="139"/>
      <c r="NV769" s="139"/>
      <c r="NW769" s="139"/>
      <c r="NX769" s="139"/>
      <c r="NY769" s="139"/>
      <c r="NZ769" s="139"/>
      <c r="OA769" s="139"/>
      <c r="OB769" s="139"/>
      <c r="OC769" s="139"/>
      <c r="OD769" s="139"/>
      <c r="OE769" s="139"/>
      <c r="OF769" s="139"/>
      <c r="OG769" s="139"/>
      <c r="OH769" s="139"/>
      <c r="OI769" s="139"/>
      <c r="OJ769" s="139"/>
      <c r="OK769" s="139"/>
      <c r="OL769" s="139"/>
      <c r="OM769" s="139"/>
      <c r="ON769" s="139"/>
      <c r="OO769" s="139"/>
      <c r="OP769" s="139"/>
      <c r="OQ769" s="139"/>
      <c r="OR769" s="139"/>
      <c r="OS769" s="139"/>
      <c r="OT769" s="139"/>
      <c r="OU769" s="139"/>
      <c r="OV769" s="139"/>
      <c r="OW769" s="139"/>
      <c r="OX769" s="139"/>
      <c r="OY769" s="139"/>
      <c r="OZ769" s="139"/>
      <c r="PA769" s="139"/>
      <c r="PB769" s="139"/>
      <c r="PC769" s="139"/>
      <c r="PD769" s="139"/>
      <c r="PE769" s="139"/>
      <c r="PF769" s="139"/>
      <c r="PG769" s="139"/>
      <c r="PH769" s="139"/>
      <c r="PI769" s="139"/>
      <c r="PJ769" s="139"/>
      <c r="PK769" s="139"/>
      <c r="PL769" s="139"/>
      <c r="PM769" s="139"/>
      <c r="PN769" s="139"/>
      <c r="PO769" s="139"/>
      <c r="PP769" s="139"/>
      <c r="PQ769" s="139"/>
      <c r="PR769" s="139"/>
      <c r="PS769" s="139"/>
      <c r="PT769" s="139"/>
      <c r="PU769" s="139"/>
      <c r="PV769" s="139"/>
      <c r="PW769" s="139"/>
      <c r="PX769" s="139"/>
      <c r="PY769" s="139"/>
      <c r="PZ769" s="139"/>
      <c r="QA769" s="139"/>
      <c r="QB769" s="139"/>
      <c r="QC769" s="139"/>
      <c r="QD769" s="139"/>
      <c r="QE769" s="139"/>
      <c r="QF769" s="139"/>
      <c r="QG769" s="139"/>
      <c r="QH769" s="139"/>
      <c r="QI769" s="139"/>
      <c r="QJ769" s="139"/>
      <c r="QK769" s="139"/>
      <c r="QL769" s="139"/>
      <c r="QM769" s="139"/>
      <c r="QN769" s="139"/>
      <c r="QO769" s="139"/>
      <c r="QP769" s="139"/>
      <c r="QQ769" s="139"/>
      <c r="QR769" s="139"/>
      <c r="QS769" s="139"/>
      <c r="QT769" s="139"/>
      <c r="QU769" s="139"/>
      <c r="QV769" s="139"/>
      <c r="QW769" s="139"/>
      <c r="QX769" s="139"/>
      <c r="QY769" s="139"/>
      <c r="QZ769" s="139"/>
      <c r="RA769" s="139"/>
      <c r="RB769" s="139"/>
      <c r="RC769" s="139"/>
      <c r="RD769" s="139"/>
      <c r="RE769" s="139"/>
      <c r="RF769" s="139"/>
      <c r="RG769" s="139"/>
      <c r="RH769" s="139"/>
      <c r="RI769" s="139"/>
      <c r="RJ769" s="139"/>
      <c r="RK769" s="139"/>
      <c r="RL769" s="139"/>
      <c r="RM769" s="139"/>
      <c r="RN769" s="139"/>
      <c r="RO769" s="139"/>
      <c r="RP769" s="139"/>
      <c r="RQ769" s="139"/>
      <c r="RR769" s="139"/>
      <c r="RS769" s="139"/>
      <c r="RT769" s="139"/>
      <c r="RU769" s="139"/>
      <c r="RV769" s="139"/>
      <c r="RW769" s="139"/>
      <c r="RX769" s="139"/>
      <c r="RY769" s="139"/>
      <c r="RZ769" s="139"/>
      <c r="SA769" s="139"/>
      <c r="SB769" s="139"/>
      <c r="SC769" s="139"/>
      <c r="SD769" s="139"/>
      <c r="SE769" s="139"/>
      <c r="SF769" s="139"/>
      <c r="SG769" s="139"/>
      <c r="SH769" s="139"/>
      <c r="SI769" s="139"/>
      <c r="SJ769" s="139"/>
      <c r="SK769" s="139"/>
      <c r="SL769" s="139"/>
      <c r="SM769" s="139"/>
      <c r="SN769" s="139"/>
      <c r="SO769" s="139"/>
      <c r="SP769" s="139"/>
      <c r="SQ769" s="139"/>
      <c r="SR769" s="139"/>
      <c r="SS769" s="139"/>
      <c r="ST769" s="139"/>
      <c r="SU769" s="139"/>
      <c r="SV769" s="139"/>
      <c r="SW769" s="139"/>
      <c r="SX769" s="139"/>
      <c r="SY769" s="139"/>
      <c r="SZ769" s="139"/>
      <c r="TA769" s="139"/>
      <c r="TB769" s="139"/>
      <c r="TC769" s="139"/>
      <c r="TD769" s="139"/>
      <c r="TE769" s="139"/>
      <c r="TF769" s="139"/>
      <c r="TG769" s="139"/>
      <c r="TH769" s="139"/>
      <c r="TI769" s="139"/>
      <c r="TJ769" s="139"/>
      <c r="TK769" s="139"/>
      <c r="TL769" s="139"/>
      <c r="TM769" s="139"/>
      <c r="TN769" s="139"/>
      <c r="TO769" s="139"/>
      <c r="TP769" s="139"/>
      <c r="TQ769" s="139"/>
      <c r="TR769" s="139"/>
      <c r="TS769" s="139"/>
      <c r="TT769" s="139"/>
      <c r="TU769" s="139"/>
      <c r="TV769" s="139"/>
      <c r="TW769" s="139"/>
      <c r="TX769" s="139"/>
      <c r="TY769" s="139"/>
      <c r="TZ769" s="139"/>
      <c r="UA769" s="139"/>
      <c r="UB769" s="139"/>
      <c r="UC769" s="139"/>
      <c r="UD769" s="139"/>
      <c r="UE769" s="139"/>
      <c r="UF769" s="139"/>
      <c r="UG769" s="119"/>
    </row>
    <row r="770" spans="1:553" s="120" customFormat="1" ht="34.5" customHeight="1">
      <c r="A770" s="431" t="s">
        <v>30</v>
      </c>
      <c r="B770" s="541">
        <v>5</v>
      </c>
      <c r="C770" s="1402" t="s">
        <v>892</v>
      </c>
      <c r="D770" s="1389"/>
      <c r="E770" s="1389"/>
      <c r="F770" s="1390"/>
      <c r="G770" s="542" t="s">
        <v>33</v>
      </c>
      <c r="H770" s="543"/>
      <c r="I770" s="631">
        <f>-22.8*1.6*2</f>
        <v>-72.960000000000008</v>
      </c>
      <c r="J770" s="990">
        <v>41700</v>
      </c>
      <c r="K770" s="644">
        <v>0.8</v>
      </c>
      <c r="L770" s="632">
        <f t="shared" si="117"/>
        <v>-2433945.6000000006</v>
      </c>
      <c r="M770" s="637"/>
      <c r="N770" s="637"/>
      <c r="O770" s="544"/>
      <c r="P770" s="638"/>
      <c r="Q770" s="634"/>
      <c r="R770" s="1164"/>
      <c r="S770" s="308"/>
      <c r="T770" s="308"/>
      <c r="U770" s="308"/>
      <c r="V770" s="308"/>
      <c r="W770" s="308"/>
      <c r="X770" s="308"/>
      <c r="Y770" s="308"/>
      <c r="Z770" s="604"/>
      <c r="AA770" s="308"/>
      <c r="AB770" s="308"/>
      <c r="AC770" s="545"/>
      <c r="AD770" s="545"/>
      <c r="AE770" s="545"/>
      <c r="AF770" s="545"/>
      <c r="AG770" s="546"/>
      <c r="AH770" s="546"/>
      <c r="AI770" s="546"/>
      <c r="AJ770" s="546"/>
      <c r="AK770" s="546"/>
      <c r="AL770" s="138"/>
      <c r="AM770" s="138"/>
      <c r="AN770" s="138"/>
      <c r="AO770" s="138"/>
      <c r="AP770" s="138"/>
      <c r="AQ770" s="139"/>
      <c r="AR770" s="139"/>
      <c r="AS770" s="139"/>
      <c r="AT770" s="139"/>
      <c r="AU770" s="139"/>
      <c r="AV770" s="139"/>
      <c r="AW770" s="139"/>
      <c r="AX770" s="139"/>
      <c r="AY770" s="139"/>
      <c r="AZ770" s="139"/>
      <c r="BA770" s="139"/>
      <c r="BB770" s="139"/>
      <c r="BC770" s="139"/>
      <c r="BD770" s="139"/>
      <c r="BE770" s="139"/>
      <c r="BF770" s="139"/>
      <c r="BG770" s="139"/>
      <c r="BH770" s="139"/>
      <c r="BI770" s="139"/>
      <c r="BJ770" s="139"/>
      <c r="BK770" s="139"/>
      <c r="BL770" s="139"/>
      <c r="BM770" s="139"/>
      <c r="BN770" s="139"/>
      <c r="BO770" s="139"/>
      <c r="BP770" s="139"/>
      <c r="BQ770" s="139"/>
      <c r="BR770" s="139"/>
      <c r="BS770" s="139"/>
      <c r="BT770" s="139"/>
      <c r="BU770" s="139"/>
      <c r="BV770" s="139"/>
      <c r="BW770" s="139"/>
      <c r="BX770" s="139"/>
      <c r="BY770" s="139"/>
      <c r="BZ770" s="139"/>
      <c r="CA770" s="139"/>
      <c r="CB770" s="139"/>
      <c r="CC770" s="139"/>
      <c r="CD770" s="139"/>
      <c r="CE770" s="139"/>
      <c r="CF770" s="139"/>
      <c r="CG770" s="139"/>
      <c r="CH770" s="139"/>
      <c r="CI770" s="139"/>
      <c r="CJ770" s="139"/>
      <c r="CK770" s="139"/>
      <c r="CL770" s="139"/>
      <c r="CM770" s="139"/>
      <c r="CN770" s="139"/>
      <c r="CO770" s="139"/>
      <c r="CP770" s="139"/>
      <c r="CQ770" s="139"/>
      <c r="CR770" s="139"/>
      <c r="CS770" s="139"/>
      <c r="CT770" s="139"/>
      <c r="CU770" s="139"/>
      <c r="CV770" s="139"/>
      <c r="CW770" s="139"/>
      <c r="CX770" s="139"/>
      <c r="CY770" s="139"/>
      <c r="CZ770" s="139"/>
      <c r="DA770" s="139"/>
      <c r="DB770" s="139"/>
      <c r="DC770" s="139"/>
      <c r="DD770" s="139"/>
      <c r="DE770" s="139"/>
      <c r="DF770" s="139"/>
      <c r="DG770" s="139"/>
      <c r="DH770" s="139"/>
      <c r="DI770" s="139"/>
      <c r="DJ770" s="139"/>
      <c r="DK770" s="139"/>
      <c r="DL770" s="139"/>
      <c r="DM770" s="139"/>
      <c r="DN770" s="139"/>
      <c r="DO770" s="139"/>
      <c r="DP770" s="139"/>
      <c r="DQ770" s="139"/>
      <c r="DR770" s="139"/>
      <c r="DS770" s="139"/>
      <c r="DT770" s="139"/>
      <c r="DU770" s="139"/>
      <c r="DV770" s="139"/>
      <c r="DW770" s="139"/>
      <c r="DX770" s="139"/>
      <c r="DY770" s="139"/>
      <c r="DZ770" s="139"/>
      <c r="EA770" s="139"/>
      <c r="EB770" s="139"/>
      <c r="EC770" s="139"/>
      <c r="ED770" s="139"/>
      <c r="EE770" s="139"/>
      <c r="EF770" s="139"/>
      <c r="EG770" s="139"/>
      <c r="EH770" s="139"/>
      <c r="EI770" s="139"/>
      <c r="EJ770" s="139"/>
      <c r="EK770" s="139"/>
      <c r="EL770" s="139"/>
      <c r="EM770" s="139"/>
      <c r="EN770" s="139"/>
      <c r="EO770" s="139"/>
      <c r="EP770" s="139"/>
      <c r="EQ770" s="139"/>
      <c r="ER770" s="139"/>
      <c r="ES770" s="139"/>
      <c r="ET770" s="139"/>
      <c r="EU770" s="139"/>
      <c r="EV770" s="139"/>
      <c r="EW770" s="139"/>
      <c r="EX770" s="139"/>
      <c r="EY770" s="139"/>
      <c r="EZ770" s="139"/>
      <c r="FA770" s="139"/>
      <c r="FB770" s="139"/>
      <c r="FC770" s="139"/>
      <c r="FD770" s="139"/>
      <c r="FE770" s="139"/>
      <c r="FF770" s="139"/>
      <c r="FG770" s="139"/>
      <c r="FH770" s="139"/>
      <c r="FI770" s="139"/>
      <c r="FJ770" s="139"/>
      <c r="FK770" s="139"/>
      <c r="FL770" s="139"/>
      <c r="FM770" s="139"/>
      <c r="FN770" s="139"/>
      <c r="FO770" s="139"/>
      <c r="FP770" s="139"/>
      <c r="FQ770" s="139"/>
      <c r="FR770" s="139"/>
      <c r="FS770" s="139"/>
      <c r="FT770" s="139"/>
      <c r="FU770" s="139"/>
      <c r="FV770" s="139"/>
      <c r="FW770" s="139"/>
      <c r="FX770" s="139"/>
      <c r="FY770" s="139"/>
      <c r="FZ770" s="139"/>
      <c r="GA770" s="139"/>
      <c r="GB770" s="139"/>
      <c r="GC770" s="139"/>
      <c r="GD770" s="139"/>
      <c r="GE770" s="139"/>
      <c r="GF770" s="139"/>
      <c r="GG770" s="139"/>
      <c r="GH770" s="139"/>
      <c r="GI770" s="139"/>
      <c r="GJ770" s="139"/>
      <c r="GK770" s="139"/>
      <c r="GL770" s="139"/>
      <c r="GM770" s="139"/>
      <c r="GN770" s="139"/>
      <c r="GO770" s="139"/>
      <c r="GP770" s="139"/>
      <c r="GQ770" s="139"/>
      <c r="GR770" s="139"/>
      <c r="GS770" s="139"/>
      <c r="GT770" s="139"/>
      <c r="GU770" s="139"/>
      <c r="GV770" s="139"/>
      <c r="GW770" s="139"/>
      <c r="GX770" s="139"/>
      <c r="GY770" s="139"/>
      <c r="GZ770" s="139"/>
      <c r="HA770" s="139"/>
      <c r="HB770" s="139"/>
      <c r="HC770" s="139"/>
      <c r="HD770" s="139"/>
      <c r="HE770" s="139"/>
      <c r="HF770" s="139"/>
      <c r="HG770" s="139"/>
      <c r="HH770" s="139"/>
      <c r="HI770" s="139"/>
      <c r="HJ770" s="139"/>
      <c r="HK770" s="139"/>
      <c r="HL770" s="139"/>
      <c r="HM770" s="139"/>
      <c r="HN770" s="139"/>
      <c r="HO770" s="139"/>
      <c r="HP770" s="139"/>
      <c r="HQ770" s="139"/>
      <c r="HR770" s="139"/>
      <c r="HS770" s="139"/>
      <c r="HT770" s="139"/>
      <c r="HU770" s="139"/>
      <c r="HV770" s="139"/>
      <c r="HW770" s="139"/>
      <c r="HX770" s="139"/>
      <c r="HY770" s="139"/>
      <c r="HZ770" s="139"/>
      <c r="IA770" s="139"/>
      <c r="IB770" s="139"/>
      <c r="IC770" s="139"/>
      <c r="ID770" s="139"/>
      <c r="IE770" s="139"/>
      <c r="IF770" s="139"/>
      <c r="IG770" s="139"/>
      <c r="IH770" s="139"/>
      <c r="II770" s="139"/>
      <c r="IJ770" s="139"/>
      <c r="IK770" s="139"/>
      <c r="IL770" s="139"/>
      <c r="IM770" s="139"/>
      <c r="IN770" s="139"/>
      <c r="IO770" s="139"/>
      <c r="IP770" s="139"/>
      <c r="IQ770" s="139"/>
      <c r="IR770" s="139"/>
      <c r="IS770" s="139"/>
      <c r="IT770" s="139"/>
      <c r="IU770" s="139"/>
      <c r="IV770" s="139"/>
      <c r="IW770" s="139"/>
      <c r="IX770" s="139"/>
      <c r="IY770" s="139"/>
      <c r="IZ770" s="139"/>
      <c r="JA770" s="139"/>
      <c r="JB770" s="139"/>
      <c r="JC770" s="139"/>
      <c r="JD770" s="139"/>
      <c r="JE770" s="139"/>
      <c r="JF770" s="139"/>
      <c r="JG770" s="139"/>
      <c r="JH770" s="139"/>
      <c r="JI770" s="139"/>
      <c r="JJ770" s="139"/>
      <c r="JK770" s="139"/>
      <c r="JL770" s="139"/>
      <c r="JM770" s="139"/>
      <c r="JN770" s="139"/>
      <c r="JO770" s="139"/>
      <c r="JP770" s="139"/>
      <c r="JQ770" s="139"/>
      <c r="JR770" s="139"/>
      <c r="JS770" s="139"/>
      <c r="JT770" s="139"/>
      <c r="JU770" s="139"/>
      <c r="JV770" s="139"/>
      <c r="JW770" s="139"/>
      <c r="JX770" s="139"/>
      <c r="JY770" s="139"/>
      <c r="JZ770" s="139"/>
      <c r="KA770" s="139"/>
      <c r="KB770" s="139"/>
      <c r="KC770" s="139"/>
      <c r="KD770" s="139"/>
      <c r="KE770" s="139"/>
      <c r="KF770" s="139"/>
      <c r="KG770" s="139"/>
      <c r="KH770" s="139"/>
      <c r="KI770" s="139"/>
      <c r="KJ770" s="139"/>
      <c r="KK770" s="139"/>
      <c r="KL770" s="139"/>
      <c r="KM770" s="139"/>
      <c r="KN770" s="139"/>
      <c r="KO770" s="139"/>
      <c r="KP770" s="139"/>
      <c r="KQ770" s="139"/>
      <c r="KR770" s="139"/>
      <c r="KS770" s="139"/>
      <c r="KT770" s="139"/>
      <c r="KU770" s="139"/>
      <c r="KV770" s="139"/>
      <c r="KW770" s="139"/>
      <c r="KX770" s="139"/>
      <c r="KY770" s="139"/>
      <c r="KZ770" s="139"/>
      <c r="LA770" s="139"/>
      <c r="LB770" s="139"/>
      <c r="LC770" s="139"/>
      <c r="LD770" s="139"/>
      <c r="LE770" s="139"/>
      <c r="LF770" s="139"/>
      <c r="LG770" s="139"/>
      <c r="LH770" s="139"/>
      <c r="LI770" s="139"/>
      <c r="LJ770" s="139"/>
      <c r="LK770" s="139"/>
      <c r="LL770" s="139"/>
      <c r="LM770" s="139"/>
      <c r="LN770" s="139"/>
      <c r="LO770" s="139"/>
      <c r="LP770" s="139"/>
      <c r="LQ770" s="139"/>
      <c r="LR770" s="139"/>
      <c r="LS770" s="139"/>
      <c r="LT770" s="139"/>
      <c r="LU770" s="139"/>
      <c r="LV770" s="139"/>
      <c r="LW770" s="139"/>
      <c r="LX770" s="139"/>
      <c r="LY770" s="139"/>
      <c r="LZ770" s="139"/>
      <c r="MA770" s="139"/>
      <c r="MB770" s="139"/>
      <c r="MC770" s="139"/>
      <c r="MD770" s="139"/>
      <c r="ME770" s="139"/>
      <c r="MF770" s="139"/>
      <c r="MG770" s="139"/>
      <c r="MH770" s="139"/>
      <c r="MI770" s="139"/>
      <c r="MJ770" s="139"/>
      <c r="MK770" s="139"/>
      <c r="ML770" s="139"/>
      <c r="MM770" s="139"/>
      <c r="MN770" s="139"/>
      <c r="MO770" s="139"/>
      <c r="MP770" s="139"/>
      <c r="MQ770" s="139"/>
      <c r="MR770" s="139"/>
      <c r="MS770" s="139"/>
      <c r="MT770" s="139"/>
      <c r="MU770" s="139"/>
      <c r="MV770" s="139"/>
      <c r="MW770" s="139"/>
      <c r="MX770" s="139"/>
      <c r="MY770" s="139"/>
      <c r="MZ770" s="139"/>
      <c r="NA770" s="139"/>
      <c r="NB770" s="139"/>
      <c r="NC770" s="139"/>
      <c r="ND770" s="139"/>
      <c r="NE770" s="139"/>
      <c r="NF770" s="139"/>
      <c r="NG770" s="139"/>
      <c r="NH770" s="139"/>
      <c r="NI770" s="139"/>
      <c r="NJ770" s="139"/>
      <c r="NK770" s="139"/>
      <c r="NL770" s="139"/>
      <c r="NM770" s="139"/>
      <c r="NN770" s="139"/>
      <c r="NO770" s="139"/>
      <c r="NP770" s="139"/>
      <c r="NQ770" s="139"/>
      <c r="NR770" s="139"/>
      <c r="NS770" s="139"/>
      <c r="NT770" s="139"/>
      <c r="NU770" s="139"/>
      <c r="NV770" s="139"/>
      <c r="NW770" s="139"/>
      <c r="NX770" s="139"/>
      <c r="NY770" s="139"/>
      <c r="NZ770" s="139"/>
      <c r="OA770" s="139"/>
      <c r="OB770" s="139"/>
      <c r="OC770" s="139"/>
      <c r="OD770" s="139"/>
      <c r="OE770" s="139"/>
      <c r="OF770" s="139"/>
      <c r="OG770" s="139"/>
      <c r="OH770" s="139"/>
      <c r="OI770" s="139"/>
      <c r="OJ770" s="139"/>
      <c r="OK770" s="139"/>
      <c r="OL770" s="139"/>
      <c r="OM770" s="139"/>
      <c r="ON770" s="139"/>
      <c r="OO770" s="139"/>
      <c r="OP770" s="139"/>
      <c r="OQ770" s="139"/>
      <c r="OR770" s="139"/>
      <c r="OS770" s="139"/>
      <c r="OT770" s="139"/>
      <c r="OU770" s="139"/>
      <c r="OV770" s="139"/>
      <c r="OW770" s="139"/>
      <c r="OX770" s="139"/>
      <c r="OY770" s="139"/>
      <c r="OZ770" s="139"/>
      <c r="PA770" s="139"/>
      <c r="PB770" s="139"/>
      <c r="PC770" s="139"/>
      <c r="PD770" s="139"/>
      <c r="PE770" s="139"/>
      <c r="PF770" s="139"/>
      <c r="PG770" s="139"/>
      <c r="PH770" s="139"/>
      <c r="PI770" s="139"/>
      <c r="PJ770" s="139"/>
      <c r="PK770" s="139"/>
      <c r="PL770" s="139"/>
      <c r="PM770" s="139"/>
      <c r="PN770" s="139"/>
      <c r="PO770" s="139"/>
      <c r="PP770" s="139"/>
      <c r="PQ770" s="139"/>
      <c r="PR770" s="139"/>
      <c r="PS770" s="139"/>
      <c r="PT770" s="139"/>
      <c r="PU770" s="139"/>
      <c r="PV770" s="139"/>
      <c r="PW770" s="139"/>
      <c r="PX770" s="139"/>
      <c r="PY770" s="139"/>
      <c r="PZ770" s="139"/>
      <c r="QA770" s="139"/>
      <c r="QB770" s="139"/>
      <c r="QC770" s="139"/>
      <c r="QD770" s="139"/>
      <c r="QE770" s="139"/>
      <c r="QF770" s="139"/>
      <c r="QG770" s="139"/>
      <c r="QH770" s="139"/>
      <c r="QI770" s="139"/>
      <c r="QJ770" s="139"/>
      <c r="QK770" s="139"/>
      <c r="QL770" s="139"/>
      <c r="QM770" s="139"/>
      <c r="QN770" s="139"/>
      <c r="QO770" s="139"/>
      <c r="QP770" s="139"/>
      <c r="QQ770" s="139"/>
      <c r="QR770" s="139"/>
      <c r="QS770" s="139"/>
      <c r="QT770" s="139"/>
      <c r="QU770" s="139"/>
      <c r="QV770" s="139"/>
      <c r="QW770" s="139"/>
      <c r="QX770" s="139"/>
      <c r="QY770" s="139"/>
      <c r="QZ770" s="139"/>
      <c r="RA770" s="139"/>
      <c r="RB770" s="139"/>
      <c r="RC770" s="139"/>
      <c r="RD770" s="139"/>
      <c r="RE770" s="139"/>
      <c r="RF770" s="139"/>
      <c r="RG770" s="139"/>
      <c r="RH770" s="139"/>
      <c r="RI770" s="139"/>
      <c r="RJ770" s="139"/>
      <c r="RK770" s="139"/>
      <c r="RL770" s="139"/>
      <c r="RM770" s="139"/>
      <c r="RN770" s="139"/>
      <c r="RO770" s="139"/>
      <c r="RP770" s="139"/>
      <c r="RQ770" s="139"/>
      <c r="RR770" s="139"/>
      <c r="RS770" s="139"/>
      <c r="RT770" s="139"/>
      <c r="RU770" s="139"/>
      <c r="RV770" s="139"/>
      <c r="RW770" s="139"/>
      <c r="RX770" s="139"/>
      <c r="RY770" s="139"/>
      <c r="RZ770" s="139"/>
      <c r="SA770" s="139"/>
      <c r="SB770" s="139"/>
      <c r="SC770" s="139"/>
      <c r="SD770" s="139"/>
      <c r="SE770" s="139"/>
      <c r="SF770" s="139"/>
      <c r="SG770" s="139"/>
      <c r="SH770" s="139"/>
      <c r="SI770" s="139"/>
      <c r="SJ770" s="139"/>
      <c r="SK770" s="139"/>
      <c r="SL770" s="139"/>
      <c r="SM770" s="139"/>
      <c r="SN770" s="139"/>
      <c r="SO770" s="139"/>
      <c r="SP770" s="139"/>
      <c r="SQ770" s="139"/>
      <c r="SR770" s="139"/>
      <c r="SS770" s="139"/>
      <c r="ST770" s="139"/>
      <c r="SU770" s="139"/>
      <c r="SV770" s="139"/>
      <c r="SW770" s="139"/>
      <c r="SX770" s="139"/>
      <c r="SY770" s="139"/>
      <c r="SZ770" s="139"/>
      <c r="TA770" s="139"/>
      <c r="TB770" s="139"/>
      <c r="TC770" s="139"/>
      <c r="TD770" s="139"/>
      <c r="TE770" s="139"/>
      <c r="TF770" s="139"/>
      <c r="TG770" s="139"/>
      <c r="TH770" s="139"/>
      <c r="TI770" s="139"/>
      <c r="TJ770" s="139"/>
      <c r="TK770" s="139"/>
      <c r="TL770" s="139"/>
      <c r="TM770" s="139"/>
      <c r="TN770" s="139"/>
      <c r="TO770" s="139"/>
      <c r="TP770" s="139"/>
      <c r="TQ770" s="139"/>
      <c r="TR770" s="139"/>
      <c r="TS770" s="139"/>
      <c r="TT770" s="139"/>
      <c r="TU770" s="139"/>
      <c r="TV770" s="139"/>
      <c r="TW770" s="139"/>
      <c r="TX770" s="139"/>
      <c r="TY770" s="139"/>
      <c r="TZ770" s="139"/>
      <c r="UA770" s="139"/>
      <c r="UB770" s="139"/>
      <c r="UC770" s="139"/>
      <c r="UD770" s="139"/>
      <c r="UE770" s="139"/>
      <c r="UF770" s="139"/>
      <c r="UG770" s="119"/>
    </row>
    <row r="771" spans="1:553" ht="30.75" customHeight="1">
      <c r="A771" s="366"/>
      <c r="B771" s="366">
        <v>20</v>
      </c>
      <c r="C771" s="1401" t="s">
        <v>952</v>
      </c>
      <c r="D771" s="1389"/>
      <c r="E771" s="1389"/>
      <c r="F771" s="1390"/>
      <c r="G771" s="366" t="s">
        <v>33</v>
      </c>
      <c r="H771" s="622"/>
      <c r="I771" s="626">
        <f>-9.1*7.2</f>
        <v>-65.52</v>
      </c>
      <c r="J771" s="369">
        <v>185700</v>
      </c>
      <c r="K771" s="641">
        <v>0.8</v>
      </c>
      <c r="L771" s="627">
        <f t="shared" si="117"/>
        <v>-9733651.2000000011</v>
      </c>
      <c r="M771" s="366"/>
      <c r="N771" s="366"/>
      <c r="O771" s="366"/>
      <c r="P771" s="366"/>
      <c r="Q771" s="1151"/>
      <c r="R771" s="1226"/>
      <c r="S771" s="308"/>
      <c r="T771" s="308"/>
      <c r="U771" s="308"/>
      <c r="V771" s="308"/>
      <c r="W771" s="308"/>
      <c r="X771" s="308"/>
      <c r="Y771" s="308"/>
      <c r="Z771" s="604"/>
      <c r="AA771" s="308"/>
      <c r="AB771" s="308"/>
      <c r="AC771" s="625"/>
      <c r="AD771" s="625"/>
      <c r="AE771" s="625"/>
      <c r="AF771" s="625"/>
      <c r="AG771" s="625"/>
      <c r="AH771" s="625"/>
      <c r="AI771" s="625"/>
      <c r="AJ771" s="625"/>
      <c r="AK771" s="625"/>
      <c r="AL771" s="133"/>
      <c r="AM771" s="133"/>
      <c r="AN771" s="133"/>
      <c r="AO771" s="133"/>
      <c r="AP771" s="133"/>
      <c r="AQ771" s="133"/>
      <c r="AR771" s="133"/>
      <c r="AS771" s="133"/>
      <c r="AT771" s="133"/>
      <c r="AU771" s="133"/>
      <c r="AV771" s="133"/>
      <c r="AW771" s="133"/>
      <c r="AX771" s="133"/>
      <c r="AY771" s="133"/>
      <c r="AZ771" s="133"/>
      <c r="BA771" s="133"/>
      <c r="BB771" s="133"/>
      <c r="BC771" s="133"/>
      <c r="BD771" s="133"/>
      <c r="BE771" s="133"/>
      <c r="BF771" s="133"/>
      <c r="BG771" s="133"/>
      <c r="BH771" s="133"/>
      <c r="BI771" s="133"/>
      <c r="BJ771" s="133"/>
      <c r="BK771" s="133"/>
      <c r="BL771" s="133"/>
      <c r="BM771" s="133"/>
      <c r="BN771" s="133"/>
      <c r="BO771" s="133"/>
      <c r="BP771" s="133"/>
      <c r="BQ771" s="132"/>
      <c r="BR771" s="132"/>
      <c r="BS771" s="132"/>
      <c r="BT771" s="132"/>
      <c r="BU771" s="132"/>
      <c r="BV771" s="132"/>
      <c r="BW771" s="132"/>
      <c r="BX771" s="132"/>
      <c r="BY771" s="132"/>
      <c r="BZ771" s="132"/>
      <c r="CA771" s="132"/>
      <c r="CB771" s="132"/>
      <c r="CC771" s="132"/>
      <c r="CD771" s="132"/>
      <c r="CE771" s="132"/>
      <c r="CF771" s="132"/>
      <c r="CG771" s="132"/>
      <c r="CH771" s="132"/>
      <c r="CI771" s="132"/>
      <c r="CJ771" s="132"/>
      <c r="CK771" s="132"/>
      <c r="CL771" s="132"/>
      <c r="CM771" s="132"/>
      <c r="CN771" s="132"/>
      <c r="CO771" s="132"/>
      <c r="CP771" s="132"/>
      <c r="CQ771" s="132"/>
      <c r="CR771" s="132"/>
      <c r="CS771" s="132"/>
      <c r="CT771" s="132"/>
      <c r="CU771" s="132"/>
      <c r="CV771" s="132"/>
      <c r="CW771" s="132"/>
      <c r="CX771" s="132"/>
      <c r="CY771" s="132"/>
      <c r="CZ771" s="132"/>
      <c r="DA771" s="132"/>
      <c r="DB771" s="132"/>
      <c r="DC771" s="132"/>
      <c r="DD771" s="132"/>
      <c r="DE771" s="132"/>
      <c r="DF771" s="132"/>
      <c r="DG771" s="132"/>
      <c r="DH771" s="132"/>
      <c r="DI771" s="132"/>
      <c r="DJ771" s="132"/>
      <c r="DK771" s="132"/>
      <c r="DL771" s="132"/>
      <c r="DM771" s="132"/>
      <c r="DN771" s="132"/>
      <c r="DO771" s="132"/>
      <c r="DP771" s="132"/>
      <c r="DQ771" s="132"/>
      <c r="DR771" s="132"/>
      <c r="DS771" s="132"/>
      <c r="DT771" s="132"/>
      <c r="DU771" s="132"/>
      <c r="DV771" s="132"/>
      <c r="DW771" s="132"/>
      <c r="DX771" s="132"/>
      <c r="DY771" s="132"/>
      <c r="DZ771" s="132"/>
      <c r="EA771" s="132"/>
      <c r="EB771" s="132"/>
      <c r="EC771" s="132"/>
      <c r="ED771" s="132"/>
      <c r="EE771" s="132"/>
      <c r="EF771" s="132"/>
      <c r="EG771" s="132"/>
      <c r="EH771" s="132"/>
      <c r="EI771" s="132"/>
      <c r="EJ771" s="132"/>
      <c r="EK771" s="132"/>
      <c r="EL771" s="132"/>
      <c r="EM771" s="132"/>
      <c r="EN771" s="132"/>
      <c r="EO771" s="132"/>
      <c r="EP771" s="132"/>
      <c r="EQ771" s="132"/>
      <c r="ER771" s="132"/>
      <c r="ES771" s="132"/>
      <c r="ET771" s="132"/>
      <c r="EU771" s="132"/>
      <c r="EV771" s="132"/>
      <c r="EW771" s="132"/>
      <c r="EX771" s="132"/>
      <c r="EY771" s="132"/>
      <c r="EZ771" s="132"/>
      <c r="FA771" s="132"/>
      <c r="FB771" s="132"/>
      <c r="FC771" s="132"/>
      <c r="FD771" s="132"/>
      <c r="FE771" s="132"/>
      <c r="FF771" s="132"/>
      <c r="FG771" s="132"/>
      <c r="FH771" s="132"/>
      <c r="FI771" s="132"/>
      <c r="FJ771" s="132"/>
      <c r="FK771" s="132"/>
      <c r="FL771" s="132"/>
      <c r="FM771" s="132"/>
      <c r="FN771" s="132"/>
      <c r="FO771" s="132"/>
      <c r="FP771" s="132"/>
      <c r="FQ771" s="132"/>
      <c r="FR771" s="132"/>
      <c r="FS771" s="132"/>
      <c r="FT771" s="132"/>
      <c r="FU771" s="132"/>
      <c r="FV771" s="132"/>
      <c r="FW771" s="132"/>
      <c r="FX771" s="132"/>
      <c r="FY771" s="132"/>
      <c r="FZ771" s="132"/>
      <c r="GA771" s="132"/>
      <c r="GB771" s="132"/>
      <c r="GC771" s="132"/>
      <c r="GD771" s="132"/>
      <c r="GE771" s="132"/>
      <c r="GF771" s="132"/>
      <c r="GG771" s="132"/>
      <c r="GH771" s="132"/>
      <c r="GI771" s="132"/>
      <c r="GJ771" s="132"/>
      <c r="GK771" s="132"/>
      <c r="GL771" s="132"/>
      <c r="GM771" s="132"/>
      <c r="GN771" s="132"/>
      <c r="GO771" s="132"/>
      <c r="GP771" s="132"/>
      <c r="GQ771" s="132"/>
      <c r="GR771" s="132"/>
      <c r="GS771" s="132"/>
      <c r="GT771" s="132"/>
      <c r="GU771" s="132"/>
      <c r="GV771" s="132"/>
      <c r="GW771" s="132"/>
      <c r="GX771" s="132"/>
      <c r="GY771" s="132"/>
      <c r="GZ771" s="132"/>
      <c r="HA771" s="132"/>
      <c r="HB771" s="132"/>
      <c r="HC771" s="132"/>
      <c r="HD771" s="132"/>
      <c r="HE771" s="132"/>
      <c r="HF771" s="132"/>
      <c r="HG771" s="132"/>
      <c r="HH771" s="132"/>
      <c r="HI771" s="132"/>
      <c r="HJ771" s="132"/>
      <c r="HK771" s="132"/>
      <c r="HL771" s="132"/>
      <c r="HM771" s="132"/>
      <c r="HN771" s="132"/>
      <c r="HO771" s="132"/>
      <c r="HP771" s="132"/>
      <c r="HQ771" s="132"/>
      <c r="HR771" s="132"/>
      <c r="HS771" s="132"/>
      <c r="HT771" s="132"/>
      <c r="HU771" s="132"/>
      <c r="HV771" s="132"/>
      <c r="HW771" s="132"/>
      <c r="HX771" s="132"/>
      <c r="HY771" s="132"/>
      <c r="HZ771" s="132"/>
      <c r="IA771" s="132"/>
      <c r="IB771" s="132"/>
      <c r="IC771" s="132"/>
      <c r="ID771" s="132"/>
      <c r="IE771" s="132"/>
      <c r="IF771" s="132"/>
      <c r="IG771" s="132"/>
      <c r="IH771" s="132"/>
      <c r="II771" s="132"/>
      <c r="IJ771" s="132"/>
      <c r="IK771" s="132"/>
      <c r="IL771" s="132"/>
      <c r="IM771" s="132"/>
      <c r="IN771" s="132"/>
      <c r="IO771" s="132"/>
      <c r="IP771" s="132"/>
      <c r="IQ771" s="132"/>
      <c r="IR771" s="132"/>
      <c r="IS771" s="132"/>
      <c r="IT771" s="132"/>
      <c r="IU771" s="132"/>
      <c r="IV771" s="132"/>
      <c r="IW771" s="132"/>
      <c r="IX771" s="132"/>
      <c r="IY771" s="132"/>
      <c r="IZ771" s="132"/>
      <c r="JA771" s="132"/>
      <c r="JB771" s="132"/>
      <c r="JC771" s="132"/>
      <c r="JD771" s="132"/>
      <c r="JE771" s="132"/>
      <c r="JF771" s="132"/>
      <c r="JG771" s="132"/>
      <c r="JH771" s="132"/>
      <c r="JI771" s="132"/>
      <c r="JJ771" s="132"/>
      <c r="JK771" s="132"/>
      <c r="JL771" s="132"/>
      <c r="JM771" s="132"/>
      <c r="JN771" s="132"/>
      <c r="JO771" s="132"/>
      <c r="JP771" s="132"/>
      <c r="JQ771" s="132"/>
      <c r="JR771" s="132"/>
      <c r="JS771" s="132"/>
      <c r="JT771" s="132"/>
      <c r="JU771" s="132"/>
      <c r="JV771" s="132"/>
      <c r="JW771" s="132"/>
      <c r="JX771" s="132"/>
      <c r="JY771" s="132"/>
      <c r="JZ771" s="132"/>
      <c r="KA771" s="132"/>
      <c r="KB771" s="132"/>
      <c r="KC771" s="132"/>
      <c r="KD771" s="132"/>
      <c r="KE771" s="132"/>
      <c r="KF771" s="132"/>
      <c r="KG771" s="132"/>
      <c r="KH771" s="132"/>
      <c r="KI771" s="132"/>
      <c r="KJ771" s="132"/>
      <c r="KK771" s="132"/>
      <c r="KL771" s="132"/>
      <c r="KM771" s="132"/>
      <c r="KN771" s="132"/>
      <c r="KO771" s="132"/>
      <c r="KP771" s="132"/>
      <c r="KQ771" s="132"/>
      <c r="KR771" s="132"/>
      <c r="KS771" s="132"/>
      <c r="KT771" s="132"/>
      <c r="KU771" s="132"/>
      <c r="KV771" s="132"/>
      <c r="KW771" s="132"/>
      <c r="KX771" s="132"/>
      <c r="KY771" s="132"/>
      <c r="KZ771" s="132"/>
      <c r="LA771" s="132"/>
      <c r="LB771" s="132"/>
      <c r="LC771" s="132"/>
      <c r="LD771" s="132"/>
      <c r="LE771" s="132"/>
      <c r="LF771" s="132"/>
      <c r="LG771" s="132"/>
      <c r="LH771" s="132"/>
      <c r="LI771" s="132"/>
      <c r="LJ771" s="132"/>
      <c r="LK771" s="132"/>
      <c r="LL771" s="132"/>
      <c r="LM771" s="132"/>
      <c r="LN771" s="132"/>
      <c r="LO771" s="132"/>
      <c r="LP771" s="132"/>
      <c r="LQ771" s="132"/>
      <c r="LR771" s="132"/>
      <c r="LS771" s="132"/>
      <c r="LT771" s="132"/>
      <c r="LU771" s="132"/>
      <c r="LV771" s="132"/>
      <c r="LW771" s="132"/>
      <c r="LX771" s="132"/>
      <c r="LY771" s="132"/>
      <c r="LZ771" s="132"/>
      <c r="MA771" s="132"/>
      <c r="MB771" s="132"/>
      <c r="MC771" s="132"/>
      <c r="MD771" s="132"/>
      <c r="ME771" s="132"/>
      <c r="MF771" s="132"/>
      <c r="MG771" s="132"/>
      <c r="MH771" s="132"/>
      <c r="MI771" s="132"/>
      <c r="MJ771" s="132"/>
      <c r="MK771" s="132"/>
      <c r="ML771" s="132"/>
      <c r="MM771" s="132"/>
      <c r="MN771" s="132"/>
      <c r="MO771" s="132"/>
      <c r="MP771" s="132"/>
      <c r="MQ771" s="132"/>
      <c r="MR771" s="132"/>
      <c r="MS771" s="132"/>
      <c r="MT771" s="132"/>
      <c r="MU771" s="132"/>
      <c r="MV771" s="132"/>
      <c r="MW771" s="132"/>
      <c r="MX771" s="132"/>
      <c r="MY771" s="132"/>
      <c r="MZ771" s="132"/>
      <c r="NA771" s="132"/>
      <c r="NB771" s="132"/>
      <c r="NC771" s="132"/>
      <c r="ND771" s="132"/>
      <c r="NE771" s="132"/>
      <c r="NF771" s="132"/>
      <c r="NG771" s="132"/>
      <c r="NH771" s="132"/>
      <c r="NI771" s="132"/>
      <c r="NJ771" s="132"/>
      <c r="NK771" s="132"/>
      <c r="NL771" s="132"/>
      <c r="NM771" s="132"/>
      <c r="NN771" s="132"/>
      <c r="NO771" s="132"/>
      <c r="NP771" s="132"/>
      <c r="NQ771" s="132"/>
      <c r="NR771" s="132"/>
      <c r="NS771" s="132"/>
      <c r="NT771" s="132"/>
      <c r="NU771" s="132"/>
      <c r="NV771" s="132"/>
      <c r="NW771" s="132"/>
      <c r="NX771" s="132"/>
      <c r="NY771" s="132"/>
      <c r="NZ771" s="132"/>
      <c r="OA771" s="132"/>
      <c r="OB771" s="132"/>
      <c r="OC771" s="132"/>
      <c r="OD771" s="132"/>
      <c r="OE771" s="132"/>
      <c r="OF771" s="132"/>
      <c r="OG771" s="132"/>
      <c r="OH771" s="132"/>
      <c r="OI771" s="132"/>
      <c r="OJ771" s="132"/>
      <c r="OK771" s="132"/>
      <c r="OL771" s="132"/>
      <c r="OM771" s="132"/>
      <c r="ON771" s="132"/>
      <c r="OO771" s="132"/>
      <c r="OP771" s="132"/>
      <c r="OQ771" s="132"/>
      <c r="OR771" s="132"/>
      <c r="OS771" s="132"/>
      <c r="OT771" s="132"/>
      <c r="OU771" s="132"/>
      <c r="OV771" s="132"/>
      <c r="OW771" s="132"/>
      <c r="OX771" s="132"/>
      <c r="OY771" s="132"/>
      <c r="OZ771" s="132"/>
      <c r="PA771" s="132"/>
      <c r="PB771" s="132"/>
      <c r="PC771" s="132"/>
      <c r="PD771" s="132"/>
      <c r="PE771" s="132"/>
      <c r="PF771" s="132"/>
      <c r="PG771" s="132"/>
      <c r="PH771" s="132"/>
      <c r="PI771" s="132"/>
      <c r="PJ771" s="132"/>
      <c r="PK771" s="132"/>
      <c r="PL771" s="132"/>
      <c r="PM771" s="132"/>
      <c r="PN771" s="132"/>
      <c r="PO771" s="132"/>
      <c r="PP771" s="132"/>
      <c r="PQ771" s="132"/>
      <c r="PR771" s="132"/>
      <c r="PS771" s="132"/>
      <c r="PT771" s="132"/>
      <c r="PU771" s="132"/>
      <c r="PV771" s="132"/>
      <c r="PW771" s="132"/>
      <c r="PX771" s="132"/>
      <c r="PY771" s="132"/>
      <c r="PZ771" s="132"/>
      <c r="QA771" s="132"/>
      <c r="QB771" s="132"/>
      <c r="QC771" s="132"/>
      <c r="QD771" s="132"/>
      <c r="QE771" s="132"/>
      <c r="QF771" s="132"/>
      <c r="QG771" s="132"/>
      <c r="QH771" s="132"/>
      <c r="QI771" s="132"/>
      <c r="QJ771" s="132"/>
      <c r="QK771" s="132"/>
      <c r="QL771" s="132"/>
      <c r="QM771" s="132"/>
      <c r="QN771" s="132"/>
      <c r="QO771" s="132"/>
      <c r="QP771" s="132"/>
      <c r="QQ771" s="132"/>
      <c r="QR771" s="132"/>
      <c r="QS771" s="132"/>
      <c r="QT771" s="132"/>
      <c r="QU771" s="132"/>
      <c r="QV771" s="132"/>
      <c r="QW771" s="132"/>
      <c r="QX771" s="132"/>
      <c r="QY771" s="132"/>
      <c r="QZ771" s="132"/>
      <c r="RA771" s="132"/>
      <c r="RB771" s="132"/>
      <c r="RC771" s="132"/>
      <c r="RD771" s="132"/>
      <c r="RE771" s="132"/>
      <c r="RF771" s="132"/>
      <c r="RG771" s="132"/>
      <c r="RH771" s="132"/>
      <c r="RI771" s="132"/>
      <c r="RJ771" s="132"/>
      <c r="RK771" s="132"/>
      <c r="RL771" s="132"/>
      <c r="RM771" s="132"/>
      <c r="RN771" s="132"/>
      <c r="RO771" s="132"/>
      <c r="RP771" s="132"/>
      <c r="RQ771" s="132"/>
      <c r="RR771" s="132"/>
      <c r="RS771" s="132"/>
      <c r="RT771" s="132"/>
      <c r="RU771" s="132"/>
      <c r="RV771" s="132"/>
      <c r="RW771" s="132"/>
      <c r="RX771" s="132"/>
      <c r="RY771" s="132"/>
      <c r="RZ771" s="132"/>
      <c r="SA771" s="132"/>
      <c r="SB771" s="132"/>
      <c r="SC771" s="132"/>
      <c r="SD771" s="132"/>
      <c r="SE771" s="132"/>
      <c r="SF771" s="132"/>
      <c r="SG771" s="132"/>
      <c r="SH771" s="132"/>
      <c r="SI771" s="132"/>
      <c r="SJ771" s="132"/>
      <c r="SK771" s="132"/>
      <c r="SL771" s="132"/>
      <c r="SM771" s="132"/>
      <c r="SN771" s="132"/>
      <c r="SO771" s="132"/>
      <c r="SP771" s="132"/>
      <c r="SQ771" s="132"/>
      <c r="SR771" s="132"/>
      <c r="SS771" s="132"/>
      <c r="ST771" s="132"/>
      <c r="SU771" s="132"/>
      <c r="SV771" s="132"/>
      <c r="SW771" s="132"/>
      <c r="SX771" s="132"/>
      <c r="SY771" s="132"/>
      <c r="SZ771" s="132"/>
      <c r="TA771" s="132"/>
      <c r="TB771" s="132"/>
      <c r="TC771" s="132"/>
      <c r="TD771" s="132"/>
      <c r="TE771" s="132"/>
      <c r="TF771" s="132"/>
      <c r="TG771" s="132"/>
      <c r="TH771" s="132"/>
      <c r="TI771" s="132"/>
      <c r="TJ771" s="132"/>
      <c r="TK771" s="132"/>
      <c r="TL771" s="132"/>
      <c r="TM771" s="132"/>
      <c r="TN771" s="132"/>
      <c r="TO771" s="132"/>
      <c r="TP771" s="132"/>
      <c r="TQ771" s="132"/>
      <c r="TR771" s="132"/>
      <c r="TS771" s="132"/>
      <c r="TT771" s="132"/>
      <c r="TU771" s="132"/>
      <c r="TV771" s="132"/>
      <c r="TW771" s="132"/>
      <c r="TX771" s="132"/>
      <c r="TY771" s="132"/>
      <c r="TZ771" s="132"/>
      <c r="UA771" s="132"/>
      <c r="UB771" s="132"/>
      <c r="UC771" s="132"/>
      <c r="UD771" s="132"/>
      <c r="UE771" s="132"/>
      <c r="UF771" s="132"/>
      <c r="UG771" s="132"/>
    </row>
    <row r="772" spans="1:553" ht="30.75" customHeight="1">
      <c r="A772" s="366"/>
      <c r="B772" s="366" t="s">
        <v>951</v>
      </c>
      <c r="C772" s="1401" t="s">
        <v>998</v>
      </c>
      <c r="D772" s="1389"/>
      <c r="E772" s="1389"/>
      <c r="F772" s="1390"/>
      <c r="G772" s="366"/>
      <c r="H772" s="622"/>
      <c r="I772" s="626">
        <f>3.1*3.6</f>
        <v>11.16</v>
      </c>
      <c r="J772" s="369">
        <f>215000-130000</f>
        <v>85000</v>
      </c>
      <c r="K772" s="641">
        <v>0.8</v>
      </c>
      <c r="L772" s="627">
        <f t="shared" si="117"/>
        <v>758880</v>
      </c>
      <c r="M772" s="366"/>
      <c r="N772" s="366"/>
      <c r="O772" s="366"/>
      <c r="P772" s="366"/>
      <c r="Q772" s="1151"/>
      <c r="R772" s="1226"/>
      <c r="S772" s="308"/>
      <c r="T772" s="308"/>
      <c r="U772" s="308"/>
      <c r="V772" s="308"/>
      <c r="W772" s="308"/>
      <c r="X772" s="308"/>
      <c r="Y772" s="308"/>
      <c r="Z772" s="604"/>
      <c r="AA772" s="308"/>
      <c r="AB772" s="308"/>
      <c r="AC772" s="625"/>
      <c r="AD772" s="625"/>
      <c r="AE772" s="625"/>
      <c r="AF772" s="625"/>
      <c r="AG772" s="625"/>
      <c r="AH772" s="625"/>
      <c r="AI772" s="625"/>
      <c r="AJ772" s="625"/>
      <c r="AK772" s="625"/>
      <c r="AL772" s="133"/>
      <c r="AM772" s="133"/>
      <c r="AN772" s="133"/>
      <c r="AO772" s="133"/>
      <c r="AP772" s="133"/>
      <c r="AQ772" s="133"/>
      <c r="AR772" s="133"/>
      <c r="AS772" s="133"/>
      <c r="AT772" s="133"/>
      <c r="AU772" s="133"/>
      <c r="AV772" s="133"/>
      <c r="AW772" s="133"/>
      <c r="AX772" s="133"/>
      <c r="AY772" s="133"/>
      <c r="AZ772" s="133"/>
      <c r="BA772" s="133"/>
      <c r="BB772" s="133"/>
      <c r="BC772" s="133"/>
      <c r="BD772" s="133"/>
      <c r="BE772" s="133"/>
      <c r="BF772" s="133"/>
      <c r="BG772" s="133"/>
      <c r="BH772" s="133"/>
      <c r="BI772" s="133"/>
      <c r="BJ772" s="133"/>
      <c r="BK772" s="133"/>
      <c r="BL772" s="133"/>
      <c r="BM772" s="133"/>
      <c r="BN772" s="133"/>
      <c r="BO772" s="133"/>
      <c r="BP772" s="133"/>
      <c r="BQ772" s="132"/>
      <c r="BR772" s="132"/>
      <c r="BS772" s="132"/>
      <c r="BT772" s="132"/>
      <c r="BU772" s="132"/>
      <c r="BV772" s="132"/>
      <c r="BW772" s="132"/>
      <c r="BX772" s="132"/>
      <c r="BY772" s="132"/>
      <c r="BZ772" s="132"/>
      <c r="CA772" s="132"/>
      <c r="CB772" s="132"/>
      <c r="CC772" s="132"/>
      <c r="CD772" s="132"/>
      <c r="CE772" s="132"/>
      <c r="CF772" s="132"/>
      <c r="CG772" s="132"/>
      <c r="CH772" s="132"/>
      <c r="CI772" s="132"/>
      <c r="CJ772" s="132"/>
      <c r="CK772" s="132"/>
      <c r="CL772" s="132"/>
      <c r="CM772" s="132"/>
      <c r="CN772" s="132"/>
      <c r="CO772" s="132"/>
      <c r="CP772" s="132"/>
      <c r="CQ772" s="132"/>
      <c r="CR772" s="132"/>
      <c r="CS772" s="132"/>
      <c r="CT772" s="132"/>
      <c r="CU772" s="132"/>
      <c r="CV772" s="132"/>
      <c r="CW772" s="132"/>
      <c r="CX772" s="132"/>
      <c r="CY772" s="132"/>
      <c r="CZ772" s="132"/>
      <c r="DA772" s="132"/>
      <c r="DB772" s="132"/>
      <c r="DC772" s="132"/>
      <c r="DD772" s="132"/>
      <c r="DE772" s="132"/>
      <c r="DF772" s="132"/>
      <c r="DG772" s="132"/>
      <c r="DH772" s="132"/>
      <c r="DI772" s="132"/>
      <c r="DJ772" s="132"/>
      <c r="DK772" s="132"/>
      <c r="DL772" s="132"/>
      <c r="DM772" s="132"/>
      <c r="DN772" s="132"/>
      <c r="DO772" s="132"/>
      <c r="DP772" s="132"/>
      <c r="DQ772" s="132"/>
      <c r="DR772" s="132"/>
      <c r="DS772" s="132"/>
      <c r="DT772" s="132"/>
      <c r="DU772" s="132"/>
      <c r="DV772" s="132"/>
      <c r="DW772" s="132"/>
      <c r="DX772" s="132"/>
      <c r="DY772" s="132"/>
      <c r="DZ772" s="132"/>
      <c r="EA772" s="132"/>
      <c r="EB772" s="132"/>
      <c r="EC772" s="132"/>
      <c r="ED772" s="132"/>
      <c r="EE772" s="132"/>
      <c r="EF772" s="132"/>
      <c r="EG772" s="132"/>
      <c r="EH772" s="132"/>
      <c r="EI772" s="132"/>
      <c r="EJ772" s="132"/>
      <c r="EK772" s="132"/>
      <c r="EL772" s="132"/>
      <c r="EM772" s="132"/>
      <c r="EN772" s="132"/>
      <c r="EO772" s="132"/>
      <c r="EP772" s="132"/>
      <c r="EQ772" s="132"/>
      <c r="ER772" s="132"/>
      <c r="ES772" s="132"/>
      <c r="ET772" s="132"/>
      <c r="EU772" s="132"/>
      <c r="EV772" s="132"/>
      <c r="EW772" s="132"/>
      <c r="EX772" s="132"/>
      <c r="EY772" s="132"/>
      <c r="EZ772" s="132"/>
      <c r="FA772" s="132"/>
      <c r="FB772" s="132"/>
      <c r="FC772" s="132"/>
      <c r="FD772" s="132"/>
      <c r="FE772" s="132"/>
      <c r="FF772" s="132"/>
      <c r="FG772" s="132"/>
      <c r="FH772" s="132"/>
      <c r="FI772" s="132"/>
      <c r="FJ772" s="132"/>
      <c r="FK772" s="132"/>
      <c r="FL772" s="132"/>
      <c r="FM772" s="132"/>
      <c r="FN772" s="132"/>
      <c r="FO772" s="132"/>
      <c r="FP772" s="132"/>
      <c r="FQ772" s="132"/>
      <c r="FR772" s="132"/>
      <c r="FS772" s="132"/>
      <c r="FT772" s="132"/>
      <c r="FU772" s="132"/>
      <c r="FV772" s="132"/>
      <c r="FW772" s="132"/>
      <c r="FX772" s="132"/>
      <c r="FY772" s="132"/>
      <c r="FZ772" s="132"/>
      <c r="GA772" s="132"/>
      <c r="GB772" s="132"/>
      <c r="GC772" s="132"/>
      <c r="GD772" s="132"/>
      <c r="GE772" s="132"/>
      <c r="GF772" s="132"/>
      <c r="GG772" s="132"/>
      <c r="GH772" s="132"/>
      <c r="GI772" s="132"/>
      <c r="GJ772" s="132"/>
      <c r="GK772" s="132"/>
      <c r="GL772" s="132"/>
      <c r="GM772" s="132"/>
      <c r="GN772" s="132"/>
      <c r="GO772" s="132"/>
      <c r="GP772" s="132"/>
      <c r="GQ772" s="132"/>
      <c r="GR772" s="132"/>
      <c r="GS772" s="132"/>
      <c r="GT772" s="132"/>
      <c r="GU772" s="132"/>
      <c r="GV772" s="132"/>
      <c r="GW772" s="132"/>
      <c r="GX772" s="132"/>
      <c r="GY772" s="132"/>
      <c r="GZ772" s="132"/>
      <c r="HA772" s="132"/>
      <c r="HB772" s="132"/>
      <c r="HC772" s="132"/>
      <c r="HD772" s="132"/>
      <c r="HE772" s="132"/>
      <c r="HF772" s="132"/>
      <c r="HG772" s="132"/>
      <c r="HH772" s="132"/>
      <c r="HI772" s="132"/>
      <c r="HJ772" s="132"/>
      <c r="HK772" s="132"/>
      <c r="HL772" s="132"/>
      <c r="HM772" s="132"/>
      <c r="HN772" s="132"/>
      <c r="HO772" s="132"/>
      <c r="HP772" s="132"/>
      <c r="HQ772" s="132"/>
      <c r="HR772" s="132"/>
      <c r="HS772" s="132"/>
      <c r="HT772" s="132"/>
      <c r="HU772" s="132"/>
      <c r="HV772" s="132"/>
      <c r="HW772" s="132"/>
      <c r="HX772" s="132"/>
      <c r="HY772" s="132"/>
      <c r="HZ772" s="132"/>
      <c r="IA772" s="132"/>
      <c r="IB772" s="132"/>
      <c r="IC772" s="132"/>
      <c r="ID772" s="132"/>
      <c r="IE772" s="132"/>
      <c r="IF772" s="132"/>
      <c r="IG772" s="132"/>
      <c r="IH772" s="132"/>
      <c r="II772" s="132"/>
      <c r="IJ772" s="132"/>
      <c r="IK772" s="132"/>
      <c r="IL772" s="132"/>
      <c r="IM772" s="132"/>
      <c r="IN772" s="132"/>
      <c r="IO772" s="132"/>
      <c r="IP772" s="132"/>
      <c r="IQ772" s="132"/>
      <c r="IR772" s="132"/>
      <c r="IS772" s="132"/>
      <c r="IT772" s="132"/>
      <c r="IU772" s="132"/>
      <c r="IV772" s="132"/>
      <c r="IW772" s="132"/>
      <c r="IX772" s="132"/>
      <c r="IY772" s="132"/>
      <c r="IZ772" s="132"/>
      <c r="JA772" s="132"/>
      <c r="JB772" s="132"/>
      <c r="JC772" s="132"/>
      <c r="JD772" s="132"/>
      <c r="JE772" s="132"/>
      <c r="JF772" s="132"/>
      <c r="JG772" s="132"/>
      <c r="JH772" s="132"/>
      <c r="JI772" s="132"/>
      <c r="JJ772" s="132"/>
      <c r="JK772" s="132"/>
      <c r="JL772" s="132"/>
      <c r="JM772" s="132"/>
      <c r="JN772" s="132"/>
      <c r="JO772" s="132"/>
      <c r="JP772" s="132"/>
      <c r="JQ772" s="132"/>
      <c r="JR772" s="132"/>
      <c r="JS772" s="132"/>
      <c r="JT772" s="132"/>
      <c r="JU772" s="132"/>
      <c r="JV772" s="132"/>
      <c r="JW772" s="132"/>
      <c r="JX772" s="132"/>
      <c r="JY772" s="132"/>
      <c r="JZ772" s="132"/>
      <c r="KA772" s="132"/>
      <c r="KB772" s="132"/>
      <c r="KC772" s="132"/>
      <c r="KD772" s="132"/>
      <c r="KE772" s="132"/>
      <c r="KF772" s="132"/>
      <c r="KG772" s="132"/>
      <c r="KH772" s="132"/>
      <c r="KI772" s="132"/>
      <c r="KJ772" s="132"/>
      <c r="KK772" s="132"/>
      <c r="KL772" s="132"/>
      <c r="KM772" s="132"/>
      <c r="KN772" s="132"/>
      <c r="KO772" s="132"/>
      <c r="KP772" s="132"/>
      <c r="KQ772" s="132"/>
      <c r="KR772" s="132"/>
      <c r="KS772" s="132"/>
      <c r="KT772" s="132"/>
      <c r="KU772" s="132"/>
      <c r="KV772" s="132"/>
      <c r="KW772" s="132"/>
      <c r="KX772" s="132"/>
      <c r="KY772" s="132"/>
      <c r="KZ772" s="132"/>
      <c r="LA772" s="132"/>
      <c r="LB772" s="132"/>
      <c r="LC772" s="132"/>
      <c r="LD772" s="132"/>
      <c r="LE772" s="132"/>
      <c r="LF772" s="132"/>
      <c r="LG772" s="132"/>
      <c r="LH772" s="132"/>
      <c r="LI772" s="132"/>
      <c r="LJ772" s="132"/>
      <c r="LK772" s="132"/>
      <c r="LL772" s="132"/>
      <c r="LM772" s="132"/>
      <c r="LN772" s="132"/>
      <c r="LO772" s="132"/>
      <c r="LP772" s="132"/>
      <c r="LQ772" s="132"/>
      <c r="LR772" s="132"/>
      <c r="LS772" s="132"/>
      <c r="LT772" s="132"/>
      <c r="LU772" s="132"/>
      <c r="LV772" s="132"/>
      <c r="LW772" s="132"/>
      <c r="LX772" s="132"/>
      <c r="LY772" s="132"/>
      <c r="LZ772" s="132"/>
      <c r="MA772" s="132"/>
      <c r="MB772" s="132"/>
      <c r="MC772" s="132"/>
      <c r="MD772" s="132"/>
      <c r="ME772" s="132"/>
      <c r="MF772" s="132"/>
      <c r="MG772" s="132"/>
      <c r="MH772" s="132"/>
      <c r="MI772" s="132"/>
      <c r="MJ772" s="132"/>
      <c r="MK772" s="132"/>
      <c r="ML772" s="132"/>
      <c r="MM772" s="132"/>
      <c r="MN772" s="132"/>
      <c r="MO772" s="132"/>
      <c r="MP772" s="132"/>
      <c r="MQ772" s="132"/>
      <c r="MR772" s="132"/>
      <c r="MS772" s="132"/>
      <c r="MT772" s="132"/>
      <c r="MU772" s="132"/>
      <c r="MV772" s="132"/>
      <c r="MW772" s="132"/>
      <c r="MX772" s="132"/>
      <c r="MY772" s="132"/>
      <c r="MZ772" s="132"/>
      <c r="NA772" s="132"/>
      <c r="NB772" s="132"/>
      <c r="NC772" s="132"/>
      <c r="ND772" s="132"/>
      <c r="NE772" s="132"/>
      <c r="NF772" s="132"/>
      <c r="NG772" s="132"/>
      <c r="NH772" s="132"/>
      <c r="NI772" s="132"/>
      <c r="NJ772" s="132"/>
      <c r="NK772" s="132"/>
      <c r="NL772" s="132"/>
      <c r="NM772" s="132"/>
      <c r="NN772" s="132"/>
      <c r="NO772" s="132"/>
      <c r="NP772" s="132"/>
      <c r="NQ772" s="132"/>
      <c r="NR772" s="132"/>
      <c r="NS772" s="132"/>
      <c r="NT772" s="132"/>
      <c r="NU772" s="132"/>
      <c r="NV772" s="132"/>
      <c r="NW772" s="132"/>
      <c r="NX772" s="132"/>
      <c r="NY772" s="132"/>
      <c r="NZ772" s="132"/>
      <c r="OA772" s="132"/>
      <c r="OB772" s="132"/>
      <c r="OC772" s="132"/>
      <c r="OD772" s="132"/>
      <c r="OE772" s="132"/>
      <c r="OF772" s="132"/>
      <c r="OG772" s="132"/>
      <c r="OH772" s="132"/>
      <c r="OI772" s="132"/>
      <c r="OJ772" s="132"/>
      <c r="OK772" s="132"/>
      <c r="OL772" s="132"/>
      <c r="OM772" s="132"/>
      <c r="ON772" s="132"/>
      <c r="OO772" s="132"/>
      <c r="OP772" s="132"/>
      <c r="OQ772" s="132"/>
      <c r="OR772" s="132"/>
      <c r="OS772" s="132"/>
      <c r="OT772" s="132"/>
      <c r="OU772" s="132"/>
      <c r="OV772" s="132"/>
      <c r="OW772" s="132"/>
      <c r="OX772" s="132"/>
      <c r="OY772" s="132"/>
      <c r="OZ772" s="132"/>
      <c r="PA772" s="132"/>
      <c r="PB772" s="132"/>
      <c r="PC772" s="132"/>
      <c r="PD772" s="132"/>
      <c r="PE772" s="132"/>
      <c r="PF772" s="132"/>
      <c r="PG772" s="132"/>
      <c r="PH772" s="132"/>
      <c r="PI772" s="132"/>
      <c r="PJ772" s="132"/>
      <c r="PK772" s="132"/>
      <c r="PL772" s="132"/>
      <c r="PM772" s="132"/>
      <c r="PN772" s="132"/>
      <c r="PO772" s="132"/>
      <c r="PP772" s="132"/>
      <c r="PQ772" s="132"/>
      <c r="PR772" s="132"/>
      <c r="PS772" s="132"/>
      <c r="PT772" s="132"/>
      <c r="PU772" s="132"/>
      <c r="PV772" s="132"/>
      <c r="PW772" s="132"/>
      <c r="PX772" s="132"/>
      <c r="PY772" s="132"/>
      <c r="PZ772" s="132"/>
      <c r="QA772" s="132"/>
      <c r="QB772" s="132"/>
      <c r="QC772" s="132"/>
      <c r="QD772" s="132"/>
      <c r="QE772" s="132"/>
      <c r="QF772" s="132"/>
      <c r="QG772" s="132"/>
      <c r="QH772" s="132"/>
      <c r="QI772" s="132"/>
      <c r="QJ772" s="132"/>
      <c r="QK772" s="132"/>
      <c r="QL772" s="132"/>
      <c r="QM772" s="132"/>
      <c r="QN772" s="132"/>
      <c r="QO772" s="132"/>
      <c r="QP772" s="132"/>
      <c r="QQ772" s="132"/>
      <c r="QR772" s="132"/>
      <c r="QS772" s="132"/>
      <c r="QT772" s="132"/>
      <c r="QU772" s="132"/>
      <c r="QV772" s="132"/>
      <c r="QW772" s="132"/>
      <c r="QX772" s="132"/>
      <c r="QY772" s="132"/>
      <c r="QZ772" s="132"/>
      <c r="RA772" s="132"/>
      <c r="RB772" s="132"/>
      <c r="RC772" s="132"/>
      <c r="RD772" s="132"/>
      <c r="RE772" s="132"/>
      <c r="RF772" s="132"/>
      <c r="RG772" s="132"/>
      <c r="RH772" s="132"/>
      <c r="RI772" s="132"/>
      <c r="RJ772" s="132"/>
      <c r="RK772" s="132"/>
      <c r="RL772" s="132"/>
      <c r="RM772" s="132"/>
      <c r="RN772" s="132"/>
      <c r="RO772" s="132"/>
      <c r="RP772" s="132"/>
      <c r="RQ772" s="132"/>
      <c r="RR772" s="132"/>
      <c r="RS772" s="132"/>
      <c r="RT772" s="132"/>
      <c r="RU772" s="132"/>
      <c r="RV772" s="132"/>
      <c r="RW772" s="132"/>
      <c r="RX772" s="132"/>
      <c r="RY772" s="132"/>
      <c r="RZ772" s="132"/>
      <c r="SA772" s="132"/>
      <c r="SB772" s="132"/>
      <c r="SC772" s="132"/>
      <c r="SD772" s="132"/>
      <c r="SE772" s="132"/>
      <c r="SF772" s="132"/>
      <c r="SG772" s="132"/>
      <c r="SH772" s="132"/>
      <c r="SI772" s="132"/>
      <c r="SJ772" s="132"/>
      <c r="SK772" s="132"/>
      <c r="SL772" s="132"/>
      <c r="SM772" s="132"/>
      <c r="SN772" s="132"/>
      <c r="SO772" s="132"/>
      <c r="SP772" s="132"/>
      <c r="SQ772" s="132"/>
      <c r="SR772" s="132"/>
      <c r="SS772" s="132"/>
      <c r="ST772" s="132"/>
      <c r="SU772" s="132"/>
      <c r="SV772" s="132"/>
      <c r="SW772" s="132"/>
      <c r="SX772" s="132"/>
      <c r="SY772" s="132"/>
      <c r="SZ772" s="132"/>
      <c r="TA772" s="132"/>
      <c r="TB772" s="132"/>
      <c r="TC772" s="132"/>
      <c r="TD772" s="132"/>
      <c r="TE772" s="132"/>
      <c r="TF772" s="132"/>
      <c r="TG772" s="132"/>
      <c r="TH772" s="132"/>
      <c r="TI772" s="132"/>
      <c r="TJ772" s="132"/>
      <c r="TK772" s="132"/>
      <c r="TL772" s="132"/>
      <c r="TM772" s="132"/>
      <c r="TN772" s="132"/>
      <c r="TO772" s="132"/>
      <c r="TP772" s="132"/>
      <c r="TQ772" s="132"/>
      <c r="TR772" s="132"/>
      <c r="TS772" s="132"/>
      <c r="TT772" s="132"/>
      <c r="TU772" s="132"/>
      <c r="TV772" s="132"/>
      <c r="TW772" s="132"/>
      <c r="TX772" s="132"/>
      <c r="TY772" s="132"/>
      <c r="TZ772" s="132"/>
      <c r="UA772" s="132"/>
      <c r="UB772" s="132"/>
      <c r="UC772" s="132"/>
      <c r="UD772" s="132"/>
      <c r="UE772" s="132"/>
      <c r="UF772" s="132"/>
      <c r="UG772" s="132"/>
    </row>
    <row r="773" spans="1:553" ht="30.75" customHeight="1">
      <c r="A773" s="366"/>
      <c r="B773" s="366">
        <v>52</v>
      </c>
      <c r="C773" s="1401" t="s">
        <v>950</v>
      </c>
      <c r="D773" s="1389"/>
      <c r="E773" s="1389"/>
      <c r="F773" s="1390"/>
      <c r="G773" s="366" t="s">
        <v>33</v>
      </c>
      <c r="H773" s="622"/>
      <c r="I773" s="626">
        <f>9.1*7.2</f>
        <v>65.52</v>
      </c>
      <c r="J773" s="369">
        <v>60200</v>
      </c>
      <c r="K773" s="641">
        <v>0.8</v>
      </c>
      <c r="L773" s="627">
        <f t="shared" si="117"/>
        <v>3155443.1999999997</v>
      </c>
      <c r="M773" s="366"/>
      <c r="N773" s="366"/>
      <c r="O773" s="366"/>
      <c r="P773" s="366"/>
      <c r="Q773" s="1151"/>
      <c r="R773" s="1226"/>
      <c r="S773" s="308"/>
      <c r="T773" s="308"/>
      <c r="U773" s="308"/>
      <c r="V773" s="308"/>
      <c r="W773" s="308"/>
      <c r="X773" s="308"/>
      <c r="Y773" s="308"/>
      <c r="Z773" s="604"/>
      <c r="AA773" s="308"/>
      <c r="AB773" s="308"/>
      <c r="AC773" s="625"/>
      <c r="AD773" s="625"/>
      <c r="AE773" s="625"/>
      <c r="AF773" s="625"/>
      <c r="AG773" s="625"/>
      <c r="AH773" s="625"/>
      <c r="AI773" s="625"/>
      <c r="AJ773" s="625"/>
      <c r="AK773" s="625"/>
      <c r="AL773" s="133"/>
      <c r="AM773" s="133"/>
      <c r="AN773" s="133"/>
      <c r="AO773" s="133"/>
      <c r="AP773" s="133"/>
      <c r="AQ773" s="133"/>
      <c r="AR773" s="133"/>
      <c r="AS773" s="133"/>
      <c r="AT773" s="133"/>
      <c r="AU773" s="133"/>
      <c r="AV773" s="133"/>
      <c r="AW773" s="133"/>
      <c r="AX773" s="133"/>
      <c r="AY773" s="133"/>
      <c r="AZ773" s="133"/>
      <c r="BA773" s="133"/>
      <c r="BB773" s="133"/>
      <c r="BC773" s="133"/>
      <c r="BD773" s="133"/>
      <c r="BE773" s="133"/>
      <c r="BF773" s="133"/>
      <c r="BG773" s="133"/>
      <c r="BH773" s="133"/>
      <c r="BI773" s="133"/>
      <c r="BJ773" s="133"/>
      <c r="BK773" s="133"/>
      <c r="BL773" s="133"/>
      <c r="BM773" s="133"/>
      <c r="BN773" s="133"/>
      <c r="BO773" s="133"/>
      <c r="BP773" s="133"/>
      <c r="BQ773" s="132"/>
      <c r="BR773" s="132"/>
      <c r="BS773" s="132"/>
      <c r="BT773" s="132"/>
      <c r="BU773" s="132"/>
      <c r="BV773" s="132"/>
      <c r="BW773" s="132"/>
      <c r="BX773" s="132"/>
      <c r="BY773" s="132"/>
      <c r="BZ773" s="132"/>
      <c r="CA773" s="132"/>
      <c r="CB773" s="132"/>
      <c r="CC773" s="132"/>
      <c r="CD773" s="132"/>
      <c r="CE773" s="132"/>
      <c r="CF773" s="132"/>
      <c r="CG773" s="132"/>
      <c r="CH773" s="132"/>
      <c r="CI773" s="132"/>
      <c r="CJ773" s="132"/>
      <c r="CK773" s="132"/>
      <c r="CL773" s="132"/>
      <c r="CM773" s="132"/>
      <c r="CN773" s="132"/>
      <c r="CO773" s="132"/>
      <c r="CP773" s="132"/>
      <c r="CQ773" s="132"/>
      <c r="CR773" s="132"/>
      <c r="CS773" s="132"/>
      <c r="CT773" s="132"/>
      <c r="CU773" s="132"/>
      <c r="CV773" s="132"/>
      <c r="CW773" s="132"/>
      <c r="CX773" s="132"/>
      <c r="CY773" s="132"/>
      <c r="CZ773" s="132"/>
      <c r="DA773" s="132"/>
      <c r="DB773" s="132"/>
      <c r="DC773" s="132"/>
      <c r="DD773" s="132"/>
      <c r="DE773" s="132"/>
      <c r="DF773" s="132"/>
      <c r="DG773" s="132"/>
      <c r="DH773" s="132"/>
      <c r="DI773" s="132"/>
      <c r="DJ773" s="132"/>
      <c r="DK773" s="132"/>
      <c r="DL773" s="132"/>
      <c r="DM773" s="132"/>
      <c r="DN773" s="132"/>
      <c r="DO773" s="132"/>
      <c r="DP773" s="132"/>
      <c r="DQ773" s="132"/>
      <c r="DR773" s="132"/>
      <c r="DS773" s="132"/>
      <c r="DT773" s="132"/>
      <c r="DU773" s="132"/>
      <c r="DV773" s="132"/>
      <c r="DW773" s="132"/>
      <c r="DX773" s="132"/>
      <c r="DY773" s="132"/>
      <c r="DZ773" s="132"/>
      <c r="EA773" s="132"/>
      <c r="EB773" s="132"/>
      <c r="EC773" s="132"/>
      <c r="ED773" s="132"/>
      <c r="EE773" s="132"/>
      <c r="EF773" s="132"/>
      <c r="EG773" s="132"/>
      <c r="EH773" s="132"/>
      <c r="EI773" s="132"/>
      <c r="EJ773" s="132"/>
      <c r="EK773" s="132"/>
      <c r="EL773" s="132"/>
      <c r="EM773" s="132"/>
      <c r="EN773" s="132"/>
      <c r="EO773" s="132"/>
      <c r="EP773" s="132"/>
      <c r="EQ773" s="132"/>
      <c r="ER773" s="132"/>
      <c r="ES773" s="132"/>
      <c r="ET773" s="132"/>
      <c r="EU773" s="132"/>
      <c r="EV773" s="132"/>
      <c r="EW773" s="132"/>
      <c r="EX773" s="132"/>
      <c r="EY773" s="132"/>
      <c r="EZ773" s="132"/>
      <c r="FA773" s="132"/>
      <c r="FB773" s="132"/>
      <c r="FC773" s="132"/>
      <c r="FD773" s="132"/>
      <c r="FE773" s="132"/>
      <c r="FF773" s="132"/>
      <c r="FG773" s="132"/>
      <c r="FH773" s="132"/>
      <c r="FI773" s="132"/>
      <c r="FJ773" s="132"/>
      <c r="FK773" s="132"/>
      <c r="FL773" s="132"/>
      <c r="FM773" s="132"/>
      <c r="FN773" s="132"/>
      <c r="FO773" s="132"/>
      <c r="FP773" s="132"/>
      <c r="FQ773" s="132"/>
      <c r="FR773" s="132"/>
      <c r="FS773" s="132"/>
      <c r="FT773" s="132"/>
      <c r="FU773" s="132"/>
      <c r="FV773" s="132"/>
      <c r="FW773" s="132"/>
      <c r="FX773" s="132"/>
      <c r="FY773" s="132"/>
      <c r="FZ773" s="132"/>
      <c r="GA773" s="132"/>
      <c r="GB773" s="132"/>
      <c r="GC773" s="132"/>
      <c r="GD773" s="132"/>
      <c r="GE773" s="132"/>
      <c r="GF773" s="132"/>
      <c r="GG773" s="132"/>
      <c r="GH773" s="132"/>
      <c r="GI773" s="132"/>
      <c r="GJ773" s="132"/>
      <c r="GK773" s="132"/>
      <c r="GL773" s="132"/>
      <c r="GM773" s="132"/>
      <c r="GN773" s="132"/>
      <c r="GO773" s="132"/>
      <c r="GP773" s="132"/>
      <c r="GQ773" s="132"/>
      <c r="GR773" s="132"/>
      <c r="GS773" s="132"/>
      <c r="GT773" s="132"/>
      <c r="GU773" s="132"/>
      <c r="GV773" s="132"/>
      <c r="GW773" s="132"/>
      <c r="GX773" s="132"/>
      <c r="GY773" s="132"/>
      <c r="GZ773" s="132"/>
      <c r="HA773" s="132"/>
      <c r="HB773" s="132"/>
      <c r="HC773" s="132"/>
      <c r="HD773" s="132"/>
      <c r="HE773" s="132"/>
      <c r="HF773" s="132"/>
      <c r="HG773" s="132"/>
      <c r="HH773" s="132"/>
      <c r="HI773" s="132"/>
      <c r="HJ773" s="132"/>
      <c r="HK773" s="132"/>
      <c r="HL773" s="132"/>
      <c r="HM773" s="132"/>
      <c r="HN773" s="132"/>
      <c r="HO773" s="132"/>
      <c r="HP773" s="132"/>
      <c r="HQ773" s="132"/>
      <c r="HR773" s="132"/>
      <c r="HS773" s="132"/>
      <c r="HT773" s="132"/>
      <c r="HU773" s="132"/>
      <c r="HV773" s="132"/>
      <c r="HW773" s="132"/>
      <c r="HX773" s="132"/>
      <c r="HY773" s="132"/>
      <c r="HZ773" s="132"/>
      <c r="IA773" s="132"/>
      <c r="IB773" s="132"/>
      <c r="IC773" s="132"/>
      <c r="ID773" s="132"/>
      <c r="IE773" s="132"/>
      <c r="IF773" s="132"/>
      <c r="IG773" s="132"/>
      <c r="IH773" s="132"/>
      <c r="II773" s="132"/>
      <c r="IJ773" s="132"/>
      <c r="IK773" s="132"/>
      <c r="IL773" s="132"/>
      <c r="IM773" s="132"/>
      <c r="IN773" s="132"/>
      <c r="IO773" s="132"/>
      <c r="IP773" s="132"/>
      <c r="IQ773" s="132"/>
      <c r="IR773" s="132"/>
      <c r="IS773" s="132"/>
      <c r="IT773" s="132"/>
      <c r="IU773" s="132"/>
      <c r="IV773" s="132"/>
      <c r="IW773" s="132"/>
      <c r="IX773" s="132"/>
      <c r="IY773" s="132"/>
      <c r="IZ773" s="132"/>
      <c r="JA773" s="132"/>
      <c r="JB773" s="132"/>
      <c r="JC773" s="132"/>
      <c r="JD773" s="132"/>
      <c r="JE773" s="132"/>
      <c r="JF773" s="132"/>
      <c r="JG773" s="132"/>
      <c r="JH773" s="132"/>
      <c r="JI773" s="132"/>
      <c r="JJ773" s="132"/>
      <c r="JK773" s="132"/>
      <c r="JL773" s="132"/>
      <c r="JM773" s="132"/>
      <c r="JN773" s="132"/>
      <c r="JO773" s="132"/>
      <c r="JP773" s="132"/>
      <c r="JQ773" s="132"/>
      <c r="JR773" s="132"/>
      <c r="JS773" s="132"/>
      <c r="JT773" s="132"/>
      <c r="JU773" s="132"/>
      <c r="JV773" s="132"/>
      <c r="JW773" s="132"/>
      <c r="JX773" s="132"/>
      <c r="JY773" s="132"/>
      <c r="JZ773" s="132"/>
      <c r="KA773" s="132"/>
      <c r="KB773" s="132"/>
      <c r="KC773" s="132"/>
      <c r="KD773" s="132"/>
      <c r="KE773" s="132"/>
      <c r="KF773" s="132"/>
      <c r="KG773" s="132"/>
      <c r="KH773" s="132"/>
      <c r="KI773" s="132"/>
      <c r="KJ773" s="132"/>
      <c r="KK773" s="132"/>
      <c r="KL773" s="132"/>
      <c r="KM773" s="132"/>
      <c r="KN773" s="132"/>
      <c r="KO773" s="132"/>
      <c r="KP773" s="132"/>
      <c r="KQ773" s="132"/>
      <c r="KR773" s="132"/>
      <c r="KS773" s="132"/>
      <c r="KT773" s="132"/>
      <c r="KU773" s="132"/>
      <c r="KV773" s="132"/>
      <c r="KW773" s="132"/>
      <c r="KX773" s="132"/>
      <c r="KY773" s="132"/>
      <c r="KZ773" s="132"/>
      <c r="LA773" s="132"/>
      <c r="LB773" s="132"/>
      <c r="LC773" s="132"/>
      <c r="LD773" s="132"/>
      <c r="LE773" s="132"/>
      <c r="LF773" s="132"/>
      <c r="LG773" s="132"/>
      <c r="LH773" s="132"/>
      <c r="LI773" s="132"/>
      <c r="LJ773" s="132"/>
      <c r="LK773" s="132"/>
      <c r="LL773" s="132"/>
      <c r="LM773" s="132"/>
      <c r="LN773" s="132"/>
      <c r="LO773" s="132"/>
      <c r="LP773" s="132"/>
      <c r="LQ773" s="132"/>
      <c r="LR773" s="132"/>
      <c r="LS773" s="132"/>
      <c r="LT773" s="132"/>
      <c r="LU773" s="132"/>
      <c r="LV773" s="132"/>
      <c r="LW773" s="132"/>
      <c r="LX773" s="132"/>
      <c r="LY773" s="132"/>
      <c r="LZ773" s="132"/>
      <c r="MA773" s="132"/>
      <c r="MB773" s="132"/>
      <c r="MC773" s="132"/>
      <c r="MD773" s="132"/>
      <c r="ME773" s="132"/>
      <c r="MF773" s="132"/>
      <c r="MG773" s="132"/>
      <c r="MH773" s="132"/>
      <c r="MI773" s="132"/>
      <c r="MJ773" s="132"/>
      <c r="MK773" s="132"/>
      <c r="ML773" s="132"/>
      <c r="MM773" s="132"/>
      <c r="MN773" s="132"/>
      <c r="MO773" s="132"/>
      <c r="MP773" s="132"/>
      <c r="MQ773" s="132"/>
      <c r="MR773" s="132"/>
      <c r="MS773" s="132"/>
      <c r="MT773" s="132"/>
      <c r="MU773" s="132"/>
      <c r="MV773" s="132"/>
      <c r="MW773" s="132"/>
      <c r="MX773" s="132"/>
      <c r="MY773" s="132"/>
      <c r="MZ773" s="132"/>
      <c r="NA773" s="132"/>
      <c r="NB773" s="132"/>
      <c r="NC773" s="132"/>
      <c r="ND773" s="132"/>
      <c r="NE773" s="132"/>
      <c r="NF773" s="132"/>
      <c r="NG773" s="132"/>
      <c r="NH773" s="132"/>
      <c r="NI773" s="132"/>
      <c r="NJ773" s="132"/>
      <c r="NK773" s="132"/>
      <c r="NL773" s="132"/>
      <c r="NM773" s="132"/>
      <c r="NN773" s="132"/>
      <c r="NO773" s="132"/>
      <c r="NP773" s="132"/>
      <c r="NQ773" s="132"/>
      <c r="NR773" s="132"/>
      <c r="NS773" s="132"/>
      <c r="NT773" s="132"/>
      <c r="NU773" s="132"/>
      <c r="NV773" s="132"/>
      <c r="NW773" s="132"/>
      <c r="NX773" s="132"/>
      <c r="NY773" s="132"/>
      <c r="NZ773" s="132"/>
      <c r="OA773" s="132"/>
      <c r="OB773" s="132"/>
      <c r="OC773" s="132"/>
      <c r="OD773" s="132"/>
      <c r="OE773" s="132"/>
      <c r="OF773" s="132"/>
      <c r="OG773" s="132"/>
      <c r="OH773" s="132"/>
      <c r="OI773" s="132"/>
      <c r="OJ773" s="132"/>
      <c r="OK773" s="132"/>
      <c r="OL773" s="132"/>
      <c r="OM773" s="132"/>
      <c r="ON773" s="132"/>
      <c r="OO773" s="132"/>
      <c r="OP773" s="132"/>
      <c r="OQ773" s="132"/>
      <c r="OR773" s="132"/>
      <c r="OS773" s="132"/>
      <c r="OT773" s="132"/>
      <c r="OU773" s="132"/>
      <c r="OV773" s="132"/>
      <c r="OW773" s="132"/>
      <c r="OX773" s="132"/>
      <c r="OY773" s="132"/>
      <c r="OZ773" s="132"/>
      <c r="PA773" s="132"/>
      <c r="PB773" s="132"/>
      <c r="PC773" s="132"/>
      <c r="PD773" s="132"/>
      <c r="PE773" s="132"/>
      <c r="PF773" s="132"/>
      <c r="PG773" s="132"/>
      <c r="PH773" s="132"/>
      <c r="PI773" s="132"/>
      <c r="PJ773" s="132"/>
      <c r="PK773" s="132"/>
      <c r="PL773" s="132"/>
      <c r="PM773" s="132"/>
      <c r="PN773" s="132"/>
      <c r="PO773" s="132"/>
      <c r="PP773" s="132"/>
      <c r="PQ773" s="132"/>
      <c r="PR773" s="132"/>
      <c r="PS773" s="132"/>
      <c r="PT773" s="132"/>
      <c r="PU773" s="132"/>
      <c r="PV773" s="132"/>
      <c r="PW773" s="132"/>
      <c r="PX773" s="132"/>
      <c r="PY773" s="132"/>
      <c r="PZ773" s="132"/>
      <c r="QA773" s="132"/>
      <c r="QB773" s="132"/>
      <c r="QC773" s="132"/>
      <c r="QD773" s="132"/>
      <c r="QE773" s="132"/>
      <c r="QF773" s="132"/>
      <c r="QG773" s="132"/>
      <c r="QH773" s="132"/>
      <c r="QI773" s="132"/>
      <c r="QJ773" s="132"/>
      <c r="QK773" s="132"/>
      <c r="QL773" s="132"/>
      <c r="QM773" s="132"/>
      <c r="QN773" s="132"/>
      <c r="QO773" s="132"/>
      <c r="QP773" s="132"/>
      <c r="QQ773" s="132"/>
      <c r="QR773" s="132"/>
      <c r="QS773" s="132"/>
      <c r="QT773" s="132"/>
      <c r="QU773" s="132"/>
      <c r="QV773" s="132"/>
      <c r="QW773" s="132"/>
      <c r="QX773" s="132"/>
      <c r="QY773" s="132"/>
      <c r="QZ773" s="132"/>
      <c r="RA773" s="132"/>
      <c r="RB773" s="132"/>
      <c r="RC773" s="132"/>
      <c r="RD773" s="132"/>
      <c r="RE773" s="132"/>
      <c r="RF773" s="132"/>
      <c r="RG773" s="132"/>
      <c r="RH773" s="132"/>
      <c r="RI773" s="132"/>
      <c r="RJ773" s="132"/>
      <c r="RK773" s="132"/>
      <c r="RL773" s="132"/>
      <c r="RM773" s="132"/>
      <c r="RN773" s="132"/>
      <c r="RO773" s="132"/>
      <c r="RP773" s="132"/>
      <c r="RQ773" s="132"/>
      <c r="RR773" s="132"/>
      <c r="RS773" s="132"/>
      <c r="RT773" s="132"/>
      <c r="RU773" s="132"/>
      <c r="RV773" s="132"/>
      <c r="RW773" s="132"/>
      <c r="RX773" s="132"/>
      <c r="RY773" s="132"/>
      <c r="RZ773" s="132"/>
      <c r="SA773" s="132"/>
      <c r="SB773" s="132"/>
      <c r="SC773" s="132"/>
      <c r="SD773" s="132"/>
      <c r="SE773" s="132"/>
      <c r="SF773" s="132"/>
      <c r="SG773" s="132"/>
      <c r="SH773" s="132"/>
      <c r="SI773" s="132"/>
      <c r="SJ773" s="132"/>
      <c r="SK773" s="132"/>
      <c r="SL773" s="132"/>
      <c r="SM773" s="132"/>
      <c r="SN773" s="132"/>
      <c r="SO773" s="132"/>
      <c r="SP773" s="132"/>
      <c r="SQ773" s="132"/>
      <c r="SR773" s="132"/>
      <c r="SS773" s="132"/>
      <c r="ST773" s="132"/>
      <c r="SU773" s="132"/>
      <c r="SV773" s="132"/>
      <c r="SW773" s="132"/>
      <c r="SX773" s="132"/>
      <c r="SY773" s="132"/>
      <c r="SZ773" s="132"/>
      <c r="TA773" s="132"/>
      <c r="TB773" s="132"/>
      <c r="TC773" s="132"/>
      <c r="TD773" s="132"/>
      <c r="TE773" s="132"/>
      <c r="TF773" s="132"/>
      <c r="TG773" s="132"/>
      <c r="TH773" s="132"/>
      <c r="TI773" s="132"/>
      <c r="TJ773" s="132"/>
      <c r="TK773" s="132"/>
      <c r="TL773" s="132"/>
      <c r="TM773" s="132"/>
      <c r="TN773" s="132"/>
      <c r="TO773" s="132"/>
      <c r="TP773" s="132"/>
      <c r="TQ773" s="132"/>
      <c r="TR773" s="132"/>
      <c r="TS773" s="132"/>
      <c r="TT773" s="132"/>
      <c r="TU773" s="132"/>
      <c r="TV773" s="132"/>
      <c r="TW773" s="132"/>
      <c r="TX773" s="132"/>
      <c r="TY773" s="132"/>
      <c r="TZ773" s="132"/>
      <c r="UA773" s="132"/>
      <c r="UB773" s="132"/>
      <c r="UC773" s="132"/>
      <c r="UD773" s="132"/>
      <c r="UE773" s="132"/>
      <c r="UF773" s="132"/>
      <c r="UG773" s="132"/>
    </row>
    <row r="774" spans="1:553" ht="30.75" customHeight="1">
      <c r="A774" s="356" t="s">
        <v>43</v>
      </c>
      <c r="B774" s="356"/>
      <c r="C774" s="1413" t="s">
        <v>44</v>
      </c>
      <c r="D774" s="1389"/>
      <c r="E774" s="1389"/>
      <c r="F774" s="1390"/>
      <c r="G774" s="356"/>
      <c r="H774" s="359"/>
      <c r="I774" s="359"/>
      <c r="J774" s="357"/>
      <c r="K774" s="364"/>
      <c r="L774" s="356">
        <f>SUM(L775:L840)</f>
        <v>181316512.96199998</v>
      </c>
      <c r="M774" s="356"/>
      <c r="N774" s="356"/>
      <c r="O774" s="356"/>
      <c r="P774" s="356">
        <f>L774</f>
        <v>181316512.96199998</v>
      </c>
      <c r="Q774" s="610"/>
      <c r="R774" s="1447" t="s">
        <v>45</v>
      </c>
      <c r="S774" s="308"/>
      <c r="T774" s="308"/>
      <c r="U774" s="308"/>
      <c r="V774" s="308"/>
      <c r="W774" s="308"/>
      <c r="X774" s="308"/>
      <c r="Y774" s="308"/>
      <c r="Z774" s="604"/>
      <c r="AA774" s="308"/>
      <c r="AB774" s="308"/>
      <c r="AC774" s="454"/>
      <c r="AD774" s="454"/>
      <c r="AE774" s="454"/>
      <c r="AF774" s="454"/>
      <c r="AG774" s="454"/>
      <c r="AH774" s="454"/>
      <c r="AI774" s="454"/>
      <c r="AJ774" s="454"/>
      <c r="AK774" s="455"/>
      <c r="AL774" s="110"/>
      <c r="AM774" s="34"/>
      <c r="AN774" s="34"/>
      <c r="AO774" s="34"/>
      <c r="AP774" s="34"/>
      <c r="AQ774" s="34"/>
      <c r="AR774" s="34"/>
      <c r="AS774" s="35"/>
      <c r="AT774" s="35"/>
      <c r="AU774" s="35"/>
      <c r="AV774" s="35"/>
      <c r="AW774" s="35"/>
      <c r="AX774" s="35"/>
      <c r="AY774" s="35"/>
      <c r="AZ774" s="35"/>
      <c r="BA774" s="35"/>
      <c r="BB774" s="35"/>
      <c r="BC774" s="35"/>
      <c r="BD774" s="35"/>
      <c r="BE774" s="35"/>
      <c r="BF774" s="35"/>
      <c r="BG774" s="35"/>
      <c r="BH774" s="35"/>
      <c r="BI774" s="35"/>
      <c r="BJ774" s="35"/>
      <c r="BK774" s="35"/>
      <c r="BL774" s="35"/>
      <c r="BM774" s="35"/>
      <c r="BN774" s="35"/>
      <c r="BO774" s="35"/>
      <c r="BP774" s="36"/>
      <c r="BQ774" s="36"/>
      <c r="BR774" s="36"/>
      <c r="BS774" s="36"/>
      <c r="BT774" s="36"/>
      <c r="BU774" s="36"/>
      <c r="BV774" s="36"/>
      <c r="BW774" s="36"/>
      <c r="BX774" s="36"/>
      <c r="BY774" s="36"/>
      <c r="BZ774" s="36"/>
      <c r="CA774" s="36"/>
      <c r="CB774" s="36"/>
      <c r="CC774" s="36"/>
      <c r="CD774" s="36"/>
      <c r="CE774" s="36"/>
      <c r="CF774" s="36"/>
      <c r="CG774" s="36"/>
      <c r="CH774" s="36"/>
      <c r="CI774" s="36"/>
      <c r="CJ774" s="36"/>
      <c r="CK774" s="36"/>
      <c r="CL774" s="36"/>
      <c r="CM774" s="36"/>
      <c r="CN774" s="36"/>
      <c r="CO774" s="36"/>
      <c r="CP774" s="36"/>
      <c r="CQ774" s="36"/>
      <c r="CR774" s="36"/>
      <c r="CS774" s="36"/>
      <c r="CT774" s="36"/>
      <c r="CU774" s="36"/>
      <c r="CV774" s="36"/>
      <c r="CW774" s="36"/>
      <c r="CX774" s="36"/>
      <c r="CY774" s="36"/>
      <c r="CZ774" s="36"/>
      <c r="DA774" s="36"/>
      <c r="DB774" s="36"/>
      <c r="DC774" s="36"/>
      <c r="DD774" s="36"/>
      <c r="DE774" s="36"/>
      <c r="DF774" s="36"/>
      <c r="DG774" s="36"/>
      <c r="DH774" s="36"/>
      <c r="DI774" s="36"/>
      <c r="DJ774" s="36"/>
      <c r="DK774" s="36"/>
      <c r="DL774" s="36"/>
      <c r="DM774" s="36"/>
      <c r="DN774" s="36"/>
      <c r="DO774" s="36"/>
      <c r="DP774" s="36"/>
      <c r="DQ774" s="36"/>
      <c r="DR774" s="36"/>
      <c r="DS774" s="36"/>
      <c r="DT774" s="36"/>
      <c r="DU774" s="36"/>
      <c r="DV774" s="36"/>
      <c r="DW774" s="36"/>
      <c r="DX774" s="36"/>
      <c r="DY774" s="36"/>
      <c r="DZ774" s="36"/>
      <c r="EA774" s="36"/>
      <c r="EB774" s="36"/>
      <c r="EC774" s="36"/>
      <c r="ED774" s="36"/>
      <c r="EE774" s="36"/>
      <c r="EF774" s="36"/>
      <c r="EG774" s="36"/>
      <c r="EH774" s="36"/>
      <c r="EI774" s="36"/>
      <c r="EJ774" s="36"/>
      <c r="EK774" s="36"/>
      <c r="EL774" s="36"/>
      <c r="EM774" s="36"/>
      <c r="EN774" s="36"/>
      <c r="EO774" s="36"/>
      <c r="EP774" s="36"/>
      <c r="EQ774" s="36"/>
      <c r="ER774" s="36"/>
      <c r="ES774" s="36"/>
      <c r="ET774" s="36"/>
      <c r="EU774" s="36"/>
      <c r="EV774" s="36"/>
      <c r="EW774" s="36"/>
      <c r="EX774" s="36"/>
      <c r="EY774" s="36"/>
      <c r="EZ774" s="36"/>
      <c r="FA774" s="36"/>
      <c r="FB774" s="36"/>
      <c r="FC774" s="36"/>
      <c r="FD774" s="36"/>
      <c r="FE774" s="36"/>
      <c r="FF774" s="36"/>
      <c r="FG774" s="36"/>
      <c r="FH774" s="36"/>
      <c r="FI774" s="36"/>
      <c r="FJ774" s="36"/>
      <c r="FK774" s="36"/>
      <c r="FL774" s="36"/>
      <c r="FM774" s="36"/>
      <c r="FN774" s="36"/>
      <c r="FO774" s="36"/>
      <c r="FP774" s="36"/>
      <c r="FQ774" s="36"/>
      <c r="FR774" s="36"/>
      <c r="FS774" s="36"/>
      <c r="FT774" s="36"/>
      <c r="FU774" s="36"/>
      <c r="FV774" s="36"/>
      <c r="FW774" s="36"/>
      <c r="FX774" s="36"/>
      <c r="FY774" s="36"/>
      <c r="FZ774" s="36"/>
      <c r="GA774" s="36"/>
      <c r="GB774" s="36"/>
      <c r="GC774" s="36"/>
      <c r="GD774" s="36"/>
      <c r="GE774" s="36"/>
      <c r="GF774" s="36"/>
      <c r="GG774" s="36"/>
      <c r="GH774" s="36"/>
      <c r="GI774" s="36"/>
      <c r="GJ774" s="36"/>
      <c r="GK774" s="36"/>
      <c r="GL774" s="36"/>
      <c r="GM774" s="36"/>
      <c r="GN774" s="36"/>
      <c r="GO774" s="36"/>
      <c r="GP774" s="36"/>
      <c r="GQ774" s="36"/>
      <c r="GR774" s="36"/>
      <c r="GS774" s="36"/>
      <c r="GT774" s="36"/>
      <c r="GU774" s="36"/>
      <c r="GV774" s="36"/>
      <c r="GW774" s="36"/>
      <c r="GX774" s="36"/>
      <c r="GY774" s="36"/>
      <c r="GZ774" s="36"/>
      <c r="HA774" s="36"/>
      <c r="HB774" s="36"/>
      <c r="HC774" s="36"/>
      <c r="HD774" s="36"/>
      <c r="HE774" s="36"/>
      <c r="HF774" s="36"/>
      <c r="HG774" s="36"/>
      <c r="HH774" s="36"/>
      <c r="HI774" s="36"/>
      <c r="HJ774" s="36"/>
      <c r="HK774" s="36"/>
      <c r="HL774" s="36"/>
      <c r="HM774" s="36"/>
      <c r="HN774" s="36"/>
      <c r="HO774" s="36"/>
      <c r="HP774" s="36"/>
      <c r="HQ774" s="36"/>
      <c r="HR774" s="36"/>
      <c r="HS774" s="36"/>
      <c r="HT774" s="36"/>
      <c r="HU774" s="36"/>
      <c r="HV774" s="36"/>
      <c r="HW774" s="36"/>
      <c r="HX774" s="36"/>
      <c r="HY774" s="36"/>
      <c r="HZ774" s="36"/>
      <c r="IA774" s="36"/>
      <c r="IB774" s="36"/>
      <c r="IC774" s="36"/>
      <c r="ID774" s="36"/>
      <c r="IE774" s="36"/>
      <c r="IF774" s="36"/>
      <c r="IG774" s="36"/>
      <c r="IH774" s="36"/>
      <c r="II774" s="36"/>
      <c r="IJ774" s="36"/>
      <c r="IK774" s="36"/>
      <c r="IL774" s="36"/>
      <c r="IM774" s="36"/>
      <c r="IN774" s="36"/>
      <c r="IO774" s="36"/>
      <c r="IP774" s="36"/>
      <c r="IQ774" s="36"/>
      <c r="IR774" s="36"/>
      <c r="IS774" s="36"/>
      <c r="IT774" s="36"/>
      <c r="IU774" s="36"/>
      <c r="IV774" s="36"/>
      <c r="IW774" s="36"/>
      <c r="IX774" s="36"/>
      <c r="IY774" s="36"/>
      <c r="IZ774" s="36"/>
      <c r="JA774" s="36"/>
      <c r="JB774" s="36"/>
      <c r="JC774" s="36"/>
      <c r="JD774" s="36"/>
      <c r="JE774" s="36"/>
      <c r="JF774" s="36"/>
      <c r="JG774" s="36"/>
      <c r="JH774" s="36"/>
      <c r="JI774" s="36"/>
      <c r="JJ774" s="36"/>
      <c r="JK774" s="36"/>
      <c r="JL774" s="36"/>
      <c r="JM774" s="36"/>
      <c r="JN774" s="36"/>
      <c r="JO774" s="36"/>
      <c r="JP774" s="36"/>
      <c r="JQ774" s="36"/>
      <c r="JR774" s="36"/>
      <c r="JS774" s="36"/>
      <c r="JT774" s="36"/>
      <c r="JU774" s="36"/>
      <c r="JV774" s="36"/>
      <c r="JW774" s="36"/>
      <c r="JX774" s="36"/>
      <c r="JY774" s="36"/>
      <c r="JZ774" s="36"/>
      <c r="KA774" s="36"/>
      <c r="KB774" s="36"/>
      <c r="KC774" s="36"/>
      <c r="KD774" s="36"/>
      <c r="KE774" s="36"/>
      <c r="KF774" s="36"/>
      <c r="KG774" s="36"/>
      <c r="KH774" s="36"/>
      <c r="KI774" s="36"/>
      <c r="KJ774" s="36"/>
      <c r="KK774" s="36"/>
      <c r="KL774" s="36"/>
      <c r="KM774" s="36"/>
      <c r="KN774" s="36"/>
      <c r="KO774" s="36"/>
      <c r="KP774" s="36"/>
      <c r="KQ774" s="36"/>
      <c r="KR774" s="36"/>
      <c r="KS774" s="36"/>
      <c r="KT774" s="36"/>
      <c r="KU774" s="36"/>
      <c r="KV774" s="36"/>
      <c r="KW774" s="36"/>
      <c r="KX774" s="36"/>
      <c r="KY774" s="36"/>
      <c r="KZ774" s="36"/>
      <c r="LA774" s="36"/>
      <c r="LB774" s="36"/>
      <c r="LC774" s="36"/>
      <c r="LD774" s="36"/>
      <c r="LE774" s="36"/>
      <c r="LF774" s="36"/>
      <c r="LG774" s="36"/>
      <c r="LH774" s="36"/>
      <c r="LI774" s="36"/>
      <c r="LJ774" s="36"/>
      <c r="LK774" s="36"/>
      <c r="LL774" s="36"/>
      <c r="LM774" s="36"/>
      <c r="LN774" s="36"/>
      <c r="LO774" s="36"/>
      <c r="LP774" s="36"/>
      <c r="LQ774" s="36"/>
      <c r="LR774" s="36"/>
      <c r="LS774" s="36"/>
      <c r="LT774" s="36"/>
      <c r="LU774" s="36"/>
      <c r="LV774" s="36"/>
      <c r="LW774" s="36"/>
      <c r="LX774" s="36"/>
      <c r="LY774" s="36"/>
      <c r="LZ774" s="36"/>
      <c r="MA774" s="36"/>
      <c r="MB774" s="36"/>
      <c r="MC774" s="36"/>
      <c r="MD774" s="36"/>
      <c r="ME774" s="36"/>
      <c r="MF774" s="36"/>
      <c r="MG774" s="36"/>
      <c r="MH774" s="36"/>
      <c r="MI774" s="36"/>
      <c r="MJ774" s="36"/>
      <c r="MK774" s="36"/>
      <c r="ML774" s="36"/>
      <c r="MM774" s="36"/>
      <c r="MN774" s="36"/>
      <c r="MO774" s="36"/>
      <c r="MP774" s="36"/>
      <c r="MQ774" s="36"/>
      <c r="MR774" s="36"/>
      <c r="MS774" s="36"/>
      <c r="MT774" s="36"/>
      <c r="MU774" s="36"/>
      <c r="MV774" s="36"/>
      <c r="MW774" s="36"/>
      <c r="MX774" s="36"/>
      <c r="MY774" s="36"/>
      <c r="MZ774" s="36"/>
      <c r="NA774" s="36"/>
      <c r="NB774" s="36"/>
      <c r="NC774" s="36"/>
      <c r="ND774" s="36"/>
      <c r="NE774" s="36"/>
      <c r="NF774" s="36"/>
      <c r="NG774" s="36"/>
      <c r="NH774" s="36"/>
      <c r="NI774" s="36"/>
      <c r="NJ774" s="36"/>
      <c r="NK774" s="36"/>
      <c r="NL774" s="36"/>
      <c r="NM774" s="36"/>
      <c r="NN774" s="36"/>
      <c r="NO774" s="36"/>
      <c r="NP774" s="36"/>
      <c r="NQ774" s="36"/>
      <c r="NR774" s="36"/>
      <c r="NS774" s="36"/>
      <c r="NT774" s="36"/>
      <c r="NU774" s="36"/>
      <c r="NV774" s="36"/>
      <c r="NW774" s="36"/>
      <c r="NX774" s="36"/>
      <c r="NY774" s="36"/>
      <c r="NZ774" s="36"/>
      <c r="OA774" s="36"/>
      <c r="OB774" s="36"/>
      <c r="OC774" s="36"/>
      <c r="OD774" s="36"/>
      <c r="OE774" s="36"/>
      <c r="OF774" s="36"/>
      <c r="OG774" s="36"/>
      <c r="OH774" s="36"/>
      <c r="OI774" s="36"/>
      <c r="OJ774" s="36"/>
      <c r="OK774" s="36"/>
      <c r="OL774" s="36"/>
      <c r="OM774" s="36"/>
      <c r="ON774" s="36"/>
      <c r="OO774" s="36"/>
      <c r="OP774" s="36"/>
      <c r="OQ774" s="36"/>
      <c r="OR774" s="36"/>
      <c r="OS774" s="36"/>
      <c r="OT774" s="36"/>
      <c r="OU774" s="36"/>
      <c r="OV774" s="36"/>
      <c r="OW774" s="36"/>
      <c r="OX774" s="36"/>
      <c r="OY774" s="36"/>
      <c r="OZ774" s="36"/>
      <c r="PA774" s="36"/>
      <c r="PB774" s="36"/>
      <c r="PC774" s="36"/>
      <c r="PD774" s="36"/>
      <c r="PE774" s="36"/>
      <c r="PF774" s="36"/>
      <c r="PG774" s="36"/>
      <c r="PH774" s="36"/>
      <c r="PI774" s="36"/>
      <c r="PJ774" s="36"/>
      <c r="PK774" s="36"/>
      <c r="PL774" s="36"/>
      <c r="PM774" s="36"/>
      <c r="PN774" s="36"/>
      <c r="PO774" s="36"/>
      <c r="PP774" s="36"/>
      <c r="PQ774" s="36"/>
      <c r="PR774" s="36"/>
      <c r="PS774" s="36"/>
      <c r="PT774" s="36"/>
      <c r="PU774" s="36"/>
      <c r="PV774" s="36"/>
      <c r="PW774" s="36"/>
      <c r="PX774" s="36"/>
      <c r="PY774" s="36"/>
      <c r="PZ774" s="36"/>
      <c r="QA774" s="36"/>
      <c r="QB774" s="36"/>
      <c r="QC774" s="36"/>
      <c r="QD774" s="36"/>
      <c r="QE774" s="36"/>
      <c r="QF774" s="36"/>
      <c r="QG774" s="36"/>
      <c r="QH774" s="36"/>
      <c r="QI774" s="36"/>
      <c r="QJ774" s="36"/>
      <c r="QK774" s="36"/>
      <c r="QL774" s="36"/>
      <c r="QM774" s="36"/>
      <c r="QN774" s="36"/>
      <c r="QO774" s="36"/>
      <c r="QP774" s="36"/>
      <c r="QQ774" s="36"/>
      <c r="QR774" s="36"/>
      <c r="QS774" s="36"/>
      <c r="QT774" s="36"/>
      <c r="QU774" s="36"/>
      <c r="QV774" s="36"/>
      <c r="QW774" s="36"/>
      <c r="QX774" s="36"/>
      <c r="QY774" s="36"/>
      <c r="QZ774" s="36"/>
      <c r="RA774" s="36"/>
      <c r="RB774" s="36"/>
      <c r="RC774" s="36"/>
      <c r="RD774" s="36"/>
      <c r="RE774" s="36"/>
      <c r="RF774" s="36"/>
      <c r="RG774" s="36"/>
      <c r="RH774" s="36"/>
      <c r="RI774" s="36"/>
      <c r="RJ774" s="36"/>
      <c r="RK774" s="36"/>
      <c r="RL774" s="36"/>
      <c r="RM774" s="36"/>
      <c r="RN774" s="36"/>
      <c r="RO774" s="36"/>
      <c r="RP774" s="36"/>
      <c r="RQ774" s="36"/>
      <c r="RR774" s="36"/>
      <c r="RS774" s="36"/>
      <c r="RT774" s="36"/>
      <c r="RU774" s="36"/>
      <c r="RV774" s="36"/>
      <c r="RW774" s="36"/>
      <c r="RX774" s="36"/>
      <c r="RY774" s="36"/>
      <c r="RZ774" s="36"/>
      <c r="SA774" s="36"/>
      <c r="SB774" s="36"/>
      <c r="SC774" s="36"/>
      <c r="SD774" s="36"/>
      <c r="SE774" s="36"/>
      <c r="SF774" s="36"/>
      <c r="SG774" s="36"/>
      <c r="SH774" s="36"/>
      <c r="SI774" s="36"/>
      <c r="SJ774" s="36"/>
      <c r="SK774" s="36"/>
      <c r="SL774" s="36"/>
      <c r="SM774" s="36"/>
      <c r="SN774" s="36"/>
      <c r="SO774" s="36"/>
      <c r="SP774" s="36"/>
      <c r="SQ774" s="36"/>
      <c r="SR774" s="36"/>
      <c r="SS774" s="36"/>
      <c r="ST774" s="36"/>
      <c r="SU774" s="36"/>
      <c r="SV774" s="36"/>
      <c r="SW774" s="36"/>
      <c r="SX774" s="36"/>
      <c r="SY774" s="36"/>
      <c r="SZ774" s="36"/>
      <c r="TA774" s="36"/>
      <c r="TB774" s="36"/>
      <c r="TC774" s="36"/>
      <c r="TD774" s="36"/>
      <c r="TE774" s="36"/>
      <c r="TF774" s="36"/>
      <c r="TG774" s="36"/>
      <c r="TH774" s="36"/>
      <c r="TI774" s="36"/>
      <c r="TJ774" s="36"/>
      <c r="TK774" s="36"/>
      <c r="TL774" s="36"/>
      <c r="TM774" s="36"/>
      <c r="TN774" s="36"/>
      <c r="TO774" s="36"/>
      <c r="TP774" s="36"/>
      <c r="TQ774" s="36"/>
      <c r="TR774" s="36"/>
      <c r="TS774" s="36"/>
      <c r="TT774" s="36"/>
      <c r="TU774" s="36"/>
      <c r="TV774" s="36"/>
      <c r="TW774" s="36"/>
      <c r="TX774" s="36"/>
      <c r="TY774" s="36"/>
      <c r="TZ774" s="36"/>
      <c r="UA774" s="36"/>
      <c r="UB774" s="36"/>
      <c r="UC774" s="36"/>
      <c r="UD774" s="36"/>
      <c r="UE774" s="36"/>
      <c r="UF774" s="36"/>
      <c r="UG774" s="37"/>
    </row>
    <row r="775" spans="1:553" ht="30.75" customHeight="1">
      <c r="A775" s="356"/>
      <c r="B775" s="356"/>
      <c r="C775" s="444" t="s">
        <v>367</v>
      </c>
      <c r="D775" s="492"/>
      <c r="E775" s="445"/>
      <c r="F775" s="444"/>
      <c r="G775" s="366"/>
      <c r="H775" s="359"/>
      <c r="I775" s="422"/>
      <c r="J775" s="368"/>
      <c r="K775" s="487"/>
      <c r="L775" s="645"/>
      <c r="M775" s="356"/>
      <c r="N775" s="356"/>
      <c r="O775" s="356"/>
      <c r="P775" s="356"/>
      <c r="Q775" s="610"/>
      <c r="R775" s="1452"/>
      <c r="S775" s="308"/>
      <c r="T775" s="308"/>
      <c r="U775" s="308"/>
      <c r="V775" s="308"/>
      <c r="W775" s="308"/>
      <c r="X775" s="308"/>
      <c r="Y775" s="308"/>
      <c r="Z775" s="604"/>
      <c r="AA775" s="308"/>
      <c r="AB775" s="308"/>
      <c r="AC775" s="454"/>
      <c r="AD775" s="454"/>
      <c r="AE775" s="454"/>
      <c r="AF775" s="454"/>
      <c r="AG775" s="454"/>
      <c r="AH775" s="454"/>
      <c r="AI775" s="454"/>
      <c r="AJ775" s="454"/>
      <c r="AK775" s="455"/>
      <c r="AL775" s="110"/>
      <c r="AM775" s="34"/>
      <c r="AN775" s="34"/>
      <c r="AO775" s="34"/>
      <c r="AP775" s="34"/>
      <c r="AQ775" s="34"/>
      <c r="AR775" s="34"/>
      <c r="AS775" s="35"/>
      <c r="AT775" s="35"/>
      <c r="AU775" s="35"/>
      <c r="AV775" s="35"/>
      <c r="AW775" s="35"/>
      <c r="AX775" s="35"/>
      <c r="AY775" s="35"/>
      <c r="AZ775" s="35"/>
      <c r="BA775" s="35"/>
      <c r="BB775" s="35"/>
      <c r="BC775" s="35"/>
      <c r="BD775" s="35"/>
      <c r="BE775" s="35"/>
      <c r="BF775" s="35"/>
      <c r="BG775" s="35"/>
      <c r="BH775" s="35"/>
      <c r="BI775" s="35"/>
      <c r="BJ775" s="35"/>
      <c r="BK775" s="35"/>
      <c r="BL775" s="35"/>
      <c r="BM775" s="35"/>
      <c r="BN775" s="35"/>
      <c r="BO775" s="35"/>
      <c r="BP775" s="36"/>
      <c r="BQ775" s="36"/>
      <c r="BR775" s="36"/>
      <c r="BS775" s="36"/>
      <c r="BT775" s="36"/>
      <c r="BU775" s="36"/>
      <c r="BV775" s="36"/>
      <c r="BW775" s="36"/>
      <c r="BX775" s="36"/>
      <c r="BY775" s="36"/>
      <c r="BZ775" s="36"/>
      <c r="CA775" s="36"/>
      <c r="CB775" s="36"/>
      <c r="CC775" s="36"/>
      <c r="CD775" s="36"/>
      <c r="CE775" s="36"/>
      <c r="CF775" s="36"/>
      <c r="CG775" s="36"/>
      <c r="CH775" s="36"/>
      <c r="CI775" s="36"/>
      <c r="CJ775" s="36"/>
      <c r="CK775" s="36"/>
      <c r="CL775" s="36"/>
      <c r="CM775" s="36"/>
      <c r="CN775" s="36"/>
      <c r="CO775" s="36"/>
      <c r="CP775" s="36"/>
      <c r="CQ775" s="36"/>
      <c r="CR775" s="36"/>
      <c r="CS775" s="36"/>
      <c r="CT775" s="36"/>
      <c r="CU775" s="36"/>
      <c r="CV775" s="36"/>
      <c r="CW775" s="36"/>
      <c r="CX775" s="36"/>
      <c r="CY775" s="36"/>
      <c r="CZ775" s="36"/>
      <c r="DA775" s="36"/>
      <c r="DB775" s="36"/>
      <c r="DC775" s="36"/>
      <c r="DD775" s="36"/>
      <c r="DE775" s="36"/>
      <c r="DF775" s="36"/>
      <c r="DG775" s="36"/>
      <c r="DH775" s="36"/>
      <c r="DI775" s="36"/>
      <c r="DJ775" s="36"/>
      <c r="DK775" s="36"/>
      <c r="DL775" s="36"/>
      <c r="DM775" s="36"/>
      <c r="DN775" s="36"/>
      <c r="DO775" s="36"/>
      <c r="DP775" s="36"/>
      <c r="DQ775" s="36"/>
      <c r="DR775" s="36"/>
      <c r="DS775" s="36"/>
      <c r="DT775" s="36"/>
      <c r="DU775" s="36"/>
      <c r="DV775" s="36"/>
      <c r="DW775" s="36"/>
      <c r="DX775" s="36"/>
      <c r="DY775" s="36"/>
      <c r="DZ775" s="36"/>
      <c r="EA775" s="36"/>
      <c r="EB775" s="36"/>
      <c r="EC775" s="36"/>
      <c r="ED775" s="36"/>
      <c r="EE775" s="36"/>
      <c r="EF775" s="36"/>
      <c r="EG775" s="36"/>
      <c r="EH775" s="36"/>
      <c r="EI775" s="36"/>
      <c r="EJ775" s="36"/>
      <c r="EK775" s="36"/>
      <c r="EL775" s="36"/>
      <c r="EM775" s="36"/>
      <c r="EN775" s="36"/>
      <c r="EO775" s="36"/>
      <c r="EP775" s="36"/>
      <c r="EQ775" s="36"/>
      <c r="ER775" s="36"/>
      <c r="ES775" s="36"/>
      <c r="ET775" s="36"/>
      <c r="EU775" s="36"/>
      <c r="EV775" s="36"/>
      <c r="EW775" s="36"/>
      <c r="EX775" s="36"/>
      <c r="EY775" s="36"/>
      <c r="EZ775" s="36"/>
      <c r="FA775" s="36"/>
      <c r="FB775" s="36"/>
      <c r="FC775" s="36"/>
      <c r="FD775" s="36"/>
      <c r="FE775" s="36"/>
      <c r="FF775" s="36"/>
      <c r="FG775" s="36"/>
      <c r="FH775" s="36"/>
      <c r="FI775" s="36"/>
      <c r="FJ775" s="36"/>
      <c r="FK775" s="36"/>
      <c r="FL775" s="36"/>
      <c r="FM775" s="36"/>
      <c r="FN775" s="36"/>
      <c r="FO775" s="36"/>
      <c r="FP775" s="36"/>
      <c r="FQ775" s="36"/>
      <c r="FR775" s="36"/>
      <c r="FS775" s="36"/>
      <c r="FT775" s="36"/>
      <c r="FU775" s="36"/>
      <c r="FV775" s="36"/>
      <c r="FW775" s="36"/>
      <c r="FX775" s="36"/>
      <c r="FY775" s="36"/>
      <c r="FZ775" s="36"/>
      <c r="GA775" s="36"/>
      <c r="GB775" s="36"/>
      <c r="GC775" s="36"/>
      <c r="GD775" s="36"/>
      <c r="GE775" s="36"/>
      <c r="GF775" s="36"/>
      <c r="GG775" s="36"/>
      <c r="GH775" s="36"/>
      <c r="GI775" s="36"/>
      <c r="GJ775" s="36"/>
      <c r="GK775" s="36"/>
      <c r="GL775" s="36"/>
      <c r="GM775" s="36"/>
      <c r="GN775" s="36"/>
      <c r="GO775" s="36"/>
      <c r="GP775" s="36"/>
      <c r="GQ775" s="36"/>
      <c r="GR775" s="36"/>
      <c r="GS775" s="36"/>
      <c r="GT775" s="36"/>
      <c r="GU775" s="36"/>
      <c r="GV775" s="36"/>
      <c r="GW775" s="36"/>
      <c r="GX775" s="36"/>
      <c r="GY775" s="36"/>
      <c r="GZ775" s="36"/>
      <c r="HA775" s="36"/>
      <c r="HB775" s="36"/>
      <c r="HC775" s="36"/>
      <c r="HD775" s="36"/>
      <c r="HE775" s="36"/>
      <c r="HF775" s="36"/>
      <c r="HG775" s="36"/>
      <c r="HH775" s="36"/>
      <c r="HI775" s="36"/>
      <c r="HJ775" s="36"/>
      <c r="HK775" s="36"/>
      <c r="HL775" s="36"/>
      <c r="HM775" s="36"/>
      <c r="HN775" s="36"/>
      <c r="HO775" s="36"/>
      <c r="HP775" s="36"/>
      <c r="HQ775" s="36"/>
      <c r="HR775" s="36"/>
      <c r="HS775" s="36"/>
      <c r="HT775" s="36"/>
      <c r="HU775" s="36"/>
      <c r="HV775" s="36"/>
      <c r="HW775" s="36"/>
      <c r="HX775" s="36"/>
      <c r="HY775" s="36"/>
      <c r="HZ775" s="36"/>
      <c r="IA775" s="36"/>
      <c r="IB775" s="36"/>
      <c r="IC775" s="36"/>
      <c r="ID775" s="36"/>
      <c r="IE775" s="36"/>
      <c r="IF775" s="36"/>
      <c r="IG775" s="36"/>
      <c r="IH775" s="36"/>
      <c r="II775" s="36"/>
      <c r="IJ775" s="36"/>
      <c r="IK775" s="36"/>
      <c r="IL775" s="36"/>
      <c r="IM775" s="36"/>
      <c r="IN775" s="36"/>
      <c r="IO775" s="36"/>
      <c r="IP775" s="36"/>
      <c r="IQ775" s="36"/>
      <c r="IR775" s="36"/>
      <c r="IS775" s="36"/>
      <c r="IT775" s="36"/>
      <c r="IU775" s="36"/>
      <c r="IV775" s="36"/>
      <c r="IW775" s="36"/>
      <c r="IX775" s="36"/>
      <c r="IY775" s="36"/>
      <c r="IZ775" s="36"/>
      <c r="JA775" s="36"/>
      <c r="JB775" s="36"/>
      <c r="JC775" s="36"/>
      <c r="JD775" s="36"/>
      <c r="JE775" s="36"/>
      <c r="JF775" s="36"/>
      <c r="JG775" s="36"/>
      <c r="JH775" s="36"/>
      <c r="JI775" s="36"/>
      <c r="JJ775" s="36"/>
      <c r="JK775" s="36"/>
      <c r="JL775" s="36"/>
      <c r="JM775" s="36"/>
      <c r="JN775" s="36"/>
      <c r="JO775" s="36"/>
      <c r="JP775" s="36"/>
      <c r="JQ775" s="36"/>
      <c r="JR775" s="36"/>
      <c r="JS775" s="36"/>
      <c r="JT775" s="36"/>
      <c r="JU775" s="36"/>
      <c r="JV775" s="36"/>
      <c r="JW775" s="36"/>
      <c r="JX775" s="36"/>
      <c r="JY775" s="36"/>
      <c r="JZ775" s="36"/>
      <c r="KA775" s="36"/>
      <c r="KB775" s="36"/>
      <c r="KC775" s="36"/>
      <c r="KD775" s="36"/>
      <c r="KE775" s="36"/>
      <c r="KF775" s="36"/>
      <c r="KG775" s="36"/>
      <c r="KH775" s="36"/>
      <c r="KI775" s="36"/>
      <c r="KJ775" s="36"/>
      <c r="KK775" s="36"/>
      <c r="KL775" s="36"/>
      <c r="KM775" s="36"/>
      <c r="KN775" s="36"/>
      <c r="KO775" s="36"/>
      <c r="KP775" s="36"/>
      <c r="KQ775" s="36"/>
      <c r="KR775" s="36"/>
      <c r="KS775" s="36"/>
      <c r="KT775" s="36"/>
      <c r="KU775" s="36"/>
      <c r="KV775" s="36"/>
      <c r="KW775" s="36"/>
      <c r="KX775" s="36"/>
      <c r="KY775" s="36"/>
      <c r="KZ775" s="36"/>
      <c r="LA775" s="36"/>
      <c r="LB775" s="36"/>
      <c r="LC775" s="36"/>
      <c r="LD775" s="36"/>
      <c r="LE775" s="36"/>
      <c r="LF775" s="36"/>
      <c r="LG775" s="36"/>
      <c r="LH775" s="36"/>
      <c r="LI775" s="36"/>
      <c r="LJ775" s="36"/>
      <c r="LK775" s="36"/>
      <c r="LL775" s="36"/>
      <c r="LM775" s="36"/>
      <c r="LN775" s="36"/>
      <c r="LO775" s="36"/>
      <c r="LP775" s="36"/>
      <c r="LQ775" s="36"/>
      <c r="LR775" s="36"/>
      <c r="LS775" s="36"/>
      <c r="LT775" s="36"/>
      <c r="LU775" s="36"/>
      <c r="LV775" s="36"/>
      <c r="LW775" s="36"/>
      <c r="LX775" s="36"/>
      <c r="LY775" s="36"/>
      <c r="LZ775" s="36"/>
      <c r="MA775" s="36"/>
      <c r="MB775" s="36"/>
      <c r="MC775" s="36"/>
      <c r="MD775" s="36"/>
      <c r="ME775" s="36"/>
      <c r="MF775" s="36"/>
      <c r="MG775" s="36"/>
      <c r="MH775" s="36"/>
      <c r="MI775" s="36"/>
      <c r="MJ775" s="36"/>
      <c r="MK775" s="36"/>
      <c r="ML775" s="36"/>
      <c r="MM775" s="36"/>
      <c r="MN775" s="36"/>
      <c r="MO775" s="36"/>
      <c r="MP775" s="36"/>
      <c r="MQ775" s="36"/>
      <c r="MR775" s="36"/>
      <c r="MS775" s="36"/>
      <c r="MT775" s="36"/>
      <c r="MU775" s="36"/>
      <c r="MV775" s="36"/>
      <c r="MW775" s="36"/>
      <c r="MX775" s="36"/>
      <c r="MY775" s="36"/>
      <c r="MZ775" s="36"/>
      <c r="NA775" s="36"/>
      <c r="NB775" s="36"/>
      <c r="NC775" s="36"/>
      <c r="ND775" s="36"/>
      <c r="NE775" s="36"/>
      <c r="NF775" s="36"/>
      <c r="NG775" s="36"/>
      <c r="NH775" s="36"/>
      <c r="NI775" s="36"/>
      <c r="NJ775" s="36"/>
      <c r="NK775" s="36"/>
      <c r="NL775" s="36"/>
      <c r="NM775" s="36"/>
      <c r="NN775" s="36"/>
      <c r="NO775" s="36"/>
      <c r="NP775" s="36"/>
      <c r="NQ775" s="36"/>
      <c r="NR775" s="36"/>
      <c r="NS775" s="36"/>
      <c r="NT775" s="36"/>
      <c r="NU775" s="36"/>
      <c r="NV775" s="36"/>
      <c r="NW775" s="36"/>
      <c r="NX775" s="36"/>
      <c r="NY775" s="36"/>
      <c r="NZ775" s="36"/>
      <c r="OA775" s="36"/>
      <c r="OB775" s="36"/>
      <c r="OC775" s="36"/>
      <c r="OD775" s="36"/>
      <c r="OE775" s="36"/>
      <c r="OF775" s="36"/>
      <c r="OG775" s="36"/>
      <c r="OH775" s="36"/>
      <c r="OI775" s="36"/>
      <c r="OJ775" s="36"/>
      <c r="OK775" s="36"/>
      <c r="OL775" s="36"/>
      <c r="OM775" s="36"/>
      <c r="ON775" s="36"/>
      <c r="OO775" s="36"/>
      <c r="OP775" s="36"/>
      <c r="OQ775" s="36"/>
      <c r="OR775" s="36"/>
      <c r="OS775" s="36"/>
      <c r="OT775" s="36"/>
      <c r="OU775" s="36"/>
      <c r="OV775" s="36"/>
      <c r="OW775" s="36"/>
      <c r="OX775" s="36"/>
      <c r="OY775" s="36"/>
      <c r="OZ775" s="36"/>
      <c r="PA775" s="36"/>
      <c r="PB775" s="36"/>
      <c r="PC775" s="36"/>
      <c r="PD775" s="36"/>
      <c r="PE775" s="36"/>
      <c r="PF775" s="36"/>
      <c r="PG775" s="36"/>
      <c r="PH775" s="36"/>
      <c r="PI775" s="36"/>
      <c r="PJ775" s="36"/>
      <c r="PK775" s="36"/>
      <c r="PL775" s="36"/>
      <c r="PM775" s="36"/>
      <c r="PN775" s="36"/>
      <c r="PO775" s="36"/>
      <c r="PP775" s="36"/>
      <c r="PQ775" s="36"/>
      <c r="PR775" s="36"/>
      <c r="PS775" s="36"/>
      <c r="PT775" s="36"/>
      <c r="PU775" s="36"/>
      <c r="PV775" s="36"/>
      <c r="PW775" s="36"/>
      <c r="PX775" s="36"/>
      <c r="PY775" s="36"/>
      <c r="PZ775" s="36"/>
      <c r="QA775" s="36"/>
      <c r="QB775" s="36"/>
      <c r="QC775" s="36"/>
      <c r="QD775" s="36"/>
      <c r="QE775" s="36"/>
      <c r="QF775" s="36"/>
      <c r="QG775" s="36"/>
      <c r="QH775" s="36"/>
      <c r="QI775" s="36"/>
      <c r="QJ775" s="36"/>
      <c r="QK775" s="36"/>
      <c r="QL775" s="36"/>
      <c r="QM775" s="36"/>
      <c r="QN775" s="36"/>
      <c r="QO775" s="36"/>
      <c r="QP775" s="36"/>
      <c r="QQ775" s="36"/>
      <c r="QR775" s="36"/>
      <c r="QS775" s="36"/>
      <c r="QT775" s="36"/>
      <c r="QU775" s="36"/>
      <c r="QV775" s="36"/>
      <c r="QW775" s="36"/>
      <c r="QX775" s="36"/>
      <c r="QY775" s="36"/>
      <c r="QZ775" s="36"/>
      <c r="RA775" s="36"/>
      <c r="RB775" s="36"/>
      <c r="RC775" s="36"/>
      <c r="RD775" s="36"/>
      <c r="RE775" s="36"/>
      <c r="RF775" s="36"/>
      <c r="RG775" s="36"/>
      <c r="RH775" s="36"/>
      <c r="RI775" s="36"/>
      <c r="RJ775" s="36"/>
      <c r="RK775" s="36"/>
      <c r="RL775" s="36"/>
      <c r="RM775" s="36"/>
      <c r="RN775" s="36"/>
      <c r="RO775" s="36"/>
      <c r="RP775" s="36"/>
      <c r="RQ775" s="36"/>
      <c r="RR775" s="36"/>
      <c r="RS775" s="36"/>
      <c r="RT775" s="36"/>
      <c r="RU775" s="36"/>
      <c r="RV775" s="36"/>
      <c r="RW775" s="36"/>
      <c r="RX775" s="36"/>
      <c r="RY775" s="36"/>
      <c r="RZ775" s="36"/>
      <c r="SA775" s="36"/>
      <c r="SB775" s="36"/>
      <c r="SC775" s="36"/>
      <c r="SD775" s="36"/>
      <c r="SE775" s="36"/>
      <c r="SF775" s="36"/>
      <c r="SG775" s="36"/>
      <c r="SH775" s="36"/>
      <c r="SI775" s="36"/>
      <c r="SJ775" s="36"/>
      <c r="SK775" s="36"/>
      <c r="SL775" s="36"/>
      <c r="SM775" s="36"/>
      <c r="SN775" s="36"/>
      <c r="SO775" s="36"/>
      <c r="SP775" s="36"/>
      <c r="SQ775" s="36"/>
      <c r="SR775" s="36"/>
      <c r="SS775" s="36"/>
      <c r="ST775" s="36"/>
      <c r="SU775" s="36"/>
      <c r="SV775" s="36"/>
      <c r="SW775" s="36"/>
      <c r="SX775" s="36"/>
      <c r="SY775" s="36"/>
      <c r="SZ775" s="36"/>
      <c r="TA775" s="36"/>
      <c r="TB775" s="36"/>
      <c r="TC775" s="36"/>
      <c r="TD775" s="36"/>
      <c r="TE775" s="36"/>
      <c r="TF775" s="36"/>
      <c r="TG775" s="36"/>
      <c r="TH775" s="36"/>
      <c r="TI775" s="36"/>
      <c r="TJ775" s="36"/>
      <c r="TK775" s="36"/>
      <c r="TL775" s="36"/>
      <c r="TM775" s="36"/>
      <c r="TN775" s="36"/>
      <c r="TO775" s="36"/>
      <c r="TP775" s="36"/>
      <c r="TQ775" s="36"/>
      <c r="TR775" s="36"/>
      <c r="TS775" s="36"/>
      <c r="TT775" s="36"/>
      <c r="TU775" s="36"/>
      <c r="TV775" s="36"/>
      <c r="TW775" s="36"/>
      <c r="TX775" s="36"/>
      <c r="TY775" s="36"/>
      <c r="TZ775" s="36"/>
      <c r="UA775" s="36"/>
      <c r="UB775" s="36"/>
      <c r="UC775" s="36"/>
      <c r="UD775" s="36"/>
      <c r="UE775" s="36"/>
      <c r="UF775" s="36"/>
      <c r="UG775" s="37"/>
    </row>
    <row r="776" spans="1:553" ht="30.75" customHeight="1">
      <c r="A776" s="356"/>
      <c r="B776" s="356"/>
      <c r="C776" s="493" t="s">
        <v>52</v>
      </c>
      <c r="D776" s="418">
        <v>2</v>
      </c>
      <c r="E776" s="418">
        <v>177</v>
      </c>
      <c r="F776" s="493"/>
      <c r="G776" s="418" t="s">
        <v>255</v>
      </c>
      <c r="H776" s="359"/>
      <c r="I776" s="422">
        <f>'Phương án chi tiết'!I698</f>
        <v>182</v>
      </c>
      <c r="J776" s="368">
        <v>16000</v>
      </c>
      <c r="K776" s="443"/>
      <c r="L776" s="646">
        <f t="shared" ref="L776:L789" si="118">ROUND(PRODUCT(I776:K776),0)</f>
        <v>2912000</v>
      </c>
      <c r="M776" s="356"/>
      <c r="N776" s="356"/>
      <c r="O776" s="356"/>
      <c r="P776" s="356"/>
      <c r="Q776" s="610"/>
      <c r="R776" s="1452"/>
      <c r="S776" s="308"/>
      <c r="T776" s="308"/>
      <c r="U776" s="308"/>
      <c r="V776" s="308"/>
      <c r="W776" s="308"/>
      <c r="X776" s="308"/>
      <c r="Y776" s="308"/>
      <c r="Z776" s="604"/>
      <c r="AA776" s="308"/>
      <c r="AB776" s="308"/>
      <c r="AC776" s="454"/>
      <c r="AD776" s="454"/>
      <c r="AE776" s="454"/>
      <c r="AF776" s="454"/>
      <c r="AG776" s="454"/>
      <c r="AH776" s="454"/>
      <c r="AI776" s="454"/>
      <c r="AJ776" s="454"/>
      <c r="AK776" s="455"/>
      <c r="AL776" s="110"/>
      <c r="AM776" s="34"/>
      <c r="AN776" s="34"/>
      <c r="AO776" s="34"/>
      <c r="AP776" s="34"/>
      <c r="AQ776" s="34"/>
      <c r="AR776" s="34"/>
      <c r="AS776" s="35"/>
      <c r="AT776" s="35"/>
      <c r="AU776" s="35"/>
      <c r="AV776" s="35"/>
      <c r="AW776" s="35"/>
      <c r="AX776" s="35"/>
      <c r="AY776" s="35"/>
      <c r="AZ776" s="35"/>
      <c r="BA776" s="35"/>
      <c r="BB776" s="35"/>
      <c r="BC776" s="35"/>
      <c r="BD776" s="35"/>
      <c r="BE776" s="35"/>
      <c r="BF776" s="35"/>
      <c r="BG776" s="35"/>
      <c r="BH776" s="35"/>
      <c r="BI776" s="35"/>
      <c r="BJ776" s="35"/>
      <c r="BK776" s="35"/>
      <c r="BL776" s="35"/>
      <c r="BM776" s="35"/>
      <c r="BN776" s="35"/>
      <c r="BO776" s="35"/>
      <c r="BP776" s="36"/>
      <c r="BQ776" s="36"/>
      <c r="BR776" s="36"/>
      <c r="BS776" s="36"/>
      <c r="BT776" s="36"/>
      <c r="BU776" s="36"/>
      <c r="BV776" s="36"/>
      <c r="BW776" s="36"/>
      <c r="BX776" s="36"/>
      <c r="BY776" s="36"/>
      <c r="BZ776" s="36"/>
      <c r="CA776" s="36"/>
      <c r="CB776" s="36"/>
      <c r="CC776" s="36"/>
      <c r="CD776" s="36"/>
      <c r="CE776" s="36"/>
      <c r="CF776" s="36"/>
      <c r="CG776" s="36"/>
      <c r="CH776" s="36"/>
      <c r="CI776" s="36"/>
      <c r="CJ776" s="36"/>
      <c r="CK776" s="36"/>
      <c r="CL776" s="36"/>
      <c r="CM776" s="36"/>
      <c r="CN776" s="36"/>
      <c r="CO776" s="36"/>
      <c r="CP776" s="36"/>
      <c r="CQ776" s="36"/>
      <c r="CR776" s="36"/>
      <c r="CS776" s="36"/>
      <c r="CT776" s="36"/>
      <c r="CU776" s="36"/>
      <c r="CV776" s="36"/>
      <c r="CW776" s="36"/>
      <c r="CX776" s="36"/>
      <c r="CY776" s="36"/>
      <c r="CZ776" s="36"/>
      <c r="DA776" s="36"/>
      <c r="DB776" s="36"/>
      <c r="DC776" s="36"/>
      <c r="DD776" s="36"/>
      <c r="DE776" s="36"/>
      <c r="DF776" s="36"/>
      <c r="DG776" s="36"/>
      <c r="DH776" s="36"/>
      <c r="DI776" s="36"/>
      <c r="DJ776" s="36"/>
      <c r="DK776" s="36"/>
      <c r="DL776" s="36"/>
      <c r="DM776" s="36"/>
      <c r="DN776" s="36"/>
      <c r="DO776" s="36"/>
      <c r="DP776" s="36"/>
      <c r="DQ776" s="36"/>
      <c r="DR776" s="36"/>
      <c r="DS776" s="36"/>
      <c r="DT776" s="36"/>
      <c r="DU776" s="36"/>
      <c r="DV776" s="36"/>
      <c r="DW776" s="36"/>
      <c r="DX776" s="36"/>
      <c r="DY776" s="36"/>
      <c r="DZ776" s="36"/>
      <c r="EA776" s="36"/>
      <c r="EB776" s="36"/>
      <c r="EC776" s="36"/>
      <c r="ED776" s="36"/>
      <c r="EE776" s="36"/>
      <c r="EF776" s="36"/>
      <c r="EG776" s="36"/>
      <c r="EH776" s="36"/>
      <c r="EI776" s="36"/>
      <c r="EJ776" s="36"/>
      <c r="EK776" s="36"/>
      <c r="EL776" s="36"/>
      <c r="EM776" s="36"/>
      <c r="EN776" s="36"/>
      <c r="EO776" s="36"/>
      <c r="EP776" s="36"/>
      <c r="EQ776" s="36"/>
      <c r="ER776" s="36"/>
      <c r="ES776" s="36"/>
      <c r="ET776" s="36"/>
      <c r="EU776" s="36"/>
      <c r="EV776" s="36"/>
      <c r="EW776" s="36"/>
      <c r="EX776" s="36"/>
      <c r="EY776" s="36"/>
      <c r="EZ776" s="36"/>
      <c r="FA776" s="36"/>
      <c r="FB776" s="36"/>
      <c r="FC776" s="36"/>
      <c r="FD776" s="36"/>
      <c r="FE776" s="36"/>
      <c r="FF776" s="36"/>
      <c r="FG776" s="36"/>
      <c r="FH776" s="36"/>
      <c r="FI776" s="36"/>
      <c r="FJ776" s="36"/>
      <c r="FK776" s="36"/>
      <c r="FL776" s="36"/>
      <c r="FM776" s="36"/>
      <c r="FN776" s="36"/>
      <c r="FO776" s="36"/>
      <c r="FP776" s="36"/>
      <c r="FQ776" s="36"/>
      <c r="FR776" s="36"/>
      <c r="FS776" s="36"/>
      <c r="FT776" s="36"/>
      <c r="FU776" s="36"/>
      <c r="FV776" s="36"/>
      <c r="FW776" s="36"/>
      <c r="FX776" s="36"/>
      <c r="FY776" s="36"/>
      <c r="FZ776" s="36"/>
      <c r="GA776" s="36"/>
      <c r="GB776" s="36"/>
      <c r="GC776" s="36"/>
      <c r="GD776" s="36"/>
      <c r="GE776" s="36"/>
      <c r="GF776" s="36"/>
      <c r="GG776" s="36"/>
      <c r="GH776" s="36"/>
      <c r="GI776" s="36"/>
      <c r="GJ776" s="36"/>
      <c r="GK776" s="36"/>
      <c r="GL776" s="36"/>
      <c r="GM776" s="36"/>
      <c r="GN776" s="36"/>
      <c r="GO776" s="36"/>
      <c r="GP776" s="36"/>
      <c r="GQ776" s="36"/>
      <c r="GR776" s="36"/>
      <c r="GS776" s="36"/>
      <c r="GT776" s="36"/>
      <c r="GU776" s="36"/>
      <c r="GV776" s="36"/>
      <c r="GW776" s="36"/>
      <c r="GX776" s="36"/>
      <c r="GY776" s="36"/>
      <c r="GZ776" s="36"/>
      <c r="HA776" s="36"/>
      <c r="HB776" s="36"/>
      <c r="HC776" s="36"/>
      <c r="HD776" s="36"/>
      <c r="HE776" s="36"/>
      <c r="HF776" s="36"/>
      <c r="HG776" s="36"/>
      <c r="HH776" s="36"/>
      <c r="HI776" s="36"/>
      <c r="HJ776" s="36"/>
      <c r="HK776" s="36"/>
      <c r="HL776" s="36"/>
      <c r="HM776" s="36"/>
      <c r="HN776" s="36"/>
      <c r="HO776" s="36"/>
      <c r="HP776" s="36"/>
      <c r="HQ776" s="36"/>
      <c r="HR776" s="36"/>
      <c r="HS776" s="36"/>
      <c r="HT776" s="36"/>
      <c r="HU776" s="36"/>
      <c r="HV776" s="36"/>
      <c r="HW776" s="36"/>
      <c r="HX776" s="36"/>
      <c r="HY776" s="36"/>
      <c r="HZ776" s="36"/>
      <c r="IA776" s="36"/>
      <c r="IB776" s="36"/>
      <c r="IC776" s="36"/>
      <c r="ID776" s="36"/>
      <c r="IE776" s="36"/>
      <c r="IF776" s="36"/>
      <c r="IG776" s="36"/>
      <c r="IH776" s="36"/>
      <c r="II776" s="36"/>
      <c r="IJ776" s="36"/>
      <c r="IK776" s="36"/>
      <c r="IL776" s="36"/>
      <c r="IM776" s="36"/>
      <c r="IN776" s="36"/>
      <c r="IO776" s="36"/>
      <c r="IP776" s="36"/>
      <c r="IQ776" s="36"/>
      <c r="IR776" s="36"/>
      <c r="IS776" s="36"/>
      <c r="IT776" s="36"/>
      <c r="IU776" s="36"/>
      <c r="IV776" s="36"/>
      <c r="IW776" s="36"/>
      <c r="IX776" s="36"/>
      <c r="IY776" s="36"/>
      <c r="IZ776" s="36"/>
      <c r="JA776" s="36"/>
      <c r="JB776" s="36"/>
      <c r="JC776" s="36"/>
      <c r="JD776" s="36"/>
      <c r="JE776" s="36"/>
      <c r="JF776" s="36"/>
      <c r="JG776" s="36"/>
      <c r="JH776" s="36"/>
      <c r="JI776" s="36"/>
      <c r="JJ776" s="36"/>
      <c r="JK776" s="36"/>
      <c r="JL776" s="36"/>
      <c r="JM776" s="36"/>
      <c r="JN776" s="36"/>
      <c r="JO776" s="36"/>
      <c r="JP776" s="36"/>
      <c r="JQ776" s="36"/>
      <c r="JR776" s="36"/>
      <c r="JS776" s="36"/>
      <c r="JT776" s="36"/>
      <c r="JU776" s="36"/>
      <c r="JV776" s="36"/>
      <c r="JW776" s="36"/>
      <c r="JX776" s="36"/>
      <c r="JY776" s="36"/>
      <c r="JZ776" s="36"/>
      <c r="KA776" s="36"/>
      <c r="KB776" s="36"/>
      <c r="KC776" s="36"/>
      <c r="KD776" s="36"/>
      <c r="KE776" s="36"/>
      <c r="KF776" s="36"/>
      <c r="KG776" s="36"/>
      <c r="KH776" s="36"/>
      <c r="KI776" s="36"/>
      <c r="KJ776" s="36"/>
      <c r="KK776" s="36"/>
      <c r="KL776" s="36"/>
      <c r="KM776" s="36"/>
      <c r="KN776" s="36"/>
      <c r="KO776" s="36"/>
      <c r="KP776" s="36"/>
      <c r="KQ776" s="36"/>
      <c r="KR776" s="36"/>
      <c r="KS776" s="36"/>
      <c r="KT776" s="36"/>
      <c r="KU776" s="36"/>
      <c r="KV776" s="36"/>
      <c r="KW776" s="36"/>
      <c r="KX776" s="36"/>
      <c r="KY776" s="36"/>
      <c r="KZ776" s="36"/>
      <c r="LA776" s="36"/>
      <c r="LB776" s="36"/>
      <c r="LC776" s="36"/>
      <c r="LD776" s="36"/>
      <c r="LE776" s="36"/>
      <c r="LF776" s="36"/>
      <c r="LG776" s="36"/>
      <c r="LH776" s="36"/>
      <c r="LI776" s="36"/>
      <c r="LJ776" s="36"/>
      <c r="LK776" s="36"/>
      <c r="LL776" s="36"/>
      <c r="LM776" s="36"/>
      <c r="LN776" s="36"/>
      <c r="LO776" s="36"/>
      <c r="LP776" s="36"/>
      <c r="LQ776" s="36"/>
      <c r="LR776" s="36"/>
      <c r="LS776" s="36"/>
      <c r="LT776" s="36"/>
      <c r="LU776" s="36"/>
      <c r="LV776" s="36"/>
      <c r="LW776" s="36"/>
      <c r="LX776" s="36"/>
      <c r="LY776" s="36"/>
      <c r="LZ776" s="36"/>
      <c r="MA776" s="36"/>
      <c r="MB776" s="36"/>
      <c r="MC776" s="36"/>
      <c r="MD776" s="36"/>
      <c r="ME776" s="36"/>
      <c r="MF776" s="36"/>
      <c r="MG776" s="36"/>
      <c r="MH776" s="36"/>
      <c r="MI776" s="36"/>
      <c r="MJ776" s="36"/>
      <c r="MK776" s="36"/>
      <c r="ML776" s="36"/>
      <c r="MM776" s="36"/>
      <c r="MN776" s="36"/>
      <c r="MO776" s="36"/>
      <c r="MP776" s="36"/>
      <c r="MQ776" s="36"/>
      <c r="MR776" s="36"/>
      <c r="MS776" s="36"/>
      <c r="MT776" s="36"/>
      <c r="MU776" s="36"/>
      <c r="MV776" s="36"/>
      <c r="MW776" s="36"/>
      <c r="MX776" s="36"/>
      <c r="MY776" s="36"/>
      <c r="MZ776" s="36"/>
      <c r="NA776" s="36"/>
      <c r="NB776" s="36"/>
      <c r="NC776" s="36"/>
      <c r="ND776" s="36"/>
      <c r="NE776" s="36"/>
      <c r="NF776" s="36"/>
      <c r="NG776" s="36"/>
      <c r="NH776" s="36"/>
      <c r="NI776" s="36"/>
      <c r="NJ776" s="36"/>
      <c r="NK776" s="36"/>
      <c r="NL776" s="36"/>
      <c r="NM776" s="36"/>
      <c r="NN776" s="36"/>
      <c r="NO776" s="36"/>
      <c r="NP776" s="36"/>
      <c r="NQ776" s="36"/>
      <c r="NR776" s="36"/>
      <c r="NS776" s="36"/>
      <c r="NT776" s="36"/>
      <c r="NU776" s="36"/>
      <c r="NV776" s="36"/>
      <c r="NW776" s="36"/>
      <c r="NX776" s="36"/>
      <c r="NY776" s="36"/>
      <c r="NZ776" s="36"/>
      <c r="OA776" s="36"/>
      <c r="OB776" s="36"/>
      <c r="OC776" s="36"/>
      <c r="OD776" s="36"/>
      <c r="OE776" s="36"/>
      <c r="OF776" s="36"/>
      <c r="OG776" s="36"/>
      <c r="OH776" s="36"/>
      <c r="OI776" s="36"/>
      <c r="OJ776" s="36"/>
      <c r="OK776" s="36"/>
      <c r="OL776" s="36"/>
      <c r="OM776" s="36"/>
      <c r="ON776" s="36"/>
      <c r="OO776" s="36"/>
      <c r="OP776" s="36"/>
      <c r="OQ776" s="36"/>
      <c r="OR776" s="36"/>
      <c r="OS776" s="36"/>
      <c r="OT776" s="36"/>
      <c r="OU776" s="36"/>
      <c r="OV776" s="36"/>
      <c r="OW776" s="36"/>
      <c r="OX776" s="36"/>
      <c r="OY776" s="36"/>
      <c r="OZ776" s="36"/>
      <c r="PA776" s="36"/>
      <c r="PB776" s="36"/>
      <c r="PC776" s="36"/>
      <c r="PD776" s="36"/>
      <c r="PE776" s="36"/>
      <c r="PF776" s="36"/>
      <c r="PG776" s="36"/>
      <c r="PH776" s="36"/>
      <c r="PI776" s="36"/>
      <c r="PJ776" s="36"/>
      <c r="PK776" s="36"/>
      <c r="PL776" s="36"/>
      <c r="PM776" s="36"/>
      <c r="PN776" s="36"/>
      <c r="PO776" s="36"/>
      <c r="PP776" s="36"/>
      <c r="PQ776" s="36"/>
      <c r="PR776" s="36"/>
      <c r="PS776" s="36"/>
      <c r="PT776" s="36"/>
      <c r="PU776" s="36"/>
      <c r="PV776" s="36"/>
      <c r="PW776" s="36"/>
      <c r="PX776" s="36"/>
      <c r="PY776" s="36"/>
      <c r="PZ776" s="36"/>
      <c r="QA776" s="36"/>
      <c r="QB776" s="36"/>
      <c r="QC776" s="36"/>
      <c r="QD776" s="36"/>
      <c r="QE776" s="36"/>
      <c r="QF776" s="36"/>
      <c r="QG776" s="36"/>
      <c r="QH776" s="36"/>
      <c r="QI776" s="36"/>
      <c r="QJ776" s="36"/>
      <c r="QK776" s="36"/>
      <c r="QL776" s="36"/>
      <c r="QM776" s="36"/>
      <c r="QN776" s="36"/>
      <c r="QO776" s="36"/>
      <c r="QP776" s="36"/>
      <c r="QQ776" s="36"/>
      <c r="QR776" s="36"/>
      <c r="QS776" s="36"/>
      <c r="QT776" s="36"/>
      <c r="QU776" s="36"/>
      <c r="QV776" s="36"/>
      <c r="QW776" s="36"/>
      <c r="QX776" s="36"/>
      <c r="QY776" s="36"/>
      <c r="QZ776" s="36"/>
      <c r="RA776" s="36"/>
      <c r="RB776" s="36"/>
      <c r="RC776" s="36"/>
      <c r="RD776" s="36"/>
      <c r="RE776" s="36"/>
      <c r="RF776" s="36"/>
      <c r="RG776" s="36"/>
      <c r="RH776" s="36"/>
      <c r="RI776" s="36"/>
      <c r="RJ776" s="36"/>
      <c r="RK776" s="36"/>
      <c r="RL776" s="36"/>
      <c r="RM776" s="36"/>
      <c r="RN776" s="36"/>
      <c r="RO776" s="36"/>
      <c r="RP776" s="36"/>
      <c r="RQ776" s="36"/>
      <c r="RR776" s="36"/>
      <c r="RS776" s="36"/>
      <c r="RT776" s="36"/>
      <c r="RU776" s="36"/>
      <c r="RV776" s="36"/>
      <c r="RW776" s="36"/>
      <c r="RX776" s="36"/>
      <c r="RY776" s="36"/>
      <c r="RZ776" s="36"/>
      <c r="SA776" s="36"/>
      <c r="SB776" s="36"/>
      <c r="SC776" s="36"/>
      <c r="SD776" s="36"/>
      <c r="SE776" s="36"/>
      <c r="SF776" s="36"/>
      <c r="SG776" s="36"/>
      <c r="SH776" s="36"/>
      <c r="SI776" s="36"/>
      <c r="SJ776" s="36"/>
      <c r="SK776" s="36"/>
      <c r="SL776" s="36"/>
      <c r="SM776" s="36"/>
      <c r="SN776" s="36"/>
      <c r="SO776" s="36"/>
      <c r="SP776" s="36"/>
      <c r="SQ776" s="36"/>
      <c r="SR776" s="36"/>
      <c r="SS776" s="36"/>
      <c r="ST776" s="36"/>
      <c r="SU776" s="36"/>
      <c r="SV776" s="36"/>
      <c r="SW776" s="36"/>
      <c r="SX776" s="36"/>
      <c r="SY776" s="36"/>
      <c r="SZ776" s="36"/>
      <c r="TA776" s="36"/>
      <c r="TB776" s="36"/>
      <c r="TC776" s="36"/>
      <c r="TD776" s="36"/>
      <c r="TE776" s="36"/>
      <c r="TF776" s="36"/>
      <c r="TG776" s="36"/>
      <c r="TH776" s="36"/>
      <c r="TI776" s="36"/>
      <c r="TJ776" s="36"/>
      <c r="TK776" s="36"/>
      <c r="TL776" s="36"/>
      <c r="TM776" s="36"/>
      <c r="TN776" s="36"/>
      <c r="TO776" s="36"/>
      <c r="TP776" s="36"/>
      <c r="TQ776" s="36"/>
      <c r="TR776" s="36"/>
      <c r="TS776" s="36"/>
      <c r="TT776" s="36"/>
      <c r="TU776" s="36"/>
      <c r="TV776" s="36"/>
      <c r="TW776" s="36"/>
      <c r="TX776" s="36"/>
      <c r="TY776" s="36"/>
      <c r="TZ776" s="36"/>
      <c r="UA776" s="36"/>
      <c r="UB776" s="36"/>
      <c r="UC776" s="36"/>
      <c r="UD776" s="36"/>
      <c r="UE776" s="36"/>
      <c r="UF776" s="36"/>
      <c r="UG776" s="37"/>
    </row>
    <row r="777" spans="1:553" ht="30.75" customHeight="1">
      <c r="A777" s="356"/>
      <c r="B777" s="356"/>
      <c r="C777" s="493" t="s">
        <v>52</v>
      </c>
      <c r="D777" s="418">
        <v>2</v>
      </c>
      <c r="E777" s="418">
        <v>261</v>
      </c>
      <c r="F777" s="493"/>
      <c r="G777" s="418" t="s">
        <v>255</v>
      </c>
      <c r="H777" s="359"/>
      <c r="I777" s="422">
        <f>'Phương án chi tiết'!I705</f>
        <v>269.8</v>
      </c>
      <c r="J777" s="368">
        <v>16000</v>
      </c>
      <c r="K777" s="443"/>
      <c r="L777" s="646">
        <f t="shared" si="118"/>
        <v>4316800</v>
      </c>
      <c r="M777" s="356"/>
      <c r="N777" s="356"/>
      <c r="O777" s="356"/>
      <c r="P777" s="356"/>
      <c r="Q777" s="610"/>
      <c r="R777" s="1452"/>
      <c r="S777" s="308"/>
      <c r="T777" s="308"/>
      <c r="U777" s="308"/>
      <c r="V777" s="308"/>
      <c r="W777" s="308"/>
      <c r="X777" s="308"/>
      <c r="Y777" s="308"/>
      <c r="Z777" s="604"/>
      <c r="AA777" s="308"/>
      <c r="AB777" s="308"/>
      <c r="AC777" s="454"/>
      <c r="AD777" s="454"/>
      <c r="AE777" s="454"/>
      <c r="AF777" s="454"/>
      <c r="AG777" s="454"/>
      <c r="AH777" s="454"/>
      <c r="AI777" s="454"/>
      <c r="AJ777" s="454"/>
      <c r="AK777" s="455"/>
      <c r="AL777" s="110"/>
      <c r="AM777" s="34"/>
      <c r="AN777" s="34"/>
      <c r="AO777" s="34"/>
      <c r="AP777" s="34"/>
      <c r="AQ777" s="34"/>
      <c r="AR777" s="34"/>
      <c r="AS777" s="35"/>
      <c r="AT777" s="35"/>
      <c r="AU777" s="35"/>
      <c r="AV777" s="35"/>
      <c r="AW777" s="35"/>
      <c r="AX777" s="35"/>
      <c r="AY777" s="35"/>
      <c r="AZ777" s="35"/>
      <c r="BA777" s="35"/>
      <c r="BB777" s="35"/>
      <c r="BC777" s="35"/>
      <c r="BD777" s="35"/>
      <c r="BE777" s="35"/>
      <c r="BF777" s="35"/>
      <c r="BG777" s="35"/>
      <c r="BH777" s="35"/>
      <c r="BI777" s="35"/>
      <c r="BJ777" s="35"/>
      <c r="BK777" s="35"/>
      <c r="BL777" s="35"/>
      <c r="BM777" s="35"/>
      <c r="BN777" s="35"/>
      <c r="BO777" s="35"/>
      <c r="BP777" s="36"/>
      <c r="BQ777" s="36"/>
      <c r="BR777" s="36"/>
      <c r="BS777" s="36"/>
      <c r="BT777" s="36"/>
      <c r="BU777" s="36"/>
      <c r="BV777" s="36"/>
      <c r="BW777" s="36"/>
      <c r="BX777" s="36"/>
      <c r="BY777" s="36"/>
      <c r="BZ777" s="36"/>
      <c r="CA777" s="36"/>
      <c r="CB777" s="36"/>
      <c r="CC777" s="36"/>
      <c r="CD777" s="36"/>
      <c r="CE777" s="36"/>
      <c r="CF777" s="36"/>
      <c r="CG777" s="36"/>
      <c r="CH777" s="36"/>
      <c r="CI777" s="36"/>
      <c r="CJ777" s="36"/>
      <c r="CK777" s="36"/>
      <c r="CL777" s="36"/>
      <c r="CM777" s="36"/>
      <c r="CN777" s="36"/>
      <c r="CO777" s="36"/>
      <c r="CP777" s="36"/>
      <c r="CQ777" s="36"/>
      <c r="CR777" s="36"/>
      <c r="CS777" s="36"/>
      <c r="CT777" s="36"/>
      <c r="CU777" s="36"/>
      <c r="CV777" s="36"/>
      <c r="CW777" s="36"/>
      <c r="CX777" s="36"/>
      <c r="CY777" s="36"/>
      <c r="CZ777" s="36"/>
      <c r="DA777" s="36"/>
      <c r="DB777" s="36"/>
      <c r="DC777" s="36"/>
      <c r="DD777" s="36"/>
      <c r="DE777" s="36"/>
      <c r="DF777" s="36"/>
      <c r="DG777" s="36"/>
      <c r="DH777" s="36"/>
      <c r="DI777" s="36"/>
      <c r="DJ777" s="36"/>
      <c r="DK777" s="36"/>
      <c r="DL777" s="36"/>
      <c r="DM777" s="36"/>
      <c r="DN777" s="36"/>
      <c r="DO777" s="36"/>
      <c r="DP777" s="36"/>
      <c r="DQ777" s="36"/>
      <c r="DR777" s="36"/>
      <c r="DS777" s="36"/>
      <c r="DT777" s="36"/>
      <c r="DU777" s="36"/>
      <c r="DV777" s="36"/>
      <c r="DW777" s="36"/>
      <c r="DX777" s="36"/>
      <c r="DY777" s="36"/>
      <c r="DZ777" s="36"/>
      <c r="EA777" s="36"/>
      <c r="EB777" s="36"/>
      <c r="EC777" s="36"/>
      <c r="ED777" s="36"/>
      <c r="EE777" s="36"/>
      <c r="EF777" s="36"/>
      <c r="EG777" s="36"/>
      <c r="EH777" s="36"/>
      <c r="EI777" s="36"/>
      <c r="EJ777" s="36"/>
      <c r="EK777" s="36"/>
      <c r="EL777" s="36"/>
      <c r="EM777" s="36"/>
      <c r="EN777" s="36"/>
      <c r="EO777" s="36"/>
      <c r="EP777" s="36"/>
      <c r="EQ777" s="36"/>
      <c r="ER777" s="36"/>
      <c r="ES777" s="36"/>
      <c r="ET777" s="36"/>
      <c r="EU777" s="36"/>
      <c r="EV777" s="36"/>
      <c r="EW777" s="36"/>
      <c r="EX777" s="36"/>
      <c r="EY777" s="36"/>
      <c r="EZ777" s="36"/>
      <c r="FA777" s="36"/>
      <c r="FB777" s="36"/>
      <c r="FC777" s="36"/>
      <c r="FD777" s="36"/>
      <c r="FE777" s="36"/>
      <c r="FF777" s="36"/>
      <c r="FG777" s="36"/>
      <c r="FH777" s="36"/>
      <c r="FI777" s="36"/>
      <c r="FJ777" s="36"/>
      <c r="FK777" s="36"/>
      <c r="FL777" s="36"/>
      <c r="FM777" s="36"/>
      <c r="FN777" s="36"/>
      <c r="FO777" s="36"/>
      <c r="FP777" s="36"/>
      <c r="FQ777" s="36"/>
      <c r="FR777" s="36"/>
      <c r="FS777" s="36"/>
      <c r="FT777" s="36"/>
      <c r="FU777" s="36"/>
      <c r="FV777" s="36"/>
      <c r="FW777" s="36"/>
      <c r="FX777" s="36"/>
      <c r="FY777" s="36"/>
      <c r="FZ777" s="36"/>
      <c r="GA777" s="36"/>
      <c r="GB777" s="36"/>
      <c r="GC777" s="36"/>
      <c r="GD777" s="36"/>
      <c r="GE777" s="36"/>
      <c r="GF777" s="36"/>
      <c r="GG777" s="36"/>
      <c r="GH777" s="36"/>
      <c r="GI777" s="36"/>
      <c r="GJ777" s="36"/>
      <c r="GK777" s="36"/>
      <c r="GL777" s="36"/>
      <c r="GM777" s="36"/>
      <c r="GN777" s="36"/>
      <c r="GO777" s="36"/>
      <c r="GP777" s="36"/>
      <c r="GQ777" s="36"/>
      <c r="GR777" s="36"/>
      <c r="GS777" s="36"/>
      <c r="GT777" s="36"/>
      <c r="GU777" s="36"/>
      <c r="GV777" s="36"/>
      <c r="GW777" s="36"/>
      <c r="GX777" s="36"/>
      <c r="GY777" s="36"/>
      <c r="GZ777" s="36"/>
      <c r="HA777" s="36"/>
      <c r="HB777" s="36"/>
      <c r="HC777" s="36"/>
      <c r="HD777" s="36"/>
      <c r="HE777" s="36"/>
      <c r="HF777" s="36"/>
      <c r="HG777" s="36"/>
      <c r="HH777" s="36"/>
      <c r="HI777" s="36"/>
      <c r="HJ777" s="36"/>
      <c r="HK777" s="36"/>
      <c r="HL777" s="36"/>
      <c r="HM777" s="36"/>
      <c r="HN777" s="36"/>
      <c r="HO777" s="36"/>
      <c r="HP777" s="36"/>
      <c r="HQ777" s="36"/>
      <c r="HR777" s="36"/>
      <c r="HS777" s="36"/>
      <c r="HT777" s="36"/>
      <c r="HU777" s="36"/>
      <c r="HV777" s="36"/>
      <c r="HW777" s="36"/>
      <c r="HX777" s="36"/>
      <c r="HY777" s="36"/>
      <c r="HZ777" s="36"/>
      <c r="IA777" s="36"/>
      <c r="IB777" s="36"/>
      <c r="IC777" s="36"/>
      <c r="ID777" s="36"/>
      <c r="IE777" s="36"/>
      <c r="IF777" s="36"/>
      <c r="IG777" s="36"/>
      <c r="IH777" s="36"/>
      <c r="II777" s="36"/>
      <c r="IJ777" s="36"/>
      <c r="IK777" s="36"/>
      <c r="IL777" s="36"/>
      <c r="IM777" s="36"/>
      <c r="IN777" s="36"/>
      <c r="IO777" s="36"/>
      <c r="IP777" s="36"/>
      <c r="IQ777" s="36"/>
      <c r="IR777" s="36"/>
      <c r="IS777" s="36"/>
      <c r="IT777" s="36"/>
      <c r="IU777" s="36"/>
      <c r="IV777" s="36"/>
      <c r="IW777" s="36"/>
      <c r="IX777" s="36"/>
      <c r="IY777" s="36"/>
      <c r="IZ777" s="36"/>
      <c r="JA777" s="36"/>
      <c r="JB777" s="36"/>
      <c r="JC777" s="36"/>
      <c r="JD777" s="36"/>
      <c r="JE777" s="36"/>
      <c r="JF777" s="36"/>
      <c r="JG777" s="36"/>
      <c r="JH777" s="36"/>
      <c r="JI777" s="36"/>
      <c r="JJ777" s="36"/>
      <c r="JK777" s="36"/>
      <c r="JL777" s="36"/>
      <c r="JM777" s="36"/>
      <c r="JN777" s="36"/>
      <c r="JO777" s="36"/>
      <c r="JP777" s="36"/>
      <c r="JQ777" s="36"/>
      <c r="JR777" s="36"/>
      <c r="JS777" s="36"/>
      <c r="JT777" s="36"/>
      <c r="JU777" s="36"/>
      <c r="JV777" s="36"/>
      <c r="JW777" s="36"/>
      <c r="JX777" s="36"/>
      <c r="JY777" s="36"/>
      <c r="JZ777" s="36"/>
      <c r="KA777" s="36"/>
      <c r="KB777" s="36"/>
      <c r="KC777" s="36"/>
      <c r="KD777" s="36"/>
      <c r="KE777" s="36"/>
      <c r="KF777" s="36"/>
      <c r="KG777" s="36"/>
      <c r="KH777" s="36"/>
      <c r="KI777" s="36"/>
      <c r="KJ777" s="36"/>
      <c r="KK777" s="36"/>
      <c r="KL777" s="36"/>
      <c r="KM777" s="36"/>
      <c r="KN777" s="36"/>
      <c r="KO777" s="36"/>
      <c r="KP777" s="36"/>
      <c r="KQ777" s="36"/>
      <c r="KR777" s="36"/>
      <c r="KS777" s="36"/>
      <c r="KT777" s="36"/>
      <c r="KU777" s="36"/>
      <c r="KV777" s="36"/>
      <c r="KW777" s="36"/>
      <c r="KX777" s="36"/>
      <c r="KY777" s="36"/>
      <c r="KZ777" s="36"/>
      <c r="LA777" s="36"/>
      <c r="LB777" s="36"/>
      <c r="LC777" s="36"/>
      <c r="LD777" s="36"/>
      <c r="LE777" s="36"/>
      <c r="LF777" s="36"/>
      <c r="LG777" s="36"/>
      <c r="LH777" s="36"/>
      <c r="LI777" s="36"/>
      <c r="LJ777" s="36"/>
      <c r="LK777" s="36"/>
      <c r="LL777" s="36"/>
      <c r="LM777" s="36"/>
      <c r="LN777" s="36"/>
      <c r="LO777" s="36"/>
      <c r="LP777" s="36"/>
      <c r="LQ777" s="36"/>
      <c r="LR777" s="36"/>
      <c r="LS777" s="36"/>
      <c r="LT777" s="36"/>
      <c r="LU777" s="36"/>
      <c r="LV777" s="36"/>
      <c r="LW777" s="36"/>
      <c r="LX777" s="36"/>
      <c r="LY777" s="36"/>
      <c r="LZ777" s="36"/>
      <c r="MA777" s="36"/>
      <c r="MB777" s="36"/>
      <c r="MC777" s="36"/>
      <c r="MD777" s="36"/>
      <c r="ME777" s="36"/>
      <c r="MF777" s="36"/>
      <c r="MG777" s="36"/>
      <c r="MH777" s="36"/>
      <c r="MI777" s="36"/>
      <c r="MJ777" s="36"/>
      <c r="MK777" s="36"/>
      <c r="ML777" s="36"/>
      <c r="MM777" s="36"/>
      <c r="MN777" s="36"/>
      <c r="MO777" s="36"/>
      <c r="MP777" s="36"/>
      <c r="MQ777" s="36"/>
      <c r="MR777" s="36"/>
      <c r="MS777" s="36"/>
      <c r="MT777" s="36"/>
      <c r="MU777" s="36"/>
      <c r="MV777" s="36"/>
      <c r="MW777" s="36"/>
      <c r="MX777" s="36"/>
      <c r="MY777" s="36"/>
      <c r="MZ777" s="36"/>
      <c r="NA777" s="36"/>
      <c r="NB777" s="36"/>
      <c r="NC777" s="36"/>
      <c r="ND777" s="36"/>
      <c r="NE777" s="36"/>
      <c r="NF777" s="36"/>
      <c r="NG777" s="36"/>
      <c r="NH777" s="36"/>
      <c r="NI777" s="36"/>
      <c r="NJ777" s="36"/>
      <c r="NK777" s="36"/>
      <c r="NL777" s="36"/>
      <c r="NM777" s="36"/>
      <c r="NN777" s="36"/>
      <c r="NO777" s="36"/>
      <c r="NP777" s="36"/>
      <c r="NQ777" s="36"/>
      <c r="NR777" s="36"/>
      <c r="NS777" s="36"/>
      <c r="NT777" s="36"/>
      <c r="NU777" s="36"/>
      <c r="NV777" s="36"/>
      <c r="NW777" s="36"/>
      <c r="NX777" s="36"/>
      <c r="NY777" s="36"/>
      <c r="NZ777" s="36"/>
      <c r="OA777" s="36"/>
      <c r="OB777" s="36"/>
      <c r="OC777" s="36"/>
      <c r="OD777" s="36"/>
      <c r="OE777" s="36"/>
      <c r="OF777" s="36"/>
      <c r="OG777" s="36"/>
      <c r="OH777" s="36"/>
      <c r="OI777" s="36"/>
      <c r="OJ777" s="36"/>
      <c r="OK777" s="36"/>
      <c r="OL777" s="36"/>
      <c r="OM777" s="36"/>
      <c r="ON777" s="36"/>
      <c r="OO777" s="36"/>
      <c r="OP777" s="36"/>
      <c r="OQ777" s="36"/>
      <c r="OR777" s="36"/>
      <c r="OS777" s="36"/>
      <c r="OT777" s="36"/>
      <c r="OU777" s="36"/>
      <c r="OV777" s="36"/>
      <c r="OW777" s="36"/>
      <c r="OX777" s="36"/>
      <c r="OY777" s="36"/>
      <c r="OZ777" s="36"/>
      <c r="PA777" s="36"/>
      <c r="PB777" s="36"/>
      <c r="PC777" s="36"/>
      <c r="PD777" s="36"/>
      <c r="PE777" s="36"/>
      <c r="PF777" s="36"/>
      <c r="PG777" s="36"/>
      <c r="PH777" s="36"/>
      <c r="PI777" s="36"/>
      <c r="PJ777" s="36"/>
      <c r="PK777" s="36"/>
      <c r="PL777" s="36"/>
      <c r="PM777" s="36"/>
      <c r="PN777" s="36"/>
      <c r="PO777" s="36"/>
      <c r="PP777" s="36"/>
      <c r="PQ777" s="36"/>
      <c r="PR777" s="36"/>
      <c r="PS777" s="36"/>
      <c r="PT777" s="36"/>
      <c r="PU777" s="36"/>
      <c r="PV777" s="36"/>
      <c r="PW777" s="36"/>
      <c r="PX777" s="36"/>
      <c r="PY777" s="36"/>
      <c r="PZ777" s="36"/>
      <c r="QA777" s="36"/>
      <c r="QB777" s="36"/>
      <c r="QC777" s="36"/>
      <c r="QD777" s="36"/>
      <c r="QE777" s="36"/>
      <c r="QF777" s="36"/>
      <c r="QG777" s="36"/>
      <c r="QH777" s="36"/>
      <c r="QI777" s="36"/>
      <c r="QJ777" s="36"/>
      <c r="QK777" s="36"/>
      <c r="QL777" s="36"/>
      <c r="QM777" s="36"/>
      <c r="QN777" s="36"/>
      <c r="QO777" s="36"/>
      <c r="QP777" s="36"/>
      <c r="QQ777" s="36"/>
      <c r="QR777" s="36"/>
      <c r="QS777" s="36"/>
      <c r="QT777" s="36"/>
      <c r="QU777" s="36"/>
      <c r="QV777" s="36"/>
      <c r="QW777" s="36"/>
      <c r="QX777" s="36"/>
      <c r="QY777" s="36"/>
      <c r="QZ777" s="36"/>
      <c r="RA777" s="36"/>
      <c r="RB777" s="36"/>
      <c r="RC777" s="36"/>
      <c r="RD777" s="36"/>
      <c r="RE777" s="36"/>
      <c r="RF777" s="36"/>
      <c r="RG777" s="36"/>
      <c r="RH777" s="36"/>
      <c r="RI777" s="36"/>
      <c r="RJ777" s="36"/>
      <c r="RK777" s="36"/>
      <c r="RL777" s="36"/>
      <c r="RM777" s="36"/>
      <c r="RN777" s="36"/>
      <c r="RO777" s="36"/>
      <c r="RP777" s="36"/>
      <c r="RQ777" s="36"/>
      <c r="RR777" s="36"/>
      <c r="RS777" s="36"/>
      <c r="RT777" s="36"/>
      <c r="RU777" s="36"/>
      <c r="RV777" s="36"/>
      <c r="RW777" s="36"/>
      <c r="RX777" s="36"/>
      <c r="RY777" s="36"/>
      <c r="RZ777" s="36"/>
      <c r="SA777" s="36"/>
      <c r="SB777" s="36"/>
      <c r="SC777" s="36"/>
      <c r="SD777" s="36"/>
      <c r="SE777" s="36"/>
      <c r="SF777" s="36"/>
      <c r="SG777" s="36"/>
      <c r="SH777" s="36"/>
      <c r="SI777" s="36"/>
      <c r="SJ777" s="36"/>
      <c r="SK777" s="36"/>
      <c r="SL777" s="36"/>
      <c r="SM777" s="36"/>
      <c r="SN777" s="36"/>
      <c r="SO777" s="36"/>
      <c r="SP777" s="36"/>
      <c r="SQ777" s="36"/>
      <c r="SR777" s="36"/>
      <c r="SS777" s="36"/>
      <c r="ST777" s="36"/>
      <c r="SU777" s="36"/>
      <c r="SV777" s="36"/>
      <c r="SW777" s="36"/>
      <c r="SX777" s="36"/>
      <c r="SY777" s="36"/>
      <c r="SZ777" s="36"/>
      <c r="TA777" s="36"/>
      <c r="TB777" s="36"/>
      <c r="TC777" s="36"/>
      <c r="TD777" s="36"/>
      <c r="TE777" s="36"/>
      <c r="TF777" s="36"/>
      <c r="TG777" s="36"/>
      <c r="TH777" s="36"/>
      <c r="TI777" s="36"/>
      <c r="TJ777" s="36"/>
      <c r="TK777" s="36"/>
      <c r="TL777" s="36"/>
      <c r="TM777" s="36"/>
      <c r="TN777" s="36"/>
      <c r="TO777" s="36"/>
      <c r="TP777" s="36"/>
      <c r="TQ777" s="36"/>
      <c r="TR777" s="36"/>
      <c r="TS777" s="36"/>
      <c r="TT777" s="36"/>
      <c r="TU777" s="36"/>
      <c r="TV777" s="36"/>
      <c r="TW777" s="36"/>
      <c r="TX777" s="36"/>
      <c r="TY777" s="36"/>
      <c r="TZ777" s="36"/>
      <c r="UA777" s="36"/>
      <c r="UB777" s="36"/>
      <c r="UC777" s="36"/>
      <c r="UD777" s="36"/>
      <c r="UE777" s="36"/>
      <c r="UF777" s="36"/>
      <c r="UG777" s="37"/>
    </row>
    <row r="778" spans="1:553" ht="30.75" customHeight="1">
      <c r="A778" s="356"/>
      <c r="B778" s="356"/>
      <c r="C778" s="493" t="s">
        <v>52</v>
      </c>
      <c r="D778" s="418">
        <v>2</v>
      </c>
      <c r="E778" s="418">
        <v>334</v>
      </c>
      <c r="F778" s="493"/>
      <c r="G778" s="418" t="s">
        <v>255</v>
      </c>
      <c r="H778" s="359"/>
      <c r="I778" s="422">
        <f>'Phương án chi tiết'!I708</f>
        <v>375</v>
      </c>
      <c r="J778" s="368">
        <v>16000</v>
      </c>
      <c r="K778" s="443"/>
      <c r="L778" s="646">
        <f t="shared" si="118"/>
        <v>6000000</v>
      </c>
      <c r="M778" s="356"/>
      <c r="N778" s="356"/>
      <c r="O778" s="356"/>
      <c r="P778" s="356"/>
      <c r="Q778" s="610"/>
      <c r="R778" s="1452"/>
      <c r="S778" s="308"/>
      <c r="T778" s="308"/>
      <c r="U778" s="308"/>
      <c r="V778" s="308"/>
      <c r="W778" s="308"/>
      <c r="X778" s="308"/>
      <c r="Y778" s="308"/>
      <c r="Z778" s="604"/>
      <c r="AA778" s="308"/>
      <c r="AB778" s="308"/>
      <c r="AC778" s="454"/>
      <c r="AD778" s="454"/>
      <c r="AE778" s="454"/>
      <c r="AF778" s="454"/>
      <c r="AG778" s="454"/>
      <c r="AH778" s="454"/>
      <c r="AI778" s="454"/>
      <c r="AJ778" s="454"/>
      <c r="AK778" s="455"/>
      <c r="AL778" s="110"/>
      <c r="AM778" s="34"/>
      <c r="AN778" s="34"/>
      <c r="AO778" s="34"/>
      <c r="AP778" s="34"/>
      <c r="AQ778" s="34"/>
      <c r="AR778" s="34"/>
      <c r="AS778" s="35"/>
      <c r="AT778" s="35"/>
      <c r="AU778" s="35"/>
      <c r="AV778" s="35"/>
      <c r="AW778" s="35"/>
      <c r="AX778" s="35"/>
      <c r="AY778" s="35"/>
      <c r="AZ778" s="35"/>
      <c r="BA778" s="35"/>
      <c r="BB778" s="35"/>
      <c r="BC778" s="35"/>
      <c r="BD778" s="35"/>
      <c r="BE778" s="35"/>
      <c r="BF778" s="35"/>
      <c r="BG778" s="35"/>
      <c r="BH778" s="35"/>
      <c r="BI778" s="35"/>
      <c r="BJ778" s="35"/>
      <c r="BK778" s="35"/>
      <c r="BL778" s="35"/>
      <c r="BM778" s="35"/>
      <c r="BN778" s="35"/>
      <c r="BO778" s="35"/>
      <c r="BP778" s="36"/>
      <c r="BQ778" s="36"/>
      <c r="BR778" s="36"/>
      <c r="BS778" s="36"/>
      <c r="BT778" s="36"/>
      <c r="BU778" s="36"/>
      <c r="BV778" s="36"/>
      <c r="BW778" s="36"/>
      <c r="BX778" s="36"/>
      <c r="BY778" s="36"/>
      <c r="BZ778" s="36"/>
      <c r="CA778" s="36"/>
      <c r="CB778" s="36"/>
      <c r="CC778" s="36"/>
      <c r="CD778" s="36"/>
      <c r="CE778" s="36"/>
      <c r="CF778" s="36"/>
      <c r="CG778" s="36"/>
      <c r="CH778" s="36"/>
      <c r="CI778" s="36"/>
      <c r="CJ778" s="36"/>
      <c r="CK778" s="36"/>
      <c r="CL778" s="36"/>
      <c r="CM778" s="36"/>
      <c r="CN778" s="36"/>
      <c r="CO778" s="36"/>
      <c r="CP778" s="36"/>
      <c r="CQ778" s="36"/>
      <c r="CR778" s="36"/>
      <c r="CS778" s="36"/>
      <c r="CT778" s="36"/>
      <c r="CU778" s="36"/>
      <c r="CV778" s="36"/>
      <c r="CW778" s="36"/>
      <c r="CX778" s="36"/>
      <c r="CY778" s="36"/>
      <c r="CZ778" s="36"/>
      <c r="DA778" s="36"/>
      <c r="DB778" s="36"/>
      <c r="DC778" s="36"/>
      <c r="DD778" s="36"/>
      <c r="DE778" s="36"/>
      <c r="DF778" s="36"/>
      <c r="DG778" s="36"/>
      <c r="DH778" s="36"/>
      <c r="DI778" s="36"/>
      <c r="DJ778" s="36"/>
      <c r="DK778" s="36"/>
      <c r="DL778" s="36"/>
      <c r="DM778" s="36"/>
      <c r="DN778" s="36"/>
      <c r="DO778" s="36"/>
      <c r="DP778" s="36"/>
      <c r="DQ778" s="36"/>
      <c r="DR778" s="36"/>
      <c r="DS778" s="36"/>
      <c r="DT778" s="36"/>
      <c r="DU778" s="36"/>
      <c r="DV778" s="36"/>
      <c r="DW778" s="36"/>
      <c r="DX778" s="36"/>
      <c r="DY778" s="36"/>
      <c r="DZ778" s="36"/>
      <c r="EA778" s="36"/>
      <c r="EB778" s="36"/>
      <c r="EC778" s="36"/>
      <c r="ED778" s="36"/>
      <c r="EE778" s="36"/>
      <c r="EF778" s="36"/>
      <c r="EG778" s="36"/>
      <c r="EH778" s="36"/>
      <c r="EI778" s="36"/>
      <c r="EJ778" s="36"/>
      <c r="EK778" s="36"/>
      <c r="EL778" s="36"/>
      <c r="EM778" s="36"/>
      <c r="EN778" s="36"/>
      <c r="EO778" s="36"/>
      <c r="EP778" s="36"/>
      <c r="EQ778" s="36"/>
      <c r="ER778" s="36"/>
      <c r="ES778" s="36"/>
      <c r="ET778" s="36"/>
      <c r="EU778" s="36"/>
      <c r="EV778" s="36"/>
      <c r="EW778" s="36"/>
      <c r="EX778" s="36"/>
      <c r="EY778" s="36"/>
      <c r="EZ778" s="36"/>
      <c r="FA778" s="36"/>
      <c r="FB778" s="36"/>
      <c r="FC778" s="36"/>
      <c r="FD778" s="36"/>
      <c r="FE778" s="36"/>
      <c r="FF778" s="36"/>
      <c r="FG778" s="36"/>
      <c r="FH778" s="36"/>
      <c r="FI778" s="36"/>
      <c r="FJ778" s="36"/>
      <c r="FK778" s="36"/>
      <c r="FL778" s="36"/>
      <c r="FM778" s="36"/>
      <c r="FN778" s="36"/>
      <c r="FO778" s="36"/>
      <c r="FP778" s="36"/>
      <c r="FQ778" s="36"/>
      <c r="FR778" s="36"/>
      <c r="FS778" s="36"/>
      <c r="FT778" s="36"/>
      <c r="FU778" s="36"/>
      <c r="FV778" s="36"/>
      <c r="FW778" s="36"/>
      <c r="FX778" s="36"/>
      <c r="FY778" s="36"/>
      <c r="FZ778" s="36"/>
      <c r="GA778" s="36"/>
      <c r="GB778" s="36"/>
      <c r="GC778" s="36"/>
      <c r="GD778" s="36"/>
      <c r="GE778" s="36"/>
      <c r="GF778" s="36"/>
      <c r="GG778" s="36"/>
      <c r="GH778" s="36"/>
      <c r="GI778" s="36"/>
      <c r="GJ778" s="36"/>
      <c r="GK778" s="36"/>
      <c r="GL778" s="36"/>
      <c r="GM778" s="36"/>
      <c r="GN778" s="36"/>
      <c r="GO778" s="36"/>
      <c r="GP778" s="36"/>
      <c r="GQ778" s="36"/>
      <c r="GR778" s="36"/>
      <c r="GS778" s="36"/>
      <c r="GT778" s="36"/>
      <c r="GU778" s="36"/>
      <c r="GV778" s="36"/>
      <c r="GW778" s="36"/>
      <c r="GX778" s="36"/>
      <c r="GY778" s="36"/>
      <c r="GZ778" s="36"/>
      <c r="HA778" s="36"/>
      <c r="HB778" s="36"/>
      <c r="HC778" s="36"/>
      <c r="HD778" s="36"/>
      <c r="HE778" s="36"/>
      <c r="HF778" s="36"/>
      <c r="HG778" s="36"/>
      <c r="HH778" s="36"/>
      <c r="HI778" s="36"/>
      <c r="HJ778" s="36"/>
      <c r="HK778" s="36"/>
      <c r="HL778" s="36"/>
      <c r="HM778" s="36"/>
      <c r="HN778" s="36"/>
      <c r="HO778" s="36"/>
      <c r="HP778" s="36"/>
      <c r="HQ778" s="36"/>
      <c r="HR778" s="36"/>
      <c r="HS778" s="36"/>
      <c r="HT778" s="36"/>
      <c r="HU778" s="36"/>
      <c r="HV778" s="36"/>
      <c r="HW778" s="36"/>
      <c r="HX778" s="36"/>
      <c r="HY778" s="36"/>
      <c r="HZ778" s="36"/>
      <c r="IA778" s="36"/>
      <c r="IB778" s="36"/>
      <c r="IC778" s="36"/>
      <c r="ID778" s="36"/>
      <c r="IE778" s="36"/>
      <c r="IF778" s="36"/>
      <c r="IG778" s="36"/>
      <c r="IH778" s="36"/>
      <c r="II778" s="36"/>
      <c r="IJ778" s="36"/>
      <c r="IK778" s="36"/>
      <c r="IL778" s="36"/>
      <c r="IM778" s="36"/>
      <c r="IN778" s="36"/>
      <c r="IO778" s="36"/>
      <c r="IP778" s="36"/>
      <c r="IQ778" s="36"/>
      <c r="IR778" s="36"/>
      <c r="IS778" s="36"/>
      <c r="IT778" s="36"/>
      <c r="IU778" s="36"/>
      <c r="IV778" s="36"/>
      <c r="IW778" s="36"/>
      <c r="IX778" s="36"/>
      <c r="IY778" s="36"/>
      <c r="IZ778" s="36"/>
      <c r="JA778" s="36"/>
      <c r="JB778" s="36"/>
      <c r="JC778" s="36"/>
      <c r="JD778" s="36"/>
      <c r="JE778" s="36"/>
      <c r="JF778" s="36"/>
      <c r="JG778" s="36"/>
      <c r="JH778" s="36"/>
      <c r="JI778" s="36"/>
      <c r="JJ778" s="36"/>
      <c r="JK778" s="36"/>
      <c r="JL778" s="36"/>
      <c r="JM778" s="36"/>
      <c r="JN778" s="36"/>
      <c r="JO778" s="36"/>
      <c r="JP778" s="36"/>
      <c r="JQ778" s="36"/>
      <c r="JR778" s="36"/>
      <c r="JS778" s="36"/>
      <c r="JT778" s="36"/>
      <c r="JU778" s="36"/>
      <c r="JV778" s="36"/>
      <c r="JW778" s="36"/>
      <c r="JX778" s="36"/>
      <c r="JY778" s="36"/>
      <c r="JZ778" s="36"/>
      <c r="KA778" s="36"/>
      <c r="KB778" s="36"/>
      <c r="KC778" s="36"/>
      <c r="KD778" s="36"/>
      <c r="KE778" s="36"/>
      <c r="KF778" s="36"/>
      <c r="KG778" s="36"/>
      <c r="KH778" s="36"/>
      <c r="KI778" s="36"/>
      <c r="KJ778" s="36"/>
      <c r="KK778" s="36"/>
      <c r="KL778" s="36"/>
      <c r="KM778" s="36"/>
      <c r="KN778" s="36"/>
      <c r="KO778" s="36"/>
      <c r="KP778" s="36"/>
      <c r="KQ778" s="36"/>
      <c r="KR778" s="36"/>
      <c r="KS778" s="36"/>
      <c r="KT778" s="36"/>
      <c r="KU778" s="36"/>
      <c r="KV778" s="36"/>
      <c r="KW778" s="36"/>
      <c r="KX778" s="36"/>
      <c r="KY778" s="36"/>
      <c r="KZ778" s="36"/>
      <c r="LA778" s="36"/>
      <c r="LB778" s="36"/>
      <c r="LC778" s="36"/>
      <c r="LD778" s="36"/>
      <c r="LE778" s="36"/>
      <c r="LF778" s="36"/>
      <c r="LG778" s="36"/>
      <c r="LH778" s="36"/>
      <c r="LI778" s="36"/>
      <c r="LJ778" s="36"/>
      <c r="LK778" s="36"/>
      <c r="LL778" s="36"/>
      <c r="LM778" s="36"/>
      <c r="LN778" s="36"/>
      <c r="LO778" s="36"/>
      <c r="LP778" s="36"/>
      <c r="LQ778" s="36"/>
      <c r="LR778" s="36"/>
      <c r="LS778" s="36"/>
      <c r="LT778" s="36"/>
      <c r="LU778" s="36"/>
      <c r="LV778" s="36"/>
      <c r="LW778" s="36"/>
      <c r="LX778" s="36"/>
      <c r="LY778" s="36"/>
      <c r="LZ778" s="36"/>
      <c r="MA778" s="36"/>
      <c r="MB778" s="36"/>
      <c r="MC778" s="36"/>
      <c r="MD778" s="36"/>
      <c r="ME778" s="36"/>
      <c r="MF778" s="36"/>
      <c r="MG778" s="36"/>
      <c r="MH778" s="36"/>
      <c r="MI778" s="36"/>
      <c r="MJ778" s="36"/>
      <c r="MK778" s="36"/>
      <c r="ML778" s="36"/>
      <c r="MM778" s="36"/>
      <c r="MN778" s="36"/>
      <c r="MO778" s="36"/>
      <c r="MP778" s="36"/>
      <c r="MQ778" s="36"/>
      <c r="MR778" s="36"/>
      <c r="MS778" s="36"/>
      <c r="MT778" s="36"/>
      <c r="MU778" s="36"/>
      <c r="MV778" s="36"/>
      <c r="MW778" s="36"/>
      <c r="MX778" s="36"/>
      <c r="MY778" s="36"/>
      <c r="MZ778" s="36"/>
      <c r="NA778" s="36"/>
      <c r="NB778" s="36"/>
      <c r="NC778" s="36"/>
      <c r="ND778" s="36"/>
      <c r="NE778" s="36"/>
      <c r="NF778" s="36"/>
      <c r="NG778" s="36"/>
      <c r="NH778" s="36"/>
      <c r="NI778" s="36"/>
      <c r="NJ778" s="36"/>
      <c r="NK778" s="36"/>
      <c r="NL778" s="36"/>
      <c r="NM778" s="36"/>
      <c r="NN778" s="36"/>
      <c r="NO778" s="36"/>
      <c r="NP778" s="36"/>
      <c r="NQ778" s="36"/>
      <c r="NR778" s="36"/>
      <c r="NS778" s="36"/>
      <c r="NT778" s="36"/>
      <c r="NU778" s="36"/>
      <c r="NV778" s="36"/>
      <c r="NW778" s="36"/>
      <c r="NX778" s="36"/>
      <c r="NY778" s="36"/>
      <c r="NZ778" s="36"/>
      <c r="OA778" s="36"/>
      <c r="OB778" s="36"/>
      <c r="OC778" s="36"/>
      <c r="OD778" s="36"/>
      <c r="OE778" s="36"/>
      <c r="OF778" s="36"/>
      <c r="OG778" s="36"/>
      <c r="OH778" s="36"/>
      <c r="OI778" s="36"/>
      <c r="OJ778" s="36"/>
      <c r="OK778" s="36"/>
      <c r="OL778" s="36"/>
      <c r="OM778" s="36"/>
      <c r="ON778" s="36"/>
      <c r="OO778" s="36"/>
      <c r="OP778" s="36"/>
      <c r="OQ778" s="36"/>
      <c r="OR778" s="36"/>
      <c r="OS778" s="36"/>
      <c r="OT778" s="36"/>
      <c r="OU778" s="36"/>
      <c r="OV778" s="36"/>
      <c r="OW778" s="36"/>
      <c r="OX778" s="36"/>
      <c r="OY778" s="36"/>
      <c r="OZ778" s="36"/>
      <c r="PA778" s="36"/>
      <c r="PB778" s="36"/>
      <c r="PC778" s="36"/>
      <c r="PD778" s="36"/>
      <c r="PE778" s="36"/>
      <c r="PF778" s="36"/>
      <c r="PG778" s="36"/>
      <c r="PH778" s="36"/>
      <c r="PI778" s="36"/>
      <c r="PJ778" s="36"/>
      <c r="PK778" s="36"/>
      <c r="PL778" s="36"/>
      <c r="PM778" s="36"/>
      <c r="PN778" s="36"/>
      <c r="PO778" s="36"/>
      <c r="PP778" s="36"/>
      <c r="PQ778" s="36"/>
      <c r="PR778" s="36"/>
      <c r="PS778" s="36"/>
      <c r="PT778" s="36"/>
      <c r="PU778" s="36"/>
      <c r="PV778" s="36"/>
      <c r="PW778" s="36"/>
      <c r="PX778" s="36"/>
      <c r="PY778" s="36"/>
      <c r="PZ778" s="36"/>
      <c r="QA778" s="36"/>
      <c r="QB778" s="36"/>
      <c r="QC778" s="36"/>
      <c r="QD778" s="36"/>
      <c r="QE778" s="36"/>
      <c r="QF778" s="36"/>
      <c r="QG778" s="36"/>
      <c r="QH778" s="36"/>
      <c r="QI778" s="36"/>
      <c r="QJ778" s="36"/>
      <c r="QK778" s="36"/>
      <c r="QL778" s="36"/>
      <c r="QM778" s="36"/>
      <c r="QN778" s="36"/>
      <c r="QO778" s="36"/>
      <c r="QP778" s="36"/>
      <c r="QQ778" s="36"/>
      <c r="QR778" s="36"/>
      <c r="QS778" s="36"/>
      <c r="QT778" s="36"/>
      <c r="QU778" s="36"/>
      <c r="QV778" s="36"/>
      <c r="QW778" s="36"/>
      <c r="QX778" s="36"/>
      <c r="QY778" s="36"/>
      <c r="QZ778" s="36"/>
      <c r="RA778" s="36"/>
      <c r="RB778" s="36"/>
      <c r="RC778" s="36"/>
      <c r="RD778" s="36"/>
      <c r="RE778" s="36"/>
      <c r="RF778" s="36"/>
      <c r="RG778" s="36"/>
      <c r="RH778" s="36"/>
      <c r="RI778" s="36"/>
      <c r="RJ778" s="36"/>
      <c r="RK778" s="36"/>
      <c r="RL778" s="36"/>
      <c r="RM778" s="36"/>
      <c r="RN778" s="36"/>
      <c r="RO778" s="36"/>
      <c r="RP778" s="36"/>
      <c r="RQ778" s="36"/>
      <c r="RR778" s="36"/>
      <c r="RS778" s="36"/>
      <c r="RT778" s="36"/>
      <c r="RU778" s="36"/>
      <c r="RV778" s="36"/>
      <c r="RW778" s="36"/>
      <c r="RX778" s="36"/>
      <c r="RY778" s="36"/>
      <c r="RZ778" s="36"/>
      <c r="SA778" s="36"/>
      <c r="SB778" s="36"/>
      <c r="SC778" s="36"/>
      <c r="SD778" s="36"/>
      <c r="SE778" s="36"/>
      <c r="SF778" s="36"/>
      <c r="SG778" s="36"/>
      <c r="SH778" s="36"/>
      <c r="SI778" s="36"/>
      <c r="SJ778" s="36"/>
      <c r="SK778" s="36"/>
      <c r="SL778" s="36"/>
      <c r="SM778" s="36"/>
      <c r="SN778" s="36"/>
      <c r="SO778" s="36"/>
      <c r="SP778" s="36"/>
      <c r="SQ778" s="36"/>
      <c r="SR778" s="36"/>
      <c r="SS778" s="36"/>
      <c r="ST778" s="36"/>
      <c r="SU778" s="36"/>
      <c r="SV778" s="36"/>
      <c r="SW778" s="36"/>
      <c r="SX778" s="36"/>
      <c r="SY778" s="36"/>
      <c r="SZ778" s="36"/>
      <c r="TA778" s="36"/>
      <c r="TB778" s="36"/>
      <c r="TC778" s="36"/>
      <c r="TD778" s="36"/>
      <c r="TE778" s="36"/>
      <c r="TF778" s="36"/>
      <c r="TG778" s="36"/>
      <c r="TH778" s="36"/>
      <c r="TI778" s="36"/>
      <c r="TJ778" s="36"/>
      <c r="TK778" s="36"/>
      <c r="TL778" s="36"/>
      <c r="TM778" s="36"/>
      <c r="TN778" s="36"/>
      <c r="TO778" s="36"/>
      <c r="TP778" s="36"/>
      <c r="TQ778" s="36"/>
      <c r="TR778" s="36"/>
      <c r="TS778" s="36"/>
      <c r="TT778" s="36"/>
      <c r="TU778" s="36"/>
      <c r="TV778" s="36"/>
      <c r="TW778" s="36"/>
      <c r="TX778" s="36"/>
      <c r="TY778" s="36"/>
      <c r="TZ778" s="36"/>
      <c r="UA778" s="36"/>
      <c r="UB778" s="36"/>
      <c r="UC778" s="36"/>
      <c r="UD778" s="36"/>
      <c r="UE778" s="36"/>
      <c r="UF778" s="36"/>
      <c r="UG778" s="37"/>
    </row>
    <row r="779" spans="1:553" s="1262" customFormat="1" ht="30.75" customHeight="1">
      <c r="A779" s="356"/>
      <c r="B779" s="356"/>
      <c r="C779" s="390" t="s">
        <v>520</v>
      </c>
      <c r="D779" s="418">
        <v>2</v>
      </c>
      <c r="E779" s="418">
        <v>475</v>
      </c>
      <c r="F779" s="619"/>
      <c r="G779" s="418" t="s">
        <v>196</v>
      </c>
      <c r="H779" s="359"/>
      <c r="I779" s="794">
        <f>(157.21*100/1100)*(12-(3-2))*2</f>
        <v>314.41999999999996</v>
      </c>
      <c r="J779" s="368">
        <v>15400</v>
      </c>
      <c r="K779" s="647">
        <v>0.7</v>
      </c>
      <c r="L779" s="646">
        <f>ROUND(PRODUCT(I779:K779),0)</f>
        <v>3389448</v>
      </c>
      <c r="M779" s="356"/>
      <c r="N779" s="356"/>
      <c r="O779" s="356"/>
      <c r="P779" s="356"/>
      <c r="Q779" s="610"/>
      <c r="R779" s="1452"/>
      <c r="S779" s="308"/>
      <c r="T779" s="308"/>
      <c r="U779" s="308"/>
      <c r="V779" s="308"/>
      <c r="W779" s="308"/>
      <c r="X779" s="308"/>
      <c r="Y779" s="308"/>
      <c r="Z779" s="604"/>
      <c r="AA779" s="308"/>
      <c r="AB779" s="308"/>
      <c r="AC779" s="454"/>
      <c r="AD779" s="454"/>
      <c r="AE779" s="454"/>
      <c r="AF779" s="454"/>
      <c r="AG779" s="454"/>
      <c r="AH779" s="454"/>
      <c r="AI779" s="454"/>
      <c r="AJ779" s="454"/>
      <c r="AK779" s="455"/>
      <c r="AL779" s="1263"/>
      <c r="AM779" s="1283"/>
      <c r="AN779" s="1283"/>
      <c r="AO779" s="1283"/>
      <c r="AP779" s="1283"/>
      <c r="AQ779" s="1283"/>
      <c r="AR779" s="1283"/>
      <c r="AS779" s="1284"/>
      <c r="AT779" s="1284"/>
      <c r="AU779" s="1284"/>
      <c r="AV779" s="1284"/>
      <c r="AW779" s="1284"/>
      <c r="AX779" s="1284"/>
      <c r="AY779" s="1284"/>
      <c r="AZ779" s="1284"/>
      <c r="BA779" s="1284"/>
      <c r="BB779" s="1284"/>
      <c r="BC779" s="1284"/>
      <c r="BD779" s="1284"/>
      <c r="BE779" s="1284"/>
      <c r="BF779" s="1284"/>
      <c r="BG779" s="1284"/>
      <c r="BH779" s="1284"/>
      <c r="BI779" s="1284"/>
      <c r="BJ779" s="1284"/>
      <c r="BK779" s="1284"/>
      <c r="BL779" s="1284"/>
      <c r="BM779" s="1284"/>
      <c r="BN779" s="1284"/>
      <c r="BO779" s="1284"/>
      <c r="BP779" s="1285"/>
      <c r="BQ779" s="1285"/>
      <c r="BR779" s="1285"/>
      <c r="BS779" s="1285"/>
      <c r="BT779" s="1285"/>
      <c r="BU779" s="1285"/>
      <c r="BV779" s="1285"/>
      <c r="BW779" s="1285"/>
      <c r="BX779" s="1285"/>
      <c r="BY779" s="1285"/>
      <c r="BZ779" s="1285"/>
      <c r="CA779" s="1285"/>
      <c r="CB779" s="1285"/>
      <c r="CC779" s="1285"/>
      <c r="CD779" s="1285"/>
      <c r="CE779" s="1285"/>
      <c r="CF779" s="1285"/>
      <c r="CG779" s="1285"/>
      <c r="CH779" s="1285"/>
      <c r="CI779" s="1285"/>
      <c r="CJ779" s="1285"/>
      <c r="CK779" s="1285"/>
      <c r="CL779" s="1285"/>
      <c r="CM779" s="1285"/>
      <c r="CN779" s="1285"/>
      <c r="CO779" s="1285"/>
      <c r="CP779" s="1285"/>
      <c r="CQ779" s="1285"/>
      <c r="CR779" s="1285"/>
      <c r="CS779" s="1285"/>
      <c r="CT779" s="1285"/>
      <c r="CU779" s="1285"/>
      <c r="CV779" s="1285"/>
      <c r="CW779" s="1285"/>
      <c r="CX779" s="1285"/>
      <c r="CY779" s="1285"/>
      <c r="CZ779" s="1285"/>
      <c r="DA779" s="1285"/>
      <c r="DB779" s="1285"/>
      <c r="DC779" s="1285"/>
      <c r="DD779" s="1285"/>
      <c r="DE779" s="1285"/>
      <c r="DF779" s="1285"/>
      <c r="DG779" s="1285"/>
      <c r="DH779" s="1285"/>
      <c r="DI779" s="1285"/>
      <c r="DJ779" s="1285"/>
      <c r="DK779" s="1285"/>
      <c r="DL779" s="1285"/>
      <c r="DM779" s="1285"/>
      <c r="DN779" s="1285"/>
      <c r="DO779" s="1285"/>
      <c r="DP779" s="1285"/>
      <c r="DQ779" s="1285"/>
      <c r="DR779" s="1285"/>
      <c r="DS779" s="1285"/>
      <c r="DT779" s="1285"/>
      <c r="DU779" s="1285"/>
      <c r="DV779" s="1285"/>
      <c r="DW779" s="1285"/>
      <c r="DX779" s="1285"/>
      <c r="DY779" s="1285"/>
      <c r="DZ779" s="1285"/>
      <c r="EA779" s="1285"/>
      <c r="EB779" s="1285"/>
      <c r="EC779" s="1285"/>
      <c r="ED779" s="1285"/>
      <c r="EE779" s="1285"/>
      <c r="EF779" s="1285"/>
      <c r="EG779" s="1285"/>
      <c r="EH779" s="1285"/>
      <c r="EI779" s="1285"/>
      <c r="EJ779" s="1285"/>
      <c r="EK779" s="1285"/>
      <c r="EL779" s="1285"/>
      <c r="EM779" s="1285"/>
      <c r="EN779" s="1285"/>
      <c r="EO779" s="1285"/>
      <c r="EP779" s="1285"/>
      <c r="EQ779" s="1285"/>
      <c r="ER779" s="1285"/>
      <c r="ES779" s="1285"/>
      <c r="ET779" s="1285"/>
      <c r="EU779" s="1285"/>
      <c r="EV779" s="1285"/>
      <c r="EW779" s="1285"/>
      <c r="EX779" s="1285"/>
      <c r="EY779" s="1285"/>
      <c r="EZ779" s="1285"/>
      <c r="FA779" s="1285"/>
      <c r="FB779" s="1285"/>
      <c r="FC779" s="1285"/>
      <c r="FD779" s="1285"/>
      <c r="FE779" s="1285"/>
      <c r="FF779" s="1285"/>
      <c r="FG779" s="1285"/>
      <c r="FH779" s="1285"/>
      <c r="FI779" s="1285"/>
      <c r="FJ779" s="1285"/>
      <c r="FK779" s="1285"/>
      <c r="FL779" s="1285"/>
      <c r="FM779" s="1285"/>
      <c r="FN779" s="1285"/>
      <c r="FO779" s="1285"/>
      <c r="FP779" s="1285"/>
      <c r="FQ779" s="1285"/>
      <c r="FR779" s="1285"/>
      <c r="FS779" s="1285"/>
      <c r="FT779" s="1285"/>
      <c r="FU779" s="1285"/>
      <c r="FV779" s="1285"/>
      <c r="FW779" s="1285"/>
      <c r="FX779" s="1285"/>
      <c r="FY779" s="1285"/>
      <c r="FZ779" s="1285"/>
      <c r="GA779" s="1285"/>
      <c r="GB779" s="1285"/>
      <c r="GC779" s="1285"/>
      <c r="GD779" s="1285"/>
      <c r="GE779" s="1285"/>
      <c r="GF779" s="1285"/>
      <c r="GG779" s="1285"/>
      <c r="GH779" s="1285"/>
      <c r="GI779" s="1285"/>
      <c r="GJ779" s="1285"/>
      <c r="GK779" s="1285"/>
      <c r="GL779" s="1285"/>
      <c r="GM779" s="1285"/>
      <c r="GN779" s="1285"/>
      <c r="GO779" s="1285"/>
      <c r="GP779" s="1285"/>
      <c r="GQ779" s="1285"/>
      <c r="GR779" s="1285"/>
      <c r="GS779" s="1285"/>
      <c r="GT779" s="1285"/>
      <c r="GU779" s="1285"/>
      <c r="GV779" s="1285"/>
      <c r="GW779" s="1285"/>
      <c r="GX779" s="1285"/>
      <c r="GY779" s="1285"/>
      <c r="GZ779" s="1285"/>
      <c r="HA779" s="1285"/>
      <c r="HB779" s="1285"/>
      <c r="HC779" s="1285"/>
      <c r="HD779" s="1285"/>
      <c r="HE779" s="1285"/>
      <c r="HF779" s="1285"/>
      <c r="HG779" s="1285"/>
      <c r="HH779" s="1285"/>
      <c r="HI779" s="1285"/>
      <c r="HJ779" s="1285"/>
      <c r="HK779" s="1285"/>
      <c r="HL779" s="1285"/>
      <c r="HM779" s="1285"/>
      <c r="HN779" s="1285"/>
      <c r="HO779" s="1285"/>
      <c r="HP779" s="1285"/>
      <c r="HQ779" s="1285"/>
      <c r="HR779" s="1285"/>
      <c r="HS779" s="1285"/>
      <c r="HT779" s="1285"/>
      <c r="HU779" s="1285"/>
      <c r="HV779" s="1285"/>
      <c r="HW779" s="1285"/>
      <c r="HX779" s="1285"/>
      <c r="HY779" s="1285"/>
      <c r="HZ779" s="1285"/>
      <c r="IA779" s="1285"/>
      <c r="IB779" s="1285"/>
      <c r="IC779" s="1285"/>
      <c r="ID779" s="1285"/>
      <c r="IE779" s="1285"/>
      <c r="IF779" s="1285"/>
      <c r="IG779" s="1285"/>
      <c r="IH779" s="1285"/>
      <c r="II779" s="1285"/>
      <c r="IJ779" s="1285"/>
      <c r="IK779" s="1285"/>
      <c r="IL779" s="1285"/>
      <c r="IM779" s="1285"/>
      <c r="IN779" s="1285"/>
      <c r="IO779" s="1285"/>
      <c r="IP779" s="1285"/>
      <c r="IQ779" s="1285"/>
      <c r="IR779" s="1285"/>
      <c r="IS779" s="1285"/>
      <c r="IT779" s="1285"/>
      <c r="IU779" s="1285"/>
      <c r="IV779" s="1285"/>
      <c r="IW779" s="1285"/>
      <c r="IX779" s="1285"/>
      <c r="IY779" s="1285"/>
      <c r="IZ779" s="1285"/>
      <c r="JA779" s="1285"/>
      <c r="JB779" s="1285"/>
      <c r="JC779" s="1285"/>
      <c r="JD779" s="1285"/>
      <c r="JE779" s="1285"/>
      <c r="JF779" s="1285"/>
      <c r="JG779" s="1285"/>
      <c r="JH779" s="1285"/>
      <c r="JI779" s="1285"/>
      <c r="JJ779" s="1285"/>
      <c r="JK779" s="1285"/>
      <c r="JL779" s="1285"/>
      <c r="JM779" s="1285"/>
      <c r="JN779" s="1285"/>
      <c r="JO779" s="1285"/>
      <c r="JP779" s="1285"/>
      <c r="JQ779" s="1285"/>
      <c r="JR779" s="1285"/>
      <c r="JS779" s="1285"/>
      <c r="JT779" s="1285"/>
      <c r="JU779" s="1285"/>
      <c r="JV779" s="1285"/>
      <c r="JW779" s="1285"/>
      <c r="JX779" s="1285"/>
      <c r="JY779" s="1285"/>
      <c r="JZ779" s="1285"/>
      <c r="KA779" s="1285"/>
      <c r="KB779" s="1285"/>
      <c r="KC779" s="1285"/>
      <c r="KD779" s="1285"/>
      <c r="KE779" s="1285"/>
      <c r="KF779" s="1285"/>
      <c r="KG779" s="1285"/>
      <c r="KH779" s="1285"/>
      <c r="KI779" s="1285"/>
      <c r="KJ779" s="1285"/>
      <c r="KK779" s="1285"/>
      <c r="KL779" s="1285"/>
      <c r="KM779" s="1285"/>
      <c r="KN779" s="1285"/>
      <c r="KO779" s="1285"/>
      <c r="KP779" s="1285"/>
      <c r="KQ779" s="1285"/>
      <c r="KR779" s="1285"/>
      <c r="KS779" s="1285"/>
      <c r="KT779" s="1285"/>
      <c r="KU779" s="1285"/>
      <c r="KV779" s="1285"/>
      <c r="KW779" s="1285"/>
      <c r="KX779" s="1285"/>
      <c r="KY779" s="1285"/>
      <c r="KZ779" s="1285"/>
      <c r="LA779" s="1285"/>
      <c r="LB779" s="1285"/>
      <c r="LC779" s="1285"/>
      <c r="LD779" s="1285"/>
      <c r="LE779" s="1285"/>
      <c r="LF779" s="1285"/>
      <c r="LG779" s="1285"/>
      <c r="LH779" s="1285"/>
      <c r="LI779" s="1285"/>
      <c r="LJ779" s="1285"/>
      <c r="LK779" s="1285"/>
      <c r="LL779" s="1285"/>
      <c r="LM779" s="1285"/>
      <c r="LN779" s="1285"/>
      <c r="LO779" s="1285"/>
      <c r="LP779" s="1285"/>
      <c r="LQ779" s="1285"/>
      <c r="LR779" s="1285"/>
      <c r="LS779" s="1285"/>
      <c r="LT779" s="1285"/>
      <c r="LU779" s="1285"/>
      <c r="LV779" s="1285"/>
      <c r="LW779" s="1285"/>
      <c r="LX779" s="1285"/>
      <c r="LY779" s="1285"/>
      <c r="LZ779" s="1285"/>
      <c r="MA779" s="1285"/>
      <c r="MB779" s="1285"/>
      <c r="MC779" s="1285"/>
      <c r="MD779" s="1285"/>
      <c r="ME779" s="1285"/>
      <c r="MF779" s="1285"/>
      <c r="MG779" s="1285"/>
      <c r="MH779" s="1285"/>
      <c r="MI779" s="1285"/>
      <c r="MJ779" s="1285"/>
      <c r="MK779" s="1285"/>
      <c r="ML779" s="1285"/>
      <c r="MM779" s="1285"/>
      <c r="MN779" s="1285"/>
      <c r="MO779" s="1285"/>
      <c r="MP779" s="1285"/>
      <c r="MQ779" s="1285"/>
      <c r="MR779" s="1285"/>
      <c r="MS779" s="1285"/>
      <c r="MT779" s="1285"/>
      <c r="MU779" s="1285"/>
      <c r="MV779" s="1285"/>
      <c r="MW779" s="1285"/>
      <c r="MX779" s="1285"/>
      <c r="MY779" s="1285"/>
      <c r="MZ779" s="1285"/>
      <c r="NA779" s="1285"/>
      <c r="NB779" s="1285"/>
      <c r="NC779" s="1285"/>
      <c r="ND779" s="1285"/>
      <c r="NE779" s="1285"/>
      <c r="NF779" s="1285"/>
      <c r="NG779" s="1285"/>
      <c r="NH779" s="1285"/>
      <c r="NI779" s="1285"/>
      <c r="NJ779" s="1285"/>
      <c r="NK779" s="1285"/>
      <c r="NL779" s="1285"/>
      <c r="NM779" s="1285"/>
      <c r="NN779" s="1285"/>
      <c r="NO779" s="1285"/>
      <c r="NP779" s="1285"/>
      <c r="NQ779" s="1285"/>
      <c r="NR779" s="1285"/>
      <c r="NS779" s="1285"/>
      <c r="NT779" s="1285"/>
      <c r="NU779" s="1285"/>
      <c r="NV779" s="1285"/>
      <c r="NW779" s="1285"/>
      <c r="NX779" s="1285"/>
      <c r="NY779" s="1285"/>
      <c r="NZ779" s="1285"/>
      <c r="OA779" s="1285"/>
      <c r="OB779" s="1285"/>
      <c r="OC779" s="1285"/>
      <c r="OD779" s="1285"/>
      <c r="OE779" s="1285"/>
      <c r="OF779" s="1285"/>
      <c r="OG779" s="1285"/>
      <c r="OH779" s="1285"/>
      <c r="OI779" s="1285"/>
      <c r="OJ779" s="1285"/>
      <c r="OK779" s="1285"/>
      <c r="OL779" s="1285"/>
      <c r="OM779" s="1285"/>
      <c r="ON779" s="1285"/>
      <c r="OO779" s="1285"/>
      <c r="OP779" s="1285"/>
      <c r="OQ779" s="1285"/>
      <c r="OR779" s="1285"/>
      <c r="OS779" s="1285"/>
      <c r="OT779" s="1285"/>
      <c r="OU779" s="1285"/>
      <c r="OV779" s="1285"/>
      <c r="OW779" s="1285"/>
      <c r="OX779" s="1285"/>
      <c r="OY779" s="1285"/>
      <c r="OZ779" s="1285"/>
      <c r="PA779" s="1285"/>
      <c r="PB779" s="1285"/>
      <c r="PC779" s="1285"/>
      <c r="PD779" s="1285"/>
      <c r="PE779" s="1285"/>
      <c r="PF779" s="1285"/>
      <c r="PG779" s="1285"/>
      <c r="PH779" s="1285"/>
      <c r="PI779" s="1285"/>
      <c r="PJ779" s="1285"/>
      <c r="PK779" s="1285"/>
      <c r="PL779" s="1285"/>
      <c r="PM779" s="1285"/>
      <c r="PN779" s="1285"/>
      <c r="PO779" s="1285"/>
      <c r="PP779" s="1285"/>
      <c r="PQ779" s="1285"/>
      <c r="PR779" s="1285"/>
      <c r="PS779" s="1285"/>
      <c r="PT779" s="1285"/>
      <c r="PU779" s="1285"/>
      <c r="PV779" s="1285"/>
      <c r="PW779" s="1285"/>
      <c r="PX779" s="1285"/>
      <c r="PY779" s="1285"/>
      <c r="PZ779" s="1285"/>
      <c r="QA779" s="1285"/>
      <c r="QB779" s="1285"/>
      <c r="QC779" s="1285"/>
      <c r="QD779" s="1285"/>
      <c r="QE779" s="1285"/>
      <c r="QF779" s="1285"/>
      <c r="QG779" s="1285"/>
      <c r="QH779" s="1285"/>
      <c r="QI779" s="1285"/>
      <c r="QJ779" s="1285"/>
      <c r="QK779" s="1285"/>
      <c r="QL779" s="1285"/>
      <c r="QM779" s="1285"/>
      <c r="QN779" s="1285"/>
      <c r="QO779" s="1285"/>
      <c r="QP779" s="1285"/>
      <c r="QQ779" s="1285"/>
      <c r="QR779" s="1285"/>
      <c r="QS779" s="1285"/>
      <c r="QT779" s="1285"/>
      <c r="QU779" s="1285"/>
      <c r="QV779" s="1285"/>
      <c r="QW779" s="1285"/>
      <c r="QX779" s="1285"/>
      <c r="QY779" s="1285"/>
      <c r="QZ779" s="1285"/>
      <c r="RA779" s="1285"/>
      <c r="RB779" s="1285"/>
      <c r="RC779" s="1285"/>
      <c r="RD779" s="1285"/>
      <c r="RE779" s="1285"/>
      <c r="RF779" s="1285"/>
      <c r="RG779" s="1285"/>
      <c r="RH779" s="1285"/>
      <c r="RI779" s="1285"/>
      <c r="RJ779" s="1285"/>
      <c r="RK779" s="1285"/>
      <c r="RL779" s="1285"/>
      <c r="RM779" s="1285"/>
      <c r="RN779" s="1285"/>
      <c r="RO779" s="1285"/>
      <c r="RP779" s="1285"/>
      <c r="RQ779" s="1285"/>
      <c r="RR779" s="1285"/>
      <c r="RS779" s="1285"/>
      <c r="RT779" s="1285"/>
      <c r="RU779" s="1285"/>
      <c r="RV779" s="1285"/>
      <c r="RW779" s="1285"/>
      <c r="RX779" s="1285"/>
      <c r="RY779" s="1285"/>
      <c r="RZ779" s="1285"/>
      <c r="SA779" s="1285"/>
      <c r="SB779" s="1285"/>
      <c r="SC779" s="1285"/>
      <c r="SD779" s="1285"/>
      <c r="SE779" s="1285"/>
      <c r="SF779" s="1285"/>
      <c r="SG779" s="1285"/>
      <c r="SH779" s="1285"/>
      <c r="SI779" s="1285"/>
      <c r="SJ779" s="1285"/>
      <c r="SK779" s="1285"/>
      <c r="SL779" s="1285"/>
      <c r="SM779" s="1285"/>
      <c r="SN779" s="1285"/>
      <c r="SO779" s="1285"/>
      <c r="SP779" s="1285"/>
      <c r="SQ779" s="1285"/>
      <c r="SR779" s="1285"/>
      <c r="SS779" s="1285"/>
      <c r="ST779" s="1285"/>
      <c r="SU779" s="1285"/>
      <c r="SV779" s="1285"/>
      <c r="SW779" s="1285"/>
      <c r="SX779" s="1285"/>
      <c r="SY779" s="1285"/>
      <c r="SZ779" s="1285"/>
      <c r="TA779" s="1285"/>
      <c r="TB779" s="1285"/>
      <c r="TC779" s="1285"/>
      <c r="TD779" s="1285"/>
      <c r="TE779" s="1285"/>
      <c r="TF779" s="1285"/>
      <c r="TG779" s="1285"/>
      <c r="TH779" s="1285"/>
      <c r="TI779" s="1285"/>
      <c r="TJ779" s="1285"/>
      <c r="TK779" s="1285"/>
      <c r="TL779" s="1285"/>
      <c r="TM779" s="1285"/>
      <c r="TN779" s="1285"/>
      <c r="TO779" s="1285"/>
      <c r="TP779" s="1285"/>
      <c r="TQ779" s="1285"/>
      <c r="TR779" s="1285"/>
      <c r="TS779" s="1285"/>
      <c r="TT779" s="1285"/>
      <c r="TU779" s="1285"/>
      <c r="TV779" s="1285"/>
      <c r="TW779" s="1285"/>
      <c r="TX779" s="1285"/>
      <c r="TY779" s="1285"/>
      <c r="TZ779" s="1285"/>
      <c r="UA779" s="1285"/>
      <c r="UB779" s="1285"/>
      <c r="UC779" s="1285"/>
      <c r="UD779" s="1285"/>
      <c r="UE779" s="1285"/>
      <c r="UF779" s="1285"/>
      <c r="UG779" s="1266"/>
    </row>
    <row r="780" spans="1:553" s="1262" customFormat="1" ht="30.75" customHeight="1">
      <c r="A780" s="356"/>
      <c r="B780" s="356"/>
      <c r="C780" s="390" t="s">
        <v>460</v>
      </c>
      <c r="D780" s="418">
        <v>2</v>
      </c>
      <c r="E780" s="418">
        <v>475</v>
      </c>
      <c r="F780" s="619"/>
      <c r="G780" s="418" t="s">
        <v>196</v>
      </c>
      <c r="H780" s="359"/>
      <c r="I780" s="794">
        <f>(157.21*100/1100)*(12-(4-2))*2</f>
        <v>285.83636363636361</v>
      </c>
      <c r="J780" s="368">
        <v>15400</v>
      </c>
      <c r="K780" s="647">
        <v>0.7</v>
      </c>
      <c r="L780" s="646">
        <f>ROUND(PRODUCT(I780:K780),0)</f>
        <v>3081316</v>
      </c>
      <c r="M780" s="356"/>
      <c r="N780" s="356"/>
      <c r="O780" s="356"/>
      <c r="P780" s="356"/>
      <c r="Q780" s="610"/>
      <c r="R780" s="1452"/>
      <c r="S780" s="308"/>
      <c r="T780" s="308"/>
      <c r="U780" s="308"/>
      <c r="V780" s="308"/>
      <c r="W780" s="308"/>
      <c r="X780" s="308"/>
      <c r="Y780" s="308"/>
      <c r="Z780" s="604"/>
      <c r="AA780" s="308"/>
      <c r="AB780" s="308"/>
      <c r="AC780" s="454"/>
      <c r="AD780" s="454"/>
      <c r="AE780" s="454"/>
      <c r="AF780" s="454"/>
      <c r="AG780" s="454"/>
      <c r="AH780" s="454"/>
      <c r="AI780" s="454"/>
      <c r="AJ780" s="454"/>
      <c r="AK780" s="455"/>
      <c r="AL780" s="1263"/>
      <c r="AM780" s="1283"/>
      <c r="AN780" s="1283"/>
      <c r="AO780" s="1283"/>
      <c r="AP780" s="1283"/>
      <c r="AQ780" s="1283"/>
      <c r="AR780" s="1283"/>
      <c r="AS780" s="1284"/>
      <c r="AT780" s="1284"/>
      <c r="AU780" s="1284"/>
      <c r="AV780" s="1284"/>
      <c r="AW780" s="1284"/>
      <c r="AX780" s="1284"/>
      <c r="AY780" s="1284"/>
      <c r="AZ780" s="1284"/>
      <c r="BA780" s="1284"/>
      <c r="BB780" s="1284"/>
      <c r="BC780" s="1284"/>
      <c r="BD780" s="1284"/>
      <c r="BE780" s="1284"/>
      <c r="BF780" s="1284"/>
      <c r="BG780" s="1284"/>
      <c r="BH780" s="1284"/>
      <c r="BI780" s="1284"/>
      <c r="BJ780" s="1284"/>
      <c r="BK780" s="1284"/>
      <c r="BL780" s="1284"/>
      <c r="BM780" s="1284"/>
      <c r="BN780" s="1284"/>
      <c r="BO780" s="1284"/>
      <c r="BP780" s="1285"/>
      <c r="BQ780" s="1285"/>
      <c r="BR780" s="1285"/>
      <c r="BS780" s="1285"/>
      <c r="BT780" s="1285"/>
      <c r="BU780" s="1285"/>
      <c r="BV780" s="1285"/>
      <c r="BW780" s="1285"/>
      <c r="BX780" s="1285"/>
      <c r="BY780" s="1285"/>
      <c r="BZ780" s="1285"/>
      <c r="CA780" s="1285"/>
      <c r="CB780" s="1285"/>
      <c r="CC780" s="1285"/>
      <c r="CD780" s="1285"/>
      <c r="CE780" s="1285"/>
      <c r="CF780" s="1285"/>
      <c r="CG780" s="1285"/>
      <c r="CH780" s="1285"/>
      <c r="CI780" s="1285"/>
      <c r="CJ780" s="1285"/>
      <c r="CK780" s="1285"/>
      <c r="CL780" s="1285"/>
      <c r="CM780" s="1285"/>
      <c r="CN780" s="1285"/>
      <c r="CO780" s="1285"/>
      <c r="CP780" s="1285"/>
      <c r="CQ780" s="1285"/>
      <c r="CR780" s="1285"/>
      <c r="CS780" s="1285"/>
      <c r="CT780" s="1285"/>
      <c r="CU780" s="1285"/>
      <c r="CV780" s="1285"/>
      <c r="CW780" s="1285"/>
      <c r="CX780" s="1285"/>
      <c r="CY780" s="1285"/>
      <c r="CZ780" s="1285"/>
      <c r="DA780" s="1285"/>
      <c r="DB780" s="1285"/>
      <c r="DC780" s="1285"/>
      <c r="DD780" s="1285"/>
      <c r="DE780" s="1285"/>
      <c r="DF780" s="1285"/>
      <c r="DG780" s="1285"/>
      <c r="DH780" s="1285"/>
      <c r="DI780" s="1285"/>
      <c r="DJ780" s="1285"/>
      <c r="DK780" s="1285"/>
      <c r="DL780" s="1285"/>
      <c r="DM780" s="1285"/>
      <c r="DN780" s="1285"/>
      <c r="DO780" s="1285"/>
      <c r="DP780" s="1285"/>
      <c r="DQ780" s="1285"/>
      <c r="DR780" s="1285"/>
      <c r="DS780" s="1285"/>
      <c r="DT780" s="1285"/>
      <c r="DU780" s="1285"/>
      <c r="DV780" s="1285"/>
      <c r="DW780" s="1285"/>
      <c r="DX780" s="1285"/>
      <c r="DY780" s="1285"/>
      <c r="DZ780" s="1285"/>
      <c r="EA780" s="1285"/>
      <c r="EB780" s="1285"/>
      <c r="EC780" s="1285"/>
      <c r="ED780" s="1285"/>
      <c r="EE780" s="1285"/>
      <c r="EF780" s="1285"/>
      <c r="EG780" s="1285"/>
      <c r="EH780" s="1285"/>
      <c r="EI780" s="1285"/>
      <c r="EJ780" s="1285"/>
      <c r="EK780" s="1285"/>
      <c r="EL780" s="1285"/>
      <c r="EM780" s="1285"/>
      <c r="EN780" s="1285"/>
      <c r="EO780" s="1285"/>
      <c r="EP780" s="1285"/>
      <c r="EQ780" s="1285"/>
      <c r="ER780" s="1285"/>
      <c r="ES780" s="1285"/>
      <c r="ET780" s="1285"/>
      <c r="EU780" s="1285"/>
      <c r="EV780" s="1285"/>
      <c r="EW780" s="1285"/>
      <c r="EX780" s="1285"/>
      <c r="EY780" s="1285"/>
      <c r="EZ780" s="1285"/>
      <c r="FA780" s="1285"/>
      <c r="FB780" s="1285"/>
      <c r="FC780" s="1285"/>
      <c r="FD780" s="1285"/>
      <c r="FE780" s="1285"/>
      <c r="FF780" s="1285"/>
      <c r="FG780" s="1285"/>
      <c r="FH780" s="1285"/>
      <c r="FI780" s="1285"/>
      <c r="FJ780" s="1285"/>
      <c r="FK780" s="1285"/>
      <c r="FL780" s="1285"/>
      <c r="FM780" s="1285"/>
      <c r="FN780" s="1285"/>
      <c r="FO780" s="1285"/>
      <c r="FP780" s="1285"/>
      <c r="FQ780" s="1285"/>
      <c r="FR780" s="1285"/>
      <c r="FS780" s="1285"/>
      <c r="FT780" s="1285"/>
      <c r="FU780" s="1285"/>
      <c r="FV780" s="1285"/>
      <c r="FW780" s="1285"/>
      <c r="FX780" s="1285"/>
      <c r="FY780" s="1285"/>
      <c r="FZ780" s="1285"/>
      <c r="GA780" s="1285"/>
      <c r="GB780" s="1285"/>
      <c r="GC780" s="1285"/>
      <c r="GD780" s="1285"/>
      <c r="GE780" s="1285"/>
      <c r="GF780" s="1285"/>
      <c r="GG780" s="1285"/>
      <c r="GH780" s="1285"/>
      <c r="GI780" s="1285"/>
      <c r="GJ780" s="1285"/>
      <c r="GK780" s="1285"/>
      <c r="GL780" s="1285"/>
      <c r="GM780" s="1285"/>
      <c r="GN780" s="1285"/>
      <c r="GO780" s="1285"/>
      <c r="GP780" s="1285"/>
      <c r="GQ780" s="1285"/>
      <c r="GR780" s="1285"/>
      <c r="GS780" s="1285"/>
      <c r="GT780" s="1285"/>
      <c r="GU780" s="1285"/>
      <c r="GV780" s="1285"/>
      <c r="GW780" s="1285"/>
      <c r="GX780" s="1285"/>
      <c r="GY780" s="1285"/>
      <c r="GZ780" s="1285"/>
      <c r="HA780" s="1285"/>
      <c r="HB780" s="1285"/>
      <c r="HC780" s="1285"/>
      <c r="HD780" s="1285"/>
      <c r="HE780" s="1285"/>
      <c r="HF780" s="1285"/>
      <c r="HG780" s="1285"/>
      <c r="HH780" s="1285"/>
      <c r="HI780" s="1285"/>
      <c r="HJ780" s="1285"/>
      <c r="HK780" s="1285"/>
      <c r="HL780" s="1285"/>
      <c r="HM780" s="1285"/>
      <c r="HN780" s="1285"/>
      <c r="HO780" s="1285"/>
      <c r="HP780" s="1285"/>
      <c r="HQ780" s="1285"/>
      <c r="HR780" s="1285"/>
      <c r="HS780" s="1285"/>
      <c r="HT780" s="1285"/>
      <c r="HU780" s="1285"/>
      <c r="HV780" s="1285"/>
      <c r="HW780" s="1285"/>
      <c r="HX780" s="1285"/>
      <c r="HY780" s="1285"/>
      <c r="HZ780" s="1285"/>
      <c r="IA780" s="1285"/>
      <c r="IB780" s="1285"/>
      <c r="IC780" s="1285"/>
      <c r="ID780" s="1285"/>
      <c r="IE780" s="1285"/>
      <c r="IF780" s="1285"/>
      <c r="IG780" s="1285"/>
      <c r="IH780" s="1285"/>
      <c r="II780" s="1285"/>
      <c r="IJ780" s="1285"/>
      <c r="IK780" s="1285"/>
      <c r="IL780" s="1285"/>
      <c r="IM780" s="1285"/>
      <c r="IN780" s="1285"/>
      <c r="IO780" s="1285"/>
      <c r="IP780" s="1285"/>
      <c r="IQ780" s="1285"/>
      <c r="IR780" s="1285"/>
      <c r="IS780" s="1285"/>
      <c r="IT780" s="1285"/>
      <c r="IU780" s="1285"/>
      <c r="IV780" s="1285"/>
      <c r="IW780" s="1285"/>
      <c r="IX780" s="1285"/>
      <c r="IY780" s="1285"/>
      <c r="IZ780" s="1285"/>
      <c r="JA780" s="1285"/>
      <c r="JB780" s="1285"/>
      <c r="JC780" s="1285"/>
      <c r="JD780" s="1285"/>
      <c r="JE780" s="1285"/>
      <c r="JF780" s="1285"/>
      <c r="JG780" s="1285"/>
      <c r="JH780" s="1285"/>
      <c r="JI780" s="1285"/>
      <c r="JJ780" s="1285"/>
      <c r="JK780" s="1285"/>
      <c r="JL780" s="1285"/>
      <c r="JM780" s="1285"/>
      <c r="JN780" s="1285"/>
      <c r="JO780" s="1285"/>
      <c r="JP780" s="1285"/>
      <c r="JQ780" s="1285"/>
      <c r="JR780" s="1285"/>
      <c r="JS780" s="1285"/>
      <c r="JT780" s="1285"/>
      <c r="JU780" s="1285"/>
      <c r="JV780" s="1285"/>
      <c r="JW780" s="1285"/>
      <c r="JX780" s="1285"/>
      <c r="JY780" s="1285"/>
      <c r="JZ780" s="1285"/>
      <c r="KA780" s="1285"/>
      <c r="KB780" s="1285"/>
      <c r="KC780" s="1285"/>
      <c r="KD780" s="1285"/>
      <c r="KE780" s="1285"/>
      <c r="KF780" s="1285"/>
      <c r="KG780" s="1285"/>
      <c r="KH780" s="1285"/>
      <c r="KI780" s="1285"/>
      <c r="KJ780" s="1285"/>
      <c r="KK780" s="1285"/>
      <c r="KL780" s="1285"/>
      <c r="KM780" s="1285"/>
      <c r="KN780" s="1285"/>
      <c r="KO780" s="1285"/>
      <c r="KP780" s="1285"/>
      <c r="KQ780" s="1285"/>
      <c r="KR780" s="1285"/>
      <c r="KS780" s="1285"/>
      <c r="KT780" s="1285"/>
      <c r="KU780" s="1285"/>
      <c r="KV780" s="1285"/>
      <c r="KW780" s="1285"/>
      <c r="KX780" s="1285"/>
      <c r="KY780" s="1285"/>
      <c r="KZ780" s="1285"/>
      <c r="LA780" s="1285"/>
      <c r="LB780" s="1285"/>
      <c r="LC780" s="1285"/>
      <c r="LD780" s="1285"/>
      <c r="LE780" s="1285"/>
      <c r="LF780" s="1285"/>
      <c r="LG780" s="1285"/>
      <c r="LH780" s="1285"/>
      <c r="LI780" s="1285"/>
      <c r="LJ780" s="1285"/>
      <c r="LK780" s="1285"/>
      <c r="LL780" s="1285"/>
      <c r="LM780" s="1285"/>
      <c r="LN780" s="1285"/>
      <c r="LO780" s="1285"/>
      <c r="LP780" s="1285"/>
      <c r="LQ780" s="1285"/>
      <c r="LR780" s="1285"/>
      <c r="LS780" s="1285"/>
      <c r="LT780" s="1285"/>
      <c r="LU780" s="1285"/>
      <c r="LV780" s="1285"/>
      <c r="LW780" s="1285"/>
      <c r="LX780" s="1285"/>
      <c r="LY780" s="1285"/>
      <c r="LZ780" s="1285"/>
      <c r="MA780" s="1285"/>
      <c r="MB780" s="1285"/>
      <c r="MC780" s="1285"/>
      <c r="MD780" s="1285"/>
      <c r="ME780" s="1285"/>
      <c r="MF780" s="1285"/>
      <c r="MG780" s="1285"/>
      <c r="MH780" s="1285"/>
      <c r="MI780" s="1285"/>
      <c r="MJ780" s="1285"/>
      <c r="MK780" s="1285"/>
      <c r="ML780" s="1285"/>
      <c r="MM780" s="1285"/>
      <c r="MN780" s="1285"/>
      <c r="MO780" s="1285"/>
      <c r="MP780" s="1285"/>
      <c r="MQ780" s="1285"/>
      <c r="MR780" s="1285"/>
      <c r="MS780" s="1285"/>
      <c r="MT780" s="1285"/>
      <c r="MU780" s="1285"/>
      <c r="MV780" s="1285"/>
      <c r="MW780" s="1285"/>
      <c r="MX780" s="1285"/>
      <c r="MY780" s="1285"/>
      <c r="MZ780" s="1285"/>
      <c r="NA780" s="1285"/>
      <c r="NB780" s="1285"/>
      <c r="NC780" s="1285"/>
      <c r="ND780" s="1285"/>
      <c r="NE780" s="1285"/>
      <c r="NF780" s="1285"/>
      <c r="NG780" s="1285"/>
      <c r="NH780" s="1285"/>
      <c r="NI780" s="1285"/>
      <c r="NJ780" s="1285"/>
      <c r="NK780" s="1285"/>
      <c r="NL780" s="1285"/>
      <c r="NM780" s="1285"/>
      <c r="NN780" s="1285"/>
      <c r="NO780" s="1285"/>
      <c r="NP780" s="1285"/>
      <c r="NQ780" s="1285"/>
      <c r="NR780" s="1285"/>
      <c r="NS780" s="1285"/>
      <c r="NT780" s="1285"/>
      <c r="NU780" s="1285"/>
      <c r="NV780" s="1285"/>
      <c r="NW780" s="1285"/>
      <c r="NX780" s="1285"/>
      <c r="NY780" s="1285"/>
      <c r="NZ780" s="1285"/>
      <c r="OA780" s="1285"/>
      <c r="OB780" s="1285"/>
      <c r="OC780" s="1285"/>
      <c r="OD780" s="1285"/>
      <c r="OE780" s="1285"/>
      <c r="OF780" s="1285"/>
      <c r="OG780" s="1285"/>
      <c r="OH780" s="1285"/>
      <c r="OI780" s="1285"/>
      <c r="OJ780" s="1285"/>
      <c r="OK780" s="1285"/>
      <c r="OL780" s="1285"/>
      <c r="OM780" s="1285"/>
      <c r="ON780" s="1285"/>
      <c r="OO780" s="1285"/>
      <c r="OP780" s="1285"/>
      <c r="OQ780" s="1285"/>
      <c r="OR780" s="1285"/>
      <c r="OS780" s="1285"/>
      <c r="OT780" s="1285"/>
      <c r="OU780" s="1285"/>
      <c r="OV780" s="1285"/>
      <c r="OW780" s="1285"/>
      <c r="OX780" s="1285"/>
      <c r="OY780" s="1285"/>
      <c r="OZ780" s="1285"/>
      <c r="PA780" s="1285"/>
      <c r="PB780" s="1285"/>
      <c r="PC780" s="1285"/>
      <c r="PD780" s="1285"/>
      <c r="PE780" s="1285"/>
      <c r="PF780" s="1285"/>
      <c r="PG780" s="1285"/>
      <c r="PH780" s="1285"/>
      <c r="PI780" s="1285"/>
      <c r="PJ780" s="1285"/>
      <c r="PK780" s="1285"/>
      <c r="PL780" s="1285"/>
      <c r="PM780" s="1285"/>
      <c r="PN780" s="1285"/>
      <c r="PO780" s="1285"/>
      <c r="PP780" s="1285"/>
      <c r="PQ780" s="1285"/>
      <c r="PR780" s="1285"/>
      <c r="PS780" s="1285"/>
      <c r="PT780" s="1285"/>
      <c r="PU780" s="1285"/>
      <c r="PV780" s="1285"/>
      <c r="PW780" s="1285"/>
      <c r="PX780" s="1285"/>
      <c r="PY780" s="1285"/>
      <c r="PZ780" s="1285"/>
      <c r="QA780" s="1285"/>
      <c r="QB780" s="1285"/>
      <c r="QC780" s="1285"/>
      <c r="QD780" s="1285"/>
      <c r="QE780" s="1285"/>
      <c r="QF780" s="1285"/>
      <c r="QG780" s="1285"/>
      <c r="QH780" s="1285"/>
      <c r="QI780" s="1285"/>
      <c r="QJ780" s="1285"/>
      <c r="QK780" s="1285"/>
      <c r="QL780" s="1285"/>
      <c r="QM780" s="1285"/>
      <c r="QN780" s="1285"/>
      <c r="QO780" s="1285"/>
      <c r="QP780" s="1285"/>
      <c r="QQ780" s="1285"/>
      <c r="QR780" s="1285"/>
      <c r="QS780" s="1285"/>
      <c r="QT780" s="1285"/>
      <c r="QU780" s="1285"/>
      <c r="QV780" s="1285"/>
      <c r="QW780" s="1285"/>
      <c r="QX780" s="1285"/>
      <c r="QY780" s="1285"/>
      <c r="QZ780" s="1285"/>
      <c r="RA780" s="1285"/>
      <c r="RB780" s="1285"/>
      <c r="RC780" s="1285"/>
      <c r="RD780" s="1285"/>
      <c r="RE780" s="1285"/>
      <c r="RF780" s="1285"/>
      <c r="RG780" s="1285"/>
      <c r="RH780" s="1285"/>
      <c r="RI780" s="1285"/>
      <c r="RJ780" s="1285"/>
      <c r="RK780" s="1285"/>
      <c r="RL780" s="1285"/>
      <c r="RM780" s="1285"/>
      <c r="RN780" s="1285"/>
      <c r="RO780" s="1285"/>
      <c r="RP780" s="1285"/>
      <c r="RQ780" s="1285"/>
      <c r="RR780" s="1285"/>
      <c r="RS780" s="1285"/>
      <c r="RT780" s="1285"/>
      <c r="RU780" s="1285"/>
      <c r="RV780" s="1285"/>
      <c r="RW780" s="1285"/>
      <c r="RX780" s="1285"/>
      <c r="RY780" s="1285"/>
      <c r="RZ780" s="1285"/>
      <c r="SA780" s="1285"/>
      <c r="SB780" s="1285"/>
      <c r="SC780" s="1285"/>
      <c r="SD780" s="1285"/>
      <c r="SE780" s="1285"/>
      <c r="SF780" s="1285"/>
      <c r="SG780" s="1285"/>
      <c r="SH780" s="1285"/>
      <c r="SI780" s="1285"/>
      <c r="SJ780" s="1285"/>
      <c r="SK780" s="1285"/>
      <c r="SL780" s="1285"/>
      <c r="SM780" s="1285"/>
      <c r="SN780" s="1285"/>
      <c r="SO780" s="1285"/>
      <c r="SP780" s="1285"/>
      <c r="SQ780" s="1285"/>
      <c r="SR780" s="1285"/>
      <c r="SS780" s="1285"/>
      <c r="ST780" s="1285"/>
      <c r="SU780" s="1285"/>
      <c r="SV780" s="1285"/>
      <c r="SW780" s="1285"/>
      <c r="SX780" s="1285"/>
      <c r="SY780" s="1285"/>
      <c r="SZ780" s="1285"/>
      <c r="TA780" s="1285"/>
      <c r="TB780" s="1285"/>
      <c r="TC780" s="1285"/>
      <c r="TD780" s="1285"/>
      <c r="TE780" s="1285"/>
      <c r="TF780" s="1285"/>
      <c r="TG780" s="1285"/>
      <c r="TH780" s="1285"/>
      <c r="TI780" s="1285"/>
      <c r="TJ780" s="1285"/>
      <c r="TK780" s="1285"/>
      <c r="TL780" s="1285"/>
      <c r="TM780" s="1285"/>
      <c r="TN780" s="1285"/>
      <c r="TO780" s="1285"/>
      <c r="TP780" s="1285"/>
      <c r="TQ780" s="1285"/>
      <c r="TR780" s="1285"/>
      <c r="TS780" s="1285"/>
      <c r="TT780" s="1285"/>
      <c r="TU780" s="1285"/>
      <c r="TV780" s="1285"/>
      <c r="TW780" s="1285"/>
      <c r="TX780" s="1285"/>
      <c r="TY780" s="1285"/>
      <c r="TZ780" s="1285"/>
      <c r="UA780" s="1285"/>
      <c r="UB780" s="1285"/>
      <c r="UC780" s="1285"/>
      <c r="UD780" s="1285"/>
      <c r="UE780" s="1285"/>
      <c r="UF780" s="1285"/>
      <c r="UG780" s="1266"/>
    </row>
    <row r="781" spans="1:553" s="1262" customFormat="1" ht="30.75" customHeight="1">
      <c r="A781" s="356"/>
      <c r="B781" s="356"/>
      <c r="C781" s="390" t="s">
        <v>521</v>
      </c>
      <c r="D781" s="418">
        <v>2</v>
      </c>
      <c r="E781" s="418">
        <v>475</v>
      </c>
      <c r="F781" s="619"/>
      <c r="G781" s="418" t="s">
        <v>196</v>
      </c>
      <c r="H781" s="359"/>
      <c r="I781" s="794">
        <f>(157.21*100/1100)*(12-(5-2))*1</f>
        <v>128.62636363636364</v>
      </c>
      <c r="J781" s="368">
        <v>15400</v>
      </c>
      <c r="K781" s="647">
        <v>0.7</v>
      </c>
      <c r="L781" s="646">
        <f>ROUND(PRODUCT(I781:K781),0)</f>
        <v>1386592</v>
      </c>
      <c r="M781" s="356"/>
      <c r="N781" s="356"/>
      <c r="O781" s="356"/>
      <c r="P781" s="356"/>
      <c r="Q781" s="610"/>
      <c r="R781" s="1452"/>
      <c r="S781" s="308"/>
      <c r="T781" s="308"/>
      <c r="U781" s="308"/>
      <c r="V781" s="308"/>
      <c r="W781" s="308"/>
      <c r="X781" s="308"/>
      <c r="Y781" s="308"/>
      <c r="Z781" s="604"/>
      <c r="AA781" s="308"/>
      <c r="AB781" s="308"/>
      <c r="AC781" s="454"/>
      <c r="AD781" s="454"/>
      <c r="AE781" s="454"/>
      <c r="AF781" s="454"/>
      <c r="AG781" s="454"/>
      <c r="AH781" s="454"/>
      <c r="AI781" s="454"/>
      <c r="AJ781" s="454"/>
      <c r="AK781" s="455"/>
      <c r="AL781" s="1263"/>
      <c r="AM781" s="1283"/>
      <c r="AN781" s="1283"/>
      <c r="AO781" s="1283"/>
      <c r="AP781" s="1283"/>
      <c r="AQ781" s="1283"/>
      <c r="AR781" s="1283"/>
      <c r="AS781" s="1284"/>
      <c r="AT781" s="1284"/>
      <c r="AU781" s="1284"/>
      <c r="AV781" s="1284"/>
      <c r="AW781" s="1284"/>
      <c r="AX781" s="1284"/>
      <c r="AY781" s="1284"/>
      <c r="AZ781" s="1284"/>
      <c r="BA781" s="1284"/>
      <c r="BB781" s="1284"/>
      <c r="BC781" s="1284"/>
      <c r="BD781" s="1284"/>
      <c r="BE781" s="1284"/>
      <c r="BF781" s="1284"/>
      <c r="BG781" s="1284"/>
      <c r="BH781" s="1284"/>
      <c r="BI781" s="1284"/>
      <c r="BJ781" s="1284"/>
      <c r="BK781" s="1284"/>
      <c r="BL781" s="1284"/>
      <c r="BM781" s="1284"/>
      <c r="BN781" s="1284"/>
      <c r="BO781" s="1284"/>
      <c r="BP781" s="1285"/>
      <c r="BQ781" s="1285"/>
      <c r="BR781" s="1285"/>
      <c r="BS781" s="1285"/>
      <c r="BT781" s="1285"/>
      <c r="BU781" s="1285"/>
      <c r="BV781" s="1285"/>
      <c r="BW781" s="1285"/>
      <c r="BX781" s="1285"/>
      <c r="BY781" s="1285"/>
      <c r="BZ781" s="1285"/>
      <c r="CA781" s="1285"/>
      <c r="CB781" s="1285"/>
      <c r="CC781" s="1285"/>
      <c r="CD781" s="1285"/>
      <c r="CE781" s="1285"/>
      <c r="CF781" s="1285"/>
      <c r="CG781" s="1285"/>
      <c r="CH781" s="1285"/>
      <c r="CI781" s="1285"/>
      <c r="CJ781" s="1285"/>
      <c r="CK781" s="1285"/>
      <c r="CL781" s="1285"/>
      <c r="CM781" s="1285"/>
      <c r="CN781" s="1285"/>
      <c r="CO781" s="1285"/>
      <c r="CP781" s="1285"/>
      <c r="CQ781" s="1285"/>
      <c r="CR781" s="1285"/>
      <c r="CS781" s="1285"/>
      <c r="CT781" s="1285"/>
      <c r="CU781" s="1285"/>
      <c r="CV781" s="1285"/>
      <c r="CW781" s="1285"/>
      <c r="CX781" s="1285"/>
      <c r="CY781" s="1285"/>
      <c r="CZ781" s="1285"/>
      <c r="DA781" s="1285"/>
      <c r="DB781" s="1285"/>
      <c r="DC781" s="1285"/>
      <c r="DD781" s="1285"/>
      <c r="DE781" s="1285"/>
      <c r="DF781" s="1285"/>
      <c r="DG781" s="1285"/>
      <c r="DH781" s="1285"/>
      <c r="DI781" s="1285"/>
      <c r="DJ781" s="1285"/>
      <c r="DK781" s="1285"/>
      <c r="DL781" s="1285"/>
      <c r="DM781" s="1285"/>
      <c r="DN781" s="1285"/>
      <c r="DO781" s="1285"/>
      <c r="DP781" s="1285"/>
      <c r="DQ781" s="1285"/>
      <c r="DR781" s="1285"/>
      <c r="DS781" s="1285"/>
      <c r="DT781" s="1285"/>
      <c r="DU781" s="1285"/>
      <c r="DV781" s="1285"/>
      <c r="DW781" s="1285"/>
      <c r="DX781" s="1285"/>
      <c r="DY781" s="1285"/>
      <c r="DZ781" s="1285"/>
      <c r="EA781" s="1285"/>
      <c r="EB781" s="1285"/>
      <c r="EC781" s="1285"/>
      <c r="ED781" s="1285"/>
      <c r="EE781" s="1285"/>
      <c r="EF781" s="1285"/>
      <c r="EG781" s="1285"/>
      <c r="EH781" s="1285"/>
      <c r="EI781" s="1285"/>
      <c r="EJ781" s="1285"/>
      <c r="EK781" s="1285"/>
      <c r="EL781" s="1285"/>
      <c r="EM781" s="1285"/>
      <c r="EN781" s="1285"/>
      <c r="EO781" s="1285"/>
      <c r="EP781" s="1285"/>
      <c r="EQ781" s="1285"/>
      <c r="ER781" s="1285"/>
      <c r="ES781" s="1285"/>
      <c r="ET781" s="1285"/>
      <c r="EU781" s="1285"/>
      <c r="EV781" s="1285"/>
      <c r="EW781" s="1285"/>
      <c r="EX781" s="1285"/>
      <c r="EY781" s="1285"/>
      <c r="EZ781" s="1285"/>
      <c r="FA781" s="1285"/>
      <c r="FB781" s="1285"/>
      <c r="FC781" s="1285"/>
      <c r="FD781" s="1285"/>
      <c r="FE781" s="1285"/>
      <c r="FF781" s="1285"/>
      <c r="FG781" s="1285"/>
      <c r="FH781" s="1285"/>
      <c r="FI781" s="1285"/>
      <c r="FJ781" s="1285"/>
      <c r="FK781" s="1285"/>
      <c r="FL781" s="1285"/>
      <c r="FM781" s="1285"/>
      <c r="FN781" s="1285"/>
      <c r="FO781" s="1285"/>
      <c r="FP781" s="1285"/>
      <c r="FQ781" s="1285"/>
      <c r="FR781" s="1285"/>
      <c r="FS781" s="1285"/>
      <c r="FT781" s="1285"/>
      <c r="FU781" s="1285"/>
      <c r="FV781" s="1285"/>
      <c r="FW781" s="1285"/>
      <c r="FX781" s="1285"/>
      <c r="FY781" s="1285"/>
      <c r="FZ781" s="1285"/>
      <c r="GA781" s="1285"/>
      <c r="GB781" s="1285"/>
      <c r="GC781" s="1285"/>
      <c r="GD781" s="1285"/>
      <c r="GE781" s="1285"/>
      <c r="GF781" s="1285"/>
      <c r="GG781" s="1285"/>
      <c r="GH781" s="1285"/>
      <c r="GI781" s="1285"/>
      <c r="GJ781" s="1285"/>
      <c r="GK781" s="1285"/>
      <c r="GL781" s="1285"/>
      <c r="GM781" s="1285"/>
      <c r="GN781" s="1285"/>
      <c r="GO781" s="1285"/>
      <c r="GP781" s="1285"/>
      <c r="GQ781" s="1285"/>
      <c r="GR781" s="1285"/>
      <c r="GS781" s="1285"/>
      <c r="GT781" s="1285"/>
      <c r="GU781" s="1285"/>
      <c r="GV781" s="1285"/>
      <c r="GW781" s="1285"/>
      <c r="GX781" s="1285"/>
      <c r="GY781" s="1285"/>
      <c r="GZ781" s="1285"/>
      <c r="HA781" s="1285"/>
      <c r="HB781" s="1285"/>
      <c r="HC781" s="1285"/>
      <c r="HD781" s="1285"/>
      <c r="HE781" s="1285"/>
      <c r="HF781" s="1285"/>
      <c r="HG781" s="1285"/>
      <c r="HH781" s="1285"/>
      <c r="HI781" s="1285"/>
      <c r="HJ781" s="1285"/>
      <c r="HK781" s="1285"/>
      <c r="HL781" s="1285"/>
      <c r="HM781" s="1285"/>
      <c r="HN781" s="1285"/>
      <c r="HO781" s="1285"/>
      <c r="HP781" s="1285"/>
      <c r="HQ781" s="1285"/>
      <c r="HR781" s="1285"/>
      <c r="HS781" s="1285"/>
      <c r="HT781" s="1285"/>
      <c r="HU781" s="1285"/>
      <c r="HV781" s="1285"/>
      <c r="HW781" s="1285"/>
      <c r="HX781" s="1285"/>
      <c r="HY781" s="1285"/>
      <c r="HZ781" s="1285"/>
      <c r="IA781" s="1285"/>
      <c r="IB781" s="1285"/>
      <c r="IC781" s="1285"/>
      <c r="ID781" s="1285"/>
      <c r="IE781" s="1285"/>
      <c r="IF781" s="1285"/>
      <c r="IG781" s="1285"/>
      <c r="IH781" s="1285"/>
      <c r="II781" s="1285"/>
      <c r="IJ781" s="1285"/>
      <c r="IK781" s="1285"/>
      <c r="IL781" s="1285"/>
      <c r="IM781" s="1285"/>
      <c r="IN781" s="1285"/>
      <c r="IO781" s="1285"/>
      <c r="IP781" s="1285"/>
      <c r="IQ781" s="1285"/>
      <c r="IR781" s="1285"/>
      <c r="IS781" s="1285"/>
      <c r="IT781" s="1285"/>
      <c r="IU781" s="1285"/>
      <c r="IV781" s="1285"/>
      <c r="IW781" s="1285"/>
      <c r="IX781" s="1285"/>
      <c r="IY781" s="1285"/>
      <c r="IZ781" s="1285"/>
      <c r="JA781" s="1285"/>
      <c r="JB781" s="1285"/>
      <c r="JC781" s="1285"/>
      <c r="JD781" s="1285"/>
      <c r="JE781" s="1285"/>
      <c r="JF781" s="1285"/>
      <c r="JG781" s="1285"/>
      <c r="JH781" s="1285"/>
      <c r="JI781" s="1285"/>
      <c r="JJ781" s="1285"/>
      <c r="JK781" s="1285"/>
      <c r="JL781" s="1285"/>
      <c r="JM781" s="1285"/>
      <c r="JN781" s="1285"/>
      <c r="JO781" s="1285"/>
      <c r="JP781" s="1285"/>
      <c r="JQ781" s="1285"/>
      <c r="JR781" s="1285"/>
      <c r="JS781" s="1285"/>
      <c r="JT781" s="1285"/>
      <c r="JU781" s="1285"/>
      <c r="JV781" s="1285"/>
      <c r="JW781" s="1285"/>
      <c r="JX781" s="1285"/>
      <c r="JY781" s="1285"/>
      <c r="JZ781" s="1285"/>
      <c r="KA781" s="1285"/>
      <c r="KB781" s="1285"/>
      <c r="KC781" s="1285"/>
      <c r="KD781" s="1285"/>
      <c r="KE781" s="1285"/>
      <c r="KF781" s="1285"/>
      <c r="KG781" s="1285"/>
      <c r="KH781" s="1285"/>
      <c r="KI781" s="1285"/>
      <c r="KJ781" s="1285"/>
      <c r="KK781" s="1285"/>
      <c r="KL781" s="1285"/>
      <c r="KM781" s="1285"/>
      <c r="KN781" s="1285"/>
      <c r="KO781" s="1285"/>
      <c r="KP781" s="1285"/>
      <c r="KQ781" s="1285"/>
      <c r="KR781" s="1285"/>
      <c r="KS781" s="1285"/>
      <c r="KT781" s="1285"/>
      <c r="KU781" s="1285"/>
      <c r="KV781" s="1285"/>
      <c r="KW781" s="1285"/>
      <c r="KX781" s="1285"/>
      <c r="KY781" s="1285"/>
      <c r="KZ781" s="1285"/>
      <c r="LA781" s="1285"/>
      <c r="LB781" s="1285"/>
      <c r="LC781" s="1285"/>
      <c r="LD781" s="1285"/>
      <c r="LE781" s="1285"/>
      <c r="LF781" s="1285"/>
      <c r="LG781" s="1285"/>
      <c r="LH781" s="1285"/>
      <c r="LI781" s="1285"/>
      <c r="LJ781" s="1285"/>
      <c r="LK781" s="1285"/>
      <c r="LL781" s="1285"/>
      <c r="LM781" s="1285"/>
      <c r="LN781" s="1285"/>
      <c r="LO781" s="1285"/>
      <c r="LP781" s="1285"/>
      <c r="LQ781" s="1285"/>
      <c r="LR781" s="1285"/>
      <c r="LS781" s="1285"/>
      <c r="LT781" s="1285"/>
      <c r="LU781" s="1285"/>
      <c r="LV781" s="1285"/>
      <c r="LW781" s="1285"/>
      <c r="LX781" s="1285"/>
      <c r="LY781" s="1285"/>
      <c r="LZ781" s="1285"/>
      <c r="MA781" s="1285"/>
      <c r="MB781" s="1285"/>
      <c r="MC781" s="1285"/>
      <c r="MD781" s="1285"/>
      <c r="ME781" s="1285"/>
      <c r="MF781" s="1285"/>
      <c r="MG781" s="1285"/>
      <c r="MH781" s="1285"/>
      <c r="MI781" s="1285"/>
      <c r="MJ781" s="1285"/>
      <c r="MK781" s="1285"/>
      <c r="ML781" s="1285"/>
      <c r="MM781" s="1285"/>
      <c r="MN781" s="1285"/>
      <c r="MO781" s="1285"/>
      <c r="MP781" s="1285"/>
      <c r="MQ781" s="1285"/>
      <c r="MR781" s="1285"/>
      <c r="MS781" s="1285"/>
      <c r="MT781" s="1285"/>
      <c r="MU781" s="1285"/>
      <c r="MV781" s="1285"/>
      <c r="MW781" s="1285"/>
      <c r="MX781" s="1285"/>
      <c r="MY781" s="1285"/>
      <c r="MZ781" s="1285"/>
      <c r="NA781" s="1285"/>
      <c r="NB781" s="1285"/>
      <c r="NC781" s="1285"/>
      <c r="ND781" s="1285"/>
      <c r="NE781" s="1285"/>
      <c r="NF781" s="1285"/>
      <c r="NG781" s="1285"/>
      <c r="NH781" s="1285"/>
      <c r="NI781" s="1285"/>
      <c r="NJ781" s="1285"/>
      <c r="NK781" s="1285"/>
      <c r="NL781" s="1285"/>
      <c r="NM781" s="1285"/>
      <c r="NN781" s="1285"/>
      <c r="NO781" s="1285"/>
      <c r="NP781" s="1285"/>
      <c r="NQ781" s="1285"/>
      <c r="NR781" s="1285"/>
      <c r="NS781" s="1285"/>
      <c r="NT781" s="1285"/>
      <c r="NU781" s="1285"/>
      <c r="NV781" s="1285"/>
      <c r="NW781" s="1285"/>
      <c r="NX781" s="1285"/>
      <c r="NY781" s="1285"/>
      <c r="NZ781" s="1285"/>
      <c r="OA781" s="1285"/>
      <c r="OB781" s="1285"/>
      <c r="OC781" s="1285"/>
      <c r="OD781" s="1285"/>
      <c r="OE781" s="1285"/>
      <c r="OF781" s="1285"/>
      <c r="OG781" s="1285"/>
      <c r="OH781" s="1285"/>
      <c r="OI781" s="1285"/>
      <c r="OJ781" s="1285"/>
      <c r="OK781" s="1285"/>
      <c r="OL781" s="1285"/>
      <c r="OM781" s="1285"/>
      <c r="ON781" s="1285"/>
      <c r="OO781" s="1285"/>
      <c r="OP781" s="1285"/>
      <c r="OQ781" s="1285"/>
      <c r="OR781" s="1285"/>
      <c r="OS781" s="1285"/>
      <c r="OT781" s="1285"/>
      <c r="OU781" s="1285"/>
      <c r="OV781" s="1285"/>
      <c r="OW781" s="1285"/>
      <c r="OX781" s="1285"/>
      <c r="OY781" s="1285"/>
      <c r="OZ781" s="1285"/>
      <c r="PA781" s="1285"/>
      <c r="PB781" s="1285"/>
      <c r="PC781" s="1285"/>
      <c r="PD781" s="1285"/>
      <c r="PE781" s="1285"/>
      <c r="PF781" s="1285"/>
      <c r="PG781" s="1285"/>
      <c r="PH781" s="1285"/>
      <c r="PI781" s="1285"/>
      <c r="PJ781" s="1285"/>
      <c r="PK781" s="1285"/>
      <c r="PL781" s="1285"/>
      <c r="PM781" s="1285"/>
      <c r="PN781" s="1285"/>
      <c r="PO781" s="1285"/>
      <c r="PP781" s="1285"/>
      <c r="PQ781" s="1285"/>
      <c r="PR781" s="1285"/>
      <c r="PS781" s="1285"/>
      <c r="PT781" s="1285"/>
      <c r="PU781" s="1285"/>
      <c r="PV781" s="1285"/>
      <c r="PW781" s="1285"/>
      <c r="PX781" s="1285"/>
      <c r="PY781" s="1285"/>
      <c r="PZ781" s="1285"/>
      <c r="QA781" s="1285"/>
      <c r="QB781" s="1285"/>
      <c r="QC781" s="1285"/>
      <c r="QD781" s="1285"/>
      <c r="QE781" s="1285"/>
      <c r="QF781" s="1285"/>
      <c r="QG781" s="1285"/>
      <c r="QH781" s="1285"/>
      <c r="QI781" s="1285"/>
      <c r="QJ781" s="1285"/>
      <c r="QK781" s="1285"/>
      <c r="QL781" s="1285"/>
      <c r="QM781" s="1285"/>
      <c r="QN781" s="1285"/>
      <c r="QO781" s="1285"/>
      <c r="QP781" s="1285"/>
      <c r="QQ781" s="1285"/>
      <c r="QR781" s="1285"/>
      <c r="QS781" s="1285"/>
      <c r="QT781" s="1285"/>
      <c r="QU781" s="1285"/>
      <c r="QV781" s="1285"/>
      <c r="QW781" s="1285"/>
      <c r="QX781" s="1285"/>
      <c r="QY781" s="1285"/>
      <c r="QZ781" s="1285"/>
      <c r="RA781" s="1285"/>
      <c r="RB781" s="1285"/>
      <c r="RC781" s="1285"/>
      <c r="RD781" s="1285"/>
      <c r="RE781" s="1285"/>
      <c r="RF781" s="1285"/>
      <c r="RG781" s="1285"/>
      <c r="RH781" s="1285"/>
      <c r="RI781" s="1285"/>
      <c r="RJ781" s="1285"/>
      <c r="RK781" s="1285"/>
      <c r="RL781" s="1285"/>
      <c r="RM781" s="1285"/>
      <c r="RN781" s="1285"/>
      <c r="RO781" s="1285"/>
      <c r="RP781" s="1285"/>
      <c r="RQ781" s="1285"/>
      <c r="RR781" s="1285"/>
      <c r="RS781" s="1285"/>
      <c r="RT781" s="1285"/>
      <c r="RU781" s="1285"/>
      <c r="RV781" s="1285"/>
      <c r="RW781" s="1285"/>
      <c r="RX781" s="1285"/>
      <c r="RY781" s="1285"/>
      <c r="RZ781" s="1285"/>
      <c r="SA781" s="1285"/>
      <c r="SB781" s="1285"/>
      <c r="SC781" s="1285"/>
      <c r="SD781" s="1285"/>
      <c r="SE781" s="1285"/>
      <c r="SF781" s="1285"/>
      <c r="SG781" s="1285"/>
      <c r="SH781" s="1285"/>
      <c r="SI781" s="1285"/>
      <c r="SJ781" s="1285"/>
      <c r="SK781" s="1285"/>
      <c r="SL781" s="1285"/>
      <c r="SM781" s="1285"/>
      <c r="SN781" s="1285"/>
      <c r="SO781" s="1285"/>
      <c r="SP781" s="1285"/>
      <c r="SQ781" s="1285"/>
      <c r="SR781" s="1285"/>
      <c r="SS781" s="1285"/>
      <c r="ST781" s="1285"/>
      <c r="SU781" s="1285"/>
      <c r="SV781" s="1285"/>
      <c r="SW781" s="1285"/>
      <c r="SX781" s="1285"/>
      <c r="SY781" s="1285"/>
      <c r="SZ781" s="1285"/>
      <c r="TA781" s="1285"/>
      <c r="TB781" s="1285"/>
      <c r="TC781" s="1285"/>
      <c r="TD781" s="1285"/>
      <c r="TE781" s="1285"/>
      <c r="TF781" s="1285"/>
      <c r="TG781" s="1285"/>
      <c r="TH781" s="1285"/>
      <c r="TI781" s="1285"/>
      <c r="TJ781" s="1285"/>
      <c r="TK781" s="1285"/>
      <c r="TL781" s="1285"/>
      <c r="TM781" s="1285"/>
      <c r="TN781" s="1285"/>
      <c r="TO781" s="1285"/>
      <c r="TP781" s="1285"/>
      <c r="TQ781" s="1285"/>
      <c r="TR781" s="1285"/>
      <c r="TS781" s="1285"/>
      <c r="TT781" s="1285"/>
      <c r="TU781" s="1285"/>
      <c r="TV781" s="1285"/>
      <c r="TW781" s="1285"/>
      <c r="TX781" s="1285"/>
      <c r="TY781" s="1285"/>
      <c r="TZ781" s="1285"/>
      <c r="UA781" s="1285"/>
      <c r="UB781" s="1285"/>
      <c r="UC781" s="1285"/>
      <c r="UD781" s="1285"/>
      <c r="UE781" s="1285"/>
      <c r="UF781" s="1285"/>
      <c r="UG781" s="1266"/>
    </row>
    <row r="782" spans="1:553" s="1262" customFormat="1" ht="30.75" customHeight="1">
      <c r="A782" s="356"/>
      <c r="B782" s="356"/>
      <c r="C782" s="1450" t="s">
        <v>522</v>
      </c>
      <c r="D782" s="1389"/>
      <c r="E782" s="1389"/>
      <c r="F782" s="1390"/>
      <c r="G782" s="418" t="s">
        <v>196</v>
      </c>
      <c r="H782" s="359"/>
      <c r="I782" s="422">
        <f>(31.98*100/400)*(17-(5-3))*7</f>
        <v>839.47500000000002</v>
      </c>
      <c r="J782" s="368">
        <v>5800</v>
      </c>
      <c r="K782" s="647">
        <v>0.7</v>
      </c>
      <c r="L782" s="1014">
        <f>ROUND(PRODUCT(I782:K782),0)</f>
        <v>3408269</v>
      </c>
      <c r="M782" s="356"/>
      <c r="N782" s="356"/>
      <c r="O782" s="356"/>
      <c r="P782" s="356"/>
      <c r="Q782" s="610"/>
      <c r="R782" s="1452"/>
      <c r="S782" s="308"/>
      <c r="T782" s="308"/>
      <c r="U782" s="308"/>
      <c r="V782" s="308"/>
      <c r="W782" s="308"/>
      <c r="X782" s="308"/>
      <c r="Y782" s="308"/>
      <c r="Z782" s="604"/>
      <c r="AA782" s="308"/>
      <c r="AB782" s="308"/>
      <c r="AC782" s="454"/>
      <c r="AD782" s="454"/>
      <c r="AE782" s="454"/>
      <c r="AF782" s="454"/>
      <c r="AG782" s="454"/>
      <c r="AH782" s="454"/>
      <c r="AI782" s="454"/>
      <c r="AJ782" s="454"/>
      <c r="AK782" s="455"/>
      <c r="AL782" s="1263"/>
      <c r="AM782" s="1283"/>
      <c r="AN782" s="1283"/>
      <c r="AO782" s="1283"/>
      <c r="AP782" s="1283"/>
      <c r="AQ782" s="1283"/>
      <c r="AR782" s="1283"/>
      <c r="AS782" s="1284"/>
      <c r="AT782" s="1284"/>
      <c r="AU782" s="1284"/>
      <c r="AV782" s="1284"/>
      <c r="AW782" s="1284"/>
      <c r="AX782" s="1284"/>
      <c r="AY782" s="1284"/>
      <c r="AZ782" s="1284"/>
      <c r="BA782" s="1284"/>
      <c r="BB782" s="1284"/>
      <c r="BC782" s="1284"/>
      <c r="BD782" s="1284"/>
      <c r="BE782" s="1284"/>
      <c r="BF782" s="1284"/>
      <c r="BG782" s="1284"/>
      <c r="BH782" s="1284"/>
      <c r="BI782" s="1284"/>
      <c r="BJ782" s="1284"/>
      <c r="BK782" s="1284"/>
      <c r="BL782" s="1284"/>
      <c r="BM782" s="1284"/>
      <c r="BN782" s="1284"/>
      <c r="BO782" s="1284"/>
      <c r="BP782" s="1285"/>
      <c r="BQ782" s="1285"/>
      <c r="BR782" s="1285"/>
      <c r="BS782" s="1285"/>
      <c r="BT782" s="1285"/>
      <c r="BU782" s="1285"/>
      <c r="BV782" s="1285"/>
      <c r="BW782" s="1285"/>
      <c r="BX782" s="1285"/>
      <c r="BY782" s="1285"/>
      <c r="BZ782" s="1285"/>
      <c r="CA782" s="1285"/>
      <c r="CB782" s="1285"/>
      <c r="CC782" s="1285"/>
      <c r="CD782" s="1285"/>
      <c r="CE782" s="1285"/>
      <c r="CF782" s="1285"/>
      <c r="CG782" s="1285"/>
      <c r="CH782" s="1285"/>
      <c r="CI782" s="1285"/>
      <c r="CJ782" s="1285"/>
      <c r="CK782" s="1285"/>
      <c r="CL782" s="1285"/>
      <c r="CM782" s="1285"/>
      <c r="CN782" s="1285"/>
      <c r="CO782" s="1285"/>
      <c r="CP782" s="1285"/>
      <c r="CQ782" s="1285"/>
      <c r="CR782" s="1285"/>
      <c r="CS782" s="1285"/>
      <c r="CT782" s="1285"/>
      <c r="CU782" s="1285"/>
      <c r="CV782" s="1285"/>
      <c r="CW782" s="1285"/>
      <c r="CX782" s="1285"/>
      <c r="CY782" s="1285"/>
      <c r="CZ782" s="1285"/>
      <c r="DA782" s="1285"/>
      <c r="DB782" s="1285"/>
      <c r="DC782" s="1285"/>
      <c r="DD782" s="1285"/>
      <c r="DE782" s="1285"/>
      <c r="DF782" s="1285"/>
      <c r="DG782" s="1285"/>
      <c r="DH782" s="1285"/>
      <c r="DI782" s="1285"/>
      <c r="DJ782" s="1285"/>
      <c r="DK782" s="1285"/>
      <c r="DL782" s="1285"/>
      <c r="DM782" s="1285"/>
      <c r="DN782" s="1285"/>
      <c r="DO782" s="1285"/>
      <c r="DP782" s="1285"/>
      <c r="DQ782" s="1285"/>
      <c r="DR782" s="1285"/>
      <c r="DS782" s="1285"/>
      <c r="DT782" s="1285"/>
      <c r="DU782" s="1285"/>
      <c r="DV782" s="1285"/>
      <c r="DW782" s="1285"/>
      <c r="DX782" s="1285"/>
      <c r="DY782" s="1285"/>
      <c r="DZ782" s="1285"/>
      <c r="EA782" s="1285"/>
      <c r="EB782" s="1285"/>
      <c r="EC782" s="1285"/>
      <c r="ED782" s="1285"/>
      <c r="EE782" s="1285"/>
      <c r="EF782" s="1285"/>
      <c r="EG782" s="1285"/>
      <c r="EH782" s="1285"/>
      <c r="EI782" s="1285"/>
      <c r="EJ782" s="1285"/>
      <c r="EK782" s="1285"/>
      <c r="EL782" s="1285"/>
      <c r="EM782" s="1285"/>
      <c r="EN782" s="1285"/>
      <c r="EO782" s="1285"/>
      <c r="EP782" s="1285"/>
      <c r="EQ782" s="1285"/>
      <c r="ER782" s="1285"/>
      <c r="ES782" s="1285"/>
      <c r="ET782" s="1285"/>
      <c r="EU782" s="1285"/>
      <c r="EV782" s="1285"/>
      <c r="EW782" s="1285"/>
      <c r="EX782" s="1285"/>
      <c r="EY782" s="1285"/>
      <c r="EZ782" s="1285"/>
      <c r="FA782" s="1285"/>
      <c r="FB782" s="1285"/>
      <c r="FC782" s="1285"/>
      <c r="FD782" s="1285"/>
      <c r="FE782" s="1285"/>
      <c r="FF782" s="1285"/>
      <c r="FG782" s="1285"/>
      <c r="FH782" s="1285"/>
      <c r="FI782" s="1285"/>
      <c r="FJ782" s="1285"/>
      <c r="FK782" s="1285"/>
      <c r="FL782" s="1285"/>
      <c r="FM782" s="1285"/>
      <c r="FN782" s="1285"/>
      <c r="FO782" s="1285"/>
      <c r="FP782" s="1285"/>
      <c r="FQ782" s="1285"/>
      <c r="FR782" s="1285"/>
      <c r="FS782" s="1285"/>
      <c r="FT782" s="1285"/>
      <c r="FU782" s="1285"/>
      <c r="FV782" s="1285"/>
      <c r="FW782" s="1285"/>
      <c r="FX782" s="1285"/>
      <c r="FY782" s="1285"/>
      <c r="FZ782" s="1285"/>
      <c r="GA782" s="1285"/>
      <c r="GB782" s="1285"/>
      <c r="GC782" s="1285"/>
      <c r="GD782" s="1285"/>
      <c r="GE782" s="1285"/>
      <c r="GF782" s="1285"/>
      <c r="GG782" s="1285"/>
      <c r="GH782" s="1285"/>
      <c r="GI782" s="1285"/>
      <c r="GJ782" s="1285"/>
      <c r="GK782" s="1285"/>
      <c r="GL782" s="1285"/>
      <c r="GM782" s="1285"/>
      <c r="GN782" s="1285"/>
      <c r="GO782" s="1285"/>
      <c r="GP782" s="1285"/>
      <c r="GQ782" s="1285"/>
      <c r="GR782" s="1285"/>
      <c r="GS782" s="1285"/>
      <c r="GT782" s="1285"/>
      <c r="GU782" s="1285"/>
      <c r="GV782" s="1285"/>
      <c r="GW782" s="1285"/>
      <c r="GX782" s="1285"/>
      <c r="GY782" s="1285"/>
      <c r="GZ782" s="1285"/>
      <c r="HA782" s="1285"/>
      <c r="HB782" s="1285"/>
      <c r="HC782" s="1285"/>
      <c r="HD782" s="1285"/>
      <c r="HE782" s="1285"/>
      <c r="HF782" s="1285"/>
      <c r="HG782" s="1285"/>
      <c r="HH782" s="1285"/>
      <c r="HI782" s="1285"/>
      <c r="HJ782" s="1285"/>
      <c r="HK782" s="1285"/>
      <c r="HL782" s="1285"/>
      <c r="HM782" s="1285"/>
      <c r="HN782" s="1285"/>
      <c r="HO782" s="1285"/>
      <c r="HP782" s="1285"/>
      <c r="HQ782" s="1285"/>
      <c r="HR782" s="1285"/>
      <c r="HS782" s="1285"/>
      <c r="HT782" s="1285"/>
      <c r="HU782" s="1285"/>
      <c r="HV782" s="1285"/>
      <c r="HW782" s="1285"/>
      <c r="HX782" s="1285"/>
      <c r="HY782" s="1285"/>
      <c r="HZ782" s="1285"/>
      <c r="IA782" s="1285"/>
      <c r="IB782" s="1285"/>
      <c r="IC782" s="1285"/>
      <c r="ID782" s="1285"/>
      <c r="IE782" s="1285"/>
      <c r="IF782" s="1285"/>
      <c r="IG782" s="1285"/>
      <c r="IH782" s="1285"/>
      <c r="II782" s="1285"/>
      <c r="IJ782" s="1285"/>
      <c r="IK782" s="1285"/>
      <c r="IL782" s="1285"/>
      <c r="IM782" s="1285"/>
      <c r="IN782" s="1285"/>
      <c r="IO782" s="1285"/>
      <c r="IP782" s="1285"/>
      <c r="IQ782" s="1285"/>
      <c r="IR782" s="1285"/>
      <c r="IS782" s="1285"/>
      <c r="IT782" s="1285"/>
      <c r="IU782" s="1285"/>
      <c r="IV782" s="1285"/>
      <c r="IW782" s="1285"/>
      <c r="IX782" s="1285"/>
      <c r="IY782" s="1285"/>
      <c r="IZ782" s="1285"/>
      <c r="JA782" s="1285"/>
      <c r="JB782" s="1285"/>
      <c r="JC782" s="1285"/>
      <c r="JD782" s="1285"/>
      <c r="JE782" s="1285"/>
      <c r="JF782" s="1285"/>
      <c r="JG782" s="1285"/>
      <c r="JH782" s="1285"/>
      <c r="JI782" s="1285"/>
      <c r="JJ782" s="1285"/>
      <c r="JK782" s="1285"/>
      <c r="JL782" s="1285"/>
      <c r="JM782" s="1285"/>
      <c r="JN782" s="1285"/>
      <c r="JO782" s="1285"/>
      <c r="JP782" s="1285"/>
      <c r="JQ782" s="1285"/>
      <c r="JR782" s="1285"/>
      <c r="JS782" s="1285"/>
      <c r="JT782" s="1285"/>
      <c r="JU782" s="1285"/>
      <c r="JV782" s="1285"/>
      <c r="JW782" s="1285"/>
      <c r="JX782" s="1285"/>
      <c r="JY782" s="1285"/>
      <c r="JZ782" s="1285"/>
      <c r="KA782" s="1285"/>
      <c r="KB782" s="1285"/>
      <c r="KC782" s="1285"/>
      <c r="KD782" s="1285"/>
      <c r="KE782" s="1285"/>
      <c r="KF782" s="1285"/>
      <c r="KG782" s="1285"/>
      <c r="KH782" s="1285"/>
      <c r="KI782" s="1285"/>
      <c r="KJ782" s="1285"/>
      <c r="KK782" s="1285"/>
      <c r="KL782" s="1285"/>
      <c r="KM782" s="1285"/>
      <c r="KN782" s="1285"/>
      <c r="KO782" s="1285"/>
      <c r="KP782" s="1285"/>
      <c r="KQ782" s="1285"/>
      <c r="KR782" s="1285"/>
      <c r="KS782" s="1285"/>
      <c r="KT782" s="1285"/>
      <c r="KU782" s="1285"/>
      <c r="KV782" s="1285"/>
      <c r="KW782" s="1285"/>
      <c r="KX782" s="1285"/>
      <c r="KY782" s="1285"/>
      <c r="KZ782" s="1285"/>
      <c r="LA782" s="1285"/>
      <c r="LB782" s="1285"/>
      <c r="LC782" s="1285"/>
      <c r="LD782" s="1285"/>
      <c r="LE782" s="1285"/>
      <c r="LF782" s="1285"/>
      <c r="LG782" s="1285"/>
      <c r="LH782" s="1285"/>
      <c r="LI782" s="1285"/>
      <c r="LJ782" s="1285"/>
      <c r="LK782" s="1285"/>
      <c r="LL782" s="1285"/>
      <c r="LM782" s="1285"/>
      <c r="LN782" s="1285"/>
      <c r="LO782" s="1285"/>
      <c r="LP782" s="1285"/>
      <c r="LQ782" s="1285"/>
      <c r="LR782" s="1285"/>
      <c r="LS782" s="1285"/>
      <c r="LT782" s="1285"/>
      <c r="LU782" s="1285"/>
      <c r="LV782" s="1285"/>
      <c r="LW782" s="1285"/>
      <c r="LX782" s="1285"/>
      <c r="LY782" s="1285"/>
      <c r="LZ782" s="1285"/>
      <c r="MA782" s="1285"/>
      <c r="MB782" s="1285"/>
      <c r="MC782" s="1285"/>
      <c r="MD782" s="1285"/>
      <c r="ME782" s="1285"/>
      <c r="MF782" s="1285"/>
      <c r="MG782" s="1285"/>
      <c r="MH782" s="1285"/>
      <c r="MI782" s="1285"/>
      <c r="MJ782" s="1285"/>
      <c r="MK782" s="1285"/>
      <c r="ML782" s="1285"/>
      <c r="MM782" s="1285"/>
      <c r="MN782" s="1285"/>
      <c r="MO782" s="1285"/>
      <c r="MP782" s="1285"/>
      <c r="MQ782" s="1285"/>
      <c r="MR782" s="1285"/>
      <c r="MS782" s="1285"/>
      <c r="MT782" s="1285"/>
      <c r="MU782" s="1285"/>
      <c r="MV782" s="1285"/>
      <c r="MW782" s="1285"/>
      <c r="MX782" s="1285"/>
      <c r="MY782" s="1285"/>
      <c r="MZ782" s="1285"/>
      <c r="NA782" s="1285"/>
      <c r="NB782" s="1285"/>
      <c r="NC782" s="1285"/>
      <c r="ND782" s="1285"/>
      <c r="NE782" s="1285"/>
      <c r="NF782" s="1285"/>
      <c r="NG782" s="1285"/>
      <c r="NH782" s="1285"/>
      <c r="NI782" s="1285"/>
      <c r="NJ782" s="1285"/>
      <c r="NK782" s="1285"/>
      <c r="NL782" s="1285"/>
      <c r="NM782" s="1285"/>
      <c r="NN782" s="1285"/>
      <c r="NO782" s="1285"/>
      <c r="NP782" s="1285"/>
      <c r="NQ782" s="1285"/>
      <c r="NR782" s="1285"/>
      <c r="NS782" s="1285"/>
      <c r="NT782" s="1285"/>
      <c r="NU782" s="1285"/>
      <c r="NV782" s="1285"/>
      <c r="NW782" s="1285"/>
      <c r="NX782" s="1285"/>
      <c r="NY782" s="1285"/>
      <c r="NZ782" s="1285"/>
      <c r="OA782" s="1285"/>
      <c r="OB782" s="1285"/>
      <c r="OC782" s="1285"/>
      <c r="OD782" s="1285"/>
      <c r="OE782" s="1285"/>
      <c r="OF782" s="1285"/>
      <c r="OG782" s="1285"/>
      <c r="OH782" s="1285"/>
      <c r="OI782" s="1285"/>
      <c r="OJ782" s="1285"/>
      <c r="OK782" s="1285"/>
      <c r="OL782" s="1285"/>
      <c r="OM782" s="1285"/>
      <c r="ON782" s="1285"/>
      <c r="OO782" s="1285"/>
      <c r="OP782" s="1285"/>
      <c r="OQ782" s="1285"/>
      <c r="OR782" s="1285"/>
      <c r="OS782" s="1285"/>
      <c r="OT782" s="1285"/>
      <c r="OU782" s="1285"/>
      <c r="OV782" s="1285"/>
      <c r="OW782" s="1285"/>
      <c r="OX782" s="1285"/>
      <c r="OY782" s="1285"/>
      <c r="OZ782" s="1285"/>
      <c r="PA782" s="1285"/>
      <c r="PB782" s="1285"/>
      <c r="PC782" s="1285"/>
      <c r="PD782" s="1285"/>
      <c r="PE782" s="1285"/>
      <c r="PF782" s="1285"/>
      <c r="PG782" s="1285"/>
      <c r="PH782" s="1285"/>
      <c r="PI782" s="1285"/>
      <c r="PJ782" s="1285"/>
      <c r="PK782" s="1285"/>
      <c r="PL782" s="1285"/>
      <c r="PM782" s="1285"/>
      <c r="PN782" s="1285"/>
      <c r="PO782" s="1285"/>
      <c r="PP782" s="1285"/>
      <c r="PQ782" s="1285"/>
      <c r="PR782" s="1285"/>
      <c r="PS782" s="1285"/>
      <c r="PT782" s="1285"/>
      <c r="PU782" s="1285"/>
      <c r="PV782" s="1285"/>
      <c r="PW782" s="1285"/>
      <c r="PX782" s="1285"/>
      <c r="PY782" s="1285"/>
      <c r="PZ782" s="1285"/>
      <c r="QA782" s="1285"/>
      <c r="QB782" s="1285"/>
      <c r="QC782" s="1285"/>
      <c r="QD782" s="1285"/>
      <c r="QE782" s="1285"/>
      <c r="QF782" s="1285"/>
      <c r="QG782" s="1285"/>
      <c r="QH782" s="1285"/>
      <c r="QI782" s="1285"/>
      <c r="QJ782" s="1285"/>
      <c r="QK782" s="1285"/>
      <c r="QL782" s="1285"/>
      <c r="QM782" s="1285"/>
      <c r="QN782" s="1285"/>
      <c r="QO782" s="1285"/>
      <c r="QP782" s="1285"/>
      <c r="QQ782" s="1285"/>
      <c r="QR782" s="1285"/>
      <c r="QS782" s="1285"/>
      <c r="QT782" s="1285"/>
      <c r="QU782" s="1285"/>
      <c r="QV782" s="1285"/>
      <c r="QW782" s="1285"/>
      <c r="QX782" s="1285"/>
      <c r="QY782" s="1285"/>
      <c r="QZ782" s="1285"/>
      <c r="RA782" s="1285"/>
      <c r="RB782" s="1285"/>
      <c r="RC782" s="1285"/>
      <c r="RD782" s="1285"/>
      <c r="RE782" s="1285"/>
      <c r="RF782" s="1285"/>
      <c r="RG782" s="1285"/>
      <c r="RH782" s="1285"/>
      <c r="RI782" s="1285"/>
      <c r="RJ782" s="1285"/>
      <c r="RK782" s="1285"/>
      <c r="RL782" s="1285"/>
      <c r="RM782" s="1285"/>
      <c r="RN782" s="1285"/>
      <c r="RO782" s="1285"/>
      <c r="RP782" s="1285"/>
      <c r="RQ782" s="1285"/>
      <c r="RR782" s="1285"/>
      <c r="RS782" s="1285"/>
      <c r="RT782" s="1285"/>
      <c r="RU782" s="1285"/>
      <c r="RV782" s="1285"/>
      <c r="RW782" s="1285"/>
      <c r="RX782" s="1285"/>
      <c r="RY782" s="1285"/>
      <c r="RZ782" s="1285"/>
      <c r="SA782" s="1285"/>
      <c r="SB782" s="1285"/>
      <c r="SC782" s="1285"/>
      <c r="SD782" s="1285"/>
      <c r="SE782" s="1285"/>
      <c r="SF782" s="1285"/>
      <c r="SG782" s="1285"/>
      <c r="SH782" s="1285"/>
      <c r="SI782" s="1285"/>
      <c r="SJ782" s="1285"/>
      <c r="SK782" s="1285"/>
      <c r="SL782" s="1285"/>
      <c r="SM782" s="1285"/>
      <c r="SN782" s="1285"/>
      <c r="SO782" s="1285"/>
      <c r="SP782" s="1285"/>
      <c r="SQ782" s="1285"/>
      <c r="SR782" s="1285"/>
      <c r="SS782" s="1285"/>
      <c r="ST782" s="1285"/>
      <c r="SU782" s="1285"/>
      <c r="SV782" s="1285"/>
      <c r="SW782" s="1285"/>
      <c r="SX782" s="1285"/>
      <c r="SY782" s="1285"/>
      <c r="SZ782" s="1285"/>
      <c r="TA782" s="1285"/>
      <c r="TB782" s="1285"/>
      <c r="TC782" s="1285"/>
      <c r="TD782" s="1285"/>
      <c r="TE782" s="1285"/>
      <c r="TF782" s="1285"/>
      <c r="TG782" s="1285"/>
      <c r="TH782" s="1285"/>
      <c r="TI782" s="1285"/>
      <c r="TJ782" s="1285"/>
      <c r="TK782" s="1285"/>
      <c r="TL782" s="1285"/>
      <c r="TM782" s="1285"/>
      <c r="TN782" s="1285"/>
      <c r="TO782" s="1285"/>
      <c r="TP782" s="1285"/>
      <c r="TQ782" s="1285"/>
      <c r="TR782" s="1285"/>
      <c r="TS782" s="1285"/>
      <c r="TT782" s="1285"/>
      <c r="TU782" s="1285"/>
      <c r="TV782" s="1285"/>
      <c r="TW782" s="1285"/>
      <c r="TX782" s="1285"/>
      <c r="TY782" s="1285"/>
      <c r="TZ782" s="1285"/>
      <c r="UA782" s="1285"/>
      <c r="UB782" s="1285"/>
      <c r="UC782" s="1285"/>
      <c r="UD782" s="1285"/>
      <c r="UE782" s="1285"/>
      <c r="UF782" s="1285"/>
      <c r="UG782" s="1266"/>
    </row>
    <row r="783" spans="1:553" s="1262" customFormat="1" ht="30.75" customHeight="1">
      <c r="A783" s="356"/>
      <c r="B783" s="356"/>
      <c r="C783" s="390" t="s">
        <v>523</v>
      </c>
      <c r="D783" s="418">
        <v>2</v>
      </c>
      <c r="E783" s="418">
        <v>475</v>
      </c>
      <c r="F783" s="619"/>
      <c r="G783" s="418" t="s">
        <v>46</v>
      </c>
      <c r="H783" s="359"/>
      <c r="I783" s="422">
        <f>(55.03*100/400)*(32-(9-3))*1</f>
        <v>357.69499999999999</v>
      </c>
      <c r="J783" s="368">
        <v>7300</v>
      </c>
      <c r="K783" s="647">
        <v>0.7</v>
      </c>
      <c r="L783" s="1014">
        <f>ROUND(PRODUCT(I783:K783),0)</f>
        <v>1827821</v>
      </c>
      <c r="M783" s="356"/>
      <c r="N783" s="356"/>
      <c r="O783" s="356"/>
      <c r="P783" s="356"/>
      <c r="Q783" s="610"/>
      <c r="R783" s="1452"/>
      <c r="S783" s="308"/>
      <c r="T783" s="308"/>
      <c r="U783" s="308"/>
      <c r="V783" s="308"/>
      <c r="W783" s="308"/>
      <c r="X783" s="308"/>
      <c r="Y783" s="308"/>
      <c r="Z783" s="604"/>
      <c r="AA783" s="308"/>
      <c r="AB783" s="308"/>
      <c r="AC783" s="454"/>
      <c r="AD783" s="454"/>
      <c r="AE783" s="454"/>
      <c r="AF783" s="454"/>
      <c r="AG783" s="454"/>
      <c r="AH783" s="454"/>
      <c r="AI783" s="454"/>
      <c r="AJ783" s="454"/>
      <c r="AK783" s="455"/>
      <c r="AL783" s="1263"/>
      <c r="AM783" s="1283"/>
      <c r="AN783" s="1283"/>
      <c r="AO783" s="1283"/>
      <c r="AP783" s="1283"/>
      <c r="AQ783" s="1283"/>
      <c r="AR783" s="1283"/>
      <c r="AS783" s="1284"/>
      <c r="AT783" s="1284"/>
      <c r="AU783" s="1284"/>
      <c r="AV783" s="1284"/>
      <c r="AW783" s="1284"/>
      <c r="AX783" s="1284"/>
      <c r="AY783" s="1284"/>
      <c r="AZ783" s="1284"/>
      <c r="BA783" s="1284"/>
      <c r="BB783" s="1284"/>
      <c r="BC783" s="1284"/>
      <c r="BD783" s="1284"/>
      <c r="BE783" s="1284"/>
      <c r="BF783" s="1284"/>
      <c r="BG783" s="1284"/>
      <c r="BH783" s="1284"/>
      <c r="BI783" s="1284"/>
      <c r="BJ783" s="1284"/>
      <c r="BK783" s="1284"/>
      <c r="BL783" s="1284"/>
      <c r="BM783" s="1284"/>
      <c r="BN783" s="1284"/>
      <c r="BO783" s="1284"/>
      <c r="BP783" s="1285"/>
      <c r="BQ783" s="1285"/>
      <c r="BR783" s="1285"/>
      <c r="BS783" s="1285"/>
      <c r="BT783" s="1285"/>
      <c r="BU783" s="1285"/>
      <c r="BV783" s="1285"/>
      <c r="BW783" s="1285"/>
      <c r="BX783" s="1285"/>
      <c r="BY783" s="1285"/>
      <c r="BZ783" s="1285"/>
      <c r="CA783" s="1285"/>
      <c r="CB783" s="1285"/>
      <c r="CC783" s="1285"/>
      <c r="CD783" s="1285"/>
      <c r="CE783" s="1285"/>
      <c r="CF783" s="1285"/>
      <c r="CG783" s="1285"/>
      <c r="CH783" s="1285"/>
      <c r="CI783" s="1285"/>
      <c r="CJ783" s="1285"/>
      <c r="CK783" s="1285"/>
      <c r="CL783" s="1285"/>
      <c r="CM783" s="1285"/>
      <c r="CN783" s="1285"/>
      <c r="CO783" s="1285"/>
      <c r="CP783" s="1285"/>
      <c r="CQ783" s="1285"/>
      <c r="CR783" s="1285"/>
      <c r="CS783" s="1285"/>
      <c r="CT783" s="1285"/>
      <c r="CU783" s="1285"/>
      <c r="CV783" s="1285"/>
      <c r="CW783" s="1285"/>
      <c r="CX783" s="1285"/>
      <c r="CY783" s="1285"/>
      <c r="CZ783" s="1285"/>
      <c r="DA783" s="1285"/>
      <c r="DB783" s="1285"/>
      <c r="DC783" s="1285"/>
      <c r="DD783" s="1285"/>
      <c r="DE783" s="1285"/>
      <c r="DF783" s="1285"/>
      <c r="DG783" s="1285"/>
      <c r="DH783" s="1285"/>
      <c r="DI783" s="1285"/>
      <c r="DJ783" s="1285"/>
      <c r="DK783" s="1285"/>
      <c r="DL783" s="1285"/>
      <c r="DM783" s="1285"/>
      <c r="DN783" s="1285"/>
      <c r="DO783" s="1285"/>
      <c r="DP783" s="1285"/>
      <c r="DQ783" s="1285"/>
      <c r="DR783" s="1285"/>
      <c r="DS783" s="1285"/>
      <c r="DT783" s="1285"/>
      <c r="DU783" s="1285"/>
      <c r="DV783" s="1285"/>
      <c r="DW783" s="1285"/>
      <c r="DX783" s="1285"/>
      <c r="DY783" s="1285"/>
      <c r="DZ783" s="1285"/>
      <c r="EA783" s="1285"/>
      <c r="EB783" s="1285"/>
      <c r="EC783" s="1285"/>
      <c r="ED783" s="1285"/>
      <c r="EE783" s="1285"/>
      <c r="EF783" s="1285"/>
      <c r="EG783" s="1285"/>
      <c r="EH783" s="1285"/>
      <c r="EI783" s="1285"/>
      <c r="EJ783" s="1285"/>
      <c r="EK783" s="1285"/>
      <c r="EL783" s="1285"/>
      <c r="EM783" s="1285"/>
      <c r="EN783" s="1285"/>
      <c r="EO783" s="1285"/>
      <c r="EP783" s="1285"/>
      <c r="EQ783" s="1285"/>
      <c r="ER783" s="1285"/>
      <c r="ES783" s="1285"/>
      <c r="ET783" s="1285"/>
      <c r="EU783" s="1285"/>
      <c r="EV783" s="1285"/>
      <c r="EW783" s="1285"/>
      <c r="EX783" s="1285"/>
      <c r="EY783" s="1285"/>
      <c r="EZ783" s="1285"/>
      <c r="FA783" s="1285"/>
      <c r="FB783" s="1285"/>
      <c r="FC783" s="1285"/>
      <c r="FD783" s="1285"/>
      <c r="FE783" s="1285"/>
      <c r="FF783" s="1285"/>
      <c r="FG783" s="1285"/>
      <c r="FH783" s="1285"/>
      <c r="FI783" s="1285"/>
      <c r="FJ783" s="1285"/>
      <c r="FK783" s="1285"/>
      <c r="FL783" s="1285"/>
      <c r="FM783" s="1285"/>
      <c r="FN783" s="1285"/>
      <c r="FO783" s="1285"/>
      <c r="FP783" s="1285"/>
      <c r="FQ783" s="1285"/>
      <c r="FR783" s="1285"/>
      <c r="FS783" s="1285"/>
      <c r="FT783" s="1285"/>
      <c r="FU783" s="1285"/>
      <c r="FV783" s="1285"/>
      <c r="FW783" s="1285"/>
      <c r="FX783" s="1285"/>
      <c r="FY783" s="1285"/>
      <c r="FZ783" s="1285"/>
      <c r="GA783" s="1285"/>
      <c r="GB783" s="1285"/>
      <c r="GC783" s="1285"/>
      <c r="GD783" s="1285"/>
      <c r="GE783" s="1285"/>
      <c r="GF783" s="1285"/>
      <c r="GG783" s="1285"/>
      <c r="GH783" s="1285"/>
      <c r="GI783" s="1285"/>
      <c r="GJ783" s="1285"/>
      <c r="GK783" s="1285"/>
      <c r="GL783" s="1285"/>
      <c r="GM783" s="1285"/>
      <c r="GN783" s="1285"/>
      <c r="GO783" s="1285"/>
      <c r="GP783" s="1285"/>
      <c r="GQ783" s="1285"/>
      <c r="GR783" s="1285"/>
      <c r="GS783" s="1285"/>
      <c r="GT783" s="1285"/>
      <c r="GU783" s="1285"/>
      <c r="GV783" s="1285"/>
      <c r="GW783" s="1285"/>
      <c r="GX783" s="1285"/>
      <c r="GY783" s="1285"/>
      <c r="GZ783" s="1285"/>
      <c r="HA783" s="1285"/>
      <c r="HB783" s="1285"/>
      <c r="HC783" s="1285"/>
      <c r="HD783" s="1285"/>
      <c r="HE783" s="1285"/>
      <c r="HF783" s="1285"/>
      <c r="HG783" s="1285"/>
      <c r="HH783" s="1285"/>
      <c r="HI783" s="1285"/>
      <c r="HJ783" s="1285"/>
      <c r="HK783" s="1285"/>
      <c r="HL783" s="1285"/>
      <c r="HM783" s="1285"/>
      <c r="HN783" s="1285"/>
      <c r="HO783" s="1285"/>
      <c r="HP783" s="1285"/>
      <c r="HQ783" s="1285"/>
      <c r="HR783" s="1285"/>
      <c r="HS783" s="1285"/>
      <c r="HT783" s="1285"/>
      <c r="HU783" s="1285"/>
      <c r="HV783" s="1285"/>
      <c r="HW783" s="1285"/>
      <c r="HX783" s="1285"/>
      <c r="HY783" s="1285"/>
      <c r="HZ783" s="1285"/>
      <c r="IA783" s="1285"/>
      <c r="IB783" s="1285"/>
      <c r="IC783" s="1285"/>
      <c r="ID783" s="1285"/>
      <c r="IE783" s="1285"/>
      <c r="IF783" s="1285"/>
      <c r="IG783" s="1285"/>
      <c r="IH783" s="1285"/>
      <c r="II783" s="1285"/>
      <c r="IJ783" s="1285"/>
      <c r="IK783" s="1285"/>
      <c r="IL783" s="1285"/>
      <c r="IM783" s="1285"/>
      <c r="IN783" s="1285"/>
      <c r="IO783" s="1285"/>
      <c r="IP783" s="1285"/>
      <c r="IQ783" s="1285"/>
      <c r="IR783" s="1285"/>
      <c r="IS783" s="1285"/>
      <c r="IT783" s="1285"/>
      <c r="IU783" s="1285"/>
      <c r="IV783" s="1285"/>
      <c r="IW783" s="1285"/>
      <c r="IX783" s="1285"/>
      <c r="IY783" s="1285"/>
      <c r="IZ783" s="1285"/>
      <c r="JA783" s="1285"/>
      <c r="JB783" s="1285"/>
      <c r="JC783" s="1285"/>
      <c r="JD783" s="1285"/>
      <c r="JE783" s="1285"/>
      <c r="JF783" s="1285"/>
      <c r="JG783" s="1285"/>
      <c r="JH783" s="1285"/>
      <c r="JI783" s="1285"/>
      <c r="JJ783" s="1285"/>
      <c r="JK783" s="1285"/>
      <c r="JL783" s="1285"/>
      <c r="JM783" s="1285"/>
      <c r="JN783" s="1285"/>
      <c r="JO783" s="1285"/>
      <c r="JP783" s="1285"/>
      <c r="JQ783" s="1285"/>
      <c r="JR783" s="1285"/>
      <c r="JS783" s="1285"/>
      <c r="JT783" s="1285"/>
      <c r="JU783" s="1285"/>
      <c r="JV783" s="1285"/>
      <c r="JW783" s="1285"/>
      <c r="JX783" s="1285"/>
      <c r="JY783" s="1285"/>
      <c r="JZ783" s="1285"/>
      <c r="KA783" s="1285"/>
      <c r="KB783" s="1285"/>
      <c r="KC783" s="1285"/>
      <c r="KD783" s="1285"/>
      <c r="KE783" s="1285"/>
      <c r="KF783" s="1285"/>
      <c r="KG783" s="1285"/>
      <c r="KH783" s="1285"/>
      <c r="KI783" s="1285"/>
      <c r="KJ783" s="1285"/>
      <c r="KK783" s="1285"/>
      <c r="KL783" s="1285"/>
      <c r="KM783" s="1285"/>
      <c r="KN783" s="1285"/>
      <c r="KO783" s="1285"/>
      <c r="KP783" s="1285"/>
      <c r="KQ783" s="1285"/>
      <c r="KR783" s="1285"/>
      <c r="KS783" s="1285"/>
      <c r="KT783" s="1285"/>
      <c r="KU783" s="1285"/>
      <c r="KV783" s="1285"/>
      <c r="KW783" s="1285"/>
      <c r="KX783" s="1285"/>
      <c r="KY783" s="1285"/>
      <c r="KZ783" s="1285"/>
      <c r="LA783" s="1285"/>
      <c r="LB783" s="1285"/>
      <c r="LC783" s="1285"/>
      <c r="LD783" s="1285"/>
      <c r="LE783" s="1285"/>
      <c r="LF783" s="1285"/>
      <c r="LG783" s="1285"/>
      <c r="LH783" s="1285"/>
      <c r="LI783" s="1285"/>
      <c r="LJ783" s="1285"/>
      <c r="LK783" s="1285"/>
      <c r="LL783" s="1285"/>
      <c r="LM783" s="1285"/>
      <c r="LN783" s="1285"/>
      <c r="LO783" s="1285"/>
      <c r="LP783" s="1285"/>
      <c r="LQ783" s="1285"/>
      <c r="LR783" s="1285"/>
      <c r="LS783" s="1285"/>
      <c r="LT783" s="1285"/>
      <c r="LU783" s="1285"/>
      <c r="LV783" s="1285"/>
      <c r="LW783" s="1285"/>
      <c r="LX783" s="1285"/>
      <c r="LY783" s="1285"/>
      <c r="LZ783" s="1285"/>
      <c r="MA783" s="1285"/>
      <c r="MB783" s="1285"/>
      <c r="MC783" s="1285"/>
      <c r="MD783" s="1285"/>
      <c r="ME783" s="1285"/>
      <c r="MF783" s="1285"/>
      <c r="MG783" s="1285"/>
      <c r="MH783" s="1285"/>
      <c r="MI783" s="1285"/>
      <c r="MJ783" s="1285"/>
      <c r="MK783" s="1285"/>
      <c r="ML783" s="1285"/>
      <c r="MM783" s="1285"/>
      <c r="MN783" s="1285"/>
      <c r="MO783" s="1285"/>
      <c r="MP783" s="1285"/>
      <c r="MQ783" s="1285"/>
      <c r="MR783" s="1285"/>
      <c r="MS783" s="1285"/>
      <c r="MT783" s="1285"/>
      <c r="MU783" s="1285"/>
      <c r="MV783" s="1285"/>
      <c r="MW783" s="1285"/>
      <c r="MX783" s="1285"/>
      <c r="MY783" s="1285"/>
      <c r="MZ783" s="1285"/>
      <c r="NA783" s="1285"/>
      <c r="NB783" s="1285"/>
      <c r="NC783" s="1285"/>
      <c r="ND783" s="1285"/>
      <c r="NE783" s="1285"/>
      <c r="NF783" s="1285"/>
      <c r="NG783" s="1285"/>
      <c r="NH783" s="1285"/>
      <c r="NI783" s="1285"/>
      <c r="NJ783" s="1285"/>
      <c r="NK783" s="1285"/>
      <c r="NL783" s="1285"/>
      <c r="NM783" s="1285"/>
      <c r="NN783" s="1285"/>
      <c r="NO783" s="1285"/>
      <c r="NP783" s="1285"/>
      <c r="NQ783" s="1285"/>
      <c r="NR783" s="1285"/>
      <c r="NS783" s="1285"/>
      <c r="NT783" s="1285"/>
      <c r="NU783" s="1285"/>
      <c r="NV783" s="1285"/>
      <c r="NW783" s="1285"/>
      <c r="NX783" s="1285"/>
      <c r="NY783" s="1285"/>
      <c r="NZ783" s="1285"/>
      <c r="OA783" s="1285"/>
      <c r="OB783" s="1285"/>
      <c r="OC783" s="1285"/>
      <c r="OD783" s="1285"/>
      <c r="OE783" s="1285"/>
      <c r="OF783" s="1285"/>
      <c r="OG783" s="1285"/>
      <c r="OH783" s="1285"/>
      <c r="OI783" s="1285"/>
      <c r="OJ783" s="1285"/>
      <c r="OK783" s="1285"/>
      <c r="OL783" s="1285"/>
      <c r="OM783" s="1285"/>
      <c r="ON783" s="1285"/>
      <c r="OO783" s="1285"/>
      <c r="OP783" s="1285"/>
      <c r="OQ783" s="1285"/>
      <c r="OR783" s="1285"/>
      <c r="OS783" s="1285"/>
      <c r="OT783" s="1285"/>
      <c r="OU783" s="1285"/>
      <c r="OV783" s="1285"/>
      <c r="OW783" s="1285"/>
      <c r="OX783" s="1285"/>
      <c r="OY783" s="1285"/>
      <c r="OZ783" s="1285"/>
      <c r="PA783" s="1285"/>
      <c r="PB783" s="1285"/>
      <c r="PC783" s="1285"/>
      <c r="PD783" s="1285"/>
      <c r="PE783" s="1285"/>
      <c r="PF783" s="1285"/>
      <c r="PG783" s="1285"/>
      <c r="PH783" s="1285"/>
      <c r="PI783" s="1285"/>
      <c r="PJ783" s="1285"/>
      <c r="PK783" s="1285"/>
      <c r="PL783" s="1285"/>
      <c r="PM783" s="1285"/>
      <c r="PN783" s="1285"/>
      <c r="PO783" s="1285"/>
      <c r="PP783" s="1285"/>
      <c r="PQ783" s="1285"/>
      <c r="PR783" s="1285"/>
      <c r="PS783" s="1285"/>
      <c r="PT783" s="1285"/>
      <c r="PU783" s="1285"/>
      <c r="PV783" s="1285"/>
      <c r="PW783" s="1285"/>
      <c r="PX783" s="1285"/>
      <c r="PY783" s="1285"/>
      <c r="PZ783" s="1285"/>
      <c r="QA783" s="1285"/>
      <c r="QB783" s="1285"/>
      <c r="QC783" s="1285"/>
      <c r="QD783" s="1285"/>
      <c r="QE783" s="1285"/>
      <c r="QF783" s="1285"/>
      <c r="QG783" s="1285"/>
      <c r="QH783" s="1285"/>
      <c r="QI783" s="1285"/>
      <c r="QJ783" s="1285"/>
      <c r="QK783" s="1285"/>
      <c r="QL783" s="1285"/>
      <c r="QM783" s="1285"/>
      <c r="QN783" s="1285"/>
      <c r="QO783" s="1285"/>
      <c r="QP783" s="1285"/>
      <c r="QQ783" s="1285"/>
      <c r="QR783" s="1285"/>
      <c r="QS783" s="1285"/>
      <c r="QT783" s="1285"/>
      <c r="QU783" s="1285"/>
      <c r="QV783" s="1285"/>
      <c r="QW783" s="1285"/>
      <c r="QX783" s="1285"/>
      <c r="QY783" s="1285"/>
      <c r="QZ783" s="1285"/>
      <c r="RA783" s="1285"/>
      <c r="RB783" s="1285"/>
      <c r="RC783" s="1285"/>
      <c r="RD783" s="1285"/>
      <c r="RE783" s="1285"/>
      <c r="RF783" s="1285"/>
      <c r="RG783" s="1285"/>
      <c r="RH783" s="1285"/>
      <c r="RI783" s="1285"/>
      <c r="RJ783" s="1285"/>
      <c r="RK783" s="1285"/>
      <c r="RL783" s="1285"/>
      <c r="RM783" s="1285"/>
      <c r="RN783" s="1285"/>
      <c r="RO783" s="1285"/>
      <c r="RP783" s="1285"/>
      <c r="RQ783" s="1285"/>
      <c r="RR783" s="1285"/>
      <c r="RS783" s="1285"/>
      <c r="RT783" s="1285"/>
      <c r="RU783" s="1285"/>
      <c r="RV783" s="1285"/>
      <c r="RW783" s="1285"/>
      <c r="RX783" s="1285"/>
      <c r="RY783" s="1285"/>
      <c r="RZ783" s="1285"/>
      <c r="SA783" s="1285"/>
      <c r="SB783" s="1285"/>
      <c r="SC783" s="1285"/>
      <c r="SD783" s="1285"/>
      <c r="SE783" s="1285"/>
      <c r="SF783" s="1285"/>
      <c r="SG783" s="1285"/>
      <c r="SH783" s="1285"/>
      <c r="SI783" s="1285"/>
      <c r="SJ783" s="1285"/>
      <c r="SK783" s="1285"/>
      <c r="SL783" s="1285"/>
      <c r="SM783" s="1285"/>
      <c r="SN783" s="1285"/>
      <c r="SO783" s="1285"/>
      <c r="SP783" s="1285"/>
      <c r="SQ783" s="1285"/>
      <c r="SR783" s="1285"/>
      <c r="SS783" s="1285"/>
      <c r="ST783" s="1285"/>
      <c r="SU783" s="1285"/>
      <c r="SV783" s="1285"/>
      <c r="SW783" s="1285"/>
      <c r="SX783" s="1285"/>
      <c r="SY783" s="1285"/>
      <c r="SZ783" s="1285"/>
      <c r="TA783" s="1285"/>
      <c r="TB783" s="1285"/>
      <c r="TC783" s="1285"/>
      <c r="TD783" s="1285"/>
      <c r="TE783" s="1285"/>
      <c r="TF783" s="1285"/>
      <c r="TG783" s="1285"/>
      <c r="TH783" s="1285"/>
      <c r="TI783" s="1285"/>
      <c r="TJ783" s="1285"/>
      <c r="TK783" s="1285"/>
      <c r="TL783" s="1285"/>
      <c r="TM783" s="1285"/>
      <c r="TN783" s="1285"/>
      <c r="TO783" s="1285"/>
      <c r="TP783" s="1285"/>
      <c r="TQ783" s="1285"/>
      <c r="TR783" s="1285"/>
      <c r="TS783" s="1285"/>
      <c r="TT783" s="1285"/>
      <c r="TU783" s="1285"/>
      <c r="TV783" s="1285"/>
      <c r="TW783" s="1285"/>
      <c r="TX783" s="1285"/>
      <c r="TY783" s="1285"/>
      <c r="TZ783" s="1285"/>
      <c r="UA783" s="1285"/>
      <c r="UB783" s="1285"/>
      <c r="UC783" s="1285"/>
      <c r="UD783" s="1285"/>
      <c r="UE783" s="1285"/>
      <c r="UF783" s="1285"/>
      <c r="UG783" s="1266"/>
    </row>
    <row r="784" spans="1:553" s="1262" customFormat="1" ht="30.75" customHeight="1">
      <c r="A784" s="356"/>
      <c r="B784" s="356"/>
      <c r="C784" s="390" t="s">
        <v>524</v>
      </c>
      <c r="D784" s="418">
        <v>2</v>
      </c>
      <c r="E784" s="418">
        <v>475</v>
      </c>
      <c r="F784" s="619"/>
      <c r="G784" s="418" t="s">
        <v>196</v>
      </c>
      <c r="H784" s="359"/>
      <c r="I784" s="422">
        <f>(161.02*100/400)*(12-(5-3))*6</f>
        <v>2415.3000000000002</v>
      </c>
      <c r="J784" s="797">
        <v>10600</v>
      </c>
      <c r="K784" s="647">
        <v>0.7</v>
      </c>
      <c r="L784" s="646">
        <f t="shared" si="118"/>
        <v>17921526</v>
      </c>
      <c r="M784" s="356"/>
      <c r="N784" s="356"/>
      <c r="O784" s="356"/>
      <c r="P784" s="356"/>
      <c r="Q784" s="610"/>
      <c r="R784" s="1452"/>
      <c r="S784" s="308"/>
      <c r="T784" s="308"/>
      <c r="U784" s="308"/>
      <c r="V784" s="308"/>
      <c r="W784" s="308"/>
      <c r="X784" s="308"/>
      <c r="Y784" s="308"/>
      <c r="Z784" s="604"/>
      <c r="AA784" s="308"/>
      <c r="AB784" s="308"/>
      <c r="AC784" s="454"/>
      <c r="AD784" s="454"/>
      <c r="AE784" s="454"/>
      <c r="AF784" s="454"/>
      <c r="AG784" s="454"/>
      <c r="AH784" s="454"/>
      <c r="AI784" s="454"/>
      <c r="AJ784" s="454"/>
      <c r="AK784" s="455"/>
      <c r="AL784" s="1263"/>
      <c r="AM784" s="1283"/>
      <c r="AN784" s="1283"/>
      <c r="AO784" s="1283"/>
      <c r="AP784" s="1283"/>
      <c r="AQ784" s="1283"/>
      <c r="AR784" s="1283"/>
      <c r="AS784" s="1284"/>
      <c r="AT784" s="1284"/>
      <c r="AU784" s="1284"/>
      <c r="AV784" s="1284"/>
      <c r="AW784" s="1284"/>
      <c r="AX784" s="1284"/>
      <c r="AY784" s="1284"/>
      <c r="AZ784" s="1284"/>
      <c r="BA784" s="1284"/>
      <c r="BB784" s="1284"/>
      <c r="BC784" s="1284"/>
      <c r="BD784" s="1284"/>
      <c r="BE784" s="1284"/>
      <c r="BF784" s="1284"/>
      <c r="BG784" s="1284"/>
      <c r="BH784" s="1284"/>
      <c r="BI784" s="1284"/>
      <c r="BJ784" s="1284"/>
      <c r="BK784" s="1284"/>
      <c r="BL784" s="1284"/>
      <c r="BM784" s="1284"/>
      <c r="BN784" s="1284"/>
      <c r="BO784" s="1284"/>
      <c r="BP784" s="1285"/>
      <c r="BQ784" s="1285"/>
      <c r="BR784" s="1285"/>
      <c r="BS784" s="1285"/>
      <c r="BT784" s="1285"/>
      <c r="BU784" s="1285"/>
      <c r="BV784" s="1285"/>
      <c r="BW784" s="1285"/>
      <c r="BX784" s="1285"/>
      <c r="BY784" s="1285"/>
      <c r="BZ784" s="1285"/>
      <c r="CA784" s="1285"/>
      <c r="CB784" s="1285"/>
      <c r="CC784" s="1285"/>
      <c r="CD784" s="1285"/>
      <c r="CE784" s="1285"/>
      <c r="CF784" s="1285"/>
      <c r="CG784" s="1285"/>
      <c r="CH784" s="1285"/>
      <c r="CI784" s="1285"/>
      <c r="CJ784" s="1285"/>
      <c r="CK784" s="1285"/>
      <c r="CL784" s="1285"/>
      <c r="CM784" s="1285"/>
      <c r="CN784" s="1285"/>
      <c r="CO784" s="1285"/>
      <c r="CP784" s="1285"/>
      <c r="CQ784" s="1285"/>
      <c r="CR784" s="1285"/>
      <c r="CS784" s="1285"/>
      <c r="CT784" s="1285"/>
      <c r="CU784" s="1285"/>
      <c r="CV784" s="1285"/>
      <c r="CW784" s="1285"/>
      <c r="CX784" s="1285"/>
      <c r="CY784" s="1285"/>
      <c r="CZ784" s="1285"/>
      <c r="DA784" s="1285"/>
      <c r="DB784" s="1285"/>
      <c r="DC784" s="1285"/>
      <c r="DD784" s="1285"/>
      <c r="DE784" s="1285"/>
      <c r="DF784" s="1285"/>
      <c r="DG784" s="1285"/>
      <c r="DH784" s="1285"/>
      <c r="DI784" s="1285"/>
      <c r="DJ784" s="1285"/>
      <c r="DK784" s="1285"/>
      <c r="DL784" s="1285"/>
      <c r="DM784" s="1285"/>
      <c r="DN784" s="1285"/>
      <c r="DO784" s="1285"/>
      <c r="DP784" s="1285"/>
      <c r="DQ784" s="1285"/>
      <c r="DR784" s="1285"/>
      <c r="DS784" s="1285"/>
      <c r="DT784" s="1285"/>
      <c r="DU784" s="1285"/>
      <c r="DV784" s="1285"/>
      <c r="DW784" s="1285"/>
      <c r="DX784" s="1285"/>
      <c r="DY784" s="1285"/>
      <c r="DZ784" s="1285"/>
      <c r="EA784" s="1285"/>
      <c r="EB784" s="1285"/>
      <c r="EC784" s="1285"/>
      <c r="ED784" s="1285"/>
      <c r="EE784" s="1285"/>
      <c r="EF784" s="1285"/>
      <c r="EG784" s="1285"/>
      <c r="EH784" s="1285"/>
      <c r="EI784" s="1285"/>
      <c r="EJ784" s="1285"/>
      <c r="EK784" s="1285"/>
      <c r="EL784" s="1285"/>
      <c r="EM784" s="1285"/>
      <c r="EN784" s="1285"/>
      <c r="EO784" s="1285"/>
      <c r="EP784" s="1285"/>
      <c r="EQ784" s="1285"/>
      <c r="ER784" s="1285"/>
      <c r="ES784" s="1285"/>
      <c r="ET784" s="1285"/>
      <c r="EU784" s="1285"/>
      <c r="EV784" s="1285"/>
      <c r="EW784" s="1285"/>
      <c r="EX784" s="1285"/>
      <c r="EY784" s="1285"/>
      <c r="EZ784" s="1285"/>
      <c r="FA784" s="1285"/>
      <c r="FB784" s="1285"/>
      <c r="FC784" s="1285"/>
      <c r="FD784" s="1285"/>
      <c r="FE784" s="1285"/>
      <c r="FF784" s="1285"/>
      <c r="FG784" s="1285"/>
      <c r="FH784" s="1285"/>
      <c r="FI784" s="1285"/>
      <c r="FJ784" s="1285"/>
      <c r="FK784" s="1285"/>
      <c r="FL784" s="1285"/>
      <c r="FM784" s="1285"/>
      <c r="FN784" s="1285"/>
      <c r="FO784" s="1285"/>
      <c r="FP784" s="1285"/>
      <c r="FQ784" s="1285"/>
      <c r="FR784" s="1285"/>
      <c r="FS784" s="1285"/>
      <c r="FT784" s="1285"/>
      <c r="FU784" s="1285"/>
      <c r="FV784" s="1285"/>
      <c r="FW784" s="1285"/>
      <c r="FX784" s="1285"/>
      <c r="FY784" s="1285"/>
      <c r="FZ784" s="1285"/>
      <c r="GA784" s="1285"/>
      <c r="GB784" s="1285"/>
      <c r="GC784" s="1285"/>
      <c r="GD784" s="1285"/>
      <c r="GE784" s="1285"/>
      <c r="GF784" s="1285"/>
      <c r="GG784" s="1285"/>
      <c r="GH784" s="1285"/>
      <c r="GI784" s="1285"/>
      <c r="GJ784" s="1285"/>
      <c r="GK784" s="1285"/>
      <c r="GL784" s="1285"/>
      <c r="GM784" s="1285"/>
      <c r="GN784" s="1285"/>
      <c r="GO784" s="1285"/>
      <c r="GP784" s="1285"/>
      <c r="GQ784" s="1285"/>
      <c r="GR784" s="1285"/>
      <c r="GS784" s="1285"/>
      <c r="GT784" s="1285"/>
      <c r="GU784" s="1285"/>
      <c r="GV784" s="1285"/>
      <c r="GW784" s="1285"/>
      <c r="GX784" s="1285"/>
      <c r="GY784" s="1285"/>
      <c r="GZ784" s="1285"/>
      <c r="HA784" s="1285"/>
      <c r="HB784" s="1285"/>
      <c r="HC784" s="1285"/>
      <c r="HD784" s="1285"/>
      <c r="HE784" s="1285"/>
      <c r="HF784" s="1285"/>
      <c r="HG784" s="1285"/>
      <c r="HH784" s="1285"/>
      <c r="HI784" s="1285"/>
      <c r="HJ784" s="1285"/>
      <c r="HK784" s="1285"/>
      <c r="HL784" s="1285"/>
      <c r="HM784" s="1285"/>
      <c r="HN784" s="1285"/>
      <c r="HO784" s="1285"/>
      <c r="HP784" s="1285"/>
      <c r="HQ784" s="1285"/>
      <c r="HR784" s="1285"/>
      <c r="HS784" s="1285"/>
      <c r="HT784" s="1285"/>
      <c r="HU784" s="1285"/>
      <c r="HV784" s="1285"/>
      <c r="HW784" s="1285"/>
      <c r="HX784" s="1285"/>
      <c r="HY784" s="1285"/>
      <c r="HZ784" s="1285"/>
      <c r="IA784" s="1285"/>
      <c r="IB784" s="1285"/>
      <c r="IC784" s="1285"/>
      <c r="ID784" s="1285"/>
      <c r="IE784" s="1285"/>
      <c r="IF784" s="1285"/>
      <c r="IG784" s="1285"/>
      <c r="IH784" s="1285"/>
      <c r="II784" s="1285"/>
      <c r="IJ784" s="1285"/>
      <c r="IK784" s="1285"/>
      <c r="IL784" s="1285"/>
      <c r="IM784" s="1285"/>
      <c r="IN784" s="1285"/>
      <c r="IO784" s="1285"/>
      <c r="IP784" s="1285"/>
      <c r="IQ784" s="1285"/>
      <c r="IR784" s="1285"/>
      <c r="IS784" s="1285"/>
      <c r="IT784" s="1285"/>
      <c r="IU784" s="1285"/>
      <c r="IV784" s="1285"/>
      <c r="IW784" s="1285"/>
      <c r="IX784" s="1285"/>
      <c r="IY784" s="1285"/>
      <c r="IZ784" s="1285"/>
      <c r="JA784" s="1285"/>
      <c r="JB784" s="1285"/>
      <c r="JC784" s="1285"/>
      <c r="JD784" s="1285"/>
      <c r="JE784" s="1285"/>
      <c r="JF784" s="1285"/>
      <c r="JG784" s="1285"/>
      <c r="JH784" s="1285"/>
      <c r="JI784" s="1285"/>
      <c r="JJ784" s="1285"/>
      <c r="JK784" s="1285"/>
      <c r="JL784" s="1285"/>
      <c r="JM784" s="1285"/>
      <c r="JN784" s="1285"/>
      <c r="JO784" s="1285"/>
      <c r="JP784" s="1285"/>
      <c r="JQ784" s="1285"/>
      <c r="JR784" s="1285"/>
      <c r="JS784" s="1285"/>
      <c r="JT784" s="1285"/>
      <c r="JU784" s="1285"/>
      <c r="JV784" s="1285"/>
      <c r="JW784" s="1285"/>
      <c r="JX784" s="1285"/>
      <c r="JY784" s="1285"/>
      <c r="JZ784" s="1285"/>
      <c r="KA784" s="1285"/>
      <c r="KB784" s="1285"/>
      <c r="KC784" s="1285"/>
      <c r="KD784" s="1285"/>
      <c r="KE784" s="1285"/>
      <c r="KF784" s="1285"/>
      <c r="KG784" s="1285"/>
      <c r="KH784" s="1285"/>
      <c r="KI784" s="1285"/>
      <c r="KJ784" s="1285"/>
      <c r="KK784" s="1285"/>
      <c r="KL784" s="1285"/>
      <c r="KM784" s="1285"/>
      <c r="KN784" s="1285"/>
      <c r="KO784" s="1285"/>
      <c r="KP784" s="1285"/>
      <c r="KQ784" s="1285"/>
      <c r="KR784" s="1285"/>
      <c r="KS784" s="1285"/>
      <c r="KT784" s="1285"/>
      <c r="KU784" s="1285"/>
      <c r="KV784" s="1285"/>
      <c r="KW784" s="1285"/>
      <c r="KX784" s="1285"/>
      <c r="KY784" s="1285"/>
      <c r="KZ784" s="1285"/>
      <c r="LA784" s="1285"/>
      <c r="LB784" s="1285"/>
      <c r="LC784" s="1285"/>
      <c r="LD784" s="1285"/>
      <c r="LE784" s="1285"/>
      <c r="LF784" s="1285"/>
      <c r="LG784" s="1285"/>
      <c r="LH784" s="1285"/>
      <c r="LI784" s="1285"/>
      <c r="LJ784" s="1285"/>
      <c r="LK784" s="1285"/>
      <c r="LL784" s="1285"/>
      <c r="LM784" s="1285"/>
      <c r="LN784" s="1285"/>
      <c r="LO784" s="1285"/>
      <c r="LP784" s="1285"/>
      <c r="LQ784" s="1285"/>
      <c r="LR784" s="1285"/>
      <c r="LS784" s="1285"/>
      <c r="LT784" s="1285"/>
      <c r="LU784" s="1285"/>
      <c r="LV784" s="1285"/>
      <c r="LW784" s="1285"/>
      <c r="LX784" s="1285"/>
      <c r="LY784" s="1285"/>
      <c r="LZ784" s="1285"/>
      <c r="MA784" s="1285"/>
      <c r="MB784" s="1285"/>
      <c r="MC784" s="1285"/>
      <c r="MD784" s="1285"/>
      <c r="ME784" s="1285"/>
      <c r="MF784" s="1285"/>
      <c r="MG784" s="1285"/>
      <c r="MH784" s="1285"/>
      <c r="MI784" s="1285"/>
      <c r="MJ784" s="1285"/>
      <c r="MK784" s="1285"/>
      <c r="ML784" s="1285"/>
      <c r="MM784" s="1285"/>
      <c r="MN784" s="1285"/>
      <c r="MO784" s="1285"/>
      <c r="MP784" s="1285"/>
      <c r="MQ784" s="1285"/>
      <c r="MR784" s="1285"/>
      <c r="MS784" s="1285"/>
      <c r="MT784" s="1285"/>
      <c r="MU784" s="1285"/>
      <c r="MV784" s="1285"/>
      <c r="MW784" s="1285"/>
      <c r="MX784" s="1285"/>
      <c r="MY784" s="1285"/>
      <c r="MZ784" s="1285"/>
      <c r="NA784" s="1285"/>
      <c r="NB784" s="1285"/>
      <c r="NC784" s="1285"/>
      <c r="ND784" s="1285"/>
      <c r="NE784" s="1285"/>
      <c r="NF784" s="1285"/>
      <c r="NG784" s="1285"/>
      <c r="NH784" s="1285"/>
      <c r="NI784" s="1285"/>
      <c r="NJ784" s="1285"/>
      <c r="NK784" s="1285"/>
      <c r="NL784" s="1285"/>
      <c r="NM784" s="1285"/>
      <c r="NN784" s="1285"/>
      <c r="NO784" s="1285"/>
      <c r="NP784" s="1285"/>
      <c r="NQ784" s="1285"/>
      <c r="NR784" s="1285"/>
      <c r="NS784" s="1285"/>
      <c r="NT784" s="1285"/>
      <c r="NU784" s="1285"/>
      <c r="NV784" s="1285"/>
      <c r="NW784" s="1285"/>
      <c r="NX784" s="1285"/>
      <c r="NY784" s="1285"/>
      <c r="NZ784" s="1285"/>
      <c r="OA784" s="1285"/>
      <c r="OB784" s="1285"/>
      <c r="OC784" s="1285"/>
      <c r="OD784" s="1285"/>
      <c r="OE784" s="1285"/>
      <c r="OF784" s="1285"/>
      <c r="OG784" s="1285"/>
      <c r="OH784" s="1285"/>
      <c r="OI784" s="1285"/>
      <c r="OJ784" s="1285"/>
      <c r="OK784" s="1285"/>
      <c r="OL784" s="1285"/>
      <c r="OM784" s="1285"/>
      <c r="ON784" s="1285"/>
      <c r="OO784" s="1285"/>
      <c r="OP784" s="1285"/>
      <c r="OQ784" s="1285"/>
      <c r="OR784" s="1285"/>
      <c r="OS784" s="1285"/>
      <c r="OT784" s="1285"/>
      <c r="OU784" s="1285"/>
      <c r="OV784" s="1285"/>
      <c r="OW784" s="1285"/>
      <c r="OX784" s="1285"/>
      <c r="OY784" s="1285"/>
      <c r="OZ784" s="1285"/>
      <c r="PA784" s="1285"/>
      <c r="PB784" s="1285"/>
      <c r="PC784" s="1285"/>
      <c r="PD784" s="1285"/>
      <c r="PE784" s="1285"/>
      <c r="PF784" s="1285"/>
      <c r="PG784" s="1285"/>
      <c r="PH784" s="1285"/>
      <c r="PI784" s="1285"/>
      <c r="PJ784" s="1285"/>
      <c r="PK784" s="1285"/>
      <c r="PL784" s="1285"/>
      <c r="PM784" s="1285"/>
      <c r="PN784" s="1285"/>
      <c r="PO784" s="1285"/>
      <c r="PP784" s="1285"/>
      <c r="PQ784" s="1285"/>
      <c r="PR784" s="1285"/>
      <c r="PS784" s="1285"/>
      <c r="PT784" s="1285"/>
      <c r="PU784" s="1285"/>
      <c r="PV784" s="1285"/>
      <c r="PW784" s="1285"/>
      <c r="PX784" s="1285"/>
      <c r="PY784" s="1285"/>
      <c r="PZ784" s="1285"/>
      <c r="QA784" s="1285"/>
      <c r="QB784" s="1285"/>
      <c r="QC784" s="1285"/>
      <c r="QD784" s="1285"/>
      <c r="QE784" s="1285"/>
      <c r="QF784" s="1285"/>
      <c r="QG784" s="1285"/>
      <c r="QH784" s="1285"/>
      <c r="QI784" s="1285"/>
      <c r="QJ784" s="1285"/>
      <c r="QK784" s="1285"/>
      <c r="QL784" s="1285"/>
      <c r="QM784" s="1285"/>
      <c r="QN784" s="1285"/>
      <c r="QO784" s="1285"/>
      <c r="QP784" s="1285"/>
      <c r="QQ784" s="1285"/>
      <c r="QR784" s="1285"/>
      <c r="QS784" s="1285"/>
      <c r="QT784" s="1285"/>
      <c r="QU784" s="1285"/>
      <c r="QV784" s="1285"/>
      <c r="QW784" s="1285"/>
      <c r="QX784" s="1285"/>
      <c r="QY784" s="1285"/>
      <c r="QZ784" s="1285"/>
      <c r="RA784" s="1285"/>
      <c r="RB784" s="1285"/>
      <c r="RC784" s="1285"/>
      <c r="RD784" s="1285"/>
      <c r="RE784" s="1285"/>
      <c r="RF784" s="1285"/>
      <c r="RG784" s="1285"/>
      <c r="RH784" s="1285"/>
      <c r="RI784" s="1285"/>
      <c r="RJ784" s="1285"/>
      <c r="RK784" s="1285"/>
      <c r="RL784" s="1285"/>
      <c r="RM784" s="1285"/>
      <c r="RN784" s="1285"/>
      <c r="RO784" s="1285"/>
      <c r="RP784" s="1285"/>
      <c r="RQ784" s="1285"/>
      <c r="RR784" s="1285"/>
      <c r="RS784" s="1285"/>
      <c r="RT784" s="1285"/>
      <c r="RU784" s="1285"/>
      <c r="RV784" s="1285"/>
      <c r="RW784" s="1285"/>
      <c r="RX784" s="1285"/>
      <c r="RY784" s="1285"/>
      <c r="RZ784" s="1285"/>
      <c r="SA784" s="1285"/>
      <c r="SB784" s="1285"/>
      <c r="SC784" s="1285"/>
      <c r="SD784" s="1285"/>
      <c r="SE784" s="1285"/>
      <c r="SF784" s="1285"/>
      <c r="SG784" s="1285"/>
      <c r="SH784" s="1285"/>
      <c r="SI784" s="1285"/>
      <c r="SJ784" s="1285"/>
      <c r="SK784" s="1285"/>
      <c r="SL784" s="1285"/>
      <c r="SM784" s="1285"/>
      <c r="SN784" s="1285"/>
      <c r="SO784" s="1285"/>
      <c r="SP784" s="1285"/>
      <c r="SQ784" s="1285"/>
      <c r="SR784" s="1285"/>
      <c r="SS784" s="1285"/>
      <c r="ST784" s="1285"/>
      <c r="SU784" s="1285"/>
      <c r="SV784" s="1285"/>
      <c r="SW784" s="1285"/>
      <c r="SX784" s="1285"/>
      <c r="SY784" s="1285"/>
      <c r="SZ784" s="1285"/>
      <c r="TA784" s="1285"/>
      <c r="TB784" s="1285"/>
      <c r="TC784" s="1285"/>
      <c r="TD784" s="1285"/>
      <c r="TE784" s="1285"/>
      <c r="TF784" s="1285"/>
      <c r="TG784" s="1285"/>
      <c r="TH784" s="1285"/>
      <c r="TI784" s="1285"/>
      <c r="TJ784" s="1285"/>
      <c r="TK784" s="1285"/>
      <c r="TL784" s="1285"/>
      <c r="TM784" s="1285"/>
      <c r="TN784" s="1285"/>
      <c r="TO784" s="1285"/>
      <c r="TP784" s="1285"/>
      <c r="TQ784" s="1285"/>
      <c r="TR784" s="1285"/>
      <c r="TS784" s="1285"/>
      <c r="TT784" s="1285"/>
      <c r="TU784" s="1285"/>
      <c r="TV784" s="1285"/>
      <c r="TW784" s="1285"/>
      <c r="TX784" s="1285"/>
      <c r="TY784" s="1285"/>
      <c r="TZ784" s="1285"/>
      <c r="UA784" s="1285"/>
      <c r="UB784" s="1285"/>
      <c r="UC784" s="1285"/>
      <c r="UD784" s="1285"/>
      <c r="UE784" s="1285"/>
      <c r="UF784" s="1285"/>
      <c r="UG784" s="1266"/>
    </row>
    <row r="785" spans="1:553" s="1262" customFormat="1" ht="30.75" customHeight="1">
      <c r="A785" s="356"/>
      <c r="B785" s="356"/>
      <c r="C785" s="390" t="s">
        <v>372</v>
      </c>
      <c r="D785" s="418">
        <v>2</v>
      </c>
      <c r="E785" s="418">
        <v>475</v>
      </c>
      <c r="F785" s="619"/>
      <c r="G785" s="417" t="s">
        <v>193</v>
      </c>
      <c r="H785" s="359"/>
      <c r="I785" s="422">
        <v>2</v>
      </c>
      <c r="J785" s="797">
        <v>160000</v>
      </c>
      <c r="K785" s="443"/>
      <c r="L785" s="646">
        <f t="shared" si="118"/>
        <v>320000</v>
      </c>
      <c r="M785" s="356"/>
      <c r="N785" s="356"/>
      <c r="O785" s="356"/>
      <c r="P785" s="356"/>
      <c r="Q785" s="610"/>
      <c r="R785" s="1452"/>
      <c r="S785" s="308"/>
      <c r="T785" s="308"/>
      <c r="U785" s="308"/>
      <c r="V785" s="308"/>
      <c r="W785" s="308"/>
      <c r="X785" s="308"/>
      <c r="Y785" s="308"/>
      <c r="Z785" s="604"/>
      <c r="AA785" s="308"/>
      <c r="AB785" s="308"/>
      <c r="AC785" s="454"/>
      <c r="AD785" s="454"/>
      <c r="AE785" s="454"/>
      <c r="AF785" s="454"/>
      <c r="AG785" s="454"/>
      <c r="AH785" s="454"/>
      <c r="AI785" s="454"/>
      <c r="AJ785" s="454"/>
      <c r="AK785" s="455"/>
      <c r="AL785" s="1263"/>
      <c r="AM785" s="1283"/>
      <c r="AN785" s="1283"/>
      <c r="AO785" s="1283"/>
      <c r="AP785" s="1283"/>
      <c r="AQ785" s="1283"/>
      <c r="AR785" s="1283"/>
      <c r="AS785" s="1284"/>
      <c r="AT785" s="1284"/>
      <c r="AU785" s="1284"/>
      <c r="AV785" s="1284"/>
      <c r="AW785" s="1284"/>
      <c r="AX785" s="1284"/>
      <c r="AY785" s="1284"/>
      <c r="AZ785" s="1284"/>
      <c r="BA785" s="1284"/>
      <c r="BB785" s="1284"/>
      <c r="BC785" s="1284"/>
      <c r="BD785" s="1284"/>
      <c r="BE785" s="1284"/>
      <c r="BF785" s="1284"/>
      <c r="BG785" s="1284"/>
      <c r="BH785" s="1284"/>
      <c r="BI785" s="1284"/>
      <c r="BJ785" s="1284"/>
      <c r="BK785" s="1284"/>
      <c r="BL785" s="1284"/>
      <c r="BM785" s="1284"/>
      <c r="BN785" s="1284"/>
      <c r="BO785" s="1284"/>
      <c r="BP785" s="1285"/>
      <c r="BQ785" s="1285"/>
      <c r="BR785" s="1285"/>
      <c r="BS785" s="1285"/>
      <c r="BT785" s="1285"/>
      <c r="BU785" s="1285"/>
      <c r="BV785" s="1285"/>
      <c r="BW785" s="1285"/>
      <c r="BX785" s="1285"/>
      <c r="BY785" s="1285"/>
      <c r="BZ785" s="1285"/>
      <c r="CA785" s="1285"/>
      <c r="CB785" s="1285"/>
      <c r="CC785" s="1285"/>
      <c r="CD785" s="1285"/>
      <c r="CE785" s="1285"/>
      <c r="CF785" s="1285"/>
      <c r="CG785" s="1285"/>
      <c r="CH785" s="1285"/>
      <c r="CI785" s="1285"/>
      <c r="CJ785" s="1285"/>
      <c r="CK785" s="1285"/>
      <c r="CL785" s="1285"/>
      <c r="CM785" s="1285"/>
      <c r="CN785" s="1285"/>
      <c r="CO785" s="1285"/>
      <c r="CP785" s="1285"/>
      <c r="CQ785" s="1285"/>
      <c r="CR785" s="1285"/>
      <c r="CS785" s="1285"/>
      <c r="CT785" s="1285"/>
      <c r="CU785" s="1285"/>
      <c r="CV785" s="1285"/>
      <c r="CW785" s="1285"/>
      <c r="CX785" s="1285"/>
      <c r="CY785" s="1285"/>
      <c r="CZ785" s="1285"/>
      <c r="DA785" s="1285"/>
      <c r="DB785" s="1285"/>
      <c r="DC785" s="1285"/>
      <c r="DD785" s="1285"/>
      <c r="DE785" s="1285"/>
      <c r="DF785" s="1285"/>
      <c r="DG785" s="1285"/>
      <c r="DH785" s="1285"/>
      <c r="DI785" s="1285"/>
      <c r="DJ785" s="1285"/>
      <c r="DK785" s="1285"/>
      <c r="DL785" s="1285"/>
      <c r="DM785" s="1285"/>
      <c r="DN785" s="1285"/>
      <c r="DO785" s="1285"/>
      <c r="DP785" s="1285"/>
      <c r="DQ785" s="1285"/>
      <c r="DR785" s="1285"/>
      <c r="DS785" s="1285"/>
      <c r="DT785" s="1285"/>
      <c r="DU785" s="1285"/>
      <c r="DV785" s="1285"/>
      <c r="DW785" s="1285"/>
      <c r="DX785" s="1285"/>
      <c r="DY785" s="1285"/>
      <c r="DZ785" s="1285"/>
      <c r="EA785" s="1285"/>
      <c r="EB785" s="1285"/>
      <c r="EC785" s="1285"/>
      <c r="ED785" s="1285"/>
      <c r="EE785" s="1285"/>
      <c r="EF785" s="1285"/>
      <c r="EG785" s="1285"/>
      <c r="EH785" s="1285"/>
      <c r="EI785" s="1285"/>
      <c r="EJ785" s="1285"/>
      <c r="EK785" s="1285"/>
      <c r="EL785" s="1285"/>
      <c r="EM785" s="1285"/>
      <c r="EN785" s="1285"/>
      <c r="EO785" s="1285"/>
      <c r="EP785" s="1285"/>
      <c r="EQ785" s="1285"/>
      <c r="ER785" s="1285"/>
      <c r="ES785" s="1285"/>
      <c r="ET785" s="1285"/>
      <c r="EU785" s="1285"/>
      <c r="EV785" s="1285"/>
      <c r="EW785" s="1285"/>
      <c r="EX785" s="1285"/>
      <c r="EY785" s="1285"/>
      <c r="EZ785" s="1285"/>
      <c r="FA785" s="1285"/>
      <c r="FB785" s="1285"/>
      <c r="FC785" s="1285"/>
      <c r="FD785" s="1285"/>
      <c r="FE785" s="1285"/>
      <c r="FF785" s="1285"/>
      <c r="FG785" s="1285"/>
      <c r="FH785" s="1285"/>
      <c r="FI785" s="1285"/>
      <c r="FJ785" s="1285"/>
      <c r="FK785" s="1285"/>
      <c r="FL785" s="1285"/>
      <c r="FM785" s="1285"/>
      <c r="FN785" s="1285"/>
      <c r="FO785" s="1285"/>
      <c r="FP785" s="1285"/>
      <c r="FQ785" s="1285"/>
      <c r="FR785" s="1285"/>
      <c r="FS785" s="1285"/>
      <c r="FT785" s="1285"/>
      <c r="FU785" s="1285"/>
      <c r="FV785" s="1285"/>
      <c r="FW785" s="1285"/>
      <c r="FX785" s="1285"/>
      <c r="FY785" s="1285"/>
      <c r="FZ785" s="1285"/>
      <c r="GA785" s="1285"/>
      <c r="GB785" s="1285"/>
      <c r="GC785" s="1285"/>
      <c r="GD785" s="1285"/>
      <c r="GE785" s="1285"/>
      <c r="GF785" s="1285"/>
      <c r="GG785" s="1285"/>
      <c r="GH785" s="1285"/>
      <c r="GI785" s="1285"/>
      <c r="GJ785" s="1285"/>
      <c r="GK785" s="1285"/>
      <c r="GL785" s="1285"/>
      <c r="GM785" s="1285"/>
      <c r="GN785" s="1285"/>
      <c r="GO785" s="1285"/>
      <c r="GP785" s="1285"/>
      <c r="GQ785" s="1285"/>
      <c r="GR785" s="1285"/>
      <c r="GS785" s="1285"/>
      <c r="GT785" s="1285"/>
      <c r="GU785" s="1285"/>
      <c r="GV785" s="1285"/>
      <c r="GW785" s="1285"/>
      <c r="GX785" s="1285"/>
      <c r="GY785" s="1285"/>
      <c r="GZ785" s="1285"/>
      <c r="HA785" s="1285"/>
      <c r="HB785" s="1285"/>
      <c r="HC785" s="1285"/>
      <c r="HD785" s="1285"/>
      <c r="HE785" s="1285"/>
      <c r="HF785" s="1285"/>
      <c r="HG785" s="1285"/>
      <c r="HH785" s="1285"/>
      <c r="HI785" s="1285"/>
      <c r="HJ785" s="1285"/>
      <c r="HK785" s="1285"/>
      <c r="HL785" s="1285"/>
      <c r="HM785" s="1285"/>
      <c r="HN785" s="1285"/>
      <c r="HO785" s="1285"/>
      <c r="HP785" s="1285"/>
      <c r="HQ785" s="1285"/>
      <c r="HR785" s="1285"/>
      <c r="HS785" s="1285"/>
      <c r="HT785" s="1285"/>
      <c r="HU785" s="1285"/>
      <c r="HV785" s="1285"/>
      <c r="HW785" s="1285"/>
      <c r="HX785" s="1285"/>
      <c r="HY785" s="1285"/>
      <c r="HZ785" s="1285"/>
      <c r="IA785" s="1285"/>
      <c r="IB785" s="1285"/>
      <c r="IC785" s="1285"/>
      <c r="ID785" s="1285"/>
      <c r="IE785" s="1285"/>
      <c r="IF785" s="1285"/>
      <c r="IG785" s="1285"/>
      <c r="IH785" s="1285"/>
      <c r="II785" s="1285"/>
      <c r="IJ785" s="1285"/>
      <c r="IK785" s="1285"/>
      <c r="IL785" s="1285"/>
      <c r="IM785" s="1285"/>
      <c r="IN785" s="1285"/>
      <c r="IO785" s="1285"/>
      <c r="IP785" s="1285"/>
      <c r="IQ785" s="1285"/>
      <c r="IR785" s="1285"/>
      <c r="IS785" s="1285"/>
      <c r="IT785" s="1285"/>
      <c r="IU785" s="1285"/>
      <c r="IV785" s="1285"/>
      <c r="IW785" s="1285"/>
      <c r="IX785" s="1285"/>
      <c r="IY785" s="1285"/>
      <c r="IZ785" s="1285"/>
      <c r="JA785" s="1285"/>
      <c r="JB785" s="1285"/>
      <c r="JC785" s="1285"/>
      <c r="JD785" s="1285"/>
      <c r="JE785" s="1285"/>
      <c r="JF785" s="1285"/>
      <c r="JG785" s="1285"/>
      <c r="JH785" s="1285"/>
      <c r="JI785" s="1285"/>
      <c r="JJ785" s="1285"/>
      <c r="JK785" s="1285"/>
      <c r="JL785" s="1285"/>
      <c r="JM785" s="1285"/>
      <c r="JN785" s="1285"/>
      <c r="JO785" s="1285"/>
      <c r="JP785" s="1285"/>
      <c r="JQ785" s="1285"/>
      <c r="JR785" s="1285"/>
      <c r="JS785" s="1285"/>
      <c r="JT785" s="1285"/>
      <c r="JU785" s="1285"/>
      <c r="JV785" s="1285"/>
      <c r="JW785" s="1285"/>
      <c r="JX785" s="1285"/>
      <c r="JY785" s="1285"/>
      <c r="JZ785" s="1285"/>
      <c r="KA785" s="1285"/>
      <c r="KB785" s="1285"/>
      <c r="KC785" s="1285"/>
      <c r="KD785" s="1285"/>
      <c r="KE785" s="1285"/>
      <c r="KF785" s="1285"/>
      <c r="KG785" s="1285"/>
      <c r="KH785" s="1285"/>
      <c r="KI785" s="1285"/>
      <c r="KJ785" s="1285"/>
      <c r="KK785" s="1285"/>
      <c r="KL785" s="1285"/>
      <c r="KM785" s="1285"/>
      <c r="KN785" s="1285"/>
      <c r="KO785" s="1285"/>
      <c r="KP785" s="1285"/>
      <c r="KQ785" s="1285"/>
      <c r="KR785" s="1285"/>
      <c r="KS785" s="1285"/>
      <c r="KT785" s="1285"/>
      <c r="KU785" s="1285"/>
      <c r="KV785" s="1285"/>
      <c r="KW785" s="1285"/>
      <c r="KX785" s="1285"/>
      <c r="KY785" s="1285"/>
      <c r="KZ785" s="1285"/>
      <c r="LA785" s="1285"/>
      <c r="LB785" s="1285"/>
      <c r="LC785" s="1285"/>
      <c r="LD785" s="1285"/>
      <c r="LE785" s="1285"/>
      <c r="LF785" s="1285"/>
      <c r="LG785" s="1285"/>
      <c r="LH785" s="1285"/>
      <c r="LI785" s="1285"/>
      <c r="LJ785" s="1285"/>
      <c r="LK785" s="1285"/>
      <c r="LL785" s="1285"/>
      <c r="LM785" s="1285"/>
      <c r="LN785" s="1285"/>
      <c r="LO785" s="1285"/>
      <c r="LP785" s="1285"/>
      <c r="LQ785" s="1285"/>
      <c r="LR785" s="1285"/>
      <c r="LS785" s="1285"/>
      <c r="LT785" s="1285"/>
      <c r="LU785" s="1285"/>
      <c r="LV785" s="1285"/>
      <c r="LW785" s="1285"/>
      <c r="LX785" s="1285"/>
      <c r="LY785" s="1285"/>
      <c r="LZ785" s="1285"/>
      <c r="MA785" s="1285"/>
      <c r="MB785" s="1285"/>
      <c r="MC785" s="1285"/>
      <c r="MD785" s="1285"/>
      <c r="ME785" s="1285"/>
      <c r="MF785" s="1285"/>
      <c r="MG785" s="1285"/>
      <c r="MH785" s="1285"/>
      <c r="MI785" s="1285"/>
      <c r="MJ785" s="1285"/>
      <c r="MK785" s="1285"/>
      <c r="ML785" s="1285"/>
      <c r="MM785" s="1285"/>
      <c r="MN785" s="1285"/>
      <c r="MO785" s="1285"/>
      <c r="MP785" s="1285"/>
      <c r="MQ785" s="1285"/>
      <c r="MR785" s="1285"/>
      <c r="MS785" s="1285"/>
      <c r="MT785" s="1285"/>
      <c r="MU785" s="1285"/>
      <c r="MV785" s="1285"/>
      <c r="MW785" s="1285"/>
      <c r="MX785" s="1285"/>
      <c r="MY785" s="1285"/>
      <c r="MZ785" s="1285"/>
      <c r="NA785" s="1285"/>
      <c r="NB785" s="1285"/>
      <c r="NC785" s="1285"/>
      <c r="ND785" s="1285"/>
      <c r="NE785" s="1285"/>
      <c r="NF785" s="1285"/>
      <c r="NG785" s="1285"/>
      <c r="NH785" s="1285"/>
      <c r="NI785" s="1285"/>
      <c r="NJ785" s="1285"/>
      <c r="NK785" s="1285"/>
      <c r="NL785" s="1285"/>
      <c r="NM785" s="1285"/>
      <c r="NN785" s="1285"/>
      <c r="NO785" s="1285"/>
      <c r="NP785" s="1285"/>
      <c r="NQ785" s="1285"/>
      <c r="NR785" s="1285"/>
      <c r="NS785" s="1285"/>
      <c r="NT785" s="1285"/>
      <c r="NU785" s="1285"/>
      <c r="NV785" s="1285"/>
      <c r="NW785" s="1285"/>
      <c r="NX785" s="1285"/>
      <c r="NY785" s="1285"/>
      <c r="NZ785" s="1285"/>
      <c r="OA785" s="1285"/>
      <c r="OB785" s="1285"/>
      <c r="OC785" s="1285"/>
      <c r="OD785" s="1285"/>
      <c r="OE785" s="1285"/>
      <c r="OF785" s="1285"/>
      <c r="OG785" s="1285"/>
      <c r="OH785" s="1285"/>
      <c r="OI785" s="1285"/>
      <c r="OJ785" s="1285"/>
      <c r="OK785" s="1285"/>
      <c r="OL785" s="1285"/>
      <c r="OM785" s="1285"/>
      <c r="ON785" s="1285"/>
      <c r="OO785" s="1285"/>
      <c r="OP785" s="1285"/>
      <c r="OQ785" s="1285"/>
      <c r="OR785" s="1285"/>
      <c r="OS785" s="1285"/>
      <c r="OT785" s="1285"/>
      <c r="OU785" s="1285"/>
      <c r="OV785" s="1285"/>
      <c r="OW785" s="1285"/>
      <c r="OX785" s="1285"/>
      <c r="OY785" s="1285"/>
      <c r="OZ785" s="1285"/>
      <c r="PA785" s="1285"/>
      <c r="PB785" s="1285"/>
      <c r="PC785" s="1285"/>
      <c r="PD785" s="1285"/>
      <c r="PE785" s="1285"/>
      <c r="PF785" s="1285"/>
      <c r="PG785" s="1285"/>
      <c r="PH785" s="1285"/>
      <c r="PI785" s="1285"/>
      <c r="PJ785" s="1285"/>
      <c r="PK785" s="1285"/>
      <c r="PL785" s="1285"/>
      <c r="PM785" s="1285"/>
      <c r="PN785" s="1285"/>
      <c r="PO785" s="1285"/>
      <c r="PP785" s="1285"/>
      <c r="PQ785" s="1285"/>
      <c r="PR785" s="1285"/>
      <c r="PS785" s="1285"/>
      <c r="PT785" s="1285"/>
      <c r="PU785" s="1285"/>
      <c r="PV785" s="1285"/>
      <c r="PW785" s="1285"/>
      <c r="PX785" s="1285"/>
      <c r="PY785" s="1285"/>
      <c r="PZ785" s="1285"/>
      <c r="QA785" s="1285"/>
      <c r="QB785" s="1285"/>
      <c r="QC785" s="1285"/>
      <c r="QD785" s="1285"/>
      <c r="QE785" s="1285"/>
      <c r="QF785" s="1285"/>
      <c r="QG785" s="1285"/>
      <c r="QH785" s="1285"/>
      <c r="QI785" s="1285"/>
      <c r="QJ785" s="1285"/>
      <c r="QK785" s="1285"/>
      <c r="QL785" s="1285"/>
      <c r="QM785" s="1285"/>
      <c r="QN785" s="1285"/>
      <c r="QO785" s="1285"/>
      <c r="QP785" s="1285"/>
      <c r="QQ785" s="1285"/>
      <c r="QR785" s="1285"/>
      <c r="QS785" s="1285"/>
      <c r="QT785" s="1285"/>
      <c r="QU785" s="1285"/>
      <c r="QV785" s="1285"/>
      <c r="QW785" s="1285"/>
      <c r="QX785" s="1285"/>
      <c r="QY785" s="1285"/>
      <c r="QZ785" s="1285"/>
      <c r="RA785" s="1285"/>
      <c r="RB785" s="1285"/>
      <c r="RC785" s="1285"/>
      <c r="RD785" s="1285"/>
      <c r="RE785" s="1285"/>
      <c r="RF785" s="1285"/>
      <c r="RG785" s="1285"/>
      <c r="RH785" s="1285"/>
      <c r="RI785" s="1285"/>
      <c r="RJ785" s="1285"/>
      <c r="RK785" s="1285"/>
      <c r="RL785" s="1285"/>
      <c r="RM785" s="1285"/>
      <c r="RN785" s="1285"/>
      <c r="RO785" s="1285"/>
      <c r="RP785" s="1285"/>
      <c r="RQ785" s="1285"/>
      <c r="RR785" s="1285"/>
      <c r="RS785" s="1285"/>
      <c r="RT785" s="1285"/>
      <c r="RU785" s="1285"/>
      <c r="RV785" s="1285"/>
      <c r="RW785" s="1285"/>
      <c r="RX785" s="1285"/>
      <c r="RY785" s="1285"/>
      <c r="RZ785" s="1285"/>
      <c r="SA785" s="1285"/>
      <c r="SB785" s="1285"/>
      <c r="SC785" s="1285"/>
      <c r="SD785" s="1285"/>
      <c r="SE785" s="1285"/>
      <c r="SF785" s="1285"/>
      <c r="SG785" s="1285"/>
      <c r="SH785" s="1285"/>
      <c r="SI785" s="1285"/>
      <c r="SJ785" s="1285"/>
      <c r="SK785" s="1285"/>
      <c r="SL785" s="1285"/>
      <c r="SM785" s="1285"/>
      <c r="SN785" s="1285"/>
      <c r="SO785" s="1285"/>
      <c r="SP785" s="1285"/>
      <c r="SQ785" s="1285"/>
      <c r="SR785" s="1285"/>
      <c r="SS785" s="1285"/>
      <c r="ST785" s="1285"/>
      <c r="SU785" s="1285"/>
      <c r="SV785" s="1285"/>
      <c r="SW785" s="1285"/>
      <c r="SX785" s="1285"/>
      <c r="SY785" s="1285"/>
      <c r="SZ785" s="1285"/>
      <c r="TA785" s="1285"/>
      <c r="TB785" s="1285"/>
      <c r="TC785" s="1285"/>
      <c r="TD785" s="1285"/>
      <c r="TE785" s="1285"/>
      <c r="TF785" s="1285"/>
      <c r="TG785" s="1285"/>
      <c r="TH785" s="1285"/>
      <c r="TI785" s="1285"/>
      <c r="TJ785" s="1285"/>
      <c r="TK785" s="1285"/>
      <c r="TL785" s="1285"/>
      <c r="TM785" s="1285"/>
      <c r="TN785" s="1285"/>
      <c r="TO785" s="1285"/>
      <c r="TP785" s="1285"/>
      <c r="TQ785" s="1285"/>
      <c r="TR785" s="1285"/>
      <c r="TS785" s="1285"/>
      <c r="TT785" s="1285"/>
      <c r="TU785" s="1285"/>
      <c r="TV785" s="1285"/>
      <c r="TW785" s="1285"/>
      <c r="TX785" s="1285"/>
      <c r="TY785" s="1285"/>
      <c r="TZ785" s="1285"/>
      <c r="UA785" s="1285"/>
      <c r="UB785" s="1285"/>
      <c r="UC785" s="1285"/>
      <c r="UD785" s="1285"/>
      <c r="UE785" s="1285"/>
      <c r="UF785" s="1285"/>
      <c r="UG785" s="1266"/>
    </row>
    <row r="786" spans="1:553" s="1262" customFormat="1" ht="30.75" customHeight="1">
      <c r="A786" s="356"/>
      <c r="B786" s="356"/>
      <c r="C786" s="390" t="s">
        <v>525</v>
      </c>
      <c r="D786" s="418">
        <v>2</v>
      </c>
      <c r="E786" s="418">
        <v>5</v>
      </c>
      <c r="F786" s="619"/>
      <c r="G786" s="417" t="s">
        <v>196</v>
      </c>
      <c r="H786" s="359"/>
      <c r="I786" s="422">
        <f>69.93*100/10000*4</f>
        <v>2.7972000000000006</v>
      </c>
      <c r="J786" s="368">
        <v>19200</v>
      </c>
      <c r="K786" s="443"/>
      <c r="L786" s="646">
        <f t="shared" si="118"/>
        <v>53706</v>
      </c>
      <c r="M786" s="356"/>
      <c r="N786" s="356"/>
      <c r="O786" s="356"/>
      <c r="P786" s="356"/>
      <c r="Q786" s="610"/>
      <c r="R786" s="1452"/>
      <c r="S786" s="308"/>
      <c r="T786" s="308"/>
      <c r="U786" s="308"/>
      <c r="V786" s="308"/>
      <c r="W786" s="308"/>
      <c r="X786" s="308"/>
      <c r="Y786" s="308"/>
      <c r="Z786" s="604"/>
      <c r="AA786" s="308"/>
      <c r="AB786" s="308"/>
      <c r="AC786" s="454"/>
      <c r="AD786" s="454"/>
      <c r="AE786" s="454"/>
      <c r="AF786" s="454"/>
      <c r="AG786" s="454"/>
      <c r="AH786" s="454"/>
      <c r="AI786" s="454"/>
      <c r="AJ786" s="454"/>
      <c r="AK786" s="455"/>
      <c r="AL786" s="1263"/>
      <c r="AM786" s="1283"/>
      <c r="AN786" s="1283"/>
      <c r="AO786" s="1283"/>
      <c r="AP786" s="1283"/>
      <c r="AQ786" s="1283"/>
      <c r="AR786" s="1283"/>
      <c r="AS786" s="1284"/>
      <c r="AT786" s="1284"/>
      <c r="AU786" s="1284"/>
      <c r="AV786" s="1284"/>
      <c r="AW786" s="1284"/>
      <c r="AX786" s="1284"/>
      <c r="AY786" s="1284"/>
      <c r="AZ786" s="1284"/>
      <c r="BA786" s="1284"/>
      <c r="BB786" s="1284"/>
      <c r="BC786" s="1284"/>
      <c r="BD786" s="1284"/>
      <c r="BE786" s="1284"/>
      <c r="BF786" s="1284"/>
      <c r="BG786" s="1284"/>
      <c r="BH786" s="1284"/>
      <c r="BI786" s="1284"/>
      <c r="BJ786" s="1284"/>
      <c r="BK786" s="1284"/>
      <c r="BL786" s="1284"/>
      <c r="BM786" s="1284"/>
      <c r="BN786" s="1284"/>
      <c r="BO786" s="1284"/>
      <c r="BP786" s="1285"/>
      <c r="BQ786" s="1285"/>
      <c r="BR786" s="1285"/>
      <c r="BS786" s="1285"/>
      <c r="BT786" s="1285"/>
      <c r="BU786" s="1285"/>
      <c r="BV786" s="1285"/>
      <c r="BW786" s="1285"/>
      <c r="BX786" s="1285"/>
      <c r="BY786" s="1285"/>
      <c r="BZ786" s="1285"/>
      <c r="CA786" s="1285"/>
      <c r="CB786" s="1285"/>
      <c r="CC786" s="1285"/>
      <c r="CD786" s="1285"/>
      <c r="CE786" s="1285"/>
      <c r="CF786" s="1285"/>
      <c r="CG786" s="1285"/>
      <c r="CH786" s="1285"/>
      <c r="CI786" s="1285"/>
      <c r="CJ786" s="1285"/>
      <c r="CK786" s="1285"/>
      <c r="CL786" s="1285"/>
      <c r="CM786" s="1285"/>
      <c r="CN786" s="1285"/>
      <c r="CO786" s="1285"/>
      <c r="CP786" s="1285"/>
      <c r="CQ786" s="1285"/>
      <c r="CR786" s="1285"/>
      <c r="CS786" s="1285"/>
      <c r="CT786" s="1285"/>
      <c r="CU786" s="1285"/>
      <c r="CV786" s="1285"/>
      <c r="CW786" s="1285"/>
      <c r="CX786" s="1285"/>
      <c r="CY786" s="1285"/>
      <c r="CZ786" s="1285"/>
      <c r="DA786" s="1285"/>
      <c r="DB786" s="1285"/>
      <c r="DC786" s="1285"/>
      <c r="DD786" s="1285"/>
      <c r="DE786" s="1285"/>
      <c r="DF786" s="1285"/>
      <c r="DG786" s="1285"/>
      <c r="DH786" s="1285"/>
      <c r="DI786" s="1285"/>
      <c r="DJ786" s="1285"/>
      <c r="DK786" s="1285"/>
      <c r="DL786" s="1285"/>
      <c r="DM786" s="1285"/>
      <c r="DN786" s="1285"/>
      <c r="DO786" s="1285"/>
      <c r="DP786" s="1285"/>
      <c r="DQ786" s="1285"/>
      <c r="DR786" s="1285"/>
      <c r="DS786" s="1285"/>
      <c r="DT786" s="1285"/>
      <c r="DU786" s="1285"/>
      <c r="DV786" s="1285"/>
      <c r="DW786" s="1285"/>
      <c r="DX786" s="1285"/>
      <c r="DY786" s="1285"/>
      <c r="DZ786" s="1285"/>
      <c r="EA786" s="1285"/>
      <c r="EB786" s="1285"/>
      <c r="EC786" s="1285"/>
      <c r="ED786" s="1285"/>
      <c r="EE786" s="1285"/>
      <c r="EF786" s="1285"/>
      <c r="EG786" s="1285"/>
      <c r="EH786" s="1285"/>
      <c r="EI786" s="1285"/>
      <c r="EJ786" s="1285"/>
      <c r="EK786" s="1285"/>
      <c r="EL786" s="1285"/>
      <c r="EM786" s="1285"/>
      <c r="EN786" s="1285"/>
      <c r="EO786" s="1285"/>
      <c r="EP786" s="1285"/>
      <c r="EQ786" s="1285"/>
      <c r="ER786" s="1285"/>
      <c r="ES786" s="1285"/>
      <c r="ET786" s="1285"/>
      <c r="EU786" s="1285"/>
      <c r="EV786" s="1285"/>
      <c r="EW786" s="1285"/>
      <c r="EX786" s="1285"/>
      <c r="EY786" s="1285"/>
      <c r="EZ786" s="1285"/>
      <c r="FA786" s="1285"/>
      <c r="FB786" s="1285"/>
      <c r="FC786" s="1285"/>
      <c r="FD786" s="1285"/>
      <c r="FE786" s="1285"/>
      <c r="FF786" s="1285"/>
      <c r="FG786" s="1285"/>
      <c r="FH786" s="1285"/>
      <c r="FI786" s="1285"/>
      <c r="FJ786" s="1285"/>
      <c r="FK786" s="1285"/>
      <c r="FL786" s="1285"/>
      <c r="FM786" s="1285"/>
      <c r="FN786" s="1285"/>
      <c r="FO786" s="1285"/>
      <c r="FP786" s="1285"/>
      <c r="FQ786" s="1285"/>
      <c r="FR786" s="1285"/>
      <c r="FS786" s="1285"/>
      <c r="FT786" s="1285"/>
      <c r="FU786" s="1285"/>
      <c r="FV786" s="1285"/>
      <c r="FW786" s="1285"/>
      <c r="FX786" s="1285"/>
      <c r="FY786" s="1285"/>
      <c r="FZ786" s="1285"/>
      <c r="GA786" s="1285"/>
      <c r="GB786" s="1285"/>
      <c r="GC786" s="1285"/>
      <c r="GD786" s="1285"/>
      <c r="GE786" s="1285"/>
      <c r="GF786" s="1285"/>
      <c r="GG786" s="1285"/>
      <c r="GH786" s="1285"/>
      <c r="GI786" s="1285"/>
      <c r="GJ786" s="1285"/>
      <c r="GK786" s="1285"/>
      <c r="GL786" s="1285"/>
      <c r="GM786" s="1285"/>
      <c r="GN786" s="1285"/>
      <c r="GO786" s="1285"/>
      <c r="GP786" s="1285"/>
      <c r="GQ786" s="1285"/>
      <c r="GR786" s="1285"/>
      <c r="GS786" s="1285"/>
      <c r="GT786" s="1285"/>
      <c r="GU786" s="1285"/>
      <c r="GV786" s="1285"/>
      <c r="GW786" s="1285"/>
      <c r="GX786" s="1285"/>
      <c r="GY786" s="1285"/>
      <c r="GZ786" s="1285"/>
      <c r="HA786" s="1285"/>
      <c r="HB786" s="1285"/>
      <c r="HC786" s="1285"/>
      <c r="HD786" s="1285"/>
      <c r="HE786" s="1285"/>
      <c r="HF786" s="1285"/>
      <c r="HG786" s="1285"/>
      <c r="HH786" s="1285"/>
      <c r="HI786" s="1285"/>
      <c r="HJ786" s="1285"/>
      <c r="HK786" s="1285"/>
      <c r="HL786" s="1285"/>
      <c r="HM786" s="1285"/>
      <c r="HN786" s="1285"/>
      <c r="HO786" s="1285"/>
      <c r="HP786" s="1285"/>
      <c r="HQ786" s="1285"/>
      <c r="HR786" s="1285"/>
      <c r="HS786" s="1285"/>
      <c r="HT786" s="1285"/>
      <c r="HU786" s="1285"/>
      <c r="HV786" s="1285"/>
      <c r="HW786" s="1285"/>
      <c r="HX786" s="1285"/>
      <c r="HY786" s="1285"/>
      <c r="HZ786" s="1285"/>
      <c r="IA786" s="1285"/>
      <c r="IB786" s="1285"/>
      <c r="IC786" s="1285"/>
      <c r="ID786" s="1285"/>
      <c r="IE786" s="1285"/>
      <c r="IF786" s="1285"/>
      <c r="IG786" s="1285"/>
      <c r="IH786" s="1285"/>
      <c r="II786" s="1285"/>
      <c r="IJ786" s="1285"/>
      <c r="IK786" s="1285"/>
      <c r="IL786" s="1285"/>
      <c r="IM786" s="1285"/>
      <c r="IN786" s="1285"/>
      <c r="IO786" s="1285"/>
      <c r="IP786" s="1285"/>
      <c r="IQ786" s="1285"/>
      <c r="IR786" s="1285"/>
      <c r="IS786" s="1285"/>
      <c r="IT786" s="1285"/>
      <c r="IU786" s="1285"/>
      <c r="IV786" s="1285"/>
      <c r="IW786" s="1285"/>
      <c r="IX786" s="1285"/>
      <c r="IY786" s="1285"/>
      <c r="IZ786" s="1285"/>
      <c r="JA786" s="1285"/>
      <c r="JB786" s="1285"/>
      <c r="JC786" s="1285"/>
      <c r="JD786" s="1285"/>
      <c r="JE786" s="1285"/>
      <c r="JF786" s="1285"/>
      <c r="JG786" s="1285"/>
      <c r="JH786" s="1285"/>
      <c r="JI786" s="1285"/>
      <c r="JJ786" s="1285"/>
      <c r="JK786" s="1285"/>
      <c r="JL786" s="1285"/>
      <c r="JM786" s="1285"/>
      <c r="JN786" s="1285"/>
      <c r="JO786" s="1285"/>
      <c r="JP786" s="1285"/>
      <c r="JQ786" s="1285"/>
      <c r="JR786" s="1285"/>
      <c r="JS786" s="1285"/>
      <c r="JT786" s="1285"/>
      <c r="JU786" s="1285"/>
      <c r="JV786" s="1285"/>
      <c r="JW786" s="1285"/>
      <c r="JX786" s="1285"/>
      <c r="JY786" s="1285"/>
      <c r="JZ786" s="1285"/>
      <c r="KA786" s="1285"/>
      <c r="KB786" s="1285"/>
      <c r="KC786" s="1285"/>
      <c r="KD786" s="1285"/>
      <c r="KE786" s="1285"/>
      <c r="KF786" s="1285"/>
      <c r="KG786" s="1285"/>
      <c r="KH786" s="1285"/>
      <c r="KI786" s="1285"/>
      <c r="KJ786" s="1285"/>
      <c r="KK786" s="1285"/>
      <c r="KL786" s="1285"/>
      <c r="KM786" s="1285"/>
      <c r="KN786" s="1285"/>
      <c r="KO786" s="1285"/>
      <c r="KP786" s="1285"/>
      <c r="KQ786" s="1285"/>
      <c r="KR786" s="1285"/>
      <c r="KS786" s="1285"/>
      <c r="KT786" s="1285"/>
      <c r="KU786" s="1285"/>
      <c r="KV786" s="1285"/>
      <c r="KW786" s="1285"/>
      <c r="KX786" s="1285"/>
      <c r="KY786" s="1285"/>
      <c r="KZ786" s="1285"/>
      <c r="LA786" s="1285"/>
      <c r="LB786" s="1285"/>
      <c r="LC786" s="1285"/>
      <c r="LD786" s="1285"/>
      <c r="LE786" s="1285"/>
      <c r="LF786" s="1285"/>
      <c r="LG786" s="1285"/>
      <c r="LH786" s="1285"/>
      <c r="LI786" s="1285"/>
      <c r="LJ786" s="1285"/>
      <c r="LK786" s="1285"/>
      <c r="LL786" s="1285"/>
      <c r="LM786" s="1285"/>
      <c r="LN786" s="1285"/>
      <c r="LO786" s="1285"/>
      <c r="LP786" s="1285"/>
      <c r="LQ786" s="1285"/>
      <c r="LR786" s="1285"/>
      <c r="LS786" s="1285"/>
      <c r="LT786" s="1285"/>
      <c r="LU786" s="1285"/>
      <c r="LV786" s="1285"/>
      <c r="LW786" s="1285"/>
      <c r="LX786" s="1285"/>
      <c r="LY786" s="1285"/>
      <c r="LZ786" s="1285"/>
      <c r="MA786" s="1285"/>
      <c r="MB786" s="1285"/>
      <c r="MC786" s="1285"/>
      <c r="MD786" s="1285"/>
      <c r="ME786" s="1285"/>
      <c r="MF786" s="1285"/>
      <c r="MG786" s="1285"/>
      <c r="MH786" s="1285"/>
      <c r="MI786" s="1285"/>
      <c r="MJ786" s="1285"/>
      <c r="MK786" s="1285"/>
      <c r="ML786" s="1285"/>
      <c r="MM786" s="1285"/>
      <c r="MN786" s="1285"/>
      <c r="MO786" s="1285"/>
      <c r="MP786" s="1285"/>
      <c r="MQ786" s="1285"/>
      <c r="MR786" s="1285"/>
      <c r="MS786" s="1285"/>
      <c r="MT786" s="1285"/>
      <c r="MU786" s="1285"/>
      <c r="MV786" s="1285"/>
      <c r="MW786" s="1285"/>
      <c r="MX786" s="1285"/>
      <c r="MY786" s="1285"/>
      <c r="MZ786" s="1285"/>
      <c r="NA786" s="1285"/>
      <c r="NB786" s="1285"/>
      <c r="NC786" s="1285"/>
      <c r="ND786" s="1285"/>
      <c r="NE786" s="1285"/>
      <c r="NF786" s="1285"/>
      <c r="NG786" s="1285"/>
      <c r="NH786" s="1285"/>
      <c r="NI786" s="1285"/>
      <c r="NJ786" s="1285"/>
      <c r="NK786" s="1285"/>
      <c r="NL786" s="1285"/>
      <c r="NM786" s="1285"/>
      <c r="NN786" s="1285"/>
      <c r="NO786" s="1285"/>
      <c r="NP786" s="1285"/>
      <c r="NQ786" s="1285"/>
      <c r="NR786" s="1285"/>
      <c r="NS786" s="1285"/>
      <c r="NT786" s="1285"/>
      <c r="NU786" s="1285"/>
      <c r="NV786" s="1285"/>
      <c r="NW786" s="1285"/>
      <c r="NX786" s="1285"/>
      <c r="NY786" s="1285"/>
      <c r="NZ786" s="1285"/>
      <c r="OA786" s="1285"/>
      <c r="OB786" s="1285"/>
      <c r="OC786" s="1285"/>
      <c r="OD786" s="1285"/>
      <c r="OE786" s="1285"/>
      <c r="OF786" s="1285"/>
      <c r="OG786" s="1285"/>
      <c r="OH786" s="1285"/>
      <c r="OI786" s="1285"/>
      <c r="OJ786" s="1285"/>
      <c r="OK786" s="1285"/>
      <c r="OL786" s="1285"/>
      <c r="OM786" s="1285"/>
      <c r="ON786" s="1285"/>
      <c r="OO786" s="1285"/>
      <c r="OP786" s="1285"/>
      <c r="OQ786" s="1285"/>
      <c r="OR786" s="1285"/>
      <c r="OS786" s="1285"/>
      <c r="OT786" s="1285"/>
      <c r="OU786" s="1285"/>
      <c r="OV786" s="1285"/>
      <c r="OW786" s="1285"/>
      <c r="OX786" s="1285"/>
      <c r="OY786" s="1285"/>
      <c r="OZ786" s="1285"/>
      <c r="PA786" s="1285"/>
      <c r="PB786" s="1285"/>
      <c r="PC786" s="1285"/>
      <c r="PD786" s="1285"/>
      <c r="PE786" s="1285"/>
      <c r="PF786" s="1285"/>
      <c r="PG786" s="1285"/>
      <c r="PH786" s="1285"/>
      <c r="PI786" s="1285"/>
      <c r="PJ786" s="1285"/>
      <c r="PK786" s="1285"/>
      <c r="PL786" s="1285"/>
      <c r="PM786" s="1285"/>
      <c r="PN786" s="1285"/>
      <c r="PO786" s="1285"/>
      <c r="PP786" s="1285"/>
      <c r="PQ786" s="1285"/>
      <c r="PR786" s="1285"/>
      <c r="PS786" s="1285"/>
      <c r="PT786" s="1285"/>
      <c r="PU786" s="1285"/>
      <c r="PV786" s="1285"/>
      <c r="PW786" s="1285"/>
      <c r="PX786" s="1285"/>
      <c r="PY786" s="1285"/>
      <c r="PZ786" s="1285"/>
      <c r="QA786" s="1285"/>
      <c r="QB786" s="1285"/>
      <c r="QC786" s="1285"/>
      <c r="QD786" s="1285"/>
      <c r="QE786" s="1285"/>
      <c r="QF786" s="1285"/>
      <c r="QG786" s="1285"/>
      <c r="QH786" s="1285"/>
      <c r="QI786" s="1285"/>
      <c r="QJ786" s="1285"/>
      <c r="QK786" s="1285"/>
      <c r="QL786" s="1285"/>
      <c r="QM786" s="1285"/>
      <c r="QN786" s="1285"/>
      <c r="QO786" s="1285"/>
      <c r="QP786" s="1285"/>
      <c r="QQ786" s="1285"/>
      <c r="QR786" s="1285"/>
      <c r="QS786" s="1285"/>
      <c r="QT786" s="1285"/>
      <c r="QU786" s="1285"/>
      <c r="QV786" s="1285"/>
      <c r="QW786" s="1285"/>
      <c r="QX786" s="1285"/>
      <c r="QY786" s="1285"/>
      <c r="QZ786" s="1285"/>
      <c r="RA786" s="1285"/>
      <c r="RB786" s="1285"/>
      <c r="RC786" s="1285"/>
      <c r="RD786" s="1285"/>
      <c r="RE786" s="1285"/>
      <c r="RF786" s="1285"/>
      <c r="RG786" s="1285"/>
      <c r="RH786" s="1285"/>
      <c r="RI786" s="1285"/>
      <c r="RJ786" s="1285"/>
      <c r="RK786" s="1285"/>
      <c r="RL786" s="1285"/>
      <c r="RM786" s="1285"/>
      <c r="RN786" s="1285"/>
      <c r="RO786" s="1285"/>
      <c r="RP786" s="1285"/>
      <c r="RQ786" s="1285"/>
      <c r="RR786" s="1285"/>
      <c r="RS786" s="1285"/>
      <c r="RT786" s="1285"/>
      <c r="RU786" s="1285"/>
      <c r="RV786" s="1285"/>
      <c r="RW786" s="1285"/>
      <c r="RX786" s="1285"/>
      <c r="RY786" s="1285"/>
      <c r="RZ786" s="1285"/>
      <c r="SA786" s="1285"/>
      <c r="SB786" s="1285"/>
      <c r="SC786" s="1285"/>
      <c r="SD786" s="1285"/>
      <c r="SE786" s="1285"/>
      <c r="SF786" s="1285"/>
      <c r="SG786" s="1285"/>
      <c r="SH786" s="1285"/>
      <c r="SI786" s="1285"/>
      <c r="SJ786" s="1285"/>
      <c r="SK786" s="1285"/>
      <c r="SL786" s="1285"/>
      <c r="SM786" s="1285"/>
      <c r="SN786" s="1285"/>
      <c r="SO786" s="1285"/>
      <c r="SP786" s="1285"/>
      <c r="SQ786" s="1285"/>
      <c r="SR786" s="1285"/>
      <c r="SS786" s="1285"/>
      <c r="ST786" s="1285"/>
      <c r="SU786" s="1285"/>
      <c r="SV786" s="1285"/>
      <c r="SW786" s="1285"/>
      <c r="SX786" s="1285"/>
      <c r="SY786" s="1285"/>
      <c r="SZ786" s="1285"/>
      <c r="TA786" s="1285"/>
      <c r="TB786" s="1285"/>
      <c r="TC786" s="1285"/>
      <c r="TD786" s="1285"/>
      <c r="TE786" s="1285"/>
      <c r="TF786" s="1285"/>
      <c r="TG786" s="1285"/>
      <c r="TH786" s="1285"/>
      <c r="TI786" s="1285"/>
      <c r="TJ786" s="1285"/>
      <c r="TK786" s="1285"/>
      <c r="TL786" s="1285"/>
      <c r="TM786" s="1285"/>
      <c r="TN786" s="1285"/>
      <c r="TO786" s="1285"/>
      <c r="TP786" s="1285"/>
      <c r="TQ786" s="1285"/>
      <c r="TR786" s="1285"/>
      <c r="TS786" s="1285"/>
      <c r="TT786" s="1285"/>
      <c r="TU786" s="1285"/>
      <c r="TV786" s="1285"/>
      <c r="TW786" s="1285"/>
      <c r="TX786" s="1285"/>
      <c r="TY786" s="1285"/>
      <c r="TZ786" s="1285"/>
      <c r="UA786" s="1285"/>
      <c r="UB786" s="1285"/>
      <c r="UC786" s="1285"/>
      <c r="UD786" s="1285"/>
      <c r="UE786" s="1285"/>
      <c r="UF786" s="1285"/>
      <c r="UG786" s="1266"/>
    </row>
    <row r="787" spans="1:553" s="1262" customFormat="1" ht="30.75" customHeight="1">
      <c r="A787" s="356"/>
      <c r="B787" s="356"/>
      <c r="C787" s="390" t="s">
        <v>526</v>
      </c>
      <c r="D787" s="418">
        <v>2</v>
      </c>
      <c r="E787" s="418">
        <v>5</v>
      </c>
      <c r="F787" s="619"/>
      <c r="G787" s="418" t="s">
        <v>196</v>
      </c>
      <c r="H787" s="359"/>
      <c r="I787" s="422">
        <f>178.69*100/10000*30</f>
        <v>53.606999999999999</v>
      </c>
      <c r="J787" s="368">
        <v>19200</v>
      </c>
      <c r="K787" s="443"/>
      <c r="L787" s="646">
        <f t="shared" si="118"/>
        <v>1029254</v>
      </c>
      <c r="M787" s="356"/>
      <c r="N787" s="356"/>
      <c r="O787" s="356"/>
      <c r="P787" s="356"/>
      <c r="Q787" s="610"/>
      <c r="R787" s="1452"/>
      <c r="S787" s="308"/>
      <c r="T787" s="308"/>
      <c r="U787" s="308"/>
      <c r="V787" s="308"/>
      <c r="W787" s="308"/>
      <c r="X787" s="308"/>
      <c r="Y787" s="308"/>
      <c r="Z787" s="604"/>
      <c r="AA787" s="308"/>
      <c r="AB787" s="308"/>
      <c r="AC787" s="454"/>
      <c r="AD787" s="454"/>
      <c r="AE787" s="454"/>
      <c r="AF787" s="454"/>
      <c r="AG787" s="454"/>
      <c r="AH787" s="454"/>
      <c r="AI787" s="454"/>
      <c r="AJ787" s="454"/>
      <c r="AK787" s="455"/>
      <c r="AL787" s="1263"/>
      <c r="AM787" s="1283"/>
      <c r="AN787" s="1283"/>
      <c r="AO787" s="1283"/>
      <c r="AP787" s="1283"/>
      <c r="AQ787" s="1283"/>
      <c r="AR787" s="1283"/>
      <c r="AS787" s="1284"/>
      <c r="AT787" s="1284"/>
      <c r="AU787" s="1284"/>
      <c r="AV787" s="1284"/>
      <c r="AW787" s="1284"/>
      <c r="AX787" s="1284"/>
      <c r="AY787" s="1284"/>
      <c r="AZ787" s="1284"/>
      <c r="BA787" s="1284"/>
      <c r="BB787" s="1284"/>
      <c r="BC787" s="1284"/>
      <c r="BD787" s="1284"/>
      <c r="BE787" s="1284"/>
      <c r="BF787" s="1284"/>
      <c r="BG787" s="1284"/>
      <c r="BH787" s="1284"/>
      <c r="BI787" s="1284"/>
      <c r="BJ787" s="1284"/>
      <c r="BK787" s="1284"/>
      <c r="BL787" s="1284"/>
      <c r="BM787" s="1284"/>
      <c r="BN787" s="1284"/>
      <c r="BO787" s="1284"/>
      <c r="BP787" s="1285"/>
      <c r="BQ787" s="1285"/>
      <c r="BR787" s="1285"/>
      <c r="BS787" s="1285"/>
      <c r="BT787" s="1285"/>
      <c r="BU787" s="1285"/>
      <c r="BV787" s="1285"/>
      <c r="BW787" s="1285"/>
      <c r="BX787" s="1285"/>
      <c r="BY787" s="1285"/>
      <c r="BZ787" s="1285"/>
      <c r="CA787" s="1285"/>
      <c r="CB787" s="1285"/>
      <c r="CC787" s="1285"/>
      <c r="CD787" s="1285"/>
      <c r="CE787" s="1285"/>
      <c r="CF787" s="1285"/>
      <c r="CG787" s="1285"/>
      <c r="CH787" s="1285"/>
      <c r="CI787" s="1285"/>
      <c r="CJ787" s="1285"/>
      <c r="CK787" s="1285"/>
      <c r="CL787" s="1285"/>
      <c r="CM787" s="1285"/>
      <c r="CN787" s="1285"/>
      <c r="CO787" s="1285"/>
      <c r="CP787" s="1285"/>
      <c r="CQ787" s="1285"/>
      <c r="CR787" s="1285"/>
      <c r="CS787" s="1285"/>
      <c r="CT787" s="1285"/>
      <c r="CU787" s="1285"/>
      <c r="CV787" s="1285"/>
      <c r="CW787" s="1285"/>
      <c r="CX787" s="1285"/>
      <c r="CY787" s="1285"/>
      <c r="CZ787" s="1285"/>
      <c r="DA787" s="1285"/>
      <c r="DB787" s="1285"/>
      <c r="DC787" s="1285"/>
      <c r="DD787" s="1285"/>
      <c r="DE787" s="1285"/>
      <c r="DF787" s="1285"/>
      <c r="DG787" s="1285"/>
      <c r="DH787" s="1285"/>
      <c r="DI787" s="1285"/>
      <c r="DJ787" s="1285"/>
      <c r="DK787" s="1285"/>
      <c r="DL787" s="1285"/>
      <c r="DM787" s="1285"/>
      <c r="DN787" s="1285"/>
      <c r="DO787" s="1285"/>
      <c r="DP787" s="1285"/>
      <c r="DQ787" s="1285"/>
      <c r="DR787" s="1285"/>
      <c r="DS787" s="1285"/>
      <c r="DT787" s="1285"/>
      <c r="DU787" s="1285"/>
      <c r="DV787" s="1285"/>
      <c r="DW787" s="1285"/>
      <c r="DX787" s="1285"/>
      <c r="DY787" s="1285"/>
      <c r="DZ787" s="1285"/>
      <c r="EA787" s="1285"/>
      <c r="EB787" s="1285"/>
      <c r="EC787" s="1285"/>
      <c r="ED787" s="1285"/>
      <c r="EE787" s="1285"/>
      <c r="EF787" s="1285"/>
      <c r="EG787" s="1285"/>
      <c r="EH787" s="1285"/>
      <c r="EI787" s="1285"/>
      <c r="EJ787" s="1285"/>
      <c r="EK787" s="1285"/>
      <c r="EL787" s="1285"/>
      <c r="EM787" s="1285"/>
      <c r="EN787" s="1285"/>
      <c r="EO787" s="1285"/>
      <c r="EP787" s="1285"/>
      <c r="EQ787" s="1285"/>
      <c r="ER787" s="1285"/>
      <c r="ES787" s="1285"/>
      <c r="ET787" s="1285"/>
      <c r="EU787" s="1285"/>
      <c r="EV787" s="1285"/>
      <c r="EW787" s="1285"/>
      <c r="EX787" s="1285"/>
      <c r="EY787" s="1285"/>
      <c r="EZ787" s="1285"/>
      <c r="FA787" s="1285"/>
      <c r="FB787" s="1285"/>
      <c r="FC787" s="1285"/>
      <c r="FD787" s="1285"/>
      <c r="FE787" s="1285"/>
      <c r="FF787" s="1285"/>
      <c r="FG787" s="1285"/>
      <c r="FH787" s="1285"/>
      <c r="FI787" s="1285"/>
      <c r="FJ787" s="1285"/>
      <c r="FK787" s="1285"/>
      <c r="FL787" s="1285"/>
      <c r="FM787" s="1285"/>
      <c r="FN787" s="1285"/>
      <c r="FO787" s="1285"/>
      <c r="FP787" s="1285"/>
      <c r="FQ787" s="1285"/>
      <c r="FR787" s="1285"/>
      <c r="FS787" s="1285"/>
      <c r="FT787" s="1285"/>
      <c r="FU787" s="1285"/>
      <c r="FV787" s="1285"/>
      <c r="FW787" s="1285"/>
      <c r="FX787" s="1285"/>
      <c r="FY787" s="1285"/>
      <c r="FZ787" s="1285"/>
      <c r="GA787" s="1285"/>
      <c r="GB787" s="1285"/>
      <c r="GC787" s="1285"/>
      <c r="GD787" s="1285"/>
      <c r="GE787" s="1285"/>
      <c r="GF787" s="1285"/>
      <c r="GG787" s="1285"/>
      <c r="GH787" s="1285"/>
      <c r="GI787" s="1285"/>
      <c r="GJ787" s="1285"/>
      <c r="GK787" s="1285"/>
      <c r="GL787" s="1285"/>
      <c r="GM787" s="1285"/>
      <c r="GN787" s="1285"/>
      <c r="GO787" s="1285"/>
      <c r="GP787" s="1285"/>
      <c r="GQ787" s="1285"/>
      <c r="GR787" s="1285"/>
      <c r="GS787" s="1285"/>
      <c r="GT787" s="1285"/>
      <c r="GU787" s="1285"/>
      <c r="GV787" s="1285"/>
      <c r="GW787" s="1285"/>
      <c r="GX787" s="1285"/>
      <c r="GY787" s="1285"/>
      <c r="GZ787" s="1285"/>
      <c r="HA787" s="1285"/>
      <c r="HB787" s="1285"/>
      <c r="HC787" s="1285"/>
      <c r="HD787" s="1285"/>
      <c r="HE787" s="1285"/>
      <c r="HF787" s="1285"/>
      <c r="HG787" s="1285"/>
      <c r="HH787" s="1285"/>
      <c r="HI787" s="1285"/>
      <c r="HJ787" s="1285"/>
      <c r="HK787" s="1285"/>
      <c r="HL787" s="1285"/>
      <c r="HM787" s="1285"/>
      <c r="HN787" s="1285"/>
      <c r="HO787" s="1285"/>
      <c r="HP787" s="1285"/>
      <c r="HQ787" s="1285"/>
      <c r="HR787" s="1285"/>
      <c r="HS787" s="1285"/>
      <c r="HT787" s="1285"/>
      <c r="HU787" s="1285"/>
      <c r="HV787" s="1285"/>
      <c r="HW787" s="1285"/>
      <c r="HX787" s="1285"/>
      <c r="HY787" s="1285"/>
      <c r="HZ787" s="1285"/>
      <c r="IA787" s="1285"/>
      <c r="IB787" s="1285"/>
      <c r="IC787" s="1285"/>
      <c r="ID787" s="1285"/>
      <c r="IE787" s="1285"/>
      <c r="IF787" s="1285"/>
      <c r="IG787" s="1285"/>
      <c r="IH787" s="1285"/>
      <c r="II787" s="1285"/>
      <c r="IJ787" s="1285"/>
      <c r="IK787" s="1285"/>
      <c r="IL787" s="1285"/>
      <c r="IM787" s="1285"/>
      <c r="IN787" s="1285"/>
      <c r="IO787" s="1285"/>
      <c r="IP787" s="1285"/>
      <c r="IQ787" s="1285"/>
      <c r="IR787" s="1285"/>
      <c r="IS787" s="1285"/>
      <c r="IT787" s="1285"/>
      <c r="IU787" s="1285"/>
      <c r="IV787" s="1285"/>
      <c r="IW787" s="1285"/>
      <c r="IX787" s="1285"/>
      <c r="IY787" s="1285"/>
      <c r="IZ787" s="1285"/>
      <c r="JA787" s="1285"/>
      <c r="JB787" s="1285"/>
      <c r="JC787" s="1285"/>
      <c r="JD787" s="1285"/>
      <c r="JE787" s="1285"/>
      <c r="JF787" s="1285"/>
      <c r="JG787" s="1285"/>
      <c r="JH787" s="1285"/>
      <c r="JI787" s="1285"/>
      <c r="JJ787" s="1285"/>
      <c r="JK787" s="1285"/>
      <c r="JL787" s="1285"/>
      <c r="JM787" s="1285"/>
      <c r="JN787" s="1285"/>
      <c r="JO787" s="1285"/>
      <c r="JP787" s="1285"/>
      <c r="JQ787" s="1285"/>
      <c r="JR787" s="1285"/>
      <c r="JS787" s="1285"/>
      <c r="JT787" s="1285"/>
      <c r="JU787" s="1285"/>
      <c r="JV787" s="1285"/>
      <c r="JW787" s="1285"/>
      <c r="JX787" s="1285"/>
      <c r="JY787" s="1285"/>
      <c r="JZ787" s="1285"/>
      <c r="KA787" s="1285"/>
      <c r="KB787" s="1285"/>
      <c r="KC787" s="1285"/>
      <c r="KD787" s="1285"/>
      <c r="KE787" s="1285"/>
      <c r="KF787" s="1285"/>
      <c r="KG787" s="1285"/>
      <c r="KH787" s="1285"/>
      <c r="KI787" s="1285"/>
      <c r="KJ787" s="1285"/>
      <c r="KK787" s="1285"/>
      <c r="KL787" s="1285"/>
      <c r="KM787" s="1285"/>
      <c r="KN787" s="1285"/>
      <c r="KO787" s="1285"/>
      <c r="KP787" s="1285"/>
      <c r="KQ787" s="1285"/>
      <c r="KR787" s="1285"/>
      <c r="KS787" s="1285"/>
      <c r="KT787" s="1285"/>
      <c r="KU787" s="1285"/>
      <c r="KV787" s="1285"/>
      <c r="KW787" s="1285"/>
      <c r="KX787" s="1285"/>
      <c r="KY787" s="1285"/>
      <c r="KZ787" s="1285"/>
      <c r="LA787" s="1285"/>
      <c r="LB787" s="1285"/>
      <c r="LC787" s="1285"/>
      <c r="LD787" s="1285"/>
      <c r="LE787" s="1285"/>
      <c r="LF787" s="1285"/>
      <c r="LG787" s="1285"/>
      <c r="LH787" s="1285"/>
      <c r="LI787" s="1285"/>
      <c r="LJ787" s="1285"/>
      <c r="LK787" s="1285"/>
      <c r="LL787" s="1285"/>
      <c r="LM787" s="1285"/>
      <c r="LN787" s="1285"/>
      <c r="LO787" s="1285"/>
      <c r="LP787" s="1285"/>
      <c r="LQ787" s="1285"/>
      <c r="LR787" s="1285"/>
      <c r="LS787" s="1285"/>
      <c r="LT787" s="1285"/>
      <c r="LU787" s="1285"/>
      <c r="LV787" s="1285"/>
      <c r="LW787" s="1285"/>
      <c r="LX787" s="1285"/>
      <c r="LY787" s="1285"/>
      <c r="LZ787" s="1285"/>
      <c r="MA787" s="1285"/>
      <c r="MB787" s="1285"/>
      <c r="MC787" s="1285"/>
      <c r="MD787" s="1285"/>
      <c r="ME787" s="1285"/>
      <c r="MF787" s="1285"/>
      <c r="MG787" s="1285"/>
      <c r="MH787" s="1285"/>
      <c r="MI787" s="1285"/>
      <c r="MJ787" s="1285"/>
      <c r="MK787" s="1285"/>
      <c r="ML787" s="1285"/>
      <c r="MM787" s="1285"/>
      <c r="MN787" s="1285"/>
      <c r="MO787" s="1285"/>
      <c r="MP787" s="1285"/>
      <c r="MQ787" s="1285"/>
      <c r="MR787" s="1285"/>
      <c r="MS787" s="1285"/>
      <c r="MT787" s="1285"/>
      <c r="MU787" s="1285"/>
      <c r="MV787" s="1285"/>
      <c r="MW787" s="1285"/>
      <c r="MX787" s="1285"/>
      <c r="MY787" s="1285"/>
      <c r="MZ787" s="1285"/>
      <c r="NA787" s="1285"/>
      <c r="NB787" s="1285"/>
      <c r="NC787" s="1285"/>
      <c r="ND787" s="1285"/>
      <c r="NE787" s="1285"/>
      <c r="NF787" s="1285"/>
      <c r="NG787" s="1285"/>
      <c r="NH787" s="1285"/>
      <c r="NI787" s="1285"/>
      <c r="NJ787" s="1285"/>
      <c r="NK787" s="1285"/>
      <c r="NL787" s="1285"/>
      <c r="NM787" s="1285"/>
      <c r="NN787" s="1285"/>
      <c r="NO787" s="1285"/>
      <c r="NP787" s="1285"/>
      <c r="NQ787" s="1285"/>
      <c r="NR787" s="1285"/>
      <c r="NS787" s="1285"/>
      <c r="NT787" s="1285"/>
      <c r="NU787" s="1285"/>
      <c r="NV787" s="1285"/>
      <c r="NW787" s="1285"/>
      <c r="NX787" s="1285"/>
      <c r="NY787" s="1285"/>
      <c r="NZ787" s="1285"/>
      <c r="OA787" s="1285"/>
      <c r="OB787" s="1285"/>
      <c r="OC787" s="1285"/>
      <c r="OD787" s="1285"/>
      <c r="OE787" s="1285"/>
      <c r="OF787" s="1285"/>
      <c r="OG787" s="1285"/>
      <c r="OH787" s="1285"/>
      <c r="OI787" s="1285"/>
      <c r="OJ787" s="1285"/>
      <c r="OK787" s="1285"/>
      <c r="OL787" s="1285"/>
      <c r="OM787" s="1285"/>
      <c r="ON787" s="1285"/>
      <c r="OO787" s="1285"/>
      <c r="OP787" s="1285"/>
      <c r="OQ787" s="1285"/>
      <c r="OR787" s="1285"/>
      <c r="OS787" s="1285"/>
      <c r="OT787" s="1285"/>
      <c r="OU787" s="1285"/>
      <c r="OV787" s="1285"/>
      <c r="OW787" s="1285"/>
      <c r="OX787" s="1285"/>
      <c r="OY787" s="1285"/>
      <c r="OZ787" s="1285"/>
      <c r="PA787" s="1285"/>
      <c r="PB787" s="1285"/>
      <c r="PC787" s="1285"/>
      <c r="PD787" s="1285"/>
      <c r="PE787" s="1285"/>
      <c r="PF787" s="1285"/>
      <c r="PG787" s="1285"/>
      <c r="PH787" s="1285"/>
      <c r="PI787" s="1285"/>
      <c r="PJ787" s="1285"/>
      <c r="PK787" s="1285"/>
      <c r="PL787" s="1285"/>
      <c r="PM787" s="1285"/>
      <c r="PN787" s="1285"/>
      <c r="PO787" s="1285"/>
      <c r="PP787" s="1285"/>
      <c r="PQ787" s="1285"/>
      <c r="PR787" s="1285"/>
      <c r="PS787" s="1285"/>
      <c r="PT787" s="1285"/>
      <c r="PU787" s="1285"/>
      <c r="PV787" s="1285"/>
      <c r="PW787" s="1285"/>
      <c r="PX787" s="1285"/>
      <c r="PY787" s="1285"/>
      <c r="PZ787" s="1285"/>
      <c r="QA787" s="1285"/>
      <c r="QB787" s="1285"/>
      <c r="QC787" s="1285"/>
      <c r="QD787" s="1285"/>
      <c r="QE787" s="1285"/>
      <c r="QF787" s="1285"/>
      <c r="QG787" s="1285"/>
      <c r="QH787" s="1285"/>
      <c r="QI787" s="1285"/>
      <c r="QJ787" s="1285"/>
      <c r="QK787" s="1285"/>
      <c r="QL787" s="1285"/>
      <c r="QM787" s="1285"/>
      <c r="QN787" s="1285"/>
      <c r="QO787" s="1285"/>
      <c r="QP787" s="1285"/>
      <c r="QQ787" s="1285"/>
      <c r="QR787" s="1285"/>
      <c r="QS787" s="1285"/>
      <c r="QT787" s="1285"/>
      <c r="QU787" s="1285"/>
      <c r="QV787" s="1285"/>
      <c r="QW787" s="1285"/>
      <c r="QX787" s="1285"/>
      <c r="QY787" s="1285"/>
      <c r="QZ787" s="1285"/>
      <c r="RA787" s="1285"/>
      <c r="RB787" s="1285"/>
      <c r="RC787" s="1285"/>
      <c r="RD787" s="1285"/>
      <c r="RE787" s="1285"/>
      <c r="RF787" s="1285"/>
      <c r="RG787" s="1285"/>
      <c r="RH787" s="1285"/>
      <c r="RI787" s="1285"/>
      <c r="RJ787" s="1285"/>
      <c r="RK787" s="1285"/>
      <c r="RL787" s="1285"/>
      <c r="RM787" s="1285"/>
      <c r="RN787" s="1285"/>
      <c r="RO787" s="1285"/>
      <c r="RP787" s="1285"/>
      <c r="RQ787" s="1285"/>
      <c r="RR787" s="1285"/>
      <c r="RS787" s="1285"/>
      <c r="RT787" s="1285"/>
      <c r="RU787" s="1285"/>
      <c r="RV787" s="1285"/>
      <c r="RW787" s="1285"/>
      <c r="RX787" s="1285"/>
      <c r="RY787" s="1285"/>
      <c r="RZ787" s="1285"/>
      <c r="SA787" s="1285"/>
      <c r="SB787" s="1285"/>
      <c r="SC787" s="1285"/>
      <c r="SD787" s="1285"/>
      <c r="SE787" s="1285"/>
      <c r="SF787" s="1285"/>
      <c r="SG787" s="1285"/>
      <c r="SH787" s="1285"/>
      <c r="SI787" s="1285"/>
      <c r="SJ787" s="1285"/>
      <c r="SK787" s="1285"/>
      <c r="SL787" s="1285"/>
      <c r="SM787" s="1285"/>
      <c r="SN787" s="1285"/>
      <c r="SO787" s="1285"/>
      <c r="SP787" s="1285"/>
      <c r="SQ787" s="1285"/>
      <c r="SR787" s="1285"/>
      <c r="SS787" s="1285"/>
      <c r="ST787" s="1285"/>
      <c r="SU787" s="1285"/>
      <c r="SV787" s="1285"/>
      <c r="SW787" s="1285"/>
      <c r="SX787" s="1285"/>
      <c r="SY787" s="1285"/>
      <c r="SZ787" s="1285"/>
      <c r="TA787" s="1285"/>
      <c r="TB787" s="1285"/>
      <c r="TC787" s="1285"/>
      <c r="TD787" s="1285"/>
      <c r="TE787" s="1285"/>
      <c r="TF787" s="1285"/>
      <c r="TG787" s="1285"/>
      <c r="TH787" s="1285"/>
      <c r="TI787" s="1285"/>
      <c r="TJ787" s="1285"/>
      <c r="TK787" s="1285"/>
      <c r="TL787" s="1285"/>
      <c r="TM787" s="1285"/>
      <c r="TN787" s="1285"/>
      <c r="TO787" s="1285"/>
      <c r="TP787" s="1285"/>
      <c r="TQ787" s="1285"/>
      <c r="TR787" s="1285"/>
      <c r="TS787" s="1285"/>
      <c r="TT787" s="1285"/>
      <c r="TU787" s="1285"/>
      <c r="TV787" s="1285"/>
      <c r="TW787" s="1285"/>
      <c r="TX787" s="1285"/>
      <c r="TY787" s="1285"/>
      <c r="TZ787" s="1285"/>
      <c r="UA787" s="1285"/>
      <c r="UB787" s="1285"/>
      <c r="UC787" s="1285"/>
      <c r="UD787" s="1285"/>
      <c r="UE787" s="1285"/>
      <c r="UF787" s="1285"/>
      <c r="UG787" s="1266"/>
    </row>
    <row r="788" spans="1:553" s="1262" customFormat="1" ht="30.75" customHeight="1">
      <c r="A788" s="356"/>
      <c r="B788" s="356"/>
      <c r="C788" s="390" t="s">
        <v>527</v>
      </c>
      <c r="D788" s="418">
        <v>2</v>
      </c>
      <c r="E788" s="418">
        <v>5</v>
      </c>
      <c r="F788" s="619"/>
      <c r="G788" s="417" t="s">
        <v>196</v>
      </c>
      <c r="H788" s="359"/>
      <c r="I788" s="422">
        <f>187.14*100/10000*((8*18)+(5*2))</f>
        <v>288.19560000000001</v>
      </c>
      <c r="J788" s="368">
        <v>3500</v>
      </c>
      <c r="K788" s="443"/>
      <c r="L788" s="646">
        <f t="shared" si="118"/>
        <v>1008685</v>
      </c>
      <c r="M788" s="356"/>
      <c r="N788" s="356"/>
      <c r="O788" s="356"/>
      <c r="P788" s="356"/>
      <c r="Q788" s="610"/>
      <c r="R788" s="1452"/>
      <c r="S788" s="308"/>
      <c r="T788" s="308"/>
      <c r="U788" s="308"/>
      <c r="V788" s="308"/>
      <c r="W788" s="308"/>
      <c r="X788" s="308"/>
      <c r="Y788" s="308"/>
      <c r="Z788" s="604"/>
      <c r="AA788" s="308"/>
      <c r="AB788" s="308"/>
      <c r="AC788" s="454"/>
      <c r="AD788" s="454"/>
      <c r="AE788" s="454"/>
      <c r="AF788" s="454"/>
      <c r="AG788" s="454"/>
      <c r="AH788" s="454"/>
      <c r="AI788" s="454"/>
      <c r="AJ788" s="454"/>
      <c r="AK788" s="455"/>
      <c r="AL788" s="1263"/>
      <c r="AM788" s="1283"/>
      <c r="AN788" s="1283"/>
      <c r="AO788" s="1283"/>
      <c r="AP788" s="1283"/>
      <c r="AQ788" s="1283"/>
      <c r="AR788" s="1283"/>
      <c r="AS788" s="1284"/>
      <c r="AT788" s="1284"/>
      <c r="AU788" s="1284"/>
      <c r="AV788" s="1284"/>
      <c r="AW788" s="1284"/>
      <c r="AX788" s="1284"/>
      <c r="AY788" s="1284"/>
      <c r="AZ788" s="1284"/>
      <c r="BA788" s="1284"/>
      <c r="BB788" s="1284"/>
      <c r="BC788" s="1284"/>
      <c r="BD788" s="1284"/>
      <c r="BE788" s="1284"/>
      <c r="BF788" s="1284"/>
      <c r="BG788" s="1284"/>
      <c r="BH788" s="1284"/>
      <c r="BI788" s="1284"/>
      <c r="BJ788" s="1284"/>
      <c r="BK788" s="1284"/>
      <c r="BL788" s="1284"/>
      <c r="BM788" s="1284"/>
      <c r="BN788" s="1284"/>
      <c r="BO788" s="1284"/>
      <c r="BP788" s="1285"/>
      <c r="BQ788" s="1285"/>
      <c r="BR788" s="1285"/>
      <c r="BS788" s="1285"/>
      <c r="BT788" s="1285"/>
      <c r="BU788" s="1285"/>
      <c r="BV788" s="1285"/>
      <c r="BW788" s="1285"/>
      <c r="BX788" s="1285"/>
      <c r="BY788" s="1285"/>
      <c r="BZ788" s="1285"/>
      <c r="CA788" s="1285"/>
      <c r="CB788" s="1285"/>
      <c r="CC788" s="1285"/>
      <c r="CD788" s="1285"/>
      <c r="CE788" s="1285"/>
      <c r="CF788" s="1285"/>
      <c r="CG788" s="1285"/>
      <c r="CH788" s="1285"/>
      <c r="CI788" s="1285"/>
      <c r="CJ788" s="1285"/>
      <c r="CK788" s="1285"/>
      <c r="CL788" s="1285"/>
      <c r="CM788" s="1285"/>
      <c r="CN788" s="1285"/>
      <c r="CO788" s="1285"/>
      <c r="CP788" s="1285"/>
      <c r="CQ788" s="1285"/>
      <c r="CR788" s="1285"/>
      <c r="CS788" s="1285"/>
      <c r="CT788" s="1285"/>
      <c r="CU788" s="1285"/>
      <c r="CV788" s="1285"/>
      <c r="CW788" s="1285"/>
      <c r="CX788" s="1285"/>
      <c r="CY788" s="1285"/>
      <c r="CZ788" s="1285"/>
      <c r="DA788" s="1285"/>
      <c r="DB788" s="1285"/>
      <c r="DC788" s="1285"/>
      <c r="DD788" s="1285"/>
      <c r="DE788" s="1285"/>
      <c r="DF788" s="1285"/>
      <c r="DG788" s="1285"/>
      <c r="DH788" s="1285"/>
      <c r="DI788" s="1285"/>
      <c r="DJ788" s="1285"/>
      <c r="DK788" s="1285"/>
      <c r="DL788" s="1285"/>
      <c r="DM788" s="1285"/>
      <c r="DN788" s="1285"/>
      <c r="DO788" s="1285"/>
      <c r="DP788" s="1285"/>
      <c r="DQ788" s="1285"/>
      <c r="DR788" s="1285"/>
      <c r="DS788" s="1285"/>
      <c r="DT788" s="1285"/>
      <c r="DU788" s="1285"/>
      <c r="DV788" s="1285"/>
      <c r="DW788" s="1285"/>
      <c r="DX788" s="1285"/>
      <c r="DY788" s="1285"/>
      <c r="DZ788" s="1285"/>
      <c r="EA788" s="1285"/>
      <c r="EB788" s="1285"/>
      <c r="EC788" s="1285"/>
      <c r="ED788" s="1285"/>
      <c r="EE788" s="1285"/>
      <c r="EF788" s="1285"/>
      <c r="EG788" s="1285"/>
      <c r="EH788" s="1285"/>
      <c r="EI788" s="1285"/>
      <c r="EJ788" s="1285"/>
      <c r="EK788" s="1285"/>
      <c r="EL788" s="1285"/>
      <c r="EM788" s="1285"/>
      <c r="EN788" s="1285"/>
      <c r="EO788" s="1285"/>
      <c r="EP788" s="1285"/>
      <c r="EQ788" s="1285"/>
      <c r="ER788" s="1285"/>
      <c r="ES788" s="1285"/>
      <c r="ET788" s="1285"/>
      <c r="EU788" s="1285"/>
      <c r="EV788" s="1285"/>
      <c r="EW788" s="1285"/>
      <c r="EX788" s="1285"/>
      <c r="EY788" s="1285"/>
      <c r="EZ788" s="1285"/>
      <c r="FA788" s="1285"/>
      <c r="FB788" s="1285"/>
      <c r="FC788" s="1285"/>
      <c r="FD788" s="1285"/>
      <c r="FE788" s="1285"/>
      <c r="FF788" s="1285"/>
      <c r="FG788" s="1285"/>
      <c r="FH788" s="1285"/>
      <c r="FI788" s="1285"/>
      <c r="FJ788" s="1285"/>
      <c r="FK788" s="1285"/>
      <c r="FL788" s="1285"/>
      <c r="FM788" s="1285"/>
      <c r="FN788" s="1285"/>
      <c r="FO788" s="1285"/>
      <c r="FP788" s="1285"/>
      <c r="FQ788" s="1285"/>
      <c r="FR788" s="1285"/>
      <c r="FS788" s="1285"/>
      <c r="FT788" s="1285"/>
      <c r="FU788" s="1285"/>
      <c r="FV788" s="1285"/>
      <c r="FW788" s="1285"/>
      <c r="FX788" s="1285"/>
      <c r="FY788" s="1285"/>
      <c r="FZ788" s="1285"/>
      <c r="GA788" s="1285"/>
      <c r="GB788" s="1285"/>
      <c r="GC788" s="1285"/>
      <c r="GD788" s="1285"/>
      <c r="GE788" s="1285"/>
      <c r="GF788" s="1285"/>
      <c r="GG788" s="1285"/>
      <c r="GH788" s="1285"/>
      <c r="GI788" s="1285"/>
      <c r="GJ788" s="1285"/>
      <c r="GK788" s="1285"/>
      <c r="GL788" s="1285"/>
      <c r="GM788" s="1285"/>
      <c r="GN788" s="1285"/>
      <c r="GO788" s="1285"/>
      <c r="GP788" s="1285"/>
      <c r="GQ788" s="1285"/>
      <c r="GR788" s="1285"/>
      <c r="GS788" s="1285"/>
      <c r="GT788" s="1285"/>
      <c r="GU788" s="1285"/>
      <c r="GV788" s="1285"/>
      <c r="GW788" s="1285"/>
      <c r="GX788" s="1285"/>
      <c r="GY788" s="1285"/>
      <c r="GZ788" s="1285"/>
      <c r="HA788" s="1285"/>
      <c r="HB788" s="1285"/>
      <c r="HC788" s="1285"/>
      <c r="HD788" s="1285"/>
      <c r="HE788" s="1285"/>
      <c r="HF788" s="1285"/>
      <c r="HG788" s="1285"/>
      <c r="HH788" s="1285"/>
      <c r="HI788" s="1285"/>
      <c r="HJ788" s="1285"/>
      <c r="HK788" s="1285"/>
      <c r="HL788" s="1285"/>
      <c r="HM788" s="1285"/>
      <c r="HN788" s="1285"/>
      <c r="HO788" s="1285"/>
      <c r="HP788" s="1285"/>
      <c r="HQ788" s="1285"/>
      <c r="HR788" s="1285"/>
      <c r="HS788" s="1285"/>
      <c r="HT788" s="1285"/>
      <c r="HU788" s="1285"/>
      <c r="HV788" s="1285"/>
      <c r="HW788" s="1285"/>
      <c r="HX788" s="1285"/>
      <c r="HY788" s="1285"/>
      <c r="HZ788" s="1285"/>
      <c r="IA788" s="1285"/>
      <c r="IB788" s="1285"/>
      <c r="IC788" s="1285"/>
      <c r="ID788" s="1285"/>
      <c r="IE788" s="1285"/>
      <c r="IF788" s="1285"/>
      <c r="IG788" s="1285"/>
      <c r="IH788" s="1285"/>
      <c r="II788" s="1285"/>
      <c r="IJ788" s="1285"/>
      <c r="IK788" s="1285"/>
      <c r="IL788" s="1285"/>
      <c r="IM788" s="1285"/>
      <c r="IN788" s="1285"/>
      <c r="IO788" s="1285"/>
      <c r="IP788" s="1285"/>
      <c r="IQ788" s="1285"/>
      <c r="IR788" s="1285"/>
      <c r="IS788" s="1285"/>
      <c r="IT788" s="1285"/>
      <c r="IU788" s="1285"/>
      <c r="IV788" s="1285"/>
      <c r="IW788" s="1285"/>
      <c r="IX788" s="1285"/>
      <c r="IY788" s="1285"/>
      <c r="IZ788" s="1285"/>
      <c r="JA788" s="1285"/>
      <c r="JB788" s="1285"/>
      <c r="JC788" s="1285"/>
      <c r="JD788" s="1285"/>
      <c r="JE788" s="1285"/>
      <c r="JF788" s="1285"/>
      <c r="JG788" s="1285"/>
      <c r="JH788" s="1285"/>
      <c r="JI788" s="1285"/>
      <c r="JJ788" s="1285"/>
      <c r="JK788" s="1285"/>
      <c r="JL788" s="1285"/>
      <c r="JM788" s="1285"/>
      <c r="JN788" s="1285"/>
      <c r="JO788" s="1285"/>
      <c r="JP788" s="1285"/>
      <c r="JQ788" s="1285"/>
      <c r="JR788" s="1285"/>
      <c r="JS788" s="1285"/>
      <c r="JT788" s="1285"/>
      <c r="JU788" s="1285"/>
      <c r="JV788" s="1285"/>
      <c r="JW788" s="1285"/>
      <c r="JX788" s="1285"/>
      <c r="JY788" s="1285"/>
      <c r="JZ788" s="1285"/>
      <c r="KA788" s="1285"/>
      <c r="KB788" s="1285"/>
      <c r="KC788" s="1285"/>
      <c r="KD788" s="1285"/>
      <c r="KE788" s="1285"/>
      <c r="KF788" s="1285"/>
      <c r="KG788" s="1285"/>
      <c r="KH788" s="1285"/>
      <c r="KI788" s="1285"/>
      <c r="KJ788" s="1285"/>
      <c r="KK788" s="1285"/>
      <c r="KL788" s="1285"/>
      <c r="KM788" s="1285"/>
      <c r="KN788" s="1285"/>
      <c r="KO788" s="1285"/>
      <c r="KP788" s="1285"/>
      <c r="KQ788" s="1285"/>
      <c r="KR788" s="1285"/>
      <c r="KS788" s="1285"/>
      <c r="KT788" s="1285"/>
      <c r="KU788" s="1285"/>
      <c r="KV788" s="1285"/>
      <c r="KW788" s="1285"/>
      <c r="KX788" s="1285"/>
      <c r="KY788" s="1285"/>
      <c r="KZ788" s="1285"/>
      <c r="LA788" s="1285"/>
      <c r="LB788" s="1285"/>
      <c r="LC788" s="1285"/>
      <c r="LD788" s="1285"/>
      <c r="LE788" s="1285"/>
      <c r="LF788" s="1285"/>
      <c r="LG788" s="1285"/>
      <c r="LH788" s="1285"/>
      <c r="LI788" s="1285"/>
      <c r="LJ788" s="1285"/>
      <c r="LK788" s="1285"/>
      <c r="LL788" s="1285"/>
      <c r="LM788" s="1285"/>
      <c r="LN788" s="1285"/>
      <c r="LO788" s="1285"/>
      <c r="LP788" s="1285"/>
      <c r="LQ788" s="1285"/>
      <c r="LR788" s="1285"/>
      <c r="LS788" s="1285"/>
      <c r="LT788" s="1285"/>
      <c r="LU788" s="1285"/>
      <c r="LV788" s="1285"/>
      <c r="LW788" s="1285"/>
      <c r="LX788" s="1285"/>
      <c r="LY788" s="1285"/>
      <c r="LZ788" s="1285"/>
      <c r="MA788" s="1285"/>
      <c r="MB788" s="1285"/>
      <c r="MC788" s="1285"/>
      <c r="MD788" s="1285"/>
      <c r="ME788" s="1285"/>
      <c r="MF788" s="1285"/>
      <c r="MG788" s="1285"/>
      <c r="MH788" s="1285"/>
      <c r="MI788" s="1285"/>
      <c r="MJ788" s="1285"/>
      <c r="MK788" s="1285"/>
      <c r="ML788" s="1285"/>
      <c r="MM788" s="1285"/>
      <c r="MN788" s="1285"/>
      <c r="MO788" s="1285"/>
      <c r="MP788" s="1285"/>
      <c r="MQ788" s="1285"/>
      <c r="MR788" s="1285"/>
      <c r="MS788" s="1285"/>
      <c r="MT788" s="1285"/>
      <c r="MU788" s="1285"/>
      <c r="MV788" s="1285"/>
      <c r="MW788" s="1285"/>
      <c r="MX788" s="1285"/>
      <c r="MY788" s="1285"/>
      <c r="MZ788" s="1285"/>
      <c r="NA788" s="1285"/>
      <c r="NB788" s="1285"/>
      <c r="NC788" s="1285"/>
      <c r="ND788" s="1285"/>
      <c r="NE788" s="1285"/>
      <c r="NF788" s="1285"/>
      <c r="NG788" s="1285"/>
      <c r="NH788" s="1285"/>
      <c r="NI788" s="1285"/>
      <c r="NJ788" s="1285"/>
      <c r="NK788" s="1285"/>
      <c r="NL788" s="1285"/>
      <c r="NM788" s="1285"/>
      <c r="NN788" s="1285"/>
      <c r="NO788" s="1285"/>
      <c r="NP788" s="1285"/>
      <c r="NQ788" s="1285"/>
      <c r="NR788" s="1285"/>
      <c r="NS788" s="1285"/>
      <c r="NT788" s="1285"/>
      <c r="NU788" s="1285"/>
      <c r="NV788" s="1285"/>
      <c r="NW788" s="1285"/>
      <c r="NX788" s="1285"/>
      <c r="NY788" s="1285"/>
      <c r="NZ788" s="1285"/>
      <c r="OA788" s="1285"/>
      <c r="OB788" s="1285"/>
      <c r="OC788" s="1285"/>
      <c r="OD788" s="1285"/>
      <c r="OE788" s="1285"/>
      <c r="OF788" s="1285"/>
      <c r="OG788" s="1285"/>
      <c r="OH788" s="1285"/>
      <c r="OI788" s="1285"/>
      <c r="OJ788" s="1285"/>
      <c r="OK788" s="1285"/>
      <c r="OL788" s="1285"/>
      <c r="OM788" s="1285"/>
      <c r="ON788" s="1285"/>
      <c r="OO788" s="1285"/>
      <c r="OP788" s="1285"/>
      <c r="OQ788" s="1285"/>
      <c r="OR788" s="1285"/>
      <c r="OS788" s="1285"/>
      <c r="OT788" s="1285"/>
      <c r="OU788" s="1285"/>
      <c r="OV788" s="1285"/>
      <c r="OW788" s="1285"/>
      <c r="OX788" s="1285"/>
      <c r="OY788" s="1285"/>
      <c r="OZ788" s="1285"/>
      <c r="PA788" s="1285"/>
      <c r="PB788" s="1285"/>
      <c r="PC788" s="1285"/>
      <c r="PD788" s="1285"/>
      <c r="PE788" s="1285"/>
      <c r="PF788" s="1285"/>
      <c r="PG788" s="1285"/>
      <c r="PH788" s="1285"/>
      <c r="PI788" s="1285"/>
      <c r="PJ788" s="1285"/>
      <c r="PK788" s="1285"/>
      <c r="PL788" s="1285"/>
      <c r="PM788" s="1285"/>
      <c r="PN788" s="1285"/>
      <c r="PO788" s="1285"/>
      <c r="PP788" s="1285"/>
      <c r="PQ788" s="1285"/>
      <c r="PR788" s="1285"/>
      <c r="PS788" s="1285"/>
      <c r="PT788" s="1285"/>
      <c r="PU788" s="1285"/>
      <c r="PV788" s="1285"/>
      <c r="PW788" s="1285"/>
      <c r="PX788" s="1285"/>
      <c r="PY788" s="1285"/>
      <c r="PZ788" s="1285"/>
      <c r="QA788" s="1285"/>
      <c r="QB788" s="1285"/>
      <c r="QC788" s="1285"/>
      <c r="QD788" s="1285"/>
      <c r="QE788" s="1285"/>
      <c r="QF788" s="1285"/>
      <c r="QG788" s="1285"/>
      <c r="QH788" s="1285"/>
      <c r="QI788" s="1285"/>
      <c r="QJ788" s="1285"/>
      <c r="QK788" s="1285"/>
      <c r="QL788" s="1285"/>
      <c r="QM788" s="1285"/>
      <c r="QN788" s="1285"/>
      <c r="QO788" s="1285"/>
      <c r="QP788" s="1285"/>
      <c r="QQ788" s="1285"/>
      <c r="QR788" s="1285"/>
      <c r="QS788" s="1285"/>
      <c r="QT788" s="1285"/>
      <c r="QU788" s="1285"/>
      <c r="QV788" s="1285"/>
      <c r="QW788" s="1285"/>
      <c r="QX788" s="1285"/>
      <c r="QY788" s="1285"/>
      <c r="QZ788" s="1285"/>
      <c r="RA788" s="1285"/>
      <c r="RB788" s="1285"/>
      <c r="RC788" s="1285"/>
      <c r="RD788" s="1285"/>
      <c r="RE788" s="1285"/>
      <c r="RF788" s="1285"/>
      <c r="RG788" s="1285"/>
      <c r="RH788" s="1285"/>
      <c r="RI788" s="1285"/>
      <c r="RJ788" s="1285"/>
      <c r="RK788" s="1285"/>
      <c r="RL788" s="1285"/>
      <c r="RM788" s="1285"/>
      <c r="RN788" s="1285"/>
      <c r="RO788" s="1285"/>
      <c r="RP788" s="1285"/>
      <c r="RQ788" s="1285"/>
      <c r="RR788" s="1285"/>
      <c r="RS788" s="1285"/>
      <c r="RT788" s="1285"/>
      <c r="RU788" s="1285"/>
      <c r="RV788" s="1285"/>
      <c r="RW788" s="1285"/>
      <c r="RX788" s="1285"/>
      <c r="RY788" s="1285"/>
      <c r="RZ788" s="1285"/>
      <c r="SA788" s="1285"/>
      <c r="SB788" s="1285"/>
      <c r="SC788" s="1285"/>
      <c r="SD788" s="1285"/>
      <c r="SE788" s="1285"/>
      <c r="SF788" s="1285"/>
      <c r="SG788" s="1285"/>
      <c r="SH788" s="1285"/>
      <c r="SI788" s="1285"/>
      <c r="SJ788" s="1285"/>
      <c r="SK788" s="1285"/>
      <c r="SL788" s="1285"/>
      <c r="SM788" s="1285"/>
      <c r="SN788" s="1285"/>
      <c r="SO788" s="1285"/>
      <c r="SP788" s="1285"/>
      <c r="SQ788" s="1285"/>
      <c r="SR788" s="1285"/>
      <c r="SS788" s="1285"/>
      <c r="ST788" s="1285"/>
      <c r="SU788" s="1285"/>
      <c r="SV788" s="1285"/>
      <c r="SW788" s="1285"/>
      <c r="SX788" s="1285"/>
      <c r="SY788" s="1285"/>
      <c r="SZ788" s="1285"/>
      <c r="TA788" s="1285"/>
      <c r="TB788" s="1285"/>
      <c r="TC788" s="1285"/>
      <c r="TD788" s="1285"/>
      <c r="TE788" s="1285"/>
      <c r="TF788" s="1285"/>
      <c r="TG788" s="1285"/>
      <c r="TH788" s="1285"/>
      <c r="TI788" s="1285"/>
      <c r="TJ788" s="1285"/>
      <c r="TK788" s="1285"/>
      <c r="TL788" s="1285"/>
      <c r="TM788" s="1285"/>
      <c r="TN788" s="1285"/>
      <c r="TO788" s="1285"/>
      <c r="TP788" s="1285"/>
      <c r="TQ788" s="1285"/>
      <c r="TR788" s="1285"/>
      <c r="TS788" s="1285"/>
      <c r="TT788" s="1285"/>
      <c r="TU788" s="1285"/>
      <c r="TV788" s="1285"/>
      <c r="TW788" s="1285"/>
      <c r="TX788" s="1285"/>
      <c r="TY788" s="1285"/>
      <c r="TZ788" s="1285"/>
      <c r="UA788" s="1285"/>
      <c r="UB788" s="1285"/>
      <c r="UC788" s="1285"/>
      <c r="UD788" s="1285"/>
      <c r="UE788" s="1285"/>
      <c r="UF788" s="1285"/>
      <c r="UG788" s="1266"/>
    </row>
    <row r="789" spans="1:553" s="1262" customFormat="1" ht="30.75" customHeight="1">
      <c r="A789" s="356"/>
      <c r="B789" s="356"/>
      <c r="C789" s="390" t="s">
        <v>528</v>
      </c>
      <c r="D789" s="418">
        <v>2</v>
      </c>
      <c r="E789" s="418">
        <v>5</v>
      </c>
      <c r="F789" s="619"/>
      <c r="G789" s="418" t="s">
        <v>193</v>
      </c>
      <c r="H789" s="359"/>
      <c r="I789" s="443">
        <v>10</v>
      </c>
      <c r="J789" s="368">
        <v>125000</v>
      </c>
      <c r="K789" s="443"/>
      <c r="L789" s="646">
        <f t="shared" si="118"/>
        <v>1250000</v>
      </c>
      <c r="M789" s="356"/>
      <c r="N789" s="356"/>
      <c r="O789" s="356"/>
      <c r="P789" s="356"/>
      <c r="Q789" s="610"/>
      <c r="R789" s="1452"/>
      <c r="S789" s="308"/>
      <c r="T789" s="308"/>
      <c r="U789" s="308"/>
      <c r="V789" s="308"/>
      <c r="W789" s="308"/>
      <c r="X789" s="308"/>
      <c r="Y789" s="308"/>
      <c r="Z789" s="604"/>
      <c r="AA789" s="308"/>
      <c r="AB789" s="308"/>
      <c r="AC789" s="454"/>
      <c r="AD789" s="454"/>
      <c r="AE789" s="454"/>
      <c r="AF789" s="454"/>
      <c r="AG789" s="454"/>
      <c r="AH789" s="454"/>
      <c r="AI789" s="454"/>
      <c r="AJ789" s="454"/>
      <c r="AK789" s="455"/>
      <c r="AL789" s="1263"/>
      <c r="AM789" s="1283"/>
      <c r="AN789" s="1283"/>
      <c r="AO789" s="1283"/>
      <c r="AP789" s="1283"/>
      <c r="AQ789" s="1283"/>
      <c r="AR789" s="1283"/>
      <c r="AS789" s="1284"/>
      <c r="AT789" s="1284"/>
      <c r="AU789" s="1284"/>
      <c r="AV789" s="1284"/>
      <c r="AW789" s="1284"/>
      <c r="AX789" s="1284"/>
      <c r="AY789" s="1284"/>
      <c r="AZ789" s="1284"/>
      <c r="BA789" s="1284"/>
      <c r="BB789" s="1284"/>
      <c r="BC789" s="1284"/>
      <c r="BD789" s="1284"/>
      <c r="BE789" s="1284"/>
      <c r="BF789" s="1284"/>
      <c r="BG789" s="1284"/>
      <c r="BH789" s="1284"/>
      <c r="BI789" s="1284"/>
      <c r="BJ789" s="1284"/>
      <c r="BK789" s="1284"/>
      <c r="BL789" s="1284"/>
      <c r="BM789" s="1284"/>
      <c r="BN789" s="1284"/>
      <c r="BO789" s="1284"/>
      <c r="BP789" s="1285"/>
      <c r="BQ789" s="1285"/>
      <c r="BR789" s="1285"/>
      <c r="BS789" s="1285"/>
      <c r="BT789" s="1285"/>
      <c r="BU789" s="1285"/>
      <c r="BV789" s="1285"/>
      <c r="BW789" s="1285"/>
      <c r="BX789" s="1285"/>
      <c r="BY789" s="1285"/>
      <c r="BZ789" s="1285"/>
      <c r="CA789" s="1285"/>
      <c r="CB789" s="1285"/>
      <c r="CC789" s="1285"/>
      <c r="CD789" s="1285"/>
      <c r="CE789" s="1285"/>
      <c r="CF789" s="1285"/>
      <c r="CG789" s="1285"/>
      <c r="CH789" s="1285"/>
      <c r="CI789" s="1285"/>
      <c r="CJ789" s="1285"/>
      <c r="CK789" s="1285"/>
      <c r="CL789" s="1285"/>
      <c r="CM789" s="1285"/>
      <c r="CN789" s="1285"/>
      <c r="CO789" s="1285"/>
      <c r="CP789" s="1285"/>
      <c r="CQ789" s="1285"/>
      <c r="CR789" s="1285"/>
      <c r="CS789" s="1285"/>
      <c r="CT789" s="1285"/>
      <c r="CU789" s="1285"/>
      <c r="CV789" s="1285"/>
      <c r="CW789" s="1285"/>
      <c r="CX789" s="1285"/>
      <c r="CY789" s="1285"/>
      <c r="CZ789" s="1285"/>
      <c r="DA789" s="1285"/>
      <c r="DB789" s="1285"/>
      <c r="DC789" s="1285"/>
      <c r="DD789" s="1285"/>
      <c r="DE789" s="1285"/>
      <c r="DF789" s="1285"/>
      <c r="DG789" s="1285"/>
      <c r="DH789" s="1285"/>
      <c r="DI789" s="1285"/>
      <c r="DJ789" s="1285"/>
      <c r="DK789" s="1285"/>
      <c r="DL789" s="1285"/>
      <c r="DM789" s="1285"/>
      <c r="DN789" s="1285"/>
      <c r="DO789" s="1285"/>
      <c r="DP789" s="1285"/>
      <c r="DQ789" s="1285"/>
      <c r="DR789" s="1285"/>
      <c r="DS789" s="1285"/>
      <c r="DT789" s="1285"/>
      <c r="DU789" s="1285"/>
      <c r="DV789" s="1285"/>
      <c r="DW789" s="1285"/>
      <c r="DX789" s="1285"/>
      <c r="DY789" s="1285"/>
      <c r="DZ789" s="1285"/>
      <c r="EA789" s="1285"/>
      <c r="EB789" s="1285"/>
      <c r="EC789" s="1285"/>
      <c r="ED789" s="1285"/>
      <c r="EE789" s="1285"/>
      <c r="EF789" s="1285"/>
      <c r="EG789" s="1285"/>
      <c r="EH789" s="1285"/>
      <c r="EI789" s="1285"/>
      <c r="EJ789" s="1285"/>
      <c r="EK789" s="1285"/>
      <c r="EL789" s="1285"/>
      <c r="EM789" s="1285"/>
      <c r="EN789" s="1285"/>
      <c r="EO789" s="1285"/>
      <c r="EP789" s="1285"/>
      <c r="EQ789" s="1285"/>
      <c r="ER789" s="1285"/>
      <c r="ES789" s="1285"/>
      <c r="ET789" s="1285"/>
      <c r="EU789" s="1285"/>
      <c r="EV789" s="1285"/>
      <c r="EW789" s="1285"/>
      <c r="EX789" s="1285"/>
      <c r="EY789" s="1285"/>
      <c r="EZ789" s="1285"/>
      <c r="FA789" s="1285"/>
      <c r="FB789" s="1285"/>
      <c r="FC789" s="1285"/>
      <c r="FD789" s="1285"/>
      <c r="FE789" s="1285"/>
      <c r="FF789" s="1285"/>
      <c r="FG789" s="1285"/>
      <c r="FH789" s="1285"/>
      <c r="FI789" s="1285"/>
      <c r="FJ789" s="1285"/>
      <c r="FK789" s="1285"/>
      <c r="FL789" s="1285"/>
      <c r="FM789" s="1285"/>
      <c r="FN789" s="1285"/>
      <c r="FO789" s="1285"/>
      <c r="FP789" s="1285"/>
      <c r="FQ789" s="1285"/>
      <c r="FR789" s="1285"/>
      <c r="FS789" s="1285"/>
      <c r="FT789" s="1285"/>
      <c r="FU789" s="1285"/>
      <c r="FV789" s="1285"/>
      <c r="FW789" s="1285"/>
      <c r="FX789" s="1285"/>
      <c r="FY789" s="1285"/>
      <c r="FZ789" s="1285"/>
      <c r="GA789" s="1285"/>
      <c r="GB789" s="1285"/>
      <c r="GC789" s="1285"/>
      <c r="GD789" s="1285"/>
      <c r="GE789" s="1285"/>
      <c r="GF789" s="1285"/>
      <c r="GG789" s="1285"/>
      <c r="GH789" s="1285"/>
      <c r="GI789" s="1285"/>
      <c r="GJ789" s="1285"/>
      <c r="GK789" s="1285"/>
      <c r="GL789" s="1285"/>
      <c r="GM789" s="1285"/>
      <c r="GN789" s="1285"/>
      <c r="GO789" s="1285"/>
      <c r="GP789" s="1285"/>
      <c r="GQ789" s="1285"/>
      <c r="GR789" s="1285"/>
      <c r="GS789" s="1285"/>
      <c r="GT789" s="1285"/>
      <c r="GU789" s="1285"/>
      <c r="GV789" s="1285"/>
      <c r="GW789" s="1285"/>
      <c r="GX789" s="1285"/>
      <c r="GY789" s="1285"/>
      <c r="GZ789" s="1285"/>
      <c r="HA789" s="1285"/>
      <c r="HB789" s="1285"/>
      <c r="HC789" s="1285"/>
      <c r="HD789" s="1285"/>
      <c r="HE789" s="1285"/>
      <c r="HF789" s="1285"/>
      <c r="HG789" s="1285"/>
      <c r="HH789" s="1285"/>
      <c r="HI789" s="1285"/>
      <c r="HJ789" s="1285"/>
      <c r="HK789" s="1285"/>
      <c r="HL789" s="1285"/>
      <c r="HM789" s="1285"/>
      <c r="HN789" s="1285"/>
      <c r="HO789" s="1285"/>
      <c r="HP789" s="1285"/>
      <c r="HQ789" s="1285"/>
      <c r="HR789" s="1285"/>
      <c r="HS789" s="1285"/>
      <c r="HT789" s="1285"/>
      <c r="HU789" s="1285"/>
      <c r="HV789" s="1285"/>
      <c r="HW789" s="1285"/>
      <c r="HX789" s="1285"/>
      <c r="HY789" s="1285"/>
      <c r="HZ789" s="1285"/>
      <c r="IA789" s="1285"/>
      <c r="IB789" s="1285"/>
      <c r="IC789" s="1285"/>
      <c r="ID789" s="1285"/>
      <c r="IE789" s="1285"/>
      <c r="IF789" s="1285"/>
      <c r="IG789" s="1285"/>
      <c r="IH789" s="1285"/>
      <c r="II789" s="1285"/>
      <c r="IJ789" s="1285"/>
      <c r="IK789" s="1285"/>
      <c r="IL789" s="1285"/>
      <c r="IM789" s="1285"/>
      <c r="IN789" s="1285"/>
      <c r="IO789" s="1285"/>
      <c r="IP789" s="1285"/>
      <c r="IQ789" s="1285"/>
      <c r="IR789" s="1285"/>
      <c r="IS789" s="1285"/>
      <c r="IT789" s="1285"/>
      <c r="IU789" s="1285"/>
      <c r="IV789" s="1285"/>
      <c r="IW789" s="1285"/>
      <c r="IX789" s="1285"/>
      <c r="IY789" s="1285"/>
      <c r="IZ789" s="1285"/>
      <c r="JA789" s="1285"/>
      <c r="JB789" s="1285"/>
      <c r="JC789" s="1285"/>
      <c r="JD789" s="1285"/>
      <c r="JE789" s="1285"/>
      <c r="JF789" s="1285"/>
      <c r="JG789" s="1285"/>
      <c r="JH789" s="1285"/>
      <c r="JI789" s="1285"/>
      <c r="JJ789" s="1285"/>
      <c r="JK789" s="1285"/>
      <c r="JL789" s="1285"/>
      <c r="JM789" s="1285"/>
      <c r="JN789" s="1285"/>
      <c r="JO789" s="1285"/>
      <c r="JP789" s="1285"/>
      <c r="JQ789" s="1285"/>
      <c r="JR789" s="1285"/>
      <c r="JS789" s="1285"/>
      <c r="JT789" s="1285"/>
      <c r="JU789" s="1285"/>
      <c r="JV789" s="1285"/>
      <c r="JW789" s="1285"/>
      <c r="JX789" s="1285"/>
      <c r="JY789" s="1285"/>
      <c r="JZ789" s="1285"/>
      <c r="KA789" s="1285"/>
      <c r="KB789" s="1285"/>
      <c r="KC789" s="1285"/>
      <c r="KD789" s="1285"/>
      <c r="KE789" s="1285"/>
      <c r="KF789" s="1285"/>
      <c r="KG789" s="1285"/>
      <c r="KH789" s="1285"/>
      <c r="KI789" s="1285"/>
      <c r="KJ789" s="1285"/>
      <c r="KK789" s="1285"/>
      <c r="KL789" s="1285"/>
      <c r="KM789" s="1285"/>
      <c r="KN789" s="1285"/>
      <c r="KO789" s="1285"/>
      <c r="KP789" s="1285"/>
      <c r="KQ789" s="1285"/>
      <c r="KR789" s="1285"/>
      <c r="KS789" s="1285"/>
      <c r="KT789" s="1285"/>
      <c r="KU789" s="1285"/>
      <c r="KV789" s="1285"/>
      <c r="KW789" s="1285"/>
      <c r="KX789" s="1285"/>
      <c r="KY789" s="1285"/>
      <c r="KZ789" s="1285"/>
      <c r="LA789" s="1285"/>
      <c r="LB789" s="1285"/>
      <c r="LC789" s="1285"/>
      <c r="LD789" s="1285"/>
      <c r="LE789" s="1285"/>
      <c r="LF789" s="1285"/>
      <c r="LG789" s="1285"/>
      <c r="LH789" s="1285"/>
      <c r="LI789" s="1285"/>
      <c r="LJ789" s="1285"/>
      <c r="LK789" s="1285"/>
      <c r="LL789" s="1285"/>
      <c r="LM789" s="1285"/>
      <c r="LN789" s="1285"/>
      <c r="LO789" s="1285"/>
      <c r="LP789" s="1285"/>
      <c r="LQ789" s="1285"/>
      <c r="LR789" s="1285"/>
      <c r="LS789" s="1285"/>
      <c r="LT789" s="1285"/>
      <c r="LU789" s="1285"/>
      <c r="LV789" s="1285"/>
      <c r="LW789" s="1285"/>
      <c r="LX789" s="1285"/>
      <c r="LY789" s="1285"/>
      <c r="LZ789" s="1285"/>
      <c r="MA789" s="1285"/>
      <c r="MB789" s="1285"/>
      <c r="MC789" s="1285"/>
      <c r="MD789" s="1285"/>
      <c r="ME789" s="1285"/>
      <c r="MF789" s="1285"/>
      <c r="MG789" s="1285"/>
      <c r="MH789" s="1285"/>
      <c r="MI789" s="1285"/>
      <c r="MJ789" s="1285"/>
      <c r="MK789" s="1285"/>
      <c r="ML789" s="1285"/>
      <c r="MM789" s="1285"/>
      <c r="MN789" s="1285"/>
      <c r="MO789" s="1285"/>
      <c r="MP789" s="1285"/>
      <c r="MQ789" s="1285"/>
      <c r="MR789" s="1285"/>
      <c r="MS789" s="1285"/>
      <c r="MT789" s="1285"/>
      <c r="MU789" s="1285"/>
      <c r="MV789" s="1285"/>
      <c r="MW789" s="1285"/>
      <c r="MX789" s="1285"/>
      <c r="MY789" s="1285"/>
      <c r="MZ789" s="1285"/>
      <c r="NA789" s="1285"/>
      <c r="NB789" s="1285"/>
      <c r="NC789" s="1285"/>
      <c r="ND789" s="1285"/>
      <c r="NE789" s="1285"/>
      <c r="NF789" s="1285"/>
      <c r="NG789" s="1285"/>
      <c r="NH789" s="1285"/>
      <c r="NI789" s="1285"/>
      <c r="NJ789" s="1285"/>
      <c r="NK789" s="1285"/>
      <c r="NL789" s="1285"/>
      <c r="NM789" s="1285"/>
      <c r="NN789" s="1285"/>
      <c r="NO789" s="1285"/>
      <c r="NP789" s="1285"/>
      <c r="NQ789" s="1285"/>
      <c r="NR789" s="1285"/>
      <c r="NS789" s="1285"/>
      <c r="NT789" s="1285"/>
      <c r="NU789" s="1285"/>
      <c r="NV789" s="1285"/>
      <c r="NW789" s="1285"/>
      <c r="NX789" s="1285"/>
      <c r="NY789" s="1285"/>
      <c r="NZ789" s="1285"/>
      <c r="OA789" s="1285"/>
      <c r="OB789" s="1285"/>
      <c r="OC789" s="1285"/>
      <c r="OD789" s="1285"/>
      <c r="OE789" s="1285"/>
      <c r="OF789" s="1285"/>
      <c r="OG789" s="1285"/>
      <c r="OH789" s="1285"/>
      <c r="OI789" s="1285"/>
      <c r="OJ789" s="1285"/>
      <c r="OK789" s="1285"/>
      <c r="OL789" s="1285"/>
      <c r="OM789" s="1285"/>
      <c r="ON789" s="1285"/>
      <c r="OO789" s="1285"/>
      <c r="OP789" s="1285"/>
      <c r="OQ789" s="1285"/>
      <c r="OR789" s="1285"/>
      <c r="OS789" s="1285"/>
      <c r="OT789" s="1285"/>
      <c r="OU789" s="1285"/>
      <c r="OV789" s="1285"/>
      <c r="OW789" s="1285"/>
      <c r="OX789" s="1285"/>
      <c r="OY789" s="1285"/>
      <c r="OZ789" s="1285"/>
      <c r="PA789" s="1285"/>
      <c r="PB789" s="1285"/>
      <c r="PC789" s="1285"/>
      <c r="PD789" s="1285"/>
      <c r="PE789" s="1285"/>
      <c r="PF789" s="1285"/>
      <c r="PG789" s="1285"/>
      <c r="PH789" s="1285"/>
      <c r="PI789" s="1285"/>
      <c r="PJ789" s="1285"/>
      <c r="PK789" s="1285"/>
      <c r="PL789" s="1285"/>
      <c r="PM789" s="1285"/>
      <c r="PN789" s="1285"/>
      <c r="PO789" s="1285"/>
      <c r="PP789" s="1285"/>
      <c r="PQ789" s="1285"/>
      <c r="PR789" s="1285"/>
      <c r="PS789" s="1285"/>
      <c r="PT789" s="1285"/>
      <c r="PU789" s="1285"/>
      <c r="PV789" s="1285"/>
      <c r="PW789" s="1285"/>
      <c r="PX789" s="1285"/>
      <c r="PY789" s="1285"/>
      <c r="PZ789" s="1285"/>
      <c r="QA789" s="1285"/>
      <c r="QB789" s="1285"/>
      <c r="QC789" s="1285"/>
      <c r="QD789" s="1285"/>
      <c r="QE789" s="1285"/>
      <c r="QF789" s="1285"/>
      <c r="QG789" s="1285"/>
      <c r="QH789" s="1285"/>
      <c r="QI789" s="1285"/>
      <c r="QJ789" s="1285"/>
      <c r="QK789" s="1285"/>
      <c r="QL789" s="1285"/>
      <c r="QM789" s="1285"/>
      <c r="QN789" s="1285"/>
      <c r="QO789" s="1285"/>
      <c r="QP789" s="1285"/>
      <c r="QQ789" s="1285"/>
      <c r="QR789" s="1285"/>
      <c r="QS789" s="1285"/>
      <c r="QT789" s="1285"/>
      <c r="QU789" s="1285"/>
      <c r="QV789" s="1285"/>
      <c r="QW789" s="1285"/>
      <c r="QX789" s="1285"/>
      <c r="QY789" s="1285"/>
      <c r="QZ789" s="1285"/>
      <c r="RA789" s="1285"/>
      <c r="RB789" s="1285"/>
      <c r="RC789" s="1285"/>
      <c r="RD789" s="1285"/>
      <c r="RE789" s="1285"/>
      <c r="RF789" s="1285"/>
      <c r="RG789" s="1285"/>
      <c r="RH789" s="1285"/>
      <c r="RI789" s="1285"/>
      <c r="RJ789" s="1285"/>
      <c r="RK789" s="1285"/>
      <c r="RL789" s="1285"/>
      <c r="RM789" s="1285"/>
      <c r="RN789" s="1285"/>
      <c r="RO789" s="1285"/>
      <c r="RP789" s="1285"/>
      <c r="RQ789" s="1285"/>
      <c r="RR789" s="1285"/>
      <c r="RS789" s="1285"/>
      <c r="RT789" s="1285"/>
      <c r="RU789" s="1285"/>
      <c r="RV789" s="1285"/>
      <c r="RW789" s="1285"/>
      <c r="RX789" s="1285"/>
      <c r="RY789" s="1285"/>
      <c r="RZ789" s="1285"/>
      <c r="SA789" s="1285"/>
      <c r="SB789" s="1285"/>
      <c r="SC789" s="1285"/>
      <c r="SD789" s="1285"/>
      <c r="SE789" s="1285"/>
      <c r="SF789" s="1285"/>
      <c r="SG789" s="1285"/>
      <c r="SH789" s="1285"/>
      <c r="SI789" s="1285"/>
      <c r="SJ789" s="1285"/>
      <c r="SK789" s="1285"/>
      <c r="SL789" s="1285"/>
      <c r="SM789" s="1285"/>
      <c r="SN789" s="1285"/>
      <c r="SO789" s="1285"/>
      <c r="SP789" s="1285"/>
      <c r="SQ789" s="1285"/>
      <c r="SR789" s="1285"/>
      <c r="SS789" s="1285"/>
      <c r="ST789" s="1285"/>
      <c r="SU789" s="1285"/>
      <c r="SV789" s="1285"/>
      <c r="SW789" s="1285"/>
      <c r="SX789" s="1285"/>
      <c r="SY789" s="1285"/>
      <c r="SZ789" s="1285"/>
      <c r="TA789" s="1285"/>
      <c r="TB789" s="1285"/>
      <c r="TC789" s="1285"/>
      <c r="TD789" s="1285"/>
      <c r="TE789" s="1285"/>
      <c r="TF789" s="1285"/>
      <c r="TG789" s="1285"/>
      <c r="TH789" s="1285"/>
      <c r="TI789" s="1285"/>
      <c r="TJ789" s="1285"/>
      <c r="TK789" s="1285"/>
      <c r="TL789" s="1285"/>
      <c r="TM789" s="1285"/>
      <c r="TN789" s="1285"/>
      <c r="TO789" s="1285"/>
      <c r="TP789" s="1285"/>
      <c r="TQ789" s="1285"/>
      <c r="TR789" s="1285"/>
      <c r="TS789" s="1285"/>
      <c r="TT789" s="1285"/>
      <c r="TU789" s="1285"/>
      <c r="TV789" s="1285"/>
      <c r="TW789" s="1285"/>
      <c r="TX789" s="1285"/>
      <c r="TY789" s="1285"/>
      <c r="TZ789" s="1285"/>
      <c r="UA789" s="1285"/>
      <c r="UB789" s="1285"/>
      <c r="UC789" s="1285"/>
      <c r="UD789" s="1285"/>
      <c r="UE789" s="1285"/>
      <c r="UF789" s="1285"/>
      <c r="UG789" s="1266"/>
    </row>
    <row r="790" spans="1:553" s="182" customFormat="1" ht="30.75" customHeight="1">
      <c r="A790" s="356"/>
      <c r="B790" s="356"/>
      <c r="C790" s="1553" t="s">
        <v>510</v>
      </c>
      <c r="D790" s="1554"/>
      <c r="E790" s="1554"/>
      <c r="F790" s="1555"/>
      <c r="G790" s="445"/>
      <c r="H790" s="359"/>
      <c r="I790" s="648"/>
      <c r="J790" s="357"/>
      <c r="K790" s="648"/>
      <c r="L790" s="649"/>
      <c r="M790" s="356"/>
      <c r="N790" s="356"/>
      <c r="O790" s="356"/>
      <c r="P790" s="356"/>
      <c r="Q790" s="610"/>
      <c r="R790" s="820"/>
      <c r="S790" s="308"/>
      <c r="T790" s="308"/>
      <c r="U790" s="308"/>
      <c r="V790" s="308"/>
      <c r="W790" s="308"/>
      <c r="X790" s="308"/>
      <c r="Y790" s="308"/>
      <c r="Z790" s="604"/>
      <c r="AA790" s="308"/>
      <c r="AB790" s="308"/>
      <c r="AC790" s="454"/>
      <c r="AD790" s="454"/>
      <c r="AE790" s="454"/>
      <c r="AF790" s="454"/>
      <c r="AG790" s="454"/>
      <c r="AH790" s="454"/>
      <c r="AI790" s="454"/>
      <c r="AJ790" s="454"/>
      <c r="AK790" s="455"/>
      <c r="AL790" s="110"/>
      <c r="AM790" s="110"/>
      <c r="AN790" s="110"/>
      <c r="AO790" s="110"/>
      <c r="AP790" s="110"/>
      <c r="AQ790" s="110"/>
      <c r="AR790" s="110"/>
      <c r="AS790" s="111"/>
      <c r="AT790" s="111"/>
      <c r="AU790" s="111"/>
      <c r="AV790" s="111"/>
      <c r="AW790" s="111"/>
      <c r="AX790" s="111"/>
      <c r="AY790" s="111"/>
      <c r="AZ790" s="111"/>
      <c r="BA790" s="111"/>
      <c r="BB790" s="111"/>
      <c r="BC790" s="111"/>
      <c r="BD790" s="111"/>
      <c r="BE790" s="111"/>
      <c r="BF790" s="111"/>
      <c r="BG790" s="111"/>
      <c r="BH790" s="111"/>
      <c r="BI790" s="111"/>
      <c r="BJ790" s="111"/>
      <c r="BK790" s="111"/>
      <c r="BL790" s="111"/>
      <c r="BM790" s="111"/>
      <c r="BN790" s="111"/>
      <c r="BO790" s="111"/>
      <c r="BP790" s="193"/>
      <c r="BQ790" s="193"/>
      <c r="BR790" s="193"/>
      <c r="BS790" s="193"/>
      <c r="BT790" s="193"/>
      <c r="BU790" s="193"/>
      <c r="BV790" s="193"/>
      <c r="BW790" s="193"/>
      <c r="BX790" s="193"/>
      <c r="BY790" s="193"/>
      <c r="BZ790" s="193"/>
      <c r="CA790" s="193"/>
      <c r="CB790" s="193"/>
      <c r="CC790" s="193"/>
      <c r="CD790" s="193"/>
      <c r="CE790" s="193"/>
      <c r="CF790" s="193"/>
      <c r="CG790" s="193"/>
      <c r="CH790" s="193"/>
      <c r="CI790" s="193"/>
      <c r="CJ790" s="193"/>
      <c r="CK790" s="193"/>
      <c r="CL790" s="193"/>
      <c r="CM790" s="193"/>
      <c r="CN790" s="193"/>
      <c r="CO790" s="193"/>
      <c r="CP790" s="193"/>
      <c r="CQ790" s="193"/>
      <c r="CR790" s="193"/>
      <c r="CS790" s="193"/>
      <c r="CT790" s="193"/>
      <c r="CU790" s="193"/>
      <c r="CV790" s="193"/>
      <c r="CW790" s="193"/>
      <c r="CX790" s="193"/>
      <c r="CY790" s="193"/>
      <c r="CZ790" s="193"/>
      <c r="DA790" s="193"/>
      <c r="DB790" s="193"/>
      <c r="DC790" s="193"/>
      <c r="DD790" s="193"/>
      <c r="DE790" s="193"/>
      <c r="DF790" s="193"/>
      <c r="DG790" s="193"/>
      <c r="DH790" s="193"/>
      <c r="DI790" s="193"/>
      <c r="DJ790" s="193"/>
      <c r="DK790" s="193"/>
      <c r="DL790" s="193"/>
      <c r="DM790" s="193"/>
      <c r="DN790" s="193"/>
      <c r="DO790" s="193"/>
      <c r="DP790" s="193"/>
      <c r="DQ790" s="193"/>
      <c r="DR790" s="193"/>
      <c r="DS790" s="193"/>
      <c r="DT790" s="193"/>
      <c r="DU790" s="193"/>
      <c r="DV790" s="193"/>
      <c r="DW790" s="193"/>
      <c r="DX790" s="193"/>
      <c r="DY790" s="193"/>
      <c r="DZ790" s="193"/>
      <c r="EA790" s="193"/>
      <c r="EB790" s="193"/>
      <c r="EC790" s="193"/>
      <c r="ED790" s="193"/>
      <c r="EE790" s="193"/>
      <c r="EF790" s="193"/>
      <c r="EG790" s="193"/>
      <c r="EH790" s="193"/>
      <c r="EI790" s="193"/>
      <c r="EJ790" s="193"/>
      <c r="EK790" s="193"/>
      <c r="EL790" s="193"/>
      <c r="EM790" s="193"/>
      <c r="EN790" s="193"/>
      <c r="EO790" s="193"/>
      <c r="EP790" s="193"/>
      <c r="EQ790" s="193"/>
      <c r="ER790" s="193"/>
      <c r="ES790" s="193"/>
      <c r="ET790" s="193"/>
      <c r="EU790" s="193"/>
      <c r="EV790" s="193"/>
      <c r="EW790" s="193"/>
      <c r="EX790" s="193"/>
      <c r="EY790" s="193"/>
      <c r="EZ790" s="193"/>
      <c r="FA790" s="193"/>
      <c r="FB790" s="193"/>
      <c r="FC790" s="193"/>
      <c r="FD790" s="193"/>
      <c r="FE790" s="193"/>
      <c r="FF790" s="193"/>
      <c r="FG790" s="193"/>
      <c r="FH790" s="193"/>
      <c r="FI790" s="193"/>
      <c r="FJ790" s="193"/>
      <c r="FK790" s="193"/>
      <c r="FL790" s="193"/>
      <c r="FM790" s="193"/>
      <c r="FN790" s="193"/>
      <c r="FO790" s="193"/>
      <c r="FP790" s="193"/>
      <c r="FQ790" s="193"/>
      <c r="FR790" s="193"/>
      <c r="FS790" s="193"/>
      <c r="FT790" s="193"/>
      <c r="FU790" s="193"/>
      <c r="FV790" s="193"/>
      <c r="FW790" s="193"/>
      <c r="FX790" s="193"/>
      <c r="FY790" s="193"/>
      <c r="FZ790" s="193"/>
      <c r="GA790" s="193"/>
      <c r="GB790" s="193"/>
      <c r="GC790" s="193"/>
      <c r="GD790" s="193"/>
      <c r="GE790" s="193"/>
      <c r="GF790" s="193"/>
      <c r="GG790" s="193"/>
      <c r="GH790" s="193"/>
      <c r="GI790" s="193"/>
      <c r="GJ790" s="193"/>
      <c r="GK790" s="193"/>
      <c r="GL790" s="193"/>
      <c r="GM790" s="193"/>
      <c r="GN790" s="193"/>
      <c r="GO790" s="193"/>
      <c r="GP790" s="193"/>
      <c r="GQ790" s="193"/>
      <c r="GR790" s="193"/>
      <c r="GS790" s="193"/>
      <c r="GT790" s="193"/>
      <c r="GU790" s="193"/>
      <c r="GV790" s="193"/>
      <c r="GW790" s="193"/>
      <c r="GX790" s="193"/>
      <c r="GY790" s="193"/>
      <c r="GZ790" s="193"/>
      <c r="HA790" s="193"/>
      <c r="HB790" s="193"/>
      <c r="HC790" s="193"/>
      <c r="HD790" s="193"/>
      <c r="HE790" s="193"/>
      <c r="HF790" s="193"/>
      <c r="HG790" s="193"/>
      <c r="HH790" s="193"/>
      <c r="HI790" s="193"/>
      <c r="HJ790" s="193"/>
      <c r="HK790" s="193"/>
      <c r="HL790" s="193"/>
      <c r="HM790" s="193"/>
      <c r="HN790" s="193"/>
      <c r="HO790" s="193"/>
      <c r="HP790" s="193"/>
      <c r="HQ790" s="193"/>
      <c r="HR790" s="193"/>
      <c r="HS790" s="193"/>
      <c r="HT790" s="193"/>
      <c r="HU790" s="193"/>
      <c r="HV790" s="193"/>
      <c r="HW790" s="193"/>
      <c r="HX790" s="193"/>
      <c r="HY790" s="193"/>
      <c r="HZ790" s="193"/>
      <c r="IA790" s="193"/>
      <c r="IB790" s="193"/>
      <c r="IC790" s="193"/>
      <c r="ID790" s="193"/>
      <c r="IE790" s="193"/>
      <c r="IF790" s="193"/>
      <c r="IG790" s="193"/>
      <c r="IH790" s="193"/>
      <c r="II790" s="193"/>
      <c r="IJ790" s="193"/>
      <c r="IK790" s="193"/>
      <c r="IL790" s="193"/>
      <c r="IM790" s="193"/>
      <c r="IN790" s="193"/>
      <c r="IO790" s="193"/>
      <c r="IP790" s="193"/>
      <c r="IQ790" s="193"/>
      <c r="IR790" s="193"/>
      <c r="IS790" s="193"/>
      <c r="IT790" s="193"/>
      <c r="IU790" s="193"/>
      <c r="IV790" s="193"/>
      <c r="IW790" s="193"/>
      <c r="IX790" s="193"/>
      <c r="IY790" s="193"/>
      <c r="IZ790" s="193"/>
      <c r="JA790" s="193"/>
      <c r="JB790" s="193"/>
      <c r="JC790" s="193"/>
      <c r="JD790" s="193"/>
      <c r="JE790" s="193"/>
      <c r="JF790" s="193"/>
      <c r="JG790" s="193"/>
      <c r="JH790" s="193"/>
      <c r="JI790" s="193"/>
      <c r="JJ790" s="193"/>
      <c r="JK790" s="193"/>
      <c r="JL790" s="193"/>
      <c r="JM790" s="193"/>
      <c r="JN790" s="193"/>
      <c r="JO790" s="193"/>
      <c r="JP790" s="193"/>
      <c r="JQ790" s="193"/>
      <c r="JR790" s="193"/>
      <c r="JS790" s="193"/>
      <c r="JT790" s="193"/>
      <c r="JU790" s="193"/>
      <c r="JV790" s="193"/>
      <c r="JW790" s="193"/>
      <c r="JX790" s="193"/>
      <c r="JY790" s="193"/>
      <c r="JZ790" s="193"/>
      <c r="KA790" s="193"/>
      <c r="KB790" s="193"/>
      <c r="KC790" s="193"/>
      <c r="KD790" s="193"/>
      <c r="KE790" s="193"/>
      <c r="KF790" s="193"/>
      <c r="KG790" s="193"/>
      <c r="KH790" s="193"/>
      <c r="KI790" s="193"/>
      <c r="KJ790" s="193"/>
      <c r="KK790" s="193"/>
      <c r="KL790" s="193"/>
      <c r="KM790" s="193"/>
      <c r="KN790" s="193"/>
      <c r="KO790" s="193"/>
      <c r="KP790" s="193"/>
      <c r="KQ790" s="193"/>
      <c r="KR790" s="193"/>
      <c r="KS790" s="193"/>
      <c r="KT790" s="193"/>
      <c r="KU790" s="193"/>
      <c r="KV790" s="193"/>
      <c r="KW790" s="193"/>
      <c r="KX790" s="193"/>
      <c r="KY790" s="193"/>
      <c r="KZ790" s="193"/>
      <c r="LA790" s="193"/>
      <c r="LB790" s="193"/>
      <c r="LC790" s="193"/>
      <c r="LD790" s="193"/>
      <c r="LE790" s="193"/>
      <c r="LF790" s="193"/>
      <c r="LG790" s="193"/>
      <c r="LH790" s="193"/>
      <c r="LI790" s="193"/>
      <c r="LJ790" s="193"/>
      <c r="LK790" s="193"/>
      <c r="LL790" s="193"/>
      <c r="LM790" s="193"/>
      <c r="LN790" s="193"/>
      <c r="LO790" s="193"/>
      <c r="LP790" s="193"/>
      <c r="LQ790" s="193"/>
      <c r="LR790" s="193"/>
      <c r="LS790" s="193"/>
      <c r="LT790" s="193"/>
      <c r="LU790" s="193"/>
      <c r="LV790" s="193"/>
      <c r="LW790" s="193"/>
      <c r="LX790" s="193"/>
      <c r="LY790" s="193"/>
      <c r="LZ790" s="193"/>
      <c r="MA790" s="193"/>
      <c r="MB790" s="193"/>
      <c r="MC790" s="193"/>
      <c r="MD790" s="193"/>
      <c r="ME790" s="193"/>
      <c r="MF790" s="193"/>
      <c r="MG790" s="193"/>
      <c r="MH790" s="193"/>
      <c r="MI790" s="193"/>
      <c r="MJ790" s="193"/>
      <c r="MK790" s="193"/>
      <c r="ML790" s="193"/>
      <c r="MM790" s="193"/>
      <c r="MN790" s="193"/>
      <c r="MO790" s="193"/>
      <c r="MP790" s="193"/>
      <c r="MQ790" s="193"/>
      <c r="MR790" s="193"/>
      <c r="MS790" s="193"/>
      <c r="MT790" s="193"/>
      <c r="MU790" s="193"/>
      <c r="MV790" s="193"/>
      <c r="MW790" s="193"/>
      <c r="MX790" s="193"/>
      <c r="MY790" s="193"/>
      <c r="MZ790" s="193"/>
      <c r="NA790" s="193"/>
      <c r="NB790" s="193"/>
      <c r="NC790" s="193"/>
      <c r="ND790" s="193"/>
      <c r="NE790" s="193"/>
      <c r="NF790" s="193"/>
      <c r="NG790" s="193"/>
      <c r="NH790" s="193"/>
      <c r="NI790" s="193"/>
      <c r="NJ790" s="193"/>
      <c r="NK790" s="193"/>
      <c r="NL790" s="193"/>
      <c r="NM790" s="193"/>
      <c r="NN790" s="193"/>
      <c r="NO790" s="193"/>
      <c r="NP790" s="193"/>
      <c r="NQ790" s="193"/>
      <c r="NR790" s="193"/>
      <c r="NS790" s="193"/>
      <c r="NT790" s="193"/>
      <c r="NU790" s="193"/>
      <c r="NV790" s="193"/>
      <c r="NW790" s="193"/>
      <c r="NX790" s="193"/>
      <c r="NY790" s="193"/>
      <c r="NZ790" s="193"/>
      <c r="OA790" s="193"/>
      <c r="OB790" s="193"/>
      <c r="OC790" s="193"/>
      <c r="OD790" s="193"/>
      <c r="OE790" s="193"/>
      <c r="OF790" s="193"/>
      <c r="OG790" s="193"/>
      <c r="OH790" s="193"/>
      <c r="OI790" s="193"/>
      <c r="OJ790" s="193"/>
      <c r="OK790" s="193"/>
      <c r="OL790" s="193"/>
      <c r="OM790" s="193"/>
      <c r="ON790" s="193"/>
      <c r="OO790" s="193"/>
      <c r="OP790" s="193"/>
      <c r="OQ790" s="193"/>
      <c r="OR790" s="193"/>
      <c r="OS790" s="193"/>
      <c r="OT790" s="193"/>
      <c r="OU790" s="193"/>
      <c r="OV790" s="193"/>
      <c r="OW790" s="193"/>
      <c r="OX790" s="193"/>
      <c r="OY790" s="193"/>
      <c r="OZ790" s="193"/>
      <c r="PA790" s="193"/>
      <c r="PB790" s="193"/>
      <c r="PC790" s="193"/>
      <c r="PD790" s="193"/>
      <c r="PE790" s="193"/>
      <c r="PF790" s="193"/>
      <c r="PG790" s="193"/>
      <c r="PH790" s="193"/>
      <c r="PI790" s="193"/>
      <c r="PJ790" s="193"/>
      <c r="PK790" s="193"/>
      <c r="PL790" s="193"/>
      <c r="PM790" s="193"/>
      <c r="PN790" s="193"/>
      <c r="PO790" s="193"/>
      <c r="PP790" s="193"/>
      <c r="PQ790" s="193"/>
      <c r="PR790" s="193"/>
      <c r="PS790" s="193"/>
      <c r="PT790" s="193"/>
      <c r="PU790" s="193"/>
      <c r="PV790" s="193"/>
      <c r="PW790" s="193"/>
      <c r="PX790" s="193"/>
      <c r="PY790" s="193"/>
      <c r="PZ790" s="193"/>
      <c r="QA790" s="193"/>
      <c r="QB790" s="193"/>
      <c r="QC790" s="193"/>
      <c r="QD790" s="193"/>
      <c r="QE790" s="193"/>
      <c r="QF790" s="193"/>
      <c r="QG790" s="193"/>
      <c r="QH790" s="193"/>
      <c r="QI790" s="193"/>
      <c r="QJ790" s="193"/>
      <c r="QK790" s="193"/>
      <c r="QL790" s="193"/>
      <c r="QM790" s="193"/>
      <c r="QN790" s="193"/>
      <c r="QO790" s="193"/>
      <c r="QP790" s="193"/>
      <c r="QQ790" s="193"/>
      <c r="QR790" s="193"/>
      <c r="QS790" s="193"/>
      <c r="QT790" s="193"/>
      <c r="QU790" s="193"/>
      <c r="QV790" s="193"/>
      <c r="QW790" s="193"/>
      <c r="QX790" s="193"/>
      <c r="QY790" s="193"/>
      <c r="QZ790" s="193"/>
      <c r="RA790" s="193"/>
      <c r="RB790" s="193"/>
      <c r="RC790" s="193"/>
      <c r="RD790" s="193"/>
      <c r="RE790" s="193"/>
      <c r="RF790" s="193"/>
      <c r="RG790" s="193"/>
      <c r="RH790" s="193"/>
      <c r="RI790" s="193"/>
      <c r="RJ790" s="193"/>
      <c r="RK790" s="193"/>
      <c r="RL790" s="193"/>
      <c r="RM790" s="193"/>
      <c r="RN790" s="193"/>
      <c r="RO790" s="193"/>
      <c r="RP790" s="193"/>
      <c r="RQ790" s="193"/>
      <c r="RR790" s="193"/>
      <c r="RS790" s="193"/>
      <c r="RT790" s="193"/>
      <c r="RU790" s="193"/>
      <c r="RV790" s="193"/>
      <c r="RW790" s="193"/>
      <c r="RX790" s="193"/>
      <c r="RY790" s="193"/>
      <c r="RZ790" s="193"/>
      <c r="SA790" s="193"/>
      <c r="SB790" s="193"/>
      <c r="SC790" s="193"/>
      <c r="SD790" s="193"/>
      <c r="SE790" s="193"/>
      <c r="SF790" s="193"/>
      <c r="SG790" s="193"/>
      <c r="SH790" s="193"/>
      <c r="SI790" s="193"/>
      <c r="SJ790" s="193"/>
      <c r="SK790" s="193"/>
      <c r="SL790" s="193"/>
      <c r="SM790" s="193"/>
      <c r="SN790" s="193"/>
      <c r="SO790" s="193"/>
      <c r="SP790" s="193"/>
      <c r="SQ790" s="193"/>
      <c r="SR790" s="193"/>
      <c r="SS790" s="193"/>
      <c r="ST790" s="193"/>
      <c r="SU790" s="193"/>
      <c r="SV790" s="193"/>
      <c r="SW790" s="193"/>
      <c r="SX790" s="193"/>
      <c r="SY790" s="193"/>
      <c r="SZ790" s="193"/>
      <c r="TA790" s="193"/>
      <c r="TB790" s="193"/>
      <c r="TC790" s="193"/>
      <c r="TD790" s="193"/>
      <c r="TE790" s="193"/>
      <c r="TF790" s="193"/>
      <c r="TG790" s="193"/>
      <c r="TH790" s="193"/>
      <c r="TI790" s="193"/>
      <c r="TJ790" s="193"/>
      <c r="TK790" s="193"/>
      <c r="TL790" s="193"/>
      <c r="TM790" s="193"/>
      <c r="TN790" s="193"/>
      <c r="TO790" s="193"/>
      <c r="TP790" s="193"/>
      <c r="TQ790" s="193"/>
      <c r="TR790" s="193"/>
      <c r="TS790" s="193"/>
      <c r="TT790" s="193"/>
      <c r="TU790" s="193"/>
      <c r="TV790" s="193"/>
      <c r="TW790" s="193"/>
      <c r="TX790" s="193"/>
      <c r="TY790" s="193"/>
      <c r="TZ790" s="193"/>
      <c r="UA790" s="193"/>
      <c r="UB790" s="193"/>
      <c r="UC790" s="193"/>
      <c r="UD790" s="193"/>
      <c r="UE790" s="193"/>
      <c r="UF790" s="193"/>
      <c r="UG790" s="37"/>
    </row>
    <row r="791" spans="1:553" s="1262" customFormat="1" ht="30.75" customHeight="1">
      <c r="A791" s="445"/>
      <c r="B791" s="445"/>
      <c r="C791" s="1405" t="s">
        <v>261</v>
      </c>
      <c r="D791" s="1406" t="s">
        <v>826</v>
      </c>
      <c r="E791" s="1406" t="s">
        <v>826</v>
      </c>
      <c r="F791" s="1407" t="s">
        <v>826</v>
      </c>
      <c r="G791" s="417" t="s">
        <v>196</v>
      </c>
      <c r="H791" s="359"/>
      <c r="I791" s="370">
        <f>(45.69*100/625)*(12-(4-3))*2</f>
        <v>160.8288</v>
      </c>
      <c r="J791" s="368">
        <v>10700</v>
      </c>
      <c r="K791" s="650">
        <v>0.7</v>
      </c>
      <c r="L791" s="571">
        <f>I791*J791*K791</f>
        <v>1204607.7119999998</v>
      </c>
      <c r="M791" s="356"/>
      <c r="N791" s="356"/>
      <c r="O791" s="356"/>
      <c r="P791" s="356"/>
      <c r="Q791" s="610"/>
      <c r="R791" s="1228"/>
      <c r="S791" s="308"/>
      <c r="T791" s="308"/>
      <c r="U791" s="308"/>
      <c r="V791" s="308"/>
      <c r="W791" s="308"/>
      <c r="X791" s="308"/>
      <c r="Y791" s="308"/>
      <c r="Z791" s="604"/>
      <c r="AA791" s="308"/>
      <c r="AB791" s="308"/>
      <c r="AC791" s="454"/>
      <c r="AD791" s="454"/>
      <c r="AE791" s="454"/>
      <c r="AF791" s="454"/>
      <c r="AG791" s="454"/>
      <c r="AH791" s="454"/>
      <c r="AI791" s="454"/>
      <c r="AJ791" s="454"/>
      <c r="AK791" s="455"/>
      <c r="AL791" s="1263"/>
      <c r="AM791" s="1263"/>
      <c r="AN791" s="1263"/>
      <c r="AO791" s="1263"/>
      <c r="AP791" s="1263"/>
      <c r="AQ791" s="1263"/>
      <c r="AR791" s="1263"/>
      <c r="AS791" s="1264"/>
      <c r="AT791" s="1264"/>
      <c r="AU791" s="1264"/>
      <c r="AV791" s="1264"/>
      <c r="AW791" s="1264"/>
      <c r="AX791" s="1264"/>
      <c r="AY791" s="1264"/>
      <c r="AZ791" s="1264"/>
      <c r="BA791" s="1264"/>
      <c r="BB791" s="1264"/>
      <c r="BC791" s="1264"/>
      <c r="BD791" s="1264"/>
      <c r="BE791" s="1264"/>
      <c r="BF791" s="1264"/>
      <c r="BG791" s="1264"/>
      <c r="BH791" s="1264"/>
      <c r="BI791" s="1264"/>
      <c r="BJ791" s="1264"/>
      <c r="BK791" s="1264"/>
      <c r="BL791" s="1264"/>
      <c r="BM791" s="1264"/>
      <c r="BN791" s="1264"/>
      <c r="BO791" s="1264"/>
      <c r="BP791" s="1265"/>
      <c r="BQ791" s="1265"/>
      <c r="BR791" s="1265"/>
      <c r="BS791" s="1265"/>
      <c r="BT791" s="1265"/>
      <c r="BU791" s="1265"/>
      <c r="BV791" s="1265"/>
      <c r="BW791" s="1265"/>
      <c r="BX791" s="1265"/>
      <c r="BY791" s="1265"/>
      <c r="BZ791" s="1265"/>
      <c r="CA791" s="1265"/>
      <c r="CB791" s="1265"/>
      <c r="CC791" s="1265"/>
      <c r="CD791" s="1265"/>
      <c r="CE791" s="1265"/>
      <c r="CF791" s="1265"/>
      <c r="CG791" s="1265"/>
      <c r="CH791" s="1265"/>
      <c r="CI791" s="1265"/>
      <c r="CJ791" s="1265"/>
      <c r="CK791" s="1265"/>
      <c r="CL791" s="1265"/>
      <c r="CM791" s="1265"/>
      <c r="CN791" s="1265"/>
      <c r="CO791" s="1265"/>
      <c r="CP791" s="1265"/>
      <c r="CQ791" s="1265"/>
      <c r="CR791" s="1265"/>
      <c r="CS791" s="1265"/>
      <c r="CT791" s="1265"/>
      <c r="CU791" s="1265"/>
      <c r="CV791" s="1265"/>
      <c r="CW791" s="1265"/>
      <c r="CX791" s="1265"/>
      <c r="CY791" s="1265"/>
      <c r="CZ791" s="1265"/>
      <c r="DA791" s="1265"/>
      <c r="DB791" s="1265"/>
      <c r="DC791" s="1265"/>
      <c r="DD791" s="1265"/>
      <c r="DE791" s="1265"/>
      <c r="DF791" s="1265"/>
      <c r="DG791" s="1265"/>
      <c r="DH791" s="1265"/>
      <c r="DI791" s="1265"/>
      <c r="DJ791" s="1265"/>
      <c r="DK791" s="1265"/>
      <c r="DL791" s="1265"/>
      <c r="DM791" s="1265"/>
      <c r="DN791" s="1265"/>
      <c r="DO791" s="1265"/>
      <c r="DP791" s="1265"/>
      <c r="DQ791" s="1265"/>
      <c r="DR791" s="1265"/>
      <c r="DS791" s="1265"/>
      <c r="DT791" s="1265"/>
      <c r="DU791" s="1265"/>
      <c r="DV791" s="1265"/>
      <c r="DW791" s="1265"/>
      <c r="DX791" s="1265"/>
      <c r="DY791" s="1265"/>
      <c r="DZ791" s="1265"/>
      <c r="EA791" s="1265"/>
      <c r="EB791" s="1265"/>
      <c r="EC791" s="1265"/>
      <c r="ED791" s="1265"/>
      <c r="EE791" s="1265"/>
      <c r="EF791" s="1265"/>
      <c r="EG791" s="1265"/>
      <c r="EH791" s="1265"/>
      <c r="EI791" s="1265"/>
      <c r="EJ791" s="1265"/>
      <c r="EK791" s="1265"/>
      <c r="EL791" s="1265"/>
      <c r="EM791" s="1265"/>
      <c r="EN791" s="1265"/>
      <c r="EO791" s="1265"/>
      <c r="EP791" s="1265"/>
      <c r="EQ791" s="1265"/>
      <c r="ER791" s="1265"/>
      <c r="ES791" s="1265"/>
      <c r="ET791" s="1265"/>
      <c r="EU791" s="1265"/>
      <c r="EV791" s="1265"/>
      <c r="EW791" s="1265"/>
      <c r="EX791" s="1265"/>
      <c r="EY791" s="1265"/>
      <c r="EZ791" s="1265"/>
      <c r="FA791" s="1265"/>
      <c r="FB791" s="1265"/>
      <c r="FC791" s="1265"/>
      <c r="FD791" s="1265"/>
      <c r="FE791" s="1265"/>
      <c r="FF791" s="1265"/>
      <c r="FG791" s="1265"/>
      <c r="FH791" s="1265"/>
      <c r="FI791" s="1265"/>
      <c r="FJ791" s="1265"/>
      <c r="FK791" s="1265"/>
      <c r="FL791" s="1265"/>
      <c r="FM791" s="1265"/>
      <c r="FN791" s="1265"/>
      <c r="FO791" s="1265"/>
      <c r="FP791" s="1265"/>
      <c r="FQ791" s="1265"/>
      <c r="FR791" s="1265"/>
      <c r="FS791" s="1265"/>
      <c r="FT791" s="1265"/>
      <c r="FU791" s="1265"/>
      <c r="FV791" s="1265"/>
      <c r="FW791" s="1265"/>
      <c r="FX791" s="1265"/>
      <c r="FY791" s="1265"/>
      <c r="FZ791" s="1265"/>
      <c r="GA791" s="1265"/>
      <c r="GB791" s="1265"/>
      <c r="GC791" s="1265"/>
      <c r="GD791" s="1265"/>
      <c r="GE791" s="1265"/>
      <c r="GF791" s="1265"/>
      <c r="GG791" s="1265"/>
      <c r="GH791" s="1265"/>
      <c r="GI791" s="1265"/>
      <c r="GJ791" s="1265"/>
      <c r="GK791" s="1265"/>
      <c r="GL791" s="1265"/>
      <c r="GM791" s="1265"/>
      <c r="GN791" s="1265"/>
      <c r="GO791" s="1265"/>
      <c r="GP791" s="1265"/>
      <c r="GQ791" s="1265"/>
      <c r="GR791" s="1265"/>
      <c r="GS791" s="1265"/>
      <c r="GT791" s="1265"/>
      <c r="GU791" s="1265"/>
      <c r="GV791" s="1265"/>
      <c r="GW791" s="1265"/>
      <c r="GX791" s="1265"/>
      <c r="GY791" s="1265"/>
      <c r="GZ791" s="1265"/>
      <c r="HA791" s="1265"/>
      <c r="HB791" s="1265"/>
      <c r="HC791" s="1265"/>
      <c r="HD791" s="1265"/>
      <c r="HE791" s="1265"/>
      <c r="HF791" s="1265"/>
      <c r="HG791" s="1265"/>
      <c r="HH791" s="1265"/>
      <c r="HI791" s="1265"/>
      <c r="HJ791" s="1265"/>
      <c r="HK791" s="1265"/>
      <c r="HL791" s="1265"/>
      <c r="HM791" s="1265"/>
      <c r="HN791" s="1265"/>
      <c r="HO791" s="1265"/>
      <c r="HP791" s="1265"/>
      <c r="HQ791" s="1265"/>
      <c r="HR791" s="1265"/>
      <c r="HS791" s="1265"/>
      <c r="HT791" s="1265"/>
      <c r="HU791" s="1265"/>
      <c r="HV791" s="1265"/>
      <c r="HW791" s="1265"/>
      <c r="HX791" s="1265"/>
      <c r="HY791" s="1265"/>
      <c r="HZ791" s="1265"/>
      <c r="IA791" s="1265"/>
      <c r="IB791" s="1265"/>
      <c r="IC791" s="1265"/>
      <c r="ID791" s="1265"/>
      <c r="IE791" s="1265"/>
      <c r="IF791" s="1265"/>
      <c r="IG791" s="1265"/>
      <c r="IH791" s="1265"/>
      <c r="II791" s="1265"/>
      <c r="IJ791" s="1265"/>
      <c r="IK791" s="1265"/>
      <c r="IL791" s="1265"/>
      <c r="IM791" s="1265"/>
      <c r="IN791" s="1265"/>
      <c r="IO791" s="1265"/>
      <c r="IP791" s="1265"/>
      <c r="IQ791" s="1265"/>
      <c r="IR791" s="1265"/>
      <c r="IS791" s="1265"/>
      <c r="IT791" s="1265"/>
      <c r="IU791" s="1265"/>
      <c r="IV791" s="1265"/>
      <c r="IW791" s="1265"/>
      <c r="IX791" s="1265"/>
      <c r="IY791" s="1265"/>
      <c r="IZ791" s="1265"/>
      <c r="JA791" s="1265"/>
      <c r="JB791" s="1265"/>
      <c r="JC791" s="1265"/>
      <c r="JD791" s="1265"/>
      <c r="JE791" s="1265"/>
      <c r="JF791" s="1265"/>
      <c r="JG791" s="1265"/>
      <c r="JH791" s="1265"/>
      <c r="JI791" s="1265"/>
      <c r="JJ791" s="1265"/>
      <c r="JK791" s="1265"/>
      <c r="JL791" s="1265"/>
      <c r="JM791" s="1265"/>
      <c r="JN791" s="1265"/>
      <c r="JO791" s="1265"/>
      <c r="JP791" s="1265"/>
      <c r="JQ791" s="1265"/>
      <c r="JR791" s="1265"/>
      <c r="JS791" s="1265"/>
      <c r="JT791" s="1265"/>
      <c r="JU791" s="1265"/>
      <c r="JV791" s="1265"/>
      <c r="JW791" s="1265"/>
      <c r="JX791" s="1265"/>
      <c r="JY791" s="1265"/>
      <c r="JZ791" s="1265"/>
      <c r="KA791" s="1265"/>
      <c r="KB791" s="1265"/>
      <c r="KC791" s="1265"/>
      <c r="KD791" s="1265"/>
      <c r="KE791" s="1265"/>
      <c r="KF791" s="1265"/>
      <c r="KG791" s="1265"/>
      <c r="KH791" s="1265"/>
      <c r="KI791" s="1265"/>
      <c r="KJ791" s="1265"/>
      <c r="KK791" s="1265"/>
      <c r="KL791" s="1265"/>
      <c r="KM791" s="1265"/>
      <c r="KN791" s="1265"/>
      <c r="KO791" s="1265"/>
      <c r="KP791" s="1265"/>
      <c r="KQ791" s="1265"/>
      <c r="KR791" s="1265"/>
      <c r="KS791" s="1265"/>
      <c r="KT791" s="1265"/>
      <c r="KU791" s="1265"/>
      <c r="KV791" s="1265"/>
      <c r="KW791" s="1265"/>
      <c r="KX791" s="1265"/>
      <c r="KY791" s="1265"/>
      <c r="KZ791" s="1265"/>
      <c r="LA791" s="1265"/>
      <c r="LB791" s="1265"/>
      <c r="LC791" s="1265"/>
      <c r="LD791" s="1265"/>
      <c r="LE791" s="1265"/>
      <c r="LF791" s="1265"/>
      <c r="LG791" s="1265"/>
      <c r="LH791" s="1265"/>
      <c r="LI791" s="1265"/>
      <c r="LJ791" s="1265"/>
      <c r="LK791" s="1265"/>
      <c r="LL791" s="1265"/>
      <c r="LM791" s="1265"/>
      <c r="LN791" s="1265"/>
      <c r="LO791" s="1265"/>
      <c r="LP791" s="1265"/>
      <c r="LQ791" s="1265"/>
      <c r="LR791" s="1265"/>
      <c r="LS791" s="1265"/>
      <c r="LT791" s="1265"/>
      <c r="LU791" s="1265"/>
      <c r="LV791" s="1265"/>
      <c r="LW791" s="1265"/>
      <c r="LX791" s="1265"/>
      <c r="LY791" s="1265"/>
      <c r="LZ791" s="1265"/>
      <c r="MA791" s="1265"/>
      <c r="MB791" s="1265"/>
      <c r="MC791" s="1265"/>
      <c r="MD791" s="1265"/>
      <c r="ME791" s="1265"/>
      <c r="MF791" s="1265"/>
      <c r="MG791" s="1265"/>
      <c r="MH791" s="1265"/>
      <c r="MI791" s="1265"/>
      <c r="MJ791" s="1265"/>
      <c r="MK791" s="1265"/>
      <c r="ML791" s="1265"/>
      <c r="MM791" s="1265"/>
      <c r="MN791" s="1265"/>
      <c r="MO791" s="1265"/>
      <c r="MP791" s="1265"/>
      <c r="MQ791" s="1265"/>
      <c r="MR791" s="1265"/>
      <c r="MS791" s="1265"/>
      <c r="MT791" s="1265"/>
      <c r="MU791" s="1265"/>
      <c r="MV791" s="1265"/>
      <c r="MW791" s="1265"/>
      <c r="MX791" s="1265"/>
      <c r="MY791" s="1265"/>
      <c r="MZ791" s="1265"/>
      <c r="NA791" s="1265"/>
      <c r="NB791" s="1265"/>
      <c r="NC791" s="1265"/>
      <c r="ND791" s="1265"/>
      <c r="NE791" s="1265"/>
      <c r="NF791" s="1265"/>
      <c r="NG791" s="1265"/>
      <c r="NH791" s="1265"/>
      <c r="NI791" s="1265"/>
      <c r="NJ791" s="1265"/>
      <c r="NK791" s="1265"/>
      <c r="NL791" s="1265"/>
      <c r="NM791" s="1265"/>
      <c r="NN791" s="1265"/>
      <c r="NO791" s="1265"/>
      <c r="NP791" s="1265"/>
      <c r="NQ791" s="1265"/>
      <c r="NR791" s="1265"/>
      <c r="NS791" s="1265"/>
      <c r="NT791" s="1265"/>
      <c r="NU791" s="1265"/>
      <c r="NV791" s="1265"/>
      <c r="NW791" s="1265"/>
      <c r="NX791" s="1265"/>
      <c r="NY791" s="1265"/>
      <c r="NZ791" s="1265"/>
      <c r="OA791" s="1265"/>
      <c r="OB791" s="1265"/>
      <c r="OC791" s="1265"/>
      <c r="OD791" s="1265"/>
      <c r="OE791" s="1265"/>
      <c r="OF791" s="1265"/>
      <c r="OG791" s="1265"/>
      <c r="OH791" s="1265"/>
      <c r="OI791" s="1265"/>
      <c r="OJ791" s="1265"/>
      <c r="OK791" s="1265"/>
      <c r="OL791" s="1265"/>
      <c r="OM791" s="1265"/>
      <c r="ON791" s="1265"/>
      <c r="OO791" s="1265"/>
      <c r="OP791" s="1265"/>
      <c r="OQ791" s="1265"/>
      <c r="OR791" s="1265"/>
      <c r="OS791" s="1265"/>
      <c r="OT791" s="1265"/>
      <c r="OU791" s="1265"/>
      <c r="OV791" s="1265"/>
      <c r="OW791" s="1265"/>
      <c r="OX791" s="1265"/>
      <c r="OY791" s="1265"/>
      <c r="OZ791" s="1265"/>
      <c r="PA791" s="1265"/>
      <c r="PB791" s="1265"/>
      <c r="PC791" s="1265"/>
      <c r="PD791" s="1265"/>
      <c r="PE791" s="1265"/>
      <c r="PF791" s="1265"/>
      <c r="PG791" s="1265"/>
      <c r="PH791" s="1265"/>
      <c r="PI791" s="1265"/>
      <c r="PJ791" s="1265"/>
      <c r="PK791" s="1265"/>
      <c r="PL791" s="1265"/>
      <c r="PM791" s="1265"/>
      <c r="PN791" s="1265"/>
      <c r="PO791" s="1265"/>
      <c r="PP791" s="1265"/>
      <c r="PQ791" s="1265"/>
      <c r="PR791" s="1265"/>
      <c r="PS791" s="1265"/>
      <c r="PT791" s="1265"/>
      <c r="PU791" s="1265"/>
      <c r="PV791" s="1265"/>
      <c r="PW791" s="1265"/>
      <c r="PX791" s="1265"/>
      <c r="PY791" s="1265"/>
      <c r="PZ791" s="1265"/>
      <c r="QA791" s="1265"/>
      <c r="QB791" s="1265"/>
      <c r="QC791" s="1265"/>
      <c r="QD791" s="1265"/>
      <c r="QE791" s="1265"/>
      <c r="QF791" s="1265"/>
      <c r="QG791" s="1265"/>
      <c r="QH791" s="1265"/>
      <c r="QI791" s="1265"/>
      <c r="QJ791" s="1265"/>
      <c r="QK791" s="1265"/>
      <c r="QL791" s="1265"/>
      <c r="QM791" s="1265"/>
      <c r="QN791" s="1265"/>
      <c r="QO791" s="1265"/>
      <c r="QP791" s="1265"/>
      <c r="QQ791" s="1265"/>
      <c r="QR791" s="1265"/>
      <c r="QS791" s="1265"/>
      <c r="QT791" s="1265"/>
      <c r="QU791" s="1265"/>
      <c r="QV791" s="1265"/>
      <c r="QW791" s="1265"/>
      <c r="QX791" s="1265"/>
      <c r="QY791" s="1265"/>
      <c r="QZ791" s="1265"/>
      <c r="RA791" s="1265"/>
      <c r="RB791" s="1265"/>
      <c r="RC791" s="1265"/>
      <c r="RD791" s="1265"/>
      <c r="RE791" s="1265"/>
      <c r="RF791" s="1265"/>
      <c r="RG791" s="1265"/>
      <c r="RH791" s="1265"/>
      <c r="RI791" s="1265"/>
      <c r="RJ791" s="1265"/>
      <c r="RK791" s="1265"/>
      <c r="RL791" s="1265"/>
      <c r="RM791" s="1265"/>
      <c r="RN791" s="1265"/>
      <c r="RO791" s="1265"/>
      <c r="RP791" s="1265"/>
      <c r="RQ791" s="1265"/>
      <c r="RR791" s="1265"/>
      <c r="RS791" s="1265"/>
      <c r="RT791" s="1265"/>
      <c r="RU791" s="1265"/>
      <c r="RV791" s="1265"/>
      <c r="RW791" s="1265"/>
      <c r="RX791" s="1265"/>
      <c r="RY791" s="1265"/>
      <c r="RZ791" s="1265"/>
      <c r="SA791" s="1265"/>
      <c r="SB791" s="1265"/>
      <c r="SC791" s="1265"/>
      <c r="SD791" s="1265"/>
      <c r="SE791" s="1265"/>
      <c r="SF791" s="1265"/>
      <c r="SG791" s="1265"/>
      <c r="SH791" s="1265"/>
      <c r="SI791" s="1265"/>
      <c r="SJ791" s="1265"/>
      <c r="SK791" s="1265"/>
      <c r="SL791" s="1265"/>
      <c r="SM791" s="1265"/>
      <c r="SN791" s="1265"/>
      <c r="SO791" s="1265"/>
      <c r="SP791" s="1265"/>
      <c r="SQ791" s="1265"/>
      <c r="SR791" s="1265"/>
      <c r="SS791" s="1265"/>
      <c r="ST791" s="1265"/>
      <c r="SU791" s="1265"/>
      <c r="SV791" s="1265"/>
      <c r="SW791" s="1265"/>
      <c r="SX791" s="1265"/>
      <c r="SY791" s="1265"/>
      <c r="SZ791" s="1265"/>
      <c r="TA791" s="1265"/>
      <c r="TB791" s="1265"/>
      <c r="TC791" s="1265"/>
      <c r="TD791" s="1265"/>
      <c r="TE791" s="1265"/>
      <c r="TF791" s="1265"/>
      <c r="TG791" s="1265"/>
      <c r="TH791" s="1265"/>
      <c r="TI791" s="1265"/>
      <c r="TJ791" s="1265"/>
      <c r="TK791" s="1265"/>
      <c r="TL791" s="1265"/>
      <c r="TM791" s="1265"/>
      <c r="TN791" s="1265"/>
      <c r="TO791" s="1265"/>
      <c r="TP791" s="1265"/>
      <c r="TQ791" s="1265"/>
      <c r="TR791" s="1265"/>
      <c r="TS791" s="1265"/>
      <c r="TT791" s="1265"/>
      <c r="TU791" s="1265"/>
      <c r="TV791" s="1265"/>
      <c r="TW791" s="1265"/>
      <c r="TX791" s="1265"/>
      <c r="TY791" s="1265"/>
      <c r="TZ791" s="1265"/>
      <c r="UA791" s="1265"/>
      <c r="UB791" s="1265"/>
      <c r="UC791" s="1265"/>
      <c r="UD791" s="1265"/>
      <c r="UE791" s="1265"/>
      <c r="UF791" s="1265"/>
      <c r="UG791" s="1266"/>
    </row>
    <row r="792" spans="1:553" s="1262" customFormat="1" ht="30.75" customHeight="1">
      <c r="A792" s="1231"/>
      <c r="B792" s="1231"/>
      <c r="C792" s="1408" t="s">
        <v>1127</v>
      </c>
      <c r="D792" s="1409" t="s">
        <v>1128</v>
      </c>
      <c r="E792" s="1409" t="s">
        <v>1128</v>
      </c>
      <c r="F792" s="1410" t="s">
        <v>1128</v>
      </c>
      <c r="G792" s="417" t="s">
        <v>193</v>
      </c>
      <c r="H792" s="651"/>
      <c r="I792" s="1292">
        <v>24</v>
      </c>
      <c r="J792" s="368">
        <v>102700</v>
      </c>
      <c r="K792" s="650">
        <v>0.7</v>
      </c>
      <c r="L792" s="1195">
        <f>I792*J792*K792</f>
        <v>1725360</v>
      </c>
      <c r="M792" s="356"/>
      <c r="N792" s="356"/>
      <c r="O792" s="356"/>
      <c r="P792" s="356"/>
      <c r="Q792" s="610"/>
      <c r="R792" s="1228"/>
      <c r="S792" s="308"/>
      <c r="T792" s="308"/>
      <c r="U792" s="308"/>
      <c r="V792" s="308"/>
      <c r="W792" s="308"/>
      <c r="X792" s="308"/>
      <c r="Y792" s="308"/>
      <c r="Z792" s="604"/>
      <c r="AA792" s="308"/>
      <c r="AB792" s="308"/>
      <c r="AC792" s="454"/>
      <c r="AD792" s="454"/>
      <c r="AE792" s="454"/>
      <c r="AF792" s="454"/>
      <c r="AG792" s="454"/>
      <c r="AH792" s="454"/>
      <c r="AI792" s="454"/>
      <c r="AJ792" s="454"/>
      <c r="AK792" s="455"/>
      <c r="AL792" s="1263"/>
      <c r="AM792" s="1263"/>
      <c r="AN792" s="1263"/>
      <c r="AO792" s="1263"/>
      <c r="AP792" s="1263"/>
      <c r="AQ792" s="1263"/>
      <c r="AR792" s="1263"/>
      <c r="AS792" s="1264"/>
      <c r="AT792" s="1264"/>
      <c r="AU792" s="1264"/>
      <c r="AV792" s="1264"/>
      <c r="AW792" s="1264"/>
      <c r="AX792" s="1264"/>
      <c r="AY792" s="1264"/>
      <c r="AZ792" s="1264"/>
      <c r="BA792" s="1264"/>
      <c r="BB792" s="1264"/>
      <c r="BC792" s="1264"/>
      <c r="BD792" s="1264"/>
      <c r="BE792" s="1264"/>
      <c r="BF792" s="1264"/>
      <c r="BG792" s="1264"/>
      <c r="BH792" s="1264"/>
      <c r="BI792" s="1264"/>
      <c r="BJ792" s="1264"/>
      <c r="BK792" s="1264"/>
      <c r="BL792" s="1264"/>
      <c r="BM792" s="1264"/>
      <c r="BN792" s="1264"/>
      <c r="BO792" s="1264"/>
      <c r="BP792" s="1265"/>
      <c r="BQ792" s="1265"/>
      <c r="BR792" s="1265"/>
      <c r="BS792" s="1265"/>
      <c r="BT792" s="1265"/>
      <c r="BU792" s="1265"/>
      <c r="BV792" s="1265"/>
      <c r="BW792" s="1265"/>
      <c r="BX792" s="1265"/>
      <c r="BY792" s="1265"/>
      <c r="BZ792" s="1265"/>
      <c r="CA792" s="1265"/>
      <c r="CB792" s="1265"/>
      <c r="CC792" s="1265"/>
      <c r="CD792" s="1265"/>
      <c r="CE792" s="1265"/>
      <c r="CF792" s="1265"/>
      <c r="CG792" s="1265"/>
      <c r="CH792" s="1265"/>
      <c r="CI792" s="1265"/>
      <c r="CJ792" s="1265"/>
      <c r="CK792" s="1265"/>
      <c r="CL792" s="1265"/>
      <c r="CM792" s="1265"/>
      <c r="CN792" s="1265"/>
      <c r="CO792" s="1265"/>
      <c r="CP792" s="1265"/>
      <c r="CQ792" s="1265"/>
      <c r="CR792" s="1265"/>
      <c r="CS792" s="1265"/>
      <c r="CT792" s="1265"/>
      <c r="CU792" s="1265"/>
      <c r="CV792" s="1265"/>
      <c r="CW792" s="1265"/>
      <c r="CX792" s="1265"/>
      <c r="CY792" s="1265"/>
      <c r="CZ792" s="1265"/>
      <c r="DA792" s="1265"/>
      <c r="DB792" s="1265"/>
      <c r="DC792" s="1265"/>
      <c r="DD792" s="1265"/>
      <c r="DE792" s="1265"/>
      <c r="DF792" s="1265"/>
      <c r="DG792" s="1265"/>
      <c r="DH792" s="1265"/>
      <c r="DI792" s="1265"/>
      <c r="DJ792" s="1265"/>
      <c r="DK792" s="1265"/>
      <c r="DL792" s="1265"/>
      <c r="DM792" s="1265"/>
      <c r="DN792" s="1265"/>
      <c r="DO792" s="1265"/>
      <c r="DP792" s="1265"/>
      <c r="DQ792" s="1265"/>
      <c r="DR792" s="1265"/>
      <c r="DS792" s="1265"/>
      <c r="DT792" s="1265"/>
      <c r="DU792" s="1265"/>
      <c r="DV792" s="1265"/>
      <c r="DW792" s="1265"/>
      <c r="DX792" s="1265"/>
      <c r="DY792" s="1265"/>
      <c r="DZ792" s="1265"/>
      <c r="EA792" s="1265"/>
      <c r="EB792" s="1265"/>
      <c r="EC792" s="1265"/>
      <c r="ED792" s="1265"/>
      <c r="EE792" s="1265"/>
      <c r="EF792" s="1265"/>
      <c r="EG792" s="1265"/>
      <c r="EH792" s="1265"/>
      <c r="EI792" s="1265"/>
      <c r="EJ792" s="1265"/>
      <c r="EK792" s="1265"/>
      <c r="EL792" s="1265"/>
      <c r="EM792" s="1265"/>
      <c r="EN792" s="1265"/>
      <c r="EO792" s="1265"/>
      <c r="EP792" s="1265"/>
      <c r="EQ792" s="1265"/>
      <c r="ER792" s="1265"/>
      <c r="ES792" s="1265"/>
      <c r="ET792" s="1265"/>
      <c r="EU792" s="1265"/>
      <c r="EV792" s="1265"/>
      <c r="EW792" s="1265"/>
      <c r="EX792" s="1265"/>
      <c r="EY792" s="1265"/>
      <c r="EZ792" s="1265"/>
      <c r="FA792" s="1265"/>
      <c r="FB792" s="1265"/>
      <c r="FC792" s="1265"/>
      <c r="FD792" s="1265"/>
      <c r="FE792" s="1265"/>
      <c r="FF792" s="1265"/>
      <c r="FG792" s="1265"/>
      <c r="FH792" s="1265"/>
      <c r="FI792" s="1265"/>
      <c r="FJ792" s="1265"/>
      <c r="FK792" s="1265"/>
      <c r="FL792" s="1265"/>
      <c r="FM792" s="1265"/>
      <c r="FN792" s="1265"/>
      <c r="FO792" s="1265"/>
      <c r="FP792" s="1265"/>
      <c r="FQ792" s="1265"/>
      <c r="FR792" s="1265"/>
      <c r="FS792" s="1265"/>
      <c r="FT792" s="1265"/>
      <c r="FU792" s="1265"/>
      <c r="FV792" s="1265"/>
      <c r="FW792" s="1265"/>
      <c r="FX792" s="1265"/>
      <c r="FY792" s="1265"/>
      <c r="FZ792" s="1265"/>
      <c r="GA792" s="1265"/>
      <c r="GB792" s="1265"/>
      <c r="GC792" s="1265"/>
      <c r="GD792" s="1265"/>
      <c r="GE792" s="1265"/>
      <c r="GF792" s="1265"/>
      <c r="GG792" s="1265"/>
      <c r="GH792" s="1265"/>
      <c r="GI792" s="1265"/>
      <c r="GJ792" s="1265"/>
      <c r="GK792" s="1265"/>
      <c r="GL792" s="1265"/>
      <c r="GM792" s="1265"/>
      <c r="GN792" s="1265"/>
      <c r="GO792" s="1265"/>
      <c r="GP792" s="1265"/>
      <c r="GQ792" s="1265"/>
      <c r="GR792" s="1265"/>
      <c r="GS792" s="1265"/>
      <c r="GT792" s="1265"/>
      <c r="GU792" s="1265"/>
      <c r="GV792" s="1265"/>
      <c r="GW792" s="1265"/>
      <c r="GX792" s="1265"/>
      <c r="GY792" s="1265"/>
      <c r="GZ792" s="1265"/>
      <c r="HA792" s="1265"/>
      <c r="HB792" s="1265"/>
      <c r="HC792" s="1265"/>
      <c r="HD792" s="1265"/>
      <c r="HE792" s="1265"/>
      <c r="HF792" s="1265"/>
      <c r="HG792" s="1265"/>
      <c r="HH792" s="1265"/>
      <c r="HI792" s="1265"/>
      <c r="HJ792" s="1265"/>
      <c r="HK792" s="1265"/>
      <c r="HL792" s="1265"/>
      <c r="HM792" s="1265"/>
      <c r="HN792" s="1265"/>
      <c r="HO792" s="1265"/>
      <c r="HP792" s="1265"/>
      <c r="HQ792" s="1265"/>
      <c r="HR792" s="1265"/>
      <c r="HS792" s="1265"/>
      <c r="HT792" s="1265"/>
      <c r="HU792" s="1265"/>
      <c r="HV792" s="1265"/>
      <c r="HW792" s="1265"/>
      <c r="HX792" s="1265"/>
      <c r="HY792" s="1265"/>
      <c r="HZ792" s="1265"/>
      <c r="IA792" s="1265"/>
      <c r="IB792" s="1265"/>
      <c r="IC792" s="1265"/>
      <c r="ID792" s="1265"/>
      <c r="IE792" s="1265"/>
      <c r="IF792" s="1265"/>
      <c r="IG792" s="1265"/>
      <c r="IH792" s="1265"/>
      <c r="II792" s="1265"/>
      <c r="IJ792" s="1265"/>
      <c r="IK792" s="1265"/>
      <c r="IL792" s="1265"/>
      <c r="IM792" s="1265"/>
      <c r="IN792" s="1265"/>
      <c r="IO792" s="1265"/>
      <c r="IP792" s="1265"/>
      <c r="IQ792" s="1265"/>
      <c r="IR792" s="1265"/>
      <c r="IS792" s="1265"/>
      <c r="IT792" s="1265"/>
      <c r="IU792" s="1265"/>
      <c r="IV792" s="1265"/>
      <c r="IW792" s="1265"/>
      <c r="IX792" s="1265"/>
      <c r="IY792" s="1265"/>
      <c r="IZ792" s="1265"/>
      <c r="JA792" s="1265"/>
      <c r="JB792" s="1265"/>
      <c r="JC792" s="1265"/>
      <c r="JD792" s="1265"/>
      <c r="JE792" s="1265"/>
      <c r="JF792" s="1265"/>
      <c r="JG792" s="1265"/>
      <c r="JH792" s="1265"/>
      <c r="JI792" s="1265"/>
      <c r="JJ792" s="1265"/>
      <c r="JK792" s="1265"/>
      <c r="JL792" s="1265"/>
      <c r="JM792" s="1265"/>
      <c r="JN792" s="1265"/>
      <c r="JO792" s="1265"/>
      <c r="JP792" s="1265"/>
      <c r="JQ792" s="1265"/>
      <c r="JR792" s="1265"/>
      <c r="JS792" s="1265"/>
      <c r="JT792" s="1265"/>
      <c r="JU792" s="1265"/>
      <c r="JV792" s="1265"/>
      <c r="JW792" s="1265"/>
      <c r="JX792" s="1265"/>
      <c r="JY792" s="1265"/>
      <c r="JZ792" s="1265"/>
      <c r="KA792" s="1265"/>
      <c r="KB792" s="1265"/>
      <c r="KC792" s="1265"/>
      <c r="KD792" s="1265"/>
      <c r="KE792" s="1265"/>
      <c r="KF792" s="1265"/>
      <c r="KG792" s="1265"/>
      <c r="KH792" s="1265"/>
      <c r="KI792" s="1265"/>
      <c r="KJ792" s="1265"/>
      <c r="KK792" s="1265"/>
      <c r="KL792" s="1265"/>
      <c r="KM792" s="1265"/>
      <c r="KN792" s="1265"/>
      <c r="KO792" s="1265"/>
      <c r="KP792" s="1265"/>
      <c r="KQ792" s="1265"/>
      <c r="KR792" s="1265"/>
      <c r="KS792" s="1265"/>
      <c r="KT792" s="1265"/>
      <c r="KU792" s="1265"/>
      <c r="KV792" s="1265"/>
      <c r="KW792" s="1265"/>
      <c r="KX792" s="1265"/>
      <c r="KY792" s="1265"/>
      <c r="KZ792" s="1265"/>
      <c r="LA792" s="1265"/>
      <c r="LB792" s="1265"/>
      <c r="LC792" s="1265"/>
      <c r="LD792" s="1265"/>
      <c r="LE792" s="1265"/>
      <c r="LF792" s="1265"/>
      <c r="LG792" s="1265"/>
      <c r="LH792" s="1265"/>
      <c r="LI792" s="1265"/>
      <c r="LJ792" s="1265"/>
      <c r="LK792" s="1265"/>
      <c r="LL792" s="1265"/>
      <c r="LM792" s="1265"/>
      <c r="LN792" s="1265"/>
      <c r="LO792" s="1265"/>
      <c r="LP792" s="1265"/>
      <c r="LQ792" s="1265"/>
      <c r="LR792" s="1265"/>
      <c r="LS792" s="1265"/>
      <c r="LT792" s="1265"/>
      <c r="LU792" s="1265"/>
      <c r="LV792" s="1265"/>
      <c r="LW792" s="1265"/>
      <c r="LX792" s="1265"/>
      <c r="LY792" s="1265"/>
      <c r="LZ792" s="1265"/>
      <c r="MA792" s="1265"/>
      <c r="MB792" s="1265"/>
      <c r="MC792" s="1265"/>
      <c r="MD792" s="1265"/>
      <c r="ME792" s="1265"/>
      <c r="MF792" s="1265"/>
      <c r="MG792" s="1265"/>
      <c r="MH792" s="1265"/>
      <c r="MI792" s="1265"/>
      <c r="MJ792" s="1265"/>
      <c r="MK792" s="1265"/>
      <c r="ML792" s="1265"/>
      <c r="MM792" s="1265"/>
      <c r="MN792" s="1265"/>
      <c r="MO792" s="1265"/>
      <c r="MP792" s="1265"/>
      <c r="MQ792" s="1265"/>
      <c r="MR792" s="1265"/>
      <c r="MS792" s="1265"/>
      <c r="MT792" s="1265"/>
      <c r="MU792" s="1265"/>
      <c r="MV792" s="1265"/>
      <c r="MW792" s="1265"/>
      <c r="MX792" s="1265"/>
      <c r="MY792" s="1265"/>
      <c r="MZ792" s="1265"/>
      <c r="NA792" s="1265"/>
      <c r="NB792" s="1265"/>
      <c r="NC792" s="1265"/>
      <c r="ND792" s="1265"/>
      <c r="NE792" s="1265"/>
      <c r="NF792" s="1265"/>
      <c r="NG792" s="1265"/>
      <c r="NH792" s="1265"/>
      <c r="NI792" s="1265"/>
      <c r="NJ792" s="1265"/>
      <c r="NK792" s="1265"/>
      <c r="NL792" s="1265"/>
      <c r="NM792" s="1265"/>
      <c r="NN792" s="1265"/>
      <c r="NO792" s="1265"/>
      <c r="NP792" s="1265"/>
      <c r="NQ792" s="1265"/>
      <c r="NR792" s="1265"/>
      <c r="NS792" s="1265"/>
      <c r="NT792" s="1265"/>
      <c r="NU792" s="1265"/>
      <c r="NV792" s="1265"/>
      <c r="NW792" s="1265"/>
      <c r="NX792" s="1265"/>
      <c r="NY792" s="1265"/>
      <c r="NZ792" s="1265"/>
      <c r="OA792" s="1265"/>
      <c r="OB792" s="1265"/>
      <c r="OC792" s="1265"/>
      <c r="OD792" s="1265"/>
      <c r="OE792" s="1265"/>
      <c r="OF792" s="1265"/>
      <c r="OG792" s="1265"/>
      <c r="OH792" s="1265"/>
      <c r="OI792" s="1265"/>
      <c r="OJ792" s="1265"/>
      <c r="OK792" s="1265"/>
      <c r="OL792" s="1265"/>
      <c r="OM792" s="1265"/>
      <c r="ON792" s="1265"/>
      <c r="OO792" s="1265"/>
      <c r="OP792" s="1265"/>
      <c r="OQ792" s="1265"/>
      <c r="OR792" s="1265"/>
      <c r="OS792" s="1265"/>
      <c r="OT792" s="1265"/>
      <c r="OU792" s="1265"/>
      <c r="OV792" s="1265"/>
      <c r="OW792" s="1265"/>
      <c r="OX792" s="1265"/>
      <c r="OY792" s="1265"/>
      <c r="OZ792" s="1265"/>
      <c r="PA792" s="1265"/>
      <c r="PB792" s="1265"/>
      <c r="PC792" s="1265"/>
      <c r="PD792" s="1265"/>
      <c r="PE792" s="1265"/>
      <c r="PF792" s="1265"/>
      <c r="PG792" s="1265"/>
      <c r="PH792" s="1265"/>
      <c r="PI792" s="1265"/>
      <c r="PJ792" s="1265"/>
      <c r="PK792" s="1265"/>
      <c r="PL792" s="1265"/>
      <c r="PM792" s="1265"/>
      <c r="PN792" s="1265"/>
      <c r="PO792" s="1265"/>
      <c r="PP792" s="1265"/>
      <c r="PQ792" s="1265"/>
      <c r="PR792" s="1265"/>
      <c r="PS792" s="1265"/>
      <c r="PT792" s="1265"/>
      <c r="PU792" s="1265"/>
      <c r="PV792" s="1265"/>
      <c r="PW792" s="1265"/>
      <c r="PX792" s="1265"/>
      <c r="PY792" s="1265"/>
      <c r="PZ792" s="1265"/>
      <c r="QA792" s="1265"/>
      <c r="QB792" s="1265"/>
      <c r="QC792" s="1265"/>
      <c r="QD792" s="1265"/>
      <c r="QE792" s="1265"/>
      <c r="QF792" s="1265"/>
      <c r="QG792" s="1265"/>
      <c r="QH792" s="1265"/>
      <c r="QI792" s="1265"/>
      <c r="QJ792" s="1265"/>
      <c r="QK792" s="1265"/>
      <c r="QL792" s="1265"/>
      <c r="QM792" s="1265"/>
      <c r="QN792" s="1265"/>
      <c r="QO792" s="1265"/>
      <c r="QP792" s="1265"/>
      <c r="QQ792" s="1265"/>
      <c r="QR792" s="1265"/>
      <c r="QS792" s="1265"/>
      <c r="QT792" s="1265"/>
      <c r="QU792" s="1265"/>
      <c r="QV792" s="1265"/>
      <c r="QW792" s="1265"/>
      <c r="QX792" s="1265"/>
      <c r="QY792" s="1265"/>
      <c r="QZ792" s="1265"/>
      <c r="RA792" s="1265"/>
      <c r="RB792" s="1265"/>
      <c r="RC792" s="1265"/>
      <c r="RD792" s="1265"/>
      <c r="RE792" s="1265"/>
      <c r="RF792" s="1265"/>
      <c r="RG792" s="1265"/>
      <c r="RH792" s="1265"/>
      <c r="RI792" s="1265"/>
      <c r="RJ792" s="1265"/>
      <c r="RK792" s="1265"/>
      <c r="RL792" s="1265"/>
      <c r="RM792" s="1265"/>
      <c r="RN792" s="1265"/>
      <c r="RO792" s="1265"/>
      <c r="RP792" s="1265"/>
      <c r="RQ792" s="1265"/>
      <c r="RR792" s="1265"/>
      <c r="RS792" s="1265"/>
      <c r="RT792" s="1265"/>
      <c r="RU792" s="1265"/>
      <c r="RV792" s="1265"/>
      <c r="RW792" s="1265"/>
      <c r="RX792" s="1265"/>
      <c r="RY792" s="1265"/>
      <c r="RZ792" s="1265"/>
      <c r="SA792" s="1265"/>
      <c r="SB792" s="1265"/>
      <c r="SC792" s="1265"/>
      <c r="SD792" s="1265"/>
      <c r="SE792" s="1265"/>
      <c r="SF792" s="1265"/>
      <c r="SG792" s="1265"/>
      <c r="SH792" s="1265"/>
      <c r="SI792" s="1265"/>
      <c r="SJ792" s="1265"/>
      <c r="SK792" s="1265"/>
      <c r="SL792" s="1265"/>
      <c r="SM792" s="1265"/>
      <c r="SN792" s="1265"/>
      <c r="SO792" s="1265"/>
      <c r="SP792" s="1265"/>
      <c r="SQ792" s="1265"/>
      <c r="SR792" s="1265"/>
      <c r="SS792" s="1265"/>
      <c r="ST792" s="1265"/>
      <c r="SU792" s="1265"/>
      <c r="SV792" s="1265"/>
      <c r="SW792" s="1265"/>
      <c r="SX792" s="1265"/>
      <c r="SY792" s="1265"/>
      <c r="SZ792" s="1265"/>
      <c r="TA792" s="1265"/>
      <c r="TB792" s="1265"/>
      <c r="TC792" s="1265"/>
      <c r="TD792" s="1265"/>
      <c r="TE792" s="1265"/>
      <c r="TF792" s="1265"/>
      <c r="TG792" s="1265"/>
      <c r="TH792" s="1265"/>
      <c r="TI792" s="1265"/>
      <c r="TJ792" s="1265"/>
      <c r="TK792" s="1265"/>
      <c r="TL792" s="1265"/>
      <c r="TM792" s="1265"/>
      <c r="TN792" s="1265"/>
      <c r="TO792" s="1265"/>
      <c r="TP792" s="1265"/>
      <c r="TQ792" s="1265"/>
      <c r="TR792" s="1265"/>
      <c r="TS792" s="1265"/>
      <c r="TT792" s="1265"/>
      <c r="TU792" s="1265"/>
      <c r="TV792" s="1265"/>
      <c r="TW792" s="1265"/>
      <c r="TX792" s="1265"/>
      <c r="TY792" s="1265"/>
      <c r="TZ792" s="1265"/>
      <c r="UA792" s="1265"/>
      <c r="UB792" s="1265"/>
      <c r="UC792" s="1265"/>
      <c r="UD792" s="1265"/>
      <c r="UE792" s="1265"/>
      <c r="UF792" s="1265"/>
      <c r="UG792" s="1266"/>
    </row>
    <row r="793" spans="1:553" s="1262" customFormat="1" ht="30.75" customHeight="1">
      <c r="A793" s="436"/>
      <c r="B793" s="436"/>
      <c r="C793" s="1411" t="s">
        <v>1129</v>
      </c>
      <c r="D793" s="1411"/>
      <c r="E793" s="1411"/>
      <c r="F793" s="1411"/>
      <c r="G793" s="303" t="s">
        <v>46</v>
      </c>
      <c r="H793" s="652"/>
      <c r="I793" s="1293">
        <f>(157.21*100/1100)*(12-(4-2))*16</f>
        <v>2286.6909090909089</v>
      </c>
      <c r="J793" s="1243">
        <v>15400</v>
      </c>
      <c r="K793" s="578">
        <v>0.7</v>
      </c>
      <c r="L793" s="753">
        <f>ROUND(PRODUCT(I793:K793),0)</f>
        <v>24650528</v>
      </c>
      <c r="M793" s="356"/>
      <c r="N793" s="356"/>
      <c r="O793" s="356"/>
      <c r="P793" s="356"/>
      <c r="Q793" s="610"/>
      <c r="R793" s="1228"/>
      <c r="S793" s="308"/>
      <c r="T793" s="308"/>
      <c r="U793" s="308"/>
      <c r="V793" s="308"/>
      <c r="W793" s="308"/>
      <c r="X793" s="308"/>
      <c r="Y793" s="308"/>
      <c r="Z793" s="604"/>
      <c r="AA793" s="308"/>
      <c r="AB793" s="308"/>
      <c r="AC793" s="454"/>
      <c r="AD793" s="454"/>
      <c r="AE793" s="454"/>
      <c r="AF793" s="454"/>
      <c r="AG793" s="454"/>
      <c r="AH793" s="454"/>
      <c r="AI793" s="454"/>
      <c r="AJ793" s="454"/>
      <c r="AK793" s="455"/>
      <c r="AL793" s="1263"/>
      <c r="AM793" s="1263"/>
      <c r="AN793" s="1263"/>
      <c r="AO793" s="1263"/>
      <c r="AP793" s="1263"/>
      <c r="AQ793" s="1263"/>
      <c r="AR793" s="1263"/>
      <c r="AS793" s="1264"/>
      <c r="AT793" s="1264"/>
      <c r="AU793" s="1264"/>
      <c r="AV793" s="1264"/>
      <c r="AW793" s="1264"/>
      <c r="AX793" s="1264"/>
      <c r="AY793" s="1264"/>
      <c r="AZ793" s="1264"/>
      <c r="BA793" s="1264"/>
      <c r="BB793" s="1264"/>
      <c r="BC793" s="1264"/>
      <c r="BD793" s="1264"/>
      <c r="BE793" s="1264"/>
      <c r="BF793" s="1264"/>
      <c r="BG793" s="1264"/>
      <c r="BH793" s="1264"/>
      <c r="BI793" s="1264"/>
      <c r="BJ793" s="1264"/>
      <c r="BK793" s="1264"/>
      <c r="BL793" s="1264"/>
      <c r="BM793" s="1264"/>
      <c r="BN793" s="1264"/>
      <c r="BO793" s="1264"/>
      <c r="BP793" s="1265"/>
      <c r="BQ793" s="1265"/>
      <c r="BR793" s="1265"/>
      <c r="BS793" s="1265"/>
      <c r="BT793" s="1265"/>
      <c r="BU793" s="1265"/>
      <c r="BV793" s="1265"/>
      <c r="BW793" s="1265"/>
      <c r="BX793" s="1265"/>
      <c r="BY793" s="1265"/>
      <c r="BZ793" s="1265"/>
      <c r="CA793" s="1265"/>
      <c r="CB793" s="1265"/>
      <c r="CC793" s="1265"/>
      <c r="CD793" s="1265"/>
      <c r="CE793" s="1265"/>
      <c r="CF793" s="1265"/>
      <c r="CG793" s="1265"/>
      <c r="CH793" s="1265"/>
      <c r="CI793" s="1265"/>
      <c r="CJ793" s="1265"/>
      <c r="CK793" s="1265"/>
      <c r="CL793" s="1265"/>
      <c r="CM793" s="1265"/>
      <c r="CN793" s="1265"/>
      <c r="CO793" s="1265"/>
      <c r="CP793" s="1265"/>
      <c r="CQ793" s="1265"/>
      <c r="CR793" s="1265"/>
      <c r="CS793" s="1265"/>
      <c r="CT793" s="1265"/>
      <c r="CU793" s="1265"/>
      <c r="CV793" s="1265"/>
      <c r="CW793" s="1265"/>
      <c r="CX793" s="1265"/>
      <c r="CY793" s="1265"/>
      <c r="CZ793" s="1265"/>
      <c r="DA793" s="1265"/>
      <c r="DB793" s="1265"/>
      <c r="DC793" s="1265"/>
      <c r="DD793" s="1265"/>
      <c r="DE793" s="1265"/>
      <c r="DF793" s="1265"/>
      <c r="DG793" s="1265"/>
      <c r="DH793" s="1265"/>
      <c r="DI793" s="1265"/>
      <c r="DJ793" s="1265"/>
      <c r="DK793" s="1265"/>
      <c r="DL793" s="1265"/>
      <c r="DM793" s="1265"/>
      <c r="DN793" s="1265"/>
      <c r="DO793" s="1265"/>
      <c r="DP793" s="1265"/>
      <c r="DQ793" s="1265"/>
      <c r="DR793" s="1265"/>
      <c r="DS793" s="1265"/>
      <c r="DT793" s="1265"/>
      <c r="DU793" s="1265"/>
      <c r="DV793" s="1265"/>
      <c r="DW793" s="1265"/>
      <c r="DX793" s="1265"/>
      <c r="DY793" s="1265"/>
      <c r="DZ793" s="1265"/>
      <c r="EA793" s="1265"/>
      <c r="EB793" s="1265"/>
      <c r="EC793" s="1265"/>
      <c r="ED793" s="1265"/>
      <c r="EE793" s="1265"/>
      <c r="EF793" s="1265"/>
      <c r="EG793" s="1265"/>
      <c r="EH793" s="1265"/>
      <c r="EI793" s="1265"/>
      <c r="EJ793" s="1265"/>
      <c r="EK793" s="1265"/>
      <c r="EL793" s="1265"/>
      <c r="EM793" s="1265"/>
      <c r="EN793" s="1265"/>
      <c r="EO793" s="1265"/>
      <c r="EP793" s="1265"/>
      <c r="EQ793" s="1265"/>
      <c r="ER793" s="1265"/>
      <c r="ES793" s="1265"/>
      <c r="ET793" s="1265"/>
      <c r="EU793" s="1265"/>
      <c r="EV793" s="1265"/>
      <c r="EW793" s="1265"/>
      <c r="EX793" s="1265"/>
      <c r="EY793" s="1265"/>
      <c r="EZ793" s="1265"/>
      <c r="FA793" s="1265"/>
      <c r="FB793" s="1265"/>
      <c r="FC793" s="1265"/>
      <c r="FD793" s="1265"/>
      <c r="FE793" s="1265"/>
      <c r="FF793" s="1265"/>
      <c r="FG793" s="1265"/>
      <c r="FH793" s="1265"/>
      <c r="FI793" s="1265"/>
      <c r="FJ793" s="1265"/>
      <c r="FK793" s="1265"/>
      <c r="FL793" s="1265"/>
      <c r="FM793" s="1265"/>
      <c r="FN793" s="1265"/>
      <c r="FO793" s="1265"/>
      <c r="FP793" s="1265"/>
      <c r="FQ793" s="1265"/>
      <c r="FR793" s="1265"/>
      <c r="FS793" s="1265"/>
      <c r="FT793" s="1265"/>
      <c r="FU793" s="1265"/>
      <c r="FV793" s="1265"/>
      <c r="FW793" s="1265"/>
      <c r="FX793" s="1265"/>
      <c r="FY793" s="1265"/>
      <c r="FZ793" s="1265"/>
      <c r="GA793" s="1265"/>
      <c r="GB793" s="1265"/>
      <c r="GC793" s="1265"/>
      <c r="GD793" s="1265"/>
      <c r="GE793" s="1265"/>
      <c r="GF793" s="1265"/>
      <c r="GG793" s="1265"/>
      <c r="GH793" s="1265"/>
      <c r="GI793" s="1265"/>
      <c r="GJ793" s="1265"/>
      <c r="GK793" s="1265"/>
      <c r="GL793" s="1265"/>
      <c r="GM793" s="1265"/>
      <c r="GN793" s="1265"/>
      <c r="GO793" s="1265"/>
      <c r="GP793" s="1265"/>
      <c r="GQ793" s="1265"/>
      <c r="GR793" s="1265"/>
      <c r="GS793" s="1265"/>
      <c r="GT793" s="1265"/>
      <c r="GU793" s="1265"/>
      <c r="GV793" s="1265"/>
      <c r="GW793" s="1265"/>
      <c r="GX793" s="1265"/>
      <c r="GY793" s="1265"/>
      <c r="GZ793" s="1265"/>
      <c r="HA793" s="1265"/>
      <c r="HB793" s="1265"/>
      <c r="HC793" s="1265"/>
      <c r="HD793" s="1265"/>
      <c r="HE793" s="1265"/>
      <c r="HF793" s="1265"/>
      <c r="HG793" s="1265"/>
      <c r="HH793" s="1265"/>
      <c r="HI793" s="1265"/>
      <c r="HJ793" s="1265"/>
      <c r="HK793" s="1265"/>
      <c r="HL793" s="1265"/>
      <c r="HM793" s="1265"/>
      <c r="HN793" s="1265"/>
      <c r="HO793" s="1265"/>
      <c r="HP793" s="1265"/>
      <c r="HQ793" s="1265"/>
      <c r="HR793" s="1265"/>
      <c r="HS793" s="1265"/>
      <c r="HT793" s="1265"/>
      <c r="HU793" s="1265"/>
      <c r="HV793" s="1265"/>
      <c r="HW793" s="1265"/>
      <c r="HX793" s="1265"/>
      <c r="HY793" s="1265"/>
      <c r="HZ793" s="1265"/>
      <c r="IA793" s="1265"/>
      <c r="IB793" s="1265"/>
      <c r="IC793" s="1265"/>
      <c r="ID793" s="1265"/>
      <c r="IE793" s="1265"/>
      <c r="IF793" s="1265"/>
      <c r="IG793" s="1265"/>
      <c r="IH793" s="1265"/>
      <c r="II793" s="1265"/>
      <c r="IJ793" s="1265"/>
      <c r="IK793" s="1265"/>
      <c r="IL793" s="1265"/>
      <c r="IM793" s="1265"/>
      <c r="IN793" s="1265"/>
      <c r="IO793" s="1265"/>
      <c r="IP793" s="1265"/>
      <c r="IQ793" s="1265"/>
      <c r="IR793" s="1265"/>
      <c r="IS793" s="1265"/>
      <c r="IT793" s="1265"/>
      <c r="IU793" s="1265"/>
      <c r="IV793" s="1265"/>
      <c r="IW793" s="1265"/>
      <c r="IX793" s="1265"/>
      <c r="IY793" s="1265"/>
      <c r="IZ793" s="1265"/>
      <c r="JA793" s="1265"/>
      <c r="JB793" s="1265"/>
      <c r="JC793" s="1265"/>
      <c r="JD793" s="1265"/>
      <c r="JE793" s="1265"/>
      <c r="JF793" s="1265"/>
      <c r="JG793" s="1265"/>
      <c r="JH793" s="1265"/>
      <c r="JI793" s="1265"/>
      <c r="JJ793" s="1265"/>
      <c r="JK793" s="1265"/>
      <c r="JL793" s="1265"/>
      <c r="JM793" s="1265"/>
      <c r="JN793" s="1265"/>
      <c r="JO793" s="1265"/>
      <c r="JP793" s="1265"/>
      <c r="JQ793" s="1265"/>
      <c r="JR793" s="1265"/>
      <c r="JS793" s="1265"/>
      <c r="JT793" s="1265"/>
      <c r="JU793" s="1265"/>
      <c r="JV793" s="1265"/>
      <c r="JW793" s="1265"/>
      <c r="JX793" s="1265"/>
      <c r="JY793" s="1265"/>
      <c r="JZ793" s="1265"/>
      <c r="KA793" s="1265"/>
      <c r="KB793" s="1265"/>
      <c r="KC793" s="1265"/>
      <c r="KD793" s="1265"/>
      <c r="KE793" s="1265"/>
      <c r="KF793" s="1265"/>
      <c r="KG793" s="1265"/>
      <c r="KH793" s="1265"/>
      <c r="KI793" s="1265"/>
      <c r="KJ793" s="1265"/>
      <c r="KK793" s="1265"/>
      <c r="KL793" s="1265"/>
      <c r="KM793" s="1265"/>
      <c r="KN793" s="1265"/>
      <c r="KO793" s="1265"/>
      <c r="KP793" s="1265"/>
      <c r="KQ793" s="1265"/>
      <c r="KR793" s="1265"/>
      <c r="KS793" s="1265"/>
      <c r="KT793" s="1265"/>
      <c r="KU793" s="1265"/>
      <c r="KV793" s="1265"/>
      <c r="KW793" s="1265"/>
      <c r="KX793" s="1265"/>
      <c r="KY793" s="1265"/>
      <c r="KZ793" s="1265"/>
      <c r="LA793" s="1265"/>
      <c r="LB793" s="1265"/>
      <c r="LC793" s="1265"/>
      <c r="LD793" s="1265"/>
      <c r="LE793" s="1265"/>
      <c r="LF793" s="1265"/>
      <c r="LG793" s="1265"/>
      <c r="LH793" s="1265"/>
      <c r="LI793" s="1265"/>
      <c r="LJ793" s="1265"/>
      <c r="LK793" s="1265"/>
      <c r="LL793" s="1265"/>
      <c r="LM793" s="1265"/>
      <c r="LN793" s="1265"/>
      <c r="LO793" s="1265"/>
      <c r="LP793" s="1265"/>
      <c r="LQ793" s="1265"/>
      <c r="LR793" s="1265"/>
      <c r="LS793" s="1265"/>
      <c r="LT793" s="1265"/>
      <c r="LU793" s="1265"/>
      <c r="LV793" s="1265"/>
      <c r="LW793" s="1265"/>
      <c r="LX793" s="1265"/>
      <c r="LY793" s="1265"/>
      <c r="LZ793" s="1265"/>
      <c r="MA793" s="1265"/>
      <c r="MB793" s="1265"/>
      <c r="MC793" s="1265"/>
      <c r="MD793" s="1265"/>
      <c r="ME793" s="1265"/>
      <c r="MF793" s="1265"/>
      <c r="MG793" s="1265"/>
      <c r="MH793" s="1265"/>
      <c r="MI793" s="1265"/>
      <c r="MJ793" s="1265"/>
      <c r="MK793" s="1265"/>
      <c r="ML793" s="1265"/>
      <c r="MM793" s="1265"/>
      <c r="MN793" s="1265"/>
      <c r="MO793" s="1265"/>
      <c r="MP793" s="1265"/>
      <c r="MQ793" s="1265"/>
      <c r="MR793" s="1265"/>
      <c r="MS793" s="1265"/>
      <c r="MT793" s="1265"/>
      <c r="MU793" s="1265"/>
      <c r="MV793" s="1265"/>
      <c r="MW793" s="1265"/>
      <c r="MX793" s="1265"/>
      <c r="MY793" s="1265"/>
      <c r="MZ793" s="1265"/>
      <c r="NA793" s="1265"/>
      <c r="NB793" s="1265"/>
      <c r="NC793" s="1265"/>
      <c r="ND793" s="1265"/>
      <c r="NE793" s="1265"/>
      <c r="NF793" s="1265"/>
      <c r="NG793" s="1265"/>
      <c r="NH793" s="1265"/>
      <c r="NI793" s="1265"/>
      <c r="NJ793" s="1265"/>
      <c r="NK793" s="1265"/>
      <c r="NL793" s="1265"/>
      <c r="NM793" s="1265"/>
      <c r="NN793" s="1265"/>
      <c r="NO793" s="1265"/>
      <c r="NP793" s="1265"/>
      <c r="NQ793" s="1265"/>
      <c r="NR793" s="1265"/>
      <c r="NS793" s="1265"/>
      <c r="NT793" s="1265"/>
      <c r="NU793" s="1265"/>
      <c r="NV793" s="1265"/>
      <c r="NW793" s="1265"/>
      <c r="NX793" s="1265"/>
      <c r="NY793" s="1265"/>
      <c r="NZ793" s="1265"/>
      <c r="OA793" s="1265"/>
      <c r="OB793" s="1265"/>
      <c r="OC793" s="1265"/>
      <c r="OD793" s="1265"/>
      <c r="OE793" s="1265"/>
      <c r="OF793" s="1265"/>
      <c r="OG793" s="1265"/>
      <c r="OH793" s="1265"/>
      <c r="OI793" s="1265"/>
      <c r="OJ793" s="1265"/>
      <c r="OK793" s="1265"/>
      <c r="OL793" s="1265"/>
      <c r="OM793" s="1265"/>
      <c r="ON793" s="1265"/>
      <c r="OO793" s="1265"/>
      <c r="OP793" s="1265"/>
      <c r="OQ793" s="1265"/>
      <c r="OR793" s="1265"/>
      <c r="OS793" s="1265"/>
      <c r="OT793" s="1265"/>
      <c r="OU793" s="1265"/>
      <c r="OV793" s="1265"/>
      <c r="OW793" s="1265"/>
      <c r="OX793" s="1265"/>
      <c r="OY793" s="1265"/>
      <c r="OZ793" s="1265"/>
      <c r="PA793" s="1265"/>
      <c r="PB793" s="1265"/>
      <c r="PC793" s="1265"/>
      <c r="PD793" s="1265"/>
      <c r="PE793" s="1265"/>
      <c r="PF793" s="1265"/>
      <c r="PG793" s="1265"/>
      <c r="PH793" s="1265"/>
      <c r="PI793" s="1265"/>
      <c r="PJ793" s="1265"/>
      <c r="PK793" s="1265"/>
      <c r="PL793" s="1265"/>
      <c r="PM793" s="1265"/>
      <c r="PN793" s="1265"/>
      <c r="PO793" s="1265"/>
      <c r="PP793" s="1265"/>
      <c r="PQ793" s="1265"/>
      <c r="PR793" s="1265"/>
      <c r="PS793" s="1265"/>
      <c r="PT793" s="1265"/>
      <c r="PU793" s="1265"/>
      <c r="PV793" s="1265"/>
      <c r="PW793" s="1265"/>
      <c r="PX793" s="1265"/>
      <c r="PY793" s="1265"/>
      <c r="PZ793" s="1265"/>
      <c r="QA793" s="1265"/>
      <c r="QB793" s="1265"/>
      <c r="QC793" s="1265"/>
      <c r="QD793" s="1265"/>
      <c r="QE793" s="1265"/>
      <c r="QF793" s="1265"/>
      <c r="QG793" s="1265"/>
      <c r="QH793" s="1265"/>
      <c r="QI793" s="1265"/>
      <c r="QJ793" s="1265"/>
      <c r="QK793" s="1265"/>
      <c r="QL793" s="1265"/>
      <c r="QM793" s="1265"/>
      <c r="QN793" s="1265"/>
      <c r="QO793" s="1265"/>
      <c r="QP793" s="1265"/>
      <c r="QQ793" s="1265"/>
      <c r="QR793" s="1265"/>
      <c r="QS793" s="1265"/>
      <c r="QT793" s="1265"/>
      <c r="QU793" s="1265"/>
      <c r="QV793" s="1265"/>
      <c r="QW793" s="1265"/>
      <c r="QX793" s="1265"/>
      <c r="QY793" s="1265"/>
      <c r="QZ793" s="1265"/>
      <c r="RA793" s="1265"/>
      <c r="RB793" s="1265"/>
      <c r="RC793" s="1265"/>
      <c r="RD793" s="1265"/>
      <c r="RE793" s="1265"/>
      <c r="RF793" s="1265"/>
      <c r="RG793" s="1265"/>
      <c r="RH793" s="1265"/>
      <c r="RI793" s="1265"/>
      <c r="RJ793" s="1265"/>
      <c r="RK793" s="1265"/>
      <c r="RL793" s="1265"/>
      <c r="RM793" s="1265"/>
      <c r="RN793" s="1265"/>
      <c r="RO793" s="1265"/>
      <c r="RP793" s="1265"/>
      <c r="RQ793" s="1265"/>
      <c r="RR793" s="1265"/>
      <c r="RS793" s="1265"/>
      <c r="RT793" s="1265"/>
      <c r="RU793" s="1265"/>
      <c r="RV793" s="1265"/>
      <c r="RW793" s="1265"/>
      <c r="RX793" s="1265"/>
      <c r="RY793" s="1265"/>
      <c r="RZ793" s="1265"/>
      <c r="SA793" s="1265"/>
      <c r="SB793" s="1265"/>
      <c r="SC793" s="1265"/>
      <c r="SD793" s="1265"/>
      <c r="SE793" s="1265"/>
      <c r="SF793" s="1265"/>
      <c r="SG793" s="1265"/>
      <c r="SH793" s="1265"/>
      <c r="SI793" s="1265"/>
      <c r="SJ793" s="1265"/>
      <c r="SK793" s="1265"/>
      <c r="SL793" s="1265"/>
      <c r="SM793" s="1265"/>
      <c r="SN793" s="1265"/>
      <c r="SO793" s="1265"/>
      <c r="SP793" s="1265"/>
      <c r="SQ793" s="1265"/>
      <c r="SR793" s="1265"/>
      <c r="SS793" s="1265"/>
      <c r="ST793" s="1265"/>
      <c r="SU793" s="1265"/>
      <c r="SV793" s="1265"/>
      <c r="SW793" s="1265"/>
      <c r="SX793" s="1265"/>
      <c r="SY793" s="1265"/>
      <c r="SZ793" s="1265"/>
      <c r="TA793" s="1265"/>
      <c r="TB793" s="1265"/>
      <c r="TC793" s="1265"/>
      <c r="TD793" s="1265"/>
      <c r="TE793" s="1265"/>
      <c r="TF793" s="1265"/>
      <c r="TG793" s="1265"/>
      <c r="TH793" s="1265"/>
      <c r="TI793" s="1265"/>
      <c r="TJ793" s="1265"/>
      <c r="TK793" s="1265"/>
      <c r="TL793" s="1265"/>
      <c r="TM793" s="1265"/>
      <c r="TN793" s="1265"/>
      <c r="TO793" s="1265"/>
      <c r="TP793" s="1265"/>
      <c r="TQ793" s="1265"/>
      <c r="TR793" s="1265"/>
      <c r="TS793" s="1265"/>
      <c r="TT793" s="1265"/>
      <c r="TU793" s="1265"/>
      <c r="TV793" s="1265"/>
      <c r="TW793" s="1265"/>
      <c r="TX793" s="1265"/>
      <c r="TY793" s="1265"/>
      <c r="TZ793" s="1265"/>
      <c r="UA793" s="1265"/>
      <c r="UB793" s="1265"/>
      <c r="UC793" s="1265"/>
      <c r="UD793" s="1265"/>
      <c r="UE793" s="1265"/>
      <c r="UF793" s="1265"/>
      <c r="UG793" s="1266"/>
    </row>
    <row r="794" spans="1:553" s="1262" customFormat="1" ht="30.75" customHeight="1">
      <c r="A794" s="653"/>
      <c r="B794" s="653"/>
      <c r="C794" s="1439" t="s">
        <v>761</v>
      </c>
      <c r="D794" s="1440" t="s">
        <v>819</v>
      </c>
      <c r="E794" s="1440" t="s">
        <v>819</v>
      </c>
      <c r="F794" s="1441" t="s">
        <v>819</v>
      </c>
      <c r="G794" s="418" t="s">
        <v>196</v>
      </c>
      <c r="H794" s="654"/>
      <c r="I794" s="794">
        <f>(157.21*100/1100)*(12-(6-2))*1</f>
        <v>114.33454545454545</v>
      </c>
      <c r="J794" s="368">
        <v>15400</v>
      </c>
      <c r="K794" s="650">
        <v>0.7</v>
      </c>
      <c r="L794" s="571">
        <f>ROUND(PRODUCT(I794:K794),0)</f>
        <v>1232526</v>
      </c>
      <c r="M794" s="356"/>
      <c r="N794" s="356"/>
      <c r="O794" s="356"/>
      <c r="P794" s="356"/>
      <c r="Q794" s="610"/>
      <c r="R794" s="1228"/>
      <c r="S794" s="308"/>
      <c r="T794" s="308"/>
      <c r="U794" s="308"/>
      <c r="V794" s="308"/>
      <c r="W794" s="308"/>
      <c r="X794" s="308"/>
      <c r="Y794" s="308"/>
      <c r="Z794" s="604"/>
      <c r="AA794" s="308"/>
      <c r="AB794" s="308"/>
      <c r="AC794" s="454"/>
      <c r="AD794" s="454"/>
      <c r="AE794" s="454"/>
      <c r="AF794" s="454"/>
      <c r="AG794" s="454"/>
      <c r="AH794" s="454"/>
      <c r="AI794" s="454"/>
      <c r="AJ794" s="454"/>
      <c r="AK794" s="455"/>
      <c r="AL794" s="1263"/>
      <c r="AM794" s="1263"/>
      <c r="AN794" s="1263"/>
      <c r="AO794" s="1263"/>
      <c r="AP794" s="1263"/>
      <c r="AQ794" s="1263"/>
      <c r="AR794" s="1263"/>
      <c r="AS794" s="1264"/>
      <c r="AT794" s="1264"/>
      <c r="AU794" s="1264"/>
      <c r="AV794" s="1264"/>
      <c r="AW794" s="1264"/>
      <c r="AX794" s="1264"/>
      <c r="AY794" s="1264"/>
      <c r="AZ794" s="1264"/>
      <c r="BA794" s="1264"/>
      <c r="BB794" s="1264"/>
      <c r="BC794" s="1264"/>
      <c r="BD794" s="1264"/>
      <c r="BE794" s="1264"/>
      <c r="BF794" s="1264"/>
      <c r="BG794" s="1264"/>
      <c r="BH794" s="1264"/>
      <c r="BI794" s="1264"/>
      <c r="BJ794" s="1264"/>
      <c r="BK794" s="1264"/>
      <c r="BL794" s="1264"/>
      <c r="BM794" s="1264"/>
      <c r="BN794" s="1264"/>
      <c r="BO794" s="1264"/>
      <c r="BP794" s="1265"/>
      <c r="BQ794" s="1265"/>
      <c r="BR794" s="1265"/>
      <c r="BS794" s="1265"/>
      <c r="BT794" s="1265"/>
      <c r="BU794" s="1265"/>
      <c r="BV794" s="1265"/>
      <c r="BW794" s="1265"/>
      <c r="BX794" s="1265"/>
      <c r="BY794" s="1265"/>
      <c r="BZ794" s="1265"/>
      <c r="CA794" s="1265"/>
      <c r="CB794" s="1265"/>
      <c r="CC794" s="1265"/>
      <c r="CD794" s="1265"/>
      <c r="CE794" s="1265"/>
      <c r="CF794" s="1265"/>
      <c r="CG794" s="1265"/>
      <c r="CH794" s="1265"/>
      <c r="CI794" s="1265"/>
      <c r="CJ794" s="1265"/>
      <c r="CK794" s="1265"/>
      <c r="CL794" s="1265"/>
      <c r="CM794" s="1265"/>
      <c r="CN794" s="1265"/>
      <c r="CO794" s="1265"/>
      <c r="CP794" s="1265"/>
      <c r="CQ794" s="1265"/>
      <c r="CR794" s="1265"/>
      <c r="CS794" s="1265"/>
      <c r="CT794" s="1265"/>
      <c r="CU794" s="1265"/>
      <c r="CV794" s="1265"/>
      <c r="CW794" s="1265"/>
      <c r="CX794" s="1265"/>
      <c r="CY794" s="1265"/>
      <c r="CZ794" s="1265"/>
      <c r="DA794" s="1265"/>
      <c r="DB794" s="1265"/>
      <c r="DC794" s="1265"/>
      <c r="DD794" s="1265"/>
      <c r="DE794" s="1265"/>
      <c r="DF794" s="1265"/>
      <c r="DG794" s="1265"/>
      <c r="DH794" s="1265"/>
      <c r="DI794" s="1265"/>
      <c r="DJ794" s="1265"/>
      <c r="DK794" s="1265"/>
      <c r="DL794" s="1265"/>
      <c r="DM794" s="1265"/>
      <c r="DN794" s="1265"/>
      <c r="DO794" s="1265"/>
      <c r="DP794" s="1265"/>
      <c r="DQ794" s="1265"/>
      <c r="DR794" s="1265"/>
      <c r="DS794" s="1265"/>
      <c r="DT794" s="1265"/>
      <c r="DU794" s="1265"/>
      <c r="DV794" s="1265"/>
      <c r="DW794" s="1265"/>
      <c r="DX794" s="1265"/>
      <c r="DY794" s="1265"/>
      <c r="DZ794" s="1265"/>
      <c r="EA794" s="1265"/>
      <c r="EB794" s="1265"/>
      <c r="EC794" s="1265"/>
      <c r="ED794" s="1265"/>
      <c r="EE794" s="1265"/>
      <c r="EF794" s="1265"/>
      <c r="EG794" s="1265"/>
      <c r="EH794" s="1265"/>
      <c r="EI794" s="1265"/>
      <c r="EJ794" s="1265"/>
      <c r="EK794" s="1265"/>
      <c r="EL794" s="1265"/>
      <c r="EM794" s="1265"/>
      <c r="EN794" s="1265"/>
      <c r="EO794" s="1265"/>
      <c r="EP794" s="1265"/>
      <c r="EQ794" s="1265"/>
      <c r="ER794" s="1265"/>
      <c r="ES794" s="1265"/>
      <c r="ET794" s="1265"/>
      <c r="EU794" s="1265"/>
      <c r="EV794" s="1265"/>
      <c r="EW794" s="1265"/>
      <c r="EX794" s="1265"/>
      <c r="EY794" s="1265"/>
      <c r="EZ794" s="1265"/>
      <c r="FA794" s="1265"/>
      <c r="FB794" s="1265"/>
      <c r="FC794" s="1265"/>
      <c r="FD794" s="1265"/>
      <c r="FE794" s="1265"/>
      <c r="FF794" s="1265"/>
      <c r="FG794" s="1265"/>
      <c r="FH794" s="1265"/>
      <c r="FI794" s="1265"/>
      <c r="FJ794" s="1265"/>
      <c r="FK794" s="1265"/>
      <c r="FL794" s="1265"/>
      <c r="FM794" s="1265"/>
      <c r="FN794" s="1265"/>
      <c r="FO794" s="1265"/>
      <c r="FP794" s="1265"/>
      <c r="FQ794" s="1265"/>
      <c r="FR794" s="1265"/>
      <c r="FS794" s="1265"/>
      <c r="FT794" s="1265"/>
      <c r="FU794" s="1265"/>
      <c r="FV794" s="1265"/>
      <c r="FW794" s="1265"/>
      <c r="FX794" s="1265"/>
      <c r="FY794" s="1265"/>
      <c r="FZ794" s="1265"/>
      <c r="GA794" s="1265"/>
      <c r="GB794" s="1265"/>
      <c r="GC794" s="1265"/>
      <c r="GD794" s="1265"/>
      <c r="GE794" s="1265"/>
      <c r="GF794" s="1265"/>
      <c r="GG794" s="1265"/>
      <c r="GH794" s="1265"/>
      <c r="GI794" s="1265"/>
      <c r="GJ794" s="1265"/>
      <c r="GK794" s="1265"/>
      <c r="GL794" s="1265"/>
      <c r="GM794" s="1265"/>
      <c r="GN794" s="1265"/>
      <c r="GO794" s="1265"/>
      <c r="GP794" s="1265"/>
      <c r="GQ794" s="1265"/>
      <c r="GR794" s="1265"/>
      <c r="GS794" s="1265"/>
      <c r="GT794" s="1265"/>
      <c r="GU794" s="1265"/>
      <c r="GV794" s="1265"/>
      <c r="GW794" s="1265"/>
      <c r="GX794" s="1265"/>
      <c r="GY794" s="1265"/>
      <c r="GZ794" s="1265"/>
      <c r="HA794" s="1265"/>
      <c r="HB794" s="1265"/>
      <c r="HC794" s="1265"/>
      <c r="HD794" s="1265"/>
      <c r="HE794" s="1265"/>
      <c r="HF794" s="1265"/>
      <c r="HG794" s="1265"/>
      <c r="HH794" s="1265"/>
      <c r="HI794" s="1265"/>
      <c r="HJ794" s="1265"/>
      <c r="HK794" s="1265"/>
      <c r="HL794" s="1265"/>
      <c r="HM794" s="1265"/>
      <c r="HN794" s="1265"/>
      <c r="HO794" s="1265"/>
      <c r="HP794" s="1265"/>
      <c r="HQ794" s="1265"/>
      <c r="HR794" s="1265"/>
      <c r="HS794" s="1265"/>
      <c r="HT794" s="1265"/>
      <c r="HU794" s="1265"/>
      <c r="HV794" s="1265"/>
      <c r="HW794" s="1265"/>
      <c r="HX794" s="1265"/>
      <c r="HY794" s="1265"/>
      <c r="HZ794" s="1265"/>
      <c r="IA794" s="1265"/>
      <c r="IB794" s="1265"/>
      <c r="IC794" s="1265"/>
      <c r="ID794" s="1265"/>
      <c r="IE794" s="1265"/>
      <c r="IF794" s="1265"/>
      <c r="IG794" s="1265"/>
      <c r="IH794" s="1265"/>
      <c r="II794" s="1265"/>
      <c r="IJ794" s="1265"/>
      <c r="IK794" s="1265"/>
      <c r="IL794" s="1265"/>
      <c r="IM794" s="1265"/>
      <c r="IN794" s="1265"/>
      <c r="IO794" s="1265"/>
      <c r="IP794" s="1265"/>
      <c r="IQ794" s="1265"/>
      <c r="IR794" s="1265"/>
      <c r="IS794" s="1265"/>
      <c r="IT794" s="1265"/>
      <c r="IU794" s="1265"/>
      <c r="IV794" s="1265"/>
      <c r="IW794" s="1265"/>
      <c r="IX794" s="1265"/>
      <c r="IY794" s="1265"/>
      <c r="IZ794" s="1265"/>
      <c r="JA794" s="1265"/>
      <c r="JB794" s="1265"/>
      <c r="JC794" s="1265"/>
      <c r="JD794" s="1265"/>
      <c r="JE794" s="1265"/>
      <c r="JF794" s="1265"/>
      <c r="JG794" s="1265"/>
      <c r="JH794" s="1265"/>
      <c r="JI794" s="1265"/>
      <c r="JJ794" s="1265"/>
      <c r="JK794" s="1265"/>
      <c r="JL794" s="1265"/>
      <c r="JM794" s="1265"/>
      <c r="JN794" s="1265"/>
      <c r="JO794" s="1265"/>
      <c r="JP794" s="1265"/>
      <c r="JQ794" s="1265"/>
      <c r="JR794" s="1265"/>
      <c r="JS794" s="1265"/>
      <c r="JT794" s="1265"/>
      <c r="JU794" s="1265"/>
      <c r="JV794" s="1265"/>
      <c r="JW794" s="1265"/>
      <c r="JX794" s="1265"/>
      <c r="JY794" s="1265"/>
      <c r="JZ794" s="1265"/>
      <c r="KA794" s="1265"/>
      <c r="KB794" s="1265"/>
      <c r="KC794" s="1265"/>
      <c r="KD794" s="1265"/>
      <c r="KE794" s="1265"/>
      <c r="KF794" s="1265"/>
      <c r="KG794" s="1265"/>
      <c r="KH794" s="1265"/>
      <c r="KI794" s="1265"/>
      <c r="KJ794" s="1265"/>
      <c r="KK794" s="1265"/>
      <c r="KL794" s="1265"/>
      <c r="KM794" s="1265"/>
      <c r="KN794" s="1265"/>
      <c r="KO794" s="1265"/>
      <c r="KP794" s="1265"/>
      <c r="KQ794" s="1265"/>
      <c r="KR794" s="1265"/>
      <c r="KS794" s="1265"/>
      <c r="KT794" s="1265"/>
      <c r="KU794" s="1265"/>
      <c r="KV794" s="1265"/>
      <c r="KW794" s="1265"/>
      <c r="KX794" s="1265"/>
      <c r="KY794" s="1265"/>
      <c r="KZ794" s="1265"/>
      <c r="LA794" s="1265"/>
      <c r="LB794" s="1265"/>
      <c r="LC794" s="1265"/>
      <c r="LD794" s="1265"/>
      <c r="LE794" s="1265"/>
      <c r="LF794" s="1265"/>
      <c r="LG794" s="1265"/>
      <c r="LH794" s="1265"/>
      <c r="LI794" s="1265"/>
      <c r="LJ794" s="1265"/>
      <c r="LK794" s="1265"/>
      <c r="LL794" s="1265"/>
      <c r="LM794" s="1265"/>
      <c r="LN794" s="1265"/>
      <c r="LO794" s="1265"/>
      <c r="LP794" s="1265"/>
      <c r="LQ794" s="1265"/>
      <c r="LR794" s="1265"/>
      <c r="LS794" s="1265"/>
      <c r="LT794" s="1265"/>
      <c r="LU794" s="1265"/>
      <c r="LV794" s="1265"/>
      <c r="LW794" s="1265"/>
      <c r="LX794" s="1265"/>
      <c r="LY794" s="1265"/>
      <c r="LZ794" s="1265"/>
      <c r="MA794" s="1265"/>
      <c r="MB794" s="1265"/>
      <c r="MC794" s="1265"/>
      <c r="MD794" s="1265"/>
      <c r="ME794" s="1265"/>
      <c r="MF794" s="1265"/>
      <c r="MG794" s="1265"/>
      <c r="MH794" s="1265"/>
      <c r="MI794" s="1265"/>
      <c r="MJ794" s="1265"/>
      <c r="MK794" s="1265"/>
      <c r="ML794" s="1265"/>
      <c r="MM794" s="1265"/>
      <c r="MN794" s="1265"/>
      <c r="MO794" s="1265"/>
      <c r="MP794" s="1265"/>
      <c r="MQ794" s="1265"/>
      <c r="MR794" s="1265"/>
      <c r="MS794" s="1265"/>
      <c r="MT794" s="1265"/>
      <c r="MU794" s="1265"/>
      <c r="MV794" s="1265"/>
      <c r="MW794" s="1265"/>
      <c r="MX794" s="1265"/>
      <c r="MY794" s="1265"/>
      <c r="MZ794" s="1265"/>
      <c r="NA794" s="1265"/>
      <c r="NB794" s="1265"/>
      <c r="NC794" s="1265"/>
      <c r="ND794" s="1265"/>
      <c r="NE794" s="1265"/>
      <c r="NF794" s="1265"/>
      <c r="NG794" s="1265"/>
      <c r="NH794" s="1265"/>
      <c r="NI794" s="1265"/>
      <c r="NJ794" s="1265"/>
      <c r="NK794" s="1265"/>
      <c r="NL794" s="1265"/>
      <c r="NM794" s="1265"/>
      <c r="NN794" s="1265"/>
      <c r="NO794" s="1265"/>
      <c r="NP794" s="1265"/>
      <c r="NQ794" s="1265"/>
      <c r="NR794" s="1265"/>
      <c r="NS794" s="1265"/>
      <c r="NT794" s="1265"/>
      <c r="NU794" s="1265"/>
      <c r="NV794" s="1265"/>
      <c r="NW794" s="1265"/>
      <c r="NX794" s="1265"/>
      <c r="NY794" s="1265"/>
      <c r="NZ794" s="1265"/>
      <c r="OA794" s="1265"/>
      <c r="OB794" s="1265"/>
      <c r="OC794" s="1265"/>
      <c r="OD794" s="1265"/>
      <c r="OE794" s="1265"/>
      <c r="OF794" s="1265"/>
      <c r="OG794" s="1265"/>
      <c r="OH794" s="1265"/>
      <c r="OI794" s="1265"/>
      <c r="OJ794" s="1265"/>
      <c r="OK794" s="1265"/>
      <c r="OL794" s="1265"/>
      <c r="OM794" s="1265"/>
      <c r="ON794" s="1265"/>
      <c r="OO794" s="1265"/>
      <c r="OP794" s="1265"/>
      <c r="OQ794" s="1265"/>
      <c r="OR794" s="1265"/>
      <c r="OS794" s="1265"/>
      <c r="OT794" s="1265"/>
      <c r="OU794" s="1265"/>
      <c r="OV794" s="1265"/>
      <c r="OW794" s="1265"/>
      <c r="OX794" s="1265"/>
      <c r="OY794" s="1265"/>
      <c r="OZ794" s="1265"/>
      <c r="PA794" s="1265"/>
      <c r="PB794" s="1265"/>
      <c r="PC794" s="1265"/>
      <c r="PD794" s="1265"/>
      <c r="PE794" s="1265"/>
      <c r="PF794" s="1265"/>
      <c r="PG794" s="1265"/>
      <c r="PH794" s="1265"/>
      <c r="PI794" s="1265"/>
      <c r="PJ794" s="1265"/>
      <c r="PK794" s="1265"/>
      <c r="PL794" s="1265"/>
      <c r="PM794" s="1265"/>
      <c r="PN794" s="1265"/>
      <c r="PO794" s="1265"/>
      <c r="PP794" s="1265"/>
      <c r="PQ794" s="1265"/>
      <c r="PR794" s="1265"/>
      <c r="PS794" s="1265"/>
      <c r="PT794" s="1265"/>
      <c r="PU794" s="1265"/>
      <c r="PV794" s="1265"/>
      <c r="PW794" s="1265"/>
      <c r="PX794" s="1265"/>
      <c r="PY794" s="1265"/>
      <c r="PZ794" s="1265"/>
      <c r="QA794" s="1265"/>
      <c r="QB794" s="1265"/>
      <c r="QC794" s="1265"/>
      <c r="QD794" s="1265"/>
      <c r="QE794" s="1265"/>
      <c r="QF794" s="1265"/>
      <c r="QG794" s="1265"/>
      <c r="QH794" s="1265"/>
      <c r="QI794" s="1265"/>
      <c r="QJ794" s="1265"/>
      <c r="QK794" s="1265"/>
      <c r="QL794" s="1265"/>
      <c r="QM794" s="1265"/>
      <c r="QN794" s="1265"/>
      <c r="QO794" s="1265"/>
      <c r="QP794" s="1265"/>
      <c r="QQ794" s="1265"/>
      <c r="QR794" s="1265"/>
      <c r="QS794" s="1265"/>
      <c r="QT794" s="1265"/>
      <c r="QU794" s="1265"/>
      <c r="QV794" s="1265"/>
      <c r="QW794" s="1265"/>
      <c r="QX794" s="1265"/>
      <c r="QY794" s="1265"/>
      <c r="QZ794" s="1265"/>
      <c r="RA794" s="1265"/>
      <c r="RB794" s="1265"/>
      <c r="RC794" s="1265"/>
      <c r="RD794" s="1265"/>
      <c r="RE794" s="1265"/>
      <c r="RF794" s="1265"/>
      <c r="RG794" s="1265"/>
      <c r="RH794" s="1265"/>
      <c r="RI794" s="1265"/>
      <c r="RJ794" s="1265"/>
      <c r="RK794" s="1265"/>
      <c r="RL794" s="1265"/>
      <c r="RM794" s="1265"/>
      <c r="RN794" s="1265"/>
      <c r="RO794" s="1265"/>
      <c r="RP794" s="1265"/>
      <c r="RQ794" s="1265"/>
      <c r="RR794" s="1265"/>
      <c r="RS794" s="1265"/>
      <c r="RT794" s="1265"/>
      <c r="RU794" s="1265"/>
      <c r="RV794" s="1265"/>
      <c r="RW794" s="1265"/>
      <c r="RX794" s="1265"/>
      <c r="RY794" s="1265"/>
      <c r="RZ794" s="1265"/>
      <c r="SA794" s="1265"/>
      <c r="SB794" s="1265"/>
      <c r="SC794" s="1265"/>
      <c r="SD794" s="1265"/>
      <c r="SE794" s="1265"/>
      <c r="SF794" s="1265"/>
      <c r="SG794" s="1265"/>
      <c r="SH794" s="1265"/>
      <c r="SI794" s="1265"/>
      <c r="SJ794" s="1265"/>
      <c r="SK794" s="1265"/>
      <c r="SL794" s="1265"/>
      <c r="SM794" s="1265"/>
      <c r="SN794" s="1265"/>
      <c r="SO794" s="1265"/>
      <c r="SP794" s="1265"/>
      <c r="SQ794" s="1265"/>
      <c r="SR794" s="1265"/>
      <c r="SS794" s="1265"/>
      <c r="ST794" s="1265"/>
      <c r="SU794" s="1265"/>
      <c r="SV794" s="1265"/>
      <c r="SW794" s="1265"/>
      <c r="SX794" s="1265"/>
      <c r="SY794" s="1265"/>
      <c r="SZ794" s="1265"/>
      <c r="TA794" s="1265"/>
      <c r="TB794" s="1265"/>
      <c r="TC794" s="1265"/>
      <c r="TD794" s="1265"/>
      <c r="TE794" s="1265"/>
      <c r="TF794" s="1265"/>
      <c r="TG794" s="1265"/>
      <c r="TH794" s="1265"/>
      <c r="TI794" s="1265"/>
      <c r="TJ794" s="1265"/>
      <c r="TK794" s="1265"/>
      <c r="TL794" s="1265"/>
      <c r="TM794" s="1265"/>
      <c r="TN794" s="1265"/>
      <c r="TO794" s="1265"/>
      <c r="TP794" s="1265"/>
      <c r="TQ794" s="1265"/>
      <c r="TR794" s="1265"/>
      <c r="TS794" s="1265"/>
      <c r="TT794" s="1265"/>
      <c r="TU794" s="1265"/>
      <c r="TV794" s="1265"/>
      <c r="TW794" s="1265"/>
      <c r="TX794" s="1265"/>
      <c r="TY794" s="1265"/>
      <c r="TZ794" s="1265"/>
      <c r="UA794" s="1265"/>
      <c r="UB794" s="1265"/>
      <c r="UC794" s="1265"/>
      <c r="UD794" s="1265"/>
      <c r="UE794" s="1265"/>
      <c r="UF794" s="1265"/>
      <c r="UG794" s="1266"/>
    </row>
    <row r="795" spans="1:553" s="1262" customFormat="1" ht="30.75" customHeight="1">
      <c r="A795" s="445"/>
      <c r="B795" s="445"/>
      <c r="C795" s="1405" t="s">
        <v>1130</v>
      </c>
      <c r="D795" s="1406" t="s">
        <v>833</v>
      </c>
      <c r="E795" s="1406" t="s">
        <v>833</v>
      </c>
      <c r="F795" s="1407" t="s">
        <v>833</v>
      </c>
      <c r="G795" s="418" t="s">
        <v>196</v>
      </c>
      <c r="H795" s="359"/>
      <c r="I795" s="1294">
        <f>(156.73*100/1100)*(12-(7-2))*1</f>
        <v>99.73727272727271</v>
      </c>
      <c r="J795" s="368">
        <v>15400</v>
      </c>
      <c r="K795" s="565">
        <v>0.7</v>
      </c>
      <c r="L795" s="571">
        <f>ROUND(PRODUCT(I795:K795),0)</f>
        <v>1075168</v>
      </c>
      <c r="M795" s="356"/>
      <c r="N795" s="356"/>
      <c r="O795" s="356"/>
      <c r="P795" s="356"/>
      <c r="Q795" s="610"/>
      <c r="R795" s="1228"/>
      <c r="S795" s="308"/>
      <c r="T795" s="308"/>
      <c r="U795" s="308"/>
      <c r="V795" s="308"/>
      <c r="W795" s="308"/>
      <c r="X795" s="308"/>
      <c r="Y795" s="308"/>
      <c r="Z795" s="604"/>
      <c r="AA795" s="308"/>
      <c r="AB795" s="308"/>
      <c r="AC795" s="454"/>
      <c r="AD795" s="454"/>
      <c r="AE795" s="454"/>
      <c r="AF795" s="454"/>
      <c r="AG795" s="454"/>
      <c r="AH795" s="454"/>
      <c r="AI795" s="454"/>
      <c r="AJ795" s="454"/>
      <c r="AK795" s="455"/>
      <c r="AL795" s="1263"/>
      <c r="AM795" s="1263"/>
      <c r="AN795" s="1263"/>
      <c r="AO795" s="1263"/>
      <c r="AP795" s="1263"/>
      <c r="AQ795" s="1263"/>
      <c r="AR795" s="1263"/>
      <c r="AS795" s="1264"/>
      <c r="AT795" s="1264"/>
      <c r="AU795" s="1264"/>
      <c r="AV795" s="1264"/>
      <c r="AW795" s="1264"/>
      <c r="AX795" s="1264"/>
      <c r="AY795" s="1264"/>
      <c r="AZ795" s="1264"/>
      <c r="BA795" s="1264"/>
      <c r="BB795" s="1264"/>
      <c r="BC795" s="1264"/>
      <c r="BD795" s="1264"/>
      <c r="BE795" s="1264"/>
      <c r="BF795" s="1264"/>
      <c r="BG795" s="1264"/>
      <c r="BH795" s="1264"/>
      <c r="BI795" s="1264"/>
      <c r="BJ795" s="1264"/>
      <c r="BK795" s="1264"/>
      <c r="BL795" s="1264"/>
      <c r="BM795" s="1264"/>
      <c r="BN795" s="1264"/>
      <c r="BO795" s="1264"/>
      <c r="BP795" s="1265"/>
      <c r="BQ795" s="1265"/>
      <c r="BR795" s="1265"/>
      <c r="BS795" s="1265"/>
      <c r="BT795" s="1265"/>
      <c r="BU795" s="1265"/>
      <c r="BV795" s="1265"/>
      <c r="BW795" s="1265"/>
      <c r="BX795" s="1265"/>
      <c r="BY795" s="1265"/>
      <c r="BZ795" s="1265"/>
      <c r="CA795" s="1265"/>
      <c r="CB795" s="1265"/>
      <c r="CC795" s="1265"/>
      <c r="CD795" s="1265"/>
      <c r="CE795" s="1265"/>
      <c r="CF795" s="1265"/>
      <c r="CG795" s="1265"/>
      <c r="CH795" s="1265"/>
      <c r="CI795" s="1265"/>
      <c r="CJ795" s="1265"/>
      <c r="CK795" s="1265"/>
      <c r="CL795" s="1265"/>
      <c r="CM795" s="1265"/>
      <c r="CN795" s="1265"/>
      <c r="CO795" s="1265"/>
      <c r="CP795" s="1265"/>
      <c r="CQ795" s="1265"/>
      <c r="CR795" s="1265"/>
      <c r="CS795" s="1265"/>
      <c r="CT795" s="1265"/>
      <c r="CU795" s="1265"/>
      <c r="CV795" s="1265"/>
      <c r="CW795" s="1265"/>
      <c r="CX795" s="1265"/>
      <c r="CY795" s="1265"/>
      <c r="CZ795" s="1265"/>
      <c r="DA795" s="1265"/>
      <c r="DB795" s="1265"/>
      <c r="DC795" s="1265"/>
      <c r="DD795" s="1265"/>
      <c r="DE795" s="1265"/>
      <c r="DF795" s="1265"/>
      <c r="DG795" s="1265"/>
      <c r="DH795" s="1265"/>
      <c r="DI795" s="1265"/>
      <c r="DJ795" s="1265"/>
      <c r="DK795" s="1265"/>
      <c r="DL795" s="1265"/>
      <c r="DM795" s="1265"/>
      <c r="DN795" s="1265"/>
      <c r="DO795" s="1265"/>
      <c r="DP795" s="1265"/>
      <c r="DQ795" s="1265"/>
      <c r="DR795" s="1265"/>
      <c r="DS795" s="1265"/>
      <c r="DT795" s="1265"/>
      <c r="DU795" s="1265"/>
      <c r="DV795" s="1265"/>
      <c r="DW795" s="1265"/>
      <c r="DX795" s="1265"/>
      <c r="DY795" s="1265"/>
      <c r="DZ795" s="1265"/>
      <c r="EA795" s="1265"/>
      <c r="EB795" s="1265"/>
      <c r="EC795" s="1265"/>
      <c r="ED795" s="1265"/>
      <c r="EE795" s="1265"/>
      <c r="EF795" s="1265"/>
      <c r="EG795" s="1265"/>
      <c r="EH795" s="1265"/>
      <c r="EI795" s="1265"/>
      <c r="EJ795" s="1265"/>
      <c r="EK795" s="1265"/>
      <c r="EL795" s="1265"/>
      <c r="EM795" s="1265"/>
      <c r="EN795" s="1265"/>
      <c r="EO795" s="1265"/>
      <c r="EP795" s="1265"/>
      <c r="EQ795" s="1265"/>
      <c r="ER795" s="1265"/>
      <c r="ES795" s="1265"/>
      <c r="ET795" s="1265"/>
      <c r="EU795" s="1265"/>
      <c r="EV795" s="1265"/>
      <c r="EW795" s="1265"/>
      <c r="EX795" s="1265"/>
      <c r="EY795" s="1265"/>
      <c r="EZ795" s="1265"/>
      <c r="FA795" s="1265"/>
      <c r="FB795" s="1265"/>
      <c r="FC795" s="1265"/>
      <c r="FD795" s="1265"/>
      <c r="FE795" s="1265"/>
      <c r="FF795" s="1265"/>
      <c r="FG795" s="1265"/>
      <c r="FH795" s="1265"/>
      <c r="FI795" s="1265"/>
      <c r="FJ795" s="1265"/>
      <c r="FK795" s="1265"/>
      <c r="FL795" s="1265"/>
      <c r="FM795" s="1265"/>
      <c r="FN795" s="1265"/>
      <c r="FO795" s="1265"/>
      <c r="FP795" s="1265"/>
      <c r="FQ795" s="1265"/>
      <c r="FR795" s="1265"/>
      <c r="FS795" s="1265"/>
      <c r="FT795" s="1265"/>
      <c r="FU795" s="1265"/>
      <c r="FV795" s="1265"/>
      <c r="FW795" s="1265"/>
      <c r="FX795" s="1265"/>
      <c r="FY795" s="1265"/>
      <c r="FZ795" s="1265"/>
      <c r="GA795" s="1265"/>
      <c r="GB795" s="1265"/>
      <c r="GC795" s="1265"/>
      <c r="GD795" s="1265"/>
      <c r="GE795" s="1265"/>
      <c r="GF795" s="1265"/>
      <c r="GG795" s="1265"/>
      <c r="GH795" s="1265"/>
      <c r="GI795" s="1265"/>
      <c r="GJ795" s="1265"/>
      <c r="GK795" s="1265"/>
      <c r="GL795" s="1265"/>
      <c r="GM795" s="1265"/>
      <c r="GN795" s="1265"/>
      <c r="GO795" s="1265"/>
      <c r="GP795" s="1265"/>
      <c r="GQ795" s="1265"/>
      <c r="GR795" s="1265"/>
      <c r="GS795" s="1265"/>
      <c r="GT795" s="1265"/>
      <c r="GU795" s="1265"/>
      <c r="GV795" s="1265"/>
      <c r="GW795" s="1265"/>
      <c r="GX795" s="1265"/>
      <c r="GY795" s="1265"/>
      <c r="GZ795" s="1265"/>
      <c r="HA795" s="1265"/>
      <c r="HB795" s="1265"/>
      <c r="HC795" s="1265"/>
      <c r="HD795" s="1265"/>
      <c r="HE795" s="1265"/>
      <c r="HF795" s="1265"/>
      <c r="HG795" s="1265"/>
      <c r="HH795" s="1265"/>
      <c r="HI795" s="1265"/>
      <c r="HJ795" s="1265"/>
      <c r="HK795" s="1265"/>
      <c r="HL795" s="1265"/>
      <c r="HM795" s="1265"/>
      <c r="HN795" s="1265"/>
      <c r="HO795" s="1265"/>
      <c r="HP795" s="1265"/>
      <c r="HQ795" s="1265"/>
      <c r="HR795" s="1265"/>
      <c r="HS795" s="1265"/>
      <c r="HT795" s="1265"/>
      <c r="HU795" s="1265"/>
      <c r="HV795" s="1265"/>
      <c r="HW795" s="1265"/>
      <c r="HX795" s="1265"/>
      <c r="HY795" s="1265"/>
      <c r="HZ795" s="1265"/>
      <c r="IA795" s="1265"/>
      <c r="IB795" s="1265"/>
      <c r="IC795" s="1265"/>
      <c r="ID795" s="1265"/>
      <c r="IE795" s="1265"/>
      <c r="IF795" s="1265"/>
      <c r="IG795" s="1265"/>
      <c r="IH795" s="1265"/>
      <c r="II795" s="1265"/>
      <c r="IJ795" s="1265"/>
      <c r="IK795" s="1265"/>
      <c r="IL795" s="1265"/>
      <c r="IM795" s="1265"/>
      <c r="IN795" s="1265"/>
      <c r="IO795" s="1265"/>
      <c r="IP795" s="1265"/>
      <c r="IQ795" s="1265"/>
      <c r="IR795" s="1265"/>
      <c r="IS795" s="1265"/>
      <c r="IT795" s="1265"/>
      <c r="IU795" s="1265"/>
      <c r="IV795" s="1265"/>
      <c r="IW795" s="1265"/>
      <c r="IX795" s="1265"/>
      <c r="IY795" s="1265"/>
      <c r="IZ795" s="1265"/>
      <c r="JA795" s="1265"/>
      <c r="JB795" s="1265"/>
      <c r="JC795" s="1265"/>
      <c r="JD795" s="1265"/>
      <c r="JE795" s="1265"/>
      <c r="JF795" s="1265"/>
      <c r="JG795" s="1265"/>
      <c r="JH795" s="1265"/>
      <c r="JI795" s="1265"/>
      <c r="JJ795" s="1265"/>
      <c r="JK795" s="1265"/>
      <c r="JL795" s="1265"/>
      <c r="JM795" s="1265"/>
      <c r="JN795" s="1265"/>
      <c r="JO795" s="1265"/>
      <c r="JP795" s="1265"/>
      <c r="JQ795" s="1265"/>
      <c r="JR795" s="1265"/>
      <c r="JS795" s="1265"/>
      <c r="JT795" s="1265"/>
      <c r="JU795" s="1265"/>
      <c r="JV795" s="1265"/>
      <c r="JW795" s="1265"/>
      <c r="JX795" s="1265"/>
      <c r="JY795" s="1265"/>
      <c r="JZ795" s="1265"/>
      <c r="KA795" s="1265"/>
      <c r="KB795" s="1265"/>
      <c r="KC795" s="1265"/>
      <c r="KD795" s="1265"/>
      <c r="KE795" s="1265"/>
      <c r="KF795" s="1265"/>
      <c r="KG795" s="1265"/>
      <c r="KH795" s="1265"/>
      <c r="KI795" s="1265"/>
      <c r="KJ795" s="1265"/>
      <c r="KK795" s="1265"/>
      <c r="KL795" s="1265"/>
      <c r="KM795" s="1265"/>
      <c r="KN795" s="1265"/>
      <c r="KO795" s="1265"/>
      <c r="KP795" s="1265"/>
      <c r="KQ795" s="1265"/>
      <c r="KR795" s="1265"/>
      <c r="KS795" s="1265"/>
      <c r="KT795" s="1265"/>
      <c r="KU795" s="1265"/>
      <c r="KV795" s="1265"/>
      <c r="KW795" s="1265"/>
      <c r="KX795" s="1265"/>
      <c r="KY795" s="1265"/>
      <c r="KZ795" s="1265"/>
      <c r="LA795" s="1265"/>
      <c r="LB795" s="1265"/>
      <c r="LC795" s="1265"/>
      <c r="LD795" s="1265"/>
      <c r="LE795" s="1265"/>
      <c r="LF795" s="1265"/>
      <c r="LG795" s="1265"/>
      <c r="LH795" s="1265"/>
      <c r="LI795" s="1265"/>
      <c r="LJ795" s="1265"/>
      <c r="LK795" s="1265"/>
      <c r="LL795" s="1265"/>
      <c r="LM795" s="1265"/>
      <c r="LN795" s="1265"/>
      <c r="LO795" s="1265"/>
      <c r="LP795" s="1265"/>
      <c r="LQ795" s="1265"/>
      <c r="LR795" s="1265"/>
      <c r="LS795" s="1265"/>
      <c r="LT795" s="1265"/>
      <c r="LU795" s="1265"/>
      <c r="LV795" s="1265"/>
      <c r="LW795" s="1265"/>
      <c r="LX795" s="1265"/>
      <c r="LY795" s="1265"/>
      <c r="LZ795" s="1265"/>
      <c r="MA795" s="1265"/>
      <c r="MB795" s="1265"/>
      <c r="MC795" s="1265"/>
      <c r="MD795" s="1265"/>
      <c r="ME795" s="1265"/>
      <c r="MF795" s="1265"/>
      <c r="MG795" s="1265"/>
      <c r="MH795" s="1265"/>
      <c r="MI795" s="1265"/>
      <c r="MJ795" s="1265"/>
      <c r="MK795" s="1265"/>
      <c r="ML795" s="1265"/>
      <c r="MM795" s="1265"/>
      <c r="MN795" s="1265"/>
      <c r="MO795" s="1265"/>
      <c r="MP795" s="1265"/>
      <c r="MQ795" s="1265"/>
      <c r="MR795" s="1265"/>
      <c r="MS795" s="1265"/>
      <c r="MT795" s="1265"/>
      <c r="MU795" s="1265"/>
      <c r="MV795" s="1265"/>
      <c r="MW795" s="1265"/>
      <c r="MX795" s="1265"/>
      <c r="MY795" s="1265"/>
      <c r="MZ795" s="1265"/>
      <c r="NA795" s="1265"/>
      <c r="NB795" s="1265"/>
      <c r="NC795" s="1265"/>
      <c r="ND795" s="1265"/>
      <c r="NE795" s="1265"/>
      <c r="NF795" s="1265"/>
      <c r="NG795" s="1265"/>
      <c r="NH795" s="1265"/>
      <c r="NI795" s="1265"/>
      <c r="NJ795" s="1265"/>
      <c r="NK795" s="1265"/>
      <c r="NL795" s="1265"/>
      <c r="NM795" s="1265"/>
      <c r="NN795" s="1265"/>
      <c r="NO795" s="1265"/>
      <c r="NP795" s="1265"/>
      <c r="NQ795" s="1265"/>
      <c r="NR795" s="1265"/>
      <c r="NS795" s="1265"/>
      <c r="NT795" s="1265"/>
      <c r="NU795" s="1265"/>
      <c r="NV795" s="1265"/>
      <c r="NW795" s="1265"/>
      <c r="NX795" s="1265"/>
      <c r="NY795" s="1265"/>
      <c r="NZ795" s="1265"/>
      <c r="OA795" s="1265"/>
      <c r="OB795" s="1265"/>
      <c r="OC795" s="1265"/>
      <c r="OD795" s="1265"/>
      <c r="OE795" s="1265"/>
      <c r="OF795" s="1265"/>
      <c r="OG795" s="1265"/>
      <c r="OH795" s="1265"/>
      <c r="OI795" s="1265"/>
      <c r="OJ795" s="1265"/>
      <c r="OK795" s="1265"/>
      <c r="OL795" s="1265"/>
      <c r="OM795" s="1265"/>
      <c r="ON795" s="1265"/>
      <c r="OO795" s="1265"/>
      <c r="OP795" s="1265"/>
      <c r="OQ795" s="1265"/>
      <c r="OR795" s="1265"/>
      <c r="OS795" s="1265"/>
      <c r="OT795" s="1265"/>
      <c r="OU795" s="1265"/>
      <c r="OV795" s="1265"/>
      <c r="OW795" s="1265"/>
      <c r="OX795" s="1265"/>
      <c r="OY795" s="1265"/>
      <c r="OZ795" s="1265"/>
      <c r="PA795" s="1265"/>
      <c r="PB795" s="1265"/>
      <c r="PC795" s="1265"/>
      <c r="PD795" s="1265"/>
      <c r="PE795" s="1265"/>
      <c r="PF795" s="1265"/>
      <c r="PG795" s="1265"/>
      <c r="PH795" s="1265"/>
      <c r="PI795" s="1265"/>
      <c r="PJ795" s="1265"/>
      <c r="PK795" s="1265"/>
      <c r="PL795" s="1265"/>
      <c r="PM795" s="1265"/>
      <c r="PN795" s="1265"/>
      <c r="PO795" s="1265"/>
      <c r="PP795" s="1265"/>
      <c r="PQ795" s="1265"/>
      <c r="PR795" s="1265"/>
      <c r="PS795" s="1265"/>
      <c r="PT795" s="1265"/>
      <c r="PU795" s="1265"/>
      <c r="PV795" s="1265"/>
      <c r="PW795" s="1265"/>
      <c r="PX795" s="1265"/>
      <c r="PY795" s="1265"/>
      <c r="PZ795" s="1265"/>
      <c r="QA795" s="1265"/>
      <c r="QB795" s="1265"/>
      <c r="QC795" s="1265"/>
      <c r="QD795" s="1265"/>
      <c r="QE795" s="1265"/>
      <c r="QF795" s="1265"/>
      <c r="QG795" s="1265"/>
      <c r="QH795" s="1265"/>
      <c r="QI795" s="1265"/>
      <c r="QJ795" s="1265"/>
      <c r="QK795" s="1265"/>
      <c r="QL795" s="1265"/>
      <c r="QM795" s="1265"/>
      <c r="QN795" s="1265"/>
      <c r="QO795" s="1265"/>
      <c r="QP795" s="1265"/>
      <c r="QQ795" s="1265"/>
      <c r="QR795" s="1265"/>
      <c r="QS795" s="1265"/>
      <c r="QT795" s="1265"/>
      <c r="QU795" s="1265"/>
      <c r="QV795" s="1265"/>
      <c r="QW795" s="1265"/>
      <c r="QX795" s="1265"/>
      <c r="QY795" s="1265"/>
      <c r="QZ795" s="1265"/>
      <c r="RA795" s="1265"/>
      <c r="RB795" s="1265"/>
      <c r="RC795" s="1265"/>
      <c r="RD795" s="1265"/>
      <c r="RE795" s="1265"/>
      <c r="RF795" s="1265"/>
      <c r="RG795" s="1265"/>
      <c r="RH795" s="1265"/>
      <c r="RI795" s="1265"/>
      <c r="RJ795" s="1265"/>
      <c r="RK795" s="1265"/>
      <c r="RL795" s="1265"/>
      <c r="RM795" s="1265"/>
      <c r="RN795" s="1265"/>
      <c r="RO795" s="1265"/>
      <c r="RP795" s="1265"/>
      <c r="RQ795" s="1265"/>
      <c r="RR795" s="1265"/>
      <c r="RS795" s="1265"/>
      <c r="RT795" s="1265"/>
      <c r="RU795" s="1265"/>
      <c r="RV795" s="1265"/>
      <c r="RW795" s="1265"/>
      <c r="RX795" s="1265"/>
      <c r="RY795" s="1265"/>
      <c r="RZ795" s="1265"/>
      <c r="SA795" s="1265"/>
      <c r="SB795" s="1265"/>
      <c r="SC795" s="1265"/>
      <c r="SD795" s="1265"/>
      <c r="SE795" s="1265"/>
      <c r="SF795" s="1265"/>
      <c r="SG795" s="1265"/>
      <c r="SH795" s="1265"/>
      <c r="SI795" s="1265"/>
      <c r="SJ795" s="1265"/>
      <c r="SK795" s="1265"/>
      <c r="SL795" s="1265"/>
      <c r="SM795" s="1265"/>
      <c r="SN795" s="1265"/>
      <c r="SO795" s="1265"/>
      <c r="SP795" s="1265"/>
      <c r="SQ795" s="1265"/>
      <c r="SR795" s="1265"/>
      <c r="SS795" s="1265"/>
      <c r="ST795" s="1265"/>
      <c r="SU795" s="1265"/>
      <c r="SV795" s="1265"/>
      <c r="SW795" s="1265"/>
      <c r="SX795" s="1265"/>
      <c r="SY795" s="1265"/>
      <c r="SZ795" s="1265"/>
      <c r="TA795" s="1265"/>
      <c r="TB795" s="1265"/>
      <c r="TC795" s="1265"/>
      <c r="TD795" s="1265"/>
      <c r="TE795" s="1265"/>
      <c r="TF795" s="1265"/>
      <c r="TG795" s="1265"/>
      <c r="TH795" s="1265"/>
      <c r="TI795" s="1265"/>
      <c r="TJ795" s="1265"/>
      <c r="TK795" s="1265"/>
      <c r="TL795" s="1265"/>
      <c r="TM795" s="1265"/>
      <c r="TN795" s="1265"/>
      <c r="TO795" s="1265"/>
      <c r="TP795" s="1265"/>
      <c r="TQ795" s="1265"/>
      <c r="TR795" s="1265"/>
      <c r="TS795" s="1265"/>
      <c r="TT795" s="1265"/>
      <c r="TU795" s="1265"/>
      <c r="TV795" s="1265"/>
      <c r="TW795" s="1265"/>
      <c r="TX795" s="1265"/>
      <c r="TY795" s="1265"/>
      <c r="TZ795" s="1265"/>
      <c r="UA795" s="1265"/>
      <c r="UB795" s="1265"/>
      <c r="UC795" s="1265"/>
      <c r="UD795" s="1265"/>
      <c r="UE795" s="1265"/>
      <c r="UF795" s="1265"/>
      <c r="UG795" s="1266"/>
    </row>
    <row r="796" spans="1:553" s="1262" customFormat="1" ht="30.75" customHeight="1">
      <c r="A796" s="1231"/>
      <c r="B796" s="1231"/>
      <c r="C796" s="1408" t="s">
        <v>1131</v>
      </c>
      <c r="D796" s="1409" t="s">
        <v>1132</v>
      </c>
      <c r="E796" s="1409" t="s">
        <v>1132</v>
      </c>
      <c r="F796" s="1410" t="s">
        <v>1132</v>
      </c>
      <c r="G796" s="1007" t="s">
        <v>196</v>
      </c>
      <c r="H796" s="651"/>
      <c r="I796" s="1295">
        <f>(156.73*100/1100)*(12-(8-2))*2</f>
        <v>170.97818181818178</v>
      </c>
      <c r="J796" s="985">
        <v>15400</v>
      </c>
      <c r="K796" s="655">
        <v>0.7</v>
      </c>
      <c r="L796" s="589">
        <f>ROUND(PRODUCT(I796:K796),0)</f>
        <v>1843145</v>
      </c>
      <c r="M796" s="356"/>
      <c r="N796" s="356"/>
      <c r="O796" s="356"/>
      <c r="P796" s="356"/>
      <c r="Q796" s="610"/>
      <c r="R796" s="1228"/>
      <c r="S796" s="308"/>
      <c r="T796" s="308"/>
      <c r="U796" s="308"/>
      <c r="V796" s="308"/>
      <c r="W796" s="308"/>
      <c r="X796" s="308"/>
      <c r="Y796" s="308"/>
      <c r="Z796" s="604"/>
      <c r="AA796" s="308"/>
      <c r="AB796" s="308"/>
      <c r="AC796" s="454"/>
      <c r="AD796" s="454"/>
      <c r="AE796" s="454"/>
      <c r="AF796" s="454"/>
      <c r="AG796" s="454"/>
      <c r="AH796" s="454"/>
      <c r="AI796" s="454"/>
      <c r="AJ796" s="454"/>
      <c r="AK796" s="455"/>
      <c r="AL796" s="1263"/>
      <c r="AM796" s="1263"/>
      <c r="AN796" s="1263"/>
      <c r="AO796" s="1263"/>
      <c r="AP796" s="1263"/>
      <c r="AQ796" s="1263"/>
      <c r="AR796" s="1263"/>
      <c r="AS796" s="1264"/>
      <c r="AT796" s="1264"/>
      <c r="AU796" s="1264"/>
      <c r="AV796" s="1264"/>
      <c r="AW796" s="1264"/>
      <c r="AX796" s="1264"/>
      <c r="AY796" s="1264"/>
      <c r="AZ796" s="1264"/>
      <c r="BA796" s="1264"/>
      <c r="BB796" s="1264"/>
      <c r="BC796" s="1264"/>
      <c r="BD796" s="1264"/>
      <c r="BE796" s="1264"/>
      <c r="BF796" s="1264"/>
      <c r="BG796" s="1264"/>
      <c r="BH796" s="1264"/>
      <c r="BI796" s="1264"/>
      <c r="BJ796" s="1264"/>
      <c r="BK796" s="1264"/>
      <c r="BL796" s="1264"/>
      <c r="BM796" s="1264"/>
      <c r="BN796" s="1264"/>
      <c r="BO796" s="1264"/>
      <c r="BP796" s="1265"/>
      <c r="BQ796" s="1265"/>
      <c r="BR796" s="1265"/>
      <c r="BS796" s="1265"/>
      <c r="BT796" s="1265"/>
      <c r="BU796" s="1265"/>
      <c r="BV796" s="1265"/>
      <c r="BW796" s="1265"/>
      <c r="BX796" s="1265"/>
      <c r="BY796" s="1265"/>
      <c r="BZ796" s="1265"/>
      <c r="CA796" s="1265"/>
      <c r="CB796" s="1265"/>
      <c r="CC796" s="1265"/>
      <c r="CD796" s="1265"/>
      <c r="CE796" s="1265"/>
      <c r="CF796" s="1265"/>
      <c r="CG796" s="1265"/>
      <c r="CH796" s="1265"/>
      <c r="CI796" s="1265"/>
      <c r="CJ796" s="1265"/>
      <c r="CK796" s="1265"/>
      <c r="CL796" s="1265"/>
      <c r="CM796" s="1265"/>
      <c r="CN796" s="1265"/>
      <c r="CO796" s="1265"/>
      <c r="CP796" s="1265"/>
      <c r="CQ796" s="1265"/>
      <c r="CR796" s="1265"/>
      <c r="CS796" s="1265"/>
      <c r="CT796" s="1265"/>
      <c r="CU796" s="1265"/>
      <c r="CV796" s="1265"/>
      <c r="CW796" s="1265"/>
      <c r="CX796" s="1265"/>
      <c r="CY796" s="1265"/>
      <c r="CZ796" s="1265"/>
      <c r="DA796" s="1265"/>
      <c r="DB796" s="1265"/>
      <c r="DC796" s="1265"/>
      <c r="DD796" s="1265"/>
      <c r="DE796" s="1265"/>
      <c r="DF796" s="1265"/>
      <c r="DG796" s="1265"/>
      <c r="DH796" s="1265"/>
      <c r="DI796" s="1265"/>
      <c r="DJ796" s="1265"/>
      <c r="DK796" s="1265"/>
      <c r="DL796" s="1265"/>
      <c r="DM796" s="1265"/>
      <c r="DN796" s="1265"/>
      <c r="DO796" s="1265"/>
      <c r="DP796" s="1265"/>
      <c r="DQ796" s="1265"/>
      <c r="DR796" s="1265"/>
      <c r="DS796" s="1265"/>
      <c r="DT796" s="1265"/>
      <c r="DU796" s="1265"/>
      <c r="DV796" s="1265"/>
      <c r="DW796" s="1265"/>
      <c r="DX796" s="1265"/>
      <c r="DY796" s="1265"/>
      <c r="DZ796" s="1265"/>
      <c r="EA796" s="1265"/>
      <c r="EB796" s="1265"/>
      <c r="EC796" s="1265"/>
      <c r="ED796" s="1265"/>
      <c r="EE796" s="1265"/>
      <c r="EF796" s="1265"/>
      <c r="EG796" s="1265"/>
      <c r="EH796" s="1265"/>
      <c r="EI796" s="1265"/>
      <c r="EJ796" s="1265"/>
      <c r="EK796" s="1265"/>
      <c r="EL796" s="1265"/>
      <c r="EM796" s="1265"/>
      <c r="EN796" s="1265"/>
      <c r="EO796" s="1265"/>
      <c r="EP796" s="1265"/>
      <c r="EQ796" s="1265"/>
      <c r="ER796" s="1265"/>
      <c r="ES796" s="1265"/>
      <c r="ET796" s="1265"/>
      <c r="EU796" s="1265"/>
      <c r="EV796" s="1265"/>
      <c r="EW796" s="1265"/>
      <c r="EX796" s="1265"/>
      <c r="EY796" s="1265"/>
      <c r="EZ796" s="1265"/>
      <c r="FA796" s="1265"/>
      <c r="FB796" s="1265"/>
      <c r="FC796" s="1265"/>
      <c r="FD796" s="1265"/>
      <c r="FE796" s="1265"/>
      <c r="FF796" s="1265"/>
      <c r="FG796" s="1265"/>
      <c r="FH796" s="1265"/>
      <c r="FI796" s="1265"/>
      <c r="FJ796" s="1265"/>
      <c r="FK796" s="1265"/>
      <c r="FL796" s="1265"/>
      <c r="FM796" s="1265"/>
      <c r="FN796" s="1265"/>
      <c r="FO796" s="1265"/>
      <c r="FP796" s="1265"/>
      <c r="FQ796" s="1265"/>
      <c r="FR796" s="1265"/>
      <c r="FS796" s="1265"/>
      <c r="FT796" s="1265"/>
      <c r="FU796" s="1265"/>
      <c r="FV796" s="1265"/>
      <c r="FW796" s="1265"/>
      <c r="FX796" s="1265"/>
      <c r="FY796" s="1265"/>
      <c r="FZ796" s="1265"/>
      <c r="GA796" s="1265"/>
      <c r="GB796" s="1265"/>
      <c r="GC796" s="1265"/>
      <c r="GD796" s="1265"/>
      <c r="GE796" s="1265"/>
      <c r="GF796" s="1265"/>
      <c r="GG796" s="1265"/>
      <c r="GH796" s="1265"/>
      <c r="GI796" s="1265"/>
      <c r="GJ796" s="1265"/>
      <c r="GK796" s="1265"/>
      <c r="GL796" s="1265"/>
      <c r="GM796" s="1265"/>
      <c r="GN796" s="1265"/>
      <c r="GO796" s="1265"/>
      <c r="GP796" s="1265"/>
      <c r="GQ796" s="1265"/>
      <c r="GR796" s="1265"/>
      <c r="GS796" s="1265"/>
      <c r="GT796" s="1265"/>
      <c r="GU796" s="1265"/>
      <c r="GV796" s="1265"/>
      <c r="GW796" s="1265"/>
      <c r="GX796" s="1265"/>
      <c r="GY796" s="1265"/>
      <c r="GZ796" s="1265"/>
      <c r="HA796" s="1265"/>
      <c r="HB796" s="1265"/>
      <c r="HC796" s="1265"/>
      <c r="HD796" s="1265"/>
      <c r="HE796" s="1265"/>
      <c r="HF796" s="1265"/>
      <c r="HG796" s="1265"/>
      <c r="HH796" s="1265"/>
      <c r="HI796" s="1265"/>
      <c r="HJ796" s="1265"/>
      <c r="HK796" s="1265"/>
      <c r="HL796" s="1265"/>
      <c r="HM796" s="1265"/>
      <c r="HN796" s="1265"/>
      <c r="HO796" s="1265"/>
      <c r="HP796" s="1265"/>
      <c r="HQ796" s="1265"/>
      <c r="HR796" s="1265"/>
      <c r="HS796" s="1265"/>
      <c r="HT796" s="1265"/>
      <c r="HU796" s="1265"/>
      <c r="HV796" s="1265"/>
      <c r="HW796" s="1265"/>
      <c r="HX796" s="1265"/>
      <c r="HY796" s="1265"/>
      <c r="HZ796" s="1265"/>
      <c r="IA796" s="1265"/>
      <c r="IB796" s="1265"/>
      <c r="IC796" s="1265"/>
      <c r="ID796" s="1265"/>
      <c r="IE796" s="1265"/>
      <c r="IF796" s="1265"/>
      <c r="IG796" s="1265"/>
      <c r="IH796" s="1265"/>
      <c r="II796" s="1265"/>
      <c r="IJ796" s="1265"/>
      <c r="IK796" s="1265"/>
      <c r="IL796" s="1265"/>
      <c r="IM796" s="1265"/>
      <c r="IN796" s="1265"/>
      <c r="IO796" s="1265"/>
      <c r="IP796" s="1265"/>
      <c r="IQ796" s="1265"/>
      <c r="IR796" s="1265"/>
      <c r="IS796" s="1265"/>
      <c r="IT796" s="1265"/>
      <c r="IU796" s="1265"/>
      <c r="IV796" s="1265"/>
      <c r="IW796" s="1265"/>
      <c r="IX796" s="1265"/>
      <c r="IY796" s="1265"/>
      <c r="IZ796" s="1265"/>
      <c r="JA796" s="1265"/>
      <c r="JB796" s="1265"/>
      <c r="JC796" s="1265"/>
      <c r="JD796" s="1265"/>
      <c r="JE796" s="1265"/>
      <c r="JF796" s="1265"/>
      <c r="JG796" s="1265"/>
      <c r="JH796" s="1265"/>
      <c r="JI796" s="1265"/>
      <c r="JJ796" s="1265"/>
      <c r="JK796" s="1265"/>
      <c r="JL796" s="1265"/>
      <c r="JM796" s="1265"/>
      <c r="JN796" s="1265"/>
      <c r="JO796" s="1265"/>
      <c r="JP796" s="1265"/>
      <c r="JQ796" s="1265"/>
      <c r="JR796" s="1265"/>
      <c r="JS796" s="1265"/>
      <c r="JT796" s="1265"/>
      <c r="JU796" s="1265"/>
      <c r="JV796" s="1265"/>
      <c r="JW796" s="1265"/>
      <c r="JX796" s="1265"/>
      <c r="JY796" s="1265"/>
      <c r="JZ796" s="1265"/>
      <c r="KA796" s="1265"/>
      <c r="KB796" s="1265"/>
      <c r="KC796" s="1265"/>
      <c r="KD796" s="1265"/>
      <c r="KE796" s="1265"/>
      <c r="KF796" s="1265"/>
      <c r="KG796" s="1265"/>
      <c r="KH796" s="1265"/>
      <c r="KI796" s="1265"/>
      <c r="KJ796" s="1265"/>
      <c r="KK796" s="1265"/>
      <c r="KL796" s="1265"/>
      <c r="KM796" s="1265"/>
      <c r="KN796" s="1265"/>
      <c r="KO796" s="1265"/>
      <c r="KP796" s="1265"/>
      <c r="KQ796" s="1265"/>
      <c r="KR796" s="1265"/>
      <c r="KS796" s="1265"/>
      <c r="KT796" s="1265"/>
      <c r="KU796" s="1265"/>
      <c r="KV796" s="1265"/>
      <c r="KW796" s="1265"/>
      <c r="KX796" s="1265"/>
      <c r="KY796" s="1265"/>
      <c r="KZ796" s="1265"/>
      <c r="LA796" s="1265"/>
      <c r="LB796" s="1265"/>
      <c r="LC796" s="1265"/>
      <c r="LD796" s="1265"/>
      <c r="LE796" s="1265"/>
      <c r="LF796" s="1265"/>
      <c r="LG796" s="1265"/>
      <c r="LH796" s="1265"/>
      <c r="LI796" s="1265"/>
      <c r="LJ796" s="1265"/>
      <c r="LK796" s="1265"/>
      <c r="LL796" s="1265"/>
      <c r="LM796" s="1265"/>
      <c r="LN796" s="1265"/>
      <c r="LO796" s="1265"/>
      <c r="LP796" s="1265"/>
      <c r="LQ796" s="1265"/>
      <c r="LR796" s="1265"/>
      <c r="LS796" s="1265"/>
      <c r="LT796" s="1265"/>
      <c r="LU796" s="1265"/>
      <c r="LV796" s="1265"/>
      <c r="LW796" s="1265"/>
      <c r="LX796" s="1265"/>
      <c r="LY796" s="1265"/>
      <c r="LZ796" s="1265"/>
      <c r="MA796" s="1265"/>
      <c r="MB796" s="1265"/>
      <c r="MC796" s="1265"/>
      <c r="MD796" s="1265"/>
      <c r="ME796" s="1265"/>
      <c r="MF796" s="1265"/>
      <c r="MG796" s="1265"/>
      <c r="MH796" s="1265"/>
      <c r="MI796" s="1265"/>
      <c r="MJ796" s="1265"/>
      <c r="MK796" s="1265"/>
      <c r="ML796" s="1265"/>
      <c r="MM796" s="1265"/>
      <c r="MN796" s="1265"/>
      <c r="MO796" s="1265"/>
      <c r="MP796" s="1265"/>
      <c r="MQ796" s="1265"/>
      <c r="MR796" s="1265"/>
      <c r="MS796" s="1265"/>
      <c r="MT796" s="1265"/>
      <c r="MU796" s="1265"/>
      <c r="MV796" s="1265"/>
      <c r="MW796" s="1265"/>
      <c r="MX796" s="1265"/>
      <c r="MY796" s="1265"/>
      <c r="MZ796" s="1265"/>
      <c r="NA796" s="1265"/>
      <c r="NB796" s="1265"/>
      <c r="NC796" s="1265"/>
      <c r="ND796" s="1265"/>
      <c r="NE796" s="1265"/>
      <c r="NF796" s="1265"/>
      <c r="NG796" s="1265"/>
      <c r="NH796" s="1265"/>
      <c r="NI796" s="1265"/>
      <c r="NJ796" s="1265"/>
      <c r="NK796" s="1265"/>
      <c r="NL796" s="1265"/>
      <c r="NM796" s="1265"/>
      <c r="NN796" s="1265"/>
      <c r="NO796" s="1265"/>
      <c r="NP796" s="1265"/>
      <c r="NQ796" s="1265"/>
      <c r="NR796" s="1265"/>
      <c r="NS796" s="1265"/>
      <c r="NT796" s="1265"/>
      <c r="NU796" s="1265"/>
      <c r="NV796" s="1265"/>
      <c r="NW796" s="1265"/>
      <c r="NX796" s="1265"/>
      <c r="NY796" s="1265"/>
      <c r="NZ796" s="1265"/>
      <c r="OA796" s="1265"/>
      <c r="OB796" s="1265"/>
      <c r="OC796" s="1265"/>
      <c r="OD796" s="1265"/>
      <c r="OE796" s="1265"/>
      <c r="OF796" s="1265"/>
      <c r="OG796" s="1265"/>
      <c r="OH796" s="1265"/>
      <c r="OI796" s="1265"/>
      <c r="OJ796" s="1265"/>
      <c r="OK796" s="1265"/>
      <c r="OL796" s="1265"/>
      <c r="OM796" s="1265"/>
      <c r="ON796" s="1265"/>
      <c r="OO796" s="1265"/>
      <c r="OP796" s="1265"/>
      <c r="OQ796" s="1265"/>
      <c r="OR796" s="1265"/>
      <c r="OS796" s="1265"/>
      <c r="OT796" s="1265"/>
      <c r="OU796" s="1265"/>
      <c r="OV796" s="1265"/>
      <c r="OW796" s="1265"/>
      <c r="OX796" s="1265"/>
      <c r="OY796" s="1265"/>
      <c r="OZ796" s="1265"/>
      <c r="PA796" s="1265"/>
      <c r="PB796" s="1265"/>
      <c r="PC796" s="1265"/>
      <c r="PD796" s="1265"/>
      <c r="PE796" s="1265"/>
      <c r="PF796" s="1265"/>
      <c r="PG796" s="1265"/>
      <c r="PH796" s="1265"/>
      <c r="PI796" s="1265"/>
      <c r="PJ796" s="1265"/>
      <c r="PK796" s="1265"/>
      <c r="PL796" s="1265"/>
      <c r="PM796" s="1265"/>
      <c r="PN796" s="1265"/>
      <c r="PO796" s="1265"/>
      <c r="PP796" s="1265"/>
      <c r="PQ796" s="1265"/>
      <c r="PR796" s="1265"/>
      <c r="PS796" s="1265"/>
      <c r="PT796" s="1265"/>
      <c r="PU796" s="1265"/>
      <c r="PV796" s="1265"/>
      <c r="PW796" s="1265"/>
      <c r="PX796" s="1265"/>
      <c r="PY796" s="1265"/>
      <c r="PZ796" s="1265"/>
      <c r="QA796" s="1265"/>
      <c r="QB796" s="1265"/>
      <c r="QC796" s="1265"/>
      <c r="QD796" s="1265"/>
      <c r="QE796" s="1265"/>
      <c r="QF796" s="1265"/>
      <c r="QG796" s="1265"/>
      <c r="QH796" s="1265"/>
      <c r="QI796" s="1265"/>
      <c r="QJ796" s="1265"/>
      <c r="QK796" s="1265"/>
      <c r="QL796" s="1265"/>
      <c r="QM796" s="1265"/>
      <c r="QN796" s="1265"/>
      <c r="QO796" s="1265"/>
      <c r="QP796" s="1265"/>
      <c r="QQ796" s="1265"/>
      <c r="QR796" s="1265"/>
      <c r="QS796" s="1265"/>
      <c r="QT796" s="1265"/>
      <c r="QU796" s="1265"/>
      <c r="QV796" s="1265"/>
      <c r="QW796" s="1265"/>
      <c r="QX796" s="1265"/>
      <c r="QY796" s="1265"/>
      <c r="QZ796" s="1265"/>
      <c r="RA796" s="1265"/>
      <c r="RB796" s="1265"/>
      <c r="RC796" s="1265"/>
      <c r="RD796" s="1265"/>
      <c r="RE796" s="1265"/>
      <c r="RF796" s="1265"/>
      <c r="RG796" s="1265"/>
      <c r="RH796" s="1265"/>
      <c r="RI796" s="1265"/>
      <c r="RJ796" s="1265"/>
      <c r="RK796" s="1265"/>
      <c r="RL796" s="1265"/>
      <c r="RM796" s="1265"/>
      <c r="RN796" s="1265"/>
      <c r="RO796" s="1265"/>
      <c r="RP796" s="1265"/>
      <c r="RQ796" s="1265"/>
      <c r="RR796" s="1265"/>
      <c r="RS796" s="1265"/>
      <c r="RT796" s="1265"/>
      <c r="RU796" s="1265"/>
      <c r="RV796" s="1265"/>
      <c r="RW796" s="1265"/>
      <c r="RX796" s="1265"/>
      <c r="RY796" s="1265"/>
      <c r="RZ796" s="1265"/>
      <c r="SA796" s="1265"/>
      <c r="SB796" s="1265"/>
      <c r="SC796" s="1265"/>
      <c r="SD796" s="1265"/>
      <c r="SE796" s="1265"/>
      <c r="SF796" s="1265"/>
      <c r="SG796" s="1265"/>
      <c r="SH796" s="1265"/>
      <c r="SI796" s="1265"/>
      <c r="SJ796" s="1265"/>
      <c r="SK796" s="1265"/>
      <c r="SL796" s="1265"/>
      <c r="SM796" s="1265"/>
      <c r="SN796" s="1265"/>
      <c r="SO796" s="1265"/>
      <c r="SP796" s="1265"/>
      <c r="SQ796" s="1265"/>
      <c r="SR796" s="1265"/>
      <c r="SS796" s="1265"/>
      <c r="ST796" s="1265"/>
      <c r="SU796" s="1265"/>
      <c r="SV796" s="1265"/>
      <c r="SW796" s="1265"/>
      <c r="SX796" s="1265"/>
      <c r="SY796" s="1265"/>
      <c r="SZ796" s="1265"/>
      <c r="TA796" s="1265"/>
      <c r="TB796" s="1265"/>
      <c r="TC796" s="1265"/>
      <c r="TD796" s="1265"/>
      <c r="TE796" s="1265"/>
      <c r="TF796" s="1265"/>
      <c r="TG796" s="1265"/>
      <c r="TH796" s="1265"/>
      <c r="TI796" s="1265"/>
      <c r="TJ796" s="1265"/>
      <c r="TK796" s="1265"/>
      <c r="TL796" s="1265"/>
      <c r="TM796" s="1265"/>
      <c r="TN796" s="1265"/>
      <c r="TO796" s="1265"/>
      <c r="TP796" s="1265"/>
      <c r="TQ796" s="1265"/>
      <c r="TR796" s="1265"/>
      <c r="TS796" s="1265"/>
      <c r="TT796" s="1265"/>
      <c r="TU796" s="1265"/>
      <c r="TV796" s="1265"/>
      <c r="TW796" s="1265"/>
      <c r="TX796" s="1265"/>
      <c r="TY796" s="1265"/>
      <c r="TZ796" s="1265"/>
      <c r="UA796" s="1265"/>
      <c r="UB796" s="1265"/>
      <c r="UC796" s="1265"/>
      <c r="UD796" s="1265"/>
      <c r="UE796" s="1265"/>
      <c r="UF796" s="1265"/>
      <c r="UG796" s="1266"/>
    </row>
    <row r="797" spans="1:553" s="1262" customFormat="1" ht="30.75" customHeight="1">
      <c r="A797" s="436"/>
      <c r="B797" s="436"/>
      <c r="C797" s="1411" t="s">
        <v>1133</v>
      </c>
      <c r="D797" s="1411" t="s">
        <v>1134</v>
      </c>
      <c r="E797" s="1411" t="s">
        <v>1134</v>
      </c>
      <c r="F797" s="1411" t="s">
        <v>1134</v>
      </c>
      <c r="G797" s="470" t="s">
        <v>46</v>
      </c>
      <c r="H797" s="652"/>
      <c r="I797" s="423">
        <f>(20.51*100/400)*(12-(5-3))*2</f>
        <v>102.55000000000001</v>
      </c>
      <c r="J797" s="993">
        <v>3100</v>
      </c>
      <c r="K797" s="656">
        <v>0.7</v>
      </c>
      <c r="L797" s="993">
        <f>ROUND(PRODUCT(I797:K797),0)</f>
        <v>222534</v>
      </c>
      <c r="M797" s="356"/>
      <c r="N797" s="356"/>
      <c r="O797" s="356"/>
      <c r="P797" s="356"/>
      <c r="Q797" s="610"/>
      <c r="R797" s="1228"/>
      <c r="S797" s="308"/>
      <c r="T797" s="308"/>
      <c r="U797" s="308"/>
      <c r="V797" s="308"/>
      <c r="W797" s="308"/>
      <c r="X797" s="308"/>
      <c r="Y797" s="308"/>
      <c r="Z797" s="604"/>
      <c r="AA797" s="308"/>
      <c r="AB797" s="308"/>
      <c r="AC797" s="454"/>
      <c r="AD797" s="454"/>
      <c r="AE797" s="454"/>
      <c r="AF797" s="454"/>
      <c r="AG797" s="454"/>
      <c r="AH797" s="454"/>
      <c r="AI797" s="454"/>
      <c r="AJ797" s="454"/>
      <c r="AK797" s="455"/>
      <c r="AL797" s="1263"/>
      <c r="AM797" s="1263"/>
      <c r="AN797" s="1263"/>
      <c r="AO797" s="1263"/>
      <c r="AP797" s="1263"/>
      <c r="AQ797" s="1263"/>
      <c r="AR797" s="1263"/>
      <c r="AS797" s="1264"/>
      <c r="AT797" s="1264"/>
      <c r="AU797" s="1264"/>
      <c r="AV797" s="1264"/>
      <c r="AW797" s="1264"/>
      <c r="AX797" s="1264"/>
      <c r="AY797" s="1264"/>
      <c r="AZ797" s="1264"/>
      <c r="BA797" s="1264"/>
      <c r="BB797" s="1264"/>
      <c r="BC797" s="1264"/>
      <c r="BD797" s="1264"/>
      <c r="BE797" s="1264"/>
      <c r="BF797" s="1264"/>
      <c r="BG797" s="1264"/>
      <c r="BH797" s="1264"/>
      <c r="BI797" s="1264"/>
      <c r="BJ797" s="1264"/>
      <c r="BK797" s="1264"/>
      <c r="BL797" s="1264"/>
      <c r="BM797" s="1264"/>
      <c r="BN797" s="1264"/>
      <c r="BO797" s="1264"/>
      <c r="BP797" s="1265"/>
      <c r="BQ797" s="1265"/>
      <c r="BR797" s="1265"/>
      <c r="BS797" s="1265"/>
      <c r="BT797" s="1265"/>
      <c r="BU797" s="1265"/>
      <c r="BV797" s="1265"/>
      <c r="BW797" s="1265"/>
      <c r="BX797" s="1265"/>
      <c r="BY797" s="1265"/>
      <c r="BZ797" s="1265"/>
      <c r="CA797" s="1265"/>
      <c r="CB797" s="1265"/>
      <c r="CC797" s="1265"/>
      <c r="CD797" s="1265"/>
      <c r="CE797" s="1265"/>
      <c r="CF797" s="1265"/>
      <c r="CG797" s="1265"/>
      <c r="CH797" s="1265"/>
      <c r="CI797" s="1265"/>
      <c r="CJ797" s="1265"/>
      <c r="CK797" s="1265"/>
      <c r="CL797" s="1265"/>
      <c r="CM797" s="1265"/>
      <c r="CN797" s="1265"/>
      <c r="CO797" s="1265"/>
      <c r="CP797" s="1265"/>
      <c r="CQ797" s="1265"/>
      <c r="CR797" s="1265"/>
      <c r="CS797" s="1265"/>
      <c r="CT797" s="1265"/>
      <c r="CU797" s="1265"/>
      <c r="CV797" s="1265"/>
      <c r="CW797" s="1265"/>
      <c r="CX797" s="1265"/>
      <c r="CY797" s="1265"/>
      <c r="CZ797" s="1265"/>
      <c r="DA797" s="1265"/>
      <c r="DB797" s="1265"/>
      <c r="DC797" s="1265"/>
      <c r="DD797" s="1265"/>
      <c r="DE797" s="1265"/>
      <c r="DF797" s="1265"/>
      <c r="DG797" s="1265"/>
      <c r="DH797" s="1265"/>
      <c r="DI797" s="1265"/>
      <c r="DJ797" s="1265"/>
      <c r="DK797" s="1265"/>
      <c r="DL797" s="1265"/>
      <c r="DM797" s="1265"/>
      <c r="DN797" s="1265"/>
      <c r="DO797" s="1265"/>
      <c r="DP797" s="1265"/>
      <c r="DQ797" s="1265"/>
      <c r="DR797" s="1265"/>
      <c r="DS797" s="1265"/>
      <c r="DT797" s="1265"/>
      <c r="DU797" s="1265"/>
      <c r="DV797" s="1265"/>
      <c r="DW797" s="1265"/>
      <c r="DX797" s="1265"/>
      <c r="DY797" s="1265"/>
      <c r="DZ797" s="1265"/>
      <c r="EA797" s="1265"/>
      <c r="EB797" s="1265"/>
      <c r="EC797" s="1265"/>
      <c r="ED797" s="1265"/>
      <c r="EE797" s="1265"/>
      <c r="EF797" s="1265"/>
      <c r="EG797" s="1265"/>
      <c r="EH797" s="1265"/>
      <c r="EI797" s="1265"/>
      <c r="EJ797" s="1265"/>
      <c r="EK797" s="1265"/>
      <c r="EL797" s="1265"/>
      <c r="EM797" s="1265"/>
      <c r="EN797" s="1265"/>
      <c r="EO797" s="1265"/>
      <c r="EP797" s="1265"/>
      <c r="EQ797" s="1265"/>
      <c r="ER797" s="1265"/>
      <c r="ES797" s="1265"/>
      <c r="ET797" s="1265"/>
      <c r="EU797" s="1265"/>
      <c r="EV797" s="1265"/>
      <c r="EW797" s="1265"/>
      <c r="EX797" s="1265"/>
      <c r="EY797" s="1265"/>
      <c r="EZ797" s="1265"/>
      <c r="FA797" s="1265"/>
      <c r="FB797" s="1265"/>
      <c r="FC797" s="1265"/>
      <c r="FD797" s="1265"/>
      <c r="FE797" s="1265"/>
      <c r="FF797" s="1265"/>
      <c r="FG797" s="1265"/>
      <c r="FH797" s="1265"/>
      <c r="FI797" s="1265"/>
      <c r="FJ797" s="1265"/>
      <c r="FK797" s="1265"/>
      <c r="FL797" s="1265"/>
      <c r="FM797" s="1265"/>
      <c r="FN797" s="1265"/>
      <c r="FO797" s="1265"/>
      <c r="FP797" s="1265"/>
      <c r="FQ797" s="1265"/>
      <c r="FR797" s="1265"/>
      <c r="FS797" s="1265"/>
      <c r="FT797" s="1265"/>
      <c r="FU797" s="1265"/>
      <c r="FV797" s="1265"/>
      <c r="FW797" s="1265"/>
      <c r="FX797" s="1265"/>
      <c r="FY797" s="1265"/>
      <c r="FZ797" s="1265"/>
      <c r="GA797" s="1265"/>
      <c r="GB797" s="1265"/>
      <c r="GC797" s="1265"/>
      <c r="GD797" s="1265"/>
      <c r="GE797" s="1265"/>
      <c r="GF797" s="1265"/>
      <c r="GG797" s="1265"/>
      <c r="GH797" s="1265"/>
      <c r="GI797" s="1265"/>
      <c r="GJ797" s="1265"/>
      <c r="GK797" s="1265"/>
      <c r="GL797" s="1265"/>
      <c r="GM797" s="1265"/>
      <c r="GN797" s="1265"/>
      <c r="GO797" s="1265"/>
      <c r="GP797" s="1265"/>
      <c r="GQ797" s="1265"/>
      <c r="GR797" s="1265"/>
      <c r="GS797" s="1265"/>
      <c r="GT797" s="1265"/>
      <c r="GU797" s="1265"/>
      <c r="GV797" s="1265"/>
      <c r="GW797" s="1265"/>
      <c r="GX797" s="1265"/>
      <c r="GY797" s="1265"/>
      <c r="GZ797" s="1265"/>
      <c r="HA797" s="1265"/>
      <c r="HB797" s="1265"/>
      <c r="HC797" s="1265"/>
      <c r="HD797" s="1265"/>
      <c r="HE797" s="1265"/>
      <c r="HF797" s="1265"/>
      <c r="HG797" s="1265"/>
      <c r="HH797" s="1265"/>
      <c r="HI797" s="1265"/>
      <c r="HJ797" s="1265"/>
      <c r="HK797" s="1265"/>
      <c r="HL797" s="1265"/>
      <c r="HM797" s="1265"/>
      <c r="HN797" s="1265"/>
      <c r="HO797" s="1265"/>
      <c r="HP797" s="1265"/>
      <c r="HQ797" s="1265"/>
      <c r="HR797" s="1265"/>
      <c r="HS797" s="1265"/>
      <c r="HT797" s="1265"/>
      <c r="HU797" s="1265"/>
      <c r="HV797" s="1265"/>
      <c r="HW797" s="1265"/>
      <c r="HX797" s="1265"/>
      <c r="HY797" s="1265"/>
      <c r="HZ797" s="1265"/>
      <c r="IA797" s="1265"/>
      <c r="IB797" s="1265"/>
      <c r="IC797" s="1265"/>
      <c r="ID797" s="1265"/>
      <c r="IE797" s="1265"/>
      <c r="IF797" s="1265"/>
      <c r="IG797" s="1265"/>
      <c r="IH797" s="1265"/>
      <c r="II797" s="1265"/>
      <c r="IJ797" s="1265"/>
      <c r="IK797" s="1265"/>
      <c r="IL797" s="1265"/>
      <c r="IM797" s="1265"/>
      <c r="IN797" s="1265"/>
      <c r="IO797" s="1265"/>
      <c r="IP797" s="1265"/>
      <c r="IQ797" s="1265"/>
      <c r="IR797" s="1265"/>
      <c r="IS797" s="1265"/>
      <c r="IT797" s="1265"/>
      <c r="IU797" s="1265"/>
      <c r="IV797" s="1265"/>
      <c r="IW797" s="1265"/>
      <c r="IX797" s="1265"/>
      <c r="IY797" s="1265"/>
      <c r="IZ797" s="1265"/>
      <c r="JA797" s="1265"/>
      <c r="JB797" s="1265"/>
      <c r="JC797" s="1265"/>
      <c r="JD797" s="1265"/>
      <c r="JE797" s="1265"/>
      <c r="JF797" s="1265"/>
      <c r="JG797" s="1265"/>
      <c r="JH797" s="1265"/>
      <c r="JI797" s="1265"/>
      <c r="JJ797" s="1265"/>
      <c r="JK797" s="1265"/>
      <c r="JL797" s="1265"/>
      <c r="JM797" s="1265"/>
      <c r="JN797" s="1265"/>
      <c r="JO797" s="1265"/>
      <c r="JP797" s="1265"/>
      <c r="JQ797" s="1265"/>
      <c r="JR797" s="1265"/>
      <c r="JS797" s="1265"/>
      <c r="JT797" s="1265"/>
      <c r="JU797" s="1265"/>
      <c r="JV797" s="1265"/>
      <c r="JW797" s="1265"/>
      <c r="JX797" s="1265"/>
      <c r="JY797" s="1265"/>
      <c r="JZ797" s="1265"/>
      <c r="KA797" s="1265"/>
      <c r="KB797" s="1265"/>
      <c r="KC797" s="1265"/>
      <c r="KD797" s="1265"/>
      <c r="KE797" s="1265"/>
      <c r="KF797" s="1265"/>
      <c r="KG797" s="1265"/>
      <c r="KH797" s="1265"/>
      <c r="KI797" s="1265"/>
      <c r="KJ797" s="1265"/>
      <c r="KK797" s="1265"/>
      <c r="KL797" s="1265"/>
      <c r="KM797" s="1265"/>
      <c r="KN797" s="1265"/>
      <c r="KO797" s="1265"/>
      <c r="KP797" s="1265"/>
      <c r="KQ797" s="1265"/>
      <c r="KR797" s="1265"/>
      <c r="KS797" s="1265"/>
      <c r="KT797" s="1265"/>
      <c r="KU797" s="1265"/>
      <c r="KV797" s="1265"/>
      <c r="KW797" s="1265"/>
      <c r="KX797" s="1265"/>
      <c r="KY797" s="1265"/>
      <c r="KZ797" s="1265"/>
      <c r="LA797" s="1265"/>
      <c r="LB797" s="1265"/>
      <c r="LC797" s="1265"/>
      <c r="LD797" s="1265"/>
      <c r="LE797" s="1265"/>
      <c r="LF797" s="1265"/>
      <c r="LG797" s="1265"/>
      <c r="LH797" s="1265"/>
      <c r="LI797" s="1265"/>
      <c r="LJ797" s="1265"/>
      <c r="LK797" s="1265"/>
      <c r="LL797" s="1265"/>
      <c r="LM797" s="1265"/>
      <c r="LN797" s="1265"/>
      <c r="LO797" s="1265"/>
      <c r="LP797" s="1265"/>
      <c r="LQ797" s="1265"/>
      <c r="LR797" s="1265"/>
      <c r="LS797" s="1265"/>
      <c r="LT797" s="1265"/>
      <c r="LU797" s="1265"/>
      <c r="LV797" s="1265"/>
      <c r="LW797" s="1265"/>
      <c r="LX797" s="1265"/>
      <c r="LY797" s="1265"/>
      <c r="LZ797" s="1265"/>
      <c r="MA797" s="1265"/>
      <c r="MB797" s="1265"/>
      <c r="MC797" s="1265"/>
      <c r="MD797" s="1265"/>
      <c r="ME797" s="1265"/>
      <c r="MF797" s="1265"/>
      <c r="MG797" s="1265"/>
      <c r="MH797" s="1265"/>
      <c r="MI797" s="1265"/>
      <c r="MJ797" s="1265"/>
      <c r="MK797" s="1265"/>
      <c r="ML797" s="1265"/>
      <c r="MM797" s="1265"/>
      <c r="MN797" s="1265"/>
      <c r="MO797" s="1265"/>
      <c r="MP797" s="1265"/>
      <c r="MQ797" s="1265"/>
      <c r="MR797" s="1265"/>
      <c r="MS797" s="1265"/>
      <c r="MT797" s="1265"/>
      <c r="MU797" s="1265"/>
      <c r="MV797" s="1265"/>
      <c r="MW797" s="1265"/>
      <c r="MX797" s="1265"/>
      <c r="MY797" s="1265"/>
      <c r="MZ797" s="1265"/>
      <c r="NA797" s="1265"/>
      <c r="NB797" s="1265"/>
      <c r="NC797" s="1265"/>
      <c r="ND797" s="1265"/>
      <c r="NE797" s="1265"/>
      <c r="NF797" s="1265"/>
      <c r="NG797" s="1265"/>
      <c r="NH797" s="1265"/>
      <c r="NI797" s="1265"/>
      <c r="NJ797" s="1265"/>
      <c r="NK797" s="1265"/>
      <c r="NL797" s="1265"/>
      <c r="NM797" s="1265"/>
      <c r="NN797" s="1265"/>
      <c r="NO797" s="1265"/>
      <c r="NP797" s="1265"/>
      <c r="NQ797" s="1265"/>
      <c r="NR797" s="1265"/>
      <c r="NS797" s="1265"/>
      <c r="NT797" s="1265"/>
      <c r="NU797" s="1265"/>
      <c r="NV797" s="1265"/>
      <c r="NW797" s="1265"/>
      <c r="NX797" s="1265"/>
      <c r="NY797" s="1265"/>
      <c r="NZ797" s="1265"/>
      <c r="OA797" s="1265"/>
      <c r="OB797" s="1265"/>
      <c r="OC797" s="1265"/>
      <c r="OD797" s="1265"/>
      <c r="OE797" s="1265"/>
      <c r="OF797" s="1265"/>
      <c r="OG797" s="1265"/>
      <c r="OH797" s="1265"/>
      <c r="OI797" s="1265"/>
      <c r="OJ797" s="1265"/>
      <c r="OK797" s="1265"/>
      <c r="OL797" s="1265"/>
      <c r="OM797" s="1265"/>
      <c r="ON797" s="1265"/>
      <c r="OO797" s="1265"/>
      <c r="OP797" s="1265"/>
      <c r="OQ797" s="1265"/>
      <c r="OR797" s="1265"/>
      <c r="OS797" s="1265"/>
      <c r="OT797" s="1265"/>
      <c r="OU797" s="1265"/>
      <c r="OV797" s="1265"/>
      <c r="OW797" s="1265"/>
      <c r="OX797" s="1265"/>
      <c r="OY797" s="1265"/>
      <c r="OZ797" s="1265"/>
      <c r="PA797" s="1265"/>
      <c r="PB797" s="1265"/>
      <c r="PC797" s="1265"/>
      <c r="PD797" s="1265"/>
      <c r="PE797" s="1265"/>
      <c r="PF797" s="1265"/>
      <c r="PG797" s="1265"/>
      <c r="PH797" s="1265"/>
      <c r="PI797" s="1265"/>
      <c r="PJ797" s="1265"/>
      <c r="PK797" s="1265"/>
      <c r="PL797" s="1265"/>
      <c r="PM797" s="1265"/>
      <c r="PN797" s="1265"/>
      <c r="PO797" s="1265"/>
      <c r="PP797" s="1265"/>
      <c r="PQ797" s="1265"/>
      <c r="PR797" s="1265"/>
      <c r="PS797" s="1265"/>
      <c r="PT797" s="1265"/>
      <c r="PU797" s="1265"/>
      <c r="PV797" s="1265"/>
      <c r="PW797" s="1265"/>
      <c r="PX797" s="1265"/>
      <c r="PY797" s="1265"/>
      <c r="PZ797" s="1265"/>
      <c r="QA797" s="1265"/>
      <c r="QB797" s="1265"/>
      <c r="QC797" s="1265"/>
      <c r="QD797" s="1265"/>
      <c r="QE797" s="1265"/>
      <c r="QF797" s="1265"/>
      <c r="QG797" s="1265"/>
      <c r="QH797" s="1265"/>
      <c r="QI797" s="1265"/>
      <c r="QJ797" s="1265"/>
      <c r="QK797" s="1265"/>
      <c r="QL797" s="1265"/>
      <c r="QM797" s="1265"/>
      <c r="QN797" s="1265"/>
      <c r="QO797" s="1265"/>
      <c r="QP797" s="1265"/>
      <c r="QQ797" s="1265"/>
      <c r="QR797" s="1265"/>
      <c r="QS797" s="1265"/>
      <c r="QT797" s="1265"/>
      <c r="QU797" s="1265"/>
      <c r="QV797" s="1265"/>
      <c r="QW797" s="1265"/>
      <c r="QX797" s="1265"/>
      <c r="QY797" s="1265"/>
      <c r="QZ797" s="1265"/>
      <c r="RA797" s="1265"/>
      <c r="RB797" s="1265"/>
      <c r="RC797" s="1265"/>
      <c r="RD797" s="1265"/>
      <c r="RE797" s="1265"/>
      <c r="RF797" s="1265"/>
      <c r="RG797" s="1265"/>
      <c r="RH797" s="1265"/>
      <c r="RI797" s="1265"/>
      <c r="RJ797" s="1265"/>
      <c r="RK797" s="1265"/>
      <c r="RL797" s="1265"/>
      <c r="RM797" s="1265"/>
      <c r="RN797" s="1265"/>
      <c r="RO797" s="1265"/>
      <c r="RP797" s="1265"/>
      <c r="RQ797" s="1265"/>
      <c r="RR797" s="1265"/>
      <c r="RS797" s="1265"/>
      <c r="RT797" s="1265"/>
      <c r="RU797" s="1265"/>
      <c r="RV797" s="1265"/>
      <c r="RW797" s="1265"/>
      <c r="RX797" s="1265"/>
      <c r="RY797" s="1265"/>
      <c r="RZ797" s="1265"/>
      <c r="SA797" s="1265"/>
      <c r="SB797" s="1265"/>
      <c r="SC797" s="1265"/>
      <c r="SD797" s="1265"/>
      <c r="SE797" s="1265"/>
      <c r="SF797" s="1265"/>
      <c r="SG797" s="1265"/>
      <c r="SH797" s="1265"/>
      <c r="SI797" s="1265"/>
      <c r="SJ797" s="1265"/>
      <c r="SK797" s="1265"/>
      <c r="SL797" s="1265"/>
      <c r="SM797" s="1265"/>
      <c r="SN797" s="1265"/>
      <c r="SO797" s="1265"/>
      <c r="SP797" s="1265"/>
      <c r="SQ797" s="1265"/>
      <c r="SR797" s="1265"/>
      <c r="SS797" s="1265"/>
      <c r="ST797" s="1265"/>
      <c r="SU797" s="1265"/>
      <c r="SV797" s="1265"/>
      <c r="SW797" s="1265"/>
      <c r="SX797" s="1265"/>
      <c r="SY797" s="1265"/>
      <c r="SZ797" s="1265"/>
      <c r="TA797" s="1265"/>
      <c r="TB797" s="1265"/>
      <c r="TC797" s="1265"/>
      <c r="TD797" s="1265"/>
      <c r="TE797" s="1265"/>
      <c r="TF797" s="1265"/>
      <c r="TG797" s="1265"/>
      <c r="TH797" s="1265"/>
      <c r="TI797" s="1265"/>
      <c r="TJ797" s="1265"/>
      <c r="TK797" s="1265"/>
      <c r="TL797" s="1265"/>
      <c r="TM797" s="1265"/>
      <c r="TN797" s="1265"/>
      <c r="TO797" s="1265"/>
      <c r="TP797" s="1265"/>
      <c r="TQ797" s="1265"/>
      <c r="TR797" s="1265"/>
      <c r="TS797" s="1265"/>
      <c r="TT797" s="1265"/>
      <c r="TU797" s="1265"/>
      <c r="TV797" s="1265"/>
      <c r="TW797" s="1265"/>
      <c r="TX797" s="1265"/>
      <c r="TY797" s="1265"/>
      <c r="TZ797" s="1265"/>
      <c r="UA797" s="1265"/>
      <c r="UB797" s="1265"/>
      <c r="UC797" s="1265"/>
      <c r="UD797" s="1265"/>
      <c r="UE797" s="1265"/>
      <c r="UF797" s="1265"/>
      <c r="UG797" s="1266"/>
    </row>
    <row r="798" spans="1:553" s="1262" customFormat="1" ht="30.75" customHeight="1">
      <c r="A798" s="436"/>
      <c r="B798" s="436"/>
      <c r="C798" s="1411" t="s">
        <v>760</v>
      </c>
      <c r="D798" s="1411" t="s">
        <v>1135</v>
      </c>
      <c r="E798" s="1411" t="s">
        <v>1135</v>
      </c>
      <c r="F798" s="1411" t="s">
        <v>1135</v>
      </c>
      <c r="G798" s="303" t="s">
        <v>193</v>
      </c>
      <c r="H798" s="652"/>
      <c r="I798" s="607">
        <f>(20.51*100/400)*(12-(4-3))*1</f>
        <v>56.402500000000003</v>
      </c>
      <c r="J798" s="1243">
        <v>3100</v>
      </c>
      <c r="K798" s="656">
        <v>0.7</v>
      </c>
      <c r="L798" s="993">
        <f t="shared" ref="L798:L800" si="119">ROUND(PRODUCT(I798:K798),0)</f>
        <v>122393</v>
      </c>
      <c r="M798" s="356"/>
      <c r="N798" s="356"/>
      <c r="O798" s="356"/>
      <c r="P798" s="356"/>
      <c r="Q798" s="610"/>
      <c r="R798" s="1228"/>
      <c r="S798" s="308"/>
      <c r="T798" s="308"/>
      <c r="U798" s="308"/>
      <c r="V798" s="308"/>
      <c r="W798" s="308"/>
      <c r="X798" s="308"/>
      <c r="Y798" s="308"/>
      <c r="Z798" s="604"/>
      <c r="AA798" s="308"/>
      <c r="AB798" s="308"/>
      <c r="AC798" s="454"/>
      <c r="AD798" s="454"/>
      <c r="AE798" s="454"/>
      <c r="AF798" s="454"/>
      <c r="AG798" s="454"/>
      <c r="AH798" s="454"/>
      <c r="AI798" s="454"/>
      <c r="AJ798" s="454"/>
      <c r="AK798" s="455"/>
      <c r="AL798" s="1263"/>
      <c r="AM798" s="1263"/>
      <c r="AN798" s="1263"/>
      <c r="AO798" s="1263"/>
      <c r="AP798" s="1263"/>
      <c r="AQ798" s="1263"/>
      <c r="AR798" s="1263"/>
      <c r="AS798" s="1264"/>
      <c r="AT798" s="1264"/>
      <c r="AU798" s="1264"/>
      <c r="AV798" s="1264"/>
      <c r="AW798" s="1264"/>
      <c r="AX798" s="1264"/>
      <c r="AY798" s="1264"/>
      <c r="AZ798" s="1264"/>
      <c r="BA798" s="1264"/>
      <c r="BB798" s="1264"/>
      <c r="BC798" s="1264"/>
      <c r="BD798" s="1264"/>
      <c r="BE798" s="1264"/>
      <c r="BF798" s="1264"/>
      <c r="BG798" s="1264"/>
      <c r="BH798" s="1264"/>
      <c r="BI798" s="1264"/>
      <c r="BJ798" s="1264"/>
      <c r="BK798" s="1264"/>
      <c r="BL798" s="1264"/>
      <c r="BM798" s="1264"/>
      <c r="BN798" s="1264"/>
      <c r="BO798" s="1264"/>
      <c r="BP798" s="1265"/>
      <c r="BQ798" s="1265"/>
      <c r="BR798" s="1265"/>
      <c r="BS798" s="1265"/>
      <c r="BT798" s="1265"/>
      <c r="BU798" s="1265"/>
      <c r="BV798" s="1265"/>
      <c r="BW798" s="1265"/>
      <c r="BX798" s="1265"/>
      <c r="BY798" s="1265"/>
      <c r="BZ798" s="1265"/>
      <c r="CA798" s="1265"/>
      <c r="CB798" s="1265"/>
      <c r="CC798" s="1265"/>
      <c r="CD798" s="1265"/>
      <c r="CE798" s="1265"/>
      <c r="CF798" s="1265"/>
      <c r="CG798" s="1265"/>
      <c r="CH798" s="1265"/>
      <c r="CI798" s="1265"/>
      <c r="CJ798" s="1265"/>
      <c r="CK798" s="1265"/>
      <c r="CL798" s="1265"/>
      <c r="CM798" s="1265"/>
      <c r="CN798" s="1265"/>
      <c r="CO798" s="1265"/>
      <c r="CP798" s="1265"/>
      <c r="CQ798" s="1265"/>
      <c r="CR798" s="1265"/>
      <c r="CS798" s="1265"/>
      <c r="CT798" s="1265"/>
      <c r="CU798" s="1265"/>
      <c r="CV798" s="1265"/>
      <c r="CW798" s="1265"/>
      <c r="CX798" s="1265"/>
      <c r="CY798" s="1265"/>
      <c r="CZ798" s="1265"/>
      <c r="DA798" s="1265"/>
      <c r="DB798" s="1265"/>
      <c r="DC798" s="1265"/>
      <c r="DD798" s="1265"/>
      <c r="DE798" s="1265"/>
      <c r="DF798" s="1265"/>
      <c r="DG798" s="1265"/>
      <c r="DH798" s="1265"/>
      <c r="DI798" s="1265"/>
      <c r="DJ798" s="1265"/>
      <c r="DK798" s="1265"/>
      <c r="DL798" s="1265"/>
      <c r="DM798" s="1265"/>
      <c r="DN798" s="1265"/>
      <c r="DO798" s="1265"/>
      <c r="DP798" s="1265"/>
      <c r="DQ798" s="1265"/>
      <c r="DR798" s="1265"/>
      <c r="DS798" s="1265"/>
      <c r="DT798" s="1265"/>
      <c r="DU798" s="1265"/>
      <c r="DV798" s="1265"/>
      <c r="DW798" s="1265"/>
      <c r="DX798" s="1265"/>
      <c r="DY798" s="1265"/>
      <c r="DZ798" s="1265"/>
      <c r="EA798" s="1265"/>
      <c r="EB798" s="1265"/>
      <c r="EC798" s="1265"/>
      <c r="ED798" s="1265"/>
      <c r="EE798" s="1265"/>
      <c r="EF798" s="1265"/>
      <c r="EG798" s="1265"/>
      <c r="EH798" s="1265"/>
      <c r="EI798" s="1265"/>
      <c r="EJ798" s="1265"/>
      <c r="EK798" s="1265"/>
      <c r="EL798" s="1265"/>
      <c r="EM798" s="1265"/>
      <c r="EN798" s="1265"/>
      <c r="EO798" s="1265"/>
      <c r="EP798" s="1265"/>
      <c r="EQ798" s="1265"/>
      <c r="ER798" s="1265"/>
      <c r="ES798" s="1265"/>
      <c r="ET798" s="1265"/>
      <c r="EU798" s="1265"/>
      <c r="EV798" s="1265"/>
      <c r="EW798" s="1265"/>
      <c r="EX798" s="1265"/>
      <c r="EY798" s="1265"/>
      <c r="EZ798" s="1265"/>
      <c r="FA798" s="1265"/>
      <c r="FB798" s="1265"/>
      <c r="FC798" s="1265"/>
      <c r="FD798" s="1265"/>
      <c r="FE798" s="1265"/>
      <c r="FF798" s="1265"/>
      <c r="FG798" s="1265"/>
      <c r="FH798" s="1265"/>
      <c r="FI798" s="1265"/>
      <c r="FJ798" s="1265"/>
      <c r="FK798" s="1265"/>
      <c r="FL798" s="1265"/>
      <c r="FM798" s="1265"/>
      <c r="FN798" s="1265"/>
      <c r="FO798" s="1265"/>
      <c r="FP798" s="1265"/>
      <c r="FQ798" s="1265"/>
      <c r="FR798" s="1265"/>
      <c r="FS798" s="1265"/>
      <c r="FT798" s="1265"/>
      <c r="FU798" s="1265"/>
      <c r="FV798" s="1265"/>
      <c r="FW798" s="1265"/>
      <c r="FX798" s="1265"/>
      <c r="FY798" s="1265"/>
      <c r="FZ798" s="1265"/>
      <c r="GA798" s="1265"/>
      <c r="GB798" s="1265"/>
      <c r="GC798" s="1265"/>
      <c r="GD798" s="1265"/>
      <c r="GE798" s="1265"/>
      <c r="GF798" s="1265"/>
      <c r="GG798" s="1265"/>
      <c r="GH798" s="1265"/>
      <c r="GI798" s="1265"/>
      <c r="GJ798" s="1265"/>
      <c r="GK798" s="1265"/>
      <c r="GL798" s="1265"/>
      <c r="GM798" s="1265"/>
      <c r="GN798" s="1265"/>
      <c r="GO798" s="1265"/>
      <c r="GP798" s="1265"/>
      <c r="GQ798" s="1265"/>
      <c r="GR798" s="1265"/>
      <c r="GS798" s="1265"/>
      <c r="GT798" s="1265"/>
      <c r="GU798" s="1265"/>
      <c r="GV798" s="1265"/>
      <c r="GW798" s="1265"/>
      <c r="GX798" s="1265"/>
      <c r="GY798" s="1265"/>
      <c r="GZ798" s="1265"/>
      <c r="HA798" s="1265"/>
      <c r="HB798" s="1265"/>
      <c r="HC798" s="1265"/>
      <c r="HD798" s="1265"/>
      <c r="HE798" s="1265"/>
      <c r="HF798" s="1265"/>
      <c r="HG798" s="1265"/>
      <c r="HH798" s="1265"/>
      <c r="HI798" s="1265"/>
      <c r="HJ798" s="1265"/>
      <c r="HK798" s="1265"/>
      <c r="HL798" s="1265"/>
      <c r="HM798" s="1265"/>
      <c r="HN798" s="1265"/>
      <c r="HO798" s="1265"/>
      <c r="HP798" s="1265"/>
      <c r="HQ798" s="1265"/>
      <c r="HR798" s="1265"/>
      <c r="HS798" s="1265"/>
      <c r="HT798" s="1265"/>
      <c r="HU798" s="1265"/>
      <c r="HV798" s="1265"/>
      <c r="HW798" s="1265"/>
      <c r="HX798" s="1265"/>
      <c r="HY798" s="1265"/>
      <c r="HZ798" s="1265"/>
      <c r="IA798" s="1265"/>
      <c r="IB798" s="1265"/>
      <c r="IC798" s="1265"/>
      <c r="ID798" s="1265"/>
      <c r="IE798" s="1265"/>
      <c r="IF798" s="1265"/>
      <c r="IG798" s="1265"/>
      <c r="IH798" s="1265"/>
      <c r="II798" s="1265"/>
      <c r="IJ798" s="1265"/>
      <c r="IK798" s="1265"/>
      <c r="IL798" s="1265"/>
      <c r="IM798" s="1265"/>
      <c r="IN798" s="1265"/>
      <c r="IO798" s="1265"/>
      <c r="IP798" s="1265"/>
      <c r="IQ798" s="1265"/>
      <c r="IR798" s="1265"/>
      <c r="IS798" s="1265"/>
      <c r="IT798" s="1265"/>
      <c r="IU798" s="1265"/>
      <c r="IV798" s="1265"/>
      <c r="IW798" s="1265"/>
      <c r="IX798" s="1265"/>
      <c r="IY798" s="1265"/>
      <c r="IZ798" s="1265"/>
      <c r="JA798" s="1265"/>
      <c r="JB798" s="1265"/>
      <c r="JC798" s="1265"/>
      <c r="JD798" s="1265"/>
      <c r="JE798" s="1265"/>
      <c r="JF798" s="1265"/>
      <c r="JG798" s="1265"/>
      <c r="JH798" s="1265"/>
      <c r="JI798" s="1265"/>
      <c r="JJ798" s="1265"/>
      <c r="JK798" s="1265"/>
      <c r="JL798" s="1265"/>
      <c r="JM798" s="1265"/>
      <c r="JN798" s="1265"/>
      <c r="JO798" s="1265"/>
      <c r="JP798" s="1265"/>
      <c r="JQ798" s="1265"/>
      <c r="JR798" s="1265"/>
      <c r="JS798" s="1265"/>
      <c r="JT798" s="1265"/>
      <c r="JU798" s="1265"/>
      <c r="JV798" s="1265"/>
      <c r="JW798" s="1265"/>
      <c r="JX798" s="1265"/>
      <c r="JY798" s="1265"/>
      <c r="JZ798" s="1265"/>
      <c r="KA798" s="1265"/>
      <c r="KB798" s="1265"/>
      <c r="KC798" s="1265"/>
      <c r="KD798" s="1265"/>
      <c r="KE798" s="1265"/>
      <c r="KF798" s="1265"/>
      <c r="KG798" s="1265"/>
      <c r="KH798" s="1265"/>
      <c r="KI798" s="1265"/>
      <c r="KJ798" s="1265"/>
      <c r="KK798" s="1265"/>
      <c r="KL798" s="1265"/>
      <c r="KM798" s="1265"/>
      <c r="KN798" s="1265"/>
      <c r="KO798" s="1265"/>
      <c r="KP798" s="1265"/>
      <c r="KQ798" s="1265"/>
      <c r="KR798" s="1265"/>
      <c r="KS798" s="1265"/>
      <c r="KT798" s="1265"/>
      <c r="KU798" s="1265"/>
      <c r="KV798" s="1265"/>
      <c r="KW798" s="1265"/>
      <c r="KX798" s="1265"/>
      <c r="KY798" s="1265"/>
      <c r="KZ798" s="1265"/>
      <c r="LA798" s="1265"/>
      <c r="LB798" s="1265"/>
      <c r="LC798" s="1265"/>
      <c r="LD798" s="1265"/>
      <c r="LE798" s="1265"/>
      <c r="LF798" s="1265"/>
      <c r="LG798" s="1265"/>
      <c r="LH798" s="1265"/>
      <c r="LI798" s="1265"/>
      <c r="LJ798" s="1265"/>
      <c r="LK798" s="1265"/>
      <c r="LL798" s="1265"/>
      <c r="LM798" s="1265"/>
      <c r="LN798" s="1265"/>
      <c r="LO798" s="1265"/>
      <c r="LP798" s="1265"/>
      <c r="LQ798" s="1265"/>
      <c r="LR798" s="1265"/>
      <c r="LS798" s="1265"/>
      <c r="LT798" s="1265"/>
      <c r="LU798" s="1265"/>
      <c r="LV798" s="1265"/>
      <c r="LW798" s="1265"/>
      <c r="LX798" s="1265"/>
      <c r="LY798" s="1265"/>
      <c r="LZ798" s="1265"/>
      <c r="MA798" s="1265"/>
      <c r="MB798" s="1265"/>
      <c r="MC798" s="1265"/>
      <c r="MD798" s="1265"/>
      <c r="ME798" s="1265"/>
      <c r="MF798" s="1265"/>
      <c r="MG798" s="1265"/>
      <c r="MH798" s="1265"/>
      <c r="MI798" s="1265"/>
      <c r="MJ798" s="1265"/>
      <c r="MK798" s="1265"/>
      <c r="ML798" s="1265"/>
      <c r="MM798" s="1265"/>
      <c r="MN798" s="1265"/>
      <c r="MO798" s="1265"/>
      <c r="MP798" s="1265"/>
      <c r="MQ798" s="1265"/>
      <c r="MR798" s="1265"/>
      <c r="MS798" s="1265"/>
      <c r="MT798" s="1265"/>
      <c r="MU798" s="1265"/>
      <c r="MV798" s="1265"/>
      <c r="MW798" s="1265"/>
      <c r="MX798" s="1265"/>
      <c r="MY798" s="1265"/>
      <c r="MZ798" s="1265"/>
      <c r="NA798" s="1265"/>
      <c r="NB798" s="1265"/>
      <c r="NC798" s="1265"/>
      <c r="ND798" s="1265"/>
      <c r="NE798" s="1265"/>
      <c r="NF798" s="1265"/>
      <c r="NG798" s="1265"/>
      <c r="NH798" s="1265"/>
      <c r="NI798" s="1265"/>
      <c r="NJ798" s="1265"/>
      <c r="NK798" s="1265"/>
      <c r="NL798" s="1265"/>
      <c r="NM798" s="1265"/>
      <c r="NN798" s="1265"/>
      <c r="NO798" s="1265"/>
      <c r="NP798" s="1265"/>
      <c r="NQ798" s="1265"/>
      <c r="NR798" s="1265"/>
      <c r="NS798" s="1265"/>
      <c r="NT798" s="1265"/>
      <c r="NU798" s="1265"/>
      <c r="NV798" s="1265"/>
      <c r="NW798" s="1265"/>
      <c r="NX798" s="1265"/>
      <c r="NY798" s="1265"/>
      <c r="NZ798" s="1265"/>
      <c r="OA798" s="1265"/>
      <c r="OB798" s="1265"/>
      <c r="OC798" s="1265"/>
      <c r="OD798" s="1265"/>
      <c r="OE798" s="1265"/>
      <c r="OF798" s="1265"/>
      <c r="OG798" s="1265"/>
      <c r="OH798" s="1265"/>
      <c r="OI798" s="1265"/>
      <c r="OJ798" s="1265"/>
      <c r="OK798" s="1265"/>
      <c r="OL798" s="1265"/>
      <c r="OM798" s="1265"/>
      <c r="ON798" s="1265"/>
      <c r="OO798" s="1265"/>
      <c r="OP798" s="1265"/>
      <c r="OQ798" s="1265"/>
      <c r="OR798" s="1265"/>
      <c r="OS798" s="1265"/>
      <c r="OT798" s="1265"/>
      <c r="OU798" s="1265"/>
      <c r="OV798" s="1265"/>
      <c r="OW798" s="1265"/>
      <c r="OX798" s="1265"/>
      <c r="OY798" s="1265"/>
      <c r="OZ798" s="1265"/>
      <c r="PA798" s="1265"/>
      <c r="PB798" s="1265"/>
      <c r="PC798" s="1265"/>
      <c r="PD798" s="1265"/>
      <c r="PE798" s="1265"/>
      <c r="PF798" s="1265"/>
      <c r="PG798" s="1265"/>
      <c r="PH798" s="1265"/>
      <c r="PI798" s="1265"/>
      <c r="PJ798" s="1265"/>
      <c r="PK798" s="1265"/>
      <c r="PL798" s="1265"/>
      <c r="PM798" s="1265"/>
      <c r="PN798" s="1265"/>
      <c r="PO798" s="1265"/>
      <c r="PP798" s="1265"/>
      <c r="PQ798" s="1265"/>
      <c r="PR798" s="1265"/>
      <c r="PS798" s="1265"/>
      <c r="PT798" s="1265"/>
      <c r="PU798" s="1265"/>
      <c r="PV798" s="1265"/>
      <c r="PW798" s="1265"/>
      <c r="PX798" s="1265"/>
      <c r="PY798" s="1265"/>
      <c r="PZ798" s="1265"/>
      <c r="QA798" s="1265"/>
      <c r="QB798" s="1265"/>
      <c r="QC798" s="1265"/>
      <c r="QD798" s="1265"/>
      <c r="QE798" s="1265"/>
      <c r="QF798" s="1265"/>
      <c r="QG798" s="1265"/>
      <c r="QH798" s="1265"/>
      <c r="QI798" s="1265"/>
      <c r="QJ798" s="1265"/>
      <c r="QK798" s="1265"/>
      <c r="QL798" s="1265"/>
      <c r="QM798" s="1265"/>
      <c r="QN798" s="1265"/>
      <c r="QO798" s="1265"/>
      <c r="QP798" s="1265"/>
      <c r="QQ798" s="1265"/>
      <c r="QR798" s="1265"/>
      <c r="QS798" s="1265"/>
      <c r="QT798" s="1265"/>
      <c r="QU798" s="1265"/>
      <c r="QV798" s="1265"/>
      <c r="QW798" s="1265"/>
      <c r="QX798" s="1265"/>
      <c r="QY798" s="1265"/>
      <c r="QZ798" s="1265"/>
      <c r="RA798" s="1265"/>
      <c r="RB798" s="1265"/>
      <c r="RC798" s="1265"/>
      <c r="RD798" s="1265"/>
      <c r="RE798" s="1265"/>
      <c r="RF798" s="1265"/>
      <c r="RG798" s="1265"/>
      <c r="RH798" s="1265"/>
      <c r="RI798" s="1265"/>
      <c r="RJ798" s="1265"/>
      <c r="RK798" s="1265"/>
      <c r="RL798" s="1265"/>
      <c r="RM798" s="1265"/>
      <c r="RN798" s="1265"/>
      <c r="RO798" s="1265"/>
      <c r="RP798" s="1265"/>
      <c r="RQ798" s="1265"/>
      <c r="RR798" s="1265"/>
      <c r="RS798" s="1265"/>
      <c r="RT798" s="1265"/>
      <c r="RU798" s="1265"/>
      <c r="RV798" s="1265"/>
      <c r="RW798" s="1265"/>
      <c r="RX798" s="1265"/>
      <c r="RY798" s="1265"/>
      <c r="RZ798" s="1265"/>
      <c r="SA798" s="1265"/>
      <c r="SB798" s="1265"/>
      <c r="SC798" s="1265"/>
      <c r="SD798" s="1265"/>
      <c r="SE798" s="1265"/>
      <c r="SF798" s="1265"/>
      <c r="SG798" s="1265"/>
      <c r="SH798" s="1265"/>
      <c r="SI798" s="1265"/>
      <c r="SJ798" s="1265"/>
      <c r="SK798" s="1265"/>
      <c r="SL798" s="1265"/>
      <c r="SM798" s="1265"/>
      <c r="SN798" s="1265"/>
      <c r="SO798" s="1265"/>
      <c r="SP798" s="1265"/>
      <c r="SQ798" s="1265"/>
      <c r="SR798" s="1265"/>
      <c r="SS798" s="1265"/>
      <c r="ST798" s="1265"/>
      <c r="SU798" s="1265"/>
      <c r="SV798" s="1265"/>
      <c r="SW798" s="1265"/>
      <c r="SX798" s="1265"/>
      <c r="SY798" s="1265"/>
      <c r="SZ798" s="1265"/>
      <c r="TA798" s="1265"/>
      <c r="TB798" s="1265"/>
      <c r="TC798" s="1265"/>
      <c r="TD798" s="1265"/>
      <c r="TE798" s="1265"/>
      <c r="TF798" s="1265"/>
      <c r="TG798" s="1265"/>
      <c r="TH798" s="1265"/>
      <c r="TI798" s="1265"/>
      <c r="TJ798" s="1265"/>
      <c r="TK798" s="1265"/>
      <c r="TL798" s="1265"/>
      <c r="TM798" s="1265"/>
      <c r="TN798" s="1265"/>
      <c r="TO798" s="1265"/>
      <c r="TP798" s="1265"/>
      <c r="TQ798" s="1265"/>
      <c r="TR798" s="1265"/>
      <c r="TS798" s="1265"/>
      <c r="TT798" s="1265"/>
      <c r="TU798" s="1265"/>
      <c r="TV798" s="1265"/>
      <c r="TW798" s="1265"/>
      <c r="TX798" s="1265"/>
      <c r="TY798" s="1265"/>
      <c r="TZ798" s="1265"/>
      <c r="UA798" s="1265"/>
      <c r="UB798" s="1265"/>
      <c r="UC798" s="1265"/>
      <c r="UD798" s="1265"/>
      <c r="UE798" s="1265"/>
      <c r="UF798" s="1265"/>
      <c r="UG798" s="1266"/>
    </row>
    <row r="799" spans="1:553" s="1262" customFormat="1" ht="30.75" customHeight="1">
      <c r="A799" s="436"/>
      <c r="B799" s="436"/>
      <c r="C799" s="1411" t="s">
        <v>1136</v>
      </c>
      <c r="D799" s="1411" t="s">
        <v>1137</v>
      </c>
      <c r="E799" s="1411" t="s">
        <v>1137</v>
      </c>
      <c r="F799" s="1411" t="s">
        <v>1137</v>
      </c>
      <c r="G799" s="303" t="s">
        <v>193</v>
      </c>
      <c r="H799" s="652"/>
      <c r="I799" s="607">
        <f>(20.51*100/400)*(12-(5-3))*1</f>
        <v>51.275000000000006</v>
      </c>
      <c r="J799" s="1243">
        <v>3100</v>
      </c>
      <c r="K799" s="656">
        <v>0.7</v>
      </c>
      <c r="L799" s="993">
        <f t="shared" si="119"/>
        <v>111267</v>
      </c>
      <c r="M799" s="356"/>
      <c r="N799" s="356"/>
      <c r="O799" s="356"/>
      <c r="P799" s="356"/>
      <c r="Q799" s="610"/>
      <c r="R799" s="1228"/>
      <c r="S799" s="308"/>
      <c r="T799" s="308"/>
      <c r="U799" s="308"/>
      <c r="V799" s="308"/>
      <c r="W799" s="308"/>
      <c r="X799" s="308"/>
      <c r="Y799" s="308"/>
      <c r="Z799" s="604"/>
      <c r="AA799" s="308"/>
      <c r="AB799" s="308"/>
      <c r="AC799" s="454"/>
      <c r="AD799" s="454"/>
      <c r="AE799" s="454"/>
      <c r="AF799" s="454"/>
      <c r="AG799" s="454"/>
      <c r="AH799" s="454"/>
      <c r="AI799" s="454"/>
      <c r="AJ799" s="454"/>
      <c r="AK799" s="455"/>
      <c r="AL799" s="1263"/>
      <c r="AM799" s="1263"/>
      <c r="AN799" s="1263"/>
      <c r="AO799" s="1263"/>
      <c r="AP799" s="1263"/>
      <c r="AQ799" s="1263"/>
      <c r="AR799" s="1263"/>
      <c r="AS799" s="1264"/>
      <c r="AT799" s="1264"/>
      <c r="AU799" s="1264"/>
      <c r="AV799" s="1264"/>
      <c r="AW799" s="1264"/>
      <c r="AX799" s="1264"/>
      <c r="AY799" s="1264"/>
      <c r="AZ799" s="1264"/>
      <c r="BA799" s="1264"/>
      <c r="BB799" s="1264"/>
      <c r="BC799" s="1264"/>
      <c r="BD799" s="1264"/>
      <c r="BE799" s="1264"/>
      <c r="BF799" s="1264"/>
      <c r="BG799" s="1264"/>
      <c r="BH799" s="1264"/>
      <c r="BI799" s="1264"/>
      <c r="BJ799" s="1264"/>
      <c r="BK799" s="1264"/>
      <c r="BL799" s="1264"/>
      <c r="BM799" s="1264"/>
      <c r="BN799" s="1264"/>
      <c r="BO799" s="1264"/>
      <c r="BP799" s="1265"/>
      <c r="BQ799" s="1265"/>
      <c r="BR799" s="1265"/>
      <c r="BS799" s="1265"/>
      <c r="BT799" s="1265"/>
      <c r="BU799" s="1265"/>
      <c r="BV799" s="1265"/>
      <c r="BW799" s="1265"/>
      <c r="BX799" s="1265"/>
      <c r="BY799" s="1265"/>
      <c r="BZ799" s="1265"/>
      <c r="CA799" s="1265"/>
      <c r="CB799" s="1265"/>
      <c r="CC799" s="1265"/>
      <c r="CD799" s="1265"/>
      <c r="CE799" s="1265"/>
      <c r="CF799" s="1265"/>
      <c r="CG799" s="1265"/>
      <c r="CH799" s="1265"/>
      <c r="CI799" s="1265"/>
      <c r="CJ799" s="1265"/>
      <c r="CK799" s="1265"/>
      <c r="CL799" s="1265"/>
      <c r="CM799" s="1265"/>
      <c r="CN799" s="1265"/>
      <c r="CO799" s="1265"/>
      <c r="CP799" s="1265"/>
      <c r="CQ799" s="1265"/>
      <c r="CR799" s="1265"/>
      <c r="CS799" s="1265"/>
      <c r="CT799" s="1265"/>
      <c r="CU799" s="1265"/>
      <c r="CV799" s="1265"/>
      <c r="CW799" s="1265"/>
      <c r="CX799" s="1265"/>
      <c r="CY799" s="1265"/>
      <c r="CZ799" s="1265"/>
      <c r="DA799" s="1265"/>
      <c r="DB799" s="1265"/>
      <c r="DC799" s="1265"/>
      <c r="DD799" s="1265"/>
      <c r="DE799" s="1265"/>
      <c r="DF799" s="1265"/>
      <c r="DG799" s="1265"/>
      <c r="DH799" s="1265"/>
      <c r="DI799" s="1265"/>
      <c r="DJ799" s="1265"/>
      <c r="DK799" s="1265"/>
      <c r="DL799" s="1265"/>
      <c r="DM799" s="1265"/>
      <c r="DN799" s="1265"/>
      <c r="DO799" s="1265"/>
      <c r="DP799" s="1265"/>
      <c r="DQ799" s="1265"/>
      <c r="DR799" s="1265"/>
      <c r="DS799" s="1265"/>
      <c r="DT799" s="1265"/>
      <c r="DU799" s="1265"/>
      <c r="DV799" s="1265"/>
      <c r="DW799" s="1265"/>
      <c r="DX799" s="1265"/>
      <c r="DY799" s="1265"/>
      <c r="DZ799" s="1265"/>
      <c r="EA799" s="1265"/>
      <c r="EB799" s="1265"/>
      <c r="EC799" s="1265"/>
      <c r="ED799" s="1265"/>
      <c r="EE799" s="1265"/>
      <c r="EF799" s="1265"/>
      <c r="EG799" s="1265"/>
      <c r="EH799" s="1265"/>
      <c r="EI799" s="1265"/>
      <c r="EJ799" s="1265"/>
      <c r="EK799" s="1265"/>
      <c r="EL799" s="1265"/>
      <c r="EM799" s="1265"/>
      <c r="EN799" s="1265"/>
      <c r="EO799" s="1265"/>
      <c r="EP799" s="1265"/>
      <c r="EQ799" s="1265"/>
      <c r="ER799" s="1265"/>
      <c r="ES799" s="1265"/>
      <c r="ET799" s="1265"/>
      <c r="EU799" s="1265"/>
      <c r="EV799" s="1265"/>
      <c r="EW799" s="1265"/>
      <c r="EX799" s="1265"/>
      <c r="EY799" s="1265"/>
      <c r="EZ799" s="1265"/>
      <c r="FA799" s="1265"/>
      <c r="FB799" s="1265"/>
      <c r="FC799" s="1265"/>
      <c r="FD799" s="1265"/>
      <c r="FE799" s="1265"/>
      <c r="FF799" s="1265"/>
      <c r="FG799" s="1265"/>
      <c r="FH799" s="1265"/>
      <c r="FI799" s="1265"/>
      <c r="FJ799" s="1265"/>
      <c r="FK799" s="1265"/>
      <c r="FL799" s="1265"/>
      <c r="FM799" s="1265"/>
      <c r="FN799" s="1265"/>
      <c r="FO799" s="1265"/>
      <c r="FP799" s="1265"/>
      <c r="FQ799" s="1265"/>
      <c r="FR799" s="1265"/>
      <c r="FS799" s="1265"/>
      <c r="FT799" s="1265"/>
      <c r="FU799" s="1265"/>
      <c r="FV799" s="1265"/>
      <c r="FW799" s="1265"/>
      <c r="FX799" s="1265"/>
      <c r="FY799" s="1265"/>
      <c r="FZ799" s="1265"/>
      <c r="GA799" s="1265"/>
      <c r="GB799" s="1265"/>
      <c r="GC799" s="1265"/>
      <c r="GD799" s="1265"/>
      <c r="GE799" s="1265"/>
      <c r="GF799" s="1265"/>
      <c r="GG799" s="1265"/>
      <c r="GH799" s="1265"/>
      <c r="GI799" s="1265"/>
      <c r="GJ799" s="1265"/>
      <c r="GK799" s="1265"/>
      <c r="GL799" s="1265"/>
      <c r="GM799" s="1265"/>
      <c r="GN799" s="1265"/>
      <c r="GO799" s="1265"/>
      <c r="GP799" s="1265"/>
      <c r="GQ799" s="1265"/>
      <c r="GR799" s="1265"/>
      <c r="GS799" s="1265"/>
      <c r="GT799" s="1265"/>
      <c r="GU799" s="1265"/>
      <c r="GV799" s="1265"/>
      <c r="GW799" s="1265"/>
      <c r="GX799" s="1265"/>
      <c r="GY799" s="1265"/>
      <c r="GZ799" s="1265"/>
      <c r="HA799" s="1265"/>
      <c r="HB799" s="1265"/>
      <c r="HC799" s="1265"/>
      <c r="HD799" s="1265"/>
      <c r="HE799" s="1265"/>
      <c r="HF799" s="1265"/>
      <c r="HG799" s="1265"/>
      <c r="HH799" s="1265"/>
      <c r="HI799" s="1265"/>
      <c r="HJ799" s="1265"/>
      <c r="HK799" s="1265"/>
      <c r="HL799" s="1265"/>
      <c r="HM799" s="1265"/>
      <c r="HN799" s="1265"/>
      <c r="HO799" s="1265"/>
      <c r="HP799" s="1265"/>
      <c r="HQ799" s="1265"/>
      <c r="HR799" s="1265"/>
      <c r="HS799" s="1265"/>
      <c r="HT799" s="1265"/>
      <c r="HU799" s="1265"/>
      <c r="HV799" s="1265"/>
      <c r="HW799" s="1265"/>
      <c r="HX799" s="1265"/>
      <c r="HY799" s="1265"/>
      <c r="HZ799" s="1265"/>
      <c r="IA799" s="1265"/>
      <c r="IB799" s="1265"/>
      <c r="IC799" s="1265"/>
      <c r="ID799" s="1265"/>
      <c r="IE799" s="1265"/>
      <c r="IF799" s="1265"/>
      <c r="IG799" s="1265"/>
      <c r="IH799" s="1265"/>
      <c r="II799" s="1265"/>
      <c r="IJ799" s="1265"/>
      <c r="IK799" s="1265"/>
      <c r="IL799" s="1265"/>
      <c r="IM799" s="1265"/>
      <c r="IN799" s="1265"/>
      <c r="IO799" s="1265"/>
      <c r="IP799" s="1265"/>
      <c r="IQ799" s="1265"/>
      <c r="IR799" s="1265"/>
      <c r="IS799" s="1265"/>
      <c r="IT799" s="1265"/>
      <c r="IU799" s="1265"/>
      <c r="IV799" s="1265"/>
      <c r="IW799" s="1265"/>
      <c r="IX799" s="1265"/>
      <c r="IY799" s="1265"/>
      <c r="IZ799" s="1265"/>
      <c r="JA799" s="1265"/>
      <c r="JB799" s="1265"/>
      <c r="JC799" s="1265"/>
      <c r="JD799" s="1265"/>
      <c r="JE799" s="1265"/>
      <c r="JF799" s="1265"/>
      <c r="JG799" s="1265"/>
      <c r="JH799" s="1265"/>
      <c r="JI799" s="1265"/>
      <c r="JJ799" s="1265"/>
      <c r="JK799" s="1265"/>
      <c r="JL799" s="1265"/>
      <c r="JM799" s="1265"/>
      <c r="JN799" s="1265"/>
      <c r="JO799" s="1265"/>
      <c r="JP799" s="1265"/>
      <c r="JQ799" s="1265"/>
      <c r="JR799" s="1265"/>
      <c r="JS799" s="1265"/>
      <c r="JT799" s="1265"/>
      <c r="JU799" s="1265"/>
      <c r="JV799" s="1265"/>
      <c r="JW799" s="1265"/>
      <c r="JX799" s="1265"/>
      <c r="JY799" s="1265"/>
      <c r="JZ799" s="1265"/>
      <c r="KA799" s="1265"/>
      <c r="KB799" s="1265"/>
      <c r="KC799" s="1265"/>
      <c r="KD799" s="1265"/>
      <c r="KE799" s="1265"/>
      <c r="KF799" s="1265"/>
      <c r="KG799" s="1265"/>
      <c r="KH799" s="1265"/>
      <c r="KI799" s="1265"/>
      <c r="KJ799" s="1265"/>
      <c r="KK799" s="1265"/>
      <c r="KL799" s="1265"/>
      <c r="KM799" s="1265"/>
      <c r="KN799" s="1265"/>
      <c r="KO799" s="1265"/>
      <c r="KP799" s="1265"/>
      <c r="KQ799" s="1265"/>
      <c r="KR799" s="1265"/>
      <c r="KS799" s="1265"/>
      <c r="KT799" s="1265"/>
      <c r="KU799" s="1265"/>
      <c r="KV799" s="1265"/>
      <c r="KW799" s="1265"/>
      <c r="KX799" s="1265"/>
      <c r="KY799" s="1265"/>
      <c r="KZ799" s="1265"/>
      <c r="LA799" s="1265"/>
      <c r="LB799" s="1265"/>
      <c r="LC799" s="1265"/>
      <c r="LD799" s="1265"/>
      <c r="LE799" s="1265"/>
      <c r="LF799" s="1265"/>
      <c r="LG799" s="1265"/>
      <c r="LH799" s="1265"/>
      <c r="LI799" s="1265"/>
      <c r="LJ799" s="1265"/>
      <c r="LK799" s="1265"/>
      <c r="LL799" s="1265"/>
      <c r="LM799" s="1265"/>
      <c r="LN799" s="1265"/>
      <c r="LO799" s="1265"/>
      <c r="LP799" s="1265"/>
      <c r="LQ799" s="1265"/>
      <c r="LR799" s="1265"/>
      <c r="LS799" s="1265"/>
      <c r="LT799" s="1265"/>
      <c r="LU799" s="1265"/>
      <c r="LV799" s="1265"/>
      <c r="LW799" s="1265"/>
      <c r="LX799" s="1265"/>
      <c r="LY799" s="1265"/>
      <c r="LZ799" s="1265"/>
      <c r="MA799" s="1265"/>
      <c r="MB799" s="1265"/>
      <c r="MC799" s="1265"/>
      <c r="MD799" s="1265"/>
      <c r="ME799" s="1265"/>
      <c r="MF799" s="1265"/>
      <c r="MG799" s="1265"/>
      <c r="MH799" s="1265"/>
      <c r="MI799" s="1265"/>
      <c r="MJ799" s="1265"/>
      <c r="MK799" s="1265"/>
      <c r="ML799" s="1265"/>
      <c r="MM799" s="1265"/>
      <c r="MN799" s="1265"/>
      <c r="MO799" s="1265"/>
      <c r="MP799" s="1265"/>
      <c r="MQ799" s="1265"/>
      <c r="MR799" s="1265"/>
      <c r="MS799" s="1265"/>
      <c r="MT799" s="1265"/>
      <c r="MU799" s="1265"/>
      <c r="MV799" s="1265"/>
      <c r="MW799" s="1265"/>
      <c r="MX799" s="1265"/>
      <c r="MY799" s="1265"/>
      <c r="MZ799" s="1265"/>
      <c r="NA799" s="1265"/>
      <c r="NB799" s="1265"/>
      <c r="NC799" s="1265"/>
      <c r="ND799" s="1265"/>
      <c r="NE799" s="1265"/>
      <c r="NF799" s="1265"/>
      <c r="NG799" s="1265"/>
      <c r="NH799" s="1265"/>
      <c r="NI799" s="1265"/>
      <c r="NJ799" s="1265"/>
      <c r="NK799" s="1265"/>
      <c r="NL799" s="1265"/>
      <c r="NM799" s="1265"/>
      <c r="NN799" s="1265"/>
      <c r="NO799" s="1265"/>
      <c r="NP799" s="1265"/>
      <c r="NQ799" s="1265"/>
      <c r="NR799" s="1265"/>
      <c r="NS799" s="1265"/>
      <c r="NT799" s="1265"/>
      <c r="NU799" s="1265"/>
      <c r="NV799" s="1265"/>
      <c r="NW799" s="1265"/>
      <c r="NX799" s="1265"/>
      <c r="NY799" s="1265"/>
      <c r="NZ799" s="1265"/>
      <c r="OA799" s="1265"/>
      <c r="OB799" s="1265"/>
      <c r="OC799" s="1265"/>
      <c r="OD799" s="1265"/>
      <c r="OE799" s="1265"/>
      <c r="OF799" s="1265"/>
      <c r="OG799" s="1265"/>
      <c r="OH799" s="1265"/>
      <c r="OI799" s="1265"/>
      <c r="OJ799" s="1265"/>
      <c r="OK799" s="1265"/>
      <c r="OL799" s="1265"/>
      <c r="OM799" s="1265"/>
      <c r="ON799" s="1265"/>
      <c r="OO799" s="1265"/>
      <c r="OP799" s="1265"/>
      <c r="OQ799" s="1265"/>
      <c r="OR799" s="1265"/>
      <c r="OS799" s="1265"/>
      <c r="OT799" s="1265"/>
      <c r="OU799" s="1265"/>
      <c r="OV799" s="1265"/>
      <c r="OW799" s="1265"/>
      <c r="OX799" s="1265"/>
      <c r="OY799" s="1265"/>
      <c r="OZ799" s="1265"/>
      <c r="PA799" s="1265"/>
      <c r="PB799" s="1265"/>
      <c r="PC799" s="1265"/>
      <c r="PD799" s="1265"/>
      <c r="PE799" s="1265"/>
      <c r="PF799" s="1265"/>
      <c r="PG799" s="1265"/>
      <c r="PH799" s="1265"/>
      <c r="PI799" s="1265"/>
      <c r="PJ799" s="1265"/>
      <c r="PK799" s="1265"/>
      <c r="PL799" s="1265"/>
      <c r="PM799" s="1265"/>
      <c r="PN799" s="1265"/>
      <c r="PO799" s="1265"/>
      <c r="PP799" s="1265"/>
      <c r="PQ799" s="1265"/>
      <c r="PR799" s="1265"/>
      <c r="PS799" s="1265"/>
      <c r="PT799" s="1265"/>
      <c r="PU799" s="1265"/>
      <c r="PV799" s="1265"/>
      <c r="PW799" s="1265"/>
      <c r="PX799" s="1265"/>
      <c r="PY799" s="1265"/>
      <c r="PZ799" s="1265"/>
      <c r="QA799" s="1265"/>
      <c r="QB799" s="1265"/>
      <c r="QC799" s="1265"/>
      <c r="QD799" s="1265"/>
      <c r="QE799" s="1265"/>
      <c r="QF799" s="1265"/>
      <c r="QG799" s="1265"/>
      <c r="QH799" s="1265"/>
      <c r="QI799" s="1265"/>
      <c r="QJ799" s="1265"/>
      <c r="QK799" s="1265"/>
      <c r="QL799" s="1265"/>
      <c r="QM799" s="1265"/>
      <c r="QN799" s="1265"/>
      <c r="QO799" s="1265"/>
      <c r="QP799" s="1265"/>
      <c r="QQ799" s="1265"/>
      <c r="QR799" s="1265"/>
      <c r="QS799" s="1265"/>
      <c r="QT799" s="1265"/>
      <c r="QU799" s="1265"/>
      <c r="QV799" s="1265"/>
      <c r="QW799" s="1265"/>
      <c r="QX799" s="1265"/>
      <c r="QY799" s="1265"/>
      <c r="QZ799" s="1265"/>
      <c r="RA799" s="1265"/>
      <c r="RB799" s="1265"/>
      <c r="RC799" s="1265"/>
      <c r="RD799" s="1265"/>
      <c r="RE799" s="1265"/>
      <c r="RF799" s="1265"/>
      <c r="RG799" s="1265"/>
      <c r="RH799" s="1265"/>
      <c r="RI799" s="1265"/>
      <c r="RJ799" s="1265"/>
      <c r="RK799" s="1265"/>
      <c r="RL799" s="1265"/>
      <c r="RM799" s="1265"/>
      <c r="RN799" s="1265"/>
      <c r="RO799" s="1265"/>
      <c r="RP799" s="1265"/>
      <c r="RQ799" s="1265"/>
      <c r="RR799" s="1265"/>
      <c r="RS799" s="1265"/>
      <c r="RT799" s="1265"/>
      <c r="RU799" s="1265"/>
      <c r="RV799" s="1265"/>
      <c r="RW799" s="1265"/>
      <c r="RX799" s="1265"/>
      <c r="RY799" s="1265"/>
      <c r="RZ799" s="1265"/>
      <c r="SA799" s="1265"/>
      <c r="SB799" s="1265"/>
      <c r="SC799" s="1265"/>
      <c r="SD799" s="1265"/>
      <c r="SE799" s="1265"/>
      <c r="SF799" s="1265"/>
      <c r="SG799" s="1265"/>
      <c r="SH799" s="1265"/>
      <c r="SI799" s="1265"/>
      <c r="SJ799" s="1265"/>
      <c r="SK799" s="1265"/>
      <c r="SL799" s="1265"/>
      <c r="SM799" s="1265"/>
      <c r="SN799" s="1265"/>
      <c r="SO799" s="1265"/>
      <c r="SP799" s="1265"/>
      <c r="SQ799" s="1265"/>
      <c r="SR799" s="1265"/>
      <c r="SS799" s="1265"/>
      <c r="ST799" s="1265"/>
      <c r="SU799" s="1265"/>
      <c r="SV799" s="1265"/>
      <c r="SW799" s="1265"/>
      <c r="SX799" s="1265"/>
      <c r="SY799" s="1265"/>
      <c r="SZ799" s="1265"/>
      <c r="TA799" s="1265"/>
      <c r="TB799" s="1265"/>
      <c r="TC799" s="1265"/>
      <c r="TD799" s="1265"/>
      <c r="TE799" s="1265"/>
      <c r="TF799" s="1265"/>
      <c r="TG799" s="1265"/>
      <c r="TH799" s="1265"/>
      <c r="TI799" s="1265"/>
      <c r="TJ799" s="1265"/>
      <c r="TK799" s="1265"/>
      <c r="TL799" s="1265"/>
      <c r="TM799" s="1265"/>
      <c r="TN799" s="1265"/>
      <c r="TO799" s="1265"/>
      <c r="TP799" s="1265"/>
      <c r="TQ799" s="1265"/>
      <c r="TR799" s="1265"/>
      <c r="TS799" s="1265"/>
      <c r="TT799" s="1265"/>
      <c r="TU799" s="1265"/>
      <c r="TV799" s="1265"/>
      <c r="TW799" s="1265"/>
      <c r="TX799" s="1265"/>
      <c r="TY799" s="1265"/>
      <c r="TZ799" s="1265"/>
      <c r="UA799" s="1265"/>
      <c r="UB799" s="1265"/>
      <c r="UC799" s="1265"/>
      <c r="UD799" s="1265"/>
      <c r="UE799" s="1265"/>
      <c r="UF799" s="1265"/>
      <c r="UG799" s="1266"/>
    </row>
    <row r="800" spans="1:553" s="1262" customFormat="1" ht="30.75" customHeight="1">
      <c r="A800" s="436"/>
      <c r="B800" s="436"/>
      <c r="C800" s="1411" t="s">
        <v>1138</v>
      </c>
      <c r="D800" s="1411" t="s">
        <v>1139</v>
      </c>
      <c r="E800" s="1411" t="s">
        <v>1139</v>
      </c>
      <c r="F800" s="1411" t="s">
        <v>1139</v>
      </c>
      <c r="G800" s="303" t="s">
        <v>193</v>
      </c>
      <c r="H800" s="652"/>
      <c r="I800" s="607">
        <f>(20.51*100/400)*(12-(10-3))*1</f>
        <v>25.637500000000003</v>
      </c>
      <c r="J800" s="1243">
        <v>3100</v>
      </c>
      <c r="K800" s="656">
        <v>0.7</v>
      </c>
      <c r="L800" s="993">
        <f t="shared" si="119"/>
        <v>55633</v>
      </c>
      <c r="M800" s="356"/>
      <c r="N800" s="356"/>
      <c r="O800" s="356"/>
      <c r="P800" s="356"/>
      <c r="Q800" s="610"/>
      <c r="R800" s="1228"/>
      <c r="S800" s="308"/>
      <c r="T800" s="308"/>
      <c r="U800" s="308"/>
      <c r="V800" s="308"/>
      <c r="W800" s="308"/>
      <c r="X800" s="308"/>
      <c r="Y800" s="308"/>
      <c r="Z800" s="604"/>
      <c r="AA800" s="308"/>
      <c r="AB800" s="308"/>
      <c r="AC800" s="454"/>
      <c r="AD800" s="454"/>
      <c r="AE800" s="454"/>
      <c r="AF800" s="454"/>
      <c r="AG800" s="454"/>
      <c r="AH800" s="454"/>
      <c r="AI800" s="454"/>
      <c r="AJ800" s="454"/>
      <c r="AK800" s="455"/>
      <c r="AL800" s="1263"/>
      <c r="AM800" s="1263"/>
      <c r="AN800" s="1263"/>
      <c r="AO800" s="1263"/>
      <c r="AP800" s="1263"/>
      <c r="AQ800" s="1263"/>
      <c r="AR800" s="1263"/>
      <c r="AS800" s="1264"/>
      <c r="AT800" s="1264"/>
      <c r="AU800" s="1264"/>
      <c r="AV800" s="1264"/>
      <c r="AW800" s="1264"/>
      <c r="AX800" s="1264"/>
      <c r="AY800" s="1264"/>
      <c r="AZ800" s="1264"/>
      <c r="BA800" s="1264"/>
      <c r="BB800" s="1264"/>
      <c r="BC800" s="1264"/>
      <c r="BD800" s="1264"/>
      <c r="BE800" s="1264"/>
      <c r="BF800" s="1264"/>
      <c r="BG800" s="1264"/>
      <c r="BH800" s="1264"/>
      <c r="BI800" s="1264"/>
      <c r="BJ800" s="1264"/>
      <c r="BK800" s="1264"/>
      <c r="BL800" s="1264"/>
      <c r="BM800" s="1264"/>
      <c r="BN800" s="1264"/>
      <c r="BO800" s="1264"/>
      <c r="BP800" s="1265"/>
      <c r="BQ800" s="1265"/>
      <c r="BR800" s="1265"/>
      <c r="BS800" s="1265"/>
      <c r="BT800" s="1265"/>
      <c r="BU800" s="1265"/>
      <c r="BV800" s="1265"/>
      <c r="BW800" s="1265"/>
      <c r="BX800" s="1265"/>
      <c r="BY800" s="1265"/>
      <c r="BZ800" s="1265"/>
      <c r="CA800" s="1265"/>
      <c r="CB800" s="1265"/>
      <c r="CC800" s="1265"/>
      <c r="CD800" s="1265"/>
      <c r="CE800" s="1265"/>
      <c r="CF800" s="1265"/>
      <c r="CG800" s="1265"/>
      <c r="CH800" s="1265"/>
      <c r="CI800" s="1265"/>
      <c r="CJ800" s="1265"/>
      <c r="CK800" s="1265"/>
      <c r="CL800" s="1265"/>
      <c r="CM800" s="1265"/>
      <c r="CN800" s="1265"/>
      <c r="CO800" s="1265"/>
      <c r="CP800" s="1265"/>
      <c r="CQ800" s="1265"/>
      <c r="CR800" s="1265"/>
      <c r="CS800" s="1265"/>
      <c r="CT800" s="1265"/>
      <c r="CU800" s="1265"/>
      <c r="CV800" s="1265"/>
      <c r="CW800" s="1265"/>
      <c r="CX800" s="1265"/>
      <c r="CY800" s="1265"/>
      <c r="CZ800" s="1265"/>
      <c r="DA800" s="1265"/>
      <c r="DB800" s="1265"/>
      <c r="DC800" s="1265"/>
      <c r="DD800" s="1265"/>
      <c r="DE800" s="1265"/>
      <c r="DF800" s="1265"/>
      <c r="DG800" s="1265"/>
      <c r="DH800" s="1265"/>
      <c r="DI800" s="1265"/>
      <c r="DJ800" s="1265"/>
      <c r="DK800" s="1265"/>
      <c r="DL800" s="1265"/>
      <c r="DM800" s="1265"/>
      <c r="DN800" s="1265"/>
      <c r="DO800" s="1265"/>
      <c r="DP800" s="1265"/>
      <c r="DQ800" s="1265"/>
      <c r="DR800" s="1265"/>
      <c r="DS800" s="1265"/>
      <c r="DT800" s="1265"/>
      <c r="DU800" s="1265"/>
      <c r="DV800" s="1265"/>
      <c r="DW800" s="1265"/>
      <c r="DX800" s="1265"/>
      <c r="DY800" s="1265"/>
      <c r="DZ800" s="1265"/>
      <c r="EA800" s="1265"/>
      <c r="EB800" s="1265"/>
      <c r="EC800" s="1265"/>
      <c r="ED800" s="1265"/>
      <c r="EE800" s="1265"/>
      <c r="EF800" s="1265"/>
      <c r="EG800" s="1265"/>
      <c r="EH800" s="1265"/>
      <c r="EI800" s="1265"/>
      <c r="EJ800" s="1265"/>
      <c r="EK800" s="1265"/>
      <c r="EL800" s="1265"/>
      <c r="EM800" s="1265"/>
      <c r="EN800" s="1265"/>
      <c r="EO800" s="1265"/>
      <c r="EP800" s="1265"/>
      <c r="EQ800" s="1265"/>
      <c r="ER800" s="1265"/>
      <c r="ES800" s="1265"/>
      <c r="ET800" s="1265"/>
      <c r="EU800" s="1265"/>
      <c r="EV800" s="1265"/>
      <c r="EW800" s="1265"/>
      <c r="EX800" s="1265"/>
      <c r="EY800" s="1265"/>
      <c r="EZ800" s="1265"/>
      <c r="FA800" s="1265"/>
      <c r="FB800" s="1265"/>
      <c r="FC800" s="1265"/>
      <c r="FD800" s="1265"/>
      <c r="FE800" s="1265"/>
      <c r="FF800" s="1265"/>
      <c r="FG800" s="1265"/>
      <c r="FH800" s="1265"/>
      <c r="FI800" s="1265"/>
      <c r="FJ800" s="1265"/>
      <c r="FK800" s="1265"/>
      <c r="FL800" s="1265"/>
      <c r="FM800" s="1265"/>
      <c r="FN800" s="1265"/>
      <c r="FO800" s="1265"/>
      <c r="FP800" s="1265"/>
      <c r="FQ800" s="1265"/>
      <c r="FR800" s="1265"/>
      <c r="FS800" s="1265"/>
      <c r="FT800" s="1265"/>
      <c r="FU800" s="1265"/>
      <c r="FV800" s="1265"/>
      <c r="FW800" s="1265"/>
      <c r="FX800" s="1265"/>
      <c r="FY800" s="1265"/>
      <c r="FZ800" s="1265"/>
      <c r="GA800" s="1265"/>
      <c r="GB800" s="1265"/>
      <c r="GC800" s="1265"/>
      <c r="GD800" s="1265"/>
      <c r="GE800" s="1265"/>
      <c r="GF800" s="1265"/>
      <c r="GG800" s="1265"/>
      <c r="GH800" s="1265"/>
      <c r="GI800" s="1265"/>
      <c r="GJ800" s="1265"/>
      <c r="GK800" s="1265"/>
      <c r="GL800" s="1265"/>
      <c r="GM800" s="1265"/>
      <c r="GN800" s="1265"/>
      <c r="GO800" s="1265"/>
      <c r="GP800" s="1265"/>
      <c r="GQ800" s="1265"/>
      <c r="GR800" s="1265"/>
      <c r="GS800" s="1265"/>
      <c r="GT800" s="1265"/>
      <c r="GU800" s="1265"/>
      <c r="GV800" s="1265"/>
      <c r="GW800" s="1265"/>
      <c r="GX800" s="1265"/>
      <c r="GY800" s="1265"/>
      <c r="GZ800" s="1265"/>
      <c r="HA800" s="1265"/>
      <c r="HB800" s="1265"/>
      <c r="HC800" s="1265"/>
      <c r="HD800" s="1265"/>
      <c r="HE800" s="1265"/>
      <c r="HF800" s="1265"/>
      <c r="HG800" s="1265"/>
      <c r="HH800" s="1265"/>
      <c r="HI800" s="1265"/>
      <c r="HJ800" s="1265"/>
      <c r="HK800" s="1265"/>
      <c r="HL800" s="1265"/>
      <c r="HM800" s="1265"/>
      <c r="HN800" s="1265"/>
      <c r="HO800" s="1265"/>
      <c r="HP800" s="1265"/>
      <c r="HQ800" s="1265"/>
      <c r="HR800" s="1265"/>
      <c r="HS800" s="1265"/>
      <c r="HT800" s="1265"/>
      <c r="HU800" s="1265"/>
      <c r="HV800" s="1265"/>
      <c r="HW800" s="1265"/>
      <c r="HX800" s="1265"/>
      <c r="HY800" s="1265"/>
      <c r="HZ800" s="1265"/>
      <c r="IA800" s="1265"/>
      <c r="IB800" s="1265"/>
      <c r="IC800" s="1265"/>
      <c r="ID800" s="1265"/>
      <c r="IE800" s="1265"/>
      <c r="IF800" s="1265"/>
      <c r="IG800" s="1265"/>
      <c r="IH800" s="1265"/>
      <c r="II800" s="1265"/>
      <c r="IJ800" s="1265"/>
      <c r="IK800" s="1265"/>
      <c r="IL800" s="1265"/>
      <c r="IM800" s="1265"/>
      <c r="IN800" s="1265"/>
      <c r="IO800" s="1265"/>
      <c r="IP800" s="1265"/>
      <c r="IQ800" s="1265"/>
      <c r="IR800" s="1265"/>
      <c r="IS800" s="1265"/>
      <c r="IT800" s="1265"/>
      <c r="IU800" s="1265"/>
      <c r="IV800" s="1265"/>
      <c r="IW800" s="1265"/>
      <c r="IX800" s="1265"/>
      <c r="IY800" s="1265"/>
      <c r="IZ800" s="1265"/>
      <c r="JA800" s="1265"/>
      <c r="JB800" s="1265"/>
      <c r="JC800" s="1265"/>
      <c r="JD800" s="1265"/>
      <c r="JE800" s="1265"/>
      <c r="JF800" s="1265"/>
      <c r="JG800" s="1265"/>
      <c r="JH800" s="1265"/>
      <c r="JI800" s="1265"/>
      <c r="JJ800" s="1265"/>
      <c r="JK800" s="1265"/>
      <c r="JL800" s="1265"/>
      <c r="JM800" s="1265"/>
      <c r="JN800" s="1265"/>
      <c r="JO800" s="1265"/>
      <c r="JP800" s="1265"/>
      <c r="JQ800" s="1265"/>
      <c r="JR800" s="1265"/>
      <c r="JS800" s="1265"/>
      <c r="JT800" s="1265"/>
      <c r="JU800" s="1265"/>
      <c r="JV800" s="1265"/>
      <c r="JW800" s="1265"/>
      <c r="JX800" s="1265"/>
      <c r="JY800" s="1265"/>
      <c r="JZ800" s="1265"/>
      <c r="KA800" s="1265"/>
      <c r="KB800" s="1265"/>
      <c r="KC800" s="1265"/>
      <c r="KD800" s="1265"/>
      <c r="KE800" s="1265"/>
      <c r="KF800" s="1265"/>
      <c r="KG800" s="1265"/>
      <c r="KH800" s="1265"/>
      <c r="KI800" s="1265"/>
      <c r="KJ800" s="1265"/>
      <c r="KK800" s="1265"/>
      <c r="KL800" s="1265"/>
      <c r="KM800" s="1265"/>
      <c r="KN800" s="1265"/>
      <c r="KO800" s="1265"/>
      <c r="KP800" s="1265"/>
      <c r="KQ800" s="1265"/>
      <c r="KR800" s="1265"/>
      <c r="KS800" s="1265"/>
      <c r="KT800" s="1265"/>
      <c r="KU800" s="1265"/>
      <c r="KV800" s="1265"/>
      <c r="KW800" s="1265"/>
      <c r="KX800" s="1265"/>
      <c r="KY800" s="1265"/>
      <c r="KZ800" s="1265"/>
      <c r="LA800" s="1265"/>
      <c r="LB800" s="1265"/>
      <c r="LC800" s="1265"/>
      <c r="LD800" s="1265"/>
      <c r="LE800" s="1265"/>
      <c r="LF800" s="1265"/>
      <c r="LG800" s="1265"/>
      <c r="LH800" s="1265"/>
      <c r="LI800" s="1265"/>
      <c r="LJ800" s="1265"/>
      <c r="LK800" s="1265"/>
      <c r="LL800" s="1265"/>
      <c r="LM800" s="1265"/>
      <c r="LN800" s="1265"/>
      <c r="LO800" s="1265"/>
      <c r="LP800" s="1265"/>
      <c r="LQ800" s="1265"/>
      <c r="LR800" s="1265"/>
      <c r="LS800" s="1265"/>
      <c r="LT800" s="1265"/>
      <c r="LU800" s="1265"/>
      <c r="LV800" s="1265"/>
      <c r="LW800" s="1265"/>
      <c r="LX800" s="1265"/>
      <c r="LY800" s="1265"/>
      <c r="LZ800" s="1265"/>
      <c r="MA800" s="1265"/>
      <c r="MB800" s="1265"/>
      <c r="MC800" s="1265"/>
      <c r="MD800" s="1265"/>
      <c r="ME800" s="1265"/>
      <c r="MF800" s="1265"/>
      <c r="MG800" s="1265"/>
      <c r="MH800" s="1265"/>
      <c r="MI800" s="1265"/>
      <c r="MJ800" s="1265"/>
      <c r="MK800" s="1265"/>
      <c r="ML800" s="1265"/>
      <c r="MM800" s="1265"/>
      <c r="MN800" s="1265"/>
      <c r="MO800" s="1265"/>
      <c r="MP800" s="1265"/>
      <c r="MQ800" s="1265"/>
      <c r="MR800" s="1265"/>
      <c r="MS800" s="1265"/>
      <c r="MT800" s="1265"/>
      <c r="MU800" s="1265"/>
      <c r="MV800" s="1265"/>
      <c r="MW800" s="1265"/>
      <c r="MX800" s="1265"/>
      <c r="MY800" s="1265"/>
      <c r="MZ800" s="1265"/>
      <c r="NA800" s="1265"/>
      <c r="NB800" s="1265"/>
      <c r="NC800" s="1265"/>
      <c r="ND800" s="1265"/>
      <c r="NE800" s="1265"/>
      <c r="NF800" s="1265"/>
      <c r="NG800" s="1265"/>
      <c r="NH800" s="1265"/>
      <c r="NI800" s="1265"/>
      <c r="NJ800" s="1265"/>
      <c r="NK800" s="1265"/>
      <c r="NL800" s="1265"/>
      <c r="NM800" s="1265"/>
      <c r="NN800" s="1265"/>
      <c r="NO800" s="1265"/>
      <c r="NP800" s="1265"/>
      <c r="NQ800" s="1265"/>
      <c r="NR800" s="1265"/>
      <c r="NS800" s="1265"/>
      <c r="NT800" s="1265"/>
      <c r="NU800" s="1265"/>
      <c r="NV800" s="1265"/>
      <c r="NW800" s="1265"/>
      <c r="NX800" s="1265"/>
      <c r="NY800" s="1265"/>
      <c r="NZ800" s="1265"/>
      <c r="OA800" s="1265"/>
      <c r="OB800" s="1265"/>
      <c r="OC800" s="1265"/>
      <c r="OD800" s="1265"/>
      <c r="OE800" s="1265"/>
      <c r="OF800" s="1265"/>
      <c r="OG800" s="1265"/>
      <c r="OH800" s="1265"/>
      <c r="OI800" s="1265"/>
      <c r="OJ800" s="1265"/>
      <c r="OK800" s="1265"/>
      <c r="OL800" s="1265"/>
      <c r="OM800" s="1265"/>
      <c r="ON800" s="1265"/>
      <c r="OO800" s="1265"/>
      <c r="OP800" s="1265"/>
      <c r="OQ800" s="1265"/>
      <c r="OR800" s="1265"/>
      <c r="OS800" s="1265"/>
      <c r="OT800" s="1265"/>
      <c r="OU800" s="1265"/>
      <c r="OV800" s="1265"/>
      <c r="OW800" s="1265"/>
      <c r="OX800" s="1265"/>
      <c r="OY800" s="1265"/>
      <c r="OZ800" s="1265"/>
      <c r="PA800" s="1265"/>
      <c r="PB800" s="1265"/>
      <c r="PC800" s="1265"/>
      <c r="PD800" s="1265"/>
      <c r="PE800" s="1265"/>
      <c r="PF800" s="1265"/>
      <c r="PG800" s="1265"/>
      <c r="PH800" s="1265"/>
      <c r="PI800" s="1265"/>
      <c r="PJ800" s="1265"/>
      <c r="PK800" s="1265"/>
      <c r="PL800" s="1265"/>
      <c r="PM800" s="1265"/>
      <c r="PN800" s="1265"/>
      <c r="PO800" s="1265"/>
      <c r="PP800" s="1265"/>
      <c r="PQ800" s="1265"/>
      <c r="PR800" s="1265"/>
      <c r="PS800" s="1265"/>
      <c r="PT800" s="1265"/>
      <c r="PU800" s="1265"/>
      <c r="PV800" s="1265"/>
      <c r="PW800" s="1265"/>
      <c r="PX800" s="1265"/>
      <c r="PY800" s="1265"/>
      <c r="PZ800" s="1265"/>
      <c r="QA800" s="1265"/>
      <c r="QB800" s="1265"/>
      <c r="QC800" s="1265"/>
      <c r="QD800" s="1265"/>
      <c r="QE800" s="1265"/>
      <c r="QF800" s="1265"/>
      <c r="QG800" s="1265"/>
      <c r="QH800" s="1265"/>
      <c r="QI800" s="1265"/>
      <c r="QJ800" s="1265"/>
      <c r="QK800" s="1265"/>
      <c r="QL800" s="1265"/>
      <c r="QM800" s="1265"/>
      <c r="QN800" s="1265"/>
      <c r="QO800" s="1265"/>
      <c r="QP800" s="1265"/>
      <c r="QQ800" s="1265"/>
      <c r="QR800" s="1265"/>
      <c r="QS800" s="1265"/>
      <c r="QT800" s="1265"/>
      <c r="QU800" s="1265"/>
      <c r="QV800" s="1265"/>
      <c r="QW800" s="1265"/>
      <c r="QX800" s="1265"/>
      <c r="QY800" s="1265"/>
      <c r="QZ800" s="1265"/>
      <c r="RA800" s="1265"/>
      <c r="RB800" s="1265"/>
      <c r="RC800" s="1265"/>
      <c r="RD800" s="1265"/>
      <c r="RE800" s="1265"/>
      <c r="RF800" s="1265"/>
      <c r="RG800" s="1265"/>
      <c r="RH800" s="1265"/>
      <c r="RI800" s="1265"/>
      <c r="RJ800" s="1265"/>
      <c r="RK800" s="1265"/>
      <c r="RL800" s="1265"/>
      <c r="RM800" s="1265"/>
      <c r="RN800" s="1265"/>
      <c r="RO800" s="1265"/>
      <c r="RP800" s="1265"/>
      <c r="RQ800" s="1265"/>
      <c r="RR800" s="1265"/>
      <c r="RS800" s="1265"/>
      <c r="RT800" s="1265"/>
      <c r="RU800" s="1265"/>
      <c r="RV800" s="1265"/>
      <c r="RW800" s="1265"/>
      <c r="RX800" s="1265"/>
      <c r="RY800" s="1265"/>
      <c r="RZ800" s="1265"/>
      <c r="SA800" s="1265"/>
      <c r="SB800" s="1265"/>
      <c r="SC800" s="1265"/>
      <c r="SD800" s="1265"/>
      <c r="SE800" s="1265"/>
      <c r="SF800" s="1265"/>
      <c r="SG800" s="1265"/>
      <c r="SH800" s="1265"/>
      <c r="SI800" s="1265"/>
      <c r="SJ800" s="1265"/>
      <c r="SK800" s="1265"/>
      <c r="SL800" s="1265"/>
      <c r="SM800" s="1265"/>
      <c r="SN800" s="1265"/>
      <c r="SO800" s="1265"/>
      <c r="SP800" s="1265"/>
      <c r="SQ800" s="1265"/>
      <c r="SR800" s="1265"/>
      <c r="SS800" s="1265"/>
      <c r="ST800" s="1265"/>
      <c r="SU800" s="1265"/>
      <c r="SV800" s="1265"/>
      <c r="SW800" s="1265"/>
      <c r="SX800" s="1265"/>
      <c r="SY800" s="1265"/>
      <c r="SZ800" s="1265"/>
      <c r="TA800" s="1265"/>
      <c r="TB800" s="1265"/>
      <c r="TC800" s="1265"/>
      <c r="TD800" s="1265"/>
      <c r="TE800" s="1265"/>
      <c r="TF800" s="1265"/>
      <c r="TG800" s="1265"/>
      <c r="TH800" s="1265"/>
      <c r="TI800" s="1265"/>
      <c r="TJ800" s="1265"/>
      <c r="TK800" s="1265"/>
      <c r="TL800" s="1265"/>
      <c r="TM800" s="1265"/>
      <c r="TN800" s="1265"/>
      <c r="TO800" s="1265"/>
      <c r="TP800" s="1265"/>
      <c r="TQ800" s="1265"/>
      <c r="TR800" s="1265"/>
      <c r="TS800" s="1265"/>
      <c r="TT800" s="1265"/>
      <c r="TU800" s="1265"/>
      <c r="TV800" s="1265"/>
      <c r="TW800" s="1265"/>
      <c r="TX800" s="1265"/>
      <c r="TY800" s="1265"/>
      <c r="TZ800" s="1265"/>
      <c r="UA800" s="1265"/>
      <c r="UB800" s="1265"/>
      <c r="UC800" s="1265"/>
      <c r="UD800" s="1265"/>
      <c r="UE800" s="1265"/>
      <c r="UF800" s="1265"/>
      <c r="UG800" s="1266"/>
    </row>
    <row r="801" spans="1:553" s="1262" customFormat="1" ht="30.75" customHeight="1">
      <c r="A801" s="657"/>
      <c r="B801" s="657"/>
      <c r="C801" s="1436" t="s">
        <v>1140</v>
      </c>
      <c r="D801" s="1437" t="s">
        <v>1141</v>
      </c>
      <c r="E801" s="1437" t="s">
        <v>1141</v>
      </c>
      <c r="F801" s="1438" t="s">
        <v>1141</v>
      </c>
      <c r="G801" s="576" t="s">
        <v>196</v>
      </c>
      <c r="H801" s="658"/>
      <c r="I801" s="575">
        <f>(83.43*100/600)*((5-(4-2))*3)</f>
        <v>125.145</v>
      </c>
      <c r="J801" s="994">
        <v>3100</v>
      </c>
      <c r="K801" s="659">
        <v>0.7</v>
      </c>
      <c r="L801" s="1023">
        <f>ROUND(PRODUCT(I801:K801),0)</f>
        <v>271565</v>
      </c>
      <c r="M801" s="356"/>
      <c r="N801" s="356"/>
      <c r="O801" s="356"/>
      <c r="P801" s="356"/>
      <c r="Q801" s="610"/>
      <c r="R801" s="1228"/>
      <c r="S801" s="308"/>
      <c r="T801" s="308"/>
      <c r="U801" s="308"/>
      <c r="V801" s="308"/>
      <c r="W801" s="308"/>
      <c r="X801" s="308"/>
      <c r="Y801" s="308"/>
      <c r="Z801" s="604"/>
      <c r="AA801" s="308"/>
      <c r="AB801" s="308"/>
      <c r="AC801" s="454"/>
      <c r="AD801" s="454"/>
      <c r="AE801" s="454"/>
      <c r="AF801" s="454"/>
      <c r="AG801" s="454"/>
      <c r="AH801" s="454"/>
      <c r="AI801" s="454"/>
      <c r="AJ801" s="454"/>
      <c r="AK801" s="455"/>
      <c r="AL801" s="1263"/>
      <c r="AM801" s="1263"/>
      <c r="AN801" s="1263"/>
      <c r="AO801" s="1263"/>
      <c r="AP801" s="1263"/>
      <c r="AQ801" s="1263"/>
      <c r="AR801" s="1263"/>
      <c r="AS801" s="1264"/>
      <c r="AT801" s="1264"/>
      <c r="AU801" s="1264"/>
      <c r="AV801" s="1264"/>
      <c r="AW801" s="1264"/>
      <c r="AX801" s="1264"/>
      <c r="AY801" s="1264"/>
      <c r="AZ801" s="1264"/>
      <c r="BA801" s="1264"/>
      <c r="BB801" s="1264"/>
      <c r="BC801" s="1264"/>
      <c r="BD801" s="1264"/>
      <c r="BE801" s="1264"/>
      <c r="BF801" s="1264"/>
      <c r="BG801" s="1264"/>
      <c r="BH801" s="1264"/>
      <c r="BI801" s="1264"/>
      <c r="BJ801" s="1264"/>
      <c r="BK801" s="1264"/>
      <c r="BL801" s="1264"/>
      <c r="BM801" s="1264"/>
      <c r="BN801" s="1264"/>
      <c r="BO801" s="1264"/>
      <c r="BP801" s="1265"/>
      <c r="BQ801" s="1265"/>
      <c r="BR801" s="1265"/>
      <c r="BS801" s="1265"/>
      <c r="BT801" s="1265"/>
      <c r="BU801" s="1265"/>
      <c r="BV801" s="1265"/>
      <c r="BW801" s="1265"/>
      <c r="BX801" s="1265"/>
      <c r="BY801" s="1265"/>
      <c r="BZ801" s="1265"/>
      <c r="CA801" s="1265"/>
      <c r="CB801" s="1265"/>
      <c r="CC801" s="1265"/>
      <c r="CD801" s="1265"/>
      <c r="CE801" s="1265"/>
      <c r="CF801" s="1265"/>
      <c r="CG801" s="1265"/>
      <c r="CH801" s="1265"/>
      <c r="CI801" s="1265"/>
      <c r="CJ801" s="1265"/>
      <c r="CK801" s="1265"/>
      <c r="CL801" s="1265"/>
      <c r="CM801" s="1265"/>
      <c r="CN801" s="1265"/>
      <c r="CO801" s="1265"/>
      <c r="CP801" s="1265"/>
      <c r="CQ801" s="1265"/>
      <c r="CR801" s="1265"/>
      <c r="CS801" s="1265"/>
      <c r="CT801" s="1265"/>
      <c r="CU801" s="1265"/>
      <c r="CV801" s="1265"/>
      <c r="CW801" s="1265"/>
      <c r="CX801" s="1265"/>
      <c r="CY801" s="1265"/>
      <c r="CZ801" s="1265"/>
      <c r="DA801" s="1265"/>
      <c r="DB801" s="1265"/>
      <c r="DC801" s="1265"/>
      <c r="DD801" s="1265"/>
      <c r="DE801" s="1265"/>
      <c r="DF801" s="1265"/>
      <c r="DG801" s="1265"/>
      <c r="DH801" s="1265"/>
      <c r="DI801" s="1265"/>
      <c r="DJ801" s="1265"/>
      <c r="DK801" s="1265"/>
      <c r="DL801" s="1265"/>
      <c r="DM801" s="1265"/>
      <c r="DN801" s="1265"/>
      <c r="DO801" s="1265"/>
      <c r="DP801" s="1265"/>
      <c r="DQ801" s="1265"/>
      <c r="DR801" s="1265"/>
      <c r="DS801" s="1265"/>
      <c r="DT801" s="1265"/>
      <c r="DU801" s="1265"/>
      <c r="DV801" s="1265"/>
      <c r="DW801" s="1265"/>
      <c r="DX801" s="1265"/>
      <c r="DY801" s="1265"/>
      <c r="DZ801" s="1265"/>
      <c r="EA801" s="1265"/>
      <c r="EB801" s="1265"/>
      <c r="EC801" s="1265"/>
      <c r="ED801" s="1265"/>
      <c r="EE801" s="1265"/>
      <c r="EF801" s="1265"/>
      <c r="EG801" s="1265"/>
      <c r="EH801" s="1265"/>
      <c r="EI801" s="1265"/>
      <c r="EJ801" s="1265"/>
      <c r="EK801" s="1265"/>
      <c r="EL801" s="1265"/>
      <c r="EM801" s="1265"/>
      <c r="EN801" s="1265"/>
      <c r="EO801" s="1265"/>
      <c r="EP801" s="1265"/>
      <c r="EQ801" s="1265"/>
      <c r="ER801" s="1265"/>
      <c r="ES801" s="1265"/>
      <c r="ET801" s="1265"/>
      <c r="EU801" s="1265"/>
      <c r="EV801" s="1265"/>
      <c r="EW801" s="1265"/>
      <c r="EX801" s="1265"/>
      <c r="EY801" s="1265"/>
      <c r="EZ801" s="1265"/>
      <c r="FA801" s="1265"/>
      <c r="FB801" s="1265"/>
      <c r="FC801" s="1265"/>
      <c r="FD801" s="1265"/>
      <c r="FE801" s="1265"/>
      <c r="FF801" s="1265"/>
      <c r="FG801" s="1265"/>
      <c r="FH801" s="1265"/>
      <c r="FI801" s="1265"/>
      <c r="FJ801" s="1265"/>
      <c r="FK801" s="1265"/>
      <c r="FL801" s="1265"/>
      <c r="FM801" s="1265"/>
      <c r="FN801" s="1265"/>
      <c r="FO801" s="1265"/>
      <c r="FP801" s="1265"/>
      <c r="FQ801" s="1265"/>
      <c r="FR801" s="1265"/>
      <c r="FS801" s="1265"/>
      <c r="FT801" s="1265"/>
      <c r="FU801" s="1265"/>
      <c r="FV801" s="1265"/>
      <c r="FW801" s="1265"/>
      <c r="FX801" s="1265"/>
      <c r="FY801" s="1265"/>
      <c r="FZ801" s="1265"/>
      <c r="GA801" s="1265"/>
      <c r="GB801" s="1265"/>
      <c r="GC801" s="1265"/>
      <c r="GD801" s="1265"/>
      <c r="GE801" s="1265"/>
      <c r="GF801" s="1265"/>
      <c r="GG801" s="1265"/>
      <c r="GH801" s="1265"/>
      <c r="GI801" s="1265"/>
      <c r="GJ801" s="1265"/>
      <c r="GK801" s="1265"/>
      <c r="GL801" s="1265"/>
      <c r="GM801" s="1265"/>
      <c r="GN801" s="1265"/>
      <c r="GO801" s="1265"/>
      <c r="GP801" s="1265"/>
      <c r="GQ801" s="1265"/>
      <c r="GR801" s="1265"/>
      <c r="GS801" s="1265"/>
      <c r="GT801" s="1265"/>
      <c r="GU801" s="1265"/>
      <c r="GV801" s="1265"/>
      <c r="GW801" s="1265"/>
      <c r="GX801" s="1265"/>
      <c r="GY801" s="1265"/>
      <c r="GZ801" s="1265"/>
      <c r="HA801" s="1265"/>
      <c r="HB801" s="1265"/>
      <c r="HC801" s="1265"/>
      <c r="HD801" s="1265"/>
      <c r="HE801" s="1265"/>
      <c r="HF801" s="1265"/>
      <c r="HG801" s="1265"/>
      <c r="HH801" s="1265"/>
      <c r="HI801" s="1265"/>
      <c r="HJ801" s="1265"/>
      <c r="HK801" s="1265"/>
      <c r="HL801" s="1265"/>
      <c r="HM801" s="1265"/>
      <c r="HN801" s="1265"/>
      <c r="HO801" s="1265"/>
      <c r="HP801" s="1265"/>
      <c r="HQ801" s="1265"/>
      <c r="HR801" s="1265"/>
      <c r="HS801" s="1265"/>
      <c r="HT801" s="1265"/>
      <c r="HU801" s="1265"/>
      <c r="HV801" s="1265"/>
      <c r="HW801" s="1265"/>
      <c r="HX801" s="1265"/>
      <c r="HY801" s="1265"/>
      <c r="HZ801" s="1265"/>
      <c r="IA801" s="1265"/>
      <c r="IB801" s="1265"/>
      <c r="IC801" s="1265"/>
      <c r="ID801" s="1265"/>
      <c r="IE801" s="1265"/>
      <c r="IF801" s="1265"/>
      <c r="IG801" s="1265"/>
      <c r="IH801" s="1265"/>
      <c r="II801" s="1265"/>
      <c r="IJ801" s="1265"/>
      <c r="IK801" s="1265"/>
      <c r="IL801" s="1265"/>
      <c r="IM801" s="1265"/>
      <c r="IN801" s="1265"/>
      <c r="IO801" s="1265"/>
      <c r="IP801" s="1265"/>
      <c r="IQ801" s="1265"/>
      <c r="IR801" s="1265"/>
      <c r="IS801" s="1265"/>
      <c r="IT801" s="1265"/>
      <c r="IU801" s="1265"/>
      <c r="IV801" s="1265"/>
      <c r="IW801" s="1265"/>
      <c r="IX801" s="1265"/>
      <c r="IY801" s="1265"/>
      <c r="IZ801" s="1265"/>
      <c r="JA801" s="1265"/>
      <c r="JB801" s="1265"/>
      <c r="JC801" s="1265"/>
      <c r="JD801" s="1265"/>
      <c r="JE801" s="1265"/>
      <c r="JF801" s="1265"/>
      <c r="JG801" s="1265"/>
      <c r="JH801" s="1265"/>
      <c r="JI801" s="1265"/>
      <c r="JJ801" s="1265"/>
      <c r="JK801" s="1265"/>
      <c r="JL801" s="1265"/>
      <c r="JM801" s="1265"/>
      <c r="JN801" s="1265"/>
      <c r="JO801" s="1265"/>
      <c r="JP801" s="1265"/>
      <c r="JQ801" s="1265"/>
      <c r="JR801" s="1265"/>
      <c r="JS801" s="1265"/>
      <c r="JT801" s="1265"/>
      <c r="JU801" s="1265"/>
      <c r="JV801" s="1265"/>
      <c r="JW801" s="1265"/>
      <c r="JX801" s="1265"/>
      <c r="JY801" s="1265"/>
      <c r="JZ801" s="1265"/>
      <c r="KA801" s="1265"/>
      <c r="KB801" s="1265"/>
      <c r="KC801" s="1265"/>
      <c r="KD801" s="1265"/>
      <c r="KE801" s="1265"/>
      <c r="KF801" s="1265"/>
      <c r="KG801" s="1265"/>
      <c r="KH801" s="1265"/>
      <c r="KI801" s="1265"/>
      <c r="KJ801" s="1265"/>
      <c r="KK801" s="1265"/>
      <c r="KL801" s="1265"/>
      <c r="KM801" s="1265"/>
      <c r="KN801" s="1265"/>
      <c r="KO801" s="1265"/>
      <c r="KP801" s="1265"/>
      <c r="KQ801" s="1265"/>
      <c r="KR801" s="1265"/>
      <c r="KS801" s="1265"/>
      <c r="KT801" s="1265"/>
      <c r="KU801" s="1265"/>
      <c r="KV801" s="1265"/>
      <c r="KW801" s="1265"/>
      <c r="KX801" s="1265"/>
      <c r="KY801" s="1265"/>
      <c r="KZ801" s="1265"/>
      <c r="LA801" s="1265"/>
      <c r="LB801" s="1265"/>
      <c r="LC801" s="1265"/>
      <c r="LD801" s="1265"/>
      <c r="LE801" s="1265"/>
      <c r="LF801" s="1265"/>
      <c r="LG801" s="1265"/>
      <c r="LH801" s="1265"/>
      <c r="LI801" s="1265"/>
      <c r="LJ801" s="1265"/>
      <c r="LK801" s="1265"/>
      <c r="LL801" s="1265"/>
      <c r="LM801" s="1265"/>
      <c r="LN801" s="1265"/>
      <c r="LO801" s="1265"/>
      <c r="LP801" s="1265"/>
      <c r="LQ801" s="1265"/>
      <c r="LR801" s="1265"/>
      <c r="LS801" s="1265"/>
      <c r="LT801" s="1265"/>
      <c r="LU801" s="1265"/>
      <c r="LV801" s="1265"/>
      <c r="LW801" s="1265"/>
      <c r="LX801" s="1265"/>
      <c r="LY801" s="1265"/>
      <c r="LZ801" s="1265"/>
      <c r="MA801" s="1265"/>
      <c r="MB801" s="1265"/>
      <c r="MC801" s="1265"/>
      <c r="MD801" s="1265"/>
      <c r="ME801" s="1265"/>
      <c r="MF801" s="1265"/>
      <c r="MG801" s="1265"/>
      <c r="MH801" s="1265"/>
      <c r="MI801" s="1265"/>
      <c r="MJ801" s="1265"/>
      <c r="MK801" s="1265"/>
      <c r="ML801" s="1265"/>
      <c r="MM801" s="1265"/>
      <c r="MN801" s="1265"/>
      <c r="MO801" s="1265"/>
      <c r="MP801" s="1265"/>
      <c r="MQ801" s="1265"/>
      <c r="MR801" s="1265"/>
      <c r="MS801" s="1265"/>
      <c r="MT801" s="1265"/>
      <c r="MU801" s="1265"/>
      <c r="MV801" s="1265"/>
      <c r="MW801" s="1265"/>
      <c r="MX801" s="1265"/>
      <c r="MY801" s="1265"/>
      <c r="MZ801" s="1265"/>
      <c r="NA801" s="1265"/>
      <c r="NB801" s="1265"/>
      <c r="NC801" s="1265"/>
      <c r="ND801" s="1265"/>
      <c r="NE801" s="1265"/>
      <c r="NF801" s="1265"/>
      <c r="NG801" s="1265"/>
      <c r="NH801" s="1265"/>
      <c r="NI801" s="1265"/>
      <c r="NJ801" s="1265"/>
      <c r="NK801" s="1265"/>
      <c r="NL801" s="1265"/>
      <c r="NM801" s="1265"/>
      <c r="NN801" s="1265"/>
      <c r="NO801" s="1265"/>
      <c r="NP801" s="1265"/>
      <c r="NQ801" s="1265"/>
      <c r="NR801" s="1265"/>
      <c r="NS801" s="1265"/>
      <c r="NT801" s="1265"/>
      <c r="NU801" s="1265"/>
      <c r="NV801" s="1265"/>
      <c r="NW801" s="1265"/>
      <c r="NX801" s="1265"/>
      <c r="NY801" s="1265"/>
      <c r="NZ801" s="1265"/>
      <c r="OA801" s="1265"/>
      <c r="OB801" s="1265"/>
      <c r="OC801" s="1265"/>
      <c r="OD801" s="1265"/>
      <c r="OE801" s="1265"/>
      <c r="OF801" s="1265"/>
      <c r="OG801" s="1265"/>
      <c r="OH801" s="1265"/>
      <c r="OI801" s="1265"/>
      <c r="OJ801" s="1265"/>
      <c r="OK801" s="1265"/>
      <c r="OL801" s="1265"/>
      <c r="OM801" s="1265"/>
      <c r="ON801" s="1265"/>
      <c r="OO801" s="1265"/>
      <c r="OP801" s="1265"/>
      <c r="OQ801" s="1265"/>
      <c r="OR801" s="1265"/>
      <c r="OS801" s="1265"/>
      <c r="OT801" s="1265"/>
      <c r="OU801" s="1265"/>
      <c r="OV801" s="1265"/>
      <c r="OW801" s="1265"/>
      <c r="OX801" s="1265"/>
      <c r="OY801" s="1265"/>
      <c r="OZ801" s="1265"/>
      <c r="PA801" s="1265"/>
      <c r="PB801" s="1265"/>
      <c r="PC801" s="1265"/>
      <c r="PD801" s="1265"/>
      <c r="PE801" s="1265"/>
      <c r="PF801" s="1265"/>
      <c r="PG801" s="1265"/>
      <c r="PH801" s="1265"/>
      <c r="PI801" s="1265"/>
      <c r="PJ801" s="1265"/>
      <c r="PK801" s="1265"/>
      <c r="PL801" s="1265"/>
      <c r="PM801" s="1265"/>
      <c r="PN801" s="1265"/>
      <c r="PO801" s="1265"/>
      <c r="PP801" s="1265"/>
      <c r="PQ801" s="1265"/>
      <c r="PR801" s="1265"/>
      <c r="PS801" s="1265"/>
      <c r="PT801" s="1265"/>
      <c r="PU801" s="1265"/>
      <c r="PV801" s="1265"/>
      <c r="PW801" s="1265"/>
      <c r="PX801" s="1265"/>
      <c r="PY801" s="1265"/>
      <c r="PZ801" s="1265"/>
      <c r="QA801" s="1265"/>
      <c r="QB801" s="1265"/>
      <c r="QC801" s="1265"/>
      <c r="QD801" s="1265"/>
      <c r="QE801" s="1265"/>
      <c r="QF801" s="1265"/>
      <c r="QG801" s="1265"/>
      <c r="QH801" s="1265"/>
      <c r="QI801" s="1265"/>
      <c r="QJ801" s="1265"/>
      <c r="QK801" s="1265"/>
      <c r="QL801" s="1265"/>
      <c r="QM801" s="1265"/>
      <c r="QN801" s="1265"/>
      <c r="QO801" s="1265"/>
      <c r="QP801" s="1265"/>
      <c r="QQ801" s="1265"/>
      <c r="QR801" s="1265"/>
      <c r="QS801" s="1265"/>
      <c r="QT801" s="1265"/>
      <c r="QU801" s="1265"/>
      <c r="QV801" s="1265"/>
      <c r="QW801" s="1265"/>
      <c r="QX801" s="1265"/>
      <c r="QY801" s="1265"/>
      <c r="QZ801" s="1265"/>
      <c r="RA801" s="1265"/>
      <c r="RB801" s="1265"/>
      <c r="RC801" s="1265"/>
      <c r="RD801" s="1265"/>
      <c r="RE801" s="1265"/>
      <c r="RF801" s="1265"/>
      <c r="RG801" s="1265"/>
      <c r="RH801" s="1265"/>
      <c r="RI801" s="1265"/>
      <c r="RJ801" s="1265"/>
      <c r="RK801" s="1265"/>
      <c r="RL801" s="1265"/>
      <c r="RM801" s="1265"/>
      <c r="RN801" s="1265"/>
      <c r="RO801" s="1265"/>
      <c r="RP801" s="1265"/>
      <c r="RQ801" s="1265"/>
      <c r="RR801" s="1265"/>
      <c r="RS801" s="1265"/>
      <c r="RT801" s="1265"/>
      <c r="RU801" s="1265"/>
      <c r="RV801" s="1265"/>
      <c r="RW801" s="1265"/>
      <c r="RX801" s="1265"/>
      <c r="RY801" s="1265"/>
      <c r="RZ801" s="1265"/>
      <c r="SA801" s="1265"/>
      <c r="SB801" s="1265"/>
      <c r="SC801" s="1265"/>
      <c r="SD801" s="1265"/>
      <c r="SE801" s="1265"/>
      <c r="SF801" s="1265"/>
      <c r="SG801" s="1265"/>
      <c r="SH801" s="1265"/>
      <c r="SI801" s="1265"/>
      <c r="SJ801" s="1265"/>
      <c r="SK801" s="1265"/>
      <c r="SL801" s="1265"/>
      <c r="SM801" s="1265"/>
      <c r="SN801" s="1265"/>
      <c r="SO801" s="1265"/>
      <c r="SP801" s="1265"/>
      <c r="SQ801" s="1265"/>
      <c r="SR801" s="1265"/>
      <c r="SS801" s="1265"/>
      <c r="ST801" s="1265"/>
      <c r="SU801" s="1265"/>
      <c r="SV801" s="1265"/>
      <c r="SW801" s="1265"/>
      <c r="SX801" s="1265"/>
      <c r="SY801" s="1265"/>
      <c r="SZ801" s="1265"/>
      <c r="TA801" s="1265"/>
      <c r="TB801" s="1265"/>
      <c r="TC801" s="1265"/>
      <c r="TD801" s="1265"/>
      <c r="TE801" s="1265"/>
      <c r="TF801" s="1265"/>
      <c r="TG801" s="1265"/>
      <c r="TH801" s="1265"/>
      <c r="TI801" s="1265"/>
      <c r="TJ801" s="1265"/>
      <c r="TK801" s="1265"/>
      <c r="TL801" s="1265"/>
      <c r="TM801" s="1265"/>
      <c r="TN801" s="1265"/>
      <c r="TO801" s="1265"/>
      <c r="TP801" s="1265"/>
      <c r="TQ801" s="1265"/>
      <c r="TR801" s="1265"/>
      <c r="TS801" s="1265"/>
      <c r="TT801" s="1265"/>
      <c r="TU801" s="1265"/>
      <c r="TV801" s="1265"/>
      <c r="TW801" s="1265"/>
      <c r="TX801" s="1265"/>
      <c r="TY801" s="1265"/>
      <c r="TZ801" s="1265"/>
      <c r="UA801" s="1265"/>
      <c r="UB801" s="1265"/>
      <c r="UC801" s="1265"/>
      <c r="UD801" s="1265"/>
      <c r="UE801" s="1265"/>
      <c r="UF801" s="1265"/>
      <c r="UG801" s="1266"/>
    </row>
    <row r="802" spans="1:553" s="1262" customFormat="1" ht="30.75" customHeight="1">
      <c r="A802" s="436"/>
      <c r="B802" s="436"/>
      <c r="C802" s="1411" t="s">
        <v>1142</v>
      </c>
      <c r="D802" s="1411" t="s">
        <v>1143</v>
      </c>
      <c r="E802" s="1411" t="s">
        <v>1143</v>
      </c>
      <c r="F802" s="1411" t="s">
        <v>1143</v>
      </c>
      <c r="G802" s="412" t="s">
        <v>196</v>
      </c>
      <c r="H802" s="652"/>
      <c r="I802" s="423">
        <f>(206.62*100/2000)*171</f>
        <v>1766.6009999999999</v>
      </c>
      <c r="J802" s="1243">
        <v>6200</v>
      </c>
      <c r="K802" s="578"/>
      <c r="L802" s="679">
        <f>ROUND(PRODUCT(I802:K802),0)</f>
        <v>10952926</v>
      </c>
      <c r="M802" s="356"/>
      <c r="N802" s="356"/>
      <c r="O802" s="356"/>
      <c r="P802" s="356"/>
      <c r="Q802" s="610"/>
      <c r="R802" s="1228"/>
      <c r="S802" s="308"/>
      <c r="T802" s="308"/>
      <c r="U802" s="308"/>
      <c r="V802" s="308"/>
      <c r="W802" s="308"/>
      <c r="X802" s="308"/>
      <c r="Y802" s="308"/>
      <c r="Z802" s="604"/>
      <c r="AA802" s="308"/>
      <c r="AB802" s="308"/>
      <c r="AC802" s="454"/>
      <c r="AD802" s="454"/>
      <c r="AE802" s="454"/>
      <c r="AF802" s="454"/>
      <c r="AG802" s="454"/>
      <c r="AH802" s="454"/>
      <c r="AI802" s="454"/>
      <c r="AJ802" s="454"/>
      <c r="AK802" s="455"/>
      <c r="AL802" s="1263"/>
      <c r="AM802" s="1263"/>
      <c r="AN802" s="1263"/>
      <c r="AO802" s="1263"/>
      <c r="AP802" s="1263"/>
      <c r="AQ802" s="1263"/>
      <c r="AR802" s="1263"/>
      <c r="AS802" s="1264"/>
      <c r="AT802" s="1264"/>
      <c r="AU802" s="1264"/>
      <c r="AV802" s="1264"/>
      <c r="AW802" s="1264"/>
      <c r="AX802" s="1264"/>
      <c r="AY802" s="1264"/>
      <c r="AZ802" s="1264"/>
      <c r="BA802" s="1264"/>
      <c r="BB802" s="1264"/>
      <c r="BC802" s="1264"/>
      <c r="BD802" s="1264"/>
      <c r="BE802" s="1264"/>
      <c r="BF802" s="1264"/>
      <c r="BG802" s="1264"/>
      <c r="BH802" s="1264"/>
      <c r="BI802" s="1264"/>
      <c r="BJ802" s="1264"/>
      <c r="BK802" s="1264"/>
      <c r="BL802" s="1264"/>
      <c r="BM802" s="1264"/>
      <c r="BN802" s="1264"/>
      <c r="BO802" s="1264"/>
      <c r="BP802" s="1265"/>
      <c r="BQ802" s="1265"/>
      <c r="BR802" s="1265"/>
      <c r="BS802" s="1265"/>
      <c r="BT802" s="1265"/>
      <c r="BU802" s="1265"/>
      <c r="BV802" s="1265"/>
      <c r="BW802" s="1265"/>
      <c r="BX802" s="1265"/>
      <c r="BY802" s="1265"/>
      <c r="BZ802" s="1265"/>
      <c r="CA802" s="1265"/>
      <c r="CB802" s="1265"/>
      <c r="CC802" s="1265"/>
      <c r="CD802" s="1265"/>
      <c r="CE802" s="1265"/>
      <c r="CF802" s="1265"/>
      <c r="CG802" s="1265"/>
      <c r="CH802" s="1265"/>
      <c r="CI802" s="1265"/>
      <c r="CJ802" s="1265"/>
      <c r="CK802" s="1265"/>
      <c r="CL802" s="1265"/>
      <c r="CM802" s="1265"/>
      <c r="CN802" s="1265"/>
      <c r="CO802" s="1265"/>
      <c r="CP802" s="1265"/>
      <c r="CQ802" s="1265"/>
      <c r="CR802" s="1265"/>
      <c r="CS802" s="1265"/>
      <c r="CT802" s="1265"/>
      <c r="CU802" s="1265"/>
      <c r="CV802" s="1265"/>
      <c r="CW802" s="1265"/>
      <c r="CX802" s="1265"/>
      <c r="CY802" s="1265"/>
      <c r="CZ802" s="1265"/>
      <c r="DA802" s="1265"/>
      <c r="DB802" s="1265"/>
      <c r="DC802" s="1265"/>
      <c r="DD802" s="1265"/>
      <c r="DE802" s="1265"/>
      <c r="DF802" s="1265"/>
      <c r="DG802" s="1265"/>
      <c r="DH802" s="1265"/>
      <c r="DI802" s="1265"/>
      <c r="DJ802" s="1265"/>
      <c r="DK802" s="1265"/>
      <c r="DL802" s="1265"/>
      <c r="DM802" s="1265"/>
      <c r="DN802" s="1265"/>
      <c r="DO802" s="1265"/>
      <c r="DP802" s="1265"/>
      <c r="DQ802" s="1265"/>
      <c r="DR802" s="1265"/>
      <c r="DS802" s="1265"/>
      <c r="DT802" s="1265"/>
      <c r="DU802" s="1265"/>
      <c r="DV802" s="1265"/>
      <c r="DW802" s="1265"/>
      <c r="DX802" s="1265"/>
      <c r="DY802" s="1265"/>
      <c r="DZ802" s="1265"/>
      <c r="EA802" s="1265"/>
      <c r="EB802" s="1265"/>
      <c r="EC802" s="1265"/>
      <c r="ED802" s="1265"/>
      <c r="EE802" s="1265"/>
      <c r="EF802" s="1265"/>
      <c r="EG802" s="1265"/>
      <c r="EH802" s="1265"/>
      <c r="EI802" s="1265"/>
      <c r="EJ802" s="1265"/>
      <c r="EK802" s="1265"/>
      <c r="EL802" s="1265"/>
      <c r="EM802" s="1265"/>
      <c r="EN802" s="1265"/>
      <c r="EO802" s="1265"/>
      <c r="EP802" s="1265"/>
      <c r="EQ802" s="1265"/>
      <c r="ER802" s="1265"/>
      <c r="ES802" s="1265"/>
      <c r="ET802" s="1265"/>
      <c r="EU802" s="1265"/>
      <c r="EV802" s="1265"/>
      <c r="EW802" s="1265"/>
      <c r="EX802" s="1265"/>
      <c r="EY802" s="1265"/>
      <c r="EZ802" s="1265"/>
      <c r="FA802" s="1265"/>
      <c r="FB802" s="1265"/>
      <c r="FC802" s="1265"/>
      <c r="FD802" s="1265"/>
      <c r="FE802" s="1265"/>
      <c r="FF802" s="1265"/>
      <c r="FG802" s="1265"/>
      <c r="FH802" s="1265"/>
      <c r="FI802" s="1265"/>
      <c r="FJ802" s="1265"/>
      <c r="FK802" s="1265"/>
      <c r="FL802" s="1265"/>
      <c r="FM802" s="1265"/>
      <c r="FN802" s="1265"/>
      <c r="FO802" s="1265"/>
      <c r="FP802" s="1265"/>
      <c r="FQ802" s="1265"/>
      <c r="FR802" s="1265"/>
      <c r="FS802" s="1265"/>
      <c r="FT802" s="1265"/>
      <c r="FU802" s="1265"/>
      <c r="FV802" s="1265"/>
      <c r="FW802" s="1265"/>
      <c r="FX802" s="1265"/>
      <c r="FY802" s="1265"/>
      <c r="FZ802" s="1265"/>
      <c r="GA802" s="1265"/>
      <c r="GB802" s="1265"/>
      <c r="GC802" s="1265"/>
      <c r="GD802" s="1265"/>
      <c r="GE802" s="1265"/>
      <c r="GF802" s="1265"/>
      <c r="GG802" s="1265"/>
      <c r="GH802" s="1265"/>
      <c r="GI802" s="1265"/>
      <c r="GJ802" s="1265"/>
      <c r="GK802" s="1265"/>
      <c r="GL802" s="1265"/>
      <c r="GM802" s="1265"/>
      <c r="GN802" s="1265"/>
      <c r="GO802" s="1265"/>
      <c r="GP802" s="1265"/>
      <c r="GQ802" s="1265"/>
      <c r="GR802" s="1265"/>
      <c r="GS802" s="1265"/>
      <c r="GT802" s="1265"/>
      <c r="GU802" s="1265"/>
      <c r="GV802" s="1265"/>
      <c r="GW802" s="1265"/>
      <c r="GX802" s="1265"/>
      <c r="GY802" s="1265"/>
      <c r="GZ802" s="1265"/>
      <c r="HA802" s="1265"/>
      <c r="HB802" s="1265"/>
      <c r="HC802" s="1265"/>
      <c r="HD802" s="1265"/>
      <c r="HE802" s="1265"/>
      <c r="HF802" s="1265"/>
      <c r="HG802" s="1265"/>
      <c r="HH802" s="1265"/>
      <c r="HI802" s="1265"/>
      <c r="HJ802" s="1265"/>
      <c r="HK802" s="1265"/>
      <c r="HL802" s="1265"/>
      <c r="HM802" s="1265"/>
      <c r="HN802" s="1265"/>
      <c r="HO802" s="1265"/>
      <c r="HP802" s="1265"/>
      <c r="HQ802" s="1265"/>
      <c r="HR802" s="1265"/>
      <c r="HS802" s="1265"/>
      <c r="HT802" s="1265"/>
      <c r="HU802" s="1265"/>
      <c r="HV802" s="1265"/>
      <c r="HW802" s="1265"/>
      <c r="HX802" s="1265"/>
      <c r="HY802" s="1265"/>
      <c r="HZ802" s="1265"/>
      <c r="IA802" s="1265"/>
      <c r="IB802" s="1265"/>
      <c r="IC802" s="1265"/>
      <c r="ID802" s="1265"/>
      <c r="IE802" s="1265"/>
      <c r="IF802" s="1265"/>
      <c r="IG802" s="1265"/>
      <c r="IH802" s="1265"/>
      <c r="II802" s="1265"/>
      <c r="IJ802" s="1265"/>
      <c r="IK802" s="1265"/>
      <c r="IL802" s="1265"/>
      <c r="IM802" s="1265"/>
      <c r="IN802" s="1265"/>
      <c r="IO802" s="1265"/>
      <c r="IP802" s="1265"/>
      <c r="IQ802" s="1265"/>
      <c r="IR802" s="1265"/>
      <c r="IS802" s="1265"/>
      <c r="IT802" s="1265"/>
      <c r="IU802" s="1265"/>
      <c r="IV802" s="1265"/>
      <c r="IW802" s="1265"/>
      <c r="IX802" s="1265"/>
      <c r="IY802" s="1265"/>
      <c r="IZ802" s="1265"/>
      <c r="JA802" s="1265"/>
      <c r="JB802" s="1265"/>
      <c r="JC802" s="1265"/>
      <c r="JD802" s="1265"/>
      <c r="JE802" s="1265"/>
      <c r="JF802" s="1265"/>
      <c r="JG802" s="1265"/>
      <c r="JH802" s="1265"/>
      <c r="JI802" s="1265"/>
      <c r="JJ802" s="1265"/>
      <c r="JK802" s="1265"/>
      <c r="JL802" s="1265"/>
      <c r="JM802" s="1265"/>
      <c r="JN802" s="1265"/>
      <c r="JO802" s="1265"/>
      <c r="JP802" s="1265"/>
      <c r="JQ802" s="1265"/>
      <c r="JR802" s="1265"/>
      <c r="JS802" s="1265"/>
      <c r="JT802" s="1265"/>
      <c r="JU802" s="1265"/>
      <c r="JV802" s="1265"/>
      <c r="JW802" s="1265"/>
      <c r="JX802" s="1265"/>
      <c r="JY802" s="1265"/>
      <c r="JZ802" s="1265"/>
      <c r="KA802" s="1265"/>
      <c r="KB802" s="1265"/>
      <c r="KC802" s="1265"/>
      <c r="KD802" s="1265"/>
      <c r="KE802" s="1265"/>
      <c r="KF802" s="1265"/>
      <c r="KG802" s="1265"/>
      <c r="KH802" s="1265"/>
      <c r="KI802" s="1265"/>
      <c r="KJ802" s="1265"/>
      <c r="KK802" s="1265"/>
      <c r="KL802" s="1265"/>
      <c r="KM802" s="1265"/>
      <c r="KN802" s="1265"/>
      <c r="KO802" s="1265"/>
      <c r="KP802" s="1265"/>
      <c r="KQ802" s="1265"/>
      <c r="KR802" s="1265"/>
      <c r="KS802" s="1265"/>
      <c r="KT802" s="1265"/>
      <c r="KU802" s="1265"/>
      <c r="KV802" s="1265"/>
      <c r="KW802" s="1265"/>
      <c r="KX802" s="1265"/>
      <c r="KY802" s="1265"/>
      <c r="KZ802" s="1265"/>
      <c r="LA802" s="1265"/>
      <c r="LB802" s="1265"/>
      <c r="LC802" s="1265"/>
      <c r="LD802" s="1265"/>
      <c r="LE802" s="1265"/>
      <c r="LF802" s="1265"/>
      <c r="LG802" s="1265"/>
      <c r="LH802" s="1265"/>
      <c r="LI802" s="1265"/>
      <c r="LJ802" s="1265"/>
      <c r="LK802" s="1265"/>
      <c r="LL802" s="1265"/>
      <c r="LM802" s="1265"/>
      <c r="LN802" s="1265"/>
      <c r="LO802" s="1265"/>
      <c r="LP802" s="1265"/>
      <c r="LQ802" s="1265"/>
      <c r="LR802" s="1265"/>
      <c r="LS802" s="1265"/>
      <c r="LT802" s="1265"/>
      <c r="LU802" s="1265"/>
      <c r="LV802" s="1265"/>
      <c r="LW802" s="1265"/>
      <c r="LX802" s="1265"/>
      <c r="LY802" s="1265"/>
      <c r="LZ802" s="1265"/>
      <c r="MA802" s="1265"/>
      <c r="MB802" s="1265"/>
      <c r="MC802" s="1265"/>
      <c r="MD802" s="1265"/>
      <c r="ME802" s="1265"/>
      <c r="MF802" s="1265"/>
      <c r="MG802" s="1265"/>
      <c r="MH802" s="1265"/>
      <c r="MI802" s="1265"/>
      <c r="MJ802" s="1265"/>
      <c r="MK802" s="1265"/>
      <c r="ML802" s="1265"/>
      <c r="MM802" s="1265"/>
      <c r="MN802" s="1265"/>
      <c r="MO802" s="1265"/>
      <c r="MP802" s="1265"/>
      <c r="MQ802" s="1265"/>
      <c r="MR802" s="1265"/>
      <c r="MS802" s="1265"/>
      <c r="MT802" s="1265"/>
      <c r="MU802" s="1265"/>
      <c r="MV802" s="1265"/>
      <c r="MW802" s="1265"/>
      <c r="MX802" s="1265"/>
      <c r="MY802" s="1265"/>
      <c r="MZ802" s="1265"/>
      <c r="NA802" s="1265"/>
      <c r="NB802" s="1265"/>
      <c r="NC802" s="1265"/>
      <c r="ND802" s="1265"/>
      <c r="NE802" s="1265"/>
      <c r="NF802" s="1265"/>
      <c r="NG802" s="1265"/>
      <c r="NH802" s="1265"/>
      <c r="NI802" s="1265"/>
      <c r="NJ802" s="1265"/>
      <c r="NK802" s="1265"/>
      <c r="NL802" s="1265"/>
      <c r="NM802" s="1265"/>
      <c r="NN802" s="1265"/>
      <c r="NO802" s="1265"/>
      <c r="NP802" s="1265"/>
      <c r="NQ802" s="1265"/>
      <c r="NR802" s="1265"/>
      <c r="NS802" s="1265"/>
      <c r="NT802" s="1265"/>
      <c r="NU802" s="1265"/>
      <c r="NV802" s="1265"/>
      <c r="NW802" s="1265"/>
      <c r="NX802" s="1265"/>
      <c r="NY802" s="1265"/>
      <c r="NZ802" s="1265"/>
      <c r="OA802" s="1265"/>
      <c r="OB802" s="1265"/>
      <c r="OC802" s="1265"/>
      <c r="OD802" s="1265"/>
      <c r="OE802" s="1265"/>
      <c r="OF802" s="1265"/>
      <c r="OG802" s="1265"/>
      <c r="OH802" s="1265"/>
      <c r="OI802" s="1265"/>
      <c r="OJ802" s="1265"/>
      <c r="OK802" s="1265"/>
      <c r="OL802" s="1265"/>
      <c r="OM802" s="1265"/>
      <c r="ON802" s="1265"/>
      <c r="OO802" s="1265"/>
      <c r="OP802" s="1265"/>
      <c r="OQ802" s="1265"/>
      <c r="OR802" s="1265"/>
      <c r="OS802" s="1265"/>
      <c r="OT802" s="1265"/>
      <c r="OU802" s="1265"/>
      <c r="OV802" s="1265"/>
      <c r="OW802" s="1265"/>
      <c r="OX802" s="1265"/>
      <c r="OY802" s="1265"/>
      <c r="OZ802" s="1265"/>
      <c r="PA802" s="1265"/>
      <c r="PB802" s="1265"/>
      <c r="PC802" s="1265"/>
      <c r="PD802" s="1265"/>
      <c r="PE802" s="1265"/>
      <c r="PF802" s="1265"/>
      <c r="PG802" s="1265"/>
      <c r="PH802" s="1265"/>
      <c r="PI802" s="1265"/>
      <c r="PJ802" s="1265"/>
      <c r="PK802" s="1265"/>
      <c r="PL802" s="1265"/>
      <c r="PM802" s="1265"/>
      <c r="PN802" s="1265"/>
      <c r="PO802" s="1265"/>
      <c r="PP802" s="1265"/>
      <c r="PQ802" s="1265"/>
      <c r="PR802" s="1265"/>
      <c r="PS802" s="1265"/>
      <c r="PT802" s="1265"/>
      <c r="PU802" s="1265"/>
      <c r="PV802" s="1265"/>
      <c r="PW802" s="1265"/>
      <c r="PX802" s="1265"/>
      <c r="PY802" s="1265"/>
      <c r="PZ802" s="1265"/>
      <c r="QA802" s="1265"/>
      <c r="QB802" s="1265"/>
      <c r="QC802" s="1265"/>
      <c r="QD802" s="1265"/>
      <c r="QE802" s="1265"/>
      <c r="QF802" s="1265"/>
      <c r="QG802" s="1265"/>
      <c r="QH802" s="1265"/>
      <c r="QI802" s="1265"/>
      <c r="QJ802" s="1265"/>
      <c r="QK802" s="1265"/>
      <c r="QL802" s="1265"/>
      <c r="QM802" s="1265"/>
      <c r="QN802" s="1265"/>
      <c r="QO802" s="1265"/>
      <c r="QP802" s="1265"/>
      <c r="QQ802" s="1265"/>
      <c r="QR802" s="1265"/>
      <c r="QS802" s="1265"/>
      <c r="QT802" s="1265"/>
      <c r="QU802" s="1265"/>
      <c r="QV802" s="1265"/>
      <c r="QW802" s="1265"/>
      <c r="QX802" s="1265"/>
      <c r="QY802" s="1265"/>
      <c r="QZ802" s="1265"/>
      <c r="RA802" s="1265"/>
      <c r="RB802" s="1265"/>
      <c r="RC802" s="1265"/>
      <c r="RD802" s="1265"/>
      <c r="RE802" s="1265"/>
      <c r="RF802" s="1265"/>
      <c r="RG802" s="1265"/>
      <c r="RH802" s="1265"/>
      <c r="RI802" s="1265"/>
      <c r="RJ802" s="1265"/>
      <c r="RK802" s="1265"/>
      <c r="RL802" s="1265"/>
      <c r="RM802" s="1265"/>
      <c r="RN802" s="1265"/>
      <c r="RO802" s="1265"/>
      <c r="RP802" s="1265"/>
      <c r="RQ802" s="1265"/>
      <c r="RR802" s="1265"/>
      <c r="RS802" s="1265"/>
      <c r="RT802" s="1265"/>
      <c r="RU802" s="1265"/>
      <c r="RV802" s="1265"/>
      <c r="RW802" s="1265"/>
      <c r="RX802" s="1265"/>
      <c r="RY802" s="1265"/>
      <c r="RZ802" s="1265"/>
      <c r="SA802" s="1265"/>
      <c r="SB802" s="1265"/>
      <c r="SC802" s="1265"/>
      <c r="SD802" s="1265"/>
      <c r="SE802" s="1265"/>
      <c r="SF802" s="1265"/>
      <c r="SG802" s="1265"/>
      <c r="SH802" s="1265"/>
      <c r="SI802" s="1265"/>
      <c r="SJ802" s="1265"/>
      <c r="SK802" s="1265"/>
      <c r="SL802" s="1265"/>
      <c r="SM802" s="1265"/>
      <c r="SN802" s="1265"/>
      <c r="SO802" s="1265"/>
      <c r="SP802" s="1265"/>
      <c r="SQ802" s="1265"/>
      <c r="SR802" s="1265"/>
      <c r="SS802" s="1265"/>
      <c r="ST802" s="1265"/>
      <c r="SU802" s="1265"/>
      <c r="SV802" s="1265"/>
      <c r="SW802" s="1265"/>
      <c r="SX802" s="1265"/>
      <c r="SY802" s="1265"/>
      <c r="SZ802" s="1265"/>
      <c r="TA802" s="1265"/>
      <c r="TB802" s="1265"/>
      <c r="TC802" s="1265"/>
      <c r="TD802" s="1265"/>
      <c r="TE802" s="1265"/>
      <c r="TF802" s="1265"/>
      <c r="TG802" s="1265"/>
      <c r="TH802" s="1265"/>
      <c r="TI802" s="1265"/>
      <c r="TJ802" s="1265"/>
      <c r="TK802" s="1265"/>
      <c r="TL802" s="1265"/>
      <c r="TM802" s="1265"/>
      <c r="TN802" s="1265"/>
      <c r="TO802" s="1265"/>
      <c r="TP802" s="1265"/>
      <c r="TQ802" s="1265"/>
      <c r="TR802" s="1265"/>
      <c r="TS802" s="1265"/>
      <c r="TT802" s="1265"/>
      <c r="TU802" s="1265"/>
      <c r="TV802" s="1265"/>
      <c r="TW802" s="1265"/>
      <c r="TX802" s="1265"/>
      <c r="TY802" s="1265"/>
      <c r="TZ802" s="1265"/>
      <c r="UA802" s="1265"/>
      <c r="UB802" s="1265"/>
      <c r="UC802" s="1265"/>
      <c r="UD802" s="1265"/>
      <c r="UE802" s="1265"/>
      <c r="UF802" s="1265"/>
      <c r="UG802" s="1266"/>
    </row>
    <row r="803" spans="1:553" s="1262" customFormat="1" ht="30.75" customHeight="1">
      <c r="A803" s="653"/>
      <c r="B803" s="653"/>
      <c r="C803" s="1439" t="s">
        <v>1144</v>
      </c>
      <c r="D803" s="1440" t="s">
        <v>1145</v>
      </c>
      <c r="E803" s="1440" t="s">
        <v>1145</v>
      </c>
      <c r="F803" s="1441" t="s">
        <v>1145</v>
      </c>
      <c r="G803" s="1008" t="s">
        <v>193</v>
      </c>
      <c r="H803" s="654"/>
      <c r="I803" s="505">
        <v>2</v>
      </c>
      <c r="J803" s="1087">
        <v>337300</v>
      </c>
      <c r="K803" s="513">
        <v>0.7</v>
      </c>
      <c r="L803" s="1195">
        <f>ROUND(PRODUCT(I803:K803),0)</f>
        <v>472220</v>
      </c>
      <c r="M803" s="356"/>
      <c r="N803" s="356"/>
      <c r="O803" s="356"/>
      <c r="P803" s="356"/>
      <c r="Q803" s="610"/>
      <c r="R803" s="1228"/>
      <c r="S803" s="308"/>
      <c r="T803" s="308"/>
      <c r="U803" s="308"/>
      <c r="V803" s="308"/>
      <c r="W803" s="308"/>
      <c r="X803" s="308"/>
      <c r="Y803" s="308"/>
      <c r="Z803" s="604"/>
      <c r="AA803" s="308"/>
      <c r="AB803" s="308"/>
      <c r="AC803" s="454"/>
      <c r="AD803" s="454"/>
      <c r="AE803" s="454"/>
      <c r="AF803" s="454"/>
      <c r="AG803" s="454"/>
      <c r="AH803" s="454"/>
      <c r="AI803" s="454"/>
      <c r="AJ803" s="454"/>
      <c r="AK803" s="455"/>
      <c r="AL803" s="1263"/>
      <c r="AM803" s="1263"/>
      <c r="AN803" s="1263"/>
      <c r="AO803" s="1263"/>
      <c r="AP803" s="1263"/>
      <c r="AQ803" s="1263"/>
      <c r="AR803" s="1263"/>
      <c r="AS803" s="1264"/>
      <c r="AT803" s="1264"/>
      <c r="AU803" s="1264"/>
      <c r="AV803" s="1264"/>
      <c r="AW803" s="1264"/>
      <c r="AX803" s="1264"/>
      <c r="AY803" s="1264"/>
      <c r="AZ803" s="1264"/>
      <c r="BA803" s="1264"/>
      <c r="BB803" s="1264"/>
      <c r="BC803" s="1264"/>
      <c r="BD803" s="1264"/>
      <c r="BE803" s="1264"/>
      <c r="BF803" s="1264"/>
      <c r="BG803" s="1264"/>
      <c r="BH803" s="1264"/>
      <c r="BI803" s="1264"/>
      <c r="BJ803" s="1264"/>
      <c r="BK803" s="1264"/>
      <c r="BL803" s="1264"/>
      <c r="BM803" s="1264"/>
      <c r="BN803" s="1264"/>
      <c r="BO803" s="1264"/>
      <c r="BP803" s="1265"/>
      <c r="BQ803" s="1265"/>
      <c r="BR803" s="1265"/>
      <c r="BS803" s="1265"/>
      <c r="BT803" s="1265"/>
      <c r="BU803" s="1265"/>
      <c r="BV803" s="1265"/>
      <c r="BW803" s="1265"/>
      <c r="BX803" s="1265"/>
      <c r="BY803" s="1265"/>
      <c r="BZ803" s="1265"/>
      <c r="CA803" s="1265"/>
      <c r="CB803" s="1265"/>
      <c r="CC803" s="1265"/>
      <c r="CD803" s="1265"/>
      <c r="CE803" s="1265"/>
      <c r="CF803" s="1265"/>
      <c r="CG803" s="1265"/>
      <c r="CH803" s="1265"/>
      <c r="CI803" s="1265"/>
      <c r="CJ803" s="1265"/>
      <c r="CK803" s="1265"/>
      <c r="CL803" s="1265"/>
      <c r="CM803" s="1265"/>
      <c r="CN803" s="1265"/>
      <c r="CO803" s="1265"/>
      <c r="CP803" s="1265"/>
      <c r="CQ803" s="1265"/>
      <c r="CR803" s="1265"/>
      <c r="CS803" s="1265"/>
      <c r="CT803" s="1265"/>
      <c r="CU803" s="1265"/>
      <c r="CV803" s="1265"/>
      <c r="CW803" s="1265"/>
      <c r="CX803" s="1265"/>
      <c r="CY803" s="1265"/>
      <c r="CZ803" s="1265"/>
      <c r="DA803" s="1265"/>
      <c r="DB803" s="1265"/>
      <c r="DC803" s="1265"/>
      <c r="DD803" s="1265"/>
      <c r="DE803" s="1265"/>
      <c r="DF803" s="1265"/>
      <c r="DG803" s="1265"/>
      <c r="DH803" s="1265"/>
      <c r="DI803" s="1265"/>
      <c r="DJ803" s="1265"/>
      <c r="DK803" s="1265"/>
      <c r="DL803" s="1265"/>
      <c r="DM803" s="1265"/>
      <c r="DN803" s="1265"/>
      <c r="DO803" s="1265"/>
      <c r="DP803" s="1265"/>
      <c r="DQ803" s="1265"/>
      <c r="DR803" s="1265"/>
      <c r="DS803" s="1265"/>
      <c r="DT803" s="1265"/>
      <c r="DU803" s="1265"/>
      <c r="DV803" s="1265"/>
      <c r="DW803" s="1265"/>
      <c r="DX803" s="1265"/>
      <c r="DY803" s="1265"/>
      <c r="DZ803" s="1265"/>
      <c r="EA803" s="1265"/>
      <c r="EB803" s="1265"/>
      <c r="EC803" s="1265"/>
      <c r="ED803" s="1265"/>
      <c r="EE803" s="1265"/>
      <c r="EF803" s="1265"/>
      <c r="EG803" s="1265"/>
      <c r="EH803" s="1265"/>
      <c r="EI803" s="1265"/>
      <c r="EJ803" s="1265"/>
      <c r="EK803" s="1265"/>
      <c r="EL803" s="1265"/>
      <c r="EM803" s="1265"/>
      <c r="EN803" s="1265"/>
      <c r="EO803" s="1265"/>
      <c r="EP803" s="1265"/>
      <c r="EQ803" s="1265"/>
      <c r="ER803" s="1265"/>
      <c r="ES803" s="1265"/>
      <c r="ET803" s="1265"/>
      <c r="EU803" s="1265"/>
      <c r="EV803" s="1265"/>
      <c r="EW803" s="1265"/>
      <c r="EX803" s="1265"/>
      <c r="EY803" s="1265"/>
      <c r="EZ803" s="1265"/>
      <c r="FA803" s="1265"/>
      <c r="FB803" s="1265"/>
      <c r="FC803" s="1265"/>
      <c r="FD803" s="1265"/>
      <c r="FE803" s="1265"/>
      <c r="FF803" s="1265"/>
      <c r="FG803" s="1265"/>
      <c r="FH803" s="1265"/>
      <c r="FI803" s="1265"/>
      <c r="FJ803" s="1265"/>
      <c r="FK803" s="1265"/>
      <c r="FL803" s="1265"/>
      <c r="FM803" s="1265"/>
      <c r="FN803" s="1265"/>
      <c r="FO803" s="1265"/>
      <c r="FP803" s="1265"/>
      <c r="FQ803" s="1265"/>
      <c r="FR803" s="1265"/>
      <c r="FS803" s="1265"/>
      <c r="FT803" s="1265"/>
      <c r="FU803" s="1265"/>
      <c r="FV803" s="1265"/>
      <c r="FW803" s="1265"/>
      <c r="FX803" s="1265"/>
      <c r="FY803" s="1265"/>
      <c r="FZ803" s="1265"/>
      <c r="GA803" s="1265"/>
      <c r="GB803" s="1265"/>
      <c r="GC803" s="1265"/>
      <c r="GD803" s="1265"/>
      <c r="GE803" s="1265"/>
      <c r="GF803" s="1265"/>
      <c r="GG803" s="1265"/>
      <c r="GH803" s="1265"/>
      <c r="GI803" s="1265"/>
      <c r="GJ803" s="1265"/>
      <c r="GK803" s="1265"/>
      <c r="GL803" s="1265"/>
      <c r="GM803" s="1265"/>
      <c r="GN803" s="1265"/>
      <c r="GO803" s="1265"/>
      <c r="GP803" s="1265"/>
      <c r="GQ803" s="1265"/>
      <c r="GR803" s="1265"/>
      <c r="GS803" s="1265"/>
      <c r="GT803" s="1265"/>
      <c r="GU803" s="1265"/>
      <c r="GV803" s="1265"/>
      <c r="GW803" s="1265"/>
      <c r="GX803" s="1265"/>
      <c r="GY803" s="1265"/>
      <c r="GZ803" s="1265"/>
      <c r="HA803" s="1265"/>
      <c r="HB803" s="1265"/>
      <c r="HC803" s="1265"/>
      <c r="HD803" s="1265"/>
      <c r="HE803" s="1265"/>
      <c r="HF803" s="1265"/>
      <c r="HG803" s="1265"/>
      <c r="HH803" s="1265"/>
      <c r="HI803" s="1265"/>
      <c r="HJ803" s="1265"/>
      <c r="HK803" s="1265"/>
      <c r="HL803" s="1265"/>
      <c r="HM803" s="1265"/>
      <c r="HN803" s="1265"/>
      <c r="HO803" s="1265"/>
      <c r="HP803" s="1265"/>
      <c r="HQ803" s="1265"/>
      <c r="HR803" s="1265"/>
      <c r="HS803" s="1265"/>
      <c r="HT803" s="1265"/>
      <c r="HU803" s="1265"/>
      <c r="HV803" s="1265"/>
      <c r="HW803" s="1265"/>
      <c r="HX803" s="1265"/>
      <c r="HY803" s="1265"/>
      <c r="HZ803" s="1265"/>
      <c r="IA803" s="1265"/>
      <c r="IB803" s="1265"/>
      <c r="IC803" s="1265"/>
      <c r="ID803" s="1265"/>
      <c r="IE803" s="1265"/>
      <c r="IF803" s="1265"/>
      <c r="IG803" s="1265"/>
      <c r="IH803" s="1265"/>
      <c r="II803" s="1265"/>
      <c r="IJ803" s="1265"/>
      <c r="IK803" s="1265"/>
      <c r="IL803" s="1265"/>
      <c r="IM803" s="1265"/>
      <c r="IN803" s="1265"/>
      <c r="IO803" s="1265"/>
      <c r="IP803" s="1265"/>
      <c r="IQ803" s="1265"/>
      <c r="IR803" s="1265"/>
      <c r="IS803" s="1265"/>
      <c r="IT803" s="1265"/>
      <c r="IU803" s="1265"/>
      <c r="IV803" s="1265"/>
      <c r="IW803" s="1265"/>
      <c r="IX803" s="1265"/>
      <c r="IY803" s="1265"/>
      <c r="IZ803" s="1265"/>
      <c r="JA803" s="1265"/>
      <c r="JB803" s="1265"/>
      <c r="JC803" s="1265"/>
      <c r="JD803" s="1265"/>
      <c r="JE803" s="1265"/>
      <c r="JF803" s="1265"/>
      <c r="JG803" s="1265"/>
      <c r="JH803" s="1265"/>
      <c r="JI803" s="1265"/>
      <c r="JJ803" s="1265"/>
      <c r="JK803" s="1265"/>
      <c r="JL803" s="1265"/>
      <c r="JM803" s="1265"/>
      <c r="JN803" s="1265"/>
      <c r="JO803" s="1265"/>
      <c r="JP803" s="1265"/>
      <c r="JQ803" s="1265"/>
      <c r="JR803" s="1265"/>
      <c r="JS803" s="1265"/>
      <c r="JT803" s="1265"/>
      <c r="JU803" s="1265"/>
      <c r="JV803" s="1265"/>
      <c r="JW803" s="1265"/>
      <c r="JX803" s="1265"/>
      <c r="JY803" s="1265"/>
      <c r="JZ803" s="1265"/>
      <c r="KA803" s="1265"/>
      <c r="KB803" s="1265"/>
      <c r="KC803" s="1265"/>
      <c r="KD803" s="1265"/>
      <c r="KE803" s="1265"/>
      <c r="KF803" s="1265"/>
      <c r="KG803" s="1265"/>
      <c r="KH803" s="1265"/>
      <c r="KI803" s="1265"/>
      <c r="KJ803" s="1265"/>
      <c r="KK803" s="1265"/>
      <c r="KL803" s="1265"/>
      <c r="KM803" s="1265"/>
      <c r="KN803" s="1265"/>
      <c r="KO803" s="1265"/>
      <c r="KP803" s="1265"/>
      <c r="KQ803" s="1265"/>
      <c r="KR803" s="1265"/>
      <c r="KS803" s="1265"/>
      <c r="KT803" s="1265"/>
      <c r="KU803" s="1265"/>
      <c r="KV803" s="1265"/>
      <c r="KW803" s="1265"/>
      <c r="KX803" s="1265"/>
      <c r="KY803" s="1265"/>
      <c r="KZ803" s="1265"/>
      <c r="LA803" s="1265"/>
      <c r="LB803" s="1265"/>
      <c r="LC803" s="1265"/>
      <c r="LD803" s="1265"/>
      <c r="LE803" s="1265"/>
      <c r="LF803" s="1265"/>
      <c r="LG803" s="1265"/>
      <c r="LH803" s="1265"/>
      <c r="LI803" s="1265"/>
      <c r="LJ803" s="1265"/>
      <c r="LK803" s="1265"/>
      <c r="LL803" s="1265"/>
      <c r="LM803" s="1265"/>
      <c r="LN803" s="1265"/>
      <c r="LO803" s="1265"/>
      <c r="LP803" s="1265"/>
      <c r="LQ803" s="1265"/>
      <c r="LR803" s="1265"/>
      <c r="LS803" s="1265"/>
      <c r="LT803" s="1265"/>
      <c r="LU803" s="1265"/>
      <c r="LV803" s="1265"/>
      <c r="LW803" s="1265"/>
      <c r="LX803" s="1265"/>
      <c r="LY803" s="1265"/>
      <c r="LZ803" s="1265"/>
      <c r="MA803" s="1265"/>
      <c r="MB803" s="1265"/>
      <c r="MC803" s="1265"/>
      <c r="MD803" s="1265"/>
      <c r="ME803" s="1265"/>
      <c r="MF803" s="1265"/>
      <c r="MG803" s="1265"/>
      <c r="MH803" s="1265"/>
      <c r="MI803" s="1265"/>
      <c r="MJ803" s="1265"/>
      <c r="MK803" s="1265"/>
      <c r="ML803" s="1265"/>
      <c r="MM803" s="1265"/>
      <c r="MN803" s="1265"/>
      <c r="MO803" s="1265"/>
      <c r="MP803" s="1265"/>
      <c r="MQ803" s="1265"/>
      <c r="MR803" s="1265"/>
      <c r="MS803" s="1265"/>
      <c r="MT803" s="1265"/>
      <c r="MU803" s="1265"/>
      <c r="MV803" s="1265"/>
      <c r="MW803" s="1265"/>
      <c r="MX803" s="1265"/>
      <c r="MY803" s="1265"/>
      <c r="MZ803" s="1265"/>
      <c r="NA803" s="1265"/>
      <c r="NB803" s="1265"/>
      <c r="NC803" s="1265"/>
      <c r="ND803" s="1265"/>
      <c r="NE803" s="1265"/>
      <c r="NF803" s="1265"/>
      <c r="NG803" s="1265"/>
      <c r="NH803" s="1265"/>
      <c r="NI803" s="1265"/>
      <c r="NJ803" s="1265"/>
      <c r="NK803" s="1265"/>
      <c r="NL803" s="1265"/>
      <c r="NM803" s="1265"/>
      <c r="NN803" s="1265"/>
      <c r="NO803" s="1265"/>
      <c r="NP803" s="1265"/>
      <c r="NQ803" s="1265"/>
      <c r="NR803" s="1265"/>
      <c r="NS803" s="1265"/>
      <c r="NT803" s="1265"/>
      <c r="NU803" s="1265"/>
      <c r="NV803" s="1265"/>
      <c r="NW803" s="1265"/>
      <c r="NX803" s="1265"/>
      <c r="NY803" s="1265"/>
      <c r="NZ803" s="1265"/>
      <c r="OA803" s="1265"/>
      <c r="OB803" s="1265"/>
      <c r="OC803" s="1265"/>
      <c r="OD803" s="1265"/>
      <c r="OE803" s="1265"/>
      <c r="OF803" s="1265"/>
      <c r="OG803" s="1265"/>
      <c r="OH803" s="1265"/>
      <c r="OI803" s="1265"/>
      <c r="OJ803" s="1265"/>
      <c r="OK803" s="1265"/>
      <c r="OL803" s="1265"/>
      <c r="OM803" s="1265"/>
      <c r="ON803" s="1265"/>
      <c r="OO803" s="1265"/>
      <c r="OP803" s="1265"/>
      <c r="OQ803" s="1265"/>
      <c r="OR803" s="1265"/>
      <c r="OS803" s="1265"/>
      <c r="OT803" s="1265"/>
      <c r="OU803" s="1265"/>
      <c r="OV803" s="1265"/>
      <c r="OW803" s="1265"/>
      <c r="OX803" s="1265"/>
      <c r="OY803" s="1265"/>
      <c r="OZ803" s="1265"/>
      <c r="PA803" s="1265"/>
      <c r="PB803" s="1265"/>
      <c r="PC803" s="1265"/>
      <c r="PD803" s="1265"/>
      <c r="PE803" s="1265"/>
      <c r="PF803" s="1265"/>
      <c r="PG803" s="1265"/>
      <c r="PH803" s="1265"/>
      <c r="PI803" s="1265"/>
      <c r="PJ803" s="1265"/>
      <c r="PK803" s="1265"/>
      <c r="PL803" s="1265"/>
      <c r="PM803" s="1265"/>
      <c r="PN803" s="1265"/>
      <c r="PO803" s="1265"/>
      <c r="PP803" s="1265"/>
      <c r="PQ803" s="1265"/>
      <c r="PR803" s="1265"/>
      <c r="PS803" s="1265"/>
      <c r="PT803" s="1265"/>
      <c r="PU803" s="1265"/>
      <c r="PV803" s="1265"/>
      <c r="PW803" s="1265"/>
      <c r="PX803" s="1265"/>
      <c r="PY803" s="1265"/>
      <c r="PZ803" s="1265"/>
      <c r="QA803" s="1265"/>
      <c r="QB803" s="1265"/>
      <c r="QC803" s="1265"/>
      <c r="QD803" s="1265"/>
      <c r="QE803" s="1265"/>
      <c r="QF803" s="1265"/>
      <c r="QG803" s="1265"/>
      <c r="QH803" s="1265"/>
      <c r="QI803" s="1265"/>
      <c r="QJ803" s="1265"/>
      <c r="QK803" s="1265"/>
      <c r="QL803" s="1265"/>
      <c r="QM803" s="1265"/>
      <c r="QN803" s="1265"/>
      <c r="QO803" s="1265"/>
      <c r="QP803" s="1265"/>
      <c r="QQ803" s="1265"/>
      <c r="QR803" s="1265"/>
      <c r="QS803" s="1265"/>
      <c r="QT803" s="1265"/>
      <c r="QU803" s="1265"/>
      <c r="QV803" s="1265"/>
      <c r="QW803" s="1265"/>
      <c r="QX803" s="1265"/>
      <c r="QY803" s="1265"/>
      <c r="QZ803" s="1265"/>
      <c r="RA803" s="1265"/>
      <c r="RB803" s="1265"/>
      <c r="RC803" s="1265"/>
      <c r="RD803" s="1265"/>
      <c r="RE803" s="1265"/>
      <c r="RF803" s="1265"/>
      <c r="RG803" s="1265"/>
      <c r="RH803" s="1265"/>
      <c r="RI803" s="1265"/>
      <c r="RJ803" s="1265"/>
      <c r="RK803" s="1265"/>
      <c r="RL803" s="1265"/>
      <c r="RM803" s="1265"/>
      <c r="RN803" s="1265"/>
      <c r="RO803" s="1265"/>
      <c r="RP803" s="1265"/>
      <c r="RQ803" s="1265"/>
      <c r="RR803" s="1265"/>
      <c r="RS803" s="1265"/>
      <c r="RT803" s="1265"/>
      <c r="RU803" s="1265"/>
      <c r="RV803" s="1265"/>
      <c r="RW803" s="1265"/>
      <c r="RX803" s="1265"/>
      <c r="RY803" s="1265"/>
      <c r="RZ803" s="1265"/>
      <c r="SA803" s="1265"/>
      <c r="SB803" s="1265"/>
      <c r="SC803" s="1265"/>
      <c r="SD803" s="1265"/>
      <c r="SE803" s="1265"/>
      <c r="SF803" s="1265"/>
      <c r="SG803" s="1265"/>
      <c r="SH803" s="1265"/>
      <c r="SI803" s="1265"/>
      <c r="SJ803" s="1265"/>
      <c r="SK803" s="1265"/>
      <c r="SL803" s="1265"/>
      <c r="SM803" s="1265"/>
      <c r="SN803" s="1265"/>
      <c r="SO803" s="1265"/>
      <c r="SP803" s="1265"/>
      <c r="SQ803" s="1265"/>
      <c r="SR803" s="1265"/>
      <c r="SS803" s="1265"/>
      <c r="ST803" s="1265"/>
      <c r="SU803" s="1265"/>
      <c r="SV803" s="1265"/>
      <c r="SW803" s="1265"/>
      <c r="SX803" s="1265"/>
      <c r="SY803" s="1265"/>
      <c r="SZ803" s="1265"/>
      <c r="TA803" s="1265"/>
      <c r="TB803" s="1265"/>
      <c r="TC803" s="1265"/>
      <c r="TD803" s="1265"/>
      <c r="TE803" s="1265"/>
      <c r="TF803" s="1265"/>
      <c r="TG803" s="1265"/>
      <c r="TH803" s="1265"/>
      <c r="TI803" s="1265"/>
      <c r="TJ803" s="1265"/>
      <c r="TK803" s="1265"/>
      <c r="TL803" s="1265"/>
      <c r="TM803" s="1265"/>
      <c r="TN803" s="1265"/>
      <c r="TO803" s="1265"/>
      <c r="TP803" s="1265"/>
      <c r="TQ803" s="1265"/>
      <c r="TR803" s="1265"/>
      <c r="TS803" s="1265"/>
      <c r="TT803" s="1265"/>
      <c r="TU803" s="1265"/>
      <c r="TV803" s="1265"/>
      <c r="TW803" s="1265"/>
      <c r="TX803" s="1265"/>
      <c r="TY803" s="1265"/>
      <c r="TZ803" s="1265"/>
      <c r="UA803" s="1265"/>
      <c r="UB803" s="1265"/>
      <c r="UC803" s="1265"/>
      <c r="UD803" s="1265"/>
      <c r="UE803" s="1265"/>
      <c r="UF803" s="1265"/>
      <c r="UG803" s="1266"/>
    </row>
    <row r="804" spans="1:553" s="1262" customFormat="1" ht="30.75" customHeight="1">
      <c r="A804" s="445"/>
      <c r="B804" s="445"/>
      <c r="C804" s="1405" t="s">
        <v>1146</v>
      </c>
      <c r="D804" s="1406" t="s">
        <v>840</v>
      </c>
      <c r="E804" s="1406" t="s">
        <v>840</v>
      </c>
      <c r="F804" s="1407" t="s">
        <v>840</v>
      </c>
      <c r="G804" s="418" t="s">
        <v>196</v>
      </c>
      <c r="H804" s="359"/>
      <c r="I804" s="370">
        <f>(31.98*100/400)*(17-(10-3))*2</f>
        <v>159.9</v>
      </c>
      <c r="J804" s="368">
        <v>5800</v>
      </c>
      <c r="K804" s="650">
        <v>0.7</v>
      </c>
      <c r="L804" s="368">
        <f>I804*J804*K804</f>
        <v>649194</v>
      </c>
      <c r="M804" s="356"/>
      <c r="N804" s="356"/>
      <c r="O804" s="356"/>
      <c r="P804" s="356"/>
      <c r="Q804" s="610"/>
      <c r="R804" s="1228"/>
      <c r="S804" s="308"/>
      <c r="T804" s="308"/>
      <c r="U804" s="308"/>
      <c r="V804" s="308"/>
      <c r="W804" s="308"/>
      <c r="X804" s="308"/>
      <c r="Y804" s="308"/>
      <c r="Z804" s="604"/>
      <c r="AA804" s="308"/>
      <c r="AB804" s="308"/>
      <c r="AC804" s="454"/>
      <c r="AD804" s="454"/>
      <c r="AE804" s="454"/>
      <c r="AF804" s="454"/>
      <c r="AG804" s="454"/>
      <c r="AH804" s="454"/>
      <c r="AI804" s="454"/>
      <c r="AJ804" s="454"/>
      <c r="AK804" s="455"/>
      <c r="AL804" s="1263"/>
      <c r="AM804" s="1263"/>
      <c r="AN804" s="1263"/>
      <c r="AO804" s="1263"/>
      <c r="AP804" s="1263"/>
      <c r="AQ804" s="1263"/>
      <c r="AR804" s="1263"/>
      <c r="AS804" s="1264"/>
      <c r="AT804" s="1264"/>
      <c r="AU804" s="1264"/>
      <c r="AV804" s="1264"/>
      <c r="AW804" s="1264"/>
      <c r="AX804" s="1264"/>
      <c r="AY804" s="1264"/>
      <c r="AZ804" s="1264"/>
      <c r="BA804" s="1264"/>
      <c r="BB804" s="1264"/>
      <c r="BC804" s="1264"/>
      <c r="BD804" s="1264"/>
      <c r="BE804" s="1264"/>
      <c r="BF804" s="1264"/>
      <c r="BG804" s="1264"/>
      <c r="BH804" s="1264"/>
      <c r="BI804" s="1264"/>
      <c r="BJ804" s="1264"/>
      <c r="BK804" s="1264"/>
      <c r="BL804" s="1264"/>
      <c r="BM804" s="1264"/>
      <c r="BN804" s="1264"/>
      <c r="BO804" s="1264"/>
      <c r="BP804" s="1265"/>
      <c r="BQ804" s="1265"/>
      <c r="BR804" s="1265"/>
      <c r="BS804" s="1265"/>
      <c r="BT804" s="1265"/>
      <c r="BU804" s="1265"/>
      <c r="BV804" s="1265"/>
      <c r="BW804" s="1265"/>
      <c r="BX804" s="1265"/>
      <c r="BY804" s="1265"/>
      <c r="BZ804" s="1265"/>
      <c r="CA804" s="1265"/>
      <c r="CB804" s="1265"/>
      <c r="CC804" s="1265"/>
      <c r="CD804" s="1265"/>
      <c r="CE804" s="1265"/>
      <c r="CF804" s="1265"/>
      <c r="CG804" s="1265"/>
      <c r="CH804" s="1265"/>
      <c r="CI804" s="1265"/>
      <c r="CJ804" s="1265"/>
      <c r="CK804" s="1265"/>
      <c r="CL804" s="1265"/>
      <c r="CM804" s="1265"/>
      <c r="CN804" s="1265"/>
      <c r="CO804" s="1265"/>
      <c r="CP804" s="1265"/>
      <c r="CQ804" s="1265"/>
      <c r="CR804" s="1265"/>
      <c r="CS804" s="1265"/>
      <c r="CT804" s="1265"/>
      <c r="CU804" s="1265"/>
      <c r="CV804" s="1265"/>
      <c r="CW804" s="1265"/>
      <c r="CX804" s="1265"/>
      <c r="CY804" s="1265"/>
      <c r="CZ804" s="1265"/>
      <c r="DA804" s="1265"/>
      <c r="DB804" s="1265"/>
      <c r="DC804" s="1265"/>
      <c r="DD804" s="1265"/>
      <c r="DE804" s="1265"/>
      <c r="DF804" s="1265"/>
      <c r="DG804" s="1265"/>
      <c r="DH804" s="1265"/>
      <c r="DI804" s="1265"/>
      <c r="DJ804" s="1265"/>
      <c r="DK804" s="1265"/>
      <c r="DL804" s="1265"/>
      <c r="DM804" s="1265"/>
      <c r="DN804" s="1265"/>
      <c r="DO804" s="1265"/>
      <c r="DP804" s="1265"/>
      <c r="DQ804" s="1265"/>
      <c r="DR804" s="1265"/>
      <c r="DS804" s="1265"/>
      <c r="DT804" s="1265"/>
      <c r="DU804" s="1265"/>
      <c r="DV804" s="1265"/>
      <c r="DW804" s="1265"/>
      <c r="DX804" s="1265"/>
      <c r="DY804" s="1265"/>
      <c r="DZ804" s="1265"/>
      <c r="EA804" s="1265"/>
      <c r="EB804" s="1265"/>
      <c r="EC804" s="1265"/>
      <c r="ED804" s="1265"/>
      <c r="EE804" s="1265"/>
      <c r="EF804" s="1265"/>
      <c r="EG804" s="1265"/>
      <c r="EH804" s="1265"/>
      <c r="EI804" s="1265"/>
      <c r="EJ804" s="1265"/>
      <c r="EK804" s="1265"/>
      <c r="EL804" s="1265"/>
      <c r="EM804" s="1265"/>
      <c r="EN804" s="1265"/>
      <c r="EO804" s="1265"/>
      <c r="EP804" s="1265"/>
      <c r="EQ804" s="1265"/>
      <c r="ER804" s="1265"/>
      <c r="ES804" s="1265"/>
      <c r="ET804" s="1265"/>
      <c r="EU804" s="1265"/>
      <c r="EV804" s="1265"/>
      <c r="EW804" s="1265"/>
      <c r="EX804" s="1265"/>
      <c r="EY804" s="1265"/>
      <c r="EZ804" s="1265"/>
      <c r="FA804" s="1265"/>
      <c r="FB804" s="1265"/>
      <c r="FC804" s="1265"/>
      <c r="FD804" s="1265"/>
      <c r="FE804" s="1265"/>
      <c r="FF804" s="1265"/>
      <c r="FG804" s="1265"/>
      <c r="FH804" s="1265"/>
      <c r="FI804" s="1265"/>
      <c r="FJ804" s="1265"/>
      <c r="FK804" s="1265"/>
      <c r="FL804" s="1265"/>
      <c r="FM804" s="1265"/>
      <c r="FN804" s="1265"/>
      <c r="FO804" s="1265"/>
      <c r="FP804" s="1265"/>
      <c r="FQ804" s="1265"/>
      <c r="FR804" s="1265"/>
      <c r="FS804" s="1265"/>
      <c r="FT804" s="1265"/>
      <c r="FU804" s="1265"/>
      <c r="FV804" s="1265"/>
      <c r="FW804" s="1265"/>
      <c r="FX804" s="1265"/>
      <c r="FY804" s="1265"/>
      <c r="FZ804" s="1265"/>
      <c r="GA804" s="1265"/>
      <c r="GB804" s="1265"/>
      <c r="GC804" s="1265"/>
      <c r="GD804" s="1265"/>
      <c r="GE804" s="1265"/>
      <c r="GF804" s="1265"/>
      <c r="GG804" s="1265"/>
      <c r="GH804" s="1265"/>
      <c r="GI804" s="1265"/>
      <c r="GJ804" s="1265"/>
      <c r="GK804" s="1265"/>
      <c r="GL804" s="1265"/>
      <c r="GM804" s="1265"/>
      <c r="GN804" s="1265"/>
      <c r="GO804" s="1265"/>
      <c r="GP804" s="1265"/>
      <c r="GQ804" s="1265"/>
      <c r="GR804" s="1265"/>
      <c r="GS804" s="1265"/>
      <c r="GT804" s="1265"/>
      <c r="GU804" s="1265"/>
      <c r="GV804" s="1265"/>
      <c r="GW804" s="1265"/>
      <c r="GX804" s="1265"/>
      <c r="GY804" s="1265"/>
      <c r="GZ804" s="1265"/>
      <c r="HA804" s="1265"/>
      <c r="HB804" s="1265"/>
      <c r="HC804" s="1265"/>
      <c r="HD804" s="1265"/>
      <c r="HE804" s="1265"/>
      <c r="HF804" s="1265"/>
      <c r="HG804" s="1265"/>
      <c r="HH804" s="1265"/>
      <c r="HI804" s="1265"/>
      <c r="HJ804" s="1265"/>
      <c r="HK804" s="1265"/>
      <c r="HL804" s="1265"/>
      <c r="HM804" s="1265"/>
      <c r="HN804" s="1265"/>
      <c r="HO804" s="1265"/>
      <c r="HP804" s="1265"/>
      <c r="HQ804" s="1265"/>
      <c r="HR804" s="1265"/>
      <c r="HS804" s="1265"/>
      <c r="HT804" s="1265"/>
      <c r="HU804" s="1265"/>
      <c r="HV804" s="1265"/>
      <c r="HW804" s="1265"/>
      <c r="HX804" s="1265"/>
      <c r="HY804" s="1265"/>
      <c r="HZ804" s="1265"/>
      <c r="IA804" s="1265"/>
      <c r="IB804" s="1265"/>
      <c r="IC804" s="1265"/>
      <c r="ID804" s="1265"/>
      <c r="IE804" s="1265"/>
      <c r="IF804" s="1265"/>
      <c r="IG804" s="1265"/>
      <c r="IH804" s="1265"/>
      <c r="II804" s="1265"/>
      <c r="IJ804" s="1265"/>
      <c r="IK804" s="1265"/>
      <c r="IL804" s="1265"/>
      <c r="IM804" s="1265"/>
      <c r="IN804" s="1265"/>
      <c r="IO804" s="1265"/>
      <c r="IP804" s="1265"/>
      <c r="IQ804" s="1265"/>
      <c r="IR804" s="1265"/>
      <c r="IS804" s="1265"/>
      <c r="IT804" s="1265"/>
      <c r="IU804" s="1265"/>
      <c r="IV804" s="1265"/>
      <c r="IW804" s="1265"/>
      <c r="IX804" s="1265"/>
      <c r="IY804" s="1265"/>
      <c r="IZ804" s="1265"/>
      <c r="JA804" s="1265"/>
      <c r="JB804" s="1265"/>
      <c r="JC804" s="1265"/>
      <c r="JD804" s="1265"/>
      <c r="JE804" s="1265"/>
      <c r="JF804" s="1265"/>
      <c r="JG804" s="1265"/>
      <c r="JH804" s="1265"/>
      <c r="JI804" s="1265"/>
      <c r="JJ804" s="1265"/>
      <c r="JK804" s="1265"/>
      <c r="JL804" s="1265"/>
      <c r="JM804" s="1265"/>
      <c r="JN804" s="1265"/>
      <c r="JO804" s="1265"/>
      <c r="JP804" s="1265"/>
      <c r="JQ804" s="1265"/>
      <c r="JR804" s="1265"/>
      <c r="JS804" s="1265"/>
      <c r="JT804" s="1265"/>
      <c r="JU804" s="1265"/>
      <c r="JV804" s="1265"/>
      <c r="JW804" s="1265"/>
      <c r="JX804" s="1265"/>
      <c r="JY804" s="1265"/>
      <c r="JZ804" s="1265"/>
      <c r="KA804" s="1265"/>
      <c r="KB804" s="1265"/>
      <c r="KC804" s="1265"/>
      <c r="KD804" s="1265"/>
      <c r="KE804" s="1265"/>
      <c r="KF804" s="1265"/>
      <c r="KG804" s="1265"/>
      <c r="KH804" s="1265"/>
      <c r="KI804" s="1265"/>
      <c r="KJ804" s="1265"/>
      <c r="KK804" s="1265"/>
      <c r="KL804" s="1265"/>
      <c r="KM804" s="1265"/>
      <c r="KN804" s="1265"/>
      <c r="KO804" s="1265"/>
      <c r="KP804" s="1265"/>
      <c r="KQ804" s="1265"/>
      <c r="KR804" s="1265"/>
      <c r="KS804" s="1265"/>
      <c r="KT804" s="1265"/>
      <c r="KU804" s="1265"/>
      <c r="KV804" s="1265"/>
      <c r="KW804" s="1265"/>
      <c r="KX804" s="1265"/>
      <c r="KY804" s="1265"/>
      <c r="KZ804" s="1265"/>
      <c r="LA804" s="1265"/>
      <c r="LB804" s="1265"/>
      <c r="LC804" s="1265"/>
      <c r="LD804" s="1265"/>
      <c r="LE804" s="1265"/>
      <c r="LF804" s="1265"/>
      <c r="LG804" s="1265"/>
      <c r="LH804" s="1265"/>
      <c r="LI804" s="1265"/>
      <c r="LJ804" s="1265"/>
      <c r="LK804" s="1265"/>
      <c r="LL804" s="1265"/>
      <c r="LM804" s="1265"/>
      <c r="LN804" s="1265"/>
      <c r="LO804" s="1265"/>
      <c r="LP804" s="1265"/>
      <c r="LQ804" s="1265"/>
      <c r="LR804" s="1265"/>
      <c r="LS804" s="1265"/>
      <c r="LT804" s="1265"/>
      <c r="LU804" s="1265"/>
      <c r="LV804" s="1265"/>
      <c r="LW804" s="1265"/>
      <c r="LX804" s="1265"/>
      <c r="LY804" s="1265"/>
      <c r="LZ804" s="1265"/>
      <c r="MA804" s="1265"/>
      <c r="MB804" s="1265"/>
      <c r="MC804" s="1265"/>
      <c r="MD804" s="1265"/>
      <c r="ME804" s="1265"/>
      <c r="MF804" s="1265"/>
      <c r="MG804" s="1265"/>
      <c r="MH804" s="1265"/>
      <c r="MI804" s="1265"/>
      <c r="MJ804" s="1265"/>
      <c r="MK804" s="1265"/>
      <c r="ML804" s="1265"/>
      <c r="MM804" s="1265"/>
      <c r="MN804" s="1265"/>
      <c r="MO804" s="1265"/>
      <c r="MP804" s="1265"/>
      <c r="MQ804" s="1265"/>
      <c r="MR804" s="1265"/>
      <c r="MS804" s="1265"/>
      <c r="MT804" s="1265"/>
      <c r="MU804" s="1265"/>
      <c r="MV804" s="1265"/>
      <c r="MW804" s="1265"/>
      <c r="MX804" s="1265"/>
      <c r="MY804" s="1265"/>
      <c r="MZ804" s="1265"/>
      <c r="NA804" s="1265"/>
      <c r="NB804" s="1265"/>
      <c r="NC804" s="1265"/>
      <c r="ND804" s="1265"/>
      <c r="NE804" s="1265"/>
      <c r="NF804" s="1265"/>
      <c r="NG804" s="1265"/>
      <c r="NH804" s="1265"/>
      <c r="NI804" s="1265"/>
      <c r="NJ804" s="1265"/>
      <c r="NK804" s="1265"/>
      <c r="NL804" s="1265"/>
      <c r="NM804" s="1265"/>
      <c r="NN804" s="1265"/>
      <c r="NO804" s="1265"/>
      <c r="NP804" s="1265"/>
      <c r="NQ804" s="1265"/>
      <c r="NR804" s="1265"/>
      <c r="NS804" s="1265"/>
      <c r="NT804" s="1265"/>
      <c r="NU804" s="1265"/>
      <c r="NV804" s="1265"/>
      <c r="NW804" s="1265"/>
      <c r="NX804" s="1265"/>
      <c r="NY804" s="1265"/>
      <c r="NZ804" s="1265"/>
      <c r="OA804" s="1265"/>
      <c r="OB804" s="1265"/>
      <c r="OC804" s="1265"/>
      <c r="OD804" s="1265"/>
      <c r="OE804" s="1265"/>
      <c r="OF804" s="1265"/>
      <c r="OG804" s="1265"/>
      <c r="OH804" s="1265"/>
      <c r="OI804" s="1265"/>
      <c r="OJ804" s="1265"/>
      <c r="OK804" s="1265"/>
      <c r="OL804" s="1265"/>
      <c r="OM804" s="1265"/>
      <c r="ON804" s="1265"/>
      <c r="OO804" s="1265"/>
      <c r="OP804" s="1265"/>
      <c r="OQ804" s="1265"/>
      <c r="OR804" s="1265"/>
      <c r="OS804" s="1265"/>
      <c r="OT804" s="1265"/>
      <c r="OU804" s="1265"/>
      <c r="OV804" s="1265"/>
      <c r="OW804" s="1265"/>
      <c r="OX804" s="1265"/>
      <c r="OY804" s="1265"/>
      <c r="OZ804" s="1265"/>
      <c r="PA804" s="1265"/>
      <c r="PB804" s="1265"/>
      <c r="PC804" s="1265"/>
      <c r="PD804" s="1265"/>
      <c r="PE804" s="1265"/>
      <c r="PF804" s="1265"/>
      <c r="PG804" s="1265"/>
      <c r="PH804" s="1265"/>
      <c r="PI804" s="1265"/>
      <c r="PJ804" s="1265"/>
      <c r="PK804" s="1265"/>
      <c r="PL804" s="1265"/>
      <c r="PM804" s="1265"/>
      <c r="PN804" s="1265"/>
      <c r="PO804" s="1265"/>
      <c r="PP804" s="1265"/>
      <c r="PQ804" s="1265"/>
      <c r="PR804" s="1265"/>
      <c r="PS804" s="1265"/>
      <c r="PT804" s="1265"/>
      <c r="PU804" s="1265"/>
      <c r="PV804" s="1265"/>
      <c r="PW804" s="1265"/>
      <c r="PX804" s="1265"/>
      <c r="PY804" s="1265"/>
      <c r="PZ804" s="1265"/>
      <c r="QA804" s="1265"/>
      <c r="QB804" s="1265"/>
      <c r="QC804" s="1265"/>
      <c r="QD804" s="1265"/>
      <c r="QE804" s="1265"/>
      <c r="QF804" s="1265"/>
      <c r="QG804" s="1265"/>
      <c r="QH804" s="1265"/>
      <c r="QI804" s="1265"/>
      <c r="QJ804" s="1265"/>
      <c r="QK804" s="1265"/>
      <c r="QL804" s="1265"/>
      <c r="QM804" s="1265"/>
      <c r="QN804" s="1265"/>
      <c r="QO804" s="1265"/>
      <c r="QP804" s="1265"/>
      <c r="QQ804" s="1265"/>
      <c r="QR804" s="1265"/>
      <c r="QS804" s="1265"/>
      <c r="QT804" s="1265"/>
      <c r="QU804" s="1265"/>
      <c r="QV804" s="1265"/>
      <c r="QW804" s="1265"/>
      <c r="QX804" s="1265"/>
      <c r="QY804" s="1265"/>
      <c r="QZ804" s="1265"/>
      <c r="RA804" s="1265"/>
      <c r="RB804" s="1265"/>
      <c r="RC804" s="1265"/>
      <c r="RD804" s="1265"/>
      <c r="RE804" s="1265"/>
      <c r="RF804" s="1265"/>
      <c r="RG804" s="1265"/>
      <c r="RH804" s="1265"/>
      <c r="RI804" s="1265"/>
      <c r="RJ804" s="1265"/>
      <c r="RK804" s="1265"/>
      <c r="RL804" s="1265"/>
      <c r="RM804" s="1265"/>
      <c r="RN804" s="1265"/>
      <c r="RO804" s="1265"/>
      <c r="RP804" s="1265"/>
      <c r="RQ804" s="1265"/>
      <c r="RR804" s="1265"/>
      <c r="RS804" s="1265"/>
      <c r="RT804" s="1265"/>
      <c r="RU804" s="1265"/>
      <c r="RV804" s="1265"/>
      <c r="RW804" s="1265"/>
      <c r="RX804" s="1265"/>
      <c r="RY804" s="1265"/>
      <c r="RZ804" s="1265"/>
      <c r="SA804" s="1265"/>
      <c r="SB804" s="1265"/>
      <c r="SC804" s="1265"/>
      <c r="SD804" s="1265"/>
      <c r="SE804" s="1265"/>
      <c r="SF804" s="1265"/>
      <c r="SG804" s="1265"/>
      <c r="SH804" s="1265"/>
      <c r="SI804" s="1265"/>
      <c r="SJ804" s="1265"/>
      <c r="SK804" s="1265"/>
      <c r="SL804" s="1265"/>
      <c r="SM804" s="1265"/>
      <c r="SN804" s="1265"/>
      <c r="SO804" s="1265"/>
      <c r="SP804" s="1265"/>
      <c r="SQ804" s="1265"/>
      <c r="SR804" s="1265"/>
      <c r="SS804" s="1265"/>
      <c r="ST804" s="1265"/>
      <c r="SU804" s="1265"/>
      <c r="SV804" s="1265"/>
      <c r="SW804" s="1265"/>
      <c r="SX804" s="1265"/>
      <c r="SY804" s="1265"/>
      <c r="SZ804" s="1265"/>
      <c r="TA804" s="1265"/>
      <c r="TB804" s="1265"/>
      <c r="TC804" s="1265"/>
      <c r="TD804" s="1265"/>
      <c r="TE804" s="1265"/>
      <c r="TF804" s="1265"/>
      <c r="TG804" s="1265"/>
      <c r="TH804" s="1265"/>
      <c r="TI804" s="1265"/>
      <c r="TJ804" s="1265"/>
      <c r="TK804" s="1265"/>
      <c r="TL804" s="1265"/>
      <c r="TM804" s="1265"/>
      <c r="TN804" s="1265"/>
      <c r="TO804" s="1265"/>
      <c r="TP804" s="1265"/>
      <c r="TQ804" s="1265"/>
      <c r="TR804" s="1265"/>
      <c r="TS804" s="1265"/>
      <c r="TT804" s="1265"/>
      <c r="TU804" s="1265"/>
      <c r="TV804" s="1265"/>
      <c r="TW804" s="1265"/>
      <c r="TX804" s="1265"/>
      <c r="TY804" s="1265"/>
      <c r="TZ804" s="1265"/>
      <c r="UA804" s="1265"/>
      <c r="UB804" s="1265"/>
      <c r="UC804" s="1265"/>
      <c r="UD804" s="1265"/>
      <c r="UE804" s="1265"/>
      <c r="UF804" s="1265"/>
      <c r="UG804" s="1266"/>
    </row>
    <row r="805" spans="1:553" s="1262" customFormat="1" ht="30.75" customHeight="1">
      <c r="A805" s="1231"/>
      <c r="B805" s="1231"/>
      <c r="C805" s="1408" t="s">
        <v>1147</v>
      </c>
      <c r="D805" s="1409" t="s">
        <v>1148</v>
      </c>
      <c r="E805" s="1409" t="s">
        <v>1148</v>
      </c>
      <c r="F805" s="1410" t="s">
        <v>1148</v>
      </c>
      <c r="G805" s="1007" t="s">
        <v>196</v>
      </c>
      <c r="H805" s="651"/>
      <c r="I805" s="420">
        <f>(31.98*100/400)*(17-(15-3))*1</f>
        <v>39.975000000000001</v>
      </c>
      <c r="J805" s="985">
        <v>5800</v>
      </c>
      <c r="K805" s="660">
        <v>0.7</v>
      </c>
      <c r="L805" s="985">
        <f>ROUND(PRODUCT(I805:K805),0)</f>
        <v>162299</v>
      </c>
      <c r="M805" s="356"/>
      <c r="N805" s="356"/>
      <c r="O805" s="356"/>
      <c r="P805" s="356"/>
      <c r="Q805" s="610"/>
      <c r="R805" s="1228"/>
      <c r="S805" s="308"/>
      <c r="T805" s="308"/>
      <c r="U805" s="308"/>
      <c r="V805" s="308"/>
      <c r="W805" s="308"/>
      <c r="X805" s="308"/>
      <c r="Y805" s="308"/>
      <c r="Z805" s="604"/>
      <c r="AA805" s="308"/>
      <c r="AB805" s="308"/>
      <c r="AC805" s="454"/>
      <c r="AD805" s="454"/>
      <c r="AE805" s="454"/>
      <c r="AF805" s="454"/>
      <c r="AG805" s="454"/>
      <c r="AH805" s="454"/>
      <c r="AI805" s="454"/>
      <c r="AJ805" s="454"/>
      <c r="AK805" s="455"/>
      <c r="AL805" s="1263"/>
      <c r="AM805" s="1263"/>
      <c r="AN805" s="1263"/>
      <c r="AO805" s="1263"/>
      <c r="AP805" s="1263"/>
      <c r="AQ805" s="1263"/>
      <c r="AR805" s="1263"/>
      <c r="AS805" s="1264"/>
      <c r="AT805" s="1264"/>
      <c r="AU805" s="1264"/>
      <c r="AV805" s="1264"/>
      <c r="AW805" s="1264"/>
      <c r="AX805" s="1264"/>
      <c r="AY805" s="1264"/>
      <c r="AZ805" s="1264"/>
      <c r="BA805" s="1264"/>
      <c r="BB805" s="1264"/>
      <c r="BC805" s="1264"/>
      <c r="BD805" s="1264"/>
      <c r="BE805" s="1264"/>
      <c r="BF805" s="1264"/>
      <c r="BG805" s="1264"/>
      <c r="BH805" s="1264"/>
      <c r="BI805" s="1264"/>
      <c r="BJ805" s="1264"/>
      <c r="BK805" s="1264"/>
      <c r="BL805" s="1264"/>
      <c r="BM805" s="1264"/>
      <c r="BN805" s="1264"/>
      <c r="BO805" s="1264"/>
      <c r="BP805" s="1265"/>
      <c r="BQ805" s="1265"/>
      <c r="BR805" s="1265"/>
      <c r="BS805" s="1265"/>
      <c r="BT805" s="1265"/>
      <c r="BU805" s="1265"/>
      <c r="BV805" s="1265"/>
      <c r="BW805" s="1265"/>
      <c r="BX805" s="1265"/>
      <c r="BY805" s="1265"/>
      <c r="BZ805" s="1265"/>
      <c r="CA805" s="1265"/>
      <c r="CB805" s="1265"/>
      <c r="CC805" s="1265"/>
      <c r="CD805" s="1265"/>
      <c r="CE805" s="1265"/>
      <c r="CF805" s="1265"/>
      <c r="CG805" s="1265"/>
      <c r="CH805" s="1265"/>
      <c r="CI805" s="1265"/>
      <c r="CJ805" s="1265"/>
      <c r="CK805" s="1265"/>
      <c r="CL805" s="1265"/>
      <c r="CM805" s="1265"/>
      <c r="CN805" s="1265"/>
      <c r="CO805" s="1265"/>
      <c r="CP805" s="1265"/>
      <c r="CQ805" s="1265"/>
      <c r="CR805" s="1265"/>
      <c r="CS805" s="1265"/>
      <c r="CT805" s="1265"/>
      <c r="CU805" s="1265"/>
      <c r="CV805" s="1265"/>
      <c r="CW805" s="1265"/>
      <c r="CX805" s="1265"/>
      <c r="CY805" s="1265"/>
      <c r="CZ805" s="1265"/>
      <c r="DA805" s="1265"/>
      <c r="DB805" s="1265"/>
      <c r="DC805" s="1265"/>
      <c r="DD805" s="1265"/>
      <c r="DE805" s="1265"/>
      <c r="DF805" s="1265"/>
      <c r="DG805" s="1265"/>
      <c r="DH805" s="1265"/>
      <c r="DI805" s="1265"/>
      <c r="DJ805" s="1265"/>
      <c r="DK805" s="1265"/>
      <c r="DL805" s="1265"/>
      <c r="DM805" s="1265"/>
      <c r="DN805" s="1265"/>
      <c r="DO805" s="1265"/>
      <c r="DP805" s="1265"/>
      <c r="DQ805" s="1265"/>
      <c r="DR805" s="1265"/>
      <c r="DS805" s="1265"/>
      <c r="DT805" s="1265"/>
      <c r="DU805" s="1265"/>
      <c r="DV805" s="1265"/>
      <c r="DW805" s="1265"/>
      <c r="DX805" s="1265"/>
      <c r="DY805" s="1265"/>
      <c r="DZ805" s="1265"/>
      <c r="EA805" s="1265"/>
      <c r="EB805" s="1265"/>
      <c r="EC805" s="1265"/>
      <c r="ED805" s="1265"/>
      <c r="EE805" s="1265"/>
      <c r="EF805" s="1265"/>
      <c r="EG805" s="1265"/>
      <c r="EH805" s="1265"/>
      <c r="EI805" s="1265"/>
      <c r="EJ805" s="1265"/>
      <c r="EK805" s="1265"/>
      <c r="EL805" s="1265"/>
      <c r="EM805" s="1265"/>
      <c r="EN805" s="1265"/>
      <c r="EO805" s="1265"/>
      <c r="EP805" s="1265"/>
      <c r="EQ805" s="1265"/>
      <c r="ER805" s="1265"/>
      <c r="ES805" s="1265"/>
      <c r="ET805" s="1265"/>
      <c r="EU805" s="1265"/>
      <c r="EV805" s="1265"/>
      <c r="EW805" s="1265"/>
      <c r="EX805" s="1265"/>
      <c r="EY805" s="1265"/>
      <c r="EZ805" s="1265"/>
      <c r="FA805" s="1265"/>
      <c r="FB805" s="1265"/>
      <c r="FC805" s="1265"/>
      <c r="FD805" s="1265"/>
      <c r="FE805" s="1265"/>
      <c r="FF805" s="1265"/>
      <c r="FG805" s="1265"/>
      <c r="FH805" s="1265"/>
      <c r="FI805" s="1265"/>
      <c r="FJ805" s="1265"/>
      <c r="FK805" s="1265"/>
      <c r="FL805" s="1265"/>
      <c r="FM805" s="1265"/>
      <c r="FN805" s="1265"/>
      <c r="FO805" s="1265"/>
      <c r="FP805" s="1265"/>
      <c r="FQ805" s="1265"/>
      <c r="FR805" s="1265"/>
      <c r="FS805" s="1265"/>
      <c r="FT805" s="1265"/>
      <c r="FU805" s="1265"/>
      <c r="FV805" s="1265"/>
      <c r="FW805" s="1265"/>
      <c r="FX805" s="1265"/>
      <c r="FY805" s="1265"/>
      <c r="FZ805" s="1265"/>
      <c r="GA805" s="1265"/>
      <c r="GB805" s="1265"/>
      <c r="GC805" s="1265"/>
      <c r="GD805" s="1265"/>
      <c r="GE805" s="1265"/>
      <c r="GF805" s="1265"/>
      <c r="GG805" s="1265"/>
      <c r="GH805" s="1265"/>
      <c r="GI805" s="1265"/>
      <c r="GJ805" s="1265"/>
      <c r="GK805" s="1265"/>
      <c r="GL805" s="1265"/>
      <c r="GM805" s="1265"/>
      <c r="GN805" s="1265"/>
      <c r="GO805" s="1265"/>
      <c r="GP805" s="1265"/>
      <c r="GQ805" s="1265"/>
      <c r="GR805" s="1265"/>
      <c r="GS805" s="1265"/>
      <c r="GT805" s="1265"/>
      <c r="GU805" s="1265"/>
      <c r="GV805" s="1265"/>
      <c r="GW805" s="1265"/>
      <c r="GX805" s="1265"/>
      <c r="GY805" s="1265"/>
      <c r="GZ805" s="1265"/>
      <c r="HA805" s="1265"/>
      <c r="HB805" s="1265"/>
      <c r="HC805" s="1265"/>
      <c r="HD805" s="1265"/>
      <c r="HE805" s="1265"/>
      <c r="HF805" s="1265"/>
      <c r="HG805" s="1265"/>
      <c r="HH805" s="1265"/>
      <c r="HI805" s="1265"/>
      <c r="HJ805" s="1265"/>
      <c r="HK805" s="1265"/>
      <c r="HL805" s="1265"/>
      <c r="HM805" s="1265"/>
      <c r="HN805" s="1265"/>
      <c r="HO805" s="1265"/>
      <c r="HP805" s="1265"/>
      <c r="HQ805" s="1265"/>
      <c r="HR805" s="1265"/>
      <c r="HS805" s="1265"/>
      <c r="HT805" s="1265"/>
      <c r="HU805" s="1265"/>
      <c r="HV805" s="1265"/>
      <c r="HW805" s="1265"/>
      <c r="HX805" s="1265"/>
      <c r="HY805" s="1265"/>
      <c r="HZ805" s="1265"/>
      <c r="IA805" s="1265"/>
      <c r="IB805" s="1265"/>
      <c r="IC805" s="1265"/>
      <c r="ID805" s="1265"/>
      <c r="IE805" s="1265"/>
      <c r="IF805" s="1265"/>
      <c r="IG805" s="1265"/>
      <c r="IH805" s="1265"/>
      <c r="II805" s="1265"/>
      <c r="IJ805" s="1265"/>
      <c r="IK805" s="1265"/>
      <c r="IL805" s="1265"/>
      <c r="IM805" s="1265"/>
      <c r="IN805" s="1265"/>
      <c r="IO805" s="1265"/>
      <c r="IP805" s="1265"/>
      <c r="IQ805" s="1265"/>
      <c r="IR805" s="1265"/>
      <c r="IS805" s="1265"/>
      <c r="IT805" s="1265"/>
      <c r="IU805" s="1265"/>
      <c r="IV805" s="1265"/>
      <c r="IW805" s="1265"/>
      <c r="IX805" s="1265"/>
      <c r="IY805" s="1265"/>
      <c r="IZ805" s="1265"/>
      <c r="JA805" s="1265"/>
      <c r="JB805" s="1265"/>
      <c r="JC805" s="1265"/>
      <c r="JD805" s="1265"/>
      <c r="JE805" s="1265"/>
      <c r="JF805" s="1265"/>
      <c r="JG805" s="1265"/>
      <c r="JH805" s="1265"/>
      <c r="JI805" s="1265"/>
      <c r="JJ805" s="1265"/>
      <c r="JK805" s="1265"/>
      <c r="JL805" s="1265"/>
      <c r="JM805" s="1265"/>
      <c r="JN805" s="1265"/>
      <c r="JO805" s="1265"/>
      <c r="JP805" s="1265"/>
      <c r="JQ805" s="1265"/>
      <c r="JR805" s="1265"/>
      <c r="JS805" s="1265"/>
      <c r="JT805" s="1265"/>
      <c r="JU805" s="1265"/>
      <c r="JV805" s="1265"/>
      <c r="JW805" s="1265"/>
      <c r="JX805" s="1265"/>
      <c r="JY805" s="1265"/>
      <c r="JZ805" s="1265"/>
      <c r="KA805" s="1265"/>
      <c r="KB805" s="1265"/>
      <c r="KC805" s="1265"/>
      <c r="KD805" s="1265"/>
      <c r="KE805" s="1265"/>
      <c r="KF805" s="1265"/>
      <c r="KG805" s="1265"/>
      <c r="KH805" s="1265"/>
      <c r="KI805" s="1265"/>
      <c r="KJ805" s="1265"/>
      <c r="KK805" s="1265"/>
      <c r="KL805" s="1265"/>
      <c r="KM805" s="1265"/>
      <c r="KN805" s="1265"/>
      <c r="KO805" s="1265"/>
      <c r="KP805" s="1265"/>
      <c r="KQ805" s="1265"/>
      <c r="KR805" s="1265"/>
      <c r="KS805" s="1265"/>
      <c r="KT805" s="1265"/>
      <c r="KU805" s="1265"/>
      <c r="KV805" s="1265"/>
      <c r="KW805" s="1265"/>
      <c r="KX805" s="1265"/>
      <c r="KY805" s="1265"/>
      <c r="KZ805" s="1265"/>
      <c r="LA805" s="1265"/>
      <c r="LB805" s="1265"/>
      <c r="LC805" s="1265"/>
      <c r="LD805" s="1265"/>
      <c r="LE805" s="1265"/>
      <c r="LF805" s="1265"/>
      <c r="LG805" s="1265"/>
      <c r="LH805" s="1265"/>
      <c r="LI805" s="1265"/>
      <c r="LJ805" s="1265"/>
      <c r="LK805" s="1265"/>
      <c r="LL805" s="1265"/>
      <c r="LM805" s="1265"/>
      <c r="LN805" s="1265"/>
      <c r="LO805" s="1265"/>
      <c r="LP805" s="1265"/>
      <c r="LQ805" s="1265"/>
      <c r="LR805" s="1265"/>
      <c r="LS805" s="1265"/>
      <c r="LT805" s="1265"/>
      <c r="LU805" s="1265"/>
      <c r="LV805" s="1265"/>
      <c r="LW805" s="1265"/>
      <c r="LX805" s="1265"/>
      <c r="LY805" s="1265"/>
      <c r="LZ805" s="1265"/>
      <c r="MA805" s="1265"/>
      <c r="MB805" s="1265"/>
      <c r="MC805" s="1265"/>
      <c r="MD805" s="1265"/>
      <c r="ME805" s="1265"/>
      <c r="MF805" s="1265"/>
      <c r="MG805" s="1265"/>
      <c r="MH805" s="1265"/>
      <c r="MI805" s="1265"/>
      <c r="MJ805" s="1265"/>
      <c r="MK805" s="1265"/>
      <c r="ML805" s="1265"/>
      <c r="MM805" s="1265"/>
      <c r="MN805" s="1265"/>
      <c r="MO805" s="1265"/>
      <c r="MP805" s="1265"/>
      <c r="MQ805" s="1265"/>
      <c r="MR805" s="1265"/>
      <c r="MS805" s="1265"/>
      <c r="MT805" s="1265"/>
      <c r="MU805" s="1265"/>
      <c r="MV805" s="1265"/>
      <c r="MW805" s="1265"/>
      <c r="MX805" s="1265"/>
      <c r="MY805" s="1265"/>
      <c r="MZ805" s="1265"/>
      <c r="NA805" s="1265"/>
      <c r="NB805" s="1265"/>
      <c r="NC805" s="1265"/>
      <c r="ND805" s="1265"/>
      <c r="NE805" s="1265"/>
      <c r="NF805" s="1265"/>
      <c r="NG805" s="1265"/>
      <c r="NH805" s="1265"/>
      <c r="NI805" s="1265"/>
      <c r="NJ805" s="1265"/>
      <c r="NK805" s="1265"/>
      <c r="NL805" s="1265"/>
      <c r="NM805" s="1265"/>
      <c r="NN805" s="1265"/>
      <c r="NO805" s="1265"/>
      <c r="NP805" s="1265"/>
      <c r="NQ805" s="1265"/>
      <c r="NR805" s="1265"/>
      <c r="NS805" s="1265"/>
      <c r="NT805" s="1265"/>
      <c r="NU805" s="1265"/>
      <c r="NV805" s="1265"/>
      <c r="NW805" s="1265"/>
      <c r="NX805" s="1265"/>
      <c r="NY805" s="1265"/>
      <c r="NZ805" s="1265"/>
      <c r="OA805" s="1265"/>
      <c r="OB805" s="1265"/>
      <c r="OC805" s="1265"/>
      <c r="OD805" s="1265"/>
      <c r="OE805" s="1265"/>
      <c r="OF805" s="1265"/>
      <c r="OG805" s="1265"/>
      <c r="OH805" s="1265"/>
      <c r="OI805" s="1265"/>
      <c r="OJ805" s="1265"/>
      <c r="OK805" s="1265"/>
      <c r="OL805" s="1265"/>
      <c r="OM805" s="1265"/>
      <c r="ON805" s="1265"/>
      <c r="OO805" s="1265"/>
      <c r="OP805" s="1265"/>
      <c r="OQ805" s="1265"/>
      <c r="OR805" s="1265"/>
      <c r="OS805" s="1265"/>
      <c r="OT805" s="1265"/>
      <c r="OU805" s="1265"/>
      <c r="OV805" s="1265"/>
      <c r="OW805" s="1265"/>
      <c r="OX805" s="1265"/>
      <c r="OY805" s="1265"/>
      <c r="OZ805" s="1265"/>
      <c r="PA805" s="1265"/>
      <c r="PB805" s="1265"/>
      <c r="PC805" s="1265"/>
      <c r="PD805" s="1265"/>
      <c r="PE805" s="1265"/>
      <c r="PF805" s="1265"/>
      <c r="PG805" s="1265"/>
      <c r="PH805" s="1265"/>
      <c r="PI805" s="1265"/>
      <c r="PJ805" s="1265"/>
      <c r="PK805" s="1265"/>
      <c r="PL805" s="1265"/>
      <c r="PM805" s="1265"/>
      <c r="PN805" s="1265"/>
      <c r="PO805" s="1265"/>
      <c r="PP805" s="1265"/>
      <c r="PQ805" s="1265"/>
      <c r="PR805" s="1265"/>
      <c r="PS805" s="1265"/>
      <c r="PT805" s="1265"/>
      <c r="PU805" s="1265"/>
      <c r="PV805" s="1265"/>
      <c r="PW805" s="1265"/>
      <c r="PX805" s="1265"/>
      <c r="PY805" s="1265"/>
      <c r="PZ805" s="1265"/>
      <c r="QA805" s="1265"/>
      <c r="QB805" s="1265"/>
      <c r="QC805" s="1265"/>
      <c r="QD805" s="1265"/>
      <c r="QE805" s="1265"/>
      <c r="QF805" s="1265"/>
      <c r="QG805" s="1265"/>
      <c r="QH805" s="1265"/>
      <c r="QI805" s="1265"/>
      <c r="QJ805" s="1265"/>
      <c r="QK805" s="1265"/>
      <c r="QL805" s="1265"/>
      <c r="QM805" s="1265"/>
      <c r="QN805" s="1265"/>
      <c r="QO805" s="1265"/>
      <c r="QP805" s="1265"/>
      <c r="QQ805" s="1265"/>
      <c r="QR805" s="1265"/>
      <c r="QS805" s="1265"/>
      <c r="QT805" s="1265"/>
      <c r="QU805" s="1265"/>
      <c r="QV805" s="1265"/>
      <c r="QW805" s="1265"/>
      <c r="QX805" s="1265"/>
      <c r="QY805" s="1265"/>
      <c r="QZ805" s="1265"/>
      <c r="RA805" s="1265"/>
      <c r="RB805" s="1265"/>
      <c r="RC805" s="1265"/>
      <c r="RD805" s="1265"/>
      <c r="RE805" s="1265"/>
      <c r="RF805" s="1265"/>
      <c r="RG805" s="1265"/>
      <c r="RH805" s="1265"/>
      <c r="RI805" s="1265"/>
      <c r="RJ805" s="1265"/>
      <c r="RK805" s="1265"/>
      <c r="RL805" s="1265"/>
      <c r="RM805" s="1265"/>
      <c r="RN805" s="1265"/>
      <c r="RO805" s="1265"/>
      <c r="RP805" s="1265"/>
      <c r="RQ805" s="1265"/>
      <c r="RR805" s="1265"/>
      <c r="RS805" s="1265"/>
      <c r="RT805" s="1265"/>
      <c r="RU805" s="1265"/>
      <c r="RV805" s="1265"/>
      <c r="RW805" s="1265"/>
      <c r="RX805" s="1265"/>
      <c r="RY805" s="1265"/>
      <c r="RZ805" s="1265"/>
      <c r="SA805" s="1265"/>
      <c r="SB805" s="1265"/>
      <c r="SC805" s="1265"/>
      <c r="SD805" s="1265"/>
      <c r="SE805" s="1265"/>
      <c r="SF805" s="1265"/>
      <c r="SG805" s="1265"/>
      <c r="SH805" s="1265"/>
      <c r="SI805" s="1265"/>
      <c r="SJ805" s="1265"/>
      <c r="SK805" s="1265"/>
      <c r="SL805" s="1265"/>
      <c r="SM805" s="1265"/>
      <c r="SN805" s="1265"/>
      <c r="SO805" s="1265"/>
      <c r="SP805" s="1265"/>
      <c r="SQ805" s="1265"/>
      <c r="SR805" s="1265"/>
      <c r="SS805" s="1265"/>
      <c r="ST805" s="1265"/>
      <c r="SU805" s="1265"/>
      <c r="SV805" s="1265"/>
      <c r="SW805" s="1265"/>
      <c r="SX805" s="1265"/>
      <c r="SY805" s="1265"/>
      <c r="SZ805" s="1265"/>
      <c r="TA805" s="1265"/>
      <c r="TB805" s="1265"/>
      <c r="TC805" s="1265"/>
      <c r="TD805" s="1265"/>
      <c r="TE805" s="1265"/>
      <c r="TF805" s="1265"/>
      <c r="TG805" s="1265"/>
      <c r="TH805" s="1265"/>
      <c r="TI805" s="1265"/>
      <c r="TJ805" s="1265"/>
      <c r="TK805" s="1265"/>
      <c r="TL805" s="1265"/>
      <c r="TM805" s="1265"/>
      <c r="TN805" s="1265"/>
      <c r="TO805" s="1265"/>
      <c r="TP805" s="1265"/>
      <c r="TQ805" s="1265"/>
      <c r="TR805" s="1265"/>
      <c r="TS805" s="1265"/>
      <c r="TT805" s="1265"/>
      <c r="TU805" s="1265"/>
      <c r="TV805" s="1265"/>
      <c r="TW805" s="1265"/>
      <c r="TX805" s="1265"/>
      <c r="TY805" s="1265"/>
      <c r="TZ805" s="1265"/>
      <c r="UA805" s="1265"/>
      <c r="UB805" s="1265"/>
      <c r="UC805" s="1265"/>
      <c r="UD805" s="1265"/>
      <c r="UE805" s="1265"/>
      <c r="UF805" s="1265"/>
      <c r="UG805" s="1266"/>
    </row>
    <row r="806" spans="1:553" s="1262" customFormat="1" ht="30.75" customHeight="1">
      <c r="A806" s="436"/>
      <c r="B806" s="436"/>
      <c r="C806" s="1411" t="s">
        <v>1149</v>
      </c>
      <c r="D806" s="1411" t="s">
        <v>1150</v>
      </c>
      <c r="E806" s="1411" t="s">
        <v>1150</v>
      </c>
      <c r="F806" s="1411" t="s">
        <v>1150</v>
      </c>
      <c r="G806" s="303" t="s">
        <v>193</v>
      </c>
      <c r="H806" s="652"/>
      <c r="I806" s="1289">
        <v>14</v>
      </c>
      <c r="J806" s="1243">
        <v>219200</v>
      </c>
      <c r="K806" s="656">
        <v>0.7</v>
      </c>
      <c r="L806" s="573">
        <f t="shared" ref="L806:L807" si="120">I806*J806*K806</f>
        <v>2148160</v>
      </c>
      <c r="M806" s="356"/>
      <c r="N806" s="356"/>
      <c r="O806" s="356"/>
      <c r="P806" s="356"/>
      <c r="Q806" s="610"/>
      <c r="R806" s="1228"/>
      <c r="S806" s="308"/>
      <c r="T806" s="308"/>
      <c r="U806" s="308"/>
      <c r="V806" s="308"/>
      <c r="W806" s="308"/>
      <c r="X806" s="308"/>
      <c r="Y806" s="308"/>
      <c r="Z806" s="604"/>
      <c r="AA806" s="308"/>
      <c r="AB806" s="308"/>
      <c r="AC806" s="454"/>
      <c r="AD806" s="454"/>
      <c r="AE806" s="454"/>
      <c r="AF806" s="454"/>
      <c r="AG806" s="454"/>
      <c r="AH806" s="454"/>
      <c r="AI806" s="454"/>
      <c r="AJ806" s="454"/>
      <c r="AK806" s="455"/>
      <c r="AL806" s="1263"/>
      <c r="AM806" s="1263"/>
      <c r="AN806" s="1263"/>
      <c r="AO806" s="1263"/>
      <c r="AP806" s="1263"/>
      <c r="AQ806" s="1263"/>
      <c r="AR806" s="1263"/>
      <c r="AS806" s="1264"/>
      <c r="AT806" s="1264"/>
      <c r="AU806" s="1264"/>
      <c r="AV806" s="1264"/>
      <c r="AW806" s="1264"/>
      <c r="AX806" s="1264"/>
      <c r="AY806" s="1264"/>
      <c r="AZ806" s="1264"/>
      <c r="BA806" s="1264"/>
      <c r="BB806" s="1264"/>
      <c r="BC806" s="1264"/>
      <c r="BD806" s="1264"/>
      <c r="BE806" s="1264"/>
      <c r="BF806" s="1264"/>
      <c r="BG806" s="1264"/>
      <c r="BH806" s="1264"/>
      <c r="BI806" s="1264"/>
      <c r="BJ806" s="1264"/>
      <c r="BK806" s="1264"/>
      <c r="BL806" s="1264"/>
      <c r="BM806" s="1264"/>
      <c r="BN806" s="1264"/>
      <c r="BO806" s="1264"/>
      <c r="BP806" s="1265"/>
      <c r="BQ806" s="1265"/>
      <c r="BR806" s="1265"/>
      <c r="BS806" s="1265"/>
      <c r="BT806" s="1265"/>
      <c r="BU806" s="1265"/>
      <c r="BV806" s="1265"/>
      <c r="BW806" s="1265"/>
      <c r="BX806" s="1265"/>
      <c r="BY806" s="1265"/>
      <c r="BZ806" s="1265"/>
      <c r="CA806" s="1265"/>
      <c r="CB806" s="1265"/>
      <c r="CC806" s="1265"/>
      <c r="CD806" s="1265"/>
      <c r="CE806" s="1265"/>
      <c r="CF806" s="1265"/>
      <c r="CG806" s="1265"/>
      <c r="CH806" s="1265"/>
      <c r="CI806" s="1265"/>
      <c r="CJ806" s="1265"/>
      <c r="CK806" s="1265"/>
      <c r="CL806" s="1265"/>
      <c r="CM806" s="1265"/>
      <c r="CN806" s="1265"/>
      <c r="CO806" s="1265"/>
      <c r="CP806" s="1265"/>
      <c r="CQ806" s="1265"/>
      <c r="CR806" s="1265"/>
      <c r="CS806" s="1265"/>
      <c r="CT806" s="1265"/>
      <c r="CU806" s="1265"/>
      <c r="CV806" s="1265"/>
      <c r="CW806" s="1265"/>
      <c r="CX806" s="1265"/>
      <c r="CY806" s="1265"/>
      <c r="CZ806" s="1265"/>
      <c r="DA806" s="1265"/>
      <c r="DB806" s="1265"/>
      <c r="DC806" s="1265"/>
      <c r="DD806" s="1265"/>
      <c r="DE806" s="1265"/>
      <c r="DF806" s="1265"/>
      <c r="DG806" s="1265"/>
      <c r="DH806" s="1265"/>
      <c r="DI806" s="1265"/>
      <c r="DJ806" s="1265"/>
      <c r="DK806" s="1265"/>
      <c r="DL806" s="1265"/>
      <c r="DM806" s="1265"/>
      <c r="DN806" s="1265"/>
      <c r="DO806" s="1265"/>
      <c r="DP806" s="1265"/>
      <c r="DQ806" s="1265"/>
      <c r="DR806" s="1265"/>
      <c r="DS806" s="1265"/>
      <c r="DT806" s="1265"/>
      <c r="DU806" s="1265"/>
      <c r="DV806" s="1265"/>
      <c r="DW806" s="1265"/>
      <c r="DX806" s="1265"/>
      <c r="DY806" s="1265"/>
      <c r="DZ806" s="1265"/>
      <c r="EA806" s="1265"/>
      <c r="EB806" s="1265"/>
      <c r="EC806" s="1265"/>
      <c r="ED806" s="1265"/>
      <c r="EE806" s="1265"/>
      <c r="EF806" s="1265"/>
      <c r="EG806" s="1265"/>
      <c r="EH806" s="1265"/>
      <c r="EI806" s="1265"/>
      <c r="EJ806" s="1265"/>
      <c r="EK806" s="1265"/>
      <c r="EL806" s="1265"/>
      <c r="EM806" s="1265"/>
      <c r="EN806" s="1265"/>
      <c r="EO806" s="1265"/>
      <c r="EP806" s="1265"/>
      <c r="EQ806" s="1265"/>
      <c r="ER806" s="1265"/>
      <c r="ES806" s="1265"/>
      <c r="ET806" s="1265"/>
      <c r="EU806" s="1265"/>
      <c r="EV806" s="1265"/>
      <c r="EW806" s="1265"/>
      <c r="EX806" s="1265"/>
      <c r="EY806" s="1265"/>
      <c r="EZ806" s="1265"/>
      <c r="FA806" s="1265"/>
      <c r="FB806" s="1265"/>
      <c r="FC806" s="1265"/>
      <c r="FD806" s="1265"/>
      <c r="FE806" s="1265"/>
      <c r="FF806" s="1265"/>
      <c r="FG806" s="1265"/>
      <c r="FH806" s="1265"/>
      <c r="FI806" s="1265"/>
      <c r="FJ806" s="1265"/>
      <c r="FK806" s="1265"/>
      <c r="FL806" s="1265"/>
      <c r="FM806" s="1265"/>
      <c r="FN806" s="1265"/>
      <c r="FO806" s="1265"/>
      <c r="FP806" s="1265"/>
      <c r="FQ806" s="1265"/>
      <c r="FR806" s="1265"/>
      <c r="FS806" s="1265"/>
      <c r="FT806" s="1265"/>
      <c r="FU806" s="1265"/>
      <c r="FV806" s="1265"/>
      <c r="FW806" s="1265"/>
      <c r="FX806" s="1265"/>
      <c r="FY806" s="1265"/>
      <c r="FZ806" s="1265"/>
      <c r="GA806" s="1265"/>
      <c r="GB806" s="1265"/>
      <c r="GC806" s="1265"/>
      <c r="GD806" s="1265"/>
      <c r="GE806" s="1265"/>
      <c r="GF806" s="1265"/>
      <c r="GG806" s="1265"/>
      <c r="GH806" s="1265"/>
      <c r="GI806" s="1265"/>
      <c r="GJ806" s="1265"/>
      <c r="GK806" s="1265"/>
      <c r="GL806" s="1265"/>
      <c r="GM806" s="1265"/>
      <c r="GN806" s="1265"/>
      <c r="GO806" s="1265"/>
      <c r="GP806" s="1265"/>
      <c r="GQ806" s="1265"/>
      <c r="GR806" s="1265"/>
      <c r="GS806" s="1265"/>
      <c r="GT806" s="1265"/>
      <c r="GU806" s="1265"/>
      <c r="GV806" s="1265"/>
      <c r="GW806" s="1265"/>
      <c r="GX806" s="1265"/>
      <c r="GY806" s="1265"/>
      <c r="GZ806" s="1265"/>
      <c r="HA806" s="1265"/>
      <c r="HB806" s="1265"/>
      <c r="HC806" s="1265"/>
      <c r="HD806" s="1265"/>
      <c r="HE806" s="1265"/>
      <c r="HF806" s="1265"/>
      <c r="HG806" s="1265"/>
      <c r="HH806" s="1265"/>
      <c r="HI806" s="1265"/>
      <c r="HJ806" s="1265"/>
      <c r="HK806" s="1265"/>
      <c r="HL806" s="1265"/>
      <c r="HM806" s="1265"/>
      <c r="HN806" s="1265"/>
      <c r="HO806" s="1265"/>
      <c r="HP806" s="1265"/>
      <c r="HQ806" s="1265"/>
      <c r="HR806" s="1265"/>
      <c r="HS806" s="1265"/>
      <c r="HT806" s="1265"/>
      <c r="HU806" s="1265"/>
      <c r="HV806" s="1265"/>
      <c r="HW806" s="1265"/>
      <c r="HX806" s="1265"/>
      <c r="HY806" s="1265"/>
      <c r="HZ806" s="1265"/>
      <c r="IA806" s="1265"/>
      <c r="IB806" s="1265"/>
      <c r="IC806" s="1265"/>
      <c r="ID806" s="1265"/>
      <c r="IE806" s="1265"/>
      <c r="IF806" s="1265"/>
      <c r="IG806" s="1265"/>
      <c r="IH806" s="1265"/>
      <c r="II806" s="1265"/>
      <c r="IJ806" s="1265"/>
      <c r="IK806" s="1265"/>
      <c r="IL806" s="1265"/>
      <c r="IM806" s="1265"/>
      <c r="IN806" s="1265"/>
      <c r="IO806" s="1265"/>
      <c r="IP806" s="1265"/>
      <c r="IQ806" s="1265"/>
      <c r="IR806" s="1265"/>
      <c r="IS806" s="1265"/>
      <c r="IT806" s="1265"/>
      <c r="IU806" s="1265"/>
      <c r="IV806" s="1265"/>
      <c r="IW806" s="1265"/>
      <c r="IX806" s="1265"/>
      <c r="IY806" s="1265"/>
      <c r="IZ806" s="1265"/>
      <c r="JA806" s="1265"/>
      <c r="JB806" s="1265"/>
      <c r="JC806" s="1265"/>
      <c r="JD806" s="1265"/>
      <c r="JE806" s="1265"/>
      <c r="JF806" s="1265"/>
      <c r="JG806" s="1265"/>
      <c r="JH806" s="1265"/>
      <c r="JI806" s="1265"/>
      <c r="JJ806" s="1265"/>
      <c r="JK806" s="1265"/>
      <c r="JL806" s="1265"/>
      <c r="JM806" s="1265"/>
      <c r="JN806" s="1265"/>
      <c r="JO806" s="1265"/>
      <c r="JP806" s="1265"/>
      <c r="JQ806" s="1265"/>
      <c r="JR806" s="1265"/>
      <c r="JS806" s="1265"/>
      <c r="JT806" s="1265"/>
      <c r="JU806" s="1265"/>
      <c r="JV806" s="1265"/>
      <c r="JW806" s="1265"/>
      <c r="JX806" s="1265"/>
      <c r="JY806" s="1265"/>
      <c r="JZ806" s="1265"/>
      <c r="KA806" s="1265"/>
      <c r="KB806" s="1265"/>
      <c r="KC806" s="1265"/>
      <c r="KD806" s="1265"/>
      <c r="KE806" s="1265"/>
      <c r="KF806" s="1265"/>
      <c r="KG806" s="1265"/>
      <c r="KH806" s="1265"/>
      <c r="KI806" s="1265"/>
      <c r="KJ806" s="1265"/>
      <c r="KK806" s="1265"/>
      <c r="KL806" s="1265"/>
      <c r="KM806" s="1265"/>
      <c r="KN806" s="1265"/>
      <c r="KO806" s="1265"/>
      <c r="KP806" s="1265"/>
      <c r="KQ806" s="1265"/>
      <c r="KR806" s="1265"/>
      <c r="KS806" s="1265"/>
      <c r="KT806" s="1265"/>
      <c r="KU806" s="1265"/>
      <c r="KV806" s="1265"/>
      <c r="KW806" s="1265"/>
      <c r="KX806" s="1265"/>
      <c r="KY806" s="1265"/>
      <c r="KZ806" s="1265"/>
      <c r="LA806" s="1265"/>
      <c r="LB806" s="1265"/>
      <c r="LC806" s="1265"/>
      <c r="LD806" s="1265"/>
      <c r="LE806" s="1265"/>
      <c r="LF806" s="1265"/>
      <c r="LG806" s="1265"/>
      <c r="LH806" s="1265"/>
      <c r="LI806" s="1265"/>
      <c r="LJ806" s="1265"/>
      <c r="LK806" s="1265"/>
      <c r="LL806" s="1265"/>
      <c r="LM806" s="1265"/>
      <c r="LN806" s="1265"/>
      <c r="LO806" s="1265"/>
      <c r="LP806" s="1265"/>
      <c r="LQ806" s="1265"/>
      <c r="LR806" s="1265"/>
      <c r="LS806" s="1265"/>
      <c r="LT806" s="1265"/>
      <c r="LU806" s="1265"/>
      <c r="LV806" s="1265"/>
      <c r="LW806" s="1265"/>
      <c r="LX806" s="1265"/>
      <c r="LY806" s="1265"/>
      <c r="LZ806" s="1265"/>
      <c r="MA806" s="1265"/>
      <c r="MB806" s="1265"/>
      <c r="MC806" s="1265"/>
      <c r="MD806" s="1265"/>
      <c r="ME806" s="1265"/>
      <c r="MF806" s="1265"/>
      <c r="MG806" s="1265"/>
      <c r="MH806" s="1265"/>
      <c r="MI806" s="1265"/>
      <c r="MJ806" s="1265"/>
      <c r="MK806" s="1265"/>
      <c r="ML806" s="1265"/>
      <c r="MM806" s="1265"/>
      <c r="MN806" s="1265"/>
      <c r="MO806" s="1265"/>
      <c r="MP806" s="1265"/>
      <c r="MQ806" s="1265"/>
      <c r="MR806" s="1265"/>
      <c r="MS806" s="1265"/>
      <c r="MT806" s="1265"/>
      <c r="MU806" s="1265"/>
      <c r="MV806" s="1265"/>
      <c r="MW806" s="1265"/>
      <c r="MX806" s="1265"/>
      <c r="MY806" s="1265"/>
      <c r="MZ806" s="1265"/>
      <c r="NA806" s="1265"/>
      <c r="NB806" s="1265"/>
      <c r="NC806" s="1265"/>
      <c r="ND806" s="1265"/>
      <c r="NE806" s="1265"/>
      <c r="NF806" s="1265"/>
      <c r="NG806" s="1265"/>
      <c r="NH806" s="1265"/>
      <c r="NI806" s="1265"/>
      <c r="NJ806" s="1265"/>
      <c r="NK806" s="1265"/>
      <c r="NL806" s="1265"/>
      <c r="NM806" s="1265"/>
      <c r="NN806" s="1265"/>
      <c r="NO806" s="1265"/>
      <c r="NP806" s="1265"/>
      <c r="NQ806" s="1265"/>
      <c r="NR806" s="1265"/>
      <c r="NS806" s="1265"/>
      <c r="NT806" s="1265"/>
      <c r="NU806" s="1265"/>
      <c r="NV806" s="1265"/>
      <c r="NW806" s="1265"/>
      <c r="NX806" s="1265"/>
      <c r="NY806" s="1265"/>
      <c r="NZ806" s="1265"/>
      <c r="OA806" s="1265"/>
      <c r="OB806" s="1265"/>
      <c r="OC806" s="1265"/>
      <c r="OD806" s="1265"/>
      <c r="OE806" s="1265"/>
      <c r="OF806" s="1265"/>
      <c r="OG806" s="1265"/>
      <c r="OH806" s="1265"/>
      <c r="OI806" s="1265"/>
      <c r="OJ806" s="1265"/>
      <c r="OK806" s="1265"/>
      <c r="OL806" s="1265"/>
      <c r="OM806" s="1265"/>
      <c r="ON806" s="1265"/>
      <c r="OO806" s="1265"/>
      <c r="OP806" s="1265"/>
      <c r="OQ806" s="1265"/>
      <c r="OR806" s="1265"/>
      <c r="OS806" s="1265"/>
      <c r="OT806" s="1265"/>
      <c r="OU806" s="1265"/>
      <c r="OV806" s="1265"/>
      <c r="OW806" s="1265"/>
      <c r="OX806" s="1265"/>
      <c r="OY806" s="1265"/>
      <c r="OZ806" s="1265"/>
      <c r="PA806" s="1265"/>
      <c r="PB806" s="1265"/>
      <c r="PC806" s="1265"/>
      <c r="PD806" s="1265"/>
      <c r="PE806" s="1265"/>
      <c r="PF806" s="1265"/>
      <c r="PG806" s="1265"/>
      <c r="PH806" s="1265"/>
      <c r="PI806" s="1265"/>
      <c r="PJ806" s="1265"/>
      <c r="PK806" s="1265"/>
      <c r="PL806" s="1265"/>
      <c r="PM806" s="1265"/>
      <c r="PN806" s="1265"/>
      <c r="PO806" s="1265"/>
      <c r="PP806" s="1265"/>
      <c r="PQ806" s="1265"/>
      <c r="PR806" s="1265"/>
      <c r="PS806" s="1265"/>
      <c r="PT806" s="1265"/>
      <c r="PU806" s="1265"/>
      <c r="PV806" s="1265"/>
      <c r="PW806" s="1265"/>
      <c r="PX806" s="1265"/>
      <c r="PY806" s="1265"/>
      <c r="PZ806" s="1265"/>
      <c r="QA806" s="1265"/>
      <c r="QB806" s="1265"/>
      <c r="QC806" s="1265"/>
      <c r="QD806" s="1265"/>
      <c r="QE806" s="1265"/>
      <c r="QF806" s="1265"/>
      <c r="QG806" s="1265"/>
      <c r="QH806" s="1265"/>
      <c r="QI806" s="1265"/>
      <c r="QJ806" s="1265"/>
      <c r="QK806" s="1265"/>
      <c r="QL806" s="1265"/>
      <c r="QM806" s="1265"/>
      <c r="QN806" s="1265"/>
      <c r="QO806" s="1265"/>
      <c r="QP806" s="1265"/>
      <c r="QQ806" s="1265"/>
      <c r="QR806" s="1265"/>
      <c r="QS806" s="1265"/>
      <c r="QT806" s="1265"/>
      <c r="QU806" s="1265"/>
      <c r="QV806" s="1265"/>
      <c r="QW806" s="1265"/>
      <c r="QX806" s="1265"/>
      <c r="QY806" s="1265"/>
      <c r="QZ806" s="1265"/>
      <c r="RA806" s="1265"/>
      <c r="RB806" s="1265"/>
      <c r="RC806" s="1265"/>
      <c r="RD806" s="1265"/>
      <c r="RE806" s="1265"/>
      <c r="RF806" s="1265"/>
      <c r="RG806" s="1265"/>
      <c r="RH806" s="1265"/>
      <c r="RI806" s="1265"/>
      <c r="RJ806" s="1265"/>
      <c r="RK806" s="1265"/>
      <c r="RL806" s="1265"/>
      <c r="RM806" s="1265"/>
      <c r="RN806" s="1265"/>
      <c r="RO806" s="1265"/>
      <c r="RP806" s="1265"/>
      <c r="RQ806" s="1265"/>
      <c r="RR806" s="1265"/>
      <c r="RS806" s="1265"/>
      <c r="RT806" s="1265"/>
      <c r="RU806" s="1265"/>
      <c r="RV806" s="1265"/>
      <c r="RW806" s="1265"/>
      <c r="RX806" s="1265"/>
      <c r="RY806" s="1265"/>
      <c r="RZ806" s="1265"/>
      <c r="SA806" s="1265"/>
      <c r="SB806" s="1265"/>
      <c r="SC806" s="1265"/>
      <c r="SD806" s="1265"/>
      <c r="SE806" s="1265"/>
      <c r="SF806" s="1265"/>
      <c r="SG806" s="1265"/>
      <c r="SH806" s="1265"/>
      <c r="SI806" s="1265"/>
      <c r="SJ806" s="1265"/>
      <c r="SK806" s="1265"/>
      <c r="SL806" s="1265"/>
      <c r="SM806" s="1265"/>
      <c r="SN806" s="1265"/>
      <c r="SO806" s="1265"/>
      <c r="SP806" s="1265"/>
      <c r="SQ806" s="1265"/>
      <c r="SR806" s="1265"/>
      <c r="SS806" s="1265"/>
      <c r="ST806" s="1265"/>
      <c r="SU806" s="1265"/>
      <c r="SV806" s="1265"/>
      <c r="SW806" s="1265"/>
      <c r="SX806" s="1265"/>
      <c r="SY806" s="1265"/>
      <c r="SZ806" s="1265"/>
      <c r="TA806" s="1265"/>
      <c r="TB806" s="1265"/>
      <c r="TC806" s="1265"/>
      <c r="TD806" s="1265"/>
      <c r="TE806" s="1265"/>
      <c r="TF806" s="1265"/>
      <c r="TG806" s="1265"/>
      <c r="TH806" s="1265"/>
      <c r="TI806" s="1265"/>
      <c r="TJ806" s="1265"/>
      <c r="TK806" s="1265"/>
      <c r="TL806" s="1265"/>
      <c r="TM806" s="1265"/>
      <c r="TN806" s="1265"/>
      <c r="TO806" s="1265"/>
      <c r="TP806" s="1265"/>
      <c r="TQ806" s="1265"/>
      <c r="TR806" s="1265"/>
      <c r="TS806" s="1265"/>
      <c r="TT806" s="1265"/>
      <c r="TU806" s="1265"/>
      <c r="TV806" s="1265"/>
      <c r="TW806" s="1265"/>
      <c r="TX806" s="1265"/>
      <c r="TY806" s="1265"/>
      <c r="TZ806" s="1265"/>
      <c r="UA806" s="1265"/>
      <c r="UB806" s="1265"/>
      <c r="UC806" s="1265"/>
      <c r="UD806" s="1265"/>
      <c r="UE806" s="1265"/>
      <c r="UF806" s="1265"/>
      <c r="UG806" s="1266"/>
    </row>
    <row r="807" spans="1:553" s="1262" customFormat="1" ht="30.75" customHeight="1">
      <c r="A807" s="436"/>
      <c r="B807" s="436"/>
      <c r="C807" s="1411" t="s">
        <v>1151</v>
      </c>
      <c r="D807" s="1411" t="s">
        <v>1152</v>
      </c>
      <c r="E807" s="1411" t="s">
        <v>1152</v>
      </c>
      <c r="F807" s="1411" t="s">
        <v>1152</v>
      </c>
      <c r="G807" s="303" t="s">
        <v>193</v>
      </c>
      <c r="H807" s="652"/>
      <c r="I807" s="1289">
        <v>7</v>
      </c>
      <c r="J807" s="1243">
        <v>290600</v>
      </c>
      <c r="K807" s="656">
        <v>0.7</v>
      </c>
      <c r="L807" s="573">
        <f t="shared" si="120"/>
        <v>1423940</v>
      </c>
      <c r="M807" s="356"/>
      <c r="N807" s="356"/>
      <c r="O807" s="356"/>
      <c r="P807" s="356"/>
      <c r="Q807" s="610"/>
      <c r="R807" s="1228"/>
      <c r="S807" s="308"/>
      <c r="T807" s="308"/>
      <c r="U807" s="308"/>
      <c r="V807" s="308"/>
      <c r="W807" s="308"/>
      <c r="X807" s="308"/>
      <c r="Y807" s="308"/>
      <c r="Z807" s="604"/>
      <c r="AA807" s="308"/>
      <c r="AB807" s="308"/>
      <c r="AC807" s="454"/>
      <c r="AD807" s="454"/>
      <c r="AE807" s="454"/>
      <c r="AF807" s="454"/>
      <c r="AG807" s="454"/>
      <c r="AH807" s="454"/>
      <c r="AI807" s="454"/>
      <c r="AJ807" s="454"/>
      <c r="AK807" s="455"/>
      <c r="AL807" s="1263"/>
      <c r="AM807" s="1263"/>
      <c r="AN807" s="1263"/>
      <c r="AO807" s="1263"/>
      <c r="AP807" s="1263"/>
      <c r="AQ807" s="1263"/>
      <c r="AR807" s="1263"/>
      <c r="AS807" s="1264"/>
      <c r="AT807" s="1264"/>
      <c r="AU807" s="1264"/>
      <c r="AV807" s="1264"/>
      <c r="AW807" s="1264"/>
      <c r="AX807" s="1264"/>
      <c r="AY807" s="1264"/>
      <c r="AZ807" s="1264"/>
      <c r="BA807" s="1264"/>
      <c r="BB807" s="1264"/>
      <c r="BC807" s="1264"/>
      <c r="BD807" s="1264"/>
      <c r="BE807" s="1264"/>
      <c r="BF807" s="1264"/>
      <c r="BG807" s="1264"/>
      <c r="BH807" s="1264"/>
      <c r="BI807" s="1264"/>
      <c r="BJ807" s="1264"/>
      <c r="BK807" s="1264"/>
      <c r="BL807" s="1264"/>
      <c r="BM807" s="1264"/>
      <c r="BN807" s="1264"/>
      <c r="BO807" s="1264"/>
      <c r="BP807" s="1265"/>
      <c r="BQ807" s="1265"/>
      <c r="BR807" s="1265"/>
      <c r="BS807" s="1265"/>
      <c r="BT807" s="1265"/>
      <c r="BU807" s="1265"/>
      <c r="BV807" s="1265"/>
      <c r="BW807" s="1265"/>
      <c r="BX807" s="1265"/>
      <c r="BY807" s="1265"/>
      <c r="BZ807" s="1265"/>
      <c r="CA807" s="1265"/>
      <c r="CB807" s="1265"/>
      <c r="CC807" s="1265"/>
      <c r="CD807" s="1265"/>
      <c r="CE807" s="1265"/>
      <c r="CF807" s="1265"/>
      <c r="CG807" s="1265"/>
      <c r="CH807" s="1265"/>
      <c r="CI807" s="1265"/>
      <c r="CJ807" s="1265"/>
      <c r="CK807" s="1265"/>
      <c r="CL807" s="1265"/>
      <c r="CM807" s="1265"/>
      <c r="CN807" s="1265"/>
      <c r="CO807" s="1265"/>
      <c r="CP807" s="1265"/>
      <c r="CQ807" s="1265"/>
      <c r="CR807" s="1265"/>
      <c r="CS807" s="1265"/>
      <c r="CT807" s="1265"/>
      <c r="CU807" s="1265"/>
      <c r="CV807" s="1265"/>
      <c r="CW807" s="1265"/>
      <c r="CX807" s="1265"/>
      <c r="CY807" s="1265"/>
      <c r="CZ807" s="1265"/>
      <c r="DA807" s="1265"/>
      <c r="DB807" s="1265"/>
      <c r="DC807" s="1265"/>
      <c r="DD807" s="1265"/>
      <c r="DE807" s="1265"/>
      <c r="DF807" s="1265"/>
      <c r="DG807" s="1265"/>
      <c r="DH807" s="1265"/>
      <c r="DI807" s="1265"/>
      <c r="DJ807" s="1265"/>
      <c r="DK807" s="1265"/>
      <c r="DL807" s="1265"/>
      <c r="DM807" s="1265"/>
      <c r="DN807" s="1265"/>
      <c r="DO807" s="1265"/>
      <c r="DP807" s="1265"/>
      <c r="DQ807" s="1265"/>
      <c r="DR807" s="1265"/>
      <c r="DS807" s="1265"/>
      <c r="DT807" s="1265"/>
      <c r="DU807" s="1265"/>
      <c r="DV807" s="1265"/>
      <c r="DW807" s="1265"/>
      <c r="DX807" s="1265"/>
      <c r="DY807" s="1265"/>
      <c r="DZ807" s="1265"/>
      <c r="EA807" s="1265"/>
      <c r="EB807" s="1265"/>
      <c r="EC807" s="1265"/>
      <c r="ED807" s="1265"/>
      <c r="EE807" s="1265"/>
      <c r="EF807" s="1265"/>
      <c r="EG807" s="1265"/>
      <c r="EH807" s="1265"/>
      <c r="EI807" s="1265"/>
      <c r="EJ807" s="1265"/>
      <c r="EK807" s="1265"/>
      <c r="EL807" s="1265"/>
      <c r="EM807" s="1265"/>
      <c r="EN807" s="1265"/>
      <c r="EO807" s="1265"/>
      <c r="EP807" s="1265"/>
      <c r="EQ807" s="1265"/>
      <c r="ER807" s="1265"/>
      <c r="ES807" s="1265"/>
      <c r="ET807" s="1265"/>
      <c r="EU807" s="1265"/>
      <c r="EV807" s="1265"/>
      <c r="EW807" s="1265"/>
      <c r="EX807" s="1265"/>
      <c r="EY807" s="1265"/>
      <c r="EZ807" s="1265"/>
      <c r="FA807" s="1265"/>
      <c r="FB807" s="1265"/>
      <c r="FC807" s="1265"/>
      <c r="FD807" s="1265"/>
      <c r="FE807" s="1265"/>
      <c r="FF807" s="1265"/>
      <c r="FG807" s="1265"/>
      <c r="FH807" s="1265"/>
      <c r="FI807" s="1265"/>
      <c r="FJ807" s="1265"/>
      <c r="FK807" s="1265"/>
      <c r="FL807" s="1265"/>
      <c r="FM807" s="1265"/>
      <c r="FN807" s="1265"/>
      <c r="FO807" s="1265"/>
      <c r="FP807" s="1265"/>
      <c r="FQ807" s="1265"/>
      <c r="FR807" s="1265"/>
      <c r="FS807" s="1265"/>
      <c r="FT807" s="1265"/>
      <c r="FU807" s="1265"/>
      <c r="FV807" s="1265"/>
      <c r="FW807" s="1265"/>
      <c r="FX807" s="1265"/>
      <c r="FY807" s="1265"/>
      <c r="FZ807" s="1265"/>
      <c r="GA807" s="1265"/>
      <c r="GB807" s="1265"/>
      <c r="GC807" s="1265"/>
      <c r="GD807" s="1265"/>
      <c r="GE807" s="1265"/>
      <c r="GF807" s="1265"/>
      <c r="GG807" s="1265"/>
      <c r="GH807" s="1265"/>
      <c r="GI807" s="1265"/>
      <c r="GJ807" s="1265"/>
      <c r="GK807" s="1265"/>
      <c r="GL807" s="1265"/>
      <c r="GM807" s="1265"/>
      <c r="GN807" s="1265"/>
      <c r="GO807" s="1265"/>
      <c r="GP807" s="1265"/>
      <c r="GQ807" s="1265"/>
      <c r="GR807" s="1265"/>
      <c r="GS807" s="1265"/>
      <c r="GT807" s="1265"/>
      <c r="GU807" s="1265"/>
      <c r="GV807" s="1265"/>
      <c r="GW807" s="1265"/>
      <c r="GX807" s="1265"/>
      <c r="GY807" s="1265"/>
      <c r="GZ807" s="1265"/>
      <c r="HA807" s="1265"/>
      <c r="HB807" s="1265"/>
      <c r="HC807" s="1265"/>
      <c r="HD807" s="1265"/>
      <c r="HE807" s="1265"/>
      <c r="HF807" s="1265"/>
      <c r="HG807" s="1265"/>
      <c r="HH807" s="1265"/>
      <c r="HI807" s="1265"/>
      <c r="HJ807" s="1265"/>
      <c r="HK807" s="1265"/>
      <c r="HL807" s="1265"/>
      <c r="HM807" s="1265"/>
      <c r="HN807" s="1265"/>
      <c r="HO807" s="1265"/>
      <c r="HP807" s="1265"/>
      <c r="HQ807" s="1265"/>
      <c r="HR807" s="1265"/>
      <c r="HS807" s="1265"/>
      <c r="HT807" s="1265"/>
      <c r="HU807" s="1265"/>
      <c r="HV807" s="1265"/>
      <c r="HW807" s="1265"/>
      <c r="HX807" s="1265"/>
      <c r="HY807" s="1265"/>
      <c r="HZ807" s="1265"/>
      <c r="IA807" s="1265"/>
      <c r="IB807" s="1265"/>
      <c r="IC807" s="1265"/>
      <c r="ID807" s="1265"/>
      <c r="IE807" s="1265"/>
      <c r="IF807" s="1265"/>
      <c r="IG807" s="1265"/>
      <c r="IH807" s="1265"/>
      <c r="II807" s="1265"/>
      <c r="IJ807" s="1265"/>
      <c r="IK807" s="1265"/>
      <c r="IL807" s="1265"/>
      <c r="IM807" s="1265"/>
      <c r="IN807" s="1265"/>
      <c r="IO807" s="1265"/>
      <c r="IP807" s="1265"/>
      <c r="IQ807" s="1265"/>
      <c r="IR807" s="1265"/>
      <c r="IS807" s="1265"/>
      <c r="IT807" s="1265"/>
      <c r="IU807" s="1265"/>
      <c r="IV807" s="1265"/>
      <c r="IW807" s="1265"/>
      <c r="IX807" s="1265"/>
      <c r="IY807" s="1265"/>
      <c r="IZ807" s="1265"/>
      <c r="JA807" s="1265"/>
      <c r="JB807" s="1265"/>
      <c r="JC807" s="1265"/>
      <c r="JD807" s="1265"/>
      <c r="JE807" s="1265"/>
      <c r="JF807" s="1265"/>
      <c r="JG807" s="1265"/>
      <c r="JH807" s="1265"/>
      <c r="JI807" s="1265"/>
      <c r="JJ807" s="1265"/>
      <c r="JK807" s="1265"/>
      <c r="JL807" s="1265"/>
      <c r="JM807" s="1265"/>
      <c r="JN807" s="1265"/>
      <c r="JO807" s="1265"/>
      <c r="JP807" s="1265"/>
      <c r="JQ807" s="1265"/>
      <c r="JR807" s="1265"/>
      <c r="JS807" s="1265"/>
      <c r="JT807" s="1265"/>
      <c r="JU807" s="1265"/>
      <c r="JV807" s="1265"/>
      <c r="JW807" s="1265"/>
      <c r="JX807" s="1265"/>
      <c r="JY807" s="1265"/>
      <c r="JZ807" s="1265"/>
      <c r="KA807" s="1265"/>
      <c r="KB807" s="1265"/>
      <c r="KC807" s="1265"/>
      <c r="KD807" s="1265"/>
      <c r="KE807" s="1265"/>
      <c r="KF807" s="1265"/>
      <c r="KG807" s="1265"/>
      <c r="KH807" s="1265"/>
      <c r="KI807" s="1265"/>
      <c r="KJ807" s="1265"/>
      <c r="KK807" s="1265"/>
      <c r="KL807" s="1265"/>
      <c r="KM807" s="1265"/>
      <c r="KN807" s="1265"/>
      <c r="KO807" s="1265"/>
      <c r="KP807" s="1265"/>
      <c r="KQ807" s="1265"/>
      <c r="KR807" s="1265"/>
      <c r="KS807" s="1265"/>
      <c r="KT807" s="1265"/>
      <c r="KU807" s="1265"/>
      <c r="KV807" s="1265"/>
      <c r="KW807" s="1265"/>
      <c r="KX807" s="1265"/>
      <c r="KY807" s="1265"/>
      <c r="KZ807" s="1265"/>
      <c r="LA807" s="1265"/>
      <c r="LB807" s="1265"/>
      <c r="LC807" s="1265"/>
      <c r="LD807" s="1265"/>
      <c r="LE807" s="1265"/>
      <c r="LF807" s="1265"/>
      <c r="LG807" s="1265"/>
      <c r="LH807" s="1265"/>
      <c r="LI807" s="1265"/>
      <c r="LJ807" s="1265"/>
      <c r="LK807" s="1265"/>
      <c r="LL807" s="1265"/>
      <c r="LM807" s="1265"/>
      <c r="LN807" s="1265"/>
      <c r="LO807" s="1265"/>
      <c r="LP807" s="1265"/>
      <c r="LQ807" s="1265"/>
      <c r="LR807" s="1265"/>
      <c r="LS807" s="1265"/>
      <c r="LT807" s="1265"/>
      <c r="LU807" s="1265"/>
      <c r="LV807" s="1265"/>
      <c r="LW807" s="1265"/>
      <c r="LX807" s="1265"/>
      <c r="LY807" s="1265"/>
      <c r="LZ807" s="1265"/>
      <c r="MA807" s="1265"/>
      <c r="MB807" s="1265"/>
      <c r="MC807" s="1265"/>
      <c r="MD807" s="1265"/>
      <c r="ME807" s="1265"/>
      <c r="MF807" s="1265"/>
      <c r="MG807" s="1265"/>
      <c r="MH807" s="1265"/>
      <c r="MI807" s="1265"/>
      <c r="MJ807" s="1265"/>
      <c r="MK807" s="1265"/>
      <c r="ML807" s="1265"/>
      <c r="MM807" s="1265"/>
      <c r="MN807" s="1265"/>
      <c r="MO807" s="1265"/>
      <c r="MP807" s="1265"/>
      <c r="MQ807" s="1265"/>
      <c r="MR807" s="1265"/>
      <c r="MS807" s="1265"/>
      <c r="MT807" s="1265"/>
      <c r="MU807" s="1265"/>
      <c r="MV807" s="1265"/>
      <c r="MW807" s="1265"/>
      <c r="MX807" s="1265"/>
      <c r="MY807" s="1265"/>
      <c r="MZ807" s="1265"/>
      <c r="NA807" s="1265"/>
      <c r="NB807" s="1265"/>
      <c r="NC807" s="1265"/>
      <c r="ND807" s="1265"/>
      <c r="NE807" s="1265"/>
      <c r="NF807" s="1265"/>
      <c r="NG807" s="1265"/>
      <c r="NH807" s="1265"/>
      <c r="NI807" s="1265"/>
      <c r="NJ807" s="1265"/>
      <c r="NK807" s="1265"/>
      <c r="NL807" s="1265"/>
      <c r="NM807" s="1265"/>
      <c r="NN807" s="1265"/>
      <c r="NO807" s="1265"/>
      <c r="NP807" s="1265"/>
      <c r="NQ807" s="1265"/>
      <c r="NR807" s="1265"/>
      <c r="NS807" s="1265"/>
      <c r="NT807" s="1265"/>
      <c r="NU807" s="1265"/>
      <c r="NV807" s="1265"/>
      <c r="NW807" s="1265"/>
      <c r="NX807" s="1265"/>
      <c r="NY807" s="1265"/>
      <c r="NZ807" s="1265"/>
      <c r="OA807" s="1265"/>
      <c r="OB807" s="1265"/>
      <c r="OC807" s="1265"/>
      <c r="OD807" s="1265"/>
      <c r="OE807" s="1265"/>
      <c r="OF807" s="1265"/>
      <c r="OG807" s="1265"/>
      <c r="OH807" s="1265"/>
      <c r="OI807" s="1265"/>
      <c r="OJ807" s="1265"/>
      <c r="OK807" s="1265"/>
      <c r="OL807" s="1265"/>
      <c r="OM807" s="1265"/>
      <c r="ON807" s="1265"/>
      <c r="OO807" s="1265"/>
      <c r="OP807" s="1265"/>
      <c r="OQ807" s="1265"/>
      <c r="OR807" s="1265"/>
      <c r="OS807" s="1265"/>
      <c r="OT807" s="1265"/>
      <c r="OU807" s="1265"/>
      <c r="OV807" s="1265"/>
      <c r="OW807" s="1265"/>
      <c r="OX807" s="1265"/>
      <c r="OY807" s="1265"/>
      <c r="OZ807" s="1265"/>
      <c r="PA807" s="1265"/>
      <c r="PB807" s="1265"/>
      <c r="PC807" s="1265"/>
      <c r="PD807" s="1265"/>
      <c r="PE807" s="1265"/>
      <c r="PF807" s="1265"/>
      <c r="PG807" s="1265"/>
      <c r="PH807" s="1265"/>
      <c r="PI807" s="1265"/>
      <c r="PJ807" s="1265"/>
      <c r="PK807" s="1265"/>
      <c r="PL807" s="1265"/>
      <c r="PM807" s="1265"/>
      <c r="PN807" s="1265"/>
      <c r="PO807" s="1265"/>
      <c r="PP807" s="1265"/>
      <c r="PQ807" s="1265"/>
      <c r="PR807" s="1265"/>
      <c r="PS807" s="1265"/>
      <c r="PT807" s="1265"/>
      <c r="PU807" s="1265"/>
      <c r="PV807" s="1265"/>
      <c r="PW807" s="1265"/>
      <c r="PX807" s="1265"/>
      <c r="PY807" s="1265"/>
      <c r="PZ807" s="1265"/>
      <c r="QA807" s="1265"/>
      <c r="QB807" s="1265"/>
      <c r="QC807" s="1265"/>
      <c r="QD807" s="1265"/>
      <c r="QE807" s="1265"/>
      <c r="QF807" s="1265"/>
      <c r="QG807" s="1265"/>
      <c r="QH807" s="1265"/>
      <c r="QI807" s="1265"/>
      <c r="QJ807" s="1265"/>
      <c r="QK807" s="1265"/>
      <c r="QL807" s="1265"/>
      <c r="QM807" s="1265"/>
      <c r="QN807" s="1265"/>
      <c r="QO807" s="1265"/>
      <c r="QP807" s="1265"/>
      <c r="QQ807" s="1265"/>
      <c r="QR807" s="1265"/>
      <c r="QS807" s="1265"/>
      <c r="QT807" s="1265"/>
      <c r="QU807" s="1265"/>
      <c r="QV807" s="1265"/>
      <c r="QW807" s="1265"/>
      <c r="QX807" s="1265"/>
      <c r="QY807" s="1265"/>
      <c r="QZ807" s="1265"/>
      <c r="RA807" s="1265"/>
      <c r="RB807" s="1265"/>
      <c r="RC807" s="1265"/>
      <c r="RD807" s="1265"/>
      <c r="RE807" s="1265"/>
      <c r="RF807" s="1265"/>
      <c r="RG807" s="1265"/>
      <c r="RH807" s="1265"/>
      <c r="RI807" s="1265"/>
      <c r="RJ807" s="1265"/>
      <c r="RK807" s="1265"/>
      <c r="RL807" s="1265"/>
      <c r="RM807" s="1265"/>
      <c r="RN807" s="1265"/>
      <c r="RO807" s="1265"/>
      <c r="RP807" s="1265"/>
      <c r="RQ807" s="1265"/>
      <c r="RR807" s="1265"/>
      <c r="RS807" s="1265"/>
      <c r="RT807" s="1265"/>
      <c r="RU807" s="1265"/>
      <c r="RV807" s="1265"/>
      <c r="RW807" s="1265"/>
      <c r="RX807" s="1265"/>
      <c r="RY807" s="1265"/>
      <c r="RZ807" s="1265"/>
      <c r="SA807" s="1265"/>
      <c r="SB807" s="1265"/>
      <c r="SC807" s="1265"/>
      <c r="SD807" s="1265"/>
      <c r="SE807" s="1265"/>
      <c r="SF807" s="1265"/>
      <c r="SG807" s="1265"/>
      <c r="SH807" s="1265"/>
      <c r="SI807" s="1265"/>
      <c r="SJ807" s="1265"/>
      <c r="SK807" s="1265"/>
      <c r="SL807" s="1265"/>
      <c r="SM807" s="1265"/>
      <c r="SN807" s="1265"/>
      <c r="SO807" s="1265"/>
      <c r="SP807" s="1265"/>
      <c r="SQ807" s="1265"/>
      <c r="SR807" s="1265"/>
      <c r="SS807" s="1265"/>
      <c r="ST807" s="1265"/>
      <c r="SU807" s="1265"/>
      <c r="SV807" s="1265"/>
      <c r="SW807" s="1265"/>
      <c r="SX807" s="1265"/>
      <c r="SY807" s="1265"/>
      <c r="SZ807" s="1265"/>
      <c r="TA807" s="1265"/>
      <c r="TB807" s="1265"/>
      <c r="TC807" s="1265"/>
      <c r="TD807" s="1265"/>
      <c r="TE807" s="1265"/>
      <c r="TF807" s="1265"/>
      <c r="TG807" s="1265"/>
      <c r="TH807" s="1265"/>
      <c r="TI807" s="1265"/>
      <c r="TJ807" s="1265"/>
      <c r="TK807" s="1265"/>
      <c r="TL807" s="1265"/>
      <c r="TM807" s="1265"/>
      <c r="TN807" s="1265"/>
      <c r="TO807" s="1265"/>
      <c r="TP807" s="1265"/>
      <c r="TQ807" s="1265"/>
      <c r="TR807" s="1265"/>
      <c r="TS807" s="1265"/>
      <c r="TT807" s="1265"/>
      <c r="TU807" s="1265"/>
      <c r="TV807" s="1265"/>
      <c r="TW807" s="1265"/>
      <c r="TX807" s="1265"/>
      <c r="TY807" s="1265"/>
      <c r="TZ807" s="1265"/>
      <c r="UA807" s="1265"/>
      <c r="UB807" s="1265"/>
      <c r="UC807" s="1265"/>
      <c r="UD807" s="1265"/>
      <c r="UE807" s="1265"/>
      <c r="UF807" s="1265"/>
      <c r="UG807" s="1266"/>
    </row>
    <row r="808" spans="1:553" s="1262" customFormat="1" ht="30.75" customHeight="1">
      <c r="A808" s="661"/>
      <c r="B808" s="661"/>
      <c r="C808" s="1412" t="s">
        <v>1153</v>
      </c>
      <c r="D808" s="1412" t="s">
        <v>1154</v>
      </c>
      <c r="E808" s="1412" t="s">
        <v>1154</v>
      </c>
      <c r="F808" s="1412" t="s">
        <v>1154</v>
      </c>
      <c r="G808" s="530" t="s">
        <v>196</v>
      </c>
      <c r="H808" s="662"/>
      <c r="I808" s="528">
        <f>(55.03*100/400)*(32-(4-3))*8</f>
        <v>3411.86</v>
      </c>
      <c r="J808" s="1248">
        <v>7300</v>
      </c>
      <c r="K808" s="596">
        <v>0.7</v>
      </c>
      <c r="L808" s="1248">
        <f>I808*J808*K808</f>
        <v>17434604.599999998</v>
      </c>
      <c r="M808" s="356"/>
      <c r="N808" s="356"/>
      <c r="O808" s="356"/>
      <c r="P808" s="356"/>
      <c r="Q808" s="610"/>
      <c r="R808" s="1228"/>
      <c r="S808" s="308"/>
      <c r="T808" s="308"/>
      <c r="U808" s="308"/>
      <c r="V808" s="308"/>
      <c r="W808" s="308"/>
      <c r="X808" s="308"/>
      <c r="Y808" s="308"/>
      <c r="Z808" s="604"/>
      <c r="AA808" s="308"/>
      <c r="AB808" s="308"/>
      <c r="AC808" s="454"/>
      <c r="AD808" s="454"/>
      <c r="AE808" s="454"/>
      <c r="AF808" s="454"/>
      <c r="AG808" s="454"/>
      <c r="AH808" s="454"/>
      <c r="AI808" s="454"/>
      <c r="AJ808" s="454"/>
      <c r="AK808" s="455"/>
      <c r="AL808" s="1263"/>
      <c r="AM808" s="1263"/>
      <c r="AN808" s="1263"/>
      <c r="AO808" s="1263"/>
      <c r="AP808" s="1263"/>
      <c r="AQ808" s="1263"/>
      <c r="AR808" s="1263"/>
      <c r="AS808" s="1264"/>
      <c r="AT808" s="1264"/>
      <c r="AU808" s="1264"/>
      <c r="AV808" s="1264"/>
      <c r="AW808" s="1264"/>
      <c r="AX808" s="1264"/>
      <c r="AY808" s="1264"/>
      <c r="AZ808" s="1264"/>
      <c r="BA808" s="1264"/>
      <c r="BB808" s="1264"/>
      <c r="BC808" s="1264"/>
      <c r="BD808" s="1264"/>
      <c r="BE808" s="1264"/>
      <c r="BF808" s="1264"/>
      <c r="BG808" s="1264"/>
      <c r="BH808" s="1264"/>
      <c r="BI808" s="1264"/>
      <c r="BJ808" s="1264"/>
      <c r="BK808" s="1264"/>
      <c r="BL808" s="1264"/>
      <c r="BM808" s="1264"/>
      <c r="BN808" s="1264"/>
      <c r="BO808" s="1264"/>
      <c r="BP808" s="1265"/>
      <c r="BQ808" s="1265"/>
      <c r="BR808" s="1265"/>
      <c r="BS808" s="1265"/>
      <c r="BT808" s="1265"/>
      <c r="BU808" s="1265"/>
      <c r="BV808" s="1265"/>
      <c r="BW808" s="1265"/>
      <c r="BX808" s="1265"/>
      <c r="BY808" s="1265"/>
      <c r="BZ808" s="1265"/>
      <c r="CA808" s="1265"/>
      <c r="CB808" s="1265"/>
      <c r="CC808" s="1265"/>
      <c r="CD808" s="1265"/>
      <c r="CE808" s="1265"/>
      <c r="CF808" s="1265"/>
      <c r="CG808" s="1265"/>
      <c r="CH808" s="1265"/>
      <c r="CI808" s="1265"/>
      <c r="CJ808" s="1265"/>
      <c r="CK808" s="1265"/>
      <c r="CL808" s="1265"/>
      <c r="CM808" s="1265"/>
      <c r="CN808" s="1265"/>
      <c r="CO808" s="1265"/>
      <c r="CP808" s="1265"/>
      <c r="CQ808" s="1265"/>
      <c r="CR808" s="1265"/>
      <c r="CS808" s="1265"/>
      <c r="CT808" s="1265"/>
      <c r="CU808" s="1265"/>
      <c r="CV808" s="1265"/>
      <c r="CW808" s="1265"/>
      <c r="CX808" s="1265"/>
      <c r="CY808" s="1265"/>
      <c r="CZ808" s="1265"/>
      <c r="DA808" s="1265"/>
      <c r="DB808" s="1265"/>
      <c r="DC808" s="1265"/>
      <c r="DD808" s="1265"/>
      <c r="DE808" s="1265"/>
      <c r="DF808" s="1265"/>
      <c r="DG808" s="1265"/>
      <c r="DH808" s="1265"/>
      <c r="DI808" s="1265"/>
      <c r="DJ808" s="1265"/>
      <c r="DK808" s="1265"/>
      <c r="DL808" s="1265"/>
      <c r="DM808" s="1265"/>
      <c r="DN808" s="1265"/>
      <c r="DO808" s="1265"/>
      <c r="DP808" s="1265"/>
      <c r="DQ808" s="1265"/>
      <c r="DR808" s="1265"/>
      <c r="DS808" s="1265"/>
      <c r="DT808" s="1265"/>
      <c r="DU808" s="1265"/>
      <c r="DV808" s="1265"/>
      <c r="DW808" s="1265"/>
      <c r="DX808" s="1265"/>
      <c r="DY808" s="1265"/>
      <c r="DZ808" s="1265"/>
      <c r="EA808" s="1265"/>
      <c r="EB808" s="1265"/>
      <c r="EC808" s="1265"/>
      <c r="ED808" s="1265"/>
      <c r="EE808" s="1265"/>
      <c r="EF808" s="1265"/>
      <c r="EG808" s="1265"/>
      <c r="EH808" s="1265"/>
      <c r="EI808" s="1265"/>
      <c r="EJ808" s="1265"/>
      <c r="EK808" s="1265"/>
      <c r="EL808" s="1265"/>
      <c r="EM808" s="1265"/>
      <c r="EN808" s="1265"/>
      <c r="EO808" s="1265"/>
      <c r="EP808" s="1265"/>
      <c r="EQ808" s="1265"/>
      <c r="ER808" s="1265"/>
      <c r="ES808" s="1265"/>
      <c r="ET808" s="1265"/>
      <c r="EU808" s="1265"/>
      <c r="EV808" s="1265"/>
      <c r="EW808" s="1265"/>
      <c r="EX808" s="1265"/>
      <c r="EY808" s="1265"/>
      <c r="EZ808" s="1265"/>
      <c r="FA808" s="1265"/>
      <c r="FB808" s="1265"/>
      <c r="FC808" s="1265"/>
      <c r="FD808" s="1265"/>
      <c r="FE808" s="1265"/>
      <c r="FF808" s="1265"/>
      <c r="FG808" s="1265"/>
      <c r="FH808" s="1265"/>
      <c r="FI808" s="1265"/>
      <c r="FJ808" s="1265"/>
      <c r="FK808" s="1265"/>
      <c r="FL808" s="1265"/>
      <c r="FM808" s="1265"/>
      <c r="FN808" s="1265"/>
      <c r="FO808" s="1265"/>
      <c r="FP808" s="1265"/>
      <c r="FQ808" s="1265"/>
      <c r="FR808" s="1265"/>
      <c r="FS808" s="1265"/>
      <c r="FT808" s="1265"/>
      <c r="FU808" s="1265"/>
      <c r="FV808" s="1265"/>
      <c r="FW808" s="1265"/>
      <c r="FX808" s="1265"/>
      <c r="FY808" s="1265"/>
      <c r="FZ808" s="1265"/>
      <c r="GA808" s="1265"/>
      <c r="GB808" s="1265"/>
      <c r="GC808" s="1265"/>
      <c r="GD808" s="1265"/>
      <c r="GE808" s="1265"/>
      <c r="GF808" s="1265"/>
      <c r="GG808" s="1265"/>
      <c r="GH808" s="1265"/>
      <c r="GI808" s="1265"/>
      <c r="GJ808" s="1265"/>
      <c r="GK808" s="1265"/>
      <c r="GL808" s="1265"/>
      <c r="GM808" s="1265"/>
      <c r="GN808" s="1265"/>
      <c r="GO808" s="1265"/>
      <c r="GP808" s="1265"/>
      <c r="GQ808" s="1265"/>
      <c r="GR808" s="1265"/>
      <c r="GS808" s="1265"/>
      <c r="GT808" s="1265"/>
      <c r="GU808" s="1265"/>
      <c r="GV808" s="1265"/>
      <c r="GW808" s="1265"/>
      <c r="GX808" s="1265"/>
      <c r="GY808" s="1265"/>
      <c r="GZ808" s="1265"/>
      <c r="HA808" s="1265"/>
      <c r="HB808" s="1265"/>
      <c r="HC808" s="1265"/>
      <c r="HD808" s="1265"/>
      <c r="HE808" s="1265"/>
      <c r="HF808" s="1265"/>
      <c r="HG808" s="1265"/>
      <c r="HH808" s="1265"/>
      <c r="HI808" s="1265"/>
      <c r="HJ808" s="1265"/>
      <c r="HK808" s="1265"/>
      <c r="HL808" s="1265"/>
      <c r="HM808" s="1265"/>
      <c r="HN808" s="1265"/>
      <c r="HO808" s="1265"/>
      <c r="HP808" s="1265"/>
      <c r="HQ808" s="1265"/>
      <c r="HR808" s="1265"/>
      <c r="HS808" s="1265"/>
      <c r="HT808" s="1265"/>
      <c r="HU808" s="1265"/>
      <c r="HV808" s="1265"/>
      <c r="HW808" s="1265"/>
      <c r="HX808" s="1265"/>
      <c r="HY808" s="1265"/>
      <c r="HZ808" s="1265"/>
      <c r="IA808" s="1265"/>
      <c r="IB808" s="1265"/>
      <c r="IC808" s="1265"/>
      <c r="ID808" s="1265"/>
      <c r="IE808" s="1265"/>
      <c r="IF808" s="1265"/>
      <c r="IG808" s="1265"/>
      <c r="IH808" s="1265"/>
      <c r="II808" s="1265"/>
      <c r="IJ808" s="1265"/>
      <c r="IK808" s="1265"/>
      <c r="IL808" s="1265"/>
      <c r="IM808" s="1265"/>
      <c r="IN808" s="1265"/>
      <c r="IO808" s="1265"/>
      <c r="IP808" s="1265"/>
      <c r="IQ808" s="1265"/>
      <c r="IR808" s="1265"/>
      <c r="IS808" s="1265"/>
      <c r="IT808" s="1265"/>
      <c r="IU808" s="1265"/>
      <c r="IV808" s="1265"/>
      <c r="IW808" s="1265"/>
      <c r="IX808" s="1265"/>
      <c r="IY808" s="1265"/>
      <c r="IZ808" s="1265"/>
      <c r="JA808" s="1265"/>
      <c r="JB808" s="1265"/>
      <c r="JC808" s="1265"/>
      <c r="JD808" s="1265"/>
      <c r="JE808" s="1265"/>
      <c r="JF808" s="1265"/>
      <c r="JG808" s="1265"/>
      <c r="JH808" s="1265"/>
      <c r="JI808" s="1265"/>
      <c r="JJ808" s="1265"/>
      <c r="JK808" s="1265"/>
      <c r="JL808" s="1265"/>
      <c r="JM808" s="1265"/>
      <c r="JN808" s="1265"/>
      <c r="JO808" s="1265"/>
      <c r="JP808" s="1265"/>
      <c r="JQ808" s="1265"/>
      <c r="JR808" s="1265"/>
      <c r="JS808" s="1265"/>
      <c r="JT808" s="1265"/>
      <c r="JU808" s="1265"/>
      <c r="JV808" s="1265"/>
      <c r="JW808" s="1265"/>
      <c r="JX808" s="1265"/>
      <c r="JY808" s="1265"/>
      <c r="JZ808" s="1265"/>
      <c r="KA808" s="1265"/>
      <c r="KB808" s="1265"/>
      <c r="KC808" s="1265"/>
      <c r="KD808" s="1265"/>
      <c r="KE808" s="1265"/>
      <c r="KF808" s="1265"/>
      <c r="KG808" s="1265"/>
      <c r="KH808" s="1265"/>
      <c r="KI808" s="1265"/>
      <c r="KJ808" s="1265"/>
      <c r="KK808" s="1265"/>
      <c r="KL808" s="1265"/>
      <c r="KM808" s="1265"/>
      <c r="KN808" s="1265"/>
      <c r="KO808" s="1265"/>
      <c r="KP808" s="1265"/>
      <c r="KQ808" s="1265"/>
      <c r="KR808" s="1265"/>
      <c r="KS808" s="1265"/>
      <c r="KT808" s="1265"/>
      <c r="KU808" s="1265"/>
      <c r="KV808" s="1265"/>
      <c r="KW808" s="1265"/>
      <c r="KX808" s="1265"/>
      <c r="KY808" s="1265"/>
      <c r="KZ808" s="1265"/>
      <c r="LA808" s="1265"/>
      <c r="LB808" s="1265"/>
      <c r="LC808" s="1265"/>
      <c r="LD808" s="1265"/>
      <c r="LE808" s="1265"/>
      <c r="LF808" s="1265"/>
      <c r="LG808" s="1265"/>
      <c r="LH808" s="1265"/>
      <c r="LI808" s="1265"/>
      <c r="LJ808" s="1265"/>
      <c r="LK808" s="1265"/>
      <c r="LL808" s="1265"/>
      <c r="LM808" s="1265"/>
      <c r="LN808" s="1265"/>
      <c r="LO808" s="1265"/>
      <c r="LP808" s="1265"/>
      <c r="LQ808" s="1265"/>
      <c r="LR808" s="1265"/>
      <c r="LS808" s="1265"/>
      <c r="LT808" s="1265"/>
      <c r="LU808" s="1265"/>
      <c r="LV808" s="1265"/>
      <c r="LW808" s="1265"/>
      <c r="LX808" s="1265"/>
      <c r="LY808" s="1265"/>
      <c r="LZ808" s="1265"/>
      <c r="MA808" s="1265"/>
      <c r="MB808" s="1265"/>
      <c r="MC808" s="1265"/>
      <c r="MD808" s="1265"/>
      <c r="ME808" s="1265"/>
      <c r="MF808" s="1265"/>
      <c r="MG808" s="1265"/>
      <c r="MH808" s="1265"/>
      <c r="MI808" s="1265"/>
      <c r="MJ808" s="1265"/>
      <c r="MK808" s="1265"/>
      <c r="ML808" s="1265"/>
      <c r="MM808" s="1265"/>
      <c r="MN808" s="1265"/>
      <c r="MO808" s="1265"/>
      <c r="MP808" s="1265"/>
      <c r="MQ808" s="1265"/>
      <c r="MR808" s="1265"/>
      <c r="MS808" s="1265"/>
      <c r="MT808" s="1265"/>
      <c r="MU808" s="1265"/>
      <c r="MV808" s="1265"/>
      <c r="MW808" s="1265"/>
      <c r="MX808" s="1265"/>
      <c r="MY808" s="1265"/>
      <c r="MZ808" s="1265"/>
      <c r="NA808" s="1265"/>
      <c r="NB808" s="1265"/>
      <c r="NC808" s="1265"/>
      <c r="ND808" s="1265"/>
      <c r="NE808" s="1265"/>
      <c r="NF808" s="1265"/>
      <c r="NG808" s="1265"/>
      <c r="NH808" s="1265"/>
      <c r="NI808" s="1265"/>
      <c r="NJ808" s="1265"/>
      <c r="NK808" s="1265"/>
      <c r="NL808" s="1265"/>
      <c r="NM808" s="1265"/>
      <c r="NN808" s="1265"/>
      <c r="NO808" s="1265"/>
      <c r="NP808" s="1265"/>
      <c r="NQ808" s="1265"/>
      <c r="NR808" s="1265"/>
      <c r="NS808" s="1265"/>
      <c r="NT808" s="1265"/>
      <c r="NU808" s="1265"/>
      <c r="NV808" s="1265"/>
      <c r="NW808" s="1265"/>
      <c r="NX808" s="1265"/>
      <c r="NY808" s="1265"/>
      <c r="NZ808" s="1265"/>
      <c r="OA808" s="1265"/>
      <c r="OB808" s="1265"/>
      <c r="OC808" s="1265"/>
      <c r="OD808" s="1265"/>
      <c r="OE808" s="1265"/>
      <c r="OF808" s="1265"/>
      <c r="OG808" s="1265"/>
      <c r="OH808" s="1265"/>
      <c r="OI808" s="1265"/>
      <c r="OJ808" s="1265"/>
      <c r="OK808" s="1265"/>
      <c r="OL808" s="1265"/>
      <c r="OM808" s="1265"/>
      <c r="ON808" s="1265"/>
      <c r="OO808" s="1265"/>
      <c r="OP808" s="1265"/>
      <c r="OQ808" s="1265"/>
      <c r="OR808" s="1265"/>
      <c r="OS808" s="1265"/>
      <c r="OT808" s="1265"/>
      <c r="OU808" s="1265"/>
      <c r="OV808" s="1265"/>
      <c r="OW808" s="1265"/>
      <c r="OX808" s="1265"/>
      <c r="OY808" s="1265"/>
      <c r="OZ808" s="1265"/>
      <c r="PA808" s="1265"/>
      <c r="PB808" s="1265"/>
      <c r="PC808" s="1265"/>
      <c r="PD808" s="1265"/>
      <c r="PE808" s="1265"/>
      <c r="PF808" s="1265"/>
      <c r="PG808" s="1265"/>
      <c r="PH808" s="1265"/>
      <c r="PI808" s="1265"/>
      <c r="PJ808" s="1265"/>
      <c r="PK808" s="1265"/>
      <c r="PL808" s="1265"/>
      <c r="PM808" s="1265"/>
      <c r="PN808" s="1265"/>
      <c r="PO808" s="1265"/>
      <c r="PP808" s="1265"/>
      <c r="PQ808" s="1265"/>
      <c r="PR808" s="1265"/>
      <c r="PS808" s="1265"/>
      <c r="PT808" s="1265"/>
      <c r="PU808" s="1265"/>
      <c r="PV808" s="1265"/>
      <c r="PW808" s="1265"/>
      <c r="PX808" s="1265"/>
      <c r="PY808" s="1265"/>
      <c r="PZ808" s="1265"/>
      <c r="QA808" s="1265"/>
      <c r="QB808" s="1265"/>
      <c r="QC808" s="1265"/>
      <c r="QD808" s="1265"/>
      <c r="QE808" s="1265"/>
      <c r="QF808" s="1265"/>
      <c r="QG808" s="1265"/>
      <c r="QH808" s="1265"/>
      <c r="QI808" s="1265"/>
      <c r="QJ808" s="1265"/>
      <c r="QK808" s="1265"/>
      <c r="QL808" s="1265"/>
      <c r="QM808" s="1265"/>
      <c r="QN808" s="1265"/>
      <c r="QO808" s="1265"/>
      <c r="QP808" s="1265"/>
      <c r="QQ808" s="1265"/>
      <c r="QR808" s="1265"/>
      <c r="QS808" s="1265"/>
      <c r="QT808" s="1265"/>
      <c r="QU808" s="1265"/>
      <c r="QV808" s="1265"/>
      <c r="QW808" s="1265"/>
      <c r="QX808" s="1265"/>
      <c r="QY808" s="1265"/>
      <c r="QZ808" s="1265"/>
      <c r="RA808" s="1265"/>
      <c r="RB808" s="1265"/>
      <c r="RC808" s="1265"/>
      <c r="RD808" s="1265"/>
      <c r="RE808" s="1265"/>
      <c r="RF808" s="1265"/>
      <c r="RG808" s="1265"/>
      <c r="RH808" s="1265"/>
      <c r="RI808" s="1265"/>
      <c r="RJ808" s="1265"/>
      <c r="RK808" s="1265"/>
      <c r="RL808" s="1265"/>
      <c r="RM808" s="1265"/>
      <c r="RN808" s="1265"/>
      <c r="RO808" s="1265"/>
      <c r="RP808" s="1265"/>
      <c r="RQ808" s="1265"/>
      <c r="RR808" s="1265"/>
      <c r="RS808" s="1265"/>
      <c r="RT808" s="1265"/>
      <c r="RU808" s="1265"/>
      <c r="RV808" s="1265"/>
      <c r="RW808" s="1265"/>
      <c r="RX808" s="1265"/>
      <c r="RY808" s="1265"/>
      <c r="RZ808" s="1265"/>
      <c r="SA808" s="1265"/>
      <c r="SB808" s="1265"/>
      <c r="SC808" s="1265"/>
      <c r="SD808" s="1265"/>
      <c r="SE808" s="1265"/>
      <c r="SF808" s="1265"/>
      <c r="SG808" s="1265"/>
      <c r="SH808" s="1265"/>
      <c r="SI808" s="1265"/>
      <c r="SJ808" s="1265"/>
      <c r="SK808" s="1265"/>
      <c r="SL808" s="1265"/>
      <c r="SM808" s="1265"/>
      <c r="SN808" s="1265"/>
      <c r="SO808" s="1265"/>
      <c r="SP808" s="1265"/>
      <c r="SQ808" s="1265"/>
      <c r="SR808" s="1265"/>
      <c r="SS808" s="1265"/>
      <c r="ST808" s="1265"/>
      <c r="SU808" s="1265"/>
      <c r="SV808" s="1265"/>
      <c r="SW808" s="1265"/>
      <c r="SX808" s="1265"/>
      <c r="SY808" s="1265"/>
      <c r="SZ808" s="1265"/>
      <c r="TA808" s="1265"/>
      <c r="TB808" s="1265"/>
      <c r="TC808" s="1265"/>
      <c r="TD808" s="1265"/>
      <c r="TE808" s="1265"/>
      <c r="TF808" s="1265"/>
      <c r="TG808" s="1265"/>
      <c r="TH808" s="1265"/>
      <c r="TI808" s="1265"/>
      <c r="TJ808" s="1265"/>
      <c r="TK808" s="1265"/>
      <c r="TL808" s="1265"/>
      <c r="TM808" s="1265"/>
      <c r="TN808" s="1265"/>
      <c r="TO808" s="1265"/>
      <c r="TP808" s="1265"/>
      <c r="TQ808" s="1265"/>
      <c r="TR808" s="1265"/>
      <c r="TS808" s="1265"/>
      <c r="TT808" s="1265"/>
      <c r="TU808" s="1265"/>
      <c r="TV808" s="1265"/>
      <c r="TW808" s="1265"/>
      <c r="TX808" s="1265"/>
      <c r="TY808" s="1265"/>
      <c r="TZ808" s="1265"/>
      <c r="UA808" s="1265"/>
      <c r="UB808" s="1265"/>
      <c r="UC808" s="1265"/>
      <c r="UD808" s="1265"/>
      <c r="UE808" s="1265"/>
      <c r="UF808" s="1265"/>
      <c r="UG808" s="1266"/>
    </row>
    <row r="809" spans="1:553" s="1262" customFormat="1" ht="30.75" customHeight="1">
      <c r="A809" s="661"/>
      <c r="B809" s="661"/>
      <c r="C809" s="1412" t="s">
        <v>1155</v>
      </c>
      <c r="D809" s="1412" t="s">
        <v>1156</v>
      </c>
      <c r="E809" s="1412" t="s">
        <v>1156</v>
      </c>
      <c r="F809" s="1412" t="s">
        <v>1156</v>
      </c>
      <c r="G809" s="530" t="s">
        <v>46</v>
      </c>
      <c r="H809" s="662"/>
      <c r="I809" s="529">
        <f>(55.03*100/400)*(32-(9-3))*1</f>
        <v>357.69499999999999</v>
      </c>
      <c r="J809" s="1248">
        <v>7300</v>
      </c>
      <c r="K809" s="596">
        <v>0.7</v>
      </c>
      <c r="L809" s="1287">
        <f>ROUND(PRODUCT(I809:K809),0)</f>
        <v>1827821</v>
      </c>
      <c r="M809" s="356"/>
      <c r="N809" s="356"/>
      <c r="O809" s="356"/>
      <c r="P809" s="356"/>
      <c r="Q809" s="610"/>
      <c r="R809" s="1228"/>
      <c r="S809" s="308"/>
      <c r="T809" s="308"/>
      <c r="U809" s="308"/>
      <c r="V809" s="308"/>
      <c r="W809" s="308"/>
      <c r="X809" s="308"/>
      <c r="Y809" s="308"/>
      <c r="Z809" s="604"/>
      <c r="AA809" s="308"/>
      <c r="AB809" s="308"/>
      <c r="AC809" s="454"/>
      <c r="AD809" s="454"/>
      <c r="AE809" s="454"/>
      <c r="AF809" s="454"/>
      <c r="AG809" s="454"/>
      <c r="AH809" s="454"/>
      <c r="AI809" s="454"/>
      <c r="AJ809" s="454"/>
      <c r="AK809" s="455"/>
      <c r="AL809" s="1263"/>
      <c r="AM809" s="1263"/>
      <c r="AN809" s="1263"/>
      <c r="AO809" s="1263"/>
      <c r="AP809" s="1263"/>
      <c r="AQ809" s="1263"/>
      <c r="AR809" s="1263"/>
      <c r="AS809" s="1264"/>
      <c r="AT809" s="1264"/>
      <c r="AU809" s="1264"/>
      <c r="AV809" s="1264"/>
      <c r="AW809" s="1264"/>
      <c r="AX809" s="1264"/>
      <c r="AY809" s="1264"/>
      <c r="AZ809" s="1264"/>
      <c r="BA809" s="1264"/>
      <c r="BB809" s="1264"/>
      <c r="BC809" s="1264"/>
      <c r="BD809" s="1264"/>
      <c r="BE809" s="1264"/>
      <c r="BF809" s="1264"/>
      <c r="BG809" s="1264"/>
      <c r="BH809" s="1264"/>
      <c r="BI809" s="1264"/>
      <c r="BJ809" s="1264"/>
      <c r="BK809" s="1264"/>
      <c r="BL809" s="1264"/>
      <c r="BM809" s="1264"/>
      <c r="BN809" s="1264"/>
      <c r="BO809" s="1264"/>
      <c r="BP809" s="1265"/>
      <c r="BQ809" s="1265"/>
      <c r="BR809" s="1265"/>
      <c r="BS809" s="1265"/>
      <c r="BT809" s="1265"/>
      <c r="BU809" s="1265"/>
      <c r="BV809" s="1265"/>
      <c r="BW809" s="1265"/>
      <c r="BX809" s="1265"/>
      <c r="BY809" s="1265"/>
      <c r="BZ809" s="1265"/>
      <c r="CA809" s="1265"/>
      <c r="CB809" s="1265"/>
      <c r="CC809" s="1265"/>
      <c r="CD809" s="1265"/>
      <c r="CE809" s="1265"/>
      <c r="CF809" s="1265"/>
      <c r="CG809" s="1265"/>
      <c r="CH809" s="1265"/>
      <c r="CI809" s="1265"/>
      <c r="CJ809" s="1265"/>
      <c r="CK809" s="1265"/>
      <c r="CL809" s="1265"/>
      <c r="CM809" s="1265"/>
      <c r="CN809" s="1265"/>
      <c r="CO809" s="1265"/>
      <c r="CP809" s="1265"/>
      <c r="CQ809" s="1265"/>
      <c r="CR809" s="1265"/>
      <c r="CS809" s="1265"/>
      <c r="CT809" s="1265"/>
      <c r="CU809" s="1265"/>
      <c r="CV809" s="1265"/>
      <c r="CW809" s="1265"/>
      <c r="CX809" s="1265"/>
      <c r="CY809" s="1265"/>
      <c r="CZ809" s="1265"/>
      <c r="DA809" s="1265"/>
      <c r="DB809" s="1265"/>
      <c r="DC809" s="1265"/>
      <c r="DD809" s="1265"/>
      <c r="DE809" s="1265"/>
      <c r="DF809" s="1265"/>
      <c r="DG809" s="1265"/>
      <c r="DH809" s="1265"/>
      <c r="DI809" s="1265"/>
      <c r="DJ809" s="1265"/>
      <c r="DK809" s="1265"/>
      <c r="DL809" s="1265"/>
      <c r="DM809" s="1265"/>
      <c r="DN809" s="1265"/>
      <c r="DO809" s="1265"/>
      <c r="DP809" s="1265"/>
      <c r="DQ809" s="1265"/>
      <c r="DR809" s="1265"/>
      <c r="DS809" s="1265"/>
      <c r="DT809" s="1265"/>
      <c r="DU809" s="1265"/>
      <c r="DV809" s="1265"/>
      <c r="DW809" s="1265"/>
      <c r="DX809" s="1265"/>
      <c r="DY809" s="1265"/>
      <c r="DZ809" s="1265"/>
      <c r="EA809" s="1265"/>
      <c r="EB809" s="1265"/>
      <c r="EC809" s="1265"/>
      <c r="ED809" s="1265"/>
      <c r="EE809" s="1265"/>
      <c r="EF809" s="1265"/>
      <c r="EG809" s="1265"/>
      <c r="EH809" s="1265"/>
      <c r="EI809" s="1265"/>
      <c r="EJ809" s="1265"/>
      <c r="EK809" s="1265"/>
      <c r="EL809" s="1265"/>
      <c r="EM809" s="1265"/>
      <c r="EN809" s="1265"/>
      <c r="EO809" s="1265"/>
      <c r="EP809" s="1265"/>
      <c r="EQ809" s="1265"/>
      <c r="ER809" s="1265"/>
      <c r="ES809" s="1265"/>
      <c r="ET809" s="1265"/>
      <c r="EU809" s="1265"/>
      <c r="EV809" s="1265"/>
      <c r="EW809" s="1265"/>
      <c r="EX809" s="1265"/>
      <c r="EY809" s="1265"/>
      <c r="EZ809" s="1265"/>
      <c r="FA809" s="1265"/>
      <c r="FB809" s="1265"/>
      <c r="FC809" s="1265"/>
      <c r="FD809" s="1265"/>
      <c r="FE809" s="1265"/>
      <c r="FF809" s="1265"/>
      <c r="FG809" s="1265"/>
      <c r="FH809" s="1265"/>
      <c r="FI809" s="1265"/>
      <c r="FJ809" s="1265"/>
      <c r="FK809" s="1265"/>
      <c r="FL809" s="1265"/>
      <c r="FM809" s="1265"/>
      <c r="FN809" s="1265"/>
      <c r="FO809" s="1265"/>
      <c r="FP809" s="1265"/>
      <c r="FQ809" s="1265"/>
      <c r="FR809" s="1265"/>
      <c r="FS809" s="1265"/>
      <c r="FT809" s="1265"/>
      <c r="FU809" s="1265"/>
      <c r="FV809" s="1265"/>
      <c r="FW809" s="1265"/>
      <c r="FX809" s="1265"/>
      <c r="FY809" s="1265"/>
      <c r="FZ809" s="1265"/>
      <c r="GA809" s="1265"/>
      <c r="GB809" s="1265"/>
      <c r="GC809" s="1265"/>
      <c r="GD809" s="1265"/>
      <c r="GE809" s="1265"/>
      <c r="GF809" s="1265"/>
      <c r="GG809" s="1265"/>
      <c r="GH809" s="1265"/>
      <c r="GI809" s="1265"/>
      <c r="GJ809" s="1265"/>
      <c r="GK809" s="1265"/>
      <c r="GL809" s="1265"/>
      <c r="GM809" s="1265"/>
      <c r="GN809" s="1265"/>
      <c r="GO809" s="1265"/>
      <c r="GP809" s="1265"/>
      <c r="GQ809" s="1265"/>
      <c r="GR809" s="1265"/>
      <c r="GS809" s="1265"/>
      <c r="GT809" s="1265"/>
      <c r="GU809" s="1265"/>
      <c r="GV809" s="1265"/>
      <c r="GW809" s="1265"/>
      <c r="GX809" s="1265"/>
      <c r="GY809" s="1265"/>
      <c r="GZ809" s="1265"/>
      <c r="HA809" s="1265"/>
      <c r="HB809" s="1265"/>
      <c r="HC809" s="1265"/>
      <c r="HD809" s="1265"/>
      <c r="HE809" s="1265"/>
      <c r="HF809" s="1265"/>
      <c r="HG809" s="1265"/>
      <c r="HH809" s="1265"/>
      <c r="HI809" s="1265"/>
      <c r="HJ809" s="1265"/>
      <c r="HK809" s="1265"/>
      <c r="HL809" s="1265"/>
      <c r="HM809" s="1265"/>
      <c r="HN809" s="1265"/>
      <c r="HO809" s="1265"/>
      <c r="HP809" s="1265"/>
      <c r="HQ809" s="1265"/>
      <c r="HR809" s="1265"/>
      <c r="HS809" s="1265"/>
      <c r="HT809" s="1265"/>
      <c r="HU809" s="1265"/>
      <c r="HV809" s="1265"/>
      <c r="HW809" s="1265"/>
      <c r="HX809" s="1265"/>
      <c r="HY809" s="1265"/>
      <c r="HZ809" s="1265"/>
      <c r="IA809" s="1265"/>
      <c r="IB809" s="1265"/>
      <c r="IC809" s="1265"/>
      <c r="ID809" s="1265"/>
      <c r="IE809" s="1265"/>
      <c r="IF809" s="1265"/>
      <c r="IG809" s="1265"/>
      <c r="IH809" s="1265"/>
      <c r="II809" s="1265"/>
      <c r="IJ809" s="1265"/>
      <c r="IK809" s="1265"/>
      <c r="IL809" s="1265"/>
      <c r="IM809" s="1265"/>
      <c r="IN809" s="1265"/>
      <c r="IO809" s="1265"/>
      <c r="IP809" s="1265"/>
      <c r="IQ809" s="1265"/>
      <c r="IR809" s="1265"/>
      <c r="IS809" s="1265"/>
      <c r="IT809" s="1265"/>
      <c r="IU809" s="1265"/>
      <c r="IV809" s="1265"/>
      <c r="IW809" s="1265"/>
      <c r="IX809" s="1265"/>
      <c r="IY809" s="1265"/>
      <c r="IZ809" s="1265"/>
      <c r="JA809" s="1265"/>
      <c r="JB809" s="1265"/>
      <c r="JC809" s="1265"/>
      <c r="JD809" s="1265"/>
      <c r="JE809" s="1265"/>
      <c r="JF809" s="1265"/>
      <c r="JG809" s="1265"/>
      <c r="JH809" s="1265"/>
      <c r="JI809" s="1265"/>
      <c r="JJ809" s="1265"/>
      <c r="JK809" s="1265"/>
      <c r="JL809" s="1265"/>
      <c r="JM809" s="1265"/>
      <c r="JN809" s="1265"/>
      <c r="JO809" s="1265"/>
      <c r="JP809" s="1265"/>
      <c r="JQ809" s="1265"/>
      <c r="JR809" s="1265"/>
      <c r="JS809" s="1265"/>
      <c r="JT809" s="1265"/>
      <c r="JU809" s="1265"/>
      <c r="JV809" s="1265"/>
      <c r="JW809" s="1265"/>
      <c r="JX809" s="1265"/>
      <c r="JY809" s="1265"/>
      <c r="JZ809" s="1265"/>
      <c r="KA809" s="1265"/>
      <c r="KB809" s="1265"/>
      <c r="KC809" s="1265"/>
      <c r="KD809" s="1265"/>
      <c r="KE809" s="1265"/>
      <c r="KF809" s="1265"/>
      <c r="KG809" s="1265"/>
      <c r="KH809" s="1265"/>
      <c r="KI809" s="1265"/>
      <c r="KJ809" s="1265"/>
      <c r="KK809" s="1265"/>
      <c r="KL809" s="1265"/>
      <c r="KM809" s="1265"/>
      <c r="KN809" s="1265"/>
      <c r="KO809" s="1265"/>
      <c r="KP809" s="1265"/>
      <c r="KQ809" s="1265"/>
      <c r="KR809" s="1265"/>
      <c r="KS809" s="1265"/>
      <c r="KT809" s="1265"/>
      <c r="KU809" s="1265"/>
      <c r="KV809" s="1265"/>
      <c r="KW809" s="1265"/>
      <c r="KX809" s="1265"/>
      <c r="KY809" s="1265"/>
      <c r="KZ809" s="1265"/>
      <c r="LA809" s="1265"/>
      <c r="LB809" s="1265"/>
      <c r="LC809" s="1265"/>
      <c r="LD809" s="1265"/>
      <c r="LE809" s="1265"/>
      <c r="LF809" s="1265"/>
      <c r="LG809" s="1265"/>
      <c r="LH809" s="1265"/>
      <c r="LI809" s="1265"/>
      <c r="LJ809" s="1265"/>
      <c r="LK809" s="1265"/>
      <c r="LL809" s="1265"/>
      <c r="LM809" s="1265"/>
      <c r="LN809" s="1265"/>
      <c r="LO809" s="1265"/>
      <c r="LP809" s="1265"/>
      <c r="LQ809" s="1265"/>
      <c r="LR809" s="1265"/>
      <c r="LS809" s="1265"/>
      <c r="LT809" s="1265"/>
      <c r="LU809" s="1265"/>
      <c r="LV809" s="1265"/>
      <c r="LW809" s="1265"/>
      <c r="LX809" s="1265"/>
      <c r="LY809" s="1265"/>
      <c r="LZ809" s="1265"/>
      <c r="MA809" s="1265"/>
      <c r="MB809" s="1265"/>
      <c r="MC809" s="1265"/>
      <c r="MD809" s="1265"/>
      <c r="ME809" s="1265"/>
      <c r="MF809" s="1265"/>
      <c r="MG809" s="1265"/>
      <c r="MH809" s="1265"/>
      <c r="MI809" s="1265"/>
      <c r="MJ809" s="1265"/>
      <c r="MK809" s="1265"/>
      <c r="ML809" s="1265"/>
      <c r="MM809" s="1265"/>
      <c r="MN809" s="1265"/>
      <c r="MO809" s="1265"/>
      <c r="MP809" s="1265"/>
      <c r="MQ809" s="1265"/>
      <c r="MR809" s="1265"/>
      <c r="MS809" s="1265"/>
      <c r="MT809" s="1265"/>
      <c r="MU809" s="1265"/>
      <c r="MV809" s="1265"/>
      <c r="MW809" s="1265"/>
      <c r="MX809" s="1265"/>
      <c r="MY809" s="1265"/>
      <c r="MZ809" s="1265"/>
      <c r="NA809" s="1265"/>
      <c r="NB809" s="1265"/>
      <c r="NC809" s="1265"/>
      <c r="ND809" s="1265"/>
      <c r="NE809" s="1265"/>
      <c r="NF809" s="1265"/>
      <c r="NG809" s="1265"/>
      <c r="NH809" s="1265"/>
      <c r="NI809" s="1265"/>
      <c r="NJ809" s="1265"/>
      <c r="NK809" s="1265"/>
      <c r="NL809" s="1265"/>
      <c r="NM809" s="1265"/>
      <c r="NN809" s="1265"/>
      <c r="NO809" s="1265"/>
      <c r="NP809" s="1265"/>
      <c r="NQ809" s="1265"/>
      <c r="NR809" s="1265"/>
      <c r="NS809" s="1265"/>
      <c r="NT809" s="1265"/>
      <c r="NU809" s="1265"/>
      <c r="NV809" s="1265"/>
      <c r="NW809" s="1265"/>
      <c r="NX809" s="1265"/>
      <c r="NY809" s="1265"/>
      <c r="NZ809" s="1265"/>
      <c r="OA809" s="1265"/>
      <c r="OB809" s="1265"/>
      <c r="OC809" s="1265"/>
      <c r="OD809" s="1265"/>
      <c r="OE809" s="1265"/>
      <c r="OF809" s="1265"/>
      <c r="OG809" s="1265"/>
      <c r="OH809" s="1265"/>
      <c r="OI809" s="1265"/>
      <c r="OJ809" s="1265"/>
      <c r="OK809" s="1265"/>
      <c r="OL809" s="1265"/>
      <c r="OM809" s="1265"/>
      <c r="ON809" s="1265"/>
      <c r="OO809" s="1265"/>
      <c r="OP809" s="1265"/>
      <c r="OQ809" s="1265"/>
      <c r="OR809" s="1265"/>
      <c r="OS809" s="1265"/>
      <c r="OT809" s="1265"/>
      <c r="OU809" s="1265"/>
      <c r="OV809" s="1265"/>
      <c r="OW809" s="1265"/>
      <c r="OX809" s="1265"/>
      <c r="OY809" s="1265"/>
      <c r="OZ809" s="1265"/>
      <c r="PA809" s="1265"/>
      <c r="PB809" s="1265"/>
      <c r="PC809" s="1265"/>
      <c r="PD809" s="1265"/>
      <c r="PE809" s="1265"/>
      <c r="PF809" s="1265"/>
      <c r="PG809" s="1265"/>
      <c r="PH809" s="1265"/>
      <c r="PI809" s="1265"/>
      <c r="PJ809" s="1265"/>
      <c r="PK809" s="1265"/>
      <c r="PL809" s="1265"/>
      <c r="PM809" s="1265"/>
      <c r="PN809" s="1265"/>
      <c r="PO809" s="1265"/>
      <c r="PP809" s="1265"/>
      <c r="PQ809" s="1265"/>
      <c r="PR809" s="1265"/>
      <c r="PS809" s="1265"/>
      <c r="PT809" s="1265"/>
      <c r="PU809" s="1265"/>
      <c r="PV809" s="1265"/>
      <c r="PW809" s="1265"/>
      <c r="PX809" s="1265"/>
      <c r="PY809" s="1265"/>
      <c r="PZ809" s="1265"/>
      <c r="QA809" s="1265"/>
      <c r="QB809" s="1265"/>
      <c r="QC809" s="1265"/>
      <c r="QD809" s="1265"/>
      <c r="QE809" s="1265"/>
      <c r="QF809" s="1265"/>
      <c r="QG809" s="1265"/>
      <c r="QH809" s="1265"/>
      <c r="QI809" s="1265"/>
      <c r="QJ809" s="1265"/>
      <c r="QK809" s="1265"/>
      <c r="QL809" s="1265"/>
      <c r="QM809" s="1265"/>
      <c r="QN809" s="1265"/>
      <c r="QO809" s="1265"/>
      <c r="QP809" s="1265"/>
      <c r="QQ809" s="1265"/>
      <c r="QR809" s="1265"/>
      <c r="QS809" s="1265"/>
      <c r="QT809" s="1265"/>
      <c r="QU809" s="1265"/>
      <c r="QV809" s="1265"/>
      <c r="QW809" s="1265"/>
      <c r="QX809" s="1265"/>
      <c r="QY809" s="1265"/>
      <c r="QZ809" s="1265"/>
      <c r="RA809" s="1265"/>
      <c r="RB809" s="1265"/>
      <c r="RC809" s="1265"/>
      <c r="RD809" s="1265"/>
      <c r="RE809" s="1265"/>
      <c r="RF809" s="1265"/>
      <c r="RG809" s="1265"/>
      <c r="RH809" s="1265"/>
      <c r="RI809" s="1265"/>
      <c r="RJ809" s="1265"/>
      <c r="RK809" s="1265"/>
      <c r="RL809" s="1265"/>
      <c r="RM809" s="1265"/>
      <c r="RN809" s="1265"/>
      <c r="RO809" s="1265"/>
      <c r="RP809" s="1265"/>
      <c r="RQ809" s="1265"/>
      <c r="RR809" s="1265"/>
      <c r="RS809" s="1265"/>
      <c r="RT809" s="1265"/>
      <c r="RU809" s="1265"/>
      <c r="RV809" s="1265"/>
      <c r="RW809" s="1265"/>
      <c r="RX809" s="1265"/>
      <c r="RY809" s="1265"/>
      <c r="RZ809" s="1265"/>
      <c r="SA809" s="1265"/>
      <c r="SB809" s="1265"/>
      <c r="SC809" s="1265"/>
      <c r="SD809" s="1265"/>
      <c r="SE809" s="1265"/>
      <c r="SF809" s="1265"/>
      <c r="SG809" s="1265"/>
      <c r="SH809" s="1265"/>
      <c r="SI809" s="1265"/>
      <c r="SJ809" s="1265"/>
      <c r="SK809" s="1265"/>
      <c r="SL809" s="1265"/>
      <c r="SM809" s="1265"/>
      <c r="SN809" s="1265"/>
      <c r="SO809" s="1265"/>
      <c r="SP809" s="1265"/>
      <c r="SQ809" s="1265"/>
      <c r="SR809" s="1265"/>
      <c r="SS809" s="1265"/>
      <c r="ST809" s="1265"/>
      <c r="SU809" s="1265"/>
      <c r="SV809" s="1265"/>
      <c r="SW809" s="1265"/>
      <c r="SX809" s="1265"/>
      <c r="SY809" s="1265"/>
      <c r="SZ809" s="1265"/>
      <c r="TA809" s="1265"/>
      <c r="TB809" s="1265"/>
      <c r="TC809" s="1265"/>
      <c r="TD809" s="1265"/>
      <c r="TE809" s="1265"/>
      <c r="TF809" s="1265"/>
      <c r="TG809" s="1265"/>
      <c r="TH809" s="1265"/>
      <c r="TI809" s="1265"/>
      <c r="TJ809" s="1265"/>
      <c r="TK809" s="1265"/>
      <c r="TL809" s="1265"/>
      <c r="TM809" s="1265"/>
      <c r="TN809" s="1265"/>
      <c r="TO809" s="1265"/>
      <c r="TP809" s="1265"/>
      <c r="TQ809" s="1265"/>
      <c r="TR809" s="1265"/>
      <c r="TS809" s="1265"/>
      <c r="TT809" s="1265"/>
      <c r="TU809" s="1265"/>
      <c r="TV809" s="1265"/>
      <c r="TW809" s="1265"/>
      <c r="TX809" s="1265"/>
      <c r="TY809" s="1265"/>
      <c r="TZ809" s="1265"/>
      <c r="UA809" s="1265"/>
      <c r="UB809" s="1265"/>
      <c r="UC809" s="1265"/>
      <c r="UD809" s="1265"/>
      <c r="UE809" s="1265"/>
      <c r="UF809" s="1265"/>
      <c r="UG809" s="1266"/>
    </row>
    <row r="810" spans="1:553" s="1262" customFormat="1" ht="30.75" customHeight="1">
      <c r="A810" s="653"/>
      <c r="B810" s="653"/>
      <c r="C810" s="1439" t="s">
        <v>1157</v>
      </c>
      <c r="D810" s="1440" t="s">
        <v>834</v>
      </c>
      <c r="E810" s="1440" t="s">
        <v>834</v>
      </c>
      <c r="F810" s="1441" t="s">
        <v>834</v>
      </c>
      <c r="G810" s="1008" t="s">
        <v>196</v>
      </c>
      <c r="H810" s="654"/>
      <c r="I810" s="559">
        <f>(55.03*100/400)*(32-(10-3))*1</f>
        <v>343.9375</v>
      </c>
      <c r="J810" s="512">
        <v>7300</v>
      </c>
      <c r="K810" s="663">
        <v>0.7</v>
      </c>
      <c r="L810" s="512">
        <f>ROUND(PRODUCT(I810:K810),0)</f>
        <v>1757521</v>
      </c>
      <c r="M810" s="356"/>
      <c r="N810" s="356"/>
      <c r="O810" s="356"/>
      <c r="P810" s="356"/>
      <c r="Q810" s="610"/>
      <c r="R810" s="1228"/>
      <c r="S810" s="308"/>
      <c r="T810" s="308"/>
      <c r="U810" s="308"/>
      <c r="V810" s="308"/>
      <c r="W810" s="308"/>
      <c r="X810" s="308"/>
      <c r="Y810" s="308"/>
      <c r="Z810" s="604"/>
      <c r="AA810" s="308"/>
      <c r="AB810" s="308"/>
      <c r="AC810" s="454"/>
      <c r="AD810" s="454"/>
      <c r="AE810" s="454"/>
      <c r="AF810" s="454"/>
      <c r="AG810" s="454"/>
      <c r="AH810" s="454"/>
      <c r="AI810" s="454"/>
      <c r="AJ810" s="454"/>
      <c r="AK810" s="455"/>
      <c r="AL810" s="1263"/>
      <c r="AM810" s="1263"/>
      <c r="AN810" s="1263"/>
      <c r="AO810" s="1263"/>
      <c r="AP810" s="1263"/>
      <c r="AQ810" s="1263"/>
      <c r="AR810" s="1263"/>
      <c r="AS810" s="1264"/>
      <c r="AT810" s="1264"/>
      <c r="AU810" s="1264"/>
      <c r="AV810" s="1264"/>
      <c r="AW810" s="1264"/>
      <c r="AX810" s="1264"/>
      <c r="AY810" s="1264"/>
      <c r="AZ810" s="1264"/>
      <c r="BA810" s="1264"/>
      <c r="BB810" s="1264"/>
      <c r="BC810" s="1264"/>
      <c r="BD810" s="1264"/>
      <c r="BE810" s="1264"/>
      <c r="BF810" s="1264"/>
      <c r="BG810" s="1264"/>
      <c r="BH810" s="1264"/>
      <c r="BI810" s="1264"/>
      <c r="BJ810" s="1264"/>
      <c r="BK810" s="1264"/>
      <c r="BL810" s="1264"/>
      <c r="BM810" s="1264"/>
      <c r="BN810" s="1264"/>
      <c r="BO810" s="1264"/>
      <c r="BP810" s="1265"/>
      <c r="BQ810" s="1265"/>
      <c r="BR810" s="1265"/>
      <c r="BS810" s="1265"/>
      <c r="BT810" s="1265"/>
      <c r="BU810" s="1265"/>
      <c r="BV810" s="1265"/>
      <c r="BW810" s="1265"/>
      <c r="BX810" s="1265"/>
      <c r="BY810" s="1265"/>
      <c r="BZ810" s="1265"/>
      <c r="CA810" s="1265"/>
      <c r="CB810" s="1265"/>
      <c r="CC810" s="1265"/>
      <c r="CD810" s="1265"/>
      <c r="CE810" s="1265"/>
      <c r="CF810" s="1265"/>
      <c r="CG810" s="1265"/>
      <c r="CH810" s="1265"/>
      <c r="CI810" s="1265"/>
      <c r="CJ810" s="1265"/>
      <c r="CK810" s="1265"/>
      <c r="CL810" s="1265"/>
      <c r="CM810" s="1265"/>
      <c r="CN810" s="1265"/>
      <c r="CO810" s="1265"/>
      <c r="CP810" s="1265"/>
      <c r="CQ810" s="1265"/>
      <c r="CR810" s="1265"/>
      <c r="CS810" s="1265"/>
      <c r="CT810" s="1265"/>
      <c r="CU810" s="1265"/>
      <c r="CV810" s="1265"/>
      <c r="CW810" s="1265"/>
      <c r="CX810" s="1265"/>
      <c r="CY810" s="1265"/>
      <c r="CZ810" s="1265"/>
      <c r="DA810" s="1265"/>
      <c r="DB810" s="1265"/>
      <c r="DC810" s="1265"/>
      <c r="DD810" s="1265"/>
      <c r="DE810" s="1265"/>
      <c r="DF810" s="1265"/>
      <c r="DG810" s="1265"/>
      <c r="DH810" s="1265"/>
      <c r="DI810" s="1265"/>
      <c r="DJ810" s="1265"/>
      <c r="DK810" s="1265"/>
      <c r="DL810" s="1265"/>
      <c r="DM810" s="1265"/>
      <c r="DN810" s="1265"/>
      <c r="DO810" s="1265"/>
      <c r="DP810" s="1265"/>
      <c r="DQ810" s="1265"/>
      <c r="DR810" s="1265"/>
      <c r="DS810" s="1265"/>
      <c r="DT810" s="1265"/>
      <c r="DU810" s="1265"/>
      <c r="DV810" s="1265"/>
      <c r="DW810" s="1265"/>
      <c r="DX810" s="1265"/>
      <c r="DY810" s="1265"/>
      <c r="DZ810" s="1265"/>
      <c r="EA810" s="1265"/>
      <c r="EB810" s="1265"/>
      <c r="EC810" s="1265"/>
      <c r="ED810" s="1265"/>
      <c r="EE810" s="1265"/>
      <c r="EF810" s="1265"/>
      <c r="EG810" s="1265"/>
      <c r="EH810" s="1265"/>
      <c r="EI810" s="1265"/>
      <c r="EJ810" s="1265"/>
      <c r="EK810" s="1265"/>
      <c r="EL810" s="1265"/>
      <c r="EM810" s="1265"/>
      <c r="EN810" s="1265"/>
      <c r="EO810" s="1265"/>
      <c r="EP810" s="1265"/>
      <c r="EQ810" s="1265"/>
      <c r="ER810" s="1265"/>
      <c r="ES810" s="1265"/>
      <c r="ET810" s="1265"/>
      <c r="EU810" s="1265"/>
      <c r="EV810" s="1265"/>
      <c r="EW810" s="1265"/>
      <c r="EX810" s="1265"/>
      <c r="EY810" s="1265"/>
      <c r="EZ810" s="1265"/>
      <c r="FA810" s="1265"/>
      <c r="FB810" s="1265"/>
      <c r="FC810" s="1265"/>
      <c r="FD810" s="1265"/>
      <c r="FE810" s="1265"/>
      <c r="FF810" s="1265"/>
      <c r="FG810" s="1265"/>
      <c r="FH810" s="1265"/>
      <c r="FI810" s="1265"/>
      <c r="FJ810" s="1265"/>
      <c r="FK810" s="1265"/>
      <c r="FL810" s="1265"/>
      <c r="FM810" s="1265"/>
      <c r="FN810" s="1265"/>
      <c r="FO810" s="1265"/>
      <c r="FP810" s="1265"/>
      <c r="FQ810" s="1265"/>
      <c r="FR810" s="1265"/>
      <c r="FS810" s="1265"/>
      <c r="FT810" s="1265"/>
      <c r="FU810" s="1265"/>
      <c r="FV810" s="1265"/>
      <c r="FW810" s="1265"/>
      <c r="FX810" s="1265"/>
      <c r="FY810" s="1265"/>
      <c r="FZ810" s="1265"/>
      <c r="GA810" s="1265"/>
      <c r="GB810" s="1265"/>
      <c r="GC810" s="1265"/>
      <c r="GD810" s="1265"/>
      <c r="GE810" s="1265"/>
      <c r="GF810" s="1265"/>
      <c r="GG810" s="1265"/>
      <c r="GH810" s="1265"/>
      <c r="GI810" s="1265"/>
      <c r="GJ810" s="1265"/>
      <c r="GK810" s="1265"/>
      <c r="GL810" s="1265"/>
      <c r="GM810" s="1265"/>
      <c r="GN810" s="1265"/>
      <c r="GO810" s="1265"/>
      <c r="GP810" s="1265"/>
      <c r="GQ810" s="1265"/>
      <c r="GR810" s="1265"/>
      <c r="GS810" s="1265"/>
      <c r="GT810" s="1265"/>
      <c r="GU810" s="1265"/>
      <c r="GV810" s="1265"/>
      <c r="GW810" s="1265"/>
      <c r="GX810" s="1265"/>
      <c r="GY810" s="1265"/>
      <c r="GZ810" s="1265"/>
      <c r="HA810" s="1265"/>
      <c r="HB810" s="1265"/>
      <c r="HC810" s="1265"/>
      <c r="HD810" s="1265"/>
      <c r="HE810" s="1265"/>
      <c r="HF810" s="1265"/>
      <c r="HG810" s="1265"/>
      <c r="HH810" s="1265"/>
      <c r="HI810" s="1265"/>
      <c r="HJ810" s="1265"/>
      <c r="HK810" s="1265"/>
      <c r="HL810" s="1265"/>
      <c r="HM810" s="1265"/>
      <c r="HN810" s="1265"/>
      <c r="HO810" s="1265"/>
      <c r="HP810" s="1265"/>
      <c r="HQ810" s="1265"/>
      <c r="HR810" s="1265"/>
      <c r="HS810" s="1265"/>
      <c r="HT810" s="1265"/>
      <c r="HU810" s="1265"/>
      <c r="HV810" s="1265"/>
      <c r="HW810" s="1265"/>
      <c r="HX810" s="1265"/>
      <c r="HY810" s="1265"/>
      <c r="HZ810" s="1265"/>
      <c r="IA810" s="1265"/>
      <c r="IB810" s="1265"/>
      <c r="IC810" s="1265"/>
      <c r="ID810" s="1265"/>
      <c r="IE810" s="1265"/>
      <c r="IF810" s="1265"/>
      <c r="IG810" s="1265"/>
      <c r="IH810" s="1265"/>
      <c r="II810" s="1265"/>
      <c r="IJ810" s="1265"/>
      <c r="IK810" s="1265"/>
      <c r="IL810" s="1265"/>
      <c r="IM810" s="1265"/>
      <c r="IN810" s="1265"/>
      <c r="IO810" s="1265"/>
      <c r="IP810" s="1265"/>
      <c r="IQ810" s="1265"/>
      <c r="IR810" s="1265"/>
      <c r="IS810" s="1265"/>
      <c r="IT810" s="1265"/>
      <c r="IU810" s="1265"/>
      <c r="IV810" s="1265"/>
      <c r="IW810" s="1265"/>
      <c r="IX810" s="1265"/>
      <c r="IY810" s="1265"/>
      <c r="IZ810" s="1265"/>
      <c r="JA810" s="1265"/>
      <c r="JB810" s="1265"/>
      <c r="JC810" s="1265"/>
      <c r="JD810" s="1265"/>
      <c r="JE810" s="1265"/>
      <c r="JF810" s="1265"/>
      <c r="JG810" s="1265"/>
      <c r="JH810" s="1265"/>
      <c r="JI810" s="1265"/>
      <c r="JJ810" s="1265"/>
      <c r="JK810" s="1265"/>
      <c r="JL810" s="1265"/>
      <c r="JM810" s="1265"/>
      <c r="JN810" s="1265"/>
      <c r="JO810" s="1265"/>
      <c r="JP810" s="1265"/>
      <c r="JQ810" s="1265"/>
      <c r="JR810" s="1265"/>
      <c r="JS810" s="1265"/>
      <c r="JT810" s="1265"/>
      <c r="JU810" s="1265"/>
      <c r="JV810" s="1265"/>
      <c r="JW810" s="1265"/>
      <c r="JX810" s="1265"/>
      <c r="JY810" s="1265"/>
      <c r="JZ810" s="1265"/>
      <c r="KA810" s="1265"/>
      <c r="KB810" s="1265"/>
      <c r="KC810" s="1265"/>
      <c r="KD810" s="1265"/>
      <c r="KE810" s="1265"/>
      <c r="KF810" s="1265"/>
      <c r="KG810" s="1265"/>
      <c r="KH810" s="1265"/>
      <c r="KI810" s="1265"/>
      <c r="KJ810" s="1265"/>
      <c r="KK810" s="1265"/>
      <c r="KL810" s="1265"/>
      <c r="KM810" s="1265"/>
      <c r="KN810" s="1265"/>
      <c r="KO810" s="1265"/>
      <c r="KP810" s="1265"/>
      <c r="KQ810" s="1265"/>
      <c r="KR810" s="1265"/>
      <c r="KS810" s="1265"/>
      <c r="KT810" s="1265"/>
      <c r="KU810" s="1265"/>
      <c r="KV810" s="1265"/>
      <c r="KW810" s="1265"/>
      <c r="KX810" s="1265"/>
      <c r="KY810" s="1265"/>
      <c r="KZ810" s="1265"/>
      <c r="LA810" s="1265"/>
      <c r="LB810" s="1265"/>
      <c r="LC810" s="1265"/>
      <c r="LD810" s="1265"/>
      <c r="LE810" s="1265"/>
      <c r="LF810" s="1265"/>
      <c r="LG810" s="1265"/>
      <c r="LH810" s="1265"/>
      <c r="LI810" s="1265"/>
      <c r="LJ810" s="1265"/>
      <c r="LK810" s="1265"/>
      <c r="LL810" s="1265"/>
      <c r="LM810" s="1265"/>
      <c r="LN810" s="1265"/>
      <c r="LO810" s="1265"/>
      <c r="LP810" s="1265"/>
      <c r="LQ810" s="1265"/>
      <c r="LR810" s="1265"/>
      <c r="LS810" s="1265"/>
      <c r="LT810" s="1265"/>
      <c r="LU810" s="1265"/>
      <c r="LV810" s="1265"/>
      <c r="LW810" s="1265"/>
      <c r="LX810" s="1265"/>
      <c r="LY810" s="1265"/>
      <c r="LZ810" s="1265"/>
      <c r="MA810" s="1265"/>
      <c r="MB810" s="1265"/>
      <c r="MC810" s="1265"/>
      <c r="MD810" s="1265"/>
      <c r="ME810" s="1265"/>
      <c r="MF810" s="1265"/>
      <c r="MG810" s="1265"/>
      <c r="MH810" s="1265"/>
      <c r="MI810" s="1265"/>
      <c r="MJ810" s="1265"/>
      <c r="MK810" s="1265"/>
      <c r="ML810" s="1265"/>
      <c r="MM810" s="1265"/>
      <c r="MN810" s="1265"/>
      <c r="MO810" s="1265"/>
      <c r="MP810" s="1265"/>
      <c r="MQ810" s="1265"/>
      <c r="MR810" s="1265"/>
      <c r="MS810" s="1265"/>
      <c r="MT810" s="1265"/>
      <c r="MU810" s="1265"/>
      <c r="MV810" s="1265"/>
      <c r="MW810" s="1265"/>
      <c r="MX810" s="1265"/>
      <c r="MY810" s="1265"/>
      <c r="MZ810" s="1265"/>
      <c r="NA810" s="1265"/>
      <c r="NB810" s="1265"/>
      <c r="NC810" s="1265"/>
      <c r="ND810" s="1265"/>
      <c r="NE810" s="1265"/>
      <c r="NF810" s="1265"/>
      <c r="NG810" s="1265"/>
      <c r="NH810" s="1265"/>
      <c r="NI810" s="1265"/>
      <c r="NJ810" s="1265"/>
      <c r="NK810" s="1265"/>
      <c r="NL810" s="1265"/>
      <c r="NM810" s="1265"/>
      <c r="NN810" s="1265"/>
      <c r="NO810" s="1265"/>
      <c r="NP810" s="1265"/>
      <c r="NQ810" s="1265"/>
      <c r="NR810" s="1265"/>
      <c r="NS810" s="1265"/>
      <c r="NT810" s="1265"/>
      <c r="NU810" s="1265"/>
      <c r="NV810" s="1265"/>
      <c r="NW810" s="1265"/>
      <c r="NX810" s="1265"/>
      <c r="NY810" s="1265"/>
      <c r="NZ810" s="1265"/>
      <c r="OA810" s="1265"/>
      <c r="OB810" s="1265"/>
      <c r="OC810" s="1265"/>
      <c r="OD810" s="1265"/>
      <c r="OE810" s="1265"/>
      <c r="OF810" s="1265"/>
      <c r="OG810" s="1265"/>
      <c r="OH810" s="1265"/>
      <c r="OI810" s="1265"/>
      <c r="OJ810" s="1265"/>
      <c r="OK810" s="1265"/>
      <c r="OL810" s="1265"/>
      <c r="OM810" s="1265"/>
      <c r="ON810" s="1265"/>
      <c r="OO810" s="1265"/>
      <c r="OP810" s="1265"/>
      <c r="OQ810" s="1265"/>
      <c r="OR810" s="1265"/>
      <c r="OS810" s="1265"/>
      <c r="OT810" s="1265"/>
      <c r="OU810" s="1265"/>
      <c r="OV810" s="1265"/>
      <c r="OW810" s="1265"/>
      <c r="OX810" s="1265"/>
      <c r="OY810" s="1265"/>
      <c r="OZ810" s="1265"/>
      <c r="PA810" s="1265"/>
      <c r="PB810" s="1265"/>
      <c r="PC810" s="1265"/>
      <c r="PD810" s="1265"/>
      <c r="PE810" s="1265"/>
      <c r="PF810" s="1265"/>
      <c r="PG810" s="1265"/>
      <c r="PH810" s="1265"/>
      <c r="PI810" s="1265"/>
      <c r="PJ810" s="1265"/>
      <c r="PK810" s="1265"/>
      <c r="PL810" s="1265"/>
      <c r="PM810" s="1265"/>
      <c r="PN810" s="1265"/>
      <c r="PO810" s="1265"/>
      <c r="PP810" s="1265"/>
      <c r="PQ810" s="1265"/>
      <c r="PR810" s="1265"/>
      <c r="PS810" s="1265"/>
      <c r="PT810" s="1265"/>
      <c r="PU810" s="1265"/>
      <c r="PV810" s="1265"/>
      <c r="PW810" s="1265"/>
      <c r="PX810" s="1265"/>
      <c r="PY810" s="1265"/>
      <c r="PZ810" s="1265"/>
      <c r="QA810" s="1265"/>
      <c r="QB810" s="1265"/>
      <c r="QC810" s="1265"/>
      <c r="QD810" s="1265"/>
      <c r="QE810" s="1265"/>
      <c r="QF810" s="1265"/>
      <c r="QG810" s="1265"/>
      <c r="QH810" s="1265"/>
      <c r="QI810" s="1265"/>
      <c r="QJ810" s="1265"/>
      <c r="QK810" s="1265"/>
      <c r="QL810" s="1265"/>
      <c r="QM810" s="1265"/>
      <c r="QN810" s="1265"/>
      <c r="QO810" s="1265"/>
      <c r="QP810" s="1265"/>
      <c r="QQ810" s="1265"/>
      <c r="QR810" s="1265"/>
      <c r="QS810" s="1265"/>
      <c r="QT810" s="1265"/>
      <c r="QU810" s="1265"/>
      <c r="QV810" s="1265"/>
      <c r="QW810" s="1265"/>
      <c r="QX810" s="1265"/>
      <c r="QY810" s="1265"/>
      <c r="QZ810" s="1265"/>
      <c r="RA810" s="1265"/>
      <c r="RB810" s="1265"/>
      <c r="RC810" s="1265"/>
      <c r="RD810" s="1265"/>
      <c r="RE810" s="1265"/>
      <c r="RF810" s="1265"/>
      <c r="RG810" s="1265"/>
      <c r="RH810" s="1265"/>
      <c r="RI810" s="1265"/>
      <c r="RJ810" s="1265"/>
      <c r="RK810" s="1265"/>
      <c r="RL810" s="1265"/>
      <c r="RM810" s="1265"/>
      <c r="RN810" s="1265"/>
      <c r="RO810" s="1265"/>
      <c r="RP810" s="1265"/>
      <c r="RQ810" s="1265"/>
      <c r="RR810" s="1265"/>
      <c r="RS810" s="1265"/>
      <c r="RT810" s="1265"/>
      <c r="RU810" s="1265"/>
      <c r="RV810" s="1265"/>
      <c r="RW810" s="1265"/>
      <c r="RX810" s="1265"/>
      <c r="RY810" s="1265"/>
      <c r="RZ810" s="1265"/>
      <c r="SA810" s="1265"/>
      <c r="SB810" s="1265"/>
      <c r="SC810" s="1265"/>
      <c r="SD810" s="1265"/>
      <c r="SE810" s="1265"/>
      <c r="SF810" s="1265"/>
      <c r="SG810" s="1265"/>
      <c r="SH810" s="1265"/>
      <c r="SI810" s="1265"/>
      <c r="SJ810" s="1265"/>
      <c r="SK810" s="1265"/>
      <c r="SL810" s="1265"/>
      <c r="SM810" s="1265"/>
      <c r="SN810" s="1265"/>
      <c r="SO810" s="1265"/>
      <c r="SP810" s="1265"/>
      <c r="SQ810" s="1265"/>
      <c r="SR810" s="1265"/>
      <c r="SS810" s="1265"/>
      <c r="ST810" s="1265"/>
      <c r="SU810" s="1265"/>
      <c r="SV810" s="1265"/>
      <c r="SW810" s="1265"/>
      <c r="SX810" s="1265"/>
      <c r="SY810" s="1265"/>
      <c r="SZ810" s="1265"/>
      <c r="TA810" s="1265"/>
      <c r="TB810" s="1265"/>
      <c r="TC810" s="1265"/>
      <c r="TD810" s="1265"/>
      <c r="TE810" s="1265"/>
      <c r="TF810" s="1265"/>
      <c r="TG810" s="1265"/>
      <c r="TH810" s="1265"/>
      <c r="TI810" s="1265"/>
      <c r="TJ810" s="1265"/>
      <c r="TK810" s="1265"/>
      <c r="TL810" s="1265"/>
      <c r="TM810" s="1265"/>
      <c r="TN810" s="1265"/>
      <c r="TO810" s="1265"/>
      <c r="TP810" s="1265"/>
      <c r="TQ810" s="1265"/>
      <c r="TR810" s="1265"/>
      <c r="TS810" s="1265"/>
      <c r="TT810" s="1265"/>
      <c r="TU810" s="1265"/>
      <c r="TV810" s="1265"/>
      <c r="TW810" s="1265"/>
      <c r="TX810" s="1265"/>
      <c r="TY810" s="1265"/>
      <c r="TZ810" s="1265"/>
      <c r="UA810" s="1265"/>
      <c r="UB810" s="1265"/>
      <c r="UC810" s="1265"/>
      <c r="UD810" s="1265"/>
      <c r="UE810" s="1265"/>
      <c r="UF810" s="1265"/>
      <c r="UG810" s="1266"/>
    </row>
    <row r="811" spans="1:553" s="1262" customFormat="1" ht="30.75" customHeight="1">
      <c r="A811" s="445"/>
      <c r="B811" s="445"/>
      <c r="C811" s="1405" t="s">
        <v>1158</v>
      </c>
      <c r="D811" s="1406" t="s">
        <v>1159</v>
      </c>
      <c r="E811" s="1406" t="s">
        <v>1159</v>
      </c>
      <c r="F811" s="1407" t="s">
        <v>1159</v>
      </c>
      <c r="G811" s="418" t="s">
        <v>193</v>
      </c>
      <c r="H811" s="359"/>
      <c r="I811" s="443">
        <v>3</v>
      </c>
      <c r="J811" s="1064">
        <v>64800</v>
      </c>
      <c r="K811" s="565">
        <v>0.7</v>
      </c>
      <c r="L811" s="571">
        <f t="shared" ref="L811" si="121">ROUND(PRODUCT(I811:K811),0)</f>
        <v>136080</v>
      </c>
      <c r="M811" s="356"/>
      <c r="N811" s="356"/>
      <c r="O811" s="356"/>
      <c r="P811" s="356"/>
      <c r="Q811" s="610"/>
      <c r="R811" s="1228"/>
      <c r="S811" s="308"/>
      <c r="T811" s="308"/>
      <c r="U811" s="308"/>
      <c r="V811" s="308"/>
      <c r="W811" s="308"/>
      <c r="X811" s="308"/>
      <c r="Y811" s="308"/>
      <c r="Z811" s="604"/>
      <c r="AA811" s="308"/>
      <c r="AB811" s="308"/>
      <c r="AC811" s="454"/>
      <c r="AD811" s="454"/>
      <c r="AE811" s="454"/>
      <c r="AF811" s="454"/>
      <c r="AG811" s="454"/>
      <c r="AH811" s="454"/>
      <c r="AI811" s="454"/>
      <c r="AJ811" s="454"/>
      <c r="AK811" s="455"/>
      <c r="AL811" s="1263"/>
      <c r="AM811" s="1263"/>
      <c r="AN811" s="1263"/>
      <c r="AO811" s="1263"/>
      <c r="AP811" s="1263"/>
      <c r="AQ811" s="1263"/>
      <c r="AR811" s="1263"/>
      <c r="AS811" s="1264"/>
      <c r="AT811" s="1264"/>
      <c r="AU811" s="1264"/>
      <c r="AV811" s="1264"/>
      <c r="AW811" s="1264"/>
      <c r="AX811" s="1264"/>
      <c r="AY811" s="1264"/>
      <c r="AZ811" s="1264"/>
      <c r="BA811" s="1264"/>
      <c r="BB811" s="1264"/>
      <c r="BC811" s="1264"/>
      <c r="BD811" s="1264"/>
      <c r="BE811" s="1264"/>
      <c r="BF811" s="1264"/>
      <c r="BG811" s="1264"/>
      <c r="BH811" s="1264"/>
      <c r="BI811" s="1264"/>
      <c r="BJ811" s="1264"/>
      <c r="BK811" s="1264"/>
      <c r="BL811" s="1264"/>
      <c r="BM811" s="1264"/>
      <c r="BN811" s="1264"/>
      <c r="BO811" s="1264"/>
      <c r="BP811" s="1265"/>
      <c r="BQ811" s="1265"/>
      <c r="BR811" s="1265"/>
      <c r="BS811" s="1265"/>
      <c r="BT811" s="1265"/>
      <c r="BU811" s="1265"/>
      <c r="BV811" s="1265"/>
      <c r="BW811" s="1265"/>
      <c r="BX811" s="1265"/>
      <c r="BY811" s="1265"/>
      <c r="BZ811" s="1265"/>
      <c r="CA811" s="1265"/>
      <c r="CB811" s="1265"/>
      <c r="CC811" s="1265"/>
      <c r="CD811" s="1265"/>
      <c r="CE811" s="1265"/>
      <c r="CF811" s="1265"/>
      <c r="CG811" s="1265"/>
      <c r="CH811" s="1265"/>
      <c r="CI811" s="1265"/>
      <c r="CJ811" s="1265"/>
      <c r="CK811" s="1265"/>
      <c r="CL811" s="1265"/>
      <c r="CM811" s="1265"/>
      <c r="CN811" s="1265"/>
      <c r="CO811" s="1265"/>
      <c r="CP811" s="1265"/>
      <c r="CQ811" s="1265"/>
      <c r="CR811" s="1265"/>
      <c r="CS811" s="1265"/>
      <c r="CT811" s="1265"/>
      <c r="CU811" s="1265"/>
      <c r="CV811" s="1265"/>
      <c r="CW811" s="1265"/>
      <c r="CX811" s="1265"/>
      <c r="CY811" s="1265"/>
      <c r="CZ811" s="1265"/>
      <c r="DA811" s="1265"/>
      <c r="DB811" s="1265"/>
      <c r="DC811" s="1265"/>
      <c r="DD811" s="1265"/>
      <c r="DE811" s="1265"/>
      <c r="DF811" s="1265"/>
      <c r="DG811" s="1265"/>
      <c r="DH811" s="1265"/>
      <c r="DI811" s="1265"/>
      <c r="DJ811" s="1265"/>
      <c r="DK811" s="1265"/>
      <c r="DL811" s="1265"/>
      <c r="DM811" s="1265"/>
      <c r="DN811" s="1265"/>
      <c r="DO811" s="1265"/>
      <c r="DP811" s="1265"/>
      <c r="DQ811" s="1265"/>
      <c r="DR811" s="1265"/>
      <c r="DS811" s="1265"/>
      <c r="DT811" s="1265"/>
      <c r="DU811" s="1265"/>
      <c r="DV811" s="1265"/>
      <c r="DW811" s="1265"/>
      <c r="DX811" s="1265"/>
      <c r="DY811" s="1265"/>
      <c r="DZ811" s="1265"/>
      <c r="EA811" s="1265"/>
      <c r="EB811" s="1265"/>
      <c r="EC811" s="1265"/>
      <c r="ED811" s="1265"/>
      <c r="EE811" s="1265"/>
      <c r="EF811" s="1265"/>
      <c r="EG811" s="1265"/>
      <c r="EH811" s="1265"/>
      <c r="EI811" s="1265"/>
      <c r="EJ811" s="1265"/>
      <c r="EK811" s="1265"/>
      <c r="EL811" s="1265"/>
      <c r="EM811" s="1265"/>
      <c r="EN811" s="1265"/>
      <c r="EO811" s="1265"/>
      <c r="EP811" s="1265"/>
      <c r="EQ811" s="1265"/>
      <c r="ER811" s="1265"/>
      <c r="ES811" s="1265"/>
      <c r="ET811" s="1265"/>
      <c r="EU811" s="1265"/>
      <c r="EV811" s="1265"/>
      <c r="EW811" s="1265"/>
      <c r="EX811" s="1265"/>
      <c r="EY811" s="1265"/>
      <c r="EZ811" s="1265"/>
      <c r="FA811" s="1265"/>
      <c r="FB811" s="1265"/>
      <c r="FC811" s="1265"/>
      <c r="FD811" s="1265"/>
      <c r="FE811" s="1265"/>
      <c r="FF811" s="1265"/>
      <c r="FG811" s="1265"/>
      <c r="FH811" s="1265"/>
      <c r="FI811" s="1265"/>
      <c r="FJ811" s="1265"/>
      <c r="FK811" s="1265"/>
      <c r="FL811" s="1265"/>
      <c r="FM811" s="1265"/>
      <c r="FN811" s="1265"/>
      <c r="FO811" s="1265"/>
      <c r="FP811" s="1265"/>
      <c r="FQ811" s="1265"/>
      <c r="FR811" s="1265"/>
      <c r="FS811" s="1265"/>
      <c r="FT811" s="1265"/>
      <c r="FU811" s="1265"/>
      <c r="FV811" s="1265"/>
      <c r="FW811" s="1265"/>
      <c r="FX811" s="1265"/>
      <c r="FY811" s="1265"/>
      <c r="FZ811" s="1265"/>
      <c r="GA811" s="1265"/>
      <c r="GB811" s="1265"/>
      <c r="GC811" s="1265"/>
      <c r="GD811" s="1265"/>
      <c r="GE811" s="1265"/>
      <c r="GF811" s="1265"/>
      <c r="GG811" s="1265"/>
      <c r="GH811" s="1265"/>
      <c r="GI811" s="1265"/>
      <c r="GJ811" s="1265"/>
      <c r="GK811" s="1265"/>
      <c r="GL811" s="1265"/>
      <c r="GM811" s="1265"/>
      <c r="GN811" s="1265"/>
      <c r="GO811" s="1265"/>
      <c r="GP811" s="1265"/>
      <c r="GQ811" s="1265"/>
      <c r="GR811" s="1265"/>
      <c r="GS811" s="1265"/>
      <c r="GT811" s="1265"/>
      <c r="GU811" s="1265"/>
      <c r="GV811" s="1265"/>
      <c r="GW811" s="1265"/>
      <c r="GX811" s="1265"/>
      <c r="GY811" s="1265"/>
      <c r="GZ811" s="1265"/>
      <c r="HA811" s="1265"/>
      <c r="HB811" s="1265"/>
      <c r="HC811" s="1265"/>
      <c r="HD811" s="1265"/>
      <c r="HE811" s="1265"/>
      <c r="HF811" s="1265"/>
      <c r="HG811" s="1265"/>
      <c r="HH811" s="1265"/>
      <c r="HI811" s="1265"/>
      <c r="HJ811" s="1265"/>
      <c r="HK811" s="1265"/>
      <c r="HL811" s="1265"/>
      <c r="HM811" s="1265"/>
      <c r="HN811" s="1265"/>
      <c r="HO811" s="1265"/>
      <c r="HP811" s="1265"/>
      <c r="HQ811" s="1265"/>
      <c r="HR811" s="1265"/>
      <c r="HS811" s="1265"/>
      <c r="HT811" s="1265"/>
      <c r="HU811" s="1265"/>
      <c r="HV811" s="1265"/>
      <c r="HW811" s="1265"/>
      <c r="HX811" s="1265"/>
      <c r="HY811" s="1265"/>
      <c r="HZ811" s="1265"/>
      <c r="IA811" s="1265"/>
      <c r="IB811" s="1265"/>
      <c r="IC811" s="1265"/>
      <c r="ID811" s="1265"/>
      <c r="IE811" s="1265"/>
      <c r="IF811" s="1265"/>
      <c r="IG811" s="1265"/>
      <c r="IH811" s="1265"/>
      <c r="II811" s="1265"/>
      <c r="IJ811" s="1265"/>
      <c r="IK811" s="1265"/>
      <c r="IL811" s="1265"/>
      <c r="IM811" s="1265"/>
      <c r="IN811" s="1265"/>
      <c r="IO811" s="1265"/>
      <c r="IP811" s="1265"/>
      <c r="IQ811" s="1265"/>
      <c r="IR811" s="1265"/>
      <c r="IS811" s="1265"/>
      <c r="IT811" s="1265"/>
      <c r="IU811" s="1265"/>
      <c r="IV811" s="1265"/>
      <c r="IW811" s="1265"/>
      <c r="IX811" s="1265"/>
      <c r="IY811" s="1265"/>
      <c r="IZ811" s="1265"/>
      <c r="JA811" s="1265"/>
      <c r="JB811" s="1265"/>
      <c r="JC811" s="1265"/>
      <c r="JD811" s="1265"/>
      <c r="JE811" s="1265"/>
      <c r="JF811" s="1265"/>
      <c r="JG811" s="1265"/>
      <c r="JH811" s="1265"/>
      <c r="JI811" s="1265"/>
      <c r="JJ811" s="1265"/>
      <c r="JK811" s="1265"/>
      <c r="JL811" s="1265"/>
      <c r="JM811" s="1265"/>
      <c r="JN811" s="1265"/>
      <c r="JO811" s="1265"/>
      <c r="JP811" s="1265"/>
      <c r="JQ811" s="1265"/>
      <c r="JR811" s="1265"/>
      <c r="JS811" s="1265"/>
      <c r="JT811" s="1265"/>
      <c r="JU811" s="1265"/>
      <c r="JV811" s="1265"/>
      <c r="JW811" s="1265"/>
      <c r="JX811" s="1265"/>
      <c r="JY811" s="1265"/>
      <c r="JZ811" s="1265"/>
      <c r="KA811" s="1265"/>
      <c r="KB811" s="1265"/>
      <c r="KC811" s="1265"/>
      <c r="KD811" s="1265"/>
      <c r="KE811" s="1265"/>
      <c r="KF811" s="1265"/>
      <c r="KG811" s="1265"/>
      <c r="KH811" s="1265"/>
      <c r="KI811" s="1265"/>
      <c r="KJ811" s="1265"/>
      <c r="KK811" s="1265"/>
      <c r="KL811" s="1265"/>
      <c r="KM811" s="1265"/>
      <c r="KN811" s="1265"/>
      <c r="KO811" s="1265"/>
      <c r="KP811" s="1265"/>
      <c r="KQ811" s="1265"/>
      <c r="KR811" s="1265"/>
      <c r="KS811" s="1265"/>
      <c r="KT811" s="1265"/>
      <c r="KU811" s="1265"/>
      <c r="KV811" s="1265"/>
      <c r="KW811" s="1265"/>
      <c r="KX811" s="1265"/>
      <c r="KY811" s="1265"/>
      <c r="KZ811" s="1265"/>
      <c r="LA811" s="1265"/>
      <c r="LB811" s="1265"/>
      <c r="LC811" s="1265"/>
      <c r="LD811" s="1265"/>
      <c r="LE811" s="1265"/>
      <c r="LF811" s="1265"/>
      <c r="LG811" s="1265"/>
      <c r="LH811" s="1265"/>
      <c r="LI811" s="1265"/>
      <c r="LJ811" s="1265"/>
      <c r="LK811" s="1265"/>
      <c r="LL811" s="1265"/>
      <c r="LM811" s="1265"/>
      <c r="LN811" s="1265"/>
      <c r="LO811" s="1265"/>
      <c r="LP811" s="1265"/>
      <c r="LQ811" s="1265"/>
      <c r="LR811" s="1265"/>
      <c r="LS811" s="1265"/>
      <c r="LT811" s="1265"/>
      <c r="LU811" s="1265"/>
      <c r="LV811" s="1265"/>
      <c r="LW811" s="1265"/>
      <c r="LX811" s="1265"/>
      <c r="LY811" s="1265"/>
      <c r="LZ811" s="1265"/>
      <c r="MA811" s="1265"/>
      <c r="MB811" s="1265"/>
      <c r="MC811" s="1265"/>
      <c r="MD811" s="1265"/>
      <c r="ME811" s="1265"/>
      <c r="MF811" s="1265"/>
      <c r="MG811" s="1265"/>
      <c r="MH811" s="1265"/>
      <c r="MI811" s="1265"/>
      <c r="MJ811" s="1265"/>
      <c r="MK811" s="1265"/>
      <c r="ML811" s="1265"/>
      <c r="MM811" s="1265"/>
      <c r="MN811" s="1265"/>
      <c r="MO811" s="1265"/>
      <c r="MP811" s="1265"/>
      <c r="MQ811" s="1265"/>
      <c r="MR811" s="1265"/>
      <c r="MS811" s="1265"/>
      <c r="MT811" s="1265"/>
      <c r="MU811" s="1265"/>
      <c r="MV811" s="1265"/>
      <c r="MW811" s="1265"/>
      <c r="MX811" s="1265"/>
      <c r="MY811" s="1265"/>
      <c r="MZ811" s="1265"/>
      <c r="NA811" s="1265"/>
      <c r="NB811" s="1265"/>
      <c r="NC811" s="1265"/>
      <c r="ND811" s="1265"/>
      <c r="NE811" s="1265"/>
      <c r="NF811" s="1265"/>
      <c r="NG811" s="1265"/>
      <c r="NH811" s="1265"/>
      <c r="NI811" s="1265"/>
      <c r="NJ811" s="1265"/>
      <c r="NK811" s="1265"/>
      <c r="NL811" s="1265"/>
      <c r="NM811" s="1265"/>
      <c r="NN811" s="1265"/>
      <c r="NO811" s="1265"/>
      <c r="NP811" s="1265"/>
      <c r="NQ811" s="1265"/>
      <c r="NR811" s="1265"/>
      <c r="NS811" s="1265"/>
      <c r="NT811" s="1265"/>
      <c r="NU811" s="1265"/>
      <c r="NV811" s="1265"/>
      <c r="NW811" s="1265"/>
      <c r="NX811" s="1265"/>
      <c r="NY811" s="1265"/>
      <c r="NZ811" s="1265"/>
      <c r="OA811" s="1265"/>
      <c r="OB811" s="1265"/>
      <c r="OC811" s="1265"/>
      <c r="OD811" s="1265"/>
      <c r="OE811" s="1265"/>
      <c r="OF811" s="1265"/>
      <c r="OG811" s="1265"/>
      <c r="OH811" s="1265"/>
      <c r="OI811" s="1265"/>
      <c r="OJ811" s="1265"/>
      <c r="OK811" s="1265"/>
      <c r="OL811" s="1265"/>
      <c r="OM811" s="1265"/>
      <c r="ON811" s="1265"/>
      <c r="OO811" s="1265"/>
      <c r="OP811" s="1265"/>
      <c r="OQ811" s="1265"/>
      <c r="OR811" s="1265"/>
      <c r="OS811" s="1265"/>
      <c r="OT811" s="1265"/>
      <c r="OU811" s="1265"/>
      <c r="OV811" s="1265"/>
      <c r="OW811" s="1265"/>
      <c r="OX811" s="1265"/>
      <c r="OY811" s="1265"/>
      <c r="OZ811" s="1265"/>
      <c r="PA811" s="1265"/>
      <c r="PB811" s="1265"/>
      <c r="PC811" s="1265"/>
      <c r="PD811" s="1265"/>
      <c r="PE811" s="1265"/>
      <c r="PF811" s="1265"/>
      <c r="PG811" s="1265"/>
      <c r="PH811" s="1265"/>
      <c r="PI811" s="1265"/>
      <c r="PJ811" s="1265"/>
      <c r="PK811" s="1265"/>
      <c r="PL811" s="1265"/>
      <c r="PM811" s="1265"/>
      <c r="PN811" s="1265"/>
      <c r="PO811" s="1265"/>
      <c r="PP811" s="1265"/>
      <c r="PQ811" s="1265"/>
      <c r="PR811" s="1265"/>
      <c r="PS811" s="1265"/>
      <c r="PT811" s="1265"/>
      <c r="PU811" s="1265"/>
      <c r="PV811" s="1265"/>
      <c r="PW811" s="1265"/>
      <c r="PX811" s="1265"/>
      <c r="PY811" s="1265"/>
      <c r="PZ811" s="1265"/>
      <c r="QA811" s="1265"/>
      <c r="QB811" s="1265"/>
      <c r="QC811" s="1265"/>
      <c r="QD811" s="1265"/>
      <c r="QE811" s="1265"/>
      <c r="QF811" s="1265"/>
      <c r="QG811" s="1265"/>
      <c r="QH811" s="1265"/>
      <c r="QI811" s="1265"/>
      <c r="QJ811" s="1265"/>
      <c r="QK811" s="1265"/>
      <c r="QL811" s="1265"/>
      <c r="QM811" s="1265"/>
      <c r="QN811" s="1265"/>
      <c r="QO811" s="1265"/>
      <c r="QP811" s="1265"/>
      <c r="QQ811" s="1265"/>
      <c r="QR811" s="1265"/>
      <c r="QS811" s="1265"/>
      <c r="QT811" s="1265"/>
      <c r="QU811" s="1265"/>
      <c r="QV811" s="1265"/>
      <c r="QW811" s="1265"/>
      <c r="QX811" s="1265"/>
      <c r="QY811" s="1265"/>
      <c r="QZ811" s="1265"/>
      <c r="RA811" s="1265"/>
      <c r="RB811" s="1265"/>
      <c r="RC811" s="1265"/>
      <c r="RD811" s="1265"/>
      <c r="RE811" s="1265"/>
      <c r="RF811" s="1265"/>
      <c r="RG811" s="1265"/>
      <c r="RH811" s="1265"/>
      <c r="RI811" s="1265"/>
      <c r="RJ811" s="1265"/>
      <c r="RK811" s="1265"/>
      <c r="RL811" s="1265"/>
      <c r="RM811" s="1265"/>
      <c r="RN811" s="1265"/>
      <c r="RO811" s="1265"/>
      <c r="RP811" s="1265"/>
      <c r="RQ811" s="1265"/>
      <c r="RR811" s="1265"/>
      <c r="RS811" s="1265"/>
      <c r="RT811" s="1265"/>
      <c r="RU811" s="1265"/>
      <c r="RV811" s="1265"/>
      <c r="RW811" s="1265"/>
      <c r="RX811" s="1265"/>
      <c r="RY811" s="1265"/>
      <c r="RZ811" s="1265"/>
      <c r="SA811" s="1265"/>
      <c r="SB811" s="1265"/>
      <c r="SC811" s="1265"/>
      <c r="SD811" s="1265"/>
      <c r="SE811" s="1265"/>
      <c r="SF811" s="1265"/>
      <c r="SG811" s="1265"/>
      <c r="SH811" s="1265"/>
      <c r="SI811" s="1265"/>
      <c r="SJ811" s="1265"/>
      <c r="SK811" s="1265"/>
      <c r="SL811" s="1265"/>
      <c r="SM811" s="1265"/>
      <c r="SN811" s="1265"/>
      <c r="SO811" s="1265"/>
      <c r="SP811" s="1265"/>
      <c r="SQ811" s="1265"/>
      <c r="SR811" s="1265"/>
      <c r="SS811" s="1265"/>
      <c r="ST811" s="1265"/>
      <c r="SU811" s="1265"/>
      <c r="SV811" s="1265"/>
      <c r="SW811" s="1265"/>
      <c r="SX811" s="1265"/>
      <c r="SY811" s="1265"/>
      <c r="SZ811" s="1265"/>
      <c r="TA811" s="1265"/>
      <c r="TB811" s="1265"/>
      <c r="TC811" s="1265"/>
      <c r="TD811" s="1265"/>
      <c r="TE811" s="1265"/>
      <c r="TF811" s="1265"/>
      <c r="TG811" s="1265"/>
      <c r="TH811" s="1265"/>
      <c r="TI811" s="1265"/>
      <c r="TJ811" s="1265"/>
      <c r="TK811" s="1265"/>
      <c r="TL811" s="1265"/>
      <c r="TM811" s="1265"/>
      <c r="TN811" s="1265"/>
      <c r="TO811" s="1265"/>
      <c r="TP811" s="1265"/>
      <c r="TQ811" s="1265"/>
      <c r="TR811" s="1265"/>
      <c r="TS811" s="1265"/>
      <c r="TT811" s="1265"/>
      <c r="TU811" s="1265"/>
      <c r="TV811" s="1265"/>
      <c r="TW811" s="1265"/>
      <c r="TX811" s="1265"/>
      <c r="TY811" s="1265"/>
      <c r="TZ811" s="1265"/>
      <c r="UA811" s="1265"/>
      <c r="UB811" s="1265"/>
      <c r="UC811" s="1265"/>
      <c r="UD811" s="1265"/>
      <c r="UE811" s="1265"/>
      <c r="UF811" s="1265"/>
      <c r="UG811" s="1266"/>
    </row>
    <row r="812" spans="1:553" s="1262" customFormat="1" ht="30.75" customHeight="1">
      <c r="A812" s="1231"/>
      <c r="B812" s="1231"/>
      <c r="C812" s="1408" t="s">
        <v>1160</v>
      </c>
      <c r="D812" s="1409" t="s">
        <v>1161</v>
      </c>
      <c r="E812" s="1409" t="s">
        <v>1161</v>
      </c>
      <c r="F812" s="1410" t="s">
        <v>1161</v>
      </c>
      <c r="G812" s="1007" t="s">
        <v>48</v>
      </c>
      <c r="H812" s="651"/>
      <c r="I812" s="507">
        <v>6</v>
      </c>
      <c r="J812" s="985">
        <v>225800</v>
      </c>
      <c r="K812" s="650">
        <v>0.7</v>
      </c>
      <c r="L812" s="646">
        <f>ROUND(PRODUCT(I812:K812),0)</f>
        <v>948360</v>
      </c>
      <c r="M812" s="356"/>
      <c r="N812" s="356"/>
      <c r="O812" s="356"/>
      <c r="P812" s="356"/>
      <c r="Q812" s="610"/>
      <c r="R812" s="1228"/>
      <c r="S812" s="308"/>
      <c r="T812" s="308"/>
      <c r="U812" s="308"/>
      <c r="V812" s="308"/>
      <c r="W812" s="308"/>
      <c r="X812" s="308"/>
      <c r="Y812" s="308"/>
      <c r="Z812" s="604"/>
      <c r="AA812" s="308"/>
      <c r="AB812" s="308"/>
      <c r="AC812" s="454"/>
      <c r="AD812" s="454"/>
      <c r="AE812" s="454"/>
      <c r="AF812" s="454"/>
      <c r="AG812" s="454"/>
      <c r="AH812" s="454"/>
      <c r="AI812" s="454"/>
      <c r="AJ812" s="454"/>
      <c r="AK812" s="455"/>
      <c r="AL812" s="1263"/>
      <c r="AM812" s="1263"/>
      <c r="AN812" s="1263"/>
      <c r="AO812" s="1263"/>
      <c r="AP812" s="1263"/>
      <c r="AQ812" s="1263"/>
      <c r="AR812" s="1263"/>
      <c r="AS812" s="1264"/>
      <c r="AT812" s="1264"/>
      <c r="AU812" s="1264"/>
      <c r="AV812" s="1264"/>
      <c r="AW812" s="1264"/>
      <c r="AX812" s="1264"/>
      <c r="AY812" s="1264"/>
      <c r="AZ812" s="1264"/>
      <c r="BA812" s="1264"/>
      <c r="BB812" s="1264"/>
      <c r="BC812" s="1264"/>
      <c r="BD812" s="1264"/>
      <c r="BE812" s="1264"/>
      <c r="BF812" s="1264"/>
      <c r="BG812" s="1264"/>
      <c r="BH812" s="1264"/>
      <c r="BI812" s="1264"/>
      <c r="BJ812" s="1264"/>
      <c r="BK812" s="1264"/>
      <c r="BL812" s="1264"/>
      <c r="BM812" s="1264"/>
      <c r="BN812" s="1264"/>
      <c r="BO812" s="1264"/>
      <c r="BP812" s="1265"/>
      <c r="BQ812" s="1265"/>
      <c r="BR812" s="1265"/>
      <c r="BS812" s="1265"/>
      <c r="BT812" s="1265"/>
      <c r="BU812" s="1265"/>
      <c r="BV812" s="1265"/>
      <c r="BW812" s="1265"/>
      <c r="BX812" s="1265"/>
      <c r="BY812" s="1265"/>
      <c r="BZ812" s="1265"/>
      <c r="CA812" s="1265"/>
      <c r="CB812" s="1265"/>
      <c r="CC812" s="1265"/>
      <c r="CD812" s="1265"/>
      <c r="CE812" s="1265"/>
      <c r="CF812" s="1265"/>
      <c r="CG812" s="1265"/>
      <c r="CH812" s="1265"/>
      <c r="CI812" s="1265"/>
      <c r="CJ812" s="1265"/>
      <c r="CK812" s="1265"/>
      <c r="CL812" s="1265"/>
      <c r="CM812" s="1265"/>
      <c r="CN812" s="1265"/>
      <c r="CO812" s="1265"/>
      <c r="CP812" s="1265"/>
      <c r="CQ812" s="1265"/>
      <c r="CR812" s="1265"/>
      <c r="CS812" s="1265"/>
      <c r="CT812" s="1265"/>
      <c r="CU812" s="1265"/>
      <c r="CV812" s="1265"/>
      <c r="CW812" s="1265"/>
      <c r="CX812" s="1265"/>
      <c r="CY812" s="1265"/>
      <c r="CZ812" s="1265"/>
      <c r="DA812" s="1265"/>
      <c r="DB812" s="1265"/>
      <c r="DC812" s="1265"/>
      <c r="DD812" s="1265"/>
      <c r="DE812" s="1265"/>
      <c r="DF812" s="1265"/>
      <c r="DG812" s="1265"/>
      <c r="DH812" s="1265"/>
      <c r="DI812" s="1265"/>
      <c r="DJ812" s="1265"/>
      <c r="DK812" s="1265"/>
      <c r="DL812" s="1265"/>
      <c r="DM812" s="1265"/>
      <c r="DN812" s="1265"/>
      <c r="DO812" s="1265"/>
      <c r="DP812" s="1265"/>
      <c r="DQ812" s="1265"/>
      <c r="DR812" s="1265"/>
      <c r="DS812" s="1265"/>
      <c r="DT812" s="1265"/>
      <c r="DU812" s="1265"/>
      <c r="DV812" s="1265"/>
      <c r="DW812" s="1265"/>
      <c r="DX812" s="1265"/>
      <c r="DY812" s="1265"/>
      <c r="DZ812" s="1265"/>
      <c r="EA812" s="1265"/>
      <c r="EB812" s="1265"/>
      <c r="EC812" s="1265"/>
      <c r="ED812" s="1265"/>
      <c r="EE812" s="1265"/>
      <c r="EF812" s="1265"/>
      <c r="EG812" s="1265"/>
      <c r="EH812" s="1265"/>
      <c r="EI812" s="1265"/>
      <c r="EJ812" s="1265"/>
      <c r="EK812" s="1265"/>
      <c r="EL812" s="1265"/>
      <c r="EM812" s="1265"/>
      <c r="EN812" s="1265"/>
      <c r="EO812" s="1265"/>
      <c r="EP812" s="1265"/>
      <c r="EQ812" s="1265"/>
      <c r="ER812" s="1265"/>
      <c r="ES812" s="1265"/>
      <c r="ET812" s="1265"/>
      <c r="EU812" s="1265"/>
      <c r="EV812" s="1265"/>
      <c r="EW812" s="1265"/>
      <c r="EX812" s="1265"/>
      <c r="EY812" s="1265"/>
      <c r="EZ812" s="1265"/>
      <c r="FA812" s="1265"/>
      <c r="FB812" s="1265"/>
      <c r="FC812" s="1265"/>
      <c r="FD812" s="1265"/>
      <c r="FE812" s="1265"/>
      <c r="FF812" s="1265"/>
      <c r="FG812" s="1265"/>
      <c r="FH812" s="1265"/>
      <c r="FI812" s="1265"/>
      <c r="FJ812" s="1265"/>
      <c r="FK812" s="1265"/>
      <c r="FL812" s="1265"/>
      <c r="FM812" s="1265"/>
      <c r="FN812" s="1265"/>
      <c r="FO812" s="1265"/>
      <c r="FP812" s="1265"/>
      <c r="FQ812" s="1265"/>
      <c r="FR812" s="1265"/>
      <c r="FS812" s="1265"/>
      <c r="FT812" s="1265"/>
      <c r="FU812" s="1265"/>
      <c r="FV812" s="1265"/>
      <c r="FW812" s="1265"/>
      <c r="FX812" s="1265"/>
      <c r="FY812" s="1265"/>
      <c r="FZ812" s="1265"/>
      <c r="GA812" s="1265"/>
      <c r="GB812" s="1265"/>
      <c r="GC812" s="1265"/>
      <c r="GD812" s="1265"/>
      <c r="GE812" s="1265"/>
      <c r="GF812" s="1265"/>
      <c r="GG812" s="1265"/>
      <c r="GH812" s="1265"/>
      <c r="GI812" s="1265"/>
      <c r="GJ812" s="1265"/>
      <c r="GK812" s="1265"/>
      <c r="GL812" s="1265"/>
      <c r="GM812" s="1265"/>
      <c r="GN812" s="1265"/>
      <c r="GO812" s="1265"/>
      <c r="GP812" s="1265"/>
      <c r="GQ812" s="1265"/>
      <c r="GR812" s="1265"/>
      <c r="GS812" s="1265"/>
      <c r="GT812" s="1265"/>
      <c r="GU812" s="1265"/>
      <c r="GV812" s="1265"/>
      <c r="GW812" s="1265"/>
      <c r="GX812" s="1265"/>
      <c r="GY812" s="1265"/>
      <c r="GZ812" s="1265"/>
      <c r="HA812" s="1265"/>
      <c r="HB812" s="1265"/>
      <c r="HC812" s="1265"/>
      <c r="HD812" s="1265"/>
      <c r="HE812" s="1265"/>
      <c r="HF812" s="1265"/>
      <c r="HG812" s="1265"/>
      <c r="HH812" s="1265"/>
      <c r="HI812" s="1265"/>
      <c r="HJ812" s="1265"/>
      <c r="HK812" s="1265"/>
      <c r="HL812" s="1265"/>
      <c r="HM812" s="1265"/>
      <c r="HN812" s="1265"/>
      <c r="HO812" s="1265"/>
      <c r="HP812" s="1265"/>
      <c r="HQ812" s="1265"/>
      <c r="HR812" s="1265"/>
      <c r="HS812" s="1265"/>
      <c r="HT812" s="1265"/>
      <c r="HU812" s="1265"/>
      <c r="HV812" s="1265"/>
      <c r="HW812" s="1265"/>
      <c r="HX812" s="1265"/>
      <c r="HY812" s="1265"/>
      <c r="HZ812" s="1265"/>
      <c r="IA812" s="1265"/>
      <c r="IB812" s="1265"/>
      <c r="IC812" s="1265"/>
      <c r="ID812" s="1265"/>
      <c r="IE812" s="1265"/>
      <c r="IF812" s="1265"/>
      <c r="IG812" s="1265"/>
      <c r="IH812" s="1265"/>
      <c r="II812" s="1265"/>
      <c r="IJ812" s="1265"/>
      <c r="IK812" s="1265"/>
      <c r="IL812" s="1265"/>
      <c r="IM812" s="1265"/>
      <c r="IN812" s="1265"/>
      <c r="IO812" s="1265"/>
      <c r="IP812" s="1265"/>
      <c r="IQ812" s="1265"/>
      <c r="IR812" s="1265"/>
      <c r="IS812" s="1265"/>
      <c r="IT812" s="1265"/>
      <c r="IU812" s="1265"/>
      <c r="IV812" s="1265"/>
      <c r="IW812" s="1265"/>
      <c r="IX812" s="1265"/>
      <c r="IY812" s="1265"/>
      <c r="IZ812" s="1265"/>
      <c r="JA812" s="1265"/>
      <c r="JB812" s="1265"/>
      <c r="JC812" s="1265"/>
      <c r="JD812" s="1265"/>
      <c r="JE812" s="1265"/>
      <c r="JF812" s="1265"/>
      <c r="JG812" s="1265"/>
      <c r="JH812" s="1265"/>
      <c r="JI812" s="1265"/>
      <c r="JJ812" s="1265"/>
      <c r="JK812" s="1265"/>
      <c r="JL812" s="1265"/>
      <c r="JM812" s="1265"/>
      <c r="JN812" s="1265"/>
      <c r="JO812" s="1265"/>
      <c r="JP812" s="1265"/>
      <c r="JQ812" s="1265"/>
      <c r="JR812" s="1265"/>
      <c r="JS812" s="1265"/>
      <c r="JT812" s="1265"/>
      <c r="JU812" s="1265"/>
      <c r="JV812" s="1265"/>
      <c r="JW812" s="1265"/>
      <c r="JX812" s="1265"/>
      <c r="JY812" s="1265"/>
      <c r="JZ812" s="1265"/>
      <c r="KA812" s="1265"/>
      <c r="KB812" s="1265"/>
      <c r="KC812" s="1265"/>
      <c r="KD812" s="1265"/>
      <c r="KE812" s="1265"/>
      <c r="KF812" s="1265"/>
      <c r="KG812" s="1265"/>
      <c r="KH812" s="1265"/>
      <c r="KI812" s="1265"/>
      <c r="KJ812" s="1265"/>
      <c r="KK812" s="1265"/>
      <c r="KL812" s="1265"/>
      <c r="KM812" s="1265"/>
      <c r="KN812" s="1265"/>
      <c r="KO812" s="1265"/>
      <c r="KP812" s="1265"/>
      <c r="KQ812" s="1265"/>
      <c r="KR812" s="1265"/>
      <c r="KS812" s="1265"/>
      <c r="KT812" s="1265"/>
      <c r="KU812" s="1265"/>
      <c r="KV812" s="1265"/>
      <c r="KW812" s="1265"/>
      <c r="KX812" s="1265"/>
      <c r="KY812" s="1265"/>
      <c r="KZ812" s="1265"/>
      <c r="LA812" s="1265"/>
      <c r="LB812" s="1265"/>
      <c r="LC812" s="1265"/>
      <c r="LD812" s="1265"/>
      <c r="LE812" s="1265"/>
      <c r="LF812" s="1265"/>
      <c r="LG812" s="1265"/>
      <c r="LH812" s="1265"/>
      <c r="LI812" s="1265"/>
      <c r="LJ812" s="1265"/>
      <c r="LK812" s="1265"/>
      <c r="LL812" s="1265"/>
      <c r="LM812" s="1265"/>
      <c r="LN812" s="1265"/>
      <c r="LO812" s="1265"/>
      <c r="LP812" s="1265"/>
      <c r="LQ812" s="1265"/>
      <c r="LR812" s="1265"/>
      <c r="LS812" s="1265"/>
      <c r="LT812" s="1265"/>
      <c r="LU812" s="1265"/>
      <c r="LV812" s="1265"/>
      <c r="LW812" s="1265"/>
      <c r="LX812" s="1265"/>
      <c r="LY812" s="1265"/>
      <c r="LZ812" s="1265"/>
      <c r="MA812" s="1265"/>
      <c r="MB812" s="1265"/>
      <c r="MC812" s="1265"/>
      <c r="MD812" s="1265"/>
      <c r="ME812" s="1265"/>
      <c r="MF812" s="1265"/>
      <c r="MG812" s="1265"/>
      <c r="MH812" s="1265"/>
      <c r="MI812" s="1265"/>
      <c r="MJ812" s="1265"/>
      <c r="MK812" s="1265"/>
      <c r="ML812" s="1265"/>
      <c r="MM812" s="1265"/>
      <c r="MN812" s="1265"/>
      <c r="MO812" s="1265"/>
      <c r="MP812" s="1265"/>
      <c r="MQ812" s="1265"/>
      <c r="MR812" s="1265"/>
      <c r="MS812" s="1265"/>
      <c r="MT812" s="1265"/>
      <c r="MU812" s="1265"/>
      <c r="MV812" s="1265"/>
      <c r="MW812" s="1265"/>
      <c r="MX812" s="1265"/>
      <c r="MY812" s="1265"/>
      <c r="MZ812" s="1265"/>
      <c r="NA812" s="1265"/>
      <c r="NB812" s="1265"/>
      <c r="NC812" s="1265"/>
      <c r="ND812" s="1265"/>
      <c r="NE812" s="1265"/>
      <c r="NF812" s="1265"/>
      <c r="NG812" s="1265"/>
      <c r="NH812" s="1265"/>
      <c r="NI812" s="1265"/>
      <c r="NJ812" s="1265"/>
      <c r="NK812" s="1265"/>
      <c r="NL812" s="1265"/>
      <c r="NM812" s="1265"/>
      <c r="NN812" s="1265"/>
      <c r="NO812" s="1265"/>
      <c r="NP812" s="1265"/>
      <c r="NQ812" s="1265"/>
      <c r="NR812" s="1265"/>
      <c r="NS812" s="1265"/>
      <c r="NT812" s="1265"/>
      <c r="NU812" s="1265"/>
      <c r="NV812" s="1265"/>
      <c r="NW812" s="1265"/>
      <c r="NX812" s="1265"/>
      <c r="NY812" s="1265"/>
      <c r="NZ812" s="1265"/>
      <c r="OA812" s="1265"/>
      <c r="OB812" s="1265"/>
      <c r="OC812" s="1265"/>
      <c r="OD812" s="1265"/>
      <c r="OE812" s="1265"/>
      <c r="OF812" s="1265"/>
      <c r="OG812" s="1265"/>
      <c r="OH812" s="1265"/>
      <c r="OI812" s="1265"/>
      <c r="OJ812" s="1265"/>
      <c r="OK812" s="1265"/>
      <c r="OL812" s="1265"/>
      <c r="OM812" s="1265"/>
      <c r="ON812" s="1265"/>
      <c r="OO812" s="1265"/>
      <c r="OP812" s="1265"/>
      <c r="OQ812" s="1265"/>
      <c r="OR812" s="1265"/>
      <c r="OS812" s="1265"/>
      <c r="OT812" s="1265"/>
      <c r="OU812" s="1265"/>
      <c r="OV812" s="1265"/>
      <c r="OW812" s="1265"/>
      <c r="OX812" s="1265"/>
      <c r="OY812" s="1265"/>
      <c r="OZ812" s="1265"/>
      <c r="PA812" s="1265"/>
      <c r="PB812" s="1265"/>
      <c r="PC812" s="1265"/>
      <c r="PD812" s="1265"/>
      <c r="PE812" s="1265"/>
      <c r="PF812" s="1265"/>
      <c r="PG812" s="1265"/>
      <c r="PH812" s="1265"/>
      <c r="PI812" s="1265"/>
      <c r="PJ812" s="1265"/>
      <c r="PK812" s="1265"/>
      <c r="PL812" s="1265"/>
      <c r="PM812" s="1265"/>
      <c r="PN812" s="1265"/>
      <c r="PO812" s="1265"/>
      <c r="PP812" s="1265"/>
      <c r="PQ812" s="1265"/>
      <c r="PR812" s="1265"/>
      <c r="PS812" s="1265"/>
      <c r="PT812" s="1265"/>
      <c r="PU812" s="1265"/>
      <c r="PV812" s="1265"/>
      <c r="PW812" s="1265"/>
      <c r="PX812" s="1265"/>
      <c r="PY812" s="1265"/>
      <c r="PZ812" s="1265"/>
      <c r="QA812" s="1265"/>
      <c r="QB812" s="1265"/>
      <c r="QC812" s="1265"/>
      <c r="QD812" s="1265"/>
      <c r="QE812" s="1265"/>
      <c r="QF812" s="1265"/>
      <c r="QG812" s="1265"/>
      <c r="QH812" s="1265"/>
      <c r="QI812" s="1265"/>
      <c r="QJ812" s="1265"/>
      <c r="QK812" s="1265"/>
      <c r="QL812" s="1265"/>
      <c r="QM812" s="1265"/>
      <c r="QN812" s="1265"/>
      <c r="QO812" s="1265"/>
      <c r="QP812" s="1265"/>
      <c r="QQ812" s="1265"/>
      <c r="QR812" s="1265"/>
      <c r="QS812" s="1265"/>
      <c r="QT812" s="1265"/>
      <c r="QU812" s="1265"/>
      <c r="QV812" s="1265"/>
      <c r="QW812" s="1265"/>
      <c r="QX812" s="1265"/>
      <c r="QY812" s="1265"/>
      <c r="QZ812" s="1265"/>
      <c r="RA812" s="1265"/>
      <c r="RB812" s="1265"/>
      <c r="RC812" s="1265"/>
      <c r="RD812" s="1265"/>
      <c r="RE812" s="1265"/>
      <c r="RF812" s="1265"/>
      <c r="RG812" s="1265"/>
      <c r="RH812" s="1265"/>
      <c r="RI812" s="1265"/>
      <c r="RJ812" s="1265"/>
      <c r="RK812" s="1265"/>
      <c r="RL812" s="1265"/>
      <c r="RM812" s="1265"/>
      <c r="RN812" s="1265"/>
      <c r="RO812" s="1265"/>
      <c r="RP812" s="1265"/>
      <c r="RQ812" s="1265"/>
      <c r="RR812" s="1265"/>
      <c r="RS812" s="1265"/>
      <c r="RT812" s="1265"/>
      <c r="RU812" s="1265"/>
      <c r="RV812" s="1265"/>
      <c r="RW812" s="1265"/>
      <c r="RX812" s="1265"/>
      <c r="RY812" s="1265"/>
      <c r="RZ812" s="1265"/>
      <c r="SA812" s="1265"/>
      <c r="SB812" s="1265"/>
      <c r="SC812" s="1265"/>
      <c r="SD812" s="1265"/>
      <c r="SE812" s="1265"/>
      <c r="SF812" s="1265"/>
      <c r="SG812" s="1265"/>
      <c r="SH812" s="1265"/>
      <c r="SI812" s="1265"/>
      <c r="SJ812" s="1265"/>
      <c r="SK812" s="1265"/>
      <c r="SL812" s="1265"/>
      <c r="SM812" s="1265"/>
      <c r="SN812" s="1265"/>
      <c r="SO812" s="1265"/>
      <c r="SP812" s="1265"/>
      <c r="SQ812" s="1265"/>
      <c r="SR812" s="1265"/>
      <c r="SS812" s="1265"/>
      <c r="ST812" s="1265"/>
      <c r="SU812" s="1265"/>
      <c r="SV812" s="1265"/>
      <c r="SW812" s="1265"/>
      <c r="SX812" s="1265"/>
      <c r="SY812" s="1265"/>
      <c r="SZ812" s="1265"/>
      <c r="TA812" s="1265"/>
      <c r="TB812" s="1265"/>
      <c r="TC812" s="1265"/>
      <c r="TD812" s="1265"/>
      <c r="TE812" s="1265"/>
      <c r="TF812" s="1265"/>
      <c r="TG812" s="1265"/>
      <c r="TH812" s="1265"/>
      <c r="TI812" s="1265"/>
      <c r="TJ812" s="1265"/>
      <c r="TK812" s="1265"/>
      <c r="TL812" s="1265"/>
      <c r="TM812" s="1265"/>
      <c r="TN812" s="1265"/>
      <c r="TO812" s="1265"/>
      <c r="TP812" s="1265"/>
      <c r="TQ812" s="1265"/>
      <c r="TR812" s="1265"/>
      <c r="TS812" s="1265"/>
      <c r="TT812" s="1265"/>
      <c r="TU812" s="1265"/>
      <c r="TV812" s="1265"/>
      <c r="TW812" s="1265"/>
      <c r="TX812" s="1265"/>
      <c r="TY812" s="1265"/>
      <c r="TZ812" s="1265"/>
      <c r="UA812" s="1265"/>
      <c r="UB812" s="1265"/>
      <c r="UC812" s="1265"/>
      <c r="UD812" s="1265"/>
      <c r="UE812" s="1265"/>
      <c r="UF812" s="1265"/>
      <c r="UG812" s="1266"/>
    </row>
    <row r="813" spans="1:553" s="1262" customFormat="1" ht="30.75" customHeight="1">
      <c r="A813" s="436"/>
      <c r="B813" s="436"/>
      <c r="C813" s="1411" t="s">
        <v>1162</v>
      </c>
      <c r="D813" s="1411" t="s">
        <v>1163</v>
      </c>
      <c r="E813" s="1411" t="s">
        <v>1163</v>
      </c>
      <c r="F813" s="1411" t="s">
        <v>1163</v>
      </c>
      <c r="G813" s="303" t="s">
        <v>193</v>
      </c>
      <c r="H813" s="652"/>
      <c r="I813" s="607">
        <v>3</v>
      </c>
      <c r="J813" s="1243">
        <v>297200</v>
      </c>
      <c r="K813" s="656">
        <v>0.7</v>
      </c>
      <c r="L813" s="573">
        <f>I813*J813*K813</f>
        <v>624120</v>
      </c>
      <c r="M813" s="356"/>
      <c r="N813" s="356"/>
      <c r="O813" s="356"/>
      <c r="P813" s="356"/>
      <c r="Q813" s="610"/>
      <c r="R813" s="1228"/>
      <c r="S813" s="308"/>
      <c r="T813" s="308"/>
      <c r="U813" s="308"/>
      <c r="V813" s="308"/>
      <c r="W813" s="308"/>
      <c r="X813" s="308"/>
      <c r="Y813" s="308"/>
      <c r="Z813" s="604"/>
      <c r="AA813" s="308"/>
      <c r="AB813" s="308"/>
      <c r="AC813" s="454"/>
      <c r="AD813" s="454"/>
      <c r="AE813" s="454"/>
      <c r="AF813" s="454"/>
      <c r="AG813" s="454"/>
      <c r="AH813" s="454"/>
      <c r="AI813" s="454"/>
      <c r="AJ813" s="454"/>
      <c r="AK813" s="455"/>
      <c r="AL813" s="1263"/>
      <c r="AM813" s="1263"/>
      <c r="AN813" s="1263"/>
      <c r="AO813" s="1263"/>
      <c r="AP813" s="1263"/>
      <c r="AQ813" s="1263"/>
      <c r="AR813" s="1263"/>
      <c r="AS813" s="1264"/>
      <c r="AT813" s="1264"/>
      <c r="AU813" s="1264"/>
      <c r="AV813" s="1264"/>
      <c r="AW813" s="1264"/>
      <c r="AX813" s="1264"/>
      <c r="AY813" s="1264"/>
      <c r="AZ813" s="1264"/>
      <c r="BA813" s="1264"/>
      <c r="BB813" s="1264"/>
      <c r="BC813" s="1264"/>
      <c r="BD813" s="1264"/>
      <c r="BE813" s="1264"/>
      <c r="BF813" s="1264"/>
      <c r="BG813" s="1264"/>
      <c r="BH813" s="1264"/>
      <c r="BI813" s="1264"/>
      <c r="BJ813" s="1264"/>
      <c r="BK813" s="1264"/>
      <c r="BL813" s="1264"/>
      <c r="BM813" s="1264"/>
      <c r="BN813" s="1264"/>
      <c r="BO813" s="1264"/>
      <c r="BP813" s="1265"/>
      <c r="BQ813" s="1265"/>
      <c r="BR813" s="1265"/>
      <c r="BS813" s="1265"/>
      <c r="BT813" s="1265"/>
      <c r="BU813" s="1265"/>
      <c r="BV813" s="1265"/>
      <c r="BW813" s="1265"/>
      <c r="BX813" s="1265"/>
      <c r="BY813" s="1265"/>
      <c r="BZ813" s="1265"/>
      <c r="CA813" s="1265"/>
      <c r="CB813" s="1265"/>
      <c r="CC813" s="1265"/>
      <c r="CD813" s="1265"/>
      <c r="CE813" s="1265"/>
      <c r="CF813" s="1265"/>
      <c r="CG813" s="1265"/>
      <c r="CH813" s="1265"/>
      <c r="CI813" s="1265"/>
      <c r="CJ813" s="1265"/>
      <c r="CK813" s="1265"/>
      <c r="CL813" s="1265"/>
      <c r="CM813" s="1265"/>
      <c r="CN813" s="1265"/>
      <c r="CO813" s="1265"/>
      <c r="CP813" s="1265"/>
      <c r="CQ813" s="1265"/>
      <c r="CR813" s="1265"/>
      <c r="CS813" s="1265"/>
      <c r="CT813" s="1265"/>
      <c r="CU813" s="1265"/>
      <c r="CV813" s="1265"/>
      <c r="CW813" s="1265"/>
      <c r="CX813" s="1265"/>
      <c r="CY813" s="1265"/>
      <c r="CZ813" s="1265"/>
      <c r="DA813" s="1265"/>
      <c r="DB813" s="1265"/>
      <c r="DC813" s="1265"/>
      <c r="DD813" s="1265"/>
      <c r="DE813" s="1265"/>
      <c r="DF813" s="1265"/>
      <c r="DG813" s="1265"/>
      <c r="DH813" s="1265"/>
      <c r="DI813" s="1265"/>
      <c r="DJ813" s="1265"/>
      <c r="DK813" s="1265"/>
      <c r="DL813" s="1265"/>
      <c r="DM813" s="1265"/>
      <c r="DN813" s="1265"/>
      <c r="DO813" s="1265"/>
      <c r="DP813" s="1265"/>
      <c r="DQ813" s="1265"/>
      <c r="DR813" s="1265"/>
      <c r="DS813" s="1265"/>
      <c r="DT813" s="1265"/>
      <c r="DU813" s="1265"/>
      <c r="DV813" s="1265"/>
      <c r="DW813" s="1265"/>
      <c r="DX813" s="1265"/>
      <c r="DY813" s="1265"/>
      <c r="DZ813" s="1265"/>
      <c r="EA813" s="1265"/>
      <c r="EB813" s="1265"/>
      <c r="EC813" s="1265"/>
      <c r="ED813" s="1265"/>
      <c r="EE813" s="1265"/>
      <c r="EF813" s="1265"/>
      <c r="EG813" s="1265"/>
      <c r="EH813" s="1265"/>
      <c r="EI813" s="1265"/>
      <c r="EJ813" s="1265"/>
      <c r="EK813" s="1265"/>
      <c r="EL813" s="1265"/>
      <c r="EM813" s="1265"/>
      <c r="EN813" s="1265"/>
      <c r="EO813" s="1265"/>
      <c r="EP813" s="1265"/>
      <c r="EQ813" s="1265"/>
      <c r="ER813" s="1265"/>
      <c r="ES813" s="1265"/>
      <c r="ET813" s="1265"/>
      <c r="EU813" s="1265"/>
      <c r="EV813" s="1265"/>
      <c r="EW813" s="1265"/>
      <c r="EX813" s="1265"/>
      <c r="EY813" s="1265"/>
      <c r="EZ813" s="1265"/>
      <c r="FA813" s="1265"/>
      <c r="FB813" s="1265"/>
      <c r="FC813" s="1265"/>
      <c r="FD813" s="1265"/>
      <c r="FE813" s="1265"/>
      <c r="FF813" s="1265"/>
      <c r="FG813" s="1265"/>
      <c r="FH813" s="1265"/>
      <c r="FI813" s="1265"/>
      <c r="FJ813" s="1265"/>
      <c r="FK813" s="1265"/>
      <c r="FL813" s="1265"/>
      <c r="FM813" s="1265"/>
      <c r="FN813" s="1265"/>
      <c r="FO813" s="1265"/>
      <c r="FP813" s="1265"/>
      <c r="FQ813" s="1265"/>
      <c r="FR813" s="1265"/>
      <c r="FS813" s="1265"/>
      <c r="FT813" s="1265"/>
      <c r="FU813" s="1265"/>
      <c r="FV813" s="1265"/>
      <c r="FW813" s="1265"/>
      <c r="FX813" s="1265"/>
      <c r="FY813" s="1265"/>
      <c r="FZ813" s="1265"/>
      <c r="GA813" s="1265"/>
      <c r="GB813" s="1265"/>
      <c r="GC813" s="1265"/>
      <c r="GD813" s="1265"/>
      <c r="GE813" s="1265"/>
      <c r="GF813" s="1265"/>
      <c r="GG813" s="1265"/>
      <c r="GH813" s="1265"/>
      <c r="GI813" s="1265"/>
      <c r="GJ813" s="1265"/>
      <c r="GK813" s="1265"/>
      <c r="GL813" s="1265"/>
      <c r="GM813" s="1265"/>
      <c r="GN813" s="1265"/>
      <c r="GO813" s="1265"/>
      <c r="GP813" s="1265"/>
      <c r="GQ813" s="1265"/>
      <c r="GR813" s="1265"/>
      <c r="GS813" s="1265"/>
      <c r="GT813" s="1265"/>
      <c r="GU813" s="1265"/>
      <c r="GV813" s="1265"/>
      <c r="GW813" s="1265"/>
      <c r="GX813" s="1265"/>
      <c r="GY813" s="1265"/>
      <c r="GZ813" s="1265"/>
      <c r="HA813" s="1265"/>
      <c r="HB813" s="1265"/>
      <c r="HC813" s="1265"/>
      <c r="HD813" s="1265"/>
      <c r="HE813" s="1265"/>
      <c r="HF813" s="1265"/>
      <c r="HG813" s="1265"/>
      <c r="HH813" s="1265"/>
      <c r="HI813" s="1265"/>
      <c r="HJ813" s="1265"/>
      <c r="HK813" s="1265"/>
      <c r="HL813" s="1265"/>
      <c r="HM813" s="1265"/>
      <c r="HN813" s="1265"/>
      <c r="HO813" s="1265"/>
      <c r="HP813" s="1265"/>
      <c r="HQ813" s="1265"/>
      <c r="HR813" s="1265"/>
      <c r="HS813" s="1265"/>
      <c r="HT813" s="1265"/>
      <c r="HU813" s="1265"/>
      <c r="HV813" s="1265"/>
      <c r="HW813" s="1265"/>
      <c r="HX813" s="1265"/>
      <c r="HY813" s="1265"/>
      <c r="HZ813" s="1265"/>
      <c r="IA813" s="1265"/>
      <c r="IB813" s="1265"/>
      <c r="IC813" s="1265"/>
      <c r="ID813" s="1265"/>
      <c r="IE813" s="1265"/>
      <c r="IF813" s="1265"/>
      <c r="IG813" s="1265"/>
      <c r="IH813" s="1265"/>
      <c r="II813" s="1265"/>
      <c r="IJ813" s="1265"/>
      <c r="IK813" s="1265"/>
      <c r="IL813" s="1265"/>
      <c r="IM813" s="1265"/>
      <c r="IN813" s="1265"/>
      <c r="IO813" s="1265"/>
      <c r="IP813" s="1265"/>
      <c r="IQ813" s="1265"/>
      <c r="IR813" s="1265"/>
      <c r="IS813" s="1265"/>
      <c r="IT813" s="1265"/>
      <c r="IU813" s="1265"/>
      <c r="IV813" s="1265"/>
      <c r="IW813" s="1265"/>
      <c r="IX813" s="1265"/>
      <c r="IY813" s="1265"/>
      <c r="IZ813" s="1265"/>
      <c r="JA813" s="1265"/>
      <c r="JB813" s="1265"/>
      <c r="JC813" s="1265"/>
      <c r="JD813" s="1265"/>
      <c r="JE813" s="1265"/>
      <c r="JF813" s="1265"/>
      <c r="JG813" s="1265"/>
      <c r="JH813" s="1265"/>
      <c r="JI813" s="1265"/>
      <c r="JJ813" s="1265"/>
      <c r="JK813" s="1265"/>
      <c r="JL813" s="1265"/>
      <c r="JM813" s="1265"/>
      <c r="JN813" s="1265"/>
      <c r="JO813" s="1265"/>
      <c r="JP813" s="1265"/>
      <c r="JQ813" s="1265"/>
      <c r="JR813" s="1265"/>
      <c r="JS813" s="1265"/>
      <c r="JT813" s="1265"/>
      <c r="JU813" s="1265"/>
      <c r="JV813" s="1265"/>
      <c r="JW813" s="1265"/>
      <c r="JX813" s="1265"/>
      <c r="JY813" s="1265"/>
      <c r="JZ813" s="1265"/>
      <c r="KA813" s="1265"/>
      <c r="KB813" s="1265"/>
      <c r="KC813" s="1265"/>
      <c r="KD813" s="1265"/>
      <c r="KE813" s="1265"/>
      <c r="KF813" s="1265"/>
      <c r="KG813" s="1265"/>
      <c r="KH813" s="1265"/>
      <c r="KI813" s="1265"/>
      <c r="KJ813" s="1265"/>
      <c r="KK813" s="1265"/>
      <c r="KL813" s="1265"/>
      <c r="KM813" s="1265"/>
      <c r="KN813" s="1265"/>
      <c r="KO813" s="1265"/>
      <c r="KP813" s="1265"/>
      <c r="KQ813" s="1265"/>
      <c r="KR813" s="1265"/>
      <c r="KS813" s="1265"/>
      <c r="KT813" s="1265"/>
      <c r="KU813" s="1265"/>
      <c r="KV813" s="1265"/>
      <c r="KW813" s="1265"/>
      <c r="KX813" s="1265"/>
      <c r="KY813" s="1265"/>
      <c r="KZ813" s="1265"/>
      <c r="LA813" s="1265"/>
      <c r="LB813" s="1265"/>
      <c r="LC813" s="1265"/>
      <c r="LD813" s="1265"/>
      <c r="LE813" s="1265"/>
      <c r="LF813" s="1265"/>
      <c r="LG813" s="1265"/>
      <c r="LH813" s="1265"/>
      <c r="LI813" s="1265"/>
      <c r="LJ813" s="1265"/>
      <c r="LK813" s="1265"/>
      <c r="LL813" s="1265"/>
      <c r="LM813" s="1265"/>
      <c r="LN813" s="1265"/>
      <c r="LO813" s="1265"/>
      <c r="LP813" s="1265"/>
      <c r="LQ813" s="1265"/>
      <c r="LR813" s="1265"/>
      <c r="LS813" s="1265"/>
      <c r="LT813" s="1265"/>
      <c r="LU813" s="1265"/>
      <c r="LV813" s="1265"/>
      <c r="LW813" s="1265"/>
      <c r="LX813" s="1265"/>
      <c r="LY813" s="1265"/>
      <c r="LZ813" s="1265"/>
      <c r="MA813" s="1265"/>
      <c r="MB813" s="1265"/>
      <c r="MC813" s="1265"/>
      <c r="MD813" s="1265"/>
      <c r="ME813" s="1265"/>
      <c r="MF813" s="1265"/>
      <c r="MG813" s="1265"/>
      <c r="MH813" s="1265"/>
      <c r="MI813" s="1265"/>
      <c r="MJ813" s="1265"/>
      <c r="MK813" s="1265"/>
      <c r="ML813" s="1265"/>
      <c r="MM813" s="1265"/>
      <c r="MN813" s="1265"/>
      <c r="MO813" s="1265"/>
      <c r="MP813" s="1265"/>
      <c r="MQ813" s="1265"/>
      <c r="MR813" s="1265"/>
      <c r="MS813" s="1265"/>
      <c r="MT813" s="1265"/>
      <c r="MU813" s="1265"/>
      <c r="MV813" s="1265"/>
      <c r="MW813" s="1265"/>
      <c r="MX813" s="1265"/>
      <c r="MY813" s="1265"/>
      <c r="MZ813" s="1265"/>
      <c r="NA813" s="1265"/>
      <c r="NB813" s="1265"/>
      <c r="NC813" s="1265"/>
      <c r="ND813" s="1265"/>
      <c r="NE813" s="1265"/>
      <c r="NF813" s="1265"/>
      <c r="NG813" s="1265"/>
      <c r="NH813" s="1265"/>
      <c r="NI813" s="1265"/>
      <c r="NJ813" s="1265"/>
      <c r="NK813" s="1265"/>
      <c r="NL813" s="1265"/>
      <c r="NM813" s="1265"/>
      <c r="NN813" s="1265"/>
      <c r="NO813" s="1265"/>
      <c r="NP813" s="1265"/>
      <c r="NQ813" s="1265"/>
      <c r="NR813" s="1265"/>
      <c r="NS813" s="1265"/>
      <c r="NT813" s="1265"/>
      <c r="NU813" s="1265"/>
      <c r="NV813" s="1265"/>
      <c r="NW813" s="1265"/>
      <c r="NX813" s="1265"/>
      <c r="NY813" s="1265"/>
      <c r="NZ813" s="1265"/>
      <c r="OA813" s="1265"/>
      <c r="OB813" s="1265"/>
      <c r="OC813" s="1265"/>
      <c r="OD813" s="1265"/>
      <c r="OE813" s="1265"/>
      <c r="OF813" s="1265"/>
      <c r="OG813" s="1265"/>
      <c r="OH813" s="1265"/>
      <c r="OI813" s="1265"/>
      <c r="OJ813" s="1265"/>
      <c r="OK813" s="1265"/>
      <c r="OL813" s="1265"/>
      <c r="OM813" s="1265"/>
      <c r="ON813" s="1265"/>
      <c r="OO813" s="1265"/>
      <c r="OP813" s="1265"/>
      <c r="OQ813" s="1265"/>
      <c r="OR813" s="1265"/>
      <c r="OS813" s="1265"/>
      <c r="OT813" s="1265"/>
      <c r="OU813" s="1265"/>
      <c r="OV813" s="1265"/>
      <c r="OW813" s="1265"/>
      <c r="OX813" s="1265"/>
      <c r="OY813" s="1265"/>
      <c r="OZ813" s="1265"/>
      <c r="PA813" s="1265"/>
      <c r="PB813" s="1265"/>
      <c r="PC813" s="1265"/>
      <c r="PD813" s="1265"/>
      <c r="PE813" s="1265"/>
      <c r="PF813" s="1265"/>
      <c r="PG813" s="1265"/>
      <c r="PH813" s="1265"/>
      <c r="PI813" s="1265"/>
      <c r="PJ813" s="1265"/>
      <c r="PK813" s="1265"/>
      <c r="PL813" s="1265"/>
      <c r="PM813" s="1265"/>
      <c r="PN813" s="1265"/>
      <c r="PO813" s="1265"/>
      <c r="PP813" s="1265"/>
      <c r="PQ813" s="1265"/>
      <c r="PR813" s="1265"/>
      <c r="PS813" s="1265"/>
      <c r="PT813" s="1265"/>
      <c r="PU813" s="1265"/>
      <c r="PV813" s="1265"/>
      <c r="PW813" s="1265"/>
      <c r="PX813" s="1265"/>
      <c r="PY813" s="1265"/>
      <c r="PZ813" s="1265"/>
      <c r="QA813" s="1265"/>
      <c r="QB813" s="1265"/>
      <c r="QC813" s="1265"/>
      <c r="QD813" s="1265"/>
      <c r="QE813" s="1265"/>
      <c r="QF813" s="1265"/>
      <c r="QG813" s="1265"/>
      <c r="QH813" s="1265"/>
      <c r="QI813" s="1265"/>
      <c r="QJ813" s="1265"/>
      <c r="QK813" s="1265"/>
      <c r="QL813" s="1265"/>
      <c r="QM813" s="1265"/>
      <c r="QN813" s="1265"/>
      <c r="QO813" s="1265"/>
      <c r="QP813" s="1265"/>
      <c r="QQ813" s="1265"/>
      <c r="QR813" s="1265"/>
      <c r="QS813" s="1265"/>
      <c r="QT813" s="1265"/>
      <c r="QU813" s="1265"/>
      <c r="QV813" s="1265"/>
      <c r="QW813" s="1265"/>
      <c r="QX813" s="1265"/>
      <c r="QY813" s="1265"/>
      <c r="QZ813" s="1265"/>
      <c r="RA813" s="1265"/>
      <c r="RB813" s="1265"/>
      <c r="RC813" s="1265"/>
      <c r="RD813" s="1265"/>
      <c r="RE813" s="1265"/>
      <c r="RF813" s="1265"/>
      <c r="RG813" s="1265"/>
      <c r="RH813" s="1265"/>
      <c r="RI813" s="1265"/>
      <c r="RJ813" s="1265"/>
      <c r="RK813" s="1265"/>
      <c r="RL813" s="1265"/>
      <c r="RM813" s="1265"/>
      <c r="RN813" s="1265"/>
      <c r="RO813" s="1265"/>
      <c r="RP813" s="1265"/>
      <c r="RQ813" s="1265"/>
      <c r="RR813" s="1265"/>
      <c r="RS813" s="1265"/>
      <c r="RT813" s="1265"/>
      <c r="RU813" s="1265"/>
      <c r="RV813" s="1265"/>
      <c r="RW813" s="1265"/>
      <c r="RX813" s="1265"/>
      <c r="RY813" s="1265"/>
      <c r="RZ813" s="1265"/>
      <c r="SA813" s="1265"/>
      <c r="SB813" s="1265"/>
      <c r="SC813" s="1265"/>
      <c r="SD813" s="1265"/>
      <c r="SE813" s="1265"/>
      <c r="SF813" s="1265"/>
      <c r="SG813" s="1265"/>
      <c r="SH813" s="1265"/>
      <c r="SI813" s="1265"/>
      <c r="SJ813" s="1265"/>
      <c r="SK813" s="1265"/>
      <c r="SL813" s="1265"/>
      <c r="SM813" s="1265"/>
      <c r="SN813" s="1265"/>
      <c r="SO813" s="1265"/>
      <c r="SP813" s="1265"/>
      <c r="SQ813" s="1265"/>
      <c r="SR813" s="1265"/>
      <c r="SS813" s="1265"/>
      <c r="ST813" s="1265"/>
      <c r="SU813" s="1265"/>
      <c r="SV813" s="1265"/>
      <c r="SW813" s="1265"/>
      <c r="SX813" s="1265"/>
      <c r="SY813" s="1265"/>
      <c r="SZ813" s="1265"/>
      <c r="TA813" s="1265"/>
      <c r="TB813" s="1265"/>
      <c r="TC813" s="1265"/>
      <c r="TD813" s="1265"/>
      <c r="TE813" s="1265"/>
      <c r="TF813" s="1265"/>
      <c r="TG813" s="1265"/>
      <c r="TH813" s="1265"/>
      <c r="TI813" s="1265"/>
      <c r="TJ813" s="1265"/>
      <c r="TK813" s="1265"/>
      <c r="TL813" s="1265"/>
      <c r="TM813" s="1265"/>
      <c r="TN813" s="1265"/>
      <c r="TO813" s="1265"/>
      <c r="TP813" s="1265"/>
      <c r="TQ813" s="1265"/>
      <c r="TR813" s="1265"/>
      <c r="TS813" s="1265"/>
      <c r="TT813" s="1265"/>
      <c r="TU813" s="1265"/>
      <c r="TV813" s="1265"/>
      <c r="TW813" s="1265"/>
      <c r="TX813" s="1265"/>
      <c r="TY813" s="1265"/>
      <c r="TZ813" s="1265"/>
      <c r="UA813" s="1265"/>
      <c r="UB813" s="1265"/>
      <c r="UC813" s="1265"/>
      <c r="UD813" s="1265"/>
      <c r="UE813" s="1265"/>
      <c r="UF813" s="1265"/>
      <c r="UG813" s="1266"/>
    </row>
    <row r="814" spans="1:553" s="1262" customFormat="1" ht="30.75" customHeight="1">
      <c r="A814" s="661"/>
      <c r="B814" s="661"/>
      <c r="C814" s="1412" t="s">
        <v>1164</v>
      </c>
      <c r="D814" s="1412" t="s">
        <v>1165</v>
      </c>
      <c r="E814" s="1412" t="s">
        <v>1165</v>
      </c>
      <c r="F814" s="1412" t="s">
        <v>1165</v>
      </c>
      <c r="G814" s="530" t="s">
        <v>196</v>
      </c>
      <c r="H814" s="662"/>
      <c r="I814" s="529">
        <f>(161.02*100/400)*(12-(6-3))*1</f>
        <v>362.29500000000002</v>
      </c>
      <c r="J814" s="1248">
        <v>10600</v>
      </c>
      <c r="K814" s="563">
        <v>0.7</v>
      </c>
      <c r="L814" s="562">
        <f>ROUND(PRODUCT(I814:K814),0)</f>
        <v>2688229</v>
      </c>
      <c r="M814" s="356"/>
      <c r="N814" s="356"/>
      <c r="O814" s="356"/>
      <c r="P814" s="356"/>
      <c r="Q814" s="610"/>
      <c r="R814" s="1228"/>
      <c r="S814" s="308"/>
      <c r="T814" s="308"/>
      <c r="U814" s="308"/>
      <c r="V814" s="308"/>
      <c r="W814" s="308"/>
      <c r="X814" s="308"/>
      <c r="Y814" s="308"/>
      <c r="Z814" s="604"/>
      <c r="AA814" s="308"/>
      <c r="AB814" s="308"/>
      <c r="AC814" s="454"/>
      <c r="AD814" s="454"/>
      <c r="AE814" s="454"/>
      <c r="AF814" s="454"/>
      <c r="AG814" s="454"/>
      <c r="AH814" s="454"/>
      <c r="AI814" s="454"/>
      <c r="AJ814" s="454"/>
      <c r="AK814" s="455"/>
      <c r="AL814" s="1263"/>
      <c r="AM814" s="1263"/>
      <c r="AN814" s="1263"/>
      <c r="AO814" s="1263"/>
      <c r="AP814" s="1263"/>
      <c r="AQ814" s="1263"/>
      <c r="AR814" s="1263"/>
      <c r="AS814" s="1264"/>
      <c r="AT814" s="1264"/>
      <c r="AU814" s="1264"/>
      <c r="AV814" s="1264"/>
      <c r="AW814" s="1264"/>
      <c r="AX814" s="1264"/>
      <c r="AY814" s="1264"/>
      <c r="AZ814" s="1264"/>
      <c r="BA814" s="1264"/>
      <c r="BB814" s="1264"/>
      <c r="BC814" s="1264"/>
      <c r="BD814" s="1264"/>
      <c r="BE814" s="1264"/>
      <c r="BF814" s="1264"/>
      <c r="BG814" s="1264"/>
      <c r="BH814" s="1264"/>
      <c r="BI814" s="1264"/>
      <c r="BJ814" s="1264"/>
      <c r="BK814" s="1264"/>
      <c r="BL814" s="1264"/>
      <c r="BM814" s="1264"/>
      <c r="BN814" s="1264"/>
      <c r="BO814" s="1264"/>
      <c r="BP814" s="1265"/>
      <c r="BQ814" s="1265"/>
      <c r="BR814" s="1265"/>
      <c r="BS814" s="1265"/>
      <c r="BT814" s="1265"/>
      <c r="BU814" s="1265"/>
      <c r="BV814" s="1265"/>
      <c r="BW814" s="1265"/>
      <c r="BX814" s="1265"/>
      <c r="BY814" s="1265"/>
      <c r="BZ814" s="1265"/>
      <c r="CA814" s="1265"/>
      <c r="CB814" s="1265"/>
      <c r="CC814" s="1265"/>
      <c r="CD814" s="1265"/>
      <c r="CE814" s="1265"/>
      <c r="CF814" s="1265"/>
      <c r="CG814" s="1265"/>
      <c r="CH814" s="1265"/>
      <c r="CI814" s="1265"/>
      <c r="CJ814" s="1265"/>
      <c r="CK814" s="1265"/>
      <c r="CL814" s="1265"/>
      <c r="CM814" s="1265"/>
      <c r="CN814" s="1265"/>
      <c r="CO814" s="1265"/>
      <c r="CP814" s="1265"/>
      <c r="CQ814" s="1265"/>
      <c r="CR814" s="1265"/>
      <c r="CS814" s="1265"/>
      <c r="CT814" s="1265"/>
      <c r="CU814" s="1265"/>
      <c r="CV814" s="1265"/>
      <c r="CW814" s="1265"/>
      <c r="CX814" s="1265"/>
      <c r="CY814" s="1265"/>
      <c r="CZ814" s="1265"/>
      <c r="DA814" s="1265"/>
      <c r="DB814" s="1265"/>
      <c r="DC814" s="1265"/>
      <c r="DD814" s="1265"/>
      <c r="DE814" s="1265"/>
      <c r="DF814" s="1265"/>
      <c r="DG814" s="1265"/>
      <c r="DH814" s="1265"/>
      <c r="DI814" s="1265"/>
      <c r="DJ814" s="1265"/>
      <c r="DK814" s="1265"/>
      <c r="DL814" s="1265"/>
      <c r="DM814" s="1265"/>
      <c r="DN814" s="1265"/>
      <c r="DO814" s="1265"/>
      <c r="DP814" s="1265"/>
      <c r="DQ814" s="1265"/>
      <c r="DR814" s="1265"/>
      <c r="DS814" s="1265"/>
      <c r="DT814" s="1265"/>
      <c r="DU814" s="1265"/>
      <c r="DV814" s="1265"/>
      <c r="DW814" s="1265"/>
      <c r="DX814" s="1265"/>
      <c r="DY814" s="1265"/>
      <c r="DZ814" s="1265"/>
      <c r="EA814" s="1265"/>
      <c r="EB814" s="1265"/>
      <c r="EC814" s="1265"/>
      <c r="ED814" s="1265"/>
      <c r="EE814" s="1265"/>
      <c r="EF814" s="1265"/>
      <c r="EG814" s="1265"/>
      <c r="EH814" s="1265"/>
      <c r="EI814" s="1265"/>
      <c r="EJ814" s="1265"/>
      <c r="EK814" s="1265"/>
      <c r="EL814" s="1265"/>
      <c r="EM814" s="1265"/>
      <c r="EN814" s="1265"/>
      <c r="EO814" s="1265"/>
      <c r="EP814" s="1265"/>
      <c r="EQ814" s="1265"/>
      <c r="ER814" s="1265"/>
      <c r="ES814" s="1265"/>
      <c r="ET814" s="1265"/>
      <c r="EU814" s="1265"/>
      <c r="EV814" s="1265"/>
      <c r="EW814" s="1265"/>
      <c r="EX814" s="1265"/>
      <c r="EY814" s="1265"/>
      <c r="EZ814" s="1265"/>
      <c r="FA814" s="1265"/>
      <c r="FB814" s="1265"/>
      <c r="FC814" s="1265"/>
      <c r="FD814" s="1265"/>
      <c r="FE814" s="1265"/>
      <c r="FF814" s="1265"/>
      <c r="FG814" s="1265"/>
      <c r="FH814" s="1265"/>
      <c r="FI814" s="1265"/>
      <c r="FJ814" s="1265"/>
      <c r="FK814" s="1265"/>
      <c r="FL814" s="1265"/>
      <c r="FM814" s="1265"/>
      <c r="FN814" s="1265"/>
      <c r="FO814" s="1265"/>
      <c r="FP814" s="1265"/>
      <c r="FQ814" s="1265"/>
      <c r="FR814" s="1265"/>
      <c r="FS814" s="1265"/>
      <c r="FT814" s="1265"/>
      <c r="FU814" s="1265"/>
      <c r="FV814" s="1265"/>
      <c r="FW814" s="1265"/>
      <c r="FX814" s="1265"/>
      <c r="FY814" s="1265"/>
      <c r="FZ814" s="1265"/>
      <c r="GA814" s="1265"/>
      <c r="GB814" s="1265"/>
      <c r="GC814" s="1265"/>
      <c r="GD814" s="1265"/>
      <c r="GE814" s="1265"/>
      <c r="GF814" s="1265"/>
      <c r="GG814" s="1265"/>
      <c r="GH814" s="1265"/>
      <c r="GI814" s="1265"/>
      <c r="GJ814" s="1265"/>
      <c r="GK814" s="1265"/>
      <c r="GL814" s="1265"/>
      <c r="GM814" s="1265"/>
      <c r="GN814" s="1265"/>
      <c r="GO814" s="1265"/>
      <c r="GP814" s="1265"/>
      <c r="GQ814" s="1265"/>
      <c r="GR814" s="1265"/>
      <c r="GS814" s="1265"/>
      <c r="GT814" s="1265"/>
      <c r="GU814" s="1265"/>
      <c r="GV814" s="1265"/>
      <c r="GW814" s="1265"/>
      <c r="GX814" s="1265"/>
      <c r="GY814" s="1265"/>
      <c r="GZ814" s="1265"/>
      <c r="HA814" s="1265"/>
      <c r="HB814" s="1265"/>
      <c r="HC814" s="1265"/>
      <c r="HD814" s="1265"/>
      <c r="HE814" s="1265"/>
      <c r="HF814" s="1265"/>
      <c r="HG814" s="1265"/>
      <c r="HH814" s="1265"/>
      <c r="HI814" s="1265"/>
      <c r="HJ814" s="1265"/>
      <c r="HK814" s="1265"/>
      <c r="HL814" s="1265"/>
      <c r="HM814" s="1265"/>
      <c r="HN814" s="1265"/>
      <c r="HO814" s="1265"/>
      <c r="HP814" s="1265"/>
      <c r="HQ814" s="1265"/>
      <c r="HR814" s="1265"/>
      <c r="HS814" s="1265"/>
      <c r="HT814" s="1265"/>
      <c r="HU814" s="1265"/>
      <c r="HV814" s="1265"/>
      <c r="HW814" s="1265"/>
      <c r="HX814" s="1265"/>
      <c r="HY814" s="1265"/>
      <c r="HZ814" s="1265"/>
      <c r="IA814" s="1265"/>
      <c r="IB814" s="1265"/>
      <c r="IC814" s="1265"/>
      <c r="ID814" s="1265"/>
      <c r="IE814" s="1265"/>
      <c r="IF814" s="1265"/>
      <c r="IG814" s="1265"/>
      <c r="IH814" s="1265"/>
      <c r="II814" s="1265"/>
      <c r="IJ814" s="1265"/>
      <c r="IK814" s="1265"/>
      <c r="IL814" s="1265"/>
      <c r="IM814" s="1265"/>
      <c r="IN814" s="1265"/>
      <c r="IO814" s="1265"/>
      <c r="IP814" s="1265"/>
      <c r="IQ814" s="1265"/>
      <c r="IR814" s="1265"/>
      <c r="IS814" s="1265"/>
      <c r="IT814" s="1265"/>
      <c r="IU814" s="1265"/>
      <c r="IV814" s="1265"/>
      <c r="IW814" s="1265"/>
      <c r="IX814" s="1265"/>
      <c r="IY814" s="1265"/>
      <c r="IZ814" s="1265"/>
      <c r="JA814" s="1265"/>
      <c r="JB814" s="1265"/>
      <c r="JC814" s="1265"/>
      <c r="JD814" s="1265"/>
      <c r="JE814" s="1265"/>
      <c r="JF814" s="1265"/>
      <c r="JG814" s="1265"/>
      <c r="JH814" s="1265"/>
      <c r="JI814" s="1265"/>
      <c r="JJ814" s="1265"/>
      <c r="JK814" s="1265"/>
      <c r="JL814" s="1265"/>
      <c r="JM814" s="1265"/>
      <c r="JN814" s="1265"/>
      <c r="JO814" s="1265"/>
      <c r="JP814" s="1265"/>
      <c r="JQ814" s="1265"/>
      <c r="JR814" s="1265"/>
      <c r="JS814" s="1265"/>
      <c r="JT814" s="1265"/>
      <c r="JU814" s="1265"/>
      <c r="JV814" s="1265"/>
      <c r="JW814" s="1265"/>
      <c r="JX814" s="1265"/>
      <c r="JY814" s="1265"/>
      <c r="JZ814" s="1265"/>
      <c r="KA814" s="1265"/>
      <c r="KB814" s="1265"/>
      <c r="KC814" s="1265"/>
      <c r="KD814" s="1265"/>
      <c r="KE814" s="1265"/>
      <c r="KF814" s="1265"/>
      <c r="KG814" s="1265"/>
      <c r="KH814" s="1265"/>
      <c r="KI814" s="1265"/>
      <c r="KJ814" s="1265"/>
      <c r="KK814" s="1265"/>
      <c r="KL814" s="1265"/>
      <c r="KM814" s="1265"/>
      <c r="KN814" s="1265"/>
      <c r="KO814" s="1265"/>
      <c r="KP814" s="1265"/>
      <c r="KQ814" s="1265"/>
      <c r="KR814" s="1265"/>
      <c r="KS814" s="1265"/>
      <c r="KT814" s="1265"/>
      <c r="KU814" s="1265"/>
      <c r="KV814" s="1265"/>
      <c r="KW814" s="1265"/>
      <c r="KX814" s="1265"/>
      <c r="KY814" s="1265"/>
      <c r="KZ814" s="1265"/>
      <c r="LA814" s="1265"/>
      <c r="LB814" s="1265"/>
      <c r="LC814" s="1265"/>
      <c r="LD814" s="1265"/>
      <c r="LE814" s="1265"/>
      <c r="LF814" s="1265"/>
      <c r="LG814" s="1265"/>
      <c r="LH814" s="1265"/>
      <c r="LI814" s="1265"/>
      <c r="LJ814" s="1265"/>
      <c r="LK814" s="1265"/>
      <c r="LL814" s="1265"/>
      <c r="LM814" s="1265"/>
      <c r="LN814" s="1265"/>
      <c r="LO814" s="1265"/>
      <c r="LP814" s="1265"/>
      <c r="LQ814" s="1265"/>
      <c r="LR814" s="1265"/>
      <c r="LS814" s="1265"/>
      <c r="LT814" s="1265"/>
      <c r="LU814" s="1265"/>
      <c r="LV814" s="1265"/>
      <c r="LW814" s="1265"/>
      <c r="LX814" s="1265"/>
      <c r="LY814" s="1265"/>
      <c r="LZ814" s="1265"/>
      <c r="MA814" s="1265"/>
      <c r="MB814" s="1265"/>
      <c r="MC814" s="1265"/>
      <c r="MD814" s="1265"/>
      <c r="ME814" s="1265"/>
      <c r="MF814" s="1265"/>
      <c r="MG814" s="1265"/>
      <c r="MH814" s="1265"/>
      <c r="MI814" s="1265"/>
      <c r="MJ814" s="1265"/>
      <c r="MK814" s="1265"/>
      <c r="ML814" s="1265"/>
      <c r="MM814" s="1265"/>
      <c r="MN814" s="1265"/>
      <c r="MO814" s="1265"/>
      <c r="MP814" s="1265"/>
      <c r="MQ814" s="1265"/>
      <c r="MR814" s="1265"/>
      <c r="MS814" s="1265"/>
      <c r="MT814" s="1265"/>
      <c r="MU814" s="1265"/>
      <c r="MV814" s="1265"/>
      <c r="MW814" s="1265"/>
      <c r="MX814" s="1265"/>
      <c r="MY814" s="1265"/>
      <c r="MZ814" s="1265"/>
      <c r="NA814" s="1265"/>
      <c r="NB814" s="1265"/>
      <c r="NC814" s="1265"/>
      <c r="ND814" s="1265"/>
      <c r="NE814" s="1265"/>
      <c r="NF814" s="1265"/>
      <c r="NG814" s="1265"/>
      <c r="NH814" s="1265"/>
      <c r="NI814" s="1265"/>
      <c r="NJ814" s="1265"/>
      <c r="NK814" s="1265"/>
      <c r="NL814" s="1265"/>
      <c r="NM814" s="1265"/>
      <c r="NN814" s="1265"/>
      <c r="NO814" s="1265"/>
      <c r="NP814" s="1265"/>
      <c r="NQ814" s="1265"/>
      <c r="NR814" s="1265"/>
      <c r="NS814" s="1265"/>
      <c r="NT814" s="1265"/>
      <c r="NU814" s="1265"/>
      <c r="NV814" s="1265"/>
      <c r="NW814" s="1265"/>
      <c r="NX814" s="1265"/>
      <c r="NY814" s="1265"/>
      <c r="NZ814" s="1265"/>
      <c r="OA814" s="1265"/>
      <c r="OB814" s="1265"/>
      <c r="OC814" s="1265"/>
      <c r="OD814" s="1265"/>
      <c r="OE814" s="1265"/>
      <c r="OF814" s="1265"/>
      <c r="OG814" s="1265"/>
      <c r="OH814" s="1265"/>
      <c r="OI814" s="1265"/>
      <c r="OJ814" s="1265"/>
      <c r="OK814" s="1265"/>
      <c r="OL814" s="1265"/>
      <c r="OM814" s="1265"/>
      <c r="ON814" s="1265"/>
      <c r="OO814" s="1265"/>
      <c r="OP814" s="1265"/>
      <c r="OQ814" s="1265"/>
      <c r="OR814" s="1265"/>
      <c r="OS814" s="1265"/>
      <c r="OT814" s="1265"/>
      <c r="OU814" s="1265"/>
      <c r="OV814" s="1265"/>
      <c r="OW814" s="1265"/>
      <c r="OX814" s="1265"/>
      <c r="OY814" s="1265"/>
      <c r="OZ814" s="1265"/>
      <c r="PA814" s="1265"/>
      <c r="PB814" s="1265"/>
      <c r="PC814" s="1265"/>
      <c r="PD814" s="1265"/>
      <c r="PE814" s="1265"/>
      <c r="PF814" s="1265"/>
      <c r="PG814" s="1265"/>
      <c r="PH814" s="1265"/>
      <c r="PI814" s="1265"/>
      <c r="PJ814" s="1265"/>
      <c r="PK814" s="1265"/>
      <c r="PL814" s="1265"/>
      <c r="PM814" s="1265"/>
      <c r="PN814" s="1265"/>
      <c r="PO814" s="1265"/>
      <c r="PP814" s="1265"/>
      <c r="PQ814" s="1265"/>
      <c r="PR814" s="1265"/>
      <c r="PS814" s="1265"/>
      <c r="PT814" s="1265"/>
      <c r="PU814" s="1265"/>
      <c r="PV814" s="1265"/>
      <c r="PW814" s="1265"/>
      <c r="PX814" s="1265"/>
      <c r="PY814" s="1265"/>
      <c r="PZ814" s="1265"/>
      <c r="QA814" s="1265"/>
      <c r="QB814" s="1265"/>
      <c r="QC814" s="1265"/>
      <c r="QD814" s="1265"/>
      <c r="QE814" s="1265"/>
      <c r="QF814" s="1265"/>
      <c r="QG814" s="1265"/>
      <c r="QH814" s="1265"/>
      <c r="QI814" s="1265"/>
      <c r="QJ814" s="1265"/>
      <c r="QK814" s="1265"/>
      <c r="QL814" s="1265"/>
      <c r="QM814" s="1265"/>
      <c r="QN814" s="1265"/>
      <c r="QO814" s="1265"/>
      <c r="QP814" s="1265"/>
      <c r="QQ814" s="1265"/>
      <c r="QR814" s="1265"/>
      <c r="QS814" s="1265"/>
      <c r="QT814" s="1265"/>
      <c r="QU814" s="1265"/>
      <c r="QV814" s="1265"/>
      <c r="QW814" s="1265"/>
      <c r="QX814" s="1265"/>
      <c r="QY814" s="1265"/>
      <c r="QZ814" s="1265"/>
      <c r="RA814" s="1265"/>
      <c r="RB814" s="1265"/>
      <c r="RC814" s="1265"/>
      <c r="RD814" s="1265"/>
      <c r="RE814" s="1265"/>
      <c r="RF814" s="1265"/>
      <c r="RG814" s="1265"/>
      <c r="RH814" s="1265"/>
      <c r="RI814" s="1265"/>
      <c r="RJ814" s="1265"/>
      <c r="RK814" s="1265"/>
      <c r="RL814" s="1265"/>
      <c r="RM814" s="1265"/>
      <c r="RN814" s="1265"/>
      <c r="RO814" s="1265"/>
      <c r="RP814" s="1265"/>
      <c r="RQ814" s="1265"/>
      <c r="RR814" s="1265"/>
      <c r="RS814" s="1265"/>
      <c r="RT814" s="1265"/>
      <c r="RU814" s="1265"/>
      <c r="RV814" s="1265"/>
      <c r="RW814" s="1265"/>
      <c r="RX814" s="1265"/>
      <c r="RY814" s="1265"/>
      <c r="RZ814" s="1265"/>
      <c r="SA814" s="1265"/>
      <c r="SB814" s="1265"/>
      <c r="SC814" s="1265"/>
      <c r="SD814" s="1265"/>
      <c r="SE814" s="1265"/>
      <c r="SF814" s="1265"/>
      <c r="SG814" s="1265"/>
      <c r="SH814" s="1265"/>
      <c r="SI814" s="1265"/>
      <c r="SJ814" s="1265"/>
      <c r="SK814" s="1265"/>
      <c r="SL814" s="1265"/>
      <c r="SM814" s="1265"/>
      <c r="SN814" s="1265"/>
      <c r="SO814" s="1265"/>
      <c r="SP814" s="1265"/>
      <c r="SQ814" s="1265"/>
      <c r="SR814" s="1265"/>
      <c r="SS814" s="1265"/>
      <c r="ST814" s="1265"/>
      <c r="SU814" s="1265"/>
      <c r="SV814" s="1265"/>
      <c r="SW814" s="1265"/>
      <c r="SX814" s="1265"/>
      <c r="SY814" s="1265"/>
      <c r="SZ814" s="1265"/>
      <c r="TA814" s="1265"/>
      <c r="TB814" s="1265"/>
      <c r="TC814" s="1265"/>
      <c r="TD814" s="1265"/>
      <c r="TE814" s="1265"/>
      <c r="TF814" s="1265"/>
      <c r="TG814" s="1265"/>
      <c r="TH814" s="1265"/>
      <c r="TI814" s="1265"/>
      <c r="TJ814" s="1265"/>
      <c r="TK814" s="1265"/>
      <c r="TL814" s="1265"/>
      <c r="TM814" s="1265"/>
      <c r="TN814" s="1265"/>
      <c r="TO814" s="1265"/>
      <c r="TP814" s="1265"/>
      <c r="TQ814" s="1265"/>
      <c r="TR814" s="1265"/>
      <c r="TS814" s="1265"/>
      <c r="TT814" s="1265"/>
      <c r="TU814" s="1265"/>
      <c r="TV814" s="1265"/>
      <c r="TW814" s="1265"/>
      <c r="TX814" s="1265"/>
      <c r="TY814" s="1265"/>
      <c r="TZ814" s="1265"/>
      <c r="UA814" s="1265"/>
      <c r="UB814" s="1265"/>
      <c r="UC814" s="1265"/>
      <c r="UD814" s="1265"/>
      <c r="UE814" s="1265"/>
      <c r="UF814" s="1265"/>
      <c r="UG814" s="1266"/>
    </row>
    <row r="815" spans="1:553" s="1262" customFormat="1" ht="30.75" customHeight="1">
      <c r="A815" s="653"/>
      <c r="B815" s="653"/>
      <c r="C815" s="1439" t="s">
        <v>593</v>
      </c>
      <c r="D815" s="1440" t="s">
        <v>1166</v>
      </c>
      <c r="E815" s="1440" t="s">
        <v>1166</v>
      </c>
      <c r="F815" s="1441" t="s">
        <v>1166</v>
      </c>
      <c r="G815" s="416" t="s">
        <v>48</v>
      </c>
      <c r="H815" s="654"/>
      <c r="I815" s="504">
        <v>4</v>
      </c>
      <c r="J815" s="512">
        <v>202900</v>
      </c>
      <c r="K815" s="513">
        <v>0.7</v>
      </c>
      <c r="L815" s="1195">
        <f>I815*J815*K815</f>
        <v>568120</v>
      </c>
      <c r="M815" s="356"/>
      <c r="N815" s="356"/>
      <c r="O815" s="356"/>
      <c r="P815" s="356"/>
      <c r="Q815" s="610"/>
      <c r="R815" s="1228"/>
      <c r="S815" s="308"/>
      <c r="T815" s="308"/>
      <c r="U815" s="308"/>
      <c r="V815" s="308"/>
      <c r="W815" s="308"/>
      <c r="X815" s="308"/>
      <c r="Y815" s="308"/>
      <c r="Z815" s="604"/>
      <c r="AA815" s="308"/>
      <c r="AB815" s="308"/>
      <c r="AC815" s="454"/>
      <c r="AD815" s="454"/>
      <c r="AE815" s="454"/>
      <c r="AF815" s="454"/>
      <c r="AG815" s="454"/>
      <c r="AH815" s="454"/>
      <c r="AI815" s="454"/>
      <c r="AJ815" s="454"/>
      <c r="AK815" s="455"/>
      <c r="AL815" s="1263"/>
      <c r="AM815" s="1263"/>
      <c r="AN815" s="1263"/>
      <c r="AO815" s="1263"/>
      <c r="AP815" s="1263"/>
      <c r="AQ815" s="1263"/>
      <c r="AR815" s="1263"/>
      <c r="AS815" s="1264"/>
      <c r="AT815" s="1264"/>
      <c r="AU815" s="1264"/>
      <c r="AV815" s="1264"/>
      <c r="AW815" s="1264"/>
      <c r="AX815" s="1264"/>
      <c r="AY815" s="1264"/>
      <c r="AZ815" s="1264"/>
      <c r="BA815" s="1264"/>
      <c r="BB815" s="1264"/>
      <c r="BC815" s="1264"/>
      <c r="BD815" s="1264"/>
      <c r="BE815" s="1264"/>
      <c r="BF815" s="1264"/>
      <c r="BG815" s="1264"/>
      <c r="BH815" s="1264"/>
      <c r="BI815" s="1264"/>
      <c r="BJ815" s="1264"/>
      <c r="BK815" s="1264"/>
      <c r="BL815" s="1264"/>
      <c r="BM815" s="1264"/>
      <c r="BN815" s="1264"/>
      <c r="BO815" s="1264"/>
      <c r="BP815" s="1265"/>
      <c r="BQ815" s="1265"/>
      <c r="BR815" s="1265"/>
      <c r="BS815" s="1265"/>
      <c r="BT815" s="1265"/>
      <c r="BU815" s="1265"/>
      <c r="BV815" s="1265"/>
      <c r="BW815" s="1265"/>
      <c r="BX815" s="1265"/>
      <c r="BY815" s="1265"/>
      <c r="BZ815" s="1265"/>
      <c r="CA815" s="1265"/>
      <c r="CB815" s="1265"/>
      <c r="CC815" s="1265"/>
      <c r="CD815" s="1265"/>
      <c r="CE815" s="1265"/>
      <c r="CF815" s="1265"/>
      <c r="CG815" s="1265"/>
      <c r="CH815" s="1265"/>
      <c r="CI815" s="1265"/>
      <c r="CJ815" s="1265"/>
      <c r="CK815" s="1265"/>
      <c r="CL815" s="1265"/>
      <c r="CM815" s="1265"/>
      <c r="CN815" s="1265"/>
      <c r="CO815" s="1265"/>
      <c r="CP815" s="1265"/>
      <c r="CQ815" s="1265"/>
      <c r="CR815" s="1265"/>
      <c r="CS815" s="1265"/>
      <c r="CT815" s="1265"/>
      <c r="CU815" s="1265"/>
      <c r="CV815" s="1265"/>
      <c r="CW815" s="1265"/>
      <c r="CX815" s="1265"/>
      <c r="CY815" s="1265"/>
      <c r="CZ815" s="1265"/>
      <c r="DA815" s="1265"/>
      <c r="DB815" s="1265"/>
      <c r="DC815" s="1265"/>
      <c r="DD815" s="1265"/>
      <c r="DE815" s="1265"/>
      <c r="DF815" s="1265"/>
      <c r="DG815" s="1265"/>
      <c r="DH815" s="1265"/>
      <c r="DI815" s="1265"/>
      <c r="DJ815" s="1265"/>
      <c r="DK815" s="1265"/>
      <c r="DL815" s="1265"/>
      <c r="DM815" s="1265"/>
      <c r="DN815" s="1265"/>
      <c r="DO815" s="1265"/>
      <c r="DP815" s="1265"/>
      <c r="DQ815" s="1265"/>
      <c r="DR815" s="1265"/>
      <c r="DS815" s="1265"/>
      <c r="DT815" s="1265"/>
      <c r="DU815" s="1265"/>
      <c r="DV815" s="1265"/>
      <c r="DW815" s="1265"/>
      <c r="DX815" s="1265"/>
      <c r="DY815" s="1265"/>
      <c r="DZ815" s="1265"/>
      <c r="EA815" s="1265"/>
      <c r="EB815" s="1265"/>
      <c r="EC815" s="1265"/>
      <c r="ED815" s="1265"/>
      <c r="EE815" s="1265"/>
      <c r="EF815" s="1265"/>
      <c r="EG815" s="1265"/>
      <c r="EH815" s="1265"/>
      <c r="EI815" s="1265"/>
      <c r="EJ815" s="1265"/>
      <c r="EK815" s="1265"/>
      <c r="EL815" s="1265"/>
      <c r="EM815" s="1265"/>
      <c r="EN815" s="1265"/>
      <c r="EO815" s="1265"/>
      <c r="EP815" s="1265"/>
      <c r="EQ815" s="1265"/>
      <c r="ER815" s="1265"/>
      <c r="ES815" s="1265"/>
      <c r="ET815" s="1265"/>
      <c r="EU815" s="1265"/>
      <c r="EV815" s="1265"/>
      <c r="EW815" s="1265"/>
      <c r="EX815" s="1265"/>
      <c r="EY815" s="1265"/>
      <c r="EZ815" s="1265"/>
      <c r="FA815" s="1265"/>
      <c r="FB815" s="1265"/>
      <c r="FC815" s="1265"/>
      <c r="FD815" s="1265"/>
      <c r="FE815" s="1265"/>
      <c r="FF815" s="1265"/>
      <c r="FG815" s="1265"/>
      <c r="FH815" s="1265"/>
      <c r="FI815" s="1265"/>
      <c r="FJ815" s="1265"/>
      <c r="FK815" s="1265"/>
      <c r="FL815" s="1265"/>
      <c r="FM815" s="1265"/>
      <c r="FN815" s="1265"/>
      <c r="FO815" s="1265"/>
      <c r="FP815" s="1265"/>
      <c r="FQ815" s="1265"/>
      <c r="FR815" s="1265"/>
      <c r="FS815" s="1265"/>
      <c r="FT815" s="1265"/>
      <c r="FU815" s="1265"/>
      <c r="FV815" s="1265"/>
      <c r="FW815" s="1265"/>
      <c r="FX815" s="1265"/>
      <c r="FY815" s="1265"/>
      <c r="FZ815" s="1265"/>
      <c r="GA815" s="1265"/>
      <c r="GB815" s="1265"/>
      <c r="GC815" s="1265"/>
      <c r="GD815" s="1265"/>
      <c r="GE815" s="1265"/>
      <c r="GF815" s="1265"/>
      <c r="GG815" s="1265"/>
      <c r="GH815" s="1265"/>
      <c r="GI815" s="1265"/>
      <c r="GJ815" s="1265"/>
      <c r="GK815" s="1265"/>
      <c r="GL815" s="1265"/>
      <c r="GM815" s="1265"/>
      <c r="GN815" s="1265"/>
      <c r="GO815" s="1265"/>
      <c r="GP815" s="1265"/>
      <c r="GQ815" s="1265"/>
      <c r="GR815" s="1265"/>
      <c r="GS815" s="1265"/>
      <c r="GT815" s="1265"/>
      <c r="GU815" s="1265"/>
      <c r="GV815" s="1265"/>
      <c r="GW815" s="1265"/>
      <c r="GX815" s="1265"/>
      <c r="GY815" s="1265"/>
      <c r="GZ815" s="1265"/>
      <c r="HA815" s="1265"/>
      <c r="HB815" s="1265"/>
      <c r="HC815" s="1265"/>
      <c r="HD815" s="1265"/>
      <c r="HE815" s="1265"/>
      <c r="HF815" s="1265"/>
      <c r="HG815" s="1265"/>
      <c r="HH815" s="1265"/>
      <c r="HI815" s="1265"/>
      <c r="HJ815" s="1265"/>
      <c r="HK815" s="1265"/>
      <c r="HL815" s="1265"/>
      <c r="HM815" s="1265"/>
      <c r="HN815" s="1265"/>
      <c r="HO815" s="1265"/>
      <c r="HP815" s="1265"/>
      <c r="HQ815" s="1265"/>
      <c r="HR815" s="1265"/>
      <c r="HS815" s="1265"/>
      <c r="HT815" s="1265"/>
      <c r="HU815" s="1265"/>
      <c r="HV815" s="1265"/>
      <c r="HW815" s="1265"/>
      <c r="HX815" s="1265"/>
      <c r="HY815" s="1265"/>
      <c r="HZ815" s="1265"/>
      <c r="IA815" s="1265"/>
      <c r="IB815" s="1265"/>
      <c r="IC815" s="1265"/>
      <c r="ID815" s="1265"/>
      <c r="IE815" s="1265"/>
      <c r="IF815" s="1265"/>
      <c r="IG815" s="1265"/>
      <c r="IH815" s="1265"/>
      <c r="II815" s="1265"/>
      <c r="IJ815" s="1265"/>
      <c r="IK815" s="1265"/>
      <c r="IL815" s="1265"/>
      <c r="IM815" s="1265"/>
      <c r="IN815" s="1265"/>
      <c r="IO815" s="1265"/>
      <c r="IP815" s="1265"/>
      <c r="IQ815" s="1265"/>
      <c r="IR815" s="1265"/>
      <c r="IS815" s="1265"/>
      <c r="IT815" s="1265"/>
      <c r="IU815" s="1265"/>
      <c r="IV815" s="1265"/>
      <c r="IW815" s="1265"/>
      <c r="IX815" s="1265"/>
      <c r="IY815" s="1265"/>
      <c r="IZ815" s="1265"/>
      <c r="JA815" s="1265"/>
      <c r="JB815" s="1265"/>
      <c r="JC815" s="1265"/>
      <c r="JD815" s="1265"/>
      <c r="JE815" s="1265"/>
      <c r="JF815" s="1265"/>
      <c r="JG815" s="1265"/>
      <c r="JH815" s="1265"/>
      <c r="JI815" s="1265"/>
      <c r="JJ815" s="1265"/>
      <c r="JK815" s="1265"/>
      <c r="JL815" s="1265"/>
      <c r="JM815" s="1265"/>
      <c r="JN815" s="1265"/>
      <c r="JO815" s="1265"/>
      <c r="JP815" s="1265"/>
      <c r="JQ815" s="1265"/>
      <c r="JR815" s="1265"/>
      <c r="JS815" s="1265"/>
      <c r="JT815" s="1265"/>
      <c r="JU815" s="1265"/>
      <c r="JV815" s="1265"/>
      <c r="JW815" s="1265"/>
      <c r="JX815" s="1265"/>
      <c r="JY815" s="1265"/>
      <c r="JZ815" s="1265"/>
      <c r="KA815" s="1265"/>
      <c r="KB815" s="1265"/>
      <c r="KC815" s="1265"/>
      <c r="KD815" s="1265"/>
      <c r="KE815" s="1265"/>
      <c r="KF815" s="1265"/>
      <c r="KG815" s="1265"/>
      <c r="KH815" s="1265"/>
      <c r="KI815" s="1265"/>
      <c r="KJ815" s="1265"/>
      <c r="KK815" s="1265"/>
      <c r="KL815" s="1265"/>
      <c r="KM815" s="1265"/>
      <c r="KN815" s="1265"/>
      <c r="KO815" s="1265"/>
      <c r="KP815" s="1265"/>
      <c r="KQ815" s="1265"/>
      <c r="KR815" s="1265"/>
      <c r="KS815" s="1265"/>
      <c r="KT815" s="1265"/>
      <c r="KU815" s="1265"/>
      <c r="KV815" s="1265"/>
      <c r="KW815" s="1265"/>
      <c r="KX815" s="1265"/>
      <c r="KY815" s="1265"/>
      <c r="KZ815" s="1265"/>
      <c r="LA815" s="1265"/>
      <c r="LB815" s="1265"/>
      <c r="LC815" s="1265"/>
      <c r="LD815" s="1265"/>
      <c r="LE815" s="1265"/>
      <c r="LF815" s="1265"/>
      <c r="LG815" s="1265"/>
      <c r="LH815" s="1265"/>
      <c r="LI815" s="1265"/>
      <c r="LJ815" s="1265"/>
      <c r="LK815" s="1265"/>
      <c r="LL815" s="1265"/>
      <c r="LM815" s="1265"/>
      <c r="LN815" s="1265"/>
      <c r="LO815" s="1265"/>
      <c r="LP815" s="1265"/>
      <c r="LQ815" s="1265"/>
      <c r="LR815" s="1265"/>
      <c r="LS815" s="1265"/>
      <c r="LT815" s="1265"/>
      <c r="LU815" s="1265"/>
      <c r="LV815" s="1265"/>
      <c r="LW815" s="1265"/>
      <c r="LX815" s="1265"/>
      <c r="LY815" s="1265"/>
      <c r="LZ815" s="1265"/>
      <c r="MA815" s="1265"/>
      <c r="MB815" s="1265"/>
      <c r="MC815" s="1265"/>
      <c r="MD815" s="1265"/>
      <c r="ME815" s="1265"/>
      <c r="MF815" s="1265"/>
      <c r="MG815" s="1265"/>
      <c r="MH815" s="1265"/>
      <c r="MI815" s="1265"/>
      <c r="MJ815" s="1265"/>
      <c r="MK815" s="1265"/>
      <c r="ML815" s="1265"/>
      <c r="MM815" s="1265"/>
      <c r="MN815" s="1265"/>
      <c r="MO815" s="1265"/>
      <c r="MP815" s="1265"/>
      <c r="MQ815" s="1265"/>
      <c r="MR815" s="1265"/>
      <c r="MS815" s="1265"/>
      <c r="MT815" s="1265"/>
      <c r="MU815" s="1265"/>
      <c r="MV815" s="1265"/>
      <c r="MW815" s="1265"/>
      <c r="MX815" s="1265"/>
      <c r="MY815" s="1265"/>
      <c r="MZ815" s="1265"/>
      <c r="NA815" s="1265"/>
      <c r="NB815" s="1265"/>
      <c r="NC815" s="1265"/>
      <c r="ND815" s="1265"/>
      <c r="NE815" s="1265"/>
      <c r="NF815" s="1265"/>
      <c r="NG815" s="1265"/>
      <c r="NH815" s="1265"/>
      <c r="NI815" s="1265"/>
      <c r="NJ815" s="1265"/>
      <c r="NK815" s="1265"/>
      <c r="NL815" s="1265"/>
      <c r="NM815" s="1265"/>
      <c r="NN815" s="1265"/>
      <c r="NO815" s="1265"/>
      <c r="NP815" s="1265"/>
      <c r="NQ815" s="1265"/>
      <c r="NR815" s="1265"/>
      <c r="NS815" s="1265"/>
      <c r="NT815" s="1265"/>
      <c r="NU815" s="1265"/>
      <c r="NV815" s="1265"/>
      <c r="NW815" s="1265"/>
      <c r="NX815" s="1265"/>
      <c r="NY815" s="1265"/>
      <c r="NZ815" s="1265"/>
      <c r="OA815" s="1265"/>
      <c r="OB815" s="1265"/>
      <c r="OC815" s="1265"/>
      <c r="OD815" s="1265"/>
      <c r="OE815" s="1265"/>
      <c r="OF815" s="1265"/>
      <c r="OG815" s="1265"/>
      <c r="OH815" s="1265"/>
      <c r="OI815" s="1265"/>
      <c r="OJ815" s="1265"/>
      <c r="OK815" s="1265"/>
      <c r="OL815" s="1265"/>
      <c r="OM815" s="1265"/>
      <c r="ON815" s="1265"/>
      <c r="OO815" s="1265"/>
      <c r="OP815" s="1265"/>
      <c r="OQ815" s="1265"/>
      <c r="OR815" s="1265"/>
      <c r="OS815" s="1265"/>
      <c r="OT815" s="1265"/>
      <c r="OU815" s="1265"/>
      <c r="OV815" s="1265"/>
      <c r="OW815" s="1265"/>
      <c r="OX815" s="1265"/>
      <c r="OY815" s="1265"/>
      <c r="OZ815" s="1265"/>
      <c r="PA815" s="1265"/>
      <c r="PB815" s="1265"/>
      <c r="PC815" s="1265"/>
      <c r="PD815" s="1265"/>
      <c r="PE815" s="1265"/>
      <c r="PF815" s="1265"/>
      <c r="PG815" s="1265"/>
      <c r="PH815" s="1265"/>
      <c r="PI815" s="1265"/>
      <c r="PJ815" s="1265"/>
      <c r="PK815" s="1265"/>
      <c r="PL815" s="1265"/>
      <c r="PM815" s="1265"/>
      <c r="PN815" s="1265"/>
      <c r="PO815" s="1265"/>
      <c r="PP815" s="1265"/>
      <c r="PQ815" s="1265"/>
      <c r="PR815" s="1265"/>
      <c r="PS815" s="1265"/>
      <c r="PT815" s="1265"/>
      <c r="PU815" s="1265"/>
      <c r="PV815" s="1265"/>
      <c r="PW815" s="1265"/>
      <c r="PX815" s="1265"/>
      <c r="PY815" s="1265"/>
      <c r="PZ815" s="1265"/>
      <c r="QA815" s="1265"/>
      <c r="QB815" s="1265"/>
      <c r="QC815" s="1265"/>
      <c r="QD815" s="1265"/>
      <c r="QE815" s="1265"/>
      <c r="QF815" s="1265"/>
      <c r="QG815" s="1265"/>
      <c r="QH815" s="1265"/>
      <c r="QI815" s="1265"/>
      <c r="QJ815" s="1265"/>
      <c r="QK815" s="1265"/>
      <c r="QL815" s="1265"/>
      <c r="QM815" s="1265"/>
      <c r="QN815" s="1265"/>
      <c r="QO815" s="1265"/>
      <c r="QP815" s="1265"/>
      <c r="QQ815" s="1265"/>
      <c r="QR815" s="1265"/>
      <c r="QS815" s="1265"/>
      <c r="QT815" s="1265"/>
      <c r="QU815" s="1265"/>
      <c r="QV815" s="1265"/>
      <c r="QW815" s="1265"/>
      <c r="QX815" s="1265"/>
      <c r="QY815" s="1265"/>
      <c r="QZ815" s="1265"/>
      <c r="RA815" s="1265"/>
      <c r="RB815" s="1265"/>
      <c r="RC815" s="1265"/>
      <c r="RD815" s="1265"/>
      <c r="RE815" s="1265"/>
      <c r="RF815" s="1265"/>
      <c r="RG815" s="1265"/>
      <c r="RH815" s="1265"/>
      <c r="RI815" s="1265"/>
      <c r="RJ815" s="1265"/>
      <c r="RK815" s="1265"/>
      <c r="RL815" s="1265"/>
      <c r="RM815" s="1265"/>
      <c r="RN815" s="1265"/>
      <c r="RO815" s="1265"/>
      <c r="RP815" s="1265"/>
      <c r="RQ815" s="1265"/>
      <c r="RR815" s="1265"/>
      <c r="RS815" s="1265"/>
      <c r="RT815" s="1265"/>
      <c r="RU815" s="1265"/>
      <c r="RV815" s="1265"/>
      <c r="RW815" s="1265"/>
      <c r="RX815" s="1265"/>
      <c r="RY815" s="1265"/>
      <c r="RZ815" s="1265"/>
      <c r="SA815" s="1265"/>
      <c r="SB815" s="1265"/>
      <c r="SC815" s="1265"/>
      <c r="SD815" s="1265"/>
      <c r="SE815" s="1265"/>
      <c r="SF815" s="1265"/>
      <c r="SG815" s="1265"/>
      <c r="SH815" s="1265"/>
      <c r="SI815" s="1265"/>
      <c r="SJ815" s="1265"/>
      <c r="SK815" s="1265"/>
      <c r="SL815" s="1265"/>
      <c r="SM815" s="1265"/>
      <c r="SN815" s="1265"/>
      <c r="SO815" s="1265"/>
      <c r="SP815" s="1265"/>
      <c r="SQ815" s="1265"/>
      <c r="SR815" s="1265"/>
      <c r="SS815" s="1265"/>
      <c r="ST815" s="1265"/>
      <c r="SU815" s="1265"/>
      <c r="SV815" s="1265"/>
      <c r="SW815" s="1265"/>
      <c r="SX815" s="1265"/>
      <c r="SY815" s="1265"/>
      <c r="SZ815" s="1265"/>
      <c r="TA815" s="1265"/>
      <c r="TB815" s="1265"/>
      <c r="TC815" s="1265"/>
      <c r="TD815" s="1265"/>
      <c r="TE815" s="1265"/>
      <c r="TF815" s="1265"/>
      <c r="TG815" s="1265"/>
      <c r="TH815" s="1265"/>
      <c r="TI815" s="1265"/>
      <c r="TJ815" s="1265"/>
      <c r="TK815" s="1265"/>
      <c r="TL815" s="1265"/>
      <c r="TM815" s="1265"/>
      <c r="TN815" s="1265"/>
      <c r="TO815" s="1265"/>
      <c r="TP815" s="1265"/>
      <c r="TQ815" s="1265"/>
      <c r="TR815" s="1265"/>
      <c r="TS815" s="1265"/>
      <c r="TT815" s="1265"/>
      <c r="TU815" s="1265"/>
      <c r="TV815" s="1265"/>
      <c r="TW815" s="1265"/>
      <c r="TX815" s="1265"/>
      <c r="TY815" s="1265"/>
      <c r="TZ815" s="1265"/>
      <c r="UA815" s="1265"/>
      <c r="UB815" s="1265"/>
      <c r="UC815" s="1265"/>
      <c r="UD815" s="1265"/>
      <c r="UE815" s="1265"/>
      <c r="UF815" s="1265"/>
      <c r="UG815" s="1266"/>
    </row>
    <row r="816" spans="1:553" s="1262" customFormat="1" ht="30.75" customHeight="1">
      <c r="A816" s="445"/>
      <c r="B816" s="445"/>
      <c r="C816" s="1405" t="s">
        <v>1167</v>
      </c>
      <c r="D816" s="1406" t="s">
        <v>1168</v>
      </c>
      <c r="E816" s="1406" t="s">
        <v>1168</v>
      </c>
      <c r="F816" s="1407" t="s">
        <v>1168</v>
      </c>
      <c r="G816" s="417" t="s">
        <v>196</v>
      </c>
      <c r="H816" s="359"/>
      <c r="I816" s="664">
        <f>(75.22*100/500)*(17-(5-3))*1</f>
        <v>225.66</v>
      </c>
      <c r="J816" s="368">
        <v>10800</v>
      </c>
      <c r="K816" s="650">
        <v>0.7</v>
      </c>
      <c r="L816" s="571">
        <f>ROUND(PRODUCT(I816:K816),0)</f>
        <v>1705990</v>
      </c>
      <c r="M816" s="356"/>
      <c r="N816" s="356"/>
      <c r="O816" s="356"/>
      <c r="P816" s="356"/>
      <c r="Q816" s="610"/>
      <c r="R816" s="1228"/>
      <c r="S816" s="308"/>
      <c r="T816" s="308"/>
      <c r="U816" s="308"/>
      <c r="V816" s="308"/>
      <c r="W816" s="308"/>
      <c r="X816" s="308"/>
      <c r="Y816" s="308"/>
      <c r="Z816" s="604"/>
      <c r="AA816" s="308"/>
      <c r="AB816" s="308"/>
      <c r="AC816" s="454"/>
      <c r="AD816" s="454"/>
      <c r="AE816" s="454"/>
      <c r="AF816" s="454"/>
      <c r="AG816" s="454"/>
      <c r="AH816" s="454"/>
      <c r="AI816" s="454"/>
      <c r="AJ816" s="454"/>
      <c r="AK816" s="455"/>
      <c r="AL816" s="1263"/>
      <c r="AM816" s="1263"/>
      <c r="AN816" s="1263"/>
      <c r="AO816" s="1263"/>
      <c r="AP816" s="1263"/>
      <c r="AQ816" s="1263"/>
      <c r="AR816" s="1263"/>
      <c r="AS816" s="1264"/>
      <c r="AT816" s="1264"/>
      <c r="AU816" s="1264"/>
      <c r="AV816" s="1264"/>
      <c r="AW816" s="1264"/>
      <c r="AX816" s="1264"/>
      <c r="AY816" s="1264"/>
      <c r="AZ816" s="1264"/>
      <c r="BA816" s="1264"/>
      <c r="BB816" s="1264"/>
      <c r="BC816" s="1264"/>
      <c r="BD816" s="1264"/>
      <c r="BE816" s="1264"/>
      <c r="BF816" s="1264"/>
      <c r="BG816" s="1264"/>
      <c r="BH816" s="1264"/>
      <c r="BI816" s="1264"/>
      <c r="BJ816" s="1264"/>
      <c r="BK816" s="1264"/>
      <c r="BL816" s="1264"/>
      <c r="BM816" s="1264"/>
      <c r="BN816" s="1264"/>
      <c r="BO816" s="1264"/>
      <c r="BP816" s="1265"/>
      <c r="BQ816" s="1265"/>
      <c r="BR816" s="1265"/>
      <c r="BS816" s="1265"/>
      <c r="BT816" s="1265"/>
      <c r="BU816" s="1265"/>
      <c r="BV816" s="1265"/>
      <c r="BW816" s="1265"/>
      <c r="BX816" s="1265"/>
      <c r="BY816" s="1265"/>
      <c r="BZ816" s="1265"/>
      <c r="CA816" s="1265"/>
      <c r="CB816" s="1265"/>
      <c r="CC816" s="1265"/>
      <c r="CD816" s="1265"/>
      <c r="CE816" s="1265"/>
      <c r="CF816" s="1265"/>
      <c r="CG816" s="1265"/>
      <c r="CH816" s="1265"/>
      <c r="CI816" s="1265"/>
      <c r="CJ816" s="1265"/>
      <c r="CK816" s="1265"/>
      <c r="CL816" s="1265"/>
      <c r="CM816" s="1265"/>
      <c r="CN816" s="1265"/>
      <c r="CO816" s="1265"/>
      <c r="CP816" s="1265"/>
      <c r="CQ816" s="1265"/>
      <c r="CR816" s="1265"/>
      <c r="CS816" s="1265"/>
      <c r="CT816" s="1265"/>
      <c r="CU816" s="1265"/>
      <c r="CV816" s="1265"/>
      <c r="CW816" s="1265"/>
      <c r="CX816" s="1265"/>
      <c r="CY816" s="1265"/>
      <c r="CZ816" s="1265"/>
      <c r="DA816" s="1265"/>
      <c r="DB816" s="1265"/>
      <c r="DC816" s="1265"/>
      <c r="DD816" s="1265"/>
      <c r="DE816" s="1265"/>
      <c r="DF816" s="1265"/>
      <c r="DG816" s="1265"/>
      <c r="DH816" s="1265"/>
      <c r="DI816" s="1265"/>
      <c r="DJ816" s="1265"/>
      <c r="DK816" s="1265"/>
      <c r="DL816" s="1265"/>
      <c r="DM816" s="1265"/>
      <c r="DN816" s="1265"/>
      <c r="DO816" s="1265"/>
      <c r="DP816" s="1265"/>
      <c r="DQ816" s="1265"/>
      <c r="DR816" s="1265"/>
      <c r="DS816" s="1265"/>
      <c r="DT816" s="1265"/>
      <c r="DU816" s="1265"/>
      <c r="DV816" s="1265"/>
      <c r="DW816" s="1265"/>
      <c r="DX816" s="1265"/>
      <c r="DY816" s="1265"/>
      <c r="DZ816" s="1265"/>
      <c r="EA816" s="1265"/>
      <c r="EB816" s="1265"/>
      <c r="EC816" s="1265"/>
      <c r="ED816" s="1265"/>
      <c r="EE816" s="1265"/>
      <c r="EF816" s="1265"/>
      <c r="EG816" s="1265"/>
      <c r="EH816" s="1265"/>
      <c r="EI816" s="1265"/>
      <c r="EJ816" s="1265"/>
      <c r="EK816" s="1265"/>
      <c r="EL816" s="1265"/>
      <c r="EM816" s="1265"/>
      <c r="EN816" s="1265"/>
      <c r="EO816" s="1265"/>
      <c r="EP816" s="1265"/>
      <c r="EQ816" s="1265"/>
      <c r="ER816" s="1265"/>
      <c r="ES816" s="1265"/>
      <c r="ET816" s="1265"/>
      <c r="EU816" s="1265"/>
      <c r="EV816" s="1265"/>
      <c r="EW816" s="1265"/>
      <c r="EX816" s="1265"/>
      <c r="EY816" s="1265"/>
      <c r="EZ816" s="1265"/>
      <c r="FA816" s="1265"/>
      <c r="FB816" s="1265"/>
      <c r="FC816" s="1265"/>
      <c r="FD816" s="1265"/>
      <c r="FE816" s="1265"/>
      <c r="FF816" s="1265"/>
      <c r="FG816" s="1265"/>
      <c r="FH816" s="1265"/>
      <c r="FI816" s="1265"/>
      <c r="FJ816" s="1265"/>
      <c r="FK816" s="1265"/>
      <c r="FL816" s="1265"/>
      <c r="FM816" s="1265"/>
      <c r="FN816" s="1265"/>
      <c r="FO816" s="1265"/>
      <c r="FP816" s="1265"/>
      <c r="FQ816" s="1265"/>
      <c r="FR816" s="1265"/>
      <c r="FS816" s="1265"/>
      <c r="FT816" s="1265"/>
      <c r="FU816" s="1265"/>
      <c r="FV816" s="1265"/>
      <c r="FW816" s="1265"/>
      <c r="FX816" s="1265"/>
      <c r="FY816" s="1265"/>
      <c r="FZ816" s="1265"/>
      <c r="GA816" s="1265"/>
      <c r="GB816" s="1265"/>
      <c r="GC816" s="1265"/>
      <c r="GD816" s="1265"/>
      <c r="GE816" s="1265"/>
      <c r="GF816" s="1265"/>
      <c r="GG816" s="1265"/>
      <c r="GH816" s="1265"/>
      <c r="GI816" s="1265"/>
      <c r="GJ816" s="1265"/>
      <c r="GK816" s="1265"/>
      <c r="GL816" s="1265"/>
      <c r="GM816" s="1265"/>
      <c r="GN816" s="1265"/>
      <c r="GO816" s="1265"/>
      <c r="GP816" s="1265"/>
      <c r="GQ816" s="1265"/>
      <c r="GR816" s="1265"/>
      <c r="GS816" s="1265"/>
      <c r="GT816" s="1265"/>
      <c r="GU816" s="1265"/>
      <c r="GV816" s="1265"/>
      <c r="GW816" s="1265"/>
      <c r="GX816" s="1265"/>
      <c r="GY816" s="1265"/>
      <c r="GZ816" s="1265"/>
      <c r="HA816" s="1265"/>
      <c r="HB816" s="1265"/>
      <c r="HC816" s="1265"/>
      <c r="HD816" s="1265"/>
      <c r="HE816" s="1265"/>
      <c r="HF816" s="1265"/>
      <c r="HG816" s="1265"/>
      <c r="HH816" s="1265"/>
      <c r="HI816" s="1265"/>
      <c r="HJ816" s="1265"/>
      <c r="HK816" s="1265"/>
      <c r="HL816" s="1265"/>
      <c r="HM816" s="1265"/>
      <c r="HN816" s="1265"/>
      <c r="HO816" s="1265"/>
      <c r="HP816" s="1265"/>
      <c r="HQ816" s="1265"/>
      <c r="HR816" s="1265"/>
      <c r="HS816" s="1265"/>
      <c r="HT816" s="1265"/>
      <c r="HU816" s="1265"/>
      <c r="HV816" s="1265"/>
      <c r="HW816" s="1265"/>
      <c r="HX816" s="1265"/>
      <c r="HY816" s="1265"/>
      <c r="HZ816" s="1265"/>
      <c r="IA816" s="1265"/>
      <c r="IB816" s="1265"/>
      <c r="IC816" s="1265"/>
      <c r="ID816" s="1265"/>
      <c r="IE816" s="1265"/>
      <c r="IF816" s="1265"/>
      <c r="IG816" s="1265"/>
      <c r="IH816" s="1265"/>
      <c r="II816" s="1265"/>
      <c r="IJ816" s="1265"/>
      <c r="IK816" s="1265"/>
      <c r="IL816" s="1265"/>
      <c r="IM816" s="1265"/>
      <c r="IN816" s="1265"/>
      <c r="IO816" s="1265"/>
      <c r="IP816" s="1265"/>
      <c r="IQ816" s="1265"/>
      <c r="IR816" s="1265"/>
      <c r="IS816" s="1265"/>
      <c r="IT816" s="1265"/>
      <c r="IU816" s="1265"/>
      <c r="IV816" s="1265"/>
      <c r="IW816" s="1265"/>
      <c r="IX816" s="1265"/>
      <c r="IY816" s="1265"/>
      <c r="IZ816" s="1265"/>
      <c r="JA816" s="1265"/>
      <c r="JB816" s="1265"/>
      <c r="JC816" s="1265"/>
      <c r="JD816" s="1265"/>
      <c r="JE816" s="1265"/>
      <c r="JF816" s="1265"/>
      <c r="JG816" s="1265"/>
      <c r="JH816" s="1265"/>
      <c r="JI816" s="1265"/>
      <c r="JJ816" s="1265"/>
      <c r="JK816" s="1265"/>
      <c r="JL816" s="1265"/>
      <c r="JM816" s="1265"/>
      <c r="JN816" s="1265"/>
      <c r="JO816" s="1265"/>
      <c r="JP816" s="1265"/>
      <c r="JQ816" s="1265"/>
      <c r="JR816" s="1265"/>
      <c r="JS816" s="1265"/>
      <c r="JT816" s="1265"/>
      <c r="JU816" s="1265"/>
      <c r="JV816" s="1265"/>
      <c r="JW816" s="1265"/>
      <c r="JX816" s="1265"/>
      <c r="JY816" s="1265"/>
      <c r="JZ816" s="1265"/>
      <c r="KA816" s="1265"/>
      <c r="KB816" s="1265"/>
      <c r="KC816" s="1265"/>
      <c r="KD816" s="1265"/>
      <c r="KE816" s="1265"/>
      <c r="KF816" s="1265"/>
      <c r="KG816" s="1265"/>
      <c r="KH816" s="1265"/>
      <c r="KI816" s="1265"/>
      <c r="KJ816" s="1265"/>
      <c r="KK816" s="1265"/>
      <c r="KL816" s="1265"/>
      <c r="KM816" s="1265"/>
      <c r="KN816" s="1265"/>
      <c r="KO816" s="1265"/>
      <c r="KP816" s="1265"/>
      <c r="KQ816" s="1265"/>
      <c r="KR816" s="1265"/>
      <c r="KS816" s="1265"/>
      <c r="KT816" s="1265"/>
      <c r="KU816" s="1265"/>
      <c r="KV816" s="1265"/>
      <c r="KW816" s="1265"/>
      <c r="KX816" s="1265"/>
      <c r="KY816" s="1265"/>
      <c r="KZ816" s="1265"/>
      <c r="LA816" s="1265"/>
      <c r="LB816" s="1265"/>
      <c r="LC816" s="1265"/>
      <c r="LD816" s="1265"/>
      <c r="LE816" s="1265"/>
      <c r="LF816" s="1265"/>
      <c r="LG816" s="1265"/>
      <c r="LH816" s="1265"/>
      <c r="LI816" s="1265"/>
      <c r="LJ816" s="1265"/>
      <c r="LK816" s="1265"/>
      <c r="LL816" s="1265"/>
      <c r="LM816" s="1265"/>
      <c r="LN816" s="1265"/>
      <c r="LO816" s="1265"/>
      <c r="LP816" s="1265"/>
      <c r="LQ816" s="1265"/>
      <c r="LR816" s="1265"/>
      <c r="LS816" s="1265"/>
      <c r="LT816" s="1265"/>
      <c r="LU816" s="1265"/>
      <c r="LV816" s="1265"/>
      <c r="LW816" s="1265"/>
      <c r="LX816" s="1265"/>
      <c r="LY816" s="1265"/>
      <c r="LZ816" s="1265"/>
      <c r="MA816" s="1265"/>
      <c r="MB816" s="1265"/>
      <c r="MC816" s="1265"/>
      <c r="MD816" s="1265"/>
      <c r="ME816" s="1265"/>
      <c r="MF816" s="1265"/>
      <c r="MG816" s="1265"/>
      <c r="MH816" s="1265"/>
      <c r="MI816" s="1265"/>
      <c r="MJ816" s="1265"/>
      <c r="MK816" s="1265"/>
      <c r="ML816" s="1265"/>
      <c r="MM816" s="1265"/>
      <c r="MN816" s="1265"/>
      <c r="MO816" s="1265"/>
      <c r="MP816" s="1265"/>
      <c r="MQ816" s="1265"/>
      <c r="MR816" s="1265"/>
      <c r="MS816" s="1265"/>
      <c r="MT816" s="1265"/>
      <c r="MU816" s="1265"/>
      <c r="MV816" s="1265"/>
      <c r="MW816" s="1265"/>
      <c r="MX816" s="1265"/>
      <c r="MY816" s="1265"/>
      <c r="MZ816" s="1265"/>
      <c r="NA816" s="1265"/>
      <c r="NB816" s="1265"/>
      <c r="NC816" s="1265"/>
      <c r="ND816" s="1265"/>
      <c r="NE816" s="1265"/>
      <c r="NF816" s="1265"/>
      <c r="NG816" s="1265"/>
      <c r="NH816" s="1265"/>
      <c r="NI816" s="1265"/>
      <c r="NJ816" s="1265"/>
      <c r="NK816" s="1265"/>
      <c r="NL816" s="1265"/>
      <c r="NM816" s="1265"/>
      <c r="NN816" s="1265"/>
      <c r="NO816" s="1265"/>
      <c r="NP816" s="1265"/>
      <c r="NQ816" s="1265"/>
      <c r="NR816" s="1265"/>
      <c r="NS816" s="1265"/>
      <c r="NT816" s="1265"/>
      <c r="NU816" s="1265"/>
      <c r="NV816" s="1265"/>
      <c r="NW816" s="1265"/>
      <c r="NX816" s="1265"/>
      <c r="NY816" s="1265"/>
      <c r="NZ816" s="1265"/>
      <c r="OA816" s="1265"/>
      <c r="OB816" s="1265"/>
      <c r="OC816" s="1265"/>
      <c r="OD816" s="1265"/>
      <c r="OE816" s="1265"/>
      <c r="OF816" s="1265"/>
      <c r="OG816" s="1265"/>
      <c r="OH816" s="1265"/>
      <c r="OI816" s="1265"/>
      <c r="OJ816" s="1265"/>
      <c r="OK816" s="1265"/>
      <c r="OL816" s="1265"/>
      <c r="OM816" s="1265"/>
      <c r="ON816" s="1265"/>
      <c r="OO816" s="1265"/>
      <c r="OP816" s="1265"/>
      <c r="OQ816" s="1265"/>
      <c r="OR816" s="1265"/>
      <c r="OS816" s="1265"/>
      <c r="OT816" s="1265"/>
      <c r="OU816" s="1265"/>
      <c r="OV816" s="1265"/>
      <c r="OW816" s="1265"/>
      <c r="OX816" s="1265"/>
      <c r="OY816" s="1265"/>
      <c r="OZ816" s="1265"/>
      <c r="PA816" s="1265"/>
      <c r="PB816" s="1265"/>
      <c r="PC816" s="1265"/>
      <c r="PD816" s="1265"/>
      <c r="PE816" s="1265"/>
      <c r="PF816" s="1265"/>
      <c r="PG816" s="1265"/>
      <c r="PH816" s="1265"/>
      <c r="PI816" s="1265"/>
      <c r="PJ816" s="1265"/>
      <c r="PK816" s="1265"/>
      <c r="PL816" s="1265"/>
      <c r="PM816" s="1265"/>
      <c r="PN816" s="1265"/>
      <c r="PO816" s="1265"/>
      <c r="PP816" s="1265"/>
      <c r="PQ816" s="1265"/>
      <c r="PR816" s="1265"/>
      <c r="PS816" s="1265"/>
      <c r="PT816" s="1265"/>
      <c r="PU816" s="1265"/>
      <c r="PV816" s="1265"/>
      <c r="PW816" s="1265"/>
      <c r="PX816" s="1265"/>
      <c r="PY816" s="1265"/>
      <c r="PZ816" s="1265"/>
      <c r="QA816" s="1265"/>
      <c r="QB816" s="1265"/>
      <c r="QC816" s="1265"/>
      <c r="QD816" s="1265"/>
      <c r="QE816" s="1265"/>
      <c r="QF816" s="1265"/>
      <c r="QG816" s="1265"/>
      <c r="QH816" s="1265"/>
      <c r="QI816" s="1265"/>
      <c r="QJ816" s="1265"/>
      <c r="QK816" s="1265"/>
      <c r="QL816" s="1265"/>
      <c r="QM816" s="1265"/>
      <c r="QN816" s="1265"/>
      <c r="QO816" s="1265"/>
      <c r="QP816" s="1265"/>
      <c r="QQ816" s="1265"/>
      <c r="QR816" s="1265"/>
      <c r="QS816" s="1265"/>
      <c r="QT816" s="1265"/>
      <c r="QU816" s="1265"/>
      <c r="QV816" s="1265"/>
      <c r="QW816" s="1265"/>
      <c r="QX816" s="1265"/>
      <c r="QY816" s="1265"/>
      <c r="QZ816" s="1265"/>
      <c r="RA816" s="1265"/>
      <c r="RB816" s="1265"/>
      <c r="RC816" s="1265"/>
      <c r="RD816" s="1265"/>
      <c r="RE816" s="1265"/>
      <c r="RF816" s="1265"/>
      <c r="RG816" s="1265"/>
      <c r="RH816" s="1265"/>
      <c r="RI816" s="1265"/>
      <c r="RJ816" s="1265"/>
      <c r="RK816" s="1265"/>
      <c r="RL816" s="1265"/>
      <c r="RM816" s="1265"/>
      <c r="RN816" s="1265"/>
      <c r="RO816" s="1265"/>
      <c r="RP816" s="1265"/>
      <c r="RQ816" s="1265"/>
      <c r="RR816" s="1265"/>
      <c r="RS816" s="1265"/>
      <c r="RT816" s="1265"/>
      <c r="RU816" s="1265"/>
      <c r="RV816" s="1265"/>
      <c r="RW816" s="1265"/>
      <c r="RX816" s="1265"/>
      <c r="RY816" s="1265"/>
      <c r="RZ816" s="1265"/>
      <c r="SA816" s="1265"/>
      <c r="SB816" s="1265"/>
      <c r="SC816" s="1265"/>
      <c r="SD816" s="1265"/>
      <c r="SE816" s="1265"/>
      <c r="SF816" s="1265"/>
      <c r="SG816" s="1265"/>
      <c r="SH816" s="1265"/>
      <c r="SI816" s="1265"/>
      <c r="SJ816" s="1265"/>
      <c r="SK816" s="1265"/>
      <c r="SL816" s="1265"/>
      <c r="SM816" s="1265"/>
      <c r="SN816" s="1265"/>
      <c r="SO816" s="1265"/>
      <c r="SP816" s="1265"/>
      <c r="SQ816" s="1265"/>
      <c r="SR816" s="1265"/>
      <c r="SS816" s="1265"/>
      <c r="ST816" s="1265"/>
      <c r="SU816" s="1265"/>
      <c r="SV816" s="1265"/>
      <c r="SW816" s="1265"/>
      <c r="SX816" s="1265"/>
      <c r="SY816" s="1265"/>
      <c r="SZ816" s="1265"/>
      <c r="TA816" s="1265"/>
      <c r="TB816" s="1265"/>
      <c r="TC816" s="1265"/>
      <c r="TD816" s="1265"/>
      <c r="TE816" s="1265"/>
      <c r="TF816" s="1265"/>
      <c r="TG816" s="1265"/>
      <c r="TH816" s="1265"/>
      <c r="TI816" s="1265"/>
      <c r="TJ816" s="1265"/>
      <c r="TK816" s="1265"/>
      <c r="TL816" s="1265"/>
      <c r="TM816" s="1265"/>
      <c r="TN816" s="1265"/>
      <c r="TO816" s="1265"/>
      <c r="TP816" s="1265"/>
      <c r="TQ816" s="1265"/>
      <c r="TR816" s="1265"/>
      <c r="TS816" s="1265"/>
      <c r="TT816" s="1265"/>
      <c r="TU816" s="1265"/>
      <c r="TV816" s="1265"/>
      <c r="TW816" s="1265"/>
      <c r="TX816" s="1265"/>
      <c r="TY816" s="1265"/>
      <c r="TZ816" s="1265"/>
      <c r="UA816" s="1265"/>
      <c r="UB816" s="1265"/>
      <c r="UC816" s="1265"/>
      <c r="UD816" s="1265"/>
      <c r="UE816" s="1265"/>
      <c r="UF816" s="1265"/>
      <c r="UG816" s="1266"/>
    </row>
    <row r="817" spans="1:553" s="1262" customFormat="1" ht="30.75" customHeight="1">
      <c r="A817" s="445"/>
      <c r="B817" s="445"/>
      <c r="C817" s="1405" t="s">
        <v>811</v>
      </c>
      <c r="D817" s="1406" t="s">
        <v>1169</v>
      </c>
      <c r="E817" s="1406" t="s">
        <v>1169</v>
      </c>
      <c r="F817" s="1407" t="s">
        <v>1169</v>
      </c>
      <c r="G817" s="665" t="s">
        <v>196</v>
      </c>
      <c r="H817" s="359"/>
      <c r="I817" s="423">
        <f>(75.22*100/500)*(17-(6-3))*2</f>
        <v>421.23200000000003</v>
      </c>
      <c r="J817" s="1243">
        <v>10800</v>
      </c>
      <c r="K817" s="656">
        <v>0.7</v>
      </c>
      <c r="L817" s="1309">
        <f>ROUND(PRODUCT(I817:K817),0)</f>
        <v>3184514</v>
      </c>
      <c r="M817" s="356"/>
      <c r="N817" s="356"/>
      <c r="O817" s="356"/>
      <c r="P817" s="356"/>
      <c r="Q817" s="610"/>
      <c r="R817" s="1228"/>
      <c r="S817" s="308"/>
      <c r="T817" s="308"/>
      <c r="U817" s="308"/>
      <c r="V817" s="308"/>
      <c r="W817" s="308"/>
      <c r="X817" s="308"/>
      <c r="Y817" s="308"/>
      <c r="Z817" s="604"/>
      <c r="AA817" s="308"/>
      <c r="AB817" s="308"/>
      <c r="AC817" s="454"/>
      <c r="AD817" s="454"/>
      <c r="AE817" s="454"/>
      <c r="AF817" s="454"/>
      <c r="AG817" s="454"/>
      <c r="AH817" s="454"/>
      <c r="AI817" s="454"/>
      <c r="AJ817" s="454"/>
      <c r="AK817" s="455"/>
      <c r="AL817" s="1263"/>
      <c r="AM817" s="1263"/>
      <c r="AN817" s="1263"/>
      <c r="AO817" s="1263"/>
      <c r="AP817" s="1263"/>
      <c r="AQ817" s="1263"/>
      <c r="AR817" s="1263"/>
      <c r="AS817" s="1264"/>
      <c r="AT817" s="1264"/>
      <c r="AU817" s="1264"/>
      <c r="AV817" s="1264"/>
      <c r="AW817" s="1264"/>
      <c r="AX817" s="1264"/>
      <c r="AY817" s="1264"/>
      <c r="AZ817" s="1264"/>
      <c r="BA817" s="1264"/>
      <c r="BB817" s="1264"/>
      <c r="BC817" s="1264"/>
      <c r="BD817" s="1264"/>
      <c r="BE817" s="1264"/>
      <c r="BF817" s="1264"/>
      <c r="BG817" s="1264"/>
      <c r="BH817" s="1264"/>
      <c r="BI817" s="1264"/>
      <c r="BJ817" s="1264"/>
      <c r="BK817" s="1264"/>
      <c r="BL817" s="1264"/>
      <c r="BM817" s="1264"/>
      <c r="BN817" s="1264"/>
      <c r="BO817" s="1264"/>
      <c r="BP817" s="1265"/>
      <c r="BQ817" s="1265"/>
      <c r="BR817" s="1265"/>
      <c r="BS817" s="1265"/>
      <c r="BT817" s="1265"/>
      <c r="BU817" s="1265"/>
      <c r="BV817" s="1265"/>
      <c r="BW817" s="1265"/>
      <c r="BX817" s="1265"/>
      <c r="BY817" s="1265"/>
      <c r="BZ817" s="1265"/>
      <c r="CA817" s="1265"/>
      <c r="CB817" s="1265"/>
      <c r="CC817" s="1265"/>
      <c r="CD817" s="1265"/>
      <c r="CE817" s="1265"/>
      <c r="CF817" s="1265"/>
      <c r="CG817" s="1265"/>
      <c r="CH817" s="1265"/>
      <c r="CI817" s="1265"/>
      <c r="CJ817" s="1265"/>
      <c r="CK817" s="1265"/>
      <c r="CL817" s="1265"/>
      <c r="CM817" s="1265"/>
      <c r="CN817" s="1265"/>
      <c r="CO817" s="1265"/>
      <c r="CP817" s="1265"/>
      <c r="CQ817" s="1265"/>
      <c r="CR817" s="1265"/>
      <c r="CS817" s="1265"/>
      <c r="CT817" s="1265"/>
      <c r="CU817" s="1265"/>
      <c r="CV817" s="1265"/>
      <c r="CW817" s="1265"/>
      <c r="CX817" s="1265"/>
      <c r="CY817" s="1265"/>
      <c r="CZ817" s="1265"/>
      <c r="DA817" s="1265"/>
      <c r="DB817" s="1265"/>
      <c r="DC817" s="1265"/>
      <c r="DD817" s="1265"/>
      <c r="DE817" s="1265"/>
      <c r="DF817" s="1265"/>
      <c r="DG817" s="1265"/>
      <c r="DH817" s="1265"/>
      <c r="DI817" s="1265"/>
      <c r="DJ817" s="1265"/>
      <c r="DK817" s="1265"/>
      <c r="DL817" s="1265"/>
      <c r="DM817" s="1265"/>
      <c r="DN817" s="1265"/>
      <c r="DO817" s="1265"/>
      <c r="DP817" s="1265"/>
      <c r="DQ817" s="1265"/>
      <c r="DR817" s="1265"/>
      <c r="DS817" s="1265"/>
      <c r="DT817" s="1265"/>
      <c r="DU817" s="1265"/>
      <c r="DV817" s="1265"/>
      <c r="DW817" s="1265"/>
      <c r="DX817" s="1265"/>
      <c r="DY817" s="1265"/>
      <c r="DZ817" s="1265"/>
      <c r="EA817" s="1265"/>
      <c r="EB817" s="1265"/>
      <c r="EC817" s="1265"/>
      <c r="ED817" s="1265"/>
      <c r="EE817" s="1265"/>
      <c r="EF817" s="1265"/>
      <c r="EG817" s="1265"/>
      <c r="EH817" s="1265"/>
      <c r="EI817" s="1265"/>
      <c r="EJ817" s="1265"/>
      <c r="EK817" s="1265"/>
      <c r="EL817" s="1265"/>
      <c r="EM817" s="1265"/>
      <c r="EN817" s="1265"/>
      <c r="EO817" s="1265"/>
      <c r="EP817" s="1265"/>
      <c r="EQ817" s="1265"/>
      <c r="ER817" s="1265"/>
      <c r="ES817" s="1265"/>
      <c r="ET817" s="1265"/>
      <c r="EU817" s="1265"/>
      <c r="EV817" s="1265"/>
      <c r="EW817" s="1265"/>
      <c r="EX817" s="1265"/>
      <c r="EY817" s="1265"/>
      <c r="EZ817" s="1265"/>
      <c r="FA817" s="1265"/>
      <c r="FB817" s="1265"/>
      <c r="FC817" s="1265"/>
      <c r="FD817" s="1265"/>
      <c r="FE817" s="1265"/>
      <c r="FF817" s="1265"/>
      <c r="FG817" s="1265"/>
      <c r="FH817" s="1265"/>
      <c r="FI817" s="1265"/>
      <c r="FJ817" s="1265"/>
      <c r="FK817" s="1265"/>
      <c r="FL817" s="1265"/>
      <c r="FM817" s="1265"/>
      <c r="FN817" s="1265"/>
      <c r="FO817" s="1265"/>
      <c r="FP817" s="1265"/>
      <c r="FQ817" s="1265"/>
      <c r="FR817" s="1265"/>
      <c r="FS817" s="1265"/>
      <c r="FT817" s="1265"/>
      <c r="FU817" s="1265"/>
      <c r="FV817" s="1265"/>
      <c r="FW817" s="1265"/>
      <c r="FX817" s="1265"/>
      <c r="FY817" s="1265"/>
      <c r="FZ817" s="1265"/>
      <c r="GA817" s="1265"/>
      <c r="GB817" s="1265"/>
      <c r="GC817" s="1265"/>
      <c r="GD817" s="1265"/>
      <c r="GE817" s="1265"/>
      <c r="GF817" s="1265"/>
      <c r="GG817" s="1265"/>
      <c r="GH817" s="1265"/>
      <c r="GI817" s="1265"/>
      <c r="GJ817" s="1265"/>
      <c r="GK817" s="1265"/>
      <c r="GL817" s="1265"/>
      <c r="GM817" s="1265"/>
      <c r="GN817" s="1265"/>
      <c r="GO817" s="1265"/>
      <c r="GP817" s="1265"/>
      <c r="GQ817" s="1265"/>
      <c r="GR817" s="1265"/>
      <c r="GS817" s="1265"/>
      <c r="GT817" s="1265"/>
      <c r="GU817" s="1265"/>
      <c r="GV817" s="1265"/>
      <c r="GW817" s="1265"/>
      <c r="GX817" s="1265"/>
      <c r="GY817" s="1265"/>
      <c r="GZ817" s="1265"/>
      <c r="HA817" s="1265"/>
      <c r="HB817" s="1265"/>
      <c r="HC817" s="1265"/>
      <c r="HD817" s="1265"/>
      <c r="HE817" s="1265"/>
      <c r="HF817" s="1265"/>
      <c r="HG817" s="1265"/>
      <c r="HH817" s="1265"/>
      <c r="HI817" s="1265"/>
      <c r="HJ817" s="1265"/>
      <c r="HK817" s="1265"/>
      <c r="HL817" s="1265"/>
      <c r="HM817" s="1265"/>
      <c r="HN817" s="1265"/>
      <c r="HO817" s="1265"/>
      <c r="HP817" s="1265"/>
      <c r="HQ817" s="1265"/>
      <c r="HR817" s="1265"/>
      <c r="HS817" s="1265"/>
      <c r="HT817" s="1265"/>
      <c r="HU817" s="1265"/>
      <c r="HV817" s="1265"/>
      <c r="HW817" s="1265"/>
      <c r="HX817" s="1265"/>
      <c r="HY817" s="1265"/>
      <c r="HZ817" s="1265"/>
      <c r="IA817" s="1265"/>
      <c r="IB817" s="1265"/>
      <c r="IC817" s="1265"/>
      <c r="ID817" s="1265"/>
      <c r="IE817" s="1265"/>
      <c r="IF817" s="1265"/>
      <c r="IG817" s="1265"/>
      <c r="IH817" s="1265"/>
      <c r="II817" s="1265"/>
      <c r="IJ817" s="1265"/>
      <c r="IK817" s="1265"/>
      <c r="IL817" s="1265"/>
      <c r="IM817" s="1265"/>
      <c r="IN817" s="1265"/>
      <c r="IO817" s="1265"/>
      <c r="IP817" s="1265"/>
      <c r="IQ817" s="1265"/>
      <c r="IR817" s="1265"/>
      <c r="IS817" s="1265"/>
      <c r="IT817" s="1265"/>
      <c r="IU817" s="1265"/>
      <c r="IV817" s="1265"/>
      <c r="IW817" s="1265"/>
      <c r="IX817" s="1265"/>
      <c r="IY817" s="1265"/>
      <c r="IZ817" s="1265"/>
      <c r="JA817" s="1265"/>
      <c r="JB817" s="1265"/>
      <c r="JC817" s="1265"/>
      <c r="JD817" s="1265"/>
      <c r="JE817" s="1265"/>
      <c r="JF817" s="1265"/>
      <c r="JG817" s="1265"/>
      <c r="JH817" s="1265"/>
      <c r="JI817" s="1265"/>
      <c r="JJ817" s="1265"/>
      <c r="JK817" s="1265"/>
      <c r="JL817" s="1265"/>
      <c r="JM817" s="1265"/>
      <c r="JN817" s="1265"/>
      <c r="JO817" s="1265"/>
      <c r="JP817" s="1265"/>
      <c r="JQ817" s="1265"/>
      <c r="JR817" s="1265"/>
      <c r="JS817" s="1265"/>
      <c r="JT817" s="1265"/>
      <c r="JU817" s="1265"/>
      <c r="JV817" s="1265"/>
      <c r="JW817" s="1265"/>
      <c r="JX817" s="1265"/>
      <c r="JY817" s="1265"/>
      <c r="JZ817" s="1265"/>
      <c r="KA817" s="1265"/>
      <c r="KB817" s="1265"/>
      <c r="KC817" s="1265"/>
      <c r="KD817" s="1265"/>
      <c r="KE817" s="1265"/>
      <c r="KF817" s="1265"/>
      <c r="KG817" s="1265"/>
      <c r="KH817" s="1265"/>
      <c r="KI817" s="1265"/>
      <c r="KJ817" s="1265"/>
      <c r="KK817" s="1265"/>
      <c r="KL817" s="1265"/>
      <c r="KM817" s="1265"/>
      <c r="KN817" s="1265"/>
      <c r="KO817" s="1265"/>
      <c r="KP817" s="1265"/>
      <c r="KQ817" s="1265"/>
      <c r="KR817" s="1265"/>
      <c r="KS817" s="1265"/>
      <c r="KT817" s="1265"/>
      <c r="KU817" s="1265"/>
      <c r="KV817" s="1265"/>
      <c r="KW817" s="1265"/>
      <c r="KX817" s="1265"/>
      <c r="KY817" s="1265"/>
      <c r="KZ817" s="1265"/>
      <c r="LA817" s="1265"/>
      <c r="LB817" s="1265"/>
      <c r="LC817" s="1265"/>
      <c r="LD817" s="1265"/>
      <c r="LE817" s="1265"/>
      <c r="LF817" s="1265"/>
      <c r="LG817" s="1265"/>
      <c r="LH817" s="1265"/>
      <c r="LI817" s="1265"/>
      <c r="LJ817" s="1265"/>
      <c r="LK817" s="1265"/>
      <c r="LL817" s="1265"/>
      <c r="LM817" s="1265"/>
      <c r="LN817" s="1265"/>
      <c r="LO817" s="1265"/>
      <c r="LP817" s="1265"/>
      <c r="LQ817" s="1265"/>
      <c r="LR817" s="1265"/>
      <c r="LS817" s="1265"/>
      <c r="LT817" s="1265"/>
      <c r="LU817" s="1265"/>
      <c r="LV817" s="1265"/>
      <c r="LW817" s="1265"/>
      <c r="LX817" s="1265"/>
      <c r="LY817" s="1265"/>
      <c r="LZ817" s="1265"/>
      <c r="MA817" s="1265"/>
      <c r="MB817" s="1265"/>
      <c r="MC817" s="1265"/>
      <c r="MD817" s="1265"/>
      <c r="ME817" s="1265"/>
      <c r="MF817" s="1265"/>
      <c r="MG817" s="1265"/>
      <c r="MH817" s="1265"/>
      <c r="MI817" s="1265"/>
      <c r="MJ817" s="1265"/>
      <c r="MK817" s="1265"/>
      <c r="ML817" s="1265"/>
      <c r="MM817" s="1265"/>
      <c r="MN817" s="1265"/>
      <c r="MO817" s="1265"/>
      <c r="MP817" s="1265"/>
      <c r="MQ817" s="1265"/>
      <c r="MR817" s="1265"/>
      <c r="MS817" s="1265"/>
      <c r="MT817" s="1265"/>
      <c r="MU817" s="1265"/>
      <c r="MV817" s="1265"/>
      <c r="MW817" s="1265"/>
      <c r="MX817" s="1265"/>
      <c r="MY817" s="1265"/>
      <c r="MZ817" s="1265"/>
      <c r="NA817" s="1265"/>
      <c r="NB817" s="1265"/>
      <c r="NC817" s="1265"/>
      <c r="ND817" s="1265"/>
      <c r="NE817" s="1265"/>
      <c r="NF817" s="1265"/>
      <c r="NG817" s="1265"/>
      <c r="NH817" s="1265"/>
      <c r="NI817" s="1265"/>
      <c r="NJ817" s="1265"/>
      <c r="NK817" s="1265"/>
      <c r="NL817" s="1265"/>
      <c r="NM817" s="1265"/>
      <c r="NN817" s="1265"/>
      <c r="NO817" s="1265"/>
      <c r="NP817" s="1265"/>
      <c r="NQ817" s="1265"/>
      <c r="NR817" s="1265"/>
      <c r="NS817" s="1265"/>
      <c r="NT817" s="1265"/>
      <c r="NU817" s="1265"/>
      <c r="NV817" s="1265"/>
      <c r="NW817" s="1265"/>
      <c r="NX817" s="1265"/>
      <c r="NY817" s="1265"/>
      <c r="NZ817" s="1265"/>
      <c r="OA817" s="1265"/>
      <c r="OB817" s="1265"/>
      <c r="OC817" s="1265"/>
      <c r="OD817" s="1265"/>
      <c r="OE817" s="1265"/>
      <c r="OF817" s="1265"/>
      <c r="OG817" s="1265"/>
      <c r="OH817" s="1265"/>
      <c r="OI817" s="1265"/>
      <c r="OJ817" s="1265"/>
      <c r="OK817" s="1265"/>
      <c r="OL817" s="1265"/>
      <c r="OM817" s="1265"/>
      <c r="ON817" s="1265"/>
      <c r="OO817" s="1265"/>
      <c r="OP817" s="1265"/>
      <c r="OQ817" s="1265"/>
      <c r="OR817" s="1265"/>
      <c r="OS817" s="1265"/>
      <c r="OT817" s="1265"/>
      <c r="OU817" s="1265"/>
      <c r="OV817" s="1265"/>
      <c r="OW817" s="1265"/>
      <c r="OX817" s="1265"/>
      <c r="OY817" s="1265"/>
      <c r="OZ817" s="1265"/>
      <c r="PA817" s="1265"/>
      <c r="PB817" s="1265"/>
      <c r="PC817" s="1265"/>
      <c r="PD817" s="1265"/>
      <c r="PE817" s="1265"/>
      <c r="PF817" s="1265"/>
      <c r="PG817" s="1265"/>
      <c r="PH817" s="1265"/>
      <c r="PI817" s="1265"/>
      <c r="PJ817" s="1265"/>
      <c r="PK817" s="1265"/>
      <c r="PL817" s="1265"/>
      <c r="PM817" s="1265"/>
      <c r="PN817" s="1265"/>
      <c r="PO817" s="1265"/>
      <c r="PP817" s="1265"/>
      <c r="PQ817" s="1265"/>
      <c r="PR817" s="1265"/>
      <c r="PS817" s="1265"/>
      <c r="PT817" s="1265"/>
      <c r="PU817" s="1265"/>
      <c r="PV817" s="1265"/>
      <c r="PW817" s="1265"/>
      <c r="PX817" s="1265"/>
      <c r="PY817" s="1265"/>
      <c r="PZ817" s="1265"/>
      <c r="QA817" s="1265"/>
      <c r="QB817" s="1265"/>
      <c r="QC817" s="1265"/>
      <c r="QD817" s="1265"/>
      <c r="QE817" s="1265"/>
      <c r="QF817" s="1265"/>
      <c r="QG817" s="1265"/>
      <c r="QH817" s="1265"/>
      <c r="QI817" s="1265"/>
      <c r="QJ817" s="1265"/>
      <c r="QK817" s="1265"/>
      <c r="QL817" s="1265"/>
      <c r="QM817" s="1265"/>
      <c r="QN817" s="1265"/>
      <c r="QO817" s="1265"/>
      <c r="QP817" s="1265"/>
      <c r="QQ817" s="1265"/>
      <c r="QR817" s="1265"/>
      <c r="QS817" s="1265"/>
      <c r="QT817" s="1265"/>
      <c r="QU817" s="1265"/>
      <c r="QV817" s="1265"/>
      <c r="QW817" s="1265"/>
      <c r="QX817" s="1265"/>
      <c r="QY817" s="1265"/>
      <c r="QZ817" s="1265"/>
      <c r="RA817" s="1265"/>
      <c r="RB817" s="1265"/>
      <c r="RC817" s="1265"/>
      <c r="RD817" s="1265"/>
      <c r="RE817" s="1265"/>
      <c r="RF817" s="1265"/>
      <c r="RG817" s="1265"/>
      <c r="RH817" s="1265"/>
      <c r="RI817" s="1265"/>
      <c r="RJ817" s="1265"/>
      <c r="RK817" s="1265"/>
      <c r="RL817" s="1265"/>
      <c r="RM817" s="1265"/>
      <c r="RN817" s="1265"/>
      <c r="RO817" s="1265"/>
      <c r="RP817" s="1265"/>
      <c r="RQ817" s="1265"/>
      <c r="RR817" s="1265"/>
      <c r="RS817" s="1265"/>
      <c r="RT817" s="1265"/>
      <c r="RU817" s="1265"/>
      <c r="RV817" s="1265"/>
      <c r="RW817" s="1265"/>
      <c r="RX817" s="1265"/>
      <c r="RY817" s="1265"/>
      <c r="RZ817" s="1265"/>
      <c r="SA817" s="1265"/>
      <c r="SB817" s="1265"/>
      <c r="SC817" s="1265"/>
      <c r="SD817" s="1265"/>
      <c r="SE817" s="1265"/>
      <c r="SF817" s="1265"/>
      <c r="SG817" s="1265"/>
      <c r="SH817" s="1265"/>
      <c r="SI817" s="1265"/>
      <c r="SJ817" s="1265"/>
      <c r="SK817" s="1265"/>
      <c r="SL817" s="1265"/>
      <c r="SM817" s="1265"/>
      <c r="SN817" s="1265"/>
      <c r="SO817" s="1265"/>
      <c r="SP817" s="1265"/>
      <c r="SQ817" s="1265"/>
      <c r="SR817" s="1265"/>
      <c r="SS817" s="1265"/>
      <c r="ST817" s="1265"/>
      <c r="SU817" s="1265"/>
      <c r="SV817" s="1265"/>
      <c r="SW817" s="1265"/>
      <c r="SX817" s="1265"/>
      <c r="SY817" s="1265"/>
      <c r="SZ817" s="1265"/>
      <c r="TA817" s="1265"/>
      <c r="TB817" s="1265"/>
      <c r="TC817" s="1265"/>
      <c r="TD817" s="1265"/>
      <c r="TE817" s="1265"/>
      <c r="TF817" s="1265"/>
      <c r="TG817" s="1265"/>
      <c r="TH817" s="1265"/>
      <c r="TI817" s="1265"/>
      <c r="TJ817" s="1265"/>
      <c r="TK817" s="1265"/>
      <c r="TL817" s="1265"/>
      <c r="TM817" s="1265"/>
      <c r="TN817" s="1265"/>
      <c r="TO817" s="1265"/>
      <c r="TP817" s="1265"/>
      <c r="TQ817" s="1265"/>
      <c r="TR817" s="1265"/>
      <c r="TS817" s="1265"/>
      <c r="TT817" s="1265"/>
      <c r="TU817" s="1265"/>
      <c r="TV817" s="1265"/>
      <c r="TW817" s="1265"/>
      <c r="TX817" s="1265"/>
      <c r="TY817" s="1265"/>
      <c r="TZ817" s="1265"/>
      <c r="UA817" s="1265"/>
      <c r="UB817" s="1265"/>
      <c r="UC817" s="1265"/>
      <c r="UD817" s="1265"/>
      <c r="UE817" s="1265"/>
      <c r="UF817" s="1265"/>
      <c r="UG817" s="1266"/>
    </row>
    <row r="818" spans="1:553" s="1262" customFormat="1" ht="30.75" customHeight="1">
      <c r="A818" s="445"/>
      <c r="B818" s="445"/>
      <c r="C818" s="1405" t="s">
        <v>1170</v>
      </c>
      <c r="D818" s="1406" t="s">
        <v>1171</v>
      </c>
      <c r="E818" s="1406" t="s">
        <v>1171</v>
      </c>
      <c r="F818" s="1407" t="s">
        <v>1171</v>
      </c>
      <c r="G818" s="417" t="s">
        <v>193</v>
      </c>
      <c r="H818" s="359"/>
      <c r="I818" s="614">
        <v>1</v>
      </c>
      <c r="J818" s="368">
        <v>391100</v>
      </c>
      <c r="K818" s="650">
        <v>0.7</v>
      </c>
      <c r="L818" s="571">
        <f t="shared" ref="L818" si="122">ROUND(PRODUCT(I818:K818),0)</f>
        <v>273770</v>
      </c>
      <c r="M818" s="356"/>
      <c r="N818" s="356"/>
      <c r="O818" s="356"/>
      <c r="P818" s="356"/>
      <c r="Q818" s="610"/>
      <c r="R818" s="1228"/>
      <c r="S818" s="308"/>
      <c r="T818" s="308"/>
      <c r="U818" s="308"/>
      <c r="V818" s="308"/>
      <c r="W818" s="308"/>
      <c r="X818" s="308"/>
      <c r="Y818" s="308"/>
      <c r="Z818" s="604"/>
      <c r="AA818" s="308"/>
      <c r="AB818" s="308"/>
      <c r="AC818" s="454"/>
      <c r="AD818" s="454"/>
      <c r="AE818" s="454"/>
      <c r="AF818" s="454"/>
      <c r="AG818" s="454"/>
      <c r="AH818" s="454"/>
      <c r="AI818" s="454"/>
      <c r="AJ818" s="454"/>
      <c r="AK818" s="455"/>
      <c r="AL818" s="1263"/>
      <c r="AM818" s="1263"/>
      <c r="AN818" s="1263"/>
      <c r="AO818" s="1263"/>
      <c r="AP818" s="1263"/>
      <c r="AQ818" s="1263"/>
      <c r="AR818" s="1263"/>
      <c r="AS818" s="1264"/>
      <c r="AT818" s="1264"/>
      <c r="AU818" s="1264"/>
      <c r="AV818" s="1264"/>
      <c r="AW818" s="1264"/>
      <c r="AX818" s="1264"/>
      <c r="AY818" s="1264"/>
      <c r="AZ818" s="1264"/>
      <c r="BA818" s="1264"/>
      <c r="BB818" s="1264"/>
      <c r="BC818" s="1264"/>
      <c r="BD818" s="1264"/>
      <c r="BE818" s="1264"/>
      <c r="BF818" s="1264"/>
      <c r="BG818" s="1264"/>
      <c r="BH818" s="1264"/>
      <c r="BI818" s="1264"/>
      <c r="BJ818" s="1264"/>
      <c r="BK818" s="1264"/>
      <c r="BL818" s="1264"/>
      <c r="BM818" s="1264"/>
      <c r="BN818" s="1264"/>
      <c r="BO818" s="1264"/>
      <c r="BP818" s="1265"/>
      <c r="BQ818" s="1265"/>
      <c r="BR818" s="1265"/>
      <c r="BS818" s="1265"/>
      <c r="BT818" s="1265"/>
      <c r="BU818" s="1265"/>
      <c r="BV818" s="1265"/>
      <c r="BW818" s="1265"/>
      <c r="BX818" s="1265"/>
      <c r="BY818" s="1265"/>
      <c r="BZ818" s="1265"/>
      <c r="CA818" s="1265"/>
      <c r="CB818" s="1265"/>
      <c r="CC818" s="1265"/>
      <c r="CD818" s="1265"/>
      <c r="CE818" s="1265"/>
      <c r="CF818" s="1265"/>
      <c r="CG818" s="1265"/>
      <c r="CH818" s="1265"/>
      <c r="CI818" s="1265"/>
      <c r="CJ818" s="1265"/>
      <c r="CK818" s="1265"/>
      <c r="CL818" s="1265"/>
      <c r="CM818" s="1265"/>
      <c r="CN818" s="1265"/>
      <c r="CO818" s="1265"/>
      <c r="CP818" s="1265"/>
      <c r="CQ818" s="1265"/>
      <c r="CR818" s="1265"/>
      <c r="CS818" s="1265"/>
      <c r="CT818" s="1265"/>
      <c r="CU818" s="1265"/>
      <c r="CV818" s="1265"/>
      <c r="CW818" s="1265"/>
      <c r="CX818" s="1265"/>
      <c r="CY818" s="1265"/>
      <c r="CZ818" s="1265"/>
      <c r="DA818" s="1265"/>
      <c r="DB818" s="1265"/>
      <c r="DC818" s="1265"/>
      <c r="DD818" s="1265"/>
      <c r="DE818" s="1265"/>
      <c r="DF818" s="1265"/>
      <c r="DG818" s="1265"/>
      <c r="DH818" s="1265"/>
      <c r="DI818" s="1265"/>
      <c r="DJ818" s="1265"/>
      <c r="DK818" s="1265"/>
      <c r="DL818" s="1265"/>
      <c r="DM818" s="1265"/>
      <c r="DN818" s="1265"/>
      <c r="DO818" s="1265"/>
      <c r="DP818" s="1265"/>
      <c r="DQ818" s="1265"/>
      <c r="DR818" s="1265"/>
      <c r="DS818" s="1265"/>
      <c r="DT818" s="1265"/>
      <c r="DU818" s="1265"/>
      <c r="DV818" s="1265"/>
      <c r="DW818" s="1265"/>
      <c r="DX818" s="1265"/>
      <c r="DY818" s="1265"/>
      <c r="DZ818" s="1265"/>
      <c r="EA818" s="1265"/>
      <c r="EB818" s="1265"/>
      <c r="EC818" s="1265"/>
      <c r="ED818" s="1265"/>
      <c r="EE818" s="1265"/>
      <c r="EF818" s="1265"/>
      <c r="EG818" s="1265"/>
      <c r="EH818" s="1265"/>
      <c r="EI818" s="1265"/>
      <c r="EJ818" s="1265"/>
      <c r="EK818" s="1265"/>
      <c r="EL818" s="1265"/>
      <c r="EM818" s="1265"/>
      <c r="EN818" s="1265"/>
      <c r="EO818" s="1265"/>
      <c r="EP818" s="1265"/>
      <c r="EQ818" s="1265"/>
      <c r="ER818" s="1265"/>
      <c r="ES818" s="1265"/>
      <c r="ET818" s="1265"/>
      <c r="EU818" s="1265"/>
      <c r="EV818" s="1265"/>
      <c r="EW818" s="1265"/>
      <c r="EX818" s="1265"/>
      <c r="EY818" s="1265"/>
      <c r="EZ818" s="1265"/>
      <c r="FA818" s="1265"/>
      <c r="FB818" s="1265"/>
      <c r="FC818" s="1265"/>
      <c r="FD818" s="1265"/>
      <c r="FE818" s="1265"/>
      <c r="FF818" s="1265"/>
      <c r="FG818" s="1265"/>
      <c r="FH818" s="1265"/>
      <c r="FI818" s="1265"/>
      <c r="FJ818" s="1265"/>
      <c r="FK818" s="1265"/>
      <c r="FL818" s="1265"/>
      <c r="FM818" s="1265"/>
      <c r="FN818" s="1265"/>
      <c r="FO818" s="1265"/>
      <c r="FP818" s="1265"/>
      <c r="FQ818" s="1265"/>
      <c r="FR818" s="1265"/>
      <c r="FS818" s="1265"/>
      <c r="FT818" s="1265"/>
      <c r="FU818" s="1265"/>
      <c r="FV818" s="1265"/>
      <c r="FW818" s="1265"/>
      <c r="FX818" s="1265"/>
      <c r="FY818" s="1265"/>
      <c r="FZ818" s="1265"/>
      <c r="GA818" s="1265"/>
      <c r="GB818" s="1265"/>
      <c r="GC818" s="1265"/>
      <c r="GD818" s="1265"/>
      <c r="GE818" s="1265"/>
      <c r="GF818" s="1265"/>
      <c r="GG818" s="1265"/>
      <c r="GH818" s="1265"/>
      <c r="GI818" s="1265"/>
      <c r="GJ818" s="1265"/>
      <c r="GK818" s="1265"/>
      <c r="GL818" s="1265"/>
      <c r="GM818" s="1265"/>
      <c r="GN818" s="1265"/>
      <c r="GO818" s="1265"/>
      <c r="GP818" s="1265"/>
      <c r="GQ818" s="1265"/>
      <c r="GR818" s="1265"/>
      <c r="GS818" s="1265"/>
      <c r="GT818" s="1265"/>
      <c r="GU818" s="1265"/>
      <c r="GV818" s="1265"/>
      <c r="GW818" s="1265"/>
      <c r="GX818" s="1265"/>
      <c r="GY818" s="1265"/>
      <c r="GZ818" s="1265"/>
      <c r="HA818" s="1265"/>
      <c r="HB818" s="1265"/>
      <c r="HC818" s="1265"/>
      <c r="HD818" s="1265"/>
      <c r="HE818" s="1265"/>
      <c r="HF818" s="1265"/>
      <c r="HG818" s="1265"/>
      <c r="HH818" s="1265"/>
      <c r="HI818" s="1265"/>
      <c r="HJ818" s="1265"/>
      <c r="HK818" s="1265"/>
      <c r="HL818" s="1265"/>
      <c r="HM818" s="1265"/>
      <c r="HN818" s="1265"/>
      <c r="HO818" s="1265"/>
      <c r="HP818" s="1265"/>
      <c r="HQ818" s="1265"/>
      <c r="HR818" s="1265"/>
      <c r="HS818" s="1265"/>
      <c r="HT818" s="1265"/>
      <c r="HU818" s="1265"/>
      <c r="HV818" s="1265"/>
      <c r="HW818" s="1265"/>
      <c r="HX818" s="1265"/>
      <c r="HY818" s="1265"/>
      <c r="HZ818" s="1265"/>
      <c r="IA818" s="1265"/>
      <c r="IB818" s="1265"/>
      <c r="IC818" s="1265"/>
      <c r="ID818" s="1265"/>
      <c r="IE818" s="1265"/>
      <c r="IF818" s="1265"/>
      <c r="IG818" s="1265"/>
      <c r="IH818" s="1265"/>
      <c r="II818" s="1265"/>
      <c r="IJ818" s="1265"/>
      <c r="IK818" s="1265"/>
      <c r="IL818" s="1265"/>
      <c r="IM818" s="1265"/>
      <c r="IN818" s="1265"/>
      <c r="IO818" s="1265"/>
      <c r="IP818" s="1265"/>
      <c r="IQ818" s="1265"/>
      <c r="IR818" s="1265"/>
      <c r="IS818" s="1265"/>
      <c r="IT818" s="1265"/>
      <c r="IU818" s="1265"/>
      <c r="IV818" s="1265"/>
      <c r="IW818" s="1265"/>
      <c r="IX818" s="1265"/>
      <c r="IY818" s="1265"/>
      <c r="IZ818" s="1265"/>
      <c r="JA818" s="1265"/>
      <c r="JB818" s="1265"/>
      <c r="JC818" s="1265"/>
      <c r="JD818" s="1265"/>
      <c r="JE818" s="1265"/>
      <c r="JF818" s="1265"/>
      <c r="JG818" s="1265"/>
      <c r="JH818" s="1265"/>
      <c r="JI818" s="1265"/>
      <c r="JJ818" s="1265"/>
      <c r="JK818" s="1265"/>
      <c r="JL818" s="1265"/>
      <c r="JM818" s="1265"/>
      <c r="JN818" s="1265"/>
      <c r="JO818" s="1265"/>
      <c r="JP818" s="1265"/>
      <c r="JQ818" s="1265"/>
      <c r="JR818" s="1265"/>
      <c r="JS818" s="1265"/>
      <c r="JT818" s="1265"/>
      <c r="JU818" s="1265"/>
      <c r="JV818" s="1265"/>
      <c r="JW818" s="1265"/>
      <c r="JX818" s="1265"/>
      <c r="JY818" s="1265"/>
      <c r="JZ818" s="1265"/>
      <c r="KA818" s="1265"/>
      <c r="KB818" s="1265"/>
      <c r="KC818" s="1265"/>
      <c r="KD818" s="1265"/>
      <c r="KE818" s="1265"/>
      <c r="KF818" s="1265"/>
      <c r="KG818" s="1265"/>
      <c r="KH818" s="1265"/>
      <c r="KI818" s="1265"/>
      <c r="KJ818" s="1265"/>
      <c r="KK818" s="1265"/>
      <c r="KL818" s="1265"/>
      <c r="KM818" s="1265"/>
      <c r="KN818" s="1265"/>
      <c r="KO818" s="1265"/>
      <c r="KP818" s="1265"/>
      <c r="KQ818" s="1265"/>
      <c r="KR818" s="1265"/>
      <c r="KS818" s="1265"/>
      <c r="KT818" s="1265"/>
      <c r="KU818" s="1265"/>
      <c r="KV818" s="1265"/>
      <c r="KW818" s="1265"/>
      <c r="KX818" s="1265"/>
      <c r="KY818" s="1265"/>
      <c r="KZ818" s="1265"/>
      <c r="LA818" s="1265"/>
      <c r="LB818" s="1265"/>
      <c r="LC818" s="1265"/>
      <c r="LD818" s="1265"/>
      <c r="LE818" s="1265"/>
      <c r="LF818" s="1265"/>
      <c r="LG818" s="1265"/>
      <c r="LH818" s="1265"/>
      <c r="LI818" s="1265"/>
      <c r="LJ818" s="1265"/>
      <c r="LK818" s="1265"/>
      <c r="LL818" s="1265"/>
      <c r="LM818" s="1265"/>
      <c r="LN818" s="1265"/>
      <c r="LO818" s="1265"/>
      <c r="LP818" s="1265"/>
      <c r="LQ818" s="1265"/>
      <c r="LR818" s="1265"/>
      <c r="LS818" s="1265"/>
      <c r="LT818" s="1265"/>
      <c r="LU818" s="1265"/>
      <c r="LV818" s="1265"/>
      <c r="LW818" s="1265"/>
      <c r="LX818" s="1265"/>
      <c r="LY818" s="1265"/>
      <c r="LZ818" s="1265"/>
      <c r="MA818" s="1265"/>
      <c r="MB818" s="1265"/>
      <c r="MC818" s="1265"/>
      <c r="MD818" s="1265"/>
      <c r="ME818" s="1265"/>
      <c r="MF818" s="1265"/>
      <c r="MG818" s="1265"/>
      <c r="MH818" s="1265"/>
      <c r="MI818" s="1265"/>
      <c r="MJ818" s="1265"/>
      <c r="MK818" s="1265"/>
      <c r="ML818" s="1265"/>
      <c r="MM818" s="1265"/>
      <c r="MN818" s="1265"/>
      <c r="MO818" s="1265"/>
      <c r="MP818" s="1265"/>
      <c r="MQ818" s="1265"/>
      <c r="MR818" s="1265"/>
      <c r="MS818" s="1265"/>
      <c r="MT818" s="1265"/>
      <c r="MU818" s="1265"/>
      <c r="MV818" s="1265"/>
      <c r="MW818" s="1265"/>
      <c r="MX818" s="1265"/>
      <c r="MY818" s="1265"/>
      <c r="MZ818" s="1265"/>
      <c r="NA818" s="1265"/>
      <c r="NB818" s="1265"/>
      <c r="NC818" s="1265"/>
      <c r="ND818" s="1265"/>
      <c r="NE818" s="1265"/>
      <c r="NF818" s="1265"/>
      <c r="NG818" s="1265"/>
      <c r="NH818" s="1265"/>
      <c r="NI818" s="1265"/>
      <c r="NJ818" s="1265"/>
      <c r="NK818" s="1265"/>
      <c r="NL818" s="1265"/>
      <c r="NM818" s="1265"/>
      <c r="NN818" s="1265"/>
      <c r="NO818" s="1265"/>
      <c r="NP818" s="1265"/>
      <c r="NQ818" s="1265"/>
      <c r="NR818" s="1265"/>
      <c r="NS818" s="1265"/>
      <c r="NT818" s="1265"/>
      <c r="NU818" s="1265"/>
      <c r="NV818" s="1265"/>
      <c r="NW818" s="1265"/>
      <c r="NX818" s="1265"/>
      <c r="NY818" s="1265"/>
      <c r="NZ818" s="1265"/>
      <c r="OA818" s="1265"/>
      <c r="OB818" s="1265"/>
      <c r="OC818" s="1265"/>
      <c r="OD818" s="1265"/>
      <c r="OE818" s="1265"/>
      <c r="OF818" s="1265"/>
      <c r="OG818" s="1265"/>
      <c r="OH818" s="1265"/>
      <c r="OI818" s="1265"/>
      <c r="OJ818" s="1265"/>
      <c r="OK818" s="1265"/>
      <c r="OL818" s="1265"/>
      <c r="OM818" s="1265"/>
      <c r="ON818" s="1265"/>
      <c r="OO818" s="1265"/>
      <c r="OP818" s="1265"/>
      <c r="OQ818" s="1265"/>
      <c r="OR818" s="1265"/>
      <c r="OS818" s="1265"/>
      <c r="OT818" s="1265"/>
      <c r="OU818" s="1265"/>
      <c r="OV818" s="1265"/>
      <c r="OW818" s="1265"/>
      <c r="OX818" s="1265"/>
      <c r="OY818" s="1265"/>
      <c r="OZ818" s="1265"/>
      <c r="PA818" s="1265"/>
      <c r="PB818" s="1265"/>
      <c r="PC818" s="1265"/>
      <c r="PD818" s="1265"/>
      <c r="PE818" s="1265"/>
      <c r="PF818" s="1265"/>
      <c r="PG818" s="1265"/>
      <c r="PH818" s="1265"/>
      <c r="PI818" s="1265"/>
      <c r="PJ818" s="1265"/>
      <c r="PK818" s="1265"/>
      <c r="PL818" s="1265"/>
      <c r="PM818" s="1265"/>
      <c r="PN818" s="1265"/>
      <c r="PO818" s="1265"/>
      <c r="PP818" s="1265"/>
      <c r="PQ818" s="1265"/>
      <c r="PR818" s="1265"/>
      <c r="PS818" s="1265"/>
      <c r="PT818" s="1265"/>
      <c r="PU818" s="1265"/>
      <c r="PV818" s="1265"/>
      <c r="PW818" s="1265"/>
      <c r="PX818" s="1265"/>
      <c r="PY818" s="1265"/>
      <c r="PZ818" s="1265"/>
      <c r="QA818" s="1265"/>
      <c r="QB818" s="1265"/>
      <c r="QC818" s="1265"/>
      <c r="QD818" s="1265"/>
      <c r="QE818" s="1265"/>
      <c r="QF818" s="1265"/>
      <c r="QG818" s="1265"/>
      <c r="QH818" s="1265"/>
      <c r="QI818" s="1265"/>
      <c r="QJ818" s="1265"/>
      <c r="QK818" s="1265"/>
      <c r="QL818" s="1265"/>
      <c r="QM818" s="1265"/>
      <c r="QN818" s="1265"/>
      <c r="QO818" s="1265"/>
      <c r="QP818" s="1265"/>
      <c r="QQ818" s="1265"/>
      <c r="QR818" s="1265"/>
      <c r="QS818" s="1265"/>
      <c r="QT818" s="1265"/>
      <c r="QU818" s="1265"/>
      <c r="QV818" s="1265"/>
      <c r="QW818" s="1265"/>
      <c r="QX818" s="1265"/>
      <c r="QY818" s="1265"/>
      <c r="QZ818" s="1265"/>
      <c r="RA818" s="1265"/>
      <c r="RB818" s="1265"/>
      <c r="RC818" s="1265"/>
      <c r="RD818" s="1265"/>
      <c r="RE818" s="1265"/>
      <c r="RF818" s="1265"/>
      <c r="RG818" s="1265"/>
      <c r="RH818" s="1265"/>
      <c r="RI818" s="1265"/>
      <c r="RJ818" s="1265"/>
      <c r="RK818" s="1265"/>
      <c r="RL818" s="1265"/>
      <c r="RM818" s="1265"/>
      <c r="RN818" s="1265"/>
      <c r="RO818" s="1265"/>
      <c r="RP818" s="1265"/>
      <c r="RQ818" s="1265"/>
      <c r="RR818" s="1265"/>
      <c r="RS818" s="1265"/>
      <c r="RT818" s="1265"/>
      <c r="RU818" s="1265"/>
      <c r="RV818" s="1265"/>
      <c r="RW818" s="1265"/>
      <c r="RX818" s="1265"/>
      <c r="RY818" s="1265"/>
      <c r="RZ818" s="1265"/>
      <c r="SA818" s="1265"/>
      <c r="SB818" s="1265"/>
      <c r="SC818" s="1265"/>
      <c r="SD818" s="1265"/>
      <c r="SE818" s="1265"/>
      <c r="SF818" s="1265"/>
      <c r="SG818" s="1265"/>
      <c r="SH818" s="1265"/>
      <c r="SI818" s="1265"/>
      <c r="SJ818" s="1265"/>
      <c r="SK818" s="1265"/>
      <c r="SL818" s="1265"/>
      <c r="SM818" s="1265"/>
      <c r="SN818" s="1265"/>
      <c r="SO818" s="1265"/>
      <c r="SP818" s="1265"/>
      <c r="SQ818" s="1265"/>
      <c r="SR818" s="1265"/>
      <c r="SS818" s="1265"/>
      <c r="ST818" s="1265"/>
      <c r="SU818" s="1265"/>
      <c r="SV818" s="1265"/>
      <c r="SW818" s="1265"/>
      <c r="SX818" s="1265"/>
      <c r="SY818" s="1265"/>
      <c r="SZ818" s="1265"/>
      <c r="TA818" s="1265"/>
      <c r="TB818" s="1265"/>
      <c r="TC818" s="1265"/>
      <c r="TD818" s="1265"/>
      <c r="TE818" s="1265"/>
      <c r="TF818" s="1265"/>
      <c r="TG818" s="1265"/>
      <c r="TH818" s="1265"/>
      <c r="TI818" s="1265"/>
      <c r="TJ818" s="1265"/>
      <c r="TK818" s="1265"/>
      <c r="TL818" s="1265"/>
      <c r="TM818" s="1265"/>
      <c r="TN818" s="1265"/>
      <c r="TO818" s="1265"/>
      <c r="TP818" s="1265"/>
      <c r="TQ818" s="1265"/>
      <c r="TR818" s="1265"/>
      <c r="TS818" s="1265"/>
      <c r="TT818" s="1265"/>
      <c r="TU818" s="1265"/>
      <c r="TV818" s="1265"/>
      <c r="TW818" s="1265"/>
      <c r="TX818" s="1265"/>
      <c r="TY818" s="1265"/>
      <c r="TZ818" s="1265"/>
      <c r="UA818" s="1265"/>
      <c r="UB818" s="1265"/>
      <c r="UC818" s="1265"/>
      <c r="UD818" s="1265"/>
      <c r="UE818" s="1265"/>
      <c r="UF818" s="1265"/>
      <c r="UG818" s="1266"/>
    </row>
    <row r="819" spans="1:553" s="1262" customFormat="1" ht="30.75" customHeight="1">
      <c r="A819" s="445"/>
      <c r="B819" s="445"/>
      <c r="C819" s="1405" t="s">
        <v>1172</v>
      </c>
      <c r="D819" s="1406" t="s">
        <v>1173</v>
      </c>
      <c r="E819" s="1406" t="s">
        <v>1173</v>
      </c>
      <c r="F819" s="1407" t="s">
        <v>1173</v>
      </c>
      <c r="G819" s="418" t="s">
        <v>193</v>
      </c>
      <c r="H819" s="359"/>
      <c r="I819" s="1018">
        <v>1</v>
      </c>
      <c r="J819" s="557">
        <v>461900</v>
      </c>
      <c r="K819" s="666">
        <v>0.7</v>
      </c>
      <c r="L819" s="571">
        <f>ROUND(PRODUCT(I819:K819),0)</f>
        <v>323330</v>
      </c>
      <c r="M819" s="356"/>
      <c r="N819" s="356"/>
      <c r="O819" s="356"/>
      <c r="P819" s="356"/>
      <c r="Q819" s="610"/>
      <c r="R819" s="1228"/>
      <c r="S819" s="308"/>
      <c r="T819" s="308"/>
      <c r="U819" s="308"/>
      <c r="V819" s="308"/>
      <c r="W819" s="308"/>
      <c r="X819" s="308"/>
      <c r="Y819" s="308"/>
      <c r="Z819" s="604"/>
      <c r="AA819" s="308"/>
      <c r="AB819" s="308"/>
      <c r="AC819" s="454"/>
      <c r="AD819" s="454"/>
      <c r="AE819" s="454"/>
      <c r="AF819" s="454"/>
      <c r="AG819" s="454"/>
      <c r="AH819" s="454"/>
      <c r="AI819" s="454"/>
      <c r="AJ819" s="454"/>
      <c r="AK819" s="455"/>
      <c r="AL819" s="1263"/>
      <c r="AM819" s="1263"/>
      <c r="AN819" s="1263"/>
      <c r="AO819" s="1263"/>
      <c r="AP819" s="1263"/>
      <c r="AQ819" s="1263"/>
      <c r="AR819" s="1263"/>
      <c r="AS819" s="1264"/>
      <c r="AT819" s="1264"/>
      <c r="AU819" s="1264"/>
      <c r="AV819" s="1264"/>
      <c r="AW819" s="1264"/>
      <c r="AX819" s="1264"/>
      <c r="AY819" s="1264"/>
      <c r="AZ819" s="1264"/>
      <c r="BA819" s="1264"/>
      <c r="BB819" s="1264"/>
      <c r="BC819" s="1264"/>
      <c r="BD819" s="1264"/>
      <c r="BE819" s="1264"/>
      <c r="BF819" s="1264"/>
      <c r="BG819" s="1264"/>
      <c r="BH819" s="1264"/>
      <c r="BI819" s="1264"/>
      <c r="BJ819" s="1264"/>
      <c r="BK819" s="1264"/>
      <c r="BL819" s="1264"/>
      <c r="BM819" s="1264"/>
      <c r="BN819" s="1264"/>
      <c r="BO819" s="1264"/>
      <c r="BP819" s="1265"/>
      <c r="BQ819" s="1265"/>
      <c r="BR819" s="1265"/>
      <c r="BS819" s="1265"/>
      <c r="BT819" s="1265"/>
      <c r="BU819" s="1265"/>
      <c r="BV819" s="1265"/>
      <c r="BW819" s="1265"/>
      <c r="BX819" s="1265"/>
      <c r="BY819" s="1265"/>
      <c r="BZ819" s="1265"/>
      <c r="CA819" s="1265"/>
      <c r="CB819" s="1265"/>
      <c r="CC819" s="1265"/>
      <c r="CD819" s="1265"/>
      <c r="CE819" s="1265"/>
      <c r="CF819" s="1265"/>
      <c r="CG819" s="1265"/>
      <c r="CH819" s="1265"/>
      <c r="CI819" s="1265"/>
      <c r="CJ819" s="1265"/>
      <c r="CK819" s="1265"/>
      <c r="CL819" s="1265"/>
      <c r="CM819" s="1265"/>
      <c r="CN819" s="1265"/>
      <c r="CO819" s="1265"/>
      <c r="CP819" s="1265"/>
      <c r="CQ819" s="1265"/>
      <c r="CR819" s="1265"/>
      <c r="CS819" s="1265"/>
      <c r="CT819" s="1265"/>
      <c r="CU819" s="1265"/>
      <c r="CV819" s="1265"/>
      <c r="CW819" s="1265"/>
      <c r="CX819" s="1265"/>
      <c r="CY819" s="1265"/>
      <c r="CZ819" s="1265"/>
      <c r="DA819" s="1265"/>
      <c r="DB819" s="1265"/>
      <c r="DC819" s="1265"/>
      <c r="DD819" s="1265"/>
      <c r="DE819" s="1265"/>
      <c r="DF819" s="1265"/>
      <c r="DG819" s="1265"/>
      <c r="DH819" s="1265"/>
      <c r="DI819" s="1265"/>
      <c r="DJ819" s="1265"/>
      <c r="DK819" s="1265"/>
      <c r="DL819" s="1265"/>
      <c r="DM819" s="1265"/>
      <c r="DN819" s="1265"/>
      <c r="DO819" s="1265"/>
      <c r="DP819" s="1265"/>
      <c r="DQ819" s="1265"/>
      <c r="DR819" s="1265"/>
      <c r="DS819" s="1265"/>
      <c r="DT819" s="1265"/>
      <c r="DU819" s="1265"/>
      <c r="DV819" s="1265"/>
      <c r="DW819" s="1265"/>
      <c r="DX819" s="1265"/>
      <c r="DY819" s="1265"/>
      <c r="DZ819" s="1265"/>
      <c r="EA819" s="1265"/>
      <c r="EB819" s="1265"/>
      <c r="EC819" s="1265"/>
      <c r="ED819" s="1265"/>
      <c r="EE819" s="1265"/>
      <c r="EF819" s="1265"/>
      <c r="EG819" s="1265"/>
      <c r="EH819" s="1265"/>
      <c r="EI819" s="1265"/>
      <c r="EJ819" s="1265"/>
      <c r="EK819" s="1265"/>
      <c r="EL819" s="1265"/>
      <c r="EM819" s="1265"/>
      <c r="EN819" s="1265"/>
      <c r="EO819" s="1265"/>
      <c r="EP819" s="1265"/>
      <c r="EQ819" s="1265"/>
      <c r="ER819" s="1265"/>
      <c r="ES819" s="1265"/>
      <c r="ET819" s="1265"/>
      <c r="EU819" s="1265"/>
      <c r="EV819" s="1265"/>
      <c r="EW819" s="1265"/>
      <c r="EX819" s="1265"/>
      <c r="EY819" s="1265"/>
      <c r="EZ819" s="1265"/>
      <c r="FA819" s="1265"/>
      <c r="FB819" s="1265"/>
      <c r="FC819" s="1265"/>
      <c r="FD819" s="1265"/>
      <c r="FE819" s="1265"/>
      <c r="FF819" s="1265"/>
      <c r="FG819" s="1265"/>
      <c r="FH819" s="1265"/>
      <c r="FI819" s="1265"/>
      <c r="FJ819" s="1265"/>
      <c r="FK819" s="1265"/>
      <c r="FL819" s="1265"/>
      <c r="FM819" s="1265"/>
      <c r="FN819" s="1265"/>
      <c r="FO819" s="1265"/>
      <c r="FP819" s="1265"/>
      <c r="FQ819" s="1265"/>
      <c r="FR819" s="1265"/>
      <c r="FS819" s="1265"/>
      <c r="FT819" s="1265"/>
      <c r="FU819" s="1265"/>
      <c r="FV819" s="1265"/>
      <c r="FW819" s="1265"/>
      <c r="FX819" s="1265"/>
      <c r="FY819" s="1265"/>
      <c r="FZ819" s="1265"/>
      <c r="GA819" s="1265"/>
      <c r="GB819" s="1265"/>
      <c r="GC819" s="1265"/>
      <c r="GD819" s="1265"/>
      <c r="GE819" s="1265"/>
      <c r="GF819" s="1265"/>
      <c r="GG819" s="1265"/>
      <c r="GH819" s="1265"/>
      <c r="GI819" s="1265"/>
      <c r="GJ819" s="1265"/>
      <c r="GK819" s="1265"/>
      <c r="GL819" s="1265"/>
      <c r="GM819" s="1265"/>
      <c r="GN819" s="1265"/>
      <c r="GO819" s="1265"/>
      <c r="GP819" s="1265"/>
      <c r="GQ819" s="1265"/>
      <c r="GR819" s="1265"/>
      <c r="GS819" s="1265"/>
      <c r="GT819" s="1265"/>
      <c r="GU819" s="1265"/>
      <c r="GV819" s="1265"/>
      <c r="GW819" s="1265"/>
      <c r="GX819" s="1265"/>
      <c r="GY819" s="1265"/>
      <c r="GZ819" s="1265"/>
      <c r="HA819" s="1265"/>
      <c r="HB819" s="1265"/>
      <c r="HC819" s="1265"/>
      <c r="HD819" s="1265"/>
      <c r="HE819" s="1265"/>
      <c r="HF819" s="1265"/>
      <c r="HG819" s="1265"/>
      <c r="HH819" s="1265"/>
      <c r="HI819" s="1265"/>
      <c r="HJ819" s="1265"/>
      <c r="HK819" s="1265"/>
      <c r="HL819" s="1265"/>
      <c r="HM819" s="1265"/>
      <c r="HN819" s="1265"/>
      <c r="HO819" s="1265"/>
      <c r="HP819" s="1265"/>
      <c r="HQ819" s="1265"/>
      <c r="HR819" s="1265"/>
      <c r="HS819" s="1265"/>
      <c r="HT819" s="1265"/>
      <c r="HU819" s="1265"/>
      <c r="HV819" s="1265"/>
      <c r="HW819" s="1265"/>
      <c r="HX819" s="1265"/>
      <c r="HY819" s="1265"/>
      <c r="HZ819" s="1265"/>
      <c r="IA819" s="1265"/>
      <c r="IB819" s="1265"/>
      <c r="IC819" s="1265"/>
      <c r="ID819" s="1265"/>
      <c r="IE819" s="1265"/>
      <c r="IF819" s="1265"/>
      <c r="IG819" s="1265"/>
      <c r="IH819" s="1265"/>
      <c r="II819" s="1265"/>
      <c r="IJ819" s="1265"/>
      <c r="IK819" s="1265"/>
      <c r="IL819" s="1265"/>
      <c r="IM819" s="1265"/>
      <c r="IN819" s="1265"/>
      <c r="IO819" s="1265"/>
      <c r="IP819" s="1265"/>
      <c r="IQ819" s="1265"/>
      <c r="IR819" s="1265"/>
      <c r="IS819" s="1265"/>
      <c r="IT819" s="1265"/>
      <c r="IU819" s="1265"/>
      <c r="IV819" s="1265"/>
      <c r="IW819" s="1265"/>
      <c r="IX819" s="1265"/>
      <c r="IY819" s="1265"/>
      <c r="IZ819" s="1265"/>
      <c r="JA819" s="1265"/>
      <c r="JB819" s="1265"/>
      <c r="JC819" s="1265"/>
      <c r="JD819" s="1265"/>
      <c r="JE819" s="1265"/>
      <c r="JF819" s="1265"/>
      <c r="JG819" s="1265"/>
      <c r="JH819" s="1265"/>
      <c r="JI819" s="1265"/>
      <c r="JJ819" s="1265"/>
      <c r="JK819" s="1265"/>
      <c r="JL819" s="1265"/>
      <c r="JM819" s="1265"/>
      <c r="JN819" s="1265"/>
      <c r="JO819" s="1265"/>
      <c r="JP819" s="1265"/>
      <c r="JQ819" s="1265"/>
      <c r="JR819" s="1265"/>
      <c r="JS819" s="1265"/>
      <c r="JT819" s="1265"/>
      <c r="JU819" s="1265"/>
      <c r="JV819" s="1265"/>
      <c r="JW819" s="1265"/>
      <c r="JX819" s="1265"/>
      <c r="JY819" s="1265"/>
      <c r="JZ819" s="1265"/>
      <c r="KA819" s="1265"/>
      <c r="KB819" s="1265"/>
      <c r="KC819" s="1265"/>
      <c r="KD819" s="1265"/>
      <c r="KE819" s="1265"/>
      <c r="KF819" s="1265"/>
      <c r="KG819" s="1265"/>
      <c r="KH819" s="1265"/>
      <c r="KI819" s="1265"/>
      <c r="KJ819" s="1265"/>
      <c r="KK819" s="1265"/>
      <c r="KL819" s="1265"/>
      <c r="KM819" s="1265"/>
      <c r="KN819" s="1265"/>
      <c r="KO819" s="1265"/>
      <c r="KP819" s="1265"/>
      <c r="KQ819" s="1265"/>
      <c r="KR819" s="1265"/>
      <c r="KS819" s="1265"/>
      <c r="KT819" s="1265"/>
      <c r="KU819" s="1265"/>
      <c r="KV819" s="1265"/>
      <c r="KW819" s="1265"/>
      <c r="KX819" s="1265"/>
      <c r="KY819" s="1265"/>
      <c r="KZ819" s="1265"/>
      <c r="LA819" s="1265"/>
      <c r="LB819" s="1265"/>
      <c r="LC819" s="1265"/>
      <c r="LD819" s="1265"/>
      <c r="LE819" s="1265"/>
      <c r="LF819" s="1265"/>
      <c r="LG819" s="1265"/>
      <c r="LH819" s="1265"/>
      <c r="LI819" s="1265"/>
      <c r="LJ819" s="1265"/>
      <c r="LK819" s="1265"/>
      <c r="LL819" s="1265"/>
      <c r="LM819" s="1265"/>
      <c r="LN819" s="1265"/>
      <c r="LO819" s="1265"/>
      <c r="LP819" s="1265"/>
      <c r="LQ819" s="1265"/>
      <c r="LR819" s="1265"/>
      <c r="LS819" s="1265"/>
      <c r="LT819" s="1265"/>
      <c r="LU819" s="1265"/>
      <c r="LV819" s="1265"/>
      <c r="LW819" s="1265"/>
      <c r="LX819" s="1265"/>
      <c r="LY819" s="1265"/>
      <c r="LZ819" s="1265"/>
      <c r="MA819" s="1265"/>
      <c r="MB819" s="1265"/>
      <c r="MC819" s="1265"/>
      <c r="MD819" s="1265"/>
      <c r="ME819" s="1265"/>
      <c r="MF819" s="1265"/>
      <c r="MG819" s="1265"/>
      <c r="MH819" s="1265"/>
      <c r="MI819" s="1265"/>
      <c r="MJ819" s="1265"/>
      <c r="MK819" s="1265"/>
      <c r="ML819" s="1265"/>
      <c r="MM819" s="1265"/>
      <c r="MN819" s="1265"/>
      <c r="MO819" s="1265"/>
      <c r="MP819" s="1265"/>
      <c r="MQ819" s="1265"/>
      <c r="MR819" s="1265"/>
      <c r="MS819" s="1265"/>
      <c r="MT819" s="1265"/>
      <c r="MU819" s="1265"/>
      <c r="MV819" s="1265"/>
      <c r="MW819" s="1265"/>
      <c r="MX819" s="1265"/>
      <c r="MY819" s="1265"/>
      <c r="MZ819" s="1265"/>
      <c r="NA819" s="1265"/>
      <c r="NB819" s="1265"/>
      <c r="NC819" s="1265"/>
      <c r="ND819" s="1265"/>
      <c r="NE819" s="1265"/>
      <c r="NF819" s="1265"/>
      <c r="NG819" s="1265"/>
      <c r="NH819" s="1265"/>
      <c r="NI819" s="1265"/>
      <c r="NJ819" s="1265"/>
      <c r="NK819" s="1265"/>
      <c r="NL819" s="1265"/>
      <c r="NM819" s="1265"/>
      <c r="NN819" s="1265"/>
      <c r="NO819" s="1265"/>
      <c r="NP819" s="1265"/>
      <c r="NQ819" s="1265"/>
      <c r="NR819" s="1265"/>
      <c r="NS819" s="1265"/>
      <c r="NT819" s="1265"/>
      <c r="NU819" s="1265"/>
      <c r="NV819" s="1265"/>
      <c r="NW819" s="1265"/>
      <c r="NX819" s="1265"/>
      <c r="NY819" s="1265"/>
      <c r="NZ819" s="1265"/>
      <c r="OA819" s="1265"/>
      <c r="OB819" s="1265"/>
      <c r="OC819" s="1265"/>
      <c r="OD819" s="1265"/>
      <c r="OE819" s="1265"/>
      <c r="OF819" s="1265"/>
      <c r="OG819" s="1265"/>
      <c r="OH819" s="1265"/>
      <c r="OI819" s="1265"/>
      <c r="OJ819" s="1265"/>
      <c r="OK819" s="1265"/>
      <c r="OL819" s="1265"/>
      <c r="OM819" s="1265"/>
      <c r="ON819" s="1265"/>
      <c r="OO819" s="1265"/>
      <c r="OP819" s="1265"/>
      <c r="OQ819" s="1265"/>
      <c r="OR819" s="1265"/>
      <c r="OS819" s="1265"/>
      <c r="OT819" s="1265"/>
      <c r="OU819" s="1265"/>
      <c r="OV819" s="1265"/>
      <c r="OW819" s="1265"/>
      <c r="OX819" s="1265"/>
      <c r="OY819" s="1265"/>
      <c r="OZ819" s="1265"/>
      <c r="PA819" s="1265"/>
      <c r="PB819" s="1265"/>
      <c r="PC819" s="1265"/>
      <c r="PD819" s="1265"/>
      <c r="PE819" s="1265"/>
      <c r="PF819" s="1265"/>
      <c r="PG819" s="1265"/>
      <c r="PH819" s="1265"/>
      <c r="PI819" s="1265"/>
      <c r="PJ819" s="1265"/>
      <c r="PK819" s="1265"/>
      <c r="PL819" s="1265"/>
      <c r="PM819" s="1265"/>
      <c r="PN819" s="1265"/>
      <c r="PO819" s="1265"/>
      <c r="PP819" s="1265"/>
      <c r="PQ819" s="1265"/>
      <c r="PR819" s="1265"/>
      <c r="PS819" s="1265"/>
      <c r="PT819" s="1265"/>
      <c r="PU819" s="1265"/>
      <c r="PV819" s="1265"/>
      <c r="PW819" s="1265"/>
      <c r="PX819" s="1265"/>
      <c r="PY819" s="1265"/>
      <c r="PZ819" s="1265"/>
      <c r="QA819" s="1265"/>
      <c r="QB819" s="1265"/>
      <c r="QC819" s="1265"/>
      <c r="QD819" s="1265"/>
      <c r="QE819" s="1265"/>
      <c r="QF819" s="1265"/>
      <c r="QG819" s="1265"/>
      <c r="QH819" s="1265"/>
      <c r="QI819" s="1265"/>
      <c r="QJ819" s="1265"/>
      <c r="QK819" s="1265"/>
      <c r="QL819" s="1265"/>
      <c r="QM819" s="1265"/>
      <c r="QN819" s="1265"/>
      <c r="QO819" s="1265"/>
      <c r="QP819" s="1265"/>
      <c r="QQ819" s="1265"/>
      <c r="QR819" s="1265"/>
      <c r="QS819" s="1265"/>
      <c r="QT819" s="1265"/>
      <c r="QU819" s="1265"/>
      <c r="QV819" s="1265"/>
      <c r="QW819" s="1265"/>
      <c r="QX819" s="1265"/>
      <c r="QY819" s="1265"/>
      <c r="QZ819" s="1265"/>
      <c r="RA819" s="1265"/>
      <c r="RB819" s="1265"/>
      <c r="RC819" s="1265"/>
      <c r="RD819" s="1265"/>
      <c r="RE819" s="1265"/>
      <c r="RF819" s="1265"/>
      <c r="RG819" s="1265"/>
      <c r="RH819" s="1265"/>
      <c r="RI819" s="1265"/>
      <c r="RJ819" s="1265"/>
      <c r="RK819" s="1265"/>
      <c r="RL819" s="1265"/>
      <c r="RM819" s="1265"/>
      <c r="RN819" s="1265"/>
      <c r="RO819" s="1265"/>
      <c r="RP819" s="1265"/>
      <c r="RQ819" s="1265"/>
      <c r="RR819" s="1265"/>
      <c r="RS819" s="1265"/>
      <c r="RT819" s="1265"/>
      <c r="RU819" s="1265"/>
      <c r="RV819" s="1265"/>
      <c r="RW819" s="1265"/>
      <c r="RX819" s="1265"/>
      <c r="RY819" s="1265"/>
      <c r="RZ819" s="1265"/>
      <c r="SA819" s="1265"/>
      <c r="SB819" s="1265"/>
      <c r="SC819" s="1265"/>
      <c r="SD819" s="1265"/>
      <c r="SE819" s="1265"/>
      <c r="SF819" s="1265"/>
      <c r="SG819" s="1265"/>
      <c r="SH819" s="1265"/>
      <c r="SI819" s="1265"/>
      <c r="SJ819" s="1265"/>
      <c r="SK819" s="1265"/>
      <c r="SL819" s="1265"/>
      <c r="SM819" s="1265"/>
      <c r="SN819" s="1265"/>
      <c r="SO819" s="1265"/>
      <c r="SP819" s="1265"/>
      <c r="SQ819" s="1265"/>
      <c r="SR819" s="1265"/>
      <c r="SS819" s="1265"/>
      <c r="ST819" s="1265"/>
      <c r="SU819" s="1265"/>
      <c r="SV819" s="1265"/>
      <c r="SW819" s="1265"/>
      <c r="SX819" s="1265"/>
      <c r="SY819" s="1265"/>
      <c r="SZ819" s="1265"/>
      <c r="TA819" s="1265"/>
      <c r="TB819" s="1265"/>
      <c r="TC819" s="1265"/>
      <c r="TD819" s="1265"/>
      <c r="TE819" s="1265"/>
      <c r="TF819" s="1265"/>
      <c r="TG819" s="1265"/>
      <c r="TH819" s="1265"/>
      <c r="TI819" s="1265"/>
      <c r="TJ819" s="1265"/>
      <c r="TK819" s="1265"/>
      <c r="TL819" s="1265"/>
      <c r="TM819" s="1265"/>
      <c r="TN819" s="1265"/>
      <c r="TO819" s="1265"/>
      <c r="TP819" s="1265"/>
      <c r="TQ819" s="1265"/>
      <c r="TR819" s="1265"/>
      <c r="TS819" s="1265"/>
      <c r="TT819" s="1265"/>
      <c r="TU819" s="1265"/>
      <c r="TV819" s="1265"/>
      <c r="TW819" s="1265"/>
      <c r="TX819" s="1265"/>
      <c r="TY819" s="1265"/>
      <c r="TZ819" s="1265"/>
      <c r="UA819" s="1265"/>
      <c r="UB819" s="1265"/>
      <c r="UC819" s="1265"/>
      <c r="UD819" s="1265"/>
      <c r="UE819" s="1265"/>
      <c r="UF819" s="1265"/>
      <c r="UG819" s="1266"/>
    </row>
    <row r="820" spans="1:553" s="1262" customFormat="1" ht="30.75" customHeight="1">
      <c r="A820" s="445"/>
      <c r="B820" s="445"/>
      <c r="C820" s="1405" t="s">
        <v>455</v>
      </c>
      <c r="D820" s="1406" t="s">
        <v>824</v>
      </c>
      <c r="E820" s="1406" t="s">
        <v>824</v>
      </c>
      <c r="F820" s="1407" t="s">
        <v>824</v>
      </c>
      <c r="G820" s="418" t="s">
        <v>46</v>
      </c>
      <c r="H820" s="359"/>
      <c r="I820" s="1017">
        <f>(95.03*100/500)*(23-(4-3))*1</f>
        <v>418.13200000000001</v>
      </c>
      <c r="J820" s="512">
        <v>11000</v>
      </c>
      <c r="K820" s="565">
        <v>0.7</v>
      </c>
      <c r="L820" s="571">
        <f t="shared" ref="L820:L821" si="123">I820*J820*K820</f>
        <v>3219616.4</v>
      </c>
      <c r="M820" s="356"/>
      <c r="N820" s="356"/>
      <c r="O820" s="356"/>
      <c r="P820" s="356"/>
      <c r="Q820" s="610"/>
      <c r="R820" s="1228"/>
      <c r="S820" s="308"/>
      <c r="T820" s="308"/>
      <c r="U820" s="308"/>
      <c r="V820" s="308"/>
      <c r="W820" s="308"/>
      <c r="X820" s="308"/>
      <c r="Y820" s="308"/>
      <c r="Z820" s="604"/>
      <c r="AA820" s="308"/>
      <c r="AB820" s="308"/>
      <c r="AC820" s="454"/>
      <c r="AD820" s="454"/>
      <c r="AE820" s="454"/>
      <c r="AF820" s="454"/>
      <c r="AG820" s="454"/>
      <c r="AH820" s="454"/>
      <c r="AI820" s="454"/>
      <c r="AJ820" s="454"/>
      <c r="AK820" s="455"/>
      <c r="AL820" s="1263"/>
      <c r="AM820" s="1263"/>
      <c r="AN820" s="1263"/>
      <c r="AO820" s="1263"/>
      <c r="AP820" s="1263"/>
      <c r="AQ820" s="1263"/>
      <c r="AR820" s="1263"/>
      <c r="AS820" s="1264"/>
      <c r="AT820" s="1264"/>
      <c r="AU820" s="1264"/>
      <c r="AV820" s="1264"/>
      <c r="AW820" s="1264"/>
      <c r="AX820" s="1264"/>
      <c r="AY820" s="1264"/>
      <c r="AZ820" s="1264"/>
      <c r="BA820" s="1264"/>
      <c r="BB820" s="1264"/>
      <c r="BC820" s="1264"/>
      <c r="BD820" s="1264"/>
      <c r="BE820" s="1264"/>
      <c r="BF820" s="1264"/>
      <c r="BG820" s="1264"/>
      <c r="BH820" s="1264"/>
      <c r="BI820" s="1264"/>
      <c r="BJ820" s="1264"/>
      <c r="BK820" s="1264"/>
      <c r="BL820" s="1264"/>
      <c r="BM820" s="1264"/>
      <c r="BN820" s="1264"/>
      <c r="BO820" s="1264"/>
      <c r="BP820" s="1265"/>
      <c r="BQ820" s="1265"/>
      <c r="BR820" s="1265"/>
      <c r="BS820" s="1265"/>
      <c r="BT820" s="1265"/>
      <c r="BU820" s="1265"/>
      <c r="BV820" s="1265"/>
      <c r="BW820" s="1265"/>
      <c r="BX820" s="1265"/>
      <c r="BY820" s="1265"/>
      <c r="BZ820" s="1265"/>
      <c r="CA820" s="1265"/>
      <c r="CB820" s="1265"/>
      <c r="CC820" s="1265"/>
      <c r="CD820" s="1265"/>
      <c r="CE820" s="1265"/>
      <c r="CF820" s="1265"/>
      <c r="CG820" s="1265"/>
      <c r="CH820" s="1265"/>
      <c r="CI820" s="1265"/>
      <c r="CJ820" s="1265"/>
      <c r="CK820" s="1265"/>
      <c r="CL820" s="1265"/>
      <c r="CM820" s="1265"/>
      <c r="CN820" s="1265"/>
      <c r="CO820" s="1265"/>
      <c r="CP820" s="1265"/>
      <c r="CQ820" s="1265"/>
      <c r="CR820" s="1265"/>
      <c r="CS820" s="1265"/>
      <c r="CT820" s="1265"/>
      <c r="CU820" s="1265"/>
      <c r="CV820" s="1265"/>
      <c r="CW820" s="1265"/>
      <c r="CX820" s="1265"/>
      <c r="CY820" s="1265"/>
      <c r="CZ820" s="1265"/>
      <c r="DA820" s="1265"/>
      <c r="DB820" s="1265"/>
      <c r="DC820" s="1265"/>
      <c r="DD820" s="1265"/>
      <c r="DE820" s="1265"/>
      <c r="DF820" s="1265"/>
      <c r="DG820" s="1265"/>
      <c r="DH820" s="1265"/>
      <c r="DI820" s="1265"/>
      <c r="DJ820" s="1265"/>
      <c r="DK820" s="1265"/>
      <c r="DL820" s="1265"/>
      <c r="DM820" s="1265"/>
      <c r="DN820" s="1265"/>
      <c r="DO820" s="1265"/>
      <c r="DP820" s="1265"/>
      <c r="DQ820" s="1265"/>
      <c r="DR820" s="1265"/>
      <c r="DS820" s="1265"/>
      <c r="DT820" s="1265"/>
      <c r="DU820" s="1265"/>
      <c r="DV820" s="1265"/>
      <c r="DW820" s="1265"/>
      <c r="DX820" s="1265"/>
      <c r="DY820" s="1265"/>
      <c r="DZ820" s="1265"/>
      <c r="EA820" s="1265"/>
      <c r="EB820" s="1265"/>
      <c r="EC820" s="1265"/>
      <c r="ED820" s="1265"/>
      <c r="EE820" s="1265"/>
      <c r="EF820" s="1265"/>
      <c r="EG820" s="1265"/>
      <c r="EH820" s="1265"/>
      <c r="EI820" s="1265"/>
      <c r="EJ820" s="1265"/>
      <c r="EK820" s="1265"/>
      <c r="EL820" s="1265"/>
      <c r="EM820" s="1265"/>
      <c r="EN820" s="1265"/>
      <c r="EO820" s="1265"/>
      <c r="EP820" s="1265"/>
      <c r="EQ820" s="1265"/>
      <c r="ER820" s="1265"/>
      <c r="ES820" s="1265"/>
      <c r="ET820" s="1265"/>
      <c r="EU820" s="1265"/>
      <c r="EV820" s="1265"/>
      <c r="EW820" s="1265"/>
      <c r="EX820" s="1265"/>
      <c r="EY820" s="1265"/>
      <c r="EZ820" s="1265"/>
      <c r="FA820" s="1265"/>
      <c r="FB820" s="1265"/>
      <c r="FC820" s="1265"/>
      <c r="FD820" s="1265"/>
      <c r="FE820" s="1265"/>
      <c r="FF820" s="1265"/>
      <c r="FG820" s="1265"/>
      <c r="FH820" s="1265"/>
      <c r="FI820" s="1265"/>
      <c r="FJ820" s="1265"/>
      <c r="FK820" s="1265"/>
      <c r="FL820" s="1265"/>
      <c r="FM820" s="1265"/>
      <c r="FN820" s="1265"/>
      <c r="FO820" s="1265"/>
      <c r="FP820" s="1265"/>
      <c r="FQ820" s="1265"/>
      <c r="FR820" s="1265"/>
      <c r="FS820" s="1265"/>
      <c r="FT820" s="1265"/>
      <c r="FU820" s="1265"/>
      <c r="FV820" s="1265"/>
      <c r="FW820" s="1265"/>
      <c r="FX820" s="1265"/>
      <c r="FY820" s="1265"/>
      <c r="FZ820" s="1265"/>
      <c r="GA820" s="1265"/>
      <c r="GB820" s="1265"/>
      <c r="GC820" s="1265"/>
      <c r="GD820" s="1265"/>
      <c r="GE820" s="1265"/>
      <c r="GF820" s="1265"/>
      <c r="GG820" s="1265"/>
      <c r="GH820" s="1265"/>
      <c r="GI820" s="1265"/>
      <c r="GJ820" s="1265"/>
      <c r="GK820" s="1265"/>
      <c r="GL820" s="1265"/>
      <c r="GM820" s="1265"/>
      <c r="GN820" s="1265"/>
      <c r="GO820" s="1265"/>
      <c r="GP820" s="1265"/>
      <c r="GQ820" s="1265"/>
      <c r="GR820" s="1265"/>
      <c r="GS820" s="1265"/>
      <c r="GT820" s="1265"/>
      <c r="GU820" s="1265"/>
      <c r="GV820" s="1265"/>
      <c r="GW820" s="1265"/>
      <c r="GX820" s="1265"/>
      <c r="GY820" s="1265"/>
      <c r="GZ820" s="1265"/>
      <c r="HA820" s="1265"/>
      <c r="HB820" s="1265"/>
      <c r="HC820" s="1265"/>
      <c r="HD820" s="1265"/>
      <c r="HE820" s="1265"/>
      <c r="HF820" s="1265"/>
      <c r="HG820" s="1265"/>
      <c r="HH820" s="1265"/>
      <c r="HI820" s="1265"/>
      <c r="HJ820" s="1265"/>
      <c r="HK820" s="1265"/>
      <c r="HL820" s="1265"/>
      <c r="HM820" s="1265"/>
      <c r="HN820" s="1265"/>
      <c r="HO820" s="1265"/>
      <c r="HP820" s="1265"/>
      <c r="HQ820" s="1265"/>
      <c r="HR820" s="1265"/>
      <c r="HS820" s="1265"/>
      <c r="HT820" s="1265"/>
      <c r="HU820" s="1265"/>
      <c r="HV820" s="1265"/>
      <c r="HW820" s="1265"/>
      <c r="HX820" s="1265"/>
      <c r="HY820" s="1265"/>
      <c r="HZ820" s="1265"/>
      <c r="IA820" s="1265"/>
      <c r="IB820" s="1265"/>
      <c r="IC820" s="1265"/>
      <c r="ID820" s="1265"/>
      <c r="IE820" s="1265"/>
      <c r="IF820" s="1265"/>
      <c r="IG820" s="1265"/>
      <c r="IH820" s="1265"/>
      <c r="II820" s="1265"/>
      <c r="IJ820" s="1265"/>
      <c r="IK820" s="1265"/>
      <c r="IL820" s="1265"/>
      <c r="IM820" s="1265"/>
      <c r="IN820" s="1265"/>
      <c r="IO820" s="1265"/>
      <c r="IP820" s="1265"/>
      <c r="IQ820" s="1265"/>
      <c r="IR820" s="1265"/>
      <c r="IS820" s="1265"/>
      <c r="IT820" s="1265"/>
      <c r="IU820" s="1265"/>
      <c r="IV820" s="1265"/>
      <c r="IW820" s="1265"/>
      <c r="IX820" s="1265"/>
      <c r="IY820" s="1265"/>
      <c r="IZ820" s="1265"/>
      <c r="JA820" s="1265"/>
      <c r="JB820" s="1265"/>
      <c r="JC820" s="1265"/>
      <c r="JD820" s="1265"/>
      <c r="JE820" s="1265"/>
      <c r="JF820" s="1265"/>
      <c r="JG820" s="1265"/>
      <c r="JH820" s="1265"/>
      <c r="JI820" s="1265"/>
      <c r="JJ820" s="1265"/>
      <c r="JK820" s="1265"/>
      <c r="JL820" s="1265"/>
      <c r="JM820" s="1265"/>
      <c r="JN820" s="1265"/>
      <c r="JO820" s="1265"/>
      <c r="JP820" s="1265"/>
      <c r="JQ820" s="1265"/>
      <c r="JR820" s="1265"/>
      <c r="JS820" s="1265"/>
      <c r="JT820" s="1265"/>
      <c r="JU820" s="1265"/>
      <c r="JV820" s="1265"/>
      <c r="JW820" s="1265"/>
      <c r="JX820" s="1265"/>
      <c r="JY820" s="1265"/>
      <c r="JZ820" s="1265"/>
      <c r="KA820" s="1265"/>
      <c r="KB820" s="1265"/>
      <c r="KC820" s="1265"/>
      <c r="KD820" s="1265"/>
      <c r="KE820" s="1265"/>
      <c r="KF820" s="1265"/>
      <c r="KG820" s="1265"/>
      <c r="KH820" s="1265"/>
      <c r="KI820" s="1265"/>
      <c r="KJ820" s="1265"/>
      <c r="KK820" s="1265"/>
      <c r="KL820" s="1265"/>
      <c r="KM820" s="1265"/>
      <c r="KN820" s="1265"/>
      <c r="KO820" s="1265"/>
      <c r="KP820" s="1265"/>
      <c r="KQ820" s="1265"/>
      <c r="KR820" s="1265"/>
      <c r="KS820" s="1265"/>
      <c r="KT820" s="1265"/>
      <c r="KU820" s="1265"/>
      <c r="KV820" s="1265"/>
      <c r="KW820" s="1265"/>
      <c r="KX820" s="1265"/>
      <c r="KY820" s="1265"/>
      <c r="KZ820" s="1265"/>
      <c r="LA820" s="1265"/>
      <c r="LB820" s="1265"/>
      <c r="LC820" s="1265"/>
      <c r="LD820" s="1265"/>
      <c r="LE820" s="1265"/>
      <c r="LF820" s="1265"/>
      <c r="LG820" s="1265"/>
      <c r="LH820" s="1265"/>
      <c r="LI820" s="1265"/>
      <c r="LJ820" s="1265"/>
      <c r="LK820" s="1265"/>
      <c r="LL820" s="1265"/>
      <c r="LM820" s="1265"/>
      <c r="LN820" s="1265"/>
      <c r="LO820" s="1265"/>
      <c r="LP820" s="1265"/>
      <c r="LQ820" s="1265"/>
      <c r="LR820" s="1265"/>
      <c r="LS820" s="1265"/>
      <c r="LT820" s="1265"/>
      <c r="LU820" s="1265"/>
      <c r="LV820" s="1265"/>
      <c r="LW820" s="1265"/>
      <c r="LX820" s="1265"/>
      <c r="LY820" s="1265"/>
      <c r="LZ820" s="1265"/>
      <c r="MA820" s="1265"/>
      <c r="MB820" s="1265"/>
      <c r="MC820" s="1265"/>
      <c r="MD820" s="1265"/>
      <c r="ME820" s="1265"/>
      <c r="MF820" s="1265"/>
      <c r="MG820" s="1265"/>
      <c r="MH820" s="1265"/>
      <c r="MI820" s="1265"/>
      <c r="MJ820" s="1265"/>
      <c r="MK820" s="1265"/>
      <c r="ML820" s="1265"/>
      <c r="MM820" s="1265"/>
      <c r="MN820" s="1265"/>
      <c r="MO820" s="1265"/>
      <c r="MP820" s="1265"/>
      <c r="MQ820" s="1265"/>
      <c r="MR820" s="1265"/>
      <c r="MS820" s="1265"/>
      <c r="MT820" s="1265"/>
      <c r="MU820" s="1265"/>
      <c r="MV820" s="1265"/>
      <c r="MW820" s="1265"/>
      <c r="MX820" s="1265"/>
      <c r="MY820" s="1265"/>
      <c r="MZ820" s="1265"/>
      <c r="NA820" s="1265"/>
      <c r="NB820" s="1265"/>
      <c r="NC820" s="1265"/>
      <c r="ND820" s="1265"/>
      <c r="NE820" s="1265"/>
      <c r="NF820" s="1265"/>
      <c r="NG820" s="1265"/>
      <c r="NH820" s="1265"/>
      <c r="NI820" s="1265"/>
      <c r="NJ820" s="1265"/>
      <c r="NK820" s="1265"/>
      <c r="NL820" s="1265"/>
      <c r="NM820" s="1265"/>
      <c r="NN820" s="1265"/>
      <c r="NO820" s="1265"/>
      <c r="NP820" s="1265"/>
      <c r="NQ820" s="1265"/>
      <c r="NR820" s="1265"/>
      <c r="NS820" s="1265"/>
      <c r="NT820" s="1265"/>
      <c r="NU820" s="1265"/>
      <c r="NV820" s="1265"/>
      <c r="NW820" s="1265"/>
      <c r="NX820" s="1265"/>
      <c r="NY820" s="1265"/>
      <c r="NZ820" s="1265"/>
      <c r="OA820" s="1265"/>
      <c r="OB820" s="1265"/>
      <c r="OC820" s="1265"/>
      <c r="OD820" s="1265"/>
      <c r="OE820" s="1265"/>
      <c r="OF820" s="1265"/>
      <c r="OG820" s="1265"/>
      <c r="OH820" s="1265"/>
      <c r="OI820" s="1265"/>
      <c r="OJ820" s="1265"/>
      <c r="OK820" s="1265"/>
      <c r="OL820" s="1265"/>
      <c r="OM820" s="1265"/>
      <c r="ON820" s="1265"/>
      <c r="OO820" s="1265"/>
      <c r="OP820" s="1265"/>
      <c r="OQ820" s="1265"/>
      <c r="OR820" s="1265"/>
      <c r="OS820" s="1265"/>
      <c r="OT820" s="1265"/>
      <c r="OU820" s="1265"/>
      <c r="OV820" s="1265"/>
      <c r="OW820" s="1265"/>
      <c r="OX820" s="1265"/>
      <c r="OY820" s="1265"/>
      <c r="OZ820" s="1265"/>
      <c r="PA820" s="1265"/>
      <c r="PB820" s="1265"/>
      <c r="PC820" s="1265"/>
      <c r="PD820" s="1265"/>
      <c r="PE820" s="1265"/>
      <c r="PF820" s="1265"/>
      <c r="PG820" s="1265"/>
      <c r="PH820" s="1265"/>
      <c r="PI820" s="1265"/>
      <c r="PJ820" s="1265"/>
      <c r="PK820" s="1265"/>
      <c r="PL820" s="1265"/>
      <c r="PM820" s="1265"/>
      <c r="PN820" s="1265"/>
      <c r="PO820" s="1265"/>
      <c r="PP820" s="1265"/>
      <c r="PQ820" s="1265"/>
      <c r="PR820" s="1265"/>
      <c r="PS820" s="1265"/>
      <c r="PT820" s="1265"/>
      <c r="PU820" s="1265"/>
      <c r="PV820" s="1265"/>
      <c r="PW820" s="1265"/>
      <c r="PX820" s="1265"/>
      <c r="PY820" s="1265"/>
      <c r="PZ820" s="1265"/>
      <c r="QA820" s="1265"/>
      <c r="QB820" s="1265"/>
      <c r="QC820" s="1265"/>
      <c r="QD820" s="1265"/>
      <c r="QE820" s="1265"/>
      <c r="QF820" s="1265"/>
      <c r="QG820" s="1265"/>
      <c r="QH820" s="1265"/>
      <c r="QI820" s="1265"/>
      <c r="QJ820" s="1265"/>
      <c r="QK820" s="1265"/>
      <c r="QL820" s="1265"/>
      <c r="QM820" s="1265"/>
      <c r="QN820" s="1265"/>
      <c r="QO820" s="1265"/>
      <c r="QP820" s="1265"/>
      <c r="QQ820" s="1265"/>
      <c r="QR820" s="1265"/>
      <c r="QS820" s="1265"/>
      <c r="QT820" s="1265"/>
      <c r="QU820" s="1265"/>
      <c r="QV820" s="1265"/>
      <c r="QW820" s="1265"/>
      <c r="QX820" s="1265"/>
      <c r="QY820" s="1265"/>
      <c r="QZ820" s="1265"/>
      <c r="RA820" s="1265"/>
      <c r="RB820" s="1265"/>
      <c r="RC820" s="1265"/>
      <c r="RD820" s="1265"/>
      <c r="RE820" s="1265"/>
      <c r="RF820" s="1265"/>
      <c r="RG820" s="1265"/>
      <c r="RH820" s="1265"/>
      <c r="RI820" s="1265"/>
      <c r="RJ820" s="1265"/>
      <c r="RK820" s="1265"/>
      <c r="RL820" s="1265"/>
      <c r="RM820" s="1265"/>
      <c r="RN820" s="1265"/>
      <c r="RO820" s="1265"/>
      <c r="RP820" s="1265"/>
      <c r="RQ820" s="1265"/>
      <c r="RR820" s="1265"/>
      <c r="RS820" s="1265"/>
      <c r="RT820" s="1265"/>
      <c r="RU820" s="1265"/>
      <c r="RV820" s="1265"/>
      <c r="RW820" s="1265"/>
      <c r="RX820" s="1265"/>
      <c r="RY820" s="1265"/>
      <c r="RZ820" s="1265"/>
      <c r="SA820" s="1265"/>
      <c r="SB820" s="1265"/>
      <c r="SC820" s="1265"/>
      <c r="SD820" s="1265"/>
      <c r="SE820" s="1265"/>
      <c r="SF820" s="1265"/>
      <c r="SG820" s="1265"/>
      <c r="SH820" s="1265"/>
      <c r="SI820" s="1265"/>
      <c r="SJ820" s="1265"/>
      <c r="SK820" s="1265"/>
      <c r="SL820" s="1265"/>
      <c r="SM820" s="1265"/>
      <c r="SN820" s="1265"/>
      <c r="SO820" s="1265"/>
      <c r="SP820" s="1265"/>
      <c r="SQ820" s="1265"/>
      <c r="SR820" s="1265"/>
      <c r="SS820" s="1265"/>
      <c r="ST820" s="1265"/>
      <c r="SU820" s="1265"/>
      <c r="SV820" s="1265"/>
      <c r="SW820" s="1265"/>
      <c r="SX820" s="1265"/>
      <c r="SY820" s="1265"/>
      <c r="SZ820" s="1265"/>
      <c r="TA820" s="1265"/>
      <c r="TB820" s="1265"/>
      <c r="TC820" s="1265"/>
      <c r="TD820" s="1265"/>
      <c r="TE820" s="1265"/>
      <c r="TF820" s="1265"/>
      <c r="TG820" s="1265"/>
      <c r="TH820" s="1265"/>
      <c r="TI820" s="1265"/>
      <c r="TJ820" s="1265"/>
      <c r="TK820" s="1265"/>
      <c r="TL820" s="1265"/>
      <c r="TM820" s="1265"/>
      <c r="TN820" s="1265"/>
      <c r="TO820" s="1265"/>
      <c r="TP820" s="1265"/>
      <c r="TQ820" s="1265"/>
      <c r="TR820" s="1265"/>
      <c r="TS820" s="1265"/>
      <c r="TT820" s="1265"/>
      <c r="TU820" s="1265"/>
      <c r="TV820" s="1265"/>
      <c r="TW820" s="1265"/>
      <c r="TX820" s="1265"/>
      <c r="TY820" s="1265"/>
      <c r="TZ820" s="1265"/>
      <c r="UA820" s="1265"/>
      <c r="UB820" s="1265"/>
      <c r="UC820" s="1265"/>
      <c r="UD820" s="1265"/>
      <c r="UE820" s="1265"/>
      <c r="UF820" s="1265"/>
      <c r="UG820" s="1266"/>
    </row>
    <row r="821" spans="1:553" s="1262" customFormat="1" ht="30.75" customHeight="1">
      <c r="A821" s="445"/>
      <c r="B821" s="445"/>
      <c r="C821" s="1405" t="s">
        <v>1174</v>
      </c>
      <c r="D821" s="1406" t="s">
        <v>1175</v>
      </c>
      <c r="E821" s="1406" t="s">
        <v>1175</v>
      </c>
      <c r="F821" s="1407" t="s">
        <v>1175</v>
      </c>
      <c r="G821" s="418" t="s">
        <v>46</v>
      </c>
      <c r="H821" s="359"/>
      <c r="I821" s="1017">
        <f>(95.03*100/500)*(23-(5-3))*2</f>
        <v>798.25199999999995</v>
      </c>
      <c r="J821" s="368">
        <v>11000</v>
      </c>
      <c r="K821" s="565">
        <v>0.7</v>
      </c>
      <c r="L821" s="571">
        <f t="shared" si="123"/>
        <v>6146540.3999999994</v>
      </c>
      <c r="M821" s="356"/>
      <c r="N821" s="356"/>
      <c r="O821" s="356"/>
      <c r="P821" s="356"/>
      <c r="Q821" s="610"/>
      <c r="R821" s="1228"/>
      <c r="S821" s="308"/>
      <c r="T821" s="308"/>
      <c r="U821" s="308"/>
      <c r="V821" s="308"/>
      <c r="W821" s="308"/>
      <c r="X821" s="308"/>
      <c r="Y821" s="308"/>
      <c r="Z821" s="604"/>
      <c r="AA821" s="308"/>
      <c r="AB821" s="308"/>
      <c r="AC821" s="454"/>
      <c r="AD821" s="454"/>
      <c r="AE821" s="454"/>
      <c r="AF821" s="454"/>
      <c r="AG821" s="454"/>
      <c r="AH821" s="454"/>
      <c r="AI821" s="454"/>
      <c r="AJ821" s="454"/>
      <c r="AK821" s="455"/>
      <c r="AL821" s="1263"/>
      <c r="AM821" s="1263"/>
      <c r="AN821" s="1263"/>
      <c r="AO821" s="1263"/>
      <c r="AP821" s="1263"/>
      <c r="AQ821" s="1263"/>
      <c r="AR821" s="1263"/>
      <c r="AS821" s="1264"/>
      <c r="AT821" s="1264"/>
      <c r="AU821" s="1264"/>
      <c r="AV821" s="1264"/>
      <c r="AW821" s="1264"/>
      <c r="AX821" s="1264"/>
      <c r="AY821" s="1264"/>
      <c r="AZ821" s="1264"/>
      <c r="BA821" s="1264"/>
      <c r="BB821" s="1264"/>
      <c r="BC821" s="1264"/>
      <c r="BD821" s="1264"/>
      <c r="BE821" s="1264"/>
      <c r="BF821" s="1264"/>
      <c r="BG821" s="1264"/>
      <c r="BH821" s="1264"/>
      <c r="BI821" s="1264"/>
      <c r="BJ821" s="1264"/>
      <c r="BK821" s="1264"/>
      <c r="BL821" s="1264"/>
      <c r="BM821" s="1264"/>
      <c r="BN821" s="1264"/>
      <c r="BO821" s="1264"/>
      <c r="BP821" s="1265"/>
      <c r="BQ821" s="1265"/>
      <c r="BR821" s="1265"/>
      <c r="BS821" s="1265"/>
      <c r="BT821" s="1265"/>
      <c r="BU821" s="1265"/>
      <c r="BV821" s="1265"/>
      <c r="BW821" s="1265"/>
      <c r="BX821" s="1265"/>
      <c r="BY821" s="1265"/>
      <c r="BZ821" s="1265"/>
      <c r="CA821" s="1265"/>
      <c r="CB821" s="1265"/>
      <c r="CC821" s="1265"/>
      <c r="CD821" s="1265"/>
      <c r="CE821" s="1265"/>
      <c r="CF821" s="1265"/>
      <c r="CG821" s="1265"/>
      <c r="CH821" s="1265"/>
      <c r="CI821" s="1265"/>
      <c r="CJ821" s="1265"/>
      <c r="CK821" s="1265"/>
      <c r="CL821" s="1265"/>
      <c r="CM821" s="1265"/>
      <c r="CN821" s="1265"/>
      <c r="CO821" s="1265"/>
      <c r="CP821" s="1265"/>
      <c r="CQ821" s="1265"/>
      <c r="CR821" s="1265"/>
      <c r="CS821" s="1265"/>
      <c r="CT821" s="1265"/>
      <c r="CU821" s="1265"/>
      <c r="CV821" s="1265"/>
      <c r="CW821" s="1265"/>
      <c r="CX821" s="1265"/>
      <c r="CY821" s="1265"/>
      <c r="CZ821" s="1265"/>
      <c r="DA821" s="1265"/>
      <c r="DB821" s="1265"/>
      <c r="DC821" s="1265"/>
      <c r="DD821" s="1265"/>
      <c r="DE821" s="1265"/>
      <c r="DF821" s="1265"/>
      <c r="DG821" s="1265"/>
      <c r="DH821" s="1265"/>
      <c r="DI821" s="1265"/>
      <c r="DJ821" s="1265"/>
      <c r="DK821" s="1265"/>
      <c r="DL821" s="1265"/>
      <c r="DM821" s="1265"/>
      <c r="DN821" s="1265"/>
      <c r="DO821" s="1265"/>
      <c r="DP821" s="1265"/>
      <c r="DQ821" s="1265"/>
      <c r="DR821" s="1265"/>
      <c r="DS821" s="1265"/>
      <c r="DT821" s="1265"/>
      <c r="DU821" s="1265"/>
      <c r="DV821" s="1265"/>
      <c r="DW821" s="1265"/>
      <c r="DX821" s="1265"/>
      <c r="DY821" s="1265"/>
      <c r="DZ821" s="1265"/>
      <c r="EA821" s="1265"/>
      <c r="EB821" s="1265"/>
      <c r="EC821" s="1265"/>
      <c r="ED821" s="1265"/>
      <c r="EE821" s="1265"/>
      <c r="EF821" s="1265"/>
      <c r="EG821" s="1265"/>
      <c r="EH821" s="1265"/>
      <c r="EI821" s="1265"/>
      <c r="EJ821" s="1265"/>
      <c r="EK821" s="1265"/>
      <c r="EL821" s="1265"/>
      <c r="EM821" s="1265"/>
      <c r="EN821" s="1265"/>
      <c r="EO821" s="1265"/>
      <c r="EP821" s="1265"/>
      <c r="EQ821" s="1265"/>
      <c r="ER821" s="1265"/>
      <c r="ES821" s="1265"/>
      <c r="ET821" s="1265"/>
      <c r="EU821" s="1265"/>
      <c r="EV821" s="1265"/>
      <c r="EW821" s="1265"/>
      <c r="EX821" s="1265"/>
      <c r="EY821" s="1265"/>
      <c r="EZ821" s="1265"/>
      <c r="FA821" s="1265"/>
      <c r="FB821" s="1265"/>
      <c r="FC821" s="1265"/>
      <c r="FD821" s="1265"/>
      <c r="FE821" s="1265"/>
      <c r="FF821" s="1265"/>
      <c r="FG821" s="1265"/>
      <c r="FH821" s="1265"/>
      <c r="FI821" s="1265"/>
      <c r="FJ821" s="1265"/>
      <c r="FK821" s="1265"/>
      <c r="FL821" s="1265"/>
      <c r="FM821" s="1265"/>
      <c r="FN821" s="1265"/>
      <c r="FO821" s="1265"/>
      <c r="FP821" s="1265"/>
      <c r="FQ821" s="1265"/>
      <c r="FR821" s="1265"/>
      <c r="FS821" s="1265"/>
      <c r="FT821" s="1265"/>
      <c r="FU821" s="1265"/>
      <c r="FV821" s="1265"/>
      <c r="FW821" s="1265"/>
      <c r="FX821" s="1265"/>
      <c r="FY821" s="1265"/>
      <c r="FZ821" s="1265"/>
      <c r="GA821" s="1265"/>
      <c r="GB821" s="1265"/>
      <c r="GC821" s="1265"/>
      <c r="GD821" s="1265"/>
      <c r="GE821" s="1265"/>
      <c r="GF821" s="1265"/>
      <c r="GG821" s="1265"/>
      <c r="GH821" s="1265"/>
      <c r="GI821" s="1265"/>
      <c r="GJ821" s="1265"/>
      <c r="GK821" s="1265"/>
      <c r="GL821" s="1265"/>
      <c r="GM821" s="1265"/>
      <c r="GN821" s="1265"/>
      <c r="GO821" s="1265"/>
      <c r="GP821" s="1265"/>
      <c r="GQ821" s="1265"/>
      <c r="GR821" s="1265"/>
      <c r="GS821" s="1265"/>
      <c r="GT821" s="1265"/>
      <c r="GU821" s="1265"/>
      <c r="GV821" s="1265"/>
      <c r="GW821" s="1265"/>
      <c r="GX821" s="1265"/>
      <c r="GY821" s="1265"/>
      <c r="GZ821" s="1265"/>
      <c r="HA821" s="1265"/>
      <c r="HB821" s="1265"/>
      <c r="HC821" s="1265"/>
      <c r="HD821" s="1265"/>
      <c r="HE821" s="1265"/>
      <c r="HF821" s="1265"/>
      <c r="HG821" s="1265"/>
      <c r="HH821" s="1265"/>
      <c r="HI821" s="1265"/>
      <c r="HJ821" s="1265"/>
      <c r="HK821" s="1265"/>
      <c r="HL821" s="1265"/>
      <c r="HM821" s="1265"/>
      <c r="HN821" s="1265"/>
      <c r="HO821" s="1265"/>
      <c r="HP821" s="1265"/>
      <c r="HQ821" s="1265"/>
      <c r="HR821" s="1265"/>
      <c r="HS821" s="1265"/>
      <c r="HT821" s="1265"/>
      <c r="HU821" s="1265"/>
      <c r="HV821" s="1265"/>
      <c r="HW821" s="1265"/>
      <c r="HX821" s="1265"/>
      <c r="HY821" s="1265"/>
      <c r="HZ821" s="1265"/>
      <c r="IA821" s="1265"/>
      <c r="IB821" s="1265"/>
      <c r="IC821" s="1265"/>
      <c r="ID821" s="1265"/>
      <c r="IE821" s="1265"/>
      <c r="IF821" s="1265"/>
      <c r="IG821" s="1265"/>
      <c r="IH821" s="1265"/>
      <c r="II821" s="1265"/>
      <c r="IJ821" s="1265"/>
      <c r="IK821" s="1265"/>
      <c r="IL821" s="1265"/>
      <c r="IM821" s="1265"/>
      <c r="IN821" s="1265"/>
      <c r="IO821" s="1265"/>
      <c r="IP821" s="1265"/>
      <c r="IQ821" s="1265"/>
      <c r="IR821" s="1265"/>
      <c r="IS821" s="1265"/>
      <c r="IT821" s="1265"/>
      <c r="IU821" s="1265"/>
      <c r="IV821" s="1265"/>
      <c r="IW821" s="1265"/>
      <c r="IX821" s="1265"/>
      <c r="IY821" s="1265"/>
      <c r="IZ821" s="1265"/>
      <c r="JA821" s="1265"/>
      <c r="JB821" s="1265"/>
      <c r="JC821" s="1265"/>
      <c r="JD821" s="1265"/>
      <c r="JE821" s="1265"/>
      <c r="JF821" s="1265"/>
      <c r="JG821" s="1265"/>
      <c r="JH821" s="1265"/>
      <c r="JI821" s="1265"/>
      <c r="JJ821" s="1265"/>
      <c r="JK821" s="1265"/>
      <c r="JL821" s="1265"/>
      <c r="JM821" s="1265"/>
      <c r="JN821" s="1265"/>
      <c r="JO821" s="1265"/>
      <c r="JP821" s="1265"/>
      <c r="JQ821" s="1265"/>
      <c r="JR821" s="1265"/>
      <c r="JS821" s="1265"/>
      <c r="JT821" s="1265"/>
      <c r="JU821" s="1265"/>
      <c r="JV821" s="1265"/>
      <c r="JW821" s="1265"/>
      <c r="JX821" s="1265"/>
      <c r="JY821" s="1265"/>
      <c r="JZ821" s="1265"/>
      <c r="KA821" s="1265"/>
      <c r="KB821" s="1265"/>
      <c r="KC821" s="1265"/>
      <c r="KD821" s="1265"/>
      <c r="KE821" s="1265"/>
      <c r="KF821" s="1265"/>
      <c r="KG821" s="1265"/>
      <c r="KH821" s="1265"/>
      <c r="KI821" s="1265"/>
      <c r="KJ821" s="1265"/>
      <c r="KK821" s="1265"/>
      <c r="KL821" s="1265"/>
      <c r="KM821" s="1265"/>
      <c r="KN821" s="1265"/>
      <c r="KO821" s="1265"/>
      <c r="KP821" s="1265"/>
      <c r="KQ821" s="1265"/>
      <c r="KR821" s="1265"/>
      <c r="KS821" s="1265"/>
      <c r="KT821" s="1265"/>
      <c r="KU821" s="1265"/>
      <c r="KV821" s="1265"/>
      <c r="KW821" s="1265"/>
      <c r="KX821" s="1265"/>
      <c r="KY821" s="1265"/>
      <c r="KZ821" s="1265"/>
      <c r="LA821" s="1265"/>
      <c r="LB821" s="1265"/>
      <c r="LC821" s="1265"/>
      <c r="LD821" s="1265"/>
      <c r="LE821" s="1265"/>
      <c r="LF821" s="1265"/>
      <c r="LG821" s="1265"/>
      <c r="LH821" s="1265"/>
      <c r="LI821" s="1265"/>
      <c r="LJ821" s="1265"/>
      <c r="LK821" s="1265"/>
      <c r="LL821" s="1265"/>
      <c r="LM821" s="1265"/>
      <c r="LN821" s="1265"/>
      <c r="LO821" s="1265"/>
      <c r="LP821" s="1265"/>
      <c r="LQ821" s="1265"/>
      <c r="LR821" s="1265"/>
      <c r="LS821" s="1265"/>
      <c r="LT821" s="1265"/>
      <c r="LU821" s="1265"/>
      <c r="LV821" s="1265"/>
      <c r="LW821" s="1265"/>
      <c r="LX821" s="1265"/>
      <c r="LY821" s="1265"/>
      <c r="LZ821" s="1265"/>
      <c r="MA821" s="1265"/>
      <c r="MB821" s="1265"/>
      <c r="MC821" s="1265"/>
      <c r="MD821" s="1265"/>
      <c r="ME821" s="1265"/>
      <c r="MF821" s="1265"/>
      <c r="MG821" s="1265"/>
      <c r="MH821" s="1265"/>
      <c r="MI821" s="1265"/>
      <c r="MJ821" s="1265"/>
      <c r="MK821" s="1265"/>
      <c r="ML821" s="1265"/>
      <c r="MM821" s="1265"/>
      <c r="MN821" s="1265"/>
      <c r="MO821" s="1265"/>
      <c r="MP821" s="1265"/>
      <c r="MQ821" s="1265"/>
      <c r="MR821" s="1265"/>
      <c r="MS821" s="1265"/>
      <c r="MT821" s="1265"/>
      <c r="MU821" s="1265"/>
      <c r="MV821" s="1265"/>
      <c r="MW821" s="1265"/>
      <c r="MX821" s="1265"/>
      <c r="MY821" s="1265"/>
      <c r="MZ821" s="1265"/>
      <c r="NA821" s="1265"/>
      <c r="NB821" s="1265"/>
      <c r="NC821" s="1265"/>
      <c r="ND821" s="1265"/>
      <c r="NE821" s="1265"/>
      <c r="NF821" s="1265"/>
      <c r="NG821" s="1265"/>
      <c r="NH821" s="1265"/>
      <c r="NI821" s="1265"/>
      <c r="NJ821" s="1265"/>
      <c r="NK821" s="1265"/>
      <c r="NL821" s="1265"/>
      <c r="NM821" s="1265"/>
      <c r="NN821" s="1265"/>
      <c r="NO821" s="1265"/>
      <c r="NP821" s="1265"/>
      <c r="NQ821" s="1265"/>
      <c r="NR821" s="1265"/>
      <c r="NS821" s="1265"/>
      <c r="NT821" s="1265"/>
      <c r="NU821" s="1265"/>
      <c r="NV821" s="1265"/>
      <c r="NW821" s="1265"/>
      <c r="NX821" s="1265"/>
      <c r="NY821" s="1265"/>
      <c r="NZ821" s="1265"/>
      <c r="OA821" s="1265"/>
      <c r="OB821" s="1265"/>
      <c r="OC821" s="1265"/>
      <c r="OD821" s="1265"/>
      <c r="OE821" s="1265"/>
      <c r="OF821" s="1265"/>
      <c r="OG821" s="1265"/>
      <c r="OH821" s="1265"/>
      <c r="OI821" s="1265"/>
      <c r="OJ821" s="1265"/>
      <c r="OK821" s="1265"/>
      <c r="OL821" s="1265"/>
      <c r="OM821" s="1265"/>
      <c r="ON821" s="1265"/>
      <c r="OO821" s="1265"/>
      <c r="OP821" s="1265"/>
      <c r="OQ821" s="1265"/>
      <c r="OR821" s="1265"/>
      <c r="OS821" s="1265"/>
      <c r="OT821" s="1265"/>
      <c r="OU821" s="1265"/>
      <c r="OV821" s="1265"/>
      <c r="OW821" s="1265"/>
      <c r="OX821" s="1265"/>
      <c r="OY821" s="1265"/>
      <c r="OZ821" s="1265"/>
      <c r="PA821" s="1265"/>
      <c r="PB821" s="1265"/>
      <c r="PC821" s="1265"/>
      <c r="PD821" s="1265"/>
      <c r="PE821" s="1265"/>
      <c r="PF821" s="1265"/>
      <c r="PG821" s="1265"/>
      <c r="PH821" s="1265"/>
      <c r="PI821" s="1265"/>
      <c r="PJ821" s="1265"/>
      <c r="PK821" s="1265"/>
      <c r="PL821" s="1265"/>
      <c r="PM821" s="1265"/>
      <c r="PN821" s="1265"/>
      <c r="PO821" s="1265"/>
      <c r="PP821" s="1265"/>
      <c r="PQ821" s="1265"/>
      <c r="PR821" s="1265"/>
      <c r="PS821" s="1265"/>
      <c r="PT821" s="1265"/>
      <c r="PU821" s="1265"/>
      <c r="PV821" s="1265"/>
      <c r="PW821" s="1265"/>
      <c r="PX821" s="1265"/>
      <c r="PY821" s="1265"/>
      <c r="PZ821" s="1265"/>
      <c r="QA821" s="1265"/>
      <c r="QB821" s="1265"/>
      <c r="QC821" s="1265"/>
      <c r="QD821" s="1265"/>
      <c r="QE821" s="1265"/>
      <c r="QF821" s="1265"/>
      <c r="QG821" s="1265"/>
      <c r="QH821" s="1265"/>
      <c r="QI821" s="1265"/>
      <c r="QJ821" s="1265"/>
      <c r="QK821" s="1265"/>
      <c r="QL821" s="1265"/>
      <c r="QM821" s="1265"/>
      <c r="QN821" s="1265"/>
      <c r="QO821" s="1265"/>
      <c r="QP821" s="1265"/>
      <c r="QQ821" s="1265"/>
      <c r="QR821" s="1265"/>
      <c r="QS821" s="1265"/>
      <c r="QT821" s="1265"/>
      <c r="QU821" s="1265"/>
      <c r="QV821" s="1265"/>
      <c r="QW821" s="1265"/>
      <c r="QX821" s="1265"/>
      <c r="QY821" s="1265"/>
      <c r="QZ821" s="1265"/>
      <c r="RA821" s="1265"/>
      <c r="RB821" s="1265"/>
      <c r="RC821" s="1265"/>
      <c r="RD821" s="1265"/>
      <c r="RE821" s="1265"/>
      <c r="RF821" s="1265"/>
      <c r="RG821" s="1265"/>
      <c r="RH821" s="1265"/>
      <c r="RI821" s="1265"/>
      <c r="RJ821" s="1265"/>
      <c r="RK821" s="1265"/>
      <c r="RL821" s="1265"/>
      <c r="RM821" s="1265"/>
      <c r="RN821" s="1265"/>
      <c r="RO821" s="1265"/>
      <c r="RP821" s="1265"/>
      <c r="RQ821" s="1265"/>
      <c r="RR821" s="1265"/>
      <c r="RS821" s="1265"/>
      <c r="RT821" s="1265"/>
      <c r="RU821" s="1265"/>
      <c r="RV821" s="1265"/>
      <c r="RW821" s="1265"/>
      <c r="RX821" s="1265"/>
      <c r="RY821" s="1265"/>
      <c r="RZ821" s="1265"/>
      <c r="SA821" s="1265"/>
      <c r="SB821" s="1265"/>
      <c r="SC821" s="1265"/>
      <c r="SD821" s="1265"/>
      <c r="SE821" s="1265"/>
      <c r="SF821" s="1265"/>
      <c r="SG821" s="1265"/>
      <c r="SH821" s="1265"/>
      <c r="SI821" s="1265"/>
      <c r="SJ821" s="1265"/>
      <c r="SK821" s="1265"/>
      <c r="SL821" s="1265"/>
      <c r="SM821" s="1265"/>
      <c r="SN821" s="1265"/>
      <c r="SO821" s="1265"/>
      <c r="SP821" s="1265"/>
      <c r="SQ821" s="1265"/>
      <c r="SR821" s="1265"/>
      <c r="SS821" s="1265"/>
      <c r="ST821" s="1265"/>
      <c r="SU821" s="1265"/>
      <c r="SV821" s="1265"/>
      <c r="SW821" s="1265"/>
      <c r="SX821" s="1265"/>
      <c r="SY821" s="1265"/>
      <c r="SZ821" s="1265"/>
      <c r="TA821" s="1265"/>
      <c r="TB821" s="1265"/>
      <c r="TC821" s="1265"/>
      <c r="TD821" s="1265"/>
      <c r="TE821" s="1265"/>
      <c r="TF821" s="1265"/>
      <c r="TG821" s="1265"/>
      <c r="TH821" s="1265"/>
      <c r="TI821" s="1265"/>
      <c r="TJ821" s="1265"/>
      <c r="TK821" s="1265"/>
      <c r="TL821" s="1265"/>
      <c r="TM821" s="1265"/>
      <c r="TN821" s="1265"/>
      <c r="TO821" s="1265"/>
      <c r="TP821" s="1265"/>
      <c r="TQ821" s="1265"/>
      <c r="TR821" s="1265"/>
      <c r="TS821" s="1265"/>
      <c r="TT821" s="1265"/>
      <c r="TU821" s="1265"/>
      <c r="TV821" s="1265"/>
      <c r="TW821" s="1265"/>
      <c r="TX821" s="1265"/>
      <c r="TY821" s="1265"/>
      <c r="TZ821" s="1265"/>
      <c r="UA821" s="1265"/>
      <c r="UB821" s="1265"/>
      <c r="UC821" s="1265"/>
      <c r="UD821" s="1265"/>
      <c r="UE821" s="1265"/>
      <c r="UF821" s="1265"/>
      <c r="UG821" s="1266"/>
    </row>
    <row r="822" spans="1:553" s="1262" customFormat="1" ht="30.75" customHeight="1">
      <c r="A822" s="445"/>
      <c r="B822" s="445"/>
      <c r="C822" s="1405" t="s">
        <v>374</v>
      </c>
      <c r="D822" s="1406" t="s">
        <v>1176</v>
      </c>
      <c r="E822" s="1406" t="s">
        <v>1176</v>
      </c>
      <c r="F822" s="1407" t="s">
        <v>1176</v>
      </c>
      <c r="G822" s="418" t="s">
        <v>196</v>
      </c>
      <c r="H822" s="359"/>
      <c r="I822" s="794">
        <f>(95.03*100/500)*(23-(6-3))*2</f>
        <v>760.24</v>
      </c>
      <c r="J822" s="368">
        <v>11000</v>
      </c>
      <c r="K822" s="650">
        <v>0.7</v>
      </c>
      <c r="L822" s="571">
        <f t="shared" ref="L822" si="124">ROUND(PRODUCT(I822:K822),0)</f>
        <v>5853848</v>
      </c>
      <c r="M822" s="356"/>
      <c r="N822" s="356"/>
      <c r="O822" s="356"/>
      <c r="P822" s="356"/>
      <c r="Q822" s="610"/>
      <c r="R822" s="1228"/>
      <c r="S822" s="308"/>
      <c r="T822" s="308"/>
      <c r="U822" s="308"/>
      <c r="V822" s="308"/>
      <c r="W822" s="308"/>
      <c r="X822" s="308"/>
      <c r="Y822" s="308"/>
      <c r="Z822" s="604"/>
      <c r="AA822" s="308"/>
      <c r="AB822" s="308"/>
      <c r="AC822" s="454"/>
      <c r="AD822" s="454"/>
      <c r="AE822" s="454"/>
      <c r="AF822" s="454"/>
      <c r="AG822" s="454"/>
      <c r="AH822" s="454"/>
      <c r="AI822" s="454"/>
      <c r="AJ822" s="454"/>
      <c r="AK822" s="455"/>
      <c r="AL822" s="1263"/>
      <c r="AM822" s="1263"/>
      <c r="AN822" s="1263"/>
      <c r="AO822" s="1263"/>
      <c r="AP822" s="1263"/>
      <c r="AQ822" s="1263"/>
      <c r="AR822" s="1263"/>
      <c r="AS822" s="1264"/>
      <c r="AT822" s="1264"/>
      <c r="AU822" s="1264"/>
      <c r="AV822" s="1264"/>
      <c r="AW822" s="1264"/>
      <c r="AX822" s="1264"/>
      <c r="AY822" s="1264"/>
      <c r="AZ822" s="1264"/>
      <c r="BA822" s="1264"/>
      <c r="BB822" s="1264"/>
      <c r="BC822" s="1264"/>
      <c r="BD822" s="1264"/>
      <c r="BE822" s="1264"/>
      <c r="BF822" s="1264"/>
      <c r="BG822" s="1264"/>
      <c r="BH822" s="1264"/>
      <c r="BI822" s="1264"/>
      <c r="BJ822" s="1264"/>
      <c r="BK822" s="1264"/>
      <c r="BL822" s="1264"/>
      <c r="BM822" s="1264"/>
      <c r="BN822" s="1264"/>
      <c r="BO822" s="1264"/>
      <c r="BP822" s="1265"/>
      <c r="BQ822" s="1265"/>
      <c r="BR822" s="1265"/>
      <c r="BS822" s="1265"/>
      <c r="BT822" s="1265"/>
      <c r="BU822" s="1265"/>
      <c r="BV822" s="1265"/>
      <c r="BW822" s="1265"/>
      <c r="BX822" s="1265"/>
      <c r="BY822" s="1265"/>
      <c r="BZ822" s="1265"/>
      <c r="CA822" s="1265"/>
      <c r="CB822" s="1265"/>
      <c r="CC822" s="1265"/>
      <c r="CD822" s="1265"/>
      <c r="CE822" s="1265"/>
      <c r="CF822" s="1265"/>
      <c r="CG822" s="1265"/>
      <c r="CH822" s="1265"/>
      <c r="CI822" s="1265"/>
      <c r="CJ822" s="1265"/>
      <c r="CK822" s="1265"/>
      <c r="CL822" s="1265"/>
      <c r="CM822" s="1265"/>
      <c r="CN822" s="1265"/>
      <c r="CO822" s="1265"/>
      <c r="CP822" s="1265"/>
      <c r="CQ822" s="1265"/>
      <c r="CR822" s="1265"/>
      <c r="CS822" s="1265"/>
      <c r="CT822" s="1265"/>
      <c r="CU822" s="1265"/>
      <c r="CV822" s="1265"/>
      <c r="CW822" s="1265"/>
      <c r="CX822" s="1265"/>
      <c r="CY822" s="1265"/>
      <c r="CZ822" s="1265"/>
      <c r="DA822" s="1265"/>
      <c r="DB822" s="1265"/>
      <c r="DC822" s="1265"/>
      <c r="DD822" s="1265"/>
      <c r="DE822" s="1265"/>
      <c r="DF822" s="1265"/>
      <c r="DG822" s="1265"/>
      <c r="DH822" s="1265"/>
      <c r="DI822" s="1265"/>
      <c r="DJ822" s="1265"/>
      <c r="DK822" s="1265"/>
      <c r="DL822" s="1265"/>
      <c r="DM822" s="1265"/>
      <c r="DN822" s="1265"/>
      <c r="DO822" s="1265"/>
      <c r="DP822" s="1265"/>
      <c r="DQ822" s="1265"/>
      <c r="DR822" s="1265"/>
      <c r="DS822" s="1265"/>
      <c r="DT822" s="1265"/>
      <c r="DU822" s="1265"/>
      <c r="DV822" s="1265"/>
      <c r="DW822" s="1265"/>
      <c r="DX822" s="1265"/>
      <c r="DY822" s="1265"/>
      <c r="DZ822" s="1265"/>
      <c r="EA822" s="1265"/>
      <c r="EB822" s="1265"/>
      <c r="EC822" s="1265"/>
      <c r="ED822" s="1265"/>
      <c r="EE822" s="1265"/>
      <c r="EF822" s="1265"/>
      <c r="EG822" s="1265"/>
      <c r="EH822" s="1265"/>
      <c r="EI822" s="1265"/>
      <c r="EJ822" s="1265"/>
      <c r="EK822" s="1265"/>
      <c r="EL822" s="1265"/>
      <c r="EM822" s="1265"/>
      <c r="EN822" s="1265"/>
      <c r="EO822" s="1265"/>
      <c r="EP822" s="1265"/>
      <c r="EQ822" s="1265"/>
      <c r="ER822" s="1265"/>
      <c r="ES822" s="1265"/>
      <c r="ET822" s="1265"/>
      <c r="EU822" s="1265"/>
      <c r="EV822" s="1265"/>
      <c r="EW822" s="1265"/>
      <c r="EX822" s="1265"/>
      <c r="EY822" s="1265"/>
      <c r="EZ822" s="1265"/>
      <c r="FA822" s="1265"/>
      <c r="FB822" s="1265"/>
      <c r="FC822" s="1265"/>
      <c r="FD822" s="1265"/>
      <c r="FE822" s="1265"/>
      <c r="FF822" s="1265"/>
      <c r="FG822" s="1265"/>
      <c r="FH822" s="1265"/>
      <c r="FI822" s="1265"/>
      <c r="FJ822" s="1265"/>
      <c r="FK822" s="1265"/>
      <c r="FL822" s="1265"/>
      <c r="FM822" s="1265"/>
      <c r="FN822" s="1265"/>
      <c r="FO822" s="1265"/>
      <c r="FP822" s="1265"/>
      <c r="FQ822" s="1265"/>
      <c r="FR822" s="1265"/>
      <c r="FS822" s="1265"/>
      <c r="FT822" s="1265"/>
      <c r="FU822" s="1265"/>
      <c r="FV822" s="1265"/>
      <c r="FW822" s="1265"/>
      <c r="FX822" s="1265"/>
      <c r="FY822" s="1265"/>
      <c r="FZ822" s="1265"/>
      <c r="GA822" s="1265"/>
      <c r="GB822" s="1265"/>
      <c r="GC822" s="1265"/>
      <c r="GD822" s="1265"/>
      <c r="GE822" s="1265"/>
      <c r="GF822" s="1265"/>
      <c r="GG822" s="1265"/>
      <c r="GH822" s="1265"/>
      <c r="GI822" s="1265"/>
      <c r="GJ822" s="1265"/>
      <c r="GK822" s="1265"/>
      <c r="GL822" s="1265"/>
      <c r="GM822" s="1265"/>
      <c r="GN822" s="1265"/>
      <c r="GO822" s="1265"/>
      <c r="GP822" s="1265"/>
      <c r="GQ822" s="1265"/>
      <c r="GR822" s="1265"/>
      <c r="GS822" s="1265"/>
      <c r="GT822" s="1265"/>
      <c r="GU822" s="1265"/>
      <c r="GV822" s="1265"/>
      <c r="GW822" s="1265"/>
      <c r="GX822" s="1265"/>
      <c r="GY822" s="1265"/>
      <c r="GZ822" s="1265"/>
      <c r="HA822" s="1265"/>
      <c r="HB822" s="1265"/>
      <c r="HC822" s="1265"/>
      <c r="HD822" s="1265"/>
      <c r="HE822" s="1265"/>
      <c r="HF822" s="1265"/>
      <c r="HG822" s="1265"/>
      <c r="HH822" s="1265"/>
      <c r="HI822" s="1265"/>
      <c r="HJ822" s="1265"/>
      <c r="HK822" s="1265"/>
      <c r="HL822" s="1265"/>
      <c r="HM822" s="1265"/>
      <c r="HN822" s="1265"/>
      <c r="HO822" s="1265"/>
      <c r="HP822" s="1265"/>
      <c r="HQ822" s="1265"/>
      <c r="HR822" s="1265"/>
      <c r="HS822" s="1265"/>
      <c r="HT822" s="1265"/>
      <c r="HU822" s="1265"/>
      <c r="HV822" s="1265"/>
      <c r="HW822" s="1265"/>
      <c r="HX822" s="1265"/>
      <c r="HY822" s="1265"/>
      <c r="HZ822" s="1265"/>
      <c r="IA822" s="1265"/>
      <c r="IB822" s="1265"/>
      <c r="IC822" s="1265"/>
      <c r="ID822" s="1265"/>
      <c r="IE822" s="1265"/>
      <c r="IF822" s="1265"/>
      <c r="IG822" s="1265"/>
      <c r="IH822" s="1265"/>
      <c r="II822" s="1265"/>
      <c r="IJ822" s="1265"/>
      <c r="IK822" s="1265"/>
      <c r="IL822" s="1265"/>
      <c r="IM822" s="1265"/>
      <c r="IN822" s="1265"/>
      <c r="IO822" s="1265"/>
      <c r="IP822" s="1265"/>
      <c r="IQ822" s="1265"/>
      <c r="IR822" s="1265"/>
      <c r="IS822" s="1265"/>
      <c r="IT822" s="1265"/>
      <c r="IU822" s="1265"/>
      <c r="IV822" s="1265"/>
      <c r="IW822" s="1265"/>
      <c r="IX822" s="1265"/>
      <c r="IY822" s="1265"/>
      <c r="IZ822" s="1265"/>
      <c r="JA822" s="1265"/>
      <c r="JB822" s="1265"/>
      <c r="JC822" s="1265"/>
      <c r="JD822" s="1265"/>
      <c r="JE822" s="1265"/>
      <c r="JF822" s="1265"/>
      <c r="JG822" s="1265"/>
      <c r="JH822" s="1265"/>
      <c r="JI822" s="1265"/>
      <c r="JJ822" s="1265"/>
      <c r="JK822" s="1265"/>
      <c r="JL822" s="1265"/>
      <c r="JM822" s="1265"/>
      <c r="JN822" s="1265"/>
      <c r="JO822" s="1265"/>
      <c r="JP822" s="1265"/>
      <c r="JQ822" s="1265"/>
      <c r="JR822" s="1265"/>
      <c r="JS822" s="1265"/>
      <c r="JT822" s="1265"/>
      <c r="JU822" s="1265"/>
      <c r="JV822" s="1265"/>
      <c r="JW822" s="1265"/>
      <c r="JX822" s="1265"/>
      <c r="JY822" s="1265"/>
      <c r="JZ822" s="1265"/>
      <c r="KA822" s="1265"/>
      <c r="KB822" s="1265"/>
      <c r="KC822" s="1265"/>
      <c r="KD822" s="1265"/>
      <c r="KE822" s="1265"/>
      <c r="KF822" s="1265"/>
      <c r="KG822" s="1265"/>
      <c r="KH822" s="1265"/>
      <c r="KI822" s="1265"/>
      <c r="KJ822" s="1265"/>
      <c r="KK822" s="1265"/>
      <c r="KL822" s="1265"/>
      <c r="KM822" s="1265"/>
      <c r="KN822" s="1265"/>
      <c r="KO822" s="1265"/>
      <c r="KP822" s="1265"/>
      <c r="KQ822" s="1265"/>
      <c r="KR822" s="1265"/>
      <c r="KS822" s="1265"/>
      <c r="KT822" s="1265"/>
      <c r="KU822" s="1265"/>
      <c r="KV822" s="1265"/>
      <c r="KW822" s="1265"/>
      <c r="KX822" s="1265"/>
      <c r="KY822" s="1265"/>
      <c r="KZ822" s="1265"/>
      <c r="LA822" s="1265"/>
      <c r="LB822" s="1265"/>
      <c r="LC822" s="1265"/>
      <c r="LD822" s="1265"/>
      <c r="LE822" s="1265"/>
      <c r="LF822" s="1265"/>
      <c r="LG822" s="1265"/>
      <c r="LH822" s="1265"/>
      <c r="LI822" s="1265"/>
      <c r="LJ822" s="1265"/>
      <c r="LK822" s="1265"/>
      <c r="LL822" s="1265"/>
      <c r="LM822" s="1265"/>
      <c r="LN822" s="1265"/>
      <c r="LO822" s="1265"/>
      <c r="LP822" s="1265"/>
      <c r="LQ822" s="1265"/>
      <c r="LR822" s="1265"/>
      <c r="LS822" s="1265"/>
      <c r="LT822" s="1265"/>
      <c r="LU822" s="1265"/>
      <c r="LV822" s="1265"/>
      <c r="LW822" s="1265"/>
      <c r="LX822" s="1265"/>
      <c r="LY822" s="1265"/>
      <c r="LZ822" s="1265"/>
      <c r="MA822" s="1265"/>
      <c r="MB822" s="1265"/>
      <c r="MC822" s="1265"/>
      <c r="MD822" s="1265"/>
      <c r="ME822" s="1265"/>
      <c r="MF822" s="1265"/>
      <c r="MG822" s="1265"/>
      <c r="MH822" s="1265"/>
      <c r="MI822" s="1265"/>
      <c r="MJ822" s="1265"/>
      <c r="MK822" s="1265"/>
      <c r="ML822" s="1265"/>
      <c r="MM822" s="1265"/>
      <c r="MN822" s="1265"/>
      <c r="MO822" s="1265"/>
      <c r="MP822" s="1265"/>
      <c r="MQ822" s="1265"/>
      <c r="MR822" s="1265"/>
      <c r="MS822" s="1265"/>
      <c r="MT822" s="1265"/>
      <c r="MU822" s="1265"/>
      <c r="MV822" s="1265"/>
      <c r="MW822" s="1265"/>
      <c r="MX822" s="1265"/>
      <c r="MY822" s="1265"/>
      <c r="MZ822" s="1265"/>
      <c r="NA822" s="1265"/>
      <c r="NB822" s="1265"/>
      <c r="NC822" s="1265"/>
      <c r="ND822" s="1265"/>
      <c r="NE822" s="1265"/>
      <c r="NF822" s="1265"/>
      <c r="NG822" s="1265"/>
      <c r="NH822" s="1265"/>
      <c r="NI822" s="1265"/>
      <c r="NJ822" s="1265"/>
      <c r="NK822" s="1265"/>
      <c r="NL822" s="1265"/>
      <c r="NM822" s="1265"/>
      <c r="NN822" s="1265"/>
      <c r="NO822" s="1265"/>
      <c r="NP822" s="1265"/>
      <c r="NQ822" s="1265"/>
      <c r="NR822" s="1265"/>
      <c r="NS822" s="1265"/>
      <c r="NT822" s="1265"/>
      <c r="NU822" s="1265"/>
      <c r="NV822" s="1265"/>
      <c r="NW822" s="1265"/>
      <c r="NX822" s="1265"/>
      <c r="NY822" s="1265"/>
      <c r="NZ822" s="1265"/>
      <c r="OA822" s="1265"/>
      <c r="OB822" s="1265"/>
      <c r="OC822" s="1265"/>
      <c r="OD822" s="1265"/>
      <c r="OE822" s="1265"/>
      <c r="OF822" s="1265"/>
      <c r="OG822" s="1265"/>
      <c r="OH822" s="1265"/>
      <c r="OI822" s="1265"/>
      <c r="OJ822" s="1265"/>
      <c r="OK822" s="1265"/>
      <c r="OL822" s="1265"/>
      <c r="OM822" s="1265"/>
      <c r="ON822" s="1265"/>
      <c r="OO822" s="1265"/>
      <c r="OP822" s="1265"/>
      <c r="OQ822" s="1265"/>
      <c r="OR822" s="1265"/>
      <c r="OS822" s="1265"/>
      <c r="OT822" s="1265"/>
      <c r="OU822" s="1265"/>
      <c r="OV822" s="1265"/>
      <c r="OW822" s="1265"/>
      <c r="OX822" s="1265"/>
      <c r="OY822" s="1265"/>
      <c r="OZ822" s="1265"/>
      <c r="PA822" s="1265"/>
      <c r="PB822" s="1265"/>
      <c r="PC822" s="1265"/>
      <c r="PD822" s="1265"/>
      <c r="PE822" s="1265"/>
      <c r="PF822" s="1265"/>
      <c r="PG822" s="1265"/>
      <c r="PH822" s="1265"/>
      <c r="PI822" s="1265"/>
      <c r="PJ822" s="1265"/>
      <c r="PK822" s="1265"/>
      <c r="PL822" s="1265"/>
      <c r="PM822" s="1265"/>
      <c r="PN822" s="1265"/>
      <c r="PO822" s="1265"/>
      <c r="PP822" s="1265"/>
      <c r="PQ822" s="1265"/>
      <c r="PR822" s="1265"/>
      <c r="PS822" s="1265"/>
      <c r="PT822" s="1265"/>
      <c r="PU822" s="1265"/>
      <c r="PV822" s="1265"/>
      <c r="PW822" s="1265"/>
      <c r="PX822" s="1265"/>
      <c r="PY822" s="1265"/>
      <c r="PZ822" s="1265"/>
      <c r="QA822" s="1265"/>
      <c r="QB822" s="1265"/>
      <c r="QC822" s="1265"/>
      <c r="QD822" s="1265"/>
      <c r="QE822" s="1265"/>
      <c r="QF822" s="1265"/>
      <c r="QG822" s="1265"/>
      <c r="QH822" s="1265"/>
      <c r="QI822" s="1265"/>
      <c r="QJ822" s="1265"/>
      <c r="QK822" s="1265"/>
      <c r="QL822" s="1265"/>
      <c r="QM822" s="1265"/>
      <c r="QN822" s="1265"/>
      <c r="QO822" s="1265"/>
      <c r="QP822" s="1265"/>
      <c r="QQ822" s="1265"/>
      <c r="QR822" s="1265"/>
      <c r="QS822" s="1265"/>
      <c r="QT822" s="1265"/>
      <c r="QU822" s="1265"/>
      <c r="QV822" s="1265"/>
      <c r="QW822" s="1265"/>
      <c r="QX822" s="1265"/>
      <c r="QY822" s="1265"/>
      <c r="QZ822" s="1265"/>
      <c r="RA822" s="1265"/>
      <c r="RB822" s="1265"/>
      <c r="RC822" s="1265"/>
      <c r="RD822" s="1265"/>
      <c r="RE822" s="1265"/>
      <c r="RF822" s="1265"/>
      <c r="RG822" s="1265"/>
      <c r="RH822" s="1265"/>
      <c r="RI822" s="1265"/>
      <c r="RJ822" s="1265"/>
      <c r="RK822" s="1265"/>
      <c r="RL822" s="1265"/>
      <c r="RM822" s="1265"/>
      <c r="RN822" s="1265"/>
      <c r="RO822" s="1265"/>
      <c r="RP822" s="1265"/>
      <c r="RQ822" s="1265"/>
      <c r="RR822" s="1265"/>
      <c r="RS822" s="1265"/>
      <c r="RT822" s="1265"/>
      <c r="RU822" s="1265"/>
      <c r="RV822" s="1265"/>
      <c r="RW822" s="1265"/>
      <c r="RX822" s="1265"/>
      <c r="RY822" s="1265"/>
      <c r="RZ822" s="1265"/>
      <c r="SA822" s="1265"/>
      <c r="SB822" s="1265"/>
      <c r="SC822" s="1265"/>
      <c r="SD822" s="1265"/>
      <c r="SE822" s="1265"/>
      <c r="SF822" s="1265"/>
      <c r="SG822" s="1265"/>
      <c r="SH822" s="1265"/>
      <c r="SI822" s="1265"/>
      <c r="SJ822" s="1265"/>
      <c r="SK822" s="1265"/>
      <c r="SL822" s="1265"/>
      <c r="SM822" s="1265"/>
      <c r="SN822" s="1265"/>
      <c r="SO822" s="1265"/>
      <c r="SP822" s="1265"/>
      <c r="SQ822" s="1265"/>
      <c r="SR822" s="1265"/>
      <c r="SS822" s="1265"/>
      <c r="ST822" s="1265"/>
      <c r="SU822" s="1265"/>
      <c r="SV822" s="1265"/>
      <c r="SW822" s="1265"/>
      <c r="SX822" s="1265"/>
      <c r="SY822" s="1265"/>
      <c r="SZ822" s="1265"/>
      <c r="TA822" s="1265"/>
      <c r="TB822" s="1265"/>
      <c r="TC822" s="1265"/>
      <c r="TD822" s="1265"/>
      <c r="TE822" s="1265"/>
      <c r="TF822" s="1265"/>
      <c r="TG822" s="1265"/>
      <c r="TH822" s="1265"/>
      <c r="TI822" s="1265"/>
      <c r="TJ822" s="1265"/>
      <c r="TK822" s="1265"/>
      <c r="TL822" s="1265"/>
      <c r="TM822" s="1265"/>
      <c r="TN822" s="1265"/>
      <c r="TO822" s="1265"/>
      <c r="TP822" s="1265"/>
      <c r="TQ822" s="1265"/>
      <c r="TR822" s="1265"/>
      <c r="TS822" s="1265"/>
      <c r="TT822" s="1265"/>
      <c r="TU822" s="1265"/>
      <c r="TV822" s="1265"/>
      <c r="TW822" s="1265"/>
      <c r="TX822" s="1265"/>
      <c r="TY822" s="1265"/>
      <c r="TZ822" s="1265"/>
      <c r="UA822" s="1265"/>
      <c r="UB822" s="1265"/>
      <c r="UC822" s="1265"/>
      <c r="UD822" s="1265"/>
      <c r="UE822" s="1265"/>
      <c r="UF822" s="1265"/>
      <c r="UG822" s="1266"/>
    </row>
    <row r="823" spans="1:553" s="1262" customFormat="1" ht="30.75" customHeight="1">
      <c r="A823" s="445"/>
      <c r="B823" s="445"/>
      <c r="C823" s="1405" t="s">
        <v>1177</v>
      </c>
      <c r="D823" s="1406" t="s">
        <v>1178</v>
      </c>
      <c r="E823" s="1406" t="s">
        <v>1178</v>
      </c>
      <c r="F823" s="1407" t="s">
        <v>1178</v>
      </c>
      <c r="G823" s="418" t="s">
        <v>196</v>
      </c>
      <c r="H823" s="359"/>
      <c r="I823" s="1019">
        <f>(95.03*100/500)*(23-(8-3))*2</f>
        <v>684.21600000000001</v>
      </c>
      <c r="J823" s="995">
        <v>11000</v>
      </c>
      <c r="K823" s="667">
        <v>0.7</v>
      </c>
      <c r="L823" s="476">
        <f>ROUND(PRODUCT(I823:K823),0)</f>
        <v>5268463</v>
      </c>
      <c r="M823" s="356"/>
      <c r="N823" s="356"/>
      <c r="O823" s="356"/>
      <c r="P823" s="356"/>
      <c r="Q823" s="610"/>
      <c r="R823" s="1228"/>
      <c r="S823" s="308"/>
      <c r="T823" s="308"/>
      <c r="U823" s="308"/>
      <c r="V823" s="308"/>
      <c r="W823" s="308"/>
      <c r="X823" s="308"/>
      <c r="Y823" s="308"/>
      <c r="Z823" s="604"/>
      <c r="AA823" s="308"/>
      <c r="AB823" s="308"/>
      <c r="AC823" s="454"/>
      <c r="AD823" s="454"/>
      <c r="AE823" s="454"/>
      <c r="AF823" s="454"/>
      <c r="AG823" s="454"/>
      <c r="AH823" s="454"/>
      <c r="AI823" s="454"/>
      <c r="AJ823" s="454"/>
      <c r="AK823" s="455"/>
      <c r="AL823" s="1263"/>
      <c r="AM823" s="1263"/>
      <c r="AN823" s="1263"/>
      <c r="AO823" s="1263"/>
      <c r="AP823" s="1263"/>
      <c r="AQ823" s="1263"/>
      <c r="AR823" s="1263"/>
      <c r="AS823" s="1264"/>
      <c r="AT823" s="1264"/>
      <c r="AU823" s="1264"/>
      <c r="AV823" s="1264"/>
      <c r="AW823" s="1264"/>
      <c r="AX823" s="1264"/>
      <c r="AY823" s="1264"/>
      <c r="AZ823" s="1264"/>
      <c r="BA823" s="1264"/>
      <c r="BB823" s="1264"/>
      <c r="BC823" s="1264"/>
      <c r="BD823" s="1264"/>
      <c r="BE823" s="1264"/>
      <c r="BF823" s="1264"/>
      <c r="BG823" s="1264"/>
      <c r="BH823" s="1264"/>
      <c r="BI823" s="1264"/>
      <c r="BJ823" s="1264"/>
      <c r="BK823" s="1264"/>
      <c r="BL823" s="1264"/>
      <c r="BM823" s="1264"/>
      <c r="BN823" s="1264"/>
      <c r="BO823" s="1264"/>
      <c r="BP823" s="1265"/>
      <c r="BQ823" s="1265"/>
      <c r="BR823" s="1265"/>
      <c r="BS823" s="1265"/>
      <c r="BT823" s="1265"/>
      <c r="BU823" s="1265"/>
      <c r="BV823" s="1265"/>
      <c r="BW823" s="1265"/>
      <c r="BX823" s="1265"/>
      <c r="BY823" s="1265"/>
      <c r="BZ823" s="1265"/>
      <c r="CA823" s="1265"/>
      <c r="CB823" s="1265"/>
      <c r="CC823" s="1265"/>
      <c r="CD823" s="1265"/>
      <c r="CE823" s="1265"/>
      <c r="CF823" s="1265"/>
      <c r="CG823" s="1265"/>
      <c r="CH823" s="1265"/>
      <c r="CI823" s="1265"/>
      <c r="CJ823" s="1265"/>
      <c r="CK823" s="1265"/>
      <c r="CL823" s="1265"/>
      <c r="CM823" s="1265"/>
      <c r="CN823" s="1265"/>
      <c r="CO823" s="1265"/>
      <c r="CP823" s="1265"/>
      <c r="CQ823" s="1265"/>
      <c r="CR823" s="1265"/>
      <c r="CS823" s="1265"/>
      <c r="CT823" s="1265"/>
      <c r="CU823" s="1265"/>
      <c r="CV823" s="1265"/>
      <c r="CW823" s="1265"/>
      <c r="CX823" s="1265"/>
      <c r="CY823" s="1265"/>
      <c r="CZ823" s="1265"/>
      <c r="DA823" s="1265"/>
      <c r="DB823" s="1265"/>
      <c r="DC823" s="1265"/>
      <c r="DD823" s="1265"/>
      <c r="DE823" s="1265"/>
      <c r="DF823" s="1265"/>
      <c r="DG823" s="1265"/>
      <c r="DH823" s="1265"/>
      <c r="DI823" s="1265"/>
      <c r="DJ823" s="1265"/>
      <c r="DK823" s="1265"/>
      <c r="DL823" s="1265"/>
      <c r="DM823" s="1265"/>
      <c r="DN823" s="1265"/>
      <c r="DO823" s="1265"/>
      <c r="DP823" s="1265"/>
      <c r="DQ823" s="1265"/>
      <c r="DR823" s="1265"/>
      <c r="DS823" s="1265"/>
      <c r="DT823" s="1265"/>
      <c r="DU823" s="1265"/>
      <c r="DV823" s="1265"/>
      <c r="DW823" s="1265"/>
      <c r="DX823" s="1265"/>
      <c r="DY823" s="1265"/>
      <c r="DZ823" s="1265"/>
      <c r="EA823" s="1265"/>
      <c r="EB823" s="1265"/>
      <c r="EC823" s="1265"/>
      <c r="ED823" s="1265"/>
      <c r="EE823" s="1265"/>
      <c r="EF823" s="1265"/>
      <c r="EG823" s="1265"/>
      <c r="EH823" s="1265"/>
      <c r="EI823" s="1265"/>
      <c r="EJ823" s="1265"/>
      <c r="EK823" s="1265"/>
      <c r="EL823" s="1265"/>
      <c r="EM823" s="1265"/>
      <c r="EN823" s="1265"/>
      <c r="EO823" s="1265"/>
      <c r="EP823" s="1265"/>
      <c r="EQ823" s="1265"/>
      <c r="ER823" s="1265"/>
      <c r="ES823" s="1265"/>
      <c r="ET823" s="1265"/>
      <c r="EU823" s="1265"/>
      <c r="EV823" s="1265"/>
      <c r="EW823" s="1265"/>
      <c r="EX823" s="1265"/>
      <c r="EY823" s="1265"/>
      <c r="EZ823" s="1265"/>
      <c r="FA823" s="1265"/>
      <c r="FB823" s="1265"/>
      <c r="FC823" s="1265"/>
      <c r="FD823" s="1265"/>
      <c r="FE823" s="1265"/>
      <c r="FF823" s="1265"/>
      <c r="FG823" s="1265"/>
      <c r="FH823" s="1265"/>
      <c r="FI823" s="1265"/>
      <c r="FJ823" s="1265"/>
      <c r="FK823" s="1265"/>
      <c r="FL823" s="1265"/>
      <c r="FM823" s="1265"/>
      <c r="FN823" s="1265"/>
      <c r="FO823" s="1265"/>
      <c r="FP823" s="1265"/>
      <c r="FQ823" s="1265"/>
      <c r="FR823" s="1265"/>
      <c r="FS823" s="1265"/>
      <c r="FT823" s="1265"/>
      <c r="FU823" s="1265"/>
      <c r="FV823" s="1265"/>
      <c r="FW823" s="1265"/>
      <c r="FX823" s="1265"/>
      <c r="FY823" s="1265"/>
      <c r="FZ823" s="1265"/>
      <c r="GA823" s="1265"/>
      <c r="GB823" s="1265"/>
      <c r="GC823" s="1265"/>
      <c r="GD823" s="1265"/>
      <c r="GE823" s="1265"/>
      <c r="GF823" s="1265"/>
      <c r="GG823" s="1265"/>
      <c r="GH823" s="1265"/>
      <c r="GI823" s="1265"/>
      <c r="GJ823" s="1265"/>
      <c r="GK823" s="1265"/>
      <c r="GL823" s="1265"/>
      <c r="GM823" s="1265"/>
      <c r="GN823" s="1265"/>
      <c r="GO823" s="1265"/>
      <c r="GP823" s="1265"/>
      <c r="GQ823" s="1265"/>
      <c r="GR823" s="1265"/>
      <c r="GS823" s="1265"/>
      <c r="GT823" s="1265"/>
      <c r="GU823" s="1265"/>
      <c r="GV823" s="1265"/>
      <c r="GW823" s="1265"/>
      <c r="GX823" s="1265"/>
      <c r="GY823" s="1265"/>
      <c r="GZ823" s="1265"/>
      <c r="HA823" s="1265"/>
      <c r="HB823" s="1265"/>
      <c r="HC823" s="1265"/>
      <c r="HD823" s="1265"/>
      <c r="HE823" s="1265"/>
      <c r="HF823" s="1265"/>
      <c r="HG823" s="1265"/>
      <c r="HH823" s="1265"/>
      <c r="HI823" s="1265"/>
      <c r="HJ823" s="1265"/>
      <c r="HK823" s="1265"/>
      <c r="HL823" s="1265"/>
      <c r="HM823" s="1265"/>
      <c r="HN823" s="1265"/>
      <c r="HO823" s="1265"/>
      <c r="HP823" s="1265"/>
      <c r="HQ823" s="1265"/>
      <c r="HR823" s="1265"/>
      <c r="HS823" s="1265"/>
      <c r="HT823" s="1265"/>
      <c r="HU823" s="1265"/>
      <c r="HV823" s="1265"/>
      <c r="HW823" s="1265"/>
      <c r="HX823" s="1265"/>
      <c r="HY823" s="1265"/>
      <c r="HZ823" s="1265"/>
      <c r="IA823" s="1265"/>
      <c r="IB823" s="1265"/>
      <c r="IC823" s="1265"/>
      <c r="ID823" s="1265"/>
      <c r="IE823" s="1265"/>
      <c r="IF823" s="1265"/>
      <c r="IG823" s="1265"/>
      <c r="IH823" s="1265"/>
      <c r="II823" s="1265"/>
      <c r="IJ823" s="1265"/>
      <c r="IK823" s="1265"/>
      <c r="IL823" s="1265"/>
      <c r="IM823" s="1265"/>
      <c r="IN823" s="1265"/>
      <c r="IO823" s="1265"/>
      <c r="IP823" s="1265"/>
      <c r="IQ823" s="1265"/>
      <c r="IR823" s="1265"/>
      <c r="IS823" s="1265"/>
      <c r="IT823" s="1265"/>
      <c r="IU823" s="1265"/>
      <c r="IV823" s="1265"/>
      <c r="IW823" s="1265"/>
      <c r="IX823" s="1265"/>
      <c r="IY823" s="1265"/>
      <c r="IZ823" s="1265"/>
      <c r="JA823" s="1265"/>
      <c r="JB823" s="1265"/>
      <c r="JC823" s="1265"/>
      <c r="JD823" s="1265"/>
      <c r="JE823" s="1265"/>
      <c r="JF823" s="1265"/>
      <c r="JG823" s="1265"/>
      <c r="JH823" s="1265"/>
      <c r="JI823" s="1265"/>
      <c r="JJ823" s="1265"/>
      <c r="JK823" s="1265"/>
      <c r="JL823" s="1265"/>
      <c r="JM823" s="1265"/>
      <c r="JN823" s="1265"/>
      <c r="JO823" s="1265"/>
      <c r="JP823" s="1265"/>
      <c r="JQ823" s="1265"/>
      <c r="JR823" s="1265"/>
      <c r="JS823" s="1265"/>
      <c r="JT823" s="1265"/>
      <c r="JU823" s="1265"/>
      <c r="JV823" s="1265"/>
      <c r="JW823" s="1265"/>
      <c r="JX823" s="1265"/>
      <c r="JY823" s="1265"/>
      <c r="JZ823" s="1265"/>
      <c r="KA823" s="1265"/>
      <c r="KB823" s="1265"/>
      <c r="KC823" s="1265"/>
      <c r="KD823" s="1265"/>
      <c r="KE823" s="1265"/>
      <c r="KF823" s="1265"/>
      <c r="KG823" s="1265"/>
      <c r="KH823" s="1265"/>
      <c r="KI823" s="1265"/>
      <c r="KJ823" s="1265"/>
      <c r="KK823" s="1265"/>
      <c r="KL823" s="1265"/>
      <c r="KM823" s="1265"/>
      <c r="KN823" s="1265"/>
      <c r="KO823" s="1265"/>
      <c r="KP823" s="1265"/>
      <c r="KQ823" s="1265"/>
      <c r="KR823" s="1265"/>
      <c r="KS823" s="1265"/>
      <c r="KT823" s="1265"/>
      <c r="KU823" s="1265"/>
      <c r="KV823" s="1265"/>
      <c r="KW823" s="1265"/>
      <c r="KX823" s="1265"/>
      <c r="KY823" s="1265"/>
      <c r="KZ823" s="1265"/>
      <c r="LA823" s="1265"/>
      <c r="LB823" s="1265"/>
      <c r="LC823" s="1265"/>
      <c r="LD823" s="1265"/>
      <c r="LE823" s="1265"/>
      <c r="LF823" s="1265"/>
      <c r="LG823" s="1265"/>
      <c r="LH823" s="1265"/>
      <c r="LI823" s="1265"/>
      <c r="LJ823" s="1265"/>
      <c r="LK823" s="1265"/>
      <c r="LL823" s="1265"/>
      <c r="LM823" s="1265"/>
      <c r="LN823" s="1265"/>
      <c r="LO823" s="1265"/>
      <c r="LP823" s="1265"/>
      <c r="LQ823" s="1265"/>
      <c r="LR823" s="1265"/>
      <c r="LS823" s="1265"/>
      <c r="LT823" s="1265"/>
      <c r="LU823" s="1265"/>
      <c r="LV823" s="1265"/>
      <c r="LW823" s="1265"/>
      <c r="LX823" s="1265"/>
      <c r="LY823" s="1265"/>
      <c r="LZ823" s="1265"/>
      <c r="MA823" s="1265"/>
      <c r="MB823" s="1265"/>
      <c r="MC823" s="1265"/>
      <c r="MD823" s="1265"/>
      <c r="ME823" s="1265"/>
      <c r="MF823" s="1265"/>
      <c r="MG823" s="1265"/>
      <c r="MH823" s="1265"/>
      <c r="MI823" s="1265"/>
      <c r="MJ823" s="1265"/>
      <c r="MK823" s="1265"/>
      <c r="ML823" s="1265"/>
      <c r="MM823" s="1265"/>
      <c r="MN823" s="1265"/>
      <c r="MO823" s="1265"/>
      <c r="MP823" s="1265"/>
      <c r="MQ823" s="1265"/>
      <c r="MR823" s="1265"/>
      <c r="MS823" s="1265"/>
      <c r="MT823" s="1265"/>
      <c r="MU823" s="1265"/>
      <c r="MV823" s="1265"/>
      <c r="MW823" s="1265"/>
      <c r="MX823" s="1265"/>
      <c r="MY823" s="1265"/>
      <c r="MZ823" s="1265"/>
      <c r="NA823" s="1265"/>
      <c r="NB823" s="1265"/>
      <c r="NC823" s="1265"/>
      <c r="ND823" s="1265"/>
      <c r="NE823" s="1265"/>
      <c r="NF823" s="1265"/>
      <c r="NG823" s="1265"/>
      <c r="NH823" s="1265"/>
      <c r="NI823" s="1265"/>
      <c r="NJ823" s="1265"/>
      <c r="NK823" s="1265"/>
      <c r="NL823" s="1265"/>
      <c r="NM823" s="1265"/>
      <c r="NN823" s="1265"/>
      <c r="NO823" s="1265"/>
      <c r="NP823" s="1265"/>
      <c r="NQ823" s="1265"/>
      <c r="NR823" s="1265"/>
      <c r="NS823" s="1265"/>
      <c r="NT823" s="1265"/>
      <c r="NU823" s="1265"/>
      <c r="NV823" s="1265"/>
      <c r="NW823" s="1265"/>
      <c r="NX823" s="1265"/>
      <c r="NY823" s="1265"/>
      <c r="NZ823" s="1265"/>
      <c r="OA823" s="1265"/>
      <c r="OB823" s="1265"/>
      <c r="OC823" s="1265"/>
      <c r="OD823" s="1265"/>
      <c r="OE823" s="1265"/>
      <c r="OF823" s="1265"/>
      <c r="OG823" s="1265"/>
      <c r="OH823" s="1265"/>
      <c r="OI823" s="1265"/>
      <c r="OJ823" s="1265"/>
      <c r="OK823" s="1265"/>
      <c r="OL823" s="1265"/>
      <c r="OM823" s="1265"/>
      <c r="ON823" s="1265"/>
      <c r="OO823" s="1265"/>
      <c r="OP823" s="1265"/>
      <c r="OQ823" s="1265"/>
      <c r="OR823" s="1265"/>
      <c r="OS823" s="1265"/>
      <c r="OT823" s="1265"/>
      <c r="OU823" s="1265"/>
      <c r="OV823" s="1265"/>
      <c r="OW823" s="1265"/>
      <c r="OX823" s="1265"/>
      <c r="OY823" s="1265"/>
      <c r="OZ823" s="1265"/>
      <c r="PA823" s="1265"/>
      <c r="PB823" s="1265"/>
      <c r="PC823" s="1265"/>
      <c r="PD823" s="1265"/>
      <c r="PE823" s="1265"/>
      <c r="PF823" s="1265"/>
      <c r="PG823" s="1265"/>
      <c r="PH823" s="1265"/>
      <c r="PI823" s="1265"/>
      <c r="PJ823" s="1265"/>
      <c r="PK823" s="1265"/>
      <c r="PL823" s="1265"/>
      <c r="PM823" s="1265"/>
      <c r="PN823" s="1265"/>
      <c r="PO823" s="1265"/>
      <c r="PP823" s="1265"/>
      <c r="PQ823" s="1265"/>
      <c r="PR823" s="1265"/>
      <c r="PS823" s="1265"/>
      <c r="PT823" s="1265"/>
      <c r="PU823" s="1265"/>
      <c r="PV823" s="1265"/>
      <c r="PW823" s="1265"/>
      <c r="PX823" s="1265"/>
      <c r="PY823" s="1265"/>
      <c r="PZ823" s="1265"/>
      <c r="QA823" s="1265"/>
      <c r="QB823" s="1265"/>
      <c r="QC823" s="1265"/>
      <c r="QD823" s="1265"/>
      <c r="QE823" s="1265"/>
      <c r="QF823" s="1265"/>
      <c r="QG823" s="1265"/>
      <c r="QH823" s="1265"/>
      <c r="QI823" s="1265"/>
      <c r="QJ823" s="1265"/>
      <c r="QK823" s="1265"/>
      <c r="QL823" s="1265"/>
      <c r="QM823" s="1265"/>
      <c r="QN823" s="1265"/>
      <c r="QO823" s="1265"/>
      <c r="QP823" s="1265"/>
      <c r="QQ823" s="1265"/>
      <c r="QR823" s="1265"/>
      <c r="QS823" s="1265"/>
      <c r="QT823" s="1265"/>
      <c r="QU823" s="1265"/>
      <c r="QV823" s="1265"/>
      <c r="QW823" s="1265"/>
      <c r="QX823" s="1265"/>
      <c r="QY823" s="1265"/>
      <c r="QZ823" s="1265"/>
      <c r="RA823" s="1265"/>
      <c r="RB823" s="1265"/>
      <c r="RC823" s="1265"/>
      <c r="RD823" s="1265"/>
      <c r="RE823" s="1265"/>
      <c r="RF823" s="1265"/>
      <c r="RG823" s="1265"/>
      <c r="RH823" s="1265"/>
      <c r="RI823" s="1265"/>
      <c r="RJ823" s="1265"/>
      <c r="RK823" s="1265"/>
      <c r="RL823" s="1265"/>
      <c r="RM823" s="1265"/>
      <c r="RN823" s="1265"/>
      <c r="RO823" s="1265"/>
      <c r="RP823" s="1265"/>
      <c r="RQ823" s="1265"/>
      <c r="RR823" s="1265"/>
      <c r="RS823" s="1265"/>
      <c r="RT823" s="1265"/>
      <c r="RU823" s="1265"/>
      <c r="RV823" s="1265"/>
      <c r="RW823" s="1265"/>
      <c r="RX823" s="1265"/>
      <c r="RY823" s="1265"/>
      <c r="RZ823" s="1265"/>
      <c r="SA823" s="1265"/>
      <c r="SB823" s="1265"/>
      <c r="SC823" s="1265"/>
      <c r="SD823" s="1265"/>
      <c r="SE823" s="1265"/>
      <c r="SF823" s="1265"/>
      <c r="SG823" s="1265"/>
      <c r="SH823" s="1265"/>
      <c r="SI823" s="1265"/>
      <c r="SJ823" s="1265"/>
      <c r="SK823" s="1265"/>
      <c r="SL823" s="1265"/>
      <c r="SM823" s="1265"/>
      <c r="SN823" s="1265"/>
      <c r="SO823" s="1265"/>
      <c r="SP823" s="1265"/>
      <c r="SQ823" s="1265"/>
      <c r="SR823" s="1265"/>
      <c r="SS823" s="1265"/>
      <c r="ST823" s="1265"/>
      <c r="SU823" s="1265"/>
      <c r="SV823" s="1265"/>
      <c r="SW823" s="1265"/>
      <c r="SX823" s="1265"/>
      <c r="SY823" s="1265"/>
      <c r="SZ823" s="1265"/>
      <c r="TA823" s="1265"/>
      <c r="TB823" s="1265"/>
      <c r="TC823" s="1265"/>
      <c r="TD823" s="1265"/>
      <c r="TE823" s="1265"/>
      <c r="TF823" s="1265"/>
      <c r="TG823" s="1265"/>
      <c r="TH823" s="1265"/>
      <c r="TI823" s="1265"/>
      <c r="TJ823" s="1265"/>
      <c r="TK823" s="1265"/>
      <c r="TL823" s="1265"/>
      <c r="TM823" s="1265"/>
      <c r="TN823" s="1265"/>
      <c r="TO823" s="1265"/>
      <c r="TP823" s="1265"/>
      <c r="TQ823" s="1265"/>
      <c r="TR823" s="1265"/>
      <c r="TS823" s="1265"/>
      <c r="TT823" s="1265"/>
      <c r="TU823" s="1265"/>
      <c r="TV823" s="1265"/>
      <c r="TW823" s="1265"/>
      <c r="TX823" s="1265"/>
      <c r="TY823" s="1265"/>
      <c r="TZ823" s="1265"/>
      <c r="UA823" s="1265"/>
      <c r="UB823" s="1265"/>
      <c r="UC823" s="1265"/>
      <c r="UD823" s="1265"/>
      <c r="UE823" s="1265"/>
      <c r="UF823" s="1265"/>
      <c r="UG823" s="1266"/>
    </row>
    <row r="824" spans="1:553" s="1262" customFormat="1" ht="30.75" customHeight="1">
      <c r="A824" s="445"/>
      <c r="B824" s="445"/>
      <c r="C824" s="1405" t="s">
        <v>1179</v>
      </c>
      <c r="D824" s="1406" t="s">
        <v>1180</v>
      </c>
      <c r="E824" s="1406" t="s">
        <v>1180</v>
      </c>
      <c r="F824" s="1407" t="s">
        <v>1180</v>
      </c>
      <c r="G824" s="418" t="s">
        <v>196</v>
      </c>
      <c r="H824" s="359"/>
      <c r="I824" s="1019">
        <f>(95.03*100/500)*(23-(10-3))*4</f>
        <v>1216.384</v>
      </c>
      <c r="J824" s="995">
        <v>11000</v>
      </c>
      <c r="K824" s="667">
        <v>0.7</v>
      </c>
      <c r="L824" s="476">
        <f>ROUND(PRODUCT(I824:K824),0)</f>
        <v>9366157</v>
      </c>
      <c r="M824" s="356"/>
      <c r="N824" s="356"/>
      <c r="O824" s="356"/>
      <c r="P824" s="356"/>
      <c r="Q824" s="610"/>
      <c r="R824" s="1228"/>
      <c r="S824" s="308"/>
      <c r="T824" s="308"/>
      <c r="U824" s="308"/>
      <c r="V824" s="308"/>
      <c r="W824" s="308"/>
      <c r="X824" s="308"/>
      <c r="Y824" s="308"/>
      <c r="Z824" s="604"/>
      <c r="AA824" s="308"/>
      <c r="AB824" s="308"/>
      <c r="AC824" s="454"/>
      <c r="AD824" s="454"/>
      <c r="AE824" s="454"/>
      <c r="AF824" s="454"/>
      <c r="AG824" s="454"/>
      <c r="AH824" s="454"/>
      <c r="AI824" s="454"/>
      <c r="AJ824" s="454"/>
      <c r="AK824" s="455"/>
      <c r="AL824" s="1263"/>
      <c r="AM824" s="1263"/>
      <c r="AN824" s="1263"/>
      <c r="AO824" s="1263"/>
      <c r="AP824" s="1263"/>
      <c r="AQ824" s="1263"/>
      <c r="AR824" s="1263"/>
      <c r="AS824" s="1264"/>
      <c r="AT824" s="1264"/>
      <c r="AU824" s="1264"/>
      <c r="AV824" s="1264"/>
      <c r="AW824" s="1264"/>
      <c r="AX824" s="1264"/>
      <c r="AY824" s="1264"/>
      <c r="AZ824" s="1264"/>
      <c r="BA824" s="1264"/>
      <c r="BB824" s="1264"/>
      <c r="BC824" s="1264"/>
      <c r="BD824" s="1264"/>
      <c r="BE824" s="1264"/>
      <c r="BF824" s="1264"/>
      <c r="BG824" s="1264"/>
      <c r="BH824" s="1264"/>
      <c r="BI824" s="1264"/>
      <c r="BJ824" s="1264"/>
      <c r="BK824" s="1264"/>
      <c r="BL824" s="1264"/>
      <c r="BM824" s="1264"/>
      <c r="BN824" s="1264"/>
      <c r="BO824" s="1264"/>
      <c r="BP824" s="1265"/>
      <c r="BQ824" s="1265"/>
      <c r="BR824" s="1265"/>
      <c r="BS824" s="1265"/>
      <c r="BT824" s="1265"/>
      <c r="BU824" s="1265"/>
      <c r="BV824" s="1265"/>
      <c r="BW824" s="1265"/>
      <c r="BX824" s="1265"/>
      <c r="BY824" s="1265"/>
      <c r="BZ824" s="1265"/>
      <c r="CA824" s="1265"/>
      <c r="CB824" s="1265"/>
      <c r="CC824" s="1265"/>
      <c r="CD824" s="1265"/>
      <c r="CE824" s="1265"/>
      <c r="CF824" s="1265"/>
      <c r="CG824" s="1265"/>
      <c r="CH824" s="1265"/>
      <c r="CI824" s="1265"/>
      <c r="CJ824" s="1265"/>
      <c r="CK824" s="1265"/>
      <c r="CL824" s="1265"/>
      <c r="CM824" s="1265"/>
      <c r="CN824" s="1265"/>
      <c r="CO824" s="1265"/>
      <c r="CP824" s="1265"/>
      <c r="CQ824" s="1265"/>
      <c r="CR824" s="1265"/>
      <c r="CS824" s="1265"/>
      <c r="CT824" s="1265"/>
      <c r="CU824" s="1265"/>
      <c r="CV824" s="1265"/>
      <c r="CW824" s="1265"/>
      <c r="CX824" s="1265"/>
      <c r="CY824" s="1265"/>
      <c r="CZ824" s="1265"/>
      <c r="DA824" s="1265"/>
      <c r="DB824" s="1265"/>
      <c r="DC824" s="1265"/>
      <c r="DD824" s="1265"/>
      <c r="DE824" s="1265"/>
      <c r="DF824" s="1265"/>
      <c r="DG824" s="1265"/>
      <c r="DH824" s="1265"/>
      <c r="DI824" s="1265"/>
      <c r="DJ824" s="1265"/>
      <c r="DK824" s="1265"/>
      <c r="DL824" s="1265"/>
      <c r="DM824" s="1265"/>
      <c r="DN824" s="1265"/>
      <c r="DO824" s="1265"/>
      <c r="DP824" s="1265"/>
      <c r="DQ824" s="1265"/>
      <c r="DR824" s="1265"/>
      <c r="DS824" s="1265"/>
      <c r="DT824" s="1265"/>
      <c r="DU824" s="1265"/>
      <c r="DV824" s="1265"/>
      <c r="DW824" s="1265"/>
      <c r="DX824" s="1265"/>
      <c r="DY824" s="1265"/>
      <c r="DZ824" s="1265"/>
      <c r="EA824" s="1265"/>
      <c r="EB824" s="1265"/>
      <c r="EC824" s="1265"/>
      <c r="ED824" s="1265"/>
      <c r="EE824" s="1265"/>
      <c r="EF824" s="1265"/>
      <c r="EG824" s="1265"/>
      <c r="EH824" s="1265"/>
      <c r="EI824" s="1265"/>
      <c r="EJ824" s="1265"/>
      <c r="EK824" s="1265"/>
      <c r="EL824" s="1265"/>
      <c r="EM824" s="1265"/>
      <c r="EN824" s="1265"/>
      <c r="EO824" s="1265"/>
      <c r="EP824" s="1265"/>
      <c r="EQ824" s="1265"/>
      <c r="ER824" s="1265"/>
      <c r="ES824" s="1265"/>
      <c r="ET824" s="1265"/>
      <c r="EU824" s="1265"/>
      <c r="EV824" s="1265"/>
      <c r="EW824" s="1265"/>
      <c r="EX824" s="1265"/>
      <c r="EY824" s="1265"/>
      <c r="EZ824" s="1265"/>
      <c r="FA824" s="1265"/>
      <c r="FB824" s="1265"/>
      <c r="FC824" s="1265"/>
      <c r="FD824" s="1265"/>
      <c r="FE824" s="1265"/>
      <c r="FF824" s="1265"/>
      <c r="FG824" s="1265"/>
      <c r="FH824" s="1265"/>
      <c r="FI824" s="1265"/>
      <c r="FJ824" s="1265"/>
      <c r="FK824" s="1265"/>
      <c r="FL824" s="1265"/>
      <c r="FM824" s="1265"/>
      <c r="FN824" s="1265"/>
      <c r="FO824" s="1265"/>
      <c r="FP824" s="1265"/>
      <c r="FQ824" s="1265"/>
      <c r="FR824" s="1265"/>
      <c r="FS824" s="1265"/>
      <c r="FT824" s="1265"/>
      <c r="FU824" s="1265"/>
      <c r="FV824" s="1265"/>
      <c r="FW824" s="1265"/>
      <c r="FX824" s="1265"/>
      <c r="FY824" s="1265"/>
      <c r="FZ824" s="1265"/>
      <c r="GA824" s="1265"/>
      <c r="GB824" s="1265"/>
      <c r="GC824" s="1265"/>
      <c r="GD824" s="1265"/>
      <c r="GE824" s="1265"/>
      <c r="GF824" s="1265"/>
      <c r="GG824" s="1265"/>
      <c r="GH824" s="1265"/>
      <c r="GI824" s="1265"/>
      <c r="GJ824" s="1265"/>
      <c r="GK824" s="1265"/>
      <c r="GL824" s="1265"/>
      <c r="GM824" s="1265"/>
      <c r="GN824" s="1265"/>
      <c r="GO824" s="1265"/>
      <c r="GP824" s="1265"/>
      <c r="GQ824" s="1265"/>
      <c r="GR824" s="1265"/>
      <c r="GS824" s="1265"/>
      <c r="GT824" s="1265"/>
      <c r="GU824" s="1265"/>
      <c r="GV824" s="1265"/>
      <c r="GW824" s="1265"/>
      <c r="GX824" s="1265"/>
      <c r="GY824" s="1265"/>
      <c r="GZ824" s="1265"/>
      <c r="HA824" s="1265"/>
      <c r="HB824" s="1265"/>
      <c r="HC824" s="1265"/>
      <c r="HD824" s="1265"/>
      <c r="HE824" s="1265"/>
      <c r="HF824" s="1265"/>
      <c r="HG824" s="1265"/>
      <c r="HH824" s="1265"/>
      <c r="HI824" s="1265"/>
      <c r="HJ824" s="1265"/>
      <c r="HK824" s="1265"/>
      <c r="HL824" s="1265"/>
      <c r="HM824" s="1265"/>
      <c r="HN824" s="1265"/>
      <c r="HO824" s="1265"/>
      <c r="HP824" s="1265"/>
      <c r="HQ824" s="1265"/>
      <c r="HR824" s="1265"/>
      <c r="HS824" s="1265"/>
      <c r="HT824" s="1265"/>
      <c r="HU824" s="1265"/>
      <c r="HV824" s="1265"/>
      <c r="HW824" s="1265"/>
      <c r="HX824" s="1265"/>
      <c r="HY824" s="1265"/>
      <c r="HZ824" s="1265"/>
      <c r="IA824" s="1265"/>
      <c r="IB824" s="1265"/>
      <c r="IC824" s="1265"/>
      <c r="ID824" s="1265"/>
      <c r="IE824" s="1265"/>
      <c r="IF824" s="1265"/>
      <c r="IG824" s="1265"/>
      <c r="IH824" s="1265"/>
      <c r="II824" s="1265"/>
      <c r="IJ824" s="1265"/>
      <c r="IK824" s="1265"/>
      <c r="IL824" s="1265"/>
      <c r="IM824" s="1265"/>
      <c r="IN824" s="1265"/>
      <c r="IO824" s="1265"/>
      <c r="IP824" s="1265"/>
      <c r="IQ824" s="1265"/>
      <c r="IR824" s="1265"/>
      <c r="IS824" s="1265"/>
      <c r="IT824" s="1265"/>
      <c r="IU824" s="1265"/>
      <c r="IV824" s="1265"/>
      <c r="IW824" s="1265"/>
      <c r="IX824" s="1265"/>
      <c r="IY824" s="1265"/>
      <c r="IZ824" s="1265"/>
      <c r="JA824" s="1265"/>
      <c r="JB824" s="1265"/>
      <c r="JC824" s="1265"/>
      <c r="JD824" s="1265"/>
      <c r="JE824" s="1265"/>
      <c r="JF824" s="1265"/>
      <c r="JG824" s="1265"/>
      <c r="JH824" s="1265"/>
      <c r="JI824" s="1265"/>
      <c r="JJ824" s="1265"/>
      <c r="JK824" s="1265"/>
      <c r="JL824" s="1265"/>
      <c r="JM824" s="1265"/>
      <c r="JN824" s="1265"/>
      <c r="JO824" s="1265"/>
      <c r="JP824" s="1265"/>
      <c r="JQ824" s="1265"/>
      <c r="JR824" s="1265"/>
      <c r="JS824" s="1265"/>
      <c r="JT824" s="1265"/>
      <c r="JU824" s="1265"/>
      <c r="JV824" s="1265"/>
      <c r="JW824" s="1265"/>
      <c r="JX824" s="1265"/>
      <c r="JY824" s="1265"/>
      <c r="JZ824" s="1265"/>
      <c r="KA824" s="1265"/>
      <c r="KB824" s="1265"/>
      <c r="KC824" s="1265"/>
      <c r="KD824" s="1265"/>
      <c r="KE824" s="1265"/>
      <c r="KF824" s="1265"/>
      <c r="KG824" s="1265"/>
      <c r="KH824" s="1265"/>
      <c r="KI824" s="1265"/>
      <c r="KJ824" s="1265"/>
      <c r="KK824" s="1265"/>
      <c r="KL824" s="1265"/>
      <c r="KM824" s="1265"/>
      <c r="KN824" s="1265"/>
      <c r="KO824" s="1265"/>
      <c r="KP824" s="1265"/>
      <c r="KQ824" s="1265"/>
      <c r="KR824" s="1265"/>
      <c r="KS824" s="1265"/>
      <c r="KT824" s="1265"/>
      <c r="KU824" s="1265"/>
      <c r="KV824" s="1265"/>
      <c r="KW824" s="1265"/>
      <c r="KX824" s="1265"/>
      <c r="KY824" s="1265"/>
      <c r="KZ824" s="1265"/>
      <c r="LA824" s="1265"/>
      <c r="LB824" s="1265"/>
      <c r="LC824" s="1265"/>
      <c r="LD824" s="1265"/>
      <c r="LE824" s="1265"/>
      <c r="LF824" s="1265"/>
      <c r="LG824" s="1265"/>
      <c r="LH824" s="1265"/>
      <c r="LI824" s="1265"/>
      <c r="LJ824" s="1265"/>
      <c r="LK824" s="1265"/>
      <c r="LL824" s="1265"/>
      <c r="LM824" s="1265"/>
      <c r="LN824" s="1265"/>
      <c r="LO824" s="1265"/>
      <c r="LP824" s="1265"/>
      <c r="LQ824" s="1265"/>
      <c r="LR824" s="1265"/>
      <c r="LS824" s="1265"/>
      <c r="LT824" s="1265"/>
      <c r="LU824" s="1265"/>
      <c r="LV824" s="1265"/>
      <c r="LW824" s="1265"/>
      <c r="LX824" s="1265"/>
      <c r="LY824" s="1265"/>
      <c r="LZ824" s="1265"/>
      <c r="MA824" s="1265"/>
      <c r="MB824" s="1265"/>
      <c r="MC824" s="1265"/>
      <c r="MD824" s="1265"/>
      <c r="ME824" s="1265"/>
      <c r="MF824" s="1265"/>
      <c r="MG824" s="1265"/>
      <c r="MH824" s="1265"/>
      <c r="MI824" s="1265"/>
      <c r="MJ824" s="1265"/>
      <c r="MK824" s="1265"/>
      <c r="ML824" s="1265"/>
      <c r="MM824" s="1265"/>
      <c r="MN824" s="1265"/>
      <c r="MO824" s="1265"/>
      <c r="MP824" s="1265"/>
      <c r="MQ824" s="1265"/>
      <c r="MR824" s="1265"/>
      <c r="MS824" s="1265"/>
      <c r="MT824" s="1265"/>
      <c r="MU824" s="1265"/>
      <c r="MV824" s="1265"/>
      <c r="MW824" s="1265"/>
      <c r="MX824" s="1265"/>
      <c r="MY824" s="1265"/>
      <c r="MZ824" s="1265"/>
      <c r="NA824" s="1265"/>
      <c r="NB824" s="1265"/>
      <c r="NC824" s="1265"/>
      <c r="ND824" s="1265"/>
      <c r="NE824" s="1265"/>
      <c r="NF824" s="1265"/>
      <c r="NG824" s="1265"/>
      <c r="NH824" s="1265"/>
      <c r="NI824" s="1265"/>
      <c r="NJ824" s="1265"/>
      <c r="NK824" s="1265"/>
      <c r="NL824" s="1265"/>
      <c r="NM824" s="1265"/>
      <c r="NN824" s="1265"/>
      <c r="NO824" s="1265"/>
      <c r="NP824" s="1265"/>
      <c r="NQ824" s="1265"/>
      <c r="NR824" s="1265"/>
      <c r="NS824" s="1265"/>
      <c r="NT824" s="1265"/>
      <c r="NU824" s="1265"/>
      <c r="NV824" s="1265"/>
      <c r="NW824" s="1265"/>
      <c r="NX824" s="1265"/>
      <c r="NY824" s="1265"/>
      <c r="NZ824" s="1265"/>
      <c r="OA824" s="1265"/>
      <c r="OB824" s="1265"/>
      <c r="OC824" s="1265"/>
      <c r="OD824" s="1265"/>
      <c r="OE824" s="1265"/>
      <c r="OF824" s="1265"/>
      <c r="OG824" s="1265"/>
      <c r="OH824" s="1265"/>
      <c r="OI824" s="1265"/>
      <c r="OJ824" s="1265"/>
      <c r="OK824" s="1265"/>
      <c r="OL824" s="1265"/>
      <c r="OM824" s="1265"/>
      <c r="ON824" s="1265"/>
      <c r="OO824" s="1265"/>
      <c r="OP824" s="1265"/>
      <c r="OQ824" s="1265"/>
      <c r="OR824" s="1265"/>
      <c r="OS824" s="1265"/>
      <c r="OT824" s="1265"/>
      <c r="OU824" s="1265"/>
      <c r="OV824" s="1265"/>
      <c r="OW824" s="1265"/>
      <c r="OX824" s="1265"/>
      <c r="OY824" s="1265"/>
      <c r="OZ824" s="1265"/>
      <c r="PA824" s="1265"/>
      <c r="PB824" s="1265"/>
      <c r="PC824" s="1265"/>
      <c r="PD824" s="1265"/>
      <c r="PE824" s="1265"/>
      <c r="PF824" s="1265"/>
      <c r="PG824" s="1265"/>
      <c r="PH824" s="1265"/>
      <c r="PI824" s="1265"/>
      <c r="PJ824" s="1265"/>
      <c r="PK824" s="1265"/>
      <c r="PL824" s="1265"/>
      <c r="PM824" s="1265"/>
      <c r="PN824" s="1265"/>
      <c r="PO824" s="1265"/>
      <c r="PP824" s="1265"/>
      <c r="PQ824" s="1265"/>
      <c r="PR824" s="1265"/>
      <c r="PS824" s="1265"/>
      <c r="PT824" s="1265"/>
      <c r="PU824" s="1265"/>
      <c r="PV824" s="1265"/>
      <c r="PW824" s="1265"/>
      <c r="PX824" s="1265"/>
      <c r="PY824" s="1265"/>
      <c r="PZ824" s="1265"/>
      <c r="QA824" s="1265"/>
      <c r="QB824" s="1265"/>
      <c r="QC824" s="1265"/>
      <c r="QD824" s="1265"/>
      <c r="QE824" s="1265"/>
      <c r="QF824" s="1265"/>
      <c r="QG824" s="1265"/>
      <c r="QH824" s="1265"/>
      <c r="QI824" s="1265"/>
      <c r="QJ824" s="1265"/>
      <c r="QK824" s="1265"/>
      <c r="QL824" s="1265"/>
      <c r="QM824" s="1265"/>
      <c r="QN824" s="1265"/>
      <c r="QO824" s="1265"/>
      <c r="QP824" s="1265"/>
      <c r="QQ824" s="1265"/>
      <c r="QR824" s="1265"/>
      <c r="QS824" s="1265"/>
      <c r="QT824" s="1265"/>
      <c r="QU824" s="1265"/>
      <c r="QV824" s="1265"/>
      <c r="QW824" s="1265"/>
      <c r="QX824" s="1265"/>
      <c r="QY824" s="1265"/>
      <c r="QZ824" s="1265"/>
      <c r="RA824" s="1265"/>
      <c r="RB824" s="1265"/>
      <c r="RC824" s="1265"/>
      <c r="RD824" s="1265"/>
      <c r="RE824" s="1265"/>
      <c r="RF824" s="1265"/>
      <c r="RG824" s="1265"/>
      <c r="RH824" s="1265"/>
      <c r="RI824" s="1265"/>
      <c r="RJ824" s="1265"/>
      <c r="RK824" s="1265"/>
      <c r="RL824" s="1265"/>
      <c r="RM824" s="1265"/>
      <c r="RN824" s="1265"/>
      <c r="RO824" s="1265"/>
      <c r="RP824" s="1265"/>
      <c r="RQ824" s="1265"/>
      <c r="RR824" s="1265"/>
      <c r="RS824" s="1265"/>
      <c r="RT824" s="1265"/>
      <c r="RU824" s="1265"/>
      <c r="RV824" s="1265"/>
      <c r="RW824" s="1265"/>
      <c r="RX824" s="1265"/>
      <c r="RY824" s="1265"/>
      <c r="RZ824" s="1265"/>
      <c r="SA824" s="1265"/>
      <c r="SB824" s="1265"/>
      <c r="SC824" s="1265"/>
      <c r="SD824" s="1265"/>
      <c r="SE824" s="1265"/>
      <c r="SF824" s="1265"/>
      <c r="SG824" s="1265"/>
      <c r="SH824" s="1265"/>
      <c r="SI824" s="1265"/>
      <c r="SJ824" s="1265"/>
      <c r="SK824" s="1265"/>
      <c r="SL824" s="1265"/>
      <c r="SM824" s="1265"/>
      <c r="SN824" s="1265"/>
      <c r="SO824" s="1265"/>
      <c r="SP824" s="1265"/>
      <c r="SQ824" s="1265"/>
      <c r="SR824" s="1265"/>
      <c r="SS824" s="1265"/>
      <c r="ST824" s="1265"/>
      <c r="SU824" s="1265"/>
      <c r="SV824" s="1265"/>
      <c r="SW824" s="1265"/>
      <c r="SX824" s="1265"/>
      <c r="SY824" s="1265"/>
      <c r="SZ824" s="1265"/>
      <c r="TA824" s="1265"/>
      <c r="TB824" s="1265"/>
      <c r="TC824" s="1265"/>
      <c r="TD824" s="1265"/>
      <c r="TE824" s="1265"/>
      <c r="TF824" s="1265"/>
      <c r="TG824" s="1265"/>
      <c r="TH824" s="1265"/>
      <c r="TI824" s="1265"/>
      <c r="TJ824" s="1265"/>
      <c r="TK824" s="1265"/>
      <c r="TL824" s="1265"/>
      <c r="TM824" s="1265"/>
      <c r="TN824" s="1265"/>
      <c r="TO824" s="1265"/>
      <c r="TP824" s="1265"/>
      <c r="TQ824" s="1265"/>
      <c r="TR824" s="1265"/>
      <c r="TS824" s="1265"/>
      <c r="TT824" s="1265"/>
      <c r="TU824" s="1265"/>
      <c r="TV824" s="1265"/>
      <c r="TW824" s="1265"/>
      <c r="TX824" s="1265"/>
      <c r="TY824" s="1265"/>
      <c r="TZ824" s="1265"/>
      <c r="UA824" s="1265"/>
      <c r="UB824" s="1265"/>
      <c r="UC824" s="1265"/>
      <c r="UD824" s="1265"/>
      <c r="UE824" s="1265"/>
      <c r="UF824" s="1265"/>
      <c r="UG824" s="1266"/>
    </row>
    <row r="825" spans="1:553" s="1262" customFormat="1" ht="30.75" customHeight="1">
      <c r="A825" s="445"/>
      <c r="B825" s="445"/>
      <c r="C825" s="1405" t="s">
        <v>1181</v>
      </c>
      <c r="D825" s="1406" t="s">
        <v>1181</v>
      </c>
      <c r="E825" s="1406" t="s">
        <v>1181</v>
      </c>
      <c r="F825" s="1407" t="s">
        <v>1181</v>
      </c>
      <c r="G825" s="418" t="s">
        <v>48</v>
      </c>
      <c r="H825" s="359"/>
      <c r="I825" s="443">
        <v>3</v>
      </c>
      <c r="J825" s="368">
        <v>75000</v>
      </c>
      <c r="K825" s="443"/>
      <c r="L825" s="646">
        <f>I825*J825</f>
        <v>225000</v>
      </c>
      <c r="M825" s="356"/>
      <c r="N825" s="356"/>
      <c r="O825" s="356"/>
      <c r="P825" s="356"/>
      <c r="Q825" s="610"/>
      <c r="R825" s="1228"/>
      <c r="S825" s="308"/>
      <c r="T825" s="308"/>
      <c r="U825" s="308"/>
      <c r="V825" s="308"/>
      <c r="W825" s="308"/>
      <c r="X825" s="308"/>
      <c r="Y825" s="308"/>
      <c r="Z825" s="604"/>
      <c r="AA825" s="308"/>
      <c r="AB825" s="308"/>
      <c r="AC825" s="454"/>
      <c r="AD825" s="454"/>
      <c r="AE825" s="454"/>
      <c r="AF825" s="454"/>
      <c r="AG825" s="454"/>
      <c r="AH825" s="454"/>
      <c r="AI825" s="454"/>
      <c r="AJ825" s="454"/>
      <c r="AK825" s="455"/>
      <c r="AL825" s="1263"/>
      <c r="AM825" s="1263"/>
      <c r="AN825" s="1263"/>
      <c r="AO825" s="1263"/>
      <c r="AP825" s="1263"/>
      <c r="AQ825" s="1263"/>
      <c r="AR825" s="1263"/>
      <c r="AS825" s="1264"/>
      <c r="AT825" s="1264"/>
      <c r="AU825" s="1264"/>
      <c r="AV825" s="1264"/>
      <c r="AW825" s="1264"/>
      <c r="AX825" s="1264"/>
      <c r="AY825" s="1264"/>
      <c r="AZ825" s="1264"/>
      <c r="BA825" s="1264"/>
      <c r="BB825" s="1264"/>
      <c r="BC825" s="1264"/>
      <c r="BD825" s="1264"/>
      <c r="BE825" s="1264"/>
      <c r="BF825" s="1264"/>
      <c r="BG825" s="1264"/>
      <c r="BH825" s="1264"/>
      <c r="BI825" s="1264"/>
      <c r="BJ825" s="1264"/>
      <c r="BK825" s="1264"/>
      <c r="BL825" s="1264"/>
      <c r="BM825" s="1264"/>
      <c r="BN825" s="1264"/>
      <c r="BO825" s="1264"/>
      <c r="BP825" s="1265"/>
      <c r="BQ825" s="1265"/>
      <c r="BR825" s="1265"/>
      <c r="BS825" s="1265"/>
      <c r="BT825" s="1265"/>
      <c r="BU825" s="1265"/>
      <c r="BV825" s="1265"/>
      <c r="BW825" s="1265"/>
      <c r="BX825" s="1265"/>
      <c r="BY825" s="1265"/>
      <c r="BZ825" s="1265"/>
      <c r="CA825" s="1265"/>
      <c r="CB825" s="1265"/>
      <c r="CC825" s="1265"/>
      <c r="CD825" s="1265"/>
      <c r="CE825" s="1265"/>
      <c r="CF825" s="1265"/>
      <c r="CG825" s="1265"/>
      <c r="CH825" s="1265"/>
      <c r="CI825" s="1265"/>
      <c r="CJ825" s="1265"/>
      <c r="CK825" s="1265"/>
      <c r="CL825" s="1265"/>
      <c r="CM825" s="1265"/>
      <c r="CN825" s="1265"/>
      <c r="CO825" s="1265"/>
      <c r="CP825" s="1265"/>
      <c r="CQ825" s="1265"/>
      <c r="CR825" s="1265"/>
      <c r="CS825" s="1265"/>
      <c r="CT825" s="1265"/>
      <c r="CU825" s="1265"/>
      <c r="CV825" s="1265"/>
      <c r="CW825" s="1265"/>
      <c r="CX825" s="1265"/>
      <c r="CY825" s="1265"/>
      <c r="CZ825" s="1265"/>
      <c r="DA825" s="1265"/>
      <c r="DB825" s="1265"/>
      <c r="DC825" s="1265"/>
      <c r="DD825" s="1265"/>
      <c r="DE825" s="1265"/>
      <c r="DF825" s="1265"/>
      <c r="DG825" s="1265"/>
      <c r="DH825" s="1265"/>
      <c r="DI825" s="1265"/>
      <c r="DJ825" s="1265"/>
      <c r="DK825" s="1265"/>
      <c r="DL825" s="1265"/>
      <c r="DM825" s="1265"/>
      <c r="DN825" s="1265"/>
      <c r="DO825" s="1265"/>
      <c r="DP825" s="1265"/>
      <c r="DQ825" s="1265"/>
      <c r="DR825" s="1265"/>
      <c r="DS825" s="1265"/>
      <c r="DT825" s="1265"/>
      <c r="DU825" s="1265"/>
      <c r="DV825" s="1265"/>
      <c r="DW825" s="1265"/>
      <c r="DX825" s="1265"/>
      <c r="DY825" s="1265"/>
      <c r="DZ825" s="1265"/>
      <c r="EA825" s="1265"/>
      <c r="EB825" s="1265"/>
      <c r="EC825" s="1265"/>
      <c r="ED825" s="1265"/>
      <c r="EE825" s="1265"/>
      <c r="EF825" s="1265"/>
      <c r="EG825" s="1265"/>
      <c r="EH825" s="1265"/>
      <c r="EI825" s="1265"/>
      <c r="EJ825" s="1265"/>
      <c r="EK825" s="1265"/>
      <c r="EL825" s="1265"/>
      <c r="EM825" s="1265"/>
      <c r="EN825" s="1265"/>
      <c r="EO825" s="1265"/>
      <c r="EP825" s="1265"/>
      <c r="EQ825" s="1265"/>
      <c r="ER825" s="1265"/>
      <c r="ES825" s="1265"/>
      <c r="ET825" s="1265"/>
      <c r="EU825" s="1265"/>
      <c r="EV825" s="1265"/>
      <c r="EW825" s="1265"/>
      <c r="EX825" s="1265"/>
      <c r="EY825" s="1265"/>
      <c r="EZ825" s="1265"/>
      <c r="FA825" s="1265"/>
      <c r="FB825" s="1265"/>
      <c r="FC825" s="1265"/>
      <c r="FD825" s="1265"/>
      <c r="FE825" s="1265"/>
      <c r="FF825" s="1265"/>
      <c r="FG825" s="1265"/>
      <c r="FH825" s="1265"/>
      <c r="FI825" s="1265"/>
      <c r="FJ825" s="1265"/>
      <c r="FK825" s="1265"/>
      <c r="FL825" s="1265"/>
      <c r="FM825" s="1265"/>
      <c r="FN825" s="1265"/>
      <c r="FO825" s="1265"/>
      <c r="FP825" s="1265"/>
      <c r="FQ825" s="1265"/>
      <c r="FR825" s="1265"/>
      <c r="FS825" s="1265"/>
      <c r="FT825" s="1265"/>
      <c r="FU825" s="1265"/>
      <c r="FV825" s="1265"/>
      <c r="FW825" s="1265"/>
      <c r="FX825" s="1265"/>
      <c r="FY825" s="1265"/>
      <c r="FZ825" s="1265"/>
      <c r="GA825" s="1265"/>
      <c r="GB825" s="1265"/>
      <c r="GC825" s="1265"/>
      <c r="GD825" s="1265"/>
      <c r="GE825" s="1265"/>
      <c r="GF825" s="1265"/>
      <c r="GG825" s="1265"/>
      <c r="GH825" s="1265"/>
      <c r="GI825" s="1265"/>
      <c r="GJ825" s="1265"/>
      <c r="GK825" s="1265"/>
      <c r="GL825" s="1265"/>
      <c r="GM825" s="1265"/>
      <c r="GN825" s="1265"/>
      <c r="GO825" s="1265"/>
      <c r="GP825" s="1265"/>
      <c r="GQ825" s="1265"/>
      <c r="GR825" s="1265"/>
      <c r="GS825" s="1265"/>
      <c r="GT825" s="1265"/>
      <c r="GU825" s="1265"/>
      <c r="GV825" s="1265"/>
      <c r="GW825" s="1265"/>
      <c r="GX825" s="1265"/>
      <c r="GY825" s="1265"/>
      <c r="GZ825" s="1265"/>
      <c r="HA825" s="1265"/>
      <c r="HB825" s="1265"/>
      <c r="HC825" s="1265"/>
      <c r="HD825" s="1265"/>
      <c r="HE825" s="1265"/>
      <c r="HF825" s="1265"/>
      <c r="HG825" s="1265"/>
      <c r="HH825" s="1265"/>
      <c r="HI825" s="1265"/>
      <c r="HJ825" s="1265"/>
      <c r="HK825" s="1265"/>
      <c r="HL825" s="1265"/>
      <c r="HM825" s="1265"/>
      <c r="HN825" s="1265"/>
      <c r="HO825" s="1265"/>
      <c r="HP825" s="1265"/>
      <c r="HQ825" s="1265"/>
      <c r="HR825" s="1265"/>
      <c r="HS825" s="1265"/>
      <c r="HT825" s="1265"/>
      <c r="HU825" s="1265"/>
      <c r="HV825" s="1265"/>
      <c r="HW825" s="1265"/>
      <c r="HX825" s="1265"/>
      <c r="HY825" s="1265"/>
      <c r="HZ825" s="1265"/>
      <c r="IA825" s="1265"/>
      <c r="IB825" s="1265"/>
      <c r="IC825" s="1265"/>
      <c r="ID825" s="1265"/>
      <c r="IE825" s="1265"/>
      <c r="IF825" s="1265"/>
      <c r="IG825" s="1265"/>
      <c r="IH825" s="1265"/>
      <c r="II825" s="1265"/>
      <c r="IJ825" s="1265"/>
      <c r="IK825" s="1265"/>
      <c r="IL825" s="1265"/>
      <c r="IM825" s="1265"/>
      <c r="IN825" s="1265"/>
      <c r="IO825" s="1265"/>
      <c r="IP825" s="1265"/>
      <c r="IQ825" s="1265"/>
      <c r="IR825" s="1265"/>
      <c r="IS825" s="1265"/>
      <c r="IT825" s="1265"/>
      <c r="IU825" s="1265"/>
      <c r="IV825" s="1265"/>
      <c r="IW825" s="1265"/>
      <c r="IX825" s="1265"/>
      <c r="IY825" s="1265"/>
      <c r="IZ825" s="1265"/>
      <c r="JA825" s="1265"/>
      <c r="JB825" s="1265"/>
      <c r="JC825" s="1265"/>
      <c r="JD825" s="1265"/>
      <c r="JE825" s="1265"/>
      <c r="JF825" s="1265"/>
      <c r="JG825" s="1265"/>
      <c r="JH825" s="1265"/>
      <c r="JI825" s="1265"/>
      <c r="JJ825" s="1265"/>
      <c r="JK825" s="1265"/>
      <c r="JL825" s="1265"/>
      <c r="JM825" s="1265"/>
      <c r="JN825" s="1265"/>
      <c r="JO825" s="1265"/>
      <c r="JP825" s="1265"/>
      <c r="JQ825" s="1265"/>
      <c r="JR825" s="1265"/>
      <c r="JS825" s="1265"/>
      <c r="JT825" s="1265"/>
      <c r="JU825" s="1265"/>
      <c r="JV825" s="1265"/>
      <c r="JW825" s="1265"/>
      <c r="JX825" s="1265"/>
      <c r="JY825" s="1265"/>
      <c r="JZ825" s="1265"/>
      <c r="KA825" s="1265"/>
      <c r="KB825" s="1265"/>
      <c r="KC825" s="1265"/>
      <c r="KD825" s="1265"/>
      <c r="KE825" s="1265"/>
      <c r="KF825" s="1265"/>
      <c r="KG825" s="1265"/>
      <c r="KH825" s="1265"/>
      <c r="KI825" s="1265"/>
      <c r="KJ825" s="1265"/>
      <c r="KK825" s="1265"/>
      <c r="KL825" s="1265"/>
      <c r="KM825" s="1265"/>
      <c r="KN825" s="1265"/>
      <c r="KO825" s="1265"/>
      <c r="KP825" s="1265"/>
      <c r="KQ825" s="1265"/>
      <c r="KR825" s="1265"/>
      <c r="KS825" s="1265"/>
      <c r="KT825" s="1265"/>
      <c r="KU825" s="1265"/>
      <c r="KV825" s="1265"/>
      <c r="KW825" s="1265"/>
      <c r="KX825" s="1265"/>
      <c r="KY825" s="1265"/>
      <c r="KZ825" s="1265"/>
      <c r="LA825" s="1265"/>
      <c r="LB825" s="1265"/>
      <c r="LC825" s="1265"/>
      <c r="LD825" s="1265"/>
      <c r="LE825" s="1265"/>
      <c r="LF825" s="1265"/>
      <c r="LG825" s="1265"/>
      <c r="LH825" s="1265"/>
      <c r="LI825" s="1265"/>
      <c r="LJ825" s="1265"/>
      <c r="LK825" s="1265"/>
      <c r="LL825" s="1265"/>
      <c r="LM825" s="1265"/>
      <c r="LN825" s="1265"/>
      <c r="LO825" s="1265"/>
      <c r="LP825" s="1265"/>
      <c r="LQ825" s="1265"/>
      <c r="LR825" s="1265"/>
      <c r="LS825" s="1265"/>
      <c r="LT825" s="1265"/>
      <c r="LU825" s="1265"/>
      <c r="LV825" s="1265"/>
      <c r="LW825" s="1265"/>
      <c r="LX825" s="1265"/>
      <c r="LY825" s="1265"/>
      <c r="LZ825" s="1265"/>
      <c r="MA825" s="1265"/>
      <c r="MB825" s="1265"/>
      <c r="MC825" s="1265"/>
      <c r="MD825" s="1265"/>
      <c r="ME825" s="1265"/>
      <c r="MF825" s="1265"/>
      <c r="MG825" s="1265"/>
      <c r="MH825" s="1265"/>
      <c r="MI825" s="1265"/>
      <c r="MJ825" s="1265"/>
      <c r="MK825" s="1265"/>
      <c r="ML825" s="1265"/>
      <c r="MM825" s="1265"/>
      <c r="MN825" s="1265"/>
      <c r="MO825" s="1265"/>
      <c r="MP825" s="1265"/>
      <c r="MQ825" s="1265"/>
      <c r="MR825" s="1265"/>
      <c r="MS825" s="1265"/>
      <c r="MT825" s="1265"/>
      <c r="MU825" s="1265"/>
      <c r="MV825" s="1265"/>
      <c r="MW825" s="1265"/>
      <c r="MX825" s="1265"/>
      <c r="MY825" s="1265"/>
      <c r="MZ825" s="1265"/>
      <c r="NA825" s="1265"/>
      <c r="NB825" s="1265"/>
      <c r="NC825" s="1265"/>
      <c r="ND825" s="1265"/>
      <c r="NE825" s="1265"/>
      <c r="NF825" s="1265"/>
      <c r="NG825" s="1265"/>
      <c r="NH825" s="1265"/>
      <c r="NI825" s="1265"/>
      <c r="NJ825" s="1265"/>
      <c r="NK825" s="1265"/>
      <c r="NL825" s="1265"/>
      <c r="NM825" s="1265"/>
      <c r="NN825" s="1265"/>
      <c r="NO825" s="1265"/>
      <c r="NP825" s="1265"/>
      <c r="NQ825" s="1265"/>
      <c r="NR825" s="1265"/>
      <c r="NS825" s="1265"/>
      <c r="NT825" s="1265"/>
      <c r="NU825" s="1265"/>
      <c r="NV825" s="1265"/>
      <c r="NW825" s="1265"/>
      <c r="NX825" s="1265"/>
      <c r="NY825" s="1265"/>
      <c r="NZ825" s="1265"/>
      <c r="OA825" s="1265"/>
      <c r="OB825" s="1265"/>
      <c r="OC825" s="1265"/>
      <c r="OD825" s="1265"/>
      <c r="OE825" s="1265"/>
      <c r="OF825" s="1265"/>
      <c r="OG825" s="1265"/>
      <c r="OH825" s="1265"/>
      <c r="OI825" s="1265"/>
      <c r="OJ825" s="1265"/>
      <c r="OK825" s="1265"/>
      <c r="OL825" s="1265"/>
      <c r="OM825" s="1265"/>
      <c r="ON825" s="1265"/>
      <c r="OO825" s="1265"/>
      <c r="OP825" s="1265"/>
      <c r="OQ825" s="1265"/>
      <c r="OR825" s="1265"/>
      <c r="OS825" s="1265"/>
      <c r="OT825" s="1265"/>
      <c r="OU825" s="1265"/>
      <c r="OV825" s="1265"/>
      <c r="OW825" s="1265"/>
      <c r="OX825" s="1265"/>
      <c r="OY825" s="1265"/>
      <c r="OZ825" s="1265"/>
      <c r="PA825" s="1265"/>
      <c r="PB825" s="1265"/>
      <c r="PC825" s="1265"/>
      <c r="PD825" s="1265"/>
      <c r="PE825" s="1265"/>
      <c r="PF825" s="1265"/>
      <c r="PG825" s="1265"/>
      <c r="PH825" s="1265"/>
      <c r="PI825" s="1265"/>
      <c r="PJ825" s="1265"/>
      <c r="PK825" s="1265"/>
      <c r="PL825" s="1265"/>
      <c r="PM825" s="1265"/>
      <c r="PN825" s="1265"/>
      <c r="PO825" s="1265"/>
      <c r="PP825" s="1265"/>
      <c r="PQ825" s="1265"/>
      <c r="PR825" s="1265"/>
      <c r="PS825" s="1265"/>
      <c r="PT825" s="1265"/>
      <c r="PU825" s="1265"/>
      <c r="PV825" s="1265"/>
      <c r="PW825" s="1265"/>
      <c r="PX825" s="1265"/>
      <c r="PY825" s="1265"/>
      <c r="PZ825" s="1265"/>
      <c r="QA825" s="1265"/>
      <c r="QB825" s="1265"/>
      <c r="QC825" s="1265"/>
      <c r="QD825" s="1265"/>
      <c r="QE825" s="1265"/>
      <c r="QF825" s="1265"/>
      <c r="QG825" s="1265"/>
      <c r="QH825" s="1265"/>
      <c r="QI825" s="1265"/>
      <c r="QJ825" s="1265"/>
      <c r="QK825" s="1265"/>
      <c r="QL825" s="1265"/>
      <c r="QM825" s="1265"/>
      <c r="QN825" s="1265"/>
      <c r="QO825" s="1265"/>
      <c r="QP825" s="1265"/>
      <c r="QQ825" s="1265"/>
      <c r="QR825" s="1265"/>
      <c r="QS825" s="1265"/>
      <c r="QT825" s="1265"/>
      <c r="QU825" s="1265"/>
      <c r="QV825" s="1265"/>
      <c r="QW825" s="1265"/>
      <c r="QX825" s="1265"/>
      <c r="QY825" s="1265"/>
      <c r="QZ825" s="1265"/>
      <c r="RA825" s="1265"/>
      <c r="RB825" s="1265"/>
      <c r="RC825" s="1265"/>
      <c r="RD825" s="1265"/>
      <c r="RE825" s="1265"/>
      <c r="RF825" s="1265"/>
      <c r="RG825" s="1265"/>
      <c r="RH825" s="1265"/>
      <c r="RI825" s="1265"/>
      <c r="RJ825" s="1265"/>
      <c r="RK825" s="1265"/>
      <c r="RL825" s="1265"/>
      <c r="RM825" s="1265"/>
      <c r="RN825" s="1265"/>
      <c r="RO825" s="1265"/>
      <c r="RP825" s="1265"/>
      <c r="RQ825" s="1265"/>
      <c r="RR825" s="1265"/>
      <c r="RS825" s="1265"/>
      <c r="RT825" s="1265"/>
      <c r="RU825" s="1265"/>
      <c r="RV825" s="1265"/>
      <c r="RW825" s="1265"/>
      <c r="RX825" s="1265"/>
      <c r="RY825" s="1265"/>
      <c r="RZ825" s="1265"/>
      <c r="SA825" s="1265"/>
      <c r="SB825" s="1265"/>
      <c r="SC825" s="1265"/>
      <c r="SD825" s="1265"/>
      <c r="SE825" s="1265"/>
      <c r="SF825" s="1265"/>
      <c r="SG825" s="1265"/>
      <c r="SH825" s="1265"/>
      <c r="SI825" s="1265"/>
      <c r="SJ825" s="1265"/>
      <c r="SK825" s="1265"/>
      <c r="SL825" s="1265"/>
      <c r="SM825" s="1265"/>
      <c r="SN825" s="1265"/>
      <c r="SO825" s="1265"/>
      <c r="SP825" s="1265"/>
      <c r="SQ825" s="1265"/>
      <c r="SR825" s="1265"/>
      <c r="SS825" s="1265"/>
      <c r="ST825" s="1265"/>
      <c r="SU825" s="1265"/>
      <c r="SV825" s="1265"/>
      <c r="SW825" s="1265"/>
      <c r="SX825" s="1265"/>
      <c r="SY825" s="1265"/>
      <c r="SZ825" s="1265"/>
      <c r="TA825" s="1265"/>
      <c r="TB825" s="1265"/>
      <c r="TC825" s="1265"/>
      <c r="TD825" s="1265"/>
      <c r="TE825" s="1265"/>
      <c r="TF825" s="1265"/>
      <c r="TG825" s="1265"/>
      <c r="TH825" s="1265"/>
      <c r="TI825" s="1265"/>
      <c r="TJ825" s="1265"/>
      <c r="TK825" s="1265"/>
      <c r="TL825" s="1265"/>
      <c r="TM825" s="1265"/>
      <c r="TN825" s="1265"/>
      <c r="TO825" s="1265"/>
      <c r="TP825" s="1265"/>
      <c r="TQ825" s="1265"/>
      <c r="TR825" s="1265"/>
      <c r="TS825" s="1265"/>
      <c r="TT825" s="1265"/>
      <c r="TU825" s="1265"/>
      <c r="TV825" s="1265"/>
      <c r="TW825" s="1265"/>
      <c r="TX825" s="1265"/>
      <c r="TY825" s="1265"/>
      <c r="TZ825" s="1265"/>
      <c r="UA825" s="1265"/>
      <c r="UB825" s="1265"/>
      <c r="UC825" s="1265"/>
      <c r="UD825" s="1265"/>
      <c r="UE825" s="1265"/>
      <c r="UF825" s="1265"/>
      <c r="UG825" s="1266"/>
    </row>
    <row r="826" spans="1:553" s="1262" customFormat="1" ht="30.75" customHeight="1">
      <c r="A826" s="1231"/>
      <c r="B826" s="1231"/>
      <c r="C826" s="1408" t="s">
        <v>808</v>
      </c>
      <c r="D826" s="1409" t="s">
        <v>1182</v>
      </c>
      <c r="E826" s="1409" t="s">
        <v>1182</v>
      </c>
      <c r="F826" s="1410" t="s">
        <v>1182</v>
      </c>
      <c r="G826" s="1007" t="s">
        <v>48</v>
      </c>
      <c r="H826" s="651"/>
      <c r="I826" s="507">
        <v>1</v>
      </c>
      <c r="J826" s="1065">
        <v>164200</v>
      </c>
      <c r="K826" s="668">
        <v>0.7</v>
      </c>
      <c r="L826" s="589">
        <f>ROUND(PRODUCT(I826:K826),0)</f>
        <v>114940</v>
      </c>
      <c r="M826" s="356"/>
      <c r="N826" s="356"/>
      <c r="O826" s="356"/>
      <c r="P826" s="356"/>
      <c r="Q826" s="610"/>
      <c r="R826" s="1228"/>
      <c r="S826" s="308"/>
      <c r="T826" s="308"/>
      <c r="U826" s="308"/>
      <c r="V826" s="308"/>
      <c r="W826" s="308"/>
      <c r="X826" s="308"/>
      <c r="Y826" s="308"/>
      <c r="Z826" s="604"/>
      <c r="AA826" s="308"/>
      <c r="AB826" s="308"/>
      <c r="AC826" s="454"/>
      <c r="AD826" s="454"/>
      <c r="AE826" s="454"/>
      <c r="AF826" s="454"/>
      <c r="AG826" s="454"/>
      <c r="AH826" s="454"/>
      <c r="AI826" s="454"/>
      <c r="AJ826" s="454"/>
      <c r="AK826" s="455"/>
      <c r="AL826" s="1263"/>
      <c r="AM826" s="1263"/>
      <c r="AN826" s="1263"/>
      <c r="AO826" s="1263"/>
      <c r="AP826" s="1263"/>
      <c r="AQ826" s="1263"/>
      <c r="AR826" s="1263"/>
      <c r="AS826" s="1264"/>
      <c r="AT826" s="1264"/>
      <c r="AU826" s="1264"/>
      <c r="AV826" s="1264"/>
      <c r="AW826" s="1264"/>
      <c r="AX826" s="1264"/>
      <c r="AY826" s="1264"/>
      <c r="AZ826" s="1264"/>
      <c r="BA826" s="1264"/>
      <c r="BB826" s="1264"/>
      <c r="BC826" s="1264"/>
      <c r="BD826" s="1264"/>
      <c r="BE826" s="1264"/>
      <c r="BF826" s="1264"/>
      <c r="BG826" s="1264"/>
      <c r="BH826" s="1264"/>
      <c r="BI826" s="1264"/>
      <c r="BJ826" s="1264"/>
      <c r="BK826" s="1264"/>
      <c r="BL826" s="1264"/>
      <c r="BM826" s="1264"/>
      <c r="BN826" s="1264"/>
      <c r="BO826" s="1264"/>
      <c r="BP826" s="1265"/>
      <c r="BQ826" s="1265"/>
      <c r="BR826" s="1265"/>
      <c r="BS826" s="1265"/>
      <c r="BT826" s="1265"/>
      <c r="BU826" s="1265"/>
      <c r="BV826" s="1265"/>
      <c r="BW826" s="1265"/>
      <c r="BX826" s="1265"/>
      <c r="BY826" s="1265"/>
      <c r="BZ826" s="1265"/>
      <c r="CA826" s="1265"/>
      <c r="CB826" s="1265"/>
      <c r="CC826" s="1265"/>
      <c r="CD826" s="1265"/>
      <c r="CE826" s="1265"/>
      <c r="CF826" s="1265"/>
      <c r="CG826" s="1265"/>
      <c r="CH826" s="1265"/>
      <c r="CI826" s="1265"/>
      <c r="CJ826" s="1265"/>
      <c r="CK826" s="1265"/>
      <c r="CL826" s="1265"/>
      <c r="CM826" s="1265"/>
      <c r="CN826" s="1265"/>
      <c r="CO826" s="1265"/>
      <c r="CP826" s="1265"/>
      <c r="CQ826" s="1265"/>
      <c r="CR826" s="1265"/>
      <c r="CS826" s="1265"/>
      <c r="CT826" s="1265"/>
      <c r="CU826" s="1265"/>
      <c r="CV826" s="1265"/>
      <c r="CW826" s="1265"/>
      <c r="CX826" s="1265"/>
      <c r="CY826" s="1265"/>
      <c r="CZ826" s="1265"/>
      <c r="DA826" s="1265"/>
      <c r="DB826" s="1265"/>
      <c r="DC826" s="1265"/>
      <c r="DD826" s="1265"/>
      <c r="DE826" s="1265"/>
      <c r="DF826" s="1265"/>
      <c r="DG826" s="1265"/>
      <c r="DH826" s="1265"/>
      <c r="DI826" s="1265"/>
      <c r="DJ826" s="1265"/>
      <c r="DK826" s="1265"/>
      <c r="DL826" s="1265"/>
      <c r="DM826" s="1265"/>
      <c r="DN826" s="1265"/>
      <c r="DO826" s="1265"/>
      <c r="DP826" s="1265"/>
      <c r="DQ826" s="1265"/>
      <c r="DR826" s="1265"/>
      <c r="DS826" s="1265"/>
      <c r="DT826" s="1265"/>
      <c r="DU826" s="1265"/>
      <c r="DV826" s="1265"/>
      <c r="DW826" s="1265"/>
      <c r="DX826" s="1265"/>
      <c r="DY826" s="1265"/>
      <c r="DZ826" s="1265"/>
      <c r="EA826" s="1265"/>
      <c r="EB826" s="1265"/>
      <c r="EC826" s="1265"/>
      <c r="ED826" s="1265"/>
      <c r="EE826" s="1265"/>
      <c r="EF826" s="1265"/>
      <c r="EG826" s="1265"/>
      <c r="EH826" s="1265"/>
      <c r="EI826" s="1265"/>
      <c r="EJ826" s="1265"/>
      <c r="EK826" s="1265"/>
      <c r="EL826" s="1265"/>
      <c r="EM826" s="1265"/>
      <c r="EN826" s="1265"/>
      <c r="EO826" s="1265"/>
      <c r="EP826" s="1265"/>
      <c r="EQ826" s="1265"/>
      <c r="ER826" s="1265"/>
      <c r="ES826" s="1265"/>
      <c r="ET826" s="1265"/>
      <c r="EU826" s="1265"/>
      <c r="EV826" s="1265"/>
      <c r="EW826" s="1265"/>
      <c r="EX826" s="1265"/>
      <c r="EY826" s="1265"/>
      <c r="EZ826" s="1265"/>
      <c r="FA826" s="1265"/>
      <c r="FB826" s="1265"/>
      <c r="FC826" s="1265"/>
      <c r="FD826" s="1265"/>
      <c r="FE826" s="1265"/>
      <c r="FF826" s="1265"/>
      <c r="FG826" s="1265"/>
      <c r="FH826" s="1265"/>
      <c r="FI826" s="1265"/>
      <c r="FJ826" s="1265"/>
      <c r="FK826" s="1265"/>
      <c r="FL826" s="1265"/>
      <c r="FM826" s="1265"/>
      <c r="FN826" s="1265"/>
      <c r="FO826" s="1265"/>
      <c r="FP826" s="1265"/>
      <c r="FQ826" s="1265"/>
      <c r="FR826" s="1265"/>
      <c r="FS826" s="1265"/>
      <c r="FT826" s="1265"/>
      <c r="FU826" s="1265"/>
      <c r="FV826" s="1265"/>
      <c r="FW826" s="1265"/>
      <c r="FX826" s="1265"/>
      <c r="FY826" s="1265"/>
      <c r="FZ826" s="1265"/>
      <c r="GA826" s="1265"/>
      <c r="GB826" s="1265"/>
      <c r="GC826" s="1265"/>
      <c r="GD826" s="1265"/>
      <c r="GE826" s="1265"/>
      <c r="GF826" s="1265"/>
      <c r="GG826" s="1265"/>
      <c r="GH826" s="1265"/>
      <c r="GI826" s="1265"/>
      <c r="GJ826" s="1265"/>
      <c r="GK826" s="1265"/>
      <c r="GL826" s="1265"/>
      <c r="GM826" s="1265"/>
      <c r="GN826" s="1265"/>
      <c r="GO826" s="1265"/>
      <c r="GP826" s="1265"/>
      <c r="GQ826" s="1265"/>
      <c r="GR826" s="1265"/>
      <c r="GS826" s="1265"/>
      <c r="GT826" s="1265"/>
      <c r="GU826" s="1265"/>
      <c r="GV826" s="1265"/>
      <c r="GW826" s="1265"/>
      <c r="GX826" s="1265"/>
      <c r="GY826" s="1265"/>
      <c r="GZ826" s="1265"/>
      <c r="HA826" s="1265"/>
      <c r="HB826" s="1265"/>
      <c r="HC826" s="1265"/>
      <c r="HD826" s="1265"/>
      <c r="HE826" s="1265"/>
      <c r="HF826" s="1265"/>
      <c r="HG826" s="1265"/>
      <c r="HH826" s="1265"/>
      <c r="HI826" s="1265"/>
      <c r="HJ826" s="1265"/>
      <c r="HK826" s="1265"/>
      <c r="HL826" s="1265"/>
      <c r="HM826" s="1265"/>
      <c r="HN826" s="1265"/>
      <c r="HO826" s="1265"/>
      <c r="HP826" s="1265"/>
      <c r="HQ826" s="1265"/>
      <c r="HR826" s="1265"/>
      <c r="HS826" s="1265"/>
      <c r="HT826" s="1265"/>
      <c r="HU826" s="1265"/>
      <c r="HV826" s="1265"/>
      <c r="HW826" s="1265"/>
      <c r="HX826" s="1265"/>
      <c r="HY826" s="1265"/>
      <c r="HZ826" s="1265"/>
      <c r="IA826" s="1265"/>
      <c r="IB826" s="1265"/>
      <c r="IC826" s="1265"/>
      <c r="ID826" s="1265"/>
      <c r="IE826" s="1265"/>
      <c r="IF826" s="1265"/>
      <c r="IG826" s="1265"/>
      <c r="IH826" s="1265"/>
      <c r="II826" s="1265"/>
      <c r="IJ826" s="1265"/>
      <c r="IK826" s="1265"/>
      <c r="IL826" s="1265"/>
      <c r="IM826" s="1265"/>
      <c r="IN826" s="1265"/>
      <c r="IO826" s="1265"/>
      <c r="IP826" s="1265"/>
      <c r="IQ826" s="1265"/>
      <c r="IR826" s="1265"/>
      <c r="IS826" s="1265"/>
      <c r="IT826" s="1265"/>
      <c r="IU826" s="1265"/>
      <c r="IV826" s="1265"/>
      <c r="IW826" s="1265"/>
      <c r="IX826" s="1265"/>
      <c r="IY826" s="1265"/>
      <c r="IZ826" s="1265"/>
      <c r="JA826" s="1265"/>
      <c r="JB826" s="1265"/>
      <c r="JC826" s="1265"/>
      <c r="JD826" s="1265"/>
      <c r="JE826" s="1265"/>
      <c r="JF826" s="1265"/>
      <c r="JG826" s="1265"/>
      <c r="JH826" s="1265"/>
      <c r="JI826" s="1265"/>
      <c r="JJ826" s="1265"/>
      <c r="JK826" s="1265"/>
      <c r="JL826" s="1265"/>
      <c r="JM826" s="1265"/>
      <c r="JN826" s="1265"/>
      <c r="JO826" s="1265"/>
      <c r="JP826" s="1265"/>
      <c r="JQ826" s="1265"/>
      <c r="JR826" s="1265"/>
      <c r="JS826" s="1265"/>
      <c r="JT826" s="1265"/>
      <c r="JU826" s="1265"/>
      <c r="JV826" s="1265"/>
      <c r="JW826" s="1265"/>
      <c r="JX826" s="1265"/>
      <c r="JY826" s="1265"/>
      <c r="JZ826" s="1265"/>
      <c r="KA826" s="1265"/>
      <c r="KB826" s="1265"/>
      <c r="KC826" s="1265"/>
      <c r="KD826" s="1265"/>
      <c r="KE826" s="1265"/>
      <c r="KF826" s="1265"/>
      <c r="KG826" s="1265"/>
      <c r="KH826" s="1265"/>
      <c r="KI826" s="1265"/>
      <c r="KJ826" s="1265"/>
      <c r="KK826" s="1265"/>
      <c r="KL826" s="1265"/>
      <c r="KM826" s="1265"/>
      <c r="KN826" s="1265"/>
      <c r="KO826" s="1265"/>
      <c r="KP826" s="1265"/>
      <c r="KQ826" s="1265"/>
      <c r="KR826" s="1265"/>
      <c r="KS826" s="1265"/>
      <c r="KT826" s="1265"/>
      <c r="KU826" s="1265"/>
      <c r="KV826" s="1265"/>
      <c r="KW826" s="1265"/>
      <c r="KX826" s="1265"/>
      <c r="KY826" s="1265"/>
      <c r="KZ826" s="1265"/>
      <c r="LA826" s="1265"/>
      <c r="LB826" s="1265"/>
      <c r="LC826" s="1265"/>
      <c r="LD826" s="1265"/>
      <c r="LE826" s="1265"/>
      <c r="LF826" s="1265"/>
      <c r="LG826" s="1265"/>
      <c r="LH826" s="1265"/>
      <c r="LI826" s="1265"/>
      <c r="LJ826" s="1265"/>
      <c r="LK826" s="1265"/>
      <c r="LL826" s="1265"/>
      <c r="LM826" s="1265"/>
      <c r="LN826" s="1265"/>
      <c r="LO826" s="1265"/>
      <c r="LP826" s="1265"/>
      <c r="LQ826" s="1265"/>
      <c r="LR826" s="1265"/>
      <c r="LS826" s="1265"/>
      <c r="LT826" s="1265"/>
      <c r="LU826" s="1265"/>
      <c r="LV826" s="1265"/>
      <c r="LW826" s="1265"/>
      <c r="LX826" s="1265"/>
      <c r="LY826" s="1265"/>
      <c r="LZ826" s="1265"/>
      <c r="MA826" s="1265"/>
      <c r="MB826" s="1265"/>
      <c r="MC826" s="1265"/>
      <c r="MD826" s="1265"/>
      <c r="ME826" s="1265"/>
      <c r="MF826" s="1265"/>
      <c r="MG826" s="1265"/>
      <c r="MH826" s="1265"/>
      <c r="MI826" s="1265"/>
      <c r="MJ826" s="1265"/>
      <c r="MK826" s="1265"/>
      <c r="ML826" s="1265"/>
      <c r="MM826" s="1265"/>
      <c r="MN826" s="1265"/>
      <c r="MO826" s="1265"/>
      <c r="MP826" s="1265"/>
      <c r="MQ826" s="1265"/>
      <c r="MR826" s="1265"/>
      <c r="MS826" s="1265"/>
      <c r="MT826" s="1265"/>
      <c r="MU826" s="1265"/>
      <c r="MV826" s="1265"/>
      <c r="MW826" s="1265"/>
      <c r="MX826" s="1265"/>
      <c r="MY826" s="1265"/>
      <c r="MZ826" s="1265"/>
      <c r="NA826" s="1265"/>
      <c r="NB826" s="1265"/>
      <c r="NC826" s="1265"/>
      <c r="ND826" s="1265"/>
      <c r="NE826" s="1265"/>
      <c r="NF826" s="1265"/>
      <c r="NG826" s="1265"/>
      <c r="NH826" s="1265"/>
      <c r="NI826" s="1265"/>
      <c r="NJ826" s="1265"/>
      <c r="NK826" s="1265"/>
      <c r="NL826" s="1265"/>
      <c r="NM826" s="1265"/>
      <c r="NN826" s="1265"/>
      <c r="NO826" s="1265"/>
      <c r="NP826" s="1265"/>
      <c r="NQ826" s="1265"/>
      <c r="NR826" s="1265"/>
      <c r="NS826" s="1265"/>
      <c r="NT826" s="1265"/>
      <c r="NU826" s="1265"/>
      <c r="NV826" s="1265"/>
      <c r="NW826" s="1265"/>
      <c r="NX826" s="1265"/>
      <c r="NY826" s="1265"/>
      <c r="NZ826" s="1265"/>
      <c r="OA826" s="1265"/>
      <c r="OB826" s="1265"/>
      <c r="OC826" s="1265"/>
      <c r="OD826" s="1265"/>
      <c r="OE826" s="1265"/>
      <c r="OF826" s="1265"/>
      <c r="OG826" s="1265"/>
      <c r="OH826" s="1265"/>
      <c r="OI826" s="1265"/>
      <c r="OJ826" s="1265"/>
      <c r="OK826" s="1265"/>
      <c r="OL826" s="1265"/>
      <c r="OM826" s="1265"/>
      <c r="ON826" s="1265"/>
      <c r="OO826" s="1265"/>
      <c r="OP826" s="1265"/>
      <c r="OQ826" s="1265"/>
      <c r="OR826" s="1265"/>
      <c r="OS826" s="1265"/>
      <c r="OT826" s="1265"/>
      <c r="OU826" s="1265"/>
      <c r="OV826" s="1265"/>
      <c r="OW826" s="1265"/>
      <c r="OX826" s="1265"/>
      <c r="OY826" s="1265"/>
      <c r="OZ826" s="1265"/>
      <c r="PA826" s="1265"/>
      <c r="PB826" s="1265"/>
      <c r="PC826" s="1265"/>
      <c r="PD826" s="1265"/>
      <c r="PE826" s="1265"/>
      <c r="PF826" s="1265"/>
      <c r="PG826" s="1265"/>
      <c r="PH826" s="1265"/>
      <c r="PI826" s="1265"/>
      <c r="PJ826" s="1265"/>
      <c r="PK826" s="1265"/>
      <c r="PL826" s="1265"/>
      <c r="PM826" s="1265"/>
      <c r="PN826" s="1265"/>
      <c r="PO826" s="1265"/>
      <c r="PP826" s="1265"/>
      <c r="PQ826" s="1265"/>
      <c r="PR826" s="1265"/>
      <c r="PS826" s="1265"/>
      <c r="PT826" s="1265"/>
      <c r="PU826" s="1265"/>
      <c r="PV826" s="1265"/>
      <c r="PW826" s="1265"/>
      <c r="PX826" s="1265"/>
      <c r="PY826" s="1265"/>
      <c r="PZ826" s="1265"/>
      <c r="QA826" s="1265"/>
      <c r="QB826" s="1265"/>
      <c r="QC826" s="1265"/>
      <c r="QD826" s="1265"/>
      <c r="QE826" s="1265"/>
      <c r="QF826" s="1265"/>
      <c r="QG826" s="1265"/>
      <c r="QH826" s="1265"/>
      <c r="QI826" s="1265"/>
      <c r="QJ826" s="1265"/>
      <c r="QK826" s="1265"/>
      <c r="QL826" s="1265"/>
      <c r="QM826" s="1265"/>
      <c r="QN826" s="1265"/>
      <c r="QO826" s="1265"/>
      <c r="QP826" s="1265"/>
      <c r="QQ826" s="1265"/>
      <c r="QR826" s="1265"/>
      <c r="QS826" s="1265"/>
      <c r="QT826" s="1265"/>
      <c r="QU826" s="1265"/>
      <c r="QV826" s="1265"/>
      <c r="QW826" s="1265"/>
      <c r="QX826" s="1265"/>
      <c r="QY826" s="1265"/>
      <c r="QZ826" s="1265"/>
      <c r="RA826" s="1265"/>
      <c r="RB826" s="1265"/>
      <c r="RC826" s="1265"/>
      <c r="RD826" s="1265"/>
      <c r="RE826" s="1265"/>
      <c r="RF826" s="1265"/>
      <c r="RG826" s="1265"/>
      <c r="RH826" s="1265"/>
      <c r="RI826" s="1265"/>
      <c r="RJ826" s="1265"/>
      <c r="RK826" s="1265"/>
      <c r="RL826" s="1265"/>
      <c r="RM826" s="1265"/>
      <c r="RN826" s="1265"/>
      <c r="RO826" s="1265"/>
      <c r="RP826" s="1265"/>
      <c r="RQ826" s="1265"/>
      <c r="RR826" s="1265"/>
      <c r="RS826" s="1265"/>
      <c r="RT826" s="1265"/>
      <c r="RU826" s="1265"/>
      <c r="RV826" s="1265"/>
      <c r="RW826" s="1265"/>
      <c r="RX826" s="1265"/>
      <c r="RY826" s="1265"/>
      <c r="RZ826" s="1265"/>
      <c r="SA826" s="1265"/>
      <c r="SB826" s="1265"/>
      <c r="SC826" s="1265"/>
      <c r="SD826" s="1265"/>
      <c r="SE826" s="1265"/>
      <c r="SF826" s="1265"/>
      <c r="SG826" s="1265"/>
      <c r="SH826" s="1265"/>
      <c r="SI826" s="1265"/>
      <c r="SJ826" s="1265"/>
      <c r="SK826" s="1265"/>
      <c r="SL826" s="1265"/>
      <c r="SM826" s="1265"/>
      <c r="SN826" s="1265"/>
      <c r="SO826" s="1265"/>
      <c r="SP826" s="1265"/>
      <c r="SQ826" s="1265"/>
      <c r="SR826" s="1265"/>
      <c r="SS826" s="1265"/>
      <c r="ST826" s="1265"/>
      <c r="SU826" s="1265"/>
      <c r="SV826" s="1265"/>
      <c r="SW826" s="1265"/>
      <c r="SX826" s="1265"/>
      <c r="SY826" s="1265"/>
      <c r="SZ826" s="1265"/>
      <c r="TA826" s="1265"/>
      <c r="TB826" s="1265"/>
      <c r="TC826" s="1265"/>
      <c r="TD826" s="1265"/>
      <c r="TE826" s="1265"/>
      <c r="TF826" s="1265"/>
      <c r="TG826" s="1265"/>
      <c r="TH826" s="1265"/>
      <c r="TI826" s="1265"/>
      <c r="TJ826" s="1265"/>
      <c r="TK826" s="1265"/>
      <c r="TL826" s="1265"/>
      <c r="TM826" s="1265"/>
      <c r="TN826" s="1265"/>
      <c r="TO826" s="1265"/>
      <c r="TP826" s="1265"/>
      <c r="TQ826" s="1265"/>
      <c r="TR826" s="1265"/>
      <c r="TS826" s="1265"/>
      <c r="TT826" s="1265"/>
      <c r="TU826" s="1265"/>
      <c r="TV826" s="1265"/>
      <c r="TW826" s="1265"/>
      <c r="TX826" s="1265"/>
      <c r="TY826" s="1265"/>
      <c r="TZ826" s="1265"/>
      <c r="UA826" s="1265"/>
      <c r="UB826" s="1265"/>
      <c r="UC826" s="1265"/>
      <c r="UD826" s="1265"/>
      <c r="UE826" s="1265"/>
      <c r="UF826" s="1265"/>
      <c r="UG826" s="1266"/>
    </row>
    <row r="827" spans="1:553" s="1262" customFormat="1" ht="30.75" customHeight="1">
      <c r="A827" s="436"/>
      <c r="B827" s="436"/>
      <c r="C827" s="1548" t="s">
        <v>1183</v>
      </c>
      <c r="D827" s="1548" t="s">
        <v>841</v>
      </c>
      <c r="E827" s="1548" t="s">
        <v>841</v>
      </c>
      <c r="F827" s="1548" t="s">
        <v>841</v>
      </c>
      <c r="G827" s="303" t="s">
        <v>46</v>
      </c>
      <c r="H827" s="652"/>
      <c r="I827" s="1250">
        <f>(20.51*100/400)*(12-(4-3))*1</f>
        <v>56.402500000000003</v>
      </c>
      <c r="J827" s="557">
        <v>3100</v>
      </c>
      <c r="K827" s="656">
        <v>0.7</v>
      </c>
      <c r="L827" s="573">
        <f>I827*J827*K827</f>
        <v>122393.42499999999</v>
      </c>
      <c r="M827" s="356"/>
      <c r="N827" s="356"/>
      <c r="O827" s="356"/>
      <c r="P827" s="356"/>
      <c r="Q827" s="610"/>
      <c r="R827" s="1228"/>
      <c r="S827" s="308"/>
      <c r="T827" s="308"/>
      <c r="U827" s="308"/>
      <c r="V827" s="308"/>
      <c r="W827" s="308"/>
      <c r="X827" s="308"/>
      <c r="Y827" s="308"/>
      <c r="Z827" s="604"/>
      <c r="AA827" s="308"/>
      <c r="AB827" s="308"/>
      <c r="AC827" s="454"/>
      <c r="AD827" s="454"/>
      <c r="AE827" s="454"/>
      <c r="AF827" s="454"/>
      <c r="AG827" s="454"/>
      <c r="AH827" s="454"/>
      <c r="AI827" s="454"/>
      <c r="AJ827" s="454"/>
      <c r="AK827" s="455"/>
      <c r="AL827" s="1263"/>
      <c r="AM827" s="1263"/>
      <c r="AN827" s="1263"/>
      <c r="AO827" s="1263"/>
      <c r="AP827" s="1263"/>
      <c r="AQ827" s="1263"/>
      <c r="AR827" s="1263"/>
      <c r="AS827" s="1264"/>
      <c r="AT827" s="1264"/>
      <c r="AU827" s="1264"/>
      <c r="AV827" s="1264"/>
      <c r="AW827" s="1264"/>
      <c r="AX827" s="1264"/>
      <c r="AY827" s="1264"/>
      <c r="AZ827" s="1264"/>
      <c r="BA827" s="1264"/>
      <c r="BB827" s="1264"/>
      <c r="BC827" s="1264"/>
      <c r="BD827" s="1264"/>
      <c r="BE827" s="1264"/>
      <c r="BF827" s="1264"/>
      <c r="BG827" s="1264"/>
      <c r="BH827" s="1264"/>
      <c r="BI827" s="1264"/>
      <c r="BJ827" s="1264"/>
      <c r="BK827" s="1264"/>
      <c r="BL827" s="1264"/>
      <c r="BM827" s="1264"/>
      <c r="BN827" s="1264"/>
      <c r="BO827" s="1264"/>
      <c r="BP827" s="1265"/>
      <c r="BQ827" s="1265"/>
      <c r="BR827" s="1265"/>
      <c r="BS827" s="1265"/>
      <c r="BT827" s="1265"/>
      <c r="BU827" s="1265"/>
      <c r="BV827" s="1265"/>
      <c r="BW827" s="1265"/>
      <c r="BX827" s="1265"/>
      <c r="BY827" s="1265"/>
      <c r="BZ827" s="1265"/>
      <c r="CA827" s="1265"/>
      <c r="CB827" s="1265"/>
      <c r="CC827" s="1265"/>
      <c r="CD827" s="1265"/>
      <c r="CE827" s="1265"/>
      <c r="CF827" s="1265"/>
      <c r="CG827" s="1265"/>
      <c r="CH827" s="1265"/>
      <c r="CI827" s="1265"/>
      <c r="CJ827" s="1265"/>
      <c r="CK827" s="1265"/>
      <c r="CL827" s="1265"/>
      <c r="CM827" s="1265"/>
      <c r="CN827" s="1265"/>
      <c r="CO827" s="1265"/>
      <c r="CP827" s="1265"/>
      <c r="CQ827" s="1265"/>
      <c r="CR827" s="1265"/>
      <c r="CS827" s="1265"/>
      <c r="CT827" s="1265"/>
      <c r="CU827" s="1265"/>
      <c r="CV827" s="1265"/>
      <c r="CW827" s="1265"/>
      <c r="CX827" s="1265"/>
      <c r="CY827" s="1265"/>
      <c r="CZ827" s="1265"/>
      <c r="DA827" s="1265"/>
      <c r="DB827" s="1265"/>
      <c r="DC827" s="1265"/>
      <c r="DD827" s="1265"/>
      <c r="DE827" s="1265"/>
      <c r="DF827" s="1265"/>
      <c r="DG827" s="1265"/>
      <c r="DH827" s="1265"/>
      <c r="DI827" s="1265"/>
      <c r="DJ827" s="1265"/>
      <c r="DK827" s="1265"/>
      <c r="DL827" s="1265"/>
      <c r="DM827" s="1265"/>
      <c r="DN827" s="1265"/>
      <c r="DO827" s="1265"/>
      <c r="DP827" s="1265"/>
      <c r="DQ827" s="1265"/>
      <c r="DR827" s="1265"/>
      <c r="DS827" s="1265"/>
      <c r="DT827" s="1265"/>
      <c r="DU827" s="1265"/>
      <c r="DV827" s="1265"/>
      <c r="DW827" s="1265"/>
      <c r="DX827" s="1265"/>
      <c r="DY827" s="1265"/>
      <c r="DZ827" s="1265"/>
      <c r="EA827" s="1265"/>
      <c r="EB827" s="1265"/>
      <c r="EC827" s="1265"/>
      <c r="ED827" s="1265"/>
      <c r="EE827" s="1265"/>
      <c r="EF827" s="1265"/>
      <c r="EG827" s="1265"/>
      <c r="EH827" s="1265"/>
      <c r="EI827" s="1265"/>
      <c r="EJ827" s="1265"/>
      <c r="EK827" s="1265"/>
      <c r="EL827" s="1265"/>
      <c r="EM827" s="1265"/>
      <c r="EN827" s="1265"/>
      <c r="EO827" s="1265"/>
      <c r="EP827" s="1265"/>
      <c r="EQ827" s="1265"/>
      <c r="ER827" s="1265"/>
      <c r="ES827" s="1265"/>
      <c r="ET827" s="1265"/>
      <c r="EU827" s="1265"/>
      <c r="EV827" s="1265"/>
      <c r="EW827" s="1265"/>
      <c r="EX827" s="1265"/>
      <c r="EY827" s="1265"/>
      <c r="EZ827" s="1265"/>
      <c r="FA827" s="1265"/>
      <c r="FB827" s="1265"/>
      <c r="FC827" s="1265"/>
      <c r="FD827" s="1265"/>
      <c r="FE827" s="1265"/>
      <c r="FF827" s="1265"/>
      <c r="FG827" s="1265"/>
      <c r="FH827" s="1265"/>
      <c r="FI827" s="1265"/>
      <c r="FJ827" s="1265"/>
      <c r="FK827" s="1265"/>
      <c r="FL827" s="1265"/>
      <c r="FM827" s="1265"/>
      <c r="FN827" s="1265"/>
      <c r="FO827" s="1265"/>
      <c r="FP827" s="1265"/>
      <c r="FQ827" s="1265"/>
      <c r="FR827" s="1265"/>
      <c r="FS827" s="1265"/>
      <c r="FT827" s="1265"/>
      <c r="FU827" s="1265"/>
      <c r="FV827" s="1265"/>
      <c r="FW827" s="1265"/>
      <c r="FX827" s="1265"/>
      <c r="FY827" s="1265"/>
      <c r="FZ827" s="1265"/>
      <c r="GA827" s="1265"/>
      <c r="GB827" s="1265"/>
      <c r="GC827" s="1265"/>
      <c r="GD827" s="1265"/>
      <c r="GE827" s="1265"/>
      <c r="GF827" s="1265"/>
      <c r="GG827" s="1265"/>
      <c r="GH827" s="1265"/>
      <c r="GI827" s="1265"/>
      <c r="GJ827" s="1265"/>
      <c r="GK827" s="1265"/>
      <c r="GL827" s="1265"/>
      <c r="GM827" s="1265"/>
      <c r="GN827" s="1265"/>
      <c r="GO827" s="1265"/>
      <c r="GP827" s="1265"/>
      <c r="GQ827" s="1265"/>
      <c r="GR827" s="1265"/>
      <c r="GS827" s="1265"/>
      <c r="GT827" s="1265"/>
      <c r="GU827" s="1265"/>
      <c r="GV827" s="1265"/>
      <c r="GW827" s="1265"/>
      <c r="GX827" s="1265"/>
      <c r="GY827" s="1265"/>
      <c r="GZ827" s="1265"/>
      <c r="HA827" s="1265"/>
      <c r="HB827" s="1265"/>
      <c r="HC827" s="1265"/>
      <c r="HD827" s="1265"/>
      <c r="HE827" s="1265"/>
      <c r="HF827" s="1265"/>
      <c r="HG827" s="1265"/>
      <c r="HH827" s="1265"/>
      <c r="HI827" s="1265"/>
      <c r="HJ827" s="1265"/>
      <c r="HK827" s="1265"/>
      <c r="HL827" s="1265"/>
      <c r="HM827" s="1265"/>
      <c r="HN827" s="1265"/>
      <c r="HO827" s="1265"/>
      <c r="HP827" s="1265"/>
      <c r="HQ827" s="1265"/>
      <c r="HR827" s="1265"/>
      <c r="HS827" s="1265"/>
      <c r="HT827" s="1265"/>
      <c r="HU827" s="1265"/>
      <c r="HV827" s="1265"/>
      <c r="HW827" s="1265"/>
      <c r="HX827" s="1265"/>
      <c r="HY827" s="1265"/>
      <c r="HZ827" s="1265"/>
      <c r="IA827" s="1265"/>
      <c r="IB827" s="1265"/>
      <c r="IC827" s="1265"/>
      <c r="ID827" s="1265"/>
      <c r="IE827" s="1265"/>
      <c r="IF827" s="1265"/>
      <c r="IG827" s="1265"/>
      <c r="IH827" s="1265"/>
      <c r="II827" s="1265"/>
      <c r="IJ827" s="1265"/>
      <c r="IK827" s="1265"/>
      <c r="IL827" s="1265"/>
      <c r="IM827" s="1265"/>
      <c r="IN827" s="1265"/>
      <c r="IO827" s="1265"/>
      <c r="IP827" s="1265"/>
      <c r="IQ827" s="1265"/>
      <c r="IR827" s="1265"/>
      <c r="IS827" s="1265"/>
      <c r="IT827" s="1265"/>
      <c r="IU827" s="1265"/>
      <c r="IV827" s="1265"/>
      <c r="IW827" s="1265"/>
      <c r="IX827" s="1265"/>
      <c r="IY827" s="1265"/>
      <c r="IZ827" s="1265"/>
      <c r="JA827" s="1265"/>
      <c r="JB827" s="1265"/>
      <c r="JC827" s="1265"/>
      <c r="JD827" s="1265"/>
      <c r="JE827" s="1265"/>
      <c r="JF827" s="1265"/>
      <c r="JG827" s="1265"/>
      <c r="JH827" s="1265"/>
      <c r="JI827" s="1265"/>
      <c r="JJ827" s="1265"/>
      <c r="JK827" s="1265"/>
      <c r="JL827" s="1265"/>
      <c r="JM827" s="1265"/>
      <c r="JN827" s="1265"/>
      <c r="JO827" s="1265"/>
      <c r="JP827" s="1265"/>
      <c r="JQ827" s="1265"/>
      <c r="JR827" s="1265"/>
      <c r="JS827" s="1265"/>
      <c r="JT827" s="1265"/>
      <c r="JU827" s="1265"/>
      <c r="JV827" s="1265"/>
      <c r="JW827" s="1265"/>
      <c r="JX827" s="1265"/>
      <c r="JY827" s="1265"/>
      <c r="JZ827" s="1265"/>
      <c r="KA827" s="1265"/>
      <c r="KB827" s="1265"/>
      <c r="KC827" s="1265"/>
      <c r="KD827" s="1265"/>
      <c r="KE827" s="1265"/>
      <c r="KF827" s="1265"/>
      <c r="KG827" s="1265"/>
      <c r="KH827" s="1265"/>
      <c r="KI827" s="1265"/>
      <c r="KJ827" s="1265"/>
      <c r="KK827" s="1265"/>
      <c r="KL827" s="1265"/>
      <c r="KM827" s="1265"/>
      <c r="KN827" s="1265"/>
      <c r="KO827" s="1265"/>
      <c r="KP827" s="1265"/>
      <c r="KQ827" s="1265"/>
      <c r="KR827" s="1265"/>
      <c r="KS827" s="1265"/>
      <c r="KT827" s="1265"/>
      <c r="KU827" s="1265"/>
      <c r="KV827" s="1265"/>
      <c r="KW827" s="1265"/>
      <c r="KX827" s="1265"/>
      <c r="KY827" s="1265"/>
      <c r="KZ827" s="1265"/>
      <c r="LA827" s="1265"/>
      <c r="LB827" s="1265"/>
      <c r="LC827" s="1265"/>
      <c r="LD827" s="1265"/>
      <c r="LE827" s="1265"/>
      <c r="LF827" s="1265"/>
      <c r="LG827" s="1265"/>
      <c r="LH827" s="1265"/>
      <c r="LI827" s="1265"/>
      <c r="LJ827" s="1265"/>
      <c r="LK827" s="1265"/>
      <c r="LL827" s="1265"/>
      <c r="LM827" s="1265"/>
      <c r="LN827" s="1265"/>
      <c r="LO827" s="1265"/>
      <c r="LP827" s="1265"/>
      <c r="LQ827" s="1265"/>
      <c r="LR827" s="1265"/>
      <c r="LS827" s="1265"/>
      <c r="LT827" s="1265"/>
      <c r="LU827" s="1265"/>
      <c r="LV827" s="1265"/>
      <c r="LW827" s="1265"/>
      <c r="LX827" s="1265"/>
      <c r="LY827" s="1265"/>
      <c r="LZ827" s="1265"/>
      <c r="MA827" s="1265"/>
      <c r="MB827" s="1265"/>
      <c r="MC827" s="1265"/>
      <c r="MD827" s="1265"/>
      <c r="ME827" s="1265"/>
      <c r="MF827" s="1265"/>
      <c r="MG827" s="1265"/>
      <c r="MH827" s="1265"/>
      <c r="MI827" s="1265"/>
      <c r="MJ827" s="1265"/>
      <c r="MK827" s="1265"/>
      <c r="ML827" s="1265"/>
      <c r="MM827" s="1265"/>
      <c r="MN827" s="1265"/>
      <c r="MO827" s="1265"/>
      <c r="MP827" s="1265"/>
      <c r="MQ827" s="1265"/>
      <c r="MR827" s="1265"/>
      <c r="MS827" s="1265"/>
      <c r="MT827" s="1265"/>
      <c r="MU827" s="1265"/>
      <c r="MV827" s="1265"/>
      <c r="MW827" s="1265"/>
      <c r="MX827" s="1265"/>
      <c r="MY827" s="1265"/>
      <c r="MZ827" s="1265"/>
      <c r="NA827" s="1265"/>
      <c r="NB827" s="1265"/>
      <c r="NC827" s="1265"/>
      <c r="ND827" s="1265"/>
      <c r="NE827" s="1265"/>
      <c r="NF827" s="1265"/>
      <c r="NG827" s="1265"/>
      <c r="NH827" s="1265"/>
      <c r="NI827" s="1265"/>
      <c r="NJ827" s="1265"/>
      <c r="NK827" s="1265"/>
      <c r="NL827" s="1265"/>
      <c r="NM827" s="1265"/>
      <c r="NN827" s="1265"/>
      <c r="NO827" s="1265"/>
      <c r="NP827" s="1265"/>
      <c r="NQ827" s="1265"/>
      <c r="NR827" s="1265"/>
      <c r="NS827" s="1265"/>
      <c r="NT827" s="1265"/>
      <c r="NU827" s="1265"/>
      <c r="NV827" s="1265"/>
      <c r="NW827" s="1265"/>
      <c r="NX827" s="1265"/>
      <c r="NY827" s="1265"/>
      <c r="NZ827" s="1265"/>
      <c r="OA827" s="1265"/>
      <c r="OB827" s="1265"/>
      <c r="OC827" s="1265"/>
      <c r="OD827" s="1265"/>
      <c r="OE827" s="1265"/>
      <c r="OF827" s="1265"/>
      <c r="OG827" s="1265"/>
      <c r="OH827" s="1265"/>
      <c r="OI827" s="1265"/>
      <c r="OJ827" s="1265"/>
      <c r="OK827" s="1265"/>
      <c r="OL827" s="1265"/>
      <c r="OM827" s="1265"/>
      <c r="ON827" s="1265"/>
      <c r="OO827" s="1265"/>
      <c r="OP827" s="1265"/>
      <c r="OQ827" s="1265"/>
      <c r="OR827" s="1265"/>
      <c r="OS827" s="1265"/>
      <c r="OT827" s="1265"/>
      <c r="OU827" s="1265"/>
      <c r="OV827" s="1265"/>
      <c r="OW827" s="1265"/>
      <c r="OX827" s="1265"/>
      <c r="OY827" s="1265"/>
      <c r="OZ827" s="1265"/>
      <c r="PA827" s="1265"/>
      <c r="PB827" s="1265"/>
      <c r="PC827" s="1265"/>
      <c r="PD827" s="1265"/>
      <c r="PE827" s="1265"/>
      <c r="PF827" s="1265"/>
      <c r="PG827" s="1265"/>
      <c r="PH827" s="1265"/>
      <c r="PI827" s="1265"/>
      <c r="PJ827" s="1265"/>
      <c r="PK827" s="1265"/>
      <c r="PL827" s="1265"/>
      <c r="PM827" s="1265"/>
      <c r="PN827" s="1265"/>
      <c r="PO827" s="1265"/>
      <c r="PP827" s="1265"/>
      <c r="PQ827" s="1265"/>
      <c r="PR827" s="1265"/>
      <c r="PS827" s="1265"/>
      <c r="PT827" s="1265"/>
      <c r="PU827" s="1265"/>
      <c r="PV827" s="1265"/>
      <c r="PW827" s="1265"/>
      <c r="PX827" s="1265"/>
      <c r="PY827" s="1265"/>
      <c r="PZ827" s="1265"/>
      <c r="QA827" s="1265"/>
      <c r="QB827" s="1265"/>
      <c r="QC827" s="1265"/>
      <c r="QD827" s="1265"/>
      <c r="QE827" s="1265"/>
      <c r="QF827" s="1265"/>
      <c r="QG827" s="1265"/>
      <c r="QH827" s="1265"/>
      <c r="QI827" s="1265"/>
      <c r="QJ827" s="1265"/>
      <c r="QK827" s="1265"/>
      <c r="QL827" s="1265"/>
      <c r="QM827" s="1265"/>
      <c r="QN827" s="1265"/>
      <c r="QO827" s="1265"/>
      <c r="QP827" s="1265"/>
      <c r="QQ827" s="1265"/>
      <c r="QR827" s="1265"/>
      <c r="QS827" s="1265"/>
      <c r="QT827" s="1265"/>
      <c r="QU827" s="1265"/>
      <c r="QV827" s="1265"/>
      <c r="QW827" s="1265"/>
      <c r="QX827" s="1265"/>
      <c r="QY827" s="1265"/>
      <c r="QZ827" s="1265"/>
      <c r="RA827" s="1265"/>
      <c r="RB827" s="1265"/>
      <c r="RC827" s="1265"/>
      <c r="RD827" s="1265"/>
      <c r="RE827" s="1265"/>
      <c r="RF827" s="1265"/>
      <c r="RG827" s="1265"/>
      <c r="RH827" s="1265"/>
      <c r="RI827" s="1265"/>
      <c r="RJ827" s="1265"/>
      <c r="RK827" s="1265"/>
      <c r="RL827" s="1265"/>
      <c r="RM827" s="1265"/>
      <c r="RN827" s="1265"/>
      <c r="RO827" s="1265"/>
      <c r="RP827" s="1265"/>
      <c r="RQ827" s="1265"/>
      <c r="RR827" s="1265"/>
      <c r="RS827" s="1265"/>
      <c r="RT827" s="1265"/>
      <c r="RU827" s="1265"/>
      <c r="RV827" s="1265"/>
      <c r="RW827" s="1265"/>
      <c r="RX827" s="1265"/>
      <c r="RY827" s="1265"/>
      <c r="RZ827" s="1265"/>
      <c r="SA827" s="1265"/>
      <c r="SB827" s="1265"/>
      <c r="SC827" s="1265"/>
      <c r="SD827" s="1265"/>
      <c r="SE827" s="1265"/>
      <c r="SF827" s="1265"/>
      <c r="SG827" s="1265"/>
      <c r="SH827" s="1265"/>
      <c r="SI827" s="1265"/>
      <c r="SJ827" s="1265"/>
      <c r="SK827" s="1265"/>
      <c r="SL827" s="1265"/>
      <c r="SM827" s="1265"/>
      <c r="SN827" s="1265"/>
      <c r="SO827" s="1265"/>
      <c r="SP827" s="1265"/>
      <c r="SQ827" s="1265"/>
      <c r="SR827" s="1265"/>
      <c r="SS827" s="1265"/>
      <c r="ST827" s="1265"/>
      <c r="SU827" s="1265"/>
      <c r="SV827" s="1265"/>
      <c r="SW827" s="1265"/>
      <c r="SX827" s="1265"/>
      <c r="SY827" s="1265"/>
      <c r="SZ827" s="1265"/>
      <c r="TA827" s="1265"/>
      <c r="TB827" s="1265"/>
      <c r="TC827" s="1265"/>
      <c r="TD827" s="1265"/>
      <c r="TE827" s="1265"/>
      <c r="TF827" s="1265"/>
      <c r="TG827" s="1265"/>
      <c r="TH827" s="1265"/>
      <c r="TI827" s="1265"/>
      <c r="TJ827" s="1265"/>
      <c r="TK827" s="1265"/>
      <c r="TL827" s="1265"/>
      <c r="TM827" s="1265"/>
      <c r="TN827" s="1265"/>
      <c r="TO827" s="1265"/>
      <c r="TP827" s="1265"/>
      <c r="TQ827" s="1265"/>
      <c r="TR827" s="1265"/>
      <c r="TS827" s="1265"/>
      <c r="TT827" s="1265"/>
      <c r="TU827" s="1265"/>
      <c r="TV827" s="1265"/>
      <c r="TW827" s="1265"/>
      <c r="TX827" s="1265"/>
      <c r="TY827" s="1265"/>
      <c r="TZ827" s="1265"/>
      <c r="UA827" s="1265"/>
      <c r="UB827" s="1265"/>
      <c r="UC827" s="1265"/>
      <c r="UD827" s="1265"/>
      <c r="UE827" s="1265"/>
      <c r="UF827" s="1265"/>
      <c r="UG827" s="1266"/>
    </row>
    <row r="828" spans="1:553" s="1262" customFormat="1" ht="30.75" customHeight="1">
      <c r="A828" s="436"/>
      <c r="B828" s="436"/>
      <c r="C828" s="1548" t="s">
        <v>1184</v>
      </c>
      <c r="D828" s="1548" t="s">
        <v>1185</v>
      </c>
      <c r="E828" s="1548" t="s">
        <v>1185</v>
      </c>
      <c r="F828" s="1548" t="s">
        <v>1185</v>
      </c>
      <c r="G828" s="303" t="s">
        <v>46</v>
      </c>
      <c r="H828" s="652"/>
      <c r="I828" s="1250">
        <f>(20.51*100/400)*(12-(8-3))*1</f>
        <v>35.892500000000005</v>
      </c>
      <c r="J828" s="557">
        <v>3100</v>
      </c>
      <c r="K828" s="656">
        <v>0.7</v>
      </c>
      <c r="L828" s="573">
        <f>I828*J828*K828</f>
        <v>77886.725000000006</v>
      </c>
      <c r="M828" s="356"/>
      <c r="N828" s="356"/>
      <c r="O828" s="356"/>
      <c r="P828" s="356"/>
      <c r="Q828" s="610"/>
      <c r="R828" s="1228"/>
      <c r="S828" s="308"/>
      <c r="T828" s="308"/>
      <c r="U828" s="308"/>
      <c r="V828" s="308"/>
      <c r="W828" s="308"/>
      <c r="X828" s="308"/>
      <c r="Y828" s="308"/>
      <c r="Z828" s="604"/>
      <c r="AA828" s="308"/>
      <c r="AB828" s="308"/>
      <c r="AC828" s="454"/>
      <c r="AD828" s="454"/>
      <c r="AE828" s="454"/>
      <c r="AF828" s="454"/>
      <c r="AG828" s="454"/>
      <c r="AH828" s="454"/>
      <c r="AI828" s="454"/>
      <c r="AJ828" s="454"/>
      <c r="AK828" s="455"/>
      <c r="AL828" s="1263"/>
      <c r="AM828" s="1263"/>
      <c r="AN828" s="1263"/>
      <c r="AO828" s="1263"/>
      <c r="AP828" s="1263"/>
      <c r="AQ828" s="1263"/>
      <c r="AR828" s="1263"/>
      <c r="AS828" s="1264"/>
      <c r="AT828" s="1264"/>
      <c r="AU828" s="1264"/>
      <c r="AV828" s="1264"/>
      <c r="AW828" s="1264"/>
      <c r="AX828" s="1264"/>
      <c r="AY828" s="1264"/>
      <c r="AZ828" s="1264"/>
      <c r="BA828" s="1264"/>
      <c r="BB828" s="1264"/>
      <c r="BC828" s="1264"/>
      <c r="BD828" s="1264"/>
      <c r="BE828" s="1264"/>
      <c r="BF828" s="1264"/>
      <c r="BG828" s="1264"/>
      <c r="BH828" s="1264"/>
      <c r="BI828" s="1264"/>
      <c r="BJ828" s="1264"/>
      <c r="BK828" s="1264"/>
      <c r="BL828" s="1264"/>
      <c r="BM828" s="1264"/>
      <c r="BN828" s="1264"/>
      <c r="BO828" s="1264"/>
      <c r="BP828" s="1265"/>
      <c r="BQ828" s="1265"/>
      <c r="BR828" s="1265"/>
      <c r="BS828" s="1265"/>
      <c r="BT828" s="1265"/>
      <c r="BU828" s="1265"/>
      <c r="BV828" s="1265"/>
      <c r="BW828" s="1265"/>
      <c r="BX828" s="1265"/>
      <c r="BY828" s="1265"/>
      <c r="BZ828" s="1265"/>
      <c r="CA828" s="1265"/>
      <c r="CB828" s="1265"/>
      <c r="CC828" s="1265"/>
      <c r="CD828" s="1265"/>
      <c r="CE828" s="1265"/>
      <c r="CF828" s="1265"/>
      <c r="CG828" s="1265"/>
      <c r="CH828" s="1265"/>
      <c r="CI828" s="1265"/>
      <c r="CJ828" s="1265"/>
      <c r="CK828" s="1265"/>
      <c r="CL828" s="1265"/>
      <c r="CM828" s="1265"/>
      <c r="CN828" s="1265"/>
      <c r="CO828" s="1265"/>
      <c r="CP828" s="1265"/>
      <c r="CQ828" s="1265"/>
      <c r="CR828" s="1265"/>
      <c r="CS828" s="1265"/>
      <c r="CT828" s="1265"/>
      <c r="CU828" s="1265"/>
      <c r="CV828" s="1265"/>
      <c r="CW828" s="1265"/>
      <c r="CX828" s="1265"/>
      <c r="CY828" s="1265"/>
      <c r="CZ828" s="1265"/>
      <c r="DA828" s="1265"/>
      <c r="DB828" s="1265"/>
      <c r="DC828" s="1265"/>
      <c r="DD828" s="1265"/>
      <c r="DE828" s="1265"/>
      <c r="DF828" s="1265"/>
      <c r="DG828" s="1265"/>
      <c r="DH828" s="1265"/>
      <c r="DI828" s="1265"/>
      <c r="DJ828" s="1265"/>
      <c r="DK828" s="1265"/>
      <c r="DL828" s="1265"/>
      <c r="DM828" s="1265"/>
      <c r="DN828" s="1265"/>
      <c r="DO828" s="1265"/>
      <c r="DP828" s="1265"/>
      <c r="DQ828" s="1265"/>
      <c r="DR828" s="1265"/>
      <c r="DS828" s="1265"/>
      <c r="DT828" s="1265"/>
      <c r="DU828" s="1265"/>
      <c r="DV828" s="1265"/>
      <c r="DW828" s="1265"/>
      <c r="DX828" s="1265"/>
      <c r="DY828" s="1265"/>
      <c r="DZ828" s="1265"/>
      <c r="EA828" s="1265"/>
      <c r="EB828" s="1265"/>
      <c r="EC828" s="1265"/>
      <c r="ED828" s="1265"/>
      <c r="EE828" s="1265"/>
      <c r="EF828" s="1265"/>
      <c r="EG828" s="1265"/>
      <c r="EH828" s="1265"/>
      <c r="EI828" s="1265"/>
      <c r="EJ828" s="1265"/>
      <c r="EK828" s="1265"/>
      <c r="EL828" s="1265"/>
      <c r="EM828" s="1265"/>
      <c r="EN828" s="1265"/>
      <c r="EO828" s="1265"/>
      <c r="EP828" s="1265"/>
      <c r="EQ828" s="1265"/>
      <c r="ER828" s="1265"/>
      <c r="ES828" s="1265"/>
      <c r="ET828" s="1265"/>
      <c r="EU828" s="1265"/>
      <c r="EV828" s="1265"/>
      <c r="EW828" s="1265"/>
      <c r="EX828" s="1265"/>
      <c r="EY828" s="1265"/>
      <c r="EZ828" s="1265"/>
      <c r="FA828" s="1265"/>
      <c r="FB828" s="1265"/>
      <c r="FC828" s="1265"/>
      <c r="FD828" s="1265"/>
      <c r="FE828" s="1265"/>
      <c r="FF828" s="1265"/>
      <c r="FG828" s="1265"/>
      <c r="FH828" s="1265"/>
      <c r="FI828" s="1265"/>
      <c r="FJ828" s="1265"/>
      <c r="FK828" s="1265"/>
      <c r="FL828" s="1265"/>
      <c r="FM828" s="1265"/>
      <c r="FN828" s="1265"/>
      <c r="FO828" s="1265"/>
      <c r="FP828" s="1265"/>
      <c r="FQ828" s="1265"/>
      <c r="FR828" s="1265"/>
      <c r="FS828" s="1265"/>
      <c r="FT828" s="1265"/>
      <c r="FU828" s="1265"/>
      <c r="FV828" s="1265"/>
      <c r="FW828" s="1265"/>
      <c r="FX828" s="1265"/>
      <c r="FY828" s="1265"/>
      <c r="FZ828" s="1265"/>
      <c r="GA828" s="1265"/>
      <c r="GB828" s="1265"/>
      <c r="GC828" s="1265"/>
      <c r="GD828" s="1265"/>
      <c r="GE828" s="1265"/>
      <c r="GF828" s="1265"/>
      <c r="GG828" s="1265"/>
      <c r="GH828" s="1265"/>
      <c r="GI828" s="1265"/>
      <c r="GJ828" s="1265"/>
      <c r="GK828" s="1265"/>
      <c r="GL828" s="1265"/>
      <c r="GM828" s="1265"/>
      <c r="GN828" s="1265"/>
      <c r="GO828" s="1265"/>
      <c r="GP828" s="1265"/>
      <c r="GQ828" s="1265"/>
      <c r="GR828" s="1265"/>
      <c r="GS828" s="1265"/>
      <c r="GT828" s="1265"/>
      <c r="GU828" s="1265"/>
      <c r="GV828" s="1265"/>
      <c r="GW828" s="1265"/>
      <c r="GX828" s="1265"/>
      <c r="GY828" s="1265"/>
      <c r="GZ828" s="1265"/>
      <c r="HA828" s="1265"/>
      <c r="HB828" s="1265"/>
      <c r="HC828" s="1265"/>
      <c r="HD828" s="1265"/>
      <c r="HE828" s="1265"/>
      <c r="HF828" s="1265"/>
      <c r="HG828" s="1265"/>
      <c r="HH828" s="1265"/>
      <c r="HI828" s="1265"/>
      <c r="HJ828" s="1265"/>
      <c r="HK828" s="1265"/>
      <c r="HL828" s="1265"/>
      <c r="HM828" s="1265"/>
      <c r="HN828" s="1265"/>
      <c r="HO828" s="1265"/>
      <c r="HP828" s="1265"/>
      <c r="HQ828" s="1265"/>
      <c r="HR828" s="1265"/>
      <c r="HS828" s="1265"/>
      <c r="HT828" s="1265"/>
      <c r="HU828" s="1265"/>
      <c r="HV828" s="1265"/>
      <c r="HW828" s="1265"/>
      <c r="HX828" s="1265"/>
      <c r="HY828" s="1265"/>
      <c r="HZ828" s="1265"/>
      <c r="IA828" s="1265"/>
      <c r="IB828" s="1265"/>
      <c r="IC828" s="1265"/>
      <c r="ID828" s="1265"/>
      <c r="IE828" s="1265"/>
      <c r="IF828" s="1265"/>
      <c r="IG828" s="1265"/>
      <c r="IH828" s="1265"/>
      <c r="II828" s="1265"/>
      <c r="IJ828" s="1265"/>
      <c r="IK828" s="1265"/>
      <c r="IL828" s="1265"/>
      <c r="IM828" s="1265"/>
      <c r="IN828" s="1265"/>
      <c r="IO828" s="1265"/>
      <c r="IP828" s="1265"/>
      <c r="IQ828" s="1265"/>
      <c r="IR828" s="1265"/>
      <c r="IS828" s="1265"/>
      <c r="IT828" s="1265"/>
      <c r="IU828" s="1265"/>
      <c r="IV828" s="1265"/>
      <c r="IW828" s="1265"/>
      <c r="IX828" s="1265"/>
      <c r="IY828" s="1265"/>
      <c r="IZ828" s="1265"/>
      <c r="JA828" s="1265"/>
      <c r="JB828" s="1265"/>
      <c r="JC828" s="1265"/>
      <c r="JD828" s="1265"/>
      <c r="JE828" s="1265"/>
      <c r="JF828" s="1265"/>
      <c r="JG828" s="1265"/>
      <c r="JH828" s="1265"/>
      <c r="JI828" s="1265"/>
      <c r="JJ828" s="1265"/>
      <c r="JK828" s="1265"/>
      <c r="JL828" s="1265"/>
      <c r="JM828" s="1265"/>
      <c r="JN828" s="1265"/>
      <c r="JO828" s="1265"/>
      <c r="JP828" s="1265"/>
      <c r="JQ828" s="1265"/>
      <c r="JR828" s="1265"/>
      <c r="JS828" s="1265"/>
      <c r="JT828" s="1265"/>
      <c r="JU828" s="1265"/>
      <c r="JV828" s="1265"/>
      <c r="JW828" s="1265"/>
      <c r="JX828" s="1265"/>
      <c r="JY828" s="1265"/>
      <c r="JZ828" s="1265"/>
      <c r="KA828" s="1265"/>
      <c r="KB828" s="1265"/>
      <c r="KC828" s="1265"/>
      <c r="KD828" s="1265"/>
      <c r="KE828" s="1265"/>
      <c r="KF828" s="1265"/>
      <c r="KG828" s="1265"/>
      <c r="KH828" s="1265"/>
      <c r="KI828" s="1265"/>
      <c r="KJ828" s="1265"/>
      <c r="KK828" s="1265"/>
      <c r="KL828" s="1265"/>
      <c r="KM828" s="1265"/>
      <c r="KN828" s="1265"/>
      <c r="KO828" s="1265"/>
      <c r="KP828" s="1265"/>
      <c r="KQ828" s="1265"/>
      <c r="KR828" s="1265"/>
      <c r="KS828" s="1265"/>
      <c r="KT828" s="1265"/>
      <c r="KU828" s="1265"/>
      <c r="KV828" s="1265"/>
      <c r="KW828" s="1265"/>
      <c r="KX828" s="1265"/>
      <c r="KY828" s="1265"/>
      <c r="KZ828" s="1265"/>
      <c r="LA828" s="1265"/>
      <c r="LB828" s="1265"/>
      <c r="LC828" s="1265"/>
      <c r="LD828" s="1265"/>
      <c r="LE828" s="1265"/>
      <c r="LF828" s="1265"/>
      <c r="LG828" s="1265"/>
      <c r="LH828" s="1265"/>
      <c r="LI828" s="1265"/>
      <c r="LJ828" s="1265"/>
      <c r="LK828" s="1265"/>
      <c r="LL828" s="1265"/>
      <c r="LM828" s="1265"/>
      <c r="LN828" s="1265"/>
      <c r="LO828" s="1265"/>
      <c r="LP828" s="1265"/>
      <c r="LQ828" s="1265"/>
      <c r="LR828" s="1265"/>
      <c r="LS828" s="1265"/>
      <c r="LT828" s="1265"/>
      <c r="LU828" s="1265"/>
      <c r="LV828" s="1265"/>
      <c r="LW828" s="1265"/>
      <c r="LX828" s="1265"/>
      <c r="LY828" s="1265"/>
      <c r="LZ828" s="1265"/>
      <c r="MA828" s="1265"/>
      <c r="MB828" s="1265"/>
      <c r="MC828" s="1265"/>
      <c r="MD828" s="1265"/>
      <c r="ME828" s="1265"/>
      <c r="MF828" s="1265"/>
      <c r="MG828" s="1265"/>
      <c r="MH828" s="1265"/>
      <c r="MI828" s="1265"/>
      <c r="MJ828" s="1265"/>
      <c r="MK828" s="1265"/>
      <c r="ML828" s="1265"/>
      <c r="MM828" s="1265"/>
      <c r="MN828" s="1265"/>
      <c r="MO828" s="1265"/>
      <c r="MP828" s="1265"/>
      <c r="MQ828" s="1265"/>
      <c r="MR828" s="1265"/>
      <c r="MS828" s="1265"/>
      <c r="MT828" s="1265"/>
      <c r="MU828" s="1265"/>
      <c r="MV828" s="1265"/>
      <c r="MW828" s="1265"/>
      <c r="MX828" s="1265"/>
      <c r="MY828" s="1265"/>
      <c r="MZ828" s="1265"/>
      <c r="NA828" s="1265"/>
      <c r="NB828" s="1265"/>
      <c r="NC828" s="1265"/>
      <c r="ND828" s="1265"/>
      <c r="NE828" s="1265"/>
      <c r="NF828" s="1265"/>
      <c r="NG828" s="1265"/>
      <c r="NH828" s="1265"/>
      <c r="NI828" s="1265"/>
      <c r="NJ828" s="1265"/>
      <c r="NK828" s="1265"/>
      <c r="NL828" s="1265"/>
      <c r="NM828" s="1265"/>
      <c r="NN828" s="1265"/>
      <c r="NO828" s="1265"/>
      <c r="NP828" s="1265"/>
      <c r="NQ828" s="1265"/>
      <c r="NR828" s="1265"/>
      <c r="NS828" s="1265"/>
      <c r="NT828" s="1265"/>
      <c r="NU828" s="1265"/>
      <c r="NV828" s="1265"/>
      <c r="NW828" s="1265"/>
      <c r="NX828" s="1265"/>
      <c r="NY828" s="1265"/>
      <c r="NZ828" s="1265"/>
      <c r="OA828" s="1265"/>
      <c r="OB828" s="1265"/>
      <c r="OC828" s="1265"/>
      <c r="OD828" s="1265"/>
      <c r="OE828" s="1265"/>
      <c r="OF828" s="1265"/>
      <c r="OG828" s="1265"/>
      <c r="OH828" s="1265"/>
      <c r="OI828" s="1265"/>
      <c r="OJ828" s="1265"/>
      <c r="OK828" s="1265"/>
      <c r="OL828" s="1265"/>
      <c r="OM828" s="1265"/>
      <c r="ON828" s="1265"/>
      <c r="OO828" s="1265"/>
      <c r="OP828" s="1265"/>
      <c r="OQ828" s="1265"/>
      <c r="OR828" s="1265"/>
      <c r="OS828" s="1265"/>
      <c r="OT828" s="1265"/>
      <c r="OU828" s="1265"/>
      <c r="OV828" s="1265"/>
      <c r="OW828" s="1265"/>
      <c r="OX828" s="1265"/>
      <c r="OY828" s="1265"/>
      <c r="OZ828" s="1265"/>
      <c r="PA828" s="1265"/>
      <c r="PB828" s="1265"/>
      <c r="PC828" s="1265"/>
      <c r="PD828" s="1265"/>
      <c r="PE828" s="1265"/>
      <c r="PF828" s="1265"/>
      <c r="PG828" s="1265"/>
      <c r="PH828" s="1265"/>
      <c r="PI828" s="1265"/>
      <c r="PJ828" s="1265"/>
      <c r="PK828" s="1265"/>
      <c r="PL828" s="1265"/>
      <c r="PM828" s="1265"/>
      <c r="PN828" s="1265"/>
      <c r="PO828" s="1265"/>
      <c r="PP828" s="1265"/>
      <c r="PQ828" s="1265"/>
      <c r="PR828" s="1265"/>
      <c r="PS828" s="1265"/>
      <c r="PT828" s="1265"/>
      <c r="PU828" s="1265"/>
      <c r="PV828" s="1265"/>
      <c r="PW828" s="1265"/>
      <c r="PX828" s="1265"/>
      <c r="PY828" s="1265"/>
      <c r="PZ828" s="1265"/>
      <c r="QA828" s="1265"/>
      <c r="QB828" s="1265"/>
      <c r="QC828" s="1265"/>
      <c r="QD828" s="1265"/>
      <c r="QE828" s="1265"/>
      <c r="QF828" s="1265"/>
      <c r="QG828" s="1265"/>
      <c r="QH828" s="1265"/>
      <c r="QI828" s="1265"/>
      <c r="QJ828" s="1265"/>
      <c r="QK828" s="1265"/>
      <c r="QL828" s="1265"/>
      <c r="QM828" s="1265"/>
      <c r="QN828" s="1265"/>
      <c r="QO828" s="1265"/>
      <c r="QP828" s="1265"/>
      <c r="QQ828" s="1265"/>
      <c r="QR828" s="1265"/>
      <c r="QS828" s="1265"/>
      <c r="QT828" s="1265"/>
      <c r="QU828" s="1265"/>
      <c r="QV828" s="1265"/>
      <c r="QW828" s="1265"/>
      <c r="QX828" s="1265"/>
      <c r="QY828" s="1265"/>
      <c r="QZ828" s="1265"/>
      <c r="RA828" s="1265"/>
      <c r="RB828" s="1265"/>
      <c r="RC828" s="1265"/>
      <c r="RD828" s="1265"/>
      <c r="RE828" s="1265"/>
      <c r="RF828" s="1265"/>
      <c r="RG828" s="1265"/>
      <c r="RH828" s="1265"/>
      <c r="RI828" s="1265"/>
      <c r="RJ828" s="1265"/>
      <c r="RK828" s="1265"/>
      <c r="RL828" s="1265"/>
      <c r="RM828" s="1265"/>
      <c r="RN828" s="1265"/>
      <c r="RO828" s="1265"/>
      <c r="RP828" s="1265"/>
      <c r="RQ828" s="1265"/>
      <c r="RR828" s="1265"/>
      <c r="RS828" s="1265"/>
      <c r="RT828" s="1265"/>
      <c r="RU828" s="1265"/>
      <c r="RV828" s="1265"/>
      <c r="RW828" s="1265"/>
      <c r="RX828" s="1265"/>
      <c r="RY828" s="1265"/>
      <c r="RZ828" s="1265"/>
      <c r="SA828" s="1265"/>
      <c r="SB828" s="1265"/>
      <c r="SC828" s="1265"/>
      <c r="SD828" s="1265"/>
      <c r="SE828" s="1265"/>
      <c r="SF828" s="1265"/>
      <c r="SG828" s="1265"/>
      <c r="SH828" s="1265"/>
      <c r="SI828" s="1265"/>
      <c r="SJ828" s="1265"/>
      <c r="SK828" s="1265"/>
      <c r="SL828" s="1265"/>
      <c r="SM828" s="1265"/>
      <c r="SN828" s="1265"/>
      <c r="SO828" s="1265"/>
      <c r="SP828" s="1265"/>
      <c r="SQ828" s="1265"/>
      <c r="SR828" s="1265"/>
      <c r="SS828" s="1265"/>
      <c r="ST828" s="1265"/>
      <c r="SU828" s="1265"/>
      <c r="SV828" s="1265"/>
      <c r="SW828" s="1265"/>
      <c r="SX828" s="1265"/>
      <c r="SY828" s="1265"/>
      <c r="SZ828" s="1265"/>
      <c r="TA828" s="1265"/>
      <c r="TB828" s="1265"/>
      <c r="TC828" s="1265"/>
      <c r="TD828" s="1265"/>
      <c r="TE828" s="1265"/>
      <c r="TF828" s="1265"/>
      <c r="TG828" s="1265"/>
      <c r="TH828" s="1265"/>
      <c r="TI828" s="1265"/>
      <c r="TJ828" s="1265"/>
      <c r="TK828" s="1265"/>
      <c r="TL828" s="1265"/>
      <c r="TM828" s="1265"/>
      <c r="TN828" s="1265"/>
      <c r="TO828" s="1265"/>
      <c r="TP828" s="1265"/>
      <c r="TQ828" s="1265"/>
      <c r="TR828" s="1265"/>
      <c r="TS828" s="1265"/>
      <c r="TT828" s="1265"/>
      <c r="TU828" s="1265"/>
      <c r="TV828" s="1265"/>
      <c r="TW828" s="1265"/>
      <c r="TX828" s="1265"/>
      <c r="TY828" s="1265"/>
      <c r="TZ828" s="1265"/>
      <c r="UA828" s="1265"/>
      <c r="UB828" s="1265"/>
      <c r="UC828" s="1265"/>
      <c r="UD828" s="1265"/>
      <c r="UE828" s="1265"/>
      <c r="UF828" s="1265"/>
      <c r="UG828" s="1266"/>
    </row>
    <row r="829" spans="1:553" s="1262" customFormat="1" ht="30.75" customHeight="1">
      <c r="A829" s="653"/>
      <c r="B829" s="653"/>
      <c r="C829" s="1446" t="s">
        <v>1403</v>
      </c>
      <c r="D829" s="1389"/>
      <c r="E829" s="1389"/>
      <c r="F829" s="1389"/>
      <c r="G829" s="576" t="s">
        <v>193</v>
      </c>
      <c r="H829" s="654"/>
      <c r="I829" s="505">
        <v>1</v>
      </c>
      <c r="J829" s="368">
        <v>75000</v>
      </c>
      <c r="K829" s="505"/>
      <c r="L829" s="571">
        <f>ROUND(PRODUCT(I829:K829),0)</f>
        <v>75000</v>
      </c>
      <c r="M829" s="356"/>
      <c r="N829" s="356"/>
      <c r="O829" s="356"/>
      <c r="P829" s="356"/>
      <c r="Q829" s="610"/>
      <c r="R829" s="1228"/>
      <c r="S829" s="308"/>
      <c r="T829" s="308"/>
      <c r="U829" s="308"/>
      <c r="V829" s="308"/>
      <c r="W829" s="308"/>
      <c r="X829" s="308"/>
      <c r="Y829" s="308"/>
      <c r="Z829" s="604"/>
      <c r="AA829" s="308"/>
      <c r="AB829" s="308"/>
      <c r="AC829" s="454"/>
      <c r="AD829" s="454"/>
      <c r="AE829" s="454"/>
      <c r="AF829" s="454"/>
      <c r="AG829" s="454"/>
      <c r="AH829" s="454"/>
      <c r="AI829" s="454"/>
      <c r="AJ829" s="454"/>
      <c r="AK829" s="455"/>
      <c r="AL829" s="1263"/>
      <c r="AM829" s="1263"/>
      <c r="AN829" s="1263"/>
      <c r="AO829" s="1263"/>
      <c r="AP829" s="1263"/>
      <c r="AQ829" s="1263"/>
      <c r="AR829" s="1263"/>
      <c r="AS829" s="1264"/>
      <c r="AT829" s="1264"/>
      <c r="AU829" s="1264"/>
      <c r="AV829" s="1264"/>
      <c r="AW829" s="1264"/>
      <c r="AX829" s="1264"/>
      <c r="AY829" s="1264"/>
      <c r="AZ829" s="1264"/>
      <c r="BA829" s="1264"/>
      <c r="BB829" s="1264"/>
      <c r="BC829" s="1264"/>
      <c r="BD829" s="1264"/>
      <c r="BE829" s="1264"/>
      <c r="BF829" s="1264"/>
      <c r="BG829" s="1264"/>
      <c r="BH829" s="1264"/>
      <c r="BI829" s="1264"/>
      <c r="BJ829" s="1264"/>
      <c r="BK829" s="1264"/>
      <c r="BL829" s="1264"/>
      <c r="BM829" s="1264"/>
      <c r="BN829" s="1264"/>
      <c r="BO829" s="1264"/>
      <c r="BP829" s="1265"/>
      <c r="BQ829" s="1265"/>
      <c r="BR829" s="1265"/>
      <c r="BS829" s="1265"/>
      <c r="BT829" s="1265"/>
      <c r="BU829" s="1265"/>
      <c r="BV829" s="1265"/>
      <c r="BW829" s="1265"/>
      <c r="BX829" s="1265"/>
      <c r="BY829" s="1265"/>
      <c r="BZ829" s="1265"/>
      <c r="CA829" s="1265"/>
      <c r="CB829" s="1265"/>
      <c r="CC829" s="1265"/>
      <c r="CD829" s="1265"/>
      <c r="CE829" s="1265"/>
      <c r="CF829" s="1265"/>
      <c r="CG829" s="1265"/>
      <c r="CH829" s="1265"/>
      <c r="CI829" s="1265"/>
      <c r="CJ829" s="1265"/>
      <c r="CK829" s="1265"/>
      <c r="CL829" s="1265"/>
      <c r="CM829" s="1265"/>
      <c r="CN829" s="1265"/>
      <c r="CO829" s="1265"/>
      <c r="CP829" s="1265"/>
      <c r="CQ829" s="1265"/>
      <c r="CR829" s="1265"/>
      <c r="CS829" s="1265"/>
      <c r="CT829" s="1265"/>
      <c r="CU829" s="1265"/>
      <c r="CV829" s="1265"/>
      <c r="CW829" s="1265"/>
      <c r="CX829" s="1265"/>
      <c r="CY829" s="1265"/>
      <c r="CZ829" s="1265"/>
      <c r="DA829" s="1265"/>
      <c r="DB829" s="1265"/>
      <c r="DC829" s="1265"/>
      <c r="DD829" s="1265"/>
      <c r="DE829" s="1265"/>
      <c r="DF829" s="1265"/>
      <c r="DG829" s="1265"/>
      <c r="DH829" s="1265"/>
      <c r="DI829" s="1265"/>
      <c r="DJ829" s="1265"/>
      <c r="DK829" s="1265"/>
      <c r="DL829" s="1265"/>
      <c r="DM829" s="1265"/>
      <c r="DN829" s="1265"/>
      <c r="DO829" s="1265"/>
      <c r="DP829" s="1265"/>
      <c r="DQ829" s="1265"/>
      <c r="DR829" s="1265"/>
      <c r="DS829" s="1265"/>
      <c r="DT829" s="1265"/>
      <c r="DU829" s="1265"/>
      <c r="DV829" s="1265"/>
      <c r="DW829" s="1265"/>
      <c r="DX829" s="1265"/>
      <c r="DY829" s="1265"/>
      <c r="DZ829" s="1265"/>
      <c r="EA829" s="1265"/>
      <c r="EB829" s="1265"/>
      <c r="EC829" s="1265"/>
      <c r="ED829" s="1265"/>
      <c r="EE829" s="1265"/>
      <c r="EF829" s="1265"/>
      <c r="EG829" s="1265"/>
      <c r="EH829" s="1265"/>
      <c r="EI829" s="1265"/>
      <c r="EJ829" s="1265"/>
      <c r="EK829" s="1265"/>
      <c r="EL829" s="1265"/>
      <c r="EM829" s="1265"/>
      <c r="EN829" s="1265"/>
      <c r="EO829" s="1265"/>
      <c r="EP829" s="1265"/>
      <c r="EQ829" s="1265"/>
      <c r="ER829" s="1265"/>
      <c r="ES829" s="1265"/>
      <c r="ET829" s="1265"/>
      <c r="EU829" s="1265"/>
      <c r="EV829" s="1265"/>
      <c r="EW829" s="1265"/>
      <c r="EX829" s="1265"/>
      <c r="EY829" s="1265"/>
      <c r="EZ829" s="1265"/>
      <c r="FA829" s="1265"/>
      <c r="FB829" s="1265"/>
      <c r="FC829" s="1265"/>
      <c r="FD829" s="1265"/>
      <c r="FE829" s="1265"/>
      <c r="FF829" s="1265"/>
      <c r="FG829" s="1265"/>
      <c r="FH829" s="1265"/>
      <c r="FI829" s="1265"/>
      <c r="FJ829" s="1265"/>
      <c r="FK829" s="1265"/>
      <c r="FL829" s="1265"/>
      <c r="FM829" s="1265"/>
      <c r="FN829" s="1265"/>
      <c r="FO829" s="1265"/>
      <c r="FP829" s="1265"/>
      <c r="FQ829" s="1265"/>
      <c r="FR829" s="1265"/>
      <c r="FS829" s="1265"/>
      <c r="FT829" s="1265"/>
      <c r="FU829" s="1265"/>
      <c r="FV829" s="1265"/>
      <c r="FW829" s="1265"/>
      <c r="FX829" s="1265"/>
      <c r="FY829" s="1265"/>
      <c r="FZ829" s="1265"/>
      <c r="GA829" s="1265"/>
      <c r="GB829" s="1265"/>
      <c r="GC829" s="1265"/>
      <c r="GD829" s="1265"/>
      <c r="GE829" s="1265"/>
      <c r="GF829" s="1265"/>
      <c r="GG829" s="1265"/>
      <c r="GH829" s="1265"/>
      <c r="GI829" s="1265"/>
      <c r="GJ829" s="1265"/>
      <c r="GK829" s="1265"/>
      <c r="GL829" s="1265"/>
      <c r="GM829" s="1265"/>
      <c r="GN829" s="1265"/>
      <c r="GO829" s="1265"/>
      <c r="GP829" s="1265"/>
      <c r="GQ829" s="1265"/>
      <c r="GR829" s="1265"/>
      <c r="GS829" s="1265"/>
      <c r="GT829" s="1265"/>
      <c r="GU829" s="1265"/>
      <c r="GV829" s="1265"/>
      <c r="GW829" s="1265"/>
      <c r="GX829" s="1265"/>
      <c r="GY829" s="1265"/>
      <c r="GZ829" s="1265"/>
      <c r="HA829" s="1265"/>
      <c r="HB829" s="1265"/>
      <c r="HC829" s="1265"/>
      <c r="HD829" s="1265"/>
      <c r="HE829" s="1265"/>
      <c r="HF829" s="1265"/>
      <c r="HG829" s="1265"/>
      <c r="HH829" s="1265"/>
      <c r="HI829" s="1265"/>
      <c r="HJ829" s="1265"/>
      <c r="HK829" s="1265"/>
      <c r="HL829" s="1265"/>
      <c r="HM829" s="1265"/>
      <c r="HN829" s="1265"/>
      <c r="HO829" s="1265"/>
      <c r="HP829" s="1265"/>
      <c r="HQ829" s="1265"/>
      <c r="HR829" s="1265"/>
      <c r="HS829" s="1265"/>
      <c r="HT829" s="1265"/>
      <c r="HU829" s="1265"/>
      <c r="HV829" s="1265"/>
      <c r="HW829" s="1265"/>
      <c r="HX829" s="1265"/>
      <c r="HY829" s="1265"/>
      <c r="HZ829" s="1265"/>
      <c r="IA829" s="1265"/>
      <c r="IB829" s="1265"/>
      <c r="IC829" s="1265"/>
      <c r="ID829" s="1265"/>
      <c r="IE829" s="1265"/>
      <c r="IF829" s="1265"/>
      <c r="IG829" s="1265"/>
      <c r="IH829" s="1265"/>
      <c r="II829" s="1265"/>
      <c r="IJ829" s="1265"/>
      <c r="IK829" s="1265"/>
      <c r="IL829" s="1265"/>
      <c r="IM829" s="1265"/>
      <c r="IN829" s="1265"/>
      <c r="IO829" s="1265"/>
      <c r="IP829" s="1265"/>
      <c r="IQ829" s="1265"/>
      <c r="IR829" s="1265"/>
      <c r="IS829" s="1265"/>
      <c r="IT829" s="1265"/>
      <c r="IU829" s="1265"/>
      <c r="IV829" s="1265"/>
      <c r="IW829" s="1265"/>
      <c r="IX829" s="1265"/>
      <c r="IY829" s="1265"/>
      <c r="IZ829" s="1265"/>
      <c r="JA829" s="1265"/>
      <c r="JB829" s="1265"/>
      <c r="JC829" s="1265"/>
      <c r="JD829" s="1265"/>
      <c r="JE829" s="1265"/>
      <c r="JF829" s="1265"/>
      <c r="JG829" s="1265"/>
      <c r="JH829" s="1265"/>
      <c r="JI829" s="1265"/>
      <c r="JJ829" s="1265"/>
      <c r="JK829" s="1265"/>
      <c r="JL829" s="1265"/>
      <c r="JM829" s="1265"/>
      <c r="JN829" s="1265"/>
      <c r="JO829" s="1265"/>
      <c r="JP829" s="1265"/>
      <c r="JQ829" s="1265"/>
      <c r="JR829" s="1265"/>
      <c r="JS829" s="1265"/>
      <c r="JT829" s="1265"/>
      <c r="JU829" s="1265"/>
      <c r="JV829" s="1265"/>
      <c r="JW829" s="1265"/>
      <c r="JX829" s="1265"/>
      <c r="JY829" s="1265"/>
      <c r="JZ829" s="1265"/>
      <c r="KA829" s="1265"/>
      <c r="KB829" s="1265"/>
      <c r="KC829" s="1265"/>
      <c r="KD829" s="1265"/>
      <c r="KE829" s="1265"/>
      <c r="KF829" s="1265"/>
      <c r="KG829" s="1265"/>
      <c r="KH829" s="1265"/>
      <c r="KI829" s="1265"/>
      <c r="KJ829" s="1265"/>
      <c r="KK829" s="1265"/>
      <c r="KL829" s="1265"/>
      <c r="KM829" s="1265"/>
      <c r="KN829" s="1265"/>
      <c r="KO829" s="1265"/>
      <c r="KP829" s="1265"/>
      <c r="KQ829" s="1265"/>
      <c r="KR829" s="1265"/>
      <c r="KS829" s="1265"/>
      <c r="KT829" s="1265"/>
      <c r="KU829" s="1265"/>
      <c r="KV829" s="1265"/>
      <c r="KW829" s="1265"/>
      <c r="KX829" s="1265"/>
      <c r="KY829" s="1265"/>
      <c r="KZ829" s="1265"/>
      <c r="LA829" s="1265"/>
      <c r="LB829" s="1265"/>
      <c r="LC829" s="1265"/>
      <c r="LD829" s="1265"/>
      <c r="LE829" s="1265"/>
      <c r="LF829" s="1265"/>
      <c r="LG829" s="1265"/>
      <c r="LH829" s="1265"/>
      <c r="LI829" s="1265"/>
      <c r="LJ829" s="1265"/>
      <c r="LK829" s="1265"/>
      <c r="LL829" s="1265"/>
      <c r="LM829" s="1265"/>
      <c r="LN829" s="1265"/>
      <c r="LO829" s="1265"/>
      <c r="LP829" s="1265"/>
      <c r="LQ829" s="1265"/>
      <c r="LR829" s="1265"/>
      <c r="LS829" s="1265"/>
      <c r="LT829" s="1265"/>
      <c r="LU829" s="1265"/>
      <c r="LV829" s="1265"/>
      <c r="LW829" s="1265"/>
      <c r="LX829" s="1265"/>
      <c r="LY829" s="1265"/>
      <c r="LZ829" s="1265"/>
      <c r="MA829" s="1265"/>
      <c r="MB829" s="1265"/>
      <c r="MC829" s="1265"/>
      <c r="MD829" s="1265"/>
      <c r="ME829" s="1265"/>
      <c r="MF829" s="1265"/>
      <c r="MG829" s="1265"/>
      <c r="MH829" s="1265"/>
      <c r="MI829" s="1265"/>
      <c r="MJ829" s="1265"/>
      <c r="MK829" s="1265"/>
      <c r="ML829" s="1265"/>
      <c r="MM829" s="1265"/>
      <c r="MN829" s="1265"/>
      <c r="MO829" s="1265"/>
      <c r="MP829" s="1265"/>
      <c r="MQ829" s="1265"/>
      <c r="MR829" s="1265"/>
      <c r="MS829" s="1265"/>
      <c r="MT829" s="1265"/>
      <c r="MU829" s="1265"/>
      <c r="MV829" s="1265"/>
      <c r="MW829" s="1265"/>
      <c r="MX829" s="1265"/>
      <c r="MY829" s="1265"/>
      <c r="MZ829" s="1265"/>
      <c r="NA829" s="1265"/>
      <c r="NB829" s="1265"/>
      <c r="NC829" s="1265"/>
      <c r="ND829" s="1265"/>
      <c r="NE829" s="1265"/>
      <c r="NF829" s="1265"/>
      <c r="NG829" s="1265"/>
      <c r="NH829" s="1265"/>
      <c r="NI829" s="1265"/>
      <c r="NJ829" s="1265"/>
      <c r="NK829" s="1265"/>
      <c r="NL829" s="1265"/>
      <c r="NM829" s="1265"/>
      <c r="NN829" s="1265"/>
      <c r="NO829" s="1265"/>
      <c r="NP829" s="1265"/>
      <c r="NQ829" s="1265"/>
      <c r="NR829" s="1265"/>
      <c r="NS829" s="1265"/>
      <c r="NT829" s="1265"/>
      <c r="NU829" s="1265"/>
      <c r="NV829" s="1265"/>
      <c r="NW829" s="1265"/>
      <c r="NX829" s="1265"/>
      <c r="NY829" s="1265"/>
      <c r="NZ829" s="1265"/>
      <c r="OA829" s="1265"/>
      <c r="OB829" s="1265"/>
      <c r="OC829" s="1265"/>
      <c r="OD829" s="1265"/>
      <c r="OE829" s="1265"/>
      <c r="OF829" s="1265"/>
      <c r="OG829" s="1265"/>
      <c r="OH829" s="1265"/>
      <c r="OI829" s="1265"/>
      <c r="OJ829" s="1265"/>
      <c r="OK829" s="1265"/>
      <c r="OL829" s="1265"/>
      <c r="OM829" s="1265"/>
      <c r="ON829" s="1265"/>
      <c r="OO829" s="1265"/>
      <c r="OP829" s="1265"/>
      <c r="OQ829" s="1265"/>
      <c r="OR829" s="1265"/>
      <c r="OS829" s="1265"/>
      <c r="OT829" s="1265"/>
      <c r="OU829" s="1265"/>
      <c r="OV829" s="1265"/>
      <c r="OW829" s="1265"/>
      <c r="OX829" s="1265"/>
      <c r="OY829" s="1265"/>
      <c r="OZ829" s="1265"/>
      <c r="PA829" s="1265"/>
      <c r="PB829" s="1265"/>
      <c r="PC829" s="1265"/>
      <c r="PD829" s="1265"/>
      <c r="PE829" s="1265"/>
      <c r="PF829" s="1265"/>
      <c r="PG829" s="1265"/>
      <c r="PH829" s="1265"/>
      <c r="PI829" s="1265"/>
      <c r="PJ829" s="1265"/>
      <c r="PK829" s="1265"/>
      <c r="PL829" s="1265"/>
      <c r="PM829" s="1265"/>
      <c r="PN829" s="1265"/>
      <c r="PO829" s="1265"/>
      <c r="PP829" s="1265"/>
      <c r="PQ829" s="1265"/>
      <c r="PR829" s="1265"/>
      <c r="PS829" s="1265"/>
      <c r="PT829" s="1265"/>
      <c r="PU829" s="1265"/>
      <c r="PV829" s="1265"/>
      <c r="PW829" s="1265"/>
      <c r="PX829" s="1265"/>
      <c r="PY829" s="1265"/>
      <c r="PZ829" s="1265"/>
      <c r="QA829" s="1265"/>
      <c r="QB829" s="1265"/>
      <c r="QC829" s="1265"/>
      <c r="QD829" s="1265"/>
      <c r="QE829" s="1265"/>
      <c r="QF829" s="1265"/>
      <c r="QG829" s="1265"/>
      <c r="QH829" s="1265"/>
      <c r="QI829" s="1265"/>
      <c r="QJ829" s="1265"/>
      <c r="QK829" s="1265"/>
      <c r="QL829" s="1265"/>
      <c r="QM829" s="1265"/>
      <c r="QN829" s="1265"/>
      <c r="QO829" s="1265"/>
      <c r="QP829" s="1265"/>
      <c r="QQ829" s="1265"/>
      <c r="QR829" s="1265"/>
      <c r="QS829" s="1265"/>
      <c r="QT829" s="1265"/>
      <c r="QU829" s="1265"/>
      <c r="QV829" s="1265"/>
      <c r="QW829" s="1265"/>
      <c r="QX829" s="1265"/>
      <c r="QY829" s="1265"/>
      <c r="QZ829" s="1265"/>
      <c r="RA829" s="1265"/>
      <c r="RB829" s="1265"/>
      <c r="RC829" s="1265"/>
      <c r="RD829" s="1265"/>
      <c r="RE829" s="1265"/>
      <c r="RF829" s="1265"/>
      <c r="RG829" s="1265"/>
      <c r="RH829" s="1265"/>
      <c r="RI829" s="1265"/>
      <c r="RJ829" s="1265"/>
      <c r="RK829" s="1265"/>
      <c r="RL829" s="1265"/>
      <c r="RM829" s="1265"/>
      <c r="RN829" s="1265"/>
      <c r="RO829" s="1265"/>
      <c r="RP829" s="1265"/>
      <c r="RQ829" s="1265"/>
      <c r="RR829" s="1265"/>
      <c r="RS829" s="1265"/>
      <c r="RT829" s="1265"/>
      <c r="RU829" s="1265"/>
      <c r="RV829" s="1265"/>
      <c r="RW829" s="1265"/>
      <c r="RX829" s="1265"/>
      <c r="RY829" s="1265"/>
      <c r="RZ829" s="1265"/>
      <c r="SA829" s="1265"/>
      <c r="SB829" s="1265"/>
      <c r="SC829" s="1265"/>
      <c r="SD829" s="1265"/>
      <c r="SE829" s="1265"/>
      <c r="SF829" s="1265"/>
      <c r="SG829" s="1265"/>
      <c r="SH829" s="1265"/>
      <c r="SI829" s="1265"/>
      <c r="SJ829" s="1265"/>
      <c r="SK829" s="1265"/>
      <c r="SL829" s="1265"/>
      <c r="SM829" s="1265"/>
      <c r="SN829" s="1265"/>
      <c r="SO829" s="1265"/>
      <c r="SP829" s="1265"/>
      <c r="SQ829" s="1265"/>
      <c r="SR829" s="1265"/>
      <c r="SS829" s="1265"/>
      <c r="ST829" s="1265"/>
      <c r="SU829" s="1265"/>
      <c r="SV829" s="1265"/>
      <c r="SW829" s="1265"/>
      <c r="SX829" s="1265"/>
      <c r="SY829" s="1265"/>
      <c r="SZ829" s="1265"/>
      <c r="TA829" s="1265"/>
      <c r="TB829" s="1265"/>
      <c r="TC829" s="1265"/>
      <c r="TD829" s="1265"/>
      <c r="TE829" s="1265"/>
      <c r="TF829" s="1265"/>
      <c r="TG829" s="1265"/>
      <c r="TH829" s="1265"/>
      <c r="TI829" s="1265"/>
      <c r="TJ829" s="1265"/>
      <c r="TK829" s="1265"/>
      <c r="TL829" s="1265"/>
      <c r="TM829" s="1265"/>
      <c r="TN829" s="1265"/>
      <c r="TO829" s="1265"/>
      <c r="TP829" s="1265"/>
      <c r="TQ829" s="1265"/>
      <c r="TR829" s="1265"/>
      <c r="TS829" s="1265"/>
      <c r="TT829" s="1265"/>
      <c r="TU829" s="1265"/>
      <c r="TV829" s="1265"/>
      <c r="TW829" s="1265"/>
      <c r="TX829" s="1265"/>
      <c r="TY829" s="1265"/>
      <c r="TZ829" s="1265"/>
      <c r="UA829" s="1265"/>
      <c r="UB829" s="1265"/>
      <c r="UC829" s="1265"/>
      <c r="UD829" s="1265"/>
      <c r="UE829" s="1265"/>
      <c r="UF829" s="1265"/>
      <c r="UG829" s="1266"/>
    </row>
    <row r="830" spans="1:553" s="1262" customFormat="1" ht="30.75" customHeight="1">
      <c r="A830" s="445"/>
      <c r="B830" s="445"/>
      <c r="C830" s="1405" t="s">
        <v>1186</v>
      </c>
      <c r="D830" s="1406" t="s">
        <v>1186</v>
      </c>
      <c r="E830" s="1406" t="s">
        <v>1186</v>
      </c>
      <c r="F830" s="1407" t="s">
        <v>1186</v>
      </c>
      <c r="G830" s="417" t="s">
        <v>196</v>
      </c>
      <c r="H830" s="359"/>
      <c r="I830" s="669">
        <f>(64.04*100/625)*2</f>
        <v>20.492800000000003</v>
      </c>
      <c r="J830" s="512">
        <v>22200</v>
      </c>
      <c r="K830" s="443"/>
      <c r="L830" s="571">
        <f>ROUND(PRODUCT(I830:K830),0)</f>
        <v>454940</v>
      </c>
      <c r="M830" s="356"/>
      <c r="N830" s="356"/>
      <c r="O830" s="356"/>
      <c r="P830" s="356"/>
      <c r="Q830" s="610"/>
      <c r="R830" s="1228"/>
      <c r="S830" s="308"/>
      <c r="T830" s="308"/>
      <c r="U830" s="308"/>
      <c r="V830" s="308"/>
      <c r="W830" s="308"/>
      <c r="X830" s="308"/>
      <c r="Y830" s="308"/>
      <c r="Z830" s="604"/>
      <c r="AA830" s="308"/>
      <c r="AB830" s="308"/>
      <c r="AC830" s="454"/>
      <c r="AD830" s="454"/>
      <c r="AE830" s="454"/>
      <c r="AF830" s="454"/>
      <c r="AG830" s="454"/>
      <c r="AH830" s="454"/>
      <c r="AI830" s="454"/>
      <c r="AJ830" s="454"/>
      <c r="AK830" s="455"/>
      <c r="AL830" s="1263"/>
      <c r="AM830" s="1263"/>
      <c r="AN830" s="1263"/>
      <c r="AO830" s="1263"/>
      <c r="AP830" s="1263"/>
      <c r="AQ830" s="1263"/>
      <c r="AR830" s="1263"/>
      <c r="AS830" s="1264"/>
      <c r="AT830" s="1264"/>
      <c r="AU830" s="1264"/>
      <c r="AV830" s="1264"/>
      <c r="AW830" s="1264"/>
      <c r="AX830" s="1264"/>
      <c r="AY830" s="1264"/>
      <c r="AZ830" s="1264"/>
      <c r="BA830" s="1264"/>
      <c r="BB830" s="1264"/>
      <c r="BC830" s="1264"/>
      <c r="BD830" s="1264"/>
      <c r="BE830" s="1264"/>
      <c r="BF830" s="1264"/>
      <c r="BG830" s="1264"/>
      <c r="BH830" s="1264"/>
      <c r="BI830" s="1264"/>
      <c r="BJ830" s="1264"/>
      <c r="BK830" s="1264"/>
      <c r="BL830" s="1264"/>
      <c r="BM830" s="1264"/>
      <c r="BN830" s="1264"/>
      <c r="BO830" s="1264"/>
      <c r="BP830" s="1265"/>
      <c r="BQ830" s="1265"/>
      <c r="BR830" s="1265"/>
      <c r="BS830" s="1265"/>
      <c r="BT830" s="1265"/>
      <c r="BU830" s="1265"/>
      <c r="BV830" s="1265"/>
      <c r="BW830" s="1265"/>
      <c r="BX830" s="1265"/>
      <c r="BY830" s="1265"/>
      <c r="BZ830" s="1265"/>
      <c r="CA830" s="1265"/>
      <c r="CB830" s="1265"/>
      <c r="CC830" s="1265"/>
      <c r="CD830" s="1265"/>
      <c r="CE830" s="1265"/>
      <c r="CF830" s="1265"/>
      <c r="CG830" s="1265"/>
      <c r="CH830" s="1265"/>
      <c r="CI830" s="1265"/>
      <c r="CJ830" s="1265"/>
      <c r="CK830" s="1265"/>
      <c r="CL830" s="1265"/>
      <c r="CM830" s="1265"/>
      <c r="CN830" s="1265"/>
      <c r="CO830" s="1265"/>
      <c r="CP830" s="1265"/>
      <c r="CQ830" s="1265"/>
      <c r="CR830" s="1265"/>
      <c r="CS830" s="1265"/>
      <c r="CT830" s="1265"/>
      <c r="CU830" s="1265"/>
      <c r="CV830" s="1265"/>
      <c r="CW830" s="1265"/>
      <c r="CX830" s="1265"/>
      <c r="CY830" s="1265"/>
      <c r="CZ830" s="1265"/>
      <c r="DA830" s="1265"/>
      <c r="DB830" s="1265"/>
      <c r="DC830" s="1265"/>
      <c r="DD830" s="1265"/>
      <c r="DE830" s="1265"/>
      <c r="DF830" s="1265"/>
      <c r="DG830" s="1265"/>
      <c r="DH830" s="1265"/>
      <c r="DI830" s="1265"/>
      <c r="DJ830" s="1265"/>
      <c r="DK830" s="1265"/>
      <c r="DL830" s="1265"/>
      <c r="DM830" s="1265"/>
      <c r="DN830" s="1265"/>
      <c r="DO830" s="1265"/>
      <c r="DP830" s="1265"/>
      <c r="DQ830" s="1265"/>
      <c r="DR830" s="1265"/>
      <c r="DS830" s="1265"/>
      <c r="DT830" s="1265"/>
      <c r="DU830" s="1265"/>
      <c r="DV830" s="1265"/>
      <c r="DW830" s="1265"/>
      <c r="DX830" s="1265"/>
      <c r="DY830" s="1265"/>
      <c r="DZ830" s="1265"/>
      <c r="EA830" s="1265"/>
      <c r="EB830" s="1265"/>
      <c r="EC830" s="1265"/>
      <c r="ED830" s="1265"/>
      <c r="EE830" s="1265"/>
      <c r="EF830" s="1265"/>
      <c r="EG830" s="1265"/>
      <c r="EH830" s="1265"/>
      <c r="EI830" s="1265"/>
      <c r="EJ830" s="1265"/>
      <c r="EK830" s="1265"/>
      <c r="EL830" s="1265"/>
      <c r="EM830" s="1265"/>
      <c r="EN830" s="1265"/>
      <c r="EO830" s="1265"/>
      <c r="EP830" s="1265"/>
      <c r="EQ830" s="1265"/>
      <c r="ER830" s="1265"/>
      <c r="ES830" s="1265"/>
      <c r="ET830" s="1265"/>
      <c r="EU830" s="1265"/>
      <c r="EV830" s="1265"/>
      <c r="EW830" s="1265"/>
      <c r="EX830" s="1265"/>
      <c r="EY830" s="1265"/>
      <c r="EZ830" s="1265"/>
      <c r="FA830" s="1265"/>
      <c r="FB830" s="1265"/>
      <c r="FC830" s="1265"/>
      <c r="FD830" s="1265"/>
      <c r="FE830" s="1265"/>
      <c r="FF830" s="1265"/>
      <c r="FG830" s="1265"/>
      <c r="FH830" s="1265"/>
      <c r="FI830" s="1265"/>
      <c r="FJ830" s="1265"/>
      <c r="FK830" s="1265"/>
      <c r="FL830" s="1265"/>
      <c r="FM830" s="1265"/>
      <c r="FN830" s="1265"/>
      <c r="FO830" s="1265"/>
      <c r="FP830" s="1265"/>
      <c r="FQ830" s="1265"/>
      <c r="FR830" s="1265"/>
      <c r="FS830" s="1265"/>
      <c r="FT830" s="1265"/>
      <c r="FU830" s="1265"/>
      <c r="FV830" s="1265"/>
      <c r="FW830" s="1265"/>
      <c r="FX830" s="1265"/>
      <c r="FY830" s="1265"/>
      <c r="FZ830" s="1265"/>
      <c r="GA830" s="1265"/>
      <c r="GB830" s="1265"/>
      <c r="GC830" s="1265"/>
      <c r="GD830" s="1265"/>
      <c r="GE830" s="1265"/>
      <c r="GF830" s="1265"/>
      <c r="GG830" s="1265"/>
      <c r="GH830" s="1265"/>
      <c r="GI830" s="1265"/>
      <c r="GJ830" s="1265"/>
      <c r="GK830" s="1265"/>
      <c r="GL830" s="1265"/>
      <c r="GM830" s="1265"/>
      <c r="GN830" s="1265"/>
      <c r="GO830" s="1265"/>
      <c r="GP830" s="1265"/>
      <c r="GQ830" s="1265"/>
      <c r="GR830" s="1265"/>
      <c r="GS830" s="1265"/>
      <c r="GT830" s="1265"/>
      <c r="GU830" s="1265"/>
      <c r="GV830" s="1265"/>
      <c r="GW830" s="1265"/>
      <c r="GX830" s="1265"/>
      <c r="GY830" s="1265"/>
      <c r="GZ830" s="1265"/>
      <c r="HA830" s="1265"/>
      <c r="HB830" s="1265"/>
      <c r="HC830" s="1265"/>
      <c r="HD830" s="1265"/>
      <c r="HE830" s="1265"/>
      <c r="HF830" s="1265"/>
      <c r="HG830" s="1265"/>
      <c r="HH830" s="1265"/>
      <c r="HI830" s="1265"/>
      <c r="HJ830" s="1265"/>
      <c r="HK830" s="1265"/>
      <c r="HL830" s="1265"/>
      <c r="HM830" s="1265"/>
      <c r="HN830" s="1265"/>
      <c r="HO830" s="1265"/>
      <c r="HP830" s="1265"/>
      <c r="HQ830" s="1265"/>
      <c r="HR830" s="1265"/>
      <c r="HS830" s="1265"/>
      <c r="HT830" s="1265"/>
      <c r="HU830" s="1265"/>
      <c r="HV830" s="1265"/>
      <c r="HW830" s="1265"/>
      <c r="HX830" s="1265"/>
      <c r="HY830" s="1265"/>
      <c r="HZ830" s="1265"/>
      <c r="IA830" s="1265"/>
      <c r="IB830" s="1265"/>
      <c r="IC830" s="1265"/>
      <c r="ID830" s="1265"/>
      <c r="IE830" s="1265"/>
      <c r="IF830" s="1265"/>
      <c r="IG830" s="1265"/>
      <c r="IH830" s="1265"/>
      <c r="II830" s="1265"/>
      <c r="IJ830" s="1265"/>
      <c r="IK830" s="1265"/>
      <c r="IL830" s="1265"/>
      <c r="IM830" s="1265"/>
      <c r="IN830" s="1265"/>
      <c r="IO830" s="1265"/>
      <c r="IP830" s="1265"/>
      <c r="IQ830" s="1265"/>
      <c r="IR830" s="1265"/>
      <c r="IS830" s="1265"/>
      <c r="IT830" s="1265"/>
      <c r="IU830" s="1265"/>
      <c r="IV830" s="1265"/>
      <c r="IW830" s="1265"/>
      <c r="IX830" s="1265"/>
      <c r="IY830" s="1265"/>
      <c r="IZ830" s="1265"/>
      <c r="JA830" s="1265"/>
      <c r="JB830" s="1265"/>
      <c r="JC830" s="1265"/>
      <c r="JD830" s="1265"/>
      <c r="JE830" s="1265"/>
      <c r="JF830" s="1265"/>
      <c r="JG830" s="1265"/>
      <c r="JH830" s="1265"/>
      <c r="JI830" s="1265"/>
      <c r="JJ830" s="1265"/>
      <c r="JK830" s="1265"/>
      <c r="JL830" s="1265"/>
      <c r="JM830" s="1265"/>
      <c r="JN830" s="1265"/>
      <c r="JO830" s="1265"/>
      <c r="JP830" s="1265"/>
      <c r="JQ830" s="1265"/>
      <c r="JR830" s="1265"/>
      <c r="JS830" s="1265"/>
      <c r="JT830" s="1265"/>
      <c r="JU830" s="1265"/>
      <c r="JV830" s="1265"/>
      <c r="JW830" s="1265"/>
      <c r="JX830" s="1265"/>
      <c r="JY830" s="1265"/>
      <c r="JZ830" s="1265"/>
      <c r="KA830" s="1265"/>
      <c r="KB830" s="1265"/>
      <c r="KC830" s="1265"/>
      <c r="KD830" s="1265"/>
      <c r="KE830" s="1265"/>
      <c r="KF830" s="1265"/>
      <c r="KG830" s="1265"/>
      <c r="KH830" s="1265"/>
      <c r="KI830" s="1265"/>
      <c r="KJ830" s="1265"/>
      <c r="KK830" s="1265"/>
      <c r="KL830" s="1265"/>
      <c r="KM830" s="1265"/>
      <c r="KN830" s="1265"/>
      <c r="KO830" s="1265"/>
      <c r="KP830" s="1265"/>
      <c r="KQ830" s="1265"/>
      <c r="KR830" s="1265"/>
      <c r="KS830" s="1265"/>
      <c r="KT830" s="1265"/>
      <c r="KU830" s="1265"/>
      <c r="KV830" s="1265"/>
      <c r="KW830" s="1265"/>
      <c r="KX830" s="1265"/>
      <c r="KY830" s="1265"/>
      <c r="KZ830" s="1265"/>
      <c r="LA830" s="1265"/>
      <c r="LB830" s="1265"/>
      <c r="LC830" s="1265"/>
      <c r="LD830" s="1265"/>
      <c r="LE830" s="1265"/>
      <c r="LF830" s="1265"/>
      <c r="LG830" s="1265"/>
      <c r="LH830" s="1265"/>
      <c r="LI830" s="1265"/>
      <c r="LJ830" s="1265"/>
      <c r="LK830" s="1265"/>
      <c r="LL830" s="1265"/>
      <c r="LM830" s="1265"/>
      <c r="LN830" s="1265"/>
      <c r="LO830" s="1265"/>
      <c r="LP830" s="1265"/>
      <c r="LQ830" s="1265"/>
      <c r="LR830" s="1265"/>
      <c r="LS830" s="1265"/>
      <c r="LT830" s="1265"/>
      <c r="LU830" s="1265"/>
      <c r="LV830" s="1265"/>
      <c r="LW830" s="1265"/>
      <c r="LX830" s="1265"/>
      <c r="LY830" s="1265"/>
      <c r="LZ830" s="1265"/>
      <c r="MA830" s="1265"/>
      <c r="MB830" s="1265"/>
      <c r="MC830" s="1265"/>
      <c r="MD830" s="1265"/>
      <c r="ME830" s="1265"/>
      <c r="MF830" s="1265"/>
      <c r="MG830" s="1265"/>
      <c r="MH830" s="1265"/>
      <c r="MI830" s="1265"/>
      <c r="MJ830" s="1265"/>
      <c r="MK830" s="1265"/>
      <c r="ML830" s="1265"/>
      <c r="MM830" s="1265"/>
      <c r="MN830" s="1265"/>
      <c r="MO830" s="1265"/>
      <c r="MP830" s="1265"/>
      <c r="MQ830" s="1265"/>
      <c r="MR830" s="1265"/>
      <c r="MS830" s="1265"/>
      <c r="MT830" s="1265"/>
      <c r="MU830" s="1265"/>
      <c r="MV830" s="1265"/>
      <c r="MW830" s="1265"/>
      <c r="MX830" s="1265"/>
      <c r="MY830" s="1265"/>
      <c r="MZ830" s="1265"/>
      <c r="NA830" s="1265"/>
      <c r="NB830" s="1265"/>
      <c r="NC830" s="1265"/>
      <c r="ND830" s="1265"/>
      <c r="NE830" s="1265"/>
      <c r="NF830" s="1265"/>
      <c r="NG830" s="1265"/>
      <c r="NH830" s="1265"/>
      <c r="NI830" s="1265"/>
      <c r="NJ830" s="1265"/>
      <c r="NK830" s="1265"/>
      <c r="NL830" s="1265"/>
      <c r="NM830" s="1265"/>
      <c r="NN830" s="1265"/>
      <c r="NO830" s="1265"/>
      <c r="NP830" s="1265"/>
      <c r="NQ830" s="1265"/>
      <c r="NR830" s="1265"/>
      <c r="NS830" s="1265"/>
      <c r="NT830" s="1265"/>
      <c r="NU830" s="1265"/>
      <c r="NV830" s="1265"/>
      <c r="NW830" s="1265"/>
      <c r="NX830" s="1265"/>
      <c r="NY830" s="1265"/>
      <c r="NZ830" s="1265"/>
      <c r="OA830" s="1265"/>
      <c r="OB830" s="1265"/>
      <c r="OC830" s="1265"/>
      <c r="OD830" s="1265"/>
      <c r="OE830" s="1265"/>
      <c r="OF830" s="1265"/>
      <c r="OG830" s="1265"/>
      <c r="OH830" s="1265"/>
      <c r="OI830" s="1265"/>
      <c r="OJ830" s="1265"/>
      <c r="OK830" s="1265"/>
      <c r="OL830" s="1265"/>
      <c r="OM830" s="1265"/>
      <c r="ON830" s="1265"/>
      <c r="OO830" s="1265"/>
      <c r="OP830" s="1265"/>
      <c r="OQ830" s="1265"/>
      <c r="OR830" s="1265"/>
      <c r="OS830" s="1265"/>
      <c r="OT830" s="1265"/>
      <c r="OU830" s="1265"/>
      <c r="OV830" s="1265"/>
      <c r="OW830" s="1265"/>
      <c r="OX830" s="1265"/>
      <c r="OY830" s="1265"/>
      <c r="OZ830" s="1265"/>
      <c r="PA830" s="1265"/>
      <c r="PB830" s="1265"/>
      <c r="PC830" s="1265"/>
      <c r="PD830" s="1265"/>
      <c r="PE830" s="1265"/>
      <c r="PF830" s="1265"/>
      <c r="PG830" s="1265"/>
      <c r="PH830" s="1265"/>
      <c r="PI830" s="1265"/>
      <c r="PJ830" s="1265"/>
      <c r="PK830" s="1265"/>
      <c r="PL830" s="1265"/>
      <c r="PM830" s="1265"/>
      <c r="PN830" s="1265"/>
      <c r="PO830" s="1265"/>
      <c r="PP830" s="1265"/>
      <c r="PQ830" s="1265"/>
      <c r="PR830" s="1265"/>
      <c r="PS830" s="1265"/>
      <c r="PT830" s="1265"/>
      <c r="PU830" s="1265"/>
      <c r="PV830" s="1265"/>
      <c r="PW830" s="1265"/>
      <c r="PX830" s="1265"/>
      <c r="PY830" s="1265"/>
      <c r="PZ830" s="1265"/>
      <c r="QA830" s="1265"/>
      <c r="QB830" s="1265"/>
      <c r="QC830" s="1265"/>
      <c r="QD830" s="1265"/>
      <c r="QE830" s="1265"/>
      <c r="QF830" s="1265"/>
      <c r="QG830" s="1265"/>
      <c r="QH830" s="1265"/>
      <c r="QI830" s="1265"/>
      <c r="QJ830" s="1265"/>
      <c r="QK830" s="1265"/>
      <c r="QL830" s="1265"/>
      <c r="QM830" s="1265"/>
      <c r="QN830" s="1265"/>
      <c r="QO830" s="1265"/>
      <c r="QP830" s="1265"/>
      <c r="QQ830" s="1265"/>
      <c r="QR830" s="1265"/>
      <c r="QS830" s="1265"/>
      <c r="QT830" s="1265"/>
      <c r="QU830" s="1265"/>
      <c r="QV830" s="1265"/>
      <c r="QW830" s="1265"/>
      <c r="QX830" s="1265"/>
      <c r="QY830" s="1265"/>
      <c r="QZ830" s="1265"/>
      <c r="RA830" s="1265"/>
      <c r="RB830" s="1265"/>
      <c r="RC830" s="1265"/>
      <c r="RD830" s="1265"/>
      <c r="RE830" s="1265"/>
      <c r="RF830" s="1265"/>
      <c r="RG830" s="1265"/>
      <c r="RH830" s="1265"/>
      <c r="RI830" s="1265"/>
      <c r="RJ830" s="1265"/>
      <c r="RK830" s="1265"/>
      <c r="RL830" s="1265"/>
      <c r="RM830" s="1265"/>
      <c r="RN830" s="1265"/>
      <c r="RO830" s="1265"/>
      <c r="RP830" s="1265"/>
      <c r="RQ830" s="1265"/>
      <c r="RR830" s="1265"/>
      <c r="RS830" s="1265"/>
      <c r="RT830" s="1265"/>
      <c r="RU830" s="1265"/>
      <c r="RV830" s="1265"/>
      <c r="RW830" s="1265"/>
      <c r="RX830" s="1265"/>
      <c r="RY830" s="1265"/>
      <c r="RZ830" s="1265"/>
      <c r="SA830" s="1265"/>
      <c r="SB830" s="1265"/>
      <c r="SC830" s="1265"/>
      <c r="SD830" s="1265"/>
      <c r="SE830" s="1265"/>
      <c r="SF830" s="1265"/>
      <c r="SG830" s="1265"/>
      <c r="SH830" s="1265"/>
      <c r="SI830" s="1265"/>
      <c r="SJ830" s="1265"/>
      <c r="SK830" s="1265"/>
      <c r="SL830" s="1265"/>
      <c r="SM830" s="1265"/>
      <c r="SN830" s="1265"/>
      <c r="SO830" s="1265"/>
      <c r="SP830" s="1265"/>
      <c r="SQ830" s="1265"/>
      <c r="SR830" s="1265"/>
      <c r="SS830" s="1265"/>
      <c r="ST830" s="1265"/>
      <c r="SU830" s="1265"/>
      <c r="SV830" s="1265"/>
      <c r="SW830" s="1265"/>
      <c r="SX830" s="1265"/>
      <c r="SY830" s="1265"/>
      <c r="SZ830" s="1265"/>
      <c r="TA830" s="1265"/>
      <c r="TB830" s="1265"/>
      <c r="TC830" s="1265"/>
      <c r="TD830" s="1265"/>
      <c r="TE830" s="1265"/>
      <c r="TF830" s="1265"/>
      <c r="TG830" s="1265"/>
      <c r="TH830" s="1265"/>
      <c r="TI830" s="1265"/>
      <c r="TJ830" s="1265"/>
      <c r="TK830" s="1265"/>
      <c r="TL830" s="1265"/>
      <c r="TM830" s="1265"/>
      <c r="TN830" s="1265"/>
      <c r="TO830" s="1265"/>
      <c r="TP830" s="1265"/>
      <c r="TQ830" s="1265"/>
      <c r="TR830" s="1265"/>
      <c r="TS830" s="1265"/>
      <c r="TT830" s="1265"/>
      <c r="TU830" s="1265"/>
      <c r="TV830" s="1265"/>
      <c r="TW830" s="1265"/>
      <c r="TX830" s="1265"/>
      <c r="TY830" s="1265"/>
      <c r="TZ830" s="1265"/>
      <c r="UA830" s="1265"/>
      <c r="UB830" s="1265"/>
      <c r="UC830" s="1265"/>
      <c r="UD830" s="1265"/>
      <c r="UE830" s="1265"/>
      <c r="UF830" s="1265"/>
      <c r="UG830" s="1266"/>
    </row>
    <row r="831" spans="1:553" s="1262" customFormat="1" ht="30.75" customHeight="1">
      <c r="A831" s="1231"/>
      <c r="B831" s="1231"/>
      <c r="C831" s="1408" t="s">
        <v>1187</v>
      </c>
      <c r="D831" s="1409" t="s">
        <v>1188</v>
      </c>
      <c r="E831" s="1409" t="s">
        <v>1188</v>
      </c>
      <c r="F831" s="1410" t="s">
        <v>1188</v>
      </c>
      <c r="G831" s="1007" t="s">
        <v>46</v>
      </c>
      <c r="H831" s="651"/>
      <c r="I831" s="1066">
        <f>(100.41*100/400)*(12-(4-3))*2</f>
        <v>552.255</v>
      </c>
      <c r="J831" s="985">
        <v>12000</v>
      </c>
      <c r="K831" s="670">
        <v>0.7</v>
      </c>
      <c r="L831" s="751">
        <f>I831*J831*K831</f>
        <v>4638942</v>
      </c>
      <c r="M831" s="356"/>
      <c r="N831" s="356"/>
      <c r="O831" s="356"/>
      <c r="P831" s="356"/>
      <c r="Q831" s="610"/>
      <c r="R831" s="1228"/>
      <c r="S831" s="308"/>
      <c r="T831" s="308"/>
      <c r="U831" s="308"/>
      <c r="V831" s="308"/>
      <c r="W831" s="308"/>
      <c r="X831" s="308"/>
      <c r="Y831" s="308"/>
      <c r="Z831" s="604"/>
      <c r="AA831" s="308"/>
      <c r="AB831" s="308"/>
      <c r="AC831" s="454"/>
      <c r="AD831" s="454"/>
      <c r="AE831" s="454"/>
      <c r="AF831" s="454"/>
      <c r="AG831" s="454"/>
      <c r="AH831" s="454"/>
      <c r="AI831" s="454"/>
      <c r="AJ831" s="454"/>
      <c r="AK831" s="455"/>
      <c r="AL831" s="1263"/>
      <c r="AM831" s="1263"/>
      <c r="AN831" s="1263"/>
      <c r="AO831" s="1263"/>
      <c r="AP831" s="1263"/>
      <c r="AQ831" s="1263"/>
      <c r="AR831" s="1263"/>
      <c r="AS831" s="1264"/>
      <c r="AT831" s="1264"/>
      <c r="AU831" s="1264"/>
      <c r="AV831" s="1264"/>
      <c r="AW831" s="1264"/>
      <c r="AX831" s="1264"/>
      <c r="AY831" s="1264"/>
      <c r="AZ831" s="1264"/>
      <c r="BA831" s="1264"/>
      <c r="BB831" s="1264"/>
      <c r="BC831" s="1264"/>
      <c r="BD831" s="1264"/>
      <c r="BE831" s="1264"/>
      <c r="BF831" s="1264"/>
      <c r="BG831" s="1264"/>
      <c r="BH831" s="1264"/>
      <c r="BI831" s="1264"/>
      <c r="BJ831" s="1264"/>
      <c r="BK831" s="1264"/>
      <c r="BL831" s="1264"/>
      <c r="BM831" s="1264"/>
      <c r="BN831" s="1264"/>
      <c r="BO831" s="1264"/>
      <c r="BP831" s="1265"/>
      <c r="BQ831" s="1265"/>
      <c r="BR831" s="1265"/>
      <c r="BS831" s="1265"/>
      <c r="BT831" s="1265"/>
      <c r="BU831" s="1265"/>
      <c r="BV831" s="1265"/>
      <c r="BW831" s="1265"/>
      <c r="BX831" s="1265"/>
      <c r="BY831" s="1265"/>
      <c r="BZ831" s="1265"/>
      <c r="CA831" s="1265"/>
      <c r="CB831" s="1265"/>
      <c r="CC831" s="1265"/>
      <c r="CD831" s="1265"/>
      <c r="CE831" s="1265"/>
      <c r="CF831" s="1265"/>
      <c r="CG831" s="1265"/>
      <c r="CH831" s="1265"/>
      <c r="CI831" s="1265"/>
      <c r="CJ831" s="1265"/>
      <c r="CK831" s="1265"/>
      <c r="CL831" s="1265"/>
      <c r="CM831" s="1265"/>
      <c r="CN831" s="1265"/>
      <c r="CO831" s="1265"/>
      <c r="CP831" s="1265"/>
      <c r="CQ831" s="1265"/>
      <c r="CR831" s="1265"/>
      <c r="CS831" s="1265"/>
      <c r="CT831" s="1265"/>
      <c r="CU831" s="1265"/>
      <c r="CV831" s="1265"/>
      <c r="CW831" s="1265"/>
      <c r="CX831" s="1265"/>
      <c r="CY831" s="1265"/>
      <c r="CZ831" s="1265"/>
      <c r="DA831" s="1265"/>
      <c r="DB831" s="1265"/>
      <c r="DC831" s="1265"/>
      <c r="DD831" s="1265"/>
      <c r="DE831" s="1265"/>
      <c r="DF831" s="1265"/>
      <c r="DG831" s="1265"/>
      <c r="DH831" s="1265"/>
      <c r="DI831" s="1265"/>
      <c r="DJ831" s="1265"/>
      <c r="DK831" s="1265"/>
      <c r="DL831" s="1265"/>
      <c r="DM831" s="1265"/>
      <c r="DN831" s="1265"/>
      <c r="DO831" s="1265"/>
      <c r="DP831" s="1265"/>
      <c r="DQ831" s="1265"/>
      <c r="DR831" s="1265"/>
      <c r="DS831" s="1265"/>
      <c r="DT831" s="1265"/>
      <c r="DU831" s="1265"/>
      <c r="DV831" s="1265"/>
      <c r="DW831" s="1265"/>
      <c r="DX831" s="1265"/>
      <c r="DY831" s="1265"/>
      <c r="DZ831" s="1265"/>
      <c r="EA831" s="1265"/>
      <c r="EB831" s="1265"/>
      <c r="EC831" s="1265"/>
      <c r="ED831" s="1265"/>
      <c r="EE831" s="1265"/>
      <c r="EF831" s="1265"/>
      <c r="EG831" s="1265"/>
      <c r="EH831" s="1265"/>
      <c r="EI831" s="1265"/>
      <c r="EJ831" s="1265"/>
      <c r="EK831" s="1265"/>
      <c r="EL831" s="1265"/>
      <c r="EM831" s="1265"/>
      <c r="EN831" s="1265"/>
      <c r="EO831" s="1265"/>
      <c r="EP831" s="1265"/>
      <c r="EQ831" s="1265"/>
      <c r="ER831" s="1265"/>
      <c r="ES831" s="1265"/>
      <c r="ET831" s="1265"/>
      <c r="EU831" s="1265"/>
      <c r="EV831" s="1265"/>
      <c r="EW831" s="1265"/>
      <c r="EX831" s="1265"/>
      <c r="EY831" s="1265"/>
      <c r="EZ831" s="1265"/>
      <c r="FA831" s="1265"/>
      <c r="FB831" s="1265"/>
      <c r="FC831" s="1265"/>
      <c r="FD831" s="1265"/>
      <c r="FE831" s="1265"/>
      <c r="FF831" s="1265"/>
      <c r="FG831" s="1265"/>
      <c r="FH831" s="1265"/>
      <c r="FI831" s="1265"/>
      <c r="FJ831" s="1265"/>
      <c r="FK831" s="1265"/>
      <c r="FL831" s="1265"/>
      <c r="FM831" s="1265"/>
      <c r="FN831" s="1265"/>
      <c r="FO831" s="1265"/>
      <c r="FP831" s="1265"/>
      <c r="FQ831" s="1265"/>
      <c r="FR831" s="1265"/>
      <c r="FS831" s="1265"/>
      <c r="FT831" s="1265"/>
      <c r="FU831" s="1265"/>
      <c r="FV831" s="1265"/>
      <c r="FW831" s="1265"/>
      <c r="FX831" s="1265"/>
      <c r="FY831" s="1265"/>
      <c r="FZ831" s="1265"/>
      <c r="GA831" s="1265"/>
      <c r="GB831" s="1265"/>
      <c r="GC831" s="1265"/>
      <c r="GD831" s="1265"/>
      <c r="GE831" s="1265"/>
      <c r="GF831" s="1265"/>
      <c r="GG831" s="1265"/>
      <c r="GH831" s="1265"/>
      <c r="GI831" s="1265"/>
      <c r="GJ831" s="1265"/>
      <c r="GK831" s="1265"/>
      <c r="GL831" s="1265"/>
      <c r="GM831" s="1265"/>
      <c r="GN831" s="1265"/>
      <c r="GO831" s="1265"/>
      <c r="GP831" s="1265"/>
      <c r="GQ831" s="1265"/>
      <c r="GR831" s="1265"/>
      <c r="GS831" s="1265"/>
      <c r="GT831" s="1265"/>
      <c r="GU831" s="1265"/>
      <c r="GV831" s="1265"/>
      <c r="GW831" s="1265"/>
      <c r="GX831" s="1265"/>
      <c r="GY831" s="1265"/>
      <c r="GZ831" s="1265"/>
      <c r="HA831" s="1265"/>
      <c r="HB831" s="1265"/>
      <c r="HC831" s="1265"/>
      <c r="HD831" s="1265"/>
      <c r="HE831" s="1265"/>
      <c r="HF831" s="1265"/>
      <c r="HG831" s="1265"/>
      <c r="HH831" s="1265"/>
      <c r="HI831" s="1265"/>
      <c r="HJ831" s="1265"/>
      <c r="HK831" s="1265"/>
      <c r="HL831" s="1265"/>
      <c r="HM831" s="1265"/>
      <c r="HN831" s="1265"/>
      <c r="HO831" s="1265"/>
      <c r="HP831" s="1265"/>
      <c r="HQ831" s="1265"/>
      <c r="HR831" s="1265"/>
      <c r="HS831" s="1265"/>
      <c r="HT831" s="1265"/>
      <c r="HU831" s="1265"/>
      <c r="HV831" s="1265"/>
      <c r="HW831" s="1265"/>
      <c r="HX831" s="1265"/>
      <c r="HY831" s="1265"/>
      <c r="HZ831" s="1265"/>
      <c r="IA831" s="1265"/>
      <c r="IB831" s="1265"/>
      <c r="IC831" s="1265"/>
      <c r="ID831" s="1265"/>
      <c r="IE831" s="1265"/>
      <c r="IF831" s="1265"/>
      <c r="IG831" s="1265"/>
      <c r="IH831" s="1265"/>
      <c r="II831" s="1265"/>
      <c r="IJ831" s="1265"/>
      <c r="IK831" s="1265"/>
      <c r="IL831" s="1265"/>
      <c r="IM831" s="1265"/>
      <c r="IN831" s="1265"/>
      <c r="IO831" s="1265"/>
      <c r="IP831" s="1265"/>
      <c r="IQ831" s="1265"/>
      <c r="IR831" s="1265"/>
      <c r="IS831" s="1265"/>
      <c r="IT831" s="1265"/>
      <c r="IU831" s="1265"/>
      <c r="IV831" s="1265"/>
      <c r="IW831" s="1265"/>
      <c r="IX831" s="1265"/>
      <c r="IY831" s="1265"/>
      <c r="IZ831" s="1265"/>
      <c r="JA831" s="1265"/>
      <c r="JB831" s="1265"/>
      <c r="JC831" s="1265"/>
      <c r="JD831" s="1265"/>
      <c r="JE831" s="1265"/>
      <c r="JF831" s="1265"/>
      <c r="JG831" s="1265"/>
      <c r="JH831" s="1265"/>
      <c r="JI831" s="1265"/>
      <c r="JJ831" s="1265"/>
      <c r="JK831" s="1265"/>
      <c r="JL831" s="1265"/>
      <c r="JM831" s="1265"/>
      <c r="JN831" s="1265"/>
      <c r="JO831" s="1265"/>
      <c r="JP831" s="1265"/>
      <c r="JQ831" s="1265"/>
      <c r="JR831" s="1265"/>
      <c r="JS831" s="1265"/>
      <c r="JT831" s="1265"/>
      <c r="JU831" s="1265"/>
      <c r="JV831" s="1265"/>
      <c r="JW831" s="1265"/>
      <c r="JX831" s="1265"/>
      <c r="JY831" s="1265"/>
      <c r="JZ831" s="1265"/>
      <c r="KA831" s="1265"/>
      <c r="KB831" s="1265"/>
      <c r="KC831" s="1265"/>
      <c r="KD831" s="1265"/>
      <c r="KE831" s="1265"/>
      <c r="KF831" s="1265"/>
      <c r="KG831" s="1265"/>
      <c r="KH831" s="1265"/>
      <c r="KI831" s="1265"/>
      <c r="KJ831" s="1265"/>
      <c r="KK831" s="1265"/>
      <c r="KL831" s="1265"/>
      <c r="KM831" s="1265"/>
      <c r="KN831" s="1265"/>
      <c r="KO831" s="1265"/>
      <c r="KP831" s="1265"/>
      <c r="KQ831" s="1265"/>
      <c r="KR831" s="1265"/>
      <c r="KS831" s="1265"/>
      <c r="KT831" s="1265"/>
      <c r="KU831" s="1265"/>
      <c r="KV831" s="1265"/>
      <c r="KW831" s="1265"/>
      <c r="KX831" s="1265"/>
      <c r="KY831" s="1265"/>
      <c r="KZ831" s="1265"/>
      <c r="LA831" s="1265"/>
      <c r="LB831" s="1265"/>
      <c r="LC831" s="1265"/>
      <c r="LD831" s="1265"/>
      <c r="LE831" s="1265"/>
      <c r="LF831" s="1265"/>
      <c r="LG831" s="1265"/>
      <c r="LH831" s="1265"/>
      <c r="LI831" s="1265"/>
      <c r="LJ831" s="1265"/>
      <c r="LK831" s="1265"/>
      <c r="LL831" s="1265"/>
      <c r="LM831" s="1265"/>
      <c r="LN831" s="1265"/>
      <c r="LO831" s="1265"/>
      <c r="LP831" s="1265"/>
      <c r="LQ831" s="1265"/>
      <c r="LR831" s="1265"/>
      <c r="LS831" s="1265"/>
      <c r="LT831" s="1265"/>
      <c r="LU831" s="1265"/>
      <c r="LV831" s="1265"/>
      <c r="LW831" s="1265"/>
      <c r="LX831" s="1265"/>
      <c r="LY831" s="1265"/>
      <c r="LZ831" s="1265"/>
      <c r="MA831" s="1265"/>
      <c r="MB831" s="1265"/>
      <c r="MC831" s="1265"/>
      <c r="MD831" s="1265"/>
      <c r="ME831" s="1265"/>
      <c r="MF831" s="1265"/>
      <c r="MG831" s="1265"/>
      <c r="MH831" s="1265"/>
      <c r="MI831" s="1265"/>
      <c r="MJ831" s="1265"/>
      <c r="MK831" s="1265"/>
      <c r="ML831" s="1265"/>
      <c r="MM831" s="1265"/>
      <c r="MN831" s="1265"/>
      <c r="MO831" s="1265"/>
      <c r="MP831" s="1265"/>
      <c r="MQ831" s="1265"/>
      <c r="MR831" s="1265"/>
      <c r="MS831" s="1265"/>
      <c r="MT831" s="1265"/>
      <c r="MU831" s="1265"/>
      <c r="MV831" s="1265"/>
      <c r="MW831" s="1265"/>
      <c r="MX831" s="1265"/>
      <c r="MY831" s="1265"/>
      <c r="MZ831" s="1265"/>
      <c r="NA831" s="1265"/>
      <c r="NB831" s="1265"/>
      <c r="NC831" s="1265"/>
      <c r="ND831" s="1265"/>
      <c r="NE831" s="1265"/>
      <c r="NF831" s="1265"/>
      <c r="NG831" s="1265"/>
      <c r="NH831" s="1265"/>
      <c r="NI831" s="1265"/>
      <c r="NJ831" s="1265"/>
      <c r="NK831" s="1265"/>
      <c r="NL831" s="1265"/>
      <c r="NM831" s="1265"/>
      <c r="NN831" s="1265"/>
      <c r="NO831" s="1265"/>
      <c r="NP831" s="1265"/>
      <c r="NQ831" s="1265"/>
      <c r="NR831" s="1265"/>
      <c r="NS831" s="1265"/>
      <c r="NT831" s="1265"/>
      <c r="NU831" s="1265"/>
      <c r="NV831" s="1265"/>
      <c r="NW831" s="1265"/>
      <c r="NX831" s="1265"/>
      <c r="NY831" s="1265"/>
      <c r="NZ831" s="1265"/>
      <c r="OA831" s="1265"/>
      <c r="OB831" s="1265"/>
      <c r="OC831" s="1265"/>
      <c r="OD831" s="1265"/>
      <c r="OE831" s="1265"/>
      <c r="OF831" s="1265"/>
      <c r="OG831" s="1265"/>
      <c r="OH831" s="1265"/>
      <c r="OI831" s="1265"/>
      <c r="OJ831" s="1265"/>
      <c r="OK831" s="1265"/>
      <c r="OL831" s="1265"/>
      <c r="OM831" s="1265"/>
      <c r="ON831" s="1265"/>
      <c r="OO831" s="1265"/>
      <c r="OP831" s="1265"/>
      <c r="OQ831" s="1265"/>
      <c r="OR831" s="1265"/>
      <c r="OS831" s="1265"/>
      <c r="OT831" s="1265"/>
      <c r="OU831" s="1265"/>
      <c r="OV831" s="1265"/>
      <c r="OW831" s="1265"/>
      <c r="OX831" s="1265"/>
      <c r="OY831" s="1265"/>
      <c r="OZ831" s="1265"/>
      <c r="PA831" s="1265"/>
      <c r="PB831" s="1265"/>
      <c r="PC831" s="1265"/>
      <c r="PD831" s="1265"/>
      <c r="PE831" s="1265"/>
      <c r="PF831" s="1265"/>
      <c r="PG831" s="1265"/>
      <c r="PH831" s="1265"/>
      <c r="PI831" s="1265"/>
      <c r="PJ831" s="1265"/>
      <c r="PK831" s="1265"/>
      <c r="PL831" s="1265"/>
      <c r="PM831" s="1265"/>
      <c r="PN831" s="1265"/>
      <c r="PO831" s="1265"/>
      <c r="PP831" s="1265"/>
      <c r="PQ831" s="1265"/>
      <c r="PR831" s="1265"/>
      <c r="PS831" s="1265"/>
      <c r="PT831" s="1265"/>
      <c r="PU831" s="1265"/>
      <c r="PV831" s="1265"/>
      <c r="PW831" s="1265"/>
      <c r="PX831" s="1265"/>
      <c r="PY831" s="1265"/>
      <c r="PZ831" s="1265"/>
      <c r="QA831" s="1265"/>
      <c r="QB831" s="1265"/>
      <c r="QC831" s="1265"/>
      <c r="QD831" s="1265"/>
      <c r="QE831" s="1265"/>
      <c r="QF831" s="1265"/>
      <c r="QG831" s="1265"/>
      <c r="QH831" s="1265"/>
      <c r="QI831" s="1265"/>
      <c r="QJ831" s="1265"/>
      <c r="QK831" s="1265"/>
      <c r="QL831" s="1265"/>
      <c r="QM831" s="1265"/>
      <c r="QN831" s="1265"/>
      <c r="QO831" s="1265"/>
      <c r="QP831" s="1265"/>
      <c r="QQ831" s="1265"/>
      <c r="QR831" s="1265"/>
      <c r="QS831" s="1265"/>
      <c r="QT831" s="1265"/>
      <c r="QU831" s="1265"/>
      <c r="QV831" s="1265"/>
      <c r="QW831" s="1265"/>
      <c r="QX831" s="1265"/>
      <c r="QY831" s="1265"/>
      <c r="QZ831" s="1265"/>
      <c r="RA831" s="1265"/>
      <c r="RB831" s="1265"/>
      <c r="RC831" s="1265"/>
      <c r="RD831" s="1265"/>
      <c r="RE831" s="1265"/>
      <c r="RF831" s="1265"/>
      <c r="RG831" s="1265"/>
      <c r="RH831" s="1265"/>
      <c r="RI831" s="1265"/>
      <c r="RJ831" s="1265"/>
      <c r="RK831" s="1265"/>
      <c r="RL831" s="1265"/>
      <c r="RM831" s="1265"/>
      <c r="RN831" s="1265"/>
      <c r="RO831" s="1265"/>
      <c r="RP831" s="1265"/>
      <c r="RQ831" s="1265"/>
      <c r="RR831" s="1265"/>
      <c r="RS831" s="1265"/>
      <c r="RT831" s="1265"/>
      <c r="RU831" s="1265"/>
      <c r="RV831" s="1265"/>
      <c r="RW831" s="1265"/>
      <c r="RX831" s="1265"/>
      <c r="RY831" s="1265"/>
      <c r="RZ831" s="1265"/>
      <c r="SA831" s="1265"/>
      <c r="SB831" s="1265"/>
      <c r="SC831" s="1265"/>
      <c r="SD831" s="1265"/>
      <c r="SE831" s="1265"/>
      <c r="SF831" s="1265"/>
      <c r="SG831" s="1265"/>
      <c r="SH831" s="1265"/>
      <c r="SI831" s="1265"/>
      <c r="SJ831" s="1265"/>
      <c r="SK831" s="1265"/>
      <c r="SL831" s="1265"/>
      <c r="SM831" s="1265"/>
      <c r="SN831" s="1265"/>
      <c r="SO831" s="1265"/>
      <c r="SP831" s="1265"/>
      <c r="SQ831" s="1265"/>
      <c r="SR831" s="1265"/>
      <c r="SS831" s="1265"/>
      <c r="ST831" s="1265"/>
      <c r="SU831" s="1265"/>
      <c r="SV831" s="1265"/>
      <c r="SW831" s="1265"/>
      <c r="SX831" s="1265"/>
      <c r="SY831" s="1265"/>
      <c r="SZ831" s="1265"/>
      <c r="TA831" s="1265"/>
      <c r="TB831" s="1265"/>
      <c r="TC831" s="1265"/>
      <c r="TD831" s="1265"/>
      <c r="TE831" s="1265"/>
      <c r="TF831" s="1265"/>
      <c r="TG831" s="1265"/>
      <c r="TH831" s="1265"/>
      <c r="TI831" s="1265"/>
      <c r="TJ831" s="1265"/>
      <c r="TK831" s="1265"/>
      <c r="TL831" s="1265"/>
      <c r="TM831" s="1265"/>
      <c r="TN831" s="1265"/>
      <c r="TO831" s="1265"/>
      <c r="TP831" s="1265"/>
      <c r="TQ831" s="1265"/>
      <c r="TR831" s="1265"/>
      <c r="TS831" s="1265"/>
      <c r="TT831" s="1265"/>
      <c r="TU831" s="1265"/>
      <c r="TV831" s="1265"/>
      <c r="TW831" s="1265"/>
      <c r="TX831" s="1265"/>
      <c r="TY831" s="1265"/>
      <c r="TZ831" s="1265"/>
      <c r="UA831" s="1265"/>
      <c r="UB831" s="1265"/>
      <c r="UC831" s="1265"/>
      <c r="UD831" s="1265"/>
      <c r="UE831" s="1265"/>
      <c r="UF831" s="1265"/>
      <c r="UG831" s="1266"/>
    </row>
    <row r="832" spans="1:553" s="1262" customFormat="1" ht="30.75" customHeight="1">
      <c r="A832" s="436"/>
      <c r="B832" s="436"/>
      <c r="C832" s="1411" t="s">
        <v>1189</v>
      </c>
      <c r="D832" s="1411" t="s">
        <v>1190</v>
      </c>
      <c r="E832" s="1411" t="s">
        <v>1190</v>
      </c>
      <c r="F832" s="1411" t="s">
        <v>1190</v>
      </c>
      <c r="G832" s="303" t="s">
        <v>46</v>
      </c>
      <c r="H832" s="652"/>
      <c r="I832" s="502">
        <f>(20.51*100/400)*(12-(4-3))*4</f>
        <v>225.61</v>
      </c>
      <c r="J832" s="1243">
        <v>3100</v>
      </c>
      <c r="K832" s="578">
        <v>0.7</v>
      </c>
      <c r="L832" s="573">
        <f>I832*J832*K832</f>
        <v>489573.69999999995</v>
      </c>
      <c r="M832" s="356"/>
      <c r="N832" s="356"/>
      <c r="O832" s="356"/>
      <c r="P832" s="356"/>
      <c r="Q832" s="610"/>
      <c r="R832" s="1228"/>
      <c r="S832" s="308"/>
      <c r="T832" s="308"/>
      <c r="U832" s="308"/>
      <c r="V832" s="308"/>
      <c r="W832" s="308"/>
      <c r="X832" s="308"/>
      <c r="Y832" s="308"/>
      <c r="Z832" s="604"/>
      <c r="AA832" s="308"/>
      <c r="AB832" s="308"/>
      <c r="AC832" s="454"/>
      <c r="AD832" s="454"/>
      <c r="AE832" s="454"/>
      <c r="AF832" s="454"/>
      <c r="AG832" s="454"/>
      <c r="AH832" s="454"/>
      <c r="AI832" s="454"/>
      <c r="AJ832" s="454"/>
      <c r="AK832" s="455"/>
      <c r="AL832" s="1263"/>
      <c r="AM832" s="1263"/>
      <c r="AN832" s="1263"/>
      <c r="AO832" s="1263"/>
      <c r="AP832" s="1263"/>
      <c r="AQ832" s="1263"/>
      <c r="AR832" s="1263"/>
      <c r="AS832" s="1264"/>
      <c r="AT832" s="1264"/>
      <c r="AU832" s="1264"/>
      <c r="AV832" s="1264"/>
      <c r="AW832" s="1264"/>
      <c r="AX832" s="1264"/>
      <c r="AY832" s="1264"/>
      <c r="AZ832" s="1264"/>
      <c r="BA832" s="1264"/>
      <c r="BB832" s="1264"/>
      <c r="BC832" s="1264"/>
      <c r="BD832" s="1264"/>
      <c r="BE832" s="1264"/>
      <c r="BF832" s="1264"/>
      <c r="BG832" s="1264"/>
      <c r="BH832" s="1264"/>
      <c r="BI832" s="1264"/>
      <c r="BJ832" s="1264"/>
      <c r="BK832" s="1264"/>
      <c r="BL832" s="1264"/>
      <c r="BM832" s="1264"/>
      <c r="BN832" s="1264"/>
      <c r="BO832" s="1264"/>
      <c r="BP832" s="1265"/>
      <c r="BQ832" s="1265"/>
      <c r="BR832" s="1265"/>
      <c r="BS832" s="1265"/>
      <c r="BT832" s="1265"/>
      <c r="BU832" s="1265"/>
      <c r="BV832" s="1265"/>
      <c r="BW832" s="1265"/>
      <c r="BX832" s="1265"/>
      <c r="BY832" s="1265"/>
      <c r="BZ832" s="1265"/>
      <c r="CA832" s="1265"/>
      <c r="CB832" s="1265"/>
      <c r="CC832" s="1265"/>
      <c r="CD832" s="1265"/>
      <c r="CE832" s="1265"/>
      <c r="CF832" s="1265"/>
      <c r="CG832" s="1265"/>
      <c r="CH832" s="1265"/>
      <c r="CI832" s="1265"/>
      <c r="CJ832" s="1265"/>
      <c r="CK832" s="1265"/>
      <c r="CL832" s="1265"/>
      <c r="CM832" s="1265"/>
      <c r="CN832" s="1265"/>
      <c r="CO832" s="1265"/>
      <c r="CP832" s="1265"/>
      <c r="CQ832" s="1265"/>
      <c r="CR832" s="1265"/>
      <c r="CS832" s="1265"/>
      <c r="CT832" s="1265"/>
      <c r="CU832" s="1265"/>
      <c r="CV832" s="1265"/>
      <c r="CW832" s="1265"/>
      <c r="CX832" s="1265"/>
      <c r="CY832" s="1265"/>
      <c r="CZ832" s="1265"/>
      <c r="DA832" s="1265"/>
      <c r="DB832" s="1265"/>
      <c r="DC832" s="1265"/>
      <c r="DD832" s="1265"/>
      <c r="DE832" s="1265"/>
      <c r="DF832" s="1265"/>
      <c r="DG832" s="1265"/>
      <c r="DH832" s="1265"/>
      <c r="DI832" s="1265"/>
      <c r="DJ832" s="1265"/>
      <c r="DK832" s="1265"/>
      <c r="DL832" s="1265"/>
      <c r="DM832" s="1265"/>
      <c r="DN832" s="1265"/>
      <c r="DO832" s="1265"/>
      <c r="DP832" s="1265"/>
      <c r="DQ832" s="1265"/>
      <c r="DR832" s="1265"/>
      <c r="DS832" s="1265"/>
      <c r="DT832" s="1265"/>
      <c r="DU832" s="1265"/>
      <c r="DV832" s="1265"/>
      <c r="DW832" s="1265"/>
      <c r="DX832" s="1265"/>
      <c r="DY832" s="1265"/>
      <c r="DZ832" s="1265"/>
      <c r="EA832" s="1265"/>
      <c r="EB832" s="1265"/>
      <c r="EC832" s="1265"/>
      <c r="ED832" s="1265"/>
      <c r="EE832" s="1265"/>
      <c r="EF832" s="1265"/>
      <c r="EG832" s="1265"/>
      <c r="EH832" s="1265"/>
      <c r="EI832" s="1265"/>
      <c r="EJ832" s="1265"/>
      <c r="EK832" s="1265"/>
      <c r="EL832" s="1265"/>
      <c r="EM832" s="1265"/>
      <c r="EN832" s="1265"/>
      <c r="EO832" s="1265"/>
      <c r="EP832" s="1265"/>
      <c r="EQ832" s="1265"/>
      <c r="ER832" s="1265"/>
      <c r="ES832" s="1265"/>
      <c r="ET832" s="1265"/>
      <c r="EU832" s="1265"/>
      <c r="EV832" s="1265"/>
      <c r="EW832" s="1265"/>
      <c r="EX832" s="1265"/>
      <c r="EY832" s="1265"/>
      <c r="EZ832" s="1265"/>
      <c r="FA832" s="1265"/>
      <c r="FB832" s="1265"/>
      <c r="FC832" s="1265"/>
      <c r="FD832" s="1265"/>
      <c r="FE832" s="1265"/>
      <c r="FF832" s="1265"/>
      <c r="FG832" s="1265"/>
      <c r="FH832" s="1265"/>
      <c r="FI832" s="1265"/>
      <c r="FJ832" s="1265"/>
      <c r="FK832" s="1265"/>
      <c r="FL832" s="1265"/>
      <c r="FM832" s="1265"/>
      <c r="FN832" s="1265"/>
      <c r="FO832" s="1265"/>
      <c r="FP832" s="1265"/>
      <c r="FQ832" s="1265"/>
      <c r="FR832" s="1265"/>
      <c r="FS832" s="1265"/>
      <c r="FT832" s="1265"/>
      <c r="FU832" s="1265"/>
      <c r="FV832" s="1265"/>
      <c r="FW832" s="1265"/>
      <c r="FX832" s="1265"/>
      <c r="FY832" s="1265"/>
      <c r="FZ832" s="1265"/>
      <c r="GA832" s="1265"/>
      <c r="GB832" s="1265"/>
      <c r="GC832" s="1265"/>
      <c r="GD832" s="1265"/>
      <c r="GE832" s="1265"/>
      <c r="GF832" s="1265"/>
      <c r="GG832" s="1265"/>
      <c r="GH832" s="1265"/>
      <c r="GI832" s="1265"/>
      <c r="GJ832" s="1265"/>
      <c r="GK832" s="1265"/>
      <c r="GL832" s="1265"/>
      <c r="GM832" s="1265"/>
      <c r="GN832" s="1265"/>
      <c r="GO832" s="1265"/>
      <c r="GP832" s="1265"/>
      <c r="GQ832" s="1265"/>
      <c r="GR832" s="1265"/>
      <c r="GS832" s="1265"/>
      <c r="GT832" s="1265"/>
      <c r="GU832" s="1265"/>
      <c r="GV832" s="1265"/>
      <c r="GW832" s="1265"/>
      <c r="GX832" s="1265"/>
      <c r="GY832" s="1265"/>
      <c r="GZ832" s="1265"/>
      <c r="HA832" s="1265"/>
      <c r="HB832" s="1265"/>
      <c r="HC832" s="1265"/>
      <c r="HD832" s="1265"/>
      <c r="HE832" s="1265"/>
      <c r="HF832" s="1265"/>
      <c r="HG832" s="1265"/>
      <c r="HH832" s="1265"/>
      <c r="HI832" s="1265"/>
      <c r="HJ832" s="1265"/>
      <c r="HK832" s="1265"/>
      <c r="HL832" s="1265"/>
      <c r="HM832" s="1265"/>
      <c r="HN832" s="1265"/>
      <c r="HO832" s="1265"/>
      <c r="HP832" s="1265"/>
      <c r="HQ832" s="1265"/>
      <c r="HR832" s="1265"/>
      <c r="HS832" s="1265"/>
      <c r="HT832" s="1265"/>
      <c r="HU832" s="1265"/>
      <c r="HV832" s="1265"/>
      <c r="HW832" s="1265"/>
      <c r="HX832" s="1265"/>
      <c r="HY832" s="1265"/>
      <c r="HZ832" s="1265"/>
      <c r="IA832" s="1265"/>
      <c r="IB832" s="1265"/>
      <c r="IC832" s="1265"/>
      <c r="ID832" s="1265"/>
      <c r="IE832" s="1265"/>
      <c r="IF832" s="1265"/>
      <c r="IG832" s="1265"/>
      <c r="IH832" s="1265"/>
      <c r="II832" s="1265"/>
      <c r="IJ832" s="1265"/>
      <c r="IK832" s="1265"/>
      <c r="IL832" s="1265"/>
      <c r="IM832" s="1265"/>
      <c r="IN832" s="1265"/>
      <c r="IO832" s="1265"/>
      <c r="IP832" s="1265"/>
      <c r="IQ832" s="1265"/>
      <c r="IR832" s="1265"/>
      <c r="IS832" s="1265"/>
      <c r="IT832" s="1265"/>
      <c r="IU832" s="1265"/>
      <c r="IV832" s="1265"/>
      <c r="IW832" s="1265"/>
      <c r="IX832" s="1265"/>
      <c r="IY832" s="1265"/>
      <c r="IZ832" s="1265"/>
      <c r="JA832" s="1265"/>
      <c r="JB832" s="1265"/>
      <c r="JC832" s="1265"/>
      <c r="JD832" s="1265"/>
      <c r="JE832" s="1265"/>
      <c r="JF832" s="1265"/>
      <c r="JG832" s="1265"/>
      <c r="JH832" s="1265"/>
      <c r="JI832" s="1265"/>
      <c r="JJ832" s="1265"/>
      <c r="JK832" s="1265"/>
      <c r="JL832" s="1265"/>
      <c r="JM832" s="1265"/>
      <c r="JN832" s="1265"/>
      <c r="JO832" s="1265"/>
      <c r="JP832" s="1265"/>
      <c r="JQ832" s="1265"/>
      <c r="JR832" s="1265"/>
      <c r="JS832" s="1265"/>
      <c r="JT832" s="1265"/>
      <c r="JU832" s="1265"/>
      <c r="JV832" s="1265"/>
      <c r="JW832" s="1265"/>
      <c r="JX832" s="1265"/>
      <c r="JY832" s="1265"/>
      <c r="JZ832" s="1265"/>
      <c r="KA832" s="1265"/>
      <c r="KB832" s="1265"/>
      <c r="KC832" s="1265"/>
      <c r="KD832" s="1265"/>
      <c r="KE832" s="1265"/>
      <c r="KF832" s="1265"/>
      <c r="KG832" s="1265"/>
      <c r="KH832" s="1265"/>
      <c r="KI832" s="1265"/>
      <c r="KJ832" s="1265"/>
      <c r="KK832" s="1265"/>
      <c r="KL832" s="1265"/>
      <c r="KM832" s="1265"/>
      <c r="KN832" s="1265"/>
      <c r="KO832" s="1265"/>
      <c r="KP832" s="1265"/>
      <c r="KQ832" s="1265"/>
      <c r="KR832" s="1265"/>
      <c r="KS832" s="1265"/>
      <c r="KT832" s="1265"/>
      <c r="KU832" s="1265"/>
      <c r="KV832" s="1265"/>
      <c r="KW832" s="1265"/>
      <c r="KX832" s="1265"/>
      <c r="KY832" s="1265"/>
      <c r="KZ832" s="1265"/>
      <c r="LA832" s="1265"/>
      <c r="LB832" s="1265"/>
      <c r="LC832" s="1265"/>
      <c r="LD832" s="1265"/>
      <c r="LE832" s="1265"/>
      <c r="LF832" s="1265"/>
      <c r="LG832" s="1265"/>
      <c r="LH832" s="1265"/>
      <c r="LI832" s="1265"/>
      <c r="LJ832" s="1265"/>
      <c r="LK832" s="1265"/>
      <c r="LL832" s="1265"/>
      <c r="LM832" s="1265"/>
      <c r="LN832" s="1265"/>
      <c r="LO832" s="1265"/>
      <c r="LP832" s="1265"/>
      <c r="LQ832" s="1265"/>
      <c r="LR832" s="1265"/>
      <c r="LS832" s="1265"/>
      <c r="LT832" s="1265"/>
      <c r="LU832" s="1265"/>
      <c r="LV832" s="1265"/>
      <c r="LW832" s="1265"/>
      <c r="LX832" s="1265"/>
      <c r="LY832" s="1265"/>
      <c r="LZ832" s="1265"/>
      <c r="MA832" s="1265"/>
      <c r="MB832" s="1265"/>
      <c r="MC832" s="1265"/>
      <c r="MD832" s="1265"/>
      <c r="ME832" s="1265"/>
      <c r="MF832" s="1265"/>
      <c r="MG832" s="1265"/>
      <c r="MH832" s="1265"/>
      <c r="MI832" s="1265"/>
      <c r="MJ832" s="1265"/>
      <c r="MK832" s="1265"/>
      <c r="ML832" s="1265"/>
      <c r="MM832" s="1265"/>
      <c r="MN832" s="1265"/>
      <c r="MO832" s="1265"/>
      <c r="MP832" s="1265"/>
      <c r="MQ832" s="1265"/>
      <c r="MR832" s="1265"/>
      <c r="MS832" s="1265"/>
      <c r="MT832" s="1265"/>
      <c r="MU832" s="1265"/>
      <c r="MV832" s="1265"/>
      <c r="MW832" s="1265"/>
      <c r="MX832" s="1265"/>
      <c r="MY832" s="1265"/>
      <c r="MZ832" s="1265"/>
      <c r="NA832" s="1265"/>
      <c r="NB832" s="1265"/>
      <c r="NC832" s="1265"/>
      <c r="ND832" s="1265"/>
      <c r="NE832" s="1265"/>
      <c r="NF832" s="1265"/>
      <c r="NG832" s="1265"/>
      <c r="NH832" s="1265"/>
      <c r="NI832" s="1265"/>
      <c r="NJ832" s="1265"/>
      <c r="NK832" s="1265"/>
      <c r="NL832" s="1265"/>
      <c r="NM832" s="1265"/>
      <c r="NN832" s="1265"/>
      <c r="NO832" s="1265"/>
      <c r="NP832" s="1265"/>
      <c r="NQ832" s="1265"/>
      <c r="NR832" s="1265"/>
      <c r="NS832" s="1265"/>
      <c r="NT832" s="1265"/>
      <c r="NU832" s="1265"/>
      <c r="NV832" s="1265"/>
      <c r="NW832" s="1265"/>
      <c r="NX832" s="1265"/>
      <c r="NY832" s="1265"/>
      <c r="NZ832" s="1265"/>
      <c r="OA832" s="1265"/>
      <c r="OB832" s="1265"/>
      <c r="OC832" s="1265"/>
      <c r="OD832" s="1265"/>
      <c r="OE832" s="1265"/>
      <c r="OF832" s="1265"/>
      <c r="OG832" s="1265"/>
      <c r="OH832" s="1265"/>
      <c r="OI832" s="1265"/>
      <c r="OJ832" s="1265"/>
      <c r="OK832" s="1265"/>
      <c r="OL832" s="1265"/>
      <c r="OM832" s="1265"/>
      <c r="ON832" s="1265"/>
      <c r="OO832" s="1265"/>
      <c r="OP832" s="1265"/>
      <c r="OQ832" s="1265"/>
      <c r="OR832" s="1265"/>
      <c r="OS832" s="1265"/>
      <c r="OT832" s="1265"/>
      <c r="OU832" s="1265"/>
      <c r="OV832" s="1265"/>
      <c r="OW832" s="1265"/>
      <c r="OX832" s="1265"/>
      <c r="OY832" s="1265"/>
      <c r="OZ832" s="1265"/>
      <c r="PA832" s="1265"/>
      <c r="PB832" s="1265"/>
      <c r="PC832" s="1265"/>
      <c r="PD832" s="1265"/>
      <c r="PE832" s="1265"/>
      <c r="PF832" s="1265"/>
      <c r="PG832" s="1265"/>
      <c r="PH832" s="1265"/>
      <c r="PI832" s="1265"/>
      <c r="PJ832" s="1265"/>
      <c r="PK832" s="1265"/>
      <c r="PL832" s="1265"/>
      <c r="PM832" s="1265"/>
      <c r="PN832" s="1265"/>
      <c r="PO832" s="1265"/>
      <c r="PP832" s="1265"/>
      <c r="PQ832" s="1265"/>
      <c r="PR832" s="1265"/>
      <c r="PS832" s="1265"/>
      <c r="PT832" s="1265"/>
      <c r="PU832" s="1265"/>
      <c r="PV832" s="1265"/>
      <c r="PW832" s="1265"/>
      <c r="PX832" s="1265"/>
      <c r="PY832" s="1265"/>
      <c r="PZ832" s="1265"/>
      <c r="QA832" s="1265"/>
      <c r="QB832" s="1265"/>
      <c r="QC832" s="1265"/>
      <c r="QD832" s="1265"/>
      <c r="QE832" s="1265"/>
      <c r="QF832" s="1265"/>
      <c r="QG832" s="1265"/>
      <c r="QH832" s="1265"/>
      <c r="QI832" s="1265"/>
      <c r="QJ832" s="1265"/>
      <c r="QK832" s="1265"/>
      <c r="QL832" s="1265"/>
      <c r="QM832" s="1265"/>
      <c r="QN832" s="1265"/>
      <c r="QO832" s="1265"/>
      <c r="QP832" s="1265"/>
      <c r="QQ832" s="1265"/>
      <c r="QR832" s="1265"/>
      <c r="QS832" s="1265"/>
      <c r="QT832" s="1265"/>
      <c r="QU832" s="1265"/>
      <c r="QV832" s="1265"/>
      <c r="QW832" s="1265"/>
      <c r="QX832" s="1265"/>
      <c r="QY832" s="1265"/>
      <c r="QZ832" s="1265"/>
      <c r="RA832" s="1265"/>
      <c r="RB832" s="1265"/>
      <c r="RC832" s="1265"/>
      <c r="RD832" s="1265"/>
      <c r="RE832" s="1265"/>
      <c r="RF832" s="1265"/>
      <c r="RG832" s="1265"/>
      <c r="RH832" s="1265"/>
      <c r="RI832" s="1265"/>
      <c r="RJ832" s="1265"/>
      <c r="RK832" s="1265"/>
      <c r="RL832" s="1265"/>
      <c r="RM832" s="1265"/>
      <c r="RN832" s="1265"/>
      <c r="RO832" s="1265"/>
      <c r="RP832" s="1265"/>
      <c r="RQ832" s="1265"/>
      <c r="RR832" s="1265"/>
      <c r="RS832" s="1265"/>
      <c r="RT832" s="1265"/>
      <c r="RU832" s="1265"/>
      <c r="RV832" s="1265"/>
      <c r="RW832" s="1265"/>
      <c r="RX832" s="1265"/>
      <c r="RY832" s="1265"/>
      <c r="RZ832" s="1265"/>
      <c r="SA832" s="1265"/>
      <c r="SB832" s="1265"/>
      <c r="SC832" s="1265"/>
      <c r="SD832" s="1265"/>
      <c r="SE832" s="1265"/>
      <c r="SF832" s="1265"/>
      <c r="SG832" s="1265"/>
      <c r="SH832" s="1265"/>
      <c r="SI832" s="1265"/>
      <c r="SJ832" s="1265"/>
      <c r="SK832" s="1265"/>
      <c r="SL832" s="1265"/>
      <c r="SM832" s="1265"/>
      <c r="SN832" s="1265"/>
      <c r="SO832" s="1265"/>
      <c r="SP832" s="1265"/>
      <c r="SQ832" s="1265"/>
      <c r="SR832" s="1265"/>
      <c r="SS832" s="1265"/>
      <c r="ST832" s="1265"/>
      <c r="SU832" s="1265"/>
      <c r="SV832" s="1265"/>
      <c r="SW832" s="1265"/>
      <c r="SX832" s="1265"/>
      <c r="SY832" s="1265"/>
      <c r="SZ832" s="1265"/>
      <c r="TA832" s="1265"/>
      <c r="TB832" s="1265"/>
      <c r="TC832" s="1265"/>
      <c r="TD832" s="1265"/>
      <c r="TE832" s="1265"/>
      <c r="TF832" s="1265"/>
      <c r="TG832" s="1265"/>
      <c r="TH832" s="1265"/>
      <c r="TI832" s="1265"/>
      <c r="TJ832" s="1265"/>
      <c r="TK832" s="1265"/>
      <c r="TL832" s="1265"/>
      <c r="TM832" s="1265"/>
      <c r="TN832" s="1265"/>
      <c r="TO832" s="1265"/>
      <c r="TP832" s="1265"/>
      <c r="TQ832" s="1265"/>
      <c r="TR832" s="1265"/>
      <c r="TS832" s="1265"/>
      <c r="TT832" s="1265"/>
      <c r="TU832" s="1265"/>
      <c r="TV832" s="1265"/>
      <c r="TW832" s="1265"/>
      <c r="TX832" s="1265"/>
      <c r="TY832" s="1265"/>
      <c r="TZ832" s="1265"/>
      <c r="UA832" s="1265"/>
      <c r="UB832" s="1265"/>
      <c r="UC832" s="1265"/>
      <c r="UD832" s="1265"/>
      <c r="UE832" s="1265"/>
      <c r="UF832" s="1265"/>
      <c r="UG832" s="1266"/>
    </row>
    <row r="833" spans="1:553" s="1262" customFormat="1" ht="30.75" customHeight="1">
      <c r="A833" s="661"/>
      <c r="B833" s="661"/>
      <c r="C833" s="1412" t="s">
        <v>1191</v>
      </c>
      <c r="D833" s="1412" t="s">
        <v>1192</v>
      </c>
      <c r="E833" s="1412" t="s">
        <v>1192</v>
      </c>
      <c r="F833" s="1412" t="s">
        <v>1192</v>
      </c>
      <c r="G833" s="591" t="s">
        <v>196</v>
      </c>
      <c r="H833" s="662"/>
      <c r="I833" s="529">
        <f>(20.51*100/400)*(12-(6-3))*3</f>
        <v>138.4425</v>
      </c>
      <c r="J833" s="1248">
        <v>3100</v>
      </c>
      <c r="K833" s="563">
        <v>0.7</v>
      </c>
      <c r="L833" s="562">
        <f t="shared" ref="L833" si="125">ROUND(PRODUCT(I833:K833),0)</f>
        <v>300420</v>
      </c>
      <c r="M833" s="356"/>
      <c r="N833" s="356"/>
      <c r="O833" s="356"/>
      <c r="P833" s="356"/>
      <c r="Q833" s="610"/>
      <c r="R833" s="1228"/>
      <c r="S833" s="308"/>
      <c r="T833" s="308"/>
      <c r="U833" s="308"/>
      <c r="V833" s="308"/>
      <c r="W833" s="308"/>
      <c r="X833" s="308"/>
      <c r="Y833" s="308"/>
      <c r="Z833" s="604"/>
      <c r="AA833" s="308"/>
      <c r="AB833" s="308"/>
      <c r="AC833" s="454"/>
      <c r="AD833" s="454"/>
      <c r="AE833" s="454"/>
      <c r="AF833" s="454"/>
      <c r="AG833" s="454"/>
      <c r="AH833" s="454"/>
      <c r="AI833" s="454"/>
      <c r="AJ833" s="454"/>
      <c r="AK833" s="455"/>
      <c r="AL833" s="1263"/>
      <c r="AM833" s="1263"/>
      <c r="AN833" s="1263"/>
      <c r="AO833" s="1263"/>
      <c r="AP833" s="1263"/>
      <c r="AQ833" s="1263"/>
      <c r="AR833" s="1263"/>
      <c r="AS833" s="1264"/>
      <c r="AT833" s="1264"/>
      <c r="AU833" s="1264"/>
      <c r="AV833" s="1264"/>
      <c r="AW833" s="1264"/>
      <c r="AX833" s="1264"/>
      <c r="AY833" s="1264"/>
      <c r="AZ833" s="1264"/>
      <c r="BA833" s="1264"/>
      <c r="BB833" s="1264"/>
      <c r="BC833" s="1264"/>
      <c r="BD833" s="1264"/>
      <c r="BE833" s="1264"/>
      <c r="BF833" s="1264"/>
      <c r="BG833" s="1264"/>
      <c r="BH833" s="1264"/>
      <c r="BI833" s="1264"/>
      <c r="BJ833" s="1264"/>
      <c r="BK833" s="1264"/>
      <c r="BL833" s="1264"/>
      <c r="BM833" s="1264"/>
      <c r="BN833" s="1264"/>
      <c r="BO833" s="1264"/>
      <c r="BP833" s="1265"/>
      <c r="BQ833" s="1265"/>
      <c r="BR833" s="1265"/>
      <c r="BS833" s="1265"/>
      <c r="BT833" s="1265"/>
      <c r="BU833" s="1265"/>
      <c r="BV833" s="1265"/>
      <c r="BW833" s="1265"/>
      <c r="BX833" s="1265"/>
      <c r="BY833" s="1265"/>
      <c r="BZ833" s="1265"/>
      <c r="CA833" s="1265"/>
      <c r="CB833" s="1265"/>
      <c r="CC833" s="1265"/>
      <c r="CD833" s="1265"/>
      <c r="CE833" s="1265"/>
      <c r="CF833" s="1265"/>
      <c r="CG833" s="1265"/>
      <c r="CH833" s="1265"/>
      <c r="CI833" s="1265"/>
      <c r="CJ833" s="1265"/>
      <c r="CK833" s="1265"/>
      <c r="CL833" s="1265"/>
      <c r="CM833" s="1265"/>
      <c r="CN833" s="1265"/>
      <c r="CO833" s="1265"/>
      <c r="CP833" s="1265"/>
      <c r="CQ833" s="1265"/>
      <c r="CR833" s="1265"/>
      <c r="CS833" s="1265"/>
      <c r="CT833" s="1265"/>
      <c r="CU833" s="1265"/>
      <c r="CV833" s="1265"/>
      <c r="CW833" s="1265"/>
      <c r="CX833" s="1265"/>
      <c r="CY833" s="1265"/>
      <c r="CZ833" s="1265"/>
      <c r="DA833" s="1265"/>
      <c r="DB833" s="1265"/>
      <c r="DC833" s="1265"/>
      <c r="DD833" s="1265"/>
      <c r="DE833" s="1265"/>
      <c r="DF833" s="1265"/>
      <c r="DG833" s="1265"/>
      <c r="DH833" s="1265"/>
      <c r="DI833" s="1265"/>
      <c r="DJ833" s="1265"/>
      <c r="DK833" s="1265"/>
      <c r="DL833" s="1265"/>
      <c r="DM833" s="1265"/>
      <c r="DN833" s="1265"/>
      <c r="DO833" s="1265"/>
      <c r="DP833" s="1265"/>
      <c r="DQ833" s="1265"/>
      <c r="DR833" s="1265"/>
      <c r="DS833" s="1265"/>
      <c r="DT833" s="1265"/>
      <c r="DU833" s="1265"/>
      <c r="DV833" s="1265"/>
      <c r="DW833" s="1265"/>
      <c r="DX833" s="1265"/>
      <c r="DY833" s="1265"/>
      <c r="DZ833" s="1265"/>
      <c r="EA833" s="1265"/>
      <c r="EB833" s="1265"/>
      <c r="EC833" s="1265"/>
      <c r="ED833" s="1265"/>
      <c r="EE833" s="1265"/>
      <c r="EF833" s="1265"/>
      <c r="EG833" s="1265"/>
      <c r="EH833" s="1265"/>
      <c r="EI833" s="1265"/>
      <c r="EJ833" s="1265"/>
      <c r="EK833" s="1265"/>
      <c r="EL833" s="1265"/>
      <c r="EM833" s="1265"/>
      <c r="EN833" s="1265"/>
      <c r="EO833" s="1265"/>
      <c r="EP833" s="1265"/>
      <c r="EQ833" s="1265"/>
      <c r="ER833" s="1265"/>
      <c r="ES833" s="1265"/>
      <c r="ET833" s="1265"/>
      <c r="EU833" s="1265"/>
      <c r="EV833" s="1265"/>
      <c r="EW833" s="1265"/>
      <c r="EX833" s="1265"/>
      <c r="EY833" s="1265"/>
      <c r="EZ833" s="1265"/>
      <c r="FA833" s="1265"/>
      <c r="FB833" s="1265"/>
      <c r="FC833" s="1265"/>
      <c r="FD833" s="1265"/>
      <c r="FE833" s="1265"/>
      <c r="FF833" s="1265"/>
      <c r="FG833" s="1265"/>
      <c r="FH833" s="1265"/>
      <c r="FI833" s="1265"/>
      <c r="FJ833" s="1265"/>
      <c r="FK833" s="1265"/>
      <c r="FL833" s="1265"/>
      <c r="FM833" s="1265"/>
      <c r="FN833" s="1265"/>
      <c r="FO833" s="1265"/>
      <c r="FP833" s="1265"/>
      <c r="FQ833" s="1265"/>
      <c r="FR833" s="1265"/>
      <c r="FS833" s="1265"/>
      <c r="FT833" s="1265"/>
      <c r="FU833" s="1265"/>
      <c r="FV833" s="1265"/>
      <c r="FW833" s="1265"/>
      <c r="FX833" s="1265"/>
      <c r="FY833" s="1265"/>
      <c r="FZ833" s="1265"/>
      <c r="GA833" s="1265"/>
      <c r="GB833" s="1265"/>
      <c r="GC833" s="1265"/>
      <c r="GD833" s="1265"/>
      <c r="GE833" s="1265"/>
      <c r="GF833" s="1265"/>
      <c r="GG833" s="1265"/>
      <c r="GH833" s="1265"/>
      <c r="GI833" s="1265"/>
      <c r="GJ833" s="1265"/>
      <c r="GK833" s="1265"/>
      <c r="GL833" s="1265"/>
      <c r="GM833" s="1265"/>
      <c r="GN833" s="1265"/>
      <c r="GO833" s="1265"/>
      <c r="GP833" s="1265"/>
      <c r="GQ833" s="1265"/>
      <c r="GR833" s="1265"/>
      <c r="GS833" s="1265"/>
      <c r="GT833" s="1265"/>
      <c r="GU833" s="1265"/>
      <c r="GV833" s="1265"/>
      <c r="GW833" s="1265"/>
      <c r="GX833" s="1265"/>
      <c r="GY833" s="1265"/>
      <c r="GZ833" s="1265"/>
      <c r="HA833" s="1265"/>
      <c r="HB833" s="1265"/>
      <c r="HC833" s="1265"/>
      <c r="HD833" s="1265"/>
      <c r="HE833" s="1265"/>
      <c r="HF833" s="1265"/>
      <c r="HG833" s="1265"/>
      <c r="HH833" s="1265"/>
      <c r="HI833" s="1265"/>
      <c r="HJ833" s="1265"/>
      <c r="HK833" s="1265"/>
      <c r="HL833" s="1265"/>
      <c r="HM833" s="1265"/>
      <c r="HN833" s="1265"/>
      <c r="HO833" s="1265"/>
      <c r="HP833" s="1265"/>
      <c r="HQ833" s="1265"/>
      <c r="HR833" s="1265"/>
      <c r="HS833" s="1265"/>
      <c r="HT833" s="1265"/>
      <c r="HU833" s="1265"/>
      <c r="HV833" s="1265"/>
      <c r="HW833" s="1265"/>
      <c r="HX833" s="1265"/>
      <c r="HY833" s="1265"/>
      <c r="HZ833" s="1265"/>
      <c r="IA833" s="1265"/>
      <c r="IB833" s="1265"/>
      <c r="IC833" s="1265"/>
      <c r="ID833" s="1265"/>
      <c r="IE833" s="1265"/>
      <c r="IF833" s="1265"/>
      <c r="IG833" s="1265"/>
      <c r="IH833" s="1265"/>
      <c r="II833" s="1265"/>
      <c r="IJ833" s="1265"/>
      <c r="IK833" s="1265"/>
      <c r="IL833" s="1265"/>
      <c r="IM833" s="1265"/>
      <c r="IN833" s="1265"/>
      <c r="IO833" s="1265"/>
      <c r="IP833" s="1265"/>
      <c r="IQ833" s="1265"/>
      <c r="IR833" s="1265"/>
      <c r="IS833" s="1265"/>
      <c r="IT833" s="1265"/>
      <c r="IU833" s="1265"/>
      <c r="IV833" s="1265"/>
      <c r="IW833" s="1265"/>
      <c r="IX833" s="1265"/>
      <c r="IY833" s="1265"/>
      <c r="IZ833" s="1265"/>
      <c r="JA833" s="1265"/>
      <c r="JB833" s="1265"/>
      <c r="JC833" s="1265"/>
      <c r="JD833" s="1265"/>
      <c r="JE833" s="1265"/>
      <c r="JF833" s="1265"/>
      <c r="JG833" s="1265"/>
      <c r="JH833" s="1265"/>
      <c r="JI833" s="1265"/>
      <c r="JJ833" s="1265"/>
      <c r="JK833" s="1265"/>
      <c r="JL833" s="1265"/>
      <c r="JM833" s="1265"/>
      <c r="JN833" s="1265"/>
      <c r="JO833" s="1265"/>
      <c r="JP833" s="1265"/>
      <c r="JQ833" s="1265"/>
      <c r="JR833" s="1265"/>
      <c r="JS833" s="1265"/>
      <c r="JT833" s="1265"/>
      <c r="JU833" s="1265"/>
      <c r="JV833" s="1265"/>
      <c r="JW833" s="1265"/>
      <c r="JX833" s="1265"/>
      <c r="JY833" s="1265"/>
      <c r="JZ833" s="1265"/>
      <c r="KA833" s="1265"/>
      <c r="KB833" s="1265"/>
      <c r="KC833" s="1265"/>
      <c r="KD833" s="1265"/>
      <c r="KE833" s="1265"/>
      <c r="KF833" s="1265"/>
      <c r="KG833" s="1265"/>
      <c r="KH833" s="1265"/>
      <c r="KI833" s="1265"/>
      <c r="KJ833" s="1265"/>
      <c r="KK833" s="1265"/>
      <c r="KL833" s="1265"/>
      <c r="KM833" s="1265"/>
      <c r="KN833" s="1265"/>
      <c r="KO833" s="1265"/>
      <c r="KP833" s="1265"/>
      <c r="KQ833" s="1265"/>
      <c r="KR833" s="1265"/>
      <c r="KS833" s="1265"/>
      <c r="KT833" s="1265"/>
      <c r="KU833" s="1265"/>
      <c r="KV833" s="1265"/>
      <c r="KW833" s="1265"/>
      <c r="KX833" s="1265"/>
      <c r="KY833" s="1265"/>
      <c r="KZ833" s="1265"/>
      <c r="LA833" s="1265"/>
      <c r="LB833" s="1265"/>
      <c r="LC833" s="1265"/>
      <c r="LD833" s="1265"/>
      <c r="LE833" s="1265"/>
      <c r="LF833" s="1265"/>
      <c r="LG833" s="1265"/>
      <c r="LH833" s="1265"/>
      <c r="LI833" s="1265"/>
      <c r="LJ833" s="1265"/>
      <c r="LK833" s="1265"/>
      <c r="LL833" s="1265"/>
      <c r="LM833" s="1265"/>
      <c r="LN833" s="1265"/>
      <c r="LO833" s="1265"/>
      <c r="LP833" s="1265"/>
      <c r="LQ833" s="1265"/>
      <c r="LR833" s="1265"/>
      <c r="LS833" s="1265"/>
      <c r="LT833" s="1265"/>
      <c r="LU833" s="1265"/>
      <c r="LV833" s="1265"/>
      <c r="LW833" s="1265"/>
      <c r="LX833" s="1265"/>
      <c r="LY833" s="1265"/>
      <c r="LZ833" s="1265"/>
      <c r="MA833" s="1265"/>
      <c r="MB833" s="1265"/>
      <c r="MC833" s="1265"/>
      <c r="MD833" s="1265"/>
      <c r="ME833" s="1265"/>
      <c r="MF833" s="1265"/>
      <c r="MG833" s="1265"/>
      <c r="MH833" s="1265"/>
      <c r="MI833" s="1265"/>
      <c r="MJ833" s="1265"/>
      <c r="MK833" s="1265"/>
      <c r="ML833" s="1265"/>
      <c r="MM833" s="1265"/>
      <c r="MN833" s="1265"/>
      <c r="MO833" s="1265"/>
      <c r="MP833" s="1265"/>
      <c r="MQ833" s="1265"/>
      <c r="MR833" s="1265"/>
      <c r="MS833" s="1265"/>
      <c r="MT833" s="1265"/>
      <c r="MU833" s="1265"/>
      <c r="MV833" s="1265"/>
      <c r="MW833" s="1265"/>
      <c r="MX833" s="1265"/>
      <c r="MY833" s="1265"/>
      <c r="MZ833" s="1265"/>
      <c r="NA833" s="1265"/>
      <c r="NB833" s="1265"/>
      <c r="NC833" s="1265"/>
      <c r="ND833" s="1265"/>
      <c r="NE833" s="1265"/>
      <c r="NF833" s="1265"/>
      <c r="NG833" s="1265"/>
      <c r="NH833" s="1265"/>
      <c r="NI833" s="1265"/>
      <c r="NJ833" s="1265"/>
      <c r="NK833" s="1265"/>
      <c r="NL833" s="1265"/>
      <c r="NM833" s="1265"/>
      <c r="NN833" s="1265"/>
      <c r="NO833" s="1265"/>
      <c r="NP833" s="1265"/>
      <c r="NQ833" s="1265"/>
      <c r="NR833" s="1265"/>
      <c r="NS833" s="1265"/>
      <c r="NT833" s="1265"/>
      <c r="NU833" s="1265"/>
      <c r="NV833" s="1265"/>
      <c r="NW833" s="1265"/>
      <c r="NX833" s="1265"/>
      <c r="NY833" s="1265"/>
      <c r="NZ833" s="1265"/>
      <c r="OA833" s="1265"/>
      <c r="OB833" s="1265"/>
      <c r="OC833" s="1265"/>
      <c r="OD833" s="1265"/>
      <c r="OE833" s="1265"/>
      <c r="OF833" s="1265"/>
      <c r="OG833" s="1265"/>
      <c r="OH833" s="1265"/>
      <c r="OI833" s="1265"/>
      <c r="OJ833" s="1265"/>
      <c r="OK833" s="1265"/>
      <c r="OL833" s="1265"/>
      <c r="OM833" s="1265"/>
      <c r="ON833" s="1265"/>
      <c r="OO833" s="1265"/>
      <c r="OP833" s="1265"/>
      <c r="OQ833" s="1265"/>
      <c r="OR833" s="1265"/>
      <c r="OS833" s="1265"/>
      <c r="OT833" s="1265"/>
      <c r="OU833" s="1265"/>
      <c r="OV833" s="1265"/>
      <c r="OW833" s="1265"/>
      <c r="OX833" s="1265"/>
      <c r="OY833" s="1265"/>
      <c r="OZ833" s="1265"/>
      <c r="PA833" s="1265"/>
      <c r="PB833" s="1265"/>
      <c r="PC833" s="1265"/>
      <c r="PD833" s="1265"/>
      <c r="PE833" s="1265"/>
      <c r="PF833" s="1265"/>
      <c r="PG833" s="1265"/>
      <c r="PH833" s="1265"/>
      <c r="PI833" s="1265"/>
      <c r="PJ833" s="1265"/>
      <c r="PK833" s="1265"/>
      <c r="PL833" s="1265"/>
      <c r="PM833" s="1265"/>
      <c r="PN833" s="1265"/>
      <c r="PO833" s="1265"/>
      <c r="PP833" s="1265"/>
      <c r="PQ833" s="1265"/>
      <c r="PR833" s="1265"/>
      <c r="PS833" s="1265"/>
      <c r="PT833" s="1265"/>
      <c r="PU833" s="1265"/>
      <c r="PV833" s="1265"/>
      <c r="PW833" s="1265"/>
      <c r="PX833" s="1265"/>
      <c r="PY833" s="1265"/>
      <c r="PZ833" s="1265"/>
      <c r="QA833" s="1265"/>
      <c r="QB833" s="1265"/>
      <c r="QC833" s="1265"/>
      <c r="QD833" s="1265"/>
      <c r="QE833" s="1265"/>
      <c r="QF833" s="1265"/>
      <c r="QG833" s="1265"/>
      <c r="QH833" s="1265"/>
      <c r="QI833" s="1265"/>
      <c r="QJ833" s="1265"/>
      <c r="QK833" s="1265"/>
      <c r="QL833" s="1265"/>
      <c r="QM833" s="1265"/>
      <c r="QN833" s="1265"/>
      <c r="QO833" s="1265"/>
      <c r="QP833" s="1265"/>
      <c r="QQ833" s="1265"/>
      <c r="QR833" s="1265"/>
      <c r="QS833" s="1265"/>
      <c r="QT833" s="1265"/>
      <c r="QU833" s="1265"/>
      <c r="QV833" s="1265"/>
      <c r="QW833" s="1265"/>
      <c r="QX833" s="1265"/>
      <c r="QY833" s="1265"/>
      <c r="QZ833" s="1265"/>
      <c r="RA833" s="1265"/>
      <c r="RB833" s="1265"/>
      <c r="RC833" s="1265"/>
      <c r="RD833" s="1265"/>
      <c r="RE833" s="1265"/>
      <c r="RF833" s="1265"/>
      <c r="RG833" s="1265"/>
      <c r="RH833" s="1265"/>
      <c r="RI833" s="1265"/>
      <c r="RJ833" s="1265"/>
      <c r="RK833" s="1265"/>
      <c r="RL833" s="1265"/>
      <c r="RM833" s="1265"/>
      <c r="RN833" s="1265"/>
      <c r="RO833" s="1265"/>
      <c r="RP833" s="1265"/>
      <c r="RQ833" s="1265"/>
      <c r="RR833" s="1265"/>
      <c r="RS833" s="1265"/>
      <c r="RT833" s="1265"/>
      <c r="RU833" s="1265"/>
      <c r="RV833" s="1265"/>
      <c r="RW833" s="1265"/>
      <c r="RX833" s="1265"/>
      <c r="RY833" s="1265"/>
      <c r="RZ833" s="1265"/>
      <c r="SA833" s="1265"/>
      <c r="SB833" s="1265"/>
      <c r="SC833" s="1265"/>
      <c r="SD833" s="1265"/>
      <c r="SE833" s="1265"/>
      <c r="SF833" s="1265"/>
      <c r="SG833" s="1265"/>
      <c r="SH833" s="1265"/>
      <c r="SI833" s="1265"/>
      <c r="SJ833" s="1265"/>
      <c r="SK833" s="1265"/>
      <c r="SL833" s="1265"/>
      <c r="SM833" s="1265"/>
      <c r="SN833" s="1265"/>
      <c r="SO833" s="1265"/>
      <c r="SP833" s="1265"/>
      <c r="SQ833" s="1265"/>
      <c r="SR833" s="1265"/>
      <c r="SS833" s="1265"/>
      <c r="ST833" s="1265"/>
      <c r="SU833" s="1265"/>
      <c r="SV833" s="1265"/>
      <c r="SW833" s="1265"/>
      <c r="SX833" s="1265"/>
      <c r="SY833" s="1265"/>
      <c r="SZ833" s="1265"/>
      <c r="TA833" s="1265"/>
      <c r="TB833" s="1265"/>
      <c r="TC833" s="1265"/>
      <c r="TD833" s="1265"/>
      <c r="TE833" s="1265"/>
      <c r="TF833" s="1265"/>
      <c r="TG833" s="1265"/>
      <c r="TH833" s="1265"/>
      <c r="TI833" s="1265"/>
      <c r="TJ833" s="1265"/>
      <c r="TK833" s="1265"/>
      <c r="TL833" s="1265"/>
      <c r="TM833" s="1265"/>
      <c r="TN833" s="1265"/>
      <c r="TO833" s="1265"/>
      <c r="TP833" s="1265"/>
      <c r="TQ833" s="1265"/>
      <c r="TR833" s="1265"/>
      <c r="TS833" s="1265"/>
      <c r="TT833" s="1265"/>
      <c r="TU833" s="1265"/>
      <c r="TV833" s="1265"/>
      <c r="TW833" s="1265"/>
      <c r="TX833" s="1265"/>
      <c r="TY833" s="1265"/>
      <c r="TZ833" s="1265"/>
      <c r="UA833" s="1265"/>
      <c r="UB833" s="1265"/>
      <c r="UC833" s="1265"/>
      <c r="UD833" s="1265"/>
      <c r="UE833" s="1265"/>
      <c r="UF833" s="1265"/>
      <c r="UG833" s="1266"/>
    </row>
    <row r="834" spans="1:553" s="1262" customFormat="1" ht="30.75" customHeight="1">
      <c r="A834" s="661"/>
      <c r="B834" s="661"/>
      <c r="C834" s="1412" t="s">
        <v>269</v>
      </c>
      <c r="D834" s="1412" t="s">
        <v>269</v>
      </c>
      <c r="E834" s="1412" t="s">
        <v>269</v>
      </c>
      <c r="F834" s="1412" t="s">
        <v>269</v>
      </c>
      <c r="G834" s="530" t="s">
        <v>196</v>
      </c>
      <c r="H834" s="662"/>
      <c r="I834" s="529">
        <f>(132.2*100/1200)*1</f>
        <v>11.016666666666666</v>
      </c>
      <c r="J834" s="1248">
        <v>6600</v>
      </c>
      <c r="K834" s="671"/>
      <c r="L834" s="562">
        <f>J834*I834</f>
        <v>72710</v>
      </c>
      <c r="M834" s="356"/>
      <c r="N834" s="356"/>
      <c r="O834" s="356"/>
      <c r="P834" s="356"/>
      <c r="Q834" s="610"/>
      <c r="R834" s="1228"/>
      <c r="S834" s="308"/>
      <c r="T834" s="308"/>
      <c r="U834" s="308"/>
      <c r="V834" s="308"/>
      <c r="W834" s="308"/>
      <c r="X834" s="308"/>
      <c r="Y834" s="308"/>
      <c r="Z834" s="604"/>
      <c r="AA834" s="308"/>
      <c r="AB834" s="308"/>
      <c r="AC834" s="454"/>
      <c r="AD834" s="454"/>
      <c r="AE834" s="454"/>
      <c r="AF834" s="454"/>
      <c r="AG834" s="454"/>
      <c r="AH834" s="454"/>
      <c r="AI834" s="454"/>
      <c r="AJ834" s="454"/>
      <c r="AK834" s="455"/>
      <c r="AL834" s="1263"/>
      <c r="AM834" s="1263"/>
      <c r="AN834" s="1263"/>
      <c r="AO834" s="1263"/>
      <c r="AP834" s="1263"/>
      <c r="AQ834" s="1263"/>
      <c r="AR834" s="1263"/>
      <c r="AS834" s="1264"/>
      <c r="AT834" s="1264"/>
      <c r="AU834" s="1264"/>
      <c r="AV834" s="1264"/>
      <c r="AW834" s="1264"/>
      <c r="AX834" s="1264"/>
      <c r="AY834" s="1264"/>
      <c r="AZ834" s="1264"/>
      <c r="BA834" s="1264"/>
      <c r="BB834" s="1264"/>
      <c r="BC834" s="1264"/>
      <c r="BD834" s="1264"/>
      <c r="BE834" s="1264"/>
      <c r="BF834" s="1264"/>
      <c r="BG834" s="1264"/>
      <c r="BH834" s="1264"/>
      <c r="BI834" s="1264"/>
      <c r="BJ834" s="1264"/>
      <c r="BK834" s="1264"/>
      <c r="BL834" s="1264"/>
      <c r="BM834" s="1264"/>
      <c r="BN834" s="1264"/>
      <c r="BO834" s="1264"/>
      <c r="BP834" s="1265"/>
      <c r="BQ834" s="1265"/>
      <c r="BR834" s="1265"/>
      <c r="BS834" s="1265"/>
      <c r="BT834" s="1265"/>
      <c r="BU834" s="1265"/>
      <c r="BV834" s="1265"/>
      <c r="BW834" s="1265"/>
      <c r="BX834" s="1265"/>
      <c r="BY834" s="1265"/>
      <c r="BZ834" s="1265"/>
      <c r="CA834" s="1265"/>
      <c r="CB834" s="1265"/>
      <c r="CC834" s="1265"/>
      <c r="CD834" s="1265"/>
      <c r="CE834" s="1265"/>
      <c r="CF834" s="1265"/>
      <c r="CG834" s="1265"/>
      <c r="CH834" s="1265"/>
      <c r="CI834" s="1265"/>
      <c r="CJ834" s="1265"/>
      <c r="CK834" s="1265"/>
      <c r="CL834" s="1265"/>
      <c r="CM834" s="1265"/>
      <c r="CN834" s="1265"/>
      <c r="CO834" s="1265"/>
      <c r="CP834" s="1265"/>
      <c r="CQ834" s="1265"/>
      <c r="CR834" s="1265"/>
      <c r="CS834" s="1265"/>
      <c r="CT834" s="1265"/>
      <c r="CU834" s="1265"/>
      <c r="CV834" s="1265"/>
      <c r="CW834" s="1265"/>
      <c r="CX834" s="1265"/>
      <c r="CY834" s="1265"/>
      <c r="CZ834" s="1265"/>
      <c r="DA834" s="1265"/>
      <c r="DB834" s="1265"/>
      <c r="DC834" s="1265"/>
      <c r="DD834" s="1265"/>
      <c r="DE834" s="1265"/>
      <c r="DF834" s="1265"/>
      <c r="DG834" s="1265"/>
      <c r="DH834" s="1265"/>
      <c r="DI834" s="1265"/>
      <c r="DJ834" s="1265"/>
      <c r="DK834" s="1265"/>
      <c r="DL834" s="1265"/>
      <c r="DM834" s="1265"/>
      <c r="DN834" s="1265"/>
      <c r="DO834" s="1265"/>
      <c r="DP834" s="1265"/>
      <c r="DQ834" s="1265"/>
      <c r="DR834" s="1265"/>
      <c r="DS834" s="1265"/>
      <c r="DT834" s="1265"/>
      <c r="DU834" s="1265"/>
      <c r="DV834" s="1265"/>
      <c r="DW834" s="1265"/>
      <c r="DX834" s="1265"/>
      <c r="DY834" s="1265"/>
      <c r="DZ834" s="1265"/>
      <c r="EA834" s="1265"/>
      <c r="EB834" s="1265"/>
      <c r="EC834" s="1265"/>
      <c r="ED834" s="1265"/>
      <c r="EE834" s="1265"/>
      <c r="EF834" s="1265"/>
      <c r="EG834" s="1265"/>
      <c r="EH834" s="1265"/>
      <c r="EI834" s="1265"/>
      <c r="EJ834" s="1265"/>
      <c r="EK834" s="1265"/>
      <c r="EL834" s="1265"/>
      <c r="EM834" s="1265"/>
      <c r="EN834" s="1265"/>
      <c r="EO834" s="1265"/>
      <c r="EP834" s="1265"/>
      <c r="EQ834" s="1265"/>
      <c r="ER834" s="1265"/>
      <c r="ES834" s="1265"/>
      <c r="ET834" s="1265"/>
      <c r="EU834" s="1265"/>
      <c r="EV834" s="1265"/>
      <c r="EW834" s="1265"/>
      <c r="EX834" s="1265"/>
      <c r="EY834" s="1265"/>
      <c r="EZ834" s="1265"/>
      <c r="FA834" s="1265"/>
      <c r="FB834" s="1265"/>
      <c r="FC834" s="1265"/>
      <c r="FD834" s="1265"/>
      <c r="FE834" s="1265"/>
      <c r="FF834" s="1265"/>
      <c r="FG834" s="1265"/>
      <c r="FH834" s="1265"/>
      <c r="FI834" s="1265"/>
      <c r="FJ834" s="1265"/>
      <c r="FK834" s="1265"/>
      <c r="FL834" s="1265"/>
      <c r="FM834" s="1265"/>
      <c r="FN834" s="1265"/>
      <c r="FO834" s="1265"/>
      <c r="FP834" s="1265"/>
      <c r="FQ834" s="1265"/>
      <c r="FR834" s="1265"/>
      <c r="FS834" s="1265"/>
      <c r="FT834" s="1265"/>
      <c r="FU834" s="1265"/>
      <c r="FV834" s="1265"/>
      <c r="FW834" s="1265"/>
      <c r="FX834" s="1265"/>
      <c r="FY834" s="1265"/>
      <c r="FZ834" s="1265"/>
      <c r="GA834" s="1265"/>
      <c r="GB834" s="1265"/>
      <c r="GC834" s="1265"/>
      <c r="GD834" s="1265"/>
      <c r="GE834" s="1265"/>
      <c r="GF834" s="1265"/>
      <c r="GG834" s="1265"/>
      <c r="GH834" s="1265"/>
      <c r="GI834" s="1265"/>
      <c r="GJ834" s="1265"/>
      <c r="GK834" s="1265"/>
      <c r="GL834" s="1265"/>
      <c r="GM834" s="1265"/>
      <c r="GN834" s="1265"/>
      <c r="GO834" s="1265"/>
      <c r="GP834" s="1265"/>
      <c r="GQ834" s="1265"/>
      <c r="GR834" s="1265"/>
      <c r="GS834" s="1265"/>
      <c r="GT834" s="1265"/>
      <c r="GU834" s="1265"/>
      <c r="GV834" s="1265"/>
      <c r="GW834" s="1265"/>
      <c r="GX834" s="1265"/>
      <c r="GY834" s="1265"/>
      <c r="GZ834" s="1265"/>
      <c r="HA834" s="1265"/>
      <c r="HB834" s="1265"/>
      <c r="HC834" s="1265"/>
      <c r="HD834" s="1265"/>
      <c r="HE834" s="1265"/>
      <c r="HF834" s="1265"/>
      <c r="HG834" s="1265"/>
      <c r="HH834" s="1265"/>
      <c r="HI834" s="1265"/>
      <c r="HJ834" s="1265"/>
      <c r="HK834" s="1265"/>
      <c r="HL834" s="1265"/>
      <c r="HM834" s="1265"/>
      <c r="HN834" s="1265"/>
      <c r="HO834" s="1265"/>
      <c r="HP834" s="1265"/>
      <c r="HQ834" s="1265"/>
      <c r="HR834" s="1265"/>
      <c r="HS834" s="1265"/>
      <c r="HT834" s="1265"/>
      <c r="HU834" s="1265"/>
      <c r="HV834" s="1265"/>
      <c r="HW834" s="1265"/>
      <c r="HX834" s="1265"/>
      <c r="HY834" s="1265"/>
      <c r="HZ834" s="1265"/>
      <c r="IA834" s="1265"/>
      <c r="IB834" s="1265"/>
      <c r="IC834" s="1265"/>
      <c r="ID834" s="1265"/>
      <c r="IE834" s="1265"/>
      <c r="IF834" s="1265"/>
      <c r="IG834" s="1265"/>
      <c r="IH834" s="1265"/>
      <c r="II834" s="1265"/>
      <c r="IJ834" s="1265"/>
      <c r="IK834" s="1265"/>
      <c r="IL834" s="1265"/>
      <c r="IM834" s="1265"/>
      <c r="IN834" s="1265"/>
      <c r="IO834" s="1265"/>
      <c r="IP834" s="1265"/>
      <c r="IQ834" s="1265"/>
      <c r="IR834" s="1265"/>
      <c r="IS834" s="1265"/>
      <c r="IT834" s="1265"/>
      <c r="IU834" s="1265"/>
      <c r="IV834" s="1265"/>
      <c r="IW834" s="1265"/>
      <c r="IX834" s="1265"/>
      <c r="IY834" s="1265"/>
      <c r="IZ834" s="1265"/>
      <c r="JA834" s="1265"/>
      <c r="JB834" s="1265"/>
      <c r="JC834" s="1265"/>
      <c r="JD834" s="1265"/>
      <c r="JE834" s="1265"/>
      <c r="JF834" s="1265"/>
      <c r="JG834" s="1265"/>
      <c r="JH834" s="1265"/>
      <c r="JI834" s="1265"/>
      <c r="JJ834" s="1265"/>
      <c r="JK834" s="1265"/>
      <c r="JL834" s="1265"/>
      <c r="JM834" s="1265"/>
      <c r="JN834" s="1265"/>
      <c r="JO834" s="1265"/>
      <c r="JP834" s="1265"/>
      <c r="JQ834" s="1265"/>
      <c r="JR834" s="1265"/>
      <c r="JS834" s="1265"/>
      <c r="JT834" s="1265"/>
      <c r="JU834" s="1265"/>
      <c r="JV834" s="1265"/>
      <c r="JW834" s="1265"/>
      <c r="JX834" s="1265"/>
      <c r="JY834" s="1265"/>
      <c r="JZ834" s="1265"/>
      <c r="KA834" s="1265"/>
      <c r="KB834" s="1265"/>
      <c r="KC834" s="1265"/>
      <c r="KD834" s="1265"/>
      <c r="KE834" s="1265"/>
      <c r="KF834" s="1265"/>
      <c r="KG834" s="1265"/>
      <c r="KH834" s="1265"/>
      <c r="KI834" s="1265"/>
      <c r="KJ834" s="1265"/>
      <c r="KK834" s="1265"/>
      <c r="KL834" s="1265"/>
      <c r="KM834" s="1265"/>
      <c r="KN834" s="1265"/>
      <c r="KO834" s="1265"/>
      <c r="KP834" s="1265"/>
      <c r="KQ834" s="1265"/>
      <c r="KR834" s="1265"/>
      <c r="KS834" s="1265"/>
      <c r="KT834" s="1265"/>
      <c r="KU834" s="1265"/>
      <c r="KV834" s="1265"/>
      <c r="KW834" s="1265"/>
      <c r="KX834" s="1265"/>
      <c r="KY834" s="1265"/>
      <c r="KZ834" s="1265"/>
      <c r="LA834" s="1265"/>
      <c r="LB834" s="1265"/>
      <c r="LC834" s="1265"/>
      <c r="LD834" s="1265"/>
      <c r="LE834" s="1265"/>
      <c r="LF834" s="1265"/>
      <c r="LG834" s="1265"/>
      <c r="LH834" s="1265"/>
      <c r="LI834" s="1265"/>
      <c r="LJ834" s="1265"/>
      <c r="LK834" s="1265"/>
      <c r="LL834" s="1265"/>
      <c r="LM834" s="1265"/>
      <c r="LN834" s="1265"/>
      <c r="LO834" s="1265"/>
      <c r="LP834" s="1265"/>
      <c r="LQ834" s="1265"/>
      <c r="LR834" s="1265"/>
      <c r="LS834" s="1265"/>
      <c r="LT834" s="1265"/>
      <c r="LU834" s="1265"/>
      <c r="LV834" s="1265"/>
      <c r="LW834" s="1265"/>
      <c r="LX834" s="1265"/>
      <c r="LY834" s="1265"/>
      <c r="LZ834" s="1265"/>
      <c r="MA834" s="1265"/>
      <c r="MB834" s="1265"/>
      <c r="MC834" s="1265"/>
      <c r="MD834" s="1265"/>
      <c r="ME834" s="1265"/>
      <c r="MF834" s="1265"/>
      <c r="MG834" s="1265"/>
      <c r="MH834" s="1265"/>
      <c r="MI834" s="1265"/>
      <c r="MJ834" s="1265"/>
      <c r="MK834" s="1265"/>
      <c r="ML834" s="1265"/>
      <c r="MM834" s="1265"/>
      <c r="MN834" s="1265"/>
      <c r="MO834" s="1265"/>
      <c r="MP834" s="1265"/>
      <c r="MQ834" s="1265"/>
      <c r="MR834" s="1265"/>
      <c r="MS834" s="1265"/>
      <c r="MT834" s="1265"/>
      <c r="MU834" s="1265"/>
      <c r="MV834" s="1265"/>
      <c r="MW834" s="1265"/>
      <c r="MX834" s="1265"/>
      <c r="MY834" s="1265"/>
      <c r="MZ834" s="1265"/>
      <c r="NA834" s="1265"/>
      <c r="NB834" s="1265"/>
      <c r="NC834" s="1265"/>
      <c r="ND834" s="1265"/>
      <c r="NE834" s="1265"/>
      <c r="NF834" s="1265"/>
      <c r="NG834" s="1265"/>
      <c r="NH834" s="1265"/>
      <c r="NI834" s="1265"/>
      <c r="NJ834" s="1265"/>
      <c r="NK834" s="1265"/>
      <c r="NL834" s="1265"/>
      <c r="NM834" s="1265"/>
      <c r="NN834" s="1265"/>
      <c r="NO834" s="1265"/>
      <c r="NP834" s="1265"/>
      <c r="NQ834" s="1265"/>
      <c r="NR834" s="1265"/>
      <c r="NS834" s="1265"/>
      <c r="NT834" s="1265"/>
      <c r="NU834" s="1265"/>
      <c r="NV834" s="1265"/>
      <c r="NW834" s="1265"/>
      <c r="NX834" s="1265"/>
      <c r="NY834" s="1265"/>
      <c r="NZ834" s="1265"/>
      <c r="OA834" s="1265"/>
      <c r="OB834" s="1265"/>
      <c r="OC834" s="1265"/>
      <c r="OD834" s="1265"/>
      <c r="OE834" s="1265"/>
      <c r="OF834" s="1265"/>
      <c r="OG834" s="1265"/>
      <c r="OH834" s="1265"/>
      <c r="OI834" s="1265"/>
      <c r="OJ834" s="1265"/>
      <c r="OK834" s="1265"/>
      <c r="OL834" s="1265"/>
      <c r="OM834" s="1265"/>
      <c r="ON834" s="1265"/>
      <c r="OO834" s="1265"/>
      <c r="OP834" s="1265"/>
      <c r="OQ834" s="1265"/>
      <c r="OR834" s="1265"/>
      <c r="OS834" s="1265"/>
      <c r="OT834" s="1265"/>
      <c r="OU834" s="1265"/>
      <c r="OV834" s="1265"/>
      <c r="OW834" s="1265"/>
      <c r="OX834" s="1265"/>
      <c r="OY834" s="1265"/>
      <c r="OZ834" s="1265"/>
      <c r="PA834" s="1265"/>
      <c r="PB834" s="1265"/>
      <c r="PC834" s="1265"/>
      <c r="PD834" s="1265"/>
      <c r="PE834" s="1265"/>
      <c r="PF834" s="1265"/>
      <c r="PG834" s="1265"/>
      <c r="PH834" s="1265"/>
      <c r="PI834" s="1265"/>
      <c r="PJ834" s="1265"/>
      <c r="PK834" s="1265"/>
      <c r="PL834" s="1265"/>
      <c r="PM834" s="1265"/>
      <c r="PN834" s="1265"/>
      <c r="PO834" s="1265"/>
      <c r="PP834" s="1265"/>
      <c r="PQ834" s="1265"/>
      <c r="PR834" s="1265"/>
      <c r="PS834" s="1265"/>
      <c r="PT834" s="1265"/>
      <c r="PU834" s="1265"/>
      <c r="PV834" s="1265"/>
      <c r="PW834" s="1265"/>
      <c r="PX834" s="1265"/>
      <c r="PY834" s="1265"/>
      <c r="PZ834" s="1265"/>
      <c r="QA834" s="1265"/>
      <c r="QB834" s="1265"/>
      <c r="QC834" s="1265"/>
      <c r="QD834" s="1265"/>
      <c r="QE834" s="1265"/>
      <c r="QF834" s="1265"/>
      <c r="QG834" s="1265"/>
      <c r="QH834" s="1265"/>
      <c r="QI834" s="1265"/>
      <c r="QJ834" s="1265"/>
      <c r="QK834" s="1265"/>
      <c r="QL834" s="1265"/>
      <c r="QM834" s="1265"/>
      <c r="QN834" s="1265"/>
      <c r="QO834" s="1265"/>
      <c r="QP834" s="1265"/>
      <c r="QQ834" s="1265"/>
      <c r="QR834" s="1265"/>
      <c r="QS834" s="1265"/>
      <c r="QT834" s="1265"/>
      <c r="QU834" s="1265"/>
      <c r="QV834" s="1265"/>
      <c r="QW834" s="1265"/>
      <c r="QX834" s="1265"/>
      <c r="QY834" s="1265"/>
      <c r="QZ834" s="1265"/>
      <c r="RA834" s="1265"/>
      <c r="RB834" s="1265"/>
      <c r="RC834" s="1265"/>
      <c r="RD834" s="1265"/>
      <c r="RE834" s="1265"/>
      <c r="RF834" s="1265"/>
      <c r="RG834" s="1265"/>
      <c r="RH834" s="1265"/>
      <c r="RI834" s="1265"/>
      <c r="RJ834" s="1265"/>
      <c r="RK834" s="1265"/>
      <c r="RL834" s="1265"/>
      <c r="RM834" s="1265"/>
      <c r="RN834" s="1265"/>
      <c r="RO834" s="1265"/>
      <c r="RP834" s="1265"/>
      <c r="RQ834" s="1265"/>
      <c r="RR834" s="1265"/>
      <c r="RS834" s="1265"/>
      <c r="RT834" s="1265"/>
      <c r="RU834" s="1265"/>
      <c r="RV834" s="1265"/>
      <c r="RW834" s="1265"/>
      <c r="RX834" s="1265"/>
      <c r="RY834" s="1265"/>
      <c r="RZ834" s="1265"/>
      <c r="SA834" s="1265"/>
      <c r="SB834" s="1265"/>
      <c r="SC834" s="1265"/>
      <c r="SD834" s="1265"/>
      <c r="SE834" s="1265"/>
      <c r="SF834" s="1265"/>
      <c r="SG834" s="1265"/>
      <c r="SH834" s="1265"/>
      <c r="SI834" s="1265"/>
      <c r="SJ834" s="1265"/>
      <c r="SK834" s="1265"/>
      <c r="SL834" s="1265"/>
      <c r="SM834" s="1265"/>
      <c r="SN834" s="1265"/>
      <c r="SO834" s="1265"/>
      <c r="SP834" s="1265"/>
      <c r="SQ834" s="1265"/>
      <c r="SR834" s="1265"/>
      <c r="SS834" s="1265"/>
      <c r="ST834" s="1265"/>
      <c r="SU834" s="1265"/>
      <c r="SV834" s="1265"/>
      <c r="SW834" s="1265"/>
      <c r="SX834" s="1265"/>
      <c r="SY834" s="1265"/>
      <c r="SZ834" s="1265"/>
      <c r="TA834" s="1265"/>
      <c r="TB834" s="1265"/>
      <c r="TC834" s="1265"/>
      <c r="TD834" s="1265"/>
      <c r="TE834" s="1265"/>
      <c r="TF834" s="1265"/>
      <c r="TG834" s="1265"/>
      <c r="TH834" s="1265"/>
      <c r="TI834" s="1265"/>
      <c r="TJ834" s="1265"/>
      <c r="TK834" s="1265"/>
      <c r="TL834" s="1265"/>
      <c r="TM834" s="1265"/>
      <c r="TN834" s="1265"/>
      <c r="TO834" s="1265"/>
      <c r="TP834" s="1265"/>
      <c r="TQ834" s="1265"/>
      <c r="TR834" s="1265"/>
      <c r="TS834" s="1265"/>
      <c r="TT834" s="1265"/>
      <c r="TU834" s="1265"/>
      <c r="TV834" s="1265"/>
      <c r="TW834" s="1265"/>
      <c r="TX834" s="1265"/>
      <c r="TY834" s="1265"/>
      <c r="TZ834" s="1265"/>
      <c r="UA834" s="1265"/>
      <c r="UB834" s="1265"/>
      <c r="UC834" s="1265"/>
      <c r="UD834" s="1265"/>
      <c r="UE834" s="1265"/>
      <c r="UF834" s="1265"/>
      <c r="UG834" s="1266"/>
    </row>
    <row r="835" spans="1:553" s="1262" customFormat="1" ht="30.75" customHeight="1">
      <c r="A835" s="653"/>
      <c r="B835" s="653"/>
      <c r="C835" s="1439" t="s">
        <v>1193</v>
      </c>
      <c r="D835" s="1440" t="s">
        <v>1194</v>
      </c>
      <c r="E835" s="1440" t="s">
        <v>1194</v>
      </c>
      <c r="F835" s="1441" t="s">
        <v>1194</v>
      </c>
      <c r="G835" s="1008" t="s">
        <v>193</v>
      </c>
      <c r="H835" s="654"/>
      <c r="I835" s="505">
        <v>3</v>
      </c>
      <c r="J835" s="512">
        <v>219200</v>
      </c>
      <c r="K835" s="513">
        <v>0.7</v>
      </c>
      <c r="L835" s="1195">
        <f>I835*J835*K835</f>
        <v>460319.99999999994</v>
      </c>
      <c r="M835" s="356"/>
      <c r="N835" s="356"/>
      <c r="O835" s="356"/>
      <c r="P835" s="356"/>
      <c r="Q835" s="610"/>
      <c r="R835" s="1228"/>
      <c r="S835" s="308"/>
      <c r="T835" s="308"/>
      <c r="U835" s="308"/>
      <c r="V835" s="308"/>
      <c r="W835" s="308"/>
      <c r="X835" s="308"/>
      <c r="Y835" s="308"/>
      <c r="Z835" s="604"/>
      <c r="AA835" s="308"/>
      <c r="AB835" s="308"/>
      <c r="AC835" s="454"/>
      <c r="AD835" s="454"/>
      <c r="AE835" s="454"/>
      <c r="AF835" s="454"/>
      <c r="AG835" s="454"/>
      <c r="AH835" s="454"/>
      <c r="AI835" s="454"/>
      <c r="AJ835" s="454"/>
      <c r="AK835" s="455"/>
      <c r="AL835" s="1263"/>
      <c r="AM835" s="1263"/>
      <c r="AN835" s="1263"/>
      <c r="AO835" s="1263"/>
      <c r="AP835" s="1263"/>
      <c r="AQ835" s="1263"/>
      <c r="AR835" s="1263"/>
      <c r="AS835" s="1264"/>
      <c r="AT835" s="1264"/>
      <c r="AU835" s="1264"/>
      <c r="AV835" s="1264"/>
      <c r="AW835" s="1264"/>
      <c r="AX835" s="1264"/>
      <c r="AY835" s="1264"/>
      <c r="AZ835" s="1264"/>
      <c r="BA835" s="1264"/>
      <c r="BB835" s="1264"/>
      <c r="BC835" s="1264"/>
      <c r="BD835" s="1264"/>
      <c r="BE835" s="1264"/>
      <c r="BF835" s="1264"/>
      <c r="BG835" s="1264"/>
      <c r="BH835" s="1264"/>
      <c r="BI835" s="1264"/>
      <c r="BJ835" s="1264"/>
      <c r="BK835" s="1264"/>
      <c r="BL835" s="1264"/>
      <c r="BM835" s="1264"/>
      <c r="BN835" s="1264"/>
      <c r="BO835" s="1264"/>
      <c r="BP835" s="1265"/>
      <c r="BQ835" s="1265"/>
      <c r="BR835" s="1265"/>
      <c r="BS835" s="1265"/>
      <c r="BT835" s="1265"/>
      <c r="BU835" s="1265"/>
      <c r="BV835" s="1265"/>
      <c r="BW835" s="1265"/>
      <c r="BX835" s="1265"/>
      <c r="BY835" s="1265"/>
      <c r="BZ835" s="1265"/>
      <c r="CA835" s="1265"/>
      <c r="CB835" s="1265"/>
      <c r="CC835" s="1265"/>
      <c r="CD835" s="1265"/>
      <c r="CE835" s="1265"/>
      <c r="CF835" s="1265"/>
      <c r="CG835" s="1265"/>
      <c r="CH835" s="1265"/>
      <c r="CI835" s="1265"/>
      <c r="CJ835" s="1265"/>
      <c r="CK835" s="1265"/>
      <c r="CL835" s="1265"/>
      <c r="CM835" s="1265"/>
      <c r="CN835" s="1265"/>
      <c r="CO835" s="1265"/>
      <c r="CP835" s="1265"/>
      <c r="CQ835" s="1265"/>
      <c r="CR835" s="1265"/>
      <c r="CS835" s="1265"/>
      <c r="CT835" s="1265"/>
      <c r="CU835" s="1265"/>
      <c r="CV835" s="1265"/>
      <c r="CW835" s="1265"/>
      <c r="CX835" s="1265"/>
      <c r="CY835" s="1265"/>
      <c r="CZ835" s="1265"/>
      <c r="DA835" s="1265"/>
      <c r="DB835" s="1265"/>
      <c r="DC835" s="1265"/>
      <c r="DD835" s="1265"/>
      <c r="DE835" s="1265"/>
      <c r="DF835" s="1265"/>
      <c r="DG835" s="1265"/>
      <c r="DH835" s="1265"/>
      <c r="DI835" s="1265"/>
      <c r="DJ835" s="1265"/>
      <c r="DK835" s="1265"/>
      <c r="DL835" s="1265"/>
      <c r="DM835" s="1265"/>
      <c r="DN835" s="1265"/>
      <c r="DO835" s="1265"/>
      <c r="DP835" s="1265"/>
      <c r="DQ835" s="1265"/>
      <c r="DR835" s="1265"/>
      <c r="DS835" s="1265"/>
      <c r="DT835" s="1265"/>
      <c r="DU835" s="1265"/>
      <c r="DV835" s="1265"/>
      <c r="DW835" s="1265"/>
      <c r="DX835" s="1265"/>
      <c r="DY835" s="1265"/>
      <c r="DZ835" s="1265"/>
      <c r="EA835" s="1265"/>
      <c r="EB835" s="1265"/>
      <c r="EC835" s="1265"/>
      <c r="ED835" s="1265"/>
      <c r="EE835" s="1265"/>
      <c r="EF835" s="1265"/>
      <c r="EG835" s="1265"/>
      <c r="EH835" s="1265"/>
      <c r="EI835" s="1265"/>
      <c r="EJ835" s="1265"/>
      <c r="EK835" s="1265"/>
      <c r="EL835" s="1265"/>
      <c r="EM835" s="1265"/>
      <c r="EN835" s="1265"/>
      <c r="EO835" s="1265"/>
      <c r="EP835" s="1265"/>
      <c r="EQ835" s="1265"/>
      <c r="ER835" s="1265"/>
      <c r="ES835" s="1265"/>
      <c r="ET835" s="1265"/>
      <c r="EU835" s="1265"/>
      <c r="EV835" s="1265"/>
      <c r="EW835" s="1265"/>
      <c r="EX835" s="1265"/>
      <c r="EY835" s="1265"/>
      <c r="EZ835" s="1265"/>
      <c r="FA835" s="1265"/>
      <c r="FB835" s="1265"/>
      <c r="FC835" s="1265"/>
      <c r="FD835" s="1265"/>
      <c r="FE835" s="1265"/>
      <c r="FF835" s="1265"/>
      <c r="FG835" s="1265"/>
      <c r="FH835" s="1265"/>
      <c r="FI835" s="1265"/>
      <c r="FJ835" s="1265"/>
      <c r="FK835" s="1265"/>
      <c r="FL835" s="1265"/>
      <c r="FM835" s="1265"/>
      <c r="FN835" s="1265"/>
      <c r="FO835" s="1265"/>
      <c r="FP835" s="1265"/>
      <c r="FQ835" s="1265"/>
      <c r="FR835" s="1265"/>
      <c r="FS835" s="1265"/>
      <c r="FT835" s="1265"/>
      <c r="FU835" s="1265"/>
      <c r="FV835" s="1265"/>
      <c r="FW835" s="1265"/>
      <c r="FX835" s="1265"/>
      <c r="FY835" s="1265"/>
      <c r="FZ835" s="1265"/>
      <c r="GA835" s="1265"/>
      <c r="GB835" s="1265"/>
      <c r="GC835" s="1265"/>
      <c r="GD835" s="1265"/>
      <c r="GE835" s="1265"/>
      <c r="GF835" s="1265"/>
      <c r="GG835" s="1265"/>
      <c r="GH835" s="1265"/>
      <c r="GI835" s="1265"/>
      <c r="GJ835" s="1265"/>
      <c r="GK835" s="1265"/>
      <c r="GL835" s="1265"/>
      <c r="GM835" s="1265"/>
      <c r="GN835" s="1265"/>
      <c r="GO835" s="1265"/>
      <c r="GP835" s="1265"/>
      <c r="GQ835" s="1265"/>
      <c r="GR835" s="1265"/>
      <c r="GS835" s="1265"/>
      <c r="GT835" s="1265"/>
      <c r="GU835" s="1265"/>
      <c r="GV835" s="1265"/>
      <c r="GW835" s="1265"/>
      <c r="GX835" s="1265"/>
      <c r="GY835" s="1265"/>
      <c r="GZ835" s="1265"/>
      <c r="HA835" s="1265"/>
      <c r="HB835" s="1265"/>
      <c r="HC835" s="1265"/>
      <c r="HD835" s="1265"/>
      <c r="HE835" s="1265"/>
      <c r="HF835" s="1265"/>
      <c r="HG835" s="1265"/>
      <c r="HH835" s="1265"/>
      <c r="HI835" s="1265"/>
      <c r="HJ835" s="1265"/>
      <c r="HK835" s="1265"/>
      <c r="HL835" s="1265"/>
      <c r="HM835" s="1265"/>
      <c r="HN835" s="1265"/>
      <c r="HO835" s="1265"/>
      <c r="HP835" s="1265"/>
      <c r="HQ835" s="1265"/>
      <c r="HR835" s="1265"/>
      <c r="HS835" s="1265"/>
      <c r="HT835" s="1265"/>
      <c r="HU835" s="1265"/>
      <c r="HV835" s="1265"/>
      <c r="HW835" s="1265"/>
      <c r="HX835" s="1265"/>
      <c r="HY835" s="1265"/>
      <c r="HZ835" s="1265"/>
      <c r="IA835" s="1265"/>
      <c r="IB835" s="1265"/>
      <c r="IC835" s="1265"/>
      <c r="ID835" s="1265"/>
      <c r="IE835" s="1265"/>
      <c r="IF835" s="1265"/>
      <c r="IG835" s="1265"/>
      <c r="IH835" s="1265"/>
      <c r="II835" s="1265"/>
      <c r="IJ835" s="1265"/>
      <c r="IK835" s="1265"/>
      <c r="IL835" s="1265"/>
      <c r="IM835" s="1265"/>
      <c r="IN835" s="1265"/>
      <c r="IO835" s="1265"/>
      <c r="IP835" s="1265"/>
      <c r="IQ835" s="1265"/>
      <c r="IR835" s="1265"/>
      <c r="IS835" s="1265"/>
      <c r="IT835" s="1265"/>
      <c r="IU835" s="1265"/>
      <c r="IV835" s="1265"/>
      <c r="IW835" s="1265"/>
      <c r="IX835" s="1265"/>
      <c r="IY835" s="1265"/>
      <c r="IZ835" s="1265"/>
      <c r="JA835" s="1265"/>
      <c r="JB835" s="1265"/>
      <c r="JC835" s="1265"/>
      <c r="JD835" s="1265"/>
      <c r="JE835" s="1265"/>
      <c r="JF835" s="1265"/>
      <c r="JG835" s="1265"/>
      <c r="JH835" s="1265"/>
      <c r="JI835" s="1265"/>
      <c r="JJ835" s="1265"/>
      <c r="JK835" s="1265"/>
      <c r="JL835" s="1265"/>
      <c r="JM835" s="1265"/>
      <c r="JN835" s="1265"/>
      <c r="JO835" s="1265"/>
      <c r="JP835" s="1265"/>
      <c r="JQ835" s="1265"/>
      <c r="JR835" s="1265"/>
      <c r="JS835" s="1265"/>
      <c r="JT835" s="1265"/>
      <c r="JU835" s="1265"/>
      <c r="JV835" s="1265"/>
      <c r="JW835" s="1265"/>
      <c r="JX835" s="1265"/>
      <c r="JY835" s="1265"/>
      <c r="JZ835" s="1265"/>
      <c r="KA835" s="1265"/>
      <c r="KB835" s="1265"/>
      <c r="KC835" s="1265"/>
      <c r="KD835" s="1265"/>
      <c r="KE835" s="1265"/>
      <c r="KF835" s="1265"/>
      <c r="KG835" s="1265"/>
      <c r="KH835" s="1265"/>
      <c r="KI835" s="1265"/>
      <c r="KJ835" s="1265"/>
      <c r="KK835" s="1265"/>
      <c r="KL835" s="1265"/>
      <c r="KM835" s="1265"/>
      <c r="KN835" s="1265"/>
      <c r="KO835" s="1265"/>
      <c r="KP835" s="1265"/>
      <c r="KQ835" s="1265"/>
      <c r="KR835" s="1265"/>
      <c r="KS835" s="1265"/>
      <c r="KT835" s="1265"/>
      <c r="KU835" s="1265"/>
      <c r="KV835" s="1265"/>
      <c r="KW835" s="1265"/>
      <c r="KX835" s="1265"/>
      <c r="KY835" s="1265"/>
      <c r="KZ835" s="1265"/>
      <c r="LA835" s="1265"/>
      <c r="LB835" s="1265"/>
      <c r="LC835" s="1265"/>
      <c r="LD835" s="1265"/>
      <c r="LE835" s="1265"/>
      <c r="LF835" s="1265"/>
      <c r="LG835" s="1265"/>
      <c r="LH835" s="1265"/>
      <c r="LI835" s="1265"/>
      <c r="LJ835" s="1265"/>
      <c r="LK835" s="1265"/>
      <c r="LL835" s="1265"/>
      <c r="LM835" s="1265"/>
      <c r="LN835" s="1265"/>
      <c r="LO835" s="1265"/>
      <c r="LP835" s="1265"/>
      <c r="LQ835" s="1265"/>
      <c r="LR835" s="1265"/>
      <c r="LS835" s="1265"/>
      <c r="LT835" s="1265"/>
      <c r="LU835" s="1265"/>
      <c r="LV835" s="1265"/>
      <c r="LW835" s="1265"/>
      <c r="LX835" s="1265"/>
      <c r="LY835" s="1265"/>
      <c r="LZ835" s="1265"/>
      <c r="MA835" s="1265"/>
      <c r="MB835" s="1265"/>
      <c r="MC835" s="1265"/>
      <c r="MD835" s="1265"/>
      <c r="ME835" s="1265"/>
      <c r="MF835" s="1265"/>
      <c r="MG835" s="1265"/>
      <c r="MH835" s="1265"/>
      <c r="MI835" s="1265"/>
      <c r="MJ835" s="1265"/>
      <c r="MK835" s="1265"/>
      <c r="ML835" s="1265"/>
      <c r="MM835" s="1265"/>
      <c r="MN835" s="1265"/>
      <c r="MO835" s="1265"/>
      <c r="MP835" s="1265"/>
      <c r="MQ835" s="1265"/>
      <c r="MR835" s="1265"/>
      <c r="MS835" s="1265"/>
      <c r="MT835" s="1265"/>
      <c r="MU835" s="1265"/>
      <c r="MV835" s="1265"/>
      <c r="MW835" s="1265"/>
      <c r="MX835" s="1265"/>
      <c r="MY835" s="1265"/>
      <c r="MZ835" s="1265"/>
      <c r="NA835" s="1265"/>
      <c r="NB835" s="1265"/>
      <c r="NC835" s="1265"/>
      <c r="ND835" s="1265"/>
      <c r="NE835" s="1265"/>
      <c r="NF835" s="1265"/>
      <c r="NG835" s="1265"/>
      <c r="NH835" s="1265"/>
      <c r="NI835" s="1265"/>
      <c r="NJ835" s="1265"/>
      <c r="NK835" s="1265"/>
      <c r="NL835" s="1265"/>
      <c r="NM835" s="1265"/>
      <c r="NN835" s="1265"/>
      <c r="NO835" s="1265"/>
      <c r="NP835" s="1265"/>
      <c r="NQ835" s="1265"/>
      <c r="NR835" s="1265"/>
      <c r="NS835" s="1265"/>
      <c r="NT835" s="1265"/>
      <c r="NU835" s="1265"/>
      <c r="NV835" s="1265"/>
      <c r="NW835" s="1265"/>
      <c r="NX835" s="1265"/>
      <c r="NY835" s="1265"/>
      <c r="NZ835" s="1265"/>
      <c r="OA835" s="1265"/>
      <c r="OB835" s="1265"/>
      <c r="OC835" s="1265"/>
      <c r="OD835" s="1265"/>
      <c r="OE835" s="1265"/>
      <c r="OF835" s="1265"/>
      <c r="OG835" s="1265"/>
      <c r="OH835" s="1265"/>
      <c r="OI835" s="1265"/>
      <c r="OJ835" s="1265"/>
      <c r="OK835" s="1265"/>
      <c r="OL835" s="1265"/>
      <c r="OM835" s="1265"/>
      <c r="ON835" s="1265"/>
      <c r="OO835" s="1265"/>
      <c r="OP835" s="1265"/>
      <c r="OQ835" s="1265"/>
      <c r="OR835" s="1265"/>
      <c r="OS835" s="1265"/>
      <c r="OT835" s="1265"/>
      <c r="OU835" s="1265"/>
      <c r="OV835" s="1265"/>
      <c r="OW835" s="1265"/>
      <c r="OX835" s="1265"/>
      <c r="OY835" s="1265"/>
      <c r="OZ835" s="1265"/>
      <c r="PA835" s="1265"/>
      <c r="PB835" s="1265"/>
      <c r="PC835" s="1265"/>
      <c r="PD835" s="1265"/>
      <c r="PE835" s="1265"/>
      <c r="PF835" s="1265"/>
      <c r="PG835" s="1265"/>
      <c r="PH835" s="1265"/>
      <c r="PI835" s="1265"/>
      <c r="PJ835" s="1265"/>
      <c r="PK835" s="1265"/>
      <c r="PL835" s="1265"/>
      <c r="PM835" s="1265"/>
      <c r="PN835" s="1265"/>
      <c r="PO835" s="1265"/>
      <c r="PP835" s="1265"/>
      <c r="PQ835" s="1265"/>
      <c r="PR835" s="1265"/>
      <c r="PS835" s="1265"/>
      <c r="PT835" s="1265"/>
      <c r="PU835" s="1265"/>
      <c r="PV835" s="1265"/>
      <c r="PW835" s="1265"/>
      <c r="PX835" s="1265"/>
      <c r="PY835" s="1265"/>
      <c r="PZ835" s="1265"/>
      <c r="QA835" s="1265"/>
      <c r="QB835" s="1265"/>
      <c r="QC835" s="1265"/>
      <c r="QD835" s="1265"/>
      <c r="QE835" s="1265"/>
      <c r="QF835" s="1265"/>
      <c r="QG835" s="1265"/>
      <c r="QH835" s="1265"/>
      <c r="QI835" s="1265"/>
      <c r="QJ835" s="1265"/>
      <c r="QK835" s="1265"/>
      <c r="QL835" s="1265"/>
      <c r="QM835" s="1265"/>
      <c r="QN835" s="1265"/>
      <c r="QO835" s="1265"/>
      <c r="QP835" s="1265"/>
      <c r="QQ835" s="1265"/>
      <c r="QR835" s="1265"/>
      <c r="QS835" s="1265"/>
      <c r="QT835" s="1265"/>
      <c r="QU835" s="1265"/>
      <c r="QV835" s="1265"/>
      <c r="QW835" s="1265"/>
      <c r="QX835" s="1265"/>
      <c r="QY835" s="1265"/>
      <c r="QZ835" s="1265"/>
      <c r="RA835" s="1265"/>
      <c r="RB835" s="1265"/>
      <c r="RC835" s="1265"/>
      <c r="RD835" s="1265"/>
      <c r="RE835" s="1265"/>
      <c r="RF835" s="1265"/>
      <c r="RG835" s="1265"/>
      <c r="RH835" s="1265"/>
      <c r="RI835" s="1265"/>
      <c r="RJ835" s="1265"/>
      <c r="RK835" s="1265"/>
      <c r="RL835" s="1265"/>
      <c r="RM835" s="1265"/>
      <c r="RN835" s="1265"/>
      <c r="RO835" s="1265"/>
      <c r="RP835" s="1265"/>
      <c r="RQ835" s="1265"/>
      <c r="RR835" s="1265"/>
      <c r="RS835" s="1265"/>
      <c r="RT835" s="1265"/>
      <c r="RU835" s="1265"/>
      <c r="RV835" s="1265"/>
      <c r="RW835" s="1265"/>
      <c r="RX835" s="1265"/>
      <c r="RY835" s="1265"/>
      <c r="RZ835" s="1265"/>
      <c r="SA835" s="1265"/>
      <c r="SB835" s="1265"/>
      <c r="SC835" s="1265"/>
      <c r="SD835" s="1265"/>
      <c r="SE835" s="1265"/>
      <c r="SF835" s="1265"/>
      <c r="SG835" s="1265"/>
      <c r="SH835" s="1265"/>
      <c r="SI835" s="1265"/>
      <c r="SJ835" s="1265"/>
      <c r="SK835" s="1265"/>
      <c r="SL835" s="1265"/>
      <c r="SM835" s="1265"/>
      <c r="SN835" s="1265"/>
      <c r="SO835" s="1265"/>
      <c r="SP835" s="1265"/>
      <c r="SQ835" s="1265"/>
      <c r="SR835" s="1265"/>
      <c r="SS835" s="1265"/>
      <c r="ST835" s="1265"/>
      <c r="SU835" s="1265"/>
      <c r="SV835" s="1265"/>
      <c r="SW835" s="1265"/>
      <c r="SX835" s="1265"/>
      <c r="SY835" s="1265"/>
      <c r="SZ835" s="1265"/>
      <c r="TA835" s="1265"/>
      <c r="TB835" s="1265"/>
      <c r="TC835" s="1265"/>
      <c r="TD835" s="1265"/>
      <c r="TE835" s="1265"/>
      <c r="TF835" s="1265"/>
      <c r="TG835" s="1265"/>
      <c r="TH835" s="1265"/>
      <c r="TI835" s="1265"/>
      <c r="TJ835" s="1265"/>
      <c r="TK835" s="1265"/>
      <c r="TL835" s="1265"/>
      <c r="TM835" s="1265"/>
      <c r="TN835" s="1265"/>
      <c r="TO835" s="1265"/>
      <c r="TP835" s="1265"/>
      <c r="TQ835" s="1265"/>
      <c r="TR835" s="1265"/>
      <c r="TS835" s="1265"/>
      <c r="TT835" s="1265"/>
      <c r="TU835" s="1265"/>
      <c r="TV835" s="1265"/>
      <c r="TW835" s="1265"/>
      <c r="TX835" s="1265"/>
      <c r="TY835" s="1265"/>
      <c r="TZ835" s="1265"/>
      <c r="UA835" s="1265"/>
      <c r="UB835" s="1265"/>
      <c r="UC835" s="1265"/>
      <c r="UD835" s="1265"/>
      <c r="UE835" s="1265"/>
      <c r="UF835" s="1265"/>
      <c r="UG835" s="1266"/>
    </row>
    <row r="836" spans="1:553" s="1262" customFormat="1" ht="30.75" customHeight="1">
      <c r="A836" s="445"/>
      <c r="B836" s="445"/>
      <c r="C836" s="1405" t="s">
        <v>1195</v>
      </c>
      <c r="D836" s="1406" t="s">
        <v>1196</v>
      </c>
      <c r="E836" s="1406" t="s">
        <v>1196</v>
      </c>
      <c r="F836" s="1407" t="s">
        <v>1196</v>
      </c>
      <c r="G836" s="418" t="s">
        <v>193</v>
      </c>
      <c r="H836" s="359"/>
      <c r="I836" s="443">
        <v>1</v>
      </c>
      <c r="J836" s="368">
        <v>290600</v>
      </c>
      <c r="K836" s="565">
        <v>0.7</v>
      </c>
      <c r="L836" s="571">
        <f>I836*J836*K836</f>
        <v>203420</v>
      </c>
      <c r="M836" s="356"/>
      <c r="N836" s="356"/>
      <c r="O836" s="356"/>
      <c r="P836" s="356"/>
      <c r="Q836" s="610"/>
      <c r="R836" s="1228"/>
      <c r="S836" s="308"/>
      <c r="T836" s="308"/>
      <c r="U836" s="308"/>
      <c r="V836" s="308"/>
      <c r="W836" s="308"/>
      <c r="X836" s="308"/>
      <c r="Y836" s="308"/>
      <c r="Z836" s="604"/>
      <c r="AA836" s="308"/>
      <c r="AB836" s="308"/>
      <c r="AC836" s="454"/>
      <c r="AD836" s="454"/>
      <c r="AE836" s="454"/>
      <c r="AF836" s="454"/>
      <c r="AG836" s="454"/>
      <c r="AH836" s="454"/>
      <c r="AI836" s="454"/>
      <c r="AJ836" s="454"/>
      <c r="AK836" s="455"/>
      <c r="AL836" s="1263"/>
      <c r="AM836" s="1263"/>
      <c r="AN836" s="1263"/>
      <c r="AO836" s="1263"/>
      <c r="AP836" s="1263"/>
      <c r="AQ836" s="1263"/>
      <c r="AR836" s="1263"/>
      <c r="AS836" s="1264"/>
      <c r="AT836" s="1264"/>
      <c r="AU836" s="1264"/>
      <c r="AV836" s="1264"/>
      <c r="AW836" s="1264"/>
      <c r="AX836" s="1264"/>
      <c r="AY836" s="1264"/>
      <c r="AZ836" s="1264"/>
      <c r="BA836" s="1264"/>
      <c r="BB836" s="1264"/>
      <c r="BC836" s="1264"/>
      <c r="BD836" s="1264"/>
      <c r="BE836" s="1264"/>
      <c r="BF836" s="1264"/>
      <c r="BG836" s="1264"/>
      <c r="BH836" s="1264"/>
      <c r="BI836" s="1264"/>
      <c r="BJ836" s="1264"/>
      <c r="BK836" s="1264"/>
      <c r="BL836" s="1264"/>
      <c r="BM836" s="1264"/>
      <c r="BN836" s="1264"/>
      <c r="BO836" s="1264"/>
      <c r="BP836" s="1265"/>
      <c r="BQ836" s="1265"/>
      <c r="BR836" s="1265"/>
      <c r="BS836" s="1265"/>
      <c r="BT836" s="1265"/>
      <c r="BU836" s="1265"/>
      <c r="BV836" s="1265"/>
      <c r="BW836" s="1265"/>
      <c r="BX836" s="1265"/>
      <c r="BY836" s="1265"/>
      <c r="BZ836" s="1265"/>
      <c r="CA836" s="1265"/>
      <c r="CB836" s="1265"/>
      <c r="CC836" s="1265"/>
      <c r="CD836" s="1265"/>
      <c r="CE836" s="1265"/>
      <c r="CF836" s="1265"/>
      <c r="CG836" s="1265"/>
      <c r="CH836" s="1265"/>
      <c r="CI836" s="1265"/>
      <c r="CJ836" s="1265"/>
      <c r="CK836" s="1265"/>
      <c r="CL836" s="1265"/>
      <c r="CM836" s="1265"/>
      <c r="CN836" s="1265"/>
      <c r="CO836" s="1265"/>
      <c r="CP836" s="1265"/>
      <c r="CQ836" s="1265"/>
      <c r="CR836" s="1265"/>
      <c r="CS836" s="1265"/>
      <c r="CT836" s="1265"/>
      <c r="CU836" s="1265"/>
      <c r="CV836" s="1265"/>
      <c r="CW836" s="1265"/>
      <c r="CX836" s="1265"/>
      <c r="CY836" s="1265"/>
      <c r="CZ836" s="1265"/>
      <c r="DA836" s="1265"/>
      <c r="DB836" s="1265"/>
      <c r="DC836" s="1265"/>
      <c r="DD836" s="1265"/>
      <c r="DE836" s="1265"/>
      <c r="DF836" s="1265"/>
      <c r="DG836" s="1265"/>
      <c r="DH836" s="1265"/>
      <c r="DI836" s="1265"/>
      <c r="DJ836" s="1265"/>
      <c r="DK836" s="1265"/>
      <c r="DL836" s="1265"/>
      <c r="DM836" s="1265"/>
      <c r="DN836" s="1265"/>
      <c r="DO836" s="1265"/>
      <c r="DP836" s="1265"/>
      <c r="DQ836" s="1265"/>
      <c r="DR836" s="1265"/>
      <c r="DS836" s="1265"/>
      <c r="DT836" s="1265"/>
      <c r="DU836" s="1265"/>
      <c r="DV836" s="1265"/>
      <c r="DW836" s="1265"/>
      <c r="DX836" s="1265"/>
      <c r="DY836" s="1265"/>
      <c r="DZ836" s="1265"/>
      <c r="EA836" s="1265"/>
      <c r="EB836" s="1265"/>
      <c r="EC836" s="1265"/>
      <c r="ED836" s="1265"/>
      <c r="EE836" s="1265"/>
      <c r="EF836" s="1265"/>
      <c r="EG836" s="1265"/>
      <c r="EH836" s="1265"/>
      <c r="EI836" s="1265"/>
      <c r="EJ836" s="1265"/>
      <c r="EK836" s="1265"/>
      <c r="EL836" s="1265"/>
      <c r="EM836" s="1265"/>
      <c r="EN836" s="1265"/>
      <c r="EO836" s="1265"/>
      <c r="EP836" s="1265"/>
      <c r="EQ836" s="1265"/>
      <c r="ER836" s="1265"/>
      <c r="ES836" s="1265"/>
      <c r="ET836" s="1265"/>
      <c r="EU836" s="1265"/>
      <c r="EV836" s="1265"/>
      <c r="EW836" s="1265"/>
      <c r="EX836" s="1265"/>
      <c r="EY836" s="1265"/>
      <c r="EZ836" s="1265"/>
      <c r="FA836" s="1265"/>
      <c r="FB836" s="1265"/>
      <c r="FC836" s="1265"/>
      <c r="FD836" s="1265"/>
      <c r="FE836" s="1265"/>
      <c r="FF836" s="1265"/>
      <c r="FG836" s="1265"/>
      <c r="FH836" s="1265"/>
      <c r="FI836" s="1265"/>
      <c r="FJ836" s="1265"/>
      <c r="FK836" s="1265"/>
      <c r="FL836" s="1265"/>
      <c r="FM836" s="1265"/>
      <c r="FN836" s="1265"/>
      <c r="FO836" s="1265"/>
      <c r="FP836" s="1265"/>
      <c r="FQ836" s="1265"/>
      <c r="FR836" s="1265"/>
      <c r="FS836" s="1265"/>
      <c r="FT836" s="1265"/>
      <c r="FU836" s="1265"/>
      <c r="FV836" s="1265"/>
      <c r="FW836" s="1265"/>
      <c r="FX836" s="1265"/>
      <c r="FY836" s="1265"/>
      <c r="FZ836" s="1265"/>
      <c r="GA836" s="1265"/>
      <c r="GB836" s="1265"/>
      <c r="GC836" s="1265"/>
      <c r="GD836" s="1265"/>
      <c r="GE836" s="1265"/>
      <c r="GF836" s="1265"/>
      <c r="GG836" s="1265"/>
      <c r="GH836" s="1265"/>
      <c r="GI836" s="1265"/>
      <c r="GJ836" s="1265"/>
      <c r="GK836" s="1265"/>
      <c r="GL836" s="1265"/>
      <c r="GM836" s="1265"/>
      <c r="GN836" s="1265"/>
      <c r="GO836" s="1265"/>
      <c r="GP836" s="1265"/>
      <c r="GQ836" s="1265"/>
      <c r="GR836" s="1265"/>
      <c r="GS836" s="1265"/>
      <c r="GT836" s="1265"/>
      <c r="GU836" s="1265"/>
      <c r="GV836" s="1265"/>
      <c r="GW836" s="1265"/>
      <c r="GX836" s="1265"/>
      <c r="GY836" s="1265"/>
      <c r="GZ836" s="1265"/>
      <c r="HA836" s="1265"/>
      <c r="HB836" s="1265"/>
      <c r="HC836" s="1265"/>
      <c r="HD836" s="1265"/>
      <c r="HE836" s="1265"/>
      <c r="HF836" s="1265"/>
      <c r="HG836" s="1265"/>
      <c r="HH836" s="1265"/>
      <c r="HI836" s="1265"/>
      <c r="HJ836" s="1265"/>
      <c r="HK836" s="1265"/>
      <c r="HL836" s="1265"/>
      <c r="HM836" s="1265"/>
      <c r="HN836" s="1265"/>
      <c r="HO836" s="1265"/>
      <c r="HP836" s="1265"/>
      <c r="HQ836" s="1265"/>
      <c r="HR836" s="1265"/>
      <c r="HS836" s="1265"/>
      <c r="HT836" s="1265"/>
      <c r="HU836" s="1265"/>
      <c r="HV836" s="1265"/>
      <c r="HW836" s="1265"/>
      <c r="HX836" s="1265"/>
      <c r="HY836" s="1265"/>
      <c r="HZ836" s="1265"/>
      <c r="IA836" s="1265"/>
      <c r="IB836" s="1265"/>
      <c r="IC836" s="1265"/>
      <c r="ID836" s="1265"/>
      <c r="IE836" s="1265"/>
      <c r="IF836" s="1265"/>
      <c r="IG836" s="1265"/>
      <c r="IH836" s="1265"/>
      <c r="II836" s="1265"/>
      <c r="IJ836" s="1265"/>
      <c r="IK836" s="1265"/>
      <c r="IL836" s="1265"/>
      <c r="IM836" s="1265"/>
      <c r="IN836" s="1265"/>
      <c r="IO836" s="1265"/>
      <c r="IP836" s="1265"/>
      <c r="IQ836" s="1265"/>
      <c r="IR836" s="1265"/>
      <c r="IS836" s="1265"/>
      <c r="IT836" s="1265"/>
      <c r="IU836" s="1265"/>
      <c r="IV836" s="1265"/>
      <c r="IW836" s="1265"/>
      <c r="IX836" s="1265"/>
      <c r="IY836" s="1265"/>
      <c r="IZ836" s="1265"/>
      <c r="JA836" s="1265"/>
      <c r="JB836" s="1265"/>
      <c r="JC836" s="1265"/>
      <c r="JD836" s="1265"/>
      <c r="JE836" s="1265"/>
      <c r="JF836" s="1265"/>
      <c r="JG836" s="1265"/>
      <c r="JH836" s="1265"/>
      <c r="JI836" s="1265"/>
      <c r="JJ836" s="1265"/>
      <c r="JK836" s="1265"/>
      <c r="JL836" s="1265"/>
      <c r="JM836" s="1265"/>
      <c r="JN836" s="1265"/>
      <c r="JO836" s="1265"/>
      <c r="JP836" s="1265"/>
      <c r="JQ836" s="1265"/>
      <c r="JR836" s="1265"/>
      <c r="JS836" s="1265"/>
      <c r="JT836" s="1265"/>
      <c r="JU836" s="1265"/>
      <c r="JV836" s="1265"/>
      <c r="JW836" s="1265"/>
      <c r="JX836" s="1265"/>
      <c r="JY836" s="1265"/>
      <c r="JZ836" s="1265"/>
      <c r="KA836" s="1265"/>
      <c r="KB836" s="1265"/>
      <c r="KC836" s="1265"/>
      <c r="KD836" s="1265"/>
      <c r="KE836" s="1265"/>
      <c r="KF836" s="1265"/>
      <c r="KG836" s="1265"/>
      <c r="KH836" s="1265"/>
      <c r="KI836" s="1265"/>
      <c r="KJ836" s="1265"/>
      <c r="KK836" s="1265"/>
      <c r="KL836" s="1265"/>
      <c r="KM836" s="1265"/>
      <c r="KN836" s="1265"/>
      <c r="KO836" s="1265"/>
      <c r="KP836" s="1265"/>
      <c r="KQ836" s="1265"/>
      <c r="KR836" s="1265"/>
      <c r="KS836" s="1265"/>
      <c r="KT836" s="1265"/>
      <c r="KU836" s="1265"/>
      <c r="KV836" s="1265"/>
      <c r="KW836" s="1265"/>
      <c r="KX836" s="1265"/>
      <c r="KY836" s="1265"/>
      <c r="KZ836" s="1265"/>
      <c r="LA836" s="1265"/>
      <c r="LB836" s="1265"/>
      <c r="LC836" s="1265"/>
      <c r="LD836" s="1265"/>
      <c r="LE836" s="1265"/>
      <c r="LF836" s="1265"/>
      <c r="LG836" s="1265"/>
      <c r="LH836" s="1265"/>
      <c r="LI836" s="1265"/>
      <c r="LJ836" s="1265"/>
      <c r="LK836" s="1265"/>
      <c r="LL836" s="1265"/>
      <c r="LM836" s="1265"/>
      <c r="LN836" s="1265"/>
      <c r="LO836" s="1265"/>
      <c r="LP836" s="1265"/>
      <c r="LQ836" s="1265"/>
      <c r="LR836" s="1265"/>
      <c r="LS836" s="1265"/>
      <c r="LT836" s="1265"/>
      <c r="LU836" s="1265"/>
      <c r="LV836" s="1265"/>
      <c r="LW836" s="1265"/>
      <c r="LX836" s="1265"/>
      <c r="LY836" s="1265"/>
      <c r="LZ836" s="1265"/>
      <c r="MA836" s="1265"/>
      <c r="MB836" s="1265"/>
      <c r="MC836" s="1265"/>
      <c r="MD836" s="1265"/>
      <c r="ME836" s="1265"/>
      <c r="MF836" s="1265"/>
      <c r="MG836" s="1265"/>
      <c r="MH836" s="1265"/>
      <c r="MI836" s="1265"/>
      <c r="MJ836" s="1265"/>
      <c r="MK836" s="1265"/>
      <c r="ML836" s="1265"/>
      <c r="MM836" s="1265"/>
      <c r="MN836" s="1265"/>
      <c r="MO836" s="1265"/>
      <c r="MP836" s="1265"/>
      <c r="MQ836" s="1265"/>
      <c r="MR836" s="1265"/>
      <c r="MS836" s="1265"/>
      <c r="MT836" s="1265"/>
      <c r="MU836" s="1265"/>
      <c r="MV836" s="1265"/>
      <c r="MW836" s="1265"/>
      <c r="MX836" s="1265"/>
      <c r="MY836" s="1265"/>
      <c r="MZ836" s="1265"/>
      <c r="NA836" s="1265"/>
      <c r="NB836" s="1265"/>
      <c r="NC836" s="1265"/>
      <c r="ND836" s="1265"/>
      <c r="NE836" s="1265"/>
      <c r="NF836" s="1265"/>
      <c r="NG836" s="1265"/>
      <c r="NH836" s="1265"/>
      <c r="NI836" s="1265"/>
      <c r="NJ836" s="1265"/>
      <c r="NK836" s="1265"/>
      <c r="NL836" s="1265"/>
      <c r="NM836" s="1265"/>
      <c r="NN836" s="1265"/>
      <c r="NO836" s="1265"/>
      <c r="NP836" s="1265"/>
      <c r="NQ836" s="1265"/>
      <c r="NR836" s="1265"/>
      <c r="NS836" s="1265"/>
      <c r="NT836" s="1265"/>
      <c r="NU836" s="1265"/>
      <c r="NV836" s="1265"/>
      <c r="NW836" s="1265"/>
      <c r="NX836" s="1265"/>
      <c r="NY836" s="1265"/>
      <c r="NZ836" s="1265"/>
      <c r="OA836" s="1265"/>
      <c r="OB836" s="1265"/>
      <c r="OC836" s="1265"/>
      <c r="OD836" s="1265"/>
      <c r="OE836" s="1265"/>
      <c r="OF836" s="1265"/>
      <c r="OG836" s="1265"/>
      <c r="OH836" s="1265"/>
      <c r="OI836" s="1265"/>
      <c r="OJ836" s="1265"/>
      <c r="OK836" s="1265"/>
      <c r="OL836" s="1265"/>
      <c r="OM836" s="1265"/>
      <c r="ON836" s="1265"/>
      <c r="OO836" s="1265"/>
      <c r="OP836" s="1265"/>
      <c r="OQ836" s="1265"/>
      <c r="OR836" s="1265"/>
      <c r="OS836" s="1265"/>
      <c r="OT836" s="1265"/>
      <c r="OU836" s="1265"/>
      <c r="OV836" s="1265"/>
      <c r="OW836" s="1265"/>
      <c r="OX836" s="1265"/>
      <c r="OY836" s="1265"/>
      <c r="OZ836" s="1265"/>
      <c r="PA836" s="1265"/>
      <c r="PB836" s="1265"/>
      <c r="PC836" s="1265"/>
      <c r="PD836" s="1265"/>
      <c r="PE836" s="1265"/>
      <c r="PF836" s="1265"/>
      <c r="PG836" s="1265"/>
      <c r="PH836" s="1265"/>
      <c r="PI836" s="1265"/>
      <c r="PJ836" s="1265"/>
      <c r="PK836" s="1265"/>
      <c r="PL836" s="1265"/>
      <c r="PM836" s="1265"/>
      <c r="PN836" s="1265"/>
      <c r="PO836" s="1265"/>
      <c r="PP836" s="1265"/>
      <c r="PQ836" s="1265"/>
      <c r="PR836" s="1265"/>
      <c r="PS836" s="1265"/>
      <c r="PT836" s="1265"/>
      <c r="PU836" s="1265"/>
      <c r="PV836" s="1265"/>
      <c r="PW836" s="1265"/>
      <c r="PX836" s="1265"/>
      <c r="PY836" s="1265"/>
      <c r="PZ836" s="1265"/>
      <c r="QA836" s="1265"/>
      <c r="QB836" s="1265"/>
      <c r="QC836" s="1265"/>
      <c r="QD836" s="1265"/>
      <c r="QE836" s="1265"/>
      <c r="QF836" s="1265"/>
      <c r="QG836" s="1265"/>
      <c r="QH836" s="1265"/>
      <c r="QI836" s="1265"/>
      <c r="QJ836" s="1265"/>
      <c r="QK836" s="1265"/>
      <c r="QL836" s="1265"/>
      <c r="QM836" s="1265"/>
      <c r="QN836" s="1265"/>
      <c r="QO836" s="1265"/>
      <c r="QP836" s="1265"/>
      <c r="QQ836" s="1265"/>
      <c r="QR836" s="1265"/>
      <c r="QS836" s="1265"/>
      <c r="QT836" s="1265"/>
      <c r="QU836" s="1265"/>
      <c r="QV836" s="1265"/>
      <c r="QW836" s="1265"/>
      <c r="QX836" s="1265"/>
      <c r="QY836" s="1265"/>
      <c r="QZ836" s="1265"/>
      <c r="RA836" s="1265"/>
      <c r="RB836" s="1265"/>
      <c r="RC836" s="1265"/>
      <c r="RD836" s="1265"/>
      <c r="RE836" s="1265"/>
      <c r="RF836" s="1265"/>
      <c r="RG836" s="1265"/>
      <c r="RH836" s="1265"/>
      <c r="RI836" s="1265"/>
      <c r="RJ836" s="1265"/>
      <c r="RK836" s="1265"/>
      <c r="RL836" s="1265"/>
      <c r="RM836" s="1265"/>
      <c r="RN836" s="1265"/>
      <c r="RO836" s="1265"/>
      <c r="RP836" s="1265"/>
      <c r="RQ836" s="1265"/>
      <c r="RR836" s="1265"/>
      <c r="RS836" s="1265"/>
      <c r="RT836" s="1265"/>
      <c r="RU836" s="1265"/>
      <c r="RV836" s="1265"/>
      <c r="RW836" s="1265"/>
      <c r="RX836" s="1265"/>
      <c r="RY836" s="1265"/>
      <c r="RZ836" s="1265"/>
      <c r="SA836" s="1265"/>
      <c r="SB836" s="1265"/>
      <c r="SC836" s="1265"/>
      <c r="SD836" s="1265"/>
      <c r="SE836" s="1265"/>
      <c r="SF836" s="1265"/>
      <c r="SG836" s="1265"/>
      <c r="SH836" s="1265"/>
      <c r="SI836" s="1265"/>
      <c r="SJ836" s="1265"/>
      <c r="SK836" s="1265"/>
      <c r="SL836" s="1265"/>
      <c r="SM836" s="1265"/>
      <c r="SN836" s="1265"/>
      <c r="SO836" s="1265"/>
      <c r="SP836" s="1265"/>
      <c r="SQ836" s="1265"/>
      <c r="SR836" s="1265"/>
      <c r="SS836" s="1265"/>
      <c r="ST836" s="1265"/>
      <c r="SU836" s="1265"/>
      <c r="SV836" s="1265"/>
      <c r="SW836" s="1265"/>
      <c r="SX836" s="1265"/>
      <c r="SY836" s="1265"/>
      <c r="SZ836" s="1265"/>
      <c r="TA836" s="1265"/>
      <c r="TB836" s="1265"/>
      <c r="TC836" s="1265"/>
      <c r="TD836" s="1265"/>
      <c r="TE836" s="1265"/>
      <c r="TF836" s="1265"/>
      <c r="TG836" s="1265"/>
      <c r="TH836" s="1265"/>
      <c r="TI836" s="1265"/>
      <c r="TJ836" s="1265"/>
      <c r="TK836" s="1265"/>
      <c r="TL836" s="1265"/>
      <c r="TM836" s="1265"/>
      <c r="TN836" s="1265"/>
      <c r="TO836" s="1265"/>
      <c r="TP836" s="1265"/>
      <c r="TQ836" s="1265"/>
      <c r="TR836" s="1265"/>
      <c r="TS836" s="1265"/>
      <c r="TT836" s="1265"/>
      <c r="TU836" s="1265"/>
      <c r="TV836" s="1265"/>
      <c r="TW836" s="1265"/>
      <c r="TX836" s="1265"/>
      <c r="TY836" s="1265"/>
      <c r="TZ836" s="1265"/>
      <c r="UA836" s="1265"/>
      <c r="UB836" s="1265"/>
      <c r="UC836" s="1265"/>
      <c r="UD836" s="1265"/>
      <c r="UE836" s="1265"/>
      <c r="UF836" s="1265"/>
      <c r="UG836" s="1266"/>
    </row>
    <row r="837" spans="1:553" s="1262" customFormat="1" ht="30.75" customHeight="1">
      <c r="A837" s="445"/>
      <c r="B837" s="445"/>
      <c r="C837" s="1405" t="s">
        <v>1408</v>
      </c>
      <c r="D837" s="1406" t="s">
        <v>1197</v>
      </c>
      <c r="E837" s="1406" t="s">
        <v>1197</v>
      </c>
      <c r="F837" s="1407" t="s">
        <v>1197</v>
      </c>
      <c r="G837" s="418" t="s">
        <v>193</v>
      </c>
      <c r="H837" s="359"/>
      <c r="I837" s="443">
        <v>3</v>
      </c>
      <c r="J837" s="368">
        <v>85000</v>
      </c>
      <c r="K837" s="443"/>
      <c r="L837" s="646">
        <f>ROUND(PRODUCT(I837:K837),0)</f>
        <v>255000</v>
      </c>
      <c r="M837" s="356"/>
      <c r="N837" s="356"/>
      <c r="O837" s="356"/>
      <c r="P837" s="356"/>
      <c r="Q837" s="610"/>
      <c r="R837" s="1228"/>
      <c r="S837" s="308"/>
      <c r="T837" s="308"/>
      <c r="U837" s="308"/>
      <c r="V837" s="308"/>
      <c r="W837" s="308"/>
      <c r="X837" s="308"/>
      <c r="Y837" s="308"/>
      <c r="Z837" s="604"/>
      <c r="AA837" s="308"/>
      <c r="AB837" s="308"/>
      <c r="AC837" s="454"/>
      <c r="AD837" s="454"/>
      <c r="AE837" s="454"/>
      <c r="AF837" s="454"/>
      <c r="AG837" s="454"/>
      <c r="AH837" s="454"/>
      <c r="AI837" s="454"/>
      <c r="AJ837" s="454"/>
      <c r="AK837" s="455"/>
      <c r="AL837" s="1263"/>
      <c r="AM837" s="1263"/>
      <c r="AN837" s="1263"/>
      <c r="AO837" s="1263"/>
      <c r="AP837" s="1263"/>
      <c r="AQ837" s="1263"/>
      <c r="AR837" s="1263"/>
      <c r="AS837" s="1264"/>
      <c r="AT837" s="1264"/>
      <c r="AU837" s="1264"/>
      <c r="AV837" s="1264"/>
      <c r="AW837" s="1264"/>
      <c r="AX837" s="1264"/>
      <c r="AY837" s="1264"/>
      <c r="AZ837" s="1264"/>
      <c r="BA837" s="1264"/>
      <c r="BB837" s="1264"/>
      <c r="BC837" s="1264"/>
      <c r="BD837" s="1264"/>
      <c r="BE837" s="1264"/>
      <c r="BF837" s="1264"/>
      <c r="BG837" s="1264"/>
      <c r="BH837" s="1264"/>
      <c r="BI837" s="1264"/>
      <c r="BJ837" s="1264"/>
      <c r="BK837" s="1264"/>
      <c r="BL837" s="1264"/>
      <c r="BM837" s="1264"/>
      <c r="BN837" s="1264"/>
      <c r="BO837" s="1264"/>
      <c r="BP837" s="1265"/>
      <c r="BQ837" s="1265"/>
      <c r="BR837" s="1265"/>
      <c r="BS837" s="1265"/>
      <c r="BT837" s="1265"/>
      <c r="BU837" s="1265"/>
      <c r="BV837" s="1265"/>
      <c r="BW837" s="1265"/>
      <c r="BX837" s="1265"/>
      <c r="BY837" s="1265"/>
      <c r="BZ837" s="1265"/>
      <c r="CA837" s="1265"/>
      <c r="CB837" s="1265"/>
      <c r="CC837" s="1265"/>
      <c r="CD837" s="1265"/>
      <c r="CE837" s="1265"/>
      <c r="CF837" s="1265"/>
      <c r="CG837" s="1265"/>
      <c r="CH837" s="1265"/>
      <c r="CI837" s="1265"/>
      <c r="CJ837" s="1265"/>
      <c r="CK837" s="1265"/>
      <c r="CL837" s="1265"/>
      <c r="CM837" s="1265"/>
      <c r="CN837" s="1265"/>
      <c r="CO837" s="1265"/>
      <c r="CP837" s="1265"/>
      <c r="CQ837" s="1265"/>
      <c r="CR837" s="1265"/>
      <c r="CS837" s="1265"/>
      <c r="CT837" s="1265"/>
      <c r="CU837" s="1265"/>
      <c r="CV837" s="1265"/>
      <c r="CW837" s="1265"/>
      <c r="CX837" s="1265"/>
      <c r="CY837" s="1265"/>
      <c r="CZ837" s="1265"/>
      <c r="DA837" s="1265"/>
      <c r="DB837" s="1265"/>
      <c r="DC837" s="1265"/>
      <c r="DD837" s="1265"/>
      <c r="DE837" s="1265"/>
      <c r="DF837" s="1265"/>
      <c r="DG837" s="1265"/>
      <c r="DH837" s="1265"/>
      <c r="DI837" s="1265"/>
      <c r="DJ837" s="1265"/>
      <c r="DK837" s="1265"/>
      <c r="DL837" s="1265"/>
      <c r="DM837" s="1265"/>
      <c r="DN837" s="1265"/>
      <c r="DO837" s="1265"/>
      <c r="DP837" s="1265"/>
      <c r="DQ837" s="1265"/>
      <c r="DR837" s="1265"/>
      <c r="DS837" s="1265"/>
      <c r="DT837" s="1265"/>
      <c r="DU837" s="1265"/>
      <c r="DV837" s="1265"/>
      <c r="DW837" s="1265"/>
      <c r="DX837" s="1265"/>
      <c r="DY837" s="1265"/>
      <c r="DZ837" s="1265"/>
      <c r="EA837" s="1265"/>
      <c r="EB837" s="1265"/>
      <c r="EC837" s="1265"/>
      <c r="ED837" s="1265"/>
      <c r="EE837" s="1265"/>
      <c r="EF837" s="1265"/>
      <c r="EG837" s="1265"/>
      <c r="EH837" s="1265"/>
      <c r="EI837" s="1265"/>
      <c r="EJ837" s="1265"/>
      <c r="EK837" s="1265"/>
      <c r="EL837" s="1265"/>
      <c r="EM837" s="1265"/>
      <c r="EN837" s="1265"/>
      <c r="EO837" s="1265"/>
      <c r="EP837" s="1265"/>
      <c r="EQ837" s="1265"/>
      <c r="ER837" s="1265"/>
      <c r="ES837" s="1265"/>
      <c r="ET837" s="1265"/>
      <c r="EU837" s="1265"/>
      <c r="EV837" s="1265"/>
      <c r="EW837" s="1265"/>
      <c r="EX837" s="1265"/>
      <c r="EY837" s="1265"/>
      <c r="EZ837" s="1265"/>
      <c r="FA837" s="1265"/>
      <c r="FB837" s="1265"/>
      <c r="FC837" s="1265"/>
      <c r="FD837" s="1265"/>
      <c r="FE837" s="1265"/>
      <c r="FF837" s="1265"/>
      <c r="FG837" s="1265"/>
      <c r="FH837" s="1265"/>
      <c r="FI837" s="1265"/>
      <c r="FJ837" s="1265"/>
      <c r="FK837" s="1265"/>
      <c r="FL837" s="1265"/>
      <c r="FM837" s="1265"/>
      <c r="FN837" s="1265"/>
      <c r="FO837" s="1265"/>
      <c r="FP837" s="1265"/>
      <c r="FQ837" s="1265"/>
      <c r="FR837" s="1265"/>
      <c r="FS837" s="1265"/>
      <c r="FT837" s="1265"/>
      <c r="FU837" s="1265"/>
      <c r="FV837" s="1265"/>
      <c r="FW837" s="1265"/>
      <c r="FX837" s="1265"/>
      <c r="FY837" s="1265"/>
      <c r="FZ837" s="1265"/>
      <c r="GA837" s="1265"/>
      <c r="GB837" s="1265"/>
      <c r="GC837" s="1265"/>
      <c r="GD837" s="1265"/>
      <c r="GE837" s="1265"/>
      <c r="GF837" s="1265"/>
      <c r="GG837" s="1265"/>
      <c r="GH837" s="1265"/>
      <c r="GI837" s="1265"/>
      <c r="GJ837" s="1265"/>
      <c r="GK837" s="1265"/>
      <c r="GL837" s="1265"/>
      <c r="GM837" s="1265"/>
      <c r="GN837" s="1265"/>
      <c r="GO837" s="1265"/>
      <c r="GP837" s="1265"/>
      <c r="GQ837" s="1265"/>
      <c r="GR837" s="1265"/>
      <c r="GS837" s="1265"/>
      <c r="GT837" s="1265"/>
      <c r="GU837" s="1265"/>
      <c r="GV837" s="1265"/>
      <c r="GW837" s="1265"/>
      <c r="GX837" s="1265"/>
      <c r="GY837" s="1265"/>
      <c r="GZ837" s="1265"/>
      <c r="HA837" s="1265"/>
      <c r="HB837" s="1265"/>
      <c r="HC837" s="1265"/>
      <c r="HD837" s="1265"/>
      <c r="HE837" s="1265"/>
      <c r="HF837" s="1265"/>
      <c r="HG837" s="1265"/>
      <c r="HH837" s="1265"/>
      <c r="HI837" s="1265"/>
      <c r="HJ837" s="1265"/>
      <c r="HK837" s="1265"/>
      <c r="HL837" s="1265"/>
      <c r="HM837" s="1265"/>
      <c r="HN837" s="1265"/>
      <c r="HO837" s="1265"/>
      <c r="HP837" s="1265"/>
      <c r="HQ837" s="1265"/>
      <c r="HR837" s="1265"/>
      <c r="HS837" s="1265"/>
      <c r="HT837" s="1265"/>
      <c r="HU837" s="1265"/>
      <c r="HV837" s="1265"/>
      <c r="HW837" s="1265"/>
      <c r="HX837" s="1265"/>
      <c r="HY837" s="1265"/>
      <c r="HZ837" s="1265"/>
      <c r="IA837" s="1265"/>
      <c r="IB837" s="1265"/>
      <c r="IC837" s="1265"/>
      <c r="ID837" s="1265"/>
      <c r="IE837" s="1265"/>
      <c r="IF837" s="1265"/>
      <c r="IG837" s="1265"/>
      <c r="IH837" s="1265"/>
      <c r="II837" s="1265"/>
      <c r="IJ837" s="1265"/>
      <c r="IK837" s="1265"/>
      <c r="IL837" s="1265"/>
      <c r="IM837" s="1265"/>
      <c r="IN837" s="1265"/>
      <c r="IO837" s="1265"/>
      <c r="IP837" s="1265"/>
      <c r="IQ837" s="1265"/>
      <c r="IR837" s="1265"/>
      <c r="IS837" s="1265"/>
      <c r="IT837" s="1265"/>
      <c r="IU837" s="1265"/>
      <c r="IV837" s="1265"/>
      <c r="IW837" s="1265"/>
      <c r="IX837" s="1265"/>
      <c r="IY837" s="1265"/>
      <c r="IZ837" s="1265"/>
      <c r="JA837" s="1265"/>
      <c r="JB837" s="1265"/>
      <c r="JC837" s="1265"/>
      <c r="JD837" s="1265"/>
      <c r="JE837" s="1265"/>
      <c r="JF837" s="1265"/>
      <c r="JG837" s="1265"/>
      <c r="JH837" s="1265"/>
      <c r="JI837" s="1265"/>
      <c r="JJ837" s="1265"/>
      <c r="JK837" s="1265"/>
      <c r="JL837" s="1265"/>
      <c r="JM837" s="1265"/>
      <c r="JN837" s="1265"/>
      <c r="JO837" s="1265"/>
      <c r="JP837" s="1265"/>
      <c r="JQ837" s="1265"/>
      <c r="JR837" s="1265"/>
      <c r="JS837" s="1265"/>
      <c r="JT837" s="1265"/>
      <c r="JU837" s="1265"/>
      <c r="JV837" s="1265"/>
      <c r="JW837" s="1265"/>
      <c r="JX837" s="1265"/>
      <c r="JY837" s="1265"/>
      <c r="JZ837" s="1265"/>
      <c r="KA837" s="1265"/>
      <c r="KB837" s="1265"/>
      <c r="KC837" s="1265"/>
      <c r="KD837" s="1265"/>
      <c r="KE837" s="1265"/>
      <c r="KF837" s="1265"/>
      <c r="KG837" s="1265"/>
      <c r="KH837" s="1265"/>
      <c r="KI837" s="1265"/>
      <c r="KJ837" s="1265"/>
      <c r="KK837" s="1265"/>
      <c r="KL837" s="1265"/>
      <c r="KM837" s="1265"/>
      <c r="KN837" s="1265"/>
      <c r="KO837" s="1265"/>
      <c r="KP837" s="1265"/>
      <c r="KQ837" s="1265"/>
      <c r="KR837" s="1265"/>
      <c r="KS837" s="1265"/>
      <c r="KT837" s="1265"/>
      <c r="KU837" s="1265"/>
      <c r="KV837" s="1265"/>
      <c r="KW837" s="1265"/>
      <c r="KX837" s="1265"/>
      <c r="KY837" s="1265"/>
      <c r="KZ837" s="1265"/>
      <c r="LA837" s="1265"/>
      <c r="LB837" s="1265"/>
      <c r="LC837" s="1265"/>
      <c r="LD837" s="1265"/>
      <c r="LE837" s="1265"/>
      <c r="LF837" s="1265"/>
      <c r="LG837" s="1265"/>
      <c r="LH837" s="1265"/>
      <c r="LI837" s="1265"/>
      <c r="LJ837" s="1265"/>
      <c r="LK837" s="1265"/>
      <c r="LL837" s="1265"/>
      <c r="LM837" s="1265"/>
      <c r="LN837" s="1265"/>
      <c r="LO837" s="1265"/>
      <c r="LP837" s="1265"/>
      <c r="LQ837" s="1265"/>
      <c r="LR837" s="1265"/>
      <c r="LS837" s="1265"/>
      <c r="LT837" s="1265"/>
      <c r="LU837" s="1265"/>
      <c r="LV837" s="1265"/>
      <c r="LW837" s="1265"/>
      <c r="LX837" s="1265"/>
      <c r="LY837" s="1265"/>
      <c r="LZ837" s="1265"/>
      <c r="MA837" s="1265"/>
      <c r="MB837" s="1265"/>
      <c r="MC837" s="1265"/>
      <c r="MD837" s="1265"/>
      <c r="ME837" s="1265"/>
      <c r="MF837" s="1265"/>
      <c r="MG837" s="1265"/>
      <c r="MH837" s="1265"/>
      <c r="MI837" s="1265"/>
      <c r="MJ837" s="1265"/>
      <c r="MK837" s="1265"/>
      <c r="ML837" s="1265"/>
      <c r="MM837" s="1265"/>
      <c r="MN837" s="1265"/>
      <c r="MO837" s="1265"/>
      <c r="MP837" s="1265"/>
      <c r="MQ837" s="1265"/>
      <c r="MR837" s="1265"/>
      <c r="MS837" s="1265"/>
      <c r="MT837" s="1265"/>
      <c r="MU837" s="1265"/>
      <c r="MV837" s="1265"/>
      <c r="MW837" s="1265"/>
      <c r="MX837" s="1265"/>
      <c r="MY837" s="1265"/>
      <c r="MZ837" s="1265"/>
      <c r="NA837" s="1265"/>
      <c r="NB837" s="1265"/>
      <c r="NC837" s="1265"/>
      <c r="ND837" s="1265"/>
      <c r="NE837" s="1265"/>
      <c r="NF837" s="1265"/>
      <c r="NG837" s="1265"/>
      <c r="NH837" s="1265"/>
      <c r="NI837" s="1265"/>
      <c r="NJ837" s="1265"/>
      <c r="NK837" s="1265"/>
      <c r="NL837" s="1265"/>
      <c r="NM837" s="1265"/>
      <c r="NN837" s="1265"/>
      <c r="NO837" s="1265"/>
      <c r="NP837" s="1265"/>
      <c r="NQ837" s="1265"/>
      <c r="NR837" s="1265"/>
      <c r="NS837" s="1265"/>
      <c r="NT837" s="1265"/>
      <c r="NU837" s="1265"/>
      <c r="NV837" s="1265"/>
      <c r="NW837" s="1265"/>
      <c r="NX837" s="1265"/>
      <c r="NY837" s="1265"/>
      <c r="NZ837" s="1265"/>
      <c r="OA837" s="1265"/>
      <c r="OB837" s="1265"/>
      <c r="OC837" s="1265"/>
      <c r="OD837" s="1265"/>
      <c r="OE837" s="1265"/>
      <c r="OF837" s="1265"/>
      <c r="OG837" s="1265"/>
      <c r="OH837" s="1265"/>
      <c r="OI837" s="1265"/>
      <c r="OJ837" s="1265"/>
      <c r="OK837" s="1265"/>
      <c r="OL837" s="1265"/>
      <c r="OM837" s="1265"/>
      <c r="ON837" s="1265"/>
      <c r="OO837" s="1265"/>
      <c r="OP837" s="1265"/>
      <c r="OQ837" s="1265"/>
      <c r="OR837" s="1265"/>
      <c r="OS837" s="1265"/>
      <c r="OT837" s="1265"/>
      <c r="OU837" s="1265"/>
      <c r="OV837" s="1265"/>
      <c r="OW837" s="1265"/>
      <c r="OX837" s="1265"/>
      <c r="OY837" s="1265"/>
      <c r="OZ837" s="1265"/>
      <c r="PA837" s="1265"/>
      <c r="PB837" s="1265"/>
      <c r="PC837" s="1265"/>
      <c r="PD837" s="1265"/>
      <c r="PE837" s="1265"/>
      <c r="PF837" s="1265"/>
      <c r="PG837" s="1265"/>
      <c r="PH837" s="1265"/>
      <c r="PI837" s="1265"/>
      <c r="PJ837" s="1265"/>
      <c r="PK837" s="1265"/>
      <c r="PL837" s="1265"/>
      <c r="PM837" s="1265"/>
      <c r="PN837" s="1265"/>
      <c r="PO837" s="1265"/>
      <c r="PP837" s="1265"/>
      <c r="PQ837" s="1265"/>
      <c r="PR837" s="1265"/>
      <c r="PS837" s="1265"/>
      <c r="PT837" s="1265"/>
      <c r="PU837" s="1265"/>
      <c r="PV837" s="1265"/>
      <c r="PW837" s="1265"/>
      <c r="PX837" s="1265"/>
      <c r="PY837" s="1265"/>
      <c r="PZ837" s="1265"/>
      <c r="QA837" s="1265"/>
      <c r="QB837" s="1265"/>
      <c r="QC837" s="1265"/>
      <c r="QD837" s="1265"/>
      <c r="QE837" s="1265"/>
      <c r="QF837" s="1265"/>
      <c r="QG837" s="1265"/>
      <c r="QH837" s="1265"/>
      <c r="QI837" s="1265"/>
      <c r="QJ837" s="1265"/>
      <c r="QK837" s="1265"/>
      <c r="QL837" s="1265"/>
      <c r="QM837" s="1265"/>
      <c r="QN837" s="1265"/>
      <c r="QO837" s="1265"/>
      <c r="QP837" s="1265"/>
      <c r="QQ837" s="1265"/>
      <c r="QR837" s="1265"/>
      <c r="QS837" s="1265"/>
      <c r="QT837" s="1265"/>
      <c r="QU837" s="1265"/>
      <c r="QV837" s="1265"/>
      <c r="QW837" s="1265"/>
      <c r="QX837" s="1265"/>
      <c r="QY837" s="1265"/>
      <c r="QZ837" s="1265"/>
      <c r="RA837" s="1265"/>
      <c r="RB837" s="1265"/>
      <c r="RC837" s="1265"/>
      <c r="RD837" s="1265"/>
      <c r="RE837" s="1265"/>
      <c r="RF837" s="1265"/>
      <c r="RG837" s="1265"/>
      <c r="RH837" s="1265"/>
      <c r="RI837" s="1265"/>
      <c r="RJ837" s="1265"/>
      <c r="RK837" s="1265"/>
      <c r="RL837" s="1265"/>
      <c r="RM837" s="1265"/>
      <c r="RN837" s="1265"/>
      <c r="RO837" s="1265"/>
      <c r="RP837" s="1265"/>
      <c r="RQ837" s="1265"/>
      <c r="RR837" s="1265"/>
      <c r="RS837" s="1265"/>
      <c r="RT837" s="1265"/>
      <c r="RU837" s="1265"/>
      <c r="RV837" s="1265"/>
      <c r="RW837" s="1265"/>
      <c r="RX837" s="1265"/>
      <c r="RY837" s="1265"/>
      <c r="RZ837" s="1265"/>
      <c r="SA837" s="1265"/>
      <c r="SB837" s="1265"/>
      <c r="SC837" s="1265"/>
      <c r="SD837" s="1265"/>
      <c r="SE837" s="1265"/>
      <c r="SF837" s="1265"/>
      <c r="SG837" s="1265"/>
      <c r="SH837" s="1265"/>
      <c r="SI837" s="1265"/>
      <c r="SJ837" s="1265"/>
      <c r="SK837" s="1265"/>
      <c r="SL837" s="1265"/>
      <c r="SM837" s="1265"/>
      <c r="SN837" s="1265"/>
      <c r="SO837" s="1265"/>
      <c r="SP837" s="1265"/>
      <c r="SQ837" s="1265"/>
      <c r="SR837" s="1265"/>
      <c r="SS837" s="1265"/>
      <c r="ST837" s="1265"/>
      <c r="SU837" s="1265"/>
      <c r="SV837" s="1265"/>
      <c r="SW837" s="1265"/>
      <c r="SX837" s="1265"/>
      <c r="SY837" s="1265"/>
      <c r="SZ837" s="1265"/>
      <c r="TA837" s="1265"/>
      <c r="TB837" s="1265"/>
      <c r="TC837" s="1265"/>
      <c r="TD837" s="1265"/>
      <c r="TE837" s="1265"/>
      <c r="TF837" s="1265"/>
      <c r="TG837" s="1265"/>
      <c r="TH837" s="1265"/>
      <c r="TI837" s="1265"/>
      <c r="TJ837" s="1265"/>
      <c r="TK837" s="1265"/>
      <c r="TL837" s="1265"/>
      <c r="TM837" s="1265"/>
      <c r="TN837" s="1265"/>
      <c r="TO837" s="1265"/>
      <c r="TP837" s="1265"/>
      <c r="TQ837" s="1265"/>
      <c r="TR837" s="1265"/>
      <c r="TS837" s="1265"/>
      <c r="TT837" s="1265"/>
      <c r="TU837" s="1265"/>
      <c r="TV837" s="1265"/>
      <c r="TW837" s="1265"/>
      <c r="TX837" s="1265"/>
      <c r="TY837" s="1265"/>
      <c r="TZ837" s="1265"/>
      <c r="UA837" s="1265"/>
      <c r="UB837" s="1265"/>
      <c r="UC837" s="1265"/>
      <c r="UD837" s="1265"/>
      <c r="UE837" s="1265"/>
      <c r="UF837" s="1265"/>
      <c r="UG837" s="1266"/>
    </row>
    <row r="838" spans="1:553" s="1262" customFormat="1" ht="30.75" customHeight="1">
      <c r="A838" s="445"/>
      <c r="B838" s="445"/>
      <c r="C838" s="1405" t="s">
        <v>1198</v>
      </c>
      <c r="D838" s="1406" t="s">
        <v>1198</v>
      </c>
      <c r="E838" s="1406" t="s">
        <v>1198</v>
      </c>
      <c r="F838" s="1407" t="s">
        <v>1198</v>
      </c>
      <c r="G838" s="418" t="s">
        <v>193</v>
      </c>
      <c r="H838" s="359"/>
      <c r="I838" s="443">
        <v>6</v>
      </c>
      <c r="J838" s="368">
        <v>65000</v>
      </c>
      <c r="K838" s="443"/>
      <c r="L838" s="646">
        <f>ROUND(PRODUCT(I838:K838),0)</f>
        <v>390000</v>
      </c>
      <c r="M838" s="356"/>
      <c r="N838" s="356"/>
      <c r="O838" s="356"/>
      <c r="P838" s="356"/>
      <c r="Q838" s="610"/>
      <c r="R838" s="1228"/>
      <c r="S838" s="308"/>
      <c r="T838" s="308"/>
      <c r="U838" s="308"/>
      <c r="V838" s="308"/>
      <c r="W838" s="308"/>
      <c r="X838" s="308"/>
      <c r="Y838" s="308"/>
      <c r="Z838" s="604"/>
      <c r="AA838" s="308"/>
      <c r="AB838" s="308"/>
      <c r="AC838" s="454"/>
      <c r="AD838" s="454"/>
      <c r="AE838" s="454"/>
      <c r="AF838" s="454"/>
      <c r="AG838" s="454"/>
      <c r="AH838" s="454"/>
      <c r="AI838" s="454"/>
      <c r="AJ838" s="454"/>
      <c r="AK838" s="455"/>
      <c r="AL838" s="1263"/>
      <c r="AM838" s="1263"/>
      <c r="AN838" s="1263"/>
      <c r="AO838" s="1263"/>
      <c r="AP838" s="1263"/>
      <c r="AQ838" s="1263"/>
      <c r="AR838" s="1263"/>
      <c r="AS838" s="1264"/>
      <c r="AT838" s="1264"/>
      <c r="AU838" s="1264"/>
      <c r="AV838" s="1264"/>
      <c r="AW838" s="1264"/>
      <c r="AX838" s="1264"/>
      <c r="AY838" s="1264"/>
      <c r="AZ838" s="1264"/>
      <c r="BA838" s="1264"/>
      <c r="BB838" s="1264"/>
      <c r="BC838" s="1264"/>
      <c r="BD838" s="1264"/>
      <c r="BE838" s="1264"/>
      <c r="BF838" s="1264"/>
      <c r="BG838" s="1264"/>
      <c r="BH838" s="1264"/>
      <c r="BI838" s="1264"/>
      <c r="BJ838" s="1264"/>
      <c r="BK838" s="1264"/>
      <c r="BL838" s="1264"/>
      <c r="BM838" s="1264"/>
      <c r="BN838" s="1264"/>
      <c r="BO838" s="1264"/>
      <c r="BP838" s="1265"/>
      <c r="BQ838" s="1265"/>
      <c r="BR838" s="1265"/>
      <c r="BS838" s="1265"/>
      <c r="BT838" s="1265"/>
      <c r="BU838" s="1265"/>
      <c r="BV838" s="1265"/>
      <c r="BW838" s="1265"/>
      <c r="BX838" s="1265"/>
      <c r="BY838" s="1265"/>
      <c r="BZ838" s="1265"/>
      <c r="CA838" s="1265"/>
      <c r="CB838" s="1265"/>
      <c r="CC838" s="1265"/>
      <c r="CD838" s="1265"/>
      <c r="CE838" s="1265"/>
      <c r="CF838" s="1265"/>
      <c r="CG838" s="1265"/>
      <c r="CH838" s="1265"/>
      <c r="CI838" s="1265"/>
      <c r="CJ838" s="1265"/>
      <c r="CK838" s="1265"/>
      <c r="CL838" s="1265"/>
      <c r="CM838" s="1265"/>
      <c r="CN838" s="1265"/>
      <c r="CO838" s="1265"/>
      <c r="CP838" s="1265"/>
      <c r="CQ838" s="1265"/>
      <c r="CR838" s="1265"/>
      <c r="CS838" s="1265"/>
      <c r="CT838" s="1265"/>
      <c r="CU838" s="1265"/>
      <c r="CV838" s="1265"/>
      <c r="CW838" s="1265"/>
      <c r="CX838" s="1265"/>
      <c r="CY838" s="1265"/>
      <c r="CZ838" s="1265"/>
      <c r="DA838" s="1265"/>
      <c r="DB838" s="1265"/>
      <c r="DC838" s="1265"/>
      <c r="DD838" s="1265"/>
      <c r="DE838" s="1265"/>
      <c r="DF838" s="1265"/>
      <c r="DG838" s="1265"/>
      <c r="DH838" s="1265"/>
      <c r="DI838" s="1265"/>
      <c r="DJ838" s="1265"/>
      <c r="DK838" s="1265"/>
      <c r="DL838" s="1265"/>
      <c r="DM838" s="1265"/>
      <c r="DN838" s="1265"/>
      <c r="DO838" s="1265"/>
      <c r="DP838" s="1265"/>
      <c r="DQ838" s="1265"/>
      <c r="DR838" s="1265"/>
      <c r="DS838" s="1265"/>
      <c r="DT838" s="1265"/>
      <c r="DU838" s="1265"/>
      <c r="DV838" s="1265"/>
      <c r="DW838" s="1265"/>
      <c r="DX838" s="1265"/>
      <c r="DY838" s="1265"/>
      <c r="DZ838" s="1265"/>
      <c r="EA838" s="1265"/>
      <c r="EB838" s="1265"/>
      <c r="EC838" s="1265"/>
      <c r="ED838" s="1265"/>
      <c r="EE838" s="1265"/>
      <c r="EF838" s="1265"/>
      <c r="EG838" s="1265"/>
      <c r="EH838" s="1265"/>
      <c r="EI838" s="1265"/>
      <c r="EJ838" s="1265"/>
      <c r="EK838" s="1265"/>
      <c r="EL838" s="1265"/>
      <c r="EM838" s="1265"/>
      <c r="EN838" s="1265"/>
      <c r="EO838" s="1265"/>
      <c r="EP838" s="1265"/>
      <c r="EQ838" s="1265"/>
      <c r="ER838" s="1265"/>
      <c r="ES838" s="1265"/>
      <c r="ET838" s="1265"/>
      <c r="EU838" s="1265"/>
      <c r="EV838" s="1265"/>
      <c r="EW838" s="1265"/>
      <c r="EX838" s="1265"/>
      <c r="EY838" s="1265"/>
      <c r="EZ838" s="1265"/>
      <c r="FA838" s="1265"/>
      <c r="FB838" s="1265"/>
      <c r="FC838" s="1265"/>
      <c r="FD838" s="1265"/>
      <c r="FE838" s="1265"/>
      <c r="FF838" s="1265"/>
      <c r="FG838" s="1265"/>
      <c r="FH838" s="1265"/>
      <c r="FI838" s="1265"/>
      <c r="FJ838" s="1265"/>
      <c r="FK838" s="1265"/>
      <c r="FL838" s="1265"/>
      <c r="FM838" s="1265"/>
      <c r="FN838" s="1265"/>
      <c r="FO838" s="1265"/>
      <c r="FP838" s="1265"/>
      <c r="FQ838" s="1265"/>
      <c r="FR838" s="1265"/>
      <c r="FS838" s="1265"/>
      <c r="FT838" s="1265"/>
      <c r="FU838" s="1265"/>
      <c r="FV838" s="1265"/>
      <c r="FW838" s="1265"/>
      <c r="FX838" s="1265"/>
      <c r="FY838" s="1265"/>
      <c r="FZ838" s="1265"/>
      <c r="GA838" s="1265"/>
      <c r="GB838" s="1265"/>
      <c r="GC838" s="1265"/>
      <c r="GD838" s="1265"/>
      <c r="GE838" s="1265"/>
      <c r="GF838" s="1265"/>
      <c r="GG838" s="1265"/>
      <c r="GH838" s="1265"/>
      <c r="GI838" s="1265"/>
      <c r="GJ838" s="1265"/>
      <c r="GK838" s="1265"/>
      <c r="GL838" s="1265"/>
      <c r="GM838" s="1265"/>
      <c r="GN838" s="1265"/>
      <c r="GO838" s="1265"/>
      <c r="GP838" s="1265"/>
      <c r="GQ838" s="1265"/>
      <c r="GR838" s="1265"/>
      <c r="GS838" s="1265"/>
      <c r="GT838" s="1265"/>
      <c r="GU838" s="1265"/>
      <c r="GV838" s="1265"/>
      <c r="GW838" s="1265"/>
      <c r="GX838" s="1265"/>
      <c r="GY838" s="1265"/>
      <c r="GZ838" s="1265"/>
      <c r="HA838" s="1265"/>
      <c r="HB838" s="1265"/>
      <c r="HC838" s="1265"/>
      <c r="HD838" s="1265"/>
      <c r="HE838" s="1265"/>
      <c r="HF838" s="1265"/>
      <c r="HG838" s="1265"/>
      <c r="HH838" s="1265"/>
      <c r="HI838" s="1265"/>
      <c r="HJ838" s="1265"/>
      <c r="HK838" s="1265"/>
      <c r="HL838" s="1265"/>
      <c r="HM838" s="1265"/>
      <c r="HN838" s="1265"/>
      <c r="HO838" s="1265"/>
      <c r="HP838" s="1265"/>
      <c r="HQ838" s="1265"/>
      <c r="HR838" s="1265"/>
      <c r="HS838" s="1265"/>
      <c r="HT838" s="1265"/>
      <c r="HU838" s="1265"/>
      <c r="HV838" s="1265"/>
      <c r="HW838" s="1265"/>
      <c r="HX838" s="1265"/>
      <c r="HY838" s="1265"/>
      <c r="HZ838" s="1265"/>
      <c r="IA838" s="1265"/>
      <c r="IB838" s="1265"/>
      <c r="IC838" s="1265"/>
      <c r="ID838" s="1265"/>
      <c r="IE838" s="1265"/>
      <c r="IF838" s="1265"/>
      <c r="IG838" s="1265"/>
      <c r="IH838" s="1265"/>
      <c r="II838" s="1265"/>
      <c r="IJ838" s="1265"/>
      <c r="IK838" s="1265"/>
      <c r="IL838" s="1265"/>
      <c r="IM838" s="1265"/>
      <c r="IN838" s="1265"/>
      <c r="IO838" s="1265"/>
      <c r="IP838" s="1265"/>
      <c r="IQ838" s="1265"/>
      <c r="IR838" s="1265"/>
      <c r="IS838" s="1265"/>
      <c r="IT838" s="1265"/>
      <c r="IU838" s="1265"/>
      <c r="IV838" s="1265"/>
      <c r="IW838" s="1265"/>
      <c r="IX838" s="1265"/>
      <c r="IY838" s="1265"/>
      <c r="IZ838" s="1265"/>
      <c r="JA838" s="1265"/>
      <c r="JB838" s="1265"/>
      <c r="JC838" s="1265"/>
      <c r="JD838" s="1265"/>
      <c r="JE838" s="1265"/>
      <c r="JF838" s="1265"/>
      <c r="JG838" s="1265"/>
      <c r="JH838" s="1265"/>
      <c r="JI838" s="1265"/>
      <c r="JJ838" s="1265"/>
      <c r="JK838" s="1265"/>
      <c r="JL838" s="1265"/>
      <c r="JM838" s="1265"/>
      <c r="JN838" s="1265"/>
      <c r="JO838" s="1265"/>
      <c r="JP838" s="1265"/>
      <c r="JQ838" s="1265"/>
      <c r="JR838" s="1265"/>
      <c r="JS838" s="1265"/>
      <c r="JT838" s="1265"/>
      <c r="JU838" s="1265"/>
      <c r="JV838" s="1265"/>
      <c r="JW838" s="1265"/>
      <c r="JX838" s="1265"/>
      <c r="JY838" s="1265"/>
      <c r="JZ838" s="1265"/>
      <c r="KA838" s="1265"/>
      <c r="KB838" s="1265"/>
      <c r="KC838" s="1265"/>
      <c r="KD838" s="1265"/>
      <c r="KE838" s="1265"/>
      <c r="KF838" s="1265"/>
      <c r="KG838" s="1265"/>
      <c r="KH838" s="1265"/>
      <c r="KI838" s="1265"/>
      <c r="KJ838" s="1265"/>
      <c r="KK838" s="1265"/>
      <c r="KL838" s="1265"/>
      <c r="KM838" s="1265"/>
      <c r="KN838" s="1265"/>
      <c r="KO838" s="1265"/>
      <c r="KP838" s="1265"/>
      <c r="KQ838" s="1265"/>
      <c r="KR838" s="1265"/>
      <c r="KS838" s="1265"/>
      <c r="KT838" s="1265"/>
      <c r="KU838" s="1265"/>
      <c r="KV838" s="1265"/>
      <c r="KW838" s="1265"/>
      <c r="KX838" s="1265"/>
      <c r="KY838" s="1265"/>
      <c r="KZ838" s="1265"/>
      <c r="LA838" s="1265"/>
      <c r="LB838" s="1265"/>
      <c r="LC838" s="1265"/>
      <c r="LD838" s="1265"/>
      <c r="LE838" s="1265"/>
      <c r="LF838" s="1265"/>
      <c r="LG838" s="1265"/>
      <c r="LH838" s="1265"/>
      <c r="LI838" s="1265"/>
      <c r="LJ838" s="1265"/>
      <c r="LK838" s="1265"/>
      <c r="LL838" s="1265"/>
      <c r="LM838" s="1265"/>
      <c r="LN838" s="1265"/>
      <c r="LO838" s="1265"/>
      <c r="LP838" s="1265"/>
      <c r="LQ838" s="1265"/>
      <c r="LR838" s="1265"/>
      <c r="LS838" s="1265"/>
      <c r="LT838" s="1265"/>
      <c r="LU838" s="1265"/>
      <c r="LV838" s="1265"/>
      <c r="LW838" s="1265"/>
      <c r="LX838" s="1265"/>
      <c r="LY838" s="1265"/>
      <c r="LZ838" s="1265"/>
      <c r="MA838" s="1265"/>
      <c r="MB838" s="1265"/>
      <c r="MC838" s="1265"/>
      <c r="MD838" s="1265"/>
      <c r="ME838" s="1265"/>
      <c r="MF838" s="1265"/>
      <c r="MG838" s="1265"/>
      <c r="MH838" s="1265"/>
      <c r="MI838" s="1265"/>
      <c r="MJ838" s="1265"/>
      <c r="MK838" s="1265"/>
      <c r="ML838" s="1265"/>
      <c r="MM838" s="1265"/>
      <c r="MN838" s="1265"/>
      <c r="MO838" s="1265"/>
      <c r="MP838" s="1265"/>
      <c r="MQ838" s="1265"/>
      <c r="MR838" s="1265"/>
      <c r="MS838" s="1265"/>
      <c r="MT838" s="1265"/>
      <c r="MU838" s="1265"/>
      <c r="MV838" s="1265"/>
      <c r="MW838" s="1265"/>
      <c r="MX838" s="1265"/>
      <c r="MY838" s="1265"/>
      <c r="MZ838" s="1265"/>
      <c r="NA838" s="1265"/>
      <c r="NB838" s="1265"/>
      <c r="NC838" s="1265"/>
      <c r="ND838" s="1265"/>
      <c r="NE838" s="1265"/>
      <c r="NF838" s="1265"/>
      <c r="NG838" s="1265"/>
      <c r="NH838" s="1265"/>
      <c r="NI838" s="1265"/>
      <c r="NJ838" s="1265"/>
      <c r="NK838" s="1265"/>
      <c r="NL838" s="1265"/>
      <c r="NM838" s="1265"/>
      <c r="NN838" s="1265"/>
      <c r="NO838" s="1265"/>
      <c r="NP838" s="1265"/>
      <c r="NQ838" s="1265"/>
      <c r="NR838" s="1265"/>
      <c r="NS838" s="1265"/>
      <c r="NT838" s="1265"/>
      <c r="NU838" s="1265"/>
      <c r="NV838" s="1265"/>
      <c r="NW838" s="1265"/>
      <c r="NX838" s="1265"/>
      <c r="NY838" s="1265"/>
      <c r="NZ838" s="1265"/>
      <c r="OA838" s="1265"/>
      <c r="OB838" s="1265"/>
      <c r="OC838" s="1265"/>
      <c r="OD838" s="1265"/>
      <c r="OE838" s="1265"/>
      <c r="OF838" s="1265"/>
      <c r="OG838" s="1265"/>
      <c r="OH838" s="1265"/>
      <c r="OI838" s="1265"/>
      <c r="OJ838" s="1265"/>
      <c r="OK838" s="1265"/>
      <c r="OL838" s="1265"/>
      <c r="OM838" s="1265"/>
      <c r="ON838" s="1265"/>
      <c r="OO838" s="1265"/>
      <c r="OP838" s="1265"/>
      <c r="OQ838" s="1265"/>
      <c r="OR838" s="1265"/>
      <c r="OS838" s="1265"/>
      <c r="OT838" s="1265"/>
      <c r="OU838" s="1265"/>
      <c r="OV838" s="1265"/>
      <c r="OW838" s="1265"/>
      <c r="OX838" s="1265"/>
      <c r="OY838" s="1265"/>
      <c r="OZ838" s="1265"/>
      <c r="PA838" s="1265"/>
      <c r="PB838" s="1265"/>
      <c r="PC838" s="1265"/>
      <c r="PD838" s="1265"/>
      <c r="PE838" s="1265"/>
      <c r="PF838" s="1265"/>
      <c r="PG838" s="1265"/>
      <c r="PH838" s="1265"/>
      <c r="PI838" s="1265"/>
      <c r="PJ838" s="1265"/>
      <c r="PK838" s="1265"/>
      <c r="PL838" s="1265"/>
      <c r="PM838" s="1265"/>
      <c r="PN838" s="1265"/>
      <c r="PO838" s="1265"/>
      <c r="PP838" s="1265"/>
      <c r="PQ838" s="1265"/>
      <c r="PR838" s="1265"/>
      <c r="PS838" s="1265"/>
      <c r="PT838" s="1265"/>
      <c r="PU838" s="1265"/>
      <c r="PV838" s="1265"/>
      <c r="PW838" s="1265"/>
      <c r="PX838" s="1265"/>
      <c r="PY838" s="1265"/>
      <c r="PZ838" s="1265"/>
      <c r="QA838" s="1265"/>
      <c r="QB838" s="1265"/>
      <c r="QC838" s="1265"/>
      <c r="QD838" s="1265"/>
      <c r="QE838" s="1265"/>
      <c r="QF838" s="1265"/>
      <c r="QG838" s="1265"/>
      <c r="QH838" s="1265"/>
      <c r="QI838" s="1265"/>
      <c r="QJ838" s="1265"/>
      <c r="QK838" s="1265"/>
      <c r="QL838" s="1265"/>
      <c r="QM838" s="1265"/>
      <c r="QN838" s="1265"/>
      <c r="QO838" s="1265"/>
      <c r="QP838" s="1265"/>
      <c r="QQ838" s="1265"/>
      <c r="QR838" s="1265"/>
      <c r="QS838" s="1265"/>
      <c r="QT838" s="1265"/>
      <c r="QU838" s="1265"/>
      <c r="QV838" s="1265"/>
      <c r="QW838" s="1265"/>
      <c r="QX838" s="1265"/>
      <c r="QY838" s="1265"/>
      <c r="QZ838" s="1265"/>
      <c r="RA838" s="1265"/>
      <c r="RB838" s="1265"/>
      <c r="RC838" s="1265"/>
      <c r="RD838" s="1265"/>
      <c r="RE838" s="1265"/>
      <c r="RF838" s="1265"/>
      <c r="RG838" s="1265"/>
      <c r="RH838" s="1265"/>
      <c r="RI838" s="1265"/>
      <c r="RJ838" s="1265"/>
      <c r="RK838" s="1265"/>
      <c r="RL838" s="1265"/>
      <c r="RM838" s="1265"/>
      <c r="RN838" s="1265"/>
      <c r="RO838" s="1265"/>
      <c r="RP838" s="1265"/>
      <c r="RQ838" s="1265"/>
      <c r="RR838" s="1265"/>
      <c r="RS838" s="1265"/>
      <c r="RT838" s="1265"/>
      <c r="RU838" s="1265"/>
      <c r="RV838" s="1265"/>
      <c r="RW838" s="1265"/>
      <c r="RX838" s="1265"/>
      <c r="RY838" s="1265"/>
      <c r="RZ838" s="1265"/>
      <c r="SA838" s="1265"/>
      <c r="SB838" s="1265"/>
      <c r="SC838" s="1265"/>
      <c r="SD838" s="1265"/>
      <c r="SE838" s="1265"/>
      <c r="SF838" s="1265"/>
      <c r="SG838" s="1265"/>
      <c r="SH838" s="1265"/>
      <c r="SI838" s="1265"/>
      <c r="SJ838" s="1265"/>
      <c r="SK838" s="1265"/>
      <c r="SL838" s="1265"/>
      <c r="SM838" s="1265"/>
      <c r="SN838" s="1265"/>
      <c r="SO838" s="1265"/>
      <c r="SP838" s="1265"/>
      <c r="SQ838" s="1265"/>
      <c r="SR838" s="1265"/>
      <c r="SS838" s="1265"/>
      <c r="ST838" s="1265"/>
      <c r="SU838" s="1265"/>
      <c r="SV838" s="1265"/>
      <c r="SW838" s="1265"/>
      <c r="SX838" s="1265"/>
      <c r="SY838" s="1265"/>
      <c r="SZ838" s="1265"/>
      <c r="TA838" s="1265"/>
      <c r="TB838" s="1265"/>
      <c r="TC838" s="1265"/>
      <c r="TD838" s="1265"/>
      <c r="TE838" s="1265"/>
      <c r="TF838" s="1265"/>
      <c r="TG838" s="1265"/>
      <c r="TH838" s="1265"/>
      <c r="TI838" s="1265"/>
      <c r="TJ838" s="1265"/>
      <c r="TK838" s="1265"/>
      <c r="TL838" s="1265"/>
      <c r="TM838" s="1265"/>
      <c r="TN838" s="1265"/>
      <c r="TO838" s="1265"/>
      <c r="TP838" s="1265"/>
      <c r="TQ838" s="1265"/>
      <c r="TR838" s="1265"/>
      <c r="TS838" s="1265"/>
      <c r="TT838" s="1265"/>
      <c r="TU838" s="1265"/>
      <c r="TV838" s="1265"/>
      <c r="TW838" s="1265"/>
      <c r="TX838" s="1265"/>
      <c r="TY838" s="1265"/>
      <c r="TZ838" s="1265"/>
      <c r="UA838" s="1265"/>
      <c r="UB838" s="1265"/>
      <c r="UC838" s="1265"/>
      <c r="UD838" s="1265"/>
      <c r="UE838" s="1265"/>
      <c r="UF838" s="1265"/>
      <c r="UG838" s="1266"/>
    </row>
    <row r="839" spans="1:553" s="1262" customFormat="1" ht="30.75" customHeight="1">
      <c r="A839" s="445"/>
      <c r="B839" s="445"/>
      <c r="C839" s="1405" t="s">
        <v>1199</v>
      </c>
      <c r="D839" s="1406" t="s">
        <v>1199</v>
      </c>
      <c r="E839" s="1406" t="s">
        <v>1199</v>
      </c>
      <c r="F839" s="1407" t="s">
        <v>1199</v>
      </c>
      <c r="G839" s="417" t="s">
        <v>193</v>
      </c>
      <c r="H839" s="359"/>
      <c r="I839" s="443">
        <v>131</v>
      </c>
      <c r="J839" s="368">
        <v>20000</v>
      </c>
      <c r="K839" s="443"/>
      <c r="L839" s="368">
        <f>I839*J839</f>
        <v>2620000</v>
      </c>
      <c r="M839" s="356"/>
      <c r="N839" s="356"/>
      <c r="O839" s="356"/>
      <c r="P839" s="356"/>
      <c r="Q839" s="610"/>
      <c r="R839" s="1228"/>
      <c r="S839" s="308"/>
      <c r="T839" s="308"/>
      <c r="U839" s="308"/>
      <c r="V839" s="308"/>
      <c r="W839" s="308"/>
      <c r="X839" s="308"/>
      <c r="Y839" s="308"/>
      <c r="Z839" s="604"/>
      <c r="AA839" s="308"/>
      <c r="AB839" s="308"/>
      <c r="AC839" s="454"/>
      <c r="AD839" s="454"/>
      <c r="AE839" s="454"/>
      <c r="AF839" s="454"/>
      <c r="AG839" s="454"/>
      <c r="AH839" s="454"/>
      <c r="AI839" s="454"/>
      <c r="AJ839" s="454"/>
      <c r="AK839" s="455"/>
      <c r="AL839" s="1263"/>
      <c r="AM839" s="1263"/>
      <c r="AN839" s="1263"/>
      <c r="AO839" s="1263"/>
      <c r="AP839" s="1263"/>
      <c r="AQ839" s="1263"/>
      <c r="AR839" s="1263"/>
      <c r="AS839" s="1264"/>
      <c r="AT839" s="1264"/>
      <c r="AU839" s="1264"/>
      <c r="AV839" s="1264"/>
      <c r="AW839" s="1264"/>
      <c r="AX839" s="1264"/>
      <c r="AY839" s="1264"/>
      <c r="AZ839" s="1264"/>
      <c r="BA839" s="1264"/>
      <c r="BB839" s="1264"/>
      <c r="BC839" s="1264"/>
      <c r="BD839" s="1264"/>
      <c r="BE839" s="1264"/>
      <c r="BF839" s="1264"/>
      <c r="BG839" s="1264"/>
      <c r="BH839" s="1264"/>
      <c r="BI839" s="1264"/>
      <c r="BJ839" s="1264"/>
      <c r="BK839" s="1264"/>
      <c r="BL839" s="1264"/>
      <c r="BM839" s="1264"/>
      <c r="BN839" s="1264"/>
      <c r="BO839" s="1264"/>
      <c r="BP839" s="1265"/>
      <c r="BQ839" s="1265"/>
      <c r="BR839" s="1265"/>
      <c r="BS839" s="1265"/>
      <c r="BT839" s="1265"/>
      <c r="BU839" s="1265"/>
      <c r="BV839" s="1265"/>
      <c r="BW839" s="1265"/>
      <c r="BX839" s="1265"/>
      <c r="BY839" s="1265"/>
      <c r="BZ839" s="1265"/>
      <c r="CA839" s="1265"/>
      <c r="CB839" s="1265"/>
      <c r="CC839" s="1265"/>
      <c r="CD839" s="1265"/>
      <c r="CE839" s="1265"/>
      <c r="CF839" s="1265"/>
      <c r="CG839" s="1265"/>
      <c r="CH839" s="1265"/>
      <c r="CI839" s="1265"/>
      <c r="CJ839" s="1265"/>
      <c r="CK839" s="1265"/>
      <c r="CL839" s="1265"/>
      <c r="CM839" s="1265"/>
      <c r="CN839" s="1265"/>
      <c r="CO839" s="1265"/>
      <c r="CP839" s="1265"/>
      <c r="CQ839" s="1265"/>
      <c r="CR839" s="1265"/>
      <c r="CS839" s="1265"/>
      <c r="CT839" s="1265"/>
      <c r="CU839" s="1265"/>
      <c r="CV839" s="1265"/>
      <c r="CW839" s="1265"/>
      <c r="CX839" s="1265"/>
      <c r="CY839" s="1265"/>
      <c r="CZ839" s="1265"/>
      <c r="DA839" s="1265"/>
      <c r="DB839" s="1265"/>
      <c r="DC839" s="1265"/>
      <c r="DD839" s="1265"/>
      <c r="DE839" s="1265"/>
      <c r="DF839" s="1265"/>
      <c r="DG839" s="1265"/>
      <c r="DH839" s="1265"/>
      <c r="DI839" s="1265"/>
      <c r="DJ839" s="1265"/>
      <c r="DK839" s="1265"/>
      <c r="DL839" s="1265"/>
      <c r="DM839" s="1265"/>
      <c r="DN839" s="1265"/>
      <c r="DO839" s="1265"/>
      <c r="DP839" s="1265"/>
      <c r="DQ839" s="1265"/>
      <c r="DR839" s="1265"/>
      <c r="DS839" s="1265"/>
      <c r="DT839" s="1265"/>
      <c r="DU839" s="1265"/>
      <c r="DV839" s="1265"/>
      <c r="DW839" s="1265"/>
      <c r="DX839" s="1265"/>
      <c r="DY839" s="1265"/>
      <c r="DZ839" s="1265"/>
      <c r="EA839" s="1265"/>
      <c r="EB839" s="1265"/>
      <c r="EC839" s="1265"/>
      <c r="ED839" s="1265"/>
      <c r="EE839" s="1265"/>
      <c r="EF839" s="1265"/>
      <c r="EG839" s="1265"/>
      <c r="EH839" s="1265"/>
      <c r="EI839" s="1265"/>
      <c r="EJ839" s="1265"/>
      <c r="EK839" s="1265"/>
      <c r="EL839" s="1265"/>
      <c r="EM839" s="1265"/>
      <c r="EN839" s="1265"/>
      <c r="EO839" s="1265"/>
      <c r="EP839" s="1265"/>
      <c r="EQ839" s="1265"/>
      <c r="ER839" s="1265"/>
      <c r="ES839" s="1265"/>
      <c r="ET839" s="1265"/>
      <c r="EU839" s="1265"/>
      <c r="EV839" s="1265"/>
      <c r="EW839" s="1265"/>
      <c r="EX839" s="1265"/>
      <c r="EY839" s="1265"/>
      <c r="EZ839" s="1265"/>
      <c r="FA839" s="1265"/>
      <c r="FB839" s="1265"/>
      <c r="FC839" s="1265"/>
      <c r="FD839" s="1265"/>
      <c r="FE839" s="1265"/>
      <c r="FF839" s="1265"/>
      <c r="FG839" s="1265"/>
      <c r="FH839" s="1265"/>
      <c r="FI839" s="1265"/>
      <c r="FJ839" s="1265"/>
      <c r="FK839" s="1265"/>
      <c r="FL839" s="1265"/>
      <c r="FM839" s="1265"/>
      <c r="FN839" s="1265"/>
      <c r="FO839" s="1265"/>
      <c r="FP839" s="1265"/>
      <c r="FQ839" s="1265"/>
      <c r="FR839" s="1265"/>
      <c r="FS839" s="1265"/>
      <c r="FT839" s="1265"/>
      <c r="FU839" s="1265"/>
      <c r="FV839" s="1265"/>
      <c r="FW839" s="1265"/>
      <c r="FX839" s="1265"/>
      <c r="FY839" s="1265"/>
      <c r="FZ839" s="1265"/>
      <c r="GA839" s="1265"/>
      <c r="GB839" s="1265"/>
      <c r="GC839" s="1265"/>
      <c r="GD839" s="1265"/>
      <c r="GE839" s="1265"/>
      <c r="GF839" s="1265"/>
      <c r="GG839" s="1265"/>
      <c r="GH839" s="1265"/>
      <c r="GI839" s="1265"/>
      <c r="GJ839" s="1265"/>
      <c r="GK839" s="1265"/>
      <c r="GL839" s="1265"/>
      <c r="GM839" s="1265"/>
      <c r="GN839" s="1265"/>
      <c r="GO839" s="1265"/>
      <c r="GP839" s="1265"/>
      <c r="GQ839" s="1265"/>
      <c r="GR839" s="1265"/>
      <c r="GS839" s="1265"/>
      <c r="GT839" s="1265"/>
      <c r="GU839" s="1265"/>
      <c r="GV839" s="1265"/>
      <c r="GW839" s="1265"/>
      <c r="GX839" s="1265"/>
      <c r="GY839" s="1265"/>
      <c r="GZ839" s="1265"/>
      <c r="HA839" s="1265"/>
      <c r="HB839" s="1265"/>
      <c r="HC839" s="1265"/>
      <c r="HD839" s="1265"/>
      <c r="HE839" s="1265"/>
      <c r="HF839" s="1265"/>
      <c r="HG839" s="1265"/>
      <c r="HH839" s="1265"/>
      <c r="HI839" s="1265"/>
      <c r="HJ839" s="1265"/>
      <c r="HK839" s="1265"/>
      <c r="HL839" s="1265"/>
      <c r="HM839" s="1265"/>
      <c r="HN839" s="1265"/>
      <c r="HO839" s="1265"/>
      <c r="HP839" s="1265"/>
      <c r="HQ839" s="1265"/>
      <c r="HR839" s="1265"/>
      <c r="HS839" s="1265"/>
      <c r="HT839" s="1265"/>
      <c r="HU839" s="1265"/>
      <c r="HV839" s="1265"/>
      <c r="HW839" s="1265"/>
      <c r="HX839" s="1265"/>
      <c r="HY839" s="1265"/>
      <c r="HZ839" s="1265"/>
      <c r="IA839" s="1265"/>
      <c r="IB839" s="1265"/>
      <c r="IC839" s="1265"/>
      <c r="ID839" s="1265"/>
      <c r="IE839" s="1265"/>
      <c r="IF839" s="1265"/>
      <c r="IG839" s="1265"/>
      <c r="IH839" s="1265"/>
      <c r="II839" s="1265"/>
      <c r="IJ839" s="1265"/>
      <c r="IK839" s="1265"/>
      <c r="IL839" s="1265"/>
      <c r="IM839" s="1265"/>
      <c r="IN839" s="1265"/>
      <c r="IO839" s="1265"/>
      <c r="IP839" s="1265"/>
      <c r="IQ839" s="1265"/>
      <c r="IR839" s="1265"/>
      <c r="IS839" s="1265"/>
      <c r="IT839" s="1265"/>
      <c r="IU839" s="1265"/>
      <c r="IV839" s="1265"/>
      <c r="IW839" s="1265"/>
      <c r="IX839" s="1265"/>
      <c r="IY839" s="1265"/>
      <c r="IZ839" s="1265"/>
      <c r="JA839" s="1265"/>
      <c r="JB839" s="1265"/>
      <c r="JC839" s="1265"/>
      <c r="JD839" s="1265"/>
      <c r="JE839" s="1265"/>
      <c r="JF839" s="1265"/>
      <c r="JG839" s="1265"/>
      <c r="JH839" s="1265"/>
      <c r="JI839" s="1265"/>
      <c r="JJ839" s="1265"/>
      <c r="JK839" s="1265"/>
      <c r="JL839" s="1265"/>
      <c r="JM839" s="1265"/>
      <c r="JN839" s="1265"/>
      <c r="JO839" s="1265"/>
      <c r="JP839" s="1265"/>
      <c r="JQ839" s="1265"/>
      <c r="JR839" s="1265"/>
      <c r="JS839" s="1265"/>
      <c r="JT839" s="1265"/>
      <c r="JU839" s="1265"/>
      <c r="JV839" s="1265"/>
      <c r="JW839" s="1265"/>
      <c r="JX839" s="1265"/>
      <c r="JY839" s="1265"/>
      <c r="JZ839" s="1265"/>
      <c r="KA839" s="1265"/>
      <c r="KB839" s="1265"/>
      <c r="KC839" s="1265"/>
      <c r="KD839" s="1265"/>
      <c r="KE839" s="1265"/>
      <c r="KF839" s="1265"/>
      <c r="KG839" s="1265"/>
      <c r="KH839" s="1265"/>
      <c r="KI839" s="1265"/>
      <c r="KJ839" s="1265"/>
      <c r="KK839" s="1265"/>
      <c r="KL839" s="1265"/>
      <c r="KM839" s="1265"/>
      <c r="KN839" s="1265"/>
      <c r="KO839" s="1265"/>
      <c r="KP839" s="1265"/>
      <c r="KQ839" s="1265"/>
      <c r="KR839" s="1265"/>
      <c r="KS839" s="1265"/>
      <c r="KT839" s="1265"/>
      <c r="KU839" s="1265"/>
      <c r="KV839" s="1265"/>
      <c r="KW839" s="1265"/>
      <c r="KX839" s="1265"/>
      <c r="KY839" s="1265"/>
      <c r="KZ839" s="1265"/>
      <c r="LA839" s="1265"/>
      <c r="LB839" s="1265"/>
      <c r="LC839" s="1265"/>
      <c r="LD839" s="1265"/>
      <c r="LE839" s="1265"/>
      <c r="LF839" s="1265"/>
      <c r="LG839" s="1265"/>
      <c r="LH839" s="1265"/>
      <c r="LI839" s="1265"/>
      <c r="LJ839" s="1265"/>
      <c r="LK839" s="1265"/>
      <c r="LL839" s="1265"/>
      <c r="LM839" s="1265"/>
      <c r="LN839" s="1265"/>
      <c r="LO839" s="1265"/>
      <c r="LP839" s="1265"/>
      <c r="LQ839" s="1265"/>
      <c r="LR839" s="1265"/>
      <c r="LS839" s="1265"/>
      <c r="LT839" s="1265"/>
      <c r="LU839" s="1265"/>
      <c r="LV839" s="1265"/>
      <c r="LW839" s="1265"/>
      <c r="LX839" s="1265"/>
      <c r="LY839" s="1265"/>
      <c r="LZ839" s="1265"/>
      <c r="MA839" s="1265"/>
      <c r="MB839" s="1265"/>
      <c r="MC839" s="1265"/>
      <c r="MD839" s="1265"/>
      <c r="ME839" s="1265"/>
      <c r="MF839" s="1265"/>
      <c r="MG839" s="1265"/>
      <c r="MH839" s="1265"/>
      <c r="MI839" s="1265"/>
      <c r="MJ839" s="1265"/>
      <c r="MK839" s="1265"/>
      <c r="ML839" s="1265"/>
      <c r="MM839" s="1265"/>
      <c r="MN839" s="1265"/>
      <c r="MO839" s="1265"/>
      <c r="MP839" s="1265"/>
      <c r="MQ839" s="1265"/>
      <c r="MR839" s="1265"/>
      <c r="MS839" s="1265"/>
      <c r="MT839" s="1265"/>
      <c r="MU839" s="1265"/>
      <c r="MV839" s="1265"/>
      <c r="MW839" s="1265"/>
      <c r="MX839" s="1265"/>
      <c r="MY839" s="1265"/>
      <c r="MZ839" s="1265"/>
      <c r="NA839" s="1265"/>
      <c r="NB839" s="1265"/>
      <c r="NC839" s="1265"/>
      <c r="ND839" s="1265"/>
      <c r="NE839" s="1265"/>
      <c r="NF839" s="1265"/>
      <c r="NG839" s="1265"/>
      <c r="NH839" s="1265"/>
      <c r="NI839" s="1265"/>
      <c r="NJ839" s="1265"/>
      <c r="NK839" s="1265"/>
      <c r="NL839" s="1265"/>
      <c r="NM839" s="1265"/>
      <c r="NN839" s="1265"/>
      <c r="NO839" s="1265"/>
      <c r="NP839" s="1265"/>
      <c r="NQ839" s="1265"/>
      <c r="NR839" s="1265"/>
      <c r="NS839" s="1265"/>
      <c r="NT839" s="1265"/>
      <c r="NU839" s="1265"/>
      <c r="NV839" s="1265"/>
      <c r="NW839" s="1265"/>
      <c r="NX839" s="1265"/>
      <c r="NY839" s="1265"/>
      <c r="NZ839" s="1265"/>
      <c r="OA839" s="1265"/>
      <c r="OB839" s="1265"/>
      <c r="OC839" s="1265"/>
      <c r="OD839" s="1265"/>
      <c r="OE839" s="1265"/>
      <c r="OF839" s="1265"/>
      <c r="OG839" s="1265"/>
      <c r="OH839" s="1265"/>
      <c r="OI839" s="1265"/>
      <c r="OJ839" s="1265"/>
      <c r="OK839" s="1265"/>
      <c r="OL839" s="1265"/>
      <c r="OM839" s="1265"/>
      <c r="ON839" s="1265"/>
      <c r="OO839" s="1265"/>
      <c r="OP839" s="1265"/>
      <c r="OQ839" s="1265"/>
      <c r="OR839" s="1265"/>
      <c r="OS839" s="1265"/>
      <c r="OT839" s="1265"/>
      <c r="OU839" s="1265"/>
      <c r="OV839" s="1265"/>
      <c r="OW839" s="1265"/>
      <c r="OX839" s="1265"/>
      <c r="OY839" s="1265"/>
      <c r="OZ839" s="1265"/>
      <c r="PA839" s="1265"/>
      <c r="PB839" s="1265"/>
      <c r="PC839" s="1265"/>
      <c r="PD839" s="1265"/>
      <c r="PE839" s="1265"/>
      <c r="PF839" s="1265"/>
      <c r="PG839" s="1265"/>
      <c r="PH839" s="1265"/>
      <c r="PI839" s="1265"/>
      <c r="PJ839" s="1265"/>
      <c r="PK839" s="1265"/>
      <c r="PL839" s="1265"/>
      <c r="PM839" s="1265"/>
      <c r="PN839" s="1265"/>
      <c r="PO839" s="1265"/>
      <c r="PP839" s="1265"/>
      <c r="PQ839" s="1265"/>
      <c r="PR839" s="1265"/>
      <c r="PS839" s="1265"/>
      <c r="PT839" s="1265"/>
      <c r="PU839" s="1265"/>
      <c r="PV839" s="1265"/>
      <c r="PW839" s="1265"/>
      <c r="PX839" s="1265"/>
      <c r="PY839" s="1265"/>
      <c r="PZ839" s="1265"/>
      <c r="QA839" s="1265"/>
      <c r="QB839" s="1265"/>
      <c r="QC839" s="1265"/>
      <c r="QD839" s="1265"/>
      <c r="QE839" s="1265"/>
      <c r="QF839" s="1265"/>
      <c r="QG839" s="1265"/>
      <c r="QH839" s="1265"/>
      <c r="QI839" s="1265"/>
      <c r="QJ839" s="1265"/>
      <c r="QK839" s="1265"/>
      <c r="QL839" s="1265"/>
      <c r="QM839" s="1265"/>
      <c r="QN839" s="1265"/>
      <c r="QO839" s="1265"/>
      <c r="QP839" s="1265"/>
      <c r="QQ839" s="1265"/>
      <c r="QR839" s="1265"/>
      <c r="QS839" s="1265"/>
      <c r="QT839" s="1265"/>
      <c r="QU839" s="1265"/>
      <c r="QV839" s="1265"/>
      <c r="QW839" s="1265"/>
      <c r="QX839" s="1265"/>
      <c r="QY839" s="1265"/>
      <c r="QZ839" s="1265"/>
      <c r="RA839" s="1265"/>
      <c r="RB839" s="1265"/>
      <c r="RC839" s="1265"/>
      <c r="RD839" s="1265"/>
      <c r="RE839" s="1265"/>
      <c r="RF839" s="1265"/>
      <c r="RG839" s="1265"/>
      <c r="RH839" s="1265"/>
      <c r="RI839" s="1265"/>
      <c r="RJ839" s="1265"/>
      <c r="RK839" s="1265"/>
      <c r="RL839" s="1265"/>
      <c r="RM839" s="1265"/>
      <c r="RN839" s="1265"/>
      <c r="RO839" s="1265"/>
      <c r="RP839" s="1265"/>
      <c r="RQ839" s="1265"/>
      <c r="RR839" s="1265"/>
      <c r="RS839" s="1265"/>
      <c r="RT839" s="1265"/>
      <c r="RU839" s="1265"/>
      <c r="RV839" s="1265"/>
      <c r="RW839" s="1265"/>
      <c r="RX839" s="1265"/>
      <c r="RY839" s="1265"/>
      <c r="RZ839" s="1265"/>
      <c r="SA839" s="1265"/>
      <c r="SB839" s="1265"/>
      <c r="SC839" s="1265"/>
      <c r="SD839" s="1265"/>
      <c r="SE839" s="1265"/>
      <c r="SF839" s="1265"/>
      <c r="SG839" s="1265"/>
      <c r="SH839" s="1265"/>
      <c r="SI839" s="1265"/>
      <c r="SJ839" s="1265"/>
      <c r="SK839" s="1265"/>
      <c r="SL839" s="1265"/>
      <c r="SM839" s="1265"/>
      <c r="SN839" s="1265"/>
      <c r="SO839" s="1265"/>
      <c r="SP839" s="1265"/>
      <c r="SQ839" s="1265"/>
      <c r="SR839" s="1265"/>
      <c r="SS839" s="1265"/>
      <c r="ST839" s="1265"/>
      <c r="SU839" s="1265"/>
      <c r="SV839" s="1265"/>
      <c r="SW839" s="1265"/>
      <c r="SX839" s="1265"/>
      <c r="SY839" s="1265"/>
      <c r="SZ839" s="1265"/>
      <c r="TA839" s="1265"/>
      <c r="TB839" s="1265"/>
      <c r="TC839" s="1265"/>
      <c r="TD839" s="1265"/>
      <c r="TE839" s="1265"/>
      <c r="TF839" s="1265"/>
      <c r="TG839" s="1265"/>
      <c r="TH839" s="1265"/>
      <c r="TI839" s="1265"/>
      <c r="TJ839" s="1265"/>
      <c r="TK839" s="1265"/>
      <c r="TL839" s="1265"/>
      <c r="TM839" s="1265"/>
      <c r="TN839" s="1265"/>
      <c r="TO839" s="1265"/>
      <c r="TP839" s="1265"/>
      <c r="TQ839" s="1265"/>
      <c r="TR839" s="1265"/>
      <c r="TS839" s="1265"/>
      <c r="TT839" s="1265"/>
      <c r="TU839" s="1265"/>
      <c r="TV839" s="1265"/>
      <c r="TW839" s="1265"/>
      <c r="TX839" s="1265"/>
      <c r="TY839" s="1265"/>
      <c r="TZ839" s="1265"/>
      <c r="UA839" s="1265"/>
      <c r="UB839" s="1265"/>
      <c r="UC839" s="1265"/>
      <c r="UD839" s="1265"/>
      <c r="UE839" s="1265"/>
      <c r="UF839" s="1265"/>
      <c r="UG839" s="1266"/>
    </row>
    <row r="840" spans="1:553" s="1262" customFormat="1" ht="30.75" customHeight="1">
      <c r="A840" s="445"/>
      <c r="B840" s="445"/>
      <c r="C840" s="1405" t="s">
        <v>1200</v>
      </c>
      <c r="D840" s="1406" t="s">
        <v>1201</v>
      </c>
      <c r="E840" s="1406" t="s">
        <v>1201</v>
      </c>
      <c r="F840" s="1407" t="s">
        <v>1201</v>
      </c>
      <c r="G840" s="417" t="s">
        <v>193</v>
      </c>
      <c r="H840" s="359"/>
      <c r="I840" s="443">
        <v>442</v>
      </c>
      <c r="J840" s="996">
        <v>30000</v>
      </c>
      <c r="K840" s="443"/>
      <c r="L840" s="368">
        <f>I840*J840</f>
        <v>13260000</v>
      </c>
      <c r="M840" s="356"/>
      <c r="N840" s="356"/>
      <c r="O840" s="356"/>
      <c r="P840" s="356"/>
      <c r="Q840" s="610"/>
      <c r="R840" s="1228"/>
      <c r="S840" s="308"/>
      <c r="T840" s="308"/>
      <c r="U840" s="308"/>
      <c r="V840" s="308"/>
      <c r="W840" s="308"/>
      <c r="X840" s="308"/>
      <c r="Y840" s="308"/>
      <c r="Z840" s="604"/>
      <c r="AA840" s="308"/>
      <c r="AB840" s="308"/>
      <c r="AC840" s="454"/>
      <c r="AD840" s="454"/>
      <c r="AE840" s="454"/>
      <c r="AF840" s="454"/>
      <c r="AG840" s="454"/>
      <c r="AH840" s="454"/>
      <c r="AI840" s="454"/>
      <c r="AJ840" s="454"/>
      <c r="AK840" s="455"/>
      <c r="AL840" s="1263"/>
      <c r="AM840" s="1263"/>
      <c r="AN840" s="1263"/>
      <c r="AO840" s="1263"/>
      <c r="AP840" s="1263"/>
      <c r="AQ840" s="1263"/>
      <c r="AR840" s="1263"/>
      <c r="AS840" s="1264"/>
      <c r="AT840" s="1264"/>
      <c r="AU840" s="1264"/>
      <c r="AV840" s="1264"/>
      <c r="AW840" s="1264"/>
      <c r="AX840" s="1264"/>
      <c r="AY840" s="1264"/>
      <c r="AZ840" s="1264"/>
      <c r="BA840" s="1264"/>
      <c r="BB840" s="1264"/>
      <c r="BC840" s="1264"/>
      <c r="BD840" s="1264"/>
      <c r="BE840" s="1264"/>
      <c r="BF840" s="1264"/>
      <c r="BG840" s="1264"/>
      <c r="BH840" s="1264"/>
      <c r="BI840" s="1264"/>
      <c r="BJ840" s="1264"/>
      <c r="BK840" s="1264"/>
      <c r="BL840" s="1264"/>
      <c r="BM840" s="1264"/>
      <c r="BN840" s="1264"/>
      <c r="BO840" s="1264"/>
      <c r="BP840" s="1265"/>
      <c r="BQ840" s="1265"/>
      <c r="BR840" s="1265"/>
      <c r="BS840" s="1265"/>
      <c r="BT840" s="1265"/>
      <c r="BU840" s="1265"/>
      <c r="BV840" s="1265"/>
      <c r="BW840" s="1265"/>
      <c r="BX840" s="1265"/>
      <c r="BY840" s="1265"/>
      <c r="BZ840" s="1265"/>
      <c r="CA840" s="1265"/>
      <c r="CB840" s="1265"/>
      <c r="CC840" s="1265"/>
      <c r="CD840" s="1265"/>
      <c r="CE840" s="1265"/>
      <c r="CF840" s="1265"/>
      <c r="CG840" s="1265"/>
      <c r="CH840" s="1265"/>
      <c r="CI840" s="1265"/>
      <c r="CJ840" s="1265"/>
      <c r="CK840" s="1265"/>
      <c r="CL840" s="1265"/>
      <c r="CM840" s="1265"/>
      <c r="CN840" s="1265"/>
      <c r="CO840" s="1265"/>
      <c r="CP840" s="1265"/>
      <c r="CQ840" s="1265"/>
      <c r="CR840" s="1265"/>
      <c r="CS840" s="1265"/>
      <c r="CT840" s="1265"/>
      <c r="CU840" s="1265"/>
      <c r="CV840" s="1265"/>
      <c r="CW840" s="1265"/>
      <c r="CX840" s="1265"/>
      <c r="CY840" s="1265"/>
      <c r="CZ840" s="1265"/>
      <c r="DA840" s="1265"/>
      <c r="DB840" s="1265"/>
      <c r="DC840" s="1265"/>
      <c r="DD840" s="1265"/>
      <c r="DE840" s="1265"/>
      <c r="DF840" s="1265"/>
      <c r="DG840" s="1265"/>
      <c r="DH840" s="1265"/>
      <c r="DI840" s="1265"/>
      <c r="DJ840" s="1265"/>
      <c r="DK840" s="1265"/>
      <c r="DL840" s="1265"/>
      <c r="DM840" s="1265"/>
      <c r="DN840" s="1265"/>
      <c r="DO840" s="1265"/>
      <c r="DP840" s="1265"/>
      <c r="DQ840" s="1265"/>
      <c r="DR840" s="1265"/>
      <c r="DS840" s="1265"/>
      <c r="DT840" s="1265"/>
      <c r="DU840" s="1265"/>
      <c r="DV840" s="1265"/>
      <c r="DW840" s="1265"/>
      <c r="DX840" s="1265"/>
      <c r="DY840" s="1265"/>
      <c r="DZ840" s="1265"/>
      <c r="EA840" s="1265"/>
      <c r="EB840" s="1265"/>
      <c r="EC840" s="1265"/>
      <c r="ED840" s="1265"/>
      <c r="EE840" s="1265"/>
      <c r="EF840" s="1265"/>
      <c r="EG840" s="1265"/>
      <c r="EH840" s="1265"/>
      <c r="EI840" s="1265"/>
      <c r="EJ840" s="1265"/>
      <c r="EK840" s="1265"/>
      <c r="EL840" s="1265"/>
      <c r="EM840" s="1265"/>
      <c r="EN840" s="1265"/>
      <c r="EO840" s="1265"/>
      <c r="EP840" s="1265"/>
      <c r="EQ840" s="1265"/>
      <c r="ER840" s="1265"/>
      <c r="ES840" s="1265"/>
      <c r="ET840" s="1265"/>
      <c r="EU840" s="1265"/>
      <c r="EV840" s="1265"/>
      <c r="EW840" s="1265"/>
      <c r="EX840" s="1265"/>
      <c r="EY840" s="1265"/>
      <c r="EZ840" s="1265"/>
      <c r="FA840" s="1265"/>
      <c r="FB840" s="1265"/>
      <c r="FC840" s="1265"/>
      <c r="FD840" s="1265"/>
      <c r="FE840" s="1265"/>
      <c r="FF840" s="1265"/>
      <c r="FG840" s="1265"/>
      <c r="FH840" s="1265"/>
      <c r="FI840" s="1265"/>
      <c r="FJ840" s="1265"/>
      <c r="FK840" s="1265"/>
      <c r="FL840" s="1265"/>
      <c r="FM840" s="1265"/>
      <c r="FN840" s="1265"/>
      <c r="FO840" s="1265"/>
      <c r="FP840" s="1265"/>
      <c r="FQ840" s="1265"/>
      <c r="FR840" s="1265"/>
      <c r="FS840" s="1265"/>
      <c r="FT840" s="1265"/>
      <c r="FU840" s="1265"/>
      <c r="FV840" s="1265"/>
      <c r="FW840" s="1265"/>
      <c r="FX840" s="1265"/>
      <c r="FY840" s="1265"/>
      <c r="FZ840" s="1265"/>
      <c r="GA840" s="1265"/>
      <c r="GB840" s="1265"/>
      <c r="GC840" s="1265"/>
      <c r="GD840" s="1265"/>
      <c r="GE840" s="1265"/>
      <c r="GF840" s="1265"/>
      <c r="GG840" s="1265"/>
      <c r="GH840" s="1265"/>
      <c r="GI840" s="1265"/>
      <c r="GJ840" s="1265"/>
      <c r="GK840" s="1265"/>
      <c r="GL840" s="1265"/>
      <c r="GM840" s="1265"/>
      <c r="GN840" s="1265"/>
      <c r="GO840" s="1265"/>
      <c r="GP840" s="1265"/>
      <c r="GQ840" s="1265"/>
      <c r="GR840" s="1265"/>
      <c r="GS840" s="1265"/>
      <c r="GT840" s="1265"/>
      <c r="GU840" s="1265"/>
      <c r="GV840" s="1265"/>
      <c r="GW840" s="1265"/>
      <c r="GX840" s="1265"/>
      <c r="GY840" s="1265"/>
      <c r="GZ840" s="1265"/>
      <c r="HA840" s="1265"/>
      <c r="HB840" s="1265"/>
      <c r="HC840" s="1265"/>
      <c r="HD840" s="1265"/>
      <c r="HE840" s="1265"/>
      <c r="HF840" s="1265"/>
      <c r="HG840" s="1265"/>
      <c r="HH840" s="1265"/>
      <c r="HI840" s="1265"/>
      <c r="HJ840" s="1265"/>
      <c r="HK840" s="1265"/>
      <c r="HL840" s="1265"/>
      <c r="HM840" s="1265"/>
      <c r="HN840" s="1265"/>
      <c r="HO840" s="1265"/>
      <c r="HP840" s="1265"/>
      <c r="HQ840" s="1265"/>
      <c r="HR840" s="1265"/>
      <c r="HS840" s="1265"/>
      <c r="HT840" s="1265"/>
      <c r="HU840" s="1265"/>
      <c r="HV840" s="1265"/>
      <c r="HW840" s="1265"/>
      <c r="HX840" s="1265"/>
      <c r="HY840" s="1265"/>
      <c r="HZ840" s="1265"/>
      <c r="IA840" s="1265"/>
      <c r="IB840" s="1265"/>
      <c r="IC840" s="1265"/>
      <c r="ID840" s="1265"/>
      <c r="IE840" s="1265"/>
      <c r="IF840" s="1265"/>
      <c r="IG840" s="1265"/>
      <c r="IH840" s="1265"/>
      <c r="II840" s="1265"/>
      <c r="IJ840" s="1265"/>
      <c r="IK840" s="1265"/>
      <c r="IL840" s="1265"/>
      <c r="IM840" s="1265"/>
      <c r="IN840" s="1265"/>
      <c r="IO840" s="1265"/>
      <c r="IP840" s="1265"/>
      <c r="IQ840" s="1265"/>
      <c r="IR840" s="1265"/>
      <c r="IS840" s="1265"/>
      <c r="IT840" s="1265"/>
      <c r="IU840" s="1265"/>
      <c r="IV840" s="1265"/>
      <c r="IW840" s="1265"/>
      <c r="IX840" s="1265"/>
      <c r="IY840" s="1265"/>
      <c r="IZ840" s="1265"/>
      <c r="JA840" s="1265"/>
      <c r="JB840" s="1265"/>
      <c r="JC840" s="1265"/>
      <c r="JD840" s="1265"/>
      <c r="JE840" s="1265"/>
      <c r="JF840" s="1265"/>
      <c r="JG840" s="1265"/>
      <c r="JH840" s="1265"/>
      <c r="JI840" s="1265"/>
      <c r="JJ840" s="1265"/>
      <c r="JK840" s="1265"/>
      <c r="JL840" s="1265"/>
      <c r="JM840" s="1265"/>
      <c r="JN840" s="1265"/>
      <c r="JO840" s="1265"/>
      <c r="JP840" s="1265"/>
      <c r="JQ840" s="1265"/>
      <c r="JR840" s="1265"/>
      <c r="JS840" s="1265"/>
      <c r="JT840" s="1265"/>
      <c r="JU840" s="1265"/>
      <c r="JV840" s="1265"/>
      <c r="JW840" s="1265"/>
      <c r="JX840" s="1265"/>
      <c r="JY840" s="1265"/>
      <c r="JZ840" s="1265"/>
      <c r="KA840" s="1265"/>
      <c r="KB840" s="1265"/>
      <c r="KC840" s="1265"/>
      <c r="KD840" s="1265"/>
      <c r="KE840" s="1265"/>
      <c r="KF840" s="1265"/>
      <c r="KG840" s="1265"/>
      <c r="KH840" s="1265"/>
      <c r="KI840" s="1265"/>
      <c r="KJ840" s="1265"/>
      <c r="KK840" s="1265"/>
      <c r="KL840" s="1265"/>
      <c r="KM840" s="1265"/>
      <c r="KN840" s="1265"/>
      <c r="KO840" s="1265"/>
      <c r="KP840" s="1265"/>
      <c r="KQ840" s="1265"/>
      <c r="KR840" s="1265"/>
      <c r="KS840" s="1265"/>
      <c r="KT840" s="1265"/>
      <c r="KU840" s="1265"/>
      <c r="KV840" s="1265"/>
      <c r="KW840" s="1265"/>
      <c r="KX840" s="1265"/>
      <c r="KY840" s="1265"/>
      <c r="KZ840" s="1265"/>
      <c r="LA840" s="1265"/>
      <c r="LB840" s="1265"/>
      <c r="LC840" s="1265"/>
      <c r="LD840" s="1265"/>
      <c r="LE840" s="1265"/>
      <c r="LF840" s="1265"/>
      <c r="LG840" s="1265"/>
      <c r="LH840" s="1265"/>
      <c r="LI840" s="1265"/>
      <c r="LJ840" s="1265"/>
      <c r="LK840" s="1265"/>
      <c r="LL840" s="1265"/>
      <c r="LM840" s="1265"/>
      <c r="LN840" s="1265"/>
      <c r="LO840" s="1265"/>
      <c r="LP840" s="1265"/>
      <c r="LQ840" s="1265"/>
      <c r="LR840" s="1265"/>
      <c r="LS840" s="1265"/>
      <c r="LT840" s="1265"/>
      <c r="LU840" s="1265"/>
      <c r="LV840" s="1265"/>
      <c r="LW840" s="1265"/>
      <c r="LX840" s="1265"/>
      <c r="LY840" s="1265"/>
      <c r="LZ840" s="1265"/>
      <c r="MA840" s="1265"/>
      <c r="MB840" s="1265"/>
      <c r="MC840" s="1265"/>
      <c r="MD840" s="1265"/>
      <c r="ME840" s="1265"/>
      <c r="MF840" s="1265"/>
      <c r="MG840" s="1265"/>
      <c r="MH840" s="1265"/>
      <c r="MI840" s="1265"/>
      <c r="MJ840" s="1265"/>
      <c r="MK840" s="1265"/>
      <c r="ML840" s="1265"/>
      <c r="MM840" s="1265"/>
      <c r="MN840" s="1265"/>
      <c r="MO840" s="1265"/>
      <c r="MP840" s="1265"/>
      <c r="MQ840" s="1265"/>
      <c r="MR840" s="1265"/>
      <c r="MS840" s="1265"/>
      <c r="MT840" s="1265"/>
      <c r="MU840" s="1265"/>
      <c r="MV840" s="1265"/>
      <c r="MW840" s="1265"/>
      <c r="MX840" s="1265"/>
      <c r="MY840" s="1265"/>
      <c r="MZ840" s="1265"/>
      <c r="NA840" s="1265"/>
      <c r="NB840" s="1265"/>
      <c r="NC840" s="1265"/>
      <c r="ND840" s="1265"/>
      <c r="NE840" s="1265"/>
      <c r="NF840" s="1265"/>
      <c r="NG840" s="1265"/>
      <c r="NH840" s="1265"/>
      <c r="NI840" s="1265"/>
      <c r="NJ840" s="1265"/>
      <c r="NK840" s="1265"/>
      <c r="NL840" s="1265"/>
      <c r="NM840" s="1265"/>
      <c r="NN840" s="1265"/>
      <c r="NO840" s="1265"/>
      <c r="NP840" s="1265"/>
      <c r="NQ840" s="1265"/>
      <c r="NR840" s="1265"/>
      <c r="NS840" s="1265"/>
      <c r="NT840" s="1265"/>
      <c r="NU840" s="1265"/>
      <c r="NV840" s="1265"/>
      <c r="NW840" s="1265"/>
      <c r="NX840" s="1265"/>
      <c r="NY840" s="1265"/>
      <c r="NZ840" s="1265"/>
      <c r="OA840" s="1265"/>
      <c r="OB840" s="1265"/>
      <c r="OC840" s="1265"/>
      <c r="OD840" s="1265"/>
      <c r="OE840" s="1265"/>
      <c r="OF840" s="1265"/>
      <c r="OG840" s="1265"/>
      <c r="OH840" s="1265"/>
      <c r="OI840" s="1265"/>
      <c r="OJ840" s="1265"/>
      <c r="OK840" s="1265"/>
      <c r="OL840" s="1265"/>
      <c r="OM840" s="1265"/>
      <c r="ON840" s="1265"/>
      <c r="OO840" s="1265"/>
      <c r="OP840" s="1265"/>
      <c r="OQ840" s="1265"/>
      <c r="OR840" s="1265"/>
      <c r="OS840" s="1265"/>
      <c r="OT840" s="1265"/>
      <c r="OU840" s="1265"/>
      <c r="OV840" s="1265"/>
      <c r="OW840" s="1265"/>
      <c r="OX840" s="1265"/>
      <c r="OY840" s="1265"/>
      <c r="OZ840" s="1265"/>
      <c r="PA840" s="1265"/>
      <c r="PB840" s="1265"/>
      <c r="PC840" s="1265"/>
      <c r="PD840" s="1265"/>
      <c r="PE840" s="1265"/>
      <c r="PF840" s="1265"/>
      <c r="PG840" s="1265"/>
      <c r="PH840" s="1265"/>
      <c r="PI840" s="1265"/>
      <c r="PJ840" s="1265"/>
      <c r="PK840" s="1265"/>
      <c r="PL840" s="1265"/>
      <c r="PM840" s="1265"/>
      <c r="PN840" s="1265"/>
      <c r="PO840" s="1265"/>
      <c r="PP840" s="1265"/>
      <c r="PQ840" s="1265"/>
      <c r="PR840" s="1265"/>
      <c r="PS840" s="1265"/>
      <c r="PT840" s="1265"/>
      <c r="PU840" s="1265"/>
      <c r="PV840" s="1265"/>
      <c r="PW840" s="1265"/>
      <c r="PX840" s="1265"/>
      <c r="PY840" s="1265"/>
      <c r="PZ840" s="1265"/>
      <c r="QA840" s="1265"/>
      <c r="QB840" s="1265"/>
      <c r="QC840" s="1265"/>
      <c r="QD840" s="1265"/>
      <c r="QE840" s="1265"/>
      <c r="QF840" s="1265"/>
      <c r="QG840" s="1265"/>
      <c r="QH840" s="1265"/>
      <c r="QI840" s="1265"/>
      <c r="QJ840" s="1265"/>
      <c r="QK840" s="1265"/>
      <c r="QL840" s="1265"/>
      <c r="QM840" s="1265"/>
      <c r="QN840" s="1265"/>
      <c r="QO840" s="1265"/>
      <c r="QP840" s="1265"/>
      <c r="QQ840" s="1265"/>
      <c r="QR840" s="1265"/>
      <c r="QS840" s="1265"/>
      <c r="QT840" s="1265"/>
      <c r="QU840" s="1265"/>
      <c r="QV840" s="1265"/>
      <c r="QW840" s="1265"/>
      <c r="QX840" s="1265"/>
      <c r="QY840" s="1265"/>
      <c r="QZ840" s="1265"/>
      <c r="RA840" s="1265"/>
      <c r="RB840" s="1265"/>
      <c r="RC840" s="1265"/>
      <c r="RD840" s="1265"/>
      <c r="RE840" s="1265"/>
      <c r="RF840" s="1265"/>
      <c r="RG840" s="1265"/>
      <c r="RH840" s="1265"/>
      <c r="RI840" s="1265"/>
      <c r="RJ840" s="1265"/>
      <c r="RK840" s="1265"/>
      <c r="RL840" s="1265"/>
      <c r="RM840" s="1265"/>
      <c r="RN840" s="1265"/>
      <c r="RO840" s="1265"/>
      <c r="RP840" s="1265"/>
      <c r="RQ840" s="1265"/>
      <c r="RR840" s="1265"/>
      <c r="RS840" s="1265"/>
      <c r="RT840" s="1265"/>
      <c r="RU840" s="1265"/>
      <c r="RV840" s="1265"/>
      <c r="RW840" s="1265"/>
      <c r="RX840" s="1265"/>
      <c r="RY840" s="1265"/>
      <c r="RZ840" s="1265"/>
      <c r="SA840" s="1265"/>
      <c r="SB840" s="1265"/>
      <c r="SC840" s="1265"/>
      <c r="SD840" s="1265"/>
      <c r="SE840" s="1265"/>
      <c r="SF840" s="1265"/>
      <c r="SG840" s="1265"/>
      <c r="SH840" s="1265"/>
      <c r="SI840" s="1265"/>
      <c r="SJ840" s="1265"/>
      <c r="SK840" s="1265"/>
      <c r="SL840" s="1265"/>
      <c r="SM840" s="1265"/>
      <c r="SN840" s="1265"/>
      <c r="SO840" s="1265"/>
      <c r="SP840" s="1265"/>
      <c r="SQ840" s="1265"/>
      <c r="SR840" s="1265"/>
      <c r="SS840" s="1265"/>
      <c r="ST840" s="1265"/>
      <c r="SU840" s="1265"/>
      <c r="SV840" s="1265"/>
      <c r="SW840" s="1265"/>
      <c r="SX840" s="1265"/>
      <c r="SY840" s="1265"/>
      <c r="SZ840" s="1265"/>
      <c r="TA840" s="1265"/>
      <c r="TB840" s="1265"/>
      <c r="TC840" s="1265"/>
      <c r="TD840" s="1265"/>
      <c r="TE840" s="1265"/>
      <c r="TF840" s="1265"/>
      <c r="TG840" s="1265"/>
      <c r="TH840" s="1265"/>
      <c r="TI840" s="1265"/>
      <c r="TJ840" s="1265"/>
      <c r="TK840" s="1265"/>
      <c r="TL840" s="1265"/>
      <c r="TM840" s="1265"/>
      <c r="TN840" s="1265"/>
      <c r="TO840" s="1265"/>
      <c r="TP840" s="1265"/>
      <c r="TQ840" s="1265"/>
      <c r="TR840" s="1265"/>
      <c r="TS840" s="1265"/>
      <c r="TT840" s="1265"/>
      <c r="TU840" s="1265"/>
      <c r="TV840" s="1265"/>
      <c r="TW840" s="1265"/>
      <c r="TX840" s="1265"/>
      <c r="TY840" s="1265"/>
      <c r="TZ840" s="1265"/>
      <c r="UA840" s="1265"/>
      <c r="UB840" s="1265"/>
      <c r="UC840" s="1265"/>
      <c r="UD840" s="1265"/>
      <c r="UE840" s="1265"/>
      <c r="UF840" s="1265"/>
      <c r="UG840" s="1266"/>
    </row>
    <row r="841" spans="1:553" s="109" customFormat="1" ht="56.25" customHeight="1">
      <c r="A841" s="356" t="s">
        <v>53</v>
      </c>
      <c r="B841" s="356"/>
      <c r="C841" s="1457" t="s">
        <v>529</v>
      </c>
      <c r="D841" s="1458"/>
      <c r="E841" s="1458"/>
      <c r="F841" s="1459"/>
      <c r="G841" s="356"/>
      <c r="H841" s="424"/>
      <c r="I841" s="424"/>
      <c r="J841" s="357"/>
      <c r="K841" s="358"/>
      <c r="L841" s="356">
        <f>L842+L843</f>
        <v>7500000</v>
      </c>
      <c r="M841" s="356"/>
      <c r="N841" s="356"/>
      <c r="O841" s="356"/>
      <c r="P841" s="356">
        <f>L841</f>
        <v>7500000</v>
      </c>
      <c r="Q841" s="610"/>
      <c r="R841" s="1447" t="s">
        <v>55</v>
      </c>
      <c r="S841" s="308"/>
      <c r="T841" s="308"/>
      <c r="U841" s="308"/>
      <c r="V841" s="308"/>
      <c r="W841" s="308"/>
      <c r="X841" s="308"/>
      <c r="Y841" s="308"/>
      <c r="Z841" s="604"/>
      <c r="AA841" s="308"/>
      <c r="AB841" s="308"/>
      <c r="AC841" s="456"/>
      <c r="AD841" s="456"/>
      <c r="AE841" s="456"/>
      <c r="AF841" s="456"/>
      <c r="AG841" s="456"/>
      <c r="AH841" s="456"/>
      <c r="AI841" s="456"/>
      <c r="AJ841" s="456"/>
      <c r="AK841" s="456"/>
      <c r="AL841" s="187"/>
      <c r="AM841" s="188"/>
      <c r="AN841" s="188"/>
      <c r="AO841" s="188"/>
      <c r="AP841" s="188"/>
      <c r="AQ841" s="188"/>
      <c r="AR841" s="188"/>
      <c r="AS841" s="188"/>
      <c r="AT841" s="189"/>
      <c r="AU841" s="189"/>
      <c r="AV841" s="189"/>
      <c r="AW841" s="189"/>
      <c r="AX841" s="189"/>
      <c r="AY841" s="189"/>
      <c r="AZ841" s="189"/>
      <c r="BA841" s="189"/>
      <c r="BB841" s="189"/>
      <c r="BC841" s="189"/>
      <c r="BD841" s="189"/>
      <c r="BE841" s="189"/>
      <c r="BF841" s="189"/>
      <c r="BG841" s="189"/>
      <c r="BH841" s="189"/>
      <c r="BI841" s="189"/>
      <c r="BJ841" s="189"/>
      <c r="BK841" s="189"/>
      <c r="BL841" s="189"/>
      <c r="BM841" s="189"/>
      <c r="BN841" s="189"/>
      <c r="BO841" s="189"/>
      <c r="BP841" s="190"/>
      <c r="BQ841" s="190"/>
      <c r="BR841" s="190"/>
      <c r="BS841" s="190"/>
      <c r="BT841" s="190"/>
      <c r="BU841" s="190"/>
      <c r="BV841" s="190"/>
      <c r="BW841" s="190"/>
      <c r="BX841" s="190"/>
      <c r="BY841" s="190"/>
      <c r="BZ841" s="190"/>
      <c r="CA841" s="190"/>
      <c r="CB841" s="190"/>
      <c r="CC841" s="190"/>
      <c r="CD841" s="190"/>
      <c r="CE841" s="190"/>
      <c r="CF841" s="190"/>
      <c r="CG841" s="190"/>
      <c r="CH841" s="190"/>
      <c r="CI841" s="190"/>
      <c r="CJ841" s="190"/>
      <c r="CK841" s="190"/>
      <c r="CL841" s="190"/>
      <c r="CM841" s="190"/>
      <c r="CN841" s="190"/>
      <c r="CO841" s="190"/>
      <c r="CP841" s="190"/>
      <c r="CQ841" s="190"/>
      <c r="CR841" s="190"/>
      <c r="CS841" s="190"/>
      <c r="CT841" s="190"/>
      <c r="CU841" s="190"/>
      <c r="CV841" s="190"/>
      <c r="CW841" s="190"/>
      <c r="CX841" s="190"/>
      <c r="CY841" s="190"/>
      <c r="CZ841" s="190"/>
      <c r="DA841" s="190"/>
      <c r="DB841" s="190"/>
      <c r="DC841" s="190"/>
      <c r="DD841" s="190"/>
      <c r="DE841" s="190"/>
      <c r="DF841" s="190"/>
      <c r="DG841" s="190"/>
      <c r="DH841" s="190"/>
      <c r="DI841" s="190"/>
      <c r="DJ841" s="190"/>
      <c r="DK841" s="190"/>
      <c r="DL841" s="190"/>
      <c r="DM841" s="190"/>
      <c r="DN841" s="190"/>
      <c r="DO841" s="190"/>
      <c r="DP841" s="190"/>
      <c r="DQ841" s="190"/>
      <c r="DR841" s="190"/>
      <c r="DS841" s="190"/>
      <c r="DT841" s="190"/>
      <c r="DU841" s="190"/>
      <c r="DV841" s="190"/>
      <c r="DW841" s="190"/>
      <c r="DX841" s="190"/>
      <c r="DY841" s="190"/>
      <c r="DZ841" s="190"/>
      <c r="EA841" s="190"/>
      <c r="EB841" s="190"/>
      <c r="EC841" s="190"/>
      <c r="ED841" s="190"/>
      <c r="EE841" s="190"/>
      <c r="EF841" s="190"/>
      <c r="EG841" s="190"/>
      <c r="EH841" s="190"/>
      <c r="EI841" s="190"/>
      <c r="EJ841" s="190"/>
      <c r="EK841" s="190"/>
      <c r="EL841" s="190"/>
      <c r="EM841" s="190"/>
      <c r="EN841" s="190"/>
      <c r="EO841" s="190"/>
      <c r="EP841" s="190"/>
      <c r="EQ841" s="190"/>
      <c r="ER841" s="190"/>
      <c r="ES841" s="190"/>
      <c r="ET841" s="190"/>
      <c r="EU841" s="190"/>
      <c r="EV841" s="190"/>
      <c r="EW841" s="190"/>
      <c r="EX841" s="190"/>
      <c r="EY841" s="190"/>
      <c r="EZ841" s="190"/>
      <c r="FA841" s="190"/>
      <c r="FB841" s="190"/>
      <c r="FC841" s="190"/>
      <c r="FD841" s="190"/>
      <c r="FE841" s="190"/>
      <c r="FF841" s="190"/>
      <c r="FG841" s="190"/>
      <c r="FH841" s="190"/>
      <c r="FI841" s="190"/>
      <c r="FJ841" s="190"/>
      <c r="FK841" s="190"/>
      <c r="FL841" s="190"/>
      <c r="FM841" s="190"/>
      <c r="FN841" s="190"/>
      <c r="FO841" s="190"/>
      <c r="FP841" s="190"/>
      <c r="FQ841" s="190"/>
      <c r="FR841" s="190"/>
      <c r="FS841" s="190"/>
      <c r="FT841" s="190"/>
      <c r="FU841" s="190"/>
      <c r="FV841" s="190"/>
      <c r="FW841" s="190"/>
      <c r="FX841" s="190"/>
      <c r="FY841" s="190"/>
      <c r="FZ841" s="190"/>
      <c r="GA841" s="190"/>
      <c r="GB841" s="190"/>
      <c r="GC841" s="190"/>
      <c r="GD841" s="190"/>
      <c r="GE841" s="190"/>
      <c r="GF841" s="190"/>
      <c r="GG841" s="190"/>
      <c r="GH841" s="190"/>
      <c r="GI841" s="190"/>
      <c r="GJ841" s="190"/>
      <c r="GK841" s="190"/>
      <c r="GL841" s="190"/>
      <c r="GM841" s="190"/>
      <c r="GN841" s="190"/>
      <c r="GO841" s="190"/>
      <c r="GP841" s="190"/>
      <c r="GQ841" s="190"/>
      <c r="GR841" s="190"/>
      <c r="GS841" s="190"/>
      <c r="GT841" s="190"/>
      <c r="GU841" s="190"/>
      <c r="GV841" s="190"/>
      <c r="GW841" s="190"/>
      <c r="GX841" s="190"/>
      <c r="GY841" s="190"/>
      <c r="GZ841" s="190"/>
      <c r="HA841" s="190"/>
      <c r="HB841" s="190"/>
      <c r="HC841" s="190"/>
      <c r="HD841" s="190"/>
      <c r="HE841" s="190"/>
      <c r="HF841" s="190"/>
      <c r="HG841" s="190"/>
      <c r="HH841" s="190"/>
      <c r="HI841" s="190"/>
      <c r="HJ841" s="190"/>
      <c r="HK841" s="190"/>
      <c r="HL841" s="190"/>
      <c r="HM841" s="190"/>
      <c r="HN841" s="190"/>
      <c r="HO841" s="190"/>
      <c r="HP841" s="190"/>
      <c r="HQ841" s="190"/>
      <c r="HR841" s="190"/>
      <c r="HS841" s="190"/>
      <c r="HT841" s="190"/>
      <c r="HU841" s="190"/>
      <c r="HV841" s="190"/>
      <c r="HW841" s="190"/>
      <c r="HX841" s="190"/>
      <c r="HY841" s="190"/>
      <c r="HZ841" s="190"/>
      <c r="IA841" s="190"/>
      <c r="IB841" s="190"/>
      <c r="IC841" s="190"/>
      <c r="ID841" s="190"/>
      <c r="IE841" s="190"/>
      <c r="IF841" s="190"/>
      <c r="IG841" s="190"/>
      <c r="IH841" s="190"/>
      <c r="II841" s="190"/>
      <c r="IJ841" s="190"/>
      <c r="IK841" s="190"/>
      <c r="IL841" s="190"/>
      <c r="IM841" s="190"/>
      <c r="IN841" s="190"/>
      <c r="IO841" s="190"/>
      <c r="IP841" s="190"/>
      <c r="IQ841" s="190"/>
      <c r="IR841" s="190"/>
      <c r="IS841" s="190"/>
      <c r="IT841" s="190"/>
      <c r="IU841" s="190"/>
      <c r="IV841" s="190"/>
      <c r="IW841" s="190"/>
      <c r="IX841" s="190"/>
      <c r="IY841" s="190"/>
      <c r="IZ841" s="190"/>
      <c r="JA841" s="190"/>
      <c r="JB841" s="190"/>
      <c r="JC841" s="190"/>
      <c r="JD841" s="190"/>
      <c r="JE841" s="190"/>
      <c r="JF841" s="190"/>
      <c r="JG841" s="190"/>
      <c r="JH841" s="190"/>
      <c r="JI841" s="190"/>
      <c r="JJ841" s="190"/>
      <c r="JK841" s="190"/>
      <c r="JL841" s="190"/>
      <c r="JM841" s="190"/>
      <c r="JN841" s="190"/>
      <c r="JO841" s="190"/>
      <c r="JP841" s="190"/>
      <c r="JQ841" s="190"/>
      <c r="JR841" s="190"/>
      <c r="JS841" s="190"/>
      <c r="JT841" s="190"/>
      <c r="JU841" s="190"/>
      <c r="JV841" s="190"/>
      <c r="JW841" s="190"/>
      <c r="JX841" s="190"/>
      <c r="JY841" s="190"/>
      <c r="JZ841" s="190"/>
      <c r="KA841" s="190"/>
      <c r="KB841" s="190"/>
      <c r="KC841" s="190"/>
      <c r="KD841" s="190"/>
      <c r="KE841" s="190"/>
      <c r="KF841" s="190"/>
      <c r="KG841" s="190"/>
      <c r="KH841" s="190"/>
      <c r="KI841" s="190"/>
      <c r="KJ841" s="190"/>
      <c r="KK841" s="190"/>
      <c r="KL841" s="190"/>
      <c r="KM841" s="190"/>
      <c r="KN841" s="190"/>
      <c r="KO841" s="190"/>
      <c r="KP841" s="190"/>
      <c r="KQ841" s="190"/>
      <c r="KR841" s="190"/>
      <c r="KS841" s="190"/>
      <c r="KT841" s="190"/>
      <c r="KU841" s="190"/>
      <c r="KV841" s="190"/>
      <c r="KW841" s="190"/>
      <c r="KX841" s="190"/>
      <c r="KY841" s="190"/>
      <c r="KZ841" s="190"/>
      <c r="LA841" s="190"/>
      <c r="LB841" s="190"/>
      <c r="LC841" s="190"/>
      <c r="LD841" s="190"/>
      <c r="LE841" s="190"/>
      <c r="LF841" s="190"/>
      <c r="LG841" s="190"/>
      <c r="LH841" s="190"/>
      <c r="LI841" s="190"/>
      <c r="LJ841" s="190"/>
      <c r="LK841" s="190"/>
      <c r="LL841" s="190"/>
      <c r="LM841" s="190"/>
      <c r="LN841" s="190"/>
      <c r="LO841" s="190"/>
      <c r="LP841" s="190"/>
      <c r="LQ841" s="190"/>
      <c r="LR841" s="190"/>
      <c r="LS841" s="190"/>
      <c r="LT841" s="190"/>
      <c r="LU841" s="190"/>
      <c r="LV841" s="190"/>
      <c r="LW841" s="190"/>
      <c r="LX841" s="190"/>
      <c r="LY841" s="190"/>
      <c r="LZ841" s="190"/>
      <c r="MA841" s="190"/>
      <c r="MB841" s="190"/>
      <c r="MC841" s="190"/>
      <c r="MD841" s="190"/>
      <c r="ME841" s="190"/>
      <c r="MF841" s="190"/>
      <c r="MG841" s="190"/>
      <c r="MH841" s="190"/>
      <c r="MI841" s="190"/>
      <c r="MJ841" s="190"/>
      <c r="MK841" s="190"/>
      <c r="ML841" s="190"/>
      <c r="MM841" s="190"/>
      <c r="MN841" s="190"/>
      <c r="MO841" s="190"/>
      <c r="MP841" s="190"/>
      <c r="MQ841" s="190"/>
      <c r="MR841" s="190"/>
      <c r="MS841" s="190"/>
      <c r="MT841" s="190"/>
      <c r="MU841" s="190"/>
      <c r="MV841" s="190"/>
      <c r="MW841" s="190"/>
      <c r="MX841" s="190"/>
      <c r="MY841" s="190"/>
      <c r="MZ841" s="190"/>
      <c r="NA841" s="190"/>
      <c r="NB841" s="190"/>
      <c r="NC841" s="190"/>
      <c r="ND841" s="190"/>
      <c r="NE841" s="190"/>
      <c r="NF841" s="190"/>
      <c r="NG841" s="190"/>
      <c r="NH841" s="190"/>
      <c r="NI841" s="190"/>
      <c r="NJ841" s="190"/>
      <c r="NK841" s="190"/>
      <c r="NL841" s="190"/>
      <c r="NM841" s="190"/>
      <c r="NN841" s="190"/>
      <c r="NO841" s="190"/>
      <c r="NP841" s="190"/>
      <c r="NQ841" s="190"/>
      <c r="NR841" s="190"/>
      <c r="NS841" s="190"/>
      <c r="NT841" s="190"/>
      <c r="NU841" s="190"/>
      <c r="NV841" s="190"/>
      <c r="NW841" s="190"/>
      <c r="NX841" s="190"/>
      <c r="NY841" s="190"/>
      <c r="NZ841" s="190"/>
      <c r="OA841" s="190"/>
      <c r="OB841" s="190"/>
      <c r="OC841" s="190"/>
      <c r="OD841" s="190"/>
      <c r="OE841" s="190"/>
      <c r="OF841" s="190"/>
      <c r="OG841" s="190"/>
      <c r="OH841" s="190"/>
      <c r="OI841" s="190"/>
      <c r="OJ841" s="190"/>
      <c r="OK841" s="190"/>
      <c r="OL841" s="190"/>
      <c r="OM841" s="190"/>
      <c r="ON841" s="190"/>
      <c r="OO841" s="190"/>
      <c r="OP841" s="190"/>
      <c r="OQ841" s="190"/>
      <c r="OR841" s="190"/>
      <c r="OS841" s="190"/>
      <c r="OT841" s="190"/>
      <c r="OU841" s="190"/>
      <c r="OV841" s="190"/>
      <c r="OW841" s="190"/>
      <c r="OX841" s="190"/>
      <c r="OY841" s="190"/>
      <c r="OZ841" s="190"/>
      <c r="PA841" s="190"/>
      <c r="PB841" s="190"/>
      <c r="PC841" s="190"/>
      <c r="PD841" s="190"/>
      <c r="PE841" s="190"/>
      <c r="PF841" s="190"/>
      <c r="PG841" s="190"/>
      <c r="PH841" s="190"/>
      <c r="PI841" s="190"/>
      <c r="PJ841" s="190"/>
      <c r="PK841" s="190"/>
      <c r="PL841" s="190"/>
      <c r="PM841" s="190"/>
      <c r="PN841" s="190"/>
      <c r="PO841" s="190"/>
      <c r="PP841" s="190"/>
      <c r="PQ841" s="190"/>
      <c r="PR841" s="190"/>
      <c r="PS841" s="190"/>
      <c r="PT841" s="190"/>
      <c r="PU841" s="190"/>
      <c r="PV841" s="190"/>
      <c r="PW841" s="190"/>
      <c r="PX841" s="190"/>
      <c r="PY841" s="190"/>
      <c r="PZ841" s="190"/>
      <c r="QA841" s="190"/>
      <c r="QB841" s="190"/>
      <c r="QC841" s="190"/>
      <c r="QD841" s="190"/>
      <c r="QE841" s="190"/>
      <c r="QF841" s="190"/>
      <c r="QG841" s="190"/>
      <c r="QH841" s="190"/>
      <c r="QI841" s="190"/>
      <c r="QJ841" s="190"/>
      <c r="QK841" s="190"/>
      <c r="QL841" s="190"/>
      <c r="QM841" s="190"/>
      <c r="QN841" s="190"/>
      <c r="QO841" s="190"/>
      <c r="QP841" s="190"/>
      <c r="QQ841" s="190"/>
      <c r="QR841" s="190"/>
      <c r="QS841" s="190"/>
      <c r="QT841" s="190"/>
      <c r="QU841" s="190"/>
      <c r="QV841" s="190"/>
      <c r="QW841" s="190"/>
      <c r="QX841" s="190"/>
      <c r="QY841" s="190"/>
      <c r="QZ841" s="190"/>
      <c r="RA841" s="190"/>
      <c r="RB841" s="190"/>
      <c r="RC841" s="190"/>
      <c r="RD841" s="190"/>
      <c r="RE841" s="190"/>
      <c r="RF841" s="190"/>
      <c r="RG841" s="190"/>
      <c r="RH841" s="190"/>
      <c r="RI841" s="190"/>
      <c r="RJ841" s="190"/>
      <c r="RK841" s="190"/>
      <c r="RL841" s="190"/>
      <c r="RM841" s="190"/>
      <c r="RN841" s="190"/>
      <c r="RO841" s="190"/>
      <c r="RP841" s="190"/>
      <c r="RQ841" s="190"/>
      <c r="RR841" s="190"/>
      <c r="RS841" s="190"/>
      <c r="RT841" s="190"/>
      <c r="RU841" s="190"/>
      <c r="RV841" s="190"/>
      <c r="RW841" s="190"/>
      <c r="RX841" s="190"/>
      <c r="RY841" s="190"/>
      <c r="RZ841" s="190"/>
      <c r="SA841" s="190"/>
      <c r="SB841" s="190"/>
      <c r="SC841" s="190"/>
      <c r="SD841" s="190"/>
      <c r="SE841" s="190"/>
      <c r="SF841" s="190"/>
      <c r="SG841" s="190"/>
      <c r="SH841" s="190"/>
      <c r="SI841" s="190"/>
      <c r="SJ841" s="190"/>
      <c r="SK841" s="190"/>
      <c r="SL841" s="190"/>
      <c r="SM841" s="190"/>
      <c r="SN841" s="190"/>
      <c r="SO841" s="190"/>
      <c r="SP841" s="190"/>
      <c r="SQ841" s="190"/>
      <c r="SR841" s="190"/>
      <c r="SS841" s="190"/>
      <c r="ST841" s="190"/>
      <c r="SU841" s="190"/>
      <c r="SV841" s="190"/>
      <c r="SW841" s="190"/>
      <c r="SX841" s="190"/>
      <c r="SY841" s="190"/>
      <c r="SZ841" s="190"/>
      <c r="TA841" s="190"/>
      <c r="TB841" s="190"/>
      <c r="TC841" s="190"/>
      <c r="TD841" s="190"/>
      <c r="TE841" s="190"/>
      <c r="TF841" s="190"/>
      <c r="TG841" s="190"/>
      <c r="TH841" s="190"/>
      <c r="TI841" s="190"/>
      <c r="TJ841" s="190"/>
      <c r="TK841" s="190"/>
      <c r="TL841" s="190"/>
      <c r="TM841" s="190"/>
      <c r="TN841" s="190"/>
      <c r="TO841" s="190"/>
      <c r="TP841" s="190"/>
      <c r="TQ841" s="190"/>
      <c r="TR841" s="190"/>
      <c r="TS841" s="190"/>
      <c r="TT841" s="190"/>
      <c r="TU841" s="190"/>
      <c r="TV841" s="190"/>
      <c r="TW841" s="190"/>
      <c r="TX841" s="190"/>
      <c r="TY841" s="190"/>
      <c r="TZ841" s="190"/>
      <c r="UA841" s="190"/>
      <c r="UB841" s="190"/>
      <c r="UC841" s="190"/>
      <c r="UD841" s="190"/>
      <c r="UE841" s="190"/>
      <c r="UF841" s="190"/>
      <c r="UG841" s="191"/>
    </row>
    <row r="842" spans="1:553" ht="32.5" customHeight="1">
      <c r="A842" s="356"/>
      <c r="B842" s="356"/>
      <c r="C842" s="1401" t="s">
        <v>56</v>
      </c>
      <c r="D842" s="1455"/>
      <c r="E842" s="1455"/>
      <c r="F842" s="1456"/>
      <c r="G842" s="366" t="s">
        <v>57</v>
      </c>
      <c r="H842" s="417"/>
      <c r="I842" s="417">
        <v>1</v>
      </c>
      <c r="J842" s="368">
        <v>5000000</v>
      </c>
      <c r="K842" s="369"/>
      <c r="L842" s="366">
        <f t="shared" ref="L842:L843" si="126">I842*J842</f>
        <v>5000000</v>
      </c>
      <c r="M842" s="356"/>
      <c r="N842" s="356"/>
      <c r="O842" s="356"/>
      <c r="P842" s="356"/>
      <c r="Q842" s="610"/>
      <c r="R842" s="1452"/>
      <c r="S842" s="308"/>
      <c r="T842" s="308"/>
      <c r="U842" s="308"/>
      <c r="V842" s="308"/>
      <c r="W842" s="308"/>
      <c r="X842" s="308"/>
      <c r="Y842" s="308"/>
      <c r="Z842" s="604"/>
      <c r="AA842" s="308"/>
      <c r="AB842" s="308"/>
      <c r="AC842" s="456"/>
      <c r="AD842" s="456"/>
      <c r="AE842" s="456"/>
      <c r="AF842" s="456"/>
      <c r="AG842" s="456"/>
      <c r="AH842" s="456"/>
      <c r="AI842" s="456"/>
      <c r="AJ842" s="456"/>
      <c r="AK842" s="456"/>
      <c r="AL842" s="184"/>
      <c r="AM842" s="34"/>
      <c r="AN842" s="34"/>
      <c r="AO842" s="34"/>
      <c r="AP842" s="34"/>
      <c r="AQ842" s="34"/>
      <c r="AR842" s="34"/>
      <c r="AS842" s="34"/>
      <c r="AT842" s="35"/>
      <c r="AU842" s="35"/>
      <c r="AV842" s="35"/>
      <c r="AW842" s="35"/>
      <c r="AX842" s="35"/>
      <c r="AY842" s="35"/>
      <c r="AZ842" s="35"/>
      <c r="BA842" s="35"/>
      <c r="BB842" s="35"/>
      <c r="BC842" s="35"/>
      <c r="BD842" s="35"/>
      <c r="BE842" s="35"/>
      <c r="BF842" s="35"/>
      <c r="BG842" s="35"/>
      <c r="BH842" s="35"/>
      <c r="BI842" s="35"/>
      <c r="BJ842" s="35"/>
      <c r="BK842" s="35"/>
      <c r="BL842" s="35"/>
      <c r="BM842" s="35"/>
      <c r="BN842" s="35"/>
      <c r="BO842" s="35"/>
      <c r="BP842" s="36"/>
      <c r="BQ842" s="36"/>
      <c r="BR842" s="36"/>
      <c r="BS842" s="36"/>
      <c r="BT842" s="36"/>
      <c r="BU842" s="36"/>
      <c r="BV842" s="36"/>
      <c r="BW842" s="36"/>
      <c r="BX842" s="36"/>
      <c r="BY842" s="36"/>
      <c r="BZ842" s="36"/>
      <c r="CA842" s="36"/>
      <c r="CB842" s="36"/>
      <c r="CC842" s="36"/>
      <c r="CD842" s="36"/>
      <c r="CE842" s="36"/>
      <c r="CF842" s="36"/>
      <c r="CG842" s="36"/>
      <c r="CH842" s="36"/>
      <c r="CI842" s="36"/>
      <c r="CJ842" s="36"/>
      <c r="CK842" s="36"/>
      <c r="CL842" s="36"/>
      <c r="CM842" s="36"/>
      <c r="CN842" s="36"/>
      <c r="CO842" s="36"/>
      <c r="CP842" s="36"/>
      <c r="CQ842" s="36"/>
      <c r="CR842" s="36"/>
      <c r="CS842" s="36"/>
      <c r="CT842" s="36"/>
      <c r="CU842" s="36"/>
      <c r="CV842" s="36"/>
      <c r="CW842" s="36"/>
      <c r="CX842" s="36"/>
      <c r="CY842" s="36"/>
      <c r="CZ842" s="36"/>
      <c r="DA842" s="36"/>
      <c r="DB842" s="36"/>
      <c r="DC842" s="36"/>
      <c r="DD842" s="36"/>
      <c r="DE842" s="36"/>
      <c r="DF842" s="36"/>
      <c r="DG842" s="36"/>
      <c r="DH842" s="36"/>
      <c r="DI842" s="36"/>
      <c r="DJ842" s="36"/>
      <c r="DK842" s="36"/>
      <c r="DL842" s="36"/>
      <c r="DM842" s="36"/>
      <c r="DN842" s="36"/>
      <c r="DO842" s="36"/>
      <c r="DP842" s="36"/>
      <c r="DQ842" s="36"/>
      <c r="DR842" s="36"/>
      <c r="DS842" s="36"/>
      <c r="DT842" s="36"/>
      <c r="DU842" s="36"/>
      <c r="DV842" s="36"/>
      <c r="DW842" s="36"/>
      <c r="DX842" s="36"/>
      <c r="DY842" s="36"/>
      <c r="DZ842" s="36"/>
      <c r="EA842" s="36"/>
      <c r="EB842" s="36"/>
      <c r="EC842" s="36"/>
      <c r="ED842" s="36"/>
      <c r="EE842" s="36"/>
      <c r="EF842" s="36"/>
      <c r="EG842" s="36"/>
      <c r="EH842" s="36"/>
      <c r="EI842" s="36"/>
      <c r="EJ842" s="36"/>
      <c r="EK842" s="36"/>
      <c r="EL842" s="36"/>
      <c r="EM842" s="36"/>
      <c r="EN842" s="36"/>
      <c r="EO842" s="36"/>
      <c r="EP842" s="36"/>
      <c r="EQ842" s="36"/>
      <c r="ER842" s="36"/>
      <c r="ES842" s="36"/>
      <c r="ET842" s="36"/>
      <c r="EU842" s="36"/>
      <c r="EV842" s="36"/>
      <c r="EW842" s="36"/>
      <c r="EX842" s="36"/>
      <c r="EY842" s="36"/>
      <c r="EZ842" s="36"/>
      <c r="FA842" s="36"/>
      <c r="FB842" s="36"/>
      <c r="FC842" s="36"/>
      <c r="FD842" s="36"/>
      <c r="FE842" s="36"/>
      <c r="FF842" s="36"/>
      <c r="FG842" s="36"/>
      <c r="FH842" s="36"/>
      <c r="FI842" s="36"/>
      <c r="FJ842" s="36"/>
      <c r="FK842" s="36"/>
      <c r="FL842" s="36"/>
      <c r="FM842" s="36"/>
      <c r="FN842" s="36"/>
      <c r="FO842" s="36"/>
      <c r="FP842" s="36"/>
      <c r="FQ842" s="36"/>
      <c r="FR842" s="36"/>
      <c r="FS842" s="36"/>
      <c r="FT842" s="36"/>
      <c r="FU842" s="36"/>
      <c r="FV842" s="36"/>
      <c r="FW842" s="36"/>
      <c r="FX842" s="36"/>
      <c r="FY842" s="36"/>
      <c r="FZ842" s="36"/>
      <c r="GA842" s="36"/>
      <c r="GB842" s="36"/>
      <c r="GC842" s="36"/>
      <c r="GD842" s="36"/>
      <c r="GE842" s="36"/>
      <c r="GF842" s="36"/>
      <c r="GG842" s="36"/>
      <c r="GH842" s="36"/>
      <c r="GI842" s="36"/>
      <c r="GJ842" s="36"/>
      <c r="GK842" s="36"/>
      <c r="GL842" s="36"/>
      <c r="GM842" s="36"/>
      <c r="GN842" s="36"/>
      <c r="GO842" s="36"/>
      <c r="GP842" s="36"/>
      <c r="GQ842" s="36"/>
      <c r="GR842" s="36"/>
      <c r="GS842" s="36"/>
      <c r="GT842" s="36"/>
      <c r="GU842" s="36"/>
      <c r="GV842" s="36"/>
      <c r="GW842" s="36"/>
      <c r="GX842" s="36"/>
      <c r="GY842" s="36"/>
      <c r="GZ842" s="36"/>
      <c r="HA842" s="36"/>
      <c r="HB842" s="36"/>
      <c r="HC842" s="36"/>
      <c r="HD842" s="36"/>
      <c r="HE842" s="36"/>
      <c r="HF842" s="36"/>
      <c r="HG842" s="36"/>
      <c r="HH842" s="36"/>
      <c r="HI842" s="36"/>
      <c r="HJ842" s="36"/>
      <c r="HK842" s="36"/>
      <c r="HL842" s="36"/>
      <c r="HM842" s="36"/>
      <c r="HN842" s="36"/>
      <c r="HO842" s="36"/>
      <c r="HP842" s="36"/>
      <c r="HQ842" s="36"/>
      <c r="HR842" s="36"/>
      <c r="HS842" s="36"/>
      <c r="HT842" s="36"/>
      <c r="HU842" s="36"/>
      <c r="HV842" s="36"/>
      <c r="HW842" s="36"/>
      <c r="HX842" s="36"/>
      <c r="HY842" s="36"/>
      <c r="HZ842" s="36"/>
      <c r="IA842" s="36"/>
      <c r="IB842" s="36"/>
      <c r="IC842" s="36"/>
      <c r="ID842" s="36"/>
      <c r="IE842" s="36"/>
      <c r="IF842" s="36"/>
      <c r="IG842" s="36"/>
      <c r="IH842" s="36"/>
      <c r="II842" s="36"/>
      <c r="IJ842" s="36"/>
      <c r="IK842" s="36"/>
      <c r="IL842" s="36"/>
      <c r="IM842" s="36"/>
      <c r="IN842" s="36"/>
      <c r="IO842" s="36"/>
      <c r="IP842" s="36"/>
      <c r="IQ842" s="36"/>
      <c r="IR842" s="36"/>
      <c r="IS842" s="36"/>
      <c r="IT842" s="36"/>
      <c r="IU842" s="36"/>
      <c r="IV842" s="36"/>
      <c r="IW842" s="36"/>
      <c r="IX842" s="36"/>
      <c r="IY842" s="36"/>
      <c r="IZ842" s="36"/>
      <c r="JA842" s="36"/>
      <c r="JB842" s="36"/>
      <c r="JC842" s="36"/>
      <c r="JD842" s="36"/>
      <c r="JE842" s="36"/>
      <c r="JF842" s="36"/>
      <c r="JG842" s="36"/>
      <c r="JH842" s="36"/>
      <c r="JI842" s="36"/>
      <c r="JJ842" s="36"/>
      <c r="JK842" s="36"/>
      <c r="JL842" s="36"/>
      <c r="JM842" s="36"/>
      <c r="JN842" s="36"/>
      <c r="JO842" s="36"/>
      <c r="JP842" s="36"/>
      <c r="JQ842" s="36"/>
      <c r="JR842" s="36"/>
      <c r="JS842" s="36"/>
      <c r="JT842" s="36"/>
      <c r="JU842" s="36"/>
      <c r="JV842" s="36"/>
      <c r="JW842" s="36"/>
      <c r="JX842" s="36"/>
      <c r="JY842" s="36"/>
      <c r="JZ842" s="36"/>
      <c r="KA842" s="36"/>
      <c r="KB842" s="36"/>
      <c r="KC842" s="36"/>
      <c r="KD842" s="36"/>
      <c r="KE842" s="36"/>
      <c r="KF842" s="36"/>
      <c r="KG842" s="36"/>
      <c r="KH842" s="36"/>
      <c r="KI842" s="36"/>
      <c r="KJ842" s="36"/>
      <c r="KK842" s="36"/>
      <c r="KL842" s="36"/>
      <c r="KM842" s="36"/>
      <c r="KN842" s="36"/>
      <c r="KO842" s="36"/>
      <c r="KP842" s="36"/>
      <c r="KQ842" s="36"/>
      <c r="KR842" s="36"/>
      <c r="KS842" s="36"/>
      <c r="KT842" s="36"/>
      <c r="KU842" s="36"/>
      <c r="KV842" s="36"/>
      <c r="KW842" s="36"/>
      <c r="KX842" s="36"/>
      <c r="KY842" s="36"/>
      <c r="KZ842" s="36"/>
      <c r="LA842" s="36"/>
      <c r="LB842" s="36"/>
      <c r="LC842" s="36"/>
      <c r="LD842" s="36"/>
      <c r="LE842" s="36"/>
      <c r="LF842" s="36"/>
      <c r="LG842" s="36"/>
      <c r="LH842" s="36"/>
      <c r="LI842" s="36"/>
      <c r="LJ842" s="36"/>
      <c r="LK842" s="36"/>
      <c r="LL842" s="36"/>
      <c r="LM842" s="36"/>
      <c r="LN842" s="36"/>
      <c r="LO842" s="36"/>
      <c r="LP842" s="36"/>
      <c r="LQ842" s="36"/>
      <c r="LR842" s="36"/>
      <c r="LS842" s="36"/>
      <c r="LT842" s="36"/>
      <c r="LU842" s="36"/>
      <c r="LV842" s="36"/>
      <c r="LW842" s="36"/>
      <c r="LX842" s="36"/>
      <c r="LY842" s="36"/>
      <c r="LZ842" s="36"/>
      <c r="MA842" s="36"/>
      <c r="MB842" s="36"/>
      <c r="MC842" s="36"/>
      <c r="MD842" s="36"/>
      <c r="ME842" s="36"/>
      <c r="MF842" s="36"/>
      <c r="MG842" s="36"/>
      <c r="MH842" s="36"/>
      <c r="MI842" s="36"/>
      <c r="MJ842" s="36"/>
      <c r="MK842" s="36"/>
      <c r="ML842" s="36"/>
      <c r="MM842" s="36"/>
      <c r="MN842" s="36"/>
      <c r="MO842" s="36"/>
      <c r="MP842" s="36"/>
      <c r="MQ842" s="36"/>
      <c r="MR842" s="36"/>
      <c r="MS842" s="36"/>
      <c r="MT842" s="36"/>
      <c r="MU842" s="36"/>
      <c r="MV842" s="36"/>
      <c r="MW842" s="36"/>
      <c r="MX842" s="36"/>
      <c r="MY842" s="36"/>
      <c r="MZ842" s="36"/>
      <c r="NA842" s="36"/>
      <c r="NB842" s="36"/>
      <c r="NC842" s="36"/>
      <c r="ND842" s="36"/>
      <c r="NE842" s="36"/>
      <c r="NF842" s="36"/>
      <c r="NG842" s="36"/>
      <c r="NH842" s="36"/>
      <c r="NI842" s="36"/>
      <c r="NJ842" s="36"/>
      <c r="NK842" s="36"/>
      <c r="NL842" s="36"/>
      <c r="NM842" s="36"/>
      <c r="NN842" s="36"/>
      <c r="NO842" s="36"/>
      <c r="NP842" s="36"/>
      <c r="NQ842" s="36"/>
      <c r="NR842" s="36"/>
      <c r="NS842" s="36"/>
      <c r="NT842" s="36"/>
      <c r="NU842" s="36"/>
      <c r="NV842" s="36"/>
      <c r="NW842" s="36"/>
      <c r="NX842" s="36"/>
      <c r="NY842" s="36"/>
      <c r="NZ842" s="36"/>
      <c r="OA842" s="36"/>
      <c r="OB842" s="36"/>
      <c r="OC842" s="36"/>
      <c r="OD842" s="36"/>
      <c r="OE842" s="36"/>
      <c r="OF842" s="36"/>
      <c r="OG842" s="36"/>
      <c r="OH842" s="36"/>
      <c r="OI842" s="36"/>
      <c r="OJ842" s="36"/>
      <c r="OK842" s="36"/>
      <c r="OL842" s="36"/>
      <c r="OM842" s="36"/>
      <c r="ON842" s="36"/>
      <c r="OO842" s="36"/>
      <c r="OP842" s="36"/>
      <c r="OQ842" s="36"/>
      <c r="OR842" s="36"/>
      <c r="OS842" s="36"/>
      <c r="OT842" s="36"/>
      <c r="OU842" s="36"/>
      <c r="OV842" s="36"/>
      <c r="OW842" s="36"/>
      <c r="OX842" s="36"/>
      <c r="OY842" s="36"/>
      <c r="OZ842" s="36"/>
      <c r="PA842" s="36"/>
      <c r="PB842" s="36"/>
      <c r="PC842" s="36"/>
      <c r="PD842" s="36"/>
      <c r="PE842" s="36"/>
      <c r="PF842" s="36"/>
      <c r="PG842" s="36"/>
      <c r="PH842" s="36"/>
      <c r="PI842" s="36"/>
      <c r="PJ842" s="36"/>
      <c r="PK842" s="36"/>
      <c r="PL842" s="36"/>
      <c r="PM842" s="36"/>
      <c r="PN842" s="36"/>
      <c r="PO842" s="36"/>
      <c r="PP842" s="36"/>
      <c r="PQ842" s="36"/>
      <c r="PR842" s="36"/>
      <c r="PS842" s="36"/>
      <c r="PT842" s="36"/>
      <c r="PU842" s="36"/>
      <c r="PV842" s="36"/>
      <c r="PW842" s="36"/>
      <c r="PX842" s="36"/>
      <c r="PY842" s="36"/>
      <c r="PZ842" s="36"/>
      <c r="QA842" s="36"/>
      <c r="QB842" s="36"/>
      <c r="QC842" s="36"/>
      <c r="QD842" s="36"/>
      <c r="QE842" s="36"/>
      <c r="QF842" s="36"/>
      <c r="QG842" s="36"/>
      <c r="QH842" s="36"/>
      <c r="QI842" s="36"/>
      <c r="QJ842" s="36"/>
      <c r="QK842" s="36"/>
      <c r="QL842" s="36"/>
      <c r="QM842" s="36"/>
      <c r="QN842" s="36"/>
      <c r="QO842" s="36"/>
      <c r="QP842" s="36"/>
      <c r="QQ842" s="36"/>
      <c r="QR842" s="36"/>
      <c r="QS842" s="36"/>
      <c r="QT842" s="36"/>
      <c r="QU842" s="36"/>
      <c r="QV842" s="36"/>
      <c r="QW842" s="36"/>
      <c r="QX842" s="36"/>
      <c r="QY842" s="36"/>
      <c r="QZ842" s="36"/>
      <c r="RA842" s="36"/>
      <c r="RB842" s="36"/>
      <c r="RC842" s="36"/>
      <c r="RD842" s="36"/>
      <c r="RE842" s="36"/>
      <c r="RF842" s="36"/>
      <c r="RG842" s="36"/>
      <c r="RH842" s="36"/>
      <c r="RI842" s="36"/>
      <c r="RJ842" s="36"/>
      <c r="RK842" s="36"/>
      <c r="RL842" s="36"/>
      <c r="RM842" s="36"/>
      <c r="RN842" s="36"/>
      <c r="RO842" s="36"/>
      <c r="RP842" s="36"/>
      <c r="RQ842" s="36"/>
      <c r="RR842" s="36"/>
      <c r="RS842" s="36"/>
      <c r="RT842" s="36"/>
      <c r="RU842" s="36"/>
      <c r="RV842" s="36"/>
      <c r="RW842" s="36"/>
      <c r="RX842" s="36"/>
      <c r="RY842" s="36"/>
      <c r="RZ842" s="36"/>
      <c r="SA842" s="36"/>
      <c r="SB842" s="36"/>
      <c r="SC842" s="36"/>
      <c r="SD842" s="36"/>
      <c r="SE842" s="36"/>
      <c r="SF842" s="36"/>
      <c r="SG842" s="36"/>
      <c r="SH842" s="36"/>
      <c r="SI842" s="36"/>
      <c r="SJ842" s="36"/>
      <c r="SK842" s="36"/>
      <c r="SL842" s="36"/>
      <c r="SM842" s="36"/>
      <c r="SN842" s="36"/>
      <c r="SO842" s="36"/>
      <c r="SP842" s="36"/>
      <c r="SQ842" s="36"/>
      <c r="SR842" s="36"/>
      <c r="SS842" s="36"/>
      <c r="ST842" s="36"/>
      <c r="SU842" s="36"/>
      <c r="SV842" s="36"/>
      <c r="SW842" s="36"/>
      <c r="SX842" s="36"/>
      <c r="SY842" s="36"/>
      <c r="SZ842" s="36"/>
      <c r="TA842" s="36"/>
      <c r="TB842" s="36"/>
      <c r="TC842" s="36"/>
      <c r="TD842" s="36"/>
      <c r="TE842" s="36"/>
      <c r="TF842" s="36"/>
      <c r="TG842" s="36"/>
      <c r="TH842" s="36"/>
      <c r="TI842" s="36"/>
      <c r="TJ842" s="36"/>
      <c r="TK842" s="36"/>
      <c r="TL842" s="36"/>
      <c r="TM842" s="36"/>
      <c r="TN842" s="36"/>
      <c r="TO842" s="36"/>
      <c r="TP842" s="36"/>
      <c r="TQ842" s="36"/>
      <c r="TR842" s="36"/>
      <c r="TS842" s="36"/>
      <c r="TT842" s="36"/>
      <c r="TU842" s="36"/>
      <c r="TV842" s="36"/>
      <c r="TW842" s="36"/>
      <c r="TX842" s="36"/>
      <c r="TY842" s="36"/>
      <c r="TZ842" s="36"/>
      <c r="UA842" s="36"/>
      <c r="UB842" s="36"/>
      <c r="UC842" s="36"/>
      <c r="UD842" s="36"/>
      <c r="UE842" s="36"/>
      <c r="UF842" s="36"/>
      <c r="UG842" s="37"/>
    </row>
    <row r="843" spans="1:553" ht="32.5" customHeight="1">
      <c r="A843" s="356"/>
      <c r="B843" s="356"/>
      <c r="C843" s="1401" t="s">
        <v>204</v>
      </c>
      <c r="D843" s="1455"/>
      <c r="E843" s="1455"/>
      <c r="F843" s="1456"/>
      <c r="G843" s="366" t="s">
        <v>205</v>
      </c>
      <c r="H843" s="417"/>
      <c r="I843" s="417">
        <v>5</v>
      </c>
      <c r="J843" s="368">
        <v>500000</v>
      </c>
      <c r="K843" s="369"/>
      <c r="L843" s="366">
        <f t="shared" si="126"/>
        <v>2500000</v>
      </c>
      <c r="M843" s="356"/>
      <c r="N843" s="356"/>
      <c r="O843" s="356"/>
      <c r="P843" s="356"/>
      <c r="Q843" s="610"/>
      <c r="R843" s="1452"/>
      <c r="S843" s="308"/>
      <c r="T843" s="308"/>
      <c r="U843" s="308"/>
      <c r="V843" s="308"/>
      <c r="W843" s="308"/>
      <c r="X843" s="308"/>
      <c r="Y843" s="308"/>
      <c r="Z843" s="604"/>
      <c r="AA843" s="308"/>
      <c r="AB843" s="308"/>
      <c r="AC843" s="456"/>
      <c r="AD843" s="456"/>
      <c r="AE843" s="456"/>
      <c r="AF843" s="456"/>
      <c r="AG843" s="456"/>
      <c r="AH843" s="456"/>
      <c r="AI843" s="456"/>
      <c r="AJ843" s="456"/>
      <c r="AK843" s="456"/>
      <c r="AL843" s="184"/>
      <c r="AM843" s="34"/>
      <c r="AN843" s="34"/>
      <c r="AO843" s="34"/>
      <c r="AP843" s="34"/>
      <c r="AQ843" s="34"/>
      <c r="AR843" s="34"/>
      <c r="AS843" s="34"/>
      <c r="AT843" s="35"/>
      <c r="AU843" s="35"/>
      <c r="AV843" s="35"/>
      <c r="AW843" s="35"/>
      <c r="AX843" s="35"/>
      <c r="AY843" s="35"/>
      <c r="AZ843" s="35"/>
      <c r="BA843" s="35"/>
      <c r="BB843" s="35"/>
      <c r="BC843" s="35"/>
      <c r="BD843" s="35"/>
      <c r="BE843" s="35"/>
      <c r="BF843" s="35"/>
      <c r="BG843" s="35"/>
      <c r="BH843" s="35"/>
      <c r="BI843" s="35"/>
      <c r="BJ843" s="35"/>
      <c r="BK843" s="35"/>
      <c r="BL843" s="35"/>
      <c r="BM843" s="35"/>
      <c r="BN843" s="35"/>
      <c r="BO843" s="35"/>
      <c r="BP843" s="36"/>
      <c r="BQ843" s="36"/>
      <c r="BR843" s="36"/>
      <c r="BS843" s="36"/>
      <c r="BT843" s="36"/>
      <c r="BU843" s="36"/>
      <c r="BV843" s="36"/>
      <c r="BW843" s="36"/>
      <c r="BX843" s="36"/>
      <c r="BY843" s="36"/>
      <c r="BZ843" s="36"/>
      <c r="CA843" s="36"/>
      <c r="CB843" s="36"/>
      <c r="CC843" s="36"/>
      <c r="CD843" s="36"/>
      <c r="CE843" s="36"/>
      <c r="CF843" s="36"/>
      <c r="CG843" s="36"/>
      <c r="CH843" s="36"/>
      <c r="CI843" s="36"/>
      <c r="CJ843" s="36"/>
      <c r="CK843" s="36"/>
      <c r="CL843" s="36"/>
      <c r="CM843" s="36"/>
      <c r="CN843" s="36"/>
      <c r="CO843" s="36"/>
      <c r="CP843" s="36"/>
      <c r="CQ843" s="36"/>
      <c r="CR843" s="36"/>
      <c r="CS843" s="36"/>
      <c r="CT843" s="36"/>
      <c r="CU843" s="36"/>
      <c r="CV843" s="36"/>
      <c r="CW843" s="36"/>
      <c r="CX843" s="36"/>
      <c r="CY843" s="36"/>
      <c r="CZ843" s="36"/>
      <c r="DA843" s="36"/>
      <c r="DB843" s="36"/>
      <c r="DC843" s="36"/>
      <c r="DD843" s="36"/>
      <c r="DE843" s="36"/>
      <c r="DF843" s="36"/>
      <c r="DG843" s="36"/>
      <c r="DH843" s="36"/>
      <c r="DI843" s="36"/>
      <c r="DJ843" s="36"/>
      <c r="DK843" s="36"/>
      <c r="DL843" s="36"/>
      <c r="DM843" s="36"/>
      <c r="DN843" s="36"/>
      <c r="DO843" s="36"/>
      <c r="DP843" s="36"/>
      <c r="DQ843" s="36"/>
      <c r="DR843" s="36"/>
      <c r="DS843" s="36"/>
      <c r="DT843" s="36"/>
      <c r="DU843" s="36"/>
      <c r="DV843" s="36"/>
      <c r="DW843" s="36"/>
      <c r="DX843" s="36"/>
      <c r="DY843" s="36"/>
      <c r="DZ843" s="36"/>
      <c r="EA843" s="36"/>
      <c r="EB843" s="36"/>
      <c r="EC843" s="36"/>
      <c r="ED843" s="36"/>
      <c r="EE843" s="36"/>
      <c r="EF843" s="36"/>
      <c r="EG843" s="36"/>
      <c r="EH843" s="36"/>
      <c r="EI843" s="36"/>
      <c r="EJ843" s="36"/>
      <c r="EK843" s="36"/>
      <c r="EL843" s="36"/>
      <c r="EM843" s="36"/>
      <c r="EN843" s="36"/>
      <c r="EO843" s="36"/>
      <c r="EP843" s="36"/>
      <c r="EQ843" s="36"/>
      <c r="ER843" s="36"/>
      <c r="ES843" s="36"/>
      <c r="ET843" s="36"/>
      <c r="EU843" s="36"/>
      <c r="EV843" s="36"/>
      <c r="EW843" s="36"/>
      <c r="EX843" s="36"/>
      <c r="EY843" s="36"/>
      <c r="EZ843" s="36"/>
      <c r="FA843" s="36"/>
      <c r="FB843" s="36"/>
      <c r="FC843" s="36"/>
      <c r="FD843" s="36"/>
      <c r="FE843" s="36"/>
      <c r="FF843" s="36"/>
      <c r="FG843" s="36"/>
      <c r="FH843" s="36"/>
      <c r="FI843" s="36"/>
      <c r="FJ843" s="36"/>
      <c r="FK843" s="36"/>
      <c r="FL843" s="36"/>
      <c r="FM843" s="36"/>
      <c r="FN843" s="36"/>
      <c r="FO843" s="36"/>
      <c r="FP843" s="36"/>
      <c r="FQ843" s="36"/>
      <c r="FR843" s="36"/>
      <c r="FS843" s="36"/>
      <c r="FT843" s="36"/>
      <c r="FU843" s="36"/>
      <c r="FV843" s="36"/>
      <c r="FW843" s="36"/>
      <c r="FX843" s="36"/>
      <c r="FY843" s="36"/>
      <c r="FZ843" s="36"/>
      <c r="GA843" s="36"/>
      <c r="GB843" s="36"/>
      <c r="GC843" s="36"/>
      <c r="GD843" s="36"/>
      <c r="GE843" s="36"/>
      <c r="GF843" s="36"/>
      <c r="GG843" s="36"/>
      <c r="GH843" s="36"/>
      <c r="GI843" s="36"/>
      <c r="GJ843" s="36"/>
      <c r="GK843" s="36"/>
      <c r="GL843" s="36"/>
      <c r="GM843" s="36"/>
      <c r="GN843" s="36"/>
      <c r="GO843" s="36"/>
      <c r="GP843" s="36"/>
      <c r="GQ843" s="36"/>
      <c r="GR843" s="36"/>
      <c r="GS843" s="36"/>
      <c r="GT843" s="36"/>
      <c r="GU843" s="36"/>
      <c r="GV843" s="36"/>
      <c r="GW843" s="36"/>
      <c r="GX843" s="36"/>
      <c r="GY843" s="36"/>
      <c r="GZ843" s="36"/>
      <c r="HA843" s="36"/>
      <c r="HB843" s="36"/>
      <c r="HC843" s="36"/>
      <c r="HD843" s="36"/>
      <c r="HE843" s="36"/>
      <c r="HF843" s="36"/>
      <c r="HG843" s="36"/>
      <c r="HH843" s="36"/>
      <c r="HI843" s="36"/>
      <c r="HJ843" s="36"/>
      <c r="HK843" s="36"/>
      <c r="HL843" s="36"/>
      <c r="HM843" s="36"/>
      <c r="HN843" s="36"/>
      <c r="HO843" s="36"/>
      <c r="HP843" s="36"/>
      <c r="HQ843" s="36"/>
      <c r="HR843" s="36"/>
      <c r="HS843" s="36"/>
      <c r="HT843" s="36"/>
      <c r="HU843" s="36"/>
      <c r="HV843" s="36"/>
      <c r="HW843" s="36"/>
      <c r="HX843" s="36"/>
      <c r="HY843" s="36"/>
      <c r="HZ843" s="36"/>
      <c r="IA843" s="36"/>
      <c r="IB843" s="36"/>
      <c r="IC843" s="36"/>
      <c r="ID843" s="36"/>
      <c r="IE843" s="36"/>
      <c r="IF843" s="36"/>
      <c r="IG843" s="36"/>
      <c r="IH843" s="36"/>
      <c r="II843" s="36"/>
      <c r="IJ843" s="36"/>
      <c r="IK843" s="36"/>
      <c r="IL843" s="36"/>
      <c r="IM843" s="36"/>
      <c r="IN843" s="36"/>
      <c r="IO843" s="36"/>
      <c r="IP843" s="36"/>
      <c r="IQ843" s="36"/>
      <c r="IR843" s="36"/>
      <c r="IS843" s="36"/>
      <c r="IT843" s="36"/>
      <c r="IU843" s="36"/>
      <c r="IV843" s="36"/>
      <c r="IW843" s="36"/>
      <c r="IX843" s="36"/>
      <c r="IY843" s="36"/>
      <c r="IZ843" s="36"/>
      <c r="JA843" s="36"/>
      <c r="JB843" s="36"/>
      <c r="JC843" s="36"/>
      <c r="JD843" s="36"/>
      <c r="JE843" s="36"/>
      <c r="JF843" s="36"/>
      <c r="JG843" s="36"/>
      <c r="JH843" s="36"/>
      <c r="JI843" s="36"/>
      <c r="JJ843" s="36"/>
      <c r="JK843" s="36"/>
      <c r="JL843" s="36"/>
      <c r="JM843" s="36"/>
      <c r="JN843" s="36"/>
      <c r="JO843" s="36"/>
      <c r="JP843" s="36"/>
      <c r="JQ843" s="36"/>
      <c r="JR843" s="36"/>
      <c r="JS843" s="36"/>
      <c r="JT843" s="36"/>
      <c r="JU843" s="36"/>
      <c r="JV843" s="36"/>
      <c r="JW843" s="36"/>
      <c r="JX843" s="36"/>
      <c r="JY843" s="36"/>
      <c r="JZ843" s="36"/>
      <c r="KA843" s="36"/>
      <c r="KB843" s="36"/>
      <c r="KC843" s="36"/>
      <c r="KD843" s="36"/>
      <c r="KE843" s="36"/>
      <c r="KF843" s="36"/>
      <c r="KG843" s="36"/>
      <c r="KH843" s="36"/>
      <c r="KI843" s="36"/>
      <c r="KJ843" s="36"/>
      <c r="KK843" s="36"/>
      <c r="KL843" s="36"/>
      <c r="KM843" s="36"/>
      <c r="KN843" s="36"/>
      <c r="KO843" s="36"/>
      <c r="KP843" s="36"/>
      <c r="KQ843" s="36"/>
      <c r="KR843" s="36"/>
      <c r="KS843" s="36"/>
      <c r="KT843" s="36"/>
      <c r="KU843" s="36"/>
      <c r="KV843" s="36"/>
      <c r="KW843" s="36"/>
      <c r="KX843" s="36"/>
      <c r="KY843" s="36"/>
      <c r="KZ843" s="36"/>
      <c r="LA843" s="36"/>
      <c r="LB843" s="36"/>
      <c r="LC843" s="36"/>
      <c r="LD843" s="36"/>
      <c r="LE843" s="36"/>
      <c r="LF843" s="36"/>
      <c r="LG843" s="36"/>
      <c r="LH843" s="36"/>
      <c r="LI843" s="36"/>
      <c r="LJ843" s="36"/>
      <c r="LK843" s="36"/>
      <c r="LL843" s="36"/>
      <c r="LM843" s="36"/>
      <c r="LN843" s="36"/>
      <c r="LO843" s="36"/>
      <c r="LP843" s="36"/>
      <c r="LQ843" s="36"/>
      <c r="LR843" s="36"/>
      <c r="LS843" s="36"/>
      <c r="LT843" s="36"/>
      <c r="LU843" s="36"/>
      <c r="LV843" s="36"/>
      <c r="LW843" s="36"/>
      <c r="LX843" s="36"/>
      <c r="LY843" s="36"/>
      <c r="LZ843" s="36"/>
      <c r="MA843" s="36"/>
      <c r="MB843" s="36"/>
      <c r="MC843" s="36"/>
      <c r="MD843" s="36"/>
      <c r="ME843" s="36"/>
      <c r="MF843" s="36"/>
      <c r="MG843" s="36"/>
      <c r="MH843" s="36"/>
      <c r="MI843" s="36"/>
      <c r="MJ843" s="36"/>
      <c r="MK843" s="36"/>
      <c r="ML843" s="36"/>
      <c r="MM843" s="36"/>
      <c r="MN843" s="36"/>
      <c r="MO843" s="36"/>
      <c r="MP843" s="36"/>
      <c r="MQ843" s="36"/>
      <c r="MR843" s="36"/>
      <c r="MS843" s="36"/>
      <c r="MT843" s="36"/>
      <c r="MU843" s="36"/>
      <c r="MV843" s="36"/>
      <c r="MW843" s="36"/>
      <c r="MX843" s="36"/>
      <c r="MY843" s="36"/>
      <c r="MZ843" s="36"/>
      <c r="NA843" s="36"/>
      <c r="NB843" s="36"/>
      <c r="NC843" s="36"/>
      <c r="ND843" s="36"/>
      <c r="NE843" s="36"/>
      <c r="NF843" s="36"/>
      <c r="NG843" s="36"/>
      <c r="NH843" s="36"/>
      <c r="NI843" s="36"/>
      <c r="NJ843" s="36"/>
      <c r="NK843" s="36"/>
      <c r="NL843" s="36"/>
      <c r="NM843" s="36"/>
      <c r="NN843" s="36"/>
      <c r="NO843" s="36"/>
      <c r="NP843" s="36"/>
      <c r="NQ843" s="36"/>
      <c r="NR843" s="36"/>
      <c r="NS843" s="36"/>
      <c r="NT843" s="36"/>
      <c r="NU843" s="36"/>
      <c r="NV843" s="36"/>
      <c r="NW843" s="36"/>
      <c r="NX843" s="36"/>
      <c r="NY843" s="36"/>
      <c r="NZ843" s="36"/>
      <c r="OA843" s="36"/>
      <c r="OB843" s="36"/>
      <c r="OC843" s="36"/>
      <c r="OD843" s="36"/>
      <c r="OE843" s="36"/>
      <c r="OF843" s="36"/>
      <c r="OG843" s="36"/>
      <c r="OH843" s="36"/>
      <c r="OI843" s="36"/>
      <c r="OJ843" s="36"/>
      <c r="OK843" s="36"/>
      <c r="OL843" s="36"/>
      <c r="OM843" s="36"/>
      <c r="ON843" s="36"/>
      <c r="OO843" s="36"/>
      <c r="OP843" s="36"/>
      <c r="OQ843" s="36"/>
      <c r="OR843" s="36"/>
      <c r="OS843" s="36"/>
      <c r="OT843" s="36"/>
      <c r="OU843" s="36"/>
      <c r="OV843" s="36"/>
      <c r="OW843" s="36"/>
      <c r="OX843" s="36"/>
      <c r="OY843" s="36"/>
      <c r="OZ843" s="36"/>
      <c r="PA843" s="36"/>
      <c r="PB843" s="36"/>
      <c r="PC843" s="36"/>
      <c r="PD843" s="36"/>
      <c r="PE843" s="36"/>
      <c r="PF843" s="36"/>
      <c r="PG843" s="36"/>
      <c r="PH843" s="36"/>
      <c r="PI843" s="36"/>
      <c r="PJ843" s="36"/>
      <c r="PK843" s="36"/>
      <c r="PL843" s="36"/>
      <c r="PM843" s="36"/>
      <c r="PN843" s="36"/>
      <c r="PO843" s="36"/>
      <c r="PP843" s="36"/>
      <c r="PQ843" s="36"/>
      <c r="PR843" s="36"/>
      <c r="PS843" s="36"/>
      <c r="PT843" s="36"/>
      <c r="PU843" s="36"/>
      <c r="PV843" s="36"/>
      <c r="PW843" s="36"/>
      <c r="PX843" s="36"/>
      <c r="PY843" s="36"/>
      <c r="PZ843" s="36"/>
      <c r="QA843" s="36"/>
      <c r="QB843" s="36"/>
      <c r="QC843" s="36"/>
      <c r="QD843" s="36"/>
      <c r="QE843" s="36"/>
      <c r="QF843" s="36"/>
      <c r="QG843" s="36"/>
      <c r="QH843" s="36"/>
      <c r="QI843" s="36"/>
      <c r="QJ843" s="36"/>
      <c r="QK843" s="36"/>
      <c r="QL843" s="36"/>
      <c r="QM843" s="36"/>
      <c r="QN843" s="36"/>
      <c r="QO843" s="36"/>
      <c r="QP843" s="36"/>
      <c r="QQ843" s="36"/>
      <c r="QR843" s="36"/>
      <c r="QS843" s="36"/>
      <c r="QT843" s="36"/>
      <c r="QU843" s="36"/>
      <c r="QV843" s="36"/>
      <c r="QW843" s="36"/>
      <c r="QX843" s="36"/>
      <c r="QY843" s="36"/>
      <c r="QZ843" s="36"/>
      <c r="RA843" s="36"/>
      <c r="RB843" s="36"/>
      <c r="RC843" s="36"/>
      <c r="RD843" s="36"/>
      <c r="RE843" s="36"/>
      <c r="RF843" s="36"/>
      <c r="RG843" s="36"/>
      <c r="RH843" s="36"/>
      <c r="RI843" s="36"/>
      <c r="RJ843" s="36"/>
      <c r="RK843" s="36"/>
      <c r="RL843" s="36"/>
      <c r="RM843" s="36"/>
      <c r="RN843" s="36"/>
      <c r="RO843" s="36"/>
      <c r="RP843" s="36"/>
      <c r="RQ843" s="36"/>
      <c r="RR843" s="36"/>
      <c r="RS843" s="36"/>
      <c r="RT843" s="36"/>
      <c r="RU843" s="36"/>
      <c r="RV843" s="36"/>
      <c r="RW843" s="36"/>
      <c r="RX843" s="36"/>
      <c r="RY843" s="36"/>
      <c r="RZ843" s="36"/>
      <c r="SA843" s="36"/>
      <c r="SB843" s="36"/>
      <c r="SC843" s="36"/>
      <c r="SD843" s="36"/>
      <c r="SE843" s="36"/>
      <c r="SF843" s="36"/>
      <c r="SG843" s="36"/>
      <c r="SH843" s="36"/>
      <c r="SI843" s="36"/>
      <c r="SJ843" s="36"/>
      <c r="SK843" s="36"/>
      <c r="SL843" s="36"/>
      <c r="SM843" s="36"/>
      <c r="SN843" s="36"/>
      <c r="SO843" s="36"/>
      <c r="SP843" s="36"/>
      <c r="SQ843" s="36"/>
      <c r="SR843" s="36"/>
      <c r="SS843" s="36"/>
      <c r="ST843" s="36"/>
      <c r="SU843" s="36"/>
      <c r="SV843" s="36"/>
      <c r="SW843" s="36"/>
      <c r="SX843" s="36"/>
      <c r="SY843" s="36"/>
      <c r="SZ843" s="36"/>
      <c r="TA843" s="36"/>
      <c r="TB843" s="36"/>
      <c r="TC843" s="36"/>
      <c r="TD843" s="36"/>
      <c r="TE843" s="36"/>
      <c r="TF843" s="36"/>
      <c r="TG843" s="36"/>
      <c r="TH843" s="36"/>
      <c r="TI843" s="36"/>
      <c r="TJ843" s="36"/>
      <c r="TK843" s="36"/>
      <c r="TL843" s="36"/>
      <c r="TM843" s="36"/>
      <c r="TN843" s="36"/>
      <c r="TO843" s="36"/>
      <c r="TP843" s="36"/>
      <c r="TQ843" s="36"/>
      <c r="TR843" s="36"/>
      <c r="TS843" s="36"/>
      <c r="TT843" s="36"/>
      <c r="TU843" s="36"/>
      <c r="TV843" s="36"/>
      <c r="TW843" s="36"/>
      <c r="TX843" s="36"/>
      <c r="TY843" s="36"/>
      <c r="TZ843" s="36"/>
      <c r="UA843" s="36"/>
      <c r="UB843" s="36"/>
      <c r="UC843" s="36"/>
      <c r="UD843" s="36"/>
      <c r="UE843" s="36"/>
      <c r="UF843" s="36"/>
      <c r="UG843" s="37"/>
    </row>
    <row r="844" spans="1:553" ht="29.5" customHeight="1">
      <c r="A844" s="356" t="s">
        <v>58</v>
      </c>
      <c r="B844" s="356"/>
      <c r="C844" s="1457" t="s">
        <v>530</v>
      </c>
      <c r="D844" s="1458"/>
      <c r="E844" s="1458"/>
      <c r="F844" s="1459"/>
      <c r="G844" s="366"/>
      <c r="H844" s="370"/>
      <c r="I844" s="370"/>
      <c r="J844" s="368"/>
      <c r="K844" s="371"/>
      <c r="L844" s="356">
        <f>SUM(L845:L883)</f>
        <v>1383388000</v>
      </c>
      <c r="M844" s="356"/>
      <c r="N844" s="356"/>
      <c r="O844" s="356"/>
      <c r="P844" s="356">
        <f>L844</f>
        <v>1383388000</v>
      </c>
      <c r="Q844" s="610"/>
      <c r="R844" s="1447" t="s">
        <v>928</v>
      </c>
      <c r="S844" s="308"/>
      <c r="T844" s="308"/>
      <c r="U844" s="308"/>
      <c r="V844" s="308"/>
      <c r="W844" s="308"/>
      <c r="X844" s="308"/>
      <c r="Y844" s="308"/>
      <c r="Z844" s="604"/>
      <c r="AA844" s="308"/>
      <c r="AB844" s="308"/>
      <c r="AC844" s="449"/>
      <c r="AD844" s="449"/>
      <c r="AE844" s="449"/>
      <c r="AF844" s="449"/>
      <c r="AG844" s="449"/>
      <c r="AH844" s="449"/>
      <c r="AI844" s="449"/>
      <c r="AJ844" s="449"/>
      <c r="AK844" s="452"/>
      <c r="AL844" s="104"/>
      <c r="AM844" s="32"/>
      <c r="AN844" s="32"/>
      <c r="AO844" s="32"/>
      <c r="AP844" s="32"/>
      <c r="AQ844" s="32"/>
      <c r="AR844" s="32"/>
      <c r="AS844" s="31"/>
      <c r="AT844" s="31"/>
      <c r="AU844" s="31"/>
      <c r="AV844" s="31"/>
      <c r="AW844" s="31"/>
      <c r="AX844" s="31"/>
      <c r="AY844" s="31"/>
      <c r="AZ844" s="31"/>
      <c r="BA844" s="31"/>
      <c r="BB844" s="31"/>
      <c r="BC844" s="31"/>
      <c r="BD844" s="31"/>
      <c r="BE844" s="31"/>
      <c r="BF844" s="31"/>
      <c r="BG844" s="31"/>
      <c r="BH844" s="31"/>
      <c r="BI844" s="31"/>
      <c r="BJ844" s="31"/>
      <c r="BK844" s="31"/>
      <c r="BL844" s="31"/>
      <c r="BM844" s="31"/>
      <c r="BN844" s="31"/>
      <c r="BO844" s="31"/>
      <c r="BP844" s="25"/>
      <c r="BQ844" s="25"/>
      <c r="BR844" s="25"/>
      <c r="BS844" s="25"/>
      <c r="BT844" s="25"/>
      <c r="BU844" s="25"/>
      <c r="BV844" s="25"/>
      <c r="BW844" s="25"/>
      <c r="BX844" s="25"/>
      <c r="BY844" s="25"/>
      <c r="BZ844" s="25"/>
      <c r="CA844" s="25"/>
      <c r="CB844" s="25"/>
      <c r="CC844" s="25"/>
      <c r="CD844" s="25"/>
      <c r="CE844" s="25"/>
      <c r="CF844" s="25"/>
      <c r="CG844" s="25"/>
      <c r="CH844" s="25"/>
      <c r="CI844" s="25"/>
      <c r="CJ844" s="25"/>
      <c r="CK844" s="25"/>
      <c r="CL844" s="25"/>
      <c r="CM844" s="25"/>
      <c r="CN844" s="25"/>
      <c r="CO844" s="25"/>
      <c r="CP844" s="25"/>
      <c r="CQ844" s="25"/>
      <c r="CR844" s="25"/>
      <c r="CS844" s="25"/>
      <c r="CT844" s="25"/>
      <c r="CU844" s="25"/>
      <c r="CV844" s="25"/>
      <c r="CW844" s="25"/>
      <c r="CX844" s="25"/>
      <c r="CY844" s="25"/>
      <c r="CZ844" s="25"/>
      <c r="DA844" s="25"/>
      <c r="DB844" s="25"/>
      <c r="DC844" s="25"/>
      <c r="DD844" s="25"/>
      <c r="DE844" s="25"/>
      <c r="DF844" s="25"/>
      <c r="DG844" s="25"/>
      <c r="DH844" s="25"/>
      <c r="DI844" s="25"/>
      <c r="DJ844" s="25"/>
      <c r="DK844" s="25"/>
      <c r="DL844" s="25"/>
      <c r="DM844" s="25"/>
      <c r="DN844" s="25"/>
      <c r="DO844" s="25"/>
      <c r="DP844" s="25"/>
      <c r="DQ844" s="25"/>
      <c r="DR844" s="25"/>
      <c r="DS844" s="25"/>
      <c r="DT844" s="25"/>
      <c r="DU844" s="25"/>
      <c r="DV844" s="25"/>
      <c r="DW844" s="25"/>
      <c r="DX844" s="25"/>
      <c r="DY844" s="25"/>
      <c r="DZ844" s="25"/>
      <c r="EA844" s="25"/>
      <c r="EB844" s="25"/>
      <c r="EC844" s="25"/>
      <c r="ED844" s="25"/>
      <c r="EE844" s="25"/>
      <c r="EF844" s="25"/>
      <c r="EG844" s="25"/>
      <c r="EH844" s="25"/>
      <c r="EI844" s="25"/>
      <c r="EJ844" s="25"/>
      <c r="EK844" s="25"/>
      <c r="EL844" s="25"/>
      <c r="EM844" s="25"/>
      <c r="EN844" s="25"/>
      <c r="EO844" s="25"/>
      <c r="EP844" s="25"/>
      <c r="EQ844" s="25"/>
      <c r="ER844" s="25"/>
      <c r="ES844" s="25"/>
      <c r="ET844" s="25"/>
      <c r="EU844" s="25"/>
      <c r="EV844" s="25"/>
      <c r="EW844" s="25"/>
      <c r="EX844" s="25"/>
      <c r="EY844" s="25"/>
      <c r="EZ844" s="25"/>
      <c r="FA844" s="25"/>
      <c r="FB844" s="25"/>
      <c r="FC844" s="25"/>
      <c r="FD844" s="25"/>
      <c r="FE844" s="25"/>
      <c r="FF844" s="25"/>
      <c r="FG844" s="25"/>
      <c r="FH844" s="25"/>
      <c r="FI844" s="25"/>
      <c r="FJ844" s="25"/>
      <c r="FK844" s="25"/>
      <c r="FL844" s="25"/>
      <c r="FM844" s="25"/>
      <c r="FN844" s="25"/>
      <c r="FO844" s="25"/>
      <c r="FP844" s="25"/>
      <c r="FQ844" s="25"/>
      <c r="FR844" s="25"/>
      <c r="FS844" s="25"/>
      <c r="FT844" s="25"/>
      <c r="FU844" s="25"/>
      <c r="FV844" s="25"/>
      <c r="FW844" s="25"/>
      <c r="FX844" s="25"/>
      <c r="FY844" s="25"/>
      <c r="FZ844" s="25"/>
      <c r="GA844" s="25"/>
      <c r="GB844" s="25"/>
      <c r="GC844" s="25"/>
      <c r="GD844" s="25"/>
      <c r="GE844" s="25"/>
      <c r="GF844" s="25"/>
      <c r="GG844" s="25"/>
      <c r="GH844" s="25"/>
      <c r="GI844" s="25"/>
      <c r="GJ844" s="25"/>
      <c r="GK844" s="25"/>
      <c r="GL844" s="25"/>
      <c r="GM844" s="25"/>
      <c r="GN844" s="25"/>
      <c r="GO844" s="25"/>
      <c r="GP844" s="25"/>
      <c r="GQ844" s="25"/>
      <c r="GR844" s="25"/>
      <c r="GS844" s="25"/>
      <c r="GT844" s="25"/>
      <c r="GU844" s="25"/>
      <c r="GV844" s="25"/>
      <c r="GW844" s="25"/>
      <c r="GX844" s="25"/>
      <c r="GY844" s="25"/>
      <c r="GZ844" s="25"/>
      <c r="HA844" s="25"/>
      <c r="HB844" s="25"/>
      <c r="HC844" s="25"/>
      <c r="HD844" s="25"/>
      <c r="HE844" s="25"/>
      <c r="HF844" s="25"/>
      <c r="HG844" s="25"/>
      <c r="HH844" s="25"/>
      <c r="HI844" s="25"/>
      <c r="HJ844" s="25"/>
      <c r="HK844" s="25"/>
      <c r="HL844" s="25"/>
      <c r="HM844" s="25"/>
      <c r="HN844" s="25"/>
      <c r="HO844" s="25"/>
      <c r="HP844" s="25"/>
      <c r="HQ844" s="25"/>
      <c r="HR844" s="25"/>
      <c r="HS844" s="25"/>
      <c r="HT844" s="25"/>
      <c r="HU844" s="25"/>
      <c r="HV844" s="25"/>
      <c r="HW844" s="25"/>
      <c r="HX844" s="25"/>
      <c r="HY844" s="25"/>
      <c r="HZ844" s="25"/>
      <c r="IA844" s="25"/>
      <c r="IB844" s="25"/>
      <c r="IC844" s="25"/>
      <c r="ID844" s="25"/>
      <c r="IE844" s="25"/>
      <c r="IF844" s="25"/>
      <c r="IG844" s="25"/>
      <c r="IH844" s="25"/>
      <c r="II844" s="25"/>
      <c r="IJ844" s="25"/>
      <c r="IK844" s="25"/>
      <c r="IL844" s="25"/>
      <c r="IM844" s="25"/>
      <c r="IN844" s="25"/>
      <c r="IO844" s="25"/>
      <c r="IP844" s="25"/>
      <c r="IQ844" s="25"/>
      <c r="IR844" s="25"/>
      <c r="IS844" s="25"/>
      <c r="IT844" s="25"/>
      <c r="IU844" s="25"/>
      <c r="IV844" s="25"/>
      <c r="IW844" s="25"/>
      <c r="IX844" s="25"/>
      <c r="IY844" s="25"/>
      <c r="IZ844" s="25"/>
      <c r="JA844" s="25"/>
      <c r="JB844" s="25"/>
      <c r="JC844" s="25"/>
      <c r="JD844" s="25"/>
      <c r="JE844" s="25"/>
      <c r="JF844" s="25"/>
      <c r="JG844" s="25"/>
      <c r="JH844" s="25"/>
      <c r="JI844" s="25"/>
      <c r="JJ844" s="25"/>
      <c r="JK844" s="25"/>
      <c r="JL844" s="25"/>
      <c r="JM844" s="25"/>
      <c r="JN844" s="25"/>
      <c r="JO844" s="25"/>
      <c r="JP844" s="25"/>
      <c r="JQ844" s="25"/>
      <c r="JR844" s="25"/>
      <c r="JS844" s="25"/>
      <c r="JT844" s="25"/>
      <c r="JU844" s="25"/>
      <c r="JV844" s="25"/>
      <c r="JW844" s="25"/>
      <c r="JX844" s="25"/>
      <c r="JY844" s="25"/>
      <c r="JZ844" s="25"/>
      <c r="KA844" s="25"/>
      <c r="KB844" s="25"/>
      <c r="KC844" s="25"/>
      <c r="KD844" s="25"/>
      <c r="KE844" s="25"/>
      <c r="KF844" s="25"/>
      <c r="KG844" s="25"/>
      <c r="KH844" s="25"/>
      <c r="KI844" s="25"/>
      <c r="KJ844" s="25"/>
      <c r="KK844" s="25"/>
      <c r="KL844" s="25"/>
      <c r="KM844" s="25"/>
      <c r="KN844" s="25"/>
      <c r="KO844" s="25"/>
      <c r="KP844" s="25"/>
      <c r="KQ844" s="25"/>
      <c r="KR844" s="25"/>
      <c r="KS844" s="25"/>
      <c r="KT844" s="25"/>
      <c r="KU844" s="25"/>
      <c r="KV844" s="25"/>
      <c r="KW844" s="25"/>
      <c r="KX844" s="25"/>
      <c r="KY844" s="25"/>
      <c r="KZ844" s="25"/>
      <c r="LA844" s="25"/>
      <c r="LB844" s="25"/>
      <c r="LC844" s="25"/>
      <c r="LD844" s="25"/>
      <c r="LE844" s="25"/>
      <c r="LF844" s="25"/>
      <c r="LG844" s="25"/>
      <c r="LH844" s="25"/>
      <c r="LI844" s="25"/>
      <c r="LJ844" s="25"/>
      <c r="LK844" s="25"/>
      <c r="LL844" s="25"/>
      <c r="LM844" s="25"/>
      <c r="LN844" s="25"/>
      <c r="LO844" s="25"/>
      <c r="LP844" s="25"/>
      <c r="LQ844" s="25"/>
      <c r="LR844" s="25"/>
      <c r="LS844" s="25"/>
      <c r="LT844" s="25"/>
      <c r="LU844" s="25"/>
      <c r="LV844" s="25"/>
      <c r="LW844" s="25"/>
      <c r="LX844" s="25"/>
      <c r="LY844" s="25"/>
      <c r="LZ844" s="25"/>
      <c r="MA844" s="25"/>
      <c r="MB844" s="25"/>
      <c r="MC844" s="25"/>
      <c r="MD844" s="25"/>
      <c r="ME844" s="25"/>
      <c r="MF844" s="25"/>
      <c r="MG844" s="25"/>
      <c r="MH844" s="25"/>
      <c r="MI844" s="25"/>
      <c r="MJ844" s="25"/>
      <c r="MK844" s="25"/>
      <c r="ML844" s="25"/>
      <c r="MM844" s="25"/>
      <c r="MN844" s="25"/>
      <c r="MO844" s="25"/>
      <c r="MP844" s="25"/>
      <c r="MQ844" s="25"/>
      <c r="MR844" s="25"/>
      <c r="MS844" s="25"/>
      <c r="MT844" s="25"/>
      <c r="MU844" s="25"/>
      <c r="MV844" s="25"/>
      <c r="MW844" s="25"/>
      <c r="MX844" s="25"/>
      <c r="MY844" s="25"/>
      <c r="MZ844" s="25"/>
      <c r="NA844" s="25"/>
      <c r="NB844" s="25"/>
      <c r="NC844" s="25"/>
      <c r="ND844" s="25"/>
      <c r="NE844" s="25"/>
      <c r="NF844" s="25"/>
      <c r="NG844" s="25"/>
      <c r="NH844" s="25"/>
      <c r="NI844" s="25"/>
      <c r="NJ844" s="25"/>
      <c r="NK844" s="25"/>
      <c r="NL844" s="25"/>
      <c r="NM844" s="25"/>
      <c r="NN844" s="25"/>
      <c r="NO844" s="25"/>
      <c r="NP844" s="25"/>
      <c r="NQ844" s="25"/>
      <c r="NR844" s="25"/>
      <c r="NS844" s="25"/>
      <c r="NT844" s="25"/>
      <c r="NU844" s="25"/>
      <c r="NV844" s="25"/>
      <c r="NW844" s="25"/>
      <c r="NX844" s="25"/>
      <c r="NY844" s="25"/>
      <c r="NZ844" s="25"/>
      <c r="OA844" s="25"/>
      <c r="OB844" s="25"/>
      <c r="OC844" s="25"/>
      <c r="OD844" s="25"/>
      <c r="OE844" s="25"/>
      <c r="OF844" s="25"/>
      <c r="OG844" s="25"/>
      <c r="OH844" s="25"/>
      <c r="OI844" s="25"/>
      <c r="OJ844" s="25"/>
      <c r="OK844" s="25"/>
      <c r="OL844" s="25"/>
      <c r="OM844" s="25"/>
      <c r="ON844" s="25"/>
      <c r="OO844" s="25"/>
      <c r="OP844" s="25"/>
      <c r="OQ844" s="25"/>
      <c r="OR844" s="25"/>
      <c r="OS844" s="25"/>
      <c r="OT844" s="25"/>
      <c r="OU844" s="25"/>
      <c r="OV844" s="25"/>
      <c r="OW844" s="25"/>
      <c r="OX844" s="25"/>
      <c r="OY844" s="25"/>
      <c r="OZ844" s="25"/>
      <c r="PA844" s="25"/>
      <c r="PB844" s="25"/>
      <c r="PC844" s="25"/>
      <c r="PD844" s="25"/>
      <c r="PE844" s="25"/>
      <c r="PF844" s="25"/>
      <c r="PG844" s="25"/>
      <c r="PH844" s="25"/>
      <c r="PI844" s="25"/>
      <c r="PJ844" s="25"/>
      <c r="PK844" s="25"/>
      <c r="PL844" s="25"/>
      <c r="PM844" s="25"/>
      <c r="PN844" s="25"/>
      <c r="PO844" s="25"/>
      <c r="PP844" s="25"/>
      <c r="PQ844" s="25"/>
      <c r="PR844" s="25"/>
      <c r="PS844" s="25"/>
      <c r="PT844" s="25"/>
      <c r="PU844" s="25"/>
      <c r="PV844" s="25"/>
      <c r="PW844" s="25"/>
      <c r="PX844" s="25"/>
      <c r="PY844" s="25"/>
      <c r="PZ844" s="25"/>
      <c r="QA844" s="25"/>
      <c r="QB844" s="25"/>
      <c r="QC844" s="25"/>
      <c r="QD844" s="25"/>
      <c r="QE844" s="25"/>
      <c r="QF844" s="25"/>
      <c r="QG844" s="25"/>
      <c r="QH844" s="25"/>
      <c r="QI844" s="25"/>
      <c r="QJ844" s="25"/>
      <c r="QK844" s="25"/>
      <c r="QL844" s="25"/>
      <c r="QM844" s="25"/>
      <c r="QN844" s="25"/>
      <c r="QO844" s="25"/>
      <c r="QP844" s="25"/>
      <c r="QQ844" s="25"/>
      <c r="QR844" s="25"/>
      <c r="QS844" s="25"/>
      <c r="QT844" s="25"/>
      <c r="QU844" s="25"/>
      <c r="QV844" s="25"/>
      <c r="QW844" s="25"/>
      <c r="QX844" s="25"/>
      <c r="QY844" s="25"/>
      <c r="QZ844" s="25"/>
      <c r="RA844" s="25"/>
      <c r="RB844" s="25"/>
      <c r="RC844" s="25"/>
      <c r="RD844" s="25"/>
      <c r="RE844" s="25"/>
      <c r="RF844" s="25"/>
      <c r="RG844" s="25"/>
      <c r="RH844" s="25"/>
      <c r="RI844" s="25"/>
      <c r="RJ844" s="25"/>
      <c r="RK844" s="25"/>
      <c r="RL844" s="25"/>
      <c r="RM844" s="25"/>
      <c r="RN844" s="25"/>
      <c r="RO844" s="25"/>
      <c r="RP844" s="25"/>
      <c r="RQ844" s="25"/>
      <c r="RR844" s="25"/>
      <c r="RS844" s="25"/>
      <c r="RT844" s="25"/>
      <c r="RU844" s="25"/>
      <c r="RV844" s="25"/>
      <c r="RW844" s="25"/>
      <c r="RX844" s="25"/>
      <c r="RY844" s="25"/>
      <c r="RZ844" s="25"/>
      <c r="SA844" s="25"/>
      <c r="SB844" s="25"/>
      <c r="SC844" s="25"/>
      <c r="SD844" s="25"/>
      <c r="SE844" s="25"/>
      <c r="SF844" s="25"/>
      <c r="SG844" s="25"/>
      <c r="SH844" s="25"/>
      <c r="SI844" s="25"/>
      <c r="SJ844" s="25"/>
      <c r="SK844" s="25"/>
      <c r="SL844" s="25"/>
      <c r="SM844" s="25"/>
      <c r="SN844" s="25"/>
      <c r="SO844" s="25"/>
      <c r="SP844" s="25"/>
      <c r="SQ844" s="25"/>
      <c r="SR844" s="25"/>
      <c r="SS844" s="25"/>
      <c r="ST844" s="25"/>
      <c r="SU844" s="25"/>
      <c r="SV844" s="25"/>
      <c r="SW844" s="25"/>
      <c r="SX844" s="25"/>
      <c r="SY844" s="25"/>
      <c r="SZ844" s="25"/>
      <c r="TA844" s="25"/>
      <c r="TB844" s="25"/>
      <c r="TC844" s="25"/>
      <c r="TD844" s="25"/>
      <c r="TE844" s="25"/>
      <c r="TF844" s="25"/>
      <c r="TG844" s="25"/>
      <c r="TH844" s="25"/>
      <c r="TI844" s="25"/>
      <c r="TJ844" s="25"/>
      <c r="TK844" s="25"/>
      <c r="TL844" s="25"/>
      <c r="TM844" s="25"/>
      <c r="TN844" s="25"/>
      <c r="TO844" s="25"/>
      <c r="TP844" s="25"/>
      <c r="TQ844" s="25"/>
      <c r="TR844" s="25"/>
      <c r="TS844" s="25"/>
      <c r="TT844" s="25"/>
      <c r="TU844" s="25"/>
      <c r="TV844" s="25"/>
      <c r="TW844" s="25"/>
      <c r="TX844" s="25"/>
      <c r="TY844" s="25"/>
      <c r="TZ844" s="25"/>
      <c r="UA844" s="25"/>
      <c r="UB844" s="25"/>
      <c r="UC844" s="25"/>
      <c r="UD844" s="25"/>
      <c r="UE844" s="25"/>
      <c r="UF844" s="25"/>
      <c r="UG844" s="26"/>
    </row>
    <row r="845" spans="1:553" s="863" customFormat="1" ht="33.75" customHeight="1">
      <c r="A845" s="366"/>
      <c r="B845" s="366"/>
      <c r="C845" s="427" t="s">
        <v>22</v>
      </c>
      <c r="D845" s="418">
        <v>2</v>
      </c>
      <c r="E845" s="418">
        <v>370</v>
      </c>
      <c r="F845" s="427"/>
      <c r="G845" s="386" t="s">
        <v>935</v>
      </c>
      <c r="H845" s="672"/>
      <c r="I845" s="370">
        <f>I678</f>
        <v>350.4</v>
      </c>
      <c r="J845" s="368">
        <v>62000</v>
      </c>
      <c r="K845" s="850">
        <v>1</v>
      </c>
      <c r="L845" s="480">
        <f t="shared" ref="L845:L883" si="127">I845*J845*K845</f>
        <v>21724800</v>
      </c>
      <c r="M845" s="366"/>
      <c r="N845" s="366"/>
      <c r="O845" s="366"/>
      <c r="P845" s="366"/>
      <c r="Q845" s="812"/>
      <c r="R845" s="1452"/>
      <c r="S845" s="308"/>
      <c r="T845" s="308"/>
      <c r="U845" s="308"/>
      <c r="V845" s="308"/>
      <c r="W845" s="308"/>
      <c r="X845" s="308"/>
      <c r="Y845" s="308"/>
      <c r="Z845" s="604"/>
      <c r="AA845" s="308"/>
      <c r="AB845" s="308"/>
      <c r="AC845" s="449"/>
      <c r="AD845" s="449"/>
      <c r="AE845" s="449"/>
      <c r="AF845" s="449"/>
      <c r="AG845" s="449"/>
      <c r="AH845" s="449"/>
      <c r="AI845" s="449"/>
      <c r="AJ845" s="449"/>
      <c r="AK845" s="452"/>
      <c r="AL845" s="351"/>
      <c r="AM845" s="43"/>
      <c r="AN845" s="43"/>
      <c r="AO845" s="43"/>
      <c r="AP845" s="43"/>
      <c r="AQ845" s="43"/>
      <c r="AR845" s="43"/>
      <c r="AS845" s="43"/>
      <c r="AT845" s="43"/>
      <c r="AU845" s="43"/>
      <c r="AV845" s="43"/>
      <c r="AW845" s="43"/>
      <c r="AX845" s="43"/>
      <c r="AY845" s="43"/>
      <c r="AZ845" s="43"/>
      <c r="BA845" s="43"/>
      <c r="BB845" s="43"/>
      <c r="BC845" s="43"/>
      <c r="BD845" s="43"/>
      <c r="BE845" s="43"/>
      <c r="BF845" s="43"/>
      <c r="BG845" s="43"/>
      <c r="BH845" s="43"/>
      <c r="BI845" s="43"/>
      <c r="BJ845" s="43"/>
      <c r="BK845" s="43"/>
      <c r="BL845" s="43"/>
      <c r="BM845" s="43"/>
      <c r="BN845" s="43"/>
      <c r="BO845" s="43"/>
      <c r="BP845" s="861"/>
      <c r="BQ845" s="861"/>
      <c r="BR845" s="861"/>
      <c r="BS845" s="861"/>
      <c r="BT845" s="861"/>
      <c r="BU845" s="861"/>
      <c r="BV845" s="861"/>
      <c r="BW845" s="861"/>
      <c r="BX845" s="861"/>
      <c r="BY845" s="861"/>
      <c r="BZ845" s="861"/>
      <c r="CA845" s="861"/>
      <c r="CB845" s="861"/>
      <c r="CC845" s="861"/>
      <c r="CD845" s="861"/>
      <c r="CE845" s="861"/>
      <c r="CF845" s="861"/>
      <c r="CG845" s="861"/>
      <c r="CH845" s="861"/>
      <c r="CI845" s="861"/>
      <c r="CJ845" s="861"/>
      <c r="CK845" s="861"/>
      <c r="CL845" s="861"/>
      <c r="CM845" s="861"/>
      <c r="CN845" s="861"/>
      <c r="CO845" s="861"/>
      <c r="CP845" s="861"/>
      <c r="CQ845" s="861"/>
      <c r="CR845" s="861"/>
      <c r="CS845" s="861"/>
      <c r="CT845" s="861"/>
      <c r="CU845" s="861"/>
      <c r="CV845" s="861"/>
      <c r="CW845" s="861"/>
      <c r="CX845" s="861"/>
      <c r="CY845" s="861"/>
      <c r="CZ845" s="861"/>
      <c r="DA845" s="861"/>
      <c r="DB845" s="861"/>
      <c r="DC845" s="861"/>
      <c r="DD845" s="861"/>
      <c r="DE845" s="861"/>
      <c r="DF845" s="861"/>
      <c r="DG845" s="861"/>
      <c r="DH845" s="861"/>
      <c r="DI845" s="861"/>
      <c r="DJ845" s="861"/>
      <c r="DK845" s="861"/>
      <c r="DL845" s="861"/>
      <c r="DM845" s="861"/>
      <c r="DN845" s="861"/>
      <c r="DO845" s="861"/>
      <c r="DP845" s="861"/>
      <c r="DQ845" s="861"/>
      <c r="DR845" s="861"/>
      <c r="DS845" s="861"/>
      <c r="DT845" s="861"/>
      <c r="DU845" s="861"/>
      <c r="DV845" s="861"/>
      <c r="DW845" s="861"/>
      <c r="DX845" s="861"/>
      <c r="DY845" s="861"/>
      <c r="DZ845" s="861"/>
      <c r="EA845" s="861"/>
      <c r="EB845" s="861"/>
      <c r="EC845" s="861"/>
      <c r="ED845" s="861"/>
      <c r="EE845" s="861"/>
      <c r="EF845" s="861"/>
      <c r="EG845" s="861"/>
      <c r="EH845" s="861"/>
      <c r="EI845" s="861"/>
      <c r="EJ845" s="861"/>
      <c r="EK845" s="861"/>
      <c r="EL845" s="861"/>
      <c r="EM845" s="861"/>
      <c r="EN845" s="861"/>
      <c r="EO845" s="861"/>
      <c r="EP845" s="861"/>
      <c r="EQ845" s="861"/>
      <c r="ER845" s="861"/>
      <c r="ES845" s="861"/>
      <c r="ET845" s="861"/>
      <c r="EU845" s="861"/>
      <c r="EV845" s="861"/>
      <c r="EW845" s="861"/>
      <c r="EX845" s="861"/>
      <c r="EY845" s="861"/>
      <c r="EZ845" s="861"/>
      <c r="FA845" s="861"/>
      <c r="FB845" s="861"/>
      <c r="FC845" s="861"/>
      <c r="FD845" s="861"/>
      <c r="FE845" s="861"/>
      <c r="FF845" s="861"/>
      <c r="FG845" s="861"/>
      <c r="FH845" s="861"/>
      <c r="FI845" s="861"/>
      <c r="FJ845" s="861"/>
      <c r="FK845" s="861"/>
      <c r="FL845" s="861"/>
      <c r="FM845" s="861"/>
      <c r="FN845" s="861"/>
      <c r="FO845" s="861"/>
      <c r="FP845" s="861"/>
      <c r="FQ845" s="861"/>
      <c r="FR845" s="861"/>
      <c r="FS845" s="861"/>
      <c r="FT845" s="861"/>
      <c r="FU845" s="861"/>
      <c r="FV845" s="861"/>
      <c r="FW845" s="861"/>
      <c r="FX845" s="861"/>
      <c r="FY845" s="861"/>
      <c r="FZ845" s="861"/>
      <c r="GA845" s="861"/>
      <c r="GB845" s="861"/>
      <c r="GC845" s="861"/>
      <c r="GD845" s="861"/>
      <c r="GE845" s="861"/>
      <c r="GF845" s="861"/>
      <c r="GG845" s="861"/>
      <c r="GH845" s="861"/>
      <c r="GI845" s="861"/>
      <c r="GJ845" s="861"/>
      <c r="GK845" s="861"/>
      <c r="GL845" s="861"/>
      <c r="GM845" s="861"/>
      <c r="GN845" s="861"/>
      <c r="GO845" s="861"/>
      <c r="GP845" s="861"/>
      <c r="GQ845" s="861"/>
      <c r="GR845" s="861"/>
      <c r="GS845" s="861"/>
      <c r="GT845" s="861"/>
      <c r="GU845" s="861"/>
      <c r="GV845" s="861"/>
      <c r="GW845" s="861"/>
      <c r="GX845" s="861"/>
      <c r="GY845" s="861"/>
      <c r="GZ845" s="861"/>
      <c r="HA845" s="861"/>
      <c r="HB845" s="861"/>
      <c r="HC845" s="861"/>
      <c r="HD845" s="861"/>
      <c r="HE845" s="861"/>
      <c r="HF845" s="861"/>
      <c r="HG845" s="861"/>
      <c r="HH845" s="861"/>
      <c r="HI845" s="861"/>
      <c r="HJ845" s="861"/>
      <c r="HK845" s="861"/>
      <c r="HL845" s="861"/>
      <c r="HM845" s="861"/>
      <c r="HN845" s="861"/>
      <c r="HO845" s="861"/>
      <c r="HP845" s="861"/>
      <c r="HQ845" s="861"/>
      <c r="HR845" s="861"/>
      <c r="HS845" s="861"/>
      <c r="HT845" s="861"/>
      <c r="HU845" s="861"/>
      <c r="HV845" s="861"/>
      <c r="HW845" s="861"/>
      <c r="HX845" s="861"/>
      <c r="HY845" s="861"/>
      <c r="HZ845" s="861"/>
      <c r="IA845" s="861"/>
      <c r="IB845" s="861"/>
      <c r="IC845" s="861"/>
      <c r="ID845" s="861"/>
      <c r="IE845" s="861"/>
      <c r="IF845" s="861"/>
      <c r="IG845" s="861"/>
      <c r="IH845" s="861"/>
      <c r="II845" s="861"/>
      <c r="IJ845" s="861"/>
      <c r="IK845" s="861"/>
      <c r="IL845" s="861"/>
      <c r="IM845" s="861"/>
      <c r="IN845" s="861"/>
      <c r="IO845" s="861"/>
      <c r="IP845" s="861"/>
      <c r="IQ845" s="861"/>
      <c r="IR845" s="861"/>
      <c r="IS845" s="861"/>
      <c r="IT845" s="861"/>
      <c r="IU845" s="861"/>
      <c r="IV845" s="861"/>
      <c r="IW845" s="861"/>
      <c r="IX845" s="861"/>
      <c r="IY845" s="861"/>
      <c r="IZ845" s="861"/>
      <c r="JA845" s="861"/>
      <c r="JB845" s="861"/>
      <c r="JC845" s="861"/>
      <c r="JD845" s="861"/>
      <c r="JE845" s="861"/>
      <c r="JF845" s="861"/>
      <c r="JG845" s="861"/>
      <c r="JH845" s="861"/>
      <c r="JI845" s="861"/>
      <c r="JJ845" s="861"/>
      <c r="JK845" s="861"/>
      <c r="JL845" s="861"/>
      <c r="JM845" s="861"/>
      <c r="JN845" s="861"/>
      <c r="JO845" s="861"/>
      <c r="JP845" s="861"/>
      <c r="JQ845" s="861"/>
      <c r="JR845" s="861"/>
      <c r="JS845" s="861"/>
      <c r="JT845" s="861"/>
      <c r="JU845" s="861"/>
      <c r="JV845" s="861"/>
      <c r="JW845" s="861"/>
      <c r="JX845" s="861"/>
      <c r="JY845" s="861"/>
      <c r="JZ845" s="861"/>
      <c r="KA845" s="861"/>
      <c r="KB845" s="861"/>
      <c r="KC845" s="861"/>
      <c r="KD845" s="861"/>
      <c r="KE845" s="861"/>
      <c r="KF845" s="861"/>
      <c r="KG845" s="861"/>
      <c r="KH845" s="861"/>
      <c r="KI845" s="861"/>
      <c r="KJ845" s="861"/>
      <c r="KK845" s="861"/>
      <c r="KL845" s="861"/>
      <c r="KM845" s="861"/>
      <c r="KN845" s="861"/>
      <c r="KO845" s="861"/>
      <c r="KP845" s="861"/>
      <c r="KQ845" s="861"/>
      <c r="KR845" s="861"/>
      <c r="KS845" s="861"/>
      <c r="KT845" s="861"/>
      <c r="KU845" s="861"/>
      <c r="KV845" s="861"/>
      <c r="KW845" s="861"/>
      <c r="KX845" s="861"/>
      <c r="KY845" s="861"/>
      <c r="KZ845" s="861"/>
      <c r="LA845" s="861"/>
      <c r="LB845" s="861"/>
      <c r="LC845" s="861"/>
      <c r="LD845" s="861"/>
      <c r="LE845" s="861"/>
      <c r="LF845" s="861"/>
      <c r="LG845" s="861"/>
      <c r="LH845" s="861"/>
      <c r="LI845" s="861"/>
      <c r="LJ845" s="861"/>
      <c r="LK845" s="861"/>
      <c r="LL845" s="861"/>
      <c r="LM845" s="861"/>
      <c r="LN845" s="861"/>
      <c r="LO845" s="861"/>
      <c r="LP845" s="861"/>
      <c r="LQ845" s="861"/>
      <c r="LR845" s="861"/>
      <c r="LS845" s="861"/>
      <c r="LT845" s="861"/>
      <c r="LU845" s="861"/>
      <c r="LV845" s="861"/>
      <c r="LW845" s="861"/>
      <c r="LX845" s="861"/>
      <c r="LY845" s="861"/>
      <c r="LZ845" s="861"/>
      <c r="MA845" s="861"/>
      <c r="MB845" s="861"/>
      <c r="MC845" s="861"/>
      <c r="MD845" s="861"/>
      <c r="ME845" s="861"/>
      <c r="MF845" s="861"/>
      <c r="MG845" s="861"/>
      <c r="MH845" s="861"/>
      <c r="MI845" s="861"/>
      <c r="MJ845" s="861"/>
      <c r="MK845" s="861"/>
      <c r="ML845" s="861"/>
      <c r="MM845" s="861"/>
      <c r="MN845" s="861"/>
      <c r="MO845" s="861"/>
      <c r="MP845" s="861"/>
      <c r="MQ845" s="861"/>
      <c r="MR845" s="861"/>
      <c r="MS845" s="861"/>
      <c r="MT845" s="861"/>
      <c r="MU845" s="861"/>
      <c r="MV845" s="861"/>
      <c r="MW845" s="861"/>
      <c r="MX845" s="861"/>
      <c r="MY845" s="861"/>
      <c r="MZ845" s="861"/>
      <c r="NA845" s="861"/>
      <c r="NB845" s="861"/>
      <c r="NC845" s="861"/>
      <c r="ND845" s="861"/>
      <c r="NE845" s="861"/>
      <c r="NF845" s="861"/>
      <c r="NG845" s="861"/>
      <c r="NH845" s="861"/>
      <c r="NI845" s="861"/>
      <c r="NJ845" s="861"/>
      <c r="NK845" s="861"/>
      <c r="NL845" s="861"/>
      <c r="NM845" s="861"/>
      <c r="NN845" s="861"/>
      <c r="NO845" s="861"/>
      <c r="NP845" s="861"/>
      <c r="NQ845" s="861"/>
      <c r="NR845" s="861"/>
      <c r="NS845" s="861"/>
      <c r="NT845" s="861"/>
      <c r="NU845" s="861"/>
      <c r="NV845" s="861"/>
      <c r="NW845" s="861"/>
      <c r="NX845" s="861"/>
      <c r="NY845" s="861"/>
      <c r="NZ845" s="861"/>
      <c r="OA845" s="861"/>
      <c r="OB845" s="861"/>
      <c r="OC845" s="861"/>
      <c r="OD845" s="861"/>
      <c r="OE845" s="861"/>
      <c r="OF845" s="861"/>
      <c r="OG845" s="861"/>
      <c r="OH845" s="861"/>
      <c r="OI845" s="861"/>
      <c r="OJ845" s="861"/>
      <c r="OK845" s="861"/>
      <c r="OL845" s="861"/>
      <c r="OM845" s="861"/>
      <c r="ON845" s="861"/>
      <c r="OO845" s="861"/>
      <c r="OP845" s="861"/>
      <c r="OQ845" s="861"/>
      <c r="OR845" s="861"/>
      <c r="OS845" s="861"/>
      <c r="OT845" s="861"/>
      <c r="OU845" s="861"/>
      <c r="OV845" s="861"/>
      <c r="OW845" s="861"/>
      <c r="OX845" s="861"/>
      <c r="OY845" s="861"/>
      <c r="OZ845" s="861"/>
      <c r="PA845" s="861"/>
      <c r="PB845" s="861"/>
      <c r="PC845" s="861"/>
      <c r="PD845" s="861"/>
      <c r="PE845" s="861"/>
      <c r="PF845" s="861"/>
      <c r="PG845" s="861"/>
      <c r="PH845" s="861"/>
      <c r="PI845" s="861"/>
      <c r="PJ845" s="861"/>
      <c r="PK845" s="861"/>
      <c r="PL845" s="861"/>
      <c r="PM845" s="861"/>
      <c r="PN845" s="861"/>
      <c r="PO845" s="861"/>
      <c r="PP845" s="861"/>
      <c r="PQ845" s="861"/>
      <c r="PR845" s="861"/>
      <c r="PS845" s="861"/>
      <c r="PT845" s="861"/>
      <c r="PU845" s="861"/>
      <c r="PV845" s="861"/>
      <c r="PW845" s="861"/>
      <c r="PX845" s="861"/>
      <c r="PY845" s="861"/>
      <c r="PZ845" s="861"/>
      <c r="QA845" s="861"/>
      <c r="QB845" s="861"/>
      <c r="QC845" s="861"/>
      <c r="QD845" s="861"/>
      <c r="QE845" s="861"/>
      <c r="QF845" s="861"/>
      <c r="QG845" s="861"/>
      <c r="QH845" s="861"/>
      <c r="QI845" s="861"/>
      <c r="QJ845" s="861"/>
      <c r="QK845" s="861"/>
      <c r="QL845" s="861"/>
      <c r="QM845" s="861"/>
      <c r="QN845" s="861"/>
      <c r="QO845" s="861"/>
      <c r="QP845" s="861"/>
      <c r="QQ845" s="861"/>
      <c r="QR845" s="861"/>
      <c r="QS845" s="861"/>
      <c r="QT845" s="861"/>
      <c r="QU845" s="861"/>
      <c r="QV845" s="861"/>
      <c r="QW845" s="861"/>
      <c r="QX845" s="861"/>
      <c r="QY845" s="861"/>
      <c r="QZ845" s="861"/>
      <c r="RA845" s="861"/>
      <c r="RB845" s="861"/>
      <c r="RC845" s="861"/>
      <c r="RD845" s="861"/>
      <c r="RE845" s="861"/>
      <c r="RF845" s="861"/>
      <c r="RG845" s="861"/>
      <c r="RH845" s="861"/>
      <c r="RI845" s="861"/>
      <c r="RJ845" s="861"/>
      <c r="RK845" s="861"/>
      <c r="RL845" s="861"/>
      <c r="RM845" s="861"/>
      <c r="RN845" s="861"/>
      <c r="RO845" s="861"/>
      <c r="RP845" s="861"/>
      <c r="RQ845" s="861"/>
      <c r="RR845" s="861"/>
      <c r="RS845" s="861"/>
      <c r="RT845" s="861"/>
      <c r="RU845" s="861"/>
      <c r="RV845" s="861"/>
      <c r="RW845" s="861"/>
      <c r="RX845" s="861"/>
      <c r="RY845" s="861"/>
      <c r="RZ845" s="861"/>
      <c r="SA845" s="861"/>
      <c r="SB845" s="861"/>
      <c r="SC845" s="861"/>
      <c r="SD845" s="861"/>
      <c r="SE845" s="861"/>
      <c r="SF845" s="861"/>
      <c r="SG845" s="861"/>
      <c r="SH845" s="861"/>
      <c r="SI845" s="861"/>
      <c r="SJ845" s="861"/>
      <c r="SK845" s="861"/>
      <c r="SL845" s="861"/>
      <c r="SM845" s="861"/>
      <c r="SN845" s="861"/>
      <c r="SO845" s="861"/>
      <c r="SP845" s="861"/>
      <c r="SQ845" s="861"/>
      <c r="SR845" s="861"/>
      <c r="SS845" s="861"/>
      <c r="ST845" s="861"/>
      <c r="SU845" s="861"/>
      <c r="SV845" s="861"/>
      <c r="SW845" s="861"/>
      <c r="SX845" s="861"/>
      <c r="SY845" s="861"/>
      <c r="SZ845" s="861"/>
      <c r="TA845" s="861"/>
      <c r="TB845" s="861"/>
      <c r="TC845" s="861"/>
      <c r="TD845" s="861"/>
      <c r="TE845" s="861"/>
      <c r="TF845" s="861"/>
      <c r="TG845" s="861"/>
      <c r="TH845" s="861"/>
      <c r="TI845" s="861"/>
      <c r="TJ845" s="861"/>
      <c r="TK845" s="861"/>
      <c r="TL845" s="861"/>
      <c r="TM845" s="861"/>
      <c r="TN845" s="861"/>
      <c r="TO845" s="861"/>
      <c r="TP845" s="861"/>
      <c r="TQ845" s="861"/>
      <c r="TR845" s="861"/>
      <c r="TS845" s="861"/>
      <c r="TT845" s="861"/>
      <c r="TU845" s="861"/>
      <c r="TV845" s="861"/>
      <c r="TW845" s="861"/>
      <c r="TX845" s="861"/>
      <c r="TY845" s="861"/>
      <c r="TZ845" s="861"/>
      <c r="UA845" s="861"/>
      <c r="UB845" s="861"/>
      <c r="UC845" s="861"/>
      <c r="UD845" s="861"/>
      <c r="UE845" s="861"/>
      <c r="UF845" s="861"/>
      <c r="UG845" s="862"/>
    </row>
    <row r="846" spans="1:553" s="863" customFormat="1" ht="33" customHeight="1">
      <c r="A846" s="356"/>
      <c r="B846" s="356"/>
      <c r="C846" s="673" t="s">
        <v>23</v>
      </c>
      <c r="D846" s="397">
        <v>1</v>
      </c>
      <c r="E846" s="397">
        <v>236</v>
      </c>
      <c r="F846" s="673"/>
      <c r="G846" s="674" t="s">
        <v>33</v>
      </c>
      <c r="H846" s="675"/>
      <c r="I846" s="490">
        <v>14.6</v>
      </c>
      <c r="J846" s="797">
        <v>72000</v>
      </c>
      <c r="K846" s="857">
        <v>3</v>
      </c>
      <c r="L846" s="481">
        <f t="shared" si="127"/>
        <v>3153600</v>
      </c>
      <c r="M846" s="356"/>
      <c r="N846" s="356"/>
      <c r="O846" s="356"/>
      <c r="P846" s="356"/>
      <c r="Q846" s="610"/>
      <c r="R846" s="1452"/>
      <c r="S846" s="308"/>
      <c r="T846" s="308"/>
      <c r="U846" s="308"/>
      <c r="V846" s="308"/>
      <c r="W846" s="308"/>
      <c r="X846" s="308"/>
      <c r="Y846" s="308"/>
      <c r="Z846" s="604"/>
      <c r="AA846" s="308"/>
      <c r="AB846" s="308"/>
      <c r="AC846" s="449"/>
      <c r="AD846" s="449"/>
      <c r="AE846" s="449"/>
      <c r="AF846" s="449"/>
      <c r="AG846" s="449"/>
      <c r="AH846" s="449"/>
      <c r="AI846" s="449"/>
      <c r="AJ846" s="449"/>
      <c r="AK846" s="452"/>
      <c r="AL846" s="351"/>
      <c r="AM846" s="43"/>
      <c r="AN846" s="43"/>
      <c r="AO846" s="43"/>
      <c r="AP846" s="43"/>
      <c r="AQ846" s="43"/>
      <c r="AR846" s="43"/>
      <c r="AS846" s="43"/>
      <c r="AT846" s="43"/>
      <c r="AU846" s="43"/>
      <c r="AV846" s="43"/>
      <c r="AW846" s="43"/>
      <c r="AX846" s="43"/>
      <c r="AY846" s="43"/>
      <c r="AZ846" s="43"/>
      <c r="BA846" s="43"/>
      <c r="BB846" s="43"/>
      <c r="BC846" s="43"/>
      <c r="BD846" s="43"/>
      <c r="BE846" s="43"/>
      <c r="BF846" s="43"/>
      <c r="BG846" s="43"/>
      <c r="BH846" s="43"/>
      <c r="BI846" s="43"/>
      <c r="BJ846" s="43"/>
      <c r="BK846" s="43"/>
      <c r="BL846" s="43"/>
      <c r="BM846" s="43"/>
      <c r="BN846" s="43"/>
      <c r="BO846" s="43"/>
      <c r="BP846" s="861"/>
      <c r="BQ846" s="861"/>
      <c r="BR846" s="861"/>
      <c r="BS846" s="861"/>
      <c r="BT846" s="861"/>
      <c r="BU846" s="861"/>
      <c r="BV846" s="861"/>
      <c r="BW846" s="861"/>
      <c r="BX846" s="861"/>
      <c r="BY846" s="861"/>
      <c r="BZ846" s="861"/>
      <c r="CA846" s="861"/>
      <c r="CB846" s="861"/>
      <c r="CC846" s="861"/>
      <c r="CD846" s="861"/>
      <c r="CE846" s="861"/>
      <c r="CF846" s="861"/>
      <c r="CG846" s="861"/>
      <c r="CH846" s="861"/>
      <c r="CI846" s="861"/>
      <c r="CJ846" s="861"/>
      <c r="CK846" s="861"/>
      <c r="CL846" s="861"/>
      <c r="CM846" s="861"/>
      <c r="CN846" s="861"/>
      <c r="CO846" s="861"/>
      <c r="CP846" s="861"/>
      <c r="CQ846" s="861"/>
      <c r="CR846" s="861"/>
      <c r="CS846" s="861"/>
      <c r="CT846" s="861"/>
      <c r="CU846" s="861"/>
      <c r="CV846" s="861"/>
      <c r="CW846" s="861"/>
      <c r="CX846" s="861"/>
      <c r="CY846" s="861"/>
      <c r="CZ846" s="861"/>
      <c r="DA846" s="861"/>
      <c r="DB846" s="861"/>
      <c r="DC846" s="861"/>
      <c r="DD846" s="861"/>
      <c r="DE846" s="861"/>
      <c r="DF846" s="861"/>
      <c r="DG846" s="861"/>
      <c r="DH846" s="861"/>
      <c r="DI846" s="861"/>
      <c r="DJ846" s="861"/>
      <c r="DK846" s="861"/>
      <c r="DL846" s="861"/>
      <c r="DM846" s="861"/>
      <c r="DN846" s="861"/>
      <c r="DO846" s="861"/>
      <c r="DP846" s="861"/>
      <c r="DQ846" s="861"/>
      <c r="DR846" s="861"/>
      <c r="DS846" s="861"/>
      <c r="DT846" s="861"/>
      <c r="DU846" s="861"/>
      <c r="DV846" s="861"/>
      <c r="DW846" s="861"/>
      <c r="DX846" s="861"/>
      <c r="DY846" s="861"/>
      <c r="DZ846" s="861"/>
      <c r="EA846" s="861"/>
      <c r="EB846" s="861"/>
      <c r="EC846" s="861"/>
      <c r="ED846" s="861"/>
      <c r="EE846" s="861"/>
      <c r="EF846" s="861"/>
      <c r="EG846" s="861"/>
      <c r="EH846" s="861"/>
      <c r="EI846" s="861"/>
      <c r="EJ846" s="861"/>
      <c r="EK846" s="861"/>
      <c r="EL846" s="861"/>
      <c r="EM846" s="861"/>
      <c r="EN846" s="861"/>
      <c r="EO846" s="861"/>
      <c r="EP846" s="861"/>
      <c r="EQ846" s="861"/>
      <c r="ER846" s="861"/>
      <c r="ES846" s="861"/>
      <c r="ET846" s="861"/>
      <c r="EU846" s="861"/>
      <c r="EV846" s="861"/>
      <c r="EW846" s="861"/>
      <c r="EX846" s="861"/>
      <c r="EY846" s="861"/>
      <c r="EZ846" s="861"/>
      <c r="FA846" s="861"/>
      <c r="FB846" s="861"/>
      <c r="FC846" s="861"/>
      <c r="FD846" s="861"/>
      <c r="FE846" s="861"/>
      <c r="FF846" s="861"/>
      <c r="FG846" s="861"/>
      <c r="FH846" s="861"/>
      <c r="FI846" s="861"/>
      <c r="FJ846" s="861"/>
      <c r="FK846" s="861"/>
      <c r="FL846" s="861"/>
      <c r="FM846" s="861"/>
      <c r="FN846" s="861"/>
      <c r="FO846" s="861"/>
      <c r="FP846" s="861"/>
      <c r="FQ846" s="861"/>
      <c r="FR846" s="861"/>
      <c r="FS846" s="861"/>
      <c r="FT846" s="861"/>
      <c r="FU846" s="861"/>
      <c r="FV846" s="861"/>
      <c r="FW846" s="861"/>
      <c r="FX846" s="861"/>
      <c r="FY846" s="861"/>
      <c r="FZ846" s="861"/>
      <c r="GA846" s="861"/>
      <c r="GB846" s="861"/>
      <c r="GC846" s="861"/>
      <c r="GD846" s="861"/>
      <c r="GE846" s="861"/>
      <c r="GF846" s="861"/>
      <c r="GG846" s="861"/>
      <c r="GH846" s="861"/>
      <c r="GI846" s="861"/>
      <c r="GJ846" s="861"/>
      <c r="GK846" s="861"/>
      <c r="GL846" s="861"/>
      <c r="GM846" s="861"/>
      <c r="GN846" s="861"/>
      <c r="GO846" s="861"/>
      <c r="GP846" s="861"/>
      <c r="GQ846" s="861"/>
      <c r="GR846" s="861"/>
      <c r="GS846" s="861"/>
      <c r="GT846" s="861"/>
      <c r="GU846" s="861"/>
      <c r="GV846" s="861"/>
      <c r="GW846" s="861"/>
      <c r="GX846" s="861"/>
      <c r="GY846" s="861"/>
      <c r="GZ846" s="861"/>
      <c r="HA846" s="861"/>
      <c r="HB846" s="861"/>
      <c r="HC846" s="861"/>
      <c r="HD846" s="861"/>
      <c r="HE846" s="861"/>
      <c r="HF846" s="861"/>
      <c r="HG846" s="861"/>
      <c r="HH846" s="861"/>
      <c r="HI846" s="861"/>
      <c r="HJ846" s="861"/>
      <c r="HK846" s="861"/>
      <c r="HL846" s="861"/>
      <c r="HM846" s="861"/>
      <c r="HN846" s="861"/>
      <c r="HO846" s="861"/>
      <c r="HP846" s="861"/>
      <c r="HQ846" s="861"/>
      <c r="HR846" s="861"/>
      <c r="HS846" s="861"/>
      <c r="HT846" s="861"/>
      <c r="HU846" s="861"/>
      <c r="HV846" s="861"/>
      <c r="HW846" s="861"/>
      <c r="HX846" s="861"/>
      <c r="HY846" s="861"/>
      <c r="HZ846" s="861"/>
      <c r="IA846" s="861"/>
      <c r="IB846" s="861"/>
      <c r="IC846" s="861"/>
      <c r="ID846" s="861"/>
      <c r="IE846" s="861"/>
      <c r="IF846" s="861"/>
      <c r="IG846" s="861"/>
      <c r="IH846" s="861"/>
      <c r="II846" s="861"/>
      <c r="IJ846" s="861"/>
      <c r="IK846" s="861"/>
      <c r="IL846" s="861"/>
      <c r="IM846" s="861"/>
      <c r="IN846" s="861"/>
      <c r="IO846" s="861"/>
      <c r="IP846" s="861"/>
      <c r="IQ846" s="861"/>
      <c r="IR846" s="861"/>
      <c r="IS846" s="861"/>
      <c r="IT846" s="861"/>
      <c r="IU846" s="861"/>
      <c r="IV846" s="861"/>
      <c r="IW846" s="861"/>
      <c r="IX846" s="861"/>
      <c r="IY846" s="861"/>
      <c r="IZ846" s="861"/>
      <c r="JA846" s="861"/>
      <c r="JB846" s="861"/>
      <c r="JC846" s="861"/>
      <c r="JD846" s="861"/>
      <c r="JE846" s="861"/>
      <c r="JF846" s="861"/>
      <c r="JG846" s="861"/>
      <c r="JH846" s="861"/>
      <c r="JI846" s="861"/>
      <c r="JJ846" s="861"/>
      <c r="JK846" s="861"/>
      <c r="JL846" s="861"/>
      <c r="JM846" s="861"/>
      <c r="JN846" s="861"/>
      <c r="JO846" s="861"/>
      <c r="JP846" s="861"/>
      <c r="JQ846" s="861"/>
      <c r="JR846" s="861"/>
      <c r="JS846" s="861"/>
      <c r="JT846" s="861"/>
      <c r="JU846" s="861"/>
      <c r="JV846" s="861"/>
      <c r="JW846" s="861"/>
      <c r="JX846" s="861"/>
      <c r="JY846" s="861"/>
      <c r="JZ846" s="861"/>
      <c r="KA846" s="861"/>
      <c r="KB846" s="861"/>
      <c r="KC846" s="861"/>
      <c r="KD846" s="861"/>
      <c r="KE846" s="861"/>
      <c r="KF846" s="861"/>
      <c r="KG846" s="861"/>
      <c r="KH846" s="861"/>
      <c r="KI846" s="861"/>
      <c r="KJ846" s="861"/>
      <c r="KK846" s="861"/>
      <c r="KL846" s="861"/>
      <c r="KM846" s="861"/>
      <c r="KN846" s="861"/>
      <c r="KO846" s="861"/>
      <c r="KP846" s="861"/>
      <c r="KQ846" s="861"/>
      <c r="KR846" s="861"/>
      <c r="KS846" s="861"/>
      <c r="KT846" s="861"/>
      <c r="KU846" s="861"/>
      <c r="KV846" s="861"/>
      <c r="KW846" s="861"/>
      <c r="KX846" s="861"/>
      <c r="KY846" s="861"/>
      <c r="KZ846" s="861"/>
      <c r="LA846" s="861"/>
      <c r="LB846" s="861"/>
      <c r="LC846" s="861"/>
      <c r="LD846" s="861"/>
      <c r="LE846" s="861"/>
      <c r="LF846" s="861"/>
      <c r="LG846" s="861"/>
      <c r="LH846" s="861"/>
      <c r="LI846" s="861"/>
      <c r="LJ846" s="861"/>
      <c r="LK846" s="861"/>
      <c r="LL846" s="861"/>
      <c r="LM846" s="861"/>
      <c r="LN846" s="861"/>
      <c r="LO846" s="861"/>
      <c r="LP846" s="861"/>
      <c r="LQ846" s="861"/>
      <c r="LR846" s="861"/>
      <c r="LS846" s="861"/>
      <c r="LT846" s="861"/>
      <c r="LU846" s="861"/>
      <c r="LV846" s="861"/>
      <c r="LW846" s="861"/>
      <c r="LX846" s="861"/>
      <c r="LY846" s="861"/>
      <c r="LZ846" s="861"/>
      <c r="MA846" s="861"/>
      <c r="MB846" s="861"/>
      <c r="MC846" s="861"/>
      <c r="MD846" s="861"/>
      <c r="ME846" s="861"/>
      <c r="MF846" s="861"/>
      <c r="MG846" s="861"/>
      <c r="MH846" s="861"/>
      <c r="MI846" s="861"/>
      <c r="MJ846" s="861"/>
      <c r="MK846" s="861"/>
      <c r="ML846" s="861"/>
      <c r="MM846" s="861"/>
      <c r="MN846" s="861"/>
      <c r="MO846" s="861"/>
      <c r="MP846" s="861"/>
      <c r="MQ846" s="861"/>
      <c r="MR846" s="861"/>
      <c r="MS846" s="861"/>
      <c r="MT846" s="861"/>
      <c r="MU846" s="861"/>
      <c r="MV846" s="861"/>
      <c r="MW846" s="861"/>
      <c r="MX846" s="861"/>
      <c r="MY846" s="861"/>
      <c r="MZ846" s="861"/>
      <c r="NA846" s="861"/>
      <c r="NB846" s="861"/>
      <c r="NC846" s="861"/>
      <c r="ND846" s="861"/>
      <c r="NE846" s="861"/>
      <c r="NF846" s="861"/>
      <c r="NG846" s="861"/>
      <c r="NH846" s="861"/>
      <c r="NI846" s="861"/>
      <c r="NJ846" s="861"/>
      <c r="NK846" s="861"/>
      <c r="NL846" s="861"/>
      <c r="NM846" s="861"/>
      <c r="NN846" s="861"/>
      <c r="NO846" s="861"/>
      <c r="NP846" s="861"/>
      <c r="NQ846" s="861"/>
      <c r="NR846" s="861"/>
      <c r="NS846" s="861"/>
      <c r="NT846" s="861"/>
      <c r="NU846" s="861"/>
      <c r="NV846" s="861"/>
      <c r="NW846" s="861"/>
      <c r="NX846" s="861"/>
      <c r="NY846" s="861"/>
      <c r="NZ846" s="861"/>
      <c r="OA846" s="861"/>
      <c r="OB846" s="861"/>
      <c r="OC846" s="861"/>
      <c r="OD846" s="861"/>
      <c r="OE846" s="861"/>
      <c r="OF846" s="861"/>
      <c r="OG846" s="861"/>
      <c r="OH846" s="861"/>
      <c r="OI846" s="861"/>
      <c r="OJ846" s="861"/>
      <c r="OK846" s="861"/>
      <c r="OL846" s="861"/>
      <c r="OM846" s="861"/>
      <c r="ON846" s="861"/>
      <c r="OO846" s="861"/>
      <c r="OP846" s="861"/>
      <c r="OQ846" s="861"/>
      <c r="OR846" s="861"/>
      <c r="OS846" s="861"/>
      <c r="OT846" s="861"/>
      <c r="OU846" s="861"/>
      <c r="OV846" s="861"/>
      <c r="OW846" s="861"/>
      <c r="OX846" s="861"/>
      <c r="OY846" s="861"/>
      <c r="OZ846" s="861"/>
      <c r="PA846" s="861"/>
      <c r="PB846" s="861"/>
      <c r="PC846" s="861"/>
      <c r="PD846" s="861"/>
      <c r="PE846" s="861"/>
      <c r="PF846" s="861"/>
      <c r="PG846" s="861"/>
      <c r="PH846" s="861"/>
      <c r="PI846" s="861"/>
      <c r="PJ846" s="861"/>
      <c r="PK846" s="861"/>
      <c r="PL846" s="861"/>
      <c r="PM846" s="861"/>
      <c r="PN846" s="861"/>
      <c r="PO846" s="861"/>
      <c r="PP846" s="861"/>
      <c r="PQ846" s="861"/>
      <c r="PR846" s="861"/>
      <c r="PS846" s="861"/>
      <c r="PT846" s="861"/>
      <c r="PU846" s="861"/>
      <c r="PV846" s="861"/>
      <c r="PW846" s="861"/>
      <c r="PX846" s="861"/>
      <c r="PY846" s="861"/>
      <c r="PZ846" s="861"/>
      <c r="QA846" s="861"/>
      <c r="QB846" s="861"/>
      <c r="QC846" s="861"/>
      <c r="QD846" s="861"/>
      <c r="QE846" s="861"/>
      <c r="QF846" s="861"/>
      <c r="QG846" s="861"/>
      <c r="QH846" s="861"/>
      <c r="QI846" s="861"/>
      <c r="QJ846" s="861"/>
      <c r="QK846" s="861"/>
      <c r="QL846" s="861"/>
      <c r="QM846" s="861"/>
      <c r="QN846" s="861"/>
      <c r="QO846" s="861"/>
      <c r="QP846" s="861"/>
      <c r="QQ846" s="861"/>
      <c r="QR846" s="861"/>
      <c r="QS846" s="861"/>
      <c r="QT846" s="861"/>
      <c r="QU846" s="861"/>
      <c r="QV846" s="861"/>
      <c r="QW846" s="861"/>
      <c r="QX846" s="861"/>
      <c r="QY846" s="861"/>
      <c r="QZ846" s="861"/>
      <c r="RA846" s="861"/>
      <c r="RB846" s="861"/>
      <c r="RC846" s="861"/>
      <c r="RD846" s="861"/>
      <c r="RE846" s="861"/>
      <c r="RF846" s="861"/>
      <c r="RG846" s="861"/>
      <c r="RH846" s="861"/>
      <c r="RI846" s="861"/>
      <c r="RJ846" s="861"/>
      <c r="RK846" s="861"/>
      <c r="RL846" s="861"/>
      <c r="RM846" s="861"/>
      <c r="RN846" s="861"/>
      <c r="RO846" s="861"/>
      <c r="RP846" s="861"/>
      <c r="RQ846" s="861"/>
      <c r="RR846" s="861"/>
      <c r="RS846" s="861"/>
      <c r="RT846" s="861"/>
      <c r="RU846" s="861"/>
      <c r="RV846" s="861"/>
      <c r="RW846" s="861"/>
      <c r="RX846" s="861"/>
      <c r="RY846" s="861"/>
      <c r="RZ846" s="861"/>
      <c r="SA846" s="861"/>
      <c r="SB846" s="861"/>
      <c r="SC846" s="861"/>
      <c r="SD846" s="861"/>
      <c r="SE846" s="861"/>
      <c r="SF846" s="861"/>
      <c r="SG846" s="861"/>
      <c r="SH846" s="861"/>
      <c r="SI846" s="861"/>
      <c r="SJ846" s="861"/>
      <c r="SK846" s="861"/>
      <c r="SL846" s="861"/>
      <c r="SM846" s="861"/>
      <c r="SN846" s="861"/>
      <c r="SO846" s="861"/>
      <c r="SP846" s="861"/>
      <c r="SQ846" s="861"/>
      <c r="SR846" s="861"/>
      <c r="SS846" s="861"/>
      <c r="ST846" s="861"/>
      <c r="SU846" s="861"/>
      <c r="SV846" s="861"/>
      <c r="SW846" s="861"/>
      <c r="SX846" s="861"/>
      <c r="SY846" s="861"/>
      <c r="SZ846" s="861"/>
      <c r="TA846" s="861"/>
      <c r="TB846" s="861"/>
      <c r="TC846" s="861"/>
      <c r="TD846" s="861"/>
      <c r="TE846" s="861"/>
      <c r="TF846" s="861"/>
      <c r="TG846" s="861"/>
      <c r="TH846" s="861"/>
      <c r="TI846" s="861"/>
      <c r="TJ846" s="861"/>
      <c r="TK846" s="861"/>
      <c r="TL846" s="861"/>
      <c r="TM846" s="861"/>
      <c r="TN846" s="861"/>
      <c r="TO846" s="861"/>
      <c r="TP846" s="861"/>
      <c r="TQ846" s="861"/>
      <c r="TR846" s="861"/>
      <c r="TS846" s="861"/>
      <c r="TT846" s="861"/>
      <c r="TU846" s="861"/>
      <c r="TV846" s="861"/>
      <c r="TW846" s="861"/>
      <c r="TX846" s="861"/>
      <c r="TY846" s="861"/>
      <c r="TZ846" s="861"/>
      <c r="UA846" s="861"/>
      <c r="UB846" s="861"/>
      <c r="UC846" s="861"/>
      <c r="UD846" s="861"/>
      <c r="UE846" s="861"/>
      <c r="UF846" s="861"/>
      <c r="UG846" s="862"/>
    </row>
    <row r="847" spans="1:553" s="863" customFormat="1" ht="33" customHeight="1">
      <c r="A847" s="356"/>
      <c r="B847" s="356"/>
      <c r="C847" s="673" t="s">
        <v>23</v>
      </c>
      <c r="D847" s="397">
        <v>1</v>
      </c>
      <c r="E847" s="397">
        <v>239</v>
      </c>
      <c r="F847" s="673"/>
      <c r="G847" s="674" t="s">
        <v>33</v>
      </c>
      <c r="H847" s="675"/>
      <c r="I847" s="490">
        <v>145.5</v>
      </c>
      <c r="J847" s="797">
        <v>72000</v>
      </c>
      <c r="K847" s="857">
        <v>3</v>
      </c>
      <c r="L847" s="481">
        <f t="shared" si="127"/>
        <v>31428000</v>
      </c>
      <c r="M847" s="356"/>
      <c r="N847" s="356"/>
      <c r="O847" s="356"/>
      <c r="P847" s="356"/>
      <c r="Q847" s="610"/>
      <c r="R847" s="1452"/>
      <c r="S847" s="308"/>
      <c r="T847" s="308"/>
      <c r="U847" s="308"/>
      <c r="V847" s="308"/>
      <c r="W847" s="308"/>
      <c r="X847" s="308"/>
      <c r="Y847" s="308"/>
      <c r="Z847" s="604"/>
      <c r="AA847" s="308"/>
      <c r="AB847" s="308"/>
      <c r="AC847" s="449"/>
      <c r="AD847" s="449"/>
      <c r="AE847" s="449"/>
      <c r="AF847" s="449"/>
      <c r="AG847" s="449"/>
      <c r="AH847" s="449"/>
      <c r="AI847" s="449"/>
      <c r="AJ847" s="449"/>
      <c r="AK847" s="452"/>
      <c r="AL847" s="351"/>
      <c r="AM847" s="43"/>
      <c r="AN847" s="43"/>
      <c r="AO847" s="43"/>
      <c r="AP847" s="43"/>
      <c r="AQ847" s="43"/>
      <c r="AR847" s="43"/>
      <c r="AS847" s="43"/>
      <c r="AT847" s="43"/>
      <c r="AU847" s="43"/>
      <c r="AV847" s="43"/>
      <c r="AW847" s="43"/>
      <c r="AX847" s="43"/>
      <c r="AY847" s="43"/>
      <c r="AZ847" s="43"/>
      <c r="BA847" s="43"/>
      <c r="BB847" s="43"/>
      <c r="BC847" s="43"/>
      <c r="BD847" s="43"/>
      <c r="BE847" s="43"/>
      <c r="BF847" s="43"/>
      <c r="BG847" s="43"/>
      <c r="BH847" s="43"/>
      <c r="BI847" s="43"/>
      <c r="BJ847" s="43"/>
      <c r="BK847" s="43"/>
      <c r="BL847" s="43"/>
      <c r="BM847" s="43"/>
      <c r="BN847" s="43"/>
      <c r="BO847" s="43"/>
      <c r="BP847" s="861"/>
      <c r="BQ847" s="861"/>
      <c r="BR847" s="861"/>
      <c r="BS847" s="861"/>
      <c r="BT847" s="861"/>
      <c r="BU847" s="861"/>
      <c r="BV847" s="861"/>
      <c r="BW847" s="861"/>
      <c r="BX847" s="861"/>
      <c r="BY847" s="861"/>
      <c r="BZ847" s="861"/>
      <c r="CA847" s="861"/>
      <c r="CB847" s="861"/>
      <c r="CC847" s="861"/>
      <c r="CD847" s="861"/>
      <c r="CE847" s="861"/>
      <c r="CF847" s="861"/>
      <c r="CG847" s="861"/>
      <c r="CH847" s="861"/>
      <c r="CI847" s="861"/>
      <c r="CJ847" s="861"/>
      <c r="CK847" s="861"/>
      <c r="CL847" s="861"/>
      <c r="CM847" s="861"/>
      <c r="CN847" s="861"/>
      <c r="CO847" s="861"/>
      <c r="CP847" s="861"/>
      <c r="CQ847" s="861"/>
      <c r="CR847" s="861"/>
      <c r="CS847" s="861"/>
      <c r="CT847" s="861"/>
      <c r="CU847" s="861"/>
      <c r="CV847" s="861"/>
      <c r="CW847" s="861"/>
      <c r="CX847" s="861"/>
      <c r="CY847" s="861"/>
      <c r="CZ847" s="861"/>
      <c r="DA847" s="861"/>
      <c r="DB847" s="861"/>
      <c r="DC847" s="861"/>
      <c r="DD847" s="861"/>
      <c r="DE847" s="861"/>
      <c r="DF847" s="861"/>
      <c r="DG847" s="861"/>
      <c r="DH847" s="861"/>
      <c r="DI847" s="861"/>
      <c r="DJ847" s="861"/>
      <c r="DK847" s="861"/>
      <c r="DL847" s="861"/>
      <c r="DM847" s="861"/>
      <c r="DN847" s="861"/>
      <c r="DO847" s="861"/>
      <c r="DP847" s="861"/>
      <c r="DQ847" s="861"/>
      <c r="DR847" s="861"/>
      <c r="DS847" s="861"/>
      <c r="DT847" s="861"/>
      <c r="DU847" s="861"/>
      <c r="DV847" s="861"/>
      <c r="DW847" s="861"/>
      <c r="DX847" s="861"/>
      <c r="DY847" s="861"/>
      <c r="DZ847" s="861"/>
      <c r="EA847" s="861"/>
      <c r="EB847" s="861"/>
      <c r="EC847" s="861"/>
      <c r="ED847" s="861"/>
      <c r="EE847" s="861"/>
      <c r="EF847" s="861"/>
      <c r="EG847" s="861"/>
      <c r="EH847" s="861"/>
      <c r="EI847" s="861"/>
      <c r="EJ847" s="861"/>
      <c r="EK847" s="861"/>
      <c r="EL847" s="861"/>
      <c r="EM847" s="861"/>
      <c r="EN847" s="861"/>
      <c r="EO847" s="861"/>
      <c r="EP847" s="861"/>
      <c r="EQ847" s="861"/>
      <c r="ER847" s="861"/>
      <c r="ES847" s="861"/>
      <c r="ET847" s="861"/>
      <c r="EU847" s="861"/>
      <c r="EV847" s="861"/>
      <c r="EW847" s="861"/>
      <c r="EX847" s="861"/>
      <c r="EY847" s="861"/>
      <c r="EZ847" s="861"/>
      <c r="FA847" s="861"/>
      <c r="FB847" s="861"/>
      <c r="FC847" s="861"/>
      <c r="FD847" s="861"/>
      <c r="FE847" s="861"/>
      <c r="FF847" s="861"/>
      <c r="FG847" s="861"/>
      <c r="FH847" s="861"/>
      <c r="FI847" s="861"/>
      <c r="FJ847" s="861"/>
      <c r="FK847" s="861"/>
      <c r="FL847" s="861"/>
      <c r="FM847" s="861"/>
      <c r="FN847" s="861"/>
      <c r="FO847" s="861"/>
      <c r="FP847" s="861"/>
      <c r="FQ847" s="861"/>
      <c r="FR847" s="861"/>
      <c r="FS847" s="861"/>
      <c r="FT847" s="861"/>
      <c r="FU847" s="861"/>
      <c r="FV847" s="861"/>
      <c r="FW847" s="861"/>
      <c r="FX847" s="861"/>
      <c r="FY847" s="861"/>
      <c r="FZ847" s="861"/>
      <c r="GA847" s="861"/>
      <c r="GB847" s="861"/>
      <c r="GC847" s="861"/>
      <c r="GD847" s="861"/>
      <c r="GE847" s="861"/>
      <c r="GF847" s="861"/>
      <c r="GG847" s="861"/>
      <c r="GH847" s="861"/>
      <c r="GI847" s="861"/>
      <c r="GJ847" s="861"/>
      <c r="GK847" s="861"/>
      <c r="GL847" s="861"/>
      <c r="GM847" s="861"/>
      <c r="GN847" s="861"/>
      <c r="GO847" s="861"/>
      <c r="GP847" s="861"/>
      <c r="GQ847" s="861"/>
      <c r="GR847" s="861"/>
      <c r="GS847" s="861"/>
      <c r="GT847" s="861"/>
      <c r="GU847" s="861"/>
      <c r="GV847" s="861"/>
      <c r="GW847" s="861"/>
      <c r="GX847" s="861"/>
      <c r="GY847" s="861"/>
      <c r="GZ847" s="861"/>
      <c r="HA847" s="861"/>
      <c r="HB847" s="861"/>
      <c r="HC847" s="861"/>
      <c r="HD847" s="861"/>
      <c r="HE847" s="861"/>
      <c r="HF847" s="861"/>
      <c r="HG847" s="861"/>
      <c r="HH847" s="861"/>
      <c r="HI847" s="861"/>
      <c r="HJ847" s="861"/>
      <c r="HK847" s="861"/>
      <c r="HL847" s="861"/>
      <c r="HM847" s="861"/>
      <c r="HN847" s="861"/>
      <c r="HO847" s="861"/>
      <c r="HP847" s="861"/>
      <c r="HQ847" s="861"/>
      <c r="HR847" s="861"/>
      <c r="HS847" s="861"/>
      <c r="HT847" s="861"/>
      <c r="HU847" s="861"/>
      <c r="HV847" s="861"/>
      <c r="HW847" s="861"/>
      <c r="HX847" s="861"/>
      <c r="HY847" s="861"/>
      <c r="HZ847" s="861"/>
      <c r="IA847" s="861"/>
      <c r="IB847" s="861"/>
      <c r="IC847" s="861"/>
      <c r="ID847" s="861"/>
      <c r="IE847" s="861"/>
      <c r="IF847" s="861"/>
      <c r="IG847" s="861"/>
      <c r="IH847" s="861"/>
      <c r="II847" s="861"/>
      <c r="IJ847" s="861"/>
      <c r="IK847" s="861"/>
      <c r="IL847" s="861"/>
      <c r="IM847" s="861"/>
      <c r="IN847" s="861"/>
      <c r="IO847" s="861"/>
      <c r="IP847" s="861"/>
      <c r="IQ847" s="861"/>
      <c r="IR847" s="861"/>
      <c r="IS847" s="861"/>
      <c r="IT847" s="861"/>
      <c r="IU847" s="861"/>
      <c r="IV847" s="861"/>
      <c r="IW847" s="861"/>
      <c r="IX847" s="861"/>
      <c r="IY847" s="861"/>
      <c r="IZ847" s="861"/>
      <c r="JA847" s="861"/>
      <c r="JB847" s="861"/>
      <c r="JC847" s="861"/>
      <c r="JD847" s="861"/>
      <c r="JE847" s="861"/>
      <c r="JF847" s="861"/>
      <c r="JG847" s="861"/>
      <c r="JH847" s="861"/>
      <c r="JI847" s="861"/>
      <c r="JJ847" s="861"/>
      <c r="JK847" s="861"/>
      <c r="JL847" s="861"/>
      <c r="JM847" s="861"/>
      <c r="JN847" s="861"/>
      <c r="JO847" s="861"/>
      <c r="JP847" s="861"/>
      <c r="JQ847" s="861"/>
      <c r="JR847" s="861"/>
      <c r="JS847" s="861"/>
      <c r="JT847" s="861"/>
      <c r="JU847" s="861"/>
      <c r="JV847" s="861"/>
      <c r="JW847" s="861"/>
      <c r="JX847" s="861"/>
      <c r="JY847" s="861"/>
      <c r="JZ847" s="861"/>
      <c r="KA847" s="861"/>
      <c r="KB847" s="861"/>
      <c r="KC847" s="861"/>
      <c r="KD847" s="861"/>
      <c r="KE847" s="861"/>
      <c r="KF847" s="861"/>
      <c r="KG847" s="861"/>
      <c r="KH847" s="861"/>
      <c r="KI847" s="861"/>
      <c r="KJ847" s="861"/>
      <c r="KK847" s="861"/>
      <c r="KL847" s="861"/>
      <c r="KM847" s="861"/>
      <c r="KN847" s="861"/>
      <c r="KO847" s="861"/>
      <c r="KP847" s="861"/>
      <c r="KQ847" s="861"/>
      <c r="KR847" s="861"/>
      <c r="KS847" s="861"/>
      <c r="KT847" s="861"/>
      <c r="KU847" s="861"/>
      <c r="KV847" s="861"/>
      <c r="KW847" s="861"/>
      <c r="KX847" s="861"/>
      <c r="KY847" s="861"/>
      <c r="KZ847" s="861"/>
      <c r="LA847" s="861"/>
      <c r="LB847" s="861"/>
      <c r="LC847" s="861"/>
      <c r="LD847" s="861"/>
      <c r="LE847" s="861"/>
      <c r="LF847" s="861"/>
      <c r="LG847" s="861"/>
      <c r="LH847" s="861"/>
      <c r="LI847" s="861"/>
      <c r="LJ847" s="861"/>
      <c r="LK847" s="861"/>
      <c r="LL847" s="861"/>
      <c r="LM847" s="861"/>
      <c r="LN847" s="861"/>
      <c r="LO847" s="861"/>
      <c r="LP847" s="861"/>
      <c r="LQ847" s="861"/>
      <c r="LR847" s="861"/>
      <c r="LS847" s="861"/>
      <c r="LT847" s="861"/>
      <c r="LU847" s="861"/>
      <c r="LV847" s="861"/>
      <c r="LW847" s="861"/>
      <c r="LX847" s="861"/>
      <c r="LY847" s="861"/>
      <c r="LZ847" s="861"/>
      <c r="MA847" s="861"/>
      <c r="MB847" s="861"/>
      <c r="MC847" s="861"/>
      <c r="MD847" s="861"/>
      <c r="ME847" s="861"/>
      <c r="MF847" s="861"/>
      <c r="MG847" s="861"/>
      <c r="MH847" s="861"/>
      <c r="MI847" s="861"/>
      <c r="MJ847" s="861"/>
      <c r="MK847" s="861"/>
      <c r="ML847" s="861"/>
      <c r="MM847" s="861"/>
      <c r="MN847" s="861"/>
      <c r="MO847" s="861"/>
      <c r="MP847" s="861"/>
      <c r="MQ847" s="861"/>
      <c r="MR847" s="861"/>
      <c r="MS847" s="861"/>
      <c r="MT847" s="861"/>
      <c r="MU847" s="861"/>
      <c r="MV847" s="861"/>
      <c r="MW847" s="861"/>
      <c r="MX847" s="861"/>
      <c r="MY847" s="861"/>
      <c r="MZ847" s="861"/>
      <c r="NA847" s="861"/>
      <c r="NB847" s="861"/>
      <c r="NC847" s="861"/>
      <c r="ND847" s="861"/>
      <c r="NE847" s="861"/>
      <c r="NF847" s="861"/>
      <c r="NG847" s="861"/>
      <c r="NH847" s="861"/>
      <c r="NI847" s="861"/>
      <c r="NJ847" s="861"/>
      <c r="NK847" s="861"/>
      <c r="NL847" s="861"/>
      <c r="NM847" s="861"/>
      <c r="NN847" s="861"/>
      <c r="NO847" s="861"/>
      <c r="NP847" s="861"/>
      <c r="NQ847" s="861"/>
      <c r="NR847" s="861"/>
      <c r="NS847" s="861"/>
      <c r="NT847" s="861"/>
      <c r="NU847" s="861"/>
      <c r="NV847" s="861"/>
      <c r="NW847" s="861"/>
      <c r="NX847" s="861"/>
      <c r="NY847" s="861"/>
      <c r="NZ847" s="861"/>
      <c r="OA847" s="861"/>
      <c r="OB847" s="861"/>
      <c r="OC847" s="861"/>
      <c r="OD847" s="861"/>
      <c r="OE847" s="861"/>
      <c r="OF847" s="861"/>
      <c r="OG847" s="861"/>
      <c r="OH847" s="861"/>
      <c r="OI847" s="861"/>
      <c r="OJ847" s="861"/>
      <c r="OK847" s="861"/>
      <c r="OL847" s="861"/>
      <c r="OM847" s="861"/>
      <c r="ON847" s="861"/>
      <c r="OO847" s="861"/>
      <c r="OP847" s="861"/>
      <c r="OQ847" s="861"/>
      <c r="OR847" s="861"/>
      <c r="OS847" s="861"/>
      <c r="OT847" s="861"/>
      <c r="OU847" s="861"/>
      <c r="OV847" s="861"/>
      <c r="OW847" s="861"/>
      <c r="OX847" s="861"/>
      <c r="OY847" s="861"/>
      <c r="OZ847" s="861"/>
      <c r="PA847" s="861"/>
      <c r="PB847" s="861"/>
      <c r="PC847" s="861"/>
      <c r="PD847" s="861"/>
      <c r="PE847" s="861"/>
      <c r="PF847" s="861"/>
      <c r="PG847" s="861"/>
      <c r="PH847" s="861"/>
      <c r="PI847" s="861"/>
      <c r="PJ847" s="861"/>
      <c r="PK847" s="861"/>
      <c r="PL847" s="861"/>
      <c r="PM847" s="861"/>
      <c r="PN847" s="861"/>
      <c r="PO847" s="861"/>
      <c r="PP847" s="861"/>
      <c r="PQ847" s="861"/>
      <c r="PR847" s="861"/>
      <c r="PS847" s="861"/>
      <c r="PT847" s="861"/>
      <c r="PU847" s="861"/>
      <c r="PV847" s="861"/>
      <c r="PW847" s="861"/>
      <c r="PX847" s="861"/>
      <c r="PY847" s="861"/>
      <c r="PZ847" s="861"/>
      <c r="QA847" s="861"/>
      <c r="QB847" s="861"/>
      <c r="QC847" s="861"/>
      <c r="QD847" s="861"/>
      <c r="QE847" s="861"/>
      <c r="QF847" s="861"/>
      <c r="QG847" s="861"/>
      <c r="QH847" s="861"/>
      <c r="QI847" s="861"/>
      <c r="QJ847" s="861"/>
      <c r="QK847" s="861"/>
      <c r="QL847" s="861"/>
      <c r="QM847" s="861"/>
      <c r="QN847" s="861"/>
      <c r="QO847" s="861"/>
      <c r="QP847" s="861"/>
      <c r="QQ847" s="861"/>
      <c r="QR847" s="861"/>
      <c r="QS847" s="861"/>
      <c r="QT847" s="861"/>
      <c r="QU847" s="861"/>
      <c r="QV847" s="861"/>
      <c r="QW847" s="861"/>
      <c r="QX847" s="861"/>
      <c r="QY847" s="861"/>
      <c r="QZ847" s="861"/>
      <c r="RA847" s="861"/>
      <c r="RB847" s="861"/>
      <c r="RC847" s="861"/>
      <c r="RD847" s="861"/>
      <c r="RE847" s="861"/>
      <c r="RF847" s="861"/>
      <c r="RG847" s="861"/>
      <c r="RH847" s="861"/>
      <c r="RI847" s="861"/>
      <c r="RJ847" s="861"/>
      <c r="RK847" s="861"/>
      <c r="RL847" s="861"/>
      <c r="RM847" s="861"/>
      <c r="RN847" s="861"/>
      <c r="RO847" s="861"/>
      <c r="RP847" s="861"/>
      <c r="RQ847" s="861"/>
      <c r="RR847" s="861"/>
      <c r="RS847" s="861"/>
      <c r="RT847" s="861"/>
      <c r="RU847" s="861"/>
      <c r="RV847" s="861"/>
      <c r="RW847" s="861"/>
      <c r="RX847" s="861"/>
      <c r="RY847" s="861"/>
      <c r="RZ847" s="861"/>
      <c r="SA847" s="861"/>
      <c r="SB847" s="861"/>
      <c r="SC847" s="861"/>
      <c r="SD847" s="861"/>
      <c r="SE847" s="861"/>
      <c r="SF847" s="861"/>
      <c r="SG847" s="861"/>
      <c r="SH847" s="861"/>
      <c r="SI847" s="861"/>
      <c r="SJ847" s="861"/>
      <c r="SK847" s="861"/>
      <c r="SL847" s="861"/>
      <c r="SM847" s="861"/>
      <c r="SN847" s="861"/>
      <c r="SO847" s="861"/>
      <c r="SP847" s="861"/>
      <c r="SQ847" s="861"/>
      <c r="SR847" s="861"/>
      <c r="SS847" s="861"/>
      <c r="ST847" s="861"/>
      <c r="SU847" s="861"/>
      <c r="SV847" s="861"/>
      <c r="SW847" s="861"/>
      <c r="SX847" s="861"/>
      <c r="SY847" s="861"/>
      <c r="SZ847" s="861"/>
      <c r="TA847" s="861"/>
      <c r="TB847" s="861"/>
      <c r="TC847" s="861"/>
      <c r="TD847" s="861"/>
      <c r="TE847" s="861"/>
      <c r="TF847" s="861"/>
      <c r="TG847" s="861"/>
      <c r="TH847" s="861"/>
      <c r="TI847" s="861"/>
      <c r="TJ847" s="861"/>
      <c r="TK847" s="861"/>
      <c r="TL847" s="861"/>
      <c r="TM847" s="861"/>
      <c r="TN847" s="861"/>
      <c r="TO847" s="861"/>
      <c r="TP847" s="861"/>
      <c r="TQ847" s="861"/>
      <c r="TR847" s="861"/>
      <c r="TS847" s="861"/>
      <c r="TT847" s="861"/>
      <c r="TU847" s="861"/>
      <c r="TV847" s="861"/>
      <c r="TW847" s="861"/>
      <c r="TX847" s="861"/>
      <c r="TY847" s="861"/>
      <c r="TZ847" s="861"/>
      <c r="UA847" s="861"/>
      <c r="UB847" s="861"/>
      <c r="UC847" s="861"/>
      <c r="UD847" s="861"/>
      <c r="UE847" s="861"/>
      <c r="UF847" s="861"/>
      <c r="UG847" s="862"/>
    </row>
    <row r="848" spans="1:553" s="863" customFormat="1" ht="33" customHeight="1">
      <c r="A848" s="356"/>
      <c r="B848" s="356"/>
      <c r="C848" s="673" t="s">
        <v>23</v>
      </c>
      <c r="D848" s="397">
        <v>1</v>
      </c>
      <c r="E848" s="397">
        <v>315</v>
      </c>
      <c r="F848" s="673"/>
      <c r="G848" s="674" t="s">
        <v>33</v>
      </c>
      <c r="H848" s="675"/>
      <c r="I848" s="490">
        <v>821</v>
      </c>
      <c r="J848" s="797">
        <v>72000</v>
      </c>
      <c r="K848" s="857">
        <v>3</v>
      </c>
      <c r="L848" s="481">
        <f t="shared" si="127"/>
        <v>177336000</v>
      </c>
      <c r="M848" s="356"/>
      <c r="N848" s="356"/>
      <c r="O848" s="356"/>
      <c r="P848" s="356"/>
      <c r="Q848" s="610"/>
      <c r="R848" s="1452"/>
      <c r="S848" s="308"/>
      <c r="T848" s="308"/>
      <c r="U848" s="308"/>
      <c r="V848" s="308"/>
      <c r="W848" s="308"/>
      <c r="X848" s="308"/>
      <c r="Y848" s="308"/>
      <c r="Z848" s="604"/>
      <c r="AA848" s="308"/>
      <c r="AB848" s="308"/>
      <c r="AC848" s="449"/>
      <c r="AD848" s="449"/>
      <c r="AE848" s="449"/>
      <c r="AF848" s="449"/>
      <c r="AG848" s="449"/>
      <c r="AH848" s="449"/>
      <c r="AI848" s="449"/>
      <c r="AJ848" s="449"/>
      <c r="AK848" s="452"/>
      <c r="AL848" s="351"/>
      <c r="AM848" s="43"/>
      <c r="AN848" s="43"/>
      <c r="AO848" s="43"/>
      <c r="AP848" s="43"/>
      <c r="AQ848" s="43"/>
      <c r="AR848" s="43"/>
      <c r="AS848" s="43"/>
      <c r="AT848" s="43"/>
      <c r="AU848" s="43"/>
      <c r="AV848" s="43"/>
      <c r="AW848" s="43"/>
      <c r="AX848" s="43"/>
      <c r="AY848" s="43"/>
      <c r="AZ848" s="43"/>
      <c r="BA848" s="43"/>
      <c r="BB848" s="43"/>
      <c r="BC848" s="43"/>
      <c r="BD848" s="43"/>
      <c r="BE848" s="43"/>
      <c r="BF848" s="43"/>
      <c r="BG848" s="43"/>
      <c r="BH848" s="43"/>
      <c r="BI848" s="43"/>
      <c r="BJ848" s="43"/>
      <c r="BK848" s="43"/>
      <c r="BL848" s="43"/>
      <c r="BM848" s="43"/>
      <c r="BN848" s="43"/>
      <c r="BO848" s="43"/>
      <c r="BP848" s="861"/>
      <c r="BQ848" s="861"/>
      <c r="BR848" s="861"/>
      <c r="BS848" s="861"/>
      <c r="BT848" s="861"/>
      <c r="BU848" s="861"/>
      <c r="BV848" s="861"/>
      <c r="BW848" s="861"/>
      <c r="BX848" s="861"/>
      <c r="BY848" s="861"/>
      <c r="BZ848" s="861"/>
      <c r="CA848" s="861"/>
      <c r="CB848" s="861"/>
      <c r="CC848" s="861"/>
      <c r="CD848" s="861"/>
      <c r="CE848" s="861"/>
      <c r="CF848" s="861"/>
      <c r="CG848" s="861"/>
      <c r="CH848" s="861"/>
      <c r="CI848" s="861"/>
      <c r="CJ848" s="861"/>
      <c r="CK848" s="861"/>
      <c r="CL848" s="861"/>
      <c r="CM848" s="861"/>
      <c r="CN848" s="861"/>
      <c r="CO848" s="861"/>
      <c r="CP848" s="861"/>
      <c r="CQ848" s="861"/>
      <c r="CR848" s="861"/>
      <c r="CS848" s="861"/>
      <c r="CT848" s="861"/>
      <c r="CU848" s="861"/>
      <c r="CV848" s="861"/>
      <c r="CW848" s="861"/>
      <c r="CX848" s="861"/>
      <c r="CY848" s="861"/>
      <c r="CZ848" s="861"/>
      <c r="DA848" s="861"/>
      <c r="DB848" s="861"/>
      <c r="DC848" s="861"/>
      <c r="DD848" s="861"/>
      <c r="DE848" s="861"/>
      <c r="DF848" s="861"/>
      <c r="DG848" s="861"/>
      <c r="DH848" s="861"/>
      <c r="DI848" s="861"/>
      <c r="DJ848" s="861"/>
      <c r="DK848" s="861"/>
      <c r="DL848" s="861"/>
      <c r="DM848" s="861"/>
      <c r="DN848" s="861"/>
      <c r="DO848" s="861"/>
      <c r="DP848" s="861"/>
      <c r="DQ848" s="861"/>
      <c r="DR848" s="861"/>
      <c r="DS848" s="861"/>
      <c r="DT848" s="861"/>
      <c r="DU848" s="861"/>
      <c r="DV848" s="861"/>
      <c r="DW848" s="861"/>
      <c r="DX848" s="861"/>
      <c r="DY848" s="861"/>
      <c r="DZ848" s="861"/>
      <c r="EA848" s="861"/>
      <c r="EB848" s="861"/>
      <c r="EC848" s="861"/>
      <c r="ED848" s="861"/>
      <c r="EE848" s="861"/>
      <c r="EF848" s="861"/>
      <c r="EG848" s="861"/>
      <c r="EH848" s="861"/>
      <c r="EI848" s="861"/>
      <c r="EJ848" s="861"/>
      <c r="EK848" s="861"/>
      <c r="EL848" s="861"/>
      <c r="EM848" s="861"/>
      <c r="EN848" s="861"/>
      <c r="EO848" s="861"/>
      <c r="EP848" s="861"/>
      <c r="EQ848" s="861"/>
      <c r="ER848" s="861"/>
      <c r="ES848" s="861"/>
      <c r="ET848" s="861"/>
      <c r="EU848" s="861"/>
      <c r="EV848" s="861"/>
      <c r="EW848" s="861"/>
      <c r="EX848" s="861"/>
      <c r="EY848" s="861"/>
      <c r="EZ848" s="861"/>
      <c r="FA848" s="861"/>
      <c r="FB848" s="861"/>
      <c r="FC848" s="861"/>
      <c r="FD848" s="861"/>
      <c r="FE848" s="861"/>
      <c r="FF848" s="861"/>
      <c r="FG848" s="861"/>
      <c r="FH848" s="861"/>
      <c r="FI848" s="861"/>
      <c r="FJ848" s="861"/>
      <c r="FK848" s="861"/>
      <c r="FL848" s="861"/>
      <c r="FM848" s="861"/>
      <c r="FN848" s="861"/>
      <c r="FO848" s="861"/>
      <c r="FP848" s="861"/>
      <c r="FQ848" s="861"/>
      <c r="FR848" s="861"/>
      <c r="FS848" s="861"/>
      <c r="FT848" s="861"/>
      <c r="FU848" s="861"/>
      <c r="FV848" s="861"/>
      <c r="FW848" s="861"/>
      <c r="FX848" s="861"/>
      <c r="FY848" s="861"/>
      <c r="FZ848" s="861"/>
      <c r="GA848" s="861"/>
      <c r="GB848" s="861"/>
      <c r="GC848" s="861"/>
      <c r="GD848" s="861"/>
      <c r="GE848" s="861"/>
      <c r="GF848" s="861"/>
      <c r="GG848" s="861"/>
      <c r="GH848" s="861"/>
      <c r="GI848" s="861"/>
      <c r="GJ848" s="861"/>
      <c r="GK848" s="861"/>
      <c r="GL848" s="861"/>
      <c r="GM848" s="861"/>
      <c r="GN848" s="861"/>
      <c r="GO848" s="861"/>
      <c r="GP848" s="861"/>
      <c r="GQ848" s="861"/>
      <c r="GR848" s="861"/>
      <c r="GS848" s="861"/>
      <c r="GT848" s="861"/>
      <c r="GU848" s="861"/>
      <c r="GV848" s="861"/>
      <c r="GW848" s="861"/>
      <c r="GX848" s="861"/>
      <c r="GY848" s="861"/>
      <c r="GZ848" s="861"/>
      <c r="HA848" s="861"/>
      <c r="HB848" s="861"/>
      <c r="HC848" s="861"/>
      <c r="HD848" s="861"/>
      <c r="HE848" s="861"/>
      <c r="HF848" s="861"/>
      <c r="HG848" s="861"/>
      <c r="HH848" s="861"/>
      <c r="HI848" s="861"/>
      <c r="HJ848" s="861"/>
      <c r="HK848" s="861"/>
      <c r="HL848" s="861"/>
      <c r="HM848" s="861"/>
      <c r="HN848" s="861"/>
      <c r="HO848" s="861"/>
      <c r="HP848" s="861"/>
      <c r="HQ848" s="861"/>
      <c r="HR848" s="861"/>
      <c r="HS848" s="861"/>
      <c r="HT848" s="861"/>
      <c r="HU848" s="861"/>
      <c r="HV848" s="861"/>
      <c r="HW848" s="861"/>
      <c r="HX848" s="861"/>
      <c r="HY848" s="861"/>
      <c r="HZ848" s="861"/>
      <c r="IA848" s="861"/>
      <c r="IB848" s="861"/>
      <c r="IC848" s="861"/>
      <c r="ID848" s="861"/>
      <c r="IE848" s="861"/>
      <c r="IF848" s="861"/>
      <c r="IG848" s="861"/>
      <c r="IH848" s="861"/>
      <c r="II848" s="861"/>
      <c r="IJ848" s="861"/>
      <c r="IK848" s="861"/>
      <c r="IL848" s="861"/>
      <c r="IM848" s="861"/>
      <c r="IN848" s="861"/>
      <c r="IO848" s="861"/>
      <c r="IP848" s="861"/>
      <c r="IQ848" s="861"/>
      <c r="IR848" s="861"/>
      <c r="IS848" s="861"/>
      <c r="IT848" s="861"/>
      <c r="IU848" s="861"/>
      <c r="IV848" s="861"/>
      <c r="IW848" s="861"/>
      <c r="IX848" s="861"/>
      <c r="IY848" s="861"/>
      <c r="IZ848" s="861"/>
      <c r="JA848" s="861"/>
      <c r="JB848" s="861"/>
      <c r="JC848" s="861"/>
      <c r="JD848" s="861"/>
      <c r="JE848" s="861"/>
      <c r="JF848" s="861"/>
      <c r="JG848" s="861"/>
      <c r="JH848" s="861"/>
      <c r="JI848" s="861"/>
      <c r="JJ848" s="861"/>
      <c r="JK848" s="861"/>
      <c r="JL848" s="861"/>
      <c r="JM848" s="861"/>
      <c r="JN848" s="861"/>
      <c r="JO848" s="861"/>
      <c r="JP848" s="861"/>
      <c r="JQ848" s="861"/>
      <c r="JR848" s="861"/>
      <c r="JS848" s="861"/>
      <c r="JT848" s="861"/>
      <c r="JU848" s="861"/>
      <c r="JV848" s="861"/>
      <c r="JW848" s="861"/>
      <c r="JX848" s="861"/>
      <c r="JY848" s="861"/>
      <c r="JZ848" s="861"/>
      <c r="KA848" s="861"/>
      <c r="KB848" s="861"/>
      <c r="KC848" s="861"/>
      <c r="KD848" s="861"/>
      <c r="KE848" s="861"/>
      <c r="KF848" s="861"/>
      <c r="KG848" s="861"/>
      <c r="KH848" s="861"/>
      <c r="KI848" s="861"/>
      <c r="KJ848" s="861"/>
      <c r="KK848" s="861"/>
      <c r="KL848" s="861"/>
      <c r="KM848" s="861"/>
      <c r="KN848" s="861"/>
      <c r="KO848" s="861"/>
      <c r="KP848" s="861"/>
      <c r="KQ848" s="861"/>
      <c r="KR848" s="861"/>
      <c r="KS848" s="861"/>
      <c r="KT848" s="861"/>
      <c r="KU848" s="861"/>
      <c r="KV848" s="861"/>
      <c r="KW848" s="861"/>
      <c r="KX848" s="861"/>
      <c r="KY848" s="861"/>
      <c r="KZ848" s="861"/>
      <c r="LA848" s="861"/>
      <c r="LB848" s="861"/>
      <c r="LC848" s="861"/>
      <c r="LD848" s="861"/>
      <c r="LE848" s="861"/>
      <c r="LF848" s="861"/>
      <c r="LG848" s="861"/>
      <c r="LH848" s="861"/>
      <c r="LI848" s="861"/>
      <c r="LJ848" s="861"/>
      <c r="LK848" s="861"/>
      <c r="LL848" s="861"/>
      <c r="LM848" s="861"/>
      <c r="LN848" s="861"/>
      <c r="LO848" s="861"/>
      <c r="LP848" s="861"/>
      <c r="LQ848" s="861"/>
      <c r="LR848" s="861"/>
      <c r="LS848" s="861"/>
      <c r="LT848" s="861"/>
      <c r="LU848" s="861"/>
      <c r="LV848" s="861"/>
      <c r="LW848" s="861"/>
      <c r="LX848" s="861"/>
      <c r="LY848" s="861"/>
      <c r="LZ848" s="861"/>
      <c r="MA848" s="861"/>
      <c r="MB848" s="861"/>
      <c r="MC848" s="861"/>
      <c r="MD848" s="861"/>
      <c r="ME848" s="861"/>
      <c r="MF848" s="861"/>
      <c r="MG848" s="861"/>
      <c r="MH848" s="861"/>
      <c r="MI848" s="861"/>
      <c r="MJ848" s="861"/>
      <c r="MK848" s="861"/>
      <c r="ML848" s="861"/>
      <c r="MM848" s="861"/>
      <c r="MN848" s="861"/>
      <c r="MO848" s="861"/>
      <c r="MP848" s="861"/>
      <c r="MQ848" s="861"/>
      <c r="MR848" s="861"/>
      <c r="MS848" s="861"/>
      <c r="MT848" s="861"/>
      <c r="MU848" s="861"/>
      <c r="MV848" s="861"/>
      <c r="MW848" s="861"/>
      <c r="MX848" s="861"/>
      <c r="MY848" s="861"/>
      <c r="MZ848" s="861"/>
      <c r="NA848" s="861"/>
      <c r="NB848" s="861"/>
      <c r="NC848" s="861"/>
      <c r="ND848" s="861"/>
      <c r="NE848" s="861"/>
      <c r="NF848" s="861"/>
      <c r="NG848" s="861"/>
      <c r="NH848" s="861"/>
      <c r="NI848" s="861"/>
      <c r="NJ848" s="861"/>
      <c r="NK848" s="861"/>
      <c r="NL848" s="861"/>
      <c r="NM848" s="861"/>
      <c r="NN848" s="861"/>
      <c r="NO848" s="861"/>
      <c r="NP848" s="861"/>
      <c r="NQ848" s="861"/>
      <c r="NR848" s="861"/>
      <c r="NS848" s="861"/>
      <c r="NT848" s="861"/>
      <c r="NU848" s="861"/>
      <c r="NV848" s="861"/>
      <c r="NW848" s="861"/>
      <c r="NX848" s="861"/>
      <c r="NY848" s="861"/>
      <c r="NZ848" s="861"/>
      <c r="OA848" s="861"/>
      <c r="OB848" s="861"/>
      <c r="OC848" s="861"/>
      <c r="OD848" s="861"/>
      <c r="OE848" s="861"/>
      <c r="OF848" s="861"/>
      <c r="OG848" s="861"/>
      <c r="OH848" s="861"/>
      <c r="OI848" s="861"/>
      <c r="OJ848" s="861"/>
      <c r="OK848" s="861"/>
      <c r="OL848" s="861"/>
      <c r="OM848" s="861"/>
      <c r="ON848" s="861"/>
      <c r="OO848" s="861"/>
      <c r="OP848" s="861"/>
      <c r="OQ848" s="861"/>
      <c r="OR848" s="861"/>
      <c r="OS848" s="861"/>
      <c r="OT848" s="861"/>
      <c r="OU848" s="861"/>
      <c r="OV848" s="861"/>
      <c r="OW848" s="861"/>
      <c r="OX848" s="861"/>
      <c r="OY848" s="861"/>
      <c r="OZ848" s="861"/>
      <c r="PA848" s="861"/>
      <c r="PB848" s="861"/>
      <c r="PC848" s="861"/>
      <c r="PD848" s="861"/>
      <c r="PE848" s="861"/>
      <c r="PF848" s="861"/>
      <c r="PG848" s="861"/>
      <c r="PH848" s="861"/>
      <c r="PI848" s="861"/>
      <c r="PJ848" s="861"/>
      <c r="PK848" s="861"/>
      <c r="PL848" s="861"/>
      <c r="PM848" s="861"/>
      <c r="PN848" s="861"/>
      <c r="PO848" s="861"/>
      <c r="PP848" s="861"/>
      <c r="PQ848" s="861"/>
      <c r="PR848" s="861"/>
      <c r="PS848" s="861"/>
      <c r="PT848" s="861"/>
      <c r="PU848" s="861"/>
      <c r="PV848" s="861"/>
      <c r="PW848" s="861"/>
      <c r="PX848" s="861"/>
      <c r="PY848" s="861"/>
      <c r="PZ848" s="861"/>
      <c r="QA848" s="861"/>
      <c r="QB848" s="861"/>
      <c r="QC848" s="861"/>
      <c r="QD848" s="861"/>
      <c r="QE848" s="861"/>
      <c r="QF848" s="861"/>
      <c r="QG848" s="861"/>
      <c r="QH848" s="861"/>
      <c r="QI848" s="861"/>
      <c r="QJ848" s="861"/>
      <c r="QK848" s="861"/>
      <c r="QL848" s="861"/>
      <c r="QM848" s="861"/>
      <c r="QN848" s="861"/>
      <c r="QO848" s="861"/>
      <c r="QP848" s="861"/>
      <c r="QQ848" s="861"/>
      <c r="QR848" s="861"/>
      <c r="QS848" s="861"/>
      <c r="QT848" s="861"/>
      <c r="QU848" s="861"/>
      <c r="QV848" s="861"/>
      <c r="QW848" s="861"/>
      <c r="QX848" s="861"/>
      <c r="QY848" s="861"/>
      <c r="QZ848" s="861"/>
      <c r="RA848" s="861"/>
      <c r="RB848" s="861"/>
      <c r="RC848" s="861"/>
      <c r="RD848" s="861"/>
      <c r="RE848" s="861"/>
      <c r="RF848" s="861"/>
      <c r="RG848" s="861"/>
      <c r="RH848" s="861"/>
      <c r="RI848" s="861"/>
      <c r="RJ848" s="861"/>
      <c r="RK848" s="861"/>
      <c r="RL848" s="861"/>
      <c r="RM848" s="861"/>
      <c r="RN848" s="861"/>
      <c r="RO848" s="861"/>
      <c r="RP848" s="861"/>
      <c r="RQ848" s="861"/>
      <c r="RR848" s="861"/>
      <c r="RS848" s="861"/>
      <c r="RT848" s="861"/>
      <c r="RU848" s="861"/>
      <c r="RV848" s="861"/>
      <c r="RW848" s="861"/>
      <c r="RX848" s="861"/>
      <c r="RY848" s="861"/>
      <c r="RZ848" s="861"/>
      <c r="SA848" s="861"/>
      <c r="SB848" s="861"/>
      <c r="SC848" s="861"/>
      <c r="SD848" s="861"/>
      <c r="SE848" s="861"/>
      <c r="SF848" s="861"/>
      <c r="SG848" s="861"/>
      <c r="SH848" s="861"/>
      <c r="SI848" s="861"/>
      <c r="SJ848" s="861"/>
      <c r="SK848" s="861"/>
      <c r="SL848" s="861"/>
      <c r="SM848" s="861"/>
      <c r="SN848" s="861"/>
      <c r="SO848" s="861"/>
      <c r="SP848" s="861"/>
      <c r="SQ848" s="861"/>
      <c r="SR848" s="861"/>
      <c r="SS848" s="861"/>
      <c r="ST848" s="861"/>
      <c r="SU848" s="861"/>
      <c r="SV848" s="861"/>
      <c r="SW848" s="861"/>
      <c r="SX848" s="861"/>
      <c r="SY848" s="861"/>
      <c r="SZ848" s="861"/>
      <c r="TA848" s="861"/>
      <c r="TB848" s="861"/>
      <c r="TC848" s="861"/>
      <c r="TD848" s="861"/>
      <c r="TE848" s="861"/>
      <c r="TF848" s="861"/>
      <c r="TG848" s="861"/>
      <c r="TH848" s="861"/>
      <c r="TI848" s="861"/>
      <c r="TJ848" s="861"/>
      <c r="TK848" s="861"/>
      <c r="TL848" s="861"/>
      <c r="TM848" s="861"/>
      <c r="TN848" s="861"/>
      <c r="TO848" s="861"/>
      <c r="TP848" s="861"/>
      <c r="TQ848" s="861"/>
      <c r="TR848" s="861"/>
      <c r="TS848" s="861"/>
      <c r="TT848" s="861"/>
      <c r="TU848" s="861"/>
      <c r="TV848" s="861"/>
      <c r="TW848" s="861"/>
      <c r="TX848" s="861"/>
      <c r="TY848" s="861"/>
      <c r="TZ848" s="861"/>
      <c r="UA848" s="861"/>
      <c r="UB848" s="861"/>
      <c r="UC848" s="861"/>
      <c r="UD848" s="861"/>
      <c r="UE848" s="861"/>
      <c r="UF848" s="861"/>
      <c r="UG848" s="862"/>
    </row>
    <row r="849" spans="1:553" s="863" customFormat="1" ht="33" customHeight="1">
      <c r="A849" s="356"/>
      <c r="B849" s="356"/>
      <c r="C849" s="673" t="s">
        <v>23</v>
      </c>
      <c r="D849" s="397">
        <v>1</v>
      </c>
      <c r="E849" s="397">
        <v>335</v>
      </c>
      <c r="F849" s="673"/>
      <c r="G849" s="674" t="s">
        <v>33</v>
      </c>
      <c r="H849" s="675"/>
      <c r="I849" s="490">
        <v>692.2</v>
      </c>
      <c r="J849" s="797">
        <v>72000</v>
      </c>
      <c r="K849" s="857">
        <v>3</v>
      </c>
      <c r="L849" s="481">
        <f t="shared" si="127"/>
        <v>149515200</v>
      </c>
      <c r="M849" s="356"/>
      <c r="N849" s="356"/>
      <c r="O849" s="356"/>
      <c r="P849" s="356"/>
      <c r="Q849" s="610"/>
      <c r="R849" s="1452"/>
      <c r="S849" s="308"/>
      <c r="T849" s="308"/>
      <c r="U849" s="308"/>
      <c r="V849" s="308"/>
      <c r="W849" s="308"/>
      <c r="X849" s="308"/>
      <c r="Y849" s="308"/>
      <c r="Z849" s="604"/>
      <c r="AA849" s="308"/>
      <c r="AB849" s="308"/>
      <c r="AC849" s="449"/>
      <c r="AD849" s="449"/>
      <c r="AE849" s="449"/>
      <c r="AF849" s="449"/>
      <c r="AG849" s="449"/>
      <c r="AH849" s="449"/>
      <c r="AI849" s="449"/>
      <c r="AJ849" s="449"/>
      <c r="AK849" s="452"/>
      <c r="AL849" s="351"/>
      <c r="AM849" s="43"/>
      <c r="AN849" s="43"/>
      <c r="AO849" s="43"/>
      <c r="AP849" s="43"/>
      <c r="AQ849" s="43"/>
      <c r="AR849" s="43"/>
      <c r="AS849" s="43"/>
      <c r="AT849" s="43"/>
      <c r="AU849" s="43"/>
      <c r="AV849" s="43"/>
      <c r="AW849" s="43"/>
      <c r="AX849" s="43"/>
      <c r="AY849" s="43"/>
      <c r="AZ849" s="43"/>
      <c r="BA849" s="43"/>
      <c r="BB849" s="43"/>
      <c r="BC849" s="43"/>
      <c r="BD849" s="43"/>
      <c r="BE849" s="43"/>
      <c r="BF849" s="43"/>
      <c r="BG849" s="43"/>
      <c r="BH849" s="43"/>
      <c r="BI849" s="43"/>
      <c r="BJ849" s="43"/>
      <c r="BK849" s="43"/>
      <c r="BL849" s="43"/>
      <c r="BM849" s="43"/>
      <c r="BN849" s="43"/>
      <c r="BO849" s="43"/>
      <c r="BP849" s="861"/>
      <c r="BQ849" s="861"/>
      <c r="BR849" s="861"/>
      <c r="BS849" s="861"/>
      <c r="BT849" s="861"/>
      <c r="BU849" s="861"/>
      <c r="BV849" s="861"/>
      <c r="BW849" s="861"/>
      <c r="BX849" s="861"/>
      <c r="BY849" s="861"/>
      <c r="BZ849" s="861"/>
      <c r="CA849" s="861"/>
      <c r="CB849" s="861"/>
      <c r="CC849" s="861"/>
      <c r="CD849" s="861"/>
      <c r="CE849" s="861"/>
      <c r="CF849" s="861"/>
      <c r="CG849" s="861"/>
      <c r="CH849" s="861"/>
      <c r="CI849" s="861"/>
      <c r="CJ849" s="861"/>
      <c r="CK849" s="861"/>
      <c r="CL849" s="861"/>
      <c r="CM849" s="861"/>
      <c r="CN849" s="861"/>
      <c r="CO849" s="861"/>
      <c r="CP849" s="861"/>
      <c r="CQ849" s="861"/>
      <c r="CR849" s="861"/>
      <c r="CS849" s="861"/>
      <c r="CT849" s="861"/>
      <c r="CU849" s="861"/>
      <c r="CV849" s="861"/>
      <c r="CW849" s="861"/>
      <c r="CX849" s="861"/>
      <c r="CY849" s="861"/>
      <c r="CZ849" s="861"/>
      <c r="DA849" s="861"/>
      <c r="DB849" s="861"/>
      <c r="DC849" s="861"/>
      <c r="DD849" s="861"/>
      <c r="DE849" s="861"/>
      <c r="DF849" s="861"/>
      <c r="DG849" s="861"/>
      <c r="DH849" s="861"/>
      <c r="DI849" s="861"/>
      <c r="DJ849" s="861"/>
      <c r="DK849" s="861"/>
      <c r="DL849" s="861"/>
      <c r="DM849" s="861"/>
      <c r="DN849" s="861"/>
      <c r="DO849" s="861"/>
      <c r="DP849" s="861"/>
      <c r="DQ849" s="861"/>
      <c r="DR849" s="861"/>
      <c r="DS849" s="861"/>
      <c r="DT849" s="861"/>
      <c r="DU849" s="861"/>
      <c r="DV849" s="861"/>
      <c r="DW849" s="861"/>
      <c r="DX849" s="861"/>
      <c r="DY849" s="861"/>
      <c r="DZ849" s="861"/>
      <c r="EA849" s="861"/>
      <c r="EB849" s="861"/>
      <c r="EC849" s="861"/>
      <c r="ED849" s="861"/>
      <c r="EE849" s="861"/>
      <c r="EF849" s="861"/>
      <c r="EG849" s="861"/>
      <c r="EH849" s="861"/>
      <c r="EI849" s="861"/>
      <c r="EJ849" s="861"/>
      <c r="EK849" s="861"/>
      <c r="EL849" s="861"/>
      <c r="EM849" s="861"/>
      <c r="EN849" s="861"/>
      <c r="EO849" s="861"/>
      <c r="EP849" s="861"/>
      <c r="EQ849" s="861"/>
      <c r="ER849" s="861"/>
      <c r="ES849" s="861"/>
      <c r="ET849" s="861"/>
      <c r="EU849" s="861"/>
      <c r="EV849" s="861"/>
      <c r="EW849" s="861"/>
      <c r="EX849" s="861"/>
      <c r="EY849" s="861"/>
      <c r="EZ849" s="861"/>
      <c r="FA849" s="861"/>
      <c r="FB849" s="861"/>
      <c r="FC849" s="861"/>
      <c r="FD849" s="861"/>
      <c r="FE849" s="861"/>
      <c r="FF849" s="861"/>
      <c r="FG849" s="861"/>
      <c r="FH849" s="861"/>
      <c r="FI849" s="861"/>
      <c r="FJ849" s="861"/>
      <c r="FK849" s="861"/>
      <c r="FL849" s="861"/>
      <c r="FM849" s="861"/>
      <c r="FN849" s="861"/>
      <c r="FO849" s="861"/>
      <c r="FP849" s="861"/>
      <c r="FQ849" s="861"/>
      <c r="FR849" s="861"/>
      <c r="FS849" s="861"/>
      <c r="FT849" s="861"/>
      <c r="FU849" s="861"/>
      <c r="FV849" s="861"/>
      <c r="FW849" s="861"/>
      <c r="FX849" s="861"/>
      <c r="FY849" s="861"/>
      <c r="FZ849" s="861"/>
      <c r="GA849" s="861"/>
      <c r="GB849" s="861"/>
      <c r="GC849" s="861"/>
      <c r="GD849" s="861"/>
      <c r="GE849" s="861"/>
      <c r="GF849" s="861"/>
      <c r="GG849" s="861"/>
      <c r="GH849" s="861"/>
      <c r="GI849" s="861"/>
      <c r="GJ849" s="861"/>
      <c r="GK849" s="861"/>
      <c r="GL849" s="861"/>
      <c r="GM849" s="861"/>
      <c r="GN849" s="861"/>
      <c r="GO849" s="861"/>
      <c r="GP849" s="861"/>
      <c r="GQ849" s="861"/>
      <c r="GR849" s="861"/>
      <c r="GS849" s="861"/>
      <c r="GT849" s="861"/>
      <c r="GU849" s="861"/>
      <c r="GV849" s="861"/>
      <c r="GW849" s="861"/>
      <c r="GX849" s="861"/>
      <c r="GY849" s="861"/>
      <c r="GZ849" s="861"/>
      <c r="HA849" s="861"/>
      <c r="HB849" s="861"/>
      <c r="HC849" s="861"/>
      <c r="HD849" s="861"/>
      <c r="HE849" s="861"/>
      <c r="HF849" s="861"/>
      <c r="HG849" s="861"/>
      <c r="HH849" s="861"/>
      <c r="HI849" s="861"/>
      <c r="HJ849" s="861"/>
      <c r="HK849" s="861"/>
      <c r="HL849" s="861"/>
      <c r="HM849" s="861"/>
      <c r="HN849" s="861"/>
      <c r="HO849" s="861"/>
      <c r="HP849" s="861"/>
      <c r="HQ849" s="861"/>
      <c r="HR849" s="861"/>
      <c r="HS849" s="861"/>
      <c r="HT849" s="861"/>
      <c r="HU849" s="861"/>
      <c r="HV849" s="861"/>
      <c r="HW849" s="861"/>
      <c r="HX849" s="861"/>
      <c r="HY849" s="861"/>
      <c r="HZ849" s="861"/>
      <c r="IA849" s="861"/>
      <c r="IB849" s="861"/>
      <c r="IC849" s="861"/>
      <c r="ID849" s="861"/>
      <c r="IE849" s="861"/>
      <c r="IF849" s="861"/>
      <c r="IG849" s="861"/>
      <c r="IH849" s="861"/>
      <c r="II849" s="861"/>
      <c r="IJ849" s="861"/>
      <c r="IK849" s="861"/>
      <c r="IL849" s="861"/>
      <c r="IM849" s="861"/>
      <c r="IN849" s="861"/>
      <c r="IO849" s="861"/>
      <c r="IP849" s="861"/>
      <c r="IQ849" s="861"/>
      <c r="IR849" s="861"/>
      <c r="IS849" s="861"/>
      <c r="IT849" s="861"/>
      <c r="IU849" s="861"/>
      <c r="IV849" s="861"/>
      <c r="IW849" s="861"/>
      <c r="IX849" s="861"/>
      <c r="IY849" s="861"/>
      <c r="IZ849" s="861"/>
      <c r="JA849" s="861"/>
      <c r="JB849" s="861"/>
      <c r="JC849" s="861"/>
      <c r="JD849" s="861"/>
      <c r="JE849" s="861"/>
      <c r="JF849" s="861"/>
      <c r="JG849" s="861"/>
      <c r="JH849" s="861"/>
      <c r="JI849" s="861"/>
      <c r="JJ849" s="861"/>
      <c r="JK849" s="861"/>
      <c r="JL849" s="861"/>
      <c r="JM849" s="861"/>
      <c r="JN849" s="861"/>
      <c r="JO849" s="861"/>
      <c r="JP849" s="861"/>
      <c r="JQ849" s="861"/>
      <c r="JR849" s="861"/>
      <c r="JS849" s="861"/>
      <c r="JT849" s="861"/>
      <c r="JU849" s="861"/>
      <c r="JV849" s="861"/>
      <c r="JW849" s="861"/>
      <c r="JX849" s="861"/>
      <c r="JY849" s="861"/>
      <c r="JZ849" s="861"/>
      <c r="KA849" s="861"/>
      <c r="KB849" s="861"/>
      <c r="KC849" s="861"/>
      <c r="KD849" s="861"/>
      <c r="KE849" s="861"/>
      <c r="KF849" s="861"/>
      <c r="KG849" s="861"/>
      <c r="KH849" s="861"/>
      <c r="KI849" s="861"/>
      <c r="KJ849" s="861"/>
      <c r="KK849" s="861"/>
      <c r="KL849" s="861"/>
      <c r="KM849" s="861"/>
      <c r="KN849" s="861"/>
      <c r="KO849" s="861"/>
      <c r="KP849" s="861"/>
      <c r="KQ849" s="861"/>
      <c r="KR849" s="861"/>
      <c r="KS849" s="861"/>
      <c r="KT849" s="861"/>
      <c r="KU849" s="861"/>
      <c r="KV849" s="861"/>
      <c r="KW849" s="861"/>
      <c r="KX849" s="861"/>
      <c r="KY849" s="861"/>
      <c r="KZ849" s="861"/>
      <c r="LA849" s="861"/>
      <c r="LB849" s="861"/>
      <c r="LC849" s="861"/>
      <c r="LD849" s="861"/>
      <c r="LE849" s="861"/>
      <c r="LF849" s="861"/>
      <c r="LG849" s="861"/>
      <c r="LH849" s="861"/>
      <c r="LI849" s="861"/>
      <c r="LJ849" s="861"/>
      <c r="LK849" s="861"/>
      <c r="LL849" s="861"/>
      <c r="LM849" s="861"/>
      <c r="LN849" s="861"/>
      <c r="LO849" s="861"/>
      <c r="LP849" s="861"/>
      <c r="LQ849" s="861"/>
      <c r="LR849" s="861"/>
      <c r="LS849" s="861"/>
      <c r="LT849" s="861"/>
      <c r="LU849" s="861"/>
      <c r="LV849" s="861"/>
      <c r="LW849" s="861"/>
      <c r="LX849" s="861"/>
      <c r="LY849" s="861"/>
      <c r="LZ849" s="861"/>
      <c r="MA849" s="861"/>
      <c r="MB849" s="861"/>
      <c r="MC849" s="861"/>
      <c r="MD849" s="861"/>
      <c r="ME849" s="861"/>
      <c r="MF849" s="861"/>
      <c r="MG849" s="861"/>
      <c r="MH849" s="861"/>
      <c r="MI849" s="861"/>
      <c r="MJ849" s="861"/>
      <c r="MK849" s="861"/>
      <c r="ML849" s="861"/>
      <c r="MM849" s="861"/>
      <c r="MN849" s="861"/>
      <c r="MO849" s="861"/>
      <c r="MP849" s="861"/>
      <c r="MQ849" s="861"/>
      <c r="MR849" s="861"/>
      <c r="MS849" s="861"/>
      <c r="MT849" s="861"/>
      <c r="MU849" s="861"/>
      <c r="MV849" s="861"/>
      <c r="MW849" s="861"/>
      <c r="MX849" s="861"/>
      <c r="MY849" s="861"/>
      <c r="MZ849" s="861"/>
      <c r="NA849" s="861"/>
      <c r="NB849" s="861"/>
      <c r="NC849" s="861"/>
      <c r="ND849" s="861"/>
      <c r="NE849" s="861"/>
      <c r="NF849" s="861"/>
      <c r="NG849" s="861"/>
      <c r="NH849" s="861"/>
      <c r="NI849" s="861"/>
      <c r="NJ849" s="861"/>
      <c r="NK849" s="861"/>
      <c r="NL849" s="861"/>
      <c r="NM849" s="861"/>
      <c r="NN849" s="861"/>
      <c r="NO849" s="861"/>
      <c r="NP849" s="861"/>
      <c r="NQ849" s="861"/>
      <c r="NR849" s="861"/>
      <c r="NS849" s="861"/>
      <c r="NT849" s="861"/>
      <c r="NU849" s="861"/>
      <c r="NV849" s="861"/>
      <c r="NW849" s="861"/>
      <c r="NX849" s="861"/>
      <c r="NY849" s="861"/>
      <c r="NZ849" s="861"/>
      <c r="OA849" s="861"/>
      <c r="OB849" s="861"/>
      <c r="OC849" s="861"/>
      <c r="OD849" s="861"/>
      <c r="OE849" s="861"/>
      <c r="OF849" s="861"/>
      <c r="OG849" s="861"/>
      <c r="OH849" s="861"/>
      <c r="OI849" s="861"/>
      <c r="OJ849" s="861"/>
      <c r="OK849" s="861"/>
      <c r="OL849" s="861"/>
      <c r="OM849" s="861"/>
      <c r="ON849" s="861"/>
      <c r="OO849" s="861"/>
      <c r="OP849" s="861"/>
      <c r="OQ849" s="861"/>
      <c r="OR849" s="861"/>
      <c r="OS849" s="861"/>
      <c r="OT849" s="861"/>
      <c r="OU849" s="861"/>
      <c r="OV849" s="861"/>
      <c r="OW849" s="861"/>
      <c r="OX849" s="861"/>
      <c r="OY849" s="861"/>
      <c r="OZ849" s="861"/>
      <c r="PA849" s="861"/>
      <c r="PB849" s="861"/>
      <c r="PC849" s="861"/>
      <c r="PD849" s="861"/>
      <c r="PE849" s="861"/>
      <c r="PF849" s="861"/>
      <c r="PG849" s="861"/>
      <c r="PH849" s="861"/>
      <c r="PI849" s="861"/>
      <c r="PJ849" s="861"/>
      <c r="PK849" s="861"/>
      <c r="PL849" s="861"/>
      <c r="PM849" s="861"/>
      <c r="PN849" s="861"/>
      <c r="PO849" s="861"/>
      <c r="PP849" s="861"/>
      <c r="PQ849" s="861"/>
      <c r="PR849" s="861"/>
      <c r="PS849" s="861"/>
      <c r="PT849" s="861"/>
      <c r="PU849" s="861"/>
      <c r="PV849" s="861"/>
      <c r="PW849" s="861"/>
      <c r="PX849" s="861"/>
      <c r="PY849" s="861"/>
      <c r="PZ849" s="861"/>
      <c r="QA849" s="861"/>
      <c r="QB849" s="861"/>
      <c r="QC849" s="861"/>
      <c r="QD849" s="861"/>
      <c r="QE849" s="861"/>
      <c r="QF849" s="861"/>
      <c r="QG849" s="861"/>
      <c r="QH849" s="861"/>
      <c r="QI849" s="861"/>
      <c r="QJ849" s="861"/>
      <c r="QK849" s="861"/>
      <c r="QL849" s="861"/>
      <c r="QM849" s="861"/>
      <c r="QN849" s="861"/>
      <c r="QO849" s="861"/>
      <c r="QP849" s="861"/>
      <c r="QQ849" s="861"/>
      <c r="QR849" s="861"/>
      <c r="QS849" s="861"/>
      <c r="QT849" s="861"/>
      <c r="QU849" s="861"/>
      <c r="QV849" s="861"/>
      <c r="QW849" s="861"/>
      <c r="QX849" s="861"/>
      <c r="QY849" s="861"/>
      <c r="QZ849" s="861"/>
      <c r="RA849" s="861"/>
      <c r="RB849" s="861"/>
      <c r="RC849" s="861"/>
      <c r="RD849" s="861"/>
      <c r="RE849" s="861"/>
      <c r="RF849" s="861"/>
      <c r="RG849" s="861"/>
      <c r="RH849" s="861"/>
      <c r="RI849" s="861"/>
      <c r="RJ849" s="861"/>
      <c r="RK849" s="861"/>
      <c r="RL849" s="861"/>
      <c r="RM849" s="861"/>
      <c r="RN849" s="861"/>
      <c r="RO849" s="861"/>
      <c r="RP849" s="861"/>
      <c r="RQ849" s="861"/>
      <c r="RR849" s="861"/>
      <c r="RS849" s="861"/>
      <c r="RT849" s="861"/>
      <c r="RU849" s="861"/>
      <c r="RV849" s="861"/>
      <c r="RW849" s="861"/>
      <c r="RX849" s="861"/>
      <c r="RY849" s="861"/>
      <c r="RZ849" s="861"/>
      <c r="SA849" s="861"/>
      <c r="SB849" s="861"/>
      <c r="SC849" s="861"/>
      <c r="SD849" s="861"/>
      <c r="SE849" s="861"/>
      <c r="SF849" s="861"/>
      <c r="SG849" s="861"/>
      <c r="SH849" s="861"/>
      <c r="SI849" s="861"/>
      <c r="SJ849" s="861"/>
      <c r="SK849" s="861"/>
      <c r="SL849" s="861"/>
      <c r="SM849" s="861"/>
      <c r="SN849" s="861"/>
      <c r="SO849" s="861"/>
      <c r="SP849" s="861"/>
      <c r="SQ849" s="861"/>
      <c r="SR849" s="861"/>
      <c r="SS849" s="861"/>
      <c r="ST849" s="861"/>
      <c r="SU849" s="861"/>
      <c r="SV849" s="861"/>
      <c r="SW849" s="861"/>
      <c r="SX849" s="861"/>
      <c r="SY849" s="861"/>
      <c r="SZ849" s="861"/>
      <c r="TA849" s="861"/>
      <c r="TB849" s="861"/>
      <c r="TC849" s="861"/>
      <c r="TD849" s="861"/>
      <c r="TE849" s="861"/>
      <c r="TF849" s="861"/>
      <c r="TG849" s="861"/>
      <c r="TH849" s="861"/>
      <c r="TI849" s="861"/>
      <c r="TJ849" s="861"/>
      <c r="TK849" s="861"/>
      <c r="TL849" s="861"/>
      <c r="TM849" s="861"/>
      <c r="TN849" s="861"/>
      <c r="TO849" s="861"/>
      <c r="TP849" s="861"/>
      <c r="TQ849" s="861"/>
      <c r="TR849" s="861"/>
      <c r="TS849" s="861"/>
      <c r="TT849" s="861"/>
      <c r="TU849" s="861"/>
      <c r="TV849" s="861"/>
      <c r="TW849" s="861"/>
      <c r="TX849" s="861"/>
      <c r="TY849" s="861"/>
      <c r="TZ849" s="861"/>
      <c r="UA849" s="861"/>
      <c r="UB849" s="861"/>
      <c r="UC849" s="861"/>
      <c r="UD849" s="861"/>
      <c r="UE849" s="861"/>
      <c r="UF849" s="861"/>
      <c r="UG849" s="862"/>
    </row>
    <row r="850" spans="1:553" s="863" customFormat="1" ht="33" customHeight="1">
      <c r="A850" s="356"/>
      <c r="B850" s="356"/>
      <c r="C850" s="673" t="s">
        <v>26</v>
      </c>
      <c r="D850" s="397">
        <v>2</v>
      </c>
      <c r="E850" s="397">
        <v>5</v>
      </c>
      <c r="F850" s="673"/>
      <c r="G850" s="674" t="s">
        <v>33</v>
      </c>
      <c r="H850" s="675"/>
      <c r="I850" s="490">
        <v>3093.8</v>
      </c>
      <c r="J850" s="797">
        <v>53000</v>
      </c>
      <c r="K850" s="857">
        <v>1</v>
      </c>
      <c r="L850" s="481">
        <f t="shared" si="127"/>
        <v>163971400</v>
      </c>
      <c r="M850" s="356"/>
      <c r="N850" s="356"/>
      <c r="O850" s="356"/>
      <c r="P850" s="356"/>
      <c r="Q850" s="610"/>
      <c r="R850" s="1452"/>
      <c r="S850" s="308"/>
      <c r="T850" s="308"/>
      <c r="U850" s="308"/>
      <c r="V850" s="308"/>
      <c r="W850" s="308"/>
      <c r="X850" s="308"/>
      <c r="Y850" s="308"/>
      <c r="Z850" s="604"/>
      <c r="AA850" s="308"/>
      <c r="AB850" s="308"/>
      <c r="AC850" s="449"/>
      <c r="AD850" s="449"/>
      <c r="AE850" s="449"/>
      <c r="AF850" s="449"/>
      <c r="AG850" s="449"/>
      <c r="AH850" s="449"/>
      <c r="AI850" s="449"/>
      <c r="AJ850" s="449"/>
      <c r="AK850" s="452"/>
      <c r="AL850" s="351"/>
      <c r="AM850" s="43"/>
      <c r="AN850" s="43"/>
      <c r="AO850" s="43"/>
      <c r="AP850" s="43"/>
      <c r="AQ850" s="43"/>
      <c r="AR850" s="43"/>
      <c r="AS850" s="43"/>
      <c r="AT850" s="43"/>
      <c r="AU850" s="43"/>
      <c r="AV850" s="43"/>
      <c r="AW850" s="43"/>
      <c r="AX850" s="43"/>
      <c r="AY850" s="43"/>
      <c r="AZ850" s="43"/>
      <c r="BA850" s="43"/>
      <c r="BB850" s="43"/>
      <c r="BC850" s="43"/>
      <c r="BD850" s="43"/>
      <c r="BE850" s="43"/>
      <c r="BF850" s="43"/>
      <c r="BG850" s="43"/>
      <c r="BH850" s="43"/>
      <c r="BI850" s="43"/>
      <c r="BJ850" s="43"/>
      <c r="BK850" s="43"/>
      <c r="BL850" s="43"/>
      <c r="BM850" s="43"/>
      <c r="BN850" s="43"/>
      <c r="BO850" s="43"/>
      <c r="BP850" s="861"/>
      <c r="BQ850" s="861"/>
      <c r="BR850" s="861"/>
      <c r="BS850" s="861"/>
      <c r="BT850" s="861"/>
      <c r="BU850" s="861"/>
      <c r="BV850" s="861"/>
      <c r="BW850" s="861"/>
      <c r="BX850" s="861"/>
      <c r="BY850" s="861"/>
      <c r="BZ850" s="861"/>
      <c r="CA850" s="861"/>
      <c r="CB850" s="861"/>
      <c r="CC850" s="861"/>
      <c r="CD850" s="861"/>
      <c r="CE850" s="861"/>
      <c r="CF850" s="861"/>
      <c r="CG850" s="861"/>
      <c r="CH850" s="861"/>
      <c r="CI850" s="861"/>
      <c r="CJ850" s="861"/>
      <c r="CK850" s="861"/>
      <c r="CL850" s="861"/>
      <c r="CM850" s="861"/>
      <c r="CN850" s="861"/>
      <c r="CO850" s="861"/>
      <c r="CP850" s="861"/>
      <c r="CQ850" s="861"/>
      <c r="CR850" s="861"/>
      <c r="CS850" s="861"/>
      <c r="CT850" s="861"/>
      <c r="CU850" s="861"/>
      <c r="CV850" s="861"/>
      <c r="CW850" s="861"/>
      <c r="CX850" s="861"/>
      <c r="CY850" s="861"/>
      <c r="CZ850" s="861"/>
      <c r="DA850" s="861"/>
      <c r="DB850" s="861"/>
      <c r="DC850" s="861"/>
      <c r="DD850" s="861"/>
      <c r="DE850" s="861"/>
      <c r="DF850" s="861"/>
      <c r="DG850" s="861"/>
      <c r="DH850" s="861"/>
      <c r="DI850" s="861"/>
      <c r="DJ850" s="861"/>
      <c r="DK850" s="861"/>
      <c r="DL850" s="861"/>
      <c r="DM850" s="861"/>
      <c r="DN850" s="861"/>
      <c r="DO850" s="861"/>
      <c r="DP850" s="861"/>
      <c r="DQ850" s="861"/>
      <c r="DR850" s="861"/>
      <c r="DS850" s="861"/>
      <c r="DT850" s="861"/>
      <c r="DU850" s="861"/>
      <c r="DV850" s="861"/>
      <c r="DW850" s="861"/>
      <c r="DX850" s="861"/>
      <c r="DY850" s="861"/>
      <c r="DZ850" s="861"/>
      <c r="EA850" s="861"/>
      <c r="EB850" s="861"/>
      <c r="EC850" s="861"/>
      <c r="ED850" s="861"/>
      <c r="EE850" s="861"/>
      <c r="EF850" s="861"/>
      <c r="EG850" s="861"/>
      <c r="EH850" s="861"/>
      <c r="EI850" s="861"/>
      <c r="EJ850" s="861"/>
      <c r="EK850" s="861"/>
      <c r="EL850" s="861"/>
      <c r="EM850" s="861"/>
      <c r="EN850" s="861"/>
      <c r="EO850" s="861"/>
      <c r="EP850" s="861"/>
      <c r="EQ850" s="861"/>
      <c r="ER850" s="861"/>
      <c r="ES850" s="861"/>
      <c r="ET850" s="861"/>
      <c r="EU850" s="861"/>
      <c r="EV850" s="861"/>
      <c r="EW850" s="861"/>
      <c r="EX850" s="861"/>
      <c r="EY850" s="861"/>
      <c r="EZ850" s="861"/>
      <c r="FA850" s="861"/>
      <c r="FB850" s="861"/>
      <c r="FC850" s="861"/>
      <c r="FD850" s="861"/>
      <c r="FE850" s="861"/>
      <c r="FF850" s="861"/>
      <c r="FG850" s="861"/>
      <c r="FH850" s="861"/>
      <c r="FI850" s="861"/>
      <c r="FJ850" s="861"/>
      <c r="FK850" s="861"/>
      <c r="FL850" s="861"/>
      <c r="FM850" s="861"/>
      <c r="FN850" s="861"/>
      <c r="FO850" s="861"/>
      <c r="FP850" s="861"/>
      <c r="FQ850" s="861"/>
      <c r="FR850" s="861"/>
      <c r="FS850" s="861"/>
      <c r="FT850" s="861"/>
      <c r="FU850" s="861"/>
      <c r="FV850" s="861"/>
      <c r="FW850" s="861"/>
      <c r="FX850" s="861"/>
      <c r="FY850" s="861"/>
      <c r="FZ850" s="861"/>
      <c r="GA850" s="861"/>
      <c r="GB850" s="861"/>
      <c r="GC850" s="861"/>
      <c r="GD850" s="861"/>
      <c r="GE850" s="861"/>
      <c r="GF850" s="861"/>
      <c r="GG850" s="861"/>
      <c r="GH850" s="861"/>
      <c r="GI850" s="861"/>
      <c r="GJ850" s="861"/>
      <c r="GK850" s="861"/>
      <c r="GL850" s="861"/>
      <c r="GM850" s="861"/>
      <c r="GN850" s="861"/>
      <c r="GO850" s="861"/>
      <c r="GP850" s="861"/>
      <c r="GQ850" s="861"/>
      <c r="GR850" s="861"/>
      <c r="GS850" s="861"/>
      <c r="GT850" s="861"/>
      <c r="GU850" s="861"/>
      <c r="GV850" s="861"/>
      <c r="GW850" s="861"/>
      <c r="GX850" s="861"/>
      <c r="GY850" s="861"/>
      <c r="GZ850" s="861"/>
      <c r="HA850" s="861"/>
      <c r="HB850" s="861"/>
      <c r="HC850" s="861"/>
      <c r="HD850" s="861"/>
      <c r="HE850" s="861"/>
      <c r="HF850" s="861"/>
      <c r="HG850" s="861"/>
      <c r="HH850" s="861"/>
      <c r="HI850" s="861"/>
      <c r="HJ850" s="861"/>
      <c r="HK850" s="861"/>
      <c r="HL850" s="861"/>
      <c r="HM850" s="861"/>
      <c r="HN850" s="861"/>
      <c r="HO850" s="861"/>
      <c r="HP850" s="861"/>
      <c r="HQ850" s="861"/>
      <c r="HR850" s="861"/>
      <c r="HS850" s="861"/>
      <c r="HT850" s="861"/>
      <c r="HU850" s="861"/>
      <c r="HV850" s="861"/>
      <c r="HW850" s="861"/>
      <c r="HX850" s="861"/>
      <c r="HY850" s="861"/>
      <c r="HZ850" s="861"/>
      <c r="IA850" s="861"/>
      <c r="IB850" s="861"/>
      <c r="IC850" s="861"/>
      <c r="ID850" s="861"/>
      <c r="IE850" s="861"/>
      <c r="IF850" s="861"/>
      <c r="IG850" s="861"/>
      <c r="IH850" s="861"/>
      <c r="II850" s="861"/>
      <c r="IJ850" s="861"/>
      <c r="IK850" s="861"/>
      <c r="IL850" s="861"/>
      <c r="IM850" s="861"/>
      <c r="IN850" s="861"/>
      <c r="IO850" s="861"/>
      <c r="IP850" s="861"/>
      <c r="IQ850" s="861"/>
      <c r="IR850" s="861"/>
      <c r="IS850" s="861"/>
      <c r="IT850" s="861"/>
      <c r="IU850" s="861"/>
      <c r="IV850" s="861"/>
      <c r="IW850" s="861"/>
      <c r="IX850" s="861"/>
      <c r="IY850" s="861"/>
      <c r="IZ850" s="861"/>
      <c r="JA850" s="861"/>
      <c r="JB850" s="861"/>
      <c r="JC850" s="861"/>
      <c r="JD850" s="861"/>
      <c r="JE850" s="861"/>
      <c r="JF850" s="861"/>
      <c r="JG850" s="861"/>
      <c r="JH850" s="861"/>
      <c r="JI850" s="861"/>
      <c r="JJ850" s="861"/>
      <c r="JK850" s="861"/>
      <c r="JL850" s="861"/>
      <c r="JM850" s="861"/>
      <c r="JN850" s="861"/>
      <c r="JO850" s="861"/>
      <c r="JP850" s="861"/>
      <c r="JQ850" s="861"/>
      <c r="JR850" s="861"/>
      <c r="JS850" s="861"/>
      <c r="JT850" s="861"/>
      <c r="JU850" s="861"/>
      <c r="JV850" s="861"/>
      <c r="JW850" s="861"/>
      <c r="JX850" s="861"/>
      <c r="JY850" s="861"/>
      <c r="JZ850" s="861"/>
      <c r="KA850" s="861"/>
      <c r="KB850" s="861"/>
      <c r="KC850" s="861"/>
      <c r="KD850" s="861"/>
      <c r="KE850" s="861"/>
      <c r="KF850" s="861"/>
      <c r="KG850" s="861"/>
      <c r="KH850" s="861"/>
      <c r="KI850" s="861"/>
      <c r="KJ850" s="861"/>
      <c r="KK850" s="861"/>
      <c r="KL850" s="861"/>
      <c r="KM850" s="861"/>
      <c r="KN850" s="861"/>
      <c r="KO850" s="861"/>
      <c r="KP850" s="861"/>
      <c r="KQ850" s="861"/>
      <c r="KR850" s="861"/>
      <c r="KS850" s="861"/>
      <c r="KT850" s="861"/>
      <c r="KU850" s="861"/>
      <c r="KV850" s="861"/>
      <c r="KW850" s="861"/>
      <c r="KX850" s="861"/>
      <c r="KY850" s="861"/>
      <c r="KZ850" s="861"/>
      <c r="LA850" s="861"/>
      <c r="LB850" s="861"/>
      <c r="LC850" s="861"/>
      <c r="LD850" s="861"/>
      <c r="LE850" s="861"/>
      <c r="LF850" s="861"/>
      <c r="LG850" s="861"/>
      <c r="LH850" s="861"/>
      <c r="LI850" s="861"/>
      <c r="LJ850" s="861"/>
      <c r="LK850" s="861"/>
      <c r="LL850" s="861"/>
      <c r="LM850" s="861"/>
      <c r="LN850" s="861"/>
      <c r="LO850" s="861"/>
      <c r="LP850" s="861"/>
      <c r="LQ850" s="861"/>
      <c r="LR850" s="861"/>
      <c r="LS850" s="861"/>
      <c r="LT850" s="861"/>
      <c r="LU850" s="861"/>
      <c r="LV850" s="861"/>
      <c r="LW850" s="861"/>
      <c r="LX850" s="861"/>
      <c r="LY850" s="861"/>
      <c r="LZ850" s="861"/>
      <c r="MA850" s="861"/>
      <c r="MB850" s="861"/>
      <c r="MC850" s="861"/>
      <c r="MD850" s="861"/>
      <c r="ME850" s="861"/>
      <c r="MF850" s="861"/>
      <c r="MG850" s="861"/>
      <c r="MH850" s="861"/>
      <c r="MI850" s="861"/>
      <c r="MJ850" s="861"/>
      <c r="MK850" s="861"/>
      <c r="ML850" s="861"/>
      <c r="MM850" s="861"/>
      <c r="MN850" s="861"/>
      <c r="MO850" s="861"/>
      <c r="MP850" s="861"/>
      <c r="MQ850" s="861"/>
      <c r="MR850" s="861"/>
      <c r="MS850" s="861"/>
      <c r="MT850" s="861"/>
      <c r="MU850" s="861"/>
      <c r="MV850" s="861"/>
      <c r="MW850" s="861"/>
      <c r="MX850" s="861"/>
      <c r="MY850" s="861"/>
      <c r="MZ850" s="861"/>
      <c r="NA850" s="861"/>
      <c r="NB850" s="861"/>
      <c r="NC850" s="861"/>
      <c r="ND850" s="861"/>
      <c r="NE850" s="861"/>
      <c r="NF850" s="861"/>
      <c r="NG850" s="861"/>
      <c r="NH850" s="861"/>
      <c r="NI850" s="861"/>
      <c r="NJ850" s="861"/>
      <c r="NK850" s="861"/>
      <c r="NL850" s="861"/>
      <c r="NM850" s="861"/>
      <c r="NN850" s="861"/>
      <c r="NO850" s="861"/>
      <c r="NP850" s="861"/>
      <c r="NQ850" s="861"/>
      <c r="NR850" s="861"/>
      <c r="NS850" s="861"/>
      <c r="NT850" s="861"/>
      <c r="NU850" s="861"/>
      <c r="NV850" s="861"/>
      <c r="NW850" s="861"/>
      <c r="NX850" s="861"/>
      <c r="NY850" s="861"/>
      <c r="NZ850" s="861"/>
      <c r="OA850" s="861"/>
      <c r="OB850" s="861"/>
      <c r="OC850" s="861"/>
      <c r="OD850" s="861"/>
      <c r="OE850" s="861"/>
      <c r="OF850" s="861"/>
      <c r="OG850" s="861"/>
      <c r="OH850" s="861"/>
      <c r="OI850" s="861"/>
      <c r="OJ850" s="861"/>
      <c r="OK850" s="861"/>
      <c r="OL850" s="861"/>
      <c r="OM850" s="861"/>
      <c r="ON850" s="861"/>
      <c r="OO850" s="861"/>
      <c r="OP850" s="861"/>
      <c r="OQ850" s="861"/>
      <c r="OR850" s="861"/>
      <c r="OS850" s="861"/>
      <c r="OT850" s="861"/>
      <c r="OU850" s="861"/>
      <c r="OV850" s="861"/>
      <c r="OW850" s="861"/>
      <c r="OX850" s="861"/>
      <c r="OY850" s="861"/>
      <c r="OZ850" s="861"/>
      <c r="PA850" s="861"/>
      <c r="PB850" s="861"/>
      <c r="PC850" s="861"/>
      <c r="PD850" s="861"/>
      <c r="PE850" s="861"/>
      <c r="PF850" s="861"/>
      <c r="PG850" s="861"/>
      <c r="PH850" s="861"/>
      <c r="PI850" s="861"/>
      <c r="PJ850" s="861"/>
      <c r="PK850" s="861"/>
      <c r="PL850" s="861"/>
      <c r="PM850" s="861"/>
      <c r="PN850" s="861"/>
      <c r="PO850" s="861"/>
      <c r="PP850" s="861"/>
      <c r="PQ850" s="861"/>
      <c r="PR850" s="861"/>
      <c r="PS850" s="861"/>
      <c r="PT850" s="861"/>
      <c r="PU850" s="861"/>
      <c r="PV850" s="861"/>
      <c r="PW850" s="861"/>
      <c r="PX850" s="861"/>
      <c r="PY850" s="861"/>
      <c r="PZ850" s="861"/>
      <c r="QA850" s="861"/>
      <c r="QB850" s="861"/>
      <c r="QC850" s="861"/>
      <c r="QD850" s="861"/>
      <c r="QE850" s="861"/>
      <c r="QF850" s="861"/>
      <c r="QG850" s="861"/>
      <c r="QH850" s="861"/>
      <c r="QI850" s="861"/>
      <c r="QJ850" s="861"/>
      <c r="QK850" s="861"/>
      <c r="QL850" s="861"/>
      <c r="QM850" s="861"/>
      <c r="QN850" s="861"/>
      <c r="QO850" s="861"/>
      <c r="QP850" s="861"/>
      <c r="QQ850" s="861"/>
      <c r="QR850" s="861"/>
      <c r="QS850" s="861"/>
      <c r="QT850" s="861"/>
      <c r="QU850" s="861"/>
      <c r="QV850" s="861"/>
      <c r="QW850" s="861"/>
      <c r="QX850" s="861"/>
      <c r="QY850" s="861"/>
      <c r="QZ850" s="861"/>
      <c r="RA850" s="861"/>
      <c r="RB850" s="861"/>
      <c r="RC850" s="861"/>
      <c r="RD850" s="861"/>
      <c r="RE850" s="861"/>
      <c r="RF850" s="861"/>
      <c r="RG850" s="861"/>
      <c r="RH850" s="861"/>
      <c r="RI850" s="861"/>
      <c r="RJ850" s="861"/>
      <c r="RK850" s="861"/>
      <c r="RL850" s="861"/>
      <c r="RM850" s="861"/>
      <c r="RN850" s="861"/>
      <c r="RO850" s="861"/>
      <c r="RP850" s="861"/>
      <c r="RQ850" s="861"/>
      <c r="RR850" s="861"/>
      <c r="RS850" s="861"/>
      <c r="RT850" s="861"/>
      <c r="RU850" s="861"/>
      <c r="RV850" s="861"/>
      <c r="RW850" s="861"/>
      <c r="RX850" s="861"/>
      <c r="RY850" s="861"/>
      <c r="RZ850" s="861"/>
      <c r="SA850" s="861"/>
      <c r="SB850" s="861"/>
      <c r="SC850" s="861"/>
      <c r="SD850" s="861"/>
      <c r="SE850" s="861"/>
      <c r="SF850" s="861"/>
      <c r="SG850" s="861"/>
      <c r="SH850" s="861"/>
      <c r="SI850" s="861"/>
      <c r="SJ850" s="861"/>
      <c r="SK850" s="861"/>
      <c r="SL850" s="861"/>
      <c r="SM850" s="861"/>
      <c r="SN850" s="861"/>
      <c r="SO850" s="861"/>
      <c r="SP850" s="861"/>
      <c r="SQ850" s="861"/>
      <c r="SR850" s="861"/>
      <c r="SS850" s="861"/>
      <c r="ST850" s="861"/>
      <c r="SU850" s="861"/>
      <c r="SV850" s="861"/>
      <c r="SW850" s="861"/>
      <c r="SX850" s="861"/>
      <c r="SY850" s="861"/>
      <c r="SZ850" s="861"/>
      <c r="TA850" s="861"/>
      <c r="TB850" s="861"/>
      <c r="TC850" s="861"/>
      <c r="TD850" s="861"/>
      <c r="TE850" s="861"/>
      <c r="TF850" s="861"/>
      <c r="TG850" s="861"/>
      <c r="TH850" s="861"/>
      <c r="TI850" s="861"/>
      <c r="TJ850" s="861"/>
      <c r="TK850" s="861"/>
      <c r="TL850" s="861"/>
      <c r="TM850" s="861"/>
      <c r="TN850" s="861"/>
      <c r="TO850" s="861"/>
      <c r="TP850" s="861"/>
      <c r="TQ850" s="861"/>
      <c r="TR850" s="861"/>
      <c r="TS850" s="861"/>
      <c r="TT850" s="861"/>
      <c r="TU850" s="861"/>
      <c r="TV850" s="861"/>
      <c r="TW850" s="861"/>
      <c r="TX850" s="861"/>
      <c r="TY850" s="861"/>
      <c r="TZ850" s="861"/>
      <c r="UA850" s="861"/>
      <c r="UB850" s="861"/>
      <c r="UC850" s="861"/>
      <c r="UD850" s="861"/>
      <c r="UE850" s="861"/>
      <c r="UF850" s="861"/>
      <c r="UG850" s="862"/>
    </row>
    <row r="851" spans="1:553" s="863" customFormat="1" ht="33" customHeight="1">
      <c r="A851" s="356"/>
      <c r="B851" s="356"/>
      <c r="C851" s="673" t="s">
        <v>69</v>
      </c>
      <c r="D851" s="397">
        <v>2</v>
      </c>
      <c r="E851" s="397">
        <v>21</v>
      </c>
      <c r="F851" s="673"/>
      <c r="G851" s="674" t="s">
        <v>33</v>
      </c>
      <c r="H851" s="675"/>
      <c r="I851" s="490">
        <v>40.200000000000003</v>
      </c>
      <c r="J851" s="797">
        <v>62000</v>
      </c>
      <c r="K851" s="857">
        <v>2.5</v>
      </c>
      <c r="L851" s="481">
        <f t="shared" si="127"/>
        <v>6231000</v>
      </c>
      <c r="M851" s="356"/>
      <c r="N851" s="356"/>
      <c r="O851" s="356"/>
      <c r="P851" s="356"/>
      <c r="Q851" s="610"/>
      <c r="R851" s="1452"/>
      <c r="S851" s="308"/>
      <c r="T851" s="308"/>
      <c r="U851" s="308"/>
      <c r="V851" s="308"/>
      <c r="W851" s="308"/>
      <c r="X851" s="308"/>
      <c r="Y851" s="308"/>
      <c r="Z851" s="604"/>
      <c r="AA851" s="308"/>
      <c r="AB851" s="308"/>
      <c r="AC851" s="449"/>
      <c r="AD851" s="449"/>
      <c r="AE851" s="449"/>
      <c r="AF851" s="449"/>
      <c r="AG851" s="449"/>
      <c r="AH851" s="449"/>
      <c r="AI851" s="449"/>
      <c r="AJ851" s="449"/>
      <c r="AK851" s="452"/>
      <c r="AL851" s="351"/>
      <c r="AM851" s="43"/>
      <c r="AN851" s="43"/>
      <c r="AO851" s="43"/>
      <c r="AP851" s="43"/>
      <c r="AQ851" s="43"/>
      <c r="AR851" s="43"/>
      <c r="AS851" s="43"/>
      <c r="AT851" s="43"/>
      <c r="AU851" s="43"/>
      <c r="AV851" s="43"/>
      <c r="AW851" s="43"/>
      <c r="AX851" s="43"/>
      <c r="AY851" s="43"/>
      <c r="AZ851" s="43"/>
      <c r="BA851" s="43"/>
      <c r="BB851" s="43"/>
      <c r="BC851" s="43"/>
      <c r="BD851" s="43"/>
      <c r="BE851" s="43"/>
      <c r="BF851" s="43"/>
      <c r="BG851" s="43"/>
      <c r="BH851" s="43"/>
      <c r="BI851" s="43"/>
      <c r="BJ851" s="43"/>
      <c r="BK851" s="43"/>
      <c r="BL851" s="43"/>
      <c r="BM851" s="43"/>
      <c r="BN851" s="43"/>
      <c r="BO851" s="43"/>
      <c r="BP851" s="861"/>
      <c r="BQ851" s="861"/>
      <c r="BR851" s="861"/>
      <c r="BS851" s="861"/>
      <c r="BT851" s="861"/>
      <c r="BU851" s="861"/>
      <c r="BV851" s="861"/>
      <c r="BW851" s="861"/>
      <c r="BX851" s="861"/>
      <c r="BY851" s="861"/>
      <c r="BZ851" s="861"/>
      <c r="CA851" s="861"/>
      <c r="CB851" s="861"/>
      <c r="CC851" s="861"/>
      <c r="CD851" s="861"/>
      <c r="CE851" s="861"/>
      <c r="CF851" s="861"/>
      <c r="CG851" s="861"/>
      <c r="CH851" s="861"/>
      <c r="CI851" s="861"/>
      <c r="CJ851" s="861"/>
      <c r="CK851" s="861"/>
      <c r="CL851" s="861"/>
      <c r="CM851" s="861"/>
      <c r="CN851" s="861"/>
      <c r="CO851" s="861"/>
      <c r="CP851" s="861"/>
      <c r="CQ851" s="861"/>
      <c r="CR851" s="861"/>
      <c r="CS851" s="861"/>
      <c r="CT851" s="861"/>
      <c r="CU851" s="861"/>
      <c r="CV851" s="861"/>
      <c r="CW851" s="861"/>
      <c r="CX851" s="861"/>
      <c r="CY851" s="861"/>
      <c r="CZ851" s="861"/>
      <c r="DA851" s="861"/>
      <c r="DB851" s="861"/>
      <c r="DC851" s="861"/>
      <c r="DD851" s="861"/>
      <c r="DE851" s="861"/>
      <c r="DF851" s="861"/>
      <c r="DG851" s="861"/>
      <c r="DH851" s="861"/>
      <c r="DI851" s="861"/>
      <c r="DJ851" s="861"/>
      <c r="DK851" s="861"/>
      <c r="DL851" s="861"/>
      <c r="DM851" s="861"/>
      <c r="DN851" s="861"/>
      <c r="DO851" s="861"/>
      <c r="DP851" s="861"/>
      <c r="DQ851" s="861"/>
      <c r="DR851" s="861"/>
      <c r="DS851" s="861"/>
      <c r="DT851" s="861"/>
      <c r="DU851" s="861"/>
      <c r="DV851" s="861"/>
      <c r="DW851" s="861"/>
      <c r="DX851" s="861"/>
      <c r="DY851" s="861"/>
      <c r="DZ851" s="861"/>
      <c r="EA851" s="861"/>
      <c r="EB851" s="861"/>
      <c r="EC851" s="861"/>
      <c r="ED851" s="861"/>
      <c r="EE851" s="861"/>
      <c r="EF851" s="861"/>
      <c r="EG851" s="861"/>
      <c r="EH851" s="861"/>
      <c r="EI851" s="861"/>
      <c r="EJ851" s="861"/>
      <c r="EK851" s="861"/>
      <c r="EL851" s="861"/>
      <c r="EM851" s="861"/>
      <c r="EN851" s="861"/>
      <c r="EO851" s="861"/>
      <c r="EP851" s="861"/>
      <c r="EQ851" s="861"/>
      <c r="ER851" s="861"/>
      <c r="ES851" s="861"/>
      <c r="ET851" s="861"/>
      <c r="EU851" s="861"/>
      <c r="EV851" s="861"/>
      <c r="EW851" s="861"/>
      <c r="EX851" s="861"/>
      <c r="EY851" s="861"/>
      <c r="EZ851" s="861"/>
      <c r="FA851" s="861"/>
      <c r="FB851" s="861"/>
      <c r="FC851" s="861"/>
      <c r="FD851" s="861"/>
      <c r="FE851" s="861"/>
      <c r="FF851" s="861"/>
      <c r="FG851" s="861"/>
      <c r="FH851" s="861"/>
      <c r="FI851" s="861"/>
      <c r="FJ851" s="861"/>
      <c r="FK851" s="861"/>
      <c r="FL851" s="861"/>
      <c r="FM851" s="861"/>
      <c r="FN851" s="861"/>
      <c r="FO851" s="861"/>
      <c r="FP851" s="861"/>
      <c r="FQ851" s="861"/>
      <c r="FR851" s="861"/>
      <c r="FS851" s="861"/>
      <c r="FT851" s="861"/>
      <c r="FU851" s="861"/>
      <c r="FV851" s="861"/>
      <c r="FW851" s="861"/>
      <c r="FX851" s="861"/>
      <c r="FY851" s="861"/>
      <c r="FZ851" s="861"/>
      <c r="GA851" s="861"/>
      <c r="GB851" s="861"/>
      <c r="GC851" s="861"/>
      <c r="GD851" s="861"/>
      <c r="GE851" s="861"/>
      <c r="GF851" s="861"/>
      <c r="GG851" s="861"/>
      <c r="GH851" s="861"/>
      <c r="GI851" s="861"/>
      <c r="GJ851" s="861"/>
      <c r="GK851" s="861"/>
      <c r="GL851" s="861"/>
      <c r="GM851" s="861"/>
      <c r="GN851" s="861"/>
      <c r="GO851" s="861"/>
      <c r="GP851" s="861"/>
      <c r="GQ851" s="861"/>
      <c r="GR851" s="861"/>
      <c r="GS851" s="861"/>
      <c r="GT851" s="861"/>
      <c r="GU851" s="861"/>
      <c r="GV851" s="861"/>
      <c r="GW851" s="861"/>
      <c r="GX851" s="861"/>
      <c r="GY851" s="861"/>
      <c r="GZ851" s="861"/>
      <c r="HA851" s="861"/>
      <c r="HB851" s="861"/>
      <c r="HC851" s="861"/>
      <c r="HD851" s="861"/>
      <c r="HE851" s="861"/>
      <c r="HF851" s="861"/>
      <c r="HG851" s="861"/>
      <c r="HH851" s="861"/>
      <c r="HI851" s="861"/>
      <c r="HJ851" s="861"/>
      <c r="HK851" s="861"/>
      <c r="HL851" s="861"/>
      <c r="HM851" s="861"/>
      <c r="HN851" s="861"/>
      <c r="HO851" s="861"/>
      <c r="HP851" s="861"/>
      <c r="HQ851" s="861"/>
      <c r="HR851" s="861"/>
      <c r="HS851" s="861"/>
      <c r="HT851" s="861"/>
      <c r="HU851" s="861"/>
      <c r="HV851" s="861"/>
      <c r="HW851" s="861"/>
      <c r="HX851" s="861"/>
      <c r="HY851" s="861"/>
      <c r="HZ851" s="861"/>
      <c r="IA851" s="861"/>
      <c r="IB851" s="861"/>
      <c r="IC851" s="861"/>
      <c r="ID851" s="861"/>
      <c r="IE851" s="861"/>
      <c r="IF851" s="861"/>
      <c r="IG851" s="861"/>
      <c r="IH851" s="861"/>
      <c r="II851" s="861"/>
      <c r="IJ851" s="861"/>
      <c r="IK851" s="861"/>
      <c r="IL851" s="861"/>
      <c r="IM851" s="861"/>
      <c r="IN851" s="861"/>
      <c r="IO851" s="861"/>
      <c r="IP851" s="861"/>
      <c r="IQ851" s="861"/>
      <c r="IR851" s="861"/>
      <c r="IS851" s="861"/>
      <c r="IT851" s="861"/>
      <c r="IU851" s="861"/>
      <c r="IV851" s="861"/>
      <c r="IW851" s="861"/>
      <c r="IX851" s="861"/>
      <c r="IY851" s="861"/>
      <c r="IZ851" s="861"/>
      <c r="JA851" s="861"/>
      <c r="JB851" s="861"/>
      <c r="JC851" s="861"/>
      <c r="JD851" s="861"/>
      <c r="JE851" s="861"/>
      <c r="JF851" s="861"/>
      <c r="JG851" s="861"/>
      <c r="JH851" s="861"/>
      <c r="JI851" s="861"/>
      <c r="JJ851" s="861"/>
      <c r="JK851" s="861"/>
      <c r="JL851" s="861"/>
      <c r="JM851" s="861"/>
      <c r="JN851" s="861"/>
      <c r="JO851" s="861"/>
      <c r="JP851" s="861"/>
      <c r="JQ851" s="861"/>
      <c r="JR851" s="861"/>
      <c r="JS851" s="861"/>
      <c r="JT851" s="861"/>
      <c r="JU851" s="861"/>
      <c r="JV851" s="861"/>
      <c r="JW851" s="861"/>
      <c r="JX851" s="861"/>
      <c r="JY851" s="861"/>
      <c r="JZ851" s="861"/>
      <c r="KA851" s="861"/>
      <c r="KB851" s="861"/>
      <c r="KC851" s="861"/>
      <c r="KD851" s="861"/>
      <c r="KE851" s="861"/>
      <c r="KF851" s="861"/>
      <c r="KG851" s="861"/>
      <c r="KH851" s="861"/>
      <c r="KI851" s="861"/>
      <c r="KJ851" s="861"/>
      <c r="KK851" s="861"/>
      <c r="KL851" s="861"/>
      <c r="KM851" s="861"/>
      <c r="KN851" s="861"/>
      <c r="KO851" s="861"/>
      <c r="KP851" s="861"/>
      <c r="KQ851" s="861"/>
      <c r="KR851" s="861"/>
      <c r="KS851" s="861"/>
      <c r="KT851" s="861"/>
      <c r="KU851" s="861"/>
      <c r="KV851" s="861"/>
      <c r="KW851" s="861"/>
      <c r="KX851" s="861"/>
      <c r="KY851" s="861"/>
      <c r="KZ851" s="861"/>
      <c r="LA851" s="861"/>
      <c r="LB851" s="861"/>
      <c r="LC851" s="861"/>
      <c r="LD851" s="861"/>
      <c r="LE851" s="861"/>
      <c r="LF851" s="861"/>
      <c r="LG851" s="861"/>
      <c r="LH851" s="861"/>
      <c r="LI851" s="861"/>
      <c r="LJ851" s="861"/>
      <c r="LK851" s="861"/>
      <c r="LL851" s="861"/>
      <c r="LM851" s="861"/>
      <c r="LN851" s="861"/>
      <c r="LO851" s="861"/>
      <c r="LP851" s="861"/>
      <c r="LQ851" s="861"/>
      <c r="LR851" s="861"/>
      <c r="LS851" s="861"/>
      <c r="LT851" s="861"/>
      <c r="LU851" s="861"/>
      <c r="LV851" s="861"/>
      <c r="LW851" s="861"/>
      <c r="LX851" s="861"/>
      <c r="LY851" s="861"/>
      <c r="LZ851" s="861"/>
      <c r="MA851" s="861"/>
      <c r="MB851" s="861"/>
      <c r="MC851" s="861"/>
      <c r="MD851" s="861"/>
      <c r="ME851" s="861"/>
      <c r="MF851" s="861"/>
      <c r="MG851" s="861"/>
      <c r="MH851" s="861"/>
      <c r="MI851" s="861"/>
      <c r="MJ851" s="861"/>
      <c r="MK851" s="861"/>
      <c r="ML851" s="861"/>
      <c r="MM851" s="861"/>
      <c r="MN851" s="861"/>
      <c r="MO851" s="861"/>
      <c r="MP851" s="861"/>
      <c r="MQ851" s="861"/>
      <c r="MR851" s="861"/>
      <c r="MS851" s="861"/>
      <c r="MT851" s="861"/>
      <c r="MU851" s="861"/>
      <c r="MV851" s="861"/>
      <c r="MW851" s="861"/>
      <c r="MX851" s="861"/>
      <c r="MY851" s="861"/>
      <c r="MZ851" s="861"/>
      <c r="NA851" s="861"/>
      <c r="NB851" s="861"/>
      <c r="NC851" s="861"/>
      <c r="ND851" s="861"/>
      <c r="NE851" s="861"/>
      <c r="NF851" s="861"/>
      <c r="NG851" s="861"/>
      <c r="NH851" s="861"/>
      <c r="NI851" s="861"/>
      <c r="NJ851" s="861"/>
      <c r="NK851" s="861"/>
      <c r="NL851" s="861"/>
      <c r="NM851" s="861"/>
      <c r="NN851" s="861"/>
      <c r="NO851" s="861"/>
      <c r="NP851" s="861"/>
      <c r="NQ851" s="861"/>
      <c r="NR851" s="861"/>
      <c r="NS851" s="861"/>
      <c r="NT851" s="861"/>
      <c r="NU851" s="861"/>
      <c r="NV851" s="861"/>
      <c r="NW851" s="861"/>
      <c r="NX851" s="861"/>
      <c r="NY851" s="861"/>
      <c r="NZ851" s="861"/>
      <c r="OA851" s="861"/>
      <c r="OB851" s="861"/>
      <c r="OC851" s="861"/>
      <c r="OD851" s="861"/>
      <c r="OE851" s="861"/>
      <c r="OF851" s="861"/>
      <c r="OG851" s="861"/>
      <c r="OH851" s="861"/>
      <c r="OI851" s="861"/>
      <c r="OJ851" s="861"/>
      <c r="OK851" s="861"/>
      <c r="OL851" s="861"/>
      <c r="OM851" s="861"/>
      <c r="ON851" s="861"/>
      <c r="OO851" s="861"/>
      <c r="OP851" s="861"/>
      <c r="OQ851" s="861"/>
      <c r="OR851" s="861"/>
      <c r="OS851" s="861"/>
      <c r="OT851" s="861"/>
      <c r="OU851" s="861"/>
      <c r="OV851" s="861"/>
      <c r="OW851" s="861"/>
      <c r="OX851" s="861"/>
      <c r="OY851" s="861"/>
      <c r="OZ851" s="861"/>
      <c r="PA851" s="861"/>
      <c r="PB851" s="861"/>
      <c r="PC851" s="861"/>
      <c r="PD851" s="861"/>
      <c r="PE851" s="861"/>
      <c r="PF851" s="861"/>
      <c r="PG851" s="861"/>
      <c r="PH851" s="861"/>
      <c r="PI851" s="861"/>
      <c r="PJ851" s="861"/>
      <c r="PK851" s="861"/>
      <c r="PL851" s="861"/>
      <c r="PM851" s="861"/>
      <c r="PN851" s="861"/>
      <c r="PO851" s="861"/>
      <c r="PP851" s="861"/>
      <c r="PQ851" s="861"/>
      <c r="PR851" s="861"/>
      <c r="PS851" s="861"/>
      <c r="PT851" s="861"/>
      <c r="PU851" s="861"/>
      <c r="PV851" s="861"/>
      <c r="PW851" s="861"/>
      <c r="PX851" s="861"/>
      <c r="PY851" s="861"/>
      <c r="PZ851" s="861"/>
      <c r="QA851" s="861"/>
      <c r="QB851" s="861"/>
      <c r="QC851" s="861"/>
      <c r="QD851" s="861"/>
      <c r="QE851" s="861"/>
      <c r="QF851" s="861"/>
      <c r="QG851" s="861"/>
      <c r="QH851" s="861"/>
      <c r="QI851" s="861"/>
      <c r="QJ851" s="861"/>
      <c r="QK851" s="861"/>
      <c r="QL851" s="861"/>
      <c r="QM851" s="861"/>
      <c r="QN851" s="861"/>
      <c r="QO851" s="861"/>
      <c r="QP851" s="861"/>
      <c r="QQ851" s="861"/>
      <c r="QR851" s="861"/>
      <c r="QS851" s="861"/>
      <c r="QT851" s="861"/>
      <c r="QU851" s="861"/>
      <c r="QV851" s="861"/>
      <c r="QW851" s="861"/>
      <c r="QX851" s="861"/>
      <c r="QY851" s="861"/>
      <c r="QZ851" s="861"/>
      <c r="RA851" s="861"/>
      <c r="RB851" s="861"/>
      <c r="RC851" s="861"/>
      <c r="RD851" s="861"/>
      <c r="RE851" s="861"/>
      <c r="RF851" s="861"/>
      <c r="RG851" s="861"/>
      <c r="RH851" s="861"/>
      <c r="RI851" s="861"/>
      <c r="RJ851" s="861"/>
      <c r="RK851" s="861"/>
      <c r="RL851" s="861"/>
      <c r="RM851" s="861"/>
      <c r="RN851" s="861"/>
      <c r="RO851" s="861"/>
      <c r="RP851" s="861"/>
      <c r="RQ851" s="861"/>
      <c r="RR851" s="861"/>
      <c r="RS851" s="861"/>
      <c r="RT851" s="861"/>
      <c r="RU851" s="861"/>
      <c r="RV851" s="861"/>
      <c r="RW851" s="861"/>
      <c r="RX851" s="861"/>
      <c r="RY851" s="861"/>
      <c r="RZ851" s="861"/>
      <c r="SA851" s="861"/>
      <c r="SB851" s="861"/>
      <c r="SC851" s="861"/>
      <c r="SD851" s="861"/>
      <c r="SE851" s="861"/>
      <c r="SF851" s="861"/>
      <c r="SG851" s="861"/>
      <c r="SH851" s="861"/>
      <c r="SI851" s="861"/>
      <c r="SJ851" s="861"/>
      <c r="SK851" s="861"/>
      <c r="SL851" s="861"/>
      <c r="SM851" s="861"/>
      <c r="SN851" s="861"/>
      <c r="SO851" s="861"/>
      <c r="SP851" s="861"/>
      <c r="SQ851" s="861"/>
      <c r="SR851" s="861"/>
      <c r="SS851" s="861"/>
      <c r="ST851" s="861"/>
      <c r="SU851" s="861"/>
      <c r="SV851" s="861"/>
      <c r="SW851" s="861"/>
      <c r="SX851" s="861"/>
      <c r="SY851" s="861"/>
      <c r="SZ851" s="861"/>
      <c r="TA851" s="861"/>
      <c r="TB851" s="861"/>
      <c r="TC851" s="861"/>
      <c r="TD851" s="861"/>
      <c r="TE851" s="861"/>
      <c r="TF851" s="861"/>
      <c r="TG851" s="861"/>
      <c r="TH851" s="861"/>
      <c r="TI851" s="861"/>
      <c r="TJ851" s="861"/>
      <c r="TK851" s="861"/>
      <c r="TL851" s="861"/>
      <c r="TM851" s="861"/>
      <c r="TN851" s="861"/>
      <c r="TO851" s="861"/>
      <c r="TP851" s="861"/>
      <c r="TQ851" s="861"/>
      <c r="TR851" s="861"/>
      <c r="TS851" s="861"/>
      <c r="TT851" s="861"/>
      <c r="TU851" s="861"/>
      <c r="TV851" s="861"/>
      <c r="TW851" s="861"/>
      <c r="TX851" s="861"/>
      <c r="TY851" s="861"/>
      <c r="TZ851" s="861"/>
      <c r="UA851" s="861"/>
      <c r="UB851" s="861"/>
      <c r="UC851" s="861"/>
      <c r="UD851" s="861"/>
      <c r="UE851" s="861"/>
      <c r="UF851" s="861"/>
      <c r="UG851" s="862"/>
    </row>
    <row r="852" spans="1:553" s="863" customFormat="1" ht="33" customHeight="1">
      <c r="A852" s="356"/>
      <c r="B852" s="356"/>
      <c r="C852" s="673" t="s">
        <v>69</v>
      </c>
      <c r="D852" s="397">
        <v>2</v>
      </c>
      <c r="E852" s="397">
        <v>22</v>
      </c>
      <c r="F852" s="673"/>
      <c r="G852" s="674" t="s">
        <v>33</v>
      </c>
      <c r="H852" s="675"/>
      <c r="I852" s="490">
        <v>25.4</v>
      </c>
      <c r="J852" s="797">
        <v>62000</v>
      </c>
      <c r="K852" s="857">
        <v>2.5</v>
      </c>
      <c r="L852" s="481">
        <f t="shared" si="127"/>
        <v>3937000</v>
      </c>
      <c r="M852" s="356"/>
      <c r="N852" s="356"/>
      <c r="O852" s="356"/>
      <c r="P852" s="356"/>
      <c r="Q852" s="610"/>
      <c r="R852" s="1452"/>
      <c r="S852" s="308"/>
      <c r="T852" s="308"/>
      <c r="U852" s="308"/>
      <c r="V852" s="308"/>
      <c r="W852" s="308"/>
      <c r="X852" s="308"/>
      <c r="Y852" s="308"/>
      <c r="Z852" s="604"/>
      <c r="AA852" s="308"/>
      <c r="AB852" s="308"/>
      <c r="AC852" s="449"/>
      <c r="AD852" s="449"/>
      <c r="AE852" s="449"/>
      <c r="AF852" s="449"/>
      <c r="AG852" s="449"/>
      <c r="AH852" s="449"/>
      <c r="AI852" s="449"/>
      <c r="AJ852" s="449"/>
      <c r="AK852" s="452"/>
      <c r="AL852" s="351"/>
      <c r="AM852" s="43"/>
      <c r="AN852" s="43"/>
      <c r="AO852" s="43"/>
      <c r="AP852" s="43"/>
      <c r="AQ852" s="43"/>
      <c r="AR852" s="43"/>
      <c r="AS852" s="43"/>
      <c r="AT852" s="43"/>
      <c r="AU852" s="43"/>
      <c r="AV852" s="43"/>
      <c r="AW852" s="43"/>
      <c r="AX852" s="43"/>
      <c r="AY852" s="43"/>
      <c r="AZ852" s="43"/>
      <c r="BA852" s="43"/>
      <c r="BB852" s="43"/>
      <c r="BC852" s="43"/>
      <c r="BD852" s="43"/>
      <c r="BE852" s="43"/>
      <c r="BF852" s="43"/>
      <c r="BG852" s="43"/>
      <c r="BH852" s="43"/>
      <c r="BI852" s="43"/>
      <c r="BJ852" s="43"/>
      <c r="BK852" s="43"/>
      <c r="BL852" s="43"/>
      <c r="BM852" s="43"/>
      <c r="BN852" s="43"/>
      <c r="BO852" s="43"/>
      <c r="BP852" s="861"/>
      <c r="BQ852" s="861"/>
      <c r="BR852" s="861"/>
      <c r="BS852" s="861"/>
      <c r="BT852" s="861"/>
      <c r="BU852" s="861"/>
      <c r="BV852" s="861"/>
      <c r="BW852" s="861"/>
      <c r="BX852" s="861"/>
      <c r="BY852" s="861"/>
      <c r="BZ852" s="861"/>
      <c r="CA852" s="861"/>
      <c r="CB852" s="861"/>
      <c r="CC852" s="861"/>
      <c r="CD852" s="861"/>
      <c r="CE852" s="861"/>
      <c r="CF852" s="861"/>
      <c r="CG852" s="861"/>
      <c r="CH852" s="861"/>
      <c r="CI852" s="861"/>
      <c r="CJ852" s="861"/>
      <c r="CK852" s="861"/>
      <c r="CL852" s="861"/>
      <c r="CM852" s="861"/>
      <c r="CN852" s="861"/>
      <c r="CO852" s="861"/>
      <c r="CP852" s="861"/>
      <c r="CQ852" s="861"/>
      <c r="CR852" s="861"/>
      <c r="CS852" s="861"/>
      <c r="CT852" s="861"/>
      <c r="CU852" s="861"/>
      <c r="CV852" s="861"/>
      <c r="CW852" s="861"/>
      <c r="CX852" s="861"/>
      <c r="CY852" s="861"/>
      <c r="CZ852" s="861"/>
      <c r="DA852" s="861"/>
      <c r="DB852" s="861"/>
      <c r="DC852" s="861"/>
      <c r="DD852" s="861"/>
      <c r="DE852" s="861"/>
      <c r="DF852" s="861"/>
      <c r="DG852" s="861"/>
      <c r="DH852" s="861"/>
      <c r="DI852" s="861"/>
      <c r="DJ852" s="861"/>
      <c r="DK852" s="861"/>
      <c r="DL852" s="861"/>
      <c r="DM852" s="861"/>
      <c r="DN852" s="861"/>
      <c r="DO852" s="861"/>
      <c r="DP852" s="861"/>
      <c r="DQ852" s="861"/>
      <c r="DR852" s="861"/>
      <c r="DS852" s="861"/>
      <c r="DT852" s="861"/>
      <c r="DU852" s="861"/>
      <c r="DV852" s="861"/>
      <c r="DW852" s="861"/>
      <c r="DX852" s="861"/>
      <c r="DY852" s="861"/>
      <c r="DZ852" s="861"/>
      <c r="EA852" s="861"/>
      <c r="EB852" s="861"/>
      <c r="EC852" s="861"/>
      <c r="ED852" s="861"/>
      <c r="EE852" s="861"/>
      <c r="EF852" s="861"/>
      <c r="EG852" s="861"/>
      <c r="EH852" s="861"/>
      <c r="EI852" s="861"/>
      <c r="EJ852" s="861"/>
      <c r="EK852" s="861"/>
      <c r="EL852" s="861"/>
      <c r="EM852" s="861"/>
      <c r="EN852" s="861"/>
      <c r="EO852" s="861"/>
      <c r="EP852" s="861"/>
      <c r="EQ852" s="861"/>
      <c r="ER852" s="861"/>
      <c r="ES852" s="861"/>
      <c r="ET852" s="861"/>
      <c r="EU852" s="861"/>
      <c r="EV852" s="861"/>
      <c r="EW852" s="861"/>
      <c r="EX852" s="861"/>
      <c r="EY852" s="861"/>
      <c r="EZ852" s="861"/>
      <c r="FA852" s="861"/>
      <c r="FB852" s="861"/>
      <c r="FC852" s="861"/>
      <c r="FD852" s="861"/>
      <c r="FE852" s="861"/>
      <c r="FF852" s="861"/>
      <c r="FG852" s="861"/>
      <c r="FH852" s="861"/>
      <c r="FI852" s="861"/>
      <c r="FJ852" s="861"/>
      <c r="FK852" s="861"/>
      <c r="FL852" s="861"/>
      <c r="FM852" s="861"/>
      <c r="FN852" s="861"/>
      <c r="FO852" s="861"/>
      <c r="FP852" s="861"/>
      <c r="FQ852" s="861"/>
      <c r="FR852" s="861"/>
      <c r="FS852" s="861"/>
      <c r="FT852" s="861"/>
      <c r="FU852" s="861"/>
      <c r="FV852" s="861"/>
      <c r="FW852" s="861"/>
      <c r="FX852" s="861"/>
      <c r="FY852" s="861"/>
      <c r="FZ852" s="861"/>
      <c r="GA852" s="861"/>
      <c r="GB852" s="861"/>
      <c r="GC852" s="861"/>
      <c r="GD852" s="861"/>
      <c r="GE852" s="861"/>
      <c r="GF852" s="861"/>
      <c r="GG852" s="861"/>
      <c r="GH852" s="861"/>
      <c r="GI852" s="861"/>
      <c r="GJ852" s="861"/>
      <c r="GK852" s="861"/>
      <c r="GL852" s="861"/>
      <c r="GM852" s="861"/>
      <c r="GN852" s="861"/>
      <c r="GO852" s="861"/>
      <c r="GP852" s="861"/>
      <c r="GQ852" s="861"/>
      <c r="GR852" s="861"/>
      <c r="GS852" s="861"/>
      <c r="GT852" s="861"/>
      <c r="GU852" s="861"/>
      <c r="GV852" s="861"/>
      <c r="GW852" s="861"/>
      <c r="GX852" s="861"/>
      <c r="GY852" s="861"/>
      <c r="GZ852" s="861"/>
      <c r="HA852" s="861"/>
      <c r="HB852" s="861"/>
      <c r="HC852" s="861"/>
      <c r="HD852" s="861"/>
      <c r="HE852" s="861"/>
      <c r="HF852" s="861"/>
      <c r="HG852" s="861"/>
      <c r="HH852" s="861"/>
      <c r="HI852" s="861"/>
      <c r="HJ852" s="861"/>
      <c r="HK852" s="861"/>
      <c r="HL852" s="861"/>
      <c r="HM852" s="861"/>
      <c r="HN852" s="861"/>
      <c r="HO852" s="861"/>
      <c r="HP852" s="861"/>
      <c r="HQ852" s="861"/>
      <c r="HR852" s="861"/>
      <c r="HS852" s="861"/>
      <c r="HT852" s="861"/>
      <c r="HU852" s="861"/>
      <c r="HV852" s="861"/>
      <c r="HW852" s="861"/>
      <c r="HX852" s="861"/>
      <c r="HY852" s="861"/>
      <c r="HZ852" s="861"/>
      <c r="IA852" s="861"/>
      <c r="IB852" s="861"/>
      <c r="IC852" s="861"/>
      <c r="ID852" s="861"/>
      <c r="IE852" s="861"/>
      <c r="IF852" s="861"/>
      <c r="IG852" s="861"/>
      <c r="IH852" s="861"/>
      <c r="II852" s="861"/>
      <c r="IJ852" s="861"/>
      <c r="IK852" s="861"/>
      <c r="IL852" s="861"/>
      <c r="IM852" s="861"/>
      <c r="IN852" s="861"/>
      <c r="IO852" s="861"/>
      <c r="IP852" s="861"/>
      <c r="IQ852" s="861"/>
      <c r="IR852" s="861"/>
      <c r="IS852" s="861"/>
      <c r="IT852" s="861"/>
      <c r="IU852" s="861"/>
      <c r="IV852" s="861"/>
      <c r="IW852" s="861"/>
      <c r="IX852" s="861"/>
      <c r="IY852" s="861"/>
      <c r="IZ852" s="861"/>
      <c r="JA852" s="861"/>
      <c r="JB852" s="861"/>
      <c r="JC852" s="861"/>
      <c r="JD852" s="861"/>
      <c r="JE852" s="861"/>
      <c r="JF852" s="861"/>
      <c r="JG852" s="861"/>
      <c r="JH852" s="861"/>
      <c r="JI852" s="861"/>
      <c r="JJ852" s="861"/>
      <c r="JK852" s="861"/>
      <c r="JL852" s="861"/>
      <c r="JM852" s="861"/>
      <c r="JN852" s="861"/>
      <c r="JO852" s="861"/>
      <c r="JP852" s="861"/>
      <c r="JQ852" s="861"/>
      <c r="JR852" s="861"/>
      <c r="JS852" s="861"/>
      <c r="JT852" s="861"/>
      <c r="JU852" s="861"/>
      <c r="JV852" s="861"/>
      <c r="JW852" s="861"/>
      <c r="JX852" s="861"/>
      <c r="JY852" s="861"/>
      <c r="JZ852" s="861"/>
      <c r="KA852" s="861"/>
      <c r="KB852" s="861"/>
      <c r="KC852" s="861"/>
      <c r="KD852" s="861"/>
      <c r="KE852" s="861"/>
      <c r="KF852" s="861"/>
      <c r="KG852" s="861"/>
      <c r="KH852" s="861"/>
      <c r="KI852" s="861"/>
      <c r="KJ852" s="861"/>
      <c r="KK852" s="861"/>
      <c r="KL852" s="861"/>
      <c r="KM852" s="861"/>
      <c r="KN852" s="861"/>
      <c r="KO852" s="861"/>
      <c r="KP852" s="861"/>
      <c r="KQ852" s="861"/>
      <c r="KR852" s="861"/>
      <c r="KS852" s="861"/>
      <c r="KT852" s="861"/>
      <c r="KU852" s="861"/>
      <c r="KV852" s="861"/>
      <c r="KW852" s="861"/>
      <c r="KX852" s="861"/>
      <c r="KY852" s="861"/>
      <c r="KZ852" s="861"/>
      <c r="LA852" s="861"/>
      <c r="LB852" s="861"/>
      <c r="LC852" s="861"/>
      <c r="LD852" s="861"/>
      <c r="LE852" s="861"/>
      <c r="LF852" s="861"/>
      <c r="LG852" s="861"/>
      <c r="LH852" s="861"/>
      <c r="LI852" s="861"/>
      <c r="LJ852" s="861"/>
      <c r="LK852" s="861"/>
      <c r="LL852" s="861"/>
      <c r="LM852" s="861"/>
      <c r="LN852" s="861"/>
      <c r="LO852" s="861"/>
      <c r="LP852" s="861"/>
      <c r="LQ852" s="861"/>
      <c r="LR852" s="861"/>
      <c r="LS852" s="861"/>
      <c r="LT852" s="861"/>
      <c r="LU852" s="861"/>
      <c r="LV852" s="861"/>
      <c r="LW852" s="861"/>
      <c r="LX852" s="861"/>
      <c r="LY852" s="861"/>
      <c r="LZ852" s="861"/>
      <c r="MA852" s="861"/>
      <c r="MB852" s="861"/>
      <c r="MC852" s="861"/>
      <c r="MD852" s="861"/>
      <c r="ME852" s="861"/>
      <c r="MF852" s="861"/>
      <c r="MG852" s="861"/>
      <c r="MH852" s="861"/>
      <c r="MI852" s="861"/>
      <c r="MJ852" s="861"/>
      <c r="MK852" s="861"/>
      <c r="ML852" s="861"/>
      <c r="MM852" s="861"/>
      <c r="MN852" s="861"/>
      <c r="MO852" s="861"/>
      <c r="MP852" s="861"/>
      <c r="MQ852" s="861"/>
      <c r="MR852" s="861"/>
      <c r="MS852" s="861"/>
      <c r="MT852" s="861"/>
      <c r="MU852" s="861"/>
      <c r="MV852" s="861"/>
      <c r="MW852" s="861"/>
      <c r="MX852" s="861"/>
      <c r="MY852" s="861"/>
      <c r="MZ852" s="861"/>
      <c r="NA852" s="861"/>
      <c r="NB852" s="861"/>
      <c r="NC852" s="861"/>
      <c r="ND852" s="861"/>
      <c r="NE852" s="861"/>
      <c r="NF852" s="861"/>
      <c r="NG852" s="861"/>
      <c r="NH852" s="861"/>
      <c r="NI852" s="861"/>
      <c r="NJ852" s="861"/>
      <c r="NK852" s="861"/>
      <c r="NL852" s="861"/>
      <c r="NM852" s="861"/>
      <c r="NN852" s="861"/>
      <c r="NO852" s="861"/>
      <c r="NP852" s="861"/>
      <c r="NQ852" s="861"/>
      <c r="NR852" s="861"/>
      <c r="NS852" s="861"/>
      <c r="NT852" s="861"/>
      <c r="NU852" s="861"/>
      <c r="NV852" s="861"/>
      <c r="NW852" s="861"/>
      <c r="NX852" s="861"/>
      <c r="NY852" s="861"/>
      <c r="NZ852" s="861"/>
      <c r="OA852" s="861"/>
      <c r="OB852" s="861"/>
      <c r="OC852" s="861"/>
      <c r="OD852" s="861"/>
      <c r="OE852" s="861"/>
      <c r="OF852" s="861"/>
      <c r="OG852" s="861"/>
      <c r="OH852" s="861"/>
      <c r="OI852" s="861"/>
      <c r="OJ852" s="861"/>
      <c r="OK852" s="861"/>
      <c r="OL852" s="861"/>
      <c r="OM852" s="861"/>
      <c r="ON852" s="861"/>
      <c r="OO852" s="861"/>
      <c r="OP852" s="861"/>
      <c r="OQ852" s="861"/>
      <c r="OR852" s="861"/>
      <c r="OS852" s="861"/>
      <c r="OT852" s="861"/>
      <c r="OU852" s="861"/>
      <c r="OV852" s="861"/>
      <c r="OW852" s="861"/>
      <c r="OX852" s="861"/>
      <c r="OY852" s="861"/>
      <c r="OZ852" s="861"/>
      <c r="PA852" s="861"/>
      <c r="PB852" s="861"/>
      <c r="PC852" s="861"/>
      <c r="PD852" s="861"/>
      <c r="PE852" s="861"/>
      <c r="PF852" s="861"/>
      <c r="PG852" s="861"/>
      <c r="PH852" s="861"/>
      <c r="PI852" s="861"/>
      <c r="PJ852" s="861"/>
      <c r="PK852" s="861"/>
      <c r="PL852" s="861"/>
      <c r="PM852" s="861"/>
      <c r="PN852" s="861"/>
      <c r="PO852" s="861"/>
      <c r="PP852" s="861"/>
      <c r="PQ852" s="861"/>
      <c r="PR852" s="861"/>
      <c r="PS852" s="861"/>
      <c r="PT852" s="861"/>
      <c r="PU852" s="861"/>
      <c r="PV852" s="861"/>
      <c r="PW852" s="861"/>
      <c r="PX852" s="861"/>
      <c r="PY852" s="861"/>
      <c r="PZ852" s="861"/>
      <c r="QA852" s="861"/>
      <c r="QB852" s="861"/>
      <c r="QC852" s="861"/>
      <c r="QD852" s="861"/>
      <c r="QE852" s="861"/>
      <c r="QF852" s="861"/>
      <c r="QG852" s="861"/>
      <c r="QH852" s="861"/>
      <c r="QI852" s="861"/>
      <c r="QJ852" s="861"/>
      <c r="QK852" s="861"/>
      <c r="QL852" s="861"/>
      <c r="QM852" s="861"/>
      <c r="QN852" s="861"/>
      <c r="QO852" s="861"/>
      <c r="QP852" s="861"/>
      <c r="QQ852" s="861"/>
      <c r="QR852" s="861"/>
      <c r="QS852" s="861"/>
      <c r="QT852" s="861"/>
      <c r="QU852" s="861"/>
      <c r="QV852" s="861"/>
      <c r="QW852" s="861"/>
      <c r="QX852" s="861"/>
      <c r="QY852" s="861"/>
      <c r="QZ852" s="861"/>
      <c r="RA852" s="861"/>
      <c r="RB852" s="861"/>
      <c r="RC852" s="861"/>
      <c r="RD852" s="861"/>
      <c r="RE852" s="861"/>
      <c r="RF852" s="861"/>
      <c r="RG852" s="861"/>
      <c r="RH852" s="861"/>
      <c r="RI852" s="861"/>
      <c r="RJ852" s="861"/>
      <c r="RK852" s="861"/>
      <c r="RL852" s="861"/>
      <c r="RM852" s="861"/>
      <c r="RN852" s="861"/>
      <c r="RO852" s="861"/>
      <c r="RP852" s="861"/>
      <c r="RQ852" s="861"/>
      <c r="RR852" s="861"/>
      <c r="RS852" s="861"/>
      <c r="RT852" s="861"/>
      <c r="RU852" s="861"/>
      <c r="RV852" s="861"/>
      <c r="RW852" s="861"/>
      <c r="RX852" s="861"/>
      <c r="RY852" s="861"/>
      <c r="RZ852" s="861"/>
      <c r="SA852" s="861"/>
      <c r="SB852" s="861"/>
      <c r="SC852" s="861"/>
      <c r="SD852" s="861"/>
      <c r="SE852" s="861"/>
      <c r="SF852" s="861"/>
      <c r="SG852" s="861"/>
      <c r="SH852" s="861"/>
      <c r="SI852" s="861"/>
      <c r="SJ852" s="861"/>
      <c r="SK852" s="861"/>
      <c r="SL852" s="861"/>
      <c r="SM852" s="861"/>
      <c r="SN852" s="861"/>
      <c r="SO852" s="861"/>
      <c r="SP852" s="861"/>
      <c r="SQ852" s="861"/>
      <c r="SR852" s="861"/>
      <c r="SS852" s="861"/>
      <c r="ST852" s="861"/>
      <c r="SU852" s="861"/>
      <c r="SV852" s="861"/>
      <c r="SW852" s="861"/>
      <c r="SX852" s="861"/>
      <c r="SY852" s="861"/>
      <c r="SZ852" s="861"/>
      <c r="TA852" s="861"/>
      <c r="TB852" s="861"/>
      <c r="TC852" s="861"/>
      <c r="TD852" s="861"/>
      <c r="TE852" s="861"/>
      <c r="TF852" s="861"/>
      <c r="TG852" s="861"/>
      <c r="TH852" s="861"/>
      <c r="TI852" s="861"/>
      <c r="TJ852" s="861"/>
      <c r="TK852" s="861"/>
      <c r="TL852" s="861"/>
      <c r="TM852" s="861"/>
      <c r="TN852" s="861"/>
      <c r="TO852" s="861"/>
      <c r="TP852" s="861"/>
      <c r="TQ852" s="861"/>
      <c r="TR852" s="861"/>
      <c r="TS852" s="861"/>
      <c r="TT852" s="861"/>
      <c r="TU852" s="861"/>
      <c r="TV852" s="861"/>
      <c r="TW852" s="861"/>
      <c r="TX852" s="861"/>
      <c r="TY852" s="861"/>
      <c r="TZ852" s="861"/>
      <c r="UA852" s="861"/>
      <c r="UB852" s="861"/>
      <c r="UC852" s="861"/>
      <c r="UD852" s="861"/>
      <c r="UE852" s="861"/>
      <c r="UF852" s="861"/>
      <c r="UG852" s="862"/>
    </row>
    <row r="853" spans="1:553" s="863" customFormat="1" ht="33" customHeight="1">
      <c r="A853" s="356"/>
      <c r="B853" s="356"/>
      <c r="C853" s="673" t="s">
        <v>69</v>
      </c>
      <c r="D853" s="397">
        <v>2</v>
      </c>
      <c r="E853" s="397">
        <v>28</v>
      </c>
      <c r="F853" s="673"/>
      <c r="G853" s="674" t="s">
        <v>33</v>
      </c>
      <c r="H853" s="675"/>
      <c r="I853" s="490">
        <v>122.2</v>
      </c>
      <c r="J853" s="797">
        <v>62000</v>
      </c>
      <c r="K853" s="857">
        <v>2.5</v>
      </c>
      <c r="L853" s="481">
        <f t="shared" si="127"/>
        <v>18941000</v>
      </c>
      <c r="M853" s="356"/>
      <c r="N853" s="356"/>
      <c r="O853" s="356"/>
      <c r="P853" s="356"/>
      <c r="Q853" s="610"/>
      <c r="R853" s="1452"/>
      <c r="S853" s="308"/>
      <c r="T853" s="308"/>
      <c r="U853" s="308"/>
      <c r="V853" s="308"/>
      <c r="W853" s="308"/>
      <c r="X853" s="308"/>
      <c r="Y853" s="308"/>
      <c r="Z853" s="604"/>
      <c r="AA853" s="308"/>
      <c r="AB853" s="308"/>
      <c r="AC853" s="449"/>
      <c r="AD853" s="449"/>
      <c r="AE853" s="449"/>
      <c r="AF853" s="449"/>
      <c r="AG853" s="449"/>
      <c r="AH853" s="449"/>
      <c r="AI853" s="449"/>
      <c r="AJ853" s="449"/>
      <c r="AK853" s="452"/>
      <c r="AL853" s="351"/>
      <c r="AM853" s="43"/>
      <c r="AN853" s="43"/>
      <c r="AO853" s="43"/>
      <c r="AP853" s="43"/>
      <c r="AQ853" s="43"/>
      <c r="AR853" s="43"/>
      <c r="AS853" s="43"/>
      <c r="AT853" s="43"/>
      <c r="AU853" s="43"/>
      <c r="AV853" s="43"/>
      <c r="AW853" s="43"/>
      <c r="AX853" s="43"/>
      <c r="AY853" s="43"/>
      <c r="AZ853" s="43"/>
      <c r="BA853" s="43"/>
      <c r="BB853" s="43"/>
      <c r="BC853" s="43"/>
      <c r="BD853" s="43"/>
      <c r="BE853" s="43"/>
      <c r="BF853" s="43"/>
      <c r="BG853" s="43"/>
      <c r="BH853" s="43"/>
      <c r="BI853" s="43"/>
      <c r="BJ853" s="43"/>
      <c r="BK853" s="43"/>
      <c r="BL853" s="43"/>
      <c r="BM853" s="43"/>
      <c r="BN853" s="43"/>
      <c r="BO853" s="43"/>
      <c r="BP853" s="861"/>
      <c r="BQ853" s="861"/>
      <c r="BR853" s="861"/>
      <c r="BS853" s="861"/>
      <c r="BT853" s="861"/>
      <c r="BU853" s="861"/>
      <c r="BV853" s="861"/>
      <c r="BW853" s="861"/>
      <c r="BX853" s="861"/>
      <c r="BY853" s="861"/>
      <c r="BZ853" s="861"/>
      <c r="CA853" s="861"/>
      <c r="CB853" s="861"/>
      <c r="CC853" s="861"/>
      <c r="CD853" s="861"/>
      <c r="CE853" s="861"/>
      <c r="CF853" s="861"/>
      <c r="CG853" s="861"/>
      <c r="CH853" s="861"/>
      <c r="CI853" s="861"/>
      <c r="CJ853" s="861"/>
      <c r="CK853" s="861"/>
      <c r="CL853" s="861"/>
      <c r="CM853" s="861"/>
      <c r="CN853" s="861"/>
      <c r="CO853" s="861"/>
      <c r="CP853" s="861"/>
      <c r="CQ853" s="861"/>
      <c r="CR853" s="861"/>
      <c r="CS853" s="861"/>
      <c r="CT853" s="861"/>
      <c r="CU853" s="861"/>
      <c r="CV853" s="861"/>
      <c r="CW853" s="861"/>
      <c r="CX853" s="861"/>
      <c r="CY853" s="861"/>
      <c r="CZ853" s="861"/>
      <c r="DA853" s="861"/>
      <c r="DB853" s="861"/>
      <c r="DC853" s="861"/>
      <c r="DD853" s="861"/>
      <c r="DE853" s="861"/>
      <c r="DF853" s="861"/>
      <c r="DG853" s="861"/>
      <c r="DH853" s="861"/>
      <c r="DI853" s="861"/>
      <c r="DJ853" s="861"/>
      <c r="DK853" s="861"/>
      <c r="DL853" s="861"/>
      <c r="DM853" s="861"/>
      <c r="DN853" s="861"/>
      <c r="DO853" s="861"/>
      <c r="DP853" s="861"/>
      <c r="DQ853" s="861"/>
      <c r="DR853" s="861"/>
      <c r="DS853" s="861"/>
      <c r="DT853" s="861"/>
      <c r="DU853" s="861"/>
      <c r="DV853" s="861"/>
      <c r="DW853" s="861"/>
      <c r="DX853" s="861"/>
      <c r="DY853" s="861"/>
      <c r="DZ853" s="861"/>
      <c r="EA853" s="861"/>
      <c r="EB853" s="861"/>
      <c r="EC853" s="861"/>
      <c r="ED853" s="861"/>
      <c r="EE853" s="861"/>
      <c r="EF853" s="861"/>
      <c r="EG853" s="861"/>
      <c r="EH853" s="861"/>
      <c r="EI853" s="861"/>
      <c r="EJ853" s="861"/>
      <c r="EK853" s="861"/>
      <c r="EL853" s="861"/>
      <c r="EM853" s="861"/>
      <c r="EN853" s="861"/>
      <c r="EO853" s="861"/>
      <c r="EP853" s="861"/>
      <c r="EQ853" s="861"/>
      <c r="ER853" s="861"/>
      <c r="ES853" s="861"/>
      <c r="ET853" s="861"/>
      <c r="EU853" s="861"/>
      <c r="EV853" s="861"/>
      <c r="EW853" s="861"/>
      <c r="EX853" s="861"/>
      <c r="EY853" s="861"/>
      <c r="EZ853" s="861"/>
      <c r="FA853" s="861"/>
      <c r="FB853" s="861"/>
      <c r="FC853" s="861"/>
      <c r="FD853" s="861"/>
      <c r="FE853" s="861"/>
      <c r="FF853" s="861"/>
      <c r="FG853" s="861"/>
      <c r="FH853" s="861"/>
      <c r="FI853" s="861"/>
      <c r="FJ853" s="861"/>
      <c r="FK853" s="861"/>
      <c r="FL853" s="861"/>
      <c r="FM853" s="861"/>
      <c r="FN853" s="861"/>
      <c r="FO853" s="861"/>
      <c r="FP853" s="861"/>
      <c r="FQ853" s="861"/>
      <c r="FR853" s="861"/>
      <c r="FS853" s="861"/>
      <c r="FT853" s="861"/>
      <c r="FU853" s="861"/>
      <c r="FV853" s="861"/>
      <c r="FW853" s="861"/>
      <c r="FX853" s="861"/>
      <c r="FY853" s="861"/>
      <c r="FZ853" s="861"/>
      <c r="GA853" s="861"/>
      <c r="GB853" s="861"/>
      <c r="GC853" s="861"/>
      <c r="GD853" s="861"/>
      <c r="GE853" s="861"/>
      <c r="GF853" s="861"/>
      <c r="GG853" s="861"/>
      <c r="GH853" s="861"/>
      <c r="GI853" s="861"/>
      <c r="GJ853" s="861"/>
      <c r="GK853" s="861"/>
      <c r="GL853" s="861"/>
      <c r="GM853" s="861"/>
      <c r="GN853" s="861"/>
      <c r="GO853" s="861"/>
      <c r="GP853" s="861"/>
      <c r="GQ853" s="861"/>
      <c r="GR853" s="861"/>
      <c r="GS853" s="861"/>
      <c r="GT853" s="861"/>
      <c r="GU853" s="861"/>
      <c r="GV853" s="861"/>
      <c r="GW853" s="861"/>
      <c r="GX853" s="861"/>
      <c r="GY853" s="861"/>
      <c r="GZ853" s="861"/>
      <c r="HA853" s="861"/>
      <c r="HB853" s="861"/>
      <c r="HC853" s="861"/>
      <c r="HD853" s="861"/>
      <c r="HE853" s="861"/>
      <c r="HF853" s="861"/>
      <c r="HG853" s="861"/>
      <c r="HH853" s="861"/>
      <c r="HI853" s="861"/>
      <c r="HJ853" s="861"/>
      <c r="HK853" s="861"/>
      <c r="HL853" s="861"/>
      <c r="HM853" s="861"/>
      <c r="HN853" s="861"/>
      <c r="HO853" s="861"/>
      <c r="HP853" s="861"/>
      <c r="HQ853" s="861"/>
      <c r="HR853" s="861"/>
      <c r="HS853" s="861"/>
      <c r="HT853" s="861"/>
      <c r="HU853" s="861"/>
      <c r="HV853" s="861"/>
      <c r="HW853" s="861"/>
      <c r="HX853" s="861"/>
      <c r="HY853" s="861"/>
      <c r="HZ853" s="861"/>
      <c r="IA853" s="861"/>
      <c r="IB853" s="861"/>
      <c r="IC853" s="861"/>
      <c r="ID853" s="861"/>
      <c r="IE853" s="861"/>
      <c r="IF853" s="861"/>
      <c r="IG853" s="861"/>
      <c r="IH853" s="861"/>
      <c r="II853" s="861"/>
      <c r="IJ853" s="861"/>
      <c r="IK853" s="861"/>
      <c r="IL853" s="861"/>
      <c r="IM853" s="861"/>
      <c r="IN853" s="861"/>
      <c r="IO853" s="861"/>
      <c r="IP853" s="861"/>
      <c r="IQ853" s="861"/>
      <c r="IR853" s="861"/>
      <c r="IS853" s="861"/>
      <c r="IT853" s="861"/>
      <c r="IU853" s="861"/>
      <c r="IV853" s="861"/>
      <c r="IW853" s="861"/>
      <c r="IX853" s="861"/>
      <c r="IY853" s="861"/>
      <c r="IZ853" s="861"/>
      <c r="JA853" s="861"/>
      <c r="JB853" s="861"/>
      <c r="JC853" s="861"/>
      <c r="JD853" s="861"/>
      <c r="JE853" s="861"/>
      <c r="JF853" s="861"/>
      <c r="JG853" s="861"/>
      <c r="JH853" s="861"/>
      <c r="JI853" s="861"/>
      <c r="JJ853" s="861"/>
      <c r="JK853" s="861"/>
      <c r="JL853" s="861"/>
      <c r="JM853" s="861"/>
      <c r="JN853" s="861"/>
      <c r="JO853" s="861"/>
      <c r="JP853" s="861"/>
      <c r="JQ853" s="861"/>
      <c r="JR853" s="861"/>
      <c r="JS853" s="861"/>
      <c r="JT853" s="861"/>
      <c r="JU853" s="861"/>
      <c r="JV853" s="861"/>
      <c r="JW853" s="861"/>
      <c r="JX853" s="861"/>
      <c r="JY853" s="861"/>
      <c r="JZ853" s="861"/>
      <c r="KA853" s="861"/>
      <c r="KB853" s="861"/>
      <c r="KC853" s="861"/>
      <c r="KD853" s="861"/>
      <c r="KE853" s="861"/>
      <c r="KF853" s="861"/>
      <c r="KG853" s="861"/>
      <c r="KH853" s="861"/>
      <c r="KI853" s="861"/>
      <c r="KJ853" s="861"/>
      <c r="KK853" s="861"/>
      <c r="KL853" s="861"/>
      <c r="KM853" s="861"/>
      <c r="KN853" s="861"/>
      <c r="KO853" s="861"/>
      <c r="KP853" s="861"/>
      <c r="KQ853" s="861"/>
      <c r="KR853" s="861"/>
      <c r="KS853" s="861"/>
      <c r="KT853" s="861"/>
      <c r="KU853" s="861"/>
      <c r="KV853" s="861"/>
      <c r="KW853" s="861"/>
      <c r="KX853" s="861"/>
      <c r="KY853" s="861"/>
      <c r="KZ853" s="861"/>
      <c r="LA853" s="861"/>
      <c r="LB853" s="861"/>
      <c r="LC853" s="861"/>
      <c r="LD853" s="861"/>
      <c r="LE853" s="861"/>
      <c r="LF853" s="861"/>
      <c r="LG853" s="861"/>
      <c r="LH853" s="861"/>
      <c r="LI853" s="861"/>
      <c r="LJ853" s="861"/>
      <c r="LK853" s="861"/>
      <c r="LL853" s="861"/>
      <c r="LM853" s="861"/>
      <c r="LN853" s="861"/>
      <c r="LO853" s="861"/>
      <c r="LP853" s="861"/>
      <c r="LQ853" s="861"/>
      <c r="LR853" s="861"/>
      <c r="LS853" s="861"/>
      <c r="LT853" s="861"/>
      <c r="LU853" s="861"/>
      <c r="LV853" s="861"/>
      <c r="LW853" s="861"/>
      <c r="LX853" s="861"/>
      <c r="LY853" s="861"/>
      <c r="LZ853" s="861"/>
      <c r="MA853" s="861"/>
      <c r="MB853" s="861"/>
      <c r="MC853" s="861"/>
      <c r="MD853" s="861"/>
      <c r="ME853" s="861"/>
      <c r="MF853" s="861"/>
      <c r="MG853" s="861"/>
      <c r="MH853" s="861"/>
      <c r="MI853" s="861"/>
      <c r="MJ853" s="861"/>
      <c r="MK853" s="861"/>
      <c r="ML853" s="861"/>
      <c r="MM853" s="861"/>
      <c r="MN853" s="861"/>
      <c r="MO853" s="861"/>
      <c r="MP853" s="861"/>
      <c r="MQ853" s="861"/>
      <c r="MR853" s="861"/>
      <c r="MS853" s="861"/>
      <c r="MT853" s="861"/>
      <c r="MU853" s="861"/>
      <c r="MV853" s="861"/>
      <c r="MW853" s="861"/>
      <c r="MX853" s="861"/>
      <c r="MY853" s="861"/>
      <c r="MZ853" s="861"/>
      <c r="NA853" s="861"/>
      <c r="NB853" s="861"/>
      <c r="NC853" s="861"/>
      <c r="ND853" s="861"/>
      <c r="NE853" s="861"/>
      <c r="NF853" s="861"/>
      <c r="NG853" s="861"/>
      <c r="NH853" s="861"/>
      <c r="NI853" s="861"/>
      <c r="NJ853" s="861"/>
      <c r="NK853" s="861"/>
      <c r="NL853" s="861"/>
      <c r="NM853" s="861"/>
      <c r="NN853" s="861"/>
      <c r="NO853" s="861"/>
      <c r="NP853" s="861"/>
      <c r="NQ853" s="861"/>
      <c r="NR853" s="861"/>
      <c r="NS853" s="861"/>
      <c r="NT853" s="861"/>
      <c r="NU853" s="861"/>
      <c r="NV853" s="861"/>
      <c r="NW853" s="861"/>
      <c r="NX853" s="861"/>
      <c r="NY853" s="861"/>
      <c r="NZ853" s="861"/>
      <c r="OA853" s="861"/>
      <c r="OB853" s="861"/>
      <c r="OC853" s="861"/>
      <c r="OD853" s="861"/>
      <c r="OE853" s="861"/>
      <c r="OF853" s="861"/>
      <c r="OG853" s="861"/>
      <c r="OH853" s="861"/>
      <c r="OI853" s="861"/>
      <c r="OJ853" s="861"/>
      <c r="OK853" s="861"/>
      <c r="OL853" s="861"/>
      <c r="OM853" s="861"/>
      <c r="ON853" s="861"/>
      <c r="OO853" s="861"/>
      <c r="OP853" s="861"/>
      <c r="OQ853" s="861"/>
      <c r="OR853" s="861"/>
      <c r="OS853" s="861"/>
      <c r="OT853" s="861"/>
      <c r="OU853" s="861"/>
      <c r="OV853" s="861"/>
      <c r="OW853" s="861"/>
      <c r="OX853" s="861"/>
      <c r="OY853" s="861"/>
      <c r="OZ853" s="861"/>
      <c r="PA853" s="861"/>
      <c r="PB853" s="861"/>
      <c r="PC853" s="861"/>
      <c r="PD853" s="861"/>
      <c r="PE853" s="861"/>
      <c r="PF853" s="861"/>
      <c r="PG853" s="861"/>
      <c r="PH853" s="861"/>
      <c r="PI853" s="861"/>
      <c r="PJ853" s="861"/>
      <c r="PK853" s="861"/>
      <c r="PL853" s="861"/>
      <c r="PM853" s="861"/>
      <c r="PN853" s="861"/>
      <c r="PO853" s="861"/>
      <c r="PP853" s="861"/>
      <c r="PQ853" s="861"/>
      <c r="PR853" s="861"/>
      <c r="PS853" s="861"/>
      <c r="PT853" s="861"/>
      <c r="PU853" s="861"/>
      <c r="PV853" s="861"/>
      <c r="PW853" s="861"/>
      <c r="PX853" s="861"/>
      <c r="PY853" s="861"/>
      <c r="PZ853" s="861"/>
      <c r="QA853" s="861"/>
      <c r="QB853" s="861"/>
      <c r="QC853" s="861"/>
      <c r="QD853" s="861"/>
      <c r="QE853" s="861"/>
      <c r="QF853" s="861"/>
      <c r="QG853" s="861"/>
      <c r="QH853" s="861"/>
      <c r="QI853" s="861"/>
      <c r="QJ853" s="861"/>
      <c r="QK853" s="861"/>
      <c r="QL853" s="861"/>
      <c r="QM853" s="861"/>
      <c r="QN853" s="861"/>
      <c r="QO853" s="861"/>
      <c r="QP853" s="861"/>
      <c r="QQ853" s="861"/>
      <c r="QR853" s="861"/>
      <c r="QS853" s="861"/>
      <c r="QT853" s="861"/>
      <c r="QU853" s="861"/>
      <c r="QV853" s="861"/>
      <c r="QW853" s="861"/>
      <c r="QX853" s="861"/>
      <c r="QY853" s="861"/>
      <c r="QZ853" s="861"/>
      <c r="RA853" s="861"/>
      <c r="RB853" s="861"/>
      <c r="RC853" s="861"/>
      <c r="RD853" s="861"/>
      <c r="RE853" s="861"/>
      <c r="RF853" s="861"/>
      <c r="RG853" s="861"/>
      <c r="RH853" s="861"/>
      <c r="RI853" s="861"/>
      <c r="RJ853" s="861"/>
      <c r="RK853" s="861"/>
      <c r="RL853" s="861"/>
      <c r="RM853" s="861"/>
      <c r="RN853" s="861"/>
      <c r="RO853" s="861"/>
      <c r="RP853" s="861"/>
      <c r="RQ853" s="861"/>
      <c r="RR853" s="861"/>
      <c r="RS853" s="861"/>
      <c r="RT853" s="861"/>
      <c r="RU853" s="861"/>
      <c r="RV853" s="861"/>
      <c r="RW853" s="861"/>
      <c r="RX853" s="861"/>
      <c r="RY853" s="861"/>
      <c r="RZ853" s="861"/>
      <c r="SA853" s="861"/>
      <c r="SB853" s="861"/>
      <c r="SC853" s="861"/>
      <c r="SD853" s="861"/>
      <c r="SE853" s="861"/>
      <c r="SF853" s="861"/>
      <c r="SG853" s="861"/>
      <c r="SH853" s="861"/>
      <c r="SI853" s="861"/>
      <c r="SJ853" s="861"/>
      <c r="SK853" s="861"/>
      <c r="SL853" s="861"/>
      <c r="SM853" s="861"/>
      <c r="SN853" s="861"/>
      <c r="SO853" s="861"/>
      <c r="SP853" s="861"/>
      <c r="SQ853" s="861"/>
      <c r="SR853" s="861"/>
      <c r="SS853" s="861"/>
      <c r="ST853" s="861"/>
      <c r="SU853" s="861"/>
      <c r="SV853" s="861"/>
      <c r="SW853" s="861"/>
      <c r="SX853" s="861"/>
      <c r="SY853" s="861"/>
      <c r="SZ853" s="861"/>
      <c r="TA853" s="861"/>
      <c r="TB853" s="861"/>
      <c r="TC853" s="861"/>
      <c r="TD853" s="861"/>
      <c r="TE853" s="861"/>
      <c r="TF853" s="861"/>
      <c r="TG853" s="861"/>
      <c r="TH853" s="861"/>
      <c r="TI853" s="861"/>
      <c r="TJ853" s="861"/>
      <c r="TK853" s="861"/>
      <c r="TL853" s="861"/>
      <c r="TM853" s="861"/>
      <c r="TN853" s="861"/>
      <c r="TO853" s="861"/>
      <c r="TP853" s="861"/>
      <c r="TQ853" s="861"/>
      <c r="TR853" s="861"/>
      <c r="TS853" s="861"/>
      <c r="TT853" s="861"/>
      <c r="TU853" s="861"/>
      <c r="TV853" s="861"/>
      <c r="TW853" s="861"/>
      <c r="TX853" s="861"/>
      <c r="TY853" s="861"/>
      <c r="TZ853" s="861"/>
      <c r="UA853" s="861"/>
      <c r="UB853" s="861"/>
      <c r="UC853" s="861"/>
      <c r="UD853" s="861"/>
      <c r="UE853" s="861"/>
      <c r="UF853" s="861"/>
      <c r="UG853" s="862"/>
    </row>
    <row r="854" spans="1:553" s="863" customFormat="1" ht="33" customHeight="1">
      <c r="A854" s="356"/>
      <c r="B854" s="356"/>
      <c r="C854" s="673" t="s">
        <v>69</v>
      </c>
      <c r="D854" s="397">
        <v>2</v>
      </c>
      <c r="E854" s="397">
        <v>35</v>
      </c>
      <c r="F854" s="673"/>
      <c r="G854" s="674" t="s">
        <v>33</v>
      </c>
      <c r="H854" s="675"/>
      <c r="I854" s="490">
        <v>218.6</v>
      </c>
      <c r="J854" s="797">
        <v>62000</v>
      </c>
      <c r="K854" s="857">
        <v>2.5</v>
      </c>
      <c r="L854" s="481">
        <f t="shared" si="127"/>
        <v>33883000</v>
      </c>
      <c r="M854" s="356"/>
      <c r="N854" s="356"/>
      <c r="O854" s="356"/>
      <c r="P854" s="356"/>
      <c r="Q854" s="610"/>
      <c r="R854" s="1452"/>
      <c r="S854" s="308"/>
      <c r="T854" s="308"/>
      <c r="U854" s="308"/>
      <c r="V854" s="308"/>
      <c r="W854" s="308"/>
      <c r="X854" s="308"/>
      <c r="Y854" s="308"/>
      <c r="Z854" s="604"/>
      <c r="AA854" s="308"/>
      <c r="AB854" s="308"/>
      <c r="AC854" s="449"/>
      <c r="AD854" s="449"/>
      <c r="AE854" s="449"/>
      <c r="AF854" s="449"/>
      <c r="AG854" s="449"/>
      <c r="AH854" s="449"/>
      <c r="AI854" s="449"/>
      <c r="AJ854" s="449"/>
      <c r="AK854" s="452"/>
      <c r="AL854" s="351"/>
      <c r="AM854" s="43"/>
      <c r="AN854" s="43"/>
      <c r="AO854" s="43"/>
      <c r="AP854" s="43"/>
      <c r="AQ854" s="43"/>
      <c r="AR854" s="43"/>
      <c r="AS854" s="43"/>
      <c r="AT854" s="43"/>
      <c r="AU854" s="43"/>
      <c r="AV854" s="43"/>
      <c r="AW854" s="43"/>
      <c r="AX854" s="43"/>
      <c r="AY854" s="43"/>
      <c r="AZ854" s="43"/>
      <c r="BA854" s="43"/>
      <c r="BB854" s="43"/>
      <c r="BC854" s="43"/>
      <c r="BD854" s="43"/>
      <c r="BE854" s="43"/>
      <c r="BF854" s="43"/>
      <c r="BG854" s="43"/>
      <c r="BH854" s="43"/>
      <c r="BI854" s="43"/>
      <c r="BJ854" s="43"/>
      <c r="BK854" s="43"/>
      <c r="BL854" s="43"/>
      <c r="BM854" s="43"/>
      <c r="BN854" s="43"/>
      <c r="BO854" s="43"/>
      <c r="BP854" s="861"/>
      <c r="BQ854" s="861"/>
      <c r="BR854" s="861"/>
      <c r="BS854" s="861"/>
      <c r="BT854" s="861"/>
      <c r="BU854" s="861"/>
      <c r="BV854" s="861"/>
      <c r="BW854" s="861"/>
      <c r="BX854" s="861"/>
      <c r="BY854" s="861"/>
      <c r="BZ854" s="861"/>
      <c r="CA854" s="861"/>
      <c r="CB854" s="861"/>
      <c r="CC854" s="861"/>
      <c r="CD854" s="861"/>
      <c r="CE854" s="861"/>
      <c r="CF854" s="861"/>
      <c r="CG854" s="861"/>
      <c r="CH854" s="861"/>
      <c r="CI854" s="861"/>
      <c r="CJ854" s="861"/>
      <c r="CK854" s="861"/>
      <c r="CL854" s="861"/>
      <c r="CM854" s="861"/>
      <c r="CN854" s="861"/>
      <c r="CO854" s="861"/>
      <c r="CP854" s="861"/>
      <c r="CQ854" s="861"/>
      <c r="CR854" s="861"/>
      <c r="CS854" s="861"/>
      <c r="CT854" s="861"/>
      <c r="CU854" s="861"/>
      <c r="CV854" s="861"/>
      <c r="CW854" s="861"/>
      <c r="CX854" s="861"/>
      <c r="CY854" s="861"/>
      <c r="CZ854" s="861"/>
      <c r="DA854" s="861"/>
      <c r="DB854" s="861"/>
      <c r="DC854" s="861"/>
      <c r="DD854" s="861"/>
      <c r="DE854" s="861"/>
      <c r="DF854" s="861"/>
      <c r="DG854" s="861"/>
      <c r="DH854" s="861"/>
      <c r="DI854" s="861"/>
      <c r="DJ854" s="861"/>
      <c r="DK854" s="861"/>
      <c r="DL854" s="861"/>
      <c r="DM854" s="861"/>
      <c r="DN854" s="861"/>
      <c r="DO854" s="861"/>
      <c r="DP854" s="861"/>
      <c r="DQ854" s="861"/>
      <c r="DR854" s="861"/>
      <c r="DS854" s="861"/>
      <c r="DT854" s="861"/>
      <c r="DU854" s="861"/>
      <c r="DV854" s="861"/>
      <c r="DW854" s="861"/>
      <c r="DX854" s="861"/>
      <c r="DY854" s="861"/>
      <c r="DZ854" s="861"/>
      <c r="EA854" s="861"/>
      <c r="EB854" s="861"/>
      <c r="EC854" s="861"/>
      <c r="ED854" s="861"/>
      <c r="EE854" s="861"/>
      <c r="EF854" s="861"/>
      <c r="EG854" s="861"/>
      <c r="EH854" s="861"/>
      <c r="EI854" s="861"/>
      <c r="EJ854" s="861"/>
      <c r="EK854" s="861"/>
      <c r="EL854" s="861"/>
      <c r="EM854" s="861"/>
      <c r="EN854" s="861"/>
      <c r="EO854" s="861"/>
      <c r="EP854" s="861"/>
      <c r="EQ854" s="861"/>
      <c r="ER854" s="861"/>
      <c r="ES854" s="861"/>
      <c r="ET854" s="861"/>
      <c r="EU854" s="861"/>
      <c r="EV854" s="861"/>
      <c r="EW854" s="861"/>
      <c r="EX854" s="861"/>
      <c r="EY854" s="861"/>
      <c r="EZ854" s="861"/>
      <c r="FA854" s="861"/>
      <c r="FB854" s="861"/>
      <c r="FC854" s="861"/>
      <c r="FD854" s="861"/>
      <c r="FE854" s="861"/>
      <c r="FF854" s="861"/>
      <c r="FG854" s="861"/>
      <c r="FH854" s="861"/>
      <c r="FI854" s="861"/>
      <c r="FJ854" s="861"/>
      <c r="FK854" s="861"/>
      <c r="FL854" s="861"/>
      <c r="FM854" s="861"/>
      <c r="FN854" s="861"/>
      <c r="FO854" s="861"/>
      <c r="FP854" s="861"/>
      <c r="FQ854" s="861"/>
      <c r="FR854" s="861"/>
      <c r="FS854" s="861"/>
      <c r="FT854" s="861"/>
      <c r="FU854" s="861"/>
      <c r="FV854" s="861"/>
      <c r="FW854" s="861"/>
      <c r="FX854" s="861"/>
      <c r="FY854" s="861"/>
      <c r="FZ854" s="861"/>
      <c r="GA854" s="861"/>
      <c r="GB854" s="861"/>
      <c r="GC854" s="861"/>
      <c r="GD854" s="861"/>
      <c r="GE854" s="861"/>
      <c r="GF854" s="861"/>
      <c r="GG854" s="861"/>
      <c r="GH854" s="861"/>
      <c r="GI854" s="861"/>
      <c r="GJ854" s="861"/>
      <c r="GK854" s="861"/>
      <c r="GL854" s="861"/>
      <c r="GM854" s="861"/>
      <c r="GN854" s="861"/>
      <c r="GO854" s="861"/>
      <c r="GP854" s="861"/>
      <c r="GQ854" s="861"/>
      <c r="GR854" s="861"/>
      <c r="GS854" s="861"/>
      <c r="GT854" s="861"/>
      <c r="GU854" s="861"/>
      <c r="GV854" s="861"/>
      <c r="GW854" s="861"/>
      <c r="GX854" s="861"/>
      <c r="GY854" s="861"/>
      <c r="GZ854" s="861"/>
      <c r="HA854" s="861"/>
      <c r="HB854" s="861"/>
      <c r="HC854" s="861"/>
      <c r="HD854" s="861"/>
      <c r="HE854" s="861"/>
      <c r="HF854" s="861"/>
      <c r="HG854" s="861"/>
      <c r="HH854" s="861"/>
      <c r="HI854" s="861"/>
      <c r="HJ854" s="861"/>
      <c r="HK854" s="861"/>
      <c r="HL854" s="861"/>
      <c r="HM854" s="861"/>
      <c r="HN854" s="861"/>
      <c r="HO854" s="861"/>
      <c r="HP854" s="861"/>
      <c r="HQ854" s="861"/>
      <c r="HR854" s="861"/>
      <c r="HS854" s="861"/>
      <c r="HT854" s="861"/>
      <c r="HU854" s="861"/>
      <c r="HV854" s="861"/>
      <c r="HW854" s="861"/>
      <c r="HX854" s="861"/>
      <c r="HY854" s="861"/>
      <c r="HZ854" s="861"/>
      <c r="IA854" s="861"/>
      <c r="IB854" s="861"/>
      <c r="IC854" s="861"/>
      <c r="ID854" s="861"/>
      <c r="IE854" s="861"/>
      <c r="IF854" s="861"/>
      <c r="IG854" s="861"/>
      <c r="IH854" s="861"/>
      <c r="II854" s="861"/>
      <c r="IJ854" s="861"/>
      <c r="IK854" s="861"/>
      <c r="IL854" s="861"/>
      <c r="IM854" s="861"/>
      <c r="IN854" s="861"/>
      <c r="IO854" s="861"/>
      <c r="IP854" s="861"/>
      <c r="IQ854" s="861"/>
      <c r="IR854" s="861"/>
      <c r="IS854" s="861"/>
      <c r="IT854" s="861"/>
      <c r="IU854" s="861"/>
      <c r="IV854" s="861"/>
      <c r="IW854" s="861"/>
      <c r="IX854" s="861"/>
      <c r="IY854" s="861"/>
      <c r="IZ854" s="861"/>
      <c r="JA854" s="861"/>
      <c r="JB854" s="861"/>
      <c r="JC854" s="861"/>
      <c r="JD854" s="861"/>
      <c r="JE854" s="861"/>
      <c r="JF854" s="861"/>
      <c r="JG854" s="861"/>
      <c r="JH854" s="861"/>
      <c r="JI854" s="861"/>
      <c r="JJ854" s="861"/>
      <c r="JK854" s="861"/>
      <c r="JL854" s="861"/>
      <c r="JM854" s="861"/>
      <c r="JN854" s="861"/>
      <c r="JO854" s="861"/>
      <c r="JP854" s="861"/>
      <c r="JQ854" s="861"/>
      <c r="JR854" s="861"/>
      <c r="JS854" s="861"/>
      <c r="JT854" s="861"/>
      <c r="JU854" s="861"/>
      <c r="JV854" s="861"/>
      <c r="JW854" s="861"/>
      <c r="JX854" s="861"/>
      <c r="JY854" s="861"/>
      <c r="JZ854" s="861"/>
      <c r="KA854" s="861"/>
      <c r="KB854" s="861"/>
      <c r="KC854" s="861"/>
      <c r="KD854" s="861"/>
      <c r="KE854" s="861"/>
      <c r="KF854" s="861"/>
      <c r="KG854" s="861"/>
      <c r="KH854" s="861"/>
      <c r="KI854" s="861"/>
      <c r="KJ854" s="861"/>
      <c r="KK854" s="861"/>
      <c r="KL854" s="861"/>
      <c r="KM854" s="861"/>
      <c r="KN854" s="861"/>
      <c r="KO854" s="861"/>
      <c r="KP854" s="861"/>
      <c r="KQ854" s="861"/>
      <c r="KR854" s="861"/>
      <c r="KS854" s="861"/>
      <c r="KT854" s="861"/>
      <c r="KU854" s="861"/>
      <c r="KV854" s="861"/>
      <c r="KW854" s="861"/>
      <c r="KX854" s="861"/>
      <c r="KY854" s="861"/>
      <c r="KZ854" s="861"/>
      <c r="LA854" s="861"/>
      <c r="LB854" s="861"/>
      <c r="LC854" s="861"/>
      <c r="LD854" s="861"/>
      <c r="LE854" s="861"/>
      <c r="LF854" s="861"/>
      <c r="LG854" s="861"/>
      <c r="LH854" s="861"/>
      <c r="LI854" s="861"/>
      <c r="LJ854" s="861"/>
      <c r="LK854" s="861"/>
      <c r="LL854" s="861"/>
      <c r="LM854" s="861"/>
      <c r="LN854" s="861"/>
      <c r="LO854" s="861"/>
      <c r="LP854" s="861"/>
      <c r="LQ854" s="861"/>
      <c r="LR854" s="861"/>
      <c r="LS854" s="861"/>
      <c r="LT854" s="861"/>
      <c r="LU854" s="861"/>
      <c r="LV854" s="861"/>
      <c r="LW854" s="861"/>
      <c r="LX854" s="861"/>
      <c r="LY854" s="861"/>
      <c r="LZ854" s="861"/>
      <c r="MA854" s="861"/>
      <c r="MB854" s="861"/>
      <c r="MC854" s="861"/>
      <c r="MD854" s="861"/>
      <c r="ME854" s="861"/>
      <c r="MF854" s="861"/>
      <c r="MG854" s="861"/>
      <c r="MH854" s="861"/>
      <c r="MI854" s="861"/>
      <c r="MJ854" s="861"/>
      <c r="MK854" s="861"/>
      <c r="ML854" s="861"/>
      <c r="MM854" s="861"/>
      <c r="MN854" s="861"/>
      <c r="MO854" s="861"/>
      <c r="MP854" s="861"/>
      <c r="MQ854" s="861"/>
      <c r="MR854" s="861"/>
      <c r="MS854" s="861"/>
      <c r="MT854" s="861"/>
      <c r="MU854" s="861"/>
      <c r="MV854" s="861"/>
      <c r="MW854" s="861"/>
      <c r="MX854" s="861"/>
      <c r="MY854" s="861"/>
      <c r="MZ854" s="861"/>
      <c r="NA854" s="861"/>
      <c r="NB854" s="861"/>
      <c r="NC854" s="861"/>
      <c r="ND854" s="861"/>
      <c r="NE854" s="861"/>
      <c r="NF854" s="861"/>
      <c r="NG854" s="861"/>
      <c r="NH854" s="861"/>
      <c r="NI854" s="861"/>
      <c r="NJ854" s="861"/>
      <c r="NK854" s="861"/>
      <c r="NL854" s="861"/>
      <c r="NM854" s="861"/>
      <c r="NN854" s="861"/>
      <c r="NO854" s="861"/>
      <c r="NP854" s="861"/>
      <c r="NQ854" s="861"/>
      <c r="NR854" s="861"/>
      <c r="NS854" s="861"/>
      <c r="NT854" s="861"/>
      <c r="NU854" s="861"/>
      <c r="NV854" s="861"/>
      <c r="NW854" s="861"/>
      <c r="NX854" s="861"/>
      <c r="NY854" s="861"/>
      <c r="NZ854" s="861"/>
      <c r="OA854" s="861"/>
      <c r="OB854" s="861"/>
      <c r="OC854" s="861"/>
      <c r="OD854" s="861"/>
      <c r="OE854" s="861"/>
      <c r="OF854" s="861"/>
      <c r="OG854" s="861"/>
      <c r="OH854" s="861"/>
      <c r="OI854" s="861"/>
      <c r="OJ854" s="861"/>
      <c r="OK854" s="861"/>
      <c r="OL854" s="861"/>
      <c r="OM854" s="861"/>
      <c r="ON854" s="861"/>
      <c r="OO854" s="861"/>
      <c r="OP854" s="861"/>
      <c r="OQ854" s="861"/>
      <c r="OR854" s="861"/>
      <c r="OS854" s="861"/>
      <c r="OT854" s="861"/>
      <c r="OU854" s="861"/>
      <c r="OV854" s="861"/>
      <c r="OW854" s="861"/>
      <c r="OX854" s="861"/>
      <c r="OY854" s="861"/>
      <c r="OZ854" s="861"/>
      <c r="PA854" s="861"/>
      <c r="PB854" s="861"/>
      <c r="PC854" s="861"/>
      <c r="PD854" s="861"/>
      <c r="PE854" s="861"/>
      <c r="PF854" s="861"/>
      <c r="PG854" s="861"/>
      <c r="PH854" s="861"/>
      <c r="PI854" s="861"/>
      <c r="PJ854" s="861"/>
      <c r="PK854" s="861"/>
      <c r="PL854" s="861"/>
      <c r="PM854" s="861"/>
      <c r="PN854" s="861"/>
      <c r="PO854" s="861"/>
      <c r="PP854" s="861"/>
      <c r="PQ854" s="861"/>
      <c r="PR854" s="861"/>
      <c r="PS854" s="861"/>
      <c r="PT854" s="861"/>
      <c r="PU854" s="861"/>
      <c r="PV854" s="861"/>
      <c r="PW854" s="861"/>
      <c r="PX854" s="861"/>
      <c r="PY854" s="861"/>
      <c r="PZ854" s="861"/>
      <c r="QA854" s="861"/>
      <c r="QB854" s="861"/>
      <c r="QC854" s="861"/>
      <c r="QD854" s="861"/>
      <c r="QE854" s="861"/>
      <c r="QF854" s="861"/>
      <c r="QG854" s="861"/>
      <c r="QH854" s="861"/>
      <c r="QI854" s="861"/>
      <c r="QJ854" s="861"/>
      <c r="QK854" s="861"/>
      <c r="QL854" s="861"/>
      <c r="QM854" s="861"/>
      <c r="QN854" s="861"/>
      <c r="QO854" s="861"/>
      <c r="QP854" s="861"/>
      <c r="QQ854" s="861"/>
      <c r="QR854" s="861"/>
      <c r="QS854" s="861"/>
      <c r="QT854" s="861"/>
      <c r="QU854" s="861"/>
      <c r="QV854" s="861"/>
      <c r="QW854" s="861"/>
      <c r="QX854" s="861"/>
      <c r="QY854" s="861"/>
      <c r="QZ854" s="861"/>
      <c r="RA854" s="861"/>
      <c r="RB854" s="861"/>
      <c r="RC854" s="861"/>
      <c r="RD854" s="861"/>
      <c r="RE854" s="861"/>
      <c r="RF854" s="861"/>
      <c r="RG854" s="861"/>
      <c r="RH854" s="861"/>
      <c r="RI854" s="861"/>
      <c r="RJ854" s="861"/>
      <c r="RK854" s="861"/>
      <c r="RL854" s="861"/>
      <c r="RM854" s="861"/>
      <c r="RN854" s="861"/>
      <c r="RO854" s="861"/>
      <c r="RP854" s="861"/>
      <c r="RQ854" s="861"/>
      <c r="RR854" s="861"/>
      <c r="RS854" s="861"/>
      <c r="RT854" s="861"/>
      <c r="RU854" s="861"/>
      <c r="RV854" s="861"/>
      <c r="RW854" s="861"/>
      <c r="RX854" s="861"/>
      <c r="RY854" s="861"/>
      <c r="RZ854" s="861"/>
      <c r="SA854" s="861"/>
      <c r="SB854" s="861"/>
      <c r="SC854" s="861"/>
      <c r="SD854" s="861"/>
      <c r="SE854" s="861"/>
      <c r="SF854" s="861"/>
      <c r="SG854" s="861"/>
      <c r="SH854" s="861"/>
      <c r="SI854" s="861"/>
      <c r="SJ854" s="861"/>
      <c r="SK854" s="861"/>
      <c r="SL854" s="861"/>
      <c r="SM854" s="861"/>
      <c r="SN854" s="861"/>
      <c r="SO854" s="861"/>
      <c r="SP854" s="861"/>
      <c r="SQ854" s="861"/>
      <c r="SR854" s="861"/>
      <c r="SS854" s="861"/>
      <c r="ST854" s="861"/>
      <c r="SU854" s="861"/>
      <c r="SV854" s="861"/>
      <c r="SW854" s="861"/>
      <c r="SX854" s="861"/>
      <c r="SY854" s="861"/>
      <c r="SZ854" s="861"/>
      <c r="TA854" s="861"/>
      <c r="TB854" s="861"/>
      <c r="TC854" s="861"/>
      <c r="TD854" s="861"/>
      <c r="TE854" s="861"/>
      <c r="TF854" s="861"/>
      <c r="TG854" s="861"/>
      <c r="TH854" s="861"/>
      <c r="TI854" s="861"/>
      <c r="TJ854" s="861"/>
      <c r="TK854" s="861"/>
      <c r="TL854" s="861"/>
      <c r="TM854" s="861"/>
      <c r="TN854" s="861"/>
      <c r="TO854" s="861"/>
      <c r="TP854" s="861"/>
      <c r="TQ854" s="861"/>
      <c r="TR854" s="861"/>
      <c r="TS854" s="861"/>
      <c r="TT854" s="861"/>
      <c r="TU854" s="861"/>
      <c r="TV854" s="861"/>
      <c r="TW854" s="861"/>
      <c r="TX854" s="861"/>
      <c r="TY854" s="861"/>
      <c r="TZ854" s="861"/>
      <c r="UA854" s="861"/>
      <c r="UB854" s="861"/>
      <c r="UC854" s="861"/>
      <c r="UD854" s="861"/>
      <c r="UE854" s="861"/>
      <c r="UF854" s="861"/>
      <c r="UG854" s="862"/>
    </row>
    <row r="855" spans="1:553" s="860" customFormat="1" ht="33" customHeight="1">
      <c r="A855" s="356"/>
      <c r="B855" s="356"/>
      <c r="C855" s="384" t="s">
        <v>72</v>
      </c>
      <c r="D855" s="376" t="s">
        <v>20</v>
      </c>
      <c r="E855" s="376" t="s">
        <v>484</v>
      </c>
      <c r="F855" s="384"/>
      <c r="G855" s="396" t="s">
        <v>33</v>
      </c>
      <c r="H855" s="676"/>
      <c r="I855" s="441">
        <v>533</v>
      </c>
      <c r="J855" s="797">
        <v>10000</v>
      </c>
      <c r="K855" s="857">
        <v>1</v>
      </c>
      <c r="L855" s="481">
        <f t="shared" si="127"/>
        <v>5330000</v>
      </c>
      <c r="M855" s="356"/>
      <c r="N855" s="356"/>
      <c r="O855" s="356"/>
      <c r="P855" s="356"/>
      <c r="Q855" s="610"/>
      <c r="R855" s="1452"/>
      <c r="S855" s="308"/>
      <c r="T855" s="308"/>
      <c r="U855" s="308"/>
      <c r="V855" s="308"/>
      <c r="W855" s="308"/>
      <c r="X855" s="308"/>
      <c r="Y855" s="308"/>
      <c r="Z855" s="604"/>
      <c r="AA855" s="308"/>
      <c r="AB855" s="308"/>
      <c r="AC855" s="449"/>
      <c r="AD855" s="449"/>
      <c r="AE855" s="449"/>
      <c r="AF855" s="449"/>
      <c r="AG855" s="449"/>
      <c r="AH855" s="449"/>
      <c r="AI855" s="449"/>
      <c r="AJ855" s="449"/>
      <c r="AK855" s="452"/>
      <c r="AL855" s="352"/>
      <c r="AM855" s="154"/>
      <c r="AN855" s="154"/>
      <c r="AO855" s="154"/>
      <c r="AP855" s="154"/>
      <c r="AQ855" s="154"/>
      <c r="AR855" s="154"/>
      <c r="AS855" s="154"/>
      <c r="AT855" s="154"/>
      <c r="AU855" s="154"/>
      <c r="AV855" s="154"/>
      <c r="AW855" s="154"/>
      <c r="AX855" s="154"/>
      <c r="AY855" s="154"/>
      <c r="AZ855" s="154"/>
      <c r="BA855" s="154"/>
      <c r="BB855" s="154"/>
      <c r="BC855" s="154"/>
      <c r="BD855" s="154"/>
      <c r="BE855" s="154"/>
      <c r="BF855" s="154"/>
      <c r="BG855" s="154"/>
      <c r="BH855" s="154"/>
      <c r="BI855" s="154"/>
      <c r="BJ855" s="154"/>
      <c r="BK855" s="154"/>
      <c r="BL855" s="154"/>
      <c r="BM855" s="154"/>
      <c r="BN855" s="154"/>
      <c r="BO855" s="154"/>
      <c r="BP855" s="858"/>
      <c r="BQ855" s="858"/>
      <c r="BR855" s="858"/>
      <c r="BS855" s="858"/>
      <c r="BT855" s="858"/>
      <c r="BU855" s="858"/>
      <c r="BV855" s="858"/>
      <c r="BW855" s="858"/>
      <c r="BX855" s="858"/>
      <c r="BY855" s="858"/>
      <c r="BZ855" s="858"/>
      <c r="CA855" s="858"/>
      <c r="CB855" s="858"/>
      <c r="CC855" s="858"/>
      <c r="CD855" s="858"/>
      <c r="CE855" s="858"/>
      <c r="CF855" s="858"/>
      <c r="CG855" s="858"/>
      <c r="CH855" s="858"/>
      <c r="CI855" s="858"/>
      <c r="CJ855" s="858"/>
      <c r="CK855" s="858"/>
      <c r="CL855" s="858"/>
      <c r="CM855" s="858"/>
      <c r="CN855" s="858"/>
      <c r="CO855" s="858"/>
      <c r="CP855" s="858"/>
      <c r="CQ855" s="858"/>
      <c r="CR855" s="858"/>
      <c r="CS855" s="858"/>
      <c r="CT855" s="858"/>
      <c r="CU855" s="858"/>
      <c r="CV855" s="858"/>
      <c r="CW855" s="858"/>
      <c r="CX855" s="858"/>
      <c r="CY855" s="858"/>
      <c r="CZ855" s="858"/>
      <c r="DA855" s="858"/>
      <c r="DB855" s="858"/>
      <c r="DC855" s="858"/>
      <c r="DD855" s="858"/>
      <c r="DE855" s="858"/>
      <c r="DF855" s="858"/>
      <c r="DG855" s="858"/>
      <c r="DH855" s="858"/>
      <c r="DI855" s="858"/>
      <c r="DJ855" s="858"/>
      <c r="DK855" s="858"/>
      <c r="DL855" s="858"/>
      <c r="DM855" s="858"/>
      <c r="DN855" s="858"/>
      <c r="DO855" s="858"/>
      <c r="DP855" s="858"/>
      <c r="DQ855" s="858"/>
      <c r="DR855" s="858"/>
      <c r="DS855" s="858"/>
      <c r="DT855" s="858"/>
      <c r="DU855" s="858"/>
      <c r="DV855" s="858"/>
      <c r="DW855" s="858"/>
      <c r="DX855" s="858"/>
      <c r="DY855" s="858"/>
      <c r="DZ855" s="858"/>
      <c r="EA855" s="858"/>
      <c r="EB855" s="858"/>
      <c r="EC855" s="858"/>
      <c r="ED855" s="858"/>
      <c r="EE855" s="858"/>
      <c r="EF855" s="858"/>
      <c r="EG855" s="858"/>
      <c r="EH855" s="858"/>
      <c r="EI855" s="858"/>
      <c r="EJ855" s="858"/>
      <c r="EK855" s="858"/>
      <c r="EL855" s="858"/>
      <c r="EM855" s="858"/>
      <c r="EN855" s="858"/>
      <c r="EO855" s="858"/>
      <c r="EP855" s="858"/>
      <c r="EQ855" s="858"/>
      <c r="ER855" s="858"/>
      <c r="ES855" s="858"/>
      <c r="ET855" s="858"/>
      <c r="EU855" s="858"/>
      <c r="EV855" s="858"/>
      <c r="EW855" s="858"/>
      <c r="EX855" s="858"/>
      <c r="EY855" s="858"/>
      <c r="EZ855" s="858"/>
      <c r="FA855" s="858"/>
      <c r="FB855" s="858"/>
      <c r="FC855" s="858"/>
      <c r="FD855" s="858"/>
      <c r="FE855" s="858"/>
      <c r="FF855" s="858"/>
      <c r="FG855" s="858"/>
      <c r="FH855" s="858"/>
      <c r="FI855" s="858"/>
      <c r="FJ855" s="858"/>
      <c r="FK855" s="858"/>
      <c r="FL855" s="858"/>
      <c r="FM855" s="858"/>
      <c r="FN855" s="858"/>
      <c r="FO855" s="858"/>
      <c r="FP855" s="858"/>
      <c r="FQ855" s="858"/>
      <c r="FR855" s="858"/>
      <c r="FS855" s="858"/>
      <c r="FT855" s="858"/>
      <c r="FU855" s="858"/>
      <c r="FV855" s="858"/>
      <c r="FW855" s="858"/>
      <c r="FX855" s="858"/>
      <c r="FY855" s="858"/>
      <c r="FZ855" s="858"/>
      <c r="GA855" s="858"/>
      <c r="GB855" s="858"/>
      <c r="GC855" s="858"/>
      <c r="GD855" s="858"/>
      <c r="GE855" s="858"/>
      <c r="GF855" s="858"/>
      <c r="GG855" s="858"/>
      <c r="GH855" s="858"/>
      <c r="GI855" s="858"/>
      <c r="GJ855" s="858"/>
      <c r="GK855" s="858"/>
      <c r="GL855" s="858"/>
      <c r="GM855" s="858"/>
      <c r="GN855" s="858"/>
      <c r="GO855" s="858"/>
      <c r="GP855" s="858"/>
      <c r="GQ855" s="858"/>
      <c r="GR855" s="858"/>
      <c r="GS855" s="858"/>
      <c r="GT855" s="858"/>
      <c r="GU855" s="858"/>
      <c r="GV855" s="858"/>
      <c r="GW855" s="858"/>
      <c r="GX855" s="858"/>
      <c r="GY855" s="858"/>
      <c r="GZ855" s="858"/>
      <c r="HA855" s="858"/>
      <c r="HB855" s="858"/>
      <c r="HC855" s="858"/>
      <c r="HD855" s="858"/>
      <c r="HE855" s="858"/>
      <c r="HF855" s="858"/>
      <c r="HG855" s="858"/>
      <c r="HH855" s="858"/>
      <c r="HI855" s="858"/>
      <c r="HJ855" s="858"/>
      <c r="HK855" s="858"/>
      <c r="HL855" s="858"/>
      <c r="HM855" s="858"/>
      <c r="HN855" s="858"/>
      <c r="HO855" s="858"/>
      <c r="HP855" s="858"/>
      <c r="HQ855" s="858"/>
      <c r="HR855" s="858"/>
      <c r="HS855" s="858"/>
      <c r="HT855" s="858"/>
      <c r="HU855" s="858"/>
      <c r="HV855" s="858"/>
      <c r="HW855" s="858"/>
      <c r="HX855" s="858"/>
      <c r="HY855" s="858"/>
      <c r="HZ855" s="858"/>
      <c r="IA855" s="858"/>
      <c r="IB855" s="858"/>
      <c r="IC855" s="858"/>
      <c r="ID855" s="858"/>
      <c r="IE855" s="858"/>
      <c r="IF855" s="858"/>
      <c r="IG855" s="858"/>
      <c r="IH855" s="858"/>
      <c r="II855" s="858"/>
      <c r="IJ855" s="858"/>
      <c r="IK855" s="858"/>
      <c r="IL855" s="858"/>
      <c r="IM855" s="858"/>
      <c r="IN855" s="858"/>
      <c r="IO855" s="858"/>
      <c r="IP855" s="858"/>
      <c r="IQ855" s="858"/>
      <c r="IR855" s="858"/>
      <c r="IS855" s="858"/>
      <c r="IT855" s="858"/>
      <c r="IU855" s="858"/>
      <c r="IV855" s="858"/>
      <c r="IW855" s="858"/>
      <c r="IX855" s="858"/>
      <c r="IY855" s="858"/>
      <c r="IZ855" s="858"/>
      <c r="JA855" s="858"/>
      <c r="JB855" s="858"/>
      <c r="JC855" s="858"/>
      <c r="JD855" s="858"/>
      <c r="JE855" s="858"/>
      <c r="JF855" s="858"/>
      <c r="JG855" s="858"/>
      <c r="JH855" s="858"/>
      <c r="JI855" s="858"/>
      <c r="JJ855" s="858"/>
      <c r="JK855" s="858"/>
      <c r="JL855" s="858"/>
      <c r="JM855" s="858"/>
      <c r="JN855" s="858"/>
      <c r="JO855" s="858"/>
      <c r="JP855" s="858"/>
      <c r="JQ855" s="858"/>
      <c r="JR855" s="858"/>
      <c r="JS855" s="858"/>
      <c r="JT855" s="858"/>
      <c r="JU855" s="858"/>
      <c r="JV855" s="858"/>
      <c r="JW855" s="858"/>
      <c r="JX855" s="858"/>
      <c r="JY855" s="858"/>
      <c r="JZ855" s="858"/>
      <c r="KA855" s="858"/>
      <c r="KB855" s="858"/>
      <c r="KC855" s="858"/>
      <c r="KD855" s="858"/>
      <c r="KE855" s="858"/>
      <c r="KF855" s="858"/>
      <c r="KG855" s="858"/>
      <c r="KH855" s="858"/>
      <c r="KI855" s="858"/>
      <c r="KJ855" s="858"/>
      <c r="KK855" s="858"/>
      <c r="KL855" s="858"/>
      <c r="KM855" s="858"/>
      <c r="KN855" s="858"/>
      <c r="KO855" s="858"/>
      <c r="KP855" s="858"/>
      <c r="KQ855" s="858"/>
      <c r="KR855" s="858"/>
      <c r="KS855" s="858"/>
      <c r="KT855" s="858"/>
      <c r="KU855" s="858"/>
      <c r="KV855" s="858"/>
      <c r="KW855" s="858"/>
      <c r="KX855" s="858"/>
      <c r="KY855" s="858"/>
      <c r="KZ855" s="858"/>
      <c r="LA855" s="858"/>
      <c r="LB855" s="858"/>
      <c r="LC855" s="858"/>
      <c r="LD855" s="858"/>
      <c r="LE855" s="858"/>
      <c r="LF855" s="858"/>
      <c r="LG855" s="858"/>
      <c r="LH855" s="858"/>
      <c r="LI855" s="858"/>
      <c r="LJ855" s="858"/>
      <c r="LK855" s="858"/>
      <c r="LL855" s="858"/>
      <c r="LM855" s="858"/>
      <c r="LN855" s="858"/>
      <c r="LO855" s="858"/>
      <c r="LP855" s="858"/>
      <c r="LQ855" s="858"/>
      <c r="LR855" s="858"/>
      <c r="LS855" s="858"/>
      <c r="LT855" s="858"/>
      <c r="LU855" s="858"/>
      <c r="LV855" s="858"/>
      <c r="LW855" s="858"/>
      <c r="LX855" s="858"/>
      <c r="LY855" s="858"/>
      <c r="LZ855" s="858"/>
      <c r="MA855" s="858"/>
      <c r="MB855" s="858"/>
      <c r="MC855" s="858"/>
      <c r="MD855" s="858"/>
      <c r="ME855" s="858"/>
      <c r="MF855" s="858"/>
      <c r="MG855" s="858"/>
      <c r="MH855" s="858"/>
      <c r="MI855" s="858"/>
      <c r="MJ855" s="858"/>
      <c r="MK855" s="858"/>
      <c r="ML855" s="858"/>
      <c r="MM855" s="858"/>
      <c r="MN855" s="858"/>
      <c r="MO855" s="858"/>
      <c r="MP855" s="858"/>
      <c r="MQ855" s="858"/>
      <c r="MR855" s="858"/>
      <c r="MS855" s="858"/>
      <c r="MT855" s="858"/>
      <c r="MU855" s="858"/>
      <c r="MV855" s="858"/>
      <c r="MW855" s="858"/>
      <c r="MX855" s="858"/>
      <c r="MY855" s="858"/>
      <c r="MZ855" s="858"/>
      <c r="NA855" s="858"/>
      <c r="NB855" s="858"/>
      <c r="NC855" s="858"/>
      <c r="ND855" s="858"/>
      <c r="NE855" s="858"/>
      <c r="NF855" s="858"/>
      <c r="NG855" s="858"/>
      <c r="NH855" s="858"/>
      <c r="NI855" s="858"/>
      <c r="NJ855" s="858"/>
      <c r="NK855" s="858"/>
      <c r="NL855" s="858"/>
      <c r="NM855" s="858"/>
      <c r="NN855" s="858"/>
      <c r="NO855" s="858"/>
      <c r="NP855" s="858"/>
      <c r="NQ855" s="858"/>
      <c r="NR855" s="858"/>
      <c r="NS855" s="858"/>
      <c r="NT855" s="858"/>
      <c r="NU855" s="858"/>
      <c r="NV855" s="858"/>
      <c r="NW855" s="858"/>
      <c r="NX855" s="858"/>
      <c r="NY855" s="858"/>
      <c r="NZ855" s="858"/>
      <c r="OA855" s="858"/>
      <c r="OB855" s="858"/>
      <c r="OC855" s="858"/>
      <c r="OD855" s="858"/>
      <c r="OE855" s="858"/>
      <c r="OF855" s="858"/>
      <c r="OG855" s="858"/>
      <c r="OH855" s="858"/>
      <c r="OI855" s="858"/>
      <c r="OJ855" s="858"/>
      <c r="OK855" s="858"/>
      <c r="OL855" s="858"/>
      <c r="OM855" s="858"/>
      <c r="ON855" s="858"/>
      <c r="OO855" s="858"/>
      <c r="OP855" s="858"/>
      <c r="OQ855" s="858"/>
      <c r="OR855" s="858"/>
      <c r="OS855" s="858"/>
      <c r="OT855" s="858"/>
      <c r="OU855" s="858"/>
      <c r="OV855" s="858"/>
      <c r="OW855" s="858"/>
      <c r="OX855" s="858"/>
      <c r="OY855" s="858"/>
      <c r="OZ855" s="858"/>
      <c r="PA855" s="858"/>
      <c r="PB855" s="858"/>
      <c r="PC855" s="858"/>
      <c r="PD855" s="858"/>
      <c r="PE855" s="858"/>
      <c r="PF855" s="858"/>
      <c r="PG855" s="858"/>
      <c r="PH855" s="858"/>
      <c r="PI855" s="858"/>
      <c r="PJ855" s="858"/>
      <c r="PK855" s="858"/>
      <c r="PL855" s="858"/>
      <c r="PM855" s="858"/>
      <c r="PN855" s="858"/>
      <c r="PO855" s="858"/>
      <c r="PP855" s="858"/>
      <c r="PQ855" s="858"/>
      <c r="PR855" s="858"/>
      <c r="PS855" s="858"/>
      <c r="PT855" s="858"/>
      <c r="PU855" s="858"/>
      <c r="PV855" s="858"/>
      <c r="PW855" s="858"/>
      <c r="PX855" s="858"/>
      <c r="PY855" s="858"/>
      <c r="PZ855" s="858"/>
      <c r="QA855" s="858"/>
      <c r="QB855" s="858"/>
      <c r="QC855" s="858"/>
      <c r="QD855" s="858"/>
      <c r="QE855" s="858"/>
      <c r="QF855" s="858"/>
      <c r="QG855" s="858"/>
      <c r="QH855" s="858"/>
      <c r="QI855" s="858"/>
      <c r="QJ855" s="858"/>
      <c r="QK855" s="858"/>
      <c r="QL855" s="858"/>
      <c r="QM855" s="858"/>
      <c r="QN855" s="858"/>
      <c r="QO855" s="858"/>
      <c r="QP855" s="858"/>
      <c r="QQ855" s="858"/>
      <c r="QR855" s="858"/>
      <c r="QS855" s="858"/>
      <c r="QT855" s="858"/>
      <c r="QU855" s="858"/>
      <c r="QV855" s="858"/>
      <c r="QW855" s="858"/>
      <c r="QX855" s="858"/>
      <c r="QY855" s="858"/>
      <c r="QZ855" s="858"/>
      <c r="RA855" s="858"/>
      <c r="RB855" s="858"/>
      <c r="RC855" s="858"/>
      <c r="RD855" s="858"/>
      <c r="RE855" s="858"/>
      <c r="RF855" s="858"/>
      <c r="RG855" s="858"/>
      <c r="RH855" s="858"/>
      <c r="RI855" s="858"/>
      <c r="RJ855" s="858"/>
      <c r="RK855" s="858"/>
      <c r="RL855" s="858"/>
      <c r="RM855" s="858"/>
      <c r="RN855" s="858"/>
      <c r="RO855" s="858"/>
      <c r="RP855" s="858"/>
      <c r="RQ855" s="858"/>
      <c r="RR855" s="858"/>
      <c r="RS855" s="858"/>
      <c r="RT855" s="858"/>
      <c r="RU855" s="858"/>
      <c r="RV855" s="858"/>
      <c r="RW855" s="858"/>
      <c r="RX855" s="858"/>
      <c r="RY855" s="858"/>
      <c r="RZ855" s="858"/>
      <c r="SA855" s="858"/>
      <c r="SB855" s="858"/>
      <c r="SC855" s="858"/>
      <c r="SD855" s="858"/>
      <c r="SE855" s="858"/>
      <c r="SF855" s="858"/>
      <c r="SG855" s="858"/>
      <c r="SH855" s="858"/>
      <c r="SI855" s="858"/>
      <c r="SJ855" s="858"/>
      <c r="SK855" s="858"/>
      <c r="SL855" s="858"/>
      <c r="SM855" s="858"/>
      <c r="SN855" s="858"/>
      <c r="SO855" s="858"/>
      <c r="SP855" s="858"/>
      <c r="SQ855" s="858"/>
      <c r="SR855" s="858"/>
      <c r="SS855" s="858"/>
      <c r="ST855" s="858"/>
      <c r="SU855" s="858"/>
      <c r="SV855" s="858"/>
      <c r="SW855" s="858"/>
      <c r="SX855" s="858"/>
      <c r="SY855" s="858"/>
      <c r="SZ855" s="858"/>
      <c r="TA855" s="858"/>
      <c r="TB855" s="858"/>
      <c r="TC855" s="858"/>
      <c r="TD855" s="858"/>
      <c r="TE855" s="858"/>
      <c r="TF855" s="858"/>
      <c r="TG855" s="858"/>
      <c r="TH855" s="858"/>
      <c r="TI855" s="858"/>
      <c r="TJ855" s="858"/>
      <c r="TK855" s="858"/>
      <c r="TL855" s="858"/>
      <c r="TM855" s="858"/>
      <c r="TN855" s="858"/>
      <c r="TO855" s="858"/>
      <c r="TP855" s="858"/>
      <c r="TQ855" s="858"/>
      <c r="TR855" s="858"/>
      <c r="TS855" s="858"/>
      <c r="TT855" s="858"/>
      <c r="TU855" s="858"/>
      <c r="TV855" s="858"/>
      <c r="TW855" s="858"/>
      <c r="TX855" s="858"/>
      <c r="TY855" s="858"/>
      <c r="TZ855" s="858"/>
      <c r="UA855" s="858"/>
      <c r="UB855" s="858"/>
      <c r="UC855" s="858"/>
      <c r="UD855" s="858"/>
      <c r="UE855" s="858"/>
      <c r="UF855" s="858"/>
      <c r="UG855" s="859"/>
    </row>
    <row r="856" spans="1:553" s="860" customFormat="1" ht="33" customHeight="1">
      <c r="A856" s="356"/>
      <c r="B856" s="356"/>
      <c r="C856" s="673" t="s">
        <v>69</v>
      </c>
      <c r="D856" s="397">
        <v>2</v>
      </c>
      <c r="E856" s="397">
        <v>57</v>
      </c>
      <c r="F856" s="673"/>
      <c r="G856" s="674" t="s">
        <v>33</v>
      </c>
      <c r="H856" s="675"/>
      <c r="I856" s="490">
        <v>458.5</v>
      </c>
      <c r="J856" s="797">
        <v>62000</v>
      </c>
      <c r="K856" s="857">
        <v>2.5</v>
      </c>
      <c r="L856" s="481">
        <f t="shared" si="127"/>
        <v>71067500</v>
      </c>
      <c r="M856" s="356"/>
      <c r="N856" s="356"/>
      <c r="O856" s="356"/>
      <c r="P856" s="356"/>
      <c r="Q856" s="610"/>
      <c r="R856" s="1452"/>
      <c r="S856" s="308"/>
      <c r="T856" s="308"/>
      <c r="U856" s="308"/>
      <c r="V856" s="308"/>
      <c r="W856" s="308"/>
      <c r="X856" s="308"/>
      <c r="Y856" s="308"/>
      <c r="Z856" s="604"/>
      <c r="AA856" s="308"/>
      <c r="AB856" s="308"/>
      <c r="AC856" s="449"/>
      <c r="AD856" s="449"/>
      <c r="AE856" s="449"/>
      <c r="AF856" s="449"/>
      <c r="AG856" s="449"/>
      <c r="AH856" s="449"/>
      <c r="AI856" s="449"/>
      <c r="AJ856" s="449"/>
      <c r="AK856" s="452"/>
      <c r="AL856" s="352"/>
      <c r="AM856" s="154"/>
      <c r="AN856" s="154"/>
      <c r="AO856" s="154"/>
      <c r="AP856" s="154"/>
      <c r="AQ856" s="154"/>
      <c r="AR856" s="154"/>
      <c r="AS856" s="154"/>
      <c r="AT856" s="154"/>
      <c r="AU856" s="154"/>
      <c r="AV856" s="154"/>
      <c r="AW856" s="154"/>
      <c r="AX856" s="154"/>
      <c r="AY856" s="154"/>
      <c r="AZ856" s="154"/>
      <c r="BA856" s="154"/>
      <c r="BB856" s="154"/>
      <c r="BC856" s="154"/>
      <c r="BD856" s="154"/>
      <c r="BE856" s="154"/>
      <c r="BF856" s="154"/>
      <c r="BG856" s="154"/>
      <c r="BH856" s="154"/>
      <c r="BI856" s="154"/>
      <c r="BJ856" s="154"/>
      <c r="BK856" s="154"/>
      <c r="BL856" s="154"/>
      <c r="BM856" s="154"/>
      <c r="BN856" s="154"/>
      <c r="BO856" s="154"/>
      <c r="BP856" s="858"/>
      <c r="BQ856" s="858"/>
      <c r="BR856" s="858"/>
      <c r="BS856" s="858"/>
      <c r="BT856" s="858"/>
      <c r="BU856" s="858"/>
      <c r="BV856" s="858"/>
      <c r="BW856" s="858"/>
      <c r="BX856" s="858"/>
      <c r="BY856" s="858"/>
      <c r="BZ856" s="858"/>
      <c r="CA856" s="858"/>
      <c r="CB856" s="858"/>
      <c r="CC856" s="858"/>
      <c r="CD856" s="858"/>
      <c r="CE856" s="858"/>
      <c r="CF856" s="858"/>
      <c r="CG856" s="858"/>
      <c r="CH856" s="858"/>
      <c r="CI856" s="858"/>
      <c r="CJ856" s="858"/>
      <c r="CK856" s="858"/>
      <c r="CL856" s="858"/>
      <c r="CM856" s="858"/>
      <c r="CN856" s="858"/>
      <c r="CO856" s="858"/>
      <c r="CP856" s="858"/>
      <c r="CQ856" s="858"/>
      <c r="CR856" s="858"/>
      <c r="CS856" s="858"/>
      <c r="CT856" s="858"/>
      <c r="CU856" s="858"/>
      <c r="CV856" s="858"/>
      <c r="CW856" s="858"/>
      <c r="CX856" s="858"/>
      <c r="CY856" s="858"/>
      <c r="CZ856" s="858"/>
      <c r="DA856" s="858"/>
      <c r="DB856" s="858"/>
      <c r="DC856" s="858"/>
      <c r="DD856" s="858"/>
      <c r="DE856" s="858"/>
      <c r="DF856" s="858"/>
      <c r="DG856" s="858"/>
      <c r="DH856" s="858"/>
      <c r="DI856" s="858"/>
      <c r="DJ856" s="858"/>
      <c r="DK856" s="858"/>
      <c r="DL856" s="858"/>
      <c r="DM856" s="858"/>
      <c r="DN856" s="858"/>
      <c r="DO856" s="858"/>
      <c r="DP856" s="858"/>
      <c r="DQ856" s="858"/>
      <c r="DR856" s="858"/>
      <c r="DS856" s="858"/>
      <c r="DT856" s="858"/>
      <c r="DU856" s="858"/>
      <c r="DV856" s="858"/>
      <c r="DW856" s="858"/>
      <c r="DX856" s="858"/>
      <c r="DY856" s="858"/>
      <c r="DZ856" s="858"/>
      <c r="EA856" s="858"/>
      <c r="EB856" s="858"/>
      <c r="EC856" s="858"/>
      <c r="ED856" s="858"/>
      <c r="EE856" s="858"/>
      <c r="EF856" s="858"/>
      <c r="EG856" s="858"/>
      <c r="EH856" s="858"/>
      <c r="EI856" s="858"/>
      <c r="EJ856" s="858"/>
      <c r="EK856" s="858"/>
      <c r="EL856" s="858"/>
      <c r="EM856" s="858"/>
      <c r="EN856" s="858"/>
      <c r="EO856" s="858"/>
      <c r="EP856" s="858"/>
      <c r="EQ856" s="858"/>
      <c r="ER856" s="858"/>
      <c r="ES856" s="858"/>
      <c r="ET856" s="858"/>
      <c r="EU856" s="858"/>
      <c r="EV856" s="858"/>
      <c r="EW856" s="858"/>
      <c r="EX856" s="858"/>
      <c r="EY856" s="858"/>
      <c r="EZ856" s="858"/>
      <c r="FA856" s="858"/>
      <c r="FB856" s="858"/>
      <c r="FC856" s="858"/>
      <c r="FD856" s="858"/>
      <c r="FE856" s="858"/>
      <c r="FF856" s="858"/>
      <c r="FG856" s="858"/>
      <c r="FH856" s="858"/>
      <c r="FI856" s="858"/>
      <c r="FJ856" s="858"/>
      <c r="FK856" s="858"/>
      <c r="FL856" s="858"/>
      <c r="FM856" s="858"/>
      <c r="FN856" s="858"/>
      <c r="FO856" s="858"/>
      <c r="FP856" s="858"/>
      <c r="FQ856" s="858"/>
      <c r="FR856" s="858"/>
      <c r="FS856" s="858"/>
      <c r="FT856" s="858"/>
      <c r="FU856" s="858"/>
      <c r="FV856" s="858"/>
      <c r="FW856" s="858"/>
      <c r="FX856" s="858"/>
      <c r="FY856" s="858"/>
      <c r="FZ856" s="858"/>
      <c r="GA856" s="858"/>
      <c r="GB856" s="858"/>
      <c r="GC856" s="858"/>
      <c r="GD856" s="858"/>
      <c r="GE856" s="858"/>
      <c r="GF856" s="858"/>
      <c r="GG856" s="858"/>
      <c r="GH856" s="858"/>
      <c r="GI856" s="858"/>
      <c r="GJ856" s="858"/>
      <c r="GK856" s="858"/>
      <c r="GL856" s="858"/>
      <c r="GM856" s="858"/>
      <c r="GN856" s="858"/>
      <c r="GO856" s="858"/>
      <c r="GP856" s="858"/>
      <c r="GQ856" s="858"/>
      <c r="GR856" s="858"/>
      <c r="GS856" s="858"/>
      <c r="GT856" s="858"/>
      <c r="GU856" s="858"/>
      <c r="GV856" s="858"/>
      <c r="GW856" s="858"/>
      <c r="GX856" s="858"/>
      <c r="GY856" s="858"/>
      <c r="GZ856" s="858"/>
      <c r="HA856" s="858"/>
      <c r="HB856" s="858"/>
      <c r="HC856" s="858"/>
      <c r="HD856" s="858"/>
      <c r="HE856" s="858"/>
      <c r="HF856" s="858"/>
      <c r="HG856" s="858"/>
      <c r="HH856" s="858"/>
      <c r="HI856" s="858"/>
      <c r="HJ856" s="858"/>
      <c r="HK856" s="858"/>
      <c r="HL856" s="858"/>
      <c r="HM856" s="858"/>
      <c r="HN856" s="858"/>
      <c r="HO856" s="858"/>
      <c r="HP856" s="858"/>
      <c r="HQ856" s="858"/>
      <c r="HR856" s="858"/>
      <c r="HS856" s="858"/>
      <c r="HT856" s="858"/>
      <c r="HU856" s="858"/>
      <c r="HV856" s="858"/>
      <c r="HW856" s="858"/>
      <c r="HX856" s="858"/>
      <c r="HY856" s="858"/>
      <c r="HZ856" s="858"/>
      <c r="IA856" s="858"/>
      <c r="IB856" s="858"/>
      <c r="IC856" s="858"/>
      <c r="ID856" s="858"/>
      <c r="IE856" s="858"/>
      <c r="IF856" s="858"/>
      <c r="IG856" s="858"/>
      <c r="IH856" s="858"/>
      <c r="II856" s="858"/>
      <c r="IJ856" s="858"/>
      <c r="IK856" s="858"/>
      <c r="IL856" s="858"/>
      <c r="IM856" s="858"/>
      <c r="IN856" s="858"/>
      <c r="IO856" s="858"/>
      <c r="IP856" s="858"/>
      <c r="IQ856" s="858"/>
      <c r="IR856" s="858"/>
      <c r="IS856" s="858"/>
      <c r="IT856" s="858"/>
      <c r="IU856" s="858"/>
      <c r="IV856" s="858"/>
      <c r="IW856" s="858"/>
      <c r="IX856" s="858"/>
      <c r="IY856" s="858"/>
      <c r="IZ856" s="858"/>
      <c r="JA856" s="858"/>
      <c r="JB856" s="858"/>
      <c r="JC856" s="858"/>
      <c r="JD856" s="858"/>
      <c r="JE856" s="858"/>
      <c r="JF856" s="858"/>
      <c r="JG856" s="858"/>
      <c r="JH856" s="858"/>
      <c r="JI856" s="858"/>
      <c r="JJ856" s="858"/>
      <c r="JK856" s="858"/>
      <c r="JL856" s="858"/>
      <c r="JM856" s="858"/>
      <c r="JN856" s="858"/>
      <c r="JO856" s="858"/>
      <c r="JP856" s="858"/>
      <c r="JQ856" s="858"/>
      <c r="JR856" s="858"/>
      <c r="JS856" s="858"/>
      <c r="JT856" s="858"/>
      <c r="JU856" s="858"/>
      <c r="JV856" s="858"/>
      <c r="JW856" s="858"/>
      <c r="JX856" s="858"/>
      <c r="JY856" s="858"/>
      <c r="JZ856" s="858"/>
      <c r="KA856" s="858"/>
      <c r="KB856" s="858"/>
      <c r="KC856" s="858"/>
      <c r="KD856" s="858"/>
      <c r="KE856" s="858"/>
      <c r="KF856" s="858"/>
      <c r="KG856" s="858"/>
      <c r="KH856" s="858"/>
      <c r="KI856" s="858"/>
      <c r="KJ856" s="858"/>
      <c r="KK856" s="858"/>
      <c r="KL856" s="858"/>
      <c r="KM856" s="858"/>
      <c r="KN856" s="858"/>
      <c r="KO856" s="858"/>
      <c r="KP856" s="858"/>
      <c r="KQ856" s="858"/>
      <c r="KR856" s="858"/>
      <c r="KS856" s="858"/>
      <c r="KT856" s="858"/>
      <c r="KU856" s="858"/>
      <c r="KV856" s="858"/>
      <c r="KW856" s="858"/>
      <c r="KX856" s="858"/>
      <c r="KY856" s="858"/>
      <c r="KZ856" s="858"/>
      <c r="LA856" s="858"/>
      <c r="LB856" s="858"/>
      <c r="LC856" s="858"/>
      <c r="LD856" s="858"/>
      <c r="LE856" s="858"/>
      <c r="LF856" s="858"/>
      <c r="LG856" s="858"/>
      <c r="LH856" s="858"/>
      <c r="LI856" s="858"/>
      <c r="LJ856" s="858"/>
      <c r="LK856" s="858"/>
      <c r="LL856" s="858"/>
      <c r="LM856" s="858"/>
      <c r="LN856" s="858"/>
      <c r="LO856" s="858"/>
      <c r="LP856" s="858"/>
      <c r="LQ856" s="858"/>
      <c r="LR856" s="858"/>
      <c r="LS856" s="858"/>
      <c r="LT856" s="858"/>
      <c r="LU856" s="858"/>
      <c r="LV856" s="858"/>
      <c r="LW856" s="858"/>
      <c r="LX856" s="858"/>
      <c r="LY856" s="858"/>
      <c r="LZ856" s="858"/>
      <c r="MA856" s="858"/>
      <c r="MB856" s="858"/>
      <c r="MC856" s="858"/>
      <c r="MD856" s="858"/>
      <c r="ME856" s="858"/>
      <c r="MF856" s="858"/>
      <c r="MG856" s="858"/>
      <c r="MH856" s="858"/>
      <c r="MI856" s="858"/>
      <c r="MJ856" s="858"/>
      <c r="MK856" s="858"/>
      <c r="ML856" s="858"/>
      <c r="MM856" s="858"/>
      <c r="MN856" s="858"/>
      <c r="MO856" s="858"/>
      <c r="MP856" s="858"/>
      <c r="MQ856" s="858"/>
      <c r="MR856" s="858"/>
      <c r="MS856" s="858"/>
      <c r="MT856" s="858"/>
      <c r="MU856" s="858"/>
      <c r="MV856" s="858"/>
      <c r="MW856" s="858"/>
      <c r="MX856" s="858"/>
      <c r="MY856" s="858"/>
      <c r="MZ856" s="858"/>
      <c r="NA856" s="858"/>
      <c r="NB856" s="858"/>
      <c r="NC856" s="858"/>
      <c r="ND856" s="858"/>
      <c r="NE856" s="858"/>
      <c r="NF856" s="858"/>
      <c r="NG856" s="858"/>
      <c r="NH856" s="858"/>
      <c r="NI856" s="858"/>
      <c r="NJ856" s="858"/>
      <c r="NK856" s="858"/>
      <c r="NL856" s="858"/>
      <c r="NM856" s="858"/>
      <c r="NN856" s="858"/>
      <c r="NO856" s="858"/>
      <c r="NP856" s="858"/>
      <c r="NQ856" s="858"/>
      <c r="NR856" s="858"/>
      <c r="NS856" s="858"/>
      <c r="NT856" s="858"/>
      <c r="NU856" s="858"/>
      <c r="NV856" s="858"/>
      <c r="NW856" s="858"/>
      <c r="NX856" s="858"/>
      <c r="NY856" s="858"/>
      <c r="NZ856" s="858"/>
      <c r="OA856" s="858"/>
      <c r="OB856" s="858"/>
      <c r="OC856" s="858"/>
      <c r="OD856" s="858"/>
      <c r="OE856" s="858"/>
      <c r="OF856" s="858"/>
      <c r="OG856" s="858"/>
      <c r="OH856" s="858"/>
      <c r="OI856" s="858"/>
      <c r="OJ856" s="858"/>
      <c r="OK856" s="858"/>
      <c r="OL856" s="858"/>
      <c r="OM856" s="858"/>
      <c r="ON856" s="858"/>
      <c r="OO856" s="858"/>
      <c r="OP856" s="858"/>
      <c r="OQ856" s="858"/>
      <c r="OR856" s="858"/>
      <c r="OS856" s="858"/>
      <c r="OT856" s="858"/>
      <c r="OU856" s="858"/>
      <c r="OV856" s="858"/>
      <c r="OW856" s="858"/>
      <c r="OX856" s="858"/>
      <c r="OY856" s="858"/>
      <c r="OZ856" s="858"/>
      <c r="PA856" s="858"/>
      <c r="PB856" s="858"/>
      <c r="PC856" s="858"/>
      <c r="PD856" s="858"/>
      <c r="PE856" s="858"/>
      <c r="PF856" s="858"/>
      <c r="PG856" s="858"/>
      <c r="PH856" s="858"/>
      <c r="PI856" s="858"/>
      <c r="PJ856" s="858"/>
      <c r="PK856" s="858"/>
      <c r="PL856" s="858"/>
      <c r="PM856" s="858"/>
      <c r="PN856" s="858"/>
      <c r="PO856" s="858"/>
      <c r="PP856" s="858"/>
      <c r="PQ856" s="858"/>
      <c r="PR856" s="858"/>
      <c r="PS856" s="858"/>
      <c r="PT856" s="858"/>
      <c r="PU856" s="858"/>
      <c r="PV856" s="858"/>
      <c r="PW856" s="858"/>
      <c r="PX856" s="858"/>
      <c r="PY856" s="858"/>
      <c r="PZ856" s="858"/>
      <c r="QA856" s="858"/>
      <c r="QB856" s="858"/>
      <c r="QC856" s="858"/>
      <c r="QD856" s="858"/>
      <c r="QE856" s="858"/>
      <c r="QF856" s="858"/>
      <c r="QG856" s="858"/>
      <c r="QH856" s="858"/>
      <c r="QI856" s="858"/>
      <c r="QJ856" s="858"/>
      <c r="QK856" s="858"/>
      <c r="QL856" s="858"/>
      <c r="QM856" s="858"/>
      <c r="QN856" s="858"/>
      <c r="QO856" s="858"/>
      <c r="QP856" s="858"/>
      <c r="QQ856" s="858"/>
      <c r="QR856" s="858"/>
      <c r="QS856" s="858"/>
      <c r="QT856" s="858"/>
      <c r="QU856" s="858"/>
      <c r="QV856" s="858"/>
      <c r="QW856" s="858"/>
      <c r="QX856" s="858"/>
      <c r="QY856" s="858"/>
      <c r="QZ856" s="858"/>
      <c r="RA856" s="858"/>
      <c r="RB856" s="858"/>
      <c r="RC856" s="858"/>
      <c r="RD856" s="858"/>
      <c r="RE856" s="858"/>
      <c r="RF856" s="858"/>
      <c r="RG856" s="858"/>
      <c r="RH856" s="858"/>
      <c r="RI856" s="858"/>
      <c r="RJ856" s="858"/>
      <c r="RK856" s="858"/>
      <c r="RL856" s="858"/>
      <c r="RM856" s="858"/>
      <c r="RN856" s="858"/>
      <c r="RO856" s="858"/>
      <c r="RP856" s="858"/>
      <c r="RQ856" s="858"/>
      <c r="RR856" s="858"/>
      <c r="RS856" s="858"/>
      <c r="RT856" s="858"/>
      <c r="RU856" s="858"/>
      <c r="RV856" s="858"/>
      <c r="RW856" s="858"/>
      <c r="RX856" s="858"/>
      <c r="RY856" s="858"/>
      <c r="RZ856" s="858"/>
      <c r="SA856" s="858"/>
      <c r="SB856" s="858"/>
      <c r="SC856" s="858"/>
      <c r="SD856" s="858"/>
      <c r="SE856" s="858"/>
      <c r="SF856" s="858"/>
      <c r="SG856" s="858"/>
      <c r="SH856" s="858"/>
      <c r="SI856" s="858"/>
      <c r="SJ856" s="858"/>
      <c r="SK856" s="858"/>
      <c r="SL856" s="858"/>
      <c r="SM856" s="858"/>
      <c r="SN856" s="858"/>
      <c r="SO856" s="858"/>
      <c r="SP856" s="858"/>
      <c r="SQ856" s="858"/>
      <c r="SR856" s="858"/>
      <c r="SS856" s="858"/>
      <c r="ST856" s="858"/>
      <c r="SU856" s="858"/>
      <c r="SV856" s="858"/>
      <c r="SW856" s="858"/>
      <c r="SX856" s="858"/>
      <c r="SY856" s="858"/>
      <c r="SZ856" s="858"/>
      <c r="TA856" s="858"/>
      <c r="TB856" s="858"/>
      <c r="TC856" s="858"/>
      <c r="TD856" s="858"/>
      <c r="TE856" s="858"/>
      <c r="TF856" s="858"/>
      <c r="TG856" s="858"/>
      <c r="TH856" s="858"/>
      <c r="TI856" s="858"/>
      <c r="TJ856" s="858"/>
      <c r="TK856" s="858"/>
      <c r="TL856" s="858"/>
      <c r="TM856" s="858"/>
      <c r="TN856" s="858"/>
      <c r="TO856" s="858"/>
      <c r="TP856" s="858"/>
      <c r="TQ856" s="858"/>
      <c r="TR856" s="858"/>
      <c r="TS856" s="858"/>
      <c r="TT856" s="858"/>
      <c r="TU856" s="858"/>
      <c r="TV856" s="858"/>
      <c r="TW856" s="858"/>
      <c r="TX856" s="858"/>
      <c r="TY856" s="858"/>
      <c r="TZ856" s="858"/>
      <c r="UA856" s="858"/>
      <c r="UB856" s="858"/>
      <c r="UC856" s="858"/>
      <c r="UD856" s="858"/>
      <c r="UE856" s="858"/>
      <c r="UF856" s="858"/>
      <c r="UG856" s="859"/>
    </row>
    <row r="857" spans="1:553" s="860" customFormat="1" ht="33" customHeight="1">
      <c r="A857" s="356"/>
      <c r="B857" s="356"/>
      <c r="C857" s="673" t="s">
        <v>69</v>
      </c>
      <c r="D857" s="397">
        <v>2</v>
      </c>
      <c r="E857" s="397">
        <v>63</v>
      </c>
      <c r="F857" s="673"/>
      <c r="G857" s="674" t="s">
        <v>33</v>
      </c>
      <c r="H857" s="675"/>
      <c r="I857" s="490">
        <v>179</v>
      </c>
      <c r="J857" s="797">
        <v>62000</v>
      </c>
      <c r="K857" s="857">
        <v>2.5</v>
      </c>
      <c r="L857" s="481">
        <f t="shared" si="127"/>
        <v>27745000</v>
      </c>
      <c r="M857" s="356"/>
      <c r="N857" s="356"/>
      <c r="O857" s="356"/>
      <c r="P857" s="356"/>
      <c r="Q857" s="610"/>
      <c r="R857" s="1452"/>
      <c r="S857" s="308"/>
      <c r="T857" s="308"/>
      <c r="U857" s="308"/>
      <c r="V857" s="308"/>
      <c r="W857" s="308"/>
      <c r="X857" s="308"/>
      <c r="Y857" s="308"/>
      <c r="Z857" s="604"/>
      <c r="AA857" s="308"/>
      <c r="AB857" s="308"/>
      <c r="AC857" s="449"/>
      <c r="AD857" s="449"/>
      <c r="AE857" s="449"/>
      <c r="AF857" s="449"/>
      <c r="AG857" s="449"/>
      <c r="AH857" s="449"/>
      <c r="AI857" s="449"/>
      <c r="AJ857" s="449"/>
      <c r="AK857" s="452"/>
      <c r="AL857" s="352"/>
      <c r="AM857" s="154"/>
      <c r="AN857" s="154"/>
      <c r="AO857" s="154"/>
      <c r="AP857" s="154"/>
      <c r="AQ857" s="154"/>
      <c r="AR857" s="154"/>
      <c r="AS857" s="154"/>
      <c r="AT857" s="154"/>
      <c r="AU857" s="154"/>
      <c r="AV857" s="154"/>
      <c r="AW857" s="154"/>
      <c r="AX857" s="154"/>
      <c r="AY857" s="154"/>
      <c r="AZ857" s="154"/>
      <c r="BA857" s="154"/>
      <c r="BB857" s="154"/>
      <c r="BC857" s="154"/>
      <c r="BD857" s="154"/>
      <c r="BE857" s="154"/>
      <c r="BF857" s="154"/>
      <c r="BG857" s="154"/>
      <c r="BH857" s="154"/>
      <c r="BI857" s="154"/>
      <c r="BJ857" s="154"/>
      <c r="BK857" s="154"/>
      <c r="BL857" s="154"/>
      <c r="BM857" s="154"/>
      <c r="BN857" s="154"/>
      <c r="BO857" s="154"/>
      <c r="BP857" s="858"/>
      <c r="BQ857" s="858"/>
      <c r="BR857" s="858"/>
      <c r="BS857" s="858"/>
      <c r="BT857" s="858"/>
      <c r="BU857" s="858"/>
      <c r="BV857" s="858"/>
      <c r="BW857" s="858"/>
      <c r="BX857" s="858"/>
      <c r="BY857" s="858"/>
      <c r="BZ857" s="858"/>
      <c r="CA857" s="858"/>
      <c r="CB857" s="858"/>
      <c r="CC857" s="858"/>
      <c r="CD857" s="858"/>
      <c r="CE857" s="858"/>
      <c r="CF857" s="858"/>
      <c r="CG857" s="858"/>
      <c r="CH857" s="858"/>
      <c r="CI857" s="858"/>
      <c r="CJ857" s="858"/>
      <c r="CK857" s="858"/>
      <c r="CL857" s="858"/>
      <c r="CM857" s="858"/>
      <c r="CN857" s="858"/>
      <c r="CO857" s="858"/>
      <c r="CP857" s="858"/>
      <c r="CQ857" s="858"/>
      <c r="CR857" s="858"/>
      <c r="CS857" s="858"/>
      <c r="CT857" s="858"/>
      <c r="CU857" s="858"/>
      <c r="CV857" s="858"/>
      <c r="CW857" s="858"/>
      <c r="CX857" s="858"/>
      <c r="CY857" s="858"/>
      <c r="CZ857" s="858"/>
      <c r="DA857" s="858"/>
      <c r="DB857" s="858"/>
      <c r="DC857" s="858"/>
      <c r="DD857" s="858"/>
      <c r="DE857" s="858"/>
      <c r="DF857" s="858"/>
      <c r="DG857" s="858"/>
      <c r="DH857" s="858"/>
      <c r="DI857" s="858"/>
      <c r="DJ857" s="858"/>
      <c r="DK857" s="858"/>
      <c r="DL857" s="858"/>
      <c r="DM857" s="858"/>
      <c r="DN857" s="858"/>
      <c r="DO857" s="858"/>
      <c r="DP857" s="858"/>
      <c r="DQ857" s="858"/>
      <c r="DR857" s="858"/>
      <c r="DS857" s="858"/>
      <c r="DT857" s="858"/>
      <c r="DU857" s="858"/>
      <c r="DV857" s="858"/>
      <c r="DW857" s="858"/>
      <c r="DX857" s="858"/>
      <c r="DY857" s="858"/>
      <c r="DZ857" s="858"/>
      <c r="EA857" s="858"/>
      <c r="EB857" s="858"/>
      <c r="EC857" s="858"/>
      <c r="ED857" s="858"/>
      <c r="EE857" s="858"/>
      <c r="EF857" s="858"/>
      <c r="EG857" s="858"/>
      <c r="EH857" s="858"/>
      <c r="EI857" s="858"/>
      <c r="EJ857" s="858"/>
      <c r="EK857" s="858"/>
      <c r="EL857" s="858"/>
      <c r="EM857" s="858"/>
      <c r="EN857" s="858"/>
      <c r="EO857" s="858"/>
      <c r="EP857" s="858"/>
      <c r="EQ857" s="858"/>
      <c r="ER857" s="858"/>
      <c r="ES857" s="858"/>
      <c r="ET857" s="858"/>
      <c r="EU857" s="858"/>
      <c r="EV857" s="858"/>
      <c r="EW857" s="858"/>
      <c r="EX857" s="858"/>
      <c r="EY857" s="858"/>
      <c r="EZ857" s="858"/>
      <c r="FA857" s="858"/>
      <c r="FB857" s="858"/>
      <c r="FC857" s="858"/>
      <c r="FD857" s="858"/>
      <c r="FE857" s="858"/>
      <c r="FF857" s="858"/>
      <c r="FG857" s="858"/>
      <c r="FH857" s="858"/>
      <c r="FI857" s="858"/>
      <c r="FJ857" s="858"/>
      <c r="FK857" s="858"/>
      <c r="FL857" s="858"/>
      <c r="FM857" s="858"/>
      <c r="FN857" s="858"/>
      <c r="FO857" s="858"/>
      <c r="FP857" s="858"/>
      <c r="FQ857" s="858"/>
      <c r="FR857" s="858"/>
      <c r="FS857" s="858"/>
      <c r="FT857" s="858"/>
      <c r="FU857" s="858"/>
      <c r="FV857" s="858"/>
      <c r="FW857" s="858"/>
      <c r="FX857" s="858"/>
      <c r="FY857" s="858"/>
      <c r="FZ857" s="858"/>
      <c r="GA857" s="858"/>
      <c r="GB857" s="858"/>
      <c r="GC857" s="858"/>
      <c r="GD857" s="858"/>
      <c r="GE857" s="858"/>
      <c r="GF857" s="858"/>
      <c r="GG857" s="858"/>
      <c r="GH857" s="858"/>
      <c r="GI857" s="858"/>
      <c r="GJ857" s="858"/>
      <c r="GK857" s="858"/>
      <c r="GL857" s="858"/>
      <c r="GM857" s="858"/>
      <c r="GN857" s="858"/>
      <c r="GO857" s="858"/>
      <c r="GP857" s="858"/>
      <c r="GQ857" s="858"/>
      <c r="GR857" s="858"/>
      <c r="GS857" s="858"/>
      <c r="GT857" s="858"/>
      <c r="GU857" s="858"/>
      <c r="GV857" s="858"/>
      <c r="GW857" s="858"/>
      <c r="GX857" s="858"/>
      <c r="GY857" s="858"/>
      <c r="GZ857" s="858"/>
      <c r="HA857" s="858"/>
      <c r="HB857" s="858"/>
      <c r="HC857" s="858"/>
      <c r="HD857" s="858"/>
      <c r="HE857" s="858"/>
      <c r="HF857" s="858"/>
      <c r="HG857" s="858"/>
      <c r="HH857" s="858"/>
      <c r="HI857" s="858"/>
      <c r="HJ857" s="858"/>
      <c r="HK857" s="858"/>
      <c r="HL857" s="858"/>
      <c r="HM857" s="858"/>
      <c r="HN857" s="858"/>
      <c r="HO857" s="858"/>
      <c r="HP857" s="858"/>
      <c r="HQ857" s="858"/>
      <c r="HR857" s="858"/>
      <c r="HS857" s="858"/>
      <c r="HT857" s="858"/>
      <c r="HU857" s="858"/>
      <c r="HV857" s="858"/>
      <c r="HW857" s="858"/>
      <c r="HX857" s="858"/>
      <c r="HY857" s="858"/>
      <c r="HZ857" s="858"/>
      <c r="IA857" s="858"/>
      <c r="IB857" s="858"/>
      <c r="IC857" s="858"/>
      <c r="ID857" s="858"/>
      <c r="IE857" s="858"/>
      <c r="IF857" s="858"/>
      <c r="IG857" s="858"/>
      <c r="IH857" s="858"/>
      <c r="II857" s="858"/>
      <c r="IJ857" s="858"/>
      <c r="IK857" s="858"/>
      <c r="IL857" s="858"/>
      <c r="IM857" s="858"/>
      <c r="IN857" s="858"/>
      <c r="IO857" s="858"/>
      <c r="IP857" s="858"/>
      <c r="IQ857" s="858"/>
      <c r="IR857" s="858"/>
      <c r="IS857" s="858"/>
      <c r="IT857" s="858"/>
      <c r="IU857" s="858"/>
      <c r="IV857" s="858"/>
      <c r="IW857" s="858"/>
      <c r="IX857" s="858"/>
      <c r="IY857" s="858"/>
      <c r="IZ857" s="858"/>
      <c r="JA857" s="858"/>
      <c r="JB857" s="858"/>
      <c r="JC857" s="858"/>
      <c r="JD857" s="858"/>
      <c r="JE857" s="858"/>
      <c r="JF857" s="858"/>
      <c r="JG857" s="858"/>
      <c r="JH857" s="858"/>
      <c r="JI857" s="858"/>
      <c r="JJ857" s="858"/>
      <c r="JK857" s="858"/>
      <c r="JL857" s="858"/>
      <c r="JM857" s="858"/>
      <c r="JN857" s="858"/>
      <c r="JO857" s="858"/>
      <c r="JP857" s="858"/>
      <c r="JQ857" s="858"/>
      <c r="JR857" s="858"/>
      <c r="JS857" s="858"/>
      <c r="JT857" s="858"/>
      <c r="JU857" s="858"/>
      <c r="JV857" s="858"/>
      <c r="JW857" s="858"/>
      <c r="JX857" s="858"/>
      <c r="JY857" s="858"/>
      <c r="JZ857" s="858"/>
      <c r="KA857" s="858"/>
      <c r="KB857" s="858"/>
      <c r="KC857" s="858"/>
      <c r="KD857" s="858"/>
      <c r="KE857" s="858"/>
      <c r="KF857" s="858"/>
      <c r="KG857" s="858"/>
      <c r="KH857" s="858"/>
      <c r="KI857" s="858"/>
      <c r="KJ857" s="858"/>
      <c r="KK857" s="858"/>
      <c r="KL857" s="858"/>
      <c r="KM857" s="858"/>
      <c r="KN857" s="858"/>
      <c r="KO857" s="858"/>
      <c r="KP857" s="858"/>
      <c r="KQ857" s="858"/>
      <c r="KR857" s="858"/>
      <c r="KS857" s="858"/>
      <c r="KT857" s="858"/>
      <c r="KU857" s="858"/>
      <c r="KV857" s="858"/>
      <c r="KW857" s="858"/>
      <c r="KX857" s="858"/>
      <c r="KY857" s="858"/>
      <c r="KZ857" s="858"/>
      <c r="LA857" s="858"/>
      <c r="LB857" s="858"/>
      <c r="LC857" s="858"/>
      <c r="LD857" s="858"/>
      <c r="LE857" s="858"/>
      <c r="LF857" s="858"/>
      <c r="LG857" s="858"/>
      <c r="LH857" s="858"/>
      <c r="LI857" s="858"/>
      <c r="LJ857" s="858"/>
      <c r="LK857" s="858"/>
      <c r="LL857" s="858"/>
      <c r="LM857" s="858"/>
      <c r="LN857" s="858"/>
      <c r="LO857" s="858"/>
      <c r="LP857" s="858"/>
      <c r="LQ857" s="858"/>
      <c r="LR857" s="858"/>
      <c r="LS857" s="858"/>
      <c r="LT857" s="858"/>
      <c r="LU857" s="858"/>
      <c r="LV857" s="858"/>
      <c r="LW857" s="858"/>
      <c r="LX857" s="858"/>
      <c r="LY857" s="858"/>
      <c r="LZ857" s="858"/>
      <c r="MA857" s="858"/>
      <c r="MB857" s="858"/>
      <c r="MC857" s="858"/>
      <c r="MD857" s="858"/>
      <c r="ME857" s="858"/>
      <c r="MF857" s="858"/>
      <c r="MG857" s="858"/>
      <c r="MH857" s="858"/>
      <c r="MI857" s="858"/>
      <c r="MJ857" s="858"/>
      <c r="MK857" s="858"/>
      <c r="ML857" s="858"/>
      <c r="MM857" s="858"/>
      <c r="MN857" s="858"/>
      <c r="MO857" s="858"/>
      <c r="MP857" s="858"/>
      <c r="MQ857" s="858"/>
      <c r="MR857" s="858"/>
      <c r="MS857" s="858"/>
      <c r="MT857" s="858"/>
      <c r="MU857" s="858"/>
      <c r="MV857" s="858"/>
      <c r="MW857" s="858"/>
      <c r="MX857" s="858"/>
      <c r="MY857" s="858"/>
      <c r="MZ857" s="858"/>
      <c r="NA857" s="858"/>
      <c r="NB857" s="858"/>
      <c r="NC857" s="858"/>
      <c r="ND857" s="858"/>
      <c r="NE857" s="858"/>
      <c r="NF857" s="858"/>
      <c r="NG857" s="858"/>
      <c r="NH857" s="858"/>
      <c r="NI857" s="858"/>
      <c r="NJ857" s="858"/>
      <c r="NK857" s="858"/>
      <c r="NL857" s="858"/>
      <c r="NM857" s="858"/>
      <c r="NN857" s="858"/>
      <c r="NO857" s="858"/>
      <c r="NP857" s="858"/>
      <c r="NQ857" s="858"/>
      <c r="NR857" s="858"/>
      <c r="NS857" s="858"/>
      <c r="NT857" s="858"/>
      <c r="NU857" s="858"/>
      <c r="NV857" s="858"/>
      <c r="NW857" s="858"/>
      <c r="NX857" s="858"/>
      <c r="NY857" s="858"/>
      <c r="NZ857" s="858"/>
      <c r="OA857" s="858"/>
      <c r="OB857" s="858"/>
      <c r="OC857" s="858"/>
      <c r="OD857" s="858"/>
      <c r="OE857" s="858"/>
      <c r="OF857" s="858"/>
      <c r="OG857" s="858"/>
      <c r="OH857" s="858"/>
      <c r="OI857" s="858"/>
      <c r="OJ857" s="858"/>
      <c r="OK857" s="858"/>
      <c r="OL857" s="858"/>
      <c r="OM857" s="858"/>
      <c r="ON857" s="858"/>
      <c r="OO857" s="858"/>
      <c r="OP857" s="858"/>
      <c r="OQ857" s="858"/>
      <c r="OR857" s="858"/>
      <c r="OS857" s="858"/>
      <c r="OT857" s="858"/>
      <c r="OU857" s="858"/>
      <c r="OV857" s="858"/>
      <c r="OW857" s="858"/>
      <c r="OX857" s="858"/>
      <c r="OY857" s="858"/>
      <c r="OZ857" s="858"/>
      <c r="PA857" s="858"/>
      <c r="PB857" s="858"/>
      <c r="PC857" s="858"/>
      <c r="PD857" s="858"/>
      <c r="PE857" s="858"/>
      <c r="PF857" s="858"/>
      <c r="PG857" s="858"/>
      <c r="PH857" s="858"/>
      <c r="PI857" s="858"/>
      <c r="PJ857" s="858"/>
      <c r="PK857" s="858"/>
      <c r="PL857" s="858"/>
      <c r="PM857" s="858"/>
      <c r="PN857" s="858"/>
      <c r="PO857" s="858"/>
      <c r="PP857" s="858"/>
      <c r="PQ857" s="858"/>
      <c r="PR857" s="858"/>
      <c r="PS857" s="858"/>
      <c r="PT857" s="858"/>
      <c r="PU857" s="858"/>
      <c r="PV857" s="858"/>
      <c r="PW857" s="858"/>
      <c r="PX857" s="858"/>
      <c r="PY857" s="858"/>
      <c r="PZ857" s="858"/>
      <c r="QA857" s="858"/>
      <c r="QB857" s="858"/>
      <c r="QC857" s="858"/>
      <c r="QD857" s="858"/>
      <c r="QE857" s="858"/>
      <c r="QF857" s="858"/>
      <c r="QG857" s="858"/>
      <c r="QH857" s="858"/>
      <c r="QI857" s="858"/>
      <c r="QJ857" s="858"/>
      <c r="QK857" s="858"/>
      <c r="QL857" s="858"/>
      <c r="QM857" s="858"/>
      <c r="QN857" s="858"/>
      <c r="QO857" s="858"/>
      <c r="QP857" s="858"/>
      <c r="QQ857" s="858"/>
      <c r="QR857" s="858"/>
      <c r="QS857" s="858"/>
      <c r="QT857" s="858"/>
      <c r="QU857" s="858"/>
      <c r="QV857" s="858"/>
      <c r="QW857" s="858"/>
      <c r="QX857" s="858"/>
      <c r="QY857" s="858"/>
      <c r="QZ857" s="858"/>
      <c r="RA857" s="858"/>
      <c r="RB857" s="858"/>
      <c r="RC857" s="858"/>
      <c r="RD857" s="858"/>
      <c r="RE857" s="858"/>
      <c r="RF857" s="858"/>
      <c r="RG857" s="858"/>
      <c r="RH857" s="858"/>
      <c r="RI857" s="858"/>
      <c r="RJ857" s="858"/>
      <c r="RK857" s="858"/>
      <c r="RL857" s="858"/>
      <c r="RM857" s="858"/>
      <c r="RN857" s="858"/>
      <c r="RO857" s="858"/>
      <c r="RP857" s="858"/>
      <c r="RQ857" s="858"/>
      <c r="RR857" s="858"/>
      <c r="RS857" s="858"/>
      <c r="RT857" s="858"/>
      <c r="RU857" s="858"/>
      <c r="RV857" s="858"/>
      <c r="RW857" s="858"/>
      <c r="RX857" s="858"/>
      <c r="RY857" s="858"/>
      <c r="RZ857" s="858"/>
      <c r="SA857" s="858"/>
      <c r="SB857" s="858"/>
      <c r="SC857" s="858"/>
      <c r="SD857" s="858"/>
      <c r="SE857" s="858"/>
      <c r="SF857" s="858"/>
      <c r="SG857" s="858"/>
      <c r="SH857" s="858"/>
      <c r="SI857" s="858"/>
      <c r="SJ857" s="858"/>
      <c r="SK857" s="858"/>
      <c r="SL857" s="858"/>
      <c r="SM857" s="858"/>
      <c r="SN857" s="858"/>
      <c r="SO857" s="858"/>
      <c r="SP857" s="858"/>
      <c r="SQ857" s="858"/>
      <c r="SR857" s="858"/>
      <c r="SS857" s="858"/>
      <c r="ST857" s="858"/>
      <c r="SU857" s="858"/>
      <c r="SV857" s="858"/>
      <c r="SW857" s="858"/>
      <c r="SX857" s="858"/>
      <c r="SY857" s="858"/>
      <c r="SZ857" s="858"/>
      <c r="TA857" s="858"/>
      <c r="TB857" s="858"/>
      <c r="TC857" s="858"/>
      <c r="TD857" s="858"/>
      <c r="TE857" s="858"/>
      <c r="TF857" s="858"/>
      <c r="TG857" s="858"/>
      <c r="TH857" s="858"/>
      <c r="TI857" s="858"/>
      <c r="TJ857" s="858"/>
      <c r="TK857" s="858"/>
      <c r="TL857" s="858"/>
      <c r="TM857" s="858"/>
      <c r="TN857" s="858"/>
      <c r="TO857" s="858"/>
      <c r="TP857" s="858"/>
      <c r="TQ857" s="858"/>
      <c r="TR857" s="858"/>
      <c r="TS857" s="858"/>
      <c r="TT857" s="858"/>
      <c r="TU857" s="858"/>
      <c r="TV857" s="858"/>
      <c r="TW857" s="858"/>
      <c r="TX857" s="858"/>
      <c r="TY857" s="858"/>
      <c r="TZ857" s="858"/>
      <c r="UA857" s="858"/>
      <c r="UB857" s="858"/>
      <c r="UC857" s="858"/>
      <c r="UD857" s="858"/>
      <c r="UE857" s="858"/>
      <c r="UF857" s="858"/>
      <c r="UG857" s="859"/>
    </row>
    <row r="858" spans="1:553" s="860" customFormat="1" ht="33" customHeight="1">
      <c r="A858" s="356"/>
      <c r="B858" s="356"/>
      <c r="C858" s="673" t="s">
        <v>69</v>
      </c>
      <c r="D858" s="397">
        <v>2</v>
      </c>
      <c r="E858" s="397">
        <v>71</v>
      </c>
      <c r="F858" s="673"/>
      <c r="G858" s="674" t="s">
        <v>33</v>
      </c>
      <c r="H858" s="675"/>
      <c r="I858" s="490">
        <v>126.4</v>
      </c>
      <c r="J858" s="797">
        <v>62000</v>
      </c>
      <c r="K858" s="857">
        <v>2.5</v>
      </c>
      <c r="L858" s="481">
        <f t="shared" si="127"/>
        <v>19592000</v>
      </c>
      <c r="M858" s="356"/>
      <c r="N858" s="356"/>
      <c r="O858" s="356"/>
      <c r="P858" s="356"/>
      <c r="Q858" s="610"/>
      <c r="R858" s="1452"/>
      <c r="S858" s="308"/>
      <c r="T858" s="308"/>
      <c r="U858" s="308"/>
      <c r="V858" s="308"/>
      <c r="W858" s="308"/>
      <c r="X858" s="308"/>
      <c r="Y858" s="308"/>
      <c r="Z858" s="604"/>
      <c r="AA858" s="308"/>
      <c r="AB858" s="308"/>
      <c r="AC858" s="449"/>
      <c r="AD858" s="449"/>
      <c r="AE858" s="449"/>
      <c r="AF858" s="449"/>
      <c r="AG858" s="449"/>
      <c r="AH858" s="449"/>
      <c r="AI858" s="449"/>
      <c r="AJ858" s="449"/>
      <c r="AK858" s="452"/>
      <c r="AL858" s="352"/>
      <c r="AM858" s="154"/>
      <c r="AN858" s="154"/>
      <c r="AO858" s="154"/>
      <c r="AP858" s="154"/>
      <c r="AQ858" s="154"/>
      <c r="AR858" s="154"/>
      <c r="AS858" s="154"/>
      <c r="AT858" s="154"/>
      <c r="AU858" s="154"/>
      <c r="AV858" s="154"/>
      <c r="AW858" s="154"/>
      <c r="AX858" s="154"/>
      <c r="AY858" s="154"/>
      <c r="AZ858" s="154"/>
      <c r="BA858" s="154"/>
      <c r="BB858" s="154"/>
      <c r="BC858" s="154"/>
      <c r="BD858" s="154"/>
      <c r="BE858" s="154"/>
      <c r="BF858" s="154"/>
      <c r="BG858" s="154"/>
      <c r="BH858" s="154"/>
      <c r="BI858" s="154"/>
      <c r="BJ858" s="154"/>
      <c r="BK858" s="154"/>
      <c r="BL858" s="154"/>
      <c r="BM858" s="154"/>
      <c r="BN858" s="154"/>
      <c r="BO858" s="154"/>
      <c r="BP858" s="858"/>
      <c r="BQ858" s="858"/>
      <c r="BR858" s="858"/>
      <c r="BS858" s="858"/>
      <c r="BT858" s="858"/>
      <c r="BU858" s="858"/>
      <c r="BV858" s="858"/>
      <c r="BW858" s="858"/>
      <c r="BX858" s="858"/>
      <c r="BY858" s="858"/>
      <c r="BZ858" s="858"/>
      <c r="CA858" s="858"/>
      <c r="CB858" s="858"/>
      <c r="CC858" s="858"/>
      <c r="CD858" s="858"/>
      <c r="CE858" s="858"/>
      <c r="CF858" s="858"/>
      <c r="CG858" s="858"/>
      <c r="CH858" s="858"/>
      <c r="CI858" s="858"/>
      <c r="CJ858" s="858"/>
      <c r="CK858" s="858"/>
      <c r="CL858" s="858"/>
      <c r="CM858" s="858"/>
      <c r="CN858" s="858"/>
      <c r="CO858" s="858"/>
      <c r="CP858" s="858"/>
      <c r="CQ858" s="858"/>
      <c r="CR858" s="858"/>
      <c r="CS858" s="858"/>
      <c r="CT858" s="858"/>
      <c r="CU858" s="858"/>
      <c r="CV858" s="858"/>
      <c r="CW858" s="858"/>
      <c r="CX858" s="858"/>
      <c r="CY858" s="858"/>
      <c r="CZ858" s="858"/>
      <c r="DA858" s="858"/>
      <c r="DB858" s="858"/>
      <c r="DC858" s="858"/>
      <c r="DD858" s="858"/>
      <c r="DE858" s="858"/>
      <c r="DF858" s="858"/>
      <c r="DG858" s="858"/>
      <c r="DH858" s="858"/>
      <c r="DI858" s="858"/>
      <c r="DJ858" s="858"/>
      <c r="DK858" s="858"/>
      <c r="DL858" s="858"/>
      <c r="DM858" s="858"/>
      <c r="DN858" s="858"/>
      <c r="DO858" s="858"/>
      <c r="DP858" s="858"/>
      <c r="DQ858" s="858"/>
      <c r="DR858" s="858"/>
      <c r="DS858" s="858"/>
      <c r="DT858" s="858"/>
      <c r="DU858" s="858"/>
      <c r="DV858" s="858"/>
      <c r="DW858" s="858"/>
      <c r="DX858" s="858"/>
      <c r="DY858" s="858"/>
      <c r="DZ858" s="858"/>
      <c r="EA858" s="858"/>
      <c r="EB858" s="858"/>
      <c r="EC858" s="858"/>
      <c r="ED858" s="858"/>
      <c r="EE858" s="858"/>
      <c r="EF858" s="858"/>
      <c r="EG858" s="858"/>
      <c r="EH858" s="858"/>
      <c r="EI858" s="858"/>
      <c r="EJ858" s="858"/>
      <c r="EK858" s="858"/>
      <c r="EL858" s="858"/>
      <c r="EM858" s="858"/>
      <c r="EN858" s="858"/>
      <c r="EO858" s="858"/>
      <c r="EP858" s="858"/>
      <c r="EQ858" s="858"/>
      <c r="ER858" s="858"/>
      <c r="ES858" s="858"/>
      <c r="ET858" s="858"/>
      <c r="EU858" s="858"/>
      <c r="EV858" s="858"/>
      <c r="EW858" s="858"/>
      <c r="EX858" s="858"/>
      <c r="EY858" s="858"/>
      <c r="EZ858" s="858"/>
      <c r="FA858" s="858"/>
      <c r="FB858" s="858"/>
      <c r="FC858" s="858"/>
      <c r="FD858" s="858"/>
      <c r="FE858" s="858"/>
      <c r="FF858" s="858"/>
      <c r="FG858" s="858"/>
      <c r="FH858" s="858"/>
      <c r="FI858" s="858"/>
      <c r="FJ858" s="858"/>
      <c r="FK858" s="858"/>
      <c r="FL858" s="858"/>
      <c r="FM858" s="858"/>
      <c r="FN858" s="858"/>
      <c r="FO858" s="858"/>
      <c r="FP858" s="858"/>
      <c r="FQ858" s="858"/>
      <c r="FR858" s="858"/>
      <c r="FS858" s="858"/>
      <c r="FT858" s="858"/>
      <c r="FU858" s="858"/>
      <c r="FV858" s="858"/>
      <c r="FW858" s="858"/>
      <c r="FX858" s="858"/>
      <c r="FY858" s="858"/>
      <c r="FZ858" s="858"/>
      <c r="GA858" s="858"/>
      <c r="GB858" s="858"/>
      <c r="GC858" s="858"/>
      <c r="GD858" s="858"/>
      <c r="GE858" s="858"/>
      <c r="GF858" s="858"/>
      <c r="GG858" s="858"/>
      <c r="GH858" s="858"/>
      <c r="GI858" s="858"/>
      <c r="GJ858" s="858"/>
      <c r="GK858" s="858"/>
      <c r="GL858" s="858"/>
      <c r="GM858" s="858"/>
      <c r="GN858" s="858"/>
      <c r="GO858" s="858"/>
      <c r="GP858" s="858"/>
      <c r="GQ858" s="858"/>
      <c r="GR858" s="858"/>
      <c r="GS858" s="858"/>
      <c r="GT858" s="858"/>
      <c r="GU858" s="858"/>
      <c r="GV858" s="858"/>
      <c r="GW858" s="858"/>
      <c r="GX858" s="858"/>
      <c r="GY858" s="858"/>
      <c r="GZ858" s="858"/>
      <c r="HA858" s="858"/>
      <c r="HB858" s="858"/>
      <c r="HC858" s="858"/>
      <c r="HD858" s="858"/>
      <c r="HE858" s="858"/>
      <c r="HF858" s="858"/>
      <c r="HG858" s="858"/>
      <c r="HH858" s="858"/>
      <c r="HI858" s="858"/>
      <c r="HJ858" s="858"/>
      <c r="HK858" s="858"/>
      <c r="HL858" s="858"/>
      <c r="HM858" s="858"/>
      <c r="HN858" s="858"/>
      <c r="HO858" s="858"/>
      <c r="HP858" s="858"/>
      <c r="HQ858" s="858"/>
      <c r="HR858" s="858"/>
      <c r="HS858" s="858"/>
      <c r="HT858" s="858"/>
      <c r="HU858" s="858"/>
      <c r="HV858" s="858"/>
      <c r="HW858" s="858"/>
      <c r="HX858" s="858"/>
      <c r="HY858" s="858"/>
      <c r="HZ858" s="858"/>
      <c r="IA858" s="858"/>
      <c r="IB858" s="858"/>
      <c r="IC858" s="858"/>
      <c r="ID858" s="858"/>
      <c r="IE858" s="858"/>
      <c r="IF858" s="858"/>
      <c r="IG858" s="858"/>
      <c r="IH858" s="858"/>
      <c r="II858" s="858"/>
      <c r="IJ858" s="858"/>
      <c r="IK858" s="858"/>
      <c r="IL858" s="858"/>
      <c r="IM858" s="858"/>
      <c r="IN858" s="858"/>
      <c r="IO858" s="858"/>
      <c r="IP858" s="858"/>
      <c r="IQ858" s="858"/>
      <c r="IR858" s="858"/>
      <c r="IS858" s="858"/>
      <c r="IT858" s="858"/>
      <c r="IU858" s="858"/>
      <c r="IV858" s="858"/>
      <c r="IW858" s="858"/>
      <c r="IX858" s="858"/>
      <c r="IY858" s="858"/>
      <c r="IZ858" s="858"/>
      <c r="JA858" s="858"/>
      <c r="JB858" s="858"/>
      <c r="JC858" s="858"/>
      <c r="JD858" s="858"/>
      <c r="JE858" s="858"/>
      <c r="JF858" s="858"/>
      <c r="JG858" s="858"/>
      <c r="JH858" s="858"/>
      <c r="JI858" s="858"/>
      <c r="JJ858" s="858"/>
      <c r="JK858" s="858"/>
      <c r="JL858" s="858"/>
      <c r="JM858" s="858"/>
      <c r="JN858" s="858"/>
      <c r="JO858" s="858"/>
      <c r="JP858" s="858"/>
      <c r="JQ858" s="858"/>
      <c r="JR858" s="858"/>
      <c r="JS858" s="858"/>
      <c r="JT858" s="858"/>
      <c r="JU858" s="858"/>
      <c r="JV858" s="858"/>
      <c r="JW858" s="858"/>
      <c r="JX858" s="858"/>
      <c r="JY858" s="858"/>
      <c r="JZ858" s="858"/>
      <c r="KA858" s="858"/>
      <c r="KB858" s="858"/>
      <c r="KC858" s="858"/>
      <c r="KD858" s="858"/>
      <c r="KE858" s="858"/>
      <c r="KF858" s="858"/>
      <c r="KG858" s="858"/>
      <c r="KH858" s="858"/>
      <c r="KI858" s="858"/>
      <c r="KJ858" s="858"/>
      <c r="KK858" s="858"/>
      <c r="KL858" s="858"/>
      <c r="KM858" s="858"/>
      <c r="KN858" s="858"/>
      <c r="KO858" s="858"/>
      <c r="KP858" s="858"/>
      <c r="KQ858" s="858"/>
      <c r="KR858" s="858"/>
      <c r="KS858" s="858"/>
      <c r="KT858" s="858"/>
      <c r="KU858" s="858"/>
      <c r="KV858" s="858"/>
      <c r="KW858" s="858"/>
      <c r="KX858" s="858"/>
      <c r="KY858" s="858"/>
      <c r="KZ858" s="858"/>
      <c r="LA858" s="858"/>
      <c r="LB858" s="858"/>
      <c r="LC858" s="858"/>
      <c r="LD858" s="858"/>
      <c r="LE858" s="858"/>
      <c r="LF858" s="858"/>
      <c r="LG858" s="858"/>
      <c r="LH858" s="858"/>
      <c r="LI858" s="858"/>
      <c r="LJ858" s="858"/>
      <c r="LK858" s="858"/>
      <c r="LL858" s="858"/>
      <c r="LM858" s="858"/>
      <c r="LN858" s="858"/>
      <c r="LO858" s="858"/>
      <c r="LP858" s="858"/>
      <c r="LQ858" s="858"/>
      <c r="LR858" s="858"/>
      <c r="LS858" s="858"/>
      <c r="LT858" s="858"/>
      <c r="LU858" s="858"/>
      <c r="LV858" s="858"/>
      <c r="LW858" s="858"/>
      <c r="LX858" s="858"/>
      <c r="LY858" s="858"/>
      <c r="LZ858" s="858"/>
      <c r="MA858" s="858"/>
      <c r="MB858" s="858"/>
      <c r="MC858" s="858"/>
      <c r="MD858" s="858"/>
      <c r="ME858" s="858"/>
      <c r="MF858" s="858"/>
      <c r="MG858" s="858"/>
      <c r="MH858" s="858"/>
      <c r="MI858" s="858"/>
      <c r="MJ858" s="858"/>
      <c r="MK858" s="858"/>
      <c r="ML858" s="858"/>
      <c r="MM858" s="858"/>
      <c r="MN858" s="858"/>
      <c r="MO858" s="858"/>
      <c r="MP858" s="858"/>
      <c r="MQ858" s="858"/>
      <c r="MR858" s="858"/>
      <c r="MS858" s="858"/>
      <c r="MT858" s="858"/>
      <c r="MU858" s="858"/>
      <c r="MV858" s="858"/>
      <c r="MW858" s="858"/>
      <c r="MX858" s="858"/>
      <c r="MY858" s="858"/>
      <c r="MZ858" s="858"/>
      <c r="NA858" s="858"/>
      <c r="NB858" s="858"/>
      <c r="NC858" s="858"/>
      <c r="ND858" s="858"/>
      <c r="NE858" s="858"/>
      <c r="NF858" s="858"/>
      <c r="NG858" s="858"/>
      <c r="NH858" s="858"/>
      <c r="NI858" s="858"/>
      <c r="NJ858" s="858"/>
      <c r="NK858" s="858"/>
      <c r="NL858" s="858"/>
      <c r="NM858" s="858"/>
      <c r="NN858" s="858"/>
      <c r="NO858" s="858"/>
      <c r="NP858" s="858"/>
      <c r="NQ858" s="858"/>
      <c r="NR858" s="858"/>
      <c r="NS858" s="858"/>
      <c r="NT858" s="858"/>
      <c r="NU858" s="858"/>
      <c r="NV858" s="858"/>
      <c r="NW858" s="858"/>
      <c r="NX858" s="858"/>
      <c r="NY858" s="858"/>
      <c r="NZ858" s="858"/>
      <c r="OA858" s="858"/>
      <c r="OB858" s="858"/>
      <c r="OC858" s="858"/>
      <c r="OD858" s="858"/>
      <c r="OE858" s="858"/>
      <c r="OF858" s="858"/>
      <c r="OG858" s="858"/>
      <c r="OH858" s="858"/>
      <c r="OI858" s="858"/>
      <c r="OJ858" s="858"/>
      <c r="OK858" s="858"/>
      <c r="OL858" s="858"/>
      <c r="OM858" s="858"/>
      <c r="ON858" s="858"/>
      <c r="OO858" s="858"/>
      <c r="OP858" s="858"/>
      <c r="OQ858" s="858"/>
      <c r="OR858" s="858"/>
      <c r="OS858" s="858"/>
      <c r="OT858" s="858"/>
      <c r="OU858" s="858"/>
      <c r="OV858" s="858"/>
      <c r="OW858" s="858"/>
      <c r="OX858" s="858"/>
      <c r="OY858" s="858"/>
      <c r="OZ858" s="858"/>
      <c r="PA858" s="858"/>
      <c r="PB858" s="858"/>
      <c r="PC858" s="858"/>
      <c r="PD858" s="858"/>
      <c r="PE858" s="858"/>
      <c r="PF858" s="858"/>
      <c r="PG858" s="858"/>
      <c r="PH858" s="858"/>
      <c r="PI858" s="858"/>
      <c r="PJ858" s="858"/>
      <c r="PK858" s="858"/>
      <c r="PL858" s="858"/>
      <c r="PM858" s="858"/>
      <c r="PN858" s="858"/>
      <c r="PO858" s="858"/>
      <c r="PP858" s="858"/>
      <c r="PQ858" s="858"/>
      <c r="PR858" s="858"/>
      <c r="PS858" s="858"/>
      <c r="PT858" s="858"/>
      <c r="PU858" s="858"/>
      <c r="PV858" s="858"/>
      <c r="PW858" s="858"/>
      <c r="PX858" s="858"/>
      <c r="PY858" s="858"/>
      <c r="PZ858" s="858"/>
      <c r="QA858" s="858"/>
      <c r="QB858" s="858"/>
      <c r="QC858" s="858"/>
      <c r="QD858" s="858"/>
      <c r="QE858" s="858"/>
      <c r="QF858" s="858"/>
      <c r="QG858" s="858"/>
      <c r="QH858" s="858"/>
      <c r="QI858" s="858"/>
      <c r="QJ858" s="858"/>
      <c r="QK858" s="858"/>
      <c r="QL858" s="858"/>
      <c r="QM858" s="858"/>
      <c r="QN858" s="858"/>
      <c r="QO858" s="858"/>
      <c r="QP858" s="858"/>
      <c r="QQ858" s="858"/>
      <c r="QR858" s="858"/>
      <c r="QS858" s="858"/>
      <c r="QT858" s="858"/>
      <c r="QU858" s="858"/>
      <c r="QV858" s="858"/>
      <c r="QW858" s="858"/>
      <c r="QX858" s="858"/>
      <c r="QY858" s="858"/>
      <c r="QZ858" s="858"/>
      <c r="RA858" s="858"/>
      <c r="RB858" s="858"/>
      <c r="RC858" s="858"/>
      <c r="RD858" s="858"/>
      <c r="RE858" s="858"/>
      <c r="RF858" s="858"/>
      <c r="RG858" s="858"/>
      <c r="RH858" s="858"/>
      <c r="RI858" s="858"/>
      <c r="RJ858" s="858"/>
      <c r="RK858" s="858"/>
      <c r="RL858" s="858"/>
      <c r="RM858" s="858"/>
      <c r="RN858" s="858"/>
      <c r="RO858" s="858"/>
      <c r="RP858" s="858"/>
      <c r="RQ858" s="858"/>
      <c r="RR858" s="858"/>
      <c r="RS858" s="858"/>
      <c r="RT858" s="858"/>
      <c r="RU858" s="858"/>
      <c r="RV858" s="858"/>
      <c r="RW858" s="858"/>
      <c r="RX858" s="858"/>
      <c r="RY858" s="858"/>
      <c r="RZ858" s="858"/>
      <c r="SA858" s="858"/>
      <c r="SB858" s="858"/>
      <c r="SC858" s="858"/>
      <c r="SD858" s="858"/>
      <c r="SE858" s="858"/>
      <c r="SF858" s="858"/>
      <c r="SG858" s="858"/>
      <c r="SH858" s="858"/>
      <c r="SI858" s="858"/>
      <c r="SJ858" s="858"/>
      <c r="SK858" s="858"/>
      <c r="SL858" s="858"/>
      <c r="SM858" s="858"/>
      <c r="SN858" s="858"/>
      <c r="SO858" s="858"/>
      <c r="SP858" s="858"/>
      <c r="SQ858" s="858"/>
      <c r="SR858" s="858"/>
      <c r="SS858" s="858"/>
      <c r="ST858" s="858"/>
      <c r="SU858" s="858"/>
      <c r="SV858" s="858"/>
      <c r="SW858" s="858"/>
      <c r="SX858" s="858"/>
      <c r="SY858" s="858"/>
      <c r="SZ858" s="858"/>
      <c r="TA858" s="858"/>
      <c r="TB858" s="858"/>
      <c r="TC858" s="858"/>
      <c r="TD858" s="858"/>
      <c r="TE858" s="858"/>
      <c r="TF858" s="858"/>
      <c r="TG858" s="858"/>
      <c r="TH858" s="858"/>
      <c r="TI858" s="858"/>
      <c r="TJ858" s="858"/>
      <c r="TK858" s="858"/>
      <c r="TL858" s="858"/>
      <c r="TM858" s="858"/>
      <c r="TN858" s="858"/>
      <c r="TO858" s="858"/>
      <c r="TP858" s="858"/>
      <c r="TQ858" s="858"/>
      <c r="TR858" s="858"/>
      <c r="TS858" s="858"/>
      <c r="TT858" s="858"/>
      <c r="TU858" s="858"/>
      <c r="TV858" s="858"/>
      <c r="TW858" s="858"/>
      <c r="TX858" s="858"/>
      <c r="TY858" s="858"/>
      <c r="TZ858" s="858"/>
      <c r="UA858" s="858"/>
      <c r="UB858" s="858"/>
      <c r="UC858" s="858"/>
      <c r="UD858" s="858"/>
      <c r="UE858" s="858"/>
      <c r="UF858" s="858"/>
      <c r="UG858" s="859"/>
    </row>
    <row r="859" spans="1:553" s="860" customFormat="1" ht="33" customHeight="1">
      <c r="A859" s="356"/>
      <c r="B859" s="356"/>
      <c r="C859" s="384" t="s">
        <v>72</v>
      </c>
      <c r="D859" s="376" t="s">
        <v>20</v>
      </c>
      <c r="E859" s="376" t="s">
        <v>489</v>
      </c>
      <c r="F859" s="384"/>
      <c r="G859" s="396" t="s">
        <v>33</v>
      </c>
      <c r="H859" s="676"/>
      <c r="I859" s="441">
        <v>767.7</v>
      </c>
      <c r="J859" s="797">
        <v>10000</v>
      </c>
      <c r="K859" s="857">
        <v>1</v>
      </c>
      <c r="L859" s="481">
        <f t="shared" si="127"/>
        <v>7677000</v>
      </c>
      <c r="M859" s="356"/>
      <c r="N859" s="356"/>
      <c r="O859" s="356"/>
      <c r="P859" s="356"/>
      <c r="Q859" s="610"/>
      <c r="R859" s="1452"/>
      <c r="S859" s="308"/>
      <c r="T859" s="308"/>
      <c r="U859" s="308"/>
      <c r="V859" s="308"/>
      <c r="W859" s="308"/>
      <c r="X859" s="308"/>
      <c r="Y859" s="308"/>
      <c r="Z859" s="604"/>
      <c r="AA859" s="308"/>
      <c r="AB859" s="308"/>
      <c r="AC859" s="449"/>
      <c r="AD859" s="449"/>
      <c r="AE859" s="449"/>
      <c r="AF859" s="449"/>
      <c r="AG859" s="449"/>
      <c r="AH859" s="449"/>
      <c r="AI859" s="449"/>
      <c r="AJ859" s="449"/>
      <c r="AK859" s="452"/>
      <c r="AL859" s="352"/>
      <c r="AM859" s="154"/>
      <c r="AN859" s="154"/>
      <c r="AO859" s="154"/>
      <c r="AP859" s="154"/>
      <c r="AQ859" s="154"/>
      <c r="AR859" s="154"/>
      <c r="AS859" s="154"/>
      <c r="AT859" s="154"/>
      <c r="AU859" s="154"/>
      <c r="AV859" s="154"/>
      <c r="AW859" s="154"/>
      <c r="AX859" s="154"/>
      <c r="AY859" s="154"/>
      <c r="AZ859" s="154"/>
      <c r="BA859" s="154"/>
      <c r="BB859" s="154"/>
      <c r="BC859" s="154"/>
      <c r="BD859" s="154"/>
      <c r="BE859" s="154"/>
      <c r="BF859" s="154"/>
      <c r="BG859" s="154"/>
      <c r="BH859" s="154"/>
      <c r="BI859" s="154"/>
      <c r="BJ859" s="154"/>
      <c r="BK859" s="154"/>
      <c r="BL859" s="154"/>
      <c r="BM859" s="154"/>
      <c r="BN859" s="154"/>
      <c r="BO859" s="154"/>
      <c r="BP859" s="858"/>
      <c r="BQ859" s="858"/>
      <c r="BR859" s="858"/>
      <c r="BS859" s="858"/>
      <c r="BT859" s="858"/>
      <c r="BU859" s="858"/>
      <c r="BV859" s="858"/>
      <c r="BW859" s="858"/>
      <c r="BX859" s="858"/>
      <c r="BY859" s="858"/>
      <c r="BZ859" s="858"/>
      <c r="CA859" s="858"/>
      <c r="CB859" s="858"/>
      <c r="CC859" s="858"/>
      <c r="CD859" s="858"/>
      <c r="CE859" s="858"/>
      <c r="CF859" s="858"/>
      <c r="CG859" s="858"/>
      <c r="CH859" s="858"/>
      <c r="CI859" s="858"/>
      <c r="CJ859" s="858"/>
      <c r="CK859" s="858"/>
      <c r="CL859" s="858"/>
      <c r="CM859" s="858"/>
      <c r="CN859" s="858"/>
      <c r="CO859" s="858"/>
      <c r="CP859" s="858"/>
      <c r="CQ859" s="858"/>
      <c r="CR859" s="858"/>
      <c r="CS859" s="858"/>
      <c r="CT859" s="858"/>
      <c r="CU859" s="858"/>
      <c r="CV859" s="858"/>
      <c r="CW859" s="858"/>
      <c r="CX859" s="858"/>
      <c r="CY859" s="858"/>
      <c r="CZ859" s="858"/>
      <c r="DA859" s="858"/>
      <c r="DB859" s="858"/>
      <c r="DC859" s="858"/>
      <c r="DD859" s="858"/>
      <c r="DE859" s="858"/>
      <c r="DF859" s="858"/>
      <c r="DG859" s="858"/>
      <c r="DH859" s="858"/>
      <c r="DI859" s="858"/>
      <c r="DJ859" s="858"/>
      <c r="DK859" s="858"/>
      <c r="DL859" s="858"/>
      <c r="DM859" s="858"/>
      <c r="DN859" s="858"/>
      <c r="DO859" s="858"/>
      <c r="DP859" s="858"/>
      <c r="DQ859" s="858"/>
      <c r="DR859" s="858"/>
      <c r="DS859" s="858"/>
      <c r="DT859" s="858"/>
      <c r="DU859" s="858"/>
      <c r="DV859" s="858"/>
      <c r="DW859" s="858"/>
      <c r="DX859" s="858"/>
      <c r="DY859" s="858"/>
      <c r="DZ859" s="858"/>
      <c r="EA859" s="858"/>
      <c r="EB859" s="858"/>
      <c r="EC859" s="858"/>
      <c r="ED859" s="858"/>
      <c r="EE859" s="858"/>
      <c r="EF859" s="858"/>
      <c r="EG859" s="858"/>
      <c r="EH859" s="858"/>
      <c r="EI859" s="858"/>
      <c r="EJ859" s="858"/>
      <c r="EK859" s="858"/>
      <c r="EL859" s="858"/>
      <c r="EM859" s="858"/>
      <c r="EN859" s="858"/>
      <c r="EO859" s="858"/>
      <c r="EP859" s="858"/>
      <c r="EQ859" s="858"/>
      <c r="ER859" s="858"/>
      <c r="ES859" s="858"/>
      <c r="ET859" s="858"/>
      <c r="EU859" s="858"/>
      <c r="EV859" s="858"/>
      <c r="EW859" s="858"/>
      <c r="EX859" s="858"/>
      <c r="EY859" s="858"/>
      <c r="EZ859" s="858"/>
      <c r="FA859" s="858"/>
      <c r="FB859" s="858"/>
      <c r="FC859" s="858"/>
      <c r="FD859" s="858"/>
      <c r="FE859" s="858"/>
      <c r="FF859" s="858"/>
      <c r="FG859" s="858"/>
      <c r="FH859" s="858"/>
      <c r="FI859" s="858"/>
      <c r="FJ859" s="858"/>
      <c r="FK859" s="858"/>
      <c r="FL859" s="858"/>
      <c r="FM859" s="858"/>
      <c r="FN859" s="858"/>
      <c r="FO859" s="858"/>
      <c r="FP859" s="858"/>
      <c r="FQ859" s="858"/>
      <c r="FR859" s="858"/>
      <c r="FS859" s="858"/>
      <c r="FT859" s="858"/>
      <c r="FU859" s="858"/>
      <c r="FV859" s="858"/>
      <c r="FW859" s="858"/>
      <c r="FX859" s="858"/>
      <c r="FY859" s="858"/>
      <c r="FZ859" s="858"/>
      <c r="GA859" s="858"/>
      <c r="GB859" s="858"/>
      <c r="GC859" s="858"/>
      <c r="GD859" s="858"/>
      <c r="GE859" s="858"/>
      <c r="GF859" s="858"/>
      <c r="GG859" s="858"/>
      <c r="GH859" s="858"/>
      <c r="GI859" s="858"/>
      <c r="GJ859" s="858"/>
      <c r="GK859" s="858"/>
      <c r="GL859" s="858"/>
      <c r="GM859" s="858"/>
      <c r="GN859" s="858"/>
      <c r="GO859" s="858"/>
      <c r="GP859" s="858"/>
      <c r="GQ859" s="858"/>
      <c r="GR859" s="858"/>
      <c r="GS859" s="858"/>
      <c r="GT859" s="858"/>
      <c r="GU859" s="858"/>
      <c r="GV859" s="858"/>
      <c r="GW859" s="858"/>
      <c r="GX859" s="858"/>
      <c r="GY859" s="858"/>
      <c r="GZ859" s="858"/>
      <c r="HA859" s="858"/>
      <c r="HB859" s="858"/>
      <c r="HC859" s="858"/>
      <c r="HD859" s="858"/>
      <c r="HE859" s="858"/>
      <c r="HF859" s="858"/>
      <c r="HG859" s="858"/>
      <c r="HH859" s="858"/>
      <c r="HI859" s="858"/>
      <c r="HJ859" s="858"/>
      <c r="HK859" s="858"/>
      <c r="HL859" s="858"/>
      <c r="HM859" s="858"/>
      <c r="HN859" s="858"/>
      <c r="HO859" s="858"/>
      <c r="HP859" s="858"/>
      <c r="HQ859" s="858"/>
      <c r="HR859" s="858"/>
      <c r="HS859" s="858"/>
      <c r="HT859" s="858"/>
      <c r="HU859" s="858"/>
      <c r="HV859" s="858"/>
      <c r="HW859" s="858"/>
      <c r="HX859" s="858"/>
      <c r="HY859" s="858"/>
      <c r="HZ859" s="858"/>
      <c r="IA859" s="858"/>
      <c r="IB859" s="858"/>
      <c r="IC859" s="858"/>
      <c r="ID859" s="858"/>
      <c r="IE859" s="858"/>
      <c r="IF859" s="858"/>
      <c r="IG859" s="858"/>
      <c r="IH859" s="858"/>
      <c r="II859" s="858"/>
      <c r="IJ859" s="858"/>
      <c r="IK859" s="858"/>
      <c r="IL859" s="858"/>
      <c r="IM859" s="858"/>
      <c r="IN859" s="858"/>
      <c r="IO859" s="858"/>
      <c r="IP859" s="858"/>
      <c r="IQ859" s="858"/>
      <c r="IR859" s="858"/>
      <c r="IS859" s="858"/>
      <c r="IT859" s="858"/>
      <c r="IU859" s="858"/>
      <c r="IV859" s="858"/>
      <c r="IW859" s="858"/>
      <c r="IX859" s="858"/>
      <c r="IY859" s="858"/>
      <c r="IZ859" s="858"/>
      <c r="JA859" s="858"/>
      <c r="JB859" s="858"/>
      <c r="JC859" s="858"/>
      <c r="JD859" s="858"/>
      <c r="JE859" s="858"/>
      <c r="JF859" s="858"/>
      <c r="JG859" s="858"/>
      <c r="JH859" s="858"/>
      <c r="JI859" s="858"/>
      <c r="JJ859" s="858"/>
      <c r="JK859" s="858"/>
      <c r="JL859" s="858"/>
      <c r="JM859" s="858"/>
      <c r="JN859" s="858"/>
      <c r="JO859" s="858"/>
      <c r="JP859" s="858"/>
      <c r="JQ859" s="858"/>
      <c r="JR859" s="858"/>
      <c r="JS859" s="858"/>
      <c r="JT859" s="858"/>
      <c r="JU859" s="858"/>
      <c r="JV859" s="858"/>
      <c r="JW859" s="858"/>
      <c r="JX859" s="858"/>
      <c r="JY859" s="858"/>
      <c r="JZ859" s="858"/>
      <c r="KA859" s="858"/>
      <c r="KB859" s="858"/>
      <c r="KC859" s="858"/>
      <c r="KD859" s="858"/>
      <c r="KE859" s="858"/>
      <c r="KF859" s="858"/>
      <c r="KG859" s="858"/>
      <c r="KH859" s="858"/>
      <c r="KI859" s="858"/>
      <c r="KJ859" s="858"/>
      <c r="KK859" s="858"/>
      <c r="KL859" s="858"/>
      <c r="KM859" s="858"/>
      <c r="KN859" s="858"/>
      <c r="KO859" s="858"/>
      <c r="KP859" s="858"/>
      <c r="KQ859" s="858"/>
      <c r="KR859" s="858"/>
      <c r="KS859" s="858"/>
      <c r="KT859" s="858"/>
      <c r="KU859" s="858"/>
      <c r="KV859" s="858"/>
      <c r="KW859" s="858"/>
      <c r="KX859" s="858"/>
      <c r="KY859" s="858"/>
      <c r="KZ859" s="858"/>
      <c r="LA859" s="858"/>
      <c r="LB859" s="858"/>
      <c r="LC859" s="858"/>
      <c r="LD859" s="858"/>
      <c r="LE859" s="858"/>
      <c r="LF859" s="858"/>
      <c r="LG859" s="858"/>
      <c r="LH859" s="858"/>
      <c r="LI859" s="858"/>
      <c r="LJ859" s="858"/>
      <c r="LK859" s="858"/>
      <c r="LL859" s="858"/>
      <c r="LM859" s="858"/>
      <c r="LN859" s="858"/>
      <c r="LO859" s="858"/>
      <c r="LP859" s="858"/>
      <c r="LQ859" s="858"/>
      <c r="LR859" s="858"/>
      <c r="LS859" s="858"/>
      <c r="LT859" s="858"/>
      <c r="LU859" s="858"/>
      <c r="LV859" s="858"/>
      <c r="LW859" s="858"/>
      <c r="LX859" s="858"/>
      <c r="LY859" s="858"/>
      <c r="LZ859" s="858"/>
      <c r="MA859" s="858"/>
      <c r="MB859" s="858"/>
      <c r="MC859" s="858"/>
      <c r="MD859" s="858"/>
      <c r="ME859" s="858"/>
      <c r="MF859" s="858"/>
      <c r="MG859" s="858"/>
      <c r="MH859" s="858"/>
      <c r="MI859" s="858"/>
      <c r="MJ859" s="858"/>
      <c r="MK859" s="858"/>
      <c r="ML859" s="858"/>
      <c r="MM859" s="858"/>
      <c r="MN859" s="858"/>
      <c r="MO859" s="858"/>
      <c r="MP859" s="858"/>
      <c r="MQ859" s="858"/>
      <c r="MR859" s="858"/>
      <c r="MS859" s="858"/>
      <c r="MT859" s="858"/>
      <c r="MU859" s="858"/>
      <c r="MV859" s="858"/>
      <c r="MW859" s="858"/>
      <c r="MX859" s="858"/>
      <c r="MY859" s="858"/>
      <c r="MZ859" s="858"/>
      <c r="NA859" s="858"/>
      <c r="NB859" s="858"/>
      <c r="NC859" s="858"/>
      <c r="ND859" s="858"/>
      <c r="NE859" s="858"/>
      <c r="NF859" s="858"/>
      <c r="NG859" s="858"/>
      <c r="NH859" s="858"/>
      <c r="NI859" s="858"/>
      <c r="NJ859" s="858"/>
      <c r="NK859" s="858"/>
      <c r="NL859" s="858"/>
      <c r="NM859" s="858"/>
      <c r="NN859" s="858"/>
      <c r="NO859" s="858"/>
      <c r="NP859" s="858"/>
      <c r="NQ859" s="858"/>
      <c r="NR859" s="858"/>
      <c r="NS859" s="858"/>
      <c r="NT859" s="858"/>
      <c r="NU859" s="858"/>
      <c r="NV859" s="858"/>
      <c r="NW859" s="858"/>
      <c r="NX859" s="858"/>
      <c r="NY859" s="858"/>
      <c r="NZ859" s="858"/>
      <c r="OA859" s="858"/>
      <c r="OB859" s="858"/>
      <c r="OC859" s="858"/>
      <c r="OD859" s="858"/>
      <c r="OE859" s="858"/>
      <c r="OF859" s="858"/>
      <c r="OG859" s="858"/>
      <c r="OH859" s="858"/>
      <c r="OI859" s="858"/>
      <c r="OJ859" s="858"/>
      <c r="OK859" s="858"/>
      <c r="OL859" s="858"/>
      <c r="OM859" s="858"/>
      <c r="ON859" s="858"/>
      <c r="OO859" s="858"/>
      <c r="OP859" s="858"/>
      <c r="OQ859" s="858"/>
      <c r="OR859" s="858"/>
      <c r="OS859" s="858"/>
      <c r="OT859" s="858"/>
      <c r="OU859" s="858"/>
      <c r="OV859" s="858"/>
      <c r="OW859" s="858"/>
      <c r="OX859" s="858"/>
      <c r="OY859" s="858"/>
      <c r="OZ859" s="858"/>
      <c r="PA859" s="858"/>
      <c r="PB859" s="858"/>
      <c r="PC859" s="858"/>
      <c r="PD859" s="858"/>
      <c r="PE859" s="858"/>
      <c r="PF859" s="858"/>
      <c r="PG859" s="858"/>
      <c r="PH859" s="858"/>
      <c r="PI859" s="858"/>
      <c r="PJ859" s="858"/>
      <c r="PK859" s="858"/>
      <c r="PL859" s="858"/>
      <c r="PM859" s="858"/>
      <c r="PN859" s="858"/>
      <c r="PO859" s="858"/>
      <c r="PP859" s="858"/>
      <c r="PQ859" s="858"/>
      <c r="PR859" s="858"/>
      <c r="PS859" s="858"/>
      <c r="PT859" s="858"/>
      <c r="PU859" s="858"/>
      <c r="PV859" s="858"/>
      <c r="PW859" s="858"/>
      <c r="PX859" s="858"/>
      <c r="PY859" s="858"/>
      <c r="PZ859" s="858"/>
      <c r="QA859" s="858"/>
      <c r="QB859" s="858"/>
      <c r="QC859" s="858"/>
      <c r="QD859" s="858"/>
      <c r="QE859" s="858"/>
      <c r="QF859" s="858"/>
      <c r="QG859" s="858"/>
      <c r="QH859" s="858"/>
      <c r="QI859" s="858"/>
      <c r="QJ859" s="858"/>
      <c r="QK859" s="858"/>
      <c r="QL859" s="858"/>
      <c r="QM859" s="858"/>
      <c r="QN859" s="858"/>
      <c r="QO859" s="858"/>
      <c r="QP859" s="858"/>
      <c r="QQ859" s="858"/>
      <c r="QR859" s="858"/>
      <c r="QS859" s="858"/>
      <c r="QT859" s="858"/>
      <c r="QU859" s="858"/>
      <c r="QV859" s="858"/>
      <c r="QW859" s="858"/>
      <c r="QX859" s="858"/>
      <c r="QY859" s="858"/>
      <c r="QZ859" s="858"/>
      <c r="RA859" s="858"/>
      <c r="RB859" s="858"/>
      <c r="RC859" s="858"/>
      <c r="RD859" s="858"/>
      <c r="RE859" s="858"/>
      <c r="RF859" s="858"/>
      <c r="RG859" s="858"/>
      <c r="RH859" s="858"/>
      <c r="RI859" s="858"/>
      <c r="RJ859" s="858"/>
      <c r="RK859" s="858"/>
      <c r="RL859" s="858"/>
      <c r="RM859" s="858"/>
      <c r="RN859" s="858"/>
      <c r="RO859" s="858"/>
      <c r="RP859" s="858"/>
      <c r="RQ859" s="858"/>
      <c r="RR859" s="858"/>
      <c r="RS859" s="858"/>
      <c r="RT859" s="858"/>
      <c r="RU859" s="858"/>
      <c r="RV859" s="858"/>
      <c r="RW859" s="858"/>
      <c r="RX859" s="858"/>
      <c r="RY859" s="858"/>
      <c r="RZ859" s="858"/>
      <c r="SA859" s="858"/>
      <c r="SB859" s="858"/>
      <c r="SC859" s="858"/>
      <c r="SD859" s="858"/>
      <c r="SE859" s="858"/>
      <c r="SF859" s="858"/>
      <c r="SG859" s="858"/>
      <c r="SH859" s="858"/>
      <c r="SI859" s="858"/>
      <c r="SJ859" s="858"/>
      <c r="SK859" s="858"/>
      <c r="SL859" s="858"/>
      <c r="SM859" s="858"/>
      <c r="SN859" s="858"/>
      <c r="SO859" s="858"/>
      <c r="SP859" s="858"/>
      <c r="SQ859" s="858"/>
      <c r="SR859" s="858"/>
      <c r="SS859" s="858"/>
      <c r="ST859" s="858"/>
      <c r="SU859" s="858"/>
      <c r="SV859" s="858"/>
      <c r="SW859" s="858"/>
      <c r="SX859" s="858"/>
      <c r="SY859" s="858"/>
      <c r="SZ859" s="858"/>
      <c r="TA859" s="858"/>
      <c r="TB859" s="858"/>
      <c r="TC859" s="858"/>
      <c r="TD859" s="858"/>
      <c r="TE859" s="858"/>
      <c r="TF859" s="858"/>
      <c r="TG859" s="858"/>
      <c r="TH859" s="858"/>
      <c r="TI859" s="858"/>
      <c r="TJ859" s="858"/>
      <c r="TK859" s="858"/>
      <c r="TL859" s="858"/>
      <c r="TM859" s="858"/>
      <c r="TN859" s="858"/>
      <c r="TO859" s="858"/>
      <c r="TP859" s="858"/>
      <c r="TQ859" s="858"/>
      <c r="TR859" s="858"/>
      <c r="TS859" s="858"/>
      <c r="TT859" s="858"/>
      <c r="TU859" s="858"/>
      <c r="TV859" s="858"/>
      <c r="TW859" s="858"/>
      <c r="TX859" s="858"/>
      <c r="TY859" s="858"/>
      <c r="TZ859" s="858"/>
      <c r="UA859" s="858"/>
      <c r="UB859" s="858"/>
      <c r="UC859" s="858"/>
      <c r="UD859" s="858"/>
      <c r="UE859" s="858"/>
      <c r="UF859" s="858"/>
      <c r="UG859" s="859"/>
    </row>
    <row r="860" spans="1:553" s="863" customFormat="1" ht="33" customHeight="1">
      <c r="A860" s="356"/>
      <c r="B860" s="356"/>
      <c r="C860" s="673" t="s">
        <v>23</v>
      </c>
      <c r="D860" s="397">
        <v>2</v>
      </c>
      <c r="E860" s="397">
        <v>114</v>
      </c>
      <c r="F860" s="673"/>
      <c r="G860" s="674" t="s">
        <v>33</v>
      </c>
      <c r="H860" s="675"/>
      <c r="I860" s="490">
        <v>131.19999999999999</v>
      </c>
      <c r="J860" s="797">
        <v>72000</v>
      </c>
      <c r="K860" s="857">
        <v>3</v>
      </c>
      <c r="L860" s="481">
        <f t="shared" si="127"/>
        <v>28339200</v>
      </c>
      <c r="M860" s="356"/>
      <c r="N860" s="356"/>
      <c r="O860" s="356"/>
      <c r="P860" s="356"/>
      <c r="Q860" s="610"/>
      <c r="R860" s="1452"/>
      <c r="S860" s="308"/>
      <c r="T860" s="308"/>
      <c r="U860" s="308"/>
      <c r="V860" s="308"/>
      <c r="W860" s="308"/>
      <c r="X860" s="308"/>
      <c r="Y860" s="308"/>
      <c r="Z860" s="604"/>
      <c r="AA860" s="308"/>
      <c r="AB860" s="308"/>
      <c r="AC860" s="449"/>
      <c r="AD860" s="449"/>
      <c r="AE860" s="449"/>
      <c r="AF860" s="449"/>
      <c r="AG860" s="449"/>
      <c r="AH860" s="449"/>
      <c r="AI860" s="449"/>
      <c r="AJ860" s="449"/>
      <c r="AK860" s="452"/>
      <c r="AL860" s="351"/>
      <c r="AM860" s="43"/>
      <c r="AN860" s="43"/>
      <c r="AO860" s="43"/>
      <c r="AP860" s="43"/>
      <c r="AQ860" s="43"/>
      <c r="AR860" s="43"/>
      <c r="AS860" s="43"/>
      <c r="AT860" s="43"/>
      <c r="AU860" s="43"/>
      <c r="AV860" s="43"/>
      <c r="AW860" s="43"/>
      <c r="AX860" s="43"/>
      <c r="AY860" s="43"/>
      <c r="AZ860" s="43"/>
      <c r="BA860" s="43"/>
      <c r="BB860" s="43"/>
      <c r="BC860" s="43"/>
      <c r="BD860" s="43"/>
      <c r="BE860" s="43"/>
      <c r="BF860" s="43"/>
      <c r="BG860" s="43"/>
      <c r="BH860" s="43"/>
      <c r="BI860" s="43"/>
      <c r="BJ860" s="43"/>
      <c r="BK860" s="43"/>
      <c r="BL860" s="43"/>
      <c r="BM860" s="43"/>
      <c r="BN860" s="43"/>
      <c r="BO860" s="43"/>
      <c r="BP860" s="861"/>
      <c r="BQ860" s="861"/>
      <c r="BR860" s="861"/>
      <c r="BS860" s="861"/>
      <c r="BT860" s="861"/>
      <c r="BU860" s="861"/>
      <c r="BV860" s="861"/>
      <c r="BW860" s="861"/>
      <c r="BX860" s="861"/>
      <c r="BY860" s="861"/>
      <c r="BZ860" s="861"/>
      <c r="CA860" s="861"/>
      <c r="CB860" s="861"/>
      <c r="CC860" s="861"/>
      <c r="CD860" s="861"/>
      <c r="CE860" s="861"/>
      <c r="CF860" s="861"/>
      <c r="CG860" s="861"/>
      <c r="CH860" s="861"/>
      <c r="CI860" s="861"/>
      <c r="CJ860" s="861"/>
      <c r="CK860" s="861"/>
      <c r="CL860" s="861"/>
      <c r="CM860" s="861"/>
      <c r="CN860" s="861"/>
      <c r="CO860" s="861"/>
      <c r="CP860" s="861"/>
      <c r="CQ860" s="861"/>
      <c r="CR860" s="861"/>
      <c r="CS860" s="861"/>
      <c r="CT860" s="861"/>
      <c r="CU860" s="861"/>
      <c r="CV860" s="861"/>
      <c r="CW860" s="861"/>
      <c r="CX860" s="861"/>
      <c r="CY860" s="861"/>
      <c r="CZ860" s="861"/>
      <c r="DA860" s="861"/>
      <c r="DB860" s="861"/>
      <c r="DC860" s="861"/>
      <c r="DD860" s="861"/>
      <c r="DE860" s="861"/>
      <c r="DF860" s="861"/>
      <c r="DG860" s="861"/>
      <c r="DH860" s="861"/>
      <c r="DI860" s="861"/>
      <c r="DJ860" s="861"/>
      <c r="DK860" s="861"/>
      <c r="DL860" s="861"/>
      <c r="DM860" s="861"/>
      <c r="DN860" s="861"/>
      <c r="DO860" s="861"/>
      <c r="DP860" s="861"/>
      <c r="DQ860" s="861"/>
      <c r="DR860" s="861"/>
      <c r="DS860" s="861"/>
      <c r="DT860" s="861"/>
      <c r="DU860" s="861"/>
      <c r="DV860" s="861"/>
      <c r="DW860" s="861"/>
      <c r="DX860" s="861"/>
      <c r="DY860" s="861"/>
      <c r="DZ860" s="861"/>
      <c r="EA860" s="861"/>
      <c r="EB860" s="861"/>
      <c r="EC860" s="861"/>
      <c r="ED860" s="861"/>
      <c r="EE860" s="861"/>
      <c r="EF860" s="861"/>
      <c r="EG860" s="861"/>
      <c r="EH860" s="861"/>
      <c r="EI860" s="861"/>
      <c r="EJ860" s="861"/>
      <c r="EK860" s="861"/>
      <c r="EL860" s="861"/>
      <c r="EM860" s="861"/>
      <c r="EN860" s="861"/>
      <c r="EO860" s="861"/>
      <c r="EP860" s="861"/>
      <c r="EQ860" s="861"/>
      <c r="ER860" s="861"/>
      <c r="ES860" s="861"/>
      <c r="ET860" s="861"/>
      <c r="EU860" s="861"/>
      <c r="EV860" s="861"/>
      <c r="EW860" s="861"/>
      <c r="EX860" s="861"/>
      <c r="EY860" s="861"/>
      <c r="EZ860" s="861"/>
      <c r="FA860" s="861"/>
      <c r="FB860" s="861"/>
      <c r="FC860" s="861"/>
      <c r="FD860" s="861"/>
      <c r="FE860" s="861"/>
      <c r="FF860" s="861"/>
      <c r="FG860" s="861"/>
      <c r="FH860" s="861"/>
      <c r="FI860" s="861"/>
      <c r="FJ860" s="861"/>
      <c r="FK860" s="861"/>
      <c r="FL860" s="861"/>
      <c r="FM860" s="861"/>
      <c r="FN860" s="861"/>
      <c r="FO860" s="861"/>
      <c r="FP860" s="861"/>
      <c r="FQ860" s="861"/>
      <c r="FR860" s="861"/>
      <c r="FS860" s="861"/>
      <c r="FT860" s="861"/>
      <c r="FU860" s="861"/>
      <c r="FV860" s="861"/>
      <c r="FW860" s="861"/>
      <c r="FX860" s="861"/>
      <c r="FY860" s="861"/>
      <c r="FZ860" s="861"/>
      <c r="GA860" s="861"/>
      <c r="GB860" s="861"/>
      <c r="GC860" s="861"/>
      <c r="GD860" s="861"/>
      <c r="GE860" s="861"/>
      <c r="GF860" s="861"/>
      <c r="GG860" s="861"/>
      <c r="GH860" s="861"/>
      <c r="GI860" s="861"/>
      <c r="GJ860" s="861"/>
      <c r="GK860" s="861"/>
      <c r="GL860" s="861"/>
      <c r="GM860" s="861"/>
      <c r="GN860" s="861"/>
      <c r="GO860" s="861"/>
      <c r="GP860" s="861"/>
      <c r="GQ860" s="861"/>
      <c r="GR860" s="861"/>
      <c r="GS860" s="861"/>
      <c r="GT860" s="861"/>
      <c r="GU860" s="861"/>
      <c r="GV860" s="861"/>
      <c r="GW860" s="861"/>
      <c r="GX860" s="861"/>
      <c r="GY860" s="861"/>
      <c r="GZ860" s="861"/>
      <c r="HA860" s="861"/>
      <c r="HB860" s="861"/>
      <c r="HC860" s="861"/>
      <c r="HD860" s="861"/>
      <c r="HE860" s="861"/>
      <c r="HF860" s="861"/>
      <c r="HG860" s="861"/>
      <c r="HH860" s="861"/>
      <c r="HI860" s="861"/>
      <c r="HJ860" s="861"/>
      <c r="HK860" s="861"/>
      <c r="HL860" s="861"/>
      <c r="HM860" s="861"/>
      <c r="HN860" s="861"/>
      <c r="HO860" s="861"/>
      <c r="HP860" s="861"/>
      <c r="HQ860" s="861"/>
      <c r="HR860" s="861"/>
      <c r="HS860" s="861"/>
      <c r="HT860" s="861"/>
      <c r="HU860" s="861"/>
      <c r="HV860" s="861"/>
      <c r="HW860" s="861"/>
      <c r="HX860" s="861"/>
      <c r="HY860" s="861"/>
      <c r="HZ860" s="861"/>
      <c r="IA860" s="861"/>
      <c r="IB860" s="861"/>
      <c r="IC860" s="861"/>
      <c r="ID860" s="861"/>
      <c r="IE860" s="861"/>
      <c r="IF860" s="861"/>
      <c r="IG860" s="861"/>
      <c r="IH860" s="861"/>
      <c r="II860" s="861"/>
      <c r="IJ860" s="861"/>
      <c r="IK860" s="861"/>
      <c r="IL860" s="861"/>
      <c r="IM860" s="861"/>
      <c r="IN860" s="861"/>
      <c r="IO860" s="861"/>
      <c r="IP860" s="861"/>
      <c r="IQ860" s="861"/>
      <c r="IR860" s="861"/>
      <c r="IS860" s="861"/>
      <c r="IT860" s="861"/>
      <c r="IU860" s="861"/>
      <c r="IV860" s="861"/>
      <c r="IW860" s="861"/>
      <c r="IX860" s="861"/>
      <c r="IY860" s="861"/>
      <c r="IZ860" s="861"/>
      <c r="JA860" s="861"/>
      <c r="JB860" s="861"/>
      <c r="JC860" s="861"/>
      <c r="JD860" s="861"/>
      <c r="JE860" s="861"/>
      <c r="JF860" s="861"/>
      <c r="JG860" s="861"/>
      <c r="JH860" s="861"/>
      <c r="JI860" s="861"/>
      <c r="JJ860" s="861"/>
      <c r="JK860" s="861"/>
      <c r="JL860" s="861"/>
      <c r="JM860" s="861"/>
      <c r="JN860" s="861"/>
      <c r="JO860" s="861"/>
      <c r="JP860" s="861"/>
      <c r="JQ860" s="861"/>
      <c r="JR860" s="861"/>
      <c r="JS860" s="861"/>
      <c r="JT860" s="861"/>
      <c r="JU860" s="861"/>
      <c r="JV860" s="861"/>
      <c r="JW860" s="861"/>
      <c r="JX860" s="861"/>
      <c r="JY860" s="861"/>
      <c r="JZ860" s="861"/>
      <c r="KA860" s="861"/>
      <c r="KB860" s="861"/>
      <c r="KC860" s="861"/>
      <c r="KD860" s="861"/>
      <c r="KE860" s="861"/>
      <c r="KF860" s="861"/>
      <c r="KG860" s="861"/>
      <c r="KH860" s="861"/>
      <c r="KI860" s="861"/>
      <c r="KJ860" s="861"/>
      <c r="KK860" s="861"/>
      <c r="KL860" s="861"/>
      <c r="KM860" s="861"/>
      <c r="KN860" s="861"/>
      <c r="KO860" s="861"/>
      <c r="KP860" s="861"/>
      <c r="KQ860" s="861"/>
      <c r="KR860" s="861"/>
      <c r="KS860" s="861"/>
      <c r="KT860" s="861"/>
      <c r="KU860" s="861"/>
      <c r="KV860" s="861"/>
      <c r="KW860" s="861"/>
      <c r="KX860" s="861"/>
      <c r="KY860" s="861"/>
      <c r="KZ860" s="861"/>
      <c r="LA860" s="861"/>
      <c r="LB860" s="861"/>
      <c r="LC860" s="861"/>
      <c r="LD860" s="861"/>
      <c r="LE860" s="861"/>
      <c r="LF860" s="861"/>
      <c r="LG860" s="861"/>
      <c r="LH860" s="861"/>
      <c r="LI860" s="861"/>
      <c r="LJ860" s="861"/>
      <c r="LK860" s="861"/>
      <c r="LL860" s="861"/>
      <c r="LM860" s="861"/>
      <c r="LN860" s="861"/>
      <c r="LO860" s="861"/>
      <c r="LP860" s="861"/>
      <c r="LQ860" s="861"/>
      <c r="LR860" s="861"/>
      <c r="LS860" s="861"/>
      <c r="LT860" s="861"/>
      <c r="LU860" s="861"/>
      <c r="LV860" s="861"/>
      <c r="LW860" s="861"/>
      <c r="LX860" s="861"/>
      <c r="LY860" s="861"/>
      <c r="LZ860" s="861"/>
      <c r="MA860" s="861"/>
      <c r="MB860" s="861"/>
      <c r="MC860" s="861"/>
      <c r="MD860" s="861"/>
      <c r="ME860" s="861"/>
      <c r="MF860" s="861"/>
      <c r="MG860" s="861"/>
      <c r="MH860" s="861"/>
      <c r="MI860" s="861"/>
      <c r="MJ860" s="861"/>
      <c r="MK860" s="861"/>
      <c r="ML860" s="861"/>
      <c r="MM860" s="861"/>
      <c r="MN860" s="861"/>
      <c r="MO860" s="861"/>
      <c r="MP860" s="861"/>
      <c r="MQ860" s="861"/>
      <c r="MR860" s="861"/>
      <c r="MS860" s="861"/>
      <c r="MT860" s="861"/>
      <c r="MU860" s="861"/>
      <c r="MV860" s="861"/>
      <c r="MW860" s="861"/>
      <c r="MX860" s="861"/>
      <c r="MY860" s="861"/>
      <c r="MZ860" s="861"/>
      <c r="NA860" s="861"/>
      <c r="NB860" s="861"/>
      <c r="NC860" s="861"/>
      <c r="ND860" s="861"/>
      <c r="NE860" s="861"/>
      <c r="NF860" s="861"/>
      <c r="NG860" s="861"/>
      <c r="NH860" s="861"/>
      <c r="NI860" s="861"/>
      <c r="NJ860" s="861"/>
      <c r="NK860" s="861"/>
      <c r="NL860" s="861"/>
      <c r="NM860" s="861"/>
      <c r="NN860" s="861"/>
      <c r="NO860" s="861"/>
      <c r="NP860" s="861"/>
      <c r="NQ860" s="861"/>
      <c r="NR860" s="861"/>
      <c r="NS860" s="861"/>
      <c r="NT860" s="861"/>
      <c r="NU860" s="861"/>
      <c r="NV860" s="861"/>
      <c r="NW860" s="861"/>
      <c r="NX860" s="861"/>
      <c r="NY860" s="861"/>
      <c r="NZ860" s="861"/>
      <c r="OA860" s="861"/>
      <c r="OB860" s="861"/>
      <c r="OC860" s="861"/>
      <c r="OD860" s="861"/>
      <c r="OE860" s="861"/>
      <c r="OF860" s="861"/>
      <c r="OG860" s="861"/>
      <c r="OH860" s="861"/>
      <c r="OI860" s="861"/>
      <c r="OJ860" s="861"/>
      <c r="OK860" s="861"/>
      <c r="OL860" s="861"/>
      <c r="OM860" s="861"/>
      <c r="ON860" s="861"/>
      <c r="OO860" s="861"/>
      <c r="OP860" s="861"/>
      <c r="OQ860" s="861"/>
      <c r="OR860" s="861"/>
      <c r="OS860" s="861"/>
      <c r="OT860" s="861"/>
      <c r="OU860" s="861"/>
      <c r="OV860" s="861"/>
      <c r="OW860" s="861"/>
      <c r="OX860" s="861"/>
      <c r="OY860" s="861"/>
      <c r="OZ860" s="861"/>
      <c r="PA860" s="861"/>
      <c r="PB860" s="861"/>
      <c r="PC860" s="861"/>
      <c r="PD860" s="861"/>
      <c r="PE860" s="861"/>
      <c r="PF860" s="861"/>
      <c r="PG860" s="861"/>
      <c r="PH860" s="861"/>
      <c r="PI860" s="861"/>
      <c r="PJ860" s="861"/>
      <c r="PK860" s="861"/>
      <c r="PL860" s="861"/>
      <c r="PM860" s="861"/>
      <c r="PN860" s="861"/>
      <c r="PO860" s="861"/>
      <c r="PP860" s="861"/>
      <c r="PQ860" s="861"/>
      <c r="PR860" s="861"/>
      <c r="PS860" s="861"/>
      <c r="PT860" s="861"/>
      <c r="PU860" s="861"/>
      <c r="PV860" s="861"/>
      <c r="PW860" s="861"/>
      <c r="PX860" s="861"/>
      <c r="PY860" s="861"/>
      <c r="PZ860" s="861"/>
      <c r="QA860" s="861"/>
      <c r="QB860" s="861"/>
      <c r="QC860" s="861"/>
      <c r="QD860" s="861"/>
      <c r="QE860" s="861"/>
      <c r="QF860" s="861"/>
      <c r="QG860" s="861"/>
      <c r="QH860" s="861"/>
      <c r="QI860" s="861"/>
      <c r="QJ860" s="861"/>
      <c r="QK860" s="861"/>
      <c r="QL860" s="861"/>
      <c r="QM860" s="861"/>
      <c r="QN860" s="861"/>
      <c r="QO860" s="861"/>
      <c r="QP860" s="861"/>
      <c r="QQ860" s="861"/>
      <c r="QR860" s="861"/>
      <c r="QS860" s="861"/>
      <c r="QT860" s="861"/>
      <c r="QU860" s="861"/>
      <c r="QV860" s="861"/>
      <c r="QW860" s="861"/>
      <c r="QX860" s="861"/>
      <c r="QY860" s="861"/>
      <c r="QZ860" s="861"/>
      <c r="RA860" s="861"/>
      <c r="RB860" s="861"/>
      <c r="RC860" s="861"/>
      <c r="RD860" s="861"/>
      <c r="RE860" s="861"/>
      <c r="RF860" s="861"/>
      <c r="RG860" s="861"/>
      <c r="RH860" s="861"/>
      <c r="RI860" s="861"/>
      <c r="RJ860" s="861"/>
      <c r="RK860" s="861"/>
      <c r="RL860" s="861"/>
      <c r="RM860" s="861"/>
      <c r="RN860" s="861"/>
      <c r="RO860" s="861"/>
      <c r="RP860" s="861"/>
      <c r="RQ860" s="861"/>
      <c r="RR860" s="861"/>
      <c r="RS860" s="861"/>
      <c r="RT860" s="861"/>
      <c r="RU860" s="861"/>
      <c r="RV860" s="861"/>
      <c r="RW860" s="861"/>
      <c r="RX860" s="861"/>
      <c r="RY860" s="861"/>
      <c r="RZ860" s="861"/>
      <c r="SA860" s="861"/>
      <c r="SB860" s="861"/>
      <c r="SC860" s="861"/>
      <c r="SD860" s="861"/>
      <c r="SE860" s="861"/>
      <c r="SF860" s="861"/>
      <c r="SG860" s="861"/>
      <c r="SH860" s="861"/>
      <c r="SI860" s="861"/>
      <c r="SJ860" s="861"/>
      <c r="SK860" s="861"/>
      <c r="SL860" s="861"/>
      <c r="SM860" s="861"/>
      <c r="SN860" s="861"/>
      <c r="SO860" s="861"/>
      <c r="SP860" s="861"/>
      <c r="SQ860" s="861"/>
      <c r="SR860" s="861"/>
      <c r="SS860" s="861"/>
      <c r="ST860" s="861"/>
      <c r="SU860" s="861"/>
      <c r="SV860" s="861"/>
      <c r="SW860" s="861"/>
      <c r="SX860" s="861"/>
      <c r="SY860" s="861"/>
      <c r="SZ860" s="861"/>
      <c r="TA860" s="861"/>
      <c r="TB860" s="861"/>
      <c r="TC860" s="861"/>
      <c r="TD860" s="861"/>
      <c r="TE860" s="861"/>
      <c r="TF860" s="861"/>
      <c r="TG860" s="861"/>
      <c r="TH860" s="861"/>
      <c r="TI860" s="861"/>
      <c r="TJ860" s="861"/>
      <c r="TK860" s="861"/>
      <c r="TL860" s="861"/>
      <c r="TM860" s="861"/>
      <c r="TN860" s="861"/>
      <c r="TO860" s="861"/>
      <c r="TP860" s="861"/>
      <c r="TQ860" s="861"/>
      <c r="TR860" s="861"/>
      <c r="TS860" s="861"/>
      <c r="TT860" s="861"/>
      <c r="TU860" s="861"/>
      <c r="TV860" s="861"/>
      <c r="TW860" s="861"/>
      <c r="TX860" s="861"/>
      <c r="TY860" s="861"/>
      <c r="TZ860" s="861"/>
      <c r="UA860" s="861"/>
      <c r="UB860" s="861"/>
      <c r="UC860" s="861"/>
      <c r="UD860" s="861"/>
      <c r="UE860" s="861"/>
      <c r="UF860" s="861"/>
      <c r="UG860" s="862"/>
    </row>
    <row r="861" spans="1:553" s="863" customFormat="1" ht="33" customHeight="1">
      <c r="A861" s="356"/>
      <c r="B861" s="356"/>
      <c r="C861" s="673" t="s">
        <v>23</v>
      </c>
      <c r="D861" s="397">
        <v>2</v>
      </c>
      <c r="E861" s="397">
        <v>117</v>
      </c>
      <c r="F861" s="673"/>
      <c r="G861" s="674" t="s">
        <v>33</v>
      </c>
      <c r="H861" s="675"/>
      <c r="I861" s="490">
        <v>243.3</v>
      </c>
      <c r="J861" s="797">
        <v>72000</v>
      </c>
      <c r="K861" s="857">
        <v>3</v>
      </c>
      <c r="L861" s="481">
        <f t="shared" si="127"/>
        <v>52552800</v>
      </c>
      <c r="M861" s="356"/>
      <c r="N861" s="356"/>
      <c r="O861" s="356"/>
      <c r="P861" s="356"/>
      <c r="Q861" s="610"/>
      <c r="R861" s="1452"/>
      <c r="S861" s="308"/>
      <c r="T861" s="308"/>
      <c r="U861" s="308"/>
      <c r="V861" s="308"/>
      <c r="W861" s="308"/>
      <c r="X861" s="308"/>
      <c r="Y861" s="308"/>
      <c r="Z861" s="604"/>
      <c r="AA861" s="308"/>
      <c r="AB861" s="308"/>
      <c r="AC861" s="449"/>
      <c r="AD861" s="449"/>
      <c r="AE861" s="449"/>
      <c r="AF861" s="449"/>
      <c r="AG861" s="449"/>
      <c r="AH861" s="449"/>
      <c r="AI861" s="449"/>
      <c r="AJ861" s="449"/>
      <c r="AK861" s="452"/>
      <c r="AL861" s="351"/>
      <c r="AM861" s="43"/>
      <c r="AN861" s="43"/>
      <c r="AO861" s="43"/>
      <c r="AP861" s="43"/>
      <c r="AQ861" s="43"/>
      <c r="AR861" s="43"/>
      <c r="AS861" s="43"/>
      <c r="AT861" s="43"/>
      <c r="AU861" s="43"/>
      <c r="AV861" s="43"/>
      <c r="AW861" s="43"/>
      <c r="AX861" s="43"/>
      <c r="AY861" s="43"/>
      <c r="AZ861" s="43"/>
      <c r="BA861" s="43"/>
      <c r="BB861" s="43"/>
      <c r="BC861" s="43"/>
      <c r="BD861" s="43"/>
      <c r="BE861" s="43"/>
      <c r="BF861" s="43"/>
      <c r="BG861" s="43"/>
      <c r="BH861" s="43"/>
      <c r="BI861" s="43"/>
      <c r="BJ861" s="43"/>
      <c r="BK861" s="43"/>
      <c r="BL861" s="43"/>
      <c r="BM861" s="43"/>
      <c r="BN861" s="43"/>
      <c r="BO861" s="43"/>
      <c r="BP861" s="861"/>
      <c r="BQ861" s="861"/>
      <c r="BR861" s="861"/>
      <c r="BS861" s="861"/>
      <c r="BT861" s="861"/>
      <c r="BU861" s="861"/>
      <c r="BV861" s="861"/>
      <c r="BW861" s="861"/>
      <c r="BX861" s="861"/>
      <c r="BY861" s="861"/>
      <c r="BZ861" s="861"/>
      <c r="CA861" s="861"/>
      <c r="CB861" s="861"/>
      <c r="CC861" s="861"/>
      <c r="CD861" s="861"/>
      <c r="CE861" s="861"/>
      <c r="CF861" s="861"/>
      <c r="CG861" s="861"/>
      <c r="CH861" s="861"/>
      <c r="CI861" s="861"/>
      <c r="CJ861" s="861"/>
      <c r="CK861" s="861"/>
      <c r="CL861" s="861"/>
      <c r="CM861" s="861"/>
      <c r="CN861" s="861"/>
      <c r="CO861" s="861"/>
      <c r="CP861" s="861"/>
      <c r="CQ861" s="861"/>
      <c r="CR861" s="861"/>
      <c r="CS861" s="861"/>
      <c r="CT861" s="861"/>
      <c r="CU861" s="861"/>
      <c r="CV861" s="861"/>
      <c r="CW861" s="861"/>
      <c r="CX861" s="861"/>
      <c r="CY861" s="861"/>
      <c r="CZ861" s="861"/>
      <c r="DA861" s="861"/>
      <c r="DB861" s="861"/>
      <c r="DC861" s="861"/>
      <c r="DD861" s="861"/>
      <c r="DE861" s="861"/>
      <c r="DF861" s="861"/>
      <c r="DG861" s="861"/>
      <c r="DH861" s="861"/>
      <c r="DI861" s="861"/>
      <c r="DJ861" s="861"/>
      <c r="DK861" s="861"/>
      <c r="DL861" s="861"/>
      <c r="DM861" s="861"/>
      <c r="DN861" s="861"/>
      <c r="DO861" s="861"/>
      <c r="DP861" s="861"/>
      <c r="DQ861" s="861"/>
      <c r="DR861" s="861"/>
      <c r="DS861" s="861"/>
      <c r="DT861" s="861"/>
      <c r="DU861" s="861"/>
      <c r="DV861" s="861"/>
      <c r="DW861" s="861"/>
      <c r="DX861" s="861"/>
      <c r="DY861" s="861"/>
      <c r="DZ861" s="861"/>
      <c r="EA861" s="861"/>
      <c r="EB861" s="861"/>
      <c r="EC861" s="861"/>
      <c r="ED861" s="861"/>
      <c r="EE861" s="861"/>
      <c r="EF861" s="861"/>
      <c r="EG861" s="861"/>
      <c r="EH861" s="861"/>
      <c r="EI861" s="861"/>
      <c r="EJ861" s="861"/>
      <c r="EK861" s="861"/>
      <c r="EL861" s="861"/>
      <c r="EM861" s="861"/>
      <c r="EN861" s="861"/>
      <c r="EO861" s="861"/>
      <c r="EP861" s="861"/>
      <c r="EQ861" s="861"/>
      <c r="ER861" s="861"/>
      <c r="ES861" s="861"/>
      <c r="ET861" s="861"/>
      <c r="EU861" s="861"/>
      <c r="EV861" s="861"/>
      <c r="EW861" s="861"/>
      <c r="EX861" s="861"/>
      <c r="EY861" s="861"/>
      <c r="EZ861" s="861"/>
      <c r="FA861" s="861"/>
      <c r="FB861" s="861"/>
      <c r="FC861" s="861"/>
      <c r="FD861" s="861"/>
      <c r="FE861" s="861"/>
      <c r="FF861" s="861"/>
      <c r="FG861" s="861"/>
      <c r="FH861" s="861"/>
      <c r="FI861" s="861"/>
      <c r="FJ861" s="861"/>
      <c r="FK861" s="861"/>
      <c r="FL861" s="861"/>
      <c r="FM861" s="861"/>
      <c r="FN861" s="861"/>
      <c r="FO861" s="861"/>
      <c r="FP861" s="861"/>
      <c r="FQ861" s="861"/>
      <c r="FR861" s="861"/>
      <c r="FS861" s="861"/>
      <c r="FT861" s="861"/>
      <c r="FU861" s="861"/>
      <c r="FV861" s="861"/>
      <c r="FW861" s="861"/>
      <c r="FX861" s="861"/>
      <c r="FY861" s="861"/>
      <c r="FZ861" s="861"/>
      <c r="GA861" s="861"/>
      <c r="GB861" s="861"/>
      <c r="GC861" s="861"/>
      <c r="GD861" s="861"/>
      <c r="GE861" s="861"/>
      <c r="GF861" s="861"/>
      <c r="GG861" s="861"/>
      <c r="GH861" s="861"/>
      <c r="GI861" s="861"/>
      <c r="GJ861" s="861"/>
      <c r="GK861" s="861"/>
      <c r="GL861" s="861"/>
      <c r="GM861" s="861"/>
      <c r="GN861" s="861"/>
      <c r="GO861" s="861"/>
      <c r="GP861" s="861"/>
      <c r="GQ861" s="861"/>
      <c r="GR861" s="861"/>
      <c r="GS861" s="861"/>
      <c r="GT861" s="861"/>
      <c r="GU861" s="861"/>
      <c r="GV861" s="861"/>
      <c r="GW861" s="861"/>
      <c r="GX861" s="861"/>
      <c r="GY861" s="861"/>
      <c r="GZ861" s="861"/>
      <c r="HA861" s="861"/>
      <c r="HB861" s="861"/>
      <c r="HC861" s="861"/>
      <c r="HD861" s="861"/>
      <c r="HE861" s="861"/>
      <c r="HF861" s="861"/>
      <c r="HG861" s="861"/>
      <c r="HH861" s="861"/>
      <c r="HI861" s="861"/>
      <c r="HJ861" s="861"/>
      <c r="HK861" s="861"/>
      <c r="HL861" s="861"/>
      <c r="HM861" s="861"/>
      <c r="HN861" s="861"/>
      <c r="HO861" s="861"/>
      <c r="HP861" s="861"/>
      <c r="HQ861" s="861"/>
      <c r="HR861" s="861"/>
      <c r="HS861" s="861"/>
      <c r="HT861" s="861"/>
      <c r="HU861" s="861"/>
      <c r="HV861" s="861"/>
      <c r="HW861" s="861"/>
      <c r="HX861" s="861"/>
      <c r="HY861" s="861"/>
      <c r="HZ861" s="861"/>
      <c r="IA861" s="861"/>
      <c r="IB861" s="861"/>
      <c r="IC861" s="861"/>
      <c r="ID861" s="861"/>
      <c r="IE861" s="861"/>
      <c r="IF861" s="861"/>
      <c r="IG861" s="861"/>
      <c r="IH861" s="861"/>
      <c r="II861" s="861"/>
      <c r="IJ861" s="861"/>
      <c r="IK861" s="861"/>
      <c r="IL861" s="861"/>
      <c r="IM861" s="861"/>
      <c r="IN861" s="861"/>
      <c r="IO861" s="861"/>
      <c r="IP861" s="861"/>
      <c r="IQ861" s="861"/>
      <c r="IR861" s="861"/>
      <c r="IS861" s="861"/>
      <c r="IT861" s="861"/>
      <c r="IU861" s="861"/>
      <c r="IV861" s="861"/>
      <c r="IW861" s="861"/>
      <c r="IX861" s="861"/>
      <c r="IY861" s="861"/>
      <c r="IZ861" s="861"/>
      <c r="JA861" s="861"/>
      <c r="JB861" s="861"/>
      <c r="JC861" s="861"/>
      <c r="JD861" s="861"/>
      <c r="JE861" s="861"/>
      <c r="JF861" s="861"/>
      <c r="JG861" s="861"/>
      <c r="JH861" s="861"/>
      <c r="JI861" s="861"/>
      <c r="JJ861" s="861"/>
      <c r="JK861" s="861"/>
      <c r="JL861" s="861"/>
      <c r="JM861" s="861"/>
      <c r="JN861" s="861"/>
      <c r="JO861" s="861"/>
      <c r="JP861" s="861"/>
      <c r="JQ861" s="861"/>
      <c r="JR861" s="861"/>
      <c r="JS861" s="861"/>
      <c r="JT861" s="861"/>
      <c r="JU861" s="861"/>
      <c r="JV861" s="861"/>
      <c r="JW861" s="861"/>
      <c r="JX861" s="861"/>
      <c r="JY861" s="861"/>
      <c r="JZ861" s="861"/>
      <c r="KA861" s="861"/>
      <c r="KB861" s="861"/>
      <c r="KC861" s="861"/>
      <c r="KD861" s="861"/>
      <c r="KE861" s="861"/>
      <c r="KF861" s="861"/>
      <c r="KG861" s="861"/>
      <c r="KH861" s="861"/>
      <c r="KI861" s="861"/>
      <c r="KJ861" s="861"/>
      <c r="KK861" s="861"/>
      <c r="KL861" s="861"/>
      <c r="KM861" s="861"/>
      <c r="KN861" s="861"/>
      <c r="KO861" s="861"/>
      <c r="KP861" s="861"/>
      <c r="KQ861" s="861"/>
      <c r="KR861" s="861"/>
      <c r="KS861" s="861"/>
      <c r="KT861" s="861"/>
      <c r="KU861" s="861"/>
      <c r="KV861" s="861"/>
      <c r="KW861" s="861"/>
      <c r="KX861" s="861"/>
      <c r="KY861" s="861"/>
      <c r="KZ861" s="861"/>
      <c r="LA861" s="861"/>
      <c r="LB861" s="861"/>
      <c r="LC861" s="861"/>
      <c r="LD861" s="861"/>
      <c r="LE861" s="861"/>
      <c r="LF861" s="861"/>
      <c r="LG861" s="861"/>
      <c r="LH861" s="861"/>
      <c r="LI861" s="861"/>
      <c r="LJ861" s="861"/>
      <c r="LK861" s="861"/>
      <c r="LL861" s="861"/>
      <c r="LM861" s="861"/>
      <c r="LN861" s="861"/>
      <c r="LO861" s="861"/>
      <c r="LP861" s="861"/>
      <c r="LQ861" s="861"/>
      <c r="LR861" s="861"/>
      <c r="LS861" s="861"/>
      <c r="LT861" s="861"/>
      <c r="LU861" s="861"/>
      <c r="LV861" s="861"/>
      <c r="LW861" s="861"/>
      <c r="LX861" s="861"/>
      <c r="LY861" s="861"/>
      <c r="LZ861" s="861"/>
      <c r="MA861" s="861"/>
      <c r="MB861" s="861"/>
      <c r="MC861" s="861"/>
      <c r="MD861" s="861"/>
      <c r="ME861" s="861"/>
      <c r="MF861" s="861"/>
      <c r="MG861" s="861"/>
      <c r="MH861" s="861"/>
      <c r="MI861" s="861"/>
      <c r="MJ861" s="861"/>
      <c r="MK861" s="861"/>
      <c r="ML861" s="861"/>
      <c r="MM861" s="861"/>
      <c r="MN861" s="861"/>
      <c r="MO861" s="861"/>
      <c r="MP861" s="861"/>
      <c r="MQ861" s="861"/>
      <c r="MR861" s="861"/>
      <c r="MS861" s="861"/>
      <c r="MT861" s="861"/>
      <c r="MU861" s="861"/>
      <c r="MV861" s="861"/>
      <c r="MW861" s="861"/>
      <c r="MX861" s="861"/>
      <c r="MY861" s="861"/>
      <c r="MZ861" s="861"/>
      <c r="NA861" s="861"/>
      <c r="NB861" s="861"/>
      <c r="NC861" s="861"/>
      <c r="ND861" s="861"/>
      <c r="NE861" s="861"/>
      <c r="NF861" s="861"/>
      <c r="NG861" s="861"/>
      <c r="NH861" s="861"/>
      <c r="NI861" s="861"/>
      <c r="NJ861" s="861"/>
      <c r="NK861" s="861"/>
      <c r="NL861" s="861"/>
      <c r="NM861" s="861"/>
      <c r="NN861" s="861"/>
      <c r="NO861" s="861"/>
      <c r="NP861" s="861"/>
      <c r="NQ861" s="861"/>
      <c r="NR861" s="861"/>
      <c r="NS861" s="861"/>
      <c r="NT861" s="861"/>
      <c r="NU861" s="861"/>
      <c r="NV861" s="861"/>
      <c r="NW861" s="861"/>
      <c r="NX861" s="861"/>
      <c r="NY861" s="861"/>
      <c r="NZ861" s="861"/>
      <c r="OA861" s="861"/>
      <c r="OB861" s="861"/>
      <c r="OC861" s="861"/>
      <c r="OD861" s="861"/>
      <c r="OE861" s="861"/>
      <c r="OF861" s="861"/>
      <c r="OG861" s="861"/>
      <c r="OH861" s="861"/>
      <c r="OI861" s="861"/>
      <c r="OJ861" s="861"/>
      <c r="OK861" s="861"/>
      <c r="OL861" s="861"/>
      <c r="OM861" s="861"/>
      <c r="ON861" s="861"/>
      <c r="OO861" s="861"/>
      <c r="OP861" s="861"/>
      <c r="OQ861" s="861"/>
      <c r="OR861" s="861"/>
      <c r="OS861" s="861"/>
      <c r="OT861" s="861"/>
      <c r="OU861" s="861"/>
      <c r="OV861" s="861"/>
      <c r="OW861" s="861"/>
      <c r="OX861" s="861"/>
      <c r="OY861" s="861"/>
      <c r="OZ861" s="861"/>
      <c r="PA861" s="861"/>
      <c r="PB861" s="861"/>
      <c r="PC861" s="861"/>
      <c r="PD861" s="861"/>
      <c r="PE861" s="861"/>
      <c r="PF861" s="861"/>
      <c r="PG861" s="861"/>
      <c r="PH861" s="861"/>
      <c r="PI861" s="861"/>
      <c r="PJ861" s="861"/>
      <c r="PK861" s="861"/>
      <c r="PL861" s="861"/>
      <c r="PM861" s="861"/>
      <c r="PN861" s="861"/>
      <c r="PO861" s="861"/>
      <c r="PP861" s="861"/>
      <c r="PQ861" s="861"/>
      <c r="PR861" s="861"/>
      <c r="PS861" s="861"/>
      <c r="PT861" s="861"/>
      <c r="PU861" s="861"/>
      <c r="PV861" s="861"/>
      <c r="PW861" s="861"/>
      <c r="PX861" s="861"/>
      <c r="PY861" s="861"/>
      <c r="PZ861" s="861"/>
      <c r="QA861" s="861"/>
      <c r="QB861" s="861"/>
      <c r="QC861" s="861"/>
      <c r="QD861" s="861"/>
      <c r="QE861" s="861"/>
      <c r="QF861" s="861"/>
      <c r="QG861" s="861"/>
      <c r="QH861" s="861"/>
      <c r="QI861" s="861"/>
      <c r="QJ861" s="861"/>
      <c r="QK861" s="861"/>
      <c r="QL861" s="861"/>
      <c r="QM861" s="861"/>
      <c r="QN861" s="861"/>
      <c r="QO861" s="861"/>
      <c r="QP861" s="861"/>
      <c r="QQ861" s="861"/>
      <c r="QR861" s="861"/>
      <c r="QS861" s="861"/>
      <c r="QT861" s="861"/>
      <c r="QU861" s="861"/>
      <c r="QV861" s="861"/>
      <c r="QW861" s="861"/>
      <c r="QX861" s="861"/>
      <c r="QY861" s="861"/>
      <c r="QZ861" s="861"/>
      <c r="RA861" s="861"/>
      <c r="RB861" s="861"/>
      <c r="RC861" s="861"/>
      <c r="RD861" s="861"/>
      <c r="RE861" s="861"/>
      <c r="RF861" s="861"/>
      <c r="RG861" s="861"/>
      <c r="RH861" s="861"/>
      <c r="RI861" s="861"/>
      <c r="RJ861" s="861"/>
      <c r="RK861" s="861"/>
      <c r="RL861" s="861"/>
      <c r="RM861" s="861"/>
      <c r="RN861" s="861"/>
      <c r="RO861" s="861"/>
      <c r="RP861" s="861"/>
      <c r="RQ861" s="861"/>
      <c r="RR861" s="861"/>
      <c r="RS861" s="861"/>
      <c r="RT861" s="861"/>
      <c r="RU861" s="861"/>
      <c r="RV861" s="861"/>
      <c r="RW861" s="861"/>
      <c r="RX861" s="861"/>
      <c r="RY861" s="861"/>
      <c r="RZ861" s="861"/>
      <c r="SA861" s="861"/>
      <c r="SB861" s="861"/>
      <c r="SC861" s="861"/>
      <c r="SD861" s="861"/>
      <c r="SE861" s="861"/>
      <c r="SF861" s="861"/>
      <c r="SG861" s="861"/>
      <c r="SH861" s="861"/>
      <c r="SI861" s="861"/>
      <c r="SJ861" s="861"/>
      <c r="SK861" s="861"/>
      <c r="SL861" s="861"/>
      <c r="SM861" s="861"/>
      <c r="SN861" s="861"/>
      <c r="SO861" s="861"/>
      <c r="SP861" s="861"/>
      <c r="SQ861" s="861"/>
      <c r="SR861" s="861"/>
      <c r="SS861" s="861"/>
      <c r="ST861" s="861"/>
      <c r="SU861" s="861"/>
      <c r="SV861" s="861"/>
      <c r="SW861" s="861"/>
      <c r="SX861" s="861"/>
      <c r="SY861" s="861"/>
      <c r="SZ861" s="861"/>
      <c r="TA861" s="861"/>
      <c r="TB861" s="861"/>
      <c r="TC861" s="861"/>
      <c r="TD861" s="861"/>
      <c r="TE861" s="861"/>
      <c r="TF861" s="861"/>
      <c r="TG861" s="861"/>
      <c r="TH861" s="861"/>
      <c r="TI861" s="861"/>
      <c r="TJ861" s="861"/>
      <c r="TK861" s="861"/>
      <c r="TL861" s="861"/>
      <c r="TM861" s="861"/>
      <c r="TN861" s="861"/>
      <c r="TO861" s="861"/>
      <c r="TP861" s="861"/>
      <c r="TQ861" s="861"/>
      <c r="TR861" s="861"/>
      <c r="TS861" s="861"/>
      <c r="TT861" s="861"/>
      <c r="TU861" s="861"/>
      <c r="TV861" s="861"/>
      <c r="TW861" s="861"/>
      <c r="TX861" s="861"/>
      <c r="TY861" s="861"/>
      <c r="TZ861" s="861"/>
      <c r="UA861" s="861"/>
      <c r="UB861" s="861"/>
      <c r="UC861" s="861"/>
      <c r="UD861" s="861"/>
      <c r="UE861" s="861"/>
      <c r="UF861" s="861"/>
      <c r="UG861" s="862"/>
    </row>
    <row r="862" spans="1:553" s="863" customFormat="1" ht="33" customHeight="1">
      <c r="A862" s="356"/>
      <c r="B862" s="356"/>
      <c r="C862" s="673" t="s">
        <v>23</v>
      </c>
      <c r="D862" s="397">
        <v>2</v>
      </c>
      <c r="E862" s="397">
        <v>120</v>
      </c>
      <c r="F862" s="673"/>
      <c r="G862" s="674" t="s">
        <v>33</v>
      </c>
      <c r="H862" s="675"/>
      <c r="I862" s="490">
        <v>122.3</v>
      </c>
      <c r="J862" s="797">
        <v>72000</v>
      </c>
      <c r="K862" s="857">
        <v>3</v>
      </c>
      <c r="L862" s="481">
        <f t="shared" si="127"/>
        <v>26416800</v>
      </c>
      <c r="M862" s="356"/>
      <c r="N862" s="356"/>
      <c r="O862" s="356"/>
      <c r="P862" s="356"/>
      <c r="Q862" s="610"/>
      <c r="R862" s="1452"/>
      <c r="S862" s="308"/>
      <c r="T862" s="308"/>
      <c r="U862" s="308"/>
      <c r="V862" s="308"/>
      <c r="W862" s="308"/>
      <c r="X862" s="308"/>
      <c r="Y862" s="308"/>
      <c r="Z862" s="604"/>
      <c r="AA862" s="308"/>
      <c r="AB862" s="308"/>
      <c r="AC862" s="449"/>
      <c r="AD862" s="449"/>
      <c r="AE862" s="449"/>
      <c r="AF862" s="449"/>
      <c r="AG862" s="449"/>
      <c r="AH862" s="449"/>
      <c r="AI862" s="449"/>
      <c r="AJ862" s="449"/>
      <c r="AK862" s="452"/>
      <c r="AL862" s="351"/>
      <c r="AM862" s="43"/>
      <c r="AN862" s="43"/>
      <c r="AO862" s="43"/>
      <c r="AP862" s="43"/>
      <c r="AQ862" s="43"/>
      <c r="AR862" s="43"/>
      <c r="AS862" s="43"/>
      <c r="AT862" s="43"/>
      <c r="AU862" s="43"/>
      <c r="AV862" s="43"/>
      <c r="AW862" s="43"/>
      <c r="AX862" s="43"/>
      <c r="AY862" s="43"/>
      <c r="AZ862" s="43"/>
      <c r="BA862" s="43"/>
      <c r="BB862" s="43"/>
      <c r="BC862" s="43"/>
      <c r="BD862" s="43"/>
      <c r="BE862" s="43"/>
      <c r="BF862" s="43"/>
      <c r="BG862" s="43"/>
      <c r="BH862" s="43"/>
      <c r="BI862" s="43"/>
      <c r="BJ862" s="43"/>
      <c r="BK862" s="43"/>
      <c r="BL862" s="43"/>
      <c r="BM862" s="43"/>
      <c r="BN862" s="43"/>
      <c r="BO862" s="43"/>
      <c r="BP862" s="861"/>
      <c r="BQ862" s="861"/>
      <c r="BR862" s="861"/>
      <c r="BS862" s="861"/>
      <c r="BT862" s="861"/>
      <c r="BU862" s="861"/>
      <c r="BV862" s="861"/>
      <c r="BW862" s="861"/>
      <c r="BX862" s="861"/>
      <c r="BY862" s="861"/>
      <c r="BZ862" s="861"/>
      <c r="CA862" s="861"/>
      <c r="CB862" s="861"/>
      <c r="CC862" s="861"/>
      <c r="CD862" s="861"/>
      <c r="CE862" s="861"/>
      <c r="CF862" s="861"/>
      <c r="CG862" s="861"/>
      <c r="CH862" s="861"/>
      <c r="CI862" s="861"/>
      <c r="CJ862" s="861"/>
      <c r="CK862" s="861"/>
      <c r="CL862" s="861"/>
      <c r="CM862" s="861"/>
      <c r="CN862" s="861"/>
      <c r="CO862" s="861"/>
      <c r="CP862" s="861"/>
      <c r="CQ862" s="861"/>
      <c r="CR862" s="861"/>
      <c r="CS862" s="861"/>
      <c r="CT862" s="861"/>
      <c r="CU862" s="861"/>
      <c r="CV862" s="861"/>
      <c r="CW862" s="861"/>
      <c r="CX862" s="861"/>
      <c r="CY862" s="861"/>
      <c r="CZ862" s="861"/>
      <c r="DA862" s="861"/>
      <c r="DB862" s="861"/>
      <c r="DC862" s="861"/>
      <c r="DD862" s="861"/>
      <c r="DE862" s="861"/>
      <c r="DF862" s="861"/>
      <c r="DG862" s="861"/>
      <c r="DH862" s="861"/>
      <c r="DI862" s="861"/>
      <c r="DJ862" s="861"/>
      <c r="DK862" s="861"/>
      <c r="DL862" s="861"/>
      <c r="DM862" s="861"/>
      <c r="DN862" s="861"/>
      <c r="DO862" s="861"/>
      <c r="DP862" s="861"/>
      <c r="DQ862" s="861"/>
      <c r="DR862" s="861"/>
      <c r="DS862" s="861"/>
      <c r="DT862" s="861"/>
      <c r="DU862" s="861"/>
      <c r="DV862" s="861"/>
      <c r="DW862" s="861"/>
      <c r="DX862" s="861"/>
      <c r="DY862" s="861"/>
      <c r="DZ862" s="861"/>
      <c r="EA862" s="861"/>
      <c r="EB862" s="861"/>
      <c r="EC862" s="861"/>
      <c r="ED862" s="861"/>
      <c r="EE862" s="861"/>
      <c r="EF862" s="861"/>
      <c r="EG862" s="861"/>
      <c r="EH862" s="861"/>
      <c r="EI862" s="861"/>
      <c r="EJ862" s="861"/>
      <c r="EK862" s="861"/>
      <c r="EL862" s="861"/>
      <c r="EM862" s="861"/>
      <c r="EN862" s="861"/>
      <c r="EO862" s="861"/>
      <c r="EP862" s="861"/>
      <c r="EQ862" s="861"/>
      <c r="ER862" s="861"/>
      <c r="ES862" s="861"/>
      <c r="ET862" s="861"/>
      <c r="EU862" s="861"/>
      <c r="EV862" s="861"/>
      <c r="EW862" s="861"/>
      <c r="EX862" s="861"/>
      <c r="EY862" s="861"/>
      <c r="EZ862" s="861"/>
      <c r="FA862" s="861"/>
      <c r="FB862" s="861"/>
      <c r="FC862" s="861"/>
      <c r="FD862" s="861"/>
      <c r="FE862" s="861"/>
      <c r="FF862" s="861"/>
      <c r="FG862" s="861"/>
      <c r="FH862" s="861"/>
      <c r="FI862" s="861"/>
      <c r="FJ862" s="861"/>
      <c r="FK862" s="861"/>
      <c r="FL862" s="861"/>
      <c r="FM862" s="861"/>
      <c r="FN862" s="861"/>
      <c r="FO862" s="861"/>
      <c r="FP862" s="861"/>
      <c r="FQ862" s="861"/>
      <c r="FR862" s="861"/>
      <c r="FS862" s="861"/>
      <c r="FT862" s="861"/>
      <c r="FU862" s="861"/>
      <c r="FV862" s="861"/>
      <c r="FW862" s="861"/>
      <c r="FX862" s="861"/>
      <c r="FY862" s="861"/>
      <c r="FZ862" s="861"/>
      <c r="GA862" s="861"/>
      <c r="GB862" s="861"/>
      <c r="GC862" s="861"/>
      <c r="GD862" s="861"/>
      <c r="GE862" s="861"/>
      <c r="GF862" s="861"/>
      <c r="GG862" s="861"/>
      <c r="GH862" s="861"/>
      <c r="GI862" s="861"/>
      <c r="GJ862" s="861"/>
      <c r="GK862" s="861"/>
      <c r="GL862" s="861"/>
      <c r="GM862" s="861"/>
      <c r="GN862" s="861"/>
      <c r="GO862" s="861"/>
      <c r="GP862" s="861"/>
      <c r="GQ862" s="861"/>
      <c r="GR862" s="861"/>
      <c r="GS862" s="861"/>
      <c r="GT862" s="861"/>
      <c r="GU862" s="861"/>
      <c r="GV862" s="861"/>
      <c r="GW862" s="861"/>
      <c r="GX862" s="861"/>
      <c r="GY862" s="861"/>
      <c r="GZ862" s="861"/>
      <c r="HA862" s="861"/>
      <c r="HB862" s="861"/>
      <c r="HC862" s="861"/>
      <c r="HD862" s="861"/>
      <c r="HE862" s="861"/>
      <c r="HF862" s="861"/>
      <c r="HG862" s="861"/>
      <c r="HH862" s="861"/>
      <c r="HI862" s="861"/>
      <c r="HJ862" s="861"/>
      <c r="HK862" s="861"/>
      <c r="HL862" s="861"/>
      <c r="HM862" s="861"/>
      <c r="HN862" s="861"/>
      <c r="HO862" s="861"/>
      <c r="HP862" s="861"/>
      <c r="HQ862" s="861"/>
      <c r="HR862" s="861"/>
      <c r="HS862" s="861"/>
      <c r="HT862" s="861"/>
      <c r="HU862" s="861"/>
      <c r="HV862" s="861"/>
      <c r="HW862" s="861"/>
      <c r="HX862" s="861"/>
      <c r="HY862" s="861"/>
      <c r="HZ862" s="861"/>
      <c r="IA862" s="861"/>
      <c r="IB862" s="861"/>
      <c r="IC862" s="861"/>
      <c r="ID862" s="861"/>
      <c r="IE862" s="861"/>
      <c r="IF862" s="861"/>
      <c r="IG862" s="861"/>
      <c r="IH862" s="861"/>
      <c r="II862" s="861"/>
      <c r="IJ862" s="861"/>
      <c r="IK862" s="861"/>
      <c r="IL862" s="861"/>
      <c r="IM862" s="861"/>
      <c r="IN862" s="861"/>
      <c r="IO862" s="861"/>
      <c r="IP862" s="861"/>
      <c r="IQ862" s="861"/>
      <c r="IR862" s="861"/>
      <c r="IS862" s="861"/>
      <c r="IT862" s="861"/>
      <c r="IU862" s="861"/>
      <c r="IV862" s="861"/>
      <c r="IW862" s="861"/>
      <c r="IX862" s="861"/>
      <c r="IY862" s="861"/>
      <c r="IZ862" s="861"/>
      <c r="JA862" s="861"/>
      <c r="JB862" s="861"/>
      <c r="JC862" s="861"/>
      <c r="JD862" s="861"/>
      <c r="JE862" s="861"/>
      <c r="JF862" s="861"/>
      <c r="JG862" s="861"/>
      <c r="JH862" s="861"/>
      <c r="JI862" s="861"/>
      <c r="JJ862" s="861"/>
      <c r="JK862" s="861"/>
      <c r="JL862" s="861"/>
      <c r="JM862" s="861"/>
      <c r="JN862" s="861"/>
      <c r="JO862" s="861"/>
      <c r="JP862" s="861"/>
      <c r="JQ862" s="861"/>
      <c r="JR862" s="861"/>
      <c r="JS862" s="861"/>
      <c r="JT862" s="861"/>
      <c r="JU862" s="861"/>
      <c r="JV862" s="861"/>
      <c r="JW862" s="861"/>
      <c r="JX862" s="861"/>
      <c r="JY862" s="861"/>
      <c r="JZ862" s="861"/>
      <c r="KA862" s="861"/>
      <c r="KB862" s="861"/>
      <c r="KC862" s="861"/>
      <c r="KD862" s="861"/>
      <c r="KE862" s="861"/>
      <c r="KF862" s="861"/>
      <c r="KG862" s="861"/>
      <c r="KH862" s="861"/>
      <c r="KI862" s="861"/>
      <c r="KJ862" s="861"/>
      <c r="KK862" s="861"/>
      <c r="KL862" s="861"/>
      <c r="KM862" s="861"/>
      <c r="KN862" s="861"/>
      <c r="KO862" s="861"/>
      <c r="KP862" s="861"/>
      <c r="KQ862" s="861"/>
      <c r="KR862" s="861"/>
      <c r="KS862" s="861"/>
      <c r="KT862" s="861"/>
      <c r="KU862" s="861"/>
      <c r="KV862" s="861"/>
      <c r="KW862" s="861"/>
      <c r="KX862" s="861"/>
      <c r="KY862" s="861"/>
      <c r="KZ862" s="861"/>
      <c r="LA862" s="861"/>
      <c r="LB862" s="861"/>
      <c r="LC862" s="861"/>
      <c r="LD862" s="861"/>
      <c r="LE862" s="861"/>
      <c r="LF862" s="861"/>
      <c r="LG862" s="861"/>
      <c r="LH862" s="861"/>
      <c r="LI862" s="861"/>
      <c r="LJ862" s="861"/>
      <c r="LK862" s="861"/>
      <c r="LL862" s="861"/>
      <c r="LM862" s="861"/>
      <c r="LN862" s="861"/>
      <c r="LO862" s="861"/>
      <c r="LP862" s="861"/>
      <c r="LQ862" s="861"/>
      <c r="LR862" s="861"/>
      <c r="LS862" s="861"/>
      <c r="LT862" s="861"/>
      <c r="LU862" s="861"/>
      <c r="LV862" s="861"/>
      <c r="LW862" s="861"/>
      <c r="LX862" s="861"/>
      <c r="LY862" s="861"/>
      <c r="LZ862" s="861"/>
      <c r="MA862" s="861"/>
      <c r="MB862" s="861"/>
      <c r="MC862" s="861"/>
      <c r="MD862" s="861"/>
      <c r="ME862" s="861"/>
      <c r="MF862" s="861"/>
      <c r="MG862" s="861"/>
      <c r="MH862" s="861"/>
      <c r="MI862" s="861"/>
      <c r="MJ862" s="861"/>
      <c r="MK862" s="861"/>
      <c r="ML862" s="861"/>
      <c r="MM862" s="861"/>
      <c r="MN862" s="861"/>
      <c r="MO862" s="861"/>
      <c r="MP862" s="861"/>
      <c r="MQ862" s="861"/>
      <c r="MR862" s="861"/>
      <c r="MS862" s="861"/>
      <c r="MT862" s="861"/>
      <c r="MU862" s="861"/>
      <c r="MV862" s="861"/>
      <c r="MW862" s="861"/>
      <c r="MX862" s="861"/>
      <c r="MY862" s="861"/>
      <c r="MZ862" s="861"/>
      <c r="NA862" s="861"/>
      <c r="NB862" s="861"/>
      <c r="NC862" s="861"/>
      <c r="ND862" s="861"/>
      <c r="NE862" s="861"/>
      <c r="NF862" s="861"/>
      <c r="NG862" s="861"/>
      <c r="NH862" s="861"/>
      <c r="NI862" s="861"/>
      <c r="NJ862" s="861"/>
      <c r="NK862" s="861"/>
      <c r="NL862" s="861"/>
      <c r="NM862" s="861"/>
      <c r="NN862" s="861"/>
      <c r="NO862" s="861"/>
      <c r="NP862" s="861"/>
      <c r="NQ862" s="861"/>
      <c r="NR862" s="861"/>
      <c r="NS862" s="861"/>
      <c r="NT862" s="861"/>
      <c r="NU862" s="861"/>
      <c r="NV862" s="861"/>
      <c r="NW862" s="861"/>
      <c r="NX862" s="861"/>
      <c r="NY862" s="861"/>
      <c r="NZ862" s="861"/>
      <c r="OA862" s="861"/>
      <c r="OB862" s="861"/>
      <c r="OC862" s="861"/>
      <c r="OD862" s="861"/>
      <c r="OE862" s="861"/>
      <c r="OF862" s="861"/>
      <c r="OG862" s="861"/>
      <c r="OH862" s="861"/>
      <c r="OI862" s="861"/>
      <c r="OJ862" s="861"/>
      <c r="OK862" s="861"/>
      <c r="OL862" s="861"/>
      <c r="OM862" s="861"/>
      <c r="ON862" s="861"/>
      <c r="OO862" s="861"/>
      <c r="OP862" s="861"/>
      <c r="OQ862" s="861"/>
      <c r="OR862" s="861"/>
      <c r="OS862" s="861"/>
      <c r="OT862" s="861"/>
      <c r="OU862" s="861"/>
      <c r="OV862" s="861"/>
      <c r="OW862" s="861"/>
      <c r="OX862" s="861"/>
      <c r="OY862" s="861"/>
      <c r="OZ862" s="861"/>
      <c r="PA862" s="861"/>
      <c r="PB862" s="861"/>
      <c r="PC862" s="861"/>
      <c r="PD862" s="861"/>
      <c r="PE862" s="861"/>
      <c r="PF862" s="861"/>
      <c r="PG862" s="861"/>
      <c r="PH862" s="861"/>
      <c r="PI862" s="861"/>
      <c r="PJ862" s="861"/>
      <c r="PK862" s="861"/>
      <c r="PL862" s="861"/>
      <c r="PM862" s="861"/>
      <c r="PN862" s="861"/>
      <c r="PO862" s="861"/>
      <c r="PP862" s="861"/>
      <c r="PQ862" s="861"/>
      <c r="PR862" s="861"/>
      <c r="PS862" s="861"/>
      <c r="PT862" s="861"/>
      <c r="PU862" s="861"/>
      <c r="PV862" s="861"/>
      <c r="PW862" s="861"/>
      <c r="PX862" s="861"/>
      <c r="PY862" s="861"/>
      <c r="PZ862" s="861"/>
      <c r="QA862" s="861"/>
      <c r="QB862" s="861"/>
      <c r="QC862" s="861"/>
      <c r="QD862" s="861"/>
      <c r="QE862" s="861"/>
      <c r="QF862" s="861"/>
      <c r="QG862" s="861"/>
      <c r="QH862" s="861"/>
      <c r="QI862" s="861"/>
      <c r="QJ862" s="861"/>
      <c r="QK862" s="861"/>
      <c r="QL862" s="861"/>
      <c r="QM862" s="861"/>
      <c r="QN862" s="861"/>
      <c r="QO862" s="861"/>
      <c r="QP862" s="861"/>
      <c r="QQ862" s="861"/>
      <c r="QR862" s="861"/>
      <c r="QS862" s="861"/>
      <c r="QT862" s="861"/>
      <c r="QU862" s="861"/>
      <c r="QV862" s="861"/>
      <c r="QW862" s="861"/>
      <c r="QX862" s="861"/>
      <c r="QY862" s="861"/>
      <c r="QZ862" s="861"/>
      <c r="RA862" s="861"/>
      <c r="RB862" s="861"/>
      <c r="RC862" s="861"/>
      <c r="RD862" s="861"/>
      <c r="RE862" s="861"/>
      <c r="RF862" s="861"/>
      <c r="RG862" s="861"/>
      <c r="RH862" s="861"/>
      <c r="RI862" s="861"/>
      <c r="RJ862" s="861"/>
      <c r="RK862" s="861"/>
      <c r="RL862" s="861"/>
      <c r="RM862" s="861"/>
      <c r="RN862" s="861"/>
      <c r="RO862" s="861"/>
      <c r="RP862" s="861"/>
      <c r="RQ862" s="861"/>
      <c r="RR862" s="861"/>
      <c r="RS862" s="861"/>
      <c r="RT862" s="861"/>
      <c r="RU862" s="861"/>
      <c r="RV862" s="861"/>
      <c r="RW862" s="861"/>
      <c r="RX862" s="861"/>
      <c r="RY862" s="861"/>
      <c r="RZ862" s="861"/>
      <c r="SA862" s="861"/>
      <c r="SB862" s="861"/>
      <c r="SC862" s="861"/>
      <c r="SD862" s="861"/>
      <c r="SE862" s="861"/>
      <c r="SF862" s="861"/>
      <c r="SG862" s="861"/>
      <c r="SH862" s="861"/>
      <c r="SI862" s="861"/>
      <c r="SJ862" s="861"/>
      <c r="SK862" s="861"/>
      <c r="SL862" s="861"/>
      <c r="SM862" s="861"/>
      <c r="SN862" s="861"/>
      <c r="SO862" s="861"/>
      <c r="SP862" s="861"/>
      <c r="SQ862" s="861"/>
      <c r="SR862" s="861"/>
      <c r="SS862" s="861"/>
      <c r="ST862" s="861"/>
      <c r="SU862" s="861"/>
      <c r="SV862" s="861"/>
      <c r="SW862" s="861"/>
      <c r="SX862" s="861"/>
      <c r="SY862" s="861"/>
      <c r="SZ862" s="861"/>
      <c r="TA862" s="861"/>
      <c r="TB862" s="861"/>
      <c r="TC862" s="861"/>
      <c r="TD862" s="861"/>
      <c r="TE862" s="861"/>
      <c r="TF862" s="861"/>
      <c r="TG862" s="861"/>
      <c r="TH862" s="861"/>
      <c r="TI862" s="861"/>
      <c r="TJ862" s="861"/>
      <c r="TK862" s="861"/>
      <c r="TL862" s="861"/>
      <c r="TM862" s="861"/>
      <c r="TN862" s="861"/>
      <c r="TO862" s="861"/>
      <c r="TP862" s="861"/>
      <c r="TQ862" s="861"/>
      <c r="TR862" s="861"/>
      <c r="TS862" s="861"/>
      <c r="TT862" s="861"/>
      <c r="TU862" s="861"/>
      <c r="TV862" s="861"/>
      <c r="TW862" s="861"/>
      <c r="TX862" s="861"/>
      <c r="TY862" s="861"/>
      <c r="TZ862" s="861"/>
      <c r="UA862" s="861"/>
      <c r="UB862" s="861"/>
      <c r="UC862" s="861"/>
      <c r="UD862" s="861"/>
      <c r="UE862" s="861"/>
      <c r="UF862" s="861"/>
      <c r="UG862" s="862"/>
    </row>
    <row r="863" spans="1:553" s="863" customFormat="1" ht="33" customHeight="1">
      <c r="A863" s="356"/>
      <c r="B863" s="356"/>
      <c r="C863" s="673" t="s">
        <v>23</v>
      </c>
      <c r="D863" s="397">
        <v>2</v>
      </c>
      <c r="E863" s="397">
        <v>163</v>
      </c>
      <c r="F863" s="673"/>
      <c r="G863" s="674" t="s">
        <v>33</v>
      </c>
      <c r="H863" s="675"/>
      <c r="I863" s="490">
        <v>84.7</v>
      </c>
      <c r="J863" s="797">
        <v>72000</v>
      </c>
      <c r="K863" s="857">
        <v>3</v>
      </c>
      <c r="L863" s="481">
        <f t="shared" si="127"/>
        <v>18295200</v>
      </c>
      <c r="M863" s="356"/>
      <c r="N863" s="356"/>
      <c r="O863" s="356"/>
      <c r="P863" s="356"/>
      <c r="Q863" s="610"/>
      <c r="R863" s="1452"/>
      <c r="S863" s="308"/>
      <c r="T863" s="308"/>
      <c r="U863" s="308"/>
      <c r="V863" s="308"/>
      <c r="W863" s="308"/>
      <c r="X863" s="308"/>
      <c r="Y863" s="308"/>
      <c r="Z863" s="604"/>
      <c r="AA863" s="308"/>
      <c r="AB863" s="308"/>
      <c r="AC863" s="449"/>
      <c r="AD863" s="449"/>
      <c r="AE863" s="449"/>
      <c r="AF863" s="449"/>
      <c r="AG863" s="449"/>
      <c r="AH863" s="449"/>
      <c r="AI863" s="449"/>
      <c r="AJ863" s="449"/>
      <c r="AK863" s="452"/>
      <c r="AL863" s="351"/>
      <c r="AM863" s="43"/>
      <c r="AN863" s="43"/>
      <c r="AO863" s="43"/>
      <c r="AP863" s="43"/>
      <c r="AQ863" s="43"/>
      <c r="AR863" s="43"/>
      <c r="AS863" s="43"/>
      <c r="AT863" s="43"/>
      <c r="AU863" s="43"/>
      <c r="AV863" s="43"/>
      <c r="AW863" s="43"/>
      <c r="AX863" s="43"/>
      <c r="AY863" s="43"/>
      <c r="AZ863" s="43"/>
      <c r="BA863" s="43"/>
      <c r="BB863" s="43"/>
      <c r="BC863" s="43"/>
      <c r="BD863" s="43"/>
      <c r="BE863" s="43"/>
      <c r="BF863" s="43"/>
      <c r="BG863" s="43"/>
      <c r="BH863" s="43"/>
      <c r="BI863" s="43"/>
      <c r="BJ863" s="43"/>
      <c r="BK863" s="43"/>
      <c r="BL863" s="43"/>
      <c r="BM863" s="43"/>
      <c r="BN863" s="43"/>
      <c r="BO863" s="43"/>
      <c r="BP863" s="861"/>
      <c r="BQ863" s="861"/>
      <c r="BR863" s="861"/>
      <c r="BS863" s="861"/>
      <c r="BT863" s="861"/>
      <c r="BU863" s="861"/>
      <c r="BV863" s="861"/>
      <c r="BW863" s="861"/>
      <c r="BX863" s="861"/>
      <c r="BY863" s="861"/>
      <c r="BZ863" s="861"/>
      <c r="CA863" s="861"/>
      <c r="CB863" s="861"/>
      <c r="CC863" s="861"/>
      <c r="CD863" s="861"/>
      <c r="CE863" s="861"/>
      <c r="CF863" s="861"/>
      <c r="CG863" s="861"/>
      <c r="CH863" s="861"/>
      <c r="CI863" s="861"/>
      <c r="CJ863" s="861"/>
      <c r="CK863" s="861"/>
      <c r="CL863" s="861"/>
      <c r="CM863" s="861"/>
      <c r="CN863" s="861"/>
      <c r="CO863" s="861"/>
      <c r="CP863" s="861"/>
      <c r="CQ863" s="861"/>
      <c r="CR863" s="861"/>
      <c r="CS863" s="861"/>
      <c r="CT863" s="861"/>
      <c r="CU863" s="861"/>
      <c r="CV863" s="861"/>
      <c r="CW863" s="861"/>
      <c r="CX863" s="861"/>
      <c r="CY863" s="861"/>
      <c r="CZ863" s="861"/>
      <c r="DA863" s="861"/>
      <c r="DB863" s="861"/>
      <c r="DC863" s="861"/>
      <c r="DD863" s="861"/>
      <c r="DE863" s="861"/>
      <c r="DF863" s="861"/>
      <c r="DG863" s="861"/>
      <c r="DH863" s="861"/>
      <c r="DI863" s="861"/>
      <c r="DJ863" s="861"/>
      <c r="DK863" s="861"/>
      <c r="DL863" s="861"/>
      <c r="DM863" s="861"/>
      <c r="DN863" s="861"/>
      <c r="DO863" s="861"/>
      <c r="DP863" s="861"/>
      <c r="DQ863" s="861"/>
      <c r="DR863" s="861"/>
      <c r="DS863" s="861"/>
      <c r="DT863" s="861"/>
      <c r="DU863" s="861"/>
      <c r="DV863" s="861"/>
      <c r="DW863" s="861"/>
      <c r="DX863" s="861"/>
      <c r="DY863" s="861"/>
      <c r="DZ863" s="861"/>
      <c r="EA863" s="861"/>
      <c r="EB863" s="861"/>
      <c r="EC863" s="861"/>
      <c r="ED863" s="861"/>
      <c r="EE863" s="861"/>
      <c r="EF863" s="861"/>
      <c r="EG863" s="861"/>
      <c r="EH863" s="861"/>
      <c r="EI863" s="861"/>
      <c r="EJ863" s="861"/>
      <c r="EK863" s="861"/>
      <c r="EL863" s="861"/>
      <c r="EM863" s="861"/>
      <c r="EN863" s="861"/>
      <c r="EO863" s="861"/>
      <c r="EP863" s="861"/>
      <c r="EQ863" s="861"/>
      <c r="ER863" s="861"/>
      <c r="ES863" s="861"/>
      <c r="ET863" s="861"/>
      <c r="EU863" s="861"/>
      <c r="EV863" s="861"/>
      <c r="EW863" s="861"/>
      <c r="EX863" s="861"/>
      <c r="EY863" s="861"/>
      <c r="EZ863" s="861"/>
      <c r="FA863" s="861"/>
      <c r="FB863" s="861"/>
      <c r="FC863" s="861"/>
      <c r="FD863" s="861"/>
      <c r="FE863" s="861"/>
      <c r="FF863" s="861"/>
      <c r="FG863" s="861"/>
      <c r="FH863" s="861"/>
      <c r="FI863" s="861"/>
      <c r="FJ863" s="861"/>
      <c r="FK863" s="861"/>
      <c r="FL863" s="861"/>
      <c r="FM863" s="861"/>
      <c r="FN863" s="861"/>
      <c r="FO863" s="861"/>
      <c r="FP863" s="861"/>
      <c r="FQ863" s="861"/>
      <c r="FR863" s="861"/>
      <c r="FS863" s="861"/>
      <c r="FT863" s="861"/>
      <c r="FU863" s="861"/>
      <c r="FV863" s="861"/>
      <c r="FW863" s="861"/>
      <c r="FX863" s="861"/>
      <c r="FY863" s="861"/>
      <c r="FZ863" s="861"/>
      <c r="GA863" s="861"/>
      <c r="GB863" s="861"/>
      <c r="GC863" s="861"/>
      <c r="GD863" s="861"/>
      <c r="GE863" s="861"/>
      <c r="GF863" s="861"/>
      <c r="GG863" s="861"/>
      <c r="GH863" s="861"/>
      <c r="GI863" s="861"/>
      <c r="GJ863" s="861"/>
      <c r="GK863" s="861"/>
      <c r="GL863" s="861"/>
      <c r="GM863" s="861"/>
      <c r="GN863" s="861"/>
      <c r="GO863" s="861"/>
      <c r="GP863" s="861"/>
      <c r="GQ863" s="861"/>
      <c r="GR863" s="861"/>
      <c r="GS863" s="861"/>
      <c r="GT863" s="861"/>
      <c r="GU863" s="861"/>
      <c r="GV863" s="861"/>
      <c r="GW863" s="861"/>
      <c r="GX863" s="861"/>
      <c r="GY863" s="861"/>
      <c r="GZ863" s="861"/>
      <c r="HA863" s="861"/>
      <c r="HB863" s="861"/>
      <c r="HC863" s="861"/>
      <c r="HD863" s="861"/>
      <c r="HE863" s="861"/>
      <c r="HF863" s="861"/>
      <c r="HG863" s="861"/>
      <c r="HH863" s="861"/>
      <c r="HI863" s="861"/>
      <c r="HJ863" s="861"/>
      <c r="HK863" s="861"/>
      <c r="HL863" s="861"/>
      <c r="HM863" s="861"/>
      <c r="HN863" s="861"/>
      <c r="HO863" s="861"/>
      <c r="HP863" s="861"/>
      <c r="HQ863" s="861"/>
      <c r="HR863" s="861"/>
      <c r="HS863" s="861"/>
      <c r="HT863" s="861"/>
      <c r="HU863" s="861"/>
      <c r="HV863" s="861"/>
      <c r="HW863" s="861"/>
      <c r="HX863" s="861"/>
      <c r="HY863" s="861"/>
      <c r="HZ863" s="861"/>
      <c r="IA863" s="861"/>
      <c r="IB863" s="861"/>
      <c r="IC863" s="861"/>
      <c r="ID863" s="861"/>
      <c r="IE863" s="861"/>
      <c r="IF863" s="861"/>
      <c r="IG863" s="861"/>
      <c r="IH863" s="861"/>
      <c r="II863" s="861"/>
      <c r="IJ863" s="861"/>
      <c r="IK863" s="861"/>
      <c r="IL863" s="861"/>
      <c r="IM863" s="861"/>
      <c r="IN863" s="861"/>
      <c r="IO863" s="861"/>
      <c r="IP863" s="861"/>
      <c r="IQ863" s="861"/>
      <c r="IR863" s="861"/>
      <c r="IS863" s="861"/>
      <c r="IT863" s="861"/>
      <c r="IU863" s="861"/>
      <c r="IV863" s="861"/>
      <c r="IW863" s="861"/>
      <c r="IX863" s="861"/>
      <c r="IY863" s="861"/>
      <c r="IZ863" s="861"/>
      <c r="JA863" s="861"/>
      <c r="JB863" s="861"/>
      <c r="JC863" s="861"/>
      <c r="JD863" s="861"/>
      <c r="JE863" s="861"/>
      <c r="JF863" s="861"/>
      <c r="JG863" s="861"/>
      <c r="JH863" s="861"/>
      <c r="JI863" s="861"/>
      <c r="JJ863" s="861"/>
      <c r="JK863" s="861"/>
      <c r="JL863" s="861"/>
      <c r="JM863" s="861"/>
      <c r="JN863" s="861"/>
      <c r="JO863" s="861"/>
      <c r="JP863" s="861"/>
      <c r="JQ863" s="861"/>
      <c r="JR863" s="861"/>
      <c r="JS863" s="861"/>
      <c r="JT863" s="861"/>
      <c r="JU863" s="861"/>
      <c r="JV863" s="861"/>
      <c r="JW863" s="861"/>
      <c r="JX863" s="861"/>
      <c r="JY863" s="861"/>
      <c r="JZ863" s="861"/>
      <c r="KA863" s="861"/>
      <c r="KB863" s="861"/>
      <c r="KC863" s="861"/>
      <c r="KD863" s="861"/>
      <c r="KE863" s="861"/>
      <c r="KF863" s="861"/>
      <c r="KG863" s="861"/>
      <c r="KH863" s="861"/>
      <c r="KI863" s="861"/>
      <c r="KJ863" s="861"/>
      <c r="KK863" s="861"/>
      <c r="KL863" s="861"/>
      <c r="KM863" s="861"/>
      <c r="KN863" s="861"/>
      <c r="KO863" s="861"/>
      <c r="KP863" s="861"/>
      <c r="KQ863" s="861"/>
      <c r="KR863" s="861"/>
      <c r="KS863" s="861"/>
      <c r="KT863" s="861"/>
      <c r="KU863" s="861"/>
      <c r="KV863" s="861"/>
      <c r="KW863" s="861"/>
      <c r="KX863" s="861"/>
      <c r="KY863" s="861"/>
      <c r="KZ863" s="861"/>
      <c r="LA863" s="861"/>
      <c r="LB863" s="861"/>
      <c r="LC863" s="861"/>
      <c r="LD863" s="861"/>
      <c r="LE863" s="861"/>
      <c r="LF863" s="861"/>
      <c r="LG863" s="861"/>
      <c r="LH863" s="861"/>
      <c r="LI863" s="861"/>
      <c r="LJ863" s="861"/>
      <c r="LK863" s="861"/>
      <c r="LL863" s="861"/>
      <c r="LM863" s="861"/>
      <c r="LN863" s="861"/>
      <c r="LO863" s="861"/>
      <c r="LP863" s="861"/>
      <c r="LQ863" s="861"/>
      <c r="LR863" s="861"/>
      <c r="LS863" s="861"/>
      <c r="LT863" s="861"/>
      <c r="LU863" s="861"/>
      <c r="LV863" s="861"/>
      <c r="LW863" s="861"/>
      <c r="LX863" s="861"/>
      <c r="LY863" s="861"/>
      <c r="LZ863" s="861"/>
      <c r="MA863" s="861"/>
      <c r="MB863" s="861"/>
      <c r="MC863" s="861"/>
      <c r="MD863" s="861"/>
      <c r="ME863" s="861"/>
      <c r="MF863" s="861"/>
      <c r="MG863" s="861"/>
      <c r="MH863" s="861"/>
      <c r="MI863" s="861"/>
      <c r="MJ863" s="861"/>
      <c r="MK863" s="861"/>
      <c r="ML863" s="861"/>
      <c r="MM863" s="861"/>
      <c r="MN863" s="861"/>
      <c r="MO863" s="861"/>
      <c r="MP863" s="861"/>
      <c r="MQ863" s="861"/>
      <c r="MR863" s="861"/>
      <c r="MS863" s="861"/>
      <c r="MT863" s="861"/>
      <c r="MU863" s="861"/>
      <c r="MV863" s="861"/>
      <c r="MW863" s="861"/>
      <c r="MX863" s="861"/>
      <c r="MY863" s="861"/>
      <c r="MZ863" s="861"/>
      <c r="NA863" s="861"/>
      <c r="NB863" s="861"/>
      <c r="NC863" s="861"/>
      <c r="ND863" s="861"/>
      <c r="NE863" s="861"/>
      <c r="NF863" s="861"/>
      <c r="NG863" s="861"/>
      <c r="NH863" s="861"/>
      <c r="NI863" s="861"/>
      <c r="NJ863" s="861"/>
      <c r="NK863" s="861"/>
      <c r="NL863" s="861"/>
      <c r="NM863" s="861"/>
      <c r="NN863" s="861"/>
      <c r="NO863" s="861"/>
      <c r="NP863" s="861"/>
      <c r="NQ863" s="861"/>
      <c r="NR863" s="861"/>
      <c r="NS863" s="861"/>
      <c r="NT863" s="861"/>
      <c r="NU863" s="861"/>
      <c r="NV863" s="861"/>
      <c r="NW863" s="861"/>
      <c r="NX863" s="861"/>
      <c r="NY863" s="861"/>
      <c r="NZ863" s="861"/>
      <c r="OA863" s="861"/>
      <c r="OB863" s="861"/>
      <c r="OC863" s="861"/>
      <c r="OD863" s="861"/>
      <c r="OE863" s="861"/>
      <c r="OF863" s="861"/>
      <c r="OG863" s="861"/>
      <c r="OH863" s="861"/>
      <c r="OI863" s="861"/>
      <c r="OJ863" s="861"/>
      <c r="OK863" s="861"/>
      <c r="OL863" s="861"/>
      <c r="OM863" s="861"/>
      <c r="ON863" s="861"/>
      <c r="OO863" s="861"/>
      <c r="OP863" s="861"/>
      <c r="OQ863" s="861"/>
      <c r="OR863" s="861"/>
      <c r="OS863" s="861"/>
      <c r="OT863" s="861"/>
      <c r="OU863" s="861"/>
      <c r="OV863" s="861"/>
      <c r="OW863" s="861"/>
      <c r="OX863" s="861"/>
      <c r="OY863" s="861"/>
      <c r="OZ863" s="861"/>
      <c r="PA863" s="861"/>
      <c r="PB863" s="861"/>
      <c r="PC863" s="861"/>
      <c r="PD863" s="861"/>
      <c r="PE863" s="861"/>
      <c r="PF863" s="861"/>
      <c r="PG863" s="861"/>
      <c r="PH863" s="861"/>
      <c r="PI863" s="861"/>
      <c r="PJ863" s="861"/>
      <c r="PK863" s="861"/>
      <c r="PL863" s="861"/>
      <c r="PM863" s="861"/>
      <c r="PN863" s="861"/>
      <c r="PO863" s="861"/>
      <c r="PP863" s="861"/>
      <c r="PQ863" s="861"/>
      <c r="PR863" s="861"/>
      <c r="PS863" s="861"/>
      <c r="PT863" s="861"/>
      <c r="PU863" s="861"/>
      <c r="PV863" s="861"/>
      <c r="PW863" s="861"/>
      <c r="PX863" s="861"/>
      <c r="PY863" s="861"/>
      <c r="PZ863" s="861"/>
      <c r="QA863" s="861"/>
      <c r="QB863" s="861"/>
      <c r="QC863" s="861"/>
      <c r="QD863" s="861"/>
      <c r="QE863" s="861"/>
      <c r="QF863" s="861"/>
      <c r="QG863" s="861"/>
      <c r="QH863" s="861"/>
      <c r="QI863" s="861"/>
      <c r="QJ863" s="861"/>
      <c r="QK863" s="861"/>
      <c r="QL863" s="861"/>
      <c r="QM863" s="861"/>
      <c r="QN863" s="861"/>
      <c r="QO863" s="861"/>
      <c r="QP863" s="861"/>
      <c r="QQ863" s="861"/>
      <c r="QR863" s="861"/>
      <c r="QS863" s="861"/>
      <c r="QT863" s="861"/>
      <c r="QU863" s="861"/>
      <c r="QV863" s="861"/>
      <c r="QW863" s="861"/>
      <c r="QX863" s="861"/>
      <c r="QY863" s="861"/>
      <c r="QZ863" s="861"/>
      <c r="RA863" s="861"/>
      <c r="RB863" s="861"/>
      <c r="RC863" s="861"/>
      <c r="RD863" s="861"/>
      <c r="RE863" s="861"/>
      <c r="RF863" s="861"/>
      <c r="RG863" s="861"/>
      <c r="RH863" s="861"/>
      <c r="RI863" s="861"/>
      <c r="RJ863" s="861"/>
      <c r="RK863" s="861"/>
      <c r="RL863" s="861"/>
      <c r="RM863" s="861"/>
      <c r="RN863" s="861"/>
      <c r="RO863" s="861"/>
      <c r="RP863" s="861"/>
      <c r="RQ863" s="861"/>
      <c r="RR863" s="861"/>
      <c r="RS863" s="861"/>
      <c r="RT863" s="861"/>
      <c r="RU863" s="861"/>
      <c r="RV863" s="861"/>
      <c r="RW863" s="861"/>
      <c r="RX863" s="861"/>
      <c r="RY863" s="861"/>
      <c r="RZ863" s="861"/>
      <c r="SA863" s="861"/>
      <c r="SB863" s="861"/>
      <c r="SC863" s="861"/>
      <c r="SD863" s="861"/>
      <c r="SE863" s="861"/>
      <c r="SF863" s="861"/>
      <c r="SG863" s="861"/>
      <c r="SH863" s="861"/>
      <c r="SI863" s="861"/>
      <c r="SJ863" s="861"/>
      <c r="SK863" s="861"/>
      <c r="SL863" s="861"/>
      <c r="SM863" s="861"/>
      <c r="SN863" s="861"/>
      <c r="SO863" s="861"/>
      <c r="SP863" s="861"/>
      <c r="SQ863" s="861"/>
      <c r="SR863" s="861"/>
      <c r="SS863" s="861"/>
      <c r="ST863" s="861"/>
      <c r="SU863" s="861"/>
      <c r="SV863" s="861"/>
      <c r="SW863" s="861"/>
      <c r="SX863" s="861"/>
      <c r="SY863" s="861"/>
      <c r="SZ863" s="861"/>
      <c r="TA863" s="861"/>
      <c r="TB863" s="861"/>
      <c r="TC863" s="861"/>
      <c r="TD863" s="861"/>
      <c r="TE863" s="861"/>
      <c r="TF863" s="861"/>
      <c r="TG863" s="861"/>
      <c r="TH863" s="861"/>
      <c r="TI863" s="861"/>
      <c r="TJ863" s="861"/>
      <c r="TK863" s="861"/>
      <c r="TL863" s="861"/>
      <c r="TM863" s="861"/>
      <c r="TN863" s="861"/>
      <c r="TO863" s="861"/>
      <c r="TP863" s="861"/>
      <c r="TQ863" s="861"/>
      <c r="TR863" s="861"/>
      <c r="TS863" s="861"/>
      <c r="TT863" s="861"/>
      <c r="TU863" s="861"/>
      <c r="TV863" s="861"/>
      <c r="TW863" s="861"/>
      <c r="TX863" s="861"/>
      <c r="TY863" s="861"/>
      <c r="TZ863" s="861"/>
      <c r="UA863" s="861"/>
      <c r="UB863" s="861"/>
      <c r="UC863" s="861"/>
      <c r="UD863" s="861"/>
      <c r="UE863" s="861"/>
      <c r="UF863" s="861"/>
      <c r="UG863" s="862"/>
    </row>
    <row r="864" spans="1:553" s="863" customFormat="1" ht="33" customHeight="1">
      <c r="A864" s="356"/>
      <c r="B864" s="356"/>
      <c r="C864" s="673" t="s">
        <v>23</v>
      </c>
      <c r="D864" s="397">
        <v>2</v>
      </c>
      <c r="E864" s="397">
        <v>170</v>
      </c>
      <c r="F864" s="673"/>
      <c r="G864" s="674" t="s">
        <v>33</v>
      </c>
      <c r="H864" s="675"/>
      <c r="I864" s="490">
        <v>20.5</v>
      </c>
      <c r="J864" s="797">
        <v>72000</v>
      </c>
      <c r="K864" s="857">
        <v>3</v>
      </c>
      <c r="L864" s="481">
        <f t="shared" si="127"/>
        <v>4428000</v>
      </c>
      <c r="M864" s="356"/>
      <c r="N864" s="356"/>
      <c r="O864" s="356"/>
      <c r="P864" s="356"/>
      <c r="Q864" s="610"/>
      <c r="R864" s="1452"/>
      <c r="S864" s="308"/>
      <c r="T864" s="308"/>
      <c r="U864" s="308"/>
      <c r="V864" s="308"/>
      <c r="W864" s="308"/>
      <c r="X864" s="308"/>
      <c r="Y864" s="308"/>
      <c r="Z864" s="604"/>
      <c r="AA864" s="308"/>
      <c r="AB864" s="308"/>
      <c r="AC864" s="449"/>
      <c r="AD864" s="449"/>
      <c r="AE864" s="449"/>
      <c r="AF864" s="449"/>
      <c r="AG864" s="449"/>
      <c r="AH864" s="449"/>
      <c r="AI864" s="449"/>
      <c r="AJ864" s="449"/>
      <c r="AK864" s="452"/>
      <c r="AL864" s="351"/>
      <c r="AM864" s="43"/>
      <c r="AN864" s="43"/>
      <c r="AO864" s="43"/>
      <c r="AP864" s="43"/>
      <c r="AQ864" s="43"/>
      <c r="AR864" s="43"/>
      <c r="AS864" s="43"/>
      <c r="AT864" s="43"/>
      <c r="AU864" s="43"/>
      <c r="AV864" s="43"/>
      <c r="AW864" s="43"/>
      <c r="AX864" s="43"/>
      <c r="AY864" s="43"/>
      <c r="AZ864" s="43"/>
      <c r="BA864" s="43"/>
      <c r="BB864" s="43"/>
      <c r="BC864" s="43"/>
      <c r="BD864" s="43"/>
      <c r="BE864" s="43"/>
      <c r="BF864" s="43"/>
      <c r="BG864" s="43"/>
      <c r="BH864" s="43"/>
      <c r="BI864" s="43"/>
      <c r="BJ864" s="43"/>
      <c r="BK864" s="43"/>
      <c r="BL864" s="43"/>
      <c r="BM864" s="43"/>
      <c r="BN864" s="43"/>
      <c r="BO864" s="43"/>
      <c r="BP864" s="861"/>
      <c r="BQ864" s="861"/>
      <c r="BR864" s="861"/>
      <c r="BS864" s="861"/>
      <c r="BT864" s="861"/>
      <c r="BU864" s="861"/>
      <c r="BV864" s="861"/>
      <c r="BW864" s="861"/>
      <c r="BX864" s="861"/>
      <c r="BY864" s="861"/>
      <c r="BZ864" s="861"/>
      <c r="CA864" s="861"/>
      <c r="CB864" s="861"/>
      <c r="CC864" s="861"/>
      <c r="CD864" s="861"/>
      <c r="CE864" s="861"/>
      <c r="CF864" s="861"/>
      <c r="CG864" s="861"/>
      <c r="CH864" s="861"/>
      <c r="CI864" s="861"/>
      <c r="CJ864" s="861"/>
      <c r="CK864" s="861"/>
      <c r="CL864" s="861"/>
      <c r="CM864" s="861"/>
      <c r="CN864" s="861"/>
      <c r="CO864" s="861"/>
      <c r="CP864" s="861"/>
      <c r="CQ864" s="861"/>
      <c r="CR864" s="861"/>
      <c r="CS864" s="861"/>
      <c r="CT864" s="861"/>
      <c r="CU864" s="861"/>
      <c r="CV864" s="861"/>
      <c r="CW864" s="861"/>
      <c r="CX864" s="861"/>
      <c r="CY864" s="861"/>
      <c r="CZ864" s="861"/>
      <c r="DA864" s="861"/>
      <c r="DB864" s="861"/>
      <c r="DC864" s="861"/>
      <c r="DD864" s="861"/>
      <c r="DE864" s="861"/>
      <c r="DF864" s="861"/>
      <c r="DG864" s="861"/>
      <c r="DH864" s="861"/>
      <c r="DI864" s="861"/>
      <c r="DJ864" s="861"/>
      <c r="DK864" s="861"/>
      <c r="DL864" s="861"/>
      <c r="DM864" s="861"/>
      <c r="DN864" s="861"/>
      <c r="DO864" s="861"/>
      <c r="DP864" s="861"/>
      <c r="DQ864" s="861"/>
      <c r="DR864" s="861"/>
      <c r="DS864" s="861"/>
      <c r="DT864" s="861"/>
      <c r="DU864" s="861"/>
      <c r="DV864" s="861"/>
      <c r="DW864" s="861"/>
      <c r="DX864" s="861"/>
      <c r="DY864" s="861"/>
      <c r="DZ864" s="861"/>
      <c r="EA864" s="861"/>
      <c r="EB864" s="861"/>
      <c r="EC864" s="861"/>
      <c r="ED864" s="861"/>
      <c r="EE864" s="861"/>
      <c r="EF864" s="861"/>
      <c r="EG864" s="861"/>
      <c r="EH864" s="861"/>
      <c r="EI864" s="861"/>
      <c r="EJ864" s="861"/>
      <c r="EK864" s="861"/>
      <c r="EL864" s="861"/>
      <c r="EM864" s="861"/>
      <c r="EN864" s="861"/>
      <c r="EO864" s="861"/>
      <c r="EP864" s="861"/>
      <c r="EQ864" s="861"/>
      <c r="ER864" s="861"/>
      <c r="ES864" s="861"/>
      <c r="ET864" s="861"/>
      <c r="EU864" s="861"/>
      <c r="EV864" s="861"/>
      <c r="EW864" s="861"/>
      <c r="EX864" s="861"/>
      <c r="EY864" s="861"/>
      <c r="EZ864" s="861"/>
      <c r="FA864" s="861"/>
      <c r="FB864" s="861"/>
      <c r="FC864" s="861"/>
      <c r="FD864" s="861"/>
      <c r="FE864" s="861"/>
      <c r="FF864" s="861"/>
      <c r="FG864" s="861"/>
      <c r="FH864" s="861"/>
      <c r="FI864" s="861"/>
      <c r="FJ864" s="861"/>
      <c r="FK864" s="861"/>
      <c r="FL864" s="861"/>
      <c r="FM864" s="861"/>
      <c r="FN864" s="861"/>
      <c r="FO864" s="861"/>
      <c r="FP864" s="861"/>
      <c r="FQ864" s="861"/>
      <c r="FR864" s="861"/>
      <c r="FS864" s="861"/>
      <c r="FT864" s="861"/>
      <c r="FU864" s="861"/>
      <c r="FV864" s="861"/>
      <c r="FW864" s="861"/>
      <c r="FX864" s="861"/>
      <c r="FY864" s="861"/>
      <c r="FZ864" s="861"/>
      <c r="GA864" s="861"/>
      <c r="GB864" s="861"/>
      <c r="GC864" s="861"/>
      <c r="GD864" s="861"/>
      <c r="GE864" s="861"/>
      <c r="GF864" s="861"/>
      <c r="GG864" s="861"/>
      <c r="GH864" s="861"/>
      <c r="GI864" s="861"/>
      <c r="GJ864" s="861"/>
      <c r="GK864" s="861"/>
      <c r="GL864" s="861"/>
      <c r="GM864" s="861"/>
      <c r="GN864" s="861"/>
      <c r="GO864" s="861"/>
      <c r="GP864" s="861"/>
      <c r="GQ864" s="861"/>
      <c r="GR864" s="861"/>
      <c r="GS864" s="861"/>
      <c r="GT864" s="861"/>
      <c r="GU864" s="861"/>
      <c r="GV864" s="861"/>
      <c r="GW864" s="861"/>
      <c r="GX864" s="861"/>
      <c r="GY864" s="861"/>
      <c r="GZ864" s="861"/>
      <c r="HA864" s="861"/>
      <c r="HB864" s="861"/>
      <c r="HC864" s="861"/>
      <c r="HD864" s="861"/>
      <c r="HE864" s="861"/>
      <c r="HF864" s="861"/>
      <c r="HG864" s="861"/>
      <c r="HH864" s="861"/>
      <c r="HI864" s="861"/>
      <c r="HJ864" s="861"/>
      <c r="HK864" s="861"/>
      <c r="HL864" s="861"/>
      <c r="HM864" s="861"/>
      <c r="HN864" s="861"/>
      <c r="HO864" s="861"/>
      <c r="HP864" s="861"/>
      <c r="HQ864" s="861"/>
      <c r="HR864" s="861"/>
      <c r="HS864" s="861"/>
      <c r="HT864" s="861"/>
      <c r="HU864" s="861"/>
      <c r="HV864" s="861"/>
      <c r="HW864" s="861"/>
      <c r="HX864" s="861"/>
      <c r="HY864" s="861"/>
      <c r="HZ864" s="861"/>
      <c r="IA864" s="861"/>
      <c r="IB864" s="861"/>
      <c r="IC864" s="861"/>
      <c r="ID864" s="861"/>
      <c r="IE864" s="861"/>
      <c r="IF864" s="861"/>
      <c r="IG864" s="861"/>
      <c r="IH864" s="861"/>
      <c r="II864" s="861"/>
      <c r="IJ864" s="861"/>
      <c r="IK864" s="861"/>
      <c r="IL864" s="861"/>
      <c r="IM864" s="861"/>
      <c r="IN864" s="861"/>
      <c r="IO864" s="861"/>
      <c r="IP864" s="861"/>
      <c r="IQ864" s="861"/>
      <c r="IR864" s="861"/>
      <c r="IS864" s="861"/>
      <c r="IT864" s="861"/>
      <c r="IU864" s="861"/>
      <c r="IV864" s="861"/>
      <c r="IW864" s="861"/>
      <c r="IX864" s="861"/>
      <c r="IY864" s="861"/>
      <c r="IZ864" s="861"/>
      <c r="JA864" s="861"/>
      <c r="JB864" s="861"/>
      <c r="JC864" s="861"/>
      <c r="JD864" s="861"/>
      <c r="JE864" s="861"/>
      <c r="JF864" s="861"/>
      <c r="JG864" s="861"/>
      <c r="JH864" s="861"/>
      <c r="JI864" s="861"/>
      <c r="JJ864" s="861"/>
      <c r="JK864" s="861"/>
      <c r="JL864" s="861"/>
      <c r="JM864" s="861"/>
      <c r="JN864" s="861"/>
      <c r="JO864" s="861"/>
      <c r="JP864" s="861"/>
      <c r="JQ864" s="861"/>
      <c r="JR864" s="861"/>
      <c r="JS864" s="861"/>
      <c r="JT864" s="861"/>
      <c r="JU864" s="861"/>
      <c r="JV864" s="861"/>
      <c r="JW864" s="861"/>
      <c r="JX864" s="861"/>
      <c r="JY864" s="861"/>
      <c r="JZ864" s="861"/>
      <c r="KA864" s="861"/>
      <c r="KB864" s="861"/>
      <c r="KC864" s="861"/>
      <c r="KD864" s="861"/>
      <c r="KE864" s="861"/>
      <c r="KF864" s="861"/>
      <c r="KG864" s="861"/>
      <c r="KH864" s="861"/>
      <c r="KI864" s="861"/>
      <c r="KJ864" s="861"/>
      <c r="KK864" s="861"/>
      <c r="KL864" s="861"/>
      <c r="KM864" s="861"/>
      <c r="KN864" s="861"/>
      <c r="KO864" s="861"/>
      <c r="KP864" s="861"/>
      <c r="KQ864" s="861"/>
      <c r="KR864" s="861"/>
      <c r="KS864" s="861"/>
      <c r="KT864" s="861"/>
      <c r="KU864" s="861"/>
      <c r="KV864" s="861"/>
      <c r="KW864" s="861"/>
      <c r="KX864" s="861"/>
      <c r="KY864" s="861"/>
      <c r="KZ864" s="861"/>
      <c r="LA864" s="861"/>
      <c r="LB864" s="861"/>
      <c r="LC864" s="861"/>
      <c r="LD864" s="861"/>
      <c r="LE864" s="861"/>
      <c r="LF864" s="861"/>
      <c r="LG864" s="861"/>
      <c r="LH864" s="861"/>
      <c r="LI864" s="861"/>
      <c r="LJ864" s="861"/>
      <c r="LK864" s="861"/>
      <c r="LL864" s="861"/>
      <c r="LM864" s="861"/>
      <c r="LN864" s="861"/>
      <c r="LO864" s="861"/>
      <c r="LP864" s="861"/>
      <c r="LQ864" s="861"/>
      <c r="LR864" s="861"/>
      <c r="LS864" s="861"/>
      <c r="LT864" s="861"/>
      <c r="LU864" s="861"/>
      <c r="LV864" s="861"/>
      <c r="LW864" s="861"/>
      <c r="LX864" s="861"/>
      <c r="LY864" s="861"/>
      <c r="LZ864" s="861"/>
      <c r="MA864" s="861"/>
      <c r="MB864" s="861"/>
      <c r="MC864" s="861"/>
      <c r="MD864" s="861"/>
      <c r="ME864" s="861"/>
      <c r="MF864" s="861"/>
      <c r="MG864" s="861"/>
      <c r="MH864" s="861"/>
      <c r="MI864" s="861"/>
      <c r="MJ864" s="861"/>
      <c r="MK864" s="861"/>
      <c r="ML864" s="861"/>
      <c r="MM864" s="861"/>
      <c r="MN864" s="861"/>
      <c r="MO864" s="861"/>
      <c r="MP864" s="861"/>
      <c r="MQ864" s="861"/>
      <c r="MR864" s="861"/>
      <c r="MS864" s="861"/>
      <c r="MT864" s="861"/>
      <c r="MU864" s="861"/>
      <c r="MV864" s="861"/>
      <c r="MW864" s="861"/>
      <c r="MX864" s="861"/>
      <c r="MY864" s="861"/>
      <c r="MZ864" s="861"/>
      <c r="NA864" s="861"/>
      <c r="NB864" s="861"/>
      <c r="NC864" s="861"/>
      <c r="ND864" s="861"/>
      <c r="NE864" s="861"/>
      <c r="NF864" s="861"/>
      <c r="NG864" s="861"/>
      <c r="NH864" s="861"/>
      <c r="NI864" s="861"/>
      <c r="NJ864" s="861"/>
      <c r="NK864" s="861"/>
      <c r="NL864" s="861"/>
      <c r="NM864" s="861"/>
      <c r="NN864" s="861"/>
      <c r="NO864" s="861"/>
      <c r="NP864" s="861"/>
      <c r="NQ864" s="861"/>
      <c r="NR864" s="861"/>
      <c r="NS864" s="861"/>
      <c r="NT864" s="861"/>
      <c r="NU864" s="861"/>
      <c r="NV864" s="861"/>
      <c r="NW864" s="861"/>
      <c r="NX864" s="861"/>
      <c r="NY864" s="861"/>
      <c r="NZ864" s="861"/>
      <c r="OA864" s="861"/>
      <c r="OB864" s="861"/>
      <c r="OC864" s="861"/>
      <c r="OD864" s="861"/>
      <c r="OE864" s="861"/>
      <c r="OF864" s="861"/>
      <c r="OG864" s="861"/>
      <c r="OH864" s="861"/>
      <c r="OI864" s="861"/>
      <c r="OJ864" s="861"/>
      <c r="OK864" s="861"/>
      <c r="OL864" s="861"/>
      <c r="OM864" s="861"/>
      <c r="ON864" s="861"/>
      <c r="OO864" s="861"/>
      <c r="OP864" s="861"/>
      <c r="OQ864" s="861"/>
      <c r="OR864" s="861"/>
      <c r="OS864" s="861"/>
      <c r="OT864" s="861"/>
      <c r="OU864" s="861"/>
      <c r="OV864" s="861"/>
      <c r="OW864" s="861"/>
      <c r="OX864" s="861"/>
      <c r="OY864" s="861"/>
      <c r="OZ864" s="861"/>
      <c r="PA864" s="861"/>
      <c r="PB864" s="861"/>
      <c r="PC864" s="861"/>
      <c r="PD864" s="861"/>
      <c r="PE864" s="861"/>
      <c r="PF864" s="861"/>
      <c r="PG864" s="861"/>
      <c r="PH864" s="861"/>
      <c r="PI864" s="861"/>
      <c r="PJ864" s="861"/>
      <c r="PK864" s="861"/>
      <c r="PL864" s="861"/>
      <c r="PM864" s="861"/>
      <c r="PN864" s="861"/>
      <c r="PO864" s="861"/>
      <c r="PP864" s="861"/>
      <c r="PQ864" s="861"/>
      <c r="PR864" s="861"/>
      <c r="PS864" s="861"/>
      <c r="PT864" s="861"/>
      <c r="PU864" s="861"/>
      <c r="PV864" s="861"/>
      <c r="PW864" s="861"/>
      <c r="PX864" s="861"/>
      <c r="PY864" s="861"/>
      <c r="PZ864" s="861"/>
      <c r="QA864" s="861"/>
      <c r="QB864" s="861"/>
      <c r="QC864" s="861"/>
      <c r="QD864" s="861"/>
      <c r="QE864" s="861"/>
      <c r="QF864" s="861"/>
      <c r="QG864" s="861"/>
      <c r="QH864" s="861"/>
      <c r="QI864" s="861"/>
      <c r="QJ864" s="861"/>
      <c r="QK864" s="861"/>
      <c r="QL864" s="861"/>
      <c r="QM864" s="861"/>
      <c r="QN864" s="861"/>
      <c r="QO864" s="861"/>
      <c r="QP864" s="861"/>
      <c r="QQ864" s="861"/>
      <c r="QR864" s="861"/>
      <c r="QS864" s="861"/>
      <c r="QT864" s="861"/>
      <c r="QU864" s="861"/>
      <c r="QV864" s="861"/>
      <c r="QW864" s="861"/>
      <c r="QX864" s="861"/>
      <c r="QY864" s="861"/>
      <c r="QZ864" s="861"/>
      <c r="RA864" s="861"/>
      <c r="RB864" s="861"/>
      <c r="RC864" s="861"/>
      <c r="RD864" s="861"/>
      <c r="RE864" s="861"/>
      <c r="RF864" s="861"/>
      <c r="RG864" s="861"/>
      <c r="RH864" s="861"/>
      <c r="RI864" s="861"/>
      <c r="RJ864" s="861"/>
      <c r="RK864" s="861"/>
      <c r="RL864" s="861"/>
      <c r="RM864" s="861"/>
      <c r="RN864" s="861"/>
      <c r="RO864" s="861"/>
      <c r="RP864" s="861"/>
      <c r="RQ864" s="861"/>
      <c r="RR864" s="861"/>
      <c r="RS864" s="861"/>
      <c r="RT864" s="861"/>
      <c r="RU864" s="861"/>
      <c r="RV864" s="861"/>
      <c r="RW864" s="861"/>
      <c r="RX864" s="861"/>
      <c r="RY864" s="861"/>
      <c r="RZ864" s="861"/>
      <c r="SA864" s="861"/>
      <c r="SB864" s="861"/>
      <c r="SC864" s="861"/>
      <c r="SD864" s="861"/>
      <c r="SE864" s="861"/>
      <c r="SF864" s="861"/>
      <c r="SG864" s="861"/>
      <c r="SH864" s="861"/>
      <c r="SI864" s="861"/>
      <c r="SJ864" s="861"/>
      <c r="SK864" s="861"/>
      <c r="SL864" s="861"/>
      <c r="SM864" s="861"/>
      <c r="SN864" s="861"/>
      <c r="SO864" s="861"/>
      <c r="SP864" s="861"/>
      <c r="SQ864" s="861"/>
      <c r="SR864" s="861"/>
      <c r="SS864" s="861"/>
      <c r="ST864" s="861"/>
      <c r="SU864" s="861"/>
      <c r="SV864" s="861"/>
      <c r="SW864" s="861"/>
      <c r="SX864" s="861"/>
      <c r="SY864" s="861"/>
      <c r="SZ864" s="861"/>
      <c r="TA864" s="861"/>
      <c r="TB864" s="861"/>
      <c r="TC864" s="861"/>
      <c r="TD864" s="861"/>
      <c r="TE864" s="861"/>
      <c r="TF864" s="861"/>
      <c r="TG864" s="861"/>
      <c r="TH864" s="861"/>
      <c r="TI864" s="861"/>
      <c r="TJ864" s="861"/>
      <c r="TK864" s="861"/>
      <c r="TL864" s="861"/>
      <c r="TM864" s="861"/>
      <c r="TN864" s="861"/>
      <c r="TO864" s="861"/>
      <c r="TP864" s="861"/>
      <c r="TQ864" s="861"/>
      <c r="TR864" s="861"/>
      <c r="TS864" s="861"/>
      <c r="TT864" s="861"/>
      <c r="TU864" s="861"/>
      <c r="TV864" s="861"/>
      <c r="TW864" s="861"/>
      <c r="TX864" s="861"/>
      <c r="TY864" s="861"/>
      <c r="TZ864" s="861"/>
      <c r="UA864" s="861"/>
      <c r="UB864" s="861"/>
      <c r="UC864" s="861"/>
      <c r="UD864" s="861"/>
      <c r="UE864" s="861"/>
      <c r="UF864" s="861"/>
      <c r="UG864" s="862"/>
    </row>
    <row r="865" spans="1:553" s="863" customFormat="1" ht="33" customHeight="1">
      <c r="A865" s="356"/>
      <c r="B865" s="356"/>
      <c r="C865" s="673" t="s">
        <v>213</v>
      </c>
      <c r="D865" s="397">
        <v>2</v>
      </c>
      <c r="E865" s="397">
        <v>177</v>
      </c>
      <c r="F865" s="673"/>
      <c r="G865" s="674" t="s">
        <v>33</v>
      </c>
      <c r="H865" s="675"/>
      <c r="I865" s="490">
        <v>182</v>
      </c>
      <c r="J865" s="797">
        <v>66000</v>
      </c>
      <c r="K865" s="857">
        <v>2.5</v>
      </c>
      <c r="L865" s="481">
        <f t="shared" si="127"/>
        <v>30030000</v>
      </c>
      <c r="M865" s="356"/>
      <c r="N865" s="356"/>
      <c r="O865" s="356"/>
      <c r="P865" s="356"/>
      <c r="Q865" s="610"/>
      <c r="R865" s="1452"/>
      <c r="S865" s="308"/>
      <c r="T865" s="308"/>
      <c r="U865" s="308"/>
      <c r="V865" s="308"/>
      <c r="W865" s="308"/>
      <c r="X865" s="308"/>
      <c r="Y865" s="308"/>
      <c r="Z865" s="604"/>
      <c r="AA865" s="308"/>
      <c r="AB865" s="308"/>
      <c r="AC865" s="449"/>
      <c r="AD865" s="449"/>
      <c r="AE865" s="449"/>
      <c r="AF865" s="449"/>
      <c r="AG865" s="449"/>
      <c r="AH865" s="449"/>
      <c r="AI865" s="449"/>
      <c r="AJ865" s="449"/>
      <c r="AK865" s="452"/>
      <c r="AL865" s="351"/>
      <c r="AM865" s="43"/>
      <c r="AN865" s="43"/>
      <c r="AO865" s="43"/>
      <c r="AP865" s="43"/>
      <c r="AQ865" s="43"/>
      <c r="AR865" s="43"/>
      <c r="AS865" s="43"/>
      <c r="AT865" s="43"/>
      <c r="AU865" s="43"/>
      <c r="AV865" s="43"/>
      <c r="AW865" s="43"/>
      <c r="AX865" s="43"/>
      <c r="AY865" s="43"/>
      <c r="AZ865" s="43"/>
      <c r="BA865" s="43"/>
      <c r="BB865" s="43"/>
      <c r="BC865" s="43"/>
      <c r="BD865" s="43"/>
      <c r="BE865" s="43"/>
      <c r="BF865" s="43"/>
      <c r="BG865" s="43"/>
      <c r="BH865" s="43"/>
      <c r="BI865" s="43"/>
      <c r="BJ865" s="43"/>
      <c r="BK865" s="43"/>
      <c r="BL865" s="43"/>
      <c r="BM865" s="43"/>
      <c r="BN865" s="43"/>
      <c r="BO865" s="43"/>
      <c r="BP865" s="861"/>
      <c r="BQ865" s="861"/>
      <c r="BR865" s="861"/>
      <c r="BS865" s="861"/>
      <c r="BT865" s="861"/>
      <c r="BU865" s="861"/>
      <c r="BV865" s="861"/>
      <c r="BW865" s="861"/>
      <c r="BX865" s="861"/>
      <c r="BY865" s="861"/>
      <c r="BZ865" s="861"/>
      <c r="CA865" s="861"/>
      <c r="CB865" s="861"/>
      <c r="CC865" s="861"/>
      <c r="CD865" s="861"/>
      <c r="CE865" s="861"/>
      <c r="CF865" s="861"/>
      <c r="CG865" s="861"/>
      <c r="CH865" s="861"/>
      <c r="CI865" s="861"/>
      <c r="CJ865" s="861"/>
      <c r="CK865" s="861"/>
      <c r="CL865" s="861"/>
      <c r="CM865" s="861"/>
      <c r="CN865" s="861"/>
      <c r="CO865" s="861"/>
      <c r="CP865" s="861"/>
      <c r="CQ865" s="861"/>
      <c r="CR865" s="861"/>
      <c r="CS865" s="861"/>
      <c r="CT865" s="861"/>
      <c r="CU865" s="861"/>
      <c r="CV865" s="861"/>
      <c r="CW865" s="861"/>
      <c r="CX865" s="861"/>
      <c r="CY865" s="861"/>
      <c r="CZ865" s="861"/>
      <c r="DA865" s="861"/>
      <c r="DB865" s="861"/>
      <c r="DC865" s="861"/>
      <c r="DD865" s="861"/>
      <c r="DE865" s="861"/>
      <c r="DF865" s="861"/>
      <c r="DG865" s="861"/>
      <c r="DH865" s="861"/>
      <c r="DI865" s="861"/>
      <c r="DJ865" s="861"/>
      <c r="DK865" s="861"/>
      <c r="DL865" s="861"/>
      <c r="DM865" s="861"/>
      <c r="DN865" s="861"/>
      <c r="DO865" s="861"/>
      <c r="DP865" s="861"/>
      <c r="DQ865" s="861"/>
      <c r="DR865" s="861"/>
      <c r="DS865" s="861"/>
      <c r="DT865" s="861"/>
      <c r="DU865" s="861"/>
      <c r="DV865" s="861"/>
      <c r="DW865" s="861"/>
      <c r="DX865" s="861"/>
      <c r="DY865" s="861"/>
      <c r="DZ865" s="861"/>
      <c r="EA865" s="861"/>
      <c r="EB865" s="861"/>
      <c r="EC865" s="861"/>
      <c r="ED865" s="861"/>
      <c r="EE865" s="861"/>
      <c r="EF865" s="861"/>
      <c r="EG865" s="861"/>
      <c r="EH865" s="861"/>
      <c r="EI865" s="861"/>
      <c r="EJ865" s="861"/>
      <c r="EK865" s="861"/>
      <c r="EL865" s="861"/>
      <c r="EM865" s="861"/>
      <c r="EN865" s="861"/>
      <c r="EO865" s="861"/>
      <c r="EP865" s="861"/>
      <c r="EQ865" s="861"/>
      <c r="ER865" s="861"/>
      <c r="ES865" s="861"/>
      <c r="ET865" s="861"/>
      <c r="EU865" s="861"/>
      <c r="EV865" s="861"/>
      <c r="EW865" s="861"/>
      <c r="EX865" s="861"/>
      <c r="EY865" s="861"/>
      <c r="EZ865" s="861"/>
      <c r="FA865" s="861"/>
      <c r="FB865" s="861"/>
      <c r="FC865" s="861"/>
      <c r="FD865" s="861"/>
      <c r="FE865" s="861"/>
      <c r="FF865" s="861"/>
      <c r="FG865" s="861"/>
      <c r="FH865" s="861"/>
      <c r="FI865" s="861"/>
      <c r="FJ865" s="861"/>
      <c r="FK865" s="861"/>
      <c r="FL865" s="861"/>
      <c r="FM865" s="861"/>
      <c r="FN865" s="861"/>
      <c r="FO865" s="861"/>
      <c r="FP865" s="861"/>
      <c r="FQ865" s="861"/>
      <c r="FR865" s="861"/>
      <c r="FS865" s="861"/>
      <c r="FT865" s="861"/>
      <c r="FU865" s="861"/>
      <c r="FV865" s="861"/>
      <c r="FW865" s="861"/>
      <c r="FX865" s="861"/>
      <c r="FY865" s="861"/>
      <c r="FZ865" s="861"/>
      <c r="GA865" s="861"/>
      <c r="GB865" s="861"/>
      <c r="GC865" s="861"/>
      <c r="GD865" s="861"/>
      <c r="GE865" s="861"/>
      <c r="GF865" s="861"/>
      <c r="GG865" s="861"/>
      <c r="GH865" s="861"/>
      <c r="GI865" s="861"/>
      <c r="GJ865" s="861"/>
      <c r="GK865" s="861"/>
      <c r="GL865" s="861"/>
      <c r="GM865" s="861"/>
      <c r="GN865" s="861"/>
      <c r="GO865" s="861"/>
      <c r="GP865" s="861"/>
      <c r="GQ865" s="861"/>
      <c r="GR865" s="861"/>
      <c r="GS865" s="861"/>
      <c r="GT865" s="861"/>
      <c r="GU865" s="861"/>
      <c r="GV865" s="861"/>
      <c r="GW865" s="861"/>
      <c r="GX865" s="861"/>
      <c r="GY865" s="861"/>
      <c r="GZ865" s="861"/>
      <c r="HA865" s="861"/>
      <c r="HB865" s="861"/>
      <c r="HC865" s="861"/>
      <c r="HD865" s="861"/>
      <c r="HE865" s="861"/>
      <c r="HF865" s="861"/>
      <c r="HG865" s="861"/>
      <c r="HH865" s="861"/>
      <c r="HI865" s="861"/>
      <c r="HJ865" s="861"/>
      <c r="HK865" s="861"/>
      <c r="HL865" s="861"/>
      <c r="HM865" s="861"/>
      <c r="HN865" s="861"/>
      <c r="HO865" s="861"/>
      <c r="HP865" s="861"/>
      <c r="HQ865" s="861"/>
      <c r="HR865" s="861"/>
      <c r="HS865" s="861"/>
      <c r="HT865" s="861"/>
      <c r="HU865" s="861"/>
      <c r="HV865" s="861"/>
      <c r="HW865" s="861"/>
      <c r="HX865" s="861"/>
      <c r="HY865" s="861"/>
      <c r="HZ865" s="861"/>
      <c r="IA865" s="861"/>
      <c r="IB865" s="861"/>
      <c r="IC865" s="861"/>
      <c r="ID865" s="861"/>
      <c r="IE865" s="861"/>
      <c r="IF865" s="861"/>
      <c r="IG865" s="861"/>
      <c r="IH865" s="861"/>
      <c r="II865" s="861"/>
      <c r="IJ865" s="861"/>
      <c r="IK865" s="861"/>
      <c r="IL865" s="861"/>
      <c r="IM865" s="861"/>
      <c r="IN865" s="861"/>
      <c r="IO865" s="861"/>
      <c r="IP865" s="861"/>
      <c r="IQ865" s="861"/>
      <c r="IR865" s="861"/>
      <c r="IS865" s="861"/>
      <c r="IT865" s="861"/>
      <c r="IU865" s="861"/>
      <c r="IV865" s="861"/>
      <c r="IW865" s="861"/>
      <c r="IX865" s="861"/>
      <c r="IY865" s="861"/>
      <c r="IZ865" s="861"/>
      <c r="JA865" s="861"/>
      <c r="JB865" s="861"/>
      <c r="JC865" s="861"/>
      <c r="JD865" s="861"/>
      <c r="JE865" s="861"/>
      <c r="JF865" s="861"/>
      <c r="JG865" s="861"/>
      <c r="JH865" s="861"/>
      <c r="JI865" s="861"/>
      <c r="JJ865" s="861"/>
      <c r="JK865" s="861"/>
      <c r="JL865" s="861"/>
      <c r="JM865" s="861"/>
      <c r="JN865" s="861"/>
      <c r="JO865" s="861"/>
      <c r="JP865" s="861"/>
      <c r="JQ865" s="861"/>
      <c r="JR865" s="861"/>
      <c r="JS865" s="861"/>
      <c r="JT865" s="861"/>
      <c r="JU865" s="861"/>
      <c r="JV865" s="861"/>
      <c r="JW865" s="861"/>
      <c r="JX865" s="861"/>
      <c r="JY865" s="861"/>
      <c r="JZ865" s="861"/>
      <c r="KA865" s="861"/>
      <c r="KB865" s="861"/>
      <c r="KC865" s="861"/>
      <c r="KD865" s="861"/>
      <c r="KE865" s="861"/>
      <c r="KF865" s="861"/>
      <c r="KG865" s="861"/>
      <c r="KH865" s="861"/>
      <c r="KI865" s="861"/>
      <c r="KJ865" s="861"/>
      <c r="KK865" s="861"/>
      <c r="KL865" s="861"/>
      <c r="KM865" s="861"/>
      <c r="KN865" s="861"/>
      <c r="KO865" s="861"/>
      <c r="KP865" s="861"/>
      <c r="KQ865" s="861"/>
      <c r="KR865" s="861"/>
      <c r="KS865" s="861"/>
      <c r="KT865" s="861"/>
      <c r="KU865" s="861"/>
      <c r="KV865" s="861"/>
      <c r="KW865" s="861"/>
      <c r="KX865" s="861"/>
      <c r="KY865" s="861"/>
      <c r="KZ865" s="861"/>
      <c r="LA865" s="861"/>
      <c r="LB865" s="861"/>
      <c r="LC865" s="861"/>
      <c r="LD865" s="861"/>
      <c r="LE865" s="861"/>
      <c r="LF865" s="861"/>
      <c r="LG865" s="861"/>
      <c r="LH865" s="861"/>
      <c r="LI865" s="861"/>
      <c r="LJ865" s="861"/>
      <c r="LK865" s="861"/>
      <c r="LL865" s="861"/>
      <c r="LM865" s="861"/>
      <c r="LN865" s="861"/>
      <c r="LO865" s="861"/>
      <c r="LP865" s="861"/>
      <c r="LQ865" s="861"/>
      <c r="LR865" s="861"/>
      <c r="LS865" s="861"/>
      <c r="LT865" s="861"/>
      <c r="LU865" s="861"/>
      <c r="LV865" s="861"/>
      <c r="LW865" s="861"/>
      <c r="LX865" s="861"/>
      <c r="LY865" s="861"/>
      <c r="LZ865" s="861"/>
      <c r="MA865" s="861"/>
      <c r="MB865" s="861"/>
      <c r="MC865" s="861"/>
      <c r="MD865" s="861"/>
      <c r="ME865" s="861"/>
      <c r="MF865" s="861"/>
      <c r="MG865" s="861"/>
      <c r="MH865" s="861"/>
      <c r="MI865" s="861"/>
      <c r="MJ865" s="861"/>
      <c r="MK865" s="861"/>
      <c r="ML865" s="861"/>
      <c r="MM865" s="861"/>
      <c r="MN865" s="861"/>
      <c r="MO865" s="861"/>
      <c r="MP865" s="861"/>
      <c r="MQ865" s="861"/>
      <c r="MR865" s="861"/>
      <c r="MS865" s="861"/>
      <c r="MT865" s="861"/>
      <c r="MU865" s="861"/>
      <c r="MV865" s="861"/>
      <c r="MW865" s="861"/>
      <c r="MX865" s="861"/>
      <c r="MY865" s="861"/>
      <c r="MZ865" s="861"/>
      <c r="NA865" s="861"/>
      <c r="NB865" s="861"/>
      <c r="NC865" s="861"/>
      <c r="ND865" s="861"/>
      <c r="NE865" s="861"/>
      <c r="NF865" s="861"/>
      <c r="NG865" s="861"/>
      <c r="NH865" s="861"/>
      <c r="NI865" s="861"/>
      <c r="NJ865" s="861"/>
      <c r="NK865" s="861"/>
      <c r="NL865" s="861"/>
      <c r="NM865" s="861"/>
      <c r="NN865" s="861"/>
      <c r="NO865" s="861"/>
      <c r="NP865" s="861"/>
      <c r="NQ865" s="861"/>
      <c r="NR865" s="861"/>
      <c r="NS865" s="861"/>
      <c r="NT865" s="861"/>
      <c r="NU865" s="861"/>
      <c r="NV865" s="861"/>
      <c r="NW865" s="861"/>
      <c r="NX865" s="861"/>
      <c r="NY865" s="861"/>
      <c r="NZ865" s="861"/>
      <c r="OA865" s="861"/>
      <c r="OB865" s="861"/>
      <c r="OC865" s="861"/>
      <c r="OD865" s="861"/>
      <c r="OE865" s="861"/>
      <c r="OF865" s="861"/>
      <c r="OG865" s="861"/>
      <c r="OH865" s="861"/>
      <c r="OI865" s="861"/>
      <c r="OJ865" s="861"/>
      <c r="OK865" s="861"/>
      <c r="OL865" s="861"/>
      <c r="OM865" s="861"/>
      <c r="ON865" s="861"/>
      <c r="OO865" s="861"/>
      <c r="OP865" s="861"/>
      <c r="OQ865" s="861"/>
      <c r="OR865" s="861"/>
      <c r="OS865" s="861"/>
      <c r="OT865" s="861"/>
      <c r="OU865" s="861"/>
      <c r="OV865" s="861"/>
      <c r="OW865" s="861"/>
      <c r="OX865" s="861"/>
      <c r="OY865" s="861"/>
      <c r="OZ865" s="861"/>
      <c r="PA865" s="861"/>
      <c r="PB865" s="861"/>
      <c r="PC865" s="861"/>
      <c r="PD865" s="861"/>
      <c r="PE865" s="861"/>
      <c r="PF865" s="861"/>
      <c r="PG865" s="861"/>
      <c r="PH865" s="861"/>
      <c r="PI865" s="861"/>
      <c r="PJ865" s="861"/>
      <c r="PK865" s="861"/>
      <c r="PL865" s="861"/>
      <c r="PM865" s="861"/>
      <c r="PN865" s="861"/>
      <c r="PO865" s="861"/>
      <c r="PP865" s="861"/>
      <c r="PQ865" s="861"/>
      <c r="PR865" s="861"/>
      <c r="PS865" s="861"/>
      <c r="PT865" s="861"/>
      <c r="PU865" s="861"/>
      <c r="PV865" s="861"/>
      <c r="PW865" s="861"/>
      <c r="PX865" s="861"/>
      <c r="PY865" s="861"/>
      <c r="PZ865" s="861"/>
      <c r="QA865" s="861"/>
      <c r="QB865" s="861"/>
      <c r="QC865" s="861"/>
      <c r="QD865" s="861"/>
      <c r="QE865" s="861"/>
      <c r="QF865" s="861"/>
      <c r="QG865" s="861"/>
      <c r="QH865" s="861"/>
      <c r="QI865" s="861"/>
      <c r="QJ865" s="861"/>
      <c r="QK865" s="861"/>
      <c r="QL865" s="861"/>
      <c r="QM865" s="861"/>
      <c r="QN865" s="861"/>
      <c r="QO865" s="861"/>
      <c r="QP865" s="861"/>
      <c r="QQ865" s="861"/>
      <c r="QR865" s="861"/>
      <c r="QS865" s="861"/>
      <c r="QT865" s="861"/>
      <c r="QU865" s="861"/>
      <c r="QV865" s="861"/>
      <c r="QW865" s="861"/>
      <c r="QX865" s="861"/>
      <c r="QY865" s="861"/>
      <c r="QZ865" s="861"/>
      <c r="RA865" s="861"/>
      <c r="RB865" s="861"/>
      <c r="RC865" s="861"/>
      <c r="RD865" s="861"/>
      <c r="RE865" s="861"/>
      <c r="RF865" s="861"/>
      <c r="RG865" s="861"/>
      <c r="RH865" s="861"/>
      <c r="RI865" s="861"/>
      <c r="RJ865" s="861"/>
      <c r="RK865" s="861"/>
      <c r="RL865" s="861"/>
      <c r="RM865" s="861"/>
      <c r="RN865" s="861"/>
      <c r="RO865" s="861"/>
      <c r="RP865" s="861"/>
      <c r="RQ865" s="861"/>
      <c r="RR865" s="861"/>
      <c r="RS865" s="861"/>
      <c r="RT865" s="861"/>
      <c r="RU865" s="861"/>
      <c r="RV865" s="861"/>
      <c r="RW865" s="861"/>
      <c r="RX865" s="861"/>
      <c r="RY865" s="861"/>
      <c r="RZ865" s="861"/>
      <c r="SA865" s="861"/>
      <c r="SB865" s="861"/>
      <c r="SC865" s="861"/>
      <c r="SD865" s="861"/>
      <c r="SE865" s="861"/>
      <c r="SF865" s="861"/>
      <c r="SG865" s="861"/>
      <c r="SH865" s="861"/>
      <c r="SI865" s="861"/>
      <c r="SJ865" s="861"/>
      <c r="SK865" s="861"/>
      <c r="SL865" s="861"/>
      <c r="SM865" s="861"/>
      <c r="SN865" s="861"/>
      <c r="SO865" s="861"/>
      <c r="SP865" s="861"/>
      <c r="SQ865" s="861"/>
      <c r="SR865" s="861"/>
      <c r="SS865" s="861"/>
      <c r="ST865" s="861"/>
      <c r="SU865" s="861"/>
      <c r="SV865" s="861"/>
      <c r="SW865" s="861"/>
      <c r="SX865" s="861"/>
      <c r="SY865" s="861"/>
      <c r="SZ865" s="861"/>
      <c r="TA865" s="861"/>
      <c r="TB865" s="861"/>
      <c r="TC865" s="861"/>
      <c r="TD865" s="861"/>
      <c r="TE865" s="861"/>
      <c r="TF865" s="861"/>
      <c r="TG865" s="861"/>
      <c r="TH865" s="861"/>
      <c r="TI865" s="861"/>
      <c r="TJ865" s="861"/>
      <c r="TK865" s="861"/>
      <c r="TL865" s="861"/>
      <c r="TM865" s="861"/>
      <c r="TN865" s="861"/>
      <c r="TO865" s="861"/>
      <c r="TP865" s="861"/>
      <c r="TQ865" s="861"/>
      <c r="TR865" s="861"/>
      <c r="TS865" s="861"/>
      <c r="TT865" s="861"/>
      <c r="TU865" s="861"/>
      <c r="TV865" s="861"/>
      <c r="TW865" s="861"/>
      <c r="TX865" s="861"/>
      <c r="TY865" s="861"/>
      <c r="TZ865" s="861"/>
      <c r="UA865" s="861"/>
      <c r="UB865" s="861"/>
      <c r="UC865" s="861"/>
      <c r="UD865" s="861"/>
      <c r="UE865" s="861"/>
      <c r="UF865" s="861"/>
      <c r="UG865" s="862"/>
    </row>
    <row r="866" spans="1:553" s="863" customFormat="1" ht="33" customHeight="1">
      <c r="A866" s="356"/>
      <c r="B866" s="356"/>
      <c r="C866" s="673" t="s">
        <v>23</v>
      </c>
      <c r="D866" s="397">
        <v>2</v>
      </c>
      <c r="E866" s="397">
        <v>193</v>
      </c>
      <c r="F866" s="673"/>
      <c r="G866" s="674" t="s">
        <v>33</v>
      </c>
      <c r="H866" s="675"/>
      <c r="I866" s="490">
        <v>97.6</v>
      </c>
      <c r="J866" s="797">
        <v>72000</v>
      </c>
      <c r="K866" s="857">
        <v>3</v>
      </c>
      <c r="L866" s="481">
        <f t="shared" si="127"/>
        <v>21081600</v>
      </c>
      <c r="M866" s="356"/>
      <c r="N866" s="356"/>
      <c r="O866" s="356"/>
      <c r="P866" s="356"/>
      <c r="Q866" s="610"/>
      <c r="R866" s="1452"/>
      <c r="S866" s="308"/>
      <c r="T866" s="308"/>
      <c r="U866" s="308"/>
      <c r="V866" s="308"/>
      <c r="W866" s="308"/>
      <c r="X866" s="308"/>
      <c r="Y866" s="308"/>
      <c r="Z866" s="604"/>
      <c r="AA866" s="308"/>
      <c r="AB866" s="308"/>
      <c r="AC866" s="449"/>
      <c r="AD866" s="449"/>
      <c r="AE866" s="449"/>
      <c r="AF866" s="449"/>
      <c r="AG866" s="449"/>
      <c r="AH866" s="449"/>
      <c r="AI866" s="449"/>
      <c r="AJ866" s="449"/>
      <c r="AK866" s="452"/>
      <c r="AL866" s="351"/>
      <c r="AM866" s="43"/>
      <c r="AN866" s="43"/>
      <c r="AO866" s="43"/>
      <c r="AP866" s="43"/>
      <c r="AQ866" s="43"/>
      <c r="AR866" s="43"/>
      <c r="AS866" s="43"/>
      <c r="AT866" s="43"/>
      <c r="AU866" s="43"/>
      <c r="AV866" s="43"/>
      <c r="AW866" s="43"/>
      <c r="AX866" s="43"/>
      <c r="AY866" s="43"/>
      <c r="AZ866" s="43"/>
      <c r="BA866" s="43"/>
      <c r="BB866" s="43"/>
      <c r="BC866" s="43"/>
      <c r="BD866" s="43"/>
      <c r="BE866" s="43"/>
      <c r="BF866" s="43"/>
      <c r="BG866" s="43"/>
      <c r="BH866" s="43"/>
      <c r="BI866" s="43"/>
      <c r="BJ866" s="43"/>
      <c r="BK866" s="43"/>
      <c r="BL866" s="43"/>
      <c r="BM866" s="43"/>
      <c r="BN866" s="43"/>
      <c r="BO866" s="43"/>
      <c r="BP866" s="861"/>
      <c r="BQ866" s="861"/>
      <c r="BR866" s="861"/>
      <c r="BS866" s="861"/>
      <c r="BT866" s="861"/>
      <c r="BU866" s="861"/>
      <c r="BV866" s="861"/>
      <c r="BW866" s="861"/>
      <c r="BX866" s="861"/>
      <c r="BY866" s="861"/>
      <c r="BZ866" s="861"/>
      <c r="CA866" s="861"/>
      <c r="CB866" s="861"/>
      <c r="CC866" s="861"/>
      <c r="CD866" s="861"/>
      <c r="CE866" s="861"/>
      <c r="CF866" s="861"/>
      <c r="CG866" s="861"/>
      <c r="CH866" s="861"/>
      <c r="CI866" s="861"/>
      <c r="CJ866" s="861"/>
      <c r="CK866" s="861"/>
      <c r="CL866" s="861"/>
      <c r="CM866" s="861"/>
      <c r="CN866" s="861"/>
      <c r="CO866" s="861"/>
      <c r="CP866" s="861"/>
      <c r="CQ866" s="861"/>
      <c r="CR866" s="861"/>
      <c r="CS866" s="861"/>
      <c r="CT866" s="861"/>
      <c r="CU866" s="861"/>
      <c r="CV866" s="861"/>
      <c r="CW866" s="861"/>
      <c r="CX866" s="861"/>
      <c r="CY866" s="861"/>
      <c r="CZ866" s="861"/>
      <c r="DA866" s="861"/>
      <c r="DB866" s="861"/>
      <c r="DC866" s="861"/>
      <c r="DD866" s="861"/>
      <c r="DE866" s="861"/>
      <c r="DF866" s="861"/>
      <c r="DG866" s="861"/>
      <c r="DH866" s="861"/>
      <c r="DI866" s="861"/>
      <c r="DJ866" s="861"/>
      <c r="DK866" s="861"/>
      <c r="DL866" s="861"/>
      <c r="DM866" s="861"/>
      <c r="DN866" s="861"/>
      <c r="DO866" s="861"/>
      <c r="DP866" s="861"/>
      <c r="DQ866" s="861"/>
      <c r="DR866" s="861"/>
      <c r="DS866" s="861"/>
      <c r="DT866" s="861"/>
      <c r="DU866" s="861"/>
      <c r="DV866" s="861"/>
      <c r="DW866" s="861"/>
      <c r="DX866" s="861"/>
      <c r="DY866" s="861"/>
      <c r="DZ866" s="861"/>
      <c r="EA866" s="861"/>
      <c r="EB866" s="861"/>
      <c r="EC866" s="861"/>
      <c r="ED866" s="861"/>
      <c r="EE866" s="861"/>
      <c r="EF866" s="861"/>
      <c r="EG866" s="861"/>
      <c r="EH866" s="861"/>
      <c r="EI866" s="861"/>
      <c r="EJ866" s="861"/>
      <c r="EK866" s="861"/>
      <c r="EL866" s="861"/>
      <c r="EM866" s="861"/>
      <c r="EN866" s="861"/>
      <c r="EO866" s="861"/>
      <c r="EP866" s="861"/>
      <c r="EQ866" s="861"/>
      <c r="ER866" s="861"/>
      <c r="ES866" s="861"/>
      <c r="ET866" s="861"/>
      <c r="EU866" s="861"/>
      <c r="EV866" s="861"/>
      <c r="EW866" s="861"/>
      <c r="EX866" s="861"/>
      <c r="EY866" s="861"/>
      <c r="EZ866" s="861"/>
      <c r="FA866" s="861"/>
      <c r="FB866" s="861"/>
      <c r="FC866" s="861"/>
      <c r="FD866" s="861"/>
      <c r="FE866" s="861"/>
      <c r="FF866" s="861"/>
      <c r="FG866" s="861"/>
      <c r="FH866" s="861"/>
      <c r="FI866" s="861"/>
      <c r="FJ866" s="861"/>
      <c r="FK866" s="861"/>
      <c r="FL866" s="861"/>
      <c r="FM866" s="861"/>
      <c r="FN866" s="861"/>
      <c r="FO866" s="861"/>
      <c r="FP866" s="861"/>
      <c r="FQ866" s="861"/>
      <c r="FR866" s="861"/>
      <c r="FS866" s="861"/>
      <c r="FT866" s="861"/>
      <c r="FU866" s="861"/>
      <c r="FV866" s="861"/>
      <c r="FW866" s="861"/>
      <c r="FX866" s="861"/>
      <c r="FY866" s="861"/>
      <c r="FZ866" s="861"/>
      <c r="GA866" s="861"/>
      <c r="GB866" s="861"/>
      <c r="GC866" s="861"/>
      <c r="GD866" s="861"/>
      <c r="GE866" s="861"/>
      <c r="GF866" s="861"/>
      <c r="GG866" s="861"/>
      <c r="GH866" s="861"/>
      <c r="GI866" s="861"/>
      <c r="GJ866" s="861"/>
      <c r="GK866" s="861"/>
      <c r="GL866" s="861"/>
      <c r="GM866" s="861"/>
      <c r="GN866" s="861"/>
      <c r="GO866" s="861"/>
      <c r="GP866" s="861"/>
      <c r="GQ866" s="861"/>
      <c r="GR866" s="861"/>
      <c r="GS866" s="861"/>
      <c r="GT866" s="861"/>
      <c r="GU866" s="861"/>
      <c r="GV866" s="861"/>
      <c r="GW866" s="861"/>
      <c r="GX866" s="861"/>
      <c r="GY866" s="861"/>
      <c r="GZ866" s="861"/>
      <c r="HA866" s="861"/>
      <c r="HB866" s="861"/>
      <c r="HC866" s="861"/>
      <c r="HD866" s="861"/>
      <c r="HE866" s="861"/>
      <c r="HF866" s="861"/>
      <c r="HG866" s="861"/>
      <c r="HH866" s="861"/>
      <c r="HI866" s="861"/>
      <c r="HJ866" s="861"/>
      <c r="HK866" s="861"/>
      <c r="HL866" s="861"/>
      <c r="HM866" s="861"/>
      <c r="HN866" s="861"/>
      <c r="HO866" s="861"/>
      <c r="HP866" s="861"/>
      <c r="HQ866" s="861"/>
      <c r="HR866" s="861"/>
      <c r="HS866" s="861"/>
      <c r="HT866" s="861"/>
      <c r="HU866" s="861"/>
      <c r="HV866" s="861"/>
      <c r="HW866" s="861"/>
      <c r="HX866" s="861"/>
      <c r="HY866" s="861"/>
      <c r="HZ866" s="861"/>
      <c r="IA866" s="861"/>
      <c r="IB866" s="861"/>
      <c r="IC866" s="861"/>
      <c r="ID866" s="861"/>
      <c r="IE866" s="861"/>
      <c r="IF866" s="861"/>
      <c r="IG866" s="861"/>
      <c r="IH866" s="861"/>
      <c r="II866" s="861"/>
      <c r="IJ866" s="861"/>
      <c r="IK866" s="861"/>
      <c r="IL866" s="861"/>
      <c r="IM866" s="861"/>
      <c r="IN866" s="861"/>
      <c r="IO866" s="861"/>
      <c r="IP866" s="861"/>
      <c r="IQ866" s="861"/>
      <c r="IR866" s="861"/>
      <c r="IS866" s="861"/>
      <c r="IT866" s="861"/>
      <c r="IU866" s="861"/>
      <c r="IV866" s="861"/>
      <c r="IW866" s="861"/>
      <c r="IX866" s="861"/>
      <c r="IY866" s="861"/>
      <c r="IZ866" s="861"/>
      <c r="JA866" s="861"/>
      <c r="JB866" s="861"/>
      <c r="JC866" s="861"/>
      <c r="JD866" s="861"/>
      <c r="JE866" s="861"/>
      <c r="JF866" s="861"/>
      <c r="JG866" s="861"/>
      <c r="JH866" s="861"/>
      <c r="JI866" s="861"/>
      <c r="JJ866" s="861"/>
      <c r="JK866" s="861"/>
      <c r="JL866" s="861"/>
      <c r="JM866" s="861"/>
      <c r="JN866" s="861"/>
      <c r="JO866" s="861"/>
      <c r="JP866" s="861"/>
      <c r="JQ866" s="861"/>
      <c r="JR866" s="861"/>
      <c r="JS866" s="861"/>
      <c r="JT866" s="861"/>
      <c r="JU866" s="861"/>
      <c r="JV866" s="861"/>
      <c r="JW866" s="861"/>
      <c r="JX866" s="861"/>
      <c r="JY866" s="861"/>
      <c r="JZ866" s="861"/>
      <c r="KA866" s="861"/>
      <c r="KB866" s="861"/>
      <c r="KC866" s="861"/>
      <c r="KD866" s="861"/>
      <c r="KE866" s="861"/>
      <c r="KF866" s="861"/>
      <c r="KG866" s="861"/>
      <c r="KH866" s="861"/>
      <c r="KI866" s="861"/>
      <c r="KJ866" s="861"/>
      <c r="KK866" s="861"/>
      <c r="KL866" s="861"/>
      <c r="KM866" s="861"/>
      <c r="KN866" s="861"/>
      <c r="KO866" s="861"/>
      <c r="KP866" s="861"/>
      <c r="KQ866" s="861"/>
      <c r="KR866" s="861"/>
      <c r="KS866" s="861"/>
      <c r="KT866" s="861"/>
      <c r="KU866" s="861"/>
      <c r="KV866" s="861"/>
      <c r="KW866" s="861"/>
      <c r="KX866" s="861"/>
      <c r="KY866" s="861"/>
      <c r="KZ866" s="861"/>
      <c r="LA866" s="861"/>
      <c r="LB866" s="861"/>
      <c r="LC866" s="861"/>
      <c r="LD866" s="861"/>
      <c r="LE866" s="861"/>
      <c r="LF866" s="861"/>
      <c r="LG866" s="861"/>
      <c r="LH866" s="861"/>
      <c r="LI866" s="861"/>
      <c r="LJ866" s="861"/>
      <c r="LK866" s="861"/>
      <c r="LL866" s="861"/>
      <c r="LM866" s="861"/>
      <c r="LN866" s="861"/>
      <c r="LO866" s="861"/>
      <c r="LP866" s="861"/>
      <c r="LQ866" s="861"/>
      <c r="LR866" s="861"/>
      <c r="LS866" s="861"/>
      <c r="LT866" s="861"/>
      <c r="LU866" s="861"/>
      <c r="LV866" s="861"/>
      <c r="LW866" s="861"/>
      <c r="LX866" s="861"/>
      <c r="LY866" s="861"/>
      <c r="LZ866" s="861"/>
      <c r="MA866" s="861"/>
      <c r="MB866" s="861"/>
      <c r="MC866" s="861"/>
      <c r="MD866" s="861"/>
      <c r="ME866" s="861"/>
      <c r="MF866" s="861"/>
      <c r="MG866" s="861"/>
      <c r="MH866" s="861"/>
      <c r="MI866" s="861"/>
      <c r="MJ866" s="861"/>
      <c r="MK866" s="861"/>
      <c r="ML866" s="861"/>
      <c r="MM866" s="861"/>
      <c r="MN866" s="861"/>
      <c r="MO866" s="861"/>
      <c r="MP866" s="861"/>
      <c r="MQ866" s="861"/>
      <c r="MR866" s="861"/>
      <c r="MS866" s="861"/>
      <c r="MT866" s="861"/>
      <c r="MU866" s="861"/>
      <c r="MV866" s="861"/>
      <c r="MW866" s="861"/>
      <c r="MX866" s="861"/>
      <c r="MY866" s="861"/>
      <c r="MZ866" s="861"/>
      <c r="NA866" s="861"/>
      <c r="NB866" s="861"/>
      <c r="NC866" s="861"/>
      <c r="ND866" s="861"/>
      <c r="NE866" s="861"/>
      <c r="NF866" s="861"/>
      <c r="NG866" s="861"/>
      <c r="NH866" s="861"/>
      <c r="NI866" s="861"/>
      <c r="NJ866" s="861"/>
      <c r="NK866" s="861"/>
      <c r="NL866" s="861"/>
      <c r="NM866" s="861"/>
      <c r="NN866" s="861"/>
      <c r="NO866" s="861"/>
      <c r="NP866" s="861"/>
      <c r="NQ866" s="861"/>
      <c r="NR866" s="861"/>
      <c r="NS866" s="861"/>
      <c r="NT866" s="861"/>
      <c r="NU866" s="861"/>
      <c r="NV866" s="861"/>
      <c r="NW866" s="861"/>
      <c r="NX866" s="861"/>
      <c r="NY866" s="861"/>
      <c r="NZ866" s="861"/>
      <c r="OA866" s="861"/>
      <c r="OB866" s="861"/>
      <c r="OC866" s="861"/>
      <c r="OD866" s="861"/>
      <c r="OE866" s="861"/>
      <c r="OF866" s="861"/>
      <c r="OG866" s="861"/>
      <c r="OH866" s="861"/>
      <c r="OI866" s="861"/>
      <c r="OJ866" s="861"/>
      <c r="OK866" s="861"/>
      <c r="OL866" s="861"/>
      <c r="OM866" s="861"/>
      <c r="ON866" s="861"/>
      <c r="OO866" s="861"/>
      <c r="OP866" s="861"/>
      <c r="OQ866" s="861"/>
      <c r="OR866" s="861"/>
      <c r="OS866" s="861"/>
      <c r="OT866" s="861"/>
      <c r="OU866" s="861"/>
      <c r="OV866" s="861"/>
      <c r="OW866" s="861"/>
      <c r="OX866" s="861"/>
      <c r="OY866" s="861"/>
      <c r="OZ866" s="861"/>
      <c r="PA866" s="861"/>
      <c r="PB866" s="861"/>
      <c r="PC866" s="861"/>
      <c r="PD866" s="861"/>
      <c r="PE866" s="861"/>
      <c r="PF866" s="861"/>
      <c r="PG866" s="861"/>
      <c r="PH866" s="861"/>
      <c r="PI866" s="861"/>
      <c r="PJ866" s="861"/>
      <c r="PK866" s="861"/>
      <c r="PL866" s="861"/>
      <c r="PM866" s="861"/>
      <c r="PN866" s="861"/>
      <c r="PO866" s="861"/>
      <c r="PP866" s="861"/>
      <c r="PQ866" s="861"/>
      <c r="PR866" s="861"/>
      <c r="PS866" s="861"/>
      <c r="PT866" s="861"/>
      <c r="PU866" s="861"/>
      <c r="PV866" s="861"/>
      <c r="PW866" s="861"/>
      <c r="PX866" s="861"/>
      <c r="PY866" s="861"/>
      <c r="PZ866" s="861"/>
      <c r="QA866" s="861"/>
      <c r="QB866" s="861"/>
      <c r="QC866" s="861"/>
      <c r="QD866" s="861"/>
      <c r="QE866" s="861"/>
      <c r="QF866" s="861"/>
      <c r="QG866" s="861"/>
      <c r="QH866" s="861"/>
      <c r="QI866" s="861"/>
      <c r="QJ866" s="861"/>
      <c r="QK866" s="861"/>
      <c r="QL866" s="861"/>
      <c r="QM866" s="861"/>
      <c r="QN866" s="861"/>
      <c r="QO866" s="861"/>
      <c r="QP866" s="861"/>
      <c r="QQ866" s="861"/>
      <c r="QR866" s="861"/>
      <c r="QS866" s="861"/>
      <c r="QT866" s="861"/>
      <c r="QU866" s="861"/>
      <c r="QV866" s="861"/>
      <c r="QW866" s="861"/>
      <c r="QX866" s="861"/>
      <c r="QY866" s="861"/>
      <c r="QZ866" s="861"/>
      <c r="RA866" s="861"/>
      <c r="RB866" s="861"/>
      <c r="RC866" s="861"/>
      <c r="RD866" s="861"/>
      <c r="RE866" s="861"/>
      <c r="RF866" s="861"/>
      <c r="RG866" s="861"/>
      <c r="RH866" s="861"/>
      <c r="RI866" s="861"/>
      <c r="RJ866" s="861"/>
      <c r="RK866" s="861"/>
      <c r="RL866" s="861"/>
      <c r="RM866" s="861"/>
      <c r="RN866" s="861"/>
      <c r="RO866" s="861"/>
      <c r="RP866" s="861"/>
      <c r="RQ866" s="861"/>
      <c r="RR866" s="861"/>
      <c r="RS866" s="861"/>
      <c r="RT866" s="861"/>
      <c r="RU866" s="861"/>
      <c r="RV866" s="861"/>
      <c r="RW866" s="861"/>
      <c r="RX866" s="861"/>
      <c r="RY866" s="861"/>
      <c r="RZ866" s="861"/>
      <c r="SA866" s="861"/>
      <c r="SB866" s="861"/>
      <c r="SC866" s="861"/>
      <c r="SD866" s="861"/>
      <c r="SE866" s="861"/>
      <c r="SF866" s="861"/>
      <c r="SG866" s="861"/>
      <c r="SH866" s="861"/>
      <c r="SI866" s="861"/>
      <c r="SJ866" s="861"/>
      <c r="SK866" s="861"/>
      <c r="SL866" s="861"/>
      <c r="SM866" s="861"/>
      <c r="SN866" s="861"/>
      <c r="SO866" s="861"/>
      <c r="SP866" s="861"/>
      <c r="SQ866" s="861"/>
      <c r="SR866" s="861"/>
      <c r="SS866" s="861"/>
      <c r="ST866" s="861"/>
      <c r="SU866" s="861"/>
      <c r="SV866" s="861"/>
      <c r="SW866" s="861"/>
      <c r="SX866" s="861"/>
      <c r="SY866" s="861"/>
      <c r="SZ866" s="861"/>
      <c r="TA866" s="861"/>
      <c r="TB866" s="861"/>
      <c r="TC866" s="861"/>
      <c r="TD866" s="861"/>
      <c r="TE866" s="861"/>
      <c r="TF866" s="861"/>
      <c r="TG866" s="861"/>
      <c r="TH866" s="861"/>
      <c r="TI866" s="861"/>
      <c r="TJ866" s="861"/>
      <c r="TK866" s="861"/>
      <c r="TL866" s="861"/>
      <c r="TM866" s="861"/>
      <c r="TN866" s="861"/>
      <c r="TO866" s="861"/>
      <c r="TP866" s="861"/>
      <c r="TQ866" s="861"/>
      <c r="TR866" s="861"/>
      <c r="TS866" s="861"/>
      <c r="TT866" s="861"/>
      <c r="TU866" s="861"/>
      <c r="TV866" s="861"/>
      <c r="TW866" s="861"/>
      <c r="TX866" s="861"/>
      <c r="TY866" s="861"/>
      <c r="TZ866" s="861"/>
      <c r="UA866" s="861"/>
      <c r="UB866" s="861"/>
      <c r="UC866" s="861"/>
      <c r="UD866" s="861"/>
      <c r="UE866" s="861"/>
      <c r="UF866" s="861"/>
      <c r="UG866" s="862"/>
    </row>
    <row r="867" spans="1:553" s="863" customFormat="1" ht="33" customHeight="1">
      <c r="A867" s="356"/>
      <c r="B867" s="356"/>
      <c r="C867" s="673" t="s">
        <v>23</v>
      </c>
      <c r="D867" s="397">
        <v>2</v>
      </c>
      <c r="E867" s="397">
        <v>197</v>
      </c>
      <c r="F867" s="673"/>
      <c r="G867" s="674" t="s">
        <v>33</v>
      </c>
      <c r="H867" s="675"/>
      <c r="I867" s="490">
        <v>37.6</v>
      </c>
      <c r="J867" s="797">
        <v>72000</v>
      </c>
      <c r="K867" s="857">
        <v>3</v>
      </c>
      <c r="L867" s="481">
        <f t="shared" si="127"/>
        <v>8121600</v>
      </c>
      <c r="M867" s="356"/>
      <c r="N867" s="356"/>
      <c r="O867" s="356"/>
      <c r="P867" s="356"/>
      <c r="Q867" s="610"/>
      <c r="R867" s="1452"/>
      <c r="S867" s="308"/>
      <c r="T867" s="308"/>
      <c r="U867" s="308"/>
      <c r="V867" s="308"/>
      <c r="W867" s="308"/>
      <c r="X867" s="308"/>
      <c r="Y867" s="308"/>
      <c r="Z867" s="604"/>
      <c r="AA867" s="308"/>
      <c r="AB867" s="308"/>
      <c r="AC867" s="449"/>
      <c r="AD867" s="449"/>
      <c r="AE867" s="449"/>
      <c r="AF867" s="449"/>
      <c r="AG867" s="449"/>
      <c r="AH867" s="449"/>
      <c r="AI867" s="449"/>
      <c r="AJ867" s="449"/>
      <c r="AK867" s="452"/>
      <c r="AL867" s="351"/>
      <c r="AM867" s="43"/>
      <c r="AN867" s="43"/>
      <c r="AO867" s="43"/>
      <c r="AP867" s="43"/>
      <c r="AQ867" s="43"/>
      <c r="AR867" s="43"/>
      <c r="AS867" s="43"/>
      <c r="AT867" s="43"/>
      <c r="AU867" s="43"/>
      <c r="AV867" s="43"/>
      <c r="AW867" s="43"/>
      <c r="AX867" s="43"/>
      <c r="AY867" s="43"/>
      <c r="AZ867" s="43"/>
      <c r="BA867" s="43"/>
      <c r="BB867" s="43"/>
      <c r="BC867" s="43"/>
      <c r="BD867" s="43"/>
      <c r="BE867" s="43"/>
      <c r="BF867" s="43"/>
      <c r="BG867" s="43"/>
      <c r="BH867" s="43"/>
      <c r="BI867" s="43"/>
      <c r="BJ867" s="43"/>
      <c r="BK867" s="43"/>
      <c r="BL867" s="43"/>
      <c r="BM867" s="43"/>
      <c r="BN867" s="43"/>
      <c r="BO867" s="43"/>
      <c r="BP867" s="861"/>
      <c r="BQ867" s="861"/>
      <c r="BR867" s="861"/>
      <c r="BS867" s="861"/>
      <c r="BT867" s="861"/>
      <c r="BU867" s="861"/>
      <c r="BV867" s="861"/>
      <c r="BW867" s="861"/>
      <c r="BX867" s="861"/>
      <c r="BY867" s="861"/>
      <c r="BZ867" s="861"/>
      <c r="CA867" s="861"/>
      <c r="CB867" s="861"/>
      <c r="CC867" s="861"/>
      <c r="CD867" s="861"/>
      <c r="CE867" s="861"/>
      <c r="CF867" s="861"/>
      <c r="CG867" s="861"/>
      <c r="CH867" s="861"/>
      <c r="CI867" s="861"/>
      <c r="CJ867" s="861"/>
      <c r="CK867" s="861"/>
      <c r="CL867" s="861"/>
      <c r="CM867" s="861"/>
      <c r="CN867" s="861"/>
      <c r="CO867" s="861"/>
      <c r="CP867" s="861"/>
      <c r="CQ867" s="861"/>
      <c r="CR867" s="861"/>
      <c r="CS867" s="861"/>
      <c r="CT867" s="861"/>
      <c r="CU867" s="861"/>
      <c r="CV867" s="861"/>
      <c r="CW867" s="861"/>
      <c r="CX867" s="861"/>
      <c r="CY867" s="861"/>
      <c r="CZ867" s="861"/>
      <c r="DA867" s="861"/>
      <c r="DB867" s="861"/>
      <c r="DC867" s="861"/>
      <c r="DD867" s="861"/>
      <c r="DE867" s="861"/>
      <c r="DF867" s="861"/>
      <c r="DG867" s="861"/>
      <c r="DH867" s="861"/>
      <c r="DI867" s="861"/>
      <c r="DJ867" s="861"/>
      <c r="DK867" s="861"/>
      <c r="DL867" s="861"/>
      <c r="DM867" s="861"/>
      <c r="DN867" s="861"/>
      <c r="DO867" s="861"/>
      <c r="DP867" s="861"/>
      <c r="DQ867" s="861"/>
      <c r="DR867" s="861"/>
      <c r="DS867" s="861"/>
      <c r="DT867" s="861"/>
      <c r="DU867" s="861"/>
      <c r="DV867" s="861"/>
      <c r="DW867" s="861"/>
      <c r="DX867" s="861"/>
      <c r="DY867" s="861"/>
      <c r="DZ867" s="861"/>
      <c r="EA867" s="861"/>
      <c r="EB867" s="861"/>
      <c r="EC867" s="861"/>
      <c r="ED867" s="861"/>
      <c r="EE867" s="861"/>
      <c r="EF867" s="861"/>
      <c r="EG867" s="861"/>
      <c r="EH867" s="861"/>
      <c r="EI867" s="861"/>
      <c r="EJ867" s="861"/>
      <c r="EK867" s="861"/>
      <c r="EL867" s="861"/>
      <c r="EM867" s="861"/>
      <c r="EN867" s="861"/>
      <c r="EO867" s="861"/>
      <c r="EP867" s="861"/>
      <c r="EQ867" s="861"/>
      <c r="ER867" s="861"/>
      <c r="ES867" s="861"/>
      <c r="ET867" s="861"/>
      <c r="EU867" s="861"/>
      <c r="EV867" s="861"/>
      <c r="EW867" s="861"/>
      <c r="EX867" s="861"/>
      <c r="EY867" s="861"/>
      <c r="EZ867" s="861"/>
      <c r="FA867" s="861"/>
      <c r="FB867" s="861"/>
      <c r="FC867" s="861"/>
      <c r="FD867" s="861"/>
      <c r="FE867" s="861"/>
      <c r="FF867" s="861"/>
      <c r="FG867" s="861"/>
      <c r="FH867" s="861"/>
      <c r="FI867" s="861"/>
      <c r="FJ867" s="861"/>
      <c r="FK867" s="861"/>
      <c r="FL867" s="861"/>
      <c r="FM867" s="861"/>
      <c r="FN867" s="861"/>
      <c r="FO867" s="861"/>
      <c r="FP867" s="861"/>
      <c r="FQ867" s="861"/>
      <c r="FR867" s="861"/>
      <c r="FS867" s="861"/>
      <c r="FT867" s="861"/>
      <c r="FU867" s="861"/>
      <c r="FV867" s="861"/>
      <c r="FW867" s="861"/>
      <c r="FX867" s="861"/>
      <c r="FY867" s="861"/>
      <c r="FZ867" s="861"/>
      <c r="GA867" s="861"/>
      <c r="GB867" s="861"/>
      <c r="GC867" s="861"/>
      <c r="GD867" s="861"/>
      <c r="GE867" s="861"/>
      <c r="GF867" s="861"/>
      <c r="GG867" s="861"/>
      <c r="GH867" s="861"/>
      <c r="GI867" s="861"/>
      <c r="GJ867" s="861"/>
      <c r="GK867" s="861"/>
      <c r="GL867" s="861"/>
      <c r="GM867" s="861"/>
      <c r="GN867" s="861"/>
      <c r="GO867" s="861"/>
      <c r="GP867" s="861"/>
      <c r="GQ867" s="861"/>
      <c r="GR867" s="861"/>
      <c r="GS867" s="861"/>
      <c r="GT867" s="861"/>
      <c r="GU867" s="861"/>
      <c r="GV867" s="861"/>
      <c r="GW867" s="861"/>
      <c r="GX867" s="861"/>
      <c r="GY867" s="861"/>
      <c r="GZ867" s="861"/>
      <c r="HA867" s="861"/>
      <c r="HB867" s="861"/>
      <c r="HC867" s="861"/>
      <c r="HD867" s="861"/>
      <c r="HE867" s="861"/>
      <c r="HF867" s="861"/>
      <c r="HG867" s="861"/>
      <c r="HH867" s="861"/>
      <c r="HI867" s="861"/>
      <c r="HJ867" s="861"/>
      <c r="HK867" s="861"/>
      <c r="HL867" s="861"/>
      <c r="HM867" s="861"/>
      <c r="HN867" s="861"/>
      <c r="HO867" s="861"/>
      <c r="HP867" s="861"/>
      <c r="HQ867" s="861"/>
      <c r="HR867" s="861"/>
      <c r="HS867" s="861"/>
      <c r="HT867" s="861"/>
      <c r="HU867" s="861"/>
      <c r="HV867" s="861"/>
      <c r="HW867" s="861"/>
      <c r="HX867" s="861"/>
      <c r="HY867" s="861"/>
      <c r="HZ867" s="861"/>
      <c r="IA867" s="861"/>
      <c r="IB867" s="861"/>
      <c r="IC867" s="861"/>
      <c r="ID867" s="861"/>
      <c r="IE867" s="861"/>
      <c r="IF867" s="861"/>
      <c r="IG867" s="861"/>
      <c r="IH867" s="861"/>
      <c r="II867" s="861"/>
      <c r="IJ867" s="861"/>
      <c r="IK867" s="861"/>
      <c r="IL867" s="861"/>
      <c r="IM867" s="861"/>
      <c r="IN867" s="861"/>
      <c r="IO867" s="861"/>
      <c r="IP867" s="861"/>
      <c r="IQ867" s="861"/>
      <c r="IR867" s="861"/>
      <c r="IS867" s="861"/>
      <c r="IT867" s="861"/>
      <c r="IU867" s="861"/>
      <c r="IV867" s="861"/>
      <c r="IW867" s="861"/>
      <c r="IX867" s="861"/>
      <c r="IY867" s="861"/>
      <c r="IZ867" s="861"/>
      <c r="JA867" s="861"/>
      <c r="JB867" s="861"/>
      <c r="JC867" s="861"/>
      <c r="JD867" s="861"/>
      <c r="JE867" s="861"/>
      <c r="JF867" s="861"/>
      <c r="JG867" s="861"/>
      <c r="JH867" s="861"/>
      <c r="JI867" s="861"/>
      <c r="JJ867" s="861"/>
      <c r="JK867" s="861"/>
      <c r="JL867" s="861"/>
      <c r="JM867" s="861"/>
      <c r="JN867" s="861"/>
      <c r="JO867" s="861"/>
      <c r="JP867" s="861"/>
      <c r="JQ867" s="861"/>
      <c r="JR867" s="861"/>
      <c r="JS867" s="861"/>
      <c r="JT867" s="861"/>
      <c r="JU867" s="861"/>
      <c r="JV867" s="861"/>
      <c r="JW867" s="861"/>
      <c r="JX867" s="861"/>
      <c r="JY867" s="861"/>
      <c r="JZ867" s="861"/>
      <c r="KA867" s="861"/>
      <c r="KB867" s="861"/>
      <c r="KC867" s="861"/>
      <c r="KD867" s="861"/>
      <c r="KE867" s="861"/>
      <c r="KF867" s="861"/>
      <c r="KG867" s="861"/>
      <c r="KH867" s="861"/>
      <c r="KI867" s="861"/>
      <c r="KJ867" s="861"/>
      <c r="KK867" s="861"/>
      <c r="KL867" s="861"/>
      <c r="KM867" s="861"/>
      <c r="KN867" s="861"/>
      <c r="KO867" s="861"/>
      <c r="KP867" s="861"/>
      <c r="KQ867" s="861"/>
      <c r="KR867" s="861"/>
      <c r="KS867" s="861"/>
      <c r="KT867" s="861"/>
      <c r="KU867" s="861"/>
      <c r="KV867" s="861"/>
      <c r="KW867" s="861"/>
      <c r="KX867" s="861"/>
      <c r="KY867" s="861"/>
      <c r="KZ867" s="861"/>
      <c r="LA867" s="861"/>
      <c r="LB867" s="861"/>
      <c r="LC867" s="861"/>
      <c r="LD867" s="861"/>
      <c r="LE867" s="861"/>
      <c r="LF867" s="861"/>
      <c r="LG867" s="861"/>
      <c r="LH867" s="861"/>
      <c r="LI867" s="861"/>
      <c r="LJ867" s="861"/>
      <c r="LK867" s="861"/>
      <c r="LL867" s="861"/>
      <c r="LM867" s="861"/>
      <c r="LN867" s="861"/>
      <c r="LO867" s="861"/>
      <c r="LP867" s="861"/>
      <c r="LQ867" s="861"/>
      <c r="LR867" s="861"/>
      <c r="LS867" s="861"/>
      <c r="LT867" s="861"/>
      <c r="LU867" s="861"/>
      <c r="LV867" s="861"/>
      <c r="LW867" s="861"/>
      <c r="LX867" s="861"/>
      <c r="LY867" s="861"/>
      <c r="LZ867" s="861"/>
      <c r="MA867" s="861"/>
      <c r="MB867" s="861"/>
      <c r="MC867" s="861"/>
      <c r="MD867" s="861"/>
      <c r="ME867" s="861"/>
      <c r="MF867" s="861"/>
      <c r="MG867" s="861"/>
      <c r="MH867" s="861"/>
      <c r="MI867" s="861"/>
      <c r="MJ867" s="861"/>
      <c r="MK867" s="861"/>
      <c r="ML867" s="861"/>
      <c r="MM867" s="861"/>
      <c r="MN867" s="861"/>
      <c r="MO867" s="861"/>
      <c r="MP867" s="861"/>
      <c r="MQ867" s="861"/>
      <c r="MR867" s="861"/>
      <c r="MS867" s="861"/>
      <c r="MT867" s="861"/>
      <c r="MU867" s="861"/>
      <c r="MV867" s="861"/>
      <c r="MW867" s="861"/>
      <c r="MX867" s="861"/>
      <c r="MY867" s="861"/>
      <c r="MZ867" s="861"/>
      <c r="NA867" s="861"/>
      <c r="NB867" s="861"/>
      <c r="NC867" s="861"/>
      <c r="ND867" s="861"/>
      <c r="NE867" s="861"/>
      <c r="NF867" s="861"/>
      <c r="NG867" s="861"/>
      <c r="NH867" s="861"/>
      <c r="NI867" s="861"/>
      <c r="NJ867" s="861"/>
      <c r="NK867" s="861"/>
      <c r="NL867" s="861"/>
      <c r="NM867" s="861"/>
      <c r="NN867" s="861"/>
      <c r="NO867" s="861"/>
      <c r="NP867" s="861"/>
      <c r="NQ867" s="861"/>
      <c r="NR867" s="861"/>
      <c r="NS867" s="861"/>
      <c r="NT867" s="861"/>
      <c r="NU867" s="861"/>
      <c r="NV867" s="861"/>
      <c r="NW867" s="861"/>
      <c r="NX867" s="861"/>
      <c r="NY867" s="861"/>
      <c r="NZ867" s="861"/>
      <c r="OA867" s="861"/>
      <c r="OB867" s="861"/>
      <c r="OC867" s="861"/>
      <c r="OD867" s="861"/>
      <c r="OE867" s="861"/>
      <c r="OF867" s="861"/>
      <c r="OG867" s="861"/>
      <c r="OH867" s="861"/>
      <c r="OI867" s="861"/>
      <c r="OJ867" s="861"/>
      <c r="OK867" s="861"/>
      <c r="OL867" s="861"/>
      <c r="OM867" s="861"/>
      <c r="ON867" s="861"/>
      <c r="OO867" s="861"/>
      <c r="OP867" s="861"/>
      <c r="OQ867" s="861"/>
      <c r="OR867" s="861"/>
      <c r="OS867" s="861"/>
      <c r="OT867" s="861"/>
      <c r="OU867" s="861"/>
      <c r="OV867" s="861"/>
      <c r="OW867" s="861"/>
      <c r="OX867" s="861"/>
      <c r="OY867" s="861"/>
      <c r="OZ867" s="861"/>
      <c r="PA867" s="861"/>
      <c r="PB867" s="861"/>
      <c r="PC867" s="861"/>
      <c r="PD867" s="861"/>
      <c r="PE867" s="861"/>
      <c r="PF867" s="861"/>
      <c r="PG867" s="861"/>
      <c r="PH867" s="861"/>
      <c r="PI867" s="861"/>
      <c r="PJ867" s="861"/>
      <c r="PK867" s="861"/>
      <c r="PL867" s="861"/>
      <c r="PM867" s="861"/>
      <c r="PN867" s="861"/>
      <c r="PO867" s="861"/>
      <c r="PP867" s="861"/>
      <c r="PQ867" s="861"/>
      <c r="PR867" s="861"/>
      <c r="PS867" s="861"/>
      <c r="PT867" s="861"/>
      <c r="PU867" s="861"/>
      <c r="PV867" s="861"/>
      <c r="PW867" s="861"/>
      <c r="PX867" s="861"/>
      <c r="PY867" s="861"/>
      <c r="PZ867" s="861"/>
      <c r="QA867" s="861"/>
      <c r="QB867" s="861"/>
      <c r="QC867" s="861"/>
      <c r="QD867" s="861"/>
      <c r="QE867" s="861"/>
      <c r="QF867" s="861"/>
      <c r="QG867" s="861"/>
      <c r="QH867" s="861"/>
      <c r="QI867" s="861"/>
      <c r="QJ867" s="861"/>
      <c r="QK867" s="861"/>
      <c r="QL867" s="861"/>
      <c r="QM867" s="861"/>
      <c r="QN867" s="861"/>
      <c r="QO867" s="861"/>
      <c r="QP867" s="861"/>
      <c r="QQ867" s="861"/>
      <c r="QR867" s="861"/>
      <c r="QS867" s="861"/>
      <c r="QT867" s="861"/>
      <c r="QU867" s="861"/>
      <c r="QV867" s="861"/>
      <c r="QW867" s="861"/>
      <c r="QX867" s="861"/>
      <c r="QY867" s="861"/>
      <c r="QZ867" s="861"/>
      <c r="RA867" s="861"/>
      <c r="RB867" s="861"/>
      <c r="RC867" s="861"/>
      <c r="RD867" s="861"/>
      <c r="RE867" s="861"/>
      <c r="RF867" s="861"/>
      <c r="RG867" s="861"/>
      <c r="RH867" s="861"/>
      <c r="RI867" s="861"/>
      <c r="RJ867" s="861"/>
      <c r="RK867" s="861"/>
      <c r="RL867" s="861"/>
      <c r="RM867" s="861"/>
      <c r="RN867" s="861"/>
      <c r="RO867" s="861"/>
      <c r="RP867" s="861"/>
      <c r="RQ867" s="861"/>
      <c r="RR867" s="861"/>
      <c r="RS867" s="861"/>
      <c r="RT867" s="861"/>
      <c r="RU867" s="861"/>
      <c r="RV867" s="861"/>
      <c r="RW867" s="861"/>
      <c r="RX867" s="861"/>
      <c r="RY867" s="861"/>
      <c r="RZ867" s="861"/>
      <c r="SA867" s="861"/>
      <c r="SB867" s="861"/>
      <c r="SC867" s="861"/>
      <c r="SD867" s="861"/>
      <c r="SE867" s="861"/>
      <c r="SF867" s="861"/>
      <c r="SG867" s="861"/>
      <c r="SH867" s="861"/>
      <c r="SI867" s="861"/>
      <c r="SJ867" s="861"/>
      <c r="SK867" s="861"/>
      <c r="SL867" s="861"/>
      <c r="SM867" s="861"/>
      <c r="SN867" s="861"/>
      <c r="SO867" s="861"/>
      <c r="SP867" s="861"/>
      <c r="SQ867" s="861"/>
      <c r="SR867" s="861"/>
      <c r="SS867" s="861"/>
      <c r="ST867" s="861"/>
      <c r="SU867" s="861"/>
      <c r="SV867" s="861"/>
      <c r="SW867" s="861"/>
      <c r="SX867" s="861"/>
      <c r="SY867" s="861"/>
      <c r="SZ867" s="861"/>
      <c r="TA867" s="861"/>
      <c r="TB867" s="861"/>
      <c r="TC867" s="861"/>
      <c r="TD867" s="861"/>
      <c r="TE867" s="861"/>
      <c r="TF867" s="861"/>
      <c r="TG867" s="861"/>
      <c r="TH867" s="861"/>
      <c r="TI867" s="861"/>
      <c r="TJ867" s="861"/>
      <c r="TK867" s="861"/>
      <c r="TL867" s="861"/>
      <c r="TM867" s="861"/>
      <c r="TN867" s="861"/>
      <c r="TO867" s="861"/>
      <c r="TP867" s="861"/>
      <c r="TQ867" s="861"/>
      <c r="TR867" s="861"/>
      <c r="TS867" s="861"/>
      <c r="TT867" s="861"/>
      <c r="TU867" s="861"/>
      <c r="TV867" s="861"/>
      <c r="TW867" s="861"/>
      <c r="TX867" s="861"/>
      <c r="TY867" s="861"/>
      <c r="TZ867" s="861"/>
      <c r="UA867" s="861"/>
      <c r="UB867" s="861"/>
      <c r="UC867" s="861"/>
      <c r="UD867" s="861"/>
      <c r="UE867" s="861"/>
      <c r="UF867" s="861"/>
      <c r="UG867" s="862"/>
    </row>
    <row r="868" spans="1:553" s="863" customFormat="1" ht="33" customHeight="1">
      <c r="A868" s="356"/>
      <c r="B868" s="356"/>
      <c r="C868" s="673" t="s">
        <v>23</v>
      </c>
      <c r="D868" s="397">
        <v>2</v>
      </c>
      <c r="E868" s="397">
        <v>207</v>
      </c>
      <c r="F868" s="673"/>
      <c r="G868" s="674" t="s">
        <v>33</v>
      </c>
      <c r="H868" s="675"/>
      <c r="I868" s="490">
        <v>49.6</v>
      </c>
      <c r="J868" s="797">
        <v>72000</v>
      </c>
      <c r="K868" s="857">
        <v>3</v>
      </c>
      <c r="L868" s="481">
        <f t="shared" si="127"/>
        <v>10713600</v>
      </c>
      <c r="M868" s="356"/>
      <c r="N868" s="356"/>
      <c r="O868" s="356"/>
      <c r="P868" s="356"/>
      <c r="Q868" s="610"/>
      <c r="R868" s="1452"/>
      <c r="S868" s="308"/>
      <c r="T868" s="308"/>
      <c r="U868" s="308"/>
      <c r="V868" s="308"/>
      <c r="W868" s="308"/>
      <c r="X868" s="308"/>
      <c r="Y868" s="308"/>
      <c r="Z868" s="604"/>
      <c r="AA868" s="308"/>
      <c r="AB868" s="308"/>
      <c r="AC868" s="449"/>
      <c r="AD868" s="449"/>
      <c r="AE868" s="449"/>
      <c r="AF868" s="449"/>
      <c r="AG868" s="449"/>
      <c r="AH868" s="449"/>
      <c r="AI868" s="449"/>
      <c r="AJ868" s="449"/>
      <c r="AK868" s="452"/>
      <c r="AL868" s="351"/>
      <c r="AM868" s="43"/>
      <c r="AN868" s="43"/>
      <c r="AO868" s="43"/>
      <c r="AP868" s="43"/>
      <c r="AQ868" s="43"/>
      <c r="AR868" s="43"/>
      <c r="AS868" s="43"/>
      <c r="AT868" s="43"/>
      <c r="AU868" s="43"/>
      <c r="AV868" s="43"/>
      <c r="AW868" s="43"/>
      <c r="AX868" s="43"/>
      <c r="AY868" s="43"/>
      <c r="AZ868" s="43"/>
      <c r="BA868" s="43"/>
      <c r="BB868" s="43"/>
      <c r="BC868" s="43"/>
      <c r="BD868" s="43"/>
      <c r="BE868" s="43"/>
      <c r="BF868" s="43"/>
      <c r="BG868" s="43"/>
      <c r="BH868" s="43"/>
      <c r="BI868" s="43"/>
      <c r="BJ868" s="43"/>
      <c r="BK868" s="43"/>
      <c r="BL868" s="43"/>
      <c r="BM868" s="43"/>
      <c r="BN868" s="43"/>
      <c r="BO868" s="43"/>
      <c r="BP868" s="861"/>
      <c r="BQ868" s="861"/>
      <c r="BR868" s="861"/>
      <c r="BS868" s="861"/>
      <c r="BT868" s="861"/>
      <c r="BU868" s="861"/>
      <c r="BV868" s="861"/>
      <c r="BW868" s="861"/>
      <c r="BX868" s="861"/>
      <c r="BY868" s="861"/>
      <c r="BZ868" s="861"/>
      <c r="CA868" s="861"/>
      <c r="CB868" s="861"/>
      <c r="CC868" s="861"/>
      <c r="CD868" s="861"/>
      <c r="CE868" s="861"/>
      <c r="CF868" s="861"/>
      <c r="CG868" s="861"/>
      <c r="CH868" s="861"/>
      <c r="CI868" s="861"/>
      <c r="CJ868" s="861"/>
      <c r="CK868" s="861"/>
      <c r="CL868" s="861"/>
      <c r="CM868" s="861"/>
      <c r="CN868" s="861"/>
      <c r="CO868" s="861"/>
      <c r="CP868" s="861"/>
      <c r="CQ868" s="861"/>
      <c r="CR868" s="861"/>
      <c r="CS868" s="861"/>
      <c r="CT868" s="861"/>
      <c r="CU868" s="861"/>
      <c r="CV868" s="861"/>
      <c r="CW868" s="861"/>
      <c r="CX868" s="861"/>
      <c r="CY868" s="861"/>
      <c r="CZ868" s="861"/>
      <c r="DA868" s="861"/>
      <c r="DB868" s="861"/>
      <c r="DC868" s="861"/>
      <c r="DD868" s="861"/>
      <c r="DE868" s="861"/>
      <c r="DF868" s="861"/>
      <c r="DG868" s="861"/>
      <c r="DH868" s="861"/>
      <c r="DI868" s="861"/>
      <c r="DJ868" s="861"/>
      <c r="DK868" s="861"/>
      <c r="DL868" s="861"/>
      <c r="DM868" s="861"/>
      <c r="DN868" s="861"/>
      <c r="DO868" s="861"/>
      <c r="DP868" s="861"/>
      <c r="DQ868" s="861"/>
      <c r="DR868" s="861"/>
      <c r="DS868" s="861"/>
      <c r="DT868" s="861"/>
      <c r="DU868" s="861"/>
      <c r="DV868" s="861"/>
      <c r="DW868" s="861"/>
      <c r="DX868" s="861"/>
      <c r="DY868" s="861"/>
      <c r="DZ868" s="861"/>
      <c r="EA868" s="861"/>
      <c r="EB868" s="861"/>
      <c r="EC868" s="861"/>
      <c r="ED868" s="861"/>
      <c r="EE868" s="861"/>
      <c r="EF868" s="861"/>
      <c r="EG868" s="861"/>
      <c r="EH868" s="861"/>
      <c r="EI868" s="861"/>
      <c r="EJ868" s="861"/>
      <c r="EK868" s="861"/>
      <c r="EL868" s="861"/>
      <c r="EM868" s="861"/>
      <c r="EN868" s="861"/>
      <c r="EO868" s="861"/>
      <c r="EP868" s="861"/>
      <c r="EQ868" s="861"/>
      <c r="ER868" s="861"/>
      <c r="ES868" s="861"/>
      <c r="ET868" s="861"/>
      <c r="EU868" s="861"/>
      <c r="EV868" s="861"/>
      <c r="EW868" s="861"/>
      <c r="EX868" s="861"/>
      <c r="EY868" s="861"/>
      <c r="EZ868" s="861"/>
      <c r="FA868" s="861"/>
      <c r="FB868" s="861"/>
      <c r="FC868" s="861"/>
      <c r="FD868" s="861"/>
      <c r="FE868" s="861"/>
      <c r="FF868" s="861"/>
      <c r="FG868" s="861"/>
      <c r="FH868" s="861"/>
      <c r="FI868" s="861"/>
      <c r="FJ868" s="861"/>
      <c r="FK868" s="861"/>
      <c r="FL868" s="861"/>
      <c r="FM868" s="861"/>
      <c r="FN868" s="861"/>
      <c r="FO868" s="861"/>
      <c r="FP868" s="861"/>
      <c r="FQ868" s="861"/>
      <c r="FR868" s="861"/>
      <c r="FS868" s="861"/>
      <c r="FT868" s="861"/>
      <c r="FU868" s="861"/>
      <c r="FV868" s="861"/>
      <c r="FW868" s="861"/>
      <c r="FX868" s="861"/>
      <c r="FY868" s="861"/>
      <c r="FZ868" s="861"/>
      <c r="GA868" s="861"/>
      <c r="GB868" s="861"/>
      <c r="GC868" s="861"/>
      <c r="GD868" s="861"/>
      <c r="GE868" s="861"/>
      <c r="GF868" s="861"/>
      <c r="GG868" s="861"/>
      <c r="GH868" s="861"/>
      <c r="GI868" s="861"/>
      <c r="GJ868" s="861"/>
      <c r="GK868" s="861"/>
      <c r="GL868" s="861"/>
      <c r="GM868" s="861"/>
      <c r="GN868" s="861"/>
      <c r="GO868" s="861"/>
      <c r="GP868" s="861"/>
      <c r="GQ868" s="861"/>
      <c r="GR868" s="861"/>
      <c r="GS868" s="861"/>
      <c r="GT868" s="861"/>
      <c r="GU868" s="861"/>
      <c r="GV868" s="861"/>
      <c r="GW868" s="861"/>
      <c r="GX868" s="861"/>
      <c r="GY868" s="861"/>
      <c r="GZ868" s="861"/>
      <c r="HA868" s="861"/>
      <c r="HB868" s="861"/>
      <c r="HC868" s="861"/>
      <c r="HD868" s="861"/>
      <c r="HE868" s="861"/>
      <c r="HF868" s="861"/>
      <c r="HG868" s="861"/>
      <c r="HH868" s="861"/>
      <c r="HI868" s="861"/>
      <c r="HJ868" s="861"/>
      <c r="HK868" s="861"/>
      <c r="HL868" s="861"/>
      <c r="HM868" s="861"/>
      <c r="HN868" s="861"/>
      <c r="HO868" s="861"/>
      <c r="HP868" s="861"/>
      <c r="HQ868" s="861"/>
      <c r="HR868" s="861"/>
      <c r="HS868" s="861"/>
      <c r="HT868" s="861"/>
      <c r="HU868" s="861"/>
      <c r="HV868" s="861"/>
      <c r="HW868" s="861"/>
      <c r="HX868" s="861"/>
      <c r="HY868" s="861"/>
      <c r="HZ868" s="861"/>
      <c r="IA868" s="861"/>
      <c r="IB868" s="861"/>
      <c r="IC868" s="861"/>
      <c r="ID868" s="861"/>
      <c r="IE868" s="861"/>
      <c r="IF868" s="861"/>
      <c r="IG868" s="861"/>
      <c r="IH868" s="861"/>
      <c r="II868" s="861"/>
      <c r="IJ868" s="861"/>
      <c r="IK868" s="861"/>
      <c r="IL868" s="861"/>
      <c r="IM868" s="861"/>
      <c r="IN868" s="861"/>
      <c r="IO868" s="861"/>
      <c r="IP868" s="861"/>
      <c r="IQ868" s="861"/>
      <c r="IR868" s="861"/>
      <c r="IS868" s="861"/>
      <c r="IT868" s="861"/>
      <c r="IU868" s="861"/>
      <c r="IV868" s="861"/>
      <c r="IW868" s="861"/>
      <c r="IX868" s="861"/>
      <c r="IY868" s="861"/>
      <c r="IZ868" s="861"/>
      <c r="JA868" s="861"/>
      <c r="JB868" s="861"/>
      <c r="JC868" s="861"/>
      <c r="JD868" s="861"/>
      <c r="JE868" s="861"/>
      <c r="JF868" s="861"/>
      <c r="JG868" s="861"/>
      <c r="JH868" s="861"/>
      <c r="JI868" s="861"/>
      <c r="JJ868" s="861"/>
      <c r="JK868" s="861"/>
      <c r="JL868" s="861"/>
      <c r="JM868" s="861"/>
      <c r="JN868" s="861"/>
      <c r="JO868" s="861"/>
      <c r="JP868" s="861"/>
      <c r="JQ868" s="861"/>
      <c r="JR868" s="861"/>
      <c r="JS868" s="861"/>
      <c r="JT868" s="861"/>
      <c r="JU868" s="861"/>
      <c r="JV868" s="861"/>
      <c r="JW868" s="861"/>
      <c r="JX868" s="861"/>
      <c r="JY868" s="861"/>
      <c r="JZ868" s="861"/>
      <c r="KA868" s="861"/>
      <c r="KB868" s="861"/>
      <c r="KC868" s="861"/>
      <c r="KD868" s="861"/>
      <c r="KE868" s="861"/>
      <c r="KF868" s="861"/>
      <c r="KG868" s="861"/>
      <c r="KH868" s="861"/>
      <c r="KI868" s="861"/>
      <c r="KJ868" s="861"/>
      <c r="KK868" s="861"/>
      <c r="KL868" s="861"/>
      <c r="KM868" s="861"/>
      <c r="KN868" s="861"/>
      <c r="KO868" s="861"/>
      <c r="KP868" s="861"/>
      <c r="KQ868" s="861"/>
      <c r="KR868" s="861"/>
      <c r="KS868" s="861"/>
      <c r="KT868" s="861"/>
      <c r="KU868" s="861"/>
      <c r="KV868" s="861"/>
      <c r="KW868" s="861"/>
      <c r="KX868" s="861"/>
      <c r="KY868" s="861"/>
      <c r="KZ868" s="861"/>
      <c r="LA868" s="861"/>
      <c r="LB868" s="861"/>
      <c r="LC868" s="861"/>
      <c r="LD868" s="861"/>
      <c r="LE868" s="861"/>
      <c r="LF868" s="861"/>
      <c r="LG868" s="861"/>
      <c r="LH868" s="861"/>
      <c r="LI868" s="861"/>
      <c r="LJ868" s="861"/>
      <c r="LK868" s="861"/>
      <c r="LL868" s="861"/>
      <c r="LM868" s="861"/>
      <c r="LN868" s="861"/>
      <c r="LO868" s="861"/>
      <c r="LP868" s="861"/>
      <c r="LQ868" s="861"/>
      <c r="LR868" s="861"/>
      <c r="LS868" s="861"/>
      <c r="LT868" s="861"/>
      <c r="LU868" s="861"/>
      <c r="LV868" s="861"/>
      <c r="LW868" s="861"/>
      <c r="LX868" s="861"/>
      <c r="LY868" s="861"/>
      <c r="LZ868" s="861"/>
      <c r="MA868" s="861"/>
      <c r="MB868" s="861"/>
      <c r="MC868" s="861"/>
      <c r="MD868" s="861"/>
      <c r="ME868" s="861"/>
      <c r="MF868" s="861"/>
      <c r="MG868" s="861"/>
      <c r="MH868" s="861"/>
      <c r="MI868" s="861"/>
      <c r="MJ868" s="861"/>
      <c r="MK868" s="861"/>
      <c r="ML868" s="861"/>
      <c r="MM868" s="861"/>
      <c r="MN868" s="861"/>
      <c r="MO868" s="861"/>
      <c r="MP868" s="861"/>
      <c r="MQ868" s="861"/>
      <c r="MR868" s="861"/>
      <c r="MS868" s="861"/>
      <c r="MT868" s="861"/>
      <c r="MU868" s="861"/>
      <c r="MV868" s="861"/>
      <c r="MW868" s="861"/>
      <c r="MX868" s="861"/>
      <c r="MY868" s="861"/>
      <c r="MZ868" s="861"/>
      <c r="NA868" s="861"/>
      <c r="NB868" s="861"/>
      <c r="NC868" s="861"/>
      <c r="ND868" s="861"/>
      <c r="NE868" s="861"/>
      <c r="NF868" s="861"/>
      <c r="NG868" s="861"/>
      <c r="NH868" s="861"/>
      <c r="NI868" s="861"/>
      <c r="NJ868" s="861"/>
      <c r="NK868" s="861"/>
      <c r="NL868" s="861"/>
      <c r="NM868" s="861"/>
      <c r="NN868" s="861"/>
      <c r="NO868" s="861"/>
      <c r="NP868" s="861"/>
      <c r="NQ868" s="861"/>
      <c r="NR868" s="861"/>
      <c r="NS868" s="861"/>
      <c r="NT868" s="861"/>
      <c r="NU868" s="861"/>
      <c r="NV868" s="861"/>
      <c r="NW868" s="861"/>
      <c r="NX868" s="861"/>
      <c r="NY868" s="861"/>
      <c r="NZ868" s="861"/>
      <c r="OA868" s="861"/>
      <c r="OB868" s="861"/>
      <c r="OC868" s="861"/>
      <c r="OD868" s="861"/>
      <c r="OE868" s="861"/>
      <c r="OF868" s="861"/>
      <c r="OG868" s="861"/>
      <c r="OH868" s="861"/>
      <c r="OI868" s="861"/>
      <c r="OJ868" s="861"/>
      <c r="OK868" s="861"/>
      <c r="OL868" s="861"/>
      <c r="OM868" s="861"/>
      <c r="ON868" s="861"/>
      <c r="OO868" s="861"/>
      <c r="OP868" s="861"/>
      <c r="OQ868" s="861"/>
      <c r="OR868" s="861"/>
      <c r="OS868" s="861"/>
      <c r="OT868" s="861"/>
      <c r="OU868" s="861"/>
      <c r="OV868" s="861"/>
      <c r="OW868" s="861"/>
      <c r="OX868" s="861"/>
      <c r="OY868" s="861"/>
      <c r="OZ868" s="861"/>
      <c r="PA868" s="861"/>
      <c r="PB868" s="861"/>
      <c r="PC868" s="861"/>
      <c r="PD868" s="861"/>
      <c r="PE868" s="861"/>
      <c r="PF868" s="861"/>
      <c r="PG868" s="861"/>
      <c r="PH868" s="861"/>
      <c r="PI868" s="861"/>
      <c r="PJ868" s="861"/>
      <c r="PK868" s="861"/>
      <c r="PL868" s="861"/>
      <c r="PM868" s="861"/>
      <c r="PN868" s="861"/>
      <c r="PO868" s="861"/>
      <c r="PP868" s="861"/>
      <c r="PQ868" s="861"/>
      <c r="PR868" s="861"/>
      <c r="PS868" s="861"/>
      <c r="PT868" s="861"/>
      <c r="PU868" s="861"/>
      <c r="PV868" s="861"/>
      <c r="PW868" s="861"/>
      <c r="PX868" s="861"/>
      <c r="PY868" s="861"/>
      <c r="PZ868" s="861"/>
      <c r="QA868" s="861"/>
      <c r="QB868" s="861"/>
      <c r="QC868" s="861"/>
      <c r="QD868" s="861"/>
      <c r="QE868" s="861"/>
      <c r="QF868" s="861"/>
      <c r="QG868" s="861"/>
      <c r="QH868" s="861"/>
      <c r="QI868" s="861"/>
      <c r="QJ868" s="861"/>
      <c r="QK868" s="861"/>
      <c r="QL868" s="861"/>
      <c r="QM868" s="861"/>
      <c r="QN868" s="861"/>
      <c r="QO868" s="861"/>
      <c r="QP868" s="861"/>
      <c r="QQ868" s="861"/>
      <c r="QR868" s="861"/>
      <c r="QS868" s="861"/>
      <c r="QT868" s="861"/>
      <c r="QU868" s="861"/>
      <c r="QV868" s="861"/>
      <c r="QW868" s="861"/>
      <c r="QX868" s="861"/>
      <c r="QY868" s="861"/>
      <c r="QZ868" s="861"/>
      <c r="RA868" s="861"/>
      <c r="RB868" s="861"/>
      <c r="RC868" s="861"/>
      <c r="RD868" s="861"/>
      <c r="RE868" s="861"/>
      <c r="RF868" s="861"/>
      <c r="RG868" s="861"/>
      <c r="RH868" s="861"/>
      <c r="RI868" s="861"/>
      <c r="RJ868" s="861"/>
      <c r="RK868" s="861"/>
      <c r="RL868" s="861"/>
      <c r="RM868" s="861"/>
      <c r="RN868" s="861"/>
      <c r="RO868" s="861"/>
      <c r="RP868" s="861"/>
      <c r="RQ868" s="861"/>
      <c r="RR868" s="861"/>
      <c r="RS868" s="861"/>
      <c r="RT868" s="861"/>
      <c r="RU868" s="861"/>
      <c r="RV868" s="861"/>
      <c r="RW868" s="861"/>
      <c r="RX868" s="861"/>
      <c r="RY868" s="861"/>
      <c r="RZ868" s="861"/>
      <c r="SA868" s="861"/>
      <c r="SB868" s="861"/>
      <c r="SC868" s="861"/>
      <c r="SD868" s="861"/>
      <c r="SE868" s="861"/>
      <c r="SF868" s="861"/>
      <c r="SG868" s="861"/>
      <c r="SH868" s="861"/>
      <c r="SI868" s="861"/>
      <c r="SJ868" s="861"/>
      <c r="SK868" s="861"/>
      <c r="SL868" s="861"/>
      <c r="SM868" s="861"/>
      <c r="SN868" s="861"/>
      <c r="SO868" s="861"/>
      <c r="SP868" s="861"/>
      <c r="SQ868" s="861"/>
      <c r="SR868" s="861"/>
      <c r="SS868" s="861"/>
      <c r="ST868" s="861"/>
      <c r="SU868" s="861"/>
      <c r="SV868" s="861"/>
      <c r="SW868" s="861"/>
      <c r="SX868" s="861"/>
      <c r="SY868" s="861"/>
      <c r="SZ868" s="861"/>
      <c r="TA868" s="861"/>
      <c r="TB868" s="861"/>
      <c r="TC868" s="861"/>
      <c r="TD868" s="861"/>
      <c r="TE868" s="861"/>
      <c r="TF868" s="861"/>
      <c r="TG868" s="861"/>
      <c r="TH868" s="861"/>
      <c r="TI868" s="861"/>
      <c r="TJ868" s="861"/>
      <c r="TK868" s="861"/>
      <c r="TL868" s="861"/>
      <c r="TM868" s="861"/>
      <c r="TN868" s="861"/>
      <c r="TO868" s="861"/>
      <c r="TP868" s="861"/>
      <c r="TQ868" s="861"/>
      <c r="TR868" s="861"/>
      <c r="TS868" s="861"/>
      <c r="TT868" s="861"/>
      <c r="TU868" s="861"/>
      <c r="TV868" s="861"/>
      <c r="TW868" s="861"/>
      <c r="TX868" s="861"/>
      <c r="TY868" s="861"/>
      <c r="TZ868" s="861"/>
      <c r="UA868" s="861"/>
      <c r="UB868" s="861"/>
      <c r="UC868" s="861"/>
      <c r="UD868" s="861"/>
      <c r="UE868" s="861"/>
      <c r="UF868" s="861"/>
      <c r="UG868" s="862"/>
    </row>
    <row r="869" spans="1:553" s="863" customFormat="1" ht="33" customHeight="1">
      <c r="A869" s="356"/>
      <c r="B869" s="356"/>
      <c r="C869" s="673" t="s">
        <v>23</v>
      </c>
      <c r="D869" s="397">
        <v>2</v>
      </c>
      <c r="E869" s="397">
        <v>212</v>
      </c>
      <c r="F869" s="673"/>
      <c r="G869" s="674" t="s">
        <v>33</v>
      </c>
      <c r="H869" s="675"/>
      <c r="I869" s="490">
        <v>228.8</v>
      </c>
      <c r="J869" s="797">
        <v>72000</v>
      </c>
      <c r="K869" s="857">
        <v>3</v>
      </c>
      <c r="L869" s="481">
        <f t="shared" si="127"/>
        <v>49420800</v>
      </c>
      <c r="M869" s="356"/>
      <c r="N869" s="356"/>
      <c r="O869" s="356"/>
      <c r="P869" s="356"/>
      <c r="Q869" s="610"/>
      <c r="R869" s="1452"/>
      <c r="S869" s="308"/>
      <c r="T869" s="308"/>
      <c r="U869" s="308"/>
      <c r="V869" s="308"/>
      <c r="W869" s="308"/>
      <c r="X869" s="308"/>
      <c r="Y869" s="308"/>
      <c r="Z869" s="604"/>
      <c r="AA869" s="308"/>
      <c r="AB869" s="308"/>
      <c r="AC869" s="449"/>
      <c r="AD869" s="449"/>
      <c r="AE869" s="449"/>
      <c r="AF869" s="449"/>
      <c r="AG869" s="449"/>
      <c r="AH869" s="449"/>
      <c r="AI869" s="449"/>
      <c r="AJ869" s="449"/>
      <c r="AK869" s="452"/>
      <c r="AL869" s="351"/>
      <c r="AM869" s="43"/>
      <c r="AN869" s="43"/>
      <c r="AO869" s="43"/>
      <c r="AP869" s="43"/>
      <c r="AQ869" s="43"/>
      <c r="AR869" s="43"/>
      <c r="AS869" s="43"/>
      <c r="AT869" s="43"/>
      <c r="AU869" s="43"/>
      <c r="AV869" s="43"/>
      <c r="AW869" s="43"/>
      <c r="AX869" s="43"/>
      <c r="AY869" s="43"/>
      <c r="AZ869" s="43"/>
      <c r="BA869" s="43"/>
      <c r="BB869" s="43"/>
      <c r="BC869" s="43"/>
      <c r="BD869" s="43"/>
      <c r="BE869" s="43"/>
      <c r="BF869" s="43"/>
      <c r="BG869" s="43"/>
      <c r="BH869" s="43"/>
      <c r="BI869" s="43"/>
      <c r="BJ869" s="43"/>
      <c r="BK869" s="43"/>
      <c r="BL869" s="43"/>
      <c r="BM869" s="43"/>
      <c r="BN869" s="43"/>
      <c r="BO869" s="43"/>
      <c r="BP869" s="861"/>
      <c r="BQ869" s="861"/>
      <c r="BR869" s="861"/>
      <c r="BS869" s="861"/>
      <c r="BT869" s="861"/>
      <c r="BU869" s="861"/>
      <c r="BV869" s="861"/>
      <c r="BW869" s="861"/>
      <c r="BX869" s="861"/>
      <c r="BY869" s="861"/>
      <c r="BZ869" s="861"/>
      <c r="CA869" s="861"/>
      <c r="CB869" s="861"/>
      <c r="CC869" s="861"/>
      <c r="CD869" s="861"/>
      <c r="CE869" s="861"/>
      <c r="CF869" s="861"/>
      <c r="CG869" s="861"/>
      <c r="CH869" s="861"/>
      <c r="CI869" s="861"/>
      <c r="CJ869" s="861"/>
      <c r="CK869" s="861"/>
      <c r="CL869" s="861"/>
      <c r="CM869" s="861"/>
      <c r="CN869" s="861"/>
      <c r="CO869" s="861"/>
      <c r="CP869" s="861"/>
      <c r="CQ869" s="861"/>
      <c r="CR869" s="861"/>
      <c r="CS869" s="861"/>
      <c r="CT869" s="861"/>
      <c r="CU869" s="861"/>
      <c r="CV869" s="861"/>
      <c r="CW869" s="861"/>
      <c r="CX869" s="861"/>
      <c r="CY869" s="861"/>
      <c r="CZ869" s="861"/>
      <c r="DA869" s="861"/>
      <c r="DB869" s="861"/>
      <c r="DC869" s="861"/>
      <c r="DD869" s="861"/>
      <c r="DE869" s="861"/>
      <c r="DF869" s="861"/>
      <c r="DG869" s="861"/>
      <c r="DH869" s="861"/>
      <c r="DI869" s="861"/>
      <c r="DJ869" s="861"/>
      <c r="DK869" s="861"/>
      <c r="DL869" s="861"/>
      <c r="DM869" s="861"/>
      <c r="DN869" s="861"/>
      <c r="DO869" s="861"/>
      <c r="DP869" s="861"/>
      <c r="DQ869" s="861"/>
      <c r="DR869" s="861"/>
      <c r="DS869" s="861"/>
      <c r="DT869" s="861"/>
      <c r="DU869" s="861"/>
      <c r="DV869" s="861"/>
      <c r="DW869" s="861"/>
      <c r="DX869" s="861"/>
      <c r="DY869" s="861"/>
      <c r="DZ869" s="861"/>
      <c r="EA869" s="861"/>
      <c r="EB869" s="861"/>
      <c r="EC869" s="861"/>
      <c r="ED869" s="861"/>
      <c r="EE869" s="861"/>
      <c r="EF869" s="861"/>
      <c r="EG869" s="861"/>
      <c r="EH869" s="861"/>
      <c r="EI869" s="861"/>
      <c r="EJ869" s="861"/>
      <c r="EK869" s="861"/>
      <c r="EL869" s="861"/>
      <c r="EM869" s="861"/>
      <c r="EN869" s="861"/>
      <c r="EO869" s="861"/>
      <c r="EP869" s="861"/>
      <c r="EQ869" s="861"/>
      <c r="ER869" s="861"/>
      <c r="ES869" s="861"/>
      <c r="ET869" s="861"/>
      <c r="EU869" s="861"/>
      <c r="EV869" s="861"/>
      <c r="EW869" s="861"/>
      <c r="EX869" s="861"/>
      <c r="EY869" s="861"/>
      <c r="EZ869" s="861"/>
      <c r="FA869" s="861"/>
      <c r="FB869" s="861"/>
      <c r="FC869" s="861"/>
      <c r="FD869" s="861"/>
      <c r="FE869" s="861"/>
      <c r="FF869" s="861"/>
      <c r="FG869" s="861"/>
      <c r="FH869" s="861"/>
      <c r="FI869" s="861"/>
      <c r="FJ869" s="861"/>
      <c r="FK869" s="861"/>
      <c r="FL869" s="861"/>
      <c r="FM869" s="861"/>
      <c r="FN869" s="861"/>
      <c r="FO869" s="861"/>
      <c r="FP869" s="861"/>
      <c r="FQ869" s="861"/>
      <c r="FR869" s="861"/>
      <c r="FS869" s="861"/>
      <c r="FT869" s="861"/>
      <c r="FU869" s="861"/>
      <c r="FV869" s="861"/>
      <c r="FW869" s="861"/>
      <c r="FX869" s="861"/>
      <c r="FY869" s="861"/>
      <c r="FZ869" s="861"/>
      <c r="GA869" s="861"/>
      <c r="GB869" s="861"/>
      <c r="GC869" s="861"/>
      <c r="GD869" s="861"/>
      <c r="GE869" s="861"/>
      <c r="GF869" s="861"/>
      <c r="GG869" s="861"/>
      <c r="GH869" s="861"/>
      <c r="GI869" s="861"/>
      <c r="GJ869" s="861"/>
      <c r="GK869" s="861"/>
      <c r="GL869" s="861"/>
      <c r="GM869" s="861"/>
      <c r="GN869" s="861"/>
      <c r="GO869" s="861"/>
      <c r="GP869" s="861"/>
      <c r="GQ869" s="861"/>
      <c r="GR869" s="861"/>
      <c r="GS869" s="861"/>
      <c r="GT869" s="861"/>
      <c r="GU869" s="861"/>
      <c r="GV869" s="861"/>
      <c r="GW869" s="861"/>
      <c r="GX869" s="861"/>
      <c r="GY869" s="861"/>
      <c r="GZ869" s="861"/>
      <c r="HA869" s="861"/>
      <c r="HB869" s="861"/>
      <c r="HC869" s="861"/>
      <c r="HD869" s="861"/>
      <c r="HE869" s="861"/>
      <c r="HF869" s="861"/>
      <c r="HG869" s="861"/>
      <c r="HH869" s="861"/>
      <c r="HI869" s="861"/>
      <c r="HJ869" s="861"/>
      <c r="HK869" s="861"/>
      <c r="HL869" s="861"/>
      <c r="HM869" s="861"/>
      <c r="HN869" s="861"/>
      <c r="HO869" s="861"/>
      <c r="HP869" s="861"/>
      <c r="HQ869" s="861"/>
      <c r="HR869" s="861"/>
      <c r="HS869" s="861"/>
      <c r="HT869" s="861"/>
      <c r="HU869" s="861"/>
      <c r="HV869" s="861"/>
      <c r="HW869" s="861"/>
      <c r="HX869" s="861"/>
      <c r="HY869" s="861"/>
      <c r="HZ869" s="861"/>
      <c r="IA869" s="861"/>
      <c r="IB869" s="861"/>
      <c r="IC869" s="861"/>
      <c r="ID869" s="861"/>
      <c r="IE869" s="861"/>
      <c r="IF869" s="861"/>
      <c r="IG869" s="861"/>
      <c r="IH869" s="861"/>
      <c r="II869" s="861"/>
      <c r="IJ869" s="861"/>
      <c r="IK869" s="861"/>
      <c r="IL869" s="861"/>
      <c r="IM869" s="861"/>
      <c r="IN869" s="861"/>
      <c r="IO869" s="861"/>
      <c r="IP869" s="861"/>
      <c r="IQ869" s="861"/>
      <c r="IR869" s="861"/>
      <c r="IS869" s="861"/>
      <c r="IT869" s="861"/>
      <c r="IU869" s="861"/>
      <c r="IV869" s="861"/>
      <c r="IW869" s="861"/>
      <c r="IX869" s="861"/>
      <c r="IY869" s="861"/>
      <c r="IZ869" s="861"/>
      <c r="JA869" s="861"/>
      <c r="JB869" s="861"/>
      <c r="JC869" s="861"/>
      <c r="JD869" s="861"/>
      <c r="JE869" s="861"/>
      <c r="JF869" s="861"/>
      <c r="JG869" s="861"/>
      <c r="JH869" s="861"/>
      <c r="JI869" s="861"/>
      <c r="JJ869" s="861"/>
      <c r="JK869" s="861"/>
      <c r="JL869" s="861"/>
      <c r="JM869" s="861"/>
      <c r="JN869" s="861"/>
      <c r="JO869" s="861"/>
      <c r="JP869" s="861"/>
      <c r="JQ869" s="861"/>
      <c r="JR869" s="861"/>
      <c r="JS869" s="861"/>
      <c r="JT869" s="861"/>
      <c r="JU869" s="861"/>
      <c r="JV869" s="861"/>
      <c r="JW869" s="861"/>
      <c r="JX869" s="861"/>
      <c r="JY869" s="861"/>
      <c r="JZ869" s="861"/>
      <c r="KA869" s="861"/>
      <c r="KB869" s="861"/>
      <c r="KC869" s="861"/>
      <c r="KD869" s="861"/>
      <c r="KE869" s="861"/>
      <c r="KF869" s="861"/>
      <c r="KG869" s="861"/>
      <c r="KH869" s="861"/>
      <c r="KI869" s="861"/>
      <c r="KJ869" s="861"/>
      <c r="KK869" s="861"/>
      <c r="KL869" s="861"/>
      <c r="KM869" s="861"/>
      <c r="KN869" s="861"/>
      <c r="KO869" s="861"/>
      <c r="KP869" s="861"/>
      <c r="KQ869" s="861"/>
      <c r="KR869" s="861"/>
      <c r="KS869" s="861"/>
      <c r="KT869" s="861"/>
      <c r="KU869" s="861"/>
      <c r="KV869" s="861"/>
      <c r="KW869" s="861"/>
      <c r="KX869" s="861"/>
      <c r="KY869" s="861"/>
      <c r="KZ869" s="861"/>
      <c r="LA869" s="861"/>
      <c r="LB869" s="861"/>
      <c r="LC869" s="861"/>
      <c r="LD869" s="861"/>
      <c r="LE869" s="861"/>
      <c r="LF869" s="861"/>
      <c r="LG869" s="861"/>
      <c r="LH869" s="861"/>
      <c r="LI869" s="861"/>
      <c r="LJ869" s="861"/>
      <c r="LK869" s="861"/>
      <c r="LL869" s="861"/>
      <c r="LM869" s="861"/>
      <c r="LN869" s="861"/>
      <c r="LO869" s="861"/>
      <c r="LP869" s="861"/>
      <c r="LQ869" s="861"/>
      <c r="LR869" s="861"/>
      <c r="LS869" s="861"/>
      <c r="LT869" s="861"/>
      <c r="LU869" s="861"/>
      <c r="LV869" s="861"/>
      <c r="LW869" s="861"/>
      <c r="LX869" s="861"/>
      <c r="LY869" s="861"/>
      <c r="LZ869" s="861"/>
      <c r="MA869" s="861"/>
      <c r="MB869" s="861"/>
      <c r="MC869" s="861"/>
      <c r="MD869" s="861"/>
      <c r="ME869" s="861"/>
      <c r="MF869" s="861"/>
      <c r="MG869" s="861"/>
      <c r="MH869" s="861"/>
      <c r="MI869" s="861"/>
      <c r="MJ869" s="861"/>
      <c r="MK869" s="861"/>
      <c r="ML869" s="861"/>
      <c r="MM869" s="861"/>
      <c r="MN869" s="861"/>
      <c r="MO869" s="861"/>
      <c r="MP869" s="861"/>
      <c r="MQ869" s="861"/>
      <c r="MR869" s="861"/>
      <c r="MS869" s="861"/>
      <c r="MT869" s="861"/>
      <c r="MU869" s="861"/>
      <c r="MV869" s="861"/>
      <c r="MW869" s="861"/>
      <c r="MX869" s="861"/>
      <c r="MY869" s="861"/>
      <c r="MZ869" s="861"/>
      <c r="NA869" s="861"/>
      <c r="NB869" s="861"/>
      <c r="NC869" s="861"/>
      <c r="ND869" s="861"/>
      <c r="NE869" s="861"/>
      <c r="NF869" s="861"/>
      <c r="NG869" s="861"/>
      <c r="NH869" s="861"/>
      <c r="NI869" s="861"/>
      <c r="NJ869" s="861"/>
      <c r="NK869" s="861"/>
      <c r="NL869" s="861"/>
      <c r="NM869" s="861"/>
      <c r="NN869" s="861"/>
      <c r="NO869" s="861"/>
      <c r="NP869" s="861"/>
      <c r="NQ869" s="861"/>
      <c r="NR869" s="861"/>
      <c r="NS869" s="861"/>
      <c r="NT869" s="861"/>
      <c r="NU869" s="861"/>
      <c r="NV869" s="861"/>
      <c r="NW869" s="861"/>
      <c r="NX869" s="861"/>
      <c r="NY869" s="861"/>
      <c r="NZ869" s="861"/>
      <c r="OA869" s="861"/>
      <c r="OB869" s="861"/>
      <c r="OC869" s="861"/>
      <c r="OD869" s="861"/>
      <c r="OE869" s="861"/>
      <c r="OF869" s="861"/>
      <c r="OG869" s="861"/>
      <c r="OH869" s="861"/>
      <c r="OI869" s="861"/>
      <c r="OJ869" s="861"/>
      <c r="OK869" s="861"/>
      <c r="OL869" s="861"/>
      <c r="OM869" s="861"/>
      <c r="ON869" s="861"/>
      <c r="OO869" s="861"/>
      <c r="OP869" s="861"/>
      <c r="OQ869" s="861"/>
      <c r="OR869" s="861"/>
      <c r="OS869" s="861"/>
      <c r="OT869" s="861"/>
      <c r="OU869" s="861"/>
      <c r="OV869" s="861"/>
      <c r="OW869" s="861"/>
      <c r="OX869" s="861"/>
      <c r="OY869" s="861"/>
      <c r="OZ869" s="861"/>
      <c r="PA869" s="861"/>
      <c r="PB869" s="861"/>
      <c r="PC869" s="861"/>
      <c r="PD869" s="861"/>
      <c r="PE869" s="861"/>
      <c r="PF869" s="861"/>
      <c r="PG869" s="861"/>
      <c r="PH869" s="861"/>
      <c r="PI869" s="861"/>
      <c r="PJ869" s="861"/>
      <c r="PK869" s="861"/>
      <c r="PL869" s="861"/>
      <c r="PM869" s="861"/>
      <c r="PN869" s="861"/>
      <c r="PO869" s="861"/>
      <c r="PP869" s="861"/>
      <c r="PQ869" s="861"/>
      <c r="PR869" s="861"/>
      <c r="PS869" s="861"/>
      <c r="PT869" s="861"/>
      <c r="PU869" s="861"/>
      <c r="PV869" s="861"/>
      <c r="PW869" s="861"/>
      <c r="PX869" s="861"/>
      <c r="PY869" s="861"/>
      <c r="PZ869" s="861"/>
      <c r="QA869" s="861"/>
      <c r="QB869" s="861"/>
      <c r="QC869" s="861"/>
      <c r="QD869" s="861"/>
      <c r="QE869" s="861"/>
      <c r="QF869" s="861"/>
      <c r="QG869" s="861"/>
      <c r="QH869" s="861"/>
      <c r="QI869" s="861"/>
      <c r="QJ869" s="861"/>
      <c r="QK869" s="861"/>
      <c r="QL869" s="861"/>
      <c r="QM869" s="861"/>
      <c r="QN869" s="861"/>
      <c r="QO869" s="861"/>
      <c r="QP869" s="861"/>
      <c r="QQ869" s="861"/>
      <c r="QR869" s="861"/>
      <c r="QS869" s="861"/>
      <c r="QT869" s="861"/>
      <c r="QU869" s="861"/>
      <c r="QV869" s="861"/>
      <c r="QW869" s="861"/>
      <c r="QX869" s="861"/>
      <c r="QY869" s="861"/>
      <c r="QZ869" s="861"/>
      <c r="RA869" s="861"/>
      <c r="RB869" s="861"/>
      <c r="RC869" s="861"/>
      <c r="RD869" s="861"/>
      <c r="RE869" s="861"/>
      <c r="RF869" s="861"/>
      <c r="RG869" s="861"/>
      <c r="RH869" s="861"/>
      <c r="RI869" s="861"/>
      <c r="RJ869" s="861"/>
      <c r="RK869" s="861"/>
      <c r="RL869" s="861"/>
      <c r="RM869" s="861"/>
      <c r="RN869" s="861"/>
      <c r="RO869" s="861"/>
      <c r="RP869" s="861"/>
      <c r="RQ869" s="861"/>
      <c r="RR869" s="861"/>
      <c r="RS869" s="861"/>
      <c r="RT869" s="861"/>
      <c r="RU869" s="861"/>
      <c r="RV869" s="861"/>
      <c r="RW869" s="861"/>
      <c r="RX869" s="861"/>
      <c r="RY869" s="861"/>
      <c r="RZ869" s="861"/>
      <c r="SA869" s="861"/>
      <c r="SB869" s="861"/>
      <c r="SC869" s="861"/>
      <c r="SD869" s="861"/>
      <c r="SE869" s="861"/>
      <c r="SF869" s="861"/>
      <c r="SG869" s="861"/>
      <c r="SH869" s="861"/>
      <c r="SI869" s="861"/>
      <c r="SJ869" s="861"/>
      <c r="SK869" s="861"/>
      <c r="SL869" s="861"/>
      <c r="SM869" s="861"/>
      <c r="SN869" s="861"/>
      <c r="SO869" s="861"/>
      <c r="SP869" s="861"/>
      <c r="SQ869" s="861"/>
      <c r="SR869" s="861"/>
      <c r="SS869" s="861"/>
      <c r="ST869" s="861"/>
      <c r="SU869" s="861"/>
      <c r="SV869" s="861"/>
      <c r="SW869" s="861"/>
      <c r="SX869" s="861"/>
      <c r="SY869" s="861"/>
      <c r="SZ869" s="861"/>
      <c r="TA869" s="861"/>
      <c r="TB869" s="861"/>
      <c r="TC869" s="861"/>
      <c r="TD869" s="861"/>
      <c r="TE869" s="861"/>
      <c r="TF869" s="861"/>
      <c r="TG869" s="861"/>
      <c r="TH869" s="861"/>
      <c r="TI869" s="861"/>
      <c r="TJ869" s="861"/>
      <c r="TK869" s="861"/>
      <c r="TL869" s="861"/>
      <c r="TM869" s="861"/>
      <c r="TN869" s="861"/>
      <c r="TO869" s="861"/>
      <c r="TP869" s="861"/>
      <c r="TQ869" s="861"/>
      <c r="TR869" s="861"/>
      <c r="TS869" s="861"/>
      <c r="TT869" s="861"/>
      <c r="TU869" s="861"/>
      <c r="TV869" s="861"/>
      <c r="TW869" s="861"/>
      <c r="TX869" s="861"/>
      <c r="TY869" s="861"/>
      <c r="TZ869" s="861"/>
      <c r="UA869" s="861"/>
      <c r="UB869" s="861"/>
      <c r="UC869" s="861"/>
      <c r="UD869" s="861"/>
      <c r="UE869" s="861"/>
      <c r="UF869" s="861"/>
      <c r="UG869" s="862"/>
    </row>
    <row r="870" spans="1:553" s="863" customFormat="1" ht="33" customHeight="1">
      <c r="A870" s="356"/>
      <c r="B870" s="356"/>
      <c r="C870" s="673" t="s">
        <v>23</v>
      </c>
      <c r="D870" s="397">
        <v>2</v>
      </c>
      <c r="E870" s="397">
        <v>231</v>
      </c>
      <c r="F870" s="673"/>
      <c r="G870" s="674" t="s">
        <v>33</v>
      </c>
      <c r="H870" s="675"/>
      <c r="I870" s="490">
        <v>164.9</v>
      </c>
      <c r="J870" s="797">
        <v>72000</v>
      </c>
      <c r="K870" s="857">
        <v>3</v>
      </c>
      <c r="L870" s="481">
        <f t="shared" si="127"/>
        <v>35618400</v>
      </c>
      <c r="M870" s="356"/>
      <c r="N870" s="356"/>
      <c r="O870" s="356"/>
      <c r="P870" s="356"/>
      <c r="Q870" s="610"/>
      <c r="R870" s="1452"/>
      <c r="S870" s="308"/>
      <c r="T870" s="308"/>
      <c r="U870" s="308"/>
      <c r="V870" s="308"/>
      <c r="W870" s="308"/>
      <c r="X870" s="308"/>
      <c r="Y870" s="308"/>
      <c r="Z870" s="604"/>
      <c r="AA870" s="308"/>
      <c r="AB870" s="308"/>
      <c r="AC870" s="449"/>
      <c r="AD870" s="449"/>
      <c r="AE870" s="449"/>
      <c r="AF870" s="449"/>
      <c r="AG870" s="449"/>
      <c r="AH870" s="449"/>
      <c r="AI870" s="449"/>
      <c r="AJ870" s="449"/>
      <c r="AK870" s="452"/>
      <c r="AL870" s="351"/>
      <c r="AM870" s="43"/>
      <c r="AN870" s="43"/>
      <c r="AO870" s="43"/>
      <c r="AP870" s="43"/>
      <c r="AQ870" s="43"/>
      <c r="AR870" s="43"/>
      <c r="AS870" s="43"/>
      <c r="AT870" s="43"/>
      <c r="AU870" s="43"/>
      <c r="AV870" s="43"/>
      <c r="AW870" s="43"/>
      <c r="AX870" s="43"/>
      <c r="AY870" s="43"/>
      <c r="AZ870" s="43"/>
      <c r="BA870" s="43"/>
      <c r="BB870" s="43"/>
      <c r="BC870" s="43"/>
      <c r="BD870" s="43"/>
      <c r="BE870" s="43"/>
      <c r="BF870" s="43"/>
      <c r="BG870" s="43"/>
      <c r="BH870" s="43"/>
      <c r="BI870" s="43"/>
      <c r="BJ870" s="43"/>
      <c r="BK870" s="43"/>
      <c r="BL870" s="43"/>
      <c r="BM870" s="43"/>
      <c r="BN870" s="43"/>
      <c r="BO870" s="43"/>
      <c r="BP870" s="861"/>
      <c r="BQ870" s="861"/>
      <c r="BR870" s="861"/>
      <c r="BS870" s="861"/>
      <c r="BT870" s="861"/>
      <c r="BU870" s="861"/>
      <c r="BV870" s="861"/>
      <c r="BW870" s="861"/>
      <c r="BX870" s="861"/>
      <c r="BY870" s="861"/>
      <c r="BZ870" s="861"/>
      <c r="CA870" s="861"/>
      <c r="CB870" s="861"/>
      <c r="CC870" s="861"/>
      <c r="CD870" s="861"/>
      <c r="CE870" s="861"/>
      <c r="CF870" s="861"/>
      <c r="CG870" s="861"/>
      <c r="CH870" s="861"/>
      <c r="CI870" s="861"/>
      <c r="CJ870" s="861"/>
      <c r="CK870" s="861"/>
      <c r="CL870" s="861"/>
      <c r="CM870" s="861"/>
      <c r="CN870" s="861"/>
      <c r="CO870" s="861"/>
      <c r="CP870" s="861"/>
      <c r="CQ870" s="861"/>
      <c r="CR870" s="861"/>
      <c r="CS870" s="861"/>
      <c r="CT870" s="861"/>
      <c r="CU870" s="861"/>
      <c r="CV870" s="861"/>
      <c r="CW870" s="861"/>
      <c r="CX870" s="861"/>
      <c r="CY870" s="861"/>
      <c r="CZ870" s="861"/>
      <c r="DA870" s="861"/>
      <c r="DB870" s="861"/>
      <c r="DC870" s="861"/>
      <c r="DD870" s="861"/>
      <c r="DE870" s="861"/>
      <c r="DF870" s="861"/>
      <c r="DG870" s="861"/>
      <c r="DH870" s="861"/>
      <c r="DI870" s="861"/>
      <c r="DJ870" s="861"/>
      <c r="DK870" s="861"/>
      <c r="DL870" s="861"/>
      <c r="DM870" s="861"/>
      <c r="DN870" s="861"/>
      <c r="DO870" s="861"/>
      <c r="DP870" s="861"/>
      <c r="DQ870" s="861"/>
      <c r="DR870" s="861"/>
      <c r="DS870" s="861"/>
      <c r="DT870" s="861"/>
      <c r="DU870" s="861"/>
      <c r="DV870" s="861"/>
      <c r="DW870" s="861"/>
      <c r="DX870" s="861"/>
      <c r="DY870" s="861"/>
      <c r="DZ870" s="861"/>
      <c r="EA870" s="861"/>
      <c r="EB870" s="861"/>
      <c r="EC870" s="861"/>
      <c r="ED870" s="861"/>
      <c r="EE870" s="861"/>
      <c r="EF870" s="861"/>
      <c r="EG870" s="861"/>
      <c r="EH870" s="861"/>
      <c r="EI870" s="861"/>
      <c r="EJ870" s="861"/>
      <c r="EK870" s="861"/>
      <c r="EL870" s="861"/>
      <c r="EM870" s="861"/>
      <c r="EN870" s="861"/>
      <c r="EO870" s="861"/>
      <c r="EP870" s="861"/>
      <c r="EQ870" s="861"/>
      <c r="ER870" s="861"/>
      <c r="ES870" s="861"/>
      <c r="ET870" s="861"/>
      <c r="EU870" s="861"/>
      <c r="EV870" s="861"/>
      <c r="EW870" s="861"/>
      <c r="EX870" s="861"/>
      <c r="EY870" s="861"/>
      <c r="EZ870" s="861"/>
      <c r="FA870" s="861"/>
      <c r="FB870" s="861"/>
      <c r="FC870" s="861"/>
      <c r="FD870" s="861"/>
      <c r="FE870" s="861"/>
      <c r="FF870" s="861"/>
      <c r="FG870" s="861"/>
      <c r="FH870" s="861"/>
      <c r="FI870" s="861"/>
      <c r="FJ870" s="861"/>
      <c r="FK870" s="861"/>
      <c r="FL870" s="861"/>
      <c r="FM870" s="861"/>
      <c r="FN870" s="861"/>
      <c r="FO870" s="861"/>
      <c r="FP870" s="861"/>
      <c r="FQ870" s="861"/>
      <c r="FR870" s="861"/>
      <c r="FS870" s="861"/>
      <c r="FT870" s="861"/>
      <c r="FU870" s="861"/>
      <c r="FV870" s="861"/>
      <c r="FW870" s="861"/>
      <c r="FX870" s="861"/>
      <c r="FY870" s="861"/>
      <c r="FZ870" s="861"/>
      <c r="GA870" s="861"/>
      <c r="GB870" s="861"/>
      <c r="GC870" s="861"/>
      <c r="GD870" s="861"/>
      <c r="GE870" s="861"/>
      <c r="GF870" s="861"/>
      <c r="GG870" s="861"/>
      <c r="GH870" s="861"/>
      <c r="GI870" s="861"/>
      <c r="GJ870" s="861"/>
      <c r="GK870" s="861"/>
      <c r="GL870" s="861"/>
      <c r="GM870" s="861"/>
      <c r="GN870" s="861"/>
      <c r="GO870" s="861"/>
      <c r="GP870" s="861"/>
      <c r="GQ870" s="861"/>
      <c r="GR870" s="861"/>
      <c r="GS870" s="861"/>
      <c r="GT870" s="861"/>
      <c r="GU870" s="861"/>
      <c r="GV870" s="861"/>
      <c r="GW870" s="861"/>
      <c r="GX870" s="861"/>
      <c r="GY870" s="861"/>
      <c r="GZ870" s="861"/>
      <c r="HA870" s="861"/>
      <c r="HB870" s="861"/>
      <c r="HC870" s="861"/>
      <c r="HD870" s="861"/>
      <c r="HE870" s="861"/>
      <c r="HF870" s="861"/>
      <c r="HG870" s="861"/>
      <c r="HH870" s="861"/>
      <c r="HI870" s="861"/>
      <c r="HJ870" s="861"/>
      <c r="HK870" s="861"/>
      <c r="HL870" s="861"/>
      <c r="HM870" s="861"/>
      <c r="HN870" s="861"/>
      <c r="HO870" s="861"/>
      <c r="HP870" s="861"/>
      <c r="HQ870" s="861"/>
      <c r="HR870" s="861"/>
      <c r="HS870" s="861"/>
      <c r="HT870" s="861"/>
      <c r="HU870" s="861"/>
      <c r="HV870" s="861"/>
      <c r="HW870" s="861"/>
      <c r="HX870" s="861"/>
      <c r="HY870" s="861"/>
      <c r="HZ870" s="861"/>
      <c r="IA870" s="861"/>
      <c r="IB870" s="861"/>
      <c r="IC870" s="861"/>
      <c r="ID870" s="861"/>
      <c r="IE870" s="861"/>
      <c r="IF870" s="861"/>
      <c r="IG870" s="861"/>
      <c r="IH870" s="861"/>
      <c r="II870" s="861"/>
      <c r="IJ870" s="861"/>
      <c r="IK870" s="861"/>
      <c r="IL870" s="861"/>
      <c r="IM870" s="861"/>
      <c r="IN870" s="861"/>
      <c r="IO870" s="861"/>
      <c r="IP870" s="861"/>
      <c r="IQ870" s="861"/>
      <c r="IR870" s="861"/>
      <c r="IS870" s="861"/>
      <c r="IT870" s="861"/>
      <c r="IU870" s="861"/>
      <c r="IV870" s="861"/>
      <c r="IW870" s="861"/>
      <c r="IX870" s="861"/>
      <c r="IY870" s="861"/>
      <c r="IZ870" s="861"/>
      <c r="JA870" s="861"/>
      <c r="JB870" s="861"/>
      <c r="JC870" s="861"/>
      <c r="JD870" s="861"/>
      <c r="JE870" s="861"/>
      <c r="JF870" s="861"/>
      <c r="JG870" s="861"/>
      <c r="JH870" s="861"/>
      <c r="JI870" s="861"/>
      <c r="JJ870" s="861"/>
      <c r="JK870" s="861"/>
      <c r="JL870" s="861"/>
      <c r="JM870" s="861"/>
      <c r="JN870" s="861"/>
      <c r="JO870" s="861"/>
      <c r="JP870" s="861"/>
      <c r="JQ870" s="861"/>
      <c r="JR870" s="861"/>
      <c r="JS870" s="861"/>
      <c r="JT870" s="861"/>
      <c r="JU870" s="861"/>
      <c r="JV870" s="861"/>
      <c r="JW870" s="861"/>
      <c r="JX870" s="861"/>
      <c r="JY870" s="861"/>
      <c r="JZ870" s="861"/>
      <c r="KA870" s="861"/>
      <c r="KB870" s="861"/>
      <c r="KC870" s="861"/>
      <c r="KD870" s="861"/>
      <c r="KE870" s="861"/>
      <c r="KF870" s="861"/>
      <c r="KG870" s="861"/>
      <c r="KH870" s="861"/>
      <c r="KI870" s="861"/>
      <c r="KJ870" s="861"/>
      <c r="KK870" s="861"/>
      <c r="KL870" s="861"/>
      <c r="KM870" s="861"/>
      <c r="KN870" s="861"/>
      <c r="KO870" s="861"/>
      <c r="KP870" s="861"/>
      <c r="KQ870" s="861"/>
      <c r="KR870" s="861"/>
      <c r="KS870" s="861"/>
      <c r="KT870" s="861"/>
      <c r="KU870" s="861"/>
      <c r="KV870" s="861"/>
      <c r="KW870" s="861"/>
      <c r="KX870" s="861"/>
      <c r="KY870" s="861"/>
      <c r="KZ870" s="861"/>
      <c r="LA870" s="861"/>
      <c r="LB870" s="861"/>
      <c r="LC870" s="861"/>
      <c r="LD870" s="861"/>
      <c r="LE870" s="861"/>
      <c r="LF870" s="861"/>
      <c r="LG870" s="861"/>
      <c r="LH870" s="861"/>
      <c r="LI870" s="861"/>
      <c r="LJ870" s="861"/>
      <c r="LK870" s="861"/>
      <c r="LL870" s="861"/>
      <c r="LM870" s="861"/>
      <c r="LN870" s="861"/>
      <c r="LO870" s="861"/>
      <c r="LP870" s="861"/>
      <c r="LQ870" s="861"/>
      <c r="LR870" s="861"/>
      <c r="LS870" s="861"/>
      <c r="LT870" s="861"/>
      <c r="LU870" s="861"/>
      <c r="LV870" s="861"/>
      <c r="LW870" s="861"/>
      <c r="LX870" s="861"/>
      <c r="LY870" s="861"/>
      <c r="LZ870" s="861"/>
      <c r="MA870" s="861"/>
      <c r="MB870" s="861"/>
      <c r="MC870" s="861"/>
      <c r="MD870" s="861"/>
      <c r="ME870" s="861"/>
      <c r="MF870" s="861"/>
      <c r="MG870" s="861"/>
      <c r="MH870" s="861"/>
      <c r="MI870" s="861"/>
      <c r="MJ870" s="861"/>
      <c r="MK870" s="861"/>
      <c r="ML870" s="861"/>
      <c r="MM870" s="861"/>
      <c r="MN870" s="861"/>
      <c r="MO870" s="861"/>
      <c r="MP870" s="861"/>
      <c r="MQ870" s="861"/>
      <c r="MR870" s="861"/>
      <c r="MS870" s="861"/>
      <c r="MT870" s="861"/>
      <c r="MU870" s="861"/>
      <c r="MV870" s="861"/>
      <c r="MW870" s="861"/>
      <c r="MX870" s="861"/>
      <c r="MY870" s="861"/>
      <c r="MZ870" s="861"/>
      <c r="NA870" s="861"/>
      <c r="NB870" s="861"/>
      <c r="NC870" s="861"/>
      <c r="ND870" s="861"/>
      <c r="NE870" s="861"/>
      <c r="NF870" s="861"/>
      <c r="NG870" s="861"/>
      <c r="NH870" s="861"/>
      <c r="NI870" s="861"/>
      <c r="NJ870" s="861"/>
      <c r="NK870" s="861"/>
      <c r="NL870" s="861"/>
      <c r="NM870" s="861"/>
      <c r="NN870" s="861"/>
      <c r="NO870" s="861"/>
      <c r="NP870" s="861"/>
      <c r="NQ870" s="861"/>
      <c r="NR870" s="861"/>
      <c r="NS870" s="861"/>
      <c r="NT870" s="861"/>
      <c r="NU870" s="861"/>
      <c r="NV870" s="861"/>
      <c r="NW870" s="861"/>
      <c r="NX870" s="861"/>
      <c r="NY870" s="861"/>
      <c r="NZ870" s="861"/>
      <c r="OA870" s="861"/>
      <c r="OB870" s="861"/>
      <c r="OC870" s="861"/>
      <c r="OD870" s="861"/>
      <c r="OE870" s="861"/>
      <c r="OF870" s="861"/>
      <c r="OG870" s="861"/>
      <c r="OH870" s="861"/>
      <c r="OI870" s="861"/>
      <c r="OJ870" s="861"/>
      <c r="OK870" s="861"/>
      <c r="OL870" s="861"/>
      <c r="OM870" s="861"/>
      <c r="ON870" s="861"/>
      <c r="OO870" s="861"/>
      <c r="OP870" s="861"/>
      <c r="OQ870" s="861"/>
      <c r="OR870" s="861"/>
      <c r="OS870" s="861"/>
      <c r="OT870" s="861"/>
      <c r="OU870" s="861"/>
      <c r="OV870" s="861"/>
      <c r="OW870" s="861"/>
      <c r="OX870" s="861"/>
      <c r="OY870" s="861"/>
      <c r="OZ870" s="861"/>
      <c r="PA870" s="861"/>
      <c r="PB870" s="861"/>
      <c r="PC870" s="861"/>
      <c r="PD870" s="861"/>
      <c r="PE870" s="861"/>
      <c r="PF870" s="861"/>
      <c r="PG870" s="861"/>
      <c r="PH870" s="861"/>
      <c r="PI870" s="861"/>
      <c r="PJ870" s="861"/>
      <c r="PK870" s="861"/>
      <c r="PL870" s="861"/>
      <c r="PM870" s="861"/>
      <c r="PN870" s="861"/>
      <c r="PO870" s="861"/>
      <c r="PP870" s="861"/>
      <c r="PQ870" s="861"/>
      <c r="PR870" s="861"/>
      <c r="PS870" s="861"/>
      <c r="PT870" s="861"/>
      <c r="PU870" s="861"/>
      <c r="PV870" s="861"/>
      <c r="PW870" s="861"/>
      <c r="PX870" s="861"/>
      <c r="PY870" s="861"/>
      <c r="PZ870" s="861"/>
      <c r="QA870" s="861"/>
      <c r="QB870" s="861"/>
      <c r="QC870" s="861"/>
      <c r="QD870" s="861"/>
      <c r="QE870" s="861"/>
      <c r="QF870" s="861"/>
      <c r="QG870" s="861"/>
      <c r="QH870" s="861"/>
      <c r="QI870" s="861"/>
      <c r="QJ870" s="861"/>
      <c r="QK870" s="861"/>
      <c r="QL870" s="861"/>
      <c r="QM870" s="861"/>
      <c r="QN870" s="861"/>
      <c r="QO870" s="861"/>
      <c r="QP870" s="861"/>
      <c r="QQ870" s="861"/>
      <c r="QR870" s="861"/>
      <c r="QS870" s="861"/>
      <c r="QT870" s="861"/>
      <c r="QU870" s="861"/>
      <c r="QV870" s="861"/>
      <c r="QW870" s="861"/>
      <c r="QX870" s="861"/>
      <c r="QY870" s="861"/>
      <c r="QZ870" s="861"/>
      <c r="RA870" s="861"/>
      <c r="RB870" s="861"/>
      <c r="RC870" s="861"/>
      <c r="RD870" s="861"/>
      <c r="RE870" s="861"/>
      <c r="RF870" s="861"/>
      <c r="RG870" s="861"/>
      <c r="RH870" s="861"/>
      <c r="RI870" s="861"/>
      <c r="RJ870" s="861"/>
      <c r="RK870" s="861"/>
      <c r="RL870" s="861"/>
      <c r="RM870" s="861"/>
      <c r="RN870" s="861"/>
      <c r="RO870" s="861"/>
      <c r="RP870" s="861"/>
      <c r="RQ870" s="861"/>
      <c r="RR870" s="861"/>
      <c r="RS870" s="861"/>
      <c r="RT870" s="861"/>
      <c r="RU870" s="861"/>
      <c r="RV870" s="861"/>
      <c r="RW870" s="861"/>
      <c r="RX870" s="861"/>
      <c r="RY870" s="861"/>
      <c r="RZ870" s="861"/>
      <c r="SA870" s="861"/>
      <c r="SB870" s="861"/>
      <c r="SC870" s="861"/>
      <c r="SD870" s="861"/>
      <c r="SE870" s="861"/>
      <c r="SF870" s="861"/>
      <c r="SG870" s="861"/>
      <c r="SH870" s="861"/>
      <c r="SI870" s="861"/>
      <c r="SJ870" s="861"/>
      <c r="SK870" s="861"/>
      <c r="SL870" s="861"/>
      <c r="SM870" s="861"/>
      <c r="SN870" s="861"/>
      <c r="SO870" s="861"/>
      <c r="SP870" s="861"/>
      <c r="SQ870" s="861"/>
      <c r="SR870" s="861"/>
      <c r="SS870" s="861"/>
      <c r="ST870" s="861"/>
      <c r="SU870" s="861"/>
      <c r="SV870" s="861"/>
      <c r="SW870" s="861"/>
      <c r="SX870" s="861"/>
      <c r="SY870" s="861"/>
      <c r="SZ870" s="861"/>
      <c r="TA870" s="861"/>
      <c r="TB870" s="861"/>
      <c r="TC870" s="861"/>
      <c r="TD870" s="861"/>
      <c r="TE870" s="861"/>
      <c r="TF870" s="861"/>
      <c r="TG870" s="861"/>
      <c r="TH870" s="861"/>
      <c r="TI870" s="861"/>
      <c r="TJ870" s="861"/>
      <c r="TK870" s="861"/>
      <c r="TL870" s="861"/>
      <c r="TM870" s="861"/>
      <c r="TN870" s="861"/>
      <c r="TO870" s="861"/>
      <c r="TP870" s="861"/>
      <c r="TQ870" s="861"/>
      <c r="TR870" s="861"/>
      <c r="TS870" s="861"/>
      <c r="TT870" s="861"/>
      <c r="TU870" s="861"/>
      <c r="TV870" s="861"/>
      <c r="TW870" s="861"/>
      <c r="TX870" s="861"/>
      <c r="TY870" s="861"/>
      <c r="TZ870" s="861"/>
      <c r="UA870" s="861"/>
      <c r="UB870" s="861"/>
      <c r="UC870" s="861"/>
      <c r="UD870" s="861"/>
      <c r="UE870" s="861"/>
      <c r="UF870" s="861"/>
      <c r="UG870" s="862"/>
    </row>
    <row r="871" spans="1:553" s="863" customFormat="1" ht="33" customHeight="1">
      <c r="A871" s="356"/>
      <c r="B871" s="356"/>
      <c r="C871" s="673" t="s">
        <v>23</v>
      </c>
      <c r="D871" s="397">
        <v>2</v>
      </c>
      <c r="E871" s="397">
        <v>238</v>
      </c>
      <c r="F871" s="673"/>
      <c r="G871" s="674" t="s">
        <v>33</v>
      </c>
      <c r="H871" s="675"/>
      <c r="I871" s="490">
        <v>84.8</v>
      </c>
      <c r="J871" s="797">
        <v>72000</v>
      </c>
      <c r="K871" s="857">
        <v>3</v>
      </c>
      <c r="L871" s="481">
        <f t="shared" si="127"/>
        <v>18316800</v>
      </c>
      <c r="M871" s="356"/>
      <c r="N871" s="356"/>
      <c r="O871" s="356"/>
      <c r="P871" s="356"/>
      <c r="Q871" s="610"/>
      <c r="R871" s="1452"/>
      <c r="S871" s="308"/>
      <c r="T871" s="308"/>
      <c r="U871" s="308"/>
      <c r="V871" s="308"/>
      <c r="W871" s="308"/>
      <c r="X871" s="308"/>
      <c r="Y871" s="308"/>
      <c r="Z871" s="604"/>
      <c r="AA871" s="308"/>
      <c r="AB871" s="308"/>
      <c r="AC871" s="449"/>
      <c r="AD871" s="449"/>
      <c r="AE871" s="449"/>
      <c r="AF871" s="449"/>
      <c r="AG871" s="449"/>
      <c r="AH871" s="449"/>
      <c r="AI871" s="449"/>
      <c r="AJ871" s="449"/>
      <c r="AK871" s="452"/>
      <c r="AL871" s="351"/>
      <c r="AM871" s="43"/>
      <c r="AN871" s="43"/>
      <c r="AO871" s="43"/>
      <c r="AP871" s="43"/>
      <c r="AQ871" s="43"/>
      <c r="AR871" s="43"/>
      <c r="AS871" s="43"/>
      <c r="AT871" s="43"/>
      <c r="AU871" s="43"/>
      <c r="AV871" s="43"/>
      <c r="AW871" s="43"/>
      <c r="AX871" s="43"/>
      <c r="AY871" s="43"/>
      <c r="AZ871" s="43"/>
      <c r="BA871" s="43"/>
      <c r="BB871" s="43"/>
      <c r="BC871" s="43"/>
      <c r="BD871" s="43"/>
      <c r="BE871" s="43"/>
      <c r="BF871" s="43"/>
      <c r="BG871" s="43"/>
      <c r="BH871" s="43"/>
      <c r="BI871" s="43"/>
      <c r="BJ871" s="43"/>
      <c r="BK871" s="43"/>
      <c r="BL871" s="43"/>
      <c r="BM871" s="43"/>
      <c r="BN871" s="43"/>
      <c r="BO871" s="43"/>
      <c r="BP871" s="861"/>
      <c r="BQ871" s="861"/>
      <c r="BR871" s="861"/>
      <c r="BS871" s="861"/>
      <c r="BT871" s="861"/>
      <c r="BU871" s="861"/>
      <c r="BV871" s="861"/>
      <c r="BW871" s="861"/>
      <c r="BX871" s="861"/>
      <c r="BY871" s="861"/>
      <c r="BZ871" s="861"/>
      <c r="CA871" s="861"/>
      <c r="CB871" s="861"/>
      <c r="CC871" s="861"/>
      <c r="CD871" s="861"/>
      <c r="CE871" s="861"/>
      <c r="CF871" s="861"/>
      <c r="CG871" s="861"/>
      <c r="CH871" s="861"/>
      <c r="CI871" s="861"/>
      <c r="CJ871" s="861"/>
      <c r="CK871" s="861"/>
      <c r="CL871" s="861"/>
      <c r="CM871" s="861"/>
      <c r="CN871" s="861"/>
      <c r="CO871" s="861"/>
      <c r="CP871" s="861"/>
      <c r="CQ871" s="861"/>
      <c r="CR871" s="861"/>
      <c r="CS871" s="861"/>
      <c r="CT871" s="861"/>
      <c r="CU871" s="861"/>
      <c r="CV871" s="861"/>
      <c r="CW871" s="861"/>
      <c r="CX871" s="861"/>
      <c r="CY871" s="861"/>
      <c r="CZ871" s="861"/>
      <c r="DA871" s="861"/>
      <c r="DB871" s="861"/>
      <c r="DC871" s="861"/>
      <c r="DD871" s="861"/>
      <c r="DE871" s="861"/>
      <c r="DF871" s="861"/>
      <c r="DG871" s="861"/>
      <c r="DH871" s="861"/>
      <c r="DI871" s="861"/>
      <c r="DJ871" s="861"/>
      <c r="DK871" s="861"/>
      <c r="DL871" s="861"/>
      <c r="DM871" s="861"/>
      <c r="DN871" s="861"/>
      <c r="DO871" s="861"/>
      <c r="DP871" s="861"/>
      <c r="DQ871" s="861"/>
      <c r="DR871" s="861"/>
      <c r="DS871" s="861"/>
      <c r="DT871" s="861"/>
      <c r="DU871" s="861"/>
      <c r="DV871" s="861"/>
      <c r="DW871" s="861"/>
      <c r="DX871" s="861"/>
      <c r="DY871" s="861"/>
      <c r="DZ871" s="861"/>
      <c r="EA871" s="861"/>
      <c r="EB871" s="861"/>
      <c r="EC871" s="861"/>
      <c r="ED871" s="861"/>
      <c r="EE871" s="861"/>
      <c r="EF871" s="861"/>
      <c r="EG871" s="861"/>
      <c r="EH871" s="861"/>
      <c r="EI871" s="861"/>
      <c r="EJ871" s="861"/>
      <c r="EK871" s="861"/>
      <c r="EL871" s="861"/>
      <c r="EM871" s="861"/>
      <c r="EN871" s="861"/>
      <c r="EO871" s="861"/>
      <c r="EP871" s="861"/>
      <c r="EQ871" s="861"/>
      <c r="ER871" s="861"/>
      <c r="ES871" s="861"/>
      <c r="ET871" s="861"/>
      <c r="EU871" s="861"/>
      <c r="EV871" s="861"/>
      <c r="EW871" s="861"/>
      <c r="EX871" s="861"/>
      <c r="EY871" s="861"/>
      <c r="EZ871" s="861"/>
      <c r="FA871" s="861"/>
      <c r="FB871" s="861"/>
      <c r="FC871" s="861"/>
      <c r="FD871" s="861"/>
      <c r="FE871" s="861"/>
      <c r="FF871" s="861"/>
      <c r="FG871" s="861"/>
      <c r="FH871" s="861"/>
      <c r="FI871" s="861"/>
      <c r="FJ871" s="861"/>
      <c r="FK871" s="861"/>
      <c r="FL871" s="861"/>
      <c r="FM871" s="861"/>
      <c r="FN871" s="861"/>
      <c r="FO871" s="861"/>
      <c r="FP871" s="861"/>
      <c r="FQ871" s="861"/>
      <c r="FR871" s="861"/>
      <c r="FS871" s="861"/>
      <c r="FT871" s="861"/>
      <c r="FU871" s="861"/>
      <c r="FV871" s="861"/>
      <c r="FW871" s="861"/>
      <c r="FX871" s="861"/>
      <c r="FY871" s="861"/>
      <c r="FZ871" s="861"/>
      <c r="GA871" s="861"/>
      <c r="GB871" s="861"/>
      <c r="GC871" s="861"/>
      <c r="GD871" s="861"/>
      <c r="GE871" s="861"/>
      <c r="GF871" s="861"/>
      <c r="GG871" s="861"/>
      <c r="GH871" s="861"/>
      <c r="GI871" s="861"/>
      <c r="GJ871" s="861"/>
      <c r="GK871" s="861"/>
      <c r="GL871" s="861"/>
      <c r="GM871" s="861"/>
      <c r="GN871" s="861"/>
      <c r="GO871" s="861"/>
      <c r="GP871" s="861"/>
      <c r="GQ871" s="861"/>
      <c r="GR871" s="861"/>
      <c r="GS871" s="861"/>
      <c r="GT871" s="861"/>
      <c r="GU871" s="861"/>
      <c r="GV871" s="861"/>
      <c r="GW871" s="861"/>
      <c r="GX871" s="861"/>
      <c r="GY871" s="861"/>
      <c r="GZ871" s="861"/>
      <c r="HA871" s="861"/>
      <c r="HB871" s="861"/>
      <c r="HC871" s="861"/>
      <c r="HD871" s="861"/>
      <c r="HE871" s="861"/>
      <c r="HF871" s="861"/>
      <c r="HG871" s="861"/>
      <c r="HH871" s="861"/>
      <c r="HI871" s="861"/>
      <c r="HJ871" s="861"/>
      <c r="HK871" s="861"/>
      <c r="HL871" s="861"/>
      <c r="HM871" s="861"/>
      <c r="HN871" s="861"/>
      <c r="HO871" s="861"/>
      <c r="HP871" s="861"/>
      <c r="HQ871" s="861"/>
      <c r="HR871" s="861"/>
      <c r="HS871" s="861"/>
      <c r="HT871" s="861"/>
      <c r="HU871" s="861"/>
      <c r="HV871" s="861"/>
      <c r="HW871" s="861"/>
      <c r="HX871" s="861"/>
      <c r="HY871" s="861"/>
      <c r="HZ871" s="861"/>
      <c r="IA871" s="861"/>
      <c r="IB871" s="861"/>
      <c r="IC871" s="861"/>
      <c r="ID871" s="861"/>
      <c r="IE871" s="861"/>
      <c r="IF871" s="861"/>
      <c r="IG871" s="861"/>
      <c r="IH871" s="861"/>
      <c r="II871" s="861"/>
      <c r="IJ871" s="861"/>
      <c r="IK871" s="861"/>
      <c r="IL871" s="861"/>
      <c r="IM871" s="861"/>
      <c r="IN871" s="861"/>
      <c r="IO871" s="861"/>
      <c r="IP871" s="861"/>
      <c r="IQ871" s="861"/>
      <c r="IR871" s="861"/>
      <c r="IS871" s="861"/>
      <c r="IT871" s="861"/>
      <c r="IU871" s="861"/>
      <c r="IV871" s="861"/>
      <c r="IW871" s="861"/>
      <c r="IX871" s="861"/>
      <c r="IY871" s="861"/>
      <c r="IZ871" s="861"/>
      <c r="JA871" s="861"/>
      <c r="JB871" s="861"/>
      <c r="JC871" s="861"/>
      <c r="JD871" s="861"/>
      <c r="JE871" s="861"/>
      <c r="JF871" s="861"/>
      <c r="JG871" s="861"/>
      <c r="JH871" s="861"/>
      <c r="JI871" s="861"/>
      <c r="JJ871" s="861"/>
      <c r="JK871" s="861"/>
      <c r="JL871" s="861"/>
      <c r="JM871" s="861"/>
      <c r="JN871" s="861"/>
      <c r="JO871" s="861"/>
      <c r="JP871" s="861"/>
      <c r="JQ871" s="861"/>
      <c r="JR871" s="861"/>
      <c r="JS871" s="861"/>
      <c r="JT871" s="861"/>
      <c r="JU871" s="861"/>
      <c r="JV871" s="861"/>
      <c r="JW871" s="861"/>
      <c r="JX871" s="861"/>
      <c r="JY871" s="861"/>
      <c r="JZ871" s="861"/>
      <c r="KA871" s="861"/>
      <c r="KB871" s="861"/>
      <c r="KC871" s="861"/>
      <c r="KD871" s="861"/>
      <c r="KE871" s="861"/>
      <c r="KF871" s="861"/>
      <c r="KG871" s="861"/>
      <c r="KH871" s="861"/>
      <c r="KI871" s="861"/>
      <c r="KJ871" s="861"/>
      <c r="KK871" s="861"/>
      <c r="KL871" s="861"/>
      <c r="KM871" s="861"/>
      <c r="KN871" s="861"/>
      <c r="KO871" s="861"/>
      <c r="KP871" s="861"/>
      <c r="KQ871" s="861"/>
      <c r="KR871" s="861"/>
      <c r="KS871" s="861"/>
      <c r="KT871" s="861"/>
      <c r="KU871" s="861"/>
      <c r="KV871" s="861"/>
      <c r="KW871" s="861"/>
      <c r="KX871" s="861"/>
      <c r="KY871" s="861"/>
      <c r="KZ871" s="861"/>
      <c r="LA871" s="861"/>
      <c r="LB871" s="861"/>
      <c r="LC871" s="861"/>
      <c r="LD871" s="861"/>
      <c r="LE871" s="861"/>
      <c r="LF871" s="861"/>
      <c r="LG871" s="861"/>
      <c r="LH871" s="861"/>
      <c r="LI871" s="861"/>
      <c r="LJ871" s="861"/>
      <c r="LK871" s="861"/>
      <c r="LL871" s="861"/>
      <c r="LM871" s="861"/>
      <c r="LN871" s="861"/>
      <c r="LO871" s="861"/>
      <c r="LP871" s="861"/>
      <c r="LQ871" s="861"/>
      <c r="LR871" s="861"/>
      <c r="LS871" s="861"/>
      <c r="LT871" s="861"/>
      <c r="LU871" s="861"/>
      <c r="LV871" s="861"/>
      <c r="LW871" s="861"/>
      <c r="LX871" s="861"/>
      <c r="LY871" s="861"/>
      <c r="LZ871" s="861"/>
      <c r="MA871" s="861"/>
      <c r="MB871" s="861"/>
      <c r="MC871" s="861"/>
      <c r="MD871" s="861"/>
      <c r="ME871" s="861"/>
      <c r="MF871" s="861"/>
      <c r="MG871" s="861"/>
      <c r="MH871" s="861"/>
      <c r="MI871" s="861"/>
      <c r="MJ871" s="861"/>
      <c r="MK871" s="861"/>
      <c r="ML871" s="861"/>
      <c r="MM871" s="861"/>
      <c r="MN871" s="861"/>
      <c r="MO871" s="861"/>
      <c r="MP871" s="861"/>
      <c r="MQ871" s="861"/>
      <c r="MR871" s="861"/>
      <c r="MS871" s="861"/>
      <c r="MT871" s="861"/>
      <c r="MU871" s="861"/>
      <c r="MV871" s="861"/>
      <c r="MW871" s="861"/>
      <c r="MX871" s="861"/>
      <c r="MY871" s="861"/>
      <c r="MZ871" s="861"/>
      <c r="NA871" s="861"/>
      <c r="NB871" s="861"/>
      <c r="NC871" s="861"/>
      <c r="ND871" s="861"/>
      <c r="NE871" s="861"/>
      <c r="NF871" s="861"/>
      <c r="NG871" s="861"/>
      <c r="NH871" s="861"/>
      <c r="NI871" s="861"/>
      <c r="NJ871" s="861"/>
      <c r="NK871" s="861"/>
      <c r="NL871" s="861"/>
      <c r="NM871" s="861"/>
      <c r="NN871" s="861"/>
      <c r="NO871" s="861"/>
      <c r="NP871" s="861"/>
      <c r="NQ871" s="861"/>
      <c r="NR871" s="861"/>
      <c r="NS871" s="861"/>
      <c r="NT871" s="861"/>
      <c r="NU871" s="861"/>
      <c r="NV871" s="861"/>
      <c r="NW871" s="861"/>
      <c r="NX871" s="861"/>
      <c r="NY871" s="861"/>
      <c r="NZ871" s="861"/>
      <c r="OA871" s="861"/>
      <c r="OB871" s="861"/>
      <c r="OC871" s="861"/>
      <c r="OD871" s="861"/>
      <c r="OE871" s="861"/>
      <c r="OF871" s="861"/>
      <c r="OG871" s="861"/>
      <c r="OH871" s="861"/>
      <c r="OI871" s="861"/>
      <c r="OJ871" s="861"/>
      <c r="OK871" s="861"/>
      <c r="OL871" s="861"/>
      <c r="OM871" s="861"/>
      <c r="ON871" s="861"/>
      <c r="OO871" s="861"/>
      <c r="OP871" s="861"/>
      <c r="OQ871" s="861"/>
      <c r="OR871" s="861"/>
      <c r="OS871" s="861"/>
      <c r="OT871" s="861"/>
      <c r="OU871" s="861"/>
      <c r="OV871" s="861"/>
      <c r="OW871" s="861"/>
      <c r="OX871" s="861"/>
      <c r="OY871" s="861"/>
      <c r="OZ871" s="861"/>
      <c r="PA871" s="861"/>
      <c r="PB871" s="861"/>
      <c r="PC871" s="861"/>
      <c r="PD871" s="861"/>
      <c r="PE871" s="861"/>
      <c r="PF871" s="861"/>
      <c r="PG871" s="861"/>
      <c r="PH871" s="861"/>
      <c r="PI871" s="861"/>
      <c r="PJ871" s="861"/>
      <c r="PK871" s="861"/>
      <c r="PL871" s="861"/>
      <c r="PM871" s="861"/>
      <c r="PN871" s="861"/>
      <c r="PO871" s="861"/>
      <c r="PP871" s="861"/>
      <c r="PQ871" s="861"/>
      <c r="PR871" s="861"/>
      <c r="PS871" s="861"/>
      <c r="PT871" s="861"/>
      <c r="PU871" s="861"/>
      <c r="PV871" s="861"/>
      <c r="PW871" s="861"/>
      <c r="PX871" s="861"/>
      <c r="PY871" s="861"/>
      <c r="PZ871" s="861"/>
      <c r="QA871" s="861"/>
      <c r="QB871" s="861"/>
      <c r="QC871" s="861"/>
      <c r="QD871" s="861"/>
      <c r="QE871" s="861"/>
      <c r="QF871" s="861"/>
      <c r="QG871" s="861"/>
      <c r="QH871" s="861"/>
      <c r="QI871" s="861"/>
      <c r="QJ871" s="861"/>
      <c r="QK871" s="861"/>
      <c r="QL871" s="861"/>
      <c r="QM871" s="861"/>
      <c r="QN871" s="861"/>
      <c r="QO871" s="861"/>
      <c r="QP871" s="861"/>
      <c r="QQ871" s="861"/>
      <c r="QR871" s="861"/>
      <c r="QS871" s="861"/>
      <c r="QT871" s="861"/>
      <c r="QU871" s="861"/>
      <c r="QV871" s="861"/>
      <c r="QW871" s="861"/>
      <c r="QX871" s="861"/>
      <c r="QY871" s="861"/>
      <c r="QZ871" s="861"/>
      <c r="RA871" s="861"/>
      <c r="RB871" s="861"/>
      <c r="RC871" s="861"/>
      <c r="RD871" s="861"/>
      <c r="RE871" s="861"/>
      <c r="RF871" s="861"/>
      <c r="RG871" s="861"/>
      <c r="RH871" s="861"/>
      <c r="RI871" s="861"/>
      <c r="RJ871" s="861"/>
      <c r="RK871" s="861"/>
      <c r="RL871" s="861"/>
      <c r="RM871" s="861"/>
      <c r="RN871" s="861"/>
      <c r="RO871" s="861"/>
      <c r="RP871" s="861"/>
      <c r="RQ871" s="861"/>
      <c r="RR871" s="861"/>
      <c r="RS871" s="861"/>
      <c r="RT871" s="861"/>
      <c r="RU871" s="861"/>
      <c r="RV871" s="861"/>
      <c r="RW871" s="861"/>
      <c r="RX871" s="861"/>
      <c r="RY871" s="861"/>
      <c r="RZ871" s="861"/>
      <c r="SA871" s="861"/>
      <c r="SB871" s="861"/>
      <c r="SC871" s="861"/>
      <c r="SD871" s="861"/>
      <c r="SE871" s="861"/>
      <c r="SF871" s="861"/>
      <c r="SG871" s="861"/>
      <c r="SH871" s="861"/>
      <c r="SI871" s="861"/>
      <c r="SJ871" s="861"/>
      <c r="SK871" s="861"/>
      <c r="SL871" s="861"/>
      <c r="SM871" s="861"/>
      <c r="SN871" s="861"/>
      <c r="SO871" s="861"/>
      <c r="SP871" s="861"/>
      <c r="SQ871" s="861"/>
      <c r="SR871" s="861"/>
      <c r="SS871" s="861"/>
      <c r="ST871" s="861"/>
      <c r="SU871" s="861"/>
      <c r="SV871" s="861"/>
      <c r="SW871" s="861"/>
      <c r="SX871" s="861"/>
      <c r="SY871" s="861"/>
      <c r="SZ871" s="861"/>
      <c r="TA871" s="861"/>
      <c r="TB871" s="861"/>
      <c r="TC871" s="861"/>
      <c r="TD871" s="861"/>
      <c r="TE871" s="861"/>
      <c r="TF871" s="861"/>
      <c r="TG871" s="861"/>
      <c r="TH871" s="861"/>
      <c r="TI871" s="861"/>
      <c r="TJ871" s="861"/>
      <c r="TK871" s="861"/>
      <c r="TL871" s="861"/>
      <c r="TM871" s="861"/>
      <c r="TN871" s="861"/>
      <c r="TO871" s="861"/>
      <c r="TP871" s="861"/>
      <c r="TQ871" s="861"/>
      <c r="TR871" s="861"/>
      <c r="TS871" s="861"/>
      <c r="TT871" s="861"/>
      <c r="TU871" s="861"/>
      <c r="TV871" s="861"/>
      <c r="TW871" s="861"/>
      <c r="TX871" s="861"/>
      <c r="TY871" s="861"/>
      <c r="TZ871" s="861"/>
      <c r="UA871" s="861"/>
      <c r="UB871" s="861"/>
      <c r="UC871" s="861"/>
      <c r="UD871" s="861"/>
      <c r="UE871" s="861"/>
      <c r="UF871" s="861"/>
      <c r="UG871" s="862"/>
    </row>
    <row r="872" spans="1:553" s="863" customFormat="1" ht="33" customHeight="1">
      <c r="A872" s="356"/>
      <c r="B872" s="356"/>
      <c r="C872" s="673" t="s">
        <v>213</v>
      </c>
      <c r="D872" s="397">
        <v>2</v>
      </c>
      <c r="E872" s="397">
        <v>261</v>
      </c>
      <c r="F872" s="673"/>
      <c r="G872" s="674" t="s">
        <v>33</v>
      </c>
      <c r="H872" s="675"/>
      <c r="I872" s="490">
        <v>269.8</v>
      </c>
      <c r="J872" s="797">
        <v>66000</v>
      </c>
      <c r="K872" s="857">
        <v>2.5</v>
      </c>
      <c r="L872" s="481">
        <f t="shared" si="127"/>
        <v>44517000</v>
      </c>
      <c r="M872" s="356"/>
      <c r="N872" s="356"/>
      <c r="O872" s="356"/>
      <c r="P872" s="356"/>
      <c r="Q872" s="610"/>
      <c r="R872" s="1452"/>
      <c r="S872" s="308"/>
      <c r="T872" s="308"/>
      <c r="U872" s="308"/>
      <c r="V872" s="308"/>
      <c r="W872" s="308"/>
      <c r="X872" s="308"/>
      <c r="Y872" s="308"/>
      <c r="Z872" s="604"/>
      <c r="AA872" s="308"/>
      <c r="AB872" s="308"/>
      <c r="AC872" s="449"/>
      <c r="AD872" s="449"/>
      <c r="AE872" s="449"/>
      <c r="AF872" s="449"/>
      <c r="AG872" s="449"/>
      <c r="AH872" s="449"/>
      <c r="AI872" s="449"/>
      <c r="AJ872" s="449"/>
      <c r="AK872" s="452"/>
      <c r="AL872" s="351"/>
      <c r="AM872" s="43"/>
      <c r="AN872" s="43"/>
      <c r="AO872" s="43"/>
      <c r="AP872" s="43"/>
      <c r="AQ872" s="43"/>
      <c r="AR872" s="43"/>
      <c r="AS872" s="43"/>
      <c r="AT872" s="43"/>
      <c r="AU872" s="43"/>
      <c r="AV872" s="43"/>
      <c r="AW872" s="43"/>
      <c r="AX872" s="43"/>
      <c r="AY872" s="43"/>
      <c r="AZ872" s="43"/>
      <c r="BA872" s="43"/>
      <c r="BB872" s="43"/>
      <c r="BC872" s="43"/>
      <c r="BD872" s="43"/>
      <c r="BE872" s="43"/>
      <c r="BF872" s="43"/>
      <c r="BG872" s="43"/>
      <c r="BH872" s="43"/>
      <c r="BI872" s="43"/>
      <c r="BJ872" s="43"/>
      <c r="BK872" s="43"/>
      <c r="BL872" s="43"/>
      <c r="BM872" s="43"/>
      <c r="BN872" s="43"/>
      <c r="BO872" s="43"/>
      <c r="BP872" s="861"/>
      <c r="BQ872" s="861"/>
      <c r="BR872" s="861"/>
      <c r="BS872" s="861"/>
      <c r="BT872" s="861"/>
      <c r="BU872" s="861"/>
      <c r="BV872" s="861"/>
      <c r="BW872" s="861"/>
      <c r="BX872" s="861"/>
      <c r="BY872" s="861"/>
      <c r="BZ872" s="861"/>
      <c r="CA872" s="861"/>
      <c r="CB872" s="861"/>
      <c r="CC872" s="861"/>
      <c r="CD872" s="861"/>
      <c r="CE872" s="861"/>
      <c r="CF872" s="861"/>
      <c r="CG872" s="861"/>
      <c r="CH872" s="861"/>
      <c r="CI872" s="861"/>
      <c r="CJ872" s="861"/>
      <c r="CK872" s="861"/>
      <c r="CL872" s="861"/>
      <c r="CM872" s="861"/>
      <c r="CN872" s="861"/>
      <c r="CO872" s="861"/>
      <c r="CP872" s="861"/>
      <c r="CQ872" s="861"/>
      <c r="CR872" s="861"/>
      <c r="CS872" s="861"/>
      <c r="CT872" s="861"/>
      <c r="CU872" s="861"/>
      <c r="CV872" s="861"/>
      <c r="CW872" s="861"/>
      <c r="CX872" s="861"/>
      <c r="CY872" s="861"/>
      <c r="CZ872" s="861"/>
      <c r="DA872" s="861"/>
      <c r="DB872" s="861"/>
      <c r="DC872" s="861"/>
      <c r="DD872" s="861"/>
      <c r="DE872" s="861"/>
      <c r="DF872" s="861"/>
      <c r="DG872" s="861"/>
      <c r="DH872" s="861"/>
      <c r="DI872" s="861"/>
      <c r="DJ872" s="861"/>
      <c r="DK872" s="861"/>
      <c r="DL872" s="861"/>
      <c r="DM872" s="861"/>
      <c r="DN872" s="861"/>
      <c r="DO872" s="861"/>
      <c r="DP872" s="861"/>
      <c r="DQ872" s="861"/>
      <c r="DR872" s="861"/>
      <c r="DS872" s="861"/>
      <c r="DT872" s="861"/>
      <c r="DU872" s="861"/>
      <c r="DV872" s="861"/>
      <c r="DW872" s="861"/>
      <c r="DX872" s="861"/>
      <c r="DY872" s="861"/>
      <c r="DZ872" s="861"/>
      <c r="EA872" s="861"/>
      <c r="EB872" s="861"/>
      <c r="EC872" s="861"/>
      <c r="ED872" s="861"/>
      <c r="EE872" s="861"/>
      <c r="EF872" s="861"/>
      <c r="EG872" s="861"/>
      <c r="EH872" s="861"/>
      <c r="EI872" s="861"/>
      <c r="EJ872" s="861"/>
      <c r="EK872" s="861"/>
      <c r="EL872" s="861"/>
      <c r="EM872" s="861"/>
      <c r="EN872" s="861"/>
      <c r="EO872" s="861"/>
      <c r="EP872" s="861"/>
      <c r="EQ872" s="861"/>
      <c r="ER872" s="861"/>
      <c r="ES872" s="861"/>
      <c r="ET872" s="861"/>
      <c r="EU872" s="861"/>
      <c r="EV872" s="861"/>
      <c r="EW872" s="861"/>
      <c r="EX872" s="861"/>
      <c r="EY872" s="861"/>
      <c r="EZ872" s="861"/>
      <c r="FA872" s="861"/>
      <c r="FB872" s="861"/>
      <c r="FC872" s="861"/>
      <c r="FD872" s="861"/>
      <c r="FE872" s="861"/>
      <c r="FF872" s="861"/>
      <c r="FG872" s="861"/>
      <c r="FH872" s="861"/>
      <c r="FI872" s="861"/>
      <c r="FJ872" s="861"/>
      <c r="FK872" s="861"/>
      <c r="FL872" s="861"/>
      <c r="FM872" s="861"/>
      <c r="FN872" s="861"/>
      <c r="FO872" s="861"/>
      <c r="FP872" s="861"/>
      <c r="FQ872" s="861"/>
      <c r="FR872" s="861"/>
      <c r="FS872" s="861"/>
      <c r="FT872" s="861"/>
      <c r="FU872" s="861"/>
      <c r="FV872" s="861"/>
      <c r="FW872" s="861"/>
      <c r="FX872" s="861"/>
      <c r="FY872" s="861"/>
      <c r="FZ872" s="861"/>
      <c r="GA872" s="861"/>
      <c r="GB872" s="861"/>
      <c r="GC872" s="861"/>
      <c r="GD872" s="861"/>
      <c r="GE872" s="861"/>
      <c r="GF872" s="861"/>
      <c r="GG872" s="861"/>
      <c r="GH872" s="861"/>
      <c r="GI872" s="861"/>
      <c r="GJ872" s="861"/>
      <c r="GK872" s="861"/>
      <c r="GL872" s="861"/>
      <c r="GM872" s="861"/>
      <c r="GN872" s="861"/>
      <c r="GO872" s="861"/>
      <c r="GP872" s="861"/>
      <c r="GQ872" s="861"/>
      <c r="GR872" s="861"/>
      <c r="GS872" s="861"/>
      <c r="GT872" s="861"/>
      <c r="GU872" s="861"/>
      <c r="GV872" s="861"/>
      <c r="GW872" s="861"/>
      <c r="GX872" s="861"/>
      <c r="GY872" s="861"/>
      <c r="GZ872" s="861"/>
      <c r="HA872" s="861"/>
      <c r="HB872" s="861"/>
      <c r="HC872" s="861"/>
      <c r="HD872" s="861"/>
      <c r="HE872" s="861"/>
      <c r="HF872" s="861"/>
      <c r="HG872" s="861"/>
      <c r="HH872" s="861"/>
      <c r="HI872" s="861"/>
      <c r="HJ872" s="861"/>
      <c r="HK872" s="861"/>
      <c r="HL872" s="861"/>
      <c r="HM872" s="861"/>
      <c r="HN872" s="861"/>
      <c r="HO872" s="861"/>
      <c r="HP872" s="861"/>
      <c r="HQ872" s="861"/>
      <c r="HR872" s="861"/>
      <c r="HS872" s="861"/>
      <c r="HT872" s="861"/>
      <c r="HU872" s="861"/>
      <c r="HV872" s="861"/>
      <c r="HW872" s="861"/>
      <c r="HX872" s="861"/>
      <c r="HY872" s="861"/>
      <c r="HZ872" s="861"/>
      <c r="IA872" s="861"/>
      <c r="IB872" s="861"/>
      <c r="IC872" s="861"/>
      <c r="ID872" s="861"/>
      <c r="IE872" s="861"/>
      <c r="IF872" s="861"/>
      <c r="IG872" s="861"/>
      <c r="IH872" s="861"/>
      <c r="II872" s="861"/>
      <c r="IJ872" s="861"/>
      <c r="IK872" s="861"/>
      <c r="IL872" s="861"/>
      <c r="IM872" s="861"/>
      <c r="IN872" s="861"/>
      <c r="IO872" s="861"/>
      <c r="IP872" s="861"/>
      <c r="IQ872" s="861"/>
      <c r="IR872" s="861"/>
      <c r="IS872" s="861"/>
      <c r="IT872" s="861"/>
      <c r="IU872" s="861"/>
      <c r="IV872" s="861"/>
      <c r="IW872" s="861"/>
      <c r="IX872" s="861"/>
      <c r="IY872" s="861"/>
      <c r="IZ872" s="861"/>
      <c r="JA872" s="861"/>
      <c r="JB872" s="861"/>
      <c r="JC872" s="861"/>
      <c r="JD872" s="861"/>
      <c r="JE872" s="861"/>
      <c r="JF872" s="861"/>
      <c r="JG872" s="861"/>
      <c r="JH872" s="861"/>
      <c r="JI872" s="861"/>
      <c r="JJ872" s="861"/>
      <c r="JK872" s="861"/>
      <c r="JL872" s="861"/>
      <c r="JM872" s="861"/>
      <c r="JN872" s="861"/>
      <c r="JO872" s="861"/>
      <c r="JP872" s="861"/>
      <c r="JQ872" s="861"/>
      <c r="JR872" s="861"/>
      <c r="JS872" s="861"/>
      <c r="JT872" s="861"/>
      <c r="JU872" s="861"/>
      <c r="JV872" s="861"/>
      <c r="JW872" s="861"/>
      <c r="JX872" s="861"/>
      <c r="JY872" s="861"/>
      <c r="JZ872" s="861"/>
      <c r="KA872" s="861"/>
      <c r="KB872" s="861"/>
      <c r="KC872" s="861"/>
      <c r="KD872" s="861"/>
      <c r="KE872" s="861"/>
      <c r="KF872" s="861"/>
      <c r="KG872" s="861"/>
      <c r="KH872" s="861"/>
      <c r="KI872" s="861"/>
      <c r="KJ872" s="861"/>
      <c r="KK872" s="861"/>
      <c r="KL872" s="861"/>
      <c r="KM872" s="861"/>
      <c r="KN872" s="861"/>
      <c r="KO872" s="861"/>
      <c r="KP872" s="861"/>
      <c r="KQ872" s="861"/>
      <c r="KR872" s="861"/>
      <c r="KS872" s="861"/>
      <c r="KT872" s="861"/>
      <c r="KU872" s="861"/>
      <c r="KV872" s="861"/>
      <c r="KW872" s="861"/>
      <c r="KX872" s="861"/>
      <c r="KY872" s="861"/>
      <c r="KZ872" s="861"/>
      <c r="LA872" s="861"/>
      <c r="LB872" s="861"/>
      <c r="LC872" s="861"/>
      <c r="LD872" s="861"/>
      <c r="LE872" s="861"/>
      <c r="LF872" s="861"/>
      <c r="LG872" s="861"/>
      <c r="LH872" s="861"/>
      <c r="LI872" s="861"/>
      <c r="LJ872" s="861"/>
      <c r="LK872" s="861"/>
      <c r="LL872" s="861"/>
      <c r="LM872" s="861"/>
      <c r="LN872" s="861"/>
      <c r="LO872" s="861"/>
      <c r="LP872" s="861"/>
      <c r="LQ872" s="861"/>
      <c r="LR872" s="861"/>
      <c r="LS872" s="861"/>
      <c r="LT872" s="861"/>
      <c r="LU872" s="861"/>
      <c r="LV872" s="861"/>
      <c r="LW872" s="861"/>
      <c r="LX872" s="861"/>
      <c r="LY872" s="861"/>
      <c r="LZ872" s="861"/>
      <c r="MA872" s="861"/>
      <c r="MB872" s="861"/>
      <c r="MC872" s="861"/>
      <c r="MD872" s="861"/>
      <c r="ME872" s="861"/>
      <c r="MF872" s="861"/>
      <c r="MG872" s="861"/>
      <c r="MH872" s="861"/>
      <c r="MI872" s="861"/>
      <c r="MJ872" s="861"/>
      <c r="MK872" s="861"/>
      <c r="ML872" s="861"/>
      <c r="MM872" s="861"/>
      <c r="MN872" s="861"/>
      <c r="MO872" s="861"/>
      <c r="MP872" s="861"/>
      <c r="MQ872" s="861"/>
      <c r="MR872" s="861"/>
      <c r="MS872" s="861"/>
      <c r="MT872" s="861"/>
      <c r="MU872" s="861"/>
      <c r="MV872" s="861"/>
      <c r="MW872" s="861"/>
      <c r="MX872" s="861"/>
      <c r="MY872" s="861"/>
      <c r="MZ872" s="861"/>
      <c r="NA872" s="861"/>
      <c r="NB872" s="861"/>
      <c r="NC872" s="861"/>
      <c r="ND872" s="861"/>
      <c r="NE872" s="861"/>
      <c r="NF872" s="861"/>
      <c r="NG872" s="861"/>
      <c r="NH872" s="861"/>
      <c r="NI872" s="861"/>
      <c r="NJ872" s="861"/>
      <c r="NK872" s="861"/>
      <c r="NL872" s="861"/>
      <c r="NM872" s="861"/>
      <c r="NN872" s="861"/>
      <c r="NO872" s="861"/>
      <c r="NP872" s="861"/>
      <c r="NQ872" s="861"/>
      <c r="NR872" s="861"/>
      <c r="NS872" s="861"/>
      <c r="NT872" s="861"/>
      <c r="NU872" s="861"/>
      <c r="NV872" s="861"/>
      <c r="NW872" s="861"/>
      <c r="NX872" s="861"/>
      <c r="NY872" s="861"/>
      <c r="NZ872" s="861"/>
      <c r="OA872" s="861"/>
      <c r="OB872" s="861"/>
      <c r="OC872" s="861"/>
      <c r="OD872" s="861"/>
      <c r="OE872" s="861"/>
      <c r="OF872" s="861"/>
      <c r="OG872" s="861"/>
      <c r="OH872" s="861"/>
      <c r="OI872" s="861"/>
      <c r="OJ872" s="861"/>
      <c r="OK872" s="861"/>
      <c r="OL872" s="861"/>
      <c r="OM872" s="861"/>
      <c r="ON872" s="861"/>
      <c r="OO872" s="861"/>
      <c r="OP872" s="861"/>
      <c r="OQ872" s="861"/>
      <c r="OR872" s="861"/>
      <c r="OS872" s="861"/>
      <c r="OT872" s="861"/>
      <c r="OU872" s="861"/>
      <c r="OV872" s="861"/>
      <c r="OW872" s="861"/>
      <c r="OX872" s="861"/>
      <c r="OY872" s="861"/>
      <c r="OZ872" s="861"/>
      <c r="PA872" s="861"/>
      <c r="PB872" s="861"/>
      <c r="PC872" s="861"/>
      <c r="PD872" s="861"/>
      <c r="PE872" s="861"/>
      <c r="PF872" s="861"/>
      <c r="PG872" s="861"/>
      <c r="PH872" s="861"/>
      <c r="PI872" s="861"/>
      <c r="PJ872" s="861"/>
      <c r="PK872" s="861"/>
      <c r="PL872" s="861"/>
      <c r="PM872" s="861"/>
      <c r="PN872" s="861"/>
      <c r="PO872" s="861"/>
      <c r="PP872" s="861"/>
      <c r="PQ872" s="861"/>
      <c r="PR872" s="861"/>
      <c r="PS872" s="861"/>
      <c r="PT872" s="861"/>
      <c r="PU872" s="861"/>
      <c r="PV872" s="861"/>
      <c r="PW872" s="861"/>
      <c r="PX872" s="861"/>
      <c r="PY872" s="861"/>
      <c r="PZ872" s="861"/>
      <c r="QA872" s="861"/>
      <c r="QB872" s="861"/>
      <c r="QC872" s="861"/>
      <c r="QD872" s="861"/>
      <c r="QE872" s="861"/>
      <c r="QF872" s="861"/>
      <c r="QG872" s="861"/>
      <c r="QH872" s="861"/>
      <c r="QI872" s="861"/>
      <c r="QJ872" s="861"/>
      <c r="QK872" s="861"/>
      <c r="QL872" s="861"/>
      <c r="QM872" s="861"/>
      <c r="QN872" s="861"/>
      <c r="QO872" s="861"/>
      <c r="QP872" s="861"/>
      <c r="QQ872" s="861"/>
      <c r="QR872" s="861"/>
      <c r="QS872" s="861"/>
      <c r="QT872" s="861"/>
      <c r="QU872" s="861"/>
      <c r="QV872" s="861"/>
      <c r="QW872" s="861"/>
      <c r="QX872" s="861"/>
      <c r="QY872" s="861"/>
      <c r="QZ872" s="861"/>
      <c r="RA872" s="861"/>
      <c r="RB872" s="861"/>
      <c r="RC872" s="861"/>
      <c r="RD872" s="861"/>
      <c r="RE872" s="861"/>
      <c r="RF872" s="861"/>
      <c r="RG872" s="861"/>
      <c r="RH872" s="861"/>
      <c r="RI872" s="861"/>
      <c r="RJ872" s="861"/>
      <c r="RK872" s="861"/>
      <c r="RL872" s="861"/>
      <c r="RM872" s="861"/>
      <c r="RN872" s="861"/>
      <c r="RO872" s="861"/>
      <c r="RP872" s="861"/>
      <c r="RQ872" s="861"/>
      <c r="RR872" s="861"/>
      <c r="RS872" s="861"/>
      <c r="RT872" s="861"/>
      <c r="RU872" s="861"/>
      <c r="RV872" s="861"/>
      <c r="RW872" s="861"/>
      <c r="RX872" s="861"/>
      <c r="RY872" s="861"/>
      <c r="RZ872" s="861"/>
      <c r="SA872" s="861"/>
      <c r="SB872" s="861"/>
      <c r="SC872" s="861"/>
      <c r="SD872" s="861"/>
      <c r="SE872" s="861"/>
      <c r="SF872" s="861"/>
      <c r="SG872" s="861"/>
      <c r="SH872" s="861"/>
      <c r="SI872" s="861"/>
      <c r="SJ872" s="861"/>
      <c r="SK872" s="861"/>
      <c r="SL872" s="861"/>
      <c r="SM872" s="861"/>
      <c r="SN872" s="861"/>
      <c r="SO872" s="861"/>
      <c r="SP872" s="861"/>
      <c r="SQ872" s="861"/>
      <c r="SR872" s="861"/>
      <c r="SS872" s="861"/>
      <c r="ST872" s="861"/>
      <c r="SU872" s="861"/>
      <c r="SV872" s="861"/>
      <c r="SW872" s="861"/>
      <c r="SX872" s="861"/>
      <c r="SY872" s="861"/>
      <c r="SZ872" s="861"/>
      <c r="TA872" s="861"/>
      <c r="TB872" s="861"/>
      <c r="TC872" s="861"/>
      <c r="TD872" s="861"/>
      <c r="TE872" s="861"/>
      <c r="TF872" s="861"/>
      <c r="TG872" s="861"/>
      <c r="TH872" s="861"/>
      <c r="TI872" s="861"/>
      <c r="TJ872" s="861"/>
      <c r="TK872" s="861"/>
      <c r="TL872" s="861"/>
      <c r="TM872" s="861"/>
      <c r="TN872" s="861"/>
      <c r="TO872" s="861"/>
      <c r="TP872" s="861"/>
      <c r="TQ872" s="861"/>
      <c r="TR872" s="861"/>
      <c r="TS872" s="861"/>
      <c r="TT872" s="861"/>
      <c r="TU872" s="861"/>
      <c r="TV872" s="861"/>
      <c r="TW872" s="861"/>
      <c r="TX872" s="861"/>
      <c r="TY872" s="861"/>
      <c r="TZ872" s="861"/>
      <c r="UA872" s="861"/>
      <c r="UB872" s="861"/>
      <c r="UC872" s="861"/>
      <c r="UD872" s="861"/>
      <c r="UE872" s="861"/>
      <c r="UF872" s="861"/>
      <c r="UG872" s="862"/>
    </row>
    <row r="873" spans="1:553" s="863" customFormat="1" ht="33" customHeight="1">
      <c r="A873" s="356"/>
      <c r="B873" s="356"/>
      <c r="C873" s="673" t="s">
        <v>23</v>
      </c>
      <c r="D873" s="397">
        <v>2</v>
      </c>
      <c r="E873" s="397">
        <v>293</v>
      </c>
      <c r="F873" s="673"/>
      <c r="G873" s="674" t="s">
        <v>33</v>
      </c>
      <c r="H873" s="675"/>
      <c r="I873" s="490">
        <v>186.8</v>
      </c>
      <c r="J873" s="797">
        <v>72000</v>
      </c>
      <c r="K873" s="857">
        <v>3</v>
      </c>
      <c r="L873" s="481">
        <f t="shared" si="127"/>
        <v>40348800</v>
      </c>
      <c r="M873" s="356"/>
      <c r="N873" s="356"/>
      <c r="O873" s="356"/>
      <c r="P873" s="356"/>
      <c r="Q873" s="610"/>
      <c r="R873" s="1452"/>
      <c r="S873" s="308"/>
      <c r="T873" s="308"/>
      <c r="U873" s="308"/>
      <c r="V873" s="308"/>
      <c r="W873" s="308"/>
      <c r="X873" s="308"/>
      <c r="Y873" s="308"/>
      <c r="Z873" s="604"/>
      <c r="AA873" s="308"/>
      <c r="AB873" s="308"/>
      <c r="AC873" s="449"/>
      <c r="AD873" s="449"/>
      <c r="AE873" s="449"/>
      <c r="AF873" s="449"/>
      <c r="AG873" s="449"/>
      <c r="AH873" s="449"/>
      <c r="AI873" s="449"/>
      <c r="AJ873" s="449"/>
      <c r="AK873" s="452"/>
      <c r="AL873" s="351"/>
      <c r="AM873" s="43"/>
      <c r="AN873" s="43"/>
      <c r="AO873" s="43"/>
      <c r="AP873" s="43"/>
      <c r="AQ873" s="43"/>
      <c r="AR873" s="43"/>
      <c r="AS873" s="43"/>
      <c r="AT873" s="43"/>
      <c r="AU873" s="43"/>
      <c r="AV873" s="43"/>
      <c r="AW873" s="43"/>
      <c r="AX873" s="43"/>
      <c r="AY873" s="43"/>
      <c r="AZ873" s="43"/>
      <c r="BA873" s="43"/>
      <c r="BB873" s="43"/>
      <c r="BC873" s="43"/>
      <c r="BD873" s="43"/>
      <c r="BE873" s="43"/>
      <c r="BF873" s="43"/>
      <c r="BG873" s="43"/>
      <c r="BH873" s="43"/>
      <c r="BI873" s="43"/>
      <c r="BJ873" s="43"/>
      <c r="BK873" s="43"/>
      <c r="BL873" s="43"/>
      <c r="BM873" s="43"/>
      <c r="BN873" s="43"/>
      <c r="BO873" s="43"/>
      <c r="BP873" s="861"/>
      <c r="BQ873" s="861"/>
      <c r="BR873" s="861"/>
      <c r="BS873" s="861"/>
      <c r="BT873" s="861"/>
      <c r="BU873" s="861"/>
      <c r="BV873" s="861"/>
      <c r="BW873" s="861"/>
      <c r="BX873" s="861"/>
      <c r="BY873" s="861"/>
      <c r="BZ873" s="861"/>
      <c r="CA873" s="861"/>
      <c r="CB873" s="861"/>
      <c r="CC873" s="861"/>
      <c r="CD873" s="861"/>
      <c r="CE873" s="861"/>
      <c r="CF873" s="861"/>
      <c r="CG873" s="861"/>
      <c r="CH873" s="861"/>
      <c r="CI873" s="861"/>
      <c r="CJ873" s="861"/>
      <c r="CK873" s="861"/>
      <c r="CL873" s="861"/>
      <c r="CM873" s="861"/>
      <c r="CN873" s="861"/>
      <c r="CO873" s="861"/>
      <c r="CP873" s="861"/>
      <c r="CQ873" s="861"/>
      <c r="CR873" s="861"/>
      <c r="CS873" s="861"/>
      <c r="CT873" s="861"/>
      <c r="CU873" s="861"/>
      <c r="CV873" s="861"/>
      <c r="CW873" s="861"/>
      <c r="CX873" s="861"/>
      <c r="CY873" s="861"/>
      <c r="CZ873" s="861"/>
      <c r="DA873" s="861"/>
      <c r="DB873" s="861"/>
      <c r="DC873" s="861"/>
      <c r="DD873" s="861"/>
      <c r="DE873" s="861"/>
      <c r="DF873" s="861"/>
      <c r="DG873" s="861"/>
      <c r="DH873" s="861"/>
      <c r="DI873" s="861"/>
      <c r="DJ873" s="861"/>
      <c r="DK873" s="861"/>
      <c r="DL873" s="861"/>
      <c r="DM873" s="861"/>
      <c r="DN873" s="861"/>
      <c r="DO873" s="861"/>
      <c r="DP873" s="861"/>
      <c r="DQ873" s="861"/>
      <c r="DR873" s="861"/>
      <c r="DS873" s="861"/>
      <c r="DT873" s="861"/>
      <c r="DU873" s="861"/>
      <c r="DV873" s="861"/>
      <c r="DW873" s="861"/>
      <c r="DX873" s="861"/>
      <c r="DY873" s="861"/>
      <c r="DZ873" s="861"/>
      <c r="EA873" s="861"/>
      <c r="EB873" s="861"/>
      <c r="EC873" s="861"/>
      <c r="ED873" s="861"/>
      <c r="EE873" s="861"/>
      <c r="EF873" s="861"/>
      <c r="EG873" s="861"/>
      <c r="EH873" s="861"/>
      <c r="EI873" s="861"/>
      <c r="EJ873" s="861"/>
      <c r="EK873" s="861"/>
      <c r="EL873" s="861"/>
      <c r="EM873" s="861"/>
      <c r="EN873" s="861"/>
      <c r="EO873" s="861"/>
      <c r="EP873" s="861"/>
      <c r="EQ873" s="861"/>
      <c r="ER873" s="861"/>
      <c r="ES873" s="861"/>
      <c r="ET873" s="861"/>
      <c r="EU873" s="861"/>
      <c r="EV873" s="861"/>
      <c r="EW873" s="861"/>
      <c r="EX873" s="861"/>
      <c r="EY873" s="861"/>
      <c r="EZ873" s="861"/>
      <c r="FA873" s="861"/>
      <c r="FB873" s="861"/>
      <c r="FC873" s="861"/>
      <c r="FD873" s="861"/>
      <c r="FE873" s="861"/>
      <c r="FF873" s="861"/>
      <c r="FG873" s="861"/>
      <c r="FH873" s="861"/>
      <c r="FI873" s="861"/>
      <c r="FJ873" s="861"/>
      <c r="FK873" s="861"/>
      <c r="FL873" s="861"/>
      <c r="FM873" s="861"/>
      <c r="FN873" s="861"/>
      <c r="FO873" s="861"/>
      <c r="FP873" s="861"/>
      <c r="FQ873" s="861"/>
      <c r="FR873" s="861"/>
      <c r="FS873" s="861"/>
      <c r="FT873" s="861"/>
      <c r="FU873" s="861"/>
      <c r="FV873" s="861"/>
      <c r="FW873" s="861"/>
      <c r="FX873" s="861"/>
      <c r="FY873" s="861"/>
      <c r="FZ873" s="861"/>
      <c r="GA873" s="861"/>
      <c r="GB873" s="861"/>
      <c r="GC873" s="861"/>
      <c r="GD873" s="861"/>
      <c r="GE873" s="861"/>
      <c r="GF873" s="861"/>
      <c r="GG873" s="861"/>
      <c r="GH873" s="861"/>
      <c r="GI873" s="861"/>
      <c r="GJ873" s="861"/>
      <c r="GK873" s="861"/>
      <c r="GL873" s="861"/>
      <c r="GM873" s="861"/>
      <c r="GN873" s="861"/>
      <c r="GO873" s="861"/>
      <c r="GP873" s="861"/>
      <c r="GQ873" s="861"/>
      <c r="GR873" s="861"/>
      <c r="GS873" s="861"/>
      <c r="GT873" s="861"/>
      <c r="GU873" s="861"/>
      <c r="GV873" s="861"/>
      <c r="GW873" s="861"/>
      <c r="GX873" s="861"/>
      <c r="GY873" s="861"/>
      <c r="GZ873" s="861"/>
      <c r="HA873" s="861"/>
      <c r="HB873" s="861"/>
      <c r="HC873" s="861"/>
      <c r="HD873" s="861"/>
      <c r="HE873" s="861"/>
      <c r="HF873" s="861"/>
      <c r="HG873" s="861"/>
      <c r="HH873" s="861"/>
      <c r="HI873" s="861"/>
      <c r="HJ873" s="861"/>
      <c r="HK873" s="861"/>
      <c r="HL873" s="861"/>
      <c r="HM873" s="861"/>
      <c r="HN873" s="861"/>
      <c r="HO873" s="861"/>
      <c r="HP873" s="861"/>
      <c r="HQ873" s="861"/>
      <c r="HR873" s="861"/>
      <c r="HS873" s="861"/>
      <c r="HT873" s="861"/>
      <c r="HU873" s="861"/>
      <c r="HV873" s="861"/>
      <c r="HW873" s="861"/>
      <c r="HX873" s="861"/>
      <c r="HY873" s="861"/>
      <c r="HZ873" s="861"/>
      <c r="IA873" s="861"/>
      <c r="IB873" s="861"/>
      <c r="IC873" s="861"/>
      <c r="ID873" s="861"/>
      <c r="IE873" s="861"/>
      <c r="IF873" s="861"/>
      <c r="IG873" s="861"/>
      <c r="IH873" s="861"/>
      <c r="II873" s="861"/>
      <c r="IJ873" s="861"/>
      <c r="IK873" s="861"/>
      <c r="IL873" s="861"/>
      <c r="IM873" s="861"/>
      <c r="IN873" s="861"/>
      <c r="IO873" s="861"/>
      <c r="IP873" s="861"/>
      <c r="IQ873" s="861"/>
      <c r="IR873" s="861"/>
      <c r="IS873" s="861"/>
      <c r="IT873" s="861"/>
      <c r="IU873" s="861"/>
      <c r="IV873" s="861"/>
      <c r="IW873" s="861"/>
      <c r="IX873" s="861"/>
      <c r="IY873" s="861"/>
      <c r="IZ873" s="861"/>
      <c r="JA873" s="861"/>
      <c r="JB873" s="861"/>
      <c r="JC873" s="861"/>
      <c r="JD873" s="861"/>
      <c r="JE873" s="861"/>
      <c r="JF873" s="861"/>
      <c r="JG873" s="861"/>
      <c r="JH873" s="861"/>
      <c r="JI873" s="861"/>
      <c r="JJ873" s="861"/>
      <c r="JK873" s="861"/>
      <c r="JL873" s="861"/>
      <c r="JM873" s="861"/>
      <c r="JN873" s="861"/>
      <c r="JO873" s="861"/>
      <c r="JP873" s="861"/>
      <c r="JQ873" s="861"/>
      <c r="JR873" s="861"/>
      <c r="JS873" s="861"/>
      <c r="JT873" s="861"/>
      <c r="JU873" s="861"/>
      <c r="JV873" s="861"/>
      <c r="JW873" s="861"/>
      <c r="JX873" s="861"/>
      <c r="JY873" s="861"/>
      <c r="JZ873" s="861"/>
      <c r="KA873" s="861"/>
      <c r="KB873" s="861"/>
      <c r="KC873" s="861"/>
      <c r="KD873" s="861"/>
      <c r="KE873" s="861"/>
      <c r="KF873" s="861"/>
      <c r="KG873" s="861"/>
      <c r="KH873" s="861"/>
      <c r="KI873" s="861"/>
      <c r="KJ873" s="861"/>
      <c r="KK873" s="861"/>
      <c r="KL873" s="861"/>
      <c r="KM873" s="861"/>
      <c r="KN873" s="861"/>
      <c r="KO873" s="861"/>
      <c r="KP873" s="861"/>
      <c r="KQ873" s="861"/>
      <c r="KR873" s="861"/>
      <c r="KS873" s="861"/>
      <c r="KT873" s="861"/>
      <c r="KU873" s="861"/>
      <c r="KV873" s="861"/>
      <c r="KW873" s="861"/>
      <c r="KX873" s="861"/>
      <c r="KY873" s="861"/>
      <c r="KZ873" s="861"/>
      <c r="LA873" s="861"/>
      <c r="LB873" s="861"/>
      <c r="LC873" s="861"/>
      <c r="LD873" s="861"/>
      <c r="LE873" s="861"/>
      <c r="LF873" s="861"/>
      <c r="LG873" s="861"/>
      <c r="LH873" s="861"/>
      <c r="LI873" s="861"/>
      <c r="LJ873" s="861"/>
      <c r="LK873" s="861"/>
      <c r="LL873" s="861"/>
      <c r="LM873" s="861"/>
      <c r="LN873" s="861"/>
      <c r="LO873" s="861"/>
      <c r="LP873" s="861"/>
      <c r="LQ873" s="861"/>
      <c r="LR873" s="861"/>
      <c r="LS873" s="861"/>
      <c r="LT873" s="861"/>
      <c r="LU873" s="861"/>
      <c r="LV873" s="861"/>
      <c r="LW873" s="861"/>
      <c r="LX873" s="861"/>
      <c r="LY873" s="861"/>
      <c r="LZ873" s="861"/>
      <c r="MA873" s="861"/>
      <c r="MB873" s="861"/>
      <c r="MC873" s="861"/>
      <c r="MD873" s="861"/>
      <c r="ME873" s="861"/>
      <c r="MF873" s="861"/>
      <c r="MG873" s="861"/>
      <c r="MH873" s="861"/>
      <c r="MI873" s="861"/>
      <c r="MJ873" s="861"/>
      <c r="MK873" s="861"/>
      <c r="ML873" s="861"/>
      <c r="MM873" s="861"/>
      <c r="MN873" s="861"/>
      <c r="MO873" s="861"/>
      <c r="MP873" s="861"/>
      <c r="MQ873" s="861"/>
      <c r="MR873" s="861"/>
      <c r="MS873" s="861"/>
      <c r="MT873" s="861"/>
      <c r="MU873" s="861"/>
      <c r="MV873" s="861"/>
      <c r="MW873" s="861"/>
      <c r="MX873" s="861"/>
      <c r="MY873" s="861"/>
      <c r="MZ873" s="861"/>
      <c r="NA873" s="861"/>
      <c r="NB873" s="861"/>
      <c r="NC873" s="861"/>
      <c r="ND873" s="861"/>
      <c r="NE873" s="861"/>
      <c r="NF873" s="861"/>
      <c r="NG873" s="861"/>
      <c r="NH873" s="861"/>
      <c r="NI873" s="861"/>
      <c r="NJ873" s="861"/>
      <c r="NK873" s="861"/>
      <c r="NL873" s="861"/>
      <c r="NM873" s="861"/>
      <c r="NN873" s="861"/>
      <c r="NO873" s="861"/>
      <c r="NP873" s="861"/>
      <c r="NQ873" s="861"/>
      <c r="NR873" s="861"/>
      <c r="NS873" s="861"/>
      <c r="NT873" s="861"/>
      <c r="NU873" s="861"/>
      <c r="NV873" s="861"/>
      <c r="NW873" s="861"/>
      <c r="NX873" s="861"/>
      <c r="NY873" s="861"/>
      <c r="NZ873" s="861"/>
      <c r="OA873" s="861"/>
      <c r="OB873" s="861"/>
      <c r="OC873" s="861"/>
      <c r="OD873" s="861"/>
      <c r="OE873" s="861"/>
      <c r="OF873" s="861"/>
      <c r="OG873" s="861"/>
      <c r="OH873" s="861"/>
      <c r="OI873" s="861"/>
      <c r="OJ873" s="861"/>
      <c r="OK873" s="861"/>
      <c r="OL873" s="861"/>
      <c r="OM873" s="861"/>
      <c r="ON873" s="861"/>
      <c r="OO873" s="861"/>
      <c r="OP873" s="861"/>
      <c r="OQ873" s="861"/>
      <c r="OR873" s="861"/>
      <c r="OS873" s="861"/>
      <c r="OT873" s="861"/>
      <c r="OU873" s="861"/>
      <c r="OV873" s="861"/>
      <c r="OW873" s="861"/>
      <c r="OX873" s="861"/>
      <c r="OY873" s="861"/>
      <c r="OZ873" s="861"/>
      <c r="PA873" s="861"/>
      <c r="PB873" s="861"/>
      <c r="PC873" s="861"/>
      <c r="PD873" s="861"/>
      <c r="PE873" s="861"/>
      <c r="PF873" s="861"/>
      <c r="PG873" s="861"/>
      <c r="PH873" s="861"/>
      <c r="PI873" s="861"/>
      <c r="PJ873" s="861"/>
      <c r="PK873" s="861"/>
      <c r="PL873" s="861"/>
      <c r="PM873" s="861"/>
      <c r="PN873" s="861"/>
      <c r="PO873" s="861"/>
      <c r="PP873" s="861"/>
      <c r="PQ873" s="861"/>
      <c r="PR873" s="861"/>
      <c r="PS873" s="861"/>
      <c r="PT873" s="861"/>
      <c r="PU873" s="861"/>
      <c r="PV873" s="861"/>
      <c r="PW873" s="861"/>
      <c r="PX873" s="861"/>
      <c r="PY873" s="861"/>
      <c r="PZ873" s="861"/>
      <c r="QA873" s="861"/>
      <c r="QB873" s="861"/>
      <c r="QC873" s="861"/>
      <c r="QD873" s="861"/>
      <c r="QE873" s="861"/>
      <c r="QF873" s="861"/>
      <c r="QG873" s="861"/>
      <c r="QH873" s="861"/>
      <c r="QI873" s="861"/>
      <c r="QJ873" s="861"/>
      <c r="QK873" s="861"/>
      <c r="QL873" s="861"/>
      <c r="QM873" s="861"/>
      <c r="QN873" s="861"/>
      <c r="QO873" s="861"/>
      <c r="QP873" s="861"/>
      <c r="QQ873" s="861"/>
      <c r="QR873" s="861"/>
      <c r="QS873" s="861"/>
      <c r="QT873" s="861"/>
      <c r="QU873" s="861"/>
      <c r="QV873" s="861"/>
      <c r="QW873" s="861"/>
      <c r="QX873" s="861"/>
      <c r="QY873" s="861"/>
      <c r="QZ873" s="861"/>
      <c r="RA873" s="861"/>
      <c r="RB873" s="861"/>
      <c r="RC873" s="861"/>
      <c r="RD873" s="861"/>
      <c r="RE873" s="861"/>
      <c r="RF873" s="861"/>
      <c r="RG873" s="861"/>
      <c r="RH873" s="861"/>
      <c r="RI873" s="861"/>
      <c r="RJ873" s="861"/>
      <c r="RK873" s="861"/>
      <c r="RL873" s="861"/>
      <c r="RM873" s="861"/>
      <c r="RN873" s="861"/>
      <c r="RO873" s="861"/>
      <c r="RP873" s="861"/>
      <c r="RQ873" s="861"/>
      <c r="RR873" s="861"/>
      <c r="RS873" s="861"/>
      <c r="RT873" s="861"/>
      <c r="RU873" s="861"/>
      <c r="RV873" s="861"/>
      <c r="RW873" s="861"/>
      <c r="RX873" s="861"/>
      <c r="RY873" s="861"/>
      <c r="RZ873" s="861"/>
      <c r="SA873" s="861"/>
      <c r="SB873" s="861"/>
      <c r="SC873" s="861"/>
      <c r="SD873" s="861"/>
      <c r="SE873" s="861"/>
      <c r="SF873" s="861"/>
      <c r="SG873" s="861"/>
      <c r="SH873" s="861"/>
      <c r="SI873" s="861"/>
      <c r="SJ873" s="861"/>
      <c r="SK873" s="861"/>
      <c r="SL873" s="861"/>
      <c r="SM873" s="861"/>
      <c r="SN873" s="861"/>
      <c r="SO873" s="861"/>
      <c r="SP873" s="861"/>
      <c r="SQ873" s="861"/>
      <c r="SR873" s="861"/>
      <c r="SS873" s="861"/>
      <c r="ST873" s="861"/>
      <c r="SU873" s="861"/>
      <c r="SV873" s="861"/>
      <c r="SW873" s="861"/>
      <c r="SX873" s="861"/>
      <c r="SY873" s="861"/>
      <c r="SZ873" s="861"/>
      <c r="TA873" s="861"/>
      <c r="TB873" s="861"/>
      <c r="TC873" s="861"/>
      <c r="TD873" s="861"/>
      <c r="TE873" s="861"/>
      <c r="TF873" s="861"/>
      <c r="TG873" s="861"/>
      <c r="TH873" s="861"/>
      <c r="TI873" s="861"/>
      <c r="TJ873" s="861"/>
      <c r="TK873" s="861"/>
      <c r="TL873" s="861"/>
      <c r="TM873" s="861"/>
      <c r="TN873" s="861"/>
      <c r="TO873" s="861"/>
      <c r="TP873" s="861"/>
      <c r="TQ873" s="861"/>
      <c r="TR873" s="861"/>
      <c r="TS873" s="861"/>
      <c r="TT873" s="861"/>
      <c r="TU873" s="861"/>
      <c r="TV873" s="861"/>
      <c r="TW873" s="861"/>
      <c r="TX873" s="861"/>
      <c r="TY873" s="861"/>
      <c r="TZ873" s="861"/>
      <c r="UA873" s="861"/>
      <c r="UB873" s="861"/>
      <c r="UC873" s="861"/>
      <c r="UD873" s="861"/>
      <c r="UE873" s="861"/>
      <c r="UF873" s="861"/>
      <c r="UG873" s="862"/>
    </row>
    <row r="874" spans="1:553" s="863" customFormat="1" ht="33" customHeight="1">
      <c r="A874" s="356"/>
      <c r="B874" s="356"/>
      <c r="C874" s="673" t="s">
        <v>23</v>
      </c>
      <c r="D874" s="397">
        <v>2</v>
      </c>
      <c r="E874" s="397">
        <v>298</v>
      </c>
      <c r="F874" s="673"/>
      <c r="G874" s="674" t="s">
        <v>33</v>
      </c>
      <c r="H874" s="675"/>
      <c r="I874" s="490">
        <v>55.5</v>
      </c>
      <c r="J874" s="797">
        <v>72000</v>
      </c>
      <c r="K874" s="857">
        <v>3</v>
      </c>
      <c r="L874" s="481">
        <f t="shared" si="127"/>
        <v>11988000</v>
      </c>
      <c r="M874" s="356"/>
      <c r="N874" s="356"/>
      <c r="O874" s="356"/>
      <c r="P874" s="356"/>
      <c r="Q874" s="610"/>
      <c r="R874" s="1452"/>
      <c r="S874" s="308"/>
      <c r="T874" s="308"/>
      <c r="U874" s="308"/>
      <c r="V874" s="308"/>
      <c r="W874" s="308"/>
      <c r="X874" s="308"/>
      <c r="Y874" s="308"/>
      <c r="Z874" s="604"/>
      <c r="AA874" s="308"/>
      <c r="AB874" s="308"/>
      <c r="AC874" s="449"/>
      <c r="AD874" s="449"/>
      <c r="AE874" s="449"/>
      <c r="AF874" s="449"/>
      <c r="AG874" s="449"/>
      <c r="AH874" s="449"/>
      <c r="AI874" s="449"/>
      <c r="AJ874" s="449"/>
      <c r="AK874" s="452"/>
      <c r="AL874" s="351"/>
      <c r="AM874" s="43"/>
      <c r="AN874" s="43"/>
      <c r="AO874" s="43"/>
      <c r="AP874" s="43"/>
      <c r="AQ874" s="43"/>
      <c r="AR874" s="43"/>
      <c r="AS874" s="43"/>
      <c r="AT874" s="43"/>
      <c r="AU874" s="43"/>
      <c r="AV874" s="43"/>
      <c r="AW874" s="43"/>
      <c r="AX874" s="43"/>
      <c r="AY874" s="43"/>
      <c r="AZ874" s="43"/>
      <c r="BA874" s="43"/>
      <c r="BB874" s="43"/>
      <c r="BC874" s="43"/>
      <c r="BD874" s="43"/>
      <c r="BE874" s="43"/>
      <c r="BF874" s="43"/>
      <c r="BG874" s="43"/>
      <c r="BH874" s="43"/>
      <c r="BI874" s="43"/>
      <c r="BJ874" s="43"/>
      <c r="BK874" s="43"/>
      <c r="BL874" s="43"/>
      <c r="BM874" s="43"/>
      <c r="BN874" s="43"/>
      <c r="BO874" s="43"/>
      <c r="BP874" s="861"/>
      <c r="BQ874" s="861"/>
      <c r="BR874" s="861"/>
      <c r="BS874" s="861"/>
      <c r="BT874" s="861"/>
      <c r="BU874" s="861"/>
      <c r="BV874" s="861"/>
      <c r="BW874" s="861"/>
      <c r="BX874" s="861"/>
      <c r="BY874" s="861"/>
      <c r="BZ874" s="861"/>
      <c r="CA874" s="861"/>
      <c r="CB874" s="861"/>
      <c r="CC874" s="861"/>
      <c r="CD874" s="861"/>
      <c r="CE874" s="861"/>
      <c r="CF874" s="861"/>
      <c r="CG874" s="861"/>
      <c r="CH874" s="861"/>
      <c r="CI874" s="861"/>
      <c r="CJ874" s="861"/>
      <c r="CK874" s="861"/>
      <c r="CL874" s="861"/>
      <c r="CM874" s="861"/>
      <c r="CN874" s="861"/>
      <c r="CO874" s="861"/>
      <c r="CP874" s="861"/>
      <c r="CQ874" s="861"/>
      <c r="CR874" s="861"/>
      <c r="CS874" s="861"/>
      <c r="CT874" s="861"/>
      <c r="CU874" s="861"/>
      <c r="CV874" s="861"/>
      <c r="CW874" s="861"/>
      <c r="CX874" s="861"/>
      <c r="CY874" s="861"/>
      <c r="CZ874" s="861"/>
      <c r="DA874" s="861"/>
      <c r="DB874" s="861"/>
      <c r="DC874" s="861"/>
      <c r="DD874" s="861"/>
      <c r="DE874" s="861"/>
      <c r="DF874" s="861"/>
      <c r="DG874" s="861"/>
      <c r="DH874" s="861"/>
      <c r="DI874" s="861"/>
      <c r="DJ874" s="861"/>
      <c r="DK874" s="861"/>
      <c r="DL874" s="861"/>
      <c r="DM874" s="861"/>
      <c r="DN874" s="861"/>
      <c r="DO874" s="861"/>
      <c r="DP874" s="861"/>
      <c r="DQ874" s="861"/>
      <c r="DR874" s="861"/>
      <c r="DS874" s="861"/>
      <c r="DT874" s="861"/>
      <c r="DU874" s="861"/>
      <c r="DV874" s="861"/>
      <c r="DW874" s="861"/>
      <c r="DX874" s="861"/>
      <c r="DY874" s="861"/>
      <c r="DZ874" s="861"/>
      <c r="EA874" s="861"/>
      <c r="EB874" s="861"/>
      <c r="EC874" s="861"/>
      <c r="ED874" s="861"/>
      <c r="EE874" s="861"/>
      <c r="EF874" s="861"/>
      <c r="EG874" s="861"/>
      <c r="EH874" s="861"/>
      <c r="EI874" s="861"/>
      <c r="EJ874" s="861"/>
      <c r="EK874" s="861"/>
      <c r="EL874" s="861"/>
      <c r="EM874" s="861"/>
      <c r="EN874" s="861"/>
      <c r="EO874" s="861"/>
      <c r="EP874" s="861"/>
      <c r="EQ874" s="861"/>
      <c r="ER874" s="861"/>
      <c r="ES874" s="861"/>
      <c r="ET874" s="861"/>
      <c r="EU874" s="861"/>
      <c r="EV874" s="861"/>
      <c r="EW874" s="861"/>
      <c r="EX874" s="861"/>
      <c r="EY874" s="861"/>
      <c r="EZ874" s="861"/>
      <c r="FA874" s="861"/>
      <c r="FB874" s="861"/>
      <c r="FC874" s="861"/>
      <c r="FD874" s="861"/>
      <c r="FE874" s="861"/>
      <c r="FF874" s="861"/>
      <c r="FG874" s="861"/>
      <c r="FH874" s="861"/>
      <c r="FI874" s="861"/>
      <c r="FJ874" s="861"/>
      <c r="FK874" s="861"/>
      <c r="FL874" s="861"/>
      <c r="FM874" s="861"/>
      <c r="FN874" s="861"/>
      <c r="FO874" s="861"/>
      <c r="FP874" s="861"/>
      <c r="FQ874" s="861"/>
      <c r="FR874" s="861"/>
      <c r="FS874" s="861"/>
      <c r="FT874" s="861"/>
      <c r="FU874" s="861"/>
      <c r="FV874" s="861"/>
      <c r="FW874" s="861"/>
      <c r="FX874" s="861"/>
      <c r="FY874" s="861"/>
      <c r="FZ874" s="861"/>
      <c r="GA874" s="861"/>
      <c r="GB874" s="861"/>
      <c r="GC874" s="861"/>
      <c r="GD874" s="861"/>
      <c r="GE874" s="861"/>
      <c r="GF874" s="861"/>
      <c r="GG874" s="861"/>
      <c r="GH874" s="861"/>
      <c r="GI874" s="861"/>
      <c r="GJ874" s="861"/>
      <c r="GK874" s="861"/>
      <c r="GL874" s="861"/>
      <c r="GM874" s="861"/>
      <c r="GN874" s="861"/>
      <c r="GO874" s="861"/>
      <c r="GP874" s="861"/>
      <c r="GQ874" s="861"/>
      <c r="GR874" s="861"/>
      <c r="GS874" s="861"/>
      <c r="GT874" s="861"/>
      <c r="GU874" s="861"/>
      <c r="GV874" s="861"/>
      <c r="GW874" s="861"/>
      <c r="GX874" s="861"/>
      <c r="GY874" s="861"/>
      <c r="GZ874" s="861"/>
      <c r="HA874" s="861"/>
      <c r="HB874" s="861"/>
      <c r="HC874" s="861"/>
      <c r="HD874" s="861"/>
      <c r="HE874" s="861"/>
      <c r="HF874" s="861"/>
      <c r="HG874" s="861"/>
      <c r="HH874" s="861"/>
      <c r="HI874" s="861"/>
      <c r="HJ874" s="861"/>
      <c r="HK874" s="861"/>
      <c r="HL874" s="861"/>
      <c r="HM874" s="861"/>
      <c r="HN874" s="861"/>
      <c r="HO874" s="861"/>
      <c r="HP874" s="861"/>
      <c r="HQ874" s="861"/>
      <c r="HR874" s="861"/>
      <c r="HS874" s="861"/>
      <c r="HT874" s="861"/>
      <c r="HU874" s="861"/>
      <c r="HV874" s="861"/>
      <c r="HW874" s="861"/>
      <c r="HX874" s="861"/>
      <c r="HY874" s="861"/>
      <c r="HZ874" s="861"/>
      <c r="IA874" s="861"/>
      <c r="IB874" s="861"/>
      <c r="IC874" s="861"/>
      <c r="ID874" s="861"/>
      <c r="IE874" s="861"/>
      <c r="IF874" s="861"/>
      <c r="IG874" s="861"/>
      <c r="IH874" s="861"/>
      <c r="II874" s="861"/>
      <c r="IJ874" s="861"/>
      <c r="IK874" s="861"/>
      <c r="IL874" s="861"/>
      <c r="IM874" s="861"/>
      <c r="IN874" s="861"/>
      <c r="IO874" s="861"/>
      <c r="IP874" s="861"/>
      <c r="IQ874" s="861"/>
      <c r="IR874" s="861"/>
      <c r="IS874" s="861"/>
      <c r="IT874" s="861"/>
      <c r="IU874" s="861"/>
      <c r="IV874" s="861"/>
      <c r="IW874" s="861"/>
      <c r="IX874" s="861"/>
      <c r="IY874" s="861"/>
      <c r="IZ874" s="861"/>
      <c r="JA874" s="861"/>
      <c r="JB874" s="861"/>
      <c r="JC874" s="861"/>
      <c r="JD874" s="861"/>
      <c r="JE874" s="861"/>
      <c r="JF874" s="861"/>
      <c r="JG874" s="861"/>
      <c r="JH874" s="861"/>
      <c r="JI874" s="861"/>
      <c r="JJ874" s="861"/>
      <c r="JK874" s="861"/>
      <c r="JL874" s="861"/>
      <c r="JM874" s="861"/>
      <c r="JN874" s="861"/>
      <c r="JO874" s="861"/>
      <c r="JP874" s="861"/>
      <c r="JQ874" s="861"/>
      <c r="JR874" s="861"/>
      <c r="JS874" s="861"/>
      <c r="JT874" s="861"/>
      <c r="JU874" s="861"/>
      <c r="JV874" s="861"/>
      <c r="JW874" s="861"/>
      <c r="JX874" s="861"/>
      <c r="JY874" s="861"/>
      <c r="JZ874" s="861"/>
      <c r="KA874" s="861"/>
      <c r="KB874" s="861"/>
      <c r="KC874" s="861"/>
      <c r="KD874" s="861"/>
      <c r="KE874" s="861"/>
      <c r="KF874" s="861"/>
      <c r="KG874" s="861"/>
      <c r="KH874" s="861"/>
      <c r="KI874" s="861"/>
      <c r="KJ874" s="861"/>
      <c r="KK874" s="861"/>
      <c r="KL874" s="861"/>
      <c r="KM874" s="861"/>
      <c r="KN874" s="861"/>
      <c r="KO874" s="861"/>
      <c r="KP874" s="861"/>
      <c r="KQ874" s="861"/>
      <c r="KR874" s="861"/>
      <c r="KS874" s="861"/>
      <c r="KT874" s="861"/>
      <c r="KU874" s="861"/>
      <c r="KV874" s="861"/>
      <c r="KW874" s="861"/>
      <c r="KX874" s="861"/>
      <c r="KY874" s="861"/>
      <c r="KZ874" s="861"/>
      <c r="LA874" s="861"/>
      <c r="LB874" s="861"/>
      <c r="LC874" s="861"/>
      <c r="LD874" s="861"/>
      <c r="LE874" s="861"/>
      <c r="LF874" s="861"/>
      <c r="LG874" s="861"/>
      <c r="LH874" s="861"/>
      <c r="LI874" s="861"/>
      <c r="LJ874" s="861"/>
      <c r="LK874" s="861"/>
      <c r="LL874" s="861"/>
      <c r="LM874" s="861"/>
      <c r="LN874" s="861"/>
      <c r="LO874" s="861"/>
      <c r="LP874" s="861"/>
      <c r="LQ874" s="861"/>
      <c r="LR874" s="861"/>
      <c r="LS874" s="861"/>
      <c r="LT874" s="861"/>
      <c r="LU874" s="861"/>
      <c r="LV874" s="861"/>
      <c r="LW874" s="861"/>
      <c r="LX874" s="861"/>
      <c r="LY874" s="861"/>
      <c r="LZ874" s="861"/>
      <c r="MA874" s="861"/>
      <c r="MB874" s="861"/>
      <c r="MC874" s="861"/>
      <c r="MD874" s="861"/>
      <c r="ME874" s="861"/>
      <c r="MF874" s="861"/>
      <c r="MG874" s="861"/>
      <c r="MH874" s="861"/>
      <c r="MI874" s="861"/>
      <c r="MJ874" s="861"/>
      <c r="MK874" s="861"/>
      <c r="ML874" s="861"/>
      <c r="MM874" s="861"/>
      <c r="MN874" s="861"/>
      <c r="MO874" s="861"/>
      <c r="MP874" s="861"/>
      <c r="MQ874" s="861"/>
      <c r="MR874" s="861"/>
      <c r="MS874" s="861"/>
      <c r="MT874" s="861"/>
      <c r="MU874" s="861"/>
      <c r="MV874" s="861"/>
      <c r="MW874" s="861"/>
      <c r="MX874" s="861"/>
      <c r="MY874" s="861"/>
      <c r="MZ874" s="861"/>
      <c r="NA874" s="861"/>
      <c r="NB874" s="861"/>
      <c r="NC874" s="861"/>
      <c r="ND874" s="861"/>
      <c r="NE874" s="861"/>
      <c r="NF874" s="861"/>
      <c r="NG874" s="861"/>
      <c r="NH874" s="861"/>
      <c r="NI874" s="861"/>
      <c r="NJ874" s="861"/>
      <c r="NK874" s="861"/>
      <c r="NL874" s="861"/>
      <c r="NM874" s="861"/>
      <c r="NN874" s="861"/>
      <c r="NO874" s="861"/>
      <c r="NP874" s="861"/>
      <c r="NQ874" s="861"/>
      <c r="NR874" s="861"/>
      <c r="NS874" s="861"/>
      <c r="NT874" s="861"/>
      <c r="NU874" s="861"/>
      <c r="NV874" s="861"/>
      <c r="NW874" s="861"/>
      <c r="NX874" s="861"/>
      <c r="NY874" s="861"/>
      <c r="NZ874" s="861"/>
      <c r="OA874" s="861"/>
      <c r="OB874" s="861"/>
      <c r="OC874" s="861"/>
      <c r="OD874" s="861"/>
      <c r="OE874" s="861"/>
      <c r="OF874" s="861"/>
      <c r="OG874" s="861"/>
      <c r="OH874" s="861"/>
      <c r="OI874" s="861"/>
      <c r="OJ874" s="861"/>
      <c r="OK874" s="861"/>
      <c r="OL874" s="861"/>
      <c r="OM874" s="861"/>
      <c r="ON874" s="861"/>
      <c r="OO874" s="861"/>
      <c r="OP874" s="861"/>
      <c r="OQ874" s="861"/>
      <c r="OR874" s="861"/>
      <c r="OS874" s="861"/>
      <c r="OT874" s="861"/>
      <c r="OU874" s="861"/>
      <c r="OV874" s="861"/>
      <c r="OW874" s="861"/>
      <c r="OX874" s="861"/>
      <c r="OY874" s="861"/>
      <c r="OZ874" s="861"/>
      <c r="PA874" s="861"/>
      <c r="PB874" s="861"/>
      <c r="PC874" s="861"/>
      <c r="PD874" s="861"/>
      <c r="PE874" s="861"/>
      <c r="PF874" s="861"/>
      <c r="PG874" s="861"/>
      <c r="PH874" s="861"/>
      <c r="PI874" s="861"/>
      <c r="PJ874" s="861"/>
      <c r="PK874" s="861"/>
      <c r="PL874" s="861"/>
      <c r="PM874" s="861"/>
      <c r="PN874" s="861"/>
      <c r="PO874" s="861"/>
      <c r="PP874" s="861"/>
      <c r="PQ874" s="861"/>
      <c r="PR874" s="861"/>
      <c r="PS874" s="861"/>
      <c r="PT874" s="861"/>
      <c r="PU874" s="861"/>
      <c r="PV874" s="861"/>
      <c r="PW874" s="861"/>
      <c r="PX874" s="861"/>
      <c r="PY874" s="861"/>
      <c r="PZ874" s="861"/>
      <c r="QA874" s="861"/>
      <c r="QB874" s="861"/>
      <c r="QC874" s="861"/>
      <c r="QD874" s="861"/>
      <c r="QE874" s="861"/>
      <c r="QF874" s="861"/>
      <c r="QG874" s="861"/>
      <c r="QH874" s="861"/>
      <c r="QI874" s="861"/>
      <c r="QJ874" s="861"/>
      <c r="QK874" s="861"/>
      <c r="QL874" s="861"/>
      <c r="QM874" s="861"/>
      <c r="QN874" s="861"/>
      <c r="QO874" s="861"/>
      <c r="QP874" s="861"/>
      <c r="QQ874" s="861"/>
      <c r="QR874" s="861"/>
      <c r="QS874" s="861"/>
      <c r="QT874" s="861"/>
      <c r="QU874" s="861"/>
      <c r="QV874" s="861"/>
      <c r="QW874" s="861"/>
      <c r="QX874" s="861"/>
      <c r="QY874" s="861"/>
      <c r="QZ874" s="861"/>
      <c r="RA874" s="861"/>
      <c r="RB874" s="861"/>
      <c r="RC874" s="861"/>
      <c r="RD874" s="861"/>
      <c r="RE874" s="861"/>
      <c r="RF874" s="861"/>
      <c r="RG874" s="861"/>
      <c r="RH874" s="861"/>
      <c r="RI874" s="861"/>
      <c r="RJ874" s="861"/>
      <c r="RK874" s="861"/>
      <c r="RL874" s="861"/>
      <c r="RM874" s="861"/>
      <c r="RN874" s="861"/>
      <c r="RO874" s="861"/>
      <c r="RP874" s="861"/>
      <c r="RQ874" s="861"/>
      <c r="RR874" s="861"/>
      <c r="RS874" s="861"/>
      <c r="RT874" s="861"/>
      <c r="RU874" s="861"/>
      <c r="RV874" s="861"/>
      <c r="RW874" s="861"/>
      <c r="RX874" s="861"/>
      <c r="RY874" s="861"/>
      <c r="RZ874" s="861"/>
      <c r="SA874" s="861"/>
      <c r="SB874" s="861"/>
      <c r="SC874" s="861"/>
      <c r="SD874" s="861"/>
      <c r="SE874" s="861"/>
      <c r="SF874" s="861"/>
      <c r="SG874" s="861"/>
      <c r="SH874" s="861"/>
      <c r="SI874" s="861"/>
      <c r="SJ874" s="861"/>
      <c r="SK874" s="861"/>
      <c r="SL874" s="861"/>
      <c r="SM874" s="861"/>
      <c r="SN874" s="861"/>
      <c r="SO874" s="861"/>
      <c r="SP874" s="861"/>
      <c r="SQ874" s="861"/>
      <c r="SR874" s="861"/>
      <c r="SS874" s="861"/>
      <c r="ST874" s="861"/>
      <c r="SU874" s="861"/>
      <c r="SV874" s="861"/>
      <c r="SW874" s="861"/>
      <c r="SX874" s="861"/>
      <c r="SY874" s="861"/>
      <c r="SZ874" s="861"/>
      <c r="TA874" s="861"/>
      <c r="TB874" s="861"/>
      <c r="TC874" s="861"/>
      <c r="TD874" s="861"/>
      <c r="TE874" s="861"/>
      <c r="TF874" s="861"/>
      <c r="TG874" s="861"/>
      <c r="TH874" s="861"/>
      <c r="TI874" s="861"/>
      <c r="TJ874" s="861"/>
      <c r="TK874" s="861"/>
      <c r="TL874" s="861"/>
      <c r="TM874" s="861"/>
      <c r="TN874" s="861"/>
      <c r="TO874" s="861"/>
      <c r="TP874" s="861"/>
      <c r="TQ874" s="861"/>
      <c r="TR874" s="861"/>
      <c r="TS874" s="861"/>
      <c r="TT874" s="861"/>
      <c r="TU874" s="861"/>
      <c r="TV874" s="861"/>
      <c r="TW874" s="861"/>
      <c r="TX874" s="861"/>
      <c r="TY874" s="861"/>
      <c r="TZ874" s="861"/>
      <c r="UA874" s="861"/>
      <c r="UB874" s="861"/>
      <c r="UC874" s="861"/>
      <c r="UD874" s="861"/>
      <c r="UE874" s="861"/>
      <c r="UF874" s="861"/>
      <c r="UG874" s="862"/>
    </row>
    <row r="875" spans="1:553" s="863" customFormat="1" ht="33" customHeight="1">
      <c r="A875" s="356"/>
      <c r="B875" s="356"/>
      <c r="C875" s="673" t="s">
        <v>213</v>
      </c>
      <c r="D875" s="397">
        <v>2</v>
      </c>
      <c r="E875" s="397">
        <v>334</v>
      </c>
      <c r="F875" s="673"/>
      <c r="G875" s="674" t="s">
        <v>33</v>
      </c>
      <c r="H875" s="675"/>
      <c r="I875" s="490">
        <v>375</v>
      </c>
      <c r="J875" s="797">
        <v>66000</v>
      </c>
      <c r="K875" s="857">
        <v>2.5</v>
      </c>
      <c r="L875" s="481">
        <f t="shared" si="127"/>
        <v>61875000</v>
      </c>
      <c r="M875" s="356"/>
      <c r="N875" s="356"/>
      <c r="O875" s="356"/>
      <c r="P875" s="356"/>
      <c r="Q875" s="610"/>
      <c r="R875" s="1452"/>
      <c r="S875" s="308"/>
      <c r="T875" s="308"/>
      <c r="U875" s="308"/>
      <c r="V875" s="308"/>
      <c r="W875" s="308"/>
      <c r="X875" s="308"/>
      <c r="Y875" s="308"/>
      <c r="Z875" s="604"/>
      <c r="AA875" s="308"/>
      <c r="AB875" s="308"/>
      <c r="AC875" s="449"/>
      <c r="AD875" s="449"/>
      <c r="AE875" s="449"/>
      <c r="AF875" s="449"/>
      <c r="AG875" s="449"/>
      <c r="AH875" s="449"/>
      <c r="AI875" s="449"/>
      <c r="AJ875" s="449"/>
      <c r="AK875" s="452"/>
      <c r="AL875" s="351"/>
      <c r="AM875" s="43"/>
      <c r="AN875" s="43"/>
      <c r="AO875" s="43"/>
      <c r="AP875" s="43"/>
      <c r="AQ875" s="43"/>
      <c r="AR875" s="43"/>
      <c r="AS875" s="43"/>
      <c r="AT875" s="43"/>
      <c r="AU875" s="43"/>
      <c r="AV875" s="43"/>
      <c r="AW875" s="43"/>
      <c r="AX875" s="43"/>
      <c r="AY875" s="43"/>
      <c r="AZ875" s="43"/>
      <c r="BA875" s="43"/>
      <c r="BB875" s="43"/>
      <c r="BC875" s="43"/>
      <c r="BD875" s="43"/>
      <c r="BE875" s="43"/>
      <c r="BF875" s="43"/>
      <c r="BG875" s="43"/>
      <c r="BH875" s="43"/>
      <c r="BI875" s="43"/>
      <c r="BJ875" s="43"/>
      <c r="BK875" s="43"/>
      <c r="BL875" s="43"/>
      <c r="BM875" s="43"/>
      <c r="BN875" s="43"/>
      <c r="BO875" s="43"/>
      <c r="BP875" s="861"/>
      <c r="BQ875" s="861"/>
      <c r="BR875" s="861"/>
      <c r="BS875" s="861"/>
      <c r="BT875" s="861"/>
      <c r="BU875" s="861"/>
      <c r="BV875" s="861"/>
      <c r="BW875" s="861"/>
      <c r="BX875" s="861"/>
      <c r="BY875" s="861"/>
      <c r="BZ875" s="861"/>
      <c r="CA875" s="861"/>
      <c r="CB875" s="861"/>
      <c r="CC875" s="861"/>
      <c r="CD875" s="861"/>
      <c r="CE875" s="861"/>
      <c r="CF875" s="861"/>
      <c r="CG875" s="861"/>
      <c r="CH875" s="861"/>
      <c r="CI875" s="861"/>
      <c r="CJ875" s="861"/>
      <c r="CK875" s="861"/>
      <c r="CL875" s="861"/>
      <c r="CM875" s="861"/>
      <c r="CN875" s="861"/>
      <c r="CO875" s="861"/>
      <c r="CP875" s="861"/>
      <c r="CQ875" s="861"/>
      <c r="CR875" s="861"/>
      <c r="CS875" s="861"/>
      <c r="CT875" s="861"/>
      <c r="CU875" s="861"/>
      <c r="CV875" s="861"/>
      <c r="CW875" s="861"/>
      <c r="CX875" s="861"/>
      <c r="CY875" s="861"/>
      <c r="CZ875" s="861"/>
      <c r="DA875" s="861"/>
      <c r="DB875" s="861"/>
      <c r="DC875" s="861"/>
      <c r="DD875" s="861"/>
      <c r="DE875" s="861"/>
      <c r="DF875" s="861"/>
      <c r="DG875" s="861"/>
      <c r="DH875" s="861"/>
      <c r="DI875" s="861"/>
      <c r="DJ875" s="861"/>
      <c r="DK875" s="861"/>
      <c r="DL875" s="861"/>
      <c r="DM875" s="861"/>
      <c r="DN875" s="861"/>
      <c r="DO875" s="861"/>
      <c r="DP875" s="861"/>
      <c r="DQ875" s="861"/>
      <c r="DR875" s="861"/>
      <c r="DS875" s="861"/>
      <c r="DT875" s="861"/>
      <c r="DU875" s="861"/>
      <c r="DV875" s="861"/>
      <c r="DW875" s="861"/>
      <c r="DX875" s="861"/>
      <c r="DY875" s="861"/>
      <c r="DZ875" s="861"/>
      <c r="EA875" s="861"/>
      <c r="EB875" s="861"/>
      <c r="EC875" s="861"/>
      <c r="ED875" s="861"/>
      <c r="EE875" s="861"/>
      <c r="EF875" s="861"/>
      <c r="EG875" s="861"/>
      <c r="EH875" s="861"/>
      <c r="EI875" s="861"/>
      <c r="EJ875" s="861"/>
      <c r="EK875" s="861"/>
      <c r="EL875" s="861"/>
      <c r="EM875" s="861"/>
      <c r="EN875" s="861"/>
      <c r="EO875" s="861"/>
      <c r="EP875" s="861"/>
      <c r="EQ875" s="861"/>
      <c r="ER875" s="861"/>
      <c r="ES875" s="861"/>
      <c r="ET875" s="861"/>
      <c r="EU875" s="861"/>
      <c r="EV875" s="861"/>
      <c r="EW875" s="861"/>
      <c r="EX875" s="861"/>
      <c r="EY875" s="861"/>
      <c r="EZ875" s="861"/>
      <c r="FA875" s="861"/>
      <c r="FB875" s="861"/>
      <c r="FC875" s="861"/>
      <c r="FD875" s="861"/>
      <c r="FE875" s="861"/>
      <c r="FF875" s="861"/>
      <c r="FG875" s="861"/>
      <c r="FH875" s="861"/>
      <c r="FI875" s="861"/>
      <c r="FJ875" s="861"/>
      <c r="FK875" s="861"/>
      <c r="FL875" s="861"/>
      <c r="FM875" s="861"/>
      <c r="FN875" s="861"/>
      <c r="FO875" s="861"/>
      <c r="FP875" s="861"/>
      <c r="FQ875" s="861"/>
      <c r="FR875" s="861"/>
      <c r="FS875" s="861"/>
      <c r="FT875" s="861"/>
      <c r="FU875" s="861"/>
      <c r="FV875" s="861"/>
      <c r="FW875" s="861"/>
      <c r="FX875" s="861"/>
      <c r="FY875" s="861"/>
      <c r="FZ875" s="861"/>
      <c r="GA875" s="861"/>
      <c r="GB875" s="861"/>
      <c r="GC875" s="861"/>
      <c r="GD875" s="861"/>
      <c r="GE875" s="861"/>
      <c r="GF875" s="861"/>
      <c r="GG875" s="861"/>
      <c r="GH875" s="861"/>
      <c r="GI875" s="861"/>
      <c r="GJ875" s="861"/>
      <c r="GK875" s="861"/>
      <c r="GL875" s="861"/>
      <c r="GM875" s="861"/>
      <c r="GN875" s="861"/>
      <c r="GO875" s="861"/>
      <c r="GP875" s="861"/>
      <c r="GQ875" s="861"/>
      <c r="GR875" s="861"/>
      <c r="GS875" s="861"/>
      <c r="GT875" s="861"/>
      <c r="GU875" s="861"/>
      <c r="GV875" s="861"/>
      <c r="GW875" s="861"/>
      <c r="GX875" s="861"/>
      <c r="GY875" s="861"/>
      <c r="GZ875" s="861"/>
      <c r="HA875" s="861"/>
      <c r="HB875" s="861"/>
      <c r="HC875" s="861"/>
      <c r="HD875" s="861"/>
      <c r="HE875" s="861"/>
      <c r="HF875" s="861"/>
      <c r="HG875" s="861"/>
      <c r="HH875" s="861"/>
      <c r="HI875" s="861"/>
      <c r="HJ875" s="861"/>
      <c r="HK875" s="861"/>
      <c r="HL875" s="861"/>
      <c r="HM875" s="861"/>
      <c r="HN875" s="861"/>
      <c r="HO875" s="861"/>
      <c r="HP875" s="861"/>
      <c r="HQ875" s="861"/>
      <c r="HR875" s="861"/>
      <c r="HS875" s="861"/>
      <c r="HT875" s="861"/>
      <c r="HU875" s="861"/>
      <c r="HV875" s="861"/>
      <c r="HW875" s="861"/>
      <c r="HX875" s="861"/>
      <c r="HY875" s="861"/>
      <c r="HZ875" s="861"/>
      <c r="IA875" s="861"/>
      <c r="IB875" s="861"/>
      <c r="IC875" s="861"/>
      <c r="ID875" s="861"/>
      <c r="IE875" s="861"/>
      <c r="IF875" s="861"/>
      <c r="IG875" s="861"/>
      <c r="IH875" s="861"/>
      <c r="II875" s="861"/>
      <c r="IJ875" s="861"/>
      <c r="IK875" s="861"/>
      <c r="IL875" s="861"/>
      <c r="IM875" s="861"/>
      <c r="IN875" s="861"/>
      <c r="IO875" s="861"/>
      <c r="IP875" s="861"/>
      <c r="IQ875" s="861"/>
      <c r="IR875" s="861"/>
      <c r="IS875" s="861"/>
      <c r="IT875" s="861"/>
      <c r="IU875" s="861"/>
      <c r="IV875" s="861"/>
      <c r="IW875" s="861"/>
      <c r="IX875" s="861"/>
      <c r="IY875" s="861"/>
      <c r="IZ875" s="861"/>
      <c r="JA875" s="861"/>
      <c r="JB875" s="861"/>
      <c r="JC875" s="861"/>
      <c r="JD875" s="861"/>
      <c r="JE875" s="861"/>
      <c r="JF875" s="861"/>
      <c r="JG875" s="861"/>
      <c r="JH875" s="861"/>
      <c r="JI875" s="861"/>
      <c r="JJ875" s="861"/>
      <c r="JK875" s="861"/>
      <c r="JL875" s="861"/>
      <c r="JM875" s="861"/>
      <c r="JN875" s="861"/>
      <c r="JO875" s="861"/>
      <c r="JP875" s="861"/>
      <c r="JQ875" s="861"/>
      <c r="JR875" s="861"/>
      <c r="JS875" s="861"/>
      <c r="JT875" s="861"/>
      <c r="JU875" s="861"/>
      <c r="JV875" s="861"/>
      <c r="JW875" s="861"/>
      <c r="JX875" s="861"/>
      <c r="JY875" s="861"/>
      <c r="JZ875" s="861"/>
      <c r="KA875" s="861"/>
      <c r="KB875" s="861"/>
      <c r="KC875" s="861"/>
      <c r="KD875" s="861"/>
      <c r="KE875" s="861"/>
      <c r="KF875" s="861"/>
      <c r="KG875" s="861"/>
      <c r="KH875" s="861"/>
      <c r="KI875" s="861"/>
      <c r="KJ875" s="861"/>
      <c r="KK875" s="861"/>
      <c r="KL875" s="861"/>
      <c r="KM875" s="861"/>
      <c r="KN875" s="861"/>
      <c r="KO875" s="861"/>
      <c r="KP875" s="861"/>
      <c r="KQ875" s="861"/>
      <c r="KR875" s="861"/>
      <c r="KS875" s="861"/>
      <c r="KT875" s="861"/>
      <c r="KU875" s="861"/>
      <c r="KV875" s="861"/>
      <c r="KW875" s="861"/>
      <c r="KX875" s="861"/>
      <c r="KY875" s="861"/>
      <c r="KZ875" s="861"/>
      <c r="LA875" s="861"/>
      <c r="LB875" s="861"/>
      <c r="LC875" s="861"/>
      <c r="LD875" s="861"/>
      <c r="LE875" s="861"/>
      <c r="LF875" s="861"/>
      <c r="LG875" s="861"/>
      <c r="LH875" s="861"/>
      <c r="LI875" s="861"/>
      <c r="LJ875" s="861"/>
      <c r="LK875" s="861"/>
      <c r="LL875" s="861"/>
      <c r="LM875" s="861"/>
      <c r="LN875" s="861"/>
      <c r="LO875" s="861"/>
      <c r="LP875" s="861"/>
      <c r="LQ875" s="861"/>
      <c r="LR875" s="861"/>
      <c r="LS875" s="861"/>
      <c r="LT875" s="861"/>
      <c r="LU875" s="861"/>
      <c r="LV875" s="861"/>
      <c r="LW875" s="861"/>
      <c r="LX875" s="861"/>
      <c r="LY875" s="861"/>
      <c r="LZ875" s="861"/>
      <c r="MA875" s="861"/>
      <c r="MB875" s="861"/>
      <c r="MC875" s="861"/>
      <c r="MD875" s="861"/>
      <c r="ME875" s="861"/>
      <c r="MF875" s="861"/>
      <c r="MG875" s="861"/>
      <c r="MH875" s="861"/>
      <c r="MI875" s="861"/>
      <c r="MJ875" s="861"/>
      <c r="MK875" s="861"/>
      <c r="ML875" s="861"/>
      <c r="MM875" s="861"/>
      <c r="MN875" s="861"/>
      <c r="MO875" s="861"/>
      <c r="MP875" s="861"/>
      <c r="MQ875" s="861"/>
      <c r="MR875" s="861"/>
      <c r="MS875" s="861"/>
      <c r="MT875" s="861"/>
      <c r="MU875" s="861"/>
      <c r="MV875" s="861"/>
      <c r="MW875" s="861"/>
      <c r="MX875" s="861"/>
      <c r="MY875" s="861"/>
      <c r="MZ875" s="861"/>
      <c r="NA875" s="861"/>
      <c r="NB875" s="861"/>
      <c r="NC875" s="861"/>
      <c r="ND875" s="861"/>
      <c r="NE875" s="861"/>
      <c r="NF875" s="861"/>
      <c r="NG875" s="861"/>
      <c r="NH875" s="861"/>
      <c r="NI875" s="861"/>
      <c r="NJ875" s="861"/>
      <c r="NK875" s="861"/>
      <c r="NL875" s="861"/>
      <c r="NM875" s="861"/>
      <c r="NN875" s="861"/>
      <c r="NO875" s="861"/>
      <c r="NP875" s="861"/>
      <c r="NQ875" s="861"/>
      <c r="NR875" s="861"/>
      <c r="NS875" s="861"/>
      <c r="NT875" s="861"/>
      <c r="NU875" s="861"/>
      <c r="NV875" s="861"/>
      <c r="NW875" s="861"/>
      <c r="NX875" s="861"/>
      <c r="NY875" s="861"/>
      <c r="NZ875" s="861"/>
      <c r="OA875" s="861"/>
      <c r="OB875" s="861"/>
      <c r="OC875" s="861"/>
      <c r="OD875" s="861"/>
      <c r="OE875" s="861"/>
      <c r="OF875" s="861"/>
      <c r="OG875" s="861"/>
      <c r="OH875" s="861"/>
      <c r="OI875" s="861"/>
      <c r="OJ875" s="861"/>
      <c r="OK875" s="861"/>
      <c r="OL875" s="861"/>
      <c r="OM875" s="861"/>
      <c r="ON875" s="861"/>
      <c r="OO875" s="861"/>
      <c r="OP875" s="861"/>
      <c r="OQ875" s="861"/>
      <c r="OR875" s="861"/>
      <c r="OS875" s="861"/>
      <c r="OT875" s="861"/>
      <c r="OU875" s="861"/>
      <c r="OV875" s="861"/>
      <c r="OW875" s="861"/>
      <c r="OX875" s="861"/>
      <c r="OY875" s="861"/>
      <c r="OZ875" s="861"/>
      <c r="PA875" s="861"/>
      <c r="PB875" s="861"/>
      <c r="PC875" s="861"/>
      <c r="PD875" s="861"/>
      <c r="PE875" s="861"/>
      <c r="PF875" s="861"/>
      <c r="PG875" s="861"/>
      <c r="PH875" s="861"/>
      <c r="PI875" s="861"/>
      <c r="PJ875" s="861"/>
      <c r="PK875" s="861"/>
      <c r="PL875" s="861"/>
      <c r="PM875" s="861"/>
      <c r="PN875" s="861"/>
      <c r="PO875" s="861"/>
      <c r="PP875" s="861"/>
      <c r="PQ875" s="861"/>
      <c r="PR875" s="861"/>
      <c r="PS875" s="861"/>
      <c r="PT875" s="861"/>
      <c r="PU875" s="861"/>
      <c r="PV875" s="861"/>
      <c r="PW875" s="861"/>
      <c r="PX875" s="861"/>
      <c r="PY875" s="861"/>
      <c r="PZ875" s="861"/>
      <c r="QA875" s="861"/>
      <c r="QB875" s="861"/>
      <c r="QC875" s="861"/>
      <c r="QD875" s="861"/>
      <c r="QE875" s="861"/>
      <c r="QF875" s="861"/>
      <c r="QG875" s="861"/>
      <c r="QH875" s="861"/>
      <c r="QI875" s="861"/>
      <c r="QJ875" s="861"/>
      <c r="QK875" s="861"/>
      <c r="QL875" s="861"/>
      <c r="QM875" s="861"/>
      <c r="QN875" s="861"/>
      <c r="QO875" s="861"/>
      <c r="QP875" s="861"/>
      <c r="QQ875" s="861"/>
      <c r="QR875" s="861"/>
      <c r="QS875" s="861"/>
      <c r="QT875" s="861"/>
      <c r="QU875" s="861"/>
      <c r="QV875" s="861"/>
      <c r="QW875" s="861"/>
      <c r="QX875" s="861"/>
      <c r="QY875" s="861"/>
      <c r="QZ875" s="861"/>
      <c r="RA875" s="861"/>
      <c r="RB875" s="861"/>
      <c r="RC875" s="861"/>
      <c r="RD875" s="861"/>
      <c r="RE875" s="861"/>
      <c r="RF875" s="861"/>
      <c r="RG875" s="861"/>
      <c r="RH875" s="861"/>
      <c r="RI875" s="861"/>
      <c r="RJ875" s="861"/>
      <c r="RK875" s="861"/>
      <c r="RL875" s="861"/>
      <c r="RM875" s="861"/>
      <c r="RN875" s="861"/>
      <c r="RO875" s="861"/>
      <c r="RP875" s="861"/>
      <c r="RQ875" s="861"/>
      <c r="RR875" s="861"/>
      <c r="RS875" s="861"/>
      <c r="RT875" s="861"/>
      <c r="RU875" s="861"/>
      <c r="RV875" s="861"/>
      <c r="RW875" s="861"/>
      <c r="RX875" s="861"/>
      <c r="RY875" s="861"/>
      <c r="RZ875" s="861"/>
      <c r="SA875" s="861"/>
      <c r="SB875" s="861"/>
      <c r="SC875" s="861"/>
      <c r="SD875" s="861"/>
      <c r="SE875" s="861"/>
      <c r="SF875" s="861"/>
      <c r="SG875" s="861"/>
      <c r="SH875" s="861"/>
      <c r="SI875" s="861"/>
      <c r="SJ875" s="861"/>
      <c r="SK875" s="861"/>
      <c r="SL875" s="861"/>
      <c r="SM875" s="861"/>
      <c r="SN875" s="861"/>
      <c r="SO875" s="861"/>
      <c r="SP875" s="861"/>
      <c r="SQ875" s="861"/>
      <c r="SR875" s="861"/>
      <c r="SS875" s="861"/>
      <c r="ST875" s="861"/>
      <c r="SU875" s="861"/>
      <c r="SV875" s="861"/>
      <c r="SW875" s="861"/>
      <c r="SX875" s="861"/>
      <c r="SY875" s="861"/>
      <c r="SZ875" s="861"/>
      <c r="TA875" s="861"/>
      <c r="TB875" s="861"/>
      <c r="TC875" s="861"/>
      <c r="TD875" s="861"/>
      <c r="TE875" s="861"/>
      <c r="TF875" s="861"/>
      <c r="TG875" s="861"/>
      <c r="TH875" s="861"/>
      <c r="TI875" s="861"/>
      <c r="TJ875" s="861"/>
      <c r="TK875" s="861"/>
      <c r="TL875" s="861"/>
      <c r="TM875" s="861"/>
      <c r="TN875" s="861"/>
      <c r="TO875" s="861"/>
      <c r="TP875" s="861"/>
      <c r="TQ875" s="861"/>
      <c r="TR875" s="861"/>
      <c r="TS875" s="861"/>
      <c r="TT875" s="861"/>
      <c r="TU875" s="861"/>
      <c r="TV875" s="861"/>
      <c r="TW875" s="861"/>
      <c r="TX875" s="861"/>
      <c r="TY875" s="861"/>
      <c r="TZ875" s="861"/>
      <c r="UA875" s="861"/>
      <c r="UB875" s="861"/>
      <c r="UC875" s="861"/>
      <c r="UD875" s="861"/>
      <c r="UE875" s="861"/>
      <c r="UF875" s="861"/>
      <c r="UG875" s="862"/>
    </row>
    <row r="876" spans="1:553" s="863" customFormat="1" ht="33" customHeight="1">
      <c r="A876" s="356"/>
      <c r="B876" s="356"/>
      <c r="C876" s="673" t="s">
        <v>22</v>
      </c>
      <c r="D876" s="397">
        <v>2</v>
      </c>
      <c r="E876" s="397">
        <v>475</v>
      </c>
      <c r="F876" s="673"/>
      <c r="G876" s="674" t="s">
        <v>33</v>
      </c>
      <c r="H876" s="675"/>
      <c r="I876" s="490">
        <v>121.9</v>
      </c>
      <c r="J876" s="797">
        <v>62000</v>
      </c>
      <c r="K876" s="857">
        <v>1</v>
      </c>
      <c r="L876" s="481">
        <f t="shared" si="127"/>
        <v>7557800</v>
      </c>
      <c r="M876" s="356"/>
      <c r="N876" s="356"/>
      <c r="O876" s="356"/>
      <c r="P876" s="356"/>
      <c r="Q876" s="610"/>
      <c r="R876" s="1452"/>
      <c r="S876" s="308"/>
      <c r="T876" s="308"/>
      <c r="U876" s="308"/>
      <c r="V876" s="308"/>
      <c r="W876" s="308"/>
      <c r="X876" s="308"/>
      <c r="Y876" s="308"/>
      <c r="Z876" s="604"/>
      <c r="AA876" s="308"/>
      <c r="AB876" s="308"/>
      <c r="AC876" s="449"/>
      <c r="AD876" s="449"/>
      <c r="AE876" s="449"/>
      <c r="AF876" s="449"/>
      <c r="AG876" s="449"/>
      <c r="AH876" s="449"/>
      <c r="AI876" s="449"/>
      <c r="AJ876" s="449"/>
      <c r="AK876" s="452"/>
      <c r="AL876" s="351"/>
      <c r="AM876" s="43"/>
      <c r="AN876" s="43"/>
      <c r="AO876" s="43"/>
      <c r="AP876" s="43"/>
      <c r="AQ876" s="43"/>
      <c r="AR876" s="43"/>
      <c r="AS876" s="43"/>
      <c r="AT876" s="43"/>
      <c r="AU876" s="43"/>
      <c r="AV876" s="43"/>
      <c r="AW876" s="43"/>
      <c r="AX876" s="43"/>
      <c r="AY876" s="43"/>
      <c r="AZ876" s="43"/>
      <c r="BA876" s="43"/>
      <c r="BB876" s="43"/>
      <c r="BC876" s="43"/>
      <c r="BD876" s="43"/>
      <c r="BE876" s="43"/>
      <c r="BF876" s="43"/>
      <c r="BG876" s="43"/>
      <c r="BH876" s="43"/>
      <c r="BI876" s="43"/>
      <c r="BJ876" s="43"/>
      <c r="BK876" s="43"/>
      <c r="BL876" s="43"/>
      <c r="BM876" s="43"/>
      <c r="BN876" s="43"/>
      <c r="BO876" s="43"/>
      <c r="BP876" s="861"/>
      <c r="BQ876" s="861"/>
      <c r="BR876" s="861"/>
      <c r="BS876" s="861"/>
      <c r="BT876" s="861"/>
      <c r="BU876" s="861"/>
      <c r="BV876" s="861"/>
      <c r="BW876" s="861"/>
      <c r="BX876" s="861"/>
      <c r="BY876" s="861"/>
      <c r="BZ876" s="861"/>
      <c r="CA876" s="861"/>
      <c r="CB876" s="861"/>
      <c r="CC876" s="861"/>
      <c r="CD876" s="861"/>
      <c r="CE876" s="861"/>
      <c r="CF876" s="861"/>
      <c r="CG876" s="861"/>
      <c r="CH876" s="861"/>
      <c r="CI876" s="861"/>
      <c r="CJ876" s="861"/>
      <c r="CK876" s="861"/>
      <c r="CL876" s="861"/>
      <c r="CM876" s="861"/>
      <c r="CN876" s="861"/>
      <c r="CO876" s="861"/>
      <c r="CP876" s="861"/>
      <c r="CQ876" s="861"/>
      <c r="CR876" s="861"/>
      <c r="CS876" s="861"/>
      <c r="CT876" s="861"/>
      <c r="CU876" s="861"/>
      <c r="CV876" s="861"/>
      <c r="CW876" s="861"/>
      <c r="CX876" s="861"/>
      <c r="CY876" s="861"/>
      <c r="CZ876" s="861"/>
      <c r="DA876" s="861"/>
      <c r="DB876" s="861"/>
      <c r="DC876" s="861"/>
      <c r="DD876" s="861"/>
      <c r="DE876" s="861"/>
      <c r="DF876" s="861"/>
      <c r="DG876" s="861"/>
      <c r="DH876" s="861"/>
      <c r="DI876" s="861"/>
      <c r="DJ876" s="861"/>
      <c r="DK876" s="861"/>
      <c r="DL876" s="861"/>
      <c r="DM876" s="861"/>
      <c r="DN876" s="861"/>
      <c r="DO876" s="861"/>
      <c r="DP876" s="861"/>
      <c r="DQ876" s="861"/>
      <c r="DR876" s="861"/>
      <c r="DS876" s="861"/>
      <c r="DT876" s="861"/>
      <c r="DU876" s="861"/>
      <c r="DV876" s="861"/>
      <c r="DW876" s="861"/>
      <c r="DX876" s="861"/>
      <c r="DY876" s="861"/>
      <c r="DZ876" s="861"/>
      <c r="EA876" s="861"/>
      <c r="EB876" s="861"/>
      <c r="EC876" s="861"/>
      <c r="ED876" s="861"/>
      <c r="EE876" s="861"/>
      <c r="EF876" s="861"/>
      <c r="EG876" s="861"/>
      <c r="EH876" s="861"/>
      <c r="EI876" s="861"/>
      <c r="EJ876" s="861"/>
      <c r="EK876" s="861"/>
      <c r="EL876" s="861"/>
      <c r="EM876" s="861"/>
      <c r="EN876" s="861"/>
      <c r="EO876" s="861"/>
      <c r="EP876" s="861"/>
      <c r="EQ876" s="861"/>
      <c r="ER876" s="861"/>
      <c r="ES876" s="861"/>
      <c r="ET876" s="861"/>
      <c r="EU876" s="861"/>
      <c r="EV876" s="861"/>
      <c r="EW876" s="861"/>
      <c r="EX876" s="861"/>
      <c r="EY876" s="861"/>
      <c r="EZ876" s="861"/>
      <c r="FA876" s="861"/>
      <c r="FB876" s="861"/>
      <c r="FC876" s="861"/>
      <c r="FD876" s="861"/>
      <c r="FE876" s="861"/>
      <c r="FF876" s="861"/>
      <c r="FG876" s="861"/>
      <c r="FH876" s="861"/>
      <c r="FI876" s="861"/>
      <c r="FJ876" s="861"/>
      <c r="FK876" s="861"/>
      <c r="FL876" s="861"/>
      <c r="FM876" s="861"/>
      <c r="FN876" s="861"/>
      <c r="FO876" s="861"/>
      <c r="FP876" s="861"/>
      <c r="FQ876" s="861"/>
      <c r="FR876" s="861"/>
      <c r="FS876" s="861"/>
      <c r="FT876" s="861"/>
      <c r="FU876" s="861"/>
      <c r="FV876" s="861"/>
      <c r="FW876" s="861"/>
      <c r="FX876" s="861"/>
      <c r="FY876" s="861"/>
      <c r="FZ876" s="861"/>
      <c r="GA876" s="861"/>
      <c r="GB876" s="861"/>
      <c r="GC876" s="861"/>
      <c r="GD876" s="861"/>
      <c r="GE876" s="861"/>
      <c r="GF876" s="861"/>
      <c r="GG876" s="861"/>
      <c r="GH876" s="861"/>
      <c r="GI876" s="861"/>
      <c r="GJ876" s="861"/>
      <c r="GK876" s="861"/>
      <c r="GL876" s="861"/>
      <c r="GM876" s="861"/>
      <c r="GN876" s="861"/>
      <c r="GO876" s="861"/>
      <c r="GP876" s="861"/>
      <c r="GQ876" s="861"/>
      <c r="GR876" s="861"/>
      <c r="GS876" s="861"/>
      <c r="GT876" s="861"/>
      <c r="GU876" s="861"/>
      <c r="GV876" s="861"/>
      <c r="GW876" s="861"/>
      <c r="GX876" s="861"/>
      <c r="GY876" s="861"/>
      <c r="GZ876" s="861"/>
      <c r="HA876" s="861"/>
      <c r="HB876" s="861"/>
      <c r="HC876" s="861"/>
      <c r="HD876" s="861"/>
      <c r="HE876" s="861"/>
      <c r="HF876" s="861"/>
      <c r="HG876" s="861"/>
      <c r="HH876" s="861"/>
      <c r="HI876" s="861"/>
      <c r="HJ876" s="861"/>
      <c r="HK876" s="861"/>
      <c r="HL876" s="861"/>
      <c r="HM876" s="861"/>
      <c r="HN876" s="861"/>
      <c r="HO876" s="861"/>
      <c r="HP876" s="861"/>
      <c r="HQ876" s="861"/>
      <c r="HR876" s="861"/>
      <c r="HS876" s="861"/>
      <c r="HT876" s="861"/>
      <c r="HU876" s="861"/>
      <c r="HV876" s="861"/>
      <c r="HW876" s="861"/>
      <c r="HX876" s="861"/>
      <c r="HY876" s="861"/>
      <c r="HZ876" s="861"/>
      <c r="IA876" s="861"/>
      <c r="IB876" s="861"/>
      <c r="IC876" s="861"/>
      <c r="ID876" s="861"/>
      <c r="IE876" s="861"/>
      <c r="IF876" s="861"/>
      <c r="IG876" s="861"/>
      <c r="IH876" s="861"/>
      <c r="II876" s="861"/>
      <c r="IJ876" s="861"/>
      <c r="IK876" s="861"/>
      <c r="IL876" s="861"/>
      <c r="IM876" s="861"/>
      <c r="IN876" s="861"/>
      <c r="IO876" s="861"/>
      <c r="IP876" s="861"/>
      <c r="IQ876" s="861"/>
      <c r="IR876" s="861"/>
      <c r="IS876" s="861"/>
      <c r="IT876" s="861"/>
      <c r="IU876" s="861"/>
      <c r="IV876" s="861"/>
      <c r="IW876" s="861"/>
      <c r="IX876" s="861"/>
      <c r="IY876" s="861"/>
      <c r="IZ876" s="861"/>
      <c r="JA876" s="861"/>
      <c r="JB876" s="861"/>
      <c r="JC876" s="861"/>
      <c r="JD876" s="861"/>
      <c r="JE876" s="861"/>
      <c r="JF876" s="861"/>
      <c r="JG876" s="861"/>
      <c r="JH876" s="861"/>
      <c r="JI876" s="861"/>
      <c r="JJ876" s="861"/>
      <c r="JK876" s="861"/>
      <c r="JL876" s="861"/>
      <c r="JM876" s="861"/>
      <c r="JN876" s="861"/>
      <c r="JO876" s="861"/>
      <c r="JP876" s="861"/>
      <c r="JQ876" s="861"/>
      <c r="JR876" s="861"/>
      <c r="JS876" s="861"/>
      <c r="JT876" s="861"/>
      <c r="JU876" s="861"/>
      <c r="JV876" s="861"/>
      <c r="JW876" s="861"/>
      <c r="JX876" s="861"/>
      <c r="JY876" s="861"/>
      <c r="JZ876" s="861"/>
      <c r="KA876" s="861"/>
      <c r="KB876" s="861"/>
      <c r="KC876" s="861"/>
      <c r="KD876" s="861"/>
      <c r="KE876" s="861"/>
      <c r="KF876" s="861"/>
      <c r="KG876" s="861"/>
      <c r="KH876" s="861"/>
      <c r="KI876" s="861"/>
      <c r="KJ876" s="861"/>
      <c r="KK876" s="861"/>
      <c r="KL876" s="861"/>
      <c r="KM876" s="861"/>
      <c r="KN876" s="861"/>
      <c r="KO876" s="861"/>
      <c r="KP876" s="861"/>
      <c r="KQ876" s="861"/>
      <c r="KR876" s="861"/>
      <c r="KS876" s="861"/>
      <c r="KT876" s="861"/>
      <c r="KU876" s="861"/>
      <c r="KV876" s="861"/>
      <c r="KW876" s="861"/>
      <c r="KX876" s="861"/>
      <c r="KY876" s="861"/>
      <c r="KZ876" s="861"/>
      <c r="LA876" s="861"/>
      <c r="LB876" s="861"/>
      <c r="LC876" s="861"/>
      <c r="LD876" s="861"/>
      <c r="LE876" s="861"/>
      <c r="LF876" s="861"/>
      <c r="LG876" s="861"/>
      <c r="LH876" s="861"/>
      <c r="LI876" s="861"/>
      <c r="LJ876" s="861"/>
      <c r="LK876" s="861"/>
      <c r="LL876" s="861"/>
      <c r="LM876" s="861"/>
      <c r="LN876" s="861"/>
      <c r="LO876" s="861"/>
      <c r="LP876" s="861"/>
      <c r="LQ876" s="861"/>
      <c r="LR876" s="861"/>
      <c r="LS876" s="861"/>
      <c r="LT876" s="861"/>
      <c r="LU876" s="861"/>
      <c r="LV876" s="861"/>
      <c r="LW876" s="861"/>
      <c r="LX876" s="861"/>
      <c r="LY876" s="861"/>
      <c r="LZ876" s="861"/>
      <c r="MA876" s="861"/>
      <c r="MB876" s="861"/>
      <c r="MC876" s="861"/>
      <c r="MD876" s="861"/>
      <c r="ME876" s="861"/>
      <c r="MF876" s="861"/>
      <c r="MG876" s="861"/>
      <c r="MH876" s="861"/>
      <c r="MI876" s="861"/>
      <c r="MJ876" s="861"/>
      <c r="MK876" s="861"/>
      <c r="ML876" s="861"/>
      <c r="MM876" s="861"/>
      <c r="MN876" s="861"/>
      <c r="MO876" s="861"/>
      <c r="MP876" s="861"/>
      <c r="MQ876" s="861"/>
      <c r="MR876" s="861"/>
      <c r="MS876" s="861"/>
      <c r="MT876" s="861"/>
      <c r="MU876" s="861"/>
      <c r="MV876" s="861"/>
      <c r="MW876" s="861"/>
      <c r="MX876" s="861"/>
      <c r="MY876" s="861"/>
      <c r="MZ876" s="861"/>
      <c r="NA876" s="861"/>
      <c r="NB876" s="861"/>
      <c r="NC876" s="861"/>
      <c r="ND876" s="861"/>
      <c r="NE876" s="861"/>
      <c r="NF876" s="861"/>
      <c r="NG876" s="861"/>
      <c r="NH876" s="861"/>
      <c r="NI876" s="861"/>
      <c r="NJ876" s="861"/>
      <c r="NK876" s="861"/>
      <c r="NL876" s="861"/>
      <c r="NM876" s="861"/>
      <c r="NN876" s="861"/>
      <c r="NO876" s="861"/>
      <c r="NP876" s="861"/>
      <c r="NQ876" s="861"/>
      <c r="NR876" s="861"/>
      <c r="NS876" s="861"/>
      <c r="NT876" s="861"/>
      <c r="NU876" s="861"/>
      <c r="NV876" s="861"/>
      <c r="NW876" s="861"/>
      <c r="NX876" s="861"/>
      <c r="NY876" s="861"/>
      <c r="NZ876" s="861"/>
      <c r="OA876" s="861"/>
      <c r="OB876" s="861"/>
      <c r="OC876" s="861"/>
      <c r="OD876" s="861"/>
      <c r="OE876" s="861"/>
      <c r="OF876" s="861"/>
      <c r="OG876" s="861"/>
      <c r="OH876" s="861"/>
      <c r="OI876" s="861"/>
      <c r="OJ876" s="861"/>
      <c r="OK876" s="861"/>
      <c r="OL876" s="861"/>
      <c r="OM876" s="861"/>
      <c r="ON876" s="861"/>
      <c r="OO876" s="861"/>
      <c r="OP876" s="861"/>
      <c r="OQ876" s="861"/>
      <c r="OR876" s="861"/>
      <c r="OS876" s="861"/>
      <c r="OT876" s="861"/>
      <c r="OU876" s="861"/>
      <c r="OV876" s="861"/>
      <c r="OW876" s="861"/>
      <c r="OX876" s="861"/>
      <c r="OY876" s="861"/>
      <c r="OZ876" s="861"/>
      <c r="PA876" s="861"/>
      <c r="PB876" s="861"/>
      <c r="PC876" s="861"/>
      <c r="PD876" s="861"/>
      <c r="PE876" s="861"/>
      <c r="PF876" s="861"/>
      <c r="PG876" s="861"/>
      <c r="PH876" s="861"/>
      <c r="PI876" s="861"/>
      <c r="PJ876" s="861"/>
      <c r="PK876" s="861"/>
      <c r="PL876" s="861"/>
      <c r="PM876" s="861"/>
      <c r="PN876" s="861"/>
      <c r="PO876" s="861"/>
      <c r="PP876" s="861"/>
      <c r="PQ876" s="861"/>
      <c r="PR876" s="861"/>
      <c r="PS876" s="861"/>
      <c r="PT876" s="861"/>
      <c r="PU876" s="861"/>
      <c r="PV876" s="861"/>
      <c r="PW876" s="861"/>
      <c r="PX876" s="861"/>
      <c r="PY876" s="861"/>
      <c r="PZ876" s="861"/>
      <c r="QA876" s="861"/>
      <c r="QB876" s="861"/>
      <c r="QC876" s="861"/>
      <c r="QD876" s="861"/>
      <c r="QE876" s="861"/>
      <c r="QF876" s="861"/>
      <c r="QG876" s="861"/>
      <c r="QH876" s="861"/>
      <c r="QI876" s="861"/>
      <c r="QJ876" s="861"/>
      <c r="QK876" s="861"/>
      <c r="QL876" s="861"/>
      <c r="QM876" s="861"/>
      <c r="QN876" s="861"/>
      <c r="QO876" s="861"/>
      <c r="QP876" s="861"/>
      <c r="QQ876" s="861"/>
      <c r="QR876" s="861"/>
      <c r="QS876" s="861"/>
      <c r="QT876" s="861"/>
      <c r="QU876" s="861"/>
      <c r="QV876" s="861"/>
      <c r="QW876" s="861"/>
      <c r="QX876" s="861"/>
      <c r="QY876" s="861"/>
      <c r="QZ876" s="861"/>
      <c r="RA876" s="861"/>
      <c r="RB876" s="861"/>
      <c r="RC876" s="861"/>
      <c r="RD876" s="861"/>
      <c r="RE876" s="861"/>
      <c r="RF876" s="861"/>
      <c r="RG876" s="861"/>
      <c r="RH876" s="861"/>
      <c r="RI876" s="861"/>
      <c r="RJ876" s="861"/>
      <c r="RK876" s="861"/>
      <c r="RL876" s="861"/>
      <c r="RM876" s="861"/>
      <c r="RN876" s="861"/>
      <c r="RO876" s="861"/>
      <c r="RP876" s="861"/>
      <c r="RQ876" s="861"/>
      <c r="RR876" s="861"/>
      <c r="RS876" s="861"/>
      <c r="RT876" s="861"/>
      <c r="RU876" s="861"/>
      <c r="RV876" s="861"/>
      <c r="RW876" s="861"/>
      <c r="RX876" s="861"/>
      <c r="RY876" s="861"/>
      <c r="RZ876" s="861"/>
      <c r="SA876" s="861"/>
      <c r="SB876" s="861"/>
      <c r="SC876" s="861"/>
      <c r="SD876" s="861"/>
      <c r="SE876" s="861"/>
      <c r="SF876" s="861"/>
      <c r="SG876" s="861"/>
      <c r="SH876" s="861"/>
      <c r="SI876" s="861"/>
      <c r="SJ876" s="861"/>
      <c r="SK876" s="861"/>
      <c r="SL876" s="861"/>
      <c r="SM876" s="861"/>
      <c r="SN876" s="861"/>
      <c r="SO876" s="861"/>
      <c r="SP876" s="861"/>
      <c r="SQ876" s="861"/>
      <c r="SR876" s="861"/>
      <c r="SS876" s="861"/>
      <c r="ST876" s="861"/>
      <c r="SU876" s="861"/>
      <c r="SV876" s="861"/>
      <c r="SW876" s="861"/>
      <c r="SX876" s="861"/>
      <c r="SY876" s="861"/>
      <c r="SZ876" s="861"/>
      <c r="TA876" s="861"/>
      <c r="TB876" s="861"/>
      <c r="TC876" s="861"/>
      <c r="TD876" s="861"/>
      <c r="TE876" s="861"/>
      <c r="TF876" s="861"/>
      <c r="TG876" s="861"/>
      <c r="TH876" s="861"/>
      <c r="TI876" s="861"/>
      <c r="TJ876" s="861"/>
      <c r="TK876" s="861"/>
      <c r="TL876" s="861"/>
      <c r="TM876" s="861"/>
      <c r="TN876" s="861"/>
      <c r="TO876" s="861"/>
      <c r="TP876" s="861"/>
      <c r="TQ876" s="861"/>
      <c r="TR876" s="861"/>
      <c r="TS876" s="861"/>
      <c r="TT876" s="861"/>
      <c r="TU876" s="861"/>
      <c r="TV876" s="861"/>
      <c r="TW876" s="861"/>
      <c r="TX876" s="861"/>
      <c r="TY876" s="861"/>
      <c r="TZ876" s="861"/>
      <c r="UA876" s="861"/>
      <c r="UB876" s="861"/>
      <c r="UC876" s="861"/>
      <c r="UD876" s="861"/>
      <c r="UE876" s="861"/>
      <c r="UF876" s="861"/>
      <c r="UG876" s="862"/>
    </row>
    <row r="877" spans="1:553" s="868" customFormat="1" ht="33" customHeight="1">
      <c r="A877" s="1339"/>
      <c r="B877" s="1339"/>
      <c r="C877" s="1341" t="s">
        <v>22</v>
      </c>
      <c r="D877" s="1342">
        <v>2</v>
      </c>
      <c r="E877" s="1342">
        <v>482</v>
      </c>
      <c r="F877" s="1341"/>
      <c r="G877" s="1343"/>
      <c r="H877" s="1357"/>
      <c r="I877" s="1358">
        <v>1421.2</v>
      </c>
      <c r="J877" s="1359">
        <v>62000</v>
      </c>
      <c r="K877" s="1360">
        <v>1</v>
      </c>
      <c r="L877" s="1361">
        <f t="shared" si="127"/>
        <v>88114400</v>
      </c>
      <c r="M877" s="1339"/>
      <c r="N877" s="1339"/>
      <c r="O877" s="1339"/>
      <c r="P877" s="1339"/>
      <c r="Q877" s="1362"/>
      <c r="R877" s="1452"/>
      <c r="S877" s="1352"/>
      <c r="T877" s="1352"/>
      <c r="U877" s="1352"/>
      <c r="V877" s="1352"/>
      <c r="W877" s="1352"/>
      <c r="X877" s="1352"/>
      <c r="Y877" s="1352"/>
      <c r="Z877" s="1353"/>
      <c r="AA877" s="1352"/>
      <c r="AB877" s="1352"/>
      <c r="AC877" s="1355"/>
      <c r="AD877" s="1355"/>
      <c r="AE877" s="1355"/>
      <c r="AF877" s="1355"/>
      <c r="AG877" s="1355"/>
      <c r="AH877" s="1355"/>
      <c r="AI877" s="1355"/>
      <c r="AJ877" s="1355"/>
      <c r="AK877" s="1356"/>
      <c r="AL877" s="864"/>
      <c r="AM877" s="865"/>
      <c r="AN877" s="865"/>
      <c r="AO877" s="865"/>
      <c r="AP877" s="865"/>
      <c r="AQ877" s="865"/>
      <c r="AR877" s="865"/>
      <c r="AS877" s="865"/>
      <c r="AT877" s="865"/>
      <c r="AU877" s="865"/>
      <c r="AV877" s="865"/>
      <c r="AW877" s="865"/>
      <c r="AX877" s="865"/>
      <c r="AY877" s="865"/>
      <c r="AZ877" s="865"/>
      <c r="BA877" s="865"/>
      <c r="BB877" s="865"/>
      <c r="BC877" s="865"/>
      <c r="BD877" s="865"/>
      <c r="BE877" s="865"/>
      <c r="BF877" s="865"/>
      <c r="BG877" s="865"/>
      <c r="BH877" s="865"/>
      <c r="BI877" s="865"/>
      <c r="BJ877" s="865"/>
      <c r="BK877" s="865"/>
      <c r="BL877" s="865"/>
      <c r="BM877" s="865"/>
      <c r="BN877" s="865"/>
      <c r="BO877" s="865"/>
      <c r="BP877" s="866"/>
      <c r="BQ877" s="866"/>
      <c r="BR877" s="866"/>
      <c r="BS877" s="866"/>
      <c r="BT877" s="866"/>
      <c r="BU877" s="866"/>
      <c r="BV877" s="866"/>
      <c r="BW877" s="866"/>
      <c r="BX877" s="866"/>
      <c r="BY877" s="866"/>
      <c r="BZ877" s="866"/>
      <c r="CA877" s="866"/>
      <c r="CB877" s="866"/>
      <c r="CC877" s="866"/>
      <c r="CD877" s="866"/>
      <c r="CE877" s="866"/>
      <c r="CF877" s="866"/>
      <c r="CG877" s="866"/>
      <c r="CH877" s="866"/>
      <c r="CI877" s="866"/>
      <c r="CJ877" s="866"/>
      <c r="CK877" s="866"/>
      <c r="CL877" s="866"/>
      <c r="CM877" s="866"/>
      <c r="CN877" s="866"/>
      <c r="CO877" s="866"/>
      <c r="CP877" s="866"/>
      <c r="CQ877" s="866"/>
      <c r="CR877" s="866"/>
      <c r="CS877" s="866"/>
      <c r="CT877" s="866"/>
      <c r="CU877" s="866"/>
      <c r="CV877" s="866"/>
      <c r="CW877" s="866"/>
      <c r="CX877" s="866"/>
      <c r="CY877" s="866"/>
      <c r="CZ877" s="866"/>
      <c r="DA877" s="866"/>
      <c r="DB877" s="866"/>
      <c r="DC877" s="866"/>
      <c r="DD877" s="866"/>
      <c r="DE877" s="866"/>
      <c r="DF877" s="866"/>
      <c r="DG877" s="866"/>
      <c r="DH877" s="866"/>
      <c r="DI877" s="866"/>
      <c r="DJ877" s="866"/>
      <c r="DK877" s="866"/>
      <c r="DL877" s="866"/>
      <c r="DM877" s="866"/>
      <c r="DN877" s="866"/>
      <c r="DO877" s="866"/>
      <c r="DP877" s="866"/>
      <c r="DQ877" s="866"/>
      <c r="DR877" s="866"/>
      <c r="DS877" s="866"/>
      <c r="DT877" s="866"/>
      <c r="DU877" s="866"/>
      <c r="DV877" s="866"/>
      <c r="DW877" s="866"/>
      <c r="DX877" s="866"/>
      <c r="DY877" s="866"/>
      <c r="DZ877" s="866"/>
      <c r="EA877" s="866"/>
      <c r="EB877" s="866"/>
      <c r="EC877" s="866"/>
      <c r="ED877" s="866"/>
      <c r="EE877" s="866"/>
      <c r="EF877" s="866"/>
      <c r="EG877" s="866"/>
      <c r="EH877" s="866"/>
      <c r="EI877" s="866"/>
      <c r="EJ877" s="866"/>
      <c r="EK877" s="866"/>
      <c r="EL877" s="866"/>
      <c r="EM877" s="866"/>
      <c r="EN877" s="866"/>
      <c r="EO877" s="866"/>
      <c r="EP877" s="866"/>
      <c r="EQ877" s="866"/>
      <c r="ER877" s="866"/>
      <c r="ES877" s="866"/>
      <c r="ET877" s="866"/>
      <c r="EU877" s="866"/>
      <c r="EV877" s="866"/>
      <c r="EW877" s="866"/>
      <c r="EX877" s="866"/>
      <c r="EY877" s="866"/>
      <c r="EZ877" s="866"/>
      <c r="FA877" s="866"/>
      <c r="FB877" s="866"/>
      <c r="FC877" s="866"/>
      <c r="FD877" s="866"/>
      <c r="FE877" s="866"/>
      <c r="FF877" s="866"/>
      <c r="FG877" s="866"/>
      <c r="FH877" s="866"/>
      <c r="FI877" s="866"/>
      <c r="FJ877" s="866"/>
      <c r="FK877" s="866"/>
      <c r="FL877" s="866"/>
      <c r="FM877" s="866"/>
      <c r="FN877" s="866"/>
      <c r="FO877" s="866"/>
      <c r="FP877" s="866"/>
      <c r="FQ877" s="866"/>
      <c r="FR877" s="866"/>
      <c r="FS877" s="866"/>
      <c r="FT877" s="866"/>
      <c r="FU877" s="866"/>
      <c r="FV877" s="866"/>
      <c r="FW877" s="866"/>
      <c r="FX877" s="866"/>
      <c r="FY877" s="866"/>
      <c r="FZ877" s="866"/>
      <c r="GA877" s="866"/>
      <c r="GB877" s="866"/>
      <c r="GC877" s="866"/>
      <c r="GD877" s="866"/>
      <c r="GE877" s="866"/>
      <c r="GF877" s="866"/>
      <c r="GG877" s="866"/>
      <c r="GH877" s="866"/>
      <c r="GI877" s="866"/>
      <c r="GJ877" s="866"/>
      <c r="GK877" s="866"/>
      <c r="GL877" s="866"/>
      <c r="GM877" s="866"/>
      <c r="GN877" s="866"/>
      <c r="GO877" s="866"/>
      <c r="GP877" s="866"/>
      <c r="GQ877" s="866"/>
      <c r="GR877" s="866"/>
      <c r="GS877" s="866"/>
      <c r="GT877" s="866"/>
      <c r="GU877" s="866"/>
      <c r="GV877" s="866"/>
      <c r="GW877" s="866"/>
      <c r="GX877" s="866"/>
      <c r="GY877" s="866"/>
      <c r="GZ877" s="866"/>
      <c r="HA877" s="866"/>
      <c r="HB877" s="866"/>
      <c r="HC877" s="866"/>
      <c r="HD877" s="866"/>
      <c r="HE877" s="866"/>
      <c r="HF877" s="866"/>
      <c r="HG877" s="866"/>
      <c r="HH877" s="866"/>
      <c r="HI877" s="866"/>
      <c r="HJ877" s="866"/>
      <c r="HK877" s="866"/>
      <c r="HL877" s="866"/>
      <c r="HM877" s="866"/>
      <c r="HN877" s="866"/>
      <c r="HO877" s="866"/>
      <c r="HP877" s="866"/>
      <c r="HQ877" s="866"/>
      <c r="HR877" s="866"/>
      <c r="HS877" s="866"/>
      <c r="HT877" s="866"/>
      <c r="HU877" s="866"/>
      <c r="HV877" s="866"/>
      <c r="HW877" s="866"/>
      <c r="HX877" s="866"/>
      <c r="HY877" s="866"/>
      <c r="HZ877" s="866"/>
      <c r="IA877" s="866"/>
      <c r="IB877" s="866"/>
      <c r="IC877" s="866"/>
      <c r="ID877" s="866"/>
      <c r="IE877" s="866"/>
      <c r="IF877" s="866"/>
      <c r="IG877" s="866"/>
      <c r="IH877" s="866"/>
      <c r="II877" s="866"/>
      <c r="IJ877" s="866"/>
      <c r="IK877" s="866"/>
      <c r="IL877" s="866"/>
      <c r="IM877" s="866"/>
      <c r="IN877" s="866"/>
      <c r="IO877" s="866"/>
      <c r="IP877" s="866"/>
      <c r="IQ877" s="866"/>
      <c r="IR877" s="866"/>
      <c r="IS877" s="866"/>
      <c r="IT877" s="866"/>
      <c r="IU877" s="866"/>
      <c r="IV877" s="866"/>
      <c r="IW877" s="866"/>
      <c r="IX877" s="866"/>
      <c r="IY877" s="866"/>
      <c r="IZ877" s="866"/>
      <c r="JA877" s="866"/>
      <c r="JB877" s="866"/>
      <c r="JC877" s="866"/>
      <c r="JD877" s="866"/>
      <c r="JE877" s="866"/>
      <c r="JF877" s="866"/>
      <c r="JG877" s="866"/>
      <c r="JH877" s="866"/>
      <c r="JI877" s="866"/>
      <c r="JJ877" s="866"/>
      <c r="JK877" s="866"/>
      <c r="JL877" s="866"/>
      <c r="JM877" s="866"/>
      <c r="JN877" s="866"/>
      <c r="JO877" s="866"/>
      <c r="JP877" s="866"/>
      <c r="JQ877" s="866"/>
      <c r="JR877" s="866"/>
      <c r="JS877" s="866"/>
      <c r="JT877" s="866"/>
      <c r="JU877" s="866"/>
      <c r="JV877" s="866"/>
      <c r="JW877" s="866"/>
      <c r="JX877" s="866"/>
      <c r="JY877" s="866"/>
      <c r="JZ877" s="866"/>
      <c r="KA877" s="866"/>
      <c r="KB877" s="866"/>
      <c r="KC877" s="866"/>
      <c r="KD877" s="866"/>
      <c r="KE877" s="866"/>
      <c r="KF877" s="866"/>
      <c r="KG877" s="866"/>
      <c r="KH877" s="866"/>
      <c r="KI877" s="866"/>
      <c r="KJ877" s="866"/>
      <c r="KK877" s="866"/>
      <c r="KL877" s="866"/>
      <c r="KM877" s="866"/>
      <c r="KN877" s="866"/>
      <c r="KO877" s="866"/>
      <c r="KP877" s="866"/>
      <c r="KQ877" s="866"/>
      <c r="KR877" s="866"/>
      <c r="KS877" s="866"/>
      <c r="KT877" s="866"/>
      <c r="KU877" s="866"/>
      <c r="KV877" s="866"/>
      <c r="KW877" s="866"/>
      <c r="KX877" s="866"/>
      <c r="KY877" s="866"/>
      <c r="KZ877" s="866"/>
      <c r="LA877" s="866"/>
      <c r="LB877" s="866"/>
      <c r="LC877" s="866"/>
      <c r="LD877" s="866"/>
      <c r="LE877" s="866"/>
      <c r="LF877" s="866"/>
      <c r="LG877" s="866"/>
      <c r="LH877" s="866"/>
      <c r="LI877" s="866"/>
      <c r="LJ877" s="866"/>
      <c r="LK877" s="866"/>
      <c r="LL877" s="866"/>
      <c r="LM877" s="866"/>
      <c r="LN877" s="866"/>
      <c r="LO877" s="866"/>
      <c r="LP877" s="866"/>
      <c r="LQ877" s="866"/>
      <c r="LR877" s="866"/>
      <c r="LS877" s="866"/>
      <c r="LT877" s="866"/>
      <c r="LU877" s="866"/>
      <c r="LV877" s="866"/>
      <c r="LW877" s="866"/>
      <c r="LX877" s="866"/>
      <c r="LY877" s="866"/>
      <c r="LZ877" s="866"/>
      <c r="MA877" s="866"/>
      <c r="MB877" s="866"/>
      <c r="MC877" s="866"/>
      <c r="MD877" s="866"/>
      <c r="ME877" s="866"/>
      <c r="MF877" s="866"/>
      <c r="MG877" s="866"/>
      <c r="MH877" s="866"/>
      <c r="MI877" s="866"/>
      <c r="MJ877" s="866"/>
      <c r="MK877" s="866"/>
      <c r="ML877" s="866"/>
      <c r="MM877" s="866"/>
      <c r="MN877" s="866"/>
      <c r="MO877" s="866"/>
      <c r="MP877" s="866"/>
      <c r="MQ877" s="866"/>
      <c r="MR877" s="866"/>
      <c r="MS877" s="866"/>
      <c r="MT877" s="866"/>
      <c r="MU877" s="866"/>
      <c r="MV877" s="866"/>
      <c r="MW877" s="866"/>
      <c r="MX877" s="866"/>
      <c r="MY877" s="866"/>
      <c r="MZ877" s="866"/>
      <c r="NA877" s="866"/>
      <c r="NB877" s="866"/>
      <c r="NC877" s="866"/>
      <c r="ND877" s="866"/>
      <c r="NE877" s="866"/>
      <c r="NF877" s="866"/>
      <c r="NG877" s="866"/>
      <c r="NH877" s="866"/>
      <c r="NI877" s="866"/>
      <c r="NJ877" s="866"/>
      <c r="NK877" s="866"/>
      <c r="NL877" s="866"/>
      <c r="NM877" s="866"/>
      <c r="NN877" s="866"/>
      <c r="NO877" s="866"/>
      <c r="NP877" s="866"/>
      <c r="NQ877" s="866"/>
      <c r="NR877" s="866"/>
      <c r="NS877" s="866"/>
      <c r="NT877" s="866"/>
      <c r="NU877" s="866"/>
      <c r="NV877" s="866"/>
      <c r="NW877" s="866"/>
      <c r="NX877" s="866"/>
      <c r="NY877" s="866"/>
      <c r="NZ877" s="866"/>
      <c r="OA877" s="866"/>
      <c r="OB877" s="866"/>
      <c r="OC877" s="866"/>
      <c r="OD877" s="866"/>
      <c r="OE877" s="866"/>
      <c r="OF877" s="866"/>
      <c r="OG877" s="866"/>
      <c r="OH877" s="866"/>
      <c r="OI877" s="866"/>
      <c r="OJ877" s="866"/>
      <c r="OK877" s="866"/>
      <c r="OL877" s="866"/>
      <c r="OM877" s="866"/>
      <c r="ON877" s="866"/>
      <c r="OO877" s="866"/>
      <c r="OP877" s="866"/>
      <c r="OQ877" s="866"/>
      <c r="OR877" s="866"/>
      <c r="OS877" s="866"/>
      <c r="OT877" s="866"/>
      <c r="OU877" s="866"/>
      <c r="OV877" s="866"/>
      <c r="OW877" s="866"/>
      <c r="OX877" s="866"/>
      <c r="OY877" s="866"/>
      <c r="OZ877" s="866"/>
      <c r="PA877" s="866"/>
      <c r="PB877" s="866"/>
      <c r="PC877" s="866"/>
      <c r="PD877" s="866"/>
      <c r="PE877" s="866"/>
      <c r="PF877" s="866"/>
      <c r="PG877" s="866"/>
      <c r="PH877" s="866"/>
      <c r="PI877" s="866"/>
      <c r="PJ877" s="866"/>
      <c r="PK877" s="866"/>
      <c r="PL877" s="866"/>
      <c r="PM877" s="866"/>
      <c r="PN877" s="866"/>
      <c r="PO877" s="866"/>
      <c r="PP877" s="866"/>
      <c r="PQ877" s="866"/>
      <c r="PR877" s="866"/>
      <c r="PS877" s="866"/>
      <c r="PT877" s="866"/>
      <c r="PU877" s="866"/>
      <c r="PV877" s="866"/>
      <c r="PW877" s="866"/>
      <c r="PX877" s="866"/>
      <c r="PY877" s="866"/>
      <c r="PZ877" s="866"/>
      <c r="QA877" s="866"/>
      <c r="QB877" s="866"/>
      <c r="QC877" s="866"/>
      <c r="QD877" s="866"/>
      <c r="QE877" s="866"/>
      <c r="QF877" s="866"/>
      <c r="QG877" s="866"/>
      <c r="QH877" s="866"/>
      <c r="QI877" s="866"/>
      <c r="QJ877" s="866"/>
      <c r="QK877" s="866"/>
      <c r="QL877" s="866"/>
      <c r="QM877" s="866"/>
      <c r="QN877" s="866"/>
      <c r="QO877" s="866"/>
      <c r="QP877" s="866"/>
      <c r="QQ877" s="866"/>
      <c r="QR877" s="866"/>
      <c r="QS877" s="866"/>
      <c r="QT877" s="866"/>
      <c r="QU877" s="866"/>
      <c r="QV877" s="866"/>
      <c r="QW877" s="866"/>
      <c r="QX877" s="866"/>
      <c r="QY877" s="866"/>
      <c r="QZ877" s="866"/>
      <c r="RA877" s="866"/>
      <c r="RB877" s="866"/>
      <c r="RC877" s="866"/>
      <c r="RD877" s="866"/>
      <c r="RE877" s="866"/>
      <c r="RF877" s="866"/>
      <c r="RG877" s="866"/>
      <c r="RH877" s="866"/>
      <c r="RI877" s="866"/>
      <c r="RJ877" s="866"/>
      <c r="RK877" s="866"/>
      <c r="RL877" s="866"/>
      <c r="RM877" s="866"/>
      <c r="RN877" s="866"/>
      <c r="RO877" s="866"/>
      <c r="RP877" s="866"/>
      <c r="RQ877" s="866"/>
      <c r="RR877" s="866"/>
      <c r="RS877" s="866"/>
      <c r="RT877" s="866"/>
      <c r="RU877" s="866"/>
      <c r="RV877" s="866"/>
      <c r="RW877" s="866"/>
      <c r="RX877" s="866"/>
      <c r="RY877" s="866"/>
      <c r="RZ877" s="866"/>
      <c r="SA877" s="866"/>
      <c r="SB877" s="866"/>
      <c r="SC877" s="866"/>
      <c r="SD877" s="866"/>
      <c r="SE877" s="866"/>
      <c r="SF877" s="866"/>
      <c r="SG877" s="866"/>
      <c r="SH877" s="866"/>
      <c r="SI877" s="866"/>
      <c r="SJ877" s="866"/>
      <c r="SK877" s="866"/>
      <c r="SL877" s="866"/>
      <c r="SM877" s="866"/>
      <c r="SN877" s="866"/>
      <c r="SO877" s="866"/>
      <c r="SP877" s="866"/>
      <c r="SQ877" s="866"/>
      <c r="SR877" s="866"/>
      <c r="SS877" s="866"/>
      <c r="ST877" s="866"/>
      <c r="SU877" s="866"/>
      <c r="SV877" s="866"/>
      <c r="SW877" s="866"/>
      <c r="SX877" s="866"/>
      <c r="SY877" s="866"/>
      <c r="SZ877" s="866"/>
      <c r="TA877" s="866"/>
      <c r="TB877" s="866"/>
      <c r="TC877" s="866"/>
      <c r="TD877" s="866"/>
      <c r="TE877" s="866"/>
      <c r="TF877" s="866"/>
      <c r="TG877" s="866"/>
      <c r="TH877" s="866"/>
      <c r="TI877" s="866"/>
      <c r="TJ877" s="866"/>
      <c r="TK877" s="866"/>
      <c r="TL877" s="866"/>
      <c r="TM877" s="866"/>
      <c r="TN877" s="866"/>
      <c r="TO877" s="866"/>
      <c r="TP877" s="866"/>
      <c r="TQ877" s="866"/>
      <c r="TR877" s="866"/>
      <c r="TS877" s="866"/>
      <c r="TT877" s="866"/>
      <c r="TU877" s="866"/>
      <c r="TV877" s="866"/>
      <c r="TW877" s="866"/>
      <c r="TX877" s="866"/>
      <c r="TY877" s="866"/>
      <c r="TZ877" s="866"/>
      <c r="UA877" s="866"/>
      <c r="UB877" s="866"/>
      <c r="UC877" s="866"/>
      <c r="UD877" s="866"/>
      <c r="UE877" s="866"/>
      <c r="UF877" s="866"/>
      <c r="UG877" s="867"/>
    </row>
    <row r="878" spans="1:553" s="860" customFormat="1" ht="33" customHeight="1">
      <c r="A878" s="356"/>
      <c r="B878" s="356"/>
      <c r="C878" s="384" t="s">
        <v>72</v>
      </c>
      <c r="D878" s="376" t="s">
        <v>20</v>
      </c>
      <c r="E878" s="376">
        <v>479</v>
      </c>
      <c r="F878" s="384"/>
      <c r="G878" s="396" t="s">
        <v>33</v>
      </c>
      <c r="H878" s="676"/>
      <c r="I878" s="441">
        <v>299.39999999999998</v>
      </c>
      <c r="J878" s="797">
        <v>10000</v>
      </c>
      <c r="K878" s="857">
        <v>1</v>
      </c>
      <c r="L878" s="481">
        <f t="shared" si="127"/>
        <v>2994000</v>
      </c>
      <c r="M878" s="356"/>
      <c r="N878" s="356"/>
      <c r="O878" s="356"/>
      <c r="P878" s="356"/>
      <c r="Q878" s="610"/>
      <c r="R878" s="1452"/>
      <c r="S878" s="308"/>
      <c r="T878" s="308"/>
      <c r="U878" s="308"/>
      <c r="V878" s="308"/>
      <c r="W878" s="308"/>
      <c r="X878" s="308"/>
      <c r="Y878" s="308"/>
      <c r="Z878" s="604"/>
      <c r="AA878" s="308"/>
      <c r="AB878" s="308"/>
      <c r="AC878" s="449"/>
      <c r="AD878" s="449"/>
      <c r="AE878" s="449"/>
      <c r="AF878" s="449"/>
      <c r="AG878" s="449"/>
      <c r="AH878" s="449"/>
      <c r="AI878" s="449"/>
      <c r="AJ878" s="449"/>
      <c r="AK878" s="452"/>
      <c r="AL878" s="352"/>
      <c r="AM878" s="154"/>
      <c r="AN878" s="154"/>
      <c r="AO878" s="154"/>
      <c r="AP878" s="154"/>
      <c r="AQ878" s="154"/>
      <c r="AR878" s="154"/>
      <c r="AS878" s="154"/>
      <c r="AT878" s="154"/>
      <c r="AU878" s="154"/>
      <c r="AV878" s="154"/>
      <c r="AW878" s="154"/>
      <c r="AX878" s="154"/>
      <c r="AY878" s="154"/>
      <c r="AZ878" s="154"/>
      <c r="BA878" s="154"/>
      <c r="BB878" s="154"/>
      <c r="BC878" s="154"/>
      <c r="BD878" s="154"/>
      <c r="BE878" s="154"/>
      <c r="BF878" s="154"/>
      <c r="BG878" s="154"/>
      <c r="BH878" s="154"/>
      <c r="BI878" s="154"/>
      <c r="BJ878" s="154"/>
      <c r="BK878" s="154"/>
      <c r="BL878" s="154"/>
      <c r="BM878" s="154"/>
      <c r="BN878" s="154"/>
      <c r="BO878" s="154"/>
      <c r="BP878" s="858"/>
      <c r="BQ878" s="858"/>
      <c r="BR878" s="858"/>
      <c r="BS878" s="858"/>
      <c r="BT878" s="858"/>
      <c r="BU878" s="858"/>
      <c r="BV878" s="858"/>
      <c r="BW878" s="858"/>
      <c r="BX878" s="858"/>
      <c r="BY878" s="858"/>
      <c r="BZ878" s="858"/>
      <c r="CA878" s="858"/>
      <c r="CB878" s="858"/>
      <c r="CC878" s="858"/>
      <c r="CD878" s="858"/>
      <c r="CE878" s="858"/>
      <c r="CF878" s="858"/>
      <c r="CG878" s="858"/>
      <c r="CH878" s="858"/>
      <c r="CI878" s="858"/>
      <c r="CJ878" s="858"/>
      <c r="CK878" s="858"/>
      <c r="CL878" s="858"/>
      <c r="CM878" s="858"/>
      <c r="CN878" s="858"/>
      <c r="CO878" s="858"/>
      <c r="CP878" s="858"/>
      <c r="CQ878" s="858"/>
      <c r="CR878" s="858"/>
      <c r="CS878" s="858"/>
      <c r="CT878" s="858"/>
      <c r="CU878" s="858"/>
      <c r="CV878" s="858"/>
      <c r="CW878" s="858"/>
      <c r="CX878" s="858"/>
      <c r="CY878" s="858"/>
      <c r="CZ878" s="858"/>
      <c r="DA878" s="858"/>
      <c r="DB878" s="858"/>
      <c r="DC878" s="858"/>
      <c r="DD878" s="858"/>
      <c r="DE878" s="858"/>
      <c r="DF878" s="858"/>
      <c r="DG878" s="858"/>
      <c r="DH878" s="858"/>
      <c r="DI878" s="858"/>
      <c r="DJ878" s="858"/>
      <c r="DK878" s="858"/>
      <c r="DL878" s="858"/>
      <c r="DM878" s="858"/>
      <c r="DN878" s="858"/>
      <c r="DO878" s="858"/>
      <c r="DP878" s="858"/>
      <c r="DQ878" s="858"/>
      <c r="DR878" s="858"/>
      <c r="DS878" s="858"/>
      <c r="DT878" s="858"/>
      <c r="DU878" s="858"/>
      <c r="DV878" s="858"/>
      <c r="DW878" s="858"/>
      <c r="DX878" s="858"/>
      <c r="DY878" s="858"/>
      <c r="DZ878" s="858"/>
      <c r="EA878" s="858"/>
      <c r="EB878" s="858"/>
      <c r="EC878" s="858"/>
      <c r="ED878" s="858"/>
      <c r="EE878" s="858"/>
      <c r="EF878" s="858"/>
      <c r="EG878" s="858"/>
      <c r="EH878" s="858"/>
      <c r="EI878" s="858"/>
      <c r="EJ878" s="858"/>
      <c r="EK878" s="858"/>
      <c r="EL878" s="858"/>
      <c r="EM878" s="858"/>
      <c r="EN878" s="858"/>
      <c r="EO878" s="858"/>
      <c r="EP878" s="858"/>
      <c r="EQ878" s="858"/>
      <c r="ER878" s="858"/>
      <c r="ES878" s="858"/>
      <c r="ET878" s="858"/>
      <c r="EU878" s="858"/>
      <c r="EV878" s="858"/>
      <c r="EW878" s="858"/>
      <c r="EX878" s="858"/>
      <c r="EY878" s="858"/>
      <c r="EZ878" s="858"/>
      <c r="FA878" s="858"/>
      <c r="FB878" s="858"/>
      <c r="FC878" s="858"/>
      <c r="FD878" s="858"/>
      <c r="FE878" s="858"/>
      <c r="FF878" s="858"/>
      <c r="FG878" s="858"/>
      <c r="FH878" s="858"/>
      <c r="FI878" s="858"/>
      <c r="FJ878" s="858"/>
      <c r="FK878" s="858"/>
      <c r="FL878" s="858"/>
      <c r="FM878" s="858"/>
      <c r="FN878" s="858"/>
      <c r="FO878" s="858"/>
      <c r="FP878" s="858"/>
      <c r="FQ878" s="858"/>
      <c r="FR878" s="858"/>
      <c r="FS878" s="858"/>
      <c r="FT878" s="858"/>
      <c r="FU878" s="858"/>
      <c r="FV878" s="858"/>
      <c r="FW878" s="858"/>
      <c r="FX878" s="858"/>
      <c r="FY878" s="858"/>
      <c r="FZ878" s="858"/>
      <c r="GA878" s="858"/>
      <c r="GB878" s="858"/>
      <c r="GC878" s="858"/>
      <c r="GD878" s="858"/>
      <c r="GE878" s="858"/>
      <c r="GF878" s="858"/>
      <c r="GG878" s="858"/>
      <c r="GH878" s="858"/>
      <c r="GI878" s="858"/>
      <c r="GJ878" s="858"/>
      <c r="GK878" s="858"/>
      <c r="GL878" s="858"/>
      <c r="GM878" s="858"/>
      <c r="GN878" s="858"/>
      <c r="GO878" s="858"/>
      <c r="GP878" s="858"/>
      <c r="GQ878" s="858"/>
      <c r="GR878" s="858"/>
      <c r="GS878" s="858"/>
      <c r="GT878" s="858"/>
      <c r="GU878" s="858"/>
      <c r="GV878" s="858"/>
      <c r="GW878" s="858"/>
      <c r="GX878" s="858"/>
      <c r="GY878" s="858"/>
      <c r="GZ878" s="858"/>
      <c r="HA878" s="858"/>
      <c r="HB878" s="858"/>
      <c r="HC878" s="858"/>
      <c r="HD878" s="858"/>
      <c r="HE878" s="858"/>
      <c r="HF878" s="858"/>
      <c r="HG878" s="858"/>
      <c r="HH878" s="858"/>
      <c r="HI878" s="858"/>
      <c r="HJ878" s="858"/>
      <c r="HK878" s="858"/>
      <c r="HL878" s="858"/>
      <c r="HM878" s="858"/>
      <c r="HN878" s="858"/>
      <c r="HO878" s="858"/>
      <c r="HP878" s="858"/>
      <c r="HQ878" s="858"/>
      <c r="HR878" s="858"/>
      <c r="HS878" s="858"/>
      <c r="HT878" s="858"/>
      <c r="HU878" s="858"/>
      <c r="HV878" s="858"/>
      <c r="HW878" s="858"/>
      <c r="HX878" s="858"/>
      <c r="HY878" s="858"/>
      <c r="HZ878" s="858"/>
      <c r="IA878" s="858"/>
      <c r="IB878" s="858"/>
      <c r="IC878" s="858"/>
      <c r="ID878" s="858"/>
      <c r="IE878" s="858"/>
      <c r="IF878" s="858"/>
      <c r="IG878" s="858"/>
      <c r="IH878" s="858"/>
      <c r="II878" s="858"/>
      <c r="IJ878" s="858"/>
      <c r="IK878" s="858"/>
      <c r="IL878" s="858"/>
      <c r="IM878" s="858"/>
      <c r="IN878" s="858"/>
      <c r="IO878" s="858"/>
      <c r="IP878" s="858"/>
      <c r="IQ878" s="858"/>
      <c r="IR878" s="858"/>
      <c r="IS878" s="858"/>
      <c r="IT878" s="858"/>
      <c r="IU878" s="858"/>
      <c r="IV878" s="858"/>
      <c r="IW878" s="858"/>
      <c r="IX878" s="858"/>
      <c r="IY878" s="858"/>
      <c r="IZ878" s="858"/>
      <c r="JA878" s="858"/>
      <c r="JB878" s="858"/>
      <c r="JC878" s="858"/>
      <c r="JD878" s="858"/>
      <c r="JE878" s="858"/>
      <c r="JF878" s="858"/>
      <c r="JG878" s="858"/>
      <c r="JH878" s="858"/>
      <c r="JI878" s="858"/>
      <c r="JJ878" s="858"/>
      <c r="JK878" s="858"/>
      <c r="JL878" s="858"/>
      <c r="JM878" s="858"/>
      <c r="JN878" s="858"/>
      <c r="JO878" s="858"/>
      <c r="JP878" s="858"/>
      <c r="JQ878" s="858"/>
      <c r="JR878" s="858"/>
      <c r="JS878" s="858"/>
      <c r="JT878" s="858"/>
      <c r="JU878" s="858"/>
      <c r="JV878" s="858"/>
      <c r="JW878" s="858"/>
      <c r="JX878" s="858"/>
      <c r="JY878" s="858"/>
      <c r="JZ878" s="858"/>
      <c r="KA878" s="858"/>
      <c r="KB878" s="858"/>
      <c r="KC878" s="858"/>
      <c r="KD878" s="858"/>
      <c r="KE878" s="858"/>
      <c r="KF878" s="858"/>
      <c r="KG878" s="858"/>
      <c r="KH878" s="858"/>
      <c r="KI878" s="858"/>
      <c r="KJ878" s="858"/>
      <c r="KK878" s="858"/>
      <c r="KL878" s="858"/>
      <c r="KM878" s="858"/>
      <c r="KN878" s="858"/>
      <c r="KO878" s="858"/>
      <c r="KP878" s="858"/>
      <c r="KQ878" s="858"/>
      <c r="KR878" s="858"/>
      <c r="KS878" s="858"/>
      <c r="KT878" s="858"/>
      <c r="KU878" s="858"/>
      <c r="KV878" s="858"/>
      <c r="KW878" s="858"/>
      <c r="KX878" s="858"/>
      <c r="KY878" s="858"/>
      <c r="KZ878" s="858"/>
      <c r="LA878" s="858"/>
      <c r="LB878" s="858"/>
      <c r="LC878" s="858"/>
      <c r="LD878" s="858"/>
      <c r="LE878" s="858"/>
      <c r="LF878" s="858"/>
      <c r="LG878" s="858"/>
      <c r="LH878" s="858"/>
      <c r="LI878" s="858"/>
      <c r="LJ878" s="858"/>
      <c r="LK878" s="858"/>
      <c r="LL878" s="858"/>
      <c r="LM878" s="858"/>
      <c r="LN878" s="858"/>
      <c r="LO878" s="858"/>
      <c r="LP878" s="858"/>
      <c r="LQ878" s="858"/>
      <c r="LR878" s="858"/>
      <c r="LS878" s="858"/>
      <c r="LT878" s="858"/>
      <c r="LU878" s="858"/>
      <c r="LV878" s="858"/>
      <c r="LW878" s="858"/>
      <c r="LX878" s="858"/>
      <c r="LY878" s="858"/>
      <c r="LZ878" s="858"/>
      <c r="MA878" s="858"/>
      <c r="MB878" s="858"/>
      <c r="MC878" s="858"/>
      <c r="MD878" s="858"/>
      <c r="ME878" s="858"/>
      <c r="MF878" s="858"/>
      <c r="MG878" s="858"/>
      <c r="MH878" s="858"/>
      <c r="MI878" s="858"/>
      <c r="MJ878" s="858"/>
      <c r="MK878" s="858"/>
      <c r="ML878" s="858"/>
      <c r="MM878" s="858"/>
      <c r="MN878" s="858"/>
      <c r="MO878" s="858"/>
      <c r="MP878" s="858"/>
      <c r="MQ878" s="858"/>
      <c r="MR878" s="858"/>
      <c r="MS878" s="858"/>
      <c r="MT878" s="858"/>
      <c r="MU878" s="858"/>
      <c r="MV878" s="858"/>
      <c r="MW878" s="858"/>
      <c r="MX878" s="858"/>
      <c r="MY878" s="858"/>
      <c r="MZ878" s="858"/>
      <c r="NA878" s="858"/>
      <c r="NB878" s="858"/>
      <c r="NC878" s="858"/>
      <c r="ND878" s="858"/>
      <c r="NE878" s="858"/>
      <c r="NF878" s="858"/>
      <c r="NG878" s="858"/>
      <c r="NH878" s="858"/>
      <c r="NI878" s="858"/>
      <c r="NJ878" s="858"/>
      <c r="NK878" s="858"/>
      <c r="NL878" s="858"/>
      <c r="NM878" s="858"/>
      <c r="NN878" s="858"/>
      <c r="NO878" s="858"/>
      <c r="NP878" s="858"/>
      <c r="NQ878" s="858"/>
      <c r="NR878" s="858"/>
      <c r="NS878" s="858"/>
      <c r="NT878" s="858"/>
      <c r="NU878" s="858"/>
      <c r="NV878" s="858"/>
      <c r="NW878" s="858"/>
      <c r="NX878" s="858"/>
      <c r="NY878" s="858"/>
      <c r="NZ878" s="858"/>
      <c r="OA878" s="858"/>
      <c r="OB878" s="858"/>
      <c r="OC878" s="858"/>
      <c r="OD878" s="858"/>
      <c r="OE878" s="858"/>
      <c r="OF878" s="858"/>
      <c r="OG878" s="858"/>
      <c r="OH878" s="858"/>
      <c r="OI878" s="858"/>
      <c r="OJ878" s="858"/>
      <c r="OK878" s="858"/>
      <c r="OL878" s="858"/>
      <c r="OM878" s="858"/>
      <c r="ON878" s="858"/>
      <c r="OO878" s="858"/>
      <c r="OP878" s="858"/>
      <c r="OQ878" s="858"/>
      <c r="OR878" s="858"/>
      <c r="OS878" s="858"/>
      <c r="OT878" s="858"/>
      <c r="OU878" s="858"/>
      <c r="OV878" s="858"/>
      <c r="OW878" s="858"/>
      <c r="OX878" s="858"/>
      <c r="OY878" s="858"/>
      <c r="OZ878" s="858"/>
      <c r="PA878" s="858"/>
      <c r="PB878" s="858"/>
      <c r="PC878" s="858"/>
      <c r="PD878" s="858"/>
      <c r="PE878" s="858"/>
      <c r="PF878" s="858"/>
      <c r="PG878" s="858"/>
      <c r="PH878" s="858"/>
      <c r="PI878" s="858"/>
      <c r="PJ878" s="858"/>
      <c r="PK878" s="858"/>
      <c r="PL878" s="858"/>
      <c r="PM878" s="858"/>
      <c r="PN878" s="858"/>
      <c r="PO878" s="858"/>
      <c r="PP878" s="858"/>
      <c r="PQ878" s="858"/>
      <c r="PR878" s="858"/>
      <c r="PS878" s="858"/>
      <c r="PT878" s="858"/>
      <c r="PU878" s="858"/>
      <c r="PV878" s="858"/>
      <c r="PW878" s="858"/>
      <c r="PX878" s="858"/>
      <c r="PY878" s="858"/>
      <c r="PZ878" s="858"/>
      <c r="QA878" s="858"/>
      <c r="QB878" s="858"/>
      <c r="QC878" s="858"/>
      <c r="QD878" s="858"/>
      <c r="QE878" s="858"/>
      <c r="QF878" s="858"/>
      <c r="QG878" s="858"/>
      <c r="QH878" s="858"/>
      <c r="QI878" s="858"/>
      <c r="QJ878" s="858"/>
      <c r="QK878" s="858"/>
      <c r="QL878" s="858"/>
      <c r="QM878" s="858"/>
      <c r="QN878" s="858"/>
      <c r="QO878" s="858"/>
      <c r="QP878" s="858"/>
      <c r="QQ878" s="858"/>
      <c r="QR878" s="858"/>
      <c r="QS878" s="858"/>
      <c r="QT878" s="858"/>
      <c r="QU878" s="858"/>
      <c r="QV878" s="858"/>
      <c r="QW878" s="858"/>
      <c r="QX878" s="858"/>
      <c r="QY878" s="858"/>
      <c r="QZ878" s="858"/>
      <c r="RA878" s="858"/>
      <c r="RB878" s="858"/>
      <c r="RC878" s="858"/>
      <c r="RD878" s="858"/>
      <c r="RE878" s="858"/>
      <c r="RF878" s="858"/>
      <c r="RG878" s="858"/>
      <c r="RH878" s="858"/>
      <c r="RI878" s="858"/>
      <c r="RJ878" s="858"/>
      <c r="RK878" s="858"/>
      <c r="RL878" s="858"/>
      <c r="RM878" s="858"/>
      <c r="RN878" s="858"/>
      <c r="RO878" s="858"/>
      <c r="RP878" s="858"/>
      <c r="RQ878" s="858"/>
      <c r="RR878" s="858"/>
      <c r="RS878" s="858"/>
      <c r="RT878" s="858"/>
      <c r="RU878" s="858"/>
      <c r="RV878" s="858"/>
      <c r="RW878" s="858"/>
      <c r="RX878" s="858"/>
      <c r="RY878" s="858"/>
      <c r="RZ878" s="858"/>
      <c r="SA878" s="858"/>
      <c r="SB878" s="858"/>
      <c r="SC878" s="858"/>
      <c r="SD878" s="858"/>
      <c r="SE878" s="858"/>
      <c r="SF878" s="858"/>
      <c r="SG878" s="858"/>
      <c r="SH878" s="858"/>
      <c r="SI878" s="858"/>
      <c r="SJ878" s="858"/>
      <c r="SK878" s="858"/>
      <c r="SL878" s="858"/>
      <c r="SM878" s="858"/>
      <c r="SN878" s="858"/>
      <c r="SO878" s="858"/>
      <c r="SP878" s="858"/>
      <c r="SQ878" s="858"/>
      <c r="SR878" s="858"/>
      <c r="SS878" s="858"/>
      <c r="ST878" s="858"/>
      <c r="SU878" s="858"/>
      <c r="SV878" s="858"/>
      <c r="SW878" s="858"/>
      <c r="SX878" s="858"/>
      <c r="SY878" s="858"/>
      <c r="SZ878" s="858"/>
      <c r="TA878" s="858"/>
      <c r="TB878" s="858"/>
      <c r="TC878" s="858"/>
      <c r="TD878" s="858"/>
      <c r="TE878" s="858"/>
      <c r="TF878" s="858"/>
      <c r="TG878" s="858"/>
      <c r="TH878" s="858"/>
      <c r="TI878" s="858"/>
      <c r="TJ878" s="858"/>
      <c r="TK878" s="858"/>
      <c r="TL878" s="858"/>
      <c r="TM878" s="858"/>
      <c r="TN878" s="858"/>
      <c r="TO878" s="858"/>
      <c r="TP878" s="858"/>
      <c r="TQ878" s="858"/>
      <c r="TR878" s="858"/>
      <c r="TS878" s="858"/>
      <c r="TT878" s="858"/>
      <c r="TU878" s="858"/>
      <c r="TV878" s="858"/>
      <c r="TW878" s="858"/>
      <c r="TX878" s="858"/>
      <c r="TY878" s="858"/>
      <c r="TZ878" s="858"/>
      <c r="UA878" s="858"/>
      <c r="UB878" s="858"/>
      <c r="UC878" s="858"/>
      <c r="UD878" s="858"/>
      <c r="UE878" s="858"/>
      <c r="UF878" s="858"/>
      <c r="UG878" s="859"/>
    </row>
    <row r="879" spans="1:553" s="868" customFormat="1" ht="33" customHeight="1">
      <c r="A879" s="356"/>
      <c r="B879" s="356"/>
      <c r="C879" s="673" t="s">
        <v>719</v>
      </c>
      <c r="D879" s="397">
        <v>1</v>
      </c>
      <c r="E879" s="397">
        <v>344</v>
      </c>
      <c r="F879" s="673"/>
      <c r="G879" s="674" t="s">
        <v>33</v>
      </c>
      <c r="H879" s="675"/>
      <c r="I879" s="490">
        <v>113.9</v>
      </c>
      <c r="J879" s="797">
        <v>62000</v>
      </c>
      <c r="K879" s="857">
        <v>2.5</v>
      </c>
      <c r="L879" s="481">
        <f>I879*J879*K879</f>
        <v>17654500</v>
      </c>
      <c r="M879" s="356"/>
      <c r="N879" s="356"/>
      <c r="O879" s="356"/>
      <c r="P879" s="356"/>
      <c r="Q879" s="610"/>
      <c r="R879" s="1452"/>
      <c r="S879" s="308"/>
      <c r="T879" s="308"/>
      <c r="U879" s="308"/>
      <c r="V879" s="308"/>
      <c r="W879" s="308"/>
      <c r="X879" s="308"/>
      <c r="Y879" s="308"/>
      <c r="Z879" s="604"/>
      <c r="AA879" s="308"/>
      <c r="AB879" s="308"/>
      <c r="AC879" s="449"/>
      <c r="AD879" s="449"/>
      <c r="AE879" s="449"/>
      <c r="AF879" s="449"/>
      <c r="AG879" s="449"/>
      <c r="AH879" s="449"/>
      <c r="AI879" s="449"/>
      <c r="AJ879" s="449"/>
      <c r="AK879" s="452"/>
      <c r="AL879" s="864"/>
      <c r="AM879" s="865"/>
      <c r="AN879" s="865"/>
      <c r="AO879" s="865"/>
      <c r="AP879" s="865"/>
      <c r="AQ879" s="865"/>
      <c r="AR879" s="865"/>
      <c r="AS879" s="865"/>
      <c r="AT879" s="865"/>
      <c r="AU879" s="865"/>
      <c r="AV879" s="865"/>
      <c r="AW879" s="865"/>
      <c r="AX879" s="865"/>
      <c r="AY879" s="865"/>
      <c r="AZ879" s="865"/>
      <c r="BA879" s="865"/>
      <c r="BB879" s="865"/>
      <c r="BC879" s="865"/>
      <c r="BD879" s="865"/>
      <c r="BE879" s="865"/>
      <c r="BF879" s="865"/>
      <c r="BG879" s="865"/>
      <c r="BH879" s="865"/>
      <c r="BI879" s="865"/>
      <c r="BJ879" s="865"/>
      <c r="BK879" s="865"/>
      <c r="BL879" s="865"/>
      <c r="BM879" s="865"/>
      <c r="BN879" s="865"/>
      <c r="BO879" s="865"/>
      <c r="BP879" s="866"/>
      <c r="BQ879" s="866"/>
      <c r="BR879" s="866"/>
      <c r="BS879" s="866"/>
      <c r="BT879" s="866"/>
      <c r="BU879" s="866"/>
      <c r="BV879" s="866"/>
      <c r="BW879" s="866"/>
      <c r="BX879" s="866"/>
      <c r="BY879" s="866"/>
      <c r="BZ879" s="866"/>
      <c r="CA879" s="866"/>
      <c r="CB879" s="866"/>
      <c r="CC879" s="866"/>
      <c r="CD879" s="866"/>
      <c r="CE879" s="866"/>
      <c r="CF879" s="866"/>
      <c r="CG879" s="866"/>
      <c r="CH879" s="866"/>
      <c r="CI879" s="866"/>
      <c r="CJ879" s="866"/>
      <c r="CK879" s="866"/>
      <c r="CL879" s="866"/>
      <c r="CM879" s="866"/>
      <c r="CN879" s="866"/>
      <c r="CO879" s="866"/>
      <c r="CP879" s="866"/>
      <c r="CQ879" s="866"/>
      <c r="CR879" s="866"/>
      <c r="CS879" s="866"/>
      <c r="CT879" s="866"/>
      <c r="CU879" s="866"/>
      <c r="CV879" s="866"/>
      <c r="CW879" s="866"/>
      <c r="CX879" s="866"/>
      <c r="CY879" s="866"/>
      <c r="CZ879" s="866"/>
      <c r="DA879" s="866"/>
      <c r="DB879" s="866"/>
      <c r="DC879" s="866"/>
      <c r="DD879" s="866"/>
      <c r="DE879" s="866"/>
      <c r="DF879" s="866"/>
      <c r="DG879" s="866"/>
      <c r="DH879" s="866"/>
      <c r="DI879" s="866"/>
      <c r="DJ879" s="866"/>
      <c r="DK879" s="866"/>
      <c r="DL879" s="866"/>
      <c r="DM879" s="866"/>
      <c r="DN879" s="866"/>
      <c r="DO879" s="866"/>
      <c r="DP879" s="866"/>
      <c r="DQ879" s="866"/>
      <c r="DR879" s="866"/>
      <c r="DS879" s="866"/>
      <c r="DT879" s="866"/>
      <c r="DU879" s="866"/>
      <c r="DV879" s="866"/>
      <c r="DW879" s="866"/>
      <c r="DX879" s="866"/>
      <c r="DY879" s="866"/>
      <c r="DZ879" s="866"/>
      <c r="EA879" s="866"/>
      <c r="EB879" s="866"/>
      <c r="EC879" s="866"/>
      <c r="ED879" s="866"/>
      <c r="EE879" s="866"/>
      <c r="EF879" s="866"/>
      <c r="EG879" s="866"/>
      <c r="EH879" s="866"/>
      <c r="EI879" s="866"/>
      <c r="EJ879" s="866"/>
      <c r="EK879" s="866"/>
      <c r="EL879" s="866"/>
      <c r="EM879" s="866"/>
      <c r="EN879" s="866"/>
      <c r="EO879" s="866"/>
      <c r="EP879" s="866"/>
      <c r="EQ879" s="866"/>
      <c r="ER879" s="866"/>
      <c r="ES879" s="866"/>
      <c r="ET879" s="866"/>
      <c r="EU879" s="866"/>
      <c r="EV879" s="866"/>
      <c r="EW879" s="866"/>
      <c r="EX879" s="866"/>
      <c r="EY879" s="866"/>
      <c r="EZ879" s="866"/>
      <c r="FA879" s="866"/>
      <c r="FB879" s="866"/>
      <c r="FC879" s="866"/>
      <c r="FD879" s="866"/>
      <c r="FE879" s="866"/>
      <c r="FF879" s="866"/>
      <c r="FG879" s="866"/>
      <c r="FH879" s="866"/>
      <c r="FI879" s="866"/>
      <c r="FJ879" s="866"/>
      <c r="FK879" s="866"/>
      <c r="FL879" s="866"/>
      <c r="FM879" s="866"/>
      <c r="FN879" s="866"/>
      <c r="FO879" s="866"/>
      <c r="FP879" s="866"/>
      <c r="FQ879" s="866"/>
      <c r="FR879" s="866"/>
      <c r="FS879" s="866"/>
      <c r="FT879" s="866"/>
      <c r="FU879" s="866"/>
      <c r="FV879" s="866"/>
      <c r="FW879" s="866"/>
      <c r="FX879" s="866"/>
      <c r="FY879" s="866"/>
      <c r="FZ879" s="866"/>
      <c r="GA879" s="866"/>
      <c r="GB879" s="866"/>
      <c r="GC879" s="866"/>
      <c r="GD879" s="866"/>
      <c r="GE879" s="866"/>
      <c r="GF879" s="866"/>
      <c r="GG879" s="866"/>
      <c r="GH879" s="866"/>
      <c r="GI879" s="866"/>
      <c r="GJ879" s="866"/>
      <c r="GK879" s="866"/>
      <c r="GL879" s="866"/>
      <c r="GM879" s="866"/>
      <c r="GN879" s="866"/>
      <c r="GO879" s="866"/>
      <c r="GP879" s="866"/>
      <c r="GQ879" s="866"/>
      <c r="GR879" s="866"/>
      <c r="GS879" s="866"/>
      <c r="GT879" s="866"/>
      <c r="GU879" s="866"/>
      <c r="GV879" s="866"/>
      <c r="GW879" s="866"/>
      <c r="GX879" s="866"/>
      <c r="GY879" s="866"/>
      <c r="GZ879" s="866"/>
      <c r="HA879" s="866"/>
      <c r="HB879" s="866"/>
      <c r="HC879" s="866"/>
      <c r="HD879" s="866"/>
      <c r="HE879" s="866"/>
      <c r="HF879" s="866"/>
      <c r="HG879" s="866"/>
      <c r="HH879" s="866"/>
      <c r="HI879" s="866"/>
      <c r="HJ879" s="866"/>
      <c r="HK879" s="866"/>
      <c r="HL879" s="866"/>
      <c r="HM879" s="866"/>
      <c r="HN879" s="866"/>
      <c r="HO879" s="866"/>
      <c r="HP879" s="866"/>
      <c r="HQ879" s="866"/>
      <c r="HR879" s="866"/>
      <c r="HS879" s="866"/>
      <c r="HT879" s="866"/>
      <c r="HU879" s="866"/>
      <c r="HV879" s="866"/>
      <c r="HW879" s="866"/>
      <c r="HX879" s="866"/>
      <c r="HY879" s="866"/>
      <c r="HZ879" s="866"/>
      <c r="IA879" s="866"/>
      <c r="IB879" s="866"/>
      <c r="IC879" s="866"/>
      <c r="ID879" s="866"/>
      <c r="IE879" s="866"/>
      <c r="IF879" s="866"/>
      <c r="IG879" s="866"/>
      <c r="IH879" s="866"/>
      <c r="II879" s="866"/>
      <c r="IJ879" s="866"/>
      <c r="IK879" s="866"/>
      <c r="IL879" s="866"/>
      <c r="IM879" s="866"/>
      <c r="IN879" s="866"/>
      <c r="IO879" s="866"/>
      <c r="IP879" s="866"/>
      <c r="IQ879" s="866"/>
      <c r="IR879" s="866"/>
      <c r="IS879" s="866"/>
      <c r="IT879" s="866"/>
      <c r="IU879" s="866"/>
      <c r="IV879" s="866"/>
      <c r="IW879" s="866"/>
      <c r="IX879" s="866"/>
      <c r="IY879" s="866"/>
      <c r="IZ879" s="866"/>
      <c r="JA879" s="866"/>
      <c r="JB879" s="866"/>
      <c r="JC879" s="866"/>
      <c r="JD879" s="866"/>
      <c r="JE879" s="866"/>
      <c r="JF879" s="866"/>
      <c r="JG879" s="866"/>
      <c r="JH879" s="866"/>
      <c r="JI879" s="866"/>
      <c r="JJ879" s="866"/>
      <c r="JK879" s="866"/>
      <c r="JL879" s="866"/>
      <c r="JM879" s="866"/>
      <c r="JN879" s="866"/>
      <c r="JO879" s="866"/>
      <c r="JP879" s="866"/>
      <c r="JQ879" s="866"/>
      <c r="JR879" s="866"/>
      <c r="JS879" s="866"/>
      <c r="JT879" s="866"/>
      <c r="JU879" s="866"/>
      <c r="JV879" s="866"/>
      <c r="JW879" s="866"/>
      <c r="JX879" s="866"/>
      <c r="JY879" s="866"/>
      <c r="JZ879" s="866"/>
      <c r="KA879" s="866"/>
      <c r="KB879" s="866"/>
      <c r="KC879" s="866"/>
      <c r="KD879" s="866"/>
      <c r="KE879" s="866"/>
      <c r="KF879" s="866"/>
      <c r="KG879" s="866"/>
      <c r="KH879" s="866"/>
      <c r="KI879" s="866"/>
      <c r="KJ879" s="866"/>
      <c r="KK879" s="866"/>
      <c r="KL879" s="866"/>
      <c r="KM879" s="866"/>
      <c r="KN879" s="866"/>
      <c r="KO879" s="866"/>
      <c r="KP879" s="866"/>
      <c r="KQ879" s="866"/>
      <c r="KR879" s="866"/>
      <c r="KS879" s="866"/>
      <c r="KT879" s="866"/>
      <c r="KU879" s="866"/>
      <c r="KV879" s="866"/>
      <c r="KW879" s="866"/>
      <c r="KX879" s="866"/>
      <c r="KY879" s="866"/>
      <c r="KZ879" s="866"/>
      <c r="LA879" s="866"/>
      <c r="LB879" s="866"/>
      <c r="LC879" s="866"/>
      <c r="LD879" s="866"/>
      <c r="LE879" s="866"/>
      <c r="LF879" s="866"/>
      <c r="LG879" s="866"/>
      <c r="LH879" s="866"/>
      <c r="LI879" s="866"/>
      <c r="LJ879" s="866"/>
      <c r="LK879" s="866"/>
      <c r="LL879" s="866"/>
      <c r="LM879" s="866"/>
      <c r="LN879" s="866"/>
      <c r="LO879" s="866"/>
      <c r="LP879" s="866"/>
      <c r="LQ879" s="866"/>
      <c r="LR879" s="866"/>
      <c r="LS879" s="866"/>
      <c r="LT879" s="866"/>
      <c r="LU879" s="866"/>
      <c r="LV879" s="866"/>
      <c r="LW879" s="866"/>
      <c r="LX879" s="866"/>
      <c r="LY879" s="866"/>
      <c r="LZ879" s="866"/>
      <c r="MA879" s="866"/>
      <c r="MB879" s="866"/>
      <c r="MC879" s="866"/>
      <c r="MD879" s="866"/>
      <c r="ME879" s="866"/>
      <c r="MF879" s="866"/>
      <c r="MG879" s="866"/>
      <c r="MH879" s="866"/>
      <c r="MI879" s="866"/>
      <c r="MJ879" s="866"/>
      <c r="MK879" s="866"/>
      <c r="ML879" s="866"/>
      <c r="MM879" s="866"/>
      <c r="MN879" s="866"/>
      <c r="MO879" s="866"/>
      <c r="MP879" s="866"/>
      <c r="MQ879" s="866"/>
      <c r="MR879" s="866"/>
      <c r="MS879" s="866"/>
      <c r="MT879" s="866"/>
      <c r="MU879" s="866"/>
      <c r="MV879" s="866"/>
      <c r="MW879" s="866"/>
      <c r="MX879" s="866"/>
      <c r="MY879" s="866"/>
      <c r="MZ879" s="866"/>
      <c r="NA879" s="866"/>
      <c r="NB879" s="866"/>
      <c r="NC879" s="866"/>
      <c r="ND879" s="866"/>
      <c r="NE879" s="866"/>
      <c r="NF879" s="866"/>
      <c r="NG879" s="866"/>
      <c r="NH879" s="866"/>
      <c r="NI879" s="866"/>
      <c r="NJ879" s="866"/>
      <c r="NK879" s="866"/>
      <c r="NL879" s="866"/>
      <c r="NM879" s="866"/>
      <c r="NN879" s="866"/>
      <c r="NO879" s="866"/>
      <c r="NP879" s="866"/>
      <c r="NQ879" s="866"/>
      <c r="NR879" s="866"/>
      <c r="NS879" s="866"/>
      <c r="NT879" s="866"/>
      <c r="NU879" s="866"/>
      <c r="NV879" s="866"/>
      <c r="NW879" s="866"/>
      <c r="NX879" s="866"/>
      <c r="NY879" s="866"/>
      <c r="NZ879" s="866"/>
      <c r="OA879" s="866"/>
      <c r="OB879" s="866"/>
      <c r="OC879" s="866"/>
      <c r="OD879" s="866"/>
      <c r="OE879" s="866"/>
      <c r="OF879" s="866"/>
      <c r="OG879" s="866"/>
      <c r="OH879" s="866"/>
      <c r="OI879" s="866"/>
      <c r="OJ879" s="866"/>
      <c r="OK879" s="866"/>
      <c r="OL879" s="866"/>
      <c r="OM879" s="866"/>
      <c r="ON879" s="866"/>
      <c r="OO879" s="866"/>
      <c r="OP879" s="866"/>
      <c r="OQ879" s="866"/>
      <c r="OR879" s="866"/>
      <c r="OS879" s="866"/>
      <c r="OT879" s="866"/>
      <c r="OU879" s="866"/>
      <c r="OV879" s="866"/>
      <c r="OW879" s="866"/>
      <c r="OX879" s="866"/>
      <c r="OY879" s="866"/>
      <c r="OZ879" s="866"/>
      <c r="PA879" s="866"/>
      <c r="PB879" s="866"/>
      <c r="PC879" s="866"/>
      <c r="PD879" s="866"/>
      <c r="PE879" s="866"/>
      <c r="PF879" s="866"/>
      <c r="PG879" s="866"/>
      <c r="PH879" s="866"/>
      <c r="PI879" s="866"/>
      <c r="PJ879" s="866"/>
      <c r="PK879" s="866"/>
      <c r="PL879" s="866"/>
      <c r="PM879" s="866"/>
      <c r="PN879" s="866"/>
      <c r="PO879" s="866"/>
      <c r="PP879" s="866"/>
      <c r="PQ879" s="866"/>
      <c r="PR879" s="866"/>
      <c r="PS879" s="866"/>
      <c r="PT879" s="866"/>
      <c r="PU879" s="866"/>
      <c r="PV879" s="866"/>
      <c r="PW879" s="866"/>
      <c r="PX879" s="866"/>
      <c r="PY879" s="866"/>
      <c r="PZ879" s="866"/>
      <c r="QA879" s="866"/>
      <c r="QB879" s="866"/>
      <c r="QC879" s="866"/>
      <c r="QD879" s="866"/>
      <c r="QE879" s="866"/>
      <c r="QF879" s="866"/>
      <c r="QG879" s="866"/>
      <c r="QH879" s="866"/>
      <c r="QI879" s="866"/>
      <c r="QJ879" s="866"/>
      <c r="QK879" s="866"/>
      <c r="QL879" s="866"/>
      <c r="QM879" s="866"/>
      <c r="QN879" s="866"/>
      <c r="QO879" s="866"/>
      <c r="QP879" s="866"/>
      <c r="QQ879" s="866"/>
      <c r="QR879" s="866"/>
      <c r="QS879" s="866"/>
      <c r="QT879" s="866"/>
      <c r="QU879" s="866"/>
      <c r="QV879" s="866"/>
      <c r="QW879" s="866"/>
      <c r="QX879" s="866"/>
      <c r="QY879" s="866"/>
      <c r="QZ879" s="866"/>
      <c r="RA879" s="866"/>
      <c r="RB879" s="866"/>
      <c r="RC879" s="866"/>
      <c r="RD879" s="866"/>
      <c r="RE879" s="866"/>
      <c r="RF879" s="866"/>
      <c r="RG879" s="866"/>
      <c r="RH879" s="866"/>
      <c r="RI879" s="866"/>
      <c r="RJ879" s="866"/>
      <c r="RK879" s="866"/>
      <c r="RL879" s="866"/>
      <c r="RM879" s="866"/>
      <c r="RN879" s="866"/>
      <c r="RO879" s="866"/>
      <c r="RP879" s="866"/>
      <c r="RQ879" s="866"/>
      <c r="RR879" s="866"/>
      <c r="RS879" s="866"/>
      <c r="RT879" s="866"/>
      <c r="RU879" s="866"/>
      <c r="RV879" s="866"/>
      <c r="RW879" s="866"/>
      <c r="RX879" s="866"/>
      <c r="RY879" s="866"/>
      <c r="RZ879" s="866"/>
      <c r="SA879" s="866"/>
      <c r="SB879" s="866"/>
      <c r="SC879" s="866"/>
      <c r="SD879" s="866"/>
      <c r="SE879" s="866"/>
      <c r="SF879" s="866"/>
      <c r="SG879" s="866"/>
      <c r="SH879" s="866"/>
      <c r="SI879" s="866"/>
      <c r="SJ879" s="866"/>
      <c r="SK879" s="866"/>
      <c r="SL879" s="866"/>
      <c r="SM879" s="866"/>
      <c r="SN879" s="866"/>
      <c r="SO879" s="866"/>
      <c r="SP879" s="866"/>
      <c r="SQ879" s="866"/>
      <c r="SR879" s="866"/>
      <c r="SS879" s="866"/>
      <c r="ST879" s="866"/>
      <c r="SU879" s="866"/>
      <c r="SV879" s="866"/>
      <c r="SW879" s="866"/>
      <c r="SX879" s="866"/>
      <c r="SY879" s="866"/>
      <c r="SZ879" s="866"/>
      <c r="TA879" s="866"/>
      <c r="TB879" s="866"/>
      <c r="TC879" s="866"/>
      <c r="TD879" s="866"/>
      <c r="TE879" s="866"/>
      <c r="TF879" s="866"/>
      <c r="TG879" s="866"/>
      <c r="TH879" s="866"/>
      <c r="TI879" s="866"/>
      <c r="TJ879" s="866"/>
      <c r="TK879" s="866"/>
      <c r="TL879" s="866"/>
      <c r="TM879" s="866"/>
      <c r="TN879" s="866"/>
      <c r="TO879" s="866"/>
      <c r="TP879" s="866"/>
      <c r="TQ879" s="866"/>
      <c r="TR879" s="866"/>
      <c r="TS879" s="866"/>
      <c r="TT879" s="866"/>
      <c r="TU879" s="866"/>
      <c r="TV879" s="866"/>
      <c r="TW879" s="866"/>
      <c r="TX879" s="866"/>
      <c r="TY879" s="866"/>
      <c r="TZ879" s="866"/>
      <c r="UA879" s="866"/>
      <c r="UB879" s="866"/>
      <c r="UC879" s="866"/>
      <c r="UD879" s="866"/>
      <c r="UE879" s="866"/>
      <c r="UF879" s="866"/>
      <c r="UG879" s="867"/>
    </row>
    <row r="880" spans="1:553" s="868" customFormat="1" ht="33" customHeight="1">
      <c r="A880" s="356"/>
      <c r="B880" s="356"/>
      <c r="C880" s="673" t="s">
        <v>719</v>
      </c>
      <c r="D880" s="397">
        <v>1</v>
      </c>
      <c r="E880" s="397">
        <v>414</v>
      </c>
      <c r="F880" s="673"/>
      <c r="G880" s="674" t="s">
        <v>33</v>
      </c>
      <c r="H880" s="675"/>
      <c r="I880" s="490">
        <v>334.3</v>
      </c>
      <c r="J880" s="797">
        <v>62000</v>
      </c>
      <c r="K880" s="857">
        <v>2.5</v>
      </c>
      <c r="L880" s="481">
        <f>I880*J880*K880</f>
        <v>51816500</v>
      </c>
      <c r="M880" s="356"/>
      <c r="N880" s="356"/>
      <c r="O880" s="356"/>
      <c r="P880" s="356"/>
      <c r="Q880" s="610"/>
      <c r="R880" s="1452"/>
      <c r="S880" s="308"/>
      <c r="T880" s="308"/>
      <c r="U880" s="308"/>
      <c r="V880" s="308"/>
      <c r="W880" s="308"/>
      <c r="X880" s="308"/>
      <c r="Y880" s="308"/>
      <c r="Z880" s="604"/>
      <c r="AA880" s="308"/>
      <c r="AB880" s="308"/>
      <c r="AC880" s="449"/>
      <c r="AD880" s="449"/>
      <c r="AE880" s="449"/>
      <c r="AF880" s="449"/>
      <c r="AG880" s="449"/>
      <c r="AH880" s="449"/>
      <c r="AI880" s="449"/>
      <c r="AJ880" s="449"/>
      <c r="AK880" s="452"/>
      <c r="AL880" s="864"/>
      <c r="AM880" s="865"/>
      <c r="AN880" s="865"/>
      <c r="AO880" s="865"/>
      <c r="AP880" s="865"/>
      <c r="AQ880" s="865"/>
      <c r="AR880" s="865"/>
      <c r="AS880" s="865"/>
      <c r="AT880" s="865"/>
      <c r="AU880" s="865"/>
      <c r="AV880" s="865"/>
      <c r="AW880" s="865"/>
      <c r="AX880" s="865"/>
      <c r="AY880" s="865"/>
      <c r="AZ880" s="865"/>
      <c r="BA880" s="865"/>
      <c r="BB880" s="865"/>
      <c r="BC880" s="865"/>
      <c r="BD880" s="865"/>
      <c r="BE880" s="865"/>
      <c r="BF880" s="865"/>
      <c r="BG880" s="865"/>
      <c r="BH880" s="865"/>
      <c r="BI880" s="865"/>
      <c r="BJ880" s="865"/>
      <c r="BK880" s="865"/>
      <c r="BL880" s="865"/>
      <c r="BM880" s="865"/>
      <c r="BN880" s="865"/>
      <c r="BO880" s="865"/>
      <c r="BP880" s="866"/>
      <c r="BQ880" s="866"/>
      <c r="BR880" s="866"/>
      <c r="BS880" s="866"/>
      <c r="BT880" s="866"/>
      <c r="BU880" s="866"/>
      <c r="BV880" s="866"/>
      <c r="BW880" s="866"/>
      <c r="BX880" s="866"/>
      <c r="BY880" s="866"/>
      <c r="BZ880" s="866"/>
      <c r="CA880" s="866"/>
      <c r="CB880" s="866"/>
      <c r="CC880" s="866"/>
      <c r="CD880" s="866"/>
      <c r="CE880" s="866"/>
      <c r="CF880" s="866"/>
      <c r="CG880" s="866"/>
      <c r="CH880" s="866"/>
      <c r="CI880" s="866"/>
      <c r="CJ880" s="866"/>
      <c r="CK880" s="866"/>
      <c r="CL880" s="866"/>
      <c r="CM880" s="866"/>
      <c r="CN880" s="866"/>
      <c r="CO880" s="866"/>
      <c r="CP880" s="866"/>
      <c r="CQ880" s="866"/>
      <c r="CR880" s="866"/>
      <c r="CS880" s="866"/>
      <c r="CT880" s="866"/>
      <c r="CU880" s="866"/>
      <c r="CV880" s="866"/>
      <c r="CW880" s="866"/>
      <c r="CX880" s="866"/>
      <c r="CY880" s="866"/>
      <c r="CZ880" s="866"/>
      <c r="DA880" s="866"/>
      <c r="DB880" s="866"/>
      <c r="DC880" s="866"/>
      <c r="DD880" s="866"/>
      <c r="DE880" s="866"/>
      <c r="DF880" s="866"/>
      <c r="DG880" s="866"/>
      <c r="DH880" s="866"/>
      <c r="DI880" s="866"/>
      <c r="DJ880" s="866"/>
      <c r="DK880" s="866"/>
      <c r="DL880" s="866"/>
      <c r="DM880" s="866"/>
      <c r="DN880" s="866"/>
      <c r="DO880" s="866"/>
      <c r="DP880" s="866"/>
      <c r="DQ880" s="866"/>
      <c r="DR880" s="866"/>
      <c r="DS880" s="866"/>
      <c r="DT880" s="866"/>
      <c r="DU880" s="866"/>
      <c r="DV880" s="866"/>
      <c r="DW880" s="866"/>
      <c r="DX880" s="866"/>
      <c r="DY880" s="866"/>
      <c r="DZ880" s="866"/>
      <c r="EA880" s="866"/>
      <c r="EB880" s="866"/>
      <c r="EC880" s="866"/>
      <c r="ED880" s="866"/>
      <c r="EE880" s="866"/>
      <c r="EF880" s="866"/>
      <c r="EG880" s="866"/>
      <c r="EH880" s="866"/>
      <c r="EI880" s="866"/>
      <c r="EJ880" s="866"/>
      <c r="EK880" s="866"/>
      <c r="EL880" s="866"/>
      <c r="EM880" s="866"/>
      <c r="EN880" s="866"/>
      <c r="EO880" s="866"/>
      <c r="EP880" s="866"/>
      <c r="EQ880" s="866"/>
      <c r="ER880" s="866"/>
      <c r="ES880" s="866"/>
      <c r="ET880" s="866"/>
      <c r="EU880" s="866"/>
      <c r="EV880" s="866"/>
      <c r="EW880" s="866"/>
      <c r="EX880" s="866"/>
      <c r="EY880" s="866"/>
      <c r="EZ880" s="866"/>
      <c r="FA880" s="866"/>
      <c r="FB880" s="866"/>
      <c r="FC880" s="866"/>
      <c r="FD880" s="866"/>
      <c r="FE880" s="866"/>
      <c r="FF880" s="866"/>
      <c r="FG880" s="866"/>
      <c r="FH880" s="866"/>
      <c r="FI880" s="866"/>
      <c r="FJ880" s="866"/>
      <c r="FK880" s="866"/>
      <c r="FL880" s="866"/>
      <c r="FM880" s="866"/>
      <c r="FN880" s="866"/>
      <c r="FO880" s="866"/>
      <c r="FP880" s="866"/>
      <c r="FQ880" s="866"/>
      <c r="FR880" s="866"/>
      <c r="FS880" s="866"/>
      <c r="FT880" s="866"/>
      <c r="FU880" s="866"/>
      <c r="FV880" s="866"/>
      <c r="FW880" s="866"/>
      <c r="FX880" s="866"/>
      <c r="FY880" s="866"/>
      <c r="FZ880" s="866"/>
      <c r="GA880" s="866"/>
      <c r="GB880" s="866"/>
      <c r="GC880" s="866"/>
      <c r="GD880" s="866"/>
      <c r="GE880" s="866"/>
      <c r="GF880" s="866"/>
      <c r="GG880" s="866"/>
      <c r="GH880" s="866"/>
      <c r="GI880" s="866"/>
      <c r="GJ880" s="866"/>
      <c r="GK880" s="866"/>
      <c r="GL880" s="866"/>
      <c r="GM880" s="866"/>
      <c r="GN880" s="866"/>
      <c r="GO880" s="866"/>
      <c r="GP880" s="866"/>
      <c r="GQ880" s="866"/>
      <c r="GR880" s="866"/>
      <c r="GS880" s="866"/>
      <c r="GT880" s="866"/>
      <c r="GU880" s="866"/>
      <c r="GV880" s="866"/>
      <c r="GW880" s="866"/>
      <c r="GX880" s="866"/>
      <c r="GY880" s="866"/>
      <c r="GZ880" s="866"/>
      <c r="HA880" s="866"/>
      <c r="HB880" s="866"/>
      <c r="HC880" s="866"/>
      <c r="HD880" s="866"/>
      <c r="HE880" s="866"/>
      <c r="HF880" s="866"/>
      <c r="HG880" s="866"/>
      <c r="HH880" s="866"/>
      <c r="HI880" s="866"/>
      <c r="HJ880" s="866"/>
      <c r="HK880" s="866"/>
      <c r="HL880" s="866"/>
      <c r="HM880" s="866"/>
      <c r="HN880" s="866"/>
      <c r="HO880" s="866"/>
      <c r="HP880" s="866"/>
      <c r="HQ880" s="866"/>
      <c r="HR880" s="866"/>
      <c r="HS880" s="866"/>
      <c r="HT880" s="866"/>
      <c r="HU880" s="866"/>
      <c r="HV880" s="866"/>
      <c r="HW880" s="866"/>
      <c r="HX880" s="866"/>
      <c r="HY880" s="866"/>
      <c r="HZ880" s="866"/>
      <c r="IA880" s="866"/>
      <c r="IB880" s="866"/>
      <c r="IC880" s="866"/>
      <c r="ID880" s="866"/>
      <c r="IE880" s="866"/>
      <c r="IF880" s="866"/>
      <c r="IG880" s="866"/>
      <c r="IH880" s="866"/>
      <c r="II880" s="866"/>
      <c r="IJ880" s="866"/>
      <c r="IK880" s="866"/>
      <c r="IL880" s="866"/>
      <c r="IM880" s="866"/>
      <c r="IN880" s="866"/>
      <c r="IO880" s="866"/>
      <c r="IP880" s="866"/>
      <c r="IQ880" s="866"/>
      <c r="IR880" s="866"/>
      <c r="IS880" s="866"/>
      <c r="IT880" s="866"/>
      <c r="IU880" s="866"/>
      <c r="IV880" s="866"/>
      <c r="IW880" s="866"/>
      <c r="IX880" s="866"/>
      <c r="IY880" s="866"/>
      <c r="IZ880" s="866"/>
      <c r="JA880" s="866"/>
      <c r="JB880" s="866"/>
      <c r="JC880" s="866"/>
      <c r="JD880" s="866"/>
      <c r="JE880" s="866"/>
      <c r="JF880" s="866"/>
      <c r="JG880" s="866"/>
      <c r="JH880" s="866"/>
      <c r="JI880" s="866"/>
      <c r="JJ880" s="866"/>
      <c r="JK880" s="866"/>
      <c r="JL880" s="866"/>
      <c r="JM880" s="866"/>
      <c r="JN880" s="866"/>
      <c r="JO880" s="866"/>
      <c r="JP880" s="866"/>
      <c r="JQ880" s="866"/>
      <c r="JR880" s="866"/>
      <c r="JS880" s="866"/>
      <c r="JT880" s="866"/>
      <c r="JU880" s="866"/>
      <c r="JV880" s="866"/>
      <c r="JW880" s="866"/>
      <c r="JX880" s="866"/>
      <c r="JY880" s="866"/>
      <c r="JZ880" s="866"/>
      <c r="KA880" s="866"/>
      <c r="KB880" s="866"/>
      <c r="KC880" s="866"/>
      <c r="KD880" s="866"/>
      <c r="KE880" s="866"/>
      <c r="KF880" s="866"/>
      <c r="KG880" s="866"/>
      <c r="KH880" s="866"/>
      <c r="KI880" s="866"/>
      <c r="KJ880" s="866"/>
      <c r="KK880" s="866"/>
      <c r="KL880" s="866"/>
      <c r="KM880" s="866"/>
      <c r="KN880" s="866"/>
      <c r="KO880" s="866"/>
      <c r="KP880" s="866"/>
      <c r="KQ880" s="866"/>
      <c r="KR880" s="866"/>
      <c r="KS880" s="866"/>
      <c r="KT880" s="866"/>
      <c r="KU880" s="866"/>
      <c r="KV880" s="866"/>
      <c r="KW880" s="866"/>
      <c r="KX880" s="866"/>
      <c r="KY880" s="866"/>
      <c r="KZ880" s="866"/>
      <c r="LA880" s="866"/>
      <c r="LB880" s="866"/>
      <c r="LC880" s="866"/>
      <c r="LD880" s="866"/>
      <c r="LE880" s="866"/>
      <c r="LF880" s="866"/>
      <c r="LG880" s="866"/>
      <c r="LH880" s="866"/>
      <c r="LI880" s="866"/>
      <c r="LJ880" s="866"/>
      <c r="LK880" s="866"/>
      <c r="LL880" s="866"/>
      <c r="LM880" s="866"/>
      <c r="LN880" s="866"/>
      <c r="LO880" s="866"/>
      <c r="LP880" s="866"/>
      <c r="LQ880" s="866"/>
      <c r="LR880" s="866"/>
      <c r="LS880" s="866"/>
      <c r="LT880" s="866"/>
      <c r="LU880" s="866"/>
      <c r="LV880" s="866"/>
      <c r="LW880" s="866"/>
      <c r="LX880" s="866"/>
      <c r="LY880" s="866"/>
      <c r="LZ880" s="866"/>
      <c r="MA880" s="866"/>
      <c r="MB880" s="866"/>
      <c r="MC880" s="866"/>
      <c r="MD880" s="866"/>
      <c r="ME880" s="866"/>
      <c r="MF880" s="866"/>
      <c r="MG880" s="866"/>
      <c r="MH880" s="866"/>
      <c r="MI880" s="866"/>
      <c r="MJ880" s="866"/>
      <c r="MK880" s="866"/>
      <c r="ML880" s="866"/>
      <c r="MM880" s="866"/>
      <c r="MN880" s="866"/>
      <c r="MO880" s="866"/>
      <c r="MP880" s="866"/>
      <c r="MQ880" s="866"/>
      <c r="MR880" s="866"/>
      <c r="MS880" s="866"/>
      <c r="MT880" s="866"/>
      <c r="MU880" s="866"/>
      <c r="MV880" s="866"/>
      <c r="MW880" s="866"/>
      <c r="MX880" s="866"/>
      <c r="MY880" s="866"/>
      <c r="MZ880" s="866"/>
      <c r="NA880" s="866"/>
      <c r="NB880" s="866"/>
      <c r="NC880" s="866"/>
      <c r="ND880" s="866"/>
      <c r="NE880" s="866"/>
      <c r="NF880" s="866"/>
      <c r="NG880" s="866"/>
      <c r="NH880" s="866"/>
      <c r="NI880" s="866"/>
      <c r="NJ880" s="866"/>
      <c r="NK880" s="866"/>
      <c r="NL880" s="866"/>
      <c r="NM880" s="866"/>
      <c r="NN880" s="866"/>
      <c r="NO880" s="866"/>
      <c r="NP880" s="866"/>
      <c r="NQ880" s="866"/>
      <c r="NR880" s="866"/>
      <c r="NS880" s="866"/>
      <c r="NT880" s="866"/>
      <c r="NU880" s="866"/>
      <c r="NV880" s="866"/>
      <c r="NW880" s="866"/>
      <c r="NX880" s="866"/>
      <c r="NY880" s="866"/>
      <c r="NZ880" s="866"/>
      <c r="OA880" s="866"/>
      <c r="OB880" s="866"/>
      <c r="OC880" s="866"/>
      <c r="OD880" s="866"/>
      <c r="OE880" s="866"/>
      <c r="OF880" s="866"/>
      <c r="OG880" s="866"/>
      <c r="OH880" s="866"/>
      <c r="OI880" s="866"/>
      <c r="OJ880" s="866"/>
      <c r="OK880" s="866"/>
      <c r="OL880" s="866"/>
      <c r="OM880" s="866"/>
      <c r="ON880" s="866"/>
      <c r="OO880" s="866"/>
      <c r="OP880" s="866"/>
      <c r="OQ880" s="866"/>
      <c r="OR880" s="866"/>
      <c r="OS880" s="866"/>
      <c r="OT880" s="866"/>
      <c r="OU880" s="866"/>
      <c r="OV880" s="866"/>
      <c r="OW880" s="866"/>
      <c r="OX880" s="866"/>
      <c r="OY880" s="866"/>
      <c r="OZ880" s="866"/>
      <c r="PA880" s="866"/>
      <c r="PB880" s="866"/>
      <c r="PC880" s="866"/>
      <c r="PD880" s="866"/>
      <c r="PE880" s="866"/>
      <c r="PF880" s="866"/>
      <c r="PG880" s="866"/>
      <c r="PH880" s="866"/>
      <c r="PI880" s="866"/>
      <c r="PJ880" s="866"/>
      <c r="PK880" s="866"/>
      <c r="PL880" s="866"/>
      <c r="PM880" s="866"/>
      <c r="PN880" s="866"/>
      <c r="PO880" s="866"/>
      <c r="PP880" s="866"/>
      <c r="PQ880" s="866"/>
      <c r="PR880" s="866"/>
      <c r="PS880" s="866"/>
      <c r="PT880" s="866"/>
      <c r="PU880" s="866"/>
      <c r="PV880" s="866"/>
      <c r="PW880" s="866"/>
      <c r="PX880" s="866"/>
      <c r="PY880" s="866"/>
      <c r="PZ880" s="866"/>
      <c r="QA880" s="866"/>
      <c r="QB880" s="866"/>
      <c r="QC880" s="866"/>
      <c r="QD880" s="866"/>
      <c r="QE880" s="866"/>
      <c r="QF880" s="866"/>
      <c r="QG880" s="866"/>
      <c r="QH880" s="866"/>
      <c r="QI880" s="866"/>
      <c r="QJ880" s="866"/>
      <c r="QK880" s="866"/>
      <c r="QL880" s="866"/>
      <c r="QM880" s="866"/>
      <c r="QN880" s="866"/>
      <c r="QO880" s="866"/>
      <c r="QP880" s="866"/>
      <c r="QQ880" s="866"/>
      <c r="QR880" s="866"/>
      <c r="QS880" s="866"/>
      <c r="QT880" s="866"/>
      <c r="QU880" s="866"/>
      <c r="QV880" s="866"/>
      <c r="QW880" s="866"/>
      <c r="QX880" s="866"/>
      <c r="QY880" s="866"/>
      <c r="QZ880" s="866"/>
      <c r="RA880" s="866"/>
      <c r="RB880" s="866"/>
      <c r="RC880" s="866"/>
      <c r="RD880" s="866"/>
      <c r="RE880" s="866"/>
      <c r="RF880" s="866"/>
      <c r="RG880" s="866"/>
      <c r="RH880" s="866"/>
      <c r="RI880" s="866"/>
      <c r="RJ880" s="866"/>
      <c r="RK880" s="866"/>
      <c r="RL880" s="866"/>
      <c r="RM880" s="866"/>
      <c r="RN880" s="866"/>
      <c r="RO880" s="866"/>
      <c r="RP880" s="866"/>
      <c r="RQ880" s="866"/>
      <c r="RR880" s="866"/>
      <c r="RS880" s="866"/>
      <c r="RT880" s="866"/>
      <c r="RU880" s="866"/>
      <c r="RV880" s="866"/>
      <c r="RW880" s="866"/>
      <c r="RX880" s="866"/>
      <c r="RY880" s="866"/>
      <c r="RZ880" s="866"/>
      <c r="SA880" s="866"/>
      <c r="SB880" s="866"/>
      <c r="SC880" s="866"/>
      <c r="SD880" s="866"/>
      <c r="SE880" s="866"/>
      <c r="SF880" s="866"/>
      <c r="SG880" s="866"/>
      <c r="SH880" s="866"/>
      <c r="SI880" s="866"/>
      <c r="SJ880" s="866"/>
      <c r="SK880" s="866"/>
      <c r="SL880" s="866"/>
      <c r="SM880" s="866"/>
      <c r="SN880" s="866"/>
      <c r="SO880" s="866"/>
      <c r="SP880" s="866"/>
      <c r="SQ880" s="866"/>
      <c r="SR880" s="866"/>
      <c r="SS880" s="866"/>
      <c r="ST880" s="866"/>
      <c r="SU880" s="866"/>
      <c r="SV880" s="866"/>
      <c r="SW880" s="866"/>
      <c r="SX880" s="866"/>
      <c r="SY880" s="866"/>
      <c r="SZ880" s="866"/>
      <c r="TA880" s="866"/>
      <c r="TB880" s="866"/>
      <c r="TC880" s="866"/>
      <c r="TD880" s="866"/>
      <c r="TE880" s="866"/>
      <c r="TF880" s="866"/>
      <c r="TG880" s="866"/>
      <c r="TH880" s="866"/>
      <c r="TI880" s="866"/>
      <c r="TJ880" s="866"/>
      <c r="TK880" s="866"/>
      <c r="TL880" s="866"/>
      <c r="TM880" s="866"/>
      <c r="TN880" s="866"/>
      <c r="TO880" s="866"/>
      <c r="TP880" s="866"/>
      <c r="TQ880" s="866"/>
      <c r="TR880" s="866"/>
      <c r="TS880" s="866"/>
      <c r="TT880" s="866"/>
      <c r="TU880" s="866"/>
      <c r="TV880" s="866"/>
      <c r="TW880" s="866"/>
      <c r="TX880" s="866"/>
      <c r="TY880" s="866"/>
      <c r="TZ880" s="866"/>
      <c r="UA880" s="866"/>
      <c r="UB880" s="866"/>
      <c r="UC880" s="866"/>
      <c r="UD880" s="866"/>
      <c r="UE880" s="866"/>
      <c r="UF880" s="866"/>
      <c r="UG880" s="867"/>
    </row>
    <row r="881" spans="1:553" s="863" customFormat="1" ht="33" customHeight="1">
      <c r="A881" s="356"/>
      <c r="B881" s="356"/>
      <c r="C881" s="673" t="s">
        <v>26</v>
      </c>
      <c r="D881" s="397">
        <v>2</v>
      </c>
      <c r="E881" s="397">
        <v>494</v>
      </c>
      <c r="F881" s="673"/>
      <c r="G881" s="674" t="s">
        <v>33</v>
      </c>
      <c r="H881" s="675"/>
      <c r="I881" s="490">
        <v>155.4</v>
      </c>
      <c r="J881" s="797">
        <v>53000</v>
      </c>
      <c r="K881" s="857">
        <v>1</v>
      </c>
      <c r="L881" s="481">
        <f t="shared" si="127"/>
        <v>8236200</v>
      </c>
      <c r="M881" s="356"/>
      <c r="N881" s="356"/>
      <c r="O881" s="356"/>
      <c r="P881" s="356"/>
      <c r="Q881" s="610"/>
      <c r="R881" s="1452"/>
      <c r="S881" s="308"/>
      <c r="T881" s="308"/>
      <c r="U881" s="308"/>
      <c r="V881" s="308"/>
      <c r="W881" s="308"/>
      <c r="X881" s="308"/>
      <c r="Y881" s="308"/>
      <c r="Z881" s="604"/>
      <c r="AA881" s="308"/>
      <c r="AB881" s="308"/>
      <c r="AC881" s="449"/>
      <c r="AD881" s="449"/>
      <c r="AE881" s="449"/>
      <c r="AF881" s="449"/>
      <c r="AG881" s="449"/>
      <c r="AH881" s="449"/>
      <c r="AI881" s="449"/>
      <c r="AJ881" s="449"/>
      <c r="AK881" s="452"/>
      <c r="AL881" s="351"/>
      <c r="AM881" s="43"/>
      <c r="AN881" s="43"/>
      <c r="AO881" s="43"/>
      <c r="AP881" s="43"/>
      <c r="AQ881" s="43"/>
      <c r="AR881" s="43"/>
      <c r="AS881" s="43"/>
      <c r="AT881" s="43"/>
      <c r="AU881" s="43"/>
      <c r="AV881" s="43"/>
      <c r="AW881" s="43"/>
      <c r="AX881" s="43"/>
      <c r="AY881" s="43"/>
      <c r="AZ881" s="43"/>
      <c r="BA881" s="43"/>
      <c r="BB881" s="43"/>
      <c r="BC881" s="43"/>
      <c r="BD881" s="43"/>
      <c r="BE881" s="43"/>
      <c r="BF881" s="43"/>
      <c r="BG881" s="43"/>
      <c r="BH881" s="43"/>
      <c r="BI881" s="43"/>
      <c r="BJ881" s="43"/>
      <c r="BK881" s="43"/>
      <c r="BL881" s="43"/>
      <c r="BM881" s="43"/>
      <c r="BN881" s="43"/>
      <c r="BO881" s="43"/>
      <c r="BP881" s="861"/>
      <c r="BQ881" s="861"/>
      <c r="BR881" s="861"/>
      <c r="BS881" s="861"/>
      <c r="BT881" s="861"/>
      <c r="BU881" s="861"/>
      <c r="BV881" s="861"/>
      <c r="BW881" s="861"/>
      <c r="BX881" s="861"/>
      <c r="BY881" s="861"/>
      <c r="BZ881" s="861"/>
      <c r="CA881" s="861"/>
      <c r="CB881" s="861"/>
      <c r="CC881" s="861"/>
      <c r="CD881" s="861"/>
      <c r="CE881" s="861"/>
      <c r="CF881" s="861"/>
      <c r="CG881" s="861"/>
      <c r="CH881" s="861"/>
      <c r="CI881" s="861"/>
      <c r="CJ881" s="861"/>
      <c r="CK881" s="861"/>
      <c r="CL881" s="861"/>
      <c r="CM881" s="861"/>
      <c r="CN881" s="861"/>
      <c r="CO881" s="861"/>
      <c r="CP881" s="861"/>
      <c r="CQ881" s="861"/>
      <c r="CR881" s="861"/>
      <c r="CS881" s="861"/>
      <c r="CT881" s="861"/>
      <c r="CU881" s="861"/>
      <c r="CV881" s="861"/>
      <c r="CW881" s="861"/>
      <c r="CX881" s="861"/>
      <c r="CY881" s="861"/>
      <c r="CZ881" s="861"/>
      <c r="DA881" s="861"/>
      <c r="DB881" s="861"/>
      <c r="DC881" s="861"/>
      <c r="DD881" s="861"/>
      <c r="DE881" s="861"/>
      <c r="DF881" s="861"/>
      <c r="DG881" s="861"/>
      <c r="DH881" s="861"/>
      <c r="DI881" s="861"/>
      <c r="DJ881" s="861"/>
      <c r="DK881" s="861"/>
      <c r="DL881" s="861"/>
      <c r="DM881" s="861"/>
      <c r="DN881" s="861"/>
      <c r="DO881" s="861"/>
      <c r="DP881" s="861"/>
      <c r="DQ881" s="861"/>
      <c r="DR881" s="861"/>
      <c r="DS881" s="861"/>
      <c r="DT881" s="861"/>
      <c r="DU881" s="861"/>
      <c r="DV881" s="861"/>
      <c r="DW881" s="861"/>
      <c r="DX881" s="861"/>
      <c r="DY881" s="861"/>
      <c r="DZ881" s="861"/>
      <c r="EA881" s="861"/>
      <c r="EB881" s="861"/>
      <c r="EC881" s="861"/>
      <c r="ED881" s="861"/>
      <c r="EE881" s="861"/>
      <c r="EF881" s="861"/>
      <c r="EG881" s="861"/>
      <c r="EH881" s="861"/>
      <c r="EI881" s="861"/>
      <c r="EJ881" s="861"/>
      <c r="EK881" s="861"/>
      <c r="EL881" s="861"/>
      <c r="EM881" s="861"/>
      <c r="EN881" s="861"/>
      <c r="EO881" s="861"/>
      <c r="EP881" s="861"/>
      <c r="EQ881" s="861"/>
      <c r="ER881" s="861"/>
      <c r="ES881" s="861"/>
      <c r="ET881" s="861"/>
      <c r="EU881" s="861"/>
      <c r="EV881" s="861"/>
      <c r="EW881" s="861"/>
      <c r="EX881" s="861"/>
      <c r="EY881" s="861"/>
      <c r="EZ881" s="861"/>
      <c r="FA881" s="861"/>
      <c r="FB881" s="861"/>
      <c r="FC881" s="861"/>
      <c r="FD881" s="861"/>
      <c r="FE881" s="861"/>
      <c r="FF881" s="861"/>
      <c r="FG881" s="861"/>
      <c r="FH881" s="861"/>
      <c r="FI881" s="861"/>
      <c r="FJ881" s="861"/>
      <c r="FK881" s="861"/>
      <c r="FL881" s="861"/>
      <c r="FM881" s="861"/>
      <c r="FN881" s="861"/>
      <c r="FO881" s="861"/>
      <c r="FP881" s="861"/>
      <c r="FQ881" s="861"/>
      <c r="FR881" s="861"/>
      <c r="FS881" s="861"/>
      <c r="FT881" s="861"/>
      <c r="FU881" s="861"/>
      <c r="FV881" s="861"/>
      <c r="FW881" s="861"/>
      <c r="FX881" s="861"/>
      <c r="FY881" s="861"/>
      <c r="FZ881" s="861"/>
      <c r="GA881" s="861"/>
      <c r="GB881" s="861"/>
      <c r="GC881" s="861"/>
      <c r="GD881" s="861"/>
      <c r="GE881" s="861"/>
      <c r="GF881" s="861"/>
      <c r="GG881" s="861"/>
      <c r="GH881" s="861"/>
      <c r="GI881" s="861"/>
      <c r="GJ881" s="861"/>
      <c r="GK881" s="861"/>
      <c r="GL881" s="861"/>
      <c r="GM881" s="861"/>
      <c r="GN881" s="861"/>
      <c r="GO881" s="861"/>
      <c r="GP881" s="861"/>
      <c r="GQ881" s="861"/>
      <c r="GR881" s="861"/>
      <c r="GS881" s="861"/>
      <c r="GT881" s="861"/>
      <c r="GU881" s="861"/>
      <c r="GV881" s="861"/>
      <c r="GW881" s="861"/>
      <c r="GX881" s="861"/>
      <c r="GY881" s="861"/>
      <c r="GZ881" s="861"/>
      <c r="HA881" s="861"/>
      <c r="HB881" s="861"/>
      <c r="HC881" s="861"/>
      <c r="HD881" s="861"/>
      <c r="HE881" s="861"/>
      <c r="HF881" s="861"/>
      <c r="HG881" s="861"/>
      <c r="HH881" s="861"/>
      <c r="HI881" s="861"/>
      <c r="HJ881" s="861"/>
      <c r="HK881" s="861"/>
      <c r="HL881" s="861"/>
      <c r="HM881" s="861"/>
      <c r="HN881" s="861"/>
      <c r="HO881" s="861"/>
      <c r="HP881" s="861"/>
      <c r="HQ881" s="861"/>
      <c r="HR881" s="861"/>
      <c r="HS881" s="861"/>
      <c r="HT881" s="861"/>
      <c r="HU881" s="861"/>
      <c r="HV881" s="861"/>
      <c r="HW881" s="861"/>
      <c r="HX881" s="861"/>
      <c r="HY881" s="861"/>
      <c r="HZ881" s="861"/>
      <c r="IA881" s="861"/>
      <c r="IB881" s="861"/>
      <c r="IC881" s="861"/>
      <c r="ID881" s="861"/>
      <c r="IE881" s="861"/>
      <c r="IF881" s="861"/>
      <c r="IG881" s="861"/>
      <c r="IH881" s="861"/>
      <c r="II881" s="861"/>
      <c r="IJ881" s="861"/>
      <c r="IK881" s="861"/>
      <c r="IL881" s="861"/>
      <c r="IM881" s="861"/>
      <c r="IN881" s="861"/>
      <c r="IO881" s="861"/>
      <c r="IP881" s="861"/>
      <c r="IQ881" s="861"/>
      <c r="IR881" s="861"/>
      <c r="IS881" s="861"/>
      <c r="IT881" s="861"/>
      <c r="IU881" s="861"/>
      <c r="IV881" s="861"/>
      <c r="IW881" s="861"/>
      <c r="IX881" s="861"/>
      <c r="IY881" s="861"/>
      <c r="IZ881" s="861"/>
      <c r="JA881" s="861"/>
      <c r="JB881" s="861"/>
      <c r="JC881" s="861"/>
      <c r="JD881" s="861"/>
      <c r="JE881" s="861"/>
      <c r="JF881" s="861"/>
      <c r="JG881" s="861"/>
      <c r="JH881" s="861"/>
      <c r="JI881" s="861"/>
      <c r="JJ881" s="861"/>
      <c r="JK881" s="861"/>
      <c r="JL881" s="861"/>
      <c r="JM881" s="861"/>
      <c r="JN881" s="861"/>
      <c r="JO881" s="861"/>
      <c r="JP881" s="861"/>
      <c r="JQ881" s="861"/>
      <c r="JR881" s="861"/>
      <c r="JS881" s="861"/>
      <c r="JT881" s="861"/>
      <c r="JU881" s="861"/>
      <c r="JV881" s="861"/>
      <c r="JW881" s="861"/>
      <c r="JX881" s="861"/>
      <c r="JY881" s="861"/>
      <c r="JZ881" s="861"/>
      <c r="KA881" s="861"/>
      <c r="KB881" s="861"/>
      <c r="KC881" s="861"/>
      <c r="KD881" s="861"/>
      <c r="KE881" s="861"/>
      <c r="KF881" s="861"/>
      <c r="KG881" s="861"/>
      <c r="KH881" s="861"/>
      <c r="KI881" s="861"/>
      <c r="KJ881" s="861"/>
      <c r="KK881" s="861"/>
      <c r="KL881" s="861"/>
      <c r="KM881" s="861"/>
      <c r="KN881" s="861"/>
      <c r="KO881" s="861"/>
      <c r="KP881" s="861"/>
      <c r="KQ881" s="861"/>
      <c r="KR881" s="861"/>
      <c r="KS881" s="861"/>
      <c r="KT881" s="861"/>
      <c r="KU881" s="861"/>
      <c r="KV881" s="861"/>
      <c r="KW881" s="861"/>
      <c r="KX881" s="861"/>
      <c r="KY881" s="861"/>
      <c r="KZ881" s="861"/>
      <c r="LA881" s="861"/>
      <c r="LB881" s="861"/>
      <c r="LC881" s="861"/>
      <c r="LD881" s="861"/>
      <c r="LE881" s="861"/>
      <c r="LF881" s="861"/>
      <c r="LG881" s="861"/>
      <c r="LH881" s="861"/>
      <c r="LI881" s="861"/>
      <c r="LJ881" s="861"/>
      <c r="LK881" s="861"/>
      <c r="LL881" s="861"/>
      <c r="LM881" s="861"/>
      <c r="LN881" s="861"/>
      <c r="LO881" s="861"/>
      <c r="LP881" s="861"/>
      <c r="LQ881" s="861"/>
      <c r="LR881" s="861"/>
      <c r="LS881" s="861"/>
      <c r="LT881" s="861"/>
      <c r="LU881" s="861"/>
      <c r="LV881" s="861"/>
      <c r="LW881" s="861"/>
      <c r="LX881" s="861"/>
      <c r="LY881" s="861"/>
      <c r="LZ881" s="861"/>
      <c r="MA881" s="861"/>
      <c r="MB881" s="861"/>
      <c r="MC881" s="861"/>
      <c r="MD881" s="861"/>
      <c r="ME881" s="861"/>
      <c r="MF881" s="861"/>
      <c r="MG881" s="861"/>
      <c r="MH881" s="861"/>
      <c r="MI881" s="861"/>
      <c r="MJ881" s="861"/>
      <c r="MK881" s="861"/>
      <c r="ML881" s="861"/>
      <c r="MM881" s="861"/>
      <c r="MN881" s="861"/>
      <c r="MO881" s="861"/>
      <c r="MP881" s="861"/>
      <c r="MQ881" s="861"/>
      <c r="MR881" s="861"/>
      <c r="MS881" s="861"/>
      <c r="MT881" s="861"/>
      <c r="MU881" s="861"/>
      <c r="MV881" s="861"/>
      <c r="MW881" s="861"/>
      <c r="MX881" s="861"/>
      <c r="MY881" s="861"/>
      <c r="MZ881" s="861"/>
      <c r="NA881" s="861"/>
      <c r="NB881" s="861"/>
      <c r="NC881" s="861"/>
      <c r="ND881" s="861"/>
      <c r="NE881" s="861"/>
      <c r="NF881" s="861"/>
      <c r="NG881" s="861"/>
      <c r="NH881" s="861"/>
      <c r="NI881" s="861"/>
      <c r="NJ881" s="861"/>
      <c r="NK881" s="861"/>
      <c r="NL881" s="861"/>
      <c r="NM881" s="861"/>
      <c r="NN881" s="861"/>
      <c r="NO881" s="861"/>
      <c r="NP881" s="861"/>
      <c r="NQ881" s="861"/>
      <c r="NR881" s="861"/>
      <c r="NS881" s="861"/>
      <c r="NT881" s="861"/>
      <c r="NU881" s="861"/>
      <c r="NV881" s="861"/>
      <c r="NW881" s="861"/>
      <c r="NX881" s="861"/>
      <c r="NY881" s="861"/>
      <c r="NZ881" s="861"/>
      <c r="OA881" s="861"/>
      <c r="OB881" s="861"/>
      <c r="OC881" s="861"/>
      <c r="OD881" s="861"/>
      <c r="OE881" s="861"/>
      <c r="OF881" s="861"/>
      <c r="OG881" s="861"/>
      <c r="OH881" s="861"/>
      <c r="OI881" s="861"/>
      <c r="OJ881" s="861"/>
      <c r="OK881" s="861"/>
      <c r="OL881" s="861"/>
      <c r="OM881" s="861"/>
      <c r="ON881" s="861"/>
      <c r="OO881" s="861"/>
      <c r="OP881" s="861"/>
      <c r="OQ881" s="861"/>
      <c r="OR881" s="861"/>
      <c r="OS881" s="861"/>
      <c r="OT881" s="861"/>
      <c r="OU881" s="861"/>
      <c r="OV881" s="861"/>
      <c r="OW881" s="861"/>
      <c r="OX881" s="861"/>
      <c r="OY881" s="861"/>
      <c r="OZ881" s="861"/>
      <c r="PA881" s="861"/>
      <c r="PB881" s="861"/>
      <c r="PC881" s="861"/>
      <c r="PD881" s="861"/>
      <c r="PE881" s="861"/>
      <c r="PF881" s="861"/>
      <c r="PG881" s="861"/>
      <c r="PH881" s="861"/>
      <c r="PI881" s="861"/>
      <c r="PJ881" s="861"/>
      <c r="PK881" s="861"/>
      <c r="PL881" s="861"/>
      <c r="PM881" s="861"/>
      <c r="PN881" s="861"/>
      <c r="PO881" s="861"/>
      <c r="PP881" s="861"/>
      <c r="PQ881" s="861"/>
      <c r="PR881" s="861"/>
      <c r="PS881" s="861"/>
      <c r="PT881" s="861"/>
      <c r="PU881" s="861"/>
      <c r="PV881" s="861"/>
      <c r="PW881" s="861"/>
      <c r="PX881" s="861"/>
      <c r="PY881" s="861"/>
      <c r="PZ881" s="861"/>
      <c r="QA881" s="861"/>
      <c r="QB881" s="861"/>
      <c r="QC881" s="861"/>
      <c r="QD881" s="861"/>
      <c r="QE881" s="861"/>
      <c r="QF881" s="861"/>
      <c r="QG881" s="861"/>
      <c r="QH881" s="861"/>
      <c r="QI881" s="861"/>
      <c r="QJ881" s="861"/>
      <c r="QK881" s="861"/>
      <c r="QL881" s="861"/>
      <c r="QM881" s="861"/>
      <c r="QN881" s="861"/>
      <c r="QO881" s="861"/>
      <c r="QP881" s="861"/>
      <c r="QQ881" s="861"/>
      <c r="QR881" s="861"/>
      <c r="QS881" s="861"/>
      <c r="QT881" s="861"/>
      <c r="QU881" s="861"/>
      <c r="QV881" s="861"/>
      <c r="QW881" s="861"/>
      <c r="QX881" s="861"/>
      <c r="QY881" s="861"/>
      <c r="QZ881" s="861"/>
      <c r="RA881" s="861"/>
      <c r="RB881" s="861"/>
      <c r="RC881" s="861"/>
      <c r="RD881" s="861"/>
      <c r="RE881" s="861"/>
      <c r="RF881" s="861"/>
      <c r="RG881" s="861"/>
      <c r="RH881" s="861"/>
      <c r="RI881" s="861"/>
      <c r="RJ881" s="861"/>
      <c r="RK881" s="861"/>
      <c r="RL881" s="861"/>
      <c r="RM881" s="861"/>
      <c r="RN881" s="861"/>
      <c r="RO881" s="861"/>
      <c r="RP881" s="861"/>
      <c r="RQ881" s="861"/>
      <c r="RR881" s="861"/>
      <c r="RS881" s="861"/>
      <c r="RT881" s="861"/>
      <c r="RU881" s="861"/>
      <c r="RV881" s="861"/>
      <c r="RW881" s="861"/>
      <c r="RX881" s="861"/>
      <c r="RY881" s="861"/>
      <c r="RZ881" s="861"/>
      <c r="SA881" s="861"/>
      <c r="SB881" s="861"/>
      <c r="SC881" s="861"/>
      <c r="SD881" s="861"/>
      <c r="SE881" s="861"/>
      <c r="SF881" s="861"/>
      <c r="SG881" s="861"/>
      <c r="SH881" s="861"/>
      <c r="SI881" s="861"/>
      <c r="SJ881" s="861"/>
      <c r="SK881" s="861"/>
      <c r="SL881" s="861"/>
      <c r="SM881" s="861"/>
      <c r="SN881" s="861"/>
      <c r="SO881" s="861"/>
      <c r="SP881" s="861"/>
      <c r="SQ881" s="861"/>
      <c r="SR881" s="861"/>
      <c r="SS881" s="861"/>
      <c r="ST881" s="861"/>
      <c r="SU881" s="861"/>
      <c r="SV881" s="861"/>
      <c r="SW881" s="861"/>
      <c r="SX881" s="861"/>
      <c r="SY881" s="861"/>
      <c r="SZ881" s="861"/>
      <c r="TA881" s="861"/>
      <c r="TB881" s="861"/>
      <c r="TC881" s="861"/>
      <c r="TD881" s="861"/>
      <c r="TE881" s="861"/>
      <c r="TF881" s="861"/>
      <c r="TG881" s="861"/>
      <c r="TH881" s="861"/>
      <c r="TI881" s="861"/>
      <c r="TJ881" s="861"/>
      <c r="TK881" s="861"/>
      <c r="TL881" s="861"/>
      <c r="TM881" s="861"/>
      <c r="TN881" s="861"/>
      <c r="TO881" s="861"/>
      <c r="TP881" s="861"/>
      <c r="TQ881" s="861"/>
      <c r="TR881" s="861"/>
      <c r="TS881" s="861"/>
      <c r="TT881" s="861"/>
      <c r="TU881" s="861"/>
      <c r="TV881" s="861"/>
      <c r="TW881" s="861"/>
      <c r="TX881" s="861"/>
      <c r="TY881" s="861"/>
      <c r="TZ881" s="861"/>
      <c r="UA881" s="861"/>
      <c r="UB881" s="861"/>
      <c r="UC881" s="861"/>
      <c r="UD881" s="861"/>
      <c r="UE881" s="861"/>
      <c r="UF881" s="861"/>
      <c r="UG881" s="862"/>
    </row>
    <row r="882" spans="1:553" s="863" customFormat="1" ht="33" customHeight="1">
      <c r="A882" s="356"/>
      <c r="B882" s="356"/>
      <c r="C882" s="673" t="s">
        <v>26</v>
      </c>
      <c r="D882" s="397">
        <v>2</v>
      </c>
      <c r="E882" s="397">
        <v>498</v>
      </c>
      <c r="F882" s="673"/>
      <c r="G882" s="674" t="s">
        <v>33</v>
      </c>
      <c r="H882" s="675"/>
      <c r="I882" s="490">
        <v>6.2</v>
      </c>
      <c r="J882" s="797">
        <v>53000</v>
      </c>
      <c r="K882" s="857">
        <v>1</v>
      </c>
      <c r="L882" s="481">
        <f t="shared" si="127"/>
        <v>328600</v>
      </c>
      <c r="M882" s="356"/>
      <c r="N882" s="356"/>
      <c r="O882" s="356"/>
      <c r="P882" s="356"/>
      <c r="Q882" s="610"/>
      <c r="R882" s="1452"/>
      <c r="S882" s="308"/>
      <c r="T882" s="308"/>
      <c r="U882" s="308"/>
      <c r="V882" s="308"/>
      <c r="W882" s="308"/>
      <c r="X882" s="308"/>
      <c r="Y882" s="308"/>
      <c r="Z882" s="604"/>
      <c r="AA882" s="308"/>
      <c r="AB882" s="308"/>
      <c r="AC882" s="449"/>
      <c r="AD882" s="449"/>
      <c r="AE882" s="449"/>
      <c r="AF882" s="449"/>
      <c r="AG882" s="449"/>
      <c r="AH882" s="449"/>
      <c r="AI882" s="449"/>
      <c r="AJ882" s="449"/>
      <c r="AK882" s="452"/>
      <c r="AL882" s="351"/>
      <c r="AM882" s="43"/>
      <c r="AN882" s="43"/>
      <c r="AO882" s="43"/>
      <c r="AP882" s="43"/>
      <c r="AQ882" s="43"/>
      <c r="AR882" s="43"/>
      <c r="AS882" s="43"/>
      <c r="AT882" s="43"/>
      <c r="AU882" s="43"/>
      <c r="AV882" s="43"/>
      <c r="AW882" s="43"/>
      <c r="AX882" s="43"/>
      <c r="AY882" s="43"/>
      <c r="AZ882" s="43"/>
      <c r="BA882" s="43"/>
      <c r="BB882" s="43"/>
      <c r="BC882" s="43"/>
      <c r="BD882" s="43"/>
      <c r="BE882" s="43"/>
      <c r="BF882" s="43"/>
      <c r="BG882" s="43"/>
      <c r="BH882" s="43"/>
      <c r="BI882" s="43"/>
      <c r="BJ882" s="43"/>
      <c r="BK882" s="43"/>
      <c r="BL882" s="43"/>
      <c r="BM882" s="43"/>
      <c r="BN882" s="43"/>
      <c r="BO882" s="43"/>
      <c r="BP882" s="861"/>
      <c r="BQ882" s="861"/>
      <c r="BR882" s="861"/>
      <c r="BS882" s="861"/>
      <c r="BT882" s="861"/>
      <c r="BU882" s="861"/>
      <c r="BV882" s="861"/>
      <c r="BW882" s="861"/>
      <c r="BX882" s="861"/>
      <c r="BY882" s="861"/>
      <c r="BZ882" s="861"/>
      <c r="CA882" s="861"/>
      <c r="CB882" s="861"/>
      <c r="CC882" s="861"/>
      <c r="CD882" s="861"/>
      <c r="CE882" s="861"/>
      <c r="CF882" s="861"/>
      <c r="CG882" s="861"/>
      <c r="CH882" s="861"/>
      <c r="CI882" s="861"/>
      <c r="CJ882" s="861"/>
      <c r="CK882" s="861"/>
      <c r="CL882" s="861"/>
      <c r="CM882" s="861"/>
      <c r="CN882" s="861"/>
      <c r="CO882" s="861"/>
      <c r="CP882" s="861"/>
      <c r="CQ882" s="861"/>
      <c r="CR882" s="861"/>
      <c r="CS882" s="861"/>
      <c r="CT882" s="861"/>
      <c r="CU882" s="861"/>
      <c r="CV882" s="861"/>
      <c r="CW882" s="861"/>
      <c r="CX882" s="861"/>
      <c r="CY882" s="861"/>
      <c r="CZ882" s="861"/>
      <c r="DA882" s="861"/>
      <c r="DB882" s="861"/>
      <c r="DC882" s="861"/>
      <c r="DD882" s="861"/>
      <c r="DE882" s="861"/>
      <c r="DF882" s="861"/>
      <c r="DG882" s="861"/>
      <c r="DH882" s="861"/>
      <c r="DI882" s="861"/>
      <c r="DJ882" s="861"/>
      <c r="DK882" s="861"/>
      <c r="DL882" s="861"/>
      <c r="DM882" s="861"/>
      <c r="DN882" s="861"/>
      <c r="DO882" s="861"/>
      <c r="DP882" s="861"/>
      <c r="DQ882" s="861"/>
      <c r="DR882" s="861"/>
      <c r="DS882" s="861"/>
      <c r="DT882" s="861"/>
      <c r="DU882" s="861"/>
      <c r="DV882" s="861"/>
      <c r="DW882" s="861"/>
      <c r="DX882" s="861"/>
      <c r="DY882" s="861"/>
      <c r="DZ882" s="861"/>
      <c r="EA882" s="861"/>
      <c r="EB882" s="861"/>
      <c r="EC882" s="861"/>
      <c r="ED882" s="861"/>
      <c r="EE882" s="861"/>
      <c r="EF882" s="861"/>
      <c r="EG882" s="861"/>
      <c r="EH882" s="861"/>
      <c r="EI882" s="861"/>
      <c r="EJ882" s="861"/>
      <c r="EK882" s="861"/>
      <c r="EL882" s="861"/>
      <c r="EM882" s="861"/>
      <c r="EN882" s="861"/>
      <c r="EO882" s="861"/>
      <c r="EP882" s="861"/>
      <c r="EQ882" s="861"/>
      <c r="ER882" s="861"/>
      <c r="ES882" s="861"/>
      <c r="ET882" s="861"/>
      <c r="EU882" s="861"/>
      <c r="EV882" s="861"/>
      <c r="EW882" s="861"/>
      <c r="EX882" s="861"/>
      <c r="EY882" s="861"/>
      <c r="EZ882" s="861"/>
      <c r="FA882" s="861"/>
      <c r="FB882" s="861"/>
      <c r="FC882" s="861"/>
      <c r="FD882" s="861"/>
      <c r="FE882" s="861"/>
      <c r="FF882" s="861"/>
      <c r="FG882" s="861"/>
      <c r="FH882" s="861"/>
      <c r="FI882" s="861"/>
      <c r="FJ882" s="861"/>
      <c r="FK882" s="861"/>
      <c r="FL882" s="861"/>
      <c r="FM882" s="861"/>
      <c r="FN882" s="861"/>
      <c r="FO882" s="861"/>
      <c r="FP882" s="861"/>
      <c r="FQ882" s="861"/>
      <c r="FR882" s="861"/>
      <c r="FS882" s="861"/>
      <c r="FT882" s="861"/>
      <c r="FU882" s="861"/>
      <c r="FV882" s="861"/>
      <c r="FW882" s="861"/>
      <c r="FX882" s="861"/>
      <c r="FY882" s="861"/>
      <c r="FZ882" s="861"/>
      <c r="GA882" s="861"/>
      <c r="GB882" s="861"/>
      <c r="GC882" s="861"/>
      <c r="GD882" s="861"/>
      <c r="GE882" s="861"/>
      <c r="GF882" s="861"/>
      <c r="GG882" s="861"/>
      <c r="GH882" s="861"/>
      <c r="GI882" s="861"/>
      <c r="GJ882" s="861"/>
      <c r="GK882" s="861"/>
      <c r="GL882" s="861"/>
      <c r="GM882" s="861"/>
      <c r="GN882" s="861"/>
      <c r="GO882" s="861"/>
      <c r="GP882" s="861"/>
      <c r="GQ882" s="861"/>
      <c r="GR882" s="861"/>
      <c r="GS882" s="861"/>
      <c r="GT882" s="861"/>
      <c r="GU882" s="861"/>
      <c r="GV882" s="861"/>
      <c r="GW882" s="861"/>
      <c r="GX882" s="861"/>
      <c r="GY882" s="861"/>
      <c r="GZ882" s="861"/>
      <c r="HA882" s="861"/>
      <c r="HB882" s="861"/>
      <c r="HC882" s="861"/>
      <c r="HD882" s="861"/>
      <c r="HE882" s="861"/>
      <c r="HF882" s="861"/>
      <c r="HG882" s="861"/>
      <c r="HH882" s="861"/>
      <c r="HI882" s="861"/>
      <c r="HJ882" s="861"/>
      <c r="HK882" s="861"/>
      <c r="HL882" s="861"/>
      <c r="HM882" s="861"/>
      <c r="HN882" s="861"/>
      <c r="HO882" s="861"/>
      <c r="HP882" s="861"/>
      <c r="HQ882" s="861"/>
      <c r="HR882" s="861"/>
      <c r="HS882" s="861"/>
      <c r="HT882" s="861"/>
      <c r="HU882" s="861"/>
      <c r="HV882" s="861"/>
      <c r="HW882" s="861"/>
      <c r="HX882" s="861"/>
      <c r="HY882" s="861"/>
      <c r="HZ882" s="861"/>
      <c r="IA882" s="861"/>
      <c r="IB882" s="861"/>
      <c r="IC882" s="861"/>
      <c r="ID882" s="861"/>
      <c r="IE882" s="861"/>
      <c r="IF882" s="861"/>
      <c r="IG882" s="861"/>
      <c r="IH882" s="861"/>
      <c r="II882" s="861"/>
      <c r="IJ882" s="861"/>
      <c r="IK882" s="861"/>
      <c r="IL882" s="861"/>
      <c r="IM882" s="861"/>
      <c r="IN882" s="861"/>
      <c r="IO882" s="861"/>
      <c r="IP882" s="861"/>
      <c r="IQ882" s="861"/>
      <c r="IR882" s="861"/>
      <c r="IS882" s="861"/>
      <c r="IT882" s="861"/>
      <c r="IU882" s="861"/>
      <c r="IV882" s="861"/>
      <c r="IW882" s="861"/>
      <c r="IX882" s="861"/>
      <c r="IY882" s="861"/>
      <c r="IZ882" s="861"/>
      <c r="JA882" s="861"/>
      <c r="JB882" s="861"/>
      <c r="JC882" s="861"/>
      <c r="JD882" s="861"/>
      <c r="JE882" s="861"/>
      <c r="JF882" s="861"/>
      <c r="JG882" s="861"/>
      <c r="JH882" s="861"/>
      <c r="JI882" s="861"/>
      <c r="JJ882" s="861"/>
      <c r="JK882" s="861"/>
      <c r="JL882" s="861"/>
      <c r="JM882" s="861"/>
      <c r="JN882" s="861"/>
      <c r="JO882" s="861"/>
      <c r="JP882" s="861"/>
      <c r="JQ882" s="861"/>
      <c r="JR882" s="861"/>
      <c r="JS882" s="861"/>
      <c r="JT882" s="861"/>
      <c r="JU882" s="861"/>
      <c r="JV882" s="861"/>
      <c r="JW882" s="861"/>
      <c r="JX882" s="861"/>
      <c r="JY882" s="861"/>
      <c r="JZ882" s="861"/>
      <c r="KA882" s="861"/>
      <c r="KB882" s="861"/>
      <c r="KC882" s="861"/>
      <c r="KD882" s="861"/>
      <c r="KE882" s="861"/>
      <c r="KF882" s="861"/>
      <c r="KG882" s="861"/>
      <c r="KH882" s="861"/>
      <c r="KI882" s="861"/>
      <c r="KJ882" s="861"/>
      <c r="KK882" s="861"/>
      <c r="KL882" s="861"/>
      <c r="KM882" s="861"/>
      <c r="KN882" s="861"/>
      <c r="KO882" s="861"/>
      <c r="KP882" s="861"/>
      <c r="KQ882" s="861"/>
      <c r="KR882" s="861"/>
      <c r="KS882" s="861"/>
      <c r="KT882" s="861"/>
      <c r="KU882" s="861"/>
      <c r="KV882" s="861"/>
      <c r="KW882" s="861"/>
      <c r="KX882" s="861"/>
      <c r="KY882" s="861"/>
      <c r="KZ882" s="861"/>
      <c r="LA882" s="861"/>
      <c r="LB882" s="861"/>
      <c r="LC882" s="861"/>
      <c r="LD882" s="861"/>
      <c r="LE882" s="861"/>
      <c r="LF882" s="861"/>
      <c r="LG882" s="861"/>
      <c r="LH882" s="861"/>
      <c r="LI882" s="861"/>
      <c r="LJ882" s="861"/>
      <c r="LK882" s="861"/>
      <c r="LL882" s="861"/>
      <c r="LM882" s="861"/>
      <c r="LN882" s="861"/>
      <c r="LO882" s="861"/>
      <c r="LP882" s="861"/>
      <c r="LQ882" s="861"/>
      <c r="LR882" s="861"/>
      <c r="LS882" s="861"/>
      <c r="LT882" s="861"/>
      <c r="LU882" s="861"/>
      <c r="LV882" s="861"/>
      <c r="LW882" s="861"/>
      <c r="LX882" s="861"/>
      <c r="LY882" s="861"/>
      <c r="LZ882" s="861"/>
      <c r="MA882" s="861"/>
      <c r="MB882" s="861"/>
      <c r="MC882" s="861"/>
      <c r="MD882" s="861"/>
      <c r="ME882" s="861"/>
      <c r="MF882" s="861"/>
      <c r="MG882" s="861"/>
      <c r="MH882" s="861"/>
      <c r="MI882" s="861"/>
      <c r="MJ882" s="861"/>
      <c r="MK882" s="861"/>
      <c r="ML882" s="861"/>
      <c r="MM882" s="861"/>
      <c r="MN882" s="861"/>
      <c r="MO882" s="861"/>
      <c r="MP882" s="861"/>
      <c r="MQ882" s="861"/>
      <c r="MR882" s="861"/>
      <c r="MS882" s="861"/>
      <c r="MT882" s="861"/>
      <c r="MU882" s="861"/>
      <c r="MV882" s="861"/>
      <c r="MW882" s="861"/>
      <c r="MX882" s="861"/>
      <c r="MY882" s="861"/>
      <c r="MZ882" s="861"/>
      <c r="NA882" s="861"/>
      <c r="NB882" s="861"/>
      <c r="NC882" s="861"/>
      <c r="ND882" s="861"/>
      <c r="NE882" s="861"/>
      <c r="NF882" s="861"/>
      <c r="NG882" s="861"/>
      <c r="NH882" s="861"/>
      <c r="NI882" s="861"/>
      <c r="NJ882" s="861"/>
      <c r="NK882" s="861"/>
      <c r="NL882" s="861"/>
      <c r="NM882" s="861"/>
      <c r="NN882" s="861"/>
      <c r="NO882" s="861"/>
      <c r="NP882" s="861"/>
      <c r="NQ882" s="861"/>
      <c r="NR882" s="861"/>
      <c r="NS882" s="861"/>
      <c r="NT882" s="861"/>
      <c r="NU882" s="861"/>
      <c r="NV882" s="861"/>
      <c r="NW882" s="861"/>
      <c r="NX882" s="861"/>
      <c r="NY882" s="861"/>
      <c r="NZ882" s="861"/>
      <c r="OA882" s="861"/>
      <c r="OB882" s="861"/>
      <c r="OC882" s="861"/>
      <c r="OD882" s="861"/>
      <c r="OE882" s="861"/>
      <c r="OF882" s="861"/>
      <c r="OG882" s="861"/>
      <c r="OH882" s="861"/>
      <c r="OI882" s="861"/>
      <c r="OJ882" s="861"/>
      <c r="OK882" s="861"/>
      <c r="OL882" s="861"/>
      <c r="OM882" s="861"/>
      <c r="ON882" s="861"/>
      <c r="OO882" s="861"/>
      <c r="OP882" s="861"/>
      <c r="OQ882" s="861"/>
      <c r="OR882" s="861"/>
      <c r="OS882" s="861"/>
      <c r="OT882" s="861"/>
      <c r="OU882" s="861"/>
      <c r="OV882" s="861"/>
      <c r="OW882" s="861"/>
      <c r="OX882" s="861"/>
      <c r="OY882" s="861"/>
      <c r="OZ882" s="861"/>
      <c r="PA882" s="861"/>
      <c r="PB882" s="861"/>
      <c r="PC882" s="861"/>
      <c r="PD882" s="861"/>
      <c r="PE882" s="861"/>
      <c r="PF882" s="861"/>
      <c r="PG882" s="861"/>
      <c r="PH882" s="861"/>
      <c r="PI882" s="861"/>
      <c r="PJ882" s="861"/>
      <c r="PK882" s="861"/>
      <c r="PL882" s="861"/>
      <c r="PM882" s="861"/>
      <c r="PN882" s="861"/>
      <c r="PO882" s="861"/>
      <c r="PP882" s="861"/>
      <c r="PQ882" s="861"/>
      <c r="PR882" s="861"/>
      <c r="PS882" s="861"/>
      <c r="PT882" s="861"/>
      <c r="PU882" s="861"/>
      <c r="PV882" s="861"/>
      <c r="PW882" s="861"/>
      <c r="PX882" s="861"/>
      <c r="PY882" s="861"/>
      <c r="PZ882" s="861"/>
      <c r="QA882" s="861"/>
      <c r="QB882" s="861"/>
      <c r="QC882" s="861"/>
      <c r="QD882" s="861"/>
      <c r="QE882" s="861"/>
      <c r="QF882" s="861"/>
      <c r="QG882" s="861"/>
      <c r="QH882" s="861"/>
      <c r="QI882" s="861"/>
      <c r="QJ882" s="861"/>
      <c r="QK882" s="861"/>
      <c r="QL882" s="861"/>
      <c r="QM882" s="861"/>
      <c r="QN882" s="861"/>
      <c r="QO882" s="861"/>
      <c r="QP882" s="861"/>
      <c r="QQ882" s="861"/>
      <c r="QR882" s="861"/>
      <c r="QS882" s="861"/>
      <c r="QT882" s="861"/>
      <c r="QU882" s="861"/>
      <c r="QV882" s="861"/>
      <c r="QW882" s="861"/>
      <c r="QX882" s="861"/>
      <c r="QY882" s="861"/>
      <c r="QZ882" s="861"/>
      <c r="RA882" s="861"/>
      <c r="RB882" s="861"/>
      <c r="RC882" s="861"/>
      <c r="RD882" s="861"/>
      <c r="RE882" s="861"/>
      <c r="RF882" s="861"/>
      <c r="RG882" s="861"/>
      <c r="RH882" s="861"/>
      <c r="RI882" s="861"/>
      <c r="RJ882" s="861"/>
      <c r="RK882" s="861"/>
      <c r="RL882" s="861"/>
      <c r="RM882" s="861"/>
      <c r="RN882" s="861"/>
      <c r="RO882" s="861"/>
      <c r="RP882" s="861"/>
      <c r="RQ882" s="861"/>
      <c r="RR882" s="861"/>
      <c r="RS882" s="861"/>
      <c r="RT882" s="861"/>
      <c r="RU882" s="861"/>
      <c r="RV882" s="861"/>
      <c r="RW882" s="861"/>
      <c r="RX882" s="861"/>
      <c r="RY882" s="861"/>
      <c r="RZ882" s="861"/>
      <c r="SA882" s="861"/>
      <c r="SB882" s="861"/>
      <c r="SC882" s="861"/>
      <c r="SD882" s="861"/>
      <c r="SE882" s="861"/>
      <c r="SF882" s="861"/>
      <c r="SG882" s="861"/>
      <c r="SH882" s="861"/>
      <c r="SI882" s="861"/>
      <c r="SJ882" s="861"/>
      <c r="SK882" s="861"/>
      <c r="SL882" s="861"/>
      <c r="SM882" s="861"/>
      <c r="SN882" s="861"/>
      <c r="SO882" s="861"/>
      <c r="SP882" s="861"/>
      <c r="SQ882" s="861"/>
      <c r="SR882" s="861"/>
      <c r="SS882" s="861"/>
      <c r="ST882" s="861"/>
      <c r="SU882" s="861"/>
      <c r="SV882" s="861"/>
      <c r="SW882" s="861"/>
      <c r="SX882" s="861"/>
      <c r="SY882" s="861"/>
      <c r="SZ882" s="861"/>
      <c r="TA882" s="861"/>
      <c r="TB882" s="861"/>
      <c r="TC882" s="861"/>
      <c r="TD882" s="861"/>
      <c r="TE882" s="861"/>
      <c r="TF882" s="861"/>
      <c r="TG882" s="861"/>
      <c r="TH882" s="861"/>
      <c r="TI882" s="861"/>
      <c r="TJ882" s="861"/>
      <c r="TK882" s="861"/>
      <c r="TL882" s="861"/>
      <c r="TM882" s="861"/>
      <c r="TN882" s="861"/>
      <c r="TO882" s="861"/>
      <c r="TP882" s="861"/>
      <c r="TQ882" s="861"/>
      <c r="TR882" s="861"/>
      <c r="TS882" s="861"/>
      <c r="TT882" s="861"/>
      <c r="TU882" s="861"/>
      <c r="TV882" s="861"/>
      <c r="TW882" s="861"/>
      <c r="TX882" s="861"/>
      <c r="TY882" s="861"/>
      <c r="TZ882" s="861"/>
      <c r="UA882" s="861"/>
      <c r="UB882" s="861"/>
      <c r="UC882" s="861"/>
      <c r="UD882" s="861"/>
      <c r="UE882" s="861"/>
      <c r="UF882" s="861"/>
      <c r="UG882" s="862"/>
    </row>
    <row r="883" spans="1:553" s="863" customFormat="1" ht="33" customHeight="1">
      <c r="A883" s="356"/>
      <c r="B883" s="356"/>
      <c r="C883" s="673" t="s">
        <v>26</v>
      </c>
      <c r="D883" s="397">
        <v>2</v>
      </c>
      <c r="E883" s="397">
        <v>488</v>
      </c>
      <c r="F883" s="673"/>
      <c r="G883" s="674" t="s">
        <v>33</v>
      </c>
      <c r="H883" s="675"/>
      <c r="I883" s="490">
        <v>58.3</v>
      </c>
      <c r="J883" s="797">
        <v>53000</v>
      </c>
      <c r="K883" s="857">
        <v>1</v>
      </c>
      <c r="L883" s="481">
        <f t="shared" si="127"/>
        <v>3089900</v>
      </c>
      <c r="M883" s="356"/>
      <c r="N883" s="356"/>
      <c r="O883" s="356"/>
      <c r="P883" s="356"/>
      <c r="Q883" s="610"/>
      <c r="R883" s="1452"/>
      <c r="S883" s="308"/>
      <c r="T883" s="308"/>
      <c r="U883" s="308"/>
      <c r="V883" s="308"/>
      <c r="W883" s="308"/>
      <c r="X883" s="308"/>
      <c r="Y883" s="308"/>
      <c r="Z883" s="604"/>
      <c r="AA883" s="308"/>
      <c r="AB883" s="308"/>
      <c r="AC883" s="449"/>
      <c r="AD883" s="449"/>
      <c r="AE883" s="449"/>
      <c r="AF883" s="449"/>
      <c r="AG883" s="449"/>
      <c r="AH883" s="449"/>
      <c r="AI883" s="449"/>
      <c r="AJ883" s="449"/>
      <c r="AK883" s="452"/>
      <c r="AL883" s="351"/>
      <c r="AM883" s="43"/>
      <c r="AN883" s="43"/>
      <c r="AO883" s="43"/>
      <c r="AP883" s="43"/>
      <c r="AQ883" s="43"/>
      <c r="AR883" s="43"/>
      <c r="AS883" s="43"/>
      <c r="AT883" s="43"/>
      <c r="AU883" s="43"/>
      <c r="AV883" s="43"/>
      <c r="AW883" s="43"/>
      <c r="AX883" s="43"/>
      <c r="AY883" s="43"/>
      <c r="AZ883" s="43"/>
      <c r="BA883" s="43"/>
      <c r="BB883" s="43"/>
      <c r="BC883" s="43"/>
      <c r="BD883" s="43"/>
      <c r="BE883" s="43"/>
      <c r="BF883" s="43"/>
      <c r="BG883" s="43"/>
      <c r="BH883" s="43"/>
      <c r="BI883" s="43"/>
      <c r="BJ883" s="43"/>
      <c r="BK883" s="43"/>
      <c r="BL883" s="43"/>
      <c r="BM883" s="43"/>
      <c r="BN883" s="43"/>
      <c r="BO883" s="43"/>
      <c r="BP883" s="861"/>
      <c r="BQ883" s="861"/>
      <c r="BR883" s="861"/>
      <c r="BS883" s="861"/>
      <c r="BT883" s="861"/>
      <c r="BU883" s="861"/>
      <c r="BV883" s="861"/>
      <c r="BW883" s="861"/>
      <c r="BX883" s="861"/>
      <c r="BY883" s="861"/>
      <c r="BZ883" s="861"/>
      <c r="CA883" s="861"/>
      <c r="CB883" s="861"/>
      <c r="CC883" s="861"/>
      <c r="CD883" s="861"/>
      <c r="CE883" s="861"/>
      <c r="CF883" s="861"/>
      <c r="CG883" s="861"/>
      <c r="CH883" s="861"/>
      <c r="CI883" s="861"/>
      <c r="CJ883" s="861"/>
      <c r="CK883" s="861"/>
      <c r="CL883" s="861"/>
      <c r="CM883" s="861"/>
      <c r="CN883" s="861"/>
      <c r="CO883" s="861"/>
      <c r="CP883" s="861"/>
      <c r="CQ883" s="861"/>
      <c r="CR883" s="861"/>
      <c r="CS883" s="861"/>
      <c r="CT883" s="861"/>
      <c r="CU883" s="861"/>
      <c r="CV883" s="861"/>
      <c r="CW883" s="861"/>
      <c r="CX883" s="861"/>
      <c r="CY883" s="861"/>
      <c r="CZ883" s="861"/>
      <c r="DA883" s="861"/>
      <c r="DB883" s="861"/>
      <c r="DC883" s="861"/>
      <c r="DD883" s="861"/>
      <c r="DE883" s="861"/>
      <c r="DF883" s="861"/>
      <c r="DG883" s="861"/>
      <c r="DH883" s="861"/>
      <c r="DI883" s="861"/>
      <c r="DJ883" s="861"/>
      <c r="DK883" s="861"/>
      <c r="DL883" s="861"/>
      <c r="DM883" s="861"/>
      <c r="DN883" s="861"/>
      <c r="DO883" s="861"/>
      <c r="DP883" s="861"/>
      <c r="DQ883" s="861"/>
      <c r="DR883" s="861"/>
      <c r="DS883" s="861"/>
      <c r="DT883" s="861"/>
      <c r="DU883" s="861"/>
      <c r="DV883" s="861"/>
      <c r="DW883" s="861"/>
      <c r="DX883" s="861"/>
      <c r="DY883" s="861"/>
      <c r="DZ883" s="861"/>
      <c r="EA883" s="861"/>
      <c r="EB883" s="861"/>
      <c r="EC883" s="861"/>
      <c r="ED883" s="861"/>
      <c r="EE883" s="861"/>
      <c r="EF883" s="861"/>
      <c r="EG883" s="861"/>
      <c r="EH883" s="861"/>
      <c r="EI883" s="861"/>
      <c r="EJ883" s="861"/>
      <c r="EK883" s="861"/>
      <c r="EL883" s="861"/>
      <c r="EM883" s="861"/>
      <c r="EN883" s="861"/>
      <c r="EO883" s="861"/>
      <c r="EP883" s="861"/>
      <c r="EQ883" s="861"/>
      <c r="ER883" s="861"/>
      <c r="ES883" s="861"/>
      <c r="ET883" s="861"/>
      <c r="EU883" s="861"/>
      <c r="EV883" s="861"/>
      <c r="EW883" s="861"/>
      <c r="EX883" s="861"/>
      <c r="EY883" s="861"/>
      <c r="EZ883" s="861"/>
      <c r="FA883" s="861"/>
      <c r="FB883" s="861"/>
      <c r="FC883" s="861"/>
      <c r="FD883" s="861"/>
      <c r="FE883" s="861"/>
      <c r="FF883" s="861"/>
      <c r="FG883" s="861"/>
      <c r="FH883" s="861"/>
      <c r="FI883" s="861"/>
      <c r="FJ883" s="861"/>
      <c r="FK883" s="861"/>
      <c r="FL883" s="861"/>
      <c r="FM883" s="861"/>
      <c r="FN883" s="861"/>
      <c r="FO883" s="861"/>
      <c r="FP883" s="861"/>
      <c r="FQ883" s="861"/>
      <c r="FR883" s="861"/>
      <c r="FS883" s="861"/>
      <c r="FT883" s="861"/>
      <c r="FU883" s="861"/>
      <c r="FV883" s="861"/>
      <c r="FW883" s="861"/>
      <c r="FX883" s="861"/>
      <c r="FY883" s="861"/>
      <c r="FZ883" s="861"/>
      <c r="GA883" s="861"/>
      <c r="GB883" s="861"/>
      <c r="GC883" s="861"/>
      <c r="GD883" s="861"/>
      <c r="GE883" s="861"/>
      <c r="GF883" s="861"/>
      <c r="GG883" s="861"/>
      <c r="GH883" s="861"/>
      <c r="GI883" s="861"/>
      <c r="GJ883" s="861"/>
      <c r="GK883" s="861"/>
      <c r="GL883" s="861"/>
      <c r="GM883" s="861"/>
      <c r="GN883" s="861"/>
      <c r="GO883" s="861"/>
      <c r="GP883" s="861"/>
      <c r="GQ883" s="861"/>
      <c r="GR883" s="861"/>
      <c r="GS883" s="861"/>
      <c r="GT883" s="861"/>
      <c r="GU883" s="861"/>
      <c r="GV883" s="861"/>
      <c r="GW883" s="861"/>
      <c r="GX883" s="861"/>
      <c r="GY883" s="861"/>
      <c r="GZ883" s="861"/>
      <c r="HA883" s="861"/>
      <c r="HB883" s="861"/>
      <c r="HC883" s="861"/>
      <c r="HD883" s="861"/>
      <c r="HE883" s="861"/>
      <c r="HF883" s="861"/>
      <c r="HG883" s="861"/>
      <c r="HH883" s="861"/>
      <c r="HI883" s="861"/>
      <c r="HJ883" s="861"/>
      <c r="HK883" s="861"/>
      <c r="HL883" s="861"/>
      <c r="HM883" s="861"/>
      <c r="HN883" s="861"/>
      <c r="HO883" s="861"/>
      <c r="HP883" s="861"/>
      <c r="HQ883" s="861"/>
      <c r="HR883" s="861"/>
      <c r="HS883" s="861"/>
      <c r="HT883" s="861"/>
      <c r="HU883" s="861"/>
      <c r="HV883" s="861"/>
      <c r="HW883" s="861"/>
      <c r="HX883" s="861"/>
      <c r="HY883" s="861"/>
      <c r="HZ883" s="861"/>
      <c r="IA883" s="861"/>
      <c r="IB883" s="861"/>
      <c r="IC883" s="861"/>
      <c r="ID883" s="861"/>
      <c r="IE883" s="861"/>
      <c r="IF883" s="861"/>
      <c r="IG883" s="861"/>
      <c r="IH883" s="861"/>
      <c r="II883" s="861"/>
      <c r="IJ883" s="861"/>
      <c r="IK883" s="861"/>
      <c r="IL883" s="861"/>
      <c r="IM883" s="861"/>
      <c r="IN883" s="861"/>
      <c r="IO883" s="861"/>
      <c r="IP883" s="861"/>
      <c r="IQ883" s="861"/>
      <c r="IR883" s="861"/>
      <c r="IS883" s="861"/>
      <c r="IT883" s="861"/>
      <c r="IU883" s="861"/>
      <c r="IV883" s="861"/>
      <c r="IW883" s="861"/>
      <c r="IX883" s="861"/>
      <c r="IY883" s="861"/>
      <c r="IZ883" s="861"/>
      <c r="JA883" s="861"/>
      <c r="JB883" s="861"/>
      <c r="JC883" s="861"/>
      <c r="JD883" s="861"/>
      <c r="JE883" s="861"/>
      <c r="JF883" s="861"/>
      <c r="JG883" s="861"/>
      <c r="JH883" s="861"/>
      <c r="JI883" s="861"/>
      <c r="JJ883" s="861"/>
      <c r="JK883" s="861"/>
      <c r="JL883" s="861"/>
      <c r="JM883" s="861"/>
      <c r="JN883" s="861"/>
      <c r="JO883" s="861"/>
      <c r="JP883" s="861"/>
      <c r="JQ883" s="861"/>
      <c r="JR883" s="861"/>
      <c r="JS883" s="861"/>
      <c r="JT883" s="861"/>
      <c r="JU883" s="861"/>
      <c r="JV883" s="861"/>
      <c r="JW883" s="861"/>
      <c r="JX883" s="861"/>
      <c r="JY883" s="861"/>
      <c r="JZ883" s="861"/>
      <c r="KA883" s="861"/>
      <c r="KB883" s="861"/>
      <c r="KC883" s="861"/>
      <c r="KD883" s="861"/>
      <c r="KE883" s="861"/>
      <c r="KF883" s="861"/>
      <c r="KG883" s="861"/>
      <c r="KH883" s="861"/>
      <c r="KI883" s="861"/>
      <c r="KJ883" s="861"/>
      <c r="KK883" s="861"/>
      <c r="KL883" s="861"/>
      <c r="KM883" s="861"/>
      <c r="KN883" s="861"/>
      <c r="KO883" s="861"/>
      <c r="KP883" s="861"/>
      <c r="KQ883" s="861"/>
      <c r="KR883" s="861"/>
      <c r="KS883" s="861"/>
      <c r="KT883" s="861"/>
      <c r="KU883" s="861"/>
      <c r="KV883" s="861"/>
      <c r="KW883" s="861"/>
      <c r="KX883" s="861"/>
      <c r="KY883" s="861"/>
      <c r="KZ883" s="861"/>
      <c r="LA883" s="861"/>
      <c r="LB883" s="861"/>
      <c r="LC883" s="861"/>
      <c r="LD883" s="861"/>
      <c r="LE883" s="861"/>
      <c r="LF883" s="861"/>
      <c r="LG883" s="861"/>
      <c r="LH883" s="861"/>
      <c r="LI883" s="861"/>
      <c r="LJ883" s="861"/>
      <c r="LK883" s="861"/>
      <c r="LL883" s="861"/>
      <c r="LM883" s="861"/>
      <c r="LN883" s="861"/>
      <c r="LO883" s="861"/>
      <c r="LP883" s="861"/>
      <c r="LQ883" s="861"/>
      <c r="LR883" s="861"/>
      <c r="LS883" s="861"/>
      <c r="LT883" s="861"/>
      <c r="LU883" s="861"/>
      <c r="LV883" s="861"/>
      <c r="LW883" s="861"/>
      <c r="LX883" s="861"/>
      <c r="LY883" s="861"/>
      <c r="LZ883" s="861"/>
      <c r="MA883" s="861"/>
      <c r="MB883" s="861"/>
      <c r="MC883" s="861"/>
      <c r="MD883" s="861"/>
      <c r="ME883" s="861"/>
      <c r="MF883" s="861"/>
      <c r="MG883" s="861"/>
      <c r="MH883" s="861"/>
      <c r="MI883" s="861"/>
      <c r="MJ883" s="861"/>
      <c r="MK883" s="861"/>
      <c r="ML883" s="861"/>
      <c r="MM883" s="861"/>
      <c r="MN883" s="861"/>
      <c r="MO883" s="861"/>
      <c r="MP883" s="861"/>
      <c r="MQ883" s="861"/>
      <c r="MR883" s="861"/>
      <c r="MS883" s="861"/>
      <c r="MT883" s="861"/>
      <c r="MU883" s="861"/>
      <c r="MV883" s="861"/>
      <c r="MW883" s="861"/>
      <c r="MX883" s="861"/>
      <c r="MY883" s="861"/>
      <c r="MZ883" s="861"/>
      <c r="NA883" s="861"/>
      <c r="NB883" s="861"/>
      <c r="NC883" s="861"/>
      <c r="ND883" s="861"/>
      <c r="NE883" s="861"/>
      <c r="NF883" s="861"/>
      <c r="NG883" s="861"/>
      <c r="NH883" s="861"/>
      <c r="NI883" s="861"/>
      <c r="NJ883" s="861"/>
      <c r="NK883" s="861"/>
      <c r="NL883" s="861"/>
      <c r="NM883" s="861"/>
      <c r="NN883" s="861"/>
      <c r="NO883" s="861"/>
      <c r="NP883" s="861"/>
      <c r="NQ883" s="861"/>
      <c r="NR883" s="861"/>
      <c r="NS883" s="861"/>
      <c r="NT883" s="861"/>
      <c r="NU883" s="861"/>
      <c r="NV883" s="861"/>
      <c r="NW883" s="861"/>
      <c r="NX883" s="861"/>
      <c r="NY883" s="861"/>
      <c r="NZ883" s="861"/>
      <c r="OA883" s="861"/>
      <c r="OB883" s="861"/>
      <c r="OC883" s="861"/>
      <c r="OD883" s="861"/>
      <c r="OE883" s="861"/>
      <c r="OF883" s="861"/>
      <c r="OG883" s="861"/>
      <c r="OH883" s="861"/>
      <c r="OI883" s="861"/>
      <c r="OJ883" s="861"/>
      <c r="OK883" s="861"/>
      <c r="OL883" s="861"/>
      <c r="OM883" s="861"/>
      <c r="ON883" s="861"/>
      <c r="OO883" s="861"/>
      <c r="OP883" s="861"/>
      <c r="OQ883" s="861"/>
      <c r="OR883" s="861"/>
      <c r="OS883" s="861"/>
      <c r="OT883" s="861"/>
      <c r="OU883" s="861"/>
      <c r="OV883" s="861"/>
      <c r="OW883" s="861"/>
      <c r="OX883" s="861"/>
      <c r="OY883" s="861"/>
      <c r="OZ883" s="861"/>
      <c r="PA883" s="861"/>
      <c r="PB883" s="861"/>
      <c r="PC883" s="861"/>
      <c r="PD883" s="861"/>
      <c r="PE883" s="861"/>
      <c r="PF883" s="861"/>
      <c r="PG883" s="861"/>
      <c r="PH883" s="861"/>
      <c r="PI883" s="861"/>
      <c r="PJ883" s="861"/>
      <c r="PK883" s="861"/>
      <c r="PL883" s="861"/>
      <c r="PM883" s="861"/>
      <c r="PN883" s="861"/>
      <c r="PO883" s="861"/>
      <c r="PP883" s="861"/>
      <c r="PQ883" s="861"/>
      <c r="PR883" s="861"/>
      <c r="PS883" s="861"/>
      <c r="PT883" s="861"/>
      <c r="PU883" s="861"/>
      <c r="PV883" s="861"/>
      <c r="PW883" s="861"/>
      <c r="PX883" s="861"/>
      <c r="PY883" s="861"/>
      <c r="PZ883" s="861"/>
      <c r="QA883" s="861"/>
      <c r="QB883" s="861"/>
      <c r="QC883" s="861"/>
      <c r="QD883" s="861"/>
      <c r="QE883" s="861"/>
      <c r="QF883" s="861"/>
      <c r="QG883" s="861"/>
      <c r="QH883" s="861"/>
      <c r="QI883" s="861"/>
      <c r="QJ883" s="861"/>
      <c r="QK883" s="861"/>
      <c r="QL883" s="861"/>
      <c r="QM883" s="861"/>
      <c r="QN883" s="861"/>
      <c r="QO883" s="861"/>
      <c r="QP883" s="861"/>
      <c r="QQ883" s="861"/>
      <c r="QR883" s="861"/>
      <c r="QS883" s="861"/>
      <c r="QT883" s="861"/>
      <c r="QU883" s="861"/>
      <c r="QV883" s="861"/>
      <c r="QW883" s="861"/>
      <c r="QX883" s="861"/>
      <c r="QY883" s="861"/>
      <c r="QZ883" s="861"/>
      <c r="RA883" s="861"/>
      <c r="RB883" s="861"/>
      <c r="RC883" s="861"/>
      <c r="RD883" s="861"/>
      <c r="RE883" s="861"/>
      <c r="RF883" s="861"/>
      <c r="RG883" s="861"/>
      <c r="RH883" s="861"/>
      <c r="RI883" s="861"/>
      <c r="RJ883" s="861"/>
      <c r="RK883" s="861"/>
      <c r="RL883" s="861"/>
      <c r="RM883" s="861"/>
      <c r="RN883" s="861"/>
      <c r="RO883" s="861"/>
      <c r="RP883" s="861"/>
      <c r="RQ883" s="861"/>
      <c r="RR883" s="861"/>
      <c r="RS883" s="861"/>
      <c r="RT883" s="861"/>
      <c r="RU883" s="861"/>
      <c r="RV883" s="861"/>
      <c r="RW883" s="861"/>
      <c r="RX883" s="861"/>
      <c r="RY883" s="861"/>
      <c r="RZ883" s="861"/>
      <c r="SA883" s="861"/>
      <c r="SB883" s="861"/>
      <c r="SC883" s="861"/>
      <c r="SD883" s="861"/>
      <c r="SE883" s="861"/>
      <c r="SF883" s="861"/>
      <c r="SG883" s="861"/>
      <c r="SH883" s="861"/>
      <c r="SI883" s="861"/>
      <c r="SJ883" s="861"/>
      <c r="SK883" s="861"/>
      <c r="SL883" s="861"/>
      <c r="SM883" s="861"/>
      <c r="SN883" s="861"/>
      <c r="SO883" s="861"/>
      <c r="SP883" s="861"/>
      <c r="SQ883" s="861"/>
      <c r="SR883" s="861"/>
      <c r="SS883" s="861"/>
      <c r="ST883" s="861"/>
      <c r="SU883" s="861"/>
      <c r="SV883" s="861"/>
      <c r="SW883" s="861"/>
      <c r="SX883" s="861"/>
      <c r="SY883" s="861"/>
      <c r="SZ883" s="861"/>
      <c r="TA883" s="861"/>
      <c r="TB883" s="861"/>
      <c r="TC883" s="861"/>
      <c r="TD883" s="861"/>
      <c r="TE883" s="861"/>
      <c r="TF883" s="861"/>
      <c r="TG883" s="861"/>
      <c r="TH883" s="861"/>
      <c r="TI883" s="861"/>
      <c r="TJ883" s="861"/>
      <c r="TK883" s="861"/>
      <c r="TL883" s="861"/>
      <c r="TM883" s="861"/>
      <c r="TN883" s="861"/>
      <c r="TO883" s="861"/>
      <c r="TP883" s="861"/>
      <c r="TQ883" s="861"/>
      <c r="TR883" s="861"/>
      <c r="TS883" s="861"/>
      <c r="TT883" s="861"/>
      <c r="TU883" s="861"/>
      <c r="TV883" s="861"/>
      <c r="TW883" s="861"/>
      <c r="TX883" s="861"/>
      <c r="TY883" s="861"/>
      <c r="TZ883" s="861"/>
      <c r="UA883" s="861"/>
      <c r="UB883" s="861"/>
      <c r="UC883" s="861"/>
      <c r="UD883" s="861"/>
      <c r="UE883" s="861"/>
      <c r="UF883" s="861"/>
      <c r="UG883" s="862"/>
    </row>
    <row r="884" spans="1:553" ht="33" customHeight="1">
      <c r="A884" s="356" t="s">
        <v>61</v>
      </c>
      <c r="B884" s="535"/>
      <c r="C884" s="536" t="s">
        <v>899</v>
      </c>
      <c r="D884" s="1011"/>
      <c r="E884" s="1011"/>
      <c r="F884" s="469"/>
      <c r="G884" s="566"/>
      <c r="H884" s="499"/>
      <c r="I884" s="420"/>
      <c r="J884" s="985"/>
      <c r="K884" s="677"/>
      <c r="L884" s="678">
        <f>SUM(L885:L888)</f>
        <v>30477600</v>
      </c>
      <c r="M884" s="356"/>
      <c r="N884" s="356"/>
      <c r="O884" s="356"/>
      <c r="P884" s="356">
        <f>L884</f>
        <v>30477600</v>
      </c>
      <c r="Q884" s="610"/>
      <c r="R884" s="1226"/>
      <c r="S884" s="308"/>
      <c r="T884" s="308"/>
      <c r="U884" s="308"/>
      <c r="V884" s="308"/>
      <c r="W884" s="308"/>
      <c r="X884" s="308"/>
      <c r="Y884" s="308"/>
      <c r="Z884" s="604"/>
      <c r="AA884" s="308"/>
      <c r="AB884" s="308"/>
      <c r="AC884" s="449"/>
      <c r="AD884" s="449"/>
      <c r="AE884" s="449"/>
      <c r="AF884" s="449"/>
      <c r="AG884" s="449"/>
      <c r="AH884" s="449"/>
      <c r="AI884" s="449"/>
      <c r="AJ884" s="449"/>
      <c r="AK884" s="452"/>
      <c r="AL884" s="104"/>
      <c r="AM884" s="32"/>
      <c r="AN884" s="32"/>
      <c r="AO884" s="32"/>
      <c r="AP884" s="32"/>
      <c r="AQ884" s="32"/>
      <c r="AR884" s="32"/>
      <c r="AS884" s="31"/>
      <c r="AT884" s="31"/>
      <c r="AU884" s="31"/>
      <c r="AV884" s="31"/>
      <c r="AW884" s="31"/>
      <c r="AX884" s="31"/>
      <c r="AY884" s="31"/>
      <c r="AZ884" s="31"/>
      <c r="BA884" s="31"/>
      <c r="BB884" s="31"/>
      <c r="BC884" s="31"/>
      <c r="BD884" s="31"/>
      <c r="BE884" s="31"/>
      <c r="BF884" s="31"/>
      <c r="BG884" s="31"/>
      <c r="BH884" s="31"/>
      <c r="BI884" s="31"/>
      <c r="BJ884" s="31"/>
      <c r="BK884" s="31"/>
      <c r="BL884" s="31"/>
      <c r="BM884" s="31"/>
      <c r="BN884" s="31"/>
      <c r="BO884" s="31"/>
      <c r="BP884" s="25"/>
      <c r="BQ884" s="25"/>
      <c r="BR884" s="25"/>
      <c r="BS884" s="25"/>
      <c r="BT884" s="25"/>
      <c r="BU884" s="25"/>
      <c r="BV884" s="25"/>
      <c r="BW884" s="25"/>
      <c r="BX884" s="25"/>
      <c r="BY884" s="25"/>
      <c r="BZ884" s="25"/>
      <c r="CA884" s="25"/>
      <c r="CB884" s="25"/>
      <c r="CC884" s="25"/>
      <c r="CD884" s="25"/>
      <c r="CE884" s="25"/>
      <c r="CF884" s="25"/>
      <c r="CG884" s="25"/>
      <c r="CH884" s="25"/>
      <c r="CI884" s="25"/>
      <c r="CJ884" s="25"/>
      <c r="CK884" s="25"/>
      <c r="CL884" s="25"/>
      <c r="CM884" s="25"/>
      <c r="CN884" s="25"/>
      <c r="CO884" s="25"/>
      <c r="CP884" s="25"/>
      <c r="CQ884" s="25"/>
      <c r="CR884" s="25"/>
      <c r="CS884" s="25"/>
      <c r="CT884" s="25"/>
      <c r="CU884" s="25"/>
      <c r="CV884" s="25"/>
      <c r="CW884" s="25"/>
      <c r="CX884" s="25"/>
      <c r="CY884" s="25"/>
      <c r="CZ884" s="25"/>
      <c r="DA884" s="25"/>
      <c r="DB884" s="25"/>
      <c r="DC884" s="25"/>
      <c r="DD884" s="25"/>
      <c r="DE884" s="25"/>
      <c r="DF884" s="25"/>
      <c r="DG884" s="25"/>
      <c r="DH884" s="25"/>
      <c r="DI884" s="25"/>
      <c r="DJ884" s="25"/>
      <c r="DK884" s="25"/>
      <c r="DL884" s="25"/>
      <c r="DM884" s="25"/>
      <c r="DN884" s="25"/>
      <c r="DO884" s="25"/>
      <c r="DP884" s="25"/>
      <c r="DQ884" s="25"/>
      <c r="DR884" s="25"/>
      <c r="DS884" s="25"/>
      <c r="DT884" s="25"/>
      <c r="DU884" s="25"/>
      <c r="DV884" s="25"/>
      <c r="DW884" s="25"/>
      <c r="DX884" s="25"/>
      <c r="DY884" s="25"/>
      <c r="DZ884" s="25"/>
      <c r="EA884" s="25"/>
      <c r="EB884" s="25"/>
      <c r="EC884" s="25"/>
      <c r="ED884" s="25"/>
      <c r="EE884" s="25"/>
      <c r="EF884" s="25"/>
      <c r="EG884" s="25"/>
      <c r="EH884" s="25"/>
      <c r="EI884" s="25"/>
      <c r="EJ884" s="25"/>
      <c r="EK884" s="25"/>
      <c r="EL884" s="25"/>
      <c r="EM884" s="25"/>
      <c r="EN884" s="25"/>
      <c r="EO884" s="25"/>
      <c r="EP884" s="25"/>
      <c r="EQ884" s="25"/>
      <c r="ER884" s="25"/>
      <c r="ES884" s="25"/>
      <c r="ET884" s="25"/>
      <c r="EU884" s="25"/>
      <c r="EV884" s="25"/>
      <c r="EW884" s="25"/>
      <c r="EX884" s="25"/>
      <c r="EY884" s="25"/>
      <c r="EZ884" s="25"/>
      <c r="FA884" s="25"/>
      <c r="FB884" s="25"/>
      <c r="FC884" s="25"/>
      <c r="FD884" s="25"/>
      <c r="FE884" s="25"/>
      <c r="FF884" s="25"/>
      <c r="FG884" s="25"/>
      <c r="FH884" s="25"/>
      <c r="FI884" s="25"/>
      <c r="FJ884" s="25"/>
      <c r="FK884" s="25"/>
      <c r="FL884" s="25"/>
      <c r="FM884" s="25"/>
      <c r="FN884" s="25"/>
      <c r="FO884" s="25"/>
      <c r="FP884" s="25"/>
      <c r="FQ884" s="25"/>
      <c r="FR884" s="25"/>
      <c r="FS884" s="25"/>
      <c r="FT884" s="25"/>
      <c r="FU884" s="25"/>
      <c r="FV884" s="25"/>
      <c r="FW884" s="25"/>
      <c r="FX884" s="25"/>
      <c r="FY884" s="25"/>
      <c r="FZ884" s="25"/>
      <c r="GA884" s="25"/>
      <c r="GB884" s="25"/>
      <c r="GC884" s="25"/>
      <c r="GD884" s="25"/>
      <c r="GE884" s="25"/>
      <c r="GF884" s="25"/>
      <c r="GG884" s="25"/>
      <c r="GH884" s="25"/>
      <c r="GI884" s="25"/>
      <c r="GJ884" s="25"/>
      <c r="GK884" s="25"/>
      <c r="GL884" s="25"/>
      <c r="GM884" s="25"/>
      <c r="GN884" s="25"/>
      <c r="GO884" s="25"/>
      <c r="GP884" s="25"/>
      <c r="GQ884" s="25"/>
      <c r="GR884" s="25"/>
      <c r="GS884" s="25"/>
      <c r="GT884" s="25"/>
      <c r="GU884" s="25"/>
      <c r="GV884" s="25"/>
      <c r="GW884" s="25"/>
      <c r="GX884" s="25"/>
      <c r="GY884" s="25"/>
      <c r="GZ884" s="25"/>
      <c r="HA884" s="25"/>
      <c r="HB884" s="25"/>
      <c r="HC884" s="25"/>
      <c r="HD884" s="25"/>
      <c r="HE884" s="25"/>
      <c r="HF884" s="25"/>
      <c r="HG884" s="25"/>
      <c r="HH884" s="25"/>
      <c r="HI884" s="25"/>
      <c r="HJ884" s="25"/>
      <c r="HK884" s="25"/>
      <c r="HL884" s="25"/>
      <c r="HM884" s="25"/>
      <c r="HN884" s="25"/>
      <c r="HO884" s="25"/>
      <c r="HP884" s="25"/>
      <c r="HQ884" s="25"/>
      <c r="HR884" s="25"/>
      <c r="HS884" s="25"/>
      <c r="HT884" s="25"/>
      <c r="HU884" s="25"/>
      <c r="HV884" s="25"/>
      <c r="HW884" s="25"/>
      <c r="HX884" s="25"/>
      <c r="HY884" s="25"/>
      <c r="HZ884" s="25"/>
      <c r="IA884" s="25"/>
      <c r="IB884" s="25"/>
      <c r="IC884" s="25"/>
      <c r="ID884" s="25"/>
      <c r="IE884" s="25"/>
      <c r="IF884" s="25"/>
      <c r="IG884" s="25"/>
      <c r="IH884" s="25"/>
      <c r="II884" s="25"/>
      <c r="IJ884" s="25"/>
      <c r="IK884" s="25"/>
      <c r="IL884" s="25"/>
      <c r="IM884" s="25"/>
      <c r="IN884" s="25"/>
      <c r="IO884" s="25"/>
      <c r="IP884" s="25"/>
      <c r="IQ884" s="25"/>
      <c r="IR884" s="25"/>
      <c r="IS884" s="25"/>
      <c r="IT884" s="25"/>
      <c r="IU884" s="25"/>
      <c r="IV884" s="25"/>
      <c r="IW884" s="25"/>
      <c r="IX884" s="25"/>
      <c r="IY884" s="25"/>
      <c r="IZ884" s="25"/>
      <c r="JA884" s="25"/>
      <c r="JB884" s="25"/>
      <c r="JC884" s="25"/>
      <c r="JD884" s="25"/>
      <c r="JE884" s="25"/>
      <c r="JF884" s="25"/>
      <c r="JG884" s="25"/>
      <c r="JH884" s="25"/>
      <c r="JI884" s="25"/>
      <c r="JJ884" s="25"/>
      <c r="JK884" s="25"/>
      <c r="JL884" s="25"/>
      <c r="JM884" s="25"/>
      <c r="JN884" s="25"/>
      <c r="JO884" s="25"/>
      <c r="JP884" s="25"/>
      <c r="JQ884" s="25"/>
      <c r="JR884" s="25"/>
      <c r="JS884" s="25"/>
      <c r="JT884" s="25"/>
      <c r="JU884" s="25"/>
      <c r="JV884" s="25"/>
      <c r="JW884" s="25"/>
      <c r="JX884" s="25"/>
      <c r="JY884" s="25"/>
      <c r="JZ884" s="25"/>
      <c r="KA884" s="25"/>
      <c r="KB884" s="25"/>
      <c r="KC884" s="25"/>
      <c r="KD884" s="25"/>
      <c r="KE884" s="25"/>
      <c r="KF884" s="25"/>
      <c r="KG884" s="25"/>
      <c r="KH884" s="25"/>
      <c r="KI884" s="25"/>
      <c r="KJ884" s="25"/>
      <c r="KK884" s="25"/>
      <c r="KL884" s="25"/>
      <c r="KM884" s="25"/>
      <c r="KN884" s="25"/>
      <c r="KO884" s="25"/>
      <c r="KP884" s="25"/>
      <c r="KQ884" s="25"/>
      <c r="KR884" s="25"/>
      <c r="KS884" s="25"/>
      <c r="KT884" s="25"/>
      <c r="KU884" s="25"/>
      <c r="KV884" s="25"/>
      <c r="KW884" s="25"/>
      <c r="KX884" s="25"/>
      <c r="KY884" s="25"/>
      <c r="KZ884" s="25"/>
      <c r="LA884" s="25"/>
      <c r="LB884" s="25"/>
      <c r="LC884" s="25"/>
      <c r="LD884" s="25"/>
      <c r="LE884" s="25"/>
      <c r="LF884" s="25"/>
      <c r="LG884" s="25"/>
      <c r="LH884" s="25"/>
      <c r="LI884" s="25"/>
      <c r="LJ884" s="25"/>
      <c r="LK884" s="25"/>
      <c r="LL884" s="25"/>
      <c r="LM884" s="25"/>
      <c r="LN884" s="25"/>
      <c r="LO884" s="25"/>
      <c r="LP884" s="25"/>
      <c r="LQ884" s="25"/>
      <c r="LR884" s="25"/>
      <c r="LS884" s="25"/>
      <c r="LT884" s="25"/>
      <c r="LU884" s="25"/>
      <c r="LV884" s="25"/>
      <c r="LW884" s="25"/>
      <c r="LX884" s="25"/>
      <c r="LY884" s="25"/>
      <c r="LZ884" s="25"/>
      <c r="MA884" s="25"/>
      <c r="MB884" s="25"/>
      <c r="MC884" s="25"/>
      <c r="MD884" s="25"/>
      <c r="ME884" s="25"/>
      <c r="MF884" s="25"/>
      <c r="MG884" s="25"/>
      <c r="MH884" s="25"/>
      <c r="MI884" s="25"/>
      <c r="MJ884" s="25"/>
      <c r="MK884" s="25"/>
      <c r="ML884" s="25"/>
      <c r="MM884" s="25"/>
      <c r="MN884" s="25"/>
      <c r="MO884" s="25"/>
      <c r="MP884" s="25"/>
      <c r="MQ884" s="25"/>
      <c r="MR884" s="25"/>
      <c r="MS884" s="25"/>
      <c r="MT884" s="25"/>
      <c r="MU884" s="25"/>
      <c r="MV884" s="25"/>
      <c r="MW884" s="25"/>
      <c r="MX884" s="25"/>
      <c r="MY884" s="25"/>
      <c r="MZ884" s="25"/>
      <c r="NA884" s="25"/>
      <c r="NB884" s="25"/>
      <c r="NC884" s="25"/>
      <c r="ND884" s="25"/>
      <c r="NE884" s="25"/>
      <c r="NF884" s="25"/>
      <c r="NG884" s="25"/>
      <c r="NH884" s="25"/>
      <c r="NI884" s="25"/>
      <c r="NJ884" s="25"/>
      <c r="NK884" s="25"/>
      <c r="NL884" s="25"/>
      <c r="NM884" s="25"/>
      <c r="NN884" s="25"/>
      <c r="NO884" s="25"/>
      <c r="NP884" s="25"/>
      <c r="NQ884" s="25"/>
      <c r="NR884" s="25"/>
      <c r="NS884" s="25"/>
      <c r="NT884" s="25"/>
      <c r="NU884" s="25"/>
      <c r="NV884" s="25"/>
      <c r="NW884" s="25"/>
      <c r="NX884" s="25"/>
      <c r="NY884" s="25"/>
      <c r="NZ884" s="25"/>
      <c r="OA884" s="25"/>
      <c r="OB884" s="25"/>
      <c r="OC884" s="25"/>
      <c r="OD884" s="25"/>
      <c r="OE884" s="25"/>
      <c r="OF884" s="25"/>
      <c r="OG884" s="25"/>
      <c r="OH884" s="25"/>
      <c r="OI884" s="25"/>
      <c r="OJ884" s="25"/>
      <c r="OK884" s="25"/>
      <c r="OL884" s="25"/>
      <c r="OM884" s="25"/>
      <c r="ON884" s="25"/>
      <c r="OO884" s="25"/>
      <c r="OP884" s="25"/>
      <c r="OQ884" s="25"/>
      <c r="OR884" s="25"/>
      <c r="OS884" s="25"/>
      <c r="OT884" s="25"/>
      <c r="OU884" s="25"/>
      <c r="OV884" s="25"/>
      <c r="OW884" s="25"/>
      <c r="OX884" s="25"/>
      <c r="OY884" s="25"/>
      <c r="OZ884" s="25"/>
      <c r="PA884" s="25"/>
      <c r="PB884" s="25"/>
      <c r="PC884" s="25"/>
      <c r="PD884" s="25"/>
      <c r="PE884" s="25"/>
      <c r="PF884" s="25"/>
      <c r="PG884" s="25"/>
      <c r="PH884" s="25"/>
      <c r="PI884" s="25"/>
      <c r="PJ884" s="25"/>
      <c r="PK884" s="25"/>
      <c r="PL884" s="25"/>
      <c r="PM884" s="25"/>
      <c r="PN884" s="25"/>
      <c r="PO884" s="25"/>
      <c r="PP884" s="25"/>
      <c r="PQ884" s="25"/>
      <c r="PR884" s="25"/>
      <c r="PS884" s="25"/>
      <c r="PT884" s="25"/>
      <c r="PU884" s="25"/>
      <c r="PV884" s="25"/>
      <c r="PW884" s="25"/>
      <c r="PX884" s="25"/>
      <c r="PY884" s="25"/>
      <c r="PZ884" s="25"/>
      <c r="QA884" s="25"/>
      <c r="QB884" s="25"/>
      <c r="QC884" s="25"/>
      <c r="QD884" s="25"/>
      <c r="QE884" s="25"/>
      <c r="QF884" s="25"/>
      <c r="QG884" s="25"/>
      <c r="QH884" s="25"/>
      <c r="QI884" s="25"/>
      <c r="QJ884" s="25"/>
      <c r="QK884" s="25"/>
      <c r="QL884" s="25"/>
      <c r="QM884" s="25"/>
      <c r="QN884" s="25"/>
      <c r="QO884" s="25"/>
      <c r="QP884" s="25"/>
      <c r="QQ884" s="25"/>
      <c r="QR884" s="25"/>
      <c r="QS884" s="25"/>
      <c r="QT884" s="25"/>
      <c r="QU884" s="25"/>
      <c r="QV884" s="25"/>
      <c r="QW884" s="25"/>
      <c r="QX884" s="25"/>
      <c r="QY884" s="25"/>
      <c r="QZ884" s="25"/>
      <c r="RA884" s="25"/>
      <c r="RB884" s="25"/>
      <c r="RC884" s="25"/>
      <c r="RD884" s="25"/>
      <c r="RE884" s="25"/>
      <c r="RF884" s="25"/>
      <c r="RG884" s="25"/>
      <c r="RH884" s="25"/>
      <c r="RI884" s="25"/>
      <c r="RJ884" s="25"/>
      <c r="RK884" s="25"/>
      <c r="RL884" s="25"/>
      <c r="RM884" s="25"/>
      <c r="RN884" s="25"/>
      <c r="RO884" s="25"/>
      <c r="RP884" s="25"/>
      <c r="RQ884" s="25"/>
      <c r="RR884" s="25"/>
      <c r="RS884" s="25"/>
      <c r="RT884" s="25"/>
      <c r="RU884" s="25"/>
      <c r="RV884" s="25"/>
      <c r="RW884" s="25"/>
      <c r="RX884" s="25"/>
      <c r="RY884" s="25"/>
      <c r="RZ884" s="25"/>
      <c r="SA884" s="25"/>
      <c r="SB884" s="25"/>
      <c r="SC884" s="25"/>
      <c r="SD884" s="25"/>
      <c r="SE884" s="25"/>
      <c r="SF884" s="25"/>
      <c r="SG884" s="25"/>
      <c r="SH884" s="25"/>
      <c r="SI884" s="25"/>
      <c r="SJ884" s="25"/>
      <c r="SK884" s="25"/>
      <c r="SL884" s="25"/>
      <c r="SM884" s="25"/>
      <c r="SN884" s="25"/>
      <c r="SO884" s="25"/>
      <c r="SP884" s="25"/>
      <c r="SQ884" s="25"/>
      <c r="SR884" s="25"/>
      <c r="SS884" s="25"/>
      <c r="ST884" s="25"/>
      <c r="SU884" s="25"/>
      <c r="SV884" s="25"/>
      <c r="SW884" s="25"/>
      <c r="SX884" s="25"/>
      <c r="SY884" s="25"/>
      <c r="SZ884" s="25"/>
      <c r="TA884" s="25"/>
      <c r="TB884" s="25"/>
      <c r="TC884" s="25"/>
      <c r="TD884" s="25"/>
      <c r="TE884" s="25"/>
      <c r="TF884" s="25"/>
      <c r="TG884" s="25"/>
      <c r="TH884" s="25"/>
      <c r="TI884" s="25"/>
      <c r="TJ884" s="25"/>
      <c r="TK884" s="25"/>
      <c r="TL884" s="25"/>
      <c r="TM884" s="25"/>
      <c r="TN884" s="25"/>
      <c r="TO884" s="25"/>
      <c r="TP884" s="25"/>
      <c r="TQ884" s="25"/>
      <c r="TR884" s="25"/>
      <c r="TS884" s="25"/>
      <c r="TT884" s="25"/>
      <c r="TU884" s="25"/>
      <c r="TV884" s="25"/>
      <c r="TW884" s="25"/>
      <c r="TX884" s="25"/>
      <c r="TY884" s="25"/>
      <c r="TZ884" s="25"/>
      <c r="UA884" s="25"/>
      <c r="UB884" s="25"/>
      <c r="UC884" s="25"/>
      <c r="UD884" s="25"/>
      <c r="UE884" s="25"/>
      <c r="UF884" s="25"/>
      <c r="UG884" s="26"/>
    </row>
    <row r="885" spans="1:553" s="236" customFormat="1" ht="132.75" customHeight="1">
      <c r="A885" s="356"/>
      <c r="B885" s="835"/>
      <c r="C885" s="1227" t="s">
        <v>939</v>
      </c>
      <c r="D885" s="470">
        <f t="shared" ref="D885:E885" si="128">D879</f>
        <v>1</v>
      </c>
      <c r="E885" s="470">
        <f t="shared" si="128"/>
        <v>344</v>
      </c>
      <c r="F885" s="1230"/>
      <c r="G885" s="501" t="s">
        <v>935</v>
      </c>
      <c r="H885" s="502"/>
      <c r="I885" s="423">
        <f>I879</f>
        <v>113.9</v>
      </c>
      <c r="J885" s="993">
        <f>62000-55000</f>
        <v>7000</v>
      </c>
      <c r="K885" s="435"/>
      <c r="L885" s="679">
        <f t="shared" ref="L885:L887" si="129">I885*J885</f>
        <v>797300</v>
      </c>
      <c r="M885" s="425"/>
      <c r="N885" s="356"/>
      <c r="O885" s="356"/>
      <c r="P885" s="356"/>
      <c r="Q885" s="610"/>
      <c r="R885" s="1226"/>
      <c r="S885" s="308"/>
      <c r="T885" s="308"/>
      <c r="U885" s="308"/>
      <c r="V885" s="308"/>
      <c r="W885" s="308"/>
      <c r="X885" s="308"/>
      <c r="Y885" s="308"/>
      <c r="Z885" s="604"/>
      <c r="AA885" s="308"/>
      <c r="AB885" s="308"/>
      <c r="AC885" s="449"/>
      <c r="AD885" s="449"/>
      <c r="AE885" s="449"/>
      <c r="AF885" s="449"/>
      <c r="AG885" s="449"/>
      <c r="AH885" s="449"/>
      <c r="AI885" s="449"/>
      <c r="AJ885" s="449"/>
      <c r="AK885" s="452"/>
      <c r="AL885" s="242"/>
      <c r="AM885" s="241"/>
      <c r="AN885" s="241"/>
      <c r="AO885" s="241"/>
      <c r="AP885" s="241"/>
      <c r="AQ885" s="241"/>
      <c r="AR885" s="241"/>
      <c r="AS885" s="238"/>
      <c r="AT885" s="238"/>
      <c r="AU885" s="238"/>
      <c r="AV885" s="238"/>
      <c r="AW885" s="238"/>
      <c r="AX885" s="238"/>
      <c r="AY885" s="238"/>
      <c r="AZ885" s="238"/>
      <c r="BA885" s="238"/>
      <c r="BB885" s="238"/>
      <c r="BC885" s="238"/>
      <c r="BD885" s="238"/>
      <c r="BE885" s="238"/>
      <c r="BF885" s="238"/>
      <c r="BG885" s="238"/>
      <c r="BH885" s="238"/>
      <c r="BI885" s="238"/>
      <c r="BJ885" s="238"/>
      <c r="BK885" s="238"/>
      <c r="BL885" s="238"/>
      <c r="BM885" s="238"/>
      <c r="BN885" s="238"/>
      <c r="BO885" s="238"/>
      <c r="BP885" s="239"/>
      <c r="BQ885" s="239"/>
      <c r="BR885" s="239"/>
      <c r="BS885" s="239"/>
      <c r="BT885" s="239"/>
      <c r="BU885" s="239"/>
      <c r="BV885" s="239"/>
      <c r="BW885" s="239"/>
      <c r="BX885" s="239"/>
      <c r="BY885" s="239"/>
      <c r="BZ885" s="239"/>
      <c r="CA885" s="239"/>
      <c r="CB885" s="239"/>
      <c r="CC885" s="239"/>
      <c r="CD885" s="239"/>
      <c r="CE885" s="239"/>
      <c r="CF885" s="239"/>
      <c r="CG885" s="239"/>
      <c r="CH885" s="239"/>
      <c r="CI885" s="239"/>
      <c r="CJ885" s="239"/>
      <c r="CK885" s="239"/>
      <c r="CL885" s="239"/>
      <c r="CM885" s="239"/>
      <c r="CN885" s="239"/>
      <c r="CO885" s="239"/>
      <c r="CP885" s="239"/>
      <c r="CQ885" s="239"/>
      <c r="CR885" s="239"/>
      <c r="CS885" s="239"/>
      <c r="CT885" s="239"/>
      <c r="CU885" s="239"/>
      <c r="CV885" s="239"/>
      <c r="CW885" s="239"/>
      <c r="CX885" s="239"/>
      <c r="CY885" s="239"/>
      <c r="CZ885" s="239"/>
      <c r="DA885" s="239"/>
      <c r="DB885" s="239"/>
      <c r="DC885" s="239"/>
      <c r="DD885" s="239"/>
      <c r="DE885" s="239"/>
      <c r="DF885" s="239"/>
      <c r="DG885" s="239"/>
      <c r="DH885" s="239"/>
      <c r="DI885" s="239"/>
      <c r="DJ885" s="239"/>
      <c r="DK885" s="239"/>
      <c r="DL885" s="239"/>
      <c r="DM885" s="239"/>
      <c r="DN885" s="239"/>
      <c r="DO885" s="239"/>
      <c r="DP885" s="239"/>
      <c r="DQ885" s="239"/>
      <c r="DR885" s="239"/>
      <c r="DS885" s="239"/>
      <c r="DT885" s="239"/>
      <c r="DU885" s="239"/>
      <c r="DV885" s="239"/>
      <c r="DW885" s="239"/>
      <c r="DX885" s="239"/>
      <c r="DY885" s="239"/>
      <c r="DZ885" s="239"/>
      <c r="EA885" s="239"/>
      <c r="EB885" s="239"/>
      <c r="EC885" s="239"/>
      <c r="ED885" s="239"/>
      <c r="EE885" s="239"/>
      <c r="EF885" s="239"/>
      <c r="EG885" s="239"/>
      <c r="EH885" s="239"/>
      <c r="EI885" s="239"/>
      <c r="EJ885" s="239"/>
      <c r="EK885" s="239"/>
      <c r="EL885" s="239"/>
      <c r="EM885" s="239"/>
      <c r="EN885" s="239"/>
      <c r="EO885" s="239"/>
      <c r="EP885" s="239"/>
      <c r="EQ885" s="239"/>
      <c r="ER885" s="239"/>
      <c r="ES885" s="239"/>
      <c r="ET885" s="239"/>
      <c r="EU885" s="239"/>
      <c r="EV885" s="239"/>
      <c r="EW885" s="239"/>
      <c r="EX885" s="239"/>
      <c r="EY885" s="239"/>
      <c r="EZ885" s="239"/>
      <c r="FA885" s="239"/>
      <c r="FB885" s="239"/>
      <c r="FC885" s="239"/>
      <c r="FD885" s="239"/>
      <c r="FE885" s="239"/>
      <c r="FF885" s="239"/>
      <c r="FG885" s="239"/>
      <c r="FH885" s="239"/>
      <c r="FI885" s="239"/>
      <c r="FJ885" s="239"/>
      <c r="FK885" s="239"/>
      <c r="FL885" s="239"/>
      <c r="FM885" s="239"/>
      <c r="FN885" s="239"/>
      <c r="FO885" s="239"/>
      <c r="FP885" s="239"/>
      <c r="FQ885" s="239"/>
      <c r="FR885" s="239"/>
      <c r="FS885" s="239"/>
      <c r="FT885" s="239"/>
      <c r="FU885" s="239"/>
      <c r="FV885" s="239"/>
      <c r="FW885" s="239"/>
      <c r="FX885" s="239"/>
      <c r="FY885" s="239"/>
      <c r="FZ885" s="239"/>
      <c r="GA885" s="239"/>
      <c r="GB885" s="239"/>
      <c r="GC885" s="239"/>
      <c r="GD885" s="239"/>
      <c r="GE885" s="239"/>
      <c r="GF885" s="239"/>
      <c r="GG885" s="239"/>
      <c r="GH885" s="239"/>
      <c r="GI885" s="239"/>
      <c r="GJ885" s="239"/>
      <c r="GK885" s="239"/>
      <c r="GL885" s="239"/>
      <c r="GM885" s="239"/>
      <c r="GN885" s="239"/>
      <c r="GO885" s="239"/>
      <c r="GP885" s="239"/>
      <c r="GQ885" s="239"/>
      <c r="GR885" s="239"/>
      <c r="GS885" s="239"/>
      <c r="GT885" s="239"/>
      <c r="GU885" s="239"/>
      <c r="GV885" s="239"/>
      <c r="GW885" s="239"/>
      <c r="GX885" s="239"/>
      <c r="GY885" s="239"/>
      <c r="GZ885" s="239"/>
      <c r="HA885" s="239"/>
      <c r="HB885" s="239"/>
      <c r="HC885" s="239"/>
      <c r="HD885" s="239"/>
      <c r="HE885" s="239"/>
      <c r="HF885" s="239"/>
      <c r="HG885" s="239"/>
      <c r="HH885" s="239"/>
      <c r="HI885" s="239"/>
      <c r="HJ885" s="239"/>
      <c r="HK885" s="239"/>
      <c r="HL885" s="239"/>
      <c r="HM885" s="239"/>
      <c r="HN885" s="239"/>
      <c r="HO885" s="239"/>
      <c r="HP885" s="239"/>
      <c r="HQ885" s="239"/>
      <c r="HR885" s="239"/>
      <c r="HS885" s="239"/>
      <c r="HT885" s="239"/>
      <c r="HU885" s="239"/>
      <c r="HV885" s="239"/>
      <c r="HW885" s="239"/>
      <c r="HX885" s="239"/>
      <c r="HY885" s="239"/>
      <c r="HZ885" s="239"/>
      <c r="IA885" s="239"/>
      <c r="IB885" s="239"/>
      <c r="IC885" s="239"/>
      <c r="ID885" s="239"/>
      <c r="IE885" s="239"/>
      <c r="IF885" s="239"/>
      <c r="IG885" s="239"/>
      <c r="IH885" s="239"/>
      <c r="II885" s="239"/>
      <c r="IJ885" s="239"/>
      <c r="IK885" s="239"/>
      <c r="IL885" s="239"/>
      <c r="IM885" s="239"/>
      <c r="IN885" s="239"/>
      <c r="IO885" s="239"/>
      <c r="IP885" s="239"/>
      <c r="IQ885" s="239"/>
      <c r="IR885" s="239"/>
      <c r="IS885" s="239"/>
      <c r="IT885" s="239"/>
      <c r="IU885" s="239"/>
      <c r="IV885" s="239"/>
      <c r="IW885" s="239"/>
      <c r="IX885" s="239"/>
      <c r="IY885" s="239"/>
      <c r="IZ885" s="239"/>
      <c r="JA885" s="239"/>
      <c r="JB885" s="239"/>
      <c r="JC885" s="239"/>
      <c r="JD885" s="239"/>
      <c r="JE885" s="239"/>
      <c r="JF885" s="239"/>
      <c r="JG885" s="239"/>
      <c r="JH885" s="239"/>
      <c r="JI885" s="239"/>
      <c r="JJ885" s="239"/>
      <c r="JK885" s="239"/>
      <c r="JL885" s="239"/>
      <c r="JM885" s="239"/>
      <c r="JN885" s="239"/>
      <c r="JO885" s="239"/>
      <c r="JP885" s="239"/>
      <c r="JQ885" s="239"/>
      <c r="JR885" s="239"/>
      <c r="JS885" s="239"/>
      <c r="JT885" s="239"/>
      <c r="JU885" s="239"/>
      <c r="JV885" s="239"/>
      <c r="JW885" s="239"/>
      <c r="JX885" s="239"/>
      <c r="JY885" s="239"/>
      <c r="JZ885" s="239"/>
      <c r="KA885" s="239"/>
      <c r="KB885" s="239"/>
      <c r="KC885" s="239"/>
      <c r="KD885" s="239"/>
      <c r="KE885" s="239"/>
      <c r="KF885" s="239"/>
      <c r="KG885" s="239"/>
      <c r="KH885" s="239"/>
      <c r="KI885" s="239"/>
      <c r="KJ885" s="239"/>
      <c r="KK885" s="239"/>
      <c r="KL885" s="239"/>
      <c r="KM885" s="239"/>
      <c r="KN885" s="239"/>
      <c r="KO885" s="239"/>
      <c r="KP885" s="239"/>
      <c r="KQ885" s="239"/>
      <c r="KR885" s="239"/>
      <c r="KS885" s="239"/>
      <c r="KT885" s="239"/>
      <c r="KU885" s="239"/>
      <c r="KV885" s="239"/>
      <c r="KW885" s="239"/>
      <c r="KX885" s="239"/>
      <c r="KY885" s="239"/>
      <c r="KZ885" s="239"/>
      <c r="LA885" s="239"/>
      <c r="LB885" s="239"/>
      <c r="LC885" s="239"/>
      <c r="LD885" s="239"/>
      <c r="LE885" s="239"/>
      <c r="LF885" s="239"/>
      <c r="LG885" s="239"/>
      <c r="LH885" s="239"/>
      <c r="LI885" s="239"/>
      <c r="LJ885" s="239"/>
      <c r="LK885" s="239"/>
      <c r="LL885" s="239"/>
      <c r="LM885" s="239"/>
      <c r="LN885" s="239"/>
      <c r="LO885" s="239"/>
      <c r="LP885" s="239"/>
      <c r="LQ885" s="239"/>
      <c r="LR885" s="239"/>
      <c r="LS885" s="239"/>
      <c r="LT885" s="239"/>
      <c r="LU885" s="239"/>
      <c r="LV885" s="239"/>
      <c r="LW885" s="239"/>
      <c r="LX885" s="239"/>
      <c r="LY885" s="239"/>
      <c r="LZ885" s="239"/>
      <c r="MA885" s="239"/>
      <c r="MB885" s="239"/>
      <c r="MC885" s="239"/>
      <c r="MD885" s="239"/>
      <c r="ME885" s="239"/>
      <c r="MF885" s="239"/>
      <c r="MG885" s="239"/>
      <c r="MH885" s="239"/>
      <c r="MI885" s="239"/>
      <c r="MJ885" s="239"/>
      <c r="MK885" s="239"/>
      <c r="ML885" s="239"/>
      <c r="MM885" s="239"/>
      <c r="MN885" s="239"/>
      <c r="MO885" s="239"/>
      <c r="MP885" s="239"/>
      <c r="MQ885" s="239"/>
      <c r="MR885" s="239"/>
      <c r="MS885" s="239"/>
      <c r="MT885" s="239"/>
      <c r="MU885" s="239"/>
      <c r="MV885" s="239"/>
      <c r="MW885" s="239"/>
      <c r="MX885" s="239"/>
      <c r="MY885" s="239"/>
      <c r="MZ885" s="239"/>
      <c r="NA885" s="239"/>
      <c r="NB885" s="239"/>
      <c r="NC885" s="239"/>
      <c r="ND885" s="239"/>
      <c r="NE885" s="239"/>
      <c r="NF885" s="239"/>
      <c r="NG885" s="239"/>
      <c r="NH885" s="239"/>
      <c r="NI885" s="239"/>
      <c r="NJ885" s="239"/>
      <c r="NK885" s="239"/>
      <c r="NL885" s="239"/>
      <c r="NM885" s="239"/>
      <c r="NN885" s="239"/>
      <c r="NO885" s="239"/>
      <c r="NP885" s="239"/>
      <c r="NQ885" s="239"/>
      <c r="NR885" s="239"/>
      <c r="NS885" s="239"/>
      <c r="NT885" s="239"/>
      <c r="NU885" s="239"/>
      <c r="NV885" s="239"/>
      <c r="NW885" s="239"/>
      <c r="NX885" s="239"/>
      <c r="NY885" s="239"/>
      <c r="NZ885" s="239"/>
      <c r="OA885" s="239"/>
      <c r="OB885" s="239"/>
      <c r="OC885" s="239"/>
      <c r="OD885" s="239"/>
      <c r="OE885" s="239"/>
      <c r="OF885" s="239"/>
      <c r="OG885" s="239"/>
      <c r="OH885" s="239"/>
      <c r="OI885" s="239"/>
      <c r="OJ885" s="239"/>
      <c r="OK885" s="239"/>
      <c r="OL885" s="239"/>
      <c r="OM885" s="239"/>
      <c r="ON885" s="239"/>
      <c r="OO885" s="239"/>
      <c r="OP885" s="239"/>
      <c r="OQ885" s="239"/>
      <c r="OR885" s="239"/>
      <c r="OS885" s="239"/>
      <c r="OT885" s="239"/>
      <c r="OU885" s="239"/>
      <c r="OV885" s="239"/>
      <c r="OW885" s="239"/>
      <c r="OX885" s="239"/>
      <c r="OY885" s="239"/>
      <c r="OZ885" s="239"/>
      <c r="PA885" s="239"/>
      <c r="PB885" s="239"/>
      <c r="PC885" s="239"/>
      <c r="PD885" s="239"/>
      <c r="PE885" s="239"/>
      <c r="PF885" s="239"/>
      <c r="PG885" s="239"/>
      <c r="PH885" s="239"/>
      <c r="PI885" s="239"/>
      <c r="PJ885" s="239"/>
      <c r="PK885" s="239"/>
      <c r="PL885" s="239"/>
      <c r="PM885" s="239"/>
      <c r="PN885" s="239"/>
      <c r="PO885" s="239"/>
      <c r="PP885" s="239"/>
      <c r="PQ885" s="239"/>
      <c r="PR885" s="239"/>
      <c r="PS885" s="239"/>
      <c r="PT885" s="239"/>
      <c r="PU885" s="239"/>
      <c r="PV885" s="239"/>
      <c r="PW885" s="239"/>
      <c r="PX885" s="239"/>
      <c r="PY885" s="239"/>
      <c r="PZ885" s="239"/>
      <c r="QA885" s="239"/>
      <c r="QB885" s="239"/>
      <c r="QC885" s="239"/>
      <c r="QD885" s="239"/>
      <c r="QE885" s="239"/>
      <c r="QF885" s="239"/>
      <c r="QG885" s="239"/>
      <c r="QH885" s="239"/>
      <c r="QI885" s="239"/>
      <c r="QJ885" s="239"/>
      <c r="QK885" s="239"/>
      <c r="QL885" s="239"/>
      <c r="QM885" s="239"/>
      <c r="QN885" s="239"/>
      <c r="QO885" s="239"/>
      <c r="QP885" s="239"/>
      <c r="QQ885" s="239"/>
      <c r="QR885" s="239"/>
      <c r="QS885" s="239"/>
      <c r="QT885" s="239"/>
      <c r="QU885" s="239"/>
      <c r="QV885" s="239"/>
      <c r="QW885" s="239"/>
      <c r="QX885" s="239"/>
      <c r="QY885" s="239"/>
      <c r="QZ885" s="239"/>
      <c r="RA885" s="239"/>
      <c r="RB885" s="239"/>
      <c r="RC885" s="239"/>
      <c r="RD885" s="239"/>
      <c r="RE885" s="239"/>
      <c r="RF885" s="239"/>
      <c r="RG885" s="239"/>
      <c r="RH885" s="239"/>
      <c r="RI885" s="239"/>
      <c r="RJ885" s="239"/>
      <c r="RK885" s="239"/>
      <c r="RL885" s="239"/>
      <c r="RM885" s="239"/>
      <c r="RN885" s="239"/>
      <c r="RO885" s="239"/>
      <c r="RP885" s="239"/>
      <c r="RQ885" s="239"/>
      <c r="RR885" s="239"/>
      <c r="RS885" s="239"/>
      <c r="RT885" s="239"/>
      <c r="RU885" s="239"/>
      <c r="RV885" s="239"/>
      <c r="RW885" s="239"/>
      <c r="RX885" s="239"/>
      <c r="RY885" s="239"/>
      <c r="RZ885" s="239"/>
      <c r="SA885" s="239"/>
      <c r="SB885" s="239"/>
      <c r="SC885" s="239"/>
      <c r="SD885" s="239"/>
      <c r="SE885" s="239"/>
      <c r="SF885" s="239"/>
      <c r="SG885" s="239"/>
      <c r="SH885" s="239"/>
      <c r="SI885" s="239"/>
      <c r="SJ885" s="239"/>
      <c r="SK885" s="239"/>
      <c r="SL885" s="239"/>
      <c r="SM885" s="239"/>
      <c r="SN885" s="239"/>
      <c r="SO885" s="239"/>
      <c r="SP885" s="239"/>
      <c r="SQ885" s="239"/>
      <c r="SR885" s="239"/>
      <c r="SS885" s="239"/>
      <c r="ST885" s="239"/>
      <c r="SU885" s="239"/>
      <c r="SV885" s="239"/>
      <c r="SW885" s="239"/>
      <c r="SX885" s="239"/>
      <c r="SY885" s="239"/>
      <c r="SZ885" s="239"/>
      <c r="TA885" s="239"/>
      <c r="TB885" s="239"/>
      <c r="TC885" s="239"/>
      <c r="TD885" s="239"/>
      <c r="TE885" s="239"/>
      <c r="TF885" s="239"/>
      <c r="TG885" s="239"/>
      <c r="TH885" s="239"/>
      <c r="TI885" s="239"/>
      <c r="TJ885" s="239"/>
      <c r="TK885" s="239"/>
      <c r="TL885" s="239"/>
      <c r="TM885" s="239"/>
      <c r="TN885" s="239"/>
      <c r="TO885" s="239"/>
      <c r="TP885" s="239"/>
      <c r="TQ885" s="239"/>
      <c r="TR885" s="239"/>
      <c r="TS885" s="239"/>
      <c r="TT885" s="239"/>
      <c r="TU885" s="239"/>
      <c r="TV885" s="239"/>
      <c r="TW885" s="239"/>
      <c r="TX885" s="239"/>
      <c r="TY885" s="239"/>
      <c r="TZ885" s="239"/>
      <c r="UA885" s="239"/>
      <c r="UB885" s="239"/>
      <c r="UC885" s="239"/>
      <c r="UD885" s="239"/>
      <c r="UE885" s="239"/>
      <c r="UF885" s="239"/>
      <c r="UG885" s="240"/>
    </row>
    <row r="886" spans="1:553" s="236" customFormat="1" ht="132.75" customHeight="1">
      <c r="A886" s="356"/>
      <c r="B886" s="835"/>
      <c r="C886" s="1227" t="s">
        <v>938</v>
      </c>
      <c r="D886" s="470">
        <f t="shared" ref="D886:E886" si="130">D885</f>
        <v>1</v>
      </c>
      <c r="E886" s="470">
        <f t="shared" si="130"/>
        <v>344</v>
      </c>
      <c r="F886" s="1230"/>
      <c r="G886" s="501" t="s">
        <v>935</v>
      </c>
      <c r="H886" s="502"/>
      <c r="I886" s="423">
        <f>I885</f>
        <v>113.9</v>
      </c>
      <c r="J886" s="993">
        <f>(72000*3)-(62000*2.5)</f>
        <v>61000</v>
      </c>
      <c r="K886" s="435"/>
      <c r="L886" s="679">
        <f t="shared" si="129"/>
        <v>6947900</v>
      </c>
      <c r="M886" s="425"/>
      <c r="N886" s="356"/>
      <c r="O886" s="356"/>
      <c r="P886" s="356"/>
      <c r="Q886" s="610"/>
      <c r="R886" s="1226"/>
      <c r="S886" s="308"/>
      <c r="T886" s="308"/>
      <c r="U886" s="308"/>
      <c r="V886" s="308"/>
      <c r="W886" s="308"/>
      <c r="X886" s="308"/>
      <c r="Y886" s="308"/>
      <c r="Z886" s="604"/>
      <c r="AA886" s="308"/>
      <c r="AB886" s="308"/>
      <c r="AC886" s="449"/>
      <c r="AD886" s="449"/>
      <c r="AE886" s="449"/>
      <c r="AF886" s="449"/>
      <c r="AG886" s="449"/>
      <c r="AH886" s="449"/>
      <c r="AI886" s="449"/>
      <c r="AJ886" s="449"/>
      <c r="AK886" s="452"/>
      <c r="AL886" s="242"/>
      <c r="AM886" s="241"/>
      <c r="AN886" s="241"/>
      <c r="AO886" s="241"/>
      <c r="AP886" s="241"/>
      <c r="AQ886" s="241"/>
      <c r="AR886" s="241"/>
      <c r="AS886" s="238"/>
      <c r="AT886" s="238"/>
      <c r="AU886" s="238"/>
      <c r="AV886" s="238"/>
      <c r="AW886" s="238"/>
      <c r="AX886" s="238"/>
      <c r="AY886" s="238"/>
      <c r="AZ886" s="238"/>
      <c r="BA886" s="238"/>
      <c r="BB886" s="238"/>
      <c r="BC886" s="238"/>
      <c r="BD886" s="238"/>
      <c r="BE886" s="238"/>
      <c r="BF886" s="238"/>
      <c r="BG886" s="238"/>
      <c r="BH886" s="238"/>
      <c r="BI886" s="238"/>
      <c r="BJ886" s="238"/>
      <c r="BK886" s="238"/>
      <c r="BL886" s="238"/>
      <c r="BM886" s="238"/>
      <c r="BN886" s="238"/>
      <c r="BO886" s="238"/>
      <c r="BP886" s="239"/>
      <c r="BQ886" s="239"/>
      <c r="BR886" s="239"/>
      <c r="BS886" s="239"/>
      <c r="BT886" s="239"/>
      <c r="BU886" s="239"/>
      <c r="BV886" s="239"/>
      <c r="BW886" s="239"/>
      <c r="BX886" s="239"/>
      <c r="BY886" s="239"/>
      <c r="BZ886" s="239"/>
      <c r="CA886" s="239"/>
      <c r="CB886" s="239"/>
      <c r="CC886" s="239"/>
      <c r="CD886" s="239"/>
      <c r="CE886" s="239"/>
      <c r="CF886" s="239"/>
      <c r="CG886" s="239"/>
      <c r="CH886" s="239"/>
      <c r="CI886" s="239"/>
      <c r="CJ886" s="239"/>
      <c r="CK886" s="239"/>
      <c r="CL886" s="239"/>
      <c r="CM886" s="239"/>
      <c r="CN886" s="239"/>
      <c r="CO886" s="239"/>
      <c r="CP886" s="239"/>
      <c r="CQ886" s="239"/>
      <c r="CR886" s="239"/>
      <c r="CS886" s="239"/>
      <c r="CT886" s="239"/>
      <c r="CU886" s="239"/>
      <c r="CV886" s="239"/>
      <c r="CW886" s="239"/>
      <c r="CX886" s="239"/>
      <c r="CY886" s="239"/>
      <c r="CZ886" s="239"/>
      <c r="DA886" s="239"/>
      <c r="DB886" s="239"/>
      <c r="DC886" s="239"/>
      <c r="DD886" s="239"/>
      <c r="DE886" s="239"/>
      <c r="DF886" s="239"/>
      <c r="DG886" s="239"/>
      <c r="DH886" s="239"/>
      <c r="DI886" s="239"/>
      <c r="DJ886" s="239"/>
      <c r="DK886" s="239"/>
      <c r="DL886" s="239"/>
      <c r="DM886" s="239"/>
      <c r="DN886" s="239"/>
      <c r="DO886" s="239"/>
      <c r="DP886" s="239"/>
      <c r="DQ886" s="239"/>
      <c r="DR886" s="239"/>
      <c r="DS886" s="239"/>
      <c r="DT886" s="239"/>
      <c r="DU886" s="239"/>
      <c r="DV886" s="239"/>
      <c r="DW886" s="239"/>
      <c r="DX886" s="239"/>
      <c r="DY886" s="239"/>
      <c r="DZ886" s="239"/>
      <c r="EA886" s="239"/>
      <c r="EB886" s="239"/>
      <c r="EC886" s="239"/>
      <c r="ED886" s="239"/>
      <c r="EE886" s="239"/>
      <c r="EF886" s="239"/>
      <c r="EG886" s="239"/>
      <c r="EH886" s="239"/>
      <c r="EI886" s="239"/>
      <c r="EJ886" s="239"/>
      <c r="EK886" s="239"/>
      <c r="EL886" s="239"/>
      <c r="EM886" s="239"/>
      <c r="EN886" s="239"/>
      <c r="EO886" s="239"/>
      <c r="EP886" s="239"/>
      <c r="EQ886" s="239"/>
      <c r="ER886" s="239"/>
      <c r="ES886" s="239"/>
      <c r="ET886" s="239"/>
      <c r="EU886" s="239"/>
      <c r="EV886" s="239"/>
      <c r="EW886" s="239"/>
      <c r="EX886" s="239"/>
      <c r="EY886" s="239"/>
      <c r="EZ886" s="239"/>
      <c r="FA886" s="239"/>
      <c r="FB886" s="239"/>
      <c r="FC886" s="239"/>
      <c r="FD886" s="239"/>
      <c r="FE886" s="239"/>
      <c r="FF886" s="239"/>
      <c r="FG886" s="239"/>
      <c r="FH886" s="239"/>
      <c r="FI886" s="239"/>
      <c r="FJ886" s="239"/>
      <c r="FK886" s="239"/>
      <c r="FL886" s="239"/>
      <c r="FM886" s="239"/>
      <c r="FN886" s="239"/>
      <c r="FO886" s="239"/>
      <c r="FP886" s="239"/>
      <c r="FQ886" s="239"/>
      <c r="FR886" s="239"/>
      <c r="FS886" s="239"/>
      <c r="FT886" s="239"/>
      <c r="FU886" s="239"/>
      <c r="FV886" s="239"/>
      <c r="FW886" s="239"/>
      <c r="FX886" s="239"/>
      <c r="FY886" s="239"/>
      <c r="FZ886" s="239"/>
      <c r="GA886" s="239"/>
      <c r="GB886" s="239"/>
      <c r="GC886" s="239"/>
      <c r="GD886" s="239"/>
      <c r="GE886" s="239"/>
      <c r="GF886" s="239"/>
      <c r="GG886" s="239"/>
      <c r="GH886" s="239"/>
      <c r="GI886" s="239"/>
      <c r="GJ886" s="239"/>
      <c r="GK886" s="239"/>
      <c r="GL886" s="239"/>
      <c r="GM886" s="239"/>
      <c r="GN886" s="239"/>
      <c r="GO886" s="239"/>
      <c r="GP886" s="239"/>
      <c r="GQ886" s="239"/>
      <c r="GR886" s="239"/>
      <c r="GS886" s="239"/>
      <c r="GT886" s="239"/>
      <c r="GU886" s="239"/>
      <c r="GV886" s="239"/>
      <c r="GW886" s="239"/>
      <c r="GX886" s="239"/>
      <c r="GY886" s="239"/>
      <c r="GZ886" s="239"/>
      <c r="HA886" s="239"/>
      <c r="HB886" s="239"/>
      <c r="HC886" s="239"/>
      <c r="HD886" s="239"/>
      <c r="HE886" s="239"/>
      <c r="HF886" s="239"/>
      <c r="HG886" s="239"/>
      <c r="HH886" s="239"/>
      <c r="HI886" s="239"/>
      <c r="HJ886" s="239"/>
      <c r="HK886" s="239"/>
      <c r="HL886" s="239"/>
      <c r="HM886" s="239"/>
      <c r="HN886" s="239"/>
      <c r="HO886" s="239"/>
      <c r="HP886" s="239"/>
      <c r="HQ886" s="239"/>
      <c r="HR886" s="239"/>
      <c r="HS886" s="239"/>
      <c r="HT886" s="239"/>
      <c r="HU886" s="239"/>
      <c r="HV886" s="239"/>
      <c r="HW886" s="239"/>
      <c r="HX886" s="239"/>
      <c r="HY886" s="239"/>
      <c r="HZ886" s="239"/>
      <c r="IA886" s="239"/>
      <c r="IB886" s="239"/>
      <c r="IC886" s="239"/>
      <c r="ID886" s="239"/>
      <c r="IE886" s="239"/>
      <c r="IF886" s="239"/>
      <c r="IG886" s="239"/>
      <c r="IH886" s="239"/>
      <c r="II886" s="239"/>
      <c r="IJ886" s="239"/>
      <c r="IK886" s="239"/>
      <c r="IL886" s="239"/>
      <c r="IM886" s="239"/>
      <c r="IN886" s="239"/>
      <c r="IO886" s="239"/>
      <c r="IP886" s="239"/>
      <c r="IQ886" s="239"/>
      <c r="IR886" s="239"/>
      <c r="IS886" s="239"/>
      <c r="IT886" s="239"/>
      <c r="IU886" s="239"/>
      <c r="IV886" s="239"/>
      <c r="IW886" s="239"/>
      <c r="IX886" s="239"/>
      <c r="IY886" s="239"/>
      <c r="IZ886" s="239"/>
      <c r="JA886" s="239"/>
      <c r="JB886" s="239"/>
      <c r="JC886" s="239"/>
      <c r="JD886" s="239"/>
      <c r="JE886" s="239"/>
      <c r="JF886" s="239"/>
      <c r="JG886" s="239"/>
      <c r="JH886" s="239"/>
      <c r="JI886" s="239"/>
      <c r="JJ886" s="239"/>
      <c r="JK886" s="239"/>
      <c r="JL886" s="239"/>
      <c r="JM886" s="239"/>
      <c r="JN886" s="239"/>
      <c r="JO886" s="239"/>
      <c r="JP886" s="239"/>
      <c r="JQ886" s="239"/>
      <c r="JR886" s="239"/>
      <c r="JS886" s="239"/>
      <c r="JT886" s="239"/>
      <c r="JU886" s="239"/>
      <c r="JV886" s="239"/>
      <c r="JW886" s="239"/>
      <c r="JX886" s="239"/>
      <c r="JY886" s="239"/>
      <c r="JZ886" s="239"/>
      <c r="KA886" s="239"/>
      <c r="KB886" s="239"/>
      <c r="KC886" s="239"/>
      <c r="KD886" s="239"/>
      <c r="KE886" s="239"/>
      <c r="KF886" s="239"/>
      <c r="KG886" s="239"/>
      <c r="KH886" s="239"/>
      <c r="KI886" s="239"/>
      <c r="KJ886" s="239"/>
      <c r="KK886" s="239"/>
      <c r="KL886" s="239"/>
      <c r="KM886" s="239"/>
      <c r="KN886" s="239"/>
      <c r="KO886" s="239"/>
      <c r="KP886" s="239"/>
      <c r="KQ886" s="239"/>
      <c r="KR886" s="239"/>
      <c r="KS886" s="239"/>
      <c r="KT886" s="239"/>
      <c r="KU886" s="239"/>
      <c r="KV886" s="239"/>
      <c r="KW886" s="239"/>
      <c r="KX886" s="239"/>
      <c r="KY886" s="239"/>
      <c r="KZ886" s="239"/>
      <c r="LA886" s="239"/>
      <c r="LB886" s="239"/>
      <c r="LC886" s="239"/>
      <c r="LD886" s="239"/>
      <c r="LE886" s="239"/>
      <c r="LF886" s="239"/>
      <c r="LG886" s="239"/>
      <c r="LH886" s="239"/>
      <c r="LI886" s="239"/>
      <c r="LJ886" s="239"/>
      <c r="LK886" s="239"/>
      <c r="LL886" s="239"/>
      <c r="LM886" s="239"/>
      <c r="LN886" s="239"/>
      <c r="LO886" s="239"/>
      <c r="LP886" s="239"/>
      <c r="LQ886" s="239"/>
      <c r="LR886" s="239"/>
      <c r="LS886" s="239"/>
      <c r="LT886" s="239"/>
      <c r="LU886" s="239"/>
      <c r="LV886" s="239"/>
      <c r="LW886" s="239"/>
      <c r="LX886" s="239"/>
      <c r="LY886" s="239"/>
      <c r="LZ886" s="239"/>
      <c r="MA886" s="239"/>
      <c r="MB886" s="239"/>
      <c r="MC886" s="239"/>
      <c r="MD886" s="239"/>
      <c r="ME886" s="239"/>
      <c r="MF886" s="239"/>
      <c r="MG886" s="239"/>
      <c r="MH886" s="239"/>
      <c r="MI886" s="239"/>
      <c r="MJ886" s="239"/>
      <c r="MK886" s="239"/>
      <c r="ML886" s="239"/>
      <c r="MM886" s="239"/>
      <c r="MN886" s="239"/>
      <c r="MO886" s="239"/>
      <c r="MP886" s="239"/>
      <c r="MQ886" s="239"/>
      <c r="MR886" s="239"/>
      <c r="MS886" s="239"/>
      <c r="MT886" s="239"/>
      <c r="MU886" s="239"/>
      <c r="MV886" s="239"/>
      <c r="MW886" s="239"/>
      <c r="MX886" s="239"/>
      <c r="MY886" s="239"/>
      <c r="MZ886" s="239"/>
      <c r="NA886" s="239"/>
      <c r="NB886" s="239"/>
      <c r="NC886" s="239"/>
      <c r="ND886" s="239"/>
      <c r="NE886" s="239"/>
      <c r="NF886" s="239"/>
      <c r="NG886" s="239"/>
      <c r="NH886" s="239"/>
      <c r="NI886" s="239"/>
      <c r="NJ886" s="239"/>
      <c r="NK886" s="239"/>
      <c r="NL886" s="239"/>
      <c r="NM886" s="239"/>
      <c r="NN886" s="239"/>
      <c r="NO886" s="239"/>
      <c r="NP886" s="239"/>
      <c r="NQ886" s="239"/>
      <c r="NR886" s="239"/>
      <c r="NS886" s="239"/>
      <c r="NT886" s="239"/>
      <c r="NU886" s="239"/>
      <c r="NV886" s="239"/>
      <c r="NW886" s="239"/>
      <c r="NX886" s="239"/>
      <c r="NY886" s="239"/>
      <c r="NZ886" s="239"/>
      <c r="OA886" s="239"/>
      <c r="OB886" s="239"/>
      <c r="OC886" s="239"/>
      <c r="OD886" s="239"/>
      <c r="OE886" s="239"/>
      <c r="OF886" s="239"/>
      <c r="OG886" s="239"/>
      <c r="OH886" s="239"/>
      <c r="OI886" s="239"/>
      <c r="OJ886" s="239"/>
      <c r="OK886" s="239"/>
      <c r="OL886" s="239"/>
      <c r="OM886" s="239"/>
      <c r="ON886" s="239"/>
      <c r="OO886" s="239"/>
      <c r="OP886" s="239"/>
      <c r="OQ886" s="239"/>
      <c r="OR886" s="239"/>
      <c r="OS886" s="239"/>
      <c r="OT886" s="239"/>
      <c r="OU886" s="239"/>
      <c r="OV886" s="239"/>
      <c r="OW886" s="239"/>
      <c r="OX886" s="239"/>
      <c r="OY886" s="239"/>
      <c r="OZ886" s="239"/>
      <c r="PA886" s="239"/>
      <c r="PB886" s="239"/>
      <c r="PC886" s="239"/>
      <c r="PD886" s="239"/>
      <c r="PE886" s="239"/>
      <c r="PF886" s="239"/>
      <c r="PG886" s="239"/>
      <c r="PH886" s="239"/>
      <c r="PI886" s="239"/>
      <c r="PJ886" s="239"/>
      <c r="PK886" s="239"/>
      <c r="PL886" s="239"/>
      <c r="PM886" s="239"/>
      <c r="PN886" s="239"/>
      <c r="PO886" s="239"/>
      <c r="PP886" s="239"/>
      <c r="PQ886" s="239"/>
      <c r="PR886" s="239"/>
      <c r="PS886" s="239"/>
      <c r="PT886" s="239"/>
      <c r="PU886" s="239"/>
      <c r="PV886" s="239"/>
      <c r="PW886" s="239"/>
      <c r="PX886" s="239"/>
      <c r="PY886" s="239"/>
      <c r="PZ886" s="239"/>
      <c r="QA886" s="239"/>
      <c r="QB886" s="239"/>
      <c r="QC886" s="239"/>
      <c r="QD886" s="239"/>
      <c r="QE886" s="239"/>
      <c r="QF886" s="239"/>
      <c r="QG886" s="239"/>
      <c r="QH886" s="239"/>
      <c r="QI886" s="239"/>
      <c r="QJ886" s="239"/>
      <c r="QK886" s="239"/>
      <c r="QL886" s="239"/>
      <c r="QM886" s="239"/>
      <c r="QN886" s="239"/>
      <c r="QO886" s="239"/>
      <c r="QP886" s="239"/>
      <c r="QQ886" s="239"/>
      <c r="QR886" s="239"/>
      <c r="QS886" s="239"/>
      <c r="QT886" s="239"/>
      <c r="QU886" s="239"/>
      <c r="QV886" s="239"/>
      <c r="QW886" s="239"/>
      <c r="QX886" s="239"/>
      <c r="QY886" s="239"/>
      <c r="QZ886" s="239"/>
      <c r="RA886" s="239"/>
      <c r="RB886" s="239"/>
      <c r="RC886" s="239"/>
      <c r="RD886" s="239"/>
      <c r="RE886" s="239"/>
      <c r="RF886" s="239"/>
      <c r="RG886" s="239"/>
      <c r="RH886" s="239"/>
      <c r="RI886" s="239"/>
      <c r="RJ886" s="239"/>
      <c r="RK886" s="239"/>
      <c r="RL886" s="239"/>
      <c r="RM886" s="239"/>
      <c r="RN886" s="239"/>
      <c r="RO886" s="239"/>
      <c r="RP886" s="239"/>
      <c r="RQ886" s="239"/>
      <c r="RR886" s="239"/>
      <c r="RS886" s="239"/>
      <c r="RT886" s="239"/>
      <c r="RU886" s="239"/>
      <c r="RV886" s="239"/>
      <c r="RW886" s="239"/>
      <c r="RX886" s="239"/>
      <c r="RY886" s="239"/>
      <c r="RZ886" s="239"/>
      <c r="SA886" s="239"/>
      <c r="SB886" s="239"/>
      <c r="SC886" s="239"/>
      <c r="SD886" s="239"/>
      <c r="SE886" s="239"/>
      <c r="SF886" s="239"/>
      <c r="SG886" s="239"/>
      <c r="SH886" s="239"/>
      <c r="SI886" s="239"/>
      <c r="SJ886" s="239"/>
      <c r="SK886" s="239"/>
      <c r="SL886" s="239"/>
      <c r="SM886" s="239"/>
      <c r="SN886" s="239"/>
      <c r="SO886" s="239"/>
      <c r="SP886" s="239"/>
      <c r="SQ886" s="239"/>
      <c r="SR886" s="239"/>
      <c r="SS886" s="239"/>
      <c r="ST886" s="239"/>
      <c r="SU886" s="239"/>
      <c r="SV886" s="239"/>
      <c r="SW886" s="239"/>
      <c r="SX886" s="239"/>
      <c r="SY886" s="239"/>
      <c r="SZ886" s="239"/>
      <c r="TA886" s="239"/>
      <c r="TB886" s="239"/>
      <c r="TC886" s="239"/>
      <c r="TD886" s="239"/>
      <c r="TE886" s="239"/>
      <c r="TF886" s="239"/>
      <c r="TG886" s="239"/>
      <c r="TH886" s="239"/>
      <c r="TI886" s="239"/>
      <c r="TJ886" s="239"/>
      <c r="TK886" s="239"/>
      <c r="TL886" s="239"/>
      <c r="TM886" s="239"/>
      <c r="TN886" s="239"/>
      <c r="TO886" s="239"/>
      <c r="TP886" s="239"/>
      <c r="TQ886" s="239"/>
      <c r="TR886" s="239"/>
      <c r="TS886" s="239"/>
      <c r="TT886" s="239"/>
      <c r="TU886" s="239"/>
      <c r="TV886" s="239"/>
      <c r="TW886" s="239"/>
      <c r="TX886" s="239"/>
      <c r="TY886" s="239"/>
      <c r="TZ886" s="239"/>
      <c r="UA886" s="239"/>
      <c r="UB886" s="239"/>
      <c r="UC886" s="239"/>
      <c r="UD886" s="239"/>
      <c r="UE886" s="239"/>
      <c r="UF886" s="239"/>
      <c r="UG886" s="240"/>
    </row>
    <row r="887" spans="1:553" s="236" customFormat="1" ht="132.75" customHeight="1">
      <c r="A887" s="356"/>
      <c r="B887" s="835"/>
      <c r="C887" s="1227" t="s">
        <v>937</v>
      </c>
      <c r="D887" s="470">
        <f t="shared" ref="D887:E887" si="131">D880</f>
        <v>1</v>
      </c>
      <c r="E887" s="470">
        <f t="shared" si="131"/>
        <v>414</v>
      </c>
      <c r="F887" s="1230"/>
      <c r="G887" s="501" t="s">
        <v>935</v>
      </c>
      <c r="H887" s="502"/>
      <c r="I887" s="423">
        <f>I880</f>
        <v>334.3</v>
      </c>
      <c r="J887" s="993">
        <f>62000-55000</f>
        <v>7000</v>
      </c>
      <c r="K887" s="435"/>
      <c r="L887" s="679">
        <f t="shared" si="129"/>
        <v>2340100</v>
      </c>
      <c r="M887" s="425"/>
      <c r="N887" s="356"/>
      <c r="O887" s="356"/>
      <c r="P887" s="356"/>
      <c r="Q887" s="610"/>
      <c r="R887" s="1226"/>
      <c r="S887" s="308"/>
      <c r="T887" s="308"/>
      <c r="U887" s="308"/>
      <c r="V887" s="308"/>
      <c r="W887" s="308"/>
      <c r="X887" s="308"/>
      <c r="Y887" s="308"/>
      <c r="Z887" s="604"/>
      <c r="AA887" s="308"/>
      <c r="AB887" s="308"/>
      <c r="AC887" s="449"/>
      <c r="AD887" s="449"/>
      <c r="AE887" s="449"/>
      <c r="AF887" s="449"/>
      <c r="AG887" s="449"/>
      <c r="AH887" s="449"/>
      <c r="AI887" s="449"/>
      <c r="AJ887" s="449"/>
      <c r="AK887" s="452"/>
      <c r="AL887" s="242"/>
      <c r="AM887" s="241"/>
      <c r="AN887" s="241"/>
      <c r="AO887" s="241"/>
      <c r="AP887" s="241"/>
      <c r="AQ887" s="241"/>
      <c r="AR887" s="241"/>
      <c r="AS887" s="238"/>
      <c r="AT887" s="238"/>
      <c r="AU887" s="238"/>
      <c r="AV887" s="238"/>
      <c r="AW887" s="238"/>
      <c r="AX887" s="238"/>
      <c r="AY887" s="238"/>
      <c r="AZ887" s="238"/>
      <c r="BA887" s="238"/>
      <c r="BB887" s="238"/>
      <c r="BC887" s="238"/>
      <c r="BD887" s="238"/>
      <c r="BE887" s="238"/>
      <c r="BF887" s="238"/>
      <c r="BG887" s="238"/>
      <c r="BH887" s="238"/>
      <c r="BI887" s="238"/>
      <c r="BJ887" s="238"/>
      <c r="BK887" s="238"/>
      <c r="BL887" s="238"/>
      <c r="BM887" s="238"/>
      <c r="BN887" s="238"/>
      <c r="BO887" s="238"/>
      <c r="BP887" s="239"/>
      <c r="BQ887" s="239"/>
      <c r="BR887" s="239"/>
      <c r="BS887" s="239"/>
      <c r="BT887" s="239"/>
      <c r="BU887" s="239"/>
      <c r="BV887" s="239"/>
      <c r="BW887" s="239"/>
      <c r="BX887" s="239"/>
      <c r="BY887" s="239"/>
      <c r="BZ887" s="239"/>
      <c r="CA887" s="239"/>
      <c r="CB887" s="239"/>
      <c r="CC887" s="239"/>
      <c r="CD887" s="239"/>
      <c r="CE887" s="239"/>
      <c r="CF887" s="239"/>
      <c r="CG887" s="239"/>
      <c r="CH887" s="239"/>
      <c r="CI887" s="239"/>
      <c r="CJ887" s="239"/>
      <c r="CK887" s="239"/>
      <c r="CL887" s="239"/>
      <c r="CM887" s="239"/>
      <c r="CN887" s="239"/>
      <c r="CO887" s="239"/>
      <c r="CP887" s="239"/>
      <c r="CQ887" s="239"/>
      <c r="CR887" s="239"/>
      <c r="CS887" s="239"/>
      <c r="CT887" s="239"/>
      <c r="CU887" s="239"/>
      <c r="CV887" s="239"/>
      <c r="CW887" s="239"/>
      <c r="CX887" s="239"/>
      <c r="CY887" s="239"/>
      <c r="CZ887" s="239"/>
      <c r="DA887" s="239"/>
      <c r="DB887" s="239"/>
      <c r="DC887" s="239"/>
      <c r="DD887" s="239"/>
      <c r="DE887" s="239"/>
      <c r="DF887" s="239"/>
      <c r="DG887" s="239"/>
      <c r="DH887" s="239"/>
      <c r="DI887" s="239"/>
      <c r="DJ887" s="239"/>
      <c r="DK887" s="239"/>
      <c r="DL887" s="239"/>
      <c r="DM887" s="239"/>
      <c r="DN887" s="239"/>
      <c r="DO887" s="239"/>
      <c r="DP887" s="239"/>
      <c r="DQ887" s="239"/>
      <c r="DR887" s="239"/>
      <c r="DS887" s="239"/>
      <c r="DT887" s="239"/>
      <c r="DU887" s="239"/>
      <c r="DV887" s="239"/>
      <c r="DW887" s="239"/>
      <c r="DX887" s="239"/>
      <c r="DY887" s="239"/>
      <c r="DZ887" s="239"/>
      <c r="EA887" s="239"/>
      <c r="EB887" s="239"/>
      <c r="EC887" s="239"/>
      <c r="ED887" s="239"/>
      <c r="EE887" s="239"/>
      <c r="EF887" s="239"/>
      <c r="EG887" s="239"/>
      <c r="EH887" s="239"/>
      <c r="EI887" s="239"/>
      <c r="EJ887" s="239"/>
      <c r="EK887" s="239"/>
      <c r="EL887" s="239"/>
      <c r="EM887" s="239"/>
      <c r="EN887" s="239"/>
      <c r="EO887" s="239"/>
      <c r="EP887" s="239"/>
      <c r="EQ887" s="239"/>
      <c r="ER887" s="239"/>
      <c r="ES887" s="239"/>
      <c r="ET887" s="239"/>
      <c r="EU887" s="239"/>
      <c r="EV887" s="239"/>
      <c r="EW887" s="239"/>
      <c r="EX887" s="239"/>
      <c r="EY887" s="239"/>
      <c r="EZ887" s="239"/>
      <c r="FA887" s="239"/>
      <c r="FB887" s="239"/>
      <c r="FC887" s="239"/>
      <c r="FD887" s="239"/>
      <c r="FE887" s="239"/>
      <c r="FF887" s="239"/>
      <c r="FG887" s="239"/>
      <c r="FH887" s="239"/>
      <c r="FI887" s="239"/>
      <c r="FJ887" s="239"/>
      <c r="FK887" s="239"/>
      <c r="FL887" s="239"/>
      <c r="FM887" s="239"/>
      <c r="FN887" s="239"/>
      <c r="FO887" s="239"/>
      <c r="FP887" s="239"/>
      <c r="FQ887" s="239"/>
      <c r="FR887" s="239"/>
      <c r="FS887" s="239"/>
      <c r="FT887" s="239"/>
      <c r="FU887" s="239"/>
      <c r="FV887" s="239"/>
      <c r="FW887" s="239"/>
      <c r="FX887" s="239"/>
      <c r="FY887" s="239"/>
      <c r="FZ887" s="239"/>
      <c r="GA887" s="239"/>
      <c r="GB887" s="239"/>
      <c r="GC887" s="239"/>
      <c r="GD887" s="239"/>
      <c r="GE887" s="239"/>
      <c r="GF887" s="239"/>
      <c r="GG887" s="239"/>
      <c r="GH887" s="239"/>
      <c r="GI887" s="239"/>
      <c r="GJ887" s="239"/>
      <c r="GK887" s="239"/>
      <c r="GL887" s="239"/>
      <c r="GM887" s="239"/>
      <c r="GN887" s="239"/>
      <c r="GO887" s="239"/>
      <c r="GP887" s="239"/>
      <c r="GQ887" s="239"/>
      <c r="GR887" s="239"/>
      <c r="GS887" s="239"/>
      <c r="GT887" s="239"/>
      <c r="GU887" s="239"/>
      <c r="GV887" s="239"/>
      <c r="GW887" s="239"/>
      <c r="GX887" s="239"/>
      <c r="GY887" s="239"/>
      <c r="GZ887" s="239"/>
      <c r="HA887" s="239"/>
      <c r="HB887" s="239"/>
      <c r="HC887" s="239"/>
      <c r="HD887" s="239"/>
      <c r="HE887" s="239"/>
      <c r="HF887" s="239"/>
      <c r="HG887" s="239"/>
      <c r="HH887" s="239"/>
      <c r="HI887" s="239"/>
      <c r="HJ887" s="239"/>
      <c r="HK887" s="239"/>
      <c r="HL887" s="239"/>
      <c r="HM887" s="239"/>
      <c r="HN887" s="239"/>
      <c r="HO887" s="239"/>
      <c r="HP887" s="239"/>
      <c r="HQ887" s="239"/>
      <c r="HR887" s="239"/>
      <c r="HS887" s="239"/>
      <c r="HT887" s="239"/>
      <c r="HU887" s="239"/>
      <c r="HV887" s="239"/>
      <c r="HW887" s="239"/>
      <c r="HX887" s="239"/>
      <c r="HY887" s="239"/>
      <c r="HZ887" s="239"/>
      <c r="IA887" s="239"/>
      <c r="IB887" s="239"/>
      <c r="IC887" s="239"/>
      <c r="ID887" s="239"/>
      <c r="IE887" s="239"/>
      <c r="IF887" s="239"/>
      <c r="IG887" s="239"/>
      <c r="IH887" s="239"/>
      <c r="II887" s="239"/>
      <c r="IJ887" s="239"/>
      <c r="IK887" s="239"/>
      <c r="IL887" s="239"/>
      <c r="IM887" s="239"/>
      <c r="IN887" s="239"/>
      <c r="IO887" s="239"/>
      <c r="IP887" s="239"/>
      <c r="IQ887" s="239"/>
      <c r="IR887" s="239"/>
      <c r="IS887" s="239"/>
      <c r="IT887" s="239"/>
      <c r="IU887" s="239"/>
      <c r="IV887" s="239"/>
      <c r="IW887" s="239"/>
      <c r="IX887" s="239"/>
      <c r="IY887" s="239"/>
      <c r="IZ887" s="239"/>
      <c r="JA887" s="239"/>
      <c r="JB887" s="239"/>
      <c r="JC887" s="239"/>
      <c r="JD887" s="239"/>
      <c r="JE887" s="239"/>
      <c r="JF887" s="239"/>
      <c r="JG887" s="239"/>
      <c r="JH887" s="239"/>
      <c r="JI887" s="239"/>
      <c r="JJ887" s="239"/>
      <c r="JK887" s="239"/>
      <c r="JL887" s="239"/>
      <c r="JM887" s="239"/>
      <c r="JN887" s="239"/>
      <c r="JO887" s="239"/>
      <c r="JP887" s="239"/>
      <c r="JQ887" s="239"/>
      <c r="JR887" s="239"/>
      <c r="JS887" s="239"/>
      <c r="JT887" s="239"/>
      <c r="JU887" s="239"/>
      <c r="JV887" s="239"/>
      <c r="JW887" s="239"/>
      <c r="JX887" s="239"/>
      <c r="JY887" s="239"/>
      <c r="JZ887" s="239"/>
      <c r="KA887" s="239"/>
      <c r="KB887" s="239"/>
      <c r="KC887" s="239"/>
      <c r="KD887" s="239"/>
      <c r="KE887" s="239"/>
      <c r="KF887" s="239"/>
      <c r="KG887" s="239"/>
      <c r="KH887" s="239"/>
      <c r="KI887" s="239"/>
      <c r="KJ887" s="239"/>
      <c r="KK887" s="239"/>
      <c r="KL887" s="239"/>
      <c r="KM887" s="239"/>
      <c r="KN887" s="239"/>
      <c r="KO887" s="239"/>
      <c r="KP887" s="239"/>
      <c r="KQ887" s="239"/>
      <c r="KR887" s="239"/>
      <c r="KS887" s="239"/>
      <c r="KT887" s="239"/>
      <c r="KU887" s="239"/>
      <c r="KV887" s="239"/>
      <c r="KW887" s="239"/>
      <c r="KX887" s="239"/>
      <c r="KY887" s="239"/>
      <c r="KZ887" s="239"/>
      <c r="LA887" s="239"/>
      <c r="LB887" s="239"/>
      <c r="LC887" s="239"/>
      <c r="LD887" s="239"/>
      <c r="LE887" s="239"/>
      <c r="LF887" s="239"/>
      <c r="LG887" s="239"/>
      <c r="LH887" s="239"/>
      <c r="LI887" s="239"/>
      <c r="LJ887" s="239"/>
      <c r="LK887" s="239"/>
      <c r="LL887" s="239"/>
      <c r="LM887" s="239"/>
      <c r="LN887" s="239"/>
      <c r="LO887" s="239"/>
      <c r="LP887" s="239"/>
      <c r="LQ887" s="239"/>
      <c r="LR887" s="239"/>
      <c r="LS887" s="239"/>
      <c r="LT887" s="239"/>
      <c r="LU887" s="239"/>
      <c r="LV887" s="239"/>
      <c r="LW887" s="239"/>
      <c r="LX887" s="239"/>
      <c r="LY887" s="239"/>
      <c r="LZ887" s="239"/>
      <c r="MA887" s="239"/>
      <c r="MB887" s="239"/>
      <c r="MC887" s="239"/>
      <c r="MD887" s="239"/>
      <c r="ME887" s="239"/>
      <c r="MF887" s="239"/>
      <c r="MG887" s="239"/>
      <c r="MH887" s="239"/>
      <c r="MI887" s="239"/>
      <c r="MJ887" s="239"/>
      <c r="MK887" s="239"/>
      <c r="ML887" s="239"/>
      <c r="MM887" s="239"/>
      <c r="MN887" s="239"/>
      <c r="MO887" s="239"/>
      <c r="MP887" s="239"/>
      <c r="MQ887" s="239"/>
      <c r="MR887" s="239"/>
      <c r="MS887" s="239"/>
      <c r="MT887" s="239"/>
      <c r="MU887" s="239"/>
      <c r="MV887" s="239"/>
      <c r="MW887" s="239"/>
      <c r="MX887" s="239"/>
      <c r="MY887" s="239"/>
      <c r="MZ887" s="239"/>
      <c r="NA887" s="239"/>
      <c r="NB887" s="239"/>
      <c r="NC887" s="239"/>
      <c r="ND887" s="239"/>
      <c r="NE887" s="239"/>
      <c r="NF887" s="239"/>
      <c r="NG887" s="239"/>
      <c r="NH887" s="239"/>
      <c r="NI887" s="239"/>
      <c r="NJ887" s="239"/>
      <c r="NK887" s="239"/>
      <c r="NL887" s="239"/>
      <c r="NM887" s="239"/>
      <c r="NN887" s="239"/>
      <c r="NO887" s="239"/>
      <c r="NP887" s="239"/>
      <c r="NQ887" s="239"/>
      <c r="NR887" s="239"/>
      <c r="NS887" s="239"/>
      <c r="NT887" s="239"/>
      <c r="NU887" s="239"/>
      <c r="NV887" s="239"/>
      <c r="NW887" s="239"/>
      <c r="NX887" s="239"/>
      <c r="NY887" s="239"/>
      <c r="NZ887" s="239"/>
      <c r="OA887" s="239"/>
      <c r="OB887" s="239"/>
      <c r="OC887" s="239"/>
      <c r="OD887" s="239"/>
      <c r="OE887" s="239"/>
      <c r="OF887" s="239"/>
      <c r="OG887" s="239"/>
      <c r="OH887" s="239"/>
      <c r="OI887" s="239"/>
      <c r="OJ887" s="239"/>
      <c r="OK887" s="239"/>
      <c r="OL887" s="239"/>
      <c r="OM887" s="239"/>
      <c r="ON887" s="239"/>
      <c r="OO887" s="239"/>
      <c r="OP887" s="239"/>
      <c r="OQ887" s="239"/>
      <c r="OR887" s="239"/>
      <c r="OS887" s="239"/>
      <c r="OT887" s="239"/>
      <c r="OU887" s="239"/>
      <c r="OV887" s="239"/>
      <c r="OW887" s="239"/>
      <c r="OX887" s="239"/>
      <c r="OY887" s="239"/>
      <c r="OZ887" s="239"/>
      <c r="PA887" s="239"/>
      <c r="PB887" s="239"/>
      <c r="PC887" s="239"/>
      <c r="PD887" s="239"/>
      <c r="PE887" s="239"/>
      <c r="PF887" s="239"/>
      <c r="PG887" s="239"/>
      <c r="PH887" s="239"/>
      <c r="PI887" s="239"/>
      <c r="PJ887" s="239"/>
      <c r="PK887" s="239"/>
      <c r="PL887" s="239"/>
      <c r="PM887" s="239"/>
      <c r="PN887" s="239"/>
      <c r="PO887" s="239"/>
      <c r="PP887" s="239"/>
      <c r="PQ887" s="239"/>
      <c r="PR887" s="239"/>
      <c r="PS887" s="239"/>
      <c r="PT887" s="239"/>
      <c r="PU887" s="239"/>
      <c r="PV887" s="239"/>
      <c r="PW887" s="239"/>
      <c r="PX887" s="239"/>
      <c r="PY887" s="239"/>
      <c r="PZ887" s="239"/>
      <c r="QA887" s="239"/>
      <c r="QB887" s="239"/>
      <c r="QC887" s="239"/>
      <c r="QD887" s="239"/>
      <c r="QE887" s="239"/>
      <c r="QF887" s="239"/>
      <c r="QG887" s="239"/>
      <c r="QH887" s="239"/>
      <c r="QI887" s="239"/>
      <c r="QJ887" s="239"/>
      <c r="QK887" s="239"/>
      <c r="QL887" s="239"/>
      <c r="QM887" s="239"/>
      <c r="QN887" s="239"/>
      <c r="QO887" s="239"/>
      <c r="QP887" s="239"/>
      <c r="QQ887" s="239"/>
      <c r="QR887" s="239"/>
      <c r="QS887" s="239"/>
      <c r="QT887" s="239"/>
      <c r="QU887" s="239"/>
      <c r="QV887" s="239"/>
      <c r="QW887" s="239"/>
      <c r="QX887" s="239"/>
      <c r="QY887" s="239"/>
      <c r="QZ887" s="239"/>
      <c r="RA887" s="239"/>
      <c r="RB887" s="239"/>
      <c r="RC887" s="239"/>
      <c r="RD887" s="239"/>
      <c r="RE887" s="239"/>
      <c r="RF887" s="239"/>
      <c r="RG887" s="239"/>
      <c r="RH887" s="239"/>
      <c r="RI887" s="239"/>
      <c r="RJ887" s="239"/>
      <c r="RK887" s="239"/>
      <c r="RL887" s="239"/>
      <c r="RM887" s="239"/>
      <c r="RN887" s="239"/>
      <c r="RO887" s="239"/>
      <c r="RP887" s="239"/>
      <c r="RQ887" s="239"/>
      <c r="RR887" s="239"/>
      <c r="RS887" s="239"/>
      <c r="RT887" s="239"/>
      <c r="RU887" s="239"/>
      <c r="RV887" s="239"/>
      <c r="RW887" s="239"/>
      <c r="RX887" s="239"/>
      <c r="RY887" s="239"/>
      <c r="RZ887" s="239"/>
      <c r="SA887" s="239"/>
      <c r="SB887" s="239"/>
      <c r="SC887" s="239"/>
      <c r="SD887" s="239"/>
      <c r="SE887" s="239"/>
      <c r="SF887" s="239"/>
      <c r="SG887" s="239"/>
      <c r="SH887" s="239"/>
      <c r="SI887" s="239"/>
      <c r="SJ887" s="239"/>
      <c r="SK887" s="239"/>
      <c r="SL887" s="239"/>
      <c r="SM887" s="239"/>
      <c r="SN887" s="239"/>
      <c r="SO887" s="239"/>
      <c r="SP887" s="239"/>
      <c r="SQ887" s="239"/>
      <c r="SR887" s="239"/>
      <c r="SS887" s="239"/>
      <c r="ST887" s="239"/>
      <c r="SU887" s="239"/>
      <c r="SV887" s="239"/>
      <c r="SW887" s="239"/>
      <c r="SX887" s="239"/>
      <c r="SY887" s="239"/>
      <c r="SZ887" s="239"/>
      <c r="TA887" s="239"/>
      <c r="TB887" s="239"/>
      <c r="TC887" s="239"/>
      <c r="TD887" s="239"/>
      <c r="TE887" s="239"/>
      <c r="TF887" s="239"/>
      <c r="TG887" s="239"/>
      <c r="TH887" s="239"/>
      <c r="TI887" s="239"/>
      <c r="TJ887" s="239"/>
      <c r="TK887" s="239"/>
      <c r="TL887" s="239"/>
      <c r="TM887" s="239"/>
      <c r="TN887" s="239"/>
      <c r="TO887" s="239"/>
      <c r="TP887" s="239"/>
      <c r="TQ887" s="239"/>
      <c r="TR887" s="239"/>
      <c r="TS887" s="239"/>
      <c r="TT887" s="239"/>
      <c r="TU887" s="239"/>
      <c r="TV887" s="239"/>
      <c r="TW887" s="239"/>
      <c r="TX887" s="239"/>
      <c r="TY887" s="239"/>
      <c r="TZ887" s="239"/>
      <c r="UA887" s="239"/>
      <c r="UB887" s="239"/>
      <c r="UC887" s="239"/>
      <c r="UD887" s="239"/>
      <c r="UE887" s="239"/>
      <c r="UF887" s="239"/>
      <c r="UG887" s="240"/>
    </row>
    <row r="888" spans="1:553" s="236" customFormat="1" ht="132.75" customHeight="1">
      <c r="A888" s="356"/>
      <c r="B888" s="835"/>
      <c r="C888" s="1227" t="s">
        <v>936</v>
      </c>
      <c r="D888" s="470">
        <f t="shared" ref="D888:E888" si="132">D887</f>
        <v>1</v>
      </c>
      <c r="E888" s="470">
        <f t="shared" si="132"/>
        <v>414</v>
      </c>
      <c r="F888" s="1230"/>
      <c r="G888" s="501" t="s">
        <v>935</v>
      </c>
      <c r="H888" s="502"/>
      <c r="I888" s="423">
        <f>I887</f>
        <v>334.3</v>
      </c>
      <c r="J888" s="993">
        <f>(72000*3)-(62000*2.5)</f>
        <v>61000</v>
      </c>
      <c r="K888" s="435"/>
      <c r="L888" s="679">
        <f>I888*J888</f>
        <v>20392300</v>
      </c>
      <c r="M888" s="425"/>
      <c r="N888" s="356"/>
      <c r="O888" s="356"/>
      <c r="P888" s="356"/>
      <c r="Q888" s="610"/>
      <c r="R888" s="1226"/>
      <c r="S888" s="308"/>
      <c r="T888" s="308"/>
      <c r="U888" s="308"/>
      <c r="V888" s="308"/>
      <c r="W888" s="308"/>
      <c r="X888" s="308"/>
      <c r="Y888" s="308"/>
      <c r="Z888" s="604"/>
      <c r="AA888" s="308"/>
      <c r="AB888" s="308"/>
      <c r="AC888" s="449"/>
      <c r="AD888" s="449"/>
      <c r="AE888" s="449"/>
      <c r="AF888" s="449"/>
      <c r="AG888" s="449"/>
      <c r="AH888" s="449"/>
      <c r="AI888" s="449"/>
      <c r="AJ888" s="449"/>
      <c r="AK888" s="452"/>
      <c r="AL888" s="242"/>
      <c r="AM888" s="241"/>
      <c r="AN888" s="241"/>
      <c r="AO888" s="241"/>
      <c r="AP888" s="241"/>
      <c r="AQ888" s="241"/>
      <c r="AR888" s="241"/>
      <c r="AS888" s="238"/>
      <c r="AT888" s="238"/>
      <c r="AU888" s="238"/>
      <c r="AV888" s="238"/>
      <c r="AW888" s="238"/>
      <c r="AX888" s="238"/>
      <c r="AY888" s="238"/>
      <c r="AZ888" s="238"/>
      <c r="BA888" s="238"/>
      <c r="BB888" s="238"/>
      <c r="BC888" s="238"/>
      <c r="BD888" s="238"/>
      <c r="BE888" s="238"/>
      <c r="BF888" s="238"/>
      <c r="BG888" s="238"/>
      <c r="BH888" s="238"/>
      <c r="BI888" s="238"/>
      <c r="BJ888" s="238"/>
      <c r="BK888" s="238"/>
      <c r="BL888" s="238"/>
      <c r="BM888" s="238"/>
      <c r="BN888" s="238"/>
      <c r="BO888" s="238"/>
      <c r="BP888" s="239"/>
      <c r="BQ888" s="239"/>
      <c r="BR888" s="239"/>
      <c r="BS888" s="239"/>
      <c r="BT888" s="239"/>
      <c r="BU888" s="239"/>
      <c r="BV888" s="239"/>
      <c r="BW888" s="239"/>
      <c r="BX888" s="239"/>
      <c r="BY888" s="239"/>
      <c r="BZ888" s="239"/>
      <c r="CA888" s="239"/>
      <c r="CB888" s="239"/>
      <c r="CC888" s="239"/>
      <c r="CD888" s="239"/>
      <c r="CE888" s="239"/>
      <c r="CF888" s="239"/>
      <c r="CG888" s="239"/>
      <c r="CH888" s="239"/>
      <c r="CI888" s="239"/>
      <c r="CJ888" s="239"/>
      <c r="CK888" s="239"/>
      <c r="CL888" s="239"/>
      <c r="CM888" s="239"/>
      <c r="CN888" s="239"/>
      <c r="CO888" s="239"/>
      <c r="CP888" s="239"/>
      <c r="CQ888" s="239"/>
      <c r="CR888" s="239"/>
      <c r="CS888" s="239"/>
      <c r="CT888" s="239"/>
      <c r="CU888" s="239"/>
      <c r="CV888" s="239"/>
      <c r="CW888" s="239"/>
      <c r="CX888" s="239"/>
      <c r="CY888" s="239"/>
      <c r="CZ888" s="239"/>
      <c r="DA888" s="239"/>
      <c r="DB888" s="239"/>
      <c r="DC888" s="239"/>
      <c r="DD888" s="239"/>
      <c r="DE888" s="239"/>
      <c r="DF888" s="239"/>
      <c r="DG888" s="239"/>
      <c r="DH888" s="239"/>
      <c r="DI888" s="239"/>
      <c r="DJ888" s="239"/>
      <c r="DK888" s="239"/>
      <c r="DL888" s="239"/>
      <c r="DM888" s="239"/>
      <c r="DN888" s="239"/>
      <c r="DO888" s="239"/>
      <c r="DP888" s="239"/>
      <c r="DQ888" s="239"/>
      <c r="DR888" s="239"/>
      <c r="DS888" s="239"/>
      <c r="DT888" s="239"/>
      <c r="DU888" s="239"/>
      <c r="DV888" s="239"/>
      <c r="DW888" s="239"/>
      <c r="DX888" s="239"/>
      <c r="DY888" s="239"/>
      <c r="DZ888" s="239"/>
      <c r="EA888" s="239"/>
      <c r="EB888" s="239"/>
      <c r="EC888" s="239"/>
      <c r="ED888" s="239"/>
      <c r="EE888" s="239"/>
      <c r="EF888" s="239"/>
      <c r="EG888" s="239"/>
      <c r="EH888" s="239"/>
      <c r="EI888" s="239"/>
      <c r="EJ888" s="239"/>
      <c r="EK888" s="239"/>
      <c r="EL888" s="239"/>
      <c r="EM888" s="239"/>
      <c r="EN888" s="239"/>
      <c r="EO888" s="239"/>
      <c r="EP888" s="239"/>
      <c r="EQ888" s="239"/>
      <c r="ER888" s="239"/>
      <c r="ES888" s="239"/>
      <c r="ET888" s="239"/>
      <c r="EU888" s="239"/>
      <c r="EV888" s="239"/>
      <c r="EW888" s="239"/>
      <c r="EX888" s="239"/>
      <c r="EY888" s="239"/>
      <c r="EZ888" s="239"/>
      <c r="FA888" s="239"/>
      <c r="FB888" s="239"/>
      <c r="FC888" s="239"/>
      <c r="FD888" s="239"/>
      <c r="FE888" s="239"/>
      <c r="FF888" s="239"/>
      <c r="FG888" s="239"/>
      <c r="FH888" s="239"/>
      <c r="FI888" s="239"/>
      <c r="FJ888" s="239"/>
      <c r="FK888" s="239"/>
      <c r="FL888" s="239"/>
      <c r="FM888" s="239"/>
      <c r="FN888" s="239"/>
      <c r="FO888" s="239"/>
      <c r="FP888" s="239"/>
      <c r="FQ888" s="239"/>
      <c r="FR888" s="239"/>
      <c r="FS888" s="239"/>
      <c r="FT888" s="239"/>
      <c r="FU888" s="239"/>
      <c r="FV888" s="239"/>
      <c r="FW888" s="239"/>
      <c r="FX888" s="239"/>
      <c r="FY888" s="239"/>
      <c r="FZ888" s="239"/>
      <c r="GA888" s="239"/>
      <c r="GB888" s="239"/>
      <c r="GC888" s="239"/>
      <c r="GD888" s="239"/>
      <c r="GE888" s="239"/>
      <c r="GF888" s="239"/>
      <c r="GG888" s="239"/>
      <c r="GH888" s="239"/>
      <c r="GI888" s="239"/>
      <c r="GJ888" s="239"/>
      <c r="GK888" s="239"/>
      <c r="GL888" s="239"/>
      <c r="GM888" s="239"/>
      <c r="GN888" s="239"/>
      <c r="GO888" s="239"/>
      <c r="GP888" s="239"/>
      <c r="GQ888" s="239"/>
      <c r="GR888" s="239"/>
      <c r="GS888" s="239"/>
      <c r="GT888" s="239"/>
      <c r="GU888" s="239"/>
      <c r="GV888" s="239"/>
      <c r="GW888" s="239"/>
      <c r="GX888" s="239"/>
      <c r="GY888" s="239"/>
      <c r="GZ888" s="239"/>
      <c r="HA888" s="239"/>
      <c r="HB888" s="239"/>
      <c r="HC888" s="239"/>
      <c r="HD888" s="239"/>
      <c r="HE888" s="239"/>
      <c r="HF888" s="239"/>
      <c r="HG888" s="239"/>
      <c r="HH888" s="239"/>
      <c r="HI888" s="239"/>
      <c r="HJ888" s="239"/>
      <c r="HK888" s="239"/>
      <c r="HL888" s="239"/>
      <c r="HM888" s="239"/>
      <c r="HN888" s="239"/>
      <c r="HO888" s="239"/>
      <c r="HP888" s="239"/>
      <c r="HQ888" s="239"/>
      <c r="HR888" s="239"/>
      <c r="HS888" s="239"/>
      <c r="HT888" s="239"/>
      <c r="HU888" s="239"/>
      <c r="HV888" s="239"/>
      <c r="HW888" s="239"/>
      <c r="HX888" s="239"/>
      <c r="HY888" s="239"/>
      <c r="HZ888" s="239"/>
      <c r="IA888" s="239"/>
      <c r="IB888" s="239"/>
      <c r="IC888" s="239"/>
      <c r="ID888" s="239"/>
      <c r="IE888" s="239"/>
      <c r="IF888" s="239"/>
      <c r="IG888" s="239"/>
      <c r="IH888" s="239"/>
      <c r="II888" s="239"/>
      <c r="IJ888" s="239"/>
      <c r="IK888" s="239"/>
      <c r="IL888" s="239"/>
      <c r="IM888" s="239"/>
      <c r="IN888" s="239"/>
      <c r="IO888" s="239"/>
      <c r="IP888" s="239"/>
      <c r="IQ888" s="239"/>
      <c r="IR888" s="239"/>
      <c r="IS888" s="239"/>
      <c r="IT888" s="239"/>
      <c r="IU888" s="239"/>
      <c r="IV888" s="239"/>
      <c r="IW888" s="239"/>
      <c r="IX888" s="239"/>
      <c r="IY888" s="239"/>
      <c r="IZ888" s="239"/>
      <c r="JA888" s="239"/>
      <c r="JB888" s="239"/>
      <c r="JC888" s="239"/>
      <c r="JD888" s="239"/>
      <c r="JE888" s="239"/>
      <c r="JF888" s="239"/>
      <c r="JG888" s="239"/>
      <c r="JH888" s="239"/>
      <c r="JI888" s="239"/>
      <c r="JJ888" s="239"/>
      <c r="JK888" s="239"/>
      <c r="JL888" s="239"/>
      <c r="JM888" s="239"/>
      <c r="JN888" s="239"/>
      <c r="JO888" s="239"/>
      <c r="JP888" s="239"/>
      <c r="JQ888" s="239"/>
      <c r="JR888" s="239"/>
      <c r="JS888" s="239"/>
      <c r="JT888" s="239"/>
      <c r="JU888" s="239"/>
      <c r="JV888" s="239"/>
      <c r="JW888" s="239"/>
      <c r="JX888" s="239"/>
      <c r="JY888" s="239"/>
      <c r="JZ888" s="239"/>
      <c r="KA888" s="239"/>
      <c r="KB888" s="239"/>
      <c r="KC888" s="239"/>
      <c r="KD888" s="239"/>
      <c r="KE888" s="239"/>
      <c r="KF888" s="239"/>
      <c r="KG888" s="239"/>
      <c r="KH888" s="239"/>
      <c r="KI888" s="239"/>
      <c r="KJ888" s="239"/>
      <c r="KK888" s="239"/>
      <c r="KL888" s="239"/>
      <c r="KM888" s="239"/>
      <c r="KN888" s="239"/>
      <c r="KO888" s="239"/>
      <c r="KP888" s="239"/>
      <c r="KQ888" s="239"/>
      <c r="KR888" s="239"/>
      <c r="KS888" s="239"/>
      <c r="KT888" s="239"/>
      <c r="KU888" s="239"/>
      <c r="KV888" s="239"/>
      <c r="KW888" s="239"/>
      <c r="KX888" s="239"/>
      <c r="KY888" s="239"/>
      <c r="KZ888" s="239"/>
      <c r="LA888" s="239"/>
      <c r="LB888" s="239"/>
      <c r="LC888" s="239"/>
      <c r="LD888" s="239"/>
      <c r="LE888" s="239"/>
      <c r="LF888" s="239"/>
      <c r="LG888" s="239"/>
      <c r="LH888" s="239"/>
      <c r="LI888" s="239"/>
      <c r="LJ888" s="239"/>
      <c r="LK888" s="239"/>
      <c r="LL888" s="239"/>
      <c r="LM888" s="239"/>
      <c r="LN888" s="239"/>
      <c r="LO888" s="239"/>
      <c r="LP888" s="239"/>
      <c r="LQ888" s="239"/>
      <c r="LR888" s="239"/>
      <c r="LS888" s="239"/>
      <c r="LT888" s="239"/>
      <c r="LU888" s="239"/>
      <c r="LV888" s="239"/>
      <c r="LW888" s="239"/>
      <c r="LX888" s="239"/>
      <c r="LY888" s="239"/>
      <c r="LZ888" s="239"/>
      <c r="MA888" s="239"/>
      <c r="MB888" s="239"/>
      <c r="MC888" s="239"/>
      <c r="MD888" s="239"/>
      <c r="ME888" s="239"/>
      <c r="MF888" s="239"/>
      <c r="MG888" s="239"/>
      <c r="MH888" s="239"/>
      <c r="MI888" s="239"/>
      <c r="MJ888" s="239"/>
      <c r="MK888" s="239"/>
      <c r="ML888" s="239"/>
      <c r="MM888" s="239"/>
      <c r="MN888" s="239"/>
      <c r="MO888" s="239"/>
      <c r="MP888" s="239"/>
      <c r="MQ888" s="239"/>
      <c r="MR888" s="239"/>
      <c r="MS888" s="239"/>
      <c r="MT888" s="239"/>
      <c r="MU888" s="239"/>
      <c r="MV888" s="239"/>
      <c r="MW888" s="239"/>
      <c r="MX888" s="239"/>
      <c r="MY888" s="239"/>
      <c r="MZ888" s="239"/>
      <c r="NA888" s="239"/>
      <c r="NB888" s="239"/>
      <c r="NC888" s="239"/>
      <c r="ND888" s="239"/>
      <c r="NE888" s="239"/>
      <c r="NF888" s="239"/>
      <c r="NG888" s="239"/>
      <c r="NH888" s="239"/>
      <c r="NI888" s="239"/>
      <c r="NJ888" s="239"/>
      <c r="NK888" s="239"/>
      <c r="NL888" s="239"/>
      <c r="NM888" s="239"/>
      <c r="NN888" s="239"/>
      <c r="NO888" s="239"/>
      <c r="NP888" s="239"/>
      <c r="NQ888" s="239"/>
      <c r="NR888" s="239"/>
      <c r="NS888" s="239"/>
      <c r="NT888" s="239"/>
      <c r="NU888" s="239"/>
      <c r="NV888" s="239"/>
      <c r="NW888" s="239"/>
      <c r="NX888" s="239"/>
      <c r="NY888" s="239"/>
      <c r="NZ888" s="239"/>
      <c r="OA888" s="239"/>
      <c r="OB888" s="239"/>
      <c r="OC888" s="239"/>
      <c r="OD888" s="239"/>
      <c r="OE888" s="239"/>
      <c r="OF888" s="239"/>
      <c r="OG888" s="239"/>
      <c r="OH888" s="239"/>
      <c r="OI888" s="239"/>
      <c r="OJ888" s="239"/>
      <c r="OK888" s="239"/>
      <c r="OL888" s="239"/>
      <c r="OM888" s="239"/>
      <c r="ON888" s="239"/>
      <c r="OO888" s="239"/>
      <c r="OP888" s="239"/>
      <c r="OQ888" s="239"/>
      <c r="OR888" s="239"/>
      <c r="OS888" s="239"/>
      <c r="OT888" s="239"/>
      <c r="OU888" s="239"/>
      <c r="OV888" s="239"/>
      <c r="OW888" s="239"/>
      <c r="OX888" s="239"/>
      <c r="OY888" s="239"/>
      <c r="OZ888" s="239"/>
      <c r="PA888" s="239"/>
      <c r="PB888" s="239"/>
      <c r="PC888" s="239"/>
      <c r="PD888" s="239"/>
      <c r="PE888" s="239"/>
      <c r="PF888" s="239"/>
      <c r="PG888" s="239"/>
      <c r="PH888" s="239"/>
      <c r="PI888" s="239"/>
      <c r="PJ888" s="239"/>
      <c r="PK888" s="239"/>
      <c r="PL888" s="239"/>
      <c r="PM888" s="239"/>
      <c r="PN888" s="239"/>
      <c r="PO888" s="239"/>
      <c r="PP888" s="239"/>
      <c r="PQ888" s="239"/>
      <c r="PR888" s="239"/>
      <c r="PS888" s="239"/>
      <c r="PT888" s="239"/>
      <c r="PU888" s="239"/>
      <c r="PV888" s="239"/>
      <c r="PW888" s="239"/>
      <c r="PX888" s="239"/>
      <c r="PY888" s="239"/>
      <c r="PZ888" s="239"/>
      <c r="QA888" s="239"/>
      <c r="QB888" s="239"/>
      <c r="QC888" s="239"/>
      <c r="QD888" s="239"/>
      <c r="QE888" s="239"/>
      <c r="QF888" s="239"/>
      <c r="QG888" s="239"/>
      <c r="QH888" s="239"/>
      <c r="QI888" s="239"/>
      <c r="QJ888" s="239"/>
      <c r="QK888" s="239"/>
      <c r="QL888" s="239"/>
      <c r="QM888" s="239"/>
      <c r="QN888" s="239"/>
      <c r="QO888" s="239"/>
      <c r="QP888" s="239"/>
      <c r="QQ888" s="239"/>
      <c r="QR888" s="239"/>
      <c r="QS888" s="239"/>
      <c r="QT888" s="239"/>
      <c r="QU888" s="239"/>
      <c r="QV888" s="239"/>
      <c r="QW888" s="239"/>
      <c r="QX888" s="239"/>
      <c r="QY888" s="239"/>
      <c r="QZ888" s="239"/>
      <c r="RA888" s="239"/>
      <c r="RB888" s="239"/>
      <c r="RC888" s="239"/>
      <c r="RD888" s="239"/>
      <c r="RE888" s="239"/>
      <c r="RF888" s="239"/>
      <c r="RG888" s="239"/>
      <c r="RH888" s="239"/>
      <c r="RI888" s="239"/>
      <c r="RJ888" s="239"/>
      <c r="RK888" s="239"/>
      <c r="RL888" s="239"/>
      <c r="RM888" s="239"/>
      <c r="RN888" s="239"/>
      <c r="RO888" s="239"/>
      <c r="RP888" s="239"/>
      <c r="RQ888" s="239"/>
      <c r="RR888" s="239"/>
      <c r="RS888" s="239"/>
      <c r="RT888" s="239"/>
      <c r="RU888" s="239"/>
      <c r="RV888" s="239"/>
      <c r="RW888" s="239"/>
      <c r="RX888" s="239"/>
      <c r="RY888" s="239"/>
      <c r="RZ888" s="239"/>
      <c r="SA888" s="239"/>
      <c r="SB888" s="239"/>
      <c r="SC888" s="239"/>
      <c r="SD888" s="239"/>
      <c r="SE888" s="239"/>
      <c r="SF888" s="239"/>
      <c r="SG888" s="239"/>
      <c r="SH888" s="239"/>
      <c r="SI888" s="239"/>
      <c r="SJ888" s="239"/>
      <c r="SK888" s="239"/>
      <c r="SL888" s="239"/>
      <c r="SM888" s="239"/>
      <c r="SN888" s="239"/>
      <c r="SO888" s="239"/>
      <c r="SP888" s="239"/>
      <c r="SQ888" s="239"/>
      <c r="SR888" s="239"/>
      <c r="SS888" s="239"/>
      <c r="ST888" s="239"/>
      <c r="SU888" s="239"/>
      <c r="SV888" s="239"/>
      <c r="SW888" s="239"/>
      <c r="SX888" s="239"/>
      <c r="SY888" s="239"/>
      <c r="SZ888" s="239"/>
      <c r="TA888" s="239"/>
      <c r="TB888" s="239"/>
      <c r="TC888" s="239"/>
      <c r="TD888" s="239"/>
      <c r="TE888" s="239"/>
      <c r="TF888" s="239"/>
      <c r="TG888" s="239"/>
      <c r="TH888" s="239"/>
      <c r="TI888" s="239"/>
      <c r="TJ888" s="239"/>
      <c r="TK888" s="239"/>
      <c r="TL888" s="239"/>
      <c r="TM888" s="239"/>
      <c r="TN888" s="239"/>
      <c r="TO888" s="239"/>
      <c r="TP888" s="239"/>
      <c r="TQ888" s="239"/>
      <c r="TR888" s="239"/>
      <c r="TS888" s="239"/>
      <c r="TT888" s="239"/>
      <c r="TU888" s="239"/>
      <c r="TV888" s="239"/>
      <c r="TW888" s="239"/>
      <c r="TX888" s="239"/>
      <c r="TY888" s="239"/>
      <c r="TZ888" s="239"/>
      <c r="UA888" s="239"/>
      <c r="UB888" s="239"/>
      <c r="UC888" s="239"/>
      <c r="UD888" s="239"/>
      <c r="UE888" s="239"/>
      <c r="UF888" s="239"/>
      <c r="UG888" s="240"/>
    </row>
    <row r="889" spans="1:553" ht="36" customHeight="1">
      <c r="A889" s="356" t="s">
        <v>66</v>
      </c>
      <c r="B889" s="428"/>
      <c r="C889" s="1460" t="s">
        <v>62</v>
      </c>
      <c r="D889" s="1461"/>
      <c r="E889" s="1461"/>
      <c r="F889" s="1462"/>
      <c r="G889" s="680"/>
      <c r="H889" s="654"/>
      <c r="I889" s="654"/>
      <c r="J889" s="1067"/>
      <c r="K889" s="681"/>
      <c r="L889" s="414"/>
      <c r="M889" s="356"/>
      <c r="N889" s="356"/>
      <c r="O889" s="356"/>
      <c r="P889" s="358">
        <f>L889</f>
        <v>0</v>
      </c>
      <c r="Q889" s="1444"/>
      <c r="R889" s="1447" t="s">
        <v>63</v>
      </c>
      <c r="S889" s="308"/>
      <c r="T889" s="308"/>
      <c r="U889" s="308"/>
      <c r="V889" s="308"/>
      <c r="W889" s="308"/>
      <c r="X889" s="308"/>
      <c r="Y889" s="308"/>
      <c r="Z889" s="604"/>
      <c r="AA889" s="308"/>
      <c r="AB889" s="308"/>
      <c r="AC889" s="454"/>
      <c r="AD889" s="454"/>
      <c r="AE889" s="454"/>
      <c r="AF889" s="454"/>
      <c r="AG889" s="454"/>
      <c r="AH889" s="454"/>
      <c r="AI889" s="454"/>
      <c r="AJ889" s="454"/>
      <c r="AK889" s="455"/>
      <c r="AL889" s="110"/>
      <c r="AM889" s="34"/>
      <c r="AN889" s="34"/>
      <c r="AO889" s="34"/>
      <c r="AP889" s="34"/>
      <c r="AQ889" s="34"/>
      <c r="AR889" s="34"/>
      <c r="AS889" s="35"/>
      <c r="AT889" s="35"/>
      <c r="AU889" s="35"/>
      <c r="AV889" s="35"/>
      <c r="AW889" s="35"/>
      <c r="AX889" s="35"/>
      <c r="AY889" s="35"/>
      <c r="AZ889" s="35"/>
      <c r="BA889" s="35"/>
      <c r="BB889" s="35"/>
      <c r="BC889" s="35"/>
      <c r="BD889" s="35"/>
      <c r="BE889" s="35"/>
      <c r="BF889" s="35"/>
      <c r="BG889" s="35"/>
      <c r="BH889" s="35"/>
      <c r="BI889" s="35"/>
      <c r="BJ889" s="35"/>
      <c r="BK889" s="35"/>
      <c r="BL889" s="35"/>
      <c r="BM889" s="35"/>
      <c r="BN889" s="35"/>
      <c r="BO889" s="35"/>
      <c r="BP889" s="36"/>
      <c r="BQ889" s="36"/>
      <c r="BR889" s="36"/>
      <c r="BS889" s="36"/>
      <c r="BT889" s="36"/>
      <c r="BU889" s="36"/>
      <c r="BV889" s="36"/>
      <c r="BW889" s="36"/>
      <c r="BX889" s="36"/>
      <c r="BY889" s="36"/>
      <c r="BZ889" s="36"/>
      <c r="CA889" s="36"/>
      <c r="CB889" s="36"/>
      <c r="CC889" s="36"/>
      <c r="CD889" s="36"/>
      <c r="CE889" s="36"/>
      <c r="CF889" s="36"/>
      <c r="CG889" s="36"/>
      <c r="CH889" s="36"/>
      <c r="CI889" s="36"/>
      <c r="CJ889" s="36"/>
      <c r="CK889" s="36"/>
      <c r="CL889" s="36"/>
      <c r="CM889" s="36"/>
      <c r="CN889" s="36"/>
      <c r="CO889" s="36"/>
      <c r="CP889" s="36"/>
      <c r="CQ889" s="36"/>
      <c r="CR889" s="36"/>
      <c r="CS889" s="36"/>
      <c r="CT889" s="36"/>
      <c r="CU889" s="36"/>
      <c r="CV889" s="36"/>
      <c r="CW889" s="36"/>
      <c r="CX889" s="36"/>
      <c r="CY889" s="36"/>
      <c r="CZ889" s="36"/>
      <c r="DA889" s="36"/>
      <c r="DB889" s="36"/>
      <c r="DC889" s="36"/>
      <c r="DD889" s="36"/>
      <c r="DE889" s="36"/>
      <c r="DF889" s="36"/>
      <c r="DG889" s="36"/>
      <c r="DH889" s="36"/>
      <c r="DI889" s="36"/>
      <c r="DJ889" s="36"/>
      <c r="DK889" s="36"/>
      <c r="DL889" s="36"/>
      <c r="DM889" s="36"/>
      <c r="DN889" s="36"/>
      <c r="DO889" s="36"/>
      <c r="DP889" s="36"/>
      <c r="DQ889" s="36"/>
      <c r="DR889" s="36"/>
      <c r="DS889" s="36"/>
      <c r="DT889" s="36"/>
      <c r="DU889" s="36"/>
      <c r="DV889" s="36"/>
      <c r="DW889" s="36"/>
      <c r="DX889" s="36"/>
      <c r="DY889" s="36"/>
      <c r="DZ889" s="36"/>
      <c r="EA889" s="36"/>
      <c r="EB889" s="36"/>
      <c r="EC889" s="36"/>
      <c r="ED889" s="36"/>
      <c r="EE889" s="36"/>
      <c r="EF889" s="36"/>
      <c r="EG889" s="36"/>
      <c r="EH889" s="36"/>
      <c r="EI889" s="36"/>
      <c r="EJ889" s="36"/>
      <c r="EK889" s="36"/>
      <c r="EL889" s="36"/>
      <c r="EM889" s="36"/>
      <c r="EN889" s="36"/>
      <c r="EO889" s="36"/>
      <c r="EP889" s="36"/>
      <c r="EQ889" s="36"/>
      <c r="ER889" s="36"/>
      <c r="ES889" s="36"/>
      <c r="ET889" s="36"/>
      <c r="EU889" s="36"/>
      <c r="EV889" s="36"/>
      <c r="EW889" s="36"/>
      <c r="EX889" s="36"/>
      <c r="EY889" s="36"/>
      <c r="EZ889" s="36"/>
      <c r="FA889" s="36"/>
      <c r="FB889" s="36"/>
      <c r="FC889" s="36"/>
      <c r="FD889" s="36"/>
      <c r="FE889" s="36"/>
      <c r="FF889" s="36"/>
      <c r="FG889" s="36"/>
      <c r="FH889" s="36"/>
      <c r="FI889" s="36"/>
      <c r="FJ889" s="36"/>
      <c r="FK889" s="36"/>
      <c r="FL889" s="36"/>
      <c r="FM889" s="36"/>
      <c r="FN889" s="36"/>
      <c r="FO889" s="36"/>
      <c r="FP889" s="36"/>
      <c r="FQ889" s="36"/>
      <c r="FR889" s="36"/>
      <c r="FS889" s="36"/>
      <c r="FT889" s="36"/>
      <c r="FU889" s="36"/>
      <c r="FV889" s="36"/>
      <c r="FW889" s="36"/>
      <c r="FX889" s="36"/>
      <c r="FY889" s="36"/>
      <c r="FZ889" s="36"/>
      <c r="GA889" s="36"/>
      <c r="GB889" s="36"/>
      <c r="GC889" s="36"/>
      <c r="GD889" s="36"/>
      <c r="GE889" s="36"/>
      <c r="GF889" s="36"/>
      <c r="GG889" s="36"/>
      <c r="GH889" s="36"/>
      <c r="GI889" s="36"/>
      <c r="GJ889" s="36"/>
      <c r="GK889" s="36"/>
      <c r="GL889" s="36"/>
      <c r="GM889" s="36"/>
      <c r="GN889" s="36"/>
      <c r="GO889" s="36"/>
      <c r="GP889" s="36"/>
      <c r="GQ889" s="36"/>
      <c r="GR889" s="36"/>
      <c r="GS889" s="36"/>
      <c r="GT889" s="36"/>
      <c r="GU889" s="36"/>
      <c r="GV889" s="36"/>
      <c r="GW889" s="36"/>
      <c r="GX889" s="36"/>
      <c r="GY889" s="36"/>
      <c r="GZ889" s="36"/>
      <c r="HA889" s="36"/>
      <c r="HB889" s="36"/>
      <c r="HC889" s="36"/>
      <c r="HD889" s="36"/>
      <c r="HE889" s="36"/>
      <c r="HF889" s="36"/>
      <c r="HG889" s="36"/>
      <c r="HH889" s="36"/>
      <c r="HI889" s="36"/>
      <c r="HJ889" s="36"/>
      <c r="HK889" s="36"/>
      <c r="HL889" s="36"/>
      <c r="HM889" s="36"/>
      <c r="HN889" s="36"/>
      <c r="HO889" s="36"/>
      <c r="HP889" s="36"/>
      <c r="HQ889" s="36"/>
      <c r="HR889" s="36"/>
      <c r="HS889" s="36"/>
      <c r="HT889" s="36"/>
      <c r="HU889" s="36"/>
      <c r="HV889" s="36"/>
      <c r="HW889" s="36"/>
      <c r="HX889" s="36"/>
      <c r="HY889" s="36"/>
      <c r="HZ889" s="36"/>
      <c r="IA889" s="36"/>
      <c r="IB889" s="36"/>
      <c r="IC889" s="36"/>
      <c r="ID889" s="36"/>
      <c r="IE889" s="36"/>
      <c r="IF889" s="36"/>
      <c r="IG889" s="36"/>
      <c r="IH889" s="36"/>
      <c r="II889" s="36"/>
      <c r="IJ889" s="36"/>
      <c r="IK889" s="36"/>
      <c r="IL889" s="36"/>
      <c r="IM889" s="36"/>
      <c r="IN889" s="36"/>
      <c r="IO889" s="36"/>
      <c r="IP889" s="36"/>
      <c r="IQ889" s="36"/>
      <c r="IR889" s="36"/>
      <c r="IS889" s="36"/>
      <c r="IT889" s="36"/>
      <c r="IU889" s="36"/>
      <c r="IV889" s="36"/>
      <c r="IW889" s="36"/>
      <c r="IX889" s="36"/>
      <c r="IY889" s="36"/>
      <c r="IZ889" s="36"/>
      <c r="JA889" s="36"/>
      <c r="JB889" s="36"/>
      <c r="JC889" s="36"/>
      <c r="JD889" s="36"/>
      <c r="JE889" s="36"/>
      <c r="JF889" s="36"/>
      <c r="JG889" s="36"/>
      <c r="JH889" s="36"/>
      <c r="JI889" s="36"/>
      <c r="JJ889" s="36"/>
      <c r="JK889" s="36"/>
      <c r="JL889" s="36"/>
      <c r="JM889" s="36"/>
      <c r="JN889" s="36"/>
      <c r="JO889" s="36"/>
      <c r="JP889" s="36"/>
      <c r="JQ889" s="36"/>
      <c r="JR889" s="36"/>
      <c r="JS889" s="36"/>
      <c r="JT889" s="36"/>
      <c r="JU889" s="36"/>
      <c r="JV889" s="36"/>
      <c r="JW889" s="36"/>
      <c r="JX889" s="36"/>
      <c r="JY889" s="36"/>
      <c r="JZ889" s="36"/>
      <c r="KA889" s="36"/>
      <c r="KB889" s="36"/>
      <c r="KC889" s="36"/>
      <c r="KD889" s="36"/>
      <c r="KE889" s="36"/>
      <c r="KF889" s="36"/>
      <c r="KG889" s="36"/>
      <c r="KH889" s="36"/>
      <c r="KI889" s="36"/>
      <c r="KJ889" s="36"/>
      <c r="KK889" s="36"/>
      <c r="KL889" s="36"/>
      <c r="KM889" s="36"/>
      <c r="KN889" s="36"/>
      <c r="KO889" s="36"/>
      <c r="KP889" s="36"/>
      <c r="KQ889" s="36"/>
      <c r="KR889" s="36"/>
      <c r="KS889" s="36"/>
      <c r="KT889" s="36"/>
      <c r="KU889" s="36"/>
      <c r="KV889" s="36"/>
      <c r="KW889" s="36"/>
      <c r="KX889" s="36"/>
      <c r="KY889" s="36"/>
      <c r="KZ889" s="36"/>
      <c r="LA889" s="36"/>
      <c r="LB889" s="36"/>
      <c r="LC889" s="36"/>
      <c r="LD889" s="36"/>
      <c r="LE889" s="36"/>
      <c r="LF889" s="36"/>
      <c r="LG889" s="36"/>
      <c r="LH889" s="36"/>
      <c r="LI889" s="36"/>
      <c r="LJ889" s="36"/>
      <c r="LK889" s="36"/>
      <c r="LL889" s="36"/>
      <c r="LM889" s="36"/>
      <c r="LN889" s="36"/>
      <c r="LO889" s="36"/>
      <c r="LP889" s="36"/>
      <c r="LQ889" s="36"/>
      <c r="LR889" s="36"/>
      <c r="LS889" s="36"/>
      <c r="LT889" s="36"/>
      <c r="LU889" s="36"/>
      <c r="LV889" s="36"/>
      <c r="LW889" s="36"/>
      <c r="LX889" s="36"/>
      <c r="LY889" s="36"/>
      <c r="LZ889" s="36"/>
      <c r="MA889" s="36"/>
      <c r="MB889" s="36"/>
      <c r="MC889" s="36"/>
      <c r="MD889" s="36"/>
      <c r="ME889" s="36"/>
      <c r="MF889" s="36"/>
      <c r="MG889" s="36"/>
      <c r="MH889" s="36"/>
      <c r="MI889" s="36"/>
      <c r="MJ889" s="36"/>
      <c r="MK889" s="36"/>
      <c r="ML889" s="36"/>
      <c r="MM889" s="36"/>
      <c r="MN889" s="36"/>
      <c r="MO889" s="36"/>
      <c r="MP889" s="36"/>
      <c r="MQ889" s="36"/>
      <c r="MR889" s="36"/>
      <c r="MS889" s="36"/>
      <c r="MT889" s="36"/>
      <c r="MU889" s="36"/>
      <c r="MV889" s="36"/>
      <c r="MW889" s="36"/>
      <c r="MX889" s="36"/>
      <c r="MY889" s="36"/>
      <c r="MZ889" s="36"/>
      <c r="NA889" s="36"/>
      <c r="NB889" s="36"/>
      <c r="NC889" s="36"/>
      <c r="ND889" s="36"/>
      <c r="NE889" s="36"/>
      <c r="NF889" s="36"/>
      <c r="NG889" s="36"/>
      <c r="NH889" s="36"/>
      <c r="NI889" s="36"/>
      <c r="NJ889" s="36"/>
      <c r="NK889" s="36"/>
      <c r="NL889" s="36"/>
      <c r="NM889" s="36"/>
      <c r="NN889" s="36"/>
      <c r="NO889" s="36"/>
      <c r="NP889" s="36"/>
      <c r="NQ889" s="36"/>
      <c r="NR889" s="36"/>
      <c r="NS889" s="36"/>
      <c r="NT889" s="36"/>
      <c r="NU889" s="36"/>
      <c r="NV889" s="36"/>
      <c r="NW889" s="36"/>
      <c r="NX889" s="36"/>
      <c r="NY889" s="36"/>
      <c r="NZ889" s="36"/>
      <c r="OA889" s="36"/>
      <c r="OB889" s="36"/>
      <c r="OC889" s="36"/>
      <c r="OD889" s="36"/>
      <c r="OE889" s="36"/>
      <c r="OF889" s="36"/>
      <c r="OG889" s="36"/>
      <c r="OH889" s="36"/>
      <c r="OI889" s="36"/>
      <c r="OJ889" s="36"/>
      <c r="OK889" s="36"/>
      <c r="OL889" s="36"/>
      <c r="OM889" s="36"/>
      <c r="ON889" s="36"/>
      <c r="OO889" s="36"/>
      <c r="OP889" s="36"/>
      <c r="OQ889" s="36"/>
      <c r="OR889" s="36"/>
      <c r="OS889" s="36"/>
      <c r="OT889" s="36"/>
      <c r="OU889" s="36"/>
      <c r="OV889" s="36"/>
      <c r="OW889" s="36"/>
      <c r="OX889" s="36"/>
      <c r="OY889" s="36"/>
      <c r="OZ889" s="36"/>
      <c r="PA889" s="36"/>
      <c r="PB889" s="36"/>
      <c r="PC889" s="36"/>
      <c r="PD889" s="36"/>
      <c r="PE889" s="36"/>
      <c r="PF889" s="36"/>
      <c r="PG889" s="36"/>
      <c r="PH889" s="36"/>
      <c r="PI889" s="36"/>
      <c r="PJ889" s="36"/>
      <c r="PK889" s="36"/>
      <c r="PL889" s="36"/>
      <c r="PM889" s="36"/>
      <c r="PN889" s="36"/>
      <c r="PO889" s="36"/>
      <c r="PP889" s="36"/>
      <c r="PQ889" s="36"/>
      <c r="PR889" s="36"/>
      <c r="PS889" s="36"/>
      <c r="PT889" s="36"/>
      <c r="PU889" s="36"/>
      <c r="PV889" s="36"/>
      <c r="PW889" s="36"/>
      <c r="PX889" s="36"/>
      <c r="PY889" s="36"/>
      <c r="PZ889" s="36"/>
      <c r="QA889" s="36"/>
      <c r="QB889" s="36"/>
      <c r="QC889" s="36"/>
      <c r="QD889" s="36"/>
      <c r="QE889" s="36"/>
      <c r="QF889" s="36"/>
      <c r="QG889" s="36"/>
      <c r="QH889" s="36"/>
      <c r="QI889" s="36"/>
      <c r="QJ889" s="36"/>
      <c r="QK889" s="36"/>
      <c r="QL889" s="36"/>
      <c r="QM889" s="36"/>
      <c r="QN889" s="36"/>
      <c r="QO889" s="36"/>
      <c r="QP889" s="36"/>
      <c r="QQ889" s="36"/>
      <c r="QR889" s="36"/>
      <c r="QS889" s="36"/>
      <c r="QT889" s="36"/>
      <c r="QU889" s="36"/>
      <c r="QV889" s="36"/>
      <c r="QW889" s="36"/>
      <c r="QX889" s="36"/>
      <c r="QY889" s="36"/>
      <c r="QZ889" s="36"/>
      <c r="RA889" s="36"/>
      <c r="RB889" s="36"/>
      <c r="RC889" s="36"/>
      <c r="RD889" s="36"/>
      <c r="RE889" s="36"/>
      <c r="RF889" s="36"/>
      <c r="RG889" s="36"/>
      <c r="RH889" s="36"/>
      <c r="RI889" s="36"/>
      <c r="RJ889" s="36"/>
      <c r="RK889" s="36"/>
      <c r="RL889" s="36"/>
      <c r="RM889" s="36"/>
      <c r="RN889" s="36"/>
      <c r="RO889" s="36"/>
      <c r="RP889" s="36"/>
      <c r="RQ889" s="36"/>
      <c r="RR889" s="36"/>
      <c r="RS889" s="36"/>
      <c r="RT889" s="36"/>
      <c r="RU889" s="36"/>
      <c r="RV889" s="36"/>
      <c r="RW889" s="36"/>
      <c r="RX889" s="36"/>
      <c r="RY889" s="36"/>
      <c r="RZ889" s="36"/>
      <c r="SA889" s="36"/>
      <c r="SB889" s="36"/>
      <c r="SC889" s="36"/>
      <c r="SD889" s="36"/>
      <c r="SE889" s="36"/>
      <c r="SF889" s="36"/>
      <c r="SG889" s="36"/>
      <c r="SH889" s="36"/>
      <c r="SI889" s="36"/>
      <c r="SJ889" s="36"/>
      <c r="SK889" s="36"/>
      <c r="SL889" s="36"/>
      <c r="SM889" s="36"/>
      <c r="SN889" s="36"/>
      <c r="SO889" s="36"/>
      <c r="SP889" s="36"/>
      <c r="SQ889" s="36"/>
      <c r="SR889" s="36"/>
      <c r="SS889" s="36"/>
      <c r="ST889" s="36"/>
      <c r="SU889" s="36"/>
      <c r="SV889" s="36"/>
      <c r="SW889" s="36"/>
      <c r="SX889" s="36"/>
      <c r="SY889" s="36"/>
      <c r="SZ889" s="36"/>
      <c r="TA889" s="36"/>
      <c r="TB889" s="36"/>
      <c r="TC889" s="36"/>
      <c r="TD889" s="36"/>
      <c r="TE889" s="36"/>
      <c r="TF889" s="36"/>
      <c r="TG889" s="36"/>
      <c r="TH889" s="36"/>
      <c r="TI889" s="36"/>
      <c r="TJ889" s="36"/>
      <c r="TK889" s="36"/>
      <c r="TL889" s="36"/>
      <c r="TM889" s="36"/>
      <c r="TN889" s="36"/>
      <c r="TO889" s="36"/>
      <c r="TP889" s="36"/>
      <c r="TQ889" s="36"/>
      <c r="TR889" s="36"/>
      <c r="TS889" s="36"/>
      <c r="TT889" s="36"/>
      <c r="TU889" s="36"/>
      <c r="TV889" s="36"/>
      <c r="TW889" s="36"/>
      <c r="TX889" s="36"/>
      <c r="TY889" s="36"/>
      <c r="TZ889" s="36"/>
      <c r="UA889" s="36"/>
      <c r="UB889" s="36"/>
      <c r="UC889" s="36"/>
      <c r="UD889" s="36"/>
      <c r="UE889" s="36"/>
      <c r="UF889" s="36"/>
      <c r="UG889" s="37"/>
    </row>
    <row r="890" spans="1:553" ht="30.75" customHeight="1">
      <c r="A890" s="356"/>
      <c r="B890" s="428"/>
      <c r="C890" s="1451" t="s">
        <v>531</v>
      </c>
      <c r="D890" s="1389"/>
      <c r="E890" s="1389"/>
      <c r="F890" s="1390"/>
      <c r="G890" s="386" t="s">
        <v>65</v>
      </c>
      <c r="H890" s="370"/>
      <c r="I890" s="1068"/>
      <c r="J890" s="368"/>
      <c r="K890" s="371"/>
      <c r="L890" s="366"/>
      <c r="M890" s="356"/>
      <c r="N890" s="356"/>
      <c r="O890" s="356"/>
      <c r="P890" s="356"/>
      <c r="Q890" s="1537"/>
      <c r="R890" s="1452"/>
      <c r="S890" s="308"/>
      <c r="T890" s="308"/>
      <c r="U890" s="308"/>
      <c r="V890" s="308"/>
      <c r="W890" s="308"/>
      <c r="X890" s="308"/>
      <c r="Y890" s="308"/>
      <c r="Z890" s="604"/>
      <c r="AA890" s="308"/>
      <c r="AB890" s="308"/>
      <c r="AC890" s="454"/>
      <c r="AD890" s="454"/>
      <c r="AE890" s="454"/>
      <c r="AF890" s="454"/>
      <c r="AG890" s="454"/>
      <c r="AH890" s="454"/>
      <c r="AI890" s="454"/>
      <c r="AJ890" s="454"/>
      <c r="AK890" s="455"/>
      <c r="AL890" s="110"/>
      <c r="AM890" s="34"/>
      <c r="AN890" s="34"/>
      <c r="AO890" s="34"/>
      <c r="AP890" s="34"/>
      <c r="AQ890" s="34"/>
      <c r="AR890" s="34"/>
      <c r="AS890" s="35"/>
      <c r="AT890" s="35"/>
      <c r="AU890" s="35"/>
      <c r="AV890" s="35"/>
      <c r="AW890" s="35"/>
      <c r="AX890" s="35"/>
      <c r="AY890" s="35"/>
      <c r="AZ890" s="35"/>
      <c r="BA890" s="35"/>
      <c r="BB890" s="35"/>
      <c r="BC890" s="35"/>
      <c r="BD890" s="35"/>
      <c r="BE890" s="35"/>
      <c r="BF890" s="35"/>
      <c r="BG890" s="35"/>
      <c r="BH890" s="35"/>
      <c r="BI890" s="35"/>
      <c r="BJ890" s="35"/>
      <c r="BK890" s="35"/>
      <c r="BL890" s="35"/>
      <c r="BM890" s="35"/>
      <c r="BN890" s="35"/>
      <c r="BO890" s="35"/>
      <c r="BP890" s="36"/>
      <c r="BQ890" s="36"/>
      <c r="BR890" s="36"/>
      <c r="BS890" s="36"/>
      <c r="BT890" s="36"/>
      <c r="BU890" s="36"/>
      <c r="BV890" s="36"/>
      <c r="BW890" s="36"/>
      <c r="BX890" s="36"/>
      <c r="BY890" s="36"/>
      <c r="BZ890" s="36"/>
      <c r="CA890" s="36"/>
      <c r="CB890" s="36"/>
      <c r="CC890" s="36"/>
      <c r="CD890" s="36"/>
      <c r="CE890" s="36"/>
      <c r="CF890" s="36"/>
      <c r="CG890" s="36"/>
      <c r="CH890" s="36"/>
      <c r="CI890" s="36"/>
      <c r="CJ890" s="36"/>
      <c r="CK890" s="36"/>
      <c r="CL890" s="36"/>
      <c r="CM890" s="36"/>
      <c r="CN890" s="36"/>
      <c r="CO890" s="36"/>
      <c r="CP890" s="36"/>
      <c r="CQ890" s="36"/>
      <c r="CR890" s="36"/>
      <c r="CS890" s="36"/>
      <c r="CT890" s="36"/>
      <c r="CU890" s="36"/>
      <c r="CV890" s="36"/>
      <c r="CW890" s="36"/>
      <c r="CX890" s="36"/>
      <c r="CY890" s="36"/>
      <c r="CZ890" s="36"/>
      <c r="DA890" s="36"/>
      <c r="DB890" s="36"/>
      <c r="DC890" s="36"/>
      <c r="DD890" s="36"/>
      <c r="DE890" s="36"/>
      <c r="DF890" s="36"/>
      <c r="DG890" s="36"/>
      <c r="DH890" s="36"/>
      <c r="DI890" s="36"/>
      <c r="DJ890" s="36"/>
      <c r="DK890" s="36"/>
      <c r="DL890" s="36"/>
      <c r="DM890" s="36"/>
      <c r="DN890" s="36"/>
      <c r="DO890" s="36"/>
      <c r="DP890" s="36"/>
      <c r="DQ890" s="36"/>
      <c r="DR890" s="36"/>
      <c r="DS890" s="36"/>
      <c r="DT890" s="36"/>
      <c r="DU890" s="36"/>
      <c r="DV890" s="36"/>
      <c r="DW890" s="36"/>
      <c r="DX890" s="36"/>
      <c r="DY890" s="36"/>
      <c r="DZ890" s="36"/>
      <c r="EA890" s="36"/>
      <c r="EB890" s="36"/>
      <c r="EC890" s="36"/>
      <c r="ED890" s="36"/>
      <c r="EE890" s="36"/>
      <c r="EF890" s="36"/>
      <c r="EG890" s="36"/>
      <c r="EH890" s="36"/>
      <c r="EI890" s="36"/>
      <c r="EJ890" s="36"/>
      <c r="EK890" s="36"/>
      <c r="EL890" s="36"/>
      <c r="EM890" s="36"/>
      <c r="EN890" s="36"/>
      <c r="EO890" s="36"/>
      <c r="EP890" s="36"/>
      <c r="EQ890" s="36"/>
      <c r="ER890" s="36"/>
      <c r="ES890" s="36"/>
      <c r="ET890" s="36"/>
      <c r="EU890" s="36"/>
      <c r="EV890" s="36"/>
      <c r="EW890" s="36"/>
      <c r="EX890" s="36"/>
      <c r="EY890" s="36"/>
      <c r="EZ890" s="36"/>
      <c r="FA890" s="36"/>
      <c r="FB890" s="36"/>
      <c r="FC890" s="36"/>
      <c r="FD890" s="36"/>
      <c r="FE890" s="36"/>
      <c r="FF890" s="36"/>
      <c r="FG890" s="36"/>
      <c r="FH890" s="36"/>
      <c r="FI890" s="36"/>
      <c r="FJ890" s="36"/>
      <c r="FK890" s="36"/>
      <c r="FL890" s="36"/>
      <c r="FM890" s="36"/>
      <c r="FN890" s="36"/>
      <c r="FO890" s="36"/>
      <c r="FP890" s="36"/>
      <c r="FQ890" s="36"/>
      <c r="FR890" s="36"/>
      <c r="FS890" s="36"/>
      <c r="FT890" s="36"/>
      <c r="FU890" s="36"/>
      <c r="FV890" s="36"/>
      <c r="FW890" s="36"/>
      <c r="FX890" s="36"/>
      <c r="FY890" s="36"/>
      <c r="FZ890" s="36"/>
      <c r="GA890" s="36"/>
      <c r="GB890" s="36"/>
      <c r="GC890" s="36"/>
      <c r="GD890" s="36"/>
      <c r="GE890" s="36"/>
      <c r="GF890" s="36"/>
      <c r="GG890" s="36"/>
      <c r="GH890" s="36"/>
      <c r="GI890" s="36"/>
      <c r="GJ890" s="36"/>
      <c r="GK890" s="36"/>
      <c r="GL890" s="36"/>
      <c r="GM890" s="36"/>
      <c r="GN890" s="36"/>
      <c r="GO890" s="36"/>
      <c r="GP890" s="36"/>
      <c r="GQ890" s="36"/>
      <c r="GR890" s="36"/>
      <c r="GS890" s="36"/>
      <c r="GT890" s="36"/>
      <c r="GU890" s="36"/>
      <c r="GV890" s="36"/>
      <c r="GW890" s="36"/>
      <c r="GX890" s="36"/>
      <c r="GY890" s="36"/>
      <c r="GZ890" s="36"/>
      <c r="HA890" s="36"/>
      <c r="HB890" s="36"/>
      <c r="HC890" s="36"/>
      <c r="HD890" s="36"/>
      <c r="HE890" s="36"/>
      <c r="HF890" s="36"/>
      <c r="HG890" s="36"/>
      <c r="HH890" s="36"/>
      <c r="HI890" s="36"/>
      <c r="HJ890" s="36"/>
      <c r="HK890" s="36"/>
      <c r="HL890" s="36"/>
      <c r="HM890" s="36"/>
      <c r="HN890" s="36"/>
      <c r="HO890" s="36"/>
      <c r="HP890" s="36"/>
      <c r="HQ890" s="36"/>
      <c r="HR890" s="36"/>
      <c r="HS890" s="36"/>
      <c r="HT890" s="36"/>
      <c r="HU890" s="36"/>
      <c r="HV890" s="36"/>
      <c r="HW890" s="36"/>
      <c r="HX890" s="36"/>
      <c r="HY890" s="36"/>
      <c r="HZ890" s="36"/>
      <c r="IA890" s="36"/>
      <c r="IB890" s="36"/>
      <c r="IC890" s="36"/>
      <c r="ID890" s="36"/>
      <c r="IE890" s="36"/>
      <c r="IF890" s="36"/>
      <c r="IG890" s="36"/>
      <c r="IH890" s="36"/>
      <c r="II890" s="36"/>
      <c r="IJ890" s="36"/>
      <c r="IK890" s="36"/>
      <c r="IL890" s="36"/>
      <c r="IM890" s="36"/>
      <c r="IN890" s="36"/>
      <c r="IO890" s="36"/>
      <c r="IP890" s="36"/>
      <c r="IQ890" s="36"/>
      <c r="IR890" s="36"/>
      <c r="IS890" s="36"/>
      <c r="IT890" s="36"/>
      <c r="IU890" s="36"/>
      <c r="IV890" s="36"/>
      <c r="IW890" s="36"/>
      <c r="IX890" s="36"/>
      <c r="IY890" s="36"/>
      <c r="IZ890" s="36"/>
      <c r="JA890" s="36"/>
      <c r="JB890" s="36"/>
      <c r="JC890" s="36"/>
      <c r="JD890" s="36"/>
      <c r="JE890" s="36"/>
      <c r="JF890" s="36"/>
      <c r="JG890" s="36"/>
      <c r="JH890" s="36"/>
      <c r="JI890" s="36"/>
      <c r="JJ890" s="36"/>
      <c r="JK890" s="36"/>
      <c r="JL890" s="36"/>
      <c r="JM890" s="36"/>
      <c r="JN890" s="36"/>
      <c r="JO890" s="36"/>
      <c r="JP890" s="36"/>
      <c r="JQ890" s="36"/>
      <c r="JR890" s="36"/>
      <c r="JS890" s="36"/>
      <c r="JT890" s="36"/>
      <c r="JU890" s="36"/>
      <c r="JV890" s="36"/>
      <c r="JW890" s="36"/>
      <c r="JX890" s="36"/>
      <c r="JY890" s="36"/>
      <c r="JZ890" s="36"/>
      <c r="KA890" s="36"/>
      <c r="KB890" s="36"/>
      <c r="KC890" s="36"/>
      <c r="KD890" s="36"/>
      <c r="KE890" s="36"/>
      <c r="KF890" s="36"/>
      <c r="KG890" s="36"/>
      <c r="KH890" s="36"/>
      <c r="KI890" s="36"/>
      <c r="KJ890" s="36"/>
      <c r="KK890" s="36"/>
      <c r="KL890" s="36"/>
      <c r="KM890" s="36"/>
      <c r="KN890" s="36"/>
      <c r="KO890" s="36"/>
      <c r="KP890" s="36"/>
      <c r="KQ890" s="36"/>
      <c r="KR890" s="36"/>
      <c r="KS890" s="36"/>
      <c r="KT890" s="36"/>
      <c r="KU890" s="36"/>
      <c r="KV890" s="36"/>
      <c r="KW890" s="36"/>
      <c r="KX890" s="36"/>
      <c r="KY890" s="36"/>
      <c r="KZ890" s="36"/>
      <c r="LA890" s="36"/>
      <c r="LB890" s="36"/>
      <c r="LC890" s="36"/>
      <c r="LD890" s="36"/>
      <c r="LE890" s="36"/>
      <c r="LF890" s="36"/>
      <c r="LG890" s="36"/>
      <c r="LH890" s="36"/>
      <c r="LI890" s="36"/>
      <c r="LJ890" s="36"/>
      <c r="LK890" s="36"/>
      <c r="LL890" s="36"/>
      <c r="LM890" s="36"/>
      <c r="LN890" s="36"/>
      <c r="LO890" s="36"/>
      <c r="LP890" s="36"/>
      <c r="LQ890" s="36"/>
      <c r="LR890" s="36"/>
      <c r="LS890" s="36"/>
      <c r="LT890" s="36"/>
      <c r="LU890" s="36"/>
      <c r="LV890" s="36"/>
      <c r="LW890" s="36"/>
      <c r="LX890" s="36"/>
      <c r="LY890" s="36"/>
      <c r="LZ890" s="36"/>
      <c r="MA890" s="36"/>
      <c r="MB890" s="36"/>
      <c r="MC890" s="36"/>
      <c r="MD890" s="36"/>
      <c r="ME890" s="36"/>
      <c r="MF890" s="36"/>
      <c r="MG890" s="36"/>
      <c r="MH890" s="36"/>
      <c r="MI890" s="36"/>
      <c r="MJ890" s="36"/>
      <c r="MK890" s="36"/>
      <c r="ML890" s="36"/>
      <c r="MM890" s="36"/>
      <c r="MN890" s="36"/>
      <c r="MO890" s="36"/>
      <c r="MP890" s="36"/>
      <c r="MQ890" s="36"/>
      <c r="MR890" s="36"/>
      <c r="MS890" s="36"/>
      <c r="MT890" s="36"/>
      <c r="MU890" s="36"/>
      <c r="MV890" s="36"/>
      <c r="MW890" s="36"/>
      <c r="MX890" s="36"/>
      <c r="MY890" s="36"/>
      <c r="MZ890" s="36"/>
      <c r="NA890" s="36"/>
      <c r="NB890" s="36"/>
      <c r="NC890" s="36"/>
      <c r="ND890" s="36"/>
      <c r="NE890" s="36"/>
      <c r="NF890" s="36"/>
      <c r="NG890" s="36"/>
      <c r="NH890" s="36"/>
      <c r="NI890" s="36"/>
      <c r="NJ890" s="36"/>
      <c r="NK890" s="36"/>
      <c r="NL890" s="36"/>
      <c r="NM890" s="36"/>
      <c r="NN890" s="36"/>
      <c r="NO890" s="36"/>
      <c r="NP890" s="36"/>
      <c r="NQ890" s="36"/>
      <c r="NR890" s="36"/>
      <c r="NS890" s="36"/>
      <c r="NT890" s="36"/>
      <c r="NU890" s="36"/>
      <c r="NV890" s="36"/>
      <c r="NW890" s="36"/>
      <c r="NX890" s="36"/>
      <c r="NY890" s="36"/>
      <c r="NZ890" s="36"/>
      <c r="OA890" s="36"/>
      <c r="OB890" s="36"/>
      <c r="OC890" s="36"/>
      <c r="OD890" s="36"/>
      <c r="OE890" s="36"/>
      <c r="OF890" s="36"/>
      <c r="OG890" s="36"/>
      <c r="OH890" s="36"/>
      <c r="OI890" s="36"/>
      <c r="OJ890" s="36"/>
      <c r="OK890" s="36"/>
      <c r="OL890" s="36"/>
      <c r="OM890" s="36"/>
      <c r="ON890" s="36"/>
      <c r="OO890" s="36"/>
      <c r="OP890" s="36"/>
      <c r="OQ890" s="36"/>
      <c r="OR890" s="36"/>
      <c r="OS890" s="36"/>
      <c r="OT890" s="36"/>
      <c r="OU890" s="36"/>
      <c r="OV890" s="36"/>
      <c r="OW890" s="36"/>
      <c r="OX890" s="36"/>
      <c r="OY890" s="36"/>
      <c r="OZ890" s="36"/>
      <c r="PA890" s="36"/>
      <c r="PB890" s="36"/>
      <c r="PC890" s="36"/>
      <c r="PD890" s="36"/>
      <c r="PE890" s="36"/>
      <c r="PF890" s="36"/>
      <c r="PG890" s="36"/>
      <c r="PH890" s="36"/>
      <c r="PI890" s="36"/>
      <c r="PJ890" s="36"/>
      <c r="PK890" s="36"/>
      <c r="PL890" s="36"/>
      <c r="PM890" s="36"/>
      <c r="PN890" s="36"/>
      <c r="PO890" s="36"/>
      <c r="PP890" s="36"/>
      <c r="PQ890" s="36"/>
      <c r="PR890" s="36"/>
      <c r="PS890" s="36"/>
      <c r="PT890" s="36"/>
      <c r="PU890" s="36"/>
      <c r="PV890" s="36"/>
      <c r="PW890" s="36"/>
      <c r="PX890" s="36"/>
      <c r="PY890" s="36"/>
      <c r="PZ890" s="36"/>
      <c r="QA890" s="36"/>
      <c r="QB890" s="36"/>
      <c r="QC890" s="36"/>
      <c r="QD890" s="36"/>
      <c r="QE890" s="36"/>
      <c r="QF890" s="36"/>
      <c r="QG890" s="36"/>
      <c r="QH890" s="36"/>
      <c r="QI890" s="36"/>
      <c r="QJ890" s="36"/>
      <c r="QK890" s="36"/>
      <c r="QL890" s="36"/>
      <c r="QM890" s="36"/>
      <c r="QN890" s="36"/>
      <c r="QO890" s="36"/>
      <c r="QP890" s="36"/>
      <c r="QQ890" s="36"/>
      <c r="QR890" s="36"/>
      <c r="QS890" s="36"/>
      <c r="QT890" s="36"/>
      <c r="QU890" s="36"/>
      <c r="QV890" s="36"/>
      <c r="QW890" s="36"/>
      <c r="QX890" s="36"/>
      <c r="QY890" s="36"/>
      <c r="QZ890" s="36"/>
      <c r="RA890" s="36"/>
      <c r="RB890" s="36"/>
      <c r="RC890" s="36"/>
      <c r="RD890" s="36"/>
      <c r="RE890" s="36"/>
      <c r="RF890" s="36"/>
      <c r="RG890" s="36"/>
      <c r="RH890" s="36"/>
      <c r="RI890" s="36"/>
      <c r="RJ890" s="36"/>
      <c r="RK890" s="36"/>
      <c r="RL890" s="36"/>
      <c r="RM890" s="36"/>
      <c r="RN890" s="36"/>
      <c r="RO890" s="36"/>
      <c r="RP890" s="36"/>
      <c r="RQ890" s="36"/>
      <c r="RR890" s="36"/>
      <c r="RS890" s="36"/>
      <c r="RT890" s="36"/>
      <c r="RU890" s="36"/>
      <c r="RV890" s="36"/>
      <c r="RW890" s="36"/>
      <c r="RX890" s="36"/>
      <c r="RY890" s="36"/>
      <c r="RZ890" s="36"/>
      <c r="SA890" s="36"/>
      <c r="SB890" s="36"/>
      <c r="SC890" s="36"/>
      <c r="SD890" s="36"/>
      <c r="SE890" s="36"/>
      <c r="SF890" s="36"/>
      <c r="SG890" s="36"/>
      <c r="SH890" s="36"/>
      <c r="SI890" s="36"/>
      <c r="SJ890" s="36"/>
      <c r="SK890" s="36"/>
      <c r="SL890" s="36"/>
      <c r="SM890" s="36"/>
      <c r="SN890" s="36"/>
      <c r="SO890" s="36"/>
      <c r="SP890" s="36"/>
      <c r="SQ890" s="36"/>
      <c r="SR890" s="36"/>
      <c r="SS890" s="36"/>
      <c r="ST890" s="36"/>
      <c r="SU890" s="36"/>
      <c r="SV890" s="36"/>
      <c r="SW890" s="36"/>
      <c r="SX890" s="36"/>
      <c r="SY890" s="36"/>
      <c r="SZ890" s="36"/>
      <c r="TA890" s="36"/>
      <c r="TB890" s="36"/>
      <c r="TC890" s="36"/>
      <c r="TD890" s="36"/>
      <c r="TE890" s="36"/>
      <c r="TF890" s="36"/>
      <c r="TG890" s="36"/>
      <c r="TH890" s="36"/>
      <c r="TI890" s="36"/>
      <c r="TJ890" s="36"/>
      <c r="TK890" s="36"/>
      <c r="TL890" s="36"/>
      <c r="TM890" s="36"/>
      <c r="TN890" s="36"/>
      <c r="TO890" s="36"/>
      <c r="TP890" s="36"/>
      <c r="TQ890" s="36"/>
      <c r="TR890" s="36"/>
      <c r="TS890" s="36"/>
      <c r="TT890" s="36"/>
      <c r="TU890" s="36"/>
      <c r="TV890" s="36"/>
      <c r="TW890" s="36"/>
      <c r="TX890" s="36"/>
      <c r="TY890" s="36"/>
      <c r="TZ890" s="36"/>
      <c r="UA890" s="36"/>
      <c r="UB890" s="36"/>
      <c r="UC890" s="36"/>
      <c r="UD890" s="36"/>
      <c r="UE890" s="36"/>
      <c r="UF890" s="36"/>
      <c r="UG890" s="37"/>
    </row>
    <row r="891" spans="1:553" ht="30.75" customHeight="1">
      <c r="A891" s="356"/>
      <c r="B891" s="428"/>
      <c r="C891" s="1404" t="s">
        <v>276</v>
      </c>
      <c r="D891" s="1389"/>
      <c r="E891" s="1389"/>
      <c r="F891" s="1390"/>
      <c r="G891" s="366" t="s">
        <v>205</v>
      </c>
      <c r="H891" s="417"/>
      <c r="I891" s="1069"/>
      <c r="J891" s="368"/>
      <c r="K891" s="369"/>
      <c r="L891" s="366"/>
      <c r="M891" s="356"/>
      <c r="N891" s="356"/>
      <c r="O891" s="356"/>
      <c r="P891" s="356"/>
      <c r="Q891" s="1537"/>
      <c r="R891" s="1452"/>
      <c r="S891" s="308"/>
      <c r="T891" s="308"/>
      <c r="U891" s="308"/>
      <c r="V891" s="308"/>
      <c r="W891" s="308"/>
      <c r="X891" s="308"/>
      <c r="Y891" s="308"/>
      <c r="Z891" s="604"/>
      <c r="AA891" s="308"/>
      <c r="AB891" s="308"/>
      <c r="AC891" s="454"/>
      <c r="AD891" s="454"/>
      <c r="AE891" s="454"/>
      <c r="AF891" s="454"/>
      <c r="AG891" s="454"/>
      <c r="AH891" s="454"/>
      <c r="AI891" s="454"/>
      <c r="AJ891" s="454"/>
      <c r="AK891" s="455"/>
      <c r="AL891" s="110"/>
      <c r="AM891" s="34"/>
      <c r="AN891" s="34"/>
      <c r="AO891" s="34"/>
      <c r="AP891" s="34"/>
      <c r="AQ891" s="34"/>
      <c r="AR891" s="34"/>
      <c r="AS891" s="35"/>
      <c r="AT891" s="35"/>
      <c r="AU891" s="35"/>
      <c r="AV891" s="35"/>
      <c r="AW891" s="35"/>
      <c r="AX891" s="35"/>
      <c r="AY891" s="35"/>
      <c r="AZ891" s="35"/>
      <c r="BA891" s="35"/>
      <c r="BB891" s="35"/>
      <c r="BC891" s="35"/>
      <c r="BD891" s="35"/>
      <c r="BE891" s="35"/>
      <c r="BF891" s="35"/>
      <c r="BG891" s="35"/>
      <c r="BH891" s="35"/>
      <c r="BI891" s="35"/>
      <c r="BJ891" s="35"/>
      <c r="BK891" s="35"/>
      <c r="BL891" s="35"/>
      <c r="BM891" s="35"/>
      <c r="BN891" s="35"/>
      <c r="BO891" s="35"/>
      <c r="BP891" s="36"/>
      <c r="BQ891" s="36"/>
      <c r="BR891" s="36"/>
      <c r="BS891" s="36"/>
      <c r="BT891" s="36"/>
      <c r="BU891" s="36"/>
      <c r="BV891" s="36"/>
      <c r="BW891" s="36"/>
      <c r="BX891" s="36"/>
      <c r="BY891" s="36"/>
      <c r="BZ891" s="36"/>
      <c r="CA891" s="36"/>
      <c r="CB891" s="36"/>
      <c r="CC891" s="36"/>
      <c r="CD891" s="36"/>
      <c r="CE891" s="36"/>
      <c r="CF891" s="36"/>
      <c r="CG891" s="36"/>
      <c r="CH891" s="36"/>
      <c r="CI891" s="36"/>
      <c r="CJ891" s="36"/>
      <c r="CK891" s="36"/>
      <c r="CL891" s="36"/>
      <c r="CM891" s="36"/>
      <c r="CN891" s="36"/>
      <c r="CO891" s="36"/>
      <c r="CP891" s="36"/>
      <c r="CQ891" s="36"/>
      <c r="CR891" s="36"/>
      <c r="CS891" s="36"/>
      <c r="CT891" s="36"/>
      <c r="CU891" s="36"/>
      <c r="CV891" s="36"/>
      <c r="CW891" s="36"/>
      <c r="CX891" s="36"/>
      <c r="CY891" s="36"/>
      <c r="CZ891" s="36"/>
      <c r="DA891" s="36"/>
      <c r="DB891" s="36"/>
      <c r="DC891" s="36"/>
      <c r="DD891" s="36"/>
      <c r="DE891" s="36"/>
      <c r="DF891" s="36"/>
      <c r="DG891" s="36"/>
      <c r="DH891" s="36"/>
      <c r="DI891" s="36"/>
      <c r="DJ891" s="36"/>
      <c r="DK891" s="36"/>
      <c r="DL891" s="36"/>
      <c r="DM891" s="36"/>
      <c r="DN891" s="36"/>
      <c r="DO891" s="36"/>
      <c r="DP891" s="36"/>
      <c r="DQ891" s="36"/>
      <c r="DR891" s="36"/>
      <c r="DS891" s="36"/>
      <c r="DT891" s="36"/>
      <c r="DU891" s="36"/>
      <c r="DV891" s="36"/>
      <c r="DW891" s="36"/>
      <c r="DX891" s="36"/>
      <c r="DY891" s="36"/>
      <c r="DZ891" s="36"/>
      <c r="EA891" s="36"/>
      <c r="EB891" s="36"/>
      <c r="EC891" s="36"/>
      <c r="ED891" s="36"/>
      <c r="EE891" s="36"/>
      <c r="EF891" s="36"/>
      <c r="EG891" s="36"/>
      <c r="EH891" s="36"/>
      <c r="EI891" s="36"/>
      <c r="EJ891" s="36"/>
      <c r="EK891" s="36"/>
      <c r="EL891" s="36"/>
      <c r="EM891" s="36"/>
      <c r="EN891" s="36"/>
      <c r="EO891" s="36"/>
      <c r="EP891" s="36"/>
      <c r="EQ891" s="36"/>
      <c r="ER891" s="36"/>
      <c r="ES891" s="36"/>
      <c r="ET891" s="36"/>
      <c r="EU891" s="36"/>
      <c r="EV891" s="36"/>
      <c r="EW891" s="36"/>
      <c r="EX891" s="36"/>
      <c r="EY891" s="36"/>
      <c r="EZ891" s="36"/>
      <c r="FA891" s="36"/>
      <c r="FB891" s="36"/>
      <c r="FC891" s="36"/>
      <c r="FD891" s="36"/>
      <c r="FE891" s="36"/>
      <c r="FF891" s="36"/>
      <c r="FG891" s="36"/>
      <c r="FH891" s="36"/>
      <c r="FI891" s="36"/>
      <c r="FJ891" s="36"/>
      <c r="FK891" s="36"/>
      <c r="FL891" s="36"/>
      <c r="FM891" s="36"/>
      <c r="FN891" s="36"/>
      <c r="FO891" s="36"/>
      <c r="FP891" s="36"/>
      <c r="FQ891" s="36"/>
      <c r="FR891" s="36"/>
      <c r="FS891" s="36"/>
      <c r="FT891" s="36"/>
      <c r="FU891" s="36"/>
      <c r="FV891" s="36"/>
      <c r="FW891" s="36"/>
      <c r="FX891" s="36"/>
      <c r="FY891" s="36"/>
      <c r="FZ891" s="36"/>
      <c r="GA891" s="36"/>
      <c r="GB891" s="36"/>
      <c r="GC891" s="36"/>
      <c r="GD891" s="36"/>
      <c r="GE891" s="36"/>
      <c r="GF891" s="36"/>
      <c r="GG891" s="36"/>
      <c r="GH891" s="36"/>
      <c r="GI891" s="36"/>
      <c r="GJ891" s="36"/>
      <c r="GK891" s="36"/>
      <c r="GL891" s="36"/>
      <c r="GM891" s="36"/>
      <c r="GN891" s="36"/>
      <c r="GO891" s="36"/>
      <c r="GP891" s="36"/>
      <c r="GQ891" s="36"/>
      <c r="GR891" s="36"/>
      <c r="GS891" s="36"/>
      <c r="GT891" s="36"/>
      <c r="GU891" s="36"/>
      <c r="GV891" s="36"/>
      <c r="GW891" s="36"/>
      <c r="GX891" s="36"/>
      <c r="GY891" s="36"/>
      <c r="GZ891" s="36"/>
      <c r="HA891" s="36"/>
      <c r="HB891" s="36"/>
      <c r="HC891" s="36"/>
      <c r="HD891" s="36"/>
      <c r="HE891" s="36"/>
      <c r="HF891" s="36"/>
      <c r="HG891" s="36"/>
      <c r="HH891" s="36"/>
      <c r="HI891" s="36"/>
      <c r="HJ891" s="36"/>
      <c r="HK891" s="36"/>
      <c r="HL891" s="36"/>
      <c r="HM891" s="36"/>
      <c r="HN891" s="36"/>
      <c r="HO891" s="36"/>
      <c r="HP891" s="36"/>
      <c r="HQ891" s="36"/>
      <c r="HR891" s="36"/>
      <c r="HS891" s="36"/>
      <c r="HT891" s="36"/>
      <c r="HU891" s="36"/>
      <c r="HV891" s="36"/>
      <c r="HW891" s="36"/>
      <c r="HX891" s="36"/>
      <c r="HY891" s="36"/>
      <c r="HZ891" s="36"/>
      <c r="IA891" s="36"/>
      <c r="IB891" s="36"/>
      <c r="IC891" s="36"/>
      <c r="ID891" s="36"/>
      <c r="IE891" s="36"/>
      <c r="IF891" s="36"/>
      <c r="IG891" s="36"/>
      <c r="IH891" s="36"/>
      <c r="II891" s="36"/>
      <c r="IJ891" s="36"/>
      <c r="IK891" s="36"/>
      <c r="IL891" s="36"/>
      <c r="IM891" s="36"/>
      <c r="IN891" s="36"/>
      <c r="IO891" s="36"/>
      <c r="IP891" s="36"/>
      <c r="IQ891" s="36"/>
      <c r="IR891" s="36"/>
      <c r="IS891" s="36"/>
      <c r="IT891" s="36"/>
      <c r="IU891" s="36"/>
      <c r="IV891" s="36"/>
      <c r="IW891" s="36"/>
      <c r="IX891" s="36"/>
      <c r="IY891" s="36"/>
      <c r="IZ891" s="36"/>
      <c r="JA891" s="36"/>
      <c r="JB891" s="36"/>
      <c r="JC891" s="36"/>
      <c r="JD891" s="36"/>
      <c r="JE891" s="36"/>
      <c r="JF891" s="36"/>
      <c r="JG891" s="36"/>
      <c r="JH891" s="36"/>
      <c r="JI891" s="36"/>
      <c r="JJ891" s="36"/>
      <c r="JK891" s="36"/>
      <c r="JL891" s="36"/>
      <c r="JM891" s="36"/>
      <c r="JN891" s="36"/>
      <c r="JO891" s="36"/>
      <c r="JP891" s="36"/>
      <c r="JQ891" s="36"/>
      <c r="JR891" s="36"/>
      <c r="JS891" s="36"/>
      <c r="JT891" s="36"/>
      <c r="JU891" s="36"/>
      <c r="JV891" s="36"/>
      <c r="JW891" s="36"/>
      <c r="JX891" s="36"/>
      <c r="JY891" s="36"/>
      <c r="JZ891" s="36"/>
      <c r="KA891" s="36"/>
      <c r="KB891" s="36"/>
      <c r="KC891" s="36"/>
      <c r="KD891" s="36"/>
      <c r="KE891" s="36"/>
      <c r="KF891" s="36"/>
      <c r="KG891" s="36"/>
      <c r="KH891" s="36"/>
      <c r="KI891" s="36"/>
      <c r="KJ891" s="36"/>
      <c r="KK891" s="36"/>
      <c r="KL891" s="36"/>
      <c r="KM891" s="36"/>
      <c r="KN891" s="36"/>
      <c r="KO891" s="36"/>
      <c r="KP891" s="36"/>
      <c r="KQ891" s="36"/>
      <c r="KR891" s="36"/>
      <c r="KS891" s="36"/>
      <c r="KT891" s="36"/>
      <c r="KU891" s="36"/>
      <c r="KV891" s="36"/>
      <c r="KW891" s="36"/>
      <c r="KX891" s="36"/>
      <c r="KY891" s="36"/>
      <c r="KZ891" s="36"/>
      <c r="LA891" s="36"/>
      <c r="LB891" s="36"/>
      <c r="LC891" s="36"/>
      <c r="LD891" s="36"/>
      <c r="LE891" s="36"/>
      <c r="LF891" s="36"/>
      <c r="LG891" s="36"/>
      <c r="LH891" s="36"/>
      <c r="LI891" s="36"/>
      <c r="LJ891" s="36"/>
      <c r="LK891" s="36"/>
      <c r="LL891" s="36"/>
      <c r="LM891" s="36"/>
      <c r="LN891" s="36"/>
      <c r="LO891" s="36"/>
      <c r="LP891" s="36"/>
      <c r="LQ891" s="36"/>
      <c r="LR891" s="36"/>
      <c r="LS891" s="36"/>
      <c r="LT891" s="36"/>
      <c r="LU891" s="36"/>
      <c r="LV891" s="36"/>
      <c r="LW891" s="36"/>
      <c r="LX891" s="36"/>
      <c r="LY891" s="36"/>
      <c r="LZ891" s="36"/>
      <c r="MA891" s="36"/>
      <c r="MB891" s="36"/>
      <c r="MC891" s="36"/>
      <c r="MD891" s="36"/>
      <c r="ME891" s="36"/>
      <c r="MF891" s="36"/>
      <c r="MG891" s="36"/>
      <c r="MH891" s="36"/>
      <c r="MI891" s="36"/>
      <c r="MJ891" s="36"/>
      <c r="MK891" s="36"/>
      <c r="ML891" s="36"/>
      <c r="MM891" s="36"/>
      <c r="MN891" s="36"/>
      <c r="MO891" s="36"/>
      <c r="MP891" s="36"/>
      <c r="MQ891" s="36"/>
      <c r="MR891" s="36"/>
      <c r="MS891" s="36"/>
      <c r="MT891" s="36"/>
      <c r="MU891" s="36"/>
      <c r="MV891" s="36"/>
      <c r="MW891" s="36"/>
      <c r="MX891" s="36"/>
      <c r="MY891" s="36"/>
      <c r="MZ891" s="36"/>
      <c r="NA891" s="36"/>
      <c r="NB891" s="36"/>
      <c r="NC891" s="36"/>
      <c r="ND891" s="36"/>
      <c r="NE891" s="36"/>
      <c r="NF891" s="36"/>
      <c r="NG891" s="36"/>
      <c r="NH891" s="36"/>
      <c r="NI891" s="36"/>
      <c r="NJ891" s="36"/>
      <c r="NK891" s="36"/>
      <c r="NL891" s="36"/>
      <c r="NM891" s="36"/>
      <c r="NN891" s="36"/>
      <c r="NO891" s="36"/>
      <c r="NP891" s="36"/>
      <c r="NQ891" s="36"/>
      <c r="NR891" s="36"/>
      <c r="NS891" s="36"/>
      <c r="NT891" s="36"/>
      <c r="NU891" s="36"/>
      <c r="NV891" s="36"/>
      <c r="NW891" s="36"/>
      <c r="NX891" s="36"/>
      <c r="NY891" s="36"/>
      <c r="NZ891" s="36"/>
      <c r="OA891" s="36"/>
      <c r="OB891" s="36"/>
      <c r="OC891" s="36"/>
      <c r="OD891" s="36"/>
      <c r="OE891" s="36"/>
      <c r="OF891" s="36"/>
      <c r="OG891" s="36"/>
      <c r="OH891" s="36"/>
      <c r="OI891" s="36"/>
      <c r="OJ891" s="36"/>
      <c r="OK891" s="36"/>
      <c r="OL891" s="36"/>
      <c r="OM891" s="36"/>
      <c r="ON891" s="36"/>
      <c r="OO891" s="36"/>
      <c r="OP891" s="36"/>
      <c r="OQ891" s="36"/>
      <c r="OR891" s="36"/>
      <c r="OS891" s="36"/>
      <c r="OT891" s="36"/>
      <c r="OU891" s="36"/>
      <c r="OV891" s="36"/>
      <c r="OW891" s="36"/>
      <c r="OX891" s="36"/>
      <c r="OY891" s="36"/>
      <c r="OZ891" s="36"/>
      <c r="PA891" s="36"/>
      <c r="PB891" s="36"/>
      <c r="PC891" s="36"/>
      <c r="PD891" s="36"/>
      <c r="PE891" s="36"/>
      <c r="PF891" s="36"/>
      <c r="PG891" s="36"/>
      <c r="PH891" s="36"/>
      <c r="PI891" s="36"/>
      <c r="PJ891" s="36"/>
      <c r="PK891" s="36"/>
      <c r="PL891" s="36"/>
      <c r="PM891" s="36"/>
      <c r="PN891" s="36"/>
      <c r="PO891" s="36"/>
      <c r="PP891" s="36"/>
      <c r="PQ891" s="36"/>
      <c r="PR891" s="36"/>
      <c r="PS891" s="36"/>
      <c r="PT891" s="36"/>
      <c r="PU891" s="36"/>
      <c r="PV891" s="36"/>
      <c r="PW891" s="36"/>
      <c r="PX891" s="36"/>
      <c r="PY891" s="36"/>
      <c r="PZ891" s="36"/>
      <c r="QA891" s="36"/>
      <c r="QB891" s="36"/>
      <c r="QC891" s="36"/>
      <c r="QD891" s="36"/>
      <c r="QE891" s="36"/>
      <c r="QF891" s="36"/>
      <c r="QG891" s="36"/>
      <c r="QH891" s="36"/>
      <c r="QI891" s="36"/>
      <c r="QJ891" s="36"/>
      <c r="QK891" s="36"/>
      <c r="QL891" s="36"/>
      <c r="QM891" s="36"/>
      <c r="QN891" s="36"/>
      <c r="QO891" s="36"/>
      <c r="QP891" s="36"/>
      <c r="QQ891" s="36"/>
      <c r="QR891" s="36"/>
      <c r="QS891" s="36"/>
      <c r="QT891" s="36"/>
      <c r="QU891" s="36"/>
      <c r="QV891" s="36"/>
      <c r="QW891" s="36"/>
      <c r="QX891" s="36"/>
      <c r="QY891" s="36"/>
      <c r="QZ891" s="36"/>
      <c r="RA891" s="36"/>
      <c r="RB891" s="36"/>
      <c r="RC891" s="36"/>
      <c r="RD891" s="36"/>
      <c r="RE891" s="36"/>
      <c r="RF891" s="36"/>
      <c r="RG891" s="36"/>
      <c r="RH891" s="36"/>
      <c r="RI891" s="36"/>
      <c r="RJ891" s="36"/>
      <c r="RK891" s="36"/>
      <c r="RL891" s="36"/>
      <c r="RM891" s="36"/>
      <c r="RN891" s="36"/>
      <c r="RO891" s="36"/>
      <c r="RP891" s="36"/>
      <c r="RQ891" s="36"/>
      <c r="RR891" s="36"/>
      <c r="RS891" s="36"/>
      <c r="RT891" s="36"/>
      <c r="RU891" s="36"/>
      <c r="RV891" s="36"/>
      <c r="RW891" s="36"/>
      <c r="RX891" s="36"/>
      <c r="RY891" s="36"/>
      <c r="RZ891" s="36"/>
      <c r="SA891" s="36"/>
      <c r="SB891" s="36"/>
      <c r="SC891" s="36"/>
      <c r="SD891" s="36"/>
      <c r="SE891" s="36"/>
      <c r="SF891" s="36"/>
      <c r="SG891" s="36"/>
      <c r="SH891" s="36"/>
      <c r="SI891" s="36"/>
      <c r="SJ891" s="36"/>
      <c r="SK891" s="36"/>
      <c r="SL891" s="36"/>
      <c r="SM891" s="36"/>
      <c r="SN891" s="36"/>
      <c r="SO891" s="36"/>
      <c r="SP891" s="36"/>
      <c r="SQ891" s="36"/>
      <c r="SR891" s="36"/>
      <c r="SS891" s="36"/>
      <c r="ST891" s="36"/>
      <c r="SU891" s="36"/>
      <c r="SV891" s="36"/>
      <c r="SW891" s="36"/>
      <c r="SX891" s="36"/>
      <c r="SY891" s="36"/>
      <c r="SZ891" s="36"/>
      <c r="TA891" s="36"/>
      <c r="TB891" s="36"/>
      <c r="TC891" s="36"/>
      <c r="TD891" s="36"/>
      <c r="TE891" s="36"/>
      <c r="TF891" s="36"/>
      <c r="TG891" s="36"/>
      <c r="TH891" s="36"/>
      <c r="TI891" s="36"/>
      <c r="TJ891" s="36"/>
      <c r="TK891" s="36"/>
      <c r="TL891" s="36"/>
      <c r="TM891" s="36"/>
      <c r="TN891" s="36"/>
      <c r="TO891" s="36"/>
      <c r="TP891" s="36"/>
      <c r="TQ891" s="36"/>
      <c r="TR891" s="36"/>
      <c r="TS891" s="36"/>
      <c r="TT891" s="36"/>
      <c r="TU891" s="36"/>
      <c r="TV891" s="36"/>
      <c r="TW891" s="36"/>
      <c r="TX891" s="36"/>
      <c r="TY891" s="36"/>
      <c r="TZ891" s="36"/>
      <c r="UA891" s="36"/>
      <c r="UB891" s="36"/>
      <c r="UC891" s="36"/>
      <c r="UD891" s="36"/>
      <c r="UE891" s="36"/>
      <c r="UF891" s="36"/>
      <c r="UG891" s="37"/>
    </row>
    <row r="892" spans="1:553" ht="30.75" customHeight="1">
      <c r="A892" s="356" t="s">
        <v>66</v>
      </c>
      <c r="B892" s="356"/>
      <c r="C892" s="1413" t="s">
        <v>67</v>
      </c>
      <c r="D892" s="1389"/>
      <c r="E892" s="1389"/>
      <c r="F892" s="1390"/>
      <c r="G892" s="356"/>
      <c r="H892" s="359"/>
      <c r="I892" s="359"/>
      <c r="J892" s="357"/>
      <c r="K892" s="364"/>
      <c r="L892" s="356"/>
      <c r="M892" s="356"/>
      <c r="N892" s="356"/>
      <c r="O892" s="356"/>
      <c r="P892" s="835"/>
      <c r="Q892" s="1154"/>
      <c r="R892" s="421"/>
      <c r="S892" s="308"/>
      <c r="T892" s="308"/>
      <c r="U892" s="308"/>
      <c r="V892" s="308"/>
      <c r="W892" s="308"/>
      <c r="X892" s="308"/>
      <c r="Y892" s="308"/>
      <c r="Z892" s="604"/>
      <c r="AA892" s="308"/>
      <c r="AB892" s="308"/>
      <c r="AC892" s="454"/>
      <c r="AD892" s="454"/>
      <c r="AE892" s="454"/>
      <c r="AF892" s="454"/>
      <c r="AG892" s="454"/>
      <c r="AH892" s="454"/>
      <c r="AI892" s="454"/>
      <c r="AJ892" s="454"/>
      <c r="AK892" s="455"/>
      <c r="AL892" s="110"/>
      <c r="AM892" s="34"/>
      <c r="AN892" s="34"/>
      <c r="AO892" s="34"/>
      <c r="AP892" s="34"/>
      <c r="AQ892" s="34"/>
      <c r="AR892" s="34"/>
      <c r="AS892" s="35"/>
      <c r="AT892" s="35"/>
      <c r="AU892" s="35"/>
      <c r="AV892" s="35"/>
      <c r="AW892" s="35"/>
      <c r="AX892" s="35"/>
      <c r="AY892" s="35"/>
      <c r="AZ892" s="35"/>
      <c r="BA892" s="35"/>
      <c r="BB892" s="35"/>
      <c r="BC892" s="35"/>
      <c r="BD892" s="35"/>
      <c r="BE892" s="35"/>
      <c r="BF892" s="35"/>
      <c r="BG892" s="35"/>
      <c r="BH892" s="35"/>
      <c r="BI892" s="35"/>
      <c r="BJ892" s="35"/>
      <c r="BK892" s="35"/>
      <c r="BL892" s="35"/>
      <c r="BM892" s="35"/>
      <c r="BN892" s="35"/>
      <c r="BO892" s="35"/>
      <c r="BP892" s="36"/>
      <c r="BQ892" s="36"/>
      <c r="BR892" s="36"/>
      <c r="BS892" s="36"/>
      <c r="BT892" s="36"/>
      <c r="BU892" s="36"/>
      <c r="BV892" s="36"/>
      <c r="BW892" s="36"/>
      <c r="BX892" s="36"/>
      <c r="BY892" s="36"/>
      <c r="BZ892" s="36"/>
      <c r="CA892" s="36"/>
      <c r="CB892" s="36"/>
      <c r="CC892" s="36"/>
      <c r="CD892" s="36"/>
      <c r="CE892" s="36"/>
      <c r="CF892" s="36"/>
      <c r="CG892" s="36"/>
      <c r="CH892" s="36"/>
      <c r="CI892" s="36"/>
      <c r="CJ892" s="36"/>
      <c r="CK892" s="36"/>
      <c r="CL892" s="36"/>
      <c r="CM892" s="36"/>
      <c r="CN892" s="36"/>
      <c r="CO892" s="36"/>
      <c r="CP892" s="36"/>
      <c r="CQ892" s="36"/>
      <c r="CR892" s="36"/>
      <c r="CS892" s="36"/>
      <c r="CT892" s="36"/>
      <c r="CU892" s="36"/>
      <c r="CV892" s="36"/>
      <c r="CW892" s="36"/>
      <c r="CX892" s="36"/>
      <c r="CY892" s="36"/>
      <c r="CZ892" s="36"/>
      <c r="DA892" s="36"/>
      <c r="DB892" s="36"/>
      <c r="DC892" s="36"/>
      <c r="DD892" s="36"/>
      <c r="DE892" s="36"/>
      <c r="DF892" s="36"/>
      <c r="DG892" s="36"/>
      <c r="DH892" s="36"/>
      <c r="DI892" s="36"/>
      <c r="DJ892" s="36"/>
      <c r="DK892" s="36"/>
      <c r="DL892" s="36"/>
      <c r="DM892" s="36"/>
      <c r="DN892" s="36"/>
      <c r="DO892" s="36"/>
      <c r="DP892" s="36"/>
      <c r="DQ892" s="36"/>
      <c r="DR892" s="36"/>
      <c r="DS892" s="36"/>
      <c r="DT892" s="36"/>
      <c r="DU892" s="36"/>
      <c r="DV892" s="36"/>
      <c r="DW892" s="36"/>
      <c r="DX892" s="36"/>
      <c r="DY892" s="36"/>
      <c r="DZ892" s="36"/>
      <c r="EA892" s="36"/>
      <c r="EB892" s="36"/>
      <c r="EC892" s="36"/>
      <c r="ED892" s="36"/>
      <c r="EE892" s="36"/>
      <c r="EF892" s="36"/>
      <c r="EG892" s="36"/>
      <c r="EH892" s="36"/>
      <c r="EI892" s="36"/>
      <c r="EJ892" s="36"/>
      <c r="EK892" s="36"/>
      <c r="EL892" s="36"/>
      <c r="EM892" s="36"/>
      <c r="EN892" s="36"/>
      <c r="EO892" s="36"/>
      <c r="EP892" s="36"/>
      <c r="EQ892" s="36"/>
      <c r="ER892" s="36"/>
      <c r="ES892" s="36"/>
      <c r="ET892" s="36"/>
      <c r="EU892" s="36"/>
      <c r="EV892" s="36"/>
      <c r="EW892" s="36"/>
      <c r="EX892" s="36"/>
      <c r="EY892" s="36"/>
      <c r="EZ892" s="36"/>
      <c r="FA892" s="36"/>
      <c r="FB892" s="36"/>
      <c r="FC892" s="36"/>
      <c r="FD892" s="36"/>
      <c r="FE892" s="36"/>
      <c r="FF892" s="36"/>
      <c r="FG892" s="36"/>
      <c r="FH892" s="36"/>
      <c r="FI892" s="36"/>
      <c r="FJ892" s="36"/>
      <c r="FK892" s="36"/>
      <c r="FL892" s="36"/>
      <c r="FM892" s="36"/>
      <c r="FN892" s="36"/>
      <c r="FO892" s="36"/>
      <c r="FP892" s="36"/>
      <c r="FQ892" s="36"/>
      <c r="FR892" s="36"/>
      <c r="FS892" s="36"/>
      <c r="FT892" s="36"/>
      <c r="FU892" s="36"/>
      <c r="FV892" s="36"/>
      <c r="FW892" s="36"/>
      <c r="FX892" s="36"/>
      <c r="FY892" s="36"/>
      <c r="FZ892" s="36"/>
      <c r="GA892" s="36"/>
      <c r="GB892" s="36"/>
      <c r="GC892" s="36"/>
      <c r="GD892" s="36"/>
      <c r="GE892" s="36"/>
      <c r="GF892" s="36"/>
      <c r="GG892" s="36"/>
      <c r="GH892" s="36"/>
      <c r="GI892" s="36"/>
      <c r="GJ892" s="36"/>
      <c r="GK892" s="36"/>
      <c r="GL892" s="36"/>
      <c r="GM892" s="36"/>
      <c r="GN892" s="36"/>
      <c r="GO892" s="36"/>
      <c r="GP892" s="36"/>
      <c r="GQ892" s="36"/>
      <c r="GR892" s="36"/>
      <c r="GS892" s="36"/>
      <c r="GT892" s="36"/>
      <c r="GU892" s="36"/>
      <c r="GV892" s="36"/>
      <c r="GW892" s="36"/>
      <c r="GX892" s="36"/>
      <c r="GY892" s="36"/>
      <c r="GZ892" s="36"/>
      <c r="HA892" s="36"/>
      <c r="HB892" s="36"/>
      <c r="HC892" s="36"/>
      <c r="HD892" s="36"/>
      <c r="HE892" s="36"/>
      <c r="HF892" s="36"/>
      <c r="HG892" s="36"/>
      <c r="HH892" s="36"/>
      <c r="HI892" s="36"/>
      <c r="HJ892" s="36"/>
      <c r="HK892" s="36"/>
      <c r="HL892" s="36"/>
      <c r="HM892" s="36"/>
      <c r="HN892" s="36"/>
      <c r="HO892" s="36"/>
      <c r="HP892" s="36"/>
      <c r="HQ892" s="36"/>
      <c r="HR892" s="36"/>
      <c r="HS892" s="36"/>
      <c r="HT892" s="36"/>
      <c r="HU892" s="36"/>
      <c r="HV892" s="36"/>
      <c r="HW892" s="36"/>
      <c r="HX892" s="36"/>
      <c r="HY892" s="36"/>
      <c r="HZ892" s="36"/>
      <c r="IA892" s="36"/>
      <c r="IB892" s="36"/>
      <c r="IC892" s="36"/>
      <c r="ID892" s="36"/>
      <c r="IE892" s="36"/>
      <c r="IF892" s="36"/>
      <c r="IG892" s="36"/>
      <c r="IH892" s="36"/>
      <c r="II892" s="36"/>
      <c r="IJ892" s="36"/>
      <c r="IK892" s="36"/>
      <c r="IL892" s="36"/>
      <c r="IM892" s="36"/>
      <c r="IN892" s="36"/>
      <c r="IO892" s="36"/>
      <c r="IP892" s="36"/>
      <c r="IQ892" s="36"/>
      <c r="IR892" s="36"/>
      <c r="IS892" s="36"/>
      <c r="IT892" s="36"/>
      <c r="IU892" s="36"/>
      <c r="IV892" s="36"/>
      <c r="IW892" s="36"/>
      <c r="IX892" s="36"/>
      <c r="IY892" s="36"/>
      <c r="IZ892" s="36"/>
      <c r="JA892" s="36"/>
      <c r="JB892" s="36"/>
      <c r="JC892" s="36"/>
      <c r="JD892" s="36"/>
      <c r="JE892" s="36"/>
      <c r="JF892" s="36"/>
      <c r="JG892" s="36"/>
      <c r="JH892" s="36"/>
      <c r="JI892" s="36"/>
      <c r="JJ892" s="36"/>
      <c r="JK892" s="36"/>
      <c r="JL892" s="36"/>
      <c r="JM892" s="36"/>
      <c r="JN892" s="36"/>
      <c r="JO892" s="36"/>
      <c r="JP892" s="36"/>
      <c r="JQ892" s="36"/>
      <c r="JR892" s="36"/>
      <c r="JS892" s="36"/>
      <c r="JT892" s="36"/>
      <c r="JU892" s="36"/>
      <c r="JV892" s="36"/>
      <c r="JW892" s="36"/>
      <c r="JX892" s="36"/>
      <c r="JY892" s="36"/>
      <c r="JZ892" s="36"/>
      <c r="KA892" s="36"/>
      <c r="KB892" s="36"/>
      <c r="KC892" s="36"/>
      <c r="KD892" s="36"/>
      <c r="KE892" s="36"/>
      <c r="KF892" s="36"/>
      <c r="KG892" s="36"/>
      <c r="KH892" s="36"/>
      <c r="KI892" s="36"/>
      <c r="KJ892" s="36"/>
      <c r="KK892" s="36"/>
      <c r="KL892" s="36"/>
      <c r="KM892" s="36"/>
      <c r="KN892" s="36"/>
      <c r="KO892" s="36"/>
      <c r="KP892" s="36"/>
      <c r="KQ892" s="36"/>
      <c r="KR892" s="36"/>
      <c r="KS892" s="36"/>
      <c r="KT892" s="36"/>
      <c r="KU892" s="36"/>
      <c r="KV892" s="36"/>
      <c r="KW892" s="36"/>
      <c r="KX892" s="36"/>
      <c r="KY892" s="36"/>
      <c r="KZ892" s="36"/>
      <c r="LA892" s="36"/>
      <c r="LB892" s="36"/>
      <c r="LC892" s="36"/>
      <c r="LD892" s="36"/>
      <c r="LE892" s="36"/>
      <c r="LF892" s="36"/>
      <c r="LG892" s="36"/>
      <c r="LH892" s="36"/>
      <c r="LI892" s="36"/>
      <c r="LJ892" s="36"/>
      <c r="LK892" s="36"/>
      <c r="LL892" s="36"/>
      <c r="LM892" s="36"/>
      <c r="LN892" s="36"/>
      <c r="LO892" s="36"/>
      <c r="LP892" s="36"/>
      <c r="LQ892" s="36"/>
      <c r="LR892" s="36"/>
      <c r="LS892" s="36"/>
      <c r="LT892" s="36"/>
      <c r="LU892" s="36"/>
      <c r="LV892" s="36"/>
      <c r="LW892" s="36"/>
      <c r="LX892" s="36"/>
      <c r="LY892" s="36"/>
      <c r="LZ892" s="36"/>
      <c r="MA892" s="36"/>
      <c r="MB892" s="36"/>
      <c r="MC892" s="36"/>
      <c r="MD892" s="36"/>
      <c r="ME892" s="36"/>
      <c r="MF892" s="36"/>
      <c r="MG892" s="36"/>
      <c r="MH892" s="36"/>
      <c r="MI892" s="36"/>
      <c r="MJ892" s="36"/>
      <c r="MK892" s="36"/>
      <c r="ML892" s="36"/>
      <c r="MM892" s="36"/>
      <c r="MN892" s="36"/>
      <c r="MO892" s="36"/>
      <c r="MP892" s="36"/>
      <c r="MQ892" s="36"/>
      <c r="MR892" s="36"/>
      <c r="MS892" s="36"/>
      <c r="MT892" s="36"/>
      <c r="MU892" s="36"/>
      <c r="MV892" s="36"/>
      <c r="MW892" s="36"/>
      <c r="MX892" s="36"/>
      <c r="MY892" s="36"/>
      <c r="MZ892" s="36"/>
      <c r="NA892" s="36"/>
      <c r="NB892" s="36"/>
      <c r="NC892" s="36"/>
      <c r="ND892" s="36"/>
      <c r="NE892" s="36"/>
      <c r="NF892" s="36"/>
      <c r="NG892" s="36"/>
      <c r="NH892" s="36"/>
      <c r="NI892" s="36"/>
      <c r="NJ892" s="36"/>
      <c r="NK892" s="36"/>
      <c r="NL892" s="36"/>
      <c r="NM892" s="36"/>
      <c r="NN892" s="36"/>
      <c r="NO892" s="36"/>
      <c r="NP892" s="36"/>
      <c r="NQ892" s="36"/>
      <c r="NR892" s="36"/>
      <c r="NS892" s="36"/>
      <c r="NT892" s="36"/>
      <c r="NU892" s="36"/>
      <c r="NV892" s="36"/>
      <c r="NW892" s="36"/>
      <c r="NX892" s="36"/>
      <c r="NY892" s="36"/>
      <c r="NZ892" s="36"/>
      <c r="OA892" s="36"/>
      <c r="OB892" s="36"/>
      <c r="OC892" s="36"/>
      <c r="OD892" s="36"/>
      <c r="OE892" s="36"/>
      <c r="OF892" s="36"/>
      <c r="OG892" s="36"/>
      <c r="OH892" s="36"/>
      <c r="OI892" s="36"/>
      <c r="OJ892" s="36"/>
      <c r="OK892" s="36"/>
      <c r="OL892" s="36"/>
      <c r="OM892" s="36"/>
      <c r="ON892" s="36"/>
      <c r="OO892" s="36"/>
      <c r="OP892" s="36"/>
      <c r="OQ892" s="36"/>
      <c r="OR892" s="36"/>
      <c r="OS892" s="36"/>
      <c r="OT892" s="36"/>
      <c r="OU892" s="36"/>
      <c r="OV892" s="36"/>
      <c r="OW892" s="36"/>
      <c r="OX892" s="36"/>
      <c r="OY892" s="36"/>
      <c r="OZ892" s="36"/>
      <c r="PA892" s="36"/>
      <c r="PB892" s="36"/>
      <c r="PC892" s="36"/>
      <c r="PD892" s="36"/>
      <c r="PE892" s="36"/>
      <c r="PF892" s="36"/>
      <c r="PG892" s="36"/>
      <c r="PH892" s="36"/>
      <c r="PI892" s="36"/>
      <c r="PJ892" s="36"/>
      <c r="PK892" s="36"/>
      <c r="PL892" s="36"/>
      <c r="PM892" s="36"/>
      <c r="PN892" s="36"/>
      <c r="PO892" s="36"/>
      <c r="PP892" s="36"/>
      <c r="PQ892" s="36"/>
      <c r="PR892" s="36"/>
      <c r="PS892" s="36"/>
      <c r="PT892" s="36"/>
      <c r="PU892" s="36"/>
      <c r="PV892" s="36"/>
      <c r="PW892" s="36"/>
      <c r="PX892" s="36"/>
      <c r="PY892" s="36"/>
      <c r="PZ892" s="36"/>
      <c r="QA892" s="36"/>
      <c r="QB892" s="36"/>
      <c r="QC892" s="36"/>
      <c r="QD892" s="36"/>
      <c r="QE892" s="36"/>
      <c r="QF892" s="36"/>
      <c r="QG892" s="36"/>
      <c r="QH892" s="36"/>
      <c r="QI892" s="36"/>
      <c r="QJ892" s="36"/>
      <c r="QK892" s="36"/>
      <c r="QL892" s="36"/>
      <c r="QM892" s="36"/>
      <c r="QN892" s="36"/>
      <c r="QO892" s="36"/>
      <c r="QP892" s="36"/>
      <c r="QQ892" s="36"/>
      <c r="QR892" s="36"/>
      <c r="QS892" s="36"/>
      <c r="QT892" s="36"/>
      <c r="QU892" s="36"/>
      <c r="QV892" s="36"/>
      <c r="QW892" s="36"/>
      <c r="QX892" s="36"/>
      <c r="QY892" s="36"/>
      <c r="QZ892" s="36"/>
      <c r="RA892" s="36"/>
      <c r="RB892" s="36"/>
      <c r="RC892" s="36"/>
      <c r="RD892" s="36"/>
      <c r="RE892" s="36"/>
      <c r="RF892" s="36"/>
      <c r="RG892" s="36"/>
      <c r="RH892" s="36"/>
      <c r="RI892" s="36"/>
      <c r="RJ892" s="36"/>
      <c r="RK892" s="36"/>
      <c r="RL892" s="36"/>
      <c r="RM892" s="36"/>
      <c r="RN892" s="36"/>
      <c r="RO892" s="36"/>
      <c r="RP892" s="36"/>
      <c r="RQ892" s="36"/>
      <c r="RR892" s="36"/>
      <c r="RS892" s="36"/>
      <c r="RT892" s="36"/>
      <c r="RU892" s="36"/>
      <c r="RV892" s="36"/>
      <c r="RW892" s="36"/>
      <c r="RX892" s="36"/>
      <c r="RY892" s="36"/>
      <c r="RZ892" s="36"/>
      <c r="SA892" s="36"/>
      <c r="SB892" s="36"/>
      <c r="SC892" s="36"/>
      <c r="SD892" s="36"/>
      <c r="SE892" s="36"/>
      <c r="SF892" s="36"/>
      <c r="SG892" s="36"/>
      <c r="SH892" s="36"/>
      <c r="SI892" s="36"/>
      <c r="SJ892" s="36"/>
      <c r="SK892" s="36"/>
      <c r="SL892" s="36"/>
      <c r="SM892" s="36"/>
      <c r="SN892" s="36"/>
      <c r="SO892" s="36"/>
      <c r="SP892" s="36"/>
      <c r="SQ892" s="36"/>
      <c r="SR892" s="36"/>
      <c r="SS892" s="36"/>
      <c r="ST892" s="36"/>
      <c r="SU892" s="36"/>
      <c r="SV892" s="36"/>
      <c r="SW892" s="36"/>
      <c r="SX892" s="36"/>
      <c r="SY892" s="36"/>
      <c r="SZ892" s="36"/>
      <c r="TA892" s="36"/>
      <c r="TB892" s="36"/>
      <c r="TC892" s="36"/>
      <c r="TD892" s="36"/>
      <c r="TE892" s="36"/>
      <c r="TF892" s="36"/>
      <c r="TG892" s="36"/>
      <c r="TH892" s="36"/>
      <c r="TI892" s="36"/>
      <c r="TJ892" s="36"/>
      <c r="TK892" s="36"/>
      <c r="TL892" s="36"/>
      <c r="TM892" s="36"/>
      <c r="TN892" s="36"/>
      <c r="TO892" s="36"/>
      <c r="TP892" s="36"/>
      <c r="TQ892" s="36"/>
      <c r="TR892" s="36"/>
      <c r="TS892" s="36"/>
      <c r="TT892" s="36"/>
      <c r="TU892" s="36"/>
      <c r="TV892" s="36"/>
      <c r="TW892" s="36"/>
      <c r="TX892" s="36"/>
      <c r="TY892" s="36"/>
      <c r="TZ892" s="36"/>
      <c r="UA892" s="36"/>
      <c r="UB892" s="36"/>
      <c r="UC892" s="36"/>
      <c r="UD892" s="36"/>
      <c r="UE892" s="36"/>
      <c r="UF892" s="36"/>
      <c r="UG892" s="37"/>
    </row>
    <row r="893" spans="1:553" ht="132.75" customHeight="1">
      <c r="A893" s="356" t="s">
        <v>15</v>
      </c>
      <c r="B893" s="366"/>
      <c r="C893" s="1414" t="s">
        <v>818</v>
      </c>
      <c r="D893" s="1389"/>
      <c r="E893" s="1389"/>
      <c r="F893" s="1390"/>
      <c r="G893" s="366" t="s">
        <v>68</v>
      </c>
      <c r="H893" s="370"/>
      <c r="I893" s="370">
        <v>1</v>
      </c>
      <c r="J893" s="368"/>
      <c r="K893" s="371"/>
      <c r="L893" s="366"/>
      <c r="M893" s="366"/>
      <c r="N893" s="366"/>
      <c r="O893" s="366"/>
      <c r="P893" s="366"/>
      <c r="Q893" s="812"/>
      <c r="R893" s="421" t="s">
        <v>1042</v>
      </c>
      <c r="S893" s="308"/>
      <c r="T893" s="308"/>
      <c r="U893" s="308"/>
      <c r="V893" s="308"/>
      <c r="W893" s="308"/>
      <c r="X893" s="308"/>
      <c r="Y893" s="308"/>
      <c r="Z893" s="604"/>
      <c r="AA893" s="308"/>
      <c r="AB893" s="308"/>
      <c r="AC893" s="449"/>
      <c r="AD893" s="449"/>
      <c r="AE893" s="449"/>
      <c r="AF893" s="449"/>
      <c r="AG893" s="449"/>
      <c r="AH893" s="449"/>
      <c r="AI893" s="449"/>
      <c r="AJ893" s="449"/>
      <c r="AK893" s="452"/>
      <c r="AL893" s="104"/>
      <c r="AM893" s="32"/>
      <c r="AN893" s="32"/>
      <c r="AO893" s="32"/>
      <c r="AP893" s="32"/>
      <c r="AQ893" s="32"/>
      <c r="AR893" s="32"/>
      <c r="AS893" s="31"/>
      <c r="AT893" s="31"/>
      <c r="AU893" s="31"/>
      <c r="AV893" s="31"/>
      <c r="AW893" s="31"/>
      <c r="AX893" s="31"/>
      <c r="AY893" s="31"/>
      <c r="AZ893" s="31"/>
      <c r="BA893" s="31"/>
      <c r="BB893" s="31"/>
      <c r="BC893" s="31"/>
      <c r="BD893" s="31"/>
      <c r="BE893" s="31"/>
      <c r="BF893" s="31"/>
      <c r="BG893" s="31"/>
      <c r="BH893" s="31"/>
      <c r="BI893" s="31"/>
      <c r="BJ893" s="31"/>
      <c r="BK893" s="31"/>
      <c r="BL893" s="31"/>
      <c r="BM893" s="31"/>
      <c r="BN893" s="31"/>
      <c r="BO893" s="31"/>
      <c r="BP893" s="25"/>
      <c r="BQ893" s="25"/>
      <c r="BR893" s="25"/>
      <c r="BS893" s="25"/>
      <c r="BT893" s="25"/>
      <c r="BU893" s="25"/>
      <c r="BV893" s="25"/>
      <c r="BW893" s="25"/>
      <c r="BX893" s="25"/>
      <c r="BY893" s="25"/>
      <c r="BZ893" s="25"/>
      <c r="CA893" s="25"/>
      <c r="CB893" s="25"/>
      <c r="CC893" s="25"/>
      <c r="CD893" s="25"/>
      <c r="CE893" s="25"/>
      <c r="CF893" s="25"/>
      <c r="CG893" s="25"/>
      <c r="CH893" s="25"/>
      <c r="CI893" s="25"/>
      <c r="CJ893" s="25"/>
      <c r="CK893" s="25"/>
      <c r="CL893" s="25"/>
      <c r="CM893" s="25"/>
      <c r="CN893" s="25"/>
      <c r="CO893" s="25"/>
      <c r="CP893" s="25"/>
      <c r="CQ893" s="25"/>
      <c r="CR893" s="25"/>
      <c r="CS893" s="25"/>
      <c r="CT893" s="25"/>
      <c r="CU893" s="25"/>
      <c r="CV893" s="25"/>
      <c r="CW893" s="25"/>
      <c r="CX893" s="25"/>
      <c r="CY893" s="25"/>
      <c r="CZ893" s="25"/>
      <c r="DA893" s="25"/>
      <c r="DB893" s="25"/>
      <c r="DC893" s="25"/>
      <c r="DD893" s="25"/>
      <c r="DE893" s="25"/>
      <c r="DF893" s="25"/>
      <c r="DG893" s="25"/>
      <c r="DH893" s="25"/>
      <c r="DI893" s="25"/>
      <c r="DJ893" s="25"/>
      <c r="DK893" s="25"/>
      <c r="DL893" s="25"/>
      <c r="DM893" s="25"/>
      <c r="DN893" s="25"/>
      <c r="DO893" s="25"/>
      <c r="DP893" s="25"/>
      <c r="DQ893" s="25"/>
      <c r="DR893" s="25"/>
      <c r="DS893" s="25"/>
      <c r="DT893" s="25"/>
      <c r="DU893" s="25"/>
      <c r="DV893" s="25"/>
      <c r="DW893" s="25"/>
      <c r="DX893" s="25"/>
      <c r="DY893" s="25"/>
      <c r="DZ893" s="25"/>
      <c r="EA893" s="25"/>
      <c r="EB893" s="25"/>
      <c r="EC893" s="25"/>
      <c r="ED893" s="25"/>
      <c r="EE893" s="25"/>
      <c r="EF893" s="25"/>
      <c r="EG893" s="25"/>
      <c r="EH893" s="25"/>
      <c r="EI893" s="25"/>
      <c r="EJ893" s="25"/>
      <c r="EK893" s="25"/>
      <c r="EL893" s="25"/>
      <c r="EM893" s="25"/>
      <c r="EN893" s="25"/>
      <c r="EO893" s="25"/>
      <c r="EP893" s="25"/>
      <c r="EQ893" s="25"/>
      <c r="ER893" s="25"/>
      <c r="ES893" s="25"/>
      <c r="ET893" s="25"/>
      <c r="EU893" s="25"/>
      <c r="EV893" s="25"/>
      <c r="EW893" s="25"/>
      <c r="EX893" s="25"/>
      <c r="EY893" s="25"/>
      <c r="EZ893" s="25"/>
      <c r="FA893" s="25"/>
      <c r="FB893" s="25"/>
      <c r="FC893" s="25"/>
      <c r="FD893" s="25"/>
      <c r="FE893" s="25"/>
      <c r="FF893" s="25"/>
      <c r="FG893" s="25"/>
      <c r="FH893" s="25"/>
      <c r="FI893" s="25"/>
      <c r="FJ893" s="25"/>
      <c r="FK893" s="25"/>
      <c r="FL893" s="25"/>
      <c r="FM893" s="25"/>
      <c r="FN893" s="25"/>
      <c r="FO893" s="25"/>
      <c r="FP893" s="25"/>
      <c r="FQ893" s="25"/>
      <c r="FR893" s="25"/>
      <c r="FS893" s="25"/>
      <c r="FT893" s="25"/>
      <c r="FU893" s="25"/>
      <c r="FV893" s="25"/>
      <c r="FW893" s="25"/>
      <c r="FX893" s="25"/>
      <c r="FY893" s="25"/>
      <c r="FZ893" s="25"/>
      <c r="GA893" s="25"/>
      <c r="GB893" s="25"/>
      <c r="GC893" s="25"/>
      <c r="GD893" s="25"/>
      <c r="GE893" s="25"/>
      <c r="GF893" s="25"/>
      <c r="GG893" s="25"/>
      <c r="GH893" s="25"/>
      <c r="GI893" s="25"/>
      <c r="GJ893" s="25"/>
      <c r="GK893" s="25"/>
      <c r="GL893" s="25"/>
      <c r="GM893" s="25"/>
      <c r="GN893" s="25"/>
      <c r="GO893" s="25"/>
      <c r="GP893" s="25"/>
      <c r="GQ893" s="25"/>
      <c r="GR893" s="25"/>
      <c r="GS893" s="25"/>
      <c r="GT893" s="25"/>
      <c r="GU893" s="25"/>
      <c r="GV893" s="25"/>
      <c r="GW893" s="25"/>
      <c r="GX893" s="25"/>
      <c r="GY893" s="25"/>
      <c r="GZ893" s="25"/>
      <c r="HA893" s="25"/>
      <c r="HB893" s="25"/>
      <c r="HC893" s="25"/>
      <c r="HD893" s="25"/>
      <c r="HE893" s="25"/>
      <c r="HF893" s="25"/>
      <c r="HG893" s="25"/>
      <c r="HH893" s="25"/>
      <c r="HI893" s="25"/>
      <c r="HJ893" s="25"/>
      <c r="HK893" s="25"/>
      <c r="HL893" s="25"/>
      <c r="HM893" s="25"/>
      <c r="HN893" s="25"/>
      <c r="HO893" s="25"/>
      <c r="HP893" s="25"/>
      <c r="HQ893" s="25"/>
      <c r="HR893" s="25"/>
      <c r="HS893" s="25"/>
      <c r="HT893" s="25"/>
      <c r="HU893" s="25"/>
      <c r="HV893" s="25"/>
      <c r="HW893" s="25"/>
      <c r="HX893" s="25"/>
      <c r="HY893" s="25"/>
      <c r="HZ893" s="25"/>
      <c r="IA893" s="25"/>
      <c r="IB893" s="25"/>
      <c r="IC893" s="25"/>
      <c r="ID893" s="25"/>
      <c r="IE893" s="25"/>
      <c r="IF893" s="25"/>
      <c r="IG893" s="25"/>
      <c r="IH893" s="25"/>
      <c r="II893" s="25"/>
      <c r="IJ893" s="25"/>
      <c r="IK893" s="25"/>
      <c r="IL893" s="25"/>
      <c r="IM893" s="25"/>
      <c r="IN893" s="25"/>
      <c r="IO893" s="25"/>
      <c r="IP893" s="25"/>
      <c r="IQ893" s="25"/>
      <c r="IR893" s="25"/>
      <c r="IS893" s="25"/>
      <c r="IT893" s="25"/>
      <c r="IU893" s="25"/>
      <c r="IV893" s="25"/>
      <c r="IW893" s="25"/>
      <c r="IX893" s="25"/>
      <c r="IY893" s="25"/>
      <c r="IZ893" s="25"/>
      <c r="JA893" s="25"/>
      <c r="JB893" s="25"/>
      <c r="JC893" s="25"/>
      <c r="JD893" s="25"/>
      <c r="JE893" s="25"/>
      <c r="JF893" s="25"/>
      <c r="JG893" s="25"/>
      <c r="JH893" s="25"/>
      <c r="JI893" s="25"/>
      <c r="JJ893" s="25"/>
      <c r="JK893" s="25"/>
      <c r="JL893" s="25"/>
      <c r="JM893" s="25"/>
      <c r="JN893" s="25"/>
      <c r="JO893" s="25"/>
      <c r="JP893" s="25"/>
      <c r="JQ893" s="25"/>
      <c r="JR893" s="25"/>
      <c r="JS893" s="25"/>
      <c r="JT893" s="25"/>
      <c r="JU893" s="25"/>
      <c r="JV893" s="25"/>
      <c r="JW893" s="25"/>
      <c r="JX893" s="25"/>
      <c r="JY893" s="25"/>
      <c r="JZ893" s="25"/>
      <c r="KA893" s="25"/>
      <c r="KB893" s="25"/>
      <c r="KC893" s="25"/>
      <c r="KD893" s="25"/>
      <c r="KE893" s="25"/>
      <c r="KF893" s="25"/>
      <c r="KG893" s="25"/>
      <c r="KH893" s="25"/>
      <c r="KI893" s="25"/>
      <c r="KJ893" s="25"/>
      <c r="KK893" s="25"/>
      <c r="KL893" s="25"/>
      <c r="KM893" s="25"/>
      <c r="KN893" s="25"/>
      <c r="KO893" s="25"/>
      <c r="KP893" s="25"/>
      <c r="KQ893" s="25"/>
      <c r="KR893" s="25"/>
      <c r="KS893" s="25"/>
      <c r="KT893" s="25"/>
      <c r="KU893" s="25"/>
      <c r="KV893" s="25"/>
      <c r="KW893" s="25"/>
      <c r="KX893" s="25"/>
      <c r="KY893" s="25"/>
      <c r="KZ893" s="25"/>
      <c r="LA893" s="25"/>
      <c r="LB893" s="25"/>
      <c r="LC893" s="25"/>
      <c r="LD893" s="25"/>
      <c r="LE893" s="25"/>
      <c r="LF893" s="25"/>
      <c r="LG893" s="25"/>
      <c r="LH893" s="25"/>
      <c r="LI893" s="25"/>
      <c r="LJ893" s="25"/>
      <c r="LK893" s="25"/>
      <c r="LL893" s="25"/>
      <c r="LM893" s="25"/>
      <c r="LN893" s="25"/>
      <c r="LO893" s="25"/>
      <c r="LP893" s="25"/>
      <c r="LQ893" s="25"/>
      <c r="LR893" s="25"/>
      <c r="LS893" s="25"/>
      <c r="LT893" s="25"/>
      <c r="LU893" s="25"/>
      <c r="LV893" s="25"/>
      <c r="LW893" s="25"/>
      <c r="LX893" s="25"/>
      <c r="LY893" s="25"/>
      <c r="LZ893" s="25"/>
      <c r="MA893" s="25"/>
      <c r="MB893" s="25"/>
      <c r="MC893" s="25"/>
      <c r="MD893" s="25"/>
      <c r="ME893" s="25"/>
      <c r="MF893" s="25"/>
      <c r="MG893" s="25"/>
      <c r="MH893" s="25"/>
      <c r="MI893" s="25"/>
      <c r="MJ893" s="25"/>
      <c r="MK893" s="25"/>
      <c r="ML893" s="25"/>
      <c r="MM893" s="25"/>
      <c r="MN893" s="25"/>
      <c r="MO893" s="25"/>
      <c r="MP893" s="25"/>
      <c r="MQ893" s="25"/>
      <c r="MR893" s="25"/>
      <c r="MS893" s="25"/>
      <c r="MT893" s="25"/>
      <c r="MU893" s="25"/>
      <c r="MV893" s="25"/>
      <c r="MW893" s="25"/>
      <c r="MX893" s="25"/>
      <c r="MY893" s="25"/>
      <c r="MZ893" s="25"/>
      <c r="NA893" s="25"/>
      <c r="NB893" s="25"/>
      <c r="NC893" s="25"/>
      <c r="ND893" s="25"/>
      <c r="NE893" s="25"/>
      <c r="NF893" s="25"/>
      <c r="NG893" s="25"/>
      <c r="NH893" s="25"/>
      <c r="NI893" s="25"/>
      <c r="NJ893" s="25"/>
      <c r="NK893" s="25"/>
      <c r="NL893" s="25"/>
      <c r="NM893" s="25"/>
      <c r="NN893" s="25"/>
      <c r="NO893" s="25"/>
      <c r="NP893" s="25"/>
      <c r="NQ893" s="25"/>
      <c r="NR893" s="25"/>
      <c r="NS893" s="25"/>
      <c r="NT893" s="25"/>
      <c r="NU893" s="25"/>
      <c r="NV893" s="25"/>
      <c r="NW893" s="25"/>
      <c r="NX893" s="25"/>
      <c r="NY893" s="25"/>
      <c r="NZ893" s="25"/>
      <c r="OA893" s="25"/>
      <c r="OB893" s="25"/>
      <c r="OC893" s="25"/>
      <c r="OD893" s="25"/>
      <c r="OE893" s="25"/>
      <c r="OF893" s="25"/>
      <c r="OG893" s="25"/>
      <c r="OH893" s="25"/>
      <c r="OI893" s="25"/>
      <c r="OJ893" s="25"/>
      <c r="OK893" s="25"/>
      <c r="OL893" s="25"/>
      <c r="OM893" s="25"/>
      <c r="ON893" s="25"/>
      <c r="OO893" s="25"/>
      <c r="OP893" s="25"/>
      <c r="OQ893" s="25"/>
      <c r="OR893" s="25"/>
      <c r="OS893" s="25"/>
      <c r="OT893" s="25"/>
      <c r="OU893" s="25"/>
      <c r="OV893" s="25"/>
      <c r="OW893" s="25"/>
      <c r="OX893" s="25"/>
      <c r="OY893" s="25"/>
      <c r="OZ893" s="25"/>
      <c r="PA893" s="25"/>
      <c r="PB893" s="25"/>
      <c r="PC893" s="25"/>
      <c r="PD893" s="25"/>
      <c r="PE893" s="25"/>
      <c r="PF893" s="25"/>
      <c r="PG893" s="25"/>
      <c r="PH893" s="25"/>
      <c r="PI893" s="25"/>
      <c r="PJ893" s="25"/>
      <c r="PK893" s="25"/>
      <c r="PL893" s="25"/>
      <c r="PM893" s="25"/>
      <c r="PN893" s="25"/>
      <c r="PO893" s="25"/>
      <c r="PP893" s="25"/>
      <c r="PQ893" s="25"/>
      <c r="PR893" s="25"/>
      <c r="PS893" s="25"/>
      <c r="PT893" s="25"/>
      <c r="PU893" s="25"/>
      <c r="PV893" s="25"/>
      <c r="PW893" s="25"/>
      <c r="PX893" s="25"/>
      <c r="PY893" s="25"/>
      <c r="PZ893" s="25"/>
      <c r="QA893" s="25"/>
      <c r="QB893" s="25"/>
      <c r="QC893" s="25"/>
      <c r="QD893" s="25"/>
      <c r="QE893" s="25"/>
      <c r="QF893" s="25"/>
      <c r="QG893" s="25"/>
      <c r="QH893" s="25"/>
      <c r="QI893" s="25"/>
      <c r="QJ893" s="25"/>
      <c r="QK893" s="25"/>
      <c r="QL893" s="25"/>
      <c r="QM893" s="25"/>
      <c r="QN893" s="25"/>
      <c r="QO893" s="25"/>
      <c r="QP893" s="25"/>
      <c r="QQ893" s="25"/>
      <c r="QR893" s="25"/>
      <c r="QS893" s="25"/>
      <c r="QT893" s="25"/>
      <c r="QU893" s="25"/>
      <c r="QV893" s="25"/>
      <c r="QW893" s="25"/>
      <c r="QX893" s="25"/>
      <c r="QY893" s="25"/>
      <c r="QZ893" s="25"/>
      <c r="RA893" s="25"/>
      <c r="RB893" s="25"/>
      <c r="RC893" s="25"/>
      <c r="RD893" s="25"/>
      <c r="RE893" s="25"/>
      <c r="RF893" s="25"/>
      <c r="RG893" s="25"/>
      <c r="RH893" s="25"/>
      <c r="RI893" s="25"/>
      <c r="RJ893" s="25"/>
      <c r="RK893" s="25"/>
      <c r="RL893" s="25"/>
      <c r="RM893" s="25"/>
      <c r="RN893" s="25"/>
      <c r="RO893" s="25"/>
      <c r="RP893" s="25"/>
      <c r="RQ893" s="25"/>
      <c r="RR893" s="25"/>
      <c r="RS893" s="25"/>
      <c r="RT893" s="25"/>
      <c r="RU893" s="25"/>
      <c r="RV893" s="25"/>
      <c r="RW893" s="25"/>
      <c r="RX893" s="25"/>
      <c r="RY893" s="25"/>
      <c r="RZ893" s="25"/>
      <c r="SA893" s="25"/>
      <c r="SB893" s="25"/>
      <c r="SC893" s="25"/>
      <c r="SD893" s="25"/>
      <c r="SE893" s="25"/>
      <c r="SF893" s="25"/>
      <c r="SG893" s="25"/>
      <c r="SH893" s="25"/>
      <c r="SI893" s="25"/>
      <c r="SJ893" s="25"/>
      <c r="SK893" s="25"/>
      <c r="SL893" s="25"/>
      <c r="SM893" s="25"/>
      <c r="SN893" s="25"/>
      <c r="SO893" s="25"/>
      <c r="SP893" s="25"/>
      <c r="SQ893" s="25"/>
      <c r="SR893" s="25"/>
      <c r="SS893" s="25"/>
      <c r="ST893" s="25"/>
      <c r="SU893" s="25"/>
      <c r="SV893" s="25"/>
      <c r="SW893" s="25"/>
      <c r="SX893" s="25"/>
      <c r="SY893" s="25"/>
      <c r="SZ893" s="25"/>
      <c r="TA893" s="25"/>
      <c r="TB893" s="25"/>
      <c r="TC893" s="25"/>
      <c r="TD893" s="25"/>
      <c r="TE893" s="25"/>
      <c r="TF893" s="25"/>
      <c r="TG893" s="25"/>
      <c r="TH893" s="25"/>
      <c r="TI893" s="25"/>
      <c r="TJ893" s="25"/>
      <c r="TK893" s="25"/>
      <c r="TL893" s="25"/>
      <c r="TM893" s="25"/>
      <c r="TN893" s="25"/>
      <c r="TO893" s="25"/>
      <c r="TP893" s="25"/>
      <c r="TQ893" s="25"/>
      <c r="TR893" s="25"/>
      <c r="TS893" s="25"/>
      <c r="TT893" s="25"/>
      <c r="TU893" s="25"/>
      <c r="TV893" s="25"/>
      <c r="TW893" s="25"/>
      <c r="TX893" s="25"/>
      <c r="TY893" s="25"/>
      <c r="TZ893" s="25"/>
      <c r="UA893" s="25"/>
      <c r="UB893" s="25"/>
      <c r="UC893" s="25"/>
      <c r="UD893" s="25"/>
      <c r="UE893" s="25"/>
      <c r="UF893" s="25"/>
      <c r="UG893" s="26"/>
    </row>
    <row r="894" spans="1:553" s="318" customFormat="1" ht="30.75" customHeight="1">
      <c r="A894" s="431">
        <v>8</v>
      </c>
      <c r="B894" s="431"/>
      <c r="C894" s="1185" t="s">
        <v>532</v>
      </c>
      <c r="D894" s="1244"/>
      <c r="E894" s="1244"/>
      <c r="F894" s="1245"/>
      <c r="G894" s="431"/>
      <c r="H894" s="432"/>
      <c r="I894" s="432"/>
      <c r="J894" s="983"/>
      <c r="K894" s="433"/>
      <c r="L894" s="431">
        <f>SUM(L895:L972)/2</f>
        <v>675688422.58999991</v>
      </c>
      <c r="M894" s="431"/>
      <c r="N894" s="431"/>
      <c r="O894" s="431"/>
      <c r="P894" s="431">
        <f>P898+P906+P940+P958+P961+P968</f>
        <v>675688422.58999991</v>
      </c>
      <c r="Q894" s="1053"/>
      <c r="R894" s="914"/>
      <c r="S894" s="435" t="s">
        <v>845</v>
      </c>
      <c r="T894" s="841" t="s">
        <v>1320</v>
      </c>
      <c r="U894" s="616">
        <f>H898</f>
        <v>899.4</v>
      </c>
      <c r="V894" s="616">
        <f>I898</f>
        <v>899.4</v>
      </c>
      <c r="W894" s="435">
        <f>SUM(W896:W905)</f>
        <v>122.6</v>
      </c>
      <c r="X894" s="435">
        <f t="shared" ref="X894:AB894" si="133">SUM(X896:X905)</f>
        <v>366.4</v>
      </c>
      <c r="Y894" s="435">
        <f t="shared" si="133"/>
        <v>0</v>
      </c>
      <c r="Z894" s="435">
        <f t="shared" si="133"/>
        <v>0</v>
      </c>
      <c r="AA894" s="435">
        <f t="shared" si="133"/>
        <v>0</v>
      </c>
      <c r="AB894" s="435">
        <f t="shared" si="133"/>
        <v>10.399999999999977</v>
      </c>
      <c r="AC894" s="304">
        <f>SUM(AC896:AC905)</f>
        <v>400</v>
      </c>
      <c r="AD894" s="437">
        <f>L898</f>
        <v>184377200</v>
      </c>
      <c r="AE894" s="437">
        <f>L906</f>
        <v>370347795.22400004</v>
      </c>
      <c r="AF894" s="437">
        <f>L940</f>
        <v>31545027.365999997</v>
      </c>
      <c r="AG894" s="437">
        <f>L958</f>
        <v>5500000</v>
      </c>
      <c r="AH894" s="437">
        <f>L961</f>
        <v>83918400</v>
      </c>
      <c r="AI894" s="437">
        <f>L968</f>
        <v>0</v>
      </c>
      <c r="AJ894" s="437"/>
      <c r="AK894" s="438">
        <f>SUM(AD894:AJ894)</f>
        <v>675688422.58999991</v>
      </c>
      <c r="AL894" s="296"/>
      <c r="AM894" s="158"/>
      <c r="AN894" s="158"/>
      <c r="AO894" s="159"/>
      <c r="AP894" s="159"/>
      <c r="AQ894" s="159"/>
      <c r="AR894" s="159"/>
      <c r="AS894" s="160"/>
      <c r="AT894" s="160"/>
      <c r="AU894" s="160"/>
      <c r="AV894" s="160"/>
      <c r="AW894" s="160"/>
      <c r="AX894" s="160"/>
      <c r="AY894" s="160"/>
      <c r="AZ894" s="160"/>
      <c r="BA894" s="160"/>
      <c r="BB894" s="160"/>
      <c r="BC894" s="160"/>
      <c r="BD894" s="160"/>
      <c r="BE894" s="160"/>
      <c r="BF894" s="160"/>
      <c r="BG894" s="160"/>
      <c r="BH894" s="160"/>
      <c r="BI894" s="160"/>
      <c r="BJ894" s="160"/>
      <c r="BK894" s="160"/>
      <c r="BL894" s="160"/>
      <c r="BM894" s="160"/>
      <c r="BN894" s="160"/>
      <c r="BO894" s="160"/>
      <c r="BP894" s="160"/>
      <c r="BQ894" s="160"/>
      <c r="BR894" s="160"/>
      <c r="BS894" s="160"/>
      <c r="BT894" s="160"/>
      <c r="BU894" s="160"/>
      <c r="BV894" s="160"/>
      <c r="BW894" s="160"/>
      <c r="BX894" s="160"/>
      <c r="BY894" s="160"/>
      <c r="BZ894" s="160"/>
      <c r="CA894" s="160"/>
      <c r="CB894" s="160"/>
      <c r="CC894" s="160"/>
      <c r="CD894" s="160"/>
      <c r="CE894" s="160"/>
      <c r="CF894" s="160"/>
      <c r="CG894" s="160"/>
      <c r="CH894" s="160"/>
      <c r="CI894" s="160"/>
      <c r="CJ894" s="160"/>
      <c r="CK894" s="160"/>
      <c r="CL894" s="160"/>
      <c r="CM894" s="160"/>
      <c r="CN894" s="160"/>
      <c r="CO894" s="160"/>
      <c r="CP894" s="160"/>
      <c r="CQ894" s="160"/>
      <c r="CR894" s="160"/>
      <c r="CS894" s="160"/>
      <c r="CT894" s="160"/>
      <c r="CU894" s="160"/>
      <c r="CV894" s="160"/>
      <c r="CW894" s="160"/>
      <c r="CX894" s="160"/>
      <c r="CY894" s="160"/>
      <c r="CZ894" s="160"/>
      <c r="DA894" s="160"/>
      <c r="DB894" s="160"/>
      <c r="DC894" s="160"/>
      <c r="DD894" s="160"/>
      <c r="DE894" s="160"/>
      <c r="DF894" s="160"/>
      <c r="DG894" s="160"/>
      <c r="DH894" s="160"/>
      <c r="DI894" s="160"/>
      <c r="DJ894" s="160"/>
      <c r="DK894" s="160"/>
      <c r="DL894" s="160"/>
      <c r="DM894" s="160"/>
      <c r="DN894" s="160"/>
      <c r="DO894" s="160"/>
      <c r="DP894" s="160"/>
      <c r="DQ894" s="160"/>
      <c r="DR894" s="160"/>
      <c r="DS894" s="160"/>
      <c r="DT894" s="160"/>
      <c r="DU894" s="160"/>
      <c r="DV894" s="160"/>
      <c r="DW894" s="160"/>
      <c r="DX894" s="160"/>
      <c r="DY894" s="160"/>
      <c r="DZ894" s="160"/>
      <c r="EA894" s="160"/>
      <c r="EB894" s="160"/>
      <c r="EC894" s="160"/>
      <c r="ED894" s="160"/>
      <c r="EE894" s="160"/>
      <c r="EF894" s="160"/>
      <c r="EG894" s="160"/>
      <c r="EH894" s="160"/>
      <c r="EI894" s="160"/>
      <c r="EJ894" s="160"/>
      <c r="EK894" s="160"/>
      <c r="EL894" s="160"/>
      <c r="EM894" s="160"/>
      <c r="EN894" s="160"/>
      <c r="EO894" s="160"/>
      <c r="EP894" s="160"/>
      <c r="EQ894" s="160"/>
      <c r="ER894" s="160"/>
      <c r="ES894" s="160"/>
      <c r="ET894" s="160"/>
      <c r="EU894" s="160"/>
      <c r="EV894" s="160"/>
      <c r="EW894" s="160"/>
      <c r="EX894" s="160"/>
      <c r="EY894" s="160"/>
      <c r="EZ894" s="160"/>
      <c r="FA894" s="160"/>
      <c r="FB894" s="160"/>
      <c r="FC894" s="160"/>
      <c r="FD894" s="160"/>
      <c r="FE894" s="160"/>
      <c r="FF894" s="160"/>
      <c r="FG894" s="160"/>
      <c r="FH894" s="160"/>
      <c r="FI894" s="160"/>
      <c r="FJ894" s="160"/>
      <c r="FK894" s="160"/>
      <c r="FL894" s="160"/>
      <c r="FM894" s="160"/>
      <c r="FN894" s="160"/>
      <c r="FO894" s="160"/>
      <c r="FP894" s="160"/>
      <c r="FQ894" s="160"/>
      <c r="FR894" s="160"/>
      <c r="FS894" s="160"/>
      <c r="FT894" s="160"/>
      <c r="FU894" s="160"/>
      <c r="FV894" s="160"/>
      <c r="FW894" s="160"/>
      <c r="FX894" s="160"/>
      <c r="FY894" s="160"/>
      <c r="FZ894" s="160"/>
      <c r="GA894" s="160"/>
      <c r="GB894" s="160"/>
      <c r="GC894" s="160"/>
      <c r="GD894" s="160"/>
      <c r="GE894" s="160"/>
      <c r="GF894" s="160"/>
      <c r="GG894" s="160"/>
      <c r="GH894" s="160"/>
      <c r="GI894" s="160"/>
      <c r="GJ894" s="160"/>
      <c r="GK894" s="160"/>
      <c r="GL894" s="160"/>
      <c r="GM894" s="160"/>
      <c r="GN894" s="160"/>
      <c r="GO894" s="160"/>
      <c r="GP894" s="160"/>
      <c r="GQ894" s="160"/>
      <c r="GR894" s="160"/>
      <c r="GS894" s="160"/>
      <c r="GT894" s="160"/>
      <c r="GU894" s="160"/>
      <c r="GV894" s="160"/>
      <c r="GW894" s="160"/>
      <c r="GX894" s="160"/>
      <c r="GY894" s="160"/>
      <c r="GZ894" s="160"/>
      <c r="HA894" s="160"/>
      <c r="HB894" s="160"/>
      <c r="HC894" s="160"/>
      <c r="HD894" s="160"/>
      <c r="HE894" s="160"/>
      <c r="HF894" s="160"/>
      <c r="HG894" s="160"/>
      <c r="HH894" s="160"/>
      <c r="HI894" s="160"/>
      <c r="HJ894" s="160"/>
      <c r="HK894" s="160"/>
      <c r="HL894" s="160"/>
      <c r="HM894" s="160"/>
      <c r="HN894" s="160"/>
      <c r="HO894" s="160"/>
      <c r="HP894" s="160"/>
      <c r="HQ894" s="160"/>
      <c r="HR894" s="160"/>
      <c r="HS894" s="160"/>
      <c r="HT894" s="160"/>
      <c r="HU894" s="160"/>
      <c r="HV894" s="160"/>
      <c r="HW894" s="160"/>
      <c r="HX894" s="160"/>
      <c r="HY894" s="160"/>
      <c r="HZ894" s="160"/>
      <c r="IA894" s="160"/>
      <c r="IB894" s="160"/>
      <c r="IC894" s="160"/>
      <c r="ID894" s="160"/>
      <c r="IE894" s="160"/>
      <c r="IF894" s="160"/>
      <c r="IG894" s="160"/>
      <c r="IH894" s="160"/>
      <c r="II894" s="160"/>
      <c r="IJ894" s="160"/>
      <c r="IK894" s="160"/>
      <c r="IL894" s="160"/>
      <c r="IM894" s="160"/>
      <c r="IN894" s="160"/>
      <c r="IO894" s="160"/>
      <c r="IP894" s="160"/>
      <c r="IQ894" s="160"/>
      <c r="IR894" s="160"/>
      <c r="IS894" s="160"/>
      <c r="IT894" s="160"/>
      <c r="IU894" s="160"/>
      <c r="IV894" s="160"/>
      <c r="IW894" s="160"/>
      <c r="IX894" s="160"/>
      <c r="IY894" s="160"/>
      <c r="IZ894" s="160"/>
      <c r="JA894" s="160"/>
      <c r="JB894" s="160"/>
      <c r="JC894" s="160"/>
      <c r="JD894" s="160"/>
      <c r="JE894" s="160"/>
      <c r="JF894" s="160"/>
      <c r="JG894" s="160"/>
      <c r="JH894" s="160"/>
      <c r="JI894" s="160"/>
      <c r="JJ894" s="160"/>
      <c r="JK894" s="160"/>
      <c r="JL894" s="160"/>
      <c r="JM894" s="160"/>
      <c r="JN894" s="160"/>
      <c r="JO894" s="160"/>
      <c r="JP894" s="160"/>
      <c r="JQ894" s="160"/>
      <c r="JR894" s="160"/>
      <c r="JS894" s="160"/>
      <c r="JT894" s="160"/>
      <c r="JU894" s="160"/>
      <c r="JV894" s="160"/>
      <c r="JW894" s="160"/>
      <c r="JX894" s="160"/>
      <c r="JY894" s="160"/>
      <c r="JZ894" s="160"/>
      <c r="KA894" s="160"/>
      <c r="KB894" s="160"/>
      <c r="KC894" s="160"/>
      <c r="KD894" s="160"/>
      <c r="KE894" s="160"/>
      <c r="KF894" s="160"/>
      <c r="KG894" s="160"/>
      <c r="KH894" s="160"/>
      <c r="KI894" s="160"/>
      <c r="KJ894" s="160"/>
      <c r="KK894" s="160"/>
      <c r="KL894" s="160"/>
      <c r="KM894" s="160"/>
      <c r="KN894" s="160"/>
      <c r="KO894" s="160"/>
      <c r="KP894" s="160"/>
      <c r="KQ894" s="160"/>
      <c r="KR894" s="160"/>
      <c r="KS894" s="160"/>
      <c r="KT894" s="160"/>
      <c r="KU894" s="160"/>
      <c r="KV894" s="160"/>
      <c r="KW894" s="160"/>
      <c r="KX894" s="160"/>
      <c r="KY894" s="160"/>
      <c r="KZ894" s="160"/>
      <c r="LA894" s="160"/>
      <c r="LB894" s="160"/>
      <c r="LC894" s="160"/>
      <c r="LD894" s="160"/>
      <c r="LE894" s="160"/>
      <c r="LF894" s="160"/>
      <c r="LG894" s="160"/>
      <c r="LH894" s="160"/>
      <c r="LI894" s="160"/>
      <c r="LJ894" s="160"/>
      <c r="LK894" s="160"/>
      <c r="LL894" s="160"/>
      <c r="LM894" s="160"/>
      <c r="LN894" s="160"/>
      <c r="LO894" s="160"/>
      <c r="LP894" s="160"/>
      <c r="LQ894" s="160"/>
      <c r="LR894" s="160"/>
      <c r="LS894" s="160"/>
      <c r="LT894" s="160"/>
      <c r="LU894" s="160"/>
      <c r="LV894" s="160"/>
      <c r="LW894" s="160"/>
      <c r="LX894" s="160"/>
      <c r="LY894" s="160"/>
      <c r="LZ894" s="160"/>
      <c r="MA894" s="160"/>
      <c r="MB894" s="160"/>
      <c r="MC894" s="160"/>
      <c r="MD894" s="160"/>
      <c r="ME894" s="160"/>
      <c r="MF894" s="160"/>
      <c r="MG894" s="160"/>
      <c r="MH894" s="160"/>
      <c r="MI894" s="160"/>
      <c r="MJ894" s="160"/>
      <c r="MK894" s="160"/>
      <c r="ML894" s="160"/>
      <c r="MM894" s="160"/>
      <c r="MN894" s="160"/>
      <c r="MO894" s="160"/>
      <c r="MP894" s="160"/>
      <c r="MQ894" s="160"/>
      <c r="MR894" s="160"/>
      <c r="MS894" s="160"/>
      <c r="MT894" s="160"/>
      <c r="MU894" s="160"/>
      <c r="MV894" s="160"/>
      <c r="MW894" s="160"/>
      <c r="MX894" s="160"/>
      <c r="MY894" s="160"/>
      <c r="MZ894" s="160"/>
      <c r="NA894" s="160"/>
      <c r="NB894" s="160"/>
      <c r="NC894" s="160"/>
      <c r="ND894" s="160"/>
      <c r="NE894" s="160"/>
      <c r="NF894" s="160"/>
      <c r="NG894" s="160"/>
      <c r="NH894" s="160"/>
      <c r="NI894" s="160"/>
      <c r="NJ894" s="160"/>
      <c r="NK894" s="160"/>
      <c r="NL894" s="160"/>
      <c r="NM894" s="160"/>
      <c r="NN894" s="160"/>
      <c r="NO894" s="160"/>
      <c r="NP894" s="160"/>
      <c r="NQ894" s="160"/>
      <c r="NR894" s="160"/>
      <c r="NS894" s="160"/>
      <c r="NT894" s="160"/>
      <c r="NU894" s="160"/>
      <c r="NV894" s="160"/>
      <c r="NW894" s="160"/>
      <c r="NX894" s="160"/>
      <c r="NY894" s="160"/>
      <c r="NZ894" s="160"/>
      <c r="OA894" s="160"/>
      <c r="OB894" s="160"/>
      <c r="OC894" s="160"/>
      <c r="OD894" s="160"/>
      <c r="OE894" s="160"/>
      <c r="OF894" s="160"/>
      <c r="OG894" s="160"/>
      <c r="OH894" s="160"/>
      <c r="OI894" s="160"/>
      <c r="OJ894" s="160"/>
      <c r="OK894" s="160"/>
      <c r="OL894" s="160"/>
      <c r="OM894" s="160"/>
      <c r="ON894" s="160"/>
      <c r="OO894" s="160"/>
      <c r="OP894" s="160"/>
      <c r="OQ894" s="160"/>
      <c r="OR894" s="160"/>
      <c r="OS894" s="160"/>
      <c r="OT894" s="160"/>
      <c r="OU894" s="160"/>
      <c r="OV894" s="160"/>
      <c r="OW894" s="160"/>
      <c r="OX894" s="160"/>
      <c r="OY894" s="160"/>
      <c r="OZ894" s="160"/>
      <c r="PA894" s="160"/>
      <c r="PB894" s="160"/>
      <c r="PC894" s="160"/>
      <c r="PD894" s="160"/>
      <c r="PE894" s="160"/>
      <c r="PF894" s="160"/>
      <c r="PG894" s="160"/>
      <c r="PH894" s="160"/>
      <c r="PI894" s="160"/>
      <c r="PJ894" s="160"/>
      <c r="PK894" s="160"/>
      <c r="PL894" s="160"/>
      <c r="PM894" s="160"/>
      <c r="PN894" s="160"/>
      <c r="PO894" s="160"/>
      <c r="PP894" s="160"/>
      <c r="PQ894" s="160"/>
      <c r="PR894" s="160"/>
      <c r="PS894" s="160"/>
      <c r="PT894" s="160"/>
      <c r="PU894" s="160"/>
      <c r="PV894" s="160"/>
      <c r="PW894" s="160"/>
      <c r="PX894" s="160"/>
      <c r="PY894" s="160"/>
      <c r="PZ894" s="160"/>
      <c r="QA894" s="160"/>
      <c r="QB894" s="160"/>
      <c r="QC894" s="160"/>
      <c r="QD894" s="160"/>
      <c r="QE894" s="160"/>
      <c r="QF894" s="160"/>
      <c r="QG894" s="160"/>
      <c r="QH894" s="160"/>
      <c r="QI894" s="160"/>
      <c r="QJ894" s="160"/>
      <c r="QK894" s="160"/>
      <c r="QL894" s="160"/>
      <c r="QM894" s="160"/>
      <c r="QN894" s="160"/>
      <c r="QO894" s="160"/>
      <c r="QP894" s="160"/>
      <c r="QQ894" s="160"/>
      <c r="QR894" s="160"/>
      <c r="QS894" s="160"/>
      <c r="QT894" s="160"/>
      <c r="QU894" s="160"/>
      <c r="QV894" s="160"/>
      <c r="QW894" s="160"/>
      <c r="QX894" s="160"/>
      <c r="QY894" s="160"/>
      <c r="QZ894" s="160"/>
      <c r="RA894" s="160"/>
      <c r="RB894" s="160"/>
      <c r="RC894" s="160"/>
      <c r="RD894" s="160"/>
      <c r="RE894" s="160"/>
      <c r="RF894" s="160"/>
      <c r="RG894" s="160"/>
      <c r="RH894" s="160"/>
      <c r="RI894" s="160"/>
      <c r="RJ894" s="160"/>
      <c r="RK894" s="160"/>
      <c r="RL894" s="160"/>
      <c r="RM894" s="160"/>
      <c r="RN894" s="160"/>
      <c r="RO894" s="160"/>
      <c r="RP894" s="160"/>
      <c r="RQ894" s="160"/>
      <c r="RR894" s="160"/>
      <c r="RS894" s="160"/>
      <c r="RT894" s="160"/>
      <c r="RU894" s="160"/>
      <c r="RV894" s="160"/>
      <c r="RW894" s="160"/>
      <c r="RX894" s="160"/>
      <c r="RY894" s="160"/>
      <c r="RZ894" s="160"/>
      <c r="SA894" s="160"/>
      <c r="SB894" s="160"/>
      <c r="SC894" s="160"/>
      <c r="SD894" s="160"/>
      <c r="SE894" s="160"/>
      <c r="SF894" s="160"/>
      <c r="SG894" s="160"/>
      <c r="SH894" s="160"/>
      <c r="SI894" s="160"/>
      <c r="SJ894" s="160"/>
      <c r="SK894" s="160"/>
      <c r="SL894" s="160"/>
      <c r="SM894" s="160"/>
      <c r="SN894" s="160"/>
      <c r="SO894" s="160"/>
      <c r="SP894" s="160"/>
      <c r="SQ894" s="160"/>
      <c r="SR894" s="160"/>
      <c r="SS894" s="160"/>
      <c r="ST894" s="160"/>
      <c r="SU894" s="160"/>
      <c r="SV894" s="160"/>
      <c r="SW894" s="160"/>
      <c r="SX894" s="160"/>
      <c r="SY894" s="160"/>
      <c r="SZ894" s="160"/>
      <c r="TA894" s="160"/>
      <c r="TB894" s="160"/>
      <c r="TC894" s="160"/>
      <c r="TD894" s="160"/>
      <c r="TE894" s="160"/>
      <c r="TF894" s="160"/>
      <c r="TG894" s="160"/>
      <c r="TH894" s="160"/>
      <c r="TI894" s="160"/>
      <c r="TJ894" s="160"/>
      <c r="TK894" s="160"/>
      <c r="TL894" s="160"/>
      <c r="TM894" s="160"/>
      <c r="TN894" s="160"/>
      <c r="TO894" s="160"/>
      <c r="TP894" s="160"/>
      <c r="TQ894" s="160"/>
      <c r="TR894" s="160"/>
      <c r="TS894" s="160"/>
      <c r="TT894" s="160"/>
      <c r="TU894" s="160"/>
      <c r="TV894" s="160"/>
      <c r="TW894" s="160"/>
      <c r="TX894" s="160"/>
      <c r="TY894" s="160"/>
      <c r="TZ894" s="160"/>
      <c r="UA894" s="160"/>
      <c r="UB894" s="160"/>
      <c r="UC894" s="160"/>
      <c r="UD894" s="160"/>
      <c r="UE894" s="160"/>
      <c r="UF894" s="160"/>
      <c r="UG894" s="161"/>
    </row>
    <row r="895" spans="1:553" ht="30.75" customHeight="1">
      <c r="A895" s="356" t="s">
        <v>15</v>
      </c>
      <c r="B895" s="366"/>
      <c r="C895" s="1443" t="s">
        <v>533</v>
      </c>
      <c r="D895" s="1389"/>
      <c r="E895" s="1389"/>
      <c r="F895" s="1390"/>
      <c r="G895" s="366"/>
      <c r="H895" s="370"/>
      <c r="I895" s="370"/>
      <c r="J895" s="368"/>
      <c r="K895" s="371"/>
      <c r="L895" s="366"/>
      <c r="M895" s="366"/>
      <c r="N895" s="366"/>
      <c r="O895" s="366"/>
      <c r="P895" s="366"/>
      <c r="Q895" s="812"/>
      <c r="R895" s="1226"/>
      <c r="S895" s="308"/>
      <c r="T895" s="308"/>
      <c r="U895" s="308"/>
      <c r="V895" s="308"/>
      <c r="W895" s="308"/>
      <c r="X895" s="308"/>
      <c r="Y895" s="308"/>
      <c r="Z895" s="604"/>
      <c r="AA895" s="308"/>
      <c r="AB895" s="308"/>
      <c r="AC895" s="373"/>
      <c r="AD895" s="373"/>
      <c r="AE895" s="373"/>
      <c r="AF895" s="373"/>
      <c r="AG895" s="373"/>
      <c r="AH895" s="373"/>
      <c r="AI895" s="373"/>
      <c r="AJ895" s="373"/>
      <c r="AK895" s="374"/>
      <c r="AL895" s="323"/>
      <c r="AM895" s="21"/>
      <c r="AN895" s="21"/>
      <c r="AO895" s="21"/>
      <c r="AP895" s="21"/>
      <c r="AQ895" s="21"/>
      <c r="AR895" s="21"/>
      <c r="AS895" s="22"/>
      <c r="AT895" s="22"/>
      <c r="AU895" s="22"/>
      <c r="AV895" s="22"/>
      <c r="AW895" s="22"/>
      <c r="AX895" s="22"/>
      <c r="AY895" s="22"/>
      <c r="AZ895" s="22"/>
      <c r="BA895" s="22"/>
      <c r="BB895" s="22"/>
      <c r="BC895" s="22"/>
      <c r="BD895" s="22"/>
      <c r="BE895" s="22"/>
      <c r="BF895" s="22"/>
      <c r="BG895" s="22"/>
      <c r="BH895" s="22"/>
      <c r="BI895" s="22"/>
      <c r="BJ895" s="22"/>
      <c r="BK895" s="22"/>
      <c r="BL895" s="22"/>
      <c r="BM895" s="22"/>
      <c r="BN895" s="22"/>
      <c r="BO895" s="22"/>
      <c r="BP895" s="22"/>
      <c r="BQ895" s="22"/>
      <c r="BR895" s="22"/>
      <c r="BS895" s="22"/>
      <c r="BT895" s="22"/>
      <c r="BU895" s="22"/>
      <c r="BV895" s="22"/>
      <c r="BW895" s="22"/>
      <c r="BX895" s="22"/>
      <c r="BY895" s="22"/>
      <c r="BZ895" s="22"/>
      <c r="CA895" s="22"/>
      <c r="CB895" s="22"/>
      <c r="CC895" s="22"/>
      <c r="CD895" s="22"/>
      <c r="CE895" s="22"/>
      <c r="CF895" s="22"/>
      <c r="CG895" s="22"/>
      <c r="CH895" s="22"/>
      <c r="CI895" s="22"/>
      <c r="CJ895" s="22"/>
      <c r="CK895" s="22"/>
      <c r="CL895" s="22"/>
      <c r="CM895" s="22"/>
      <c r="CN895" s="22"/>
      <c r="CO895" s="22"/>
      <c r="CP895" s="22"/>
      <c r="CQ895" s="22"/>
      <c r="CR895" s="22"/>
      <c r="CS895" s="22"/>
      <c r="CT895" s="22"/>
      <c r="CU895" s="22"/>
      <c r="CV895" s="22"/>
      <c r="CW895" s="22"/>
      <c r="CX895" s="22"/>
      <c r="CY895" s="22"/>
      <c r="CZ895" s="22"/>
      <c r="DA895" s="22"/>
      <c r="DB895" s="22"/>
      <c r="DC895" s="22"/>
      <c r="DD895" s="22"/>
      <c r="DE895" s="22"/>
      <c r="DF895" s="22"/>
      <c r="DG895" s="22"/>
      <c r="DH895" s="22"/>
      <c r="DI895" s="22"/>
      <c r="DJ895" s="22"/>
      <c r="DK895" s="22"/>
      <c r="DL895" s="22"/>
      <c r="DM895" s="22"/>
      <c r="DN895" s="22"/>
      <c r="DO895" s="22"/>
      <c r="DP895" s="22"/>
      <c r="DQ895" s="22"/>
      <c r="DR895" s="22"/>
      <c r="DS895" s="22"/>
      <c r="DT895" s="22"/>
      <c r="DU895" s="22"/>
      <c r="DV895" s="22"/>
      <c r="DW895" s="22"/>
      <c r="DX895" s="22"/>
      <c r="DY895" s="22"/>
      <c r="DZ895" s="22"/>
      <c r="EA895" s="22"/>
      <c r="EB895" s="22"/>
      <c r="EC895" s="22"/>
      <c r="ED895" s="22"/>
      <c r="EE895" s="22"/>
      <c r="EF895" s="22"/>
      <c r="EG895" s="22"/>
      <c r="EH895" s="22"/>
      <c r="EI895" s="22"/>
      <c r="EJ895" s="22"/>
      <c r="EK895" s="22"/>
      <c r="EL895" s="22"/>
      <c r="EM895" s="22"/>
      <c r="EN895" s="22"/>
      <c r="EO895" s="22"/>
      <c r="EP895" s="22"/>
      <c r="EQ895" s="22"/>
      <c r="ER895" s="22"/>
      <c r="ES895" s="22"/>
      <c r="ET895" s="22"/>
      <c r="EU895" s="22"/>
      <c r="EV895" s="22"/>
      <c r="EW895" s="22"/>
      <c r="EX895" s="22"/>
      <c r="EY895" s="22"/>
      <c r="EZ895" s="22"/>
      <c r="FA895" s="22"/>
      <c r="FB895" s="22"/>
      <c r="FC895" s="22"/>
      <c r="FD895" s="22"/>
      <c r="FE895" s="22"/>
      <c r="FF895" s="22"/>
      <c r="FG895" s="22"/>
      <c r="FH895" s="22"/>
      <c r="FI895" s="22"/>
      <c r="FJ895" s="22"/>
      <c r="FK895" s="22"/>
      <c r="FL895" s="22"/>
      <c r="FM895" s="22"/>
      <c r="FN895" s="22"/>
      <c r="FO895" s="22"/>
      <c r="FP895" s="22"/>
      <c r="FQ895" s="22"/>
      <c r="FR895" s="22"/>
      <c r="FS895" s="22"/>
      <c r="FT895" s="22"/>
      <c r="FU895" s="22"/>
      <c r="FV895" s="22"/>
      <c r="FW895" s="22"/>
      <c r="FX895" s="22"/>
      <c r="FY895" s="22"/>
      <c r="FZ895" s="22"/>
      <c r="GA895" s="22"/>
      <c r="GB895" s="22"/>
      <c r="GC895" s="22"/>
      <c r="GD895" s="22"/>
      <c r="GE895" s="22"/>
      <c r="GF895" s="22"/>
      <c r="GG895" s="22"/>
      <c r="GH895" s="22"/>
      <c r="GI895" s="22"/>
      <c r="GJ895" s="22"/>
      <c r="GK895" s="22"/>
      <c r="GL895" s="22"/>
      <c r="GM895" s="22"/>
      <c r="GN895" s="22"/>
      <c r="GO895" s="22"/>
      <c r="GP895" s="22"/>
      <c r="GQ895" s="22"/>
      <c r="GR895" s="22"/>
      <c r="GS895" s="22"/>
      <c r="GT895" s="22"/>
      <c r="GU895" s="22"/>
      <c r="GV895" s="22"/>
      <c r="GW895" s="22"/>
      <c r="GX895" s="22"/>
      <c r="GY895" s="22"/>
      <c r="GZ895" s="22"/>
      <c r="HA895" s="22"/>
      <c r="HB895" s="22"/>
      <c r="HC895" s="22"/>
      <c r="HD895" s="22"/>
      <c r="HE895" s="22"/>
      <c r="HF895" s="22"/>
      <c r="HG895" s="22"/>
      <c r="HH895" s="22"/>
      <c r="HI895" s="22"/>
      <c r="HJ895" s="22"/>
      <c r="HK895" s="22"/>
      <c r="HL895" s="22"/>
      <c r="HM895" s="22"/>
      <c r="HN895" s="22"/>
      <c r="HO895" s="22"/>
      <c r="HP895" s="22"/>
      <c r="HQ895" s="22"/>
      <c r="HR895" s="22"/>
      <c r="HS895" s="22"/>
      <c r="HT895" s="22"/>
      <c r="HU895" s="22"/>
      <c r="HV895" s="22"/>
      <c r="HW895" s="22"/>
      <c r="HX895" s="22"/>
      <c r="HY895" s="22"/>
      <c r="HZ895" s="22"/>
      <c r="IA895" s="22"/>
      <c r="IB895" s="22"/>
      <c r="IC895" s="22"/>
      <c r="ID895" s="22"/>
      <c r="IE895" s="22"/>
      <c r="IF895" s="22"/>
      <c r="IG895" s="22"/>
      <c r="IH895" s="22"/>
      <c r="II895" s="22"/>
      <c r="IJ895" s="22"/>
      <c r="IK895" s="22"/>
      <c r="IL895" s="22"/>
      <c r="IM895" s="22"/>
      <c r="IN895" s="22"/>
      <c r="IO895" s="22"/>
      <c r="IP895" s="22"/>
      <c r="IQ895" s="22"/>
      <c r="IR895" s="22"/>
      <c r="IS895" s="22"/>
      <c r="IT895" s="22"/>
      <c r="IU895" s="22"/>
      <c r="IV895" s="22"/>
      <c r="IW895" s="22"/>
      <c r="IX895" s="22"/>
      <c r="IY895" s="22"/>
      <c r="IZ895" s="22"/>
      <c r="JA895" s="22"/>
      <c r="JB895" s="22"/>
      <c r="JC895" s="22"/>
      <c r="JD895" s="22"/>
      <c r="JE895" s="22"/>
      <c r="JF895" s="22"/>
      <c r="JG895" s="22"/>
      <c r="JH895" s="22"/>
      <c r="JI895" s="22"/>
      <c r="JJ895" s="22"/>
      <c r="JK895" s="22"/>
      <c r="JL895" s="22"/>
      <c r="JM895" s="22"/>
      <c r="JN895" s="22"/>
      <c r="JO895" s="22"/>
      <c r="JP895" s="22"/>
      <c r="JQ895" s="22"/>
      <c r="JR895" s="22"/>
      <c r="JS895" s="22"/>
      <c r="JT895" s="22"/>
      <c r="JU895" s="22"/>
      <c r="JV895" s="22"/>
      <c r="JW895" s="22"/>
      <c r="JX895" s="22"/>
      <c r="JY895" s="22"/>
      <c r="JZ895" s="22"/>
      <c r="KA895" s="22"/>
      <c r="KB895" s="22"/>
      <c r="KC895" s="22"/>
      <c r="KD895" s="22"/>
      <c r="KE895" s="22"/>
      <c r="KF895" s="22"/>
      <c r="KG895" s="22"/>
      <c r="KH895" s="22"/>
      <c r="KI895" s="22"/>
      <c r="KJ895" s="22"/>
      <c r="KK895" s="22"/>
      <c r="KL895" s="22"/>
      <c r="KM895" s="22"/>
      <c r="KN895" s="22"/>
      <c r="KO895" s="22"/>
      <c r="KP895" s="22"/>
      <c r="KQ895" s="22"/>
      <c r="KR895" s="22"/>
      <c r="KS895" s="22"/>
      <c r="KT895" s="22"/>
      <c r="KU895" s="22"/>
      <c r="KV895" s="22"/>
      <c r="KW895" s="22"/>
      <c r="KX895" s="22"/>
      <c r="KY895" s="22"/>
      <c r="KZ895" s="22"/>
      <c r="LA895" s="22"/>
      <c r="LB895" s="22"/>
      <c r="LC895" s="22"/>
      <c r="LD895" s="22"/>
      <c r="LE895" s="22"/>
      <c r="LF895" s="22"/>
      <c r="LG895" s="22"/>
      <c r="LH895" s="22"/>
      <c r="LI895" s="22"/>
      <c r="LJ895" s="22"/>
      <c r="LK895" s="22"/>
      <c r="LL895" s="22"/>
      <c r="LM895" s="22"/>
      <c r="LN895" s="22"/>
      <c r="LO895" s="22"/>
      <c r="LP895" s="22"/>
      <c r="LQ895" s="22"/>
      <c r="LR895" s="22"/>
      <c r="LS895" s="22"/>
      <c r="LT895" s="22"/>
      <c r="LU895" s="22"/>
      <c r="LV895" s="22"/>
      <c r="LW895" s="22"/>
      <c r="LX895" s="22"/>
      <c r="LY895" s="22"/>
      <c r="LZ895" s="22"/>
      <c r="MA895" s="22"/>
      <c r="MB895" s="22"/>
      <c r="MC895" s="22"/>
      <c r="MD895" s="22"/>
      <c r="ME895" s="22"/>
      <c r="MF895" s="22"/>
      <c r="MG895" s="22"/>
      <c r="MH895" s="22"/>
      <c r="MI895" s="22"/>
      <c r="MJ895" s="22"/>
      <c r="MK895" s="22"/>
      <c r="ML895" s="22"/>
      <c r="MM895" s="22"/>
      <c r="MN895" s="22"/>
      <c r="MO895" s="22"/>
      <c r="MP895" s="22"/>
      <c r="MQ895" s="22"/>
      <c r="MR895" s="22"/>
      <c r="MS895" s="22"/>
      <c r="MT895" s="22"/>
      <c r="MU895" s="22"/>
      <c r="MV895" s="22"/>
      <c r="MW895" s="22"/>
      <c r="MX895" s="22"/>
      <c r="MY895" s="22"/>
      <c r="MZ895" s="22"/>
      <c r="NA895" s="22"/>
      <c r="NB895" s="22"/>
      <c r="NC895" s="22"/>
      <c r="ND895" s="22"/>
      <c r="NE895" s="22"/>
      <c r="NF895" s="22"/>
      <c r="NG895" s="22"/>
      <c r="NH895" s="22"/>
      <c r="NI895" s="22"/>
      <c r="NJ895" s="22"/>
      <c r="NK895" s="22"/>
      <c r="NL895" s="22"/>
      <c r="NM895" s="22"/>
      <c r="NN895" s="22"/>
      <c r="NO895" s="22"/>
      <c r="NP895" s="22"/>
      <c r="NQ895" s="22"/>
      <c r="NR895" s="22"/>
      <c r="NS895" s="22"/>
      <c r="NT895" s="22"/>
      <c r="NU895" s="22"/>
      <c r="NV895" s="22"/>
      <c r="NW895" s="22"/>
      <c r="NX895" s="22"/>
      <c r="NY895" s="22"/>
      <c r="NZ895" s="22"/>
      <c r="OA895" s="22"/>
      <c r="OB895" s="22"/>
      <c r="OC895" s="22"/>
      <c r="OD895" s="22"/>
      <c r="OE895" s="22"/>
      <c r="OF895" s="22"/>
      <c r="OG895" s="22"/>
      <c r="OH895" s="22"/>
      <c r="OI895" s="22"/>
      <c r="OJ895" s="22"/>
      <c r="OK895" s="22"/>
      <c r="OL895" s="22"/>
      <c r="OM895" s="22"/>
      <c r="ON895" s="22"/>
      <c r="OO895" s="22"/>
      <c r="OP895" s="22"/>
      <c r="OQ895" s="22"/>
      <c r="OR895" s="22"/>
      <c r="OS895" s="22"/>
      <c r="OT895" s="22"/>
      <c r="OU895" s="22"/>
      <c r="OV895" s="22"/>
      <c r="OW895" s="22"/>
      <c r="OX895" s="22"/>
      <c r="OY895" s="22"/>
      <c r="OZ895" s="22"/>
      <c r="PA895" s="22"/>
      <c r="PB895" s="22"/>
      <c r="PC895" s="22"/>
      <c r="PD895" s="22"/>
      <c r="PE895" s="22"/>
      <c r="PF895" s="22"/>
      <c r="PG895" s="22"/>
      <c r="PH895" s="22"/>
      <c r="PI895" s="22"/>
      <c r="PJ895" s="22"/>
      <c r="PK895" s="22"/>
      <c r="PL895" s="22"/>
      <c r="PM895" s="22"/>
      <c r="PN895" s="22"/>
      <c r="PO895" s="22"/>
      <c r="PP895" s="22"/>
      <c r="PQ895" s="22"/>
      <c r="PR895" s="22"/>
      <c r="PS895" s="22"/>
      <c r="PT895" s="22"/>
      <c r="PU895" s="22"/>
      <c r="PV895" s="22"/>
      <c r="PW895" s="22"/>
      <c r="PX895" s="22"/>
      <c r="PY895" s="22"/>
      <c r="PZ895" s="22"/>
      <c r="QA895" s="22"/>
      <c r="QB895" s="22"/>
      <c r="QC895" s="22"/>
      <c r="QD895" s="22"/>
      <c r="QE895" s="22"/>
      <c r="QF895" s="22"/>
      <c r="QG895" s="22"/>
      <c r="QH895" s="22"/>
      <c r="QI895" s="22"/>
      <c r="QJ895" s="22"/>
      <c r="QK895" s="22"/>
      <c r="QL895" s="22"/>
      <c r="QM895" s="22"/>
      <c r="QN895" s="22"/>
      <c r="QO895" s="22"/>
      <c r="QP895" s="22"/>
      <c r="QQ895" s="22"/>
      <c r="QR895" s="22"/>
      <c r="QS895" s="22"/>
      <c r="QT895" s="22"/>
      <c r="QU895" s="22"/>
      <c r="QV895" s="22"/>
      <c r="QW895" s="22"/>
      <c r="QX895" s="22"/>
      <c r="QY895" s="22"/>
      <c r="QZ895" s="22"/>
      <c r="RA895" s="22"/>
      <c r="RB895" s="22"/>
      <c r="RC895" s="22"/>
      <c r="RD895" s="22"/>
      <c r="RE895" s="22"/>
      <c r="RF895" s="22"/>
      <c r="RG895" s="22"/>
      <c r="RH895" s="22"/>
      <c r="RI895" s="22"/>
      <c r="RJ895" s="22"/>
      <c r="RK895" s="22"/>
      <c r="RL895" s="22"/>
      <c r="RM895" s="22"/>
      <c r="RN895" s="22"/>
      <c r="RO895" s="22"/>
      <c r="RP895" s="22"/>
      <c r="RQ895" s="22"/>
      <c r="RR895" s="22"/>
      <c r="RS895" s="22"/>
      <c r="RT895" s="22"/>
      <c r="RU895" s="22"/>
      <c r="RV895" s="22"/>
      <c r="RW895" s="22"/>
      <c r="RX895" s="22"/>
      <c r="RY895" s="22"/>
      <c r="RZ895" s="22"/>
      <c r="SA895" s="22"/>
      <c r="SB895" s="22"/>
      <c r="SC895" s="22"/>
      <c r="SD895" s="22"/>
      <c r="SE895" s="22"/>
      <c r="SF895" s="22"/>
      <c r="SG895" s="22"/>
      <c r="SH895" s="22"/>
      <c r="SI895" s="22"/>
      <c r="SJ895" s="22"/>
      <c r="SK895" s="22"/>
      <c r="SL895" s="22"/>
      <c r="SM895" s="22"/>
      <c r="SN895" s="22"/>
      <c r="SO895" s="22"/>
      <c r="SP895" s="22"/>
      <c r="SQ895" s="22"/>
      <c r="SR895" s="22"/>
      <c r="SS895" s="22"/>
      <c r="ST895" s="22"/>
      <c r="SU895" s="22"/>
      <c r="SV895" s="22"/>
      <c r="SW895" s="22"/>
      <c r="SX895" s="22"/>
      <c r="SY895" s="22"/>
      <c r="SZ895" s="22"/>
      <c r="TA895" s="22"/>
      <c r="TB895" s="22"/>
      <c r="TC895" s="22"/>
      <c r="TD895" s="22"/>
      <c r="TE895" s="22"/>
      <c r="TF895" s="22"/>
      <c r="TG895" s="22"/>
      <c r="TH895" s="22"/>
      <c r="TI895" s="22"/>
      <c r="TJ895" s="22"/>
      <c r="TK895" s="22"/>
      <c r="TL895" s="22"/>
      <c r="TM895" s="22"/>
      <c r="TN895" s="22"/>
      <c r="TO895" s="22"/>
      <c r="TP895" s="22"/>
      <c r="TQ895" s="22"/>
      <c r="TR895" s="22"/>
      <c r="TS895" s="22"/>
      <c r="TT895" s="22"/>
      <c r="TU895" s="22"/>
      <c r="TV895" s="22"/>
      <c r="TW895" s="22"/>
      <c r="TX895" s="22"/>
      <c r="TY895" s="22"/>
      <c r="TZ895" s="22"/>
      <c r="UA895" s="22"/>
      <c r="UB895" s="22"/>
      <c r="UC895" s="22"/>
      <c r="UD895" s="22"/>
      <c r="UE895" s="22"/>
      <c r="UF895" s="22"/>
      <c r="UG895" s="23"/>
    </row>
    <row r="896" spans="1:553" ht="30.75" customHeight="1">
      <c r="A896" s="356" t="s">
        <v>15</v>
      </c>
      <c r="B896" s="366"/>
      <c r="C896" s="1414" t="s">
        <v>16</v>
      </c>
      <c r="D896" s="1389"/>
      <c r="E896" s="1389"/>
      <c r="F896" s="1390"/>
      <c r="G896" s="366"/>
      <c r="H896" s="370"/>
      <c r="I896" s="370"/>
      <c r="J896" s="368"/>
      <c r="K896" s="371"/>
      <c r="L896" s="366"/>
      <c r="M896" s="366"/>
      <c r="N896" s="366"/>
      <c r="O896" s="366"/>
      <c r="P896" s="366"/>
      <c r="Q896" s="1036"/>
      <c r="R896" s="1226"/>
      <c r="S896" s="308"/>
      <c r="T896" s="308"/>
      <c r="U896" s="308"/>
      <c r="V896" s="308"/>
      <c r="W896" s="308"/>
      <c r="X896" s="308"/>
      <c r="Y896" s="308"/>
      <c r="Z896" s="604"/>
      <c r="AA896" s="308"/>
      <c r="AB896" s="308"/>
      <c r="AC896" s="373"/>
      <c r="AD896" s="373"/>
      <c r="AE896" s="373"/>
      <c r="AF896" s="373"/>
      <c r="AG896" s="373"/>
      <c r="AH896" s="373"/>
      <c r="AI896" s="373"/>
      <c r="AJ896" s="373"/>
      <c r="AK896" s="374"/>
      <c r="AL896" s="323"/>
      <c r="AM896" s="21"/>
      <c r="AN896" s="21"/>
      <c r="AO896" s="21"/>
      <c r="AP896" s="21"/>
      <c r="AQ896" s="21"/>
      <c r="AR896" s="21"/>
      <c r="AS896" s="22"/>
      <c r="AT896" s="22"/>
      <c r="AU896" s="22"/>
      <c r="AV896" s="22"/>
      <c r="AW896" s="22"/>
      <c r="AX896" s="22"/>
      <c r="AY896" s="22"/>
      <c r="AZ896" s="22"/>
      <c r="BA896" s="22"/>
      <c r="BB896" s="22"/>
      <c r="BC896" s="22"/>
      <c r="BD896" s="22"/>
      <c r="BE896" s="22"/>
      <c r="BF896" s="22"/>
      <c r="BG896" s="22"/>
      <c r="BH896" s="22"/>
      <c r="BI896" s="22"/>
      <c r="BJ896" s="22"/>
      <c r="BK896" s="22"/>
      <c r="BL896" s="22"/>
      <c r="BM896" s="22"/>
      <c r="BN896" s="22"/>
      <c r="BO896" s="22"/>
      <c r="BP896" s="22"/>
      <c r="BQ896" s="22"/>
      <c r="BR896" s="22"/>
      <c r="BS896" s="22"/>
      <c r="BT896" s="22"/>
      <c r="BU896" s="22"/>
      <c r="BV896" s="22"/>
      <c r="BW896" s="22"/>
      <c r="BX896" s="22"/>
      <c r="BY896" s="22"/>
      <c r="BZ896" s="22"/>
      <c r="CA896" s="22"/>
      <c r="CB896" s="22"/>
      <c r="CC896" s="22"/>
      <c r="CD896" s="22"/>
      <c r="CE896" s="22"/>
      <c r="CF896" s="22"/>
      <c r="CG896" s="22"/>
      <c r="CH896" s="22"/>
      <c r="CI896" s="22"/>
      <c r="CJ896" s="22"/>
      <c r="CK896" s="22"/>
      <c r="CL896" s="22"/>
      <c r="CM896" s="22"/>
      <c r="CN896" s="22"/>
      <c r="CO896" s="22"/>
      <c r="CP896" s="22"/>
      <c r="CQ896" s="22"/>
      <c r="CR896" s="22"/>
      <c r="CS896" s="22"/>
      <c r="CT896" s="22"/>
      <c r="CU896" s="22"/>
      <c r="CV896" s="22"/>
      <c r="CW896" s="22"/>
      <c r="CX896" s="22"/>
      <c r="CY896" s="22"/>
      <c r="CZ896" s="22"/>
      <c r="DA896" s="22"/>
      <c r="DB896" s="22"/>
      <c r="DC896" s="22"/>
      <c r="DD896" s="22"/>
      <c r="DE896" s="22"/>
      <c r="DF896" s="22"/>
      <c r="DG896" s="22"/>
      <c r="DH896" s="22"/>
      <c r="DI896" s="22"/>
      <c r="DJ896" s="22"/>
      <c r="DK896" s="22"/>
      <c r="DL896" s="22"/>
      <c r="DM896" s="22"/>
      <c r="DN896" s="22"/>
      <c r="DO896" s="22"/>
      <c r="DP896" s="22"/>
      <c r="DQ896" s="22"/>
      <c r="DR896" s="22"/>
      <c r="DS896" s="22"/>
      <c r="DT896" s="22"/>
      <c r="DU896" s="22"/>
      <c r="DV896" s="22"/>
      <c r="DW896" s="22"/>
      <c r="DX896" s="22"/>
      <c r="DY896" s="22"/>
      <c r="DZ896" s="22"/>
      <c r="EA896" s="22"/>
      <c r="EB896" s="22"/>
      <c r="EC896" s="22"/>
      <c r="ED896" s="22"/>
      <c r="EE896" s="22"/>
      <c r="EF896" s="22"/>
      <c r="EG896" s="22"/>
      <c r="EH896" s="22"/>
      <c r="EI896" s="22"/>
      <c r="EJ896" s="22"/>
      <c r="EK896" s="22"/>
      <c r="EL896" s="22"/>
      <c r="EM896" s="22"/>
      <c r="EN896" s="22"/>
      <c r="EO896" s="22"/>
      <c r="EP896" s="22"/>
      <c r="EQ896" s="22"/>
      <c r="ER896" s="22"/>
      <c r="ES896" s="22"/>
      <c r="ET896" s="22"/>
      <c r="EU896" s="22"/>
      <c r="EV896" s="22"/>
      <c r="EW896" s="22"/>
      <c r="EX896" s="22"/>
      <c r="EY896" s="22"/>
      <c r="EZ896" s="22"/>
      <c r="FA896" s="22"/>
      <c r="FB896" s="22"/>
      <c r="FC896" s="22"/>
      <c r="FD896" s="22"/>
      <c r="FE896" s="22"/>
      <c r="FF896" s="22"/>
      <c r="FG896" s="22"/>
      <c r="FH896" s="22"/>
      <c r="FI896" s="22"/>
      <c r="FJ896" s="22"/>
      <c r="FK896" s="22"/>
      <c r="FL896" s="22"/>
      <c r="FM896" s="22"/>
      <c r="FN896" s="22"/>
      <c r="FO896" s="22"/>
      <c r="FP896" s="22"/>
      <c r="FQ896" s="22"/>
      <c r="FR896" s="22"/>
      <c r="FS896" s="22"/>
      <c r="FT896" s="22"/>
      <c r="FU896" s="22"/>
      <c r="FV896" s="22"/>
      <c r="FW896" s="22"/>
      <c r="FX896" s="22"/>
      <c r="FY896" s="22"/>
      <c r="FZ896" s="22"/>
      <c r="GA896" s="22"/>
      <c r="GB896" s="22"/>
      <c r="GC896" s="22"/>
      <c r="GD896" s="22"/>
      <c r="GE896" s="22"/>
      <c r="GF896" s="22"/>
      <c r="GG896" s="22"/>
      <c r="GH896" s="22"/>
      <c r="GI896" s="22"/>
      <c r="GJ896" s="22"/>
      <c r="GK896" s="22"/>
      <c r="GL896" s="22"/>
      <c r="GM896" s="22"/>
      <c r="GN896" s="22"/>
      <c r="GO896" s="22"/>
      <c r="GP896" s="22"/>
      <c r="GQ896" s="22"/>
      <c r="GR896" s="22"/>
      <c r="GS896" s="22"/>
      <c r="GT896" s="22"/>
      <c r="GU896" s="22"/>
      <c r="GV896" s="22"/>
      <c r="GW896" s="22"/>
      <c r="GX896" s="22"/>
      <c r="GY896" s="22"/>
      <c r="GZ896" s="22"/>
      <c r="HA896" s="22"/>
      <c r="HB896" s="22"/>
      <c r="HC896" s="22"/>
      <c r="HD896" s="22"/>
      <c r="HE896" s="22"/>
      <c r="HF896" s="22"/>
      <c r="HG896" s="22"/>
      <c r="HH896" s="22"/>
      <c r="HI896" s="22"/>
      <c r="HJ896" s="22"/>
      <c r="HK896" s="22"/>
      <c r="HL896" s="22"/>
      <c r="HM896" s="22"/>
      <c r="HN896" s="22"/>
      <c r="HO896" s="22"/>
      <c r="HP896" s="22"/>
      <c r="HQ896" s="22"/>
      <c r="HR896" s="22"/>
      <c r="HS896" s="22"/>
      <c r="HT896" s="22"/>
      <c r="HU896" s="22"/>
      <c r="HV896" s="22"/>
      <c r="HW896" s="22"/>
      <c r="HX896" s="22"/>
      <c r="HY896" s="22"/>
      <c r="HZ896" s="22"/>
      <c r="IA896" s="22"/>
      <c r="IB896" s="22"/>
      <c r="IC896" s="22"/>
      <c r="ID896" s="22"/>
      <c r="IE896" s="22"/>
      <c r="IF896" s="22"/>
      <c r="IG896" s="22"/>
      <c r="IH896" s="22"/>
      <c r="II896" s="22"/>
      <c r="IJ896" s="22"/>
      <c r="IK896" s="22"/>
      <c r="IL896" s="22"/>
      <c r="IM896" s="22"/>
      <c r="IN896" s="22"/>
      <c r="IO896" s="22"/>
      <c r="IP896" s="22"/>
      <c r="IQ896" s="22"/>
      <c r="IR896" s="22"/>
      <c r="IS896" s="22"/>
      <c r="IT896" s="22"/>
      <c r="IU896" s="22"/>
      <c r="IV896" s="22"/>
      <c r="IW896" s="22"/>
      <c r="IX896" s="22"/>
      <c r="IY896" s="22"/>
      <c r="IZ896" s="22"/>
      <c r="JA896" s="22"/>
      <c r="JB896" s="22"/>
      <c r="JC896" s="22"/>
      <c r="JD896" s="22"/>
      <c r="JE896" s="22"/>
      <c r="JF896" s="22"/>
      <c r="JG896" s="22"/>
      <c r="JH896" s="22"/>
      <c r="JI896" s="22"/>
      <c r="JJ896" s="22"/>
      <c r="JK896" s="22"/>
      <c r="JL896" s="22"/>
      <c r="JM896" s="22"/>
      <c r="JN896" s="22"/>
      <c r="JO896" s="22"/>
      <c r="JP896" s="22"/>
      <c r="JQ896" s="22"/>
      <c r="JR896" s="22"/>
      <c r="JS896" s="22"/>
      <c r="JT896" s="22"/>
      <c r="JU896" s="22"/>
      <c r="JV896" s="22"/>
      <c r="JW896" s="22"/>
      <c r="JX896" s="22"/>
      <c r="JY896" s="22"/>
      <c r="JZ896" s="22"/>
      <c r="KA896" s="22"/>
      <c r="KB896" s="22"/>
      <c r="KC896" s="22"/>
      <c r="KD896" s="22"/>
      <c r="KE896" s="22"/>
      <c r="KF896" s="22"/>
      <c r="KG896" s="22"/>
      <c r="KH896" s="22"/>
      <c r="KI896" s="22"/>
      <c r="KJ896" s="22"/>
      <c r="KK896" s="22"/>
      <c r="KL896" s="22"/>
      <c r="KM896" s="22"/>
      <c r="KN896" s="22"/>
      <c r="KO896" s="22"/>
      <c r="KP896" s="22"/>
      <c r="KQ896" s="22"/>
      <c r="KR896" s="22"/>
      <c r="KS896" s="22"/>
      <c r="KT896" s="22"/>
      <c r="KU896" s="22"/>
      <c r="KV896" s="22"/>
      <c r="KW896" s="22"/>
      <c r="KX896" s="22"/>
      <c r="KY896" s="22"/>
      <c r="KZ896" s="22"/>
      <c r="LA896" s="22"/>
      <c r="LB896" s="22"/>
      <c r="LC896" s="22"/>
      <c r="LD896" s="22"/>
      <c r="LE896" s="22"/>
      <c r="LF896" s="22"/>
      <c r="LG896" s="22"/>
      <c r="LH896" s="22"/>
      <c r="LI896" s="22"/>
      <c r="LJ896" s="22"/>
      <c r="LK896" s="22"/>
      <c r="LL896" s="22"/>
      <c r="LM896" s="22"/>
      <c r="LN896" s="22"/>
      <c r="LO896" s="22"/>
      <c r="LP896" s="22"/>
      <c r="LQ896" s="22"/>
      <c r="LR896" s="22"/>
      <c r="LS896" s="22"/>
      <c r="LT896" s="22"/>
      <c r="LU896" s="22"/>
      <c r="LV896" s="22"/>
      <c r="LW896" s="22"/>
      <c r="LX896" s="22"/>
      <c r="LY896" s="22"/>
      <c r="LZ896" s="22"/>
      <c r="MA896" s="22"/>
      <c r="MB896" s="22"/>
      <c r="MC896" s="22"/>
      <c r="MD896" s="22"/>
      <c r="ME896" s="22"/>
      <c r="MF896" s="22"/>
      <c r="MG896" s="22"/>
      <c r="MH896" s="22"/>
      <c r="MI896" s="22"/>
      <c r="MJ896" s="22"/>
      <c r="MK896" s="22"/>
      <c r="ML896" s="22"/>
      <c r="MM896" s="22"/>
      <c r="MN896" s="22"/>
      <c r="MO896" s="22"/>
      <c r="MP896" s="22"/>
      <c r="MQ896" s="22"/>
      <c r="MR896" s="22"/>
      <c r="MS896" s="22"/>
      <c r="MT896" s="22"/>
      <c r="MU896" s="22"/>
      <c r="MV896" s="22"/>
      <c r="MW896" s="22"/>
      <c r="MX896" s="22"/>
      <c r="MY896" s="22"/>
      <c r="MZ896" s="22"/>
      <c r="NA896" s="22"/>
      <c r="NB896" s="22"/>
      <c r="NC896" s="22"/>
      <c r="ND896" s="22"/>
      <c r="NE896" s="22"/>
      <c r="NF896" s="22"/>
      <c r="NG896" s="22"/>
      <c r="NH896" s="22"/>
      <c r="NI896" s="22"/>
      <c r="NJ896" s="22"/>
      <c r="NK896" s="22"/>
      <c r="NL896" s="22"/>
      <c r="NM896" s="22"/>
      <c r="NN896" s="22"/>
      <c r="NO896" s="22"/>
      <c r="NP896" s="22"/>
      <c r="NQ896" s="22"/>
      <c r="NR896" s="22"/>
      <c r="NS896" s="22"/>
      <c r="NT896" s="22"/>
      <c r="NU896" s="22"/>
      <c r="NV896" s="22"/>
      <c r="NW896" s="22"/>
      <c r="NX896" s="22"/>
      <c r="NY896" s="22"/>
      <c r="NZ896" s="22"/>
      <c r="OA896" s="22"/>
      <c r="OB896" s="22"/>
      <c r="OC896" s="22"/>
      <c r="OD896" s="22"/>
      <c r="OE896" s="22"/>
      <c r="OF896" s="22"/>
      <c r="OG896" s="22"/>
      <c r="OH896" s="22"/>
      <c r="OI896" s="22"/>
      <c r="OJ896" s="22"/>
      <c r="OK896" s="22"/>
      <c r="OL896" s="22"/>
      <c r="OM896" s="22"/>
      <c r="ON896" s="22"/>
      <c r="OO896" s="22"/>
      <c r="OP896" s="22"/>
      <c r="OQ896" s="22"/>
      <c r="OR896" s="22"/>
      <c r="OS896" s="22"/>
      <c r="OT896" s="22"/>
      <c r="OU896" s="22"/>
      <c r="OV896" s="22"/>
      <c r="OW896" s="22"/>
      <c r="OX896" s="22"/>
      <c r="OY896" s="22"/>
      <c r="OZ896" s="22"/>
      <c r="PA896" s="22"/>
      <c r="PB896" s="22"/>
      <c r="PC896" s="22"/>
      <c r="PD896" s="22"/>
      <c r="PE896" s="22"/>
      <c r="PF896" s="22"/>
      <c r="PG896" s="22"/>
      <c r="PH896" s="22"/>
      <c r="PI896" s="22"/>
      <c r="PJ896" s="22"/>
      <c r="PK896" s="22"/>
      <c r="PL896" s="22"/>
      <c r="PM896" s="22"/>
      <c r="PN896" s="22"/>
      <c r="PO896" s="22"/>
      <c r="PP896" s="22"/>
      <c r="PQ896" s="22"/>
      <c r="PR896" s="22"/>
      <c r="PS896" s="22"/>
      <c r="PT896" s="22"/>
      <c r="PU896" s="22"/>
      <c r="PV896" s="22"/>
      <c r="PW896" s="22"/>
      <c r="PX896" s="22"/>
      <c r="PY896" s="22"/>
      <c r="PZ896" s="22"/>
      <c r="QA896" s="22"/>
      <c r="QB896" s="22"/>
      <c r="QC896" s="22"/>
      <c r="QD896" s="22"/>
      <c r="QE896" s="22"/>
      <c r="QF896" s="22"/>
      <c r="QG896" s="22"/>
      <c r="QH896" s="22"/>
      <c r="QI896" s="22"/>
      <c r="QJ896" s="22"/>
      <c r="QK896" s="22"/>
      <c r="QL896" s="22"/>
      <c r="QM896" s="22"/>
      <c r="QN896" s="22"/>
      <c r="QO896" s="22"/>
      <c r="QP896" s="22"/>
      <c r="QQ896" s="22"/>
      <c r="QR896" s="22"/>
      <c r="QS896" s="22"/>
      <c r="QT896" s="22"/>
      <c r="QU896" s="22"/>
      <c r="QV896" s="22"/>
      <c r="QW896" s="22"/>
      <c r="QX896" s="22"/>
      <c r="QY896" s="22"/>
      <c r="QZ896" s="22"/>
      <c r="RA896" s="22"/>
      <c r="RB896" s="22"/>
      <c r="RC896" s="22"/>
      <c r="RD896" s="22"/>
      <c r="RE896" s="22"/>
      <c r="RF896" s="22"/>
      <c r="RG896" s="22"/>
      <c r="RH896" s="22"/>
      <c r="RI896" s="22"/>
      <c r="RJ896" s="22"/>
      <c r="RK896" s="22"/>
      <c r="RL896" s="22"/>
      <c r="RM896" s="22"/>
      <c r="RN896" s="22"/>
      <c r="RO896" s="22"/>
      <c r="RP896" s="22"/>
      <c r="RQ896" s="22"/>
      <c r="RR896" s="22"/>
      <c r="RS896" s="22"/>
      <c r="RT896" s="22"/>
      <c r="RU896" s="22"/>
      <c r="RV896" s="22"/>
      <c r="RW896" s="22"/>
      <c r="RX896" s="22"/>
      <c r="RY896" s="22"/>
      <c r="RZ896" s="22"/>
      <c r="SA896" s="22"/>
      <c r="SB896" s="22"/>
      <c r="SC896" s="22"/>
      <c r="SD896" s="22"/>
      <c r="SE896" s="22"/>
      <c r="SF896" s="22"/>
      <c r="SG896" s="22"/>
      <c r="SH896" s="22"/>
      <c r="SI896" s="22"/>
      <c r="SJ896" s="22"/>
      <c r="SK896" s="22"/>
      <c r="SL896" s="22"/>
      <c r="SM896" s="22"/>
      <c r="SN896" s="22"/>
      <c r="SO896" s="22"/>
      <c r="SP896" s="22"/>
      <c r="SQ896" s="22"/>
      <c r="SR896" s="22"/>
      <c r="SS896" s="22"/>
      <c r="ST896" s="22"/>
      <c r="SU896" s="22"/>
      <c r="SV896" s="22"/>
      <c r="SW896" s="22"/>
      <c r="SX896" s="22"/>
      <c r="SY896" s="22"/>
      <c r="SZ896" s="22"/>
      <c r="TA896" s="22"/>
      <c r="TB896" s="22"/>
      <c r="TC896" s="22"/>
      <c r="TD896" s="22"/>
      <c r="TE896" s="22"/>
      <c r="TF896" s="22"/>
      <c r="TG896" s="22"/>
      <c r="TH896" s="22"/>
      <c r="TI896" s="22"/>
      <c r="TJ896" s="22"/>
      <c r="TK896" s="22"/>
      <c r="TL896" s="22"/>
      <c r="TM896" s="22"/>
      <c r="TN896" s="22"/>
      <c r="TO896" s="22"/>
      <c r="TP896" s="22"/>
      <c r="TQ896" s="22"/>
      <c r="TR896" s="22"/>
      <c r="TS896" s="22"/>
      <c r="TT896" s="22"/>
      <c r="TU896" s="22"/>
      <c r="TV896" s="22"/>
      <c r="TW896" s="22"/>
      <c r="TX896" s="22"/>
      <c r="TY896" s="22"/>
      <c r="TZ896" s="22"/>
      <c r="UA896" s="22"/>
      <c r="UB896" s="22"/>
      <c r="UC896" s="22"/>
      <c r="UD896" s="22"/>
      <c r="UE896" s="22"/>
      <c r="UF896" s="22"/>
      <c r="UG896" s="23"/>
    </row>
    <row r="897" spans="1:553" ht="30.75" customHeight="1">
      <c r="A897" s="356" t="s">
        <v>15</v>
      </c>
      <c r="B897" s="366"/>
      <c r="C897" s="1443" t="s">
        <v>534</v>
      </c>
      <c r="D897" s="1389"/>
      <c r="E897" s="1389"/>
      <c r="F897" s="1390"/>
      <c r="G897" s="366"/>
      <c r="H897" s="370"/>
      <c r="I897" s="370"/>
      <c r="J897" s="368"/>
      <c r="K897" s="371"/>
      <c r="L897" s="366"/>
      <c r="M897" s="366"/>
      <c r="N897" s="366"/>
      <c r="O897" s="366"/>
      <c r="P897" s="366"/>
      <c r="Q897" s="1036"/>
      <c r="R897" s="1226"/>
      <c r="S897" s="308"/>
      <c r="T897" s="308"/>
      <c r="U897" s="308"/>
      <c r="V897" s="308"/>
      <c r="W897" s="308"/>
      <c r="X897" s="308"/>
      <c r="Y897" s="308"/>
      <c r="Z897" s="604"/>
      <c r="AA897" s="308"/>
      <c r="AB897" s="308"/>
      <c r="AC897" s="373"/>
      <c r="AD897" s="373"/>
      <c r="AE897" s="373"/>
      <c r="AF897" s="373"/>
      <c r="AG897" s="373"/>
      <c r="AH897" s="373"/>
      <c r="AI897" s="373"/>
      <c r="AJ897" s="373"/>
      <c r="AK897" s="374"/>
      <c r="AL897" s="323"/>
      <c r="AM897" s="21"/>
      <c r="AN897" s="21"/>
      <c r="AO897" s="21"/>
      <c r="AP897" s="21"/>
      <c r="AQ897" s="21"/>
      <c r="AR897" s="21"/>
      <c r="AS897" s="22"/>
      <c r="AT897" s="22"/>
      <c r="AU897" s="22"/>
      <c r="AV897" s="22"/>
      <c r="AW897" s="22"/>
      <c r="AX897" s="22"/>
      <c r="AY897" s="22"/>
      <c r="AZ897" s="22"/>
      <c r="BA897" s="22"/>
      <c r="BB897" s="22"/>
      <c r="BC897" s="22"/>
      <c r="BD897" s="22"/>
      <c r="BE897" s="22"/>
      <c r="BF897" s="22"/>
      <c r="BG897" s="22"/>
      <c r="BH897" s="22"/>
      <c r="BI897" s="22"/>
      <c r="BJ897" s="22"/>
      <c r="BK897" s="22"/>
      <c r="BL897" s="22"/>
      <c r="BM897" s="22"/>
      <c r="BN897" s="22"/>
      <c r="BO897" s="22"/>
      <c r="BP897" s="22"/>
      <c r="BQ897" s="22"/>
      <c r="BR897" s="22"/>
      <c r="BS897" s="22"/>
      <c r="BT897" s="22"/>
      <c r="BU897" s="22"/>
      <c r="BV897" s="22"/>
      <c r="BW897" s="22"/>
      <c r="BX897" s="22"/>
      <c r="BY897" s="22"/>
      <c r="BZ897" s="22"/>
      <c r="CA897" s="22"/>
      <c r="CB897" s="22"/>
      <c r="CC897" s="22"/>
      <c r="CD897" s="22"/>
      <c r="CE897" s="22"/>
      <c r="CF897" s="22"/>
      <c r="CG897" s="22"/>
      <c r="CH897" s="22"/>
      <c r="CI897" s="22"/>
      <c r="CJ897" s="22"/>
      <c r="CK897" s="22"/>
      <c r="CL897" s="22"/>
      <c r="CM897" s="22"/>
      <c r="CN897" s="22"/>
      <c r="CO897" s="22"/>
      <c r="CP897" s="22"/>
      <c r="CQ897" s="22"/>
      <c r="CR897" s="22"/>
      <c r="CS897" s="22"/>
      <c r="CT897" s="22"/>
      <c r="CU897" s="22"/>
      <c r="CV897" s="22"/>
      <c r="CW897" s="22"/>
      <c r="CX897" s="22"/>
      <c r="CY897" s="22"/>
      <c r="CZ897" s="22"/>
      <c r="DA897" s="22"/>
      <c r="DB897" s="22"/>
      <c r="DC897" s="22"/>
      <c r="DD897" s="22"/>
      <c r="DE897" s="22"/>
      <c r="DF897" s="22"/>
      <c r="DG897" s="22"/>
      <c r="DH897" s="22"/>
      <c r="DI897" s="22"/>
      <c r="DJ897" s="22"/>
      <c r="DK897" s="22"/>
      <c r="DL897" s="22"/>
      <c r="DM897" s="22"/>
      <c r="DN897" s="22"/>
      <c r="DO897" s="22"/>
      <c r="DP897" s="22"/>
      <c r="DQ897" s="22"/>
      <c r="DR897" s="22"/>
      <c r="DS897" s="22"/>
      <c r="DT897" s="22"/>
      <c r="DU897" s="22"/>
      <c r="DV897" s="22"/>
      <c r="DW897" s="22"/>
      <c r="DX897" s="22"/>
      <c r="DY897" s="22"/>
      <c r="DZ897" s="22"/>
      <c r="EA897" s="22"/>
      <c r="EB897" s="22"/>
      <c r="EC897" s="22"/>
      <c r="ED897" s="22"/>
      <c r="EE897" s="22"/>
      <c r="EF897" s="22"/>
      <c r="EG897" s="22"/>
      <c r="EH897" s="22"/>
      <c r="EI897" s="22"/>
      <c r="EJ897" s="22"/>
      <c r="EK897" s="22"/>
      <c r="EL897" s="22"/>
      <c r="EM897" s="22"/>
      <c r="EN897" s="22"/>
      <c r="EO897" s="22"/>
      <c r="EP897" s="22"/>
      <c r="EQ897" s="22"/>
      <c r="ER897" s="22"/>
      <c r="ES897" s="22"/>
      <c r="ET897" s="22"/>
      <c r="EU897" s="22"/>
      <c r="EV897" s="22"/>
      <c r="EW897" s="22"/>
      <c r="EX897" s="22"/>
      <c r="EY897" s="22"/>
      <c r="EZ897" s="22"/>
      <c r="FA897" s="22"/>
      <c r="FB897" s="22"/>
      <c r="FC897" s="22"/>
      <c r="FD897" s="22"/>
      <c r="FE897" s="22"/>
      <c r="FF897" s="22"/>
      <c r="FG897" s="22"/>
      <c r="FH897" s="22"/>
      <c r="FI897" s="22"/>
      <c r="FJ897" s="22"/>
      <c r="FK897" s="22"/>
      <c r="FL897" s="22"/>
      <c r="FM897" s="22"/>
      <c r="FN897" s="22"/>
      <c r="FO897" s="22"/>
      <c r="FP897" s="22"/>
      <c r="FQ897" s="22"/>
      <c r="FR897" s="22"/>
      <c r="FS897" s="22"/>
      <c r="FT897" s="22"/>
      <c r="FU897" s="22"/>
      <c r="FV897" s="22"/>
      <c r="FW897" s="22"/>
      <c r="FX897" s="22"/>
      <c r="FY897" s="22"/>
      <c r="FZ897" s="22"/>
      <c r="GA897" s="22"/>
      <c r="GB897" s="22"/>
      <c r="GC897" s="22"/>
      <c r="GD897" s="22"/>
      <c r="GE897" s="22"/>
      <c r="GF897" s="22"/>
      <c r="GG897" s="22"/>
      <c r="GH897" s="22"/>
      <c r="GI897" s="22"/>
      <c r="GJ897" s="22"/>
      <c r="GK897" s="22"/>
      <c r="GL897" s="22"/>
      <c r="GM897" s="22"/>
      <c r="GN897" s="22"/>
      <c r="GO897" s="22"/>
      <c r="GP897" s="22"/>
      <c r="GQ897" s="22"/>
      <c r="GR897" s="22"/>
      <c r="GS897" s="22"/>
      <c r="GT897" s="22"/>
      <c r="GU897" s="22"/>
      <c r="GV897" s="22"/>
      <c r="GW897" s="22"/>
      <c r="GX897" s="22"/>
      <c r="GY897" s="22"/>
      <c r="GZ897" s="22"/>
      <c r="HA897" s="22"/>
      <c r="HB897" s="22"/>
      <c r="HC897" s="22"/>
      <c r="HD897" s="22"/>
      <c r="HE897" s="22"/>
      <c r="HF897" s="22"/>
      <c r="HG897" s="22"/>
      <c r="HH897" s="22"/>
      <c r="HI897" s="22"/>
      <c r="HJ897" s="22"/>
      <c r="HK897" s="22"/>
      <c r="HL897" s="22"/>
      <c r="HM897" s="22"/>
      <c r="HN897" s="22"/>
      <c r="HO897" s="22"/>
      <c r="HP897" s="22"/>
      <c r="HQ897" s="22"/>
      <c r="HR897" s="22"/>
      <c r="HS897" s="22"/>
      <c r="HT897" s="22"/>
      <c r="HU897" s="22"/>
      <c r="HV897" s="22"/>
      <c r="HW897" s="22"/>
      <c r="HX897" s="22"/>
      <c r="HY897" s="22"/>
      <c r="HZ897" s="22"/>
      <c r="IA897" s="22"/>
      <c r="IB897" s="22"/>
      <c r="IC897" s="22"/>
      <c r="ID897" s="22"/>
      <c r="IE897" s="22"/>
      <c r="IF897" s="22"/>
      <c r="IG897" s="22"/>
      <c r="IH897" s="22"/>
      <c r="II897" s="22"/>
      <c r="IJ897" s="22"/>
      <c r="IK897" s="22"/>
      <c r="IL897" s="22"/>
      <c r="IM897" s="22"/>
      <c r="IN897" s="22"/>
      <c r="IO897" s="22"/>
      <c r="IP897" s="22"/>
      <c r="IQ897" s="22"/>
      <c r="IR897" s="22"/>
      <c r="IS897" s="22"/>
      <c r="IT897" s="22"/>
      <c r="IU897" s="22"/>
      <c r="IV897" s="22"/>
      <c r="IW897" s="22"/>
      <c r="IX897" s="22"/>
      <c r="IY897" s="22"/>
      <c r="IZ897" s="22"/>
      <c r="JA897" s="22"/>
      <c r="JB897" s="22"/>
      <c r="JC897" s="22"/>
      <c r="JD897" s="22"/>
      <c r="JE897" s="22"/>
      <c r="JF897" s="22"/>
      <c r="JG897" s="22"/>
      <c r="JH897" s="22"/>
      <c r="JI897" s="22"/>
      <c r="JJ897" s="22"/>
      <c r="JK897" s="22"/>
      <c r="JL897" s="22"/>
      <c r="JM897" s="22"/>
      <c r="JN897" s="22"/>
      <c r="JO897" s="22"/>
      <c r="JP897" s="22"/>
      <c r="JQ897" s="22"/>
      <c r="JR897" s="22"/>
      <c r="JS897" s="22"/>
      <c r="JT897" s="22"/>
      <c r="JU897" s="22"/>
      <c r="JV897" s="22"/>
      <c r="JW897" s="22"/>
      <c r="JX897" s="22"/>
      <c r="JY897" s="22"/>
      <c r="JZ897" s="22"/>
      <c r="KA897" s="22"/>
      <c r="KB897" s="22"/>
      <c r="KC897" s="22"/>
      <c r="KD897" s="22"/>
      <c r="KE897" s="22"/>
      <c r="KF897" s="22"/>
      <c r="KG897" s="22"/>
      <c r="KH897" s="22"/>
      <c r="KI897" s="22"/>
      <c r="KJ897" s="22"/>
      <c r="KK897" s="22"/>
      <c r="KL897" s="22"/>
      <c r="KM897" s="22"/>
      <c r="KN897" s="22"/>
      <c r="KO897" s="22"/>
      <c r="KP897" s="22"/>
      <c r="KQ897" s="22"/>
      <c r="KR897" s="22"/>
      <c r="KS897" s="22"/>
      <c r="KT897" s="22"/>
      <c r="KU897" s="22"/>
      <c r="KV897" s="22"/>
      <c r="KW897" s="22"/>
      <c r="KX897" s="22"/>
      <c r="KY897" s="22"/>
      <c r="KZ897" s="22"/>
      <c r="LA897" s="22"/>
      <c r="LB897" s="22"/>
      <c r="LC897" s="22"/>
      <c r="LD897" s="22"/>
      <c r="LE897" s="22"/>
      <c r="LF897" s="22"/>
      <c r="LG897" s="22"/>
      <c r="LH897" s="22"/>
      <c r="LI897" s="22"/>
      <c r="LJ897" s="22"/>
      <c r="LK897" s="22"/>
      <c r="LL897" s="22"/>
      <c r="LM897" s="22"/>
      <c r="LN897" s="22"/>
      <c r="LO897" s="22"/>
      <c r="LP897" s="22"/>
      <c r="LQ897" s="22"/>
      <c r="LR897" s="22"/>
      <c r="LS897" s="22"/>
      <c r="LT897" s="22"/>
      <c r="LU897" s="22"/>
      <c r="LV897" s="22"/>
      <c r="LW897" s="22"/>
      <c r="LX897" s="22"/>
      <c r="LY897" s="22"/>
      <c r="LZ897" s="22"/>
      <c r="MA897" s="22"/>
      <c r="MB897" s="22"/>
      <c r="MC897" s="22"/>
      <c r="MD897" s="22"/>
      <c r="ME897" s="22"/>
      <c r="MF897" s="22"/>
      <c r="MG897" s="22"/>
      <c r="MH897" s="22"/>
      <c r="MI897" s="22"/>
      <c r="MJ897" s="22"/>
      <c r="MK897" s="22"/>
      <c r="ML897" s="22"/>
      <c r="MM897" s="22"/>
      <c r="MN897" s="22"/>
      <c r="MO897" s="22"/>
      <c r="MP897" s="22"/>
      <c r="MQ897" s="22"/>
      <c r="MR897" s="22"/>
      <c r="MS897" s="22"/>
      <c r="MT897" s="22"/>
      <c r="MU897" s="22"/>
      <c r="MV897" s="22"/>
      <c r="MW897" s="22"/>
      <c r="MX897" s="22"/>
      <c r="MY897" s="22"/>
      <c r="MZ897" s="22"/>
      <c r="NA897" s="22"/>
      <c r="NB897" s="22"/>
      <c r="NC897" s="22"/>
      <c r="ND897" s="22"/>
      <c r="NE897" s="22"/>
      <c r="NF897" s="22"/>
      <c r="NG897" s="22"/>
      <c r="NH897" s="22"/>
      <c r="NI897" s="22"/>
      <c r="NJ897" s="22"/>
      <c r="NK897" s="22"/>
      <c r="NL897" s="22"/>
      <c r="NM897" s="22"/>
      <c r="NN897" s="22"/>
      <c r="NO897" s="22"/>
      <c r="NP897" s="22"/>
      <c r="NQ897" s="22"/>
      <c r="NR897" s="22"/>
      <c r="NS897" s="22"/>
      <c r="NT897" s="22"/>
      <c r="NU897" s="22"/>
      <c r="NV897" s="22"/>
      <c r="NW897" s="22"/>
      <c r="NX897" s="22"/>
      <c r="NY897" s="22"/>
      <c r="NZ897" s="22"/>
      <c r="OA897" s="22"/>
      <c r="OB897" s="22"/>
      <c r="OC897" s="22"/>
      <c r="OD897" s="22"/>
      <c r="OE897" s="22"/>
      <c r="OF897" s="22"/>
      <c r="OG897" s="22"/>
      <c r="OH897" s="22"/>
      <c r="OI897" s="22"/>
      <c r="OJ897" s="22"/>
      <c r="OK897" s="22"/>
      <c r="OL897" s="22"/>
      <c r="OM897" s="22"/>
      <c r="ON897" s="22"/>
      <c r="OO897" s="22"/>
      <c r="OP897" s="22"/>
      <c r="OQ897" s="22"/>
      <c r="OR897" s="22"/>
      <c r="OS897" s="22"/>
      <c r="OT897" s="22"/>
      <c r="OU897" s="22"/>
      <c r="OV897" s="22"/>
      <c r="OW897" s="22"/>
      <c r="OX897" s="22"/>
      <c r="OY897" s="22"/>
      <c r="OZ897" s="22"/>
      <c r="PA897" s="22"/>
      <c r="PB897" s="22"/>
      <c r="PC897" s="22"/>
      <c r="PD897" s="22"/>
      <c r="PE897" s="22"/>
      <c r="PF897" s="22"/>
      <c r="PG897" s="22"/>
      <c r="PH897" s="22"/>
      <c r="PI897" s="22"/>
      <c r="PJ897" s="22"/>
      <c r="PK897" s="22"/>
      <c r="PL897" s="22"/>
      <c r="PM897" s="22"/>
      <c r="PN897" s="22"/>
      <c r="PO897" s="22"/>
      <c r="PP897" s="22"/>
      <c r="PQ897" s="22"/>
      <c r="PR897" s="22"/>
      <c r="PS897" s="22"/>
      <c r="PT897" s="22"/>
      <c r="PU897" s="22"/>
      <c r="PV897" s="22"/>
      <c r="PW897" s="22"/>
      <c r="PX897" s="22"/>
      <c r="PY897" s="22"/>
      <c r="PZ897" s="22"/>
      <c r="QA897" s="22"/>
      <c r="QB897" s="22"/>
      <c r="QC897" s="22"/>
      <c r="QD897" s="22"/>
      <c r="QE897" s="22"/>
      <c r="QF897" s="22"/>
      <c r="QG897" s="22"/>
      <c r="QH897" s="22"/>
      <c r="QI897" s="22"/>
      <c r="QJ897" s="22"/>
      <c r="QK897" s="22"/>
      <c r="QL897" s="22"/>
      <c r="QM897" s="22"/>
      <c r="QN897" s="22"/>
      <c r="QO897" s="22"/>
      <c r="QP897" s="22"/>
      <c r="QQ897" s="22"/>
      <c r="QR897" s="22"/>
      <c r="QS897" s="22"/>
      <c r="QT897" s="22"/>
      <c r="QU897" s="22"/>
      <c r="QV897" s="22"/>
      <c r="QW897" s="22"/>
      <c r="QX897" s="22"/>
      <c r="QY897" s="22"/>
      <c r="QZ897" s="22"/>
      <c r="RA897" s="22"/>
      <c r="RB897" s="22"/>
      <c r="RC897" s="22"/>
      <c r="RD897" s="22"/>
      <c r="RE897" s="22"/>
      <c r="RF897" s="22"/>
      <c r="RG897" s="22"/>
      <c r="RH897" s="22"/>
      <c r="RI897" s="22"/>
      <c r="RJ897" s="22"/>
      <c r="RK897" s="22"/>
      <c r="RL897" s="22"/>
      <c r="RM897" s="22"/>
      <c r="RN897" s="22"/>
      <c r="RO897" s="22"/>
      <c r="RP897" s="22"/>
      <c r="RQ897" s="22"/>
      <c r="RR897" s="22"/>
      <c r="RS897" s="22"/>
      <c r="RT897" s="22"/>
      <c r="RU897" s="22"/>
      <c r="RV897" s="22"/>
      <c r="RW897" s="22"/>
      <c r="RX897" s="22"/>
      <c r="RY897" s="22"/>
      <c r="RZ897" s="22"/>
      <c r="SA897" s="22"/>
      <c r="SB897" s="22"/>
      <c r="SC897" s="22"/>
      <c r="SD897" s="22"/>
      <c r="SE897" s="22"/>
      <c r="SF897" s="22"/>
      <c r="SG897" s="22"/>
      <c r="SH897" s="22"/>
      <c r="SI897" s="22"/>
      <c r="SJ897" s="22"/>
      <c r="SK897" s="22"/>
      <c r="SL897" s="22"/>
      <c r="SM897" s="22"/>
      <c r="SN897" s="22"/>
      <c r="SO897" s="22"/>
      <c r="SP897" s="22"/>
      <c r="SQ897" s="22"/>
      <c r="SR897" s="22"/>
      <c r="SS897" s="22"/>
      <c r="ST897" s="22"/>
      <c r="SU897" s="22"/>
      <c r="SV897" s="22"/>
      <c r="SW897" s="22"/>
      <c r="SX897" s="22"/>
      <c r="SY897" s="22"/>
      <c r="SZ897" s="22"/>
      <c r="TA897" s="22"/>
      <c r="TB897" s="22"/>
      <c r="TC897" s="22"/>
      <c r="TD897" s="22"/>
      <c r="TE897" s="22"/>
      <c r="TF897" s="22"/>
      <c r="TG897" s="22"/>
      <c r="TH897" s="22"/>
      <c r="TI897" s="22"/>
      <c r="TJ897" s="22"/>
      <c r="TK897" s="22"/>
      <c r="TL897" s="22"/>
      <c r="TM897" s="22"/>
      <c r="TN897" s="22"/>
      <c r="TO897" s="22"/>
      <c r="TP897" s="22"/>
      <c r="TQ897" s="22"/>
      <c r="TR897" s="22"/>
      <c r="TS897" s="22"/>
      <c r="TT897" s="22"/>
      <c r="TU897" s="22"/>
      <c r="TV897" s="22"/>
      <c r="TW897" s="22"/>
      <c r="TX897" s="22"/>
      <c r="TY897" s="22"/>
      <c r="TZ897" s="22"/>
      <c r="UA897" s="22"/>
      <c r="UB897" s="22"/>
      <c r="UC897" s="22"/>
      <c r="UD897" s="22"/>
      <c r="UE897" s="22"/>
      <c r="UF897" s="22"/>
      <c r="UG897" s="23"/>
    </row>
    <row r="898" spans="1:553" ht="30.75" customHeight="1">
      <c r="A898" s="356" t="s">
        <v>17</v>
      </c>
      <c r="B898" s="356"/>
      <c r="C898" s="1431" t="s">
        <v>18</v>
      </c>
      <c r="D898" s="1389"/>
      <c r="E898" s="1389"/>
      <c r="F898" s="1390"/>
      <c r="G898" s="356" t="s">
        <v>1393</v>
      </c>
      <c r="H898" s="359">
        <f t="shared" ref="H898:I898" si="134">SUM(H899:H905)</f>
        <v>899.4</v>
      </c>
      <c r="I898" s="359">
        <f t="shared" si="134"/>
        <v>899.4</v>
      </c>
      <c r="J898" s="357"/>
      <c r="K898" s="364"/>
      <c r="L898" s="356">
        <f>SUM(L899:L905)</f>
        <v>184377200</v>
      </c>
      <c r="M898" s="356"/>
      <c r="N898" s="356"/>
      <c r="O898" s="356"/>
      <c r="P898" s="356">
        <f>L898</f>
        <v>184377200</v>
      </c>
      <c r="Q898" s="1420" t="s">
        <v>535</v>
      </c>
      <c r="R898" s="1447" t="s">
        <v>949</v>
      </c>
      <c r="S898" s="308"/>
      <c r="T898" s="308"/>
      <c r="U898" s="308"/>
      <c r="V898" s="308"/>
      <c r="W898" s="308"/>
      <c r="X898" s="308"/>
      <c r="Y898" s="308"/>
      <c r="Z898" s="604"/>
      <c r="AA898" s="308"/>
      <c r="AB898" s="308"/>
      <c r="AC898" s="365"/>
      <c r="AD898" s="365"/>
      <c r="AE898" s="365"/>
      <c r="AF898" s="365"/>
      <c r="AG898" s="365"/>
      <c r="AH898" s="365"/>
      <c r="AI898" s="365"/>
      <c r="AJ898" s="365"/>
      <c r="AK898" s="377"/>
      <c r="AL898" s="343"/>
      <c r="AM898" s="24"/>
      <c r="AN898" s="24"/>
      <c r="AO898" s="16"/>
      <c r="AP898" s="24"/>
      <c r="AQ898" s="24"/>
      <c r="AR898" s="24"/>
      <c r="AS898" s="18"/>
      <c r="AT898" s="18"/>
      <c r="AU898" s="18"/>
      <c r="AV898" s="18"/>
      <c r="AW898" s="18"/>
      <c r="AX898" s="18"/>
      <c r="AY898" s="18"/>
      <c r="AZ898" s="18"/>
      <c r="BA898" s="18"/>
      <c r="BB898" s="18"/>
      <c r="BC898" s="18"/>
      <c r="BD898" s="18"/>
      <c r="BE898" s="18"/>
      <c r="BF898" s="18"/>
      <c r="BG898" s="18"/>
      <c r="BH898" s="18"/>
      <c r="BI898" s="18"/>
      <c r="BJ898" s="18"/>
      <c r="BK898" s="18"/>
      <c r="BL898" s="18"/>
      <c r="BM898" s="18"/>
      <c r="BN898" s="18"/>
      <c r="BO898" s="18"/>
      <c r="BP898" s="18"/>
      <c r="BQ898" s="18"/>
      <c r="BR898" s="18"/>
      <c r="BS898" s="18"/>
      <c r="BT898" s="18"/>
      <c r="BU898" s="18"/>
      <c r="BV898" s="18"/>
      <c r="BW898" s="18"/>
      <c r="BX898" s="18"/>
      <c r="BY898" s="18"/>
      <c r="BZ898" s="18"/>
      <c r="CA898" s="18"/>
      <c r="CB898" s="18"/>
      <c r="CC898" s="18"/>
      <c r="CD898" s="18"/>
      <c r="CE898" s="18"/>
      <c r="CF898" s="18"/>
      <c r="CG898" s="18"/>
      <c r="CH898" s="18"/>
      <c r="CI898" s="18"/>
      <c r="CJ898" s="18"/>
      <c r="CK898" s="18"/>
      <c r="CL898" s="18"/>
      <c r="CM898" s="18"/>
      <c r="CN898" s="18"/>
      <c r="CO898" s="18"/>
      <c r="CP898" s="18"/>
      <c r="CQ898" s="18"/>
      <c r="CR898" s="18"/>
      <c r="CS898" s="18"/>
      <c r="CT898" s="18"/>
      <c r="CU898" s="18"/>
      <c r="CV898" s="18"/>
      <c r="CW898" s="18"/>
      <c r="CX898" s="18"/>
      <c r="CY898" s="18"/>
      <c r="CZ898" s="18"/>
      <c r="DA898" s="18"/>
      <c r="DB898" s="18"/>
      <c r="DC898" s="18"/>
      <c r="DD898" s="18"/>
      <c r="DE898" s="18"/>
      <c r="DF898" s="18"/>
      <c r="DG898" s="18"/>
      <c r="DH898" s="18"/>
      <c r="DI898" s="18"/>
      <c r="DJ898" s="18"/>
      <c r="DK898" s="18"/>
      <c r="DL898" s="18"/>
      <c r="DM898" s="18"/>
      <c r="DN898" s="18"/>
      <c r="DO898" s="18"/>
      <c r="DP898" s="18"/>
      <c r="DQ898" s="18"/>
      <c r="DR898" s="18"/>
      <c r="DS898" s="18"/>
      <c r="DT898" s="18"/>
      <c r="DU898" s="18"/>
      <c r="DV898" s="18"/>
      <c r="DW898" s="18"/>
      <c r="DX898" s="18"/>
      <c r="DY898" s="18"/>
      <c r="DZ898" s="18"/>
      <c r="EA898" s="18"/>
      <c r="EB898" s="18"/>
      <c r="EC898" s="18"/>
      <c r="ED898" s="18"/>
      <c r="EE898" s="18"/>
      <c r="EF898" s="18"/>
      <c r="EG898" s="18"/>
      <c r="EH898" s="18"/>
      <c r="EI898" s="18"/>
      <c r="EJ898" s="18"/>
      <c r="EK898" s="18"/>
      <c r="EL898" s="18"/>
      <c r="EM898" s="18"/>
      <c r="EN898" s="18"/>
      <c r="EO898" s="18"/>
      <c r="EP898" s="18"/>
      <c r="EQ898" s="18"/>
      <c r="ER898" s="18"/>
      <c r="ES898" s="18"/>
      <c r="ET898" s="18"/>
      <c r="EU898" s="18"/>
      <c r="EV898" s="18"/>
      <c r="EW898" s="18"/>
      <c r="EX898" s="18"/>
      <c r="EY898" s="18"/>
      <c r="EZ898" s="18"/>
      <c r="FA898" s="18"/>
      <c r="FB898" s="18"/>
      <c r="FC898" s="18"/>
      <c r="FD898" s="18"/>
      <c r="FE898" s="18"/>
      <c r="FF898" s="18"/>
      <c r="FG898" s="18"/>
      <c r="FH898" s="18"/>
      <c r="FI898" s="18"/>
      <c r="FJ898" s="18"/>
      <c r="FK898" s="18"/>
      <c r="FL898" s="18"/>
      <c r="FM898" s="18"/>
      <c r="FN898" s="18"/>
      <c r="FO898" s="18"/>
      <c r="FP898" s="18"/>
      <c r="FQ898" s="18"/>
      <c r="FR898" s="18"/>
      <c r="FS898" s="18"/>
      <c r="FT898" s="18"/>
      <c r="FU898" s="18"/>
      <c r="FV898" s="18"/>
      <c r="FW898" s="18"/>
      <c r="FX898" s="18"/>
      <c r="FY898" s="18"/>
      <c r="FZ898" s="18"/>
      <c r="GA898" s="18"/>
      <c r="GB898" s="18"/>
      <c r="GC898" s="18"/>
      <c r="GD898" s="18"/>
      <c r="GE898" s="18"/>
      <c r="GF898" s="18"/>
      <c r="GG898" s="18"/>
      <c r="GH898" s="18"/>
      <c r="GI898" s="18"/>
      <c r="GJ898" s="18"/>
      <c r="GK898" s="18"/>
      <c r="GL898" s="18"/>
      <c r="GM898" s="18"/>
      <c r="GN898" s="18"/>
      <c r="GO898" s="18"/>
      <c r="GP898" s="18"/>
      <c r="GQ898" s="18"/>
      <c r="GR898" s="18"/>
      <c r="GS898" s="18"/>
      <c r="GT898" s="18"/>
      <c r="GU898" s="18"/>
      <c r="GV898" s="18"/>
      <c r="GW898" s="18"/>
      <c r="GX898" s="18"/>
      <c r="GY898" s="18"/>
      <c r="GZ898" s="18"/>
      <c r="HA898" s="18"/>
      <c r="HB898" s="18"/>
      <c r="HC898" s="18"/>
      <c r="HD898" s="18"/>
      <c r="HE898" s="18"/>
      <c r="HF898" s="18"/>
      <c r="HG898" s="18"/>
      <c r="HH898" s="18"/>
      <c r="HI898" s="18"/>
      <c r="HJ898" s="18"/>
      <c r="HK898" s="18"/>
      <c r="HL898" s="18"/>
      <c r="HM898" s="18"/>
      <c r="HN898" s="18"/>
      <c r="HO898" s="18"/>
      <c r="HP898" s="18"/>
      <c r="HQ898" s="18"/>
      <c r="HR898" s="18"/>
      <c r="HS898" s="18"/>
      <c r="HT898" s="18"/>
      <c r="HU898" s="18"/>
      <c r="HV898" s="18"/>
      <c r="HW898" s="18"/>
      <c r="HX898" s="18"/>
      <c r="HY898" s="18"/>
      <c r="HZ898" s="18"/>
      <c r="IA898" s="18"/>
      <c r="IB898" s="18"/>
      <c r="IC898" s="18"/>
      <c r="ID898" s="18"/>
      <c r="IE898" s="18"/>
      <c r="IF898" s="18"/>
      <c r="IG898" s="18"/>
      <c r="IH898" s="18"/>
      <c r="II898" s="18"/>
      <c r="IJ898" s="18"/>
      <c r="IK898" s="18"/>
      <c r="IL898" s="18"/>
      <c r="IM898" s="18"/>
      <c r="IN898" s="18"/>
      <c r="IO898" s="18"/>
      <c r="IP898" s="18"/>
      <c r="IQ898" s="18"/>
      <c r="IR898" s="18"/>
      <c r="IS898" s="18"/>
      <c r="IT898" s="18"/>
      <c r="IU898" s="18"/>
      <c r="IV898" s="18"/>
      <c r="IW898" s="18"/>
      <c r="IX898" s="18"/>
      <c r="IY898" s="18"/>
      <c r="IZ898" s="18"/>
      <c r="JA898" s="18"/>
      <c r="JB898" s="18"/>
      <c r="JC898" s="18"/>
      <c r="JD898" s="18"/>
      <c r="JE898" s="18"/>
      <c r="JF898" s="18"/>
      <c r="JG898" s="18"/>
      <c r="JH898" s="18"/>
      <c r="JI898" s="18"/>
      <c r="JJ898" s="18"/>
      <c r="JK898" s="18"/>
      <c r="JL898" s="18"/>
      <c r="JM898" s="18"/>
      <c r="JN898" s="18"/>
      <c r="JO898" s="18"/>
      <c r="JP898" s="18"/>
      <c r="JQ898" s="18"/>
      <c r="JR898" s="18"/>
      <c r="JS898" s="18"/>
      <c r="JT898" s="18"/>
      <c r="JU898" s="18"/>
      <c r="JV898" s="18"/>
      <c r="JW898" s="18"/>
      <c r="JX898" s="18"/>
      <c r="JY898" s="18"/>
      <c r="JZ898" s="18"/>
      <c r="KA898" s="18"/>
      <c r="KB898" s="18"/>
      <c r="KC898" s="18"/>
      <c r="KD898" s="18"/>
      <c r="KE898" s="18"/>
      <c r="KF898" s="18"/>
      <c r="KG898" s="18"/>
      <c r="KH898" s="18"/>
      <c r="KI898" s="18"/>
      <c r="KJ898" s="18"/>
      <c r="KK898" s="18"/>
      <c r="KL898" s="18"/>
      <c r="KM898" s="18"/>
      <c r="KN898" s="18"/>
      <c r="KO898" s="18"/>
      <c r="KP898" s="18"/>
      <c r="KQ898" s="18"/>
      <c r="KR898" s="18"/>
      <c r="KS898" s="18"/>
      <c r="KT898" s="18"/>
      <c r="KU898" s="18"/>
      <c r="KV898" s="18"/>
      <c r="KW898" s="18"/>
      <c r="KX898" s="18"/>
      <c r="KY898" s="18"/>
      <c r="KZ898" s="18"/>
      <c r="LA898" s="18"/>
      <c r="LB898" s="18"/>
      <c r="LC898" s="18"/>
      <c r="LD898" s="18"/>
      <c r="LE898" s="18"/>
      <c r="LF898" s="18"/>
      <c r="LG898" s="18"/>
      <c r="LH898" s="18"/>
      <c r="LI898" s="18"/>
      <c r="LJ898" s="18"/>
      <c r="LK898" s="18"/>
      <c r="LL898" s="18"/>
      <c r="LM898" s="18"/>
      <c r="LN898" s="18"/>
      <c r="LO898" s="18"/>
      <c r="LP898" s="18"/>
      <c r="LQ898" s="18"/>
      <c r="LR898" s="18"/>
      <c r="LS898" s="18"/>
      <c r="LT898" s="18"/>
      <c r="LU898" s="18"/>
      <c r="LV898" s="18"/>
      <c r="LW898" s="18"/>
      <c r="LX898" s="18"/>
      <c r="LY898" s="18"/>
      <c r="LZ898" s="18"/>
      <c r="MA898" s="18"/>
      <c r="MB898" s="18"/>
      <c r="MC898" s="18"/>
      <c r="MD898" s="18"/>
      <c r="ME898" s="18"/>
      <c r="MF898" s="18"/>
      <c r="MG898" s="18"/>
      <c r="MH898" s="18"/>
      <c r="MI898" s="18"/>
      <c r="MJ898" s="18"/>
      <c r="MK898" s="18"/>
      <c r="ML898" s="18"/>
      <c r="MM898" s="18"/>
      <c r="MN898" s="18"/>
      <c r="MO898" s="18"/>
      <c r="MP898" s="18"/>
      <c r="MQ898" s="18"/>
      <c r="MR898" s="18"/>
      <c r="MS898" s="18"/>
      <c r="MT898" s="18"/>
      <c r="MU898" s="18"/>
      <c r="MV898" s="18"/>
      <c r="MW898" s="18"/>
      <c r="MX898" s="18"/>
      <c r="MY898" s="18"/>
      <c r="MZ898" s="18"/>
      <c r="NA898" s="18"/>
      <c r="NB898" s="18"/>
      <c r="NC898" s="18"/>
      <c r="ND898" s="18"/>
      <c r="NE898" s="18"/>
      <c r="NF898" s="18"/>
      <c r="NG898" s="18"/>
      <c r="NH898" s="18"/>
      <c r="NI898" s="18"/>
      <c r="NJ898" s="18"/>
      <c r="NK898" s="18"/>
      <c r="NL898" s="18"/>
      <c r="NM898" s="18"/>
      <c r="NN898" s="18"/>
      <c r="NO898" s="18"/>
      <c r="NP898" s="18"/>
      <c r="NQ898" s="18"/>
      <c r="NR898" s="18"/>
      <c r="NS898" s="18"/>
      <c r="NT898" s="18"/>
      <c r="NU898" s="18"/>
      <c r="NV898" s="18"/>
      <c r="NW898" s="18"/>
      <c r="NX898" s="18"/>
      <c r="NY898" s="18"/>
      <c r="NZ898" s="18"/>
      <c r="OA898" s="18"/>
      <c r="OB898" s="18"/>
      <c r="OC898" s="18"/>
      <c r="OD898" s="18"/>
      <c r="OE898" s="18"/>
      <c r="OF898" s="18"/>
      <c r="OG898" s="18"/>
      <c r="OH898" s="18"/>
      <c r="OI898" s="18"/>
      <c r="OJ898" s="18"/>
      <c r="OK898" s="18"/>
      <c r="OL898" s="18"/>
      <c r="OM898" s="18"/>
      <c r="ON898" s="18"/>
      <c r="OO898" s="18"/>
      <c r="OP898" s="18"/>
      <c r="OQ898" s="18"/>
      <c r="OR898" s="18"/>
      <c r="OS898" s="18"/>
      <c r="OT898" s="18"/>
      <c r="OU898" s="18"/>
      <c r="OV898" s="18"/>
      <c r="OW898" s="18"/>
      <c r="OX898" s="18"/>
      <c r="OY898" s="18"/>
      <c r="OZ898" s="18"/>
      <c r="PA898" s="18"/>
      <c r="PB898" s="18"/>
      <c r="PC898" s="18"/>
      <c r="PD898" s="18"/>
      <c r="PE898" s="18"/>
      <c r="PF898" s="18"/>
      <c r="PG898" s="18"/>
      <c r="PH898" s="18"/>
      <c r="PI898" s="18"/>
      <c r="PJ898" s="18"/>
      <c r="PK898" s="18"/>
      <c r="PL898" s="18"/>
      <c r="PM898" s="18"/>
      <c r="PN898" s="18"/>
      <c r="PO898" s="18"/>
      <c r="PP898" s="18"/>
      <c r="PQ898" s="18"/>
      <c r="PR898" s="18"/>
      <c r="PS898" s="18"/>
      <c r="PT898" s="18"/>
      <c r="PU898" s="18"/>
      <c r="PV898" s="18"/>
      <c r="PW898" s="18"/>
      <c r="PX898" s="18"/>
      <c r="PY898" s="18"/>
      <c r="PZ898" s="18"/>
      <c r="QA898" s="18"/>
      <c r="QB898" s="18"/>
      <c r="QC898" s="18"/>
      <c r="QD898" s="18"/>
      <c r="QE898" s="18"/>
      <c r="QF898" s="18"/>
      <c r="QG898" s="18"/>
      <c r="QH898" s="18"/>
      <c r="QI898" s="18"/>
      <c r="QJ898" s="18"/>
      <c r="QK898" s="18"/>
      <c r="QL898" s="18"/>
      <c r="QM898" s="18"/>
      <c r="QN898" s="18"/>
      <c r="QO898" s="18"/>
      <c r="QP898" s="18"/>
      <c r="QQ898" s="18"/>
      <c r="QR898" s="18"/>
      <c r="QS898" s="18"/>
      <c r="QT898" s="18"/>
      <c r="QU898" s="18"/>
      <c r="QV898" s="18"/>
      <c r="QW898" s="18"/>
      <c r="QX898" s="18"/>
      <c r="QY898" s="18"/>
      <c r="QZ898" s="18"/>
      <c r="RA898" s="18"/>
      <c r="RB898" s="18"/>
      <c r="RC898" s="18"/>
      <c r="RD898" s="18"/>
      <c r="RE898" s="18"/>
      <c r="RF898" s="18"/>
      <c r="RG898" s="18"/>
      <c r="RH898" s="18"/>
      <c r="RI898" s="18"/>
      <c r="RJ898" s="18"/>
      <c r="RK898" s="18"/>
      <c r="RL898" s="18"/>
      <c r="RM898" s="18"/>
      <c r="RN898" s="18"/>
      <c r="RO898" s="18"/>
      <c r="RP898" s="18"/>
      <c r="RQ898" s="18"/>
      <c r="RR898" s="18"/>
      <c r="RS898" s="18"/>
      <c r="RT898" s="18"/>
      <c r="RU898" s="18"/>
      <c r="RV898" s="18"/>
      <c r="RW898" s="18"/>
      <c r="RX898" s="18"/>
      <c r="RY898" s="18"/>
      <c r="RZ898" s="18"/>
      <c r="SA898" s="18"/>
      <c r="SB898" s="18"/>
      <c r="SC898" s="18"/>
      <c r="SD898" s="18"/>
      <c r="SE898" s="18"/>
      <c r="SF898" s="18"/>
      <c r="SG898" s="18"/>
      <c r="SH898" s="18"/>
      <c r="SI898" s="18"/>
      <c r="SJ898" s="18"/>
      <c r="SK898" s="18"/>
      <c r="SL898" s="18"/>
      <c r="SM898" s="18"/>
      <c r="SN898" s="18"/>
      <c r="SO898" s="18"/>
      <c r="SP898" s="18"/>
      <c r="SQ898" s="18"/>
      <c r="SR898" s="18"/>
      <c r="SS898" s="18"/>
      <c r="ST898" s="18"/>
      <c r="SU898" s="18"/>
      <c r="SV898" s="18"/>
      <c r="SW898" s="18"/>
      <c r="SX898" s="18"/>
      <c r="SY898" s="18"/>
      <c r="SZ898" s="18"/>
      <c r="TA898" s="18"/>
      <c r="TB898" s="18"/>
      <c r="TC898" s="18"/>
      <c r="TD898" s="18"/>
      <c r="TE898" s="18"/>
      <c r="TF898" s="18"/>
      <c r="TG898" s="18"/>
      <c r="TH898" s="18"/>
      <c r="TI898" s="18"/>
      <c r="TJ898" s="18"/>
      <c r="TK898" s="18"/>
      <c r="TL898" s="18"/>
      <c r="TM898" s="18"/>
      <c r="TN898" s="18"/>
      <c r="TO898" s="18"/>
      <c r="TP898" s="18"/>
      <c r="TQ898" s="18"/>
      <c r="TR898" s="18"/>
      <c r="TS898" s="18"/>
      <c r="TT898" s="18"/>
      <c r="TU898" s="18"/>
      <c r="TV898" s="18"/>
      <c r="TW898" s="18"/>
      <c r="TX898" s="18"/>
      <c r="TY898" s="18"/>
      <c r="TZ898" s="18"/>
      <c r="UA898" s="18"/>
      <c r="UB898" s="18"/>
      <c r="UC898" s="18"/>
      <c r="UD898" s="18"/>
      <c r="UE898" s="18"/>
      <c r="UF898" s="18"/>
      <c r="UG898" s="19"/>
    </row>
    <row r="899" spans="1:553" ht="60.75" customHeight="1">
      <c r="A899" s="356" t="s">
        <v>15</v>
      </c>
      <c r="B899" s="385"/>
      <c r="C899" s="384" t="s">
        <v>19</v>
      </c>
      <c r="D899" s="1432" t="s">
        <v>20</v>
      </c>
      <c r="E899" s="1432">
        <v>425</v>
      </c>
      <c r="F899" s="1435">
        <v>1</v>
      </c>
      <c r="G899" s="1469" t="s">
        <v>935</v>
      </c>
      <c r="H899" s="1470">
        <v>410.4</v>
      </c>
      <c r="I899" s="1070">
        <v>400</v>
      </c>
      <c r="J899" s="368">
        <v>390000</v>
      </c>
      <c r="K899" s="684"/>
      <c r="L899" s="480">
        <f t="shared" ref="L899:L905" si="135">PRODUCT(I899:K899)</f>
        <v>156000000</v>
      </c>
      <c r="M899" s="451" t="s">
        <v>88</v>
      </c>
      <c r="N899" s="392">
        <v>198000</v>
      </c>
      <c r="O899" s="366">
        <f>I899*M899*N899</f>
        <v>31680000</v>
      </c>
      <c r="P899" s="366"/>
      <c r="Q899" s="1551"/>
      <c r="R899" s="1452"/>
      <c r="S899" s="308"/>
      <c r="T899" s="308"/>
      <c r="U899" s="308"/>
      <c r="V899" s="308"/>
      <c r="W899" s="308"/>
      <c r="X899" s="308"/>
      <c r="Y899" s="308"/>
      <c r="Z899" s="604"/>
      <c r="AA899" s="308"/>
      <c r="AB899" s="308"/>
      <c r="AC899" s="373">
        <f>I899</f>
        <v>400</v>
      </c>
      <c r="AD899" s="373"/>
      <c r="AE899" s="373"/>
      <c r="AF899" s="373"/>
      <c r="AG899" s="373"/>
      <c r="AH899" s="373"/>
      <c r="AI899" s="373"/>
      <c r="AJ899" s="373"/>
      <c r="AK899" s="389"/>
      <c r="AL899" s="100"/>
      <c r="AM899" s="27"/>
      <c r="AN899" s="27"/>
      <c r="AO899" s="27"/>
      <c r="AP899" s="27"/>
      <c r="AQ899" s="27"/>
      <c r="AR899" s="27"/>
      <c r="AS899" s="22"/>
      <c r="AT899" s="22"/>
      <c r="AU899" s="22"/>
      <c r="AV899" s="22"/>
      <c r="AW899" s="22"/>
      <c r="AX899" s="22"/>
      <c r="AY899" s="22"/>
      <c r="AZ899" s="22"/>
      <c r="BA899" s="22"/>
      <c r="BB899" s="22"/>
      <c r="BC899" s="22"/>
      <c r="BD899" s="22"/>
      <c r="BE899" s="22"/>
      <c r="BF899" s="22"/>
      <c r="BG899" s="22"/>
      <c r="BH899" s="22"/>
      <c r="BI899" s="22"/>
      <c r="BJ899" s="22"/>
      <c r="BK899" s="22"/>
      <c r="BL899" s="22"/>
      <c r="BM899" s="22"/>
      <c r="BN899" s="22"/>
      <c r="BO899" s="22"/>
      <c r="BP899" s="22"/>
      <c r="BQ899" s="22"/>
      <c r="BR899" s="22"/>
      <c r="BS899" s="22"/>
      <c r="BT899" s="22"/>
      <c r="BU899" s="22"/>
      <c r="BV899" s="22"/>
      <c r="BW899" s="22"/>
      <c r="BX899" s="22"/>
      <c r="BY899" s="22"/>
      <c r="BZ899" s="22"/>
      <c r="CA899" s="22"/>
      <c r="CB899" s="22"/>
      <c r="CC899" s="22"/>
      <c r="CD899" s="22"/>
      <c r="CE899" s="22"/>
      <c r="CF899" s="22"/>
      <c r="CG899" s="22"/>
      <c r="CH899" s="22"/>
      <c r="CI899" s="22"/>
      <c r="CJ899" s="22"/>
      <c r="CK899" s="22"/>
      <c r="CL899" s="22"/>
      <c r="CM899" s="22"/>
      <c r="CN899" s="22"/>
      <c r="CO899" s="22"/>
      <c r="CP899" s="22"/>
      <c r="CQ899" s="22"/>
      <c r="CR899" s="22"/>
      <c r="CS899" s="22"/>
      <c r="CT899" s="22"/>
      <c r="CU899" s="22"/>
      <c r="CV899" s="22"/>
      <c r="CW899" s="22"/>
      <c r="CX899" s="22"/>
      <c r="CY899" s="22"/>
      <c r="CZ899" s="22"/>
      <c r="DA899" s="22"/>
      <c r="DB899" s="22"/>
      <c r="DC899" s="22"/>
      <c r="DD899" s="22"/>
      <c r="DE899" s="22"/>
      <c r="DF899" s="22"/>
      <c r="DG899" s="22"/>
      <c r="DH899" s="22"/>
      <c r="DI899" s="22"/>
      <c r="DJ899" s="22"/>
      <c r="DK899" s="22"/>
      <c r="DL899" s="22"/>
      <c r="DM899" s="22"/>
      <c r="DN899" s="22"/>
      <c r="DO899" s="22"/>
      <c r="DP899" s="22"/>
      <c r="DQ899" s="22"/>
      <c r="DR899" s="22"/>
      <c r="DS899" s="22"/>
      <c r="DT899" s="22"/>
      <c r="DU899" s="22"/>
      <c r="DV899" s="22"/>
      <c r="DW899" s="22"/>
      <c r="DX899" s="22"/>
      <c r="DY899" s="22"/>
      <c r="DZ899" s="22"/>
      <c r="EA899" s="22"/>
      <c r="EB899" s="22"/>
      <c r="EC899" s="22"/>
      <c r="ED899" s="22"/>
      <c r="EE899" s="22"/>
      <c r="EF899" s="22"/>
      <c r="EG899" s="22"/>
      <c r="EH899" s="22"/>
      <c r="EI899" s="22"/>
      <c r="EJ899" s="22"/>
      <c r="EK899" s="22"/>
      <c r="EL899" s="22"/>
      <c r="EM899" s="22"/>
      <c r="EN899" s="22"/>
      <c r="EO899" s="22"/>
      <c r="EP899" s="22"/>
      <c r="EQ899" s="22"/>
      <c r="ER899" s="22"/>
      <c r="ES899" s="22"/>
      <c r="ET899" s="22"/>
      <c r="EU899" s="22"/>
      <c r="EV899" s="22"/>
      <c r="EW899" s="22"/>
      <c r="EX899" s="22"/>
      <c r="EY899" s="22"/>
      <c r="EZ899" s="22"/>
      <c r="FA899" s="22"/>
      <c r="FB899" s="22"/>
      <c r="FC899" s="22"/>
      <c r="FD899" s="22"/>
      <c r="FE899" s="22"/>
      <c r="FF899" s="22"/>
      <c r="FG899" s="22"/>
      <c r="FH899" s="22"/>
      <c r="FI899" s="22"/>
      <c r="FJ899" s="22"/>
      <c r="FK899" s="22"/>
      <c r="FL899" s="22"/>
      <c r="FM899" s="22"/>
      <c r="FN899" s="22"/>
      <c r="FO899" s="22"/>
      <c r="FP899" s="22"/>
      <c r="FQ899" s="22"/>
      <c r="FR899" s="22"/>
      <c r="FS899" s="22"/>
      <c r="FT899" s="22"/>
      <c r="FU899" s="22"/>
      <c r="FV899" s="22"/>
      <c r="FW899" s="22"/>
      <c r="FX899" s="22"/>
      <c r="FY899" s="22"/>
      <c r="FZ899" s="22"/>
      <c r="GA899" s="22"/>
      <c r="GB899" s="22"/>
      <c r="GC899" s="22"/>
      <c r="GD899" s="22"/>
      <c r="GE899" s="22"/>
      <c r="GF899" s="22"/>
      <c r="GG899" s="22"/>
      <c r="GH899" s="22"/>
      <c r="GI899" s="22"/>
      <c r="GJ899" s="22"/>
      <c r="GK899" s="22"/>
      <c r="GL899" s="22"/>
      <c r="GM899" s="22"/>
      <c r="GN899" s="22"/>
      <c r="GO899" s="22"/>
      <c r="GP899" s="22"/>
      <c r="GQ899" s="22"/>
      <c r="GR899" s="22"/>
      <c r="GS899" s="22"/>
      <c r="GT899" s="22"/>
      <c r="GU899" s="22"/>
      <c r="GV899" s="22"/>
      <c r="GW899" s="22"/>
      <c r="GX899" s="22"/>
      <c r="GY899" s="22"/>
      <c r="GZ899" s="22"/>
      <c r="HA899" s="22"/>
      <c r="HB899" s="22"/>
      <c r="HC899" s="22"/>
      <c r="HD899" s="22"/>
      <c r="HE899" s="22"/>
      <c r="HF899" s="22"/>
      <c r="HG899" s="22"/>
      <c r="HH899" s="22"/>
      <c r="HI899" s="22"/>
      <c r="HJ899" s="22"/>
      <c r="HK899" s="22"/>
      <c r="HL899" s="22"/>
      <c r="HM899" s="22"/>
      <c r="HN899" s="22"/>
      <c r="HO899" s="22"/>
      <c r="HP899" s="22"/>
      <c r="HQ899" s="22"/>
      <c r="HR899" s="22"/>
      <c r="HS899" s="22"/>
      <c r="HT899" s="22"/>
      <c r="HU899" s="22"/>
      <c r="HV899" s="22"/>
      <c r="HW899" s="22"/>
      <c r="HX899" s="22"/>
      <c r="HY899" s="22"/>
      <c r="HZ899" s="22"/>
      <c r="IA899" s="22"/>
      <c r="IB899" s="22"/>
      <c r="IC899" s="22"/>
      <c r="ID899" s="22"/>
      <c r="IE899" s="22"/>
      <c r="IF899" s="22"/>
      <c r="IG899" s="22"/>
      <c r="IH899" s="22"/>
      <c r="II899" s="22"/>
      <c r="IJ899" s="22"/>
      <c r="IK899" s="22"/>
      <c r="IL899" s="22"/>
      <c r="IM899" s="22"/>
      <c r="IN899" s="22"/>
      <c r="IO899" s="22"/>
      <c r="IP899" s="22"/>
      <c r="IQ899" s="22"/>
      <c r="IR899" s="22"/>
      <c r="IS899" s="22"/>
      <c r="IT899" s="22"/>
      <c r="IU899" s="22"/>
      <c r="IV899" s="22"/>
      <c r="IW899" s="22"/>
      <c r="IX899" s="22"/>
      <c r="IY899" s="22"/>
      <c r="IZ899" s="22"/>
      <c r="JA899" s="22"/>
      <c r="JB899" s="22"/>
      <c r="JC899" s="22"/>
      <c r="JD899" s="22"/>
      <c r="JE899" s="22"/>
      <c r="JF899" s="22"/>
      <c r="JG899" s="22"/>
      <c r="JH899" s="22"/>
      <c r="JI899" s="22"/>
      <c r="JJ899" s="22"/>
      <c r="JK899" s="22"/>
      <c r="JL899" s="22"/>
      <c r="JM899" s="22"/>
      <c r="JN899" s="22"/>
      <c r="JO899" s="22"/>
      <c r="JP899" s="22"/>
      <c r="JQ899" s="22"/>
      <c r="JR899" s="22"/>
      <c r="JS899" s="22"/>
      <c r="JT899" s="22"/>
      <c r="JU899" s="22"/>
      <c r="JV899" s="22"/>
      <c r="JW899" s="22"/>
      <c r="JX899" s="22"/>
      <c r="JY899" s="22"/>
      <c r="JZ899" s="22"/>
      <c r="KA899" s="22"/>
      <c r="KB899" s="22"/>
      <c r="KC899" s="22"/>
      <c r="KD899" s="22"/>
      <c r="KE899" s="22"/>
      <c r="KF899" s="22"/>
      <c r="KG899" s="22"/>
      <c r="KH899" s="22"/>
      <c r="KI899" s="22"/>
      <c r="KJ899" s="22"/>
      <c r="KK899" s="22"/>
      <c r="KL899" s="22"/>
      <c r="KM899" s="22"/>
      <c r="KN899" s="22"/>
      <c r="KO899" s="22"/>
      <c r="KP899" s="22"/>
      <c r="KQ899" s="22"/>
      <c r="KR899" s="22"/>
      <c r="KS899" s="22"/>
      <c r="KT899" s="22"/>
      <c r="KU899" s="22"/>
      <c r="KV899" s="22"/>
      <c r="KW899" s="22"/>
      <c r="KX899" s="22"/>
      <c r="KY899" s="22"/>
      <c r="KZ899" s="22"/>
      <c r="LA899" s="22"/>
      <c r="LB899" s="22"/>
      <c r="LC899" s="22"/>
      <c r="LD899" s="22"/>
      <c r="LE899" s="22"/>
      <c r="LF899" s="22"/>
      <c r="LG899" s="22"/>
      <c r="LH899" s="22"/>
      <c r="LI899" s="22"/>
      <c r="LJ899" s="22"/>
      <c r="LK899" s="22"/>
      <c r="LL899" s="22"/>
      <c r="LM899" s="22"/>
      <c r="LN899" s="22"/>
      <c r="LO899" s="22"/>
      <c r="LP899" s="22"/>
      <c r="LQ899" s="22"/>
      <c r="LR899" s="22"/>
      <c r="LS899" s="22"/>
      <c r="LT899" s="22"/>
      <c r="LU899" s="22"/>
      <c r="LV899" s="22"/>
      <c r="LW899" s="22"/>
      <c r="LX899" s="22"/>
      <c r="LY899" s="22"/>
      <c r="LZ899" s="22"/>
      <c r="MA899" s="22"/>
      <c r="MB899" s="22"/>
      <c r="MC899" s="22"/>
      <c r="MD899" s="22"/>
      <c r="ME899" s="22"/>
      <c r="MF899" s="22"/>
      <c r="MG899" s="22"/>
      <c r="MH899" s="22"/>
      <c r="MI899" s="22"/>
      <c r="MJ899" s="22"/>
      <c r="MK899" s="22"/>
      <c r="ML899" s="22"/>
      <c r="MM899" s="22"/>
      <c r="MN899" s="22"/>
      <c r="MO899" s="22"/>
      <c r="MP899" s="22"/>
      <c r="MQ899" s="22"/>
      <c r="MR899" s="22"/>
      <c r="MS899" s="22"/>
      <c r="MT899" s="22"/>
      <c r="MU899" s="22"/>
      <c r="MV899" s="22"/>
      <c r="MW899" s="22"/>
      <c r="MX899" s="22"/>
      <c r="MY899" s="22"/>
      <c r="MZ899" s="22"/>
      <c r="NA899" s="22"/>
      <c r="NB899" s="22"/>
      <c r="NC899" s="22"/>
      <c r="ND899" s="22"/>
      <c r="NE899" s="22"/>
      <c r="NF899" s="22"/>
      <c r="NG899" s="22"/>
      <c r="NH899" s="22"/>
      <c r="NI899" s="22"/>
      <c r="NJ899" s="22"/>
      <c r="NK899" s="22"/>
      <c r="NL899" s="22"/>
      <c r="NM899" s="22"/>
      <c r="NN899" s="22"/>
      <c r="NO899" s="22"/>
      <c r="NP899" s="22"/>
      <c r="NQ899" s="22"/>
      <c r="NR899" s="22"/>
      <c r="NS899" s="22"/>
      <c r="NT899" s="22"/>
      <c r="NU899" s="22"/>
      <c r="NV899" s="22"/>
      <c r="NW899" s="22"/>
      <c r="NX899" s="22"/>
      <c r="NY899" s="22"/>
      <c r="NZ899" s="22"/>
      <c r="OA899" s="22"/>
      <c r="OB899" s="22"/>
      <c r="OC899" s="22"/>
      <c r="OD899" s="22"/>
      <c r="OE899" s="22"/>
      <c r="OF899" s="22"/>
      <c r="OG899" s="22"/>
      <c r="OH899" s="22"/>
      <c r="OI899" s="22"/>
      <c r="OJ899" s="22"/>
      <c r="OK899" s="22"/>
      <c r="OL899" s="22"/>
      <c r="OM899" s="22"/>
      <c r="ON899" s="22"/>
      <c r="OO899" s="22"/>
      <c r="OP899" s="22"/>
      <c r="OQ899" s="22"/>
      <c r="OR899" s="22"/>
      <c r="OS899" s="22"/>
      <c r="OT899" s="22"/>
      <c r="OU899" s="22"/>
      <c r="OV899" s="22"/>
      <c r="OW899" s="22"/>
      <c r="OX899" s="22"/>
      <c r="OY899" s="22"/>
      <c r="OZ899" s="22"/>
      <c r="PA899" s="22"/>
      <c r="PB899" s="22"/>
      <c r="PC899" s="22"/>
      <c r="PD899" s="22"/>
      <c r="PE899" s="22"/>
      <c r="PF899" s="22"/>
      <c r="PG899" s="22"/>
      <c r="PH899" s="22"/>
      <c r="PI899" s="22"/>
      <c r="PJ899" s="22"/>
      <c r="PK899" s="22"/>
      <c r="PL899" s="22"/>
      <c r="PM899" s="22"/>
      <c r="PN899" s="22"/>
      <c r="PO899" s="22"/>
      <c r="PP899" s="22"/>
      <c r="PQ899" s="22"/>
      <c r="PR899" s="22"/>
      <c r="PS899" s="22"/>
      <c r="PT899" s="22"/>
      <c r="PU899" s="22"/>
      <c r="PV899" s="22"/>
      <c r="PW899" s="22"/>
      <c r="PX899" s="22"/>
      <c r="PY899" s="22"/>
      <c r="PZ899" s="22"/>
      <c r="QA899" s="22"/>
      <c r="QB899" s="22"/>
      <c r="QC899" s="22"/>
      <c r="QD899" s="22"/>
      <c r="QE899" s="22"/>
      <c r="QF899" s="22"/>
      <c r="QG899" s="22"/>
      <c r="QH899" s="22"/>
      <c r="QI899" s="22"/>
      <c r="QJ899" s="22"/>
      <c r="QK899" s="22"/>
      <c r="QL899" s="22"/>
      <c r="QM899" s="22"/>
      <c r="QN899" s="22"/>
      <c r="QO899" s="22"/>
      <c r="QP899" s="22"/>
      <c r="QQ899" s="22"/>
      <c r="QR899" s="22"/>
      <c r="QS899" s="22"/>
      <c r="QT899" s="22"/>
      <c r="QU899" s="22"/>
      <c r="QV899" s="22"/>
      <c r="QW899" s="22"/>
      <c r="QX899" s="22"/>
      <c r="QY899" s="22"/>
      <c r="QZ899" s="22"/>
      <c r="RA899" s="22"/>
      <c r="RB899" s="22"/>
      <c r="RC899" s="22"/>
      <c r="RD899" s="22"/>
      <c r="RE899" s="22"/>
      <c r="RF899" s="22"/>
      <c r="RG899" s="22"/>
      <c r="RH899" s="22"/>
      <c r="RI899" s="22"/>
      <c r="RJ899" s="22"/>
      <c r="RK899" s="22"/>
      <c r="RL899" s="22"/>
      <c r="RM899" s="22"/>
      <c r="RN899" s="22"/>
      <c r="RO899" s="22"/>
      <c r="RP899" s="22"/>
      <c r="RQ899" s="22"/>
      <c r="RR899" s="22"/>
      <c r="RS899" s="22"/>
      <c r="RT899" s="22"/>
      <c r="RU899" s="22"/>
      <c r="RV899" s="22"/>
      <c r="RW899" s="22"/>
      <c r="RX899" s="22"/>
      <c r="RY899" s="22"/>
      <c r="RZ899" s="22"/>
      <c r="SA899" s="22"/>
      <c r="SB899" s="22"/>
      <c r="SC899" s="22"/>
      <c r="SD899" s="22"/>
      <c r="SE899" s="22"/>
      <c r="SF899" s="22"/>
      <c r="SG899" s="22"/>
      <c r="SH899" s="22"/>
      <c r="SI899" s="22"/>
      <c r="SJ899" s="22"/>
      <c r="SK899" s="22"/>
      <c r="SL899" s="22"/>
      <c r="SM899" s="22"/>
      <c r="SN899" s="22"/>
      <c r="SO899" s="22"/>
      <c r="SP899" s="22"/>
      <c r="SQ899" s="22"/>
      <c r="SR899" s="22"/>
      <c r="SS899" s="22"/>
      <c r="ST899" s="22"/>
      <c r="SU899" s="22"/>
      <c r="SV899" s="22"/>
      <c r="SW899" s="22"/>
      <c r="SX899" s="22"/>
      <c r="SY899" s="22"/>
      <c r="SZ899" s="22"/>
      <c r="TA899" s="22"/>
      <c r="TB899" s="22"/>
      <c r="TC899" s="22"/>
      <c r="TD899" s="22"/>
      <c r="TE899" s="22"/>
      <c r="TF899" s="22"/>
      <c r="TG899" s="22"/>
      <c r="TH899" s="22"/>
      <c r="TI899" s="22"/>
      <c r="TJ899" s="22"/>
      <c r="TK899" s="22"/>
      <c r="TL899" s="22"/>
      <c r="TM899" s="22"/>
      <c r="TN899" s="22"/>
      <c r="TO899" s="22"/>
      <c r="TP899" s="22"/>
      <c r="TQ899" s="22"/>
      <c r="TR899" s="22"/>
      <c r="TS899" s="22"/>
      <c r="TT899" s="22"/>
      <c r="TU899" s="22"/>
      <c r="TV899" s="22"/>
      <c r="TW899" s="22"/>
      <c r="TX899" s="22"/>
      <c r="TY899" s="22"/>
      <c r="TZ899" s="22"/>
      <c r="UA899" s="22"/>
      <c r="UB899" s="22"/>
      <c r="UC899" s="22"/>
      <c r="UD899" s="22"/>
      <c r="UE899" s="22"/>
      <c r="UF899" s="22"/>
      <c r="UG899" s="23"/>
    </row>
    <row r="900" spans="1:553" s="169" customFormat="1" ht="65.25" customHeight="1">
      <c r="A900" s="356" t="s">
        <v>15</v>
      </c>
      <c r="B900" s="385"/>
      <c r="C900" s="384" t="s">
        <v>22</v>
      </c>
      <c r="D900" s="1433"/>
      <c r="E900" s="1434"/>
      <c r="F900" s="1433"/>
      <c r="G900" s="1434"/>
      <c r="H900" s="1433"/>
      <c r="I900" s="1070">
        <f>H899-I899</f>
        <v>10.399999999999977</v>
      </c>
      <c r="J900" s="368">
        <v>60000</v>
      </c>
      <c r="K900" s="684"/>
      <c r="L900" s="480">
        <f t="shared" si="135"/>
        <v>623999.9999999986</v>
      </c>
      <c r="M900" s="366"/>
      <c r="N900" s="366"/>
      <c r="O900" s="366"/>
      <c r="P900" s="366"/>
      <c r="Q900" s="1552"/>
      <c r="R900" s="1452"/>
      <c r="S900" s="308"/>
      <c r="T900" s="308"/>
      <c r="U900" s="308"/>
      <c r="V900" s="308"/>
      <c r="W900" s="308"/>
      <c r="X900" s="308"/>
      <c r="Y900" s="308"/>
      <c r="Z900" s="604"/>
      <c r="AA900" s="308"/>
      <c r="AB900" s="1105">
        <f>I900</f>
        <v>10.399999999999977</v>
      </c>
      <c r="AC900" s="373"/>
      <c r="AD900" s="373"/>
      <c r="AE900" s="373"/>
      <c r="AF900" s="373"/>
      <c r="AG900" s="373"/>
      <c r="AH900" s="373"/>
      <c r="AI900" s="373"/>
      <c r="AJ900" s="373"/>
      <c r="AK900" s="389"/>
      <c r="AL900" s="892"/>
      <c r="AM900" s="893"/>
      <c r="AN900" s="893"/>
      <c r="AO900" s="893"/>
      <c r="AP900" s="893"/>
      <c r="AQ900" s="893"/>
      <c r="AR900" s="893"/>
      <c r="AS900" s="166"/>
      <c r="AT900" s="166"/>
      <c r="AU900" s="166"/>
      <c r="AV900" s="166"/>
      <c r="AW900" s="166"/>
      <c r="AX900" s="166"/>
      <c r="AY900" s="166"/>
      <c r="AZ900" s="166"/>
      <c r="BA900" s="166"/>
      <c r="BB900" s="166"/>
      <c r="BC900" s="166"/>
      <c r="BD900" s="166"/>
      <c r="BE900" s="166"/>
      <c r="BF900" s="166"/>
      <c r="BG900" s="166"/>
      <c r="BH900" s="166"/>
      <c r="BI900" s="166"/>
      <c r="BJ900" s="166"/>
      <c r="BK900" s="166"/>
      <c r="BL900" s="166"/>
      <c r="BM900" s="166"/>
      <c r="BN900" s="166"/>
      <c r="BO900" s="166"/>
      <c r="BP900" s="166"/>
      <c r="BQ900" s="166"/>
      <c r="BR900" s="166"/>
      <c r="BS900" s="166"/>
      <c r="BT900" s="166"/>
      <c r="BU900" s="166"/>
      <c r="BV900" s="166"/>
      <c r="BW900" s="166"/>
      <c r="BX900" s="166"/>
      <c r="BY900" s="166"/>
      <c r="BZ900" s="166"/>
      <c r="CA900" s="166"/>
      <c r="CB900" s="166"/>
      <c r="CC900" s="166"/>
      <c r="CD900" s="166"/>
      <c r="CE900" s="166"/>
      <c r="CF900" s="166"/>
      <c r="CG900" s="166"/>
      <c r="CH900" s="166"/>
      <c r="CI900" s="166"/>
      <c r="CJ900" s="166"/>
      <c r="CK900" s="166"/>
      <c r="CL900" s="166"/>
      <c r="CM900" s="166"/>
      <c r="CN900" s="166"/>
      <c r="CO900" s="166"/>
      <c r="CP900" s="166"/>
      <c r="CQ900" s="166"/>
      <c r="CR900" s="166"/>
      <c r="CS900" s="166"/>
      <c r="CT900" s="166"/>
      <c r="CU900" s="166"/>
      <c r="CV900" s="166"/>
      <c r="CW900" s="166"/>
      <c r="CX900" s="166"/>
      <c r="CY900" s="166"/>
      <c r="CZ900" s="166"/>
      <c r="DA900" s="166"/>
      <c r="DB900" s="166"/>
      <c r="DC900" s="166"/>
      <c r="DD900" s="166"/>
      <c r="DE900" s="166"/>
      <c r="DF900" s="166"/>
      <c r="DG900" s="166"/>
      <c r="DH900" s="166"/>
      <c r="DI900" s="166"/>
      <c r="DJ900" s="166"/>
      <c r="DK900" s="166"/>
      <c r="DL900" s="166"/>
      <c r="DM900" s="166"/>
      <c r="DN900" s="166"/>
      <c r="DO900" s="166"/>
      <c r="DP900" s="166"/>
      <c r="DQ900" s="166"/>
      <c r="DR900" s="166"/>
      <c r="DS900" s="166"/>
      <c r="DT900" s="166"/>
      <c r="DU900" s="166"/>
      <c r="DV900" s="166"/>
      <c r="DW900" s="166"/>
      <c r="DX900" s="166"/>
      <c r="DY900" s="166"/>
      <c r="DZ900" s="166"/>
      <c r="EA900" s="166"/>
      <c r="EB900" s="166"/>
      <c r="EC900" s="166"/>
      <c r="ED900" s="166"/>
      <c r="EE900" s="166"/>
      <c r="EF900" s="166"/>
      <c r="EG900" s="166"/>
      <c r="EH900" s="166"/>
      <c r="EI900" s="166"/>
      <c r="EJ900" s="166"/>
      <c r="EK900" s="166"/>
      <c r="EL900" s="166"/>
      <c r="EM900" s="166"/>
      <c r="EN900" s="166"/>
      <c r="EO900" s="166"/>
      <c r="EP900" s="166"/>
      <c r="EQ900" s="166"/>
      <c r="ER900" s="166"/>
      <c r="ES900" s="166"/>
      <c r="ET900" s="166"/>
      <c r="EU900" s="166"/>
      <c r="EV900" s="166"/>
      <c r="EW900" s="166"/>
      <c r="EX900" s="166"/>
      <c r="EY900" s="166"/>
      <c r="EZ900" s="166"/>
      <c r="FA900" s="166"/>
      <c r="FB900" s="166"/>
      <c r="FC900" s="166"/>
      <c r="FD900" s="166"/>
      <c r="FE900" s="166"/>
      <c r="FF900" s="166"/>
      <c r="FG900" s="166"/>
      <c r="FH900" s="166"/>
      <c r="FI900" s="166"/>
      <c r="FJ900" s="166"/>
      <c r="FK900" s="166"/>
      <c r="FL900" s="166"/>
      <c r="FM900" s="166"/>
      <c r="FN900" s="166"/>
      <c r="FO900" s="166"/>
      <c r="FP900" s="166"/>
      <c r="FQ900" s="166"/>
      <c r="FR900" s="166"/>
      <c r="FS900" s="166"/>
      <c r="FT900" s="166"/>
      <c r="FU900" s="166"/>
      <c r="FV900" s="166"/>
      <c r="FW900" s="166"/>
      <c r="FX900" s="166"/>
      <c r="FY900" s="166"/>
      <c r="FZ900" s="166"/>
      <c r="GA900" s="166"/>
      <c r="GB900" s="166"/>
      <c r="GC900" s="166"/>
      <c r="GD900" s="166"/>
      <c r="GE900" s="166"/>
      <c r="GF900" s="166"/>
      <c r="GG900" s="166"/>
      <c r="GH900" s="166"/>
      <c r="GI900" s="166"/>
      <c r="GJ900" s="166"/>
      <c r="GK900" s="166"/>
      <c r="GL900" s="166"/>
      <c r="GM900" s="166"/>
      <c r="GN900" s="166"/>
      <c r="GO900" s="166"/>
      <c r="GP900" s="166"/>
      <c r="GQ900" s="166"/>
      <c r="GR900" s="166"/>
      <c r="GS900" s="166"/>
      <c r="GT900" s="166"/>
      <c r="GU900" s="166"/>
      <c r="GV900" s="166"/>
      <c r="GW900" s="166"/>
      <c r="GX900" s="166"/>
      <c r="GY900" s="166"/>
      <c r="GZ900" s="166"/>
      <c r="HA900" s="166"/>
      <c r="HB900" s="166"/>
      <c r="HC900" s="166"/>
      <c r="HD900" s="166"/>
      <c r="HE900" s="166"/>
      <c r="HF900" s="166"/>
      <c r="HG900" s="166"/>
      <c r="HH900" s="166"/>
      <c r="HI900" s="166"/>
      <c r="HJ900" s="166"/>
      <c r="HK900" s="166"/>
      <c r="HL900" s="166"/>
      <c r="HM900" s="166"/>
      <c r="HN900" s="166"/>
      <c r="HO900" s="166"/>
      <c r="HP900" s="166"/>
      <c r="HQ900" s="166"/>
      <c r="HR900" s="166"/>
      <c r="HS900" s="166"/>
      <c r="HT900" s="166"/>
      <c r="HU900" s="166"/>
      <c r="HV900" s="166"/>
      <c r="HW900" s="166"/>
      <c r="HX900" s="166"/>
      <c r="HY900" s="166"/>
      <c r="HZ900" s="166"/>
      <c r="IA900" s="166"/>
      <c r="IB900" s="166"/>
      <c r="IC900" s="166"/>
      <c r="ID900" s="166"/>
      <c r="IE900" s="166"/>
      <c r="IF900" s="166"/>
      <c r="IG900" s="166"/>
      <c r="IH900" s="166"/>
      <c r="II900" s="166"/>
      <c r="IJ900" s="166"/>
      <c r="IK900" s="166"/>
      <c r="IL900" s="166"/>
      <c r="IM900" s="166"/>
      <c r="IN900" s="166"/>
      <c r="IO900" s="166"/>
      <c r="IP900" s="166"/>
      <c r="IQ900" s="166"/>
      <c r="IR900" s="166"/>
      <c r="IS900" s="166"/>
      <c r="IT900" s="166"/>
      <c r="IU900" s="166"/>
      <c r="IV900" s="166"/>
      <c r="IW900" s="166"/>
      <c r="IX900" s="166"/>
      <c r="IY900" s="166"/>
      <c r="IZ900" s="166"/>
      <c r="JA900" s="166"/>
      <c r="JB900" s="166"/>
      <c r="JC900" s="166"/>
      <c r="JD900" s="166"/>
      <c r="JE900" s="166"/>
      <c r="JF900" s="166"/>
      <c r="JG900" s="166"/>
      <c r="JH900" s="166"/>
      <c r="JI900" s="166"/>
      <c r="JJ900" s="166"/>
      <c r="JK900" s="166"/>
      <c r="JL900" s="166"/>
      <c r="JM900" s="166"/>
      <c r="JN900" s="166"/>
      <c r="JO900" s="166"/>
      <c r="JP900" s="166"/>
      <c r="JQ900" s="166"/>
      <c r="JR900" s="166"/>
      <c r="JS900" s="166"/>
      <c r="JT900" s="166"/>
      <c r="JU900" s="166"/>
      <c r="JV900" s="166"/>
      <c r="JW900" s="166"/>
      <c r="JX900" s="166"/>
      <c r="JY900" s="166"/>
      <c r="JZ900" s="166"/>
      <c r="KA900" s="166"/>
      <c r="KB900" s="166"/>
      <c r="KC900" s="166"/>
      <c r="KD900" s="166"/>
      <c r="KE900" s="166"/>
      <c r="KF900" s="166"/>
      <c r="KG900" s="166"/>
      <c r="KH900" s="166"/>
      <c r="KI900" s="166"/>
      <c r="KJ900" s="166"/>
      <c r="KK900" s="166"/>
      <c r="KL900" s="166"/>
      <c r="KM900" s="166"/>
      <c r="KN900" s="166"/>
      <c r="KO900" s="166"/>
      <c r="KP900" s="166"/>
      <c r="KQ900" s="166"/>
      <c r="KR900" s="166"/>
      <c r="KS900" s="166"/>
      <c r="KT900" s="166"/>
      <c r="KU900" s="166"/>
      <c r="KV900" s="166"/>
      <c r="KW900" s="166"/>
      <c r="KX900" s="166"/>
      <c r="KY900" s="166"/>
      <c r="KZ900" s="166"/>
      <c r="LA900" s="166"/>
      <c r="LB900" s="166"/>
      <c r="LC900" s="166"/>
      <c r="LD900" s="166"/>
      <c r="LE900" s="166"/>
      <c r="LF900" s="166"/>
      <c r="LG900" s="166"/>
      <c r="LH900" s="166"/>
      <c r="LI900" s="166"/>
      <c r="LJ900" s="166"/>
      <c r="LK900" s="166"/>
      <c r="LL900" s="166"/>
      <c r="LM900" s="166"/>
      <c r="LN900" s="166"/>
      <c r="LO900" s="166"/>
      <c r="LP900" s="166"/>
      <c r="LQ900" s="166"/>
      <c r="LR900" s="166"/>
      <c r="LS900" s="166"/>
      <c r="LT900" s="166"/>
      <c r="LU900" s="166"/>
      <c r="LV900" s="166"/>
      <c r="LW900" s="166"/>
      <c r="LX900" s="166"/>
      <c r="LY900" s="166"/>
      <c r="LZ900" s="166"/>
      <c r="MA900" s="166"/>
      <c r="MB900" s="166"/>
      <c r="MC900" s="166"/>
      <c r="MD900" s="166"/>
      <c r="ME900" s="166"/>
      <c r="MF900" s="166"/>
      <c r="MG900" s="166"/>
      <c r="MH900" s="166"/>
      <c r="MI900" s="166"/>
      <c r="MJ900" s="166"/>
      <c r="MK900" s="166"/>
      <c r="ML900" s="166"/>
      <c r="MM900" s="166"/>
      <c r="MN900" s="166"/>
      <c r="MO900" s="166"/>
      <c r="MP900" s="166"/>
      <c r="MQ900" s="166"/>
      <c r="MR900" s="166"/>
      <c r="MS900" s="166"/>
      <c r="MT900" s="166"/>
      <c r="MU900" s="166"/>
      <c r="MV900" s="166"/>
      <c r="MW900" s="166"/>
      <c r="MX900" s="166"/>
      <c r="MY900" s="166"/>
      <c r="MZ900" s="166"/>
      <c r="NA900" s="166"/>
      <c r="NB900" s="166"/>
      <c r="NC900" s="166"/>
      <c r="ND900" s="166"/>
      <c r="NE900" s="166"/>
      <c r="NF900" s="166"/>
      <c r="NG900" s="166"/>
      <c r="NH900" s="166"/>
      <c r="NI900" s="166"/>
      <c r="NJ900" s="166"/>
      <c r="NK900" s="166"/>
      <c r="NL900" s="166"/>
      <c r="NM900" s="166"/>
      <c r="NN900" s="166"/>
      <c r="NO900" s="166"/>
      <c r="NP900" s="166"/>
      <c r="NQ900" s="166"/>
      <c r="NR900" s="166"/>
      <c r="NS900" s="166"/>
      <c r="NT900" s="166"/>
      <c r="NU900" s="166"/>
      <c r="NV900" s="166"/>
      <c r="NW900" s="166"/>
      <c r="NX900" s="166"/>
      <c r="NY900" s="166"/>
      <c r="NZ900" s="166"/>
      <c r="OA900" s="166"/>
      <c r="OB900" s="166"/>
      <c r="OC900" s="166"/>
      <c r="OD900" s="166"/>
      <c r="OE900" s="166"/>
      <c r="OF900" s="166"/>
      <c r="OG900" s="166"/>
      <c r="OH900" s="166"/>
      <c r="OI900" s="166"/>
      <c r="OJ900" s="166"/>
      <c r="OK900" s="166"/>
      <c r="OL900" s="166"/>
      <c r="OM900" s="166"/>
      <c r="ON900" s="166"/>
      <c r="OO900" s="166"/>
      <c r="OP900" s="166"/>
      <c r="OQ900" s="166"/>
      <c r="OR900" s="166"/>
      <c r="OS900" s="166"/>
      <c r="OT900" s="166"/>
      <c r="OU900" s="166"/>
      <c r="OV900" s="166"/>
      <c r="OW900" s="166"/>
      <c r="OX900" s="166"/>
      <c r="OY900" s="166"/>
      <c r="OZ900" s="166"/>
      <c r="PA900" s="166"/>
      <c r="PB900" s="166"/>
      <c r="PC900" s="166"/>
      <c r="PD900" s="166"/>
      <c r="PE900" s="166"/>
      <c r="PF900" s="166"/>
      <c r="PG900" s="166"/>
      <c r="PH900" s="166"/>
      <c r="PI900" s="166"/>
      <c r="PJ900" s="166"/>
      <c r="PK900" s="166"/>
      <c r="PL900" s="166"/>
      <c r="PM900" s="166"/>
      <c r="PN900" s="166"/>
      <c r="PO900" s="166"/>
      <c r="PP900" s="166"/>
      <c r="PQ900" s="166"/>
      <c r="PR900" s="166"/>
      <c r="PS900" s="166"/>
      <c r="PT900" s="166"/>
      <c r="PU900" s="166"/>
      <c r="PV900" s="166"/>
      <c r="PW900" s="166"/>
      <c r="PX900" s="166"/>
      <c r="PY900" s="166"/>
      <c r="PZ900" s="166"/>
      <c r="QA900" s="166"/>
      <c r="QB900" s="166"/>
      <c r="QC900" s="166"/>
      <c r="QD900" s="166"/>
      <c r="QE900" s="166"/>
      <c r="QF900" s="166"/>
      <c r="QG900" s="166"/>
      <c r="QH900" s="166"/>
      <c r="QI900" s="166"/>
      <c r="QJ900" s="166"/>
      <c r="QK900" s="166"/>
      <c r="QL900" s="166"/>
      <c r="QM900" s="166"/>
      <c r="QN900" s="166"/>
      <c r="QO900" s="166"/>
      <c r="QP900" s="166"/>
      <c r="QQ900" s="166"/>
      <c r="QR900" s="166"/>
      <c r="QS900" s="166"/>
      <c r="QT900" s="166"/>
      <c r="QU900" s="166"/>
      <c r="QV900" s="166"/>
      <c r="QW900" s="166"/>
      <c r="QX900" s="166"/>
      <c r="QY900" s="166"/>
      <c r="QZ900" s="166"/>
      <c r="RA900" s="166"/>
      <c r="RB900" s="166"/>
      <c r="RC900" s="166"/>
      <c r="RD900" s="166"/>
      <c r="RE900" s="166"/>
      <c r="RF900" s="166"/>
      <c r="RG900" s="166"/>
      <c r="RH900" s="166"/>
      <c r="RI900" s="166"/>
      <c r="RJ900" s="166"/>
      <c r="RK900" s="166"/>
      <c r="RL900" s="166"/>
      <c r="RM900" s="166"/>
      <c r="RN900" s="166"/>
      <c r="RO900" s="166"/>
      <c r="RP900" s="166"/>
      <c r="RQ900" s="166"/>
      <c r="RR900" s="166"/>
      <c r="RS900" s="166"/>
      <c r="RT900" s="166"/>
      <c r="RU900" s="166"/>
      <c r="RV900" s="166"/>
      <c r="RW900" s="166"/>
      <c r="RX900" s="166"/>
      <c r="RY900" s="166"/>
      <c r="RZ900" s="166"/>
      <c r="SA900" s="166"/>
      <c r="SB900" s="166"/>
      <c r="SC900" s="166"/>
      <c r="SD900" s="166"/>
      <c r="SE900" s="166"/>
      <c r="SF900" s="166"/>
      <c r="SG900" s="166"/>
      <c r="SH900" s="166"/>
      <c r="SI900" s="166"/>
      <c r="SJ900" s="166"/>
      <c r="SK900" s="166"/>
      <c r="SL900" s="166"/>
      <c r="SM900" s="166"/>
      <c r="SN900" s="166"/>
      <c r="SO900" s="166"/>
      <c r="SP900" s="166"/>
      <c r="SQ900" s="166"/>
      <c r="SR900" s="166"/>
      <c r="SS900" s="166"/>
      <c r="ST900" s="166"/>
      <c r="SU900" s="166"/>
      <c r="SV900" s="166"/>
      <c r="SW900" s="166"/>
      <c r="SX900" s="166"/>
      <c r="SY900" s="166"/>
      <c r="SZ900" s="166"/>
      <c r="TA900" s="166"/>
      <c r="TB900" s="166"/>
      <c r="TC900" s="166"/>
      <c r="TD900" s="166"/>
      <c r="TE900" s="166"/>
      <c r="TF900" s="166"/>
      <c r="TG900" s="166"/>
      <c r="TH900" s="166"/>
      <c r="TI900" s="166"/>
      <c r="TJ900" s="166"/>
      <c r="TK900" s="166"/>
      <c r="TL900" s="166"/>
      <c r="TM900" s="166"/>
      <c r="TN900" s="166"/>
      <c r="TO900" s="166"/>
      <c r="TP900" s="166"/>
      <c r="TQ900" s="166"/>
      <c r="TR900" s="166"/>
      <c r="TS900" s="166"/>
      <c r="TT900" s="166"/>
      <c r="TU900" s="166"/>
      <c r="TV900" s="166"/>
      <c r="TW900" s="166"/>
      <c r="TX900" s="166"/>
      <c r="TY900" s="166"/>
      <c r="TZ900" s="166"/>
      <c r="UA900" s="166"/>
      <c r="UB900" s="166"/>
      <c r="UC900" s="166"/>
      <c r="UD900" s="166"/>
      <c r="UE900" s="166"/>
      <c r="UF900" s="166"/>
      <c r="UG900" s="894"/>
    </row>
    <row r="901" spans="1:553" ht="177" customHeight="1">
      <c r="A901" s="356"/>
      <c r="B901" s="385"/>
      <c r="C901" s="384" t="s">
        <v>69</v>
      </c>
      <c r="D901" s="376" t="s">
        <v>70</v>
      </c>
      <c r="E901" s="376" t="s">
        <v>536</v>
      </c>
      <c r="F901" s="385">
        <v>1</v>
      </c>
      <c r="G901" s="386" t="s">
        <v>935</v>
      </c>
      <c r="H901" s="387">
        <v>173.9</v>
      </c>
      <c r="I901" s="490">
        <f t="shared" ref="I901:I905" si="136">H901</f>
        <v>173.9</v>
      </c>
      <c r="J901" s="477">
        <v>55000</v>
      </c>
      <c r="K901" s="684"/>
      <c r="L901" s="480">
        <f t="shared" si="135"/>
        <v>9564500</v>
      </c>
      <c r="M901" s="366"/>
      <c r="N901" s="366"/>
      <c r="O901" s="366"/>
      <c r="P901" s="366"/>
      <c r="Q901" s="761" t="s">
        <v>537</v>
      </c>
      <c r="R901" s="1536" t="s">
        <v>71</v>
      </c>
      <c r="S901" s="308"/>
      <c r="T901" s="308"/>
      <c r="U901" s="308"/>
      <c r="V901" s="308"/>
      <c r="W901" s="308"/>
      <c r="X901" s="685">
        <f>I901</f>
        <v>173.9</v>
      </c>
      <c r="Y901" s="308"/>
      <c r="Z901" s="604"/>
      <c r="AA901" s="308"/>
      <c r="AB901" s="308"/>
      <c r="AC901" s="373"/>
      <c r="AD901" s="373"/>
      <c r="AE901" s="373"/>
      <c r="AF901" s="373"/>
      <c r="AG901" s="373"/>
      <c r="AH901" s="373"/>
      <c r="AI901" s="373"/>
      <c r="AJ901" s="373"/>
      <c r="AK901" s="389"/>
      <c r="AL901" s="100"/>
      <c r="AM901" s="27"/>
      <c r="AN901" s="27"/>
      <c r="AO901" s="27"/>
      <c r="AP901" s="27"/>
      <c r="AQ901" s="27"/>
      <c r="AR901" s="27"/>
      <c r="AS901" s="22"/>
      <c r="AT901" s="22"/>
      <c r="AU901" s="22"/>
      <c r="AV901" s="22"/>
      <c r="AW901" s="22"/>
      <c r="AX901" s="22"/>
      <c r="AY901" s="22"/>
      <c r="AZ901" s="22"/>
      <c r="BA901" s="22"/>
      <c r="BB901" s="22"/>
      <c r="BC901" s="22"/>
      <c r="BD901" s="22"/>
      <c r="BE901" s="22"/>
      <c r="BF901" s="22"/>
      <c r="BG901" s="22"/>
      <c r="BH901" s="22"/>
      <c r="BI901" s="22"/>
      <c r="BJ901" s="22"/>
      <c r="BK901" s="22"/>
      <c r="BL901" s="22"/>
      <c r="BM901" s="22"/>
      <c r="BN901" s="22"/>
      <c r="BO901" s="22"/>
      <c r="BP901" s="22"/>
      <c r="BQ901" s="22"/>
      <c r="BR901" s="22"/>
      <c r="BS901" s="22"/>
      <c r="BT901" s="22"/>
      <c r="BU901" s="22"/>
      <c r="BV901" s="22"/>
      <c r="BW901" s="22"/>
      <c r="BX901" s="22"/>
      <c r="BY901" s="22"/>
      <c r="BZ901" s="22"/>
      <c r="CA901" s="22"/>
      <c r="CB901" s="22"/>
      <c r="CC901" s="22"/>
      <c r="CD901" s="22"/>
      <c r="CE901" s="22"/>
      <c r="CF901" s="22"/>
      <c r="CG901" s="22"/>
      <c r="CH901" s="22"/>
      <c r="CI901" s="22"/>
      <c r="CJ901" s="22"/>
      <c r="CK901" s="22"/>
      <c r="CL901" s="22"/>
      <c r="CM901" s="22"/>
      <c r="CN901" s="22"/>
      <c r="CO901" s="22"/>
      <c r="CP901" s="22"/>
      <c r="CQ901" s="22"/>
      <c r="CR901" s="22"/>
      <c r="CS901" s="22"/>
      <c r="CT901" s="22"/>
      <c r="CU901" s="22"/>
      <c r="CV901" s="22"/>
      <c r="CW901" s="22"/>
      <c r="CX901" s="22"/>
      <c r="CY901" s="22"/>
      <c r="CZ901" s="22"/>
      <c r="DA901" s="22"/>
      <c r="DB901" s="22"/>
      <c r="DC901" s="22"/>
      <c r="DD901" s="22"/>
      <c r="DE901" s="22"/>
      <c r="DF901" s="22"/>
      <c r="DG901" s="22"/>
      <c r="DH901" s="22"/>
      <c r="DI901" s="22"/>
      <c r="DJ901" s="22"/>
      <c r="DK901" s="22"/>
      <c r="DL901" s="22"/>
      <c r="DM901" s="22"/>
      <c r="DN901" s="22"/>
      <c r="DO901" s="22"/>
      <c r="DP901" s="22"/>
      <c r="DQ901" s="22"/>
      <c r="DR901" s="22"/>
      <c r="DS901" s="22"/>
      <c r="DT901" s="22"/>
      <c r="DU901" s="22"/>
      <c r="DV901" s="22"/>
      <c r="DW901" s="22"/>
      <c r="DX901" s="22"/>
      <c r="DY901" s="22"/>
      <c r="DZ901" s="22"/>
      <c r="EA901" s="22"/>
      <c r="EB901" s="22"/>
      <c r="EC901" s="22"/>
      <c r="ED901" s="22"/>
      <c r="EE901" s="22"/>
      <c r="EF901" s="22"/>
      <c r="EG901" s="22"/>
      <c r="EH901" s="22"/>
      <c r="EI901" s="22"/>
      <c r="EJ901" s="22"/>
      <c r="EK901" s="22"/>
      <c r="EL901" s="22"/>
      <c r="EM901" s="22"/>
      <c r="EN901" s="22"/>
      <c r="EO901" s="22"/>
      <c r="EP901" s="22"/>
      <c r="EQ901" s="22"/>
      <c r="ER901" s="22"/>
      <c r="ES901" s="22"/>
      <c r="ET901" s="22"/>
      <c r="EU901" s="22"/>
      <c r="EV901" s="22"/>
      <c r="EW901" s="22"/>
      <c r="EX901" s="22"/>
      <c r="EY901" s="22"/>
      <c r="EZ901" s="22"/>
      <c r="FA901" s="22"/>
      <c r="FB901" s="22"/>
      <c r="FC901" s="22"/>
      <c r="FD901" s="22"/>
      <c r="FE901" s="22"/>
      <c r="FF901" s="22"/>
      <c r="FG901" s="22"/>
      <c r="FH901" s="22"/>
      <c r="FI901" s="22"/>
      <c r="FJ901" s="22"/>
      <c r="FK901" s="22"/>
      <c r="FL901" s="22"/>
      <c r="FM901" s="22"/>
      <c r="FN901" s="22"/>
      <c r="FO901" s="22"/>
      <c r="FP901" s="22"/>
      <c r="FQ901" s="22"/>
      <c r="FR901" s="22"/>
      <c r="FS901" s="22"/>
      <c r="FT901" s="22"/>
      <c r="FU901" s="22"/>
      <c r="FV901" s="22"/>
      <c r="FW901" s="22"/>
      <c r="FX901" s="22"/>
      <c r="FY901" s="22"/>
      <c r="FZ901" s="22"/>
      <c r="GA901" s="22"/>
      <c r="GB901" s="22"/>
      <c r="GC901" s="22"/>
      <c r="GD901" s="22"/>
      <c r="GE901" s="22"/>
      <c r="GF901" s="22"/>
      <c r="GG901" s="22"/>
      <c r="GH901" s="22"/>
      <c r="GI901" s="22"/>
      <c r="GJ901" s="22"/>
      <c r="GK901" s="22"/>
      <c r="GL901" s="22"/>
      <c r="GM901" s="22"/>
      <c r="GN901" s="22"/>
      <c r="GO901" s="22"/>
      <c r="GP901" s="22"/>
      <c r="GQ901" s="22"/>
      <c r="GR901" s="22"/>
      <c r="GS901" s="22"/>
      <c r="GT901" s="22"/>
      <c r="GU901" s="22"/>
      <c r="GV901" s="22"/>
      <c r="GW901" s="22"/>
      <c r="GX901" s="22"/>
      <c r="GY901" s="22"/>
      <c r="GZ901" s="22"/>
      <c r="HA901" s="22"/>
      <c r="HB901" s="22"/>
      <c r="HC901" s="22"/>
      <c r="HD901" s="22"/>
      <c r="HE901" s="22"/>
      <c r="HF901" s="22"/>
      <c r="HG901" s="22"/>
      <c r="HH901" s="22"/>
      <c r="HI901" s="22"/>
      <c r="HJ901" s="22"/>
      <c r="HK901" s="22"/>
      <c r="HL901" s="22"/>
      <c r="HM901" s="22"/>
      <c r="HN901" s="22"/>
      <c r="HO901" s="22"/>
      <c r="HP901" s="22"/>
      <c r="HQ901" s="22"/>
      <c r="HR901" s="22"/>
      <c r="HS901" s="22"/>
      <c r="HT901" s="22"/>
      <c r="HU901" s="22"/>
      <c r="HV901" s="22"/>
      <c r="HW901" s="22"/>
      <c r="HX901" s="22"/>
      <c r="HY901" s="22"/>
      <c r="HZ901" s="22"/>
      <c r="IA901" s="22"/>
      <c r="IB901" s="22"/>
      <c r="IC901" s="22"/>
      <c r="ID901" s="22"/>
      <c r="IE901" s="22"/>
      <c r="IF901" s="22"/>
      <c r="IG901" s="22"/>
      <c r="IH901" s="22"/>
      <c r="II901" s="22"/>
      <c r="IJ901" s="22"/>
      <c r="IK901" s="22"/>
      <c r="IL901" s="22"/>
      <c r="IM901" s="22"/>
      <c r="IN901" s="22"/>
      <c r="IO901" s="22"/>
      <c r="IP901" s="22"/>
      <c r="IQ901" s="22"/>
      <c r="IR901" s="22"/>
      <c r="IS901" s="22"/>
      <c r="IT901" s="22"/>
      <c r="IU901" s="22"/>
      <c r="IV901" s="22"/>
      <c r="IW901" s="22"/>
      <c r="IX901" s="22"/>
      <c r="IY901" s="22"/>
      <c r="IZ901" s="22"/>
      <c r="JA901" s="22"/>
      <c r="JB901" s="22"/>
      <c r="JC901" s="22"/>
      <c r="JD901" s="22"/>
      <c r="JE901" s="22"/>
      <c r="JF901" s="22"/>
      <c r="JG901" s="22"/>
      <c r="JH901" s="22"/>
      <c r="JI901" s="22"/>
      <c r="JJ901" s="22"/>
      <c r="JK901" s="22"/>
      <c r="JL901" s="22"/>
      <c r="JM901" s="22"/>
      <c r="JN901" s="22"/>
      <c r="JO901" s="22"/>
      <c r="JP901" s="22"/>
      <c r="JQ901" s="22"/>
      <c r="JR901" s="22"/>
      <c r="JS901" s="22"/>
      <c r="JT901" s="22"/>
      <c r="JU901" s="22"/>
      <c r="JV901" s="22"/>
      <c r="JW901" s="22"/>
      <c r="JX901" s="22"/>
      <c r="JY901" s="22"/>
      <c r="JZ901" s="22"/>
      <c r="KA901" s="22"/>
      <c r="KB901" s="22"/>
      <c r="KC901" s="22"/>
      <c r="KD901" s="22"/>
      <c r="KE901" s="22"/>
      <c r="KF901" s="22"/>
      <c r="KG901" s="22"/>
      <c r="KH901" s="22"/>
      <c r="KI901" s="22"/>
      <c r="KJ901" s="22"/>
      <c r="KK901" s="22"/>
      <c r="KL901" s="22"/>
      <c r="KM901" s="22"/>
      <c r="KN901" s="22"/>
      <c r="KO901" s="22"/>
      <c r="KP901" s="22"/>
      <c r="KQ901" s="22"/>
      <c r="KR901" s="22"/>
      <c r="KS901" s="22"/>
      <c r="KT901" s="22"/>
      <c r="KU901" s="22"/>
      <c r="KV901" s="22"/>
      <c r="KW901" s="22"/>
      <c r="KX901" s="22"/>
      <c r="KY901" s="22"/>
      <c r="KZ901" s="22"/>
      <c r="LA901" s="22"/>
      <c r="LB901" s="22"/>
      <c r="LC901" s="22"/>
      <c r="LD901" s="22"/>
      <c r="LE901" s="22"/>
      <c r="LF901" s="22"/>
      <c r="LG901" s="22"/>
      <c r="LH901" s="22"/>
      <c r="LI901" s="22"/>
      <c r="LJ901" s="22"/>
      <c r="LK901" s="22"/>
      <c r="LL901" s="22"/>
      <c r="LM901" s="22"/>
      <c r="LN901" s="22"/>
      <c r="LO901" s="22"/>
      <c r="LP901" s="22"/>
      <c r="LQ901" s="22"/>
      <c r="LR901" s="22"/>
      <c r="LS901" s="22"/>
      <c r="LT901" s="22"/>
      <c r="LU901" s="22"/>
      <c r="LV901" s="22"/>
      <c r="LW901" s="22"/>
      <c r="LX901" s="22"/>
      <c r="LY901" s="22"/>
      <c r="LZ901" s="22"/>
      <c r="MA901" s="22"/>
      <c r="MB901" s="22"/>
      <c r="MC901" s="22"/>
      <c r="MD901" s="22"/>
      <c r="ME901" s="22"/>
      <c r="MF901" s="22"/>
      <c r="MG901" s="22"/>
      <c r="MH901" s="22"/>
      <c r="MI901" s="22"/>
      <c r="MJ901" s="22"/>
      <c r="MK901" s="22"/>
      <c r="ML901" s="22"/>
      <c r="MM901" s="22"/>
      <c r="MN901" s="22"/>
      <c r="MO901" s="22"/>
      <c r="MP901" s="22"/>
      <c r="MQ901" s="22"/>
      <c r="MR901" s="22"/>
      <c r="MS901" s="22"/>
      <c r="MT901" s="22"/>
      <c r="MU901" s="22"/>
      <c r="MV901" s="22"/>
      <c r="MW901" s="22"/>
      <c r="MX901" s="22"/>
      <c r="MY901" s="22"/>
      <c r="MZ901" s="22"/>
      <c r="NA901" s="22"/>
      <c r="NB901" s="22"/>
      <c r="NC901" s="22"/>
      <c r="ND901" s="22"/>
      <c r="NE901" s="22"/>
      <c r="NF901" s="22"/>
      <c r="NG901" s="22"/>
      <c r="NH901" s="22"/>
      <c r="NI901" s="22"/>
      <c r="NJ901" s="22"/>
      <c r="NK901" s="22"/>
      <c r="NL901" s="22"/>
      <c r="NM901" s="22"/>
      <c r="NN901" s="22"/>
      <c r="NO901" s="22"/>
      <c r="NP901" s="22"/>
      <c r="NQ901" s="22"/>
      <c r="NR901" s="22"/>
      <c r="NS901" s="22"/>
      <c r="NT901" s="22"/>
      <c r="NU901" s="22"/>
      <c r="NV901" s="22"/>
      <c r="NW901" s="22"/>
      <c r="NX901" s="22"/>
      <c r="NY901" s="22"/>
      <c r="NZ901" s="22"/>
      <c r="OA901" s="22"/>
      <c r="OB901" s="22"/>
      <c r="OC901" s="22"/>
      <c r="OD901" s="22"/>
      <c r="OE901" s="22"/>
      <c r="OF901" s="22"/>
      <c r="OG901" s="22"/>
      <c r="OH901" s="22"/>
      <c r="OI901" s="22"/>
      <c r="OJ901" s="22"/>
      <c r="OK901" s="22"/>
      <c r="OL901" s="22"/>
      <c r="OM901" s="22"/>
      <c r="ON901" s="22"/>
      <c r="OO901" s="22"/>
      <c r="OP901" s="22"/>
      <c r="OQ901" s="22"/>
      <c r="OR901" s="22"/>
      <c r="OS901" s="22"/>
      <c r="OT901" s="22"/>
      <c r="OU901" s="22"/>
      <c r="OV901" s="22"/>
      <c r="OW901" s="22"/>
      <c r="OX901" s="22"/>
      <c r="OY901" s="22"/>
      <c r="OZ901" s="22"/>
      <c r="PA901" s="22"/>
      <c r="PB901" s="22"/>
      <c r="PC901" s="22"/>
      <c r="PD901" s="22"/>
      <c r="PE901" s="22"/>
      <c r="PF901" s="22"/>
      <c r="PG901" s="22"/>
      <c r="PH901" s="22"/>
      <c r="PI901" s="22"/>
      <c r="PJ901" s="22"/>
      <c r="PK901" s="22"/>
      <c r="PL901" s="22"/>
      <c r="PM901" s="22"/>
      <c r="PN901" s="22"/>
      <c r="PO901" s="22"/>
      <c r="PP901" s="22"/>
      <c r="PQ901" s="22"/>
      <c r="PR901" s="22"/>
      <c r="PS901" s="22"/>
      <c r="PT901" s="22"/>
      <c r="PU901" s="22"/>
      <c r="PV901" s="22"/>
      <c r="PW901" s="22"/>
      <c r="PX901" s="22"/>
      <c r="PY901" s="22"/>
      <c r="PZ901" s="22"/>
      <c r="QA901" s="22"/>
      <c r="QB901" s="22"/>
      <c r="QC901" s="22"/>
      <c r="QD901" s="22"/>
      <c r="QE901" s="22"/>
      <c r="QF901" s="22"/>
      <c r="QG901" s="22"/>
      <c r="QH901" s="22"/>
      <c r="QI901" s="22"/>
      <c r="QJ901" s="22"/>
      <c r="QK901" s="22"/>
      <c r="QL901" s="22"/>
      <c r="QM901" s="22"/>
      <c r="QN901" s="22"/>
      <c r="QO901" s="22"/>
      <c r="QP901" s="22"/>
      <c r="QQ901" s="22"/>
      <c r="QR901" s="22"/>
      <c r="QS901" s="22"/>
      <c r="QT901" s="22"/>
      <c r="QU901" s="22"/>
      <c r="QV901" s="22"/>
      <c r="QW901" s="22"/>
      <c r="QX901" s="22"/>
      <c r="QY901" s="22"/>
      <c r="QZ901" s="22"/>
      <c r="RA901" s="22"/>
      <c r="RB901" s="22"/>
      <c r="RC901" s="22"/>
      <c r="RD901" s="22"/>
      <c r="RE901" s="22"/>
      <c r="RF901" s="22"/>
      <c r="RG901" s="22"/>
      <c r="RH901" s="22"/>
      <c r="RI901" s="22"/>
      <c r="RJ901" s="22"/>
      <c r="RK901" s="22"/>
      <c r="RL901" s="22"/>
      <c r="RM901" s="22"/>
      <c r="RN901" s="22"/>
      <c r="RO901" s="22"/>
      <c r="RP901" s="22"/>
      <c r="RQ901" s="22"/>
      <c r="RR901" s="22"/>
      <c r="RS901" s="22"/>
      <c r="RT901" s="22"/>
      <c r="RU901" s="22"/>
      <c r="RV901" s="22"/>
      <c r="RW901" s="22"/>
      <c r="RX901" s="22"/>
      <c r="RY901" s="22"/>
      <c r="RZ901" s="22"/>
      <c r="SA901" s="22"/>
      <c r="SB901" s="22"/>
      <c r="SC901" s="22"/>
      <c r="SD901" s="22"/>
      <c r="SE901" s="22"/>
      <c r="SF901" s="22"/>
      <c r="SG901" s="22"/>
      <c r="SH901" s="22"/>
      <c r="SI901" s="22"/>
      <c r="SJ901" s="22"/>
      <c r="SK901" s="22"/>
      <c r="SL901" s="22"/>
      <c r="SM901" s="22"/>
      <c r="SN901" s="22"/>
      <c r="SO901" s="22"/>
      <c r="SP901" s="22"/>
      <c r="SQ901" s="22"/>
      <c r="SR901" s="22"/>
      <c r="SS901" s="22"/>
      <c r="ST901" s="22"/>
      <c r="SU901" s="22"/>
      <c r="SV901" s="22"/>
      <c r="SW901" s="22"/>
      <c r="SX901" s="22"/>
      <c r="SY901" s="22"/>
      <c r="SZ901" s="22"/>
      <c r="TA901" s="22"/>
      <c r="TB901" s="22"/>
      <c r="TC901" s="22"/>
      <c r="TD901" s="22"/>
      <c r="TE901" s="22"/>
      <c r="TF901" s="22"/>
      <c r="TG901" s="22"/>
      <c r="TH901" s="22"/>
      <c r="TI901" s="22"/>
      <c r="TJ901" s="22"/>
      <c r="TK901" s="22"/>
      <c r="TL901" s="22"/>
      <c r="TM901" s="22"/>
      <c r="TN901" s="22"/>
      <c r="TO901" s="22"/>
      <c r="TP901" s="22"/>
      <c r="TQ901" s="22"/>
      <c r="TR901" s="22"/>
      <c r="TS901" s="22"/>
      <c r="TT901" s="22"/>
      <c r="TU901" s="22"/>
      <c r="TV901" s="22"/>
      <c r="TW901" s="22"/>
      <c r="TX901" s="22"/>
      <c r="TY901" s="22"/>
      <c r="TZ901" s="22"/>
      <c r="UA901" s="22"/>
      <c r="UB901" s="22"/>
      <c r="UC901" s="22"/>
      <c r="UD901" s="22"/>
      <c r="UE901" s="22"/>
      <c r="UF901" s="22"/>
      <c r="UG901" s="23"/>
    </row>
    <row r="902" spans="1:553" ht="177" customHeight="1">
      <c r="A902" s="356"/>
      <c r="B902" s="385"/>
      <c r="C902" s="384" t="s">
        <v>69</v>
      </c>
      <c r="D902" s="376" t="s">
        <v>70</v>
      </c>
      <c r="E902" s="376" t="s">
        <v>538</v>
      </c>
      <c r="F902" s="385">
        <v>1</v>
      </c>
      <c r="G902" s="386" t="s">
        <v>935</v>
      </c>
      <c r="H902" s="387">
        <v>192.5</v>
      </c>
      <c r="I902" s="490">
        <f t="shared" si="136"/>
        <v>192.5</v>
      </c>
      <c r="J902" s="477">
        <v>55000</v>
      </c>
      <c r="K902" s="684"/>
      <c r="L902" s="480">
        <f t="shared" si="135"/>
        <v>10587500</v>
      </c>
      <c r="M902" s="366"/>
      <c r="N902" s="366"/>
      <c r="O902" s="366"/>
      <c r="P902" s="366"/>
      <c r="Q902" s="761" t="s">
        <v>537</v>
      </c>
      <c r="R902" s="1452"/>
      <c r="S902" s="308"/>
      <c r="T902" s="308"/>
      <c r="U902" s="308"/>
      <c r="V902" s="308"/>
      <c r="W902" s="308"/>
      <c r="X902" s="685">
        <f>I902</f>
        <v>192.5</v>
      </c>
      <c r="Y902" s="308"/>
      <c r="Z902" s="604"/>
      <c r="AA902" s="308"/>
      <c r="AB902" s="308"/>
      <c r="AC902" s="373"/>
      <c r="AD902" s="373"/>
      <c r="AE902" s="373"/>
      <c r="AF902" s="373"/>
      <c r="AG902" s="373"/>
      <c r="AH902" s="373"/>
      <c r="AI902" s="373"/>
      <c r="AJ902" s="373"/>
      <c r="AK902" s="389"/>
      <c r="AL902" s="100"/>
      <c r="AM902" s="27"/>
      <c r="AN902" s="27"/>
      <c r="AO902" s="27"/>
      <c r="AP902" s="27"/>
      <c r="AQ902" s="27"/>
      <c r="AR902" s="27"/>
      <c r="AS902" s="22"/>
      <c r="AT902" s="22"/>
      <c r="AU902" s="22"/>
      <c r="AV902" s="22"/>
      <c r="AW902" s="22"/>
      <c r="AX902" s="22"/>
      <c r="AY902" s="22"/>
      <c r="AZ902" s="22"/>
      <c r="BA902" s="22"/>
      <c r="BB902" s="22"/>
      <c r="BC902" s="22"/>
      <c r="BD902" s="22"/>
      <c r="BE902" s="22"/>
      <c r="BF902" s="22"/>
      <c r="BG902" s="22"/>
      <c r="BH902" s="22"/>
      <c r="BI902" s="22"/>
      <c r="BJ902" s="22"/>
      <c r="BK902" s="22"/>
      <c r="BL902" s="22"/>
      <c r="BM902" s="22"/>
      <c r="BN902" s="22"/>
      <c r="BO902" s="22"/>
      <c r="BP902" s="22"/>
      <c r="BQ902" s="22"/>
      <c r="BR902" s="22"/>
      <c r="BS902" s="22"/>
      <c r="BT902" s="22"/>
      <c r="BU902" s="22"/>
      <c r="BV902" s="22"/>
      <c r="BW902" s="22"/>
      <c r="BX902" s="22"/>
      <c r="BY902" s="22"/>
      <c r="BZ902" s="22"/>
      <c r="CA902" s="22"/>
      <c r="CB902" s="22"/>
      <c r="CC902" s="22"/>
      <c r="CD902" s="22"/>
      <c r="CE902" s="22"/>
      <c r="CF902" s="22"/>
      <c r="CG902" s="22"/>
      <c r="CH902" s="22"/>
      <c r="CI902" s="22"/>
      <c r="CJ902" s="22"/>
      <c r="CK902" s="22"/>
      <c r="CL902" s="22"/>
      <c r="CM902" s="22"/>
      <c r="CN902" s="22"/>
      <c r="CO902" s="22"/>
      <c r="CP902" s="22"/>
      <c r="CQ902" s="22"/>
      <c r="CR902" s="22"/>
      <c r="CS902" s="22"/>
      <c r="CT902" s="22"/>
      <c r="CU902" s="22"/>
      <c r="CV902" s="22"/>
      <c r="CW902" s="22"/>
      <c r="CX902" s="22"/>
      <c r="CY902" s="22"/>
      <c r="CZ902" s="22"/>
      <c r="DA902" s="22"/>
      <c r="DB902" s="22"/>
      <c r="DC902" s="22"/>
      <c r="DD902" s="22"/>
      <c r="DE902" s="22"/>
      <c r="DF902" s="22"/>
      <c r="DG902" s="22"/>
      <c r="DH902" s="22"/>
      <c r="DI902" s="22"/>
      <c r="DJ902" s="22"/>
      <c r="DK902" s="22"/>
      <c r="DL902" s="22"/>
      <c r="DM902" s="22"/>
      <c r="DN902" s="22"/>
      <c r="DO902" s="22"/>
      <c r="DP902" s="22"/>
      <c r="DQ902" s="22"/>
      <c r="DR902" s="22"/>
      <c r="DS902" s="22"/>
      <c r="DT902" s="22"/>
      <c r="DU902" s="22"/>
      <c r="DV902" s="22"/>
      <c r="DW902" s="22"/>
      <c r="DX902" s="22"/>
      <c r="DY902" s="22"/>
      <c r="DZ902" s="22"/>
      <c r="EA902" s="22"/>
      <c r="EB902" s="22"/>
      <c r="EC902" s="22"/>
      <c r="ED902" s="22"/>
      <c r="EE902" s="22"/>
      <c r="EF902" s="22"/>
      <c r="EG902" s="22"/>
      <c r="EH902" s="22"/>
      <c r="EI902" s="22"/>
      <c r="EJ902" s="22"/>
      <c r="EK902" s="22"/>
      <c r="EL902" s="22"/>
      <c r="EM902" s="22"/>
      <c r="EN902" s="22"/>
      <c r="EO902" s="22"/>
      <c r="EP902" s="22"/>
      <c r="EQ902" s="22"/>
      <c r="ER902" s="22"/>
      <c r="ES902" s="22"/>
      <c r="ET902" s="22"/>
      <c r="EU902" s="22"/>
      <c r="EV902" s="22"/>
      <c r="EW902" s="22"/>
      <c r="EX902" s="22"/>
      <c r="EY902" s="22"/>
      <c r="EZ902" s="22"/>
      <c r="FA902" s="22"/>
      <c r="FB902" s="22"/>
      <c r="FC902" s="22"/>
      <c r="FD902" s="22"/>
      <c r="FE902" s="22"/>
      <c r="FF902" s="22"/>
      <c r="FG902" s="22"/>
      <c r="FH902" s="22"/>
      <c r="FI902" s="22"/>
      <c r="FJ902" s="22"/>
      <c r="FK902" s="22"/>
      <c r="FL902" s="22"/>
      <c r="FM902" s="22"/>
      <c r="FN902" s="22"/>
      <c r="FO902" s="22"/>
      <c r="FP902" s="22"/>
      <c r="FQ902" s="22"/>
      <c r="FR902" s="22"/>
      <c r="FS902" s="22"/>
      <c r="FT902" s="22"/>
      <c r="FU902" s="22"/>
      <c r="FV902" s="22"/>
      <c r="FW902" s="22"/>
      <c r="FX902" s="22"/>
      <c r="FY902" s="22"/>
      <c r="FZ902" s="22"/>
      <c r="GA902" s="22"/>
      <c r="GB902" s="22"/>
      <c r="GC902" s="22"/>
      <c r="GD902" s="22"/>
      <c r="GE902" s="22"/>
      <c r="GF902" s="22"/>
      <c r="GG902" s="22"/>
      <c r="GH902" s="22"/>
      <c r="GI902" s="22"/>
      <c r="GJ902" s="22"/>
      <c r="GK902" s="22"/>
      <c r="GL902" s="22"/>
      <c r="GM902" s="22"/>
      <c r="GN902" s="22"/>
      <c r="GO902" s="22"/>
      <c r="GP902" s="22"/>
      <c r="GQ902" s="22"/>
      <c r="GR902" s="22"/>
      <c r="GS902" s="22"/>
      <c r="GT902" s="22"/>
      <c r="GU902" s="22"/>
      <c r="GV902" s="22"/>
      <c r="GW902" s="22"/>
      <c r="GX902" s="22"/>
      <c r="GY902" s="22"/>
      <c r="GZ902" s="22"/>
      <c r="HA902" s="22"/>
      <c r="HB902" s="22"/>
      <c r="HC902" s="22"/>
      <c r="HD902" s="22"/>
      <c r="HE902" s="22"/>
      <c r="HF902" s="22"/>
      <c r="HG902" s="22"/>
      <c r="HH902" s="22"/>
      <c r="HI902" s="22"/>
      <c r="HJ902" s="22"/>
      <c r="HK902" s="22"/>
      <c r="HL902" s="22"/>
      <c r="HM902" s="22"/>
      <c r="HN902" s="22"/>
      <c r="HO902" s="22"/>
      <c r="HP902" s="22"/>
      <c r="HQ902" s="22"/>
      <c r="HR902" s="22"/>
      <c r="HS902" s="22"/>
      <c r="HT902" s="22"/>
      <c r="HU902" s="22"/>
      <c r="HV902" s="22"/>
      <c r="HW902" s="22"/>
      <c r="HX902" s="22"/>
      <c r="HY902" s="22"/>
      <c r="HZ902" s="22"/>
      <c r="IA902" s="22"/>
      <c r="IB902" s="22"/>
      <c r="IC902" s="22"/>
      <c r="ID902" s="22"/>
      <c r="IE902" s="22"/>
      <c r="IF902" s="22"/>
      <c r="IG902" s="22"/>
      <c r="IH902" s="22"/>
      <c r="II902" s="22"/>
      <c r="IJ902" s="22"/>
      <c r="IK902" s="22"/>
      <c r="IL902" s="22"/>
      <c r="IM902" s="22"/>
      <c r="IN902" s="22"/>
      <c r="IO902" s="22"/>
      <c r="IP902" s="22"/>
      <c r="IQ902" s="22"/>
      <c r="IR902" s="22"/>
      <c r="IS902" s="22"/>
      <c r="IT902" s="22"/>
      <c r="IU902" s="22"/>
      <c r="IV902" s="22"/>
      <c r="IW902" s="22"/>
      <c r="IX902" s="22"/>
      <c r="IY902" s="22"/>
      <c r="IZ902" s="22"/>
      <c r="JA902" s="22"/>
      <c r="JB902" s="22"/>
      <c r="JC902" s="22"/>
      <c r="JD902" s="22"/>
      <c r="JE902" s="22"/>
      <c r="JF902" s="22"/>
      <c r="JG902" s="22"/>
      <c r="JH902" s="22"/>
      <c r="JI902" s="22"/>
      <c r="JJ902" s="22"/>
      <c r="JK902" s="22"/>
      <c r="JL902" s="22"/>
      <c r="JM902" s="22"/>
      <c r="JN902" s="22"/>
      <c r="JO902" s="22"/>
      <c r="JP902" s="22"/>
      <c r="JQ902" s="22"/>
      <c r="JR902" s="22"/>
      <c r="JS902" s="22"/>
      <c r="JT902" s="22"/>
      <c r="JU902" s="22"/>
      <c r="JV902" s="22"/>
      <c r="JW902" s="22"/>
      <c r="JX902" s="22"/>
      <c r="JY902" s="22"/>
      <c r="JZ902" s="22"/>
      <c r="KA902" s="22"/>
      <c r="KB902" s="22"/>
      <c r="KC902" s="22"/>
      <c r="KD902" s="22"/>
      <c r="KE902" s="22"/>
      <c r="KF902" s="22"/>
      <c r="KG902" s="22"/>
      <c r="KH902" s="22"/>
      <c r="KI902" s="22"/>
      <c r="KJ902" s="22"/>
      <c r="KK902" s="22"/>
      <c r="KL902" s="22"/>
      <c r="KM902" s="22"/>
      <c r="KN902" s="22"/>
      <c r="KO902" s="22"/>
      <c r="KP902" s="22"/>
      <c r="KQ902" s="22"/>
      <c r="KR902" s="22"/>
      <c r="KS902" s="22"/>
      <c r="KT902" s="22"/>
      <c r="KU902" s="22"/>
      <c r="KV902" s="22"/>
      <c r="KW902" s="22"/>
      <c r="KX902" s="22"/>
      <c r="KY902" s="22"/>
      <c r="KZ902" s="22"/>
      <c r="LA902" s="22"/>
      <c r="LB902" s="22"/>
      <c r="LC902" s="22"/>
      <c r="LD902" s="22"/>
      <c r="LE902" s="22"/>
      <c r="LF902" s="22"/>
      <c r="LG902" s="22"/>
      <c r="LH902" s="22"/>
      <c r="LI902" s="22"/>
      <c r="LJ902" s="22"/>
      <c r="LK902" s="22"/>
      <c r="LL902" s="22"/>
      <c r="LM902" s="22"/>
      <c r="LN902" s="22"/>
      <c r="LO902" s="22"/>
      <c r="LP902" s="22"/>
      <c r="LQ902" s="22"/>
      <c r="LR902" s="22"/>
      <c r="LS902" s="22"/>
      <c r="LT902" s="22"/>
      <c r="LU902" s="22"/>
      <c r="LV902" s="22"/>
      <c r="LW902" s="22"/>
      <c r="LX902" s="22"/>
      <c r="LY902" s="22"/>
      <c r="LZ902" s="22"/>
      <c r="MA902" s="22"/>
      <c r="MB902" s="22"/>
      <c r="MC902" s="22"/>
      <c r="MD902" s="22"/>
      <c r="ME902" s="22"/>
      <c r="MF902" s="22"/>
      <c r="MG902" s="22"/>
      <c r="MH902" s="22"/>
      <c r="MI902" s="22"/>
      <c r="MJ902" s="22"/>
      <c r="MK902" s="22"/>
      <c r="ML902" s="22"/>
      <c r="MM902" s="22"/>
      <c r="MN902" s="22"/>
      <c r="MO902" s="22"/>
      <c r="MP902" s="22"/>
      <c r="MQ902" s="22"/>
      <c r="MR902" s="22"/>
      <c r="MS902" s="22"/>
      <c r="MT902" s="22"/>
      <c r="MU902" s="22"/>
      <c r="MV902" s="22"/>
      <c r="MW902" s="22"/>
      <c r="MX902" s="22"/>
      <c r="MY902" s="22"/>
      <c r="MZ902" s="22"/>
      <c r="NA902" s="22"/>
      <c r="NB902" s="22"/>
      <c r="NC902" s="22"/>
      <c r="ND902" s="22"/>
      <c r="NE902" s="22"/>
      <c r="NF902" s="22"/>
      <c r="NG902" s="22"/>
      <c r="NH902" s="22"/>
      <c r="NI902" s="22"/>
      <c r="NJ902" s="22"/>
      <c r="NK902" s="22"/>
      <c r="NL902" s="22"/>
      <c r="NM902" s="22"/>
      <c r="NN902" s="22"/>
      <c r="NO902" s="22"/>
      <c r="NP902" s="22"/>
      <c r="NQ902" s="22"/>
      <c r="NR902" s="22"/>
      <c r="NS902" s="22"/>
      <c r="NT902" s="22"/>
      <c r="NU902" s="22"/>
      <c r="NV902" s="22"/>
      <c r="NW902" s="22"/>
      <c r="NX902" s="22"/>
      <c r="NY902" s="22"/>
      <c r="NZ902" s="22"/>
      <c r="OA902" s="22"/>
      <c r="OB902" s="22"/>
      <c r="OC902" s="22"/>
      <c r="OD902" s="22"/>
      <c r="OE902" s="22"/>
      <c r="OF902" s="22"/>
      <c r="OG902" s="22"/>
      <c r="OH902" s="22"/>
      <c r="OI902" s="22"/>
      <c r="OJ902" s="22"/>
      <c r="OK902" s="22"/>
      <c r="OL902" s="22"/>
      <c r="OM902" s="22"/>
      <c r="ON902" s="22"/>
      <c r="OO902" s="22"/>
      <c r="OP902" s="22"/>
      <c r="OQ902" s="22"/>
      <c r="OR902" s="22"/>
      <c r="OS902" s="22"/>
      <c r="OT902" s="22"/>
      <c r="OU902" s="22"/>
      <c r="OV902" s="22"/>
      <c r="OW902" s="22"/>
      <c r="OX902" s="22"/>
      <c r="OY902" s="22"/>
      <c r="OZ902" s="22"/>
      <c r="PA902" s="22"/>
      <c r="PB902" s="22"/>
      <c r="PC902" s="22"/>
      <c r="PD902" s="22"/>
      <c r="PE902" s="22"/>
      <c r="PF902" s="22"/>
      <c r="PG902" s="22"/>
      <c r="PH902" s="22"/>
      <c r="PI902" s="22"/>
      <c r="PJ902" s="22"/>
      <c r="PK902" s="22"/>
      <c r="PL902" s="22"/>
      <c r="PM902" s="22"/>
      <c r="PN902" s="22"/>
      <c r="PO902" s="22"/>
      <c r="PP902" s="22"/>
      <c r="PQ902" s="22"/>
      <c r="PR902" s="22"/>
      <c r="PS902" s="22"/>
      <c r="PT902" s="22"/>
      <c r="PU902" s="22"/>
      <c r="PV902" s="22"/>
      <c r="PW902" s="22"/>
      <c r="PX902" s="22"/>
      <c r="PY902" s="22"/>
      <c r="PZ902" s="22"/>
      <c r="QA902" s="22"/>
      <c r="QB902" s="22"/>
      <c r="QC902" s="22"/>
      <c r="QD902" s="22"/>
      <c r="QE902" s="22"/>
      <c r="QF902" s="22"/>
      <c r="QG902" s="22"/>
      <c r="QH902" s="22"/>
      <c r="QI902" s="22"/>
      <c r="QJ902" s="22"/>
      <c r="QK902" s="22"/>
      <c r="QL902" s="22"/>
      <c r="QM902" s="22"/>
      <c r="QN902" s="22"/>
      <c r="QO902" s="22"/>
      <c r="QP902" s="22"/>
      <c r="QQ902" s="22"/>
      <c r="QR902" s="22"/>
      <c r="QS902" s="22"/>
      <c r="QT902" s="22"/>
      <c r="QU902" s="22"/>
      <c r="QV902" s="22"/>
      <c r="QW902" s="22"/>
      <c r="QX902" s="22"/>
      <c r="QY902" s="22"/>
      <c r="QZ902" s="22"/>
      <c r="RA902" s="22"/>
      <c r="RB902" s="22"/>
      <c r="RC902" s="22"/>
      <c r="RD902" s="22"/>
      <c r="RE902" s="22"/>
      <c r="RF902" s="22"/>
      <c r="RG902" s="22"/>
      <c r="RH902" s="22"/>
      <c r="RI902" s="22"/>
      <c r="RJ902" s="22"/>
      <c r="RK902" s="22"/>
      <c r="RL902" s="22"/>
      <c r="RM902" s="22"/>
      <c r="RN902" s="22"/>
      <c r="RO902" s="22"/>
      <c r="RP902" s="22"/>
      <c r="RQ902" s="22"/>
      <c r="RR902" s="22"/>
      <c r="RS902" s="22"/>
      <c r="RT902" s="22"/>
      <c r="RU902" s="22"/>
      <c r="RV902" s="22"/>
      <c r="RW902" s="22"/>
      <c r="RX902" s="22"/>
      <c r="RY902" s="22"/>
      <c r="RZ902" s="22"/>
      <c r="SA902" s="22"/>
      <c r="SB902" s="22"/>
      <c r="SC902" s="22"/>
      <c r="SD902" s="22"/>
      <c r="SE902" s="22"/>
      <c r="SF902" s="22"/>
      <c r="SG902" s="22"/>
      <c r="SH902" s="22"/>
      <c r="SI902" s="22"/>
      <c r="SJ902" s="22"/>
      <c r="SK902" s="22"/>
      <c r="SL902" s="22"/>
      <c r="SM902" s="22"/>
      <c r="SN902" s="22"/>
      <c r="SO902" s="22"/>
      <c r="SP902" s="22"/>
      <c r="SQ902" s="22"/>
      <c r="SR902" s="22"/>
      <c r="SS902" s="22"/>
      <c r="ST902" s="22"/>
      <c r="SU902" s="22"/>
      <c r="SV902" s="22"/>
      <c r="SW902" s="22"/>
      <c r="SX902" s="22"/>
      <c r="SY902" s="22"/>
      <c r="SZ902" s="22"/>
      <c r="TA902" s="22"/>
      <c r="TB902" s="22"/>
      <c r="TC902" s="22"/>
      <c r="TD902" s="22"/>
      <c r="TE902" s="22"/>
      <c r="TF902" s="22"/>
      <c r="TG902" s="22"/>
      <c r="TH902" s="22"/>
      <c r="TI902" s="22"/>
      <c r="TJ902" s="22"/>
      <c r="TK902" s="22"/>
      <c r="TL902" s="22"/>
      <c r="TM902" s="22"/>
      <c r="TN902" s="22"/>
      <c r="TO902" s="22"/>
      <c r="TP902" s="22"/>
      <c r="TQ902" s="22"/>
      <c r="TR902" s="22"/>
      <c r="TS902" s="22"/>
      <c r="TT902" s="22"/>
      <c r="TU902" s="22"/>
      <c r="TV902" s="22"/>
      <c r="TW902" s="22"/>
      <c r="TX902" s="22"/>
      <c r="TY902" s="22"/>
      <c r="TZ902" s="22"/>
      <c r="UA902" s="22"/>
      <c r="UB902" s="22"/>
      <c r="UC902" s="22"/>
      <c r="UD902" s="22"/>
      <c r="UE902" s="22"/>
      <c r="UF902" s="22"/>
      <c r="UG902" s="23"/>
    </row>
    <row r="903" spans="1:553" ht="177" customHeight="1">
      <c r="A903" s="356"/>
      <c r="B903" s="385"/>
      <c r="C903" s="384" t="s">
        <v>23</v>
      </c>
      <c r="D903" s="376" t="s">
        <v>20</v>
      </c>
      <c r="E903" s="376" t="s">
        <v>539</v>
      </c>
      <c r="F903" s="385">
        <v>1</v>
      </c>
      <c r="G903" s="386" t="s">
        <v>935</v>
      </c>
      <c r="H903" s="387">
        <v>37.5</v>
      </c>
      <c r="I903" s="490">
        <f t="shared" si="136"/>
        <v>37.5</v>
      </c>
      <c r="J903" s="368">
        <v>62000</v>
      </c>
      <c r="K903" s="684"/>
      <c r="L903" s="480">
        <f t="shared" si="135"/>
        <v>2325000</v>
      </c>
      <c r="M903" s="366"/>
      <c r="N903" s="366"/>
      <c r="O903" s="366"/>
      <c r="P903" s="366"/>
      <c r="Q903" s="761" t="s">
        <v>540</v>
      </c>
      <c r="R903" s="1452"/>
      <c r="S903" s="308"/>
      <c r="T903" s="308"/>
      <c r="U903" s="308"/>
      <c r="V903" s="308"/>
      <c r="W903" s="685">
        <f>I903</f>
        <v>37.5</v>
      </c>
      <c r="X903" s="308"/>
      <c r="Y903" s="308"/>
      <c r="Z903" s="604"/>
      <c r="AA903" s="308"/>
      <c r="AB903" s="308"/>
      <c r="AC903" s="373"/>
      <c r="AD903" s="373"/>
      <c r="AE903" s="373"/>
      <c r="AF903" s="373"/>
      <c r="AG903" s="373"/>
      <c r="AH903" s="373"/>
      <c r="AI903" s="373"/>
      <c r="AJ903" s="373"/>
      <c r="AK903" s="389"/>
      <c r="AL903" s="100"/>
      <c r="AM903" s="27"/>
      <c r="AN903" s="27"/>
      <c r="AO903" s="27"/>
      <c r="AP903" s="27"/>
      <c r="AQ903" s="27"/>
      <c r="AR903" s="27"/>
      <c r="AS903" s="22"/>
      <c r="AT903" s="22"/>
      <c r="AU903" s="22"/>
      <c r="AV903" s="22"/>
      <c r="AW903" s="22"/>
      <c r="AX903" s="22"/>
      <c r="AY903" s="22"/>
      <c r="AZ903" s="22"/>
      <c r="BA903" s="22"/>
      <c r="BB903" s="22"/>
      <c r="BC903" s="22"/>
      <c r="BD903" s="22"/>
      <c r="BE903" s="22"/>
      <c r="BF903" s="22"/>
      <c r="BG903" s="22"/>
      <c r="BH903" s="22"/>
      <c r="BI903" s="22"/>
      <c r="BJ903" s="22"/>
      <c r="BK903" s="22"/>
      <c r="BL903" s="22"/>
      <c r="BM903" s="22"/>
      <c r="BN903" s="22"/>
      <c r="BO903" s="22"/>
      <c r="BP903" s="22"/>
      <c r="BQ903" s="22"/>
      <c r="BR903" s="22"/>
      <c r="BS903" s="22"/>
      <c r="BT903" s="22"/>
      <c r="BU903" s="22"/>
      <c r="BV903" s="22"/>
      <c r="BW903" s="22"/>
      <c r="BX903" s="22"/>
      <c r="BY903" s="22"/>
      <c r="BZ903" s="22"/>
      <c r="CA903" s="22"/>
      <c r="CB903" s="22"/>
      <c r="CC903" s="22"/>
      <c r="CD903" s="22"/>
      <c r="CE903" s="22"/>
      <c r="CF903" s="22"/>
      <c r="CG903" s="22"/>
      <c r="CH903" s="22"/>
      <c r="CI903" s="22"/>
      <c r="CJ903" s="22"/>
      <c r="CK903" s="22"/>
      <c r="CL903" s="22"/>
      <c r="CM903" s="22"/>
      <c r="CN903" s="22"/>
      <c r="CO903" s="22"/>
      <c r="CP903" s="22"/>
      <c r="CQ903" s="22"/>
      <c r="CR903" s="22"/>
      <c r="CS903" s="22"/>
      <c r="CT903" s="22"/>
      <c r="CU903" s="22"/>
      <c r="CV903" s="22"/>
      <c r="CW903" s="22"/>
      <c r="CX903" s="22"/>
      <c r="CY903" s="22"/>
      <c r="CZ903" s="22"/>
      <c r="DA903" s="22"/>
      <c r="DB903" s="22"/>
      <c r="DC903" s="22"/>
      <c r="DD903" s="22"/>
      <c r="DE903" s="22"/>
      <c r="DF903" s="22"/>
      <c r="DG903" s="22"/>
      <c r="DH903" s="22"/>
      <c r="DI903" s="22"/>
      <c r="DJ903" s="22"/>
      <c r="DK903" s="22"/>
      <c r="DL903" s="22"/>
      <c r="DM903" s="22"/>
      <c r="DN903" s="22"/>
      <c r="DO903" s="22"/>
      <c r="DP903" s="22"/>
      <c r="DQ903" s="22"/>
      <c r="DR903" s="22"/>
      <c r="DS903" s="22"/>
      <c r="DT903" s="22"/>
      <c r="DU903" s="22"/>
      <c r="DV903" s="22"/>
      <c r="DW903" s="22"/>
      <c r="DX903" s="22"/>
      <c r="DY903" s="22"/>
      <c r="DZ903" s="22"/>
      <c r="EA903" s="22"/>
      <c r="EB903" s="22"/>
      <c r="EC903" s="22"/>
      <c r="ED903" s="22"/>
      <c r="EE903" s="22"/>
      <c r="EF903" s="22"/>
      <c r="EG903" s="22"/>
      <c r="EH903" s="22"/>
      <c r="EI903" s="22"/>
      <c r="EJ903" s="22"/>
      <c r="EK903" s="22"/>
      <c r="EL903" s="22"/>
      <c r="EM903" s="22"/>
      <c r="EN903" s="22"/>
      <c r="EO903" s="22"/>
      <c r="EP903" s="22"/>
      <c r="EQ903" s="22"/>
      <c r="ER903" s="22"/>
      <c r="ES903" s="22"/>
      <c r="ET903" s="22"/>
      <c r="EU903" s="22"/>
      <c r="EV903" s="22"/>
      <c r="EW903" s="22"/>
      <c r="EX903" s="22"/>
      <c r="EY903" s="22"/>
      <c r="EZ903" s="22"/>
      <c r="FA903" s="22"/>
      <c r="FB903" s="22"/>
      <c r="FC903" s="22"/>
      <c r="FD903" s="22"/>
      <c r="FE903" s="22"/>
      <c r="FF903" s="22"/>
      <c r="FG903" s="22"/>
      <c r="FH903" s="22"/>
      <c r="FI903" s="22"/>
      <c r="FJ903" s="22"/>
      <c r="FK903" s="22"/>
      <c r="FL903" s="22"/>
      <c r="FM903" s="22"/>
      <c r="FN903" s="22"/>
      <c r="FO903" s="22"/>
      <c r="FP903" s="22"/>
      <c r="FQ903" s="22"/>
      <c r="FR903" s="22"/>
      <c r="FS903" s="22"/>
      <c r="FT903" s="22"/>
      <c r="FU903" s="22"/>
      <c r="FV903" s="22"/>
      <c r="FW903" s="22"/>
      <c r="FX903" s="22"/>
      <c r="FY903" s="22"/>
      <c r="FZ903" s="22"/>
      <c r="GA903" s="22"/>
      <c r="GB903" s="22"/>
      <c r="GC903" s="22"/>
      <c r="GD903" s="22"/>
      <c r="GE903" s="22"/>
      <c r="GF903" s="22"/>
      <c r="GG903" s="22"/>
      <c r="GH903" s="22"/>
      <c r="GI903" s="22"/>
      <c r="GJ903" s="22"/>
      <c r="GK903" s="22"/>
      <c r="GL903" s="22"/>
      <c r="GM903" s="22"/>
      <c r="GN903" s="22"/>
      <c r="GO903" s="22"/>
      <c r="GP903" s="22"/>
      <c r="GQ903" s="22"/>
      <c r="GR903" s="22"/>
      <c r="GS903" s="22"/>
      <c r="GT903" s="22"/>
      <c r="GU903" s="22"/>
      <c r="GV903" s="22"/>
      <c r="GW903" s="22"/>
      <c r="GX903" s="22"/>
      <c r="GY903" s="22"/>
      <c r="GZ903" s="22"/>
      <c r="HA903" s="22"/>
      <c r="HB903" s="22"/>
      <c r="HC903" s="22"/>
      <c r="HD903" s="22"/>
      <c r="HE903" s="22"/>
      <c r="HF903" s="22"/>
      <c r="HG903" s="22"/>
      <c r="HH903" s="22"/>
      <c r="HI903" s="22"/>
      <c r="HJ903" s="22"/>
      <c r="HK903" s="22"/>
      <c r="HL903" s="22"/>
      <c r="HM903" s="22"/>
      <c r="HN903" s="22"/>
      <c r="HO903" s="22"/>
      <c r="HP903" s="22"/>
      <c r="HQ903" s="22"/>
      <c r="HR903" s="22"/>
      <c r="HS903" s="22"/>
      <c r="HT903" s="22"/>
      <c r="HU903" s="22"/>
      <c r="HV903" s="22"/>
      <c r="HW903" s="22"/>
      <c r="HX903" s="22"/>
      <c r="HY903" s="22"/>
      <c r="HZ903" s="22"/>
      <c r="IA903" s="22"/>
      <c r="IB903" s="22"/>
      <c r="IC903" s="22"/>
      <c r="ID903" s="22"/>
      <c r="IE903" s="22"/>
      <c r="IF903" s="22"/>
      <c r="IG903" s="22"/>
      <c r="IH903" s="22"/>
      <c r="II903" s="22"/>
      <c r="IJ903" s="22"/>
      <c r="IK903" s="22"/>
      <c r="IL903" s="22"/>
      <c r="IM903" s="22"/>
      <c r="IN903" s="22"/>
      <c r="IO903" s="22"/>
      <c r="IP903" s="22"/>
      <c r="IQ903" s="22"/>
      <c r="IR903" s="22"/>
      <c r="IS903" s="22"/>
      <c r="IT903" s="22"/>
      <c r="IU903" s="22"/>
      <c r="IV903" s="22"/>
      <c r="IW903" s="22"/>
      <c r="IX903" s="22"/>
      <c r="IY903" s="22"/>
      <c r="IZ903" s="22"/>
      <c r="JA903" s="22"/>
      <c r="JB903" s="22"/>
      <c r="JC903" s="22"/>
      <c r="JD903" s="22"/>
      <c r="JE903" s="22"/>
      <c r="JF903" s="22"/>
      <c r="JG903" s="22"/>
      <c r="JH903" s="22"/>
      <c r="JI903" s="22"/>
      <c r="JJ903" s="22"/>
      <c r="JK903" s="22"/>
      <c r="JL903" s="22"/>
      <c r="JM903" s="22"/>
      <c r="JN903" s="22"/>
      <c r="JO903" s="22"/>
      <c r="JP903" s="22"/>
      <c r="JQ903" s="22"/>
      <c r="JR903" s="22"/>
      <c r="JS903" s="22"/>
      <c r="JT903" s="22"/>
      <c r="JU903" s="22"/>
      <c r="JV903" s="22"/>
      <c r="JW903" s="22"/>
      <c r="JX903" s="22"/>
      <c r="JY903" s="22"/>
      <c r="JZ903" s="22"/>
      <c r="KA903" s="22"/>
      <c r="KB903" s="22"/>
      <c r="KC903" s="22"/>
      <c r="KD903" s="22"/>
      <c r="KE903" s="22"/>
      <c r="KF903" s="22"/>
      <c r="KG903" s="22"/>
      <c r="KH903" s="22"/>
      <c r="KI903" s="22"/>
      <c r="KJ903" s="22"/>
      <c r="KK903" s="22"/>
      <c r="KL903" s="22"/>
      <c r="KM903" s="22"/>
      <c r="KN903" s="22"/>
      <c r="KO903" s="22"/>
      <c r="KP903" s="22"/>
      <c r="KQ903" s="22"/>
      <c r="KR903" s="22"/>
      <c r="KS903" s="22"/>
      <c r="KT903" s="22"/>
      <c r="KU903" s="22"/>
      <c r="KV903" s="22"/>
      <c r="KW903" s="22"/>
      <c r="KX903" s="22"/>
      <c r="KY903" s="22"/>
      <c r="KZ903" s="22"/>
      <c r="LA903" s="22"/>
      <c r="LB903" s="22"/>
      <c r="LC903" s="22"/>
      <c r="LD903" s="22"/>
      <c r="LE903" s="22"/>
      <c r="LF903" s="22"/>
      <c r="LG903" s="22"/>
      <c r="LH903" s="22"/>
      <c r="LI903" s="22"/>
      <c r="LJ903" s="22"/>
      <c r="LK903" s="22"/>
      <c r="LL903" s="22"/>
      <c r="LM903" s="22"/>
      <c r="LN903" s="22"/>
      <c r="LO903" s="22"/>
      <c r="LP903" s="22"/>
      <c r="LQ903" s="22"/>
      <c r="LR903" s="22"/>
      <c r="LS903" s="22"/>
      <c r="LT903" s="22"/>
      <c r="LU903" s="22"/>
      <c r="LV903" s="22"/>
      <c r="LW903" s="22"/>
      <c r="LX903" s="22"/>
      <c r="LY903" s="22"/>
      <c r="LZ903" s="22"/>
      <c r="MA903" s="22"/>
      <c r="MB903" s="22"/>
      <c r="MC903" s="22"/>
      <c r="MD903" s="22"/>
      <c r="ME903" s="22"/>
      <c r="MF903" s="22"/>
      <c r="MG903" s="22"/>
      <c r="MH903" s="22"/>
      <c r="MI903" s="22"/>
      <c r="MJ903" s="22"/>
      <c r="MK903" s="22"/>
      <c r="ML903" s="22"/>
      <c r="MM903" s="22"/>
      <c r="MN903" s="22"/>
      <c r="MO903" s="22"/>
      <c r="MP903" s="22"/>
      <c r="MQ903" s="22"/>
      <c r="MR903" s="22"/>
      <c r="MS903" s="22"/>
      <c r="MT903" s="22"/>
      <c r="MU903" s="22"/>
      <c r="MV903" s="22"/>
      <c r="MW903" s="22"/>
      <c r="MX903" s="22"/>
      <c r="MY903" s="22"/>
      <c r="MZ903" s="22"/>
      <c r="NA903" s="22"/>
      <c r="NB903" s="22"/>
      <c r="NC903" s="22"/>
      <c r="ND903" s="22"/>
      <c r="NE903" s="22"/>
      <c r="NF903" s="22"/>
      <c r="NG903" s="22"/>
      <c r="NH903" s="22"/>
      <c r="NI903" s="22"/>
      <c r="NJ903" s="22"/>
      <c r="NK903" s="22"/>
      <c r="NL903" s="22"/>
      <c r="NM903" s="22"/>
      <c r="NN903" s="22"/>
      <c r="NO903" s="22"/>
      <c r="NP903" s="22"/>
      <c r="NQ903" s="22"/>
      <c r="NR903" s="22"/>
      <c r="NS903" s="22"/>
      <c r="NT903" s="22"/>
      <c r="NU903" s="22"/>
      <c r="NV903" s="22"/>
      <c r="NW903" s="22"/>
      <c r="NX903" s="22"/>
      <c r="NY903" s="22"/>
      <c r="NZ903" s="22"/>
      <c r="OA903" s="22"/>
      <c r="OB903" s="22"/>
      <c r="OC903" s="22"/>
      <c r="OD903" s="22"/>
      <c r="OE903" s="22"/>
      <c r="OF903" s="22"/>
      <c r="OG903" s="22"/>
      <c r="OH903" s="22"/>
      <c r="OI903" s="22"/>
      <c r="OJ903" s="22"/>
      <c r="OK903" s="22"/>
      <c r="OL903" s="22"/>
      <c r="OM903" s="22"/>
      <c r="ON903" s="22"/>
      <c r="OO903" s="22"/>
      <c r="OP903" s="22"/>
      <c r="OQ903" s="22"/>
      <c r="OR903" s="22"/>
      <c r="OS903" s="22"/>
      <c r="OT903" s="22"/>
      <c r="OU903" s="22"/>
      <c r="OV903" s="22"/>
      <c r="OW903" s="22"/>
      <c r="OX903" s="22"/>
      <c r="OY903" s="22"/>
      <c r="OZ903" s="22"/>
      <c r="PA903" s="22"/>
      <c r="PB903" s="22"/>
      <c r="PC903" s="22"/>
      <c r="PD903" s="22"/>
      <c r="PE903" s="22"/>
      <c r="PF903" s="22"/>
      <c r="PG903" s="22"/>
      <c r="PH903" s="22"/>
      <c r="PI903" s="22"/>
      <c r="PJ903" s="22"/>
      <c r="PK903" s="22"/>
      <c r="PL903" s="22"/>
      <c r="PM903" s="22"/>
      <c r="PN903" s="22"/>
      <c r="PO903" s="22"/>
      <c r="PP903" s="22"/>
      <c r="PQ903" s="22"/>
      <c r="PR903" s="22"/>
      <c r="PS903" s="22"/>
      <c r="PT903" s="22"/>
      <c r="PU903" s="22"/>
      <c r="PV903" s="22"/>
      <c r="PW903" s="22"/>
      <c r="PX903" s="22"/>
      <c r="PY903" s="22"/>
      <c r="PZ903" s="22"/>
      <c r="QA903" s="22"/>
      <c r="QB903" s="22"/>
      <c r="QC903" s="22"/>
      <c r="QD903" s="22"/>
      <c r="QE903" s="22"/>
      <c r="QF903" s="22"/>
      <c r="QG903" s="22"/>
      <c r="QH903" s="22"/>
      <c r="QI903" s="22"/>
      <c r="QJ903" s="22"/>
      <c r="QK903" s="22"/>
      <c r="QL903" s="22"/>
      <c r="QM903" s="22"/>
      <c r="QN903" s="22"/>
      <c r="QO903" s="22"/>
      <c r="QP903" s="22"/>
      <c r="QQ903" s="22"/>
      <c r="QR903" s="22"/>
      <c r="QS903" s="22"/>
      <c r="QT903" s="22"/>
      <c r="QU903" s="22"/>
      <c r="QV903" s="22"/>
      <c r="QW903" s="22"/>
      <c r="QX903" s="22"/>
      <c r="QY903" s="22"/>
      <c r="QZ903" s="22"/>
      <c r="RA903" s="22"/>
      <c r="RB903" s="22"/>
      <c r="RC903" s="22"/>
      <c r="RD903" s="22"/>
      <c r="RE903" s="22"/>
      <c r="RF903" s="22"/>
      <c r="RG903" s="22"/>
      <c r="RH903" s="22"/>
      <c r="RI903" s="22"/>
      <c r="RJ903" s="22"/>
      <c r="RK903" s="22"/>
      <c r="RL903" s="22"/>
      <c r="RM903" s="22"/>
      <c r="RN903" s="22"/>
      <c r="RO903" s="22"/>
      <c r="RP903" s="22"/>
      <c r="RQ903" s="22"/>
      <c r="RR903" s="22"/>
      <c r="RS903" s="22"/>
      <c r="RT903" s="22"/>
      <c r="RU903" s="22"/>
      <c r="RV903" s="22"/>
      <c r="RW903" s="22"/>
      <c r="RX903" s="22"/>
      <c r="RY903" s="22"/>
      <c r="RZ903" s="22"/>
      <c r="SA903" s="22"/>
      <c r="SB903" s="22"/>
      <c r="SC903" s="22"/>
      <c r="SD903" s="22"/>
      <c r="SE903" s="22"/>
      <c r="SF903" s="22"/>
      <c r="SG903" s="22"/>
      <c r="SH903" s="22"/>
      <c r="SI903" s="22"/>
      <c r="SJ903" s="22"/>
      <c r="SK903" s="22"/>
      <c r="SL903" s="22"/>
      <c r="SM903" s="22"/>
      <c r="SN903" s="22"/>
      <c r="SO903" s="22"/>
      <c r="SP903" s="22"/>
      <c r="SQ903" s="22"/>
      <c r="SR903" s="22"/>
      <c r="SS903" s="22"/>
      <c r="ST903" s="22"/>
      <c r="SU903" s="22"/>
      <c r="SV903" s="22"/>
      <c r="SW903" s="22"/>
      <c r="SX903" s="22"/>
      <c r="SY903" s="22"/>
      <c r="SZ903" s="22"/>
      <c r="TA903" s="22"/>
      <c r="TB903" s="22"/>
      <c r="TC903" s="22"/>
      <c r="TD903" s="22"/>
      <c r="TE903" s="22"/>
      <c r="TF903" s="22"/>
      <c r="TG903" s="22"/>
      <c r="TH903" s="22"/>
      <c r="TI903" s="22"/>
      <c r="TJ903" s="22"/>
      <c r="TK903" s="22"/>
      <c r="TL903" s="22"/>
      <c r="TM903" s="22"/>
      <c r="TN903" s="22"/>
      <c r="TO903" s="22"/>
      <c r="TP903" s="22"/>
      <c r="TQ903" s="22"/>
      <c r="TR903" s="22"/>
      <c r="TS903" s="22"/>
      <c r="TT903" s="22"/>
      <c r="TU903" s="22"/>
      <c r="TV903" s="22"/>
      <c r="TW903" s="22"/>
      <c r="TX903" s="22"/>
      <c r="TY903" s="22"/>
      <c r="TZ903" s="22"/>
      <c r="UA903" s="22"/>
      <c r="UB903" s="22"/>
      <c r="UC903" s="22"/>
      <c r="UD903" s="22"/>
      <c r="UE903" s="22"/>
      <c r="UF903" s="22"/>
      <c r="UG903" s="23"/>
    </row>
    <row r="904" spans="1:553" ht="177" customHeight="1">
      <c r="A904" s="356"/>
      <c r="B904" s="385"/>
      <c r="C904" s="384" t="s">
        <v>23</v>
      </c>
      <c r="D904" s="376" t="s">
        <v>20</v>
      </c>
      <c r="E904" s="376" t="s">
        <v>541</v>
      </c>
      <c r="F904" s="385">
        <v>1</v>
      </c>
      <c r="G904" s="386" t="s">
        <v>935</v>
      </c>
      <c r="H904" s="387">
        <v>52.7</v>
      </c>
      <c r="I904" s="490">
        <f t="shared" si="136"/>
        <v>52.7</v>
      </c>
      <c r="J904" s="368">
        <v>62000</v>
      </c>
      <c r="K904" s="684"/>
      <c r="L904" s="480">
        <f t="shared" si="135"/>
        <v>3267400</v>
      </c>
      <c r="M904" s="366"/>
      <c r="N904" s="366"/>
      <c r="O904" s="366"/>
      <c r="P904" s="366"/>
      <c r="Q904" s="761" t="s">
        <v>540</v>
      </c>
      <c r="R904" s="1452"/>
      <c r="S904" s="308"/>
      <c r="T904" s="308"/>
      <c r="U904" s="308"/>
      <c r="V904" s="308"/>
      <c r="W904" s="685">
        <f>I904</f>
        <v>52.7</v>
      </c>
      <c r="X904" s="308"/>
      <c r="Y904" s="308"/>
      <c r="Z904" s="604"/>
      <c r="AA904" s="308"/>
      <c r="AB904" s="308"/>
      <c r="AC904" s="373"/>
      <c r="AD904" s="373"/>
      <c r="AE904" s="373"/>
      <c r="AF904" s="373"/>
      <c r="AG904" s="373"/>
      <c r="AH904" s="373"/>
      <c r="AI904" s="373"/>
      <c r="AJ904" s="373"/>
      <c r="AK904" s="389"/>
      <c r="AL904" s="100"/>
      <c r="AM904" s="27"/>
      <c r="AN904" s="27"/>
      <c r="AO904" s="27"/>
      <c r="AP904" s="27"/>
      <c r="AQ904" s="27"/>
      <c r="AR904" s="27"/>
      <c r="AS904" s="22"/>
      <c r="AT904" s="22"/>
      <c r="AU904" s="22"/>
      <c r="AV904" s="22"/>
      <c r="AW904" s="22"/>
      <c r="AX904" s="22"/>
      <c r="AY904" s="22"/>
      <c r="AZ904" s="22"/>
      <c r="BA904" s="22"/>
      <c r="BB904" s="22"/>
      <c r="BC904" s="22"/>
      <c r="BD904" s="22"/>
      <c r="BE904" s="22"/>
      <c r="BF904" s="22"/>
      <c r="BG904" s="22"/>
      <c r="BH904" s="22"/>
      <c r="BI904" s="22"/>
      <c r="BJ904" s="22"/>
      <c r="BK904" s="22"/>
      <c r="BL904" s="22"/>
      <c r="BM904" s="22"/>
      <c r="BN904" s="22"/>
      <c r="BO904" s="22"/>
      <c r="BP904" s="22"/>
      <c r="BQ904" s="22"/>
      <c r="BR904" s="22"/>
      <c r="BS904" s="22"/>
      <c r="BT904" s="22"/>
      <c r="BU904" s="22"/>
      <c r="BV904" s="22"/>
      <c r="BW904" s="22"/>
      <c r="BX904" s="22"/>
      <c r="BY904" s="22"/>
      <c r="BZ904" s="22"/>
      <c r="CA904" s="22"/>
      <c r="CB904" s="22"/>
      <c r="CC904" s="22"/>
      <c r="CD904" s="22"/>
      <c r="CE904" s="22"/>
      <c r="CF904" s="22"/>
      <c r="CG904" s="22"/>
      <c r="CH904" s="22"/>
      <c r="CI904" s="22"/>
      <c r="CJ904" s="22"/>
      <c r="CK904" s="22"/>
      <c r="CL904" s="22"/>
      <c r="CM904" s="22"/>
      <c r="CN904" s="22"/>
      <c r="CO904" s="22"/>
      <c r="CP904" s="22"/>
      <c r="CQ904" s="22"/>
      <c r="CR904" s="22"/>
      <c r="CS904" s="22"/>
      <c r="CT904" s="22"/>
      <c r="CU904" s="22"/>
      <c r="CV904" s="22"/>
      <c r="CW904" s="22"/>
      <c r="CX904" s="22"/>
      <c r="CY904" s="22"/>
      <c r="CZ904" s="22"/>
      <c r="DA904" s="22"/>
      <c r="DB904" s="22"/>
      <c r="DC904" s="22"/>
      <c r="DD904" s="22"/>
      <c r="DE904" s="22"/>
      <c r="DF904" s="22"/>
      <c r="DG904" s="22"/>
      <c r="DH904" s="22"/>
      <c r="DI904" s="22"/>
      <c r="DJ904" s="22"/>
      <c r="DK904" s="22"/>
      <c r="DL904" s="22"/>
      <c r="DM904" s="22"/>
      <c r="DN904" s="22"/>
      <c r="DO904" s="22"/>
      <c r="DP904" s="22"/>
      <c r="DQ904" s="22"/>
      <c r="DR904" s="22"/>
      <c r="DS904" s="22"/>
      <c r="DT904" s="22"/>
      <c r="DU904" s="22"/>
      <c r="DV904" s="22"/>
      <c r="DW904" s="22"/>
      <c r="DX904" s="22"/>
      <c r="DY904" s="22"/>
      <c r="DZ904" s="22"/>
      <c r="EA904" s="22"/>
      <c r="EB904" s="22"/>
      <c r="EC904" s="22"/>
      <c r="ED904" s="22"/>
      <c r="EE904" s="22"/>
      <c r="EF904" s="22"/>
      <c r="EG904" s="22"/>
      <c r="EH904" s="22"/>
      <c r="EI904" s="22"/>
      <c r="EJ904" s="22"/>
      <c r="EK904" s="22"/>
      <c r="EL904" s="22"/>
      <c r="EM904" s="22"/>
      <c r="EN904" s="22"/>
      <c r="EO904" s="22"/>
      <c r="EP904" s="22"/>
      <c r="EQ904" s="22"/>
      <c r="ER904" s="22"/>
      <c r="ES904" s="22"/>
      <c r="ET904" s="22"/>
      <c r="EU904" s="22"/>
      <c r="EV904" s="22"/>
      <c r="EW904" s="22"/>
      <c r="EX904" s="22"/>
      <c r="EY904" s="22"/>
      <c r="EZ904" s="22"/>
      <c r="FA904" s="22"/>
      <c r="FB904" s="22"/>
      <c r="FC904" s="22"/>
      <c r="FD904" s="22"/>
      <c r="FE904" s="22"/>
      <c r="FF904" s="22"/>
      <c r="FG904" s="22"/>
      <c r="FH904" s="22"/>
      <c r="FI904" s="22"/>
      <c r="FJ904" s="22"/>
      <c r="FK904" s="22"/>
      <c r="FL904" s="22"/>
      <c r="FM904" s="22"/>
      <c r="FN904" s="22"/>
      <c r="FO904" s="22"/>
      <c r="FP904" s="22"/>
      <c r="FQ904" s="22"/>
      <c r="FR904" s="22"/>
      <c r="FS904" s="22"/>
      <c r="FT904" s="22"/>
      <c r="FU904" s="22"/>
      <c r="FV904" s="22"/>
      <c r="FW904" s="22"/>
      <c r="FX904" s="22"/>
      <c r="FY904" s="22"/>
      <c r="FZ904" s="22"/>
      <c r="GA904" s="22"/>
      <c r="GB904" s="22"/>
      <c r="GC904" s="22"/>
      <c r="GD904" s="22"/>
      <c r="GE904" s="22"/>
      <c r="GF904" s="22"/>
      <c r="GG904" s="22"/>
      <c r="GH904" s="22"/>
      <c r="GI904" s="22"/>
      <c r="GJ904" s="22"/>
      <c r="GK904" s="22"/>
      <c r="GL904" s="22"/>
      <c r="GM904" s="22"/>
      <c r="GN904" s="22"/>
      <c r="GO904" s="22"/>
      <c r="GP904" s="22"/>
      <c r="GQ904" s="22"/>
      <c r="GR904" s="22"/>
      <c r="GS904" s="22"/>
      <c r="GT904" s="22"/>
      <c r="GU904" s="22"/>
      <c r="GV904" s="22"/>
      <c r="GW904" s="22"/>
      <c r="GX904" s="22"/>
      <c r="GY904" s="22"/>
      <c r="GZ904" s="22"/>
      <c r="HA904" s="22"/>
      <c r="HB904" s="22"/>
      <c r="HC904" s="22"/>
      <c r="HD904" s="22"/>
      <c r="HE904" s="22"/>
      <c r="HF904" s="22"/>
      <c r="HG904" s="22"/>
      <c r="HH904" s="22"/>
      <c r="HI904" s="22"/>
      <c r="HJ904" s="22"/>
      <c r="HK904" s="22"/>
      <c r="HL904" s="22"/>
      <c r="HM904" s="22"/>
      <c r="HN904" s="22"/>
      <c r="HO904" s="22"/>
      <c r="HP904" s="22"/>
      <c r="HQ904" s="22"/>
      <c r="HR904" s="22"/>
      <c r="HS904" s="22"/>
      <c r="HT904" s="22"/>
      <c r="HU904" s="22"/>
      <c r="HV904" s="22"/>
      <c r="HW904" s="22"/>
      <c r="HX904" s="22"/>
      <c r="HY904" s="22"/>
      <c r="HZ904" s="22"/>
      <c r="IA904" s="22"/>
      <c r="IB904" s="22"/>
      <c r="IC904" s="22"/>
      <c r="ID904" s="22"/>
      <c r="IE904" s="22"/>
      <c r="IF904" s="22"/>
      <c r="IG904" s="22"/>
      <c r="IH904" s="22"/>
      <c r="II904" s="22"/>
      <c r="IJ904" s="22"/>
      <c r="IK904" s="22"/>
      <c r="IL904" s="22"/>
      <c r="IM904" s="22"/>
      <c r="IN904" s="22"/>
      <c r="IO904" s="22"/>
      <c r="IP904" s="22"/>
      <c r="IQ904" s="22"/>
      <c r="IR904" s="22"/>
      <c r="IS904" s="22"/>
      <c r="IT904" s="22"/>
      <c r="IU904" s="22"/>
      <c r="IV904" s="22"/>
      <c r="IW904" s="22"/>
      <c r="IX904" s="22"/>
      <c r="IY904" s="22"/>
      <c r="IZ904" s="22"/>
      <c r="JA904" s="22"/>
      <c r="JB904" s="22"/>
      <c r="JC904" s="22"/>
      <c r="JD904" s="22"/>
      <c r="JE904" s="22"/>
      <c r="JF904" s="22"/>
      <c r="JG904" s="22"/>
      <c r="JH904" s="22"/>
      <c r="JI904" s="22"/>
      <c r="JJ904" s="22"/>
      <c r="JK904" s="22"/>
      <c r="JL904" s="22"/>
      <c r="JM904" s="22"/>
      <c r="JN904" s="22"/>
      <c r="JO904" s="22"/>
      <c r="JP904" s="22"/>
      <c r="JQ904" s="22"/>
      <c r="JR904" s="22"/>
      <c r="JS904" s="22"/>
      <c r="JT904" s="22"/>
      <c r="JU904" s="22"/>
      <c r="JV904" s="22"/>
      <c r="JW904" s="22"/>
      <c r="JX904" s="22"/>
      <c r="JY904" s="22"/>
      <c r="JZ904" s="22"/>
      <c r="KA904" s="22"/>
      <c r="KB904" s="22"/>
      <c r="KC904" s="22"/>
      <c r="KD904" s="22"/>
      <c r="KE904" s="22"/>
      <c r="KF904" s="22"/>
      <c r="KG904" s="22"/>
      <c r="KH904" s="22"/>
      <c r="KI904" s="22"/>
      <c r="KJ904" s="22"/>
      <c r="KK904" s="22"/>
      <c r="KL904" s="22"/>
      <c r="KM904" s="22"/>
      <c r="KN904" s="22"/>
      <c r="KO904" s="22"/>
      <c r="KP904" s="22"/>
      <c r="KQ904" s="22"/>
      <c r="KR904" s="22"/>
      <c r="KS904" s="22"/>
      <c r="KT904" s="22"/>
      <c r="KU904" s="22"/>
      <c r="KV904" s="22"/>
      <c r="KW904" s="22"/>
      <c r="KX904" s="22"/>
      <c r="KY904" s="22"/>
      <c r="KZ904" s="22"/>
      <c r="LA904" s="22"/>
      <c r="LB904" s="22"/>
      <c r="LC904" s="22"/>
      <c r="LD904" s="22"/>
      <c r="LE904" s="22"/>
      <c r="LF904" s="22"/>
      <c r="LG904" s="22"/>
      <c r="LH904" s="22"/>
      <c r="LI904" s="22"/>
      <c r="LJ904" s="22"/>
      <c r="LK904" s="22"/>
      <c r="LL904" s="22"/>
      <c r="LM904" s="22"/>
      <c r="LN904" s="22"/>
      <c r="LO904" s="22"/>
      <c r="LP904" s="22"/>
      <c r="LQ904" s="22"/>
      <c r="LR904" s="22"/>
      <c r="LS904" s="22"/>
      <c r="LT904" s="22"/>
      <c r="LU904" s="22"/>
      <c r="LV904" s="22"/>
      <c r="LW904" s="22"/>
      <c r="LX904" s="22"/>
      <c r="LY904" s="22"/>
      <c r="LZ904" s="22"/>
      <c r="MA904" s="22"/>
      <c r="MB904" s="22"/>
      <c r="MC904" s="22"/>
      <c r="MD904" s="22"/>
      <c r="ME904" s="22"/>
      <c r="MF904" s="22"/>
      <c r="MG904" s="22"/>
      <c r="MH904" s="22"/>
      <c r="MI904" s="22"/>
      <c r="MJ904" s="22"/>
      <c r="MK904" s="22"/>
      <c r="ML904" s="22"/>
      <c r="MM904" s="22"/>
      <c r="MN904" s="22"/>
      <c r="MO904" s="22"/>
      <c r="MP904" s="22"/>
      <c r="MQ904" s="22"/>
      <c r="MR904" s="22"/>
      <c r="MS904" s="22"/>
      <c r="MT904" s="22"/>
      <c r="MU904" s="22"/>
      <c r="MV904" s="22"/>
      <c r="MW904" s="22"/>
      <c r="MX904" s="22"/>
      <c r="MY904" s="22"/>
      <c r="MZ904" s="22"/>
      <c r="NA904" s="22"/>
      <c r="NB904" s="22"/>
      <c r="NC904" s="22"/>
      <c r="ND904" s="22"/>
      <c r="NE904" s="22"/>
      <c r="NF904" s="22"/>
      <c r="NG904" s="22"/>
      <c r="NH904" s="22"/>
      <c r="NI904" s="22"/>
      <c r="NJ904" s="22"/>
      <c r="NK904" s="22"/>
      <c r="NL904" s="22"/>
      <c r="NM904" s="22"/>
      <c r="NN904" s="22"/>
      <c r="NO904" s="22"/>
      <c r="NP904" s="22"/>
      <c r="NQ904" s="22"/>
      <c r="NR904" s="22"/>
      <c r="NS904" s="22"/>
      <c r="NT904" s="22"/>
      <c r="NU904" s="22"/>
      <c r="NV904" s="22"/>
      <c r="NW904" s="22"/>
      <c r="NX904" s="22"/>
      <c r="NY904" s="22"/>
      <c r="NZ904" s="22"/>
      <c r="OA904" s="22"/>
      <c r="OB904" s="22"/>
      <c r="OC904" s="22"/>
      <c r="OD904" s="22"/>
      <c r="OE904" s="22"/>
      <c r="OF904" s="22"/>
      <c r="OG904" s="22"/>
      <c r="OH904" s="22"/>
      <c r="OI904" s="22"/>
      <c r="OJ904" s="22"/>
      <c r="OK904" s="22"/>
      <c r="OL904" s="22"/>
      <c r="OM904" s="22"/>
      <c r="ON904" s="22"/>
      <c r="OO904" s="22"/>
      <c r="OP904" s="22"/>
      <c r="OQ904" s="22"/>
      <c r="OR904" s="22"/>
      <c r="OS904" s="22"/>
      <c r="OT904" s="22"/>
      <c r="OU904" s="22"/>
      <c r="OV904" s="22"/>
      <c r="OW904" s="22"/>
      <c r="OX904" s="22"/>
      <c r="OY904" s="22"/>
      <c r="OZ904" s="22"/>
      <c r="PA904" s="22"/>
      <c r="PB904" s="22"/>
      <c r="PC904" s="22"/>
      <c r="PD904" s="22"/>
      <c r="PE904" s="22"/>
      <c r="PF904" s="22"/>
      <c r="PG904" s="22"/>
      <c r="PH904" s="22"/>
      <c r="PI904" s="22"/>
      <c r="PJ904" s="22"/>
      <c r="PK904" s="22"/>
      <c r="PL904" s="22"/>
      <c r="PM904" s="22"/>
      <c r="PN904" s="22"/>
      <c r="PO904" s="22"/>
      <c r="PP904" s="22"/>
      <c r="PQ904" s="22"/>
      <c r="PR904" s="22"/>
      <c r="PS904" s="22"/>
      <c r="PT904" s="22"/>
      <c r="PU904" s="22"/>
      <c r="PV904" s="22"/>
      <c r="PW904" s="22"/>
      <c r="PX904" s="22"/>
      <c r="PY904" s="22"/>
      <c r="PZ904" s="22"/>
      <c r="QA904" s="22"/>
      <c r="QB904" s="22"/>
      <c r="QC904" s="22"/>
      <c r="QD904" s="22"/>
      <c r="QE904" s="22"/>
      <c r="QF904" s="22"/>
      <c r="QG904" s="22"/>
      <c r="QH904" s="22"/>
      <c r="QI904" s="22"/>
      <c r="QJ904" s="22"/>
      <c r="QK904" s="22"/>
      <c r="QL904" s="22"/>
      <c r="QM904" s="22"/>
      <c r="QN904" s="22"/>
      <c r="QO904" s="22"/>
      <c r="QP904" s="22"/>
      <c r="QQ904" s="22"/>
      <c r="QR904" s="22"/>
      <c r="QS904" s="22"/>
      <c r="QT904" s="22"/>
      <c r="QU904" s="22"/>
      <c r="QV904" s="22"/>
      <c r="QW904" s="22"/>
      <c r="QX904" s="22"/>
      <c r="QY904" s="22"/>
      <c r="QZ904" s="22"/>
      <c r="RA904" s="22"/>
      <c r="RB904" s="22"/>
      <c r="RC904" s="22"/>
      <c r="RD904" s="22"/>
      <c r="RE904" s="22"/>
      <c r="RF904" s="22"/>
      <c r="RG904" s="22"/>
      <c r="RH904" s="22"/>
      <c r="RI904" s="22"/>
      <c r="RJ904" s="22"/>
      <c r="RK904" s="22"/>
      <c r="RL904" s="22"/>
      <c r="RM904" s="22"/>
      <c r="RN904" s="22"/>
      <c r="RO904" s="22"/>
      <c r="RP904" s="22"/>
      <c r="RQ904" s="22"/>
      <c r="RR904" s="22"/>
      <c r="RS904" s="22"/>
      <c r="RT904" s="22"/>
      <c r="RU904" s="22"/>
      <c r="RV904" s="22"/>
      <c r="RW904" s="22"/>
      <c r="RX904" s="22"/>
      <c r="RY904" s="22"/>
      <c r="RZ904" s="22"/>
      <c r="SA904" s="22"/>
      <c r="SB904" s="22"/>
      <c r="SC904" s="22"/>
      <c r="SD904" s="22"/>
      <c r="SE904" s="22"/>
      <c r="SF904" s="22"/>
      <c r="SG904" s="22"/>
      <c r="SH904" s="22"/>
      <c r="SI904" s="22"/>
      <c r="SJ904" s="22"/>
      <c r="SK904" s="22"/>
      <c r="SL904" s="22"/>
      <c r="SM904" s="22"/>
      <c r="SN904" s="22"/>
      <c r="SO904" s="22"/>
      <c r="SP904" s="22"/>
      <c r="SQ904" s="22"/>
      <c r="SR904" s="22"/>
      <c r="SS904" s="22"/>
      <c r="ST904" s="22"/>
      <c r="SU904" s="22"/>
      <c r="SV904" s="22"/>
      <c r="SW904" s="22"/>
      <c r="SX904" s="22"/>
      <c r="SY904" s="22"/>
      <c r="SZ904" s="22"/>
      <c r="TA904" s="22"/>
      <c r="TB904" s="22"/>
      <c r="TC904" s="22"/>
      <c r="TD904" s="22"/>
      <c r="TE904" s="22"/>
      <c r="TF904" s="22"/>
      <c r="TG904" s="22"/>
      <c r="TH904" s="22"/>
      <c r="TI904" s="22"/>
      <c r="TJ904" s="22"/>
      <c r="TK904" s="22"/>
      <c r="TL904" s="22"/>
      <c r="TM904" s="22"/>
      <c r="TN904" s="22"/>
      <c r="TO904" s="22"/>
      <c r="TP904" s="22"/>
      <c r="TQ904" s="22"/>
      <c r="TR904" s="22"/>
      <c r="TS904" s="22"/>
      <c r="TT904" s="22"/>
      <c r="TU904" s="22"/>
      <c r="TV904" s="22"/>
      <c r="TW904" s="22"/>
      <c r="TX904" s="22"/>
      <c r="TY904" s="22"/>
      <c r="TZ904" s="22"/>
      <c r="UA904" s="22"/>
      <c r="UB904" s="22"/>
      <c r="UC904" s="22"/>
      <c r="UD904" s="22"/>
      <c r="UE904" s="22"/>
      <c r="UF904" s="22"/>
      <c r="UG904" s="23"/>
    </row>
    <row r="905" spans="1:553" ht="161.25" customHeight="1">
      <c r="A905" s="356"/>
      <c r="B905" s="385"/>
      <c r="C905" s="384" t="s">
        <v>23</v>
      </c>
      <c r="D905" s="376" t="s">
        <v>20</v>
      </c>
      <c r="E905" s="376" t="s">
        <v>542</v>
      </c>
      <c r="F905" s="385">
        <v>1</v>
      </c>
      <c r="G905" s="386" t="s">
        <v>935</v>
      </c>
      <c r="H905" s="387">
        <v>32.4</v>
      </c>
      <c r="I905" s="490">
        <f t="shared" si="136"/>
        <v>32.4</v>
      </c>
      <c r="J905" s="368">
        <v>62000</v>
      </c>
      <c r="K905" s="684"/>
      <c r="L905" s="480">
        <f t="shared" si="135"/>
        <v>2008800</v>
      </c>
      <c r="M905" s="366"/>
      <c r="N905" s="366"/>
      <c r="O905" s="366"/>
      <c r="P905" s="366"/>
      <c r="Q905" s="761" t="s">
        <v>540</v>
      </c>
      <c r="R905" s="1452"/>
      <c r="S905" s="308"/>
      <c r="T905" s="308"/>
      <c r="U905" s="308"/>
      <c r="V905" s="308"/>
      <c r="W905" s="685">
        <f>I905</f>
        <v>32.4</v>
      </c>
      <c r="X905" s="308"/>
      <c r="Y905" s="308"/>
      <c r="Z905" s="604"/>
      <c r="AA905" s="308"/>
      <c r="AB905" s="308"/>
      <c r="AC905" s="373"/>
      <c r="AD905" s="373"/>
      <c r="AE905" s="373"/>
      <c r="AF905" s="373"/>
      <c r="AG905" s="373"/>
      <c r="AH905" s="373"/>
      <c r="AI905" s="373"/>
      <c r="AJ905" s="373"/>
      <c r="AK905" s="389"/>
      <c r="AL905" s="100"/>
      <c r="AM905" s="27"/>
      <c r="AN905" s="27"/>
      <c r="AO905" s="27"/>
      <c r="AP905" s="27"/>
      <c r="AQ905" s="27"/>
      <c r="AR905" s="27"/>
      <c r="AS905" s="22"/>
      <c r="AT905" s="22"/>
      <c r="AU905" s="22"/>
      <c r="AV905" s="22"/>
      <c r="AW905" s="22"/>
      <c r="AX905" s="22"/>
      <c r="AY905" s="22"/>
      <c r="AZ905" s="22"/>
      <c r="BA905" s="22"/>
      <c r="BB905" s="22"/>
      <c r="BC905" s="22"/>
      <c r="BD905" s="22"/>
      <c r="BE905" s="22"/>
      <c r="BF905" s="22"/>
      <c r="BG905" s="22"/>
      <c r="BH905" s="22"/>
      <c r="BI905" s="22"/>
      <c r="BJ905" s="22"/>
      <c r="BK905" s="22"/>
      <c r="BL905" s="22"/>
      <c r="BM905" s="22"/>
      <c r="BN905" s="22"/>
      <c r="BO905" s="22"/>
      <c r="BP905" s="22"/>
      <c r="BQ905" s="22"/>
      <c r="BR905" s="22"/>
      <c r="BS905" s="22"/>
      <c r="BT905" s="22"/>
      <c r="BU905" s="22"/>
      <c r="BV905" s="22"/>
      <c r="BW905" s="22"/>
      <c r="BX905" s="22"/>
      <c r="BY905" s="22"/>
      <c r="BZ905" s="22"/>
      <c r="CA905" s="22"/>
      <c r="CB905" s="22"/>
      <c r="CC905" s="22"/>
      <c r="CD905" s="22"/>
      <c r="CE905" s="22"/>
      <c r="CF905" s="22"/>
      <c r="CG905" s="22"/>
      <c r="CH905" s="22"/>
      <c r="CI905" s="22"/>
      <c r="CJ905" s="22"/>
      <c r="CK905" s="22"/>
      <c r="CL905" s="22"/>
      <c r="CM905" s="22"/>
      <c r="CN905" s="22"/>
      <c r="CO905" s="22"/>
      <c r="CP905" s="22"/>
      <c r="CQ905" s="22"/>
      <c r="CR905" s="22"/>
      <c r="CS905" s="22"/>
      <c r="CT905" s="22"/>
      <c r="CU905" s="22"/>
      <c r="CV905" s="22"/>
      <c r="CW905" s="22"/>
      <c r="CX905" s="22"/>
      <c r="CY905" s="22"/>
      <c r="CZ905" s="22"/>
      <c r="DA905" s="22"/>
      <c r="DB905" s="22"/>
      <c r="DC905" s="22"/>
      <c r="DD905" s="22"/>
      <c r="DE905" s="22"/>
      <c r="DF905" s="22"/>
      <c r="DG905" s="22"/>
      <c r="DH905" s="22"/>
      <c r="DI905" s="22"/>
      <c r="DJ905" s="22"/>
      <c r="DK905" s="22"/>
      <c r="DL905" s="22"/>
      <c r="DM905" s="22"/>
      <c r="DN905" s="22"/>
      <c r="DO905" s="22"/>
      <c r="DP905" s="22"/>
      <c r="DQ905" s="22"/>
      <c r="DR905" s="22"/>
      <c r="DS905" s="22"/>
      <c r="DT905" s="22"/>
      <c r="DU905" s="22"/>
      <c r="DV905" s="22"/>
      <c r="DW905" s="22"/>
      <c r="DX905" s="22"/>
      <c r="DY905" s="22"/>
      <c r="DZ905" s="22"/>
      <c r="EA905" s="22"/>
      <c r="EB905" s="22"/>
      <c r="EC905" s="22"/>
      <c r="ED905" s="22"/>
      <c r="EE905" s="22"/>
      <c r="EF905" s="22"/>
      <c r="EG905" s="22"/>
      <c r="EH905" s="22"/>
      <c r="EI905" s="22"/>
      <c r="EJ905" s="22"/>
      <c r="EK905" s="22"/>
      <c r="EL905" s="22"/>
      <c r="EM905" s="22"/>
      <c r="EN905" s="22"/>
      <c r="EO905" s="22"/>
      <c r="EP905" s="22"/>
      <c r="EQ905" s="22"/>
      <c r="ER905" s="22"/>
      <c r="ES905" s="22"/>
      <c r="ET905" s="22"/>
      <c r="EU905" s="22"/>
      <c r="EV905" s="22"/>
      <c r="EW905" s="22"/>
      <c r="EX905" s="22"/>
      <c r="EY905" s="22"/>
      <c r="EZ905" s="22"/>
      <c r="FA905" s="22"/>
      <c r="FB905" s="22"/>
      <c r="FC905" s="22"/>
      <c r="FD905" s="22"/>
      <c r="FE905" s="22"/>
      <c r="FF905" s="22"/>
      <c r="FG905" s="22"/>
      <c r="FH905" s="22"/>
      <c r="FI905" s="22"/>
      <c r="FJ905" s="22"/>
      <c r="FK905" s="22"/>
      <c r="FL905" s="22"/>
      <c r="FM905" s="22"/>
      <c r="FN905" s="22"/>
      <c r="FO905" s="22"/>
      <c r="FP905" s="22"/>
      <c r="FQ905" s="22"/>
      <c r="FR905" s="22"/>
      <c r="FS905" s="22"/>
      <c r="FT905" s="22"/>
      <c r="FU905" s="22"/>
      <c r="FV905" s="22"/>
      <c r="FW905" s="22"/>
      <c r="FX905" s="22"/>
      <c r="FY905" s="22"/>
      <c r="FZ905" s="22"/>
      <c r="GA905" s="22"/>
      <c r="GB905" s="22"/>
      <c r="GC905" s="22"/>
      <c r="GD905" s="22"/>
      <c r="GE905" s="22"/>
      <c r="GF905" s="22"/>
      <c r="GG905" s="22"/>
      <c r="GH905" s="22"/>
      <c r="GI905" s="22"/>
      <c r="GJ905" s="22"/>
      <c r="GK905" s="22"/>
      <c r="GL905" s="22"/>
      <c r="GM905" s="22"/>
      <c r="GN905" s="22"/>
      <c r="GO905" s="22"/>
      <c r="GP905" s="22"/>
      <c r="GQ905" s="22"/>
      <c r="GR905" s="22"/>
      <c r="GS905" s="22"/>
      <c r="GT905" s="22"/>
      <c r="GU905" s="22"/>
      <c r="GV905" s="22"/>
      <c r="GW905" s="22"/>
      <c r="GX905" s="22"/>
      <c r="GY905" s="22"/>
      <c r="GZ905" s="22"/>
      <c r="HA905" s="22"/>
      <c r="HB905" s="22"/>
      <c r="HC905" s="22"/>
      <c r="HD905" s="22"/>
      <c r="HE905" s="22"/>
      <c r="HF905" s="22"/>
      <c r="HG905" s="22"/>
      <c r="HH905" s="22"/>
      <c r="HI905" s="22"/>
      <c r="HJ905" s="22"/>
      <c r="HK905" s="22"/>
      <c r="HL905" s="22"/>
      <c r="HM905" s="22"/>
      <c r="HN905" s="22"/>
      <c r="HO905" s="22"/>
      <c r="HP905" s="22"/>
      <c r="HQ905" s="22"/>
      <c r="HR905" s="22"/>
      <c r="HS905" s="22"/>
      <c r="HT905" s="22"/>
      <c r="HU905" s="22"/>
      <c r="HV905" s="22"/>
      <c r="HW905" s="22"/>
      <c r="HX905" s="22"/>
      <c r="HY905" s="22"/>
      <c r="HZ905" s="22"/>
      <c r="IA905" s="22"/>
      <c r="IB905" s="22"/>
      <c r="IC905" s="22"/>
      <c r="ID905" s="22"/>
      <c r="IE905" s="22"/>
      <c r="IF905" s="22"/>
      <c r="IG905" s="22"/>
      <c r="IH905" s="22"/>
      <c r="II905" s="22"/>
      <c r="IJ905" s="22"/>
      <c r="IK905" s="22"/>
      <c r="IL905" s="22"/>
      <c r="IM905" s="22"/>
      <c r="IN905" s="22"/>
      <c r="IO905" s="22"/>
      <c r="IP905" s="22"/>
      <c r="IQ905" s="22"/>
      <c r="IR905" s="22"/>
      <c r="IS905" s="22"/>
      <c r="IT905" s="22"/>
      <c r="IU905" s="22"/>
      <c r="IV905" s="22"/>
      <c r="IW905" s="22"/>
      <c r="IX905" s="22"/>
      <c r="IY905" s="22"/>
      <c r="IZ905" s="22"/>
      <c r="JA905" s="22"/>
      <c r="JB905" s="22"/>
      <c r="JC905" s="22"/>
      <c r="JD905" s="22"/>
      <c r="JE905" s="22"/>
      <c r="JF905" s="22"/>
      <c r="JG905" s="22"/>
      <c r="JH905" s="22"/>
      <c r="JI905" s="22"/>
      <c r="JJ905" s="22"/>
      <c r="JK905" s="22"/>
      <c r="JL905" s="22"/>
      <c r="JM905" s="22"/>
      <c r="JN905" s="22"/>
      <c r="JO905" s="22"/>
      <c r="JP905" s="22"/>
      <c r="JQ905" s="22"/>
      <c r="JR905" s="22"/>
      <c r="JS905" s="22"/>
      <c r="JT905" s="22"/>
      <c r="JU905" s="22"/>
      <c r="JV905" s="22"/>
      <c r="JW905" s="22"/>
      <c r="JX905" s="22"/>
      <c r="JY905" s="22"/>
      <c r="JZ905" s="22"/>
      <c r="KA905" s="22"/>
      <c r="KB905" s="22"/>
      <c r="KC905" s="22"/>
      <c r="KD905" s="22"/>
      <c r="KE905" s="22"/>
      <c r="KF905" s="22"/>
      <c r="KG905" s="22"/>
      <c r="KH905" s="22"/>
      <c r="KI905" s="22"/>
      <c r="KJ905" s="22"/>
      <c r="KK905" s="22"/>
      <c r="KL905" s="22"/>
      <c r="KM905" s="22"/>
      <c r="KN905" s="22"/>
      <c r="KO905" s="22"/>
      <c r="KP905" s="22"/>
      <c r="KQ905" s="22"/>
      <c r="KR905" s="22"/>
      <c r="KS905" s="22"/>
      <c r="KT905" s="22"/>
      <c r="KU905" s="22"/>
      <c r="KV905" s="22"/>
      <c r="KW905" s="22"/>
      <c r="KX905" s="22"/>
      <c r="KY905" s="22"/>
      <c r="KZ905" s="22"/>
      <c r="LA905" s="22"/>
      <c r="LB905" s="22"/>
      <c r="LC905" s="22"/>
      <c r="LD905" s="22"/>
      <c r="LE905" s="22"/>
      <c r="LF905" s="22"/>
      <c r="LG905" s="22"/>
      <c r="LH905" s="22"/>
      <c r="LI905" s="22"/>
      <c r="LJ905" s="22"/>
      <c r="LK905" s="22"/>
      <c r="LL905" s="22"/>
      <c r="LM905" s="22"/>
      <c r="LN905" s="22"/>
      <c r="LO905" s="22"/>
      <c r="LP905" s="22"/>
      <c r="LQ905" s="22"/>
      <c r="LR905" s="22"/>
      <c r="LS905" s="22"/>
      <c r="LT905" s="22"/>
      <c r="LU905" s="22"/>
      <c r="LV905" s="22"/>
      <c r="LW905" s="22"/>
      <c r="LX905" s="22"/>
      <c r="LY905" s="22"/>
      <c r="LZ905" s="22"/>
      <c r="MA905" s="22"/>
      <c r="MB905" s="22"/>
      <c r="MC905" s="22"/>
      <c r="MD905" s="22"/>
      <c r="ME905" s="22"/>
      <c r="MF905" s="22"/>
      <c r="MG905" s="22"/>
      <c r="MH905" s="22"/>
      <c r="MI905" s="22"/>
      <c r="MJ905" s="22"/>
      <c r="MK905" s="22"/>
      <c r="ML905" s="22"/>
      <c r="MM905" s="22"/>
      <c r="MN905" s="22"/>
      <c r="MO905" s="22"/>
      <c r="MP905" s="22"/>
      <c r="MQ905" s="22"/>
      <c r="MR905" s="22"/>
      <c r="MS905" s="22"/>
      <c r="MT905" s="22"/>
      <c r="MU905" s="22"/>
      <c r="MV905" s="22"/>
      <c r="MW905" s="22"/>
      <c r="MX905" s="22"/>
      <c r="MY905" s="22"/>
      <c r="MZ905" s="22"/>
      <c r="NA905" s="22"/>
      <c r="NB905" s="22"/>
      <c r="NC905" s="22"/>
      <c r="ND905" s="22"/>
      <c r="NE905" s="22"/>
      <c r="NF905" s="22"/>
      <c r="NG905" s="22"/>
      <c r="NH905" s="22"/>
      <c r="NI905" s="22"/>
      <c r="NJ905" s="22"/>
      <c r="NK905" s="22"/>
      <c r="NL905" s="22"/>
      <c r="NM905" s="22"/>
      <c r="NN905" s="22"/>
      <c r="NO905" s="22"/>
      <c r="NP905" s="22"/>
      <c r="NQ905" s="22"/>
      <c r="NR905" s="22"/>
      <c r="NS905" s="22"/>
      <c r="NT905" s="22"/>
      <c r="NU905" s="22"/>
      <c r="NV905" s="22"/>
      <c r="NW905" s="22"/>
      <c r="NX905" s="22"/>
      <c r="NY905" s="22"/>
      <c r="NZ905" s="22"/>
      <c r="OA905" s="22"/>
      <c r="OB905" s="22"/>
      <c r="OC905" s="22"/>
      <c r="OD905" s="22"/>
      <c r="OE905" s="22"/>
      <c r="OF905" s="22"/>
      <c r="OG905" s="22"/>
      <c r="OH905" s="22"/>
      <c r="OI905" s="22"/>
      <c r="OJ905" s="22"/>
      <c r="OK905" s="22"/>
      <c r="OL905" s="22"/>
      <c r="OM905" s="22"/>
      <c r="ON905" s="22"/>
      <c r="OO905" s="22"/>
      <c r="OP905" s="22"/>
      <c r="OQ905" s="22"/>
      <c r="OR905" s="22"/>
      <c r="OS905" s="22"/>
      <c r="OT905" s="22"/>
      <c r="OU905" s="22"/>
      <c r="OV905" s="22"/>
      <c r="OW905" s="22"/>
      <c r="OX905" s="22"/>
      <c r="OY905" s="22"/>
      <c r="OZ905" s="22"/>
      <c r="PA905" s="22"/>
      <c r="PB905" s="22"/>
      <c r="PC905" s="22"/>
      <c r="PD905" s="22"/>
      <c r="PE905" s="22"/>
      <c r="PF905" s="22"/>
      <c r="PG905" s="22"/>
      <c r="PH905" s="22"/>
      <c r="PI905" s="22"/>
      <c r="PJ905" s="22"/>
      <c r="PK905" s="22"/>
      <c r="PL905" s="22"/>
      <c r="PM905" s="22"/>
      <c r="PN905" s="22"/>
      <c r="PO905" s="22"/>
      <c r="PP905" s="22"/>
      <c r="PQ905" s="22"/>
      <c r="PR905" s="22"/>
      <c r="PS905" s="22"/>
      <c r="PT905" s="22"/>
      <c r="PU905" s="22"/>
      <c r="PV905" s="22"/>
      <c r="PW905" s="22"/>
      <c r="PX905" s="22"/>
      <c r="PY905" s="22"/>
      <c r="PZ905" s="22"/>
      <c r="QA905" s="22"/>
      <c r="QB905" s="22"/>
      <c r="QC905" s="22"/>
      <c r="QD905" s="22"/>
      <c r="QE905" s="22"/>
      <c r="QF905" s="22"/>
      <c r="QG905" s="22"/>
      <c r="QH905" s="22"/>
      <c r="QI905" s="22"/>
      <c r="QJ905" s="22"/>
      <c r="QK905" s="22"/>
      <c r="QL905" s="22"/>
      <c r="QM905" s="22"/>
      <c r="QN905" s="22"/>
      <c r="QO905" s="22"/>
      <c r="QP905" s="22"/>
      <c r="QQ905" s="22"/>
      <c r="QR905" s="22"/>
      <c r="QS905" s="22"/>
      <c r="QT905" s="22"/>
      <c r="QU905" s="22"/>
      <c r="QV905" s="22"/>
      <c r="QW905" s="22"/>
      <c r="QX905" s="22"/>
      <c r="QY905" s="22"/>
      <c r="QZ905" s="22"/>
      <c r="RA905" s="22"/>
      <c r="RB905" s="22"/>
      <c r="RC905" s="22"/>
      <c r="RD905" s="22"/>
      <c r="RE905" s="22"/>
      <c r="RF905" s="22"/>
      <c r="RG905" s="22"/>
      <c r="RH905" s="22"/>
      <c r="RI905" s="22"/>
      <c r="RJ905" s="22"/>
      <c r="RK905" s="22"/>
      <c r="RL905" s="22"/>
      <c r="RM905" s="22"/>
      <c r="RN905" s="22"/>
      <c r="RO905" s="22"/>
      <c r="RP905" s="22"/>
      <c r="RQ905" s="22"/>
      <c r="RR905" s="22"/>
      <c r="RS905" s="22"/>
      <c r="RT905" s="22"/>
      <c r="RU905" s="22"/>
      <c r="RV905" s="22"/>
      <c r="RW905" s="22"/>
      <c r="RX905" s="22"/>
      <c r="RY905" s="22"/>
      <c r="RZ905" s="22"/>
      <c r="SA905" s="22"/>
      <c r="SB905" s="22"/>
      <c r="SC905" s="22"/>
      <c r="SD905" s="22"/>
      <c r="SE905" s="22"/>
      <c r="SF905" s="22"/>
      <c r="SG905" s="22"/>
      <c r="SH905" s="22"/>
      <c r="SI905" s="22"/>
      <c r="SJ905" s="22"/>
      <c r="SK905" s="22"/>
      <c r="SL905" s="22"/>
      <c r="SM905" s="22"/>
      <c r="SN905" s="22"/>
      <c r="SO905" s="22"/>
      <c r="SP905" s="22"/>
      <c r="SQ905" s="22"/>
      <c r="SR905" s="22"/>
      <c r="SS905" s="22"/>
      <c r="ST905" s="22"/>
      <c r="SU905" s="22"/>
      <c r="SV905" s="22"/>
      <c r="SW905" s="22"/>
      <c r="SX905" s="22"/>
      <c r="SY905" s="22"/>
      <c r="SZ905" s="22"/>
      <c r="TA905" s="22"/>
      <c r="TB905" s="22"/>
      <c r="TC905" s="22"/>
      <c r="TD905" s="22"/>
      <c r="TE905" s="22"/>
      <c r="TF905" s="22"/>
      <c r="TG905" s="22"/>
      <c r="TH905" s="22"/>
      <c r="TI905" s="22"/>
      <c r="TJ905" s="22"/>
      <c r="TK905" s="22"/>
      <c r="TL905" s="22"/>
      <c r="TM905" s="22"/>
      <c r="TN905" s="22"/>
      <c r="TO905" s="22"/>
      <c r="TP905" s="22"/>
      <c r="TQ905" s="22"/>
      <c r="TR905" s="22"/>
      <c r="TS905" s="22"/>
      <c r="TT905" s="22"/>
      <c r="TU905" s="22"/>
      <c r="TV905" s="22"/>
      <c r="TW905" s="22"/>
      <c r="TX905" s="22"/>
      <c r="TY905" s="22"/>
      <c r="TZ905" s="22"/>
      <c r="UA905" s="22"/>
      <c r="UB905" s="22"/>
      <c r="UC905" s="22"/>
      <c r="UD905" s="22"/>
      <c r="UE905" s="22"/>
      <c r="UF905" s="22"/>
      <c r="UG905" s="23"/>
    </row>
    <row r="906" spans="1:553" ht="84" customHeight="1">
      <c r="A906" s="356" t="s">
        <v>27</v>
      </c>
      <c r="B906" s="356"/>
      <c r="C906" s="1431" t="s">
        <v>28</v>
      </c>
      <c r="D906" s="1389"/>
      <c r="E906" s="1389"/>
      <c r="F906" s="1390"/>
      <c r="G906" s="356"/>
      <c r="H906" s="359"/>
      <c r="I906" s="359"/>
      <c r="J906" s="357"/>
      <c r="K906" s="364"/>
      <c r="L906" s="645">
        <f>SUM(L908:L939)</f>
        <v>370347795.22400004</v>
      </c>
      <c r="M906" s="356"/>
      <c r="N906" s="356"/>
      <c r="O906" s="356"/>
      <c r="P906" s="356">
        <f>L906</f>
        <v>370347795.22400004</v>
      </c>
      <c r="Q906" s="610"/>
      <c r="R906" s="1226" t="s">
        <v>1401</v>
      </c>
      <c r="S906" s="308"/>
      <c r="T906" s="308"/>
      <c r="U906" s="308"/>
      <c r="V906" s="308"/>
      <c r="W906" s="308"/>
      <c r="X906" s="308"/>
      <c r="Y906" s="308"/>
      <c r="Z906" s="604"/>
      <c r="AA906" s="308"/>
      <c r="AB906" s="308"/>
      <c r="AC906" s="365"/>
      <c r="AD906" s="365"/>
      <c r="AE906" s="365"/>
      <c r="AF906" s="365"/>
      <c r="AG906" s="365"/>
      <c r="AH906" s="365"/>
      <c r="AI906" s="365"/>
      <c r="AJ906" s="365"/>
      <c r="AK906" s="377"/>
      <c r="AL906" s="343"/>
      <c r="AM906" s="24"/>
      <c r="AN906" s="24"/>
      <c r="AO906" s="24"/>
      <c r="AP906" s="24"/>
      <c r="AQ906" s="24"/>
      <c r="AR906" s="24"/>
      <c r="AS906" s="18"/>
      <c r="AT906" s="18"/>
      <c r="AU906" s="18"/>
      <c r="AV906" s="18"/>
      <c r="AW906" s="18"/>
      <c r="AX906" s="18"/>
      <c r="AY906" s="18"/>
      <c r="AZ906" s="18"/>
      <c r="BA906" s="18"/>
      <c r="BB906" s="18"/>
      <c r="BC906" s="18"/>
      <c r="BD906" s="18"/>
      <c r="BE906" s="18"/>
      <c r="BF906" s="18"/>
      <c r="BG906" s="18"/>
      <c r="BH906" s="18"/>
      <c r="BI906" s="18"/>
      <c r="BJ906" s="18"/>
      <c r="BK906" s="18"/>
      <c r="BL906" s="18"/>
      <c r="BM906" s="18"/>
      <c r="BN906" s="18"/>
      <c r="BO906" s="18"/>
      <c r="BP906" s="18"/>
      <c r="BQ906" s="18"/>
      <c r="BR906" s="18"/>
      <c r="BS906" s="18"/>
      <c r="BT906" s="18"/>
      <c r="BU906" s="18"/>
      <c r="BV906" s="18"/>
      <c r="BW906" s="18"/>
      <c r="BX906" s="18"/>
      <c r="BY906" s="18"/>
      <c r="BZ906" s="18"/>
      <c r="CA906" s="18"/>
      <c r="CB906" s="18"/>
      <c r="CC906" s="18"/>
      <c r="CD906" s="18"/>
      <c r="CE906" s="18"/>
      <c r="CF906" s="18"/>
      <c r="CG906" s="18"/>
      <c r="CH906" s="18"/>
      <c r="CI906" s="18"/>
      <c r="CJ906" s="18"/>
      <c r="CK906" s="18"/>
      <c r="CL906" s="18"/>
      <c r="CM906" s="18"/>
      <c r="CN906" s="18"/>
      <c r="CO906" s="18"/>
      <c r="CP906" s="18"/>
      <c r="CQ906" s="18"/>
      <c r="CR906" s="18"/>
      <c r="CS906" s="18"/>
      <c r="CT906" s="18"/>
      <c r="CU906" s="18"/>
      <c r="CV906" s="18"/>
      <c r="CW906" s="18"/>
      <c r="CX906" s="18"/>
      <c r="CY906" s="18"/>
      <c r="CZ906" s="18"/>
      <c r="DA906" s="18"/>
      <c r="DB906" s="18"/>
      <c r="DC906" s="18"/>
      <c r="DD906" s="18"/>
      <c r="DE906" s="18"/>
      <c r="DF906" s="18"/>
      <c r="DG906" s="18"/>
      <c r="DH906" s="18"/>
      <c r="DI906" s="18"/>
      <c r="DJ906" s="18"/>
      <c r="DK906" s="18"/>
      <c r="DL906" s="18"/>
      <c r="DM906" s="18"/>
      <c r="DN906" s="18"/>
      <c r="DO906" s="18"/>
      <c r="DP906" s="18"/>
      <c r="DQ906" s="18"/>
      <c r="DR906" s="18"/>
      <c r="DS906" s="18"/>
      <c r="DT906" s="18"/>
      <c r="DU906" s="18"/>
      <c r="DV906" s="18"/>
      <c r="DW906" s="18"/>
      <c r="DX906" s="18"/>
      <c r="DY906" s="18"/>
      <c r="DZ906" s="18"/>
      <c r="EA906" s="18"/>
      <c r="EB906" s="18"/>
      <c r="EC906" s="18"/>
      <c r="ED906" s="18"/>
      <c r="EE906" s="18"/>
      <c r="EF906" s="18"/>
      <c r="EG906" s="18"/>
      <c r="EH906" s="18"/>
      <c r="EI906" s="18"/>
      <c r="EJ906" s="18"/>
      <c r="EK906" s="18"/>
      <c r="EL906" s="18"/>
      <c r="EM906" s="18"/>
      <c r="EN906" s="18"/>
      <c r="EO906" s="18"/>
      <c r="EP906" s="18"/>
      <c r="EQ906" s="18"/>
      <c r="ER906" s="18"/>
      <c r="ES906" s="18"/>
      <c r="ET906" s="18"/>
      <c r="EU906" s="18"/>
      <c r="EV906" s="18"/>
      <c r="EW906" s="18"/>
      <c r="EX906" s="18"/>
      <c r="EY906" s="18"/>
      <c r="EZ906" s="18"/>
      <c r="FA906" s="18"/>
      <c r="FB906" s="18"/>
      <c r="FC906" s="18"/>
      <c r="FD906" s="18"/>
      <c r="FE906" s="18"/>
      <c r="FF906" s="18"/>
      <c r="FG906" s="18"/>
      <c r="FH906" s="18"/>
      <c r="FI906" s="18"/>
      <c r="FJ906" s="18"/>
      <c r="FK906" s="18"/>
      <c r="FL906" s="18"/>
      <c r="FM906" s="18"/>
      <c r="FN906" s="18"/>
      <c r="FO906" s="18"/>
      <c r="FP906" s="18"/>
      <c r="FQ906" s="18"/>
      <c r="FR906" s="18"/>
      <c r="FS906" s="18"/>
      <c r="FT906" s="18"/>
      <c r="FU906" s="18"/>
      <c r="FV906" s="18"/>
      <c r="FW906" s="18"/>
      <c r="FX906" s="18"/>
      <c r="FY906" s="18"/>
      <c r="FZ906" s="18"/>
      <c r="GA906" s="18"/>
      <c r="GB906" s="18"/>
      <c r="GC906" s="18"/>
      <c r="GD906" s="18"/>
      <c r="GE906" s="18"/>
      <c r="GF906" s="18"/>
      <c r="GG906" s="18"/>
      <c r="GH906" s="18"/>
      <c r="GI906" s="18"/>
      <c r="GJ906" s="18"/>
      <c r="GK906" s="18"/>
      <c r="GL906" s="18"/>
      <c r="GM906" s="18"/>
      <c r="GN906" s="18"/>
      <c r="GO906" s="18"/>
      <c r="GP906" s="18"/>
      <c r="GQ906" s="18"/>
      <c r="GR906" s="18"/>
      <c r="GS906" s="18"/>
      <c r="GT906" s="18"/>
      <c r="GU906" s="18"/>
      <c r="GV906" s="18"/>
      <c r="GW906" s="18"/>
      <c r="GX906" s="18"/>
      <c r="GY906" s="18"/>
      <c r="GZ906" s="18"/>
      <c r="HA906" s="18"/>
      <c r="HB906" s="18"/>
      <c r="HC906" s="18"/>
      <c r="HD906" s="18"/>
      <c r="HE906" s="18"/>
      <c r="HF906" s="18"/>
      <c r="HG906" s="18"/>
      <c r="HH906" s="18"/>
      <c r="HI906" s="18"/>
      <c r="HJ906" s="18"/>
      <c r="HK906" s="18"/>
      <c r="HL906" s="18"/>
      <c r="HM906" s="18"/>
      <c r="HN906" s="18"/>
      <c r="HO906" s="18"/>
      <c r="HP906" s="18"/>
      <c r="HQ906" s="18"/>
      <c r="HR906" s="18"/>
      <c r="HS906" s="18"/>
      <c r="HT906" s="18"/>
      <c r="HU906" s="18"/>
      <c r="HV906" s="18"/>
      <c r="HW906" s="18"/>
      <c r="HX906" s="18"/>
      <c r="HY906" s="18"/>
      <c r="HZ906" s="18"/>
      <c r="IA906" s="18"/>
      <c r="IB906" s="18"/>
      <c r="IC906" s="18"/>
      <c r="ID906" s="18"/>
      <c r="IE906" s="18"/>
      <c r="IF906" s="18"/>
      <c r="IG906" s="18"/>
      <c r="IH906" s="18"/>
      <c r="II906" s="18"/>
      <c r="IJ906" s="18"/>
      <c r="IK906" s="18"/>
      <c r="IL906" s="18"/>
      <c r="IM906" s="18"/>
      <c r="IN906" s="18"/>
      <c r="IO906" s="18"/>
      <c r="IP906" s="18"/>
      <c r="IQ906" s="18"/>
      <c r="IR906" s="18"/>
      <c r="IS906" s="18"/>
      <c r="IT906" s="18"/>
      <c r="IU906" s="18"/>
      <c r="IV906" s="18"/>
      <c r="IW906" s="18"/>
      <c r="IX906" s="18"/>
      <c r="IY906" s="18"/>
      <c r="IZ906" s="18"/>
      <c r="JA906" s="18"/>
      <c r="JB906" s="18"/>
      <c r="JC906" s="18"/>
      <c r="JD906" s="18"/>
      <c r="JE906" s="18"/>
      <c r="JF906" s="18"/>
      <c r="JG906" s="18"/>
      <c r="JH906" s="18"/>
      <c r="JI906" s="18"/>
      <c r="JJ906" s="18"/>
      <c r="JK906" s="18"/>
      <c r="JL906" s="18"/>
      <c r="JM906" s="18"/>
      <c r="JN906" s="18"/>
      <c r="JO906" s="18"/>
      <c r="JP906" s="18"/>
      <c r="JQ906" s="18"/>
      <c r="JR906" s="18"/>
      <c r="JS906" s="18"/>
      <c r="JT906" s="18"/>
      <c r="JU906" s="18"/>
      <c r="JV906" s="18"/>
      <c r="JW906" s="18"/>
      <c r="JX906" s="18"/>
      <c r="JY906" s="18"/>
      <c r="JZ906" s="18"/>
      <c r="KA906" s="18"/>
      <c r="KB906" s="18"/>
      <c r="KC906" s="18"/>
      <c r="KD906" s="18"/>
      <c r="KE906" s="18"/>
      <c r="KF906" s="18"/>
      <c r="KG906" s="18"/>
      <c r="KH906" s="18"/>
      <c r="KI906" s="18"/>
      <c r="KJ906" s="18"/>
      <c r="KK906" s="18"/>
      <c r="KL906" s="18"/>
      <c r="KM906" s="18"/>
      <c r="KN906" s="18"/>
      <c r="KO906" s="18"/>
      <c r="KP906" s="18"/>
      <c r="KQ906" s="18"/>
      <c r="KR906" s="18"/>
      <c r="KS906" s="18"/>
      <c r="KT906" s="18"/>
      <c r="KU906" s="18"/>
      <c r="KV906" s="18"/>
      <c r="KW906" s="18"/>
      <c r="KX906" s="18"/>
      <c r="KY906" s="18"/>
      <c r="KZ906" s="18"/>
      <c r="LA906" s="18"/>
      <c r="LB906" s="18"/>
      <c r="LC906" s="18"/>
      <c r="LD906" s="18"/>
      <c r="LE906" s="18"/>
      <c r="LF906" s="18"/>
      <c r="LG906" s="18"/>
      <c r="LH906" s="18"/>
      <c r="LI906" s="18"/>
      <c r="LJ906" s="18"/>
      <c r="LK906" s="18"/>
      <c r="LL906" s="18"/>
      <c r="LM906" s="18"/>
      <c r="LN906" s="18"/>
      <c r="LO906" s="18"/>
      <c r="LP906" s="18"/>
      <c r="LQ906" s="18"/>
      <c r="LR906" s="18"/>
      <c r="LS906" s="18"/>
      <c r="LT906" s="18"/>
      <c r="LU906" s="18"/>
      <c r="LV906" s="18"/>
      <c r="LW906" s="18"/>
      <c r="LX906" s="18"/>
      <c r="LY906" s="18"/>
      <c r="LZ906" s="18"/>
      <c r="MA906" s="18"/>
      <c r="MB906" s="18"/>
      <c r="MC906" s="18"/>
      <c r="MD906" s="18"/>
      <c r="ME906" s="18"/>
      <c r="MF906" s="18"/>
      <c r="MG906" s="18"/>
      <c r="MH906" s="18"/>
      <c r="MI906" s="18"/>
      <c r="MJ906" s="18"/>
      <c r="MK906" s="18"/>
      <c r="ML906" s="18"/>
      <c r="MM906" s="18"/>
      <c r="MN906" s="18"/>
      <c r="MO906" s="18"/>
      <c r="MP906" s="18"/>
      <c r="MQ906" s="18"/>
      <c r="MR906" s="18"/>
      <c r="MS906" s="18"/>
      <c r="MT906" s="18"/>
      <c r="MU906" s="18"/>
      <c r="MV906" s="18"/>
      <c r="MW906" s="18"/>
      <c r="MX906" s="18"/>
      <c r="MY906" s="18"/>
      <c r="MZ906" s="18"/>
      <c r="NA906" s="18"/>
      <c r="NB906" s="18"/>
      <c r="NC906" s="18"/>
      <c r="ND906" s="18"/>
      <c r="NE906" s="18"/>
      <c r="NF906" s="18"/>
      <c r="NG906" s="18"/>
      <c r="NH906" s="18"/>
      <c r="NI906" s="18"/>
      <c r="NJ906" s="18"/>
      <c r="NK906" s="18"/>
      <c r="NL906" s="18"/>
      <c r="NM906" s="18"/>
      <c r="NN906" s="18"/>
      <c r="NO906" s="18"/>
      <c r="NP906" s="18"/>
      <c r="NQ906" s="18"/>
      <c r="NR906" s="18"/>
      <c r="NS906" s="18"/>
      <c r="NT906" s="18"/>
      <c r="NU906" s="18"/>
      <c r="NV906" s="18"/>
      <c r="NW906" s="18"/>
      <c r="NX906" s="18"/>
      <c r="NY906" s="18"/>
      <c r="NZ906" s="18"/>
      <c r="OA906" s="18"/>
      <c r="OB906" s="18"/>
      <c r="OC906" s="18"/>
      <c r="OD906" s="18"/>
      <c r="OE906" s="18"/>
      <c r="OF906" s="18"/>
      <c r="OG906" s="18"/>
      <c r="OH906" s="18"/>
      <c r="OI906" s="18"/>
      <c r="OJ906" s="18"/>
      <c r="OK906" s="18"/>
      <c r="OL906" s="18"/>
      <c r="OM906" s="18"/>
      <c r="ON906" s="18"/>
      <c r="OO906" s="18"/>
      <c r="OP906" s="18"/>
      <c r="OQ906" s="18"/>
      <c r="OR906" s="18"/>
      <c r="OS906" s="18"/>
      <c r="OT906" s="18"/>
      <c r="OU906" s="18"/>
      <c r="OV906" s="18"/>
      <c r="OW906" s="18"/>
      <c r="OX906" s="18"/>
      <c r="OY906" s="18"/>
      <c r="OZ906" s="18"/>
      <c r="PA906" s="18"/>
      <c r="PB906" s="18"/>
      <c r="PC906" s="18"/>
      <c r="PD906" s="18"/>
      <c r="PE906" s="18"/>
      <c r="PF906" s="18"/>
      <c r="PG906" s="18"/>
      <c r="PH906" s="18"/>
      <c r="PI906" s="18"/>
      <c r="PJ906" s="18"/>
      <c r="PK906" s="18"/>
      <c r="PL906" s="18"/>
      <c r="PM906" s="18"/>
      <c r="PN906" s="18"/>
      <c r="PO906" s="18"/>
      <c r="PP906" s="18"/>
      <c r="PQ906" s="18"/>
      <c r="PR906" s="18"/>
      <c r="PS906" s="18"/>
      <c r="PT906" s="18"/>
      <c r="PU906" s="18"/>
      <c r="PV906" s="18"/>
      <c r="PW906" s="18"/>
      <c r="PX906" s="18"/>
      <c r="PY906" s="18"/>
      <c r="PZ906" s="18"/>
      <c r="QA906" s="18"/>
      <c r="QB906" s="18"/>
      <c r="QC906" s="18"/>
      <c r="QD906" s="18"/>
      <c r="QE906" s="18"/>
      <c r="QF906" s="18"/>
      <c r="QG906" s="18"/>
      <c r="QH906" s="18"/>
      <c r="QI906" s="18"/>
      <c r="QJ906" s="18"/>
      <c r="QK906" s="18"/>
      <c r="QL906" s="18"/>
      <c r="QM906" s="18"/>
      <c r="QN906" s="18"/>
      <c r="QO906" s="18"/>
      <c r="QP906" s="18"/>
      <c r="QQ906" s="18"/>
      <c r="QR906" s="18"/>
      <c r="QS906" s="18"/>
      <c r="QT906" s="18"/>
      <c r="QU906" s="18"/>
      <c r="QV906" s="18"/>
      <c r="QW906" s="18"/>
      <c r="QX906" s="18"/>
      <c r="QY906" s="18"/>
      <c r="QZ906" s="18"/>
      <c r="RA906" s="18"/>
      <c r="RB906" s="18"/>
      <c r="RC906" s="18"/>
      <c r="RD906" s="18"/>
      <c r="RE906" s="18"/>
      <c r="RF906" s="18"/>
      <c r="RG906" s="18"/>
      <c r="RH906" s="18"/>
      <c r="RI906" s="18"/>
      <c r="RJ906" s="18"/>
      <c r="RK906" s="18"/>
      <c r="RL906" s="18"/>
      <c r="RM906" s="18"/>
      <c r="RN906" s="18"/>
      <c r="RO906" s="18"/>
      <c r="RP906" s="18"/>
      <c r="RQ906" s="18"/>
      <c r="RR906" s="18"/>
      <c r="RS906" s="18"/>
      <c r="RT906" s="18"/>
      <c r="RU906" s="18"/>
      <c r="RV906" s="18"/>
      <c r="RW906" s="18"/>
      <c r="RX906" s="18"/>
      <c r="RY906" s="18"/>
      <c r="RZ906" s="18"/>
      <c r="SA906" s="18"/>
      <c r="SB906" s="18"/>
      <c r="SC906" s="18"/>
      <c r="SD906" s="18"/>
      <c r="SE906" s="18"/>
      <c r="SF906" s="18"/>
      <c r="SG906" s="18"/>
      <c r="SH906" s="18"/>
      <c r="SI906" s="18"/>
      <c r="SJ906" s="18"/>
      <c r="SK906" s="18"/>
      <c r="SL906" s="18"/>
      <c r="SM906" s="18"/>
      <c r="SN906" s="18"/>
      <c r="SO906" s="18"/>
      <c r="SP906" s="18"/>
      <c r="SQ906" s="18"/>
      <c r="SR906" s="18"/>
      <c r="SS906" s="18"/>
      <c r="ST906" s="18"/>
      <c r="SU906" s="18"/>
      <c r="SV906" s="18"/>
      <c r="SW906" s="18"/>
      <c r="SX906" s="18"/>
      <c r="SY906" s="18"/>
      <c r="SZ906" s="18"/>
      <c r="TA906" s="18"/>
      <c r="TB906" s="18"/>
      <c r="TC906" s="18"/>
      <c r="TD906" s="18"/>
      <c r="TE906" s="18"/>
      <c r="TF906" s="18"/>
      <c r="TG906" s="18"/>
      <c r="TH906" s="18"/>
      <c r="TI906" s="18"/>
      <c r="TJ906" s="18"/>
      <c r="TK906" s="18"/>
      <c r="TL906" s="18"/>
      <c r="TM906" s="18"/>
      <c r="TN906" s="18"/>
      <c r="TO906" s="18"/>
      <c r="TP906" s="18"/>
      <c r="TQ906" s="18"/>
      <c r="TR906" s="18"/>
      <c r="TS906" s="18"/>
      <c r="TT906" s="18"/>
      <c r="TU906" s="18"/>
      <c r="TV906" s="18"/>
      <c r="TW906" s="18"/>
      <c r="TX906" s="18"/>
      <c r="TY906" s="18"/>
      <c r="TZ906" s="18"/>
      <c r="UA906" s="18"/>
      <c r="UB906" s="18"/>
      <c r="UC906" s="18"/>
      <c r="UD906" s="18"/>
      <c r="UE906" s="18"/>
      <c r="UF906" s="18"/>
      <c r="UG906" s="19"/>
    </row>
    <row r="907" spans="1:553" ht="30.75" customHeight="1">
      <c r="A907" s="356"/>
      <c r="B907" s="356"/>
      <c r="C907" s="1394" t="s">
        <v>543</v>
      </c>
      <c r="D907" s="1395"/>
      <c r="E907" s="1395"/>
      <c r="F907" s="1396"/>
      <c r="G907" s="366"/>
      <c r="H907" s="370"/>
      <c r="I907" s="359"/>
      <c r="J907" s="368"/>
      <c r="K907" s="371"/>
      <c r="L907" s="645"/>
      <c r="M907" s="356"/>
      <c r="N907" s="356"/>
      <c r="O907" s="356"/>
      <c r="P907" s="356"/>
      <c r="Q907" s="610"/>
      <c r="R907" s="1226"/>
      <c r="S907" s="308"/>
      <c r="T907" s="308"/>
      <c r="U907" s="308"/>
      <c r="V907" s="308"/>
      <c r="W907" s="308"/>
      <c r="X907" s="308"/>
      <c r="Y907" s="308"/>
      <c r="Z907" s="604"/>
      <c r="AA907" s="308"/>
      <c r="AB907" s="308"/>
      <c r="AC907" s="373"/>
      <c r="AD907" s="373"/>
      <c r="AE907" s="373"/>
      <c r="AF907" s="373"/>
      <c r="AG907" s="373"/>
      <c r="AH907" s="373"/>
      <c r="AI907" s="373"/>
      <c r="AJ907" s="373"/>
      <c r="AK907" s="389"/>
      <c r="AL907" s="100"/>
      <c r="AM907" s="27"/>
      <c r="AN907" s="27"/>
      <c r="AO907" s="27"/>
      <c r="AP907" s="27"/>
      <c r="AQ907" s="27"/>
      <c r="AR907" s="27"/>
      <c r="AS907" s="22"/>
      <c r="AT907" s="22"/>
      <c r="AU907" s="22"/>
      <c r="AV907" s="22"/>
      <c r="AW907" s="22"/>
      <c r="AX907" s="22"/>
      <c r="AY907" s="22"/>
      <c r="AZ907" s="22"/>
      <c r="BA907" s="22"/>
      <c r="BB907" s="22"/>
      <c r="BC907" s="22"/>
      <c r="BD907" s="22"/>
      <c r="BE907" s="22"/>
      <c r="BF907" s="22"/>
      <c r="BG907" s="22"/>
      <c r="BH907" s="22"/>
      <c r="BI907" s="22"/>
      <c r="BJ907" s="22"/>
      <c r="BK907" s="22"/>
      <c r="BL907" s="22"/>
      <c r="BM907" s="22"/>
      <c r="BN907" s="22"/>
      <c r="BO907" s="22"/>
      <c r="BP907" s="22"/>
      <c r="BQ907" s="22"/>
      <c r="BR907" s="22"/>
      <c r="BS907" s="22"/>
      <c r="BT907" s="22"/>
      <c r="BU907" s="22"/>
      <c r="BV907" s="22"/>
      <c r="BW907" s="22"/>
      <c r="BX907" s="22"/>
      <c r="BY907" s="22"/>
      <c r="BZ907" s="22"/>
      <c r="CA907" s="22"/>
      <c r="CB907" s="22"/>
      <c r="CC907" s="22"/>
      <c r="CD907" s="22"/>
      <c r="CE907" s="22"/>
      <c r="CF907" s="22"/>
      <c r="CG907" s="22"/>
      <c r="CH907" s="22"/>
      <c r="CI907" s="22"/>
      <c r="CJ907" s="22"/>
      <c r="CK907" s="22"/>
      <c r="CL907" s="22"/>
      <c r="CM907" s="22"/>
      <c r="CN907" s="22"/>
      <c r="CO907" s="22"/>
      <c r="CP907" s="22"/>
      <c r="CQ907" s="22"/>
      <c r="CR907" s="22"/>
      <c r="CS907" s="22"/>
      <c r="CT907" s="22"/>
      <c r="CU907" s="22"/>
      <c r="CV907" s="22"/>
      <c r="CW907" s="22"/>
      <c r="CX907" s="22"/>
      <c r="CY907" s="22"/>
      <c r="CZ907" s="22"/>
      <c r="DA907" s="22"/>
      <c r="DB907" s="22"/>
      <c r="DC907" s="22"/>
      <c r="DD907" s="22"/>
      <c r="DE907" s="22"/>
      <c r="DF907" s="22"/>
      <c r="DG907" s="22"/>
      <c r="DH907" s="22"/>
      <c r="DI907" s="22"/>
      <c r="DJ907" s="22"/>
      <c r="DK907" s="22"/>
      <c r="DL907" s="22"/>
      <c r="DM907" s="22"/>
      <c r="DN907" s="22"/>
      <c r="DO907" s="22"/>
      <c r="DP907" s="22"/>
      <c r="DQ907" s="22"/>
      <c r="DR907" s="22"/>
      <c r="DS907" s="22"/>
      <c r="DT907" s="22"/>
      <c r="DU907" s="22"/>
      <c r="DV907" s="22"/>
      <c r="DW907" s="22"/>
      <c r="DX907" s="22"/>
      <c r="DY907" s="22"/>
      <c r="DZ907" s="22"/>
      <c r="EA907" s="22"/>
      <c r="EB907" s="22"/>
      <c r="EC907" s="22"/>
      <c r="ED907" s="22"/>
      <c r="EE907" s="22"/>
      <c r="EF907" s="22"/>
      <c r="EG907" s="22"/>
      <c r="EH907" s="22"/>
      <c r="EI907" s="22"/>
      <c r="EJ907" s="22"/>
      <c r="EK907" s="22"/>
      <c r="EL907" s="22"/>
      <c r="EM907" s="22"/>
      <c r="EN907" s="22"/>
      <c r="EO907" s="22"/>
      <c r="EP907" s="22"/>
      <c r="EQ907" s="22"/>
      <c r="ER907" s="22"/>
      <c r="ES907" s="22"/>
      <c r="ET907" s="22"/>
      <c r="EU907" s="22"/>
      <c r="EV907" s="22"/>
      <c r="EW907" s="22"/>
      <c r="EX907" s="22"/>
      <c r="EY907" s="22"/>
      <c r="EZ907" s="22"/>
      <c r="FA907" s="22"/>
      <c r="FB907" s="22"/>
      <c r="FC907" s="22"/>
      <c r="FD907" s="22"/>
      <c r="FE907" s="22"/>
      <c r="FF907" s="22"/>
      <c r="FG907" s="22"/>
      <c r="FH907" s="22"/>
      <c r="FI907" s="22"/>
      <c r="FJ907" s="22"/>
      <c r="FK907" s="22"/>
      <c r="FL907" s="22"/>
      <c r="FM907" s="22"/>
      <c r="FN907" s="22"/>
      <c r="FO907" s="22"/>
      <c r="FP907" s="22"/>
      <c r="FQ907" s="22"/>
      <c r="FR907" s="22"/>
      <c r="FS907" s="22"/>
      <c r="FT907" s="22"/>
      <c r="FU907" s="22"/>
      <c r="FV907" s="22"/>
      <c r="FW907" s="22"/>
      <c r="FX907" s="22"/>
      <c r="FY907" s="22"/>
      <c r="FZ907" s="22"/>
      <c r="GA907" s="22"/>
      <c r="GB907" s="22"/>
      <c r="GC907" s="22"/>
      <c r="GD907" s="22"/>
      <c r="GE907" s="22"/>
      <c r="GF907" s="22"/>
      <c r="GG907" s="22"/>
      <c r="GH907" s="22"/>
      <c r="GI907" s="22"/>
      <c r="GJ907" s="22"/>
      <c r="GK907" s="22"/>
      <c r="GL907" s="22"/>
      <c r="GM907" s="22"/>
      <c r="GN907" s="22"/>
      <c r="GO907" s="22"/>
      <c r="GP907" s="22"/>
      <c r="GQ907" s="22"/>
      <c r="GR907" s="22"/>
      <c r="GS907" s="22"/>
      <c r="GT907" s="22"/>
      <c r="GU907" s="22"/>
      <c r="GV907" s="22"/>
      <c r="GW907" s="22"/>
      <c r="GX907" s="22"/>
      <c r="GY907" s="22"/>
      <c r="GZ907" s="22"/>
      <c r="HA907" s="22"/>
      <c r="HB907" s="22"/>
      <c r="HC907" s="22"/>
      <c r="HD907" s="22"/>
      <c r="HE907" s="22"/>
      <c r="HF907" s="22"/>
      <c r="HG907" s="22"/>
      <c r="HH907" s="22"/>
      <c r="HI907" s="22"/>
      <c r="HJ907" s="22"/>
      <c r="HK907" s="22"/>
      <c r="HL907" s="22"/>
      <c r="HM907" s="22"/>
      <c r="HN907" s="22"/>
      <c r="HO907" s="22"/>
      <c r="HP907" s="22"/>
      <c r="HQ907" s="22"/>
      <c r="HR907" s="22"/>
      <c r="HS907" s="22"/>
      <c r="HT907" s="22"/>
      <c r="HU907" s="22"/>
      <c r="HV907" s="22"/>
      <c r="HW907" s="22"/>
      <c r="HX907" s="22"/>
      <c r="HY907" s="22"/>
      <c r="HZ907" s="22"/>
      <c r="IA907" s="22"/>
      <c r="IB907" s="22"/>
      <c r="IC907" s="22"/>
      <c r="ID907" s="22"/>
      <c r="IE907" s="22"/>
      <c r="IF907" s="22"/>
      <c r="IG907" s="22"/>
      <c r="IH907" s="22"/>
      <c r="II907" s="22"/>
      <c r="IJ907" s="22"/>
      <c r="IK907" s="22"/>
      <c r="IL907" s="22"/>
      <c r="IM907" s="22"/>
      <c r="IN907" s="22"/>
      <c r="IO907" s="22"/>
      <c r="IP907" s="22"/>
      <c r="IQ907" s="22"/>
      <c r="IR907" s="22"/>
      <c r="IS907" s="22"/>
      <c r="IT907" s="22"/>
      <c r="IU907" s="22"/>
      <c r="IV907" s="22"/>
      <c r="IW907" s="22"/>
      <c r="IX907" s="22"/>
      <c r="IY907" s="22"/>
      <c r="IZ907" s="22"/>
      <c r="JA907" s="22"/>
      <c r="JB907" s="22"/>
      <c r="JC907" s="22"/>
      <c r="JD907" s="22"/>
      <c r="JE907" s="22"/>
      <c r="JF907" s="22"/>
      <c r="JG907" s="22"/>
      <c r="JH907" s="22"/>
      <c r="JI907" s="22"/>
      <c r="JJ907" s="22"/>
      <c r="JK907" s="22"/>
      <c r="JL907" s="22"/>
      <c r="JM907" s="22"/>
      <c r="JN907" s="22"/>
      <c r="JO907" s="22"/>
      <c r="JP907" s="22"/>
      <c r="JQ907" s="22"/>
      <c r="JR907" s="22"/>
      <c r="JS907" s="22"/>
      <c r="JT907" s="22"/>
      <c r="JU907" s="22"/>
      <c r="JV907" s="22"/>
      <c r="JW907" s="22"/>
      <c r="JX907" s="22"/>
      <c r="JY907" s="22"/>
      <c r="JZ907" s="22"/>
      <c r="KA907" s="22"/>
      <c r="KB907" s="22"/>
      <c r="KC907" s="22"/>
      <c r="KD907" s="22"/>
      <c r="KE907" s="22"/>
      <c r="KF907" s="22"/>
      <c r="KG907" s="22"/>
      <c r="KH907" s="22"/>
      <c r="KI907" s="22"/>
      <c r="KJ907" s="22"/>
      <c r="KK907" s="22"/>
      <c r="KL907" s="22"/>
      <c r="KM907" s="22"/>
      <c r="KN907" s="22"/>
      <c r="KO907" s="22"/>
      <c r="KP907" s="22"/>
      <c r="KQ907" s="22"/>
      <c r="KR907" s="22"/>
      <c r="KS907" s="22"/>
      <c r="KT907" s="22"/>
      <c r="KU907" s="22"/>
      <c r="KV907" s="22"/>
      <c r="KW907" s="22"/>
      <c r="KX907" s="22"/>
      <c r="KY907" s="22"/>
      <c r="KZ907" s="22"/>
      <c r="LA907" s="22"/>
      <c r="LB907" s="22"/>
      <c r="LC907" s="22"/>
      <c r="LD907" s="22"/>
      <c r="LE907" s="22"/>
      <c r="LF907" s="22"/>
      <c r="LG907" s="22"/>
      <c r="LH907" s="22"/>
      <c r="LI907" s="22"/>
      <c r="LJ907" s="22"/>
      <c r="LK907" s="22"/>
      <c r="LL907" s="22"/>
      <c r="LM907" s="22"/>
      <c r="LN907" s="22"/>
      <c r="LO907" s="22"/>
      <c r="LP907" s="22"/>
      <c r="LQ907" s="22"/>
      <c r="LR907" s="22"/>
      <c r="LS907" s="22"/>
      <c r="LT907" s="22"/>
      <c r="LU907" s="22"/>
      <c r="LV907" s="22"/>
      <c r="LW907" s="22"/>
      <c r="LX907" s="22"/>
      <c r="LY907" s="22"/>
      <c r="LZ907" s="22"/>
      <c r="MA907" s="22"/>
      <c r="MB907" s="22"/>
      <c r="MC907" s="22"/>
      <c r="MD907" s="22"/>
      <c r="ME907" s="22"/>
      <c r="MF907" s="22"/>
      <c r="MG907" s="22"/>
      <c r="MH907" s="22"/>
      <c r="MI907" s="22"/>
      <c r="MJ907" s="22"/>
      <c r="MK907" s="22"/>
      <c r="ML907" s="22"/>
      <c r="MM907" s="22"/>
      <c r="MN907" s="22"/>
      <c r="MO907" s="22"/>
      <c r="MP907" s="22"/>
      <c r="MQ907" s="22"/>
      <c r="MR907" s="22"/>
      <c r="MS907" s="22"/>
      <c r="MT907" s="22"/>
      <c r="MU907" s="22"/>
      <c r="MV907" s="22"/>
      <c r="MW907" s="22"/>
      <c r="MX907" s="22"/>
      <c r="MY907" s="22"/>
      <c r="MZ907" s="22"/>
      <c r="NA907" s="22"/>
      <c r="NB907" s="22"/>
      <c r="NC907" s="22"/>
      <c r="ND907" s="22"/>
      <c r="NE907" s="22"/>
      <c r="NF907" s="22"/>
      <c r="NG907" s="22"/>
      <c r="NH907" s="22"/>
      <c r="NI907" s="22"/>
      <c r="NJ907" s="22"/>
      <c r="NK907" s="22"/>
      <c r="NL907" s="22"/>
      <c r="NM907" s="22"/>
      <c r="NN907" s="22"/>
      <c r="NO907" s="22"/>
      <c r="NP907" s="22"/>
      <c r="NQ907" s="22"/>
      <c r="NR907" s="22"/>
      <c r="NS907" s="22"/>
      <c r="NT907" s="22"/>
      <c r="NU907" s="22"/>
      <c r="NV907" s="22"/>
      <c r="NW907" s="22"/>
      <c r="NX907" s="22"/>
      <c r="NY907" s="22"/>
      <c r="NZ907" s="22"/>
      <c r="OA907" s="22"/>
      <c r="OB907" s="22"/>
      <c r="OC907" s="22"/>
      <c r="OD907" s="22"/>
      <c r="OE907" s="22"/>
      <c r="OF907" s="22"/>
      <c r="OG907" s="22"/>
      <c r="OH907" s="22"/>
      <c r="OI907" s="22"/>
      <c r="OJ907" s="22"/>
      <c r="OK907" s="22"/>
      <c r="OL907" s="22"/>
      <c r="OM907" s="22"/>
      <c r="ON907" s="22"/>
      <c r="OO907" s="22"/>
      <c r="OP907" s="22"/>
      <c r="OQ907" s="22"/>
      <c r="OR907" s="22"/>
      <c r="OS907" s="22"/>
      <c r="OT907" s="22"/>
      <c r="OU907" s="22"/>
      <c r="OV907" s="22"/>
      <c r="OW907" s="22"/>
      <c r="OX907" s="22"/>
      <c r="OY907" s="22"/>
      <c r="OZ907" s="22"/>
      <c r="PA907" s="22"/>
      <c r="PB907" s="22"/>
      <c r="PC907" s="22"/>
      <c r="PD907" s="22"/>
      <c r="PE907" s="22"/>
      <c r="PF907" s="22"/>
      <c r="PG907" s="22"/>
      <c r="PH907" s="22"/>
      <c r="PI907" s="22"/>
      <c r="PJ907" s="22"/>
      <c r="PK907" s="22"/>
      <c r="PL907" s="22"/>
      <c r="PM907" s="22"/>
      <c r="PN907" s="22"/>
      <c r="PO907" s="22"/>
      <c r="PP907" s="22"/>
      <c r="PQ907" s="22"/>
      <c r="PR907" s="22"/>
      <c r="PS907" s="22"/>
      <c r="PT907" s="22"/>
      <c r="PU907" s="22"/>
      <c r="PV907" s="22"/>
      <c r="PW907" s="22"/>
      <c r="PX907" s="22"/>
      <c r="PY907" s="22"/>
      <c r="PZ907" s="22"/>
      <c r="QA907" s="22"/>
      <c r="QB907" s="22"/>
      <c r="QC907" s="22"/>
      <c r="QD907" s="22"/>
      <c r="QE907" s="22"/>
      <c r="QF907" s="22"/>
      <c r="QG907" s="22"/>
      <c r="QH907" s="22"/>
      <c r="QI907" s="22"/>
      <c r="QJ907" s="22"/>
      <c r="QK907" s="22"/>
      <c r="QL907" s="22"/>
      <c r="QM907" s="22"/>
      <c r="QN907" s="22"/>
      <c r="QO907" s="22"/>
      <c r="QP907" s="22"/>
      <c r="QQ907" s="22"/>
      <c r="QR907" s="22"/>
      <c r="QS907" s="22"/>
      <c r="QT907" s="22"/>
      <c r="QU907" s="22"/>
      <c r="QV907" s="22"/>
      <c r="QW907" s="22"/>
      <c r="QX907" s="22"/>
      <c r="QY907" s="22"/>
      <c r="QZ907" s="22"/>
      <c r="RA907" s="22"/>
      <c r="RB907" s="22"/>
      <c r="RC907" s="22"/>
      <c r="RD907" s="22"/>
      <c r="RE907" s="22"/>
      <c r="RF907" s="22"/>
      <c r="RG907" s="22"/>
      <c r="RH907" s="22"/>
      <c r="RI907" s="22"/>
      <c r="RJ907" s="22"/>
      <c r="RK907" s="22"/>
      <c r="RL907" s="22"/>
      <c r="RM907" s="22"/>
      <c r="RN907" s="22"/>
      <c r="RO907" s="22"/>
      <c r="RP907" s="22"/>
      <c r="RQ907" s="22"/>
      <c r="RR907" s="22"/>
      <c r="RS907" s="22"/>
      <c r="RT907" s="22"/>
      <c r="RU907" s="22"/>
      <c r="RV907" s="22"/>
      <c r="RW907" s="22"/>
      <c r="RX907" s="22"/>
      <c r="RY907" s="22"/>
      <c r="RZ907" s="22"/>
      <c r="SA907" s="22"/>
      <c r="SB907" s="22"/>
      <c r="SC907" s="22"/>
      <c r="SD907" s="22"/>
      <c r="SE907" s="22"/>
      <c r="SF907" s="22"/>
      <c r="SG907" s="22"/>
      <c r="SH907" s="22"/>
      <c r="SI907" s="22"/>
      <c r="SJ907" s="22"/>
      <c r="SK907" s="22"/>
      <c r="SL907" s="22"/>
      <c r="SM907" s="22"/>
      <c r="SN907" s="22"/>
      <c r="SO907" s="22"/>
      <c r="SP907" s="22"/>
      <c r="SQ907" s="22"/>
      <c r="SR907" s="22"/>
      <c r="SS907" s="22"/>
      <c r="ST907" s="22"/>
      <c r="SU907" s="22"/>
      <c r="SV907" s="22"/>
      <c r="SW907" s="22"/>
      <c r="SX907" s="22"/>
      <c r="SY907" s="22"/>
      <c r="SZ907" s="22"/>
      <c r="TA907" s="22"/>
      <c r="TB907" s="22"/>
      <c r="TC907" s="22"/>
      <c r="TD907" s="22"/>
      <c r="TE907" s="22"/>
      <c r="TF907" s="22"/>
      <c r="TG907" s="22"/>
      <c r="TH907" s="22"/>
      <c r="TI907" s="22"/>
      <c r="TJ907" s="22"/>
      <c r="TK907" s="22"/>
      <c r="TL907" s="22"/>
      <c r="TM907" s="22"/>
      <c r="TN907" s="22"/>
      <c r="TO907" s="22"/>
      <c r="TP907" s="22"/>
      <c r="TQ907" s="22"/>
      <c r="TR907" s="22"/>
      <c r="TS907" s="22"/>
      <c r="TT907" s="22"/>
      <c r="TU907" s="22"/>
      <c r="TV907" s="22"/>
      <c r="TW907" s="22"/>
      <c r="TX907" s="22"/>
      <c r="TY907" s="22"/>
      <c r="TZ907" s="22"/>
      <c r="UA907" s="22"/>
      <c r="UB907" s="22"/>
      <c r="UC907" s="22"/>
      <c r="UD907" s="22"/>
      <c r="UE907" s="22"/>
      <c r="UF907" s="22"/>
      <c r="UG907" s="23"/>
    </row>
    <row r="908" spans="1:553" s="142" customFormat="1" ht="82.9" customHeight="1">
      <c r="A908" s="444" t="s">
        <v>15</v>
      </c>
      <c r="B908" s="384" t="s">
        <v>29</v>
      </c>
      <c r="C908" s="1376" t="s">
        <v>511</v>
      </c>
      <c r="D908" s="1377"/>
      <c r="E908" s="1377"/>
      <c r="F908" s="1378"/>
      <c r="G908" s="386" t="s">
        <v>935</v>
      </c>
      <c r="H908" s="672"/>
      <c r="I908" s="417">
        <f>10.2*12</f>
        <v>122.39999999999999</v>
      </c>
      <c r="J908" s="368">
        <v>2204600</v>
      </c>
      <c r="K908" s="686"/>
      <c r="L908" s="480">
        <f t="shared" ref="L908:L928" si="137">I908*J908</f>
        <v>269843040</v>
      </c>
      <c r="M908" s="548"/>
      <c r="N908" s="548"/>
      <c r="O908" s="427"/>
      <c r="P908" s="384"/>
      <c r="Q908" s="1213"/>
      <c r="R908" s="1227"/>
      <c r="S908" s="308"/>
      <c r="T908" s="308"/>
      <c r="U908" s="308"/>
      <c r="V908" s="308"/>
      <c r="W908" s="308"/>
      <c r="X908" s="308"/>
      <c r="Y908" s="308"/>
      <c r="Z908" s="604"/>
      <c r="AA908" s="308"/>
      <c r="AB908" s="308"/>
      <c r="AC908" s="687"/>
      <c r="AD908" s="687"/>
      <c r="AE908" s="687"/>
      <c r="AF908" s="687"/>
      <c r="AG908" s="688"/>
      <c r="AH908" s="688"/>
      <c r="AI908" s="688"/>
      <c r="AJ908" s="688"/>
      <c r="AK908" s="688"/>
      <c r="AL908" s="207"/>
      <c r="AM908" s="140"/>
      <c r="AN908" s="140"/>
      <c r="AO908" s="140"/>
      <c r="AP908" s="140"/>
      <c r="AQ908" s="140"/>
      <c r="AR908" s="140"/>
      <c r="AS908" s="140"/>
      <c r="AT908" s="140"/>
      <c r="AU908" s="140"/>
      <c r="AV908" s="140"/>
      <c r="AW908" s="140"/>
      <c r="AX908" s="140"/>
      <c r="AY908" s="140"/>
      <c r="AZ908" s="140"/>
      <c r="BA908" s="140"/>
      <c r="BB908" s="140"/>
      <c r="BC908" s="140"/>
      <c r="BD908" s="140"/>
      <c r="BE908" s="140"/>
      <c r="BF908" s="140"/>
      <c r="BG908" s="140"/>
      <c r="BH908" s="140"/>
      <c r="BI908" s="140"/>
      <c r="BJ908" s="140"/>
      <c r="BK908" s="140"/>
      <c r="BL908" s="140"/>
      <c r="BM908" s="140"/>
      <c r="BN908" s="140"/>
      <c r="BO908" s="140"/>
      <c r="BP908" s="140"/>
      <c r="BQ908" s="140"/>
      <c r="BR908" s="140"/>
      <c r="BS908" s="140"/>
      <c r="BT908" s="140"/>
      <c r="BU908" s="140"/>
      <c r="BV908" s="140"/>
      <c r="BW908" s="140"/>
      <c r="BX908" s="140"/>
      <c r="BY908" s="140"/>
      <c r="BZ908" s="140"/>
      <c r="CA908" s="140"/>
      <c r="CB908" s="140"/>
      <c r="CC908" s="140"/>
      <c r="CD908" s="140"/>
      <c r="CE908" s="140"/>
      <c r="CF908" s="140"/>
      <c r="CG908" s="140"/>
      <c r="CH908" s="140"/>
      <c r="CI908" s="140"/>
      <c r="CJ908" s="140"/>
      <c r="CK908" s="140"/>
      <c r="CL908" s="140"/>
      <c r="CM908" s="140"/>
      <c r="CN908" s="140"/>
      <c r="CO908" s="140"/>
      <c r="CP908" s="140"/>
      <c r="CQ908" s="140"/>
      <c r="CR908" s="140"/>
      <c r="CS908" s="140"/>
      <c r="CT908" s="140"/>
      <c r="CU908" s="140"/>
      <c r="CV908" s="140"/>
      <c r="CW908" s="140"/>
      <c r="CX908" s="140"/>
      <c r="CY908" s="140"/>
      <c r="CZ908" s="140"/>
      <c r="DA908" s="140"/>
      <c r="DB908" s="140"/>
      <c r="DC908" s="140"/>
      <c r="DD908" s="140"/>
      <c r="DE908" s="140"/>
      <c r="DF908" s="140"/>
      <c r="DG908" s="140"/>
      <c r="DH908" s="140"/>
      <c r="DI908" s="140"/>
      <c r="DJ908" s="140"/>
      <c r="DK908" s="140"/>
      <c r="DL908" s="140"/>
      <c r="DM908" s="140"/>
      <c r="DN908" s="140"/>
      <c r="DO908" s="140"/>
      <c r="DP908" s="140"/>
      <c r="DQ908" s="140"/>
      <c r="DR908" s="140"/>
      <c r="DS908" s="140"/>
      <c r="DT908" s="140"/>
      <c r="DU908" s="140"/>
      <c r="DV908" s="140"/>
      <c r="DW908" s="140"/>
      <c r="DX908" s="140"/>
      <c r="DY908" s="140"/>
      <c r="DZ908" s="140"/>
      <c r="EA908" s="140"/>
      <c r="EB908" s="140"/>
      <c r="EC908" s="140"/>
      <c r="ED908" s="140"/>
      <c r="EE908" s="140"/>
      <c r="EF908" s="140"/>
      <c r="EG908" s="140"/>
      <c r="EH908" s="140"/>
      <c r="EI908" s="140"/>
      <c r="EJ908" s="140"/>
      <c r="EK908" s="140"/>
      <c r="EL908" s="140"/>
      <c r="EM908" s="140"/>
      <c r="EN908" s="140"/>
      <c r="EO908" s="140"/>
      <c r="EP908" s="140"/>
      <c r="EQ908" s="140"/>
      <c r="ER908" s="140"/>
      <c r="ES908" s="140"/>
      <c r="ET908" s="140"/>
      <c r="EU908" s="140"/>
      <c r="EV908" s="140"/>
      <c r="EW908" s="140"/>
      <c r="EX908" s="140"/>
      <c r="EY908" s="140"/>
      <c r="EZ908" s="140"/>
      <c r="FA908" s="140"/>
      <c r="FB908" s="140"/>
      <c r="FC908" s="140"/>
      <c r="FD908" s="140"/>
      <c r="FE908" s="140"/>
      <c r="FF908" s="140"/>
      <c r="FG908" s="140"/>
      <c r="FH908" s="140"/>
      <c r="FI908" s="140"/>
      <c r="FJ908" s="140"/>
      <c r="FK908" s="140"/>
      <c r="FL908" s="140"/>
      <c r="FM908" s="140"/>
      <c r="FN908" s="140"/>
      <c r="FO908" s="140"/>
      <c r="FP908" s="140"/>
      <c r="FQ908" s="140"/>
      <c r="FR908" s="140"/>
      <c r="FS908" s="140"/>
      <c r="FT908" s="140"/>
      <c r="FU908" s="140"/>
      <c r="FV908" s="140"/>
      <c r="FW908" s="140"/>
      <c r="FX908" s="140"/>
      <c r="FY908" s="140"/>
      <c r="FZ908" s="140"/>
      <c r="GA908" s="140"/>
      <c r="GB908" s="140"/>
      <c r="GC908" s="140"/>
      <c r="GD908" s="140"/>
      <c r="GE908" s="140"/>
      <c r="GF908" s="140"/>
      <c r="GG908" s="140"/>
      <c r="GH908" s="140"/>
      <c r="GI908" s="140"/>
      <c r="GJ908" s="140"/>
      <c r="GK908" s="140"/>
      <c r="GL908" s="140"/>
      <c r="GM908" s="140"/>
      <c r="GN908" s="140"/>
      <c r="GO908" s="140"/>
      <c r="GP908" s="140"/>
      <c r="GQ908" s="140"/>
      <c r="GR908" s="140"/>
      <c r="GS908" s="140"/>
      <c r="GT908" s="140"/>
      <c r="GU908" s="140"/>
      <c r="GV908" s="140"/>
      <c r="GW908" s="140"/>
      <c r="GX908" s="140"/>
      <c r="GY908" s="140"/>
      <c r="GZ908" s="140"/>
      <c r="HA908" s="140"/>
      <c r="HB908" s="140"/>
      <c r="HC908" s="140"/>
      <c r="HD908" s="140"/>
      <c r="HE908" s="140"/>
      <c r="HF908" s="140"/>
      <c r="HG908" s="140"/>
      <c r="HH908" s="140"/>
      <c r="HI908" s="140"/>
      <c r="HJ908" s="140"/>
      <c r="HK908" s="140"/>
      <c r="HL908" s="140"/>
      <c r="HM908" s="140"/>
      <c r="HN908" s="140"/>
      <c r="HO908" s="140"/>
      <c r="HP908" s="140"/>
      <c r="HQ908" s="140"/>
      <c r="HR908" s="140"/>
      <c r="HS908" s="140"/>
      <c r="HT908" s="140"/>
      <c r="HU908" s="140"/>
      <c r="HV908" s="140"/>
      <c r="HW908" s="140"/>
      <c r="HX908" s="140"/>
      <c r="HY908" s="140"/>
      <c r="HZ908" s="140"/>
      <c r="IA908" s="140"/>
      <c r="IB908" s="140"/>
      <c r="IC908" s="140"/>
      <c r="ID908" s="140"/>
      <c r="IE908" s="140"/>
      <c r="IF908" s="140"/>
      <c r="IG908" s="140"/>
      <c r="IH908" s="140"/>
      <c r="II908" s="140"/>
      <c r="IJ908" s="140"/>
      <c r="IK908" s="140"/>
      <c r="IL908" s="140"/>
      <c r="IM908" s="140"/>
      <c r="IN908" s="140"/>
      <c r="IO908" s="140"/>
      <c r="IP908" s="140"/>
      <c r="IQ908" s="140"/>
      <c r="IR908" s="140"/>
      <c r="IS908" s="140"/>
      <c r="IT908" s="140"/>
      <c r="IU908" s="140"/>
      <c r="IV908" s="140"/>
      <c r="IW908" s="140"/>
      <c r="IX908" s="140"/>
      <c r="IY908" s="140"/>
      <c r="IZ908" s="140"/>
      <c r="JA908" s="140"/>
      <c r="JB908" s="140"/>
      <c r="JC908" s="140"/>
      <c r="JD908" s="140"/>
      <c r="JE908" s="140"/>
      <c r="JF908" s="140"/>
      <c r="JG908" s="140"/>
      <c r="JH908" s="140"/>
      <c r="JI908" s="140"/>
      <c r="JJ908" s="140"/>
      <c r="JK908" s="140"/>
      <c r="JL908" s="140"/>
      <c r="JM908" s="140"/>
      <c r="JN908" s="140"/>
      <c r="JO908" s="140"/>
      <c r="JP908" s="140"/>
      <c r="JQ908" s="140"/>
      <c r="JR908" s="140"/>
      <c r="JS908" s="140"/>
      <c r="JT908" s="140"/>
      <c r="JU908" s="140"/>
      <c r="JV908" s="140"/>
      <c r="JW908" s="140"/>
      <c r="JX908" s="140"/>
      <c r="JY908" s="140"/>
      <c r="JZ908" s="140"/>
      <c r="KA908" s="140"/>
      <c r="KB908" s="140"/>
      <c r="KC908" s="140"/>
      <c r="KD908" s="140"/>
      <c r="KE908" s="140"/>
      <c r="KF908" s="140"/>
      <c r="KG908" s="140"/>
      <c r="KH908" s="140"/>
      <c r="KI908" s="140"/>
      <c r="KJ908" s="140"/>
      <c r="KK908" s="140"/>
      <c r="KL908" s="140"/>
      <c r="KM908" s="140"/>
      <c r="KN908" s="140"/>
      <c r="KO908" s="140"/>
      <c r="KP908" s="140"/>
      <c r="KQ908" s="140"/>
      <c r="KR908" s="140"/>
      <c r="KS908" s="140"/>
      <c r="KT908" s="140"/>
      <c r="KU908" s="140"/>
      <c r="KV908" s="140"/>
      <c r="KW908" s="140"/>
      <c r="KX908" s="140"/>
      <c r="KY908" s="140"/>
      <c r="KZ908" s="140"/>
      <c r="LA908" s="140"/>
      <c r="LB908" s="140"/>
      <c r="LC908" s="140"/>
      <c r="LD908" s="140"/>
      <c r="LE908" s="140"/>
      <c r="LF908" s="140"/>
      <c r="LG908" s="140"/>
      <c r="LH908" s="140"/>
      <c r="LI908" s="140"/>
      <c r="LJ908" s="140"/>
      <c r="LK908" s="140"/>
      <c r="LL908" s="140"/>
      <c r="LM908" s="140"/>
      <c r="LN908" s="140"/>
      <c r="LO908" s="140"/>
      <c r="LP908" s="140"/>
      <c r="LQ908" s="140"/>
      <c r="LR908" s="140"/>
      <c r="LS908" s="140"/>
      <c r="LT908" s="140"/>
      <c r="LU908" s="140"/>
      <c r="LV908" s="140"/>
      <c r="LW908" s="140"/>
      <c r="LX908" s="140"/>
      <c r="LY908" s="140"/>
      <c r="LZ908" s="140"/>
      <c r="MA908" s="140"/>
      <c r="MB908" s="140"/>
      <c r="MC908" s="140"/>
      <c r="MD908" s="140"/>
      <c r="ME908" s="140"/>
      <c r="MF908" s="140"/>
      <c r="MG908" s="140"/>
      <c r="MH908" s="140"/>
      <c r="MI908" s="140"/>
      <c r="MJ908" s="140"/>
      <c r="MK908" s="140"/>
      <c r="ML908" s="140"/>
      <c r="MM908" s="140"/>
      <c r="MN908" s="140"/>
      <c r="MO908" s="140"/>
      <c r="MP908" s="140"/>
      <c r="MQ908" s="140"/>
      <c r="MR908" s="140"/>
      <c r="MS908" s="140"/>
      <c r="MT908" s="140"/>
      <c r="MU908" s="140"/>
      <c r="MV908" s="140"/>
      <c r="MW908" s="140"/>
      <c r="MX908" s="140"/>
      <c r="MY908" s="140"/>
      <c r="MZ908" s="140"/>
      <c r="NA908" s="140"/>
      <c r="NB908" s="140"/>
      <c r="NC908" s="140"/>
      <c r="ND908" s="140"/>
      <c r="NE908" s="140"/>
      <c r="NF908" s="140"/>
      <c r="NG908" s="140"/>
      <c r="NH908" s="140"/>
      <c r="NI908" s="140"/>
      <c r="NJ908" s="140"/>
      <c r="NK908" s="140"/>
      <c r="NL908" s="140"/>
      <c r="NM908" s="140"/>
      <c r="NN908" s="140"/>
      <c r="NO908" s="140"/>
      <c r="NP908" s="140"/>
      <c r="NQ908" s="140"/>
      <c r="NR908" s="140"/>
      <c r="NS908" s="140"/>
      <c r="NT908" s="140"/>
      <c r="NU908" s="140"/>
      <c r="NV908" s="140"/>
      <c r="NW908" s="140"/>
      <c r="NX908" s="140"/>
      <c r="NY908" s="140"/>
      <c r="NZ908" s="140"/>
      <c r="OA908" s="140"/>
      <c r="OB908" s="140"/>
      <c r="OC908" s="140"/>
      <c r="OD908" s="140"/>
      <c r="OE908" s="140"/>
      <c r="OF908" s="140"/>
      <c r="OG908" s="140"/>
      <c r="OH908" s="140"/>
      <c r="OI908" s="140"/>
      <c r="OJ908" s="140"/>
      <c r="OK908" s="140"/>
      <c r="OL908" s="140"/>
      <c r="OM908" s="140"/>
      <c r="ON908" s="140"/>
      <c r="OO908" s="140"/>
      <c r="OP908" s="140"/>
      <c r="OQ908" s="140"/>
      <c r="OR908" s="140"/>
      <c r="OS908" s="140"/>
      <c r="OT908" s="140"/>
      <c r="OU908" s="140"/>
      <c r="OV908" s="140"/>
      <c r="OW908" s="140"/>
      <c r="OX908" s="140"/>
      <c r="OY908" s="140"/>
      <c r="OZ908" s="140"/>
      <c r="PA908" s="140"/>
      <c r="PB908" s="140"/>
      <c r="PC908" s="140"/>
      <c r="PD908" s="140"/>
      <c r="PE908" s="140"/>
      <c r="PF908" s="140"/>
      <c r="PG908" s="140"/>
      <c r="PH908" s="140"/>
      <c r="PI908" s="140"/>
      <c r="PJ908" s="140"/>
      <c r="PK908" s="140"/>
      <c r="PL908" s="140"/>
      <c r="PM908" s="140"/>
      <c r="PN908" s="140"/>
      <c r="PO908" s="140"/>
      <c r="PP908" s="140"/>
      <c r="PQ908" s="140"/>
      <c r="PR908" s="140"/>
      <c r="PS908" s="140"/>
      <c r="PT908" s="140"/>
      <c r="PU908" s="140"/>
      <c r="PV908" s="140"/>
      <c r="PW908" s="140"/>
      <c r="PX908" s="140"/>
      <c r="PY908" s="140"/>
      <c r="PZ908" s="140"/>
      <c r="QA908" s="140"/>
      <c r="QB908" s="140"/>
      <c r="QC908" s="140"/>
      <c r="QD908" s="140"/>
      <c r="QE908" s="140"/>
      <c r="QF908" s="140"/>
      <c r="QG908" s="140"/>
      <c r="QH908" s="140"/>
      <c r="QI908" s="140"/>
      <c r="QJ908" s="140"/>
      <c r="QK908" s="140"/>
      <c r="QL908" s="140"/>
      <c r="QM908" s="140"/>
      <c r="QN908" s="140"/>
      <c r="QO908" s="140"/>
      <c r="QP908" s="140"/>
      <c r="QQ908" s="140"/>
      <c r="QR908" s="140"/>
      <c r="QS908" s="140"/>
      <c r="QT908" s="140"/>
      <c r="QU908" s="140"/>
      <c r="QV908" s="140"/>
      <c r="QW908" s="140"/>
      <c r="QX908" s="140"/>
      <c r="QY908" s="140"/>
      <c r="QZ908" s="140"/>
      <c r="RA908" s="140"/>
      <c r="RB908" s="140"/>
      <c r="RC908" s="140"/>
      <c r="RD908" s="140"/>
      <c r="RE908" s="140"/>
      <c r="RF908" s="140"/>
      <c r="RG908" s="140"/>
      <c r="RH908" s="140"/>
      <c r="RI908" s="140"/>
      <c r="RJ908" s="140"/>
      <c r="RK908" s="140"/>
      <c r="RL908" s="140"/>
      <c r="RM908" s="140"/>
      <c r="RN908" s="140"/>
      <c r="RO908" s="140"/>
      <c r="RP908" s="140"/>
      <c r="RQ908" s="140"/>
      <c r="RR908" s="140"/>
      <c r="RS908" s="140"/>
      <c r="RT908" s="140"/>
      <c r="RU908" s="140"/>
      <c r="RV908" s="140"/>
      <c r="RW908" s="140"/>
      <c r="RX908" s="140"/>
      <c r="RY908" s="140"/>
      <c r="RZ908" s="140"/>
      <c r="SA908" s="140"/>
      <c r="SB908" s="140"/>
      <c r="SC908" s="140"/>
      <c r="SD908" s="140"/>
      <c r="SE908" s="140"/>
      <c r="SF908" s="140"/>
      <c r="SG908" s="140"/>
      <c r="SH908" s="140"/>
      <c r="SI908" s="140"/>
      <c r="SJ908" s="140"/>
      <c r="SK908" s="140"/>
      <c r="SL908" s="140"/>
      <c r="SM908" s="140"/>
      <c r="SN908" s="140"/>
      <c r="SO908" s="140"/>
      <c r="SP908" s="140"/>
      <c r="SQ908" s="140"/>
      <c r="SR908" s="140"/>
      <c r="SS908" s="140"/>
      <c r="ST908" s="140"/>
      <c r="SU908" s="140"/>
      <c r="SV908" s="140"/>
      <c r="SW908" s="140"/>
      <c r="SX908" s="140"/>
      <c r="SY908" s="140"/>
      <c r="SZ908" s="140"/>
      <c r="TA908" s="140"/>
      <c r="TB908" s="140"/>
      <c r="TC908" s="140"/>
      <c r="TD908" s="140"/>
      <c r="TE908" s="140"/>
      <c r="TF908" s="140"/>
      <c r="TG908" s="140"/>
      <c r="TH908" s="140"/>
      <c r="TI908" s="140"/>
      <c r="TJ908" s="140"/>
      <c r="TK908" s="140"/>
      <c r="TL908" s="140"/>
      <c r="TM908" s="140"/>
      <c r="TN908" s="140"/>
      <c r="TO908" s="140"/>
      <c r="TP908" s="140"/>
      <c r="TQ908" s="140"/>
      <c r="TR908" s="140"/>
      <c r="TS908" s="140"/>
      <c r="TT908" s="140"/>
      <c r="TU908" s="140"/>
      <c r="TV908" s="140"/>
      <c r="TW908" s="140"/>
      <c r="TX908" s="140"/>
      <c r="TY908" s="140"/>
      <c r="TZ908" s="140"/>
      <c r="UA908" s="140"/>
      <c r="UB908" s="140"/>
      <c r="UC908" s="140"/>
      <c r="UD908" s="140"/>
      <c r="UE908" s="140"/>
      <c r="UF908" s="140"/>
      <c r="UG908" s="141"/>
    </row>
    <row r="909" spans="1:553" s="142" customFormat="1" ht="54" customHeight="1">
      <c r="A909" s="444"/>
      <c r="B909" s="384" t="s">
        <v>31</v>
      </c>
      <c r="C909" s="1370" t="s">
        <v>512</v>
      </c>
      <c r="D909" s="1371"/>
      <c r="E909" s="1371"/>
      <c r="F909" s="1372"/>
      <c r="G909" s="386" t="s">
        <v>34</v>
      </c>
      <c r="H909" s="672"/>
      <c r="I909" s="422">
        <f>-29.8*1.8*0.22</f>
        <v>-11.800800000000001</v>
      </c>
      <c r="J909" s="368">
        <v>1748702</v>
      </c>
      <c r="K909" s="686"/>
      <c r="L909" s="487">
        <f t="shared" si="137"/>
        <v>-20636082.5616</v>
      </c>
      <c r="M909" s="548"/>
      <c r="N909" s="548"/>
      <c r="O909" s="427"/>
      <c r="P909" s="384"/>
      <c r="Q909" s="1213"/>
      <c r="R909" s="1227"/>
      <c r="S909" s="308"/>
      <c r="T909" s="308"/>
      <c r="U909" s="308"/>
      <c r="V909" s="308"/>
      <c r="W909" s="308"/>
      <c r="X909" s="308"/>
      <c r="Y909" s="308"/>
      <c r="Z909" s="604"/>
      <c r="AA909" s="308"/>
      <c r="AB909" s="308"/>
      <c r="AC909" s="687"/>
      <c r="AD909" s="687"/>
      <c r="AE909" s="687"/>
      <c r="AF909" s="687"/>
      <c r="AG909" s="688"/>
      <c r="AH909" s="688"/>
      <c r="AI909" s="688"/>
      <c r="AJ909" s="688"/>
      <c r="AK909" s="688"/>
      <c r="AL909" s="207"/>
      <c r="AM909" s="140"/>
      <c r="AN909" s="140"/>
      <c r="AO909" s="140"/>
      <c r="AP909" s="140"/>
      <c r="AQ909" s="140"/>
      <c r="AR909" s="140"/>
      <c r="AS909" s="140"/>
      <c r="AT909" s="140"/>
      <c r="AU909" s="140"/>
      <c r="AV909" s="140"/>
      <c r="AW909" s="140"/>
      <c r="AX909" s="140"/>
      <c r="AY909" s="140"/>
      <c r="AZ909" s="140"/>
      <c r="BA909" s="140"/>
      <c r="BB909" s="140"/>
      <c r="BC909" s="140"/>
      <c r="BD909" s="140"/>
      <c r="BE909" s="140"/>
      <c r="BF909" s="140"/>
      <c r="BG909" s="140"/>
      <c r="BH909" s="140"/>
      <c r="BI909" s="140"/>
      <c r="BJ909" s="140"/>
      <c r="BK909" s="140"/>
      <c r="BL909" s="140"/>
      <c r="BM909" s="140"/>
      <c r="BN909" s="140"/>
      <c r="BO909" s="140"/>
      <c r="BP909" s="140"/>
      <c r="BQ909" s="140"/>
      <c r="BR909" s="140"/>
      <c r="BS909" s="140"/>
      <c r="BT909" s="140"/>
      <c r="BU909" s="140"/>
      <c r="BV909" s="140"/>
      <c r="BW909" s="140"/>
      <c r="BX909" s="140"/>
      <c r="BY909" s="140"/>
      <c r="BZ909" s="140"/>
      <c r="CA909" s="140"/>
      <c r="CB909" s="140"/>
      <c r="CC909" s="140"/>
      <c r="CD909" s="140"/>
      <c r="CE909" s="140"/>
      <c r="CF909" s="140"/>
      <c r="CG909" s="140"/>
      <c r="CH909" s="140"/>
      <c r="CI909" s="140"/>
      <c r="CJ909" s="140"/>
      <c r="CK909" s="140"/>
      <c r="CL909" s="140"/>
      <c r="CM909" s="140"/>
      <c r="CN909" s="140"/>
      <c r="CO909" s="140"/>
      <c r="CP909" s="140"/>
      <c r="CQ909" s="140"/>
      <c r="CR909" s="140"/>
      <c r="CS909" s="140"/>
      <c r="CT909" s="140"/>
      <c r="CU909" s="140"/>
      <c r="CV909" s="140"/>
      <c r="CW909" s="140"/>
      <c r="CX909" s="140"/>
      <c r="CY909" s="140"/>
      <c r="CZ909" s="140"/>
      <c r="DA909" s="140"/>
      <c r="DB909" s="140"/>
      <c r="DC909" s="140"/>
      <c r="DD909" s="140"/>
      <c r="DE909" s="140"/>
      <c r="DF909" s="140"/>
      <c r="DG909" s="140"/>
      <c r="DH909" s="140"/>
      <c r="DI909" s="140"/>
      <c r="DJ909" s="140"/>
      <c r="DK909" s="140"/>
      <c r="DL909" s="140"/>
      <c r="DM909" s="140"/>
      <c r="DN909" s="140"/>
      <c r="DO909" s="140"/>
      <c r="DP909" s="140"/>
      <c r="DQ909" s="140"/>
      <c r="DR909" s="140"/>
      <c r="DS909" s="140"/>
      <c r="DT909" s="140"/>
      <c r="DU909" s="140"/>
      <c r="DV909" s="140"/>
      <c r="DW909" s="140"/>
      <c r="DX909" s="140"/>
      <c r="DY909" s="140"/>
      <c r="DZ909" s="140"/>
      <c r="EA909" s="140"/>
      <c r="EB909" s="140"/>
      <c r="EC909" s="140"/>
      <c r="ED909" s="140"/>
      <c r="EE909" s="140"/>
      <c r="EF909" s="140"/>
      <c r="EG909" s="140"/>
      <c r="EH909" s="140"/>
      <c r="EI909" s="140"/>
      <c r="EJ909" s="140"/>
      <c r="EK909" s="140"/>
      <c r="EL909" s="140"/>
      <c r="EM909" s="140"/>
      <c r="EN909" s="140"/>
      <c r="EO909" s="140"/>
      <c r="EP909" s="140"/>
      <c r="EQ909" s="140"/>
      <c r="ER909" s="140"/>
      <c r="ES909" s="140"/>
      <c r="ET909" s="140"/>
      <c r="EU909" s="140"/>
      <c r="EV909" s="140"/>
      <c r="EW909" s="140"/>
      <c r="EX909" s="140"/>
      <c r="EY909" s="140"/>
      <c r="EZ909" s="140"/>
      <c r="FA909" s="140"/>
      <c r="FB909" s="140"/>
      <c r="FC909" s="140"/>
      <c r="FD909" s="140"/>
      <c r="FE909" s="140"/>
      <c r="FF909" s="140"/>
      <c r="FG909" s="140"/>
      <c r="FH909" s="140"/>
      <c r="FI909" s="140"/>
      <c r="FJ909" s="140"/>
      <c r="FK909" s="140"/>
      <c r="FL909" s="140"/>
      <c r="FM909" s="140"/>
      <c r="FN909" s="140"/>
      <c r="FO909" s="140"/>
      <c r="FP909" s="140"/>
      <c r="FQ909" s="140"/>
      <c r="FR909" s="140"/>
      <c r="FS909" s="140"/>
      <c r="FT909" s="140"/>
      <c r="FU909" s="140"/>
      <c r="FV909" s="140"/>
      <c r="FW909" s="140"/>
      <c r="FX909" s="140"/>
      <c r="FY909" s="140"/>
      <c r="FZ909" s="140"/>
      <c r="GA909" s="140"/>
      <c r="GB909" s="140"/>
      <c r="GC909" s="140"/>
      <c r="GD909" s="140"/>
      <c r="GE909" s="140"/>
      <c r="GF909" s="140"/>
      <c r="GG909" s="140"/>
      <c r="GH909" s="140"/>
      <c r="GI909" s="140"/>
      <c r="GJ909" s="140"/>
      <c r="GK909" s="140"/>
      <c r="GL909" s="140"/>
      <c r="GM909" s="140"/>
      <c r="GN909" s="140"/>
      <c r="GO909" s="140"/>
      <c r="GP909" s="140"/>
      <c r="GQ909" s="140"/>
      <c r="GR909" s="140"/>
      <c r="GS909" s="140"/>
      <c r="GT909" s="140"/>
      <c r="GU909" s="140"/>
      <c r="GV909" s="140"/>
      <c r="GW909" s="140"/>
      <c r="GX909" s="140"/>
      <c r="GY909" s="140"/>
      <c r="GZ909" s="140"/>
      <c r="HA909" s="140"/>
      <c r="HB909" s="140"/>
      <c r="HC909" s="140"/>
      <c r="HD909" s="140"/>
      <c r="HE909" s="140"/>
      <c r="HF909" s="140"/>
      <c r="HG909" s="140"/>
      <c r="HH909" s="140"/>
      <c r="HI909" s="140"/>
      <c r="HJ909" s="140"/>
      <c r="HK909" s="140"/>
      <c r="HL909" s="140"/>
      <c r="HM909" s="140"/>
      <c r="HN909" s="140"/>
      <c r="HO909" s="140"/>
      <c r="HP909" s="140"/>
      <c r="HQ909" s="140"/>
      <c r="HR909" s="140"/>
      <c r="HS909" s="140"/>
      <c r="HT909" s="140"/>
      <c r="HU909" s="140"/>
      <c r="HV909" s="140"/>
      <c r="HW909" s="140"/>
      <c r="HX909" s="140"/>
      <c r="HY909" s="140"/>
      <c r="HZ909" s="140"/>
      <c r="IA909" s="140"/>
      <c r="IB909" s="140"/>
      <c r="IC909" s="140"/>
      <c r="ID909" s="140"/>
      <c r="IE909" s="140"/>
      <c r="IF909" s="140"/>
      <c r="IG909" s="140"/>
      <c r="IH909" s="140"/>
      <c r="II909" s="140"/>
      <c r="IJ909" s="140"/>
      <c r="IK909" s="140"/>
      <c r="IL909" s="140"/>
      <c r="IM909" s="140"/>
      <c r="IN909" s="140"/>
      <c r="IO909" s="140"/>
      <c r="IP909" s="140"/>
      <c r="IQ909" s="140"/>
      <c r="IR909" s="140"/>
      <c r="IS909" s="140"/>
      <c r="IT909" s="140"/>
      <c r="IU909" s="140"/>
      <c r="IV909" s="140"/>
      <c r="IW909" s="140"/>
      <c r="IX909" s="140"/>
      <c r="IY909" s="140"/>
      <c r="IZ909" s="140"/>
      <c r="JA909" s="140"/>
      <c r="JB909" s="140"/>
      <c r="JC909" s="140"/>
      <c r="JD909" s="140"/>
      <c r="JE909" s="140"/>
      <c r="JF909" s="140"/>
      <c r="JG909" s="140"/>
      <c r="JH909" s="140"/>
      <c r="JI909" s="140"/>
      <c r="JJ909" s="140"/>
      <c r="JK909" s="140"/>
      <c r="JL909" s="140"/>
      <c r="JM909" s="140"/>
      <c r="JN909" s="140"/>
      <c r="JO909" s="140"/>
      <c r="JP909" s="140"/>
      <c r="JQ909" s="140"/>
      <c r="JR909" s="140"/>
      <c r="JS909" s="140"/>
      <c r="JT909" s="140"/>
      <c r="JU909" s="140"/>
      <c r="JV909" s="140"/>
      <c r="JW909" s="140"/>
      <c r="JX909" s="140"/>
      <c r="JY909" s="140"/>
      <c r="JZ909" s="140"/>
      <c r="KA909" s="140"/>
      <c r="KB909" s="140"/>
      <c r="KC909" s="140"/>
      <c r="KD909" s="140"/>
      <c r="KE909" s="140"/>
      <c r="KF909" s="140"/>
      <c r="KG909" s="140"/>
      <c r="KH909" s="140"/>
      <c r="KI909" s="140"/>
      <c r="KJ909" s="140"/>
      <c r="KK909" s="140"/>
      <c r="KL909" s="140"/>
      <c r="KM909" s="140"/>
      <c r="KN909" s="140"/>
      <c r="KO909" s="140"/>
      <c r="KP909" s="140"/>
      <c r="KQ909" s="140"/>
      <c r="KR909" s="140"/>
      <c r="KS909" s="140"/>
      <c r="KT909" s="140"/>
      <c r="KU909" s="140"/>
      <c r="KV909" s="140"/>
      <c r="KW909" s="140"/>
      <c r="KX909" s="140"/>
      <c r="KY909" s="140"/>
      <c r="KZ909" s="140"/>
      <c r="LA909" s="140"/>
      <c r="LB909" s="140"/>
      <c r="LC909" s="140"/>
      <c r="LD909" s="140"/>
      <c r="LE909" s="140"/>
      <c r="LF909" s="140"/>
      <c r="LG909" s="140"/>
      <c r="LH909" s="140"/>
      <c r="LI909" s="140"/>
      <c r="LJ909" s="140"/>
      <c r="LK909" s="140"/>
      <c r="LL909" s="140"/>
      <c r="LM909" s="140"/>
      <c r="LN909" s="140"/>
      <c r="LO909" s="140"/>
      <c r="LP909" s="140"/>
      <c r="LQ909" s="140"/>
      <c r="LR909" s="140"/>
      <c r="LS909" s="140"/>
      <c r="LT909" s="140"/>
      <c r="LU909" s="140"/>
      <c r="LV909" s="140"/>
      <c r="LW909" s="140"/>
      <c r="LX909" s="140"/>
      <c r="LY909" s="140"/>
      <c r="LZ909" s="140"/>
      <c r="MA909" s="140"/>
      <c r="MB909" s="140"/>
      <c r="MC909" s="140"/>
      <c r="MD909" s="140"/>
      <c r="ME909" s="140"/>
      <c r="MF909" s="140"/>
      <c r="MG909" s="140"/>
      <c r="MH909" s="140"/>
      <c r="MI909" s="140"/>
      <c r="MJ909" s="140"/>
      <c r="MK909" s="140"/>
      <c r="ML909" s="140"/>
      <c r="MM909" s="140"/>
      <c r="MN909" s="140"/>
      <c r="MO909" s="140"/>
      <c r="MP909" s="140"/>
      <c r="MQ909" s="140"/>
      <c r="MR909" s="140"/>
      <c r="MS909" s="140"/>
      <c r="MT909" s="140"/>
      <c r="MU909" s="140"/>
      <c r="MV909" s="140"/>
      <c r="MW909" s="140"/>
      <c r="MX909" s="140"/>
      <c r="MY909" s="140"/>
      <c r="MZ909" s="140"/>
      <c r="NA909" s="140"/>
      <c r="NB909" s="140"/>
      <c r="NC909" s="140"/>
      <c r="ND909" s="140"/>
      <c r="NE909" s="140"/>
      <c r="NF909" s="140"/>
      <c r="NG909" s="140"/>
      <c r="NH909" s="140"/>
      <c r="NI909" s="140"/>
      <c r="NJ909" s="140"/>
      <c r="NK909" s="140"/>
      <c r="NL909" s="140"/>
      <c r="NM909" s="140"/>
      <c r="NN909" s="140"/>
      <c r="NO909" s="140"/>
      <c r="NP909" s="140"/>
      <c r="NQ909" s="140"/>
      <c r="NR909" s="140"/>
      <c r="NS909" s="140"/>
      <c r="NT909" s="140"/>
      <c r="NU909" s="140"/>
      <c r="NV909" s="140"/>
      <c r="NW909" s="140"/>
      <c r="NX909" s="140"/>
      <c r="NY909" s="140"/>
      <c r="NZ909" s="140"/>
      <c r="OA909" s="140"/>
      <c r="OB909" s="140"/>
      <c r="OC909" s="140"/>
      <c r="OD909" s="140"/>
      <c r="OE909" s="140"/>
      <c r="OF909" s="140"/>
      <c r="OG909" s="140"/>
      <c r="OH909" s="140"/>
      <c r="OI909" s="140"/>
      <c r="OJ909" s="140"/>
      <c r="OK909" s="140"/>
      <c r="OL909" s="140"/>
      <c r="OM909" s="140"/>
      <c r="ON909" s="140"/>
      <c r="OO909" s="140"/>
      <c r="OP909" s="140"/>
      <c r="OQ909" s="140"/>
      <c r="OR909" s="140"/>
      <c r="OS909" s="140"/>
      <c r="OT909" s="140"/>
      <c r="OU909" s="140"/>
      <c r="OV909" s="140"/>
      <c r="OW909" s="140"/>
      <c r="OX909" s="140"/>
      <c r="OY909" s="140"/>
      <c r="OZ909" s="140"/>
      <c r="PA909" s="140"/>
      <c r="PB909" s="140"/>
      <c r="PC909" s="140"/>
      <c r="PD909" s="140"/>
      <c r="PE909" s="140"/>
      <c r="PF909" s="140"/>
      <c r="PG909" s="140"/>
      <c r="PH909" s="140"/>
      <c r="PI909" s="140"/>
      <c r="PJ909" s="140"/>
      <c r="PK909" s="140"/>
      <c r="PL909" s="140"/>
      <c r="PM909" s="140"/>
      <c r="PN909" s="140"/>
      <c r="PO909" s="140"/>
      <c r="PP909" s="140"/>
      <c r="PQ909" s="140"/>
      <c r="PR909" s="140"/>
      <c r="PS909" s="140"/>
      <c r="PT909" s="140"/>
      <c r="PU909" s="140"/>
      <c r="PV909" s="140"/>
      <c r="PW909" s="140"/>
      <c r="PX909" s="140"/>
      <c r="PY909" s="140"/>
      <c r="PZ909" s="140"/>
      <c r="QA909" s="140"/>
      <c r="QB909" s="140"/>
      <c r="QC909" s="140"/>
      <c r="QD909" s="140"/>
      <c r="QE909" s="140"/>
      <c r="QF909" s="140"/>
      <c r="QG909" s="140"/>
      <c r="QH909" s="140"/>
      <c r="QI909" s="140"/>
      <c r="QJ909" s="140"/>
      <c r="QK909" s="140"/>
      <c r="QL909" s="140"/>
      <c r="QM909" s="140"/>
      <c r="QN909" s="140"/>
      <c r="QO909" s="140"/>
      <c r="QP909" s="140"/>
      <c r="QQ909" s="140"/>
      <c r="QR909" s="140"/>
      <c r="QS909" s="140"/>
      <c r="QT909" s="140"/>
      <c r="QU909" s="140"/>
      <c r="QV909" s="140"/>
      <c r="QW909" s="140"/>
      <c r="QX909" s="140"/>
      <c r="QY909" s="140"/>
      <c r="QZ909" s="140"/>
      <c r="RA909" s="140"/>
      <c r="RB909" s="140"/>
      <c r="RC909" s="140"/>
      <c r="RD909" s="140"/>
      <c r="RE909" s="140"/>
      <c r="RF909" s="140"/>
      <c r="RG909" s="140"/>
      <c r="RH909" s="140"/>
      <c r="RI909" s="140"/>
      <c r="RJ909" s="140"/>
      <c r="RK909" s="140"/>
      <c r="RL909" s="140"/>
      <c r="RM909" s="140"/>
      <c r="RN909" s="140"/>
      <c r="RO909" s="140"/>
      <c r="RP909" s="140"/>
      <c r="RQ909" s="140"/>
      <c r="RR909" s="140"/>
      <c r="RS909" s="140"/>
      <c r="RT909" s="140"/>
      <c r="RU909" s="140"/>
      <c r="RV909" s="140"/>
      <c r="RW909" s="140"/>
      <c r="RX909" s="140"/>
      <c r="RY909" s="140"/>
      <c r="RZ909" s="140"/>
      <c r="SA909" s="140"/>
      <c r="SB909" s="140"/>
      <c r="SC909" s="140"/>
      <c r="SD909" s="140"/>
      <c r="SE909" s="140"/>
      <c r="SF909" s="140"/>
      <c r="SG909" s="140"/>
      <c r="SH909" s="140"/>
      <c r="SI909" s="140"/>
      <c r="SJ909" s="140"/>
      <c r="SK909" s="140"/>
      <c r="SL909" s="140"/>
      <c r="SM909" s="140"/>
      <c r="SN909" s="140"/>
      <c r="SO909" s="140"/>
      <c r="SP909" s="140"/>
      <c r="SQ909" s="140"/>
      <c r="SR909" s="140"/>
      <c r="SS909" s="140"/>
      <c r="ST909" s="140"/>
      <c r="SU909" s="140"/>
      <c r="SV909" s="140"/>
      <c r="SW909" s="140"/>
      <c r="SX909" s="140"/>
      <c r="SY909" s="140"/>
      <c r="SZ909" s="140"/>
      <c r="TA909" s="140"/>
      <c r="TB909" s="140"/>
      <c r="TC909" s="140"/>
      <c r="TD909" s="140"/>
      <c r="TE909" s="140"/>
      <c r="TF909" s="140"/>
      <c r="TG909" s="140"/>
      <c r="TH909" s="140"/>
      <c r="TI909" s="140"/>
      <c r="TJ909" s="140"/>
      <c r="TK909" s="140"/>
      <c r="TL909" s="140"/>
      <c r="TM909" s="140"/>
      <c r="TN909" s="140"/>
      <c r="TO909" s="140"/>
      <c r="TP909" s="140"/>
      <c r="TQ909" s="140"/>
      <c r="TR909" s="140"/>
      <c r="TS909" s="140"/>
      <c r="TT909" s="140"/>
      <c r="TU909" s="140"/>
      <c r="TV909" s="140"/>
      <c r="TW909" s="140"/>
      <c r="TX909" s="140"/>
      <c r="TY909" s="140"/>
      <c r="TZ909" s="140"/>
      <c r="UA909" s="140"/>
      <c r="UB909" s="140"/>
      <c r="UC909" s="140"/>
      <c r="UD909" s="140"/>
      <c r="UE909" s="140"/>
      <c r="UF909" s="140"/>
      <c r="UG909" s="141"/>
    </row>
    <row r="910" spans="1:553" s="120" customFormat="1" ht="54" customHeight="1">
      <c r="A910" s="431" t="s">
        <v>30</v>
      </c>
      <c r="B910" s="541">
        <v>2</v>
      </c>
      <c r="C910" s="1402" t="s">
        <v>891</v>
      </c>
      <c r="D910" s="1389"/>
      <c r="E910" s="1389"/>
      <c r="F910" s="1390"/>
      <c r="G910" s="542" t="s">
        <v>33</v>
      </c>
      <c r="H910" s="543"/>
      <c r="I910" s="422">
        <f>-29.8*1.8*2</f>
        <v>-107.28</v>
      </c>
      <c r="J910" s="990">
        <v>52000</v>
      </c>
      <c r="K910" s="644"/>
      <c r="L910" s="1191">
        <f>J910*I910</f>
        <v>-5578560</v>
      </c>
      <c r="M910" s="637"/>
      <c r="N910" s="637"/>
      <c r="O910" s="544"/>
      <c r="P910" s="638"/>
      <c r="Q910" s="634"/>
      <c r="R910" s="1164"/>
      <c r="S910" s="308"/>
      <c r="T910" s="308"/>
      <c r="U910" s="308"/>
      <c r="V910" s="308"/>
      <c r="W910" s="308"/>
      <c r="X910" s="308"/>
      <c r="Y910" s="308"/>
      <c r="Z910" s="604"/>
      <c r="AA910" s="308"/>
      <c r="AB910" s="308"/>
      <c r="AC910" s="545"/>
      <c r="AD910" s="545"/>
      <c r="AE910" s="545"/>
      <c r="AF910" s="545"/>
      <c r="AG910" s="546"/>
      <c r="AH910" s="546"/>
      <c r="AI910" s="546"/>
      <c r="AJ910" s="546"/>
      <c r="AK910" s="546"/>
      <c r="AL910" s="138"/>
      <c r="AM910" s="138"/>
      <c r="AN910" s="138"/>
      <c r="AO910" s="138"/>
      <c r="AP910" s="138"/>
      <c r="AQ910" s="139"/>
      <c r="AR910" s="139"/>
      <c r="AS910" s="139"/>
      <c r="AT910" s="139"/>
      <c r="AU910" s="139"/>
      <c r="AV910" s="139"/>
      <c r="AW910" s="139"/>
      <c r="AX910" s="139"/>
      <c r="AY910" s="139"/>
      <c r="AZ910" s="139"/>
      <c r="BA910" s="139"/>
      <c r="BB910" s="139"/>
      <c r="BC910" s="139"/>
      <c r="BD910" s="139"/>
      <c r="BE910" s="139"/>
      <c r="BF910" s="139"/>
      <c r="BG910" s="139"/>
      <c r="BH910" s="139"/>
      <c r="BI910" s="139"/>
      <c r="BJ910" s="139"/>
      <c r="BK910" s="139"/>
      <c r="BL910" s="139"/>
      <c r="BM910" s="139"/>
      <c r="BN910" s="139"/>
      <c r="BO910" s="139"/>
      <c r="BP910" s="139"/>
      <c r="BQ910" s="139"/>
      <c r="BR910" s="139"/>
      <c r="BS910" s="139"/>
      <c r="BT910" s="139"/>
      <c r="BU910" s="139"/>
      <c r="BV910" s="139"/>
      <c r="BW910" s="139"/>
      <c r="BX910" s="139"/>
      <c r="BY910" s="139"/>
      <c r="BZ910" s="139"/>
      <c r="CA910" s="139"/>
      <c r="CB910" s="139"/>
      <c r="CC910" s="139"/>
      <c r="CD910" s="139"/>
      <c r="CE910" s="139"/>
      <c r="CF910" s="139"/>
      <c r="CG910" s="139"/>
      <c r="CH910" s="139"/>
      <c r="CI910" s="139"/>
      <c r="CJ910" s="139"/>
      <c r="CK910" s="139"/>
      <c r="CL910" s="139"/>
      <c r="CM910" s="139"/>
      <c r="CN910" s="139"/>
      <c r="CO910" s="139"/>
      <c r="CP910" s="139"/>
      <c r="CQ910" s="139"/>
      <c r="CR910" s="139"/>
      <c r="CS910" s="139"/>
      <c r="CT910" s="139"/>
      <c r="CU910" s="139"/>
      <c r="CV910" s="139"/>
      <c r="CW910" s="139"/>
      <c r="CX910" s="139"/>
      <c r="CY910" s="139"/>
      <c r="CZ910" s="139"/>
      <c r="DA910" s="139"/>
      <c r="DB910" s="139"/>
      <c r="DC910" s="139"/>
      <c r="DD910" s="139"/>
      <c r="DE910" s="139"/>
      <c r="DF910" s="139"/>
      <c r="DG910" s="139"/>
      <c r="DH910" s="139"/>
      <c r="DI910" s="139"/>
      <c r="DJ910" s="139"/>
      <c r="DK910" s="139"/>
      <c r="DL910" s="139"/>
      <c r="DM910" s="139"/>
      <c r="DN910" s="139"/>
      <c r="DO910" s="139"/>
      <c r="DP910" s="139"/>
      <c r="DQ910" s="139"/>
      <c r="DR910" s="139"/>
      <c r="DS910" s="139"/>
      <c r="DT910" s="139"/>
      <c r="DU910" s="139"/>
      <c r="DV910" s="139"/>
      <c r="DW910" s="139"/>
      <c r="DX910" s="139"/>
      <c r="DY910" s="139"/>
      <c r="DZ910" s="139"/>
      <c r="EA910" s="139"/>
      <c r="EB910" s="139"/>
      <c r="EC910" s="139"/>
      <c r="ED910" s="139"/>
      <c r="EE910" s="139"/>
      <c r="EF910" s="139"/>
      <c r="EG910" s="139"/>
      <c r="EH910" s="139"/>
      <c r="EI910" s="139"/>
      <c r="EJ910" s="139"/>
      <c r="EK910" s="139"/>
      <c r="EL910" s="139"/>
      <c r="EM910" s="139"/>
      <c r="EN910" s="139"/>
      <c r="EO910" s="139"/>
      <c r="EP910" s="139"/>
      <c r="EQ910" s="139"/>
      <c r="ER910" s="139"/>
      <c r="ES910" s="139"/>
      <c r="ET910" s="139"/>
      <c r="EU910" s="139"/>
      <c r="EV910" s="139"/>
      <c r="EW910" s="139"/>
      <c r="EX910" s="139"/>
      <c r="EY910" s="139"/>
      <c r="EZ910" s="139"/>
      <c r="FA910" s="139"/>
      <c r="FB910" s="139"/>
      <c r="FC910" s="139"/>
      <c r="FD910" s="139"/>
      <c r="FE910" s="139"/>
      <c r="FF910" s="139"/>
      <c r="FG910" s="139"/>
      <c r="FH910" s="139"/>
      <c r="FI910" s="139"/>
      <c r="FJ910" s="139"/>
      <c r="FK910" s="139"/>
      <c r="FL910" s="139"/>
      <c r="FM910" s="139"/>
      <c r="FN910" s="139"/>
      <c r="FO910" s="139"/>
      <c r="FP910" s="139"/>
      <c r="FQ910" s="139"/>
      <c r="FR910" s="139"/>
      <c r="FS910" s="139"/>
      <c r="FT910" s="139"/>
      <c r="FU910" s="139"/>
      <c r="FV910" s="139"/>
      <c r="FW910" s="139"/>
      <c r="FX910" s="139"/>
      <c r="FY910" s="139"/>
      <c r="FZ910" s="139"/>
      <c r="GA910" s="139"/>
      <c r="GB910" s="139"/>
      <c r="GC910" s="139"/>
      <c r="GD910" s="139"/>
      <c r="GE910" s="139"/>
      <c r="GF910" s="139"/>
      <c r="GG910" s="139"/>
      <c r="GH910" s="139"/>
      <c r="GI910" s="139"/>
      <c r="GJ910" s="139"/>
      <c r="GK910" s="139"/>
      <c r="GL910" s="139"/>
      <c r="GM910" s="139"/>
      <c r="GN910" s="139"/>
      <c r="GO910" s="139"/>
      <c r="GP910" s="139"/>
      <c r="GQ910" s="139"/>
      <c r="GR910" s="139"/>
      <c r="GS910" s="139"/>
      <c r="GT910" s="139"/>
      <c r="GU910" s="139"/>
      <c r="GV910" s="139"/>
      <c r="GW910" s="139"/>
      <c r="GX910" s="139"/>
      <c r="GY910" s="139"/>
      <c r="GZ910" s="139"/>
      <c r="HA910" s="139"/>
      <c r="HB910" s="139"/>
      <c r="HC910" s="139"/>
      <c r="HD910" s="139"/>
      <c r="HE910" s="139"/>
      <c r="HF910" s="139"/>
      <c r="HG910" s="139"/>
      <c r="HH910" s="139"/>
      <c r="HI910" s="139"/>
      <c r="HJ910" s="139"/>
      <c r="HK910" s="139"/>
      <c r="HL910" s="139"/>
      <c r="HM910" s="139"/>
      <c r="HN910" s="139"/>
      <c r="HO910" s="139"/>
      <c r="HP910" s="139"/>
      <c r="HQ910" s="139"/>
      <c r="HR910" s="139"/>
      <c r="HS910" s="139"/>
      <c r="HT910" s="139"/>
      <c r="HU910" s="139"/>
      <c r="HV910" s="139"/>
      <c r="HW910" s="139"/>
      <c r="HX910" s="139"/>
      <c r="HY910" s="139"/>
      <c r="HZ910" s="139"/>
      <c r="IA910" s="139"/>
      <c r="IB910" s="139"/>
      <c r="IC910" s="139"/>
      <c r="ID910" s="139"/>
      <c r="IE910" s="139"/>
      <c r="IF910" s="139"/>
      <c r="IG910" s="139"/>
      <c r="IH910" s="139"/>
      <c r="II910" s="139"/>
      <c r="IJ910" s="139"/>
      <c r="IK910" s="139"/>
      <c r="IL910" s="139"/>
      <c r="IM910" s="139"/>
      <c r="IN910" s="139"/>
      <c r="IO910" s="139"/>
      <c r="IP910" s="139"/>
      <c r="IQ910" s="139"/>
      <c r="IR910" s="139"/>
      <c r="IS910" s="139"/>
      <c r="IT910" s="139"/>
      <c r="IU910" s="139"/>
      <c r="IV910" s="139"/>
      <c r="IW910" s="139"/>
      <c r="IX910" s="139"/>
      <c r="IY910" s="139"/>
      <c r="IZ910" s="139"/>
      <c r="JA910" s="139"/>
      <c r="JB910" s="139"/>
      <c r="JC910" s="139"/>
      <c r="JD910" s="139"/>
      <c r="JE910" s="139"/>
      <c r="JF910" s="139"/>
      <c r="JG910" s="139"/>
      <c r="JH910" s="139"/>
      <c r="JI910" s="139"/>
      <c r="JJ910" s="139"/>
      <c r="JK910" s="139"/>
      <c r="JL910" s="139"/>
      <c r="JM910" s="139"/>
      <c r="JN910" s="139"/>
      <c r="JO910" s="139"/>
      <c r="JP910" s="139"/>
      <c r="JQ910" s="139"/>
      <c r="JR910" s="139"/>
      <c r="JS910" s="139"/>
      <c r="JT910" s="139"/>
      <c r="JU910" s="139"/>
      <c r="JV910" s="139"/>
      <c r="JW910" s="139"/>
      <c r="JX910" s="139"/>
      <c r="JY910" s="139"/>
      <c r="JZ910" s="139"/>
      <c r="KA910" s="139"/>
      <c r="KB910" s="139"/>
      <c r="KC910" s="139"/>
      <c r="KD910" s="139"/>
      <c r="KE910" s="139"/>
      <c r="KF910" s="139"/>
      <c r="KG910" s="139"/>
      <c r="KH910" s="139"/>
      <c r="KI910" s="139"/>
      <c r="KJ910" s="139"/>
      <c r="KK910" s="139"/>
      <c r="KL910" s="139"/>
      <c r="KM910" s="139"/>
      <c r="KN910" s="139"/>
      <c r="KO910" s="139"/>
      <c r="KP910" s="139"/>
      <c r="KQ910" s="139"/>
      <c r="KR910" s="139"/>
      <c r="KS910" s="139"/>
      <c r="KT910" s="139"/>
      <c r="KU910" s="139"/>
      <c r="KV910" s="139"/>
      <c r="KW910" s="139"/>
      <c r="KX910" s="139"/>
      <c r="KY910" s="139"/>
      <c r="KZ910" s="139"/>
      <c r="LA910" s="139"/>
      <c r="LB910" s="139"/>
      <c r="LC910" s="139"/>
      <c r="LD910" s="139"/>
      <c r="LE910" s="139"/>
      <c r="LF910" s="139"/>
      <c r="LG910" s="139"/>
      <c r="LH910" s="139"/>
      <c r="LI910" s="139"/>
      <c r="LJ910" s="139"/>
      <c r="LK910" s="139"/>
      <c r="LL910" s="139"/>
      <c r="LM910" s="139"/>
      <c r="LN910" s="139"/>
      <c r="LO910" s="139"/>
      <c r="LP910" s="139"/>
      <c r="LQ910" s="139"/>
      <c r="LR910" s="139"/>
      <c r="LS910" s="139"/>
      <c r="LT910" s="139"/>
      <c r="LU910" s="139"/>
      <c r="LV910" s="139"/>
      <c r="LW910" s="139"/>
      <c r="LX910" s="139"/>
      <c r="LY910" s="139"/>
      <c r="LZ910" s="139"/>
      <c r="MA910" s="139"/>
      <c r="MB910" s="139"/>
      <c r="MC910" s="139"/>
      <c r="MD910" s="139"/>
      <c r="ME910" s="139"/>
      <c r="MF910" s="139"/>
      <c r="MG910" s="139"/>
      <c r="MH910" s="139"/>
      <c r="MI910" s="139"/>
      <c r="MJ910" s="139"/>
      <c r="MK910" s="139"/>
      <c r="ML910" s="139"/>
      <c r="MM910" s="139"/>
      <c r="MN910" s="139"/>
      <c r="MO910" s="139"/>
      <c r="MP910" s="139"/>
      <c r="MQ910" s="139"/>
      <c r="MR910" s="139"/>
      <c r="MS910" s="139"/>
      <c r="MT910" s="139"/>
      <c r="MU910" s="139"/>
      <c r="MV910" s="139"/>
      <c r="MW910" s="139"/>
      <c r="MX910" s="139"/>
      <c r="MY910" s="139"/>
      <c r="MZ910" s="139"/>
      <c r="NA910" s="139"/>
      <c r="NB910" s="139"/>
      <c r="NC910" s="139"/>
      <c r="ND910" s="139"/>
      <c r="NE910" s="139"/>
      <c r="NF910" s="139"/>
      <c r="NG910" s="139"/>
      <c r="NH910" s="139"/>
      <c r="NI910" s="139"/>
      <c r="NJ910" s="139"/>
      <c r="NK910" s="139"/>
      <c r="NL910" s="139"/>
      <c r="NM910" s="139"/>
      <c r="NN910" s="139"/>
      <c r="NO910" s="139"/>
      <c r="NP910" s="139"/>
      <c r="NQ910" s="139"/>
      <c r="NR910" s="139"/>
      <c r="NS910" s="139"/>
      <c r="NT910" s="139"/>
      <c r="NU910" s="139"/>
      <c r="NV910" s="139"/>
      <c r="NW910" s="139"/>
      <c r="NX910" s="139"/>
      <c r="NY910" s="139"/>
      <c r="NZ910" s="139"/>
      <c r="OA910" s="139"/>
      <c r="OB910" s="139"/>
      <c r="OC910" s="139"/>
      <c r="OD910" s="139"/>
      <c r="OE910" s="139"/>
      <c r="OF910" s="139"/>
      <c r="OG910" s="139"/>
      <c r="OH910" s="139"/>
      <c r="OI910" s="139"/>
      <c r="OJ910" s="139"/>
      <c r="OK910" s="139"/>
      <c r="OL910" s="139"/>
      <c r="OM910" s="139"/>
      <c r="ON910" s="139"/>
      <c r="OO910" s="139"/>
      <c r="OP910" s="139"/>
      <c r="OQ910" s="139"/>
      <c r="OR910" s="139"/>
      <c r="OS910" s="139"/>
      <c r="OT910" s="139"/>
      <c r="OU910" s="139"/>
      <c r="OV910" s="139"/>
      <c r="OW910" s="139"/>
      <c r="OX910" s="139"/>
      <c r="OY910" s="139"/>
      <c r="OZ910" s="139"/>
      <c r="PA910" s="139"/>
      <c r="PB910" s="139"/>
      <c r="PC910" s="139"/>
      <c r="PD910" s="139"/>
      <c r="PE910" s="139"/>
      <c r="PF910" s="139"/>
      <c r="PG910" s="139"/>
      <c r="PH910" s="139"/>
      <c r="PI910" s="139"/>
      <c r="PJ910" s="139"/>
      <c r="PK910" s="139"/>
      <c r="PL910" s="139"/>
      <c r="PM910" s="139"/>
      <c r="PN910" s="139"/>
      <c r="PO910" s="139"/>
      <c r="PP910" s="139"/>
      <c r="PQ910" s="139"/>
      <c r="PR910" s="139"/>
      <c r="PS910" s="139"/>
      <c r="PT910" s="139"/>
      <c r="PU910" s="139"/>
      <c r="PV910" s="139"/>
      <c r="PW910" s="139"/>
      <c r="PX910" s="139"/>
      <c r="PY910" s="139"/>
      <c r="PZ910" s="139"/>
      <c r="QA910" s="139"/>
      <c r="QB910" s="139"/>
      <c r="QC910" s="139"/>
      <c r="QD910" s="139"/>
      <c r="QE910" s="139"/>
      <c r="QF910" s="139"/>
      <c r="QG910" s="139"/>
      <c r="QH910" s="139"/>
      <c r="QI910" s="139"/>
      <c r="QJ910" s="139"/>
      <c r="QK910" s="139"/>
      <c r="QL910" s="139"/>
      <c r="QM910" s="139"/>
      <c r="QN910" s="139"/>
      <c r="QO910" s="139"/>
      <c r="QP910" s="139"/>
      <c r="QQ910" s="139"/>
      <c r="QR910" s="139"/>
      <c r="QS910" s="139"/>
      <c r="QT910" s="139"/>
      <c r="QU910" s="139"/>
      <c r="QV910" s="139"/>
      <c r="QW910" s="139"/>
      <c r="QX910" s="139"/>
      <c r="QY910" s="139"/>
      <c r="QZ910" s="139"/>
      <c r="RA910" s="139"/>
      <c r="RB910" s="139"/>
      <c r="RC910" s="139"/>
      <c r="RD910" s="139"/>
      <c r="RE910" s="139"/>
      <c r="RF910" s="139"/>
      <c r="RG910" s="139"/>
      <c r="RH910" s="139"/>
      <c r="RI910" s="139"/>
      <c r="RJ910" s="139"/>
      <c r="RK910" s="139"/>
      <c r="RL910" s="139"/>
      <c r="RM910" s="139"/>
      <c r="RN910" s="139"/>
      <c r="RO910" s="139"/>
      <c r="RP910" s="139"/>
      <c r="RQ910" s="139"/>
      <c r="RR910" s="139"/>
      <c r="RS910" s="139"/>
      <c r="RT910" s="139"/>
      <c r="RU910" s="139"/>
      <c r="RV910" s="139"/>
      <c r="RW910" s="139"/>
      <c r="RX910" s="139"/>
      <c r="RY910" s="139"/>
      <c r="RZ910" s="139"/>
      <c r="SA910" s="139"/>
      <c r="SB910" s="139"/>
      <c r="SC910" s="139"/>
      <c r="SD910" s="139"/>
      <c r="SE910" s="139"/>
      <c r="SF910" s="139"/>
      <c r="SG910" s="139"/>
      <c r="SH910" s="139"/>
      <c r="SI910" s="139"/>
      <c r="SJ910" s="139"/>
      <c r="SK910" s="139"/>
      <c r="SL910" s="139"/>
      <c r="SM910" s="139"/>
      <c r="SN910" s="139"/>
      <c r="SO910" s="139"/>
      <c r="SP910" s="139"/>
      <c r="SQ910" s="139"/>
      <c r="SR910" s="139"/>
      <c r="SS910" s="139"/>
      <c r="ST910" s="139"/>
      <c r="SU910" s="139"/>
      <c r="SV910" s="139"/>
      <c r="SW910" s="139"/>
      <c r="SX910" s="139"/>
      <c r="SY910" s="139"/>
      <c r="SZ910" s="139"/>
      <c r="TA910" s="139"/>
      <c r="TB910" s="139"/>
      <c r="TC910" s="139"/>
      <c r="TD910" s="139"/>
      <c r="TE910" s="139"/>
      <c r="TF910" s="139"/>
      <c r="TG910" s="139"/>
      <c r="TH910" s="139"/>
      <c r="TI910" s="139"/>
      <c r="TJ910" s="139"/>
      <c r="TK910" s="139"/>
      <c r="TL910" s="139"/>
      <c r="TM910" s="139"/>
      <c r="TN910" s="139"/>
      <c r="TO910" s="139"/>
      <c r="TP910" s="139"/>
      <c r="TQ910" s="139"/>
      <c r="TR910" s="139"/>
      <c r="TS910" s="139"/>
      <c r="TT910" s="139"/>
      <c r="TU910" s="139"/>
      <c r="TV910" s="139"/>
      <c r="TW910" s="139"/>
      <c r="TX910" s="139"/>
      <c r="TY910" s="139"/>
      <c r="TZ910" s="139"/>
      <c r="UA910" s="139"/>
      <c r="UB910" s="139"/>
      <c r="UC910" s="139"/>
      <c r="UD910" s="139"/>
      <c r="UE910" s="139"/>
      <c r="UF910" s="139"/>
      <c r="UG910" s="119"/>
    </row>
    <row r="911" spans="1:553" s="120" customFormat="1" ht="54" customHeight="1">
      <c r="A911" s="431" t="s">
        <v>30</v>
      </c>
      <c r="B911" s="541">
        <v>5</v>
      </c>
      <c r="C911" s="1402" t="s">
        <v>892</v>
      </c>
      <c r="D911" s="1389"/>
      <c r="E911" s="1389"/>
      <c r="F911" s="1390"/>
      <c r="G911" s="542" t="s">
        <v>33</v>
      </c>
      <c r="H911" s="543"/>
      <c r="I911" s="422">
        <f>-29.8*1.8*2</f>
        <v>-107.28</v>
      </c>
      <c r="J911" s="990">
        <v>41700</v>
      </c>
      <c r="K911" s="644"/>
      <c r="L911" s="1191">
        <f>J911*I911</f>
        <v>-4473576</v>
      </c>
      <c r="M911" s="637"/>
      <c r="N911" s="637"/>
      <c r="O911" s="544"/>
      <c r="P911" s="638"/>
      <c r="Q911" s="634"/>
      <c r="R911" s="1164"/>
      <c r="S911" s="308"/>
      <c r="T911" s="308"/>
      <c r="U911" s="308"/>
      <c r="V911" s="308"/>
      <c r="W911" s="308"/>
      <c r="X911" s="308"/>
      <c r="Y911" s="308"/>
      <c r="Z911" s="604"/>
      <c r="AA911" s="308"/>
      <c r="AB911" s="308"/>
      <c r="AC911" s="545"/>
      <c r="AD911" s="545"/>
      <c r="AE911" s="545"/>
      <c r="AF911" s="545"/>
      <c r="AG911" s="546"/>
      <c r="AH911" s="546"/>
      <c r="AI911" s="546"/>
      <c r="AJ911" s="546"/>
      <c r="AK911" s="546"/>
      <c r="AL911" s="138"/>
      <c r="AM911" s="138"/>
      <c r="AN911" s="138"/>
      <c r="AO911" s="138"/>
      <c r="AP911" s="138"/>
      <c r="AQ911" s="139"/>
      <c r="AR911" s="139"/>
      <c r="AS911" s="139"/>
      <c r="AT911" s="139"/>
      <c r="AU911" s="139"/>
      <c r="AV911" s="139"/>
      <c r="AW911" s="139"/>
      <c r="AX911" s="139"/>
      <c r="AY911" s="139"/>
      <c r="AZ911" s="139"/>
      <c r="BA911" s="139"/>
      <c r="BB911" s="139"/>
      <c r="BC911" s="139"/>
      <c r="BD911" s="139"/>
      <c r="BE911" s="139"/>
      <c r="BF911" s="139"/>
      <c r="BG911" s="139"/>
      <c r="BH911" s="139"/>
      <c r="BI911" s="139"/>
      <c r="BJ911" s="139"/>
      <c r="BK911" s="139"/>
      <c r="BL911" s="139"/>
      <c r="BM911" s="139"/>
      <c r="BN911" s="139"/>
      <c r="BO911" s="139"/>
      <c r="BP911" s="139"/>
      <c r="BQ911" s="139"/>
      <c r="BR911" s="139"/>
      <c r="BS911" s="139"/>
      <c r="BT911" s="139"/>
      <c r="BU911" s="139"/>
      <c r="BV911" s="139"/>
      <c r="BW911" s="139"/>
      <c r="BX911" s="139"/>
      <c r="BY911" s="139"/>
      <c r="BZ911" s="139"/>
      <c r="CA911" s="139"/>
      <c r="CB911" s="139"/>
      <c r="CC911" s="139"/>
      <c r="CD911" s="139"/>
      <c r="CE911" s="139"/>
      <c r="CF911" s="139"/>
      <c r="CG911" s="139"/>
      <c r="CH911" s="139"/>
      <c r="CI911" s="139"/>
      <c r="CJ911" s="139"/>
      <c r="CK911" s="139"/>
      <c r="CL911" s="139"/>
      <c r="CM911" s="139"/>
      <c r="CN911" s="139"/>
      <c r="CO911" s="139"/>
      <c r="CP911" s="139"/>
      <c r="CQ911" s="139"/>
      <c r="CR911" s="139"/>
      <c r="CS911" s="139"/>
      <c r="CT911" s="139"/>
      <c r="CU911" s="139"/>
      <c r="CV911" s="139"/>
      <c r="CW911" s="139"/>
      <c r="CX911" s="139"/>
      <c r="CY911" s="139"/>
      <c r="CZ911" s="139"/>
      <c r="DA911" s="139"/>
      <c r="DB911" s="139"/>
      <c r="DC911" s="139"/>
      <c r="DD911" s="139"/>
      <c r="DE911" s="139"/>
      <c r="DF911" s="139"/>
      <c r="DG911" s="139"/>
      <c r="DH911" s="139"/>
      <c r="DI911" s="139"/>
      <c r="DJ911" s="139"/>
      <c r="DK911" s="139"/>
      <c r="DL911" s="139"/>
      <c r="DM911" s="139"/>
      <c r="DN911" s="139"/>
      <c r="DO911" s="139"/>
      <c r="DP911" s="139"/>
      <c r="DQ911" s="139"/>
      <c r="DR911" s="139"/>
      <c r="DS911" s="139"/>
      <c r="DT911" s="139"/>
      <c r="DU911" s="139"/>
      <c r="DV911" s="139"/>
      <c r="DW911" s="139"/>
      <c r="DX911" s="139"/>
      <c r="DY911" s="139"/>
      <c r="DZ911" s="139"/>
      <c r="EA911" s="139"/>
      <c r="EB911" s="139"/>
      <c r="EC911" s="139"/>
      <c r="ED911" s="139"/>
      <c r="EE911" s="139"/>
      <c r="EF911" s="139"/>
      <c r="EG911" s="139"/>
      <c r="EH911" s="139"/>
      <c r="EI911" s="139"/>
      <c r="EJ911" s="139"/>
      <c r="EK911" s="139"/>
      <c r="EL911" s="139"/>
      <c r="EM911" s="139"/>
      <c r="EN911" s="139"/>
      <c r="EO911" s="139"/>
      <c r="EP911" s="139"/>
      <c r="EQ911" s="139"/>
      <c r="ER911" s="139"/>
      <c r="ES911" s="139"/>
      <c r="ET911" s="139"/>
      <c r="EU911" s="139"/>
      <c r="EV911" s="139"/>
      <c r="EW911" s="139"/>
      <c r="EX911" s="139"/>
      <c r="EY911" s="139"/>
      <c r="EZ911" s="139"/>
      <c r="FA911" s="139"/>
      <c r="FB911" s="139"/>
      <c r="FC911" s="139"/>
      <c r="FD911" s="139"/>
      <c r="FE911" s="139"/>
      <c r="FF911" s="139"/>
      <c r="FG911" s="139"/>
      <c r="FH911" s="139"/>
      <c r="FI911" s="139"/>
      <c r="FJ911" s="139"/>
      <c r="FK911" s="139"/>
      <c r="FL911" s="139"/>
      <c r="FM911" s="139"/>
      <c r="FN911" s="139"/>
      <c r="FO911" s="139"/>
      <c r="FP911" s="139"/>
      <c r="FQ911" s="139"/>
      <c r="FR911" s="139"/>
      <c r="FS911" s="139"/>
      <c r="FT911" s="139"/>
      <c r="FU911" s="139"/>
      <c r="FV911" s="139"/>
      <c r="FW911" s="139"/>
      <c r="FX911" s="139"/>
      <c r="FY911" s="139"/>
      <c r="FZ911" s="139"/>
      <c r="GA911" s="139"/>
      <c r="GB911" s="139"/>
      <c r="GC911" s="139"/>
      <c r="GD911" s="139"/>
      <c r="GE911" s="139"/>
      <c r="GF911" s="139"/>
      <c r="GG911" s="139"/>
      <c r="GH911" s="139"/>
      <c r="GI911" s="139"/>
      <c r="GJ911" s="139"/>
      <c r="GK911" s="139"/>
      <c r="GL911" s="139"/>
      <c r="GM911" s="139"/>
      <c r="GN911" s="139"/>
      <c r="GO911" s="139"/>
      <c r="GP911" s="139"/>
      <c r="GQ911" s="139"/>
      <c r="GR911" s="139"/>
      <c r="GS911" s="139"/>
      <c r="GT911" s="139"/>
      <c r="GU911" s="139"/>
      <c r="GV911" s="139"/>
      <c r="GW911" s="139"/>
      <c r="GX911" s="139"/>
      <c r="GY911" s="139"/>
      <c r="GZ911" s="139"/>
      <c r="HA911" s="139"/>
      <c r="HB911" s="139"/>
      <c r="HC911" s="139"/>
      <c r="HD911" s="139"/>
      <c r="HE911" s="139"/>
      <c r="HF911" s="139"/>
      <c r="HG911" s="139"/>
      <c r="HH911" s="139"/>
      <c r="HI911" s="139"/>
      <c r="HJ911" s="139"/>
      <c r="HK911" s="139"/>
      <c r="HL911" s="139"/>
      <c r="HM911" s="139"/>
      <c r="HN911" s="139"/>
      <c r="HO911" s="139"/>
      <c r="HP911" s="139"/>
      <c r="HQ911" s="139"/>
      <c r="HR911" s="139"/>
      <c r="HS911" s="139"/>
      <c r="HT911" s="139"/>
      <c r="HU911" s="139"/>
      <c r="HV911" s="139"/>
      <c r="HW911" s="139"/>
      <c r="HX911" s="139"/>
      <c r="HY911" s="139"/>
      <c r="HZ911" s="139"/>
      <c r="IA911" s="139"/>
      <c r="IB911" s="139"/>
      <c r="IC911" s="139"/>
      <c r="ID911" s="139"/>
      <c r="IE911" s="139"/>
      <c r="IF911" s="139"/>
      <c r="IG911" s="139"/>
      <c r="IH911" s="139"/>
      <c r="II911" s="139"/>
      <c r="IJ911" s="139"/>
      <c r="IK911" s="139"/>
      <c r="IL911" s="139"/>
      <c r="IM911" s="139"/>
      <c r="IN911" s="139"/>
      <c r="IO911" s="139"/>
      <c r="IP911" s="139"/>
      <c r="IQ911" s="139"/>
      <c r="IR911" s="139"/>
      <c r="IS911" s="139"/>
      <c r="IT911" s="139"/>
      <c r="IU911" s="139"/>
      <c r="IV911" s="139"/>
      <c r="IW911" s="139"/>
      <c r="IX911" s="139"/>
      <c r="IY911" s="139"/>
      <c r="IZ911" s="139"/>
      <c r="JA911" s="139"/>
      <c r="JB911" s="139"/>
      <c r="JC911" s="139"/>
      <c r="JD911" s="139"/>
      <c r="JE911" s="139"/>
      <c r="JF911" s="139"/>
      <c r="JG911" s="139"/>
      <c r="JH911" s="139"/>
      <c r="JI911" s="139"/>
      <c r="JJ911" s="139"/>
      <c r="JK911" s="139"/>
      <c r="JL911" s="139"/>
      <c r="JM911" s="139"/>
      <c r="JN911" s="139"/>
      <c r="JO911" s="139"/>
      <c r="JP911" s="139"/>
      <c r="JQ911" s="139"/>
      <c r="JR911" s="139"/>
      <c r="JS911" s="139"/>
      <c r="JT911" s="139"/>
      <c r="JU911" s="139"/>
      <c r="JV911" s="139"/>
      <c r="JW911" s="139"/>
      <c r="JX911" s="139"/>
      <c r="JY911" s="139"/>
      <c r="JZ911" s="139"/>
      <c r="KA911" s="139"/>
      <c r="KB911" s="139"/>
      <c r="KC911" s="139"/>
      <c r="KD911" s="139"/>
      <c r="KE911" s="139"/>
      <c r="KF911" s="139"/>
      <c r="KG911" s="139"/>
      <c r="KH911" s="139"/>
      <c r="KI911" s="139"/>
      <c r="KJ911" s="139"/>
      <c r="KK911" s="139"/>
      <c r="KL911" s="139"/>
      <c r="KM911" s="139"/>
      <c r="KN911" s="139"/>
      <c r="KO911" s="139"/>
      <c r="KP911" s="139"/>
      <c r="KQ911" s="139"/>
      <c r="KR911" s="139"/>
      <c r="KS911" s="139"/>
      <c r="KT911" s="139"/>
      <c r="KU911" s="139"/>
      <c r="KV911" s="139"/>
      <c r="KW911" s="139"/>
      <c r="KX911" s="139"/>
      <c r="KY911" s="139"/>
      <c r="KZ911" s="139"/>
      <c r="LA911" s="139"/>
      <c r="LB911" s="139"/>
      <c r="LC911" s="139"/>
      <c r="LD911" s="139"/>
      <c r="LE911" s="139"/>
      <c r="LF911" s="139"/>
      <c r="LG911" s="139"/>
      <c r="LH911" s="139"/>
      <c r="LI911" s="139"/>
      <c r="LJ911" s="139"/>
      <c r="LK911" s="139"/>
      <c r="LL911" s="139"/>
      <c r="LM911" s="139"/>
      <c r="LN911" s="139"/>
      <c r="LO911" s="139"/>
      <c r="LP911" s="139"/>
      <c r="LQ911" s="139"/>
      <c r="LR911" s="139"/>
      <c r="LS911" s="139"/>
      <c r="LT911" s="139"/>
      <c r="LU911" s="139"/>
      <c r="LV911" s="139"/>
      <c r="LW911" s="139"/>
      <c r="LX911" s="139"/>
      <c r="LY911" s="139"/>
      <c r="LZ911" s="139"/>
      <c r="MA911" s="139"/>
      <c r="MB911" s="139"/>
      <c r="MC911" s="139"/>
      <c r="MD911" s="139"/>
      <c r="ME911" s="139"/>
      <c r="MF911" s="139"/>
      <c r="MG911" s="139"/>
      <c r="MH911" s="139"/>
      <c r="MI911" s="139"/>
      <c r="MJ911" s="139"/>
      <c r="MK911" s="139"/>
      <c r="ML911" s="139"/>
      <c r="MM911" s="139"/>
      <c r="MN911" s="139"/>
      <c r="MO911" s="139"/>
      <c r="MP911" s="139"/>
      <c r="MQ911" s="139"/>
      <c r="MR911" s="139"/>
      <c r="MS911" s="139"/>
      <c r="MT911" s="139"/>
      <c r="MU911" s="139"/>
      <c r="MV911" s="139"/>
      <c r="MW911" s="139"/>
      <c r="MX911" s="139"/>
      <c r="MY911" s="139"/>
      <c r="MZ911" s="139"/>
      <c r="NA911" s="139"/>
      <c r="NB911" s="139"/>
      <c r="NC911" s="139"/>
      <c r="ND911" s="139"/>
      <c r="NE911" s="139"/>
      <c r="NF911" s="139"/>
      <c r="NG911" s="139"/>
      <c r="NH911" s="139"/>
      <c r="NI911" s="139"/>
      <c r="NJ911" s="139"/>
      <c r="NK911" s="139"/>
      <c r="NL911" s="139"/>
      <c r="NM911" s="139"/>
      <c r="NN911" s="139"/>
      <c r="NO911" s="139"/>
      <c r="NP911" s="139"/>
      <c r="NQ911" s="139"/>
      <c r="NR911" s="139"/>
      <c r="NS911" s="139"/>
      <c r="NT911" s="139"/>
      <c r="NU911" s="139"/>
      <c r="NV911" s="139"/>
      <c r="NW911" s="139"/>
      <c r="NX911" s="139"/>
      <c r="NY911" s="139"/>
      <c r="NZ911" s="139"/>
      <c r="OA911" s="139"/>
      <c r="OB911" s="139"/>
      <c r="OC911" s="139"/>
      <c r="OD911" s="139"/>
      <c r="OE911" s="139"/>
      <c r="OF911" s="139"/>
      <c r="OG911" s="139"/>
      <c r="OH911" s="139"/>
      <c r="OI911" s="139"/>
      <c r="OJ911" s="139"/>
      <c r="OK911" s="139"/>
      <c r="OL911" s="139"/>
      <c r="OM911" s="139"/>
      <c r="ON911" s="139"/>
      <c r="OO911" s="139"/>
      <c r="OP911" s="139"/>
      <c r="OQ911" s="139"/>
      <c r="OR911" s="139"/>
      <c r="OS911" s="139"/>
      <c r="OT911" s="139"/>
      <c r="OU911" s="139"/>
      <c r="OV911" s="139"/>
      <c r="OW911" s="139"/>
      <c r="OX911" s="139"/>
      <c r="OY911" s="139"/>
      <c r="OZ911" s="139"/>
      <c r="PA911" s="139"/>
      <c r="PB911" s="139"/>
      <c r="PC911" s="139"/>
      <c r="PD911" s="139"/>
      <c r="PE911" s="139"/>
      <c r="PF911" s="139"/>
      <c r="PG911" s="139"/>
      <c r="PH911" s="139"/>
      <c r="PI911" s="139"/>
      <c r="PJ911" s="139"/>
      <c r="PK911" s="139"/>
      <c r="PL911" s="139"/>
      <c r="PM911" s="139"/>
      <c r="PN911" s="139"/>
      <c r="PO911" s="139"/>
      <c r="PP911" s="139"/>
      <c r="PQ911" s="139"/>
      <c r="PR911" s="139"/>
      <c r="PS911" s="139"/>
      <c r="PT911" s="139"/>
      <c r="PU911" s="139"/>
      <c r="PV911" s="139"/>
      <c r="PW911" s="139"/>
      <c r="PX911" s="139"/>
      <c r="PY911" s="139"/>
      <c r="PZ911" s="139"/>
      <c r="QA911" s="139"/>
      <c r="QB911" s="139"/>
      <c r="QC911" s="139"/>
      <c r="QD911" s="139"/>
      <c r="QE911" s="139"/>
      <c r="QF911" s="139"/>
      <c r="QG911" s="139"/>
      <c r="QH911" s="139"/>
      <c r="QI911" s="139"/>
      <c r="QJ911" s="139"/>
      <c r="QK911" s="139"/>
      <c r="QL911" s="139"/>
      <c r="QM911" s="139"/>
      <c r="QN911" s="139"/>
      <c r="QO911" s="139"/>
      <c r="QP911" s="139"/>
      <c r="QQ911" s="139"/>
      <c r="QR911" s="139"/>
      <c r="QS911" s="139"/>
      <c r="QT911" s="139"/>
      <c r="QU911" s="139"/>
      <c r="QV911" s="139"/>
      <c r="QW911" s="139"/>
      <c r="QX911" s="139"/>
      <c r="QY911" s="139"/>
      <c r="QZ911" s="139"/>
      <c r="RA911" s="139"/>
      <c r="RB911" s="139"/>
      <c r="RC911" s="139"/>
      <c r="RD911" s="139"/>
      <c r="RE911" s="139"/>
      <c r="RF911" s="139"/>
      <c r="RG911" s="139"/>
      <c r="RH911" s="139"/>
      <c r="RI911" s="139"/>
      <c r="RJ911" s="139"/>
      <c r="RK911" s="139"/>
      <c r="RL911" s="139"/>
      <c r="RM911" s="139"/>
      <c r="RN911" s="139"/>
      <c r="RO911" s="139"/>
      <c r="RP911" s="139"/>
      <c r="RQ911" s="139"/>
      <c r="RR911" s="139"/>
      <c r="RS911" s="139"/>
      <c r="RT911" s="139"/>
      <c r="RU911" s="139"/>
      <c r="RV911" s="139"/>
      <c r="RW911" s="139"/>
      <c r="RX911" s="139"/>
      <c r="RY911" s="139"/>
      <c r="RZ911" s="139"/>
      <c r="SA911" s="139"/>
      <c r="SB911" s="139"/>
      <c r="SC911" s="139"/>
      <c r="SD911" s="139"/>
      <c r="SE911" s="139"/>
      <c r="SF911" s="139"/>
      <c r="SG911" s="139"/>
      <c r="SH911" s="139"/>
      <c r="SI911" s="139"/>
      <c r="SJ911" s="139"/>
      <c r="SK911" s="139"/>
      <c r="SL911" s="139"/>
      <c r="SM911" s="139"/>
      <c r="SN911" s="139"/>
      <c r="SO911" s="139"/>
      <c r="SP911" s="139"/>
      <c r="SQ911" s="139"/>
      <c r="SR911" s="139"/>
      <c r="SS911" s="139"/>
      <c r="ST911" s="139"/>
      <c r="SU911" s="139"/>
      <c r="SV911" s="139"/>
      <c r="SW911" s="139"/>
      <c r="SX911" s="139"/>
      <c r="SY911" s="139"/>
      <c r="SZ911" s="139"/>
      <c r="TA911" s="139"/>
      <c r="TB911" s="139"/>
      <c r="TC911" s="139"/>
      <c r="TD911" s="139"/>
      <c r="TE911" s="139"/>
      <c r="TF911" s="139"/>
      <c r="TG911" s="139"/>
      <c r="TH911" s="139"/>
      <c r="TI911" s="139"/>
      <c r="TJ911" s="139"/>
      <c r="TK911" s="139"/>
      <c r="TL911" s="139"/>
      <c r="TM911" s="139"/>
      <c r="TN911" s="139"/>
      <c r="TO911" s="139"/>
      <c r="TP911" s="139"/>
      <c r="TQ911" s="139"/>
      <c r="TR911" s="139"/>
      <c r="TS911" s="139"/>
      <c r="TT911" s="139"/>
      <c r="TU911" s="139"/>
      <c r="TV911" s="139"/>
      <c r="TW911" s="139"/>
      <c r="TX911" s="139"/>
      <c r="TY911" s="139"/>
      <c r="TZ911" s="139"/>
      <c r="UA911" s="139"/>
      <c r="UB911" s="139"/>
      <c r="UC911" s="139"/>
      <c r="UD911" s="139"/>
      <c r="UE911" s="139"/>
      <c r="UF911" s="139"/>
      <c r="UG911" s="119"/>
    </row>
    <row r="912" spans="1:553" s="142" customFormat="1" ht="54" customHeight="1">
      <c r="A912" s="444"/>
      <c r="B912" s="384">
        <v>20</v>
      </c>
      <c r="C912" s="1370" t="s">
        <v>513</v>
      </c>
      <c r="D912" s="1371"/>
      <c r="E912" s="1371"/>
      <c r="F912" s="1372"/>
      <c r="G912" s="386"/>
      <c r="H912" s="672"/>
      <c r="I912" s="422">
        <f>-10.2*12</f>
        <v>-122.39999999999999</v>
      </c>
      <c r="J912" s="368">
        <v>185700</v>
      </c>
      <c r="K912" s="686"/>
      <c r="L912" s="487">
        <f t="shared" si="137"/>
        <v>-22729680</v>
      </c>
      <c r="M912" s="548"/>
      <c r="N912" s="548"/>
      <c r="O912" s="427"/>
      <c r="P912" s="384"/>
      <c r="Q912" s="1213"/>
      <c r="R912" s="1227"/>
      <c r="S912" s="308"/>
      <c r="T912" s="308"/>
      <c r="U912" s="308"/>
      <c r="V912" s="308"/>
      <c r="W912" s="308"/>
      <c r="X912" s="308"/>
      <c r="Y912" s="308"/>
      <c r="Z912" s="604"/>
      <c r="AA912" s="308"/>
      <c r="AB912" s="308"/>
      <c r="AC912" s="687"/>
      <c r="AD912" s="687"/>
      <c r="AE912" s="687"/>
      <c r="AF912" s="687"/>
      <c r="AG912" s="688"/>
      <c r="AH912" s="688"/>
      <c r="AI912" s="688"/>
      <c r="AJ912" s="688"/>
      <c r="AK912" s="688"/>
      <c r="AL912" s="207"/>
      <c r="AM912" s="140"/>
      <c r="AN912" s="140"/>
      <c r="AO912" s="140"/>
      <c r="AP912" s="140"/>
      <c r="AQ912" s="140"/>
      <c r="AR912" s="140"/>
      <c r="AS912" s="140"/>
      <c r="AT912" s="140"/>
      <c r="AU912" s="140"/>
      <c r="AV912" s="140"/>
      <c r="AW912" s="140"/>
      <c r="AX912" s="140"/>
      <c r="AY912" s="140"/>
      <c r="AZ912" s="140"/>
      <c r="BA912" s="140"/>
      <c r="BB912" s="140"/>
      <c r="BC912" s="140"/>
      <c r="BD912" s="140"/>
      <c r="BE912" s="140"/>
      <c r="BF912" s="140"/>
      <c r="BG912" s="140"/>
      <c r="BH912" s="140"/>
      <c r="BI912" s="140"/>
      <c r="BJ912" s="140"/>
      <c r="BK912" s="140"/>
      <c r="BL912" s="140"/>
      <c r="BM912" s="140"/>
      <c r="BN912" s="140"/>
      <c r="BO912" s="140"/>
      <c r="BP912" s="140"/>
      <c r="BQ912" s="140"/>
      <c r="BR912" s="140"/>
      <c r="BS912" s="140"/>
      <c r="BT912" s="140"/>
      <c r="BU912" s="140"/>
      <c r="BV912" s="140"/>
      <c r="BW912" s="140"/>
      <c r="BX912" s="140"/>
      <c r="BY912" s="140"/>
      <c r="BZ912" s="140"/>
      <c r="CA912" s="140"/>
      <c r="CB912" s="140"/>
      <c r="CC912" s="140"/>
      <c r="CD912" s="140"/>
      <c r="CE912" s="140"/>
      <c r="CF912" s="140"/>
      <c r="CG912" s="140"/>
      <c r="CH912" s="140"/>
      <c r="CI912" s="140"/>
      <c r="CJ912" s="140"/>
      <c r="CK912" s="140"/>
      <c r="CL912" s="140"/>
      <c r="CM912" s="140"/>
      <c r="CN912" s="140"/>
      <c r="CO912" s="140"/>
      <c r="CP912" s="140"/>
      <c r="CQ912" s="140"/>
      <c r="CR912" s="140"/>
      <c r="CS912" s="140"/>
      <c r="CT912" s="140"/>
      <c r="CU912" s="140"/>
      <c r="CV912" s="140"/>
      <c r="CW912" s="140"/>
      <c r="CX912" s="140"/>
      <c r="CY912" s="140"/>
      <c r="CZ912" s="140"/>
      <c r="DA912" s="140"/>
      <c r="DB912" s="140"/>
      <c r="DC912" s="140"/>
      <c r="DD912" s="140"/>
      <c r="DE912" s="140"/>
      <c r="DF912" s="140"/>
      <c r="DG912" s="140"/>
      <c r="DH912" s="140"/>
      <c r="DI912" s="140"/>
      <c r="DJ912" s="140"/>
      <c r="DK912" s="140"/>
      <c r="DL912" s="140"/>
      <c r="DM912" s="140"/>
      <c r="DN912" s="140"/>
      <c r="DO912" s="140"/>
      <c r="DP912" s="140"/>
      <c r="DQ912" s="140"/>
      <c r="DR912" s="140"/>
      <c r="DS912" s="140"/>
      <c r="DT912" s="140"/>
      <c r="DU912" s="140"/>
      <c r="DV912" s="140"/>
      <c r="DW912" s="140"/>
      <c r="DX912" s="140"/>
      <c r="DY912" s="140"/>
      <c r="DZ912" s="140"/>
      <c r="EA912" s="140"/>
      <c r="EB912" s="140"/>
      <c r="EC912" s="140"/>
      <c r="ED912" s="140"/>
      <c r="EE912" s="140"/>
      <c r="EF912" s="140"/>
      <c r="EG912" s="140"/>
      <c r="EH912" s="140"/>
      <c r="EI912" s="140"/>
      <c r="EJ912" s="140"/>
      <c r="EK912" s="140"/>
      <c r="EL912" s="140"/>
      <c r="EM912" s="140"/>
      <c r="EN912" s="140"/>
      <c r="EO912" s="140"/>
      <c r="EP912" s="140"/>
      <c r="EQ912" s="140"/>
      <c r="ER912" s="140"/>
      <c r="ES912" s="140"/>
      <c r="ET912" s="140"/>
      <c r="EU912" s="140"/>
      <c r="EV912" s="140"/>
      <c r="EW912" s="140"/>
      <c r="EX912" s="140"/>
      <c r="EY912" s="140"/>
      <c r="EZ912" s="140"/>
      <c r="FA912" s="140"/>
      <c r="FB912" s="140"/>
      <c r="FC912" s="140"/>
      <c r="FD912" s="140"/>
      <c r="FE912" s="140"/>
      <c r="FF912" s="140"/>
      <c r="FG912" s="140"/>
      <c r="FH912" s="140"/>
      <c r="FI912" s="140"/>
      <c r="FJ912" s="140"/>
      <c r="FK912" s="140"/>
      <c r="FL912" s="140"/>
      <c r="FM912" s="140"/>
      <c r="FN912" s="140"/>
      <c r="FO912" s="140"/>
      <c r="FP912" s="140"/>
      <c r="FQ912" s="140"/>
      <c r="FR912" s="140"/>
      <c r="FS912" s="140"/>
      <c r="FT912" s="140"/>
      <c r="FU912" s="140"/>
      <c r="FV912" s="140"/>
      <c r="FW912" s="140"/>
      <c r="FX912" s="140"/>
      <c r="FY912" s="140"/>
      <c r="FZ912" s="140"/>
      <c r="GA912" s="140"/>
      <c r="GB912" s="140"/>
      <c r="GC912" s="140"/>
      <c r="GD912" s="140"/>
      <c r="GE912" s="140"/>
      <c r="GF912" s="140"/>
      <c r="GG912" s="140"/>
      <c r="GH912" s="140"/>
      <c r="GI912" s="140"/>
      <c r="GJ912" s="140"/>
      <c r="GK912" s="140"/>
      <c r="GL912" s="140"/>
      <c r="GM912" s="140"/>
      <c r="GN912" s="140"/>
      <c r="GO912" s="140"/>
      <c r="GP912" s="140"/>
      <c r="GQ912" s="140"/>
      <c r="GR912" s="140"/>
      <c r="GS912" s="140"/>
      <c r="GT912" s="140"/>
      <c r="GU912" s="140"/>
      <c r="GV912" s="140"/>
      <c r="GW912" s="140"/>
      <c r="GX912" s="140"/>
      <c r="GY912" s="140"/>
      <c r="GZ912" s="140"/>
      <c r="HA912" s="140"/>
      <c r="HB912" s="140"/>
      <c r="HC912" s="140"/>
      <c r="HD912" s="140"/>
      <c r="HE912" s="140"/>
      <c r="HF912" s="140"/>
      <c r="HG912" s="140"/>
      <c r="HH912" s="140"/>
      <c r="HI912" s="140"/>
      <c r="HJ912" s="140"/>
      <c r="HK912" s="140"/>
      <c r="HL912" s="140"/>
      <c r="HM912" s="140"/>
      <c r="HN912" s="140"/>
      <c r="HO912" s="140"/>
      <c r="HP912" s="140"/>
      <c r="HQ912" s="140"/>
      <c r="HR912" s="140"/>
      <c r="HS912" s="140"/>
      <c r="HT912" s="140"/>
      <c r="HU912" s="140"/>
      <c r="HV912" s="140"/>
      <c r="HW912" s="140"/>
      <c r="HX912" s="140"/>
      <c r="HY912" s="140"/>
      <c r="HZ912" s="140"/>
      <c r="IA912" s="140"/>
      <c r="IB912" s="140"/>
      <c r="IC912" s="140"/>
      <c r="ID912" s="140"/>
      <c r="IE912" s="140"/>
      <c r="IF912" s="140"/>
      <c r="IG912" s="140"/>
      <c r="IH912" s="140"/>
      <c r="II912" s="140"/>
      <c r="IJ912" s="140"/>
      <c r="IK912" s="140"/>
      <c r="IL912" s="140"/>
      <c r="IM912" s="140"/>
      <c r="IN912" s="140"/>
      <c r="IO912" s="140"/>
      <c r="IP912" s="140"/>
      <c r="IQ912" s="140"/>
      <c r="IR912" s="140"/>
      <c r="IS912" s="140"/>
      <c r="IT912" s="140"/>
      <c r="IU912" s="140"/>
      <c r="IV912" s="140"/>
      <c r="IW912" s="140"/>
      <c r="IX912" s="140"/>
      <c r="IY912" s="140"/>
      <c r="IZ912" s="140"/>
      <c r="JA912" s="140"/>
      <c r="JB912" s="140"/>
      <c r="JC912" s="140"/>
      <c r="JD912" s="140"/>
      <c r="JE912" s="140"/>
      <c r="JF912" s="140"/>
      <c r="JG912" s="140"/>
      <c r="JH912" s="140"/>
      <c r="JI912" s="140"/>
      <c r="JJ912" s="140"/>
      <c r="JK912" s="140"/>
      <c r="JL912" s="140"/>
      <c r="JM912" s="140"/>
      <c r="JN912" s="140"/>
      <c r="JO912" s="140"/>
      <c r="JP912" s="140"/>
      <c r="JQ912" s="140"/>
      <c r="JR912" s="140"/>
      <c r="JS912" s="140"/>
      <c r="JT912" s="140"/>
      <c r="JU912" s="140"/>
      <c r="JV912" s="140"/>
      <c r="JW912" s="140"/>
      <c r="JX912" s="140"/>
      <c r="JY912" s="140"/>
      <c r="JZ912" s="140"/>
      <c r="KA912" s="140"/>
      <c r="KB912" s="140"/>
      <c r="KC912" s="140"/>
      <c r="KD912" s="140"/>
      <c r="KE912" s="140"/>
      <c r="KF912" s="140"/>
      <c r="KG912" s="140"/>
      <c r="KH912" s="140"/>
      <c r="KI912" s="140"/>
      <c r="KJ912" s="140"/>
      <c r="KK912" s="140"/>
      <c r="KL912" s="140"/>
      <c r="KM912" s="140"/>
      <c r="KN912" s="140"/>
      <c r="KO912" s="140"/>
      <c r="KP912" s="140"/>
      <c r="KQ912" s="140"/>
      <c r="KR912" s="140"/>
      <c r="KS912" s="140"/>
      <c r="KT912" s="140"/>
      <c r="KU912" s="140"/>
      <c r="KV912" s="140"/>
      <c r="KW912" s="140"/>
      <c r="KX912" s="140"/>
      <c r="KY912" s="140"/>
      <c r="KZ912" s="140"/>
      <c r="LA912" s="140"/>
      <c r="LB912" s="140"/>
      <c r="LC912" s="140"/>
      <c r="LD912" s="140"/>
      <c r="LE912" s="140"/>
      <c r="LF912" s="140"/>
      <c r="LG912" s="140"/>
      <c r="LH912" s="140"/>
      <c r="LI912" s="140"/>
      <c r="LJ912" s="140"/>
      <c r="LK912" s="140"/>
      <c r="LL912" s="140"/>
      <c r="LM912" s="140"/>
      <c r="LN912" s="140"/>
      <c r="LO912" s="140"/>
      <c r="LP912" s="140"/>
      <c r="LQ912" s="140"/>
      <c r="LR912" s="140"/>
      <c r="LS912" s="140"/>
      <c r="LT912" s="140"/>
      <c r="LU912" s="140"/>
      <c r="LV912" s="140"/>
      <c r="LW912" s="140"/>
      <c r="LX912" s="140"/>
      <c r="LY912" s="140"/>
      <c r="LZ912" s="140"/>
      <c r="MA912" s="140"/>
      <c r="MB912" s="140"/>
      <c r="MC912" s="140"/>
      <c r="MD912" s="140"/>
      <c r="ME912" s="140"/>
      <c r="MF912" s="140"/>
      <c r="MG912" s="140"/>
      <c r="MH912" s="140"/>
      <c r="MI912" s="140"/>
      <c r="MJ912" s="140"/>
      <c r="MK912" s="140"/>
      <c r="ML912" s="140"/>
      <c r="MM912" s="140"/>
      <c r="MN912" s="140"/>
      <c r="MO912" s="140"/>
      <c r="MP912" s="140"/>
      <c r="MQ912" s="140"/>
      <c r="MR912" s="140"/>
      <c r="MS912" s="140"/>
      <c r="MT912" s="140"/>
      <c r="MU912" s="140"/>
      <c r="MV912" s="140"/>
      <c r="MW912" s="140"/>
      <c r="MX912" s="140"/>
      <c r="MY912" s="140"/>
      <c r="MZ912" s="140"/>
      <c r="NA912" s="140"/>
      <c r="NB912" s="140"/>
      <c r="NC912" s="140"/>
      <c r="ND912" s="140"/>
      <c r="NE912" s="140"/>
      <c r="NF912" s="140"/>
      <c r="NG912" s="140"/>
      <c r="NH912" s="140"/>
      <c r="NI912" s="140"/>
      <c r="NJ912" s="140"/>
      <c r="NK912" s="140"/>
      <c r="NL912" s="140"/>
      <c r="NM912" s="140"/>
      <c r="NN912" s="140"/>
      <c r="NO912" s="140"/>
      <c r="NP912" s="140"/>
      <c r="NQ912" s="140"/>
      <c r="NR912" s="140"/>
      <c r="NS912" s="140"/>
      <c r="NT912" s="140"/>
      <c r="NU912" s="140"/>
      <c r="NV912" s="140"/>
      <c r="NW912" s="140"/>
      <c r="NX912" s="140"/>
      <c r="NY912" s="140"/>
      <c r="NZ912" s="140"/>
      <c r="OA912" s="140"/>
      <c r="OB912" s="140"/>
      <c r="OC912" s="140"/>
      <c r="OD912" s="140"/>
      <c r="OE912" s="140"/>
      <c r="OF912" s="140"/>
      <c r="OG912" s="140"/>
      <c r="OH912" s="140"/>
      <c r="OI912" s="140"/>
      <c r="OJ912" s="140"/>
      <c r="OK912" s="140"/>
      <c r="OL912" s="140"/>
      <c r="OM912" s="140"/>
      <c r="ON912" s="140"/>
      <c r="OO912" s="140"/>
      <c r="OP912" s="140"/>
      <c r="OQ912" s="140"/>
      <c r="OR912" s="140"/>
      <c r="OS912" s="140"/>
      <c r="OT912" s="140"/>
      <c r="OU912" s="140"/>
      <c r="OV912" s="140"/>
      <c r="OW912" s="140"/>
      <c r="OX912" s="140"/>
      <c r="OY912" s="140"/>
      <c r="OZ912" s="140"/>
      <c r="PA912" s="140"/>
      <c r="PB912" s="140"/>
      <c r="PC912" s="140"/>
      <c r="PD912" s="140"/>
      <c r="PE912" s="140"/>
      <c r="PF912" s="140"/>
      <c r="PG912" s="140"/>
      <c r="PH912" s="140"/>
      <c r="PI912" s="140"/>
      <c r="PJ912" s="140"/>
      <c r="PK912" s="140"/>
      <c r="PL912" s="140"/>
      <c r="PM912" s="140"/>
      <c r="PN912" s="140"/>
      <c r="PO912" s="140"/>
      <c r="PP912" s="140"/>
      <c r="PQ912" s="140"/>
      <c r="PR912" s="140"/>
      <c r="PS912" s="140"/>
      <c r="PT912" s="140"/>
      <c r="PU912" s="140"/>
      <c r="PV912" s="140"/>
      <c r="PW912" s="140"/>
      <c r="PX912" s="140"/>
      <c r="PY912" s="140"/>
      <c r="PZ912" s="140"/>
      <c r="QA912" s="140"/>
      <c r="QB912" s="140"/>
      <c r="QC912" s="140"/>
      <c r="QD912" s="140"/>
      <c r="QE912" s="140"/>
      <c r="QF912" s="140"/>
      <c r="QG912" s="140"/>
      <c r="QH912" s="140"/>
      <c r="QI912" s="140"/>
      <c r="QJ912" s="140"/>
      <c r="QK912" s="140"/>
      <c r="QL912" s="140"/>
      <c r="QM912" s="140"/>
      <c r="QN912" s="140"/>
      <c r="QO912" s="140"/>
      <c r="QP912" s="140"/>
      <c r="QQ912" s="140"/>
      <c r="QR912" s="140"/>
      <c r="QS912" s="140"/>
      <c r="QT912" s="140"/>
      <c r="QU912" s="140"/>
      <c r="QV912" s="140"/>
      <c r="QW912" s="140"/>
      <c r="QX912" s="140"/>
      <c r="QY912" s="140"/>
      <c r="QZ912" s="140"/>
      <c r="RA912" s="140"/>
      <c r="RB912" s="140"/>
      <c r="RC912" s="140"/>
      <c r="RD912" s="140"/>
      <c r="RE912" s="140"/>
      <c r="RF912" s="140"/>
      <c r="RG912" s="140"/>
      <c r="RH912" s="140"/>
      <c r="RI912" s="140"/>
      <c r="RJ912" s="140"/>
      <c r="RK912" s="140"/>
      <c r="RL912" s="140"/>
      <c r="RM912" s="140"/>
      <c r="RN912" s="140"/>
      <c r="RO912" s="140"/>
      <c r="RP912" s="140"/>
      <c r="RQ912" s="140"/>
      <c r="RR912" s="140"/>
      <c r="RS912" s="140"/>
      <c r="RT912" s="140"/>
      <c r="RU912" s="140"/>
      <c r="RV912" s="140"/>
      <c r="RW912" s="140"/>
      <c r="RX912" s="140"/>
      <c r="RY912" s="140"/>
      <c r="RZ912" s="140"/>
      <c r="SA912" s="140"/>
      <c r="SB912" s="140"/>
      <c r="SC912" s="140"/>
      <c r="SD912" s="140"/>
      <c r="SE912" s="140"/>
      <c r="SF912" s="140"/>
      <c r="SG912" s="140"/>
      <c r="SH912" s="140"/>
      <c r="SI912" s="140"/>
      <c r="SJ912" s="140"/>
      <c r="SK912" s="140"/>
      <c r="SL912" s="140"/>
      <c r="SM912" s="140"/>
      <c r="SN912" s="140"/>
      <c r="SO912" s="140"/>
      <c r="SP912" s="140"/>
      <c r="SQ912" s="140"/>
      <c r="SR912" s="140"/>
      <c r="SS912" s="140"/>
      <c r="ST912" s="140"/>
      <c r="SU912" s="140"/>
      <c r="SV912" s="140"/>
      <c r="SW912" s="140"/>
      <c r="SX912" s="140"/>
      <c r="SY912" s="140"/>
      <c r="SZ912" s="140"/>
      <c r="TA912" s="140"/>
      <c r="TB912" s="140"/>
      <c r="TC912" s="140"/>
      <c r="TD912" s="140"/>
      <c r="TE912" s="140"/>
      <c r="TF912" s="140"/>
      <c r="TG912" s="140"/>
      <c r="TH912" s="140"/>
      <c r="TI912" s="140"/>
      <c r="TJ912" s="140"/>
      <c r="TK912" s="140"/>
      <c r="TL912" s="140"/>
      <c r="TM912" s="140"/>
      <c r="TN912" s="140"/>
      <c r="TO912" s="140"/>
      <c r="TP912" s="140"/>
      <c r="TQ912" s="140"/>
      <c r="TR912" s="140"/>
      <c r="TS912" s="140"/>
      <c r="TT912" s="140"/>
      <c r="TU912" s="140"/>
      <c r="TV912" s="140"/>
      <c r="TW912" s="140"/>
      <c r="TX912" s="140"/>
      <c r="TY912" s="140"/>
      <c r="TZ912" s="140"/>
      <c r="UA912" s="140"/>
      <c r="UB912" s="140"/>
      <c r="UC912" s="140"/>
      <c r="UD912" s="140"/>
      <c r="UE912" s="140"/>
      <c r="UF912" s="140"/>
      <c r="UG912" s="141"/>
    </row>
    <row r="913" spans="1:553" s="142" customFormat="1" ht="54" customHeight="1">
      <c r="A913" s="444"/>
      <c r="B913" s="690" t="s">
        <v>514</v>
      </c>
      <c r="C913" s="1370" t="s">
        <v>515</v>
      </c>
      <c r="D913" s="1371"/>
      <c r="E913" s="1371"/>
      <c r="F913" s="1372"/>
      <c r="G913" s="386"/>
      <c r="H913" s="672"/>
      <c r="I913" s="422">
        <f>-9.5*2</f>
        <v>-19</v>
      </c>
      <c r="J913" s="368">
        <f>215000-130000</f>
        <v>85000</v>
      </c>
      <c r="K913" s="686"/>
      <c r="L913" s="487">
        <f t="shared" si="137"/>
        <v>-1615000</v>
      </c>
      <c r="M913" s="548"/>
      <c r="N913" s="548"/>
      <c r="O913" s="427"/>
      <c r="P913" s="384"/>
      <c r="Q913" s="1213"/>
      <c r="R913" s="1227"/>
      <c r="S913" s="308"/>
      <c r="T913" s="308"/>
      <c r="U913" s="308"/>
      <c r="V913" s="308"/>
      <c r="W913" s="308"/>
      <c r="X913" s="308"/>
      <c r="Y913" s="308"/>
      <c r="Z913" s="604"/>
      <c r="AA913" s="308"/>
      <c r="AB913" s="308"/>
      <c r="AC913" s="687"/>
      <c r="AD913" s="687"/>
      <c r="AE913" s="687"/>
      <c r="AF913" s="687"/>
      <c r="AG913" s="688"/>
      <c r="AH913" s="688"/>
      <c r="AI913" s="688"/>
      <c r="AJ913" s="688"/>
      <c r="AK913" s="688"/>
      <c r="AL913" s="207"/>
      <c r="AM913" s="140"/>
      <c r="AN913" s="140"/>
      <c r="AO913" s="140"/>
      <c r="AP913" s="140"/>
      <c r="AQ913" s="140"/>
      <c r="AR913" s="140"/>
      <c r="AS913" s="140"/>
      <c r="AT913" s="140"/>
      <c r="AU913" s="140"/>
      <c r="AV913" s="140"/>
      <c r="AW913" s="140"/>
      <c r="AX913" s="140"/>
      <c r="AY913" s="140"/>
      <c r="AZ913" s="140"/>
      <c r="BA913" s="140"/>
      <c r="BB913" s="140"/>
      <c r="BC913" s="140"/>
      <c r="BD913" s="140"/>
      <c r="BE913" s="140"/>
      <c r="BF913" s="140"/>
      <c r="BG913" s="140"/>
      <c r="BH913" s="140"/>
      <c r="BI913" s="140"/>
      <c r="BJ913" s="140"/>
      <c r="BK913" s="140"/>
      <c r="BL913" s="140"/>
      <c r="BM913" s="140"/>
      <c r="BN913" s="140"/>
      <c r="BO913" s="140"/>
      <c r="BP913" s="140"/>
      <c r="BQ913" s="140"/>
      <c r="BR913" s="140"/>
      <c r="BS913" s="140"/>
      <c r="BT913" s="140"/>
      <c r="BU913" s="140"/>
      <c r="BV913" s="140"/>
      <c r="BW913" s="140"/>
      <c r="BX913" s="140"/>
      <c r="BY913" s="140"/>
      <c r="BZ913" s="140"/>
      <c r="CA913" s="140"/>
      <c r="CB913" s="140"/>
      <c r="CC913" s="140"/>
      <c r="CD913" s="140"/>
      <c r="CE913" s="140"/>
      <c r="CF913" s="140"/>
      <c r="CG913" s="140"/>
      <c r="CH913" s="140"/>
      <c r="CI913" s="140"/>
      <c r="CJ913" s="140"/>
      <c r="CK913" s="140"/>
      <c r="CL913" s="140"/>
      <c r="CM913" s="140"/>
      <c r="CN913" s="140"/>
      <c r="CO913" s="140"/>
      <c r="CP913" s="140"/>
      <c r="CQ913" s="140"/>
      <c r="CR913" s="140"/>
      <c r="CS913" s="140"/>
      <c r="CT913" s="140"/>
      <c r="CU913" s="140"/>
      <c r="CV913" s="140"/>
      <c r="CW913" s="140"/>
      <c r="CX913" s="140"/>
      <c r="CY913" s="140"/>
      <c r="CZ913" s="140"/>
      <c r="DA913" s="140"/>
      <c r="DB913" s="140"/>
      <c r="DC913" s="140"/>
      <c r="DD913" s="140"/>
      <c r="DE913" s="140"/>
      <c r="DF913" s="140"/>
      <c r="DG913" s="140"/>
      <c r="DH913" s="140"/>
      <c r="DI913" s="140"/>
      <c r="DJ913" s="140"/>
      <c r="DK913" s="140"/>
      <c r="DL913" s="140"/>
      <c r="DM913" s="140"/>
      <c r="DN913" s="140"/>
      <c r="DO913" s="140"/>
      <c r="DP913" s="140"/>
      <c r="DQ913" s="140"/>
      <c r="DR913" s="140"/>
      <c r="DS913" s="140"/>
      <c r="DT913" s="140"/>
      <c r="DU913" s="140"/>
      <c r="DV913" s="140"/>
      <c r="DW913" s="140"/>
      <c r="DX913" s="140"/>
      <c r="DY913" s="140"/>
      <c r="DZ913" s="140"/>
      <c r="EA913" s="140"/>
      <c r="EB913" s="140"/>
      <c r="EC913" s="140"/>
      <c r="ED913" s="140"/>
      <c r="EE913" s="140"/>
      <c r="EF913" s="140"/>
      <c r="EG913" s="140"/>
      <c r="EH913" s="140"/>
      <c r="EI913" s="140"/>
      <c r="EJ913" s="140"/>
      <c r="EK913" s="140"/>
      <c r="EL913" s="140"/>
      <c r="EM913" s="140"/>
      <c r="EN913" s="140"/>
      <c r="EO913" s="140"/>
      <c r="EP913" s="140"/>
      <c r="EQ913" s="140"/>
      <c r="ER913" s="140"/>
      <c r="ES913" s="140"/>
      <c r="ET913" s="140"/>
      <c r="EU913" s="140"/>
      <c r="EV913" s="140"/>
      <c r="EW913" s="140"/>
      <c r="EX913" s="140"/>
      <c r="EY913" s="140"/>
      <c r="EZ913" s="140"/>
      <c r="FA913" s="140"/>
      <c r="FB913" s="140"/>
      <c r="FC913" s="140"/>
      <c r="FD913" s="140"/>
      <c r="FE913" s="140"/>
      <c r="FF913" s="140"/>
      <c r="FG913" s="140"/>
      <c r="FH913" s="140"/>
      <c r="FI913" s="140"/>
      <c r="FJ913" s="140"/>
      <c r="FK913" s="140"/>
      <c r="FL913" s="140"/>
      <c r="FM913" s="140"/>
      <c r="FN913" s="140"/>
      <c r="FO913" s="140"/>
      <c r="FP913" s="140"/>
      <c r="FQ913" s="140"/>
      <c r="FR913" s="140"/>
      <c r="FS913" s="140"/>
      <c r="FT913" s="140"/>
      <c r="FU913" s="140"/>
      <c r="FV913" s="140"/>
      <c r="FW913" s="140"/>
      <c r="FX913" s="140"/>
      <c r="FY913" s="140"/>
      <c r="FZ913" s="140"/>
      <c r="GA913" s="140"/>
      <c r="GB913" s="140"/>
      <c r="GC913" s="140"/>
      <c r="GD913" s="140"/>
      <c r="GE913" s="140"/>
      <c r="GF913" s="140"/>
      <c r="GG913" s="140"/>
      <c r="GH913" s="140"/>
      <c r="GI913" s="140"/>
      <c r="GJ913" s="140"/>
      <c r="GK913" s="140"/>
      <c r="GL913" s="140"/>
      <c r="GM913" s="140"/>
      <c r="GN913" s="140"/>
      <c r="GO913" s="140"/>
      <c r="GP913" s="140"/>
      <c r="GQ913" s="140"/>
      <c r="GR913" s="140"/>
      <c r="GS913" s="140"/>
      <c r="GT913" s="140"/>
      <c r="GU913" s="140"/>
      <c r="GV913" s="140"/>
      <c r="GW913" s="140"/>
      <c r="GX913" s="140"/>
      <c r="GY913" s="140"/>
      <c r="GZ913" s="140"/>
      <c r="HA913" s="140"/>
      <c r="HB913" s="140"/>
      <c r="HC913" s="140"/>
      <c r="HD913" s="140"/>
      <c r="HE913" s="140"/>
      <c r="HF913" s="140"/>
      <c r="HG913" s="140"/>
      <c r="HH913" s="140"/>
      <c r="HI913" s="140"/>
      <c r="HJ913" s="140"/>
      <c r="HK913" s="140"/>
      <c r="HL913" s="140"/>
      <c r="HM913" s="140"/>
      <c r="HN913" s="140"/>
      <c r="HO913" s="140"/>
      <c r="HP913" s="140"/>
      <c r="HQ913" s="140"/>
      <c r="HR913" s="140"/>
      <c r="HS913" s="140"/>
      <c r="HT913" s="140"/>
      <c r="HU913" s="140"/>
      <c r="HV913" s="140"/>
      <c r="HW913" s="140"/>
      <c r="HX913" s="140"/>
      <c r="HY913" s="140"/>
      <c r="HZ913" s="140"/>
      <c r="IA913" s="140"/>
      <c r="IB913" s="140"/>
      <c r="IC913" s="140"/>
      <c r="ID913" s="140"/>
      <c r="IE913" s="140"/>
      <c r="IF913" s="140"/>
      <c r="IG913" s="140"/>
      <c r="IH913" s="140"/>
      <c r="II913" s="140"/>
      <c r="IJ913" s="140"/>
      <c r="IK913" s="140"/>
      <c r="IL913" s="140"/>
      <c r="IM913" s="140"/>
      <c r="IN913" s="140"/>
      <c r="IO913" s="140"/>
      <c r="IP913" s="140"/>
      <c r="IQ913" s="140"/>
      <c r="IR913" s="140"/>
      <c r="IS913" s="140"/>
      <c r="IT913" s="140"/>
      <c r="IU913" s="140"/>
      <c r="IV913" s="140"/>
      <c r="IW913" s="140"/>
      <c r="IX913" s="140"/>
      <c r="IY913" s="140"/>
      <c r="IZ913" s="140"/>
      <c r="JA913" s="140"/>
      <c r="JB913" s="140"/>
      <c r="JC913" s="140"/>
      <c r="JD913" s="140"/>
      <c r="JE913" s="140"/>
      <c r="JF913" s="140"/>
      <c r="JG913" s="140"/>
      <c r="JH913" s="140"/>
      <c r="JI913" s="140"/>
      <c r="JJ913" s="140"/>
      <c r="JK913" s="140"/>
      <c r="JL913" s="140"/>
      <c r="JM913" s="140"/>
      <c r="JN913" s="140"/>
      <c r="JO913" s="140"/>
      <c r="JP913" s="140"/>
      <c r="JQ913" s="140"/>
      <c r="JR913" s="140"/>
      <c r="JS913" s="140"/>
      <c r="JT913" s="140"/>
      <c r="JU913" s="140"/>
      <c r="JV913" s="140"/>
      <c r="JW913" s="140"/>
      <c r="JX913" s="140"/>
      <c r="JY913" s="140"/>
      <c r="JZ913" s="140"/>
      <c r="KA913" s="140"/>
      <c r="KB913" s="140"/>
      <c r="KC913" s="140"/>
      <c r="KD913" s="140"/>
      <c r="KE913" s="140"/>
      <c r="KF913" s="140"/>
      <c r="KG913" s="140"/>
      <c r="KH913" s="140"/>
      <c r="KI913" s="140"/>
      <c r="KJ913" s="140"/>
      <c r="KK913" s="140"/>
      <c r="KL913" s="140"/>
      <c r="KM913" s="140"/>
      <c r="KN913" s="140"/>
      <c r="KO913" s="140"/>
      <c r="KP913" s="140"/>
      <c r="KQ913" s="140"/>
      <c r="KR913" s="140"/>
      <c r="KS913" s="140"/>
      <c r="KT913" s="140"/>
      <c r="KU913" s="140"/>
      <c r="KV913" s="140"/>
      <c r="KW913" s="140"/>
      <c r="KX913" s="140"/>
      <c r="KY913" s="140"/>
      <c r="KZ913" s="140"/>
      <c r="LA913" s="140"/>
      <c r="LB913" s="140"/>
      <c r="LC913" s="140"/>
      <c r="LD913" s="140"/>
      <c r="LE913" s="140"/>
      <c r="LF913" s="140"/>
      <c r="LG913" s="140"/>
      <c r="LH913" s="140"/>
      <c r="LI913" s="140"/>
      <c r="LJ913" s="140"/>
      <c r="LK913" s="140"/>
      <c r="LL913" s="140"/>
      <c r="LM913" s="140"/>
      <c r="LN913" s="140"/>
      <c r="LO913" s="140"/>
      <c r="LP913" s="140"/>
      <c r="LQ913" s="140"/>
      <c r="LR913" s="140"/>
      <c r="LS913" s="140"/>
      <c r="LT913" s="140"/>
      <c r="LU913" s="140"/>
      <c r="LV913" s="140"/>
      <c r="LW913" s="140"/>
      <c r="LX913" s="140"/>
      <c r="LY913" s="140"/>
      <c r="LZ913" s="140"/>
      <c r="MA913" s="140"/>
      <c r="MB913" s="140"/>
      <c r="MC913" s="140"/>
      <c r="MD913" s="140"/>
      <c r="ME913" s="140"/>
      <c r="MF913" s="140"/>
      <c r="MG913" s="140"/>
      <c r="MH913" s="140"/>
      <c r="MI913" s="140"/>
      <c r="MJ913" s="140"/>
      <c r="MK913" s="140"/>
      <c r="ML913" s="140"/>
      <c r="MM913" s="140"/>
      <c r="MN913" s="140"/>
      <c r="MO913" s="140"/>
      <c r="MP913" s="140"/>
      <c r="MQ913" s="140"/>
      <c r="MR913" s="140"/>
      <c r="MS913" s="140"/>
      <c r="MT913" s="140"/>
      <c r="MU913" s="140"/>
      <c r="MV913" s="140"/>
      <c r="MW913" s="140"/>
      <c r="MX913" s="140"/>
      <c r="MY913" s="140"/>
      <c r="MZ913" s="140"/>
      <c r="NA913" s="140"/>
      <c r="NB913" s="140"/>
      <c r="NC913" s="140"/>
      <c r="ND913" s="140"/>
      <c r="NE913" s="140"/>
      <c r="NF913" s="140"/>
      <c r="NG913" s="140"/>
      <c r="NH913" s="140"/>
      <c r="NI913" s="140"/>
      <c r="NJ913" s="140"/>
      <c r="NK913" s="140"/>
      <c r="NL913" s="140"/>
      <c r="NM913" s="140"/>
      <c r="NN913" s="140"/>
      <c r="NO913" s="140"/>
      <c r="NP913" s="140"/>
      <c r="NQ913" s="140"/>
      <c r="NR913" s="140"/>
      <c r="NS913" s="140"/>
      <c r="NT913" s="140"/>
      <c r="NU913" s="140"/>
      <c r="NV913" s="140"/>
      <c r="NW913" s="140"/>
      <c r="NX913" s="140"/>
      <c r="NY913" s="140"/>
      <c r="NZ913" s="140"/>
      <c r="OA913" s="140"/>
      <c r="OB913" s="140"/>
      <c r="OC913" s="140"/>
      <c r="OD913" s="140"/>
      <c r="OE913" s="140"/>
      <c r="OF913" s="140"/>
      <c r="OG913" s="140"/>
      <c r="OH913" s="140"/>
      <c r="OI913" s="140"/>
      <c r="OJ913" s="140"/>
      <c r="OK913" s="140"/>
      <c r="OL913" s="140"/>
      <c r="OM913" s="140"/>
      <c r="ON913" s="140"/>
      <c r="OO913" s="140"/>
      <c r="OP913" s="140"/>
      <c r="OQ913" s="140"/>
      <c r="OR913" s="140"/>
      <c r="OS913" s="140"/>
      <c r="OT913" s="140"/>
      <c r="OU913" s="140"/>
      <c r="OV913" s="140"/>
      <c r="OW913" s="140"/>
      <c r="OX913" s="140"/>
      <c r="OY913" s="140"/>
      <c r="OZ913" s="140"/>
      <c r="PA913" s="140"/>
      <c r="PB913" s="140"/>
      <c r="PC913" s="140"/>
      <c r="PD913" s="140"/>
      <c r="PE913" s="140"/>
      <c r="PF913" s="140"/>
      <c r="PG913" s="140"/>
      <c r="PH913" s="140"/>
      <c r="PI913" s="140"/>
      <c r="PJ913" s="140"/>
      <c r="PK913" s="140"/>
      <c r="PL913" s="140"/>
      <c r="PM913" s="140"/>
      <c r="PN913" s="140"/>
      <c r="PO913" s="140"/>
      <c r="PP913" s="140"/>
      <c r="PQ913" s="140"/>
      <c r="PR913" s="140"/>
      <c r="PS913" s="140"/>
      <c r="PT913" s="140"/>
      <c r="PU913" s="140"/>
      <c r="PV913" s="140"/>
      <c r="PW913" s="140"/>
      <c r="PX913" s="140"/>
      <c r="PY913" s="140"/>
      <c r="PZ913" s="140"/>
      <c r="QA913" s="140"/>
      <c r="QB913" s="140"/>
      <c r="QC913" s="140"/>
      <c r="QD913" s="140"/>
      <c r="QE913" s="140"/>
      <c r="QF913" s="140"/>
      <c r="QG913" s="140"/>
      <c r="QH913" s="140"/>
      <c r="QI913" s="140"/>
      <c r="QJ913" s="140"/>
      <c r="QK913" s="140"/>
      <c r="QL913" s="140"/>
      <c r="QM913" s="140"/>
      <c r="QN913" s="140"/>
      <c r="QO913" s="140"/>
      <c r="QP913" s="140"/>
      <c r="QQ913" s="140"/>
      <c r="QR913" s="140"/>
      <c r="QS913" s="140"/>
      <c r="QT913" s="140"/>
      <c r="QU913" s="140"/>
      <c r="QV913" s="140"/>
      <c r="QW913" s="140"/>
      <c r="QX913" s="140"/>
      <c r="QY913" s="140"/>
      <c r="QZ913" s="140"/>
      <c r="RA913" s="140"/>
      <c r="RB913" s="140"/>
      <c r="RC913" s="140"/>
      <c r="RD913" s="140"/>
      <c r="RE913" s="140"/>
      <c r="RF913" s="140"/>
      <c r="RG913" s="140"/>
      <c r="RH913" s="140"/>
      <c r="RI913" s="140"/>
      <c r="RJ913" s="140"/>
      <c r="RK913" s="140"/>
      <c r="RL913" s="140"/>
      <c r="RM913" s="140"/>
      <c r="RN913" s="140"/>
      <c r="RO913" s="140"/>
      <c r="RP913" s="140"/>
      <c r="RQ913" s="140"/>
      <c r="RR913" s="140"/>
      <c r="RS913" s="140"/>
      <c r="RT913" s="140"/>
      <c r="RU913" s="140"/>
      <c r="RV913" s="140"/>
      <c r="RW913" s="140"/>
      <c r="RX913" s="140"/>
      <c r="RY913" s="140"/>
      <c r="RZ913" s="140"/>
      <c r="SA913" s="140"/>
      <c r="SB913" s="140"/>
      <c r="SC913" s="140"/>
      <c r="SD913" s="140"/>
      <c r="SE913" s="140"/>
      <c r="SF913" s="140"/>
      <c r="SG913" s="140"/>
      <c r="SH913" s="140"/>
      <c r="SI913" s="140"/>
      <c r="SJ913" s="140"/>
      <c r="SK913" s="140"/>
      <c r="SL913" s="140"/>
      <c r="SM913" s="140"/>
      <c r="SN913" s="140"/>
      <c r="SO913" s="140"/>
      <c r="SP913" s="140"/>
      <c r="SQ913" s="140"/>
      <c r="SR913" s="140"/>
      <c r="SS913" s="140"/>
      <c r="ST913" s="140"/>
      <c r="SU913" s="140"/>
      <c r="SV913" s="140"/>
      <c r="SW913" s="140"/>
      <c r="SX913" s="140"/>
      <c r="SY913" s="140"/>
      <c r="SZ913" s="140"/>
      <c r="TA913" s="140"/>
      <c r="TB913" s="140"/>
      <c r="TC913" s="140"/>
      <c r="TD913" s="140"/>
      <c r="TE913" s="140"/>
      <c r="TF913" s="140"/>
      <c r="TG913" s="140"/>
      <c r="TH913" s="140"/>
      <c r="TI913" s="140"/>
      <c r="TJ913" s="140"/>
      <c r="TK913" s="140"/>
      <c r="TL913" s="140"/>
      <c r="TM913" s="140"/>
      <c r="TN913" s="140"/>
      <c r="TO913" s="140"/>
      <c r="TP913" s="140"/>
      <c r="TQ913" s="140"/>
      <c r="TR913" s="140"/>
      <c r="TS913" s="140"/>
      <c r="TT913" s="140"/>
      <c r="TU913" s="140"/>
      <c r="TV913" s="140"/>
      <c r="TW913" s="140"/>
      <c r="TX913" s="140"/>
      <c r="TY913" s="140"/>
      <c r="TZ913" s="140"/>
      <c r="UA913" s="140"/>
      <c r="UB913" s="140"/>
      <c r="UC913" s="140"/>
      <c r="UD913" s="140"/>
      <c r="UE913" s="140"/>
      <c r="UF913" s="140"/>
      <c r="UG913" s="141"/>
    </row>
    <row r="914" spans="1:553" s="142" customFormat="1" ht="54" customHeight="1">
      <c r="A914" s="444"/>
      <c r="B914" s="691"/>
      <c r="C914" s="1370" t="s">
        <v>1285</v>
      </c>
      <c r="D914" s="1371"/>
      <c r="E914" s="1371"/>
      <c r="F914" s="1372"/>
      <c r="G914" s="386" t="s">
        <v>33</v>
      </c>
      <c r="H914" s="672"/>
      <c r="I914" s="422">
        <f>-I908</f>
        <v>-122.39999999999999</v>
      </c>
      <c r="J914" s="368">
        <f>124207-60200</f>
        <v>64007</v>
      </c>
      <c r="K914" s="686"/>
      <c r="L914" s="487">
        <f t="shared" si="137"/>
        <v>-7834456.7999999998</v>
      </c>
      <c r="M914" s="548"/>
      <c r="N914" s="548"/>
      <c r="O914" s="427"/>
      <c r="P914" s="384"/>
      <c r="Q914" s="1213"/>
      <c r="R914" s="1227"/>
      <c r="S914" s="308"/>
      <c r="T914" s="308"/>
      <c r="U914" s="308"/>
      <c r="V914" s="308"/>
      <c r="W914" s="308"/>
      <c r="X914" s="308"/>
      <c r="Y914" s="308"/>
      <c r="Z914" s="604"/>
      <c r="AA914" s="308"/>
      <c r="AB914" s="308"/>
      <c r="AC914" s="687"/>
      <c r="AD914" s="687"/>
      <c r="AE914" s="687"/>
      <c r="AF914" s="687"/>
      <c r="AG914" s="688"/>
      <c r="AH914" s="688"/>
      <c r="AI914" s="688"/>
      <c r="AJ914" s="688"/>
      <c r="AK914" s="688"/>
      <c r="AL914" s="207"/>
      <c r="AM914" s="207"/>
      <c r="AN914" s="207"/>
      <c r="AO914" s="207"/>
      <c r="AP914" s="207"/>
      <c r="AQ914" s="207"/>
      <c r="AR914" s="207"/>
      <c r="AS914" s="207"/>
      <c r="AT914" s="207"/>
      <c r="AU914" s="207"/>
      <c r="AV914" s="207"/>
      <c r="AW914" s="207"/>
      <c r="AX914" s="207"/>
      <c r="AY914" s="207"/>
      <c r="AZ914" s="207"/>
      <c r="BA914" s="207"/>
      <c r="BB914" s="207"/>
      <c r="BC914" s="207"/>
      <c r="BD914" s="207"/>
      <c r="BE914" s="207"/>
      <c r="BF914" s="207"/>
      <c r="BG914" s="207"/>
      <c r="BH914" s="207"/>
      <c r="BI914" s="207"/>
      <c r="BJ914" s="207"/>
      <c r="BK914" s="207"/>
      <c r="BL914" s="207"/>
      <c r="BM914" s="207"/>
      <c r="BN914" s="207"/>
      <c r="BO914" s="207"/>
      <c r="BP914" s="207"/>
      <c r="BQ914" s="207"/>
      <c r="BR914" s="207"/>
      <c r="BS914" s="207"/>
      <c r="BT914" s="207"/>
      <c r="BU914" s="207"/>
      <c r="BV914" s="207"/>
      <c r="BW914" s="207"/>
      <c r="BX914" s="207"/>
      <c r="BY914" s="207"/>
      <c r="BZ914" s="207"/>
      <c r="CA914" s="207"/>
      <c r="CB914" s="207"/>
      <c r="CC914" s="207"/>
      <c r="CD914" s="207"/>
      <c r="CE914" s="207"/>
      <c r="CF914" s="207"/>
      <c r="CG914" s="207"/>
      <c r="CH914" s="207"/>
      <c r="CI914" s="207"/>
      <c r="CJ914" s="207"/>
      <c r="CK914" s="207"/>
      <c r="CL914" s="207"/>
      <c r="CM914" s="207"/>
      <c r="CN914" s="207"/>
      <c r="CO914" s="207"/>
      <c r="CP914" s="207"/>
      <c r="CQ914" s="207"/>
      <c r="CR914" s="207"/>
      <c r="CS914" s="207"/>
      <c r="CT914" s="207"/>
      <c r="CU914" s="207"/>
      <c r="CV914" s="207"/>
      <c r="CW914" s="207"/>
      <c r="CX914" s="207"/>
      <c r="CY914" s="207"/>
      <c r="CZ914" s="207"/>
      <c r="DA914" s="207"/>
      <c r="DB914" s="207"/>
      <c r="DC914" s="207"/>
      <c r="DD914" s="207"/>
      <c r="DE914" s="207"/>
      <c r="DF914" s="207"/>
      <c r="DG914" s="207"/>
      <c r="DH914" s="207"/>
      <c r="DI914" s="207"/>
      <c r="DJ914" s="207"/>
      <c r="DK914" s="207"/>
      <c r="DL914" s="207"/>
      <c r="DM914" s="207"/>
      <c r="DN914" s="207"/>
      <c r="DO914" s="207"/>
      <c r="DP914" s="207"/>
      <c r="DQ914" s="207"/>
      <c r="DR914" s="207"/>
      <c r="DS914" s="207"/>
      <c r="DT914" s="207"/>
      <c r="DU914" s="207"/>
      <c r="DV914" s="207"/>
      <c r="DW914" s="207"/>
      <c r="DX914" s="207"/>
      <c r="DY914" s="207"/>
      <c r="DZ914" s="207"/>
      <c r="EA914" s="207"/>
      <c r="EB914" s="207"/>
      <c r="EC914" s="207"/>
      <c r="ED914" s="207"/>
      <c r="EE914" s="207"/>
      <c r="EF914" s="207"/>
      <c r="EG914" s="207"/>
      <c r="EH914" s="207"/>
      <c r="EI914" s="207"/>
      <c r="EJ914" s="207"/>
      <c r="EK914" s="207"/>
      <c r="EL914" s="207"/>
      <c r="EM914" s="207"/>
      <c r="EN914" s="207"/>
      <c r="EO914" s="207"/>
      <c r="EP914" s="207"/>
      <c r="EQ914" s="207"/>
      <c r="ER914" s="207"/>
      <c r="ES914" s="207"/>
      <c r="ET914" s="207"/>
      <c r="EU914" s="207"/>
      <c r="EV914" s="207"/>
      <c r="EW914" s="207"/>
      <c r="EX914" s="207"/>
      <c r="EY914" s="207"/>
      <c r="EZ914" s="207"/>
      <c r="FA914" s="207"/>
      <c r="FB914" s="207"/>
      <c r="FC914" s="207"/>
      <c r="FD914" s="207"/>
      <c r="FE914" s="207"/>
      <c r="FF914" s="207"/>
      <c r="FG914" s="207"/>
      <c r="FH914" s="207"/>
      <c r="FI914" s="207"/>
      <c r="FJ914" s="207"/>
      <c r="FK914" s="207"/>
      <c r="FL914" s="207"/>
      <c r="FM914" s="207"/>
      <c r="FN914" s="207"/>
      <c r="FO914" s="207"/>
      <c r="FP914" s="207"/>
      <c r="FQ914" s="207"/>
      <c r="FR914" s="207"/>
      <c r="FS914" s="207"/>
      <c r="FT914" s="207"/>
      <c r="FU914" s="207"/>
      <c r="FV914" s="207"/>
      <c r="FW914" s="207"/>
      <c r="FX914" s="207"/>
      <c r="FY914" s="207"/>
      <c r="FZ914" s="207"/>
      <c r="GA914" s="207"/>
      <c r="GB914" s="207"/>
      <c r="GC914" s="207"/>
      <c r="GD914" s="207"/>
      <c r="GE914" s="207"/>
      <c r="GF914" s="207"/>
      <c r="GG914" s="207"/>
      <c r="GH914" s="207"/>
      <c r="GI914" s="207"/>
      <c r="GJ914" s="207"/>
      <c r="GK914" s="207"/>
      <c r="GL914" s="207"/>
      <c r="GM914" s="207"/>
      <c r="GN914" s="207"/>
      <c r="GO914" s="207"/>
      <c r="GP914" s="207"/>
      <c r="GQ914" s="207"/>
      <c r="GR914" s="207"/>
      <c r="GS914" s="207"/>
      <c r="GT914" s="207"/>
      <c r="GU914" s="207"/>
      <c r="GV914" s="207"/>
      <c r="GW914" s="207"/>
      <c r="GX914" s="207"/>
      <c r="GY914" s="207"/>
      <c r="GZ914" s="207"/>
      <c r="HA914" s="207"/>
      <c r="HB914" s="207"/>
      <c r="HC914" s="207"/>
      <c r="HD914" s="207"/>
      <c r="HE914" s="207"/>
      <c r="HF914" s="207"/>
      <c r="HG914" s="207"/>
      <c r="HH914" s="207"/>
      <c r="HI914" s="207"/>
      <c r="HJ914" s="207"/>
      <c r="HK914" s="207"/>
      <c r="HL914" s="207"/>
      <c r="HM914" s="207"/>
      <c r="HN914" s="207"/>
      <c r="HO914" s="207"/>
      <c r="HP914" s="207"/>
      <c r="HQ914" s="207"/>
      <c r="HR914" s="207"/>
      <c r="HS914" s="207"/>
      <c r="HT914" s="207"/>
      <c r="HU914" s="207"/>
      <c r="HV914" s="207"/>
      <c r="HW914" s="207"/>
      <c r="HX914" s="207"/>
      <c r="HY914" s="207"/>
      <c r="HZ914" s="207"/>
      <c r="IA914" s="207"/>
      <c r="IB914" s="207"/>
      <c r="IC914" s="207"/>
      <c r="ID914" s="207"/>
      <c r="IE914" s="207"/>
      <c r="IF914" s="207"/>
      <c r="IG914" s="207"/>
      <c r="IH914" s="207"/>
      <c r="II914" s="207"/>
      <c r="IJ914" s="207"/>
      <c r="IK914" s="207"/>
      <c r="IL914" s="207"/>
      <c r="IM914" s="207"/>
      <c r="IN914" s="207"/>
      <c r="IO914" s="207"/>
      <c r="IP914" s="207"/>
      <c r="IQ914" s="207"/>
      <c r="IR914" s="207"/>
      <c r="IS914" s="207"/>
      <c r="IT914" s="207"/>
      <c r="IU914" s="207"/>
      <c r="IV914" s="207"/>
      <c r="IW914" s="207"/>
      <c r="IX914" s="207"/>
      <c r="IY914" s="207"/>
      <c r="IZ914" s="207"/>
      <c r="JA914" s="207"/>
      <c r="JB914" s="207"/>
      <c r="JC914" s="207"/>
      <c r="JD914" s="207"/>
      <c r="JE914" s="207"/>
      <c r="JF914" s="207"/>
      <c r="JG914" s="207"/>
      <c r="JH914" s="207"/>
      <c r="JI914" s="207"/>
      <c r="JJ914" s="207"/>
      <c r="JK914" s="207"/>
      <c r="JL914" s="207"/>
      <c r="JM914" s="207"/>
      <c r="JN914" s="207"/>
      <c r="JO914" s="207"/>
      <c r="JP914" s="207"/>
      <c r="JQ914" s="207"/>
      <c r="JR914" s="207"/>
      <c r="JS914" s="207"/>
      <c r="JT914" s="207"/>
      <c r="JU914" s="207"/>
      <c r="JV914" s="207"/>
      <c r="JW914" s="207"/>
      <c r="JX914" s="207"/>
      <c r="JY914" s="207"/>
      <c r="JZ914" s="207"/>
      <c r="KA914" s="207"/>
      <c r="KB914" s="207"/>
      <c r="KC914" s="207"/>
      <c r="KD914" s="207"/>
      <c r="KE914" s="207"/>
      <c r="KF914" s="207"/>
      <c r="KG914" s="207"/>
      <c r="KH914" s="207"/>
      <c r="KI914" s="207"/>
      <c r="KJ914" s="207"/>
      <c r="KK914" s="207"/>
      <c r="KL914" s="207"/>
      <c r="KM914" s="207"/>
      <c r="KN914" s="207"/>
      <c r="KO914" s="207"/>
      <c r="KP914" s="207"/>
      <c r="KQ914" s="207"/>
      <c r="KR914" s="207"/>
      <c r="KS914" s="207"/>
      <c r="KT914" s="207"/>
      <c r="KU914" s="207"/>
      <c r="KV914" s="207"/>
      <c r="KW914" s="207"/>
      <c r="KX914" s="207"/>
      <c r="KY914" s="207"/>
      <c r="KZ914" s="207"/>
      <c r="LA914" s="207"/>
      <c r="LB914" s="207"/>
      <c r="LC914" s="207"/>
      <c r="LD914" s="207"/>
      <c r="LE914" s="207"/>
      <c r="LF914" s="207"/>
      <c r="LG914" s="207"/>
      <c r="LH914" s="207"/>
      <c r="LI914" s="207"/>
      <c r="LJ914" s="207"/>
      <c r="LK914" s="207"/>
      <c r="LL914" s="207"/>
      <c r="LM914" s="207"/>
      <c r="LN914" s="207"/>
      <c r="LO914" s="207"/>
      <c r="LP914" s="207"/>
      <c r="LQ914" s="207"/>
      <c r="LR914" s="207"/>
      <c r="LS914" s="207"/>
      <c r="LT914" s="207"/>
      <c r="LU914" s="207"/>
      <c r="LV914" s="207"/>
      <c r="LW914" s="207"/>
      <c r="LX914" s="207"/>
      <c r="LY914" s="207"/>
      <c r="LZ914" s="207"/>
      <c r="MA914" s="207"/>
      <c r="MB914" s="207"/>
      <c r="MC914" s="207"/>
      <c r="MD914" s="207"/>
      <c r="ME914" s="207"/>
      <c r="MF914" s="207"/>
      <c r="MG914" s="207"/>
      <c r="MH914" s="207"/>
      <c r="MI914" s="207"/>
      <c r="MJ914" s="207"/>
      <c r="MK914" s="207"/>
      <c r="ML914" s="207"/>
      <c r="MM914" s="207"/>
      <c r="MN914" s="207"/>
      <c r="MO914" s="207"/>
      <c r="MP914" s="207"/>
      <c r="MQ914" s="207"/>
      <c r="MR914" s="207"/>
      <c r="MS914" s="207"/>
      <c r="MT914" s="207"/>
      <c r="MU914" s="207"/>
      <c r="MV914" s="207"/>
      <c r="MW914" s="207"/>
      <c r="MX914" s="207"/>
      <c r="MY914" s="207"/>
      <c r="MZ914" s="207"/>
      <c r="NA914" s="207"/>
      <c r="NB914" s="207"/>
      <c r="NC914" s="207"/>
      <c r="ND914" s="207"/>
      <c r="NE914" s="207"/>
      <c r="NF914" s="207"/>
      <c r="NG914" s="207"/>
      <c r="NH914" s="207"/>
      <c r="NI914" s="207"/>
      <c r="NJ914" s="207"/>
      <c r="NK914" s="207"/>
      <c r="NL914" s="207"/>
      <c r="NM914" s="207"/>
      <c r="NN914" s="207"/>
      <c r="NO914" s="207"/>
      <c r="NP914" s="207"/>
      <c r="NQ914" s="207"/>
      <c r="NR914" s="207"/>
      <c r="NS914" s="207"/>
      <c r="NT914" s="207"/>
      <c r="NU914" s="207"/>
      <c r="NV914" s="207"/>
      <c r="NW914" s="207"/>
      <c r="NX914" s="207"/>
      <c r="NY914" s="207"/>
      <c r="NZ914" s="207"/>
      <c r="OA914" s="207"/>
      <c r="OB914" s="207"/>
      <c r="OC914" s="207"/>
      <c r="OD914" s="207"/>
      <c r="OE914" s="207"/>
      <c r="OF914" s="207"/>
      <c r="OG914" s="207"/>
      <c r="OH914" s="207"/>
      <c r="OI914" s="207"/>
      <c r="OJ914" s="207"/>
      <c r="OK914" s="207"/>
      <c r="OL914" s="207"/>
      <c r="OM914" s="207"/>
      <c r="ON914" s="207"/>
      <c r="OO914" s="207"/>
      <c r="OP914" s="207"/>
      <c r="OQ914" s="207"/>
      <c r="OR914" s="207"/>
      <c r="OS914" s="207"/>
      <c r="OT914" s="207"/>
      <c r="OU914" s="207"/>
      <c r="OV914" s="207"/>
      <c r="OW914" s="207"/>
      <c r="OX914" s="207"/>
      <c r="OY914" s="207"/>
      <c r="OZ914" s="207"/>
      <c r="PA914" s="207"/>
      <c r="PB914" s="207"/>
      <c r="PC914" s="207"/>
      <c r="PD914" s="207"/>
      <c r="PE914" s="207"/>
      <c r="PF914" s="207"/>
      <c r="PG914" s="207"/>
      <c r="PH914" s="207"/>
      <c r="PI914" s="207"/>
      <c r="PJ914" s="207"/>
      <c r="PK914" s="207"/>
      <c r="PL914" s="207"/>
      <c r="PM914" s="207"/>
      <c r="PN914" s="207"/>
      <c r="PO914" s="207"/>
      <c r="PP914" s="207"/>
      <c r="PQ914" s="207"/>
      <c r="PR914" s="207"/>
      <c r="PS914" s="207"/>
      <c r="PT914" s="207"/>
      <c r="PU914" s="207"/>
      <c r="PV914" s="207"/>
      <c r="PW914" s="207"/>
      <c r="PX914" s="207"/>
      <c r="PY914" s="207"/>
      <c r="PZ914" s="207"/>
      <c r="QA914" s="207"/>
      <c r="QB914" s="207"/>
      <c r="QC914" s="207"/>
      <c r="QD914" s="207"/>
      <c r="QE914" s="207"/>
      <c r="QF914" s="207"/>
      <c r="QG914" s="207"/>
      <c r="QH914" s="207"/>
      <c r="QI914" s="207"/>
      <c r="QJ914" s="207"/>
      <c r="QK914" s="207"/>
      <c r="QL914" s="207"/>
      <c r="QM914" s="207"/>
      <c r="QN914" s="207"/>
      <c r="QO914" s="207"/>
      <c r="QP914" s="207"/>
      <c r="QQ914" s="207"/>
      <c r="QR914" s="207"/>
      <c r="QS914" s="207"/>
      <c r="QT914" s="207"/>
      <c r="QU914" s="207"/>
      <c r="QV914" s="207"/>
      <c r="QW914" s="207"/>
      <c r="QX914" s="207"/>
      <c r="QY914" s="207"/>
      <c r="QZ914" s="207"/>
      <c r="RA914" s="207"/>
      <c r="RB914" s="207"/>
      <c r="RC914" s="207"/>
      <c r="RD914" s="207"/>
      <c r="RE914" s="207"/>
      <c r="RF914" s="207"/>
      <c r="RG914" s="207"/>
      <c r="RH914" s="207"/>
      <c r="RI914" s="207"/>
      <c r="RJ914" s="207"/>
      <c r="RK914" s="207"/>
      <c r="RL914" s="207"/>
      <c r="RM914" s="207"/>
      <c r="RN914" s="207"/>
      <c r="RO914" s="207"/>
      <c r="RP914" s="207"/>
      <c r="RQ914" s="207"/>
      <c r="RR914" s="207"/>
      <c r="RS914" s="207"/>
      <c r="RT914" s="207"/>
      <c r="RU914" s="207"/>
      <c r="RV914" s="207"/>
      <c r="RW914" s="207"/>
      <c r="RX914" s="207"/>
      <c r="RY914" s="207"/>
      <c r="RZ914" s="207"/>
      <c r="SA914" s="207"/>
      <c r="SB914" s="207"/>
      <c r="SC914" s="207"/>
      <c r="SD914" s="207"/>
      <c r="SE914" s="207"/>
      <c r="SF914" s="207"/>
      <c r="SG914" s="207"/>
      <c r="SH914" s="207"/>
      <c r="SI914" s="207"/>
      <c r="SJ914" s="207"/>
      <c r="SK914" s="207"/>
      <c r="SL914" s="207"/>
      <c r="SM914" s="207"/>
      <c r="SN914" s="207"/>
      <c r="SO914" s="207"/>
      <c r="SP914" s="207"/>
      <c r="SQ914" s="207"/>
      <c r="SR914" s="207"/>
      <c r="SS914" s="207"/>
      <c r="ST914" s="207"/>
      <c r="SU914" s="207"/>
      <c r="SV914" s="207"/>
      <c r="SW914" s="207"/>
      <c r="SX914" s="207"/>
      <c r="SY914" s="207"/>
      <c r="SZ914" s="207"/>
      <c r="TA914" s="207"/>
      <c r="TB914" s="207"/>
      <c r="TC914" s="207"/>
      <c r="TD914" s="207"/>
      <c r="TE914" s="207"/>
      <c r="TF914" s="207"/>
      <c r="TG914" s="207"/>
      <c r="TH914" s="207"/>
      <c r="TI914" s="207"/>
      <c r="TJ914" s="207"/>
      <c r="TK914" s="207"/>
      <c r="TL914" s="207"/>
      <c r="TM914" s="207"/>
      <c r="TN914" s="207"/>
      <c r="TO914" s="207"/>
      <c r="TP914" s="207"/>
      <c r="TQ914" s="207"/>
      <c r="TR914" s="207"/>
      <c r="TS914" s="207"/>
      <c r="TT914" s="207"/>
      <c r="TU914" s="207"/>
      <c r="TV914" s="207"/>
      <c r="TW914" s="207"/>
      <c r="TX914" s="207"/>
      <c r="TY914" s="207"/>
      <c r="TZ914" s="207"/>
      <c r="UA914" s="207"/>
      <c r="UB914" s="207"/>
      <c r="UC914" s="207"/>
      <c r="UD914" s="207"/>
      <c r="UE914" s="207"/>
      <c r="UF914" s="207"/>
      <c r="UG914" s="141"/>
    </row>
    <row r="915" spans="1:553" s="142" customFormat="1" ht="45.75" customHeight="1">
      <c r="A915" s="444"/>
      <c r="B915" s="384">
        <v>219</v>
      </c>
      <c r="C915" s="1370" t="s">
        <v>516</v>
      </c>
      <c r="D915" s="1371"/>
      <c r="E915" s="1371"/>
      <c r="F915" s="1372"/>
      <c r="G915" s="386" t="s">
        <v>33</v>
      </c>
      <c r="H915" s="672"/>
      <c r="I915" s="417">
        <f>2.5*1</f>
        <v>2.5</v>
      </c>
      <c r="J915" s="368">
        <v>267200</v>
      </c>
      <c r="K915" s="686"/>
      <c r="L915" s="487">
        <f t="shared" si="137"/>
        <v>668000</v>
      </c>
      <c r="M915" s="548"/>
      <c r="N915" s="548"/>
      <c r="O915" s="427"/>
      <c r="P915" s="384"/>
      <c r="Q915" s="1213"/>
      <c r="R915" s="1227"/>
      <c r="S915" s="308"/>
      <c r="T915" s="308"/>
      <c r="U915" s="308"/>
      <c r="V915" s="308"/>
      <c r="W915" s="308"/>
      <c r="X915" s="308"/>
      <c r="Y915" s="308"/>
      <c r="Z915" s="604"/>
      <c r="AA915" s="308"/>
      <c r="AB915" s="308"/>
      <c r="AC915" s="687"/>
      <c r="AD915" s="687"/>
      <c r="AE915" s="687"/>
      <c r="AF915" s="687"/>
      <c r="AG915" s="688"/>
      <c r="AH915" s="688"/>
      <c r="AI915" s="688"/>
      <c r="AJ915" s="688"/>
      <c r="AK915" s="688"/>
      <c r="AL915" s="207"/>
      <c r="AM915" s="140"/>
      <c r="AN915" s="140"/>
      <c r="AO915" s="140"/>
      <c r="AP915" s="140"/>
      <c r="AQ915" s="140"/>
      <c r="AR915" s="140"/>
      <c r="AS915" s="140"/>
      <c r="AT915" s="140"/>
      <c r="AU915" s="140"/>
      <c r="AV915" s="140"/>
      <c r="AW915" s="140"/>
      <c r="AX915" s="140"/>
      <c r="AY915" s="140"/>
      <c r="AZ915" s="140"/>
      <c r="BA915" s="140"/>
      <c r="BB915" s="140"/>
      <c r="BC915" s="140"/>
      <c r="BD915" s="140"/>
      <c r="BE915" s="140"/>
      <c r="BF915" s="140"/>
      <c r="BG915" s="140"/>
      <c r="BH915" s="140"/>
      <c r="BI915" s="140"/>
      <c r="BJ915" s="140"/>
      <c r="BK915" s="140"/>
      <c r="BL915" s="140"/>
      <c r="BM915" s="140"/>
      <c r="BN915" s="140"/>
      <c r="BO915" s="140"/>
      <c r="BP915" s="140"/>
      <c r="BQ915" s="140"/>
      <c r="BR915" s="140"/>
      <c r="BS915" s="140"/>
      <c r="BT915" s="140"/>
      <c r="BU915" s="140"/>
      <c r="BV915" s="140"/>
      <c r="BW915" s="140"/>
      <c r="BX915" s="140"/>
      <c r="BY915" s="140"/>
      <c r="BZ915" s="140"/>
      <c r="CA915" s="140"/>
      <c r="CB915" s="140"/>
      <c r="CC915" s="140"/>
      <c r="CD915" s="140"/>
      <c r="CE915" s="140"/>
      <c r="CF915" s="140"/>
      <c r="CG915" s="140"/>
      <c r="CH915" s="140"/>
      <c r="CI915" s="140"/>
      <c r="CJ915" s="140"/>
      <c r="CK915" s="140"/>
      <c r="CL915" s="140"/>
      <c r="CM915" s="140"/>
      <c r="CN915" s="140"/>
      <c r="CO915" s="140"/>
      <c r="CP915" s="140"/>
      <c r="CQ915" s="140"/>
      <c r="CR915" s="140"/>
      <c r="CS915" s="140"/>
      <c r="CT915" s="140"/>
      <c r="CU915" s="140"/>
      <c r="CV915" s="140"/>
      <c r="CW915" s="140"/>
      <c r="CX915" s="140"/>
      <c r="CY915" s="140"/>
      <c r="CZ915" s="140"/>
      <c r="DA915" s="140"/>
      <c r="DB915" s="140"/>
      <c r="DC915" s="140"/>
      <c r="DD915" s="140"/>
      <c r="DE915" s="140"/>
      <c r="DF915" s="140"/>
      <c r="DG915" s="140"/>
      <c r="DH915" s="140"/>
      <c r="DI915" s="140"/>
      <c r="DJ915" s="140"/>
      <c r="DK915" s="140"/>
      <c r="DL915" s="140"/>
      <c r="DM915" s="140"/>
      <c r="DN915" s="140"/>
      <c r="DO915" s="140"/>
      <c r="DP915" s="140"/>
      <c r="DQ915" s="140"/>
      <c r="DR915" s="140"/>
      <c r="DS915" s="140"/>
      <c r="DT915" s="140"/>
      <c r="DU915" s="140"/>
      <c r="DV915" s="140"/>
      <c r="DW915" s="140"/>
      <c r="DX915" s="140"/>
      <c r="DY915" s="140"/>
      <c r="DZ915" s="140"/>
      <c r="EA915" s="140"/>
      <c r="EB915" s="140"/>
      <c r="EC915" s="140"/>
      <c r="ED915" s="140"/>
      <c r="EE915" s="140"/>
      <c r="EF915" s="140"/>
      <c r="EG915" s="140"/>
      <c r="EH915" s="140"/>
      <c r="EI915" s="140"/>
      <c r="EJ915" s="140"/>
      <c r="EK915" s="140"/>
      <c r="EL915" s="140"/>
      <c r="EM915" s="140"/>
      <c r="EN915" s="140"/>
      <c r="EO915" s="140"/>
      <c r="EP915" s="140"/>
      <c r="EQ915" s="140"/>
      <c r="ER915" s="140"/>
      <c r="ES915" s="140"/>
      <c r="ET915" s="140"/>
      <c r="EU915" s="140"/>
      <c r="EV915" s="140"/>
      <c r="EW915" s="140"/>
      <c r="EX915" s="140"/>
      <c r="EY915" s="140"/>
      <c r="EZ915" s="140"/>
      <c r="FA915" s="140"/>
      <c r="FB915" s="140"/>
      <c r="FC915" s="140"/>
      <c r="FD915" s="140"/>
      <c r="FE915" s="140"/>
      <c r="FF915" s="140"/>
      <c r="FG915" s="140"/>
      <c r="FH915" s="140"/>
      <c r="FI915" s="140"/>
      <c r="FJ915" s="140"/>
      <c r="FK915" s="140"/>
      <c r="FL915" s="140"/>
      <c r="FM915" s="140"/>
      <c r="FN915" s="140"/>
      <c r="FO915" s="140"/>
      <c r="FP915" s="140"/>
      <c r="FQ915" s="140"/>
      <c r="FR915" s="140"/>
      <c r="FS915" s="140"/>
      <c r="FT915" s="140"/>
      <c r="FU915" s="140"/>
      <c r="FV915" s="140"/>
      <c r="FW915" s="140"/>
      <c r="FX915" s="140"/>
      <c r="FY915" s="140"/>
      <c r="FZ915" s="140"/>
      <c r="GA915" s="140"/>
      <c r="GB915" s="140"/>
      <c r="GC915" s="140"/>
      <c r="GD915" s="140"/>
      <c r="GE915" s="140"/>
      <c r="GF915" s="140"/>
      <c r="GG915" s="140"/>
      <c r="GH915" s="140"/>
      <c r="GI915" s="140"/>
      <c r="GJ915" s="140"/>
      <c r="GK915" s="140"/>
      <c r="GL915" s="140"/>
      <c r="GM915" s="140"/>
      <c r="GN915" s="140"/>
      <c r="GO915" s="140"/>
      <c r="GP915" s="140"/>
      <c r="GQ915" s="140"/>
      <c r="GR915" s="140"/>
      <c r="GS915" s="140"/>
      <c r="GT915" s="140"/>
      <c r="GU915" s="140"/>
      <c r="GV915" s="140"/>
      <c r="GW915" s="140"/>
      <c r="GX915" s="140"/>
      <c r="GY915" s="140"/>
      <c r="GZ915" s="140"/>
      <c r="HA915" s="140"/>
      <c r="HB915" s="140"/>
      <c r="HC915" s="140"/>
      <c r="HD915" s="140"/>
      <c r="HE915" s="140"/>
      <c r="HF915" s="140"/>
      <c r="HG915" s="140"/>
      <c r="HH915" s="140"/>
      <c r="HI915" s="140"/>
      <c r="HJ915" s="140"/>
      <c r="HK915" s="140"/>
      <c r="HL915" s="140"/>
      <c r="HM915" s="140"/>
      <c r="HN915" s="140"/>
      <c r="HO915" s="140"/>
      <c r="HP915" s="140"/>
      <c r="HQ915" s="140"/>
      <c r="HR915" s="140"/>
      <c r="HS915" s="140"/>
      <c r="HT915" s="140"/>
      <c r="HU915" s="140"/>
      <c r="HV915" s="140"/>
      <c r="HW915" s="140"/>
      <c r="HX915" s="140"/>
      <c r="HY915" s="140"/>
      <c r="HZ915" s="140"/>
      <c r="IA915" s="140"/>
      <c r="IB915" s="140"/>
      <c r="IC915" s="140"/>
      <c r="ID915" s="140"/>
      <c r="IE915" s="140"/>
      <c r="IF915" s="140"/>
      <c r="IG915" s="140"/>
      <c r="IH915" s="140"/>
      <c r="II915" s="140"/>
      <c r="IJ915" s="140"/>
      <c r="IK915" s="140"/>
      <c r="IL915" s="140"/>
      <c r="IM915" s="140"/>
      <c r="IN915" s="140"/>
      <c r="IO915" s="140"/>
      <c r="IP915" s="140"/>
      <c r="IQ915" s="140"/>
      <c r="IR915" s="140"/>
      <c r="IS915" s="140"/>
      <c r="IT915" s="140"/>
      <c r="IU915" s="140"/>
      <c r="IV915" s="140"/>
      <c r="IW915" s="140"/>
      <c r="IX915" s="140"/>
      <c r="IY915" s="140"/>
      <c r="IZ915" s="140"/>
      <c r="JA915" s="140"/>
      <c r="JB915" s="140"/>
      <c r="JC915" s="140"/>
      <c r="JD915" s="140"/>
      <c r="JE915" s="140"/>
      <c r="JF915" s="140"/>
      <c r="JG915" s="140"/>
      <c r="JH915" s="140"/>
      <c r="JI915" s="140"/>
      <c r="JJ915" s="140"/>
      <c r="JK915" s="140"/>
      <c r="JL915" s="140"/>
      <c r="JM915" s="140"/>
      <c r="JN915" s="140"/>
      <c r="JO915" s="140"/>
      <c r="JP915" s="140"/>
      <c r="JQ915" s="140"/>
      <c r="JR915" s="140"/>
      <c r="JS915" s="140"/>
      <c r="JT915" s="140"/>
      <c r="JU915" s="140"/>
      <c r="JV915" s="140"/>
      <c r="JW915" s="140"/>
      <c r="JX915" s="140"/>
      <c r="JY915" s="140"/>
      <c r="JZ915" s="140"/>
      <c r="KA915" s="140"/>
      <c r="KB915" s="140"/>
      <c r="KC915" s="140"/>
      <c r="KD915" s="140"/>
      <c r="KE915" s="140"/>
      <c r="KF915" s="140"/>
      <c r="KG915" s="140"/>
      <c r="KH915" s="140"/>
      <c r="KI915" s="140"/>
      <c r="KJ915" s="140"/>
      <c r="KK915" s="140"/>
      <c r="KL915" s="140"/>
      <c r="KM915" s="140"/>
      <c r="KN915" s="140"/>
      <c r="KO915" s="140"/>
      <c r="KP915" s="140"/>
      <c r="KQ915" s="140"/>
      <c r="KR915" s="140"/>
      <c r="KS915" s="140"/>
      <c r="KT915" s="140"/>
      <c r="KU915" s="140"/>
      <c r="KV915" s="140"/>
      <c r="KW915" s="140"/>
      <c r="KX915" s="140"/>
      <c r="KY915" s="140"/>
      <c r="KZ915" s="140"/>
      <c r="LA915" s="140"/>
      <c r="LB915" s="140"/>
      <c r="LC915" s="140"/>
      <c r="LD915" s="140"/>
      <c r="LE915" s="140"/>
      <c r="LF915" s="140"/>
      <c r="LG915" s="140"/>
      <c r="LH915" s="140"/>
      <c r="LI915" s="140"/>
      <c r="LJ915" s="140"/>
      <c r="LK915" s="140"/>
      <c r="LL915" s="140"/>
      <c r="LM915" s="140"/>
      <c r="LN915" s="140"/>
      <c r="LO915" s="140"/>
      <c r="LP915" s="140"/>
      <c r="LQ915" s="140"/>
      <c r="LR915" s="140"/>
      <c r="LS915" s="140"/>
      <c r="LT915" s="140"/>
      <c r="LU915" s="140"/>
      <c r="LV915" s="140"/>
      <c r="LW915" s="140"/>
      <c r="LX915" s="140"/>
      <c r="LY915" s="140"/>
      <c r="LZ915" s="140"/>
      <c r="MA915" s="140"/>
      <c r="MB915" s="140"/>
      <c r="MC915" s="140"/>
      <c r="MD915" s="140"/>
      <c r="ME915" s="140"/>
      <c r="MF915" s="140"/>
      <c r="MG915" s="140"/>
      <c r="MH915" s="140"/>
      <c r="MI915" s="140"/>
      <c r="MJ915" s="140"/>
      <c r="MK915" s="140"/>
      <c r="ML915" s="140"/>
      <c r="MM915" s="140"/>
      <c r="MN915" s="140"/>
      <c r="MO915" s="140"/>
      <c r="MP915" s="140"/>
      <c r="MQ915" s="140"/>
      <c r="MR915" s="140"/>
      <c r="MS915" s="140"/>
      <c r="MT915" s="140"/>
      <c r="MU915" s="140"/>
      <c r="MV915" s="140"/>
      <c r="MW915" s="140"/>
      <c r="MX915" s="140"/>
      <c r="MY915" s="140"/>
      <c r="MZ915" s="140"/>
      <c r="NA915" s="140"/>
      <c r="NB915" s="140"/>
      <c r="NC915" s="140"/>
      <c r="ND915" s="140"/>
      <c r="NE915" s="140"/>
      <c r="NF915" s="140"/>
      <c r="NG915" s="140"/>
      <c r="NH915" s="140"/>
      <c r="NI915" s="140"/>
      <c r="NJ915" s="140"/>
      <c r="NK915" s="140"/>
      <c r="NL915" s="140"/>
      <c r="NM915" s="140"/>
      <c r="NN915" s="140"/>
      <c r="NO915" s="140"/>
      <c r="NP915" s="140"/>
      <c r="NQ915" s="140"/>
      <c r="NR915" s="140"/>
      <c r="NS915" s="140"/>
      <c r="NT915" s="140"/>
      <c r="NU915" s="140"/>
      <c r="NV915" s="140"/>
      <c r="NW915" s="140"/>
      <c r="NX915" s="140"/>
      <c r="NY915" s="140"/>
      <c r="NZ915" s="140"/>
      <c r="OA915" s="140"/>
      <c r="OB915" s="140"/>
      <c r="OC915" s="140"/>
      <c r="OD915" s="140"/>
      <c r="OE915" s="140"/>
      <c r="OF915" s="140"/>
      <c r="OG915" s="140"/>
      <c r="OH915" s="140"/>
      <c r="OI915" s="140"/>
      <c r="OJ915" s="140"/>
      <c r="OK915" s="140"/>
      <c r="OL915" s="140"/>
      <c r="OM915" s="140"/>
      <c r="ON915" s="140"/>
      <c r="OO915" s="140"/>
      <c r="OP915" s="140"/>
      <c r="OQ915" s="140"/>
      <c r="OR915" s="140"/>
      <c r="OS915" s="140"/>
      <c r="OT915" s="140"/>
      <c r="OU915" s="140"/>
      <c r="OV915" s="140"/>
      <c r="OW915" s="140"/>
      <c r="OX915" s="140"/>
      <c r="OY915" s="140"/>
      <c r="OZ915" s="140"/>
      <c r="PA915" s="140"/>
      <c r="PB915" s="140"/>
      <c r="PC915" s="140"/>
      <c r="PD915" s="140"/>
      <c r="PE915" s="140"/>
      <c r="PF915" s="140"/>
      <c r="PG915" s="140"/>
      <c r="PH915" s="140"/>
      <c r="PI915" s="140"/>
      <c r="PJ915" s="140"/>
      <c r="PK915" s="140"/>
      <c r="PL915" s="140"/>
      <c r="PM915" s="140"/>
      <c r="PN915" s="140"/>
      <c r="PO915" s="140"/>
      <c r="PP915" s="140"/>
      <c r="PQ915" s="140"/>
      <c r="PR915" s="140"/>
      <c r="PS915" s="140"/>
      <c r="PT915" s="140"/>
      <c r="PU915" s="140"/>
      <c r="PV915" s="140"/>
      <c r="PW915" s="140"/>
      <c r="PX915" s="140"/>
      <c r="PY915" s="140"/>
      <c r="PZ915" s="140"/>
      <c r="QA915" s="140"/>
      <c r="QB915" s="140"/>
      <c r="QC915" s="140"/>
      <c r="QD915" s="140"/>
      <c r="QE915" s="140"/>
      <c r="QF915" s="140"/>
      <c r="QG915" s="140"/>
      <c r="QH915" s="140"/>
      <c r="QI915" s="140"/>
      <c r="QJ915" s="140"/>
      <c r="QK915" s="140"/>
      <c r="QL915" s="140"/>
      <c r="QM915" s="140"/>
      <c r="QN915" s="140"/>
      <c r="QO915" s="140"/>
      <c r="QP915" s="140"/>
      <c r="QQ915" s="140"/>
      <c r="QR915" s="140"/>
      <c r="QS915" s="140"/>
      <c r="QT915" s="140"/>
      <c r="QU915" s="140"/>
      <c r="QV915" s="140"/>
      <c r="QW915" s="140"/>
      <c r="QX915" s="140"/>
      <c r="QY915" s="140"/>
      <c r="QZ915" s="140"/>
      <c r="RA915" s="140"/>
      <c r="RB915" s="140"/>
      <c r="RC915" s="140"/>
      <c r="RD915" s="140"/>
      <c r="RE915" s="140"/>
      <c r="RF915" s="140"/>
      <c r="RG915" s="140"/>
      <c r="RH915" s="140"/>
      <c r="RI915" s="140"/>
      <c r="RJ915" s="140"/>
      <c r="RK915" s="140"/>
      <c r="RL915" s="140"/>
      <c r="RM915" s="140"/>
      <c r="RN915" s="140"/>
      <c r="RO915" s="140"/>
      <c r="RP915" s="140"/>
      <c r="RQ915" s="140"/>
      <c r="RR915" s="140"/>
      <c r="RS915" s="140"/>
      <c r="RT915" s="140"/>
      <c r="RU915" s="140"/>
      <c r="RV915" s="140"/>
      <c r="RW915" s="140"/>
      <c r="RX915" s="140"/>
      <c r="RY915" s="140"/>
      <c r="RZ915" s="140"/>
      <c r="SA915" s="140"/>
      <c r="SB915" s="140"/>
      <c r="SC915" s="140"/>
      <c r="SD915" s="140"/>
      <c r="SE915" s="140"/>
      <c r="SF915" s="140"/>
      <c r="SG915" s="140"/>
      <c r="SH915" s="140"/>
      <c r="SI915" s="140"/>
      <c r="SJ915" s="140"/>
      <c r="SK915" s="140"/>
      <c r="SL915" s="140"/>
      <c r="SM915" s="140"/>
      <c r="SN915" s="140"/>
      <c r="SO915" s="140"/>
      <c r="SP915" s="140"/>
      <c r="SQ915" s="140"/>
      <c r="SR915" s="140"/>
      <c r="SS915" s="140"/>
      <c r="ST915" s="140"/>
      <c r="SU915" s="140"/>
      <c r="SV915" s="140"/>
      <c r="SW915" s="140"/>
      <c r="SX915" s="140"/>
      <c r="SY915" s="140"/>
      <c r="SZ915" s="140"/>
      <c r="TA915" s="140"/>
      <c r="TB915" s="140"/>
      <c r="TC915" s="140"/>
      <c r="TD915" s="140"/>
      <c r="TE915" s="140"/>
      <c r="TF915" s="140"/>
      <c r="TG915" s="140"/>
      <c r="TH915" s="140"/>
      <c r="TI915" s="140"/>
      <c r="TJ915" s="140"/>
      <c r="TK915" s="140"/>
      <c r="TL915" s="140"/>
      <c r="TM915" s="140"/>
      <c r="TN915" s="140"/>
      <c r="TO915" s="140"/>
      <c r="TP915" s="140"/>
      <c r="TQ915" s="140"/>
      <c r="TR915" s="140"/>
      <c r="TS915" s="140"/>
      <c r="TT915" s="140"/>
      <c r="TU915" s="140"/>
      <c r="TV915" s="140"/>
      <c r="TW915" s="140"/>
      <c r="TX915" s="140"/>
      <c r="TY915" s="140"/>
      <c r="TZ915" s="140"/>
      <c r="UA915" s="140"/>
      <c r="UB915" s="140"/>
      <c r="UC915" s="140"/>
      <c r="UD915" s="140"/>
      <c r="UE915" s="140"/>
      <c r="UF915" s="140"/>
      <c r="UG915" s="141"/>
    </row>
    <row r="916" spans="1:553" s="142" customFormat="1" ht="45.75" customHeight="1">
      <c r="A916" s="444"/>
      <c r="B916" s="384" t="s">
        <v>31</v>
      </c>
      <c r="C916" s="1370" t="s">
        <v>999</v>
      </c>
      <c r="D916" s="1371"/>
      <c r="E916" s="1371"/>
      <c r="F916" s="1372"/>
      <c r="G916" s="386" t="s">
        <v>34</v>
      </c>
      <c r="H916" s="672"/>
      <c r="I916" s="417">
        <f>2.1*2.8*0.11</f>
        <v>0.64680000000000004</v>
      </c>
      <c r="J916" s="368">
        <f>1913917</f>
        <v>1913917</v>
      </c>
      <c r="K916" s="686"/>
      <c r="L916" s="487">
        <f t="shared" si="137"/>
        <v>1237921.5156</v>
      </c>
      <c r="M916" s="548"/>
      <c r="N916" s="548"/>
      <c r="O916" s="427"/>
      <c r="P916" s="384"/>
      <c r="Q916" s="1213"/>
      <c r="R916" s="1227"/>
      <c r="S916" s="308"/>
      <c r="T916" s="308"/>
      <c r="U916" s="308"/>
      <c r="V916" s="308"/>
      <c r="W916" s="308"/>
      <c r="X916" s="308"/>
      <c r="Y916" s="308"/>
      <c r="Z916" s="604"/>
      <c r="AA916" s="308"/>
      <c r="AB916" s="308"/>
      <c r="AC916" s="687"/>
      <c r="AD916" s="687"/>
      <c r="AE916" s="687"/>
      <c r="AF916" s="687"/>
      <c r="AG916" s="688"/>
      <c r="AH916" s="688"/>
      <c r="AI916" s="688"/>
      <c r="AJ916" s="688"/>
      <c r="AK916" s="688"/>
      <c r="AL916" s="207"/>
      <c r="AM916" s="140"/>
      <c r="AN916" s="140"/>
      <c r="AO916" s="140"/>
      <c r="AP916" s="140"/>
      <c r="AQ916" s="140"/>
      <c r="AR916" s="140"/>
      <c r="AS916" s="140"/>
      <c r="AT916" s="140"/>
      <c r="AU916" s="140"/>
      <c r="AV916" s="140"/>
      <c r="AW916" s="140"/>
      <c r="AX916" s="140"/>
      <c r="AY916" s="140"/>
      <c r="AZ916" s="140"/>
      <c r="BA916" s="140"/>
      <c r="BB916" s="140"/>
      <c r="BC916" s="140"/>
      <c r="BD916" s="140"/>
      <c r="BE916" s="140"/>
      <c r="BF916" s="140"/>
      <c r="BG916" s="140"/>
      <c r="BH916" s="140"/>
      <c r="BI916" s="140"/>
      <c r="BJ916" s="140"/>
      <c r="BK916" s="140"/>
      <c r="BL916" s="140"/>
      <c r="BM916" s="140"/>
      <c r="BN916" s="140"/>
      <c r="BO916" s="140"/>
      <c r="BP916" s="140"/>
      <c r="BQ916" s="140"/>
      <c r="BR916" s="140"/>
      <c r="BS916" s="140"/>
      <c r="BT916" s="140"/>
      <c r="BU916" s="140"/>
      <c r="BV916" s="140"/>
      <c r="BW916" s="140"/>
      <c r="BX916" s="140"/>
      <c r="BY916" s="140"/>
      <c r="BZ916" s="140"/>
      <c r="CA916" s="140"/>
      <c r="CB916" s="140"/>
      <c r="CC916" s="140"/>
      <c r="CD916" s="140"/>
      <c r="CE916" s="140"/>
      <c r="CF916" s="140"/>
      <c r="CG916" s="140"/>
      <c r="CH916" s="140"/>
      <c r="CI916" s="140"/>
      <c r="CJ916" s="140"/>
      <c r="CK916" s="140"/>
      <c r="CL916" s="140"/>
      <c r="CM916" s="140"/>
      <c r="CN916" s="140"/>
      <c r="CO916" s="140"/>
      <c r="CP916" s="140"/>
      <c r="CQ916" s="140"/>
      <c r="CR916" s="140"/>
      <c r="CS916" s="140"/>
      <c r="CT916" s="140"/>
      <c r="CU916" s="140"/>
      <c r="CV916" s="140"/>
      <c r="CW916" s="140"/>
      <c r="CX916" s="140"/>
      <c r="CY916" s="140"/>
      <c r="CZ916" s="140"/>
      <c r="DA916" s="140"/>
      <c r="DB916" s="140"/>
      <c r="DC916" s="140"/>
      <c r="DD916" s="140"/>
      <c r="DE916" s="140"/>
      <c r="DF916" s="140"/>
      <c r="DG916" s="140"/>
      <c r="DH916" s="140"/>
      <c r="DI916" s="140"/>
      <c r="DJ916" s="140"/>
      <c r="DK916" s="140"/>
      <c r="DL916" s="140"/>
      <c r="DM916" s="140"/>
      <c r="DN916" s="140"/>
      <c r="DO916" s="140"/>
      <c r="DP916" s="140"/>
      <c r="DQ916" s="140"/>
      <c r="DR916" s="140"/>
      <c r="DS916" s="140"/>
      <c r="DT916" s="140"/>
      <c r="DU916" s="140"/>
      <c r="DV916" s="140"/>
      <c r="DW916" s="140"/>
      <c r="DX916" s="140"/>
      <c r="DY916" s="140"/>
      <c r="DZ916" s="140"/>
      <c r="EA916" s="140"/>
      <c r="EB916" s="140"/>
      <c r="EC916" s="140"/>
      <c r="ED916" s="140"/>
      <c r="EE916" s="140"/>
      <c r="EF916" s="140"/>
      <c r="EG916" s="140"/>
      <c r="EH916" s="140"/>
      <c r="EI916" s="140"/>
      <c r="EJ916" s="140"/>
      <c r="EK916" s="140"/>
      <c r="EL916" s="140"/>
      <c r="EM916" s="140"/>
      <c r="EN916" s="140"/>
      <c r="EO916" s="140"/>
      <c r="EP916" s="140"/>
      <c r="EQ916" s="140"/>
      <c r="ER916" s="140"/>
      <c r="ES916" s="140"/>
      <c r="ET916" s="140"/>
      <c r="EU916" s="140"/>
      <c r="EV916" s="140"/>
      <c r="EW916" s="140"/>
      <c r="EX916" s="140"/>
      <c r="EY916" s="140"/>
      <c r="EZ916" s="140"/>
      <c r="FA916" s="140"/>
      <c r="FB916" s="140"/>
      <c r="FC916" s="140"/>
      <c r="FD916" s="140"/>
      <c r="FE916" s="140"/>
      <c r="FF916" s="140"/>
      <c r="FG916" s="140"/>
      <c r="FH916" s="140"/>
      <c r="FI916" s="140"/>
      <c r="FJ916" s="140"/>
      <c r="FK916" s="140"/>
      <c r="FL916" s="140"/>
      <c r="FM916" s="140"/>
      <c r="FN916" s="140"/>
      <c r="FO916" s="140"/>
      <c r="FP916" s="140"/>
      <c r="FQ916" s="140"/>
      <c r="FR916" s="140"/>
      <c r="FS916" s="140"/>
      <c r="FT916" s="140"/>
      <c r="FU916" s="140"/>
      <c r="FV916" s="140"/>
      <c r="FW916" s="140"/>
      <c r="FX916" s="140"/>
      <c r="FY916" s="140"/>
      <c r="FZ916" s="140"/>
      <c r="GA916" s="140"/>
      <c r="GB916" s="140"/>
      <c r="GC916" s="140"/>
      <c r="GD916" s="140"/>
      <c r="GE916" s="140"/>
      <c r="GF916" s="140"/>
      <c r="GG916" s="140"/>
      <c r="GH916" s="140"/>
      <c r="GI916" s="140"/>
      <c r="GJ916" s="140"/>
      <c r="GK916" s="140"/>
      <c r="GL916" s="140"/>
      <c r="GM916" s="140"/>
      <c r="GN916" s="140"/>
      <c r="GO916" s="140"/>
      <c r="GP916" s="140"/>
      <c r="GQ916" s="140"/>
      <c r="GR916" s="140"/>
      <c r="GS916" s="140"/>
      <c r="GT916" s="140"/>
      <c r="GU916" s="140"/>
      <c r="GV916" s="140"/>
      <c r="GW916" s="140"/>
      <c r="GX916" s="140"/>
      <c r="GY916" s="140"/>
      <c r="GZ916" s="140"/>
      <c r="HA916" s="140"/>
      <c r="HB916" s="140"/>
      <c r="HC916" s="140"/>
      <c r="HD916" s="140"/>
      <c r="HE916" s="140"/>
      <c r="HF916" s="140"/>
      <c r="HG916" s="140"/>
      <c r="HH916" s="140"/>
      <c r="HI916" s="140"/>
      <c r="HJ916" s="140"/>
      <c r="HK916" s="140"/>
      <c r="HL916" s="140"/>
      <c r="HM916" s="140"/>
      <c r="HN916" s="140"/>
      <c r="HO916" s="140"/>
      <c r="HP916" s="140"/>
      <c r="HQ916" s="140"/>
      <c r="HR916" s="140"/>
      <c r="HS916" s="140"/>
      <c r="HT916" s="140"/>
      <c r="HU916" s="140"/>
      <c r="HV916" s="140"/>
      <c r="HW916" s="140"/>
      <c r="HX916" s="140"/>
      <c r="HY916" s="140"/>
      <c r="HZ916" s="140"/>
      <c r="IA916" s="140"/>
      <c r="IB916" s="140"/>
      <c r="IC916" s="140"/>
      <c r="ID916" s="140"/>
      <c r="IE916" s="140"/>
      <c r="IF916" s="140"/>
      <c r="IG916" s="140"/>
      <c r="IH916" s="140"/>
      <c r="II916" s="140"/>
      <c r="IJ916" s="140"/>
      <c r="IK916" s="140"/>
      <c r="IL916" s="140"/>
      <c r="IM916" s="140"/>
      <c r="IN916" s="140"/>
      <c r="IO916" s="140"/>
      <c r="IP916" s="140"/>
      <c r="IQ916" s="140"/>
      <c r="IR916" s="140"/>
      <c r="IS916" s="140"/>
      <c r="IT916" s="140"/>
      <c r="IU916" s="140"/>
      <c r="IV916" s="140"/>
      <c r="IW916" s="140"/>
      <c r="IX916" s="140"/>
      <c r="IY916" s="140"/>
      <c r="IZ916" s="140"/>
      <c r="JA916" s="140"/>
      <c r="JB916" s="140"/>
      <c r="JC916" s="140"/>
      <c r="JD916" s="140"/>
      <c r="JE916" s="140"/>
      <c r="JF916" s="140"/>
      <c r="JG916" s="140"/>
      <c r="JH916" s="140"/>
      <c r="JI916" s="140"/>
      <c r="JJ916" s="140"/>
      <c r="JK916" s="140"/>
      <c r="JL916" s="140"/>
      <c r="JM916" s="140"/>
      <c r="JN916" s="140"/>
      <c r="JO916" s="140"/>
      <c r="JP916" s="140"/>
      <c r="JQ916" s="140"/>
      <c r="JR916" s="140"/>
      <c r="JS916" s="140"/>
      <c r="JT916" s="140"/>
      <c r="JU916" s="140"/>
      <c r="JV916" s="140"/>
      <c r="JW916" s="140"/>
      <c r="JX916" s="140"/>
      <c r="JY916" s="140"/>
      <c r="JZ916" s="140"/>
      <c r="KA916" s="140"/>
      <c r="KB916" s="140"/>
      <c r="KC916" s="140"/>
      <c r="KD916" s="140"/>
      <c r="KE916" s="140"/>
      <c r="KF916" s="140"/>
      <c r="KG916" s="140"/>
      <c r="KH916" s="140"/>
      <c r="KI916" s="140"/>
      <c r="KJ916" s="140"/>
      <c r="KK916" s="140"/>
      <c r="KL916" s="140"/>
      <c r="KM916" s="140"/>
      <c r="KN916" s="140"/>
      <c r="KO916" s="140"/>
      <c r="KP916" s="140"/>
      <c r="KQ916" s="140"/>
      <c r="KR916" s="140"/>
      <c r="KS916" s="140"/>
      <c r="KT916" s="140"/>
      <c r="KU916" s="140"/>
      <c r="KV916" s="140"/>
      <c r="KW916" s="140"/>
      <c r="KX916" s="140"/>
      <c r="KY916" s="140"/>
      <c r="KZ916" s="140"/>
      <c r="LA916" s="140"/>
      <c r="LB916" s="140"/>
      <c r="LC916" s="140"/>
      <c r="LD916" s="140"/>
      <c r="LE916" s="140"/>
      <c r="LF916" s="140"/>
      <c r="LG916" s="140"/>
      <c r="LH916" s="140"/>
      <c r="LI916" s="140"/>
      <c r="LJ916" s="140"/>
      <c r="LK916" s="140"/>
      <c r="LL916" s="140"/>
      <c r="LM916" s="140"/>
      <c r="LN916" s="140"/>
      <c r="LO916" s="140"/>
      <c r="LP916" s="140"/>
      <c r="LQ916" s="140"/>
      <c r="LR916" s="140"/>
      <c r="LS916" s="140"/>
      <c r="LT916" s="140"/>
      <c r="LU916" s="140"/>
      <c r="LV916" s="140"/>
      <c r="LW916" s="140"/>
      <c r="LX916" s="140"/>
      <c r="LY916" s="140"/>
      <c r="LZ916" s="140"/>
      <c r="MA916" s="140"/>
      <c r="MB916" s="140"/>
      <c r="MC916" s="140"/>
      <c r="MD916" s="140"/>
      <c r="ME916" s="140"/>
      <c r="MF916" s="140"/>
      <c r="MG916" s="140"/>
      <c r="MH916" s="140"/>
      <c r="MI916" s="140"/>
      <c r="MJ916" s="140"/>
      <c r="MK916" s="140"/>
      <c r="ML916" s="140"/>
      <c r="MM916" s="140"/>
      <c r="MN916" s="140"/>
      <c r="MO916" s="140"/>
      <c r="MP916" s="140"/>
      <c r="MQ916" s="140"/>
      <c r="MR916" s="140"/>
      <c r="MS916" s="140"/>
      <c r="MT916" s="140"/>
      <c r="MU916" s="140"/>
      <c r="MV916" s="140"/>
      <c r="MW916" s="140"/>
      <c r="MX916" s="140"/>
      <c r="MY916" s="140"/>
      <c r="MZ916" s="140"/>
      <c r="NA916" s="140"/>
      <c r="NB916" s="140"/>
      <c r="NC916" s="140"/>
      <c r="ND916" s="140"/>
      <c r="NE916" s="140"/>
      <c r="NF916" s="140"/>
      <c r="NG916" s="140"/>
      <c r="NH916" s="140"/>
      <c r="NI916" s="140"/>
      <c r="NJ916" s="140"/>
      <c r="NK916" s="140"/>
      <c r="NL916" s="140"/>
      <c r="NM916" s="140"/>
      <c r="NN916" s="140"/>
      <c r="NO916" s="140"/>
      <c r="NP916" s="140"/>
      <c r="NQ916" s="140"/>
      <c r="NR916" s="140"/>
      <c r="NS916" s="140"/>
      <c r="NT916" s="140"/>
      <c r="NU916" s="140"/>
      <c r="NV916" s="140"/>
      <c r="NW916" s="140"/>
      <c r="NX916" s="140"/>
      <c r="NY916" s="140"/>
      <c r="NZ916" s="140"/>
      <c r="OA916" s="140"/>
      <c r="OB916" s="140"/>
      <c r="OC916" s="140"/>
      <c r="OD916" s="140"/>
      <c r="OE916" s="140"/>
      <c r="OF916" s="140"/>
      <c r="OG916" s="140"/>
      <c r="OH916" s="140"/>
      <c r="OI916" s="140"/>
      <c r="OJ916" s="140"/>
      <c r="OK916" s="140"/>
      <c r="OL916" s="140"/>
      <c r="OM916" s="140"/>
      <c r="ON916" s="140"/>
      <c r="OO916" s="140"/>
      <c r="OP916" s="140"/>
      <c r="OQ916" s="140"/>
      <c r="OR916" s="140"/>
      <c r="OS916" s="140"/>
      <c r="OT916" s="140"/>
      <c r="OU916" s="140"/>
      <c r="OV916" s="140"/>
      <c r="OW916" s="140"/>
      <c r="OX916" s="140"/>
      <c r="OY916" s="140"/>
      <c r="OZ916" s="140"/>
      <c r="PA916" s="140"/>
      <c r="PB916" s="140"/>
      <c r="PC916" s="140"/>
      <c r="PD916" s="140"/>
      <c r="PE916" s="140"/>
      <c r="PF916" s="140"/>
      <c r="PG916" s="140"/>
      <c r="PH916" s="140"/>
      <c r="PI916" s="140"/>
      <c r="PJ916" s="140"/>
      <c r="PK916" s="140"/>
      <c r="PL916" s="140"/>
      <c r="PM916" s="140"/>
      <c r="PN916" s="140"/>
      <c r="PO916" s="140"/>
      <c r="PP916" s="140"/>
      <c r="PQ916" s="140"/>
      <c r="PR916" s="140"/>
      <c r="PS916" s="140"/>
      <c r="PT916" s="140"/>
      <c r="PU916" s="140"/>
      <c r="PV916" s="140"/>
      <c r="PW916" s="140"/>
      <c r="PX916" s="140"/>
      <c r="PY916" s="140"/>
      <c r="PZ916" s="140"/>
      <c r="QA916" s="140"/>
      <c r="QB916" s="140"/>
      <c r="QC916" s="140"/>
      <c r="QD916" s="140"/>
      <c r="QE916" s="140"/>
      <c r="QF916" s="140"/>
      <c r="QG916" s="140"/>
      <c r="QH916" s="140"/>
      <c r="QI916" s="140"/>
      <c r="QJ916" s="140"/>
      <c r="QK916" s="140"/>
      <c r="QL916" s="140"/>
      <c r="QM916" s="140"/>
      <c r="QN916" s="140"/>
      <c r="QO916" s="140"/>
      <c r="QP916" s="140"/>
      <c r="QQ916" s="140"/>
      <c r="QR916" s="140"/>
      <c r="QS916" s="140"/>
      <c r="QT916" s="140"/>
      <c r="QU916" s="140"/>
      <c r="QV916" s="140"/>
      <c r="QW916" s="140"/>
      <c r="QX916" s="140"/>
      <c r="QY916" s="140"/>
      <c r="QZ916" s="140"/>
      <c r="RA916" s="140"/>
      <c r="RB916" s="140"/>
      <c r="RC916" s="140"/>
      <c r="RD916" s="140"/>
      <c r="RE916" s="140"/>
      <c r="RF916" s="140"/>
      <c r="RG916" s="140"/>
      <c r="RH916" s="140"/>
      <c r="RI916" s="140"/>
      <c r="RJ916" s="140"/>
      <c r="RK916" s="140"/>
      <c r="RL916" s="140"/>
      <c r="RM916" s="140"/>
      <c r="RN916" s="140"/>
      <c r="RO916" s="140"/>
      <c r="RP916" s="140"/>
      <c r="RQ916" s="140"/>
      <c r="RR916" s="140"/>
      <c r="RS916" s="140"/>
      <c r="RT916" s="140"/>
      <c r="RU916" s="140"/>
      <c r="RV916" s="140"/>
      <c r="RW916" s="140"/>
      <c r="RX916" s="140"/>
      <c r="RY916" s="140"/>
      <c r="RZ916" s="140"/>
      <c r="SA916" s="140"/>
      <c r="SB916" s="140"/>
      <c r="SC916" s="140"/>
      <c r="SD916" s="140"/>
      <c r="SE916" s="140"/>
      <c r="SF916" s="140"/>
      <c r="SG916" s="140"/>
      <c r="SH916" s="140"/>
      <c r="SI916" s="140"/>
      <c r="SJ916" s="140"/>
      <c r="SK916" s="140"/>
      <c r="SL916" s="140"/>
      <c r="SM916" s="140"/>
      <c r="SN916" s="140"/>
      <c r="SO916" s="140"/>
      <c r="SP916" s="140"/>
      <c r="SQ916" s="140"/>
      <c r="SR916" s="140"/>
      <c r="SS916" s="140"/>
      <c r="ST916" s="140"/>
      <c r="SU916" s="140"/>
      <c r="SV916" s="140"/>
      <c r="SW916" s="140"/>
      <c r="SX916" s="140"/>
      <c r="SY916" s="140"/>
      <c r="SZ916" s="140"/>
      <c r="TA916" s="140"/>
      <c r="TB916" s="140"/>
      <c r="TC916" s="140"/>
      <c r="TD916" s="140"/>
      <c r="TE916" s="140"/>
      <c r="TF916" s="140"/>
      <c r="TG916" s="140"/>
      <c r="TH916" s="140"/>
      <c r="TI916" s="140"/>
      <c r="TJ916" s="140"/>
      <c r="TK916" s="140"/>
      <c r="TL916" s="140"/>
      <c r="TM916" s="140"/>
      <c r="TN916" s="140"/>
      <c r="TO916" s="140"/>
      <c r="TP916" s="140"/>
      <c r="TQ916" s="140"/>
      <c r="TR916" s="140"/>
      <c r="TS916" s="140"/>
      <c r="TT916" s="140"/>
      <c r="TU916" s="140"/>
      <c r="TV916" s="140"/>
      <c r="TW916" s="140"/>
      <c r="TX916" s="140"/>
      <c r="TY916" s="140"/>
      <c r="TZ916" s="140"/>
      <c r="UA916" s="140"/>
      <c r="UB916" s="140"/>
      <c r="UC916" s="140"/>
      <c r="UD916" s="140"/>
      <c r="UE916" s="140"/>
      <c r="UF916" s="140"/>
      <c r="UG916" s="141"/>
    </row>
    <row r="917" spans="1:553" s="142" customFormat="1" ht="27.65" customHeight="1">
      <c r="A917" s="444"/>
      <c r="B917" s="384">
        <v>161</v>
      </c>
      <c r="C917" s="1376" t="s">
        <v>517</v>
      </c>
      <c r="D917" s="1377"/>
      <c r="E917" s="1377"/>
      <c r="F917" s="1378"/>
      <c r="G917" s="386" t="s">
        <v>34</v>
      </c>
      <c r="H917" s="672"/>
      <c r="I917" s="417">
        <f>(2.1*2.2*1.8)+(1.5*2*2)</f>
        <v>14.316000000000003</v>
      </c>
      <c r="J917" s="368">
        <v>1080400</v>
      </c>
      <c r="K917" s="686"/>
      <c r="L917" s="487">
        <f t="shared" si="137"/>
        <v>15467006.400000002</v>
      </c>
      <c r="M917" s="548"/>
      <c r="N917" s="548"/>
      <c r="O917" s="427"/>
      <c r="P917" s="384"/>
      <c r="Q917" s="1213"/>
      <c r="R917" s="1227"/>
      <c r="S917" s="308"/>
      <c r="T917" s="308"/>
      <c r="U917" s="308"/>
      <c r="V917" s="308"/>
      <c r="W917" s="308"/>
      <c r="X917" s="308"/>
      <c r="Y917" s="308"/>
      <c r="Z917" s="604"/>
      <c r="AA917" s="308"/>
      <c r="AB917" s="308"/>
      <c r="AC917" s="687"/>
      <c r="AD917" s="687"/>
      <c r="AE917" s="687"/>
      <c r="AF917" s="687"/>
      <c r="AG917" s="688"/>
      <c r="AH917" s="688"/>
      <c r="AI917" s="688"/>
      <c r="AJ917" s="688"/>
      <c r="AK917" s="688"/>
      <c r="AL917" s="207"/>
      <c r="AM917" s="140"/>
      <c r="AN917" s="140"/>
      <c r="AO917" s="140"/>
      <c r="AP917" s="140"/>
      <c r="AQ917" s="140"/>
      <c r="AR917" s="140"/>
      <c r="AS917" s="140"/>
      <c r="AT917" s="140"/>
      <c r="AU917" s="140"/>
      <c r="AV917" s="140"/>
      <c r="AW917" s="140"/>
      <c r="AX917" s="140"/>
      <c r="AY917" s="140"/>
      <c r="AZ917" s="140"/>
      <c r="BA917" s="140"/>
      <c r="BB917" s="140"/>
      <c r="BC917" s="140"/>
      <c r="BD917" s="140"/>
      <c r="BE917" s="140"/>
      <c r="BF917" s="140"/>
      <c r="BG917" s="140"/>
      <c r="BH917" s="140"/>
      <c r="BI917" s="140"/>
      <c r="BJ917" s="140"/>
      <c r="BK917" s="140"/>
      <c r="BL917" s="140"/>
      <c r="BM917" s="140"/>
      <c r="BN917" s="140"/>
      <c r="BO917" s="140"/>
      <c r="BP917" s="140"/>
      <c r="BQ917" s="140"/>
      <c r="BR917" s="140"/>
      <c r="BS917" s="140"/>
      <c r="BT917" s="140"/>
      <c r="BU917" s="140"/>
      <c r="BV917" s="140"/>
      <c r="BW917" s="140"/>
      <c r="BX917" s="140"/>
      <c r="BY917" s="140"/>
      <c r="BZ917" s="140"/>
      <c r="CA917" s="140"/>
      <c r="CB917" s="140"/>
      <c r="CC917" s="140"/>
      <c r="CD917" s="140"/>
      <c r="CE917" s="140"/>
      <c r="CF917" s="140"/>
      <c r="CG917" s="140"/>
      <c r="CH917" s="140"/>
      <c r="CI917" s="140"/>
      <c r="CJ917" s="140"/>
      <c r="CK917" s="140"/>
      <c r="CL917" s="140"/>
      <c r="CM917" s="140"/>
      <c r="CN917" s="140"/>
      <c r="CO917" s="140"/>
      <c r="CP917" s="140"/>
      <c r="CQ917" s="140"/>
      <c r="CR917" s="140"/>
      <c r="CS917" s="140"/>
      <c r="CT917" s="140"/>
      <c r="CU917" s="140"/>
      <c r="CV917" s="140"/>
      <c r="CW917" s="140"/>
      <c r="CX917" s="140"/>
      <c r="CY917" s="140"/>
      <c r="CZ917" s="140"/>
      <c r="DA917" s="140"/>
      <c r="DB917" s="140"/>
      <c r="DC917" s="140"/>
      <c r="DD917" s="140"/>
      <c r="DE917" s="140"/>
      <c r="DF917" s="140"/>
      <c r="DG917" s="140"/>
      <c r="DH917" s="140"/>
      <c r="DI917" s="140"/>
      <c r="DJ917" s="140"/>
      <c r="DK917" s="140"/>
      <c r="DL917" s="140"/>
      <c r="DM917" s="140"/>
      <c r="DN917" s="140"/>
      <c r="DO917" s="140"/>
      <c r="DP917" s="140"/>
      <c r="DQ917" s="140"/>
      <c r="DR917" s="140"/>
      <c r="DS917" s="140"/>
      <c r="DT917" s="140"/>
      <c r="DU917" s="140"/>
      <c r="DV917" s="140"/>
      <c r="DW917" s="140"/>
      <c r="DX917" s="140"/>
      <c r="DY917" s="140"/>
      <c r="DZ917" s="140"/>
      <c r="EA917" s="140"/>
      <c r="EB917" s="140"/>
      <c r="EC917" s="140"/>
      <c r="ED917" s="140"/>
      <c r="EE917" s="140"/>
      <c r="EF917" s="140"/>
      <c r="EG917" s="140"/>
      <c r="EH917" s="140"/>
      <c r="EI917" s="140"/>
      <c r="EJ917" s="140"/>
      <c r="EK917" s="140"/>
      <c r="EL917" s="140"/>
      <c r="EM917" s="140"/>
      <c r="EN917" s="140"/>
      <c r="EO917" s="140"/>
      <c r="EP917" s="140"/>
      <c r="EQ917" s="140"/>
      <c r="ER917" s="140"/>
      <c r="ES917" s="140"/>
      <c r="ET917" s="140"/>
      <c r="EU917" s="140"/>
      <c r="EV917" s="140"/>
      <c r="EW917" s="140"/>
      <c r="EX917" s="140"/>
      <c r="EY917" s="140"/>
      <c r="EZ917" s="140"/>
      <c r="FA917" s="140"/>
      <c r="FB917" s="140"/>
      <c r="FC917" s="140"/>
      <c r="FD917" s="140"/>
      <c r="FE917" s="140"/>
      <c r="FF917" s="140"/>
      <c r="FG917" s="140"/>
      <c r="FH917" s="140"/>
      <c r="FI917" s="140"/>
      <c r="FJ917" s="140"/>
      <c r="FK917" s="140"/>
      <c r="FL917" s="140"/>
      <c r="FM917" s="140"/>
      <c r="FN917" s="140"/>
      <c r="FO917" s="140"/>
      <c r="FP917" s="140"/>
      <c r="FQ917" s="140"/>
      <c r="FR917" s="140"/>
      <c r="FS917" s="140"/>
      <c r="FT917" s="140"/>
      <c r="FU917" s="140"/>
      <c r="FV917" s="140"/>
      <c r="FW917" s="140"/>
      <c r="FX917" s="140"/>
      <c r="FY917" s="140"/>
      <c r="FZ917" s="140"/>
      <c r="GA917" s="140"/>
      <c r="GB917" s="140"/>
      <c r="GC917" s="140"/>
      <c r="GD917" s="140"/>
      <c r="GE917" s="140"/>
      <c r="GF917" s="140"/>
      <c r="GG917" s="140"/>
      <c r="GH917" s="140"/>
      <c r="GI917" s="140"/>
      <c r="GJ917" s="140"/>
      <c r="GK917" s="140"/>
      <c r="GL917" s="140"/>
      <c r="GM917" s="140"/>
      <c r="GN917" s="140"/>
      <c r="GO917" s="140"/>
      <c r="GP917" s="140"/>
      <c r="GQ917" s="140"/>
      <c r="GR917" s="140"/>
      <c r="GS917" s="140"/>
      <c r="GT917" s="140"/>
      <c r="GU917" s="140"/>
      <c r="GV917" s="140"/>
      <c r="GW917" s="140"/>
      <c r="GX917" s="140"/>
      <c r="GY917" s="140"/>
      <c r="GZ917" s="140"/>
      <c r="HA917" s="140"/>
      <c r="HB917" s="140"/>
      <c r="HC917" s="140"/>
      <c r="HD917" s="140"/>
      <c r="HE917" s="140"/>
      <c r="HF917" s="140"/>
      <c r="HG917" s="140"/>
      <c r="HH917" s="140"/>
      <c r="HI917" s="140"/>
      <c r="HJ917" s="140"/>
      <c r="HK917" s="140"/>
      <c r="HL917" s="140"/>
      <c r="HM917" s="140"/>
      <c r="HN917" s="140"/>
      <c r="HO917" s="140"/>
      <c r="HP917" s="140"/>
      <c r="HQ917" s="140"/>
      <c r="HR917" s="140"/>
      <c r="HS917" s="140"/>
      <c r="HT917" s="140"/>
      <c r="HU917" s="140"/>
      <c r="HV917" s="140"/>
      <c r="HW917" s="140"/>
      <c r="HX917" s="140"/>
      <c r="HY917" s="140"/>
      <c r="HZ917" s="140"/>
      <c r="IA917" s="140"/>
      <c r="IB917" s="140"/>
      <c r="IC917" s="140"/>
      <c r="ID917" s="140"/>
      <c r="IE917" s="140"/>
      <c r="IF917" s="140"/>
      <c r="IG917" s="140"/>
      <c r="IH917" s="140"/>
      <c r="II917" s="140"/>
      <c r="IJ917" s="140"/>
      <c r="IK917" s="140"/>
      <c r="IL917" s="140"/>
      <c r="IM917" s="140"/>
      <c r="IN917" s="140"/>
      <c r="IO917" s="140"/>
      <c r="IP917" s="140"/>
      <c r="IQ917" s="140"/>
      <c r="IR917" s="140"/>
      <c r="IS917" s="140"/>
      <c r="IT917" s="140"/>
      <c r="IU917" s="140"/>
      <c r="IV917" s="140"/>
      <c r="IW917" s="140"/>
      <c r="IX917" s="140"/>
      <c r="IY917" s="140"/>
      <c r="IZ917" s="140"/>
      <c r="JA917" s="140"/>
      <c r="JB917" s="140"/>
      <c r="JC917" s="140"/>
      <c r="JD917" s="140"/>
      <c r="JE917" s="140"/>
      <c r="JF917" s="140"/>
      <c r="JG917" s="140"/>
      <c r="JH917" s="140"/>
      <c r="JI917" s="140"/>
      <c r="JJ917" s="140"/>
      <c r="JK917" s="140"/>
      <c r="JL917" s="140"/>
      <c r="JM917" s="140"/>
      <c r="JN917" s="140"/>
      <c r="JO917" s="140"/>
      <c r="JP917" s="140"/>
      <c r="JQ917" s="140"/>
      <c r="JR917" s="140"/>
      <c r="JS917" s="140"/>
      <c r="JT917" s="140"/>
      <c r="JU917" s="140"/>
      <c r="JV917" s="140"/>
      <c r="JW917" s="140"/>
      <c r="JX917" s="140"/>
      <c r="JY917" s="140"/>
      <c r="JZ917" s="140"/>
      <c r="KA917" s="140"/>
      <c r="KB917" s="140"/>
      <c r="KC917" s="140"/>
      <c r="KD917" s="140"/>
      <c r="KE917" s="140"/>
      <c r="KF917" s="140"/>
      <c r="KG917" s="140"/>
      <c r="KH917" s="140"/>
      <c r="KI917" s="140"/>
      <c r="KJ917" s="140"/>
      <c r="KK917" s="140"/>
      <c r="KL917" s="140"/>
      <c r="KM917" s="140"/>
      <c r="KN917" s="140"/>
      <c r="KO917" s="140"/>
      <c r="KP917" s="140"/>
      <c r="KQ917" s="140"/>
      <c r="KR917" s="140"/>
      <c r="KS917" s="140"/>
      <c r="KT917" s="140"/>
      <c r="KU917" s="140"/>
      <c r="KV917" s="140"/>
      <c r="KW917" s="140"/>
      <c r="KX917" s="140"/>
      <c r="KY917" s="140"/>
      <c r="KZ917" s="140"/>
      <c r="LA917" s="140"/>
      <c r="LB917" s="140"/>
      <c r="LC917" s="140"/>
      <c r="LD917" s="140"/>
      <c r="LE917" s="140"/>
      <c r="LF917" s="140"/>
      <c r="LG917" s="140"/>
      <c r="LH917" s="140"/>
      <c r="LI917" s="140"/>
      <c r="LJ917" s="140"/>
      <c r="LK917" s="140"/>
      <c r="LL917" s="140"/>
      <c r="LM917" s="140"/>
      <c r="LN917" s="140"/>
      <c r="LO917" s="140"/>
      <c r="LP917" s="140"/>
      <c r="LQ917" s="140"/>
      <c r="LR917" s="140"/>
      <c r="LS917" s="140"/>
      <c r="LT917" s="140"/>
      <c r="LU917" s="140"/>
      <c r="LV917" s="140"/>
      <c r="LW917" s="140"/>
      <c r="LX917" s="140"/>
      <c r="LY917" s="140"/>
      <c r="LZ917" s="140"/>
      <c r="MA917" s="140"/>
      <c r="MB917" s="140"/>
      <c r="MC917" s="140"/>
      <c r="MD917" s="140"/>
      <c r="ME917" s="140"/>
      <c r="MF917" s="140"/>
      <c r="MG917" s="140"/>
      <c r="MH917" s="140"/>
      <c r="MI917" s="140"/>
      <c r="MJ917" s="140"/>
      <c r="MK917" s="140"/>
      <c r="ML917" s="140"/>
      <c r="MM917" s="140"/>
      <c r="MN917" s="140"/>
      <c r="MO917" s="140"/>
      <c r="MP917" s="140"/>
      <c r="MQ917" s="140"/>
      <c r="MR917" s="140"/>
      <c r="MS917" s="140"/>
      <c r="MT917" s="140"/>
      <c r="MU917" s="140"/>
      <c r="MV917" s="140"/>
      <c r="MW917" s="140"/>
      <c r="MX917" s="140"/>
      <c r="MY917" s="140"/>
      <c r="MZ917" s="140"/>
      <c r="NA917" s="140"/>
      <c r="NB917" s="140"/>
      <c r="NC917" s="140"/>
      <c r="ND917" s="140"/>
      <c r="NE917" s="140"/>
      <c r="NF917" s="140"/>
      <c r="NG917" s="140"/>
      <c r="NH917" s="140"/>
      <c r="NI917" s="140"/>
      <c r="NJ917" s="140"/>
      <c r="NK917" s="140"/>
      <c r="NL917" s="140"/>
      <c r="NM917" s="140"/>
      <c r="NN917" s="140"/>
      <c r="NO917" s="140"/>
      <c r="NP917" s="140"/>
      <c r="NQ917" s="140"/>
      <c r="NR917" s="140"/>
      <c r="NS917" s="140"/>
      <c r="NT917" s="140"/>
      <c r="NU917" s="140"/>
      <c r="NV917" s="140"/>
      <c r="NW917" s="140"/>
      <c r="NX917" s="140"/>
      <c r="NY917" s="140"/>
      <c r="NZ917" s="140"/>
      <c r="OA917" s="140"/>
      <c r="OB917" s="140"/>
      <c r="OC917" s="140"/>
      <c r="OD917" s="140"/>
      <c r="OE917" s="140"/>
      <c r="OF917" s="140"/>
      <c r="OG917" s="140"/>
      <c r="OH917" s="140"/>
      <c r="OI917" s="140"/>
      <c r="OJ917" s="140"/>
      <c r="OK917" s="140"/>
      <c r="OL917" s="140"/>
      <c r="OM917" s="140"/>
      <c r="ON917" s="140"/>
      <c r="OO917" s="140"/>
      <c r="OP917" s="140"/>
      <c r="OQ917" s="140"/>
      <c r="OR917" s="140"/>
      <c r="OS917" s="140"/>
      <c r="OT917" s="140"/>
      <c r="OU917" s="140"/>
      <c r="OV917" s="140"/>
      <c r="OW917" s="140"/>
      <c r="OX917" s="140"/>
      <c r="OY917" s="140"/>
      <c r="OZ917" s="140"/>
      <c r="PA917" s="140"/>
      <c r="PB917" s="140"/>
      <c r="PC917" s="140"/>
      <c r="PD917" s="140"/>
      <c r="PE917" s="140"/>
      <c r="PF917" s="140"/>
      <c r="PG917" s="140"/>
      <c r="PH917" s="140"/>
      <c r="PI917" s="140"/>
      <c r="PJ917" s="140"/>
      <c r="PK917" s="140"/>
      <c r="PL917" s="140"/>
      <c r="PM917" s="140"/>
      <c r="PN917" s="140"/>
      <c r="PO917" s="140"/>
      <c r="PP917" s="140"/>
      <c r="PQ917" s="140"/>
      <c r="PR917" s="140"/>
      <c r="PS917" s="140"/>
      <c r="PT917" s="140"/>
      <c r="PU917" s="140"/>
      <c r="PV917" s="140"/>
      <c r="PW917" s="140"/>
      <c r="PX917" s="140"/>
      <c r="PY917" s="140"/>
      <c r="PZ917" s="140"/>
      <c r="QA917" s="140"/>
      <c r="QB917" s="140"/>
      <c r="QC917" s="140"/>
      <c r="QD917" s="140"/>
      <c r="QE917" s="140"/>
      <c r="QF917" s="140"/>
      <c r="QG917" s="140"/>
      <c r="QH917" s="140"/>
      <c r="QI917" s="140"/>
      <c r="QJ917" s="140"/>
      <c r="QK917" s="140"/>
      <c r="QL917" s="140"/>
      <c r="QM917" s="140"/>
      <c r="QN917" s="140"/>
      <c r="QO917" s="140"/>
      <c r="QP917" s="140"/>
      <c r="QQ917" s="140"/>
      <c r="QR917" s="140"/>
      <c r="QS917" s="140"/>
      <c r="QT917" s="140"/>
      <c r="QU917" s="140"/>
      <c r="QV917" s="140"/>
      <c r="QW917" s="140"/>
      <c r="QX917" s="140"/>
      <c r="QY917" s="140"/>
      <c r="QZ917" s="140"/>
      <c r="RA917" s="140"/>
      <c r="RB917" s="140"/>
      <c r="RC917" s="140"/>
      <c r="RD917" s="140"/>
      <c r="RE917" s="140"/>
      <c r="RF917" s="140"/>
      <c r="RG917" s="140"/>
      <c r="RH917" s="140"/>
      <c r="RI917" s="140"/>
      <c r="RJ917" s="140"/>
      <c r="RK917" s="140"/>
      <c r="RL917" s="140"/>
      <c r="RM917" s="140"/>
      <c r="RN917" s="140"/>
      <c r="RO917" s="140"/>
      <c r="RP917" s="140"/>
      <c r="RQ917" s="140"/>
      <c r="RR917" s="140"/>
      <c r="RS917" s="140"/>
      <c r="RT917" s="140"/>
      <c r="RU917" s="140"/>
      <c r="RV917" s="140"/>
      <c r="RW917" s="140"/>
      <c r="RX917" s="140"/>
      <c r="RY917" s="140"/>
      <c r="RZ917" s="140"/>
      <c r="SA917" s="140"/>
      <c r="SB917" s="140"/>
      <c r="SC917" s="140"/>
      <c r="SD917" s="140"/>
      <c r="SE917" s="140"/>
      <c r="SF917" s="140"/>
      <c r="SG917" s="140"/>
      <c r="SH917" s="140"/>
      <c r="SI917" s="140"/>
      <c r="SJ917" s="140"/>
      <c r="SK917" s="140"/>
      <c r="SL917" s="140"/>
      <c r="SM917" s="140"/>
      <c r="SN917" s="140"/>
      <c r="SO917" s="140"/>
      <c r="SP917" s="140"/>
      <c r="SQ917" s="140"/>
      <c r="SR917" s="140"/>
      <c r="SS917" s="140"/>
      <c r="ST917" s="140"/>
      <c r="SU917" s="140"/>
      <c r="SV917" s="140"/>
      <c r="SW917" s="140"/>
      <c r="SX917" s="140"/>
      <c r="SY917" s="140"/>
      <c r="SZ917" s="140"/>
      <c r="TA917" s="140"/>
      <c r="TB917" s="140"/>
      <c r="TC917" s="140"/>
      <c r="TD917" s="140"/>
      <c r="TE917" s="140"/>
      <c r="TF917" s="140"/>
      <c r="TG917" s="140"/>
      <c r="TH917" s="140"/>
      <c r="TI917" s="140"/>
      <c r="TJ917" s="140"/>
      <c r="TK917" s="140"/>
      <c r="TL917" s="140"/>
      <c r="TM917" s="140"/>
      <c r="TN917" s="140"/>
      <c r="TO917" s="140"/>
      <c r="TP917" s="140"/>
      <c r="TQ917" s="140"/>
      <c r="TR917" s="140"/>
      <c r="TS917" s="140"/>
      <c r="TT917" s="140"/>
      <c r="TU917" s="140"/>
      <c r="TV917" s="140"/>
      <c r="TW917" s="140"/>
      <c r="TX917" s="140"/>
      <c r="TY917" s="140"/>
      <c r="TZ917" s="140"/>
      <c r="UA917" s="140"/>
      <c r="UB917" s="140"/>
      <c r="UC917" s="140"/>
      <c r="UD917" s="140"/>
      <c r="UE917" s="140"/>
      <c r="UF917" s="140"/>
      <c r="UG917" s="141"/>
    </row>
    <row r="918" spans="1:553" s="142" customFormat="1" ht="41.5" customHeight="1">
      <c r="A918" s="444"/>
      <c r="B918" s="384">
        <v>145</v>
      </c>
      <c r="C918" s="1376" t="s">
        <v>1000</v>
      </c>
      <c r="D918" s="1377"/>
      <c r="E918" s="1377"/>
      <c r="F918" s="1378"/>
      <c r="G918" s="386" t="s">
        <v>33</v>
      </c>
      <c r="H918" s="672"/>
      <c r="I918" s="417">
        <f>3*3.8</f>
        <v>11.399999999999999</v>
      </c>
      <c r="J918" s="368">
        <v>950600</v>
      </c>
      <c r="K918" s="686"/>
      <c r="L918" s="487">
        <f t="shared" si="137"/>
        <v>10836839.999999998</v>
      </c>
      <c r="M918" s="548"/>
      <c r="N918" s="548"/>
      <c r="O918" s="427"/>
      <c r="P918" s="384"/>
      <c r="Q918" s="1213"/>
      <c r="R918" s="1227"/>
      <c r="S918" s="308"/>
      <c r="T918" s="308"/>
      <c r="U918" s="308"/>
      <c r="V918" s="308"/>
      <c r="W918" s="308"/>
      <c r="X918" s="308"/>
      <c r="Y918" s="308"/>
      <c r="Z918" s="604"/>
      <c r="AA918" s="308"/>
      <c r="AB918" s="308"/>
      <c r="AC918" s="687"/>
      <c r="AD918" s="687"/>
      <c r="AE918" s="687"/>
      <c r="AF918" s="687"/>
      <c r="AG918" s="688"/>
      <c r="AH918" s="688"/>
      <c r="AI918" s="688"/>
      <c r="AJ918" s="688"/>
      <c r="AK918" s="688"/>
      <c r="AL918" s="207"/>
      <c r="AM918" s="140"/>
      <c r="AN918" s="140"/>
      <c r="AO918" s="140"/>
      <c r="AP918" s="140"/>
      <c r="AQ918" s="140"/>
      <c r="AR918" s="140"/>
      <c r="AS918" s="140"/>
      <c r="AT918" s="140"/>
      <c r="AU918" s="140"/>
      <c r="AV918" s="140"/>
      <c r="AW918" s="140"/>
      <c r="AX918" s="140"/>
      <c r="AY918" s="140"/>
      <c r="AZ918" s="140"/>
      <c r="BA918" s="140"/>
      <c r="BB918" s="140"/>
      <c r="BC918" s="140"/>
      <c r="BD918" s="140"/>
      <c r="BE918" s="140"/>
      <c r="BF918" s="140"/>
      <c r="BG918" s="140"/>
      <c r="BH918" s="140"/>
      <c r="BI918" s="140"/>
      <c r="BJ918" s="140"/>
      <c r="BK918" s="140"/>
      <c r="BL918" s="140"/>
      <c r="BM918" s="140"/>
      <c r="BN918" s="140"/>
      <c r="BO918" s="140"/>
      <c r="BP918" s="140"/>
      <c r="BQ918" s="140"/>
      <c r="BR918" s="140"/>
      <c r="BS918" s="140"/>
      <c r="BT918" s="140"/>
      <c r="BU918" s="140"/>
      <c r="BV918" s="140"/>
      <c r="BW918" s="140"/>
      <c r="BX918" s="140"/>
      <c r="BY918" s="140"/>
      <c r="BZ918" s="140"/>
      <c r="CA918" s="140"/>
      <c r="CB918" s="140"/>
      <c r="CC918" s="140"/>
      <c r="CD918" s="140"/>
      <c r="CE918" s="140"/>
      <c r="CF918" s="140"/>
      <c r="CG918" s="140"/>
      <c r="CH918" s="140"/>
      <c r="CI918" s="140"/>
      <c r="CJ918" s="140"/>
      <c r="CK918" s="140"/>
      <c r="CL918" s="140"/>
      <c r="CM918" s="140"/>
      <c r="CN918" s="140"/>
      <c r="CO918" s="140"/>
      <c r="CP918" s="140"/>
      <c r="CQ918" s="140"/>
      <c r="CR918" s="140"/>
      <c r="CS918" s="140"/>
      <c r="CT918" s="140"/>
      <c r="CU918" s="140"/>
      <c r="CV918" s="140"/>
      <c r="CW918" s="140"/>
      <c r="CX918" s="140"/>
      <c r="CY918" s="140"/>
      <c r="CZ918" s="140"/>
      <c r="DA918" s="140"/>
      <c r="DB918" s="140"/>
      <c r="DC918" s="140"/>
      <c r="DD918" s="140"/>
      <c r="DE918" s="140"/>
      <c r="DF918" s="140"/>
      <c r="DG918" s="140"/>
      <c r="DH918" s="140"/>
      <c r="DI918" s="140"/>
      <c r="DJ918" s="140"/>
      <c r="DK918" s="140"/>
      <c r="DL918" s="140"/>
      <c r="DM918" s="140"/>
      <c r="DN918" s="140"/>
      <c r="DO918" s="140"/>
      <c r="DP918" s="140"/>
      <c r="DQ918" s="140"/>
      <c r="DR918" s="140"/>
      <c r="DS918" s="140"/>
      <c r="DT918" s="140"/>
      <c r="DU918" s="140"/>
      <c r="DV918" s="140"/>
      <c r="DW918" s="140"/>
      <c r="DX918" s="140"/>
      <c r="DY918" s="140"/>
      <c r="DZ918" s="140"/>
      <c r="EA918" s="140"/>
      <c r="EB918" s="140"/>
      <c r="EC918" s="140"/>
      <c r="ED918" s="140"/>
      <c r="EE918" s="140"/>
      <c r="EF918" s="140"/>
      <c r="EG918" s="140"/>
      <c r="EH918" s="140"/>
      <c r="EI918" s="140"/>
      <c r="EJ918" s="140"/>
      <c r="EK918" s="140"/>
      <c r="EL918" s="140"/>
      <c r="EM918" s="140"/>
      <c r="EN918" s="140"/>
      <c r="EO918" s="140"/>
      <c r="EP918" s="140"/>
      <c r="EQ918" s="140"/>
      <c r="ER918" s="140"/>
      <c r="ES918" s="140"/>
      <c r="ET918" s="140"/>
      <c r="EU918" s="140"/>
      <c r="EV918" s="140"/>
      <c r="EW918" s="140"/>
      <c r="EX918" s="140"/>
      <c r="EY918" s="140"/>
      <c r="EZ918" s="140"/>
      <c r="FA918" s="140"/>
      <c r="FB918" s="140"/>
      <c r="FC918" s="140"/>
      <c r="FD918" s="140"/>
      <c r="FE918" s="140"/>
      <c r="FF918" s="140"/>
      <c r="FG918" s="140"/>
      <c r="FH918" s="140"/>
      <c r="FI918" s="140"/>
      <c r="FJ918" s="140"/>
      <c r="FK918" s="140"/>
      <c r="FL918" s="140"/>
      <c r="FM918" s="140"/>
      <c r="FN918" s="140"/>
      <c r="FO918" s="140"/>
      <c r="FP918" s="140"/>
      <c r="FQ918" s="140"/>
      <c r="FR918" s="140"/>
      <c r="FS918" s="140"/>
      <c r="FT918" s="140"/>
      <c r="FU918" s="140"/>
      <c r="FV918" s="140"/>
      <c r="FW918" s="140"/>
      <c r="FX918" s="140"/>
      <c r="FY918" s="140"/>
      <c r="FZ918" s="140"/>
      <c r="GA918" s="140"/>
      <c r="GB918" s="140"/>
      <c r="GC918" s="140"/>
      <c r="GD918" s="140"/>
      <c r="GE918" s="140"/>
      <c r="GF918" s="140"/>
      <c r="GG918" s="140"/>
      <c r="GH918" s="140"/>
      <c r="GI918" s="140"/>
      <c r="GJ918" s="140"/>
      <c r="GK918" s="140"/>
      <c r="GL918" s="140"/>
      <c r="GM918" s="140"/>
      <c r="GN918" s="140"/>
      <c r="GO918" s="140"/>
      <c r="GP918" s="140"/>
      <c r="GQ918" s="140"/>
      <c r="GR918" s="140"/>
      <c r="GS918" s="140"/>
      <c r="GT918" s="140"/>
      <c r="GU918" s="140"/>
      <c r="GV918" s="140"/>
      <c r="GW918" s="140"/>
      <c r="GX918" s="140"/>
      <c r="GY918" s="140"/>
      <c r="GZ918" s="140"/>
      <c r="HA918" s="140"/>
      <c r="HB918" s="140"/>
      <c r="HC918" s="140"/>
      <c r="HD918" s="140"/>
      <c r="HE918" s="140"/>
      <c r="HF918" s="140"/>
      <c r="HG918" s="140"/>
      <c r="HH918" s="140"/>
      <c r="HI918" s="140"/>
      <c r="HJ918" s="140"/>
      <c r="HK918" s="140"/>
      <c r="HL918" s="140"/>
      <c r="HM918" s="140"/>
      <c r="HN918" s="140"/>
      <c r="HO918" s="140"/>
      <c r="HP918" s="140"/>
      <c r="HQ918" s="140"/>
      <c r="HR918" s="140"/>
      <c r="HS918" s="140"/>
      <c r="HT918" s="140"/>
      <c r="HU918" s="140"/>
      <c r="HV918" s="140"/>
      <c r="HW918" s="140"/>
      <c r="HX918" s="140"/>
      <c r="HY918" s="140"/>
      <c r="HZ918" s="140"/>
      <c r="IA918" s="140"/>
      <c r="IB918" s="140"/>
      <c r="IC918" s="140"/>
      <c r="ID918" s="140"/>
      <c r="IE918" s="140"/>
      <c r="IF918" s="140"/>
      <c r="IG918" s="140"/>
      <c r="IH918" s="140"/>
      <c r="II918" s="140"/>
      <c r="IJ918" s="140"/>
      <c r="IK918" s="140"/>
      <c r="IL918" s="140"/>
      <c r="IM918" s="140"/>
      <c r="IN918" s="140"/>
      <c r="IO918" s="140"/>
      <c r="IP918" s="140"/>
      <c r="IQ918" s="140"/>
      <c r="IR918" s="140"/>
      <c r="IS918" s="140"/>
      <c r="IT918" s="140"/>
      <c r="IU918" s="140"/>
      <c r="IV918" s="140"/>
      <c r="IW918" s="140"/>
      <c r="IX918" s="140"/>
      <c r="IY918" s="140"/>
      <c r="IZ918" s="140"/>
      <c r="JA918" s="140"/>
      <c r="JB918" s="140"/>
      <c r="JC918" s="140"/>
      <c r="JD918" s="140"/>
      <c r="JE918" s="140"/>
      <c r="JF918" s="140"/>
      <c r="JG918" s="140"/>
      <c r="JH918" s="140"/>
      <c r="JI918" s="140"/>
      <c r="JJ918" s="140"/>
      <c r="JK918" s="140"/>
      <c r="JL918" s="140"/>
      <c r="JM918" s="140"/>
      <c r="JN918" s="140"/>
      <c r="JO918" s="140"/>
      <c r="JP918" s="140"/>
      <c r="JQ918" s="140"/>
      <c r="JR918" s="140"/>
      <c r="JS918" s="140"/>
      <c r="JT918" s="140"/>
      <c r="JU918" s="140"/>
      <c r="JV918" s="140"/>
      <c r="JW918" s="140"/>
      <c r="JX918" s="140"/>
      <c r="JY918" s="140"/>
      <c r="JZ918" s="140"/>
      <c r="KA918" s="140"/>
      <c r="KB918" s="140"/>
      <c r="KC918" s="140"/>
      <c r="KD918" s="140"/>
      <c r="KE918" s="140"/>
      <c r="KF918" s="140"/>
      <c r="KG918" s="140"/>
      <c r="KH918" s="140"/>
      <c r="KI918" s="140"/>
      <c r="KJ918" s="140"/>
      <c r="KK918" s="140"/>
      <c r="KL918" s="140"/>
      <c r="KM918" s="140"/>
      <c r="KN918" s="140"/>
      <c r="KO918" s="140"/>
      <c r="KP918" s="140"/>
      <c r="KQ918" s="140"/>
      <c r="KR918" s="140"/>
      <c r="KS918" s="140"/>
      <c r="KT918" s="140"/>
      <c r="KU918" s="140"/>
      <c r="KV918" s="140"/>
      <c r="KW918" s="140"/>
      <c r="KX918" s="140"/>
      <c r="KY918" s="140"/>
      <c r="KZ918" s="140"/>
      <c r="LA918" s="140"/>
      <c r="LB918" s="140"/>
      <c r="LC918" s="140"/>
      <c r="LD918" s="140"/>
      <c r="LE918" s="140"/>
      <c r="LF918" s="140"/>
      <c r="LG918" s="140"/>
      <c r="LH918" s="140"/>
      <c r="LI918" s="140"/>
      <c r="LJ918" s="140"/>
      <c r="LK918" s="140"/>
      <c r="LL918" s="140"/>
      <c r="LM918" s="140"/>
      <c r="LN918" s="140"/>
      <c r="LO918" s="140"/>
      <c r="LP918" s="140"/>
      <c r="LQ918" s="140"/>
      <c r="LR918" s="140"/>
      <c r="LS918" s="140"/>
      <c r="LT918" s="140"/>
      <c r="LU918" s="140"/>
      <c r="LV918" s="140"/>
      <c r="LW918" s="140"/>
      <c r="LX918" s="140"/>
      <c r="LY918" s="140"/>
      <c r="LZ918" s="140"/>
      <c r="MA918" s="140"/>
      <c r="MB918" s="140"/>
      <c r="MC918" s="140"/>
      <c r="MD918" s="140"/>
      <c r="ME918" s="140"/>
      <c r="MF918" s="140"/>
      <c r="MG918" s="140"/>
      <c r="MH918" s="140"/>
      <c r="MI918" s="140"/>
      <c r="MJ918" s="140"/>
      <c r="MK918" s="140"/>
      <c r="ML918" s="140"/>
      <c r="MM918" s="140"/>
      <c r="MN918" s="140"/>
      <c r="MO918" s="140"/>
      <c r="MP918" s="140"/>
      <c r="MQ918" s="140"/>
      <c r="MR918" s="140"/>
      <c r="MS918" s="140"/>
      <c r="MT918" s="140"/>
      <c r="MU918" s="140"/>
      <c r="MV918" s="140"/>
      <c r="MW918" s="140"/>
      <c r="MX918" s="140"/>
      <c r="MY918" s="140"/>
      <c r="MZ918" s="140"/>
      <c r="NA918" s="140"/>
      <c r="NB918" s="140"/>
      <c r="NC918" s="140"/>
      <c r="ND918" s="140"/>
      <c r="NE918" s="140"/>
      <c r="NF918" s="140"/>
      <c r="NG918" s="140"/>
      <c r="NH918" s="140"/>
      <c r="NI918" s="140"/>
      <c r="NJ918" s="140"/>
      <c r="NK918" s="140"/>
      <c r="NL918" s="140"/>
      <c r="NM918" s="140"/>
      <c r="NN918" s="140"/>
      <c r="NO918" s="140"/>
      <c r="NP918" s="140"/>
      <c r="NQ918" s="140"/>
      <c r="NR918" s="140"/>
      <c r="NS918" s="140"/>
      <c r="NT918" s="140"/>
      <c r="NU918" s="140"/>
      <c r="NV918" s="140"/>
      <c r="NW918" s="140"/>
      <c r="NX918" s="140"/>
      <c r="NY918" s="140"/>
      <c r="NZ918" s="140"/>
      <c r="OA918" s="140"/>
      <c r="OB918" s="140"/>
      <c r="OC918" s="140"/>
      <c r="OD918" s="140"/>
      <c r="OE918" s="140"/>
      <c r="OF918" s="140"/>
      <c r="OG918" s="140"/>
      <c r="OH918" s="140"/>
      <c r="OI918" s="140"/>
      <c r="OJ918" s="140"/>
      <c r="OK918" s="140"/>
      <c r="OL918" s="140"/>
      <c r="OM918" s="140"/>
      <c r="ON918" s="140"/>
      <c r="OO918" s="140"/>
      <c r="OP918" s="140"/>
      <c r="OQ918" s="140"/>
      <c r="OR918" s="140"/>
      <c r="OS918" s="140"/>
      <c r="OT918" s="140"/>
      <c r="OU918" s="140"/>
      <c r="OV918" s="140"/>
      <c r="OW918" s="140"/>
      <c r="OX918" s="140"/>
      <c r="OY918" s="140"/>
      <c r="OZ918" s="140"/>
      <c r="PA918" s="140"/>
      <c r="PB918" s="140"/>
      <c r="PC918" s="140"/>
      <c r="PD918" s="140"/>
      <c r="PE918" s="140"/>
      <c r="PF918" s="140"/>
      <c r="PG918" s="140"/>
      <c r="PH918" s="140"/>
      <c r="PI918" s="140"/>
      <c r="PJ918" s="140"/>
      <c r="PK918" s="140"/>
      <c r="PL918" s="140"/>
      <c r="PM918" s="140"/>
      <c r="PN918" s="140"/>
      <c r="PO918" s="140"/>
      <c r="PP918" s="140"/>
      <c r="PQ918" s="140"/>
      <c r="PR918" s="140"/>
      <c r="PS918" s="140"/>
      <c r="PT918" s="140"/>
      <c r="PU918" s="140"/>
      <c r="PV918" s="140"/>
      <c r="PW918" s="140"/>
      <c r="PX918" s="140"/>
      <c r="PY918" s="140"/>
      <c r="PZ918" s="140"/>
      <c r="QA918" s="140"/>
      <c r="QB918" s="140"/>
      <c r="QC918" s="140"/>
      <c r="QD918" s="140"/>
      <c r="QE918" s="140"/>
      <c r="QF918" s="140"/>
      <c r="QG918" s="140"/>
      <c r="QH918" s="140"/>
      <c r="QI918" s="140"/>
      <c r="QJ918" s="140"/>
      <c r="QK918" s="140"/>
      <c r="QL918" s="140"/>
      <c r="QM918" s="140"/>
      <c r="QN918" s="140"/>
      <c r="QO918" s="140"/>
      <c r="QP918" s="140"/>
      <c r="QQ918" s="140"/>
      <c r="QR918" s="140"/>
      <c r="QS918" s="140"/>
      <c r="QT918" s="140"/>
      <c r="QU918" s="140"/>
      <c r="QV918" s="140"/>
      <c r="QW918" s="140"/>
      <c r="QX918" s="140"/>
      <c r="QY918" s="140"/>
      <c r="QZ918" s="140"/>
      <c r="RA918" s="140"/>
      <c r="RB918" s="140"/>
      <c r="RC918" s="140"/>
      <c r="RD918" s="140"/>
      <c r="RE918" s="140"/>
      <c r="RF918" s="140"/>
      <c r="RG918" s="140"/>
      <c r="RH918" s="140"/>
      <c r="RI918" s="140"/>
      <c r="RJ918" s="140"/>
      <c r="RK918" s="140"/>
      <c r="RL918" s="140"/>
      <c r="RM918" s="140"/>
      <c r="RN918" s="140"/>
      <c r="RO918" s="140"/>
      <c r="RP918" s="140"/>
      <c r="RQ918" s="140"/>
      <c r="RR918" s="140"/>
      <c r="RS918" s="140"/>
      <c r="RT918" s="140"/>
      <c r="RU918" s="140"/>
      <c r="RV918" s="140"/>
      <c r="RW918" s="140"/>
      <c r="RX918" s="140"/>
      <c r="RY918" s="140"/>
      <c r="RZ918" s="140"/>
      <c r="SA918" s="140"/>
      <c r="SB918" s="140"/>
      <c r="SC918" s="140"/>
      <c r="SD918" s="140"/>
      <c r="SE918" s="140"/>
      <c r="SF918" s="140"/>
      <c r="SG918" s="140"/>
      <c r="SH918" s="140"/>
      <c r="SI918" s="140"/>
      <c r="SJ918" s="140"/>
      <c r="SK918" s="140"/>
      <c r="SL918" s="140"/>
      <c r="SM918" s="140"/>
      <c r="SN918" s="140"/>
      <c r="SO918" s="140"/>
      <c r="SP918" s="140"/>
      <c r="SQ918" s="140"/>
      <c r="SR918" s="140"/>
      <c r="SS918" s="140"/>
      <c r="ST918" s="140"/>
      <c r="SU918" s="140"/>
      <c r="SV918" s="140"/>
      <c r="SW918" s="140"/>
      <c r="SX918" s="140"/>
      <c r="SY918" s="140"/>
      <c r="SZ918" s="140"/>
      <c r="TA918" s="140"/>
      <c r="TB918" s="140"/>
      <c r="TC918" s="140"/>
      <c r="TD918" s="140"/>
      <c r="TE918" s="140"/>
      <c r="TF918" s="140"/>
      <c r="TG918" s="140"/>
      <c r="TH918" s="140"/>
      <c r="TI918" s="140"/>
      <c r="TJ918" s="140"/>
      <c r="TK918" s="140"/>
      <c r="TL918" s="140"/>
      <c r="TM918" s="140"/>
      <c r="TN918" s="140"/>
      <c r="TO918" s="140"/>
      <c r="TP918" s="140"/>
      <c r="TQ918" s="140"/>
      <c r="TR918" s="140"/>
      <c r="TS918" s="140"/>
      <c r="TT918" s="140"/>
      <c r="TU918" s="140"/>
      <c r="TV918" s="140"/>
      <c r="TW918" s="140"/>
      <c r="TX918" s="140"/>
      <c r="TY918" s="140"/>
      <c r="TZ918" s="140"/>
      <c r="UA918" s="140"/>
      <c r="UB918" s="140"/>
      <c r="UC918" s="140"/>
      <c r="UD918" s="140"/>
      <c r="UE918" s="140"/>
      <c r="UF918" s="140"/>
      <c r="UG918" s="141"/>
    </row>
    <row r="919" spans="1:553" s="142" customFormat="1" ht="23.5" customHeight="1">
      <c r="A919" s="444"/>
      <c r="B919" s="384">
        <v>52</v>
      </c>
      <c r="C919" s="1376" t="s">
        <v>518</v>
      </c>
      <c r="D919" s="1377"/>
      <c r="E919" s="1377"/>
      <c r="F919" s="1378"/>
      <c r="G919" s="386" t="s">
        <v>33</v>
      </c>
      <c r="H919" s="672"/>
      <c r="I919" s="417">
        <f>3*4</f>
        <v>12</v>
      </c>
      <c r="J919" s="368">
        <v>60200</v>
      </c>
      <c r="K919" s="686"/>
      <c r="L919" s="487">
        <f t="shared" si="137"/>
        <v>722400</v>
      </c>
      <c r="M919" s="548"/>
      <c r="N919" s="548"/>
      <c r="O919" s="427"/>
      <c r="P919" s="384"/>
      <c r="Q919" s="1213"/>
      <c r="R919" s="1227"/>
      <c r="S919" s="308"/>
      <c r="T919" s="308"/>
      <c r="U919" s="308"/>
      <c r="V919" s="308"/>
      <c r="W919" s="308"/>
      <c r="X919" s="308"/>
      <c r="Y919" s="308"/>
      <c r="Z919" s="604"/>
      <c r="AA919" s="308"/>
      <c r="AB919" s="308"/>
      <c r="AC919" s="687"/>
      <c r="AD919" s="687"/>
      <c r="AE919" s="687"/>
      <c r="AF919" s="687"/>
      <c r="AG919" s="688"/>
      <c r="AH919" s="688"/>
      <c r="AI919" s="688"/>
      <c r="AJ919" s="688"/>
      <c r="AK919" s="688"/>
      <c r="AL919" s="207"/>
      <c r="AM919" s="140"/>
      <c r="AN919" s="140"/>
      <c r="AO919" s="140"/>
      <c r="AP919" s="140"/>
      <c r="AQ919" s="140"/>
      <c r="AR919" s="140"/>
      <c r="AS919" s="140"/>
      <c r="AT919" s="140"/>
      <c r="AU919" s="140"/>
      <c r="AV919" s="140"/>
      <c r="AW919" s="140"/>
      <c r="AX919" s="140"/>
      <c r="AY919" s="140"/>
      <c r="AZ919" s="140"/>
      <c r="BA919" s="140"/>
      <c r="BB919" s="140"/>
      <c r="BC919" s="140"/>
      <c r="BD919" s="140"/>
      <c r="BE919" s="140"/>
      <c r="BF919" s="140"/>
      <c r="BG919" s="140"/>
      <c r="BH919" s="140"/>
      <c r="BI919" s="140"/>
      <c r="BJ919" s="140"/>
      <c r="BK919" s="140"/>
      <c r="BL919" s="140"/>
      <c r="BM919" s="140"/>
      <c r="BN919" s="140"/>
      <c r="BO919" s="140"/>
      <c r="BP919" s="140"/>
      <c r="BQ919" s="140"/>
      <c r="BR919" s="140"/>
      <c r="BS919" s="140"/>
      <c r="BT919" s="140"/>
      <c r="BU919" s="140"/>
      <c r="BV919" s="140"/>
      <c r="BW919" s="140"/>
      <c r="BX919" s="140"/>
      <c r="BY919" s="140"/>
      <c r="BZ919" s="140"/>
      <c r="CA919" s="140"/>
      <c r="CB919" s="140"/>
      <c r="CC919" s="140"/>
      <c r="CD919" s="140"/>
      <c r="CE919" s="140"/>
      <c r="CF919" s="140"/>
      <c r="CG919" s="140"/>
      <c r="CH919" s="140"/>
      <c r="CI919" s="140"/>
      <c r="CJ919" s="140"/>
      <c r="CK919" s="140"/>
      <c r="CL919" s="140"/>
      <c r="CM919" s="140"/>
      <c r="CN919" s="140"/>
      <c r="CO919" s="140"/>
      <c r="CP919" s="140"/>
      <c r="CQ919" s="140"/>
      <c r="CR919" s="140"/>
      <c r="CS919" s="140"/>
      <c r="CT919" s="140"/>
      <c r="CU919" s="140"/>
      <c r="CV919" s="140"/>
      <c r="CW919" s="140"/>
      <c r="CX919" s="140"/>
      <c r="CY919" s="140"/>
      <c r="CZ919" s="140"/>
      <c r="DA919" s="140"/>
      <c r="DB919" s="140"/>
      <c r="DC919" s="140"/>
      <c r="DD919" s="140"/>
      <c r="DE919" s="140"/>
      <c r="DF919" s="140"/>
      <c r="DG919" s="140"/>
      <c r="DH919" s="140"/>
      <c r="DI919" s="140"/>
      <c r="DJ919" s="140"/>
      <c r="DK919" s="140"/>
      <c r="DL919" s="140"/>
      <c r="DM919" s="140"/>
      <c r="DN919" s="140"/>
      <c r="DO919" s="140"/>
      <c r="DP919" s="140"/>
      <c r="DQ919" s="140"/>
      <c r="DR919" s="140"/>
      <c r="DS919" s="140"/>
      <c r="DT919" s="140"/>
      <c r="DU919" s="140"/>
      <c r="DV919" s="140"/>
      <c r="DW919" s="140"/>
      <c r="DX919" s="140"/>
      <c r="DY919" s="140"/>
      <c r="DZ919" s="140"/>
      <c r="EA919" s="140"/>
      <c r="EB919" s="140"/>
      <c r="EC919" s="140"/>
      <c r="ED919" s="140"/>
      <c r="EE919" s="140"/>
      <c r="EF919" s="140"/>
      <c r="EG919" s="140"/>
      <c r="EH919" s="140"/>
      <c r="EI919" s="140"/>
      <c r="EJ919" s="140"/>
      <c r="EK919" s="140"/>
      <c r="EL919" s="140"/>
      <c r="EM919" s="140"/>
      <c r="EN919" s="140"/>
      <c r="EO919" s="140"/>
      <c r="EP919" s="140"/>
      <c r="EQ919" s="140"/>
      <c r="ER919" s="140"/>
      <c r="ES919" s="140"/>
      <c r="ET919" s="140"/>
      <c r="EU919" s="140"/>
      <c r="EV919" s="140"/>
      <c r="EW919" s="140"/>
      <c r="EX919" s="140"/>
      <c r="EY919" s="140"/>
      <c r="EZ919" s="140"/>
      <c r="FA919" s="140"/>
      <c r="FB919" s="140"/>
      <c r="FC919" s="140"/>
      <c r="FD919" s="140"/>
      <c r="FE919" s="140"/>
      <c r="FF919" s="140"/>
      <c r="FG919" s="140"/>
      <c r="FH919" s="140"/>
      <c r="FI919" s="140"/>
      <c r="FJ919" s="140"/>
      <c r="FK919" s="140"/>
      <c r="FL919" s="140"/>
      <c r="FM919" s="140"/>
      <c r="FN919" s="140"/>
      <c r="FO919" s="140"/>
      <c r="FP919" s="140"/>
      <c r="FQ919" s="140"/>
      <c r="FR919" s="140"/>
      <c r="FS919" s="140"/>
      <c r="FT919" s="140"/>
      <c r="FU919" s="140"/>
      <c r="FV919" s="140"/>
      <c r="FW919" s="140"/>
      <c r="FX919" s="140"/>
      <c r="FY919" s="140"/>
      <c r="FZ919" s="140"/>
      <c r="GA919" s="140"/>
      <c r="GB919" s="140"/>
      <c r="GC919" s="140"/>
      <c r="GD919" s="140"/>
      <c r="GE919" s="140"/>
      <c r="GF919" s="140"/>
      <c r="GG919" s="140"/>
      <c r="GH919" s="140"/>
      <c r="GI919" s="140"/>
      <c r="GJ919" s="140"/>
      <c r="GK919" s="140"/>
      <c r="GL919" s="140"/>
      <c r="GM919" s="140"/>
      <c r="GN919" s="140"/>
      <c r="GO919" s="140"/>
      <c r="GP919" s="140"/>
      <c r="GQ919" s="140"/>
      <c r="GR919" s="140"/>
      <c r="GS919" s="140"/>
      <c r="GT919" s="140"/>
      <c r="GU919" s="140"/>
      <c r="GV919" s="140"/>
      <c r="GW919" s="140"/>
      <c r="GX919" s="140"/>
      <c r="GY919" s="140"/>
      <c r="GZ919" s="140"/>
      <c r="HA919" s="140"/>
      <c r="HB919" s="140"/>
      <c r="HC919" s="140"/>
      <c r="HD919" s="140"/>
      <c r="HE919" s="140"/>
      <c r="HF919" s="140"/>
      <c r="HG919" s="140"/>
      <c r="HH919" s="140"/>
      <c r="HI919" s="140"/>
      <c r="HJ919" s="140"/>
      <c r="HK919" s="140"/>
      <c r="HL919" s="140"/>
      <c r="HM919" s="140"/>
      <c r="HN919" s="140"/>
      <c r="HO919" s="140"/>
      <c r="HP919" s="140"/>
      <c r="HQ919" s="140"/>
      <c r="HR919" s="140"/>
      <c r="HS919" s="140"/>
      <c r="HT919" s="140"/>
      <c r="HU919" s="140"/>
      <c r="HV919" s="140"/>
      <c r="HW919" s="140"/>
      <c r="HX919" s="140"/>
      <c r="HY919" s="140"/>
      <c r="HZ919" s="140"/>
      <c r="IA919" s="140"/>
      <c r="IB919" s="140"/>
      <c r="IC919" s="140"/>
      <c r="ID919" s="140"/>
      <c r="IE919" s="140"/>
      <c r="IF919" s="140"/>
      <c r="IG919" s="140"/>
      <c r="IH919" s="140"/>
      <c r="II919" s="140"/>
      <c r="IJ919" s="140"/>
      <c r="IK919" s="140"/>
      <c r="IL919" s="140"/>
      <c r="IM919" s="140"/>
      <c r="IN919" s="140"/>
      <c r="IO919" s="140"/>
      <c r="IP919" s="140"/>
      <c r="IQ919" s="140"/>
      <c r="IR919" s="140"/>
      <c r="IS919" s="140"/>
      <c r="IT919" s="140"/>
      <c r="IU919" s="140"/>
      <c r="IV919" s="140"/>
      <c r="IW919" s="140"/>
      <c r="IX919" s="140"/>
      <c r="IY919" s="140"/>
      <c r="IZ919" s="140"/>
      <c r="JA919" s="140"/>
      <c r="JB919" s="140"/>
      <c r="JC919" s="140"/>
      <c r="JD919" s="140"/>
      <c r="JE919" s="140"/>
      <c r="JF919" s="140"/>
      <c r="JG919" s="140"/>
      <c r="JH919" s="140"/>
      <c r="JI919" s="140"/>
      <c r="JJ919" s="140"/>
      <c r="JK919" s="140"/>
      <c r="JL919" s="140"/>
      <c r="JM919" s="140"/>
      <c r="JN919" s="140"/>
      <c r="JO919" s="140"/>
      <c r="JP919" s="140"/>
      <c r="JQ919" s="140"/>
      <c r="JR919" s="140"/>
      <c r="JS919" s="140"/>
      <c r="JT919" s="140"/>
      <c r="JU919" s="140"/>
      <c r="JV919" s="140"/>
      <c r="JW919" s="140"/>
      <c r="JX919" s="140"/>
      <c r="JY919" s="140"/>
      <c r="JZ919" s="140"/>
      <c r="KA919" s="140"/>
      <c r="KB919" s="140"/>
      <c r="KC919" s="140"/>
      <c r="KD919" s="140"/>
      <c r="KE919" s="140"/>
      <c r="KF919" s="140"/>
      <c r="KG919" s="140"/>
      <c r="KH919" s="140"/>
      <c r="KI919" s="140"/>
      <c r="KJ919" s="140"/>
      <c r="KK919" s="140"/>
      <c r="KL919" s="140"/>
      <c r="KM919" s="140"/>
      <c r="KN919" s="140"/>
      <c r="KO919" s="140"/>
      <c r="KP919" s="140"/>
      <c r="KQ919" s="140"/>
      <c r="KR919" s="140"/>
      <c r="KS919" s="140"/>
      <c r="KT919" s="140"/>
      <c r="KU919" s="140"/>
      <c r="KV919" s="140"/>
      <c r="KW919" s="140"/>
      <c r="KX919" s="140"/>
      <c r="KY919" s="140"/>
      <c r="KZ919" s="140"/>
      <c r="LA919" s="140"/>
      <c r="LB919" s="140"/>
      <c r="LC919" s="140"/>
      <c r="LD919" s="140"/>
      <c r="LE919" s="140"/>
      <c r="LF919" s="140"/>
      <c r="LG919" s="140"/>
      <c r="LH919" s="140"/>
      <c r="LI919" s="140"/>
      <c r="LJ919" s="140"/>
      <c r="LK919" s="140"/>
      <c r="LL919" s="140"/>
      <c r="LM919" s="140"/>
      <c r="LN919" s="140"/>
      <c r="LO919" s="140"/>
      <c r="LP919" s="140"/>
      <c r="LQ919" s="140"/>
      <c r="LR919" s="140"/>
      <c r="LS919" s="140"/>
      <c r="LT919" s="140"/>
      <c r="LU919" s="140"/>
      <c r="LV919" s="140"/>
      <c r="LW919" s="140"/>
      <c r="LX919" s="140"/>
      <c r="LY919" s="140"/>
      <c r="LZ919" s="140"/>
      <c r="MA919" s="140"/>
      <c r="MB919" s="140"/>
      <c r="MC919" s="140"/>
      <c r="MD919" s="140"/>
      <c r="ME919" s="140"/>
      <c r="MF919" s="140"/>
      <c r="MG919" s="140"/>
      <c r="MH919" s="140"/>
      <c r="MI919" s="140"/>
      <c r="MJ919" s="140"/>
      <c r="MK919" s="140"/>
      <c r="ML919" s="140"/>
      <c r="MM919" s="140"/>
      <c r="MN919" s="140"/>
      <c r="MO919" s="140"/>
      <c r="MP919" s="140"/>
      <c r="MQ919" s="140"/>
      <c r="MR919" s="140"/>
      <c r="MS919" s="140"/>
      <c r="MT919" s="140"/>
      <c r="MU919" s="140"/>
      <c r="MV919" s="140"/>
      <c r="MW919" s="140"/>
      <c r="MX919" s="140"/>
      <c r="MY919" s="140"/>
      <c r="MZ919" s="140"/>
      <c r="NA919" s="140"/>
      <c r="NB919" s="140"/>
      <c r="NC919" s="140"/>
      <c r="ND919" s="140"/>
      <c r="NE919" s="140"/>
      <c r="NF919" s="140"/>
      <c r="NG919" s="140"/>
      <c r="NH919" s="140"/>
      <c r="NI919" s="140"/>
      <c r="NJ919" s="140"/>
      <c r="NK919" s="140"/>
      <c r="NL919" s="140"/>
      <c r="NM919" s="140"/>
      <c r="NN919" s="140"/>
      <c r="NO919" s="140"/>
      <c r="NP919" s="140"/>
      <c r="NQ919" s="140"/>
      <c r="NR919" s="140"/>
      <c r="NS919" s="140"/>
      <c r="NT919" s="140"/>
      <c r="NU919" s="140"/>
      <c r="NV919" s="140"/>
      <c r="NW919" s="140"/>
      <c r="NX919" s="140"/>
      <c r="NY919" s="140"/>
      <c r="NZ919" s="140"/>
      <c r="OA919" s="140"/>
      <c r="OB919" s="140"/>
      <c r="OC919" s="140"/>
      <c r="OD919" s="140"/>
      <c r="OE919" s="140"/>
      <c r="OF919" s="140"/>
      <c r="OG919" s="140"/>
      <c r="OH919" s="140"/>
      <c r="OI919" s="140"/>
      <c r="OJ919" s="140"/>
      <c r="OK919" s="140"/>
      <c r="OL919" s="140"/>
      <c r="OM919" s="140"/>
      <c r="ON919" s="140"/>
      <c r="OO919" s="140"/>
      <c r="OP919" s="140"/>
      <c r="OQ919" s="140"/>
      <c r="OR919" s="140"/>
      <c r="OS919" s="140"/>
      <c r="OT919" s="140"/>
      <c r="OU919" s="140"/>
      <c r="OV919" s="140"/>
      <c r="OW919" s="140"/>
      <c r="OX919" s="140"/>
      <c r="OY919" s="140"/>
      <c r="OZ919" s="140"/>
      <c r="PA919" s="140"/>
      <c r="PB919" s="140"/>
      <c r="PC919" s="140"/>
      <c r="PD919" s="140"/>
      <c r="PE919" s="140"/>
      <c r="PF919" s="140"/>
      <c r="PG919" s="140"/>
      <c r="PH919" s="140"/>
      <c r="PI919" s="140"/>
      <c r="PJ919" s="140"/>
      <c r="PK919" s="140"/>
      <c r="PL919" s="140"/>
      <c r="PM919" s="140"/>
      <c r="PN919" s="140"/>
      <c r="PO919" s="140"/>
      <c r="PP919" s="140"/>
      <c r="PQ919" s="140"/>
      <c r="PR919" s="140"/>
      <c r="PS919" s="140"/>
      <c r="PT919" s="140"/>
      <c r="PU919" s="140"/>
      <c r="PV919" s="140"/>
      <c r="PW919" s="140"/>
      <c r="PX919" s="140"/>
      <c r="PY919" s="140"/>
      <c r="PZ919" s="140"/>
      <c r="QA919" s="140"/>
      <c r="QB919" s="140"/>
      <c r="QC919" s="140"/>
      <c r="QD919" s="140"/>
      <c r="QE919" s="140"/>
      <c r="QF919" s="140"/>
      <c r="QG919" s="140"/>
      <c r="QH919" s="140"/>
      <c r="QI919" s="140"/>
      <c r="QJ919" s="140"/>
      <c r="QK919" s="140"/>
      <c r="QL919" s="140"/>
      <c r="QM919" s="140"/>
      <c r="QN919" s="140"/>
      <c r="QO919" s="140"/>
      <c r="QP919" s="140"/>
      <c r="QQ919" s="140"/>
      <c r="QR919" s="140"/>
      <c r="QS919" s="140"/>
      <c r="QT919" s="140"/>
      <c r="QU919" s="140"/>
      <c r="QV919" s="140"/>
      <c r="QW919" s="140"/>
      <c r="QX919" s="140"/>
      <c r="QY919" s="140"/>
      <c r="QZ919" s="140"/>
      <c r="RA919" s="140"/>
      <c r="RB919" s="140"/>
      <c r="RC919" s="140"/>
      <c r="RD919" s="140"/>
      <c r="RE919" s="140"/>
      <c r="RF919" s="140"/>
      <c r="RG919" s="140"/>
      <c r="RH919" s="140"/>
      <c r="RI919" s="140"/>
      <c r="RJ919" s="140"/>
      <c r="RK919" s="140"/>
      <c r="RL919" s="140"/>
      <c r="RM919" s="140"/>
      <c r="RN919" s="140"/>
      <c r="RO919" s="140"/>
      <c r="RP919" s="140"/>
      <c r="RQ919" s="140"/>
      <c r="RR919" s="140"/>
      <c r="RS919" s="140"/>
      <c r="RT919" s="140"/>
      <c r="RU919" s="140"/>
      <c r="RV919" s="140"/>
      <c r="RW919" s="140"/>
      <c r="RX919" s="140"/>
      <c r="RY919" s="140"/>
      <c r="RZ919" s="140"/>
      <c r="SA919" s="140"/>
      <c r="SB919" s="140"/>
      <c r="SC919" s="140"/>
      <c r="SD919" s="140"/>
      <c r="SE919" s="140"/>
      <c r="SF919" s="140"/>
      <c r="SG919" s="140"/>
      <c r="SH919" s="140"/>
      <c r="SI919" s="140"/>
      <c r="SJ919" s="140"/>
      <c r="SK919" s="140"/>
      <c r="SL919" s="140"/>
      <c r="SM919" s="140"/>
      <c r="SN919" s="140"/>
      <c r="SO919" s="140"/>
      <c r="SP919" s="140"/>
      <c r="SQ919" s="140"/>
      <c r="SR919" s="140"/>
      <c r="SS919" s="140"/>
      <c r="ST919" s="140"/>
      <c r="SU919" s="140"/>
      <c r="SV919" s="140"/>
      <c r="SW919" s="140"/>
      <c r="SX919" s="140"/>
      <c r="SY919" s="140"/>
      <c r="SZ919" s="140"/>
      <c r="TA919" s="140"/>
      <c r="TB919" s="140"/>
      <c r="TC919" s="140"/>
      <c r="TD919" s="140"/>
      <c r="TE919" s="140"/>
      <c r="TF919" s="140"/>
      <c r="TG919" s="140"/>
      <c r="TH919" s="140"/>
      <c r="TI919" s="140"/>
      <c r="TJ919" s="140"/>
      <c r="TK919" s="140"/>
      <c r="TL919" s="140"/>
      <c r="TM919" s="140"/>
      <c r="TN919" s="140"/>
      <c r="TO919" s="140"/>
      <c r="TP919" s="140"/>
      <c r="TQ919" s="140"/>
      <c r="TR919" s="140"/>
      <c r="TS919" s="140"/>
      <c r="TT919" s="140"/>
      <c r="TU919" s="140"/>
      <c r="TV919" s="140"/>
      <c r="TW919" s="140"/>
      <c r="TX919" s="140"/>
      <c r="TY919" s="140"/>
      <c r="TZ919" s="140"/>
      <c r="UA919" s="140"/>
      <c r="UB919" s="140"/>
      <c r="UC919" s="140"/>
      <c r="UD919" s="140"/>
      <c r="UE919" s="140"/>
      <c r="UF919" s="140"/>
      <c r="UG919" s="141"/>
    </row>
    <row r="920" spans="1:553" s="1190" customFormat="1" ht="55.15" customHeight="1">
      <c r="A920" s="444" t="s">
        <v>15</v>
      </c>
      <c r="B920" s="384">
        <v>149</v>
      </c>
      <c r="C920" s="1376" t="s">
        <v>519</v>
      </c>
      <c r="D920" s="1377"/>
      <c r="E920" s="1377"/>
      <c r="F920" s="1378"/>
      <c r="G920" s="386" t="s">
        <v>33</v>
      </c>
      <c r="H920" s="672"/>
      <c r="I920" s="417">
        <f>6*3</f>
        <v>18</v>
      </c>
      <c r="J920" s="368">
        <v>3900000</v>
      </c>
      <c r="K920" s="686"/>
      <c r="L920" s="487">
        <f t="shared" si="137"/>
        <v>70200000</v>
      </c>
      <c r="M920" s="548"/>
      <c r="N920" s="548"/>
      <c r="O920" s="427"/>
      <c r="P920" s="384"/>
      <c r="Q920" s="1213"/>
      <c r="R920" s="1227"/>
      <c r="S920" s="308"/>
      <c r="T920" s="308"/>
      <c r="U920" s="308"/>
      <c r="V920" s="308"/>
      <c r="W920" s="308"/>
      <c r="X920" s="308"/>
      <c r="Y920" s="308"/>
      <c r="Z920" s="604"/>
      <c r="AA920" s="308"/>
      <c r="AB920" s="308"/>
      <c r="AC920" s="1186"/>
      <c r="AD920" s="1186"/>
      <c r="AE920" s="1186"/>
      <c r="AF920" s="1186"/>
      <c r="AG920" s="1227"/>
      <c r="AH920" s="1227"/>
      <c r="AI920" s="1227"/>
      <c r="AJ920" s="1227"/>
      <c r="AK920" s="1227"/>
      <c r="AL920" s="1187"/>
      <c r="AM920" s="1188"/>
      <c r="AN920" s="1188"/>
      <c r="AO920" s="1188"/>
      <c r="AP920" s="1188"/>
      <c r="AQ920" s="1188"/>
      <c r="AR920" s="1188"/>
      <c r="AS920" s="1188"/>
      <c r="AT920" s="1188"/>
      <c r="AU920" s="1188"/>
      <c r="AV920" s="1188"/>
      <c r="AW920" s="1188"/>
      <c r="AX920" s="1188"/>
      <c r="AY920" s="1188"/>
      <c r="AZ920" s="1188"/>
      <c r="BA920" s="1188"/>
      <c r="BB920" s="1188"/>
      <c r="BC920" s="1188"/>
      <c r="BD920" s="1188"/>
      <c r="BE920" s="1188"/>
      <c r="BF920" s="1188"/>
      <c r="BG920" s="1188"/>
      <c r="BH920" s="1188"/>
      <c r="BI920" s="1188"/>
      <c r="BJ920" s="1188"/>
      <c r="BK920" s="1188"/>
      <c r="BL920" s="1188"/>
      <c r="BM920" s="1188"/>
      <c r="BN920" s="1188"/>
      <c r="BO920" s="1188"/>
      <c r="BP920" s="1188"/>
      <c r="BQ920" s="1188"/>
      <c r="BR920" s="1188"/>
      <c r="BS920" s="1188"/>
      <c r="BT920" s="1188"/>
      <c r="BU920" s="1188"/>
      <c r="BV920" s="1188"/>
      <c r="BW920" s="1188"/>
      <c r="BX920" s="1188"/>
      <c r="BY920" s="1188"/>
      <c r="BZ920" s="1188"/>
      <c r="CA920" s="1188"/>
      <c r="CB920" s="1188"/>
      <c r="CC920" s="1188"/>
      <c r="CD920" s="1188"/>
      <c r="CE920" s="1188"/>
      <c r="CF920" s="1188"/>
      <c r="CG920" s="1188"/>
      <c r="CH920" s="1188"/>
      <c r="CI920" s="1188"/>
      <c r="CJ920" s="1188"/>
      <c r="CK920" s="1188"/>
      <c r="CL920" s="1188"/>
      <c r="CM920" s="1188"/>
      <c r="CN920" s="1188"/>
      <c r="CO920" s="1188"/>
      <c r="CP920" s="1188"/>
      <c r="CQ920" s="1188"/>
      <c r="CR920" s="1188"/>
      <c r="CS920" s="1188"/>
      <c r="CT920" s="1188"/>
      <c r="CU920" s="1188"/>
      <c r="CV920" s="1188"/>
      <c r="CW920" s="1188"/>
      <c r="CX920" s="1188"/>
      <c r="CY920" s="1188"/>
      <c r="CZ920" s="1188"/>
      <c r="DA920" s="1188"/>
      <c r="DB920" s="1188"/>
      <c r="DC920" s="1188"/>
      <c r="DD920" s="1188"/>
      <c r="DE920" s="1188"/>
      <c r="DF920" s="1188"/>
      <c r="DG920" s="1188"/>
      <c r="DH920" s="1188"/>
      <c r="DI920" s="1188"/>
      <c r="DJ920" s="1188"/>
      <c r="DK920" s="1188"/>
      <c r="DL920" s="1188"/>
      <c r="DM920" s="1188"/>
      <c r="DN920" s="1188"/>
      <c r="DO920" s="1188"/>
      <c r="DP920" s="1188"/>
      <c r="DQ920" s="1188"/>
      <c r="DR920" s="1188"/>
      <c r="DS920" s="1188"/>
      <c r="DT920" s="1188"/>
      <c r="DU920" s="1188"/>
      <c r="DV920" s="1188"/>
      <c r="DW920" s="1188"/>
      <c r="DX920" s="1188"/>
      <c r="DY920" s="1188"/>
      <c r="DZ920" s="1188"/>
      <c r="EA920" s="1188"/>
      <c r="EB920" s="1188"/>
      <c r="EC920" s="1188"/>
      <c r="ED920" s="1188"/>
      <c r="EE920" s="1188"/>
      <c r="EF920" s="1188"/>
      <c r="EG920" s="1188"/>
      <c r="EH920" s="1188"/>
      <c r="EI920" s="1188"/>
      <c r="EJ920" s="1188"/>
      <c r="EK920" s="1188"/>
      <c r="EL920" s="1188"/>
      <c r="EM920" s="1188"/>
      <c r="EN920" s="1188"/>
      <c r="EO920" s="1188"/>
      <c r="EP920" s="1188"/>
      <c r="EQ920" s="1188"/>
      <c r="ER920" s="1188"/>
      <c r="ES920" s="1188"/>
      <c r="ET920" s="1188"/>
      <c r="EU920" s="1188"/>
      <c r="EV920" s="1188"/>
      <c r="EW920" s="1188"/>
      <c r="EX920" s="1188"/>
      <c r="EY920" s="1188"/>
      <c r="EZ920" s="1188"/>
      <c r="FA920" s="1188"/>
      <c r="FB920" s="1188"/>
      <c r="FC920" s="1188"/>
      <c r="FD920" s="1188"/>
      <c r="FE920" s="1188"/>
      <c r="FF920" s="1188"/>
      <c r="FG920" s="1188"/>
      <c r="FH920" s="1188"/>
      <c r="FI920" s="1188"/>
      <c r="FJ920" s="1188"/>
      <c r="FK920" s="1188"/>
      <c r="FL920" s="1188"/>
      <c r="FM920" s="1188"/>
      <c r="FN920" s="1188"/>
      <c r="FO920" s="1188"/>
      <c r="FP920" s="1188"/>
      <c r="FQ920" s="1188"/>
      <c r="FR920" s="1188"/>
      <c r="FS920" s="1188"/>
      <c r="FT920" s="1188"/>
      <c r="FU920" s="1188"/>
      <c r="FV920" s="1188"/>
      <c r="FW920" s="1188"/>
      <c r="FX920" s="1188"/>
      <c r="FY920" s="1188"/>
      <c r="FZ920" s="1188"/>
      <c r="GA920" s="1188"/>
      <c r="GB920" s="1188"/>
      <c r="GC920" s="1188"/>
      <c r="GD920" s="1188"/>
      <c r="GE920" s="1188"/>
      <c r="GF920" s="1188"/>
      <c r="GG920" s="1188"/>
      <c r="GH920" s="1188"/>
      <c r="GI920" s="1188"/>
      <c r="GJ920" s="1188"/>
      <c r="GK920" s="1188"/>
      <c r="GL920" s="1188"/>
      <c r="GM920" s="1188"/>
      <c r="GN920" s="1188"/>
      <c r="GO920" s="1188"/>
      <c r="GP920" s="1188"/>
      <c r="GQ920" s="1188"/>
      <c r="GR920" s="1188"/>
      <c r="GS920" s="1188"/>
      <c r="GT920" s="1188"/>
      <c r="GU920" s="1188"/>
      <c r="GV920" s="1188"/>
      <c r="GW920" s="1188"/>
      <c r="GX920" s="1188"/>
      <c r="GY920" s="1188"/>
      <c r="GZ920" s="1188"/>
      <c r="HA920" s="1188"/>
      <c r="HB920" s="1188"/>
      <c r="HC920" s="1188"/>
      <c r="HD920" s="1188"/>
      <c r="HE920" s="1188"/>
      <c r="HF920" s="1188"/>
      <c r="HG920" s="1188"/>
      <c r="HH920" s="1188"/>
      <c r="HI920" s="1188"/>
      <c r="HJ920" s="1188"/>
      <c r="HK920" s="1188"/>
      <c r="HL920" s="1188"/>
      <c r="HM920" s="1188"/>
      <c r="HN920" s="1188"/>
      <c r="HO920" s="1188"/>
      <c r="HP920" s="1188"/>
      <c r="HQ920" s="1188"/>
      <c r="HR920" s="1188"/>
      <c r="HS920" s="1188"/>
      <c r="HT920" s="1188"/>
      <c r="HU920" s="1188"/>
      <c r="HV920" s="1188"/>
      <c r="HW920" s="1188"/>
      <c r="HX920" s="1188"/>
      <c r="HY920" s="1188"/>
      <c r="HZ920" s="1188"/>
      <c r="IA920" s="1188"/>
      <c r="IB920" s="1188"/>
      <c r="IC920" s="1188"/>
      <c r="ID920" s="1188"/>
      <c r="IE920" s="1188"/>
      <c r="IF920" s="1188"/>
      <c r="IG920" s="1188"/>
      <c r="IH920" s="1188"/>
      <c r="II920" s="1188"/>
      <c r="IJ920" s="1188"/>
      <c r="IK920" s="1188"/>
      <c r="IL920" s="1188"/>
      <c r="IM920" s="1188"/>
      <c r="IN920" s="1188"/>
      <c r="IO920" s="1188"/>
      <c r="IP920" s="1188"/>
      <c r="IQ920" s="1188"/>
      <c r="IR920" s="1188"/>
      <c r="IS920" s="1188"/>
      <c r="IT920" s="1188"/>
      <c r="IU920" s="1188"/>
      <c r="IV920" s="1188"/>
      <c r="IW920" s="1188"/>
      <c r="IX920" s="1188"/>
      <c r="IY920" s="1188"/>
      <c r="IZ920" s="1188"/>
      <c r="JA920" s="1188"/>
      <c r="JB920" s="1188"/>
      <c r="JC920" s="1188"/>
      <c r="JD920" s="1188"/>
      <c r="JE920" s="1188"/>
      <c r="JF920" s="1188"/>
      <c r="JG920" s="1188"/>
      <c r="JH920" s="1188"/>
      <c r="JI920" s="1188"/>
      <c r="JJ920" s="1188"/>
      <c r="JK920" s="1188"/>
      <c r="JL920" s="1188"/>
      <c r="JM920" s="1188"/>
      <c r="JN920" s="1188"/>
      <c r="JO920" s="1188"/>
      <c r="JP920" s="1188"/>
      <c r="JQ920" s="1188"/>
      <c r="JR920" s="1188"/>
      <c r="JS920" s="1188"/>
      <c r="JT920" s="1188"/>
      <c r="JU920" s="1188"/>
      <c r="JV920" s="1188"/>
      <c r="JW920" s="1188"/>
      <c r="JX920" s="1188"/>
      <c r="JY920" s="1188"/>
      <c r="JZ920" s="1188"/>
      <c r="KA920" s="1188"/>
      <c r="KB920" s="1188"/>
      <c r="KC920" s="1188"/>
      <c r="KD920" s="1188"/>
      <c r="KE920" s="1188"/>
      <c r="KF920" s="1188"/>
      <c r="KG920" s="1188"/>
      <c r="KH920" s="1188"/>
      <c r="KI920" s="1188"/>
      <c r="KJ920" s="1188"/>
      <c r="KK920" s="1188"/>
      <c r="KL920" s="1188"/>
      <c r="KM920" s="1188"/>
      <c r="KN920" s="1188"/>
      <c r="KO920" s="1188"/>
      <c r="KP920" s="1188"/>
      <c r="KQ920" s="1188"/>
      <c r="KR920" s="1188"/>
      <c r="KS920" s="1188"/>
      <c r="KT920" s="1188"/>
      <c r="KU920" s="1188"/>
      <c r="KV920" s="1188"/>
      <c r="KW920" s="1188"/>
      <c r="KX920" s="1188"/>
      <c r="KY920" s="1188"/>
      <c r="KZ920" s="1188"/>
      <c r="LA920" s="1188"/>
      <c r="LB920" s="1188"/>
      <c r="LC920" s="1188"/>
      <c r="LD920" s="1188"/>
      <c r="LE920" s="1188"/>
      <c r="LF920" s="1188"/>
      <c r="LG920" s="1188"/>
      <c r="LH920" s="1188"/>
      <c r="LI920" s="1188"/>
      <c r="LJ920" s="1188"/>
      <c r="LK920" s="1188"/>
      <c r="LL920" s="1188"/>
      <c r="LM920" s="1188"/>
      <c r="LN920" s="1188"/>
      <c r="LO920" s="1188"/>
      <c r="LP920" s="1188"/>
      <c r="LQ920" s="1188"/>
      <c r="LR920" s="1188"/>
      <c r="LS920" s="1188"/>
      <c r="LT920" s="1188"/>
      <c r="LU920" s="1188"/>
      <c r="LV920" s="1188"/>
      <c r="LW920" s="1188"/>
      <c r="LX920" s="1188"/>
      <c r="LY920" s="1188"/>
      <c r="LZ920" s="1188"/>
      <c r="MA920" s="1188"/>
      <c r="MB920" s="1188"/>
      <c r="MC920" s="1188"/>
      <c r="MD920" s="1188"/>
      <c r="ME920" s="1188"/>
      <c r="MF920" s="1188"/>
      <c r="MG920" s="1188"/>
      <c r="MH920" s="1188"/>
      <c r="MI920" s="1188"/>
      <c r="MJ920" s="1188"/>
      <c r="MK920" s="1188"/>
      <c r="ML920" s="1188"/>
      <c r="MM920" s="1188"/>
      <c r="MN920" s="1188"/>
      <c r="MO920" s="1188"/>
      <c r="MP920" s="1188"/>
      <c r="MQ920" s="1188"/>
      <c r="MR920" s="1188"/>
      <c r="MS920" s="1188"/>
      <c r="MT920" s="1188"/>
      <c r="MU920" s="1188"/>
      <c r="MV920" s="1188"/>
      <c r="MW920" s="1188"/>
      <c r="MX920" s="1188"/>
      <c r="MY920" s="1188"/>
      <c r="MZ920" s="1188"/>
      <c r="NA920" s="1188"/>
      <c r="NB920" s="1188"/>
      <c r="NC920" s="1188"/>
      <c r="ND920" s="1188"/>
      <c r="NE920" s="1188"/>
      <c r="NF920" s="1188"/>
      <c r="NG920" s="1188"/>
      <c r="NH920" s="1188"/>
      <c r="NI920" s="1188"/>
      <c r="NJ920" s="1188"/>
      <c r="NK920" s="1188"/>
      <c r="NL920" s="1188"/>
      <c r="NM920" s="1188"/>
      <c r="NN920" s="1188"/>
      <c r="NO920" s="1188"/>
      <c r="NP920" s="1188"/>
      <c r="NQ920" s="1188"/>
      <c r="NR920" s="1188"/>
      <c r="NS920" s="1188"/>
      <c r="NT920" s="1188"/>
      <c r="NU920" s="1188"/>
      <c r="NV920" s="1188"/>
      <c r="NW920" s="1188"/>
      <c r="NX920" s="1188"/>
      <c r="NY920" s="1188"/>
      <c r="NZ920" s="1188"/>
      <c r="OA920" s="1188"/>
      <c r="OB920" s="1188"/>
      <c r="OC920" s="1188"/>
      <c r="OD920" s="1188"/>
      <c r="OE920" s="1188"/>
      <c r="OF920" s="1188"/>
      <c r="OG920" s="1188"/>
      <c r="OH920" s="1188"/>
      <c r="OI920" s="1188"/>
      <c r="OJ920" s="1188"/>
      <c r="OK920" s="1188"/>
      <c r="OL920" s="1188"/>
      <c r="OM920" s="1188"/>
      <c r="ON920" s="1188"/>
      <c r="OO920" s="1188"/>
      <c r="OP920" s="1188"/>
      <c r="OQ920" s="1188"/>
      <c r="OR920" s="1188"/>
      <c r="OS920" s="1188"/>
      <c r="OT920" s="1188"/>
      <c r="OU920" s="1188"/>
      <c r="OV920" s="1188"/>
      <c r="OW920" s="1188"/>
      <c r="OX920" s="1188"/>
      <c r="OY920" s="1188"/>
      <c r="OZ920" s="1188"/>
      <c r="PA920" s="1188"/>
      <c r="PB920" s="1188"/>
      <c r="PC920" s="1188"/>
      <c r="PD920" s="1188"/>
      <c r="PE920" s="1188"/>
      <c r="PF920" s="1188"/>
      <c r="PG920" s="1188"/>
      <c r="PH920" s="1188"/>
      <c r="PI920" s="1188"/>
      <c r="PJ920" s="1188"/>
      <c r="PK920" s="1188"/>
      <c r="PL920" s="1188"/>
      <c r="PM920" s="1188"/>
      <c r="PN920" s="1188"/>
      <c r="PO920" s="1188"/>
      <c r="PP920" s="1188"/>
      <c r="PQ920" s="1188"/>
      <c r="PR920" s="1188"/>
      <c r="PS920" s="1188"/>
      <c r="PT920" s="1188"/>
      <c r="PU920" s="1188"/>
      <c r="PV920" s="1188"/>
      <c r="PW920" s="1188"/>
      <c r="PX920" s="1188"/>
      <c r="PY920" s="1188"/>
      <c r="PZ920" s="1188"/>
      <c r="QA920" s="1188"/>
      <c r="QB920" s="1188"/>
      <c r="QC920" s="1188"/>
      <c r="QD920" s="1188"/>
      <c r="QE920" s="1188"/>
      <c r="QF920" s="1188"/>
      <c r="QG920" s="1188"/>
      <c r="QH920" s="1188"/>
      <c r="QI920" s="1188"/>
      <c r="QJ920" s="1188"/>
      <c r="QK920" s="1188"/>
      <c r="QL920" s="1188"/>
      <c r="QM920" s="1188"/>
      <c r="QN920" s="1188"/>
      <c r="QO920" s="1188"/>
      <c r="QP920" s="1188"/>
      <c r="QQ920" s="1188"/>
      <c r="QR920" s="1188"/>
      <c r="QS920" s="1188"/>
      <c r="QT920" s="1188"/>
      <c r="QU920" s="1188"/>
      <c r="QV920" s="1188"/>
      <c r="QW920" s="1188"/>
      <c r="QX920" s="1188"/>
      <c r="QY920" s="1188"/>
      <c r="QZ920" s="1188"/>
      <c r="RA920" s="1188"/>
      <c r="RB920" s="1188"/>
      <c r="RC920" s="1188"/>
      <c r="RD920" s="1188"/>
      <c r="RE920" s="1188"/>
      <c r="RF920" s="1188"/>
      <c r="RG920" s="1188"/>
      <c r="RH920" s="1188"/>
      <c r="RI920" s="1188"/>
      <c r="RJ920" s="1188"/>
      <c r="RK920" s="1188"/>
      <c r="RL920" s="1188"/>
      <c r="RM920" s="1188"/>
      <c r="RN920" s="1188"/>
      <c r="RO920" s="1188"/>
      <c r="RP920" s="1188"/>
      <c r="RQ920" s="1188"/>
      <c r="RR920" s="1188"/>
      <c r="RS920" s="1188"/>
      <c r="RT920" s="1188"/>
      <c r="RU920" s="1188"/>
      <c r="RV920" s="1188"/>
      <c r="RW920" s="1188"/>
      <c r="RX920" s="1188"/>
      <c r="RY920" s="1188"/>
      <c r="RZ920" s="1188"/>
      <c r="SA920" s="1188"/>
      <c r="SB920" s="1188"/>
      <c r="SC920" s="1188"/>
      <c r="SD920" s="1188"/>
      <c r="SE920" s="1188"/>
      <c r="SF920" s="1188"/>
      <c r="SG920" s="1188"/>
      <c r="SH920" s="1188"/>
      <c r="SI920" s="1188"/>
      <c r="SJ920" s="1188"/>
      <c r="SK920" s="1188"/>
      <c r="SL920" s="1188"/>
      <c r="SM920" s="1188"/>
      <c r="SN920" s="1188"/>
      <c r="SO920" s="1188"/>
      <c r="SP920" s="1188"/>
      <c r="SQ920" s="1188"/>
      <c r="SR920" s="1188"/>
      <c r="SS920" s="1188"/>
      <c r="ST920" s="1188"/>
      <c r="SU920" s="1188"/>
      <c r="SV920" s="1188"/>
      <c r="SW920" s="1188"/>
      <c r="SX920" s="1188"/>
      <c r="SY920" s="1188"/>
      <c r="SZ920" s="1188"/>
      <c r="TA920" s="1188"/>
      <c r="TB920" s="1188"/>
      <c r="TC920" s="1188"/>
      <c r="TD920" s="1188"/>
      <c r="TE920" s="1188"/>
      <c r="TF920" s="1188"/>
      <c r="TG920" s="1188"/>
      <c r="TH920" s="1188"/>
      <c r="TI920" s="1188"/>
      <c r="TJ920" s="1188"/>
      <c r="TK920" s="1188"/>
      <c r="TL920" s="1188"/>
      <c r="TM920" s="1188"/>
      <c r="TN920" s="1188"/>
      <c r="TO920" s="1188"/>
      <c r="TP920" s="1188"/>
      <c r="TQ920" s="1188"/>
      <c r="TR920" s="1188"/>
      <c r="TS920" s="1188"/>
      <c r="TT920" s="1188"/>
      <c r="TU920" s="1188"/>
      <c r="TV920" s="1188"/>
      <c r="TW920" s="1188"/>
      <c r="TX920" s="1188"/>
      <c r="TY920" s="1188"/>
      <c r="TZ920" s="1188"/>
      <c r="UA920" s="1188"/>
      <c r="UB920" s="1188"/>
      <c r="UC920" s="1188"/>
      <c r="UD920" s="1188"/>
      <c r="UE920" s="1188"/>
      <c r="UF920" s="1188"/>
      <c r="UG920" s="1189"/>
    </row>
    <row r="921" spans="1:553" s="142" customFormat="1" ht="45" customHeight="1">
      <c r="A921" s="444" t="s">
        <v>30</v>
      </c>
      <c r="B921" s="384">
        <v>34</v>
      </c>
      <c r="C921" s="1376" t="s">
        <v>544</v>
      </c>
      <c r="D921" s="1377"/>
      <c r="E921" s="1377"/>
      <c r="F921" s="1378"/>
      <c r="G921" s="386" t="s">
        <v>33</v>
      </c>
      <c r="H921" s="672"/>
      <c r="I921" s="494">
        <f>-16.2*1.8</f>
        <v>-29.16</v>
      </c>
      <c r="J921" s="368">
        <v>251000</v>
      </c>
      <c r="K921" s="686"/>
      <c r="L921" s="487">
        <f t="shared" si="137"/>
        <v>-7319160</v>
      </c>
      <c r="M921" s="548"/>
      <c r="N921" s="548"/>
      <c r="O921" s="427"/>
      <c r="P921" s="384"/>
      <c r="Q921" s="1213"/>
      <c r="R921" s="1227"/>
      <c r="S921" s="308"/>
      <c r="T921" s="308"/>
      <c r="U921" s="308"/>
      <c r="V921" s="308"/>
      <c r="W921" s="308"/>
      <c r="X921" s="308"/>
      <c r="Y921" s="308"/>
      <c r="Z921" s="604"/>
      <c r="AA921" s="308"/>
      <c r="AB921" s="308"/>
      <c r="AC921" s="687"/>
      <c r="AD921" s="687"/>
      <c r="AE921" s="687"/>
      <c r="AF921" s="687"/>
      <c r="AG921" s="688"/>
      <c r="AH921" s="688"/>
      <c r="AI921" s="688"/>
      <c r="AJ921" s="688"/>
      <c r="AK921" s="688"/>
      <c r="AL921" s="207"/>
      <c r="AM921" s="140"/>
      <c r="AN921" s="140"/>
      <c r="AO921" s="140"/>
      <c r="AP921" s="140"/>
      <c r="AQ921" s="140"/>
      <c r="AR921" s="140"/>
      <c r="AS921" s="140"/>
      <c r="AT921" s="140"/>
      <c r="AU921" s="140"/>
      <c r="AV921" s="140"/>
      <c r="AW921" s="140"/>
      <c r="AX921" s="140"/>
      <c r="AY921" s="140"/>
      <c r="AZ921" s="140"/>
      <c r="BA921" s="140"/>
      <c r="BB921" s="140"/>
      <c r="BC921" s="140"/>
      <c r="BD921" s="140"/>
      <c r="BE921" s="140"/>
      <c r="BF921" s="140"/>
      <c r="BG921" s="140"/>
      <c r="BH921" s="140"/>
      <c r="BI921" s="140"/>
      <c r="BJ921" s="140"/>
      <c r="BK921" s="140"/>
      <c r="BL921" s="140"/>
      <c r="BM921" s="140"/>
      <c r="BN921" s="140"/>
      <c r="BO921" s="140"/>
      <c r="BP921" s="140"/>
      <c r="BQ921" s="140"/>
      <c r="BR921" s="140"/>
      <c r="BS921" s="140"/>
      <c r="BT921" s="140"/>
      <c r="BU921" s="140"/>
      <c r="BV921" s="140"/>
      <c r="BW921" s="140"/>
      <c r="BX921" s="140"/>
      <c r="BY921" s="140"/>
      <c r="BZ921" s="140"/>
      <c r="CA921" s="140"/>
      <c r="CB921" s="140"/>
      <c r="CC921" s="140"/>
      <c r="CD921" s="140"/>
      <c r="CE921" s="140"/>
      <c r="CF921" s="140"/>
      <c r="CG921" s="140"/>
      <c r="CH921" s="140"/>
      <c r="CI921" s="140"/>
      <c r="CJ921" s="140"/>
      <c r="CK921" s="140"/>
      <c r="CL921" s="140"/>
      <c r="CM921" s="140"/>
      <c r="CN921" s="140"/>
      <c r="CO921" s="140"/>
      <c r="CP921" s="140"/>
      <c r="CQ921" s="140"/>
      <c r="CR921" s="140"/>
      <c r="CS921" s="140"/>
      <c r="CT921" s="140"/>
      <c r="CU921" s="140"/>
      <c r="CV921" s="140"/>
      <c r="CW921" s="140"/>
      <c r="CX921" s="140"/>
      <c r="CY921" s="140"/>
      <c r="CZ921" s="140"/>
      <c r="DA921" s="140"/>
      <c r="DB921" s="140"/>
      <c r="DC921" s="140"/>
      <c r="DD921" s="140"/>
      <c r="DE921" s="140"/>
      <c r="DF921" s="140"/>
      <c r="DG921" s="140"/>
      <c r="DH921" s="140"/>
      <c r="DI921" s="140"/>
      <c r="DJ921" s="140"/>
      <c r="DK921" s="140"/>
      <c r="DL921" s="140"/>
      <c r="DM921" s="140"/>
      <c r="DN921" s="140"/>
      <c r="DO921" s="140"/>
      <c r="DP921" s="140"/>
      <c r="DQ921" s="140"/>
      <c r="DR921" s="140"/>
      <c r="DS921" s="140"/>
      <c r="DT921" s="140"/>
      <c r="DU921" s="140"/>
      <c r="DV921" s="140"/>
      <c r="DW921" s="140"/>
      <c r="DX921" s="140"/>
      <c r="DY921" s="140"/>
      <c r="DZ921" s="140"/>
      <c r="EA921" s="140"/>
      <c r="EB921" s="140"/>
      <c r="EC921" s="140"/>
      <c r="ED921" s="140"/>
      <c r="EE921" s="140"/>
      <c r="EF921" s="140"/>
      <c r="EG921" s="140"/>
      <c r="EH921" s="140"/>
      <c r="EI921" s="140"/>
      <c r="EJ921" s="140"/>
      <c r="EK921" s="140"/>
      <c r="EL921" s="140"/>
      <c r="EM921" s="140"/>
      <c r="EN921" s="140"/>
      <c r="EO921" s="140"/>
      <c r="EP921" s="140"/>
      <c r="EQ921" s="140"/>
      <c r="ER921" s="140"/>
      <c r="ES921" s="140"/>
      <c r="ET921" s="140"/>
      <c r="EU921" s="140"/>
      <c r="EV921" s="140"/>
      <c r="EW921" s="140"/>
      <c r="EX921" s="140"/>
      <c r="EY921" s="140"/>
      <c r="EZ921" s="140"/>
      <c r="FA921" s="140"/>
      <c r="FB921" s="140"/>
      <c r="FC921" s="140"/>
      <c r="FD921" s="140"/>
      <c r="FE921" s="140"/>
      <c r="FF921" s="140"/>
      <c r="FG921" s="140"/>
      <c r="FH921" s="140"/>
      <c r="FI921" s="140"/>
      <c r="FJ921" s="140"/>
      <c r="FK921" s="140"/>
      <c r="FL921" s="140"/>
      <c r="FM921" s="140"/>
      <c r="FN921" s="140"/>
      <c r="FO921" s="140"/>
      <c r="FP921" s="140"/>
      <c r="FQ921" s="140"/>
      <c r="FR921" s="140"/>
      <c r="FS921" s="140"/>
      <c r="FT921" s="140"/>
      <c r="FU921" s="140"/>
      <c r="FV921" s="140"/>
      <c r="FW921" s="140"/>
      <c r="FX921" s="140"/>
      <c r="FY921" s="140"/>
      <c r="FZ921" s="140"/>
      <c r="GA921" s="140"/>
      <c r="GB921" s="140"/>
      <c r="GC921" s="140"/>
      <c r="GD921" s="140"/>
      <c r="GE921" s="140"/>
      <c r="GF921" s="140"/>
      <c r="GG921" s="140"/>
      <c r="GH921" s="140"/>
      <c r="GI921" s="140"/>
      <c r="GJ921" s="140"/>
      <c r="GK921" s="140"/>
      <c r="GL921" s="140"/>
      <c r="GM921" s="140"/>
      <c r="GN921" s="140"/>
      <c r="GO921" s="140"/>
      <c r="GP921" s="140"/>
      <c r="GQ921" s="140"/>
      <c r="GR921" s="140"/>
      <c r="GS921" s="140"/>
      <c r="GT921" s="140"/>
      <c r="GU921" s="140"/>
      <c r="GV921" s="140"/>
      <c r="GW921" s="140"/>
      <c r="GX921" s="140"/>
      <c r="GY921" s="140"/>
      <c r="GZ921" s="140"/>
      <c r="HA921" s="140"/>
      <c r="HB921" s="140"/>
      <c r="HC921" s="140"/>
      <c r="HD921" s="140"/>
      <c r="HE921" s="140"/>
      <c r="HF921" s="140"/>
      <c r="HG921" s="140"/>
      <c r="HH921" s="140"/>
      <c r="HI921" s="140"/>
      <c r="HJ921" s="140"/>
      <c r="HK921" s="140"/>
      <c r="HL921" s="140"/>
      <c r="HM921" s="140"/>
      <c r="HN921" s="140"/>
      <c r="HO921" s="140"/>
      <c r="HP921" s="140"/>
      <c r="HQ921" s="140"/>
      <c r="HR921" s="140"/>
      <c r="HS921" s="140"/>
      <c r="HT921" s="140"/>
      <c r="HU921" s="140"/>
      <c r="HV921" s="140"/>
      <c r="HW921" s="140"/>
      <c r="HX921" s="140"/>
      <c r="HY921" s="140"/>
      <c r="HZ921" s="140"/>
      <c r="IA921" s="140"/>
      <c r="IB921" s="140"/>
      <c r="IC921" s="140"/>
      <c r="ID921" s="140"/>
      <c r="IE921" s="140"/>
      <c r="IF921" s="140"/>
      <c r="IG921" s="140"/>
      <c r="IH921" s="140"/>
      <c r="II921" s="140"/>
      <c r="IJ921" s="140"/>
      <c r="IK921" s="140"/>
      <c r="IL921" s="140"/>
      <c r="IM921" s="140"/>
      <c r="IN921" s="140"/>
      <c r="IO921" s="140"/>
      <c r="IP921" s="140"/>
      <c r="IQ921" s="140"/>
      <c r="IR921" s="140"/>
      <c r="IS921" s="140"/>
      <c r="IT921" s="140"/>
      <c r="IU921" s="140"/>
      <c r="IV921" s="140"/>
      <c r="IW921" s="140"/>
      <c r="IX921" s="140"/>
      <c r="IY921" s="140"/>
      <c r="IZ921" s="140"/>
      <c r="JA921" s="140"/>
      <c r="JB921" s="140"/>
      <c r="JC921" s="140"/>
      <c r="JD921" s="140"/>
      <c r="JE921" s="140"/>
      <c r="JF921" s="140"/>
      <c r="JG921" s="140"/>
      <c r="JH921" s="140"/>
      <c r="JI921" s="140"/>
      <c r="JJ921" s="140"/>
      <c r="JK921" s="140"/>
      <c r="JL921" s="140"/>
      <c r="JM921" s="140"/>
      <c r="JN921" s="140"/>
      <c r="JO921" s="140"/>
      <c r="JP921" s="140"/>
      <c r="JQ921" s="140"/>
      <c r="JR921" s="140"/>
      <c r="JS921" s="140"/>
      <c r="JT921" s="140"/>
      <c r="JU921" s="140"/>
      <c r="JV921" s="140"/>
      <c r="JW921" s="140"/>
      <c r="JX921" s="140"/>
      <c r="JY921" s="140"/>
      <c r="JZ921" s="140"/>
      <c r="KA921" s="140"/>
      <c r="KB921" s="140"/>
      <c r="KC921" s="140"/>
      <c r="KD921" s="140"/>
      <c r="KE921" s="140"/>
      <c r="KF921" s="140"/>
      <c r="KG921" s="140"/>
      <c r="KH921" s="140"/>
      <c r="KI921" s="140"/>
      <c r="KJ921" s="140"/>
      <c r="KK921" s="140"/>
      <c r="KL921" s="140"/>
      <c r="KM921" s="140"/>
      <c r="KN921" s="140"/>
      <c r="KO921" s="140"/>
      <c r="KP921" s="140"/>
      <c r="KQ921" s="140"/>
      <c r="KR921" s="140"/>
      <c r="KS921" s="140"/>
      <c r="KT921" s="140"/>
      <c r="KU921" s="140"/>
      <c r="KV921" s="140"/>
      <c r="KW921" s="140"/>
      <c r="KX921" s="140"/>
      <c r="KY921" s="140"/>
      <c r="KZ921" s="140"/>
      <c r="LA921" s="140"/>
      <c r="LB921" s="140"/>
      <c r="LC921" s="140"/>
      <c r="LD921" s="140"/>
      <c r="LE921" s="140"/>
      <c r="LF921" s="140"/>
      <c r="LG921" s="140"/>
      <c r="LH921" s="140"/>
      <c r="LI921" s="140"/>
      <c r="LJ921" s="140"/>
      <c r="LK921" s="140"/>
      <c r="LL921" s="140"/>
      <c r="LM921" s="140"/>
      <c r="LN921" s="140"/>
      <c r="LO921" s="140"/>
      <c r="LP921" s="140"/>
      <c r="LQ921" s="140"/>
      <c r="LR921" s="140"/>
      <c r="LS921" s="140"/>
      <c r="LT921" s="140"/>
      <c r="LU921" s="140"/>
      <c r="LV921" s="140"/>
      <c r="LW921" s="140"/>
      <c r="LX921" s="140"/>
      <c r="LY921" s="140"/>
      <c r="LZ921" s="140"/>
      <c r="MA921" s="140"/>
      <c r="MB921" s="140"/>
      <c r="MC921" s="140"/>
      <c r="MD921" s="140"/>
      <c r="ME921" s="140"/>
      <c r="MF921" s="140"/>
      <c r="MG921" s="140"/>
      <c r="MH921" s="140"/>
      <c r="MI921" s="140"/>
      <c r="MJ921" s="140"/>
      <c r="MK921" s="140"/>
      <c r="ML921" s="140"/>
      <c r="MM921" s="140"/>
      <c r="MN921" s="140"/>
      <c r="MO921" s="140"/>
      <c r="MP921" s="140"/>
      <c r="MQ921" s="140"/>
      <c r="MR921" s="140"/>
      <c r="MS921" s="140"/>
      <c r="MT921" s="140"/>
      <c r="MU921" s="140"/>
      <c r="MV921" s="140"/>
      <c r="MW921" s="140"/>
      <c r="MX921" s="140"/>
      <c r="MY921" s="140"/>
      <c r="MZ921" s="140"/>
      <c r="NA921" s="140"/>
      <c r="NB921" s="140"/>
      <c r="NC921" s="140"/>
      <c r="ND921" s="140"/>
      <c r="NE921" s="140"/>
      <c r="NF921" s="140"/>
      <c r="NG921" s="140"/>
      <c r="NH921" s="140"/>
      <c r="NI921" s="140"/>
      <c r="NJ921" s="140"/>
      <c r="NK921" s="140"/>
      <c r="NL921" s="140"/>
      <c r="NM921" s="140"/>
      <c r="NN921" s="140"/>
      <c r="NO921" s="140"/>
      <c r="NP921" s="140"/>
      <c r="NQ921" s="140"/>
      <c r="NR921" s="140"/>
      <c r="NS921" s="140"/>
      <c r="NT921" s="140"/>
      <c r="NU921" s="140"/>
      <c r="NV921" s="140"/>
      <c r="NW921" s="140"/>
      <c r="NX921" s="140"/>
      <c r="NY921" s="140"/>
      <c r="NZ921" s="140"/>
      <c r="OA921" s="140"/>
      <c r="OB921" s="140"/>
      <c r="OC921" s="140"/>
      <c r="OD921" s="140"/>
      <c r="OE921" s="140"/>
      <c r="OF921" s="140"/>
      <c r="OG921" s="140"/>
      <c r="OH921" s="140"/>
      <c r="OI921" s="140"/>
      <c r="OJ921" s="140"/>
      <c r="OK921" s="140"/>
      <c r="OL921" s="140"/>
      <c r="OM921" s="140"/>
      <c r="ON921" s="140"/>
      <c r="OO921" s="140"/>
      <c r="OP921" s="140"/>
      <c r="OQ921" s="140"/>
      <c r="OR921" s="140"/>
      <c r="OS921" s="140"/>
      <c r="OT921" s="140"/>
      <c r="OU921" s="140"/>
      <c r="OV921" s="140"/>
      <c r="OW921" s="140"/>
      <c r="OX921" s="140"/>
      <c r="OY921" s="140"/>
      <c r="OZ921" s="140"/>
      <c r="PA921" s="140"/>
      <c r="PB921" s="140"/>
      <c r="PC921" s="140"/>
      <c r="PD921" s="140"/>
      <c r="PE921" s="140"/>
      <c r="PF921" s="140"/>
      <c r="PG921" s="140"/>
      <c r="PH921" s="140"/>
      <c r="PI921" s="140"/>
      <c r="PJ921" s="140"/>
      <c r="PK921" s="140"/>
      <c r="PL921" s="140"/>
      <c r="PM921" s="140"/>
      <c r="PN921" s="140"/>
      <c r="PO921" s="140"/>
      <c r="PP921" s="140"/>
      <c r="PQ921" s="140"/>
      <c r="PR921" s="140"/>
      <c r="PS921" s="140"/>
      <c r="PT921" s="140"/>
      <c r="PU921" s="140"/>
      <c r="PV921" s="140"/>
      <c r="PW921" s="140"/>
      <c r="PX921" s="140"/>
      <c r="PY921" s="140"/>
      <c r="PZ921" s="140"/>
      <c r="QA921" s="140"/>
      <c r="QB921" s="140"/>
      <c r="QC921" s="140"/>
      <c r="QD921" s="140"/>
      <c r="QE921" s="140"/>
      <c r="QF921" s="140"/>
      <c r="QG921" s="140"/>
      <c r="QH921" s="140"/>
      <c r="QI921" s="140"/>
      <c r="QJ921" s="140"/>
      <c r="QK921" s="140"/>
      <c r="QL921" s="140"/>
      <c r="QM921" s="140"/>
      <c r="QN921" s="140"/>
      <c r="QO921" s="140"/>
      <c r="QP921" s="140"/>
      <c r="QQ921" s="140"/>
      <c r="QR921" s="140"/>
      <c r="QS921" s="140"/>
      <c r="QT921" s="140"/>
      <c r="QU921" s="140"/>
      <c r="QV921" s="140"/>
      <c r="QW921" s="140"/>
      <c r="QX921" s="140"/>
      <c r="QY921" s="140"/>
      <c r="QZ921" s="140"/>
      <c r="RA921" s="140"/>
      <c r="RB921" s="140"/>
      <c r="RC921" s="140"/>
      <c r="RD921" s="140"/>
      <c r="RE921" s="140"/>
      <c r="RF921" s="140"/>
      <c r="RG921" s="140"/>
      <c r="RH921" s="140"/>
      <c r="RI921" s="140"/>
      <c r="RJ921" s="140"/>
      <c r="RK921" s="140"/>
      <c r="RL921" s="140"/>
      <c r="RM921" s="140"/>
      <c r="RN921" s="140"/>
      <c r="RO921" s="140"/>
      <c r="RP921" s="140"/>
      <c r="RQ921" s="140"/>
      <c r="RR921" s="140"/>
      <c r="RS921" s="140"/>
      <c r="RT921" s="140"/>
      <c r="RU921" s="140"/>
      <c r="RV921" s="140"/>
      <c r="RW921" s="140"/>
      <c r="RX921" s="140"/>
      <c r="RY921" s="140"/>
      <c r="RZ921" s="140"/>
      <c r="SA921" s="140"/>
      <c r="SB921" s="140"/>
      <c r="SC921" s="140"/>
      <c r="SD921" s="140"/>
      <c r="SE921" s="140"/>
      <c r="SF921" s="140"/>
      <c r="SG921" s="140"/>
      <c r="SH921" s="140"/>
      <c r="SI921" s="140"/>
      <c r="SJ921" s="140"/>
      <c r="SK921" s="140"/>
      <c r="SL921" s="140"/>
      <c r="SM921" s="140"/>
      <c r="SN921" s="140"/>
      <c r="SO921" s="140"/>
      <c r="SP921" s="140"/>
      <c r="SQ921" s="140"/>
      <c r="SR921" s="140"/>
      <c r="SS921" s="140"/>
      <c r="ST921" s="140"/>
      <c r="SU921" s="140"/>
      <c r="SV921" s="140"/>
      <c r="SW921" s="140"/>
      <c r="SX921" s="140"/>
      <c r="SY921" s="140"/>
      <c r="SZ921" s="140"/>
      <c r="TA921" s="140"/>
      <c r="TB921" s="140"/>
      <c r="TC921" s="140"/>
      <c r="TD921" s="140"/>
      <c r="TE921" s="140"/>
      <c r="TF921" s="140"/>
      <c r="TG921" s="140"/>
      <c r="TH921" s="140"/>
      <c r="TI921" s="140"/>
      <c r="TJ921" s="140"/>
      <c r="TK921" s="140"/>
      <c r="TL921" s="140"/>
      <c r="TM921" s="140"/>
      <c r="TN921" s="140"/>
      <c r="TO921" s="140"/>
      <c r="TP921" s="140"/>
      <c r="TQ921" s="140"/>
      <c r="TR921" s="140"/>
      <c r="TS921" s="140"/>
      <c r="TT921" s="140"/>
      <c r="TU921" s="140"/>
      <c r="TV921" s="140"/>
      <c r="TW921" s="140"/>
      <c r="TX921" s="140"/>
      <c r="TY921" s="140"/>
      <c r="TZ921" s="140"/>
      <c r="UA921" s="140"/>
      <c r="UB921" s="140"/>
      <c r="UC921" s="140"/>
      <c r="UD921" s="140"/>
      <c r="UE921" s="140"/>
      <c r="UF921" s="140"/>
      <c r="UG921" s="141"/>
    </row>
    <row r="922" spans="1:553" s="142" customFormat="1" ht="45" customHeight="1">
      <c r="A922" s="444" t="s">
        <v>30</v>
      </c>
      <c r="B922" s="692" t="s">
        <v>545</v>
      </c>
      <c r="C922" s="1370" t="s">
        <v>546</v>
      </c>
      <c r="D922" s="1371"/>
      <c r="E922" s="1371"/>
      <c r="F922" s="1372"/>
      <c r="G922" s="386" t="s">
        <v>33</v>
      </c>
      <c r="H922" s="672"/>
      <c r="I922" s="494">
        <f>-5.8*2.8</f>
        <v>-16.239999999999998</v>
      </c>
      <c r="J922" s="368">
        <f>185700-67200</f>
        <v>118500</v>
      </c>
      <c r="K922" s="686"/>
      <c r="L922" s="487">
        <f t="shared" si="137"/>
        <v>-1924439.9999999998</v>
      </c>
      <c r="M922" s="548"/>
      <c r="N922" s="548"/>
      <c r="O922" s="427"/>
      <c r="P922" s="384"/>
      <c r="Q922" s="1213"/>
      <c r="R922" s="1227"/>
      <c r="S922" s="308"/>
      <c r="T922" s="308"/>
      <c r="U922" s="308"/>
      <c r="V922" s="308"/>
      <c r="W922" s="308"/>
      <c r="X922" s="308"/>
      <c r="Y922" s="308"/>
      <c r="Z922" s="604"/>
      <c r="AA922" s="308"/>
      <c r="AB922" s="308"/>
      <c r="AC922" s="687"/>
      <c r="AD922" s="687"/>
      <c r="AE922" s="687"/>
      <c r="AF922" s="687"/>
      <c r="AG922" s="688"/>
      <c r="AH922" s="688"/>
      <c r="AI922" s="688"/>
      <c r="AJ922" s="688"/>
      <c r="AK922" s="688"/>
      <c r="AL922" s="207"/>
      <c r="AM922" s="140"/>
      <c r="AN922" s="140"/>
      <c r="AO922" s="140"/>
      <c r="AP922" s="140"/>
      <c r="AQ922" s="140"/>
      <c r="AR922" s="140"/>
      <c r="AS922" s="140"/>
      <c r="AT922" s="140"/>
      <c r="AU922" s="140"/>
      <c r="AV922" s="140"/>
      <c r="AW922" s="140"/>
      <c r="AX922" s="140"/>
      <c r="AY922" s="140"/>
      <c r="AZ922" s="140"/>
      <c r="BA922" s="140"/>
      <c r="BB922" s="140"/>
      <c r="BC922" s="140"/>
      <c r="BD922" s="140"/>
      <c r="BE922" s="140"/>
      <c r="BF922" s="140"/>
      <c r="BG922" s="140"/>
      <c r="BH922" s="140"/>
      <c r="BI922" s="140"/>
      <c r="BJ922" s="140"/>
      <c r="BK922" s="140"/>
      <c r="BL922" s="140"/>
      <c r="BM922" s="140"/>
      <c r="BN922" s="140"/>
      <c r="BO922" s="140"/>
      <c r="BP922" s="140"/>
      <c r="BQ922" s="140"/>
      <c r="BR922" s="140"/>
      <c r="BS922" s="140"/>
      <c r="BT922" s="140"/>
      <c r="BU922" s="140"/>
      <c r="BV922" s="140"/>
      <c r="BW922" s="140"/>
      <c r="BX922" s="140"/>
      <c r="BY922" s="140"/>
      <c r="BZ922" s="140"/>
      <c r="CA922" s="140"/>
      <c r="CB922" s="140"/>
      <c r="CC922" s="140"/>
      <c r="CD922" s="140"/>
      <c r="CE922" s="140"/>
      <c r="CF922" s="140"/>
      <c r="CG922" s="140"/>
      <c r="CH922" s="140"/>
      <c r="CI922" s="140"/>
      <c r="CJ922" s="140"/>
      <c r="CK922" s="140"/>
      <c r="CL922" s="140"/>
      <c r="CM922" s="140"/>
      <c r="CN922" s="140"/>
      <c r="CO922" s="140"/>
      <c r="CP922" s="140"/>
      <c r="CQ922" s="140"/>
      <c r="CR922" s="140"/>
      <c r="CS922" s="140"/>
      <c r="CT922" s="140"/>
      <c r="CU922" s="140"/>
      <c r="CV922" s="140"/>
      <c r="CW922" s="140"/>
      <c r="CX922" s="140"/>
      <c r="CY922" s="140"/>
      <c r="CZ922" s="140"/>
      <c r="DA922" s="140"/>
      <c r="DB922" s="140"/>
      <c r="DC922" s="140"/>
      <c r="DD922" s="140"/>
      <c r="DE922" s="140"/>
      <c r="DF922" s="140"/>
      <c r="DG922" s="140"/>
      <c r="DH922" s="140"/>
      <c r="DI922" s="140"/>
      <c r="DJ922" s="140"/>
      <c r="DK922" s="140"/>
      <c r="DL922" s="140"/>
      <c r="DM922" s="140"/>
      <c r="DN922" s="140"/>
      <c r="DO922" s="140"/>
      <c r="DP922" s="140"/>
      <c r="DQ922" s="140"/>
      <c r="DR922" s="140"/>
      <c r="DS922" s="140"/>
      <c r="DT922" s="140"/>
      <c r="DU922" s="140"/>
      <c r="DV922" s="140"/>
      <c r="DW922" s="140"/>
      <c r="DX922" s="140"/>
      <c r="DY922" s="140"/>
      <c r="DZ922" s="140"/>
      <c r="EA922" s="140"/>
      <c r="EB922" s="140"/>
      <c r="EC922" s="140"/>
      <c r="ED922" s="140"/>
      <c r="EE922" s="140"/>
      <c r="EF922" s="140"/>
      <c r="EG922" s="140"/>
      <c r="EH922" s="140"/>
      <c r="EI922" s="140"/>
      <c r="EJ922" s="140"/>
      <c r="EK922" s="140"/>
      <c r="EL922" s="140"/>
      <c r="EM922" s="140"/>
      <c r="EN922" s="140"/>
      <c r="EO922" s="140"/>
      <c r="EP922" s="140"/>
      <c r="EQ922" s="140"/>
      <c r="ER922" s="140"/>
      <c r="ES922" s="140"/>
      <c r="ET922" s="140"/>
      <c r="EU922" s="140"/>
      <c r="EV922" s="140"/>
      <c r="EW922" s="140"/>
      <c r="EX922" s="140"/>
      <c r="EY922" s="140"/>
      <c r="EZ922" s="140"/>
      <c r="FA922" s="140"/>
      <c r="FB922" s="140"/>
      <c r="FC922" s="140"/>
      <c r="FD922" s="140"/>
      <c r="FE922" s="140"/>
      <c r="FF922" s="140"/>
      <c r="FG922" s="140"/>
      <c r="FH922" s="140"/>
      <c r="FI922" s="140"/>
      <c r="FJ922" s="140"/>
      <c r="FK922" s="140"/>
      <c r="FL922" s="140"/>
      <c r="FM922" s="140"/>
      <c r="FN922" s="140"/>
      <c r="FO922" s="140"/>
      <c r="FP922" s="140"/>
      <c r="FQ922" s="140"/>
      <c r="FR922" s="140"/>
      <c r="FS922" s="140"/>
      <c r="FT922" s="140"/>
      <c r="FU922" s="140"/>
      <c r="FV922" s="140"/>
      <c r="FW922" s="140"/>
      <c r="FX922" s="140"/>
      <c r="FY922" s="140"/>
      <c r="FZ922" s="140"/>
      <c r="GA922" s="140"/>
      <c r="GB922" s="140"/>
      <c r="GC922" s="140"/>
      <c r="GD922" s="140"/>
      <c r="GE922" s="140"/>
      <c r="GF922" s="140"/>
      <c r="GG922" s="140"/>
      <c r="GH922" s="140"/>
      <c r="GI922" s="140"/>
      <c r="GJ922" s="140"/>
      <c r="GK922" s="140"/>
      <c r="GL922" s="140"/>
      <c r="GM922" s="140"/>
      <c r="GN922" s="140"/>
      <c r="GO922" s="140"/>
      <c r="GP922" s="140"/>
      <c r="GQ922" s="140"/>
      <c r="GR922" s="140"/>
      <c r="GS922" s="140"/>
      <c r="GT922" s="140"/>
      <c r="GU922" s="140"/>
      <c r="GV922" s="140"/>
      <c r="GW922" s="140"/>
      <c r="GX922" s="140"/>
      <c r="GY922" s="140"/>
      <c r="GZ922" s="140"/>
      <c r="HA922" s="140"/>
      <c r="HB922" s="140"/>
      <c r="HC922" s="140"/>
      <c r="HD922" s="140"/>
      <c r="HE922" s="140"/>
      <c r="HF922" s="140"/>
      <c r="HG922" s="140"/>
      <c r="HH922" s="140"/>
      <c r="HI922" s="140"/>
      <c r="HJ922" s="140"/>
      <c r="HK922" s="140"/>
      <c r="HL922" s="140"/>
      <c r="HM922" s="140"/>
      <c r="HN922" s="140"/>
      <c r="HO922" s="140"/>
      <c r="HP922" s="140"/>
      <c r="HQ922" s="140"/>
      <c r="HR922" s="140"/>
      <c r="HS922" s="140"/>
      <c r="HT922" s="140"/>
      <c r="HU922" s="140"/>
      <c r="HV922" s="140"/>
      <c r="HW922" s="140"/>
      <c r="HX922" s="140"/>
      <c r="HY922" s="140"/>
      <c r="HZ922" s="140"/>
      <c r="IA922" s="140"/>
      <c r="IB922" s="140"/>
      <c r="IC922" s="140"/>
      <c r="ID922" s="140"/>
      <c r="IE922" s="140"/>
      <c r="IF922" s="140"/>
      <c r="IG922" s="140"/>
      <c r="IH922" s="140"/>
      <c r="II922" s="140"/>
      <c r="IJ922" s="140"/>
      <c r="IK922" s="140"/>
      <c r="IL922" s="140"/>
      <c r="IM922" s="140"/>
      <c r="IN922" s="140"/>
      <c r="IO922" s="140"/>
      <c r="IP922" s="140"/>
      <c r="IQ922" s="140"/>
      <c r="IR922" s="140"/>
      <c r="IS922" s="140"/>
      <c r="IT922" s="140"/>
      <c r="IU922" s="140"/>
      <c r="IV922" s="140"/>
      <c r="IW922" s="140"/>
      <c r="IX922" s="140"/>
      <c r="IY922" s="140"/>
      <c r="IZ922" s="140"/>
      <c r="JA922" s="140"/>
      <c r="JB922" s="140"/>
      <c r="JC922" s="140"/>
      <c r="JD922" s="140"/>
      <c r="JE922" s="140"/>
      <c r="JF922" s="140"/>
      <c r="JG922" s="140"/>
      <c r="JH922" s="140"/>
      <c r="JI922" s="140"/>
      <c r="JJ922" s="140"/>
      <c r="JK922" s="140"/>
      <c r="JL922" s="140"/>
      <c r="JM922" s="140"/>
      <c r="JN922" s="140"/>
      <c r="JO922" s="140"/>
      <c r="JP922" s="140"/>
      <c r="JQ922" s="140"/>
      <c r="JR922" s="140"/>
      <c r="JS922" s="140"/>
      <c r="JT922" s="140"/>
      <c r="JU922" s="140"/>
      <c r="JV922" s="140"/>
      <c r="JW922" s="140"/>
      <c r="JX922" s="140"/>
      <c r="JY922" s="140"/>
      <c r="JZ922" s="140"/>
      <c r="KA922" s="140"/>
      <c r="KB922" s="140"/>
      <c r="KC922" s="140"/>
      <c r="KD922" s="140"/>
      <c r="KE922" s="140"/>
      <c r="KF922" s="140"/>
      <c r="KG922" s="140"/>
      <c r="KH922" s="140"/>
      <c r="KI922" s="140"/>
      <c r="KJ922" s="140"/>
      <c r="KK922" s="140"/>
      <c r="KL922" s="140"/>
      <c r="KM922" s="140"/>
      <c r="KN922" s="140"/>
      <c r="KO922" s="140"/>
      <c r="KP922" s="140"/>
      <c r="KQ922" s="140"/>
      <c r="KR922" s="140"/>
      <c r="KS922" s="140"/>
      <c r="KT922" s="140"/>
      <c r="KU922" s="140"/>
      <c r="KV922" s="140"/>
      <c r="KW922" s="140"/>
      <c r="KX922" s="140"/>
      <c r="KY922" s="140"/>
      <c r="KZ922" s="140"/>
      <c r="LA922" s="140"/>
      <c r="LB922" s="140"/>
      <c r="LC922" s="140"/>
      <c r="LD922" s="140"/>
      <c r="LE922" s="140"/>
      <c r="LF922" s="140"/>
      <c r="LG922" s="140"/>
      <c r="LH922" s="140"/>
      <c r="LI922" s="140"/>
      <c r="LJ922" s="140"/>
      <c r="LK922" s="140"/>
      <c r="LL922" s="140"/>
      <c r="LM922" s="140"/>
      <c r="LN922" s="140"/>
      <c r="LO922" s="140"/>
      <c r="LP922" s="140"/>
      <c r="LQ922" s="140"/>
      <c r="LR922" s="140"/>
      <c r="LS922" s="140"/>
      <c r="LT922" s="140"/>
      <c r="LU922" s="140"/>
      <c r="LV922" s="140"/>
      <c r="LW922" s="140"/>
      <c r="LX922" s="140"/>
      <c r="LY922" s="140"/>
      <c r="LZ922" s="140"/>
      <c r="MA922" s="140"/>
      <c r="MB922" s="140"/>
      <c r="MC922" s="140"/>
      <c r="MD922" s="140"/>
      <c r="ME922" s="140"/>
      <c r="MF922" s="140"/>
      <c r="MG922" s="140"/>
      <c r="MH922" s="140"/>
      <c r="MI922" s="140"/>
      <c r="MJ922" s="140"/>
      <c r="MK922" s="140"/>
      <c r="ML922" s="140"/>
      <c r="MM922" s="140"/>
      <c r="MN922" s="140"/>
      <c r="MO922" s="140"/>
      <c r="MP922" s="140"/>
      <c r="MQ922" s="140"/>
      <c r="MR922" s="140"/>
      <c r="MS922" s="140"/>
      <c r="MT922" s="140"/>
      <c r="MU922" s="140"/>
      <c r="MV922" s="140"/>
      <c r="MW922" s="140"/>
      <c r="MX922" s="140"/>
      <c r="MY922" s="140"/>
      <c r="MZ922" s="140"/>
      <c r="NA922" s="140"/>
      <c r="NB922" s="140"/>
      <c r="NC922" s="140"/>
      <c r="ND922" s="140"/>
      <c r="NE922" s="140"/>
      <c r="NF922" s="140"/>
      <c r="NG922" s="140"/>
      <c r="NH922" s="140"/>
      <c r="NI922" s="140"/>
      <c r="NJ922" s="140"/>
      <c r="NK922" s="140"/>
      <c r="NL922" s="140"/>
      <c r="NM922" s="140"/>
      <c r="NN922" s="140"/>
      <c r="NO922" s="140"/>
      <c r="NP922" s="140"/>
      <c r="NQ922" s="140"/>
      <c r="NR922" s="140"/>
      <c r="NS922" s="140"/>
      <c r="NT922" s="140"/>
      <c r="NU922" s="140"/>
      <c r="NV922" s="140"/>
      <c r="NW922" s="140"/>
      <c r="NX922" s="140"/>
      <c r="NY922" s="140"/>
      <c r="NZ922" s="140"/>
      <c r="OA922" s="140"/>
      <c r="OB922" s="140"/>
      <c r="OC922" s="140"/>
      <c r="OD922" s="140"/>
      <c r="OE922" s="140"/>
      <c r="OF922" s="140"/>
      <c r="OG922" s="140"/>
      <c r="OH922" s="140"/>
      <c r="OI922" s="140"/>
      <c r="OJ922" s="140"/>
      <c r="OK922" s="140"/>
      <c r="OL922" s="140"/>
      <c r="OM922" s="140"/>
      <c r="ON922" s="140"/>
      <c r="OO922" s="140"/>
      <c r="OP922" s="140"/>
      <c r="OQ922" s="140"/>
      <c r="OR922" s="140"/>
      <c r="OS922" s="140"/>
      <c r="OT922" s="140"/>
      <c r="OU922" s="140"/>
      <c r="OV922" s="140"/>
      <c r="OW922" s="140"/>
      <c r="OX922" s="140"/>
      <c r="OY922" s="140"/>
      <c r="OZ922" s="140"/>
      <c r="PA922" s="140"/>
      <c r="PB922" s="140"/>
      <c r="PC922" s="140"/>
      <c r="PD922" s="140"/>
      <c r="PE922" s="140"/>
      <c r="PF922" s="140"/>
      <c r="PG922" s="140"/>
      <c r="PH922" s="140"/>
      <c r="PI922" s="140"/>
      <c r="PJ922" s="140"/>
      <c r="PK922" s="140"/>
      <c r="PL922" s="140"/>
      <c r="PM922" s="140"/>
      <c r="PN922" s="140"/>
      <c r="PO922" s="140"/>
      <c r="PP922" s="140"/>
      <c r="PQ922" s="140"/>
      <c r="PR922" s="140"/>
      <c r="PS922" s="140"/>
      <c r="PT922" s="140"/>
      <c r="PU922" s="140"/>
      <c r="PV922" s="140"/>
      <c r="PW922" s="140"/>
      <c r="PX922" s="140"/>
      <c r="PY922" s="140"/>
      <c r="PZ922" s="140"/>
      <c r="QA922" s="140"/>
      <c r="QB922" s="140"/>
      <c r="QC922" s="140"/>
      <c r="QD922" s="140"/>
      <c r="QE922" s="140"/>
      <c r="QF922" s="140"/>
      <c r="QG922" s="140"/>
      <c r="QH922" s="140"/>
      <c r="QI922" s="140"/>
      <c r="QJ922" s="140"/>
      <c r="QK922" s="140"/>
      <c r="QL922" s="140"/>
      <c r="QM922" s="140"/>
      <c r="QN922" s="140"/>
      <c r="QO922" s="140"/>
      <c r="QP922" s="140"/>
      <c r="QQ922" s="140"/>
      <c r="QR922" s="140"/>
      <c r="QS922" s="140"/>
      <c r="QT922" s="140"/>
      <c r="QU922" s="140"/>
      <c r="QV922" s="140"/>
      <c r="QW922" s="140"/>
      <c r="QX922" s="140"/>
      <c r="QY922" s="140"/>
      <c r="QZ922" s="140"/>
      <c r="RA922" s="140"/>
      <c r="RB922" s="140"/>
      <c r="RC922" s="140"/>
      <c r="RD922" s="140"/>
      <c r="RE922" s="140"/>
      <c r="RF922" s="140"/>
      <c r="RG922" s="140"/>
      <c r="RH922" s="140"/>
      <c r="RI922" s="140"/>
      <c r="RJ922" s="140"/>
      <c r="RK922" s="140"/>
      <c r="RL922" s="140"/>
      <c r="RM922" s="140"/>
      <c r="RN922" s="140"/>
      <c r="RO922" s="140"/>
      <c r="RP922" s="140"/>
      <c r="RQ922" s="140"/>
      <c r="RR922" s="140"/>
      <c r="RS922" s="140"/>
      <c r="RT922" s="140"/>
      <c r="RU922" s="140"/>
      <c r="RV922" s="140"/>
      <c r="RW922" s="140"/>
      <c r="RX922" s="140"/>
      <c r="RY922" s="140"/>
      <c r="RZ922" s="140"/>
      <c r="SA922" s="140"/>
      <c r="SB922" s="140"/>
      <c r="SC922" s="140"/>
      <c r="SD922" s="140"/>
      <c r="SE922" s="140"/>
      <c r="SF922" s="140"/>
      <c r="SG922" s="140"/>
      <c r="SH922" s="140"/>
      <c r="SI922" s="140"/>
      <c r="SJ922" s="140"/>
      <c r="SK922" s="140"/>
      <c r="SL922" s="140"/>
      <c r="SM922" s="140"/>
      <c r="SN922" s="140"/>
      <c r="SO922" s="140"/>
      <c r="SP922" s="140"/>
      <c r="SQ922" s="140"/>
      <c r="SR922" s="140"/>
      <c r="SS922" s="140"/>
      <c r="ST922" s="140"/>
      <c r="SU922" s="140"/>
      <c r="SV922" s="140"/>
      <c r="SW922" s="140"/>
      <c r="SX922" s="140"/>
      <c r="SY922" s="140"/>
      <c r="SZ922" s="140"/>
      <c r="TA922" s="140"/>
      <c r="TB922" s="140"/>
      <c r="TC922" s="140"/>
      <c r="TD922" s="140"/>
      <c r="TE922" s="140"/>
      <c r="TF922" s="140"/>
      <c r="TG922" s="140"/>
      <c r="TH922" s="140"/>
      <c r="TI922" s="140"/>
      <c r="TJ922" s="140"/>
      <c r="TK922" s="140"/>
      <c r="TL922" s="140"/>
      <c r="TM922" s="140"/>
      <c r="TN922" s="140"/>
      <c r="TO922" s="140"/>
      <c r="TP922" s="140"/>
      <c r="TQ922" s="140"/>
      <c r="TR922" s="140"/>
      <c r="TS922" s="140"/>
      <c r="TT922" s="140"/>
      <c r="TU922" s="140"/>
      <c r="TV922" s="140"/>
      <c r="TW922" s="140"/>
      <c r="TX922" s="140"/>
      <c r="TY922" s="140"/>
      <c r="TZ922" s="140"/>
      <c r="UA922" s="140"/>
      <c r="UB922" s="140"/>
      <c r="UC922" s="140"/>
      <c r="UD922" s="140"/>
      <c r="UE922" s="140"/>
      <c r="UF922" s="140"/>
      <c r="UG922" s="141"/>
    </row>
    <row r="923" spans="1:553" s="142" customFormat="1" ht="45" customHeight="1">
      <c r="A923" s="444" t="s">
        <v>30</v>
      </c>
      <c r="B923" s="693">
        <v>5</v>
      </c>
      <c r="C923" s="1370" t="s">
        <v>1307</v>
      </c>
      <c r="D923" s="1371"/>
      <c r="E923" s="1371"/>
      <c r="F923" s="1372"/>
      <c r="G923" s="386" t="s">
        <v>33</v>
      </c>
      <c r="H923" s="672"/>
      <c r="I923" s="494">
        <f>-25*1.9</f>
        <v>-47.5</v>
      </c>
      <c r="J923" s="368">
        <v>52000</v>
      </c>
      <c r="K923" s="686"/>
      <c r="L923" s="487">
        <f t="shared" si="137"/>
        <v>-2470000</v>
      </c>
      <c r="M923" s="548"/>
      <c r="N923" s="548"/>
      <c r="O923" s="427"/>
      <c r="P923" s="384"/>
      <c r="Q923" s="1213"/>
      <c r="R923" s="1227"/>
      <c r="S923" s="308"/>
      <c r="T923" s="308"/>
      <c r="U923" s="308"/>
      <c r="V923" s="308"/>
      <c r="W923" s="308"/>
      <c r="X923" s="308"/>
      <c r="Y923" s="308"/>
      <c r="Z923" s="604"/>
      <c r="AA923" s="308"/>
      <c r="AB923" s="308"/>
      <c r="AC923" s="687"/>
      <c r="AD923" s="687"/>
      <c r="AE923" s="687"/>
      <c r="AF923" s="687"/>
      <c r="AG923" s="688"/>
      <c r="AH923" s="688"/>
      <c r="AI923" s="688"/>
      <c r="AJ923" s="688"/>
      <c r="AK923" s="688"/>
      <c r="AL923" s="207"/>
      <c r="AM923" s="207"/>
      <c r="AN923" s="207"/>
      <c r="AO923" s="207"/>
      <c r="AP923" s="207"/>
      <c r="AQ923" s="207"/>
      <c r="AR923" s="207"/>
      <c r="AS923" s="207"/>
      <c r="AT923" s="207"/>
      <c r="AU923" s="207"/>
      <c r="AV923" s="207"/>
      <c r="AW923" s="207"/>
      <c r="AX923" s="207"/>
      <c r="AY923" s="207"/>
      <c r="AZ923" s="207"/>
      <c r="BA923" s="207"/>
      <c r="BB923" s="207"/>
      <c r="BC923" s="207"/>
      <c r="BD923" s="207"/>
      <c r="BE923" s="207"/>
      <c r="BF923" s="207"/>
      <c r="BG923" s="207"/>
      <c r="BH923" s="207"/>
      <c r="BI923" s="207"/>
      <c r="BJ923" s="207"/>
      <c r="BK923" s="207"/>
      <c r="BL923" s="207"/>
      <c r="BM923" s="207"/>
      <c r="BN923" s="207"/>
      <c r="BO923" s="207"/>
      <c r="BP923" s="207"/>
      <c r="BQ923" s="207"/>
      <c r="BR923" s="207"/>
      <c r="BS923" s="207"/>
      <c r="BT923" s="207"/>
      <c r="BU923" s="207"/>
      <c r="BV923" s="207"/>
      <c r="BW923" s="207"/>
      <c r="BX923" s="207"/>
      <c r="BY923" s="207"/>
      <c r="BZ923" s="207"/>
      <c r="CA923" s="207"/>
      <c r="CB923" s="207"/>
      <c r="CC923" s="207"/>
      <c r="CD923" s="207"/>
      <c r="CE923" s="207"/>
      <c r="CF923" s="207"/>
      <c r="CG923" s="207"/>
      <c r="CH923" s="207"/>
      <c r="CI923" s="207"/>
      <c r="CJ923" s="207"/>
      <c r="CK923" s="207"/>
      <c r="CL923" s="207"/>
      <c r="CM923" s="207"/>
      <c r="CN923" s="207"/>
      <c r="CO923" s="207"/>
      <c r="CP923" s="207"/>
      <c r="CQ923" s="207"/>
      <c r="CR923" s="207"/>
      <c r="CS923" s="207"/>
      <c r="CT923" s="207"/>
      <c r="CU923" s="207"/>
      <c r="CV923" s="207"/>
      <c r="CW923" s="207"/>
      <c r="CX923" s="207"/>
      <c r="CY923" s="207"/>
      <c r="CZ923" s="207"/>
      <c r="DA923" s="207"/>
      <c r="DB923" s="207"/>
      <c r="DC923" s="207"/>
      <c r="DD923" s="207"/>
      <c r="DE923" s="207"/>
      <c r="DF923" s="207"/>
      <c r="DG923" s="207"/>
      <c r="DH923" s="207"/>
      <c r="DI923" s="207"/>
      <c r="DJ923" s="207"/>
      <c r="DK923" s="207"/>
      <c r="DL923" s="207"/>
      <c r="DM923" s="207"/>
      <c r="DN923" s="207"/>
      <c r="DO923" s="207"/>
      <c r="DP923" s="207"/>
      <c r="DQ923" s="207"/>
      <c r="DR923" s="207"/>
      <c r="DS923" s="207"/>
      <c r="DT923" s="207"/>
      <c r="DU923" s="207"/>
      <c r="DV923" s="207"/>
      <c r="DW923" s="207"/>
      <c r="DX923" s="207"/>
      <c r="DY923" s="207"/>
      <c r="DZ923" s="207"/>
      <c r="EA923" s="207"/>
      <c r="EB923" s="207"/>
      <c r="EC923" s="207"/>
      <c r="ED923" s="207"/>
      <c r="EE923" s="207"/>
      <c r="EF923" s="207"/>
      <c r="EG923" s="207"/>
      <c r="EH923" s="207"/>
      <c r="EI923" s="207"/>
      <c r="EJ923" s="207"/>
      <c r="EK923" s="207"/>
      <c r="EL923" s="207"/>
      <c r="EM923" s="207"/>
      <c r="EN923" s="207"/>
      <c r="EO923" s="207"/>
      <c r="EP923" s="207"/>
      <c r="EQ923" s="207"/>
      <c r="ER923" s="207"/>
      <c r="ES923" s="207"/>
      <c r="ET923" s="207"/>
      <c r="EU923" s="207"/>
      <c r="EV923" s="207"/>
      <c r="EW923" s="207"/>
      <c r="EX923" s="207"/>
      <c r="EY923" s="207"/>
      <c r="EZ923" s="207"/>
      <c r="FA923" s="207"/>
      <c r="FB923" s="207"/>
      <c r="FC923" s="207"/>
      <c r="FD923" s="207"/>
      <c r="FE923" s="207"/>
      <c r="FF923" s="207"/>
      <c r="FG923" s="207"/>
      <c r="FH923" s="207"/>
      <c r="FI923" s="207"/>
      <c r="FJ923" s="207"/>
      <c r="FK923" s="207"/>
      <c r="FL923" s="207"/>
      <c r="FM923" s="207"/>
      <c r="FN923" s="207"/>
      <c r="FO923" s="207"/>
      <c r="FP923" s="207"/>
      <c r="FQ923" s="207"/>
      <c r="FR923" s="207"/>
      <c r="FS923" s="207"/>
      <c r="FT923" s="207"/>
      <c r="FU923" s="207"/>
      <c r="FV923" s="207"/>
      <c r="FW923" s="207"/>
      <c r="FX923" s="207"/>
      <c r="FY923" s="207"/>
      <c r="FZ923" s="207"/>
      <c r="GA923" s="207"/>
      <c r="GB923" s="207"/>
      <c r="GC923" s="207"/>
      <c r="GD923" s="207"/>
      <c r="GE923" s="207"/>
      <c r="GF923" s="207"/>
      <c r="GG923" s="207"/>
      <c r="GH923" s="207"/>
      <c r="GI923" s="207"/>
      <c r="GJ923" s="207"/>
      <c r="GK923" s="207"/>
      <c r="GL923" s="207"/>
      <c r="GM923" s="207"/>
      <c r="GN923" s="207"/>
      <c r="GO923" s="207"/>
      <c r="GP923" s="207"/>
      <c r="GQ923" s="207"/>
      <c r="GR923" s="207"/>
      <c r="GS923" s="207"/>
      <c r="GT923" s="207"/>
      <c r="GU923" s="207"/>
      <c r="GV923" s="207"/>
      <c r="GW923" s="207"/>
      <c r="GX923" s="207"/>
      <c r="GY923" s="207"/>
      <c r="GZ923" s="207"/>
      <c r="HA923" s="207"/>
      <c r="HB923" s="207"/>
      <c r="HC923" s="207"/>
      <c r="HD923" s="207"/>
      <c r="HE923" s="207"/>
      <c r="HF923" s="207"/>
      <c r="HG923" s="207"/>
      <c r="HH923" s="207"/>
      <c r="HI923" s="207"/>
      <c r="HJ923" s="207"/>
      <c r="HK923" s="207"/>
      <c r="HL923" s="207"/>
      <c r="HM923" s="207"/>
      <c r="HN923" s="207"/>
      <c r="HO923" s="207"/>
      <c r="HP923" s="207"/>
      <c r="HQ923" s="207"/>
      <c r="HR923" s="207"/>
      <c r="HS923" s="207"/>
      <c r="HT923" s="207"/>
      <c r="HU923" s="207"/>
      <c r="HV923" s="207"/>
      <c r="HW923" s="207"/>
      <c r="HX923" s="207"/>
      <c r="HY923" s="207"/>
      <c r="HZ923" s="207"/>
      <c r="IA923" s="207"/>
      <c r="IB923" s="207"/>
      <c r="IC923" s="207"/>
      <c r="ID923" s="207"/>
      <c r="IE923" s="207"/>
      <c r="IF923" s="207"/>
      <c r="IG923" s="207"/>
      <c r="IH923" s="207"/>
      <c r="II923" s="207"/>
      <c r="IJ923" s="207"/>
      <c r="IK923" s="207"/>
      <c r="IL923" s="207"/>
      <c r="IM923" s="207"/>
      <c r="IN923" s="207"/>
      <c r="IO923" s="207"/>
      <c r="IP923" s="207"/>
      <c r="IQ923" s="207"/>
      <c r="IR923" s="207"/>
      <c r="IS923" s="207"/>
      <c r="IT923" s="207"/>
      <c r="IU923" s="207"/>
      <c r="IV923" s="207"/>
      <c r="IW923" s="207"/>
      <c r="IX923" s="207"/>
      <c r="IY923" s="207"/>
      <c r="IZ923" s="207"/>
      <c r="JA923" s="207"/>
      <c r="JB923" s="207"/>
      <c r="JC923" s="207"/>
      <c r="JD923" s="207"/>
      <c r="JE923" s="207"/>
      <c r="JF923" s="207"/>
      <c r="JG923" s="207"/>
      <c r="JH923" s="207"/>
      <c r="JI923" s="207"/>
      <c r="JJ923" s="207"/>
      <c r="JK923" s="207"/>
      <c r="JL923" s="207"/>
      <c r="JM923" s="207"/>
      <c r="JN923" s="207"/>
      <c r="JO923" s="207"/>
      <c r="JP923" s="207"/>
      <c r="JQ923" s="207"/>
      <c r="JR923" s="207"/>
      <c r="JS923" s="207"/>
      <c r="JT923" s="207"/>
      <c r="JU923" s="207"/>
      <c r="JV923" s="207"/>
      <c r="JW923" s="207"/>
      <c r="JX923" s="207"/>
      <c r="JY923" s="207"/>
      <c r="JZ923" s="207"/>
      <c r="KA923" s="207"/>
      <c r="KB923" s="207"/>
      <c r="KC923" s="207"/>
      <c r="KD923" s="207"/>
      <c r="KE923" s="207"/>
      <c r="KF923" s="207"/>
      <c r="KG923" s="207"/>
      <c r="KH923" s="207"/>
      <c r="KI923" s="207"/>
      <c r="KJ923" s="207"/>
      <c r="KK923" s="207"/>
      <c r="KL923" s="207"/>
      <c r="KM923" s="207"/>
      <c r="KN923" s="207"/>
      <c r="KO923" s="207"/>
      <c r="KP923" s="207"/>
      <c r="KQ923" s="207"/>
      <c r="KR923" s="207"/>
      <c r="KS923" s="207"/>
      <c r="KT923" s="207"/>
      <c r="KU923" s="207"/>
      <c r="KV923" s="207"/>
      <c r="KW923" s="207"/>
      <c r="KX923" s="207"/>
      <c r="KY923" s="207"/>
      <c r="KZ923" s="207"/>
      <c r="LA923" s="207"/>
      <c r="LB923" s="207"/>
      <c r="LC923" s="207"/>
      <c r="LD923" s="207"/>
      <c r="LE923" s="207"/>
      <c r="LF923" s="207"/>
      <c r="LG923" s="207"/>
      <c r="LH923" s="207"/>
      <c r="LI923" s="207"/>
      <c r="LJ923" s="207"/>
      <c r="LK923" s="207"/>
      <c r="LL923" s="207"/>
      <c r="LM923" s="207"/>
      <c r="LN923" s="207"/>
      <c r="LO923" s="207"/>
      <c r="LP923" s="207"/>
      <c r="LQ923" s="207"/>
      <c r="LR923" s="207"/>
      <c r="LS923" s="207"/>
      <c r="LT923" s="207"/>
      <c r="LU923" s="207"/>
      <c r="LV923" s="207"/>
      <c r="LW923" s="207"/>
      <c r="LX923" s="207"/>
      <c r="LY923" s="207"/>
      <c r="LZ923" s="207"/>
      <c r="MA923" s="207"/>
      <c r="MB923" s="207"/>
      <c r="MC923" s="207"/>
      <c r="MD923" s="207"/>
      <c r="ME923" s="207"/>
      <c r="MF923" s="207"/>
      <c r="MG923" s="207"/>
      <c r="MH923" s="207"/>
      <c r="MI923" s="207"/>
      <c r="MJ923" s="207"/>
      <c r="MK923" s="207"/>
      <c r="ML923" s="207"/>
      <c r="MM923" s="207"/>
      <c r="MN923" s="207"/>
      <c r="MO923" s="207"/>
      <c r="MP923" s="207"/>
      <c r="MQ923" s="207"/>
      <c r="MR923" s="207"/>
      <c r="MS923" s="207"/>
      <c r="MT923" s="207"/>
      <c r="MU923" s="207"/>
      <c r="MV923" s="207"/>
      <c r="MW923" s="207"/>
      <c r="MX923" s="207"/>
      <c r="MY923" s="207"/>
      <c r="MZ923" s="207"/>
      <c r="NA923" s="207"/>
      <c r="NB923" s="207"/>
      <c r="NC923" s="207"/>
      <c r="ND923" s="207"/>
      <c r="NE923" s="207"/>
      <c r="NF923" s="207"/>
      <c r="NG923" s="207"/>
      <c r="NH923" s="207"/>
      <c r="NI923" s="207"/>
      <c r="NJ923" s="207"/>
      <c r="NK923" s="207"/>
      <c r="NL923" s="207"/>
      <c r="NM923" s="207"/>
      <c r="NN923" s="207"/>
      <c r="NO923" s="207"/>
      <c r="NP923" s="207"/>
      <c r="NQ923" s="207"/>
      <c r="NR923" s="207"/>
      <c r="NS923" s="207"/>
      <c r="NT923" s="207"/>
      <c r="NU923" s="207"/>
      <c r="NV923" s="207"/>
      <c r="NW923" s="207"/>
      <c r="NX923" s="207"/>
      <c r="NY923" s="207"/>
      <c r="NZ923" s="207"/>
      <c r="OA923" s="207"/>
      <c r="OB923" s="207"/>
      <c r="OC923" s="207"/>
      <c r="OD923" s="207"/>
      <c r="OE923" s="207"/>
      <c r="OF923" s="207"/>
      <c r="OG923" s="207"/>
      <c r="OH923" s="207"/>
      <c r="OI923" s="207"/>
      <c r="OJ923" s="207"/>
      <c r="OK923" s="207"/>
      <c r="OL923" s="207"/>
      <c r="OM923" s="207"/>
      <c r="ON923" s="207"/>
      <c r="OO923" s="207"/>
      <c r="OP923" s="207"/>
      <c r="OQ923" s="207"/>
      <c r="OR923" s="207"/>
      <c r="OS923" s="207"/>
      <c r="OT923" s="207"/>
      <c r="OU923" s="207"/>
      <c r="OV923" s="207"/>
      <c r="OW923" s="207"/>
      <c r="OX923" s="207"/>
      <c r="OY923" s="207"/>
      <c r="OZ923" s="207"/>
      <c r="PA923" s="207"/>
      <c r="PB923" s="207"/>
      <c r="PC923" s="207"/>
      <c r="PD923" s="207"/>
      <c r="PE923" s="207"/>
      <c r="PF923" s="207"/>
      <c r="PG923" s="207"/>
      <c r="PH923" s="207"/>
      <c r="PI923" s="207"/>
      <c r="PJ923" s="207"/>
      <c r="PK923" s="207"/>
      <c r="PL923" s="207"/>
      <c r="PM923" s="207"/>
      <c r="PN923" s="207"/>
      <c r="PO923" s="207"/>
      <c r="PP923" s="207"/>
      <c r="PQ923" s="207"/>
      <c r="PR923" s="207"/>
      <c r="PS923" s="207"/>
      <c r="PT923" s="207"/>
      <c r="PU923" s="207"/>
      <c r="PV923" s="207"/>
      <c r="PW923" s="207"/>
      <c r="PX923" s="207"/>
      <c r="PY923" s="207"/>
      <c r="PZ923" s="207"/>
      <c r="QA923" s="207"/>
      <c r="QB923" s="207"/>
      <c r="QC923" s="207"/>
      <c r="QD923" s="207"/>
      <c r="QE923" s="207"/>
      <c r="QF923" s="207"/>
      <c r="QG923" s="207"/>
      <c r="QH923" s="207"/>
      <c r="QI923" s="207"/>
      <c r="QJ923" s="207"/>
      <c r="QK923" s="207"/>
      <c r="QL923" s="207"/>
      <c r="QM923" s="207"/>
      <c r="QN923" s="207"/>
      <c r="QO923" s="207"/>
      <c r="QP923" s="207"/>
      <c r="QQ923" s="207"/>
      <c r="QR923" s="207"/>
      <c r="QS923" s="207"/>
      <c r="QT923" s="207"/>
      <c r="QU923" s="207"/>
      <c r="QV923" s="207"/>
      <c r="QW923" s="207"/>
      <c r="QX923" s="207"/>
      <c r="QY923" s="207"/>
      <c r="QZ923" s="207"/>
      <c r="RA923" s="207"/>
      <c r="RB923" s="207"/>
      <c r="RC923" s="207"/>
      <c r="RD923" s="207"/>
      <c r="RE923" s="207"/>
      <c r="RF923" s="207"/>
      <c r="RG923" s="207"/>
      <c r="RH923" s="207"/>
      <c r="RI923" s="207"/>
      <c r="RJ923" s="207"/>
      <c r="RK923" s="207"/>
      <c r="RL923" s="207"/>
      <c r="RM923" s="207"/>
      <c r="RN923" s="207"/>
      <c r="RO923" s="207"/>
      <c r="RP923" s="207"/>
      <c r="RQ923" s="207"/>
      <c r="RR923" s="207"/>
      <c r="RS923" s="207"/>
      <c r="RT923" s="207"/>
      <c r="RU923" s="207"/>
      <c r="RV923" s="207"/>
      <c r="RW923" s="207"/>
      <c r="RX923" s="207"/>
      <c r="RY923" s="207"/>
      <c r="RZ923" s="207"/>
      <c r="SA923" s="207"/>
      <c r="SB923" s="207"/>
      <c r="SC923" s="207"/>
      <c r="SD923" s="207"/>
      <c r="SE923" s="207"/>
      <c r="SF923" s="207"/>
      <c r="SG923" s="207"/>
      <c r="SH923" s="207"/>
      <c r="SI923" s="207"/>
      <c r="SJ923" s="207"/>
      <c r="SK923" s="207"/>
      <c r="SL923" s="207"/>
      <c r="SM923" s="207"/>
      <c r="SN923" s="207"/>
      <c r="SO923" s="207"/>
      <c r="SP923" s="207"/>
      <c r="SQ923" s="207"/>
      <c r="SR923" s="207"/>
      <c r="SS923" s="207"/>
      <c r="ST923" s="207"/>
      <c r="SU923" s="207"/>
      <c r="SV923" s="207"/>
      <c r="SW923" s="207"/>
      <c r="SX923" s="207"/>
      <c r="SY923" s="207"/>
      <c r="SZ923" s="207"/>
      <c r="TA923" s="207"/>
      <c r="TB923" s="207"/>
      <c r="TC923" s="207"/>
      <c r="TD923" s="207"/>
      <c r="TE923" s="207"/>
      <c r="TF923" s="207"/>
      <c r="TG923" s="207"/>
      <c r="TH923" s="207"/>
      <c r="TI923" s="207"/>
      <c r="TJ923" s="207"/>
      <c r="TK923" s="207"/>
      <c r="TL923" s="207"/>
      <c r="TM923" s="207"/>
      <c r="TN923" s="207"/>
      <c r="TO923" s="207"/>
      <c r="TP923" s="207"/>
      <c r="TQ923" s="207"/>
      <c r="TR923" s="207"/>
      <c r="TS923" s="207"/>
      <c r="TT923" s="207"/>
      <c r="TU923" s="207"/>
      <c r="TV923" s="207"/>
      <c r="TW923" s="207"/>
      <c r="TX923" s="207"/>
      <c r="TY923" s="207"/>
      <c r="TZ923" s="207"/>
      <c r="UA923" s="207"/>
      <c r="UB923" s="207"/>
      <c r="UC923" s="207"/>
      <c r="UD923" s="207"/>
      <c r="UE923" s="207"/>
      <c r="UF923" s="207"/>
      <c r="UG923" s="141"/>
    </row>
    <row r="924" spans="1:553" s="142" customFormat="1" ht="45" customHeight="1">
      <c r="A924" s="444"/>
      <c r="B924" s="384">
        <v>248</v>
      </c>
      <c r="C924" s="1370" t="s">
        <v>547</v>
      </c>
      <c r="D924" s="1371"/>
      <c r="E924" s="1371"/>
      <c r="F924" s="1372"/>
      <c r="G924" s="386" t="s">
        <v>33</v>
      </c>
      <c r="H924" s="672"/>
      <c r="I924" s="417">
        <f>2.2*2.4</f>
        <v>5.28</v>
      </c>
      <c r="J924" s="368">
        <v>173400</v>
      </c>
      <c r="K924" s="686"/>
      <c r="L924" s="487">
        <f t="shared" si="137"/>
        <v>915552</v>
      </c>
      <c r="M924" s="548"/>
      <c r="N924" s="548"/>
      <c r="O924" s="427"/>
      <c r="P924" s="384"/>
      <c r="Q924" s="1213"/>
      <c r="R924" s="1227"/>
      <c r="S924" s="308"/>
      <c r="T924" s="308"/>
      <c r="U924" s="308"/>
      <c r="V924" s="308"/>
      <c r="W924" s="308"/>
      <c r="X924" s="308"/>
      <c r="Y924" s="308"/>
      <c r="Z924" s="604"/>
      <c r="AA924" s="308"/>
      <c r="AB924" s="308"/>
      <c r="AC924" s="687"/>
      <c r="AD924" s="687"/>
      <c r="AE924" s="687"/>
      <c r="AF924" s="687"/>
      <c r="AG924" s="688"/>
      <c r="AH924" s="688"/>
      <c r="AI924" s="688"/>
      <c r="AJ924" s="688"/>
      <c r="AK924" s="688"/>
      <c r="AL924" s="207"/>
      <c r="AM924" s="140"/>
      <c r="AN924" s="140"/>
      <c r="AO924" s="140"/>
      <c r="AP924" s="140"/>
      <c r="AQ924" s="140"/>
      <c r="AR924" s="140"/>
      <c r="AS924" s="140"/>
      <c r="AT924" s="140"/>
      <c r="AU924" s="140"/>
      <c r="AV924" s="140"/>
      <c r="AW924" s="140"/>
      <c r="AX924" s="140"/>
      <c r="AY924" s="140"/>
      <c r="AZ924" s="140"/>
      <c r="BA924" s="140"/>
      <c r="BB924" s="140"/>
      <c r="BC924" s="140"/>
      <c r="BD924" s="140"/>
      <c r="BE924" s="140"/>
      <c r="BF924" s="140"/>
      <c r="BG924" s="140"/>
      <c r="BH924" s="140"/>
      <c r="BI924" s="140"/>
      <c r="BJ924" s="140"/>
      <c r="BK924" s="140"/>
      <c r="BL924" s="140"/>
      <c r="BM924" s="140"/>
      <c r="BN924" s="140"/>
      <c r="BO924" s="140"/>
      <c r="BP924" s="140"/>
      <c r="BQ924" s="140"/>
      <c r="BR924" s="140"/>
      <c r="BS924" s="140"/>
      <c r="BT924" s="140"/>
      <c r="BU924" s="140"/>
      <c r="BV924" s="140"/>
      <c r="BW924" s="140"/>
      <c r="BX924" s="140"/>
      <c r="BY924" s="140"/>
      <c r="BZ924" s="140"/>
      <c r="CA924" s="140"/>
      <c r="CB924" s="140"/>
      <c r="CC924" s="140"/>
      <c r="CD924" s="140"/>
      <c r="CE924" s="140"/>
      <c r="CF924" s="140"/>
      <c r="CG924" s="140"/>
      <c r="CH924" s="140"/>
      <c r="CI924" s="140"/>
      <c r="CJ924" s="140"/>
      <c r="CK924" s="140"/>
      <c r="CL924" s="140"/>
      <c r="CM924" s="140"/>
      <c r="CN924" s="140"/>
      <c r="CO924" s="140"/>
      <c r="CP924" s="140"/>
      <c r="CQ924" s="140"/>
      <c r="CR924" s="140"/>
      <c r="CS924" s="140"/>
      <c r="CT924" s="140"/>
      <c r="CU924" s="140"/>
      <c r="CV924" s="140"/>
      <c r="CW924" s="140"/>
      <c r="CX924" s="140"/>
      <c r="CY924" s="140"/>
      <c r="CZ924" s="140"/>
      <c r="DA924" s="140"/>
      <c r="DB924" s="140"/>
      <c r="DC924" s="140"/>
      <c r="DD924" s="140"/>
      <c r="DE924" s="140"/>
      <c r="DF924" s="140"/>
      <c r="DG924" s="140"/>
      <c r="DH924" s="140"/>
      <c r="DI924" s="140"/>
      <c r="DJ924" s="140"/>
      <c r="DK924" s="140"/>
      <c r="DL924" s="140"/>
      <c r="DM924" s="140"/>
      <c r="DN924" s="140"/>
      <c r="DO924" s="140"/>
      <c r="DP924" s="140"/>
      <c r="DQ924" s="140"/>
      <c r="DR924" s="140"/>
      <c r="DS924" s="140"/>
      <c r="DT924" s="140"/>
      <c r="DU924" s="140"/>
      <c r="DV924" s="140"/>
      <c r="DW924" s="140"/>
      <c r="DX924" s="140"/>
      <c r="DY924" s="140"/>
      <c r="DZ924" s="140"/>
      <c r="EA924" s="140"/>
      <c r="EB924" s="140"/>
      <c r="EC924" s="140"/>
      <c r="ED924" s="140"/>
      <c r="EE924" s="140"/>
      <c r="EF924" s="140"/>
      <c r="EG924" s="140"/>
      <c r="EH924" s="140"/>
      <c r="EI924" s="140"/>
      <c r="EJ924" s="140"/>
      <c r="EK924" s="140"/>
      <c r="EL924" s="140"/>
      <c r="EM924" s="140"/>
      <c r="EN924" s="140"/>
      <c r="EO924" s="140"/>
      <c r="EP924" s="140"/>
      <c r="EQ924" s="140"/>
      <c r="ER924" s="140"/>
      <c r="ES924" s="140"/>
      <c r="ET924" s="140"/>
      <c r="EU924" s="140"/>
      <c r="EV924" s="140"/>
      <c r="EW924" s="140"/>
      <c r="EX924" s="140"/>
      <c r="EY924" s="140"/>
      <c r="EZ924" s="140"/>
      <c r="FA924" s="140"/>
      <c r="FB924" s="140"/>
      <c r="FC924" s="140"/>
      <c r="FD924" s="140"/>
      <c r="FE924" s="140"/>
      <c r="FF924" s="140"/>
      <c r="FG924" s="140"/>
      <c r="FH924" s="140"/>
      <c r="FI924" s="140"/>
      <c r="FJ924" s="140"/>
      <c r="FK924" s="140"/>
      <c r="FL924" s="140"/>
      <c r="FM924" s="140"/>
      <c r="FN924" s="140"/>
      <c r="FO924" s="140"/>
      <c r="FP924" s="140"/>
      <c r="FQ924" s="140"/>
      <c r="FR924" s="140"/>
      <c r="FS924" s="140"/>
      <c r="FT924" s="140"/>
      <c r="FU924" s="140"/>
      <c r="FV924" s="140"/>
      <c r="FW924" s="140"/>
      <c r="FX924" s="140"/>
      <c r="FY924" s="140"/>
      <c r="FZ924" s="140"/>
      <c r="GA924" s="140"/>
      <c r="GB924" s="140"/>
      <c r="GC924" s="140"/>
      <c r="GD924" s="140"/>
      <c r="GE924" s="140"/>
      <c r="GF924" s="140"/>
      <c r="GG924" s="140"/>
      <c r="GH924" s="140"/>
      <c r="GI924" s="140"/>
      <c r="GJ924" s="140"/>
      <c r="GK924" s="140"/>
      <c r="GL924" s="140"/>
      <c r="GM924" s="140"/>
      <c r="GN924" s="140"/>
      <c r="GO924" s="140"/>
      <c r="GP924" s="140"/>
      <c r="GQ924" s="140"/>
      <c r="GR924" s="140"/>
      <c r="GS924" s="140"/>
      <c r="GT924" s="140"/>
      <c r="GU924" s="140"/>
      <c r="GV924" s="140"/>
      <c r="GW924" s="140"/>
      <c r="GX924" s="140"/>
      <c r="GY924" s="140"/>
      <c r="GZ924" s="140"/>
      <c r="HA924" s="140"/>
      <c r="HB924" s="140"/>
      <c r="HC924" s="140"/>
      <c r="HD924" s="140"/>
      <c r="HE924" s="140"/>
      <c r="HF924" s="140"/>
      <c r="HG924" s="140"/>
      <c r="HH924" s="140"/>
      <c r="HI924" s="140"/>
      <c r="HJ924" s="140"/>
      <c r="HK924" s="140"/>
      <c r="HL924" s="140"/>
      <c r="HM924" s="140"/>
      <c r="HN924" s="140"/>
      <c r="HO924" s="140"/>
      <c r="HP924" s="140"/>
      <c r="HQ924" s="140"/>
      <c r="HR924" s="140"/>
      <c r="HS924" s="140"/>
      <c r="HT924" s="140"/>
      <c r="HU924" s="140"/>
      <c r="HV924" s="140"/>
      <c r="HW924" s="140"/>
      <c r="HX924" s="140"/>
      <c r="HY924" s="140"/>
      <c r="HZ924" s="140"/>
      <c r="IA924" s="140"/>
      <c r="IB924" s="140"/>
      <c r="IC924" s="140"/>
      <c r="ID924" s="140"/>
      <c r="IE924" s="140"/>
      <c r="IF924" s="140"/>
      <c r="IG924" s="140"/>
      <c r="IH924" s="140"/>
      <c r="II924" s="140"/>
      <c r="IJ924" s="140"/>
      <c r="IK924" s="140"/>
      <c r="IL924" s="140"/>
      <c r="IM924" s="140"/>
      <c r="IN924" s="140"/>
      <c r="IO924" s="140"/>
      <c r="IP924" s="140"/>
      <c r="IQ924" s="140"/>
      <c r="IR924" s="140"/>
      <c r="IS924" s="140"/>
      <c r="IT924" s="140"/>
      <c r="IU924" s="140"/>
      <c r="IV924" s="140"/>
      <c r="IW924" s="140"/>
      <c r="IX924" s="140"/>
      <c r="IY924" s="140"/>
      <c r="IZ924" s="140"/>
      <c r="JA924" s="140"/>
      <c r="JB924" s="140"/>
      <c r="JC924" s="140"/>
      <c r="JD924" s="140"/>
      <c r="JE924" s="140"/>
      <c r="JF924" s="140"/>
      <c r="JG924" s="140"/>
      <c r="JH924" s="140"/>
      <c r="JI924" s="140"/>
      <c r="JJ924" s="140"/>
      <c r="JK924" s="140"/>
      <c r="JL924" s="140"/>
      <c r="JM924" s="140"/>
      <c r="JN924" s="140"/>
      <c r="JO924" s="140"/>
      <c r="JP924" s="140"/>
      <c r="JQ924" s="140"/>
      <c r="JR924" s="140"/>
      <c r="JS924" s="140"/>
      <c r="JT924" s="140"/>
      <c r="JU924" s="140"/>
      <c r="JV924" s="140"/>
      <c r="JW924" s="140"/>
      <c r="JX924" s="140"/>
      <c r="JY924" s="140"/>
      <c r="JZ924" s="140"/>
      <c r="KA924" s="140"/>
      <c r="KB924" s="140"/>
      <c r="KC924" s="140"/>
      <c r="KD924" s="140"/>
      <c r="KE924" s="140"/>
      <c r="KF924" s="140"/>
      <c r="KG924" s="140"/>
      <c r="KH924" s="140"/>
      <c r="KI924" s="140"/>
      <c r="KJ924" s="140"/>
      <c r="KK924" s="140"/>
      <c r="KL924" s="140"/>
      <c r="KM924" s="140"/>
      <c r="KN924" s="140"/>
      <c r="KO924" s="140"/>
      <c r="KP924" s="140"/>
      <c r="KQ924" s="140"/>
      <c r="KR924" s="140"/>
      <c r="KS924" s="140"/>
      <c r="KT924" s="140"/>
      <c r="KU924" s="140"/>
      <c r="KV924" s="140"/>
      <c r="KW924" s="140"/>
      <c r="KX924" s="140"/>
      <c r="KY924" s="140"/>
      <c r="KZ924" s="140"/>
      <c r="LA924" s="140"/>
      <c r="LB924" s="140"/>
      <c r="LC924" s="140"/>
      <c r="LD924" s="140"/>
      <c r="LE924" s="140"/>
      <c r="LF924" s="140"/>
      <c r="LG924" s="140"/>
      <c r="LH924" s="140"/>
      <c r="LI924" s="140"/>
      <c r="LJ924" s="140"/>
      <c r="LK924" s="140"/>
      <c r="LL924" s="140"/>
      <c r="LM924" s="140"/>
      <c r="LN924" s="140"/>
      <c r="LO924" s="140"/>
      <c r="LP924" s="140"/>
      <c r="LQ924" s="140"/>
      <c r="LR924" s="140"/>
      <c r="LS924" s="140"/>
      <c r="LT924" s="140"/>
      <c r="LU924" s="140"/>
      <c r="LV924" s="140"/>
      <c r="LW924" s="140"/>
      <c r="LX924" s="140"/>
      <c r="LY924" s="140"/>
      <c r="LZ924" s="140"/>
      <c r="MA924" s="140"/>
      <c r="MB924" s="140"/>
      <c r="MC924" s="140"/>
      <c r="MD924" s="140"/>
      <c r="ME924" s="140"/>
      <c r="MF924" s="140"/>
      <c r="MG924" s="140"/>
      <c r="MH924" s="140"/>
      <c r="MI924" s="140"/>
      <c r="MJ924" s="140"/>
      <c r="MK924" s="140"/>
      <c r="ML924" s="140"/>
      <c r="MM924" s="140"/>
      <c r="MN924" s="140"/>
      <c r="MO924" s="140"/>
      <c r="MP924" s="140"/>
      <c r="MQ924" s="140"/>
      <c r="MR924" s="140"/>
      <c r="MS924" s="140"/>
      <c r="MT924" s="140"/>
      <c r="MU924" s="140"/>
      <c r="MV924" s="140"/>
      <c r="MW924" s="140"/>
      <c r="MX924" s="140"/>
      <c r="MY924" s="140"/>
      <c r="MZ924" s="140"/>
      <c r="NA924" s="140"/>
      <c r="NB924" s="140"/>
      <c r="NC924" s="140"/>
      <c r="ND924" s="140"/>
      <c r="NE924" s="140"/>
      <c r="NF924" s="140"/>
      <c r="NG924" s="140"/>
      <c r="NH924" s="140"/>
      <c r="NI924" s="140"/>
      <c r="NJ924" s="140"/>
      <c r="NK924" s="140"/>
      <c r="NL924" s="140"/>
      <c r="NM924" s="140"/>
      <c r="NN924" s="140"/>
      <c r="NO924" s="140"/>
      <c r="NP924" s="140"/>
      <c r="NQ924" s="140"/>
      <c r="NR924" s="140"/>
      <c r="NS924" s="140"/>
      <c r="NT924" s="140"/>
      <c r="NU924" s="140"/>
      <c r="NV924" s="140"/>
      <c r="NW924" s="140"/>
      <c r="NX924" s="140"/>
      <c r="NY924" s="140"/>
      <c r="NZ924" s="140"/>
      <c r="OA924" s="140"/>
      <c r="OB924" s="140"/>
      <c r="OC924" s="140"/>
      <c r="OD924" s="140"/>
      <c r="OE924" s="140"/>
      <c r="OF924" s="140"/>
      <c r="OG924" s="140"/>
      <c r="OH924" s="140"/>
      <c r="OI924" s="140"/>
      <c r="OJ924" s="140"/>
      <c r="OK924" s="140"/>
      <c r="OL924" s="140"/>
      <c r="OM924" s="140"/>
      <c r="ON924" s="140"/>
      <c r="OO924" s="140"/>
      <c r="OP924" s="140"/>
      <c r="OQ924" s="140"/>
      <c r="OR924" s="140"/>
      <c r="OS924" s="140"/>
      <c r="OT924" s="140"/>
      <c r="OU924" s="140"/>
      <c r="OV924" s="140"/>
      <c r="OW924" s="140"/>
      <c r="OX924" s="140"/>
      <c r="OY924" s="140"/>
      <c r="OZ924" s="140"/>
      <c r="PA924" s="140"/>
      <c r="PB924" s="140"/>
      <c r="PC924" s="140"/>
      <c r="PD924" s="140"/>
      <c r="PE924" s="140"/>
      <c r="PF924" s="140"/>
      <c r="PG924" s="140"/>
      <c r="PH924" s="140"/>
      <c r="PI924" s="140"/>
      <c r="PJ924" s="140"/>
      <c r="PK924" s="140"/>
      <c r="PL924" s="140"/>
      <c r="PM924" s="140"/>
      <c r="PN924" s="140"/>
      <c r="PO924" s="140"/>
      <c r="PP924" s="140"/>
      <c r="PQ924" s="140"/>
      <c r="PR924" s="140"/>
      <c r="PS924" s="140"/>
      <c r="PT924" s="140"/>
      <c r="PU924" s="140"/>
      <c r="PV924" s="140"/>
      <c r="PW924" s="140"/>
      <c r="PX924" s="140"/>
      <c r="PY924" s="140"/>
      <c r="PZ924" s="140"/>
      <c r="QA924" s="140"/>
      <c r="QB924" s="140"/>
      <c r="QC924" s="140"/>
      <c r="QD924" s="140"/>
      <c r="QE924" s="140"/>
      <c r="QF924" s="140"/>
      <c r="QG924" s="140"/>
      <c r="QH924" s="140"/>
      <c r="QI924" s="140"/>
      <c r="QJ924" s="140"/>
      <c r="QK924" s="140"/>
      <c r="QL924" s="140"/>
      <c r="QM924" s="140"/>
      <c r="QN924" s="140"/>
      <c r="QO924" s="140"/>
      <c r="QP924" s="140"/>
      <c r="QQ924" s="140"/>
      <c r="QR924" s="140"/>
      <c r="QS924" s="140"/>
      <c r="QT924" s="140"/>
      <c r="QU924" s="140"/>
      <c r="QV924" s="140"/>
      <c r="QW924" s="140"/>
      <c r="QX924" s="140"/>
      <c r="QY924" s="140"/>
      <c r="QZ924" s="140"/>
      <c r="RA924" s="140"/>
      <c r="RB924" s="140"/>
      <c r="RC924" s="140"/>
      <c r="RD924" s="140"/>
      <c r="RE924" s="140"/>
      <c r="RF924" s="140"/>
      <c r="RG924" s="140"/>
      <c r="RH924" s="140"/>
      <c r="RI924" s="140"/>
      <c r="RJ924" s="140"/>
      <c r="RK924" s="140"/>
      <c r="RL924" s="140"/>
      <c r="RM924" s="140"/>
      <c r="RN924" s="140"/>
      <c r="RO924" s="140"/>
      <c r="RP924" s="140"/>
      <c r="RQ924" s="140"/>
      <c r="RR924" s="140"/>
      <c r="RS924" s="140"/>
      <c r="RT924" s="140"/>
      <c r="RU924" s="140"/>
      <c r="RV924" s="140"/>
      <c r="RW924" s="140"/>
      <c r="RX924" s="140"/>
      <c r="RY924" s="140"/>
      <c r="RZ924" s="140"/>
      <c r="SA924" s="140"/>
      <c r="SB924" s="140"/>
      <c r="SC924" s="140"/>
      <c r="SD924" s="140"/>
      <c r="SE924" s="140"/>
      <c r="SF924" s="140"/>
      <c r="SG924" s="140"/>
      <c r="SH924" s="140"/>
      <c r="SI924" s="140"/>
      <c r="SJ924" s="140"/>
      <c r="SK924" s="140"/>
      <c r="SL924" s="140"/>
      <c r="SM924" s="140"/>
      <c r="SN924" s="140"/>
      <c r="SO924" s="140"/>
      <c r="SP924" s="140"/>
      <c r="SQ924" s="140"/>
      <c r="SR924" s="140"/>
      <c r="SS924" s="140"/>
      <c r="ST924" s="140"/>
      <c r="SU924" s="140"/>
      <c r="SV924" s="140"/>
      <c r="SW924" s="140"/>
      <c r="SX924" s="140"/>
      <c r="SY924" s="140"/>
      <c r="SZ924" s="140"/>
      <c r="TA924" s="140"/>
      <c r="TB924" s="140"/>
      <c r="TC924" s="140"/>
      <c r="TD924" s="140"/>
      <c r="TE924" s="140"/>
      <c r="TF924" s="140"/>
      <c r="TG924" s="140"/>
      <c r="TH924" s="140"/>
      <c r="TI924" s="140"/>
      <c r="TJ924" s="140"/>
      <c r="TK924" s="140"/>
      <c r="TL924" s="140"/>
      <c r="TM924" s="140"/>
      <c r="TN924" s="140"/>
      <c r="TO924" s="140"/>
      <c r="TP924" s="140"/>
      <c r="TQ924" s="140"/>
      <c r="TR924" s="140"/>
      <c r="TS924" s="140"/>
      <c r="TT924" s="140"/>
      <c r="TU924" s="140"/>
      <c r="TV924" s="140"/>
      <c r="TW924" s="140"/>
      <c r="TX924" s="140"/>
      <c r="TY924" s="140"/>
      <c r="TZ924" s="140"/>
      <c r="UA924" s="140"/>
      <c r="UB924" s="140"/>
      <c r="UC924" s="140"/>
      <c r="UD924" s="140"/>
      <c r="UE924" s="140"/>
      <c r="UF924" s="140"/>
      <c r="UG924" s="141"/>
    </row>
    <row r="925" spans="1:553" s="142" customFormat="1" ht="45" customHeight="1">
      <c r="A925" s="444"/>
      <c r="B925" s="384">
        <v>247</v>
      </c>
      <c r="C925" s="1370" t="s">
        <v>548</v>
      </c>
      <c r="D925" s="1371"/>
      <c r="E925" s="1371"/>
      <c r="F925" s="1372"/>
      <c r="G925" s="386" t="s">
        <v>33</v>
      </c>
      <c r="H925" s="672"/>
      <c r="I925" s="417">
        <f>3.5*6.2</f>
        <v>21.7</v>
      </c>
      <c r="J925" s="368">
        <v>1088500</v>
      </c>
      <c r="K925" s="686"/>
      <c r="L925" s="487">
        <f t="shared" si="137"/>
        <v>23620450</v>
      </c>
      <c r="M925" s="548"/>
      <c r="N925" s="548"/>
      <c r="O925" s="427"/>
      <c r="P925" s="384"/>
      <c r="Q925" s="1213"/>
      <c r="R925" s="1227"/>
      <c r="S925" s="308"/>
      <c r="T925" s="308"/>
      <c r="U925" s="308"/>
      <c r="V925" s="308"/>
      <c r="W925" s="308"/>
      <c r="X925" s="308"/>
      <c r="Y925" s="308"/>
      <c r="Z925" s="604"/>
      <c r="AA925" s="308"/>
      <c r="AB925" s="308"/>
      <c r="AC925" s="687"/>
      <c r="AD925" s="687"/>
      <c r="AE925" s="687"/>
      <c r="AF925" s="687"/>
      <c r="AG925" s="688"/>
      <c r="AH925" s="688"/>
      <c r="AI925" s="688"/>
      <c r="AJ925" s="688"/>
      <c r="AK925" s="688"/>
      <c r="AL925" s="207"/>
      <c r="AM925" s="140"/>
      <c r="AN925" s="140"/>
      <c r="AO925" s="140"/>
      <c r="AP925" s="140"/>
      <c r="AQ925" s="140"/>
      <c r="AR925" s="140"/>
      <c r="AS925" s="140"/>
      <c r="AT925" s="140"/>
      <c r="AU925" s="140"/>
      <c r="AV925" s="140"/>
      <c r="AW925" s="140"/>
      <c r="AX925" s="140"/>
      <c r="AY925" s="140"/>
      <c r="AZ925" s="140"/>
      <c r="BA925" s="140"/>
      <c r="BB925" s="140"/>
      <c r="BC925" s="140"/>
      <c r="BD925" s="140"/>
      <c r="BE925" s="140"/>
      <c r="BF925" s="140"/>
      <c r="BG925" s="140"/>
      <c r="BH925" s="140"/>
      <c r="BI925" s="140"/>
      <c r="BJ925" s="140"/>
      <c r="BK925" s="140"/>
      <c r="BL925" s="140"/>
      <c r="BM925" s="140"/>
      <c r="BN925" s="140"/>
      <c r="BO925" s="140"/>
      <c r="BP925" s="140"/>
      <c r="BQ925" s="140"/>
      <c r="BR925" s="140"/>
      <c r="BS925" s="140"/>
      <c r="BT925" s="140"/>
      <c r="BU925" s="140"/>
      <c r="BV925" s="140"/>
      <c r="BW925" s="140"/>
      <c r="BX925" s="140"/>
      <c r="BY925" s="140"/>
      <c r="BZ925" s="140"/>
      <c r="CA925" s="140"/>
      <c r="CB925" s="140"/>
      <c r="CC925" s="140"/>
      <c r="CD925" s="140"/>
      <c r="CE925" s="140"/>
      <c r="CF925" s="140"/>
      <c r="CG925" s="140"/>
      <c r="CH925" s="140"/>
      <c r="CI925" s="140"/>
      <c r="CJ925" s="140"/>
      <c r="CK925" s="140"/>
      <c r="CL925" s="140"/>
      <c r="CM925" s="140"/>
      <c r="CN925" s="140"/>
      <c r="CO925" s="140"/>
      <c r="CP925" s="140"/>
      <c r="CQ925" s="140"/>
      <c r="CR925" s="140"/>
      <c r="CS925" s="140"/>
      <c r="CT925" s="140"/>
      <c r="CU925" s="140"/>
      <c r="CV925" s="140"/>
      <c r="CW925" s="140"/>
      <c r="CX925" s="140"/>
      <c r="CY925" s="140"/>
      <c r="CZ925" s="140"/>
      <c r="DA925" s="140"/>
      <c r="DB925" s="140"/>
      <c r="DC925" s="140"/>
      <c r="DD925" s="140"/>
      <c r="DE925" s="140"/>
      <c r="DF925" s="140"/>
      <c r="DG925" s="140"/>
      <c r="DH925" s="140"/>
      <c r="DI925" s="140"/>
      <c r="DJ925" s="140"/>
      <c r="DK925" s="140"/>
      <c r="DL925" s="140"/>
      <c r="DM925" s="140"/>
      <c r="DN925" s="140"/>
      <c r="DO925" s="140"/>
      <c r="DP925" s="140"/>
      <c r="DQ925" s="140"/>
      <c r="DR925" s="140"/>
      <c r="DS925" s="140"/>
      <c r="DT925" s="140"/>
      <c r="DU925" s="140"/>
      <c r="DV925" s="140"/>
      <c r="DW925" s="140"/>
      <c r="DX925" s="140"/>
      <c r="DY925" s="140"/>
      <c r="DZ925" s="140"/>
      <c r="EA925" s="140"/>
      <c r="EB925" s="140"/>
      <c r="EC925" s="140"/>
      <c r="ED925" s="140"/>
      <c r="EE925" s="140"/>
      <c r="EF925" s="140"/>
      <c r="EG925" s="140"/>
      <c r="EH925" s="140"/>
      <c r="EI925" s="140"/>
      <c r="EJ925" s="140"/>
      <c r="EK925" s="140"/>
      <c r="EL925" s="140"/>
      <c r="EM925" s="140"/>
      <c r="EN925" s="140"/>
      <c r="EO925" s="140"/>
      <c r="EP925" s="140"/>
      <c r="EQ925" s="140"/>
      <c r="ER925" s="140"/>
      <c r="ES925" s="140"/>
      <c r="ET925" s="140"/>
      <c r="EU925" s="140"/>
      <c r="EV925" s="140"/>
      <c r="EW925" s="140"/>
      <c r="EX925" s="140"/>
      <c r="EY925" s="140"/>
      <c r="EZ925" s="140"/>
      <c r="FA925" s="140"/>
      <c r="FB925" s="140"/>
      <c r="FC925" s="140"/>
      <c r="FD925" s="140"/>
      <c r="FE925" s="140"/>
      <c r="FF925" s="140"/>
      <c r="FG925" s="140"/>
      <c r="FH925" s="140"/>
      <c r="FI925" s="140"/>
      <c r="FJ925" s="140"/>
      <c r="FK925" s="140"/>
      <c r="FL925" s="140"/>
      <c r="FM925" s="140"/>
      <c r="FN925" s="140"/>
      <c r="FO925" s="140"/>
      <c r="FP925" s="140"/>
      <c r="FQ925" s="140"/>
      <c r="FR925" s="140"/>
      <c r="FS925" s="140"/>
      <c r="FT925" s="140"/>
      <c r="FU925" s="140"/>
      <c r="FV925" s="140"/>
      <c r="FW925" s="140"/>
      <c r="FX925" s="140"/>
      <c r="FY925" s="140"/>
      <c r="FZ925" s="140"/>
      <c r="GA925" s="140"/>
      <c r="GB925" s="140"/>
      <c r="GC925" s="140"/>
      <c r="GD925" s="140"/>
      <c r="GE925" s="140"/>
      <c r="GF925" s="140"/>
      <c r="GG925" s="140"/>
      <c r="GH925" s="140"/>
      <c r="GI925" s="140"/>
      <c r="GJ925" s="140"/>
      <c r="GK925" s="140"/>
      <c r="GL925" s="140"/>
      <c r="GM925" s="140"/>
      <c r="GN925" s="140"/>
      <c r="GO925" s="140"/>
      <c r="GP925" s="140"/>
      <c r="GQ925" s="140"/>
      <c r="GR925" s="140"/>
      <c r="GS925" s="140"/>
      <c r="GT925" s="140"/>
      <c r="GU925" s="140"/>
      <c r="GV925" s="140"/>
      <c r="GW925" s="140"/>
      <c r="GX925" s="140"/>
      <c r="GY925" s="140"/>
      <c r="GZ925" s="140"/>
      <c r="HA925" s="140"/>
      <c r="HB925" s="140"/>
      <c r="HC925" s="140"/>
      <c r="HD925" s="140"/>
      <c r="HE925" s="140"/>
      <c r="HF925" s="140"/>
      <c r="HG925" s="140"/>
      <c r="HH925" s="140"/>
      <c r="HI925" s="140"/>
      <c r="HJ925" s="140"/>
      <c r="HK925" s="140"/>
      <c r="HL925" s="140"/>
      <c r="HM925" s="140"/>
      <c r="HN925" s="140"/>
      <c r="HO925" s="140"/>
      <c r="HP925" s="140"/>
      <c r="HQ925" s="140"/>
      <c r="HR925" s="140"/>
      <c r="HS925" s="140"/>
      <c r="HT925" s="140"/>
      <c r="HU925" s="140"/>
      <c r="HV925" s="140"/>
      <c r="HW925" s="140"/>
      <c r="HX925" s="140"/>
      <c r="HY925" s="140"/>
      <c r="HZ925" s="140"/>
      <c r="IA925" s="140"/>
      <c r="IB925" s="140"/>
      <c r="IC925" s="140"/>
      <c r="ID925" s="140"/>
      <c r="IE925" s="140"/>
      <c r="IF925" s="140"/>
      <c r="IG925" s="140"/>
      <c r="IH925" s="140"/>
      <c r="II925" s="140"/>
      <c r="IJ925" s="140"/>
      <c r="IK925" s="140"/>
      <c r="IL925" s="140"/>
      <c r="IM925" s="140"/>
      <c r="IN925" s="140"/>
      <c r="IO925" s="140"/>
      <c r="IP925" s="140"/>
      <c r="IQ925" s="140"/>
      <c r="IR925" s="140"/>
      <c r="IS925" s="140"/>
      <c r="IT925" s="140"/>
      <c r="IU925" s="140"/>
      <c r="IV925" s="140"/>
      <c r="IW925" s="140"/>
      <c r="IX925" s="140"/>
      <c r="IY925" s="140"/>
      <c r="IZ925" s="140"/>
      <c r="JA925" s="140"/>
      <c r="JB925" s="140"/>
      <c r="JC925" s="140"/>
      <c r="JD925" s="140"/>
      <c r="JE925" s="140"/>
      <c r="JF925" s="140"/>
      <c r="JG925" s="140"/>
      <c r="JH925" s="140"/>
      <c r="JI925" s="140"/>
      <c r="JJ925" s="140"/>
      <c r="JK925" s="140"/>
      <c r="JL925" s="140"/>
      <c r="JM925" s="140"/>
      <c r="JN925" s="140"/>
      <c r="JO925" s="140"/>
      <c r="JP925" s="140"/>
      <c r="JQ925" s="140"/>
      <c r="JR925" s="140"/>
      <c r="JS925" s="140"/>
      <c r="JT925" s="140"/>
      <c r="JU925" s="140"/>
      <c r="JV925" s="140"/>
      <c r="JW925" s="140"/>
      <c r="JX925" s="140"/>
      <c r="JY925" s="140"/>
      <c r="JZ925" s="140"/>
      <c r="KA925" s="140"/>
      <c r="KB925" s="140"/>
      <c r="KC925" s="140"/>
      <c r="KD925" s="140"/>
      <c r="KE925" s="140"/>
      <c r="KF925" s="140"/>
      <c r="KG925" s="140"/>
      <c r="KH925" s="140"/>
      <c r="KI925" s="140"/>
      <c r="KJ925" s="140"/>
      <c r="KK925" s="140"/>
      <c r="KL925" s="140"/>
      <c r="KM925" s="140"/>
      <c r="KN925" s="140"/>
      <c r="KO925" s="140"/>
      <c r="KP925" s="140"/>
      <c r="KQ925" s="140"/>
      <c r="KR925" s="140"/>
      <c r="KS925" s="140"/>
      <c r="KT925" s="140"/>
      <c r="KU925" s="140"/>
      <c r="KV925" s="140"/>
      <c r="KW925" s="140"/>
      <c r="KX925" s="140"/>
      <c r="KY925" s="140"/>
      <c r="KZ925" s="140"/>
      <c r="LA925" s="140"/>
      <c r="LB925" s="140"/>
      <c r="LC925" s="140"/>
      <c r="LD925" s="140"/>
      <c r="LE925" s="140"/>
      <c r="LF925" s="140"/>
      <c r="LG925" s="140"/>
      <c r="LH925" s="140"/>
      <c r="LI925" s="140"/>
      <c r="LJ925" s="140"/>
      <c r="LK925" s="140"/>
      <c r="LL925" s="140"/>
      <c r="LM925" s="140"/>
      <c r="LN925" s="140"/>
      <c r="LO925" s="140"/>
      <c r="LP925" s="140"/>
      <c r="LQ925" s="140"/>
      <c r="LR925" s="140"/>
      <c r="LS925" s="140"/>
      <c r="LT925" s="140"/>
      <c r="LU925" s="140"/>
      <c r="LV925" s="140"/>
      <c r="LW925" s="140"/>
      <c r="LX925" s="140"/>
      <c r="LY925" s="140"/>
      <c r="LZ925" s="140"/>
      <c r="MA925" s="140"/>
      <c r="MB925" s="140"/>
      <c r="MC925" s="140"/>
      <c r="MD925" s="140"/>
      <c r="ME925" s="140"/>
      <c r="MF925" s="140"/>
      <c r="MG925" s="140"/>
      <c r="MH925" s="140"/>
      <c r="MI925" s="140"/>
      <c r="MJ925" s="140"/>
      <c r="MK925" s="140"/>
      <c r="ML925" s="140"/>
      <c r="MM925" s="140"/>
      <c r="MN925" s="140"/>
      <c r="MO925" s="140"/>
      <c r="MP925" s="140"/>
      <c r="MQ925" s="140"/>
      <c r="MR925" s="140"/>
      <c r="MS925" s="140"/>
      <c r="MT925" s="140"/>
      <c r="MU925" s="140"/>
      <c r="MV925" s="140"/>
      <c r="MW925" s="140"/>
      <c r="MX925" s="140"/>
      <c r="MY925" s="140"/>
      <c r="MZ925" s="140"/>
      <c r="NA925" s="140"/>
      <c r="NB925" s="140"/>
      <c r="NC925" s="140"/>
      <c r="ND925" s="140"/>
      <c r="NE925" s="140"/>
      <c r="NF925" s="140"/>
      <c r="NG925" s="140"/>
      <c r="NH925" s="140"/>
      <c r="NI925" s="140"/>
      <c r="NJ925" s="140"/>
      <c r="NK925" s="140"/>
      <c r="NL925" s="140"/>
      <c r="NM925" s="140"/>
      <c r="NN925" s="140"/>
      <c r="NO925" s="140"/>
      <c r="NP925" s="140"/>
      <c r="NQ925" s="140"/>
      <c r="NR925" s="140"/>
      <c r="NS925" s="140"/>
      <c r="NT925" s="140"/>
      <c r="NU925" s="140"/>
      <c r="NV925" s="140"/>
      <c r="NW925" s="140"/>
      <c r="NX925" s="140"/>
      <c r="NY925" s="140"/>
      <c r="NZ925" s="140"/>
      <c r="OA925" s="140"/>
      <c r="OB925" s="140"/>
      <c r="OC925" s="140"/>
      <c r="OD925" s="140"/>
      <c r="OE925" s="140"/>
      <c r="OF925" s="140"/>
      <c r="OG925" s="140"/>
      <c r="OH925" s="140"/>
      <c r="OI925" s="140"/>
      <c r="OJ925" s="140"/>
      <c r="OK925" s="140"/>
      <c r="OL925" s="140"/>
      <c r="OM925" s="140"/>
      <c r="ON925" s="140"/>
      <c r="OO925" s="140"/>
      <c r="OP925" s="140"/>
      <c r="OQ925" s="140"/>
      <c r="OR925" s="140"/>
      <c r="OS925" s="140"/>
      <c r="OT925" s="140"/>
      <c r="OU925" s="140"/>
      <c r="OV925" s="140"/>
      <c r="OW925" s="140"/>
      <c r="OX925" s="140"/>
      <c r="OY925" s="140"/>
      <c r="OZ925" s="140"/>
      <c r="PA925" s="140"/>
      <c r="PB925" s="140"/>
      <c r="PC925" s="140"/>
      <c r="PD925" s="140"/>
      <c r="PE925" s="140"/>
      <c r="PF925" s="140"/>
      <c r="PG925" s="140"/>
      <c r="PH925" s="140"/>
      <c r="PI925" s="140"/>
      <c r="PJ925" s="140"/>
      <c r="PK925" s="140"/>
      <c r="PL925" s="140"/>
      <c r="PM925" s="140"/>
      <c r="PN925" s="140"/>
      <c r="PO925" s="140"/>
      <c r="PP925" s="140"/>
      <c r="PQ925" s="140"/>
      <c r="PR925" s="140"/>
      <c r="PS925" s="140"/>
      <c r="PT925" s="140"/>
      <c r="PU925" s="140"/>
      <c r="PV925" s="140"/>
      <c r="PW925" s="140"/>
      <c r="PX925" s="140"/>
      <c r="PY925" s="140"/>
      <c r="PZ925" s="140"/>
      <c r="QA925" s="140"/>
      <c r="QB925" s="140"/>
      <c r="QC925" s="140"/>
      <c r="QD925" s="140"/>
      <c r="QE925" s="140"/>
      <c r="QF925" s="140"/>
      <c r="QG925" s="140"/>
      <c r="QH925" s="140"/>
      <c r="QI925" s="140"/>
      <c r="QJ925" s="140"/>
      <c r="QK925" s="140"/>
      <c r="QL925" s="140"/>
      <c r="QM925" s="140"/>
      <c r="QN925" s="140"/>
      <c r="QO925" s="140"/>
      <c r="QP925" s="140"/>
      <c r="QQ925" s="140"/>
      <c r="QR925" s="140"/>
      <c r="QS925" s="140"/>
      <c r="QT925" s="140"/>
      <c r="QU925" s="140"/>
      <c r="QV925" s="140"/>
      <c r="QW925" s="140"/>
      <c r="QX925" s="140"/>
      <c r="QY925" s="140"/>
      <c r="QZ925" s="140"/>
      <c r="RA925" s="140"/>
      <c r="RB925" s="140"/>
      <c r="RC925" s="140"/>
      <c r="RD925" s="140"/>
      <c r="RE925" s="140"/>
      <c r="RF925" s="140"/>
      <c r="RG925" s="140"/>
      <c r="RH925" s="140"/>
      <c r="RI925" s="140"/>
      <c r="RJ925" s="140"/>
      <c r="RK925" s="140"/>
      <c r="RL925" s="140"/>
      <c r="RM925" s="140"/>
      <c r="RN925" s="140"/>
      <c r="RO925" s="140"/>
      <c r="RP925" s="140"/>
      <c r="RQ925" s="140"/>
      <c r="RR925" s="140"/>
      <c r="RS925" s="140"/>
      <c r="RT925" s="140"/>
      <c r="RU925" s="140"/>
      <c r="RV925" s="140"/>
      <c r="RW925" s="140"/>
      <c r="RX925" s="140"/>
      <c r="RY925" s="140"/>
      <c r="RZ925" s="140"/>
      <c r="SA925" s="140"/>
      <c r="SB925" s="140"/>
      <c r="SC925" s="140"/>
      <c r="SD925" s="140"/>
      <c r="SE925" s="140"/>
      <c r="SF925" s="140"/>
      <c r="SG925" s="140"/>
      <c r="SH925" s="140"/>
      <c r="SI925" s="140"/>
      <c r="SJ925" s="140"/>
      <c r="SK925" s="140"/>
      <c r="SL925" s="140"/>
      <c r="SM925" s="140"/>
      <c r="SN925" s="140"/>
      <c r="SO925" s="140"/>
      <c r="SP925" s="140"/>
      <c r="SQ925" s="140"/>
      <c r="SR925" s="140"/>
      <c r="SS925" s="140"/>
      <c r="ST925" s="140"/>
      <c r="SU925" s="140"/>
      <c r="SV925" s="140"/>
      <c r="SW925" s="140"/>
      <c r="SX925" s="140"/>
      <c r="SY925" s="140"/>
      <c r="SZ925" s="140"/>
      <c r="TA925" s="140"/>
      <c r="TB925" s="140"/>
      <c r="TC925" s="140"/>
      <c r="TD925" s="140"/>
      <c r="TE925" s="140"/>
      <c r="TF925" s="140"/>
      <c r="TG925" s="140"/>
      <c r="TH925" s="140"/>
      <c r="TI925" s="140"/>
      <c r="TJ925" s="140"/>
      <c r="TK925" s="140"/>
      <c r="TL925" s="140"/>
      <c r="TM925" s="140"/>
      <c r="TN925" s="140"/>
      <c r="TO925" s="140"/>
      <c r="TP925" s="140"/>
      <c r="TQ925" s="140"/>
      <c r="TR925" s="140"/>
      <c r="TS925" s="140"/>
      <c r="TT925" s="140"/>
      <c r="TU925" s="140"/>
      <c r="TV925" s="140"/>
      <c r="TW925" s="140"/>
      <c r="TX925" s="140"/>
      <c r="TY925" s="140"/>
      <c r="TZ925" s="140"/>
      <c r="UA925" s="140"/>
      <c r="UB925" s="140"/>
      <c r="UC925" s="140"/>
      <c r="UD925" s="140"/>
      <c r="UE925" s="140"/>
      <c r="UF925" s="140"/>
      <c r="UG925" s="141"/>
    </row>
    <row r="926" spans="1:553" s="142" customFormat="1" ht="27.65" customHeight="1">
      <c r="A926" s="444"/>
      <c r="B926" s="384" t="s">
        <v>31</v>
      </c>
      <c r="C926" s="1370" t="s">
        <v>549</v>
      </c>
      <c r="D926" s="1371"/>
      <c r="E926" s="1371"/>
      <c r="F926" s="1372"/>
      <c r="G926" s="386" t="s">
        <v>34</v>
      </c>
      <c r="H926" s="672"/>
      <c r="I926" s="417">
        <f>(0.2*0.2*3.5)*4</f>
        <v>0.56000000000000005</v>
      </c>
      <c r="J926" s="368">
        <v>1748702</v>
      </c>
      <c r="K926" s="686"/>
      <c r="L926" s="487">
        <f t="shared" si="137"/>
        <v>979273.12000000011</v>
      </c>
      <c r="M926" s="548"/>
      <c r="N926" s="548"/>
      <c r="O926" s="427"/>
      <c r="P926" s="384"/>
      <c r="Q926" s="1213"/>
      <c r="R926" s="1227"/>
      <c r="S926" s="308"/>
      <c r="T926" s="308"/>
      <c r="U926" s="308"/>
      <c r="V926" s="308"/>
      <c r="W926" s="308"/>
      <c r="X926" s="308"/>
      <c r="Y926" s="308"/>
      <c r="Z926" s="604"/>
      <c r="AA926" s="308"/>
      <c r="AB926" s="308"/>
      <c r="AC926" s="687"/>
      <c r="AD926" s="687"/>
      <c r="AE926" s="687"/>
      <c r="AF926" s="687"/>
      <c r="AG926" s="688"/>
      <c r="AH926" s="688"/>
      <c r="AI926" s="688"/>
      <c r="AJ926" s="688"/>
      <c r="AK926" s="688"/>
      <c r="AL926" s="207"/>
      <c r="AM926" s="140"/>
      <c r="AN926" s="140"/>
      <c r="AO926" s="140"/>
      <c r="AP926" s="140"/>
      <c r="AQ926" s="140"/>
      <c r="AR926" s="140"/>
      <c r="AS926" s="140"/>
      <c r="AT926" s="140"/>
      <c r="AU926" s="140"/>
      <c r="AV926" s="140"/>
      <c r="AW926" s="140"/>
      <c r="AX926" s="140"/>
      <c r="AY926" s="140"/>
      <c r="AZ926" s="140"/>
      <c r="BA926" s="140"/>
      <c r="BB926" s="140"/>
      <c r="BC926" s="140"/>
      <c r="BD926" s="140"/>
      <c r="BE926" s="140"/>
      <c r="BF926" s="140"/>
      <c r="BG926" s="140"/>
      <c r="BH926" s="140"/>
      <c r="BI926" s="140"/>
      <c r="BJ926" s="140"/>
      <c r="BK926" s="140"/>
      <c r="BL926" s="140"/>
      <c r="BM926" s="140"/>
      <c r="BN926" s="140"/>
      <c r="BO926" s="140"/>
      <c r="BP926" s="140"/>
      <c r="BQ926" s="140"/>
      <c r="BR926" s="140"/>
      <c r="BS926" s="140"/>
      <c r="BT926" s="140"/>
      <c r="BU926" s="140"/>
      <c r="BV926" s="140"/>
      <c r="BW926" s="140"/>
      <c r="BX926" s="140"/>
      <c r="BY926" s="140"/>
      <c r="BZ926" s="140"/>
      <c r="CA926" s="140"/>
      <c r="CB926" s="140"/>
      <c r="CC926" s="140"/>
      <c r="CD926" s="140"/>
      <c r="CE926" s="140"/>
      <c r="CF926" s="140"/>
      <c r="CG926" s="140"/>
      <c r="CH926" s="140"/>
      <c r="CI926" s="140"/>
      <c r="CJ926" s="140"/>
      <c r="CK926" s="140"/>
      <c r="CL926" s="140"/>
      <c r="CM926" s="140"/>
      <c r="CN926" s="140"/>
      <c r="CO926" s="140"/>
      <c r="CP926" s="140"/>
      <c r="CQ926" s="140"/>
      <c r="CR926" s="140"/>
      <c r="CS926" s="140"/>
      <c r="CT926" s="140"/>
      <c r="CU926" s="140"/>
      <c r="CV926" s="140"/>
      <c r="CW926" s="140"/>
      <c r="CX926" s="140"/>
      <c r="CY926" s="140"/>
      <c r="CZ926" s="140"/>
      <c r="DA926" s="140"/>
      <c r="DB926" s="140"/>
      <c r="DC926" s="140"/>
      <c r="DD926" s="140"/>
      <c r="DE926" s="140"/>
      <c r="DF926" s="140"/>
      <c r="DG926" s="140"/>
      <c r="DH926" s="140"/>
      <c r="DI926" s="140"/>
      <c r="DJ926" s="140"/>
      <c r="DK926" s="140"/>
      <c r="DL926" s="140"/>
      <c r="DM926" s="140"/>
      <c r="DN926" s="140"/>
      <c r="DO926" s="140"/>
      <c r="DP926" s="140"/>
      <c r="DQ926" s="140"/>
      <c r="DR926" s="140"/>
      <c r="DS926" s="140"/>
      <c r="DT926" s="140"/>
      <c r="DU926" s="140"/>
      <c r="DV926" s="140"/>
      <c r="DW926" s="140"/>
      <c r="DX926" s="140"/>
      <c r="DY926" s="140"/>
      <c r="DZ926" s="140"/>
      <c r="EA926" s="140"/>
      <c r="EB926" s="140"/>
      <c r="EC926" s="140"/>
      <c r="ED926" s="140"/>
      <c r="EE926" s="140"/>
      <c r="EF926" s="140"/>
      <c r="EG926" s="140"/>
      <c r="EH926" s="140"/>
      <c r="EI926" s="140"/>
      <c r="EJ926" s="140"/>
      <c r="EK926" s="140"/>
      <c r="EL926" s="140"/>
      <c r="EM926" s="140"/>
      <c r="EN926" s="140"/>
      <c r="EO926" s="140"/>
      <c r="EP926" s="140"/>
      <c r="EQ926" s="140"/>
      <c r="ER926" s="140"/>
      <c r="ES926" s="140"/>
      <c r="ET926" s="140"/>
      <c r="EU926" s="140"/>
      <c r="EV926" s="140"/>
      <c r="EW926" s="140"/>
      <c r="EX926" s="140"/>
      <c r="EY926" s="140"/>
      <c r="EZ926" s="140"/>
      <c r="FA926" s="140"/>
      <c r="FB926" s="140"/>
      <c r="FC926" s="140"/>
      <c r="FD926" s="140"/>
      <c r="FE926" s="140"/>
      <c r="FF926" s="140"/>
      <c r="FG926" s="140"/>
      <c r="FH926" s="140"/>
      <c r="FI926" s="140"/>
      <c r="FJ926" s="140"/>
      <c r="FK926" s="140"/>
      <c r="FL926" s="140"/>
      <c r="FM926" s="140"/>
      <c r="FN926" s="140"/>
      <c r="FO926" s="140"/>
      <c r="FP926" s="140"/>
      <c r="FQ926" s="140"/>
      <c r="FR926" s="140"/>
      <c r="FS926" s="140"/>
      <c r="FT926" s="140"/>
      <c r="FU926" s="140"/>
      <c r="FV926" s="140"/>
      <c r="FW926" s="140"/>
      <c r="FX926" s="140"/>
      <c r="FY926" s="140"/>
      <c r="FZ926" s="140"/>
      <c r="GA926" s="140"/>
      <c r="GB926" s="140"/>
      <c r="GC926" s="140"/>
      <c r="GD926" s="140"/>
      <c r="GE926" s="140"/>
      <c r="GF926" s="140"/>
      <c r="GG926" s="140"/>
      <c r="GH926" s="140"/>
      <c r="GI926" s="140"/>
      <c r="GJ926" s="140"/>
      <c r="GK926" s="140"/>
      <c r="GL926" s="140"/>
      <c r="GM926" s="140"/>
      <c r="GN926" s="140"/>
      <c r="GO926" s="140"/>
      <c r="GP926" s="140"/>
      <c r="GQ926" s="140"/>
      <c r="GR926" s="140"/>
      <c r="GS926" s="140"/>
      <c r="GT926" s="140"/>
      <c r="GU926" s="140"/>
      <c r="GV926" s="140"/>
      <c r="GW926" s="140"/>
      <c r="GX926" s="140"/>
      <c r="GY926" s="140"/>
      <c r="GZ926" s="140"/>
      <c r="HA926" s="140"/>
      <c r="HB926" s="140"/>
      <c r="HC926" s="140"/>
      <c r="HD926" s="140"/>
      <c r="HE926" s="140"/>
      <c r="HF926" s="140"/>
      <c r="HG926" s="140"/>
      <c r="HH926" s="140"/>
      <c r="HI926" s="140"/>
      <c r="HJ926" s="140"/>
      <c r="HK926" s="140"/>
      <c r="HL926" s="140"/>
      <c r="HM926" s="140"/>
      <c r="HN926" s="140"/>
      <c r="HO926" s="140"/>
      <c r="HP926" s="140"/>
      <c r="HQ926" s="140"/>
      <c r="HR926" s="140"/>
      <c r="HS926" s="140"/>
      <c r="HT926" s="140"/>
      <c r="HU926" s="140"/>
      <c r="HV926" s="140"/>
      <c r="HW926" s="140"/>
      <c r="HX926" s="140"/>
      <c r="HY926" s="140"/>
      <c r="HZ926" s="140"/>
      <c r="IA926" s="140"/>
      <c r="IB926" s="140"/>
      <c r="IC926" s="140"/>
      <c r="ID926" s="140"/>
      <c r="IE926" s="140"/>
      <c r="IF926" s="140"/>
      <c r="IG926" s="140"/>
      <c r="IH926" s="140"/>
      <c r="II926" s="140"/>
      <c r="IJ926" s="140"/>
      <c r="IK926" s="140"/>
      <c r="IL926" s="140"/>
      <c r="IM926" s="140"/>
      <c r="IN926" s="140"/>
      <c r="IO926" s="140"/>
      <c r="IP926" s="140"/>
      <c r="IQ926" s="140"/>
      <c r="IR926" s="140"/>
      <c r="IS926" s="140"/>
      <c r="IT926" s="140"/>
      <c r="IU926" s="140"/>
      <c r="IV926" s="140"/>
      <c r="IW926" s="140"/>
      <c r="IX926" s="140"/>
      <c r="IY926" s="140"/>
      <c r="IZ926" s="140"/>
      <c r="JA926" s="140"/>
      <c r="JB926" s="140"/>
      <c r="JC926" s="140"/>
      <c r="JD926" s="140"/>
      <c r="JE926" s="140"/>
      <c r="JF926" s="140"/>
      <c r="JG926" s="140"/>
      <c r="JH926" s="140"/>
      <c r="JI926" s="140"/>
      <c r="JJ926" s="140"/>
      <c r="JK926" s="140"/>
      <c r="JL926" s="140"/>
      <c r="JM926" s="140"/>
      <c r="JN926" s="140"/>
      <c r="JO926" s="140"/>
      <c r="JP926" s="140"/>
      <c r="JQ926" s="140"/>
      <c r="JR926" s="140"/>
      <c r="JS926" s="140"/>
      <c r="JT926" s="140"/>
      <c r="JU926" s="140"/>
      <c r="JV926" s="140"/>
      <c r="JW926" s="140"/>
      <c r="JX926" s="140"/>
      <c r="JY926" s="140"/>
      <c r="JZ926" s="140"/>
      <c r="KA926" s="140"/>
      <c r="KB926" s="140"/>
      <c r="KC926" s="140"/>
      <c r="KD926" s="140"/>
      <c r="KE926" s="140"/>
      <c r="KF926" s="140"/>
      <c r="KG926" s="140"/>
      <c r="KH926" s="140"/>
      <c r="KI926" s="140"/>
      <c r="KJ926" s="140"/>
      <c r="KK926" s="140"/>
      <c r="KL926" s="140"/>
      <c r="KM926" s="140"/>
      <c r="KN926" s="140"/>
      <c r="KO926" s="140"/>
      <c r="KP926" s="140"/>
      <c r="KQ926" s="140"/>
      <c r="KR926" s="140"/>
      <c r="KS926" s="140"/>
      <c r="KT926" s="140"/>
      <c r="KU926" s="140"/>
      <c r="KV926" s="140"/>
      <c r="KW926" s="140"/>
      <c r="KX926" s="140"/>
      <c r="KY926" s="140"/>
      <c r="KZ926" s="140"/>
      <c r="LA926" s="140"/>
      <c r="LB926" s="140"/>
      <c r="LC926" s="140"/>
      <c r="LD926" s="140"/>
      <c r="LE926" s="140"/>
      <c r="LF926" s="140"/>
      <c r="LG926" s="140"/>
      <c r="LH926" s="140"/>
      <c r="LI926" s="140"/>
      <c r="LJ926" s="140"/>
      <c r="LK926" s="140"/>
      <c r="LL926" s="140"/>
      <c r="LM926" s="140"/>
      <c r="LN926" s="140"/>
      <c r="LO926" s="140"/>
      <c r="LP926" s="140"/>
      <c r="LQ926" s="140"/>
      <c r="LR926" s="140"/>
      <c r="LS926" s="140"/>
      <c r="LT926" s="140"/>
      <c r="LU926" s="140"/>
      <c r="LV926" s="140"/>
      <c r="LW926" s="140"/>
      <c r="LX926" s="140"/>
      <c r="LY926" s="140"/>
      <c r="LZ926" s="140"/>
      <c r="MA926" s="140"/>
      <c r="MB926" s="140"/>
      <c r="MC926" s="140"/>
      <c r="MD926" s="140"/>
      <c r="ME926" s="140"/>
      <c r="MF926" s="140"/>
      <c r="MG926" s="140"/>
      <c r="MH926" s="140"/>
      <c r="MI926" s="140"/>
      <c r="MJ926" s="140"/>
      <c r="MK926" s="140"/>
      <c r="ML926" s="140"/>
      <c r="MM926" s="140"/>
      <c r="MN926" s="140"/>
      <c r="MO926" s="140"/>
      <c r="MP926" s="140"/>
      <c r="MQ926" s="140"/>
      <c r="MR926" s="140"/>
      <c r="MS926" s="140"/>
      <c r="MT926" s="140"/>
      <c r="MU926" s="140"/>
      <c r="MV926" s="140"/>
      <c r="MW926" s="140"/>
      <c r="MX926" s="140"/>
      <c r="MY926" s="140"/>
      <c r="MZ926" s="140"/>
      <c r="NA926" s="140"/>
      <c r="NB926" s="140"/>
      <c r="NC926" s="140"/>
      <c r="ND926" s="140"/>
      <c r="NE926" s="140"/>
      <c r="NF926" s="140"/>
      <c r="NG926" s="140"/>
      <c r="NH926" s="140"/>
      <c r="NI926" s="140"/>
      <c r="NJ926" s="140"/>
      <c r="NK926" s="140"/>
      <c r="NL926" s="140"/>
      <c r="NM926" s="140"/>
      <c r="NN926" s="140"/>
      <c r="NO926" s="140"/>
      <c r="NP926" s="140"/>
      <c r="NQ926" s="140"/>
      <c r="NR926" s="140"/>
      <c r="NS926" s="140"/>
      <c r="NT926" s="140"/>
      <c r="NU926" s="140"/>
      <c r="NV926" s="140"/>
      <c r="NW926" s="140"/>
      <c r="NX926" s="140"/>
      <c r="NY926" s="140"/>
      <c r="NZ926" s="140"/>
      <c r="OA926" s="140"/>
      <c r="OB926" s="140"/>
      <c r="OC926" s="140"/>
      <c r="OD926" s="140"/>
      <c r="OE926" s="140"/>
      <c r="OF926" s="140"/>
      <c r="OG926" s="140"/>
      <c r="OH926" s="140"/>
      <c r="OI926" s="140"/>
      <c r="OJ926" s="140"/>
      <c r="OK926" s="140"/>
      <c r="OL926" s="140"/>
      <c r="OM926" s="140"/>
      <c r="ON926" s="140"/>
      <c r="OO926" s="140"/>
      <c r="OP926" s="140"/>
      <c r="OQ926" s="140"/>
      <c r="OR926" s="140"/>
      <c r="OS926" s="140"/>
      <c r="OT926" s="140"/>
      <c r="OU926" s="140"/>
      <c r="OV926" s="140"/>
      <c r="OW926" s="140"/>
      <c r="OX926" s="140"/>
      <c r="OY926" s="140"/>
      <c r="OZ926" s="140"/>
      <c r="PA926" s="140"/>
      <c r="PB926" s="140"/>
      <c r="PC926" s="140"/>
      <c r="PD926" s="140"/>
      <c r="PE926" s="140"/>
      <c r="PF926" s="140"/>
      <c r="PG926" s="140"/>
      <c r="PH926" s="140"/>
      <c r="PI926" s="140"/>
      <c r="PJ926" s="140"/>
      <c r="PK926" s="140"/>
      <c r="PL926" s="140"/>
      <c r="PM926" s="140"/>
      <c r="PN926" s="140"/>
      <c r="PO926" s="140"/>
      <c r="PP926" s="140"/>
      <c r="PQ926" s="140"/>
      <c r="PR926" s="140"/>
      <c r="PS926" s="140"/>
      <c r="PT926" s="140"/>
      <c r="PU926" s="140"/>
      <c r="PV926" s="140"/>
      <c r="PW926" s="140"/>
      <c r="PX926" s="140"/>
      <c r="PY926" s="140"/>
      <c r="PZ926" s="140"/>
      <c r="QA926" s="140"/>
      <c r="QB926" s="140"/>
      <c r="QC926" s="140"/>
      <c r="QD926" s="140"/>
      <c r="QE926" s="140"/>
      <c r="QF926" s="140"/>
      <c r="QG926" s="140"/>
      <c r="QH926" s="140"/>
      <c r="QI926" s="140"/>
      <c r="QJ926" s="140"/>
      <c r="QK926" s="140"/>
      <c r="QL926" s="140"/>
      <c r="QM926" s="140"/>
      <c r="QN926" s="140"/>
      <c r="QO926" s="140"/>
      <c r="QP926" s="140"/>
      <c r="QQ926" s="140"/>
      <c r="QR926" s="140"/>
      <c r="QS926" s="140"/>
      <c r="QT926" s="140"/>
      <c r="QU926" s="140"/>
      <c r="QV926" s="140"/>
      <c r="QW926" s="140"/>
      <c r="QX926" s="140"/>
      <c r="QY926" s="140"/>
      <c r="QZ926" s="140"/>
      <c r="RA926" s="140"/>
      <c r="RB926" s="140"/>
      <c r="RC926" s="140"/>
      <c r="RD926" s="140"/>
      <c r="RE926" s="140"/>
      <c r="RF926" s="140"/>
      <c r="RG926" s="140"/>
      <c r="RH926" s="140"/>
      <c r="RI926" s="140"/>
      <c r="RJ926" s="140"/>
      <c r="RK926" s="140"/>
      <c r="RL926" s="140"/>
      <c r="RM926" s="140"/>
      <c r="RN926" s="140"/>
      <c r="RO926" s="140"/>
      <c r="RP926" s="140"/>
      <c r="RQ926" s="140"/>
      <c r="RR926" s="140"/>
      <c r="RS926" s="140"/>
      <c r="RT926" s="140"/>
      <c r="RU926" s="140"/>
      <c r="RV926" s="140"/>
      <c r="RW926" s="140"/>
      <c r="RX926" s="140"/>
      <c r="RY926" s="140"/>
      <c r="RZ926" s="140"/>
      <c r="SA926" s="140"/>
      <c r="SB926" s="140"/>
      <c r="SC926" s="140"/>
      <c r="SD926" s="140"/>
      <c r="SE926" s="140"/>
      <c r="SF926" s="140"/>
      <c r="SG926" s="140"/>
      <c r="SH926" s="140"/>
      <c r="SI926" s="140"/>
      <c r="SJ926" s="140"/>
      <c r="SK926" s="140"/>
      <c r="SL926" s="140"/>
      <c r="SM926" s="140"/>
      <c r="SN926" s="140"/>
      <c r="SO926" s="140"/>
      <c r="SP926" s="140"/>
      <c r="SQ926" s="140"/>
      <c r="SR926" s="140"/>
      <c r="SS926" s="140"/>
      <c r="ST926" s="140"/>
      <c r="SU926" s="140"/>
      <c r="SV926" s="140"/>
      <c r="SW926" s="140"/>
      <c r="SX926" s="140"/>
      <c r="SY926" s="140"/>
      <c r="SZ926" s="140"/>
      <c r="TA926" s="140"/>
      <c r="TB926" s="140"/>
      <c r="TC926" s="140"/>
      <c r="TD926" s="140"/>
      <c r="TE926" s="140"/>
      <c r="TF926" s="140"/>
      <c r="TG926" s="140"/>
      <c r="TH926" s="140"/>
      <c r="TI926" s="140"/>
      <c r="TJ926" s="140"/>
      <c r="TK926" s="140"/>
      <c r="TL926" s="140"/>
      <c r="TM926" s="140"/>
      <c r="TN926" s="140"/>
      <c r="TO926" s="140"/>
      <c r="TP926" s="140"/>
      <c r="TQ926" s="140"/>
      <c r="TR926" s="140"/>
      <c r="TS926" s="140"/>
      <c r="TT926" s="140"/>
      <c r="TU926" s="140"/>
      <c r="TV926" s="140"/>
      <c r="TW926" s="140"/>
      <c r="TX926" s="140"/>
      <c r="TY926" s="140"/>
      <c r="TZ926" s="140"/>
      <c r="UA926" s="140"/>
      <c r="UB926" s="140"/>
      <c r="UC926" s="140"/>
      <c r="UD926" s="140"/>
      <c r="UE926" s="140"/>
      <c r="UF926" s="140"/>
      <c r="UG926" s="141"/>
    </row>
    <row r="927" spans="1:553" s="152" customFormat="1" ht="39" customHeight="1">
      <c r="A927" s="694"/>
      <c r="B927" s="695" t="s">
        <v>31</v>
      </c>
      <c r="C927" s="1373" t="s">
        <v>1001</v>
      </c>
      <c r="D927" s="1374"/>
      <c r="E927" s="1374"/>
      <c r="F927" s="1375"/>
      <c r="G927" s="542" t="s">
        <v>34</v>
      </c>
      <c r="H927" s="696"/>
      <c r="I927" s="697">
        <f>55*0.45*1.5</f>
        <v>37.125</v>
      </c>
      <c r="J927" s="990">
        <v>606342</v>
      </c>
      <c r="K927" s="698"/>
      <c r="L927" s="1192">
        <f t="shared" si="137"/>
        <v>22510446.75</v>
      </c>
      <c r="M927" s="699"/>
      <c r="N927" s="699"/>
      <c r="O927" s="700"/>
      <c r="P927" s="695"/>
      <c r="Q927" s="1155"/>
      <c r="R927" s="539"/>
      <c r="S927" s="308"/>
      <c r="T927" s="308"/>
      <c r="U927" s="308"/>
      <c r="V927" s="308"/>
      <c r="W927" s="308"/>
      <c r="X927" s="308"/>
      <c r="Y927" s="308"/>
      <c r="Z927" s="604"/>
      <c r="AA927" s="308"/>
      <c r="AB927" s="308"/>
      <c r="AC927" s="701"/>
      <c r="AD927" s="701"/>
      <c r="AE927" s="701"/>
      <c r="AF927" s="701"/>
      <c r="AG927" s="539"/>
      <c r="AH927" s="539"/>
      <c r="AI927" s="539"/>
      <c r="AJ927" s="539"/>
      <c r="AK927" s="539"/>
      <c r="AL927" s="353"/>
      <c r="AM927" s="150"/>
      <c r="AN927" s="150"/>
      <c r="AO927" s="150"/>
      <c r="AP927" s="150"/>
      <c r="AQ927" s="150"/>
      <c r="AR927" s="150"/>
      <c r="AS927" s="150"/>
      <c r="AT927" s="150"/>
      <c r="AU927" s="150"/>
      <c r="AV927" s="150"/>
      <c r="AW927" s="150"/>
      <c r="AX927" s="150"/>
      <c r="AY927" s="150"/>
      <c r="AZ927" s="150"/>
      <c r="BA927" s="150"/>
      <c r="BB927" s="150"/>
      <c r="BC927" s="150"/>
      <c r="BD927" s="150"/>
      <c r="BE927" s="150"/>
      <c r="BF927" s="150"/>
      <c r="BG927" s="150"/>
      <c r="BH927" s="150"/>
      <c r="BI927" s="150"/>
      <c r="BJ927" s="150"/>
      <c r="BK927" s="150"/>
      <c r="BL927" s="150"/>
      <c r="BM927" s="150"/>
      <c r="BN927" s="150"/>
      <c r="BO927" s="150"/>
      <c r="BP927" s="150"/>
      <c r="BQ927" s="150"/>
      <c r="BR927" s="150"/>
      <c r="BS927" s="150"/>
      <c r="BT927" s="150"/>
      <c r="BU927" s="150"/>
      <c r="BV927" s="150"/>
      <c r="BW927" s="150"/>
      <c r="BX927" s="150"/>
      <c r="BY927" s="150"/>
      <c r="BZ927" s="150"/>
      <c r="CA927" s="150"/>
      <c r="CB927" s="150"/>
      <c r="CC927" s="150"/>
      <c r="CD927" s="150"/>
      <c r="CE927" s="150"/>
      <c r="CF927" s="150"/>
      <c r="CG927" s="150"/>
      <c r="CH927" s="150"/>
      <c r="CI927" s="150"/>
      <c r="CJ927" s="150"/>
      <c r="CK927" s="150"/>
      <c r="CL927" s="150"/>
      <c r="CM927" s="150"/>
      <c r="CN927" s="150"/>
      <c r="CO927" s="150"/>
      <c r="CP927" s="150"/>
      <c r="CQ927" s="150"/>
      <c r="CR927" s="150"/>
      <c r="CS927" s="150"/>
      <c r="CT927" s="150"/>
      <c r="CU927" s="150"/>
      <c r="CV927" s="150"/>
      <c r="CW927" s="150"/>
      <c r="CX927" s="150"/>
      <c r="CY927" s="150"/>
      <c r="CZ927" s="150"/>
      <c r="DA927" s="150"/>
      <c r="DB927" s="150"/>
      <c r="DC927" s="150"/>
      <c r="DD927" s="150"/>
      <c r="DE927" s="150"/>
      <c r="DF927" s="150"/>
      <c r="DG927" s="150"/>
      <c r="DH927" s="150"/>
      <c r="DI927" s="150"/>
      <c r="DJ927" s="150"/>
      <c r="DK927" s="150"/>
      <c r="DL927" s="150"/>
      <c r="DM927" s="150"/>
      <c r="DN927" s="150"/>
      <c r="DO927" s="150"/>
      <c r="DP927" s="150"/>
      <c r="DQ927" s="150"/>
      <c r="DR927" s="150"/>
      <c r="DS927" s="150"/>
      <c r="DT927" s="150"/>
      <c r="DU927" s="150"/>
      <c r="DV927" s="150"/>
      <c r="DW927" s="150"/>
      <c r="DX927" s="150"/>
      <c r="DY927" s="150"/>
      <c r="DZ927" s="150"/>
      <c r="EA927" s="150"/>
      <c r="EB927" s="150"/>
      <c r="EC927" s="150"/>
      <c r="ED927" s="150"/>
      <c r="EE927" s="150"/>
      <c r="EF927" s="150"/>
      <c r="EG927" s="150"/>
      <c r="EH927" s="150"/>
      <c r="EI927" s="150"/>
      <c r="EJ927" s="150"/>
      <c r="EK927" s="150"/>
      <c r="EL927" s="150"/>
      <c r="EM927" s="150"/>
      <c r="EN927" s="150"/>
      <c r="EO927" s="150"/>
      <c r="EP927" s="150"/>
      <c r="EQ927" s="150"/>
      <c r="ER927" s="150"/>
      <c r="ES927" s="150"/>
      <c r="ET927" s="150"/>
      <c r="EU927" s="150"/>
      <c r="EV927" s="150"/>
      <c r="EW927" s="150"/>
      <c r="EX927" s="150"/>
      <c r="EY927" s="150"/>
      <c r="EZ927" s="150"/>
      <c r="FA927" s="150"/>
      <c r="FB927" s="150"/>
      <c r="FC927" s="150"/>
      <c r="FD927" s="150"/>
      <c r="FE927" s="150"/>
      <c r="FF927" s="150"/>
      <c r="FG927" s="150"/>
      <c r="FH927" s="150"/>
      <c r="FI927" s="150"/>
      <c r="FJ927" s="150"/>
      <c r="FK927" s="150"/>
      <c r="FL927" s="150"/>
      <c r="FM927" s="150"/>
      <c r="FN927" s="150"/>
      <c r="FO927" s="150"/>
      <c r="FP927" s="150"/>
      <c r="FQ927" s="150"/>
      <c r="FR927" s="150"/>
      <c r="FS927" s="150"/>
      <c r="FT927" s="150"/>
      <c r="FU927" s="150"/>
      <c r="FV927" s="150"/>
      <c r="FW927" s="150"/>
      <c r="FX927" s="150"/>
      <c r="FY927" s="150"/>
      <c r="FZ927" s="150"/>
      <c r="GA927" s="150"/>
      <c r="GB927" s="150"/>
      <c r="GC927" s="150"/>
      <c r="GD927" s="150"/>
      <c r="GE927" s="150"/>
      <c r="GF927" s="150"/>
      <c r="GG927" s="150"/>
      <c r="GH927" s="150"/>
      <c r="GI927" s="150"/>
      <c r="GJ927" s="150"/>
      <c r="GK927" s="150"/>
      <c r="GL927" s="150"/>
      <c r="GM927" s="150"/>
      <c r="GN927" s="150"/>
      <c r="GO927" s="150"/>
      <c r="GP927" s="150"/>
      <c r="GQ927" s="150"/>
      <c r="GR927" s="150"/>
      <c r="GS927" s="150"/>
      <c r="GT927" s="150"/>
      <c r="GU927" s="150"/>
      <c r="GV927" s="150"/>
      <c r="GW927" s="150"/>
      <c r="GX927" s="150"/>
      <c r="GY927" s="150"/>
      <c r="GZ927" s="150"/>
      <c r="HA927" s="150"/>
      <c r="HB927" s="150"/>
      <c r="HC927" s="150"/>
      <c r="HD927" s="150"/>
      <c r="HE927" s="150"/>
      <c r="HF927" s="150"/>
      <c r="HG927" s="150"/>
      <c r="HH927" s="150"/>
      <c r="HI927" s="150"/>
      <c r="HJ927" s="150"/>
      <c r="HK927" s="150"/>
      <c r="HL927" s="150"/>
      <c r="HM927" s="150"/>
      <c r="HN927" s="150"/>
      <c r="HO927" s="150"/>
      <c r="HP927" s="150"/>
      <c r="HQ927" s="150"/>
      <c r="HR927" s="150"/>
      <c r="HS927" s="150"/>
      <c r="HT927" s="150"/>
      <c r="HU927" s="150"/>
      <c r="HV927" s="150"/>
      <c r="HW927" s="150"/>
      <c r="HX927" s="150"/>
      <c r="HY927" s="150"/>
      <c r="HZ927" s="150"/>
      <c r="IA927" s="150"/>
      <c r="IB927" s="150"/>
      <c r="IC927" s="150"/>
      <c r="ID927" s="150"/>
      <c r="IE927" s="150"/>
      <c r="IF927" s="150"/>
      <c r="IG927" s="150"/>
      <c r="IH927" s="150"/>
      <c r="II927" s="150"/>
      <c r="IJ927" s="150"/>
      <c r="IK927" s="150"/>
      <c r="IL927" s="150"/>
      <c r="IM927" s="150"/>
      <c r="IN927" s="150"/>
      <c r="IO927" s="150"/>
      <c r="IP927" s="150"/>
      <c r="IQ927" s="150"/>
      <c r="IR927" s="150"/>
      <c r="IS927" s="150"/>
      <c r="IT927" s="150"/>
      <c r="IU927" s="150"/>
      <c r="IV927" s="150"/>
      <c r="IW927" s="150"/>
      <c r="IX927" s="150"/>
      <c r="IY927" s="150"/>
      <c r="IZ927" s="150"/>
      <c r="JA927" s="150"/>
      <c r="JB927" s="150"/>
      <c r="JC927" s="150"/>
      <c r="JD927" s="150"/>
      <c r="JE927" s="150"/>
      <c r="JF927" s="150"/>
      <c r="JG927" s="150"/>
      <c r="JH927" s="150"/>
      <c r="JI927" s="150"/>
      <c r="JJ927" s="150"/>
      <c r="JK927" s="150"/>
      <c r="JL927" s="150"/>
      <c r="JM927" s="150"/>
      <c r="JN927" s="150"/>
      <c r="JO927" s="150"/>
      <c r="JP927" s="150"/>
      <c r="JQ927" s="150"/>
      <c r="JR927" s="150"/>
      <c r="JS927" s="150"/>
      <c r="JT927" s="150"/>
      <c r="JU927" s="150"/>
      <c r="JV927" s="150"/>
      <c r="JW927" s="150"/>
      <c r="JX927" s="150"/>
      <c r="JY927" s="150"/>
      <c r="JZ927" s="150"/>
      <c r="KA927" s="150"/>
      <c r="KB927" s="150"/>
      <c r="KC927" s="150"/>
      <c r="KD927" s="150"/>
      <c r="KE927" s="150"/>
      <c r="KF927" s="150"/>
      <c r="KG927" s="150"/>
      <c r="KH927" s="150"/>
      <c r="KI927" s="150"/>
      <c r="KJ927" s="150"/>
      <c r="KK927" s="150"/>
      <c r="KL927" s="150"/>
      <c r="KM927" s="150"/>
      <c r="KN927" s="150"/>
      <c r="KO927" s="150"/>
      <c r="KP927" s="150"/>
      <c r="KQ927" s="150"/>
      <c r="KR927" s="150"/>
      <c r="KS927" s="150"/>
      <c r="KT927" s="150"/>
      <c r="KU927" s="150"/>
      <c r="KV927" s="150"/>
      <c r="KW927" s="150"/>
      <c r="KX927" s="150"/>
      <c r="KY927" s="150"/>
      <c r="KZ927" s="150"/>
      <c r="LA927" s="150"/>
      <c r="LB927" s="150"/>
      <c r="LC927" s="150"/>
      <c r="LD927" s="150"/>
      <c r="LE927" s="150"/>
      <c r="LF927" s="150"/>
      <c r="LG927" s="150"/>
      <c r="LH927" s="150"/>
      <c r="LI927" s="150"/>
      <c r="LJ927" s="150"/>
      <c r="LK927" s="150"/>
      <c r="LL927" s="150"/>
      <c r="LM927" s="150"/>
      <c r="LN927" s="150"/>
      <c r="LO927" s="150"/>
      <c r="LP927" s="150"/>
      <c r="LQ927" s="150"/>
      <c r="LR927" s="150"/>
      <c r="LS927" s="150"/>
      <c r="LT927" s="150"/>
      <c r="LU927" s="150"/>
      <c r="LV927" s="150"/>
      <c r="LW927" s="150"/>
      <c r="LX927" s="150"/>
      <c r="LY927" s="150"/>
      <c r="LZ927" s="150"/>
      <c r="MA927" s="150"/>
      <c r="MB927" s="150"/>
      <c r="MC927" s="150"/>
      <c r="MD927" s="150"/>
      <c r="ME927" s="150"/>
      <c r="MF927" s="150"/>
      <c r="MG927" s="150"/>
      <c r="MH927" s="150"/>
      <c r="MI927" s="150"/>
      <c r="MJ927" s="150"/>
      <c r="MK927" s="150"/>
      <c r="ML927" s="150"/>
      <c r="MM927" s="150"/>
      <c r="MN927" s="150"/>
      <c r="MO927" s="150"/>
      <c r="MP927" s="150"/>
      <c r="MQ927" s="150"/>
      <c r="MR927" s="150"/>
      <c r="MS927" s="150"/>
      <c r="MT927" s="150"/>
      <c r="MU927" s="150"/>
      <c r="MV927" s="150"/>
      <c r="MW927" s="150"/>
      <c r="MX927" s="150"/>
      <c r="MY927" s="150"/>
      <c r="MZ927" s="150"/>
      <c r="NA927" s="150"/>
      <c r="NB927" s="150"/>
      <c r="NC927" s="150"/>
      <c r="ND927" s="150"/>
      <c r="NE927" s="150"/>
      <c r="NF927" s="150"/>
      <c r="NG927" s="150"/>
      <c r="NH927" s="150"/>
      <c r="NI927" s="150"/>
      <c r="NJ927" s="150"/>
      <c r="NK927" s="150"/>
      <c r="NL927" s="150"/>
      <c r="NM927" s="150"/>
      <c r="NN927" s="150"/>
      <c r="NO927" s="150"/>
      <c r="NP927" s="150"/>
      <c r="NQ927" s="150"/>
      <c r="NR927" s="150"/>
      <c r="NS927" s="150"/>
      <c r="NT927" s="150"/>
      <c r="NU927" s="150"/>
      <c r="NV927" s="150"/>
      <c r="NW927" s="150"/>
      <c r="NX927" s="150"/>
      <c r="NY927" s="150"/>
      <c r="NZ927" s="150"/>
      <c r="OA927" s="150"/>
      <c r="OB927" s="150"/>
      <c r="OC927" s="150"/>
      <c r="OD927" s="150"/>
      <c r="OE927" s="150"/>
      <c r="OF927" s="150"/>
      <c r="OG927" s="150"/>
      <c r="OH927" s="150"/>
      <c r="OI927" s="150"/>
      <c r="OJ927" s="150"/>
      <c r="OK927" s="150"/>
      <c r="OL927" s="150"/>
      <c r="OM927" s="150"/>
      <c r="ON927" s="150"/>
      <c r="OO927" s="150"/>
      <c r="OP927" s="150"/>
      <c r="OQ927" s="150"/>
      <c r="OR927" s="150"/>
      <c r="OS927" s="150"/>
      <c r="OT927" s="150"/>
      <c r="OU927" s="150"/>
      <c r="OV927" s="150"/>
      <c r="OW927" s="150"/>
      <c r="OX927" s="150"/>
      <c r="OY927" s="150"/>
      <c r="OZ927" s="150"/>
      <c r="PA927" s="150"/>
      <c r="PB927" s="150"/>
      <c r="PC927" s="150"/>
      <c r="PD927" s="150"/>
      <c r="PE927" s="150"/>
      <c r="PF927" s="150"/>
      <c r="PG927" s="150"/>
      <c r="PH927" s="150"/>
      <c r="PI927" s="150"/>
      <c r="PJ927" s="150"/>
      <c r="PK927" s="150"/>
      <c r="PL927" s="150"/>
      <c r="PM927" s="150"/>
      <c r="PN927" s="150"/>
      <c r="PO927" s="150"/>
      <c r="PP927" s="150"/>
      <c r="PQ927" s="150"/>
      <c r="PR927" s="150"/>
      <c r="PS927" s="150"/>
      <c r="PT927" s="150"/>
      <c r="PU927" s="150"/>
      <c r="PV927" s="150"/>
      <c r="PW927" s="150"/>
      <c r="PX927" s="150"/>
      <c r="PY927" s="150"/>
      <c r="PZ927" s="150"/>
      <c r="QA927" s="150"/>
      <c r="QB927" s="150"/>
      <c r="QC927" s="150"/>
      <c r="QD927" s="150"/>
      <c r="QE927" s="150"/>
      <c r="QF927" s="150"/>
      <c r="QG927" s="150"/>
      <c r="QH927" s="150"/>
      <c r="QI927" s="150"/>
      <c r="QJ927" s="150"/>
      <c r="QK927" s="150"/>
      <c r="QL927" s="150"/>
      <c r="QM927" s="150"/>
      <c r="QN927" s="150"/>
      <c r="QO927" s="150"/>
      <c r="QP927" s="150"/>
      <c r="QQ927" s="150"/>
      <c r="QR927" s="150"/>
      <c r="QS927" s="150"/>
      <c r="QT927" s="150"/>
      <c r="QU927" s="150"/>
      <c r="QV927" s="150"/>
      <c r="QW927" s="150"/>
      <c r="QX927" s="150"/>
      <c r="QY927" s="150"/>
      <c r="QZ927" s="150"/>
      <c r="RA927" s="150"/>
      <c r="RB927" s="150"/>
      <c r="RC927" s="150"/>
      <c r="RD927" s="150"/>
      <c r="RE927" s="150"/>
      <c r="RF927" s="150"/>
      <c r="RG927" s="150"/>
      <c r="RH927" s="150"/>
      <c r="RI927" s="150"/>
      <c r="RJ927" s="150"/>
      <c r="RK927" s="150"/>
      <c r="RL927" s="150"/>
      <c r="RM927" s="150"/>
      <c r="RN927" s="150"/>
      <c r="RO927" s="150"/>
      <c r="RP927" s="150"/>
      <c r="RQ927" s="150"/>
      <c r="RR927" s="150"/>
      <c r="RS927" s="150"/>
      <c r="RT927" s="150"/>
      <c r="RU927" s="150"/>
      <c r="RV927" s="150"/>
      <c r="RW927" s="150"/>
      <c r="RX927" s="150"/>
      <c r="RY927" s="150"/>
      <c r="RZ927" s="150"/>
      <c r="SA927" s="150"/>
      <c r="SB927" s="150"/>
      <c r="SC927" s="150"/>
      <c r="SD927" s="150"/>
      <c r="SE927" s="150"/>
      <c r="SF927" s="150"/>
      <c r="SG927" s="150"/>
      <c r="SH927" s="150"/>
      <c r="SI927" s="150"/>
      <c r="SJ927" s="150"/>
      <c r="SK927" s="150"/>
      <c r="SL927" s="150"/>
      <c r="SM927" s="150"/>
      <c r="SN927" s="150"/>
      <c r="SO927" s="150"/>
      <c r="SP927" s="150"/>
      <c r="SQ927" s="150"/>
      <c r="SR927" s="150"/>
      <c r="SS927" s="150"/>
      <c r="ST927" s="150"/>
      <c r="SU927" s="150"/>
      <c r="SV927" s="150"/>
      <c r="SW927" s="150"/>
      <c r="SX927" s="150"/>
      <c r="SY927" s="150"/>
      <c r="SZ927" s="150"/>
      <c r="TA927" s="150"/>
      <c r="TB927" s="150"/>
      <c r="TC927" s="150"/>
      <c r="TD927" s="150"/>
      <c r="TE927" s="150"/>
      <c r="TF927" s="150"/>
      <c r="TG927" s="150"/>
      <c r="TH927" s="150"/>
      <c r="TI927" s="150"/>
      <c r="TJ927" s="150"/>
      <c r="TK927" s="150"/>
      <c r="TL927" s="150"/>
      <c r="TM927" s="150"/>
      <c r="TN927" s="150"/>
      <c r="TO927" s="150"/>
      <c r="TP927" s="150"/>
      <c r="TQ927" s="150"/>
      <c r="TR927" s="150"/>
      <c r="TS927" s="150"/>
      <c r="TT927" s="150"/>
      <c r="TU927" s="150"/>
      <c r="TV927" s="150"/>
      <c r="TW927" s="150"/>
      <c r="TX927" s="150"/>
      <c r="TY927" s="150"/>
      <c r="TZ927" s="150"/>
      <c r="UA927" s="150"/>
      <c r="UB927" s="150"/>
      <c r="UC927" s="150"/>
      <c r="UD927" s="150"/>
      <c r="UE927" s="150"/>
      <c r="UF927" s="150"/>
      <c r="UG927" s="151"/>
    </row>
    <row r="928" spans="1:553" s="142" customFormat="1" ht="39" customHeight="1">
      <c r="A928" s="444"/>
      <c r="B928" s="384">
        <v>178</v>
      </c>
      <c r="C928" s="1370" t="s">
        <v>550</v>
      </c>
      <c r="D928" s="1371"/>
      <c r="E928" s="1371"/>
      <c r="F928" s="1372"/>
      <c r="G928" s="386" t="s">
        <v>113</v>
      </c>
      <c r="H928" s="672"/>
      <c r="I928" s="417">
        <v>65</v>
      </c>
      <c r="J928" s="368">
        <v>114600</v>
      </c>
      <c r="K928" s="686"/>
      <c r="L928" s="487">
        <f t="shared" si="137"/>
        <v>7449000</v>
      </c>
      <c r="M928" s="548"/>
      <c r="N928" s="548"/>
      <c r="O928" s="427"/>
      <c r="P928" s="384"/>
      <c r="Q928" s="1213"/>
      <c r="R928" s="1227"/>
      <c r="S928" s="308"/>
      <c r="T928" s="308"/>
      <c r="U928" s="308"/>
      <c r="V928" s="308"/>
      <c r="W928" s="308"/>
      <c r="X928" s="308"/>
      <c r="Y928" s="308"/>
      <c r="Z928" s="604"/>
      <c r="AA928" s="308"/>
      <c r="AB928" s="308"/>
      <c r="AC928" s="687"/>
      <c r="AD928" s="687"/>
      <c r="AE928" s="687"/>
      <c r="AF928" s="687"/>
      <c r="AG928" s="688"/>
      <c r="AH928" s="688"/>
      <c r="AI928" s="688"/>
      <c r="AJ928" s="688"/>
      <c r="AK928" s="688"/>
      <c r="AL928" s="207"/>
      <c r="AM928" s="140"/>
      <c r="AN928" s="140"/>
      <c r="AO928" s="140"/>
      <c r="AP928" s="140"/>
      <c r="AQ928" s="140"/>
      <c r="AR928" s="140"/>
      <c r="AS928" s="140"/>
      <c r="AT928" s="140"/>
      <c r="AU928" s="140"/>
      <c r="AV928" s="140"/>
      <c r="AW928" s="140"/>
      <c r="AX928" s="140"/>
      <c r="AY928" s="140"/>
      <c r="AZ928" s="140"/>
      <c r="BA928" s="140"/>
      <c r="BB928" s="140"/>
      <c r="BC928" s="140"/>
      <c r="BD928" s="140"/>
      <c r="BE928" s="140"/>
      <c r="BF928" s="140"/>
      <c r="BG928" s="140"/>
      <c r="BH928" s="140"/>
      <c r="BI928" s="140"/>
      <c r="BJ928" s="140"/>
      <c r="BK928" s="140"/>
      <c r="BL928" s="140"/>
      <c r="BM928" s="140"/>
      <c r="BN928" s="140"/>
      <c r="BO928" s="140"/>
      <c r="BP928" s="140"/>
      <c r="BQ928" s="140"/>
      <c r="BR928" s="140"/>
      <c r="BS928" s="140"/>
      <c r="BT928" s="140"/>
      <c r="BU928" s="140"/>
      <c r="BV928" s="140"/>
      <c r="BW928" s="140"/>
      <c r="BX928" s="140"/>
      <c r="BY928" s="140"/>
      <c r="BZ928" s="140"/>
      <c r="CA928" s="140"/>
      <c r="CB928" s="140"/>
      <c r="CC928" s="140"/>
      <c r="CD928" s="140"/>
      <c r="CE928" s="140"/>
      <c r="CF928" s="140"/>
      <c r="CG928" s="140"/>
      <c r="CH928" s="140"/>
      <c r="CI928" s="140"/>
      <c r="CJ928" s="140"/>
      <c r="CK928" s="140"/>
      <c r="CL928" s="140"/>
      <c r="CM928" s="140"/>
      <c r="CN928" s="140"/>
      <c r="CO928" s="140"/>
      <c r="CP928" s="140"/>
      <c r="CQ928" s="140"/>
      <c r="CR928" s="140"/>
      <c r="CS928" s="140"/>
      <c r="CT928" s="140"/>
      <c r="CU928" s="140"/>
      <c r="CV928" s="140"/>
      <c r="CW928" s="140"/>
      <c r="CX928" s="140"/>
      <c r="CY928" s="140"/>
      <c r="CZ928" s="140"/>
      <c r="DA928" s="140"/>
      <c r="DB928" s="140"/>
      <c r="DC928" s="140"/>
      <c r="DD928" s="140"/>
      <c r="DE928" s="140"/>
      <c r="DF928" s="140"/>
      <c r="DG928" s="140"/>
      <c r="DH928" s="140"/>
      <c r="DI928" s="140"/>
      <c r="DJ928" s="140"/>
      <c r="DK928" s="140"/>
      <c r="DL928" s="140"/>
      <c r="DM928" s="140"/>
      <c r="DN928" s="140"/>
      <c r="DO928" s="140"/>
      <c r="DP928" s="140"/>
      <c r="DQ928" s="140"/>
      <c r="DR928" s="140"/>
      <c r="DS928" s="140"/>
      <c r="DT928" s="140"/>
      <c r="DU928" s="140"/>
      <c r="DV928" s="140"/>
      <c r="DW928" s="140"/>
      <c r="DX928" s="140"/>
      <c r="DY928" s="140"/>
      <c r="DZ928" s="140"/>
      <c r="EA928" s="140"/>
      <c r="EB928" s="140"/>
      <c r="EC928" s="140"/>
      <c r="ED928" s="140"/>
      <c r="EE928" s="140"/>
      <c r="EF928" s="140"/>
      <c r="EG928" s="140"/>
      <c r="EH928" s="140"/>
      <c r="EI928" s="140"/>
      <c r="EJ928" s="140"/>
      <c r="EK928" s="140"/>
      <c r="EL928" s="140"/>
      <c r="EM928" s="140"/>
      <c r="EN928" s="140"/>
      <c r="EO928" s="140"/>
      <c r="EP928" s="140"/>
      <c r="EQ928" s="140"/>
      <c r="ER928" s="140"/>
      <c r="ES928" s="140"/>
      <c r="ET928" s="140"/>
      <c r="EU928" s="140"/>
      <c r="EV928" s="140"/>
      <c r="EW928" s="140"/>
      <c r="EX928" s="140"/>
      <c r="EY928" s="140"/>
      <c r="EZ928" s="140"/>
      <c r="FA928" s="140"/>
      <c r="FB928" s="140"/>
      <c r="FC928" s="140"/>
      <c r="FD928" s="140"/>
      <c r="FE928" s="140"/>
      <c r="FF928" s="140"/>
      <c r="FG928" s="140"/>
      <c r="FH928" s="140"/>
      <c r="FI928" s="140"/>
      <c r="FJ928" s="140"/>
      <c r="FK928" s="140"/>
      <c r="FL928" s="140"/>
      <c r="FM928" s="140"/>
      <c r="FN928" s="140"/>
      <c r="FO928" s="140"/>
      <c r="FP928" s="140"/>
      <c r="FQ928" s="140"/>
      <c r="FR928" s="140"/>
      <c r="FS928" s="140"/>
      <c r="FT928" s="140"/>
      <c r="FU928" s="140"/>
      <c r="FV928" s="140"/>
      <c r="FW928" s="140"/>
      <c r="FX928" s="140"/>
      <c r="FY928" s="140"/>
      <c r="FZ928" s="140"/>
      <c r="GA928" s="140"/>
      <c r="GB928" s="140"/>
      <c r="GC928" s="140"/>
      <c r="GD928" s="140"/>
      <c r="GE928" s="140"/>
      <c r="GF928" s="140"/>
      <c r="GG928" s="140"/>
      <c r="GH928" s="140"/>
      <c r="GI928" s="140"/>
      <c r="GJ928" s="140"/>
      <c r="GK928" s="140"/>
      <c r="GL928" s="140"/>
      <c r="GM928" s="140"/>
      <c r="GN928" s="140"/>
      <c r="GO928" s="140"/>
      <c r="GP928" s="140"/>
      <c r="GQ928" s="140"/>
      <c r="GR928" s="140"/>
      <c r="GS928" s="140"/>
      <c r="GT928" s="140"/>
      <c r="GU928" s="140"/>
      <c r="GV928" s="140"/>
      <c r="GW928" s="140"/>
      <c r="GX928" s="140"/>
      <c r="GY928" s="140"/>
      <c r="GZ928" s="140"/>
      <c r="HA928" s="140"/>
      <c r="HB928" s="140"/>
      <c r="HC928" s="140"/>
      <c r="HD928" s="140"/>
      <c r="HE928" s="140"/>
      <c r="HF928" s="140"/>
      <c r="HG928" s="140"/>
      <c r="HH928" s="140"/>
      <c r="HI928" s="140"/>
      <c r="HJ928" s="140"/>
      <c r="HK928" s="140"/>
      <c r="HL928" s="140"/>
      <c r="HM928" s="140"/>
      <c r="HN928" s="140"/>
      <c r="HO928" s="140"/>
      <c r="HP928" s="140"/>
      <c r="HQ928" s="140"/>
      <c r="HR928" s="140"/>
      <c r="HS928" s="140"/>
      <c r="HT928" s="140"/>
      <c r="HU928" s="140"/>
      <c r="HV928" s="140"/>
      <c r="HW928" s="140"/>
      <c r="HX928" s="140"/>
      <c r="HY928" s="140"/>
      <c r="HZ928" s="140"/>
      <c r="IA928" s="140"/>
      <c r="IB928" s="140"/>
      <c r="IC928" s="140"/>
      <c r="ID928" s="140"/>
      <c r="IE928" s="140"/>
      <c r="IF928" s="140"/>
      <c r="IG928" s="140"/>
      <c r="IH928" s="140"/>
      <c r="II928" s="140"/>
      <c r="IJ928" s="140"/>
      <c r="IK928" s="140"/>
      <c r="IL928" s="140"/>
      <c r="IM928" s="140"/>
      <c r="IN928" s="140"/>
      <c r="IO928" s="140"/>
      <c r="IP928" s="140"/>
      <c r="IQ928" s="140"/>
      <c r="IR928" s="140"/>
      <c r="IS928" s="140"/>
      <c r="IT928" s="140"/>
      <c r="IU928" s="140"/>
      <c r="IV928" s="140"/>
      <c r="IW928" s="140"/>
      <c r="IX928" s="140"/>
      <c r="IY928" s="140"/>
      <c r="IZ928" s="140"/>
      <c r="JA928" s="140"/>
      <c r="JB928" s="140"/>
      <c r="JC928" s="140"/>
      <c r="JD928" s="140"/>
      <c r="JE928" s="140"/>
      <c r="JF928" s="140"/>
      <c r="JG928" s="140"/>
      <c r="JH928" s="140"/>
      <c r="JI928" s="140"/>
      <c r="JJ928" s="140"/>
      <c r="JK928" s="140"/>
      <c r="JL928" s="140"/>
      <c r="JM928" s="140"/>
      <c r="JN928" s="140"/>
      <c r="JO928" s="140"/>
      <c r="JP928" s="140"/>
      <c r="JQ928" s="140"/>
      <c r="JR928" s="140"/>
      <c r="JS928" s="140"/>
      <c r="JT928" s="140"/>
      <c r="JU928" s="140"/>
      <c r="JV928" s="140"/>
      <c r="JW928" s="140"/>
      <c r="JX928" s="140"/>
      <c r="JY928" s="140"/>
      <c r="JZ928" s="140"/>
      <c r="KA928" s="140"/>
      <c r="KB928" s="140"/>
      <c r="KC928" s="140"/>
      <c r="KD928" s="140"/>
      <c r="KE928" s="140"/>
      <c r="KF928" s="140"/>
      <c r="KG928" s="140"/>
      <c r="KH928" s="140"/>
      <c r="KI928" s="140"/>
      <c r="KJ928" s="140"/>
      <c r="KK928" s="140"/>
      <c r="KL928" s="140"/>
      <c r="KM928" s="140"/>
      <c r="KN928" s="140"/>
      <c r="KO928" s="140"/>
      <c r="KP928" s="140"/>
      <c r="KQ928" s="140"/>
      <c r="KR928" s="140"/>
      <c r="KS928" s="140"/>
      <c r="KT928" s="140"/>
      <c r="KU928" s="140"/>
      <c r="KV928" s="140"/>
      <c r="KW928" s="140"/>
      <c r="KX928" s="140"/>
      <c r="KY928" s="140"/>
      <c r="KZ928" s="140"/>
      <c r="LA928" s="140"/>
      <c r="LB928" s="140"/>
      <c r="LC928" s="140"/>
      <c r="LD928" s="140"/>
      <c r="LE928" s="140"/>
      <c r="LF928" s="140"/>
      <c r="LG928" s="140"/>
      <c r="LH928" s="140"/>
      <c r="LI928" s="140"/>
      <c r="LJ928" s="140"/>
      <c r="LK928" s="140"/>
      <c r="LL928" s="140"/>
      <c r="LM928" s="140"/>
      <c r="LN928" s="140"/>
      <c r="LO928" s="140"/>
      <c r="LP928" s="140"/>
      <c r="LQ928" s="140"/>
      <c r="LR928" s="140"/>
      <c r="LS928" s="140"/>
      <c r="LT928" s="140"/>
      <c r="LU928" s="140"/>
      <c r="LV928" s="140"/>
      <c r="LW928" s="140"/>
      <c r="LX928" s="140"/>
      <c r="LY928" s="140"/>
      <c r="LZ928" s="140"/>
      <c r="MA928" s="140"/>
      <c r="MB928" s="140"/>
      <c r="MC928" s="140"/>
      <c r="MD928" s="140"/>
      <c r="ME928" s="140"/>
      <c r="MF928" s="140"/>
      <c r="MG928" s="140"/>
      <c r="MH928" s="140"/>
      <c r="MI928" s="140"/>
      <c r="MJ928" s="140"/>
      <c r="MK928" s="140"/>
      <c r="ML928" s="140"/>
      <c r="MM928" s="140"/>
      <c r="MN928" s="140"/>
      <c r="MO928" s="140"/>
      <c r="MP928" s="140"/>
      <c r="MQ928" s="140"/>
      <c r="MR928" s="140"/>
      <c r="MS928" s="140"/>
      <c r="MT928" s="140"/>
      <c r="MU928" s="140"/>
      <c r="MV928" s="140"/>
      <c r="MW928" s="140"/>
      <c r="MX928" s="140"/>
      <c r="MY928" s="140"/>
      <c r="MZ928" s="140"/>
      <c r="NA928" s="140"/>
      <c r="NB928" s="140"/>
      <c r="NC928" s="140"/>
      <c r="ND928" s="140"/>
      <c r="NE928" s="140"/>
      <c r="NF928" s="140"/>
      <c r="NG928" s="140"/>
      <c r="NH928" s="140"/>
      <c r="NI928" s="140"/>
      <c r="NJ928" s="140"/>
      <c r="NK928" s="140"/>
      <c r="NL928" s="140"/>
      <c r="NM928" s="140"/>
      <c r="NN928" s="140"/>
      <c r="NO928" s="140"/>
      <c r="NP928" s="140"/>
      <c r="NQ928" s="140"/>
      <c r="NR928" s="140"/>
      <c r="NS928" s="140"/>
      <c r="NT928" s="140"/>
      <c r="NU928" s="140"/>
      <c r="NV928" s="140"/>
      <c r="NW928" s="140"/>
      <c r="NX928" s="140"/>
      <c r="NY928" s="140"/>
      <c r="NZ928" s="140"/>
      <c r="OA928" s="140"/>
      <c r="OB928" s="140"/>
      <c r="OC928" s="140"/>
      <c r="OD928" s="140"/>
      <c r="OE928" s="140"/>
      <c r="OF928" s="140"/>
      <c r="OG928" s="140"/>
      <c r="OH928" s="140"/>
      <c r="OI928" s="140"/>
      <c r="OJ928" s="140"/>
      <c r="OK928" s="140"/>
      <c r="OL928" s="140"/>
      <c r="OM928" s="140"/>
      <c r="ON928" s="140"/>
      <c r="OO928" s="140"/>
      <c r="OP928" s="140"/>
      <c r="OQ928" s="140"/>
      <c r="OR928" s="140"/>
      <c r="OS928" s="140"/>
      <c r="OT928" s="140"/>
      <c r="OU928" s="140"/>
      <c r="OV928" s="140"/>
      <c r="OW928" s="140"/>
      <c r="OX928" s="140"/>
      <c r="OY928" s="140"/>
      <c r="OZ928" s="140"/>
      <c r="PA928" s="140"/>
      <c r="PB928" s="140"/>
      <c r="PC928" s="140"/>
      <c r="PD928" s="140"/>
      <c r="PE928" s="140"/>
      <c r="PF928" s="140"/>
      <c r="PG928" s="140"/>
      <c r="PH928" s="140"/>
      <c r="PI928" s="140"/>
      <c r="PJ928" s="140"/>
      <c r="PK928" s="140"/>
      <c r="PL928" s="140"/>
      <c r="PM928" s="140"/>
      <c r="PN928" s="140"/>
      <c r="PO928" s="140"/>
      <c r="PP928" s="140"/>
      <c r="PQ928" s="140"/>
      <c r="PR928" s="140"/>
      <c r="PS928" s="140"/>
      <c r="PT928" s="140"/>
      <c r="PU928" s="140"/>
      <c r="PV928" s="140"/>
      <c r="PW928" s="140"/>
      <c r="PX928" s="140"/>
      <c r="PY928" s="140"/>
      <c r="PZ928" s="140"/>
      <c r="QA928" s="140"/>
      <c r="QB928" s="140"/>
      <c r="QC928" s="140"/>
      <c r="QD928" s="140"/>
      <c r="QE928" s="140"/>
      <c r="QF928" s="140"/>
      <c r="QG928" s="140"/>
      <c r="QH928" s="140"/>
      <c r="QI928" s="140"/>
      <c r="QJ928" s="140"/>
      <c r="QK928" s="140"/>
      <c r="QL928" s="140"/>
      <c r="QM928" s="140"/>
      <c r="QN928" s="140"/>
      <c r="QO928" s="140"/>
      <c r="QP928" s="140"/>
      <c r="QQ928" s="140"/>
      <c r="QR928" s="140"/>
      <c r="QS928" s="140"/>
      <c r="QT928" s="140"/>
      <c r="QU928" s="140"/>
      <c r="QV928" s="140"/>
      <c r="QW928" s="140"/>
      <c r="QX928" s="140"/>
      <c r="QY928" s="140"/>
      <c r="QZ928" s="140"/>
      <c r="RA928" s="140"/>
      <c r="RB928" s="140"/>
      <c r="RC928" s="140"/>
      <c r="RD928" s="140"/>
      <c r="RE928" s="140"/>
      <c r="RF928" s="140"/>
      <c r="RG928" s="140"/>
      <c r="RH928" s="140"/>
      <c r="RI928" s="140"/>
      <c r="RJ928" s="140"/>
      <c r="RK928" s="140"/>
      <c r="RL928" s="140"/>
      <c r="RM928" s="140"/>
      <c r="RN928" s="140"/>
      <c r="RO928" s="140"/>
      <c r="RP928" s="140"/>
      <c r="RQ928" s="140"/>
      <c r="RR928" s="140"/>
      <c r="RS928" s="140"/>
      <c r="RT928" s="140"/>
      <c r="RU928" s="140"/>
      <c r="RV928" s="140"/>
      <c r="RW928" s="140"/>
      <c r="RX928" s="140"/>
      <c r="RY928" s="140"/>
      <c r="RZ928" s="140"/>
      <c r="SA928" s="140"/>
      <c r="SB928" s="140"/>
      <c r="SC928" s="140"/>
      <c r="SD928" s="140"/>
      <c r="SE928" s="140"/>
      <c r="SF928" s="140"/>
      <c r="SG928" s="140"/>
      <c r="SH928" s="140"/>
      <c r="SI928" s="140"/>
      <c r="SJ928" s="140"/>
      <c r="SK928" s="140"/>
      <c r="SL928" s="140"/>
      <c r="SM928" s="140"/>
      <c r="SN928" s="140"/>
      <c r="SO928" s="140"/>
      <c r="SP928" s="140"/>
      <c r="SQ928" s="140"/>
      <c r="SR928" s="140"/>
      <c r="SS928" s="140"/>
      <c r="ST928" s="140"/>
      <c r="SU928" s="140"/>
      <c r="SV928" s="140"/>
      <c r="SW928" s="140"/>
      <c r="SX928" s="140"/>
      <c r="SY928" s="140"/>
      <c r="SZ928" s="140"/>
      <c r="TA928" s="140"/>
      <c r="TB928" s="140"/>
      <c r="TC928" s="140"/>
      <c r="TD928" s="140"/>
      <c r="TE928" s="140"/>
      <c r="TF928" s="140"/>
      <c r="TG928" s="140"/>
      <c r="TH928" s="140"/>
      <c r="TI928" s="140"/>
      <c r="TJ928" s="140"/>
      <c r="TK928" s="140"/>
      <c r="TL928" s="140"/>
      <c r="TM928" s="140"/>
      <c r="TN928" s="140"/>
      <c r="TO928" s="140"/>
      <c r="TP928" s="140"/>
      <c r="TQ928" s="140"/>
      <c r="TR928" s="140"/>
      <c r="TS928" s="140"/>
      <c r="TT928" s="140"/>
      <c r="TU928" s="140"/>
      <c r="TV928" s="140"/>
      <c r="TW928" s="140"/>
      <c r="TX928" s="140"/>
      <c r="TY928" s="140"/>
      <c r="TZ928" s="140"/>
      <c r="UA928" s="140"/>
      <c r="UB928" s="140"/>
      <c r="UC928" s="140"/>
      <c r="UD928" s="140"/>
      <c r="UE928" s="140"/>
      <c r="UF928" s="140"/>
      <c r="UG928" s="141"/>
    </row>
    <row r="929" spans="1:553" s="142" customFormat="1" ht="27.65" customHeight="1">
      <c r="A929" s="444"/>
      <c r="B929" s="532"/>
      <c r="C929" s="1220" t="s">
        <v>551</v>
      </c>
      <c r="D929" s="702"/>
      <c r="E929" s="703"/>
      <c r="F929" s="704"/>
      <c r="G929" s="429"/>
      <c r="H929" s="705"/>
      <c r="I929" s="424"/>
      <c r="J929" s="357"/>
      <c r="K929" s="706"/>
      <c r="L929" s="645"/>
      <c r="M929" s="548"/>
      <c r="N929" s="548"/>
      <c r="O929" s="444"/>
      <c r="P929" s="532"/>
      <c r="Q929" s="1242"/>
      <c r="R929" s="730"/>
      <c r="S929" s="308"/>
      <c r="T929" s="308"/>
      <c r="U929" s="308"/>
      <c r="V929" s="308"/>
      <c r="W929" s="308"/>
      <c r="X929" s="308"/>
      <c r="Y929" s="308"/>
      <c r="Z929" s="604"/>
      <c r="AA929" s="308"/>
      <c r="AB929" s="308"/>
      <c r="AC929" s="707"/>
      <c r="AD929" s="707"/>
      <c r="AE929" s="707"/>
      <c r="AF929" s="707"/>
      <c r="AG929" s="708"/>
      <c r="AH929" s="708"/>
      <c r="AI929" s="708"/>
      <c r="AJ929" s="708"/>
      <c r="AK929" s="708"/>
      <c r="AL929" s="195"/>
      <c r="AM929" s="143"/>
      <c r="AN929" s="143"/>
      <c r="AO929" s="143"/>
      <c r="AP929" s="143"/>
      <c r="AQ929" s="143"/>
      <c r="AR929" s="143"/>
      <c r="AS929" s="143"/>
      <c r="AT929" s="143"/>
      <c r="AU929" s="143"/>
      <c r="AV929" s="143"/>
      <c r="AW929" s="143"/>
      <c r="AX929" s="143"/>
      <c r="AY929" s="143"/>
      <c r="AZ929" s="143"/>
      <c r="BA929" s="143"/>
      <c r="BB929" s="143"/>
      <c r="BC929" s="143"/>
      <c r="BD929" s="143"/>
      <c r="BE929" s="143"/>
      <c r="BF929" s="143"/>
      <c r="BG929" s="143"/>
      <c r="BH929" s="143"/>
      <c r="BI929" s="143"/>
      <c r="BJ929" s="143"/>
      <c r="BK929" s="143"/>
      <c r="BL929" s="143"/>
      <c r="BM929" s="143"/>
      <c r="BN929" s="143"/>
      <c r="BO929" s="143"/>
      <c r="BP929" s="143"/>
      <c r="BQ929" s="143"/>
      <c r="BR929" s="143"/>
      <c r="BS929" s="143"/>
      <c r="BT929" s="143"/>
      <c r="BU929" s="143"/>
      <c r="BV929" s="143"/>
      <c r="BW929" s="143"/>
      <c r="BX929" s="143"/>
      <c r="BY929" s="143"/>
      <c r="BZ929" s="143"/>
      <c r="CA929" s="143"/>
      <c r="CB929" s="143"/>
      <c r="CC929" s="143"/>
      <c r="CD929" s="143"/>
      <c r="CE929" s="143"/>
      <c r="CF929" s="143"/>
      <c r="CG929" s="143"/>
      <c r="CH929" s="143"/>
      <c r="CI929" s="143"/>
      <c r="CJ929" s="143"/>
      <c r="CK929" s="143"/>
      <c r="CL929" s="143"/>
      <c r="CM929" s="143"/>
      <c r="CN929" s="143"/>
      <c r="CO929" s="143"/>
      <c r="CP929" s="143"/>
      <c r="CQ929" s="143"/>
      <c r="CR929" s="143"/>
      <c r="CS929" s="143"/>
      <c r="CT929" s="143"/>
      <c r="CU929" s="143"/>
      <c r="CV929" s="143"/>
      <c r="CW929" s="143"/>
      <c r="CX929" s="143"/>
      <c r="CY929" s="143"/>
      <c r="CZ929" s="143"/>
      <c r="DA929" s="143"/>
      <c r="DB929" s="143"/>
      <c r="DC929" s="143"/>
      <c r="DD929" s="143"/>
      <c r="DE929" s="143"/>
      <c r="DF929" s="143"/>
      <c r="DG929" s="143"/>
      <c r="DH929" s="143"/>
      <c r="DI929" s="143"/>
      <c r="DJ929" s="143"/>
      <c r="DK929" s="143"/>
      <c r="DL929" s="143"/>
      <c r="DM929" s="143"/>
      <c r="DN929" s="143"/>
      <c r="DO929" s="143"/>
      <c r="DP929" s="143"/>
      <c r="DQ929" s="143"/>
      <c r="DR929" s="143"/>
      <c r="DS929" s="143"/>
      <c r="DT929" s="143"/>
      <c r="DU929" s="143"/>
      <c r="DV929" s="143"/>
      <c r="DW929" s="143"/>
      <c r="DX929" s="143"/>
      <c r="DY929" s="143"/>
      <c r="DZ929" s="143"/>
      <c r="EA929" s="143"/>
      <c r="EB929" s="143"/>
      <c r="EC929" s="143"/>
      <c r="ED929" s="143"/>
      <c r="EE929" s="143"/>
      <c r="EF929" s="143"/>
      <c r="EG929" s="143"/>
      <c r="EH929" s="143"/>
      <c r="EI929" s="143"/>
      <c r="EJ929" s="143"/>
      <c r="EK929" s="143"/>
      <c r="EL929" s="143"/>
      <c r="EM929" s="143"/>
      <c r="EN929" s="143"/>
      <c r="EO929" s="143"/>
      <c r="EP929" s="143"/>
      <c r="EQ929" s="143"/>
      <c r="ER929" s="143"/>
      <c r="ES929" s="143"/>
      <c r="ET929" s="143"/>
      <c r="EU929" s="143"/>
      <c r="EV929" s="143"/>
      <c r="EW929" s="143"/>
      <c r="EX929" s="143"/>
      <c r="EY929" s="143"/>
      <c r="EZ929" s="143"/>
      <c r="FA929" s="143"/>
      <c r="FB929" s="143"/>
      <c r="FC929" s="143"/>
      <c r="FD929" s="143"/>
      <c r="FE929" s="143"/>
      <c r="FF929" s="143"/>
      <c r="FG929" s="143"/>
      <c r="FH929" s="143"/>
      <c r="FI929" s="143"/>
      <c r="FJ929" s="143"/>
      <c r="FK929" s="143"/>
      <c r="FL929" s="143"/>
      <c r="FM929" s="143"/>
      <c r="FN929" s="143"/>
      <c r="FO929" s="143"/>
      <c r="FP929" s="143"/>
      <c r="FQ929" s="143"/>
      <c r="FR929" s="143"/>
      <c r="FS929" s="143"/>
      <c r="FT929" s="143"/>
      <c r="FU929" s="143"/>
      <c r="FV929" s="143"/>
      <c r="FW929" s="143"/>
      <c r="FX929" s="143"/>
      <c r="FY929" s="143"/>
      <c r="FZ929" s="143"/>
      <c r="GA929" s="143"/>
      <c r="GB929" s="143"/>
      <c r="GC929" s="143"/>
      <c r="GD929" s="143"/>
      <c r="GE929" s="143"/>
      <c r="GF929" s="143"/>
      <c r="GG929" s="143"/>
      <c r="GH929" s="143"/>
      <c r="GI929" s="143"/>
      <c r="GJ929" s="143"/>
      <c r="GK929" s="143"/>
      <c r="GL929" s="143"/>
      <c r="GM929" s="143"/>
      <c r="GN929" s="143"/>
      <c r="GO929" s="143"/>
      <c r="GP929" s="143"/>
      <c r="GQ929" s="143"/>
      <c r="GR929" s="143"/>
      <c r="GS929" s="143"/>
      <c r="GT929" s="143"/>
      <c r="GU929" s="143"/>
      <c r="GV929" s="143"/>
      <c r="GW929" s="143"/>
      <c r="GX929" s="143"/>
      <c r="GY929" s="143"/>
      <c r="GZ929" s="143"/>
      <c r="HA929" s="143"/>
      <c r="HB929" s="143"/>
      <c r="HC929" s="143"/>
      <c r="HD929" s="143"/>
      <c r="HE929" s="143"/>
      <c r="HF929" s="143"/>
      <c r="HG929" s="143"/>
      <c r="HH929" s="143"/>
      <c r="HI929" s="143"/>
      <c r="HJ929" s="143"/>
      <c r="HK929" s="143"/>
      <c r="HL929" s="143"/>
      <c r="HM929" s="143"/>
      <c r="HN929" s="143"/>
      <c r="HO929" s="143"/>
      <c r="HP929" s="143"/>
      <c r="HQ929" s="143"/>
      <c r="HR929" s="143"/>
      <c r="HS929" s="143"/>
      <c r="HT929" s="143"/>
      <c r="HU929" s="143"/>
      <c r="HV929" s="143"/>
      <c r="HW929" s="143"/>
      <c r="HX929" s="143"/>
      <c r="HY929" s="143"/>
      <c r="HZ929" s="143"/>
      <c r="IA929" s="143"/>
      <c r="IB929" s="143"/>
      <c r="IC929" s="143"/>
      <c r="ID929" s="143"/>
      <c r="IE929" s="143"/>
      <c r="IF929" s="143"/>
      <c r="IG929" s="143"/>
      <c r="IH929" s="143"/>
      <c r="II929" s="143"/>
      <c r="IJ929" s="143"/>
      <c r="IK929" s="143"/>
      <c r="IL929" s="143"/>
      <c r="IM929" s="143"/>
      <c r="IN929" s="143"/>
      <c r="IO929" s="143"/>
      <c r="IP929" s="143"/>
      <c r="IQ929" s="143"/>
      <c r="IR929" s="143"/>
      <c r="IS929" s="143"/>
      <c r="IT929" s="143"/>
      <c r="IU929" s="143"/>
      <c r="IV929" s="143"/>
      <c r="IW929" s="143"/>
      <c r="IX929" s="143"/>
      <c r="IY929" s="143"/>
      <c r="IZ929" s="143"/>
      <c r="JA929" s="143"/>
      <c r="JB929" s="143"/>
      <c r="JC929" s="143"/>
      <c r="JD929" s="143"/>
      <c r="JE929" s="143"/>
      <c r="JF929" s="143"/>
      <c r="JG929" s="143"/>
      <c r="JH929" s="143"/>
      <c r="JI929" s="143"/>
      <c r="JJ929" s="143"/>
      <c r="JK929" s="143"/>
      <c r="JL929" s="143"/>
      <c r="JM929" s="143"/>
      <c r="JN929" s="143"/>
      <c r="JO929" s="143"/>
      <c r="JP929" s="143"/>
      <c r="JQ929" s="143"/>
      <c r="JR929" s="143"/>
      <c r="JS929" s="143"/>
      <c r="JT929" s="143"/>
      <c r="JU929" s="143"/>
      <c r="JV929" s="143"/>
      <c r="JW929" s="143"/>
      <c r="JX929" s="143"/>
      <c r="JY929" s="143"/>
      <c r="JZ929" s="143"/>
      <c r="KA929" s="143"/>
      <c r="KB929" s="143"/>
      <c r="KC929" s="143"/>
      <c r="KD929" s="143"/>
      <c r="KE929" s="143"/>
      <c r="KF929" s="143"/>
      <c r="KG929" s="143"/>
      <c r="KH929" s="143"/>
      <c r="KI929" s="143"/>
      <c r="KJ929" s="143"/>
      <c r="KK929" s="143"/>
      <c r="KL929" s="143"/>
      <c r="KM929" s="143"/>
      <c r="KN929" s="143"/>
      <c r="KO929" s="143"/>
      <c r="KP929" s="143"/>
      <c r="KQ929" s="143"/>
      <c r="KR929" s="143"/>
      <c r="KS929" s="143"/>
      <c r="KT929" s="143"/>
      <c r="KU929" s="143"/>
      <c r="KV929" s="143"/>
      <c r="KW929" s="143"/>
      <c r="KX929" s="143"/>
      <c r="KY929" s="143"/>
      <c r="KZ929" s="143"/>
      <c r="LA929" s="143"/>
      <c r="LB929" s="143"/>
      <c r="LC929" s="143"/>
      <c r="LD929" s="143"/>
      <c r="LE929" s="143"/>
      <c r="LF929" s="143"/>
      <c r="LG929" s="143"/>
      <c r="LH929" s="143"/>
      <c r="LI929" s="143"/>
      <c r="LJ929" s="143"/>
      <c r="LK929" s="143"/>
      <c r="LL929" s="143"/>
      <c r="LM929" s="143"/>
      <c r="LN929" s="143"/>
      <c r="LO929" s="143"/>
      <c r="LP929" s="143"/>
      <c r="LQ929" s="143"/>
      <c r="LR929" s="143"/>
      <c r="LS929" s="143"/>
      <c r="LT929" s="143"/>
      <c r="LU929" s="143"/>
      <c r="LV929" s="143"/>
      <c r="LW929" s="143"/>
      <c r="LX929" s="143"/>
      <c r="LY929" s="143"/>
      <c r="LZ929" s="143"/>
      <c r="MA929" s="143"/>
      <c r="MB929" s="143"/>
      <c r="MC929" s="143"/>
      <c r="MD929" s="143"/>
      <c r="ME929" s="143"/>
      <c r="MF929" s="143"/>
      <c r="MG929" s="143"/>
      <c r="MH929" s="143"/>
      <c r="MI929" s="143"/>
      <c r="MJ929" s="143"/>
      <c r="MK929" s="143"/>
      <c r="ML929" s="143"/>
      <c r="MM929" s="143"/>
      <c r="MN929" s="143"/>
      <c r="MO929" s="143"/>
      <c r="MP929" s="143"/>
      <c r="MQ929" s="143"/>
      <c r="MR929" s="143"/>
      <c r="MS929" s="143"/>
      <c r="MT929" s="143"/>
      <c r="MU929" s="143"/>
      <c r="MV929" s="143"/>
      <c r="MW929" s="143"/>
      <c r="MX929" s="143"/>
      <c r="MY929" s="143"/>
      <c r="MZ929" s="143"/>
      <c r="NA929" s="143"/>
      <c r="NB929" s="143"/>
      <c r="NC929" s="143"/>
      <c r="ND929" s="143"/>
      <c r="NE929" s="143"/>
      <c r="NF929" s="143"/>
      <c r="NG929" s="143"/>
      <c r="NH929" s="143"/>
      <c r="NI929" s="143"/>
      <c r="NJ929" s="143"/>
      <c r="NK929" s="143"/>
      <c r="NL929" s="143"/>
      <c r="NM929" s="143"/>
      <c r="NN929" s="143"/>
      <c r="NO929" s="143"/>
      <c r="NP929" s="143"/>
      <c r="NQ929" s="143"/>
      <c r="NR929" s="143"/>
      <c r="NS929" s="143"/>
      <c r="NT929" s="143"/>
      <c r="NU929" s="143"/>
      <c r="NV929" s="143"/>
      <c r="NW929" s="143"/>
      <c r="NX929" s="143"/>
      <c r="NY929" s="143"/>
      <c r="NZ929" s="143"/>
      <c r="OA929" s="143"/>
      <c r="OB929" s="143"/>
      <c r="OC929" s="143"/>
      <c r="OD929" s="143"/>
      <c r="OE929" s="143"/>
      <c r="OF929" s="143"/>
      <c r="OG929" s="143"/>
      <c r="OH929" s="143"/>
      <c r="OI929" s="143"/>
      <c r="OJ929" s="143"/>
      <c r="OK929" s="143"/>
      <c r="OL929" s="143"/>
      <c r="OM929" s="143"/>
      <c r="ON929" s="143"/>
      <c r="OO929" s="143"/>
      <c r="OP929" s="143"/>
      <c r="OQ929" s="143"/>
      <c r="OR929" s="143"/>
      <c r="OS929" s="143"/>
      <c r="OT929" s="143"/>
      <c r="OU929" s="143"/>
      <c r="OV929" s="143"/>
      <c r="OW929" s="143"/>
      <c r="OX929" s="143"/>
      <c r="OY929" s="143"/>
      <c r="OZ929" s="143"/>
      <c r="PA929" s="143"/>
      <c r="PB929" s="143"/>
      <c r="PC929" s="143"/>
      <c r="PD929" s="143"/>
      <c r="PE929" s="143"/>
      <c r="PF929" s="143"/>
      <c r="PG929" s="143"/>
      <c r="PH929" s="143"/>
      <c r="PI929" s="143"/>
      <c r="PJ929" s="143"/>
      <c r="PK929" s="143"/>
      <c r="PL929" s="143"/>
      <c r="PM929" s="143"/>
      <c r="PN929" s="143"/>
      <c r="PO929" s="143"/>
      <c r="PP929" s="143"/>
      <c r="PQ929" s="143"/>
      <c r="PR929" s="143"/>
      <c r="PS929" s="143"/>
      <c r="PT929" s="143"/>
      <c r="PU929" s="143"/>
      <c r="PV929" s="143"/>
      <c r="PW929" s="143"/>
      <c r="PX929" s="143"/>
      <c r="PY929" s="143"/>
      <c r="PZ929" s="143"/>
      <c r="QA929" s="143"/>
      <c r="QB929" s="143"/>
      <c r="QC929" s="143"/>
      <c r="QD929" s="143"/>
      <c r="QE929" s="143"/>
      <c r="QF929" s="143"/>
      <c r="QG929" s="143"/>
      <c r="QH929" s="143"/>
      <c r="QI929" s="143"/>
      <c r="QJ929" s="143"/>
      <c r="QK929" s="143"/>
      <c r="QL929" s="143"/>
      <c r="QM929" s="143"/>
      <c r="QN929" s="143"/>
      <c r="QO929" s="143"/>
      <c r="QP929" s="143"/>
      <c r="QQ929" s="143"/>
      <c r="QR929" s="143"/>
      <c r="QS929" s="143"/>
      <c r="QT929" s="143"/>
      <c r="QU929" s="143"/>
      <c r="QV929" s="143"/>
      <c r="QW929" s="143"/>
      <c r="QX929" s="143"/>
      <c r="QY929" s="143"/>
      <c r="QZ929" s="143"/>
      <c r="RA929" s="143"/>
      <c r="RB929" s="143"/>
      <c r="RC929" s="143"/>
      <c r="RD929" s="143"/>
      <c r="RE929" s="143"/>
      <c r="RF929" s="143"/>
      <c r="RG929" s="143"/>
      <c r="RH929" s="143"/>
      <c r="RI929" s="143"/>
      <c r="RJ929" s="143"/>
      <c r="RK929" s="143"/>
      <c r="RL929" s="143"/>
      <c r="RM929" s="143"/>
      <c r="RN929" s="143"/>
      <c r="RO929" s="143"/>
      <c r="RP929" s="143"/>
      <c r="RQ929" s="143"/>
      <c r="RR929" s="143"/>
      <c r="RS929" s="143"/>
      <c r="RT929" s="143"/>
      <c r="RU929" s="143"/>
      <c r="RV929" s="143"/>
      <c r="RW929" s="143"/>
      <c r="RX929" s="143"/>
      <c r="RY929" s="143"/>
      <c r="RZ929" s="143"/>
      <c r="SA929" s="143"/>
      <c r="SB929" s="143"/>
      <c r="SC929" s="143"/>
      <c r="SD929" s="143"/>
      <c r="SE929" s="143"/>
      <c r="SF929" s="143"/>
      <c r="SG929" s="143"/>
      <c r="SH929" s="143"/>
      <c r="SI929" s="143"/>
      <c r="SJ929" s="143"/>
      <c r="SK929" s="143"/>
      <c r="SL929" s="143"/>
      <c r="SM929" s="143"/>
      <c r="SN929" s="143"/>
      <c r="SO929" s="143"/>
      <c r="SP929" s="143"/>
      <c r="SQ929" s="143"/>
      <c r="SR929" s="143"/>
      <c r="SS929" s="143"/>
      <c r="ST929" s="143"/>
      <c r="SU929" s="143"/>
      <c r="SV929" s="143"/>
      <c r="SW929" s="143"/>
      <c r="SX929" s="143"/>
      <c r="SY929" s="143"/>
      <c r="SZ929" s="143"/>
      <c r="TA929" s="143"/>
      <c r="TB929" s="143"/>
      <c r="TC929" s="143"/>
      <c r="TD929" s="143"/>
      <c r="TE929" s="143"/>
      <c r="TF929" s="143"/>
      <c r="TG929" s="143"/>
      <c r="TH929" s="143"/>
      <c r="TI929" s="143"/>
      <c r="TJ929" s="143"/>
      <c r="TK929" s="143"/>
      <c r="TL929" s="143"/>
      <c r="TM929" s="143"/>
      <c r="TN929" s="143"/>
      <c r="TO929" s="143"/>
      <c r="TP929" s="143"/>
      <c r="TQ929" s="143"/>
      <c r="TR929" s="143"/>
      <c r="TS929" s="143"/>
      <c r="TT929" s="143"/>
      <c r="TU929" s="143"/>
      <c r="TV929" s="143"/>
      <c r="TW929" s="143"/>
      <c r="TX929" s="143"/>
      <c r="TY929" s="143"/>
      <c r="TZ929" s="143"/>
      <c r="UA929" s="143"/>
      <c r="UB929" s="143"/>
      <c r="UC929" s="143"/>
      <c r="UD929" s="143"/>
      <c r="UE929" s="143"/>
      <c r="UF929" s="143"/>
      <c r="UG929" s="144"/>
    </row>
    <row r="930" spans="1:553" s="142" customFormat="1" ht="27.65" customHeight="1">
      <c r="A930" s="444"/>
      <c r="B930" s="384"/>
      <c r="C930" s="1223" t="s">
        <v>254</v>
      </c>
      <c r="D930" s="702"/>
      <c r="E930" s="703"/>
      <c r="F930" s="704"/>
      <c r="G930" s="386" t="s">
        <v>113</v>
      </c>
      <c r="H930" s="672"/>
      <c r="I930" s="417">
        <v>46</v>
      </c>
      <c r="J930" s="368">
        <v>114600</v>
      </c>
      <c r="K930" s="686"/>
      <c r="L930" s="480">
        <f>I930*J930</f>
        <v>5271600</v>
      </c>
      <c r="M930" s="548"/>
      <c r="N930" s="548"/>
      <c r="O930" s="427"/>
      <c r="P930" s="384"/>
      <c r="Q930" s="1213"/>
      <c r="R930" s="1227"/>
      <c r="S930" s="308"/>
      <c r="T930" s="308"/>
      <c r="U930" s="308"/>
      <c r="V930" s="308"/>
      <c r="W930" s="308"/>
      <c r="X930" s="308"/>
      <c r="Y930" s="308"/>
      <c r="Z930" s="604"/>
      <c r="AA930" s="308"/>
      <c r="AB930" s="308"/>
      <c r="AC930" s="687"/>
      <c r="AD930" s="687"/>
      <c r="AE930" s="687"/>
      <c r="AF930" s="687"/>
      <c r="AG930" s="688"/>
      <c r="AH930" s="688"/>
      <c r="AI930" s="688"/>
      <c r="AJ930" s="688"/>
      <c r="AK930" s="688"/>
      <c r="AL930" s="207"/>
      <c r="AM930" s="140"/>
      <c r="AN930" s="140"/>
      <c r="AO930" s="140"/>
      <c r="AP930" s="140"/>
      <c r="AQ930" s="140"/>
      <c r="AR930" s="140"/>
      <c r="AS930" s="140"/>
      <c r="AT930" s="140"/>
      <c r="AU930" s="140"/>
      <c r="AV930" s="140"/>
      <c r="AW930" s="140"/>
      <c r="AX930" s="140"/>
      <c r="AY930" s="140"/>
      <c r="AZ930" s="140"/>
      <c r="BA930" s="140"/>
      <c r="BB930" s="140"/>
      <c r="BC930" s="140"/>
      <c r="BD930" s="140"/>
      <c r="BE930" s="140"/>
      <c r="BF930" s="140"/>
      <c r="BG930" s="140"/>
      <c r="BH930" s="140"/>
      <c r="BI930" s="140"/>
      <c r="BJ930" s="140"/>
      <c r="BK930" s="140"/>
      <c r="BL930" s="140"/>
      <c r="BM930" s="140"/>
      <c r="BN930" s="140"/>
      <c r="BO930" s="140"/>
      <c r="BP930" s="140"/>
      <c r="BQ930" s="140"/>
      <c r="BR930" s="140"/>
      <c r="BS930" s="140"/>
      <c r="BT930" s="140"/>
      <c r="BU930" s="140"/>
      <c r="BV930" s="140"/>
      <c r="BW930" s="140"/>
      <c r="BX930" s="140"/>
      <c r="BY930" s="140"/>
      <c r="BZ930" s="140"/>
      <c r="CA930" s="140"/>
      <c r="CB930" s="140"/>
      <c r="CC930" s="140"/>
      <c r="CD930" s="140"/>
      <c r="CE930" s="140"/>
      <c r="CF930" s="140"/>
      <c r="CG930" s="140"/>
      <c r="CH930" s="140"/>
      <c r="CI930" s="140"/>
      <c r="CJ930" s="140"/>
      <c r="CK930" s="140"/>
      <c r="CL930" s="140"/>
      <c r="CM930" s="140"/>
      <c r="CN930" s="140"/>
      <c r="CO930" s="140"/>
      <c r="CP930" s="140"/>
      <c r="CQ930" s="140"/>
      <c r="CR930" s="140"/>
      <c r="CS930" s="140"/>
      <c r="CT930" s="140"/>
      <c r="CU930" s="140"/>
      <c r="CV930" s="140"/>
      <c r="CW930" s="140"/>
      <c r="CX930" s="140"/>
      <c r="CY930" s="140"/>
      <c r="CZ930" s="140"/>
      <c r="DA930" s="140"/>
      <c r="DB930" s="140"/>
      <c r="DC930" s="140"/>
      <c r="DD930" s="140"/>
      <c r="DE930" s="140"/>
      <c r="DF930" s="140"/>
      <c r="DG930" s="140"/>
      <c r="DH930" s="140"/>
      <c r="DI930" s="140"/>
      <c r="DJ930" s="140"/>
      <c r="DK930" s="140"/>
      <c r="DL930" s="140"/>
      <c r="DM930" s="140"/>
      <c r="DN930" s="140"/>
      <c r="DO930" s="140"/>
      <c r="DP930" s="140"/>
      <c r="DQ930" s="140"/>
      <c r="DR930" s="140"/>
      <c r="DS930" s="140"/>
      <c r="DT930" s="140"/>
      <c r="DU930" s="140"/>
      <c r="DV930" s="140"/>
      <c r="DW930" s="140"/>
      <c r="DX930" s="140"/>
      <c r="DY930" s="140"/>
      <c r="DZ930" s="140"/>
      <c r="EA930" s="140"/>
      <c r="EB930" s="140"/>
      <c r="EC930" s="140"/>
      <c r="ED930" s="140"/>
      <c r="EE930" s="140"/>
      <c r="EF930" s="140"/>
      <c r="EG930" s="140"/>
      <c r="EH930" s="140"/>
      <c r="EI930" s="140"/>
      <c r="EJ930" s="140"/>
      <c r="EK930" s="140"/>
      <c r="EL930" s="140"/>
      <c r="EM930" s="140"/>
      <c r="EN930" s="140"/>
      <c r="EO930" s="140"/>
      <c r="EP930" s="140"/>
      <c r="EQ930" s="140"/>
      <c r="ER930" s="140"/>
      <c r="ES930" s="140"/>
      <c r="ET930" s="140"/>
      <c r="EU930" s="140"/>
      <c r="EV930" s="140"/>
      <c r="EW930" s="140"/>
      <c r="EX930" s="140"/>
      <c r="EY930" s="140"/>
      <c r="EZ930" s="140"/>
      <c r="FA930" s="140"/>
      <c r="FB930" s="140"/>
      <c r="FC930" s="140"/>
      <c r="FD930" s="140"/>
      <c r="FE930" s="140"/>
      <c r="FF930" s="140"/>
      <c r="FG930" s="140"/>
      <c r="FH930" s="140"/>
      <c r="FI930" s="140"/>
      <c r="FJ930" s="140"/>
      <c r="FK930" s="140"/>
      <c r="FL930" s="140"/>
      <c r="FM930" s="140"/>
      <c r="FN930" s="140"/>
      <c r="FO930" s="140"/>
      <c r="FP930" s="140"/>
      <c r="FQ930" s="140"/>
      <c r="FR930" s="140"/>
      <c r="FS930" s="140"/>
      <c r="FT930" s="140"/>
      <c r="FU930" s="140"/>
      <c r="FV930" s="140"/>
      <c r="FW930" s="140"/>
      <c r="FX930" s="140"/>
      <c r="FY930" s="140"/>
      <c r="FZ930" s="140"/>
      <c r="GA930" s="140"/>
      <c r="GB930" s="140"/>
      <c r="GC930" s="140"/>
      <c r="GD930" s="140"/>
      <c r="GE930" s="140"/>
      <c r="GF930" s="140"/>
      <c r="GG930" s="140"/>
      <c r="GH930" s="140"/>
      <c r="GI930" s="140"/>
      <c r="GJ930" s="140"/>
      <c r="GK930" s="140"/>
      <c r="GL930" s="140"/>
      <c r="GM930" s="140"/>
      <c r="GN930" s="140"/>
      <c r="GO930" s="140"/>
      <c r="GP930" s="140"/>
      <c r="GQ930" s="140"/>
      <c r="GR930" s="140"/>
      <c r="GS930" s="140"/>
      <c r="GT930" s="140"/>
      <c r="GU930" s="140"/>
      <c r="GV930" s="140"/>
      <c r="GW930" s="140"/>
      <c r="GX930" s="140"/>
      <c r="GY930" s="140"/>
      <c r="GZ930" s="140"/>
      <c r="HA930" s="140"/>
      <c r="HB930" s="140"/>
      <c r="HC930" s="140"/>
      <c r="HD930" s="140"/>
      <c r="HE930" s="140"/>
      <c r="HF930" s="140"/>
      <c r="HG930" s="140"/>
      <c r="HH930" s="140"/>
      <c r="HI930" s="140"/>
      <c r="HJ930" s="140"/>
      <c r="HK930" s="140"/>
      <c r="HL930" s="140"/>
      <c r="HM930" s="140"/>
      <c r="HN930" s="140"/>
      <c r="HO930" s="140"/>
      <c r="HP930" s="140"/>
      <c r="HQ930" s="140"/>
      <c r="HR930" s="140"/>
      <c r="HS930" s="140"/>
      <c r="HT930" s="140"/>
      <c r="HU930" s="140"/>
      <c r="HV930" s="140"/>
      <c r="HW930" s="140"/>
      <c r="HX930" s="140"/>
      <c r="HY930" s="140"/>
      <c r="HZ930" s="140"/>
      <c r="IA930" s="140"/>
      <c r="IB930" s="140"/>
      <c r="IC930" s="140"/>
      <c r="ID930" s="140"/>
      <c r="IE930" s="140"/>
      <c r="IF930" s="140"/>
      <c r="IG930" s="140"/>
      <c r="IH930" s="140"/>
      <c r="II930" s="140"/>
      <c r="IJ930" s="140"/>
      <c r="IK930" s="140"/>
      <c r="IL930" s="140"/>
      <c r="IM930" s="140"/>
      <c r="IN930" s="140"/>
      <c r="IO930" s="140"/>
      <c r="IP930" s="140"/>
      <c r="IQ930" s="140"/>
      <c r="IR930" s="140"/>
      <c r="IS930" s="140"/>
      <c r="IT930" s="140"/>
      <c r="IU930" s="140"/>
      <c r="IV930" s="140"/>
      <c r="IW930" s="140"/>
      <c r="IX930" s="140"/>
      <c r="IY930" s="140"/>
      <c r="IZ930" s="140"/>
      <c r="JA930" s="140"/>
      <c r="JB930" s="140"/>
      <c r="JC930" s="140"/>
      <c r="JD930" s="140"/>
      <c r="JE930" s="140"/>
      <c r="JF930" s="140"/>
      <c r="JG930" s="140"/>
      <c r="JH930" s="140"/>
      <c r="JI930" s="140"/>
      <c r="JJ930" s="140"/>
      <c r="JK930" s="140"/>
      <c r="JL930" s="140"/>
      <c r="JM930" s="140"/>
      <c r="JN930" s="140"/>
      <c r="JO930" s="140"/>
      <c r="JP930" s="140"/>
      <c r="JQ930" s="140"/>
      <c r="JR930" s="140"/>
      <c r="JS930" s="140"/>
      <c r="JT930" s="140"/>
      <c r="JU930" s="140"/>
      <c r="JV930" s="140"/>
      <c r="JW930" s="140"/>
      <c r="JX930" s="140"/>
      <c r="JY930" s="140"/>
      <c r="JZ930" s="140"/>
      <c r="KA930" s="140"/>
      <c r="KB930" s="140"/>
      <c r="KC930" s="140"/>
      <c r="KD930" s="140"/>
      <c r="KE930" s="140"/>
      <c r="KF930" s="140"/>
      <c r="KG930" s="140"/>
      <c r="KH930" s="140"/>
      <c r="KI930" s="140"/>
      <c r="KJ930" s="140"/>
      <c r="KK930" s="140"/>
      <c r="KL930" s="140"/>
      <c r="KM930" s="140"/>
      <c r="KN930" s="140"/>
      <c r="KO930" s="140"/>
      <c r="KP930" s="140"/>
      <c r="KQ930" s="140"/>
      <c r="KR930" s="140"/>
      <c r="KS930" s="140"/>
      <c r="KT930" s="140"/>
      <c r="KU930" s="140"/>
      <c r="KV930" s="140"/>
      <c r="KW930" s="140"/>
      <c r="KX930" s="140"/>
      <c r="KY930" s="140"/>
      <c r="KZ930" s="140"/>
      <c r="LA930" s="140"/>
      <c r="LB930" s="140"/>
      <c r="LC930" s="140"/>
      <c r="LD930" s="140"/>
      <c r="LE930" s="140"/>
      <c r="LF930" s="140"/>
      <c r="LG930" s="140"/>
      <c r="LH930" s="140"/>
      <c r="LI930" s="140"/>
      <c r="LJ930" s="140"/>
      <c r="LK930" s="140"/>
      <c r="LL930" s="140"/>
      <c r="LM930" s="140"/>
      <c r="LN930" s="140"/>
      <c r="LO930" s="140"/>
      <c r="LP930" s="140"/>
      <c r="LQ930" s="140"/>
      <c r="LR930" s="140"/>
      <c r="LS930" s="140"/>
      <c r="LT930" s="140"/>
      <c r="LU930" s="140"/>
      <c r="LV930" s="140"/>
      <c r="LW930" s="140"/>
      <c r="LX930" s="140"/>
      <c r="LY930" s="140"/>
      <c r="LZ930" s="140"/>
      <c r="MA930" s="140"/>
      <c r="MB930" s="140"/>
      <c r="MC930" s="140"/>
      <c r="MD930" s="140"/>
      <c r="ME930" s="140"/>
      <c r="MF930" s="140"/>
      <c r="MG930" s="140"/>
      <c r="MH930" s="140"/>
      <c r="MI930" s="140"/>
      <c r="MJ930" s="140"/>
      <c r="MK930" s="140"/>
      <c r="ML930" s="140"/>
      <c r="MM930" s="140"/>
      <c r="MN930" s="140"/>
      <c r="MO930" s="140"/>
      <c r="MP930" s="140"/>
      <c r="MQ930" s="140"/>
      <c r="MR930" s="140"/>
      <c r="MS930" s="140"/>
      <c r="MT930" s="140"/>
      <c r="MU930" s="140"/>
      <c r="MV930" s="140"/>
      <c r="MW930" s="140"/>
      <c r="MX930" s="140"/>
      <c r="MY930" s="140"/>
      <c r="MZ930" s="140"/>
      <c r="NA930" s="140"/>
      <c r="NB930" s="140"/>
      <c r="NC930" s="140"/>
      <c r="ND930" s="140"/>
      <c r="NE930" s="140"/>
      <c r="NF930" s="140"/>
      <c r="NG930" s="140"/>
      <c r="NH930" s="140"/>
      <c r="NI930" s="140"/>
      <c r="NJ930" s="140"/>
      <c r="NK930" s="140"/>
      <c r="NL930" s="140"/>
      <c r="NM930" s="140"/>
      <c r="NN930" s="140"/>
      <c r="NO930" s="140"/>
      <c r="NP930" s="140"/>
      <c r="NQ930" s="140"/>
      <c r="NR930" s="140"/>
      <c r="NS930" s="140"/>
      <c r="NT930" s="140"/>
      <c r="NU930" s="140"/>
      <c r="NV930" s="140"/>
      <c r="NW930" s="140"/>
      <c r="NX930" s="140"/>
      <c r="NY930" s="140"/>
      <c r="NZ930" s="140"/>
      <c r="OA930" s="140"/>
      <c r="OB930" s="140"/>
      <c r="OC930" s="140"/>
      <c r="OD930" s="140"/>
      <c r="OE930" s="140"/>
      <c r="OF930" s="140"/>
      <c r="OG930" s="140"/>
      <c r="OH930" s="140"/>
      <c r="OI930" s="140"/>
      <c r="OJ930" s="140"/>
      <c r="OK930" s="140"/>
      <c r="OL930" s="140"/>
      <c r="OM930" s="140"/>
      <c r="ON930" s="140"/>
      <c r="OO930" s="140"/>
      <c r="OP930" s="140"/>
      <c r="OQ930" s="140"/>
      <c r="OR930" s="140"/>
      <c r="OS930" s="140"/>
      <c r="OT930" s="140"/>
      <c r="OU930" s="140"/>
      <c r="OV930" s="140"/>
      <c r="OW930" s="140"/>
      <c r="OX930" s="140"/>
      <c r="OY930" s="140"/>
      <c r="OZ930" s="140"/>
      <c r="PA930" s="140"/>
      <c r="PB930" s="140"/>
      <c r="PC930" s="140"/>
      <c r="PD930" s="140"/>
      <c r="PE930" s="140"/>
      <c r="PF930" s="140"/>
      <c r="PG930" s="140"/>
      <c r="PH930" s="140"/>
      <c r="PI930" s="140"/>
      <c r="PJ930" s="140"/>
      <c r="PK930" s="140"/>
      <c r="PL930" s="140"/>
      <c r="PM930" s="140"/>
      <c r="PN930" s="140"/>
      <c r="PO930" s="140"/>
      <c r="PP930" s="140"/>
      <c r="PQ930" s="140"/>
      <c r="PR930" s="140"/>
      <c r="PS930" s="140"/>
      <c r="PT930" s="140"/>
      <c r="PU930" s="140"/>
      <c r="PV930" s="140"/>
      <c r="PW930" s="140"/>
      <c r="PX930" s="140"/>
      <c r="PY930" s="140"/>
      <c r="PZ930" s="140"/>
      <c r="QA930" s="140"/>
      <c r="QB930" s="140"/>
      <c r="QC930" s="140"/>
      <c r="QD930" s="140"/>
      <c r="QE930" s="140"/>
      <c r="QF930" s="140"/>
      <c r="QG930" s="140"/>
      <c r="QH930" s="140"/>
      <c r="QI930" s="140"/>
      <c r="QJ930" s="140"/>
      <c r="QK930" s="140"/>
      <c r="QL930" s="140"/>
      <c r="QM930" s="140"/>
      <c r="QN930" s="140"/>
      <c r="QO930" s="140"/>
      <c r="QP930" s="140"/>
      <c r="QQ930" s="140"/>
      <c r="QR930" s="140"/>
      <c r="QS930" s="140"/>
      <c r="QT930" s="140"/>
      <c r="QU930" s="140"/>
      <c r="QV930" s="140"/>
      <c r="QW930" s="140"/>
      <c r="QX930" s="140"/>
      <c r="QY930" s="140"/>
      <c r="QZ930" s="140"/>
      <c r="RA930" s="140"/>
      <c r="RB930" s="140"/>
      <c r="RC930" s="140"/>
      <c r="RD930" s="140"/>
      <c r="RE930" s="140"/>
      <c r="RF930" s="140"/>
      <c r="RG930" s="140"/>
      <c r="RH930" s="140"/>
      <c r="RI930" s="140"/>
      <c r="RJ930" s="140"/>
      <c r="RK930" s="140"/>
      <c r="RL930" s="140"/>
      <c r="RM930" s="140"/>
      <c r="RN930" s="140"/>
      <c r="RO930" s="140"/>
      <c r="RP930" s="140"/>
      <c r="RQ930" s="140"/>
      <c r="RR930" s="140"/>
      <c r="RS930" s="140"/>
      <c r="RT930" s="140"/>
      <c r="RU930" s="140"/>
      <c r="RV930" s="140"/>
      <c r="RW930" s="140"/>
      <c r="RX930" s="140"/>
      <c r="RY930" s="140"/>
      <c r="RZ930" s="140"/>
      <c r="SA930" s="140"/>
      <c r="SB930" s="140"/>
      <c r="SC930" s="140"/>
      <c r="SD930" s="140"/>
      <c r="SE930" s="140"/>
      <c r="SF930" s="140"/>
      <c r="SG930" s="140"/>
      <c r="SH930" s="140"/>
      <c r="SI930" s="140"/>
      <c r="SJ930" s="140"/>
      <c r="SK930" s="140"/>
      <c r="SL930" s="140"/>
      <c r="SM930" s="140"/>
      <c r="SN930" s="140"/>
      <c r="SO930" s="140"/>
      <c r="SP930" s="140"/>
      <c r="SQ930" s="140"/>
      <c r="SR930" s="140"/>
      <c r="SS930" s="140"/>
      <c r="ST930" s="140"/>
      <c r="SU930" s="140"/>
      <c r="SV930" s="140"/>
      <c r="SW930" s="140"/>
      <c r="SX930" s="140"/>
      <c r="SY930" s="140"/>
      <c r="SZ930" s="140"/>
      <c r="TA930" s="140"/>
      <c r="TB930" s="140"/>
      <c r="TC930" s="140"/>
      <c r="TD930" s="140"/>
      <c r="TE930" s="140"/>
      <c r="TF930" s="140"/>
      <c r="TG930" s="140"/>
      <c r="TH930" s="140"/>
      <c r="TI930" s="140"/>
      <c r="TJ930" s="140"/>
      <c r="TK930" s="140"/>
      <c r="TL930" s="140"/>
      <c r="TM930" s="140"/>
      <c r="TN930" s="140"/>
      <c r="TO930" s="140"/>
      <c r="TP930" s="140"/>
      <c r="TQ930" s="140"/>
      <c r="TR930" s="140"/>
      <c r="TS930" s="140"/>
      <c r="TT930" s="140"/>
      <c r="TU930" s="140"/>
      <c r="TV930" s="140"/>
      <c r="TW930" s="140"/>
      <c r="TX930" s="140"/>
      <c r="TY930" s="140"/>
      <c r="TZ930" s="140"/>
      <c r="UA930" s="140"/>
      <c r="UB930" s="140"/>
      <c r="UC930" s="140"/>
      <c r="UD930" s="140"/>
      <c r="UE930" s="140"/>
      <c r="UF930" s="140"/>
      <c r="UG930" s="141"/>
    </row>
    <row r="931" spans="1:553" s="142" customFormat="1" ht="27.65" customHeight="1">
      <c r="A931" s="444"/>
      <c r="B931" s="532"/>
      <c r="C931" s="1220" t="s">
        <v>552</v>
      </c>
      <c r="D931" s="702"/>
      <c r="E931" s="703"/>
      <c r="F931" s="704"/>
      <c r="G931" s="429"/>
      <c r="H931" s="705"/>
      <c r="I931" s="424"/>
      <c r="J931" s="357"/>
      <c r="K931" s="706"/>
      <c r="L931" s="645"/>
      <c r="M931" s="548"/>
      <c r="N931" s="548"/>
      <c r="O931" s="444"/>
      <c r="P931" s="532"/>
      <c r="Q931" s="1242"/>
      <c r="R931" s="730"/>
      <c r="S931" s="308"/>
      <c r="T931" s="308"/>
      <c r="U931" s="308"/>
      <c r="V931" s="308"/>
      <c r="W931" s="308"/>
      <c r="X931" s="308"/>
      <c r="Y931" s="308"/>
      <c r="Z931" s="604"/>
      <c r="AA931" s="308"/>
      <c r="AB931" s="308"/>
      <c r="AC931" s="707"/>
      <c r="AD931" s="707"/>
      <c r="AE931" s="707"/>
      <c r="AF931" s="707"/>
      <c r="AG931" s="708"/>
      <c r="AH931" s="708"/>
      <c r="AI931" s="708"/>
      <c r="AJ931" s="708"/>
      <c r="AK931" s="708"/>
      <c r="AL931" s="195"/>
      <c r="AM931" s="143"/>
      <c r="AN931" s="143"/>
      <c r="AO931" s="143"/>
      <c r="AP931" s="143"/>
      <c r="AQ931" s="143"/>
      <c r="AR931" s="143"/>
      <c r="AS931" s="143"/>
      <c r="AT931" s="143"/>
      <c r="AU931" s="143"/>
      <c r="AV931" s="143"/>
      <c r="AW931" s="143"/>
      <c r="AX931" s="143"/>
      <c r="AY931" s="143"/>
      <c r="AZ931" s="143"/>
      <c r="BA931" s="143"/>
      <c r="BB931" s="143"/>
      <c r="BC931" s="143"/>
      <c r="BD931" s="143"/>
      <c r="BE931" s="143"/>
      <c r="BF931" s="143"/>
      <c r="BG931" s="143"/>
      <c r="BH931" s="143"/>
      <c r="BI931" s="143"/>
      <c r="BJ931" s="143"/>
      <c r="BK931" s="143"/>
      <c r="BL931" s="143"/>
      <c r="BM931" s="143"/>
      <c r="BN931" s="143"/>
      <c r="BO931" s="143"/>
      <c r="BP931" s="143"/>
      <c r="BQ931" s="143"/>
      <c r="BR931" s="143"/>
      <c r="BS931" s="143"/>
      <c r="BT931" s="143"/>
      <c r="BU931" s="143"/>
      <c r="BV931" s="143"/>
      <c r="BW931" s="143"/>
      <c r="BX931" s="143"/>
      <c r="BY931" s="143"/>
      <c r="BZ931" s="143"/>
      <c r="CA931" s="143"/>
      <c r="CB931" s="143"/>
      <c r="CC931" s="143"/>
      <c r="CD931" s="143"/>
      <c r="CE931" s="143"/>
      <c r="CF931" s="143"/>
      <c r="CG931" s="143"/>
      <c r="CH931" s="143"/>
      <c r="CI931" s="143"/>
      <c r="CJ931" s="143"/>
      <c r="CK931" s="143"/>
      <c r="CL931" s="143"/>
      <c r="CM931" s="143"/>
      <c r="CN931" s="143"/>
      <c r="CO931" s="143"/>
      <c r="CP931" s="143"/>
      <c r="CQ931" s="143"/>
      <c r="CR931" s="143"/>
      <c r="CS931" s="143"/>
      <c r="CT931" s="143"/>
      <c r="CU931" s="143"/>
      <c r="CV931" s="143"/>
      <c r="CW931" s="143"/>
      <c r="CX931" s="143"/>
      <c r="CY931" s="143"/>
      <c r="CZ931" s="143"/>
      <c r="DA931" s="143"/>
      <c r="DB931" s="143"/>
      <c r="DC931" s="143"/>
      <c r="DD931" s="143"/>
      <c r="DE931" s="143"/>
      <c r="DF931" s="143"/>
      <c r="DG931" s="143"/>
      <c r="DH931" s="143"/>
      <c r="DI931" s="143"/>
      <c r="DJ931" s="143"/>
      <c r="DK931" s="143"/>
      <c r="DL931" s="143"/>
      <c r="DM931" s="143"/>
      <c r="DN931" s="143"/>
      <c r="DO931" s="143"/>
      <c r="DP931" s="143"/>
      <c r="DQ931" s="143"/>
      <c r="DR931" s="143"/>
      <c r="DS931" s="143"/>
      <c r="DT931" s="143"/>
      <c r="DU931" s="143"/>
      <c r="DV931" s="143"/>
      <c r="DW931" s="143"/>
      <c r="DX931" s="143"/>
      <c r="DY931" s="143"/>
      <c r="DZ931" s="143"/>
      <c r="EA931" s="143"/>
      <c r="EB931" s="143"/>
      <c r="EC931" s="143"/>
      <c r="ED931" s="143"/>
      <c r="EE931" s="143"/>
      <c r="EF931" s="143"/>
      <c r="EG931" s="143"/>
      <c r="EH931" s="143"/>
      <c r="EI931" s="143"/>
      <c r="EJ931" s="143"/>
      <c r="EK931" s="143"/>
      <c r="EL931" s="143"/>
      <c r="EM931" s="143"/>
      <c r="EN931" s="143"/>
      <c r="EO931" s="143"/>
      <c r="EP931" s="143"/>
      <c r="EQ931" s="143"/>
      <c r="ER931" s="143"/>
      <c r="ES931" s="143"/>
      <c r="ET931" s="143"/>
      <c r="EU931" s="143"/>
      <c r="EV931" s="143"/>
      <c r="EW931" s="143"/>
      <c r="EX931" s="143"/>
      <c r="EY931" s="143"/>
      <c r="EZ931" s="143"/>
      <c r="FA931" s="143"/>
      <c r="FB931" s="143"/>
      <c r="FC931" s="143"/>
      <c r="FD931" s="143"/>
      <c r="FE931" s="143"/>
      <c r="FF931" s="143"/>
      <c r="FG931" s="143"/>
      <c r="FH931" s="143"/>
      <c r="FI931" s="143"/>
      <c r="FJ931" s="143"/>
      <c r="FK931" s="143"/>
      <c r="FL931" s="143"/>
      <c r="FM931" s="143"/>
      <c r="FN931" s="143"/>
      <c r="FO931" s="143"/>
      <c r="FP931" s="143"/>
      <c r="FQ931" s="143"/>
      <c r="FR931" s="143"/>
      <c r="FS931" s="143"/>
      <c r="FT931" s="143"/>
      <c r="FU931" s="143"/>
      <c r="FV931" s="143"/>
      <c r="FW931" s="143"/>
      <c r="FX931" s="143"/>
      <c r="FY931" s="143"/>
      <c r="FZ931" s="143"/>
      <c r="GA931" s="143"/>
      <c r="GB931" s="143"/>
      <c r="GC931" s="143"/>
      <c r="GD931" s="143"/>
      <c r="GE931" s="143"/>
      <c r="GF931" s="143"/>
      <c r="GG931" s="143"/>
      <c r="GH931" s="143"/>
      <c r="GI931" s="143"/>
      <c r="GJ931" s="143"/>
      <c r="GK931" s="143"/>
      <c r="GL931" s="143"/>
      <c r="GM931" s="143"/>
      <c r="GN931" s="143"/>
      <c r="GO931" s="143"/>
      <c r="GP931" s="143"/>
      <c r="GQ931" s="143"/>
      <c r="GR931" s="143"/>
      <c r="GS931" s="143"/>
      <c r="GT931" s="143"/>
      <c r="GU931" s="143"/>
      <c r="GV931" s="143"/>
      <c r="GW931" s="143"/>
      <c r="GX931" s="143"/>
      <c r="GY931" s="143"/>
      <c r="GZ931" s="143"/>
      <c r="HA931" s="143"/>
      <c r="HB931" s="143"/>
      <c r="HC931" s="143"/>
      <c r="HD931" s="143"/>
      <c r="HE931" s="143"/>
      <c r="HF931" s="143"/>
      <c r="HG931" s="143"/>
      <c r="HH931" s="143"/>
      <c r="HI931" s="143"/>
      <c r="HJ931" s="143"/>
      <c r="HK931" s="143"/>
      <c r="HL931" s="143"/>
      <c r="HM931" s="143"/>
      <c r="HN931" s="143"/>
      <c r="HO931" s="143"/>
      <c r="HP931" s="143"/>
      <c r="HQ931" s="143"/>
      <c r="HR931" s="143"/>
      <c r="HS931" s="143"/>
      <c r="HT931" s="143"/>
      <c r="HU931" s="143"/>
      <c r="HV931" s="143"/>
      <c r="HW931" s="143"/>
      <c r="HX931" s="143"/>
      <c r="HY931" s="143"/>
      <c r="HZ931" s="143"/>
      <c r="IA931" s="143"/>
      <c r="IB931" s="143"/>
      <c r="IC931" s="143"/>
      <c r="ID931" s="143"/>
      <c r="IE931" s="143"/>
      <c r="IF931" s="143"/>
      <c r="IG931" s="143"/>
      <c r="IH931" s="143"/>
      <c r="II931" s="143"/>
      <c r="IJ931" s="143"/>
      <c r="IK931" s="143"/>
      <c r="IL931" s="143"/>
      <c r="IM931" s="143"/>
      <c r="IN931" s="143"/>
      <c r="IO931" s="143"/>
      <c r="IP931" s="143"/>
      <c r="IQ931" s="143"/>
      <c r="IR931" s="143"/>
      <c r="IS931" s="143"/>
      <c r="IT931" s="143"/>
      <c r="IU931" s="143"/>
      <c r="IV931" s="143"/>
      <c r="IW931" s="143"/>
      <c r="IX931" s="143"/>
      <c r="IY931" s="143"/>
      <c r="IZ931" s="143"/>
      <c r="JA931" s="143"/>
      <c r="JB931" s="143"/>
      <c r="JC931" s="143"/>
      <c r="JD931" s="143"/>
      <c r="JE931" s="143"/>
      <c r="JF931" s="143"/>
      <c r="JG931" s="143"/>
      <c r="JH931" s="143"/>
      <c r="JI931" s="143"/>
      <c r="JJ931" s="143"/>
      <c r="JK931" s="143"/>
      <c r="JL931" s="143"/>
      <c r="JM931" s="143"/>
      <c r="JN931" s="143"/>
      <c r="JO931" s="143"/>
      <c r="JP931" s="143"/>
      <c r="JQ931" s="143"/>
      <c r="JR931" s="143"/>
      <c r="JS931" s="143"/>
      <c r="JT931" s="143"/>
      <c r="JU931" s="143"/>
      <c r="JV931" s="143"/>
      <c r="JW931" s="143"/>
      <c r="JX931" s="143"/>
      <c r="JY931" s="143"/>
      <c r="JZ931" s="143"/>
      <c r="KA931" s="143"/>
      <c r="KB931" s="143"/>
      <c r="KC931" s="143"/>
      <c r="KD931" s="143"/>
      <c r="KE931" s="143"/>
      <c r="KF931" s="143"/>
      <c r="KG931" s="143"/>
      <c r="KH931" s="143"/>
      <c r="KI931" s="143"/>
      <c r="KJ931" s="143"/>
      <c r="KK931" s="143"/>
      <c r="KL931" s="143"/>
      <c r="KM931" s="143"/>
      <c r="KN931" s="143"/>
      <c r="KO931" s="143"/>
      <c r="KP931" s="143"/>
      <c r="KQ931" s="143"/>
      <c r="KR931" s="143"/>
      <c r="KS931" s="143"/>
      <c r="KT931" s="143"/>
      <c r="KU931" s="143"/>
      <c r="KV931" s="143"/>
      <c r="KW931" s="143"/>
      <c r="KX931" s="143"/>
      <c r="KY931" s="143"/>
      <c r="KZ931" s="143"/>
      <c r="LA931" s="143"/>
      <c r="LB931" s="143"/>
      <c r="LC931" s="143"/>
      <c r="LD931" s="143"/>
      <c r="LE931" s="143"/>
      <c r="LF931" s="143"/>
      <c r="LG931" s="143"/>
      <c r="LH931" s="143"/>
      <c r="LI931" s="143"/>
      <c r="LJ931" s="143"/>
      <c r="LK931" s="143"/>
      <c r="LL931" s="143"/>
      <c r="LM931" s="143"/>
      <c r="LN931" s="143"/>
      <c r="LO931" s="143"/>
      <c r="LP931" s="143"/>
      <c r="LQ931" s="143"/>
      <c r="LR931" s="143"/>
      <c r="LS931" s="143"/>
      <c r="LT931" s="143"/>
      <c r="LU931" s="143"/>
      <c r="LV931" s="143"/>
      <c r="LW931" s="143"/>
      <c r="LX931" s="143"/>
      <c r="LY931" s="143"/>
      <c r="LZ931" s="143"/>
      <c r="MA931" s="143"/>
      <c r="MB931" s="143"/>
      <c r="MC931" s="143"/>
      <c r="MD931" s="143"/>
      <c r="ME931" s="143"/>
      <c r="MF931" s="143"/>
      <c r="MG931" s="143"/>
      <c r="MH931" s="143"/>
      <c r="MI931" s="143"/>
      <c r="MJ931" s="143"/>
      <c r="MK931" s="143"/>
      <c r="ML931" s="143"/>
      <c r="MM931" s="143"/>
      <c r="MN931" s="143"/>
      <c r="MO931" s="143"/>
      <c r="MP931" s="143"/>
      <c r="MQ931" s="143"/>
      <c r="MR931" s="143"/>
      <c r="MS931" s="143"/>
      <c r="MT931" s="143"/>
      <c r="MU931" s="143"/>
      <c r="MV931" s="143"/>
      <c r="MW931" s="143"/>
      <c r="MX931" s="143"/>
      <c r="MY931" s="143"/>
      <c r="MZ931" s="143"/>
      <c r="NA931" s="143"/>
      <c r="NB931" s="143"/>
      <c r="NC931" s="143"/>
      <c r="ND931" s="143"/>
      <c r="NE931" s="143"/>
      <c r="NF931" s="143"/>
      <c r="NG931" s="143"/>
      <c r="NH931" s="143"/>
      <c r="NI931" s="143"/>
      <c r="NJ931" s="143"/>
      <c r="NK931" s="143"/>
      <c r="NL931" s="143"/>
      <c r="NM931" s="143"/>
      <c r="NN931" s="143"/>
      <c r="NO931" s="143"/>
      <c r="NP931" s="143"/>
      <c r="NQ931" s="143"/>
      <c r="NR931" s="143"/>
      <c r="NS931" s="143"/>
      <c r="NT931" s="143"/>
      <c r="NU931" s="143"/>
      <c r="NV931" s="143"/>
      <c r="NW931" s="143"/>
      <c r="NX931" s="143"/>
      <c r="NY931" s="143"/>
      <c r="NZ931" s="143"/>
      <c r="OA931" s="143"/>
      <c r="OB931" s="143"/>
      <c r="OC931" s="143"/>
      <c r="OD931" s="143"/>
      <c r="OE931" s="143"/>
      <c r="OF931" s="143"/>
      <c r="OG931" s="143"/>
      <c r="OH931" s="143"/>
      <c r="OI931" s="143"/>
      <c r="OJ931" s="143"/>
      <c r="OK931" s="143"/>
      <c r="OL931" s="143"/>
      <c r="OM931" s="143"/>
      <c r="ON931" s="143"/>
      <c r="OO931" s="143"/>
      <c r="OP931" s="143"/>
      <c r="OQ931" s="143"/>
      <c r="OR931" s="143"/>
      <c r="OS931" s="143"/>
      <c r="OT931" s="143"/>
      <c r="OU931" s="143"/>
      <c r="OV931" s="143"/>
      <c r="OW931" s="143"/>
      <c r="OX931" s="143"/>
      <c r="OY931" s="143"/>
      <c r="OZ931" s="143"/>
      <c r="PA931" s="143"/>
      <c r="PB931" s="143"/>
      <c r="PC931" s="143"/>
      <c r="PD931" s="143"/>
      <c r="PE931" s="143"/>
      <c r="PF931" s="143"/>
      <c r="PG931" s="143"/>
      <c r="PH931" s="143"/>
      <c r="PI931" s="143"/>
      <c r="PJ931" s="143"/>
      <c r="PK931" s="143"/>
      <c r="PL931" s="143"/>
      <c r="PM931" s="143"/>
      <c r="PN931" s="143"/>
      <c r="PO931" s="143"/>
      <c r="PP931" s="143"/>
      <c r="PQ931" s="143"/>
      <c r="PR931" s="143"/>
      <c r="PS931" s="143"/>
      <c r="PT931" s="143"/>
      <c r="PU931" s="143"/>
      <c r="PV931" s="143"/>
      <c r="PW931" s="143"/>
      <c r="PX931" s="143"/>
      <c r="PY931" s="143"/>
      <c r="PZ931" s="143"/>
      <c r="QA931" s="143"/>
      <c r="QB931" s="143"/>
      <c r="QC931" s="143"/>
      <c r="QD931" s="143"/>
      <c r="QE931" s="143"/>
      <c r="QF931" s="143"/>
      <c r="QG931" s="143"/>
      <c r="QH931" s="143"/>
      <c r="QI931" s="143"/>
      <c r="QJ931" s="143"/>
      <c r="QK931" s="143"/>
      <c r="QL931" s="143"/>
      <c r="QM931" s="143"/>
      <c r="QN931" s="143"/>
      <c r="QO931" s="143"/>
      <c r="QP931" s="143"/>
      <c r="QQ931" s="143"/>
      <c r="QR931" s="143"/>
      <c r="QS931" s="143"/>
      <c r="QT931" s="143"/>
      <c r="QU931" s="143"/>
      <c r="QV931" s="143"/>
      <c r="QW931" s="143"/>
      <c r="QX931" s="143"/>
      <c r="QY931" s="143"/>
      <c r="QZ931" s="143"/>
      <c r="RA931" s="143"/>
      <c r="RB931" s="143"/>
      <c r="RC931" s="143"/>
      <c r="RD931" s="143"/>
      <c r="RE931" s="143"/>
      <c r="RF931" s="143"/>
      <c r="RG931" s="143"/>
      <c r="RH931" s="143"/>
      <c r="RI931" s="143"/>
      <c r="RJ931" s="143"/>
      <c r="RK931" s="143"/>
      <c r="RL931" s="143"/>
      <c r="RM931" s="143"/>
      <c r="RN931" s="143"/>
      <c r="RO931" s="143"/>
      <c r="RP931" s="143"/>
      <c r="RQ931" s="143"/>
      <c r="RR931" s="143"/>
      <c r="RS931" s="143"/>
      <c r="RT931" s="143"/>
      <c r="RU931" s="143"/>
      <c r="RV931" s="143"/>
      <c r="RW931" s="143"/>
      <c r="RX931" s="143"/>
      <c r="RY931" s="143"/>
      <c r="RZ931" s="143"/>
      <c r="SA931" s="143"/>
      <c r="SB931" s="143"/>
      <c r="SC931" s="143"/>
      <c r="SD931" s="143"/>
      <c r="SE931" s="143"/>
      <c r="SF931" s="143"/>
      <c r="SG931" s="143"/>
      <c r="SH931" s="143"/>
      <c r="SI931" s="143"/>
      <c r="SJ931" s="143"/>
      <c r="SK931" s="143"/>
      <c r="SL931" s="143"/>
      <c r="SM931" s="143"/>
      <c r="SN931" s="143"/>
      <c r="SO931" s="143"/>
      <c r="SP931" s="143"/>
      <c r="SQ931" s="143"/>
      <c r="SR931" s="143"/>
      <c r="SS931" s="143"/>
      <c r="ST931" s="143"/>
      <c r="SU931" s="143"/>
      <c r="SV931" s="143"/>
      <c r="SW931" s="143"/>
      <c r="SX931" s="143"/>
      <c r="SY931" s="143"/>
      <c r="SZ931" s="143"/>
      <c r="TA931" s="143"/>
      <c r="TB931" s="143"/>
      <c r="TC931" s="143"/>
      <c r="TD931" s="143"/>
      <c r="TE931" s="143"/>
      <c r="TF931" s="143"/>
      <c r="TG931" s="143"/>
      <c r="TH931" s="143"/>
      <c r="TI931" s="143"/>
      <c r="TJ931" s="143"/>
      <c r="TK931" s="143"/>
      <c r="TL931" s="143"/>
      <c r="TM931" s="143"/>
      <c r="TN931" s="143"/>
      <c r="TO931" s="143"/>
      <c r="TP931" s="143"/>
      <c r="TQ931" s="143"/>
      <c r="TR931" s="143"/>
      <c r="TS931" s="143"/>
      <c r="TT931" s="143"/>
      <c r="TU931" s="143"/>
      <c r="TV931" s="143"/>
      <c r="TW931" s="143"/>
      <c r="TX931" s="143"/>
      <c r="TY931" s="143"/>
      <c r="TZ931" s="143"/>
      <c r="UA931" s="143"/>
      <c r="UB931" s="143"/>
      <c r="UC931" s="143"/>
      <c r="UD931" s="143"/>
      <c r="UE931" s="143"/>
      <c r="UF931" s="143"/>
      <c r="UG931" s="144"/>
    </row>
    <row r="932" spans="1:553" s="142" customFormat="1" ht="27.65" customHeight="1">
      <c r="A932" s="444"/>
      <c r="B932" s="384"/>
      <c r="C932" s="1223" t="s">
        <v>254</v>
      </c>
      <c r="D932" s="702"/>
      <c r="E932" s="703"/>
      <c r="F932" s="704"/>
      <c r="G932" s="386" t="s">
        <v>113</v>
      </c>
      <c r="H932" s="672"/>
      <c r="I932" s="417">
        <v>67</v>
      </c>
      <c r="J932" s="368">
        <v>114600</v>
      </c>
      <c r="K932" s="686"/>
      <c r="L932" s="480">
        <f>I932*J932</f>
        <v>7678200</v>
      </c>
      <c r="M932" s="548"/>
      <c r="N932" s="548"/>
      <c r="O932" s="427"/>
      <c r="P932" s="384"/>
      <c r="Q932" s="1213"/>
      <c r="R932" s="1227"/>
      <c r="S932" s="308"/>
      <c r="T932" s="308"/>
      <c r="U932" s="308"/>
      <c r="V932" s="308"/>
      <c r="W932" s="308"/>
      <c r="X932" s="308"/>
      <c r="Y932" s="308"/>
      <c r="Z932" s="604"/>
      <c r="AA932" s="308"/>
      <c r="AB932" s="308"/>
      <c r="AC932" s="687"/>
      <c r="AD932" s="687"/>
      <c r="AE932" s="687"/>
      <c r="AF932" s="687"/>
      <c r="AG932" s="688"/>
      <c r="AH932" s="688"/>
      <c r="AI932" s="688"/>
      <c r="AJ932" s="688"/>
      <c r="AK932" s="688"/>
      <c r="AL932" s="207"/>
      <c r="AM932" s="140"/>
      <c r="AN932" s="140"/>
      <c r="AO932" s="140"/>
      <c r="AP932" s="140"/>
      <c r="AQ932" s="140"/>
      <c r="AR932" s="140"/>
      <c r="AS932" s="140"/>
      <c r="AT932" s="140"/>
      <c r="AU932" s="140"/>
      <c r="AV932" s="140"/>
      <c r="AW932" s="140"/>
      <c r="AX932" s="140"/>
      <c r="AY932" s="140"/>
      <c r="AZ932" s="140"/>
      <c r="BA932" s="140"/>
      <c r="BB932" s="140"/>
      <c r="BC932" s="140"/>
      <c r="BD932" s="140"/>
      <c r="BE932" s="140"/>
      <c r="BF932" s="140"/>
      <c r="BG932" s="140"/>
      <c r="BH932" s="140"/>
      <c r="BI932" s="140"/>
      <c r="BJ932" s="140"/>
      <c r="BK932" s="140"/>
      <c r="BL932" s="140"/>
      <c r="BM932" s="140"/>
      <c r="BN932" s="140"/>
      <c r="BO932" s="140"/>
      <c r="BP932" s="140"/>
      <c r="BQ932" s="140"/>
      <c r="BR932" s="140"/>
      <c r="BS932" s="140"/>
      <c r="BT932" s="140"/>
      <c r="BU932" s="140"/>
      <c r="BV932" s="140"/>
      <c r="BW932" s="140"/>
      <c r="BX932" s="140"/>
      <c r="BY932" s="140"/>
      <c r="BZ932" s="140"/>
      <c r="CA932" s="140"/>
      <c r="CB932" s="140"/>
      <c r="CC932" s="140"/>
      <c r="CD932" s="140"/>
      <c r="CE932" s="140"/>
      <c r="CF932" s="140"/>
      <c r="CG932" s="140"/>
      <c r="CH932" s="140"/>
      <c r="CI932" s="140"/>
      <c r="CJ932" s="140"/>
      <c r="CK932" s="140"/>
      <c r="CL932" s="140"/>
      <c r="CM932" s="140"/>
      <c r="CN932" s="140"/>
      <c r="CO932" s="140"/>
      <c r="CP932" s="140"/>
      <c r="CQ932" s="140"/>
      <c r="CR932" s="140"/>
      <c r="CS932" s="140"/>
      <c r="CT932" s="140"/>
      <c r="CU932" s="140"/>
      <c r="CV932" s="140"/>
      <c r="CW932" s="140"/>
      <c r="CX932" s="140"/>
      <c r="CY932" s="140"/>
      <c r="CZ932" s="140"/>
      <c r="DA932" s="140"/>
      <c r="DB932" s="140"/>
      <c r="DC932" s="140"/>
      <c r="DD932" s="140"/>
      <c r="DE932" s="140"/>
      <c r="DF932" s="140"/>
      <c r="DG932" s="140"/>
      <c r="DH932" s="140"/>
      <c r="DI932" s="140"/>
      <c r="DJ932" s="140"/>
      <c r="DK932" s="140"/>
      <c r="DL932" s="140"/>
      <c r="DM932" s="140"/>
      <c r="DN932" s="140"/>
      <c r="DO932" s="140"/>
      <c r="DP932" s="140"/>
      <c r="DQ932" s="140"/>
      <c r="DR932" s="140"/>
      <c r="DS932" s="140"/>
      <c r="DT932" s="140"/>
      <c r="DU932" s="140"/>
      <c r="DV932" s="140"/>
      <c r="DW932" s="140"/>
      <c r="DX932" s="140"/>
      <c r="DY932" s="140"/>
      <c r="DZ932" s="140"/>
      <c r="EA932" s="140"/>
      <c r="EB932" s="140"/>
      <c r="EC932" s="140"/>
      <c r="ED932" s="140"/>
      <c r="EE932" s="140"/>
      <c r="EF932" s="140"/>
      <c r="EG932" s="140"/>
      <c r="EH932" s="140"/>
      <c r="EI932" s="140"/>
      <c r="EJ932" s="140"/>
      <c r="EK932" s="140"/>
      <c r="EL932" s="140"/>
      <c r="EM932" s="140"/>
      <c r="EN932" s="140"/>
      <c r="EO932" s="140"/>
      <c r="EP932" s="140"/>
      <c r="EQ932" s="140"/>
      <c r="ER932" s="140"/>
      <c r="ES932" s="140"/>
      <c r="ET932" s="140"/>
      <c r="EU932" s="140"/>
      <c r="EV932" s="140"/>
      <c r="EW932" s="140"/>
      <c r="EX932" s="140"/>
      <c r="EY932" s="140"/>
      <c r="EZ932" s="140"/>
      <c r="FA932" s="140"/>
      <c r="FB932" s="140"/>
      <c r="FC932" s="140"/>
      <c r="FD932" s="140"/>
      <c r="FE932" s="140"/>
      <c r="FF932" s="140"/>
      <c r="FG932" s="140"/>
      <c r="FH932" s="140"/>
      <c r="FI932" s="140"/>
      <c r="FJ932" s="140"/>
      <c r="FK932" s="140"/>
      <c r="FL932" s="140"/>
      <c r="FM932" s="140"/>
      <c r="FN932" s="140"/>
      <c r="FO932" s="140"/>
      <c r="FP932" s="140"/>
      <c r="FQ932" s="140"/>
      <c r="FR932" s="140"/>
      <c r="FS932" s="140"/>
      <c r="FT932" s="140"/>
      <c r="FU932" s="140"/>
      <c r="FV932" s="140"/>
      <c r="FW932" s="140"/>
      <c r="FX932" s="140"/>
      <c r="FY932" s="140"/>
      <c r="FZ932" s="140"/>
      <c r="GA932" s="140"/>
      <c r="GB932" s="140"/>
      <c r="GC932" s="140"/>
      <c r="GD932" s="140"/>
      <c r="GE932" s="140"/>
      <c r="GF932" s="140"/>
      <c r="GG932" s="140"/>
      <c r="GH932" s="140"/>
      <c r="GI932" s="140"/>
      <c r="GJ932" s="140"/>
      <c r="GK932" s="140"/>
      <c r="GL932" s="140"/>
      <c r="GM932" s="140"/>
      <c r="GN932" s="140"/>
      <c r="GO932" s="140"/>
      <c r="GP932" s="140"/>
      <c r="GQ932" s="140"/>
      <c r="GR932" s="140"/>
      <c r="GS932" s="140"/>
      <c r="GT932" s="140"/>
      <c r="GU932" s="140"/>
      <c r="GV932" s="140"/>
      <c r="GW932" s="140"/>
      <c r="GX932" s="140"/>
      <c r="GY932" s="140"/>
      <c r="GZ932" s="140"/>
      <c r="HA932" s="140"/>
      <c r="HB932" s="140"/>
      <c r="HC932" s="140"/>
      <c r="HD932" s="140"/>
      <c r="HE932" s="140"/>
      <c r="HF932" s="140"/>
      <c r="HG932" s="140"/>
      <c r="HH932" s="140"/>
      <c r="HI932" s="140"/>
      <c r="HJ932" s="140"/>
      <c r="HK932" s="140"/>
      <c r="HL932" s="140"/>
      <c r="HM932" s="140"/>
      <c r="HN932" s="140"/>
      <c r="HO932" s="140"/>
      <c r="HP932" s="140"/>
      <c r="HQ932" s="140"/>
      <c r="HR932" s="140"/>
      <c r="HS932" s="140"/>
      <c r="HT932" s="140"/>
      <c r="HU932" s="140"/>
      <c r="HV932" s="140"/>
      <c r="HW932" s="140"/>
      <c r="HX932" s="140"/>
      <c r="HY932" s="140"/>
      <c r="HZ932" s="140"/>
      <c r="IA932" s="140"/>
      <c r="IB932" s="140"/>
      <c r="IC932" s="140"/>
      <c r="ID932" s="140"/>
      <c r="IE932" s="140"/>
      <c r="IF932" s="140"/>
      <c r="IG932" s="140"/>
      <c r="IH932" s="140"/>
      <c r="II932" s="140"/>
      <c r="IJ932" s="140"/>
      <c r="IK932" s="140"/>
      <c r="IL932" s="140"/>
      <c r="IM932" s="140"/>
      <c r="IN932" s="140"/>
      <c r="IO932" s="140"/>
      <c r="IP932" s="140"/>
      <c r="IQ932" s="140"/>
      <c r="IR932" s="140"/>
      <c r="IS932" s="140"/>
      <c r="IT932" s="140"/>
      <c r="IU932" s="140"/>
      <c r="IV932" s="140"/>
      <c r="IW932" s="140"/>
      <c r="IX932" s="140"/>
      <c r="IY932" s="140"/>
      <c r="IZ932" s="140"/>
      <c r="JA932" s="140"/>
      <c r="JB932" s="140"/>
      <c r="JC932" s="140"/>
      <c r="JD932" s="140"/>
      <c r="JE932" s="140"/>
      <c r="JF932" s="140"/>
      <c r="JG932" s="140"/>
      <c r="JH932" s="140"/>
      <c r="JI932" s="140"/>
      <c r="JJ932" s="140"/>
      <c r="JK932" s="140"/>
      <c r="JL932" s="140"/>
      <c r="JM932" s="140"/>
      <c r="JN932" s="140"/>
      <c r="JO932" s="140"/>
      <c r="JP932" s="140"/>
      <c r="JQ932" s="140"/>
      <c r="JR932" s="140"/>
      <c r="JS932" s="140"/>
      <c r="JT932" s="140"/>
      <c r="JU932" s="140"/>
      <c r="JV932" s="140"/>
      <c r="JW932" s="140"/>
      <c r="JX932" s="140"/>
      <c r="JY932" s="140"/>
      <c r="JZ932" s="140"/>
      <c r="KA932" s="140"/>
      <c r="KB932" s="140"/>
      <c r="KC932" s="140"/>
      <c r="KD932" s="140"/>
      <c r="KE932" s="140"/>
      <c r="KF932" s="140"/>
      <c r="KG932" s="140"/>
      <c r="KH932" s="140"/>
      <c r="KI932" s="140"/>
      <c r="KJ932" s="140"/>
      <c r="KK932" s="140"/>
      <c r="KL932" s="140"/>
      <c r="KM932" s="140"/>
      <c r="KN932" s="140"/>
      <c r="KO932" s="140"/>
      <c r="KP932" s="140"/>
      <c r="KQ932" s="140"/>
      <c r="KR932" s="140"/>
      <c r="KS932" s="140"/>
      <c r="KT932" s="140"/>
      <c r="KU932" s="140"/>
      <c r="KV932" s="140"/>
      <c r="KW932" s="140"/>
      <c r="KX932" s="140"/>
      <c r="KY932" s="140"/>
      <c r="KZ932" s="140"/>
      <c r="LA932" s="140"/>
      <c r="LB932" s="140"/>
      <c r="LC932" s="140"/>
      <c r="LD932" s="140"/>
      <c r="LE932" s="140"/>
      <c r="LF932" s="140"/>
      <c r="LG932" s="140"/>
      <c r="LH932" s="140"/>
      <c r="LI932" s="140"/>
      <c r="LJ932" s="140"/>
      <c r="LK932" s="140"/>
      <c r="LL932" s="140"/>
      <c r="LM932" s="140"/>
      <c r="LN932" s="140"/>
      <c r="LO932" s="140"/>
      <c r="LP932" s="140"/>
      <c r="LQ932" s="140"/>
      <c r="LR932" s="140"/>
      <c r="LS932" s="140"/>
      <c r="LT932" s="140"/>
      <c r="LU932" s="140"/>
      <c r="LV932" s="140"/>
      <c r="LW932" s="140"/>
      <c r="LX932" s="140"/>
      <c r="LY932" s="140"/>
      <c r="LZ932" s="140"/>
      <c r="MA932" s="140"/>
      <c r="MB932" s="140"/>
      <c r="MC932" s="140"/>
      <c r="MD932" s="140"/>
      <c r="ME932" s="140"/>
      <c r="MF932" s="140"/>
      <c r="MG932" s="140"/>
      <c r="MH932" s="140"/>
      <c r="MI932" s="140"/>
      <c r="MJ932" s="140"/>
      <c r="MK932" s="140"/>
      <c r="ML932" s="140"/>
      <c r="MM932" s="140"/>
      <c r="MN932" s="140"/>
      <c r="MO932" s="140"/>
      <c r="MP932" s="140"/>
      <c r="MQ932" s="140"/>
      <c r="MR932" s="140"/>
      <c r="MS932" s="140"/>
      <c r="MT932" s="140"/>
      <c r="MU932" s="140"/>
      <c r="MV932" s="140"/>
      <c r="MW932" s="140"/>
      <c r="MX932" s="140"/>
      <c r="MY932" s="140"/>
      <c r="MZ932" s="140"/>
      <c r="NA932" s="140"/>
      <c r="NB932" s="140"/>
      <c r="NC932" s="140"/>
      <c r="ND932" s="140"/>
      <c r="NE932" s="140"/>
      <c r="NF932" s="140"/>
      <c r="NG932" s="140"/>
      <c r="NH932" s="140"/>
      <c r="NI932" s="140"/>
      <c r="NJ932" s="140"/>
      <c r="NK932" s="140"/>
      <c r="NL932" s="140"/>
      <c r="NM932" s="140"/>
      <c r="NN932" s="140"/>
      <c r="NO932" s="140"/>
      <c r="NP932" s="140"/>
      <c r="NQ932" s="140"/>
      <c r="NR932" s="140"/>
      <c r="NS932" s="140"/>
      <c r="NT932" s="140"/>
      <c r="NU932" s="140"/>
      <c r="NV932" s="140"/>
      <c r="NW932" s="140"/>
      <c r="NX932" s="140"/>
      <c r="NY932" s="140"/>
      <c r="NZ932" s="140"/>
      <c r="OA932" s="140"/>
      <c r="OB932" s="140"/>
      <c r="OC932" s="140"/>
      <c r="OD932" s="140"/>
      <c r="OE932" s="140"/>
      <c r="OF932" s="140"/>
      <c r="OG932" s="140"/>
      <c r="OH932" s="140"/>
      <c r="OI932" s="140"/>
      <c r="OJ932" s="140"/>
      <c r="OK932" s="140"/>
      <c r="OL932" s="140"/>
      <c r="OM932" s="140"/>
      <c r="ON932" s="140"/>
      <c r="OO932" s="140"/>
      <c r="OP932" s="140"/>
      <c r="OQ932" s="140"/>
      <c r="OR932" s="140"/>
      <c r="OS932" s="140"/>
      <c r="OT932" s="140"/>
      <c r="OU932" s="140"/>
      <c r="OV932" s="140"/>
      <c r="OW932" s="140"/>
      <c r="OX932" s="140"/>
      <c r="OY932" s="140"/>
      <c r="OZ932" s="140"/>
      <c r="PA932" s="140"/>
      <c r="PB932" s="140"/>
      <c r="PC932" s="140"/>
      <c r="PD932" s="140"/>
      <c r="PE932" s="140"/>
      <c r="PF932" s="140"/>
      <c r="PG932" s="140"/>
      <c r="PH932" s="140"/>
      <c r="PI932" s="140"/>
      <c r="PJ932" s="140"/>
      <c r="PK932" s="140"/>
      <c r="PL932" s="140"/>
      <c r="PM932" s="140"/>
      <c r="PN932" s="140"/>
      <c r="PO932" s="140"/>
      <c r="PP932" s="140"/>
      <c r="PQ932" s="140"/>
      <c r="PR932" s="140"/>
      <c r="PS932" s="140"/>
      <c r="PT932" s="140"/>
      <c r="PU932" s="140"/>
      <c r="PV932" s="140"/>
      <c r="PW932" s="140"/>
      <c r="PX932" s="140"/>
      <c r="PY932" s="140"/>
      <c r="PZ932" s="140"/>
      <c r="QA932" s="140"/>
      <c r="QB932" s="140"/>
      <c r="QC932" s="140"/>
      <c r="QD932" s="140"/>
      <c r="QE932" s="140"/>
      <c r="QF932" s="140"/>
      <c r="QG932" s="140"/>
      <c r="QH932" s="140"/>
      <c r="QI932" s="140"/>
      <c r="QJ932" s="140"/>
      <c r="QK932" s="140"/>
      <c r="QL932" s="140"/>
      <c r="QM932" s="140"/>
      <c r="QN932" s="140"/>
      <c r="QO932" s="140"/>
      <c r="QP932" s="140"/>
      <c r="QQ932" s="140"/>
      <c r="QR932" s="140"/>
      <c r="QS932" s="140"/>
      <c r="QT932" s="140"/>
      <c r="QU932" s="140"/>
      <c r="QV932" s="140"/>
      <c r="QW932" s="140"/>
      <c r="QX932" s="140"/>
      <c r="QY932" s="140"/>
      <c r="QZ932" s="140"/>
      <c r="RA932" s="140"/>
      <c r="RB932" s="140"/>
      <c r="RC932" s="140"/>
      <c r="RD932" s="140"/>
      <c r="RE932" s="140"/>
      <c r="RF932" s="140"/>
      <c r="RG932" s="140"/>
      <c r="RH932" s="140"/>
      <c r="RI932" s="140"/>
      <c r="RJ932" s="140"/>
      <c r="RK932" s="140"/>
      <c r="RL932" s="140"/>
      <c r="RM932" s="140"/>
      <c r="RN932" s="140"/>
      <c r="RO932" s="140"/>
      <c r="RP932" s="140"/>
      <c r="RQ932" s="140"/>
      <c r="RR932" s="140"/>
      <c r="RS932" s="140"/>
      <c r="RT932" s="140"/>
      <c r="RU932" s="140"/>
      <c r="RV932" s="140"/>
      <c r="RW932" s="140"/>
      <c r="RX932" s="140"/>
      <c r="RY932" s="140"/>
      <c r="RZ932" s="140"/>
      <c r="SA932" s="140"/>
      <c r="SB932" s="140"/>
      <c r="SC932" s="140"/>
      <c r="SD932" s="140"/>
      <c r="SE932" s="140"/>
      <c r="SF932" s="140"/>
      <c r="SG932" s="140"/>
      <c r="SH932" s="140"/>
      <c r="SI932" s="140"/>
      <c r="SJ932" s="140"/>
      <c r="SK932" s="140"/>
      <c r="SL932" s="140"/>
      <c r="SM932" s="140"/>
      <c r="SN932" s="140"/>
      <c r="SO932" s="140"/>
      <c r="SP932" s="140"/>
      <c r="SQ932" s="140"/>
      <c r="SR932" s="140"/>
      <c r="SS932" s="140"/>
      <c r="ST932" s="140"/>
      <c r="SU932" s="140"/>
      <c r="SV932" s="140"/>
      <c r="SW932" s="140"/>
      <c r="SX932" s="140"/>
      <c r="SY932" s="140"/>
      <c r="SZ932" s="140"/>
      <c r="TA932" s="140"/>
      <c r="TB932" s="140"/>
      <c r="TC932" s="140"/>
      <c r="TD932" s="140"/>
      <c r="TE932" s="140"/>
      <c r="TF932" s="140"/>
      <c r="TG932" s="140"/>
      <c r="TH932" s="140"/>
      <c r="TI932" s="140"/>
      <c r="TJ932" s="140"/>
      <c r="TK932" s="140"/>
      <c r="TL932" s="140"/>
      <c r="TM932" s="140"/>
      <c r="TN932" s="140"/>
      <c r="TO932" s="140"/>
      <c r="TP932" s="140"/>
      <c r="TQ932" s="140"/>
      <c r="TR932" s="140"/>
      <c r="TS932" s="140"/>
      <c r="TT932" s="140"/>
      <c r="TU932" s="140"/>
      <c r="TV932" s="140"/>
      <c r="TW932" s="140"/>
      <c r="TX932" s="140"/>
      <c r="TY932" s="140"/>
      <c r="TZ932" s="140"/>
      <c r="UA932" s="140"/>
      <c r="UB932" s="140"/>
      <c r="UC932" s="140"/>
      <c r="UD932" s="140"/>
      <c r="UE932" s="140"/>
      <c r="UF932" s="140"/>
      <c r="UG932" s="141"/>
    </row>
    <row r="933" spans="1:553" s="142" customFormat="1" ht="27.65" customHeight="1">
      <c r="A933" s="444"/>
      <c r="B933" s="532"/>
      <c r="C933" s="1220" t="s">
        <v>553</v>
      </c>
      <c r="D933" s="702"/>
      <c r="E933" s="703"/>
      <c r="F933" s="704"/>
      <c r="G933" s="429"/>
      <c r="H933" s="705"/>
      <c r="I933" s="424"/>
      <c r="J933" s="357"/>
      <c r="K933" s="706"/>
      <c r="L933" s="645"/>
      <c r="M933" s="548"/>
      <c r="N933" s="548"/>
      <c r="O933" s="444"/>
      <c r="P933" s="532"/>
      <c r="Q933" s="1242"/>
      <c r="R933" s="730"/>
      <c r="S933" s="308"/>
      <c r="T933" s="308"/>
      <c r="U933" s="308"/>
      <c r="V933" s="308"/>
      <c r="W933" s="308"/>
      <c r="X933" s="308"/>
      <c r="Y933" s="308"/>
      <c r="Z933" s="604"/>
      <c r="AA933" s="308"/>
      <c r="AB933" s="308"/>
      <c r="AC933" s="707"/>
      <c r="AD933" s="707"/>
      <c r="AE933" s="707"/>
      <c r="AF933" s="707"/>
      <c r="AG933" s="708"/>
      <c r="AH933" s="708"/>
      <c r="AI933" s="708"/>
      <c r="AJ933" s="708"/>
      <c r="AK933" s="708"/>
      <c r="AL933" s="195"/>
      <c r="AM933" s="143"/>
      <c r="AN933" s="143"/>
      <c r="AO933" s="143"/>
      <c r="AP933" s="143"/>
      <c r="AQ933" s="143"/>
      <c r="AR933" s="143"/>
      <c r="AS933" s="143"/>
      <c r="AT933" s="143"/>
      <c r="AU933" s="143"/>
      <c r="AV933" s="143"/>
      <c r="AW933" s="143"/>
      <c r="AX933" s="143"/>
      <c r="AY933" s="143"/>
      <c r="AZ933" s="143"/>
      <c r="BA933" s="143"/>
      <c r="BB933" s="143"/>
      <c r="BC933" s="143"/>
      <c r="BD933" s="143"/>
      <c r="BE933" s="143"/>
      <c r="BF933" s="143"/>
      <c r="BG933" s="143"/>
      <c r="BH933" s="143"/>
      <c r="BI933" s="143"/>
      <c r="BJ933" s="143"/>
      <c r="BK933" s="143"/>
      <c r="BL933" s="143"/>
      <c r="BM933" s="143"/>
      <c r="BN933" s="143"/>
      <c r="BO933" s="143"/>
      <c r="BP933" s="143"/>
      <c r="BQ933" s="143"/>
      <c r="BR933" s="143"/>
      <c r="BS933" s="143"/>
      <c r="BT933" s="143"/>
      <c r="BU933" s="143"/>
      <c r="BV933" s="143"/>
      <c r="BW933" s="143"/>
      <c r="BX933" s="143"/>
      <c r="BY933" s="143"/>
      <c r="BZ933" s="143"/>
      <c r="CA933" s="143"/>
      <c r="CB933" s="143"/>
      <c r="CC933" s="143"/>
      <c r="CD933" s="143"/>
      <c r="CE933" s="143"/>
      <c r="CF933" s="143"/>
      <c r="CG933" s="143"/>
      <c r="CH933" s="143"/>
      <c r="CI933" s="143"/>
      <c r="CJ933" s="143"/>
      <c r="CK933" s="143"/>
      <c r="CL933" s="143"/>
      <c r="CM933" s="143"/>
      <c r="CN933" s="143"/>
      <c r="CO933" s="143"/>
      <c r="CP933" s="143"/>
      <c r="CQ933" s="143"/>
      <c r="CR933" s="143"/>
      <c r="CS933" s="143"/>
      <c r="CT933" s="143"/>
      <c r="CU933" s="143"/>
      <c r="CV933" s="143"/>
      <c r="CW933" s="143"/>
      <c r="CX933" s="143"/>
      <c r="CY933" s="143"/>
      <c r="CZ933" s="143"/>
      <c r="DA933" s="143"/>
      <c r="DB933" s="143"/>
      <c r="DC933" s="143"/>
      <c r="DD933" s="143"/>
      <c r="DE933" s="143"/>
      <c r="DF933" s="143"/>
      <c r="DG933" s="143"/>
      <c r="DH933" s="143"/>
      <c r="DI933" s="143"/>
      <c r="DJ933" s="143"/>
      <c r="DK933" s="143"/>
      <c r="DL933" s="143"/>
      <c r="DM933" s="143"/>
      <c r="DN933" s="143"/>
      <c r="DO933" s="143"/>
      <c r="DP933" s="143"/>
      <c r="DQ933" s="143"/>
      <c r="DR933" s="143"/>
      <c r="DS933" s="143"/>
      <c r="DT933" s="143"/>
      <c r="DU933" s="143"/>
      <c r="DV933" s="143"/>
      <c r="DW933" s="143"/>
      <c r="DX933" s="143"/>
      <c r="DY933" s="143"/>
      <c r="DZ933" s="143"/>
      <c r="EA933" s="143"/>
      <c r="EB933" s="143"/>
      <c r="EC933" s="143"/>
      <c r="ED933" s="143"/>
      <c r="EE933" s="143"/>
      <c r="EF933" s="143"/>
      <c r="EG933" s="143"/>
      <c r="EH933" s="143"/>
      <c r="EI933" s="143"/>
      <c r="EJ933" s="143"/>
      <c r="EK933" s="143"/>
      <c r="EL933" s="143"/>
      <c r="EM933" s="143"/>
      <c r="EN933" s="143"/>
      <c r="EO933" s="143"/>
      <c r="EP933" s="143"/>
      <c r="EQ933" s="143"/>
      <c r="ER933" s="143"/>
      <c r="ES933" s="143"/>
      <c r="ET933" s="143"/>
      <c r="EU933" s="143"/>
      <c r="EV933" s="143"/>
      <c r="EW933" s="143"/>
      <c r="EX933" s="143"/>
      <c r="EY933" s="143"/>
      <c r="EZ933" s="143"/>
      <c r="FA933" s="143"/>
      <c r="FB933" s="143"/>
      <c r="FC933" s="143"/>
      <c r="FD933" s="143"/>
      <c r="FE933" s="143"/>
      <c r="FF933" s="143"/>
      <c r="FG933" s="143"/>
      <c r="FH933" s="143"/>
      <c r="FI933" s="143"/>
      <c r="FJ933" s="143"/>
      <c r="FK933" s="143"/>
      <c r="FL933" s="143"/>
      <c r="FM933" s="143"/>
      <c r="FN933" s="143"/>
      <c r="FO933" s="143"/>
      <c r="FP933" s="143"/>
      <c r="FQ933" s="143"/>
      <c r="FR933" s="143"/>
      <c r="FS933" s="143"/>
      <c r="FT933" s="143"/>
      <c r="FU933" s="143"/>
      <c r="FV933" s="143"/>
      <c r="FW933" s="143"/>
      <c r="FX933" s="143"/>
      <c r="FY933" s="143"/>
      <c r="FZ933" s="143"/>
      <c r="GA933" s="143"/>
      <c r="GB933" s="143"/>
      <c r="GC933" s="143"/>
      <c r="GD933" s="143"/>
      <c r="GE933" s="143"/>
      <c r="GF933" s="143"/>
      <c r="GG933" s="143"/>
      <c r="GH933" s="143"/>
      <c r="GI933" s="143"/>
      <c r="GJ933" s="143"/>
      <c r="GK933" s="143"/>
      <c r="GL933" s="143"/>
      <c r="GM933" s="143"/>
      <c r="GN933" s="143"/>
      <c r="GO933" s="143"/>
      <c r="GP933" s="143"/>
      <c r="GQ933" s="143"/>
      <c r="GR933" s="143"/>
      <c r="GS933" s="143"/>
      <c r="GT933" s="143"/>
      <c r="GU933" s="143"/>
      <c r="GV933" s="143"/>
      <c r="GW933" s="143"/>
      <c r="GX933" s="143"/>
      <c r="GY933" s="143"/>
      <c r="GZ933" s="143"/>
      <c r="HA933" s="143"/>
      <c r="HB933" s="143"/>
      <c r="HC933" s="143"/>
      <c r="HD933" s="143"/>
      <c r="HE933" s="143"/>
      <c r="HF933" s="143"/>
      <c r="HG933" s="143"/>
      <c r="HH933" s="143"/>
      <c r="HI933" s="143"/>
      <c r="HJ933" s="143"/>
      <c r="HK933" s="143"/>
      <c r="HL933" s="143"/>
      <c r="HM933" s="143"/>
      <c r="HN933" s="143"/>
      <c r="HO933" s="143"/>
      <c r="HP933" s="143"/>
      <c r="HQ933" s="143"/>
      <c r="HR933" s="143"/>
      <c r="HS933" s="143"/>
      <c r="HT933" s="143"/>
      <c r="HU933" s="143"/>
      <c r="HV933" s="143"/>
      <c r="HW933" s="143"/>
      <c r="HX933" s="143"/>
      <c r="HY933" s="143"/>
      <c r="HZ933" s="143"/>
      <c r="IA933" s="143"/>
      <c r="IB933" s="143"/>
      <c r="IC933" s="143"/>
      <c r="ID933" s="143"/>
      <c r="IE933" s="143"/>
      <c r="IF933" s="143"/>
      <c r="IG933" s="143"/>
      <c r="IH933" s="143"/>
      <c r="II933" s="143"/>
      <c r="IJ933" s="143"/>
      <c r="IK933" s="143"/>
      <c r="IL933" s="143"/>
      <c r="IM933" s="143"/>
      <c r="IN933" s="143"/>
      <c r="IO933" s="143"/>
      <c r="IP933" s="143"/>
      <c r="IQ933" s="143"/>
      <c r="IR933" s="143"/>
      <c r="IS933" s="143"/>
      <c r="IT933" s="143"/>
      <c r="IU933" s="143"/>
      <c r="IV933" s="143"/>
      <c r="IW933" s="143"/>
      <c r="IX933" s="143"/>
      <c r="IY933" s="143"/>
      <c r="IZ933" s="143"/>
      <c r="JA933" s="143"/>
      <c r="JB933" s="143"/>
      <c r="JC933" s="143"/>
      <c r="JD933" s="143"/>
      <c r="JE933" s="143"/>
      <c r="JF933" s="143"/>
      <c r="JG933" s="143"/>
      <c r="JH933" s="143"/>
      <c r="JI933" s="143"/>
      <c r="JJ933" s="143"/>
      <c r="JK933" s="143"/>
      <c r="JL933" s="143"/>
      <c r="JM933" s="143"/>
      <c r="JN933" s="143"/>
      <c r="JO933" s="143"/>
      <c r="JP933" s="143"/>
      <c r="JQ933" s="143"/>
      <c r="JR933" s="143"/>
      <c r="JS933" s="143"/>
      <c r="JT933" s="143"/>
      <c r="JU933" s="143"/>
      <c r="JV933" s="143"/>
      <c r="JW933" s="143"/>
      <c r="JX933" s="143"/>
      <c r="JY933" s="143"/>
      <c r="JZ933" s="143"/>
      <c r="KA933" s="143"/>
      <c r="KB933" s="143"/>
      <c r="KC933" s="143"/>
      <c r="KD933" s="143"/>
      <c r="KE933" s="143"/>
      <c r="KF933" s="143"/>
      <c r="KG933" s="143"/>
      <c r="KH933" s="143"/>
      <c r="KI933" s="143"/>
      <c r="KJ933" s="143"/>
      <c r="KK933" s="143"/>
      <c r="KL933" s="143"/>
      <c r="KM933" s="143"/>
      <c r="KN933" s="143"/>
      <c r="KO933" s="143"/>
      <c r="KP933" s="143"/>
      <c r="KQ933" s="143"/>
      <c r="KR933" s="143"/>
      <c r="KS933" s="143"/>
      <c r="KT933" s="143"/>
      <c r="KU933" s="143"/>
      <c r="KV933" s="143"/>
      <c r="KW933" s="143"/>
      <c r="KX933" s="143"/>
      <c r="KY933" s="143"/>
      <c r="KZ933" s="143"/>
      <c r="LA933" s="143"/>
      <c r="LB933" s="143"/>
      <c r="LC933" s="143"/>
      <c r="LD933" s="143"/>
      <c r="LE933" s="143"/>
      <c r="LF933" s="143"/>
      <c r="LG933" s="143"/>
      <c r="LH933" s="143"/>
      <c r="LI933" s="143"/>
      <c r="LJ933" s="143"/>
      <c r="LK933" s="143"/>
      <c r="LL933" s="143"/>
      <c r="LM933" s="143"/>
      <c r="LN933" s="143"/>
      <c r="LO933" s="143"/>
      <c r="LP933" s="143"/>
      <c r="LQ933" s="143"/>
      <c r="LR933" s="143"/>
      <c r="LS933" s="143"/>
      <c r="LT933" s="143"/>
      <c r="LU933" s="143"/>
      <c r="LV933" s="143"/>
      <c r="LW933" s="143"/>
      <c r="LX933" s="143"/>
      <c r="LY933" s="143"/>
      <c r="LZ933" s="143"/>
      <c r="MA933" s="143"/>
      <c r="MB933" s="143"/>
      <c r="MC933" s="143"/>
      <c r="MD933" s="143"/>
      <c r="ME933" s="143"/>
      <c r="MF933" s="143"/>
      <c r="MG933" s="143"/>
      <c r="MH933" s="143"/>
      <c r="MI933" s="143"/>
      <c r="MJ933" s="143"/>
      <c r="MK933" s="143"/>
      <c r="ML933" s="143"/>
      <c r="MM933" s="143"/>
      <c r="MN933" s="143"/>
      <c r="MO933" s="143"/>
      <c r="MP933" s="143"/>
      <c r="MQ933" s="143"/>
      <c r="MR933" s="143"/>
      <c r="MS933" s="143"/>
      <c r="MT933" s="143"/>
      <c r="MU933" s="143"/>
      <c r="MV933" s="143"/>
      <c r="MW933" s="143"/>
      <c r="MX933" s="143"/>
      <c r="MY933" s="143"/>
      <c r="MZ933" s="143"/>
      <c r="NA933" s="143"/>
      <c r="NB933" s="143"/>
      <c r="NC933" s="143"/>
      <c r="ND933" s="143"/>
      <c r="NE933" s="143"/>
      <c r="NF933" s="143"/>
      <c r="NG933" s="143"/>
      <c r="NH933" s="143"/>
      <c r="NI933" s="143"/>
      <c r="NJ933" s="143"/>
      <c r="NK933" s="143"/>
      <c r="NL933" s="143"/>
      <c r="NM933" s="143"/>
      <c r="NN933" s="143"/>
      <c r="NO933" s="143"/>
      <c r="NP933" s="143"/>
      <c r="NQ933" s="143"/>
      <c r="NR933" s="143"/>
      <c r="NS933" s="143"/>
      <c r="NT933" s="143"/>
      <c r="NU933" s="143"/>
      <c r="NV933" s="143"/>
      <c r="NW933" s="143"/>
      <c r="NX933" s="143"/>
      <c r="NY933" s="143"/>
      <c r="NZ933" s="143"/>
      <c r="OA933" s="143"/>
      <c r="OB933" s="143"/>
      <c r="OC933" s="143"/>
      <c r="OD933" s="143"/>
      <c r="OE933" s="143"/>
      <c r="OF933" s="143"/>
      <c r="OG933" s="143"/>
      <c r="OH933" s="143"/>
      <c r="OI933" s="143"/>
      <c r="OJ933" s="143"/>
      <c r="OK933" s="143"/>
      <c r="OL933" s="143"/>
      <c r="OM933" s="143"/>
      <c r="ON933" s="143"/>
      <c r="OO933" s="143"/>
      <c r="OP933" s="143"/>
      <c r="OQ933" s="143"/>
      <c r="OR933" s="143"/>
      <c r="OS933" s="143"/>
      <c r="OT933" s="143"/>
      <c r="OU933" s="143"/>
      <c r="OV933" s="143"/>
      <c r="OW933" s="143"/>
      <c r="OX933" s="143"/>
      <c r="OY933" s="143"/>
      <c r="OZ933" s="143"/>
      <c r="PA933" s="143"/>
      <c r="PB933" s="143"/>
      <c r="PC933" s="143"/>
      <c r="PD933" s="143"/>
      <c r="PE933" s="143"/>
      <c r="PF933" s="143"/>
      <c r="PG933" s="143"/>
      <c r="PH933" s="143"/>
      <c r="PI933" s="143"/>
      <c r="PJ933" s="143"/>
      <c r="PK933" s="143"/>
      <c r="PL933" s="143"/>
      <c r="PM933" s="143"/>
      <c r="PN933" s="143"/>
      <c r="PO933" s="143"/>
      <c r="PP933" s="143"/>
      <c r="PQ933" s="143"/>
      <c r="PR933" s="143"/>
      <c r="PS933" s="143"/>
      <c r="PT933" s="143"/>
      <c r="PU933" s="143"/>
      <c r="PV933" s="143"/>
      <c r="PW933" s="143"/>
      <c r="PX933" s="143"/>
      <c r="PY933" s="143"/>
      <c r="PZ933" s="143"/>
      <c r="QA933" s="143"/>
      <c r="QB933" s="143"/>
      <c r="QC933" s="143"/>
      <c r="QD933" s="143"/>
      <c r="QE933" s="143"/>
      <c r="QF933" s="143"/>
      <c r="QG933" s="143"/>
      <c r="QH933" s="143"/>
      <c r="QI933" s="143"/>
      <c r="QJ933" s="143"/>
      <c r="QK933" s="143"/>
      <c r="QL933" s="143"/>
      <c r="QM933" s="143"/>
      <c r="QN933" s="143"/>
      <c r="QO933" s="143"/>
      <c r="QP933" s="143"/>
      <c r="QQ933" s="143"/>
      <c r="QR933" s="143"/>
      <c r="QS933" s="143"/>
      <c r="QT933" s="143"/>
      <c r="QU933" s="143"/>
      <c r="QV933" s="143"/>
      <c r="QW933" s="143"/>
      <c r="QX933" s="143"/>
      <c r="QY933" s="143"/>
      <c r="QZ933" s="143"/>
      <c r="RA933" s="143"/>
      <c r="RB933" s="143"/>
      <c r="RC933" s="143"/>
      <c r="RD933" s="143"/>
      <c r="RE933" s="143"/>
      <c r="RF933" s="143"/>
      <c r="RG933" s="143"/>
      <c r="RH933" s="143"/>
      <c r="RI933" s="143"/>
      <c r="RJ933" s="143"/>
      <c r="RK933" s="143"/>
      <c r="RL933" s="143"/>
      <c r="RM933" s="143"/>
      <c r="RN933" s="143"/>
      <c r="RO933" s="143"/>
      <c r="RP933" s="143"/>
      <c r="RQ933" s="143"/>
      <c r="RR933" s="143"/>
      <c r="RS933" s="143"/>
      <c r="RT933" s="143"/>
      <c r="RU933" s="143"/>
      <c r="RV933" s="143"/>
      <c r="RW933" s="143"/>
      <c r="RX933" s="143"/>
      <c r="RY933" s="143"/>
      <c r="RZ933" s="143"/>
      <c r="SA933" s="143"/>
      <c r="SB933" s="143"/>
      <c r="SC933" s="143"/>
      <c r="SD933" s="143"/>
      <c r="SE933" s="143"/>
      <c r="SF933" s="143"/>
      <c r="SG933" s="143"/>
      <c r="SH933" s="143"/>
      <c r="SI933" s="143"/>
      <c r="SJ933" s="143"/>
      <c r="SK933" s="143"/>
      <c r="SL933" s="143"/>
      <c r="SM933" s="143"/>
      <c r="SN933" s="143"/>
      <c r="SO933" s="143"/>
      <c r="SP933" s="143"/>
      <c r="SQ933" s="143"/>
      <c r="SR933" s="143"/>
      <c r="SS933" s="143"/>
      <c r="ST933" s="143"/>
      <c r="SU933" s="143"/>
      <c r="SV933" s="143"/>
      <c r="SW933" s="143"/>
      <c r="SX933" s="143"/>
      <c r="SY933" s="143"/>
      <c r="SZ933" s="143"/>
      <c r="TA933" s="143"/>
      <c r="TB933" s="143"/>
      <c r="TC933" s="143"/>
      <c r="TD933" s="143"/>
      <c r="TE933" s="143"/>
      <c r="TF933" s="143"/>
      <c r="TG933" s="143"/>
      <c r="TH933" s="143"/>
      <c r="TI933" s="143"/>
      <c r="TJ933" s="143"/>
      <c r="TK933" s="143"/>
      <c r="TL933" s="143"/>
      <c r="TM933" s="143"/>
      <c r="TN933" s="143"/>
      <c r="TO933" s="143"/>
      <c r="TP933" s="143"/>
      <c r="TQ933" s="143"/>
      <c r="TR933" s="143"/>
      <c r="TS933" s="143"/>
      <c r="TT933" s="143"/>
      <c r="TU933" s="143"/>
      <c r="TV933" s="143"/>
      <c r="TW933" s="143"/>
      <c r="TX933" s="143"/>
      <c r="TY933" s="143"/>
      <c r="TZ933" s="143"/>
      <c r="UA933" s="143"/>
      <c r="UB933" s="143"/>
      <c r="UC933" s="143"/>
      <c r="UD933" s="143"/>
      <c r="UE933" s="143"/>
      <c r="UF933" s="143"/>
      <c r="UG933" s="144"/>
    </row>
    <row r="934" spans="1:553" s="142" customFormat="1" ht="27.65" customHeight="1">
      <c r="A934" s="444"/>
      <c r="B934" s="384"/>
      <c r="C934" s="1223" t="s">
        <v>254</v>
      </c>
      <c r="D934" s="702"/>
      <c r="E934" s="703"/>
      <c r="F934" s="704"/>
      <c r="G934" s="386" t="s">
        <v>113</v>
      </c>
      <c r="H934" s="672"/>
      <c r="I934" s="417">
        <v>24</v>
      </c>
      <c r="J934" s="368">
        <v>114600</v>
      </c>
      <c r="K934" s="686"/>
      <c r="L934" s="480">
        <f>I934*J934</f>
        <v>2750400</v>
      </c>
      <c r="M934" s="548"/>
      <c r="N934" s="548"/>
      <c r="O934" s="427"/>
      <c r="P934" s="384"/>
      <c r="Q934" s="1213"/>
      <c r="R934" s="1227"/>
      <c r="S934" s="308"/>
      <c r="T934" s="308"/>
      <c r="U934" s="308"/>
      <c r="V934" s="308"/>
      <c r="W934" s="308"/>
      <c r="X934" s="308"/>
      <c r="Y934" s="308"/>
      <c r="Z934" s="604"/>
      <c r="AA934" s="308"/>
      <c r="AB934" s="308"/>
      <c r="AC934" s="687"/>
      <c r="AD934" s="687"/>
      <c r="AE934" s="687"/>
      <c r="AF934" s="687"/>
      <c r="AG934" s="688"/>
      <c r="AH934" s="688"/>
      <c r="AI934" s="688"/>
      <c r="AJ934" s="688"/>
      <c r="AK934" s="688"/>
      <c r="AL934" s="207"/>
      <c r="AM934" s="140"/>
      <c r="AN934" s="140"/>
      <c r="AO934" s="140"/>
      <c r="AP934" s="140"/>
      <c r="AQ934" s="140"/>
      <c r="AR934" s="140"/>
      <c r="AS934" s="140"/>
      <c r="AT934" s="140"/>
      <c r="AU934" s="140"/>
      <c r="AV934" s="140"/>
      <c r="AW934" s="140"/>
      <c r="AX934" s="140"/>
      <c r="AY934" s="140"/>
      <c r="AZ934" s="140"/>
      <c r="BA934" s="140"/>
      <c r="BB934" s="140"/>
      <c r="BC934" s="140"/>
      <c r="BD934" s="140"/>
      <c r="BE934" s="140"/>
      <c r="BF934" s="140"/>
      <c r="BG934" s="140"/>
      <c r="BH934" s="140"/>
      <c r="BI934" s="140"/>
      <c r="BJ934" s="140"/>
      <c r="BK934" s="140"/>
      <c r="BL934" s="140"/>
      <c r="BM934" s="140"/>
      <c r="BN934" s="140"/>
      <c r="BO934" s="140"/>
      <c r="BP934" s="140"/>
      <c r="BQ934" s="140"/>
      <c r="BR934" s="140"/>
      <c r="BS934" s="140"/>
      <c r="BT934" s="140"/>
      <c r="BU934" s="140"/>
      <c r="BV934" s="140"/>
      <c r="BW934" s="140"/>
      <c r="BX934" s="140"/>
      <c r="BY934" s="140"/>
      <c r="BZ934" s="140"/>
      <c r="CA934" s="140"/>
      <c r="CB934" s="140"/>
      <c r="CC934" s="140"/>
      <c r="CD934" s="140"/>
      <c r="CE934" s="140"/>
      <c r="CF934" s="140"/>
      <c r="CG934" s="140"/>
      <c r="CH934" s="140"/>
      <c r="CI934" s="140"/>
      <c r="CJ934" s="140"/>
      <c r="CK934" s="140"/>
      <c r="CL934" s="140"/>
      <c r="CM934" s="140"/>
      <c r="CN934" s="140"/>
      <c r="CO934" s="140"/>
      <c r="CP934" s="140"/>
      <c r="CQ934" s="140"/>
      <c r="CR934" s="140"/>
      <c r="CS934" s="140"/>
      <c r="CT934" s="140"/>
      <c r="CU934" s="140"/>
      <c r="CV934" s="140"/>
      <c r="CW934" s="140"/>
      <c r="CX934" s="140"/>
      <c r="CY934" s="140"/>
      <c r="CZ934" s="140"/>
      <c r="DA934" s="140"/>
      <c r="DB934" s="140"/>
      <c r="DC934" s="140"/>
      <c r="DD934" s="140"/>
      <c r="DE934" s="140"/>
      <c r="DF934" s="140"/>
      <c r="DG934" s="140"/>
      <c r="DH934" s="140"/>
      <c r="DI934" s="140"/>
      <c r="DJ934" s="140"/>
      <c r="DK934" s="140"/>
      <c r="DL934" s="140"/>
      <c r="DM934" s="140"/>
      <c r="DN934" s="140"/>
      <c r="DO934" s="140"/>
      <c r="DP934" s="140"/>
      <c r="DQ934" s="140"/>
      <c r="DR934" s="140"/>
      <c r="DS934" s="140"/>
      <c r="DT934" s="140"/>
      <c r="DU934" s="140"/>
      <c r="DV934" s="140"/>
      <c r="DW934" s="140"/>
      <c r="DX934" s="140"/>
      <c r="DY934" s="140"/>
      <c r="DZ934" s="140"/>
      <c r="EA934" s="140"/>
      <c r="EB934" s="140"/>
      <c r="EC934" s="140"/>
      <c r="ED934" s="140"/>
      <c r="EE934" s="140"/>
      <c r="EF934" s="140"/>
      <c r="EG934" s="140"/>
      <c r="EH934" s="140"/>
      <c r="EI934" s="140"/>
      <c r="EJ934" s="140"/>
      <c r="EK934" s="140"/>
      <c r="EL934" s="140"/>
      <c r="EM934" s="140"/>
      <c r="EN934" s="140"/>
      <c r="EO934" s="140"/>
      <c r="EP934" s="140"/>
      <c r="EQ934" s="140"/>
      <c r="ER934" s="140"/>
      <c r="ES934" s="140"/>
      <c r="ET934" s="140"/>
      <c r="EU934" s="140"/>
      <c r="EV934" s="140"/>
      <c r="EW934" s="140"/>
      <c r="EX934" s="140"/>
      <c r="EY934" s="140"/>
      <c r="EZ934" s="140"/>
      <c r="FA934" s="140"/>
      <c r="FB934" s="140"/>
      <c r="FC934" s="140"/>
      <c r="FD934" s="140"/>
      <c r="FE934" s="140"/>
      <c r="FF934" s="140"/>
      <c r="FG934" s="140"/>
      <c r="FH934" s="140"/>
      <c r="FI934" s="140"/>
      <c r="FJ934" s="140"/>
      <c r="FK934" s="140"/>
      <c r="FL934" s="140"/>
      <c r="FM934" s="140"/>
      <c r="FN934" s="140"/>
      <c r="FO934" s="140"/>
      <c r="FP934" s="140"/>
      <c r="FQ934" s="140"/>
      <c r="FR934" s="140"/>
      <c r="FS934" s="140"/>
      <c r="FT934" s="140"/>
      <c r="FU934" s="140"/>
      <c r="FV934" s="140"/>
      <c r="FW934" s="140"/>
      <c r="FX934" s="140"/>
      <c r="FY934" s="140"/>
      <c r="FZ934" s="140"/>
      <c r="GA934" s="140"/>
      <c r="GB934" s="140"/>
      <c r="GC934" s="140"/>
      <c r="GD934" s="140"/>
      <c r="GE934" s="140"/>
      <c r="GF934" s="140"/>
      <c r="GG934" s="140"/>
      <c r="GH934" s="140"/>
      <c r="GI934" s="140"/>
      <c r="GJ934" s="140"/>
      <c r="GK934" s="140"/>
      <c r="GL934" s="140"/>
      <c r="GM934" s="140"/>
      <c r="GN934" s="140"/>
      <c r="GO934" s="140"/>
      <c r="GP934" s="140"/>
      <c r="GQ934" s="140"/>
      <c r="GR934" s="140"/>
      <c r="GS934" s="140"/>
      <c r="GT934" s="140"/>
      <c r="GU934" s="140"/>
      <c r="GV934" s="140"/>
      <c r="GW934" s="140"/>
      <c r="GX934" s="140"/>
      <c r="GY934" s="140"/>
      <c r="GZ934" s="140"/>
      <c r="HA934" s="140"/>
      <c r="HB934" s="140"/>
      <c r="HC934" s="140"/>
      <c r="HD934" s="140"/>
      <c r="HE934" s="140"/>
      <c r="HF934" s="140"/>
      <c r="HG934" s="140"/>
      <c r="HH934" s="140"/>
      <c r="HI934" s="140"/>
      <c r="HJ934" s="140"/>
      <c r="HK934" s="140"/>
      <c r="HL934" s="140"/>
      <c r="HM934" s="140"/>
      <c r="HN934" s="140"/>
      <c r="HO934" s="140"/>
      <c r="HP934" s="140"/>
      <c r="HQ934" s="140"/>
      <c r="HR934" s="140"/>
      <c r="HS934" s="140"/>
      <c r="HT934" s="140"/>
      <c r="HU934" s="140"/>
      <c r="HV934" s="140"/>
      <c r="HW934" s="140"/>
      <c r="HX934" s="140"/>
      <c r="HY934" s="140"/>
      <c r="HZ934" s="140"/>
      <c r="IA934" s="140"/>
      <c r="IB934" s="140"/>
      <c r="IC934" s="140"/>
      <c r="ID934" s="140"/>
      <c r="IE934" s="140"/>
      <c r="IF934" s="140"/>
      <c r="IG934" s="140"/>
      <c r="IH934" s="140"/>
      <c r="II934" s="140"/>
      <c r="IJ934" s="140"/>
      <c r="IK934" s="140"/>
      <c r="IL934" s="140"/>
      <c r="IM934" s="140"/>
      <c r="IN934" s="140"/>
      <c r="IO934" s="140"/>
      <c r="IP934" s="140"/>
      <c r="IQ934" s="140"/>
      <c r="IR934" s="140"/>
      <c r="IS934" s="140"/>
      <c r="IT934" s="140"/>
      <c r="IU934" s="140"/>
      <c r="IV934" s="140"/>
      <c r="IW934" s="140"/>
      <c r="IX934" s="140"/>
      <c r="IY934" s="140"/>
      <c r="IZ934" s="140"/>
      <c r="JA934" s="140"/>
      <c r="JB934" s="140"/>
      <c r="JC934" s="140"/>
      <c r="JD934" s="140"/>
      <c r="JE934" s="140"/>
      <c r="JF934" s="140"/>
      <c r="JG934" s="140"/>
      <c r="JH934" s="140"/>
      <c r="JI934" s="140"/>
      <c r="JJ934" s="140"/>
      <c r="JK934" s="140"/>
      <c r="JL934" s="140"/>
      <c r="JM934" s="140"/>
      <c r="JN934" s="140"/>
      <c r="JO934" s="140"/>
      <c r="JP934" s="140"/>
      <c r="JQ934" s="140"/>
      <c r="JR934" s="140"/>
      <c r="JS934" s="140"/>
      <c r="JT934" s="140"/>
      <c r="JU934" s="140"/>
      <c r="JV934" s="140"/>
      <c r="JW934" s="140"/>
      <c r="JX934" s="140"/>
      <c r="JY934" s="140"/>
      <c r="JZ934" s="140"/>
      <c r="KA934" s="140"/>
      <c r="KB934" s="140"/>
      <c r="KC934" s="140"/>
      <c r="KD934" s="140"/>
      <c r="KE934" s="140"/>
      <c r="KF934" s="140"/>
      <c r="KG934" s="140"/>
      <c r="KH934" s="140"/>
      <c r="KI934" s="140"/>
      <c r="KJ934" s="140"/>
      <c r="KK934" s="140"/>
      <c r="KL934" s="140"/>
      <c r="KM934" s="140"/>
      <c r="KN934" s="140"/>
      <c r="KO934" s="140"/>
      <c r="KP934" s="140"/>
      <c r="KQ934" s="140"/>
      <c r="KR934" s="140"/>
      <c r="KS934" s="140"/>
      <c r="KT934" s="140"/>
      <c r="KU934" s="140"/>
      <c r="KV934" s="140"/>
      <c r="KW934" s="140"/>
      <c r="KX934" s="140"/>
      <c r="KY934" s="140"/>
      <c r="KZ934" s="140"/>
      <c r="LA934" s="140"/>
      <c r="LB934" s="140"/>
      <c r="LC934" s="140"/>
      <c r="LD934" s="140"/>
      <c r="LE934" s="140"/>
      <c r="LF934" s="140"/>
      <c r="LG934" s="140"/>
      <c r="LH934" s="140"/>
      <c r="LI934" s="140"/>
      <c r="LJ934" s="140"/>
      <c r="LK934" s="140"/>
      <c r="LL934" s="140"/>
      <c r="LM934" s="140"/>
      <c r="LN934" s="140"/>
      <c r="LO934" s="140"/>
      <c r="LP934" s="140"/>
      <c r="LQ934" s="140"/>
      <c r="LR934" s="140"/>
      <c r="LS934" s="140"/>
      <c r="LT934" s="140"/>
      <c r="LU934" s="140"/>
      <c r="LV934" s="140"/>
      <c r="LW934" s="140"/>
      <c r="LX934" s="140"/>
      <c r="LY934" s="140"/>
      <c r="LZ934" s="140"/>
      <c r="MA934" s="140"/>
      <c r="MB934" s="140"/>
      <c r="MC934" s="140"/>
      <c r="MD934" s="140"/>
      <c r="ME934" s="140"/>
      <c r="MF934" s="140"/>
      <c r="MG934" s="140"/>
      <c r="MH934" s="140"/>
      <c r="MI934" s="140"/>
      <c r="MJ934" s="140"/>
      <c r="MK934" s="140"/>
      <c r="ML934" s="140"/>
      <c r="MM934" s="140"/>
      <c r="MN934" s="140"/>
      <c r="MO934" s="140"/>
      <c r="MP934" s="140"/>
      <c r="MQ934" s="140"/>
      <c r="MR934" s="140"/>
      <c r="MS934" s="140"/>
      <c r="MT934" s="140"/>
      <c r="MU934" s="140"/>
      <c r="MV934" s="140"/>
      <c r="MW934" s="140"/>
      <c r="MX934" s="140"/>
      <c r="MY934" s="140"/>
      <c r="MZ934" s="140"/>
      <c r="NA934" s="140"/>
      <c r="NB934" s="140"/>
      <c r="NC934" s="140"/>
      <c r="ND934" s="140"/>
      <c r="NE934" s="140"/>
      <c r="NF934" s="140"/>
      <c r="NG934" s="140"/>
      <c r="NH934" s="140"/>
      <c r="NI934" s="140"/>
      <c r="NJ934" s="140"/>
      <c r="NK934" s="140"/>
      <c r="NL934" s="140"/>
      <c r="NM934" s="140"/>
      <c r="NN934" s="140"/>
      <c r="NO934" s="140"/>
      <c r="NP934" s="140"/>
      <c r="NQ934" s="140"/>
      <c r="NR934" s="140"/>
      <c r="NS934" s="140"/>
      <c r="NT934" s="140"/>
      <c r="NU934" s="140"/>
      <c r="NV934" s="140"/>
      <c r="NW934" s="140"/>
      <c r="NX934" s="140"/>
      <c r="NY934" s="140"/>
      <c r="NZ934" s="140"/>
      <c r="OA934" s="140"/>
      <c r="OB934" s="140"/>
      <c r="OC934" s="140"/>
      <c r="OD934" s="140"/>
      <c r="OE934" s="140"/>
      <c r="OF934" s="140"/>
      <c r="OG934" s="140"/>
      <c r="OH934" s="140"/>
      <c r="OI934" s="140"/>
      <c r="OJ934" s="140"/>
      <c r="OK934" s="140"/>
      <c r="OL934" s="140"/>
      <c r="OM934" s="140"/>
      <c r="ON934" s="140"/>
      <c r="OO934" s="140"/>
      <c r="OP934" s="140"/>
      <c r="OQ934" s="140"/>
      <c r="OR934" s="140"/>
      <c r="OS934" s="140"/>
      <c r="OT934" s="140"/>
      <c r="OU934" s="140"/>
      <c r="OV934" s="140"/>
      <c r="OW934" s="140"/>
      <c r="OX934" s="140"/>
      <c r="OY934" s="140"/>
      <c r="OZ934" s="140"/>
      <c r="PA934" s="140"/>
      <c r="PB934" s="140"/>
      <c r="PC934" s="140"/>
      <c r="PD934" s="140"/>
      <c r="PE934" s="140"/>
      <c r="PF934" s="140"/>
      <c r="PG934" s="140"/>
      <c r="PH934" s="140"/>
      <c r="PI934" s="140"/>
      <c r="PJ934" s="140"/>
      <c r="PK934" s="140"/>
      <c r="PL934" s="140"/>
      <c r="PM934" s="140"/>
      <c r="PN934" s="140"/>
      <c r="PO934" s="140"/>
      <c r="PP934" s="140"/>
      <c r="PQ934" s="140"/>
      <c r="PR934" s="140"/>
      <c r="PS934" s="140"/>
      <c r="PT934" s="140"/>
      <c r="PU934" s="140"/>
      <c r="PV934" s="140"/>
      <c r="PW934" s="140"/>
      <c r="PX934" s="140"/>
      <c r="PY934" s="140"/>
      <c r="PZ934" s="140"/>
      <c r="QA934" s="140"/>
      <c r="QB934" s="140"/>
      <c r="QC934" s="140"/>
      <c r="QD934" s="140"/>
      <c r="QE934" s="140"/>
      <c r="QF934" s="140"/>
      <c r="QG934" s="140"/>
      <c r="QH934" s="140"/>
      <c r="QI934" s="140"/>
      <c r="QJ934" s="140"/>
      <c r="QK934" s="140"/>
      <c r="QL934" s="140"/>
      <c r="QM934" s="140"/>
      <c r="QN934" s="140"/>
      <c r="QO934" s="140"/>
      <c r="QP934" s="140"/>
      <c r="QQ934" s="140"/>
      <c r="QR934" s="140"/>
      <c r="QS934" s="140"/>
      <c r="QT934" s="140"/>
      <c r="QU934" s="140"/>
      <c r="QV934" s="140"/>
      <c r="QW934" s="140"/>
      <c r="QX934" s="140"/>
      <c r="QY934" s="140"/>
      <c r="QZ934" s="140"/>
      <c r="RA934" s="140"/>
      <c r="RB934" s="140"/>
      <c r="RC934" s="140"/>
      <c r="RD934" s="140"/>
      <c r="RE934" s="140"/>
      <c r="RF934" s="140"/>
      <c r="RG934" s="140"/>
      <c r="RH934" s="140"/>
      <c r="RI934" s="140"/>
      <c r="RJ934" s="140"/>
      <c r="RK934" s="140"/>
      <c r="RL934" s="140"/>
      <c r="RM934" s="140"/>
      <c r="RN934" s="140"/>
      <c r="RO934" s="140"/>
      <c r="RP934" s="140"/>
      <c r="RQ934" s="140"/>
      <c r="RR934" s="140"/>
      <c r="RS934" s="140"/>
      <c r="RT934" s="140"/>
      <c r="RU934" s="140"/>
      <c r="RV934" s="140"/>
      <c r="RW934" s="140"/>
      <c r="RX934" s="140"/>
      <c r="RY934" s="140"/>
      <c r="RZ934" s="140"/>
      <c r="SA934" s="140"/>
      <c r="SB934" s="140"/>
      <c r="SC934" s="140"/>
      <c r="SD934" s="140"/>
      <c r="SE934" s="140"/>
      <c r="SF934" s="140"/>
      <c r="SG934" s="140"/>
      <c r="SH934" s="140"/>
      <c r="SI934" s="140"/>
      <c r="SJ934" s="140"/>
      <c r="SK934" s="140"/>
      <c r="SL934" s="140"/>
      <c r="SM934" s="140"/>
      <c r="SN934" s="140"/>
      <c r="SO934" s="140"/>
      <c r="SP934" s="140"/>
      <c r="SQ934" s="140"/>
      <c r="SR934" s="140"/>
      <c r="SS934" s="140"/>
      <c r="ST934" s="140"/>
      <c r="SU934" s="140"/>
      <c r="SV934" s="140"/>
      <c r="SW934" s="140"/>
      <c r="SX934" s="140"/>
      <c r="SY934" s="140"/>
      <c r="SZ934" s="140"/>
      <c r="TA934" s="140"/>
      <c r="TB934" s="140"/>
      <c r="TC934" s="140"/>
      <c r="TD934" s="140"/>
      <c r="TE934" s="140"/>
      <c r="TF934" s="140"/>
      <c r="TG934" s="140"/>
      <c r="TH934" s="140"/>
      <c r="TI934" s="140"/>
      <c r="TJ934" s="140"/>
      <c r="TK934" s="140"/>
      <c r="TL934" s="140"/>
      <c r="TM934" s="140"/>
      <c r="TN934" s="140"/>
      <c r="TO934" s="140"/>
      <c r="TP934" s="140"/>
      <c r="TQ934" s="140"/>
      <c r="TR934" s="140"/>
      <c r="TS934" s="140"/>
      <c r="TT934" s="140"/>
      <c r="TU934" s="140"/>
      <c r="TV934" s="140"/>
      <c r="TW934" s="140"/>
      <c r="TX934" s="140"/>
      <c r="TY934" s="140"/>
      <c r="TZ934" s="140"/>
      <c r="UA934" s="140"/>
      <c r="UB934" s="140"/>
      <c r="UC934" s="140"/>
      <c r="UD934" s="140"/>
      <c r="UE934" s="140"/>
      <c r="UF934" s="140"/>
      <c r="UG934" s="141"/>
    </row>
    <row r="935" spans="1:553" s="142" customFormat="1" ht="27.65" customHeight="1">
      <c r="A935" s="444"/>
      <c r="B935" s="532"/>
      <c r="C935" s="1220" t="s">
        <v>554</v>
      </c>
      <c r="D935" s="702"/>
      <c r="E935" s="703"/>
      <c r="F935" s="704"/>
      <c r="G935" s="429"/>
      <c r="H935" s="705"/>
      <c r="I935" s="424"/>
      <c r="J935" s="357"/>
      <c r="K935" s="706"/>
      <c r="L935" s="645"/>
      <c r="M935" s="548"/>
      <c r="N935" s="548"/>
      <c r="O935" s="444"/>
      <c r="P935" s="532"/>
      <c r="Q935" s="1242"/>
      <c r="R935" s="730"/>
      <c r="S935" s="308"/>
      <c r="T935" s="308"/>
      <c r="U935" s="308"/>
      <c r="V935" s="308"/>
      <c r="W935" s="308"/>
      <c r="X935" s="308"/>
      <c r="Y935" s="308"/>
      <c r="Z935" s="604"/>
      <c r="AA935" s="308"/>
      <c r="AB935" s="308"/>
      <c r="AC935" s="707"/>
      <c r="AD935" s="707"/>
      <c r="AE935" s="707"/>
      <c r="AF935" s="707"/>
      <c r="AG935" s="708"/>
      <c r="AH935" s="708"/>
      <c r="AI935" s="708"/>
      <c r="AJ935" s="708"/>
      <c r="AK935" s="708"/>
      <c r="AL935" s="195"/>
      <c r="AM935" s="143"/>
      <c r="AN935" s="143"/>
      <c r="AO935" s="143"/>
      <c r="AP935" s="143"/>
      <c r="AQ935" s="143"/>
      <c r="AR935" s="143"/>
      <c r="AS935" s="143"/>
      <c r="AT935" s="143"/>
      <c r="AU935" s="143"/>
      <c r="AV935" s="143"/>
      <c r="AW935" s="143"/>
      <c r="AX935" s="143"/>
      <c r="AY935" s="143"/>
      <c r="AZ935" s="143"/>
      <c r="BA935" s="143"/>
      <c r="BB935" s="143"/>
      <c r="BC935" s="143"/>
      <c r="BD935" s="143"/>
      <c r="BE935" s="143"/>
      <c r="BF935" s="143"/>
      <c r="BG935" s="143"/>
      <c r="BH935" s="143"/>
      <c r="BI935" s="143"/>
      <c r="BJ935" s="143"/>
      <c r="BK935" s="143"/>
      <c r="BL935" s="143"/>
      <c r="BM935" s="143"/>
      <c r="BN935" s="143"/>
      <c r="BO935" s="143"/>
      <c r="BP935" s="143"/>
      <c r="BQ935" s="143"/>
      <c r="BR935" s="143"/>
      <c r="BS935" s="143"/>
      <c r="BT935" s="143"/>
      <c r="BU935" s="143"/>
      <c r="BV935" s="143"/>
      <c r="BW935" s="143"/>
      <c r="BX935" s="143"/>
      <c r="BY935" s="143"/>
      <c r="BZ935" s="143"/>
      <c r="CA935" s="143"/>
      <c r="CB935" s="143"/>
      <c r="CC935" s="143"/>
      <c r="CD935" s="143"/>
      <c r="CE935" s="143"/>
      <c r="CF935" s="143"/>
      <c r="CG935" s="143"/>
      <c r="CH935" s="143"/>
      <c r="CI935" s="143"/>
      <c r="CJ935" s="143"/>
      <c r="CK935" s="143"/>
      <c r="CL935" s="143"/>
      <c r="CM935" s="143"/>
      <c r="CN935" s="143"/>
      <c r="CO935" s="143"/>
      <c r="CP935" s="143"/>
      <c r="CQ935" s="143"/>
      <c r="CR935" s="143"/>
      <c r="CS935" s="143"/>
      <c r="CT935" s="143"/>
      <c r="CU935" s="143"/>
      <c r="CV935" s="143"/>
      <c r="CW935" s="143"/>
      <c r="CX935" s="143"/>
      <c r="CY935" s="143"/>
      <c r="CZ935" s="143"/>
      <c r="DA935" s="143"/>
      <c r="DB935" s="143"/>
      <c r="DC935" s="143"/>
      <c r="DD935" s="143"/>
      <c r="DE935" s="143"/>
      <c r="DF935" s="143"/>
      <c r="DG935" s="143"/>
      <c r="DH935" s="143"/>
      <c r="DI935" s="143"/>
      <c r="DJ935" s="143"/>
      <c r="DK935" s="143"/>
      <c r="DL935" s="143"/>
      <c r="DM935" s="143"/>
      <c r="DN935" s="143"/>
      <c r="DO935" s="143"/>
      <c r="DP935" s="143"/>
      <c r="DQ935" s="143"/>
      <c r="DR935" s="143"/>
      <c r="DS935" s="143"/>
      <c r="DT935" s="143"/>
      <c r="DU935" s="143"/>
      <c r="DV935" s="143"/>
      <c r="DW935" s="143"/>
      <c r="DX935" s="143"/>
      <c r="DY935" s="143"/>
      <c r="DZ935" s="143"/>
      <c r="EA935" s="143"/>
      <c r="EB935" s="143"/>
      <c r="EC935" s="143"/>
      <c r="ED935" s="143"/>
      <c r="EE935" s="143"/>
      <c r="EF935" s="143"/>
      <c r="EG935" s="143"/>
      <c r="EH935" s="143"/>
      <c r="EI935" s="143"/>
      <c r="EJ935" s="143"/>
      <c r="EK935" s="143"/>
      <c r="EL935" s="143"/>
      <c r="EM935" s="143"/>
      <c r="EN935" s="143"/>
      <c r="EO935" s="143"/>
      <c r="EP935" s="143"/>
      <c r="EQ935" s="143"/>
      <c r="ER935" s="143"/>
      <c r="ES935" s="143"/>
      <c r="ET935" s="143"/>
      <c r="EU935" s="143"/>
      <c r="EV935" s="143"/>
      <c r="EW935" s="143"/>
      <c r="EX935" s="143"/>
      <c r="EY935" s="143"/>
      <c r="EZ935" s="143"/>
      <c r="FA935" s="143"/>
      <c r="FB935" s="143"/>
      <c r="FC935" s="143"/>
      <c r="FD935" s="143"/>
      <c r="FE935" s="143"/>
      <c r="FF935" s="143"/>
      <c r="FG935" s="143"/>
      <c r="FH935" s="143"/>
      <c r="FI935" s="143"/>
      <c r="FJ935" s="143"/>
      <c r="FK935" s="143"/>
      <c r="FL935" s="143"/>
      <c r="FM935" s="143"/>
      <c r="FN935" s="143"/>
      <c r="FO935" s="143"/>
      <c r="FP935" s="143"/>
      <c r="FQ935" s="143"/>
      <c r="FR935" s="143"/>
      <c r="FS935" s="143"/>
      <c r="FT935" s="143"/>
      <c r="FU935" s="143"/>
      <c r="FV935" s="143"/>
      <c r="FW935" s="143"/>
      <c r="FX935" s="143"/>
      <c r="FY935" s="143"/>
      <c r="FZ935" s="143"/>
      <c r="GA935" s="143"/>
      <c r="GB935" s="143"/>
      <c r="GC935" s="143"/>
      <c r="GD935" s="143"/>
      <c r="GE935" s="143"/>
      <c r="GF935" s="143"/>
      <c r="GG935" s="143"/>
      <c r="GH935" s="143"/>
      <c r="GI935" s="143"/>
      <c r="GJ935" s="143"/>
      <c r="GK935" s="143"/>
      <c r="GL935" s="143"/>
      <c r="GM935" s="143"/>
      <c r="GN935" s="143"/>
      <c r="GO935" s="143"/>
      <c r="GP935" s="143"/>
      <c r="GQ935" s="143"/>
      <c r="GR935" s="143"/>
      <c r="GS935" s="143"/>
      <c r="GT935" s="143"/>
      <c r="GU935" s="143"/>
      <c r="GV935" s="143"/>
      <c r="GW935" s="143"/>
      <c r="GX935" s="143"/>
      <c r="GY935" s="143"/>
      <c r="GZ935" s="143"/>
      <c r="HA935" s="143"/>
      <c r="HB935" s="143"/>
      <c r="HC935" s="143"/>
      <c r="HD935" s="143"/>
      <c r="HE935" s="143"/>
      <c r="HF935" s="143"/>
      <c r="HG935" s="143"/>
      <c r="HH935" s="143"/>
      <c r="HI935" s="143"/>
      <c r="HJ935" s="143"/>
      <c r="HK935" s="143"/>
      <c r="HL935" s="143"/>
      <c r="HM935" s="143"/>
      <c r="HN935" s="143"/>
      <c r="HO935" s="143"/>
      <c r="HP935" s="143"/>
      <c r="HQ935" s="143"/>
      <c r="HR935" s="143"/>
      <c r="HS935" s="143"/>
      <c r="HT935" s="143"/>
      <c r="HU935" s="143"/>
      <c r="HV935" s="143"/>
      <c r="HW935" s="143"/>
      <c r="HX935" s="143"/>
      <c r="HY935" s="143"/>
      <c r="HZ935" s="143"/>
      <c r="IA935" s="143"/>
      <c r="IB935" s="143"/>
      <c r="IC935" s="143"/>
      <c r="ID935" s="143"/>
      <c r="IE935" s="143"/>
      <c r="IF935" s="143"/>
      <c r="IG935" s="143"/>
      <c r="IH935" s="143"/>
      <c r="II935" s="143"/>
      <c r="IJ935" s="143"/>
      <c r="IK935" s="143"/>
      <c r="IL935" s="143"/>
      <c r="IM935" s="143"/>
      <c r="IN935" s="143"/>
      <c r="IO935" s="143"/>
      <c r="IP935" s="143"/>
      <c r="IQ935" s="143"/>
      <c r="IR935" s="143"/>
      <c r="IS935" s="143"/>
      <c r="IT935" s="143"/>
      <c r="IU935" s="143"/>
      <c r="IV935" s="143"/>
      <c r="IW935" s="143"/>
      <c r="IX935" s="143"/>
      <c r="IY935" s="143"/>
      <c r="IZ935" s="143"/>
      <c r="JA935" s="143"/>
      <c r="JB935" s="143"/>
      <c r="JC935" s="143"/>
      <c r="JD935" s="143"/>
      <c r="JE935" s="143"/>
      <c r="JF935" s="143"/>
      <c r="JG935" s="143"/>
      <c r="JH935" s="143"/>
      <c r="JI935" s="143"/>
      <c r="JJ935" s="143"/>
      <c r="JK935" s="143"/>
      <c r="JL935" s="143"/>
      <c r="JM935" s="143"/>
      <c r="JN935" s="143"/>
      <c r="JO935" s="143"/>
      <c r="JP935" s="143"/>
      <c r="JQ935" s="143"/>
      <c r="JR935" s="143"/>
      <c r="JS935" s="143"/>
      <c r="JT935" s="143"/>
      <c r="JU935" s="143"/>
      <c r="JV935" s="143"/>
      <c r="JW935" s="143"/>
      <c r="JX935" s="143"/>
      <c r="JY935" s="143"/>
      <c r="JZ935" s="143"/>
      <c r="KA935" s="143"/>
      <c r="KB935" s="143"/>
      <c r="KC935" s="143"/>
      <c r="KD935" s="143"/>
      <c r="KE935" s="143"/>
      <c r="KF935" s="143"/>
      <c r="KG935" s="143"/>
      <c r="KH935" s="143"/>
      <c r="KI935" s="143"/>
      <c r="KJ935" s="143"/>
      <c r="KK935" s="143"/>
      <c r="KL935" s="143"/>
      <c r="KM935" s="143"/>
      <c r="KN935" s="143"/>
      <c r="KO935" s="143"/>
      <c r="KP935" s="143"/>
      <c r="KQ935" s="143"/>
      <c r="KR935" s="143"/>
      <c r="KS935" s="143"/>
      <c r="KT935" s="143"/>
      <c r="KU935" s="143"/>
      <c r="KV935" s="143"/>
      <c r="KW935" s="143"/>
      <c r="KX935" s="143"/>
      <c r="KY935" s="143"/>
      <c r="KZ935" s="143"/>
      <c r="LA935" s="143"/>
      <c r="LB935" s="143"/>
      <c r="LC935" s="143"/>
      <c r="LD935" s="143"/>
      <c r="LE935" s="143"/>
      <c r="LF935" s="143"/>
      <c r="LG935" s="143"/>
      <c r="LH935" s="143"/>
      <c r="LI935" s="143"/>
      <c r="LJ935" s="143"/>
      <c r="LK935" s="143"/>
      <c r="LL935" s="143"/>
      <c r="LM935" s="143"/>
      <c r="LN935" s="143"/>
      <c r="LO935" s="143"/>
      <c r="LP935" s="143"/>
      <c r="LQ935" s="143"/>
      <c r="LR935" s="143"/>
      <c r="LS935" s="143"/>
      <c r="LT935" s="143"/>
      <c r="LU935" s="143"/>
      <c r="LV935" s="143"/>
      <c r="LW935" s="143"/>
      <c r="LX935" s="143"/>
      <c r="LY935" s="143"/>
      <c r="LZ935" s="143"/>
      <c r="MA935" s="143"/>
      <c r="MB935" s="143"/>
      <c r="MC935" s="143"/>
      <c r="MD935" s="143"/>
      <c r="ME935" s="143"/>
      <c r="MF935" s="143"/>
      <c r="MG935" s="143"/>
      <c r="MH935" s="143"/>
      <c r="MI935" s="143"/>
      <c r="MJ935" s="143"/>
      <c r="MK935" s="143"/>
      <c r="ML935" s="143"/>
      <c r="MM935" s="143"/>
      <c r="MN935" s="143"/>
      <c r="MO935" s="143"/>
      <c r="MP935" s="143"/>
      <c r="MQ935" s="143"/>
      <c r="MR935" s="143"/>
      <c r="MS935" s="143"/>
      <c r="MT935" s="143"/>
      <c r="MU935" s="143"/>
      <c r="MV935" s="143"/>
      <c r="MW935" s="143"/>
      <c r="MX935" s="143"/>
      <c r="MY935" s="143"/>
      <c r="MZ935" s="143"/>
      <c r="NA935" s="143"/>
      <c r="NB935" s="143"/>
      <c r="NC935" s="143"/>
      <c r="ND935" s="143"/>
      <c r="NE935" s="143"/>
      <c r="NF935" s="143"/>
      <c r="NG935" s="143"/>
      <c r="NH935" s="143"/>
      <c r="NI935" s="143"/>
      <c r="NJ935" s="143"/>
      <c r="NK935" s="143"/>
      <c r="NL935" s="143"/>
      <c r="NM935" s="143"/>
      <c r="NN935" s="143"/>
      <c r="NO935" s="143"/>
      <c r="NP935" s="143"/>
      <c r="NQ935" s="143"/>
      <c r="NR935" s="143"/>
      <c r="NS935" s="143"/>
      <c r="NT935" s="143"/>
      <c r="NU935" s="143"/>
      <c r="NV935" s="143"/>
      <c r="NW935" s="143"/>
      <c r="NX935" s="143"/>
      <c r="NY935" s="143"/>
      <c r="NZ935" s="143"/>
      <c r="OA935" s="143"/>
      <c r="OB935" s="143"/>
      <c r="OC935" s="143"/>
      <c r="OD935" s="143"/>
      <c r="OE935" s="143"/>
      <c r="OF935" s="143"/>
      <c r="OG935" s="143"/>
      <c r="OH935" s="143"/>
      <c r="OI935" s="143"/>
      <c r="OJ935" s="143"/>
      <c r="OK935" s="143"/>
      <c r="OL935" s="143"/>
      <c r="OM935" s="143"/>
      <c r="ON935" s="143"/>
      <c r="OO935" s="143"/>
      <c r="OP935" s="143"/>
      <c r="OQ935" s="143"/>
      <c r="OR935" s="143"/>
      <c r="OS935" s="143"/>
      <c r="OT935" s="143"/>
      <c r="OU935" s="143"/>
      <c r="OV935" s="143"/>
      <c r="OW935" s="143"/>
      <c r="OX935" s="143"/>
      <c r="OY935" s="143"/>
      <c r="OZ935" s="143"/>
      <c r="PA935" s="143"/>
      <c r="PB935" s="143"/>
      <c r="PC935" s="143"/>
      <c r="PD935" s="143"/>
      <c r="PE935" s="143"/>
      <c r="PF935" s="143"/>
      <c r="PG935" s="143"/>
      <c r="PH935" s="143"/>
      <c r="PI935" s="143"/>
      <c r="PJ935" s="143"/>
      <c r="PK935" s="143"/>
      <c r="PL935" s="143"/>
      <c r="PM935" s="143"/>
      <c r="PN935" s="143"/>
      <c r="PO935" s="143"/>
      <c r="PP935" s="143"/>
      <c r="PQ935" s="143"/>
      <c r="PR935" s="143"/>
      <c r="PS935" s="143"/>
      <c r="PT935" s="143"/>
      <c r="PU935" s="143"/>
      <c r="PV935" s="143"/>
      <c r="PW935" s="143"/>
      <c r="PX935" s="143"/>
      <c r="PY935" s="143"/>
      <c r="PZ935" s="143"/>
      <c r="QA935" s="143"/>
      <c r="QB935" s="143"/>
      <c r="QC935" s="143"/>
      <c r="QD935" s="143"/>
      <c r="QE935" s="143"/>
      <c r="QF935" s="143"/>
      <c r="QG935" s="143"/>
      <c r="QH935" s="143"/>
      <c r="QI935" s="143"/>
      <c r="QJ935" s="143"/>
      <c r="QK935" s="143"/>
      <c r="QL935" s="143"/>
      <c r="QM935" s="143"/>
      <c r="QN935" s="143"/>
      <c r="QO935" s="143"/>
      <c r="QP935" s="143"/>
      <c r="QQ935" s="143"/>
      <c r="QR935" s="143"/>
      <c r="QS935" s="143"/>
      <c r="QT935" s="143"/>
      <c r="QU935" s="143"/>
      <c r="QV935" s="143"/>
      <c r="QW935" s="143"/>
      <c r="QX935" s="143"/>
      <c r="QY935" s="143"/>
      <c r="QZ935" s="143"/>
      <c r="RA935" s="143"/>
      <c r="RB935" s="143"/>
      <c r="RC935" s="143"/>
      <c r="RD935" s="143"/>
      <c r="RE935" s="143"/>
      <c r="RF935" s="143"/>
      <c r="RG935" s="143"/>
      <c r="RH935" s="143"/>
      <c r="RI935" s="143"/>
      <c r="RJ935" s="143"/>
      <c r="RK935" s="143"/>
      <c r="RL935" s="143"/>
      <c r="RM935" s="143"/>
      <c r="RN935" s="143"/>
      <c r="RO935" s="143"/>
      <c r="RP935" s="143"/>
      <c r="RQ935" s="143"/>
      <c r="RR935" s="143"/>
      <c r="RS935" s="143"/>
      <c r="RT935" s="143"/>
      <c r="RU935" s="143"/>
      <c r="RV935" s="143"/>
      <c r="RW935" s="143"/>
      <c r="RX935" s="143"/>
      <c r="RY935" s="143"/>
      <c r="RZ935" s="143"/>
      <c r="SA935" s="143"/>
      <c r="SB935" s="143"/>
      <c r="SC935" s="143"/>
      <c r="SD935" s="143"/>
      <c r="SE935" s="143"/>
      <c r="SF935" s="143"/>
      <c r="SG935" s="143"/>
      <c r="SH935" s="143"/>
      <c r="SI935" s="143"/>
      <c r="SJ935" s="143"/>
      <c r="SK935" s="143"/>
      <c r="SL935" s="143"/>
      <c r="SM935" s="143"/>
      <c r="SN935" s="143"/>
      <c r="SO935" s="143"/>
      <c r="SP935" s="143"/>
      <c r="SQ935" s="143"/>
      <c r="SR935" s="143"/>
      <c r="SS935" s="143"/>
      <c r="ST935" s="143"/>
      <c r="SU935" s="143"/>
      <c r="SV935" s="143"/>
      <c r="SW935" s="143"/>
      <c r="SX935" s="143"/>
      <c r="SY935" s="143"/>
      <c r="SZ935" s="143"/>
      <c r="TA935" s="143"/>
      <c r="TB935" s="143"/>
      <c r="TC935" s="143"/>
      <c r="TD935" s="143"/>
      <c r="TE935" s="143"/>
      <c r="TF935" s="143"/>
      <c r="TG935" s="143"/>
      <c r="TH935" s="143"/>
      <c r="TI935" s="143"/>
      <c r="TJ935" s="143"/>
      <c r="TK935" s="143"/>
      <c r="TL935" s="143"/>
      <c r="TM935" s="143"/>
      <c r="TN935" s="143"/>
      <c r="TO935" s="143"/>
      <c r="TP935" s="143"/>
      <c r="TQ935" s="143"/>
      <c r="TR935" s="143"/>
      <c r="TS935" s="143"/>
      <c r="TT935" s="143"/>
      <c r="TU935" s="143"/>
      <c r="TV935" s="143"/>
      <c r="TW935" s="143"/>
      <c r="TX935" s="143"/>
      <c r="TY935" s="143"/>
      <c r="TZ935" s="143"/>
      <c r="UA935" s="143"/>
      <c r="UB935" s="143"/>
      <c r="UC935" s="143"/>
      <c r="UD935" s="143"/>
      <c r="UE935" s="143"/>
      <c r="UF935" s="143"/>
      <c r="UG935" s="144"/>
    </row>
    <row r="936" spans="1:553" s="142" customFormat="1" ht="27.65" customHeight="1">
      <c r="A936" s="444"/>
      <c r="B936" s="384"/>
      <c r="C936" s="1223" t="s">
        <v>254</v>
      </c>
      <c r="D936" s="702"/>
      <c r="E936" s="703"/>
      <c r="F936" s="704"/>
      <c r="G936" s="386" t="s">
        <v>113</v>
      </c>
      <c r="H936" s="672"/>
      <c r="I936" s="417">
        <v>19</v>
      </c>
      <c r="J936" s="368">
        <v>114600</v>
      </c>
      <c r="K936" s="686"/>
      <c r="L936" s="480">
        <f>I936*J936</f>
        <v>2177400</v>
      </c>
      <c r="M936" s="548"/>
      <c r="N936" s="548"/>
      <c r="O936" s="427"/>
      <c r="P936" s="384"/>
      <c r="Q936" s="1213"/>
      <c r="R936" s="1227"/>
      <c r="S936" s="308"/>
      <c r="T936" s="308"/>
      <c r="U936" s="308"/>
      <c r="V936" s="308"/>
      <c r="W936" s="308"/>
      <c r="X936" s="308"/>
      <c r="Y936" s="308"/>
      <c r="Z936" s="604"/>
      <c r="AA936" s="308"/>
      <c r="AB936" s="308"/>
      <c r="AC936" s="687"/>
      <c r="AD936" s="687"/>
      <c r="AE936" s="687"/>
      <c r="AF936" s="687"/>
      <c r="AG936" s="688"/>
      <c r="AH936" s="688"/>
      <c r="AI936" s="688"/>
      <c r="AJ936" s="688"/>
      <c r="AK936" s="688"/>
      <c r="AL936" s="207"/>
      <c r="AM936" s="140"/>
      <c r="AN936" s="140"/>
      <c r="AO936" s="140"/>
      <c r="AP936" s="140"/>
      <c r="AQ936" s="140"/>
      <c r="AR936" s="140"/>
      <c r="AS936" s="140"/>
      <c r="AT936" s="140"/>
      <c r="AU936" s="140"/>
      <c r="AV936" s="140"/>
      <c r="AW936" s="140"/>
      <c r="AX936" s="140"/>
      <c r="AY936" s="140"/>
      <c r="AZ936" s="140"/>
      <c r="BA936" s="140"/>
      <c r="BB936" s="140"/>
      <c r="BC936" s="140"/>
      <c r="BD936" s="140"/>
      <c r="BE936" s="140"/>
      <c r="BF936" s="140"/>
      <c r="BG936" s="140"/>
      <c r="BH936" s="140"/>
      <c r="BI936" s="140"/>
      <c r="BJ936" s="140"/>
      <c r="BK936" s="140"/>
      <c r="BL936" s="140"/>
      <c r="BM936" s="140"/>
      <c r="BN936" s="140"/>
      <c r="BO936" s="140"/>
      <c r="BP936" s="140"/>
      <c r="BQ936" s="140"/>
      <c r="BR936" s="140"/>
      <c r="BS936" s="140"/>
      <c r="BT936" s="140"/>
      <c r="BU936" s="140"/>
      <c r="BV936" s="140"/>
      <c r="BW936" s="140"/>
      <c r="BX936" s="140"/>
      <c r="BY936" s="140"/>
      <c r="BZ936" s="140"/>
      <c r="CA936" s="140"/>
      <c r="CB936" s="140"/>
      <c r="CC936" s="140"/>
      <c r="CD936" s="140"/>
      <c r="CE936" s="140"/>
      <c r="CF936" s="140"/>
      <c r="CG936" s="140"/>
      <c r="CH936" s="140"/>
      <c r="CI936" s="140"/>
      <c r="CJ936" s="140"/>
      <c r="CK936" s="140"/>
      <c r="CL936" s="140"/>
      <c r="CM936" s="140"/>
      <c r="CN936" s="140"/>
      <c r="CO936" s="140"/>
      <c r="CP936" s="140"/>
      <c r="CQ936" s="140"/>
      <c r="CR936" s="140"/>
      <c r="CS936" s="140"/>
      <c r="CT936" s="140"/>
      <c r="CU936" s="140"/>
      <c r="CV936" s="140"/>
      <c r="CW936" s="140"/>
      <c r="CX936" s="140"/>
      <c r="CY936" s="140"/>
      <c r="CZ936" s="140"/>
      <c r="DA936" s="140"/>
      <c r="DB936" s="140"/>
      <c r="DC936" s="140"/>
      <c r="DD936" s="140"/>
      <c r="DE936" s="140"/>
      <c r="DF936" s="140"/>
      <c r="DG936" s="140"/>
      <c r="DH936" s="140"/>
      <c r="DI936" s="140"/>
      <c r="DJ936" s="140"/>
      <c r="DK936" s="140"/>
      <c r="DL936" s="140"/>
      <c r="DM936" s="140"/>
      <c r="DN936" s="140"/>
      <c r="DO936" s="140"/>
      <c r="DP936" s="140"/>
      <c r="DQ936" s="140"/>
      <c r="DR936" s="140"/>
      <c r="DS936" s="140"/>
      <c r="DT936" s="140"/>
      <c r="DU936" s="140"/>
      <c r="DV936" s="140"/>
      <c r="DW936" s="140"/>
      <c r="DX936" s="140"/>
      <c r="DY936" s="140"/>
      <c r="DZ936" s="140"/>
      <c r="EA936" s="140"/>
      <c r="EB936" s="140"/>
      <c r="EC936" s="140"/>
      <c r="ED936" s="140"/>
      <c r="EE936" s="140"/>
      <c r="EF936" s="140"/>
      <c r="EG936" s="140"/>
      <c r="EH936" s="140"/>
      <c r="EI936" s="140"/>
      <c r="EJ936" s="140"/>
      <c r="EK936" s="140"/>
      <c r="EL936" s="140"/>
      <c r="EM936" s="140"/>
      <c r="EN936" s="140"/>
      <c r="EO936" s="140"/>
      <c r="EP936" s="140"/>
      <c r="EQ936" s="140"/>
      <c r="ER936" s="140"/>
      <c r="ES936" s="140"/>
      <c r="ET936" s="140"/>
      <c r="EU936" s="140"/>
      <c r="EV936" s="140"/>
      <c r="EW936" s="140"/>
      <c r="EX936" s="140"/>
      <c r="EY936" s="140"/>
      <c r="EZ936" s="140"/>
      <c r="FA936" s="140"/>
      <c r="FB936" s="140"/>
      <c r="FC936" s="140"/>
      <c r="FD936" s="140"/>
      <c r="FE936" s="140"/>
      <c r="FF936" s="140"/>
      <c r="FG936" s="140"/>
      <c r="FH936" s="140"/>
      <c r="FI936" s="140"/>
      <c r="FJ936" s="140"/>
      <c r="FK936" s="140"/>
      <c r="FL936" s="140"/>
      <c r="FM936" s="140"/>
      <c r="FN936" s="140"/>
      <c r="FO936" s="140"/>
      <c r="FP936" s="140"/>
      <c r="FQ936" s="140"/>
      <c r="FR936" s="140"/>
      <c r="FS936" s="140"/>
      <c r="FT936" s="140"/>
      <c r="FU936" s="140"/>
      <c r="FV936" s="140"/>
      <c r="FW936" s="140"/>
      <c r="FX936" s="140"/>
      <c r="FY936" s="140"/>
      <c r="FZ936" s="140"/>
      <c r="GA936" s="140"/>
      <c r="GB936" s="140"/>
      <c r="GC936" s="140"/>
      <c r="GD936" s="140"/>
      <c r="GE936" s="140"/>
      <c r="GF936" s="140"/>
      <c r="GG936" s="140"/>
      <c r="GH936" s="140"/>
      <c r="GI936" s="140"/>
      <c r="GJ936" s="140"/>
      <c r="GK936" s="140"/>
      <c r="GL936" s="140"/>
      <c r="GM936" s="140"/>
      <c r="GN936" s="140"/>
      <c r="GO936" s="140"/>
      <c r="GP936" s="140"/>
      <c r="GQ936" s="140"/>
      <c r="GR936" s="140"/>
      <c r="GS936" s="140"/>
      <c r="GT936" s="140"/>
      <c r="GU936" s="140"/>
      <c r="GV936" s="140"/>
      <c r="GW936" s="140"/>
      <c r="GX936" s="140"/>
      <c r="GY936" s="140"/>
      <c r="GZ936" s="140"/>
      <c r="HA936" s="140"/>
      <c r="HB936" s="140"/>
      <c r="HC936" s="140"/>
      <c r="HD936" s="140"/>
      <c r="HE936" s="140"/>
      <c r="HF936" s="140"/>
      <c r="HG936" s="140"/>
      <c r="HH936" s="140"/>
      <c r="HI936" s="140"/>
      <c r="HJ936" s="140"/>
      <c r="HK936" s="140"/>
      <c r="HL936" s="140"/>
      <c r="HM936" s="140"/>
      <c r="HN936" s="140"/>
      <c r="HO936" s="140"/>
      <c r="HP936" s="140"/>
      <c r="HQ936" s="140"/>
      <c r="HR936" s="140"/>
      <c r="HS936" s="140"/>
      <c r="HT936" s="140"/>
      <c r="HU936" s="140"/>
      <c r="HV936" s="140"/>
      <c r="HW936" s="140"/>
      <c r="HX936" s="140"/>
      <c r="HY936" s="140"/>
      <c r="HZ936" s="140"/>
      <c r="IA936" s="140"/>
      <c r="IB936" s="140"/>
      <c r="IC936" s="140"/>
      <c r="ID936" s="140"/>
      <c r="IE936" s="140"/>
      <c r="IF936" s="140"/>
      <c r="IG936" s="140"/>
      <c r="IH936" s="140"/>
      <c r="II936" s="140"/>
      <c r="IJ936" s="140"/>
      <c r="IK936" s="140"/>
      <c r="IL936" s="140"/>
      <c r="IM936" s="140"/>
      <c r="IN936" s="140"/>
      <c r="IO936" s="140"/>
      <c r="IP936" s="140"/>
      <c r="IQ936" s="140"/>
      <c r="IR936" s="140"/>
      <c r="IS936" s="140"/>
      <c r="IT936" s="140"/>
      <c r="IU936" s="140"/>
      <c r="IV936" s="140"/>
      <c r="IW936" s="140"/>
      <c r="IX936" s="140"/>
      <c r="IY936" s="140"/>
      <c r="IZ936" s="140"/>
      <c r="JA936" s="140"/>
      <c r="JB936" s="140"/>
      <c r="JC936" s="140"/>
      <c r="JD936" s="140"/>
      <c r="JE936" s="140"/>
      <c r="JF936" s="140"/>
      <c r="JG936" s="140"/>
      <c r="JH936" s="140"/>
      <c r="JI936" s="140"/>
      <c r="JJ936" s="140"/>
      <c r="JK936" s="140"/>
      <c r="JL936" s="140"/>
      <c r="JM936" s="140"/>
      <c r="JN936" s="140"/>
      <c r="JO936" s="140"/>
      <c r="JP936" s="140"/>
      <c r="JQ936" s="140"/>
      <c r="JR936" s="140"/>
      <c r="JS936" s="140"/>
      <c r="JT936" s="140"/>
      <c r="JU936" s="140"/>
      <c r="JV936" s="140"/>
      <c r="JW936" s="140"/>
      <c r="JX936" s="140"/>
      <c r="JY936" s="140"/>
      <c r="JZ936" s="140"/>
      <c r="KA936" s="140"/>
      <c r="KB936" s="140"/>
      <c r="KC936" s="140"/>
      <c r="KD936" s="140"/>
      <c r="KE936" s="140"/>
      <c r="KF936" s="140"/>
      <c r="KG936" s="140"/>
      <c r="KH936" s="140"/>
      <c r="KI936" s="140"/>
      <c r="KJ936" s="140"/>
      <c r="KK936" s="140"/>
      <c r="KL936" s="140"/>
      <c r="KM936" s="140"/>
      <c r="KN936" s="140"/>
      <c r="KO936" s="140"/>
      <c r="KP936" s="140"/>
      <c r="KQ936" s="140"/>
      <c r="KR936" s="140"/>
      <c r="KS936" s="140"/>
      <c r="KT936" s="140"/>
      <c r="KU936" s="140"/>
      <c r="KV936" s="140"/>
      <c r="KW936" s="140"/>
      <c r="KX936" s="140"/>
      <c r="KY936" s="140"/>
      <c r="KZ936" s="140"/>
      <c r="LA936" s="140"/>
      <c r="LB936" s="140"/>
      <c r="LC936" s="140"/>
      <c r="LD936" s="140"/>
      <c r="LE936" s="140"/>
      <c r="LF936" s="140"/>
      <c r="LG936" s="140"/>
      <c r="LH936" s="140"/>
      <c r="LI936" s="140"/>
      <c r="LJ936" s="140"/>
      <c r="LK936" s="140"/>
      <c r="LL936" s="140"/>
      <c r="LM936" s="140"/>
      <c r="LN936" s="140"/>
      <c r="LO936" s="140"/>
      <c r="LP936" s="140"/>
      <c r="LQ936" s="140"/>
      <c r="LR936" s="140"/>
      <c r="LS936" s="140"/>
      <c r="LT936" s="140"/>
      <c r="LU936" s="140"/>
      <c r="LV936" s="140"/>
      <c r="LW936" s="140"/>
      <c r="LX936" s="140"/>
      <c r="LY936" s="140"/>
      <c r="LZ936" s="140"/>
      <c r="MA936" s="140"/>
      <c r="MB936" s="140"/>
      <c r="MC936" s="140"/>
      <c r="MD936" s="140"/>
      <c r="ME936" s="140"/>
      <c r="MF936" s="140"/>
      <c r="MG936" s="140"/>
      <c r="MH936" s="140"/>
      <c r="MI936" s="140"/>
      <c r="MJ936" s="140"/>
      <c r="MK936" s="140"/>
      <c r="ML936" s="140"/>
      <c r="MM936" s="140"/>
      <c r="MN936" s="140"/>
      <c r="MO936" s="140"/>
      <c r="MP936" s="140"/>
      <c r="MQ936" s="140"/>
      <c r="MR936" s="140"/>
      <c r="MS936" s="140"/>
      <c r="MT936" s="140"/>
      <c r="MU936" s="140"/>
      <c r="MV936" s="140"/>
      <c r="MW936" s="140"/>
      <c r="MX936" s="140"/>
      <c r="MY936" s="140"/>
      <c r="MZ936" s="140"/>
      <c r="NA936" s="140"/>
      <c r="NB936" s="140"/>
      <c r="NC936" s="140"/>
      <c r="ND936" s="140"/>
      <c r="NE936" s="140"/>
      <c r="NF936" s="140"/>
      <c r="NG936" s="140"/>
      <c r="NH936" s="140"/>
      <c r="NI936" s="140"/>
      <c r="NJ936" s="140"/>
      <c r="NK936" s="140"/>
      <c r="NL936" s="140"/>
      <c r="NM936" s="140"/>
      <c r="NN936" s="140"/>
      <c r="NO936" s="140"/>
      <c r="NP936" s="140"/>
      <c r="NQ936" s="140"/>
      <c r="NR936" s="140"/>
      <c r="NS936" s="140"/>
      <c r="NT936" s="140"/>
      <c r="NU936" s="140"/>
      <c r="NV936" s="140"/>
      <c r="NW936" s="140"/>
      <c r="NX936" s="140"/>
      <c r="NY936" s="140"/>
      <c r="NZ936" s="140"/>
      <c r="OA936" s="140"/>
      <c r="OB936" s="140"/>
      <c r="OC936" s="140"/>
      <c r="OD936" s="140"/>
      <c r="OE936" s="140"/>
      <c r="OF936" s="140"/>
      <c r="OG936" s="140"/>
      <c r="OH936" s="140"/>
      <c r="OI936" s="140"/>
      <c r="OJ936" s="140"/>
      <c r="OK936" s="140"/>
      <c r="OL936" s="140"/>
      <c r="OM936" s="140"/>
      <c r="ON936" s="140"/>
      <c r="OO936" s="140"/>
      <c r="OP936" s="140"/>
      <c r="OQ936" s="140"/>
      <c r="OR936" s="140"/>
      <c r="OS936" s="140"/>
      <c r="OT936" s="140"/>
      <c r="OU936" s="140"/>
      <c r="OV936" s="140"/>
      <c r="OW936" s="140"/>
      <c r="OX936" s="140"/>
      <c r="OY936" s="140"/>
      <c r="OZ936" s="140"/>
      <c r="PA936" s="140"/>
      <c r="PB936" s="140"/>
      <c r="PC936" s="140"/>
      <c r="PD936" s="140"/>
      <c r="PE936" s="140"/>
      <c r="PF936" s="140"/>
      <c r="PG936" s="140"/>
      <c r="PH936" s="140"/>
      <c r="PI936" s="140"/>
      <c r="PJ936" s="140"/>
      <c r="PK936" s="140"/>
      <c r="PL936" s="140"/>
      <c r="PM936" s="140"/>
      <c r="PN936" s="140"/>
      <c r="PO936" s="140"/>
      <c r="PP936" s="140"/>
      <c r="PQ936" s="140"/>
      <c r="PR936" s="140"/>
      <c r="PS936" s="140"/>
      <c r="PT936" s="140"/>
      <c r="PU936" s="140"/>
      <c r="PV936" s="140"/>
      <c r="PW936" s="140"/>
      <c r="PX936" s="140"/>
      <c r="PY936" s="140"/>
      <c r="PZ936" s="140"/>
      <c r="QA936" s="140"/>
      <c r="QB936" s="140"/>
      <c r="QC936" s="140"/>
      <c r="QD936" s="140"/>
      <c r="QE936" s="140"/>
      <c r="QF936" s="140"/>
      <c r="QG936" s="140"/>
      <c r="QH936" s="140"/>
      <c r="QI936" s="140"/>
      <c r="QJ936" s="140"/>
      <c r="QK936" s="140"/>
      <c r="QL936" s="140"/>
      <c r="QM936" s="140"/>
      <c r="QN936" s="140"/>
      <c r="QO936" s="140"/>
      <c r="QP936" s="140"/>
      <c r="QQ936" s="140"/>
      <c r="QR936" s="140"/>
      <c r="QS936" s="140"/>
      <c r="QT936" s="140"/>
      <c r="QU936" s="140"/>
      <c r="QV936" s="140"/>
      <c r="QW936" s="140"/>
      <c r="QX936" s="140"/>
      <c r="QY936" s="140"/>
      <c r="QZ936" s="140"/>
      <c r="RA936" s="140"/>
      <c r="RB936" s="140"/>
      <c r="RC936" s="140"/>
      <c r="RD936" s="140"/>
      <c r="RE936" s="140"/>
      <c r="RF936" s="140"/>
      <c r="RG936" s="140"/>
      <c r="RH936" s="140"/>
      <c r="RI936" s="140"/>
      <c r="RJ936" s="140"/>
      <c r="RK936" s="140"/>
      <c r="RL936" s="140"/>
      <c r="RM936" s="140"/>
      <c r="RN936" s="140"/>
      <c r="RO936" s="140"/>
      <c r="RP936" s="140"/>
      <c r="RQ936" s="140"/>
      <c r="RR936" s="140"/>
      <c r="RS936" s="140"/>
      <c r="RT936" s="140"/>
      <c r="RU936" s="140"/>
      <c r="RV936" s="140"/>
      <c r="RW936" s="140"/>
      <c r="RX936" s="140"/>
      <c r="RY936" s="140"/>
      <c r="RZ936" s="140"/>
      <c r="SA936" s="140"/>
      <c r="SB936" s="140"/>
      <c r="SC936" s="140"/>
      <c r="SD936" s="140"/>
      <c r="SE936" s="140"/>
      <c r="SF936" s="140"/>
      <c r="SG936" s="140"/>
      <c r="SH936" s="140"/>
      <c r="SI936" s="140"/>
      <c r="SJ936" s="140"/>
      <c r="SK936" s="140"/>
      <c r="SL936" s="140"/>
      <c r="SM936" s="140"/>
      <c r="SN936" s="140"/>
      <c r="SO936" s="140"/>
      <c r="SP936" s="140"/>
      <c r="SQ936" s="140"/>
      <c r="SR936" s="140"/>
      <c r="SS936" s="140"/>
      <c r="ST936" s="140"/>
      <c r="SU936" s="140"/>
      <c r="SV936" s="140"/>
      <c r="SW936" s="140"/>
      <c r="SX936" s="140"/>
      <c r="SY936" s="140"/>
      <c r="SZ936" s="140"/>
      <c r="TA936" s="140"/>
      <c r="TB936" s="140"/>
      <c r="TC936" s="140"/>
      <c r="TD936" s="140"/>
      <c r="TE936" s="140"/>
      <c r="TF936" s="140"/>
      <c r="TG936" s="140"/>
      <c r="TH936" s="140"/>
      <c r="TI936" s="140"/>
      <c r="TJ936" s="140"/>
      <c r="TK936" s="140"/>
      <c r="TL936" s="140"/>
      <c r="TM936" s="140"/>
      <c r="TN936" s="140"/>
      <c r="TO936" s="140"/>
      <c r="TP936" s="140"/>
      <c r="TQ936" s="140"/>
      <c r="TR936" s="140"/>
      <c r="TS936" s="140"/>
      <c r="TT936" s="140"/>
      <c r="TU936" s="140"/>
      <c r="TV936" s="140"/>
      <c r="TW936" s="140"/>
      <c r="TX936" s="140"/>
      <c r="TY936" s="140"/>
      <c r="TZ936" s="140"/>
      <c r="UA936" s="140"/>
      <c r="UB936" s="140"/>
      <c r="UC936" s="140"/>
      <c r="UD936" s="140"/>
      <c r="UE936" s="140"/>
      <c r="UF936" s="140"/>
      <c r="UG936" s="141"/>
    </row>
    <row r="937" spans="1:553" s="142" customFormat="1" ht="27.65" customHeight="1">
      <c r="A937" s="444"/>
      <c r="B937" s="532"/>
      <c r="C937" s="1220" t="s">
        <v>555</v>
      </c>
      <c r="D937" s="702"/>
      <c r="E937" s="703"/>
      <c r="F937" s="704"/>
      <c r="G937" s="429"/>
      <c r="H937" s="705"/>
      <c r="I937" s="424"/>
      <c r="J937" s="357"/>
      <c r="K937" s="706"/>
      <c r="L937" s="645"/>
      <c r="M937" s="548"/>
      <c r="N937" s="548"/>
      <c r="O937" s="444"/>
      <c r="P937" s="532"/>
      <c r="Q937" s="1242"/>
      <c r="R937" s="730"/>
      <c r="S937" s="308"/>
      <c r="T937" s="308"/>
      <c r="U937" s="308"/>
      <c r="V937" s="308"/>
      <c r="W937" s="308"/>
      <c r="X937" s="308"/>
      <c r="Y937" s="308"/>
      <c r="Z937" s="604"/>
      <c r="AA937" s="308"/>
      <c r="AB937" s="308"/>
      <c r="AC937" s="707"/>
      <c r="AD937" s="707"/>
      <c r="AE937" s="707"/>
      <c r="AF937" s="707"/>
      <c r="AG937" s="708"/>
      <c r="AH937" s="708"/>
      <c r="AI937" s="708"/>
      <c r="AJ937" s="708"/>
      <c r="AK937" s="708"/>
      <c r="AL937" s="195"/>
      <c r="AM937" s="143"/>
      <c r="AN937" s="143"/>
      <c r="AO937" s="143"/>
      <c r="AP937" s="143"/>
      <c r="AQ937" s="143"/>
      <c r="AR937" s="143"/>
      <c r="AS937" s="143"/>
      <c r="AT937" s="143"/>
      <c r="AU937" s="143"/>
      <c r="AV937" s="143"/>
      <c r="AW937" s="143"/>
      <c r="AX937" s="143"/>
      <c r="AY937" s="143"/>
      <c r="AZ937" s="143"/>
      <c r="BA937" s="143"/>
      <c r="BB937" s="143"/>
      <c r="BC937" s="143"/>
      <c r="BD937" s="143"/>
      <c r="BE937" s="143"/>
      <c r="BF937" s="143"/>
      <c r="BG937" s="143"/>
      <c r="BH937" s="143"/>
      <c r="BI937" s="143"/>
      <c r="BJ937" s="143"/>
      <c r="BK937" s="143"/>
      <c r="BL937" s="143"/>
      <c r="BM937" s="143"/>
      <c r="BN937" s="143"/>
      <c r="BO937" s="143"/>
      <c r="BP937" s="143"/>
      <c r="BQ937" s="143"/>
      <c r="BR937" s="143"/>
      <c r="BS937" s="143"/>
      <c r="BT937" s="143"/>
      <c r="BU937" s="143"/>
      <c r="BV937" s="143"/>
      <c r="BW937" s="143"/>
      <c r="BX937" s="143"/>
      <c r="BY937" s="143"/>
      <c r="BZ937" s="143"/>
      <c r="CA937" s="143"/>
      <c r="CB937" s="143"/>
      <c r="CC937" s="143"/>
      <c r="CD937" s="143"/>
      <c r="CE937" s="143"/>
      <c r="CF937" s="143"/>
      <c r="CG937" s="143"/>
      <c r="CH937" s="143"/>
      <c r="CI937" s="143"/>
      <c r="CJ937" s="143"/>
      <c r="CK937" s="143"/>
      <c r="CL937" s="143"/>
      <c r="CM937" s="143"/>
      <c r="CN937" s="143"/>
      <c r="CO937" s="143"/>
      <c r="CP937" s="143"/>
      <c r="CQ937" s="143"/>
      <c r="CR937" s="143"/>
      <c r="CS937" s="143"/>
      <c r="CT937" s="143"/>
      <c r="CU937" s="143"/>
      <c r="CV937" s="143"/>
      <c r="CW937" s="143"/>
      <c r="CX937" s="143"/>
      <c r="CY937" s="143"/>
      <c r="CZ937" s="143"/>
      <c r="DA937" s="143"/>
      <c r="DB937" s="143"/>
      <c r="DC937" s="143"/>
      <c r="DD937" s="143"/>
      <c r="DE937" s="143"/>
      <c r="DF937" s="143"/>
      <c r="DG937" s="143"/>
      <c r="DH937" s="143"/>
      <c r="DI937" s="143"/>
      <c r="DJ937" s="143"/>
      <c r="DK937" s="143"/>
      <c r="DL937" s="143"/>
      <c r="DM937" s="143"/>
      <c r="DN937" s="143"/>
      <c r="DO937" s="143"/>
      <c r="DP937" s="143"/>
      <c r="DQ937" s="143"/>
      <c r="DR937" s="143"/>
      <c r="DS937" s="143"/>
      <c r="DT937" s="143"/>
      <c r="DU937" s="143"/>
      <c r="DV937" s="143"/>
      <c r="DW937" s="143"/>
      <c r="DX937" s="143"/>
      <c r="DY937" s="143"/>
      <c r="DZ937" s="143"/>
      <c r="EA937" s="143"/>
      <c r="EB937" s="143"/>
      <c r="EC937" s="143"/>
      <c r="ED937" s="143"/>
      <c r="EE937" s="143"/>
      <c r="EF937" s="143"/>
      <c r="EG937" s="143"/>
      <c r="EH937" s="143"/>
      <c r="EI937" s="143"/>
      <c r="EJ937" s="143"/>
      <c r="EK937" s="143"/>
      <c r="EL937" s="143"/>
      <c r="EM937" s="143"/>
      <c r="EN937" s="143"/>
      <c r="EO937" s="143"/>
      <c r="EP937" s="143"/>
      <c r="EQ937" s="143"/>
      <c r="ER937" s="143"/>
      <c r="ES937" s="143"/>
      <c r="ET937" s="143"/>
      <c r="EU937" s="143"/>
      <c r="EV937" s="143"/>
      <c r="EW937" s="143"/>
      <c r="EX937" s="143"/>
      <c r="EY937" s="143"/>
      <c r="EZ937" s="143"/>
      <c r="FA937" s="143"/>
      <c r="FB937" s="143"/>
      <c r="FC937" s="143"/>
      <c r="FD937" s="143"/>
      <c r="FE937" s="143"/>
      <c r="FF937" s="143"/>
      <c r="FG937" s="143"/>
      <c r="FH937" s="143"/>
      <c r="FI937" s="143"/>
      <c r="FJ937" s="143"/>
      <c r="FK937" s="143"/>
      <c r="FL937" s="143"/>
      <c r="FM937" s="143"/>
      <c r="FN937" s="143"/>
      <c r="FO937" s="143"/>
      <c r="FP937" s="143"/>
      <c r="FQ937" s="143"/>
      <c r="FR937" s="143"/>
      <c r="FS937" s="143"/>
      <c r="FT937" s="143"/>
      <c r="FU937" s="143"/>
      <c r="FV937" s="143"/>
      <c r="FW937" s="143"/>
      <c r="FX937" s="143"/>
      <c r="FY937" s="143"/>
      <c r="FZ937" s="143"/>
      <c r="GA937" s="143"/>
      <c r="GB937" s="143"/>
      <c r="GC937" s="143"/>
      <c r="GD937" s="143"/>
      <c r="GE937" s="143"/>
      <c r="GF937" s="143"/>
      <c r="GG937" s="143"/>
      <c r="GH937" s="143"/>
      <c r="GI937" s="143"/>
      <c r="GJ937" s="143"/>
      <c r="GK937" s="143"/>
      <c r="GL937" s="143"/>
      <c r="GM937" s="143"/>
      <c r="GN937" s="143"/>
      <c r="GO937" s="143"/>
      <c r="GP937" s="143"/>
      <c r="GQ937" s="143"/>
      <c r="GR937" s="143"/>
      <c r="GS937" s="143"/>
      <c r="GT937" s="143"/>
      <c r="GU937" s="143"/>
      <c r="GV937" s="143"/>
      <c r="GW937" s="143"/>
      <c r="GX937" s="143"/>
      <c r="GY937" s="143"/>
      <c r="GZ937" s="143"/>
      <c r="HA937" s="143"/>
      <c r="HB937" s="143"/>
      <c r="HC937" s="143"/>
      <c r="HD937" s="143"/>
      <c r="HE937" s="143"/>
      <c r="HF937" s="143"/>
      <c r="HG937" s="143"/>
      <c r="HH937" s="143"/>
      <c r="HI937" s="143"/>
      <c r="HJ937" s="143"/>
      <c r="HK937" s="143"/>
      <c r="HL937" s="143"/>
      <c r="HM937" s="143"/>
      <c r="HN937" s="143"/>
      <c r="HO937" s="143"/>
      <c r="HP937" s="143"/>
      <c r="HQ937" s="143"/>
      <c r="HR937" s="143"/>
      <c r="HS937" s="143"/>
      <c r="HT937" s="143"/>
      <c r="HU937" s="143"/>
      <c r="HV937" s="143"/>
      <c r="HW937" s="143"/>
      <c r="HX937" s="143"/>
      <c r="HY937" s="143"/>
      <c r="HZ937" s="143"/>
      <c r="IA937" s="143"/>
      <c r="IB937" s="143"/>
      <c r="IC937" s="143"/>
      <c r="ID937" s="143"/>
      <c r="IE937" s="143"/>
      <c r="IF937" s="143"/>
      <c r="IG937" s="143"/>
      <c r="IH937" s="143"/>
      <c r="II937" s="143"/>
      <c r="IJ937" s="143"/>
      <c r="IK937" s="143"/>
      <c r="IL937" s="143"/>
      <c r="IM937" s="143"/>
      <c r="IN937" s="143"/>
      <c r="IO937" s="143"/>
      <c r="IP937" s="143"/>
      <c r="IQ937" s="143"/>
      <c r="IR937" s="143"/>
      <c r="IS937" s="143"/>
      <c r="IT937" s="143"/>
      <c r="IU937" s="143"/>
      <c r="IV937" s="143"/>
      <c r="IW937" s="143"/>
      <c r="IX937" s="143"/>
      <c r="IY937" s="143"/>
      <c r="IZ937" s="143"/>
      <c r="JA937" s="143"/>
      <c r="JB937" s="143"/>
      <c r="JC937" s="143"/>
      <c r="JD937" s="143"/>
      <c r="JE937" s="143"/>
      <c r="JF937" s="143"/>
      <c r="JG937" s="143"/>
      <c r="JH937" s="143"/>
      <c r="JI937" s="143"/>
      <c r="JJ937" s="143"/>
      <c r="JK937" s="143"/>
      <c r="JL937" s="143"/>
      <c r="JM937" s="143"/>
      <c r="JN937" s="143"/>
      <c r="JO937" s="143"/>
      <c r="JP937" s="143"/>
      <c r="JQ937" s="143"/>
      <c r="JR937" s="143"/>
      <c r="JS937" s="143"/>
      <c r="JT937" s="143"/>
      <c r="JU937" s="143"/>
      <c r="JV937" s="143"/>
      <c r="JW937" s="143"/>
      <c r="JX937" s="143"/>
      <c r="JY937" s="143"/>
      <c r="JZ937" s="143"/>
      <c r="KA937" s="143"/>
      <c r="KB937" s="143"/>
      <c r="KC937" s="143"/>
      <c r="KD937" s="143"/>
      <c r="KE937" s="143"/>
      <c r="KF937" s="143"/>
      <c r="KG937" s="143"/>
      <c r="KH937" s="143"/>
      <c r="KI937" s="143"/>
      <c r="KJ937" s="143"/>
      <c r="KK937" s="143"/>
      <c r="KL937" s="143"/>
      <c r="KM937" s="143"/>
      <c r="KN937" s="143"/>
      <c r="KO937" s="143"/>
      <c r="KP937" s="143"/>
      <c r="KQ937" s="143"/>
      <c r="KR937" s="143"/>
      <c r="KS937" s="143"/>
      <c r="KT937" s="143"/>
      <c r="KU937" s="143"/>
      <c r="KV937" s="143"/>
      <c r="KW937" s="143"/>
      <c r="KX937" s="143"/>
      <c r="KY937" s="143"/>
      <c r="KZ937" s="143"/>
      <c r="LA937" s="143"/>
      <c r="LB937" s="143"/>
      <c r="LC937" s="143"/>
      <c r="LD937" s="143"/>
      <c r="LE937" s="143"/>
      <c r="LF937" s="143"/>
      <c r="LG937" s="143"/>
      <c r="LH937" s="143"/>
      <c r="LI937" s="143"/>
      <c r="LJ937" s="143"/>
      <c r="LK937" s="143"/>
      <c r="LL937" s="143"/>
      <c r="LM937" s="143"/>
      <c r="LN937" s="143"/>
      <c r="LO937" s="143"/>
      <c r="LP937" s="143"/>
      <c r="LQ937" s="143"/>
      <c r="LR937" s="143"/>
      <c r="LS937" s="143"/>
      <c r="LT937" s="143"/>
      <c r="LU937" s="143"/>
      <c r="LV937" s="143"/>
      <c r="LW937" s="143"/>
      <c r="LX937" s="143"/>
      <c r="LY937" s="143"/>
      <c r="LZ937" s="143"/>
      <c r="MA937" s="143"/>
      <c r="MB937" s="143"/>
      <c r="MC937" s="143"/>
      <c r="MD937" s="143"/>
      <c r="ME937" s="143"/>
      <c r="MF937" s="143"/>
      <c r="MG937" s="143"/>
      <c r="MH937" s="143"/>
      <c r="MI937" s="143"/>
      <c r="MJ937" s="143"/>
      <c r="MK937" s="143"/>
      <c r="ML937" s="143"/>
      <c r="MM937" s="143"/>
      <c r="MN937" s="143"/>
      <c r="MO937" s="143"/>
      <c r="MP937" s="143"/>
      <c r="MQ937" s="143"/>
      <c r="MR937" s="143"/>
      <c r="MS937" s="143"/>
      <c r="MT937" s="143"/>
      <c r="MU937" s="143"/>
      <c r="MV937" s="143"/>
      <c r="MW937" s="143"/>
      <c r="MX937" s="143"/>
      <c r="MY937" s="143"/>
      <c r="MZ937" s="143"/>
      <c r="NA937" s="143"/>
      <c r="NB937" s="143"/>
      <c r="NC937" s="143"/>
      <c r="ND937" s="143"/>
      <c r="NE937" s="143"/>
      <c r="NF937" s="143"/>
      <c r="NG937" s="143"/>
      <c r="NH937" s="143"/>
      <c r="NI937" s="143"/>
      <c r="NJ937" s="143"/>
      <c r="NK937" s="143"/>
      <c r="NL937" s="143"/>
      <c r="NM937" s="143"/>
      <c r="NN937" s="143"/>
      <c r="NO937" s="143"/>
      <c r="NP937" s="143"/>
      <c r="NQ937" s="143"/>
      <c r="NR937" s="143"/>
      <c r="NS937" s="143"/>
      <c r="NT937" s="143"/>
      <c r="NU937" s="143"/>
      <c r="NV937" s="143"/>
      <c r="NW937" s="143"/>
      <c r="NX937" s="143"/>
      <c r="NY937" s="143"/>
      <c r="NZ937" s="143"/>
      <c r="OA937" s="143"/>
      <c r="OB937" s="143"/>
      <c r="OC937" s="143"/>
      <c r="OD937" s="143"/>
      <c r="OE937" s="143"/>
      <c r="OF937" s="143"/>
      <c r="OG937" s="143"/>
      <c r="OH937" s="143"/>
      <c r="OI937" s="143"/>
      <c r="OJ937" s="143"/>
      <c r="OK937" s="143"/>
      <c r="OL937" s="143"/>
      <c r="OM937" s="143"/>
      <c r="ON937" s="143"/>
      <c r="OO937" s="143"/>
      <c r="OP937" s="143"/>
      <c r="OQ937" s="143"/>
      <c r="OR937" s="143"/>
      <c r="OS937" s="143"/>
      <c r="OT937" s="143"/>
      <c r="OU937" s="143"/>
      <c r="OV937" s="143"/>
      <c r="OW937" s="143"/>
      <c r="OX937" s="143"/>
      <c r="OY937" s="143"/>
      <c r="OZ937" s="143"/>
      <c r="PA937" s="143"/>
      <c r="PB937" s="143"/>
      <c r="PC937" s="143"/>
      <c r="PD937" s="143"/>
      <c r="PE937" s="143"/>
      <c r="PF937" s="143"/>
      <c r="PG937" s="143"/>
      <c r="PH937" s="143"/>
      <c r="PI937" s="143"/>
      <c r="PJ937" s="143"/>
      <c r="PK937" s="143"/>
      <c r="PL937" s="143"/>
      <c r="PM937" s="143"/>
      <c r="PN937" s="143"/>
      <c r="PO937" s="143"/>
      <c r="PP937" s="143"/>
      <c r="PQ937" s="143"/>
      <c r="PR937" s="143"/>
      <c r="PS937" s="143"/>
      <c r="PT937" s="143"/>
      <c r="PU937" s="143"/>
      <c r="PV937" s="143"/>
      <c r="PW937" s="143"/>
      <c r="PX937" s="143"/>
      <c r="PY937" s="143"/>
      <c r="PZ937" s="143"/>
      <c r="QA937" s="143"/>
      <c r="QB937" s="143"/>
      <c r="QC937" s="143"/>
      <c r="QD937" s="143"/>
      <c r="QE937" s="143"/>
      <c r="QF937" s="143"/>
      <c r="QG937" s="143"/>
      <c r="QH937" s="143"/>
      <c r="QI937" s="143"/>
      <c r="QJ937" s="143"/>
      <c r="QK937" s="143"/>
      <c r="QL937" s="143"/>
      <c r="QM937" s="143"/>
      <c r="QN937" s="143"/>
      <c r="QO937" s="143"/>
      <c r="QP937" s="143"/>
      <c r="QQ937" s="143"/>
      <c r="QR937" s="143"/>
      <c r="QS937" s="143"/>
      <c r="QT937" s="143"/>
      <c r="QU937" s="143"/>
      <c r="QV937" s="143"/>
      <c r="QW937" s="143"/>
      <c r="QX937" s="143"/>
      <c r="QY937" s="143"/>
      <c r="QZ937" s="143"/>
      <c r="RA937" s="143"/>
      <c r="RB937" s="143"/>
      <c r="RC937" s="143"/>
      <c r="RD937" s="143"/>
      <c r="RE937" s="143"/>
      <c r="RF937" s="143"/>
      <c r="RG937" s="143"/>
      <c r="RH937" s="143"/>
      <c r="RI937" s="143"/>
      <c r="RJ937" s="143"/>
      <c r="RK937" s="143"/>
      <c r="RL937" s="143"/>
      <c r="RM937" s="143"/>
      <c r="RN937" s="143"/>
      <c r="RO937" s="143"/>
      <c r="RP937" s="143"/>
      <c r="RQ937" s="143"/>
      <c r="RR937" s="143"/>
      <c r="RS937" s="143"/>
      <c r="RT937" s="143"/>
      <c r="RU937" s="143"/>
      <c r="RV937" s="143"/>
      <c r="RW937" s="143"/>
      <c r="RX937" s="143"/>
      <c r="RY937" s="143"/>
      <c r="RZ937" s="143"/>
      <c r="SA937" s="143"/>
      <c r="SB937" s="143"/>
      <c r="SC937" s="143"/>
      <c r="SD937" s="143"/>
      <c r="SE937" s="143"/>
      <c r="SF937" s="143"/>
      <c r="SG937" s="143"/>
      <c r="SH937" s="143"/>
      <c r="SI937" s="143"/>
      <c r="SJ937" s="143"/>
      <c r="SK937" s="143"/>
      <c r="SL937" s="143"/>
      <c r="SM937" s="143"/>
      <c r="SN937" s="143"/>
      <c r="SO937" s="143"/>
      <c r="SP937" s="143"/>
      <c r="SQ937" s="143"/>
      <c r="SR937" s="143"/>
      <c r="SS937" s="143"/>
      <c r="ST937" s="143"/>
      <c r="SU937" s="143"/>
      <c r="SV937" s="143"/>
      <c r="SW937" s="143"/>
      <c r="SX937" s="143"/>
      <c r="SY937" s="143"/>
      <c r="SZ937" s="143"/>
      <c r="TA937" s="143"/>
      <c r="TB937" s="143"/>
      <c r="TC937" s="143"/>
      <c r="TD937" s="143"/>
      <c r="TE937" s="143"/>
      <c r="TF937" s="143"/>
      <c r="TG937" s="143"/>
      <c r="TH937" s="143"/>
      <c r="TI937" s="143"/>
      <c r="TJ937" s="143"/>
      <c r="TK937" s="143"/>
      <c r="TL937" s="143"/>
      <c r="TM937" s="143"/>
      <c r="TN937" s="143"/>
      <c r="TO937" s="143"/>
      <c r="TP937" s="143"/>
      <c r="TQ937" s="143"/>
      <c r="TR937" s="143"/>
      <c r="TS937" s="143"/>
      <c r="TT937" s="143"/>
      <c r="TU937" s="143"/>
      <c r="TV937" s="143"/>
      <c r="TW937" s="143"/>
      <c r="TX937" s="143"/>
      <c r="TY937" s="143"/>
      <c r="TZ937" s="143"/>
      <c r="UA937" s="143"/>
      <c r="UB937" s="143"/>
      <c r="UC937" s="143"/>
      <c r="UD937" s="143"/>
      <c r="UE937" s="143"/>
      <c r="UF937" s="143"/>
      <c r="UG937" s="144"/>
    </row>
    <row r="938" spans="1:553" s="142" customFormat="1" ht="27.65" customHeight="1">
      <c r="A938" s="444"/>
      <c r="B938" s="384"/>
      <c r="C938" s="1223" t="s">
        <v>254</v>
      </c>
      <c r="D938" s="702"/>
      <c r="E938" s="703"/>
      <c r="F938" s="704"/>
      <c r="G938" s="386" t="s">
        <v>113</v>
      </c>
      <c r="H938" s="672"/>
      <c r="I938" s="417">
        <v>10</v>
      </c>
      <c r="J938" s="368">
        <v>114600</v>
      </c>
      <c r="K938" s="686"/>
      <c r="L938" s="480">
        <f t="shared" ref="L938:L939" si="138">I938*J938</f>
        <v>1146000</v>
      </c>
      <c r="M938" s="548"/>
      <c r="N938" s="548"/>
      <c r="O938" s="427"/>
      <c r="P938" s="384"/>
      <c r="Q938" s="1213"/>
      <c r="R938" s="1227"/>
      <c r="S938" s="308"/>
      <c r="T938" s="308"/>
      <c r="U938" s="308"/>
      <c r="V938" s="308"/>
      <c r="W938" s="308"/>
      <c r="X938" s="308"/>
      <c r="Y938" s="308"/>
      <c r="Z938" s="604"/>
      <c r="AA938" s="308"/>
      <c r="AB938" s="308"/>
      <c r="AC938" s="687"/>
      <c r="AD938" s="687"/>
      <c r="AE938" s="687"/>
      <c r="AF938" s="687"/>
      <c r="AG938" s="688"/>
      <c r="AH938" s="688"/>
      <c r="AI938" s="688"/>
      <c r="AJ938" s="688"/>
      <c r="AK938" s="688"/>
      <c r="AL938" s="207"/>
      <c r="AM938" s="140"/>
      <c r="AN938" s="140"/>
      <c r="AO938" s="140"/>
      <c r="AP938" s="140"/>
      <c r="AQ938" s="140"/>
      <c r="AR938" s="140"/>
      <c r="AS938" s="140"/>
      <c r="AT938" s="140"/>
      <c r="AU938" s="140"/>
      <c r="AV938" s="140"/>
      <c r="AW938" s="140"/>
      <c r="AX938" s="140"/>
      <c r="AY938" s="140"/>
      <c r="AZ938" s="140"/>
      <c r="BA938" s="140"/>
      <c r="BB938" s="140"/>
      <c r="BC938" s="140"/>
      <c r="BD938" s="140"/>
      <c r="BE938" s="140"/>
      <c r="BF938" s="140"/>
      <c r="BG938" s="140"/>
      <c r="BH938" s="140"/>
      <c r="BI938" s="140"/>
      <c r="BJ938" s="140"/>
      <c r="BK938" s="140"/>
      <c r="BL938" s="140"/>
      <c r="BM938" s="140"/>
      <c r="BN938" s="140"/>
      <c r="BO938" s="140"/>
      <c r="BP938" s="140"/>
      <c r="BQ938" s="140"/>
      <c r="BR938" s="140"/>
      <c r="BS938" s="140"/>
      <c r="BT938" s="140"/>
      <c r="BU938" s="140"/>
      <c r="BV938" s="140"/>
      <c r="BW938" s="140"/>
      <c r="BX938" s="140"/>
      <c r="BY938" s="140"/>
      <c r="BZ938" s="140"/>
      <c r="CA938" s="140"/>
      <c r="CB938" s="140"/>
      <c r="CC938" s="140"/>
      <c r="CD938" s="140"/>
      <c r="CE938" s="140"/>
      <c r="CF938" s="140"/>
      <c r="CG938" s="140"/>
      <c r="CH938" s="140"/>
      <c r="CI938" s="140"/>
      <c r="CJ938" s="140"/>
      <c r="CK938" s="140"/>
      <c r="CL938" s="140"/>
      <c r="CM938" s="140"/>
      <c r="CN938" s="140"/>
      <c r="CO938" s="140"/>
      <c r="CP938" s="140"/>
      <c r="CQ938" s="140"/>
      <c r="CR938" s="140"/>
      <c r="CS938" s="140"/>
      <c r="CT938" s="140"/>
      <c r="CU938" s="140"/>
      <c r="CV938" s="140"/>
      <c r="CW938" s="140"/>
      <c r="CX938" s="140"/>
      <c r="CY938" s="140"/>
      <c r="CZ938" s="140"/>
      <c r="DA938" s="140"/>
      <c r="DB938" s="140"/>
      <c r="DC938" s="140"/>
      <c r="DD938" s="140"/>
      <c r="DE938" s="140"/>
      <c r="DF938" s="140"/>
      <c r="DG938" s="140"/>
      <c r="DH938" s="140"/>
      <c r="DI938" s="140"/>
      <c r="DJ938" s="140"/>
      <c r="DK938" s="140"/>
      <c r="DL938" s="140"/>
      <c r="DM938" s="140"/>
      <c r="DN938" s="140"/>
      <c r="DO938" s="140"/>
      <c r="DP938" s="140"/>
      <c r="DQ938" s="140"/>
      <c r="DR938" s="140"/>
      <c r="DS938" s="140"/>
      <c r="DT938" s="140"/>
      <c r="DU938" s="140"/>
      <c r="DV938" s="140"/>
      <c r="DW938" s="140"/>
      <c r="DX938" s="140"/>
      <c r="DY938" s="140"/>
      <c r="DZ938" s="140"/>
      <c r="EA938" s="140"/>
      <c r="EB938" s="140"/>
      <c r="EC938" s="140"/>
      <c r="ED938" s="140"/>
      <c r="EE938" s="140"/>
      <c r="EF938" s="140"/>
      <c r="EG938" s="140"/>
      <c r="EH938" s="140"/>
      <c r="EI938" s="140"/>
      <c r="EJ938" s="140"/>
      <c r="EK938" s="140"/>
      <c r="EL938" s="140"/>
      <c r="EM938" s="140"/>
      <c r="EN938" s="140"/>
      <c r="EO938" s="140"/>
      <c r="EP938" s="140"/>
      <c r="EQ938" s="140"/>
      <c r="ER938" s="140"/>
      <c r="ES938" s="140"/>
      <c r="ET938" s="140"/>
      <c r="EU938" s="140"/>
      <c r="EV938" s="140"/>
      <c r="EW938" s="140"/>
      <c r="EX938" s="140"/>
      <c r="EY938" s="140"/>
      <c r="EZ938" s="140"/>
      <c r="FA938" s="140"/>
      <c r="FB938" s="140"/>
      <c r="FC938" s="140"/>
      <c r="FD938" s="140"/>
      <c r="FE938" s="140"/>
      <c r="FF938" s="140"/>
      <c r="FG938" s="140"/>
      <c r="FH938" s="140"/>
      <c r="FI938" s="140"/>
      <c r="FJ938" s="140"/>
      <c r="FK938" s="140"/>
      <c r="FL938" s="140"/>
      <c r="FM938" s="140"/>
      <c r="FN938" s="140"/>
      <c r="FO938" s="140"/>
      <c r="FP938" s="140"/>
      <c r="FQ938" s="140"/>
      <c r="FR938" s="140"/>
      <c r="FS938" s="140"/>
      <c r="FT938" s="140"/>
      <c r="FU938" s="140"/>
      <c r="FV938" s="140"/>
      <c r="FW938" s="140"/>
      <c r="FX938" s="140"/>
      <c r="FY938" s="140"/>
      <c r="FZ938" s="140"/>
      <c r="GA938" s="140"/>
      <c r="GB938" s="140"/>
      <c r="GC938" s="140"/>
      <c r="GD938" s="140"/>
      <c r="GE938" s="140"/>
      <c r="GF938" s="140"/>
      <c r="GG938" s="140"/>
      <c r="GH938" s="140"/>
      <c r="GI938" s="140"/>
      <c r="GJ938" s="140"/>
      <c r="GK938" s="140"/>
      <c r="GL938" s="140"/>
      <c r="GM938" s="140"/>
      <c r="GN938" s="140"/>
      <c r="GO938" s="140"/>
      <c r="GP938" s="140"/>
      <c r="GQ938" s="140"/>
      <c r="GR938" s="140"/>
      <c r="GS938" s="140"/>
      <c r="GT938" s="140"/>
      <c r="GU938" s="140"/>
      <c r="GV938" s="140"/>
      <c r="GW938" s="140"/>
      <c r="GX938" s="140"/>
      <c r="GY938" s="140"/>
      <c r="GZ938" s="140"/>
      <c r="HA938" s="140"/>
      <c r="HB938" s="140"/>
      <c r="HC938" s="140"/>
      <c r="HD938" s="140"/>
      <c r="HE938" s="140"/>
      <c r="HF938" s="140"/>
      <c r="HG938" s="140"/>
      <c r="HH938" s="140"/>
      <c r="HI938" s="140"/>
      <c r="HJ938" s="140"/>
      <c r="HK938" s="140"/>
      <c r="HL938" s="140"/>
      <c r="HM938" s="140"/>
      <c r="HN938" s="140"/>
      <c r="HO938" s="140"/>
      <c r="HP938" s="140"/>
      <c r="HQ938" s="140"/>
      <c r="HR938" s="140"/>
      <c r="HS938" s="140"/>
      <c r="HT938" s="140"/>
      <c r="HU938" s="140"/>
      <c r="HV938" s="140"/>
      <c r="HW938" s="140"/>
      <c r="HX938" s="140"/>
      <c r="HY938" s="140"/>
      <c r="HZ938" s="140"/>
      <c r="IA938" s="140"/>
      <c r="IB938" s="140"/>
      <c r="IC938" s="140"/>
      <c r="ID938" s="140"/>
      <c r="IE938" s="140"/>
      <c r="IF938" s="140"/>
      <c r="IG938" s="140"/>
      <c r="IH938" s="140"/>
      <c r="II938" s="140"/>
      <c r="IJ938" s="140"/>
      <c r="IK938" s="140"/>
      <c r="IL938" s="140"/>
      <c r="IM938" s="140"/>
      <c r="IN938" s="140"/>
      <c r="IO938" s="140"/>
      <c r="IP938" s="140"/>
      <c r="IQ938" s="140"/>
      <c r="IR938" s="140"/>
      <c r="IS938" s="140"/>
      <c r="IT938" s="140"/>
      <c r="IU938" s="140"/>
      <c r="IV938" s="140"/>
      <c r="IW938" s="140"/>
      <c r="IX938" s="140"/>
      <c r="IY938" s="140"/>
      <c r="IZ938" s="140"/>
      <c r="JA938" s="140"/>
      <c r="JB938" s="140"/>
      <c r="JC938" s="140"/>
      <c r="JD938" s="140"/>
      <c r="JE938" s="140"/>
      <c r="JF938" s="140"/>
      <c r="JG938" s="140"/>
      <c r="JH938" s="140"/>
      <c r="JI938" s="140"/>
      <c r="JJ938" s="140"/>
      <c r="JK938" s="140"/>
      <c r="JL938" s="140"/>
      <c r="JM938" s="140"/>
      <c r="JN938" s="140"/>
      <c r="JO938" s="140"/>
      <c r="JP938" s="140"/>
      <c r="JQ938" s="140"/>
      <c r="JR938" s="140"/>
      <c r="JS938" s="140"/>
      <c r="JT938" s="140"/>
      <c r="JU938" s="140"/>
      <c r="JV938" s="140"/>
      <c r="JW938" s="140"/>
      <c r="JX938" s="140"/>
      <c r="JY938" s="140"/>
      <c r="JZ938" s="140"/>
      <c r="KA938" s="140"/>
      <c r="KB938" s="140"/>
      <c r="KC938" s="140"/>
      <c r="KD938" s="140"/>
      <c r="KE938" s="140"/>
      <c r="KF938" s="140"/>
      <c r="KG938" s="140"/>
      <c r="KH938" s="140"/>
      <c r="KI938" s="140"/>
      <c r="KJ938" s="140"/>
      <c r="KK938" s="140"/>
      <c r="KL938" s="140"/>
      <c r="KM938" s="140"/>
      <c r="KN938" s="140"/>
      <c r="KO938" s="140"/>
      <c r="KP938" s="140"/>
      <c r="KQ938" s="140"/>
      <c r="KR938" s="140"/>
      <c r="KS938" s="140"/>
      <c r="KT938" s="140"/>
      <c r="KU938" s="140"/>
      <c r="KV938" s="140"/>
      <c r="KW938" s="140"/>
      <c r="KX938" s="140"/>
      <c r="KY938" s="140"/>
      <c r="KZ938" s="140"/>
      <c r="LA938" s="140"/>
      <c r="LB938" s="140"/>
      <c r="LC938" s="140"/>
      <c r="LD938" s="140"/>
      <c r="LE938" s="140"/>
      <c r="LF938" s="140"/>
      <c r="LG938" s="140"/>
      <c r="LH938" s="140"/>
      <c r="LI938" s="140"/>
      <c r="LJ938" s="140"/>
      <c r="LK938" s="140"/>
      <c r="LL938" s="140"/>
      <c r="LM938" s="140"/>
      <c r="LN938" s="140"/>
      <c r="LO938" s="140"/>
      <c r="LP938" s="140"/>
      <c r="LQ938" s="140"/>
      <c r="LR938" s="140"/>
      <c r="LS938" s="140"/>
      <c r="LT938" s="140"/>
      <c r="LU938" s="140"/>
      <c r="LV938" s="140"/>
      <c r="LW938" s="140"/>
      <c r="LX938" s="140"/>
      <c r="LY938" s="140"/>
      <c r="LZ938" s="140"/>
      <c r="MA938" s="140"/>
      <c r="MB938" s="140"/>
      <c r="MC938" s="140"/>
      <c r="MD938" s="140"/>
      <c r="ME938" s="140"/>
      <c r="MF938" s="140"/>
      <c r="MG938" s="140"/>
      <c r="MH938" s="140"/>
      <c r="MI938" s="140"/>
      <c r="MJ938" s="140"/>
      <c r="MK938" s="140"/>
      <c r="ML938" s="140"/>
      <c r="MM938" s="140"/>
      <c r="MN938" s="140"/>
      <c r="MO938" s="140"/>
      <c r="MP938" s="140"/>
      <c r="MQ938" s="140"/>
      <c r="MR938" s="140"/>
      <c r="MS938" s="140"/>
      <c r="MT938" s="140"/>
      <c r="MU938" s="140"/>
      <c r="MV938" s="140"/>
      <c r="MW938" s="140"/>
      <c r="MX938" s="140"/>
      <c r="MY938" s="140"/>
      <c r="MZ938" s="140"/>
      <c r="NA938" s="140"/>
      <c r="NB938" s="140"/>
      <c r="NC938" s="140"/>
      <c r="ND938" s="140"/>
      <c r="NE938" s="140"/>
      <c r="NF938" s="140"/>
      <c r="NG938" s="140"/>
      <c r="NH938" s="140"/>
      <c r="NI938" s="140"/>
      <c r="NJ938" s="140"/>
      <c r="NK938" s="140"/>
      <c r="NL938" s="140"/>
      <c r="NM938" s="140"/>
      <c r="NN938" s="140"/>
      <c r="NO938" s="140"/>
      <c r="NP938" s="140"/>
      <c r="NQ938" s="140"/>
      <c r="NR938" s="140"/>
      <c r="NS938" s="140"/>
      <c r="NT938" s="140"/>
      <c r="NU938" s="140"/>
      <c r="NV938" s="140"/>
      <c r="NW938" s="140"/>
      <c r="NX938" s="140"/>
      <c r="NY938" s="140"/>
      <c r="NZ938" s="140"/>
      <c r="OA938" s="140"/>
      <c r="OB938" s="140"/>
      <c r="OC938" s="140"/>
      <c r="OD938" s="140"/>
      <c r="OE938" s="140"/>
      <c r="OF938" s="140"/>
      <c r="OG938" s="140"/>
      <c r="OH938" s="140"/>
      <c r="OI938" s="140"/>
      <c r="OJ938" s="140"/>
      <c r="OK938" s="140"/>
      <c r="OL938" s="140"/>
      <c r="OM938" s="140"/>
      <c r="ON938" s="140"/>
      <c r="OO938" s="140"/>
      <c r="OP938" s="140"/>
      <c r="OQ938" s="140"/>
      <c r="OR938" s="140"/>
      <c r="OS938" s="140"/>
      <c r="OT938" s="140"/>
      <c r="OU938" s="140"/>
      <c r="OV938" s="140"/>
      <c r="OW938" s="140"/>
      <c r="OX938" s="140"/>
      <c r="OY938" s="140"/>
      <c r="OZ938" s="140"/>
      <c r="PA938" s="140"/>
      <c r="PB938" s="140"/>
      <c r="PC938" s="140"/>
      <c r="PD938" s="140"/>
      <c r="PE938" s="140"/>
      <c r="PF938" s="140"/>
      <c r="PG938" s="140"/>
      <c r="PH938" s="140"/>
      <c r="PI938" s="140"/>
      <c r="PJ938" s="140"/>
      <c r="PK938" s="140"/>
      <c r="PL938" s="140"/>
      <c r="PM938" s="140"/>
      <c r="PN938" s="140"/>
      <c r="PO938" s="140"/>
      <c r="PP938" s="140"/>
      <c r="PQ938" s="140"/>
      <c r="PR938" s="140"/>
      <c r="PS938" s="140"/>
      <c r="PT938" s="140"/>
      <c r="PU938" s="140"/>
      <c r="PV938" s="140"/>
      <c r="PW938" s="140"/>
      <c r="PX938" s="140"/>
      <c r="PY938" s="140"/>
      <c r="PZ938" s="140"/>
      <c r="QA938" s="140"/>
      <c r="QB938" s="140"/>
      <c r="QC938" s="140"/>
      <c r="QD938" s="140"/>
      <c r="QE938" s="140"/>
      <c r="QF938" s="140"/>
      <c r="QG938" s="140"/>
      <c r="QH938" s="140"/>
      <c r="QI938" s="140"/>
      <c r="QJ938" s="140"/>
      <c r="QK938" s="140"/>
      <c r="QL938" s="140"/>
      <c r="QM938" s="140"/>
      <c r="QN938" s="140"/>
      <c r="QO938" s="140"/>
      <c r="QP938" s="140"/>
      <c r="QQ938" s="140"/>
      <c r="QR938" s="140"/>
      <c r="QS938" s="140"/>
      <c r="QT938" s="140"/>
      <c r="QU938" s="140"/>
      <c r="QV938" s="140"/>
      <c r="QW938" s="140"/>
      <c r="QX938" s="140"/>
      <c r="QY938" s="140"/>
      <c r="QZ938" s="140"/>
      <c r="RA938" s="140"/>
      <c r="RB938" s="140"/>
      <c r="RC938" s="140"/>
      <c r="RD938" s="140"/>
      <c r="RE938" s="140"/>
      <c r="RF938" s="140"/>
      <c r="RG938" s="140"/>
      <c r="RH938" s="140"/>
      <c r="RI938" s="140"/>
      <c r="RJ938" s="140"/>
      <c r="RK938" s="140"/>
      <c r="RL938" s="140"/>
      <c r="RM938" s="140"/>
      <c r="RN938" s="140"/>
      <c r="RO938" s="140"/>
      <c r="RP938" s="140"/>
      <c r="RQ938" s="140"/>
      <c r="RR938" s="140"/>
      <c r="RS938" s="140"/>
      <c r="RT938" s="140"/>
      <c r="RU938" s="140"/>
      <c r="RV938" s="140"/>
      <c r="RW938" s="140"/>
      <c r="RX938" s="140"/>
      <c r="RY938" s="140"/>
      <c r="RZ938" s="140"/>
      <c r="SA938" s="140"/>
      <c r="SB938" s="140"/>
      <c r="SC938" s="140"/>
      <c r="SD938" s="140"/>
      <c r="SE938" s="140"/>
      <c r="SF938" s="140"/>
      <c r="SG938" s="140"/>
      <c r="SH938" s="140"/>
      <c r="SI938" s="140"/>
      <c r="SJ938" s="140"/>
      <c r="SK938" s="140"/>
      <c r="SL938" s="140"/>
      <c r="SM938" s="140"/>
      <c r="SN938" s="140"/>
      <c r="SO938" s="140"/>
      <c r="SP938" s="140"/>
      <c r="SQ938" s="140"/>
      <c r="SR938" s="140"/>
      <c r="SS938" s="140"/>
      <c r="ST938" s="140"/>
      <c r="SU938" s="140"/>
      <c r="SV938" s="140"/>
      <c r="SW938" s="140"/>
      <c r="SX938" s="140"/>
      <c r="SY938" s="140"/>
      <c r="SZ938" s="140"/>
      <c r="TA938" s="140"/>
      <c r="TB938" s="140"/>
      <c r="TC938" s="140"/>
      <c r="TD938" s="140"/>
      <c r="TE938" s="140"/>
      <c r="TF938" s="140"/>
      <c r="TG938" s="140"/>
      <c r="TH938" s="140"/>
      <c r="TI938" s="140"/>
      <c r="TJ938" s="140"/>
      <c r="TK938" s="140"/>
      <c r="TL938" s="140"/>
      <c r="TM938" s="140"/>
      <c r="TN938" s="140"/>
      <c r="TO938" s="140"/>
      <c r="TP938" s="140"/>
      <c r="TQ938" s="140"/>
      <c r="TR938" s="140"/>
      <c r="TS938" s="140"/>
      <c r="TT938" s="140"/>
      <c r="TU938" s="140"/>
      <c r="TV938" s="140"/>
      <c r="TW938" s="140"/>
      <c r="TX938" s="140"/>
      <c r="TY938" s="140"/>
      <c r="TZ938" s="140"/>
      <c r="UA938" s="140"/>
      <c r="UB938" s="140"/>
      <c r="UC938" s="140"/>
      <c r="UD938" s="140"/>
      <c r="UE938" s="140"/>
      <c r="UF938" s="140"/>
      <c r="UG938" s="141"/>
    </row>
    <row r="939" spans="1:553" s="142" customFormat="1" ht="27.65" customHeight="1">
      <c r="A939" s="444"/>
      <c r="B939" s="384" t="s">
        <v>31</v>
      </c>
      <c r="C939" s="1376" t="s">
        <v>556</v>
      </c>
      <c r="D939" s="1377"/>
      <c r="E939" s="1377"/>
      <c r="F939" s="1378"/>
      <c r="G939" s="386" t="s">
        <v>34</v>
      </c>
      <c r="H939" s="672"/>
      <c r="I939" s="417">
        <f>10*0.8*0.3</f>
        <v>2.4</v>
      </c>
      <c r="J939" s="368">
        <v>606342</v>
      </c>
      <c r="K939" s="686"/>
      <c r="L939" s="480">
        <f t="shared" si="138"/>
        <v>1455220.8</v>
      </c>
      <c r="M939" s="548"/>
      <c r="N939" s="548"/>
      <c r="O939" s="427"/>
      <c r="P939" s="384"/>
      <c r="Q939" s="1213"/>
      <c r="R939" s="1227"/>
      <c r="S939" s="308"/>
      <c r="T939" s="308"/>
      <c r="U939" s="308"/>
      <c r="V939" s="308"/>
      <c r="W939" s="308"/>
      <c r="X939" s="308"/>
      <c r="Y939" s="308"/>
      <c r="Z939" s="604"/>
      <c r="AA939" s="308"/>
      <c r="AB939" s="308"/>
      <c r="AC939" s="687"/>
      <c r="AD939" s="687"/>
      <c r="AE939" s="687"/>
      <c r="AF939" s="687"/>
      <c r="AG939" s="688"/>
      <c r="AH939" s="688"/>
      <c r="AI939" s="688"/>
      <c r="AJ939" s="688"/>
      <c r="AK939" s="688"/>
      <c r="AL939" s="207"/>
      <c r="AM939" s="140"/>
      <c r="AN939" s="140"/>
      <c r="AO939" s="140"/>
      <c r="AP939" s="140"/>
      <c r="AQ939" s="140"/>
      <c r="AR939" s="140"/>
      <c r="AS939" s="140"/>
      <c r="AT939" s="140"/>
      <c r="AU939" s="140"/>
      <c r="AV939" s="140"/>
      <c r="AW939" s="140"/>
      <c r="AX939" s="140"/>
      <c r="AY939" s="140"/>
      <c r="AZ939" s="140"/>
      <c r="BA939" s="140"/>
      <c r="BB939" s="140"/>
      <c r="BC939" s="140"/>
      <c r="BD939" s="140"/>
      <c r="BE939" s="140"/>
      <c r="BF939" s="140"/>
      <c r="BG939" s="140"/>
      <c r="BH939" s="140"/>
      <c r="BI939" s="140"/>
      <c r="BJ939" s="140"/>
      <c r="BK939" s="140"/>
      <c r="BL939" s="140"/>
      <c r="BM939" s="140"/>
      <c r="BN939" s="140"/>
      <c r="BO939" s="140"/>
      <c r="BP939" s="140"/>
      <c r="BQ939" s="140"/>
      <c r="BR939" s="140"/>
      <c r="BS939" s="140"/>
      <c r="BT939" s="140"/>
      <c r="BU939" s="140"/>
      <c r="BV939" s="140"/>
      <c r="BW939" s="140"/>
      <c r="BX939" s="140"/>
      <c r="BY939" s="140"/>
      <c r="BZ939" s="140"/>
      <c r="CA939" s="140"/>
      <c r="CB939" s="140"/>
      <c r="CC939" s="140"/>
      <c r="CD939" s="140"/>
      <c r="CE939" s="140"/>
      <c r="CF939" s="140"/>
      <c r="CG939" s="140"/>
      <c r="CH939" s="140"/>
      <c r="CI939" s="140"/>
      <c r="CJ939" s="140"/>
      <c r="CK939" s="140"/>
      <c r="CL939" s="140"/>
      <c r="CM939" s="140"/>
      <c r="CN939" s="140"/>
      <c r="CO939" s="140"/>
      <c r="CP939" s="140"/>
      <c r="CQ939" s="140"/>
      <c r="CR939" s="140"/>
      <c r="CS939" s="140"/>
      <c r="CT939" s="140"/>
      <c r="CU939" s="140"/>
      <c r="CV939" s="140"/>
      <c r="CW939" s="140"/>
      <c r="CX939" s="140"/>
      <c r="CY939" s="140"/>
      <c r="CZ939" s="140"/>
      <c r="DA939" s="140"/>
      <c r="DB939" s="140"/>
      <c r="DC939" s="140"/>
      <c r="DD939" s="140"/>
      <c r="DE939" s="140"/>
      <c r="DF939" s="140"/>
      <c r="DG939" s="140"/>
      <c r="DH939" s="140"/>
      <c r="DI939" s="140"/>
      <c r="DJ939" s="140"/>
      <c r="DK939" s="140"/>
      <c r="DL939" s="140"/>
      <c r="DM939" s="140"/>
      <c r="DN939" s="140"/>
      <c r="DO939" s="140"/>
      <c r="DP939" s="140"/>
      <c r="DQ939" s="140"/>
      <c r="DR939" s="140"/>
      <c r="DS939" s="140"/>
      <c r="DT939" s="140"/>
      <c r="DU939" s="140"/>
      <c r="DV939" s="140"/>
      <c r="DW939" s="140"/>
      <c r="DX939" s="140"/>
      <c r="DY939" s="140"/>
      <c r="DZ939" s="140"/>
      <c r="EA939" s="140"/>
      <c r="EB939" s="140"/>
      <c r="EC939" s="140"/>
      <c r="ED939" s="140"/>
      <c r="EE939" s="140"/>
      <c r="EF939" s="140"/>
      <c r="EG939" s="140"/>
      <c r="EH939" s="140"/>
      <c r="EI939" s="140"/>
      <c r="EJ939" s="140"/>
      <c r="EK939" s="140"/>
      <c r="EL939" s="140"/>
      <c r="EM939" s="140"/>
      <c r="EN939" s="140"/>
      <c r="EO939" s="140"/>
      <c r="EP939" s="140"/>
      <c r="EQ939" s="140"/>
      <c r="ER939" s="140"/>
      <c r="ES939" s="140"/>
      <c r="ET939" s="140"/>
      <c r="EU939" s="140"/>
      <c r="EV939" s="140"/>
      <c r="EW939" s="140"/>
      <c r="EX939" s="140"/>
      <c r="EY939" s="140"/>
      <c r="EZ939" s="140"/>
      <c r="FA939" s="140"/>
      <c r="FB939" s="140"/>
      <c r="FC939" s="140"/>
      <c r="FD939" s="140"/>
      <c r="FE939" s="140"/>
      <c r="FF939" s="140"/>
      <c r="FG939" s="140"/>
      <c r="FH939" s="140"/>
      <c r="FI939" s="140"/>
      <c r="FJ939" s="140"/>
      <c r="FK939" s="140"/>
      <c r="FL939" s="140"/>
      <c r="FM939" s="140"/>
      <c r="FN939" s="140"/>
      <c r="FO939" s="140"/>
      <c r="FP939" s="140"/>
      <c r="FQ939" s="140"/>
      <c r="FR939" s="140"/>
      <c r="FS939" s="140"/>
      <c r="FT939" s="140"/>
      <c r="FU939" s="140"/>
      <c r="FV939" s="140"/>
      <c r="FW939" s="140"/>
      <c r="FX939" s="140"/>
      <c r="FY939" s="140"/>
      <c r="FZ939" s="140"/>
      <c r="GA939" s="140"/>
      <c r="GB939" s="140"/>
      <c r="GC939" s="140"/>
      <c r="GD939" s="140"/>
      <c r="GE939" s="140"/>
      <c r="GF939" s="140"/>
      <c r="GG939" s="140"/>
      <c r="GH939" s="140"/>
      <c r="GI939" s="140"/>
      <c r="GJ939" s="140"/>
      <c r="GK939" s="140"/>
      <c r="GL939" s="140"/>
      <c r="GM939" s="140"/>
      <c r="GN939" s="140"/>
      <c r="GO939" s="140"/>
      <c r="GP939" s="140"/>
      <c r="GQ939" s="140"/>
      <c r="GR939" s="140"/>
      <c r="GS939" s="140"/>
      <c r="GT939" s="140"/>
      <c r="GU939" s="140"/>
      <c r="GV939" s="140"/>
      <c r="GW939" s="140"/>
      <c r="GX939" s="140"/>
      <c r="GY939" s="140"/>
      <c r="GZ939" s="140"/>
      <c r="HA939" s="140"/>
      <c r="HB939" s="140"/>
      <c r="HC939" s="140"/>
      <c r="HD939" s="140"/>
      <c r="HE939" s="140"/>
      <c r="HF939" s="140"/>
      <c r="HG939" s="140"/>
      <c r="HH939" s="140"/>
      <c r="HI939" s="140"/>
      <c r="HJ939" s="140"/>
      <c r="HK939" s="140"/>
      <c r="HL939" s="140"/>
      <c r="HM939" s="140"/>
      <c r="HN939" s="140"/>
      <c r="HO939" s="140"/>
      <c r="HP939" s="140"/>
      <c r="HQ939" s="140"/>
      <c r="HR939" s="140"/>
      <c r="HS939" s="140"/>
      <c r="HT939" s="140"/>
      <c r="HU939" s="140"/>
      <c r="HV939" s="140"/>
      <c r="HW939" s="140"/>
      <c r="HX939" s="140"/>
      <c r="HY939" s="140"/>
      <c r="HZ939" s="140"/>
      <c r="IA939" s="140"/>
      <c r="IB939" s="140"/>
      <c r="IC939" s="140"/>
      <c r="ID939" s="140"/>
      <c r="IE939" s="140"/>
      <c r="IF939" s="140"/>
      <c r="IG939" s="140"/>
      <c r="IH939" s="140"/>
      <c r="II939" s="140"/>
      <c r="IJ939" s="140"/>
      <c r="IK939" s="140"/>
      <c r="IL939" s="140"/>
      <c r="IM939" s="140"/>
      <c r="IN939" s="140"/>
      <c r="IO939" s="140"/>
      <c r="IP939" s="140"/>
      <c r="IQ939" s="140"/>
      <c r="IR939" s="140"/>
      <c r="IS939" s="140"/>
      <c r="IT939" s="140"/>
      <c r="IU939" s="140"/>
      <c r="IV939" s="140"/>
      <c r="IW939" s="140"/>
      <c r="IX939" s="140"/>
      <c r="IY939" s="140"/>
      <c r="IZ939" s="140"/>
      <c r="JA939" s="140"/>
      <c r="JB939" s="140"/>
      <c r="JC939" s="140"/>
      <c r="JD939" s="140"/>
      <c r="JE939" s="140"/>
      <c r="JF939" s="140"/>
      <c r="JG939" s="140"/>
      <c r="JH939" s="140"/>
      <c r="JI939" s="140"/>
      <c r="JJ939" s="140"/>
      <c r="JK939" s="140"/>
      <c r="JL939" s="140"/>
      <c r="JM939" s="140"/>
      <c r="JN939" s="140"/>
      <c r="JO939" s="140"/>
      <c r="JP939" s="140"/>
      <c r="JQ939" s="140"/>
      <c r="JR939" s="140"/>
      <c r="JS939" s="140"/>
      <c r="JT939" s="140"/>
      <c r="JU939" s="140"/>
      <c r="JV939" s="140"/>
      <c r="JW939" s="140"/>
      <c r="JX939" s="140"/>
      <c r="JY939" s="140"/>
      <c r="JZ939" s="140"/>
      <c r="KA939" s="140"/>
      <c r="KB939" s="140"/>
      <c r="KC939" s="140"/>
      <c r="KD939" s="140"/>
      <c r="KE939" s="140"/>
      <c r="KF939" s="140"/>
      <c r="KG939" s="140"/>
      <c r="KH939" s="140"/>
      <c r="KI939" s="140"/>
      <c r="KJ939" s="140"/>
      <c r="KK939" s="140"/>
      <c r="KL939" s="140"/>
      <c r="KM939" s="140"/>
      <c r="KN939" s="140"/>
      <c r="KO939" s="140"/>
      <c r="KP939" s="140"/>
      <c r="KQ939" s="140"/>
      <c r="KR939" s="140"/>
      <c r="KS939" s="140"/>
      <c r="KT939" s="140"/>
      <c r="KU939" s="140"/>
      <c r="KV939" s="140"/>
      <c r="KW939" s="140"/>
      <c r="KX939" s="140"/>
      <c r="KY939" s="140"/>
      <c r="KZ939" s="140"/>
      <c r="LA939" s="140"/>
      <c r="LB939" s="140"/>
      <c r="LC939" s="140"/>
      <c r="LD939" s="140"/>
      <c r="LE939" s="140"/>
      <c r="LF939" s="140"/>
      <c r="LG939" s="140"/>
      <c r="LH939" s="140"/>
      <c r="LI939" s="140"/>
      <c r="LJ939" s="140"/>
      <c r="LK939" s="140"/>
      <c r="LL939" s="140"/>
      <c r="LM939" s="140"/>
      <c r="LN939" s="140"/>
      <c r="LO939" s="140"/>
      <c r="LP939" s="140"/>
      <c r="LQ939" s="140"/>
      <c r="LR939" s="140"/>
      <c r="LS939" s="140"/>
      <c r="LT939" s="140"/>
      <c r="LU939" s="140"/>
      <c r="LV939" s="140"/>
      <c r="LW939" s="140"/>
      <c r="LX939" s="140"/>
      <c r="LY939" s="140"/>
      <c r="LZ939" s="140"/>
      <c r="MA939" s="140"/>
      <c r="MB939" s="140"/>
      <c r="MC939" s="140"/>
      <c r="MD939" s="140"/>
      <c r="ME939" s="140"/>
      <c r="MF939" s="140"/>
      <c r="MG939" s="140"/>
      <c r="MH939" s="140"/>
      <c r="MI939" s="140"/>
      <c r="MJ939" s="140"/>
      <c r="MK939" s="140"/>
      <c r="ML939" s="140"/>
      <c r="MM939" s="140"/>
      <c r="MN939" s="140"/>
      <c r="MO939" s="140"/>
      <c r="MP939" s="140"/>
      <c r="MQ939" s="140"/>
      <c r="MR939" s="140"/>
      <c r="MS939" s="140"/>
      <c r="MT939" s="140"/>
      <c r="MU939" s="140"/>
      <c r="MV939" s="140"/>
      <c r="MW939" s="140"/>
      <c r="MX939" s="140"/>
      <c r="MY939" s="140"/>
      <c r="MZ939" s="140"/>
      <c r="NA939" s="140"/>
      <c r="NB939" s="140"/>
      <c r="NC939" s="140"/>
      <c r="ND939" s="140"/>
      <c r="NE939" s="140"/>
      <c r="NF939" s="140"/>
      <c r="NG939" s="140"/>
      <c r="NH939" s="140"/>
      <c r="NI939" s="140"/>
      <c r="NJ939" s="140"/>
      <c r="NK939" s="140"/>
      <c r="NL939" s="140"/>
      <c r="NM939" s="140"/>
      <c r="NN939" s="140"/>
      <c r="NO939" s="140"/>
      <c r="NP939" s="140"/>
      <c r="NQ939" s="140"/>
      <c r="NR939" s="140"/>
      <c r="NS939" s="140"/>
      <c r="NT939" s="140"/>
      <c r="NU939" s="140"/>
      <c r="NV939" s="140"/>
      <c r="NW939" s="140"/>
      <c r="NX939" s="140"/>
      <c r="NY939" s="140"/>
      <c r="NZ939" s="140"/>
      <c r="OA939" s="140"/>
      <c r="OB939" s="140"/>
      <c r="OC939" s="140"/>
      <c r="OD939" s="140"/>
      <c r="OE939" s="140"/>
      <c r="OF939" s="140"/>
      <c r="OG939" s="140"/>
      <c r="OH939" s="140"/>
      <c r="OI939" s="140"/>
      <c r="OJ939" s="140"/>
      <c r="OK939" s="140"/>
      <c r="OL939" s="140"/>
      <c r="OM939" s="140"/>
      <c r="ON939" s="140"/>
      <c r="OO939" s="140"/>
      <c r="OP939" s="140"/>
      <c r="OQ939" s="140"/>
      <c r="OR939" s="140"/>
      <c r="OS939" s="140"/>
      <c r="OT939" s="140"/>
      <c r="OU939" s="140"/>
      <c r="OV939" s="140"/>
      <c r="OW939" s="140"/>
      <c r="OX939" s="140"/>
      <c r="OY939" s="140"/>
      <c r="OZ939" s="140"/>
      <c r="PA939" s="140"/>
      <c r="PB939" s="140"/>
      <c r="PC939" s="140"/>
      <c r="PD939" s="140"/>
      <c r="PE939" s="140"/>
      <c r="PF939" s="140"/>
      <c r="PG939" s="140"/>
      <c r="PH939" s="140"/>
      <c r="PI939" s="140"/>
      <c r="PJ939" s="140"/>
      <c r="PK939" s="140"/>
      <c r="PL939" s="140"/>
      <c r="PM939" s="140"/>
      <c r="PN939" s="140"/>
      <c r="PO939" s="140"/>
      <c r="PP939" s="140"/>
      <c r="PQ939" s="140"/>
      <c r="PR939" s="140"/>
      <c r="PS939" s="140"/>
      <c r="PT939" s="140"/>
      <c r="PU939" s="140"/>
      <c r="PV939" s="140"/>
      <c r="PW939" s="140"/>
      <c r="PX939" s="140"/>
      <c r="PY939" s="140"/>
      <c r="PZ939" s="140"/>
      <c r="QA939" s="140"/>
      <c r="QB939" s="140"/>
      <c r="QC939" s="140"/>
      <c r="QD939" s="140"/>
      <c r="QE939" s="140"/>
      <c r="QF939" s="140"/>
      <c r="QG939" s="140"/>
      <c r="QH939" s="140"/>
      <c r="QI939" s="140"/>
      <c r="QJ939" s="140"/>
      <c r="QK939" s="140"/>
      <c r="QL939" s="140"/>
      <c r="QM939" s="140"/>
      <c r="QN939" s="140"/>
      <c r="QO939" s="140"/>
      <c r="QP939" s="140"/>
      <c r="QQ939" s="140"/>
      <c r="QR939" s="140"/>
      <c r="QS939" s="140"/>
      <c r="QT939" s="140"/>
      <c r="QU939" s="140"/>
      <c r="QV939" s="140"/>
      <c r="QW939" s="140"/>
      <c r="QX939" s="140"/>
      <c r="QY939" s="140"/>
      <c r="QZ939" s="140"/>
      <c r="RA939" s="140"/>
      <c r="RB939" s="140"/>
      <c r="RC939" s="140"/>
      <c r="RD939" s="140"/>
      <c r="RE939" s="140"/>
      <c r="RF939" s="140"/>
      <c r="RG939" s="140"/>
      <c r="RH939" s="140"/>
      <c r="RI939" s="140"/>
      <c r="RJ939" s="140"/>
      <c r="RK939" s="140"/>
      <c r="RL939" s="140"/>
      <c r="RM939" s="140"/>
      <c r="RN939" s="140"/>
      <c r="RO939" s="140"/>
      <c r="RP939" s="140"/>
      <c r="RQ939" s="140"/>
      <c r="RR939" s="140"/>
      <c r="RS939" s="140"/>
      <c r="RT939" s="140"/>
      <c r="RU939" s="140"/>
      <c r="RV939" s="140"/>
      <c r="RW939" s="140"/>
      <c r="RX939" s="140"/>
      <c r="RY939" s="140"/>
      <c r="RZ939" s="140"/>
      <c r="SA939" s="140"/>
      <c r="SB939" s="140"/>
      <c r="SC939" s="140"/>
      <c r="SD939" s="140"/>
      <c r="SE939" s="140"/>
      <c r="SF939" s="140"/>
      <c r="SG939" s="140"/>
      <c r="SH939" s="140"/>
      <c r="SI939" s="140"/>
      <c r="SJ939" s="140"/>
      <c r="SK939" s="140"/>
      <c r="SL939" s="140"/>
      <c r="SM939" s="140"/>
      <c r="SN939" s="140"/>
      <c r="SO939" s="140"/>
      <c r="SP939" s="140"/>
      <c r="SQ939" s="140"/>
      <c r="SR939" s="140"/>
      <c r="SS939" s="140"/>
      <c r="ST939" s="140"/>
      <c r="SU939" s="140"/>
      <c r="SV939" s="140"/>
      <c r="SW939" s="140"/>
      <c r="SX939" s="140"/>
      <c r="SY939" s="140"/>
      <c r="SZ939" s="140"/>
      <c r="TA939" s="140"/>
      <c r="TB939" s="140"/>
      <c r="TC939" s="140"/>
      <c r="TD939" s="140"/>
      <c r="TE939" s="140"/>
      <c r="TF939" s="140"/>
      <c r="TG939" s="140"/>
      <c r="TH939" s="140"/>
      <c r="TI939" s="140"/>
      <c r="TJ939" s="140"/>
      <c r="TK939" s="140"/>
      <c r="TL939" s="140"/>
      <c r="TM939" s="140"/>
      <c r="TN939" s="140"/>
      <c r="TO939" s="140"/>
      <c r="TP939" s="140"/>
      <c r="TQ939" s="140"/>
      <c r="TR939" s="140"/>
      <c r="TS939" s="140"/>
      <c r="TT939" s="140"/>
      <c r="TU939" s="140"/>
      <c r="TV939" s="140"/>
      <c r="TW939" s="140"/>
      <c r="TX939" s="140"/>
      <c r="TY939" s="140"/>
      <c r="TZ939" s="140"/>
      <c r="UA939" s="140"/>
      <c r="UB939" s="140"/>
      <c r="UC939" s="140"/>
      <c r="UD939" s="140"/>
      <c r="UE939" s="140"/>
      <c r="UF939" s="140"/>
      <c r="UG939" s="141"/>
    </row>
    <row r="940" spans="1:553" s="142" customFormat="1" ht="42">
      <c r="A940" s="444" t="s">
        <v>43</v>
      </c>
      <c r="B940" s="444"/>
      <c r="C940" s="1220" t="s">
        <v>44</v>
      </c>
      <c r="D940" s="702"/>
      <c r="E940" s="703"/>
      <c r="F940" s="704"/>
      <c r="G940" s="366"/>
      <c r="H940" s="672"/>
      <c r="I940" s="672"/>
      <c r="J940" s="368"/>
      <c r="K940" s="686"/>
      <c r="L940" s="645">
        <f>SUM(L941:L957)</f>
        <v>31545027.365999997</v>
      </c>
      <c r="M940" s="444"/>
      <c r="N940" s="444"/>
      <c r="O940" s="444"/>
      <c r="P940" s="444">
        <f>L940</f>
        <v>31545027.365999997</v>
      </c>
      <c r="Q940" s="1251"/>
      <c r="R940" s="1226" t="s">
        <v>45</v>
      </c>
      <c r="S940" s="308"/>
      <c r="T940" s="308"/>
      <c r="U940" s="308"/>
      <c r="V940" s="308"/>
      <c r="W940" s="308"/>
      <c r="X940" s="308"/>
      <c r="Y940" s="308"/>
      <c r="Z940" s="604"/>
      <c r="AA940" s="308"/>
      <c r="AB940" s="308"/>
      <c r="AC940" s="687"/>
      <c r="AD940" s="687"/>
      <c r="AE940" s="687"/>
      <c r="AF940" s="687"/>
      <c r="AG940" s="687"/>
      <c r="AH940" s="687"/>
      <c r="AI940" s="687"/>
      <c r="AJ940" s="687"/>
      <c r="AK940" s="688"/>
      <c r="AL940" s="207"/>
      <c r="AM940" s="140"/>
      <c r="AN940" s="140"/>
      <c r="AO940" s="140"/>
      <c r="AP940" s="140"/>
      <c r="AQ940" s="140"/>
      <c r="AR940" s="140"/>
      <c r="AS940" s="140"/>
      <c r="AT940" s="140"/>
      <c r="AU940" s="140"/>
      <c r="AV940" s="140"/>
      <c r="AW940" s="140"/>
      <c r="AX940" s="140"/>
      <c r="AY940" s="140"/>
      <c r="AZ940" s="140"/>
      <c r="BA940" s="140"/>
      <c r="BB940" s="140"/>
      <c r="BC940" s="140"/>
      <c r="BD940" s="140"/>
      <c r="BE940" s="140"/>
      <c r="BF940" s="140"/>
      <c r="BG940" s="140"/>
      <c r="BH940" s="140"/>
      <c r="BI940" s="140"/>
      <c r="BJ940" s="140"/>
      <c r="BK940" s="140"/>
      <c r="BL940" s="140"/>
      <c r="BM940" s="140"/>
      <c r="BN940" s="140"/>
      <c r="BO940" s="140"/>
      <c r="BP940" s="140"/>
      <c r="BQ940" s="140"/>
      <c r="BR940" s="140"/>
      <c r="BS940" s="140"/>
      <c r="BT940" s="140"/>
      <c r="BU940" s="140"/>
      <c r="BV940" s="140"/>
      <c r="BW940" s="140"/>
      <c r="BX940" s="140"/>
      <c r="BY940" s="140"/>
      <c r="BZ940" s="140"/>
      <c r="CA940" s="140"/>
      <c r="CB940" s="140"/>
      <c r="CC940" s="140"/>
      <c r="CD940" s="140"/>
      <c r="CE940" s="140"/>
      <c r="CF940" s="140"/>
      <c r="CG940" s="140"/>
      <c r="CH940" s="140"/>
      <c r="CI940" s="140"/>
      <c r="CJ940" s="140"/>
      <c r="CK940" s="140"/>
      <c r="CL940" s="140"/>
      <c r="CM940" s="140"/>
      <c r="CN940" s="140"/>
      <c r="CO940" s="140"/>
      <c r="CP940" s="140"/>
      <c r="CQ940" s="140"/>
      <c r="CR940" s="140"/>
      <c r="CS940" s="140"/>
      <c r="CT940" s="140"/>
      <c r="CU940" s="140"/>
      <c r="CV940" s="140"/>
      <c r="CW940" s="140"/>
      <c r="CX940" s="140"/>
      <c r="CY940" s="140"/>
      <c r="CZ940" s="140"/>
      <c r="DA940" s="140"/>
      <c r="DB940" s="140"/>
      <c r="DC940" s="140"/>
      <c r="DD940" s="140"/>
      <c r="DE940" s="140"/>
      <c r="DF940" s="140"/>
      <c r="DG940" s="140"/>
      <c r="DH940" s="140"/>
      <c r="DI940" s="140"/>
      <c r="DJ940" s="140"/>
      <c r="DK940" s="140"/>
      <c r="DL940" s="140"/>
      <c r="DM940" s="140"/>
      <c r="DN940" s="140"/>
      <c r="DO940" s="140"/>
      <c r="DP940" s="140"/>
      <c r="DQ940" s="140"/>
      <c r="DR940" s="140"/>
      <c r="DS940" s="140"/>
      <c r="DT940" s="140"/>
      <c r="DU940" s="140"/>
      <c r="DV940" s="140"/>
      <c r="DW940" s="140"/>
      <c r="DX940" s="140"/>
      <c r="DY940" s="140"/>
      <c r="DZ940" s="140"/>
      <c r="EA940" s="140"/>
      <c r="EB940" s="140"/>
      <c r="EC940" s="140"/>
      <c r="ED940" s="140"/>
      <c r="EE940" s="140"/>
      <c r="EF940" s="140"/>
      <c r="EG940" s="140"/>
      <c r="EH940" s="140"/>
      <c r="EI940" s="140"/>
      <c r="EJ940" s="140"/>
      <c r="EK940" s="140"/>
      <c r="EL940" s="140"/>
      <c r="EM940" s="140"/>
      <c r="EN940" s="140"/>
      <c r="EO940" s="140"/>
      <c r="EP940" s="140"/>
      <c r="EQ940" s="140"/>
      <c r="ER940" s="140"/>
      <c r="ES940" s="140"/>
      <c r="ET940" s="140"/>
      <c r="EU940" s="140"/>
      <c r="EV940" s="140"/>
      <c r="EW940" s="140"/>
      <c r="EX940" s="140"/>
      <c r="EY940" s="140"/>
      <c r="EZ940" s="140"/>
      <c r="FA940" s="140"/>
      <c r="FB940" s="140"/>
      <c r="FC940" s="140"/>
      <c r="FD940" s="140"/>
      <c r="FE940" s="140"/>
      <c r="FF940" s="140"/>
      <c r="FG940" s="140"/>
      <c r="FH940" s="140"/>
      <c r="FI940" s="140"/>
      <c r="FJ940" s="140"/>
      <c r="FK940" s="140"/>
      <c r="FL940" s="140"/>
      <c r="FM940" s="140"/>
      <c r="FN940" s="140"/>
      <c r="FO940" s="140"/>
      <c r="FP940" s="140"/>
      <c r="FQ940" s="140"/>
      <c r="FR940" s="140"/>
      <c r="FS940" s="140"/>
      <c r="FT940" s="140"/>
      <c r="FU940" s="140"/>
      <c r="FV940" s="140"/>
      <c r="FW940" s="140"/>
      <c r="FX940" s="140"/>
      <c r="FY940" s="140"/>
      <c r="FZ940" s="140"/>
      <c r="GA940" s="140"/>
      <c r="GB940" s="140"/>
      <c r="GC940" s="140"/>
      <c r="GD940" s="140"/>
      <c r="GE940" s="140"/>
      <c r="GF940" s="140"/>
      <c r="GG940" s="140"/>
      <c r="GH940" s="140"/>
      <c r="GI940" s="140"/>
      <c r="GJ940" s="140"/>
      <c r="GK940" s="140"/>
      <c r="GL940" s="140"/>
      <c r="GM940" s="140"/>
      <c r="GN940" s="140"/>
      <c r="GO940" s="140"/>
      <c r="GP940" s="140"/>
      <c r="GQ940" s="140"/>
      <c r="GR940" s="140"/>
      <c r="GS940" s="140"/>
      <c r="GT940" s="140"/>
      <c r="GU940" s="140"/>
      <c r="GV940" s="140"/>
      <c r="GW940" s="140"/>
      <c r="GX940" s="140"/>
      <c r="GY940" s="140"/>
      <c r="GZ940" s="140"/>
      <c r="HA940" s="140"/>
      <c r="HB940" s="140"/>
      <c r="HC940" s="140"/>
      <c r="HD940" s="140"/>
      <c r="HE940" s="140"/>
      <c r="HF940" s="140"/>
      <c r="HG940" s="140"/>
      <c r="HH940" s="140"/>
      <c r="HI940" s="140"/>
      <c r="HJ940" s="140"/>
      <c r="HK940" s="140"/>
      <c r="HL940" s="140"/>
      <c r="HM940" s="140"/>
      <c r="HN940" s="140"/>
      <c r="HO940" s="140"/>
      <c r="HP940" s="140"/>
      <c r="HQ940" s="140"/>
      <c r="HR940" s="140"/>
      <c r="HS940" s="140"/>
      <c r="HT940" s="140"/>
      <c r="HU940" s="140"/>
      <c r="HV940" s="140"/>
      <c r="HW940" s="140"/>
      <c r="HX940" s="140"/>
      <c r="HY940" s="140"/>
      <c r="HZ940" s="140"/>
      <c r="IA940" s="140"/>
      <c r="IB940" s="140"/>
      <c r="IC940" s="140"/>
      <c r="ID940" s="140"/>
      <c r="IE940" s="140"/>
      <c r="IF940" s="140"/>
      <c r="IG940" s="140"/>
      <c r="IH940" s="140"/>
      <c r="II940" s="140"/>
      <c r="IJ940" s="140"/>
      <c r="IK940" s="140"/>
      <c r="IL940" s="140"/>
      <c r="IM940" s="140"/>
      <c r="IN940" s="140"/>
      <c r="IO940" s="140"/>
      <c r="IP940" s="140"/>
      <c r="IQ940" s="140"/>
      <c r="IR940" s="140"/>
      <c r="IS940" s="140"/>
      <c r="IT940" s="140"/>
      <c r="IU940" s="140"/>
      <c r="IV940" s="140"/>
      <c r="IW940" s="140"/>
      <c r="IX940" s="140"/>
      <c r="IY940" s="140"/>
      <c r="IZ940" s="140"/>
      <c r="JA940" s="140"/>
      <c r="JB940" s="140"/>
      <c r="JC940" s="140"/>
      <c r="JD940" s="140"/>
      <c r="JE940" s="140"/>
      <c r="JF940" s="140"/>
      <c r="JG940" s="140"/>
      <c r="JH940" s="140"/>
      <c r="JI940" s="140"/>
      <c r="JJ940" s="140"/>
      <c r="JK940" s="140"/>
      <c r="JL940" s="140"/>
      <c r="JM940" s="140"/>
      <c r="JN940" s="140"/>
      <c r="JO940" s="140"/>
      <c r="JP940" s="140"/>
      <c r="JQ940" s="140"/>
      <c r="JR940" s="140"/>
      <c r="JS940" s="140"/>
      <c r="JT940" s="140"/>
      <c r="JU940" s="140"/>
      <c r="JV940" s="140"/>
      <c r="JW940" s="140"/>
      <c r="JX940" s="140"/>
      <c r="JY940" s="140"/>
      <c r="JZ940" s="140"/>
      <c r="KA940" s="140"/>
      <c r="KB940" s="140"/>
      <c r="KC940" s="140"/>
      <c r="KD940" s="140"/>
      <c r="KE940" s="140"/>
      <c r="KF940" s="140"/>
      <c r="KG940" s="140"/>
      <c r="KH940" s="140"/>
      <c r="KI940" s="140"/>
      <c r="KJ940" s="140"/>
      <c r="KK940" s="140"/>
      <c r="KL940" s="140"/>
      <c r="KM940" s="140"/>
      <c r="KN940" s="140"/>
      <c r="KO940" s="140"/>
      <c r="KP940" s="140"/>
      <c r="KQ940" s="140"/>
      <c r="KR940" s="140"/>
      <c r="KS940" s="140"/>
      <c r="KT940" s="140"/>
      <c r="KU940" s="140"/>
      <c r="KV940" s="140"/>
      <c r="KW940" s="140"/>
      <c r="KX940" s="140"/>
      <c r="KY940" s="140"/>
      <c r="KZ940" s="140"/>
      <c r="LA940" s="140"/>
      <c r="LB940" s="140"/>
      <c r="LC940" s="140"/>
      <c r="LD940" s="140"/>
      <c r="LE940" s="140"/>
      <c r="LF940" s="140"/>
      <c r="LG940" s="140"/>
      <c r="LH940" s="140"/>
      <c r="LI940" s="140"/>
      <c r="LJ940" s="140"/>
      <c r="LK940" s="140"/>
      <c r="LL940" s="140"/>
      <c r="LM940" s="140"/>
      <c r="LN940" s="140"/>
      <c r="LO940" s="140"/>
      <c r="LP940" s="140"/>
      <c r="LQ940" s="140"/>
      <c r="LR940" s="140"/>
      <c r="LS940" s="140"/>
      <c r="LT940" s="140"/>
      <c r="LU940" s="140"/>
      <c r="LV940" s="140"/>
      <c r="LW940" s="140"/>
      <c r="LX940" s="140"/>
      <c r="LY940" s="140"/>
      <c r="LZ940" s="140"/>
      <c r="MA940" s="140"/>
      <c r="MB940" s="140"/>
      <c r="MC940" s="140"/>
      <c r="MD940" s="140"/>
      <c r="ME940" s="140"/>
      <c r="MF940" s="140"/>
      <c r="MG940" s="140"/>
      <c r="MH940" s="140"/>
      <c r="MI940" s="140"/>
      <c r="MJ940" s="140"/>
      <c r="MK940" s="140"/>
      <c r="ML940" s="140"/>
      <c r="MM940" s="140"/>
      <c r="MN940" s="140"/>
      <c r="MO940" s="140"/>
      <c r="MP940" s="140"/>
      <c r="MQ940" s="140"/>
      <c r="MR940" s="140"/>
      <c r="MS940" s="140"/>
      <c r="MT940" s="140"/>
      <c r="MU940" s="140"/>
      <c r="MV940" s="140"/>
      <c r="MW940" s="140"/>
      <c r="MX940" s="140"/>
      <c r="MY940" s="140"/>
      <c r="MZ940" s="140"/>
      <c r="NA940" s="140"/>
      <c r="NB940" s="140"/>
      <c r="NC940" s="140"/>
      <c r="ND940" s="140"/>
      <c r="NE940" s="140"/>
      <c r="NF940" s="140"/>
      <c r="NG940" s="140"/>
      <c r="NH940" s="140"/>
      <c r="NI940" s="140"/>
      <c r="NJ940" s="140"/>
      <c r="NK940" s="140"/>
      <c r="NL940" s="140"/>
      <c r="NM940" s="140"/>
      <c r="NN940" s="140"/>
      <c r="NO940" s="140"/>
      <c r="NP940" s="140"/>
      <c r="NQ940" s="140"/>
      <c r="NR940" s="140"/>
      <c r="NS940" s="140"/>
      <c r="NT940" s="140"/>
      <c r="NU940" s="140"/>
      <c r="NV940" s="140"/>
      <c r="NW940" s="140"/>
      <c r="NX940" s="140"/>
      <c r="NY940" s="140"/>
      <c r="NZ940" s="140"/>
      <c r="OA940" s="140"/>
      <c r="OB940" s="140"/>
      <c r="OC940" s="140"/>
      <c r="OD940" s="140"/>
      <c r="OE940" s="140"/>
      <c r="OF940" s="140"/>
      <c r="OG940" s="140"/>
      <c r="OH940" s="140"/>
      <c r="OI940" s="140"/>
      <c r="OJ940" s="140"/>
      <c r="OK940" s="140"/>
      <c r="OL940" s="140"/>
      <c r="OM940" s="140"/>
      <c r="ON940" s="140"/>
      <c r="OO940" s="140"/>
      <c r="OP940" s="140"/>
      <c r="OQ940" s="140"/>
      <c r="OR940" s="140"/>
      <c r="OS940" s="140"/>
      <c r="OT940" s="140"/>
      <c r="OU940" s="140"/>
      <c r="OV940" s="140"/>
      <c r="OW940" s="140"/>
      <c r="OX940" s="140"/>
      <c r="OY940" s="140"/>
      <c r="OZ940" s="140"/>
      <c r="PA940" s="140"/>
      <c r="PB940" s="140"/>
      <c r="PC940" s="140"/>
      <c r="PD940" s="140"/>
      <c r="PE940" s="140"/>
      <c r="PF940" s="140"/>
      <c r="PG940" s="140"/>
      <c r="PH940" s="140"/>
      <c r="PI940" s="140"/>
      <c r="PJ940" s="140"/>
      <c r="PK940" s="140"/>
      <c r="PL940" s="140"/>
      <c r="PM940" s="140"/>
      <c r="PN940" s="140"/>
      <c r="PO940" s="140"/>
      <c r="PP940" s="140"/>
      <c r="PQ940" s="140"/>
      <c r="PR940" s="140"/>
      <c r="PS940" s="140"/>
      <c r="PT940" s="140"/>
      <c r="PU940" s="140"/>
      <c r="PV940" s="140"/>
      <c r="PW940" s="140"/>
      <c r="PX940" s="140"/>
      <c r="PY940" s="140"/>
      <c r="PZ940" s="140"/>
      <c r="QA940" s="140"/>
      <c r="QB940" s="140"/>
      <c r="QC940" s="140"/>
      <c r="QD940" s="140"/>
      <c r="QE940" s="140"/>
      <c r="QF940" s="140"/>
      <c r="QG940" s="140"/>
      <c r="QH940" s="140"/>
      <c r="QI940" s="140"/>
      <c r="QJ940" s="140"/>
      <c r="QK940" s="140"/>
      <c r="QL940" s="140"/>
      <c r="QM940" s="140"/>
      <c r="QN940" s="140"/>
      <c r="QO940" s="140"/>
      <c r="QP940" s="140"/>
      <c r="QQ940" s="140"/>
      <c r="QR940" s="140"/>
      <c r="QS940" s="140"/>
      <c r="QT940" s="140"/>
      <c r="QU940" s="140"/>
      <c r="QV940" s="140"/>
      <c r="QW940" s="140"/>
      <c r="QX940" s="140"/>
      <c r="QY940" s="140"/>
      <c r="QZ940" s="140"/>
      <c r="RA940" s="140"/>
      <c r="RB940" s="140"/>
      <c r="RC940" s="140"/>
      <c r="RD940" s="140"/>
      <c r="RE940" s="140"/>
      <c r="RF940" s="140"/>
      <c r="RG940" s="140"/>
      <c r="RH940" s="140"/>
      <c r="RI940" s="140"/>
      <c r="RJ940" s="140"/>
      <c r="RK940" s="140"/>
      <c r="RL940" s="140"/>
      <c r="RM940" s="140"/>
      <c r="RN940" s="140"/>
      <c r="RO940" s="140"/>
      <c r="RP940" s="140"/>
      <c r="RQ940" s="140"/>
      <c r="RR940" s="140"/>
      <c r="RS940" s="140"/>
      <c r="RT940" s="140"/>
      <c r="RU940" s="140"/>
      <c r="RV940" s="140"/>
      <c r="RW940" s="140"/>
      <c r="RX940" s="140"/>
      <c r="RY940" s="140"/>
      <c r="RZ940" s="140"/>
      <c r="SA940" s="140"/>
      <c r="SB940" s="140"/>
      <c r="SC940" s="140"/>
      <c r="SD940" s="140"/>
      <c r="SE940" s="140"/>
      <c r="SF940" s="140"/>
      <c r="SG940" s="140"/>
      <c r="SH940" s="140"/>
      <c r="SI940" s="140"/>
      <c r="SJ940" s="140"/>
      <c r="SK940" s="140"/>
      <c r="SL940" s="140"/>
      <c r="SM940" s="140"/>
      <c r="SN940" s="140"/>
      <c r="SO940" s="140"/>
      <c r="SP940" s="140"/>
      <c r="SQ940" s="140"/>
      <c r="SR940" s="140"/>
      <c r="SS940" s="140"/>
      <c r="ST940" s="140"/>
      <c r="SU940" s="140"/>
      <c r="SV940" s="140"/>
      <c r="SW940" s="140"/>
      <c r="SX940" s="140"/>
      <c r="SY940" s="140"/>
      <c r="SZ940" s="140"/>
      <c r="TA940" s="140"/>
      <c r="TB940" s="140"/>
      <c r="TC940" s="140"/>
      <c r="TD940" s="140"/>
      <c r="TE940" s="140"/>
      <c r="TF940" s="140"/>
      <c r="TG940" s="140"/>
      <c r="TH940" s="140"/>
      <c r="TI940" s="140"/>
      <c r="TJ940" s="140"/>
      <c r="TK940" s="140"/>
      <c r="TL940" s="140"/>
      <c r="TM940" s="140"/>
      <c r="TN940" s="140"/>
      <c r="TO940" s="140"/>
      <c r="TP940" s="140"/>
      <c r="TQ940" s="140"/>
      <c r="TR940" s="140"/>
      <c r="TS940" s="140"/>
      <c r="TT940" s="140"/>
      <c r="TU940" s="140"/>
      <c r="TV940" s="140"/>
      <c r="TW940" s="140"/>
      <c r="TX940" s="140"/>
      <c r="TY940" s="140"/>
      <c r="TZ940" s="140"/>
      <c r="UA940" s="140"/>
      <c r="UB940" s="140"/>
      <c r="UC940" s="140"/>
      <c r="UD940" s="140"/>
      <c r="UE940" s="140"/>
      <c r="UF940" s="140"/>
      <c r="UG940" s="141"/>
    </row>
    <row r="941" spans="1:553" s="142" customFormat="1" ht="25.5" customHeight="1">
      <c r="A941" s="444"/>
      <c r="B941" s="444"/>
      <c r="C941" s="1223" t="s">
        <v>367</v>
      </c>
      <c r="D941" s="702"/>
      <c r="E941" s="703"/>
      <c r="F941" s="704"/>
      <c r="G941" s="366"/>
      <c r="H941" s="672"/>
      <c r="I941" s="672"/>
      <c r="J941" s="368"/>
      <c r="K941" s="686"/>
      <c r="L941" s="645"/>
      <c r="M941" s="444"/>
      <c r="N941" s="444"/>
      <c r="O941" s="444"/>
      <c r="P941" s="444"/>
      <c r="Q941" s="1251"/>
      <c r="R941" s="1253"/>
      <c r="S941" s="308"/>
      <c r="T941" s="308"/>
      <c r="U941" s="308"/>
      <c r="V941" s="308"/>
      <c r="W941" s="308"/>
      <c r="X941" s="308"/>
      <c r="Y941" s="308"/>
      <c r="Z941" s="604"/>
      <c r="AA941" s="308"/>
      <c r="AB941" s="308"/>
      <c r="AC941" s="687"/>
      <c r="AD941" s="687"/>
      <c r="AE941" s="687"/>
      <c r="AF941" s="687"/>
      <c r="AG941" s="687"/>
      <c r="AH941" s="687"/>
      <c r="AI941" s="687"/>
      <c r="AJ941" s="687"/>
      <c r="AK941" s="688"/>
      <c r="AL941" s="207"/>
      <c r="AM941" s="140"/>
      <c r="AN941" s="140"/>
      <c r="AO941" s="140"/>
      <c r="AP941" s="140"/>
      <c r="AQ941" s="140"/>
      <c r="AR941" s="140"/>
      <c r="AS941" s="140"/>
      <c r="AT941" s="140"/>
      <c r="AU941" s="140"/>
      <c r="AV941" s="140"/>
      <c r="AW941" s="140"/>
      <c r="AX941" s="140"/>
      <c r="AY941" s="140"/>
      <c r="AZ941" s="140"/>
      <c r="BA941" s="140"/>
      <c r="BB941" s="140"/>
      <c r="BC941" s="140"/>
      <c r="BD941" s="140"/>
      <c r="BE941" s="140"/>
      <c r="BF941" s="140"/>
      <c r="BG941" s="140"/>
      <c r="BH941" s="140"/>
      <c r="BI941" s="140"/>
      <c r="BJ941" s="140"/>
      <c r="BK941" s="140"/>
      <c r="BL941" s="140"/>
      <c r="BM941" s="140"/>
      <c r="BN941" s="140"/>
      <c r="BO941" s="140"/>
      <c r="BP941" s="140"/>
      <c r="BQ941" s="140"/>
      <c r="BR941" s="140"/>
      <c r="BS941" s="140"/>
      <c r="BT941" s="140"/>
      <c r="BU941" s="140"/>
      <c r="BV941" s="140"/>
      <c r="BW941" s="140"/>
      <c r="BX941" s="140"/>
      <c r="BY941" s="140"/>
      <c r="BZ941" s="140"/>
      <c r="CA941" s="140"/>
      <c r="CB941" s="140"/>
      <c r="CC941" s="140"/>
      <c r="CD941" s="140"/>
      <c r="CE941" s="140"/>
      <c r="CF941" s="140"/>
      <c r="CG941" s="140"/>
      <c r="CH941" s="140"/>
      <c r="CI941" s="140"/>
      <c r="CJ941" s="140"/>
      <c r="CK941" s="140"/>
      <c r="CL941" s="140"/>
      <c r="CM941" s="140"/>
      <c r="CN941" s="140"/>
      <c r="CO941" s="140"/>
      <c r="CP941" s="140"/>
      <c r="CQ941" s="140"/>
      <c r="CR941" s="140"/>
      <c r="CS941" s="140"/>
      <c r="CT941" s="140"/>
      <c r="CU941" s="140"/>
      <c r="CV941" s="140"/>
      <c r="CW941" s="140"/>
      <c r="CX941" s="140"/>
      <c r="CY941" s="140"/>
      <c r="CZ941" s="140"/>
      <c r="DA941" s="140"/>
      <c r="DB941" s="140"/>
      <c r="DC941" s="140"/>
      <c r="DD941" s="140"/>
      <c r="DE941" s="140"/>
      <c r="DF941" s="140"/>
      <c r="DG941" s="140"/>
      <c r="DH941" s="140"/>
      <c r="DI941" s="140"/>
      <c r="DJ941" s="140"/>
      <c r="DK941" s="140"/>
      <c r="DL941" s="140"/>
      <c r="DM941" s="140"/>
      <c r="DN941" s="140"/>
      <c r="DO941" s="140"/>
      <c r="DP941" s="140"/>
      <c r="DQ941" s="140"/>
      <c r="DR941" s="140"/>
      <c r="DS941" s="140"/>
      <c r="DT941" s="140"/>
      <c r="DU941" s="140"/>
      <c r="DV941" s="140"/>
      <c r="DW941" s="140"/>
      <c r="DX941" s="140"/>
      <c r="DY941" s="140"/>
      <c r="DZ941" s="140"/>
      <c r="EA941" s="140"/>
      <c r="EB941" s="140"/>
      <c r="EC941" s="140"/>
      <c r="ED941" s="140"/>
      <c r="EE941" s="140"/>
      <c r="EF941" s="140"/>
      <c r="EG941" s="140"/>
      <c r="EH941" s="140"/>
      <c r="EI941" s="140"/>
      <c r="EJ941" s="140"/>
      <c r="EK941" s="140"/>
      <c r="EL941" s="140"/>
      <c r="EM941" s="140"/>
      <c r="EN941" s="140"/>
      <c r="EO941" s="140"/>
      <c r="EP941" s="140"/>
      <c r="EQ941" s="140"/>
      <c r="ER941" s="140"/>
      <c r="ES941" s="140"/>
      <c r="ET941" s="140"/>
      <c r="EU941" s="140"/>
      <c r="EV941" s="140"/>
      <c r="EW941" s="140"/>
      <c r="EX941" s="140"/>
      <c r="EY941" s="140"/>
      <c r="EZ941" s="140"/>
      <c r="FA941" s="140"/>
      <c r="FB941" s="140"/>
      <c r="FC941" s="140"/>
      <c r="FD941" s="140"/>
      <c r="FE941" s="140"/>
      <c r="FF941" s="140"/>
      <c r="FG941" s="140"/>
      <c r="FH941" s="140"/>
      <c r="FI941" s="140"/>
      <c r="FJ941" s="140"/>
      <c r="FK941" s="140"/>
      <c r="FL941" s="140"/>
      <c r="FM941" s="140"/>
      <c r="FN941" s="140"/>
      <c r="FO941" s="140"/>
      <c r="FP941" s="140"/>
      <c r="FQ941" s="140"/>
      <c r="FR941" s="140"/>
      <c r="FS941" s="140"/>
      <c r="FT941" s="140"/>
      <c r="FU941" s="140"/>
      <c r="FV941" s="140"/>
      <c r="FW941" s="140"/>
      <c r="FX941" s="140"/>
      <c r="FY941" s="140"/>
      <c r="FZ941" s="140"/>
      <c r="GA941" s="140"/>
      <c r="GB941" s="140"/>
      <c r="GC941" s="140"/>
      <c r="GD941" s="140"/>
      <c r="GE941" s="140"/>
      <c r="GF941" s="140"/>
      <c r="GG941" s="140"/>
      <c r="GH941" s="140"/>
      <c r="GI941" s="140"/>
      <c r="GJ941" s="140"/>
      <c r="GK941" s="140"/>
      <c r="GL941" s="140"/>
      <c r="GM941" s="140"/>
      <c r="GN941" s="140"/>
      <c r="GO941" s="140"/>
      <c r="GP941" s="140"/>
      <c r="GQ941" s="140"/>
      <c r="GR941" s="140"/>
      <c r="GS941" s="140"/>
      <c r="GT941" s="140"/>
      <c r="GU941" s="140"/>
      <c r="GV941" s="140"/>
      <c r="GW941" s="140"/>
      <c r="GX941" s="140"/>
      <c r="GY941" s="140"/>
      <c r="GZ941" s="140"/>
      <c r="HA941" s="140"/>
      <c r="HB941" s="140"/>
      <c r="HC941" s="140"/>
      <c r="HD941" s="140"/>
      <c r="HE941" s="140"/>
      <c r="HF941" s="140"/>
      <c r="HG941" s="140"/>
      <c r="HH941" s="140"/>
      <c r="HI941" s="140"/>
      <c r="HJ941" s="140"/>
      <c r="HK941" s="140"/>
      <c r="HL941" s="140"/>
      <c r="HM941" s="140"/>
      <c r="HN941" s="140"/>
      <c r="HO941" s="140"/>
      <c r="HP941" s="140"/>
      <c r="HQ941" s="140"/>
      <c r="HR941" s="140"/>
      <c r="HS941" s="140"/>
      <c r="HT941" s="140"/>
      <c r="HU941" s="140"/>
      <c r="HV941" s="140"/>
      <c r="HW941" s="140"/>
      <c r="HX941" s="140"/>
      <c r="HY941" s="140"/>
      <c r="HZ941" s="140"/>
      <c r="IA941" s="140"/>
      <c r="IB941" s="140"/>
      <c r="IC941" s="140"/>
      <c r="ID941" s="140"/>
      <c r="IE941" s="140"/>
      <c r="IF941" s="140"/>
      <c r="IG941" s="140"/>
      <c r="IH941" s="140"/>
      <c r="II941" s="140"/>
      <c r="IJ941" s="140"/>
      <c r="IK941" s="140"/>
      <c r="IL941" s="140"/>
      <c r="IM941" s="140"/>
      <c r="IN941" s="140"/>
      <c r="IO941" s="140"/>
      <c r="IP941" s="140"/>
      <c r="IQ941" s="140"/>
      <c r="IR941" s="140"/>
      <c r="IS941" s="140"/>
      <c r="IT941" s="140"/>
      <c r="IU941" s="140"/>
      <c r="IV941" s="140"/>
      <c r="IW941" s="140"/>
      <c r="IX941" s="140"/>
      <c r="IY941" s="140"/>
      <c r="IZ941" s="140"/>
      <c r="JA941" s="140"/>
      <c r="JB941" s="140"/>
      <c r="JC941" s="140"/>
      <c r="JD941" s="140"/>
      <c r="JE941" s="140"/>
      <c r="JF941" s="140"/>
      <c r="JG941" s="140"/>
      <c r="JH941" s="140"/>
      <c r="JI941" s="140"/>
      <c r="JJ941" s="140"/>
      <c r="JK941" s="140"/>
      <c r="JL941" s="140"/>
      <c r="JM941" s="140"/>
      <c r="JN941" s="140"/>
      <c r="JO941" s="140"/>
      <c r="JP941" s="140"/>
      <c r="JQ941" s="140"/>
      <c r="JR941" s="140"/>
      <c r="JS941" s="140"/>
      <c r="JT941" s="140"/>
      <c r="JU941" s="140"/>
      <c r="JV941" s="140"/>
      <c r="JW941" s="140"/>
      <c r="JX941" s="140"/>
      <c r="JY941" s="140"/>
      <c r="JZ941" s="140"/>
      <c r="KA941" s="140"/>
      <c r="KB941" s="140"/>
      <c r="KC941" s="140"/>
      <c r="KD941" s="140"/>
      <c r="KE941" s="140"/>
      <c r="KF941" s="140"/>
      <c r="KG941" s="140"/>
      <c r="KH941" s="140"/>
      <c r="KI941" s="140"/>
      <c r="KJ941" s="140"/>
      <c r="KK941" s="140"/>
      <c r="KL941" s="140"/>
      <c r="KM941" s="140"/>
      <c r="KN941" s="140"/>
      <c r="KO941" s="140"/>
      <c r="KP941" s="140"/>
      <c r="KQ941" s="140"/>
      <c r="KR941" s="140"/>
      <c r="KS941" s="140"/>
      <c r="KT941" s="140"/>
      <c r="KU941" s="140"/>
      <c r="KV941" s="140"/>
      <c r="KW941" s="140"/>
      <c r="KX941" s="140"/>
      <c r="KY941" s="140"/>
      <c r="KZ941" s="140"/>
      <c r="LA941" s="140"/>
      <c r="LB941" s="140"/>
      <c r="LC941" s="140"/>
      <c r="LD941" s="140"/>
      <c r="LE941" s="140"/>
      <c r="LF941" s="140"/>
      <c r="LG941" s="140"/>
      <c r="LH941" s="140"/>
      <c r="LI941" s="140"/>
      <c r="LJ941" s="140"/>
      <c r="LK941" s="140"/>
      <c r="LL941" s="140"/>
      <c r="LM941" s="140"/>
      <c r="LN941" s="140"/>
      <c r="LO941" s="140"/>
      <c r="LP941" s="140"/>
      <c r="LQ941" s="140"/>
      <c r="LR941" s="140"/>
      <c r="LS941" s="140"/>
      <c r="LT941" s="140"/>
      <c r="LU941" s="140"/>
      <c r="LV941" s="140"/>
      <c r="LW941" s="140"/>
      <c r="LX941" s="140"/>
      <c r="LY941" s="140"/>
      <c r="LZ941" s="140"/>
      <c r="MA941" s="140"/>
      <c r="MB941" s="140"/>
      <c r="MC941" s="140"/>
      <c r="MD941" s="140"/>
      <c r="ME941" s="140"/>
      <c r="MF941" s="140"/>
      <c r="MG941" s="140"/>
      <c r="MH941" s="140"/>
      <c r="MI941" s="140"/>
      <c r="MJ941" s="140"/>
      <c r="MK941" s="140"/>
      <c r="ML941" s="140"/>
      <c r="MM941" s="140"/>
      <c r="MN941" s="140"/>
      <c r="MO941" s="140"/>
      <c r="MP941" s="140"/>
      <c r="MQ941" s="140"/>
      <c r="MR941" s="140"/>
      <c r="MS941" s="140"/>
      <c r="MT941" s="140"/>
      <c r="MU941" s="140"/>
      <c r="MV941" s="140"/>
      <c r="MW941" s="140"/>
      <c r="MX941" s="140"/>
      <c r="MY941" s="140"/>
      <c r="MZ941" s="140"/>
      <c r="NA941" s="140"/>
      <c r="NB941" s="140"/>
      <c r="NC941" s="140"/>
      <c r="ND941" s="140"/>
      <c r="NE941" s="140"/>
      <c r="NF941" s="140"/>
      <c r="NG941" s="140"/>
      <c r="NH941" s="140"/>
      <c r="NI941" s="140"/>
      <c r="NJ941" s="140"/>
      <c r="NK941" s="140"/>
      <c r="NL941" s="140"/>
      <c r="NM941" s="140"/>
      <c r="NN941" s="140"/>
      <c r="NO941" s="140"/>
      <c r="NP941" s="140"/>
      <c r="NQ941" s="140"/>
      <c r="NR941" s="140"/>
      <c r="NS941" s="140"/>
      <c r="NT941" s="140"/>
      <c r="NU941" s="140"/>
      <c r="NV941" s="140"/>
      <c r="NW941" s="140"/>
      <c r="NX941" s="140"/>
      <c r="NY941" s="140"/>
      <c r="NZ941" s="140"/>
      <c r="OA941" s="140"/>
      <c r="OB941" s="140"/>
      <c r="OC941" s="140"/>
      <c r="OD941" s="140"/>
      <c r="OE941" s="140"/>
      <c r="OF941" s="140"/>
      <c r="OG941" s="140"/>
      <c r="OH941" s="140"/>
      <c r="OI941" s="140"/>
      <c r="OJ941" s="140"/>
      <c r="OK941" s="140"/>
      <c r="OL941" s="140"/>
      <c r="OM941" s="140"/>
      <c r="ON941" s="140"/>
      <c r="OO941" s="140"/>
      <c r="OP941" s="140"/>
      <c r="OQ941" s="140"/>
      <c r="OR941" s="140"/>
      <c r="OS941" s="140"/>
      <c r="OT941" s="140"/>
      <c r="OU941" s="140"/>
      <c r="OV941" s="140"/>
      <c r="OW941" s="140"/>
      <c r="OX941" s="140"/>
      <c r="OY941" s="140"/>
      <c r="OZ941" s="140"/>
      <c r="PA941" s="140"/>
      <c r="PB941" s="140"/>
      <c r="PC941" s="140"/>
      <c r="PD941" s="140"/>
      <c r="PE941" s="140"/>
      <c r="PF941" s="140"/>
      <c r="PG941" s="140"/>
      <c r="PH941" s="140"/>
      <c r="PI941" s="140"/>
      <c r="PJ941" s="140"/>
      <c r="PK941" s="140"/>
      <c r="PL941" s="140"/>
      <c r="PM941" s="140"/>
      <c r="PN941" s="140"/>
      <c r="PO941" s="140"/>
      <c r="PP941" s="140"/>
      <c r="PQ941" s="140"/>
      <c r="PR941" s="140"/>
      <c r="PS941" s="140"/>
      <c r="PT941" s="140"/>
      <c r="PU941" s="140"/>
      <c r="PV941" s="140"/>
      <c r="PW941" s="140"/>
      <c r="PX941" s="140"/>
      <c r="PY941" s="140"/>
      <c r="PZ941" s="140"/>
      <c r="QA941" s="140"/>
      <c r="QB941" s="140"/>
      <c r="QC941" s="140"/>
      <c r="QD941" s="140"/>
      <c r="QE941" s="140"/>
      <c r="QF941" s="140"/>
      <c r="QG941" s="140"/>
      <c r="QH941" s="140"/>
      <c r="QI941" s="140"/>
      <c r="QJ941" s="140"/>
      <c r="QK941" s="140"/>
      <c r="QL941" s="140"/>
      <c r="QM941" s="140"/>
      <c r="QN941" s="140"/>
      <c r="QO941" s="140"/>
      <c r="QP941" s="140"/>
      <c r="QQ941" s="140"/>
      <c r="QR941" s="140"/>
      <c r="QS941" s="140"/>
      <c r="QT941" s="140"/>
      <c r="QU941" s="140"/>
      <c r="QV941" s="140"/>
      <c r="QW941" s="140"/>
      <c r="QX941" s="140"/>
      <c r="QY941" s="140"/>
      <c r="QZ941" s="140"/>
      <c r="RA941" s="140"/>
      <c r="RB941" s="140"/>
      <c r="RC941" s="140"/>
      <c r="RD941" s="140"/>
      <c r="RE941" s="140"/>
      <c r="RF941" s="140"/>
      <c r="RG941" s="140"/>
      <c r="RH941" s="140"/>
      <c r="RI941" s="140"/>
      <c r="RJ941" s="140"/>
      <c r="RK941" s="140"/>
      <c r="RL941" s="140"/>
      <c r="RM941" s="140"/>
      <c r="RN941" s="140"/>
      <c r="RO941" s="140"/>
      <c r="RP941" s="140"/>
      <c r="RQ941" s="140"/>
      <c r="RR941" s="140"/>
      <c r="RS941" s="140"/>
      <c r="RT941" s="140"/>
      <c r="RU941" s="140"/>
      <c r="RV941" s="140"/>
      <c r="RW941" s="140"/>
      <c r="RX941" s="140"/>
      <c r="RY941" s="140"/>
      <c r="RZ941" s="140"/>
      <c r="SA941" s="140"/>
      <c r="SB941" s="140"/>
      <c r="SC941" s="140"/>
      <c r="SD941" s="140"/>
      <c r="SE941" s="140"/>
      <c r="SF941" s="140"/>
      <c r="SG941" s="140"/>
      <c r="SH941" s="140"/>
      <c r="SI941" s="140"/>
      <c r="SJ941" s="140"/>
      <c r="SK941" s="140"/>
      <c r="SL941" s="140"/>
      <c r="SM941" s="140"/>
      <c r="SN941" s="140"/>
      <c r="SO941" s="140"/>
      <c r="SP941" s="140"/>
      <c r="SQ941" s="140"/>
      <c r="SR941" s="140"/>
      <c r="SS941" s="140"/>
      <c r="ST941" s="140"/>
      <c r="SU941" s="140"/>
      <c r="SV941" s="140"/>
      <c r="SW941" s="140"/>
      <c r="SX941" s="140"/>
      <c r="SY941" s="140"/>
      <c r="SZ941" s="140"/>
      <c r="TA941" s="140"/>
      <c r="TB941" s="140"/>
      <c r="TC941" s="140"/>
      <c r="TD941" s="140"/>
      <c r="TE941" s="140"/>
      <c r="TF941" s="140"/>
      <c r="TG941" s="140"/>
      <c r="TH941" s="140"/>
      <c r="TI941" s="140"/>
      <c r="TJ941" s="140"/>
      <c r="TK941" s="140"/>
      <c r="TL941" s="140"/>
      <c r="TM941" s="140"/>
      <c r="TN941" s="140"/>
      <c r="TO941" s="140"/>
      <c r="TP941" s="140"/>
      <c r="TQ941" s="140"/>
      <c r="TR941" s="140"/>
      <c r="TS941" s="140"/>
      <c r="TT941" s="140"/>
      <c r="TU941" s="140"/>
      <c r="TV941" s="140"/>
      <c r="TW941" s="140"/>
      <c r="TX941" s="140"/>
      <c r="TY941" s="140"/>
      <c r="TZ941" s="140"/>
      <c r="UA941" s="140"/>
      <c r="UB941" s="140"/>
      <c r="UC941" s="140"/>
      <c r="UD941" s="140"/>
      <c r="UE941" s="140"/>
      <c r="UF941" s="140"/>
      <c r="UG941" s="141"/>
    </row>
    <row r="942" spans="1:553" s="196" customFormat="1" ht="38.5" customHeight="1">
      <c r="A942" s="444"/>
      <c r="B942" s="444"/>
      <c r="C942" s="1237" t="s">
        <v>543</v>
      </c>
      <c r="D942" s="709"/>
      <c r="E942" s="710"/>
      <c r="F942" s="711"/>
      <c r="G942" s="356"/>
      <c r="H942" s="705"/>
      <c r="I942" s="705"/>
      <c r="J942" s="357"/>
      <c r="K942" s="706"/>
      <c r="L942" s="645"/>
      <c r="M942" s="444"/>
      <c r="N942" s="444"/>
      <c r="O942" s="444"/>
      <c r="P942" s="444"/>
      <c r="Q942" s="1251"/>
      <c r="R942" s="1254"/>
      <c r="S942" s="308"/>
      <c r="T942" s="308"/>
      <c r="U942" s="308"/>
      <c r="V942" s="308"/>
      <c r="W942" s="308"/>
      <c r="X942" s="308"/>
      <c r="Y942" s="308"/>
      <c r="Z942" s="604"/>
      <c r="AA942" s="308"/>
      <c r="AB942" s="308"/>
      <c r="AC942" s="707"/>
      <c r="AD942" s="707"/>
      <c r="AE942" s="707"/>
      <c r="AF942" s="707"/>
      <c r="AG942" s="707"/>
      <c r="AH942" s="707"/>
      <c r="AI942" s="707"/>
      <c r="AJ942" s="707"/>
      <c r="AK942" s="708"/>
      <c r="AL942" s="195"/>
      <c r="AM942" s="195"/>
      <c r="AN942" s="195"/>
      <c r="AO942" s="195"/>
      <c r="AP942" s="195"/>
      <c r="AQ942" s="195"/>
      <c r="AR942" s="195"/>
      <c r="AS942" s="195"/>
      <c r="AT942" s="195"/>
      <c r="AU942" s="195"/>
      <c r="AV942" s="195"/>
      <c r="AW942" s="195"/>
      <c r="AX942" s="195"/>
      <c r="AY942" s="195"/>
      <c r="AZ942" s="195"/>
      <c r="BA942" s="195"/>
      <c r="BB942" s="195"/>
      <c r="BC942" s="195"/>
      <c r="BD942" s="195"/>
      <c r="BE942" s="195"/>
      <c r="BF942" s="195"/>
      <c r="BG942" s="195"/>
      <c r="BH942" s="195"/>
      <c r="BI942" s="195"/>
      <c r="BJ942" s="195"/>
      <c r="BK942" s="195"/>
      <c r="BL942" s="195"/>
      <c r="BM942" s="195"/>
      <c r="BN942" s="195"/>
      <c r="BO942" s="195"/>
      <c r="BP942" s="195"/>
      <c r="BQ942" s="195"/>
      <c r="BR942" s="195"/>
      <c r="BS942" s="195"/>
      <c r="BT942" s="195"/>
      <c r="BU942" s="195"/>
      <c r="BV942" s="195"/>
      <c r="BW942" s="195"/>
      <c r="BX942" s="195"/>
      <c r="BY942" s="195"/>
      <c r="BZ942" s="195"/>
      <c r="CA942" s="195"/>
      <c r="CB942" s="195"/>
      <c r="CC942" s="195"/>
      <c r="CD942" s="195"/>
      <c r="CE942" s="195"/>
      <c r="CF942" s="195"/>
      <c r="CG942" s="195"/>
      <c r="CH942" s="195"/>
      <c r="CI942" s="195"/>
      <c r="CJ942" s="195"/>
      <c r="CK942" s="195"/>
      <c r="CL942" s="195"/>
      <c r="CM942" s="195"/>
      <c r="CN942" s="195"/>
      <c r="CO942" s="195"/>
      <c r="CP942" s="195"/>
      <c r="CQ942" s="195"/>
      <c r="CR942" s="195"/>
      <c r="CS942" s="195"/>
      <c r="CT942" s="195"/>
      <c r="CU942" s="195"/>
      <c r="CV942" s="195"/>
      <c r="CW942" s="195"/>
      <c r="CX942" s="195"/>
      <c r="CY942" s="195"/>
      <c r="CZ942" s="195"/>
      <c r="DA942" s="195"/>
      <c r="DB942" s="195"/>
      <c r="DC942" s="195"/>
      <c r="DD942" s="195"/>
      <c r="DE942" s="195"/>
      <c r="DF942" s="195"/>
      <c r="DG942" s="195"/>
      <c r="DH942" s="195"/>
      <c r="DI942" s="195"/>
      <c r="DJ942" s="195"/>
      <c r="DK942" s="195"/>
      <c r="DL942" s="195"/>
      <c r="DM942" s="195"/>
      <c r="DN942" s="195"/>
      <c r="DO942" s="195"/>
      <c r="DP942" s="195"/>
      <c r="DQ942" s="195"/>
      <c r="DR942" s="195"/>
      <c r="DS942" s="195"/>
      <c r="DT942" s="195"/>
      <c r="DU942" s="195"/>
      <c r="DV942" s="195"/>
      <c r="DW942" s="195"/>
      <c r="DX942" s="195"/>
      <c r="DY942" s="195"/>
      <c r="DZ942" s="195"/>
      <c r="EA942" s="195"/>
      <c r="EB942" s="195"/>
      <c r="EC942" s="195"/>
      <c r="ED942" s="195"/>
      <c r="EE942" s="195"/>
      <c r="EF942" s="195"/>
      <c r="EG942" s="195"/>
      <c r="EH942" s="195"/>
      <c r="EI942" s="195"/>
      <c r="EJ942" s="195"/>
      <c r="EK942" s="195"/>
      <c r="EL942" s="195"/>
      <c r="EM942" s="195"/>
      <c r="EN942" s="195"/>
      <c r="EO942" s="195"/>
      <c r="EP942" s="195"/>
      <c r="EQ942" s="195"/>
      <c r="ER942" s="195"/>
      <c r="ES942" s="195"/>
      <c r="ET942" s="195"/>
      <c r="EU942" s="195"/>
      <c r="EV942" s="195"/>
      <c r="EW942" s="195"/>
      <c r="EX942" s="195"/>
      <c r="EY942" s="195"/>
      <c r="EZ942" s="195"/>
      <c r="FA942" s="195"/>
      <c r="FB942" s="195"/>
      <c r="FC942" s="195"/>
      <c r="FD942" s="195"/>
      <c r="FE942" s="195"/>
      <c r="FF942" s="195"/>
      <c r="FG942" s="195"/>
      <c r="FH942" s="195"/>
      <c r="FI942" s="195"/>
      <c r="FJ942" s="195"/>
      <c r="FK942" s="195"/>
      <c r="FL942" s="195"/>
      <c r="FM942" s="195"/>
      <c r="FN942" s="195"/>
      <c r="FO942" s="195"/>
      <c r="FP942" s="195"/>
      <c r="FQ942" s="195"/>
      <c r="FR942" s="195"/>
      <c r="FS942" s="195"/>
      <c r="FT942" s="195"/>
      <c r="FU942" s="195"/>
      <c r="FV942" s="195"/>
      <c r="FW942" s="195"/>
      <c r="FX942" s="195"/>
      <c r="FY942" s="195"/>
      <c r="FZ942" s="195"/>
      <c r="GA942" s="195"/>
      <c r="GB942" s="195"/>
      <c r="GC942" s="195"/>
      <c r="GD942" s="195"/>
      <c r="GE942" s="195"/>
      <c r="GF942" s="195"/>
      <c r="GG942" s="195"/>
      <c r="GH942" s="195"/>
      <c r="GI942" s="195"/>
      <c r="GJ942" s="195"/>
      <c r="GK942" s="195"/>
      <c r="GL942" s="195"/>
      <c r="GM942" s="195"/>
      <c r="GN942" s="195"/>
      <c r="GO942" s="195"/>
      <c r="GP942" s="195"/>
      <c r="GQ942" s="195"/>
      <c r="GR942" s="195"/>
      <c r="GS942" s="195"/>
      <c r="GT942" s="195"/>
      <c r="GU942" s="195"/>
      <c r="GV942" s="195"/>
      <c r="GW942" s="195"/>
      <c r="GX942" s="195"/>
      <c r="GY942" s="195"/>
      <c r="GZ942" s="195"/>
      <c r="HA942" s="195"/>
      <c r="HB942" s="195"/>
      <c r="HC942" s="195"/>
      <c r="HD942" s="195"/>
      <c r="HE942" s="195"/>
      <c r="HF942" s="195"/>
      <c r="HG942" s="195"/>
      <c r="HH942" s="195"/>
      <c r="HI942" s="195"/>
      <c r="HJ942" s="195"/>
      <c r="HK942" s="195"/>
      <c r="HL942" s="195"/>
      <c r="HM942" s="195"/>
      <c r="HN942" s="195"/>
      <c r="HO942" s="195"/>
      <c r="HP942" s="195"/>
      <c r="HQ942" s="195"/>
      <c r="HR942" s="195"/>
      <c r="HS942" s="195"/>
      <c r="HT942" s="195"/>
      <c r="HU942" s="195"/>
      <c r="HV942" s="195"/>
      <c r="HW942" s="195"/>
      <c r="HX942" s="195"/>
      <c r="HY942" s="195"/>
      <c r="HZ942" s="195"/>
      <c r="IA942" s="195"/>
      <c r="IB942" s="195"/>
      <c r="IC942" s="195"/>
      <c r="ID942" s="195"/>
      <c r="IE942" s="195"/>
      <c r="IF942" s="195"/>
      <c r="IG942" s="195"/>
      <c r="IH942" s="195"/>
      <c r="II942" s="195"/>
      <c r="IJ942" s="195"/>
      <c r="IK942" s="195"/>
      <c r="IL942" s="195"/>
      <c r="IM942" s="195"/>
      <c r="IN942" s="195"/>
      <c r="IO942" s="195"/>
      <c r="IP942" s="195"/>
      <c r="IQ942" s="195"/>
      <c r="IR942" s="195"/>
      <c r="IS942" s="195"/>
      <c r="IT942" s="195"/>
      <c r="IU942" s="195"/>
      <c r="IV942" s="195"/>
      <c r="IW942" s="195"/>
      <c r="IX942" s="195"/>
      <c r="IY942" s="195"/>
      <c r="IZ942" s="195"/>
      <c r="JA942" s="195"/>
      <c r="JB942" s="195"/>
      <c r="JC942" s="195"/>
      <c r="JD942" s="195"/>
      <c r="JE942" s="195"/>
      <c r="JF942" s="195"/>
      <c r="JG942" s="195"/>
      <c r="JH942" s="195"/>
      <c r="JI942" s="195"/>
      <c r="JJ942" s="195"/>
      <c r="JK942" s="195"/>
      <c r="JL942" s="195"/>
      <c r="JM942" s="195"/>
      <c r="JN942" s="195"/>
      <c r="JO942" s="195"/>
      <c r="JP942" s="195"/>
      <c r="JQ942" s="195"/>
      <c r="JR942" s="195"/>
      <c r="JS942" s="195"/>
      <c r="JT942" s="195"/>
      <c r="JU942" s="195"/>
      <c r="JV942" s="195"/>
      <c r="JW942" s="195"/>
      <c r="JX942" s="195"/>
      <c r="JY942" s="195"/>
      <c r="JZ942" s="195"/>
      <c r="KA942" s="195"/>
      <c r="KB942" s="195"/>
      <c r="KC942" s="195"/>
      <c r="KD942" s="195"/>
      <c r="KE942" s="195"/>
      <c r="KF942" s="195"/>
      <c r="KG942" s="195"/>
      <c r="KH942" s="195"/>
      <c r="KI942" s="195"/>
      <c r="KJ942" s="195"/>
      <c r="KK942" s="195"/>
      <c r="KL942" s="195"/>
      <c r="KM942" s="195"/>
      <c r="KN942" s="195"/>
      <c r="KO942" s="195"/>
      <c r="KP942" s="195"/>
      <c r="KQ942" s="195"/>
      <c r="KR942" s="195"/>
      <c r="KS942" s="195"/>
      <c r="KT942" s="195"/>
      <c r="KU942" s="195"/>
      <c r="KV942" s="195"/>
      <c r="KW942" s="195"/>
      <c r="KX942" s="195"/>
      <c r="KY942" s="195"/>
      <c r="KZ942" s="195"/>
      <c r="LA942" s="195"/>
      <c r="LB942" s="195"/>
      <c r="LC942" s="195"/>
      <c r="LD942" s="195"/>
      <c r="LE942" s="195"/>
      <c r="LF942" s="195"/>
      <c r="LG942" s="195"/>
      <c r="LH942" s="195"/>
      <c r="LI942" s="195"/>
      <c r="LJ942" s="195"/>
      <c r="LK942" s="195"/>
      <c r="LL942" s="195"/>
      <c r="LM942" s="195"/>
      <c r="LN942" s="195"/>
      <c r="LO942" s="195"/>
      <c r="LP942" s="195"/>
      <c r="LQ942" s="195"/>
      <c r="LR942" s="195"/>
      <c r="LS942" s="195"/>
      <c r="LT942" s="195"/>
      <c r="LU942" s="195"/>
      <c r="LV942" s="195"/>
      <c r="LW942" s="195"/>
      <c r="LX942" s="195"/>
      <c r="LY942" s="195"/>
      <c r="LZ942" s="195"/>
      <c r="MA942" s="195"/>
      <c r="MB942" s="195"/>
      <c r="MC942" s="195"/>
      <c r="MD942" s="195"/>
      <c r="ME942" s="195"/>
      <c r="MF942" s="195"/>
      <c r="MG942" s="195"/>
      <c r="MH942" s="195"/>
      <c r="MI942" s="195"/>
      <c r="MJ942" s="195"/>
      <c r="MK942" s="195"/>
      <c r="ML942" s="195"/>
      <c r="MM942" s="195"/>
      <c r="MN942" s="195"/>
      <c r="MO942" s="195"/>
      <c r="MP942" s="195"/>
      <c r="MQ942" s="195"/>
      <c r="MR942" s="195"/>
      <c r="MS942" s="195"/>
      <c r="MT942" s="195"/>
      <c r="MU942" s="195"/>
      <c r="MV942" s="195"/>
      <c r="MW942" s="195"/>
      <c r="MX942" s="195"/>
      <c r="MY942" s="195"/>
      <c r="MZ942" s="195"/>
      <c r="NA942" s="195"/>
      <c r="NB942" s="195"/>
      <c r="NC942" s="195"/>
      <c r="ND942" s="195"/>
      <c r="NE942" s="195"/>
      <c r="NF942" s="195"/>
      <c r="NG942" s="195"/>
      <c r="NH942" s="195"/>
      <c r="NI942" s="195"/>
      <c r="NJ942" s="195"/>
      <c r="NK942" s="195"/>
      <c r="NL942" s="195"/>
      <c r="NM942" s="195"/>
      <c r="NN942" s="195"/>
      <c r="NO942" s="195"/>
      <c r="NP942" s="195"/>
      <c r="NQ942" s="195"/>
      <c r="NR942" s="195"/>
      <c r="NS942" s="195"/>
      <c r="NT942" s="195"/>
      <c r="NU942" s="195"/>
      <c r="NV942" s="195"/>
      <c r="NW942" s="195"/>
      <c r="NX942" s="195"/>
      <c r="NY942" s="195"/>
      <c r="NZ942" s="195"/>
      <c r="OA942" s="195"/>
      <c r="OB942" s="195"/>
      <c r="OC942" s="195"/>
      <c r="OD942" s="195"/>
      <c r="OE942" s="195"/>
      <c r="OF942" s="195"/>
      <c r="OG942" s="195"/>
      <c r="OH942" s="195"/>
      <c r="OI942" s="195"/>
      <c r="OJ942" s="195"/>
      <c r="OK942" s="195"/>
      <c r="OL942" s="195"/>
      <c r="OM942" s="195"/>
      <c r="ON942" s="195"/>
      <c r="OO942" s="195"/>
      <c r="OP942" s="195"/>
      <c r="OQ942" s="195"/>
      <c r="OR942" s="195"/>
      <c r="OS942" s="195"/>
      <c r="OT942" s="195"/>
      <c r="OU942" s="195"/>
      <c r="OV942" s="195"/>
      <c r="OW942" s="195"/>
      <c r="OX942" s="195"/>
      <c r="OY942" s="195"/>
      <c r="OZ942" s="195"/>
      <c r="PA942" s="195"/>
      <c r="PB942" s="195"/>
      <c r="PC942" s="195"/>
      <c r="PD942" s="195"/>
      <c r="PE942" s="195"/>
      <c r="PF942" s="195"/>
      <c r="PG942" s="195"/>
      <c r="PH942" s="195"/>
      <c r="PI942" s="195"/>
      <c r="PJ942" s="195"/>
      <c r="PK942" s="195"/>
      <c r="PL942" s="195"/>
      <c r="PM942" s="195"/>
      <c r="PN942" s="195"/>
      <c r="PO942" s="195"/>
      <c r="PP942" s="195"/>
      <c r="PQ942" s="195"/>
      <c r="PR942" s="195"/>
      <c r="PS942" s="195"/>
      <c r="PT942" s="195"/>
      <c r="PU942" s="195"/>
      <c r="PV942" s="195"/>
      <c r="PW942" s="195"/>
      <c r="PX942" s="195"/>
      <c r="PY942" s="195"/>
      <c r="PZ942" s="195"/>
      <c r="QA942" s="195"/>
      <c r="QB942" s="195"/>
      <c r="QC942" s="195"/>
      <c r="QD942" s="195"/>
      <c r="QE942" s="195"/>
      <c r="QF942" s="195"/>
      <c r="QG942" s="195"/>
      <c r="QH942" s="195"/>
      <c r="QI942" s="195"/>
      <c r="QJ942" s="195"/>
      <c r="QK942" s="195"/>
      <c r="QL942" s="195"/>
      <c r="QM942" s="195"/>
      <c r="QN942" s="195"/>
      <c r="QO942" s="195"/>
      <c r="QP942" s="195"/>
      <c r="QQ942" s="195"/>
      <c r="QR942" s="195"/>
      <c r="QS942" s="195"/>
      <c r="QT942" s="195"/>
      <c r="QU942" s="195"/>
      <c r="QV942" s="195"/>
      <c r="QW942" s="195"/>
      <c r="QX942" s="195"/>
      <c r="QY942" s="195"/>
      <c r="QZ942" s="195"/>
      <c r="RA942" s="195"/>
      <c r="RB942" s="195"/>
      <c r="RC942" s="195"/>
      <c r="RD942" s="195"/>
      <c r="RE942" s="195"/>
      <c r="RF942" s="195"/>
      <c r="RG942" s="195"/>
      <c r="RH942" s="195"/>
      <c r="RI942" s="195"/>
      <c r="RJ942" s="195"/>
      <c r="RK942" s="195"/>
      <c r="RL942" s="195"/>
      <c r="RM942" s="195"/>
      <c r="RN942" s="195"/>
      <c r="RO942" s="195"/>
      <c r="RP942" s="195"/>
      <c r="RQ942" s="195"/>
      <c r="RR942" s="195"/>
      <c r="RS942" s="195"/>
      <c r="RT942" s="195"/>
      <c r="RU942" s="195"/>
      <c r="RV942" s="195"/>
      <c r="RW942" s="195"/>
      <c r="RX942" s="195"/>
      <c r="RY942" s="195"/>
      <c r="RZ942" s="195"/>
      <c r="SA942" s="195"/>
      <c r="SB942" s="195"/>
      <c r="SC942" s="195"/>
      <c r="SD942" s="195"/>
      <c r="SE942" s="195"/>
      <c r="SF942" s="195"/>
      <c r="SG942" s="195"/>
      <c r="SH942" s="195"/>
      <c r="SI942" s="195"/>
      <c r="SJ942" s="195"/>
      <c r="SK942" s="195"/>
      <c r="SL942" s="195"/>
      <c r="SM942" s="195"/>
      <c r="SN942" s="195"/>
      <c r="SO942" s="195"/>
      <c r="SP942" s="195"/>
      <c r="SQ942" s="195"/>
      <c r="SR942" s="195"/>
      <c r="SS942" s="195"/>
      <c r="ST942" s="195"/>
      <c r="SU942" s="195"/>
      <c r="SV942" s="195"/>
      <c r="SW942" s="195"/>
      <c r="SX942" s="195"/>
      <c r="SY942" s="195"/>
      <c r="SZ942" s="195"/>
      <c r="TA942" s="195"/>
      <c r="TB942" s="195"/>
      <c r="TC942" s="195"/>
      <c r="TD942" s="195"/>
      <c r="TE942" s="195"/>
      <c r="TF942" s="195"/>
      <c r="TG942" s="195"/>
      <c r="TH942" s="195"/>
      <c r="TI942" s="195"/>
      <c r="TJ942" s="195"/>
      <c r="TK942" s="195"/>
      <c r="TL942" s="195"/>
      <c r="TM942" s="195"/>
      <c r="TN942" s="195"/>
      <c r="TO942" s="195"/>
      <c r="TP942" s="195"/>
      <c r="TQ942" s="195"/>
      <c r="TR942" s="195"/>
      <c r="TS942" s="195"/>
      <c r="TT942" s="195"/>
      <c r="TU942" s="195"/>
      <c r="TV942" s="195"/>
      <c r="TW942" s="195"/>
      <c r="TX942" s="195"/>
      <c r="TY942" s="195"/>
      <c r="TZ942" s="195"/>
      <c r="UA942" s="195"/>
      <c r="UB942" s="195"/>
      <c r="UC942" s="195"/>
      <c r="UD942" s="195"/>
      <c r="UE942" s="195"/>
      <c r="UF942" s="195"/>
      <c r="UG942" s="144"/>
    </row>
    <row r="943" spans="1:553" s="1275" customFormat="1" ht="34.15" customHeight="1">
      <c r="A943" s="411"/>
      <c r="B943" s="411"/>
      <c r="C943" s="1423" t="s">
        <v>1202</v>
      </c>
      <c r="D943" s="1423"/>
      <c r="E943" s="1423"/>
      <c r="F943" s="1423"/>
      <c r="G943" s="1226" t="s">
        <v>48</v>
      </c>
      <c r="H943" s="502"/>
      <c r="I943" s="1288">
        <v>6</v>
      </c>
      <c r="J943" s="1243">
        <v>219200</v>
      </c>
      <c r="K943" s="712">
        <v>0.7</v>
      </c>
      <c r="L943" s="679">
        <f t="shared" ref="L943" si="139">I943*J943*K943</f>
        <v>920639.99999999988</v>
      </c>
      <c r="M943" s="444"/>
      <c r="N943" s="444"/>
      <c r="O943" s="444"/>
      <c r="P943" s="444"/>
      <c r="Q943" s="1251"/>
      <c r="R943" s="1253"/>
      <c r="S943" s="308"/>
      <c r="T943" s="308"/>
      <c r="U943" s="308"/>
      <c r="V943" s="308"/>
      <c r="W943" s="308"/>
      <c r="X943" s="308"/>
      <c r="Y943" s="308"/>
      <c r="Z943" s="604"/>
      <c r="AA943" s="308"/>
      <c r="AB943" s="308"/>
      <c r="AC943" s="687"/>
      <c r="AD943" s="687"/>
      <c r="AE943" s="687"/>
      <c r="AF943" s="687"/>
      <c r="AG943" s="687"/>
      <c r="AH943" s="687"/>
      <c r="AI943" s="687"/>
      <c r="AJ943" s="687"/>
      <c r="AK943" s="688"/>
      <c r="AL943" s="1273"/>
      <c r="AM943" s="1273"/>
      <c r="AN943" s="1273"/>
      <c r="AO943" s="1273"/>
      <c r="AP943" s="1273"/>
      <c r="AQ943" s="1273"/>
      <c r="AR943" s="1273"/>
      <c r="AS943" s="1273"/>
      <c r="AT943" s="1273"/>
      <c r="AU943" s="1273"/>
      <c r="AV943" s="1273"/>
      <c r="AW943" s="1273"/>
      <c r="AX943" s="1273"/>
      <c r="AY943" s="1273"/>
      <c r="AZ943" s="1273"/>
      <c r="BA943" s="1273"/>
      <c r="BB943" s="1273"/>
      <c r="BC943" s="1273"/>
      <c r="BD943" s="1273"/>
      <c r="BE943" s="1273"/>
      <c r="BF943" s="1273"/>
      <c r="BG943" s="1273"/>
      <c r="BH943" s="1273"/>
      <c r="BI943" s="1273"/>
      <c r="BJ943" s="1273"/>
      <c r="BK943" s="1273"/>
      <c r="BL943" s="1273"/>
      <c r="BM943" s="1273"/>
      <c r="BN943" s="1273"/>
      <c r="BO943" s="1273"/>
      <c r="BP943" s="1273"/>
      <c r="BQ943" s="1273"/>
      <c r="BR943" s="1273"/>
      <c r="BS943" s="1273"/>
      <c r="BT943" s="1273"/>
      <c r="BU943" s="1273"/>
      <c r="BV943" s="1273"/>
      <c r="BW943" s="1273"/>
      <c r="BX943" s="1273"/>
      <c r="BY943" s="1273"/>
      <c r="BZ943" s="1273"/>
      <c r="CA943" s="1273"/>
      <c r="CB943" s="1273"/>
      <c r="CC943" s="1273"/>
      <c r="CD943" s="1273"/>
      <c r="CE943" s="1273"/>
      <c r="CF943" s="1273"/>
      <c r="CG943" s="1273"/>
      <c r="CH943" s="1273"/>
      <c r="CI943" s="1273"/>
      <c r="CJ943" s="1273"/>
      <c r="CK943" s="1273"/>
      <c r="CL943" s="1273"/>
      <c r="CM943" s="1273"/>
      <c r="CN943" s="1273"/>
      <c r="CO943" s="1273"/>
      <c r="CP943" s="1273"/>
      <c r="CQ943" s="1273"/>
      <c r="CR943" s="1273"/>
      <c r="CS943" s="1273"/>
      <c r="CT943" s="1273"/>
      <c r="CU943" s="1273"/>
      <c r="CV943" s="1273"/>
      <c r="CW943" s="1273"/>
      <c r="CX943" s="1273"/>
      <c r="CY943" s="1273"/>
      <c r="CZ943" s="1273"/>
      <c r="DA943" s="1273"/>
      <c r="DB943" s="1273"/>
      <c r="DC943" s="1273"/>
      <c r="DD943" s="1273"/>
      <c r="DE943" s="1273"/>
      <c r="DF943" s="1273"/>
      <c r="DG943" s="1273"/>
      <c r="DH943" s="1273"/>
      <c r="DI943" s="1273"/>
      <c r="DJ943" s="1273"/>
      <c r="DK943" s="1273"/>
      <c r="DL943" s="1273"/>
      <c r="DM943" s="1273"/>
      <c r="DN943" s="1273"/>
      <c r="DO943" s="1273"/>
      <c r="DP943" s="1273"/>
      <c r="DQ943" s="1273"/>
      <c r="DR943" s="1273"/>
      <c r="DS943" s="1273"/>
      <c r="DT943" s="1273"/>
      <c r="DU943" s="1273"/>
      <c r="DV943" s="1273"/>
      <c r="DW943" s="1273"/>
      <c r="DX943" s="1273"/>
      <c r="DY943" s="1273"/>
      <c r="DZ943" s="1273"/>
      <c r="EA943" s="1273"/>
      <c r="EB943" s="1273"/>
      <c r="EC943" s="1273"/>
      <c r="ED943" s="1273"/>
      <c r="EE943" s="1273"/>
      <c r="EF943" s="1273"/>
      <c r="EG943" s="1273"/>
      <c r="EH943" s="1273"/>
      <c r="EI943" s="1273"/>
      <c r="EJ943" s="1273"/>
      <c r="EK943" s="1273"/>
      <c r="EL943" s="1273"/>
      <c r="EM943" s="1273"/>
      <c r="EN943" s="1273"/>
      <c r="EO943" s="1273"/>
      <c r="EP943" s="1273"/>
      <c r="EQ943" s="1273"/>
      <c r="ER943" s="1273"/>
      <c r="ES943" s="1273"/>
      <c r="ET943" s="1273"/>
      <c r="EU943" s="1273"/>
      <c r="EV943" s="1273"/>
      <c r="EW943" s="1273"/>
      <c r="EX943" s="1273"/>
      <c r="EY943" s="1273"/>
      <c r="EZ943" s="1273"/>
      <c r="FA943" s="1273"/>
      <c r="FB943" s="1273"/>
      <c r="FC943" s="1273"/>
      <c r="FD943" s="1273"/>
      <c r="FE943" s="1273"/>
      <c r="FF943" s="1273"/>
      <c r="FG943" s="1273"/>
      <c r="FH943" s="1273"/>
      <c r="FI943" s="1273"/>
      <c r="FJ943" s="1273"/>
      <c r="FK943" s="1273"/>
      <c r="FL943" s="1273"/>
      <c r="FM943" s="1273"/>
      <c r="FN943" s="1273"/>
      <c r="FO943" s="1273"/>
      <c r="FP943" s="1273"/>
      <c r="FQ943" s="1273"/>
      <c r="FR943" s="1273"/>
      <c r="FS943" s="1273"/>
      <c r="FT943" s="1273"/>
      <c r="FU943" s="1273"/>
      <c r="FV943" s="1273"/>
      <c r="FW943" s="1273"/>
      <c r="FX943" s="1273"/>
      <c r="FY943" s="1273"/>
      <c r="FZ943" s="1273"/>
      <c r="GA943" s="1273"/>
      <c r="GB943" s="1273"/>
      <c r="GC943" s="1273"/>
      <c r="GD943" s="1273"/>
      <c r="GE943" s="1273"/>
      <c r="GF943" s="1273"/>
      <c r="GG943" s="1273"/>
      <c r="GH943" s="1273"/>
      <c r="GI943" s="1273"/>
      <c r="GJ943" s="1273"/>
      <c r="GK943" s="1273"/>
      <c r="GL943" s="1273"/>
      <c r="GM943" s="1273"/>
      <c r="GN943" s="1273"/>
      <c r="GO943" s="1273"/>
      <c r="GP943" s="1273"/>
      <c r="GQ943" s="1273"/>
      <c r="GR943" s="1273"/>
      <c r="GS943" s="1273"/>
      <c r="GT943" s="1273"/>
      <c r="GU943" s="1273"/>
      <c r="GV943" s="1273"/>
      <c r="GW943" s="1273"/>
      <c r="GX943" s="1273"/>
      <c r="GY943" s="1273"/>
      <c r="GZ943" s="1273"/>
      <c r="HA943" s="1273"/>
      <c r="HB943" s="1273"/>
      <c r="HC943" s="1273"/>
      <c r="HD943" s="1273"/>
      <c r="HE943" s="1273"/>
      <c r="HF943" s="1273"/>
      <c r="HG943" s="1273"/>
      <c r="HH943" s="1273"/>
      <c r="HI943" s="1273"/>
      <c r="HJ943" s="1273"/>
      <c r="HK943" s="1273"/>
      <c r="HL943" s="1273"/>
      <c r="HM943" s="1273"/>
      <c r="HN943" s="1273"/>
      <c r="HO943" s="1273"/>
      <c r="HP943" s="1273"/>
      <c r="HQ943" s="1273"/>
      <c r="HR943" s="1273"/>
      <c r="HS943" s="1273"/>
      <c r="HT943" s="1273"/>
      <c r="HU943" s="1273"/>
      <c r="HV943" s="1273"/>
      <c r="HW943" s="1273"/>
      <c r="HX943" s="1273"/>
      <c r="HY943" s="1273"/>
      <c r="HZ943" s="1273"/>
      <c r="IA943" s="1273"/>
      <c r="IB943" s="1273"/>
      <c r="IC943" s="1273"/>
      <c r="ID943" s="1273"/>
      <c r="IE943" s="1273"/>
      <c r="IF943" s="1273"/>
      <c r="IG943" s="1273"/>
      <c r="IH943" s="1273"/>
      <c r="II943" s="1273"/>
      <c r="IJ943" s="1273"/>
      <c r="IK943" s="1273"/>
      <c r="IL943" s="1273"/>
      <c r="IM943" s="1273"/>
      <c r="IN943" s="1273"/>
      <c r="IO943" s="1273"/>
      <c r="IP943" s="1273"/>
      <c r="IQ943" s="1273"/>
      <c r="IR943" s="1273"/>
      <c r="IS943" s="1273"/>
      <c r="IT943" s="1273"/>
      <c r="IU943" s="1273"/>
      <c r="IV943" s="1273"/>
      <c r="IW943" s="1273"/>
      <c r="IX943" s="1273"/>
      <c r="IY943" s="1273"/>
      <c r="IZ943" s="1273"/>
      <c r="JA943" s="1273"/>
      <c r="JB943" s="1273"/>
      <c r="JC943" s="1273"/>
      <c r="JD943" s="1273"/>
      <c r="JE943" s="1273"/>
      <c r="JF943" s="1273"/>
      <c r="JG943" s="1273"/>
      <c r="JH943" s="1273"/>
      <c r="JI943" s="1273"/>
      <c r="JJ943" s="1273"/>
      <c r="JK943" s="1273"/>
      <c r="JL943" s="1273"/>
      <c r="JM943" s="1273"/>
      <c r="JN943" s="1273"/>
      <c r="JO943" s="1273"/>
      <c r="JP943" s="1273"/>
      <c r="JQ943" s="1273"/>
      <c r="JR943" s="1273"/>
      <c r="JS943" s="1273"/>
      <c r="JT943" s="1273"/>
      <c r="JU943" s="1273"/>
      <c r="JV943" s="1273"/>
      <c r="JW943" s="1273"/>
      <c r="JX943" s="1273"/>
      <c r="JY943" s="1273"/>
      <c r="JZ943" s="1273"/>
      <c r="KA943" s="1273"/>
      <c r="KB943" s="1273"/>
      <c r="KC943" s="1273"/>
      <c r="KD943" s="1273"/>
      <c r="KE943" s="1273"/>
      <c r="KF943" s="1273"/>
      <c r="KG943" s="1273"/>
      <c r="KH943" s="1273"/>
      <c r="KI943" s="1273"/>
      <c r="KJ943" s="1273"/>
      <c r="KK943" s="1273"/>
      <c r="KL943" s="1273"/>
      <c r="KM943" s="1273"/>
      <c r="KN943" s="1273"/>
      <c r="KO943" s="1273"/>
      <c r="KP943" s="1273"/>
      <c r="KQ943" s="1273"/>
      <c r="KR943" s="1273"/>
      <c r="KS943" s="1273"/>
      <c r="KT943" s="1273"/>
      <c r="KU943" s="1273"/>
      <c r="KV943" s="1273"/>
      <c r="KW943" s="1273"/>
      <c r="KX943" s="1273"/>
      <c r="KY943" s="1273"/>
      <c r="KZ943" s="1273"/>
      <c r="LA943" s="1273"/>
      <c r="LB943" s="1273"/>
      <c r="LC943" s="1273"/>
      <c r="LD943" s="1273"/>
      <c r="LE943" s="1273"/>
      <c r="LF943" s="1273"/>
      <c r="LG943" s="1273"/>
      <c r="LH943" s="1273"/>
      <c r="LI943" s="1273"/>
      <c r="LJ943" s="1273"/>
      <c r="LK943" s="1273"/>
      <c r="LL943" s="1273"/>
      <c r="LM943" s="1273"/>
      <c r="LN943" s="1273"/>
      <c r="LO943" s="1273"/>
      <c r="LP943" s="1273"/>
      <c r="LQ943" s="1273"/>
      <c r="LR943" s="1273"/>
      <c r="LS943" s="1273"/>
      <c r="LT943" s="1273"/>
      <c r="LU943" s="1273"/>
      <c r="LV943" s="1273"/>
      <c r="LW943" s="1273"/>
      <c r="LX943" s="1273"/>
      <c r="LY943" s="1273"/>
      <c r="LZ943" s="1273"/>
      <c r="MA943" s="1273"/>
      <c r="MB943" s="1273"/>
      <c r="MC943" s="1273"/>
      <c r="MD943" s="1273"/>
      <c r="ME943" s="1273"/>
      <c r="MF943" s="1273"/>
      <c r="MG943" s="1273"/>
      <c r="MH943" s="1273"/>
      <c r="MI943" s="1273"/>
      <c r="MJ943" s="1273"/>
      <c r="MK943" s="1273"/>
      <c r="ML943" s="1273"/>
      <c r="MM943" s="1273"/>
      <c r="MN943" s="1273"/>
      <c r="MO943" s="1273"/>
      <c r="MP943" s="1273"/>
      <c r="MQ943" s="1273"/>
      <c r="MR943" s="1273"/>
      <c r="MS943" s="1273"/>
      <c r="MT943" s="1273"/>
      <c r="MU943" s="1273"/>
      <c r="MV943" s="1273"/>
      <c r="MW943" s="1273"/>
      <c r="MX943" s="1273"/>
      <c r="MY943" s="1273"/>
      <c r="MZ943" s="1273"/>
      <c r="NA943" s="1273"/>
      <c r="NB943" s="1273"/>
      <c r="NC943" s="1273"/>
      <c r="ND943" s="1273"/>
      <c r="NE943" s="1273"/>
      <c r="NF943" s="1273"/>
      <c r="NG943" s="1273"/>
      <c r="NH943" s="1273"/>
      <c r="NI943" s="1273"/>
      <c r="NJ943" s="1273"/>
      <c r="NK943" s="1273"/>
      <c r="NL943" s="1273"/>
      <c r="NM943" s="1273"/>
      <c r="NN943" s="1273"/>
      <c r="NO943" s="1273"/>
      <c r="NP943" s="1273"/>
      <c r="NQ943" s="1273"/>
      <c r="NR943" s="1273"/>
      <c r="NS943" s="1273"/>
      <c r="NT943" s="1273"/>
      <c r="NU943" s="1273"/>
      <c r="NV943" s="1273"/>
      <c r="NW943" s="1273"/>
      <c r="NX943" s="1273"/>
      <c r="NY943" s="1273"/>
      <c r="NZ943" s="1273"/>
      <c r="OA943" s="1273"/>
      <c r="OB943" s="1273"/>
      <c r="OC943" s="1273"/>
      <c r="OD943" s="1273"/>
      <c r="OE943" s="1273"/>
      <c r="OF943" s="1273"/>
      <c r="OG943" s="1273"/>
      <c r="OH943" s="1273"/>
      <c r="OI943" s="1273"/>
      <c r="OJ943" s="1273"/>
      <c r="OK943" s="1273"/>
      <c r="OL943" s="1273"/>
      <c r="OM943" s="1273"/>
      <c r="ON943" s="1273"/>
      <c r="OO943" s="1273"/>
      <c r="OP943" s="1273"/>
      <c r="OQ943" s="1273"/>
      <c r="OR943" s="1273"/>
      <c r="OS943" s="1273"/>
      <c r="OT943" s="1273"/>
      <c r="OU943" s="1273"/>
      <c r="OV943" s="1273"/>
      <c r="OW943" s="1273"/>
      <c r="OX943" s="1273"/>
      <c r="OY943" s="1273"/>
      <c r="OZ943" s="1273"/>
      <c r="PA943" s="1273"/>
      <c r="PB943" s="1273"/>
      <c r="PC943" s="1273"/>
      <c r="PD943" s="1273"/>
      <c r="PE943" s="1273"/>
      <c r="PF943" s="1273"/>
      <c r="PG943" s="1273"/>
      <c r="PH943" s="1273"/>
      <c r="PI943" s="1273"/>
      <c r="PJ943" s="1273"/>
      <c r="PK943" s="1273"/>
      <c r="PL943" s="1273"/>
      <c r="PM943" s="1273"/>
      <c r="PN943" s="1273"/>
      <c r="PO943" s="1273"/>
      <c r="PP943" s="1273"/>
      <c r="PQ943" s="1273"/>
      <c r="PR943" s="1273"/>
      <c r="PS943" s="1273"/>
      <c r="PT943" s="1273"/>
      <c r="PU943" s="1273"/>
      <c r="PV943" s="1273"/>
      <c r="PW943" s="1273"/>
      <c r="PX943" s="1273"/>
      <c r="PY943" s="1273"/>
      <c r="PZ943" s="1273"/>
      <c r="QA943" s="1273"/>
      <c r="QB943" s="1273"/>
      <c r="QC943" s="1273"/>
      <c r="QD943" s="1273"/>
      <c r="QE943" s="1273"/>
      <c r="QF943" s="1273"/>
      <c r="QG943" s="1273"/>
      <c r="QH943" s="1273"/>
      <c r="QI943" s="1273"/>
      <c r="QJ943" s="1273"/>
      <c r="QK943" s="1273"/>
      <c r="QL943" s="1273"/>
      <c r="QM943" s="1273"/>
      <c r="QN943" s="1273"/>
      <c r="QO943" s="1273"/>
      <c r="QP943" s="1273"/>
      <c r="QQ943" s="1273"/>
      <c r="QR943" s="1273"/>
      <c r="QS943" s="1273"/>
      <c r="QT943" s="1273"/>
      <c r="QU943" s="1273"/>
      <c r="QV943" s="1273"/>
      <c r="QW943" s="1273"/>
      <c r="QX943" s="1273"/>
      <c r="QY943" s="1273"/>
      <c r="QZ943" s="1273"/>
      <c r="RA943" s="1273"/>
      <c r="RB943" s="1273"/>
      <c r="RC943" s="1273"/>
      <c r="RD943" s="1273"/>
      <c r="RE943" s="1273"/>
      <c r="RF943" s="1273"/>
      <c r="RG943" s="1273"/>
      <c r="RH943" s="1273"/>
      <c r="RI943" s="1273"/>
      <c r="RJ943" s="1273"/>
      <c r="RK943" s="1273"/>
      <c r="RL943" s="1273"/>
      <c r="RM943" s="1273"/>
      <c r="RN943" s="1273"/>
      <c r="RO943" s="1273"/>
      <c r="RP943" s="1273"/>
      <c r="RQ943" s="1273"/>
      <c r="RR943" s="1273"/>
      <c r="RS943" s="1273"/>
      <c r="RT943" s="1273"/>
      <c r="RU943" s="1273"/>
      <c r="RV943" s="1273"/>
      <c r="RW943" s="1273"/>
      <c r="RX943" s="1273"/>
      <c r="RY943" s="1273"/>
      <c r="RZ943" s="1273"/>
      <c r="SA943" s="1273"/>
      <c r="SB943" s="1273"/>
      <c r="SC943" s="1273"/>
      <c r="SD943" s="1273"/>
      <c r="SE943" s="1273"/>
      <c r="SF943" s="1273"/>
      <c r="SG943" s="1273"/>
      <c r="SH943" s="1273"/>
      <c r="SI943" s="1273"/>
      <c r="SJ943" s="1273"/>
      <c r="SK943" s="1273"/>
      <c r="SL943" s="1273"/>
      <c r="SM943" s="1273"/>
      <c r="SN943" s="1273"/>
      <c r="SO943" s="1273"/>
      <c r="SP943" s="1273"/>
      <c r="SQ943" s="1273"/>
      <c r="SR943" s="1273"/>
      <c r="SS943" s="1273"/>
      <c r="ST943" s="1273"/>
      <c r="SU943" s="1273"/>
      <c r="SV943" s="1273"/>
      <c r="SW943" s="1273"/>
      <c r="SX943" s="1273"/>
      <c r="SY943" s="1273"/>
      <c r="SZ943" s="1273"/>
      <c r="TA943" s="1273"/>
      <c r="TB943" s="1273"/>
      <c r="TC943" s="1273"/>
      <c r="TD943" s="1273"/>
      <c r="TE943" s="1273"/>
      <c r="TF943" s="1273"/>
      <c r="TG943" s="1273"/>
      <c r="TH943" s="1273"/>
      <c r="TI943" s="1273"/>
      <c r="TJ943" s="1273"/>
      <c r="TK943" s="1273"/>
      <c r="TL943" s="1273"/>
      <c r="TM943" s="1273"/>
      <c r="TN943" s="1273"/>
      <c r="TO943" s="1273"/>
      <c r="TP943" s="1273"/>
      <c r="TQ943" s="1273"/>
      <c r="TR943" s="1273"/>
      <c r="TS943" s="1273"/>
      <c r="TT943" s="1273"/>
      <c r="TU943" s="1273"/>
      <c r="TV943" s="1273"/>
      <c r="TW943" s="1273"/>
      <c r="TX943" s="1273"/>
      <c r="TY943" s="1273"/>
      <c r="TZ943" s="1273"/>
      <c r="UA943" s="1273"/>
      <c r="UB943" s="1273"/>
      <c r="UC943" s="1273"/>
      <c r="UD943" s="1273"/>
      <c r="UE943" s="1273"/>
      <c r="UF943" s="1273"/>
      <c r="UG943" s="1274"/>
    </row>
    <row r="944" spans="1:553" s="1275" customFormat="1" ht="34.15" customHeight="1">
      <c r="A944" s="713"/>
      <c r="B944" s="713"/>
      <c r="C944" s="1631" t="s">
        <v>385</v>
      </c>
      <c r="D944" s="1631"/>
      <c r="E944" s="1631"/>
      <c r="F944" s="1631"/>
      <c r="G944" s="527" t="s">
        <v>196</v>
      </c>
      <c r="H944" s="528"/>
      <c r="I944" s="1310">
        <f>(206.62*100/2000)*40</f>
        <v>413.24</v>
      </c>
      <c r="J944" s="1248">
        <v>6200</v>
      </c>
      <c r="K944" s="714"/>
      <c r="L944" s="679">
        <f>ROUND(PRODUCT(I944:K944),0)</f>
        <v>2562088</v>
      </c>
      <c r="M944" s="444"/>
      <c r="N944" s="444"/>
      <c r="O944" s="444"/>
      <c r="P944" s="444"/>
      <c r="Q944" s="1251"/>
      <c r="R944" s="1253"/>
      <c r="S944" s="308"/>
      <c r="T944" s="308"/>
      <c r="U944" s="308"/>
      <c r="V944" s="308"/>
      <c r="W944" s="308"/>
      <c r="X944" s="308"/>
      <c r="Y944" s="308"/>
      <c r="Z944" s="604"/>
      <c r="AA944" s="308"/>
      <c r="AB944" s="308"/>
      <c r="AC944" s="687"/>
      <c r="AD944" s="687"/>
      <c r="AE944" s="687"/>
      <c r="AF944" s="687"/>
      <c r="AG944" s="687"/>
      <c r="AH944" s="687"/>
      <c r="AI944" s="687"/>
      <c r="AJ944" s="687"/>
      <c r="AK944" s="688"/>
      <c r="AL944" s="1273"/>
      <c r="AM944" s="1273"/>
      <c r="AN944" s="1273"/>
      <c r="AO944" s="1273"/>
      <c r="AP944" s="1273"/>
      <c r="AQ944" s="1273"/>
      <c r="AR944" s="1273"/>
      <c r="AS944" s="1273"/>
      <c r="AT944" s="1273"/>
      <c r="AU944" s="1273"/>
      <c r="AV944" s="1273"/>
      <c r="AW944" s="1273"/>
      <c r="AX944" s="1273"/>
      <c r="AY944" s="1273"/>
      <c r="AZ944" s="1273"/>
      <c r="BA944" s="1273"/>
      <c r="BB944" s="1273"/>
      <c r="BC944" s="1273"/>
      <c r="BD944" s="1273"/>
      <c r="BE944" s="1273"/>
      <c r="BF944" s="1273"/>
      <c r="BG944" s="1273"/>
      <c r="BH944" s="1273"/>
      <c r="BI944" s="1273"/>
      <c r="BJ944" s="1273"/>
      <c r="BK944" s="1273"/>
      <c r="BL944" s="1273"/>
      <c r="BM944" s="1273"/>
      <c r="BN944" s="1273"/>
      <c r="BO944" s="1273"/>
      <c r="BP944" s="1273"/>
      <c r="BQ944" s="1273"/>
      <c r="BR944" s="1273"/>
      <c r="BS944" s="1273"/>
      <c r="BT944" s="1273"/>
      <c r="BU944" s="1273"/>
      <c r="BV944" s="1273"/>
      <c r="BW944" s="1273"/>
      <c r="BX944" s="1273"/>
      <c r="BY944" s="1273"/>
      <c r="BZ944" s="1273"/>
      <c r="CA944" s="1273"/>
      <c r="CB944" s="1273"/>
      <c r="CC944" s="1273"/>
      <c r="CD944" s="1273"/>
      <c r="CE944" s="1273"/>
      <c r="CF944" s="1273"/>
      <c r="CG944" s="1273"/>
      <c r="CH944" s="1273"/>
      <c r="CI944" s="1273"/>
      <c r="CJ944" s="1273"/>
      <c r="CK944" s="1273"/>
      <c r="CL944" s="1273"/>
      <c r="CM944" s="1273"/>
      <c r="CN944" s="1273"/>
      <c r="CO944" s="1273"/>
      <c r="CP944" s="1273"/>
      <c r="CQ944" s="1273"/>
      <c r="CR944" s="1273"/>
      <c r="CS944" s="1273"/>
      <c r="CT944" s="1273"/>
      <c r="CU944" s="1273"/>
      <c r="CV944" s="1273"/>
      <c r="CW944" s="1273"/>
      <c r="CX944" s="1273"/>
      <c r="CY944" s="1273"/>
      <c r="CZ944" s="1273"/>
      <c r="DA944" s="1273"/>
      <c r="DB944" s="1273"/>
      <c r="DC944" s="1273"/>
      <c r="DD944" s="1273"/>
      <c r="DE944" s="1273"/>
      <c r="DF944" s="1273"/>
      <c r="DG944" s="1273"/>
      <c r="DH944" s="1273"/>
      <c r="DI944" s="1273"/>
      <c r="DJ944" s="1273"/>
      <c r="DK944" s="1273"/>
      <c r="DL944" s="1273"/>
      <c r="DM944" s="1273"/>
      <c r="DN944" s="1273"/>
      <c r="DO944" s="1273"/>
      <c r="DP944" s="1273"/>
      <c r="DQ944" s="1273"/>
      <c r="DR944" s="1273"/>
      <c r="DS944" s="1273"/>
      <c r="DT944" s="1273"/>
      <c r="DU944" s="1273"/>
      <c r="DV944" s="1273"/>
      <c r="DW944" s="1273"/>
      <c r="DX944" s="1273"/>
      <c r="DY944" s="1273"/>
      <c r="DZ944" s="1273"/>
      <c r="EA944" s="1273"/>
      <c r="EB944" s="1273"/>
      <c r="EC944" s="1273"/>
      <c r="ED944" s="1273"/>
      <c r="EE944" s="1273"/>
      <c r="EF944" s="1273"/>
      <c r="EG944" s="1273"/>
      <c r="EH944" s="1273"/>
      <c r="EI944" s="1273"/>
      <c r="EJ944" s="1273"/>
      <c r="EK944" s="1273"/>
      <c r="EL944" s="1273"/>
      <c r="EM944" s="1273"/>
      <c r="EN944" s="1273"/>
      <c r="EO944" s="1273"/>
      <c r="EP944" s="1273"/>
      <c r="EQ944" s="1273"/>
      <c r="ER944" s="1273"/>
      <c r="ES944" s="1273"/>
      <c r="ET944" s="1273"/>
      <c r="EU944" s="1273"/>
      <c r="EV944" s="1273"/>
      <c r="EW944" s="1273"/>
      <c r="EX944" s="1273"/>
      <c r="EY944" s="1273"/>
      <c r="EZ944" s="1273"/>
      <c r="FA944" s="1273"/>
      <c r="FB944" s="1273"/>
      <c r="FC944" s="1273"/>
      <c r="FD944" s="1273"/>
      <c r="FE944" s="1273"/>
      <c r="FF944" s="1273"/>
      <c r="FG944" s="1273"/>
      <c r="FH944" s="1273"/>
      <c r="FI944" s="1273"/>
      <c r="FJ944" s="1273"/>
      <c r="FK944" s="1273"/>
      <c r="FL944" s="1273"/>
      <c r="FM944" s="1273"/>
      <c r="FN944" s="1273"/>
      <c r="FO944" s="1273"/>
      <c r="FP944" s="1273"/>
      <c r="FQ944" s="1273"/>
      <c r="FR944" s="1273"/>
      <c r="FS944" s="1273"/>
      <c r="FT944" s="1273"/>
      <c r="FU944" s="1273"/>
      <c r="FV944" s="1273"/>
      <c r="FW944" s="1273"/>
      <c r="FX944" s="1273"/>
      <c r="FY944" s="1273"/>
      <c r="FZ944" s="1273"/>
      <c r="GA944" s="1273"/>
      <c r="GB944" s="1273"/>
      <c r="GC944" s="1273"/>
      <c r="GD944" s="1273"/>
      <c r="GE944" s="1273"/>
      <c r="GF944" s="1273"/>
      <c r="GG944" s="1273"/>
      <c r="GH944" s="1273"/>
      <c r="GI944" s="1273"/>
      <c r="GJ944" s="1273"/>
      <c r="GK944" s="1273"/>
      <c r="GL944" s="1273"/>
      <c r="GM944" s="1273"/>
      <c r="GN944" s="1273"/>
      <c r="GO944" s="1273"/>
      <c r="GP944" s="1273"/>
      <c r="GQ944" s="1273"/>
      <c r="GR944" s="1273"/>
      <c r="GS944" s="1273"/>
      <c r="GT944" s="1273"/>
      <c r="GU944" s="1273"/>
      <c r="GV944" s="1273"/>
      <c r="GW944" s="1273"/>
      <c r="GX944" s="1273"/>
      <c r="GY944" s="1273"/>
      <c r="GZ944" s="1273"/>
      <c r="HA944" s="1273"/>
      <c r="HB944" s="1273"/>
      <c r="HC944" s="1273"/>
      <c r="HD944" s="1273"/>
      <c r="HE944" s="1273"/>
      <c r="HF944" s="1273"/>
      <c r="HG944" s="1273"/>
      <c r="HH944" s="1273"/>
      <c r="HI944" s="1273"/>
      <c r="HJ944" s="1273"/>
      <c r="HK944" s="1273"/>
      <c r="HL944" s="1273"/>
      <c r="HM944" s="1273"/>
      <c r="HN944" s="1273"/>
      <c r="HO944" s="1273"/>
      <c r="HP944" s="1273"/>
      <c r="HQ944" s="1273"/>
      <c r="HR944" s="1273"/>
      <c r="HS944" s="1273"/>
      <c r="HT944" s="1273"/>
      <c r="HU944" s="1273"/>
      <c r="HV944" s="1273"/>
      <c r="HW944" s="1273"/>
      <c r="HX944" s="1273"/>
      <c r="HY944" s="1273"/>
      <c r="HZ944" s="1273"/>
      <c r="IA944" s="1273"/>
      <c r="IB944" s="1273"/>
      <c r="IC944" s="1273"/>
      <c r="ID944" s="1273"/>
      <c r="IE944" s="1273"/>
      <c r="IF944" s="1273"/>
      <c r="IG944" s="1273"/>
      <c r="IH944" s="1273"/>
      <c r="II944" s="1273"/>
      <c r="IJ944" s="1273"/>
      <c r="IK944" s="1273"/>
      <c r="IL944" s="1273"/>
      <c r="IM944" s="1273"/>
      <c r="IN944" s="1273"/>
      <c r="IO944" s="1273"/>
      <c r="IP944" s="1273"/>
      <c r="IQ944" s="1273"/>
      <c r="IR944" s="1273"/>
      <c r="IS944" s="1273"/>
      <c r="IT944" s="1273"/>
      <c r="IU944" s="1273"/>
      <c r="IV944" s="1273"/>
      <c r="IW944" s="1273"/>
      <c r="IX944" s="1273"/>
      <c r="IY944" s="1273"/>
      <c r="IZ944" s="1273"/>
      <c r="JA944" s="1273"/>
      <c r="JB944" s="1273"/>
      <c r="JC944" s="1273"/>
      <c r="JD944" s="1273"/>
      <c r="JE944" s="1273"/>
      <c r="JF944" s="1273"/>
      <c r="JG944" s="1273"/>
      <c r="JH944" s="1273"/>
      <c r="JI944" s="1273"/>
      <c r="JJ944" s="1273"/>
      <c r="JK944" s="1273"/>
      <c r="JL944" s="1273"/>
      <c r="JM944" s="1273"/>
      <c r="JN944" s="1273"/>
      <c r="JO944" s="1273"/>
      <c r="JP944" s="1273"/>
      <c r="JQ944" s="1273"/>
      <c r="JR944" s="1273"/>
      <c r="JS944" s="1273"/>
      <c r="JT944" s="1273"/>
      <c r="JU944" s="1273"/>
      <c r="JV944" s="1273"/>
      <c r="JW944" s="1273"/>
      <c r="JX944" s="1273"/>
      <c r="JY944" s="1273"/>
      <c r="JZ944" s="1273"/>
      <c r="KA944" s="1273"/>
      <c r="KB944" s="1273"/>
      <c r="KC944" s="1273"/>
      <c r="KD944" s="1273"/>
      <c r="KE944" s="1273"/>
      <c r="KF944" s="1273"/>
      <c r="KG944" s="1273"/>
      <c r="KH944" s="1273"/>
      <c r="KI944" s="1273"/>
      <c r="KJ944" s="1273"/>
      <c r="KK944" s="1273"/>
      <c r="KL944" s="1273"/>
      <c r="KM944" s="1273"/>
      <c r="KN944" s="1273"/>
      <c r="KO944" s="1273"/>
      <c r="KP944" s="1273"/>
      <c r="KQ944" s="1273"/>
      <c r="KR944" s="1273"/>
      <c r="KS944" s="1273"/>
      <c r="KT944" s="1273"/>
      <c r="KU944" s="1273"/>
      <c r="KV944" s="1273"/>
      <c r="KW944" s="1273"/>
      <c r="KX944" s="1273"/>
      <c r="KY944" s="1273"/>
      <c r="KZ944" s="1273"/>
      <c r="LA944" s="1273"/>
      <c r="LB944" s="1273"/>
      <c r="LC944" s="1273"/>
      <c r="LD944" s="1273"/>
      <c r="LE944" s="1273"/>
      <c r="LF944" s="1273"/>
      <c r="LG944" s="1273"/>
      <c r="LH944" s="1273"/>
      <c r="LI944" s="1273"/>
      <c r="LJ944" s="1273"/>
      <c r="LK944" s="1273"/>
      <c r="LL944" s="1273"/>
      <c r="LM944" s="1273"/>
      <c r="LN944" s="1273"/>
      <c r="LO944" s="1273"/>
      <c r="LP944" s="1273"/>
      <c r="LQ944" s="1273"/>
      <c r="LR944" s="1273"/>
      <c r="LS944" s="1273"/>
      <c r="LT944" s="1273"/>
      <c r="LU944" s="1273"/>
      <c r="LV944" s="1273"/>
      <c r="LW944" s="1273"/>
      <c r="LX944" s="1273"/>
      <c r="LY944" s="1273"/>
      <c r="LZ944" s="1273"/>
      <c r="MA944" s="1273"/>
      <c r="MB944" s="1273"/>
      <c r="MC944" s="1273"/>
      <c r="MD944" s="1273"/>
      <c r="ME944" s="1273"/>
      <c r="MF944" s="1273"/>
      <c r="MG944" s="1273"/>
      <c r="MH944" s="1273"/>
      <c r="MI944" s="1273"/>
      <c r="MJ944" s="1273"/>
      <c r="MK944" s="1273"/>
      <c r="ML944" s="1273"/>
      <c r="MM944" s="1273"/>
      <c r="MN944" s="1273"/>
      <c r="MO944" s="1273"/>
      <c r="MP944" s="1273"/>
      <c r="MQ944" s="1273"/>
      <c r="MR944" s="1273"/>
      <c r="MS944" s="1273"/>
      <c r="MT944" s="1273"/>
      <c r="MU944" s="1273"/>
      <c r="MV944" s="1273"/>
      <c r="MW944" s="1273"/>
      <c r="MX944" s="1273"/>
      <c r="MY944" s="1273"/>
      <c r="MZ944" s="1273"/>
      <c r="NA944" s="1273"/>
      <c r="NB944" s="1273"/>
      <c r="NC944" s="1273"/>
      <c r="ND944" s="1273"/>
      <c r="NE944" s="1273"/>
      <c r="NF944" s="1273"/>
      <c r="NG944" s="1273"/>
      <c r="NH944" s="1273"/>
      <c r="NI944" s="1273"/>
      <c r="NJ944" s="1273"/>
      <c r="NK944" s="1273"/>
      <c r="NL944" s="1273"/>
      <c r="NM944" s="1273"/>
      <c r="NN944" s="1273"/>
      <c r="NO944" s="1273"/>
      <c r="NP944" s="1273"/>
      <c r="NQ944" s="1273"/>
      <c r="NR944" s="1273"/>
      <c r="NS944" s="1273"/>
      <c r="NT944" s="1273"/>
      <c r="NU944" s="1273"/>
      <c r="NV944" s="1273"/>
      <c r="NW944" s="1273"/>
      <c r="NX944" s="1273"/>
      <c r="NY944" s="1273"/>
      <c r="NZ944" s="1273"/>
      <c r="OA944" s="1273"/>
      <c r="OB944" s="1273"/>
      <c r="OC944" s="1273"/>
      <c r="OD944" s="1273"/>
      <c r="OE944" s="1273"/>
      <c r="OF944" s="1273"/>
      <c r="OG944" s="1273"/>
      <c r="OH944" s="1273"/>
      <c r="OI944" s="1273"/>
      <c r="OJ944" s="1273"/>
      <c r="OK944" s="1273"/>
      <c r="OL944" s="1273"/>
      <c r="OM944" s="1273"/>
      <c r="ON944" s="1273"/>
      <c r="OO944" s="1273"/>
      <c r="OP944" s="1273"/>
      <c r="OQ944" s="1273"/>
      <c r="OR944" s="1273"/>
      <c r="OS944" s="1273"/>
      <c r="OT944" s="1273"/>
      <c r="OU944" s="1273"/>
      <c r="OV944" s="1273"/>
      <c r="OW944" s="1273"/>
      <c r="OX944" s="1273"/>
      <c r="OY944" s="1273"/>
      <c r="OZ944" s="1273"/>
      <c r="PA944" s="1273"/>
      <c r="PB944" s="1273"/>
      <c r="PC944" s="1273"/>
      <c r="PD944" s="1273"/>
      <c r="PE944" s="1273"/>
      <c r="PF944" s="1273"/>
      <c r="PG944" s="1273"/>
      <c r="PH944" s="1273"/>
      <c r="PI944" s="1273"/>
      <c r="PJ944" s="1273"/>
      <c r="PK944" s="1273"/>
      <c r="PL944" s="1273"/>
      <c r="PM944" s="1273"/>
      <c r="PN944" s="1273"/>
      <c r="PO944" s="1273"/>
      <c r="PP944" s="1273"/>
      <c r="PQ944" s="1273"/>
      <c r="PR944" s="1273"/>
      <c r="PS944" s="1273"/>
      <c r="PT944" s="1273"/>
      <c r="PU944" s="1273"/>
      <c r="PV944" s="1273"/>
      <c r="PW944" s="1273"/>
      <c r="PX944" s="1273"/>
      <c r="PY944" s="1273"/>
      <c r="PZ944" s="1273"/>
      <c r="QA944" s="1273"/>
      <c r="QB944" s="1273"/>
      <c r="QC944" s="1273"/>
      <c r="QD944" s="1273"/>
      <c r="QE944" s="1273"/>
      <c r="QF944" s="1273"/>
      <c r="QG944" s="1273"/>
      <c r="QH944" s="1273"/>
      <c r="QI944" s="1273"/>
      <c r="QJ944" s="1273"/>
      <c r="QK944" s="1273"/>
      <c r="QL944" s="1273"/>
      <c r="QM944" s="1273"/>
      <c r="QN944" s="1273"/>
      <c r="QO944" s="1273"/>
      <c r="QP944" s="1273"/>
      <c r="QQ944" s="1273"/>
      <c r="QR944" s="1273"/>
      <c r="QS944" s="1273"/>
      <c r="QT944" s="1273"/>
      <c r="QU944" s="1273"/>
      <c r="QV944" s="1273"/>
      <c r="QW944" s="1273"/>
      <c r="QX944" s="1273"/>
      <c r="QY944" s="1273"/>
      <c r="QZ944" s="1273"/>
      <c r="RA944" s="1273"/>
      <c r="RB944" s="1273"/>
      <c r="RC944" s="1273"/>
      <c r="RD944" s="1273"/>
      <c r="RE944" s="1273"/>
      <c r="RF944" s="1273"/>
      <c r="RG944" s="1273"/>
      <c r="RH944" s="1273"/>
      <c r="RI944" s="1273"/>
      <c r="RJ944" s="1273"/>
      <c r="RK944" s="1273"/>
      <c r="RL944" s="1273"/>
      <c r="RM944" s="1273"/>
      <c r="RN944" s="1273"/>
      <c r="RO944" s="1273"/>
      <c r="RP944" s="1273"/>
      <c r="RQ944" s="1273"/>
      <c r="RR944" s="1273"/>
      <c r="RS944" s="1273"/>
      <c r="RT944" s="1273"/>
      <c r="RU944" s="1273"/>
      <c r="RV944" s="1273"/>
      <c r="RW944" s="1273"/>
      <c r="RX944" s="1273"/>
      <c r="RY944" s="1273"/>
      <c r="RZ944" s="1273"/>
      <c r="SA944" s="1273"/>
      <c r="SB944" s="1273"/>
      <c r="SC944" s="1273"/>
      <c r="SD944" s="1273"/>
      <c r="SE944" s="1273"/>
      <c r="SF944" s="1273"/>
      <c r="SG944" s="1273"/>
      <c r="SH944" s="1273"/>
      <c r="SI944" s="1273"/>
      <c r="SJ944" s="1273"/>
      <c r="SK944" s="1273"/>
      <c r="SL944" s="1273"/>
      <c r="SM944" s="1273"/>
      <c r="SN944" s="1273"/>
      <c r="SO944" s="1273"/>
      <c r="SP944" s="1273"/>
      <c r="SQ944" s="1273"/>
      <c r="SR944" s="1273"/>
      <c r="SS944" s="1273"/>
      <c r="ST944" s="1273"/>
      <c r="SU944" s="1273"/>
      <c r="SV944" s="1273"/>
      <c r="SW944" s="1273"/>
      <c r="SX944" s="1273"/>
      <c r="SY944" s="1273"/>
      <c r="SZ944" s="1273"/>
      <c r="TA944" s="1273"/>
      <c r="TB944" s="1273"/>
      <c r="TC944" s="1273"/>
      <c r="TD944" s="1273"/>
      <c r="TE944" s="1273"/>
      <c r="TF944" s="1273"/>
      <c r="TG944" s="1273"/>
      <c r="TH944" s="1273"/>
      <c r="TI944" s="1273"/>
      <c r="TJ944" s="1273"/>
      <c r="TK944" s="1273"/>
      <c r="TL944" s="1273"/>
      <c r="TM944" s="1273"/>
      <c r="TN944" s="1273"/>
      <c r="TO944" s="1273"/>
      <c r="TP944" s="1273"/>
      <c r="TQ944" s="1273"/>
      <c r="TR944" s="1273"/>
      <c r="TS944" s="1273"/>
      <c r="TT944" s="1273"/>
      <c r="TU944" s="1273"/>
      <c r="TV944" s="1273"/>
      <c r="TW944" s="1273"/>
      <c r="TX944" s="1273"/>
      <c r="TY944" s="1273"/>
      <c r="TZ944" s="1273"/>
      <c r="UA944" s="1273"/>
      <c r="UB944" s="1273"/>
      <c r="UC944" s="1273"/>
      <c r="UD944" s="1273"/>
      <c r="UE944" s="1273"/>
      <c r="UF944" s="1273"/>
      <c r="UG944" s="1274"/>
    </row>
    <row r="945" spans="1:553" s="1275" customFormat="1" ht="34.15" customHeight="1">
      <c r="A945" s="414"/>
      <c r="B945" s="414"/>
      <c r="C945" s="1428" t="s">
        <v>466</v>
      </c>
      <c r="D945" s="1429"/>
      <c r="E945" s="1429"/>
      <c r="F945" s="1430"/>
      <c r="G945" s="1010" t="s">
        <v>46</v>
      </c>
      <c r="H945" s="528"/>
      <c r="I945" s="1311">
        <f>(31.98*100/400)*(17-(4-3))*1</f>
        <v>127.92</v>
      </c>
      <c r="J945" s="512">
        <v>5800</v>
      </c>
      <c r="K945" s="715">
        <v>0.7</v>
      </c>
      <c r="L945" s="1290">
        <f>I945*J945*K945</f>
        <v>519355.19999999995</v>
      </c>
      <c r="M945" s="444"/>
      <c r="N945" s="444"/>
      <c r="O945" s="444"/>
      <c r="P945" s="444"/>
      <c r="Q945" s="1251"/>
      <c r="R945" s="1253"/>
      <c r="S945" s="308"/>
      <c r="T945" s="308"/>
      <c r="U945" s="308"/>
      <c r="V945" s="308"/>
      <c r="W945" s="308"/>
      <c r="X945" s="308"/>
      <c r="Y945" s="308"/>
      <c r="Z945" s="604"/>
      <c r="AA945" s="308"/>
      <c r="AB945" s="308"/>
      <c r="AC945" s="687"/>
      <c r="AD945" s="687"/>
      <c r="AE945" s="687"/>
      <c r="AF945" s="687"/>
      <c r="AG945" s="687"/>
      <c r="AH945" s="687"/>
      <c r="AI945" s="687"/>
      <c r="AJ945" s="687"/>
      <c r="AK945" s="688"/>
      <c r="AL945" s="1273"/>
      <c r="AM945" s="1273"/>
      <c r="AN945" s="1273"/>
      <c r="AO945" s="1273"/>
      <c r="AP945" s="1273"/>
      <c r="AQ945" s="1273"/>
      <c r="AR945" s="1273"/>
      <c r="AS945" s="1273"/>
      <c r="AT945" s="1273"/>
      <c r="AU945" s="1273"/>
      <c r="AV945" s="1273"/>
      <c r="AW945" s="1273"/>
      <c r="AX945" s="1273"/>
      <c r="AY945" s="1273"/>
      <c r="AZ945" s="1273"/>
      <c r="BA945" s="1273"/>
      <c r="BB945" s="1273"/>
      <c r="BC945" s="1273"/>
      <c r="BD945" s="1273"/>
      <c r="BE945" s="1273"/>
      <c r="BF945" s="1273"/>
      <c r="BG945" s="1273"/>
      <c r="BH945" s="1273"/>
      <c r="BI945" s="1273"/>
      <c r="BJ945" s="1273"/>
      <c r="BK945" s="1273"/>
      <c r="BL945" s="1273"/>
      <c r="BM945" s="1273"/>
      <c r="BN945" s="1273"/>
      <c r="BO945" s="1273"/>
      <c r="BP945" s="1273"/>
      <c r="BQ945" s="1273"/>
      <c r="BR945" s="1273"/>
      <c r="BS945" s="1273"/>
      <c r="BT945" s="1273"/>
      <c r="BU945" s="1273"/>
      <c r="BV945" s="1273"/>
      <c r="BW945" s="1273"/>
      <c r="BX945" s="1273"/>
      <c r="BY945" s="1273"/>
      <c r="BZ945" s="1273"/>
      <c r="CA945" s="1273"/>
      <c r="CB945" s="1273"/>
      <c r="CC945" s="1273"/>
      <c r="CD945" s="1273"/>
      <c r="CE945" s="1273"/>
      <c r="CF945" s="1273"/>
      <c r="CG945" s="1273"/>
      <c r="CH945" s="1273"/>
      <c r="CI945" s="1273"/>
      <c r="CJ945" s="1273"/>
      <c r="CK945" s="1273"/>
      <c r="CL945" s="1273"/>
      <c r="CM945" s="1273"/>
      <c r="CN945" s="1273"/>
      <c r="CO945" s="1273"/>
      <c r="CP945" s="1273"/>
      <c r="CQ945" s="1273"/>
      <c r="CR945" s="1273"/>
      <c r="CS945" s="1273"/>
      <c r="CT945" s="1273"/>
      <c r="CU945" s="1273"/>
      <c r="CV945" s="1273"/>
      <c r="CW945" s="1273"/>
      <c r="CX945" s="1273"/>
      <c r="CY945" s="1273"/>
      <c r="CZ945" s="1273"/>
      <c r="DA945" s="1273"/>
      <c r="DB945" s="1273"/>
      <c r="DC945" s="1273"/>
      <c r="DD945" s="1273"/>
      <c r="DE945" s="1273"/>
      <c r="DF945" s="1273"/>
      <c r="DG945" s="1273"/>
      <c r="DH945" s="1273"/>
      <c r="DI945" s="1273"/>
      <c r="DJ945" s="1273"/>
      <c r="DK945" s="1273"/>
      <c r="DL945" s="1273"/>
      <c r="DM945" s="1273"/>
      <c r="DN945" s="1273"/>
      <c r="DO945" s="1273"/>
      <c r="DP945" s="1273"/>
      <c r="DQ945" s="1273"/>
      <c r="DR945" s="1273"/>
      <c r="DS945" s="1273"/>
      <c r="DT945" s="1273"/>
      <c r="DU945" s="1273"/>
      <c r="DV945" s="1273"/>
      <c r="DW945" s="1273"/>
      <c r="DX945" s="1273"/>
      <c r="DY945" s="1273"/>
      <c r="DZ945" s="1273"/>
      <c r="EA945" s="1273"/>
      <c r="EB945" s="1273"/>
      <c r="EC945" s="1273"/>
      <c r="ED945" s="1273"/>
      <c r="EE945" s="1273"/>
      <c r="EF945" s="1273"/>
      <c r="EG945" s="1273"/>
      <c r="EH945" s="1273"/>
      <c r="EI945" s="1273"/>
      <c r="EJ945" s="1273"/>
      <c r="EK945" s="1273"/>
      <c r="EL945" s="1273"/>
      <c r="EM945" s="1273"/>
      <c r="EN945" s="1273"/>
      <c r="EO945" s="1273"/>
      <c r="EP945" s="1273"/>
      <c r="EQ945" s="1273"/>
      <c r="ER945" s="1273"/>
      <c r="ES945" s="1273"/>
      <c r="ET945" s="1273"/>
      <c r="EU945" s="1273"/>
      <c r="EV945" s="1273"/>
      <c r="EW945" s="1273"/>
      <c r="EX945" s="1273"/>
      <c r="EY945" s="1273"/>
      <c r="EZ945" s="1273"/>
      <c r="FA945" s="1273"/>
      <c r="FB945" s="1273"/>
      <c r="FC945" s="1273"/>
      <c r="FD945" s="1273"/>
      <c r="FE945" s="1273"/>
      <c r="FF945" s="1273"/>
      <c r="FG945" s="1273"/>
      <c r="FH945" s="1273"/>
      <c r="FI945" s="1273"/>
      <c r="FJ945" s="1273"/>
      <c r="FK945" s="1273"/>
      <c r="FL945" s="1273"/>
      <c r="FM945" s="1273"/>
      <c r="FN945" s="1273"/>
      <c r="FO945" s="1273"/>
      <c r="FP945" s="1273"/>
      <c r="FQ945" s="1273"/>
      <c r="FR945" s="1273"/>
      <c r="FS945" s="1273"/>
      <c r="FT945" s="1273"/>
      <c r="FU945" s="1273"/>
      <c r="FV945" s="1273"/>
      <c r="FW945" s="1273"/>
      <c r="FX945" s="1273"/>
      <c r="FY945" s="1273"/>
      <c r="FZ945" s="1273"/>
      <c r="GA945" s="1273"/>
      <c r="GB945" s="1273"/>
      <c r="GC945" s="1273"/>
      <c r="GD945" s="1273"/>
      <c r="GE945" s="1273"/>
      <c r="GF945" s="1273"/>
      <c r="GG945" s="1273"/>
      <c r="GH945" s="1273"/>
      <c r="GI945" s="1273"/>
      <c r="GJ945" s="1273"/>
      <c r="GK945" s="1273"/>
      <c r="GL945" s="1273"/>
      <c r="GM945" s="1273"/>
      <c r="GN945" s="1273"/>
      <c r="GO945" s="1273"/>
      <c r="GP945" s="1273"/>
      <c r="GQ945" s="1273"/>
      <c r="GR945" s="1273"/>
      <c r="GS945" s="1273"/>
      <c r="GT945" s="1273"/>
      <c r="GU945" s="1273"/>
      <c r="GV945" s="1273"/>
      <c r="GW945" s="1273"/>
      <c r="GX945" s="1273"/>
      <c r="GY945" s="1273"/>
      <c r="GZ945" s="1273"/>
      <c r="HA945" s="1273"/>
      <c r="HB945" s="1273"/>
      <c r="HC945" s="1273"/>
      <c r="HD945" s="1273"/>
      <c r="HE945" s="1273"/>
      <c r="HF945" s="1273"/>
      <c r="HG945" s="1273"/>
      <c r="HH945" s="1273"/>
      <c r="HI945" s="1273"/>
      <c r="HJ945" s="1273"/>
      <c r="HK945" s="1273"/>
      <c r="HL945" s="1273"/>
      <c r="HM945" s="1273"/>
      <c r="HN945" s="1273"/>
      <c r="HO945" s="1273"/>
      <c r="HP945" s="1273"/>
      <c r="HQ945" s="1273"/>
      <c r="HR945" s="1273"/>
      <c r="HS945" s="1273"/>
      <c r="HT945" s="1273"/>
      <c r="HU945" s="1273"/>
      <c r="HV945" s="1273"/>
      <c r="HW945" s="1273"/>
      <c r="HX945" s="1273"/>
      <c r="HY945" s="1273"/>
      <c r="HZ945" s="1273"/>
      <c r="IA945" s="1273"/>
      <c r="IB945" s="1273"/>
      <c r="IC945" s="1273"/>
      <c r="ID945" s="1273"/>
      <c r="IE945" s="1273"/>
      <c r="IF945" s="1273"/>
      <c r="IG945" s="1273"/>
      <c r="IH945" s="1273"/>
      <c r="II945" s="1273"/>
      <c r="IJ945" s="1273"/>
      <c r="IK945" s="1273"/>
      <c r="IL945" s="1273"/>
      <c r="IM945" s="1273"/>
      <c r="IN945" s="1273"/>
      <c r="IO945" s="1273"/>
      <c r="IP945" s="1273"/>
      <c r="IQ945" s="1273"/>
      <c r="IR945" s="1273"/>
      <c r="IS945" s="1273"/>
      <c r="IT945" s="1273"/>
      <c r="IU945" s="1273"/>
      <c r="IV945" s="1273"/>
      <c r="IW945" s="1273"/>
      <c r="IX945" s="1273"/>
      <c r="IY945" s="1273"/>
      <c r="IZ945" s="1273"/>
      <c r="JA945" s="1273"/>
      <c r="JB945" s="1273"/>
      <c r="JC945" s="1273"/>
      <c r="JD945" s="1273"/>
      <c r="JE945" s="1273"/>
      <c r="JF945" s="1273"/>
      <c r="JG945" s="1273"/>
      <c r="JH945" s="1273"/>
      <c r="JI945" s="1273"/>
      <c r="JJ945" s="1273"/>
      <c r="JK945" s="1273"/>
      <c r="JL945" s="1273"/>
      <c r="JM945" s="1273"/>
      <c r="JN945" s="1273"/>
      <c r="JO945" s="1273"/>
      <c r="JP945" s="1273"/>
      <c r="JQ945" s="1273"/>
      <c r="JR945" s="1273"/>
      <c r="JS945" s="1273"/>
      <c r="JT945" s="1273"/>
      <c r="JU945" s="1273"/>
      <c r="JV945" s="1273"/>
      <c r="JW945" s="1273"/>
      <c r="JX945" s="1273"/>
      <c r="JY945" s="1273"/>
      <c r="JZ945" s="1273"/>
      <c r="KA945" s="1273"/>
      <c r="KB945" s="1273"/>
      <c r="KC945" s="1273"/>
      <c r="KD945" s="1273"/>
      <c r="KE945" s="1273"/>
      <c r="KF945" s="1273"/>
      <c r="KG945" s="1273"/>
      <c r="KH945" s="1273"/>
      <c r="KI945" s="1273"/>
      <c r="KJ945" s="1273"/>
      <c r="KK945" s="1273"/>
      <c r="KL945" s="1273"/>
      <c r="KM945" s="1273"/>
      <c r="KN945" s="1273"/>
      <c r="KO945" s="1273"/>
      <c r="KP945" s="1273"/>
      <c r="KQ945" s="1273"/>
      <c r="KR945" s="1273"/>
      <c r="KS945" s="1273"/>
      <c r="KT945" s="1273"/>
      <c r="KU945" s="1273"/>
      <c r="KV945" s="1273"/>
      <c r="KW945" s="1273"/>
      <c r="KX945" s="1273"/>
      <c r="KY945" s="1273"/>
      <c r="KZ945" s="1273"/>
      <c r="LA945" s="1273"/>
      <c r="LB945" s="1273"/>
      <c r="LC945" s="1273"/>
      <c r="LD945" s="1273"/>
      <c r="LE945" s="1273"/>
      <c r="LF945" s="1273"/>
      <c r="LG945" s="1273"/>
      <c r="LH945" s="1273"/>
      <c r="LI945" s="1273"/>
      <c r="LJ945" s="1273"/>
      <c r="LK945" s="1273"/>
      <c r="LL945" s="1273"/>
      <c r="LM945" s="1273"/>
      <c r="LN945" s="1273"/>
      <c r="LO945" s="1273"/>
      <c r="LP945" s="1273"/>
      <c r="LQ945" s="1273"/>
      <c r="LR945" s="1273"/>
      <c r="LS945" s="1273"/>
      <c r="LT945" s="1273"/>
      <c r="LU945" s="1273"/>
      <c r="LV945" s="1273"/>
      <c r="LW945" s="1273"/>
      <c r="LX945" s="1273"/>
      <c r="LY945" s="1273"/>
      <c r="LZ945" s="1273"/>
      <c r="MA945" s="1273"/>
      <c r="MB945" s="1273"/>
      <c r="MC945" s="1273"/>
      <c r="MD945" s="1273"/>
      <c r="ME945" s="1273"/>
      <c r="MF945" s="1273"/>
      <c r="MG945" s="1273"/>
      <c r="MH945" s="1273"/>
      <c r="MI945" s="1273"/>
      <c r="MJ945" s="1273"/>
      <c r="MK945" s="1273"/>
      <c r="ML945" s="1273"/>
      <c r="MM945" s="1273"/>
      <c r="MN945" s="1273"/>
      <c r="MO945" s="1273"/>
      <c r="MP945" s="1273"/>
      <c r="MQ945" s="1273"/>
      <c r="MR945" s="1273"/>
      <c r="MS945" s="1273"/>
      <c r="MT945" s="1273"/>
      <c r="MU945" s="1273"/>
      <c r="MV945" s="1273"/>
      <c r="MW945" s="1273"/>
      <c r="MX945" s="1273"/>
      <c r="MY945" s="1273"/>
      <c r="MZ945" s="1273"/>
      <c r="NA945" s="1273"/>
      <c r="NB945" s="1273"/>
      <c r="NC945" s="1273"/>
      <c r="ND945" s="1273"/>
      <c r="NE945" s="1273"/>
      <c r="NF945" s="1273"/>
      <c r="NG945" s="1273"/>
      <c r="NH945" s="1273"/>
      <c r="NI945" s="1273"/>
      <c r="NJ945" s="1273"/>
      <c r="NK945" s="1273"/>
      <c r="NL945" s="1273"/>
      <c r="NM945" s="1273"/>
      <c r="NN945" s="1273"/>
      <c r="NO945" s="1273"/>
      <c r="NP945" s="1273"/>
      <c r="NQ945" s="1273"/>
      <c r="NR945" s="1273"/>
      <c r="NS945" s="1273"/>
      <c r="NT945" s="1273"/>
      <c r="NU945" s="1273"/>
      <c r="NV945" s="1273"/>
      <c r="NW945" s="1273"/>
      <c r="NX945" s="1273"/>
      <c r="NY945" s="1273"/>
      <c r="NZ945" s="1273"/>
      <c r="OA945" s="1273"/>
      <c r="OB945" s="1273"/>
      <c r="OC945" s="1273"/>
      <c r="OD945" s="1273"/>
      <c r="OE945" s="1273"/>
      <c r="OF945" s="1273"/>
      <c r="OG945" s="1273"/>
      <c r="OH945" s="1273"/>
      <c r="OI945" s="1273"/>
      <c r="OJ945" s="1273"/>
      <c r="OK945" s="1273"/>
      <c r="OL945" s="1273"/>
      <c r="OM945" s="1273"/>
      <c r="ON945" s="1273"/>
      <c r="OO945" s="1273"/>
      <c r="OP945" s="1273"/>
      <c r="OQ945" s="1273"/>
      <c r="OR945" s="1273"/>
      <c r="OS945" s="1273"/>
      <c r="OT945" s="1273"/>
      <c r="OU945" s="1273"/>
      <c r="OV945" s="1273"/>
      <c r="OW945" s="1273"/>
      <c r="OX945" s="1273"/>
      <c r="OY945" s="1273"/>
      <c r="OZ945" s="1273"/>
      <c r="PA945" s="1273"/>
      <c r="PB945" s="1273"/>
      <c r="PC945" s="1273"/>
      <c r="PD945" s="1273"/>
      <c r="PE945" s="1273"/>
      <c r="PF945" s="1273"/>
      <c r="PG945" s="1273"/>
      <c r="PH945" s="1273"/>
      <c r="PI945" s="1273"/>
      <c r="PJ945" s="1273"/>
      <c r="PK945" s="1273"/>
      <c r="PL945" s="1273"/>
      <c r="PM945" s="1273"/>
      <c r="PN945" s="1273"/>
      <c r="PO945" s="1273"/>
      <c r="PP945" s="1273"/>
      <c r="PQ945" s="1273"/>
      <c r="PR945" s="1273"/>
      <c r="PS945" s="1273"/>
      <c r="PT945" s="1273"/>
      <c r="PU945" s="1273"/>
      <c r="PV945" s="1273"/>
      <c r="PW945" s="1273"/>
      <c r="PX945" s="1273"/>
      <c r="PY945" s="1273"/>
      <c r="PZ945" s="1273"/>
      <c r="QA945" s="1273"/>
      <c r="QB945" s="1273"/>
      <c r="QC945" s="1273"/>
      <c r="QD945" s="1273"/>
      <c r="QE945" s="1273"/>
      <c r="QF945" s="1273"/>
      <c r="QG945" s="1273"/>
      <c r="QH945" s="1273"/>
      <c r="QI945" s="1273"/>
      <c r="QJ945" s="1273"/>
      <c r="QK945" s="1273"/>
      <c r="QL945" s="1273"/>
      <c r="QM945" s="1273"/>
      <c r="QN945" s="1273"/>
      <c r="QO945" s="1273"/>
      <c r="QP945" s="1273"/>
      <c r="QQ945" s="1273"/>
      <c r="QR945" s="1273"/>
      <c r="QS945" s="1273"/>
      <c r="QT945" s="1273"/>
      <c r="QU945" s="1273"/>
      <c r="QV945" s="1273"/>
      <c r="QW945" s="1273"/>
      <c r="QX945" s="1273"/>
      <c r="QY945" s="1273"/>
      <c r="QZ945" s="1273"/>
      <c r="RA945" s="1273"/>
      <c r="RB945" s="1273"/>
      <c r="RC945" s="1273"/>
      <c r="RD945" s="1273"/>
      <c r="RE945" s="1273"/>
      <c r="RF945" s="1273"/>
      <c r="RG945" s="1273"/>
      <c r="RH945" s="1273"/>
      <c r="RI945" s="1273"/>
      <c r="RJ945" s="1273"/>
      <c r="RK945" s="1273"/>
      <c r="RL945" s="1273"/>
      <c r="RM945" s="1273"/>
      <c r="RN945" s="1273"/>
      <c r="RO945" s="1273"/>
      <c r="RP945" s="1273"/>
      <c r="RQ945" s="1273"/>
      <c r="RR945" s="1273"/>
      <c r="RS945" s="1273"/>
      <c r="RT945" s="1273"/>
      <c r="RU945" s="1273"/>
      <c r="RV945" s="1273"/>
      <c r="RW945" s="1273"/>
      <c r="RX945" s="1273"/>
      <c r="RY945" s="1273"/>
      <c r="RZ945" s="1273"/>
      <c r="SA945" s="1273"/>
      <c r="SB945" s="1273"/>
      <c r="SC945" s="1273"/>
      <c r="SD945" s="1273"/>
      <c r="SE945" s="1273"/>
      <c r="SF945" s="1273"/>
      <c r="SG945" s="1273"/>
      <c r="SH945" s="1273"/>
      <c r="SI945" s="1273"/>
      <c r="SJ945" s="1273"/>
      <c r="SK945" s="1273"/>
      <c r="SL945" s="1273"/>
      <c r="SM945" s="1273"/>
      <c r="SN945" s="1273"/>
      <c r="SO945" s="1273"/>
      <c r="SP945" s="1273"/>
      <c r="SQ945" s="1273"/>
      <c r="SR945" s="1273"/>
      <c r="SS945" s="1273"/>
      <c r="ST945" s="1273"/>
      <c r="SU945" s="1273"/>
      <c r="SV945" s="1273"/>
      <c r="SW945" s="1273"/>
      <c r="SX945" s="1273"/>
      <c r="SY945" s="1273"/>
      <c r="SZ945" s="1273"/>
      <c r="TA945" s="1273"/>
      <c r="TB945" s="1273"/>
      <c r="TC945" s="1273"/>
      <c r="TD945" s="1273"/>
      <c r="TE945" s="1273"/>
      <c r="TF945" s="1273"/>
      <c r="TG945" s="1273"/>
      <c r="TH945" s="1273"/>
      <c r="TI945" s="1273"/>
      <c r="TJ945" s="1273"/>
      <c r="TK945" s="1273"/>
      <c r="TL945" s="1273"/>
      <c r="TM945" s="1273"/>
      <c r="TN945" s="1273"/>
      <c r="TO945" s="1273"/>
      <c r="TP945" s="1273"/>
      <c r="TQ945" s="1273"/>
      <c r="TR945" s="1273"/>
      <c r="TS945" s="1273"/>
      <c r="TT945" s="1273"/>
      <c r="TU945" s="1273"/>
      <c r="TV945" s="1273"/>
      <c r="TW945" s="1273"/>
      <c r="TX945" s="1273"/>
      <c r="TY945" s="1273"/>
      <c r="TZ945" s="1273"/>
      <c r="UA945" s="1273"/>
      <c r="UB945" s="1273"/>
      <c r="UC945" s="1273"/>
      <c r="UD945" s="1273"/>
      <c r="UE945" s="1273"/>
      <c r="UF945" s="1273"/>
      <c r="UG945" s="1274"/>
    </row>
    <row r="946" spans="1:553" s="1275" customFormat="1" ht="34.15" customHeight="1">
      <c r="A946" s="356"/>
      <c r="B946" s="356"/>
      <c r="C946" s="1619" t="s">
        <v>842</v>
      </c>
      <c r="D946" s="1620"/>
      <c r="E946" s="1620"/>
      <c r="F946" s="1621"/>
      <c r="G946" s="372" t="s">
        <v>46</v>
      </c>
      <c r="H946" s="502"/>
      <c r="I946" s="1072">
        <f>(31.98*100/400)*(17-(8-3))*1</f>
        <v>95.94</v>
      </c>
      <c r="J946" s="1243">
        <v>5800</v>
      </c>
      <c r="K946" s="716">
        <v>0.7</v>
      </c>
      <c r="L946" s="369">
        <f>I946*J946*K946</f>
        <v>389516.39999999997</v>
      </c>
      <c r="M946" s="444"/>
      <c r="N946" s="444"/>
      <c r="O946" s="444"/>
      <c r="P946" s="444"/>
      <c r="Q946" s="1251"/>
      <c r="R946" s="1253"/>
      <c r="S946" s="308"/>
      <c r="T946" s="308"/>
      <c r="U946" s="308"/>
      <c r="V946" s="308"/>
      <c r="W946" s="308"/>
      <c r="X946" s="308"/>
      <c r="Y946" s="308"/>
      <c r="Z946" s="604"/>
      <c r="AA946" s="308"/>
      <c r="AB946" s="308"/>
      <c r="AC946" s="687"/>
      <c r="AD946" s="687"/>
      <c r="AE946" s="687"/>
      <c r="AF946" s="687"/>
      <c r="AG946" s="687"/>
      <c r="AH946" s="687"/>
      <c r="AI946" s="687"/>
      <c r="AJ946" s="687"/>
      <c r="AK946" s="688"/>
      <c r="AL946" s="1273"/>
      <c r="AM946" s="1273"/>
      <c r="AN946" s="1273"/>
      <c r="AO946" s="1273"/>
      <c r="AP946" s="1273"/>
      <c r="AQ946" s="1273"/>
      <c r="AR946" s="1273"/>
      <c r="AS946" s="1273"/>
      <c r="AT946" s="1273"/>
      <c r="AU946" s="1273"/>
      <c r="AV946" s="1273"/>
      <c r="AW946" s="1273"/>
      <c r="AX946" s="1273"/>
      <c r="AY946" s="1273"/>
      <c r="AZ946" s="1273"/>
      <c r="BA946" s="1273"/>
      <c r="BB946" s="1273"/>
      <c r="BC946" s="1273"/>
      <c r="BD946" s="1273"/>
      <c r="BE946" s="1273"/>
      <c r="BF946" s="1273"/>
      <c r="BG946" s="1273"/>
      <c r="BH946" s="1273"/>
      <c r="BI946" s="1273"/>
      <c r="BJ946" s="1273"/>
      <c r="BK946" s="1273"/>
      <c r="BL946" s="1273"/>
      <c r="BM946" s="1273"/>
      <c r="BN946" s="1273"/>
      <c r="BO946" s="1273"/>
      <c r="BP946" s="1273"/>
      <c r="BQ946" s="1273"/>
      <c r="BR946" s="1273"/>
      <c r="BS946" s="1273"/>
      <c r="BT946" s="1273"/>
      <c r="BU946" s="1273"/>
      <c r="BV946" s="1273"/>
      <c r="BW946" s="1273"/>
      <c r="BX946" s="1273"/>
      <c r="BY946" s="1273"/>
      <c r="BZ946" s="1273"/>
      <c r="CA946" s="1273"/>
      <c r="CB946" s="1273"/>
      <c r="CC946" s="1273"/>
      <c r="CD946" s="1273"/>
      <c r="CE946" s="1273"/>
      <c r="CF946" s="1273"/>
      <c r="CG946" s="1273"/>
      <c r="CH946" s="1273"/>
      <c r="CI946" s="1273"/>
      <c r="CJ946" s="1273"/>
      <c r="CK946" s="1273"/>
      <c r="CL946" s="1273"/>
      <c r="CM946" s="1273"/>
      <c r="CN946" s="1273"/>
      <c r="CO946" s="1273"/>
      <c r="CP946" s="1273"/>
      <c r="CQ946" s="1273"/>
      <c r="CR946" s="1273"/>
      <c r="CS946" s="1273"/>
      <c r="CT946" s="1273"/>
      <c r="CU946" s="1273"/>
      <c r="CV946" s="1273"/>
      <c r="CW946" s="1273"/>
      <c r="CX946" s="1273"/>
      <c r="CY946" s="1273"/>
      <c r="CZ946" s="1273"/>
      <c r="DA946" s="1273"/>
      <c r="DB946" s="1273"/>
      <c r="DC946" s="1273"/>
      <c r="DD946" s="1273"/>
      <c r="DE946" s="1273"/>
      <c r="DF946" s="1273"/>
      <c r="DG946" s="1273"/>
      <c r="DH946" s="1273"/>
      <c r="DI946" s="1273"/>
      <c r="DJ946" s="1273"/>
      <c r="DK946" s="1273"/>
      <c r="DL946" s="1273"/>
      <c r="DM946" s="1273"/>
      <c r="DN946" s="1273"/>
      <c r="DO946" s="1273"/>
      <c r="DP946" s="1273"/>
      <c r="DQ946" s="1273"/>
      <c r="DR946" s="1273"/>
      <c r="DS946" s="1273"/>
      <c r="DT946" s="1273"/>
      <c r="DU946" s="1273"/>
      <c r="DV946" s="1273"/>
      <c r="DW946" s="1273"/>
      <c r="DX946" s="1273"/>
      <c r="DY946" s="1273"/>
      <c r="DZ946" s="1273"/>
      <c r="EA946" s="1273"/>
      <c r="EB946" s="1273"/>
      <c r="EC946" s="1273"/>
      <c r="ED946" s="1273"/>
      <c r="EE946" s="1273"/>
      <c r="EF946" s="1273"/>
      <c r="EG946" s="1273"/>
      <c r="EH946" s="1273"/>
      <c r="EI946" s="1273"/>
      <c r="EJ946" s="1273"/>
      <c r="EK946" s="1273"/>
      <c r="EL946" s="1273"/>
      <c r="EM946" s="1273"/>
      <c r="EN946" s="1273"/>
      <c r="EO946" s="1273"/>
      <c r="EP946" s="1273"/>
      <c r="EQ946" s="1273"/>
      <c r="ER946" s="1273"/>
      <c r="ES946" s="1273"/>
      <c r="ET946" s="1273"/>
      <c r="EU946" s="1273"/>
      <c r="EV946" s="1273"/>
      <c r="EW946" s="1273"/>
      <c r="EX946" s="1273"/>
      <c r="EY946" s="1273"/>
      <c r="EZ946" s="1273"/>
      <c r="FA946" s="1273"/>
      <c r="FB946" s="1273"/>
      <c r="FC946" s="1273"/>
      <c r="FD946" s="1273"/>
      <c r="FE946" s="1273"/>
      <c r="FF946" s="1273"/>
      <c r="FG946" s="1273"/>
      <c r="FH946" s="1273"/>
      <c r="FI946" s="1273"/>
      <c r="FJ946" s="1273"/>
      <c r="FK946" s="1273"/>
      <c r="FL946" s="1273"/>
      <c r="FM946" s="1273"/>
      <c r="FN946" s="1273"/>
      <c r="FO946" s="1273"/>
      <c r="FP946" s="1273"/>
      <c r="FQ946" s="1273"/>
      <c r="FR946" s="1273"/>
      <c r="FS946" s="1273"/>
      <c r="FT946" s="1273"/>
      <c r="FU946" s="1273"/>
      <c r="FV946" s="1273"/>
      <c r="FW946" s="1273"/>
      <c r="FX946" s="1273"/>
      <c r="FY946" s="1273"/>
      <c r="FZ946" s="1273"/>
      <c r="GA946" s="1273"/>
      <c r="GB946" s="1273"/>
      <c r="GC946" s="1273"/>
      <c r="GD946" s="1273"/>
      <c r="GE946" s="1273"/>
      <c r="GF946" s="1273"/>
      <c r="GG946" s="1273"/>
      <c r="GH946" s="1273"/>
      <c r="GI946" s="1273"/>
      <c r="GJ946" s="1273"/>
      <c r="GK946" s="1273"/>
      <c r="GL946" s="1273"/>
      <c r="GM946" s="1273"/>
      <c r="GN946" s="1273"/>
      <c r="GO946" s="1273"/>
      <c r="GP946" s="1273"/>
      <c r="GQ946" s="1273"/>
      <c r="GR946" s="1273"/>
      <c r="GS946" s="1273"/>
      <c r="GT946" s="1273"/>
      <c r="GU946" s="1273"/>
      <c r="GV946" s="1273"/>
      <c r="GW946" s="1273"/>
      <c r="GX946" s="1273"/>
      <c r="GY946" s="1273"/>
      <c r="GZ946" s="1273"/>
      <c r="HA946" s="1273"/>
      <c r="HB946" s="1273"/>
      <c r="HC946" s="1273"/>
      <c r="HD946" s="1273"/>
      <c r="HE946" s="1273"/>
      <c r="HF946" s="1273"/>
      <c r="HG946" s="1273"/>
      <c r="HH946" s="1273"/>
      <c r="HI946" s="1273"/>
      <c r="HJ946" s="1273"/>
      <c r="HK946" s="1273"/>
      <c r="HL946" s="1273"/>
      <c r="HM946" s="1273"/>
      <c r="HN946" s="1273"/>
      <c r="HO946" s="1273"/>
      <c r="HP946" s="1273"/>
      <c r="HQ946" s="1273"/>
      <c r="HR946" s="1273"/>
      <c r="HS946" s="1273"/>
      <c r="HT946" s="1273"/>
      <c r="HU946" s="1273"/>
      <c r="HV946" s="1273"/>
      <c r="HW946" s="1273"/>
      <c r="HX946" s="1273"/>
      <c r="HY946" s="1273"/>
      <c r="HZ946" s="1273"/>
      <c r="IA946" s="1273"/>
      <c r="IB946" s="1273"/>
      <c r="IC946" s="1273"/>
      <c r="ID946" s="1273"/>
      <c r="IE946" s="1273"/>
      <c r="IF946" s="1273"/>
      <c r="IG946" s="1273"/>
      <c r="IH946" s="1273"/>
      <c r="II946" s="1273"/>
      <c r="IJ946" s="1273"/>
      <c r="IK946" s="1273"/>
      <c r="IL946" s="1273"/>
      <c r="IM946" s="1273"/>
      <c r="IN946" s="1273"/>
      <c r="IO946" s="1273"/>
      <c r="IP946" s="1273"/>
      <c r="IQ946" s="1273"/>
      <c r="IR946" s="1273"/>
      <c r="IS946" s="1273"/>
      <c r="IT946" s="1273"/>
      <c r="IU946" s="1273"/>
      <c r="IV946" s="1273"/>
      <c r="IW946" s="1273"/>
      <c r="IX946" s="1273"/>
      <c r="IY946" s="1273"/>
      <c r="IZ946" s="1273"/>
      <c r="JA946" s="1273"/>
      <c r="JB946" s="1273"/>
      <c r="JC946" s="1273"/>
      <c r="JD946" s="1273"/>
      <c r="JE946" s="1273"/>
      <c r="JF946" s="1273"/>
      <c r="JG946" s="1273"/>
      <c r="JH946" s="1273"/>
      <c r="JI946" s="1273"/>
      <c r="JJ946" s="1273"/>
      <c r="JK946" s="1273"/>
      <c r="JL946" s="1273"/>
      <c r="JM946" s="1273"/>
      <c r="JN946" s="1273"/>
      <c r="JO946" s="1273"/>
      <c r="JP946" s="1273"/>
      <c r="JQ946" s="1273"/>
      <c r="JR946" s="1273"/>
      <c r="JS946" s="1273"/>
      <c r="JT946" s="1273"/>
      <c r="JU946" s="1273"/>
      <c r="JV946" s="1273"/>
      <c r="JW946" s="1273"/>
      <c r="JX946" s="1273"/>
      <c r="JY946" s="1273"/>
      <c r="JZ946" s="1273"/>
      <c r="KA946" s="1273"/>
      <c r="KB946" s="1273"/>
      <c r="KC946" s="1273"/>
      <c r="KD946" s="1273"/>
      <c r="KE946" s="1273"/>
      <c r="KF946" s="1273"/>
      <c r="KG946" s="1273"/>
      <c r="KH946" s="1273"/>
      <c r="KI946" s="1273"/>
      <c r="KJ946" s="1273"/>
      <c r="KK946" s="1273"/>
      <c r="KL946" s="1273"/>
      <c r="KM946" s="1273"/>
      <c r="KN946" s="1273"/>
      <c r="KO946" s="1273"/>
      <c r="KP946" s="1273"/>
      <c r="KQ946" s="1273"/>
      <c r="KR946" s="1273"/>
      <c r="KS946" s="1273"/>
      <c r="KT946" s="1273"/>
      <c r="KU946" s="1273"/>
      <c r="KV946" s="1273"/>
      <c r="KW946" s="1273"/>
      <c r="KX946" s="1273"/>
      <c r="KY946" s="1273"/>
      <c r="KZ946" s="1273"/>
      <c r="LA946" s="1273"/>
      <c r="LB946" s="1273"/>
      <c r="LC946" s="1273"/>
      <c r="LD946" s="1273"/>
      <c r="LE946" s="1273"/>
      <c r="LF946" s="1273"/>
      <c r="LG946" s="1273"/>
      <c r="LH946" s="1273"/>
      <c r="LI946" s="1273"/>
      <c r="LJ946" s="1273"/>
      <c r="LK946" s="1273"/>
      <c r="LL946" s="1273"/>
      <c r="LM946" s="1273"/>
      <c r="LN946" s="1273"/>
      <c r="LO946" s="1273"/>
      <c r="LP946" s="1273"/>
      <c r="LQ946" s="1273"/>
      <c r="LR946" s="1273"/>
      <c r="LS946" s="1273"/>
      <c r="LT946" s="1273"/>
      <c r="LU946" s="1273"/>
      <c r="LV946" s="1273"/>
      <c r="LW946" s="1273"/>
      <c r="LX946" s="1273"/>
      <c r="LY946" s="1273"/>
      <c r="LZ946" s="1273"/>
      <c r="MA946" s="1273"/>
      <c r="MB946" s="1273"/>
      <c r="MC946" s="1273"/>
      <c r="MD946" s="1273"/>
      <c r="ME946" s="1273"/>
      <c r="MF946" s="1273"/>
      <c r="MG946" s="1273"/>
      <c r="MH946" s="1273"/>
      <c r="MI946" s="1273"/>
      <c r="MJ946" s="1273"/>
      <c r="MK946" s="1273"/>
      <c r="ML946" s="1273"/>
      <c r="MM946" s="1273"/>
      <c r="MN946" s="1273"/>
      <c r="MO946" s="1273"/>
      <c r="MP946" s="1273"/>
      <c r="MQ946" s="1273"/>
      <c r="MR946" s="1273"/>
      <c r="MS946" s="1273"/>
      <c r="MT946" s="1273"/>
      <c r="MU946" s="1273"/>
      <c r="MV946" s="1273"/>
      <c r="MW946" s="1273"/>
      <c r="MX946" s="1273"/>
      <c r="MY946" s="1273"/>
      <c r="MZ946" s="1273"/>
      <c r="NA946" s="1273"/>
      <c r="NB946" s="1273"/>
      <c r="NC946" s="1273"/>
      <c r="ND946" s="1273"/>
      <c r="NE946" s="1273"/>
      <c r="NF946" s="1273"/>
      <c r="NG946" s="1273"/>
      <c r="NH946" s="1273"/>
      <c r="NI946" s="1273"/>
      <c r="NJ946" s="1273"/>
      <c r="NK946" s="1273"/>
      <c r="NL946" s="1273"/>
      <c r="NM946" s="1273"/>
      <c r="NN946" s="1273"/>
      <c r="NO946" s="1273"/>
      <c r="NP946" s="1273"/>
      <c r="NQ946" s="1273"/>
      <c r="NR946" s="1273"/>
      <c r="NS946" s="1273"/>
      <c r="NT946" s="1273"/>
      <c r="NU946" s="1273"/>
      <c r="NV946" s="1273"/>
      <c r="NW946" s="1273"/>
      <c r="NX946" s="1273"/>
      <c r="NY946" s="1273"/>
      <c r="NZ946" s="1273"/>
      <c r="OA946" s="1273"/>
      <c r="OB946" s="1273"/>
      <c r="OC946" s="1273"/>
      <c r="OD946" s="1273"/>
      <c r="OE946" s="1273"/>
      <c r="OF946" s="1273"/>
      <c r="OG946" s="1273"/>
      <c r="OH946" s="1273"/>
      <c r="OI946" s="1273"/>
      <c r="OJ946" s="1273"/>
      <c r="OK946" s="1273"/>
      <c r="OL946" s="1273"/>
      <c r="OM946" s="1273"/>
      <c r="ON946" s="1273"/>
      <c r="OO946" s="1273"/>
      <c r="OP946" s="1273"/>
      <c r="OQ946" s="1273"/>
      <c r="OR946" s="1273"/>
      <c r="OS946" s="1273"/>
      <c r="OT946" s="1273"/>
      <c r="OU946" s="1273"/>
      <c r="OV946" s="1273"/>
      <c r="OW946" s="1273"/>
      <c r="OX946" s="1273"/>
      <c r="OY946" s="1273"/>
      <c r="OZ946" s="1273"/>
      <c r="PA946" s="1273"/>
      <c r="PB946" s="1273"/>
      <c r="PC946" s="1273"/>
      <c r="PD946" s="1273"/>
      <c r="PE946" s="1273"/>
      <c r="PF946" s="1273"/>
      <c r="PG946" s="1273"/>
      <c r="PH946" s="1273"/>
      <c r="PI946" s="1273"/>
      <c r="PJ946" s="1273"/>
      <c r="PK946" s="1273"/>
      <c r="PL946" s="1273"/>
      <c r="PM946" s="1273"/>
      <c r="PN946" s="1273"/>
      <c r="PO946" s="1273"/>
      <c r="PP946" s="1273"/>
      <c r="PQ946" s="1273"/>
      <c r="PR946" s="1273"/>
      <c r="PS946" s="1273"/>
      <c r="PT946" s="1273"/>
      <c r="PU946" s="1273"/>
      <c r="PV946" s="1273"/>
      <c r="PW946" s="1273"/>
      <c r="PX946" s="1273"/>
      <c r="PY946" s="1273"/>
      <c r="PZ946" s="1273"/>
      <c r="QA946" s="1273"/>
      <c r="QB946" s="1273"/>
      <c r="QC946" s="1273"/>
      <c r="QD946" s="1273"/>
      <c r="QE946" s="1273"/>
      <c r="QF946" s="1273"/>
      <c r="QG946" s="1273"/>
      <c r="QH946" s="1273"/>
      <c r="QI946" s="1273"/>
      <c r="QJ946" s="1273"/>
      <c r="QK946" s="1273"/>
      <c r="QL946" s="1273"/>
      <c r="QM946" s="1273"/>
      <c r="QN946" s="1273"/>
      <c r="QO946" s="1273"/>
      <c r="QP946" s="1273"/>
      <c r="QQ946" s="1273"/>
      <c r="QR946" s="1273"/>
      <c r="QS946" s="1273"/>
      <c r="QT946" s="1273"/>
      <c r="QU946" s="1273"/>
      <c r="QV946" s="1273"/>
      <c r="QW946" s="1273"/>
      <c r="QX946" s="1273"/>
      <c r="QY946" s="1273"/>
      <c r="QZ946" s="1273"/>
      <c r="RA946" s="1273"/>
      <c r="RB946" s="1273"/>
      <c r="RC946" s="1273"/>
      <c r="RD946" s="1273"/>
      <c r="RE946" s="1273"/>
      <c r="RF946" s="1273"/>
      <c r="RG946" s="1273"/>
      <c r="RH946" s="1273"/>
      <c r="RI946" s="1273"/>
      <c r="RJ946" s="1273"/>
      <c r="RK946" s="1273"/>
      <c r="RL946" s="1273"/>
      <c r="RM946" s="1273"/>
      <c r="RN946" s="1273"/>
      <c r="RO946" s="1273"/>
      <c r="RP946" s="1273"/>
      <c r="RQ946" s="1273"/>
      <c r="RR946" s="1273"/>
      <c r="RS946" s="1273"/>
      <c r="RT946" s="1273"/>
      <c r="RU946" s="1273"/>
      <c r="RV946" s="1273"/>
      <c r="RW946" s="1273"/>
      <c r="RX946" s="1273"/>
      <c r="RY946" s="1273"/>
      <c r="RZ946" s="1273"/>
      <c r="SA946" s="1273"/>
      <c r="SB946" s="1273"/>
      <c r="SC946" s="1273"/>
      <c r="SD946" s="1273"/>
      <c r="SE946" s="1273"/>
      <c r="SF946" s="1273"/>
      <c r="SG946" s="1273"/>
      <c r="SH946" s="1273"/>
      <c r="SI946" s="1273"/>
      <c r="SJ946" s="1273"/>
      <c r="SK946" s="1273"/>
      <c r="SL946" s="1273"/>
      <c r="SM946" s="1273"/>
      <c r="SN946" s="1273"/>
      <c r="SO946" s="1273"/>
      <c r="SP946" s="1273"/>
      <c r="SQ946" s="1273"/>
      <c r="SR946" s="1273"/>
      <c r="SS946" s="1273"/>
      <c r="ST946" s="1273"/>
      <c r="SU946" s="1273"/>
      <c r="SV946" s="1273"/>
      <c r="SW946" s="1273"/>
      <c r="SX946" s="1273"/>
      <c r="SY946" s="1273"/>
      <c r="SZ946" s="1273"/>
      <c r="TA946" s="1273"/>
      <c r="TB946" s="1273"/>
      <c r="TC946" s="1273"/>
      <c r="TD946" s="1273"/>
      <c r="TE946" s="1273"/>
      <c r="TF946" s="1273"/>
      <c r="TG946" s="1273"/>
      <c r="TH946" s="1273"/>
      <c r="TI946" s="1273"/>
      <c r="TJ946" s="1273"/>
      <c r="TK946" s="1273"/>
      <c r="TL946" s="1273"/>
      <c r="TM946" s="1273"/>
      <c r="TN946" s="1273"/>
      <c r="TO946" s="1273"/>
      <c r="TP946" s="1273"/>
      <c r="TQ946" s="1273"/>
      <c r="TR946" s="1273"/>
      <c r="TS946" s="1273"/>
      <c r="TT946" s="1273"/>
      <c r="TU946" s="1273"/>
      <c r="TV946" s="1273"/>
      <c r="TW946" s="1273"/>
      <c r="TX946" s="1273"/>
      <c r="TY946" s="1273"/>
      <c r="TZ946" s="1273"/>
      <c r="UA946" s="1273"/>
      <c r="UB946" s="1273"/>
      <c r="UC946" s="1273"/>
      <c r="UD946" s="1273"/>
      <c r="UE946" s="1273"/>
      <c r="UF946" s="1273"/>
      <c r="UG946" s="1274"/>
    </row>
    <row r="947" spans="1:553" s="1275" customFormat="1" ht="34.15" customHeight="1">
      <c r="A947" s="356"/>
      <c r="B947" s="356"/>
      <c r="C947" s="1379" t="s">
        <v>1203</v>
      </c>
      <c r="D947" s="1380"/>
      <c r="E947" s="1380"/>
      <c r="F947" s="1381"/>
      <c r="G947" s="366" t="s">
        <v>46</v>
      </c>
      <c r="H947" s="502"/>
      <c r="I947" s="1072">
        <f>(161.02*100/400)*(12-(4-3))*3</f>
        <v>1328.415</v>
      </c>
      <c r="J947" s="368">
        <v>10600</v>
      </c>
      <c r="K947" s="717">
        <v>0.7</v>
      </c>
      <c r="L947" s="480">
        <f t="shared" ref="L947:L954" si="140">I947*J947*K947</f>
        <v>9856839.2999999989</v>
      </c>
      <c r="M947" s="444"/>
      <c r="N947" s="444"/>
      <c r="O947" s="444"/>
      <c r="P947" s="444"/>
      <c r="Q947" s="1251"/>
      <c r="R947" s="1253"/>
      <c r="S947" s="308"/>
      <c r="T947" s="308"/>
      <c r="U947" s="308"/>
      <c r="V947" s="308"/>
      <c r="W947" s="308"/>
      <c r="X947" s="308"/>
      <c r="Y947" s="308"/>
      <c r="Z947" s="604"/>
      <c r="AA947" s="308"/>
      <c r="AB947" s="308"/>
      <c r="AC947" s="687"/>
      <c r="AD947" s="687"/>
      <c r="AE947" s="687"/>
      <c r="AF947" s="687"/>
      <c r="AG947" s="687"/>
      <c r="AH947" s="687"/>
      <c r="AI947" s="687"/>
      <c r="AJ947" s="687"/>
      <c r="AK947" s="688"/>
      <c r="AL947" s="1273"/>
      <c r="AM947" s="1273"/>
      <c r="AN947" s="1273"/>
      <c r="AO947" s="1273"/>
      <c r="AP947" s="1273"/>
      <c r="AQ947" s="1273"/>
      <c r="AR947" s="1273"/>
      <c r="AS947" s="1273"/>
      <c r="AT947" s="1273"/>
      <c r="AU947" s="1273"/>
      <c r="AV947" s="1273"/>
      <c r="AW947" s="1273"/>
      <c r="AX947" s="1273"/>
      <c r="AY947" s="1273"/>
      <c r="AZ947" s="1273"/>
      <c r="BA947" s="1273"/>
      <c r="BB947" s="1273"/>
      <c r="BC947" s="1273"/>
      <c r="BD947" s="1273"/>
      <c r="BE947" s="1273"/>
      <c r="BF947" s="1273"/>
      <c r="BG947" s="1273"/>
      <c r="BH947" s="1273"/>
      <c r="BI947" s="1273"/>
      <c r="BJ947" s="1273"/>
      <c r="BK947" s="1273"/>
      <c r="BL947" s="1273"/>
      <c r="BM947" s="1273"/>
      <c r="BN947" s="1273"/>
      <c r="BO947" s="1273"/>
      <c r="BP947" s="1273"/>
      <c r="BQ947" s="1273"/>
      <c r="BR947" s="1273"/>
      <c r="BS947" s="1273"/>
      <c r="BT947" s="1273"/>
      <c r="BU947" s="1273"/>
      <c r="BV947" s="1273"/>
      <c r="BW947" s="1273"/>
      <c r="BX947" s="1273"/>
      <c r="BY947" s="1273"/>
      <c r="BZ947" s="1273"/>
      <c r="CA947" s="1273"/>
      <c r="CB947" s="1273"/>
      <c r="CC947" s="1273"/>
      <c r="CD947" s="1273"/>
      <c r="CE947" s="1273"/>
      <c r="CF947" s="1273"/>
      <c r="CG947" s="1273"/>
      <c r="CH947" s="1273"/>
      <c r="CI947" s="1273"/>
      <c r="CJ947" s="1273"/>
      <c r="CK947" s="1273"/>
      <c r="CL947" s="1273"/>
      <c r="CM947" s="1273"/>
      <c r="CN947" s="1273"/>
      <c r="CO947" s="1273"/>
      <c r="CP947" s="1273"/>
      <c r="CQ947" s="1273"/>
      <c r="CR947" s="1273"/>
      <c r="CS947" s="1273"/>
      <c r="CT947" s="1273"/>
      <c r="CU947" s="1273"/>
      <c r="CV947" s="1273"/>
      <c r="CW947" s="1273"/>
      <c r="CX947" s="1273"/>
      <c r="CY947" s="1273"/>
      <c r="CZ947" s="1273"/>
      <c r="DA947" s="1273"/>
      <c r="DB947" s="1273"/>
      <c r="DC947" s="1273"/>
      <c r="DD947" s="1273"/>
      <c r="DE947" s="1273"/>
      <c r="DF947" s="1273"/>
      <c r="DG947" s="1273"/>
      <c r="DH947" s="1273"/>
      <c r="DI947" s="1273"/>
      <c r="DJ947" s="1273"/>
      <c r="DK947" s="1273"/>
      <c r="DL947" s="1273"/>
      <c r="DM947" s="1273"/>
      <c r="DN947" s="1273"/>
      <c r="DO947" s="1273"/>
      <c r="DP947" s="1273"/>
      <c r="DQ947" s="1273"/>
      <c r="DR947" s="1273"/>
      <c r="DS947" s="1273"/>
      <c r="DT947" s="1273"/>
      <c r="DU947" s="1273"/>
      <c r="DV947" s="1273"/>
      <c r="DW947" s="1273"/>
      <c r="DX947" s="1273"/>
      <c r="DY947" s="1273"/>
      <c r="DZ947" s="1273"/>
      <c r="EA947" s="1273"/>
      <c r="EB947" s="1273"/>
      <c r="EC947" s="1273"/>
      <c r="ED947" s="1273"/>
      <c r="EE947" s="1273"/>
      <c r="EF947" s="1273"/>
      <c r="EG947" s="1273"/>
      <c r="EH947" s="1273"/>
      <c r="EI947" s="1273"/>
      <c r="EJ947" s="1273"/>
      <c r="EK947" s="1273"/>
      <c r="EL947" s="1273"/>
      <c r="EM947" s="1273"/>
      <c r="EN947" s="1273"/>
      <c r="EO947" s="1273"/>
      <c r="EP947" s="1273"/>
      <c r="EQ947" s="1273"/>
      <c r="ER947" s="1273"/>
      <c r="ES947" s="1273"/>
      <c r="ET947" s="1273"/>
      <c r="EU947" s="1273"/>
      <c r="EV947" s="1273"/>
      <c r="EW947" s="1273"/>
      <c r="EX947" s="1273"/>
      <c r="EY947" s="1273"/>
      <c r="EZ947" s="1273"/>
      <c r="FA947" s="1273"/>
      <c r="FB947" s="1273"/>
      <c r="FC947" s="1273"/>
      <c r="FD947" s="1273"/>
      <c r="FE947" s="1273"/>
      <c r="FF947" s="1273"/>
      <c r="FG947" s="1273"/>
      <c r="FH947" s="1273"/>
      <c r="FI947" s="1273"/>
      <c r="FJ947" s="1273"/>
      <c r="FK947" s="1273"/>
      <c r="FL947" s="1273"/>
      <c r="FM947" s="1273"/>
      <c r="FN947" s="1273"/>
      <c r="FO947" s="1273"/>
      <c r="FP947" s="1273"/>
      <c r="FQ947" s="1273"/>
      <c r="FR947" s="1273"/>
      <c r="FS947" s="1273"/>
      <c r="FT947" s="1273"/>
      <c r="FU947" s="1273"/>
      <c r="FV947" s="1273"/>
      <c r="FW947" s="1273"/>
      <c r="FX947" s="1273"/>
      <c r="FY947" s="1273"/>
      <c r="FZ947" s="1273"/>
      <c r="GA947" s="1273"/>
      <c r="GB947" s="1273"/>
      <c r="GC947" s="1273"/>
      <c r="GD947" s="1273"/>
      <c r="GE947" s="1273"/>
      <c r="GF947" s="1273"/>
      <c r="GG947" s="1273"/>
      <c r="GH947" s="1273"/>
      <c r="GI947" s="1273"/>
      <c r="GJ947" s="1273"/>
      <c r="GK947" s="1273"/>
      <c r="GL947" s="1273"/>
      <c r="GM947" s="1273"/>
      <c r="GN947" s="1273"/>
      <c r="GO947" s="1273"/>
      <c r="GP947" s="1273"/>
      <c r="GQ947" s="1273"/>
      <c r="GR947" s="1273"/>
      <c r="GS947" s="1273"/>
      <c r="GT947" s="1273"/>
      <c r="GU947" s="1273"/>
      <c r="GV947" s="1273"/>
      <c r="GW947" s="1273"/>
      <c r="GX947" s="1273"/>
      <c r="GY947" s="1273"/>
      <c r="GZ947" s="1273"/>
      <c r="HA947" s="1273"/>
      <c r="HB947" s="1273"/>
      <c r="HC947" s="1273"/>
      <c r="HD947" s="1273"/>
      <c r="HE947" s="1273"/>
      <c r="HF947" s="1273"/>
      <c r="HG947" s="1273"/>
      <c r="HH947" s="1273"/>
      <c r="HI947" s="1273"/>
      <c r="HJ947" s="1273"/>
      <c r="HK947" s="1273"/>
      <c r="HL947" s="1273"/>
      <c r="HM947" s="1273"/>
      <c r="HN947" s="1273"/>
      <c r="HO947" s="1273"/>
      <c r="HP947" s="1273"/>
      <c r="HQ947" s="1273"/>
      <c r="HR947" s="1273"/>
      <c r="HS947" s="1273"/>
      <c r="HT947" s="1273"/>
      <c r="HU947" s="1273"/>
      <c r="HV947" s="1273"/>
      <c r="HW947" s="1273"/>
      <c r="HX947" s="1273"/>
      <c r="HY947" s="1273"/>
      <c r="HZ947" s="1273"/>
      <c r="IA947" s="1273"/>
      <c r="IB947" s="1273"/>
      <c r="IC947" s="1273"/>
      <c r="ID947" s="1273"/>
      <c r="IE947" s="1273"/>
      <c r="IF947" s="1273"/>
      <c r="IG947" s="1273"/>
      <c r="IH947" s="1273"/>
      <c r="II947" s="1273"/>
      <c r="IJ947" s="1273"/>
      <c r="IK947" s="1273"/>
      <c r="IL947" s="1273"/>
      <c r="IM947" s="1273"/>
      <c r="IN947" s="1273"/>
      <c r="IO947" s="1273"/>
      <c r="IP947" s="1273"/>
      <c r="IQ947" s="1273"/>
      <c r="IR947" s="1273"/>
      <c r="IS947" s="1273"/>
      <c r="IT947" s="1273"/>
      <c r="IU947" s="1273"/>
      <c r="IV947" s="1273"/>
      <c r="IW947" s="1273"/>
      <c r="IX947" s="1273"/>
      <c r="IY947" s="1273"/>
      <c r="IZ947" s="1273"/>
      <c r="JA947" s="1273"/>
      <c r="JB947" s="1273"/>
      <c r="JC947" s="1273"/>
      <c r="JD947" s="1273"/>
      <c r="JE947" s="1273"/>
      <c r="JF947" s="1273"/>
      <c r="JG947" s="1273"/>
      <c r="JH947" s="1273"/>
      <c r="JI947" s="1273"/>
      <c r="JJ947" s="1273"/>
      <c r="JK947" s="1273"/>
      <c r="JL947" s="1273"/>
      <c r="JM947" s="1273"/>
      <c r="JN947" s="1273"/>
      <c r="JO947" s="1273"/>
      <c r="JP947" s="1273"/>
      <c r="JQ947" s="1273"/>
      <c r="JR947" s="1273"/>
      <c r="JS947" s="1273"/>
      <c r="JT947" s="1273"/>
      <c r="JU947" s="1273"/>
      <c r="JV947" s="1273"/>
      <c r="JW947" s="1273"/>
      <c r="JX947" s="1273"/>
      <c r="JY947" s="1273"/>
      <c r="JZ947" s="1273"/>
      <c r="KA947" s="1273"/>
      <c r="KB947" s="1273"/>
      <c r="KC947" s="1273"/>
      <c r="KD947" s="1273"/>
      <c r="KE947" s="1273"/>
      <c r="KF947" s="1273"/>
      <c r="KG947" s="1273"/>
      <c r="KH947" s="1273"/>
      <c r="KI947" s="1273"/>
      <c r="KJ947" s="1273"/>
      <c r="KK947" s="1273"/>
      <c r="KL947" s="1273"/>
      <c r="KM947" s="1273"/>
      <c r="KN947" s="1273"/>
      <c r="KO947" s="1273"/>
      <c r="KP947" s="1273"/>
      <c r="KQ947" s="1273"/>
      <c r="KR947" s="1273"/>
      <c r="KS947" s="1273"/>
      <c r="KT947" s="1273"/>
      <c r="KU947" s="1273"/>
      <c r="KV947" s="1273"/>
      <c r="KW947" s="1273"/>
      <c r="KX947" s="1273"/>
      <c r="KY947" s="1273"/>
      <c r="KZ947" s="1273"/>
      <c r="LA947" s="1273"/>
      <c r="LB947" s="1273"/>
      <c r="LC947" s="1273"/>
      <c r="LD947" s="1273"/>
      <c r="LE947" s="1273"/>
      <c r="LF947" s="1273"/>
      <c r="LG947" s="1273"/>
      <c r="LH947" s="1273"/>
      <c r="LI947" s="1273"/>
      <c r="LJ947" s="1273"/>
      <c r="LK947" s="1273"/>
      <c r="LL947" s="1273"/>
      <c r="LM947" s="1273"/>
      <c r="LN947" s="1273"/>
      <c r="LO947" s="1273"/>
      <c r="LP947" s="1273"/>
      <c r="LQ947" s="1273"/>
      <c r="LR947" s="1273"/>
      <c r="LS947" s="1273"/>
      <c r="LT947" s="1273"/>
      <c r="LU947" s="1273"/>
      <c r="LV947" s="1273"/>
      <c r="LW947" s="1273"/>
      <c r="LX947" s="1273"/>
      <c r="LY947" s="1273"/>
      <c r="LZ947" s="1273"/>
      <c r="MA947" s="1273"/>
      <c r="MB947" s="1273"/>
      <c r="MC947" s="1273"/>
      <c r="MD947" s="1273"/>
      <c r="ME947" s="1273"/>
      <c r="MF947" s="1273"/>
      <c r="MG947" s="1273"/>
      <c r="MH947" s="1273"/>
      <c r="MI947" s="1273"/>
      <c r="MJ947" s="1273"/>
      <c r="MK947" s="1273"/>
      <c r="ML947" s="1273"/>
      <c r="MM947" s="1273"/>
      <c r="MN947" s="1273"/>
      <c r="MO947" s="1273"/>
      <c r="MP947" s="1273"/>
      <c r="MQ947" s="1273"/>
      <c r="MR947" s="1273"/>
      <c r="MS947" s="1273"/>
      <c r="MT947" s="1273"/>
      <c r="MU947" s="1273"/>
      <c r="MV947" s="1273"/>
      <c r="MW947" s="1273"/>
      <c r="MX947" s="1273"/>
      <c r="MY947" s="1273"/>
      <c r="MZ947" s="1273"/>
      <c r="NA947" s="1273"/>
      <c r="NB947" s="1273"/>
      <c r="NC947" s="1273"/>
      <c r="ND947" s="1273"/>
      <c r="NE947" s="1273"/>
      <c r="NF947" s="1273"/>
      <c r="NG947" s="1273"/>
      <c r="NH947" s="1273"/>
      <c r="NI947" s="1273"/>
      <c r="NJ947" s="1273"/>
      <c r="NK947" s="1273"/>
      <c r="NL947" s="1273"/>
      <c r="NM947" s="1273"/>
      <c r="NN947" s="1273"/>
      <c r="NO947" s="1273"/>
      <c r="NP947" s="1273"/>
      <c r="NQ947" s="1273"/>
      <c r="NR947" s="1273"/>
      <c r="NS947" s="1273"/>
      <c r="NT947" s="1273"/>
      <c r="NU947" s="1273"/>
      <c r="NV947" s="1273"/>
      <c r="NW947" s="1273"/>
      <c r="NX947" s="1273"/>
      <c r="NY947" s="1273"/>
      <c r="NZ947" s="1273"/>
      <c r="OA947" s="1273"/>
      <c r="OB947" s="1273"/>
      <c r="OC947" s="1273"/>
      <c r="OD947" s="1273"/>
      <c r="OE947" s="1273"/>
      <c r="OF947" s="1273"/>
      <c r="OG947" s="1273"/>
      <c r="OH947" s="1273"/>
      <c r="OI947" s="1273"/>
      <c r="OJ947" s="1273"/>
      <c r="OK947" s="1273"/>
      <c r="OL947" s="1273"/>
      <c r="OM947" s="1273"/>
      <c r="ON947" s="1273"/>
      <c r="OO947" s="1273"/>
      <c r="OP947" s="1273"/>
      <c r="OQ947" s="1273"/>
      <c r="OR947" s="1273"/>
      <c r="OS947" s="1273"/>
      <c r="OT947" s="1273"/>
      <c r="OU947" s="1273"/>
      <c r="OV947" s="1273"/>
      <c r="OW947" s="1273"/>
      <c r="OX947" s="1273"/>
      <c r="OY947" s="1273"/>
      <c r="OZ947" s="1273"/>
      <c r="PA947" s="1273"/>
      <c r="PB947" s="1273"/>
      <c r="PC947" s="1273"/>
      <c r="PD947" s="1273"/>
      <c r="PE947" s="1273"/>
      <c r="PF947" s="1273"/>
      <c r="PG947" s="1273"/>
      <c r="PH947" s="1273"/>
      <c r="PI947" s="1273"/>
      <c r="PJ947" s="1273"/>
      <c r="PK947" s="1273"/>
      <c r="PL947" s="1273"/>
      <c r="PM947" s="1273"/>
      <c r="PN947" s="1273"/>
      <c r="PO947" s="1273"/>
      <c r="PP947" s="1273"/>
      <c r="PQ947" s="1273"/>
      <c r="PR947" s="1273"/>
      <c r="PS947" s="1273"/>
      <c r="PT947" s="1273"/>
      <c r="PU947" s="1273"/>
      <c r="PV947" s="1273"/>
      <c r="PW947" s="1273"/>
      <c r="PX947" s="1273"/>
      <c r="PY947" s="1273"/>
      <c r="PZ947" s="1273"/>
      <c r="QA947" s="1273"/>
      <c r="QB947" s="1273"/>
      <c r="QC947" s="1273"/>
      <c r="QD947" s="1273"/>
      <c r="QE947" s="1273"/>
      <c r="QF947" s="1273"/>
      <c r="QG947" s="1273"/>
      <c r="QH947" s="1273"/>
      <c r="QI947" s="1273"/>
      <c r="QJ947" s="1273"/>
      <c r="QK947" s="1273"/>
      <c r="QL947" s="1273"/>
      <c r="QM947" s="1273"/>
      <c r="QN947" s="1273"/>
      <c r="QO947" s="1273"/>
      <c r="QP947" s="1273"/>
      <c r="QQ947" s="1273"/>
      <c r="QR947" s="1273"/>
      <c r="QS947" s="1273"/>
      <c r="QT947" s="1273"/>
      <c r="QU947" s="1273"/>
      <c r="QV947" s="1273"/>
      <c r="QW947" s="1273"/>
      <c r="QX947" s="1273"/>
      <c r="QY947" s="1273"/>
      <c r="QZ947" s="1273"/>
      <c r="RA947" s="1273"/>
      <c r="RB947" s="1273"/>
      <c r="RC947" s="1273"/>
      <c r="RD947" s="1273"/>
      <c r="RE947" s="1273"/>
      <c r="RF947" s="1273"/>
      <c r="RG947" s="1273"/>
      <c r="RH947" s="1273"/>
      <c r="RI947" s="1273"/>
      <c r="RJ947" s="1273"/>
      <c r="RK947" s="1273"/>
      <c r="RL947" s="1273"/>
      <c r="RM947" s="1273"/>
      <c r="RN947" s="1273"/>
      <c r="RO947" s="1273"/>
      <c r="RP947" s="1273"/>
      <c r="RQ947" s="1273"/>
      <c r="RR947" s="1273"/>
      <c r="RS947" s="1273"/>
      <c r="RT947" s="1273"/>
      <c r="RU947" s="1273"/>
      <c r="RV947" s="1273"/>
      <c r="RW947" s="1273"/>
      <c r="RX947" s="1273"/>
      <c r="RY947" s="1273"/>
      <c r="RZ947" s="1273"/>
      <c r="SA947" s="1273"/>
      <c r="SB947" s="1273"/>
      <c r="SC947" s="1273"/>
      <c r="SD947" s="1273"/>
      <c r="SE947" s="1273"/>
      <c r="SF947" s="1273"/>
      <c r="SG947" s="1273"/>
      <c r="SH947" s="1273"/>
      <c r="SI947" s="1273"/>
      <c r="SJ947" s="1273"/>
      <c r="SK947" s="1273"/>
      <c r="SL947" s="1273"/>
      <c r="SM947" s="1273"/>
      <c r="SN947" s="1273"/>
      <c r="SO947" s="1273"/>
      <c r="SP947" s="1273"/>
      <c r="SQ947" s="1273"/>
      <c r="SR947" s="1273"/>
      <c r="SS947" s="1273"/>
      <c r="ST947" s="1273"/>
      <c r="SU947" s="1273"/>
      <c r="SV947" s="1273"/>
      <c r="SW947" s="1273"/>
      <c r="SX947" s="1273"/>
      <c r="SY947" s="1273"/>
      <c r="SZ947" s="1273"/>
      <c r="TA947" s="1273"/>
      <c r="TB947" s="1273"/>
      <c r="TC947" s="1273"/>
      <c r="TD947" s="1273"/>
      <c r="TE947" s="1273"/>
      <c r="TF947" s="1273"/>
      <c r="TG947" s="1273"/>
      <c r="TH947" s="1273"/>
      <c r="TI947" s="1273"/>
      <c r="TJ947" s="1273"/>
      <c r="TK947" s="1273"/>
      <c r="TL947" s="1273"/>
      <c r="TM947" s="1273"/>
      <c r="TN947" s="1273"/>
      <c r="TO947" s="1273"/>
      <c r="TP947" s="1273"/>
      <c r="TQ947" s="1273"/>
      <c r="TR947" s="1273"/>
      <c r="TS947" s="1273"/>
      <c r="TT947" s="1273"/>
      <c r="TU947" s="1273"/>
      <c r="TV947" s="1273"/>
      <c r="TW947" s="1273"/>
      <c r="TX947" s="1273"/>
      <c r="TY947" s="1273"/>
      <c r="TZ947" s="1273"/>
      <c r="UA947" s="1273"/>
      <c r="UB947" s="1273"/>
      <c r="UC947" s="1273"/>
      <c r="UD947" s="1273"/>
      <c r="UE947" s="1273"/>
      <c r="UF947" s="1273"/>
      <c r="UG947" s="1274"/>
    </row>
    <row r="948" spans="1:553" s="1275" customFormat="1" ht="34.15" customHeight="1">
      <c r="A948" s="356"/>
      <c r="B948" s="356"/>
      <c r="C948" s="1622" t="s">
        <v>1204</v>
      </c>
      <c r="D948" s="1623"/>
      <c r="E948" s="1623"/>
      <c r="F948" s="1624"/>
      <c r="G948" s="372" t="s">
        <v>48</v>
      </c>
      <c r="H948" s="502"/>
      <c r="I948" s="1072">
        <v>3</v>
      </c>
      <c r="J948" s="368">
        <v>391100</v>
      </c>
      <c r="K948" s="495">
        <v>0.7</v>
      </c>
      <c r="L948" s="480">
        <f t="shared" si="140"/>
        <v>821310</v>
      </c>
      <c r="M948" s="444"/>
      <c r="N948" s="444"/>
      <c r="O948" s="444"/>
      <c r="P948" s="444"/>
      <c r="Q948" s="1251"/>
      <c r="R948" s="1253"/>
      <c r="S948" s="308"/>
      <c r="T948" s="308"/>
      <c r="U948" s="308"/>
      <c r="V948" s="308"/>
      <c r="W948" s="308"/>
      <c r="X948" s="308"/>
      <c r="Y948" s="308"/>
      <c r="Z948" s="604"/>
      <c r="AA948" s="308"/>
      <c r="AB948" s="308"/>
      <c r="AC948" s="687"/>
      <c r="AD948" s="687"/>
      <c r="AE948" s="687"/>
      <c r="AF948" s="687"/>
      <c r="AG948" s="687"/>
      <c r="AH948" s="687"/>
      <c r="AI948" s="687"/>
      <c r="AJ948" s="687"/>
      <c r="AK948" s="688"/>
      <c r="AL948" s="1273"/>
      <c r="AM948" s="1273"/>
      <c r="AN948" s="1273"/>
      <c r="AO948" s="1273"/>
      <c r="AP948" s="1273"/>
      <c r="AQ948" s="1273"/>
      <c r="AR948" s="1273"/>
      <c r="AS948" s="1273"/>
      <c r="AT948" s="1273"/>
      <c r="AU948" s="1273"/>
      <c r="AV948" s="1273"/>
      <c r="AW948" s="1273"/>
      <c r="AX948" s="1273"/>
      <c r="AY948" s="1273"/>
      <c r="AZ948" s="1273"/>
      <c r="BA948" s="1273"/>
      <c r="BB948" s="1273"/>
      <c r="BC948" s="1273"/>
      <c r="BD948" s="1273"/>
      <c r="BE948" s="1273"/>
      <c r="BF948" s="1273"/>
      <c r="BG948" s="1273"/>
      <c r="BH948" s="1273"/>
      <c r="BI948" s="1273"/>
      <c r="BJ948" s="1273"/>
      <c r="BK948" s="1273"/>
      <c r="BL948" s="1273"/>
      <c r="BM948" s="1273"/>
      <c r="BN948" s="1273"/>
      <c r="BO948" s="1273"/>
      <c r="BP948" s="1273"/>
      <c r="BQ948" s="1273"/>
      <c r="BR948" s="1273"/>
      <c r="BS948" s="1273"/>
      <c r="BT948" s="1273"/>
      <c r="BU948" s="1273"/>
      <c r="BV948" s="1273"/>
      <c r="BW948" s="1273"/>
      <c r="BX948" s="1273"/>
      <c r="BY948" s="1273"/>
      <c r="BZ948" s="1273"/>
      <c r="CA948" s="1273"/>
      <c r="CB948" s="1273"/>
      <c r="CC948" s="1273"/>
      <c r="CD948" s="1273"/>
      <c r="CE948" s="1273"/>
      <c r="CF948" s="1273"/>
      <c r="CG948" s="1273"/>
      <c r="CH948" s="1273"/>
      <c r="CI948" s="1273"/>
      <c r="CJ948" s="1273"/>
      <c r="CK948" s="1273"/>
      <c r="CL948" s="1273"/>
      <c r="CM948" s="1273"/>
      <c r="CN948" s="1273"/>
      <c r="CO948" s="1273"/>
      <c r="CP948" s="1273"/>
      <c r="CQ948" s="1273"/>
      <c r="CR948" s="1273"/>
      <c r="CS948" s="1273"/>
      <c r="CT948" s="1273"/>
      <c r="CU948" s="1273"/>
      <c r="CV948" s="1273"/>
      <c r="CW948" s="1273"/>
      <c r="CX948" s="1273"/>
      <c r="CY948" s="1273"/>
      <c r="CZ948" s="1273"/>
      <c r="DA948" s="1273"/>
      <c r="DB948" s="1273"/>
      <c r="DC948" s="1273"/>
      <c r="DD948" s="1273"/>
      <c r="DE948" s="1273"/>
      <c r="DF948" s="1273"/>
      <c r="DG948" s="1273"/>
      <c r="DH948" s="1273"/>
      <c r="DI948" s="1273"/>
      <c r="DJ948" s="1273"/>
      <c r="DK948" s="1273"/>
      <c r="DL948" s="1273"/>
      <c r="DM948" s="1273"/>
      <c r="DN948" s="1273"/>
      <c r="DO948" s="1273"/>
      <c r="DP948" s="1273"/>
      <c r="DQ948" s="1273"/>
      <c r="DR948" s="1273"/>
      <c r="DS948" s="1273"/>
      <c r="DT948" s="1273"/>
      <c r="DU948" s="1273"/>
      <c r="DV948" s="1273"/>
      <c r="DW948" s="1273"/>
      <c r="DX948" s="1273"/>
      <c r="DY948" s="1273"/>
      <c r="DZ948" s="1273"/>
      <c r="EA948" s="1273"/>
      <c r="EB948" s="1273"/>
      <c r="EC948" s="1273"/>
      <c r="ED948" s="1273"/>
      <c r="EE948" s="1273"/>
      <c r="EF948" s="1273"/>
      <c r="EG948" s="1273"/>
      <c r="EH948" s="1273"/>
      <c r="EI948" s="1273"/>
      <c r="EJ948" s="1273"/>
      <c r="EK948" s="1273"/>
      <c r="EL948" s="1273"/>
      <c r="EM948" s="1273"/>
      <c r="EN948" s="1273"/>
      <c r="EO948" s="1273"/>
      <c r="EP948" s="1273"/>
      <c r="EQ948" s="1273"/>
      <c r="ER948" s="1273"/>
      <c r="ES948" s="1273"/>
      <c r="ET948" s="1273"/>
      <c r="EU948" s="1273"/>
      <c r="EV948" s="1273"/>
      <c r="EW948" s="1273"/>
      <c r="EX948" s="1273"/>
      <c r="EY948" s="1273"/>
      <c r="EZ948" s="1273"/>
      <c r="FA948" s="1273"/>
      <c r="FB948" s="1273"/>
      <c r="FC948" s="1273"/>
      <c r="FD948" s="1273"/>
      <c r="FE948" s="1273"/>
      <c r="FF948" s="1273"/>
      <c r="FG948" s="1273"/>
      <c r="FH948" s="1273"/>
      <c r="FI948" s="1273"/>
      <c r="FJ948" s="1273"/>
      <c r="FK948" s="1273"/>
      <c r="FL948" s="1273"/>
      <c r="FM948" s="1273"/>
      <c r="FN948" s="1273"/>
      <c r="FO948" s="1273"/>
      <c r="FP948" s="1273"/>
      <c r="FQ948" s="1273"/>
      <c r="FR948" s="1273"/>
      <c r="FS948" s="1273"/>
      <c r="FT948" s="1273"/>
      <c r="FU948" s="1273"/>
      <c r="FV948" s="1273"/>
      <c r="FW948" s="1273"/>
      <c r="FX948" s="1273"/>
      <c r="FY948" s="1273"/>
      <c r="FZ948" s="1273"/>
      <c r="GA948" s="1273"/>
      <c r="GB948" s="1273"/>
      <c r="GC948" s="1273"/>
      <c r="GD948" s="1273"/>
      <c r="GE948" s="1273"/>
      <c r="GF948" s="1273"/>
      <c r="GG948" s="1273"/>
      <c r="GH948" s="1273"/>
      <c r="GI948" s="1273"/>
      <c r="GJ948" s="1273"/>
      <c r="GK948" s="1273"/>
      <c r="GL948" s="1273"/>
      <c r="GM948" s="1273"/>
      <c r="GN948" s="1273"/>
      <c r="GO948" s="1273"/>
      <c r="GP948" s="1273"/>
      <c r="GQ948" s="1273"/>
      <c r="GR948" s="1273"/>
      <c r="GS948" s="1273"/>
      <c r="GT948" s="1273"/>
      <c r="GU948" s="1273"/>
      <c r="GV948" s="1273"/>
      <c r="GW948" s="1273"/>
      <c r="GX948" s="1273"/>
      <c r="GY948" s="1273"/>
      <c r="GZ948" s="1273"/>
      <c r="HA948" s="1273"/>
      <c r="HB948" s="1273"/>
      <c r="HC948" s="1273"/>
      <c r="HD948" s="1273"/>
      <c r="HE948" s="1273"/>
      <c r="HF948" s="1273"/>
      <c r="HG948" s="1273"/>
      <c r="HH948" s="1273"/>
      <c r="HI948" s="1273"/>
      <c r="HJ948" s="1273"/>
      <c r="HK948" s="1273"/>
      <c r="HL948" s="1273"/>
      <c r="HM948" s="1273"/>
      <c r="HN948" s="1273"/>
      <c r="HO948" s="1273"/>
      <c r="HP948" s="1273"/>
      <c r="HQ948" s="1273"/>
      <c r="HR948" s="1273"/>
      <c r="HS948" s="1273"/>
      <c r="HT948" s="1273"/>
      <c r="HU948" s="1273"/>
      <c r="HV948" s="1273"/>
      <c r="HW948" s="1273"/>
      <c r="HX948" s="1273"/>
      <c r="HY948" s="1273"/>
      <c r="HZ948" s="1273"/>
      <c r="IA948" s="1273"/>
      <c r="IB948" s="1273"/>
      <c r="IC948" s="1273"/>
      <c r="ID948" s="1273"/>
      <c r="IE948" s="1273"/>
      <c r="IF948" s="1273"/>
      <c r="IG948" s="1273"/>
      <c r="IH948" s="1273"/>
      <c r="II948" s="1273"/>
      <c r="IJ948" s="1273"/>
      <c r="IK948" s="1273"/>
      <c r="IL948" s="1273"/>
      <c r="IM948" s="1273"/>
      <c r="IN948" s="1273"/>
      <c r="IO948" s="1273"/>
      <c r="IP948" s="1273"/>
      <c r="IQ948" s="1273"/>
      <c r="IR948" s="1273"/>
      <c r="IS948" s="1273"/>
      <c r="IT948" s="1273"/>
      <c r="IU948" s="1273"/>
      <c r="IV948" s="1273"/>
      <c r="IW948" s="1273"/>
      <c r="IX948" s="1273"/>
      <c r="IY948" s="1273"/>
      <c r="IZ948" s="1273"/>
      <c r="JA948" s="1273"/>
      <c r="JB948" s="1273"/>
      <c r="JC948" s="1273"/>
      <c r="JD948" s="1273"/>
      <c r="JE948" s="1273"/>
      <c r="JF948" s="1273"/>
      <c r="JG948" s="1273"/>
      <c r="JH948" s="1273"/>
      <c r="JI948" s="1273"/>
      <c r="JJ948" s="1273"/>
      <c r="JK948" s="1273"/>
      <c r="JL948" s="1273"/>
      <c r="JM948" s="1273"/>
      <c r="JN948" s="1273"/>
      <c r="JO948" s="1273"/>
      <c r="JP948" s="1273"/>
      <c r="JQ948" s="1273"/>
      <c r="JR948" s="1273"/>
      <c r="JS948" s="1273"/>
      <c r="JT948" s="1273"/>
      <c r="JU948" s="1273"/>
      <c r="JV948" s="1273"/>
      <c r="JW948" s="1273"/>
      <c r="JX948" s="1273"/>
      <c r="JY948" s="1273"/>
      <c r="JZ948" s="1273"/>
      <c r="KA948" s="1273"/>
      <c r="KB948" s="1273"/>
      <c r="KC948" s="1273"/>
      <c r="KD948" s="1273"/>
      <c r="KE948" s="1273"/>
      <c r="KF948" s="1273"/>
      <c r="KG948" s="1273"/>
      <c r="KH948" s="1273"/>
      <c r="KI948" s="1273"/>
      <c r="KJ948" s="1273"/>
      <c r="KK948" s="1273"/>
      <c r="KL948" s="1273"/>
      <c r="KM948" s="1273"/>
      <c r="KN948" s="1273"/>
      <c r="KO948" s="1273"/>
      <c r="KP948" s="1273"/>
      <c r="KQ948" s="1273"/>
      <c r="KR948" s="1273"/>
      <c r="KS948" s="1273"/>
      <c r="KT948" s="1273"/>
      <c r="KU948" s="1273"/>
      <c r="KV948" s="1273"/>
      <c r="KW948" s="1273"/>
      <c r="KX948" s="1273"/>
      <c r="KY948" s="1273"/>
      <c r="KZ948" s="1273"/>
      <c r="LA948" s="1273"/>
      <c r="LB948" s="1273"/>
      <c r="LC948" s="1273"/>
      <c r="LD948" s="1273"/>
      <c r="LE948" s="1273"/>
      <c r="LF948" s="1273"/>
      <c r="LG948" s="1273"/>
      <c r="LH948" s="1273"/>
      <c r="LI948" s="1273"/>
      <c r="LJ948" s="1273"/>
      <c r="LK948" s="1273"/>
      <c r="LL948" s="1273"/>
      <c r="LM948" s="1273"/>
      <c r="LN948" s="1273"/>
      <c r="LO948" s="1273"/>
      <c r="LP948" s="1273"/>
      <c r="LQ948" s="1273"/>
      <c r="LR948" s="1273"/>
      <c r="LS948" s="1273"/>
      <c r="LT948" s="1273"/>
      <c r="LU948" s="1273"/>
      <c r="LV948" s="1273"/>
      <c r="LW948" s="1273"/>
      <c r="LX948" s="1273"/>
      <c r="LY948" s="1273"/>
      <c r="LZ948" s="1273"/>
      <c r="MA948" s="1273"/>
      <c r="MB948" s="1273"/>
      <c r="MC948" s="1273"/>
      <c r="MD948" s="1273"/>
      <c r="ME948" s="1273"/>
      <c r="MF948" s="1273"/>
      <c r="MG948" s="1273"/>
      <c r="MH948" s="1273"/>
      <c r="MI948" s="1273"/>
      <c r="MJ948" s="1273"/>
      <c r="MK948" s="1273"/>
      <c r="ML948" s="1273"/>
      <c r="MM948" s="1273"/>
      <c r="MN948" s="1273"/>
      <c r="MO948" s="1273"/>
      <c r="MP948" s="1273"/>
      <c r="MQ948" s="1273"/>
      <c r="MR948" s="1273"/>
      <c r="MS948" s="1273"/>
      <c r="MT948" s="1273"/>
      <c r="MU948" s="1273"/>
      <c r="MV948" s="1273"/>
      <c r="MW948" s="1273"/>
      <c r="MX948" s="1273"/>
      <c r="MY948" s="1273"/>
      <c r="MZ948" s="1273"/>
      <c r="NA948" s="1273"/>
      <c r="NB948" s="1273"/>
      <c r="NC948" s="1273"/>
      <c r="ND948" s="1273"/>
      <c r="NE948" s="1273"/>
      <c r="NF948" s="1273"/>
      <c r="NG948" s="1273"/>
      <c r="NH948" s="1273"/>
      <c r="NI948" s="1273"/>
      <c r="NJ948" s="1273"/>
      <c r="NK948" s="1273"/>
      <c r="NL948" s="1273"/>
      <c r="NM948" s="1273"/>
      <c r="NN948" s="1273"/>
      <c r="NO948" s="1273"/>
      <c r="NP948" s="1273"/>
      <c r="NQ948" s="1273"/>
      <c r="NR948" s="1273"/>
      <c r="NS948" s="1273"/>
      <c r="NT948" s="1273"/>
      <c r="NU948" s="1273"/>
      <c r="NV948" s="1273"/>
      <c r="NW948" s="1273"/>
      <c r="NX948" s="1273"/>
      <c r="NY948" s="1273"/>
      <c r="NZ948" s="1273"/>
      <c r="OA948" s="1273"/>
      <c r="OB948" s="1273"/>
      <c r="OC948" s="1273"/>
      <c r="OD948" s="1273"/>
      <c r="OE948" s="1273"/>
      <c r="OF948" s="1273"/>
      <c r="OG948" s="1273"/>
      <c r="OH948" s="1273"/>
      <c r="OI948" s="1273"/>
      <c r="OJ948" s="1273"/>
      <c r="OK948" s="1273"/>
      <c r="OL948" s="1273"/>
      <c r="OM948" s="1273"/>
      <c r="ON948" s="1273"/>
      <c r="OO948" s="1273"/>
      <c r="OP948" s="1273"/>
      <c r="OQ948" s="1273"/>
      <c r="OR948" s="1273"/>
      <c r="OS948" s="1273"/>
      <c r="OT948" s="1273"/>
      <c r="OU948" s="1273"/>
      <c r="OV948" s="1273"/>
      <c r="OW948" s="1273"/>
      <c r="OX948" s="1273"/>
      <c r="OY948" s="1273"/>
      <c r="OZ948" s="1273"/>
      <c r="PA948" s="1273"/>
      <c r="PB948" s="1273"/>
      <c r="PC948" s="1273"/>
      <c r="PD948" s="1273"/>
      <c r="PE948" s="1273"/>
      <c r="PF948" s="1273"/>
      <c r="PG948" s="1273"/>
      <c r="PH948" s="1273"/>
      <c r="PI948" s="1273"/>
      <c r="PJ948" s="1273"/>
      <c r="PK948" s="1273"/>
      <c r="PL948" s="1273"/>
      <c r="PM948" s="1273"/>
      <c r="PN948" s="1273"/>
      <c r="PO948" s="1273"/>
      <c r="PP948" s="1273"/>
      <c r="PQ948" s="1273"/>
      <c r="PR948" s="1273"/>
      <c r="PS948" s="1273"/>
      <c r="PT948" s="1273"/>
      <c r="PU948" s="1273"/>
      <c r="PV948" s="1273"/>
      <c r="PW948" s="1273"/>
      <c r="PX948" s="1273"/>
      <c r="PY948" s="1273"/>
      <c r="PZ948" s="1273"/>
      <c r="QA948" s="1273"/>
      <c r="QB948" s="1273"/>
      <c r="QC948" s="1273"/>
      <c r="QD948" s="1273"/>
      <c r="QE948" s="1273"/>
      <c r="QF948" s="1273"/>
      <c r="QG948" s="1273"/>
      <c r="QH948" s="1273"/>
      <c r="QI948" s="1273"/>
      <c r="QJ948" s="1273"/>
      <c r="QK948" s="1273"/>
      <c r="QL948" s="1273"/>
      <c r="QM948" s="1273"/>
      <c r="QN948" s="1273"/>
      <c r="QO948" s="1273"/>
      <c r="QP948" s="1273"/>
      <c r="QQ948" s="1273"/>
      <c r="QR948" s="1273"/>
      <c r="QS948" s="1273"/>
      <c r="QT948" s="1273"/>
      <c r="QU948" s="1273"/>
      <c r="QV948" s="1273"/>
      <c r="QW948" s="1273"/>
      <c r="QX948" s="1273"/>
      <c r="QY948" s="1273"/>
      <c r="QZ948" s="1273"/>
      <c r="RA948" s="1273"/>
      <c r="RB948" s="1273"/>
      <c r="RC948" s="1273"/>
      <c r="RD948" s="1273"/>
      <c r="RE948" s="1273"/>
      <c r="RF948" s="1273"/>
      <c r="RG948" s="1273"/>
      <c r="RH948" s="1273"/>
      <c r="RI948" s="1273"/>
      <c r="RJ948" s="1273"/>
      <c r="RK948" s="1273"/>
      <c r="RL948" s="1273"/>
      <c r="RM948" s="1273"/>
      <c r="RN948" s="1273"/>
      <c r="RO948" s="1273"/>
      <c r="RP948" s="1273"/>
      <c r="RQ948" s="1273"/>
      <c r="RR948" s="1273"/>
      <c r="RS948" s="1273"/>
      <c r="RT948" s="1273"/>
      <c r="RU948" s="1273"/>
      <c r="RV948" s="1273"/>
      <c r="RW948" s="1273"/>
      <c r="RX948" s="1273"/>
      <c r="RY948" s="1273"/>
      <c r="RZ948" s="1273"/>
      <c r="SA948" s="1273"/>
      <c r="SB948" s="1273"/>
      <c r="SC948" s="1273"/>
      <c r="SD948" s="1273"/>
      <c r="SE948" s="1273"/>
      <c r="SF948" s="1273"/>
      <c r="SG948" s="1273"/>
      <c r="SH948" s="1273"/>
      <c r="SI948" s="1273"/>
      <c r="SJ948" s="1273"/>
      <c r="SK948" s="1273"/>
      <c r="SL948" s="1273"/>
      <c r="SM948" s="1273"/>
      <c r="SN948" s="1273"/>
      <c r="SO948" s="1273"/>
      <c r="SP948" s="1273"/>
      <c r="SQ948" s="1273"/>
      <c r="SR948" s="1273"/>
      <c r="SS948" s="1273"/>
      <c r="ST948" s="1273"/>
      <c r="SU948" s="1273"/>
      <c r="SV948" s="1273"/>
      <c r="SW948" s="1273"/>
      <c r="SX948" s="1273"/>
      <c r="SY948" s="1273"/>
      <c r="SZ948" s="1273"/>
      <c r="TA948" s="1273"/>
      <c r="TB948" s="1273"/>
      <c r="TC948" s="1273"/>
      <c r="TD948" s="1273"/>
      <c r="TE948" s="1273"/>
      <c r="TF948" s="1273"/>
      <c r="TG948" s="1273"/>
      <c r="TH948" s="1273"/>
      <c r="TI948" s="1273"/>
      <c r="TJ948" s="1273"/>
      <c r="TK948" s="1273"/>
      <c r="TL948" s="1273"/>
      <c r="TM948" s="1273"/>
      <c r="TN948" s="1273"/>
      <c r="TO948" s="1273"/>
      <c r="TP948" s="1273"/>
      <c r="TQ948" s="1273"/>
      <c r="TR948" s="1273"/>
      <c r="TS948" s="1273"/>
      <c r="TT948" s="1273"/>
      <c r="TU948" s="1273"/>
      <c r="TV948" s="1273"/>
      <c r="TW948" s="1273"/>
      <c r="TX948" s="1273"/>
      <c r="TY948" s="1273"/>
      <c r="TZ948" s="1273"/>
      <c r="UA948" s="1273"/>
      <c r="UB948" s="1273"/>
      <c r="UC948" s="1273"/>
      <c r="UD948" s="1273"/>
      <c r="UE948" s="1273"/>
      <c r="UF948" s="1273"/>
      <c r="UG948" s="1274"/>
    </row>
    <row r="949" spans="1:553" s="1275" customFormat="1" ht="34.15" customHeight="1">
      <c r="A949" s="356"/>
      <c r="B949" s="356"/>
      <c r="C949" s="1622" t="s">
        <v>1205</v>
      </c>
      <c r="D949" s="1623"/>
      <c r="E949" s="1623"/>
      <c r="F949" s="1624"/>
      <c r="G949" s="372" t="s">
        <v>46</v>
      </c>
      <c r="H949" s="502"/>
      <c r="I949" s="1072">
        <f>(95.03*100/500)*(23-(4-3))*2</f>
        <v>836.26400000000001</v>
      </c>
      <c r="J949" s="368">
        <v>11000</v>
      </c>
      <c r="K949" s="717">
        <v>0.7</v>
      </c>
      <c r="L949" s="480">
        <f t="shared" si="140"/>
        <v>6439232.7999999998</v>
      </c>
      <c r="M949" s="444"/>
      <c r="N949" s="444"/>
      <c r="O949" s="444"/>
      <c r="P949" s="444"/>
      <c r="Q949" s="1251"/>
      <c r="R949" s="1253"/>
      <c r="S949" s="308"/>
      <c r="T949" s="308"/>
      <c r="U949" s="308"/>
      <c r="V949" s="308"/>
      <c r="W949" s="308"/>
      <c r="X949" s="308"/>
      <c r="Y949" s="308"/>
      <c r="Z949" s="604"/>
      <c r="AA949" s="308"/>
      <c r="AB949" s="308"/>
      <c r="AC949" s="687"/>
      <c r="AD949" s="687"/>
      <c r="AE949" s="687"/>
      <c r="AF949" s="687"/>
      <c r="AG949" s="687"/>
      <c r="AH949" s="687"/>
      <c r="AI949" s="687"/>
      <c r="AJ949" s="687"/>
      <c r="AK949" s="688"/>
      <c r="AL949" s="1273"/>
      <c r="AM949" s="1273"/>
      <c r="AN949" s="1273"/>
      <c r="AO949" s="1273"/>
      <c r="AP949" s="1273"/>
      <c r="AQ949" s="1273"/>
      <c r="AR949" s="1273"/>
      <c r="AS949" s="1273"/>
      <c r="AT949" s="1273"/>
      <c r="AU949" s="1273"/>
      <c r="AV949" s="1273"/>
      <c r="AW949" s="1273"/>
      <c r="AX949" s="1273"/>
      <c r="AY949" s="1273"/>
      <c r="AZ949" s="1273"/>
      <c r="BA949" s="1273"/>
      <c r="BB949" s="1273"/>
      <c r="BC949" s="1273"/>
      <c r="BD949" s="1273"/>
      <c r="BE949" s="1273"/>
      <c r="BF949" s="1273"/>
      <c r="BG949" s="1273"/>
      <c r="BH949" s="1273"/>
      <c r="BI949" s="1273"/>
      <c r="BJ949" s="1273"/>
      <c r="BK949" s="1273"/>
      <c r="BL949" s="1273"/>
      <c r="BM949" s="1273"/>
      <c r="BN949" s="1273"/>
      <c r="BO949" s="1273"/>
      <c r="BP949" s="1273"/>
      <c r="BQ949" s="1273"/>
      <c r="BR949" s="1273"/>
      <c r="BS949" s="1273"/>
      <c r="BT949" s="1273"/>
      <c r="BU949" s="1273"/>
      <c r="BV949" s="1273"/>
      <c r="BW949" s="1273"/>
      <c r="BX949" s="1273"/>
      <c r="BY949" s="1273"/>
      <c r="BZ949" s="1273"/>
      <c r="CA949" s="1273"/>
      <c r="CB949" s="1273"/>
      <c r="CC949" s="1273"/>
      <c r="CD949" s="1273"/>
      <c r="CE949" s="1273"/>
      <c r="CF949" s="1273"/>
      <c r="CG949" s="1273"/>
      <c r="CH949" s="1273"/>
      <c r="CI949" s="1273"/>
      <c r="CJ949" s="1273"/>
      <c r="CK949" s="1273"/>
      <c r="CL949" s="1273"/>
      <c r="CM949" s="1273"/>
      <c r="CN949" s="1273"/>
      <c r="CO949" s="1273"/>
      <c r="CP949" s="1273"/>
      <c r="CQ949" s="1273"/>
      <c r="CR949" s="1273"/>
      <c r="CS949" s="1273"/>
      <c r="CT949" s="1273"/>
      <c r="CU949" s="1273"/>
      <c r="CV949" s="1273"/>
      <c r="CW949" s="1273"/>
      <c r="CX949" s="1273"/>
      <c r="CY949" s="1273"/>
      <c r="CZ949" s="1273"/>
      <c r="DA949" s="1273"/>
      <c r="DB949" s="1273"/>
      <c r="DC949" s="1273"/>
      <c r="DD949" s="1273"/>
      <c r="DE949" s="1273"/>
      <c r="DF949" s="1273"/>
      <c r="DG949" s="1273"/>
      <c r="DH949" s="1273"/>
      <c r="DI949" s="1273"/>
      <c r="DJ949" s="1273"/>
      <c r="DK949" s="1273"/>
      <c r="DL949" s="1273"/>
      <c r="DM949" s="1273"/>
      <c r="DN949" s="1273"/>
      <c r="DO949" s="1273"/>
      <c r="DP949" s="1273"/>
      <c r="DQ949" s="1273"/>
      <c r="DR949" s="1273"/>
      <c r="DS949" s="1273"/>
      <c r="DT949" s="1273"/>
      <c r="DU949" s="1273"/>
      <c r="DV949" s="1273"/>
      <c r="DW949" s="1273"/>
      <c r="DX949" s="1273"/>
      <c r="DY949" s="1273"/>
      <c r="DZ949" s="1273"/>
      <c r="EA949" s="1273"/>
      <c r="EB949" s="1273"/>
      <c r="EC949" s="1273"/>
      <c r="ED949" s="1273"/>
      <c r="EE949" s="1273"/>
      <c r="EF949" s="1273"/>
      <c r="EG949" s="1273"/>
      <c r="EH949" s="1273"/>
      <c r="EI949" s="1273"/>
      <c r="EJ949" s="1273"/>
      <c r="EK949" s="1273"/>
      <c r="EL949" s="1273"/>
      <c r="EM949" s="1273"/>
      <c r="EN949" s="1273"/>
      <c r="EO949" s="1273"/>
      <c r="EP949" s="1273"/>
      <c r="EQ949" s="1273"/>
      <c r="ER949" s="1273"/>
      <c r="ES949" s="1273"/>
      <c r="ET949" s="1273"/>
      <c r="EU949" s="1273"/>
      <c r="EV949" s="1273"/>
      <c r="EW949" s="1273"/>
      <c r="EX949" s="1273"/>
      <c r="EY949" s="1273"/>
      <c r="EZ949" s="1273"/>
      <c r="FA949" s="1273"/>
      <c r="FB949" s="1273"/>
      <c r="FC949" s="1273"/>
      <c r="FD949" s="1273"/>
      <c r="FE949" s="1273"/>
      <c r="FF949" s="1273"/>
      <c r="FG949" s="1273"/>
      <c r="FH949" s="1273"/>
      <c r="FI949" s="1273"/>
      <c r="FJ949" s="1273"/>
      <c r="FK949" s="1273"/>
      <c r="FL949" s="1273"/>
      <c r="FM949" s="1273"/>
      <c r="FN949" s="1273"/>
      <c r="FO949" s="1273"/>
      <c r="FP949" s="1273"/>
      <c r="FQ949" s="1273"/>
      <c r="FR949" s="1273"/>
      <c r="FS949" s="1273"/>
      <c r="FT949" s="1273"/>
      <c r="FU949" s="1273"/>
      <c r="FV949" s="1273"/>
      <c r="FW949" s="1273"/>
      <c r="FX949" s="1273"/>
      <c r="FY949" s="1273"/>
      <c r="FZ949" s="1273"/>
      <c r="GA949" s="1273"/>
      <c r="GB949" s="1273"/>
      <c r="GC949" s="1273"/>
      <c r="GD949" s="1273"/>
      <c r="GE949" s="1273"/>
      <c r="GF949" s="1273"/>
      <c r="GG949" s="1273"/>
      <c r="GH949" s="1273"/>
      <c r="GI949" s="1273"/>
      <c r="GJ949" s="1273"/>
      <c r="GK949" s="1273"/>
      <c r="GL949" s="1273"/>
      <c r="GM949" s="1273"/>
      <c r="GN949" s="1273"/>
      <c r="GO949" s="1273"/>
      <c r="GP949" s="1273"/>
      <c r="GQ949" s="1273"/>
      <c r="GR949" s="1273"/>
      <c r="GS949" s="1273"/>
      <c r="GT949" s="1273"/>
      <c r="GU949" s="1273"/>
      <c r="GV949" s="1273"/>
      <c r="GW949" s="1273"/>
      <c r="GX949" s="1273"/>
      <c r="GY949" s="1273"/>
      <c r="GZ949" s="1273"/>
      <c r="HA949" s="1273"/>
      <c r="HB949" s="1273"/>
      <c r="HC949" s="1273"/>
      <c r="HD949" s="1273"/>
      <c r="HE949" s="1273"/>
      <c r="HF949" s="1273"/>
      <c r="HG949" s="1273"/>
      <c r="HH949" s="1273"/>
      <c r="HI949" s="1273"/>
      <c r="HJ949" s="1273"/>
      <c r="HK949" s="1273"/>
      <c r="HL949" s="1273"/>
      <c r="HM949" s="1273"/>
      <c r="HN949" s="1273"/>
      <c r="HO949" s="1273"/>
      <c r="HP949" s="1273"/>
      <c r="HQ949" s="1273"/>
      <c r="HR949" s="1273"/>
      <c r="HS949" s="1273"/>
      <c r="HT949" s="1273"/>
      <c r="HU949" s="1273"/>
      <c r="HV949" s="1273"/>
      <c r="HW949" s="1273"/>
      <c r="HX949" s="1273"/>
      <c r="HY949" s="1273"/>
      <c r="HZ949" s="1273"/>
      <c r="IA949" s="1273"/>
      <c r="IB949" s="1273"/>
      <c r="IC949" s="1273"/>
      <c r="ID949" s="1273"/>
      <c r="IE949" s="1273"/>
      <c r="IF949" s="1273"/>
      <c r="IG949" s="1273"/>
      <c r="IH949" s="1273"/>
      <c r="II949" s="1273"/>
      <c r="IJ949" s="1273"/>
      <c r="IK949" s="1273"/>
      <c r="IL949" s="1273"/>
      <c r="IM949" s="1273"/>
      <c r="IN949" s="1273"/>
      <c r="IO949" s="1273"/>
      <c r="IP949" s="1273"/>
      <c r="IQ949" s="1273"/>
      <c r="IR949" s="1273"/>
      <c r="IS949" s="1273"/>
      <c r="IT949" s="1273"/>
      <c r="IU949" s="1273"/>
      <c r="IV949" s="1273"/>
      <c r="IW949" s="1273"/>
      <c r="IX949" s="1273"/>
      <c r="IY949" s="1273"/>
      <c r="IZ949" s="1273"/>
      <c r="JA949" s="1273"/>
      <c r="JB949" s="1273"/>
      <c r="JC949" s="1273"/>
      <c r="JD949" s="1273"/>
      <c r="JE949" s="1273"/>
      <c r="JF949" s="1273"/>
      <c r="JG949" s="1273"/>
      <c r="JH949" s="1273"/>
      <c r="JI949" s="1273"/>
      <c r="JJ949" s="1273"/>
      <c r="JK949" s="1273"/>
      <c r="JL949" s="1273"/>
      <c r="JM949" s="1273"/>
      <c r="JN949" s="1273"/>
      <c r="JO949" s="1273"/>
      <c r="JP949" s="1273"/>
      <c r="JQ949" s="1273"/>
      <c r="JR949" s="1273"/>
      <c r="JS949" s="1273"/>
      <c r="JT949" s="1273"/>
      <c r="JU949" s="1273"/>
      <c r="JV949" s="1273"/>
      <c r="JW949" s="1273"/>
      <c r="JX949" s="1273"/>
      <c r="JY949" s="1273"/>
      <c r="JZ949" s="1273"/>
      <c r="KA949" s="1273"/>
      <c r="KB949" s="1273"/>
      <c r="KC949" s="1273"/>
      <c r="KD949" s="1273"/>
      <c r="KE949" s="1273"/>
      <c r="KF949" s="1273"/>
      <c r="KG949" s="1273"/>
      <c r="KH949" s="1273"/>
      <c r="KI949" s="1273"/>
      <c r="KJ949" s="1273"/>
      <c r="KK949" s="1273"/>
      <c r="KL949" s="1273"/>
      <c r="KM949" s="1273"/>
      <c r="KN949" s="1273"/>
      <c r="KO949" s="1273"/>
      <c r="KP949" s="1273"/>
      <c r="KQ949" s="1273"/>
      <c r="KR949" s="1273"/>
      <c r="KS949" s="1273"/>
      <c r="KT949" s="1273"/>
      <c r="KU949" s="1273"/>
      <c r="KV949" s="1273"/>
      <c r="KW949" s="1273"/>
      <c r="KX949" s="1273"/>
      <c r="KY949" s="1273"/>
      <c r="KZ949" s="1273"/>
      <c r="LA949" s="1273"/>
      <c r="LB949" s="1273"/>
      <c r="LC949" s="1273"/>
      <c r="LD949" s="1273"/>
      <c r="LE949" s="1273"/>
      <c r="LF949" s="1273"/>
      <c r="LG949" s="1273"/>
      <c r="LH949" s="1273"/>
      <c r="LI949" s="1273"/>
      <c r="LJ949" s="1273"/>
      <c r="LK949" s="1273"/>
      <c r="LL949" s="1273"/>
      <c r="LM949" s="1273"/>
      <c r="LN949" s="1273"/>
      <c r="LO949" s="1273"/>
      <c r="LP949" s="1273"/>
      <c r="LQ949" s="1273"/>
      <c r="LR949" s="1273"/>
      <c r="LS949" s="1273"/>
      <c r="LT949" s="1273"/>
      <c r="LU949" s="1273"/>
      <c r="LV949" s="1273"/>
      <c r="LW949" s="1273"/>
      <c r="LX949" s="1273"/>
      <c r="LY949" s="1273"/>
      <c r="LZ949" s="1273"/>
      <c r="MA949" s="1273"/>
      <c r="MB949" s="1273"/>
      <c r="MC949" s="1273"/>
      <c r="MD949" s="1273"/>
      <c r="ME949" s="1273"/>
      <c r="MF949" s="1273"/>
      <c r="MG949" s="1273"/>
      <c r="MH949" s="1273"/>
      <c r="MI949" s="1273"/>
      <c r="MJ949" s="1273"/>
      <c r="MK949" s="1273"/>
      <c r="ML949" s="1273"/>
      <c r="MM949" s="1273"/>
      <c r="MN949" s="1273"/>
      <c r="MO949" s="1273"/>
      <c r="MP949" s="1273"/>
      <c r="MQ949" s="1273"/>
      <c r="MR949" s="1273"/>
      <c r="MS949" s="1273"/>
      <c r="MT949" s="1273"/>
      <c r="MU949" s="1273"/>
      <c r="MV949" s="1273"/>
      <c r="MW949" s="1273"/>
      <c r="MX949" s="1273"/>
      <c r="MY949" s="1273"/>
      <c r="MZ949" s="1273"/>
      <c r="NA949" s="1273"/>
      <c r="NB949" s="1273"/>
      <c r="NC949" s="1273"/>
      <c r="ND949" s="1273"/>
      <c r="NE949" s="1273"/>
      <c r="NF949" s="1273"/>
      <c r="NG949" s="1273"/>
      <c r="NH949" s="1273"/>
      <c r="NI949" s="1273"/>
      <c r="NJ949" s="1273"/>
      <c r="NK949" s="1273"/>
      <c r="NL949" s="1273"/>
      <c r="NM949" s="1273"/>
      <c r="NN949" s="1273"/>
      <c r="NO949" s="1273"/>
      <c r="NP949" s="1273"/>
      <c r="NQ949" s="1273"/>
      <c r="NR949" s="1273"/>
      <c r="NS949" s="1273"/>
      <c r="NT949" s="1273"/>
      <c r="NU949" s="1273"/>
      <c r="NV949" s="1273"/>
      <c r="NW949" s="1273"/>
      <c r="NX949" s="1273"/>
      <c r="NY949" s="1273"/>
      <c r="NZ949" s="1273"/>
      <c r="OA949" s="1273"/>
      <c r="OB949" s="1273"/>
      <c r="OC949" s="1273"/>
      <c r="OD949" s="1273"/>
      <c r="OE949" s="1273"/>
      <c r="OF949" s="1273"/>
      <c r="OG949" s="1273"/>
      <c r="OH949" s="1273"/>
      <c r="OI949" s="1273"/>
      <c r="OJ949" s="1273"/>
      <c r="OK949" s="1273"/>
      <c r="OL949" s="1273"/>
      <c r="OM949" s="1273"/>
      <c r="ON949" s="1273"/>
      <c r="OO949" s="1273"/>
      <c r="OP949" s="1273"/>
      <c r="OQ949" s="1273"/>
      <c r="OR949" s="1273"/>
      <c r="OS949" s="1273"/>
      <c r="OT949" s="1273"/>
      <c r="OU949" s="1273"/>
      <c r="OV949" s="1273"/>
      <c r="OW949" s="1273"/>
      <c r="OX949" s="1273"/>
      <c r="OY949" s="1273"/>
      <c r="OZ949" s="1273"/>
      <c r="PA949" s="1273"/>
      <c r="PB949" s="1273"/>
      <c r="PC949" s="1273"/>
      <c r="PD949" s="1273"/>
      <c r="PE949" s="1273"/>
      <c r="PF949" s="1273"/>
      <c r="PG949" s="1273"/>
      <c r="PH949" s="1273"/>
      <c r="PI949" s="1273"/>
      <c r="PJ949" s="1273"/>
      <c r="PK949" s="1273"/>
      <c r="PL949" s="1273"/>
      <c r="PM949" s="1273"/>
      <c r="PN949" s="1273"/>
      <c r="PO949" s="1273"/>
      <c r="PP949" s="1273"/>
      <c r="PQ949" s="1273"/>
      <c r="PR949" s="1273"/>
      <c r="PS949" s="1273"/>
      <c r="PT949" s="1273"/>
      <c r="PU949" s="1273"/>
      <c r="PV949" s="1273"/>
      <c r="PW949" s="1273"/>
      <c r="PX949" s="1273"/>
      <c r="PY949" s="1273"/>
      <c r="PZ949" s="1273"/>
      <c r="QA949" s="1273"/>
      <c r="QB949" s="1273"/>
      <c r="QC949" s="1273"/>
      <c r="QD949" s="1273"/>
      <c r="QE949" s="1273"/>
      <c r="QF949" s="1273"/>
      <c r="QG949" s="1273"/>
      <c r="QH949" s="1273"/>
      <c r="QI949" s="1273"/>
      <c r="QJ949" s="1273"/>
      <c r="QK949" s="1273"/>
      <c r="QL949" s="1273"/>
      <c r="QM949" s="1273"/>
      <c r="QN949" s="1273"/>
      <c r="QO949" s="1273"/>
      <c r="QP949" s="1273"/>
      <c r="QQ949" s="1273"/>
      <c r="QR949" s="1273"/>
      <c r="QS949" s="1273"/>
      <c r="QT949" s="1273"/>
      <c r="QU949" s="1273"/>
      <c r="QV949" s="1273"/>
      <c r="QW949" s="1273"/>
      <c r="QX949" s="1273"/>
      <c r="QY949" s="1273"/>
      <c r="QZ949" s="1273"/>
      <c r="RA949" s="1273"/>
      <c r="RB949" s="1273"/>
      <c r="RC949" s="1273"/>
      <c r="RD949" s="1273"/>
      <c r="RE949" s="1273"/>
      <c r="RF949" s="1273"/>
      <c r="RG949" s="1273"/>
      <c r="RH949" s="1273"/>
      <c r="RI949" s="1273"/>
      <c r="RJ949" s="1273"/>
      <c r="RK949" s="1273"/>
      <c r="RL949" s="1273"/>
      <c r="RM949" s="1273"/>
      <c r="RN949" s="1273"/>
      <c r="RO949" s="1273"/>
      <c r="RP949" s="1273"/>
      <c r="RQ949" s="1273"/>
      <c r="RR949" s="1273"/>
      <c r="RS949" s="1273"/>
      <c r="RT949" s="1273"/>
      <c r="RU949" s="1273"/>
      <c r="RV949" s="1273"/>
      <c r="RW949" s="1273"/>
      <c r="RX949" s="1273"/>
      <c r="RY949" s="1273"/>
      <c r="RZ949" s="1273"/>
      <c r="SA949" s="1273"/>
      <c r="SB949" s="1273"/>
      <c r="SC949" s="1273"/>
      <c r="SD949" s="1273"/>
      <c r="SE949" s="1273"/>
      <c r="SF949" s="1273"/>
      <c r="SG949" s="1273"/>
      <c r="SH949" s="1273"/>
      <c r="SI949" s="1273"/>
      <c r="SJ949" s="1273"/>
      <c r="SK949" s="1273"/>
      <c r="SL949" s="1273"/>
      <c r="SM949" s="1273"/>
      <c r="SN949" s="1273"/>
      <c r="SO949" s="1273"/>
      <c r="SP949" s="1273"/>
      <c r="SQ949" s="1273"/>
      <c r="SR949" s="1273"/>
      <c r="SS949" s="1273"/>
      <c r="ST949" s="1273"/>
      <c r="SU949" s="1273"/>
      <c r="SV949" s="1273"/>
      <c r="SW949" s="1273"/>
      <c r="SX949" s="1273"/>
      <c r="SY949" s="1273"/>
      <c r="SZ949" s="1273"/>
      <c r="TA949" s="1273"/>
      <c r="TB949" s="1273"/>
      <c r="TC949" s="1273"/>
      <c r="TD949" s="1273"/>
      <c r="TE949" s="1273"/>
      <c r="TF949" s="1273"/>
      <c r="TG949" s="1273"/>
      <c r="TH949" s="1273"/>
      <c r="TI949" s="1273"/>
      <c r="TJ949" s="1273"/>
      <c r="TK949" s="1273"/>
      <c r="TL949" s="1273"/>
      <c r="TM949" s="1273"/>
      <c r="TN949" s="1273"/>
      <c r="TO949" s="1273"/>
      <c r="TP949" s="1273"/>
      <c r="TQ949" s="1273"/>
      <c r="TR949" s="1273"/>
      <c r="TS949" s="1273"/>
      <c r="TT949" s="1273"/>
      <c r="TU949" s="1273"/>
      <c r="TV949" s="1273"/>
      <c r="TW949" s="1273"/>
      <c r="TX949" s="1273"/>
      <c r="TY949" s="1273"/>
      <c r="TZ949" s="1273"/>
      <c r="UA949" s="1273"/>
      <c r="UB949" s="1273"/>
      <c r="UC949" s="1273"/>
      <c r="UD949" s="1273"/>
      <c r="UE949" s="1273"/>
      <c r="UF949" s="1273"/>
      <c r="UG949" s="1274"/>
    </row>
    <row r="950" spans="1:553" s="1275" customFormat="1" ht="34.15" customHeight="1">
      <c r="A950" s="401"/>
      <c r="B950" s="401"/>
      <c r="C950" s="1625" t="s">
        <v>1206</v>
      </c>
      <c r="D950" s="1626"/>
      <c r="E950" s="1626"/>
      <c r="F950" s="1627"/>
      <c r="G950" s="1009" t="s">
        <v>46</v>
      </c>
      <c r="H950" s="519"/>
      <c r="I950" s="1298">
        <f>(42.76*100/400)*(32-(5-3))*1</f>
        <v>320.7</v>
      </c>
      <c r="J950" s="1089">
        <v>7300</v>
      </c>
      <c r="K950" s="718">
        <v>0.7</v>
      </c>
      <c r="L950" s="1013">
        <f>I950*J950*K950</f>
        <v>1638777</v>
      </c>
      <c r="M950" s="444"/>
      <c r="N950" s="444"/>
      <c r="O950" s="444"/>
      <c r="P950" s="444"/>
      <c r="Q950" s="1251"/>
      <c r="R950" s="1253"/>
      <c r="S950" s="308"/>
      <c r="T950" s="308"/>
      <c r="U950" s="308"/>
      <c r="V950" s="308"/>
      <c r="W950" s="308"/>
      <c r="X950" s="308"/>
      <c r="Y950" s="308"/>
      <c r="Z950" s="604"/>
      <c r="AA950" s="308"/>
      <c r="AB950" s="308"/>
      <c r="AC950" s="687"/>
      <c r="AD950" s="687"/>
      <c r="AE950" s="687"/>
      <c r="AF950" s="687"/>
      <c r="AG950" s="687"/>
      <c r="AH950" s="687"/>
      <c r="AI950" s="687"/>
      <c r="AJ950" s="687"/>
      <c r="AK950" s="688"/>
      <c r="AL950" s="1273"/>
      <c r="AM950" s="1273"/>
      <c r="AN950" s="1273"/>
      <c r="AO950" s="1273"/>
      <c r="AP950" s="1273"/>
      <c r="AQ950" s="1273"/>
      <c r="AR950" s="1273"/>
      <c r="AS950" s="1273"/>
      <c r="AT950" s="1273"/>
      <c r="AU950" s="1273"/>
      <c r="AV950" s="1273"/>
      <c r="AW950" s="1273"/>
      <c r="AX950" s="1273"/>
      <c r="AY950" s="1273"/>
      <c r="AZ950" s="1273"/>
      <c r="BA950" s="1273"/>
      <c r="BB950" s="1273"/>
      <c r="BC950" s="1273"/>
      <c r="BD950" s="1273"/>
      <c r="BE950" s="1273"/>
      <c r="BF950" s="1273"/>
      <c r="BG950" s="1273"/>
      <c r="BH950" s="1273"/>
      <c r="BI950" s="1273"/>
      <c r="BJ950" s="1273"/>
      <c r="BK950" s="1273"/>
      <c r="BL950" s="1273"/>
      <c r="BM950" s="1273"/>
      <c r="BN950" s="1273"/>
      <c r="BO950" s="1273"/>
      <c r="BP950" s="1273"/>
      <c r="BQ950" s="1273"/>
      <c r="BR950" s="1273"/>
      <c r="BS950" s="1273"/>
      <c r="BT950" s="1273"/>
      <c r="BU950" s="1273"/>
      <c r="BV950" s="1273"/>
      <c r="BW950" s="1273"/>
      <c r="BX950" s="1273"/>
      <c r="BY950" s="1273"/>
      <c r="BZ950" s="1273"/>
      <c r="CA950" s="1273"/>
      <c r="CB950" s="1273"/>
      <c r="CC950" s="1273"/>
      <c r="CD950" s="1273"/>
      <c r="CE950" s="1273"/>
      <c r="CF950" s="1273"/>
      <c r="CG950" s="1273"/>
      <c r="CH950" s="1273"/>
      <c r="CI950" s="1273"/>
      <c r="CJ950" s="1273"/>
      <c r="CK950" s="1273"/>
      <c r="CL950" s="1273"/>
      <c r="CM950" s="1273"/>
      <c r="CN950" s="1273"/>
      <c r="CO950" s="1273"/>
      <c r="CP950" s="1273"/>
      <c r="CQ950" s="1273"/>
      <c r="CR950" s="1273"/>
      <c r="CS950" s="1273"/>
      <c r="CT950" s="1273"/>
      <c r="CU950" s="1273"/>
      <c r="CV950" s="1273"/>
      <c r="CW950" s="1273"/>
      <c r="CX950" s="1273"/>
      <c r="CY950" s="1273"/>
      <c r="CZ950" s="1273"/>
      <c r="DA950" s="1273"/>
      <c r="DB950" s="1273"/>
      <c r="DC950" s="1273"/>
      <c r="DD950" s="1273"/>
      <c r="DE950" s="1273"/>
      <c r="DF950" s="1273"/>
      <c r="DG950" s="1273"/>
      <c r="DH950" s="1273"/>
      <c r="DI950" s="1273"/>
      <c r="DJ950" s="1273"/>
      <c r="DK950" s="1273"/>
      <c r="DL950" s="1273"/>
      <c r="DM950" s="1273"/>
      <c r="DN950" s="1273"/>
      <c r="DO950" s="1273"/>
      <c r="DP950" s="1273"/>
      <c r="DQ950" s="1273"/>
      <c r="DR950" s="1273"/>
      <c r="DS950" s="1273"/>
      <c r="DT950" s="1273"/>
      <c r="DU950" s="1273"/>
      <c r="DV950" s="1273"/>
      <c r="DW950" s="1273"/>
      <c r="DX950" s="1273"/>
      <c r="DY950" s="1273"/>
      <c r="DZ950" s="1273"/>
      <c r="EA950" s="1273"/>
      <c r="EB950" s="1273"/>
      <c r="EC950" s="1273"/>
      <c r="ED950" s="1273"/>
      <c r="EE950" s="1273"/>
      <c r="EF950" s="1273"/>
      <c r="EG950" s="1273"/>
      <c r="EH950" s="1273"/>
      <c r="EI950" s="1273"/>
      <c r="EJ950" s="1273"/>
      <c r="EK950" s="1273"/>
      <c r="EL950" s="1273"/>
      <c r="EM950" s="1273"/>
      <c r="EN950" s="1273"/>
      <c r="EO950" s="1273"/>
      <c r="EP950" s="1273"/>
      <c r="EQ950" s="1273"/>
      <c r="ER950" s="1273"/>
      <c r="ES950" s="1273"/>
      <c r="ET950" s="1273"/>
      <c r="EU950" s="1273"/>
      <c r="EV950" s="1273"/>
      <c r="EW950" s="1273"/>
      <c r="EX950" s="1273"/>
      <c r="EY950" s="1273"/>
      <c r="EZ950" s="1273"/>
      <c r="FA950" s="1273"/>
      <c r="FB950" s="1273"/>
      <c r="FC950" s="1273"/>
      <c r="FD950" s="1273"/>
      <c r="FE950" s="1273"/>
      <c r="FF950" s="1273"/>
      <c r="FG950" s="1273"/>
      <c r="FH950" s="1273"/>
      <c r="FI950" s="1273"/>
      <c r="FJ950" s="1273"/>
      <c r="FK950" s="1273"/>
      <c r="FL950" s="1273"/>
      <c r="FM950" s="1273"/>
      <c r="FN950" s="1273"/>
      <c r="FO950" s="1273"/>
      <c r="FP950" s="1273"/>
      <c r="FQ950" s="1273"/>
      <c r="FR950" s="1273"/>
      <c r="FS950" s="1273"/>
      <c r="FT950" s="1273"/>
      <c r="FU950" s="1273"/>
      <c r="FV950" s="1273"/>
      <c r="FW950" s="1273"/>
      <c r="FX950" s="1273"/>
      <c r="FY950" s="1273"/>
      <c r="FZ950" s="1273"/>
      <c r="GA950" s="1273"/>
      <c r="GB950" s="1273"/>
      <c r="GC950" s="1273"/>
      <c r="GD950" s="1273"/>
      <c r="GE950" s="1273"/>
      <c r="GF950" s="1273"/>
      <c r="GG950" s="1273"/>
      <c r="GH950" s="1273"/>
      <c r="GI950" s="1273"/>
      <c r="GJ950" s="1273"/>
      <c r="GK950" s="1273"/>
      <c r="GL950" s="1273"/>
      <c r="GM950" s="1273"/>
      <c r="GN950" s="1273"/>
      <c r="GO950" s="1273"/>
      <c r="GP950" s="1273"/>
      <c r="GQ950" s="1273"/>
      <c r="GR950" s="1273"/>
      <c r="GS950" s="1273"/>
      <c r="GT950" s="1273"/>
      <c r="GU950" s="1273"/>
      <c r="GV950" s="1273"/>
      <c r="GW950" s="1273"/>
      <c r="GX950" s="1273"/>
      <c r="GY950" s="1273"/>
      <c r="GZ950" s="1273"/>
      <c r="HA950" s="1273"/>
      <c r="HB950" s="1273"/>
      <c r="HC950" s="1273"/>
      <c r="HD950" s="1273"/>
      <c r="HE950" s="1273"/>
      <c r="HF950" s="1273"/>
      <c r="HG950" s="1273"/>
      <c r="HH950" s="1273"/>
      <c r="HI950" s="1273"/>
      <c r="HJ950" s="1273"/>
      <c r="HK950" s="1273"/>
      <c r="HL950" s="1273"/>
      <c r="HM950" s="1273"/>
      <c r="HN950" s="1273"/>
      <c r="HO950" s="1273"/>
      <c r="HP950" s="1273"/>
      <c r="HQ950" s="1273"/>
      <c r="HR950" s="1273"/>
      <c r="HS950" s="1273"/>
      <c r="HT950" s="1273"/>
      <c r="HU950" s="1273"/>
      <c r="HV950" s="1273"/>
      <c r="HW950" s="1273"/>
      <c r="HX950" s="1273"/>
      <c r="HY950" s="1273"/>
      <c r="HZ950" s="1273"/>
      <c r="IA950" s="1273"/>
      <c r="IB950" s="1273"/>
      <c r="IC950" s="1273"/>
      <c r="ID950" s="1273"/>
      <c r="IE950" s="1273"/>
      <c r="IF950" s="1273"/>
      <c r="IG950" s="1273"/>
      <c r="IH950" s="1273"/>
      <c r="II950" s="1273"/>
      <c r="IJ950" s="1273"/>
      <c r="IK950" s="1273"/>
      <c r="IL950" s="1273"/>
      <c r="IM950" s="1273"/>
      <c r="IN950" s="1273"/>
      <c r="IO950" s="1273"/>
      <c r="IP950" s="1273"/>
      <c r="IQ950" s="1273"/>
      <c r="IR950" s="1273"/>
      <c r="IS950" s="1273"/>
      <c r="IT950" s="1273"/>
      <c r="IU950" s="1273"/>
      <c r="IV950" s="1273"/>
      <c r="IW950" s="1273"/>
      <c r="IX950" s="1273"/>
      <c r="IY950" s="1273"/>
      <c r="IZ950" s="1273"/>
      <c r="JA950" s="1273"/>
      <c r="JB950" s="1273"/>
      <c r="JC950" s="1273"/>
      <c r="JD950" s="1273"/>
      <c r="JE950" s="1273"/>
      <c r="JF950" s="1273"/>
      <c r="JG950" s="1273"/>
      <c r="JH950" s="1273"/>
      <c r="JI950" s="1273"/>
      <c r="JJ950" s="1273"/>
      <c r="JK950" s="1273"/>
      <c r="JL950" s="1273"/>
      <c r="JM950" s="1273"/>
      <c r="JN950" s="1273"/>
      <c r="JO950" s="1273"/>
      <c r="JP950" s="1273"/>
      <c r="JQ950" s="1273"/>
      <c r="JR950" s="1273"/>
      <c r="JS950" s="1273"/>
      <c r="JT950" s="1273"/>
      <c r="JU950" s="1273"/>
      <c r="JV950" s="1273"/>
      <c r="JW950" s="1273"/>
      <c r="JX950" s="1273"/>
      <c r="JY950" s="1273"/>
      <c r="JZ950" s="1273"/>
      <c r="KA950" s="1273"/>
      <c r="KB950" s="1273"/>
      <c r="KC950" s="1273"/>
      <c r="KD950" s="1273"/>
      <c r="KE950" s="1273"/>
      <c r="KF950" s="1273"/>
      <c r="KG950" s="1273"/>
      <c r="KH950" s="1273"/>
      <c r="KI950" s="1273"/>
      <c r="KJ950" s="1273"/>
      <c r="KK950" s="1273"/>
      <c r="KL950" s="1273"/>
      <c r="KM950" s="1273"/>
      <c r="KN950" s="1273"/>
      <c r="KO950" s="1273"/>
      <c r="KP950" s="1273"/>
      <c r="KQ950" s="1273"/>
      <c r="KR950" s="1273"/>
      <c r="KS950" s="1273"/>
      <c r="KT950" s="1273"/>
      <c r="KU950" s="1273"/>
      <c r="KV950" s="1273"/>
      <c r="KW950" s="1273"/>
      <c r="KX950" s="1273"/>
      <c r="KY950" s="1273"/>
      <c r="KZ950" s="1273"/>
      <c r="LA950" s="1273"/>
      <c r="LB950" s="1273"/>
      <c r="LC950" s="1273"/>
      <c r="LD950" s="1273"/>
      <c r="LE950" s="1273"/>
      <c r="LF950" s="1273"/>
      <c r="LG950" s="1273"/>
      <c r="LH950" s="1273"/>
      <c r="LI950" s="1273"/>
      <c r="LJ950" s="1273"/>
      <c r="LK950" s="1273"/>
      <c r="LL950" s="1273"/>
      <c r="LM950" s="1273"/>
      <c r="LN950" s="1273"/>
      <c r="LO950" s="1273"/>
      <c r="LP950" s="1273"/>
      <c r="LQ950" s="1273"/>
      <c r="LR950" s="1273"/>
      <c r="LS950" s="1273"/>
      <c r="LT950" s="1273"/>
      <c r="LU950" s="1273"/>
      <c r="LV950" s="1273"/>
      <c r="LW950" s="1273"/>
      <c r="LX950" s="1273"/>
      <c r="LY950" s="1273"/>
      <c r="LZ950" s="1273"/>
      <c r="MA950" s="1273"/>
      <c r="MB950" s="1273"/>
      <c r="MC950" s="1273"/>
      <c r="MD950" s="1273"/>
      <c r="ME950" s="1273"/>
      <c r="MF950" s="1273"/>
      <c r="MG950" s="1273"/>
      <c r="MH950" s="1273"/>
      <c r="MI950" s="1273"/>
      <c r="MJ950" s="1273"/>
      <c r="MK950" s="1273"/>
      <c r="ML950" s="1273"/>
      <c r="MM950" s="1273"/>
      <c r="MN950" s="1273"/>
      <c r="MO950" s="1273"/>
      <c r="MP950" s="1273"/>
      <c r="MQ950" s="1273"/>
      <c r="MR950" s="1273"/>
      <c r="MS950" s="1273"/>
      <c r="MT950" s="1273"/>
      <c r="MU950" s="1273"/>
      <c r="MV950" s="1273"/>
      <c r="MW950" s="1273"/>
      <c r="MX950" s="1273"/>
      <c r="MY950" s="1273"/>
      <c r="MZ950" s="1273"/>
      <c r="NA950" s="1273"/>
      <c r="NB950" s="1273"/>
      <c r="NC950" s="1273"/>
      <c r="ND950" s="1273"/>
      <c r="NE950" s="1273"/>
      <c r="NF950" s="1273"/>
      <c r="NG950" s="1273"/>
      <c r="NH950" s="1273"/>
      <c r="NI950" s="1273"/>
      <c r="NJ950" s="1273"/>
      <c r="NK950" s="1273"/>
      <c r="NL950" s="1273"/>
      <c r="NM950" s="1273"/>
      <c r="NN950" s="1273"/>
      <c r="NO950" s="1273"/>
      <c r="NP950" s="1273"/>
      <c r="NQ950" s="1273"/>
      <c r="NR950" s="1273"/>
      <c r="NS950" s="1273"/>
      <c r="NT950" s="1273"/>
      <c r="NU950" s="1273"/>
      <c r="NV950" s="1273"/>
      <c r="NW950" s="1273"/>
      <c r="NX950" s="1273"/>
      <c r="NY950" s="1273"/>
      <c r="NZ950" s="1273"/>
      <c r="OA950" s="1273"/>
      <c r="OB950" s="1273"/>
      <c r="OC950" s="1273"/>
      <c r="OD950" s="1273"/>
      <c r="OE950" s="1273"/>
      <c r="OF950" s="1273"/>
      <c r="OG950" s="1273"/>
      <c r="OH950" s="1273"/>
      <c r="OI950" s="1273"/>
      <c r="OJ950" s="1273"/>
      <c r="OK950" s="1273"/>
      <c r="OL950" s="1273"/>
      <c r="OM950" s="1273"/>
      <c r="ON950" s="1273"/>
      <c r="OO950" s="1273"/>
      <c r="OP950" s="1273"/>
      <c r="OQ950" s="1273"/>
      <c r="OR950" s="1273"/>
      <c r="OS950" s="1273"/>
      <c r="OT950" s="1273"/>
      <c r="OU950" s="1273"/>
      <c r="OV950" s="1273"/>
      <c r="OW950" s="1273"/>
      <c r="OX950" s="1273"/>
      <c r="OY950" s="1273"/>
      <c r="OZ950" s="1273"/>
      <c r="PA950" s="1273"/>
      <c r="PB950" s="1273"/>
      <c r="PC950" s="1273"/>
      <c r="PD950" s="1273"/>
      <c r="PE950" s="1273"/>
      <c r="PF950" s="1273"/>
      <c r="PG950" s="1273"/>
      <c r="PH950" s="1273"/>
      <c r="PI950" s="1273"/>
      <c r="PJ950" s="1273"/>
      <c r="PK950" s="1273"/>
      <c r="PL950" s="1273"/>
      <c r="PM950" s="1273"/>
      <c r="PN950" s="1273"/>
      <c r="PO950" s="1273"/>
      <c r="PP950" s="1273"/>
      <c r="PQ950" s="1273"/>
      <c r="PR950" s="1273"/>
      <c r="PS950" s="1273"/>
      <c r="PT950" s="1273"/>
      <c r="PU950" s="1273"/>
      <c r="PV950" s="1273"/>
      <c r="PW950" s="1273"/>
      <c r="PX950" s="1273"/>
      <c r="PY950" s="1273"/>
      <c r="PZ950" s="1273"/>
      <c r="QA950" s="1273"/>
      <c r="QB950" s="1273"/>
      <c r="QC950" s="1273"/>
      <c r="QD950" s="1273"/>
      <c r="QE950" s="1273"/>
      <c r="QF950" s="1273"/>
      <c r="QG950" s="1273"/>
      <c r="QH950" s="1273"/>
      <c r="QI950" s="1273"/>
      <c r="QJ950" s="1273"/>
      <c r="QK950" s="1273"/>
      <c r="QL950" s="1273"/>
      <c r="QM950" s="1273"/>
      <c r="QN950" s="1273"/>
      <c r="QO950" s="1273"/>
      <c r="QP950" s="1273"/>
      <c r="QQ950" s="1273"/>
      <c r="QR950" s="1273"/>
      <c r="QS950" s="1273"/>
      <c r="QT950" s="1273"/>
      <c r="QU950" s="1273"/>
      <c r="QV950" s="1273"/>
      <c r="QW950" s="1273"/>
      <c r="QX950" s="1273"/>
      <c r="QY950" s="1273"/>
      <c r="QZ950" s="1273"/>
      <c r="RA950" s="1273"/>
      <c r="RB950" s="1273"/>
      <c r="RC950" s="1273"/>
      <c r="RD950" s="1273"/>
      <c r="RE950" s="1273"/>
      <c r="RF950" s="1273"/>
      <c r="RG950" s="1273"/>
      <c r="RH950" s="1273"/>
      <c r="RI950" s="1273"/>
      <c r="RJ950" s="1273"/>
      <c r="RK950" s="1273"/>
      <c r="RL950" s="1273"/>
      <c r="RM950" s="1273"/>
      <c r="RN950" s="1273"/>
      <c r="RO950" s="1273"/>
      <c r="RP950" s="1273"/>
      <c r="RQ950" s="1273"/>
      <c r="RR950" s="1273"/>
      <c r="RS950" s="1273"/>
      <c r="RT950" s="1273"/>
      <c r="RU950" s="1273"/>
      <c r="RV950" s="1273"/>
      <c r="RW950" s="1273"/>
      <c r="RX950" s="1273"/>
      <c r="RY950" s="1273"/>
      <c r="RZ950" s="1273"/>
      <c r="SA950" s="1273"/>
      <c r="SB950" s="1273"/>
      <c r="SC950" s="1273"/>
      <c r="SD950" s="1273"/>
      <c r="SE950" s="1273"/>
      <c r="SF950" s="1273"/>
      <c r="SG950" s="1273"/>
      <c r="SH950" s="1273"/>
      <c r="SI950" s="1273"/>
      <c r="SJ950" s="1273"/>
      <c r="SK950" s="1273"/>
      <c r="SL950" s="1273"/>
      <c r="SM950" s="1273"/>
      <c r="SN950" s="1273"/>
      <c r="SO950" s="1273"/>
      <c r="SP950" s="1273"/>
      <c r="SQ950" s="1273"/>
      <c r="SR950" s="1273"/>
      <c r="SS950" s="1273"/>
      <c r="ST950" s="1273"/>
      <c r="SU950" s="1273"/>
      <c r="SV950" s="1273"/>
      <c r="SW950" s="1273"/>
      <c r="SX950" s="1273"/>
      <c r="SY950" s="1273"/>
      <c r="SZ950" s="1273"/>
      <c r="TA950" s="1273"/>
      <c r="TB950" s="1273"/>
      <c r="TC950" s="1273"/>
      <c r="TD950" s="1273"/>
      <c r="TE950" s="1273"/>
      <c r="TF950" s="1273"/>
      <c r="TG950" s="1273"/>
      <c r="TH950" s="1273"/>
      <c r="TI950" s="1273"/>
      <c r="TJ950" s="1273"/>
      <c r="TK950" s="1273"/>
      <c r="TL950" s="1273"/>
      <c r="TM950" s="1273"/>
      <c r="TN950" s="1273"/>
      <c r="TO950" s="1273"/>
      <c r="TP950" s="1273"/>
      <c r="TQ950" s="1273"/>
      <c r="TR950" s="1273"/>
      <c r="TS950" s="1273"/>
      <c r="TT950" s="1273"/>
      <c r="TU950" s="1273"/>
      <c r="TV950" s="1273"/>
      <c r="TW950" s="1273"/>
      <c r="TX950" s="1273"/>
      <c r="TY950" s="1273"/>
      <c r="TZ950" s="1273"/>
      <c r="UA950" s="1273"/>
      <c r="UB950" s="1273"/>
      <c r="UC950" s="1273"/>
      <c r="UD950" s="1273"/>
      <c r="UE950" s="1273"/>
      <c r="UF950" s="1273"/>
      <c r="UG950" s="1274"/>
    </row>
    <row r="951" spans="1:553" s="1275" customFormat="1" ht="34.15" customHeight="1">
      <c r="A951" s="405"/>
      <c r="B951" s="405"/>
      <c r="C951" s="1427" t="s">
        <v>1067</v>
      </c>
      <c r="D951" s="1427"/>
      <c r="E951" s="1427"/>
      <c r="F951" s="1427"/>
      <c r="G951" s="406" t="s">
        <v>46</v>
      </c>
      <c r="H951" s="519"/>
      <c r="I951" s="1296">
        <f>(157.21*100/1100)*(12-(4-2))*1</f>
        <v>142.91818181818181</v>
      </c>
      <c r="J951" s="521">
        <v>15400</v>
      </c>
      <c r="K951" s="719">
        <v>0.7</v>
      </c>
      <c r="L951" s="523">
        <f>I951*J951*K951</f>
        <v>1540658</v>
      </c>
      <c r="M951" s="444"/>
      <c r="N951" s="444"/>
      <c r="O951" s="444"/>
      <c r="P951" s="444"/>
      <c r="Q951" s="1251"/>
      <c r="R951" s="1253"/>
      <c r="S951" s="308"/>
      <c r="T951" s="308"/>
      <c r="U951" s="308"/>
      <c r="V951" s="308"/>
      <c r="W951" s="308"/>
      <c r="X951" s="308"/>
      <c r="Y951" s="308"/>
      <c r="Z951" s="604"/>
      <c r="AA951" s="308"/>
      <c r="AB951" s="308"/>
      <c r="AC951" s="687"/>
      <c r="AD951" s="687"/>
      <c r="AE951" s="687"/>
      <c r="AF951" s="687"/>
      <c r="AG951" s="687"/>
      <c r="AH951" s="687"/>
      <c r="AI951" s="687"/>
      <c r="AJ951" s="687"/>
      <c r="AK951" s="688"/>
      <c r="AL951" s="1273"/>
      <c r="AM951" s="1273"/>
      <c r="AN951" s="1273"/>
      <c r="AO951" s="1273"/>
      <c r="AP951" s="1273"/>
      <c r="AQ951" s="1273"/>
      <c r="AR951" s="1273"/>
      <c r="AS951" s="1273"/>
      <c r="AT951" s="1273"/>
      <c r="AU951" s="1273"/>
      <c r="AV951" s="1273"/>
      <c r="AW951" s="1273"/>
      <c r="AX951" s="1273"/>
      <c r="AY951" s="1273"/>
      <c r="AZ951" s="1273"/>
      <c r="BA951" s="1273"/>
      <c r="BB951" s="1273"/>
      <c r="BC951" s="1273"/>
      <c r="BD951" s="1273"/>
      <c r="BE951" s="1273"/>
      <c r="BF951" s="1273"/>
      <c r="BG951" s="1273"/>
      <c r="BH951" s="1273"/>
      <c r="BI951" s="1273"/>
      <c r="BJ951" s="1273"/>
      <c r="BK951" s="1273"/>
      <c r="BL951" s="1273"/>
      <c r="BM951" s="1273"/>
      <c r="BN951" s="1273"/>
      <c r="BO951" s="1273"/>
      <c r="BP951" s="1273"/>
      <c r="BQ951" s="1273"/>
      <c r="BR951" s="1273"/>
      <c r="BS951" s="1273"/>
      <c r="BT951" s="1273"/>
      <c r="BU951" s="1273"/>
      <c r="BV951" s="1273"/>
      <c r="BW951" s="1273"/>
      <c r="BX951" s="1273"/>
      <c r="BY951" s="1273"/>
      <c r="BZ951" s="1273"/>
      <c r="CA951" s="1273"/>
      <c r="CB951" s="1273"/>
      <c r="CC951" s="1273"/>
      <c r="CD951" s="1273"/>
      <c r="CE951" s="1273"/>
      <c r="CF951" s="1273"/>
      <c r="CG951" s="1273"/>
      <c r="CH951" s="1273"/>
      <c r="CI951" s="1273"/>
      <c r="CJ951" s="1273"/>
      <c r="CK951" s="1273"/>
      <c r="CL951" s="1273"/>
      <c r="CM951" s="1273"/>
      <c r="CN951" s="1273"/>
      <c r="CO951" s="1273"/>
      <c r="CP951" s="1273"/>
      <c r="CQ951" s="1273"/>
      <c r="CR951" s="1273"/>
      <c r="CS951" s="1273"/>
      <c r="CT951" s="1273"/>
      <c r="CU951" s="1273"/>
      <c r="CV951" s="1273"/>
      <c r="CW951" s="1273"/>
      <c r="CX951" s="1273"/>
      <c r="CY951" s="1273"/>
      <c r="CZ951" s="1273"/>
      <c r="DA951" s="1273"/>
      <c r="DB951" s="1273"/>
      <c r="DC951" s="1273"/>
      <c r="DD951" s="1273"/>
      <c r="DE951" s="1273"/>
      <c r="DF951" s="1273"/>
      <c r="DG951" s="1273"/>
      <c r="DH951" s="1273"/>
      <c r="DI951" s="1273"/>
      <c r="DJ951" s="1273"/>
      <c r="DK951" s="1273"/>
      <c r="DL951" s="1273"/>
      <c r="DM951" s="1273"/>
      <c r="DN951" s="1273"/>
      <c r="DO951" s="1273"/>
      <c r="DP951" s="1273"/>
      <c r="DQ951" s="1273"/>
      <c r="DR951" s="1273"/>
      <c r="DS951" s="1273"/>
      <c r="DT951" s="1273"/>
      <c r="DU951" s="1273"/>
      <c r="DV951" s="1273"/>
      <c r="DW951" s="1273"/>
      <c r="DX951" s="1273"/>
      <c r="DY951" s="1273"/>
      <c r="DZ951" s="1273"/>
      <c r="EA951" s="1273"/>
      <c r="EB951" s="1273"/>
      <c r="EC951" s="1273"/>
      <c r="ED951" s="1273"/>
      <c r="EE951" s="1273"/>
      <c r="EF951" s="1273"/>
      <c r="EG951" s="1273"/>
      <c r="EH951" s="1273"/>
      <c r="EI951" s="1273"/>
      <c r="EJ951" s="1273"/>
      <c r="EK951" s="1273"/>
      <c r="EL951" s="1273"/>
      <c r="EM951" s="1273"/>
      <c r="EN951" s="1273"/>
      <c r="EO951" s="1273"/>
      <c r="EP951" s="1273"/>
      <c r="EQ951" s="1273"/>
      <c r="ER951" s="1273"/>
      <c r="ES951" s="1273"/>
      <c r="ET951" s="1273"/>
      <c r="EU951" s="1273"/>
      <c r="EV951" s="1273"/>
      <c r="EW951" s="1273"/>
      <c r="EX951" s="1273"/>
      <c r="EY951" s="1273"/>
      <c r="EZ951" s="1273"/>
      <c r="FA951" s="1273"/>
      <c r="FB951" s="1273"/>
      <c r="FC951" s="1273"/>
      <c r="FD951" s="1273"/>
      <c r="FE951" s="1273"/>
      <c r="FF951" s="1273"/>
      <c r="FG951" s="1273"/>
      <c r="FH951" s="1273"/>
      <c r="FI951" s="1273"/>
      <c r="FJ951" s="1273"/>
      <c r="FK951" s="1273"/>
      <c r="FL951" s="1273"/>
      <c r="FM951" s="1273"/>
      <c r="FN951" s="1273"/>
      <c r="FO951" s="1273"/>
      <c r="FP951" s="1273"/>
      <c r="FQ951" s="1273"/>
      <c r="FR951" s="1273"/>
      <c r="FS951" s="1273"/>
      <c r="FT951" s="1273"/>
      <c r="FU951" s="1273"/>
      <c r="FV951" s="1273"/>
      <c r="FW951" s="1273"/>
      <c r="FX951" s="1273"/>
      <c r="FY951" s="1273"/>
      <c r="FZ951" s="1273"/>
      <c r="GA951" s="1273"/>
      <c r="GB951" s="1273"/>
      <c r="GC951" s="1273"/>
      <c r="GD951" s="1273"/>
      <c r="GE951" s="1273"/>
      <c r="GF951" s="1273"/>
      <c r="GG951" s="1273"/>
      <c r="GH951" s="1273"/>
      <c r="GI951" s="1273"/>
      <c r="GJ951" s="1273"/>
      <c r="GK951" s="1273"/>
      <c r="GL951" s="1273"/>
      <c r="GM951" s="1273"/>
      <c r="GN951" s="1273"/>
      <c r="GO951" s="1273"/>
      <c r="GP951" s="1273"/>
      <c r="GQ951" s="1273"/>
      <c r="GR951" s="1273"/>
      <c r="GS951" s="1273"/>
      <c r="GT951" s="1273"/>
      <c r="GU951" s="1273"/>
      <c r="GV951" s="1273"/>
      <c r="GW951" s="1273"/>
      <c r="GX951" s="1273"/>
      <c r="GY951" s="1273"/>
      <c r="GZ951" s="1273"/>
      <c r="HA951" s="1273"/>
      <c r="HB951" s="1273"/>
      <c r="HC951" s="1273"/>
      <c r="HD951" s="1273"/>
      <c r="HE951" s="1273"/>
      <c r="HF951" s="1273"/>
      <c r="HG951" s="1273"/>
      <c r="HH951" s="1273"/>
      <c r="HI951" s="1273"/>
      <c r="HJ951" s="1273"/>
      <c r="HK951" s="1273"/>
      <c r="HL951" s="1273"/>
      <c r="HM951" s="1273"/>
      <c r="HN951" s="1273"/>
      <c r="HO951" s="1273"/>
      <c r="HP951" s="1273"/>
      <c r="HQ951" s="1273"/>
      <c r="HR951" s="1273"/>
      <c r="HS951" s="1273"/>
      <c r="HT951" s="1273"/>
      <c r="HU951" s="1273"/>
      <c r="HV951" s="1273"/>
      <c r="HW951" s="1273"/>
      <c r="HX951" s="1273"/>
      <c r="HY951" s="1273"/>
      <c r="HZ951" s="1273"/>
      <c r="IA951" s="1273"/>
      <c r="IB951" s="1273"/>
      <c r="IC951" s="1273"/>
      <c r="ID951" s="1273"/>
      <c r="IE951" s="1273"/>
      <c r="IF951" s="1273"/>
      <c r="IG951" s="1273"/>
      <c r="IH951" s="1273"/>
      <c r="II951" s="1273"/>
      <c r="IJ951" s="1273"/>
      <c r="IK951" s="1273"/>
      <c r="IL951" s="1273"/>
      <c r="IM951" s="1273"/>
      <c r="IN951" s="1273"/>
      <c r="IO951" s="1273"/>
      <c r="IP951" s="1273"/>
      <c r="IQ951" s="1273"/>
      <c r="IR951" s="1273"/>
      <c r="IS951" s="1273"/>
      <c r="IT951" s="1273"/>
      <c r="IU951" s="1273"/>
      <c r="IV951" s="1273"/>
      <c r="IW951" s="1273"/>
      <c r="IX951" s="1273"/>
      <c r="IY951" s="1273"/>
      <c r="IZ951" s="1273"/>
      <c r="JA951" s="1273"/>
      <c r="JB951" s="1273"/>
      <c r="JC951" s="1273"/>
      <c r="JD951" s="1273"/>
      <c r="JE951" s="1273"/>
      <c r="JF951" s="1273"/>
      <c r="JG951" s="1273"/>
      <c r="JH951" s="1273"/>
      <c r="JI951" s="1273"/>
      <c r="JJ951" s="1273"/>
      <c r="JK951" s="1273"/>
      <c r="JL951" s="1273"/>
      <c r="JM951" s="1273"/>
      <c r="JN951" s="1273"/>
      <c r="JO951" s="1273"/>
      <c r="JP951" s="1273"/>
      <c r="JQ951" s="1273"/>
      <c r="JR951" s="1273"/>
      <c r="JS951" s="1273"/>
      <c r="JT951" s="1273"/>
      <c r="JU951" s="1273"/>
      <c r="JV951" s="1273"/>
      <c r="JW951" s="1273"/>
      <c r="JX951" s="1273"/>
      <c r="JY951" s="1273"/>
      <c r="JZ951" s="1273"/>
      <c r="KA951" s="1273"/>
      <c r="KB951" s="1273"/>
      <c r="KC951" s="1273"/>
      <c r="KD951" s="1273"/>
      <c r="KE951" s="1273"/>
      <c r="KF951" s="1273"/>
      <c r="KG951" s="1273"/>
      <c r="KH951" s="1273"/>
      <c r="KI951" s="1273"/>
      <c r="KJ951" s="1273"/>
      <c r="KK951" s="1273"/>
      <c r="KL951" s="1273"/>
      <c r="KM951" s="1273"/>
      <c r="KN951" s="1273"/>
      <c r="KO951" s="1273"/>
      <c r="KP951" s="1273"/>
      <c r="KQ951" s="1273"/>
      <c r="KR951" s="1273"/>
      <c r="KS951" s="1273"/>
      <c r="KT951" s="1273"/>
      <c r="KU951" s="1273"/>
      <c r="KV951" s="1273"/>
      <c r="KW951" s="1273"/>
      <c r="KX951" s="1273"/>
      <c r="KY951" s="1273"/>
      <c r="KZ951" s="1273"/>
      <c r="LA951" s="1273"/>
      <c r="LB951" s="1273"/>
      <c r="LC951" s="1273"/>
      <c r="LD951" s="1273"/>
      <c r="LE951" s="1273"/>
      <c r="LF951" s="1273"/>
      <c r="LG951" s="1273"/>
      <c r="LH951" s="1273"/>
      <c r="LI951" s="1273"/>
      <c r="LJ951" s="1273"/>
      <c r="LK951" s="1273"/>
      <c r="LL951" s="1273"/>
      <c r="LM951" s="1273"/>
      <c r="LN951" s="1273"/>
      <c r="LO951" s="1273"/>
      <c r="LP951" s="1273"/>
      <c r="LQ951" s="1273"/>
      <c r="LR951" s="1273"/>
      <c r="LS951" s="1273"/>
      <c r="LT951" s="1273"/>
      <c r="LU951" s="1273"/>
      <c r="LV951" s="1273"/>
      <c r="LW951" s="1273"/>
      <c r="LX951" s="1273"/>
      <c r="LY951" s="1273"/>
      <c r="LZ951" s="1273"/>
      <c r="MA951" s="1273"/>
      <c r="MB951" s="1273"/>
      <c r="MC951" s="1273"/>
      <c r="MD951" s="1273"/>
      <c r="ME951" s="1273"/>
      <c r="MF951" s="1273"/>
      <c r="MG951" s="1273"/>
      <c r="MH951" s="1273"/>
      <c r="MI951" s="1273"/>
      <c r="MJ951" s="1273"/>
      <c r="MK951" s="1273"/>
      <c r="ML951" s="1273"/>
      <c r="MM951" s="1273"/>
      <c r="MN951" s="1273"/>
      <c r="MO951" s="1273"/>
      <c r="MP951" s="1273"/>
      <c r="MQ951" s="1273"/>
      <c r="MR951" s="1273"/>
      <c r="MS951" s="1273"/>
      <c r="MT951" s="1273"/>
      <c r="MU951" s="1273"/>
      <c r="MV951" s="1273"/>
      <c r="MW951" s="1273"/>
      <c r="MX951" s="1273"/>
      <c r="MY951" s="1273"/>
      <c r="MZ951" s="1273"/>
      <c r="NA951" s="1273"/>
      <c r="NB951" s="1273"/>
      <c r="NC951" s="1273"/>
      <c r="ND951" s="1273"/>
      <c r="NE951" s="1273"/>
      <c r="NF951" s="1273"/>
      <c r="NG951" s="1273"/>
      <c r="NH951" s="1273"/>
      <c r="NI951" s="1273"/>
      <c r="NJ951" s="1273"/>
      <c r="NK951" s="1273"/>
      <c r="NL951" s="1273"/>
      <c r="NM951" s="1273"/>
      <c r="NN951" s="1273"/>
      <c r="NO951" s="1273"/>
      <c r="NP951" s="1273"/>
      <c r="NQ951" s="1273"/>
      <c r="NR951" s="1273"/>
      <c r="NS951" s="1273"/>
      <c r="NT951" s="1273"/>
      <c r="NU951" s="1273"/>
      <c r="NV951" s="1273"/>
      <c r="NW951" s="1273"/>
      <c r="NX951" s="1273"/>
      <c r="NY951" s="1273"/>
      <c r="NZ951" s="1273"/>
      <c r="OA951" s="1273"/>
      <c r="OB951" s="1273"/>
      <c r="OC951" s="1273"/>
      <c r="OD951" s="1273"/>
      <c r="OE951" s="1273"/>
      <c r="OF951" s="1273"/>
      <c r="OG951" s="1273"/>
      <c r="OH951" s="1273"/>
      <c r="OI951" s="1273"/>
      <c r="OJ951" s="1273"/>
      <c r="OK951" s="1273"/>
      <c r="OL951" s="1273"/>
      <c r="OM951" s="1273"/>
      <c r="ON951" s="1273"/>
      <c r="OO951" s="1273"/>
      <c r="OP951" s="1273"/>
      <c r="OQ951" s="1273"/>
      <c r="OR951" s="1273"/>
      <c r="OS951" s="1273"/>
      <c r="OT951" s="1273"/>
      <c r="OU951" s="1273"/>
      <c r="OV951" s="1273"/>
      <c r="OW951" s="1273"/>
      <c r="OX951" s="1273"/>
      <c r="OY951" s="1273"/>
      <c r="OZ951" s="1273"/>
      <c r="PA951" s="1273"/>
      <c r="PB951" s="1273"/>
      <c r="PC951" s="1273"/>
      <c r="PD951" s="1273"/>
      <c r="PE951" s="1273"/>
      <c r="PF951" s="1273"/>
      <c r="PG951" s="1273"/>
      <c r="PH951" s="1273"/>
      <c r="PI951" s="1273"/>
      <c r="PJ951" s="1273"/>
      <c r="PK951" s="1273"/>
      <c r="PL951" s="1273"/>
      <c r="PM951" s="1273"/>
      <c r="PN951" s="1273"/>
      <c r="PO951" s="1273"/>
      <c r="PP951" s="1273"/>
      <c r="PQ951" s="1273"/>
      <c r="PR951" s="1273"/>
      <c r="PS951" s="1273"/>
      <c r="PT951" s="1273"/>
      <c r="PU951" s="1273"/>
      <c r="PV951" s="1273"/>
      <c r="PW951" s="1273"/>
      <c r="PX951" s="1273"/>
      <c r="PY951" s="1273"/>
      <c r="PZ951" s="1273"/>
      <c r="QA951" s="1273"/>
      <c r="QB951" s="1273"/>
      <c r="QC951" s="1273"/>
      <c r="QD951" s="1273"/>
      <c r="QE951" s="1273"/>
      <c r="QF951" s="1273"/>
      <c r="QG951" s="1273"/>
      <c r="QH951" s="1273"/>
      <c r="QI951" s="1273"/>
      <c r="QJ951" s="1273"/>
      <c r="QK951" s="1273"/>
      <c r="QL951" s="1273"/>
      <c r="QM951" s="1273"/>
      <c r="QN951" s="1273"/>
      <c r="QO951" s="1273"/>
      <c r="QP951" s="1273"/>
      <c r="QQ951" s="1273"/>
      <c r="QR951" s="1273"/>
      <c r="QS951" s="1273"/>
      <c r="QT951" s="1273"/>
      <c r="QU951" s="1273"/>
      <c r="QV951" s="1273"/>
      <c r="QW951" s="1273"/>
      <c r="QX951" s="1273"/>
      <c r="QY951" s="1273"/>
      <c r="QZ951" s="1273"/>
      <c r="RA951" s="1273"/>
      <c r="RB951" s="1273"/>
      <c r="RC951" s="1273"/>
      <c r="RD951" s="1273"/>
      <c r="RE951" s="1273"/>
      <c r="RF951" s="1273"/>
      <c r="RG951" s="1273"/>
      <c r="RH951" s="1273"/>
      <c r="RI951" s="1273"/>
      <c r="RJ951" s="1273"/>
      <c r="RK951" s="1273"/>
      <c r="RL951" s="1273"/>
      <c r="RM951" s="1273"/>
      <c r="RN951" s="1273"/>
      <c r="RO951" s="1273"/>
      <c r="RP951" s="1273"/>
      <c r="RQ951" s="1273"/>
      <c r="RR951" s="1273"/>
      <c r="RS951" s="1273"/>
      <c r="RT951" s="1273"/>
      <c r="RU951" s="1273"/>
      <c r="RV951" s="1273"/>
      <c r="RW951" s="1273"/>
      <c r="RX951" s="1273"/>
      <c r="RY951" s="1273"/>
      <c r="RZ951" s="1273"/>
      <c r="SA951" s="1273"/>
      <c r="SB951" s="1273"/>
      <c r="SC951" s="1273"/>
      <c r="SD951" s="1273"/>
      <c r="SE951" s="1273"/>
      <c r="SF951" s="1273"/>
      <c r="SG951" s="1273"/>
      <c r="SH951" s="1273"/>
      <c r="SI951" s="1273"/>
      <c r="SJ951" s="1273"/>
      <c r="SK951" s="1273"/>
      <c r="SL951" s="1273"/>
      <c r="SM951" s="1273"/>
      <c r="SN951" s="1273"/>
      <c r="SO951" s="1273"/>
      <c r="SP951" s="1273"/>
      <c r="SQ951" s="1273"/>
      <c r="SR951" s="1273"/>
      <c r="SS951" s="1273"/>
      <c r="ST951" s="1273"/>
      <c r="SU951" s="1273"/>
      <c r="SV951" s="1273"/>
      <c r="SW951" s="1273"/>
      <c r="SX951" s="1273"/>
      <c r="SY951" s="1273"/>
      <c r="SZ951" s="1273"/>
      <c r="TA951" s="1273"/>
      <c r="TB951" s="1273"/>
      <c r="TC951" s="1273"/>
      <c r="TD951" s="1273"/>
      <c r="TE951" s="1273"/>
      <c r="TF951" s="1273"/>
      <c r="TG951" s="1273"/>
      <c r="TH951" s="1273"/>
      <c r="TI951" s="1273"/>
      <c r="TJ951" s="1273"/>
      <c r="TK951" s="1273"/>
      <c r="TL951" s="1273"/>
      <c r="TM951" s="1273"/>
      <c r="TN951" s="1273"/>
      <c r="TO951" s="1273"/>
      <c r="TP951" s="1273"/>
      <c r="TQ951" s="1273"/>
      <c r="TR951" s="1273"/>
      <c r="TS951" s="1273"/>
      <c r="TT951" s="1273"/>
      <c r="TU951" s="1273"/>
      <c r="TV951" s="1273"/>
      <c r="TW951" s="1273"/>
      <c r="TX951" s="1273"/>
      <c r="TY951" s="1273"/>
      <c r="TZ951" s="1273"/>
      <c r="UA951" s="1273"/>
      <c r="UB951" s="1273"/>
      <c r="UC951" s="1273"/>
      <c r="UD951" s="1273"/>
      <c r="UE951" s="1273"/>
      <c r="UF951" s="1273"/>
      <c r="UG951" s="1274"/>
    </row>
    <row r="952" spans="1:553" s="1275" customFormat="1" ht="34.15" customHeight="1">
      <c r="A952" s="411"/>
      <c r="B952" s="411"/>
      <c r="C952" s="1423" t="s">
        <v>1207</v>
      </c>
      <c r="D952" s="1423"/>
      <c r="E952" s="1423"/>
      <c r="F952" s="1423"/>
      <c r="G952" s="1226" t="s">
        <v>46</v>
      </c>
      <c r="H952" s="502"/>
      <c r="I952" s="1072">
        <f>(107.17*100/500)*(7-(4-3))*1</f>
        <v>128.60400000000001</v>
      </c>
      <c r="J952" s="1088">
        <v>10800</v>
      </c>
      <c r="K952" s="712">
        <v>0.7</v>
      </c>
      <c r="L952" s="679">
        <f>I952*J952*K952</f>
        <v>972246.24000000011</v>
      </c>
      <c r="M952" s="444"/>
      <c r="N952" s="444"/>
      <c r="O952" s="444"/>
      <c r="P952" s="444"/>
      <c r="Q952" s="1251"/>
      <c r="R952" s="1253"/>
      <c r="S952" s="308"/>
      <c r="T952" s="308"/>
      <c r="U952" s="308"/>
      <c r="V952" s="308"/>
      <c r="W952" s="308"/>
      <c r="X952" s="308"/>
      <c r="Y952" s="308"/>
      <c r="Z952" s="604"/>
      <c r="AA952" s="308"/>
      <c r="AB952" s="308"/>
      <c r="AC952" s="687"/>
      <c r="AD952" s="687"/>
      <c r="AE952" s="687"/>
      <c r="AF952" s="687"/>
      <c r="AG952" s="687"/>
      <c r="AH952" s="687"/>
      <c r="AI952" s="687"/>
      <c r="AJ952" s="687"/>
      <c r="AK952" s="688"/>
      <c r="AL952" s="1273"/>
      <c r="AM952" s="1273"/>
      <c r="AN952" s="1273"/>
      <c r="AO952" s="1273"/>
      <c r="AP952" s="1273"/>
      <c r="AQ952" s="1273"/>
      <c r="AR952" s="1273"/>
      <c r="AS952" s="1273"/>
      <c r="AT952" s="1273"/>
      <c r="AU952" s="1273"/>
      <c r="AV952" s="1273"/>
      <c r="AW952" s="1273"/>
      <c r="AX952" s="1273"/>
      <c r="AY952" s="1273"/>
      <c r="AZ952" s="1273"/>
      <c r="BA952" s="1273"/>
      <c r="BB952" s="1273"/>
      <c r="BC952" s="1273"/>
      <c r="BD952" s="1273"/>
      <c r="BE952" s="1273"/>
      <c r="BF952" s="1273"/>
      <c r="BG952" s="1273"/>
      <c r="BH952" s="1273"/>
      <c r="BI952" s="1273"/>
      <c r="BJ952" s="1273"/>
      <c r="BK952" s="1273"/>
      <c r="BL952" s="1273"/>
      <c r="BM952" s="1273"/>
      <c r="BN952" s="1273"/>
      <c r="BO952" s="1273"/>
      <c r="BP952" s="1273"/>
      <c r="BQ952" s="1273"/>
      <c r="BR952" s="1273"/>
      <c r="BS952" s="1273"/>
      <c r="BT952" s="1273"/>
      <c r="BU952" s="1273"/>
      <c r="BV952" s="1273"/>
      <c r="BW952" s="1273"/>
      <c r="BX952" s="1273"/>
      <c r="BY952" s="1273"/>
      <c r="BZ952" s="1273"/>
      <c r="CA952" s="1273"/>
      <c r="CB952" s="1273"/>
      <c r="CC952" s="1273"/>
      <c r="CD952" s="1273"/>
      <c r="CE952" s="1273"/>
      <c r="CF952" s="1273"/>
      <c r="CG952" s="1273"/>
      <c r="CH952" s="1273"/>
      <c r="CI952" s="1273"/>
      <c r="CJ952" s="1273"/>
      <c r="CK952" s="1273"/>
      <c r="CL952" s="1273"/>
      <c r="CM952" s="1273"/>
      <c r="CN952" s="1273"/>
      <c r="CO952" s="1273"/>
      <c r="CP952" s="1273"/>
      <c r="CQ952" s="1273"/>
      <c r="CR952" s="1273"/>
      <c r="CS952" s="1273"/>
      <c r="CT952" s="1273"/>
      <c r="CU952" s="1273"/>
      <c r="CV952" s="1273"/>
      <c r="CW952" s="1273"/>
      <c r="CX952" s="1273"/>
      <c r="CY952" s="1273"/>
      <c r="CZ952" s="1273"/>
      <c r="DA952" s="1273"/>
      <c r="DB952" s="1273"/>
      <c r="DC952" s="1273"/>
      <c r="DD952" s="1273"/>
      <c r="DE952" s="1273"/>
      <c r="DF952" s="1273"/>
      <c r="DG952" s="1273"/>
      <c r="DH952" s="1273"/>
      <c r="DI952" s="1273"/>
      <c r="DJ952" s="1273"/>
      <c r="DK952" s="1273"/>
      <c r="DL952" s="1273"/>
      <c r="DM952" s="1273"/>
      <c r="DN952" s="1273"/>
      <c r="DO952" s="1273"/>
      <c r="DP952" s="1273"/>
      <c r="DQ952" s="1273"/>
      <c r="DR952" s="1273"/>
      <c r="DS952" s="1273"/>
      <c r="DT952" s="1273"/>
      <c r="DU952" s="1273"/>
      <c r="DV952" s="1273"/>
      <c r="DW952" s="1273"/>
      <c r="DX952" s="1273"/>
      <c r="DY952" s="1273"/>
      <c r="DZ952" s="1273"/>
      <c r="EA952" s="1273"/>
      <c r="EB952" s="1273"/>
      <c r="EC952" s="1273"/>
      <c r="ED952" s="1273"/>
      <c r="EE952" s="1273"/>
      <c r="EF952" s="1273"/>
      <c r="EG952" s="1273"/>
      <c r="EH952" s="1273"/>
      <c r="EI952" s="1273"/>
      <c r="EJ952" s="1273"/>
      <c r="EK952" s="1273"/>
      <c r="EL952" s="1273"/>
      <c r="EM952" s="1273"/>
      <c r="EN952" s="1273"/>
      <c r="EO952" s="1273"/>
      <c r="EP952" s="1273"/>
      <c r="EQ952" s="1273"/>
      <c r="ER952" s="1273"/>
      <c r="ES952" s="1273"/>
      <c r="ET952" s="1273"/>
      <c r="EU952" s="1273"/>
      <c r="EV952" s="1273"/>
      <c r="EW952" s="1273"/>
      <c r="EX952" s="1273"/>
      <c r="EY952" s="1273"/>
      <c r="EZ952" s="1273"/>
      <c r="FA952" s="1273"/>
      <c r="FB952" s="1273"/>
      <c r="FC952" s="1273"/>
      <c r="FD952" s="1273"/>
      <c r="FE952" s="1273"/>
      <c r="FF952" s="1273"/>
      <c r="FG952" s="1273"/>
      <c r="FH952" s="1273"/>
      <c r="FI952" s="1273"/>
      <c r="FJ952" s="1273"/>
      <c r="FK952" s="1273"/>
      <c r="FL952" s="1273"/>
      <c r="FM952" s="1273"/>
      <c r="FN952" s="1273"/>
      <c r="FO952" s="1273"/>
      <c r="FP952" s="1273"/>
      <c r="FQ952" s="1273"/>
      <c r="FR952" s="1273"/>
      <c r="FS952" s="1273"/>
      <c r="FT952" s="1273"/>
      <c r="FU952" s="1273"/>
      <c r="FV952" s="1273"/>
      <c r="FW952" s="1273"/>
      <c r="FX952" s="1273"/>
      <c r="FY952" s="1273"/>
      <c r="FZ952" s="1273"/>
      <c r="GA952" s="1273"/>
      <c r="GB952" s="1273"/>
      <c r="GC952" s="1273"/>
      <c r="GD952" s="1273"/>
      <c r="GE952" s="1273"/>
      <c r="GF952" s="1273"/>
      <c r="GG952" s="1273"/>
      <c r="GH952" s="1273"/>
      <c r="GI952" s="1273"/>
      <c r="GJ952" s="1273"/>
      <c r="GK952" s="1273"/>
      <c r="GL952" s="1273"/>
      <c r="GM952" s="1273"/>
      <c r="GN952" s="1273"/>
      <c r="GO952" s="1273"/>
      <c r="GP952" s="1273"/>
      <c r="GQ952" s="1273"/>
      <c r="GR952" s="1273"/>
      <c r="GS952" s="1273"/>
      <c r="GT952" s="1273"/>
      <c r="GU952" s="1273"/>
      <c r="GV952" s="1273"/>
      <c r="GW952" s="1273"/>
      <c r="GX952" s="1273"/>
      <c r="GY952" s="1273"/>
      <c r="GZ952" s="1273"/>
      <c r="HA952" s="1273"/>
      <c r="HB952" s="1273"/>
      <c r="HC952" s="1273"/>
      <c r="HD952" s="1273"/>
      <c r="HE952" s="1273"/>
      <c r="HF952" s="1273"/>
      <c r="HG952" s="1273"/>
      <c r="HH952" s="1273"/>
      <c r="HI952" s="1273"/>
      <c r="HJ952" s="1273"/>
      <c r="HK952" s="1273"/>
      <c r="HL952" s="1273"/>
      <c r="HM952" s="1273"/>
      <c r="HN952" s="1273"/>
      <c r="HO952" s="1273"/>
      <c r="HP952" s="1273"/>
      <c r="HQ952" s="1273"/>
      <c r="HR952" s="1273"/>
      <c r="HS952" s="1273"/>
      <c r="HT952" s="1273"/>
      <c r="HU952" s="1273"/>
      <c r="HV952" s="1273"/>
      <c r="HW952" s="1273"/>
      <c r="HX952" s="1273"/>
      <c r="HY952" s="1273"/>
      <c r="HZ952" s="1273"/>
      <c r="IA952" s="1273"/>
      <c r="IB952" s="1273"/>
      <c r="IC952" s="1273"/>
      <c r="ID952" s="1273"/>
      <c r="IE952" s="1273"/>
      <c r="IF952" s="1273"/>
      <c r="IG952" s="1273"/>
      <c r="IH952" s="1273"/>
      <c r="II952" s="1273"/>
      <c r="IJ952" s="1273"/>
      <c r="IK952" s="1273"/>
      <c r="IL952" s="1273"/>
      <c r="IM952" s="1273"/>
      <c r="IN952" s="1273"/>
      <c r="IO952" s="1273"/>
      <c r="IP952" s="1273"/>
      <c r="IQ952" s="1273"/>
      <c r="IR952" s="1273"/>
      <c r="IS952" s="1273"/>
      <c r="IT952" s="1273"/>
      <c r="IU952" s="1273"/>
      <c r="IV952" s="1273"/>
      <c r="IW952" s="1273"/>
      <c r="IX952" s="1273"/>
      <c r="IY952" s="1273"/>
      <c r="IZ952" s="1273"/>
      <c r="JA952" s="1273"/>
      <c r="JB952" s="1273"/>
      <c r="JC952" s="1273"/>
      <c r="JD952" s="1273"/>
      <c r="JE952" s="1273"/>
      <c r="JF952" s="1273"/>
      <c r="JG952" s="1273"/>
      <c r="JH952" s="1273"/>
      <c r="JI952" s="1273"/>
      <c r="JJ952" s="1273"/>
      <c r="JK952" s="1273"/>
      <c r="JL952" s="1273"/>
      <c r="JM952" s="1273"/>
      <c r="JN952" s="1273"/>
      <c r="JO952" s="1273"/>
      <c r="JP952" s="1273"/>
      <c r="JQ952" s="1273"/>
      <c r="JR952" s="1273"/>
      <c r="JS952" s="1273"/>
      <c r="JT952" s="1273"/>
      <c r="JU952" s="1273"/>
      <c r="JV952" s="1273"/>
      <c r="JW952" s="1273"/>
      <c r="JX952" s="1273"/>
      <c r="JY952" s="1273"/>
      <c r="JZ952" s="1273"/>
      <c r="KA952" s="1273"/>
      <c r="KB952" s="1273"/>
      <c r="KC952" s="1273"/>
      <c r="KD952" s="1273"/>
      <c r="KE952" s="1273"/>
      <c r="KF952" s="1273"/>
      <c r="KG952" s="1273"/>
      <c r="KH952" s="1273"/>
      <c r="KI952" s="1273"/>
      <c r="KJ952" s="1273"/>
      <c r="KK952" s="1273"/>
      <c r="KL952" s="1273"/>
      <c r="KM952" s="1273"/>
      <c r="KN952" s="1273"/>
      <c r="KO952" s="1273"/>
      <c r="KP952" s="1273"/>
      <c r="KQ952" s="1273"/>
      <c r="KR952" s="1273"/>
      <c r="KS952" s="1273"/>
      <c r="KT952" s="1273"/>
      <c r="KU952" s="1273"/>
      <c r="KV952" s="1273"/>
      <c r="KW952" s="1273"/>
      <c r="KX952" s="1273"/>
      <c r="KY952" s="1273"/>
      <c r="KZ952" s="1273"/>
      <c r="LA952" s="1273"/>
      <c r="LB952" s="1273"/>
      <c r="LC952" s="1273"/>
      <c r="LD952" s="1273"/>
      <c r="LE952" s="1273"/>
      <c r="LF952" s="1273"/>
      <c r="LG952" s="1273"/>
      <c r="LH952" s="1273"/>
      <c r="LI952" s="1273"/>
      <c r="LJ952" s="1273"/>
      <c r="LK952" s="1273"/>
      <c r="LL952" s="1273"/>
      <c r="LM952" s="1273"/>
      <c r="LN952" s="1273"/>
      <c r="LO952" s="1273"/>
      <c r="LP952" s="1273"/>
      <c r="LQ952" s="1273"/>
      <c r="LR952" s="1273"/>
      <c r="LS952" s="1273"/>
      <c r="LT952" s="1273"/>
      <c r="LU952" s="1273"/>
      <c r="LV952" s="1273"/>
      <c r="LW952" s="1273"/>
      <c r="LX952" s="1273"/>
      <c r="LY952" s="1273"/>
      <c r="LZ952" s="1273"/>
      <c r="MA952" s="1273"/>
      <c r="MB952" s="1273"/>
      <c r="MC952" s="1273"/>
      <c r="MD952" s="1273"/>
      <c r="ME952" s="1273"/>
      <c r="MF952" s="1273"/>
      <c r="MG952" s="1273"/>
      <c r="MH952" s="1273"/>
      <c r="MI952" s="1273"/>
      <c r="MJ952" s="1273"/>
      <c r="MK952" s="1273"/>
      <c r="ML952" s="1273"/>
      <c r="MM952" s="1273"/>
      <c r="MN952" s="1273"/>
      <c r="MO952" s="1273"/>
      <c r="MP952" s="1273"/>
      <c r="MQ952" s="1273"/>
      <c r="MR952" s="1273"/>
      <c r="MS952" s="1273"/>
      <c r="MT952" s="1273"/>
      <c r="MU952" s="1273"/>
      <c r="MV952" s="1273"/>
      <c r="MW952" s="1273"/>
      <c r="MX952" s="1273"/>
      <c r="MY952" s="1273"/>
      <c r="MZ952" s="1273"/>
      <c r="NA952" s="1273"/>
      <c r="NB952" s="1273"/>
      <c r="NC952" s="1273"/>
      <c r="ND952" s="1273"/>
      <c r="NE952" s="1273"/>
      <c r="NF952" s="1273"/>
      <c r="NG952" s="1273"/>
      <c r="NH952" s="1273"/>
      <c r="NI952" s="1273"/>
      <c r="NJ952" s="1273"/>
      <c r="NK952" s="1273"/>
      <c r="NL952" s="1273"/>
      <c r="NM952" s="1273"/>
      <c r="NN952" s="1273"/>
      <c r="NO952" s="1273"/>
      <c r="NP952" s="1273"/>
      <c r="NQ952" s="1273"/>
      <c r="NR952" s="1273"/>
      <c r="NS952" s="1273"/>
      <c r="NT952" s="1273"/>
      <c r="NU952" s="1273"/>
      <c r="NV952" s="1273"/>
      <c r="NW952" s="1273"/>
      <c r="NX952" s="1273"/>
      <c r="NY952" s="1273"/>
      <c r="NZ952" s="1273"/>
      <c r="OA952" s="1273"/>
      <c r="OB952" s="1273"/>
      <c r="OC952" s="1273"/>
      <c r="OD952" s="1273"/>
      <c r="OE952" s="1273"/>
      <c r="OF952" s="1273"/>
      <c r="OG952" s="1273"/>
      <c r="OH952" s="1273"/>
      <c r="OI952" s="1273"/>
      <c r="OJ952" s="1273"/>
      <c r="OK952" s="1273"/>
      <c r="OL952" s="1273"/>
      <c r="OM952" s="1273"/>
      <c r="ON952" s="1273"/>
      <c r="OO952" s="1273"/>
      <c r="OP952" s="1273"/>
      <c r="OQ952" s="1273"/>
      <c r="OR952" s="1273"/>
      <c r="OS952" s="1273"/>
      <c r="OT952" s="1273"/>
      <c r="OU952" s="1273"/>
      <c r="OV952" s="1273"/>
      <c r="OW952" s="1273"/>
      <c r="OX952" s="1273"/>
      <c r="OY952" s="1273"/>
      <c r="OZ952" s="1273"/>
      <c r="PA952" s="1273"/>
      <c r="PB952" s="1273"/>
      <c r="PC952" s="1273"/>
      <c r="PD952" s="1273"/>
      <c r="PE952" s="1273"/>
      <c r="PF952" s="1273"/>
      <c r="PG952" s="1273"/>
      <c r="PH952" s="1273"/>
      <c r="PI952" s="1273"/>
      <c r="PJ952" s="1273"/>
      <c r="PK952" s="1273"/>
      <c r="PL952" s="1273"/>
      <c r="PM952" s="1273"/>
      <c r="PN952" s="1273"/>
      <c r="PO952" s="1273"/>
      <c r="PP952" s="1273"/>
      <c r="PQ952" s="1273"/>
      <c r="PR952" s="1273"/>
      <c r="PS952" s="1273"/>
      <c r="PT952" s="1273"/>
      <c r="PU952" s="1273"/>
      <c r="PV952" s="1273"/>
      <c r="PW952" s="1273"/>
      <c r="PX952" s="1273"/>
      <c r="PY952" s="1273"/>
      <c r="PZ952" s="1273"/>
      <c r="QA952" s="1273"/>
      <c r="QB952" s="1273"/>
      <c r="QC952" s="1273"/>
      <c r="QD952" s="1273"/>
      <c r="QE952" s="1273"/>
      <c r="QF952" s="1273"/>
      <c r="QG952" s="1273"/>
      <c r="QH952" s="1273"/>
      <c r="QI952" s="1273"/>
      <c r="QJ952" s="1273"/>
      <c r="QK952" s="1273"/>
      <c r="QL952" s="1273"/>
      <c r="QM952" s="1273"/>
      <c r="QN952" s="1273"/>
      <c r="QO952" s="1273"/>
      <c r="QP952" s="1273"/>
      <c r="QQ952" s="1273"/>
      <c r="QR952" s="1273"/>
      <c r="QS952" s="1273"/>
      <c r="QT952" s="1273"/>
      <c r="QU952" s="1273"/>
      <c r="QV952" s="1273"/>
      <c r="QW952" s="1273"/>
      <c r="QX952" s="1273"/>
      <c r="QY952" s="1273"/>
      <c r="QZ952" s="1273"/>
      <c r="RA952" s="1273"/>
      <c r="RB952" s="1273"/>
      <c r="RC952" s="1273"/>
      <c r="RD952" s="1273"/>
      <c r="RE952" s="1273"/>
      <c r="RF952" s="1273"/>
      <c r="RG952" s="1273"/>
      <c r="RH952" s="1273"/>
      <c r="RI952" s="1273"/>
      <c r="RJ952" s="1273"/>
      <c r="RK952" s="1273"/>
      <c r="RL952" s="1273"/>
      <c r="RM952" s="1273"/>
      <c r="RN952" s="1273"/>
      <c r="RO952" s="1273"/>
      <c r="RP952" s="1273"/>
      <c r="RQ952" s="1273"/>
      <c r="RR952" s="1273"/>
      <c r="RS952" s="1273"/>
      <c r="RT952" s="1273"/>
      <c r="RU952" s="1273"/>
      <c r="RV952" s="1273"/>
      <c r="RW952" s="1273"/>
      <c r="RX952" s="1273"/>
      <c r="RY952" s="1273"/>
      <c r="RZ952" s="1273"/>
      <c r="SA952" s="1273"/>
      <c r="SB952" s="1273"/>
      <c r="SC952" s="1273"/>
      <c r="SD952" s="1273"/>
      <c r="SE952" s="1273"/>
      <c r="SF952" s="1273"/>
      <c r="SG952" s="1273"/>
      <c r="SH952" s="1273"/>
      <c r="SI952" s="1273"/>
      <c r="SJ952" s="1273"/>
      <c r="SK952" s="1273"/>
      <c r="SL952" s="1273"/>
      <c r="SM952" s="1273"/>
      <c r="SN952" s="1273"/>
      <c r="SO952" s="1273"/>
      <c r="SP952" s="1273"/>
      <c r="SQ952" s="1273"/>
      <c r="SR952" s="1273"/>
      <c r="SS952" s="1273"/>
      <c r="ST952" s="1273"/>
      <c r="SU952" s="1273"/>
      <c r="SV952" s="1273"/>
      <c r="SW952" s="1273"/>
      <c r="SX952" s="1273"/>
      <c r="SY952" s="1273"/>
      <c r="SZ952" s="1273"/>
      <c r="TA952" s="1273"/>
      <c r="TB952" s="1273"/>
      <c r="TC952" s="1273"/>
      <c r="TD952" s="1273"/>
      <c r="TE952" s="1273"/>
      <c r="TF952" s="1273"/>
      <c r="TG952" s="1273"/>
      <c r="TH952" s="1273"/>
      <c r="TI952" s="1273"/>
      <c r="TJ952" s="1273"/>
      <c r="TK952" s="1273"/>
      <c r="TL952" s="1273"/>
      <c r="TM952" s="1273"/>
      <c r="TN952" s="1273"/>
      <c r="TO952" s="1273"/>
      <c r="TP952" s="1273"/>
      <c r="TQ952" s="1273"/>
      <c r="TR952" s="1273"/>
      <c r="TS952" s="1273"/>
      <c r="TT952" s="1273"/>
      <c r="TU952" s="1273"/>
      <c r="TV952" s="1273"/>
      <c r="TW952" s="1273"/>
      <c r="TX952" s="1273"/>
      <c r="TY952" s="1273"/>
      <c r="TZ952" s="1273"/>
      <c r="UA952" s="1273"/>
      <c r="UB952" s="1273"/>
      <c r="UC952" s="1273"/>
      <c r="UD952" s="1273"/>
      <c r="UE952" s="1273"/>
      <c r="UF952" s="1273"/>
      <c r="UG952" s="1274"/>
    </row>
    <row r="953" spans="1:553" s="1275" customFormat="1" ht="34.15" customHeight="1">
      <c r="A953" s="713"/>
      <c r="B953" s="713"/>
      <c r="C953" s="1581" t="s">
        <v>1208</v>
      </c>
      <c r="D953" s="1581"/>
      <c r="E953" s="1581"/>
      <c r="F953" s="1581"/>
      <c r="G953" s="524" t="s">
        <v>46</v>
      </c>
      <c r="H953" s="528"/>
      <c r="I953" s="1312">
        <f>(20.51*100/400)*(12-(4-3))*2</f>
        <v>112.80500000000001</v>
      </c>
      <c r="J953" s="1091">
        <v>3100</v>
      </c>
      <c r="K953" s="720">
        <v>0.7</v>
      </c>
      <c r="L953" s="1193">
        <f>I953*J953*K953</f>
        <v>244786.84999999998</v>
      </c>
      <c r="M953" s="444"/>
      <c r="N953" s="444"/>
      <c r="O953" s="444"/>
      <c r="P953" s="444"/>
      <c r="Q953" s="1251"/>
      <c r="R953" s="1253"/>
      <c r="S953" s="308"/>
      <c r="T953" s="308"/>
      <c r="U953" s="308"/>
      <c r="V953" s="308"/>
      <c r="W953" s="308"/>
      <c r="X953" s="308"/>
      <c r="Y953" s="308"/>
      <c r="Z953" s="604"/>
      <c r="AA953" s="308"/>
      <c r="AB953" s="308"/>
      <c r="AC953" s="687"/>
      <c r="AD953" s="687"/>
      <c r="AE953" s="687"/>
      <c r="AF953" s="687"/>
      <c r="AG953" s="687"/>
      <c r="AH953" s="687"/>
      <c r="AI953" s="687"/>
      <c r="AJ953" s="687"/>
      <c r="AK953" s="688"/>
      <c r="AL953" s="1273"/>
      <c r="AM953" s="1273"/>
      <c r="AN953" s="1273"/>
      <c r="AO953" s="1273"/>
      <c r="AP953" s="1273"/>
      <c r="AQ953" s="1273"/>
      <c r="AR953" s="1273"/>
      <c r="AS953" s="1273"/>
      <c r="AT953" s="1273"/>
      <c r="AU953" s="1273"/>
      <c r="AV953" s="1273"/>
      <c r="AW953" s="1273"/>
      <c r="AX953" s="1273"/>
      <c r="AY953" s="1273"/>
      <c r="AZ953" s="1273"/>
      <c r="BA953" s="1273"/>
      <c r="BB953" s="1273"/>
      <c r="BC953" s="1273"/>
      <c r="BD953" s="1273"/>
      <c r="BE953" s="1273"/>
      <c r="BF953" s="1273"/>
      <c r="BG953" s="1273"/>
      <c r="BH953" s="1273"/>
      <c r="BI953" s="1273"/>
      <c r="BJ953" s="1273"/>
      <c r="BK953" s="1273"/>
      <c r="BL953" s="1273"/>
      <c r="BM953" s="1273"/>
      <c r="BN953" s="1273"/>
      <c r="BO953" s="1273"/>
      <c r="BP953" s="1273"/>
      <c r="BQ953" s="1273"/>
      <c r="BR953" s="1273"/>
      <c r="BS953" s="1273"/>
      <c r="BT953" s="1273"/>
      <c r="BU953" s="1273"/>
      <c r="BV953" s="1273"/>
      <c r="BW953" s="1273"/>
      <c r="BX953" s="1273"/>
      <c r="BY953" s="1273"/>
      <c r="BZ953" s="1273"/>
      <c r="CA953" s="1273"/>
      <c r="CB953" s="1273"/>
      <c r="CC953" s="1273"/>
      <c r="CD953" s="1273"/>
      <c r="CE953" s="1273"/>
      <c r="CF953" s="1273"/>
      <c r="CG953" s="1273"/>
      <c r="CH953" s="1273"/>
      <c r="CI953" s="1273"/>
      <c r="CJ953" s="1273"/>
      <c r="CK953" s="1273"/>
      <c r="CL953" s="1273"/>
      <c r="CM953" s="1273"/>
      <c r="CN953" s="1273"/>
      <c r="CO953" s="1273"/>
      <c r="CP953" s="1273"/>
      <c r="CQ953" s="1273"/>
      <c r="CR953" s="1273"/>
      <c r="CS953" s="1273"/>
      <c r="CT953" s="1273"/>
      <c r="CU953" s="1273"/>
      <c r="CV953" s="1273"/>
      <c r="CW953" s="1273"/>
      <c r="CX953" s="1273"/>
      <c r="CY953" s="1273"/>
      <c r="CZ953" s="1273"/>
      <c r="DA953" s="1273"/>
      <c r="DB953" s="1273"/>
      <c r="DC953" s="1273"/>
      <c r="DD953" s="1273"/>
      <c r="DE953" s="1273"/>
      <c r="DF953" s="1273"/>
      <c r="DG953" s="1273"/>
      <c r="DH953" s="1273"/>
      <c r="DI953" s="1273"/>
      <c r="DJ953" s="1273"/>
      <c r="DK953" s="1273"/>
      <c r="DL953" s="1273"/>
      <c r="DM953" s="1273"/>
      <c r="DN953" s="1273"/>
      <c r="DO953" s="1273"/>
      <c r="DP953" s="1273"/>
      <c r="DQ953" s="1273"/>
      <c r="DR953" s="1273"/>
      <c r="DS953" s="1273"/>
      <c r="DT953" s="1273"/>
      <c r="DU953" s="1273"/>
      <c r="DV953" s="1273"/>
      <c r="DW953" s="1273"/>
      <c r="DX953" s="1273"/>
      <c r="DY953" s="1273"/>
      <c r="DZ953" s="1273"/>
      <c r="EA953" s="1273"/>
      <c r="EB953" s="1273"/>
      <c r="EC953" s="1273"/>
      <c r="ED953" s="1273"/>
      <c r="EE953" s="1273"/>
      <c r="EF953" s="1273"/>
      <c r="EG953" s="1273"/>
      <c r="EH953" s="1273"/>
      <c r="EI953" s="1273"/>
      <c r="EJ953" s="1273"/>
      <c r="EK953" s="1273"/>
      <c r="EL953" s="1273"/>
      <c r="EM953" s="1273"/>
      <c r="EN953" s="1273"/>
      <c r="EO953" s="1273"/>
      <c r="EP953" s="1273"/>
      <c r="EQ953" s="1273"/>
      <c r="ER953" s="1273"/>
      <c r="ES953" s="1273"/>
      <c r="ET953" s="1273"/>
      <c r="EU953" s="1273"/>
      <c r="EV953" s="1273"/>
      <c r="EW953" s="1273"/>
      <c r="EX953" s="1273"/>
      <c r="EY953" s="1273"/>
      <c r="EZ953" s="1273"/>
      <c r="FA953" s="1273"/>
      <c r="FB953" s="1273"/>
      <c r="FC953" s="1273"/>
      <c r="FD953" s="1273"/>
      <c r="FE953" s="1273"/>
      <c r="FF953" s="1273"/>
      <c r="FG953" s="1273"/>
      <c r="FH953" s="1273"/>
      <c r="FI953" s="1273"/>
      <c r="FJ953" s="1273"/>
      <c r="FK953" s="1273"/>
      <c r="FL953" s="1273"/>
      <c r="FM953" s="1273"/>
      <c r="FN953" s="1273"/>
      <c r="FO953" s="1273"/>
      <c r="FP953" s="1273"/>
      <c r="FQ953" s="1273"/>
      <c r="FR953" s="1273"/>
      <c r="FS953" s="1273"/>
      <c r="FT953" s="1273"/>
      <c r="FU953" s="1273"/>
      <c r="FV953" s="1273"/>
      <c r="FW953" s="1273"/>
      <c r="FX953" s="1273"/>
      <c r="FY953" s="1273"/>
      <c r="FZ953" s="1273"/>
      <c r="GA953" s="1273"/>
      <c r="GB953" s="1273"/>
      <c r="GC953" s="1273"/>
      <c r="GD953" s="1273"/>
      <c r="GE953" s="1273"/>
      <c r="GF953" s="1273"/>
      <c r="GG953" s="1273"/>
      <c r="GH953" s="1273"/>
      <c r="GI953" s="1273"/>
      <c r="GJ953" s="1273"/>
      <c r="GK953" s="1273"/>
      <c r="GL953" s="1273"/>
      <c r="GM953" s="1273"/>
      <c r="GN953" s="1273"/>
      <c r="GO953" s="1273"/>
      <c r="GP953" s="1273"/>
      <c r="GQ953" s="1273"/>
      <c r="GR953" s="1273"/>
      <c r="GS953" s="1273"/>
      <c r="GT953" s="1273"/>
      <c r="GU953" s="1273"/>
      <c r="GV953" s="1273"/>
      <c r="GW953" s="1273"/>
      <c r="GX953" s="1273"/>
      <c r="GY953" s="1273"/>
      <c r="GZ953" s="1273"/>
      <c r="HA953" s="1273"/>
      <c r="HB953" s="1273"/>
      <c r="HC953" s="1273"/>
      <c r="HD953" s="1273"/>
      <c r="HE953" s="1273"/>
      <c r="HF953" s="1273"/>
      <c r="HG953" s="1273"/>
      <c r="HH953" s="1273"/>
      <c r="HI953" s="1273"/>
      <c r="HJ953" s="1273"/>
      <c r="HK953" s="1273"/>
      <c r="HL953" s="1273"/>
      <c r="HM953" s="1273"/>
      <c r="HN953" s="1273"/>
      <c r="HO953" s="1273"/>
      <c r="HP953" s="1273"/>
      <c r="HQ953" s="1273"/>
      <c r="HR953" s="1273"/>
      <c r="HS953" s="1273"/>
      <c r="HT953" s="1273"/>
      <c r="HU953" s="1273"/>
      <c r="HV953" s="1273"/>
      <c r="HW953" s="1273"/>
      <c r="HX953" s="1273"/>
      <c r="HY953" s="1273"/>
      <c r="HZ953" s="1273"/>
      <c r="IA953" s="1273"/>
      <c r="IB953" s="1273"/>
      <c r="IC953" s="1273"/>
      <c r="ID953" s="1273"/>
      <c r="IE953" s="1273"/>
      <c r="IF953" s="1273"/>
      <c r="IG953" s="1273"/>
      <c r="IH953" s="1273"/>
      <c r="II953" s="1273"/>
      <c r="IJ953" s="1273"/>
      <c r="IK953" s="1273"/>
      <c r="IL953" s="1273"/>
      <c r="IM953" s="1273"/>
      <c r="IN953" s="1273"/>
      <c r="IO953" s="1273"/>
      <c r="IP953" s="1273"/>
      <c r="IQ953" s="1273"/>
      <c r="IR953" s="1273"/>
      <c r="IS953" s="1273"/>
      <c r="IT953" s="1273"/>
      <c r="IU953" s="1273"/>
      <c r="IV953" s="1273"/>
      <c r="IW953" s="1273"/>
      <c r="IX953" s="1273"/>
      <c r="IY953" s="1273"/>
      <c r="IZ953" s="1273"/>
      <c r="JA953" s="1273"/>
      <c r="JB953" s="1273"/>
      <c r="JC953" s="1273"/>
      <c r="JD953" s="1273"/>
      <c r="JE953" s="1273"/>
      <c r="JF953" s="1273"/>
      <c r="JG953" s="1273"/>
      <c r="JH953" s="1273"/>
      <c r="JI953" s="1273"/>
      <c r="JJ953" s="1273"/>
      <c r="JK953" s="1273"/>
      <c r="JL953" s="1273"/>
      <c r="JM953" s="1273"/>
      <c r="JN953" s="1273"/>
      <c r="JO953" s="1273"/>
      <c r="JP953" s="1273"/>
      <c r="JQ953" s="1273"/>
      <c r="JR953" s="1273"/>
      <c r="JS953" s="1273"/>
      <c r="JT953" s="1273"/>
      <c r="JU953" s="1273"/>
      <c r="JV953" s="1273"/>
      <c r="JW953" s="1273"/>
      <c r="JX953" s="1273"/>
      <c r="JY953" s="1273"/>
      <c r="JZ953" s="1273"/>
      <c r="KA953" s="1273"/>
      <c r="KB953" s="1273"/>
      <c r="KC953" s="1273"/>
      <c r="KD953" s="1273"/>
      <c r="KE953" s="1273"/>
      <c r="KF953" s="1273"/>
      <c r="KG953" s="1273"/>
      <c r="KH953" s="1273"/>
      <c r="KI953" s="1273"/>
      <c r="KJ953" s="1273"/>
      <c r="KK953" s="1273"/>
      <c r="KL953" s="1273"/>
      <c r="KM953" s="1273"/>
      <c r="KN953" s="1273"/>
      <c r="KO953" s="1273"/>
      <c r="KP953" s="1273"/>
      <c r="KQ953" s="1273"/>
      <c r="KR953" s="1273"/>
      <c r="KS953" s="1273"/>
      <c r="KT953" s="1273"/>
      <c r="KU953" s="1273"/>
      <c r="KV953" s="1273"/>
      <c r="KW953" s="1273"/>
      <c r="KX953" s="1273"/>
      <c r="KY953" s="1273"/>
      <c r="KZ953" s="1273"/>
      <c r="LA953" s="1273"/>
      <c r="LB953" s="1273"/>
      <c r="LC953" s="1273"/>
      <c r="LD953" s="1273"/>
      <c r="LE953" s="1273"/>
      <c r="LF953" s="1273"/>
      <c r="LG953" s="1273"/>
      <c r="LH953" s="1273"/>
      <c r="LI953" s="1273"/>
      <c r="LJ953" s="1273"/>
      <c r="LK953" s="1273"/>
      <c r="LL953" s="1273"/>
      <c r="LM953" s="1273"/>
      <c r="LN953" s="1273"/>
      <c r="LO953" s="1273"/>
      <c r="LP953" s="1273"/>
      <c r="LQ953" s="1273"/>
      <c r="LR953" s="1273"/>
      <c r="LS953" s="1273"/>
      <c r="LT953" s="1273"/>
      <c r="LU953" s="1273"/>
      <c r="LV953" s="1273"/>
      <c r="LW953" s="1273"/>
      <c r="LX953" s="1273"/>
      <c r="LY953" s="1273"/>
      <c r="LZ953" s="1273"/>
      <c r="MA953" s="1273"/>
      <c r="MB953" s="1273"/>
      <c r="MC953" s="1273"/>
      <c r="MD953" s="1273"/>
      <c r="ME953" s="1273"/>
      <c r="MF953" s="1273"/>
      <c r="MG953" s="1273"/>
      <c r="MH953" s="1273"/>
      <c r="MI953" s="1273"/>
      <c r="MJ953" s="1273"/>
      <c r="MK953" s="1273"/>
      <c r="ML953" s="1273"/>
      <c r="MM953" s="1273"/>
      <c r="MN953" s="1273"/>
      <c r="MO953" s="1273"/>
      <c r="MP953" s="1273"/>
      <c r="MQ953" s="1273"/>
      <c r="MR953" s="1273"/>
      <c r="MS953" s="1273"/>
      <c r="MT953" s="1273"/>
      <c r="MU953" s="1273"/>
      <c r="MV953" s="1273"/>
      <c r="MW953" s="1273"/>
      <c r="MX953" s="1273"/>
      <c r="MY953" s="1273"/>
      <c r="MZ953" s="1273"/>
      <c r="NA953" s="1273"/>
      <c r="NB953" s="1273"/>
      <c r="NC953" s="1273"/>
      <c r="ND953" s="1273"/>
      <c r="NE953" s="1273"/>
      <c r="NF953" s="1273"/>
      <c r="NG953" s="1273"/>
      <c r="NH953" s="1273"/>
      <c r="NI953" s="1273"/>
      <c r="NJ953" s="1273"/>
      <c r="NK953" s="1273"/>
      <c r="NL953" s="1273"/>
      <c r="NM953" s="1273"/>
      <c r="NN953" s="1273"/>
      <c r="NO953" s="1273"/>
      <c r="NP953" s="1273"/>
      <c r="NQ953" s="1273"/>
      <c r="NR953" s="1273"/>
      <c r="NS953" s="1273"/>
      <c r="NT953" s="1273"/>
      <c r="NU953" s="1273"/>
      <c r="NV953" s="1273"/>
      <c r="NW953" s="1273"/>
      <c r="NX953" s="1273"/>
      <c r="NY953" s="1273"/>
      <c r="NZ953" s="1273"/>
      <c r="OA953" s="1273"/>
      <c r="OB953" s="1273"/>
      <c r="OC953" s="1273"/>
      <c r="OD953" s="1273"/>
      <c r="OE953" s="1273"/>
      <c r="OF953" s="1273"/>
      <c r="OG953" s="1273"/>
      <c r="OH953" s="1273"/>
      <c r="OI953" s="1273"/>
      <c r="OJ953" s="1273"/>
      <c r="OK953" s="1273"/>
      <c r="OL953" s="1273"/>
      <c r="OM953" s="1273"/>
      <c r="ON953" s="1273"/>
      <c r="OO953" s="1273"/>
      <c r="OP953" s="1273"/>
      <c r="OQ953" s="1273"/>
      <c r="OR953" s="1273"/>
      <c r="OS953" s="1273"/>
      <c r="OT953" s="1273"/>
      <c r="OU953" s="1273"/>
      <c r="OV953" s="1273"/>
      <c r="OW953" s="1273"/>
      <c r="OX953" s="1273"/>
      <c r="OY953" s="1273"/>
      <c r="OZ953" s="1273"/>
      <c r="PA953" s="1273"/>
      <c r="PB953" s="1273"/>
      <c r="PC953" s="1273"/>
      <c r="PD953" s="1273"/>
      <c r="PE953" s="1273"/>
      <c r="PF953" s="1273"/>
      <c r="PG953" s="1273"/>
      <c r="PH953" s="1273"/>
      <c r="PI953" s="1273"/>
      <c r="PJ953" s="1273"/>
      <c r="PK953" s="1273"/>
      <c r="PL953" s="1273"/>
      <c r="PM953" s="1273"/>
      <c r="PN953" s="1273"/>
      <c r="PO953" s="1273"/>
      <c r="PP953" s="1273"/>
      <c r="PQ953" s="1273"/>
      <c r="PR953" s="1273"/>
      <c r="PS953" s="1273"/>
      <c r="PT953" s="1273"/>
      <c r="PU953" s="1273"/>
      <c r="PV953" s="1273"/>
      <c r="PW953" s="1273"/>
      <c r="PX953" s="1273"/>
      <c r="PY953" s="1273"/>
      <c r="PZ953" s="1273"/>
      <c r="QA953" s="1273"/>
      <c r="QB953" s="1273"/>
      <c r="QC953" s="1273"/>
      <c r="QD953" s="1273"/>
      <c r="QE953" s="1273"/>
      <c r="QF953" s="1273"/>
      <c r="QG953" s="1273"/>
      <c r="QH953" s="1273"/>
      <c r="QI953" s="1273"/>
      <c r="QJ953" s="1273"/>
      <c r="QK953" s="1273"/>
      <c r="QL953" s="1273"/>
      <c r="QM953" s="1273"/>
      <c r="QN953" s="1273"/>
      <c r="QO953" s="1273"/>
      <c r="QP953" s="1273"/>
      <c r="QQ953" s="1273"/>
      <c r="QR953" s="1273"/>
      <c r="QS953" s="1273"/>
      <c r="QT953" s="1273"/>
      <c r="QU953" s="1273"/>
      <c r="QV953" s="1273"/>
      <c r="QW953" s="1273"/>
      <c r="QX953" s="1273"/>
      <c r="QY953" s="1273"/>
      <c r="QZ953" s="1273"/>
      <c r="RA953" s="1273"/>
      <c r="RB953" s="1273"/>
      <c r="RC953" s="1273"/>
      <c r="RD953" s="1273"/>
      <c r="RE953" s="1273"/>
      <c r="RF953" s="1273"/>
      <c r="RG953" s="1273"/>
      <c r="RH953" s="1273"/>
      <c r="RI953" s="1273"/>
      <c r="RJ953" s="1273"/>
      <c r="RK953" s="1273"/>
      <c r="RL953" s="1273"/>
      <c r="RM953" s="1273"/>
      <c r="RN953" s="1273"/>
      <c r="RO953" s="1273"/>
      <c r="RP953" s="1273"/>
      <c r="RQ953" s="1273"/>
      <c r="RR953" s="1273"/>
      <c r="RS953" s="1273"/>
      <c r="RT953" s="1273"/>
      <c r="RU953" s="1273"/>
      <c r="RV953" s="1273"/>
      <c r="RW953" s="1273"/>
      <c r="RX953" s="1273"/>
      <c r="RY953" s="1273"/>
      <c r="RZ953" s="1273"/>
      <c r="SA953" s="1273"/>
      <c r="SB953" s="1273"/>
      <c r="SC953" s="1273"/>
      <c r="SD953" s="1273"/>
      <c r="SE953" s="1273"/>
      <c r="SF953" s="1273"/>
      <c r="SG953" s="1273"/>
      <c r="SH953" s="1273"/>
      <c r="SI953" s="1273"/>
      <c r="SJ953" s="1273"/>
      <c r="SK953" s="1273"/>
      <c r="SL953" s="1273"/>
      <c r="SM953" s="1273"/>
      <c r="SN953" s="1273"/>
      <c r="SO953" s="1273"/>
      <c r="SP953" s="1273"/>
      <c r="SQ953" s="1273"/>
      <c r="SR953" s="1273"/>
      <c r="SS953" s="1273"/>
      <c r="ST953" s="1273"/>
      <c r="SU953" s="1273"/>
      <c r="SV953" s="1273"/>
      <c r="SW953" s="1273"/>
      <c r="SX953" s="1273"/>
      <c r="SY953" s="1273"/>
      <c r="SZ953" s="1273"/>
      <c r="TA953" s="1273"/>
      <c r="TB953" s="1273"/>
      <c r="TC953" s="1273"/>
      <c r="TD953" s="1273"/>
      <c r="TE953" s="1273"/>
      <c r="TF953" s="1273"/>
      <c r="TG953" s="1273"/>
      <c r="TH953" s="1273"/>
      <c r="TI953" s="1273"/>
      <c r="TJ953" s="1273"/>
      <c r="TK953" s="1273"/>
      <c r="TL953" s="1273"/>
      <c r="TM953" s="1273"/>
      <c r="TN953" s="1273"/>
      <c r="TO953" s="1273"/>
      <c r="TP953" s="1273"/>
      <c r="TQ953" s="1273"/>
      <c r="TR953" s="1273"/>
      <c r="TS953" s="1273"/>
      <c r="TT953" s="1273"/>
      <c r="TU953" s="1273"/>
      <c r="TV953" s="1273"/>
      <c r="TW953" s="1273"/>
      <c r="TX953" s="1273"/>
      <c r="TY953" s="1273"/>
      <c r="TZ953" s="1273"/>
      <c r="UA953" s="1273"/>
      <c r="UB953" s="1273"/>
      <c r="UC953" s="1273"/>
      <c r="UD953" s="1273"/>
      <c r="UE953" s="1273"/>
      <c r="UF953" s="1273"/>
      <c r="UG953" s="1274"/>
    </row>
    <row r="954" spans="1:553" s="1275" customFormat="1" ht="34.15" customHeight="1">
      <c r="A954" s="414"/>
      <c r="B954" s="414"/>
      <c r="C954" s="1428" t="s">
        <v>197</v>
      </c>
      <c r="D954" s="1429" t="s">
        <v>762</v>
      </c>
      <c r="E954" s="1429" t="s">
        <v>762</v>
      </c>
      <c r="F954" s="1430" t="s">
        <v>762</v>
      </c>
      <c r="G954" s="721" t="s">
        <v>196</v>
      </c>
      <c r="H954" s="528"/>
      <c r="I954" s="1312">
        <f>(45.69*100/625)*(12-(4-3))*1</f>
        <v>80.414400000000001</v>
      </c>
      <c r="J954" s="512">
        <v>10700</v>
      </c>
      <c r="K954" s="560">
        <v>0.7</v>
      </c>
      <c r="L954" s="1012">
        <f t="shared" si="140"/>
        <v>602303.85599999991</v>
      </c>
      <c r="M954" s="444"/>
      <c r="N954" s="444"/>
      <c r="O954" s="444"/>
      <c r="P954" s="444"/>
      <c r="Q954" s="1251"/>
      <c r="R954" s="1253"/>
      <c r="S954" s="308"/>
      <c r="T954" s="308"/>
      <c r="U954" s="308"/>
      <c r="V954" s="308"/>
      <c r="W954" s="308"/>
      <c r="X954" s="308"/>
      <c r="Y954" s="308"/>
      <c r="Z954" s="604"/>
      <c r="AA954" s="308"/>
      <c r="AB954" s="308"/>
      <c r="AC954" s="687"/>
      <c r="AD954" s="687"/>
      <c r="AE954" s="687"/>
      <c r="AF954" s="687"/>
      <c r="AG954" s="687"/>
      <c r="AH954" s="687"/>
      <c r="AI954" s="687"/>
      <c r="AJ954" s="687"/>
      <c r="AK954" s="688"/>
      <c r="AL954" s="1273"/>
      <c r="AM954" s="1273"/>
      <c r="AN954" s="1273"/>
      <c r="AO954" s="1273"/>
      <c r="AP954" s="1273"/>
      <c r="AQ954" s="1273"/>
      <c r="AR954" s="1273"/>
      <c r="AS954" s="1273"/>
      <c r="AT954" s="1273"/>
      <c r="AU954" s="1273"/>
      <c r="AV954" s="1273"/>
      <c r="AW954" s="1273"/>
      <c r="AX954" s="1273"/>
      <c r="AY954" s="1273"/>
      <c r="AZ954" s="1273"/>
      <c r="BA954" s="1273"/>
      <c r="BB954" s="1273"/>
      <c r="BC954" s="1273"/>
      <c r="BD954" s="1273"/>
      <c r="BE954" s="1273"/>
      <c r="BF954" s="1273"/>
      <c r="BG954" s="1273"/>
      <c r="BH954" s="1273"/>
      <c r="BI954" s="1273"/>
      <c r="BJ954" s="1273"/>
      <c r="BK954" s="1273"/>
      <c r="BL954" s="1273"/>
      <c r="BM954" s="1273"/>
      <c r="BN954" s="1273"/>
      <c r="BO954" s="1273"/>
      <c r="BP954" s="1273"/>
      <c r="BQ954" s="1273"/>
      <c r="BR954" s="1273"/>
      <c r="BS954" s="1273"/>
      <c r="BT954" s="1273"/>
      <c r="BU954" s="1273"/>
      <c r="BV954" s="1273"/>
      <c r="BW954" s="1273"/>
      <c r="BX954" s="1273"/>
      <c r="BY954" s="1273"/>
      <c r="BZ954" s="1273"/>
      <c r="CA954" s="1273"/>
      <c r="CB954" s="1273"/>
      <c r="CC954" s="1273"/>
      <c r="CD954" s="1273"/>
      <c r="CE954" s="1273"/>
      <c r="CF954" s="1273"/>
      <c r="CG954" s="1273"/>
      <c r="CH954" s="1273"/>
      <c r="CI954" s="1273"/>
      <c r="CJ954" s="1273"/>
      <c r="CK954" s="1273"/>
      <c r="CL954" s="1273"/>
      <c r="CM954" s="1273"/>
      <c r="CN954" s="1273"/>
      <c r="CO954" s="1273"/>
      <c r="CP954" s="1273"/>
      <c r="CQ954" s="1273"/>
      <c r="CR954" s="1273"/>
      <c r="CS954" s="1273"/>
      <c r="CT954" s="1273"/>
      <c r="CU954" s="1273"/>
      <c r="CV954" s="1273"/>
      <c r="CW954" s="1273"/>
      <c r="CX954" s="1273"/>
      <c r="CY954" s="1273"/>
      <c r="CZ954" s="1273"/>
      <c r="DA954" s="1273"/>
      <c r="DB954" s="1273"/>
      <c r="DC954" s="1273"/>
      <c r="DD954" s="1273"/>
      <c r="DE954" s="1273"/>
      <c r="DF954" s="1273"/>
      <c r="DG954" s="1273"/>
      <c r="DH954" s="1273"/>
      <c r="DI954" s="1273"/>
      <c r="DJ954" s="1273"/>
      <c r="DK954" s="1273"/>
      <c r="DL954" s="1273"/>
      <c r="DM954" s="1273"/>
      <c r="DN954" s="1273"/>
      <c r="DO954" s="1273"/>
      <c r="DP954" s="1273"/>
      <c r="DQ954" s="1273"/>
      <c r="DR954" s="1273"/>
      <c r="DS954" s="1273"/>
      <c r="DT954" s="1273"/>
      <c r="DU954" s="1273"/>
      <c r="DV954" s="1273"/>
      <c r="DW954" s="1273"/>
      <c r="DX954" s="1273"/>
      <c r="DY954" s="1273"/>
      <c r="DZ954" s="1273"/>
      <c r="EA954" s="1273"/>
      <c r="EB954" s="1273"/>
      <c r="EC954" s="1273"/>
      <c r="ED954" s="1273"/>
      <c r="EE954" s="1273"/>
      <c r="EF954" s="1273"/>
      <c r="EG954" s="1273"/>
      <c r="EH954" s="1273"/>
      <c r="EI954" s="1273"/>
      <c r="EJ954" s="1273"/>
      <c r="EK954" s="1273"/>
      <c r="EL954" s="1273"/>
      <c r="EM954" s="1273"/>
      <c r="EN954" s="1273"/>
      <c r="EO954" s="1273"/>
      <c r="EP954" s="1273"/>
      <c r="EQ954" s="1273"/>
      <c r="ER954" s="1273"/>
      <c r="ES954" s="1273"/>
      <c r="ET954" s="1273"/>
      <c r="EU954" s="1273"/>
      <c r="EV954" s="1273"/>
      <c r="EW954" s="1273"/>
      <c r="EX954" s="1273"/>
      <c r="EY954" s="1273"/>
      <c r="EZ954" s="1273"/>
      <c r="FA954" s="1273"/>
      <c r="FB954" s="1273"/>
      <c r="FC954" s="1273"/>
      <c r="FD954" s="1273"/>
      <c r="FE954" s="1273"/>
      <c r="FF954" s="1273"/>
      <c r="FG954" s="1273"/>
      <c r="FH954" s="1273"/>
      <c r="FI954" s="1273"/>
      <c r="FJ954" s="1273"/>
      <c r="FK954" s="1273"/>
      <c r="FL954" s="1273"/>
      <c r="FM954" s="1273"/>
      <c r="FN954" s="1273"/>
      <c r="FO954" s="1273"/>
      <c r="FP954" s="1273"/>
      <c r="FQ954" s="1273"/>
      <c r="FR954" s="1273"/>
      <c r="FS954" s="1273"/>
      <c r="FT954" s="1273"/>
      <c r="FU954" s="1273"/>
      <c r="FV954" s="1273"/>
      <c r="FW954" s="1273"/>
      <c r="FX954" s="1273"/>
      <c r="FY954" s="1273"/>
      <c r="FZ954" s="1273"/>
      <c r="GA954" s="1273"/>
      <c r="GB954" s="1273"/>
      <c r="GC954" s="1273"/>
      <c r="GD954" s="1273"/>
      <c r="GE954" s="1273"/>
      <c r="GF954" s="1273"/>
      <c r="GG954" s="1273"/>
      <c r="GH954" s="1273"/>
      <c r="GI954" s="1273"/>
      <c r="GJ954" s="1273"/>
      <c r="GK954" s="1273"/>
      <c r="GL954" s="1273"/>
      <c r="GM954" s="1273"/>
      <c r="GN954" s="1273"/>
      <c r="GO954" s="1273"/>
      <c r="GP954" s="1273"/>
      <c r="GQ954" s="1273"/>
      <c r="GR954" s="1273"/>
      <c r="GS954" s="1273"/>
      <c r="GT954" s="1273"/>
      <c r="GU954" s="1273"/>
      <c r="GV954" s="1273"/>
      <c r="GW954" s="1273"/>
      <c r="GX954" s="1273"/>
      <c r="GY954" s="1273"/>
      <c r="GZ954" s="1273"/>
      <c r="HA954" s="1273"/>
      <c r="HB954" s="1273"/>
      <c r="HC954" s="1273"/>
      <c r="HD954" s="1273"/>
      <c r="HE954" s="1273"/>
      <c r="HF954" s="1273"/>
      <c r="HG954" s="1273"/>
      <c r="HH954" s="1273"/>
      <c r="HI954" s="1273"/>
      <c r="HJ954" s="1273"/>
      <c r="HK954" s="1273"/>
      <c r="HL954" s="1273"/>
      <c r="HM954" s="1273"/>
      <c r="HN954" s="1273"/>
      <c r="HO954" s="1273"/>
      <c r="HP954" s="1273"/>
      <c r="HQ954" s="1273"/>
      <c r="HR954" s="1273"/>
      <c r="HS954" s="1273"/>
      <c r="HT954" s="1273"/>
      <c r="HU954" s="1273"/>
      <c r="HV954" s="1273"/>
      <c r="HW954" s="1273"/>
      <c r="HX954" s="1273"/>
      <c r="HY954" s="1273"/>
      <c r="HZ954" s="1273"/>
      <c r="IA954" s="1273"/>
      <c r="IB954" s="1273"/>
      <c r="IC954" s="1273"/>
      <c r="ID954" s="1273"/>
      <c r="IE954" s="1273"/>
      <c r="IF954" s="1273"/>
      <c r="IG954" s="1273"/>
      <c r="IH954" s="1273"/>
      <c r="II954" s="1273"/>
      <c r="IJ954" s="1273"/>
      <c r="IK954" s="1273"/>
      <c r="IL954" s="1273"/>
      <c r="IM954" s="1273"/>
      <c r="IN954" s="1273"/>
      <c r="IO954" s="1273"/>
      <c r="IP954" s="1273"/>
      <c r="IQ954" s="1273"/>
      <c r="IR954" s="1273"/>
      <c r="IS954" s="1273"/>
      <c r="IT954" s="1273"/>
      <c r="IU954" s="1273"/>
      <c r="IV954" s="1273"/>
      <c r="IW954" s="1273"/>
      <c r="IX954" s="1273"/>
      <c r="IY954" s="1273"/>
      <c r="IZ954" s="1273"/>
      <c r="JA954" s="1273"/>
      <c r="JB954" s="1273"/>
      <c r="JC954" s="1273"/>
      <c r="JD954" s="1273"/>
      <c r="JE954" s="1273"/>
      <c r="JF954" s="1273"/>
      <c r="JG954" s="1273"/>
      <c r="JH954" s="1273"/>
      <c r="JI954" s="1273"/>
      <c r="JJ954" s="1273"/>
      <c r="JK954" s="1273"/>
      <c r="JL954" s="1273"/>
      <c r="JM954" s="1273"/>
      <c r="JN954" s="1273"/>
      <c r="JO954" s="1273"/>
      <c r="JP954" s="1273"/>
      <c r="JQ954" s="1273"/>
      <c r="JR954" s="1273"/>
      <c r="JS954" s="1273"/>
      <c r="JT954" s="1273"/>
      <c r="JU954" s="1273"/>
      <c r="JV954" s="1273"/>
      <c r="JW954" s="1273"/>
      <c r="JX954" s="1273"/>
      <c r="JY954" s="1273"/>
      <c r="JZ954" s="1273"/>
      <c r="KA954" s="1273"/>
      <c r="KB954" s="1273"/>
      <c r="KC954" s="1273"/>
      <c r="KD954" s="1273"/>
      <c r="KE954" s="1273"/>
      <c r="KF954" s="1273"/>
      <c r="KG954" s="1273"/>
      <c r="KH954" s="1273"/>
      <c r="KI954" s="1273"/>
      <c r="KJ954" s="1273"/>
      <c r="KK954" s="1273"/>
      <c r="KL954" s="1273"/>
      <c r="KM954" s="1273"/>
      <c r="KN954" s="1273"/>
      <c r="KO954" s="1273"/>
      <c r="KP954" s="1273"/>
      <c r="KQ954" s="1273"/>
      <c r="KR954" s="1273"/>
      <c r="KS954" s="1273"/>
      <c r="KT954" s="1273"/>
      <c r="KU954" s="1273"/>
      <c r="KV954" s="1273"/>
      <c r="KW954" s="1273"/>
      <c r="KX954" s="1273"/>
      <c r="KY954" s="1273"/>
      <c r="KZ954" s="1273"/>
      <c r="LA954" s="1273"/>
      <c r="LB954" s="1273"/>
      <c r="LC954" s="1273"/>
      <c r="LD954" s="1273"/>
      <c r="LE954" s="1273"/>
      <c r="LF954" s="1273"/>
      <c r="LG954" s="1273"/>
      <c r="LH954" s="1273"/>
      <c r="LI954" s="1273"/>
      <c r="LJ954" s="1273"/>
      <c r="LK954" s="1273"/>
      <c r="LL954" s="1273"/>
      <c r="LM954" s="1273"/>
      <c r="LN954" s="1273"/>
      <c r="LO954" s="1273"/>
      <c r="LP954" s="1273"/>
      <c r="LQ954" s="1273"/>
      <c r="LR954" s="1273"/>
      <c r="LS954" s="1273"/>
      <c r="LT954" s="1273"/>
      <c r="LU954" s="1273"/>
      <c r="LV954" s="1273"/>
      <c r="LW954" s="1273"/>
      <c r="LX954" s="1273"/>
      <c r="LY954" s="1273"/>
      <c r="LZ954" s="1273"/>
      <c r="MA954" s="1273"/>
      <c r="MB954" s="1273"/>
      <c r="MC954" s="1273"/>
      <c r="MD954" s="1273"/>
      <c r="ME954" s="1273"/>
      <c r="MF954" s="1273"/>
      <c r="MG954" s="1273"/>
      <c r="MH954" s="1273"/>
      <c r="MI954" s="1273"/>
      <c r="MJ954" s="1273"/>
      <c r="MK954" s="1273"/>
      <c r="ML954" s="1273"/>
      <c r="MM954" s="1273"/>
      <c r="MN954" s="1273"/>
      <c r="MO954" s="1273"/>
      <c r="MP954" s="1273"/>
      <c r="MQ954" s="1273"/>
      <c r="MR954" s="1273"/>
      <c r="MS954" s="1273"/>
      <c r="MT954" s="1273"/>
      <c r="MU954" s="1273"/>
      <c r="MV954" s="1273"/>
      <c r="MW954" s="1273"/>
      <c r="MX954" s="1273"/>
      <c r="MY954" s="1273"/>
      <c r="MZ954" s="1273"/>
      <c r="NA954" s="1273"/>
      <c r="NB954" s="1273"/>
      <c r="NC954" s="1273"/>
      <c r="ND954" s="1273"/>
      <c r="NE954" s="1273"/>
      <c r="NF954" s="1273"/>
      <c r="NG954" s="1273"/>
      <c r="NH954" s="1273"/>
      <c r="NI954" s="1273"/>
      <c r="NJ954" s="1273"/>
      <c r="NK954" s="1273"/>
      <c r="NL954" s="1273"/>
      <c r="NM954" s="1273"/>
      <c r="NN954" s="1273"/>
      <c r="NO954" s="1273"/>
      <c r="NP954" s="1273"/>
      <c r="NQ954" s="1273"/>
      <c r="NR954" s="1273"/>
      <c r="NS954" s="1273"/>
      <c r="NT954" s="1273"/>
      <c r="NU954" s="1273"/>
      <c r="NV954" s="1273"/>
      <c r="NW954" s="1273"/>
      <c r="NX954" s="1273"/>
      <c r="NY954" s="1273"/>
      <c r="NZ954" s="1273"/>
      <c r="OA954" s="1273"/>
      <c r="OB954" s="1273"/>
      <c r="OC954" s="1273"/>
      <c r="OD954" s="1273"/>
      <c r="OE954" s="1273"/>
      <c r="OF954" s="1273"/>
      <c r="OG954" s="1273"/>
      <c r="OH954" s="1273"/>
      <c r="OI954" s="1273"/>
      <c r="OJ954" s="1273"/>
      <c r="OK954" s="1273"/>
      <c r="OL954" s="1273"/>
      <c r="OM954" s="1273"/>
      <c r="ON954" s="1273"/>
      <c r="OO954" s="1273"/>
      <c r="OP954" s="1273"/>
      <c r="OQ954" s="1273"/>
      <c r="OR954" s="1273"/>
      <c r="OS954" s="1273"/>
      <c r="OT954" s="1273"/>
      <c r="OU954" s="1273"/>
      <c r="OV954" s="1273"/>
      <c r="OW954" s="1273"/>
      <c r="OX954" s="1273"/>
      <c r="OY954" s="1273"/>
      <c r="OZ954" s="1273"/>
      <c r="PA954" s="1273"/>
      <c r="PB954" s="1273"/>
      <c r="PC954" s="1273"/>
      <c r="PD954" s="1273"/>
      <c r="PE954" s="1273"/>
      <c r="PF954" s="1273"/>
      <c r="PG954" s="1273"/>
      <c r="PH954" s="1273"/>
      <c r="PI954" s="1273"/>
      <c r="PJ954" s="1273"/>
      <c r="PK954" s="1273"/>
      <c r="PL954" s="1273"/>
      <c r="PM954" s="1273"/>
      <c r="PN954" s="1273"/>
      <c r="PO954" s="1273"/>
      <c r="PP954" s="1273"/>
      <c r="PQ954" s="1273"/>
      <c r="PR954" s="1273"/>
      <c r="PS954" s="1273"/>
      <c r="PT954" s="1273"/>
      <c r="PU954" s="1273"/>
      <c r="PV954" s="1273"/>
      <c r="PW954" s="1273"/>
      <c r="PX954" s="1273"/>
      <c r="PY954" s="1273"/>
      <c r="PZ954" s="1273"/>
      <c r="QA954" s="1273"/>
      <c r="QB954" s="1273"/>
      <c r="QC954" s="1273"/>
      <c r="QD954" s="1273"/>
      <c r="QE954" s="1273"/>
      <c r="QF954" s="1273"/>
      <c r="QG954" s="1273"/>
      <c r="QH954" s="1273"/>
      <c r="QI954" s="1273"/>
      <c r="QJ954" s="1273"/>
      <c r="QK954" s="1273"/>
      <c r="QL954" s="1273"/>
      <c r="QM954" s="1273"/>
      <c r="QN954" s="1273"/>
      <c r="QO954" s="1273"/>
      <c r="QP954" s="1273"/>
      <c r="QQ954" s="1273"/>
      <c r="QR954" s="1273"/>
      <c r="QS954" s="1273"/>
      <c r="QT954" s="1273"/>
      <c r="QU954" s="1273"/>
      <c r="QV954" s="1273"/>
      <c r="QW954" s="1273"/>
      <c r="QX954" s="1273"/>
      <c r="QY954" s="1273"/>
      <c r="QZ954" s="1273"/>
      <c r="RA954" s="1273"/>
      <c r="RB954" s="1273"/>
      <c r="RC954" s="1273"/>
      <c r="RD954" s="1273"/>
      <c r="RE954" s="1273"/>
      <c r="RF954" s="1273"/>
      <c r="RG954" s="1273"/>
      <c r="RH954" s="1273"/>
      <c r="RI954" s="1273"/>
      <c r="RJ954" s="1273"/>
      <c r="RK954" s="1273"/>
      <c r="RL954" s="1273"/>
      <c r="RM954" s="1273"/>
      <c r="RN954" s="1273"/>
      <c r="RO954" s="1273"/>
      <c r="RP954" s="1273"/>
      <c r="RQ954" s="1273"/>
      <c r="RR954" s="1273"/>
      <c r="RS954" s="1273"/>
      <c r="RT954" s="1273"/>
      <c r="RU954" s="1273"/>
      <c r="RV954" s="1273"/>
      <c r="RW954" s="1273"/>
      <c r="RX954" s="1273"/>
      <c r="RY954" s="1273"/>
      <c r="RZ954" s="1273"/>
      <c r="SA954" s="1273"/>
      <c r="SB954" s="1273"/>
      <c r="SC954" s="1273"/>
      <c r="SD954" s="1273"/>
      <c r="SE954" s="1273"/>
      <c r="SF954" s="1273"/>
      <c r="SG954" s="1273"/>
      <c r="SH954" s="1273"/>
      <c r="SI954" s="1273"/>
      <c r="SJ954" s="1273"/>
      <c r="SK954" s="1273"/>
      <c r="SL954" s="1273"/>
      <c r="SM954" s="1273"/>
      <c r="SN954" s="1273"/>
      <c r="SO954" s="1273"/>
      <c r="SP954" s="1273"/>
      <c r="SQ954" s="1273"/>
      <c r="SR954" s="1273"/>
      <c r="SS954" s="1273"/>
      <c r="ST954" s="1273"/>
      <c r="SU954" s="1273"/>
      <c r="SV954" s="1273"/>
      <c r="SW954" s="1273"/>
      <c r="SX954" s="1273"/>
      <c r="SY954" s="1273"/>
      <c r="SZ954" s="1273"/>
      <c r="TA954" s="1273"/>
      <c r="TB954" s="1273"/>
      <c r="TC954" s="1273"/>
      <c r="TD954" s="1273"/>
      <c r="TE954" s="1273"/>
      <c r="TF954" s="1273"/>
      <c r="TG954" s="1273"/>
      <c r="TH954" s="1273"/>
      <c r="TI954" s="1273"/>
      <c r="TJ954" s="1273"/>
      <c r="TK954" s="1273"/>
      <c r="TL954" s="1273"/>
      <c r="TM954" s="1273"/>
      <c r="TN954" s="1273"/>
      <c r="TO954" s="1273"/>
      <c r="TP954" s="1273"/>
      <c r="TQ954" s="1273"/>
      <c r="TR954" s="1273"/>
      <c r="TS954" s="1273"/>
      <c r="TT954" s="1273"/>
      <c r="TU954" s="1273"/>
      <c r="TV954" s="1273"/>
      <c r="TW954" s="1273"/>
      <c r="TX954" s="1273"/>
      <c r="TY954" s="1273"/>
      <c r="TZ954" s="1273"/>
      <c r="UA954" s="1273"/>
      <c r="UB954" s="1273"/>
      <c r="UC954" s="1273"/>
      <c r="UD954" s="1273"/>
      <c r="UE954" s="1273"/>
      <c r="UF954" s="1273"/>
      <c r="UG954" s="1274"/>
    </row>
    <row r="955" spans="1:553" s="1275" customFormat="1" ht="34.15" customHeight="1">
      <c r="A955" s="356"/>
      <c r="B955" s="356"/>
      <c r="C955" s="1379" t="s">
        <v>1209</v>
      </c>
      <c r="D955" s="1380" t="s">
        <v>1209</v>
      </c>
      <c r="E955" s="1380" t="s">
        <v>1209</v>
      </c>
      <c r="F955" s="1381" t="s">
        <v>1209</v>
      </c>
      <c r="G955" s="372" t="s">
        <v>46</v>
      </c>
      <c r="H955" s="502"/>
      <c r="I955" s="1288">
        <f>(95.72*100/10000)*6</f>
        <v>5.7431999999999999</v>
      </c>
      <c r="J955" s="1243">
        <v>7100</v>
      </c>
      <c r="K955" s="722"/>
      <c r="L955" s="571">
        <f>I955*J955</f>
        <v>40776.720000000001</v>
      </c>
      <c r="M955" s="444"/>
      <c r="N955" s="444"/>
      <c r="O955" s="444"/>
      <c r="P955" s="444"/>
      <c r="Q955" s="1251"/>
      <c r="R955" s="1253"/>
      <c r="S955" s="308"/>
      <c r="T955" s="308"/>
      <c r="U955" s="308"/>
      <c r="V955" s="308"/>
      <c r="W955" s="308"/>
      <c r="X955" s="308"/>
      <c r="Y955" s="308"/>
      <c r="Z955" s="604"/>
      <c r="AA955" s="308"/>
      <c r="AB955" s="308"/>
      <c r="AC955" s="687"/>
      <c r="AD955" s="687"/>
      <c r="AE955" s="687"/>
      <c r="AF955" s="687"/>
      <c r="AG955" s="687"/>
      <c r="AH955" s="687"/>
      <c r="AI955" s="687"/>
      <c r="AJ955" s="687"/>
      <c r="AK955" s="688"/>
      <c r="AL955" s="1273"/>
      <c r="AM955" s="1273"/>
      <c r="AN955" s="1273"/>
      <c r="AO955" s="1273"/>
      <c r="AP955" s="1273"/>
      <c r="AQ955" s="1273"/>
      <c r="AR955" s="1273"/>
      <c r="AS955" s="1273"/>
      <c r="AT955" s="1273"/>
      <c r="AU955" s="1273"/>
      <c r="AV955" s="1273"/>
      <c r="AW955" s="1273"/>
      <c r="AX955" s="1273"/>
      <c r="AY955" s="1273"/>
      <c r="AZ955" s="1273"/>
      <c r="BA955" s="1273"/>
      <c r="BB955" s="1273"/>
      <c r="BC955" s="1273"/>
      <c r="BD955" s="1273"/>
      <c r="BE955" s="1273"/>
      <c r="BF955" s="1273"/>
      <c r="BG955" s="1273"/>
      <c r="BH955" s="1273"/>
      <c r="BI955" s="1273"/>
      <c r="BJ955" s="1273"/>
      <c r="BK955" s="1273"/>
      <c r="BL955" s="1273"/>
      <c r="BM955" s="1273"/>
      <c r="BN955" s="1273"/>
      <c r="BO955" s="1273"/>
      <c r="BP955" s="1273"/>
      <c r="BQ955" s="1273"/>
      <c r="BR955" s="1273"/>
      <c r="BS955" s="1273"/>
      <c r="BT955" s="1273"/>
      <c r="BU955" s="1273"/>
      <c r="BV955" s="1273"/>
      <c r="BW955" s="1273"/>
      <c r="BX955" s="1273"/>
      <c r="BY955" s="1273"/>
      <c r="BZ955" s="1273"/>
      <c r="CA955" s="1273"/>
      <c r="CB955" s="1273"/>
      <c r="CC955" s="1273"/>
      <c r="CD955" s="1273"/>
      <c r="CE955" s="1273"/>
      <c r="CF955" s="1273"/>
      <c r="CG955" s="1273"/>
      <c r="CH955" s="1273"/>
      <c r="CI955" s="1273"/>
      <c r="CJ955" s="1273"/>
      <c r="CK955" s="1273"/>
      <c r="CL955" s="1273"/>
      <c r="CM955" s="1273"/>
      <c r="CN955" s="1273"/>
      <c r="CO955" s="1273"/>
      <c r="CP955" s="1273"/>
      <c r="CQ955" s="1273"/>
      <c r="CR955" s="1273"/>
      <c r="CS955" s="1273"/>
      <c r="CT955" s="1273"/>
      <c r="CU955" s="1273"/>
      <c r="CV955" s="1273"/>
      <c r="CW955" s="1273"/>
      <c r="CX955" s="1273"/>
      <c r="CY955" s="1273"/>
      <c r="CZ955" s="1273"/>
      <c r="DA955" s="1273"/>
      <c r="DB955" s="1273"/>
      <c r="DC955" s="1273"/>
      <c r="DD955" s="1273"/>
      <c r="DE955" s="1273"/>
      <c r="DF955" s="1273"/>
      <c r="DG955" s="1273"/>
      <c r="DH955" s="1273"/>
      <c r="DI955" s="1273"/>
      <c r="DJ955" s="1273"/>
      <c r="DK955" s="1273"/>
      <c r="DL955" s="1273"/>
      <c r="DM955" s="1273"/>
      <c r="DN955" s="1273"/>
      <c r="DO955" s="1273"/>
      <c r="DP955" s="1273"/>
      <c r="DQ955" s="1273"/>
      <c r="DR955" s="1273"/>
      <c r="DS955" s="1273"/>
      <c r="DT955" s="1273"/>
      <c r="DU955" s="1273"/>
      <c r="DV955" s="1273"/>
      <c r="DW955" s="1273"/>
      <c r="DX955" s="1273"/>
      <c r="DY955" s="1273"/>
      <c r="DZ955" s="1273"/>
      <c r="EA955" s="1273"/>
      <c r="EB955" s="1273"/>
      <c r="EC955" s="1273"/>
      <c r="ED955" s="1273"/>
      <c r="EE955" s="1273"/>
      <c r="EF955" s="1273"/>
      <c r="EG955" s="1273"/>
      <c r="EH955" s="1273"/>
      <c r="EI955" s="1273"/>
      <c r="EJ955" s="1273"/>
      <c r="EK955" s="1273"/>
      <c r="EL955" s="1273"/>
      <c r="EM955" s="1273"/>
      <c r="EN955" s="1273"/>
      <c r="EO955" s="1273"/>
      <c r="EP955" s="1273"/>
      <c r="EQ955" s="1273"/>
      <c r="ER955" s="1273"/>
      <c r="ES955" s="1273"/>
      <c r="ET955" s="1273"/>
      <c r="EU955" s="1273"/>
      <c r="EV955" s="1273"/>
      <c r="EW955" s="1273"/>
      <c r="EX955" s="1273"/>
      <c r="EY955" s="1273"/>
      <c r="EZ955" s="1273"/>
      <c r="FA955" s="1273"/>
      <c r="FB955" s="1273"/>
      <c r="FC955" s="1273"/>
      <c r="FD955" s="1273"/>
      <c r="FE955" s="1273"/>
      <c r="FF955" s="1273"/>
      <c r="FG955" s="1273"/>
      <c r="FH955" s="1273"/>
      <c r="FI955" s="1273"/>
      <c r="FJ955" s="1273"/>
      <c r="FK955" s="1273"/>
      <c r="FL955" s="1273"/>
      <c r="FM955" s="1273"/>
      <c r="FN955" s="1273"/>
      <c r="FO955" s="1273"/>
      <c r="FP955" s="1273"/>
      <c r="FQ955" s="1273"/>
      <c r="FR955" s="1273"/>
      <c r="FS955" s="1273"/>
      <c r="FT955" s="1273"/>
      <c r="FU955" s="1273"/>
      <c r="FV955" s="1273"/>
      <c r="FW955" s="1273"/>
      <c r="FX955" s="1273"/>
      <c r="FY955" s="1273"/>
      <c r="FZ955" s="1273"/>
      <c r="GA955" s="1273"/>
      <c r="GB955" s="1273"/>
      <c r="GC955" s="1273"/>
      <c r="GD955" s="1273"/>
      <c r="GE955" s="1273"/>
      <c r="GF955" s="1273"/>
      <c r="GG955" s="1273"/>
      <c r="GH955" s="1273"/>
      <c r="GI955" s="1273"/>
      <c r="GJ955" s="1273"/>
      <c r="GK955" s="1273"/>
      <c r="GL955" s="1273"/>
      <c r="GM955" s="1273"/>
      <c r="GN955" s="1273"/>
      <c r="GO955" s="1273"/>
      <c r="GP955" s="1273"/>
      <c r="GQ955" s="1273"/>
      <c r="GR955" s="1273"/>
      <c r="GS955" s="1273"/>
      <c r="GT955" s="1273"/>
      <c r="GU955" s="1273"/>
      <c r="GV955" s="1273"/>
      <c r="GW955" s="1273"/>
      <c r="GX955" s="1273"/>
      <c r="GY955" s="1273"/>
      <c r="GZ955" s="1273"/>
      <c r="HA955" s="1273"/>
      <c r="HB955" s="1273"/>
      <c r="HC955" s="1273"/>
      <c r="HD955" s="1273"/>
      <c r="HE955" s="1273"/>
      <c r="HF955" s="1273"/>
      <c r="HG955" s="1273"/>
      <c r="HH955" s="1273"/>
      <c r="HI955" s="1273"/>
      <c r="HJ955" s="1273"/>
      <c r="HK955" s="1273"/>
      <c r="HL955" s="1273"/>
      <c r="HM955" s="1273"/>
      <c r="HN955" s="1273"/>
      <c r="HO955" s="1273"/>
      <c r="HP955" s="1273"/>
      <c r="HQ955" s="1273"/>
      <c r="HR955" s="1273"/>
      <c r="HS955" s="1273"/>
      <c r="HT955" s="1273"/>
      <c r="HU955" s="1273"/>
      <c r="HV955" s="1273"/>
      <c r="HW955" s="1273"/>
      <c r="HX955" s="1273"/>
      <c r="HY955" s="1273"/>
      <c r="HZ955" s="1273"/>
      <c r="IA955" s="1273"/>
      <c r="IB955" s="1273"/>
      <c r="IC955" s="1273"/>
      <c r="ID955" s="1273"/>
      <c r="IE955" s="1273"/>
      <c r="IF955" s="1273"/>
      <c r="IG955" s="1273"/>
      <c r="IH955" s="1273"/>
      <c r="II955" s="1273"/>
      <c r="IJ955" s="1273"/>
      <c r="IK955" s="1273"/>
      <c r="IL955" s="1273"/>
      <c r="IM955" s="1273"/>
      <c r="IN955" s="1273"/>
      <c r="IO955" s="1273"/>
      <c r="IP955" s="1273"/>
      <c r="IQ955" s="1273"/>
      <c r="IR955" s="1273"/>
      <c r="IS955" s="1273"/>
      <c r="IT955" s="1273"/>
      <c r="IU955" s="1273"/>
      <c r="IV955" s="1273"/>
      <c r="IW955" s="1273"/>
      <c r="IX955" s="1273"/>
      <c r="IY955" s="1273"/>
      <c r="IZ955" s="1273"/>
      <c r="JA955" s="1273"/>
      <c r="JB955" s="1273"/>
      <c r="JC955" s="1273"/>
      <c r="JD955" s="1273"/>
      <c r="JE955" s="1273"/>
      <c r="JF955" s="1273"/>
      <c r="JG955" s="1273"/>
      <c r="JH955" s="1273"/>
      <c r="JI955" s="1273"/>
      <c r="JJ955" s="1273"/>
      <c r="JK955" s="1273"/>
      <c r="JL955" s="1273"/>
      <c r="JM955" s="1273"/>
      <c r="JN955" s="1273"/>
      <c r="JO955" s="1273"/>
      <c r="JP955" s="1273"/>
      <c r="JQ955" s="1273"/>
      <c r="JR955" s="1273"/>
      <c r="JS955" s="1273"/>
      <c r="JT955" s="1273"/>
      <c r="JU955" s="1273"/>
      <c r="JV955" s="1273"/>
      <c r="JW955" s="1273"/>
      <c r="JX955" s="1273"/>
      <c r="JY955" s="1273"/>
      <c r="JZ955" s="1273"/>
      <c r="KA955" s="1273"/>
      <c r="KB955" s="1273"/>
      <c r="KC955" s="1273"/>
      <c r="KD955" s="1273"/>
      <c r="KE955" s="1273"/>
      <c r="KF955" s="1273"/>
      <c r="KG955" s="1273"/>
      <c r="KH955" s="1273"/>
      <c r="KI955" s="1273"/>
      <c r="KJ955" s="1273"/>
      <c r="KK955" s="1273"/>
      <c r="KL955" s="1273"/>
      <c r="KM955" s="1273"/>
      <c r="KN955" s="1273"/>
      <c r="KO955" s="1273"/>
      <c r="KP955" s="1273"/>
      <c r="KQ955" s="1273"/>
      <c r="KR955" s="1273"/>
      <c r="KS955" s="1273"/>
      <c r="KT955" s="1273"/>
      <c r="KU955" s="1273"/>
      <c r="KV955" s="1273"/>
      <c r="KW955" s="1273"/>
      <c r="KX955" s="1273"/>
      <c r="KY955" s="1273"/>
      <c r="KZ955" s="1273"/>
      <c r="LA955" s="1273"/>
      <c r="LB955" s="1273"/>
      <c r="LC955" s="1273"/>
      <c r="LD955" s="1273"/>
      <c r="LE955" s="1273"/>
      <c r="LF955" s="1273"/>
      <c r="LG955" s="1273"/>
      <c r="LH955" s="1273"/>
      <c r="LI955" s="1273"/>
      <c r="LJ955" s="1273"/>
      <c r="LK955" s="1273"/>
      <c r="LL955" s="1273"/>
      <c r="LM955" s="1273"/>
      <c r="LN955" s="1273"/>
      <c r="LO955" s="1273"/>
      <c r="LP955" s="1273"/>
      <c r="LQ955" s="1273"/>
      <c r="LR955" s="1273"/>
      <c r="LS955" s="1273"/>
      <c r="LT955" s="1273"/>
      <c r="LU955" s="1273"/>
      <c r="LV955" s="1273"/>
      <c r="LW955" s="1273"/>
      <c r="LX955" s="1273"/>
      <c r="LY955" s="1273"/>
      <c r="LZ955" s="1273"/>
      <c r="MA955" s="1273"/>
      <c r="MB955" s="1273"/>
      <c r="MC955" s="1273"/>
      <c r="MD955" s="1273"/>
      <c r="ME955" s="1273"/>
      <c r="MF955" s="1273"/>
      <c r="MG955" s="1273"/>
      <c r="MH955" s="1273"/>
      <c r="MI955" s="1273"/>
      <c r="MJ955" s="1273"/>
      <c r="MK955" s="1273"/>
      <c r="ML955" s="1273"/>
      <c r="MM955" s="1273"/>
      <c r="MN955" s="1273"/>
      <c r="MO955" s="1273"/>
      <c r="MP955" s="1273"/>
      <c r="MQ955" s="1273"/>
      <c r="MR955" s="1273"/>
      <c r="MS955" s="1273"/>
      <c r="MT955" s="1273"/>
      <c r="MU955" s="1273"/>
      <c r="MV955" s="1273"/>
      <c r="MW955" s="1273"/>
      <c r="MX955" s="1273"/>
      <c r="MY955" s="1273"/>
      <c r="MZ955" s="1273"/>
      <c r="NA955" s="1273"/>
      <c r="NB955" s="1273"/>
      <c r="NC955" s="1273"/>
      <c r="ND955" s="1273"/>
      <c r="NE955" s="1273"/>
      <c r="NF955" s="1273"/>
      <c r="NG955" s="1273"/>
      <c r="NH955" s="1273"/>
      <c r="NI955" s="1273"/>
      <c r="NJ955" s="1273"/>
      <c r="NK955" s="1273"/>
      <c r="NL955" s="1273"/>
      <c r="NM955" s="1273"/>
      <c r="NN955" s="1273"/>
      <c r="NO955" s="1273"/>
      <c r="NP955" s="1273"/>
      <c r="NQ955" s="1273"/>
      <c r="NR955" s="1273"/>
      <c r="NS955" s="1273"/>
      <c r="NT955" s="1273"/>
      <c r="NU955" s="1273"/>
      <c r="NV955" s="1273"/>
      <c r="NW955" s="1273"/>
      <c r="NX955" s="1273"/>
      <c r="NY955" s="1273"/>
      <c r="NZ955" s="1273"/>
      <c r="OA955" s="1273"/>
      <c r="OB955" s="1273"/>
      <c r="OC955" s="1273"/>
      <c r="OD955" s="1273"/>
      <c r="OE955" s="1273"/>
      <c r="OF955" s="1273"/>
      <c r="OG955" s="1273"/>
      <c r="OH955" s="1273"/>
      <c r="OI955" s="1273"/>
      <c r="OJ955" s="1273"/>
      <c r="OK955" s="1273"/>
      <c r="OL955" s="1273"/>
      <c r="OM955" s="1273"/>
      <c r="ON955" s="1273"/>
      <c r="OO955" s="1273"/>
      <c r="OP955" s="1273"/>
      <c r="OQ955" s="1273"/>
      <c r="OR955" s="1273"/>
      <c r="OS955" s="1273"/>
      <c r="OT955" s="1273"/>
      <c r="OU955" s="1273"/>
      <c r="OV955" s="1273"/>
      <c r="OW955" s="1273"/>
      <c r="OX955" s="1273"/>
      <c r="OY955" s="1273"/>
      <c r="OZ955" s="1273"/>
      <c r="PA955" s="1273"/>
      <c r="PB955" s="1273"/>
      <c r="PC955" s="1273"/>
      <c r="PD955" s="1273"/>
      <c r="PE955" s="1273"/>
      <c r="PF955" s="1273"/>
      <c r="PG955" s="1273"/>
      <c r="PH955" s="1273"/>
      <c r="PI955" s="1273"/>
      <c r="PJ955" s="1273"/>
      <c r="PK955" s="1273"/>
      <c r="PL955" s="1273"/>
      <c r="PM955" s="1273"/>
      <c r="PN955" s="1273"/>
      <c r="PO955" s="1273"/>
      <c r="PP955" s="1273"/>
      <c r="PQ955" s="1273"/>
      <c r="PR955" s="1273"/>
      <c r="PS955" s="1273"/>
      <c r="PT955" s="1273"/>
      <c r="PU955" s="1273"/>
      <c r="PV955" s="1273"/>
      <c r="PW955" s="1273"/>
      <c r="PX955" s="1273"/>
      <c r="PY955" s="1273"/>
      <c r="PZ955" s="1273"/>
      <c r="QA955" s="1273"/>
      <c r="QB955" s="1273"/>
      <c r="QC955" s="1273"/>
      <c r="QD955" s="1273"/>
      <c r="QE955" s="1273"/>
      <c r="QF955" s="1273"/>
      <c r="QG955" s="1273"/>
      <c r="QH955" s="1273"/>
      <c r="QI955" s="1273"/>
      <c r="QJ955" s="1273"/>
      <c r="QK955" s="1273"/>
      <c r="QL955" s="1273"/>
      <c r="QM955" s="1273"/>
      <c r="QN955" s="1273"/>
      <c r="QO955" s="1273"/>
      <c r="QP955" s="1273"/>
      <c r="QQ955" s="1273"/>
      <c r="QR955" s="1273"/>
      <c r="QS955" s="1273"/>
      <c r="QT955" s="1273"/>
      <c r="QU955" s="1273"/>
      <c r="QV955" s="1273"/>
      <c r="QW955" s="1273"/>
      <c r="QX955" s="1273"/>
      <c r="QY955" s="1273"/>
      <c r="QZ955" s="1273"/>
      <c r="RA955" s="1273"/>
      <c r="RB955" s="1273"/>
      <c r="RC955" s="1273"/>
      <c r="RD955" s="1273"/>
      <c r="RE955" s="1273"/>
      <c r="RF955" s="1273"/>
      <c r="RG955" s="1273"/>
      <c r="RH955" s="1273"/>
      <c r="RI955" s="1273"/>
      <c r="RJ955" s="1273"/>
      <c r="RK955" s="1273"/>
      <c r="RL955" s="1273"/>
      <c r="RM955" s="1273"/>
      <c r="RN955" s="1273"/>
      <c r="RO955" s="1273"/>
      <c r="RP955" s="1273"/>
      <c r="RQ955" s="1273"/>
      <c r="RR955" s="1273"/>
      <c r="RS955" s="1273"/>
      <c r="RT955" s="1273"/>
      <c r="RU955" s="1273"/>
      <c r="RV955" s="1273"/>
      <c r="RW955" s="1273"/>
      <c r="RX955" s="1273"/>
      <c r="RY955" s="1273"/>
      <c r="RZ955" s="1273"/>
      <c r="SA955" s="1273"/>
      <c r="SB955" s="1273"/>
      <c r="SC955" s="1273"/>
      <c r="SD955" s="1273"/>
      <c r="SE955" s="1273"/>
      <c r="SF955" s="1273"/>
      <c r="SG955" s="1273"/>
      <c r="SH955" s="1273"/>
      <c r="SI955" s="1273"/>
      <c r="SJ955" s="1273"/>
      <c r="SK955" s="1273"/>
      <c r="SL955" s="1273"/>
      <c r="SM955" s="1273"/>
      <c r="SN955" s="1273"/>
      <c r="SO955" s="1273"/>
      <c r="SP955" s="1273"/>
      <c r="SQ955" s="1273"/>
      <c r="SR955" s="1273"/>
      <c r="SS955" s="1273"/>
      <c r="ST955" s="1273"/>
      <c r="SU955" s="1273"/>
      <c r="SV955" s="1273"/>
      <c r="SW955" s="1273"/>
      <c r="SX955" s="1273"/>
      <c r="SY955" s="1273"/>
      <c r="SZ955" s="1273"/>
      <c r="TA955" s="1273"/>
      <c r="TB955" s="1273"/>
      <c r="TC955" s="1273"/>
      <c r="TD955" s="1273"/>
      <c r="TE955" s="1273"/>
      <c r="TF955" s="1273"/>
      <c r="TG955" s="1273"/>
      <c r="TH955" s="1273"/>
      <c r="TI955" s="1273"/>
      <c r="TJ955" s="1273"/>
      <c r="TK955" s="1273"/>
      <c r="TL955" s="1273"/>
      <c r="TM955" s="1273"/>
      <c r="TN955" s="1273"/>
      <c r="TO955" s="1273"/>
      <c r="TP955" s="1273"/>
      <c r="TQ955" s="1273"/>
      <c r="TR955" s="1273"/>
      <c r="TS955" s="1273"/>
      <c r="TT955" s="1273"/>
      <c r="TU955" s="1273"/>
      <c r="TV955" s="1273"/>
      <c r="TW955" s="1273"/>
      <c r="TX955" s="1273"/>
      <c r="TY955" s="1273"/>
      <c r="TZ955" s="1273"/>
      <c r="UA955" s="1273"/>
      <c r="UB955" s="1273"/>
      <c r="UC955" s="1273"/>
      <c r="UD955" s="1273"/>
      <c r="UE955" s="1273"/>
      <c r="UF955" s="1273"/>
      <c r="UG955" s="1274"/>
    </row>
    <row r="956" spans="1:553" s="1275" customFormat="1" ht="34.15" customHeight="1">
      <c r="A956" s="356"/>
      <c r="B956" s="356"/>
      <c r="C956" s="1379" t="s">
        <v>1210</v>
      </c>
      <c r="D956" s="1380" t="s">
        <v>1210</v>
      </c>
      <c r="E956" s="1380" t="s">
        <v>1210</v>
      </c>
      <c r="F956" s="1381" t="s">
        <v>1210</v>
      </c>
      <c r="G956" s="366" t="s">
        <v>48</v>
      </c>
      <c r="H956" s="504"/>
      <c r="I956" s="1016">
        <v>160</v>
      </c>
      <c r="J956" s="996">
        <v>30000</v>
      </c>
      <c r="K956" s="723"/>
      <c r="L956" s="1299">
        <f>ROUND(PRODUCT(I956:K956),0)</f>
        <v>4800000</v>
      </c>
      <c r="M956" s="444"/>
      <c r="N956" s="444"/>
      <c r="O956" s="444"/>
      <c r="P956" s="444"/>
      <c r="Q956" s="1251"/>
      <c r="R956" s="1253"/>
      <c r="S956" s="308"/>
      <c r="T956" s="308"/>
      <c r="U956" s="308"/>
      <c r="V956" s="308"/>
      <c r="W956" s="308"/>
      <c r="X956" s="308"/>
      <c r="Y956" s="308"/>
      <c r="Z956" s="604"/>
      <c r="AA956" s="308"/>
      <c r="AB956" s="308"/>
      <c r="AC956" s="687"/>
      <c r="AD956" s="687"/>
      <c r="AE956" s="687"/>
      <c r="AF956" s="687"/>
      <c r="AG956" s="687"/>
      <c r="AH956" s="687"/>
      <c r="AI956" s="687"/>
      <c r="AJ956" s="687"/>
      <c r="AK956" s="688"/>
      <c r="AL956" s="1273"/>
      <c r="AM956" s="1273"/>
      <c r="AN956" s="1273"/>
      <c r="AO956" s="1273"/>
      <c r="AP956" s="1273"/>
      <c r="AQ956" s="1273"/>
      <c r="AR956" s="1273"/>
      <c r="AS956" s="1273"/>
      <c r="AT956" s="1273"/>
      <c r="AU956" s="1273"/>
      <c r="AV956" s="1273"/>
      <c r="AW956" s="1273"/>
      <c r="AX956" s="1273"/>
      <c r="AY956" s="1273"/>
      <c r="AZ956" s="1273"/>
      <c r="BA956" s="1273"/>
      <c r="BB956" s="1273"/>
      <c r="BC956" s="1273"/>
      <c r="BD956" s="1273"/>
      <c r="BE956" s="1273"/>
      <c r="BF956" s="1273"/>
      <c r="BG956" s="1273"/>
      <c r="BH956" s="1273"/>
      <c r="BI956" s="1273"/>
      <c r="BJ956" s="1273"/>
      <c r="BK956" s="1273"/>
      <c r="BL956" s="1273"/>
      <c r="BM956" s="1273"/>
      <c r="BN956" s="1273"/>
      <c r="BO956" s="1273"/>
      <c r="BP956" s="1273"/>
      <c r="BQ956" s="1273"/>
      <c r="BR956" s="1273"/>
      <c r="BS956" s="1273"/>
      <c r="BT956" s="1273"/>
      <c r="BU956" s="1273"/>
      <c r="BV956" s="1273"/>
      <c r="BW956" s="1273"/>
      <c r="BX956" s="1273"/>
      <c r="BY956" s="1273"/>
      <c r="BZ956" s="1273"/>
      <c r="CA956" s="1273"/>
      <c r="CB956" s="1273"/>
      <c r="CC956" s="1273"/>
      <c r="CD956" s="1273"/>
      <c r="CE956" s="1273"/>
      <c r="CF956" s="1273"/>
      <c r="CG956" s="1273"/>
      <c r="CH956" s="1273"/>
      <c r="CI956" s="1273"/>
      <c r="CJ956" s="1273"/>
      <c r="CK956" s="1273"/>
      <c r="CL956" s="1273"/>
      <c r="CM956" s="1273"/>
      <c r="CN956" s="1273"/>
      <c r="CO956" s="1273"/>
      <c r="CP956" s="1273"/>
      <c r="CQ956" s="1273"/>
      <c r="CR956" s="1273"/>
      <c r="CS956" s="1273"/>
      <c r="CT956" s="1273"/>
      <c r="CU956" s="1273"/>
      <c r="CV956" s="1273"/>
      <c r="CW956" s="1273"/>
      <c r="CX956" s="1273"/>
      <c r="CY956" s="1273"/>
      <c r="CZ956" s="1273"/>
      <c r="DA956" s="1273"/>
      <c r="DB956" s="1273"/>
      <c r="DC956" s="1273"/>
      <c r="DD956" s="1273"/>
      <c r="DE956" s="1273"/>
      <c r="DF956" s="1273"/>
      <c r="DG956" s="1273"/>
      <c r="DH956" s="1273"/>
      <c r="DI956" s="1273"/>
      <c r="DJ956" s="1273"/>
      <c r="DK956" s="1273"/>
      <c r="DL956" s="1273"/>
      <c r="DM956" s="1273"/>
      <c r="DN956" s="1273"/>
      <c r="DO956" s="1273"/>
      <c r="DP956" s="1273"/>
      <c r="DQ956" s="1273"/>
      <c r="DR956" s="1273"/>
      <c r="DS956" s="1273"/>
      <c r="DT956" s="1273"/>
      <c r="DU956" s="1273"/>
      <c r="DV956" s="1273"/>
      <c r="DW956" s="1273"/>
      <c r="DX956" s="1273"/>
      <c r="DY956" s="1273"/>
      <c r="DZ956" s="1273"/>
      <c r="EA956" s="1273"/>
      <c r="EB956" s="1273"/>
      <c r="EC956" s="1273"/>
      <c r="ED956" s="1273"/>
      <c r="EE956" s="1273"/>
      <c r="EF956" s="1273"/>
      <c r="EG956" s="1273"/>
      <c r="EH956" s="1273"/>
      <c r="EI956" s="1273"/>
      <c r="EJ956" s="1273"/>
      <c r="EK956" s="1273"/>
      <c r="EL956" s="1273"/>
      <c r="EM956" s="1273"/>
      <c r="EN956" s="1273"/>
      <c r="EO956" s="1273"/>
      <c r="EP956" s="1273"/>
      <c r="EQ956" s="1273"/>
      <c r="ER956" s="1273"/>
      <c r="ES956" s="1273"/>
      <c r="ET956" s="1273"/>
      <c r="EU956" s="1273"/>
      <c r="EV956" s="1273"/>
      <c r="EW956" s="1273"/>
      <c r="EX956" s="1273"/>
      <c r="EY956" s="1273"/>
      <c r="EZ956" s="1273"/>
      <c r="FA956" s="1273"/>
      <c r="FB956" s="1273"/>
      <c r="FC956" s="1273"/>
      <c r="FD956" s="1273"/>
      <c r="FE956" s="1273"/>
      <c r="FF956" s="1273"/>
      <c r="FG956" s="1273"/>
      <c r="FH956" s="1273"/>
      <c r="FI956" s="1273"/>
      <c r="FJ956" s="1273"/>
      <c r="FK956" s="1273"/>
      <c r="FL956" s="1273"/>
      <c r="FM956" s="1273"/>
      <c r="FN956" s="1273"/>
      <c r="FO956" s="1273"/>
      <c r="FP956" s="1273"/>
      <c r="FQ956" s="1273"/>
      <c r="FR956" s="1273"/>
      <c r="FS956" s="1273"/>
      <c r="FT956" s="1273"/>
      <c r="FU956" s="1273"/>
      <c r="FV956" s="1273"/>
      <c r="FW956" s="1273"/>
      <c r="FX956" s="1273"/>
      <c r="FY956" s="1273"/>
      <c r="FZ956" s="1273"/>
      <c r="GA956" s="1273"/>
      <c r="GB956" s="1273"/>
      <c r="GC956" s="1273"/>
      <c r="GD956" s="1273"/>
      <c r="GE956" s="1273"/>
      <c r="GF956" s="1273"/>
      <c r="GG956" s="1273"/>
      <c r="GH956" s="1273"/>
      <c r="GI956" s="1273"/>
      <c r="GJ956" s="1273"/>
      <c r="GK956" s="1273"/>
      <c r="GL956" s="1273"/>
      <c r="GM956" s="1273"/>
      <c r="GN956" s="1273"/>
      <c r="GO956" s="1273"/>
      <c r="GP956" s="1273"/>
      <c r="GQ956" s="1273"/>
      <c r="GR956" s="1273"/>
      <c r="GS956" s="1273"/>
      <c r="GT956" s="1273"/>
      <c r="GU956" s="1273"/>
      <c r="GV956" s="1273"/>
      <c r="GW956" s="1273"/>
      <c r="GX956" s="1273"/>
      <c r="GY956" s="1273"/>
      <c r="GZ956" s="1273"/>
      <c r="HA956" s="1273"/>
      <c r="HB956" s="1273"/>
      <c r="HC956" s="1273"/>
      <c r="HD956" s="1273"/>
      <c r="HE956" s="1273"/>
      <c r="HF956" s="1273"/>
      <c r="HG956" s="1273"/>
      <c r="HH956" s="1273"/>
      <c r="HI956" s="1273"/>
      <c r="HJ956" s="1273"/>
      <c r="HK956" s="1273"/>
      <c r="HL956" s="1273"/>
      <c r="HM956" s="1273"/>
      <c r="HN956" s="1273"/>
      <c r="HO956" s="1273"/>
      <c r="HP956" s="1273"/>
      <c r="HQ956" s="1273"/>
      <c r="HR956" s="1273"/>
      <c r="HS956" s="1273"/>
      <c r="HT956" s="1273"/>
      <c r="HU956" s="1273"/>
      <c r="HV956" s="1273"/>
      <c r="HW956" s="1273"/>
      <c r="HX956" s="1273"/>
      <c r="HY956" s="1273"/>
      <c r="HZ956" s="1273"/>
      <c r="IA956" s="1273"/>
      <c r="IB956" s="1273"/>
      <c r="IC956" s="1273"/>
      <c r="ID956" s="1273"/>
      <c r="IE956" s="1273"/>
      <c r="IF956" s="1273"/>
      <c r="IG956" s="1273"/>
      <c r="IH956" s="1273"/>
      <c r="II956" s="1273"/>
      <c r="IJ956" s="1273"/>
      <c r="IK956" s="1273"/>
      <c r="IL956" s="1273"/>
      <c r="IM956" s="1273"/>
      <c r="IN956" s="1273"/>
      <c r="IO956" s="1273"/>
      <c r="IP956" s="1273"/>
      <c r="IQ956" s="1273"/>
      <c r="IR956" s="1273"/>
      <c r="IS956" s="1273"/>
      <c r="IT956" s="1273"/>
      <c r="IU956" s="1273"/>
      <c r="IV956" s="1273"/>
      <c r="IW956" s="1273"/>
      <c r="IX956" s="1273"/>
      <c r="IY956" s="1273"/>
      <c r="IZ956" s="1273"/>
      <c r="JA956" s="1273"/>
      <c r="JB956" s="1273"/>
      <c r="JC956" s="1273"/>
      <c r="JD956" s="1273"/>
      <c r="JE956" s="1273"/>
      <c r="JF956" s="1273"/>
      <c r="JG956" s="1273"/>
      <c r="JH956" s="1273"/>
      <c r="JI956" s="1273"/>
      <c r="JJ956" s="1273"/>
      <c r="JK956" s="1273"/>
      <c r="JL956" s="1273"/>
      <c r="JM956" s="1273"/>
      <c r="JN956" s="1273"/>
      <c r="JO956" s="1273"/>
      <c r="JP956" s="1273"/>
      <c r="JQ956" s="1273"/>
      <c r="JR956" s="1273"/>
      <c r="JS956" s="1273"/>
      <c r="JT956" s="1273"/>
      <c r="JU956" s="1273"/>
      <c r="JV956" s="1273"/>
      <c r="JW956" s="1273"/>
      <c r="JX956" s="1273"/>
      <c r="JY956" s="1273"/>
      <c r="JZ956" s="1273"/>
      <c r="KA956" s="1273"/>
      <c r="KB956" s="1273"/>
      <c r="KC956" s="1273"/>
      <c r="KD956" s="1273"/>
      <c r="KE956" s="1273"/>
      <c r="KF956" s="1273"/>
      <c r="KG956" s="1273"/>
      <c r="KH956" s="1273"/>
      <c r="KI956" s="1273"/>
      <c r="KJ956" s="1273"/>
      <c r="KK956" s="1273"/>
      <c r="KL956" s="1273"/>
      <c r="KM956" s="1273"/>
      <c r="KN956" s="1273"/>
      <c r="KO956" s="1273"/>
      <c r="KP956" s="1273"/>
      <c r="KQ956" s="1273"/>
      <c r="KR956" s="1273"/>
      <c r="KS956" s="1273"/>
      <c r="KT956" s="1273"/>
      <c r="KU956" s="1273"/>
      <c r="KV956" s="1273"/>
      <c r="KW956" s="1273"/>
      <c r="KX956" s="1273"/>
      <c r="KY956" s="1273"/>
      <c r="KZ956" s="1273"/>
      <c r="LA956" s="1273"/>
      <c r="LB956" s="1273"/>
      <c r="LC956" s="1273"/>
      <c r="LD956" s="1273"/>
      <c r="LE956" s="1273"/>
      <c r="LF956" s="1273"/>
      <c r="LG956" s="1273"/>
      <c r="LH956" s="1273"/>
      <c r="LI956" s="1273"/>
      <c r="LJ956" s="1273"/>
      <c r="LK956" s="1273"/>
      <c r="LL956" s="1273"/>
      <c r="LM956" s="1273"/>
      <c r="LN956" s="1273"/>
      <c r="LO956" s="1273"/>
      <c r="LP956" s="1273"/>
      <c r="LQ956" s="1273"/>
      <c r="LR956" s="1273"/>
      <c r="LS956" s="1273"/>
      <c r="LT956" s="1273"/>
      <c r="LU956" s="1273"/>
      <c r="LV956" s="1273"/>
      <c r="LW956" s="1273"/>
      <c r="LX956" s="1273"/>
      <c r="LY956" s="1273"/>
      <c r="LZ956" s="1273"/>
      <c r="MA956" s="1273"/>
      <c r="MB956" s="1273"/>
      <c r="MC956" s="1273"/>
      <c r="MD956" s="1273"/>
      <c r="ME956" s="1273"/>
      <c r="MF956" s="1273"/>
      <c r="MG956" s="1273"/>
      <c r="MH956" s="1273"/>
      <c r="MI956" s="1273"/>
      <c r="MJ956" s="1273"/>
      <c r="MK956" s="1273"/>
      <c r="ML956" s="1273"/>
      <c r="MM956" s="1273"/>
      <c r="MN956" s="1273"/>
      <c r="MO956" s="1273"/>
      <c r="MP956" s="1273"/>
      <c r="MQ956" s="1273"/>
      <c r="MR956" s="1273"/>
      <c r="MS956" s="1273"/>
      <c r="MT956" s="1273"/>
      <c r="MU956" s="1273"/>
      <c r="MV956" s="1273"/>
      <c r="MW956" s="1273"/>
      <c r="MX956" s="1273"/>
      <c r="MY956" s="1273"/>
      <c r="MZ956" s="1273"/>
      <c r="NA956" s="1273"/>
      <c r="NB956" s="1273"/>
      <c r="NC956" s="1273"/>
      <c r="ND956" s="1273"/>
      <c r="NE956" s="1273"/>
      <c r="NF956" s="1273"/>
      <c r="NG956" s="1273"/>
      <c r="NH956" s="1273"/>
      <c r="NI956" s="1273"/>
      <c r="NJ956" s="1273"/>
      <c r="NK956" s="1273"/>
      <c r="NL956" s="1273"/>
      <c r="NM956" s="1273"/>
      <c r="NN956" s="1273"/>
      <c r="NO956" s="1273"/>
      <c r="NP956" s="1273"/>
      <c r="NQ956" s="1273"/>
      <c r="NR956" s="1273"/>
      <c r="NS956" s="1273"/>
      <c r="NT956" s="1273"/>
      <c r="NU956" s="1273"/>
      <c r="NV956" s="1273"/>
      <c r="NW956" s="1273"/>
      <c r="NX956" s="1273"/>
      <c r="NY956" s="1273"/>
      <c r="NZ956" s="1273"/>
      <c r="OA956" s="1273"/>
      <c r="OB956" s="1273"/>
      <c r="OC956" s="1273"/>
      <c r="OD956" s="1273"/>
      <c r="OE956" s="1273"/>
      <c r="OF956" s="1273"/>
      <c r="OG956" s="1273"/>
      <c r="OH956" s="1273"/>
      <c r="OI956" s="1273"/>
      <c r="OJ956" s="1273"/>
      <c r="OK956" s="1273"/>
      <c r="OL956" s="1273"/>
      <c r="OM956" s="1273"/>
      <c r="ON956" s="1273"/>
      <c r="OO956" s="1273"/>
      <c r="OP956" s="1273"/>
      <c r="OQ956" s="1273"/>
      <c r="OR956" s="1273"/>
      <c r="OS956" s="1273"/>
      <c r="OT956" s="1273"/>
      <c r="OU956" s="1273"/>
      <c r="OV956" s="1273"/>
      <c r="OW956" s="1273"/>
      <c r="OX956" s="1273"/>
      <c r="OY956" s="1273"/>
      <c r="OZ956" s="1273"/>
      <c r="PA956" s="1273"/>
      <c r="PB956" s="1273"/>
      <c r="PC956" s="1273"/>
      <c r="PD956" s="1273"/>
      <c r="PE956" s="1273"/>
      <c r="PF956" s="1273"/>
      <c r="PG956" s="1273"/>
      <c r="PH956" s="1273"/>
      <c r="PI956" s="1273"/>
      <c r="PJ956" s="1273"/>
      <c r="PK956" s="1273"/>
      <c r="PL956" s="1273"/>
      <c r="PM956" s="1273"/>
      <c r="PN956" s="1273"/>
      <c r="PO956" s="1273"/>
      <c r="PP956" s="1273"/>
      <c r="PQ956" s="1273"/>
      <c r="PR956" s="1273"/>
      <c r="PS956" s="1273"/>
      <c r="PT956" s="1273"/>
      <c r="PU956" s="1273"/>
      <c r="PV956" s="1273"/>
      <c r="PW956" s="1273"/>
      <c r="PX956" s="1273"/>
      <c r="PY956" s="1273"/>
      <c r="PZ956" s="1273"/>
      <c r="QA956" s="1273"/>
      <c r="QB956" s="1273"/>
      <c r="QC956" s="1273"/>
      <c r="QD956" s="1273"/>
      <c r="QE956" s="1273"/>
      <c r="QF956" s="1273"/>
      <c r="QG956" s="1273"/>
      <c r="QH956" s="1273"/>
      <c r="QI956" s="1273"/>
      <c r="QJ956" s="1273"/>
      <c r="QK956" s="1273"/>
      <c r="QL956" s="1273"/>
      <c r="QM956" s="1273"/>
      <c r="QN956" s="1273"/>
      <c r="QO956" s="1273"/>
      <c r="QP956" s="1273"/>
      <c r="QQ956" s="1273"/>
      <c r="QR956" s="1273"/>
      <c r="QS956" s="1273"/>
      <c r="QT956" s="1273"/>
      <c r="QU956" s="1273"/>
      <c r="QV956" s="1273"/>
      <c r="QW956" s="1273"/>
      <c r="QX956" s="1273"/>
      <c r="QY956" s="1273"/>
      <c r="QZ956" s="1273"/>
      <c r="RA956" s="1273"/>
      <c r="RB956" s="1273"/>
      <c r="RC956" s="1273"/>
      <c r="RD956" s="1273"/>
      <c r="RE956" s="1273"/>
      <c r="RF956" s="1273"/>
      <c r="RG956" s="1273"/>
      <c r="RH956" s="1273"/>
      <c r="RI956" s="1273"/>
      <c r="RJ956" s="1273"/>
      <c r="RK956" s="1273"/>
      <c r="RL956" s="1273"/>
      <c r="RM956" s="1273"/>
      <c r="RN956" s="1273"/>
      <c r="RO956" s="1273"/>
      <c r="RP956" s="1273"/>
      <c r="RQ956" s="1273"/>
      <c r="RR956" s="1273"/>
      <c r="RS956" s="1273"/>
      <c r="RT956" s="1273"/>
      <c r="RU956" s="1273"/>
      <c r="RV956" s="1273"/>
      <c r="RW956" s="1273"/>
      <c r="RX956" s="1273"/>
      <c r="RY956" s="1273"/>
      <c r="RZ956" s="1273"/>
      <c r="SA956" s="1273"/>
      <c r="SB956" s="1273"/>
      <c r="SC956" s="1273"/>
      <c r="SD956" s="1273"/>
      <c r="SE956" s="1273"/>
      <c r="SF956" s="1273"/>
      <c r="SG956" s="1273"/>
      <c r="SH956" s="1273"/>
      <c r="SI956" s="1273"/>
      <c r="SJ956" s="1273"/>
      <c r="SK956" s="1273"/>
      <c r="SL956" s="1273"/>
      <c r="SM956" s="1273"/>
      <c r="SN956" s="1273"/>
      <c r="SO956" s="1273"/>
      <c r="SP956" s="1273"/>
      <c r="SQ956" s="1273"/>
      <c r="SR956" s="1273"/>
      <c r="SS956" s="1273"/>
      <c r="ST956" s="1273"/>
      <c r="SU956" s="1273"/>
      <c r="SV956" s="1273"/>
      <c r="SW956" s="1273"/>
      <c r="SX956" s="1273"/>
      <c r="SY956" s="1273"/>
      <c r="SZ956" s="1273"/>
      <c r="TA956" s="1273"/>
      <c r="TB956" s="1273"/>
      <c r="TC956" s="1273"/>
      <c r="TD956" s="1273"/>
      <c r="TE956" s="1273"/>
      <c r="TF956" s="1273"/>
      <c r="TG956" s="1273"/>
      <c r="TH956" s="1273"/>
      <c r="TI956" s="1273"/>
      <c r="TJ956" s="1273"/>
      <c r="TK956" s="1273"/>
      <c r="TL956" s="1273"/>
      <c r="TM956" s="1273"/>
      <c r="TN956" s="1273"/>
      <c r="TO956" s="1273"/>
      <c r="TP956" s="1273"/>
      <c r="TQ956" s="1273"/>
      <c r="TR956" s="1273"/>
      <c r="TS956" s="1273"/>
      <c r="TT956" s="1273"/>
      <c r="TU956" s="1273"/>
      <c r="TV956" s="1273"/>
      <c r="TW956" s="1273"/>
      <c r="TX956" s="1273"/>
      <c r="TY956" s="1273"/>
      <c r="TZ956" s="1273"/>
      <c r="UA956" s="1273"/>
      <c r="UB956" s="1273"/>
      <c r="UC956" s="1273"/>
      <c r="UD956" s="1273"/>
      <c r="UE956" s="1273"/>
      <c r="UF956" s="1273"/>
      <c r="UG956" s="1274"/>
    </row>
    <row r="957" spans="1:553" s="1275" customFormat="1" ht="34.15" customHeight="1">
      <c r="A957" s="356"/>
      <c r="B957" s="356"/>
      <c r="C957" s="1379" t="s">
        <v>1211</v>
      </c>
      <c r="D957" s="1380" t="s">
        <v>1211</v>
      </c>
      <c r="E957" s="1380" t="s">
        <v>1211</v>
      </c>
      <c r="F957" s="1381" t="s">
        <v>1211</v>
      </c>
      <c r="G957" s="417" t="s">
        <v>196</v>
      </c>
      <c r="H957" s="370"/>
      <c r="I957" s="794">
        <f>187.14*100/10000*30</f>
        <v>56.141999999999996</v>
      </c>
      <c r="J957" s="368">
        <v>3500</v>
      </c>
      <c r="K957" s="723"/>
      <c r="L957" s="646">
        <f t="shared" ref="L957" si="141">ROUND(PRODUCT(I957:K957),0)</f>
        <v>196497</v>
      </c>
      <c r="M957" s="444"/>
      <c r="N957" s="444"/>
      <c r="O957" s="444"/>
      <c r="P957" s="444"/>
      <c r="Q957" s="1251"/>
      <c r="R957" s="1253"/>
      <c r="S957" s="308"/>
      <c r="T957" s="308"/>
      <c r="U957" s="308"/>
      <c r="V957" s="308"/>
      <c r="W957" s="308"/>
      <c r="X957" s="308"/>
      <c r="Y957" s="308"/>
      <c r="Z957" s="604"/>
      <c r="AA957" s="308"/>
      <c r="AB957" s="308"/>
      <c r="AC957" s="687"/>
      <c r="AD957" s="687"/>
      <c r="AE957" s="687"/>
      <c r="AF957" s="687"/>
      <c r="AG957" s="687"/>
      <c r="AH957" s="687"/>
      <c r="AI957" s="687"/>
      <c r="AJ957" s="687"/>
      <c r="AK957" s="688"/>
      <c r="AL957" s="1273"/>
      <c r="AM957" s="1273"/>
      <c r="AN957" s="1273"/>
      <c r="AO957" s="1273"/>
      <c r="AP957" s="1273"/>
      <c r="AQ957" s="1273"/>
      <c r="AR957" s="1273"/>
      <c r="AS957" s="1273"/>
      <c r="AT957" s="1273"/>
      <c r="AU957" s="1273"/>
      <c r="AV957" s="1273"/>
      <c r="AW957" s="1273"/>
      <c r="AX957" s="1273"/>
      <c r="AY957" s="1273"/>
      <c r="AZ957" s="1273"/>
      <c r="BA957" s="1273"/>
      <c r="BB957" s="1273"/>
      <c r="BC957" s="1273"/>
      <c r="BD957" s="1273"/>
      <c r="BE957" s="1273"/>
      <c r="BF957" s="1273"/>
      <c r="BG957" s="1273"/>
      <c r="BH957" s="1273"/>
      <c r="BI957" s="1273"/>
      <c r="BJ957" s="1273"/>
      <c r="BK957" s="1273"/>
      <c r="BL957" s="1273"/>
      <c r="BM957" s="1273"/>
      <c r="BN957" s="1273"/>
      <c r="BO957" s="1273"/>
      <c r="BP957" s="1273"/>
      <c r="BQ957" s="1273"/>
      <c r="BR957" s="1273"/>
      <c r="BS957" s="1273"/>
      <c r="BT957" s="1273"/>
      <c r="BU957" s="1273"/>
      <c r="BV957" s="1273"/>
      <c r="BW957" s="1273"/>
      <c r="BX957" s="1273"/>
      <c r="BY957" s="1273"/>
      <c r="BZ957" s="1273"/>
      <c r="CA957" s="1273"/>
      <c r="CB957" s="1273"/>
      <c r="CC957" s="1273"/>
      <c r="CD957" s="1273"/>
      <c r="CE957" s="1273"/>
      <c r="CF957" s="1273"/>
      <c r="CG957" s="1273"/>
      <c r="CH957" s="1273"/>
      <c r="CI957" s="1273"/>
      <c r="CJ957" s="1273"/>
      <c r="CK957" s="1273"/>
      <c r="CL957" s="1273"/>
      <c r="CM957" s="1273"/>
      <c r="CN957" s="1273"/>
      <c r="CO957" s="1273"/>
      <c r="CP957" s="1273"/>
      <c r="CQ957" s="1273"/>
      <c r="CR957" s="1273"/>
      <c r="CS957" s="1273"/>
      <c r="CT957" s="1273"/>
      <c r="CU957" s="1273"/>
      <c r="CV957" s="1273"/>
      <c r="CW957" s="1273"/>
      <c r="CX957" s="1273"/>
      <c r="CY957" s="1273"/>
      <c r="CZ957" s="1273"/>
      <c r="DA957" s="1273"/>
      <c r="DB957" s="1273"/>
      <c r="DC957" s="1273"/>
      <c r="DD957" s="1273"/>
      <c r="DE957" s="1273"/>
      <c r="DF957" s="1273"/>
      <c r="DG957" s="1273"/>
      <c r="DH957" s="1273"/>
      <c r="DI957" s="1273"/>
      <c r="DJ957" s="1273"/>
      <c r="DK957" s="1273"/>
      <c r="DL957" s="1273"/>
      <c r="DM957" s="1273"/>
      <c r="DN957" s="1273"/>
      <c r="DO957" s="1273"/>
      <c r="DP957" s="1273"/>
      <c r="DQ957" s="1273"/>
      <c r="DR957" s="1273"/>
      <c r="DS957" s="1273"/>
      <c r="DT957" s="1273"/>
      <c r="DU957" s="1273"/>
      <c r="DV957" s="1273"/>
      <c r="DW957" s="1273"/>
      <c r="DX957" s="1273"/>
      <c r="DY957" s="1273"/>
      <c r="DZ957" s="1273"/>
      <c r="EA957" s="1273"/>
      <c r="EB957" s="1273"/>
      <c r="EC957" s="1273"/>
      <c r="ED957" s="1273"/>
      <c r="EE957" s="1273"/>
      <c r="EF957" s="1273"/>
      <c r="EG957" s="1273"/>
      <c r="EH957" s="1273"/>
      <c r="EI957" s="1273"/>
      <c r="EJ957" s="1273"/>
      <c r="EK957" s="1273"/>
      <c r="EL957" s="1273"/>
      <c r="EM957" s="1273"/>
      <c r="EN957" s="1273"/>
      <c r="EO957" s="1273"/>
      <c r="EP957" s="1273"/>
      <c r="EQ957" s="1273"/>
      <c r="ER957" s="1273"/>
      <c r="ES957" s="1273"/>
      <c r="ET957" s="1273"/>
      <c r="EU957" s="1273"/>
      <c r="EV957" s="1273"/>
      <c r="EW957" s="1273"/>
      <c r="EX957" s="1273"/>
      <c r="EY957" s="1273"/>
      <c r="EZ957" s="1273"/>
      <c r="FA957" s="1273"/>
      <c r="FB957" s="1273"/>
      <c r="FC957" s="1273"/>
      <c r="FD957" s="1273"/>
      <c r="FE957" s="1273"/>
      <c r="FF957" s="1273"/>
      <c r="FG957" s="1273"/>
      <c r="FH957" s="1273"/>
      <c r="FI957" s="1273"/>
      <c r="FJ957" s="1273"/>
      <c r="FK957" s="1273"/>
      <c r="FL957" s="1273"/>
      <c r="FM957" s="1273"/>
      <c r="FN957" s="1273"/>
      <c r="FO957" s="1273"/>
      <c r="FP957" s="1273"/>
      <c r="FQ957" s="1273"/>
      <c r="FR957" s="1273"/>
      <c r="FS957" s="1273"/>
      <c r="FT957" s="1273"/>
      <c r="FU957" s="1273"/>
      <c r="FV957" s="1273"/>
      <c r="FW957" s="1273"/>
      <c r="FX957" s="1273"/>
      <c r="FY957" s="1273"/>
      <c r="FZ957" s="1273"/>
      <c r="GA957" s="1273"/>
      <c r="GB957" s="1273"/>
      <c r="GC957" s="1273"/>
      <c r="GD957" s="1273"/>
      <c r="GE957" s="1273"/>
      <c r="GF957" s="1273"/>
      <c r="GG957" s="1273"/>
      <c r="GH957" s="1273"/>
      <c r="GI957" s="1273"/>
      <c r="GJ957" s="1273"/>
      <c r="GK957" s="1273"/>
      <c r="GL957" s="1273"/>
      <c r="GM957" s="1273"/>
      <c r="GN957" s="1273"/>
      <c r="GO957" s="1273"/>
      <c r="GP957" s="1273"/>
      <c r="GQ957" s="1273"/>
      <c r="GR957" s="1273"/>
      <c r="GS957" s="1273"/>
      <c r="GT957" s="1273"/>
      <c r="GU957" s="1273"/>
      <c r="GV957" s="1273"/>
      <c r="GW957" s="1273"/>
      <c r="GX957" s="1273"/>
      <c r="GY957" s="1273"/>
      <c r="GZ957" s="1273"/>
      <c r="HA957" s="1273"/>
      <c r="HB957" s="1273"/>
      <c r="HC957" s="1273"/>
      <c r="HD957" s="1273"/>
      <c r="HE957" s="1273"/>
      <c r="HF957" s="1273"/>
      <c r="HG957" s="1273"/>
      <c r="HH957" s="1273"/>
      <c r="HI957" s="1273"/>
      <c r="HJ957" s="1273"/>
      <c r="HK957" s="1273"/>
      <c r="HL957" s="1273"/>
      <c r="HM957" s="1273"/>
      <c r="HN957" s="1273"/>
      <c r="HO957" s="1273"/>
      <c r="HP957" s="1273"/>
      <c r="HQ957" s="1273"/>
      <c r="HR957" s="1273"/>
      <c r="HS957" s="1273"/>
      <c r="HT957" s="1273"/>
      <c r="HU957" s="1273"/>
      <c r="HV957" s="1273"/>
      <c r="HW957" s="1273"/>
      <c r="HX957" s="1273"/>
      <c r="HY957" s="1273"/>
      <c r="HZ957" s="1273"/>
      <c r="IA957" s="1273"/>
      <c r="IB957" s="1273"/>
      <c r="IC957" s="1273"/>
      <c r="ID957" s="1273"/>
      <c r="IE957" s="1273"/>
      <c r="IF957" s="1273"/>
      <c r="IG957" s="1273"/>
      <c r="IH957" s="1273"/>
      <c r="II957" s="1273"/>
      <c r="IJ957" s="1273"/>
      <c r="IK957" s="1273"/>
      <c r="IL957" s="1273"/>
      <c r="IM957" s="1273"/>
      <c r="IN957" s="1273"/>
      <c r="IO957" s="1273"/>
      <c r="IP957" s="1273"/>
      <c r="IQ957" s="1273"/>
      <c r="IR957" s="1273"/>
      <c r="IS957" s="1273"/>
      <c r="IT957" s="1273"/>
      <c r="IU957" s="1273"/>
      <c r="IV957" s="1273"/>
      <c r="IW957" s="1273"/>
      <c r="IX957" s="1273"/>
      <c r="IY957" s="1273"/>
      <c r="IZ957" s="1273"/>
      <c r="JA957" s="1273"/>
      <c r="JB957" s="1273"/>
      <c r="JC957" s="1273"/>
      <c r="JD957" s="1273"/>
      <c r="JE957" s="1273"/>
      <c r="JF957" s="1273"/>
      <c r="JG957" s="1273"/>
      <c r="JH957" s="1273"/>
      <c r="JI957" s="1273"/>
      <c r="JJ957" s="1273"/>
      <c r="JK957" s="1273"/>
      <c r="JL957" s="1273"/>
      <c r="JM957" s="1273"/>
      <c r="JN957" s="1273"/>
      <c r="JO957" s="1273"/>
      <c r="JP957" s="1273"/>
      <c r="JQ957" s="1273"/>
      <c r="JR957" s="1273"/>
      <c r="JS957" s="1273"/>
      <c r="JT957" s="1273"/>
      <c r="JU957" s="1273"/>
      <c r="JV957" s="1273"/>
      <c r="JW957" s="1273"/>
      <c r="JX957" s="1273"/>
      <c r="JY957" s="1273"/>
      <c r="JZ957" s="1273"/>
      <c r="KA957" s="1273"/>
      <c r="KB957" s="1273"/>
      <c r="KC957" s="1273"/>
      <c r="KD957" s="1273"/>
      <c r="KE957" s="1273"/>
      <c r="KF957" s="1273"/>
      <c r="KG957" s="1273"/>
      <c r="KH957" s="1273"/>
      <c r="KI957" s="1273"/>
      <c r="KJ957" s="1273"/>
      <c r="KK957" s="1273"/>
      <c r="KL957" s="1273"/>
      <c r="KM957" s="1273"/>
      <c r="KN957" s="1273"/>
      <c r="KO957" s="1273"/>
      <c r="KP957" s="1273"/>
      <c r="KQ957" s="1273"/>
      <c r="KR957" s="1273"/>
      <c r="KS957" s="1273"/>
      <c r="KT957" s="1273"/>
      <c r="KU957" s="1273"/>
      <c r="KV957" s="1273"/>
      <c r="KW957" s="1273"/>
      <c r="KX957" s="1273"/>
      <c r="KY957" s="1273"/>
      <c r="KZ957" s="1273"/>
      <c r="LA957" s="1273"/>
      <c r="LB957" s="1273"/>
      <c r="LC957" s="1273"/>
      <c r="LD957" s="1273"/>
      <c r="LE957" s="1273"/>
      <c r="LF957" s="1273"/>
      <c r="LG957" s="1273"/>
      <c r="LH957" s="1273"/>
      <c r="LI957" s="1273"/>
      <c r="LJ957" s="1273"/>
      <c r="LK957" s="1273"/>
      <c r="LL957" s="1273"/>
      <c r="LM957" s="1273"/>
      <c r="LN957" s="1273"/>
      <c r="LO957" s="1273"/>
      <c r="LP957" s="1273"/>
      <c r="LQ957" s="1273"/>
      <c r="LR957" s="1273"/>
      <c r="LS957" s="1273"/>
      <c r="LT957" s="1273"/>
      <c r="LU957" s="1273"/>
      <c r="LV957" s="1273"/>
      <c r="LW957" s="1273"/>
      <c r="LX957" s="1273"/>
      <c r="LY957" s="1273"/>
      <c r="LZ957" s="1273"/>
      <c r="MA957" s="1273"/>
      <c r="MB957" s="1273"/>
      <c r="MC957" s="1273"/>
      <c r="MD957" s="1273"/>
      <c r="ME957" s="1273"/>
      <c r="MF957" s="1273"/>
      <c r="MG957" s="1273"/>
      <c r="MH957" s="1273"/>
      <c r="MI957" s="1273"/>
      <c r="MJ957" s="1273"/>
      <c r="MK957" s="1273"/>
      <c r="ML957" s="1273"/>
      <c r="MM957" s="1273"/>
      <c r="MN957" s="1273"/>
      <c r="MO957" s="1273"/>
      <c r="MP957" s="1273"/>
      <c r="MQ957" s="1273"/>
      <c r="MR957" s="1273"/>
      <c r="MS957" s="1273"/>
      <c r="MT957" s="1273"/>
      <c r="MU957" s="1273"/>
      <c r="MV957" s="1273"/>
      <c r="MW957" s="1273"/>
      <c r="MX957" s="1273"/>
      <c r="MY957" s="1273"/>
      <c r="MZ957" s="1273"/>
      <c r="NA957" s="1273"/>
      <c r="NB957" s="1273"/>
      <c r="NC957" s="1273"/>
      <c r="ND957" s="1273"/>
      <c r="NE957" s="1273"/>
      <c r="NF957" s="1273"/>
      <c r="NG957" s="1273"/>
      <c r="NH957" s="1273"/>
      <c r="NI957" s="1273"/>
      <c r="NJ957" s="1273"/>
      <c r="NK957" s="1273"/>
      <c r="NL957" s="1273"/>
      <c r="NM957" s="1273"/>
      <c r="NN957" s="1273"/>
      <c r="NO957" s="1273"/>
      <c r="NP957" s="1273"/>
      <c r="NQ957" s="1273"/>
      <c r="NR957" s="1273"/>
      <c r="NS957" s="1273"/>
      <c r="NT957" s="1273"/>
      <c r="NU957" s="1273"/>
      <c r="NV957" s="1273"/>
      <c r="NW957" s="1273"/>
      <c r="NX957" s="1273"/>
      <c r="NY957" s="1273"/>
      <c r="NZ957" s="1273"/>
      <c r="OA957" s="1273"/>
      <c r="OB957" s="1273"/>
      <c r="OC957" s="1273"/>
      <c r="OD957" s="1273"/>
      <c r="OE957" s="1273"/>
      <c r="OF957" s="1273"/>
      <c r="OG957" s="1273"/>
      <c r="OH957" s="1273"/>
      <c r="OI957" s="1273"/>
      <c r="OJ957" s="1273"/>
      <c r="OK957" s="1273"/>
      <c r="OL957" s="1273"/>
      <c r="OM957" s="1273"/>
      <c r="ON957" s="1273"/>
      <c r="OO957" s="1273"/>
      <c r="OP957" s="1273"/>
      <c r="OQ957" s="1273"/>
      <c r="OR957" s="1273"/>
      <c r="OS957" s="1273"/>
      <c r="OT957" s="1273"/>
      <c r="OU957" s="1273"/>
      <c r="OV957" s="1273"/>
      <c r="OW957" s="1273"/>
      <c r="OX957" s="1273"/>
      <c r="OY957" s="1273"/>
      <c r="OZ957" s="1273"/>
      <c r="PA957" s="1273"/>
      <c r="PB957" s="1273"/>
      <c r="PC957" s="1273"/>
      <c r="PD957" s="1273"/>
      <c r="PE957" s="1273"/>
      <c r="PF957" s="1273"/>
      <c r="PG957" s="1273"/>
      <c r="PH957" s="1273"/>
      <c r="PI957" s="1273"/>
      <c r="PJ957" s="1273"/>
      <c r="PK957" s="1273"/>
      <c r="PL957" s="1273"/>
      <c r="PM957" s="1273"/>
      <c r="PN957" s="1273"/>
      <c r="PO957" s="1273"/>
      <c r="PP957" s="1273"/>
      <c r="PQ957" s="1273"/>
      <c r="PR957" s="1273"/>
      <c r="PS957" s="1273"/>
      <c r="PT957" s="1273"/>
      <c r="PU957" s="1273"/>
      <c r="PV957" s="1273"/>
      <c r="PW957" s="1273"/>
      <c r="PX957" s="1273"/>
      <c r="PY957" s="1273"/>
      <c r="PZ957" s="1273"/>
      <c r="QA957" s="1273"/>
      <c r="QB957" s="1273"/>
      <c r="QC957" s="1273"/>
      <c r="QD957" s="1273"/>
      <c r="QE957" s="1273"/>
      <c r="QF957" s="1273"/>
      <c r="QG957" s="1273"/>
      <c r="QH957" s="1273"/>
      <c r="QI957" s="1273"/>
      <c r="QJ957" s="1273"/>
      <c r="QK957" s="1273"/>
      <c r="QL957" s="1273"/>
      <c r="QM957" s="1273"/>
      <c r="QN957" s="1273"/>
      <c r="QO957" s="1273"/>
      <c r="QP957" s="1273"/>
      <c r="QQ957" s="1273"/>
      <c r="QR957" s="1273"/>
      <c r="QS957" s="1273"/>
      <c r="QT957" s="1273"/>
      <c r="QU957" s="1273"/>
      <c r="QV957" s="1273"/>
      <c r="QW957" s="1273"/>
      <c r="QX957" s="1273"/>
      <c r="QY957" s="1273"/>
      <c r="QZ957" s="1273"/>
      <c r="RA957" s="1273"/>
      <c r="RB957" s="1273"/>
      <c r="RC957" s="1273"/>
      <c r="RD957" s="1273"/>
      <c r="RE957" s="1273"/>
      <c r="RF957" s="1273"/>
      <c r="RG957" s="1273"/>
      <c r="RH957" s="1273"/>
      <c r="RI957" s="1273"/>
      <c r="RJ957" s="1273"/>
      <c r="RK957" s="1273"/>
      <c r="RL957" s="1273"/>
      <c r="RM957" s="1273"/>
      <c r="RN957" s="1273"/>
      <c r="RO957" s="1273"/>
      <c r="RP957" s="1273"/>
      <c r="RQ957" s="1273"/>
      <c r="RR957" s="1273"/>
      <c r="RS957" s="1273"/>
      <c r="RT957" s="1273"/>
      <c r="RU957" s="1273"/>
      <c r="RV957" s="1273"/>
      <c r="RW957" s="1273"/>
      <c r="RX957" s="1273"/>
      <c r="RY957" s="1273"/>
      <c r="RZ957" s="1273"/>
      <c r="SA957" s="1273"/>
      <c r="SB957" s="1273"/>
      <c r="SC957" s="1273"/>
      <c r="SD957" s="1273"/>
      <c r="SE957" s="1273"/>
      <c r="SF957" s="1273"/>
      <c r="SG957" s="1273"/>
      <c r="SH957" s="1273"/>
      <c r="SI957" s="1273"/>
      <c r="SJ957" s="1273"/>
      <c r="SK957" s="1273"/>
      <c r="SL957" s="1273"/>
      <c r="SM957" s="1273"/>
      <c r="SN957" s="1273"/>
      <c r="SO957" s="1273"/>
      <c r="SP957" s="1273"/>
      <c r="SQ957" s="1273"/>
      <c r="SR957" s="1273"/>
      <c r="SS957" s="1273"/>
      <c r="ST957" s="1273"/>
      <c r="SU957" s="1273"/>
      <c r="SV957" s="1273"/>
      <c r="SW957" s="1273"/>
      <c r="SX957" s="1273"/>
      <c r="SY957" s="1273"/>
      <c r="SZ957" s="1273"/>
      <c r="TA957" s="1273"/>
      <c r="TB957" s="1273"/>
      <c r="TC957" s="1273"/>
      <c r="TD957" s="1273"/>
      <c r="TE957" s="1273"/>
      <c r="TF957" s="1273"/>
      <c r="TG957" s="1273"/>
      <c r="TH957" s="1273"/>
      <c r="TI957" s="1273"/>
      <c r="TJ957" s="1273"/>
      <c r="TK957" s="1273"/>
      <c r="TL957" s="1273"/>
      <c r="TM957" s="1273"/>
      <c r="TN957" s="1273"/>
      <c r="TO957" s="1273"/>
      <c r="TP957" s="1273"/>
      <c r="TQ957" s="1273"/>
      <c r="TR957" s="1273"/>
      <c r="TS957" s="1273"/>
      <c r="TT957" s="1273"/>
      <c r="TU957" s="1273"/>
      <c r="TV957" s="1273"/>
      <c r="TW957" s="1273"/>
      <c r="TX957" s="1273"/>
      <c r="TY957" s="1273"/>
      <c r="TZ957" s="1273"/>
      <c r="UA957" s="1273"/>
      <c r="UB957" s="1273"/>
      <c r="UC957" s="1273"/>
      <c r="UD957" s="1273"/>
      <c r="UE957" s="1273"/>
      <c r="UF957" s="1273"/>
      <c r="UG957" s="1274"/>
    </row>
    <row r="958" spans="1:553" s="142" customFormat="1" ht="39.65" customHeight="1">
      <c r="A958" s="444" t="s">
        <v>53</v>
      </c>
      <c r="B958" s="444"/>
      <c r="C958" s="1543" t="s">
        <v>273</v>
      </c>
      <c r="D958" s="1544"/>
      <c r="E958" s="1544"/>
      <c r="F958" s="1545"/>
      <c r="G958" s="356"/>
      <c r="H958" s="424"/>
      <c r="I958" s="424"/>
      <c r="J958" s="357"/>
      <c r="K958" s="356"/>
      <c r="L958" s="645">
        <f>L959+L960</f>
        <v>5500000</v>
      </c>
      <c r="M958" s="444"/>
      <c r="N958" s="444"/>
      <c r="O958" s="444"/>
      <c r="P958" s="444">
        <f>L958</f>
        <v>5500000</v>
      </c>
      <c r="Q958" s="1251"/>
      <c r="R958" s="1166"/>
      <c r="S958" s="308"/>
      <c r="T958" s="308"/>
      <c r="U958" s="308"/>
      <c r="V958" s="308"/>
      <c r="W958" s="308"/>
      <c r="X958" s="308"/>
      <c r="Y958" s="308"/>
      <c r="Z958" s="604"/>
      <c r="AA958" s="308"/>
      <c r="AB958" s="308"/>
      <c r="AC958" s="724"/>
      <c r="AD958" s="724"/>
      <c r="AE958" s="724"/>
      <c r="AF958" s="724"/>
      <c r="AG958" s="724"/>
      <c r="AH958" s="724"/>
      <c r="AI958" s="724"/>
      <c r="AJ958" s="724"/>
      <c r="AK958" s="724"/>
      <c r="AL958" s="319"/>
      <c r="AM958" s="143"/>
      <c r="AN958" s="143"/>
      <c r="AO958" s="143"/>
      <c r="AP958" s="143"/>
      <c r="AQ958" s="143"/>
      <c r="AR958" s="143"/>
      <c r="AS958" s="143"/>
      <c r="AT958" s="143"/>
      <c r="AU958" s="143"/>
      <c r="AV958" s="143"/>
      <c r="AW958" s="143"/>
      <c r="AX958" s="143"/>
      <c r="AY958" s="143"/>
      <c r="AZ958" s="143"/>
      <c r="BA958" s="143"/>
      <c r="BB958" s="143"/>
      <c r="BC958" s="143"/>
      <c r="BD958" s="143"/>
      <c r="BE958" s="143"/>
      <c r="BF958" s="143"/>
      <c r="BG958" s="143"/>
      <c r="BH958" s="143"/>
      <c r="BI958" s="143"/>
      <c r="BJ958" s="143"/>
      <c r="BK958" s="143"/>
      <c r="BL958" s="143"/>
      <c r="BM958" s="143"/>
      <c r="BN958" s="143"/>
      <c r="BO958" s="143"/>
      <c r="BP958" s="143"/>
      <c r="BQ958" s="143"/>
      <c r="BR958" s="143"/>
      <c r="BS958" s="143"/>
      <c r="BT958" s="143"/>
      <c r="BU958" s="143"/>
      <c r="BV958" s="143"/>
      <c r="BW958" s="143"/>
      <c r="BX958" s="143"/>
      <c r="BY958" s="143"/>
      <c r="BZ958" s="143"/>
      <c r="CA958" s="143"/>
      <c r="CB958" s="143"/>
      <c r="CC958" s="143"/>
      <c r="CD958" s="143"/>
      <c r="CE958" s="143"/>
      <c r="CF958" s="143"/>
      <c r="CG958" s="143"/>
      <c r="CH958" s="143"/>
      <c r="CI958" s="143"/>
      <c r="CJ958" s="143"/>
      <c r="CK958" s="143"/>
      <c r="CL958" s="143"/>
      <c r="CM958" s="143"/>
      <c r="CN958" s="143"/>
      <c r="CO958" s="143"/>
      <c r="CP958" s="143"/>
      <c r="CQ958" s="143"/>
      <c r="CR958" s="143"/>
      <c r="CS958" s="143"/>
      <c r="CT958" s="143"/>
      <c r="CU958" s="143"/>
      <c r="CV958" s="143"/>
      <c r="CW958" s="143"/>
      <c r="CX958" s="143"/>
      <c r="CY958" s="143"/>
      <c r="CZ958" s="143"/>
      <c r="DA958" s="143"/>
      <c r="DB958" s="143"/>
      <c r="DC958" s="143"/>
      <c r="DD958" s="143"/>
      <c r="DE958" s="143"/>
      <c r="DF958" s="143"/>
      <c r="DG958" s="143"/>
      <c r="DH958" s="143"/>
      <c r="DI958" s="143"/>
      <c r="DJ958" s="143"/>
      <c r="DK958" s="143"/>
      <c r="DL958" s="143"/>
      <c r="DM958" s="143"/>
      <c r="DN958" s="143"/>
      <c r="DO958" s="143"/>
      <c r="DP958" s="143"/>
      <c r="DQ958" s="143"/>
      <c r="DR958" s="143"/>
      <c r="DS958" s="143"/>
      <c r="DT958" s="143"/>
      <c r="DU958" s="143"/>
      <c r="DV958" s="143"/>
      <c r="DW958" s="143"/>
      <c r="DX958" s="143"/>
      <c r="DY958" s="143"/>
      <c r="DZ958" s="143"/>
      <c r="EA958" s="143"/>
      <c r="EB958" s="143"/>
      <c r="EC958" s="143"/>
      <c r="ED958" s="143"/>
      <c r="EE958" s="143"/>
      <c r="EF958" s="143"/>
      <c r="EG958" s="143"/>
      <c r="EH958" s="143"/>
      <c r="EI958" s="143"/>
      <c r="EJ958" s="143"/>
      <c r="EK958" s="143"/>
      <c r="EL958" s="143"/>
      <c r="EM958" s="143"/>
      <c r="EN958" s="143"/>
      <c r="EO958" s="143"/>
      <c r="EP958" s="143"/>
      <c r="EQ958" s="143"/>
      <c r="ER958" s="143"/>
      <c r="ES958" s="143"/>
      <c r="ET958" s="143"/>
      <c r="EU958" s="143"/>
      <c r="EV958" s="143"/>
      <c r="EW958" s="143"/>
      <c r="EX958" s="143"/>
      <c r="EY958" s="143"/>
      <c r="EZ958" s="143"/>
      <c r="FA958" s="143"/>
      <c r="FB958" s="143"/>
      <c r="FC958" s="143"/>
      <c r="FD958" s="143"/>
      <c r="FE958" s="143"/>
      <c r="FF958" s="143"/>
      <c r="FG958" s="143"/>
      <c r="FH958" s="143"/>
      <c r="FI958" s="143"/>
      <c r="FJ958" s="143"/>
      <c r="FK958" s="143"/>
      <c r="FL958" s="143"/>
      <c r="FM958" s="143"/>
      <c r="FN958" s="143"/>
      <c r="FO958" s="143"/>
      <c r="FP958" s="143"/>
      <c r="FQ958" s="143"/>
      <c r="FR958" s="143"/>
      <c r="FS958" s="143"/>
      <c r="FT958" s="143"/>
      <c r="FU958" s="143"/>
      <c r="FV958" s="143"/>
      <c r="FW958" s="143"/>
      <c r="FX958" s="143"/>
      <c r="FY958" s="143"/>
      <c r="FZ958" s="143"/>
      <c r="GA958" s="143"/>
      <c r="GB958" s="143"/>
      <c r="GC958" s="143"/>
      <c r="GD958" s="143"/>
      <c r="GE958" s="143"/>
      <c r="GF958" s="143"/>
      <c r="GG958" s="143"/>
      <c r="GH958" s="143"/>
      <c r="GI958" s="143"/>
      <c r="GJ958" s="143"/>
      <c r="GK958" s="143"/>
      <c r="GL958" s="143"/>
      <c r="GM958" s="143"/>
      <c r="GN958" s="143"/>
      <c r="GO958" s="143"/>
      <c r="GP958" s="143"/>
      <c r="GQ958" s="143"/>
      <c r="GR958" s="143"/>
      <c r="GS958" s="143"/>
      <c r="GT958" s="143"/>
      <c r="GU958" s="143"/>
      <c r="GV958" s="143"/>
      <c r="GW958" s="143"/>
      <c r="GX958" s="143"/>
      <c r="GY958" s="143"/>
      <c r="GZ958" s="143"/>
      <c r="HA958" s="143"/>
      <c r="HB958" s="143"/>
      <c r="HC958" s="143"/>
      <c r="HD958" s="143"/>
      <c r="HE958" s="143"/>
      <c r="HF958" s="143"/>
      <c r="HG958" s="143"/>
      <c r="HH958" s="143"/>
      <c r="HI958" s="143"/>
      <c r="HJ958" s="143"/>
      <c r="HK958" s="143"/>
      <c r="HL958" s="143"/>
      <c r="HM958" s="143"/>
      <c r="HN958" s="143"/>
      <c r="HO958" s="143"/>
      <c r="HP958" s="143"/>
      <c r="HQ958" s="143"/>
      <c r="HR958" s="143"/>
      <c r="HS958" s="143"/>
      <c r="HT958" s="143"/>
      <c r="HU958" s="143"/>
      <c r="HV958" s="143"/>
      <c r="HW958" s="143"/>
      <c r="HX958" s="143"/>
      <c r="HY958" s="143"/>
      <c r="HZ958" s="143"/>
      <c r="IA958" s="143"/>
      <c r="IB958" s="143"/>
      <c r="IC958" s="143"/>
      <c r="ID958" s="143"/>
      <c r="IE958" s="143"/>
      <c r="IF958" s="143"/>
      <c r="IG958" s="143"/>
      <c r="IH958" s="143"/>
      <c r="II958" s="143"/>
      <c r="IJ958" s="143"/>
      <c r="IK958" s="143"/>
      <c r="IL958" s="143"/>
      <c r="IM958" s="143"/>
      <c r="IN958" s="143"/>
      <c r="IO958" s="143"/>
      <c r="IP958" s="143"/>
      <c r="IQ958" s="143"/>
      <c r="IR958" s="143"/>
      <c r="IS958" s="143"/>
      <c r="IT958" s="143"/>
      <c r="IU958" s="143"/>
      <c r="IV958" s="143"/>
      <c r="IW958" s="143"/>
      <c r="IX958" s="143"/>
      <c r="IY958" s="143"/>
      <c r="IZ958" s="143"/>
      <c r="JA958" s="143"/>
      <c r="JB958" s="143"/>
      <c r="JC958" s="143"/>
      <c r="JD958" s="143"/>
      <c r="JE958" s="143"/>
      <c r="JF958" s="143"/>
      <c r="JG958" s="143"/>
      <c r="JH958" s="143"/>
      <c r="JI958" s="143"/>
      <c r="JJ958" s="143"/>
      <c r="JK958" s="143"/>
      <c r="JL958" s="143"/>
      <c r="JM958" s="143"/>
      <c r="JN958" s="143"/>
      <c r="JO958" s="143"/>
      <c r="JP958" s="143"/>
      <c r="JQ958" s="143"/>
      <c r="JR958" s="143"/>
      <c r="JS958" s="143"/>
      <c r="JT958" s="143"/>
      <c r="JU958" s="143"/>
      <c r="JV958" s="143"/>
      <c r="JW958" s="143"/>
      <c r="JX958" s="143"/>
      <c r="JY958" s="143"/>
      <c r="JZ958" s="143"/>
      <c r="KA958" s="143"/>
      <c r="KB958" s="143"/>
      <c r="KC958" s="143"/>
      <c r="KD958" s="143"/>
      <c r="KE958" s="143"/>
      <c r="KF958" s="143"/>
      <c r="KG958" s="143"/>
      <c r="KH958" s="143"/>
      <c r="KI958" s="143"/>
      <c r="KJ958" s="143"/>
      <c r="KK958" s="143"/>
      <c r="KL958" s="143"/>
      <c r="KM958" s="143"/>
      <c r="KN958" s="143"/>
      <c r="KO958" s="143"/>
      <c r="KP958" s="143"/>
      <c r="KQ958" s="143"/>
      <c r="KR958" s="143"/>
      <c r="KS958" s="143"/>
      <c r="KT958" s="143"/>
      <c r="KU958" s="143"/>
      <c r="KV958" s="143"/>
      <c r="KW958" s="143"/>
      <c r="KX958" s="143"/>
      <c r="KY958" s="143"/>
      <c r="KZ958" s="143"/>
      <c r="LA958" s="143"/>
      <c r="LB958" s="143"/>
      <c r="LC958" s="143"/>
      <c r="LD958" s="143"/>
      <c r="LE958" s="143"/>
      <c r="LF958" s="143"/>
      <c r="LG958" s="143"/>
      <c r="LH958" s="143"/>
      <c r="LI958" s="143"/>
      <c r="LJ958" s="143"/>
      <c r="LK958" s="143"/>
      <c r="LL958" s="143"/>
      <c r="LM958" s="143"/>
      <c r="LN958" s="143"/>
      <c r="LO958" s="143"/>
      <c r="LP958" s="143"/>
      <c r="LQ958" s="143"/>
      <c r="LR958" s="143"/>
      <c r="LS958" s="143"/>
      <c r="LT958" s="143"/>
      <c r="LU958" s="143"/>
      <c r="LV958" s="143"/>
      <c r="LW958" s="143"/>
      <c r="LX958" s="143"/>
      <c r="LY958" s="143"/>
      <c r="LZ958" s="143"/>
      <c r="MA958" s="143"/>
      <c r="MB958" s="143"/>
      <c r="MC958" s="143"/>
      <c r="MD958" s="143"/>
      <c r="ME958" s="143"/>
      <c r="MF958" s="143"/>
      <c r="MG958" s="143"/>
      <c r="MH958" s="143"/>
      <c r="MI958" s="143"/>
      <c r="MJ958" s="143"/>
      <c r="MK958" s="143"/>
      <c r="ML958" s="143"/>
      <c r="MM958" s="143"/>
      <c r="MN958" s="143"/>
      <c r="MO958" s="143"/>
      <c r="MP958" s="143"/>
      <c r="MQ958" s="143"/>
      <c r="MR958" s="143"/>
      <c r="MS958" s="143"/>
      <c r="MT958" s="143"/>
      <c r="MU958" s="143"/>
      <c r="MV958" s="143"/>
      <c r="MW958" s="143"/>
      <c r="MX958" s="143"/>
      <c r="MY958" s="143"/>
      <c r="MZ958" s="143"/>
      <c r="NA958" s="143"/>
      <c r="NB958" s="143"/>
      <c r="NC958" s="143"/>
      <c r="ND958" s="143"/>
      <c r="NE958" s="143"/>
      <c r="NF958" s="143"/>
      <c r="NG958" s="143"/>
      <c r="NH958" s="143"/>
      <c r="NI958" s="143"/>
      <c r="NJ958" s="143"/>
      <c r="NK958" s="143"/>
      <c r="NL958" s="143"/>
      <c r="NM958" s="143"/>
      <c r="NN958" s="143"/>
      <c r="NO958" s="143"/>
      <c r="NP958" s="143"/>
      <c r="NQ958" s="143"/>
      <c r="NR958" s="143"/>
      <c r="NS958" s="143"/>
      <c r="NT958" s="143"/>
      <c r="NU958" s="143"/>
      <c r="NV958" s="143"/>
      <c r="NW958" s="143"/>
      <c r="NX958" s="143"/>
      <c r="NY958" s="143"/>
      <c r="NZ958" s="143"/>
      <c r="OA958" s="143"/>
      <c r="OB958" s="143"/>
      <c r="OC958" s="143"/>
      <c r="OD958" s="143"/>
      <c r="OE958" s="143"/>
      <c r="OF958" s="143"/>
      <c r="OG958" s="143"/>
      <c r="OH958" s="143"/>
      <c r="OI958" s="143"/>
      <c r="OJ958" s="143"/>
      <c r="OK958" s="143"/>
      <c r="OL958" s="143"/>
      <c r="OM958" s="143"/>
      <c r="ON958" s="143"/>
      <c r="OO958" s="143"/>
      <c r="OP958" s="143"/>
      <c r="OQ958" s="143"/>
      <c r="OR958" s="143"/>
      <c r="OS958" s="143"/>
      <c r="OT958" s="143"/>
      <c r="OU958" s="143"/>
      <c r="OV958" s="143"/>
      <c r="OW958" s="143"/>
      <c r="OX958" s="143"/>
      <c r="OY958" s="143"/>
      <c r="OZ958" s="143"/>
      <c r="PA958" s="143"/>
      <c r="PB958" s="143"/>
      <c r="PC958" s="143"/>
      <c r="PD958" s="143"/>
      <c r="PE958" s="143"/>
      <c r="PF958" s="143"/>
      <c r="PG958" s="143"/>
      <c r="PH958" s="143"/>
      <c r="PI958" s="143"/>
      <c r="PJ958" s="143"/>
      <c r="PK958" s="143"/>
      <c r="PL958" s="143"/>
      <c r="PM958" s="143"/>
      <c r="PN958" s="143"/>
      <c r="PO958" s="143"/>
      <c r="PP958" s="143"/>
      <c r="PQ958" s="143"/>
      <c r="PR958" s="143"/>
      <c r="PS958" s="143"/>
      <c r="PT958" s="143"/>
      <c r="PU958" s="143"/>
      <c r="PV958" s="143"/>
      <c r="PW958" s="143"/>
      <c r="PX958" s="143"/>
      <c r="PY958" s="143"/>
      <c r="PZ958" s="143"/>
      <c r="QA958" s="143"/>
      <c r="QB958" s="143"/>
      <c r="QC958" s="143"/>
      <c r="QD958" s="143"/>
      <c r="QE958" s="143"/>
      <c r="QF958" s="143"/>
      <c r="QG958" s="143"/>
      <c r="QH958" s="143"/>
      <c r="QI958" s="143"/>
      <c r="QJ958" s="143"/>
      <c r="QK958" s="143"/>
      <c r="QL958" s="143"/>
      <c r="QM958" s="143"/>
      <c r="QN958" s="143"/>
      <c r="QO958" s="143"/>
      <c r="QP958" s="143"/>
      <c r="QQ958" s="143"/>
      <c r="QR958" s="143"/>
      <c r="QS958" s="143"/>
      <c r="QT958" s="143"/>
      <c r="QU958" s="143"/>
      <c r="QV958" s="143"/>
      <c r="QW958" s="143"/>
      <c r="QX958" s="143"/>
      <c r="QY958" s="143"/>
      <c r="QZ958" s="143"/>
      <c r="RA958" s="143"/>
      <c r="RB958" s="143"/>
      <c r="RC958" s="143"/>
      <c r="RD958" s="143"/>
      <c r="RE958" s="143"/>
      <c r="RF958" s="143"/>
      <c r="RG958" s="143"/>
      <c r="RH958" s="143"/>
      <c r="RI958" s="143"/>
      <c r="RJ958" s="143"/>
      <c r="RK958" s="143"/>
      <c r="RL958" s="143"/>
      <c r="RM958" s="143"/>
      <c r="RN958" s="143"/>
      <c r="RO958" s="143"/>
      <c r="RP958" s="143"/>
      <c r="RQ958" s="143"/>
      <c r="RR958" s="143"/>
      <c r="RS958" s="143"/>
      <c r="RT958" s="143"/>
      <c r="RU958" s="143"/>
      <c r="RV958" s="143"/>
      <c r="RW958" s="143"/>
      <c r="RX958" s="143"/>
      <c r="RY958" s="143"/>
      <c r="RZ958" s="143"/>
      <c r="SA958" s="143"/>
      <c r="SB958" s="143"/>
      <c r="SC958" s="143"/>
      <c r="SD958" s="143"/>
      <c r="SE958" s="143"/>
      <c r="SF958" s="143"/>
      <c r="SG958" s="143"/>
      <c r="SH958" s="143"/>
      <c r="SI958" s="143"/>
      <c r="SJ958" s="143"/>
      <c r="SK958" s="143"/>
      <c r="SL958" s="143"/>
      <c r="SM958" s="143"/>
      <c r="SN958" s="143"/>
      <c r="SO958" s="143"/>
      <c r="SP958" s="143"/>
      <c r="SQ958" s="143"/>
      <c r="SR958" s="143"/>
      <c r="SS958" s="143"/>
      <c r="ST958" s="143"/>
      <c r="SU958" s="143"/>
      <c r="SV958" s="143"/>
      <c r="SW958" s="143"/>
      <c r="SX958" s="143"/>
      <c r="SY958" s="143"/>
      <c r="SZ958" s="143"/>
      <c r="TA958" s="143"/>
      <c r="TB958" s="143"/>
      <c r="TC958" s="143"/>
      <c r="TD958" s="143"/>
      <c r="TE958" s="143"/>
      <c r="TF958" s="143"/>
      <c r="TG958" s="143"/>
      <c r="TH958" s="143"/>
      <c r="TI958" s="143"/>
      <c r="TJ958" s="143"/>
      <c r="TK958" s="143"/>
      <c r="TL958" s="143"/>
      <c r="TM958" s="143"/>
      <c r="TN958" s="143"/>
      <c r="TO958" s="143"/>
      <c r="TP958" s="143"/>
      <c r="TQ958" s="143"/>
      <c r="TR958" s="143"/>
      <c r="TS958" s="143"/>
      <c r="TT958" s="143"/>
      <c r="TU958" s="143"/>
      <c r="TV958" s="143"/>
      <c r="TW958" s="143"/>
      <c r="TX958" s="143"/>
      <c r="TY958" s="143"/>
      <c r="TZ958" s="143"/>
      <c r="UA958" s="143"/>
      <c r="UB958" s="143"/>
      <c r="UC958" s="143"/>
      <c r="UD958" s="143"/>
      <c r="UE958" s="143"/>
      <c r="UF958" s="143"/>
      <c r="UG958" s="144"/>
    </row>
    <row r="959" spans="1:553" s="142" customFormat="1" ht="27.65" customHeight="1">
      <c r="A959" s="444"/>
      <c r="B959" s="444"/>
      <c r="C959" s="1446" t="s">
        <v>56</v>
      </c>
      <c r="D959" s="1502"/>
      <c r="E959" s="1502"/>
      <c r="F959" s="1503"/>
      <c r="G959" s="366" t="s">
        <v>57</v>
      </c>
      <c r="H959" s="725"/>
      <c r="I959" s="725">
        <v>1</v>
      </c>
      <c r="J959" s="368">
        <v>5000000</v>
      </c>
      <c r="K959" s="427"/>
      <c r="L959" s="480">
        <f t="shared" ref="L959:L960" si="142">I959*J959</f>
        <v>5000000</v>
      </c>
      <c r="M959" s="444"/>
      <c r="N959" s="444"/>
      <c r="O959" s="444"/>
      <c r="P959" s="444"/>
      <c r="Q959" s="1251"/>
      <c r="R959" s="1447" t="s">
        <v>55</v>
      </c>
      <c r="S959" s="308"/>
      <c r="T959" s="308"/>
      <c r="U959" s="308"/>
      <c r="V959" s="308"/>
      <c r="W959" s="308"/>
      <c r="X959" s="308"/>
      <c r="Y959" s="308"/>
      <c r="Z959" s="604"/>
      <c r="AA959" s="308"/>
      <c r="AB959" s="308"/>
      <c r="AC959" s="726"/>
      <c r="AD959" s="726"/>
      <c r="AE959" s="726"/>
      <c r="AF959" s="726"/>
      <c r="AG959" s="726"/>
      <c r="AH959" s="726"/>
      <c r="AI959" s="726"/>
      <c r="AJ959" s="726"/>
      <c r="AK959" s="726"/>
      <c r="AL959" s="320"/>
      <c r="AM959" s="145"/>
      <c r="AN959" s="145"/>
      <c r="AO959" s="145"/>
      <c r="AP959" s="145"/>
      <c r="AQ959" s="145"/>
      <c r="AR959" s="145"/>
      <c r="AS959" s="145"/>
      <c r="AT959" s="145"/>
      <c r="AU959" s="145"/>
      <c r="AV959" s="145"/>
      <c r="AW959" s="145"/>
      <c r="AX959" s="145"/>
      <c r="AY959" s="145"/>
      <c r="AZ959" s="145"/>
      <c r="BA959" s="145"/>
      <c r="BB959" s="145"/>
      <c r="BC959" s="145"/>
      <c r="BD959" s="145"/>
      <c r="BE959" s="145"/>
      <c r="BF959" s="145"/>
      <c r="BG959" s="145"/>
      <c r="BH959" s="145"/>
      <c r="BI959" s="145"/>
      <c r="BJ959" s="145"/>
      <c r="BK959" s="145"/>
      <c r="BL959" s="145"/>
      <c r="BM959" s="145"/>
      <c r="BN959" s="145"/>
      <c r="BO959" s="145"/>
      <c r="BP959" s="146"/>
      <c r="BQ959" s="146"/>
      <c r="BR959" s="146"/>
      <c r="BS959" s="146"/>
      <c r="BT959" s="146"/>
      <c r="BU959" s="146"/>
      <c r="BV959" s="146"/>
      <c r="BW959" s="146"/>
      <c r="BX959" s="146"/>
      <c r="BY959" s="146"/>
      <c r="BZ959" s="146"/>
      <c r="CA959" s="146"/>
      <c r="CB959" s="146"/>
      <c r="CC959" s="146"/>
      <c r="CD959" s="146"/>
      <c r="CE959" s="146"/>
      <c r="CF959" s="146"/>
      <c r="CG959" s="146"/>
      <c r="CH959" s="146"/>
      <c r="CI959" s="146"/>
      <c r="CJ959" s="146"/>
      <c r="CK959" s="146"/>
      <c r="CL959" s="146"/>
      <c r="CM959" s="146"/>
      <c r="CN959" s="146"/>
      <c r="CO959" s="146"/>
      <c r="CP959" s="146"/>
      <c r="CQ959" s="146"/>
      <c r="CR959" s="146"/>
      <c r="CS959" s="146"/>
      <c r="CT959" s="146"/>
      <c r="CU959" s="146"/>
      <c r="CV959" s="146"/>
      <c r="CW959" s="146"/>
      <c r="CX959" s="146"/>
      <c r="CY959" s="146"/>
      <c r="CZ959" s="146"/>
      <c r="DA959" s="146"/>
      <c r="DB959" s="146"/>
      <c r="DC959" s="146"/>
      <c r="DD959" s="146"/>
      <c r="DE959" s="146"/>
      <c r="DF959" s="146"/>
      <c r="DG959" s="146"/>
      <c r="DH959" s="146"/>
      <c r="DI959" s="146"/>
      <c r="DJ959" s="146"/>
      <c r="DK959" s="146"/>
      <c r="DL959" s="146"/>
      <c r="DM959" s="146"/>
      <c r="DN959" s="146"/>
      <c r="DO959" s="146"/>
      <c r="DP959" s="146"/>
      <c r="DQ959" s="146"/>
      <c r="DR959" s="146"/>
      <c r="DS959" s="146"/>
      <c r="DT959" s="146"/>
      <c r="DU959" s="146"/>
      <c r="DV959" s="146"/>
      <c r="DW959" s="146"/>
      <c r="DX959" s="146"/>
      <c r="DY959" s="146"/>
      <c r="DZ959" s="146"/>
      <c r="EA959" s="146"/>
      <c r="EB959" s="146"/>
      <c r="EC959" s="146"/>
      <c r="ED959" s="146"/>
      <c r="EE959" s="146"/>
      <c r="EF959" s="146"/>
      <c r="EG959" s="146"/>
      <c r="EH959" s="146"/>
      <c r="EI959" s="146"/>
      <c r="EJ959" s="146"/>
      <c r="EK959" s="146"/>
      <c r="EL959" s="146"/>
      <c r="EM959" s="146"/>
      <c r="EN959" s="146"/>
      <c r="EO959" s="146"/>
      <c r="EP959" s="146"/>
      <c r="EQ959" s="146"/>
      <c r="ER959" s="146"/>
      <c r="ES959" s="146"/>
      <c r="ET959" s="146"/>
      <c r="EU959" s="146"/>
      <c r="EV959" s="146"/>
      <c r="EW959" s="146"/>
      <c r="EX959" s="146"/>
      <c r="EY959" s="146"/>
      <c r="EZ959" s="146"/>
      <c r="FA959" s="146"/>
      <c r="FB959" s="146"/>
      <c r="FC959" s="146"/>
      <c r="FD959" s="146"/>
      <c r="FE959" s="146"/>
      <c r="FF959" s="146"/>
      <c r="FG959" s="146"/>
      <c r="FH959" s="146"/>
      <c r="FI959" s="146"/>
      <c r="FJ959" s="146"/>
      <c r="FK959" s="146"/>
      <c r="FL959" s="146"/>
      <c r="FM959" s="146"/>
      <c r="FN959" s="146"/>
      <c r="FO959" s="146"/>
      <c r="FP959" s="146"/>
      <c r="FQ959" s="146"/>
      <c r="FR959" s="146"/>
      <c r="FS959" s="146"/>
      <c r="FT959" s="146"/>
      <c r="FU959" s="146"/>
      <c r="FV959" s="146"/>
      <c r="FW959" s="146"/>
      <c r="FX959" s="146"/>
      <c r="FY959" s="146"/>
      <c r="FZ959" s="146"/>
      <c r="GA959" s="146"/>
      <c r="GB959" s="146"/>
      <c r="GC959" s="146"/>
      <c r="GD959" s="146"/>
      <c r="GE959" s="146"/>
      <c r="GF959" s="146"/>
      <c r="GG959" s="146"/>
      <c r="GH959" s="146"/>
      <c r="GI959" s="146"/>
      <c r="GJ959" s="146"/>
      <c r="GK959" s="146"/>
      <c r="GL959" s="146"/>
      <c r="GM959" s="146"/>
      <c r="GN959" s="146"/>
      <c r="GO959" s="146"/>
      <c r="GP959" s="146"/>
      <c r="GQ959" s="146"/>
      <c r="GR959" s="146"/>
      <c r="GS959" s="146"/>
      <c r="GT959" s="146"/>
      <c r="GU959" s="146"/>
      <c r="GV959" s="146"/>
      <c r="GW959" s="146"/>
      <c r="GX959" s="146"/>
      <c r="GY959" s="146"/>
      <c r="GZ959" s="146"/>
      <c r="HA959" s="146"/>
      <c r="HB959" s="146"/>
      <c r="HC959" s="146"/>
      <c r="HD959" s="146"/>
      <c r="HE959" s="146"/>
      <c r="HF959" s="146"/>
      <c r="HG959" s="146"/>
      <c r="HH959" s="146"/>
      <c r="HI959" s="146"/>
      <c r="HJ959" s="146"/>
      <c r="HK959" s="146"/>
      <c r="HL959" s="146"/>
      <c r="HM959" s="146"/>
      <c r="HN959" s="146"/>
      <c r="HO959" s="146"/>
      <c r="HP959" s="146"/>
      <c r="HQ959" s="146"/>
      <c r="HR959" s="146"/>
      <c r="HS959" s="146"/>
      <c r="HT959" s="146"/>
      <c r="HU959" s="146"/>
      <c r="HV959" s="146"/>
      <c r="HW959" s="146"/>
      <c r="HX959" s="146"/>
      <c r="HY959" s="146"/>
      <c r="HZ959" s="146"/>
      <c r="IA959" s="146"/>
      <c r="IB959" s="146"/>
      <c r="IC959" s="146"/>
      <c r="ID959" s="146"/>
      <c r="IE959" s="146"/>
      <c r="IF959" s="146"/>
      <c r="IG959" s="146"/>
      <c r="IH959" s="146"/>
      <c r="II959" s="146"/>
      <c r="IJ959" s="146"/>
      <c r="IK959" s="146"/>
      <c r="IL959" s="146"/>
      <c r="IM959" s="146"/>
      <c r="IN959" s="146"/>
      <c r="IO959" s="146"/>
      <c r="IP959" s="146"/>
      <c r="IQ959" s="146"/>
      <c r="IR959" s="146"/>
      <c r="IS959" s="146"/>
      <c r="IT959" s="146"/>
      <c r="IU959" s="146"/>
      <c r="IV959" s="146"/>
      <c r="IW959" s="146"/>
      <c r="IX959" s="146"/>
      <c r="IY959" s="146"/>
      <c r="IZ959" s="146"/>
      <c r="JA959" s="146"/>
      <c r="JB959" s="146"/>
      <c r="JC959" s="146"/>
      <c r="JD959" s="146"/>
      <c r="JE959" s="146"/>
      <c r="JF959" s="146"/>
      <c r="JG959" s="146"/>
      <c r="JH959" s="146"/>
      <c r="JI959" s="146"/>
      <c r="JJ959" s="146"/>
      <c r="JK959" s="146"/>
      <c r="JL959" s="146"/>
      <c r="JM959" s="146"/>
      <c r="JN959" s="146"/>
      <c r="JO959" s="146"/>
      <c r="JP959" s="146"/>
      <c r="JQ959" s="146"/>
      <c r="JR959" s="146"/>
      <c r="JS959" s="146"/>
      <c r="JT959" s="146"/>
      <c r="JU959" s="146"/>
      <c r="JV959" s="146"/>
      <c r="JW959" s="146"/>
      <c r="JX959" s="146"/>
      <c r="JY959" s="146"/>
      <c r="JZ959" s="146"/>
      <c r="KA959" s="146"/>
      <c r="KB959" s="146"/>
      <c r="KC959" s="146"/>
      <c r="KD959" s="146"/>
      <c r="KE959" s="146"/>
      <c r="KF959" s="146"/>
      <c r="KG959" s="146"/>
      <c r="KH959" s="146"/>
      <c r="KI959" s="146"/>
      <c r="KJ959" s="146"/>
      <c r="KK959" s="146"/>
      <c r="KL959" s="146"/>
      <c r="KM959" s="146"/>
      <c r="KN959" s="146"/>
      <c r="KO959" s="146"/>
      <c r="KP959" s="146"/>
      <c r="KQ959" s="146"/>
      <c r="KR959" s="146"/>
      <c r="KS959" s="146"/>
      <c r="KT959" s="146"/>
      <c r="KU959" s="146"/>
      <c r="KV959" s="146"/>
      <c r="KW959" s="146"/>
      <c r="KX959" s="146"/>
      <c r="KY959" s="146"/>
      <c r="KZ959" s="146"/>
      <c r="LA959" s="146"/>
      <c r="LB959" s="146"/>
      <c r="LC959" s="146"/>
      <c r="LD959" s="146"/>
      <c r="LE959" s="146"/>
      <c r="LF959" s="146"/>
      <c r="LG959" s="146"/>
      <c r="LH959" s="146"/>
      <c r="LI959" s="146"/>
      <c r="LJ959" s="146"/>
      <c r="LK959" s="146"/>
      <c r="LL959" s="146"/>
      <c r="LM959" s="146"/>
      <c r="LN959" s="146"/>
      <c r="LO959" s="146"/>
      <c r="LP959" s="146"/>
      <c r="LQ959" s="146"/>
      <c r="LR959" s="146"/>
      <c r="LS959" s="146"/>
      <c r="LT959" s="146"/>
      <c r="LU959" s="146"/>
      <c r="LV959" s="146"/>
      <c r="LW959" s="146"/>
      <c r="LX959" s="146"/>
      <c r="LY959" s="146"/>
      <c r="LZ959" s="146"/>
      <c r="MA959" s="146"/>
      <c r="MB959" s="146"/>
      <c r="MC959" s="146"/>
      <c r="MD959" s="146"/>
      <c r="ME959" s="146"/>
      <c r="MF959" s="146"/>
      <c r="MG959" s="146"/>
      <c r="MH959" s="146"/>
      <c r="MI959" s="146"/>
      <c r="MJ959" s="146"/>
      <c r="MK959" s="146"/>
      <c r="ML959" s="146"/>
      <c r="MM959" s="146"/>
      <c r="MN959" s="146"/>
      <c r="MO959" s="146"/>
      <c r="MP959" s="146"/>
      <c r="MQ959" s="146"/>
      <c r="MR959" s="146"/>
      <c r="MS959" s="146"/>
      <c r="MT959" s="146"/>
      <c r="MU959" s="146"/>
      <c r="MV959" s="146"/>
      <c r="MW959" s="146"/>
      <c r="MX959" s="146"/>
      <c r="MY959" s="146"/>
      <c r="MZ959" s="146"/>
      <c r="NA959" s="146"/>
      <c r="NB959" s="146"/>
      <c r="NC959" s="146"/>
      <c r="ND959" s="146"/>
      <c r="NE959" s="146"/>
      <c r="NF959" s="146"/>
      <c r="NG959" s="146"/>
      <c r="NH959" s="146"/>
      <c r="NI959" s="146"/>
      <c r="NJ959" s="146"/>
      <c r="NK959" s="146"/>
      <c r="NL959" s="146"/>
      <c r="NM959" s="146"/>
      <c r="NN959" s="146"/>
      <c r="NO959" s="146"/>
      <c r="NP959" s="146"/>
      <c r="NQ959" s="146"/>
      <c r="NR959" s="146"/>
      <c r="NS959" s="146"/>
      <c r="NT959" s="146"/>
      <c r="NU959" s="146"/>
      <c r="NV959" s="146"/>
      <c r="NW959" s="146"/>
      <c r="NX959" s="146"/>
      <c r="NY959" s="146"/>
      <c r="NZ959" s="146"/>
      <c r="OA959" s="146"/>
      <c r="OB959" s="146"/>
      <c r="OC959" s="146"/>
      <c r="OD959" s="146"/>
      <c r="OE959" s="146"/>
      <c r="OF959" s="146"/>
      <c r="OG959" s="146"/>
      <c r="OH959" s="146"/>
      <c r="OI959" s="146"/>
      <c r="OJ959" s="146"/>
      <c r="OK959" s="146"/>
      <c r="OL959" s="146"/>
      <c r="OM959" s="146"/>
      <c r="ON959" s="146"/>
      <c r="OO959" s="146"/>
      <c r="OP959" s="146"/>
      <c r="OQ959" s="146"/>
      <c r="OR959" s="146"/>
      <c r="OS959" s="146"/>
      <c r="OT959" s="146"/>
      <c r="OU959" s="146"/>
      <c r="OV959" s="146"/>
      <c r="OW959" s="146"/>
      <c r="OX959" s="146"/>
      <c r="OY959" s="146"/>
      <c r="OZ959" s="146"/>
      <c r="PA959" s="146"/>
      <c r="PB959" s="146"/>
      <c r="PC959" s="146"/>
      <c r="PD959" s="146"/>
      <c r="PE959" s="146"/>
      <c r="PF959" s="146"/>
      <c r="PG959" s="146"/>
      <c r="PH959" s="146"/>
      <c r="PI959" s="146"/>
      <c r="PJ959" s="146"/>
      <c r="PK959" s="146"/>
      <c r="PL959" s="146"/>
      <c r="PM959" s="146"/>
      <c r="PN959" s="146"/>
      <c r="PO959" s="146"/>
      <c r="PP959" s="146"/>
      <c r="PQ959" s="146"/>
      <c r="PR959" s="146"/>
      <c r="PS959" s="146"/>
      <c r="PT959" s="146"/>
      <c r="PU959" s="146"/>
      <c r="PV959" s="146"/>
      <c r="PW959" s="146"/>
      <c r="PX959" s="146"/>
      <c r="PY959" s="146"/>
      <c r="PZ959" s="146"/>
      <c r="QA959" s="146"/>
      <c r="QB959" s="146"/>
      <c r="QC959" s="146"/>
      <c r="QD959" s="146"/>
      <c r="QE959" s="146"/>
      <c r="QF959" s="146"/>
      <c r="QG959" s="146"/>
      <c r="QH959" s="146"/>
      <c r="QI959" s="146"/>
      <c r="QJ959" s="146"/>
      <c r="QK959" s="146"/>
      <c r="QL959" s="146"/>
      <c r="QM959" s="146"/>
      <c r="QN959" s="146"/>
      <c r="QO959" s="146"/>
      <c r="QP959" s="146"/>
      <c r="QQ959" s="146"/>
      <c r="QR959" s="146"/>
      <c r="QS959" s="146"/>
      <c r="QT959" s="146"/>
      <c r="QU959" s="146"/>
      <c r="QV959" s="146"/>
      <c r="QW959" s="146"/>
      <c r="QX959" s="146"/>
      <c r="QY959" s="146"/>
      <c r="QZ959" s="146"/>
      <c r="RA959" s="146"/>
      <c r="RB959" s="146"/>
      <c r="RC959" s="146"/>
      <c r="RD959" s="146"/>
      <c r="RE959" s="146"/>
      <c r="RF959" s="146"/>
      <c r="RG959" s="146"/>
      <c r="RH959" s="146"/>
      <c r="RI959" s="146"/>
      <c r="RJ959" s="146"/>
      <c r="RK959" s="146"/>
      <c r="RL959" s="146"/>
      <c r="RM959" s="146"/>
      <c r="RN959" s="146"/>
      <c r="RO959" s="146"/>
      <c r="RP959" s="146"/>
      <c r="RQ959" s="146"/>
      <c r="RR959" s="146"/>
      <c r="RS959" s="146"/>
      <c r="RT959" s="146"/>
      <c r="RU959" s="146"/>
      <c r="RV959" s="146"/>
      <c r="RW959" s="146"/>
      <c r="RX959" s="146"/>
      <c r="RY959" s="146"/>
      <c r="RZ959" s="146"/>
      <c r="SA959" s="146"/>
      <c r="SB959" s="146"/>
      <c r="SC959" s="146"/>
      <c r="SD959" s="146"/>
      <c r="SE959" s="146"/>
      <c r="SF959" s="146"/>
      <c r="SG959" s="146"/>
      <c r="SH959" s="146"/>
      <c r="SI959" s="146"/>
      <c r="SJ959" s="146"/>
      <c r="SK959" s="146"/>
      <c r="SL959" s="146"/>
      <c r="SM959" s="146"/>
      <c r="SN959" s="146"/>
      <c r="SO959" s="146"/>
      <c r="SP959" s="146"/>
      <c r="SQ959" s="146"/>
      <c r="SR959" s="146"/>
      <c r="SS959" s="146"/>
      <c r="ST959" s="146"/>
      <c r="SU959" s="146"/>
      <c r="SV959" s="146"/>
      <c r="SW959" s="146"/>
      <c r="SX959" s="146"/>
      <c r="SY959" s="146"/>
      <c r="SZ959" s="146"/>
      <c r="TA959" s="146"/>
      <c r="TB959" s="146"/>
      <c r="TC959" s="146"/>
      <c r="TD959" s="146"/>
      <c r="TE959" s="146"/>
      <c r="TF959" s="146"/>
      <c r="TG959" s="146"/>
      <c r="TH959" s="146"/>
      <c r="TI959" s="146"/>
      <c r="TJ959" s="146"/>
      <c r="TK959" s="146"/>
      <c r="TL959" s="146"/>
      <c r="TM959" s="146"/>
      <c r="TN959" s="146"/>
      <c r="TO959" s="146"/>
      <c r="TP959" s="146"/>
      <c r="TQ959" s="146"/>
      <c r="TR959" s="146"/>
      <c r="TS959" s="146"/>
      <c r="TT959" s="146"/>
      <c r="TU959" s="146"/>
      <c r="TV959" s="146"/>
      <c r="TW959" s="146"/>
      <c r="TX959" s="146"/>
      <c r="TY959" s="146"/>
      <c r="TZ959" s="146"/>
      <c r="UA959" s="146"/>
      <c r="UB959" s="146"/>
      <c r="UC959" s="146"/>
      <c r="UD959" s="146"/>
      <c r="UE959" s="146"/>
      <c r="UF959" s="146"/>
      <c r="UG959" s="147"/>
    </row>
    <row r="960" spans="1:553" s="142" customFormat="1" ht="28">
      <c r="A960" s="444"/>
      <c r="B960" s="444"/>
      <c r="C960" s="1446" t="s">
        <v>204</v>
      </c>
      <c r="D960" s="1502"/>
      <c r="E960" s="1502"/>
      <c r="F960" s="1503"/>
      <c r="G960" s="366" t="s">
        <v>205</v>
      </c>
      <c r="H960" s="725"/>
      <c r="I960" s="725">
        <v>1</v>
      </c>
      <c r="J960" s="368">
        <v>500000</v>
      </c>
      <c r="K960" s="427"/>
      <c r="L960" s="480">
        <f t="shared" si="142"/>
        <v>500000</v>
      </c>
      <c r="M960" s="444"/>
      <c r="N960" s="444"/>
      <c r="O960" s="444"/>
      <c r="P960" s="444"/>
      <c r="Q960" s="1251"/>
      <c r="R960" s="1447"/>
      <c r="S960" s="308"/>
      <c r="T960" s="308"/>
      <c r="U960" s="308"/>
      <c r="V960" s="308"/>
      <c r="W960" s="308"/>
      <c r="X960" s="308"/>
      <c r="Y960" s="308"/>
      <c r="Z960" s="604"/>
      <c r="AA960" s="308"/>
      <c r="AB960" s="308"/>
      <c r="AC960" s="726"/>
      <c r="AD960" s="726"/>
      <c r="AE960" s="726"/>
      <c r="AF960" s="726"/>
      <c r="AG960" s="726"/>
      <c r="AH960" s="726"/>
      <c r="AI960" s="726"/>
      <c r="AJ960" s="726"/>
      <c r="AK960" s="726"/>
      <c r="AL960" s="320"/>
      <c r="AM960" s="145"/>
      <c r="AN960" s="145"/>
      <c r="AO960" s="145"/>
      <c r="AP960" s="145"/>
      <c r="AQ960" s="145"/>
      <c r="AR960" s="145"/>
      <c r="AS960" s="145"/>
      <c r="AT960" s="145"/>
      <c r="AU960" s="145"/>
      <c r="AV960" s="145"/>
      <c r="AW960" s="145"/>
      <c r="AX960" s="145"/>
      <c r="AY960" s="145"/>
      <c r="AZ960" s="145"/>
      <c r="BA960" s="145"/>
      <c r="BB960" s="145"/>
      <c r="BC960" s="145"/>
      <c r="BD960" s="145"/>
      <c r="BE960" s="145"/>
      <c r="BF960" s="145"/>
      <c r="BG960" s="145"/>
      <c r="BH960" s="145"/>
      <c r="BI960" s="145"/>
      <c r="BJ960" s="145"/>
      <c r="BK960" s="145"/>
      <c r="BL960" s="145"/>
      <c r="BM960" s="145"/>
      <c r="BN960" s="145"/>
      <c r="BO960" s="145"/>
      <c r="BP960" s="146"/>
      <c r="BQ960" s="146"/>
      <c r="BR960" s="146"/>
      <c r="BS960" s="146"/>
      <c r="BT960" s="146"/>
      <c r="BU960" s="146"/>
      <c r="BV960" s="146"/>
      <c r="BW960" s="146"/>
      <c r="BX960" s="146"/>
      <c r="BY960" s="146"/>
      <c r="BZ960" s="146"/>
      <c r="CA960" s="146"/>
      <c r="CB960" s="146"/>
      <c r="CC960" s="146"/>
      <c r="CD960" s="146"/>
      <c r="CE960" s="146"/>
      <c r="CF960" s="146"/>
      <c r="CG960" s="146"/>
      <c r="CH960" s="146"/>
      <c r="CI960" s="146"/>
      <c r="CJ960" s="146"/>
      <c r="CK960" s="146"/>
      <c r="CL960" s="146"/>
      <c r="CM960" s="146"/>
      <c r="CN960" s="146"/>
      <c r="CO960" s="146"/>
      <c r="CP960" s="146"/>
      <c r="CQ960" s="146"/>
      <c r="CR960" s="146"/>
      <c r="CS960" s="146"/>
      <c r="CT960" s="146"/>
      <c r="CU960" s="146"/>
      <c r="CV960" s="146"/>
      <c r="CW960" s="146"/>
      <c r="CX960" s="146"/>
      <c r="CY960" s="146"/>
      <c r="CZ960" s="146"/>
      <c r="DA960" s="146"/>
      <c r="DB960" s="146"/>
      <c r="DC960" s="146"/>
      <c r="DD960" s="146"/>
      <c r="DE960" s="146"/>
      <c r="DF960" s="146"/>
      <c r="DG960" s="146"/>
      <c r="DH960" s="146"/>
      <c r="DI960" s="146"/>
      <c r="DJ960" s="146"/>
      <c r="DK960" s="146"/>
      <c r="DL960" s="146"/>
      <c r="DM960" s="146"/>
      <c r="DN960" s="146"/>
      <c r="DO960" s="146"/>
      <c r="DP960" s="146"/>
      <c r="DQ960" s="146"/>
      <c r="DR960" s="146"/>
      <c r="DS960" s="146"/>
      <c r="DT960" s="146"/>
      <c r="DU960" s="146"/>
      <c r="DV960" s="146"/>
      <c r="DW960" s="146"/>
      <c r="DX960" s="146"/>
      <c r="DY960" s="146"/>
      <c r="DZ960" s="146"/>
      <c r="EA960" s="146"/>
      <c r="EB960" s="146"/>
      <c r="EC960" s="146"/>
      <c r="ED960" s="146"/>
      <c r="EE960" s="146"/>
      <c r="EF960" s="146"/>
      <c r="EG960" s="146"/>
      <c r="EH960" s="146"/>
      <c r="EI960" s="146"/>
      <c r="EJ960" s="146"/>
      <c r="EK960" s="146"/>
      <c r="EL960" s="146"/>
      <c r="EM960" s="146"/>
      <c r="EN960" s="146"/>
      <c r="EO960" s="146"/>
      <c r="EP960" s="146"/>
      <c r="EQ960" s="146"/>
      <c r="ER960" s="146"/>
      <c r="ES960" s="146"/>
      <c r="ET960" s="146"/>
      <c r="EU960" s="146"/>
      <c r="EV960" s="146"/>
      <c r="EW960" s="146"/>
      <c r="EX960" s="146"/>
      <c r="EY960" s="146"/>
      <c r="EZ960" s="146"/>
      <c r="FA960" s="146"/>
      <c r="FB960" s="146"/>
      <c r="FC960" s="146"/>
      <c r="FD960" s="146"/>
      <c r="FE960" s="146"/>
      <c r="FF960" s="146"/>
      <c r="FG960" s="146"/>
      <c r="FH960" s="146"/>
      <c r="FI960" s="146"/>
      <c r="FJ960" s="146"/>
      <c r="FK960" s="146"/>
      <c r="FL960" s="146"/>
      <c r="FM960" s="146"/>
      <c r="FN960" s="146"/>
      <c r="FO960" s="146"/>
      <c r="FP960" s="146"/>
      <c r="FQ960" s="146"/>
      <c r="FR960" s="146"/>
      <c r="FS960" s="146"/>
      <c r="FT960" s="146"/>
      <c r="FU960" s="146"/>
      <c r="FV960" s="146"/>
      <c r="FW960" s="146"/>
      <c r="FX960" s="146"/>
      <c r="FY960" s="146"/>
      <c r="FZ960" s="146"/>
      <c r="GA960" s="146"/>
      <c r="GB960" s="146"/>
      <c r="GC960" s="146"/>
      <c r="GD960" s="146"/>
      <c r="GE960" s="146"/>
      <c r="GF960" s="146"/>
      <c r="GG960" s="146"/>
      <c r="GH960" s="146"/>
      <c r="GI960" s="146"/>
      <c r="GJ960" s="146"/>
      <c r="GK960" s="146"/>
      <c r="GL960" s="146"/>
      <c r="GM960" s="146"/>
      <c r="GN960" s="146"/>
      <c r="GO960" s="146"/>
      <c r="GP960" s="146"/>
      <c r="GQ960" s="146"/>
      <c r="GR960" s="146"/>
      <c r="GS960" s="146"/>
      <c r="GT960" s="146"/>
      <c r="GU960" s="146"/>
      <c r="GV960" s="146"/>
      <c r="GW960" s="146"/>
      <c r="GX960" s="146"/>
      <c r="GY960" s="146"/>
      <c r="GZ960" s="146"/>
      <c r="HA960" s="146"/>
      <c r="HB960" s="146"/>
      <c r="HC960" s="146"/>
      <c r="HD960" s="146"/>
      <c r="HE960" s="146"/>
      <c r="HF960" s="146"/>
      <c r="HG960" s="146"/>
      <c r="HH960" s="146"/>
      <c r="HI960" s="146"/>
      <c r="HJ960" s="146"/>
      <c r="HK960" s="146"/>
      <c r="HL960" s="146"/>
      <c r="HM960" s="146"/>
      <c r="HN960" s="146"/>
      <c r="HO960" s="146"/>
      <c r="HP960" s="146"/>
      <c r="HQ960" s="146"/>
      <c r="HR960" s="146"/>
      <c r="HS960" s="146"/>
      <c r="HT960" s="146"/>
      <c r="HU960" s="146"/>
      <c r="HV960" s="146"/>
      <c r="HW960" s="146"/>
      <c r="HX960" s="146"/>
      <c r="HY960" s="146"/>
      <c r="HZ960" s="146"/>
      <c r="IA960" s="146"/>
      <c r="IB960" s="146"/>
      <c r="IC960" s="146"/>
      <c r="ID960" s="146"/>
      <c r="IE960" s="146"/>
      <c r="IF960" s="146"/>
      <c r="IG960" s="146"/>
      <c r="IH960" s="146"/>
      <c r="II960" s="146"/>
      <c r="IJ960" s="146"/>
      <c r="IK960" s="146"/>
      <c r="IL960" s="146"/>
      <c r="IM960" s="146"/>
      <c r="IN960" s="146"/>
      <c r="IO960" s="146"/>
      <c r="IP960" s="146"/>
      <c r="IQ960" s="146"/>
      <c r="IR960" s="146"/>
      <c r="IS960" s="146"/>
      <c r="IT960" s="146"/>
      <c r="IU960" s="146"/>
      <c r="IV960" s="146"/>
      <c r="IW960" s="146"/>
      <c r="IX960" s="146"/>
      <c r="IY960" s="146"/>
      <c r="IZ960" s="146"/>
      <c r="JA960" s="146"/>
      <c r="JB960" s="146"/>
      <c r="JC960" s="146"/>
      <c r="JD960" s="146"/>
      <c r="JE960" s="146"/>
      <c r="JF960" s="146"/>
      <c r="JG960" s="146"/>
      <c r="JH960" s="146"/>
      <c r="JI960" s="146"/>
      <c r="JJ960" s="146"/>
      <c r="JK960" s="146"/>
      <c r="JL960" s="146"/>
      <c r="JM960" s="146"/>
      <c r="JN960" s="146"/>
      <c r="JO960" s="146"/>
      <c r="JP960" s="146"/>
      <c r="JQ960" s="146"/>
      <c r="JR960" s="146"/>
      <c r="JS960" s="146"/>
      <c r="JT960" s="146"/>
      <c r="JU960" s="146"/>
      <c r="JV960" s="146"/>
      <c r="JW960" s="146"/>
      <c r="JX960" s="146"/>
      <c r="JY960" s="146"/>
      <c r="JZ960" s="146"/>
      <c r="KA960" s="146"/>
      <c r="KB960" s="146"/>
      <c r="KC960" s="146"/>
      <c r="KD960" s="146"/>
      <c r="KE960" s="146"/>
      <c r="KF960" s="146"/>
      <c r="KG960" s="146"/>
      <c r="KH960" s="146"/>
      <c r="KI960" s="146"/>
      <c r="KJ960" s="146"/>
      <c r="KK960" s="146"/>
      <c r="KL960" s="146"/>
      <c r="KM960" s="146"/>
      <c r="KN960" s="146"/>
      <c r="KO960" s="146"/>
      <c r="KP960" s="146"/>
      <c r="KQ960" s="146"/>
      <c r="KR960" s="146"/>
      <c r="KS960" s="146"/>
      <c r="KT960" s="146"/>
      <c r="KU960" s="146"/>
      <c r="KV960" s="146"/>
      <c r="KW960" s="146"/>
      <c r="KX960" s="146"/>
      <c r="KY960" s="146"/>
      <c r="KZ960" s="146"/>
      <c r="LA960" s="146"/>
      <c r="LB960" s="146"/>
      <c r="LC960" s="146"/>
      <c r="LD960" s="146"/>
      <c r="LE960" s="146"/>
      <c r="LF960" s="146"/>
      <c r="LG960" s="146"/>
      <c r="LH960" s="146"/>
      <c r="LI960" s="146"/>
      <c r="LJ960" s="146"/>
      <c r="LK960" s="146"/>
      <c r="LL960" s="146"/>
      <c r="LM960" s="146"/>
      <c r="LN960" s="146"/>
      <c r="LO960" s="146"/>
      <c r="LP960" s="146"/>
      <c r="LQ960" s="146"/>
      <c r="LR960" s="146"/>
      <c r="LS960" s="146"/>
      <c r="LT960" s="146"/>
      <c r="LU960" s="146"/>
      <c r="LV960" s="146"/>
      <c r="LW960" s="146"/>
      <c r="LX960" s="146"/>
      <c r="LY960" s="146"/>
      <c r="LZ960" s="146"/>
      <c r="MA960" s="146"/>
      <c r="MB960" s="146"/>
      <c r="MC960" s="146"/>
      <c r="MD960" s="146"/>
      <c r="ME960" s="146"/>
      <c r="MF960" s="146"/>
      <c r="MG960" s="146"/>
      <c r="MH960" s="146"/>
      <c r="MI960" s="146"/>
      <c r="MJ960" s="146"/>
      <c r="MK960" s="146"/>
      <c r="ML960" s="146"/>
      <c r="MM960" s="146"/>
      <c r="MN960" s="146"/>
      <c r="MO960" s="146"/>
      <c r="MP960" s="146"/>
      <c r="MQ960" s="146"/>
      <c r="MR960" s="146"/>
      <c r="MS960" s="146"/>
      <c r="MT960" s="146"/>
      <c r="MU960" s="146"/>
      <c r="MV960" s="146"/>
      <c r="MW960" s="146"/>
      <c r="MX960" s="146"/>
      <c r="MY960" s="146"/>
      <c r="MZ960" s="146"/>
      <c r="NA960" s="146"/>
      <c r="NB960" s="146"/>
      <c r="NC960" s="146"/>
      <c r="ND960" s="146"/>
      <c r="NE960" s="146"/>
      <c r="NF960" s="146"/>
      <c r="NG960" s="146"/>
      <c r="NH960" s="146"/>
      <c r="NI960" s="146"/>
      <c r="NJ960" s="146"/>
      <c r="NK960" s="146"/>
      <c r="NL960" s="146"/>
      <c r="NM960" s="146"/>
      <c r="NN960" s="146"/>
      <c r="NO960" s="146"/>
      <c r="NP960" s="146"/>
      <c r="NQ960" s="146"/>
      <c r="NR960" s="146"/>
      <c r="NS960" s="146"/>
      <c r="NT960" s="146"/>
      <c r="NU960" s="146"/>
      <c r="NV960" s="146"/>
      <c r="NW960" s="146"/>
      <c r="NX960" s="146"/>
      <c r="NY960" s="146"/>
      <c r="NZ960" s="146"/>
      <c r="OA960" s="146"/>
      <c r="OB960" s="146"/>
      <c r="OC960" s="146"/>
      <c r="OD960" s="146"/>
      <c r="OE960" s="146"/>
      <c r="OF960" s="146"/>
      <c r="OG960" s="146"/>
      <c r="OH960" s="146"/>
      <c r="OI960" s="146"/>
      <c r="OJ960" s="146"/>
      <c r="OK960" s="146"/>
      <c r="OL960" s="146"/>
      <c r="OM960" s="146"/>
      <c r="ON960" s="146"/>
      <c r="OO960" s="146"/>
      <c r="OP960" s="146"/>
      <c r="OQ960" s="146"/>
      <c r="OR960" s="146"/>
      <c r="OS960" s="146"/>
      <c r="OT960" s="146"/>
      <c r="OU960" s="146"/>
      <c r="OV960" s="146"/>
      <c r="OW960" s="146"/>
      <c r="OX960" s="146"/>
      <c r="OY960" s="146"/>
      <c r="OZ960" s="146"/>
      <c r="PA960" s="146"/>
      <c r="PB960" s="146"/>
      <c r="PC960" s="146"/>
      <c r="PD960" s="146"/>
      <c r="PE960" s="146"/>
      <c r="PF960" s="146"/>
      <c r="PG960" s="146"/>
      <c r="PH960" s="146"/>
      <c r="PI960" s="146"/>
      <c r="PJ960" s="146"/>
      <c r="PK960" s="146"/>
      <c r="PL960" s="146"/>
      <c r="PM960" s="146"/>
      <c r="PN960" s="146"/>
      <c r="PO960" s="146"/>
      <c r="PP960" s="146"/>
      <c r="PQ960" s="146"/>
      <c r="PR960" s="146"/>
      <c r="PS960" s="146"/>
      <c r="PT960" s="146"/>
      <c r="PU960" s="146"/>
      <c r="PV960" s="146"/>
      <c r="PW960" s="146"/>
      <c r="PX960" s="146"/>
      <c r="PY960" s="146"/>
      <c r="PZ960" s="146"/>
      <c r="QA960" s="146"/>
      <c r="QB960" s="146"/>
      <c r="QC960" s="146"/>
      <c r="QD960" s="146"/>
      <c r="QE960" s="146"/>
      <c r="QF960" s="146"/>
      <c r="QG960" s="146"/>
      <c r="QH960" s="146"/>
      <c r="QI960" s="146"/>
      <c r="QJ960" s="146"/>
      <c r="QK960" s="146"/>
      <c r="QL960" s="146"/>
      <c r="QM960" s="146"/>
      <c r="QN960" s="146"/>
      <c r="QO960" s="146"/>
      <c r="QP960" s="146"/>
      <c r="QQ960" s="146"/>
      <c r="QR960" s="146"/>
      <c r="QS960" s="146"/>
      <c r="QT960" s="146"/>
      <c r="QU960" s="146"/>
      <c r="QV960" s="146"/>
      <c r="QW960" s="146"/>
      <c r="QX960" s="146"/>
      <c r="QY960" s="146"/>
      <c r="QZ960" s="146"/>
      <c r="RA960" s="146"/>
      <c r="RB960" s="146"/>
      <c r="RC960" s="146"/>
      <c r="RD960" s="146"/>
      <c r="RE960" s="146"/>
      <c r="RF960" s="146"/>
      <c r="RG960" s="146"/>
      <c r="RH960" s="146"/>
      <c r="RI960" s="146"/>
      <c r="RJ960" s="146"/>
      <c r="RK960" s="146"/>
      <c r="RL960" s="146"/>
      <c r="RM960" s="146"/>
      <c r="RN960" s="146"/>
      <c r="RO960" s="146"/>
      <c r="RP960" s="146"/>
      <c r="RQ960" s="146"/>
      <c r="RR960" s="146"/>
      <c r="RS960" s="146"/>
      <c r="RT960" s="146"/>
      <c r="RU960" s="146"/>
      <c r="RV960" s="146"/>
      <c r="RW960" s="146"/>
      <c r="RX960" s="146"/>
      <c r="RY960" s="146"/>
      <c r="RZ960" s="146"/>
      <c r="SA960" s="146"/>
      <c r="SB960" s="146"/>
      <c r="SC960" s="146"/>
      <c r="SD960" s="146"/>
      <c r="SE960" s="146"/>
      <c r="SF960" s="146"/>
      <c r="SG960" s="146"/>
      <c r="SH960" s="146"/>
      <c r="SI960" s="146"/>
      <c r="SJ960" s="146"/>
      <c r="SK960" s="146"/>
      <c r="SL960" s="146"/>
      <c r="SM960" s="146"/>
      <c r="SN960" s="146"/>
      <c r="SO960" s="146"/>
      <c r="SP960" s="146"/>
      <c r="SQ960" s="146"/>
      <c r="SR960" s="146"/>
      <c r="SS960" s="146"/>
      <c r="ST960" s="146"/>
      <c r="SU960" s="146"/>
      <c r="SV960" s="146"/>
      <c r="SW960" s="146"/>
      <c r="SX960" s="146"/>
      <c r="SY960" s="146"/>
      <c r="SZ960" s="146"/>
      <c r="TA960" s="146"/>
      <c r="TB960" s="146"/>
      <c r="TC960" s="146"/>
      <c r="TD960" s="146"/>
      <c r="TE960" s="146"/>
      <c r="TF960" s="146"/>
      <c r="TG960" s="146"/>
      <c r="TH960" s="146"/>
      <c r="TI960" s="146"/>
      <c r="TJ960" s="146"/>
      <c r="TK960" s="146"/>
      <c r="TL960" s="146"/>
      <c r="TM960" s="146"/>
      <c r="TN960" s="146"/>
      <c r="TO960" s="146"/>
      <c r="TP960" s="146"/>
      <c r="TQ960" s="146"/>
      <c r="TR960" s="146"/>
      <c r="TS960" s="146"/>
      <c r="TT960" s="146"/>
      <c r="TU960" s="146"/>
      <c r="TV960" s="146"/>
      <c r="TW960" s="146"/>
      <c r="TX960" s="146"/>
      <c r="TY960" s="146"/>
      <c r="TZ960" s="146"/>
      <c r="UA960" s="146"/>
      <c r="UB960" s="146"/>
      <c r="UC960" s="146"/>
      <c r="UD960" s="146"/>
      <c r="UE960" s="146"/>
      <c r="UF960" s="146"/>
      <c r="UG960" s="147"/>
    </row>
    <row r="961" spans="1:553" s="142" customFormat="1" ht="36.65" customHeight="1">
      <c r="A961" s="444" t="s">
        <v>58</v>
      </c>
      <c r="B961" s="444"/>
      <c r="C961" s="1539" t="s">
        <v>59</v>
      </c>
      <c r="D961" s="1540"/>
      <c r="E961" s="1540"/>
      <c r="F961" s="1541"/>
      <c r="G961" s="356"/>
      <c r="H961" s="705"/>
      <c r="I961" s="705"/>
      <c r="J961" s="357"/>
      <c r="K961" s="706"/>
      <c r="L961" s="645">
        <f>SUM(L962:L967)</f>
        <v>83918400</v>
      </c>
      <c r="M961" s="444"/>
      <c r="N961" s="444"/>
      <c r="O961" s="444"/>
      <c r="P961" s="444">
        <f>L961</f>
        <v>83918400</v>
      </c>
      <c r="Q961" s="1251"/>
      <c r="R961" s="1253"/>
      <c r="S961" s="308"/>
      <c r="T961" s="308"/>
      <c r="U961" s="308"/>
      <c r="V961" s="308"/>
      <c r="W961" s="308"/>
      <c r="X961" s="308"/>
      <c r="Y961" s="308"/>
      <c r="Z961" s="604"/>
      <c r="AA961" s="308"/>
      <c r="AB961" s="308"/>
      <c r="AC961" s="707"/>
      <c r="AD961" s="707"/>
      <c r="AE961" s="707"/>
      <c r="AF961" s="707"/>
      <c r="AG961" s="707"/>
      <c r="AH961" s="707"/>
      <c r="AI961" s="707"/>
      <c r="AJ961" s="707"/>
      <c r="AK961" s="708"/>
      <c r="AL961" s="195"/>
      <c r="AM961" s="143"/>
      <c r="AN961" s="143"/>
      <c r="AO961" s="143"/>
      <c r="AP961" s="143"/>
      <c r="AQ961" s="143"/>
      <c r="AR961" s="143"/>
      <c r="AS961" s="143"/>
      <c r="AT961" s="143"/>
      <c r="AU961" s="143"/>
      <c r="AV961" s="143"/>
      <c r="AW961" s="143"/>
      <c r="AX961" s="143"/>
      <c r="AY961" s="143"/>
      <c r="AZ961" s="143"/>
      <c r="BA961" s="143"/>
      <c r="BB961" s="143"/>
      <c r="BC961" s="143"/>
      <c r="BD961" s="143"/>
      <c r="BE961" s="143"/>
      <c r="BF961" s="143"/>
      <c r="BG961" s="143"/>
      <c r="BH961" s="143"/>
      <c r="BI961" s="143"/>
      <c r="BJ961" s="143"/>
      <c r="BK961" s="143"/>
      <c r="BL961" s="143"/>
      <c r="BM961" s="143"/>
      <c r="BN961" s="143"/>
      <c r="BO961" s="143"/>
      <c r="BP961" s="143"/>
      <c r="BQ961" s="143"/>
      <c r="BR961" s="143"/>
      <c r="BS961" s="143"/>
      <c r="BT961" s="143"/>
      <c r="BU961" s="143"/>
      <c r="BV961" s="143"/>
      <c r="BW961" s="143"/>
      <c r="BX961" s="143"/>
      <c r="BY961" s="143"/>
      <c r="BZ961" s="143"/>
      <c r="CA961" s="143"/>
      <c r="CB961" s="143"/>
      <c r="CC961" s="143"/>
      <c r="CD961" s="143"/>
      <c r="CE961" s="143"/>
      <c r="CF961" s="143"/>
      <c r="CG961" s="143"/>
      <c r="CH961" s="143"/>
      <c r="CI961" s="143"/>
      <c r="CJ961" s="143"/>
      <c r="CK961" s="143"/>
      <c r="CL961" s="143"/>
      <c r="CM961" s="143"/>
      <c r="CN961" s="143"/>
      <c r="CO961" s="143"/>
      <c r="CP961" s="143"/>
      <c r="CQ961" s="143"/>
      <c r="CR961" s="143"/>
      <c r="CS961" s="143"/>
      <c r="CT961" s="143"/>
      <c r="CU961" s="143"/>
      <c r="CV961" s="143"/>
      <c r="CW961" s="143"/>
      <c r="CX961" s="143"/>
      <c r="CY961" s="143"/>
      <c r="CZ961" s="143"/>
      <c r="DA961" s="143"/>
      <c r="DB961" s="143"/>
      <c r="DC961" s="143"/>
      <c r="DD961" s="143"/>
      <c r="DE961" s="143"/>
      <c r="DF961" s="143"/>
      <c r="DG961" s="143"/>
      <c r="DH961" s="143"/>
      <c r="DI961" s="143"/>
      <c r="DJ961" s="143"/>
      <c r="DK961" s="143"/>
      <c r="DL961" s="143"/>
      <c r="DM961" s="143"/>
      <c r="DN961" s="143"/>
      <c r="DO961" s="143"/>
      <c r="DP961" s="143"/>
      <c r="DQ961" s="143"/>
      <c r="DR961" s="143"/>
      <c r="DS961" s="143"/>
      <c r="DT961" s="143"/>
      <c r="DU961" s="143"/>
      <c r="DV961" s="143"/>
      <c r="DW961" s="143"/>
      <c r="DX961" s="143"/>
      <c r="DY961" s="143"/>
      <c r="DZ961" s="143"/>
      <c r="EA961" s="143"/>
      <c r="EB961" s="143"/>
      <c r="EC961" s="143"/>
      <c r="ED961" s="143"/>
      <c r="EE961" s="143"/>
      <c r="EF961" s="143"/>
      <c r="EG961" s="143"/>
      <c r="EH961" s="143"/>
      <c r="EI961" s="143"/>
      <c r="EJ961" s="143"/>
      <c r="EK961" s="143"/>
      <c r="EL961" s="143"/>
      <c r="EM961" s="143"/>
      <c r="EN961" s="143"/>
      <c r="EO961" s="143"/>
      <c r="EP961" s="143"/>
      <c r="EQ961" s="143"/>
      <c r="ER961" s="143"/>
      <c r="ES961" s="143"/>
      <c r="ET961" s="143"/>
      <c r="EU961" s="143"/>
      <c r="EV961" s="143"/>
      <c r="EW961" s="143"/>
      <c r="EX961" s="143"/>
      <c r="EY961" s="143"/>
      <c r="EZ961" s="143"/>
      <c r="FA961" s="143"/>
      <c r="FB961" s="143"/>
      <c r="FC961" s="143"/>
      <c r="FD961" s="143"/>
      <c r="FE961" s="143"/>
      <c r="FF961" s="143"/>
      <c r="FG961" s="143"/>
      <c r="FH961" s="143"/>
      <c r="FI961" s="143"/>
      <c r="FJ961" s="143"/>
      <c r="FK961" s="143"/>
      <c r="FL961" s="143"/>
      <c r="FM961" s="143"/>
      <c r="FN961" s="143"/>
      <c r="FO961" s="143"/>
      <c r="FP961" s="143"/>
      <c r="FQ961" s="143"/>
      <c r="FR961" s="143"/>
      <c r="FS961" s="143"/>
      <c r="FT961" s="143"/>
      <c r="FU961" s="143"/>
      <c r="FV961" s="143"/>
      <c r="FW961" s="143"/>
      <c r="FX961" s="143"/>
      <c r="FY961" s="143"/>
      <c r="FZ961" s="143"/>
      <c r="GA961" s="143"/>
      <c r="GB961" s="143"/>
      <c r="GC961" s="143"/>
      <c r="GD961" s="143"/>
      <c r="GE961" s="143"/>
      <c r="GF961" s="143"/>
      <c r="GG961" s="143"/>
      <c r="GH961" s="143"/>
      <c r="GI961" s="143"/>
      <c r="GJ961" s="143"/>
      <c r="GK961" s="143"/>
      <c r="GL961" s="143"/>
      <c r="GM961" s="143"/>
      <c r="GN961" s="143"/>
      <c r="GO961" s="143"/>
      <c r="GP961" s="143"/>
      <c r="GQ961" s="143"/>
      <c r="GR961" s="143"/>
      <c r="GS961" s="143"/>
      <c r="GT961" s="143"/>
      <c r="GU961" s="143"/>
      <c r="GV961" s="143"/>
      <c r="GW961" s="143"/>
      <c r="GX961" s="143"/>
      <c r="GY961" s="143"/>
      <c r="GZ961" s="143"/>
      <c r="HA961" s="143"/>
      <c r="HB961" s="143"/>
      <c r="HC961" s="143"/>
      <c r="HD961" s="143"/>
      <c r="HE961" s="143"/>
      <c r="HF961" s="143"/>
      <c r="HG961" s="143"/>
      <c r="HH961" s="143"/>
      <c r="HI961" s="143"/>
      <c r="HJ961" s="143"/>
      <c r="HK961" s="143"/>
      <c r="HL961" s="143"/>
      <c r="HM961" s="143"/>
      <c r="HN961" s="143"/>
      <c r="HO961" s="143"/>
      <c r="HP961" s="143"/>
      <c r="HQ961" s="143"/>
      <c r="HR961" s="143"/>
      <c r="HS961" s="143"/>
      <c r="HT961" s="143"/>
      <c r="HU961" s="143"/>
      <c r="HV961" s="143"/>
      <c r="HW961" s="143"/>
      <c r="HX961" s="143"/>
      <c r="HY961" s="143"/>
      <c r="HZ961" s="143"/>
      <c r="IA961" s="143"/>
      <c r="IB961" s="143"/>
      <c r="IC961" s="143"/>
      <c r="ID961" s="143"/>
      <c r="IE961" s="143"/>
      <c r="IF961" s="143"/>
      <c r="IG961" s="143"/>
      <c r="IH961" s="143"/>
      <c r="II961" s="143"/>
      <c r="IJ961" s="143"/>
      <c r="IK961" s="143"/>
      <c r="IL961" s="143"/>
      <c r="IM961" s="143"/>
      <c r="IN961" s="143"/>
      <c r="IO961" s="143"/>
      <c r="IP961" s="143"/>
      <c r="IQ961" s="143"/>
      <c r="IR961" s="143"/>
      <c r="IS961" s="143"/>
      <c r="IT961" s="143"/>
      <c r="IU961" s="143"/>
      <c r="IV961" s="143"/>
      <c r="IW961" s="143"/>
      <c r="IX961" s="143"/>
      <c r="IY961" s="143"/>
      <c r="IZ961" s="143"/>
      <c r="JA961" s="143"/>
      <c r="JB961" s="143"/>
      <c r="JC961" s="143"/>
      <c r="JD961" s="143"/>
      <c r="JE961" s="143"/>
      <c r="JF961" s="143"/>
      <c r="JG961" s="143"/>
      <c r="JH961" s="143"/>
      <c r="JI961" s="143"/>
      <c r="JJ961" s="143"/>
      <c r="JK961" s="143"/>
      <c r="JL961" s="143"/>
      <c r="JM961" s="143"/>
      <c r="JN961" s="143"/>
      <c r="JO961" s="143"/>
      <c r="JP961" s="143"/>
      <c r="JQ961" s="143"/>
      <c r="JR961" s="143"/>
      <c r="JS961" s="143"/>
      <c r="JT961" s="143"/>
      <c r="JU961" s="143"/>
      <c r="JV961" s="143"/>
      <c r="JW961" s="143"/>
      <c r="JX961" s="143"/>
      <c r="JY961" s="143"/>
      <c r="JZ961" s="143"/>
      <c r="KA961" s="143"/>
      <c r="KB961" s="143"/>
      <c r="KC961" s="143"/>
      <c r="KD961" s="143"/>
      <c r="KE961" s="143"/>
      <c r="KF961" s="143"/>
      <c r="KG961" s="143"/>
      <c r="KH961" s="143"/>
      <c r="KI961" s="143"/>
      <c r="KJ961" s="143"/>
      <c r="KK961" s="143"/>
      <c r="KL961" s="143"/>
      <c r="KM961" s="143"/>
      <c r="KN961" s="143"/>
      <c r="KO961" s="143"/>
      <c r="KP961" s="143"/>
      <c r="KQ961" s="143"/>
      <c r="KR961" s="143"/>
      <c r="KS961" s="143"/>
      <c r="KT961" s="143"/>
      <c r="KU961" s="143"/>
      <c r="KV961" s="143"/>
      <c r="KW961" s="143"/>
      <c r="KX961" s="143"/>
      <c r="KY961" s="143"/>
      <c r="KZ961" s="143"/>
      <c r="LA961" s="143"/>
      <c r="LB961" s="143"/>
      <c r="LC961" s="143"/>
      <c r="LD961" s="143"/>
      <c r="LE961" s="143"/>
      <c r="LF961" s="143"/>
      <c r="LG961" s="143"/>
      <c r="LH961" s="143"/>
      <c r="LI961" s="143"/>
      <c r="LJ961" s="143"/>
      <c r="LK961" s="143"/>
      <c r="LL961" s="143"/>
      <c r="LM961" s="143"/>
      <c r="LN961" s="143"/>
      <c r="LO961" s="143"/>
      <c r="LP961" s="143"/>
      <c r="LQ961" s="143"/>
      <c r="LR961" s="143"/>
      <c r="LS961" s="143"/>
      <c r="LT961" s="143"/>
      <c r="LU961" s="143"/>
      <c r="LV961" s="143"/>
      <c r="LW961" s="143"/>
      <c r="LX961" s="143"/>
      <c r="LY961" s="143"/>
      <c r="LZ961" s="143"/>
      <c r="MA961" s="143"/>
      <c r="MB961" s="143"/>
      <c r="MC961" s="143"/>
      <c r="MD961" s="143"/>
      <c r="ME961" s="143"/>
      <c r="MF961" s="143"/>
      <c r="MG961" s="143"/>
      <c r="MH961" s="143"/>
      <c r="MI961" s="143"/>
      <c r="MJ961" s="143"/>
      <c r="MK961" s="143"/>
      <c r="ML961" s="143"/>
      <c r="MM961" s="143"/>
      <c r="MN961" s="143"/>
      <c r="MO961" s="143"/>
      <c r="MP961" s="143"/>
      <c r="MQ961" s="143"/>
      <c r="MR961" s="143"/>
      <c r="MS961" s="143"/>
      <c r="MT961" s="143"/>
      <c r="MU961" s="143"/>
      <c r="MV961" s="143"/>
      <c r="MW961" s="143"/>
      <c r="MX961" s="143"/>
      <c r="MY961" s="143"/>
      <c r="MZ961" s="143"/>
      <c r="NA961" s="143"/>
      <c r="NB961" s="143"/>
      <c r="NC961" s="143"/>
      <c r="ND961" s="143"/>
      <c r="NE961" s="143"/>
      <c r="NF961" s="143"/>
      <c r="NG961" s="143"/>
      <c r="NH961" s="143"/>
      <c r="NI961" s="143"/>
      <c r="NJ961" s="143"/>
      <c r="NK961" s="143"/>
      <c r="NL961" s="143"/>
      <c r="NM961" s="143"/>
      <c r="NN961" s="143"/>
      <c r="NO961" s="143"/>
      <c r="NP961" s="143"/>
      <c r="NQ961" s="143"/>
      <c r="NR961" s="143"/>
      <c r="NS961" s="143"/>
      <c r="NT961" s="143"/>
      <c r="NU961" s="143"/>
      <c r="NV961" s="143"/>
      <c r="NW961" s="143"/>
      <c r="NX961" s="143"/>
      <c r="NY961" s="143"/>
      <c r="NZ961" s="143"/>
      <c r="OA961" s="143"/>
      <c r="OB961" s="143"/>
      <c r="OC961" s="143"/>
      <c r="OD961" s="143"/>
      <c r="OE961" s="143"/>
      <c r="OF961" s="143"/>
      <c r="OG961" s="143"/>
      <c r="OH961" s="143"/>
      <c r="OI961" s="143"/>
      <c r="OJ961" s="143"/>
      <c r="OK961" s="143"/>
      <c r="OL961" s="143"/>
      <c r="OM961" s="143"/>
      <c r="ON961" s="143"/>
      <c r="OO961" s="143"/>
      <c r="OP961" s="143"/>
      <c r="OQ961" s="143"/>
      <c r="OR961" s="143"/>
      <c r="OS961" s="143"/>
      <c r="OT961" s="143"/>
      <c r="OU961" s="143"/>
      <c r="OV961" s="143"/>
      <c r="OW961" s="143"/>
      <c r="OX961" s="143"/>
      <c r="OY961" s="143"/>
      <c r="OZ961" s="143"/>
      <c r="PA961" s="143"/>
      <c r="PB961" s="143"/>
      <c r="PC961" s="143"/>
      <c r="PD961" s="143"/>
      <c r="PE961" s="143"/>
      <c r="PF961" s="143"/>
      <c r="PG961" s="143"/>
      <c r="PH961" s="143"/>
      <c r="PI961" s="143"/>
      <c r="PJ961" s="143"/>
      <c r="PK961" s="143"/>
      <c r="PL961" s="143"/>
      <c r="PM961" s="143"/>
      <c r="PN961" s="143"/>
      <c r="PO961" s="143"/>
      <c r="PP961" s="143"/>
      <c r="PQ961" s="143"/>
      <c r="PR961" s="143"/>
      <c r="PS961" s="143"/>
      <c r="PT961" s="143"/>
      <c r="PU961" s="143"/>
      <c r="PV961" s="143"/>
      <c r="PW961" s="143"/>
      <c r="PX961" s="143"/>
      <c r="PY961" s="143"/>
      <c r="PZ961" s="143"/>
      <c r="QA961" s="143"/>
      <c r="QB961" s="143"/>
      <c r="QC961" s="143"/>
      <c r="QD961" s="143"/>
      <c r="QE961" s="143"/>
      <c r="QF961" s="143"/>
      <c r="QG961" s="143"/>
      <c r="QH961" s="143"/>
      <c r="QI961" s="143"/>
      <c r="QJ961" s="143"/>
      <c r="QK961" s="143"/>
      <c r="QL961" s="143"/>
      <c r="QM961" s="143"/>
      <c r="QN961" s="143"/>
      <c r="QO961" s="143"/>
      <c r="QP961" s="143"/>
      <c r="QQ961" s="143"/>
      <c r="QR961" s="143"/>
      <c r="QS961" s="143"/>
      <c r="QT961" s="143"/>
      <c r="QU961" s="143"/>
      <c r="QV961" s="143"/>
      <c r="QW961" s="143"/>
      <c r="QX961" s="143"/>
      <c r="QY961" s="143"/>
      <c r="QZ961" s="143"/>
      <c r="RA961" s="143"/>
      <c r="RB961" s="143"/>
      <c r="RC961" s="143"/>
      <c r="RD961" s="143"/>
      <c r="RE961" s="143"/>
      <c r="RF961" s="143"/>
      <c r="RG961" s="143"/>
      <c r="RH961" s="143"/>
      <c r="RI961" s="143"/>
      <c r="RJ961" s="143"/>
      <c r="RK961" s="143"/>
      <c r="RL961" s="143"/>
      <c r="RM961" s="143"/>
      <c r="RN961" s="143"/>
      <c r="RO961" s="143"/>
      <c r="RP961" s="143"/>
      <c r="RQ961" s="143"/>
      <c r="RR961" s="143"/>
      <c r="RS961" s="143"/>
      <c r="RT961" s="143"/>
      <c r="RU961" s="143"/>
      <c r="RV961" s="143"/>
      <c r="RW961" s="143"/>
      <c r="RX961" s="143"/>
      <c r="RY961" s="143"/>
      <c r="RZ961" s="143"/>
      <c r="SA961" s="143"/>
      <c r="SB961" s="143"/>
      <c r="SC961" s="143"/>
      <c r="SD961" s="143"/>
      <c r="SE961" s="143"/>
      <c r="SF961" s="143"/>
      <c r="SG961" s="143"/>
      <c r="SH961" s="143"/>
      <c r="SI961" s="143"/>
      <c r="SJ961" s="143"/>
      <c r="SK961" s="143"/>
      <c r="SL961" s="143"/>
      <c r="SM961" s="143"/>
      <c r="SN961" s="143"/>
      <c r="SO961" s="143"/>
      <c r="SP961" s="143"/>
      <c r="SQ961" s="143"/>
      <c r="SR961" s="143"/>
      <c r="SS961" s="143"/>
      <c r="ST961" s="143"/>
      <c r="SU961" s="143"/>
      <c r="SV961" s="143"/>
      <c r="SW961" s="143"/>
      <c r="SX961" s="143"/>
      <c r="SY961" s="143"/>
      <c r="SZ961" s="143"/>
      <c r="TA961" s="143"/>
      <c r="TB961" s="143"/>
      <c r="TC961" s="143"/>
      <c r="TD961" s="143"/>
      <c r="TE961" s="143"/>
      <c r="TF961" s="143"/>
      <c r="TG961" s="143"/>
      <c r="TH961" s="143"/>
      <c r="TI961" s="143"/>
      <c r="TJ961" s="143"/>
      <c r="TK961" s="143"/>
      <c r="TL961" s="143"/>
      <c r="TM961" s="143"/>
      <c r="TN961" s="143"/>
      <c r="TO961" s="143"/>
      <c r="TP961" s="143"/>
      <c r="TQ961" s="143"/>
      <c r="TR961" s="143"/>
      <c r="TS961" s="143"/>
      <c r="TT961" s="143"/>
      <c r="TU961" s="143"/>
      <c r="TV961" s="143"/>
      <c r="TW961" s="143"/>
      <c r="TX961" s="143"/>
      <c r="TY961" s="143"/>
      <c r="TZ961" s="143"/>
      <c r="UA961" s="143"/>
      <c r="UB961" s="143"/>
      <c r="UC961" s="143"/>
      <c r="UD961" s="143"/>
      <c r="UE961" s="143"/>
      <c r="UF961" s="143"/>
      <c r="UG961" s="144"/>
    </row>
    <row r="962" spans="1:553" s="142" customFormat="1" ht="35.5" customHeight="1">
      <c r="A962" s="444"/>
      <c r="B962" s="384"/>
      <c r="C962" s="384" t="s">
        <v>22</v>
      </c>
      <c r="D962" s="493">
        <v>2</v>
      </c>
      <c r="E962" s="376">
        <f>E899</f>
        <v>425</v>
      </c>
      <c r="F962" s="384"/>
      <c r="G962" s="386" t="s">
        <v>935</v>
      </c>
      <c r="H962" s="672"/>
      <c r="I962" s="672">
        <f>I900</f>
        <v>10.399999999999977</v>
      </c>
      <c r="J962" s="368">
        <v>62000</v>
      </c>
      <c r="K962" s="871">
        <v>1</v>
      </c>
      <c r="L962" s="480">
        <f>I962*J962*K962</f>
        <v>644799.9999999986</v>
      </c>
      <c r="M962" s="427"/>
      <c r="N962" s="427"/>
      <c r="O962" s="427"/>
      <c r="P962" s="427"/>
      <c r="Q962" s="727"/>
      <c r="R962" s="1542" t="s">
        <v>206</v>
      </c>
      <c r="S962" s="308"/>
      <c r="T962" s="308"/>
      <c r="U962" s="308"/>
      <c r="V962" s="308"/>
      <c r="W962" s="308"/>
      <c r="X962" s="308"/>
      <c r="Y962" s="308"/>
      <c r="Z962" s="604"/>
      <c r="AA962" s="308"/>
      <c r="AB962" s="308"/>
      <c r="AC962" s="687"/>
      <c r="AD962" s="687"/>
      <c r="AE962" s="687"/>
      <c r="AF962" s="687"/>
      <c r="AG962" s="687"/>
      <c r="AH962" s="687"/>
      <c r="AI962" s="687"/>
      <c r="AJ962" s="687"/>
      <c r="AK962" s="688"/>
      <c r="AL962" s="207"/>
      <c r="AM962" s="140"/>
      <c r="AN962" s="140"/>
      <c r="AO962" s="140"/>
      <c r="AP962" s="140"/>
      <c r="AQ962" s="140"/>
      <c r="AR962" s="140"/>
      <c r="AS962" s="140"/>
      <c r="AT962" s="140"/>
      <c r="AU962" s="140"/>
      <c r="AV962" s="140"/>
      <c r="AW962" s="140"/>
      <c r="AX962" s="140"/>
      <c r="AY962" s="140"/>
      <c r="AZ962" s="140"/>
      <c r="BA962" s="140"/>
      <c r="BB962" s="140"/>
      <c r="BC962" s="140"/>
      <c r="BD962" s="140"/>
      <c r="BE962" s="140"/>
      <c r="BF962" s="140"/>
      <c r="BG962" s="140"/>
      <c r="BH962" s="140"/>
      <c r="BI962" s="140"/>
      <c r="BJ962" s="140"/>
      <c r="BK962" s="140"/>
      <c r="BL962" s="140"/>
      <c r="BM962" s="140"/>
      <c r="BN962" s="140"/>
      <c r="BO962" s="140"/>
      <c r="BP962" s="140"/>
      <c r="BQ962" s="140"/>
      <c r="BR962" s="140"/>
      <c r="BS962" s="140"/>
      <c r="BT962" s="140"/>
      <c r="BU962" s="140"/>
      <c r="BV962" s="140"/>
      <c r="BW962" s="140"/>
      <c r="BX962" s="140"/>
      <c r="BY962" s="140"/>
      <c r="BZ962" s="140"/>
      <c r="CA962" s="140"/>
      <c r="CB962" s="140"/>
      <c r="CC962" s="140"/>
      <c r="CD962" s="140"/>
      <c r="CE962" s="140"/>
      <c r="CF962" s="140"/>
      <c r="CG962" s="140"/>
      <c r="CH962" s="140"/>
      <c r="CI962" s="140"/>
      <c r="CJ962" s="140"/>
      <c r="CK962" s="140"/>
      <c r="CL962" s="140"/>
      <c r="CM962" s="140"/>
      <c r="CN962" s="140"/>
      <c r="CO962" s="140"/>
      <c r="CP962" s="140"/>
      <c r="CQ962" s="140"/>
      <c r="CR962" s="140"/>
      <c r="CS962" s="140"/>
      <c r="CT962" s="140"/>
      <c r="CU962" s="140"/>
      <c r="CV962" s="140"/>
      <c r="CW962" s="140"/>
      <c r="CX962" s="140"/>
      <c r="CY962" s="140"/>
      <c r="CZ962" s="140"/>
      <c r="DA962" s="140"/>
      <c r="DB962" s="140"/>
      <c r="DC962" s="140"/>
      <c r="DD962" s="140"/>
      <c r="DE962" s="140"/>
      <c r="DF962" s="140"/>
      <c r="DG962" s="140"/>
      <c r="DH962" s="140"/>
      <c r="DI962" s="140"/>
      <c r="DJ962" s="140"/>
      <c r="DK962" s="140"/>
      <c r="DL962" s="140"/>
      <c r="DM962" s="140"/>
      <c r="DN962" s="140"/>
      <c r="DO962" s="140"/>
      <c r="DP962" s="140"/>
      <c r="DQ962" s="140"/>
      <c r="DR962" s="140"/>
      <c r="DS962" s="140"/>
      <c r="DT962" s="140"/>
      <c r="DU962" s="140"/>
      <c r="DV962" s="140"/>
      <c r="DW962" s="140"/>
      <c r="DX962" s="140"/>
      <c r="DY962" s="140"/>
      <c r="DZ962" s="140"/>
      <c r="EA962" s="140"/>
      <c r="EB962" s="140"/>
      <c r="EC962" s="140"/>
      <c r="ED962" s="140"/>
      <c r="EE962" s="140"/>
      <c r="EF962" s="140"/>
      <c r="EG962" s="140"/>
      <c r="EH962" s="140"/>
      <c r="EI962" s="140"/>
      <c r="EJ962" s="140"/>
      <c r="EK962" s="140"/>
      <c r="EL962" s="140"/>
      <c r="EM962" s="140"/>
      <c r="EN962" s="140"/>
      <c r="EO962" s="140"/>
      <c r="EP962" s="140"/>
      <c r="EQ962" s="140"/>
      <c r="ER962" s="140"/>
      <c r="ES962" s="140"/>
      <c r="ET962" s="140"/>
      <c r="EU962" s="140"/>
      <c r="EV962" s="140"/>
      <c r="EW962" s="140"/>
      <c r="EX962" s="140"/>
      <c r="EY962" s="140"/>
      <c r="EZ962" s="140"/>
      <c r="FA962" s="140"/>
      <c r="FB962" s="140"/>
      <c r="FC962" s="140"/>
      <c r="FD962" s="140"/>
      <c r="FE962" s="140"/>
      <c r="FF962" s="140"/>
      <c r="FG962" s="140"/>
      <c r="FH962" s="140"/>
      <c r="FI962" s="140"/>
      <c r="FJ962" s="140"/>
      <c r="FK962" s="140"/>
      <c r="FL962" s="140"/>
      <c r="FM962" s="140"/>
      <c r="FN962" s="140"/>
      <c r="FO962" s="140"/>
      <c r="FP962" s="140"/>
      <c r="FQ962" s="140"/>
      <c r="FR962" s="140"/>
      <c r="FS962" s="140"/>
      <c r="FT962" s="140"/>
      <c r="FU962" s="140"/>
      <c r="FV962" s="140"/>
      <c r="FW962" s="140"/>
      <c r="FX962" s="140"/>
      <c r="FY962" s="140"/>
      <c r="FZ962" s="140"/>
      <c r="GA962" s="140"/>
      <c r="GB962" s="140"/>
      <c r="GC962" s="140"/>
      <c r="GD962" s="140"/>
      <c r="GE962" s="140"/>
      <c r="GF962" s="140"/>
      <c r="GG962" s="140"/>
      <c r="GH962" s="140"/>
      <c r="GI962" s="140"/>
      <c r="GJ962" s="140"/>
      <c r="GK962" s="140"/>
      <c r="GL962" s="140"/>
      <c r="GM962" s="140"/>
      <c r="GN962" s="140"/>
      <c r="GO962" s="140"/>
      <c r="GP962" s="140"/>
      <c r="GQ962" s="140"/>
      <c r="GR962" s="140"/>
      <c r="GS962" s="140"/>
      <c r="GT962" s="140"/>
      <c r="GU962" s="140"/>
      <c r="GV962" s="140"/>
      <c r="GW962" s="140"/>
      <c r="GX962" s="140"/>
      <c r="GY962" s="140"/>
      <c r="GZ962" s="140"/>
      <c r="HA962" s="140"/>
      <c r="HB962" s="140"/>
      <c r="HC962" s="140"/>
      <c r="HD962" s="140"/>
      <c r="HE962" s="140"/>
      <c r="HF962" s="140"/>
      <c r="HG962" s="140"/>
      <c r="HH962" s="140"/>
      <c r="HI962" s="140"/>
      <c r="HJ962" s="140"/>
      <c r="HK962" s="140"/>
      <c r="HL962" s="140"/>
      <c r="HM962" s="140"/>
      <c r="HN962" s="140"/>
      <c r="HO962" s="140"/>
      <c r="HP962" s="140"/>
      <c r="HQ962" s="140"/>
      <c r="HR962" s="140"/>
      <c r="HS962" s="140"/>
      <c r="HT962" s="140"/>
      <c r="HU962" s="140"/>
      <c r="HV962" s="140"/>
      <c r="HW962" s="140"/>
      <c r="HX962" s="140"/>
      <c r="HY962" s="140"/>
      <c r="HZ962" s="140"/>
      <c r="IA962" s="140"/>
      <c r="IB962" s="140"/>
      <c r="IC962" s="140"/>
      <c r="ID962" s="140"/>
      <c r="IE962" s="140"/>
      <c r="IF962" s="140"/>
      <c r="IG962" s="140"/>
      <c r="IH962" s="140"/>
      <c r="II962" s="140"/>
      <c r="IJ962" s="140"/>
      <c r="IK962" s="140"/>
      <c r="IL962" s="140"/>
      <c r="IM962" s="140"/>
      <c r="IN962" s="140"/>
      <c r="IO962" s="140"/>
      <c r="IP962" s="140"/>
      <c r="IQ962" s="140"/>
      <c r="IR962" s="140"/>
      <c r="IS962" s="140"/>
      <c r="IT962" s="140"/>
      <c r="IU962" s="140"/>
      <c r="IV962" s="140"/>
      <c r="IW962" s="140"/>
      <c r="IX962" s="140"/>
      <c r="IY962" s="140"/>
      <c r="IZ962" s="140"/>
      <c r="JA962" s="140"/>
      <c r="JB962" s="140"/>
      <c r="JC962" s="140"/>
      <c r="JD962" s="140"/>
      <c r="JE962" s="140"/>
      <c r="JF962" s="140"/>
      <c r="JG962" s="140"/>
      <c r="JH962" s="140"/>
      <c r="JI962" s="140"/>
      <c r="JJ962" s="140"/>
      <c r="JK962" s="140"/>
      <c r="JL962" s="140"/>
      <c r="JM962" s="140"/>
      <c r="JN962" s="140"/>
      <c r="JO962" s="140"/>
      <c r="JP962" s="140"/>
      <c r="JQ962" s="140"/>
      <c r="JR962" s="140"/>
      <c r="JS962" s="140"/>
      <c r="JT962" s="140"/>
      <c r="JU962" s="140"/>
      <c r="JV962" s="140"/>
      <c r="JW962" s="140"/>
      <c r="JX962" s="140"/>
      <c r="JY962" s="140"/>
      <c r="JZ962" s="140"/>
      <c r="KA962" s="140"/>
      <c r="KB962" s="140"/>
      <c r="KC962" s="140"/>
      <c r="KD962" s="140"/>
      <c r="KE962" s="140"/>
      <c r="KF962" s="140"/>
      <c r="KG962" s="140"/>
      <c r="KH962" s="140"/>
      <c r="KI962" s="140"/>
      <c r="KJ962" s="140"/>
      <c r="KK962" s="140"/>
      <c r="KL962" s="140"/>
      <c r="KM962" s="140"/>
      <c r="KN962" s="140"/>
      <c r="KO962" s="140"/>
      <c r="KP962" s="140"/>
      <c r="KQ962" s="140"/>
      <c r="KR962" s="140"/>
      <c r="KS962" s="140"/>
      <c r="KT962" s="140"/>
      <c r="KU962" s="140"/>
      <c r="KV962" s="140"/>
      <c r="KW962" s="140"/>
      <c r="KX962" s="140"/>
      <c r="KY962" s="140"/>
      <c r="KZ962" s="140"/>
      <c r="LA962" s="140"/>
      <c r="LB962" s="140"/>
      <c r="LC962" s="140"/>
      <c r="LD962" s="140"/>
      <c r="LE962" s="140"/>
      <c r="LF962" s="140"/>
      <c r="LG962" s="140"/>
      <c r="LH962" s="140"/>
      <c r="LI962" s="140"/>
      <c r="LJ962" s="140"/>
      <c r="LK962" s="140"/>
      <c r="LL962" s="140"/>
      <c r="LM962" s="140"/>
      <c r="LN962" s="140"/>
      <c r="LO962" s="140"/>
      <c r="LP962" s="140"/>
      <c r="LQ962" s="140"/>
      <c r="LR962" s="140"/>
      <c r="LS962" s="140"/>
      <c r="LT962" s="140"/>
      <c r="LU962" s="140"/>
      <c r="LV962" s="140"/>
      <c r="LW962" s="140"/>
      <c r="LX962" s="140"/>
      <c r="LY962" s="140"/>
      <c r="LZ962" s="140"/>
      <c r="MA962" s="140"/>
      <c r="MB962" s="140"/>
      <c r="MC962" s="140"/>
      <c r="MD962" s="140"/>
      <c r="ME962" s="140"/>
      <c r="MF962" s="140"/>
      <c r="MG962" s="140"/>
      <c r="MH962" s="140"/>
      <c r="MI962" s="140"/>
      <c r="MJ962" s="140"/>
      <c r="MK962" s="140"/>
      <c r="ML962" s="140"/>
      <c r="MM962" s="140"/>
      <c r="MN962" s="140"/>
      <c r="MO962" s="140"/>
      <c r="MP962" s="140"/>
      <c r="MQ962" s="140"/>
      <c r="MR962" s="140"/>
      <c r="MS962" s="140"/>
      <c r="MT962" s="140"/>
      <c r="MU962" s="140"/>
      <c r="MV962" s="140"/>
      <c r="MW962" s="140"/>
      <c r="MX962" s="140"/>
      <c r="MY962" s="140"/>
      <c r="MZ962" s="140"/>
      <c r="NA962" s="140"/>
      <c r="NB962" s="140"/>
      <c r="NC962" s="140"/>
      <c r="ND962" s="140"/>
      <c r="NE962" s="140"/>
      <c r="NF962" s="140"/>
      <c r="NG962" s="140"/>
      <c r="NH962" s="140"/>
      <c r="NI962" s="140"/>
      <c r="NJ962" s="140"/>
      <c r="NK962" s="140"/>
      <c r="NL962" s="140"/>
      <c r="NM962" s="140"/>
      <c r="NN962" s="140"/>
      <c r="NO962" s="140"/>
      <c r="NP962" s="140"/>
      <c r="NQ962" s="140"/>
      <c r="NR962" s="140"/>
      <c r="NS962" s="140"/>
      <c r="NT962" s="140"/>
      <c r="NU962" s="140"/>
      <c r="NV962" s="140"/>
      <c r="NW962" s="140"/>
      <c r="NX962" s="140"/>
      <c r="NY962" s="140"/>
      <c r="NZ962" s="140"/>
      <c r="OA962" s="140"/>
      <c r="OB962" s="140"/>
      <c r="OC962" s="140"/>
      <c r="OD962" s="140"/>
      <c r="OE962" s="140"/>
      <c r="OF962" s="140"/>
      <c r="OG962" s="140"/>
      <c r="OH962" s="140"/>
      <c r="OI962" s="140"/>
      <c r="OJ962" s="140"/>
      <c r="OK962" s="140"/>
      <c r="OL962" s="140"/>
      <c r="OM962" s="140"/>
      <c r="ON962" s="140"/>
      <c r="OO962" s="140"/>
      <c r="OP962" s="140"/>
      <c r="OQ962" s="140"/>
      <c r="OR962" s="140"/>
      <c r="OS962" s="140"/>
      <c r="OT962" s="140"/>
      <c r="OU962" s="140"/>
      <c r="OV962" s="140"/>
      <c r="OW962" s="140"/>
      <c r="OX962" s="140"/>
      <c r="OY962" s="140"/>
      <c r="OZ962" s="140"/>
      <c r="PA962" s="140"/>
      <c r="PB962" s="140"/>
      <c r="PC962" s="140"/>
      <c r="PD962" s="140"/>
      <c r="PE962" s="140"/>
      <c r="PF962" s="140"/>
      <c r="PG962" s="140"/>
      <c r="PH962" s="140"/>
      <c r="PI962" s="140"/>
      <c r="PJ962" s="140"/>
      <c r="PK962" s="140"/>
      <c r="PL962" s="140"/>
      <c r="PM962" s="140"/>
      <c r="PN962" s="140"/>
      <c r="PO962" s="140"/>
      <c r="PP962" s="140"/>
      <c r="PQ962" s="140"/>
      <c r="PR962" s="140"/>
      <c r="PS962" s="140"/>
      <c r="PT962" s="140"/>
      <c r="PU962" s="140"/>
      <c r="PV962" s="140"/>
      <c r="PW962" s="140"/>
      <c r="PX962" s="140"/>
      <c r="PY962" s="140"/>
      <c r="PZ962" s="140"/>
      <c r="QA962" s="140"/>
      <c r="QB962" s="140"/>
      <c r="QC962" s="140"/>
      <c r="QD962" s="140"/>
      <c r="QE962" s="140"/>
      <c r="QF962" s="140"/>
      <c r="QG962" s="140"/>
      <c r="QH962" s="140"/>
      <c r="QI962" s="140"/>
      <c r="QJ962" s="140"/>
      <c r="QK962" s="140"/>
      <c r="QL962" s="140"/>
      <c r="QM962" s="140"/>
      <c r="QN962" s="140"/>
      <c r="QO962" s="140"/>
      <c r="QP962" s="140"/>
      <c r="QQ962" s="140"/>
      <c r="QR962" s="140"/>
      <c r="QS962" s="140"/>
      <c r="QT962" s="140"/>
      <c r="QU962" s="140"/>
      <c r="QV962" s="140"/>
      <c r="QW962" s="140"/>
      <c r="QX962" s="140"/>
      <c r="QY962" s="140"/>
      <c r="QZ962" s="140"/>
      <c r="RA962" s="140"/>
      <c r="RB962" s="140"/>
      <c r="RC962" s="140"/>
      <c r="RD962" s="140"/>
      <c r="RE962" s="140"/>
      <c r="RF962" s="140"/>
      <c r="RG962" s="140"/>
      <c r="RH962" s="140"/>
      <c r="RI962" s="140"/>
      <c r="RJ962" s="140"/>
      <c r="RK962" s="140"/>
      <c r="RL962" s="140"/>
      <c r="RM962" s="140"/>
      <c r="RN962" s="140"/>
      <c r="RO962" s="140"/>
      <c r="RP962" s="140"/>
      <c r="RQ962" s="140"/>
      <c r="RR962" s="140"/>
      <c r="RS962" s="140"/>
      <c r="RT962" s="140"/>
      <c r="RU962" s="140"/>
      <c r="RV962" s="140"/>
      <c r="RW962" s="140"/>
      <c r="RX962" s="140"/>
      <c r="RY962" s="140"/>
      <c r="RZ962" s="140"/>
      <c r="SA962" s="140"/>
      <c r="SB962" s="140"/>
      <c r="SC962" s="140"/>
      <c r="SD962" s="140"/>
      <c r="SE962" s="140"/>
      <c r="SF962" s="140"/>
      <c r="SG962" s="140"/>
      <c r="SH962" s="140"/>
      <c r="SI962" s="140"/>
      <c r="SJ962" s="140"/>
      <c r="SK962" s="140"/>
      <c r="SL962" s="140"/>
      <c r="SM962" s="140"/>
      <c r="SN962" s="140"/>
      <c r="SO962" s="140"/>
      <c r="SP962" s="140"/>
      <c r="SQ962" s="140"/>
      <c r="SR962" s="140"/>
      <c r="SS962" s="140"/>
      <c r="ST962" s="140"/>
      <c r="SU962" s="140"/>
      <c r="SV962" s="140"/>
      <c r="SW962" s="140"/>
      <c r="SX962" s="140"/>
      <c r="SY962" s="140"/>
      <c r="SZ962" s="140"/>
      <c r="TA962" s="140"/>
      <c r="TB962" s="140"/>
      <c r="TC962" s="140"/>
      <c r="TD962" s="140"/>
      <c r="TE962" s="140"/>
      <c r="TF962" s="140"/>
      <c r="TG962" s="140"/>
      <c r="TH962" s="140"/>
      <c r="TI962" s="140"/>
      <c r="TJ962" s="140"/>
      <c r="TK962" s="140"/>
      <c r="TL962" s="140"/>
      <c r="TM962" s="140"/>
      <c r="TN962" s="140"/>
      <c r="TO962" s="140"/>
      <c r="TP962" s="140"/>
      <c r="TQ962" s="140"/>
      <c r="TR962" s="140"/>
      <c r="TS962" s="140"/>
      <c r="TT962" s="140"/>
      <c r="TU962" s="140"/>
      <c r="TV962" s="140"/>
      <c r="TW962" s="140"/>
      <c r="TX962" s="140"/>
      <c r="TY962" s="140"/>
      <c r="TZ962" s="140"/>
      <c r="UA962" s="140"/>
      <c r="UB962" s="140"/>
      <c r="UC962" s="140"/>
      <c r="UD962" s="140"/>
      <c r="UE962" s="140"/>
      <c r="UF962" s="140"/>
      <c r="UG962" s="141"/>
    </row>
    <row r="963" spans="1:553" s="142" customFormat="1" ht="35.5" customHeight="1">
      <c r="A963" s="444"/>
      <c r="B963" s="384"/>
      <c r="C963" s="384" t="s">
        <v>69</v>
      </c>
      <c r="D963" s="390" t="s">
        <v>70</v>
      </c>
      <c r="E963" s="376" t="s">
        <v>536</v>
      </c>
      <c r="F963" s="384"/>
      <c r="G963" s="386" t="s">
        <v>935</v>
      </c>
      <c r="H963" s="672"/>
      <c r="I963" s="1073">
        <f>'Phương án chi tiết'!I901</f>
        <v>173.9</v>
      </c>
      <c r="J963" s="368">
        <v>62000</v>
      </c>
      <c r="K963" s="871">
        <v>2.5</v>
      </c>
      <c r="L963" s="480">
        <f t="shared" ref="L963:L967" si="143">PRODUCT(I963:K963)</f>
        <v>26954500</v>
      </c>
      <c r="M963" s="427"/>
      <c r="N963" s="427"/>
      <c r="O963" s="427"/>
      <c r="P963" s="427"/>
      <c r="Q963" s="727"/>
      <c r="R963" s="1542"/>
      <c r="S963" s="308"/>
      <c r="T963" s="308"/>
      <c r="U963" s="308"/>
      <c r="V963" s="308"/>
      <c r="W963" s="308"/>
      <c r="X963" s="308"/>
      <c r="Y963" s="308"/>
      <c r="Z963" s="604"/>
      <c r="AA963" s="308"/>
      <c r="AB963" s="308"/>
      <c r="AC963" s="687"/>
      <c r="AD963" s="687"/>
      <c r="AE963" s="687"/>
      <c r="AF963" s="687"/>
      <c r="AG963" s="687"/>
      <c r="AH963" s="687"/>
      <c r="AI963" s="687"/>
      <c r="AJ963" s="687"/>
      <c r="AK963" s="688"/>
      <c r="AL963" s="207"/>
      <c r="AM963" s="140"/>
      <c r="AN963" s="140"/>
      <c r="AO963" s="140"/>
      <c r="AP963" s="140"/>
      <c r="AQ963" s="140"/>
      <c r="AR963" s="140"/>
      <c r="AS963" s="140"/>
      <c r="AT963" s="140"/>
      <c r="AU963" s="140"/>
      <c r="AV963" s="140"/>
      <c r="AW963" s="140"/>
      <c r="AX963" s="140"/>
      <c r="AY963" s="140"/>
      <c r="AZ963" s="140"/>
      <c r="BA963" s="140"/>
      <c r="BB963" s="140"/>
      <c r="BC963" s="140"/>
      <c r="BD963" s="140"/>
      <c r="BE963" s="140"/>
      <c r="BF963" s="140"/>
      <c r="BG963" s="140"/>
      <c r="BH963" s="140"/>
      <c r="BI963" s="140"/>
      <c r="BJ963" s="140"/>
      <c r="BK963" s="140"/>
      <c r="BL963" s="140"/>
      <c r="BM963" s="140"/>
      <c r="BN963" s="140"/>
      <c r="BO963" s="140"/>
      <c r="BP963" s="140"/>
      <c r="BQ963" s="140"/>
      <c r="BR963" s="140"/>
      <c r="BS963" s="140"/>
      <c r="BT963" s="140"/>
      <c r="BU963" s="140"/>
      <c r="BV963" s="140"/>
      <c r="BW963" s="140"/>
      <c r="BX963" s="140"/>
      <c r="BY963" s="140"/>
      <c r="BZ963" s="140"/>
      <c r="CA963" s="140"/>
      <c r="CB963" s="140"/>
      <c r="CC963" s="140"/>
      <c r="CD963" s="140"/>
      <c r="CE963" s="140"/>
      <c r="CF963" s="140"/>
      <c r="CG963" s="140"/>
      <c r="CH963" s="140"/>
      <c r="CI963" s="140"/>
      <c r="CJ963" s="140"/>
      <c r="CK963" s="140"/>
      <c r="CL963" s="140"/>
      <c r="CM963" s="140"/>
      <c r="CN963" s="140"/>
      <c r="CO963" s="140"/>
      <c r="CP963" s="140"/>
      <c r="CQ963" s="140"/>
      <c r="CR963" s="140"/>
      <c r="CS963" s="140"/>
      <c r="CT963" s="140"/>
      <c r="CU963" s="140"/>
      <c r="CV963" s="140"/>
      <c r="CW963" s="140"/>
      <c r="CX963" s="140"/>
      <c r="CY963" s="140"/>
      <c r="CZ963" s="140"/>
      <c r="DA963" s="140"/>
      <c r="DB963" s="140"/>
      <c r="DC963" s="140"/>
      <c r="DD963" s="140"/>
      <c r="DE963" s="140"/>
      <c r="DF963" s="140"/>
      <c r="DG963" s="140"/>
      <c r="DH963" s="140"/>
      <c r="DI963" s="140"/>
      <c r="DJ963" s="140"/>
      <c r="DK963" s="140"/>
      <c r="DL963" s="140"/>
      <c r="DM963" s="140"/>
      <c r="DN963" s="140"/>
      <c r="DO963" s="140"/>
      <c r="DP963" s="140"/>
      <c r="DQ963" s="140"/>
      <c r="DR963" s="140"/>
      <c r="DS963" s="140"/>
      <c r="DT963" s="140"/>
      <c r="DU963" s="140"/>
      <c r="DV963" s="140"/>
      <c r="DW963" s="140"/>
      <c r="DX963" s="140"/>
      <c r="DY963" s="140"/>
      <c r="DZ963" s="140"/>
      <c r="EA963" s="140"/>
      <c r="EB963" s="140"/>
      <c r="EC963" s="140"/>
      <c r="ED963" s="140"/>
      <c r="EE963" s="140"/>
      <c r="EF963" s="140"/>
      <c r="EG963" s="140"/>
      <c r="EH963" s="140"/>
      <c r="EI963" s="140"/>
      <c r="EJ963" s="140"/>
      <c r="EK963" s="140"/>
      <c r="EL963" s="140"/>
      <c r="EM963" s="140"/>
      <c r="EN963" s="140"/>
      <c r="EO963" s="140"/>
      <c r="EP963" s="140"/>
      <c r="EQ963" s="140"/>
      <c r="ER963" s="140"/>
      <c r="ES963" s="140"/>
      <c r="ET963" s="140"/>
      <c r="EU963" s="140"/>
      <c r="EV963" s="140"/>
      <c r="EW963" s="140"/>
      <c r="EX963" s="140"/>
      <c r="EY963" s="140"/>
      <c r="EZ963" s="140"/>
      <c r="FA963" s="140"/>
      <c r="FB963" s="140"/>
      <c r="FC963" s="140"/>
      <c r="FD963" s="140"/>
      <c r="FE963" s="140"/>
      <c r="FF963" s="140"/>
      <c r="FG963" s="140"/>
      <c r="FH963" s="140"/>
      <c r="FI963" s="140"/>
      <c r="FJ963" s="140"/>
      <c r="FK963" s="140"/>
      <c r="FL963" s="140"/>
      <c r="FM963" s="140"/>
      <c r="FN963" s="140"/>
      <c r="FO963" s="140"/>
      <c r="FP963" s="140"/>
      <c r="FQ963" s="140"/>
      <c r="FR963" s="140"/>
      <c r="FS963" s="140"/>
      <c r="FT963" s="140"/>
      <c r="FU963" s="140"/>
      <c r="FV963" s="140"/>
      <c r="FW963" s="140"/>
      <c r="FX963" s="140"/>
      <c r="FY963" s="140"/>
      <c r="FZ963" s="140"/>
      <c r="GA963" s="140"/>
      <c r="GB963" s="140"/>
      <c r="GC963" s="140"/>
      <c r="GD963" s="140"/>
      <c r="GE963" s="140"/>
      <c r="GF963" s="140"/>
      <c r="GG963" s="140"/>
      <c r="GH963" s="140"/>
      <c r="GI963" s="140"/>
      <c r="GJ963" s="140"/>
      <c r="GK963" s="140"/>
      <c r="GL963" s="140"/>
      <c r="GM963" s="140"/>
      <c r="GN963" s="140"/>
      <c r="GO963" s="140"/>
      <c r="GP963" s="140"/>
      <c r="GQ963" s="140"/>
      <c r="GR963" s="140"/>
      <c r="GS963" s="140"/>
      <c r="GT963" s="140"/>
      <c r="GU963" s="140"/>
      <c r="GV963" s="140"/>
      <c r="GW963" s="140"/>
      <c r="GX963" s="140"/>
      <c r="GY963" s="140"/>
      <c r="GZ963" s="140"/>
      <c r="HA963" s="140"/>
      <c r="HB963" s="140"/>
      <c r="HC963" s="140"/>
      <c r="HD963" s="140"/>
      <c r="HE963" s="140"/>
      <c r="HF963" s="140"/>
      <c r="HG963" s="140"/>
      <c r="HH963" s="140"/>
      <c r="HI963" s="140"/>
      <c r="HJ963" s="140"/>
      <c r="HK963" s="140"/>
      <c r="HL963" s="140"/>
      <c r="HM963" s="140"/>
      <c r="HN963" s="140"/>
      <c r="HO963" s="140"/>
      <c r="HP963" s="140"/>
      <c r="HQ963" s="140"/>
      <c r="HR963" s="140"/>
      <c r="HS963" s="140"/>
      <c r="HT963" s="140"/>
      <c r="HU963" s="140"/>
      <c r="HV963" s="140"/>
      <c r="HW963" s="140"/>
      <c r="HX963" s="140"/>
      <c r="HY963" s="140"/>
      <c r="HZ963" s="140"/>
      <c r="IA963" s="140"/>
      <c r="IB963" s="140"/>
      <c r="IC963" s="140"/>
      <c r="ID963" s="140"/>
      <c r="IE963" s="140"/>
      <c r="IF963" s="140"/>
      <c r="IG963" s="140"/>
      <c r="IH963" s="140"/>
      <c r="II963" s="140"/>
      <c r="IJ963" s="140"/>
      <c r="IK963" s="140"/>
      <c r="IL963" s="140"/>
      <c r="IM963" s="140"/>
      <c r="IN963" s="140"/>
      <c r="IO963" s="140"/>
      <c r="IP963" s="140"/>
      <c r="IQ963" s="140"/>
      <c r="IR963" s="140"/>
      <c r="IS963" s="140"/>
      <c r="IT963" s="140"/>
      <c r="IU963" s="140"/>
      <c r="IV963" s="140"/>
      <c r="IW963" s="140"/>
      <c r="IX963" s="140"/>
      <c r="IY963" s="140"/>
      <c r="IZ963" s="140"/>
      <c r="JA963" s="140"/>
      <c r="JB963" s="140"/>
      <c r="JC963" s="140"/>
      <c r="JD963" s="140"/>
      <c r="JE963" s="140"/>
      <c r="JF963" s="140"/>
      <c r="JG963" s="140"/>
      <c r="JH963" s="140"/>
      <c r="JI963" s="140"/>
      <c r="JJ963" s="140"/>
      <c r="JK963" s="140"/>
      <c r="JL963" s="140"/>
      <c r="JM963" s="140"/>
      <c r="JN963" s="140"/>
      <c r="JO963" s="140"/>
      <c r="JP963" s="140"/>
      <c r="JQ963" s="140"/>
      <c r="JR963" s="140"/>
      <c r="JS963" s="140"/>
      <c r="JT963" s="140"/>
      <c r="JU963" s="140"/>
      <c r="JV963" s="140"/>
      <c r="JW963" s="140"/>
      <c r="JX963" s="140"/>
      <c r="JY963" s="140"/>
      <c r="JZ963" s="140"/>
      <c r="KA963" s="140"/>
      <c r="KB963" s="140"/>
      <c r="KC963" s="140"/>
      <c r="KD963" s="140"/>
      <c r="KE963" s="140"/>
      <c r="KF963" s="140"/>
      <c r="KG963" s="140"/>
      <c r="KH963" s="140"/>
      <c r="KI963" s="140"/>
      <c r="KJ963" s="140"/>
      <c r="KK963" s="140"/>
      <c r="KL963" s="140"/>
      <c r="KM963" s="140"/>
      <c r="KN963" s="140"/>
      <c r="KO963" s="140"/>
      <c r="KP963" s="140"/>
      <c r="KQ963" s="140"/>
      <c r="KR963" s="140"/>
      <c r="KS963" s="140"/>
      <c r="KT963" s="140"/>
      <c r="KU963" s="140"/>
      <c r="KV963" s="140"/>
      <c r="KW963" s="140"/>
      <c r="KX963" s="140"/>
      <c r="KY963" s="140"/>
      <c r="KZ963" s="140"/>
      <c r="LA963" s="140"/>
      <c r="LB963" s="140"/>
      <c r="LC963" s="140"/>
      <c r="LD963" s="140"/>
      <c r="LE963" s="140"/>
      <c r="LF963" s="140"/>
      <c r="LG963" s="140"/>
      <c r="LH963" s="140"/>
      <c r="LI963" s="140"/>
      <c r="LJ963" s="140"/>
      <c r="LK963" s="140"/>
      <c r="LL963" s="140"/>
      <c r="LM963" s="140"/>
      <c r="LN963" s="140"/>
      <c r="LO963" s="140"/>
      <c r="LP963" s="140"/>
      <c r="LQ963" s="140"/>
      <c r="LR963" s="140"/>
      <c r="LS963" s="140"/>
      <c r="LT963" s="140"/>
      <c r="LU963" s="140"/>
      <c r="LV963" s="140"/>
      <c r="LW963" s="140"/>
      <c r="LX963" s="140"/>
      <c r="LY963" s="140"/>
      <c r="LZ963" s="140"/>
      <c r="MA963" s="140"/>
      <c r="MB963" s="140"/>
      <c r="MC963" s="140"/>
      <c r="MD963" s="140"/>
      <c r="ME963" s="140"/>
      <c r="MF963" s="140"/>
      <c r="MG963" s="140"/>
      <c r="MH963" s="140"/>
      <c r="MI963" s="140"/>
      <c r="MJ963" s="140"/>
      <c r="MK963" s="140"/>
      <c r="ML963" s="140"/>
      <c r="MM963" s="140"/>
      <c r="MN963" s="140"/>
      <c r="MO963" s="140"/>
      <c r="MP963" s="140"/>
      <c r="MQ963" s="140"/>
      <c r="MR963" s="140"/>
      <c r="MS963" s="140"/>
      <c r="MT963" s="140"/>
      <c r="MU963" s="140"/>
      <c r="MV963" s="140"/>
      <c r="MW963" s="140"/>
      <c r="MX963" s="140"/>
      <c r="MY963" s="140"/>
      <c r="MZ963" s="140"/>
      <c r="NA963" s="140"/>
      <c r="NB963" s="140"/>
      <c r="NC963" s="140"/>
      <c r="ND963" s="140"/>
      <c r="NE963" s="140"/>
      <c r="NF963" s="140"/>
      <c r="NG963" s="140"/>
      <c r="NH963" s="140"/>
      <c r="NI963" s="140"/>
      <c r="NJ963" s="140"/>
      <c r="NK963" s="140"/>
      <c r="NL963" s="140"/>
      <c r="NM963" s="140"/>
      <c r="NN963" s="140"/>
      <c r="NO963" s="140"/>
      <c r="NP963" s="140"/>
      <c r="NQ963" s="140"/>
      <c r="NR963" s="140"/>
      <c r="NS963" s="140"/>
      <c r="NT963" s="140"/>
      <c r="NU963" s="140"/>
      <c r="NV963" s="140"/>
      <c r="NW963" s="140"/>
      <c r="NX963" s="140"/>
      <c r="NY963" s="140"/>
      <c r="NZ963" s="140"/>
      <c r="OA963" s="140"/>
      <c r="OB963" s="140"/>
      <c r="OC963" s="140"/>
      <c r="OD963" s="140"/>
      <c r="OE963" s="140"/>
      <c r="OF963" s="140"/>
      <c r="OG963" s="140"/>
      <c r="OH963" s="140"/>
      <c r="OI963" s="140"/>
      <c r="OJ963" s="140"/>
      <c r="OK963" s="140"/>
      <c r="OL963" s="140"/>
      <c r="OM963" s="140"/>
      <c r="ON963" s="140"/>
      <c r="OO963" s="140"/>
      <c r="OP963" s="140"/>
      <c r="OQ963" s="140"/>
      <c r="OR963" s="140"/>
      <c r="OS963" s="140"/>
      <c r="OT963" s="140"/>
      <c r="OU963" s="140"/>
      <c r="OV963" s="140"/>
      <c r="OW963" s="140"/>
      <c r="OX963" s="140"/>
      <c r="OY963" s="140"/>
      <c r="OZ963" s="140"/>
      <c r="PA963" s="140"/>
      <c r="PB963" s="140"/>
      <c r="PC963" s="140"/>
      <c r="PD963" s="140"/>
      <c r="PE963" s="140"/>
      <c r="PF963" s="140"/>
      <c r="PG963" s="140"/>
      <c r="PH963" s="140"/>
      <c r="PI963" s="140"/>
      <c r="PJ963" s="140"/>
      <c r="PK963" s="140"/>
      <c r="PL963" s="140"/>
      <c r="PM963" s="140"/>
      <c r="PN963" s="140"/>
      <c r="PO963" s="140"/>
      <c r="PP963" s="140"/>
      <c r="PQ963" s="140"/>
      <c r="PR963" s="140"/>
      <c r="PS963" s="140"/>
      <c r="PT963" s="140"/>
      <c r="PU963" s="140"/>
      <c r="PV963" s="140"/>
      <c r="PW963" s="140"/>
      <c r="PX963" s="140"/>
      <c r="PY963" s="140"/>
      <c r="PZ963" s="140"/>
      <c r="QA963" s="140"/>
      <c r="QB963" s="140"/>
      <c r="QC963" s="140"/>
      <c r="QD963" s="140"/>
      <c r="QE963" s="140"/>
      <c r="QF963" s="140"/>
      <c r="QG963" s="140"/>
      <c r="QH963" s="140"/>
      <c r="QI963" s="140"/>
      <c r="QJ963" s="140"/>
      <c r="QK963" s="140"/>
      <c r="QL963" s="140"/>
      <c r="QM963" s="140"/>
      <c r="QN963" s="140"/>
      <c r="QO963" s="140"/>
      <c r="QP963" s="140"/>
      <c r="QQ963" s="140"/>
      <c r="QR963" s="140"/>
      <c r="QS963" s="140"/>
      <c r="QT963" s="140"/>
      <c r="QU963" s="140"/>
      <c r="QV963" s="140"/>
      <c r="QW963" s="140"/>
      <c r="QX963" s="140"/>
      <c r="QY963" s="140"/>
      <c r="QZ963" s="140"/>
      <c r="RA963" s="140"/>
      <c r="RB963" s="140"/>
      <c r="RC963" s="140"/>
      <c r="RD963" s="140"/>
      <c r="RE963" s="140"/>
      <c r="RF963" s="140"/>
      <c r="RG963" s="140"/>
      <c r="RH963" s="140"/>
      <c r="RI963" s="140"/>
      <c r="RJ963" s="140"/>
      <c r="RK963" s="140"/>
      <c r="RL963" s="140"/>
      <c r="RM963" s="140"/>
      <c r="RN963" s="140"/>
      <c r="RO963" s="140"/>
      <c r="RP963" s="140"/>
      <c r="RQ963" s="140"/>
      <c r="RR963" s="140"/>
      <c r="RS963" s="140"/>
      <c r="RT963" s="140"/>
      <c r="RU963" s="140"/>
      <c r="RV963" s="140"/>
      <c r="RW963" s="140"/>
      <c r="RX963" s="140"/>
      <c r="RY963" s="140"/>
      <c r="RZ963" s="140"/>
      <c r="SA963" s="140"/>
      <c r="SB963" s="140"/>
      <c r="SC963" s="140"/>
      <c r="SD963" s="140"/>
      <c r="SE963" s="140"/>
      <c r="SF963" s="140"/>
      <c r="SG963" s="140"/>
      <c r="SH963" s="140"/>
      <c r="SI963" s="140"/>
      <c r="SJ963" s="140"/>
      <c r="SK963" s="140"/>
      <c r="SL963" s="140"/>
      <c r="SM963" s="140"/>
      <c r="SN963" s="140"/>
      <c r="SO963" s="140"/>
      <c r="SP963" s="140"/>
      <c r="SQ963" s="140"/>
      <c r="SR963" s="140"/>
      <c r="SS963" s="140"/>
      <c r="ST963" s="140"/>
      <c r="SU963" s="140"/>
      <c r="SV963" s="140"/>
      <c r="SW963" s="140"/>
      <c r="SX963" s="140"/>
      <c r="SY963" s="140"/>
      <c r="SZ963" s="140"/>
      <c r="TA963" s="140"/>
      <c r="TB963" s="140"/>
      <c r="TC963" s="140"/>
      <c r="TD963" s="140"/>
      <c r="TE963" s="140"/>
      <c r="TF963" s="140"/>
      <c r="TG963" s="140"/>
      <c r="TH963" s="140"/>
      <c r="TI963" s="140"/>
      <c r="TJ963" s="140"/>
      <c r="TK963" s="140"/>
      <c r="TL963" s="140"/>
      <c r="TM963" s="140"/>
      <c r="TN963" s="140"/>
      <c r="TO963" s="140"/>
      <c r="TP963" s="140"/>
      <c r="TQ963" s="140"/>
      <c r="TR963" s="140"/>
      <c r="TS963" s="140"/>
      <c r="TT963" s="140"/>
      <c r="TU963" s="140"/>
      <c r="TV963" s="140"/>
      <c r="TW963" s="140"/>
      <c r="TX963" s="140"/>
      <c r="TY963" s="140"/>
      <c r="TZ963" s="140"/>
      <c r="UA963" s="140"/>
      <c r="UB963" s="140"/>
      <c r="UC963" s="140"/>
      <c r="UD963" s="140"/>
      <c r="UE963" s="140"/>
      <c r="UF963" s="140"/>
      <c r="UG963" s="141"/>
    </row>
    <row r="964" spans="1:553" s="142" customFormat="1" ht="35.5" customHeight="1">
      <c r="A964" s="444"/>
      <c r="B964" s="384"/>
      <c r="C964" s="384" t="s">
        <v>69</v>
      </c>
      <c r="D964" s="390" t="s">
        <v>70</v>
      </c>
      <c r="E964" s="376" t="s">
        <v>538</v>
      </c>
      <c r="F964" s="384"/>
      <c r="G964" s="386" t="s">
        <v>935</v>
      </c>
      <c r="H964" s="672"/>
      <c r="I964" s="1073">
        <f>'Phương án chi tiết'!I902</f>
        <v>192.5</v>
      </c>
      <c r="J964" s="368">
        <v>62000</v>
      </c>
      <c r="K964" s="871">
        <v>2.5</v>
      </c>
      <c r="L964" s="480">
        <f t="shared" si="143"/>
        <v>29837500</v>
      </c>
      <c r="M964" s="427"/>
      <c r="N964" s="427"/>
      <c r="O964" s="427"/>
      <c r="P964" s="427"/>
      <c r="Q964" s="727"/>
      <c r="R964" s="1542"/>
      <c r="S964" s="308"/>
      <c r="T964" s="308"/>
      <c r="U964" s="308"/>
      <c r="V964" s="308"/>
      <c r="W964" s="308"/>
      <c r="X964" s="308"/>
      <c r="Y964" s="308"/>
      <c r="Z964" s="604"/>
      <c r="AA964" s="308"/>
      <c r="AB964" s="308"/>
      <c r="AC964" s="687"/>
      <c r="AD964" s="687"/>
      <c r="AE964" s="687"/>
      <c r="AF964" s="687"/>
      <c r="AG964" s="687"/>
      <c r="AH964" s="687"/>
      <c r="AI964" s="687"/>
      <c r="AJ964" s="687"/>
      <c r="AK964" s="688"/>
      <c r="AL964" s="207"/>
      <c r="AM964" s="140"/>
      <c r="AN964" s="140"/>
      <c r="AO964" s="140"/>
      <c r="AP964" s="140"/>
      <c r="AQ964" s="140"/>
      <c r="AR964" s="140"/>
      <c r="AS964" s="140"/>
      <c r="AT964" s="140"/>
      <c r="AU964" s="140"/>
      <c r="AV964" s="140"/>
      <c r="AW964" s="140"/>
      <c r="AX964" s="140"/>
      <c r="AY964" s="140"/>
      <c r="AZ964" s="140"/>
      <c r="BA964" s="140"/>
      <c r="BB964" s="140"/>
      <c r="BC964" s="140"/>
      <c r="BD964" s="140"/>
      <c r="BE964" s="140"/>
      <c r="BF964" s="140"/>
      <c r="BG964" s="140"/>
      <c r="BH964" s="140"/>
      <c r="BI964" s="140"/>
      <c r="BJ964" s="140"/>
      <c r="BK964" s="140"/>
      <c r="BL964" s="140"/>
      <c r="BM964" s="140"/>
      <c r="BN964" s="140"/>
      <c r="BO964" s="140"/>
      <c r="BP964" s="140"/>
      <c r="BQ964" s="140"/>
      <c r="BR964" s="140"/>
      <c r="BS964" s="140"/>
      <c r="BT964" s="140"/>
      <c r="BU964" s="140"/>
      <c r="BV964" s="140"/>
      <c r="BW964" s="140"/>
      <c r="BX964" s="140"/>
      <c r="BY964" s="140"/>
      <c r="BZ964" s="140"/>
      <c r="CA964" s="140"/>
      <c r="CB964" s="140"/>
      <c r="CC964" s="140"/>
      <c r="CD964" s="140"/>
      <c r="CE964" s="140"/>
      <c r="CF964" s="140"/>
      <c r="CG964" s="140"/>
      <c r="CH964" s="140"/>
      <c r="CI964" s="140"/>
      <c r="CJ964" s="140"/>
      <c r="CK964" s="140"/>
      <c r="CL964" s="140"/>
      <c r="CM964" s="140"/>
      <c r="CN964" s="140"/>
      <c r="CO964" s="140"/>
      <c r="CP964" s="140"/>
      <c r="CQ964" s="140"/>
      <c r="CR964" s="140"/>
      <c r="CS964" s="140"/>
      <c r="CT964" s="140"/>
      <c r="CU964" s="140"/>
      <c r="CV964" s="140"/>
      <c r="CW964" s="140"/>
      <c r="CX964" s="140"/>
      <c r="CY964" s="140"/>
      <c r="CZ964" s="140"/>
      <c r="DA964" s="140"/>
      <c r="DB964" s="140"/>
      <c r="DC964" s="140"/>
      <c r="DD964" s="140"/>
      <c r="DE964" s="140"/>
      <c r="DF964" s="140"/>
      <c r="DG964" s="140"/>
      <c r="DH964" s="140"/>
      <c r="DI964" s="140"/>
      <c r="DJ964" s="140"/>
      <c r="DK964" s="140"/>
      <c r="DL964" s="140"/>
      <c r="DM964" s="140"/>
      <c r="DN964" s="140"/>
      <c r="DO964" s="140"/>
      <c r="DP964" s="140"/>
      <c r="DQ964" s="140"/>
      <c r="DR964" s="140"/>
      <c r="DS964" s="140"/>
      <c r="DT964" s="140"/>
      <c r="DU964" s="140"/>
      <c r="DV964" s="140"/>
      <c r="DW964" s="140"/>
      <c r="DX964" s="140"/>
      <c r="DY964" s="140"/>
      <c r="DZ964" s="140"/>
      <c r="EA964" s="140"/>
      <c r="EB964" s="140"/>
      <c r="EC964" s="140"/>
      <c r="ED964" s="140"/>
      <c r="EE964" s="140"/>
      <c r="EF964" s="140"/>
      <c r="EG964" s="140"/>
      <c r="EH964" s="140"/>
      <c r="EI964" s="140"/>
      <c r="EJ964" s="140"/>
      <c r="EK964" s="140"/>
      <c r="EL964" s="140"/>
      <c r="EM964" s="140"/>
      <c r="EN964" s="140"/>
      <c r="EO964" s="140"/>
      <c r="EP964" s="140"/>
      <c r="EQ964" s="140"/>
      <c r="ER964" s="140"/>
      <c r="ES964" s="140"/>
      <c r="ET964" s="140"/>
      <c r="EU964" s="140"/>
      <c r="EV964" s="140"/>
      <c r="EW964" s="140"/>
      <c r="EX964" s="140"/>
      <c r="EY964" s="140"/>
      <c r="EZ964" s="140"/>
      <c r="FA964" s="140"/>
      <c r="FB964" s="140"/>
      <c r="FC964" s="140"/>
      <c r="FD964" s="140"/>
      <c r="FE964" s="140"/>
      <c r="FF964" s="140"/>
      <c r="FG964" s="140"/>
      <c r="FH964" s="140"/>
      <c r="FI964" s="140"/>
      <c r="FJ964" s="140"/>
      <c r="FK964" s="140"/>
      <c r="FL964" s="140"/>
      <c r="FM964" s="140"/>
      <c r="FN964" s="140"/>
      <c r="FO964" s="140"/>
      <c r="FP964" s="140"/>
      <c r="FQ964" s="140"/>
      <c r="FR964" s="140"/>
      <c r="FS964" s="140"/>
      <c r="FT964" s="140"/>
      <c r="FU964" s="140"/>
      <c r="FV964" s="140"/>
      <c r="FW964" s="140"/>
      <c r="FX964" s="140"/>
      <c r="FY964" s="140"/>
      <c r="FZ964" s="140"/>
      <c r="GA964" s="140"/>
      <c r="GB964" s="140"/>
      <c r="GC964" s="140"/>
      <c r="GD964" s="140"/>
      <c r="GE964" s="140"/>
      <c r="GF964" s="140"/>
      <c r="GG964" s="140"/>
      <c r="GH964" s="140"/>
      <c r="GI964" s="140"/>
      <c r="GJ964" s="140"/>
      <c r="GK964" s="140"/>
      <c r="GL964" s="140"/>
      <c r="GM964" s="140"/>
      <c r="GN964" s="140"/>
      <c r="GO964" s="140"/>
      <c r="GP964" s="140"/>
      <c r="GQ964" s="140"/>
      <c r="GR964" s="140"/>
      <c r="GS964" s="140"/>
      <c r="GT964" s="140"/>
      <c r="GU964" s="140"/>
      <c r="GV964" s="140"/>
      <c r="GW964" s="140"/>
      <c r="GX964" s="140"/>
      <c r="GY964" s="140"/>
      <c r="GZ964" s="140"/>
      <c r="HA964" s="140"/>
      <c r="HB964" s="140"/>
      <c r="HC964" s="140"/>
      <c r="HD964" s="140"/>
      <c r="HE964" s="140"/>
      <c r="HF964" s="140"/>
      <c r="HG964" s="140"/>
      <c r="HH964" s="140"/>
      <c r="HI964" s="140"/>
      <c r="HJ964" s="140"/>
      <c r="HK964" s="140"/>
      <c r="HL964" s="140"/>
      <c r="HM964" s="140"/>
      <c r="HN964" s="140"/>
      <c r="HO964" s="140"/>
      <c r="HP964" s="140"/>
      <c r="HQ964" s="140"/>
      <c r="HR964" s="140"/>
      <c r="HS964" s="140"/>
      <c r="HT964" s="140"/>
      <c r="HU964" s="140"/>
      <c r="HV964" s="140"/>
      <c r="HW964" s="140"/>
      <c r="HX964" s="140"/>
      <c r="HY964" s="140"/>
      <c r="HZ964" s="140"/>
      <c r="IA964" s="140"/>
      <c r="IB964" s="140"/>
      <c r="IC964" s="140"/>
      <c r="ID964" s="140"/>
      <c r="IE964" s="140"/>
      <c r="IF964" s="140"/>
      <c r="IG964" s="140"/>
      <c r="IH964" s="140"/>
      <c r="II964" s="140"/>
      <c r="IJ964" s="140"/>
      <c r="IK964" s="140"/>
      <c r="IL964" s="140"/>
      <c r="IM964" s="140"/>
      <c r="IN964" s="140"/>
      <c r="IO964" s="140"/>
      <c r="IP964" s="140"/>
      <c r="IQ964" s="140"/>
      <c r="IR964" s="140"/>
      <c r="IS964" s="140"/>
      <c r="IT964" s="140"/>
      <c r="IU964" s="140"/>
      <c r="IV964" s="140"/>
      <c r="IW964" s="140"/>
      <c r="IX964" s="140"/>
      <c r="IY964" s="140"/>
      <c r="IZ964" s="140"/>
      <c r="JA964" s="140"/>
      <c r="JB964" s="140"/>
      <c r="JC964" s="140"/>
      <c r="JD964" s="140"/>
      <c r="JE964" s="140"/>
      <c r="JF964" s="140"/>
      <c r="JG964" s="140"/>
      <c r="JH964" s="140"/>
      <c r="JI964" s="140"/>
      <c r="JJ964" s="140"/>
      <c r="JK964" s="140"/>
      <c r="JL964" s="140"/>
      <c r="JM964" s="140"/>
      <c r="JN964" s="140"/>
      <c r="JO964" s="140"/>
      <c r="JP964" s="140"/>
      <c r="JQ964" s="140"/>
      <c r="JR964" s="140"/>
      <c r="JS964" s="140"/>
      <c r="JT964" s="140"/>
      <c r="JU964" s="140"/>
      <c r="JV964" s="140"/>
      <c r="JW964" s="140"/>
      <c r="JX964" s="140"/>
      <c r="JY964" s="140"/>
      <c r="JZ964" s="140"/>
      <c r="KA964" s="140"/>
      <c r="KB964" s="140"/>
      <c r="KC964" s="140"/>
      <c r="KD964" s="140"/>
      <c r="KE964" s="140"/>
      <c r="KF964" s="140"/>
      <c r="KG964" s="140"/>
      <c r="KH964" s="140"/>
      <c r="KI964" s="140"/>
      <c r="KJ964" s="140"/>
      <c r="KK964" s="140"/>
      <c r="KL964" s="140"/>
      <c r="KM964" s="140"/>
      <c r="KN964" s="140"/>
      <c r="KO964" s="140"/>
      <c r="KP964" s="140"/>
      <c r="KQ964" s="140"/>
      <c r="KR964" s="140"/>
      <c r="KS964" s="140"/>
      <c r="KT964" s="140"/>
      <c r="KU964" s="140"/>
      <c r="KV964" s="140"/>
      <c r="KW964" s="140"/>
      <c r="KX964" s="140"/>
      <c r="KY964" s="140"/>
      <c r="KZ964" s="140"/>
      <c r="LA964" s="140"/>
      <c r="LB964" s="140"/>
      <c r="LC964" s="140"/>
      <c r="LD964" s="140"/>
      <c r="LE964" s="140"/>
      <c r="LF964" s="140"/>
      <c r="LG964" s="140"/>
      <c r="LH964" s="140"/>
      <c r="LI964" s="140"/>
      <c r="LJ964" s="140"/>
      <c r="LK964" s="140"/>
      <c r="LL964" s="140"/>
      <c r="LM964" s="140"/>
      <c r="LN964" s="140"/>
      <c r="LO964" s="140"/>
      <c r="LP964" s="140"/>
      <c r="LQ964" s="140"/>
      <c r="LR964" s="140"/>
      <c r="LS964" s="140"/>
      <c r="LT964" s="140"/>
      <c r="LU964" s="140"/>
      <c r="LV964" s="140"/>
      <c r="LW964" s="140"/>
      <c r="LX964" s="140"/>
      <c r="LY964" s="140"/>
      <c r="LZ964" s="140"/>
      <c r="MA964" s="140"/>
      <c r="MB964" s="140"/>
      <c r="MC964" s="140"/>
      <c r="MD964" s="140"/>
      <c r="ME964" s="140"/>
      <c r="MF964" s="140"/>
      <c r="MG964" s="140"/>
      <c r="MH964" s="140"/>
      <c r="MI964" s="140"/>
      <c r="MJ964" s="140"/>
      <c r="MK964" s="140"/>
      <c r="ML964" s="140"/>
      <c r="MM964" s="140"/>
      <c r="MN964" s="140"/>
      <c r="MO964" s="140"/>
      <c r="MP964" s="140"/>
      <c r="MQ964" s="140"/>
      <c r="MR964" s="140"/>
      <c r="MS964" s="140"/>
      <c r="MT964" s="140"/>
      <c r="MU964" s="140"/>
      <c r="MV964" s="140"/>
      <c r="MW964" s="140"/>
      <c r="MX964" s="140"/>
      <c r="MY964" s="140"/>
      <c r="MZ964" s="140"/>
      <c r="NA964" s="140"/>
      <c r="NB964" s="140"/>
      <c r="NC964" s="140"/>
      <c r="ND964" s="140"/>
      <c r="NE964" s="140"/>
      <c r="NF964" s="140"/>
      <c r="NG964" s="140"/>
      <c r="NH964" s="140"/>
      <c r="NI964" s="140"/>
      <c r="NJ964" s="140"/>
      <c r="NK964" s="140"/>
      <c r="NL964" s="140"/>
      <c r="NM964" s="140"/>
      <c r="NN964" s="140"/>
      <c r="NO964" s="140"/>
      <c r="NP964" s="140"/>
      <c r="NQ964" s="140"/>
      <c r="NR964" s="140"/>
      <c r="NS964" s="140"/>
      <c r="NT964" s="140"/>
      <c r="NU964" s="140"/>
      <c r="NV964" s="140"/>
      <c r="NW964" s="140"/>
      <c r="NX964" s="140"/>
      <c r="NY964" s="140"/>
      <c r="NZ964" s="140"/>
      <c r="OA964" s="140"/>
      <c r="OB964" s="140"/>
      <c r="OC964" s="140"/>
      <c r="OD964" s="140"/>
      <c r="OE964" s="140"/>
      <c r="OF964" s="140"/>
      <c r="OG964" s="140"/>
      <c r="OH964" s="140"/>
      <c r="OI964" s="140"/>
      <c r="OJ964" s="140"/>
      <c r="OK964" s="140"/>
      <c r="OL964" s="140"/>
      <c r="OM964" s="140"/>
      <c r="ON964" s="140"/>
      <c r="OO964" s="140"/>
      <c r="OP964" s="140"/>
      <c r="OQ964" s="140"/>
      <c r="OR964" s="140"/>
      <c r="OS964" s="140"/>
      <c r="OT964" s="140"/>
      <c r="OU964" s="140"/>
      <c r="OV964" s="140"/>
      <c r="OW964" s="140"/>
      <c r="OX964" s="140"/>
      <c r="OY964" s="140"/>
      <c r="OZ964" s="140"/>
      <c r="PA964" s="140"/>
      <c r="PB964" s="140"/>
      <c r="PC964" s="140"/>
      <c r="PD964" s="140"/>
      <c r="PE964" s="140"/>
      <c r="PF964" s="140"/>
      <c r="PG964" s="140"/>
      <c r="PH964" s="140"/>
      <c r="PI964" s="140"/>
      <c r="PJ964" s="140"/>
      <c r="PK964" s="140"/>
      <c r="PL964" s="140"/>
      <c r="PM964" s="140"/>
      <c r="PN964" s="140"/>
      <c r="PO964" s="140"/>
      <c r="PP964" s="140"/>
      <c r="PQ964" s="140"/>
      <c r="PR964" s="140"/>
      <c r="PS964" s="140"/>
      <c r="PT964" s="140"/>
      <c r="PU964" s="140"/>
      <c r="PV964" s="140"/>
      <c r="PW964" s="140"/>
      <c r="PX964" s="140"/>
      <c r="PY964" s="140"/>
      <c r="PZ964" s="140"/>
      <c r="QA964" s="140"/>
      <c r="QB964" s="140"/>
      <c r="QC964" s="140"/>
      <c r="QD964" s="140"/>
      <c r="QE964" s="140"/>
      <c r="QF964" s="140"/>
      <c r="QG964" s="140"/>
      <c r="QH964" s="140"/>
      <c r="QI964" s="140"/>
      <c r="QJ964" s="140"/>
      <c r="QK964" s="140"/>
      <c r="QL964" s="140"/>
      <c r="QM964" s="140"/>
      <c r="QN964" s="140"/>
      <c r="QO964" s="140"/>
      <c r="QP964" s="140"/>
      <c r="QQ964" s="140"/>
      <c r="QR964" s="140"/>
      <c r="QS964" s="140"/>
      <c r="QT964" s="140"/>
      <c r="QU964" s="140"/>
      <c r="QV964" s="140"/>
      <c r="QW964" s="140"/>
      <c r="QX964" s="140"/>
      <c r="QY964" s="140"/>
      <c r="QZ964" s="140"/>
      <c r="RA964" s="140"/>
      <c r="RB964" s="140"/>
      <c r="RC964" s="140"/>
      <c r="RD964" s="140"/>
      <c r="RE964" s="140"/>
      <c r="RF964" s="140"/>
      <c r="RG964" s="140"/>
      <c r="RH964" s="140"/>
      <c r="RI964" s="140"/>
      <c r="RJ964" s="140"/>
      <c r="RK964" s="140"/>
      <c r="RL964" s="140"/>
      <c r="RM964" s="140"/>
      <c r="RN964" s="140"/>
      <c r="RO964" s="140"/>
      <c r="RP964" s="140"/>
      <c r="RQ964" s="140"/>
      <c r="RR964" s="140"/>
      <c r="RS964" s="140"/>
      <c r="RT964" s="140"/>
      <c r="RU964" s="140"/>
      <c r="RV964" s="140"/>
      <c r="RW964" s="140"/>
      <c r="RX964" s="140"/>
      <c r="RY964" s="140"/>
      <c r="RZ964" s="140"/>
      <c r="SA964" s="140"/>
      <c r="SB964" s="140"/>
      <c r="SC964" s="140"/>
      <c r="SD964" s="140"/>
      <c r="SE964" s="140"/>
      <c r="SF964" s="140"/>
      <c r="SG964" s="140"/>
      <c r="SH964" s="140"/>
      <c r="SI964" s="140"/>
      <c r="SJ964" s="140"/>
      <c r="SK964" s="140"/>
      <c r="SL964" s="140"/>
      <c r="SM964" s="140"/>
      <c r="SN964" s="140"/>
      <c r="SO964" s="140"/>
      <c r="SP964" s="140"/>
      <c r="SQ964" s="140"/>
      <c r="SR964" s="140"/>
      <c r="SS964" s="140"/>
      <c r="ST964" s="140"/>
      <c r="SU964" s="140"/>
      <c r="SV964" s="140"/>
      <c r="SW964" s="140"/>
      <c r="SX964" s="140"/>
      <c r="SY964" s="140"/>
      <c r="SZ964" s="140"/>
      <c r="TA964" s="140"/>
      <c r="TB964" s="140"/>
      <c r="TC964" s="140"/>
      <c r="TD964" s="140"/>
      <c r="TE964" s="140"/>
      <c r="TF964" s="140"/>
      <c r="TG964" s="140"/>
      <c r="TH964" s="140"/>
      <c r="TI964" s="140"/>
      <c r="TJ964" s="140"/>
      <c r="TK964" s="140"/>
      <c r="TL964" s="140"/>
      <c r="TM964" s="140"/>
      <c r="TN964" s="140"/>
      <c r="TO964" s="140"/>
      <c r="TP964" s="140"/>
      <c r="TQ964" s="140"/>
      <c r="TR964" s="140"/>
      <c r="TS964" s="140"/>
      <c r="TT964" s="140"/>
      <c r="TU964" s="140"/>
      <c r="TV964" s="140"/>
      <c r="TW964" s="140"/>
      <c r="TX964" s="140"/>
      <c r="TY964" s="140"/>
      <c r="TZ964" s="140"/>
      <c r="UA964" s="140"/>
      <c r="UB964" s="140"/>
      <c r="UC964" s="140"/>
      <c r="UD964" s="140"/>
      <c r="UE964" s="140"/>
      <c r="UF964" s="140"/>
      <c r="UG964" s="141"/>
    </row>
    <row r="965" spans="1:553" s="142" customFormat="1" ht="35.5" customHeight="1">
      <c r="A965" s="444"/>
      <c r="B965" s="384"/>
      <c r="C965" s="384" t="s">
        <v>23</v>
      </c>
      <c r="D965" s="390" t="s">
        <v>20</v>
      </c>
      <c r="E965" s="376" t="s">
        <v>539</v>
      </c>
      <c r="F965" s="384"/>
      <c r="G965" s="386" t="s">
        <v>935</v>
      </c>
      <c r="H965" s="672"/>
      <c r="I965" s="1073">
        <f>'Phương án chi tiết'!I903</f>
        <v>37.5</v>
      </c>
      <c r="J965" s="368">
        <v>72000</v>
      </c>
      <c r="K965" s="871">
        <v>3</v>
      </c>
      <c r="L965" s="480">
        <f t="shared" si="143"/>
        <v>8100000</v>
      </c>
      <c r="M965" s="427"/>
      <c r="N965" s="427"/>
      <c r="O965" s="427"/>
      <c r="P965" s="427"/>
      <c r="Q965" s="727"/>
      <c r="R965" s="1542"/>
      <c r="S965" s="308"/>
      <c r="T965" s="308"/>
      <c r="U965" s="308"/>
      <c r="V965" s="308"/>
      <c r="W965" s="308"/>
      <c r="X965" s="308"/>
      <c r="Y965" s="308"/>
      <c r="Z965" s="604"/>
      <c r="AA965" s="308"/>
      <c r="AB965" s="308"/>
      <c r="AC965" s="687"/>
      <c r="AD965" s="687"/>
      <c r="AE965" s="687"/>
      <c r="AF965" s="687"/>
      <c r="AG965" s="687"/>
      <c r="AH965" s="687"/>
      <c r="AI965" s="687"/>
      <c r="AJ965" s="687"/>
      <c r="AK965" s="688"/>
      <c r="AL965" s="207"/>
      <c r="AM965" s="140"/>
      <c r="AN965" s="140"/>
      <c r="AO965" s="140"/>
      <c r="AP965" s="140"/>
      <c r="AQ965" s="140"/>
      <c r="AR965" s="140"/>
      <c r="AS965" s="140"/>
      <c r="AT965" s="140"/>
      <c r="AU965" s="140"/>
      <c r="AV965" s="140"/>
      <c r="AW965" s="140"/>
      <c r="AX965" s="140"/>
      <c r="AY965" s="140"/>
      <c r="AZ965" s="140"/>
      <c r="BA965" s="140"/>
      <c r="BB965" s="140"/>
      <c r="BC965" s="140"/>
      <c r="BD965" s="140"/>
      <c r="BE965" s="140"/>
      <c r="BF965" s="140"/>
      <c r="BG965" s="140"/>
      <c r="BH965" s="140"/>
      <c r="BI965" s="140"/>
      <c r="BJ965" s="140"/>
      <c r="BK965" s="140"/>
      <c r="BL965" s="140"/>
      <c r="BM965" s="140"/>
      <c r="BN965" s="140"/>
      <c r="BO965" s="140"/>
      <c r="BP965" s="140"/>
      <c r="BQ965" s="140"/>
      <c r="BR965" s="140"/>
      <c r="BS965" s="140"/>
      <c r="BT965" s="140"/>
      <c r="BU965" s="140"/>
      <c r="BV965" s="140"/>
      <c r="BW965" s="140"/>
      <c r="BX965" s="140"/>
      <c r="BY965" s="140"/>
      <c r="BZ965" s="140"/>
      <c r="CA965" s="140"/>
      <c r="CB965" s="140"/>
      <c r="CC965" s="140"/>
      <c r="CD965" s="140"/>
      <c r="CE965" s="140"/>
      <c r="CF965" s="140"/>
      <c r="CG965" s="140"/>
      <c r="CH965" s="140"/>
      <c r="CI965" s="140"/>
      <c r="CJ965" s="140"/>
      <c r="CK965" s="140"/>
      <c r="CL965" s="140"/>
      <c r="CM965" s="140"/>
      <c r="CN965" s="140"/>
      <c r="CO965" s="140"/>
      <c r="CP965" s="140"/>
      <c r="CQ965" s="140"/>
      <c r="CR965" s="140"/>
      <c r="CS965" s="140"/>
      <c r="CT965" s="140"/>
      <c r="CU965" s="140"/>
      <c r="CV965" s="140"/>
      <c r="CW965" s="140"/>
      <c r="CX965" s="140"/>
      <c r="CY965" s="140"/>
      <c r="CZ965" s="140"/>
      <c r="DA965" s="140"/>
      <c r="DB965" s="140"/>
      <c r="DC965" s="140"/>
      <c r="DD965" s="140"/>
      <c r="DE965" s="140"/>
      <c r="DF965" s="140"/>
      <c r="DG965" s="140"/>
      <c r="DH965" s="140"/>
      <c r="DI965" s="140"/>
      <c r="DJ965" s="140"/>
      <c r="DK965" s="140"/>
      <c r="DL965" s="140"/>
      <c r="DM965" s="140"/>
      <c r="DN965" s="140"/>
      <c r="DO965" s="140"/>
      <c r="DP965" s="140"/>
      <c r="DQ965" s="140"/>
      <c r="DR965" s="140"/>
      <c r="DS965" s="140"/>
      <c r="DT965" s="140"/>
      <c r="DU965" s="140"/>
      <c r="DV965" s="140"/>
      <c r="DW965" s="140"/>
      <c r="DX965" s="140"/>
      <c r="DY965" s="140"/>
      <c r="DZ965" s="140"/>
      <c r="EA965" s="140"/>
      <c r="EB965" s="140"/>
      <c r="EC965" s="140"/>
      <c r="ED965" s="140"/>
      <c r="EE965" s="140"/>
      <c r="EF965" s="140"/>
      <c r="EG965" s="140"/>
      <c r="EH965" s="140"/>
      <c r="EI965" s="140"/>
      <c r="EJ965" s="140"/>
      <c r="EK965" s="140"/>
      <c r="EL965" s="140"/>
      <c r="EM965" s="140"/>
      <c r="EN965" s="140"/>
      <c r="EO965" s="140"/>
      <c r="EP965" s="140"/>
      <c r="EQ965" s="140"/>
      <c r="ER965" s="140"/>
      <c r="ES965" s="140"/>
      <c r="ET965" s="140"/>
      <c r="EU965" s="140"/>
      <c r="EV965" s="140"/>
      <c r="EW965" s="140"/>
      <c r="EX965" s="140"/>
      <c r="EY965" s="140"/>
      <c r="EZ965" s="140"/>
      <c r="FA965" s="140"/>
      <c r="FB965" s="140"/>
      <c r="FC965" s="140"/>
      <c r="FD965" s="140"/>
      <c r="FE965" s="140"/>
      <c r="FF965" s="140"/>
      <c r="FG965" s="140"/>
      <c r="FH965" s="140"/>
      <c r="FI965" s="140"/>
      <c r="FJ965" s="140"/>
      <c r="FK965" s="140"/>
      <c r="FL965" s="140"/>
      <c r="FM965" s="140"/>
      <c r="FN965" s="140"/>
      <c r="FO965" s="140"/>
      <c r="FP965" s="140"/>
      <c r="FQ965" s="140"/>
      <c r="FR965" s="140"/>
      <c r="FS965" s="140"/>
      <c r="FT965" s="140"/>
      <c r="FU965" s="140"/>
      <c r="FV965" s="140"/>
      <c r="FW965" s="140"/>
      <c r="FX965" s="140"/>
      <c r="FY965" s="140"/>
      <c r="FZ965" s="140"/>
      <c r="GA965" s="140"/>
      <c r="GB965" s="140"/>
      <c r="GC965" s="140"/>
      <c r="GD965" s="140"/>
      <c r="GE965" s="140"/>
      <c r="GF965" s="140"/>
      <c r="GG965" s="140"/>
      <c r="GH965" s="140"/>
      <c r="GI965" s="140"/>
      <c r="GJ965" s="140"/>
      <c r="GK965" s="140"/>
      <c r="GL965" s="140"/>
      <c r="GM965" s="140"/>
      <c r="GN965" s="140"/>
      <c r="GO965" s="140"/>
      <c r="GP965" s="140"/>
      <c r="GQ965" s="140"/>
      <c r="GR965" s="140"/>
      <c r="GS965" s="140"/>
      <c r="GT965" s="140"/>
      <c r="GU965" s="140"/>
      <c r="GV965" s="140"/>
      <c r="GW965" s="140"/>
      <c r="GX965" s="140"/>
      <c r="GY965" s="140"/>
      <c r="GZ965" s="140"/>
      <c r="HA965" s="140"/>
      <c r="HB965" s="140"/>
      <c r="HC965" s="140"/>
      <c r="HD965" s="140"/>
      <c r="HE965" s="140"/>
      <c r="HF965" s="140"/>
      <c r="HG965" s="140"/>
      <c r="HH965" s="140"/>
      <c r="HI965" s="140"/>
      <c r="HJ965" s="140"/>
      <c r="HK965" s="140"/>
      <c r="HL965" s="140"/>
      <c r="HM965" s="140"/>
      <c r="HN965" s="140"/>
      <c r="HO965" s="140"/>
      <c r="HP965" s="140"/>
      <c r="HQ965" s="140"/>
      <c r="HR965" s="140"/>
      <c r="HS965" s="140"/>
      <c r="HT965" s="140"/>
      <c r="HU965" s="140"/>
      <c r="HV965" s="140"/>
      <c r="HW965" s="140"/>
      <c r="HX965" s="140"/>
      <c r="HY965" s="140"/>
      <c r="HZ965" s="140"/>
      <c r="IA965" s="140"/>
      <c r="IB965" s="140"/>
      <c r="IC965" s="140"/>
      <c r="ID965" s="140"/>
      <c r="IE965" s="140"/>
      <c r="IF965" s="140"/>
      <c r="IG965" s="140"/>
      <c r="IH965" s="140"/>
      <c r="II965" s="140"/>
      <c r="IJ965" s="140"/>
      <c r="IK965" s="140"/>
      <c r="IL965" s="140"/>
      <c r="IM965" s="140"/>
      <c r="IN965" s="140"/>
      <c r="IO965" s="140"/>
      <c r="IP965" s="140"/>
      <c r="IQ965" s="140"/>
      <c r="IR965" s="140"/>
      <c r="IS965" s="140"/>
      <c r="IT965" s="140"/>
      <c r="IU965" s="140"/>
      <c r="IV965" s="140"/>
      <c r="IW965" s="140"/>
      <c r="IX965" s="140"/>
      <c r="IY965" s="140"/>
      <c r="IZ965" s="140"/>
      <c r="JA965" s="140"/>
      <c r="JB965" s="140"/>
      <c r="JC965" s="140"/>
      <c r="JD965" s="140"/>
      <c r="JE965" s="140"/>
      <c r="JF965" s="140"/>
      <c r="JG965" s="140"/>
      <c r="JH965" s="140"/>
      <c r="JI965" s="140"/>
      <c r="JJ965" s="140"/>
      <c r="JK965" s="140"/>
      <c r="JL965" s="140"/>
      <c r="JM965" s="140"/>
      <c r="JN965" s="140"/>
      <c r="JO965" s="140"/>
      <c r="JP965" s="140"/>
      <c r="JQ965" s="140"/>
      <c r="JR965" s="140"/>
      <c r="JS965" s="140"/>
      <c r="JT965" s="140"/>
      <c r="JU965" s="140"/>
      <c r="JV965" s="140"/>
      <c r="JW965" s="140"/>
      <c r="JX965" s="140"/>
      <c r="JY965" s="140"/>
      <c r="JZ965" s="140"/>
      <c r="KA965" s="140"/>
      <c r="KB965" s="140"/>
      <c r="KC965" s="140"/>
      <c r="KD965" s="140"/>
      <c r="KE965" s="140"/>
      <c r="KF965" s="140"/>
      <c r="KG965" s="140"/>
      <c r="KH965" s="140"/>
      <c r="KI965" s="140"/>
      <c r="KJ965" s="140"/>
      <c r="KK965" s="140"/>
      <c r="KL965" s="140"/>
      <c r="KM965" s="140"/>
      <c r="KN965" s="140"/>
      <c r="KO965" s="140"/>
      <c r="KP965" s="140"/>
      <c r="KQ965" s="140"/>
      <c r="KR965" s="140"/>
      <c r="KS965" s="140"/>
      <c r="KT965" s="140"/>
      <c r="KU965" s="140"/>
      <c r="KV965" s="140"/>
      <c r="KW965" s="140"/>
      <c r="KX965" s="140"/>
      <c r="KY965" s="140"/>
      <c r="KZ965" s="140"/>
      <c r="LA965" s="140"/>
      <c r="LB965" s="140"/>
      <c r="LC965" s="140"/>
      <c r="LD965" s="140"/>
      <c r="LE965" s="140"/>
      <c r="LF965" s="140"/>
      <c r="LG965" s="140"/>
      <c r="LH965" s="140"/>
      <c r="LI965" s="140"/>
      <c r="LJ965" s="140"/>
      <c r="LK965" s="140"/>
      <c r="LL965" s="140"/>
      <c r="LM965" s="140"/>
      <c r="LN965" s="140"/>
      <c r="LO965" s="140"/>
      <c r="LP965" s="140"/>
      <c r="LQ965" s="140"/>
      <c r="LR965" s="140"/>
      <c r="LS965" s="140"/>
      <c r="LT965" s="140"/>
      <c r="LU965" s="140"/>
      <c r="LV965" s="140"/>
      <c r="LW965" s="140"/>
      <c r="LX965" s="140"/>
      <c r="LY965" s="140"/>
      <c r="LZ965" s="140"/>
      <c r="MA965" s="140"/>
      <c r="MB965" s="140"/>
      <c r="MC965" s="140"/>
      <c r="MD965" s="140"/>
      <c r="ME965" s="140"/>
      <c r="MF965" s="140"/>
      <c r="MG965" s="140"/>
      <c r="MH965" s="140"/>
      <c r="MI965" s="140"/>
      <c r="MJ965" s="140"/>
      <c r="MK965" s="140"/>
      <c r="ML965" s="140"/>
      <c r="MM965" s="140"/>
      <c r="MN965" s="140"/>
      <c r="MO965" s="140"/>
      <c r="MP965" s="140"/>
      <c r="MQ965" s="140"/>
      <c r="MR965" s="140"/>
      <c r="MS965" s="140"/>
      <c r="MT965" s="140"/>
      <c r="MU965" s="140"/>
      <c r="MV965" s="140"/>
      <c r="MW965" s="140"/>
      <c r="MX965" s="140"/>
      <c r="MY965" s="140"/>
      <c r="MZ965" s="140"/>
      <c r="NA965" s="140"/>
      <c r="NB965" s="140"/>
      <c r="NC965" s="140"/>
      <c r="ND965" s="140"/>
      <c r="NE965" s="140"/>
      <c r="NF965" s="140"/>
      <c r="NG965" s="140"/>
      <c r="NH965" s="140"/>
      <c r="NI965" s="140"/>
      <c r="NJ965" s="140"/>
      <c r="NK965" s="140"/>
      <c r="NL965" s="140"/>
      <c r="NM965" s="140"/>
      <c r="NN965" s="140"/>
      <c r="NO965" s="140"/>
      <c r="NP965" s="140"/>
      <c r="NQ965" s="140"/>
      <c r="NR965" s="140"/>
      <c r="NS965" s="140"/>
      <c r="NT965" s="140"/>
      <c r="NU965" s="140"/>
      <c r="NV965" s="140"/>
      <c r="NW965" s="140"/>
      <c r="NX965" s="140"/>
      <c r="NY965" s="140"/>
      <c r="NZ965" s="140"/>
      <c r="OA965" s="140"/>
      <c r="OB965" s="140"/>
      <c r="OC965" s="140"/>
      <c r="OD965" s="140"/>
      <c r="OE965" s="140"/>
      <c r="OF965" s="140"/>
      <c r="OG965" s="140"/>
      <c r="OH965" s="140"/>
      <c r="OI965" s="140"/>
      <c r="OJ965" s="140"/>
      <c r="OK965" s="140"/>
      <c r="OL965" s="140"/>
      <c r="OM965" s="140"/>
      <c r="ON965" s="140"/>
      <c r="OO965" s="140"/>
      <c r="OP965" s="140"/>
      <c r="OQ965" s="140"/>
      <c r="OR965" s="140"/>
      <c r="OS965" s="140"/>
      <c r="OT965" s="140"/>
      <c r="OU965" s="140"/>
      <c r="OV965" s="140"/>
      <c r="OW965" s="140"/>
      <c r="OX965" s="140"/>
      <c r="OY965" s="140"/>
      <c r="OZ965" s="140"/>
      <c r="PA965" s="140"/>
      <c r="PB965" s="140"/>
      <c r="PC965" s="140"/>
      <c r="PD965" s="140"/>
      <c r="PE965" s="140"/>
      <c r="PF965" s="140"/>
      <c r="PG965" s="140"/>
      <c r="PH965" s="140"/>
      <c r="PI965" s="140"/>
      <c r="PJ965" s="140"/>
      <c r="PK965" s="140"/>
      <c r="PL965" s="140"/>
      <c r="PM965" s="140"/>
      <c r="PN965" s="140"/>
      <c r="PO965" s="140"/>
      <c r="PP965" s="140"/>
      <c r="PQ965" s="140"/>
      <c r="PR965" s="140"/>
      <c r="PS965" s="140"/>
      <c r="PT965" s="140"/>
      <c r="PU965" s="140"/>
      <c r="PV965" s="140"/>
      <c r="PW965" s="140"/>
      <c r="PX965" s="140"/>
      <c r="PY965" s="140"/>
      <c r="PZ965" s="140"/>
      <c r="QA965" s="140"/>
      <c r="QB965" s="140"/>
      <c r="QC965" s="140"/>
      <c r="QD965" s="140"/>
      <c r="QE965" s="140"/>
      <c r="QF965" s="140"/>
      <c r="QG965" s="140"/>
      <c r="QH965" s="140"/>
      <c r="QI965" s="140"/>
      <c r="QJ965" s="140"/>
      <c r="QK965" s="140"/>
      <c r="QL965" s="140"/>
      <c r="QM965" s="140"/>
      <c r="QN965" s="140"/>
      <c r="QO965" s="140"/>
      <c r="QP965" s="140"/>
      <c r="QQ965" s="140"/>
      <c r="QR965" s="140"/>
      <c r="QS965" s="140"/>
      <c r="QT965" s="140"/>
      <c r="QU965" s="140"/>
      <c r="QV965" s="140"/>
      <c r="QW965" s="140"/>
      <c r="QX965" s="140"/>
      <c r="QY965" s="140"/>
      <c r="QZ965" s="140"/>
      <c r="RA965" s="140"/>
      <c r="RB965" s="140"/>
      <c r="RC965" s="140"/>
      <c r="RD965" s="140"/>
      <c r="RE965" s="140"/>
      <c r="RF965" s="140"/>
      <c r="RG965" s="140"/>
      <c r="RH965" s="140"/>
      <c r="RI965" s="140"/>
      <c r="RJ965" s="140"/>
      <c r="RK965" s="140"/>
      <c r="RL965" s="140"/>
      <c r="RM965" s="140"/>
      <c r="RN965" s="140"/>
      <c r="RO965" s="140"/>
      <c r="RP965" s="140"/>
      <c r="RQ965" s="140"/>
      <c r="RR965" s="140"/>
      <c r="RS965" s="140"/>
      <c r="RT965" s="140"/>
      <c r="RU965" s="140"/>
      <c r="RV965" s="140"/>
      <c r="RW965" s="140"/>
      <c r="RX965" s="140"/>
      <c r="RY965" s="140"/>
      <c r="RZ965" s="140"/>
      <c r="SA965" s="140"/>
      <c r="SB965" s="140"/>
      <c r="SC965" s="140"/>
      <c r="SD965" s="140"/>
      <c r="SE965" s="140"/>
      <c r="SF965" s="140"/>
      <c r="SG965" s="140"/>
      <c r="SH965" s="140"/>
      <c r="SI965" s="140"/>
      <c r="SJ965" s="140"/>
      <c r="SK965" s="140"/>
      <c r="SL965" s="140"/>
      <c r="SM965" s="140"/>
      <c r="SN965" s="140"/>
      <c r="SO965" s="140"/>
      <c r="SP965" s="140"/>
      <c r="SQ965" s="140"/>
      <c r="SR965" s="140"/>
      <c r="SS965" s="140"/>
      <c r="ST965" s="140"/>
      <c r="SU965" s="140"/>
      <c r="SV965" s="140"/>
      <c r="SW965" s="140"/>
      <c r="SX965" s="140"/>
      <c r="SY965" s="140"/>
      <c r="SZ965" s="140"/>
      <c r="TA965" s="140"/>
      <c r="TB965" s="140"/>
      <c r="TC965" s="140"/>
      <c r="TD965" s="140"/>
      <c r="TE965" s="140"/>
      <c r="TF965" s="140"/>
      <c r="TG965" s="140"/>
      <c r="TH965" s="140"/>
      <c r="TI965" s="140"/>
      <c r="TJ965" s="140"/>
      <c r="TK965" s="140"/>
      <c r="TL965" s="140"/>
      <c r="TM965" s="140"/>
      <c r="TN965" s="140"/>
      <c r="TO965" s="140"/>
      <c r="TP965" s="140"/>
      <c r="TQ965" s="140"/>
      <c r="TR965" s="140"/>
      <c r="TS965" s="140"/>
      <c r="TT965" s="140"/>
      <c r="TU965" s="140"/>
      <c r="TV965" s="140"/>
      <c r="TW965" s="140"/>
      <c r="TX965" s="140"/>
      <c r="TY965" s="140"/>
      <c r="TZ965" s="140"/>
      <c r="UA965" s="140"/>
      <c r="UB965" s="140"/>
      <c r="UC965" s="140"/>
      <c r="UD965" s="140"/>
      <c r="UE965" s="140"/>
      <c r="UF965" s="140"/>
      <c r="UG965" s="141"/>
    </row>
    <row r="966" spans="1:553" s="142" customFormat="1" ht="35.5" customHeight="1">
      <c r="A966" s="444"/>
      <c r="B966" s="384"/>
      <c r="C966" s="384" t="s">
        <v>23</v>
      </c>
      <c r="D966" s="390" t="s">
        <v>20</v>
      </c>
      <c r="E966" s="376" t="s">
        <v>541</v>
      </c>
      <c r="F966" s="384"/>
      <c r="G966" s="386" t="s">
        <v>935</v>
      </c>
      <c r="H966" s="672"/>
      <c r="I966" s="1073">
        <f>'Phương án chi tiết'!I904</f>
        <v>52.7</v>
      </c>
      <c r="J966" s="368">
        <v>72000</v>
      </c>
      <c r="K966" s="871">
        <v>3</v>
      </c>
      <c r="L966" s="480">
        <f t="shared" si="143"/>
        <v>11383200</v>
      </c>
      <c r="M966" s="427"/>
      <c r="N966" s="427"/>
      <c r="O966" s="427"/>
      <c r="P966" s="427"/>
      <c r="Q966" s="727"/>
      <c r="R966" s="1542"/>
      <c r="S966" s="308"/>
      <c r="T966" s="308"/>
      <c r="U966" s="308"/>
      <c r="V966" s="308"/>
      <c r="W966" s="308"/>
      <c r="X966" s="308"/>
      <c r="Y966" s="308"/>
      <c r="Z966" s="604"/>
      <c r="AA966" s="308"/>
      <c r="AB966" s="308"/>
      <c r="AC966" s="687"/>
      <c r="AD966" s="687"/>
      <c r="AE966" s="687"/>
      <c r="AF966" s="687"/>
      <c r="AG966" s="687"/>
      <c r="AH966" s="687"/>
      <c r="AI966" s="687"/>
      <c r="AJ966" s="687"/>
      <c r="AK966" s="688"/>
      <c r="AL966" s="207"/>
      <c r="AM966" s="140"/>
      <c r="AN966" s="140"/>
      <c r="AO966" s="140"/>
      <c r="AP966" s="140"/>
      <c r="AQ966" s="140"/>
      <c r="AR966" s="140"/>
      <c r="AS966" s="140"/>
      <c r="AT966" s="140"/>
      <c r="AU966" s="140"/>
      <c r="AV966" s="140"/>
      <c r="AW966" s="140"/>
      <c r="AX966" s="140"/>
      <c r="AY966" s="140"/>
      <c r="AZ966" s="140"/>
      <c r="BA966" s="140"/>
      <c r="BB966" s="140"/>
      <c r="BC966" s="140"/>
      <c r="BD966" s="140"/>
      <c r="BE966" s="140"/>
      <c r="BF966" s="140"/>
      <c r="BG966" s="140"/>
      <c r="BH966" s="140"/>
      <c r="BI966" s="140"/>
      <c r="BJ966" s="140"/>
      <c r="BK966" s="140"/>
      <c r="BL966" s="140"/>
      <c r="BM966" s="140"/>
      <c r="BN966" s="140"/>
      <c r="BO966" s="140"/>
      <c r="BP966" s="140"/>
      <c r="BQ966" s="140"/>
      <c r="BR966" s="140"/>
      <c r="BS966" s="140"/>
      <c r="BT966" s="140"/>
      <c r="BU966" s="140"/>
      <c r="BV966" s="140"/>
      <c r="BW966" s="140"/>
      <c r="BX966" s="140"/>
      <c r="BY966" s="140"/>
      <c r="BZ966" s="140"/>
      <c r="CA966" s="140"/>
      <c r="CB966" s="140"/>
      <c r="CC966" s="140"/>
      <c r="CD966" s="140"/>
      <c r="CE966" s="140"/>
      <c r="CF966" s="140"/>
      <c r="CG966" s="140"/>
      <c r="CH966" s="140"/>
      <c r="CI966" s="140"/>
      <c r="CJ966" s="140"/>
      <c r="CK966" s="140"/>
      <c r="CL966" s="140"/>
      <c r="CM966" s="140"/>
      <c r="CN966" s="140"/>
      <c r="CO966" s="140"/>
      <c r="CP966" s="140"/>
      <c r="CQ966" s="140"/>
      <c r="CR966" s="140"/>
      <c r="CS966" s="140"/>
      <c r="CT966" s="140"/>
      <c r="CU966" s="140"/>
      <c r="CV966" s="140"/>
      <c r="CW966" s="140"/>
      <c r="CX966" s="140"/>
      <c r="CY966" s="140"/>
      <c r="CZ966" s="140"/>
      <c r="DA966" s="140"/>
      <c r="DB966" s="140"/>
      <c r="DC966" s="140"/>
      <c r="DD966" s="140"/>
      <c r="DE966" s="140"/>
      <c r="DF966" s="140"/>
      <c r="DG966" s="140"/>
      <c r="DH966" s="140"/>
      <c r="DI966" s="140"/>
      <c r="DJ966" s="140"/>
      <c r="DK966" s="140"/>
      <c r="DL966" s="140"/>
      <c r="DM966" s="140"/>
      <c r="DN966" s="140"/>
      <c r="DO966" s="140"/>
      <c r="DP966" s="140"/>
      <c r="DQ966" s="140"/>
      <c r="DR966" s="140"/>
      <c r="DS966" s="140"/>
      <c r="DT966" s="140"/>
      <c r="DU966" s="140"/>
      <c r="DV966" s="140"/>
      <c r="DW966" s="140"/>
      <c r="DX966" s="140"/>
      <c r="DY966" s="140"/>
      <c r="DZ966" s="140"/>
      <c r="EA966" s="140"/>
      <c r="EB966" s="140"/>
      <c r="EC966" s="140"/>
      <c r="ED966" s="140"/>
      <c r="EE966" s="140"/>
      <c r="EF966" s="140"/>
      <c r="EG966" s="140"/>
      <c r="EH966" s="140"/>
      <c r="EI966" s="140"/>
      <c r="EJ966" s="140"/>
      <c r="EK966" s="140"/>
      <c r="EL966" s="140"/>
      <c r="EM966" s="140"/>
      <c r="EN966" s="140"/>
      <c r="EO966" s="140"/>
      <c r="EP966" s="140"/>
      <c r="EQ966" s="140"/>
      <c r="ER966" s="140"/>
      <c r="ES966" s="140"/>
      <c r="ET966" s="140"/>
      <c r="EU966" s="140"/>
      <c r="EV966" s="140"/>
      <c r="EW966" s="140"/>
      <c r="EX966" s="140"/>
      <c r="EY966" s="140"/>
      <c r="EZ966" s="140"/>
      <c r="FA966" s="140"/>
      <c r="FB966" s="140"/>
      <c r="FC966" s="140"/>
      <c r="FD966" s="140"/>
      <c r="FE966" s="140"/>
      <c r="FF966" s="140"/>
      <c r="FG966" s="140"/>
      <c r="FH966" s="140"/>
      <c r="FI966" s="140"/>
      <c r="FJ966" s="140"/>
      <c r="FK966" s="140"/>
      <c r="FL966" s="140"/>
      <c r="FM966" s="140"/>
      <c r="FN966" s="140"/>
      <c r="FO966" s="140"/>
      <c r="FP966" s="140"/>
      <c r="FQ966" s="140"/>
      <c r="FR966" s="140"/>
      <c r="FS966" s="140"/>
      <c r="FT966" s="140"/>
      <c r="FU966" s="140"/>
      <c r="FV966" s="140"/>
      <c r="FW966" s="140"/>
      <c r="FX966" s="140"/>
      <c r="FY966" s="140"/>
      <c r="FZ966" s="140"/>
      <c r="GA966" s="140"/>
      <c r="GB966" s="140"/>
      <c r="GC966" s="140"/>
      <c r="GD966" s="140"/>
      <c r="GE966" s="140"/>
      <c r="GF966" s="140"/>
      <c r="GG966" s="140"/>
      <c r="GH966" s="140"/>
      <c r="GI966" s="140"/>
      <c r="GJ966" s="140"/>
      <c r="GK966" s="140"/>
      <c r="GL966" s="140"/>
      <c r="GM966" s="140"/>
      <c r="GN966" s="140"/>
      <c r="GO966" s="140"/>
      <c r="GP966" s="140"/>
      <c r="GQ966" s="140"/>
      <c r="GR966" s="140"/>
      <c r="GS966" s="140"/>
      <c r="GT966" s="140"/>
      <c r="GU966" s="140"/>
      <c r="GV966" s="140"/>
      <c r="GW966" s="140"/>
      <c r="GX966" s="140"/>
      <c r="GY966" s="140"/>
      <c r="GZ966" s="140"/>
      <c r="HA966" s="140"/>
      <c r="HB966" s="140"/>
      <c r="HC966" s="140"/>
      <c r="HD966" s="140"/>
      <c r="HE966" s="140"/>
      <c r="HF966" s="140"/>
      <c r="HG966" s="140"/>
      <c r="HH966" s="140"/>
      <c r="HI966" s="140"/>
      <c r="HJ966" s="140"/>
      <c r="HK966" s="140"/>
      <c r="HL966" s="140"/>
      <c r="HM966" s="140"/>
      <c r="HN966" s="140"/>
      <c r="HO966" s="140"/>
      <c r="HP966" s="140"/>
      <c r="HQ966" s="140"/>
      <c r="HR966" s="140"/>
      <c r="HS966" s="140"/>
      <c r="HT966" s="140"/>
      <c r="HU966" s="140"/>
      <c r="HV966" s="140"/>
      <c r="HW966" s="140"/>
      <c r="HX966" s="140"/>
      <c r="HY966" s="140"/>
      <c r="HZ966" s="140"/>
      <c r="IA966" s="140"/>
      <c r="IB966" s="140"/>
      <c r="IC966" s="140"/>
      <c r="ID966" s="140"/>
      <c r="IE966" s="140"/>
      <c r="IF966" s="140"/>
      <c r="IG966" s="140"/>
      <c r="IH966" s="140"/>
      <c r="II966" s="140"/>
      <c r="IJ966" s="140"/>
      <c r="IK966" s="140"/>
      <c r="IL966" s="140"/>
      <c r="IM966" s="140"/>
      <c r="IN966" s="140"/>
      <c r="IO966" s="140"/>
      <c r="IP966" s="140"/>
      <c r="IQ966" s="140"/>
      <c r="IR966" s="140"/>
      <c r="IS966" s="140"/>
      <c r="IT966" s="140"/>
      <c r="IU966" s="140"/>
      <c r="IV966" s="140"/>
      <c r="IW966" s="140"/>
      <c r="IX966" s="140"/>
      <c r="IY966" s="140"/>
      <c r="IZ966" s="140"/>
      <c r="JA966" s="140"/>
      <c r="JB966" s="140"/>
      <c r="JC966" s="140"/>
      <c r="JD966" s="140"/>
      <c r="JE966" s="140"/>
      <c r="JF966" s="140"/>
      <c r="JG966" s="140"/>
      <c r="JH966" s="140"/>
      <c r="JI966" s="140"/>
      <c r="JJ966" s="140"/>
      <c r="JK966" s="140"/>
      <c r="JL966" s="140"/>
      <c r="JM966" s="140"/>
      <c r="JN966" s="140"/>
      <c r="JO966" s="140"/>
      <c r="JP966" s="140"/>
      <c r="JQ966" s="140"/>
      <c r="JR966" s="140"/>
      <c r="JS966" s="140"/>
      <c r="JT966" s="140"/>
      <c r="JU966" s="140"/>
      <c r="JV966" s="140"/>
      <c r="JW966" s="140"/>
      <c r="JX966" s="140"/>
      <c r="JY966" s="140"/>
      <c r="JZ966" s="140"/>
      <c r="KA966" s="140"/>
      <c r="KB966" s="140"/>
      <c r="KC966" s="140"/>
      <c r="KD966" s="140"/>
      <c r="KE966" s="140"/>
      <c r="KF966" s="140"/>
      <c r="KG966" s="140"/>
      <c r="KH966" s="140"/>
      <c r="KI966" s="140"/>
      <c r="KJ966" s="140"/>
      <c r="KK966" s="140"/>
      <c r="KL966" s="140"/>
      <c r="KM966" s="140"/>
      <c r="KN966" s="140"/>
      <c r="KO966" s="140"/>
      <c r="KP966" s="140"/>
      <c r="KQ966" s="140"/>
      <c r="KR966" s="140"/>
      <c r="KS966" s="140"/>
      <c r="KT966" s="140"/>
      <c r="KU966" s="140"/>
      <c r="KV966" s="140"/>
      <c r="KW966" s="140"/>
      <c r="KX966" s="140"/>
      <c r="KY966" s="140"/>
      <c r="KZ966" s="140"/>
      <c r="LA966" s="140"/>
      <c r="LB966" s="140"/>
      <c r="LC966" s="140"/>
      <c r="LD966" s="140"/>
      <c r="LE966" s="140"/>
      <c r="LF966" s="140"/>
      <c r="LG966" s="140"/>
      <c r="LH966" s="140"/>
      <c r="LI966" s="140"/>
      <c r="LJ966" s="140"/>
      <c r="LK966" s="140"/>
      <c r="LL966" s="140"/>
      <c r="LM966" s="140"/>
      <c r="LN966" s="140"/>
      <c r="LO966" s="140"/>
      <c r="LP966" s="140"/>
      <c r="LQ966" s="140"/>
      <c r="LR966" s="140"/>
      <c r="LS966" s="140"/>
      <c r="LT966" s="140"/>
      <c r="LU966" s="140"/>
      <c r="LV966" s="140"/>
      <c r="LW966" s="140"/>
      <c r="LX966" s="140"/>
      <c r="LY966" s="140"/>
      <c r="LZ966" s="140"/>
      <c r="MA966" s="140"/>
      <c r="MB966" s="140"/>
      <c r="MC966" s="140"/>
      <c r="MD966" s="140"/>
      <c r="ME966" s="140"/>
      <c r="MF966" s="140"/>
      <c r="MG966" s="140"/>
      <c r="MH966" s="140"/>
      <c r="MI966" s="140"/>
      <c r="MJ966" s="140"/>
      <c r="MK966" s="140"/>
      <c r="ML966" s="140"/>
      <c r="MM966" s="140"/>
      <c r="MN966" s="140"/>
      <c r="MO966" s="140"/>
      <c r="MP966" s="140"/>
      <c r="MQ966" s="140"/>
      <c r="MR966" s="140"/>
      <c r="MS966" s="140"/>
      <c r="MT966" s="140"/>
      <c r="MU966" s="140"/>
      <c r="MV966" s="140"/>
      <c r="MW966" s="140"/>
      <c r="MX966" s="140"/>
      <c r="MY966" s="140"/>
      <c r="MZ966" s="140"/>
      <c r="NA966" s="140"/>
      <c r="NB966" s="140"/>
      <c r="NC966" s="140"/>
      <c r="ND966" s="140"/>
      <c r="NE966" s="140"/>
      <c r="NF966" s="140"/>
      <c r="NG966" s="140"/>
      <c r="NH966" s="140"/>
      <c r="NI966" s="140"/>
      <c r="NJ966" s="140"/>
      <c r="NK966" s="140"/>
      <c r="NL966" s="140"/>
      <c r="NM966" s="140"/>
      <c r="NN966" s="140"/>
      <c r="NO966" s="140"/>
      <c r="NP966" s="140"/>
      <c r="NQ966" s="140"/>
      <c r="NR966" s="140"/>
      <c r="NS966" s="140"/>
      <c r="NT966" s="140"/>
      <c r="NU966" s="140"/>
      <c r="NV966" s="140"/>
      <c r="NW966" s="140"/>
      <c r="NX966" s="140"/>
      <c r="NY966" s="140"/>
      <c r="NZ966" s="140"/>
      <c r="OA966" s="140"/>
      <c r="OB966" s="140"/>
      <c r="OC966" s="140"/>
      <c r="OD966" s="140"/>
      <c r="OE966" s="140"/>
      <c r="OF966" s="140"/>
      <c r="OG966" s="140"/>
      <c r="OH966" s="140"/>
      <c r="OI966" s="140"/>
      <c r="OJ966" s="140"/>
      <c r="OK966" s="140"/>
      <c r="OL966" s="140"/>
      <c r="OM966" s="140"/>
      <c r="ON966" s="140"/>
      <c r="OO966" s="140"/>
      <c r="OP966" s="140"/>
      <c r="OQ966" s="140"/>
      <c r="OR966" s="140"/>
      <c r="OS966" s="140"/>
      <c r="OT966" s="140"/>
      <c r="OU966" s="140"/>
      <c r="OV966" s="140"/>
      <c r="OW966" s="140"/>
      <c r="OX966" s="140"/>
      <c r="OY966" s="140"/>
      <c r="OZ966" s="140"/>
      <c r="PA966" s="140"/>
      <c r="PB966" s="140"/>
      <c r="PC966" s="140"/>
      <c r="PD966" s="140"/>
      <c r="PE966" s="140"/>
      <c r="PF966" s="140"/>
      <c r="PG966" s="140"/>
      <c r="PH966" s="140"/>
      <c r="PI966" s="140"/>
      <c r="PJ966" s="140"/>
      <c r="PK966" s="140"/>
      <c r="PL966" s="140"/>
      <c r="PM966" s="140"/>
      <c r="PN966" s="140"/>
      <c r="PO966" s="140"/>
      <c r="PP966" s="140"/>
      <c r="PQ966" s="140"/>
      <c r="PR966" s="140"/>
      <c r="PS966" s="140"/>
      <c r="PT966" s="140"/>
      <c r="PU966" s="140"/>
      <c r="PV966" s="140"/>
      <c r="PW966" s="140"/>
      <c r="PX966" s="140"/>
      <c r="PY966" s="140"/>
      <c r="PZ966" s="140"/>
      <c r="QA966" s="140"/>
      <c r="QB966" s="140"/>
      <c r="QC966" s="140"/>
      <c r="QD966" s="140"/>
      <c r="QE966" s="140"/>
      <c r="QF966" s="140"/>
      <c r="QG966" s="140"/>
      <c r="QH966" s="140"/>
      <c r="QI966" s="140"/>
      <c r="QJ966" s="140"/>
      <c r="QK966" s="140"/>
      <c r="QL966" s="140"/>
      <c r="QM966" s="140"/>
      <c r="QN966" s="140"/>
      <c r="QO966" s="140"/>
      <c r="QP966" s="140"/>
      <c r="QQ966" s="140"/>
      <c r="QR966" s="140"/>
      <c r="QS966" s="140"/>
      <c r="QT966" s="140"/>
      <c r="QU966" s="140"/>
      <c r="QV966" s="140"/>
      <c r="QW966" s="140"/>
      <c r="QX966" s="140"/>
      <c r="QY966" s="140"/>
      <c r="QZ966" s="140"/>
      <c r="RA966" s="140"/>
      <c r="RB966" s="140"/>
      <c r="RC966" s="140"/>
      <c r="RD966" s="140"/>
      <c r="RE966" s="140"/>
      <c r="RF966" s="140"/>
      <c r="RG966" s="140"/>
      <c r="RH966" s="140"/>
      <c r="RI966" s="140"/>
      <c r="RJ966" s="140"/>
      <c r="RK966" s="140"/>
      <c r="RL966" s="140"/>
      <c r="RM966" s="140"/>
      <c r="RN966" s="140"/>
      <c r="RO966" s="140"/>
      <c r="RP966" s="140"/>
      <c r="RQ966" s="140"/>
      <c r="RR966" s="140"/>
      <c r="RS966" s="140"/>
      <c r="RT966" s="140"/>
      <c r="RU966" s="140"/>
      <c r="RV966" s="140"/>
      <c r="RW966" s="140"/>
      <c r="RX966" s="140"/>
      <c r="RY966" s="140"/>
      <c r="RZ966" s="140"/>
      <c r="SA966" s="140"/>
      <c r="SB966" s="140"/>
      <c r="SC966" s="140"/>
      <c r="SD966" s="140"/>
      <c r="SE966" s="140"/>
      <c r="SF966" s="140"/>
      <c r="SG966" s="140"/>
      <c r="SH966" s="140"/>
      <c r="SI966" s="140"/>
      <c r="SJ966" s="140"/>
      <c r="SK966" s="140"/>
      <c r="SL966" s="140"/>
      <c r="SM966" s="140"/>
      <c r="SN966" s="140"/>
      <c r="SO966" s="140"/>
      <c r="SP966" s="140"/>
      <c r="SQ966" s="140"/>
      <c r="SR966" s="140"/>
      <c r="SS966" s="140"/>
      <c r="ST966" s="140"/>
      <c r="SU966" s="140"/>
      <c r="SV966" s="140"/>
      <c r="SW966" s="140"/>
      <c r="SX966" s="140"/>
      <c r="SY966" s="140"/>
      <c r="SZ966" s="140"/>
      <c r="TA966" s="140"/>
      <c r="TB966" s="140"/>
      <c r="TC966" s="140"/>
      <c r="TD966" s="140"/>
      <c r="TE966" s="140"/>
      <c r="TF966" s="140"/>
      <c r="TG966" s="140"/>
      <c r="TH966" s="140"/>
      <c r="TI966" s="140"/>
      <c r="TJ966" s="140"/>
      <c r="TK966" s="140"/>
      <c r="TL966" s="140"/>
      <c r="TM966" s="140"/>
      <c r="TN966" s="140"/>
      <c r="TO966" s="140"/>
      <c r="TP966" s="140"/>
      <c r="TQ966" s="140"/>
      <c r="TR966" s="140"/>
      <c r="TS966" s="140"/>
      <c r="TT966" s="140"/>
      <c r="TU966" s="140"/>
      <c r="TV966" s="140"/>
      <c r="TW966" s="140"/>
      <c r="TX966" s="140"/>
      <c r="TY966" s="140"/>
      <c r="TZ966" s="140"/>
      <c r="UA966" s="140"/>
      <c r="UB966" s="140"/>
      <c r="UC966" s="140"/>
      <c r="UD966" s="140"/>
      <c r="UE966" s="140"/>
      <c r="UF966" s="140"/>
      <c r="UG966" s="141"/>
    </row>
    <row r="967" spans="1:553" s="142" customFormat="1" ht="35.5" customHeight="1">
      <c r="A967" s="444"/>
      <c r="B967" s="384"/>
      <c r="C967" s="384" t="s">
        <v>23</v>
      </c>
      <c r="D967" s="390" t="s">
        <v>20</v>
      </c>
      <c r="E967" s="376" t="s">
        <v>542</v>
      </c>
      <c r="F967" s="384"/>
      <c r="G967" s="386" t="s">
        <v>935</v>
      </c>
      <c r="H967" s="672"/>
      <c r="I967" s="1073">
        <f>'Phương án chi tiết'!I905</f>
        <v>32.4</v>
      </c>
      <c r="J967" s="368">
        <v>72000</v>
      </c>
      <c r="K967" s="871">
        <v>3</v>
      </c>
      <c r="L967" s="480">
        <f t="shared" si="143"/>
        <v>6998400</v>
      </c>
      <c r="M967" s="427"/>
      <c r="N967" s="427"/>
      <c r="O967" s="427"/>
      <c r="P967" s="427"/>
      <c r="Q967" s="727"/>
      <c r="R967" s="1542"/>
      <c r="S967" s="308"/>
      <c r="T967" s="308"/>
      <c r="U967" s="308"/>
      <c r="V967" s="308"/>
      <c r="W967" s="308"/>
      <c r="X967" s="308"/>
      <c r="Y967" s="308"/>
      <c r="Z967" s="604"/>
      <c r="AA967" s="308"/>
      <c r="AB967" s="308"/>
      <c r="AC967" s="687"/>
      <c r="AD967" s="687"/>
      <c r="AE967" s="687"/>
      <c r="AF967" s="687"/>
      <c r="AG967" s="687"/>
      <c r="AH967" s="687"/>
      <c r="AI967" s="687"/>
      <c r="AJ967" s="687"/>
      <c r="AK967" s="688"/>
      <c r="AL967" s="207"/>
      <c r="AM967" s="140"/>
      <c r="AN967" s="140"/>
      <c r="AO967" s="140"/>
      <c r="AP967" s="140"/>
      <c r="AQ967" s="140"/>
      <c r="AR967" s="140"/>
      <c r="AS967" s="140"/>
      <c r="AT967" s="140"/>
      <c r="AU967" s="140"/>
      <c r="AV967" s="140"/>
      <c r="AW967" s="140"/>
      <c r="AX967" s="140"/>
      <c r="AY967" s="140"/>
      <c r="AZ967" s="140"/>
      <c r="BA967" s="140"/>
      <c r="BB967" s="140"/>
      <c r="BC967" s="140"/>
      <c r="BD967" s="140"/>
      <c r="BE967" s="140"/>
      <c r="BF967" s="140"/>
      <c r="BG967" s="140"/>
      <c r="BH967" s="140"/>
      <c r="BI967" s="140"/>
      <c r="BJ967" s="140"/>
      <c r="BK967" s="140"/>
      <c r="BL967" s="140"/>
      <c r="BM967" s="140"/>
      <c r="BN967" s="140"/>
      <c r="BO967" s="140"/>
      <c r="BP967" s="140"/>
      <c r="BQ967" s="140"/>
      <c r="BR967" s="140"/>
      <c r="BS967" s="140"/>
      <c r="BT967" s="140"/>
      <c r="BU967" s="140"/>
      <c r="BV967" s="140"/>
      <c r="BW967" s="140"/>
      <c r="BX967" s="140"/>
      <c r="BY967" s="140"/>
      <c r="BZ967" s="140"/>
      <c r="CA967" s="140"/>
      <c r="CB967" s="140"/>
      <c r="CC967" s="140"/>
      <c r="CD967" s="140"/>
      <c r="CE967" s="140"/>
      <c r="CF967" s="140"/>
      <c r="CG967" s="140"/>
      <c r="CH967" s="140"/>
      <c r="CI967" s="140"/>
      <c r="CJ967" s="140"/>
      <c r="CK967" s="140"/>
      <c r="CL967" s="140"/>
      <c r="CM967" s="140"/>
      <c r="CN967" s="140"/>
      <c r="CO967" s="140"/>
      <c r="CP967" s="140"/>
      <c r="CQ967" s="140"/>
      <c r="CR967" s="140"/>
      <c r="CS967" s="140"/>
      <c r="CT967" s="140"/>
      <c r="CU967" s="140"/>
      <c r="CV967" s="140"/>
      <c r="CW967" s="140"/>
      <c r="CX967" s="140"/>
      <c r="CY967" s="140"/>
      <c r="CZ967" s="140"/>
      <c r="DA967" s="140"/>
      <c r="DB967" s="140"/>
      <c r="DC967" s="140"/>
      <c r="DD967" s="140"/>
      <c r="DE967" s="140"/>
      <c r="DF967" s="140"/>
      <c r="DG967" s="140"/>
      <c r="DH967" s="140"/>
      <c r="DI967" s="140"/>
      <c r="DJ967" s="140"/>
      <c r="DK967" s="140"/>
      <c r="DL967" s="140"/>
      <c r="DM967" s="140"/>
      <c r="DN967" s="140"/>
      <c r="DO967" s="140"/>
      <c r="DP967" s="140"/>
      <c r="DQ967" s="140"/>
      <c r="DR967" s="140"/>
      <c r="DS967" s="140"/>
      <c r="DT967" s="140"/>
      <c r="DU967" s="140"/>
      <c r="DV967" s="140"/>
      <c r="DW967" s="140"/>
      <c r="DX967" s="140"/>
      <c r="DY967" s="140"/>
      <c r="DZ967" s="140"/>
      <c r="EA967" s="140"/>
      <c r="EB967" s="140"/>
      <c r="EC967" s="140"/>
      <c r="ED967" s="140"/>
      <c r="EE967" s="140"/>
      <c r="EF967" s="140"/>
      <c r="EG967" s="140"/>
      <c r="EH967" s="140"/>
      <c r="EI967" s="140"/>
      <c r="EJ967" s="140"/>
      <c r="EK967" s="140"/>
      <c r="EL967" s="140"/>
      <c r="EM967" s="140"/>
      <c r="EN967" s="140"/>
      <c r="EO967" s="140"/>
      <c r="EP967" s="140"/>
      <c r="EQ967" s="140"/>
      <c r="ER967" s="140"/>
      <c r="ES967" s="140"/>
      <c r="ET967" s="140"/>
      <c r="EU967" s="140"/>
      <c r="EV967" s="140"/>
      <c r="EW967" s="140"/>
      <c r="EX967" s="140"/>
      <c r="EY967" s="140"/>
      <c r="EZ967" s="140"/>
      <c r="FA967" s="140"/>
      <c r="FB967" s="140"/>
      <c r="FC967" s="140"/>
      <c r="FD967" s="140"/>
      <c r="FE967" s="140"/>
      <c r="FF967" s="140"/>
      <c r="FG967" s="140"/>
      <c r="FH967" s="140"/>
      <c r="FI967" s="140"/>
      <c r="FJ967" s="140"/>
      <c r="FK967" s="140"/>
      <c r="FL967" s="140"/>
      <c r="FM967" s="140"/>
      <c r="FN967" s="140"/>
      <c r="FO967" s="140"/>
      <c r="FP967" s="140"/>
      <c r="FQ967" s="140"/>
      <c r="FR967" s="140"/>
      <c r="FS967" s="140"/>
      <c r="FT967" s="140"/>
      <c r="FU967" s="140"/>
      <c r="FV967" s="140"/>
      <c r="FW967" s="140"/>
      <c r="FX967" s="140"/>
      <c r="FY967" s="140"/>
      <c r="FZ967" s="140"/>
      <c r="GA967" s="140"/>
      <c r="GB967" s="140"/>
      <c r="GC967" s="140"/>
      <c r="GD967" s="140"/>
      <c r="GE967" s="140"/>
      <c r="GF967" s="140"/>
      <c r="GG967" s="140"/>
      <c r="GH967" s="140"/>
      <c r="GI967" s="140"/>
      <c r="GJ967" s="140"/>
      <c r="GK967" s="140"/>
      <c r="GL967" s="140"/>
      <c r="GM967" s="140"/>
      <c r="GN967" s="140"/>
      <c r="GO967" s="140"/>
      <c r="GP967" s="140"/>
      <c r="GQ967" s="140"/>
      <c r="GR967" s="140"/>
      <c r="GS967" s="140"/>
      <c r="GT967" s="140"/>
      <c r="GU967" s="140"/>
      <c r="GV967" s="140"/>
      <c r="GW967" s="140"/>
      <c r="GX967" s="140"/>
      <c r="GY967" s="140"/>
      <c r="GZ967" s="140"/>
      <c r="HA967" s="140"/>
      <c r="HB967" s="140"/>
      <c r="HC967" s="140"/>
      <c r="HD967" s="140"/>
      <c r="HE967" s="140"/>
      <c r="HF967" s="140"/>
      <c r="HG967" s="140"/>
      <c r="HH967" s="140"/>
      <c r="HI967" s="140"/>
      <c r="HJ967" s="140"/>
      <c r="HK967" s="140"/>
      <c r="HL967" s="140"/>
      <c r="HM967" s="140"/>
      <c r="HN967" s="140"/>
      <c r="HO967" s="140"/>
      <c r="HP967" s="140"/>
      <c r="HQ967" s="140"/>
      <c r="HR967" s="140"/>
      <c r="HS967" s="140"/>
      <c r="HT967" s="140"/>
      <c r="HU967" s="140"/>
      <c r="HV967" s="140"/>
      <c r="HW967" s="140"/>
      <c r="HX967" s="140"/>
      <c r="HY967" s="140"/>
      <c r="HZ967" s="140"/>
      <c r="IA967" s="140"/>
      <c r="IB967" s="140"/>
      <c r="IC967" s="140"/>
      <c r="ID967" s="140"/>
      <c r="IE967" s="140"/>
      <c r="IF967" s="140"/>
      <c r="IG967" s="140"/>
      <c r="IH967" s="140"/>
      <c r="II967" s="140"/>
      <c r="IJ967" s="140"/>
      <c r="IK967" s="140"/>
      <c r="IL967" s="140"/>
      <c r="IM967" s="140"/>
      <c r="IN967" s="140"/>
      <c r="IO967" s="140"/>
      <c r="IP967" s="140"/>
      <c r="IQ967" s="140"/>
      <c r="IR967" s="140"/>
      <c r="IS967" s="140"/>
      <c r="IT967" s="140"/>
      <c r="IU967" s="140"/>
      <c r="IV967" s="140"/>
      <c r="IW967" s="140"/>
      <c r="IX967" s="140"/>
      <c r="IY967" s="140"/>
      <c r="IZ967" s="140"/>
      <c r="JA967" s="140"/>
      <c r="JB967" s="140"/>
      <c r="JC967" s="140"/>
      <c r="JD967" s="140"/>
      <c r="JE967" s="140"/>
      <c r="JF967" s="140"/>
      <c r="JG967" s="140"/>
      <c r="JH967" s="140"/>
      <c r="JI967" s="140"/>
      <c r="JJ967" s="140"/>
      <c r="JK967" s="140"/>
      <c r="JL967" s="140"/>
      <c r="JM967" s="140"/>
      <c r="JN967" s="140"/>
      <c r="JO967" s="140"/>
      <c r="JP967" s="140"/>
      <c r="JQ967" s="140"/>
      <c r="JR967" s="140"/>
      <c r="JS967" s="140"/>
      <c r="JT967" s="140"/>
      <c r="JU967" s="140"/>
      <c r="JV967" s="140"/>
      <c r="JW967" s="140"/>
      <c r="JX967" s="140"/>
      <c r="JY967" s="140"/>
      <c r="JZ967" s="140"/>
      <c r="KA967" s="140"/>
      <c r="KB967" s="140"/>
      <c r="KC967" s="140"/>
      <c r="KD967" s="140"/>
      <c r="KE967" s="140"/>
      <c r="KF967" s="140"/>
      <c r="KG967" s="140"/>
      <c r="KH967" s="140"/>
      <c r="KI967" s="140"/>
      <c r="KJ967" s="140"/>
      <c r="KK967" s="140"/>
      <c r="KL967" s="140"/>
      <c r="KM967" s="140"/>
      <c r="KN967" s="140"/>
      <c r="KO967" s="140"/>
      <c r="KP967" s="140"/>
      <c r="KQ967" s="140"/>
      <c r="KR967" s="140"/>
      <c r="KS967" s="140"/>
      <c r="KT967" s="140"/>
      <c r="KU967" s="140"/>
      <c r="KV967" s="140"/>
      <c r="KW967" s="140"/>
      <c r="KX967" s="140"/>
      <c r="KY967" s="140"/>
      <c r="KZ967" s="140"/>
      <c r="LA967" s="140"/>
      <c r="LB967" s="140"/>
      <c r="LC967" s="140"/>
      <c r="LD967" s="140"/>
      <c r="LE967" s="140"/>
      <c r="LF967" s="140"/>
      <c r="LG967" s="140"/>
      <c r="LH967" s="140"/>
      <c r="LI967" s="140"/>
      <c r="LJ967" s="140"/>
      <c r="LK967" s="140"/>
      <c r="LL967" s="140"/>
      <c r="LM967" s="140"/>
      <c r="LN967" s="140"/>
      <c r="LO967" s="140"/>
      <c r="LP967" s="140"/>
      <c r="LQ967" s="140"/>
      <c r="LR967" s="140"/>
      <c r="LS967" s="140"/>
      <c r="LT967" s="140"/>
      <c r="LU967" s="140"/>
      <c r="LV967" s="140"/>
      <c r="LW967" s="140"/>
      <c r="LX967" s="140"/>
      <c r="LY967" s="140"/>
      <c r="LZ967" s="140"/>
      <c r="MA967" s="140"/>
      <c r="MB967" s="140"/>
      <c r="MC967" s="140"/>
      <c r="MD967" s="140"/>
      <c r="ME967" s="140"/>
      <c r="MF967" s="140"/>
      <c r="MG967" s="140"/>
      <c r="MH967" s="140"/>
      <c r="MI967" s="140"/>
      <c r="MJ967" s="140"/>
      <c r="MK967" s="140"/>
      <c r="ML967" s="140"/>
      <c r="MM967" s="140"/>
      <c r="MN967" s="140"/>
      <c r="MO967" s="140"/>
      <c r="MP967" s="140"/>
      <c r="MQ967" s="140"/>
      <c r="MR967" s="140"/>
      <c r="MS967" s="140"/>
      <c r="MT967" s="140"/>
      <c r="MU967" s="140"/>
      <c r="MV967" s="140"/>
      <c r="MW967" s="140"/>
      <c r="MX967" s="140"/>
      <c r="MY967" s="140"/>
      <c r="MZ967" s="140"/>
      <c r="NA967" s="140"/>
      <c r="NB967" s="140"/>
      <c r="NC967" s="140"/>
      <c r="ND967" s="140"/>
      <c r="NE967" s="140"/>
      <c r="NF967" s="140"/>
      <c r="NG967" s="140"/>
      <c r="NH967" s="140"/>
      <c r="NI967" s="140"/>
      <c r="NJ967" s="140"/>
      <c r="NK967" s="140"/>
      <c r="NL967" s="140"/>
      <c r="NM967" s="140"/>
      <c r="NN967" s="140"/>
      <c r="NO967" s="140"/>
      <c r="NP967" s="140"/>
      <c r="NQ967" s="140"/>
      <c r="NR967" s="140"/>
      <c r="NS967" s="140"/>
      <c r="NT967" s="140"/>
      <c r="NU967" s="140"/>
      <c r="NV967" s="140"/>
      <c r="NW967" s="140"/>
      <c r="NX967" s="140"/>
      <c r="NY967" s="140"/>
      <c r="NZ967" s="140"/>
      <c r="OA967" s="140"/>
      <c r="OB967" s="140"/>
      <c r="OC967" s="140"/>
      <c r="OD967" s="140"/>
      <c r="OE967" s="140"/>
      <c r="OF967" s="140"/>
      <c r="OG967" s="140"/>
      <c r="OH967" s="140"/>
      <c r="OI967" s="140"/>
      <c r="OJ967" s="140"/>
      <c r="OK967" s="140"/>
      <c r="OL967" s="140"/>
      <c r="OM967" s="140"/>
      <c r="ON967" s="140"/>
      <c r="OO967" s="140"/>
      <c r="OP967" s="140"/>
      <c r="OQ967" s="140"/>
      <c r="OR967" s="140"/>
      <c r="OS967" s="140"/>
      <c r="OT967" s="140"/>
      <c r="OU967" s="140"/>
      <c r="OV967" s="140"/>
      <c r="OW967" s="140"/>
      <c r="OX967" s="140"/>
      <c r="OY967" s="140"/>
      <c r="OZ967" s="140"/>
      <c r="PA967" s="140"/>
      <c r="PB967" s="140"/>
      <c r="PC967" s="140"/>
      <c r="PD967" s="140"/>
      <c r="PE967" s="140"/>
      <c r="PF967" s="140"/>
      <c r="PG967" s="140"/>
      <c r="PH967" s="140"/>
      <c r="PI967" s="140"/>
      <c r="PJ967" s="140"/>
      <c r="PK967" s="140"/>
      <c r="PL967" s="140"/>
      <c r="PM967" s="140"/>
      <c r="PN967" s="140"/>
      <c r="PO967" s="140"/>
      <c r="PP967" s="140"/>
      <c r="PQ967" s="140"/>
      <c r="PR967" s="140"/>
      <c r="PS967" s="140"/>
      <c r="PT967" s="140"/>
      <c r="PU967" s="140"/>
      <c r="PV967" s="140"/>
      <c r="PW967" s="140"/>
      <c r="PX967" s="140"/>
      <c r="PY967" s="140"/>
      <c r="PZ967" s="140"/>
      <c r="QA967" s="140"/>
      <c r="QB967" s="140"/>
      <c r="QC967" s="140"/>
      <c r="QD967" s="140"/>
      <c r="QE967" s="140"/>
      <c r="QF967" s="140"/>
      <c r="QG967" s="140"/>
      <c r="QH967" s="140"/>
      <c r="QI967" s="140"/>
      <c r="QJ967" s="140"/>
      <c r="QK967" s="140"/>
      <c r="QL967" s="140"/>
      <c r="QM967" s="140"/>
      <c r="QN967" s="140"/>
      <c r="QO967" s="140"/>
      <c r="QP967" s="140"/>
      <c r="QQ967" s="140"/>
      <c r="QR967" s="140"/>
      <c r="QS967" s="140"/>
      <c r="QT967" s="140"/>
      <c r="QU967" s="140"/>
      <c r="QV967" s="140"/>
      <c r="QW967" s="140"/>
      <c r="QX967" s="140"/>
      <c r="QY967" s="140"/>
      <c r="QZ967" s="140"/>
      <c r="RA967" s="140"/>
      <c r="RB967" s="140"/>
      <c r="RC967" s="140"/>
      <c r="RD967" s="140"/>
      <c r="RE967" s="140"/>
      <c r="RF967" s="140"/>
      <c r="RG967" s="140"/>
      <c r="RH967" s="140"/>
      <c r="RI967" s="140"/>
      <c r="RJ967" s="140"/>
      <c r="RK967" s="140"/>
      <c r="RL967" s="140"/>
      <c r="RM967" s="140"/>
      <c r="RN967" s="140"/>
      <c r="RO967" s="140"/>
      <c r="RP967" s="140"/>
      <c r="RQ967" s="140"/>
      <c r="RR967" s="140"/>
      <c r="RS967" s="140"/>
      <c r="RT967" s="140"/>
      <c r="RU967" s="140"/>
      <c r="RV967" s="140"/>
      <c r="RW967" s="140"/>
      <c r="RX967" s="140"/>
      <c r="RY967" s="140"/>
      <c r="RZ967" s="140"/>
      <c r="SA967" s="140"/>
      <c r="SB967" s="140"/>
      <c r="SC967" s="140"/>
      <c r="SD967" s="140"/>
      <c r="SE967" s="140"/>
      <c r="SF967" s="140"/>
      <c r="SG967" s="140"/>
      <c r="SH967" s="140"/>
      <c r="SI967" s="140"/>
      <c r="SJ967" s="140"/>
      <c r="SK967" s="140"/>
      <c r="SL967" s="140"/>
      <c r="SM967" s="140"/>
      <c r="SN967" s="140"/>
      <c r="SO967" s="140"/>
      <c r="SP967" s="140"/>
      <c r="SQ967" s="140"/>
      <c r="SR967" s="140"/>
      <c r="SS967" s="140"/>
      <c r="ST967" s="140"/>
      <c r="SU967" s="140"/>
      <c r="SV967" s="140"/>
      <c r="SW967" s="140"/>
      <c r="SX967" s="140"/>
      <c r="SY967" s="140"/>
      <c r="SZ967" s="140"/>
      <c r="TA967" s="140"/>
      <c r="TB967" s="140"/>
      <c r="TC967" s="140"/>
      <c r="TD967" s="140"/>
      <c r="TE967" s="140"/>
      <c r="TF967" s="140"/>
      <c r="TG967" s="140"/>
      <c r="TH967" s="140"/>
      <c r="TI967" s="140"/>
      <c r="TJ967" s="140"/>
      <c r="TK967" s="140"/>
      <c r="TL967" s="140"/>
      <c r="TM967" s="140"/>
      <c r="TN967" s="140"/>
      <c r="TO967" s="140"/>
      <c r="TP967" s="140"/>
      <c r="TQ967" s="140"/>
      <c r="TR967" s="140"/>
      <c r="TS967" s="140"/>
      <c r="TT967" s="140"/>
      <c r="TU967" s="140"/>
      <c r="TV967" s="140"/>
      <c r="TW967" s="140"/>
      <c r="TX967" s="140"/>
      <c r="TY967" s="140"/>
      <c r="TZ967" s="140"/>
      <c r="UA967" s="140"/>
      <c r="UB967" s="140"/>
      <c r="UC967" s="140"/>
      <c r="UD967" s="140"/>
      <c r="UE967" s="140"/>
      <c r="UF967" s="140"/>
      <c r="UG967" s="141"/>
    </row>
    <row r="968" spans="1:553" s="142" customFormat="1" ht="55.5" customHeight="1">
      <c r="A968" s="444" t="s">
        <v>61</v>
      </c>
      <c r="B968" s="532"/>
      <c r="C968" s="1539" t="s">
        <v>62</v>
      </c>
      <c r="D968" s="1540"/>
      <c r="E968" s="1540"/>
      <c r="F968" s="1541"/>
      <c r="G968" s="429"/>
      <c r="H968" s="705"/>
      <c r="I968" s="705"/>
      <c r="J968" s="357"/>
      <c r="K968" s="706"/>
      <c r="L968" s="645"/>
      <c r="M968" s="444"/>
      <c r="N968" s="444"/>
      <c r="O968" s="444"/>
      <c r="P968" s="358">
        <f>L968</f>
        <v>0</v>
      </c>
      <c r="Q968" s="1251"/>
      <c r="R968" s="1253" t="s">
        <v>63</v>
      </c>
      <c r="S968" s="308"/>
      <c r="T968" s="308"/>
      <c r="U968" s="308"/>
      <c r="V968" s="308"/>
      <c r="W968" s="308"/>
      <c r="X968" s="308"/>
      <c r="Y968" s="308"/>
      <c r="Z968" s="604"/>
      <c r="AA968" s="308"/>
      <c r="AB968" s="308"/>
      <c r="AC968" s="707"/>
      <c r="AD968" s="707"/>
      <c r="AE968" s="707"/>
      <c r="AF968" s="707"/>
      <c r="AG968" s="707"/>
      <c r="AH968" s="707"/>
      <c r="AI968" s="707"/>
      <c r="AJ968" s="707"/>
      <c r="AK968" s="708"/>
      <c r="AL968" s="195"/>
      <c r="AM968" s="143"/>
      <c r="AN968" s="143"/>
      <c r="AO968" s="143"/>
      <c r="AP968" s="143"/>
      <c r="AQ968" s="143"/>
      <c r="AR968" s="143"/>
      <c r="AS968" s="143"/>
      <c r="AT968" s="143"/>
      <c r="AU968" s="143"/>
      <c r="AV968" s="143"/>
      <c r="AW968" s="143"/>
      <c r="AX968" s="143"/>
      <c r="AY968" s="143"/>
      <c r="AZ968" s="143"/>
      <c r="BA968" s="143"/>
      <c r="BB968" s="143"/>
      <c r="BC968" s="143"/>
      <c r="BD968" s="143"/>
      <c r="BE968" s="143"/>
      <c r="BF968" s="143"/>
      <c r="BG968" s="143"/>
      <c r="BH968" s="143"/>
      <c r="BI968" s="143"/>
      <c r="BJ968" s="143"/>
      <c r="BK968" s="143"/>
      <c r="BL968" s="143"/>
      <c r="BM968" s="143"/>
      <c r="BN968" s="143"/>
      <c r="BO968" s="143"/>
      <c r="BP968" s="143"/>
      <c r="BQ968" s="143"/>
      <c r="BR968" s="143"/>
      <c r="BS968" s="143"/>
      <c r="BT968" s="143"/>
      <c r="BU968" s="143"/>
      <c r="BV968" s="143"/>
      <c r="BW968" s="143"/>
      <c r="BX968" s="143"/>
      <c r="BY968" s="143"/>
      <c r="BZ968" s="143"/>
      <c r="CA968" s="143"/>
      <c r="CB968" s="143"/>
      <c r="CC968" s="143"/>
      <c r="CD968" s="143"/>
      <c r="CE968" s="143"/>
      <c r="CF968" s="143"/>
      <c r="CG968" s="143"/>
      <c r="CH968" s="143"/>
      <c r="CI968" s="143"/>
      <c r="CJ968" s="143"/>
      <c r="CK968" s="143"/>
      <c r="CL968" s="143"/>
      <c r="CM968" s="143"/>
      <c r="CN968" s="143"/>
      <c r="CO968" s="143"/>
      <c r="CP968" s="143"/>
      <c r="CQ968" s="143"/>
      <c r="CR968" s="143"/>
      <c r="CS968" s="143"/>
      <c r="CT968" s="143"/>
      <c r="CU968" s="143"/>
      <c r="CV968" s="143"/>
      <c r="CW968" s="143"/>
      <c r="CX968" s="143"/>
      <c r="CY968" s="143"/>
      <c r="CZ968" s="143"/>
      <c r="DA968" s="143"/>
      <c r="DB968" s="143"/>
      <c r="DC968" s="143"/>
      <c r="DD968" s="143"/>
      <c r="DE968" s="143"/>
      <c r="DF968" s="143"/>
      <c r="DG968" s="143"/>
      <c r="DH968" s="143"/>
      <c r="DI968" s="143"/>
      <c r="DJ968" s="143"/>
      <c r="DK968" s="143"/>
      <c r="DL968" s="143"/>
      <c r="DM968" s="143"/>
      <c r="DN968" s="143"/>
      <c r="DO968" s="143"/>
      <c r="DP968" s="143"/>
      <c r="DQ968" s="143"/>
      <c r="DR968" s="143"/>
      <c r="DS968" s="143"/>
      <c r="DT968" s="143"/>
      <c r="DU968" s="143"/>
      <c r="DV968" s="143"/>
      <c r="DW968" s="143"/>
      <c r="DX968" s="143"/>
      <c r="DY968" s="143"/>
      <c r="DZ968" s="143"/>
      <c r="EA968" s="143"/>
      <c r="EB968" s="143"/>
      <c r="EC968" s="143"/>
      <c r="ED968" s="143"/>
      <c r="EE968" s="143"/>
      <c r="EF968" s="143"/>
      <c r="EG968" s="143"/>
      <c r="EH968" s="143"/>
      <c r="EI968" s="143"/>
      <c r="EJ968" s="143"/>
      <c r="EK968" s="143"/>
      <c r="EL968" s="143"/>
      <c r="EM968" s="143"/>
      <c r="EN968" s="143"/>
      <c r="EO968" s="143"/>
      <c r="EP968" s="143"/>
      <c r="EQ968" s="143"/>
      <c r="ER968" s="143"/>
      <c r="ES968" s="143"/>
      <c r="ET968" s="143"/>
      <c r="EU968" s="143"/>
      <c r="EV968" s="143"/>
      <c r="EW968" s="143"/>
      <c r="EX968" s="143"/>
      <c r="EY968" s="143"/>
      <c r="EZ968" s="143"/>
      <c r="FA968" s="143"/>
      <c r="FB968" s="143"/>
      <c r="FC968" s="143"/>
      <c r="FD968" s="143"/>
      <c r="FE968" s="143"/>
      <c r="FF968" s="143"/>
      <c r="FG968" s="143"/>
      <c r="FH968" s="143"/>
      <c r="FI968" s="143"/>
      <c r="FJ968" s="143"/>
      <c r="FK968" s="143"/>
      <c r="FL968" s="143"/>
      <c r="FM968" s="143"/>
      <c r="FN968" s="143"/>
      <c r="FO968" s="143"/>
      <c r="FP968" s="143"/>
      <c r="FQ968" s="143"/>
      <c r="FR968" s="143"/>
      <c r="FS968" s="143"/>
      <c r="FT968" s="143"/>
      <c r="FU968" s="143"/>
      <c r="FV968" s="143"/>
      <c r="FW968" s="143"/>
      <c r="FX968" s="143"/>
      <c r="FY968" s="143"/>
      <c r="FZ968" s="143"/>
      <c r="GA968" s="143"/>
      <c r="GB968" s="143"/>
      <c r="GC968" s="143"/>
      <c r="GD968" s="143"/>
      <c r="GE968" s="143"/>
      <c r="GF968" s="143"/>
      <c r="GG968" s="143"/>
      <c r="GH968" s="143"/>
      <c r="GI968" s="143"/>
      <c r="GJ968" s="143"/>
      <c r="GK968" s="143"/>
      <c r="GL968" s="143"/>
      <c r="GM968" s="143"/>
      <c r="GN968" s="143"/>
      <c r="GO968" s="143"/>
      <c r="GP968" s="143"/>
      <c r="GQ968" s="143"/>
      <c r="GR968" s="143"/>
      <c r="GS968" s="143"/>
      <c r="GT968" s="143"/>
      <c r="GU968" s="143"/>
      <c r="GV968" s="143"/>
      <c r="GW968" s="143"/>
      <c r="GX968" s="143"/>
      <c r="GY968" s="143"/>
      <c r="GZ968" s="143"/>
      <c r="HA968" s="143"/>
      <c r="HB968" s="143"/>
      <c r="HC968" s="143"/>
      <c r="HD968" s="143"/>
      <c r="HE968" s="143"/>
      <c r="HF968" s="143"/>
      <c r="HG968" s="143"/>
      <c r="HH968" s="143"/>
      <c r="HI968" s="143"/>
      <c r="HJ968" s="143"/>
      <c r="HK968" s="143"/>
      <c r="HL968" s="143"/>
      <c r="HM968" s="143"/>
      <c r="HN968" s="143"/>
      <c r="HO968" s="143"/>
      <c r="HP968" s="143"/>
      <c r="HQ968" s="143"/>
      <c r="HR968" s="143"/>
      <c r="HS968" s="143"/>
      <c r="HT968" s="143"/>
      <c r="HU968" s="143"/>
      <c r="HV968" s="143"/>
      <c r="HW968" s="143"/>
      <c r="HX968" s="143"/>
      <c r="HY968" s="143"/>
      <c r="HZ968" s="143"/>
      <c r="IA968" s="143"/>
      <c r="IB968" s="143"/>
      <c r="IC968" s="143"/>
      <c r="ID968" s="143"/>
      <c r="IE968" s="143"/>
      <c r="IF968" s="143"/>
      <c r="IG968" s="143"/>
      <c r="IH968" s="143"/>
      <c r="II968" s="143"/>
      <c r="IJ968" s="143"/>
      <c r="IK968" s="143"/>
      <c r="IL968" s="143"/>
      <c r="IM968" s="143"/>
      <c r="IN968" s="143"/>
      <c r="IO968" s="143"/>
      <c r="IP968" s="143"/>
      <c r="IQ968" s="143"/>
      <c r="IR968" s="143"/>
      <c r="IS968" s="143"/>
      <c r="IT968" s="143"/>
      <c r="IU968" s="143"/>
      <c r="IV968" s="143"/>
      <c r="IW968" s="143"/>
      <c r="IX968" s="143"/>
      <c r="IY968" s="143"/>
      <c r="IZ968" s="143"/>
      <c r="JA968" s="143"/>
      <c r="JB968" s="143"/>
      <c r="JC968" s="143"/>
      <c r="JD968" s="143"/>
      <c r="JE968" s="143"/>
      <c r="JF968" s="143"/>
      <c r="JG968" s="143"/>
      <c r="JH968" s="143"/>
      <c r="JI968" s="143"/>
      <c r="JJ968" s="143"/>
      <c r="JK968" s="143"/>
      <c r="JL968" s="143"/>
      <c r="JM968" s="143"/>
      <c r="JN968" s="143"/>
      <c r="JO968" s="143"/>
      <c r="JP968" s="143"/>
      <c r="JQ968" s="143"/>
      <c r="JR968" s="143"/>
      <c r="JS968" s="143"/>
      <c r="JT968" s="143"/>
      <c r="JU968" s="143"/>
      <c r="JV968" s="143"/>
      <c r="JW968" s="143"/>
      <c r="JX968" s="143"/>
      <c r="JY968" s="143"/>
      <c r="JZ968" s="143"/>
      <c r="KA968" s="143"/>
      <c r="KB968" s="143"/>
      <c r="KC968" s="143"/>
      <c r="KD968" s="143"/>
      <c r="KE968" s="143"/>
      <c r="KF968" s="143"/>
      <c r="KG968" s="143"/>
      <c r="KH968" s="143"/>
      <c r="KI968" s="143"/>
      <c r="KJ968" s="143"/>
      <c r="KK968" s="143"/>
      <c r="KL968" s="143"/>
      <c r="KM968" s="143"/>
      <c r="KN968" s="143"/>
      <c r="KO968" s="143"/>
      <c r="KP968" s="143"/>
      <c r="KQ968" s="143"/>
      <c r="KR968" s="143"/>
      <c r="KS968" s="143"/>
      <c r="KT968" s="143"/>
      <c r="KU968" s="143"/>
      <c r="KV968" s="143"/>
      <c r="KW968" s="143"/>
      <c r="KX968" s="143"/>
      <c r="KY968" s="143"/>
      <c r="KZ968" s="143"/>
      <c r="LA968" s="143"/>
      <c r="LB968" s="143"/>
      <c r="LC968" s="143"/>
      <c r="LD968" s="143"/>
      <c r="LE968" s="143"/>
      <c r="LF968" s="143"/>
      <c r="LG968" s="143"/>
      <c r="LH968" s="143"/>
      <c r="LI968" s="143"/>
      <c r="LJ968" s="143"/>
      <c r="LK968" s="143"/>
      <c r="LL968" s="143"/>
      <c r="LM968" s="143"/>
      <c r="LN968" s="143"/>
      <c r="LO968" s="143"/>
      <c r="LP968" s="143"/>
      <c r="LQ968" s="143"/>
      <c r="LR968" s="143"/>
      <c r="LS968" s="143"/>
      <c r="LT968" s="143"/>
      <c r="LU968" s="143"/>
      <c r="LV968" s="143"/>
      <c r="LW968" s="143"/>
      <c r="LX968" s="143"/>
      <c r="LY968" s="143"/>
      <c r="LZ968" s="143"/>
      <c r="MA968" s="143"/>
      <c r="MB968" s="143"/>
      <c r="MC968" s="143"/>
      <c r="MD968" s="143"/>
      <c r="ME968" s="143"/>
      <c r="MF968" s="143"/>
      <c r="MG968" s="143"/>
      <c r="MH968" s="143"/>
      <c r="MI968" s="143"/>
      <c r="MJ968" s="143"/>
      <c r="MK968" s="143"/>
      <c r="ML968" s="143"/>
      <c r="MM968" s="143"/>
      <c r="MN968" s="143"/>
      <c r="MO968" s="143"/>
      <c r="MP968" s="143"/>
      <c r="MQ968" s="143"/>
      <c r="MR968" s="143"/>
      <c r="MS968" s="143"/>
      <c r="MT968" s="143"/>
      <c r="MU968" s="143"/>
      <c r="MV968" s="143"/>
      <c r="MW968" s="143"/>
      <c r="MX968" s="143"/>
      <c r="MY968" s="143"/>
      <c r="MZ968" s="143"/>
      <c r="NA968" s="143"/>
      <c r="NB968" s="143"/>
      <c r="NC968" s="143"/>
      <c r="ND968" s="143"/>
      <c r="NE968" s="143"/>
      <c r="NF968" s="143"/>
      <c r="NG968" s="143"/>
      <c r="NH968" s="143"/>
      <c r="NI968" s="143"/>
      <c r="NJ968" s="143"/>
      <c r="NK968" s="143"/>
      <c r="NL968" s="143"/>
      <c r="NM968" s="143"/>
      <c r="NN968" s="143"/>
      <c r="NO968" s="143"/>
      <c r="NP968" s="143"/>
      <c r="NQ968" s="143"/>
      <c r="NR968" s="143"/>
      <c r="NS968" s="143"/>
      <c r="NT968" s="143"/>
      <c r="NU968" s="143"/>
      <c r="NV968" s="143"/>
      <c r="NW968" s="143"/>
      <c r="NX968" s="143"/>
      <c r="NY968" s="143"/>
      <c r="NZ968" s="143"/>
      <c r="OA968" s="143"/>
      <c r="OB968" s="143"/>
      <c r="OC968" s="143"/>
      <c r="OD968" s="143"/>
      <c r="OE968" s="143"/>
      <c r="OF968" s="143"/>
      <c r="OG968" s="143"/>
      <c r="OH968" s="143"/>
      <c r="OI968" s="143"/>
      <c r="OJ968" s="143"/>
      <c r="OK968" s="143"/>
      <c r="OL968" s="143"/>
      <c r="OM968" s="143"/>
      <c r="ON968" s="143"/>
      <c r="OO968" s="143"/>
      <c r="OP968" s="143"/>
      <c r="OQ968" s="143"/>
      <c r="OR968" s="143"/>
      <c r="OS968" s="143"/>
      <c r="OT968" s="143"/>
      <c r="OU968" s="143"/>
      <c r="OV968" s="143"/>
      <c r="OW968" s="143"/>
      <c r="OX968" s="143"/>
      <c r="OY968" s="143"/>
      <c r="OZ968" s="143"/>
      <c r="PA968" s="143"/>
      <c r="PB968" s="143"/>
      <c r="PC968" s="143"/>
      <c r="PD968" s="143"/>
      <c r="PE968" s="143"/>
      <c r="PF968" s="143"/>
      <c r="PG968" s="143"/>
      <c r="PH968" s="143"/>
      <c r="PI968" s="143"/>
      <c r="PJ968" s="143"/>
      <c r="PK968" s="143"/>
      <c r="PL968" s="143"/>
      <c r="PM968" s="143"/>
      <c r="PN968" s="143"/>
      <c r="PO968" s="143"/>
      <c r="PP968" s="143"/>
      <c r="PQ968" s="143"/>
      <c r="PR968" s="143"/>
      <c r="PS968" s="143"/>
      <c r="PT968" s="143"/>
      <c r="PU968" s="143"/>
      <c r="PV968" s="143"/>
      <c r="PW968" s="143"/>
      <c r="PX968" s="143"/>
      <c r="PY968" s="143"/>
      <c r="PZ968" s="143"/>
      <c r="QA968" s="143"/>
      <c r="QB968" s="143"/>
      <c r="QC968" s="143"/>
      <c r="QD968" s="143"/>
      <c r="QE968" s="143"/>
      <c r="QF968" s="143"/>
      <c r="QG968" s="143"/>
      <c r="QH968" s="143"/>
      <c r="QI968" s="143"/>
      <c r="QJ968" s="143"/>
      <c r="QK968" s="143"/>
      <c r="QL968" s="143"/>
      <c r="QM968" s="143"/>
      <c r="QN968" s="143"/>
      <c r="QO968" s="143"/>
      <c r="QP968" s="143"/>
      <c r="QQ968" s="143"/>
      <c r="QR968" s="143"/>
      <c r="QS968" s="143"/>
      <c r="QT968" s="143"/>
      <c r="QU968" s="143"/>
      <c r="QV968" s="143"/>
      <c r="QW968" s="143"/>
      <c r="QX968" s="143"/>
      <c r="QY968" s="143"/>
      <c r="QZ968" s="143"/>
      <c r="RA968" s="143"/>
      <c r="RB968" s="143"/>
      <c r="RC968" s="143"/>
      <c r="RD968" s="143"/>
      <c r="RE968" s="143"/>
      <c r="RF968" s="143"/>
      <c r="RG968" s="143"/>
      <c r="RH968" s="143"/>
      <c r="RI968" s="143"/>
      <c r="RJ968" s="143"/>
      <c r="RK968" s="143"/>
      <c r="RL968" s="143"/>
      <c r="RM968" s="143"/>
      <c r="RN968" s="143"/>
      <c r="RO968" s="143"/>
      <c r="RP968" s="143"/>
      <c r="RQ968" s="143"/>
      <c r="RR968" s="143"/>
      <c r="RS968" s="143"/>
      <c r="RT968" s="143"/>
      <c r="RU968" s="143"/>
      <c r="RV968" s="143"/>
      <c r="RW968" s="143"/>
      <c r="RX968" s="143"/>
      <c r="RY968" s="143"/>
      <c r="RZ968" s="143"/>
      <c r="SA968" s="143"/>
      <c r="SB968" s="143"/>
      <c r="SC968" s="143"/>
      <c r="SD968" s="143"/>
      <c r="SE968" s="143"/>
      <c r="SF968" s="143"/>
      <c r="SG968" s="143"/>
      <c r="SH968" s="143"/>
      <c r="SI968" s="143"/>
      <c r="SJ968" s="143"/>
      <c r="SK968" s="143"/>
      <c r="SL968" s="143"/>
      <c r="SM968" s="143"/>
      <c r="SN968" s="143"/>
      <c r="SO968" s="143"/>
      <c r="SP968" s="143"/>
      <c r="SQ968" s="143"/>
      <c r="SR968" s="143"/>
      <c r="SS968" s="143"/>
      <c r="ST968" s="143"/>
      <c r="SU968" s="143"/>
      <c r="SV968" s="143"/>
      <c r="SW968" s="143"/>
      <c r="SX968" s="143"/>
      <c r="SY968" s="143"/>
      <c r="SZ968" s="143"/>
      <c r="TA968" s="143"/>
      <c r="TB968" s="143"/>
      <c r="TC968" s="143"/>
      <c r="TD968" s="143"/>
      <c r="TE968" s="143"/>
      <c r="TF968" s="143"/>
      <c r="TG968" s="143"/>
      <c r="TH968" s="143"/>
      <c r="TI968" s="143"/>
      <c r="TJ968" s="143"/>
      <c r="TK968" s="143"/>
      <c r="TL968" s="143"/>
      <c r="TM968" s="143"/>
      <c r="TN968" s="143"/>
      <c r="TO968" s="143"/>
      <c r="TP968" s="143"/>
      <c r="TQ968" s="143"/>
      <c r="TR968" s="143"/>
      <c r="TS968" s="143"/>
      <c r="TT968" s="143"/>
      <c r="TU968" s="143"/>
      <c r="TV968" s="143"/>
      <c r="TW968" s="143"/>
      <c r="TX968" s="143"/>
      <c r="TY968" s="143"/>
      <c r="TZ968" s="143"/>
      <c r="UA968" s="143"/>
      <c r="UB968" s="143"/>
      <c r="UC968" s="143"/>
      <c r="UD968" s="143"/>
      <c r="UE968" s="143"/>
      <c r="UF968" s="143"/>
      <c r="UG968" s="144"/>
    </row>
    <row r="969" spans="1:553" s="142" customFormat="1" ht="46.5" customHeight="1">
      <c r="A969" s="444"/>
      <c r="B969" s="532"/>
      <c r="C969" s="1446" t="s">
        <v>275</v>
      </c>
      <c r="D969" s="1502"/>
      <c r="E969" s="1502"/>
      <c r="F969" s="1503"/>
      <c r="G969" s="386" t="s">
        <v>65</v>
      </c>
      <c r="H969" s="672"/>
      <c r="I969" s="728"/>
      <c r="J969" s="368"/>
      <c r="K969" s="686"/>
      <c r="L969" s="480"/>
      <c r="M969" s="444"/>
      <c r="N969" s="444"/>
      <c r="O969" s="444"/>
      <c r="P969" s="444"/>
      <c r="Q969" s="1251"/>
      <c r="R969" s="1238"/>
      <c r="S969" s="308"/>
      <c r="T969" s="308"/>
      <c r="U969" s="308"/>
      <c r="V969" s="308"/>
      <c r="W969" s="308"/>
      <c r="X969" s="308"/>
      <c r="Y969" s="308"/>
      <c r="Z969" s="604"/>
      <c r="AA969" s="308"/>
      <c r="AB969" s="308"/>
      <c r="AC969" s="729"/>
      <c r="AD969" s="729"/>
      <c r="AE969" s="729"/>
      <c r="AF969" s="729"/>
      <c r="AG969" s="729"/>
      <c r="AH969" s="729"/>
      <c r="AI969" s="729"/>
      <c r="AJ969" s="729"/>
      <c r="AK969" s="730"/>
      <c r="AL969" s="354"/>
      <c r="AM969" s="145"/>
      <c r="AN969" s="145"/>
      <c r="AO969" s="145"/>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6"/>
      <c r="BQ969" s="146"/>
      <c r="BR969" s="146"/>
      <c r="BS969" s="146"/>
      <c r="BT969" s="146"/>
      <c r="BU969" s="146"/>
      <c r="BV969" s="146"/>
      <c r="BW969" s="146"/>
      <c r="BX969" s="146"/>
      <c r="BY969" s="146"/>
      <c r="BZ969" s="146"/>
      <c r="CA969" s="146"/>
      <c r="CB969" s="146"/>
      <c r="CC969" s="146"/>
      <c r="CD969" s="146"/>
      <c r="CE969" s="146"/>
      <c r="CF969" s="146"/>
      <c r="CG969" s="146"/>
      <c r="CH969" s="146"/>
      <c r="CI969" s="146"/>
      <c r="CJ969" s="146"/>
      <c r="CK969" s="146"/>
      <c r="CL969" s="146"/>
      <c r="CM969" s="146"/>
      <c r="CN969" s="146"/>
      <c r="CO969" s="146"/>
      <c r="CP969" s="146"/>
      <c r="CQ969" s="146"/>
      <c r="CR969" s="146"/>
      <c r="CS969" s="146"/>
      <c r="CT969" s="146"/>
      <c r="CU969" s="146"/>
      <c r="CV969" s="146"/>
      <c r="CW969" s="146"/>
      <c r="CX969" s="146"/>
      <c r="CY969" s="146"/>
      <c r="CZ969" s="146"/>
      <c r="DA969" s="146"/>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c r="EC969" s="146"/>
      <c r="ED969" s="146"/>
      <c r="EE969" s="146"/>
      <c r="EF969" s="146"/>
      <c r="EG969" s="146"/>
      <c r="EH969" s="146"/>
      <c r="EI969" s="146"/>
      <c r="EJ969" s="146"/>
      <c r="EK969" s="146"/>
      <c r="EL969" s="146"/>
      <c r="EM969" s="146"/>
      <c r="EN969" s="146"/>
      <c r="EO969" s="146"/>
      <c r="EP969" s="146"/>
      <c r="EQ969" s="146"/>
      <c r="ER969" s="146"/>
      <c r="ES969" s="146"/>
      <c r="ET969" s="146"/>
      <c r="EU969" s="146"/>
      <c r="EV969" s="146"/>
      <c r="EW969" s="146"/>
      <c r="EX969" s="146"/>
      <c r="EY969" s="146"/>
      <c r="EZ969" s="146"/>
      <c r="FA969" s="146"/>
      <c r="FB969" s="146"/>
      <c r="FC969" s="146"/>
      <c r="FD969" s="146"/>
      <c r="FE969" s="146"/>
      <c r="FF969" s="146"/>
      <c r="FG969" s="146"/>
      <c r="FH969" s="146"/>
      <c r="FI969" s="146"/>
      <c r="FJ969" s="146"/>
      <c r="FK969" s="146"/>
      <c r="FL969" s="146"/>
      <c r="FM969" s="146"/>
      <c r="FN969" s="146"/>
      <c r="FO969" s="146"/>
      <c r="FP969" s="146"/>
      <c r="FQ969" s="146"/>
      <c r="FR969" s="146"/>
      <c r="FS969" s="146"/>
      <c r="FT969" s="146"/>
      <c r="FU969" s="146"/>
      <c r="FV969" s="146"/>
      <c r="FW969" s="146"/>
      <c r="FX969" s="146"/>
      <c r="FY969" s="146"/>
      <c r="FZ969" s="146"/>
      <c r="GA969" s="146"/>
      <c r="GB969" s="146"/>
      <c r="GC969" s="146"/>
      <c r="GD969" s="146"/>
      <c r="GE969" s="146"/>
      <c r="GF969" s="146"/>
      <c r="GG969" s="146"/>
      <c r="GH969" s="146"/>
      <c r="GI969" s="146"/>
      <c r="GJ969" s="146"/>
      <c r="GK969" s="146"/>
      <c r="GL969" s="146"/>
      <c r="GM969" s="146"/>
      <c r="GN969" s="146"/>
      <c r="GO969" s="146"/>
      <c r="GP969" s="146"/>
      <c r="GQ969" s="146"/>
      <c r="GR969" s="146"/>
      <c r="GS969" s="146"/>
      <c r="GT969" s="146"/>
      <c r="GU969" s="146"/>
      <c r="GV969" s="146"/>
      <c r="GW969" s="146"/>
      <c r="GX969" s="146"/>
      <c r="GY969" s="146"/>
      <c r="GZ969" s="146"/>
      <c r="HA969" s="146"/>
      <c r="HB969" s="146"/>
      <c r="HC969" s="146"/>
      <c r="HD969" s="146"/>
      <c r="HE969" s="146"/>
      <c r="HF969" s="146"/>
      <c r="HG969" s="146"/>
      <c r="HH969" s="146"/>
      <c r="HI969" s="146"/>
      <c r="HJ969" s="146"/>
      <c r="HK969" s="146"/>
      <c r="HL969" s="146"/>
      <c r="HM969" s="146"/>
      <c r="HN969" s="146"/>
      <c r="HO969" s="146"/>
      <c r="HP969" s="146"/>
      <c r="HQ969" s="146"/>
      <c r="HR969" s="146"/>
      <c r="HS969" s="146"/>
      <c r="HT969" s="146"/>
      <c r="HU969" s="146"/>
      <c r="HV969" s="146"/>
      <c r="HW969" s="146"/>
      <c r="HX969" s="146"/>
      <c r="HY969" s="146"/>
      <c r="HZ969" s="146"/>
      <c r="IA969" s="146"/>
      <c r="IB969" s="146"/>
      <c r="IC969" s="146"/>
      <c r="ID969" s="146"/>
      <c r="IE969" s="146"/>
      <c r="IF969" s="146"/>
      <c r="IG969" s="146"/>
      <c r="IH969" s="146"/>
      <c r="II969" s="146"/>
      <c r="IJ969" s="146"/>
      <c r="IK969" s="146"/>
      <c r="IL969" s="146"/>
      <c r="IM969" s="146"/>
      <c r="IN969" s="146"/>
      <c r="IO969" s="146"/>
      <c r="IP969" s="146"/>
      <c r="IQ969" s="146"/>
      <c r="IR969" s="146"/>
      <c r="IS969" s="146"/>
      <c r="IT969" s="146"/>
      <c r="IU969" s="146"/>
      <c r="IV969" s="146"/>
      <c r="IW969" s="146"/>
      <c r="IX969" s="146"/>
      <c r="IY969" s="146"/>
      <c r="IZ969" s="146"/>
      <c r="JA969" s="146"/>
      <c r="JB969" s="146"/>
      <c r="JC969" s="146"/>
      <c r="JD969" s="146"/>
      <c r="JE969" s="146"/>
      <c r="JF969" s="146"/>
      <c r="JG969" s="146"/>
      <c r="JH969" s="146"/>
      <c r="JI969" s="146"/>
      <c r="JJ969" s="146"/>
      <c r="JK969" s="146"/>
      <c r="JL969" s="146"/>
      <c r="JM969" s="146"/>
      <c r="JN969" s="146"/>
      <c r="JO969" s="146"/>
      <c r="JP969" s="146"/>
      <c r="JQ969" s="146"/>
      <c r="JR969" s="146"/>
      <c r="JS969" s="146"/>
      <c r="JT969" s="146"/>
      <c r="JU969" s="146"/>
      <c r="JV969" s="146"/>
      <c r="JW969" s="146"/>
      <c r="JX969" s="146"/>
      <c r="JY969" s="146"/>
      <c r="JZ969" s="146"/>
      <c r="KA969" s="146"/>
      <c r="KB969" s="146"/>
      <c r="KC969" s="146"/>
      <c r="KD969" s="146"/>
      <c r="KE969" s="146"/>
      <c r="KF969" s="146"/>
      <c r="KG969" s="146"/>
      <c r="KH969" s="146"/>
      <c r="KI969" s="146"/>
      <c r="KJ969" s="146"/>
      <c r="KK969" s="146"/>
      <c r="KL969" s="146"/>
      <c r="KM969" s="146"/>
      <c r="KN969" s="146"/>
      <c r="KO969" s="146"/>
      <c r="KP969" s="146"/>
      <c r="KQ969" s="146"/>
      <c r="KR969" s="146"/>
      <c r="KS969" s="146"/>
      <c r="KT969" s="146"/>
      <c r="KU969" s="146"/>
      <c r="KV969" s="146"/>
      <c r="KW969" s="146"/>
      <c r="KX969" s="146"/>
      <c r="KY969" s="146"/>
      <c r="KZ969" s="146"/>
      <c r="LA969" s="146"/>
      <c r="LB969" s="146"/>
      <c r="LC969" s="146"/>
      <c r="LD969" s="146"/>
      <c r="LE969" s="146"/>
      <c r="LF969" s="146"/>
      <c r="LG969" s="146"/>
      <c r="LH969" s="146"/>
      <c r="LI969" s="146"/>
      <c r="LJ969" s="146"/>
      <c r="LK969" s="146"/>
      <c r="LL969" s="146"/>
      <c r="LM969" s="146"/>
      <c r="LN969" s="146"/>
      <c r="LO969" s="146"/>
      <c r="LP969" s="146"/>
      <c r="LQ969" s="146"/>
      <c r="LR969" s="146"/>
      <c r="LS969" s="146"/>
      <c r="LT969" s="146"/>
      <c r="LU969" s="146"/>
      <c r="LV969" s="146"/>
      <c r="LW969" s="146"/>
      <c r="LX969" s="146"/>
      <c r="LY969" s="146"/>
      <c r="LZ969" s="146"/>
      <c r="MA969" s="146"/>
      <c r="MB969" s="146"/>
      <c r="MC969" s="146"/>
      <c r="MD969" s="146"/>
      <c r="ME969" s="146"/>
      <c r="MF969" s="146"/>
      <c r="MG969" s="146"/>
      <c r="MH969" s="146"/>
      <c r="MI969" s="146"/>
      <c r="MJ969" s="146"/>
      <c r="MK969" s="146"/>
      <c r="ML969" s="146"/>
      <c r="MM969" s="146"/>
      <c r="MN969" s="146"/>
      <c r="MO969" s="146"/>
      <c r="MP969" s="146"/>
      <c r="MQ969" s="146"/>
      <c r="MR969" s="146"/>
      <c r="MS969" s="146"/>
      <c r="MT969" s="146"/>
      <c r="MU969" s="146"/>
      <c r="MV969" s="146"/>
      <c r="MW969" s="146"/>
      <c r="MX969" s="146"/>
      <c r="MY969" s="146"/>
      <c r="MZ969" s="146"/>
      <c r="NA969" s="146"/>
      <c r="NB969" s="146"/>
      <c r="NC969" s="146"/>
      <c r="ND969" s="146"/>
      <c r="NE969" s="146"/>
      <c r="NF969" s="146"/>
      <c r="NG969" s="146"/>
      <c r="NH969" s="146"/>
      <c r="NI969" s="146"/>
      <c r="NJ969" s="146"/>
      <c r="NK969" s="146"/>
      <c r="NL969" s="146"/>
      <c r="NM969" s="146"/>
      <c r="NN969" s="146"/>
      <c r="NO969" s="146"/>
      <c r="NP969" s="146"/>
      <c r="NQ969" s="146"/>
      <c r="NR969" s="146"/>
      <c r="NS969" s="146"/>
      <c r="NT969" s="146"/>
      <c r="NU969" s="146"/>
      <c r="NV969" s="146"/>
      <c r="NW969" s="146"/>
      <c r="NX969" s="146"/>
      <c r="NY969" s="146"/>
      <c r="NZ969" s="146"/>
      <c r="OA969" s="146"/>
      <c r="OB969" s="146"/>
      <c r="OC969" s="146"/>
      <c r="OD969" s="146"/>
      <c r="OE969" s="146"/>
      <c r="OF969" s="146"/>
      <c r="OG969" s="146"/>
      <c r="OH969" s="146"/>
      <c r="OI969" s="146"/>
      <c r="OJ969" s="146"/>
      <c r="OK969" s="146"/>
      <c r="OL969" s="146"/>
      <c r="OM969" s="146"/>
      <c r="ON969" s="146"/>
      <c r="OO969" s="146"/>
      <c r="OP969" s="146"/>
      <c r="OQ969" s="146"/>
      <c r="OR969" s="146"/>
      <c r="OS969" s="146"/>
      <c r="OT969" s="146"/>
      <c r="OU969" s="146"/>
      <c r="OV969" s="146"/>
      <c r="OW969" s="146"/>
      <c r="OX969" s="146"/>
      <c r="OY969" s="146"/>
      <c r="OZ969" s="146"/>
      <c r="PA969" s="146"/>
      <c r="PB969" s="146"/>
      <c r="PC969" s="146"/>
      <c r="PD969" s="146"/>
      <c r="PE969" s="146"/>
      <c r="PF969" s="146"/>
      <c r="PG969" s="146"/>
      <c r="PH969" s="146"/>
      <c r="PI969" s="146"/>
      <c r="PJ969" s="146"/>
      <c r="PK969" s="146"/>
      <c r="PL969" s="146"/>
      <c r="PM969" s="146"/>
      <c r="PN969" s="146"/>
      <c r="PO969" s="146"/>
      <c r="PP969" s="146"/>
      <c r="PQ969" s="146"/>
      <c r="PR969" s="146"/>
      <c r="PS969" s="146"/>
      <c r="PT969" s="146"/>
      <c r="PU969" s="146"/>
      <c r="PV969" s="146"/>
      <c r="PW969" s="146"/>
      <c r="PX969" s="146"/>
      <c r="PY969" s="146"/>
      <c r="PZ969" s="146"/>
      <c r="QA969" s="146"/>
      <c r="QB969" s="146"/>
      <c r="QC969" s="146"/>
      <c r="QD969" s="146"/>
      <c r="QE969" s="146"/>
      <c r="QF969" s="146"/>
      <c r="QG969" s="146"/>
      <c r="QH969" s="146"/>
      <c r="QI969" s="146"/>
      <c r="QJ969" s="146"/>
      <c r="QK969" s="146"/>
      <c r="QL969" s="146"/>
      <c r="QM969" s="146"/>
      <c r="QN969" s="146"/>
      <c r="QO969" s="146"/>
      <c r="QP969" s="146"/>
      <c r="QQ969" s="146"/>
      <c r="QR969" s="146"/>
      <c r="QS969" s="146"/>
      <c r="QT969" s="146"/>
      <c r="QU969" s="146"/>
      <c r="QV969" s="146"/>
      <c r="QW969" s="146"/>
      <c r="QX969" s="146"/>
      <c r="QY969" s="146"/>
      <c r="QZ969" s="146"/>
      <c r="RA969" s="146"/>
      <c r="RB969" s="146"/>
      <c r="RC969" s="146"/>
      <c r="RD969" s="146"/>
      <c r="RE969" s="146"/>
      <c r="RF969" s="146"/>
      <c r="RG969" s="146"/>
      <c r="RH969" s="146"/>
      <c r="RI969" s="146"/>
      <c r="RJ969" s="146"/>
      <c r="RK969" s="146"/>
      <c r="RL969" s="146"/>
      <c r="RM969" s="146"/>
      <c r="RN969" s="146"/>
      <c r="RO969" s="146"/>
      <c r="RP969" s="146"/>
      <c r="RQ969" s="146"/>
      <c r="RR969" s="146"/>
      <c r="RS969" s="146"/>
      <c r="RT969" s="146"/>
      <c r="RU969" s="146"/>
      <c r="RV969" s="146"/>
      <c r="RW969" s="146"/>
      <c r="RX969" s="146"/>
      <c r="RY969" s="146"/>
      <c r="RZ969" s="146"/>
      <c r="SA969" s="146"/>
      <c r="SB969" s="146"/>
      <c r="SC969" s="146"/>
      <c r="SD969" s="146"/>
      <c r="SE969" s="146"/>
      <c r="SF969" s="146"/>
      <c r="SG969" s="146"/>
      <c r="SH969" s="146"/>
      <c r="SI969" s="146"/>
      <c r="SJ969" s="146"/>
      <c r="SK969" s="146"/>
      <c r="SL969" s="146"/>
      <c r="SM969" s="146"/>
      <c r="SN969" s="146"/>
      <c r="SO969" s="146"/>
      <c r="SP969" s="146"/>
      <c r="SQ969" s="146"/>
      <c r="SR969" s="146"/>
      <c r="SS969" s="146"/>
      <c r="ST969" s="146"/>
      <c r="SU969" s="146"/>
      <c r="SV969" s="146"/>
      <c r="SW969" s="146"/>
      <c r="SX969" s="146"/>
      <c r="SY969" s="146"/>
      <c r="SZ969" s="146"/>
      <c r="TA969" s="146"/>
      <c r="TB969" s="146"/>
      <c r="TC969" s="146"/>
      <c r="TD969" s="146"/>
      <c r="TE969" s="146"/>
      <c r="TF969" s="146"/>
      <c r="TG969" s="146"/>
      <c r="TH969" s="146"/>
      <c r="TI969" s="146"/>
      <c r="TJ969" s="146"/>
      <c r="TK969" s="146"/>
      <c r="TL969" s="146"/>
      <c r="TM969" s="146"/>
      <c r="TN969" s="146"/>
      <c r="TO969" s="146"/>
      <c r="TP969" s="146"/>
      <c r="TQ969" s="146"/>
      <c r="TR969" s="146"/>
      <c r="TS969" s="146"/>
      <c r="TT969" s="146"/>
      <c r="TU969" s="146"/>
      <c r="TV969" s="146"/>
      <c r="TW969" s="146"/>
      <c r="TX969" s="146"/>
      <c r="TY969" s="146"/>
      <c r="TZ969" s="146"/>
      <c r="UA969" s="146"/>
      <c r="UB969" s="146"/>
      <c r="UC969" s="146"/>
      <c r="UD969" s="146"/>
      <c r="UE969" s="146"/>
      <c r="UF969" s="146"/>
      <c r="UG969" s="147"/>
    </row>
    <row r="970" spans="1:553" ht="46.5" customHeight="1">
      <c r="A970" s="356"/>
      <c r="B970" s="428"/>
      <c r="C970" s="1401" t="s">
        <v>276</v>
      </c>
      <c r="D970" s="1455"/>
      <c r="E970" s="1455"/>
      <c r="F970" s="1456"/>
      <c r="G970" s="366" t="s">
        <v>205</v>
      </c>
      <c r="H970" s="417"/>
      <c r="I970" s="728"/>
      <c r="J970" s="368"/>
      <c r="K970" s="369"/>
      <c r="L970" s="480"/>
      <c r="M970" s="356"/>
      <c r="N970" s="356"/>
      <c r="O970" s="356"/>
      <c r="P970" s="356"/>
      <c r="Q970" s="610"/>
      <c r="R970" s="1228"/>
      <c r="S970" s="308"/>
      <c r="T970" s="308"/>
      <c r="U970" s="308"/>
      <c r="V970" s="308"/>
      <c r="W970" s="308"/>
      <c r="X970" s="308"/>
      <c r="Y970" s="308"/>
      <c r="Z970" s="604"/>
      <c r="AA970" s="308"/>
      <c r="AB970" s="308"/>
      <c r="AC970" s="454"/>
      <c r="AD970" s="454"/>
      <c r="AE970" s="454"/>
      <c r="AF970" s="454"/>
      <c r="AG970" s="454"/>
      <c r="AH970" s="454"/>
      <c r="AI970" s="454"/>
      <c r="AJ970" s="454"/>
      <c r="AK970" s="455"/>
      <c r="AL970" s="110"/>
      <c r="AM970" s="34"/>
      <c r="AN970" s="34"/>
      <c r="AO970" s="34"/>
      <c r="AP970" s="34"/>
      <c r="AQ970" s="34"/>
      <c r="AR970" s="34"/>
      <c r="AS970" s="35"/>
      <c r="AT970" s="35"/>
      <c r="AU970" s="35"/>
      <c r="AV970" s="35"/>
      <c r="AW970" s="35"/>
      <c r="AX970" s="35"/>
      <c r="AY970" s="35"/>
      <c r="AZ970" s="35"/>
      <c r="BA970" s="35"/>
      <c r="BB970" s="35"/>
      <c r="BC970" s="35"/>
      <c r="BD970" s="35"/>
      <c r="BE970" s="35"/>
      <c r="BF970" s="35"/>
      <c r="BG970" s="35"/>
      <c r="BH970" s="35"/>
      <c r="BI970" s="35"/>
      <c r="BJ970" s="35"/>
      <c r="BK970" s="35"/>
      <c r="BL970" s="35"/>
      <c r="BM970" s="35"/>
      <c r="BN970" s="35"/>
      <c r="BO970" s="35"/>
      <c r="BP970" s="36"/>
      <c r="BQ970" s="36"/>
      <c r="BR970" s="36"/>
      <c r="BS970" s="36"/>
      <c r="BT970" s="36"/>
      <c r="BU970" s="36"/>
      <c r="BV970" s="36"/>
      <c r="BW970" s="36"/>
      <c r="BX970" s="36"/>
      <c r="BY970" s="36"/>
      <c r="BZ970" s="36"/>
      <c r="CA970" s="36"/>
      <c r="CB970" s="36"/>
      <c r="CC970" s="36"/>
      <c r="CD970" s="36"/>
      <c r="CE970" s="36"/>
      <c r="CF970" s="36"/>
      <c r="CG970" s="36"/>
      <c r="CH970" s="36"/>
      <c r="CI970" s="36"/>
      <c r="CJ970" s="36"/>
      <c r="CK970" s="36"/>
      <c r="CL970" s="36"/>
      <c r="CM970" s="36"/>
      <c r="CN970" s="36"/>
      <c r="CO970" s="36"/>
      <c r="CP970" s="36"/>
      <c r="CQ970" s="36"/>
      <c r="CR970" s="36"/>
      <c r="CS970" s="36"/>
      <c r="CT970" s="36"/>
      <c r="CU970" s="36"/>
      <c r="CV970" s="36"/>
      <c r="CW970" s="36"/>
      <c r="CX970" s="36"/>
      <c r="CY970" s="36"/>
      <c r="CZ970" s="36"/>
      <c r="DA970" s="36"/>
      <c r="DB970" s="36"/>
      <c r="DC970" s="36"/>
      <c r="DD970" s="36"/>
      <c r="DE970" s="36"/>
      <c r="DF970" s="36"/>
      <c r="DG970" s="36"/>
      <c r="DH970" s="36"/>
      <c r="DI970" s="36"/>
      <c r="DJ970" s="36"/>
      <c r="DK970" s="36"/>
      <c r="DL970" s="36"/>
      <c r="DM970" s="36"/>
      <c r="DN970" s="36"/>
      <c r="DO970" s="36"/>
      <c r="DP970" s="36"/>
      <c r="DQ970" s="36"/>
      <c r="DR970" s="36"/>
      <c r="DS970" s="36"/>
      <c r="DT970" s="36"/>
      <c r="DU970" s="36"/>
      <c r="DV970" s="36"/>
      <c r="DW970" s="36"/>
      <c r="DX970" s="36"/>
      <c r="DY970" s="36"/>
      <c r="DZ970" s="36"/>
      <c r="EA970" s="36"/>
      <c r="EB970" s="36"/>
      <c r="EC970" s="36"/>
      <c r="ED970" s="36"/>
      <c r="EE970" s="36"/>
      <c r="EF970" s="36"/>
      <c r="EG970" s="36"/>
      <c r="EH970" s="36"/>
      <c r="EI970" s="36"/>
      <c r="EJ970" s="36"/>
      <c r="EK970" s="36"/>
      <c r="EL970" s="36"/>
      <c r="EM970" s="36"/>
      <c r="EN970" s="36"/>
      <c r="EO970" s="36"/>
      <c r="EP970" s="36"/>
      <c r="EQ970" s="36"/>
      <c r="ER970" s="36"/>
      <c r="ES970" s="36"/>
      <c r="ET970" s="36"/>
      <c r="EU970" s="36"/>
      <c r="EV970" s="36"/>
      <c r="EW970" s="36"/>
      <c r="EX970" s="36"/>
      <c r="EY970" s="36"/>
      <c r="EZ970" s="36"/>
      <c r="FA970" s="36"/>
      <c r="FB970" s="36"/>
      <c r="FC970" s="36"/>
      <c r="FD970" s="36"/>
      <c r="FE970" s="36"/>
      <c r="FF970" s="36"/>
      <c r="FG970" s="36"/>
      <c r="FH970" s="36"/>
      <c r="FI970" s="36"/>
      <c r="FJ970" s="36"/>
      <c r="FK970" s="36"/>
      <c r="FL970" s="36"/>
      <c r="FM970" s="36"/>
      <c r="FN970" s="36"/>
      <c r="FO970" s="36"/>
      <c r="FP970" s="36"/>
      <c r="FQ970" s="36"/>
      <c r="FR970" s="36"/>
      <c r="FS970" s="36"/>
      <c r="FT970" s="36"/>
      <c r="FU970" s="36"/>
      <c r="FV970" s="36"/>
      <c r="FW970" s="36"/>
      <c r="FX970" s="36"/>
      <c r="FY970" s="36"/>
      <c r="FZ970" s="36"/>
      <c r="GA970" s="36"/>
      <c r="GB970" s="36"/>
      <c r="GC970" s="36"/>
      <c r="GD970" s="36"/>
      <c r="GE970" s="36"/>
      <c r="GF970" s="36"/>
      <c r="GG970" s="36"/>
      <c r="GH970" s="36"/>
      <c r="GI970" s="36"/>
      <c r="GJ970" s="36"/>
      <c r="GK970" s="36"/>
      <c r="GL970" s="36"/>
      <c r="GM970" s="36"/>
      <c r="GN970" s="36"/>
      <c r="GO970" s="36"/>
      <c r="GP970" s="36"/>
      <c r="GQ970" s="36"/>
      <c r="GR970" s="36"/>
      <c r="GS970" s="36"/>
      <c r="GT970" s="36"/>
      <c r="GU970" s="36"/>
      <c r="GV970" s="36"/>
      <c r="GW970" s="36"/>
      <c r="GX970" s="36"/>
      <c r="GY970" s="36"/>
      <c r="GZ970" s="36"/>
      <c r="HA970" s="36"/>
      <c r="HB970" s="36"/>
      <c r="HC970" s="36"/>
      <c r="HD970" s="36"/>
      <c r="HE970" s="36"/>
      <c r="HF970" s="36"/>
      <c r="HG970" s="36"/>
      <c r="HH970" s="36"/>
      <c r="HI970" s="36"/>
      <c r="HJ970" s="36"/>
      <c r="HK970" s="36"/>
      <c r="HL970" s="36"/>
      <c r="HM970" s="36"/>
      <c r="HN970" s="36"/>
      <c r="HO970" s="36"/>
      <c r="HP970" s="36"/>
      <c r="HQ970" s="36"/>
      <c r="HR970" s="36"/>
      <c r="HS970" s="36"/>
      <c r="HT970" s="36"/>
      <c r="HU970" s="36"/>
      <c r="HV970" s="36"/>
      <c r="HW970" s="36"/>
      <c r="HX970" s="36"/>
      <c r="HY970" s="36"/>
      <c r="HZ970" s="36"/>
      <c r="IA970" s="36"/>
      <c r="IB970" s="36"/>
      <c r="IC970" s="36"/>
      <c r="ID970" s="36"/>
      <c r="IE970" s="36"/>
      <c r="IF970" s="36"/>
      <c r="IG970" s="36"/>
      <c r="IH970" s="36"/>
      <c r="II970" s="36"/>
      <c r="IJ970" s="36"/>
      <c r="IK970" s="36"/>
      <c r="IL970" s="36"/>
      <c r="IM970" s="36"/>
      <c r="IN970" s="36"/>
      <c r="IO970" s="36"/>
      <c r="IP970" s="36"/>
      <c r="IQ970" s="36"/>
      <c r="IR970" s="36"/>
      <c r="IS970" s="36"/>
      <c r="IT970" s="36"/>
      <c r="IU970" s="36"/>
      <c r="IV970" s="36"/>
      <c r="IW970" s="36"/>
      <c r="IX970" s="36"/>
      <c r="IY970" s="36"/>
      <c r="IZ970" s="36"/>
      <c r="JA970" s="36"/>
      <c r="JB970" s="36"/>
      <c r="JC970" s="36"/>
      <c r="JD970" s="36"/>
      <c r="JE970" s="36"/>
      <c r="JF970" s="36"/>
      <c r="JG970" s="36"/>
      <c r="JH970" s="36"/>
      <c r="JI970" s="36"/>
      <c r="JJ970" s="36"/>
      <c r="JK970" s="36"/>
      <c r="JL970" s="36"/>
      <c r="JM970" s="36"/>
      <c r="JN970" s="36"/>
      <c r="JO970" s="36"/>
      <c r="JP970" s="36"/>
      <c r="JQ970" s="36"/>
      <c r="JR970" s="36"/>
      <c r="JS970" s="36"/>
      <c r="JT970" s="36"/>
      <c r="JU970" s="36"/>
      <c r="JV970" s="36"/>
      <c r="JW970" s="36"/>
      <c r="JX970" s="36"/>
      <c r="JY970" s="36"/>
      <c r="JZ970" s="36"/>
      <c r="KA970" s="36"/>
      <c r="KB970" s="36"/>
      <c r="KC970" s="36"/>
      <c r="KD970" s="36"/>
      <c r="KE970" s="36"/>
      <c r="KF970" s="36"/>
      <c r="KG970" s="36"/>
      <c r="KH970" s="36"/>
      <c r="KI970" s="36"/>
      <c r="KJ970" s="36"/>
      <c r="KK970" s="36"/>
      <c r="KL970" s="36"/>
      <c r="KM970" s="36"/>
      <c r="KN970" s="36"/>
      <c r="KO970" s="36"/>
      <c r="KP970" s="36"/>
      <c r="KQ970" s="36"/>
      <c r="KR970" s="36"/>
      <c r="KS970" s="36"/>
      <c r="KT970" s="36"/>
      <c r="KU970" s="36"/>
      <c r="KV970" s="36"/>
      <c r="KW970" s="36"/>
      <c r="KX970" s="36"/>
      <c r="KY970" s="36"/>
      <c r="KZ970" s="36"/>
      <c r="LA970" s="36"/>
      <c r="LB970" s="36"/>
      <c r="LC970" s="36"/>
      <c r="LD970" s="36"/>
      <c r="LE970" s="36"/>
      <c r="LF970" s="36"/>
      <c r="LG970" s="36"/>
      <c r="LH970" s="36"/>
      <c r="LI970" s="36"/>
      <c r="LJ970" s="36"/>
      <c r="LK970" s="36"/>
      <c r="LL970" s="36"/>
      <c r="LM970" s="36"/>
      <c r="LN970" s="36"/>
      <c r="LO970" s="36"/>
      <c r="LP970" s="36"/>
      <c r="LQ970" s="36"/>
      <c r="LR970" s="36"/>
      <c r="LS970" s="36"/>
      <c r="LT970" s="36"/>
      <c r="LU970" s="36"/>
      <c r="LV970" s="36"/>
      <c r="LW970" s="36"/>
      <c r="LX970" s="36"/>
      <c r="LY970" s="36"/>
      <c r="LZ970" s="36"/>
      <c r="MA970" s="36"/>
      <c r="MB970" s="36"/>
      <c r="MC970" s="36"/>
      <c r="MD970" s="36"/>
      <c r="ME970" s="36"/>
      <c r="MF970" s="36"/>
      <c r="MG970" s="36"/>
      <c r="MH970" s="36"/>
      <c r="MI970" s="36"/>
      <c r="MJ970" s="36"/>
      <c r="MK970" s="36"/>
      <c r="ML970" s="36"/>
      <c r="MM970" s="36"/>
      <c r="MN970" s="36"/>
      <c r="MO970" s="36"/>
      <c r="MP970" s="36"/>
      <c r="MQ970" s="36"/>
      <c r="MR970" s="36"/>
      <c r="MS970" s="36"/>
      <c r="MT970" s="36"/>
      <c r="MU970" s="36"/>
      <c r="MV970" s="36"/>
      <c r="MW970" s="36"/>
      <c r="MX970" s="36"/>
      <c r="MY970" s="36"/>
      <c r="MZ970" s="36"/>
      <c r="NA970" s="36"/>
      <c r="NB970" s="36"/>
      <c r="NC970" s="36"/>
      <c r="ND970" s="36"/>
      <c r="NE970" s="36"/>
      <c r="NF970" s="36"/>
      <c r="NG970" s="36"/>
      <c r="NH970" s="36"/>
      <c r="NI970" s="36"/>
      <c r="NJ970" s="36"/>
      <c r="NK970" s="36"/>
      <c r="NL970" s="36"/>
      <c r="NM970" s="36"/>
      <c r="NN970" s="36"/>
      <c r="NO970" s="36"/>
      <c r="NP970" s="36"/>
      <c r="NQ970" s="36"/>
      <c r="NR970" s="36"/>
      <c r="NS970" s="36"/>
      <c r="NT970" s="36"/>
      <c r="NU970" s="36"/>
      <c r="NV970" s="36"/>
      <c r="NW970" s="36"/>
      <c r="NX970" s="36"/>
      <c r="NY970" s="36"/>
      <c r="NZ970" s="36"/>
      <c r="OA970" s="36"/>
      <c r="OB970" s="36"/>
      <c r="OC970" s="36"/>
      <c r="OD970" s="36"/>
      <c r="OE970" s="36"/>
      <c r="OF970" s="36"/>
      <c r="OG970" s="36"/>
      <c r="OH970" s="36"/>
      <c r="OI970" s="36"/>
      <c r="OJ970" s="36"/>
      <c r="OK970" s="36"/>
      <c r="OL970" s="36"/>
      <c r="OM970" s="36"/>
      <c r="ON970" s="36"/>
      <c r="OO970" s="36"/>
      <c r="OP970" s="36"/>
      <c r="OQ970" s="36"/>
      <c r="OR970" s="36"/>
      <c r="OS970" s="36"/>
      <c r="OT970" s="36"/>
      <c r="OU970" s="36"/>
      <c r="OV970" s="36"/>
      <c r="OW970" s="36"/>
      <c r="OX970" s="36"/>
      <c r="OY970" s="36"/>
      <c r="OZ970" s="36"/>
      <c r="PA970" s="36"/>
      <c r="PB970" s="36"/>
      <c r="PC970" s="36"/>
      <c r="PD970" s="36"/>
      <c r="PE970" s="36"/>
      <c r="PF970" s="36"/>
      <c r="PG970" s="36"/>
      <c r="PH970" s="36"/>
      <c r="PI970" s="36"/>
      <c r="PJ970" s="36"/>
      <c r="PK970" s="36"/>
      <c r="PL970" s="36"/>
      <c r="PM970" s="36"/>
      <c r="PN970" s="36"/>
      <c r="PO970" s="36"/>
      <c r="PP970" s="36"/>
      <c r="PQ970" s="36"/>
      <c r="PR970" s="36"/>
      <c r="PS970" s="36"/>
      <c r="PT970" s="36"/>
      <c r="PU970" s="36"/>
      <c r="PV970" s="36"/>
      <c r="PW970" s="36"/>
      <c r="PX970" s="36"/>
      <c r="PY970" s="36"/>
      <c r="PZ970" s="36"/>
      <c r="QA970" s="36"/>
      <c r="QB970" s="36"/>
      <c r="QC970" s="36"/>
      <c r="QD970" s="36"/>
      <c r="QE970" s="36"/>
      <c r="QF970" s="36"/>
      <c r="QG970" s="36"/>
      <c r="QH970" s="36"/>
      <c r="QI970" s="36"/>
      <c r="QJ970" s="36"/>
      <c r="QK970" s="36"/>
      <c r="QL970" s="36"/>
      <c r="QM970" s="36"/>
      <c r="QN970" s="36"/>
      <c r="QO970" s="36"/>
      <c r="QP970" s="36"/>
      <c r="QQ970" s="36"/>
      <c r="QR970" s="36"/>
      <c r="QS970" s="36"/>
      <c r="QT970" s="36"/>
      <c r="QU970" s="36"/>
      <c r="QV970" s="36"/>
      <c r="QW970" s="36"/>
      <c r="QX970" s="36"/>
      <c r="QY970" s="36"/>
      <c r="QZ970" s="36"/>
      <c r="RA970" s="36"/>
      <c r="RB970" s="36"/>
      <c r="RC970" s="36"/>
      <c r="RD970" s="36"/>
      <c r="RE970" s="36"/>
      <c r="RF970" s="36"/>
      <c r="RG970" s="36"/>
      <c r="RH970" s="36"/>
      <c r="RI970" s="36"/>
      <c r="RJ970" s="36"/>
      <c r="RK970" s="36"/>
      <c r="RL970" s="36"/>
      <c r="RM970" s="36"/>
      <c r="RN970" s="36"/>
      <c r="RO970" s="36"/>
      <c r="RP970" s="36"/>
      <c r="RQ970" s="36"/>
      <c r="RR970" s="36"/>
      <c r="RS970" s="36"/>
      <c r="RT970" s="36"/>
      <c r="RU970" s="36"/>
      <c r="RV970" s="36"/>
      <c r="RW970" s="36"/>
      <c r="RX970" s="36"/>
      <c r="RY970" s="36"/>
      <c r="RZ970" s="36"/>
      <c r="SA970" s="36"/>
      <c r="SB970" s="36"/>
      <c r="SC970" s="36"/>
      <c r="SD970" s="36"/>
      <c r="SE970" s="36"/>
      <c r="SF970" s="36"/>
      <c r="SG970" s="36"/>
      <c r="SH970" s="36"/>
      <c r="SI970" s="36"/>
      <c r="SJ970" s="36"/>
      <c r="SK970" s="36"/>
      <c r="SL970" s="36"/>
      <c r="SM970" s="36"/>
      <c r="SN970" s="36"/>
      <c r="SO970" s="36"/>
      <c r="SP970" s="36"/>
      <c r="SQ970" s="36"/>
      <c r="SR970" s="36"/>
      <c r="SS970" s="36"/>
      <c r="ST970" s="36"/>
      <c r="SU970" s="36"/>
      <c r="SV970" s="36"/>
      <c r="SW970" s="36"/>
      <c r="SX970" s="36"/>
      <c r="SY970" s="36"/>
      <c r="SZ970" s="36"/>
      <c r="TA970" s="36"/>
      <c r="TB970" s="36"/>
      <c r="TC970" s="36"/>
      <c r="TD970" s="36"/>
      <c r="TE970" s="36"/>
      <c r="TF970" s="36"/>
      <c r="TG970" s="36"/>
      <c r="TH970" s="36"/>
      <c r="TI970" s="36"/>
      <c r="TJ970" s="36"/>
      <c r="TK970" s="36"/>
      <c r="TL970" s="36"/>
      <c r="TM970" s="36"/>
      <c r="TN970" s="36"/>
      <c r="TO970" s="36"/>
      <c r="TP970" s="36"/>
      <c r="TQ970" s="36"/>
      <c r="TR970" s="36"/>
      <c r="TS970" s="36"/>
      <c r="TT970" s="36"/>
      <c r="TU970" s="36"/>
      <c r="TV970" s="36"/>
      <c r="TW970" s="36"/>
      <c r="TX970" s="36"/>
      <c r="TY970" s="36"/>
      <c r="TZ970" s="36"/>
      <c r="UA970" s="36"/>
      <c r="UB970" s="36"/>
      <c r="UC970" s="36"/>
      <c r="UD970" s="36"/>
      <c r="UE970" s="36"/>
      <c r="UF970" s="36"/>
      <c r="UG970" s="37"/>
    </row>
    <row r="971" spans="1:553" ht="29.25" customHeight="1">
      <c r="A971" s="356" t="s">
        <v>66</v>
      </c>
      <c r="B971" s="356"/>
      <c r="C971" s="1431" t="s">
        <v>67</v>
      </c>
      <c r="D971" s="1389"/>
      <c r="E971" s="1389"/>
      <c r="F971" s="1390"/>
      <c r="G971" s="356"/>
      <c r="H971" s="359"/>
      <c r="I971" s="359"/>
      <c r="J971" s="357"/>
      <c r="K971" s="364"/>
      <c r="L971" s="645"/>
      <c r="M971" s="356"/>
      <c r="N971" s="356"/>
      <c r="O971" s="356"/>
      <c r="P971" s="356"/>
      <c r="Q971" s="610"/>
      <c r="R971" s="421"/>
      <c r="S971" s="308"/>
      <c r="T971" s="308"/>
      <c r="U971" s="308"/>
      <c r="V971" s="308"/>
      <c r="W971" s="308"/>
      <c r="X971" s="308"/>
      <c r="Y971" s="308"/>
      <c r="Z971" s="604"/>
      <c r="AA971" s="308"/>
      <c r="AB971" s="308"/>
      <c r="AC971" s="365"/>
      <c r="AD971" s="365"/>
      <c r="AE971" s="365"/>
      <c r="AF971" s="365"/>
      <c r="AG971" s="365"/>
      <c r="AH971" s="365"/>
      <c r="AI971" s="365"/>
      <c r="AJ971" s="365"/>
      <c r="AK971" s="377"/>
      <c r="AL971" s="343"/>
      <c r="AM971" s="24"/>
      <c r="AN971" s="24"/>
      <c r="AO971" s="24"/>
      <c r="AP971" s="24"/>
      <c r="AQ971" s="24"/>
      <c r="AR971" s="24"/>
      <c r="AS971" s="18"/>
      <c r="AT971" s="18"/>
      <c r="AU971" s="18"/>
      <c r="AV971" s="18"/>
      <c r="AW971" s="18"/>
      <c r="AX971" s="18"/>
      <c r="AY971" s="18"/>
      <c r="AZ971" s="18"/>
      <c r="BA971" s="18"/>
      <c r="BB971" s="18"/>
      <c r="BC971" s="18"/>
      <c r="BD971" s="18"/>
      <c r="BE971" s="18"/>
      <c r="BF971" s="18"/>
      <c r="BG971" s="18"/>
      <c r="BH971" s="18"/>
      <c r="BI971" s="18"/>
      <c r="BJ971" s="18"/>
      <c r="BK971" s="18"/>
      <c r="BL971" s="18"/>
      <c r="BM971" s="18"/>
      <c r="BN971" s="18"/>
      <c r="BO971" s="18"/>
      <c r="BP971" s="18"/>
      <c r="BQ971" s="18"/>
      <c r="BR971" s="18"/>
      <c r="BS971" s="18"/>
      <c r="BT971" s="18"/>
      <c r="BU971" s="18"/>
      <c r="BV971" s="18"/>
      <c r="BW971" s="18"/>
      <c r="BX971" s="18"/>
      <c r="BY971" s="18"/>
      <c r="BZ971" s="18"/>
      <c r="CA971" s="18"/>
      <c r="CB971" s="18"/>
      <c r="CC971" s="18"/>
      <c r="CD971" s="18"/>
      <c r="CE971" s="18"/>
      <c r="CF971" s="18"/>
      <c r="CG971" s="18"/>
      <c r="CH971" s="18"/>
      <c r="CI971" s="18"/>
      <c r="CJ971" s="18"/>
      <c r="CK971" s="18"/>
      <c r="CL971" s="18"/>
      <c r="CM971" s="18"/>
      <c r="CN971" s="18"/>
      <c r="CO971" s="18"/>
      <c r="CP971" s="18"/>
      <c r="CQ971" s="18"/>
      <c r="CR971" s="18"/>
      <c r="CS971" s="18"/>
      <c r="CT971" s="18"/>
      <c r="CU971" s="18"/>
      <c r="CV971" s="18"/>
      <c r="CW971" s="18"/>
      <c r="CX971" s="18"/>
      <c r="CY971" s="18"/>
      <c r="CZ971" s="18"/>
      <c r="DA971" s="18"/>
      <c r="DB971" s="18"/>
      <c r="DC971" s="18"/>
      <c r="DD971" s="18"/>
      <c r="DE971" s="18"/>
      <c r="DF971" s="18"/>
      <c r="DG971" s="18"/>
      <c r="DH971" s="18"/>
      <c r="DI971" s="18"/>
      <c r="DJ971" s="18"/>
      <c r="DK971" s="18"/>
      <c r="DL971" s="18"/>
      <c r="DM971" s="18"/>
      <c r="DN971" s="18"/>
      <c r="DO971" s="18"/>
      <c r="DP971" s="18"/>
      <c r="DQ971" s="18"/>
      <c r="DR971" s="18"/>
      <c r="DS971" s="18"/>
      <c r="DT971" s="18"/>
      <c r="DU971" s="18"/>
      <c r="DV971" s="18"/>
      <c r="DW971" s="18"/>
      <c r="DX971" s="18"/>
      <c r="DY971" s="18"/>
      <c r="DZ971" s="18"/>
      <c r="EA971" s="18"/>
      <c r="EB971" s="18"/>
      <c r="EC971" s="18"/>
      <c r="ED971" s="18"/>
      <c r="EE971" s="18"/>
      <c r="EF971" s="18"/>
      <c r="EG971" s="18"/>
      <c r="EH971" s="18"/>
      <c r="EI971" s="18"/>
      <c r="EJ971" s="18"/>
      <c r="EK971" s="18"/>
      <c r="EL971" s="18"/>
      <c r="EM971" s="18"/>
      <c r="EN971" s="18"/>
      <c r="EO971" s="18"/>
      <c r="EP971" s="18"/>
      <c r="EQ971" s="18"/>
      <c r="ER971" s="18"/>
      <c r="ES971" s="18"/>
      <c r="ET971" s="18"/>
      <c r="EU971" s="18"/>
      <c r="EV971" s="18"/>
      <c r="EW971" s="18"/>
      <c r="EX971" s="18"/>
      <c r="EY971" s="18"/>
      <c r="EZ971" s="18"/>
      <c r="FA971" s="18"/>
      <c r="FB971" s="18"/>
      <c r="FC971" s="18"/>
      <c r="FD971" s="18"/>
      <c r="FE971" s="18"/>
      <c r="FF971" s="18"/>
      <c r="FG971" s="18"/>
      <c r="FH971" s="18"/>
      <c r="FI971" s="18"/>
      <c r="FJ971" s="18"/>
      <c r="FK971" s="18"/>
      <c r="FL971" s="18"/>
      <c r="FM971" s="18"/>
      <c r="FN971" s="18"/>
      <c r="FO971" s="18"/>
      <c r="FP971" s="18"/>
      <c r="FQ971" s="18"/>
      <c r="FR971" s="18"/>
      <c r="FS971" s="18"/>
      <c r="FT971" s="18"/>
      <c r="FU971" s="18"/>
      <c r="FV971" s="18"/>
      <c r="FW971" s="18"/>
      <c r="FX971" s="18"/>
      <c r="FY971" s="18"/>
      <c r="FZ971" s="18"/>
      <c r="GA971" s="18"/>
      <c r="GB971" s="18"/>
      <c r="GC971" s="18"/>
      <c r="GD971" s="18"/>
      <c r="GE971" s="18"/>
      <c r="GF971" s="18"/>
      <c r="GG971" s="18"/>
      <c r="GH971" s="18"/>
      <c r="GI971" s="18"/>
      <c r="GJ971" s="18"/>
      <c r="GK971" s="18"/>
      <c r="GL971" s="18"/>
      <c r="GM971" s="18"/>
      <c r="GN971" s="18"/>
      <c r="GO971" s="18"/>
      <c r="GP971" s="18"/>
      <c r="GQ971" s="18"/>
      <c r="GR971" s="18"/>
      <c r="GS971" s="18"/>
      <c r="GT971" s="18"/>
      <c r="GU971" s="18"/>
      <c r="GV971" s="18"/>
      <c r="GW971" s="18"/>
      <c r="GX971" s="18"/>
      <c r="GY971" s="18"/>
      <c r="GZ971" s="18"/>
      <c r="HA971" s="18"/>
      <c r="HB971" s="18"/>
      <c r="HC971" s="18"/>
      <c r="HD971" s="18"/>
      <c r="HE971" s="18"/>
      <c r="HF971" s="18"/>
      <c r="HG971" s="18"/>
      <c r="HH971" s="18"/>
      <c r="HI971" s="18"/>
      <c r="HJ971" s="18"/>
      <c r="HK971" s="18"/>
      <c r="HL971" s="18"/>
      <c r="HM971" s="18"/>
      <c r="HN971" s="18"/>
      <c r="HO971" s="18"/>
      <c r="HP971" s="18"/>
      <c r="HQ971" s="18"/>
      <c r="HR971" s="18"/>
      <c r="HS971" s="18"/>
      <c r="HT971" s="18"/>
      <c r="HU971" s="18"/>
      <c r="HV971" s="18"/>
      <c r="HW971" s="18"/>
      <c r="HX971" s="18"/>
      <c r="HY971" s="18"/>
      <c r="HZ971" s="18"/>
      <c r="IA971" s="18"/>
      <c r="IB971" s="18"/>
      <c r="IC971" s="18"/>
      <c r="ID971" s="18"/>
      <c r="IE971" s="18"/>
      <c r="IF971" s="18"/>
      <c r="IG971" s="18"/>
      <c r="IH971" s="18"/>
      <c r="II971" s="18"/>
      <c r="IJ971" s="18"/>
      <c r="IK971" s="18"/>
      <c r="IL971" s="18"/>
      <c r="IM971" s="18"/>
      <c r="IN971" s="18"/>
      <c r="IO971" s="18"/>
      <c r="IP971" s="18"/>
      <c r="IQ971" s="18"/>
      <c r="IR971" s="18"/>
      <c r="IS971" s="18"/>
      <c r="IT971" s="18"/>
      <c r="IU971" s="18"/>
      <c r="IV971" s="18"/>
      <c r="IW971" s="18"/>
      <c r="IX971" s="18"/>
      <c r="IY971" s="18"/>
      <c r="IZ971" s="18"/>
      <c r="JA971" s="18"/>
      <c r="JB971" s="18"/>
      <c r="JC971" s="18"/>
      <c r="JD971" s="18"/>
      <c r="JE971" s="18"/>
      <c r="JF971" s="18"/>
      <c r="JG971" s="18"/>
      <c r="JH971" s="18"/>
      <c r="JI971" s="18"/>
      <c r="JJ971" s="18"/>
      <c r="JK971" s="18"/>
      <c r="JL971" s="18"/>
      <c r="JM971" s="18"/>
      <c r="JN971" s="18"/>
      <c r="JO971" s="18"/>
      <c r="JP971" s="18"/>
      <c r="JQ971" s="18"/>
      <c r="JR971" s="18"/>
      <c r="JS971" s="18"/>
      <c r="JT971" s="18"/>
      <c r="JU971" s="18"/>
      <c r="JV971" s="18"/>
      <c r="JW971" s="18"/>
      <c r="JX971" s="18"/>
      <c r="JY971" s="18"/>
      <c r="JZ971" s="18"/>
      <c r="KA971" s="18"/>
      <c r="KB971" s="18"/>
      <c r="KC971" s="18"/>
      <c r="KD971" s="18"/>
      <c r="KE971" s="18"/>
      <c r="KF971" s="18"/>
      <c r="KG971" s="18"/>
      <c r="KH971" s="18"/>
      <c r="KI971" s="18"/>
      <c r="KJ971" s="18"/>
      <c r="KK971" s="18"/>
      <c r="KL971" s="18"/>
      <c r="KM971" s="18"/>
      <c r="KN971" s="18"/>
      <c r="KO971" s="18"/>
      <c r="KP971" s="18"/>
      <c r="KQ971" s="18"/>
      <c r="KR971" s="18"/>
      <c r="KS971" s="18"/>
      <c r="KT971" s="18"/>
      <c r="KU971" s="18"/>
      <c r="KV971" s="18"/>
      <c r="KW971" s="18"/>
      <c r="KX971" s="18"/>
      <c r="KY971" s="18"/>
      <c r="KZ971" s="18"/>
      <c r="LA971" s="18"/>
      <c r="LB971" s="18"/>
      <c r="LC971" s="18"/>
      <c r="LD971" s="18"/>
      <c r="LE971" s="18"/>
      <c r="LF971" s="18"/>
      <c r="LG971" s="18"/>
      <c r="LH971" s="18"/>
      <c r="LI971" s="18"/>
      <c r="LJ971" s="18"/>
      <c r="LK971" s="18"/>
      <c r="LL971" s="18"/>
      <c r="LM971" s="18"/>
      <c r="LN971" s="18"/>
      <c r="LO971" s="18"/>
      <c r="LP971" s="18"/>
      <c r="LQ971" s="18"/>
      <c r="LR971" s="18"/>
      <c r="LS971" s="18"/>
      <c r="LT971" s="18"/>
      <c r="LU971" s="18"/>
      <c r="LV971" s="18"/>
      <c r="LW971" s="18"/>
      <c r="LX971" s="18"/>
      <c r="LY971" s="18"/>
      <c r="LZ971" s="18"/>
      <c r="MA971" s="18"/>
      <c r="MB971" s="18"/>
      <c r="MC971" s="18"/>
      <c r="MD971" s="18"/>
      <c r="ME971" s="18"/>
      <c r="MF971" s="18"/>
      <c r="MG971" s="18"/>
      <c r="MH971" s="18"/>
      <c r="MI971" s="18"/>
      <c r="MJ971" s="18"/>
      <c r="MK971" s="18"/>
      <c r="ML971" s="18"/>
      <c r="MM971" s="18"/>
      <c r="MN971" s="18"/>
      <c r="MO971" s="18"/>
      <c r="MP971" s="18"/>
      <c r="MQ971" s="18"/>
      <c r="MR971" s="18"/>
      <c r="MS971" s="18"/>
      <c r="MT971" s="18"/>
      <c r="MU971" s="18"/>
      <c r="MV971" s="18"/>
      <c r="MW971" s="18"/>
      <c r="MX971" s="18"/>
      <c r="MY971" s="18"/>
      <c r="MZ971" s="18"/>
      <c r="NA971" s="18"/>
      <c r="NB971" s="18"/>
      <c r="NC971" s="18"/>
      <c r="ND971" s="18"/>
      <c r="NE971" s="18"/>
      <c r="NF971" s="18"/>
      <c r="NG971" s="18"/>
      <c r="NH971" s="18"/>
      <c r="NI971" s="18"/>
      <c r="NJ971" s="18"/>
      <c r="NK971" s="18"/>
      <c r="NL971" s="18"/>
      <c r="NM971" s="18"/>
      <c r="NN971" s="18"/>
      <c r="NO971" s="18"/>
      <c r="NP971" s="18"/>
      <c r="NQ971" s="18"/>
      <c r="NR971" s="18"/>
      <c r="NS971" s="18"/>
      <c r="NT971" s="18"/>
      <c r="NU971" s="18"/>
      <c r="NV971" s="18"/>
      <c r="NW971" s="18"/>
      <c r="NX971" s="18"/>
      <c r="NY971" s="18"/>
      <c r="NZ971" s="18"/>
      <c r="OA971" s="18"/>
      <c r="OB971" s="18"/>
      <c r="OC971" s="18"/>
      <c r="OD971" s="18"/>
      <c r="OE971" s="18"/>
      <c r="OF971" s="18"/>
      <c r="OG971" s="18"/>
      <c r="OH971" s="18"/>
      <c r="OI971" s="18"/>
      <c r="OJ971" s="18"/>
      <c r="OK971" s="18"/>
      <c r="OL971" s="18"/>
      <c r="OM971" s="18"/>
      <c r="ON971" s="18"/>
      <c r="OO971" s="18"/>
      <c r="OP971" s="18"/>
      <c r="OQ971" s="18"/>
      <c r="OR971" s="18"/>
      <c r="OS971" s="18"/>
      <c r="OT971" s="18"/>
      <c r="OU971" s="18"/>
      <c r="OV971" s="18"/>
      <c r="OW971" s="18"/>
      <c r="OX971" s="18"/>
      <c r="OY971" s="18"/>
      <c r="OZ971" s="18"/>
      <c r="PA971" s="18"/>
      <c r="PB971" s="18"/>
      <c r="PC971" s="18"/>
      <c r="PD971" s="18"/>
      <c r="PE971" s="18"/>
      <c r="PF971" s="18"/>
      <c r="PG971" s="18"/>
      <c r="PH971" s="18"/>
      <c r="PI971" s="18"/>
      <c r="PJ971" s="18"/>
      <c r="PK971" s="18"/>
      <c r="PL971" s="18"/>
      <c r="PM971" s="18"/>
      <c r="PN971" s="18"/>
      <c r="PO971" s="18"/>
      <c r="PP971" s="18"/>
      <c r="PQ971" s="18"/>
      <c r="PR971" s="18"/>
      <c r="PS971" s="18"/>
      <c r="PT971" s="18"/>
      <c r="PU971" s="18"/>
      <c r="PV971" s="18"/>
      <c r="PW971" s="18"/>
      <c r="PX971" s="18"/>
      <c r="PY971" s="18"/>
      <c r="PZ971" s="18"/>
      <c r="QA971" s="18"/>
      <c r="QB971" s="18"/>
      <c r="QC971" s="18"/>
      <c r="QD971" s="18"/>
      <c r="QE971" s="18"/>
      <c r="QF971" s="18"/>
      <c r="QG971" s="18"/>
      <c r="QH971" s="18"/>
      <c r="QI971" s="18"/>
      <c r="QJ971" s="18"/>
      <c r="QK971" s="18"/>
      <c r="QL971" s="18"/>
      <c r="QM971" s="18"/>
      <c r="QN971" s="18"/>
      <c r="QO971" s="18"/>
      <c r="QP971" s="18"/>
      <c r="QQ971" s="18"/>
      <c r="QR971" s="18"/>
      <c r="QS971" s="18"/>
      <c r="QT971" s="18"/>
      <c r="QU971" s="18"/>
      <c r="QV971" s="18"/>
      <c r="QW971" s="18"/>
      <c r="QX971" s="18"/>
      <c r="QY971" s="18"/>
      <c r="QZ971" s="18"/>
      <c r="RA971" s="18"/>
      <c r="RB971" s="18"/>
      <c r="RC971" s="18"/>
      <c r="RD971" s="18"/>
      <c r="RE971" s="18"/>
      <c r="RF971" s="18"/>
      <c r="RG971" s="18"/>
      <c r="RH971" s="18"/>
      <c r="RI971" s="18"/>
      <c r="RJ971" s="18"/>
      <c r="RK971" s="18"/>
      <c r="RL971" s="18"/>
      <c r="RM971" s="18"/>
      <c r="RN971" s="18"/>
      <c r="RO971" s="18"/>
      <c r="RP971" s="18"/>
      <c r="RQ971" s="18"/>
      <c r="RR971" s="18"/>
      <c r="RS971" s="18"/>
      <c r="RT971" s="18"/>
      <c r="RU971" s="18"/>
      <c r="RV971" s="18"/>
      <c r="RW971" s="18"/>
      <c r="RX971" s="18"/>
      <c r="RY971" s="18"/>
      <c r="RZ971" s="18"/>
      <c r="SA971" s="18"/>
      <c r="SB971" s="18"/>
      <c r="SC971" s="18"/>
      <c r="SD971" s="18"/>
      <c r="SE971" s="18"/>
      <c r="SF971" s="18"/>
      <c r="SG971" s="18"/>
      <c r="SH971" s="18"/>
      <c r="SI971" s="18"/>
      <c r="SJ971" s="18"/>
      <c r="SK971" s="18"/>
      <c r="SL971" s="18"/>
      <c r="SM971" s="18"/>
      <c r="SN971" s="18"/>
      <c r="SO971" s="18"/>
      <c r="SP971" s="18"/>
      <c r="SQ971" s="18"/>
      <c r="SR971" s="18"/>
      <c r="SS971" s="18"/>
      <c r="ST971" s="18"/>
      <c r="SU971" s="18"/>
      <c r="SV971" s="18"/>
      <c r="SW971" s="18"/>
      <c r="SX971" s="18"/>
      <c r="SY971" s="18"/>
      <c r="SZ971" s="18"/>
      <c r="TA971" s="18"/>
      <c r="TB971" s="18"/>
      <c r="TC971" s="18"/>
      <c r="TD971" s="18"/>
      <c r="TE971" s="18"/>
      <c r="TF971" s="18"/>
      <c r="TG971" s="18"/>
      <c r="TH971" s="18"/>
      <c r="TI971" s="18"/>
      <c r="TJ971" s="18"/>
      <c r="TK971" s="18"/>
      <c r="TL971" s="18"/>
      <c r="TM971" s="18"/>
      <c r="TN971" s="18"/>
      <c r="TO971" s="18"/>
      <c r="TP971" s="18"/>
      <c r="TQ971" s="18"/>
      <c r="TR971" s="18"/>
      <c r="TS971" s="18"/>
      <c r="TT971" s="18"/>
      <c r="TU971" s="18"/>
      <c r="TV971" s="18"/>
      <c r="TW971" s="18"/>
      <c r="TX971" s="18"/>
      <c r="TY971" s="18"/>
      <c r="TZ971" s="18"/>
      <c r="UA971" s="18"/>
      <c r="UB971" s="18"/>
      <c r="UC971" s="18"/>
      <c r="UD971" s="18"/>
      <c r="UE971" s="18"/>
      <c r="UF971" s="18"/>
      <c r="UG971" s="19"/>
    </row>
    <row r="972" spans="1:553" ht="107.5" customHeight="1">
      <c r="A972" s="356" t="s">
        <v>15</v>
      </c>
      <c r="B972" s="366"/>
      <c r="C972" s="1414" t="s">
        <v>818</v>
      </c>
      <c r="D972" s="1389"/>
      <c r="E972" s="1389"/>
      <c r="F972" s="1390"/>
      <c r="G972" s="366" t="s">
        <v>68</v>
      </c>
      <c r="H972" s="370"/>
      <c r="I972" s="370">
        <v>1</v>
      </c>
      <c r="J972" s="368"/>
      <c r="K972" s="371"/>
      <c r="L972" s="366"/>
      <c r="M972" s="366"/>
      <c r="N972" s="366"/>
      <c r="O972" s="366"/>
      <c r="P972" s="366"/>
      <c r="Q972" s="812"/>
      <c r="R972" s="421" t="s">
        <v>1042</v>
      </c>
      <c r="S972" s="308"/>
      <c r="T972" s="308"/>
      <c r="U972" s="308"/>
      <c r="V972" s="308"/>
      <c r="W972" s="308"/>
      <c r="X972" s="308"/>
      <c r="Y972" s="308"/>
      <c r="Z972" s="604"/>
      <c r="AA972" s="308"/>
      <c r="AB972" s="308"/>
      <c r="AC972" s="449"/>
      <c r="AD972" s="449"/>
      <c r="AE972" s="449"/>
      <c r="AF972" s="449"/>
      <c r="AG972" s="449"/>
      <c r="AH972" s="449"/>
      <c r="AI972" s="449"/>
      <c r="AJ972" s="449"/>
      <c r="AK972" s="452"/>
      <c r="AL972" s="104"/>
      <c r="AM972" s="32"/>
      <c r="AN972" s="32"/>
      <c r="AO972" s="32"/>
      <c r="AP972" s="32"/>
      <c r="AQ972" s="32"/>
      <c r="AR972" s="32"/>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25"/>
      <c r="BQ972" s="25"/>
      <c r="BR972" s="25"/>
      <c r="BS972" s="25"/>
      <c r="BT972" s="25"/>
      <c r="BU972" s="25"/>
      <c r="BV972" s="25"/>
      <c r="BW972" s="25"/>
      <c r="BX972" s="25"/>
      <c r="BY972" s="25"/>
      <c r="BZ972" s="25"/>
      <c r="CA972" s="25"/>
      <c r="CB972" s="25"/>
      <c r="CC972" s="25"/>
      <c r="CD972" s="25"/>
      <c r="CE972" s="25"/>
      <c r="CF972" s="25"/>
      <c r="CG972" s="25"/>
      <c r="CH972" s="25"/>
      <c r="CI972" s="25"/>
      <c r="CJ972" s="25"/>
      <c r="CK972" s="25"/>
      <c r="CL972" s="25"/>
      <c r="CM972" s="25"/>
      <c r="CN972" s="25"/>
      <c r="CO972" s="25"/>
      <c r="CP972" s="25"/>
      <c r="CQ972" s="25"/>
      <c r="CR972" s="25"/>
      <c r="CS972" s="25"/>
      <c r="CT972" s="25"/>
      <c r="CU972" s="25"/>
      <c r="CV972" s="25"/>
      <c r="CW972" s="25"/>
      <c r="CX972" s="25"/>
      <c r="CY972" s="25"/>
      <c r="CZ972" s="25"/>
      <c r="DA972" s="25"/>
      <c r="DB972" s="25"/>
      <c r="DC972" s="25"/>
      <c r="DD972" s="25"/>
      <c r="DE972" s="25"/>
      <c r="DF972" s="25"/>
      <c r="DG972" s="25"/>
      <c r="DH972" s="25"/>
      <c r="DI972" s="25"/>
      <c r="DJ972" s="25"/>
      <c r="DK972" s="25"/>
      <c r="DL972" s="25"/>
      <c r="DM972" s="25"/>
      <c r="DN972" s="25"/>
      <c r="DO972" s="25"/>
      <c r="DP972" s="25"/>
      <c r="DQ972" s="25"/>
      <c r="DR972" s="25"/>
      <c r="DS972" s="25"/>
      <c r="DT972" s="25"/>
      <c r="DU972" s="25"/>
      <c r="DV972" s="25"/>
      <c r="DW972" s="25"/>
      <c r="DX972" s="25"/>
      <c r="DY972" s="25"/>
      <c r="DZ972" s="25"/>
      <c r="EA972" s="25"/>
      <c r="EB972" s="25"/>
      <c r="EC972" s="25"/>
      <c r="ED972" s="25"/>
      <c r="EE972" s="25"/>
      <c r="EF972" s="25"/>
      <c r="EG972" s="25"/>
      <c r="EH972" s="25"/>
      <c r="EI972" s="25"/>
      <c r="EJ972" s="25"/>
      <c r="EK972" s="25"/>
      <c r="EL972" s="25"/>
      <c r="EM972" s="25"/>
      <c r="EN972" s="25"/>
      <c r="EO972" s="25"/>
      <c r="EP972" s="25"/>
      <c r="EQ972" s="25"/>
      <c r="ER972" s="25"/>
      <c r="ES972" s="25"/>
      <c r="ET972" s="25"/>
      <c r="EU972" s="25"/>
      <c r="EV972" s="25"/>
      <c r="EW972" s="25"/>
      <c r="EX972" s="25"/>
      <c r="EY972" s="25"/>
      <c r="EZ972" s="25"/>
      <c r="FA972" s="25"/>
      <c r="FB972" s="25"/>
      <c r="FC972" s="25"/>
      <c r="FD972" s="25"/>
      <c r="FE972" s="25"/>
      <c r="FF972" s="25"/>
      <c r="FG972" s="25"/>
      <c r="FH972" s="25"/>
      <c r="FI972" s="25"/>
      <c r="FJ972" s="25"/>
      <c r="FK972" s="25"/>
      <c r="FL972" s="25"/>
      <c r="FM972" s="25"/>
      <c r="FN972" s="25"/>
      <c r="FO972" s="25"/>
      <c r="FP972" s="25"/>
      <c r="FQ972" s="25"/>
      <c r="FR972" s="25"/>
      <c r="FS972" s="25"/>
      <c r="FT972" s="25"/>
      <c r="FU972" s="25"/>
      <c r="FV972" s="25"/>
      <c r="FW972" s="25"/>
      <c r="FX972" s="25"/>
      <c r="FY972" s="25"/>
      <c r="FZ972" s="25"/>
      <c r="GA972" s="25"/>
      <c r="GB972" s="25"/>
      <c r="GC972" s="25"/>
      <c r="GD972" s="25"/>
      <c r="GE972" s="25"/>
      <c r="GF972" s="25"/>
      <c r="GG972" s="25"/>
      <c r="GH972" s="25"/>
      <c r="GI972" s="25"/>
      <c r="GJ972" s="25"/>
      <c r="GK972" s="25"/>
      <c r="GL972" s="25"/>
      <c r="GM972" s="25"/>
      <c r="GN972" s="25"/>
      <c r="GO972" s="25"/>
      <c r="GP972" s="25"/>
      <c r="GQ972" s="25"/>
      <c r="GR972" s="25"/>
      <c r="GS972" s="25"/>
      <c r="GT972" s="25"/>
      <c r="GU972" s="25"/>
      <c r="GV972" s="25"/>
      <c r="GW972" s="25"/>
      <c r="GX972" s="25"/>
      <c r="GY972" s="25"/>
      <c r="GZ972" s="25"/>
      <c r="HA972" s="25"/>
      <c r="HB972" s="25"/>
      <c r="HC972" s="25"/>
      <c r="HD972" s="25"/>
      <c r="HE972" s="25"/>
      <c r="HF972" s="25"/>
      <c r="HG972" s="25"/>
      <c r="HH972" s="25"/>
      <c r="HI972" s="25"/>
      <c r="HJ972" s="25"/>
      <c r="HK972" s="25"/>
      <c r="HL972" s="25"/>
      <c r="HM972" s="25"/>
      <c r="HN972" s="25"/>
      <c r="HO972" s="25"/>
      <c r="HP972" s="25"/>
      <c r="HQ972" s="25"/>
      <c r="HR972" s="25"/>
      <c r="HS972" s="25"/>
      <c r="HT972" s="25"/>
      <c r="HU972" s="25"/>
      <c r="HV972" s="25"/>
      <c r="HW972" s="25"/>
      <c r="HX972" s="25"/>
      <c r="HY972" s="25"/>
      <c r="HZ972" s="25"/>
      <c r="IA972" s="25"/>
      <c r="IB972" s="25"/>
      <c r="IC972" s="25"/>
      <c r="ID972" s="25"/>
      <c r="IE972" s="25"/>
      <c r="IF972" s="25"/>
      <c r="IG972" s="25"/>
      <c r="IH972" s="25"/>
      <c r="II972" s="25"/>
      <c r="IJ972" s="25"/>
      <c r="IK972" s="25"/>
      <c r="IL972" s="25"/>
      <c r="IM972" s="25"/>
      <c r="IN972" s="25"/>
      <c r="IO972" s="25"/>
      <c r="IP972" s="25"/>
      <c r="IQ972" s="25"/>
      <c r="IR972" s="25"/>
      <c r="IS972" s="25"/>
      <c r="IT972" s="25"/>
      <c r="IU972" s="25"/>
      <c r="IV972" s="25"/>
      <c r="IW972" s="25"/>
      <c r="IX972" s="25"/>
      <c r="IY972" s="25"/>
      <c r="IZ972" s="25"/>
      <c r="JA972" s="25"/>
      <c r="JB972" s="25"/>
      <c r="JC972" s="25"/>
      <c r="JD972" s="25"/>
      <c r="JE972" s="25"/>
      <c r="JF972" s="25"/>
      <c r="JG972" s="25"/>
      <c r="JH972" s="25"/>
      <c r="JI972" s="25"/>
      <c r="JJ972" s="25"/>
      <c r="JK972" s="25"/>
      <c r="JL972" s="25"/>
      <c r="JM972" s="25"/>
      <c r="JN972" s="25"/>
      <c r="JO972" s="25"/>
      <c r="JP972" s="25"/>
      <c r="JQ972" s="25"/>
      <c r="JR972" s="25"/>
      <c r="JS972" s="25"/>
      <c r="JT972" s="25"/>
      <c r="JU972" s="25"/>
      <c r="JV972" s="25"/>
      <c r="JW972" s="25"/>
      <c r="JX972" s="25"/>
      <c r="JY972" s="25"/>
      <c r="JZ972" s="25"/>
      <c r="KA972" s="25"/>
      <c r="KB972" s="25"/>
      <c r="KC972" s="25"/>
      <c r="KD972" s="25"/>
      <c r="KE972" s="25"/>
      <c r="KF972" s="25"/>
      <c r="KG972" s="25"/>
      <c r="KH972" s="25"/>
      <c r="KI972" s="25"/>
      <c r="KJ972" s="25"/>
      <c r="KK972" s="25"/>
      <c r="KL972" s="25"/>
      <c r="KM972" s="25"/>
      <c r="KN972" s="25"/>
      <c r="KO972" s="25"/>
      <c r="KP972" s="25"/>
      <c r="KQ972" s="25"/>
      <c r="KR972" s="25"/>
      <c r="KS972" s="25"/>
      <c r="KT972" s="25"/>
      <c r="KU972" s="25"/>
      <c r="KV972" s="25"/>
      <c r="KW972" s="25"/>
      <c r="KX972" s="25"/>
      <c r="KY972" s="25"/>
      <c r="KZ972" s="25"/>
      <c r="LA972" s="25"/>
      <c r="LB972" s="25"/>
      <c r="LC972" s="25"/>
      <c r="LD972" s="25"/>
      <c r="LE972" s="25"/>
      <c r="LF972" s="25"/>
      <c r="LG972" s="25"/>
      <c r="LH972" s="25"/>
      <c r="LI972" s="25"/>
      <c r="LJ972" s="25"/>
      <c r="LK972" s="25"/>
      <c r="LL972" s="25"/>
      <c r="LM972" s="25"/>
      <c r="LN972" s="25"/>
      <c r="LO972" s="25"/>
      <c r="LP972" s="25"/>
      <c r="LQ972" s="25"/>
      <c r="LR972" s="25"/>
      <c r="LS972" s="25"/>
      <c r="LT972" s="25"/>
      <c r="LU972" s="25"/>
      <c r="LV972" s="25"/>
      <c r="LW972" s="25"/>
      <c r="LX972" s="25"/>
      <c r="LY972" s="25"/>
      <c r="LZ972" s="25"/>
      <c r="MA972" s="25"/>
      <c r="MB972" s="25"/>
      <c r="MC972" s="25"/>
      <c r="MD972" s="25"/>
      <c r="ME972" s="25"/>
      <c r="MF972" s="25"/>
      <c r="MG972" s="25"/>
      <c r="MH972" s="25"/>
      <c r="MI972" s="25"/>
      <c r="MJ972" s="25"/>
      <c r="MK972" s="25"/>
      <c r="ML972" s="25"/>
      <c r="MM972" s="25"/>
      <c r="MN972" s="25"/>
      <c r="MO972" s="25"/>
      <c r="MP972" s="25"/>
      <c r="MQ972" s="25"/>
      <c r="MR972" s="25"/>
      <c r="MS972" s="25"/>
      <c r="MT972" s="25"/>
      <c r="MU972" s="25"/>
      <c r="MV972" s="25"/>
      <c r="MW972" s="25"/>
      <c r="MX972" s="25"/>
      <c r="MY972" s="25"/>
      <c r="MZ972" s="25"/>
      <c r="NA972" s="25"/>
      <c r="NB972" s="25"/>
      <c r="NC972" s="25"/>
      <c r="ND972" s="25"/>
      <c r="NE972" s="25"/>
      <c r="NF972" s="25"/>
      <c r="NG972" s="25"/>
      <c r="NH972" s="25"/>
      <c r="NI972" s="25"/>
      <c r="NJ972" s="25"/>
      <c r="NK972" s="25"/>
      <c r="NL972" s="25"/>
      <c r="NM972" s="25"/>
      <c r="NN972" s="25"/>
      <c r="NO972" s="25"/>
      <c r="NP972" s="25"/>
      <c r="NQ972" s="25"/>
      <c r="NR972" s="25"/>
      <c r="NS972" s="25"/>
      <c r="NT972" s="25"/>
      <c r="NU972" s="25"/>
      <c r="NV972" s="25"/>
      <c r="NW972" s="25"/>
      <c r="NX972" s="25"/>
      <c r="NY972" s="25"/>
      <c r="NZ972" s="25"/>
      <c r="OA972" s="25"/>
      <c r="OB972" s="25"/>
      <c r="OC972" s="25"/>
      <c r="OD972" s="25"/>
      <c r="OE972" s="25"/>
      <c r="OF972" s="25"/>
      <c r="OG972" s="25"/>
      <c r="OH972" s="25"/>
      <c r="OI972" s="25"/>
      <c r="OJ972" s="25"/>
      <c r="OK972" s="25"/>
      <c r="OL972" s="25"/>
      <c r="OM972" s="25"/>
      <c r="ON972" s="25"/>
      <c r="OO972" s="25"/>
      <c r="OP972" s="25"/>
      <c r="OQ972" s="25"/>
      <c r="OR972" s="25"/>
      <c r="OS972" s="25"/>
      <c r="OT972" s="25"/>
      <c r="OU972" s="25"/>
      <c r="OV972" s="25"/>
      <c r="OW972" s="25"/>
      <c r="OX972" s="25"/>
      <c r="OY972" s="25"/>
      <c r="OZ972" s="25"/>
      <c r="PA972" s="25"/>
      <c r="PB972" s="25"/>
      <c r="PC972" s="25"/>
      <c r="PD972" s="25"/>
      <c r="PE972" s="25"/>
      <c r="PF972" s="25"/>
      <c r="PG972" s="25"/>
      <c r="PH972" s="25"/>
      <c r="PI972" s="25"/>
      <c r="PJ972" s="25"/>
      <c r="PK972" s="25"/>
      <c r="PL972" s="25"/>
      <c r="PM972" s="25"/>
      <c r="PN972" s="25"/>
      <c r="PO972" s="25"/>
      <c r="PP972" s="25"/>
      <c r="PQ972" s="25"/>
      <c r="PR972" s="25"/>
      <c r="PS972" s="25"/>
      <c r="PT972" s="25"/>
      <c r="PU972" s="25"/>
      <c r="PV972" s="25"/>
      <c r="PW972" s="25"/>
      <c r="PX972" s="25"/>
      <c r="PY972" s="25"/>
      <c r="PZ972" s="25"/>
      <c r="QA972" s="25"/>
      <c r="QB972" s="25"/>
      <c r="QC972" s="25"/>
      <c r="QD972" s="25"/>
      <c r="QE972" s="25"/>
      <c r="QF972" s="25"/>
      <c r="QG972" s="25"/>
      <c r="QH972" s="25"/>
      <c r="QI972" s="25"/>
      <c r="QJ972" s="25"/>
      <c r="QK972" s="25"/>
      <c r="QL972" s="25"/>
      <c r="QM972" s="25"/>
      <c r="QN972" s="25"/>
      <c r="QO972" s="25"/>
      <c r="QP972" s="25"/>
      <c r="QQ972" s="25"/>
      <c r="QR972" s="25"/>
      <c r="QS972" s="25"/>
      <c r="QT972" s="25"/>
      <c r="QU972" s="25"/>
      <c r="QV972" s="25"/>
      <c r="QW972" s="25"/>
      <c r="QX972" s="25"/>
      <c r="QY972" s="25"/>
      <c r="QZ972" s="25"/>
      <c r="RA972" s="25"/>
      <c r="RB972" s="25"/>
      <c r="RC972" s="25"/>
      <c r="RD972" s="25"/>
      <c r="RE972" s="25"/>
      <c r="RF972" s="25"/>
      <c r="RG972" s="25"/>
      <c r="RH972" s="25"/>
      <c r="RI972" s="25"/>
      <c r="RJ972" s="25"/>
      <c r="RK972" s="25"/>
      <c r="RL972" s="25"/>
      <c r="RM972" s="25"/>
      <c r="RN972" s="25"/>
      <c r="RO972" s="25"/>
      <c r="RP972" s="25"/>
      <c r="RQ972" s="25"/>
      <c r="RR972" s="25"/>
      <c r="RS972" s="25"/>
      <c r="RT972" s="25"/>
      <c r="RU972" s="25"/>
      <c r="RV972" s="25"/>
      <c r="RW972" s="25"/>
      <c r="RX972" s="25"/>
      <c r="RY972" s="25"/>
      <c r="RZ972" s="25"/>
      <c r="SA972" s="25"/>
      <c r="SB972" s="25"/>
      <c r="SC972" s="25"/>
      <c r="SD972" s="25"/>
      <c r="SE972" s="25"/>
      <c r="SF972" s="25"/>
      <c r="SG972" s="25"/>
      <c r="SH972" s="25"/>
      <c r="SI972" s="25"/>
      <c r="SJ972" s="25"/>
      <c r="SK972" s="25"/>
      <c r="SL972" s="25"/>
      <c r="SM972" s="25"/>
      <c r="SN972" s="25"/>
      <c r="SO972" s="25"/>
      <c r="SP972" s="25"/>
      <c r="SQ972" s="25"/>
      <c r="SR972" s="25"/>
      <c r="SS972" s="25"/>
      <c r="ST972" s="25"/>
      <c r="SU972" s="25"/>
      <c r="SV972" s="25"/>
      <c r="SW972" s="25"/>
      <c r="SX972" s="25"/>
      <c r="SY972" s="25"/>
      <c r="SZ972" s="25"/>
      <c r="TA972" s="25"/>
      <c r="TB972" s="25"/>
      <c r="TC972" s="25"/>
      <c r="TD972" s="25"/>
      <c r="TE972" s="25"/>
      <c r="TF972" s="25"/>
      <c r="TG972" s="25"/>
      <c r="TH972" s="25"/>
      <c r="TI972" s="25"/>
      <c r="TJ972" s="25"/>
      <c r="TK972" s="25"/>
      <c r="TL972" s="25"/>
      <c r="TM972" s="25"/>
      <c r="TN972" s="25"/>
      <c r="TO972" s="25"/>
      <c r="TP972" s="25"/>
      <c r="TQ972" s="25"/>
      <c r="TR972" s="25"/>
      <c r="TS972" s="25"/>
      <c r="TT972" s="25"/>
      <c r="TU972" s="25"/>
      <c r="TV972" s="25"/>
      <c r="TW972" s="25"/>
      <c r="TX972" s="25"/>
      <c r="TY972" s="25"/>
      <c r="TZ972" s="25"/>
      <c r="UA972" s="25"/>
      <c r="UB972" s="25"/>
      <c r="UC972" s="25"/>
      <c r="UD972" s="25"/>
      <c r="UE972" s="25"/>
      <c r="UF972" s="25"/>
      <c r="UG972" s="26"/>
    </row>
    <row r="973" spans="1:553" s="322" customFormat="1" ht="70.5" customHeight="1">
      <c r="A973" s="431">
        <v>9</v>
      </c>
      <c r="B973" s="431"/>
      <c r="C973" s="1194" t="s">
        <v>557</v>
      </c>
      <c r="D973" s="1244"/>
      <c r="E973" s="1244"/>
      <c r="F973" s="1245"/>
      <c r="G973" s="431"/>
      <c r="H973" s="432"/>
      <c r="I973" s="432"/>
      <c r="J973" s="983"/>
      <c r="K973" s="433"/>
      <c r="L973" s="431">
        <f>SUM(L974:L1069)/2</f>
        <v>1225598856.8288801</v>
      </c>
      <c r="M973" s="431"/>
      <c r="N973" s="431"/>
      <c r="O973" s="431"/>
      <c r="P973" s="431">
        <f>P977+P988+P1019+P1045+P1048+P1058+P1065</f>
        <v>1225598856.8288798</v>
      </c>
      <c r="Q973" s="815"/>
      <c r="R973" s="914"/>
      <c r="S973" s="435" t="s">
        <v>845</v>
      </c>
      <c r="T973" s="615" t="s">
        <v>1321</v>
      </c>
      <c r="U973" s="616">
        <f>H977</f>
        <v>3136.9999999999995</v>
      </c>
      <c r="V973" s="616">
        <f>I977</f>
        <v>3136.9999999999995</v>
      </c>
      <c r="W973" s="435">
        <f>SUM(W974:W987)</f>
        <v>1134.9000000000001</v>
      </c>
      <c r="X973" s="435">
        <f t="shared" ref="X973:AC973" si="144">SUM(X974:X987)</f>
        <v>1306.2</v>
      </c>
      <c r="Y973" s="435">
        <f t="shared" si="144"/>
        <v>0</v>
      </c>
      <c r="Z973" s="435">
        <f t="shared" si="144"/>
        <v>0</v>
      </c>
      <c r="AA973" s="435">
        <f t="shared" si="144"/>
        <v>270.8</v>
      </c>
      <c r="AB973" s="435">
        <f t="shared" si="144"/>
        <v>25.100000000000023</v>
      </c>
      <c r="AC973" s="435">
        <f t="shared" si="144"/>
        <v>400</v>
      </c>
      <c r="AD973" s="437">
        <f>L977</f>
        <v>316500400</v>
      </c>
      <c r="AE973" s="437">
        <f>L988</f>
        <v>303486571.17888004</v>
      </c>
      <c r="AF973" s="437">
        <f>L1019</f>
        <v>51097385.649999991</v>
      </c>
      <c r="AG973" s="437">
        <f>L1045</f>
        <v>5500000</v>
      </c>
      <c r="AH973" s="437">
        <f>L1048</f>
        <v>493837600</v>
      </c>
      <c r="AI973" s="437">
        <f>L1065</f>
        <v>0</v>
      </c>
      <c r="AJ973" s="437">
        <f>L1058</f>
        <v>55176900</v>
      </c>
      <c r="AK973" s="437">
        <f>SUM(AD973:AJ973)</f>
        <v>1225598856.8288798</v>
      </c>
      <c r="AL973" s="321"/>
      <c r="AM973" s="130"/>
      <c r="AN973" s="130"/>
      <c r="AO973" s="131"/>
      <c r="AP973" s="131"/>
      <c r="AQ973" s="131"/>
      <c r="AR973" s="131"/>
      <c r="AS973" s="156"/>
      <c r="AT973" s="156"/>
      <c r="AU973" s="156"/>
      <c r="AV973" s="156"/>
      <c r="AW973" s="156"/>
      <c r="AX973" s="156"/>
      <c r="AY973" s="156"/>
      <c r="AZ973" s="156"/>
      <c r="BA973" s="156"/>
      <c r="BB973" s="156"/>
      <c r="BC973" s="156"/>
      <c r="BD973" s="156"/>
      <c r="BE973" s="156"/>
      <c r="BF973" s="156"/>
      <c r="BG973" s="156"/>
      <c r="BH973" s="156"/>
      <c r="BI973" s="156"/>
      <c r="BJ973" s="156"/>
      <c r="BK973" s="156"/>
      <c r="BL973" s="156"/>
      <c r="BM973" s="156"/>
      <c r="BN973" s="156"/>
      <c r="BO973" s="156"/>
      <c r="BP973" s="156"/>
      <c r="BQ973" s="156"/>
      <c r="BR973" s="156"/>
      <c r="BS973" s="156"/>
      <c r="BT973" s="156"/>
      <c r="BU973" s="156"/>
      <c r="BV973" s="156"/>
      <c r="BW973" s="156"/>
      <c r="BX973" s="156"/>
      <c r="BY973" s="156"/>
      <c r="BZ973" s="156"/>
      <c r="CA973" s="156"/>
      <c r="CB973" s="156"/>
      <c r="CC973" s="156"/>
      <c r="CD973" s="156"/>
      <c r="CE973" s="156"/>
      <c r="CF973" s="156"/>
      <c r="CG973" s="156"/>
      <c r="CH973" s="156"/>
      <c r="CI973" s="156"/>
      <c r="CJ973" s="156"/>
      <c r="CK973" s="156"/>
      <c r="CL973" s="156"/>
      <c r="CM973" s="156"/>
      <c r="CN973" s="156"/>
      <c r="CO973" s="156"/>
      <c r="CP973" s="156"/>
      <c r="CQ973" s="156"/>
      <c r="CR973" s="156"/>
      <c r="CS973" s="156"/>
      <c r="CT973" s="156"/>
      <c r="CU973" s="156"/>
      <c r="CV973" s="156"/>
      <c r="CW973" s="156"/>
      <c r="CX973" s="156"/>
      <c r="CY973" s="156"/>
      <c r="CZ973" s="156"/>
      <c r="DA973" s="156"/>
      <c r="DB973" s="156"/>
      <c r="DC973" s="156"/>
      <c r="DD973" s="156"/>
      <c r="DE973" s="156"/>
      <c r="DF973" s="156"/>
      <c r="DG973" s="156"/>
      <c r="DH973" s="156"/>
      <c r="DI973" s="156"/>
      <c r="DJ973" s="156"/>
      <c r="DK973" s="156"/>
      <c r="DL973" s="156"/>
      <c r="DM973" s="156"/>
      <c r="DN973" s="156"/>
      <c r="DO973" s="156"/>
      <c r="DP973" s="156"/>
      <c r="DQ973" s="156"/>
      <c r="DR973" s="156"/>
      <c r="DS973" s="156"/>
      <c r="DT973" s="156"/>
      <c r="DU973" s="156"/>
      <c r="DV973" s="156"/>
      <c r="DW973" s="156"/>
      <c r="DX973" s="156"/>
      <c r="DY973" s="156"/>
      <c r="DZ973" s="156"/>
      <c r="EA973" s="156"/>
      <c r="EB973" s="156"/>
      <c r="EC973" s="156"/>
      <c r="ED973" s="156"/>
      <c r="EE973" s="156"/>
      <c r="EF973" s="156"/>
      <c r="EG973" s="156"/>
      <c r="EH973" s="156"/>
      <c r="EI973" s="156"/>
      <c r="EJ973" s="156"/>
      <c r="EK973" s="156"/>
      <c r="EL973" s="156"/>
      <c r="EM973" s="156"/>
      <c r="EN973" s="156"/>
      <c r="EO973" s="156"/>
      <c r="EP973" s="156"/>
      <c r="EQ973" s="156"/>
      <c r="ER973" s="156"/>
      <c r="ES973" s="156"/>
      <c r="ET973" s="156"/>
      <c r="EU973" s="156"/>
      <c r="EV973" s="156"/>
      <c r="EW973" s="156"/>
      <c r="EX973" s="156"/>
      <c r="EY973" s="156"/>
      <c r="EZ973" s="156"/>
      <c r="FA973" s="156"/>
      <c r="FB973" s="156"/>
      <c r="FC973" s="156"/>
      <c r="FD973" s="156"/>
      <c r="FE973" s="156"/>
      <c r="FF973" s="156"/>
      <c r="FG973" s="156"/>
      <c r="FH973" s="156"/>
      <c r="FI973" s="156"/>
      <c r="FJ973" s="156"/>
      <c r="FK973" s="156"/>
      <c r="FL973" s="156"/>
      <c r="FM973" s="156"/>
      <c r="FN973" s="156"/>
      <c r="FO973" s="156"/>
      <c r="FP973" s="156"/>
      <c r="FQ973" s="156"/>
      <c r="FR973" s="156"/>
      <c r="FS973" s="156"/>
      <c r="FT973" s="156"/>
      <c r="FU973" s="156"/>
      <c r="FV973" s="156"/>
      <c r="FW973" s="156"/>
      <c r="FX973" s="156"/>
      <c r="FY973" s="156"/>
      <c r="FZ973" s="156"/>
      <c r="GA973" s="156"/>
      <c r="GB973" s="156"/>
      <c r="GC973" s="156"/>
      <c r="GD973" s="156"/>
      <c r="GE973" s="156"/>
      <c r="GF973" s="156"/>
      <c r="GG973" s="156"/>
      <c r="GH973" s="156"/>
      <c r="GI973" s="156"/>
      <c r="GJ973" s="156"/>
      <c r="GK973" s="156"/>
      <c r="GL973" s="156"/>
      <c r="GM973" s="156"/>
      <c r="GN973" s="156"/>
      <c r="GO973" s="156"/>
      <c r="GP973" s="156"/>
      <c r="GQ973" s="156"/>
      <c r="GR973" s="156"/>
      <c r="GS973" s="156"/>
      <c r="GT973" s="156"/>
      <c r="GU973" s="156"/>
      <c r="GV973" s="156"/>
      <c r="GW973" s="156"/>
      <c r="GX973" s="156"/>
      <c r="GY973" s="156"/>
      <c r="GZ973" s="156"/>
      <c r="HA973" s="156"/>
      <c r="HB973" s="156"/>
      <c r="HC973" s="156"/>
      <c r="HD973" s="156"/>
      <c r="HE973" s="156"/>
      <c r="HF973" s="156"/>
      <c r="HG973" s="156"/>
      <c r="HH973" s="156"/>
      <c r="HI973" s="156"/>
      <c r="HJ973" s="156"/>
      <c r="HK973" s="156"/>
      <c r="HL973" s="156"/>
      <c r="HM973" s="156"/>
      <c r="HN973" s="156"/>
      <c r="HO973" s="156"/>
      <c r="HP973" s="156"/>
      <c r="HQ973" s="156"/>
      <c r="HR973" s="156"/>
      <c r="HS973" s="156"/>
      <c r="HT973" s="156"/>
      <c r="HU973" s="156"/>
      <c r="HV973" s="156"/>
      <c r="HW973" s="156"/>
      <c r="HX973" s="156"/>
      <c r="HY973" s="156"/>
      <c r="HZ973" s="156"/>
      <c r="IA973" s="156"/>
      <c r="IB973" s="156"/>
      <c r="IC973" s="156"/>
      <c r="ID973" s="156"/>
      <c r="IE973" s="156"/>
      <c r="IF973" s="156"/>
      <c r="IG973" s="156"/>
      <c r="IH973" s="156"/>
      <c r="II973" s="156"/>
      <c r="IJ973" s="156"/>
      <c r="IK973" s="156"/>
      <c r="IL973" s="156"/>
      <c r="IM973" s="156"/>
      <c r="IN973" s="156"/>
      <c r="IO973" s="156"/>
      <c r="IP973" s="156"/>
      <c r="IQ973" s="156"/>
      <c r="IR973" s="156"/>
      <c r="IS973" s="156"/>
      <c r="IT973" s="156"/>
      <c r="IU973" s="156"/>
      <c r="IV973" s="156"/>
      <c r="IW973" s="156"/>
      <c r="IX973" s="156"/>
      <c r="IY973" s="156"/>
      <c r="IZ973" s="156"/>
      <c r="JA973" s="156"/>
      <c r="JB973" s="156"/>
      <c r="JC973" s="156"/>
      <c r="JD973" s="156"/>
      <c r="JE973" s="156"/>
      <c r="JF973" s="156"/>
      <c r="JG973" s="156"/>
      <c r="JH973" s="156"/>
      <c r="JI973" s="156"/>
      <c r="JJ973" s="156"/>
      <c r="JK973" s="156"/>
      <c r="JL973" s="156"/>
      <c r="JM973" s="156"/>
      <c r="JN973" s="156"/>
      <c r="JO973" s="156"/>
      <c r="JP973" s="156"/>
      <c r="JQ973" s="156"/>
      <c r="JR973" s="156"/>
      <c r="JS973" s="156"/>
      <c r="JT973" s="156"/>
      <c r="JU973" s="156"/>
      <c r="JV973" s="156"/>
      <c r="JW973" s="156"/>
      <c r="JX973" s="156"/>
      <c r="JY973" s="156"/>
      <c r="JZ973" s="156"/>
      <c r="KA973" s="156"/>
      <c r="KB973" s="156"/>
      <c r="KC973" s="156"/>
      <c r="KD973" s="156"/>
      <c r="KE973" s="156"/>
      <c r="KF973" s="156"/>
      <c r="KG973" s="156"/>
      <c r="KH973" s="156"/>
      <c r="KI973" s="156"/>
      <c r="KJ973" s="156"/>
      <c r="KK973" s="156"/>
      <c r="KL973" s="156"/>
      <c r="KM973" s="156"/>
      <c r="KN973" s="156"/>
      <c r="KO973" s="156"/>
      <c r="KP973" s="156"/>
      <c r="KQ973" s="156"/>
      <c r="KR973" s="156"/>
      <c r="KS973" s="156"/>
      <c r="KT973" s="156"/>
      <c r="KU973" s="156"/>
      <c r="KV973" s="156"/>
      <c r="KW973" s="156"/>
      <c r="KX973" s="156"/>
      <c r="KY973" s="156"/>
      <c r="KZ973" s="156"/>
      <c r="LA973" s="156"/>
      <c r="LB973" s="156"/>
      <c r="LC973" s="156"/>
      <c r="LD973" s="156"/>
      <c r="LE973" s="156"/>
      <c r="LF973" s="156"/>
      <c r="LG973" s="156"/>
      <c r="LH973" s="156"/>
      <c r="LI973" s="156"/>
      <c r="LJ973" s="156"/>
      <c r="LK973" s="156"/>
      <c r="LL973" s="156"/>
      <c r="LM973" s="156"/>
      <c r="LN973" s="156"/>
      <c r="LO973" s="156"/>
      <c r="LP973" s="156"/>
      <c r="LQ973" s="156"/>
      <c r="LR973" s="156"/>
      <c r="LS973" s="156"/>
      <c r="LT973" s="156"/>
      <c r="LU973" s="156"/>
      <c r="LV973" s="156"/>
      <c r="LW973" s="156"/>
      <c r="LX973" s="156"/>
      <c r="LY973" s="156"/>
      <c r="LZ973" s="156"/>
      <c r="MA973" s="156"/>
      <c r="MB973" s="156"/>
      <c r="MC973" s="156"/>
      <c r="MD973" s="156"/>
      <c r="ME973" s="156"/>
      <c r="MF973" s="156"/>
      <c r="MG973" s="156"/>
      <c r="MH973" s="156"/>
      <c r="MI973" s="156"/>
      <c r="MJ973" s="156"/>
      <c r="MK973" s="156"/>
      <c r="ML973" s="156"/>
      <c r="MM973" s="156"/>
      <c r="MN973" s="156"/>
      <c r="MO973" s="156"/>
      <c r="MP973" s="156"/>
      <c r="MQ973" s="156"/>
      <c r="MR973" s="156"/>
      <c r="MS973" s="156"/>
      <c r="MT973" s="156"/>
      <c r="MU973" s="156"/>
      <c r="MV973" s="156"/>
      <c r="MW973" s="156"/>
      <c r="MX973" s="156"/>
      <c r="MY973" s="156"/>
      <c r="MZ973" s="156"/>
      <c r="NA973" s="156"/>
      <c r="NB973" s="156"/>
      <c r="NC973" s="156"/>
      <c r="ND973" s="156"/>
      <c r="NE973" s="156"/>
      <c r="NF973" s="156"/>
      <c r="NG973" s="156"/>
      <c r="NH973" s="156"/>
      <c r="NI973" s="156"/>
      <c r="NJ973" s="156"/>
      <c r="NK973" s="156"/>
      <c r="NL973" s="156"/>
      <c r="NM973" s="156"/>
      <c r="NN973" s="156"/>
      <c r="NO973" s="156"/>
      <c r="NP973" s="156"/>
      <c r="NQ973" s="156"/>
      <c r="NR973" s="156"/>
      <c r="NS973" s="156"/>
      <c r="NT973" s="156"/>
      <c r="NU973" s="156"/>
      <c r="NV973" s="156"/>
      <c r="NW973" s="156"/>
      <c r="NX973" s="156"/>
      <c r="NY973" s="156"/>
      <c r="NZ973" s="156"/>
      <c r="OA973" s="156"/>
      <c r="OB973" s="156"/>
      <c r="OC973" s="156"/>
      <c r="OD973" s="156"/>
      <c r="OE973" s="156"/>
      <c r="OF973" s="156"/>
      <c r="OG973" s="156"/>
      <c r="OH973" s="156"/>
      <c r="OI973" s="156"/>
      <c r="OJ973" s="156"/>
      <c r="OK973" s="156"/>
      <c r="OL973" s="156"/>
      <c r="OM973" s="156"/>
      <c r="ON973" s="156"/>
      <c r="OO973" s="156"/>
      <c r="OP973" s="156"/>
      <c r="OQ973" s="156"/>
      <c r="OR973" s="156"/>
      <c r="OS973" s="156"/>
      <c r="OT973" s="156"/>
      <c r="OU973" s="156"/>
      <c r="OV973" s="156"/>
      <c r="OW973" s="156"/>
      <c r="OX973" s="156"/>
      <c r="OY973" s="156"/>
      <c r="OZ973" s="156"/>
      <c r="PA973" s="156"/>
      <c r="PB973" s="156"/>
      <c r="PC973" s="156"/>
      <c r="PD973" s="156"/>
      <c r="PE973" s="156"/>
      <c r="PF973" s="156"/>
      <c r="PG973" s="156"/>
      <c r="PH973" s="156"/>
      <c r="PI973" s="156"/>
      <c r="PJ973" s="156"/>
      <c r="PK973" s="156"/>
      <c r="PL973" s="156"/>
      <c r="PM973" s="156"/>
      <c r="PN973" s="156"/>
      <c r="PO973" s="156"/>
      <c r="PP973" s="156"/>
      <c r="PQ973" s="156"/>
      <c r="PR973" s="156"/>
      <c r="PS973" s="156"/>
      <c r="PT973" s="156"/>
      <c r="PU973" s="156"/>
      <c r="PV973" s="156"/>
      <c r="PW973" s="156"/>
      <c r="PX973" s="156"/>
      <c r="PY973" s="156"/>
      <c r="PZ973" s="156"/>
      <c r="QA973" s="156"/>
      <c r="QB973" s="156"/>
      <c r="QC973" s="156"/>
      <c r="QD973" s="156"/>
      <c r="QE973" s="156"/>
      <c r="QF973" s="156"/>
      <c r="QG973" s="156"/>
      <c r="QH973" s="156"/>
      <c r="QI973" s="156"/>
      <c r="QJ973" s="156"/>
      <c r="QK973" s="156"/>
      <c r="QL973" s="156"/>
      <c r="QM973" s="156"/>
      <c r="QN973" s="156"/>
      <c r="QO973" s="156"/>
      <c r="QP973" s="156"/>
      <c r="QQ973" s="156"/>
      <c r="QR973" s="156"/>
      <c r="QS973" s="156"/>
      <c r="QT973" s="156"/>
      <c r="QU973" s="156"/>
      <c r="QV973" s="156"/>
      <c r="QW973" s="156"/>
      <c r="QX973" s="156"/>
      <c r="QY973" s="156"/>
      <c r="QZ973" s="156"/>
      <c r="RA973" s="156"/>
      <c r="RB973" s="156"/>
      <c r="RC973" s="156"/>
      <c r="RD973" s="156"/>
      <c r="RE973" s="156"/>
      <c r="RF973" s="156"/>
      <c r="RG973" s="156"/>
      <c r="RH973" s="156"/>
      <c r="RI973" s="156"/>
      <c r="RJ973" s="156"/>
      <c r="RK973" s="156"/>
      <c r="RL973" s="156"/>
      <c r="RM973" s="156"/>
      <c r="RN973" s="156"/>
      <c r="RO973" s="156"/>
      <c r="RP973" s="156"/>
      <c r="RQ973" s="156"/>
      <c r="RR973" s="156"/>
      <c r="RS973" s="156"/>
      <c r="RT973" s="156"/>
      <c r="RU973" s="156"/>
      <c r="RV973" s="156"/>
      <c r="RW973" s="156"/>
      <c r="RX973" s="156"/>
      <c r="RY973" s="156"/>
      <c r="RZ973" s="156"/>
      <c r="SA973" s="156"/>
      <c r="SB973" s="156"/>
      <c r="SC973" s="156"/>
      <c r="SD973" s="156"/>
      <c r="SE973" s="156"/>
      <c r="SF973" s="156"/>
      <c r="SG973" s="156"/>
      <c r="SH973" s="156"/>
      <c r="SI973" s="156"/>
      <c r="SJ973" s="156"/>
      <c r="SK973" s="156"/>
      <c r="SL973" s="156"/>
      <c r="SM973" s="156"/>
      <c r="SN973" s="156"/>
      <c r="SO973" s="156"/>
      <c r="SP973" s="156"/>
      <c r="SQ973" s="156"/>
      <c r="SR973" s="156"/>
      <c r="SS973" s="156"/>
      <c r="ST973" s="156"/>
      <c r="SU973" s="156"/>
      <c r="SV973" s="156"/>
      <c r="SW973" s="156"/>
      <c r="SX973" s="156"/>
      <c r="SY973" s="156"/>
      <c r="SZ973" s="156"/>
      <c r="TA973" s="156"/>
      <c r="TB973" s="156"/>
      <c r="TC973" s="156"/>
      <c r="TD973" s="156"/>
      <c r="TE973" s="156"/>
      <c r="TF973" s="156"/>
      <c r="TG973" s="156"/>
      <c r="TH973" s="156"/>
      <c r="TI973" s="156"/>
      <c r="TJ973" s="156"/>
      <c r="TK973" s="156"/>
      <c r="TL973" s="156"/>
      <c r="TM973" s="156"/>
      <c r="TN973" s="156"/>
      <c r="TO973" s="156"/>
      <c r="TP973" s="156"/>
      <c r="TQ973" s="156"/>
      <c r="TR973" s="156"/>
      <c r="TS973" s="156"/>
      <c r="TT973" s="156"/>
      <c r="TU973" s="156"/>
      <c r="TV973" s="156"/>
      <c r="TW973" s="156"/>
      <c r="TX973" s="156"/>
      <c r="TY973" s="156"/>
      <c r="TZ973" s="156"/>
      <c r="UA973" s="156"/>
      <c r="UB973" s="156"/>
      <c r="UC973" s="156"/>
      <c r="UD973" s="156"/>
      <c r="UE973" s="156"/>
      <c r="UF973" s="156"/>
      <c r="UG973" s="157"/>
    </row>
    <row r="974" spans="1:553" ht="30.75" customHeight="1">
      <c r="A974" s="356" t="s">
        <v>15</v>
      </c>
      <c r="B974" s="366"/>
      <c r="C974" s="1443" t="s">
        <v>558</v>
      </c>
      <c r="D974" s="1389"/>
      <c r="E974" s="1389"/>
      <c r="F974" s="1390"/>
      <c r="G974" s="366"/>
      <c r="H974" s="370"/>
      <c r="I974" s="370"/>
      <c r="J974" s="368"/>
      <c r="K974" s="371"/>
      <c r="L974" s="366"/>
      <c r="M974" s="366"/>
      <c r="N974" s="366"/>
      <c r="O974" s="366"/>
      <c r="P974" s="366"/>
      <c r="Q974" s="812"/>
      <c r="R974" s="1226"/>
      <c r="S974" s="308"/>
      <c r="T974" s="308"/>
      <c r="U974" s="308"/>
      <c r="V974" s="308"/>
      <c r="W974" s="308"/>
      <c r="X974" s="308"/>
      <c r="Y974" s="308"/>
      <c r="Z974" s="604"/>
      <c r="AA974" s="308"/>
      <c r="AB974" s="308"/>
      <c r="AC974" s="373"/>
      <c r="AD974" s="373"/>
      <c r="AE974" s="373"/>
      <c r="AF974" s="373"/>
      <c r="AG974" s="373"/>
      <c r="AH974" s="373"/>
      <c r="AI974" s="373"/>
      <c r="AJ974" s="373"/>
      <c r="AK974" s="374"/>
      <c r="AL974" s="323"/>
      <c r="AM974" s="21"/>
      <c r="AN974" s="21"/>
      <c r="AO974" s="21"/>
      <c r="AP974" s="21"/>
      <c r="AQ974" s="21"/>
      <c r="AR974" s="21"/>
      <c r="AS974" s="22"/>
      <c r="AT974" s="22"/>
      <c r="AU974" s="22"/>
      <c r="AV974" s="22"/>
      <c r="AW974" s="22"/>
      <c r="AX974" s="22"/>
      <c r="AY974" s="22"/>
      <c r="AZ974" s="22"/>
      <c r="BA974" s="22"/>
      <c r="BB974" s="22"/>
      <c r="BC974" s="22"/>
      <c r="BD974" s="22"/>
      <c r="BE974" s="22"/>
      <c r="BF974" s="22"/>
      <c r="BG974" s="22"/>
      <c r="BH974" s="22"/>
      <c r="BI974" s="22"/>
      <c r="BJ974" s="22"/>
      <c r="BK974" s="22"/>
      <c r="BL974" s="22"/>
      <c r="BM974" s="22"/>
      <c r="BN974" s="22"/>
      <c r="BO974" s="22"/>
      <c r="BP974" s="22"/>
      <c r="BQ974" s="22"/>
      <c r="BR974" s="22"/>
      <c r="BS974" s="22"/>
      <c r="BT974" s="22"/>
      <c r="BU974" s="22"/>
      <c r="BV974" s="22"/>
      <c r="BW974" s="22"/>
      <c r="BX974" s="22"/>
      <c r="BY974" s="22"/>
      <c r="BZ974" s="22"/>
      <c r="CA974" s="22"/>
      <c r="CB974" s="22"/>
      <c r="CC974" s="22"/>
      <c r="CD974" s="22"/>
      <c r="CE974" s="22"/>
      <c r="CF974" s="22"/>
      <c r="CG974" s="22"/>
      <c r="CH974" s="22"/>
      <c r="CI974" s="22"/>
      <c r="CJ974" s="22"/>
      <c r="CK974" s="22"/>
      <c r="CL974" s="22"/>
      <c r="CM974" s="22"/>
      <c r="CN974" s="22"/>
      <c r="CO974" s="22"/>
      <c r="CP974" s="22"/>
      <c r="CQ974" s="22"/>
      <c r="CR974" s="22"/>
      <c r="CS974" s="22"/>
      <c r="CT974" s="22"/>
      <c r="CU974" s="22"/>
      <c r="CV974" s="22"/>
      <c r="CW974" s="22"/>
      <c r="CX974" s="22"/>
      <c r="CY974" s="22"/>
      <c r="CZ974" s="22"/>
      <c r="DA974" s="22"/>
      <c r="DB974" s="22"/>
      <c r="DC974" s="22"/>
      <c r="DD974" s="22"/>
      <c r="DE974" s="22"/>
      <c r="DF974" s="22"/>
      <c r="DG974" s="22"/>
      <c r="DH974" s="22"/>
      <c r="DI974" s="22"/>
      <c r="DJ974" s="22"/>
      <c r="DK974" s="22"/>
      <c r="DL974" s="22"/>
      <c r="DM974" s="22"/>
      <c r="DN974" s="22"/>
      <c r="DO974" s="22"/>
      <c r="DP974" s="22"/>
      <c r="DQ974" s="22"/>
      <c r="DR974" s="22"/>
      <c r="DS974" s="22"/>
      <c r="DT974" s="22"/>
      <c r="DU974" s="22"/>
      <c r="DV974" s="22"/>
      <c r="DW974" s="22"/>
      <c r="DX974" s="22"/>
      <c r="DY974" s="22"/>
      <c r="DZ974" s="22"/>
      <c r="EA974" s="22"/>
      <c r="EB974" s="22"/>
      <c r="EC974" s="22"/>
      <c r="ED974" s="22"/>
      <c r="EE974" s="22"/>
      <c r="EF974" s="22"/>
      <c r="EG974" s="22"/>
      <c r="EH974" s="22"/>
      <c r="EI974" s="22"/>
      <c r="EJ974" s="22"/>
      <c r="EK974" s="22"/>
      <c r="EL974" s="22"/>
      <c r="EM974" s="22"/>
      <c r="EN974" s="22"/>
      <c r="EO974" s="22"/>
      <c r="EP974" s="22"/>
      <c r="EQ974" s="22"/>
      <c r="ER974" s="22"/>
      <c r="ES974" s="22"/>
      <c r="ET974" s="22"/>
      <c r="EU974" s="22"/>
      <c r="EV974" s="22"/>
      <c r="EW974" s="22"/>
      <c r="EX974" s="22"/>
      <c r="EY974" s="22"/>
      <c r="EZ974" s="22"/>
      <c r="FA974" s="22"/>
      <c r="FB974" s="22"/>
      <c r="FC974" s="22"/>
      <c r="FD974" s="22"/>
      <c r="FE974" s="22"/>
      <c r="FF974" s="22"/>
      <c r="FG974" s="22"/>
      <c r="FH974" s="22"/>
      <c r="FI974" s="22"/>
      <c r="FJ974" s="22"/>
      <c r="FK974" s="22"/>
      <c r="FL974" s="22"/>
      <c r="FM974" s="22"/>
      <c r="FN974" s="22"/>
      <c r="FO974" s="22"/>
      <c r="FP974" s="22"/>
      <c r="FQ974" s="22"/>
      <c r="FR974" s="22"/>
      <c r="FS974" s="22"/>
      <c r="FT974" s="22"/>
      <c r="FU974" s="22"/>
      <c r="FV974" s="22"/>
      <c r="FW974" s="22"/>
      <c r="FX974" s="22"/>
      <c r="FY974" s="22"/>
      <c r="FZ974" s="22"/>
      <c r="GA974" s="22"/>
      <c r="GB974" s="22"/>
      <c r="GC974" s="22"/>
      <c r="GD974" s="22"/>
      <c r="GE974" s="22"/>
      <c r="GF974" s="22"/>
      <c r="GG974" s="22"/>
      <c r="GH974" s="22"/>
      <c r="GI974" s="22"/>
      <c r="GJ974" s="22"/>
      <c r="GK974" s="22"/>
      <c r="GL974" s="22"/>
      <c r="GM974" s="22"/>
      <c r="GN974" s="22"/>
      <c r="GO974" s="22"/>
      <c r="GP974" s="22"/>
      <c r="GQ974" s="22"/>
      <c r="GR974" s="22"/>
      <c r="GS974" s="22"/>
      <c r="GT974" s="22"/>
      <c r="GU974" s="22"/>
      <c r="GV974" s="22"/>
      <c r="GW974" s="22"/>
      <c r="GX974" s="22"/>
      <c r="GY974" s="22"/>
      <c r="GZ974" s="22"/>
      <c r="HA974" s="22"/>
      <c r="HB974" s="22"/>
      <c r="HC974" s="22"/>
      <c r="HD974" s="22"/>
      <c r="HE974" s="22"/>
      <c r="HF974" s="22"/>
      <c r="HG974" s="22"/>
      <c r="HH974" s="22"/>
      <c r="HI974" s="22"/>
      <c r="HJ974" s="22"/>
      <c r="HK974" s="22"/>
      <c r="HL974" s="22"/>
      <c r="HM974" s="22"/>
      <c r="HN974" s="22"/>
      <c r="HO974" s="22"/>
      <c r="HP974" s="22"/>
      <c r="HQ974" s="22"/>
      <c r="HR974" s="22"/>
      <c r="HS974" s="22"/>
      <c r="HT974" s="22"/>
      <c r="HU974" s="22"/>
      <c r="HV974" s="22"/>
      <c r="HW974" s="22"/>
      <c r="HX974" s="22"/>
      <c r="HY974" s="22"/>
      <c r="HZ974" s="22"/>
      <c r="IA974" s="22"/>
      <c r="IB974" s="22"/>
      <c r="IC974" s="22"/>
      <c r="ID974" s="22"/>
      <c r="IE974" s="22"/>
      <c r="IF974" s="22"/>
      <c r="IG974" s="22"/>
      <c r="IH974" s="22"/>
      <c r="II974" s="22"/>
      <c r="IJ974" s="22"/>
      <c r="IK974" s="22"/>
      <c r="IL974" s="22"/>
      <c r="IM974" s="22"/>
      <c r="IN974" s="22"/>
      <c r="IO974" s="22"/>
      <c r="IP974" s="22"/>
      <c r="IQ974" s="22"/>
      <c r="IR974" s="22"/>
      <c r="IS974" s="22"/>
      <c r="IT974" s="22"/>
      <c r="IU974" s="22"/>
      <c r="IV974" s="22"/>
      <c r="IW974" s="22"/>
      <c r="IX974" s="22"/>
      <c r="IY974" s="22"/>
      <c r="IZ974" s="22"/>
      <c r="JA974" s="22"/>
      <c r="JB974" s="22"/>
      <c r="JC974" s="22"/>
      <c r="JD974" s="22"/>
      <c r="JE974" s="22"/>
      <c r="JF974" s="22"/>
      <c r="JG974" s="22"/>
      <c r="JH974" s="22"/>
      <c r="JI974" s="22"/>
      <c r="JJ974" s="22"/>
      <c r="JK974" s="22"/>
      <c r="JL974" s="22"/>
      <c r="JM974" s="22"/>
      <c r="JN974" s="22"/>
      <c r="JO974" s="22"/>
      <c r="JP974" s="22"/>
      <c r="JQ974" s="22"/>
      <c r="JR974" s="22"/>
      <c r="JS974" s="22"/>
      <c r="JT974" s="22"/>
      <c r="JU974" s="22"/>
      <c r="JV974" s="22"/>
      <c r="JW974" s="22"/>
      <c r="JX974" s="22"/>
      <c r="JY974" s="22"/>
      <c r="JZ974" s="22"/>
      <c r="KA974" s="22"/>
      <c r="KB974" s="22"/>
      <c r="KC974" s="22"/>
      <c r="KD974" s="22"/>
      <c r="KE974" s="22"/>
      <c r="KF974" s="22"/>
      <c r="KG974" s="22"/>
      <c r="KH974" s="22"/>
      <c r="KI974" s="22"/>
      <c r="KJ974" s="22"/>
      <c r="KK974" s="22"/>
      <c r="KL974" s="22"/>
      <c r="KM974" s="22"/>
      <c r="KN974" s="22"/>
      <c r="KO974" s="22"/>
      <c r="KP974" s="22"/>
      <c r="KQ974" s="22"/>
      <c r="KR974" s="22"/>
      <c r="KS974" s="22"/>
      <c r="KT974" s="22"/>
      <c r="KU974" s="22"/>
      <c r="KV974" s="22"/>
      <c r="KW974" s="22"/>
      <c r="KX974" s="22"/>
      <c r="KY974" s="22"/>
      <c r="KZ974" s="22"/>
      <c r="LA974" s="22"/>
      <c r="LB974" s="22"/>
      <c r="LC974" s="22"/>
      <c r="LD974" s="22"/>
      <c r="LE974" s="22"/>
      <c r="LF974" s="22"/>
      <c r="LG974" s="22"/>
      <c r="LH974" s="22"/>
      <c r="LI974" s="22"/>
      <c r="LJ974" s="22"/>
      <c r="LK974" s="22"/>
      <c r="LL974" s="22"/>
      <c r="LM974" s="22"/>
      <c r="LN974" s="22"/>
      <c r="LO974" s="22"/>
      <c r="LP974" s="22"/>
      <c r="LQ974" s="22"/>
      <c r="LR974" s="22"/>
      <c r="LS974" s="22"/>
      <c r="LT974" s="22"/>
      <c r="LU974" s="22"/>
      <c r="LV974" s="22"/>
      <c r="LW974" s="22"/>
      <c r="LX974" s="22"/>
      <c r="LY974" s="22"/>
      <c r="LZ974" s="22"/>
      <c r="MA974" s="22"/>
      <c r="MB974" s="22"/>
      <c r="MC974" s="22"/>
      <c r="MD974" s="22"/>
      <c r="ME974" s="22"/>
      <c r="MF974" s="22"/>
      <c r="MG974" s="22"/>
      <c r="MH974" s="22"/>
      <c r="MI974" s="22"/>
      <c r="MJ974" s="22"/>
      <c r="MK974" s="22"/>
      <c r="ML974" s="22"/>
      <c r="MM974" s="22"/>
      <c r="MN974" s="22"/>
      <c r="MO974" s="22"/>
      <c r="MP974" s="22"/>
      <c r="MQ974" s="22"/>
      <c r="MR974" s="22"/>
      <c r="MS974" s="22"/>
      <c r="MT974" s="22"/>
      <c r="MU974" s="22"/>
      <c r="MV974" s="22"/>
      <c r="MW974" s="22"/>
      <c r="MX974" s="22"/>
      <c r="MY974" s="22"/>
      <c r="MZ974" s="22"/>
      <c r="NA974" s="22"/>
      <c r="NB974" s="22"/>
      <c r="NC974" s="22"/>
      <c r="ND974" s="22"/>
      <c r="NE974" s="22"/>
      <c r="NF974" s="22"/>
      <c r="NG974" s="22"/>
      <c r="NH974" s="22"/>
      <c r="NI974" s="22"/>
      <c r="NJ974" s="22"/>
      <c r="NK974" s="22"/>
      <c r="NL974" s="22"/>
      <c r="NM974" s="22"/>
      <c r="NN974" s="22"/>
      <c r="NO974" s="22"/>
      <c r="NP974" s="22"/>
      <c r="NQ974" s="22"/>
      <c r="NR974" s="22"/>
      <c r="NS974" s="22"/>
      <c r="NT974" s="22"/>
      <c r="NU974" s="22"/>
      <c r="NV974" s="22"/>
      <c r="NW974" s="22"/>
      <c r="NX974" s="22"/>
      <c r="NY974" s="22"/>
      <c r="NZ974" s="22"/>
      <c r="OA974" s="22"/>
      <c r="OB974" s="22"/>
      <c r="OC974" s="22"/>
      <c r="OD974" s="22"/>
      <c r="OE974" s="22"/>
      <c r="OF974" s="22"/>
      <c r="OG974" s="22"/>
      <c r="OH974" s="22"/>
      <c r="OI974" s="22"/>
      <c r="OJ974" s="22"/>
      <c r="OK974" s="22"/>
      <c r="OL974" s="22"/>
      <c r="OM974" s="22"/>
      <c r="ON974" s="22"/>
      <c r="OO974" s="22"/>
      <c r="OP974" s="22"/>
      <c r="OQ974" s="22"/>
      <c r="OR974" s="22"/>
      <c r="OS974" s="22"/>
      <c r="OT974" s="22"/>
      <c r="OU974" s="22"/>
      <c r="OV974" s="22"/>
      <c r="OW974" s="22"/>
      <c r="OX974" s="22"/>
      <c r="OY974" s="22"/>
      <c r="OZ974" s="22"/>
      <c r="PA974" s="22"/>
      <c r="PB974" s="22"/>
      <c r="PC974" s="22"/>
      <c r="PD974" s="22"/>
      <c r="PE974" s="22"/>
      <c r="PF974" s="22"/>
      <c r="PG974" s="22"/>
      <c r="PH974" s="22"/>
      <c r="PI974" s="22"/>
      <c r="PJ974" s="22"/>
      <c r="PK974" s="22"/>
      <c r="PL974" s="22"/>
      <c r="PM974" s="22"/>
      <c r="PN974" s="22"/>
      <c r="PO974" s="22"/>
      <c r="PP974" s="22"/>
      <c r="PQ974" s="22"/>
      <c r="PR974" s="22"/>
      <c r="PS974" s="22"/>
      <c r="PT974" s="22"/>
      <c r="PU974" s="22"/>
      <c r="PV974" s="22"/>
      <c r="PW974" s="22"/>
      <c r="PX974" s="22"/>
      <c r="PY974" s="22"/>
      <c r="PZ974" s="22"/>
      <c r="QA974" s="22"/>
      <c r="QB974" s="22"/>
      <c r="QC974" s="22"/>
      <c r="QD974" s="22"/>
      <c r="QE974" s="22"/>
      <c r="QF974" s="22"/>
      <c r="QG974" s="22"/>
      <c r="QH974" s="22"/>
      <c r="QI974" s="22"/>
      <c r="QJ974" s="22"/>
      <c r="QK974" s="22"/>
      <c r="QL974" s="22"/>
      <c r="QM974" s="22"/>
      <c r="QN974" s="22"/>
      <c r="QO974" s="22"/>
      <c r="QP974" s="22"/>
      <c r="QQ974" s="22"/>
      <c r="QR974" s="22"/>
      <c r="QS974" s="22"/>
      <c r="QT974" s="22"/>
      <c r="QU974" s="22"/>
      <c r="QV974" s="22"/>
      <c r="QW974" s="22"/>
      <c r="QX974" s="22"/>
      <c r="QY974" s="22"/>
      <c r="QZ974" s="22"/>
      <c r="RA974" s="22"/>
      <c r="RB974" s="22"/>
      <c r="RC974" s="22"/>
      <c r="RD974" s="22"/>
      <c r="RE974" s="22"/>
      <c r="RF974" s="22"/>
      <c r="RG974" s="22"/>
      <c r="RH974" s="22"/>
      <c r="RI974" s="22"/>
      <c r="RJ974" s="22"/>
      <c r="RK974" s="22"/>
      <c r="RL974" s="22"/>
      <c r="RM974" s="22"/>
      <c r="RN974" s="22"/>
      <c r="RO974" s="22"/>
      <c r="RP974" s="22"/>
      <c r="RQ974" s="22"/>
      <c r="RR974" s="22"/>
      <c r="RS974" s="22"/>
      <c r="RT974" s="22"/>
      <c r="RU974" s="22"/>
      <c r="RV974" s="22"/>
      <c r="RW974" s="22"/>
      <c r="RX974" s="22"/>
      <c r="RY974" s="22"/>
      <c r="RZ974" s="22"/>
      <c r="SA974" s="22"/>
      <c r="SB974" s="22"/>
      <c r="SC974" s="22"/>
      <c r="SD974" s="22"/>
      <c r="SE974" s="22"/>
      <c r="SF974" s="22"/>
      <c r="SG974" s="22"/>
      <c r="SH974" s="22"/>
      <c r="SI974" s="22"/>
      <c r="SJ974" s="22"/>
      <c r="SK974" s="22"/>
      <c r="SL974" s="22"/>
      <c r="SM974" s="22"/>
      <c r="SN974" s="22"/>
      <c r="SO974" s="22"/>
      <c r="SP974" s="22"/>
      <c r="SQ974" s="22"/>
      <c r="SR974" s="22"/>
      <c r="SS974" s="22"/>
      <c r="ST974" s="22"/>
      <c r="SU974" s="22"/>
      <c r="SV974" s="22"/>
      <c r="SW974" s="22"/>
      <c r="SX974" s="22"/>
      <c r="SY974" s="22"/>
      <c r="SZ974" s="22"/>
      <c r="TA974" s="22"/>
      <c r="TB974" s="22"/>
      <c r="TC974" s="22"/>
      <c r="TD974" s="22"/>
      <c r="TE974" s="22"/>
      <c r="TF974" s="22"/>
      <c r="TG974" s="22"/>
      <c r="TH974" s="22"/>
      <c r="TI974" s="22"/>
      <c r="TJ974" s="22"/>
      <c r="TK974" s="22"/>
      <c r="TL974" s="22"/>
      <c r="TM974" s="22"/>
      <c r="TN974" s="22"/>
      <c r="TO974" s="22"/>
      <c r="TP974" s="22"/>
      <c r="TQ974" s="22"/>
      <c r="TR974" s="22"/>
      <c r="TS974" s="22"/>
      <c r="TT974" s="22"/>
      <c r="TU974" s="22"/>
      <c r="TV974" s="22"/>
      <c r="TW974" s="22"/>
      <c r="TX974" s="22"/>
      <c r="TY974" s="22"/>
      <c r="TZ974" s="22"/>
      <c r="UA974" s="22"/>
      <c r="UB974" s="22"/>
      <c r="UC974" s="22"/>
      <c r="UD974" s="22"/>
      <c r="UE974" s="22"/>
      <c r="UF974" s="22"/>
      <c r="UG974" s="23"/>
    </row>
    <row r="975" spans="1:553" ht="30.75" customHeight="1">
      <c r="A975" s="356" t="s">
        <v>15</v>
      </c>
      <c r="B975" s="366"/>
      <c r="C975" s="1414" t="s">
        <v>16</v>
      </c>
      <c r="D975" s="1389"/>
      <c r="E975" s="1389"/>
      <c r="F975" s="1390"/>
      <c r="G975" s="366"/>
      <c r="H975" s="370"/>
      <c r="I975" s="370"/>
      <c r="J975" s="368"/>
      <c r="K975" s="371"/>
      <c r="L975" s="366"/>
      <c r="M975" s="366"/>
      <c r="N975" s="366"/>
      <c r="O975" s="366"/>
      <c r="P975" s="366"/>
      <c r="Q975" s="1036"/>
      <c r="R975" s="1226"/>
      <c r="S975" s="308"/>
      <c r="T975" s="308"/>
      <c r="U975" s="308"/>
      <c r="V975" s="308"/>
      <c r="W975" s="308"/>
      <c r="X975" s="308"/>
      <c r="Y975" s="308"/>
      <c r="Z975" s="604"/>
      <c r="AA975" s="308"/>
      <c r="AB975" s="308"/>
      <c r="AC975" s="373"/>
      <c r="AD975" s="373"/>
      <c r="AE975" s="373"/>
      <c r="AF975" s="373"/>
      <c r="AG975" s="373"/>
      <c r="AH975" s="373"/>
      <c r="AI975" s="373"/>
      <c r="AJ975" s="373"/>
      <c r="AK975" s="374"/>
      <c r="AL975" s="323"/>
      <c r="AM975" s="21"/>
      <c r="AN975" s="21"/>
      <c r="AO975" s="21"/>
      <c r="AP975" s="21"/>
      <c r="AQ975" s="21"/>
      <c r="AR975" s="21"/>
      <c r="AS975" s="22"/>
      <c r="AT975" s="22"/>
      <c r="AU975" s="22"/>
      <c r="AV975" s="22"/>
      <c r="AW975" s="22"/>
      <c r="AX975" s="22"/>
      <c r="AY975" s="22"/>
      <c r="AZ975" s="22"/>
      <c r="BA975" s="22"/>
      <c r="BB975" s="22"/>
      <c r="BC975" s="22"/>
      <c r="BD975" s="22"/>
      <c r="BE975" s="22"/>
      <c r="BF975" s="22"/>
      <c r="BG975" s="22"/>
      <c r="BH975" s="22"/>
      <c r="BI975" s="22"/>
      <c r="BJ975" s="22"/>
      <c r="BK975" s="22"/>
      <c r="BL975" s="22"/>
      <c r="BM975" s="22"/>
      <c r="BN975" s="22"/>
      <c r="BO975" s="22"/>
      <c r="BP975" s="22"/>
      <c r="BQ975" s="22"/>
      <c r="BR975" s="22"/>
      <c r="BS975" s="22"/>
      <c r="BT975" s="22"/>
      <c r="BU975" s="22"/>
      <c r="BV975" s="22"/>
      <c r="BW975" s="22"/>
      <c r="BX975" s="22"/>
      <c r="BY975" s="22"/>
      <c r="BZ975" s="22"/>
      <c r="CA975" s="22"/>
      <c r="CB975" s="22"/>
      <c r="CC975" s="22"/>
      <c r="CD975" s="22"/>
      <c r="CE975" s="22"/>
      <c r="CF975" s="22"/>
      <c r="CG975" s="22"/>
      <c r="CH975" s="22"/>
      <c r="CI975" s="22"/>
      <c r="CJ975" s="22"/>
      <c r="CK975" s="22"/>
      <c r="CL975" s="22"/>
      <c r="CM975" s="22"/>
      <c r="CN975" s="22"/>
      <c r="CO975" s="22"/>
      <c r="CP975" s="22"/>
      <c r="CQ975" s="22"/>
      <c r="CR975" s="22"/>
      <c r="CS975" s="22"/>
      <c r="CT975" s="22"/>
      <c r="CU975" s="22"/>
      <c r="CV975" s="22"/>
      <c r="CW975" s="22"/>
      <c r="CX975" s="22"/>
      <c r="CY975" s="22"/>
      <c r="CZ975" s="22"/>
      <c r="DA975" s="22"/>
      <c r="DB975" s="22"/>
      <c r="DC975" s="22"/>
      <c r="DD975" s="22"/>
      <c r="DE975" s="22"/>
      <c r="DF975" s="22"/>
      <c r="DG975" s="22"/>
      <c r="DH975" s="22"/>
      <c r="DI975" s="22"/>
      <c r="DJ975" s="22"/>
      <c r="DK975" s="22"/>
      <c r="DL975" s="22"/>
      <c r="DM975" s="22"/>
      <c r="DN975" s="22"/>
      <c r="DO975" s="22"/>
      <c r="DP975" s="22"/>
      <c r="DQ975" s="22"/>
      <c r="DR975" s="22"/>
      <c r="DS975" s="22"/>
      <c r="DT975" s="22"/>
      <c r="DU975" s="22"/>
      <c r="DV975" s="22"/>
      <c r="DW975" s="22"/>
      <c r="DX975" s="22"/>
      <c r="DY975" s="22"/>
      <c r="DZ975" s="22"/>
      <c r="EA975" s="22"/>
      <c r="EB975" s="22"/>
      <c r="EC975" s="22"/>
      <c r="ED975" s="22"/>
      <c r="EE975" s="22"/>
      <c r="EF975" s="22"/>
      <c r="EG975" s="22"/>
      <c r="EH975" s="22"/>
      <c r="EI975" s="22"/>
      <c r="EJ975" s="22"/>
      <c r="EK975" s="22"/>
      <c r="EL975" s="22"/>
      <c r="EM975" s="22"/>
      <c r="EN975" s="22"/>
      <c r="EO975" s="22"/>
      <c r="EP975" s="22"/>
      <c r="EQ975" s="22"/>
      <c r="ER975" s="22"/>
      <c r="ES975" s="22"/>
      <c r="ET975" s="22"/>
      <c r="EU975" s="22"/>
      <c r="EV975" s="22"/>
      <c r="EW975" s="22"/>
      <c r="EX975" s="22"/>
      <c r="EY975" s="22"/>
      <c r="EZ975" s="22"/>
      <c r="FA975" s="22"/>
      <c r="FB975" s="22"/>
      <c r="FC975" s="22"/>
      <c r="FD975" s="22"/>
      <c r="FE975" s="22"/>
      <c r="FF975" s="22"/>
      <c r="FG975" s="22"/>
      <c r="FH975" s="22"/>
      <c r="FI975" s="22"/>
      <c r="FJ975" s="22"/>
      <c r="FK975" s="22"/>
      <c r="FL975" s="22"/>
      <c r="FM975" s="22"/>
      <c r="FN975" s="22"/>
      <c r="FO975" s="22"/>
      <c r="FP975" s="22"/>
      <c r="FQ975" s="22"/>
      <c r="FR975" s="22"/>
      <c r="FS975" s="22"/>
      <c r="FT975" s="22"/>
      <c r="FU975" s="22"/>
      <c r="FV975" s="22"/>
      <c r="FW975" s="22"/>
      <c r="FX975" s="22"/>
      <c r="FY975" s="22"/>
      <c r="FZ975" s="22"/>
      <c r="GA975" s="22"/>
      <c r="GB975" s="22"/>
      <c r="GC975" s="22"/>
      <c r="GD975" s="22"/>
      <c r="GE975" s="22"/>
      <c r="GF975" s="22"/>
      <c r="GG975" s="22"/>
      <c r="GH975" s="22"/>
      <c r="GI975" s="22"/>
      <c r="GJ975" s="22"/>
      <c r="GK975" s="22"/>
      <c r="GL975" s="22"/>
      <c r="GM975" s="22"/>
      <c r="GN975" s="22"/>
      <c r="GO975" s="22"/>
      <c r="GP975" s="22"/>
      <c r="GQ975" s="22"/>
      <c r="GR975" s="22"/>
      <c r="GS975" s="22"/>
      <c r="GT975" s="22"/>
      <c r="GU975" s="22"/>
      <c r="GV975" s="22"/>
      <c r="GW975" s="22"/>
      <c r="GX975" s="22"/>
      <c r="GY975" s="22"/>
      <c r="GZ975" s="22"/>
      <c r="HA975" s="22"/>
      <c r="HB975" s="22"/>
      <c r="HC975" s="22"/>
      <c r="HD975" s="22"/>
      <c r="HE975" s="22"/>
      <c r="HF975" s="22"/>
      <c r="HG975" s="22"/>
      <c r="HH975" s="22"/>
      <c r="HI975" s="22"/>
      <c r="HJ975" s="22"/>
      <c r="HK975" s="22"/>
      <c r="HL975" s="22"/>
      <c r="HM975" s="22"/>
      <c r="HN975" s="22"/>
      <c r="HO975" s="22"/>
      <c r="HP975" s="22"/>
      <c r="HQ975" s="22"/>
      <c r="HR975" s="22"/>
      <c r="HS975" s="22"/>
      <c r="HT975" s="22"/>
      <c r="HU975" s="22"/>
      <c r="HV975" s="22"/>
      <c r="HW975" s="22"/>
      <c r="HX975" s="22"/>
      <c r="HY975" s="22"/>
      <c r="HZ975" s="22"/>
      <c r="IA975" s="22"/>
      <c r="IB975" s="22"/>
      <c r="IC975" s="22"/>
      <c r="ID975" s="22"/>
      <c r="IE975" s="22"/>
      <c r="IF975" s="22"/>
      <c r="IG975" s="22"/>
      <c r="IH975" s="22"/>
      <c r="II975" s="22"/>
      <c r="IJ975" s="22"/>
      <c r="IK975" s="22"/>
      <c r="IL975" s="22"/>
      <c r="IM975" s="22"/>
      <c r="IN975" s="22"/>
      <c r="IO975" s="22"/>
      <c r="IP975" s="22"/>
      <c r="IQ975" s="22"/>
      <c r="IR975" s="22"/>
      <c r="IS975" s="22"/>
      <c r="IT975" s="22"/>
      <c r="IU975" s="22"/>
      <c r="IV975" s="22"/>
      <c r="IW975" s="22"/>
      <c r="IX975" s="22"/>
      <c r="IY975" s="22"/>
      <c r="IZ975" s="22"/>
      <c r="JA975" s="22"/>
      <c r="JB975" s="22"/>
      <c r="JC975" s="22"/>
      <c r="JD975" s="22"/>
      <c r="JE975" s="22"/>
      <c r="JF975" s="22"/>
      <c r="JG975" s="22"/>
      <c r="JH975" s="22"/>
      <c r="JI975" s="22"/>
      <c r="JJ975" s="22"/>
      <c r="JK975" s="22"/>
      <c r="JL975" s="22"/>
      <c r="JM975" s="22"/>
      <c r="JN975" s="22"/>
      <c r="JO975" s="22"/>
      <c r="JP975" s="22"/>
      <c r="JQ975" s="22"/>
      <c r="JR975" s="22"/>
      <c r="JS975" s="22"/>
      <c r="JT975" s="22"/>
      <c r="JU975" s="22"/>
      <c r="JV975" s="22"/>
      <c r="JW975" s="22"/>
      <c r="JX975" s="22"/>
      <c r="JY975" s="22"/>
      <c r="JZ975" s="22"/>
      <c r="KA975" s="22"/>
      <c r="KB975" s="22"/>
      <c r="KC975" s="22"/>
      <c r="KD975" s="22"/>
      <c r="KE975" s="22"/>
      <c r="KF975" s="22"/>
      <c r="KG975" s="22"/>
      <c r="KH975" s="22"/>
      <c r="KI975" s="22"/>
      <c r="KJ975" s="22"/>
      <c r="KK975" s="22"/>
      <c r="KL975" s="22"/>
      <c r="KM975" s="22"/>
      <c r="KN975" s="22"/>
      <c r="KO975" s="22"/>
      <c r="KP975" s="22"/>
      <c r="KQ975" s="22"/>
      <c r="KR975" s="22"/>
      <c r="KS975" s="22"/>
      <c r="KT975" s="22"/>
      <c r="KU975" s="22"/>
      <c r="KV975" s="22"/>
      <c r="KW975" s="22"/>
      <c r="KX975" s="22"/>
      <c r="KY975" s="22"/>
      <c r="KZ975" s="22"/>
      <c r="LA975" s="22"/>
      <c r="LB975" s="22"/>
      <c r="LC975" s="22"/>
      <c r="LD975" s="22"/>
      <c r="LE975" s="22"/>
      <c r="LF975" s="22"/>
      <c r="LG975" s="22"/>
      <c r="LH975" s="22"/>
      <c r="LI975" s="22"/>
      <c r="LJ975" s="22"/>
      <c r="LK975" s="22"/>
      <c r="LL975" s="22"/>
      <c r="LM975" s="22"/>
      <c r="LN975" s="22"/>
      <c r="LO975" s="22"/>
      <c r="LP975" s="22"/>
      <c r="LQ975" s="22"/>
      <c r="LR975" s="22"/>
      <c r="LS975" s="22"/>
      <c r="LT975" s="22"/>
      <c r="LU975" s="22"/>
      <c r="LV975" s="22"/>
      <c r="LW975" s="22"/>
      <c r="LX975" s="22"/>
      <c r="LY975" s="22"/>
      <c r="LZ975" s="22"/>
      <c r="MA975" s="22"/>
      <c r="MB975" s="22"/>
      <c r="MC975" s="22"/>
      <c r="MD975" s="22"/>
      <c r="ME975" s="22"/>
      <c r="MF975" s="22"/>
      <c r="MG975" s="22"/>
      <c r="MH975" s="22"/>
      <c r="MI975" s="22"/>
      <c r="MJ975" s="22"/>
      <c r="MK975" s="22"/>
      <c r="ML975" s="22"/>
      <c r="MM975" s="22"/>
      <c r="MN975" s="22"/>
      <c r="MO975" s="22"/>
      <c r="MP975" s="22"/>
      <c r="MQ975" s="22"/>
      <c r="MR975" s="22"/>
      <c r="MS975" s="22"/>
      <c r="MT975" s="22"/>
      <c r="MU975" s="22"/>
      <c r="MV975" s="22"/>
      <c r="MW975" s="22"/>
      <c r="MX975" s="22"/>
      <c r="MY975" s="22"/>
      <c r="MZ975" s="22"/>
      <c r="NA975" s="22"/>
      <c r="NB975" s="22"/>
      <c r="NC975" s="22"/>
      <c r="ND975" s="22"/>
      <c r="NE975" s="22"/>
      <c r="NF975" s="22"/>
      <c r="NG975" s="22"/>
      <c r="NH975" s="22"/>
      <c r="NI975" s="22"/>
      <c r="NJ975" s="22"/>
      <c r="NK975" s="22"/>
      <c r="NL975" s="22"/>
      <c r="NM975" s="22"/>
      <c r="NN975" s="22"/>
      <c r="NO975" s="22"/>
      <c r="NP975" s="22"/>
      <c r="NQ975" s="22"/>
      <c r="NR975" s="22"/>
      <c r="NS975" s="22"/>
      <c r="NT975" s="22"/>
      <c r="NU975" s="22"/>
      <c r="NV975" s="22"/>
      <c r="NW975" s="22"/>
      <c r="NX975" s="22"/>
      <c r="NY975" s="22"/>
      <c r="NZ975" s="22"/>
      <c r="OA975" s="22"/>
      <c r="OB975" s="22"/>
      <c r="OC975" s="22"/>
      <c r="OD975" s="22"/>
      <c r="OE975" s="22"/>
      <c r="OF975" s="22"/>
      <c r="OG975" s="22"/>
      <c r="OH975" s="22"/>
      <c r="OI975" s="22"/>
      <c r="OJ975" s="22"/>
      <c r="OK975" s="22"/>
      <c r="OL975" s="22"/>
      <c r="OM975" s="22"/>
      <c r="ON975" s="22"/>
      <c r="OO975" s="22"/>
      <c r="OP975" s="22"/>
      <c r="OQ975" s="22"/>
      <c r="OR975" s="22"/>
      <c r="OS975" s="22"/>
      <c r="OT975" s="22"/>
      <c r="OU975" s="22"/>
      <c r="OV975" s="22"/>
      <c r="OW975" s="22"/>
      <c r="OX975" s="22"/>
      <c r="OY975" s="22"/>
      <c r="OZ975" s="22"/>
      <c r="PA975" s="22"/>
      <c r="PB975" s="22"/>
      <c r="PC975" s="22"/>
      <c r="PD975" s="22"/>
      <c r="PE975" s="22"/>
      <c r="PF975" s="22"/>
      <c r="PG975" s="22"/>
      <c r="PH975" s="22"/>
      <c r="PI975" s="22"/>
      <c r="PJ975" s="22"/>
      <c r="PK975" s="22"/>
      <c r="PL975" s="22"/>
      <c r="PM975" s="22"/>
      <c r="PN975" s="22"/>
      <c r="PO975" s="22"/>
      <c r="PP975" s="22"/>
      <c r="PQ975" s="22"/>
      <c r="PR975" s="22"/>
      <c r="PS975" s="22"/>
      <c r="PT975" s="22"/>
      <c r="PU975" s="22"/>
      <c r="PV975" s="22"/>
      <c r="PW975" s="22"/>
      <c r="PX975" s="22"/>
      <c r="PY975" s="22"/>
      <c r="PZ975" s="22"/>
      <c r="QA975" s="22"/>
      <c r="QB975" s="22"/>
      <c r="QC975" s="22"/>
      <c r="QD975" s="22"/>
      <c r="QE975" s="22"/>
      <c r="QF975" s="22"/>
      <c r="QG975" s="22"/>
      <c r="QH975" s="22"/>
      <c r="QI975" s="22"/>
      <c r="QJ975" s="22"/>
      <c r="QK975" s="22"/>
      <c r="QL975" s="22"/>
      <c r="QM975" s="22"/>
      <c r="QN975" s="22"/>
      <c r="QO975" s="22"/>
      <c r="QP975" s="22"/>
      <c r="QQ975" s="22"/>
      <c r="QR975" s="22"/>
      <c r="QS975" s="22"/>
      <c r="QT975" s="22"/>
      <c r="QU975" s="22"/>
      <c r="QV975" s="22"/>
      <c r="QW975" s="22"/>
      <c r="QX975" s="22"/>
      <c r="QY975" s="22"/>
      <c r="QZ975" s="22"/>
      <c r="RA975" s="22"/>
      <c r="RB975" s="22"/>
      <c r="RC975" s="22"/>
      <c r="RD975" s="22"/>
      <c r="RE975" s="22"/>
      <c r="RF975" s="22"/>
      <c r="RG975" s="22"/>
      <c r="RH975" s="22"/>
      <c r="RI975" s="22"/>
      <c r="RJ975" s="22"/>
      <c r="RK975" s="22"/>
      <c r="RL975" s="22"/>
      <c r="RM975" s="22"/>
      <c r="RN975" s="22"/>
      <c r="RO975" s="22"/>
      <c r="RP975" s="22"/>
      <c r="RQ975" s="22"/>
      <c r="RR975" s="22"/>
      <c r="RS975" s="22"/>
      <c r="RT975" s="22"/>
      <c r="RU975" s="22"/>
      <c r="RV975" s="22"/>
      <c r="RW975" s="22"/>
      <c r="RX975" s="22"/>
      <c r="RY975" s="22"/>
      <c r="RZ975" s="22"/>
      <c r="SA975" s="22"/>
      <c r="SB975" s="22"/>
      <c r="SC975" s="22"/>
      <c r="SD975" s="22"/>
      <c r="SE975" s="22"/>
      <c r="SF975" s="22"/>
      <c r="SG975" s="22"/>
      <c r="SH975" s="22"/>
      <c r="SI975" s="22"/>
      <c r="SJ975" s="22"/>
      <c r="SK975" s="22"/>
      <c r="SL975" s="22"/>
      <c r="SM975" s="22"/>
      <c r="SN975" s="22"/>
      <c r="SO975" s="22"/>
      <c r="SP975" s="22"/>
      <c r="SQ975" s="22"/>
      <c r="SR975" s="22"/>
      <c r="SS975" s="22"/>
      <c r="ST975" s="22"/>
      <c r="SU975" s="22"/>
      <c r="SV975" s="22"/>
      <c r="SW975" s="22"/>
      <c r="SX975" s="22"/>
      <c r="SY975" s="22"/>
      <c r="SZ975" s="22"/>
      <c r="TA975" s="22"/>
      <c r="TB975" s="22"/>
      <c r="TC975" s="22"/>
      <c r="TD975" s="22"/>
      <c r="TE975" s="22"/>
      <c r="TF975" s="22"/>
      <c r="TG975" s="22"/>
      <c r="TH975" s="22"/>
      <c r="TI975" s="22"/>
      <c r="TJ975" s="22"/>
      <c r="TK975" s="22"/>
      <c r="TL975" s="22"/>
      <c r="TM975" s="22"/>
      <c r="TN975" s="22"/>
      <c r="TO975" s="22"/>
      <c r="TP975" s="22"/>
      <c r="TQ975" s="22"/>
      <c r="TR975" s="22"/>
      <c r="TS975" s="22"/>
      <c r="TT975" s="22"/>
      <c r="TU975" s="22"/>
      <c r="TV975" s="22"/>
      <c r="TW975" s="22"/>
      <c r="TX975" s="22"/>
      <c r="TY975" s="22"/>
      <c r="TZ975" s="22"/>
      <c r="UA975" s="22"/>
      <c r="UB975" s="22"/>
      <c r="UC975" s="22"/>
      <c r="UD975" s="22"/>
      <c r="UE975" s="22"/>
      <c r="UF975" s="22"/>
      <c r="UG975" s="23"/>
    </row>
    <row r="976" spans="1:553" ht="30.75" customHeight="1">
      <c r="A976" s="356" t="s">
        <v>15</v>
      </c>
      <c r="B976" s="366"/>
      <c r="C976" s="1443" t="s">
        <v>559</v>
      </c>
      <c r="D976" s="1389"/>
      <c r="E976" s="1389"/>
      <c r="F976" s="1390"/>
      <c r="G976" s="366"/>
      <c r="H976" s="370"/>
      <c r="I976" s="370"/>
      <c r="J976" s="368"/>
      <c r="K976" s="371"/>
      <c r="L976" s="366"/>
      <c r="M976" s="366"/>
      <c r="N976" s="366"/>
      <c r="O976" s="366"/>
      <c r="P976" s="366"/>
      <c r="Q976" s="1036"/>
      <c r="R976" s="1226"/>
      <c r="S976" s="308"/>
      <c r="T976" s="308"/>
      <c r="U976" s="308"/>
      <c r="V976" s="308"/>
      <c r="W976" s="308"/>
      <c r="X976" s="308"/>
      <c r="Y976" s="308"/>
      <c r="Z976" s="604"/>
      <c r="AA976" s="308"/>
      <c r="AB976" s="308"/>
      <c r="AC976" s="373"/>
      <c r="AD976" s="373"/>
      <c r="AE976" s="373"/>
      <c r="AF976" s="373"/>
      <c r="AG976" s="373"/>
      <c r="AH976" s="373"/>
      <c r="AI976" s="373"/>
      <c r="AJ976" s="373"/>
      <c r="AK976" s="374"/>
      <c r="AL976" s="323"/>
      <c r="AM976" s="21"/>
      <c r="AN976" s="21"/>
      <c r="AO976" s="21"/>
      <c r="AP976" s="21"/>
      <c r="AQ976" s="21"/>
      <c r="AR976" s="21"/>
      <c r="AS976" s="22"/>
      <c r="AT976" s="22"/>
      <c r="AU976" s="22"/>
      <c r="AV976" s="22"/>
      <c r="AW976" s="22"/>
      <c r="AX976" s="22"/>
      <c r="AY976" s="22"/>
      <c r="AZ976" s="22"/>
      <c r="BA976" s="22"/>
      <c r="BB976" s="22"/>
      <c r="BC976" s="22"/>
      <c r="BD976" s="22"/>
      <c r="BE976" s="22"/>
      <c r="BF976" s="22"/>
      <c r="BG976" s="22"/>
      <c r="BH976" s="22"/>
      <c r="BI976" s="22"/>
      <c r="BJ976" s="22"/>
      <c r="BK976" s="22"/>
      <c r="BL976" s="22"/>
      <c r="BM976" s="22"/>
      <c r="BN976" s="22"/>
      <c r="BO976" s="22"/>
      <c r="BP976" s="22"/>
      <c r="BQ976" s="22"/>
      <c r="BR976" s="22"/>
      <c r="BS976" s="22"/>
      <c r="BT976" s="22"/>
      <c r="BU976" s="22"/>
      <c r="BV976" s="22"/>
      <c r="BW976" s="22"/>
      <c r="BX976" s="22"/>
      <c r="BY976" s="22"/>
      <c r="BZ976" s="22"/>
      <c r="CA976" s="22"/>
      <c r="CB976" s="22"/>
      <c r="CC976" s="22"/>
      <c r="CD976" s="22"/>
      <c r="CE976" s="22"/>
      <c r="CF976" s="22"/>
      <c r="CG976" s="22"/>
      <c r="CH976" s="22"/>
      <c r="CI976" s="22"/>
      <c r="CJ976" s="22"/>
      <c r="CK976" s="22"/>
      <c r="CL976" s="22"/>
      <c r="CM976" s="22"/>
      <c r="CN976" s="22"/>
      <c r="CO976" s="22"/>
      <c r="CP976" s="22"/>
      <c r="CQ976" s="22"/>
      <c r="CR976" s="22"/>
      <c r="CS976" s="22"/>
      <c r="CT976" s="22"/>
      <c r="CU976" s="22"/>
      <c r="CV976" s="22"/>
      <c r="CW976" s="22"/>
      <c r="CX976" s="22"/>
      <c r="CY976" s="22"/>
      <c r="CZ976" s="22"/>
      <c r="DA976" s="22"/>
      <c r="DB976" s="22"/>
      <c r="DC976" s="22"/>
      <c r="DD976" s="22"/>
      <c r="DE976" s="22"/>
      <c r="DF976" s="22"/>
      <c r="DG976" s="22"/>
      <c r="DH976" s="22"/>
      <c r="DI976" s="22"/>
      <c r="DJ976" s="22"/>
      <c r="DK976" s="22"/>
      <c r="DL976" s="22"/>
      <c r="DM976" s="22"/>
      <c r="DN976" s="22"/>
      <c r="DO976" s="22"/>
      <c r="DP976" s="22"/>
      <c r="DQ976" s="22"/>
      <c r="DR976" s="22"/>
      <c r="DS976" s="22"/>
      <c r="DT976" s="22"/>
      <c r="DU976" s="22"/>
      <c r="DV976" s="22"/>
      <c r="DW976" s="22"/>
      <c r="DX976" s="22"/>
      <c r="DY976" s="22"/>
      <c r="DZ976" s="22"/>
      <c r="EA976" s="22"/>
      <c r="EB976" s="22"/>
      <c r="EC976" s="22"/>
      <c r="ED976" s="22"/>
      <c r="EE976" s="22"/>
      <c r="EF976" s="22"/>
      <c r="EG976" s="22"/>
      <c r="EH976" s="22"/>
      <c r="EI976" s="22"/>
      <c r="EJ976" s="22"/>
      <c r="EK976" s="22"/>
      <c r="EL976" s="22"/>
      <c r="EM976" s="22"/>
      <c r="EN976" s="22"/>
      <c r="EO976" s="22"/>
      <c r="EP976" s="22"/>
      <c r="EQ976" s="22"/>
      <c r="ER976" s="22"/>
      <c r="ES976" s="22"/>
      <c r="ET976" s="22"/>
      <c r="EU976" s="22"/>
      <c r="EV976" s="22"/>
      <c r="EW976" s="22"/>
      <c r="EX976" s="22"/>
      <c r="EY976" s="22"/>
      <c r="EZ976" s="22"/>
      <c r="FA976" s="22"/>
      <c r="FB976" s="22"/>
      <c r="FC976" s="22"/>
      <c r="FD976" s="22"/>
      <c r="FE976" s="22"/>
      <c r="FF976" s="22"/>
      <c r="FG976" s="22"/>
      <c r="FH976" s="22"/>
      <c r="FI976" s="22"/>
      <c r="FJ976" s="22"/>
      <c r="FK976" s="22"/>
      <c r="FL976" s="22"/>
      <c r="FM976" s="22"/>
      <c r="FN976" s="22"/>
      <c r="FO976" s="22"/>
      <c r="FP976" s="22"/>
      <c r="FQ976" s="22"/>
      <c r="FR976" s="22"/>
      <c r="FS976" s="22"/>
      <c r="FT976" s="22"/>
      <c r="FU976" s="22"/>
      <c r="FV976" s="22"/>
      <c r="FW976" s="22"/>
      <c r="FX976" s="22"/>
      <c r="FY976" s="22"/>
      <c r="FZ976" s="22"/>
      <c r="GA976" s="22"/>
      <c r="GB976" s="22"/>
      <c r="GC976" s="22"/>
      <c r="GD976" s="22"/>
      <c r="GE976" s="22"/>
      <c r="GF976" s="22"/>
      <c r="GG976" s="22"/>
      <c r="GH976" s="22"/>
      <c r="GI976" s="22"/>
      <c r="GJ976" s="22"/>
      <c r="GK976" s="22"/>
      <c r="GL976" s="22"/>
      <c r="GM976" s="22"/>
      <c r="GN976" s="22"/>
      <c r="GO976" s="22"/>
      <c r="GP976" s="22"/>
      <c r="GQ976" s="22"/>
      <c r="GR976" s="22"/>
      <c r="GS976" s="22"/>
      <c r="GT976" s="22"/>
      <c r="GU976" s="22"/>
      <c r="GV976" s="22"/>
      <c r="GW976" s="22"/>
      <c r="GX976" s="22"/>
      <c r="GY976" s="22"/>
      <c r="GZ976" s="22"/>
      <c r="HA976" s="22"/>
      <c r="HB976" s="22"/>
      <c r="HC976" s="22"/>
      <c r="HD976" s="22"/>
      <c r="HE976" s="22"/>
      <c r="HF976" s="22"/>
      <c r="HG976" s="22"/>
      <c r="HH976" s="22"/>
      <c r="HI976" s="22"/>
      <c r="HJ976" s="22"/>
      <c r="HK976" s="22"/>
      <c r="HL976" s="22"/>
      <c r="HM976" s="22"/>
      <c r="HN976" s="22"/>
      <c r="HO976" s="22"/>
      <c r="HP976" s="22"/>
      <c r="HQ976" s="22"/>
      <c r="HR976" s="22"/>
      <c r="HS976" s="22"/>
      <c r="HT976" s="22"/>
      <c r="HU976" s="22"/>
      <c r="HV976" s="22"/>
      <c r="HW976" s="22"/>
      <c r="HX976" s="22"/>
      <c r="HY976" s="22"/>
      <c r="HZ976" s="22"/>
      <c r="IA976" s="22"/>
      <c r="IB976" s="22"/>
      <c r="IC976" s="22"/>
      <c r="ID976" s="22"/>
      <c r="IE976" s="22"/>
      <c r="IF976" s="22"/>
      <c r="IG976" s="22"/>
      <c r="IH976" s="22"/>
      <c r="II976" s="22"/>
      <c r="IJ976" s="22"/>
      <c r="IK976" s="22"/>
      <c r="IL976" s="22"/>
      <c r="IM976" s="22"/>
      <c r="IN976" s="22"/>
      <c r="IO976" s="22"/>
      <c r="IP976" s="22"/>
      <c r="IQ976" s="22"/>
      <c r="IR976" s="22"/>
      <c r="IS976" s="22"/>
      <c r="IT976" s="22"/>
      <c r="IU976" s="22"/>
      <c r="IV976" s="22"/>
      <c r="IW976" s="22"/>
      <c r="IX976" s="22"/>
      <c r="IY976" s="22"/>
      <c r="IZ976" s="22"/>
      <c r="JA976" s="22"/>
      <c r="JB976" s="22"/>
      <c r="JC976" s="22"/>
      <c r="JD976" s="22"/>
      <c r="JE976" s="22"/>
      <c r="JF976" s="22"/>
      <c r="JG976" s="22"/>
      <c r="JH976" s="22"/>
      <c r="JI976" s="22"/>
      <c r="JJ976" s="22"/>
      <c r="JK976" s="22"/>
      <c r="JL976" s="22"/>
      <c r="JM976" s="22"/>
      <c r="JN976" s="22"/>
      <c r="JO976" s="22"/>
      <c r="JP976" s="22"/>
      <c r="JQ976" s="22"/>
      <c r="JR976" s="22"/>
      <c r="JS976" s="22"/>
      <c r="JT976" s="22"/>
      <c r="JU976" s="22"/>
      <c r="JV976" s="22"/>
      <c r="JW976" s="22"/>
      <c r="JX976" s="22"/>
      <c r="JY976" s="22"/>
      <c r="JZ976" s="22"/>
      <c r="KA976" s="22"/>
      <c r="KB976" s="22"/>
      <c r="KC976" s="22"/>
      <c r="KD976" s="22"/>
      <c r="KE976" s="22"/>
      <c r="KF976" s="22"/>
      <c r="KG976" s="22"/>
      <c r="KH976" s="22"/>
      <c r="KI976" s="22"/>
      <c r="KJ976" s="22"/>
      <c r="KK976" s="22"/>
      <c r="KL976" s="22"/>
      <c r="KM976" s="22"/>
      <c r="KN976" s="22"/>
      <c r="KO976" s="22"/>
      <c r="KP976" s="22"/>
      <c r="KQ976" s="22"/>
      <c r="KR976" s="22"/>
      <c r="KS976" s="22"/>
      <c r="KT976" s="22"/>
      <c r="KU976" s="22"/>
      <c r="KV976" s="22"/>
      <c r="KW976" s="22"/>
      <c r="KX976" s="22"/>
      <c r="KY976" s="22"/>
      <c r="KZ976" s="22"/>
      <c r="LA976" s="22"/>
      <c r="LB976" s="22"/>
      <c r="LC976" s="22"/>
      <c r="LD976" s="22"/>
      <c r="LE976" s="22"/>
      <c r="LF976" s="22"/>
      <c r="LG976" s="22"/>
      <c r="LH976" s="22"/>
      <c r="LI976" s="22"/>
      <c r="LJ976" s="22"/>
      <c r="LK976" s="22"/>
      <c r="LL976" s="22"/>
      <c r="LM976" s="22"/>
      <c r="LN976" s="22"/>
      <c r="LO976" s="22"/>
      <c r="LP976" s="22"/>
      <c r="LQ976" s="22"/>
      <c r="LR976" s="22"/>
      <c r="LS976" s="22"/>
      <c r="LT976" s="22"/>
      <c r="LU976" s="22"/>
      <c r="LV976" s="22"/>
      <c r="LW976" s="22"/>
      <c r="LX976" s="22"/>
      <c r="LY976" s="22"/>
      <c r="LZ976" s="22"/>
      <c r="MA976" s="22"/>
      <c r="MB976" s="22"/>
      <c r="MC976" s="22"/>
      <c r="MD976" s="22"/>
      <c r="ME976" s="22"/>
      <c r="MF976" s="22"/>
      <c r="MG976" s="22"/>
      <c r="MH976" s="22"/>
      <c r="MI976" s="22"/>
      <c r="MJ976" s="22"/>
      <c r="MK976" s="22"/>
      <c r="ML976" s="22"/>
      <c r="MM976" s="22"/>
      <c r="MN976" s="22"/>
      <c r="MO976" s="22"/>
      <c r="MP976" s="22"/>
      <c r="MQ976" s="22"/>
      <c r="MR976" s="22"/>
      <c r="MS976" s="22"/>
      <c r="MT976" s="22"/>
      <c r="MU976" s="22"/>
      <c r="MV976" s="22"/>
      <c r="MW976" s="22"/>
      <c r="MX976" s="22"/>
      <c r="MY976" s="22"/>
      <c r="MZ976" s="22"/>
      <c r="NA976" s="22"/>
      <c r="NB976" s="22"/>
      <c r="NC976" s="22"/>
      <c r="ND976" s="22"/>
      <c r="NE976" s="22"/>
      <c r="NF976" s="22"/>
      <c r="NG976" s="22"/>
      <c r="NH976" s="22"/>
      <c r="NI976" s="22"/>
      <c r="NJ976" s="22"/>
      <c r="NK976" s="22"/>
      <c r="NL976" s="22"/>
      <c r="NM976" s="22"/>
      <c r="NN976" s="22"/>
      <c r="NO976" s="22"/>
      <c r="NP976" s="22"/>
      <c r="NQ976" s="22"/>
      <c r="NR976" s="22"/>
      <c r="NS976" s="22"/>
      <c r="NT976" s="22"/>
      <c r="NU976" s="22"/>
      <c r="NV976" s="22"/>
      <c r="NW976" s="22"/>
      <c r="NX976" s="22"/>
      <c r="NY976" s="22"/>
      <c r="NZ976" s="22"/>
      <c r="OA976" s="22"/>
      <c r="OB976" s="22"/>
      <c r="OC976" s="22"/>
      <c r="OD976" s="22"/>
      <c r="OE976" s="22"/>
      <c r="OF976" s="22"/>
      <c r="OG976" s="22"/>
      <c r="OH976" s="22"/>
      <c r="OI976" s="22"/>
      <c r="OJ976" s="22"/>
      <c r="OK976" s="22"/>
      <c r="OL976" s="22"/>
      <c r="OM976" s="22"/>
      <c r="ON976" s="22"/>
      <c r="OO976" s="22"/>
      <c r="OP976" s="22"/>
      <c r="OQ976" s="22"/>
      <c r="OR976" s="22"/>
      <c r="OS976" s="22"/>
      <c r="OT976" s="22"/>
      <c r="OU976" s="22"/>
      <c r="OV976" s="22"/>
      <c r="OW976" s="22"/>
      <c r="OX976" s="22"/>
      <c r="OY976" s="22"/>
      <c r="OZ976" s="22"/>
      <c r="PA976" s="22"/>
      <c r="PB976" s="22"/>
      <c r="PC976" s="22"/>
      <c r="PD976" s="22"/>
      <c r="PE976" s="22"/>
      <c r="PF976" s="22"/>
      <c r="PG976" s="22"/>
      <c r="PH976" s="22"/>
      <c r="PI976" s="22"/>
      <c r="PJ976" s="22"/>
      <c r="PK976" s="22"/>
      <c r="PL976" s="22"/>
      <c r="PM976" s="22"/>
      <c r="PN976" s="22"/>
      <c r="PO976" s="22"/>
      <c r="PP976" s="22"/>
      <c r="PQ976" s="22"/>
      <c r="PR976" s="22"/>
      <c r="PS976" s="22"/>
      <c r="PT976" s="22"/>
      <c r="PU976" s="22"/>
      <c r="PV976" s="22"/>
      <c r="PW976" s="22"/>
      <c r="PX976" s="22"/>
      <c r="PY976" s="22"/>
      <c r="PZ976" s="22"/>
      <c r="QA976" s="22"/>
      <c r="QB976" s="22"/>
      <c r="QC976" s="22"/>
      <c r="QD976" s="22"/>
      <c r="QE976" s="22"/>
      <c r="QF976" s="22"/>
      <c r="QG976" s="22"/>
      <c r="QH976" s="22"/>
      <c r="QI976" s="22"/>
      <c r="QJ976" s="22"/>
      <c r="QK976" s="22"/>
      <c r="QL976" s="22"/>
      <c r="QM976" s="22"/>
      <c r="QN976" s="22"/>
      <c r="QO976" s="22"/>
      <c r="QP976" s="22"/>
      <c r="QQ976" s="22"/>
      <c r="QR976" s="22"/>
      <c r="QS976" s="22"/>
      <c r="QT976" s="22"/>
      <c r="QU976" s="22"/>
      <c r="QV976" s="22"/>
      <c r="QW976" s="22"/>
      <c r="QX976" s="22"/>
      <c r="QY976" s="22"/>
      <c r="QZ976" s="22"/>
      <c r="RA976" s="22"/>
      <c r="RB976" s="22"/>
      <c r="RC976" s="22"/>
      <c r="RD976" s="22"/>
      <c r="RE976" s="22"/>
      <c r="RF976" s="22"/>
      <c r="RG976" s="22"/>
      <c r="RH976" s="22"/>
      <c r="RI976" s="22"/>
      <c r="RJ976" s="22"/>
      <c r="RK976" s="22"/>
      <c r="RL976" s="22"/>
      <c r="RM976" s="22"/>
      <c r="RN976" s="22"/>
      <c r="RO976" s="22"/>
      <c r="RP976" s="22"/>
      <c r="RQ976" s="22"/>
      <c r="RR976" s="22"/>
      <c r="RS976" s="22"/>
      <c r="RT976" s="22"/>
      <c r="RU976" s="22"/>
      <c r="RV976" s="22"/>
      <c r="RW976" s="22"/>
      <c r="RX976" s="22"/>
      <c r="RY976" s="22"/>
      <c r="RZ976" s="22"/>
      <c r="SA976" s="22"/>
      <c r="SB976" s="22"/>
      <c r="SC976" s="22"/>
      <c r="SD976" s="22"/>
      <c r="SE976" s="22"/>
      <c r="SF976" s="22"/>
      <c r="SG976" s="22"/>
      <c r="SH976" s="22"/>
      <c r="SI976" s="22"/>
      <c r="SJ976" s="22"/>
      <c r="SK976" s="22"/>
      <c r="SL976" s="22"/>
      <c r="SM976" s="22"/>
      <c r="SN976" s="22"/>
      <c r="SO976" s="22"/>
      <c r="SP976" s="22"/>
      <c r="SQ976" s="22"/>
      <c r="SR976" s="22"/>
      <c r="SS976" s="22"/>
      <c r="ST976" s="22"/>
      <c r="SU976" s="22"/>
      <c r="SV976" s="22"/>
      <c r="SW976" s="22"/>
      <c r="SX976" s="22"/>
      <c r="SY976" s="22"/>
      <c r="SZ976" s="22"/>
      <c r="TA976" s="22"/>
      <c r="TB976" s="22"/>
      <c r="TC976" s="22"/>
      <c r="TD976" s="22"/>
      <c r="TE976" s="22"/>
      <c r="TF976" s="22"/>
      <c r="TG976" s="22"/>
      <c r="TH976" s="22"/>
      <c r="TI976" s="22"/>
      <c r="TJ976" s="22"/>
      <c r="TK976" s="22"/>
      <c r="TL976" s="22"/>
      <c r="TM976" s="22"/>
      <c r="TN976" s="22"/>
      <c r="TO976" s="22"/>
      <c r="TP976" s="22"/>
      <c r="TQ976" s="22"/>
      <c r="TR976" s="22"/>
      <c r="TS976" s="22"/>
      <c r="TT976" s="22"/>
      <c r="TU976" s="22"/>
      <c r="TV976" s="22"/>
      <c r="TW976" s="22"/>
      <c r="TX976" s="22"/>
      <c r="TY976" s="22"/>
      <c r="TZ976" s="22"/>
      <c r="UA976" s="22"/>
      <c r="UB976" s="22"/>
      <c r="UC976" s="22"/>
      <c r="UD976" s="22"/>
      <c r="UE976" s="22"/>
      <c r="UF976" s="22"/>
      <c r="UG976" s="23"/>
    </row>
    <row r="977" spans="1:553" ht="30.75" customHeight="1">
      <c r="A977" s="356" t="s">
        <v>17</v>
      </c>
      <c r="B977" s="356"/>
      <c r="C977" s="1431" t="s">
        <v>18</v>
      </c>
      <c r="D977" s="1389"/>
      <c r="E977" s="1389"/>
      <c r="F977" s="1390"/>
      <c r="G977" s="356" t="s">
        <v>1393</v>
      </c>
      <c r="H977" s="359">
        <f t="shared" ref="H977" si="145">SUM(H978:H987)</f>
        <v>3136.9999999999995</v>
      </c>
      <c r="I977" s="359">
        <f>SUM(I978:I987)</f>
        <v>3136.9999999999995</v>
      </c>
      <c r="J977" s="357"/>
      <c r="K977" s="364"/>
      <c r="L977" s="356">
        <f>SUM(L978:L987)</f>
        <v>316500400</v>
      </c>
      <c r="M977" s="356"/>
      <c r="N977" s="356"/>
      <c r="O977" s="356"/>
      <c r="P977" s="356">
        <f>L977</f>
        <v>316500400</v>
      </c>
      <c r="Q977" s="1415" t="s">
        <v>560</v>
      </c>
      <c r="R977" s="1447" t="s">
        <v>561</v>
      </c>
      <c r="S977" s="308"/>
      <c r="T977" s="308"/>
      <c r="U977" s="308"/>
      <c r="V977" s="308"/>
      <c r="W977" s="308"/>
      <c r="X977" s="308"/>
      <c r="Y977" s="308"/>
      <c r="Z977" s="604"/>
      <c r="AA977" s="308"/>
      <c r="AB977" s="308"/>
      <c r="AC977" s="365"/>
      <c r="AD977" s="365"/>
      <c r="AE977" s="365"/>
      <c r="AF977" s="365"/>
      <c r="AG977" s="365"/>
      <c r="AH977" s="365"/>
      <c r="AI977" s="365"/>
      <c r="AJ977" s="365"/>
      <c r="AK977" s="377"/>
      <c r="AL977" s="343"/>
      <c r="AM977" s="24"/>
      <c r="AN977" s="24"/>
      <c r="AO977" s="16"/>
      <c r="AP977" s="24"/>
      <c r="AQ977" s="24"/>
      <c r="AR977" s="24"/>
      <c r="AS977" s="18"/>
      <c r="AT977" s="18"/>
      <c r="AU977" s="18"/>
      <c r="AV977" s="18"/>
      <c r="AW977" s="18"/>
      <c r="AX977" s="18"/>
      <c r="AY977" s="18"/>
      <c r="AZ977" s="18"/>
      <c r="BA977" s="18"/>
      <c r="BB977" s="18"/>
      <c r="BC977" s="18"/>
      <c r="BD977" s="18"/>
      <c r="BE977" s="18"/>
      <c r="BF977" s="18"/>
      <c r="BG977" s="18"/>
      <c r="BH977" s="18"/>
      <c r="BI977" s="18"/>
      <c r="BJ977" s="18"/>
      <c r="BK977" s="18"/>
      <c r="BL977" s="18"/>
      <c r="BM977" s="18"/>
      <c r="BN977" s="18"/>
      <c r="BO977" s="18"/>
      <c r="BP977" s="18"/>
      <c r="BQ977" s="18"/>
      <c r="BR977" s="18"/>
      <c r="BS977" s="18"/>
      <c r="BT977" s="18"/>
      <c r="BU977" s="18"/>
      <c r="BV977" s="18"/>
      <c r="BW977" s="18"/>
      <c r="BX977" s="18"/>
      <c r="BY977" s="18"/>
      <c r="BZ977" s="18"/>
      <c r="CA977" s="18"/>
      <c r="CB977" s="18"/>
      <c r="CC977" s="18"/>
      <c r="CD977" s="18"/>
      <c r="CE977" s="18"/>
      <c r="CF977" s="18"/>
      <c r="CG977" s="18"/>
      <c r="CH977" s="18"/>
      <c r="CI977" s="18"/>
      <c r="CJ977" s="18"/>
      <c r="CK977" s="18"/>
      <c r="CL977" s="18"/>
      <c r="CM977" s="18"/>
      <c r="CN977" s="18"/>
      <c r="CO977" s="18"/>
      <c r="CP977" s="18"/>
      <c r="CQ977" s="18"/>
      <c r="CR977" s="18"/>
      <c r="CS977" s="18"/>
      <c r="CT977" s="18"/>
      <c r="CU977" s="18"/>
      <c r="CV977" s="18"/>
      <c r="CW977" s="18"/>
      <c r="CX977" s="18"/>
      <c r="CY977" s="18"/>
      <c r="CZ977" s="18"/>
      <c r="DA977" s="18"/>
      <c r="DB977" s="18"/>
      <c r="DC977" s="18"/>
      <c r="DD977" s="18"/>
      <c r="DE977" s="18"/>
      <c r="DF977" s="18"/>
      <c r="DG977" s="18"/>
      <c r="DH977" s="18"/>
      <c r="DI977" s="18"/>
      <c r="DJ977" s="18"/>
      <c r="DK977" s="18"/>
      <c r="DL977" s="18"/>
      <c r="DM977" s="18"/>
      <c r="DN977" s="18"/>
      <c r="DO977" s="18"/>
      <c r="DP977" s="18"/>
      <c r="DQ977" s="18"/>
      <c r="DR977" s="18"/>
      <c r="DS977" s="18"/>
      <c r="DT977" s="18"/>
      <c r="DU977" s="18"/>
      <c r="DV977" s="18"/>
      <c r="DW977" s="18"/>
      <c r="DX977" s="18"/>
      <c r="DY977" s="18"/>
      <c r="DZ977" s="18"/>
      <c r="EA977" s="18"/>
      <c r="EB977" s="18"/>
      <c r="EC977" s="18"/>
      <c r="ED977" s="18"/>
      <c r="EE977" s="18"/>
      <c r="EF977" s="18"/>
      <c r="EG977" s="18"/>
      <c r="EH977" s="18"/>
      <c r="EI977" s="18"/>
      <c r="EJ977" s="18"/>
      <c r="EK977" s="18"/>
      <c r="EL977" s="18"/>
      <c r="EM977" s="18"/>
      <c r="EN977" s="18"/>
      <c r="EO977" s="18"/>
      <c r="EP977" s="18"/>
      <c r="EQ977" s="18"/>
      <c r="ER977" s="18"/>
      <c r="ES977" s="18"/>
      <c r="ET977" s="18"/>
      <c r="EU977" s="18"/>
      <c r="EV977" s="18"/>
      <c r="EW977" s="18"/>
      <c r="EX977" s="18"/>
      <c r="EY977" s="18"/>
      <c r="EZ977" s="18"/>
      <c r="FA977" s="18"/>
      <c r="FB977" s="18"/>
      <c r="FC977" s="18"/>
      <c r="FD977" s="18"/>
      <c r="FE977" s="18"/>
      <c r="FF977" s="18"/>
      <c r="FG977" s="18"/>
      <c r="FH977" s="18"/>
      <c r="FI977" s="18"/>
      <c r="FJ977" s="18"/>
      <c r="FK977" s="18"/>
      <c r="FL977" s="18"/>
      <c r="FM977" s="18"/>
      <c r="FN977" s="18"/>
      <c r="FO977" s="18"/>
      <c r="FP977" s="18"/>
      <c r="FQ977" s="18"/>
      <c r="FR977" s="18"/>
      <c r="FS977" s="18"/>
      <c r="FT977" s="18"/>
      <c r="FU977" s="18"/>
      <c r="FV977" s="18"/>
      <c r="FW977" s="18"/>
      <c r="FX977" s="18"/>
      <c r="FY977" s="18"/>
      <c r="FZ977" s="18"/>
      <c r="GA977" s="18"/>
      <c r="GB977" s="18"/>
      <c r="GC977" s="18"/>
      <c r="GD977" s="18"/>
      <c r="GE977" s="18"/>
      <c r="GF977" s="18"/>
      <c r="GG977" s="18"/>
      <c r="GH977" s="18"/>
      <c r="GI977" s="18"/>
      <c r="GJ977" s="18"/>
      <c r="GK977" s="18"/>
      <c r="GL977" s="18"/>
      <c r="GM977" s="18"/>
      <c r="GN977" s="18"/>
      <c r="GO977" s="18"/>
      <c r="GP977" s="18"/>
      <c r="GQ977" s="18"/>
      <c r="GR977" s="18"/>
      <c r="GS977" s="18"/>
      <c r="GT977" s="18"/>
      <c r="GU977" s="18"/>
      <c r="GV977" s="18"/>
      <c r="GW977" s="18"/>
      <c r="GX977" s="18"/>
      <c r="GY977" s="18"/>
      <c r="GZ977" s="18"/>
      <c r="HA977" s="18"/>
      <c r="HB977" s="18"/>
      <c r="HC977" s="18"/>
      <c r="HD977" s="18"/>
      <c r="HE977" s="18"/>
      <c r="HF977" s="18"/>
      <c r="HG977" s="18"/>
      <c r="HH977" s="18"/>
      <c r="HI977" s="18"/>
      <c r="HJ977" s="18"/>
      <c r="HK977" s="18"/>
      <c r="HL977" s="18"/>
      <c r="HM977" s="18"/>
      <c r="HN977" s="18"/>
      <c r="HO977" s="18"/>
      <c r="HP977" s="18"/>
      <c r="HQ977" s="18"/>
      <c r="HR977" s="18"/>
      <c r="HS977" s="18"/>
      <c r="HT977" s="18"/>
      <c r="HU977" s="18"/>
      <c r="HV977" s="18"/>
      <c r="HW977" s="18"/>
      <c r="HX977" s="18"/>
      <c r="HY977" s="18"/>
      <c r="HZ977" s="18"/>
      <c r="IA977" s="18"/>
      <c r="IB977" s="18"/>
      <c r="IC977" s="18"/>
      <c r="ID977" s="18"/>
      <c r="IE977" s="18"/>
      <c r="IF977" s="18"/>
      <c r="IG977" s="18"/>
      <c r="IH977" s="18"/>
      <c r="II977" s="18"/>
      <c r="IJ977" s="18"/>
      <c r="IK977" s="18"/>
      <c r="IL977" s="18"/>
      <c r="IM977" s="18"/>
      <c r="IN977" s="18"/>
      <c r="IO977" s="18"/>
      <c r="IP977" s="18"/>
      <c r="IQ977" s="18"/>
      <c r="IR977" s="18"/>
      <c r="IS977" s="18"/>
      <c r="IT977" s="18"/>
      <c r="IU977" s="18"/>
      <c r="IV977" s="18"/>
      <c r="IW977" s="18"/>
      <c r="IX977" s="18"/>
      <c r="IY977" s="18"/>
      <c r="IZ977" s="18"/>
      <c r="JA977" s="18"/>
      <c r="JB977" s="18"/>
      <c r="JC977" s="18"/>
      <c r="JD977" s="18"/>
      <c r="JE977" s="18"/>
      <c r="JF977" s="18"/>
      <c r="JG977" s="18"/>
      <c r="JH977" s="18"/>
      <c r="JI977" s="18"/>
      <c r="JJ977" s="18"/>
      <c r="JK977" s="18"/>
      <c r="JL977" s="18"/>
      <c r="JM977" s="18"/>
      <c r="JN977" s="18"/>
      <c r="JO977" s="18"/>
      <c r="JP977" s="18"/>
      <c r="JQ977" s="18"/>
      <c r="JR977" s="18"/>
      <c r="JS977" s="18"/>
      <c r="JT977" s="18"/>
      <c r="JU977" s="18"/>
      <c r="JV977" s="18"/>
      <c r="JW977" s="18"/>
      <c r="JX977" s="18"/>
      <c r="JY977" s="18"/>
      <c r="JZ977" s="18"/>
      <c r="KA977" s="18"/>
      <c r="KB977" s="18"/>
      <c r="KC977" s="18"/>
      <c r="KD977" s="18"/>
      <c r="KE977" s="18"/>
      <c r="KF977" s="18"/>
      <c r="KG977" s="18"/>
      <c r="KH977" s="18"/>
      <c r="KI977" s="18"/>
      <c r="KJ977" s="18"/>
      <c r="KK977" s="18"/>
      <c r="KL977" s="18"/>
      <c r="KM977" s="18"/>
      <c r="KN977" s="18"/>
      <c r="KO977" s="18"/>
      <c r="KP977" s="18"/>
      <c r="KQ977" s="18"/>
      <c r="KR977" s="18"/>
      <c r="KS977" s="18"/>
      <c r="KT977" s="18"/>
      <c r="KU977" s="18"/>
      <c r="KV977" s="18"/>
      <c r="KW977" s="18"/>
      <c r="KX977" s="18"/>
      <c r="KY977" s="18"/>
      <c r="KZ977" s="18"/>
      <c r="LA977" s="18"/>
      <c r="LB977" s="18"/>
      <c r="LC977" s="18"/>
      <c r="LD977" s="18"/>
      <c r="LE977" s="18"/>
      <c r="LF977" s="18"/>
      <c r="LG977" s="18"/>
      <c r="LH977" s="18"/>
      <c r="LI977" s="18"/>
      <c r="LJ977" s="18"/>
      <c r="LK977" s="18"/>
      <c r="LL977" s="18"/>
      <c r="LM977" s="18"/>
      <c r="LN977" s="18"/>
      <c r="LO977" s="18"/>
      <c r="LP977" s="18"/>
      <c r="LQ977" s="18"/>
      <c r="LR977" s="18"/>
      <c r="LS977" s="18"/>
      <c r="LT977" s="18"/>
      <c r="LU977" s="18"/>
      <c r="LV977" s="18"/>
      <c r="LW977" s="18"/>
      <c r="LX977" s="18"/>
      <c r="LY977" s="18"/>
      <c r="LZ977" s="18"/>
      <c r="MA977" s="18"/>
      <c r="MB977" s="18"/>
      <c r="MC977" s="18"/>
      <c r="MD977" s="18"/>
      <c r="ME977" s="18"/>
      <c r="MF977" s="18"/>
      <c r="MG977" s="18"/>
      <c r="MH977" s="18"/>
      <c r="MI977" s="18"/>
      <c r="MJ977" s="18"/>
      <c r="MK977" s="18"/>
      <c r="ML977" s="18"/>
      <c r="MM977" s="18"/>
      <c r="MN977" s="18"/>
      <c r="MO977" s="18"/>
      <c r="MP977" s="18"/>
      <c r="MQ977" s="18"/>
      <c r="MR977" s="18"/>
      <c r="MS977" s="18"/>
      <c r="MT977" s="18"/>
      <c r="MU977" s="18"/>
      <c r="MV977" s="18"/>
      <c r="MW977" s="18"/>
      <c r="MX977" s="18"/>
      <c r="MY977" s="18"/>
      <c r="MZ977" s="18"/>
      <c r="NA977" s="18"/>
      <c r="NB977" s="18"/>
      <c r="NC977" s="18"/>
      <c r="ND977" s="18"/>
      <c r="NE977" s="18"/>
      <c r="NF977" s="18"/>
      <c r="NG977" s="18"/>
      <c r="NH977" s="18"/>
      <c r="NI977" s="18"/>
      <c r="NJ977" s="18"/>
      <c r="NK977" s="18"/>
      <c r="NL977" s="18"/>
      <c r="NM977" s="18"/>
      <c r="NN977" s="18"/>
      <c r="NO977" s="18"/>
      <c r="NP977" s="18"/>
      <c r="NQ977" s="18"/>
      <c r="NR977" s="18"/>
      <c r="NS977" s="18"/>
      <c r="NT977" s="18"/>
      <c r="NU977" s="18"/>
      <c r="NV977" s="18"/>
      <c r="NW977" s="18"/>
      <c r="NX977" s="18"/>
      <c r="NY977" s="18"/>
      <c r="NZ977" s="18"/>
      <c r="OA977" s="18"/>
      <c r="OB977" s="18"/>
      <c r="OC977" s="18"/>
      <c r="OD977" s="18"/>
      <c r="OE977" s="18"/>
      <c r="OF977" s="18"/>
      <c r="OG977" s="18"/>
      <c r="OH977" s="18"/>
      <c r="OI977" s="18"/>
      <c r="OJ977" s="18"/>
      <c r="OK977" s="18"/>
      <c r="OL977" s="18"/>
      <c r="OM977" s="18"/>
      <c r="ON977" s="18"/>
      <c r="OO977" s="18"/>
      <c r="OP977" s="18"/>
      <c r="OQ977" s="18"/>
      <c r="OR977" s="18"/>
      <c r="OS977" s="18"/>
      <c r="OT977" s="18"/>
      <c r="OU977" s="18"/>
      <c r="OV977" s="18"/>
      <c r="OW977" s="18"/>
      <c r="OX977" s="18"/>
      <c r="OY977" s="18"/>
      <c r="OZ977" s="18"/>
      <c r="PA977" s="18"/>
      <c r="PB977" s="18"/>
      <c r="PC977" s="18"/>
      <c r="PD977" s="18"/>
      <c r="PE977" s="18"/>
      <c r="PF977" s="18"/>
      <c r="PG977" s="18"/>
      <c r="PH977" s="18"/>
      <c r="PI977" s="18"/>
      <c r="PJ977" s="18"/>
      <c r="PK977" s="18"/>
      <c r="PL977" s="18"/>
      <c r="PM977" s="18"/>
      <c r="PN977" s="18"/>
      <c r="PO977" s="18"/>
      <c r="PP977" s="18"/>
      <c r="PQ977" s="18"/>
      <c r="PR977" s="18"/>
      <c r="PS977" s="18"/>
      <c r="PT977" s="18"/>
      <c r="PU977" s="18"/>
      <c r="PV977" s="18"/>
      <c r="PW977" s="18"/>
      <c r="PX977" s="18"/>
      <c r="PY977" s="18"/>
      <c r="PZ977" s="18"/>
      <c r="QA977" s="18"/>
      <c r="QB977" s="18"/>
      <c r="QC977" s="18"/>
      <c r="QD977" s="18"/>
      <c r="QE977" s="18"/>
      <c r="QF977" s="18"/>
      <c r="QG977" s="18"/>
      <c r="QH977" s="18"/>
      <c r="QI977" s="18"/>
      <c r="QJ977" s="18"/>
      <c r="QK977" s="18"/>
      <c r="QL977" s="18"/>
      <c r="QM977" s="18"/>
      <c r="QN977" s="18"/>
      <c r="QO977" s="18"/>
      <c r="QP977" s="18"/>
      <c r="QQ977" s="18"/>
      <c r="QR977" s="18"/>
      <c r="QS977" s="18"/>
      <c r="QT977" s="18"/>
      <c r="QU977" s="18"/>
      <c r="QV977" s="18"/>
      <c r="QW977" s="18"/>
      <c r="QX977" s="18"/>
      <c r="QY977" s="18"/>
      <c r="QZ977" s="18"/>
      <c r="RA977" s="18"/>
      <c r="RB977" s="18"/>
      <c r="RC977" s="18"/>
      <c r="RD977" s="18"/>
      <c r="RE977" s="18"/>
      <c r="RF977" s="18"/>
      <c r="RG977" s="18"/>
      <c r="RH977" s="18"/>
      <c r="RI977" s="18"/>
      <c r="RJ977" s="18"/>
      <c r="RK977" s="18"/>
      <c r="RL977" s="18"/>
      <c r="RM977" s="18"/>
      <c r="RN977" s="18"/>
      <c r="RO977" s="18"/>
      <c r="RP977" s="18"/>
      <c r="RQ977" s="18"/>
      <c r="RR977" s="18"/>
      <c r="RS977" s="18"/>
      <c r="RT977" s="18"/>
      <c r="RU977" s="18"/>
      <c r="RV977" s="18"/>
      <c r="RW977" s="18"/>
      <c r="RX977" s="18"/>
      <c r="RY977" s="18"/>
      <c r="RZ977" s="18"/>
      <c r="SA977" s="18"/>
      <c r="SB977" s="18"/>
      <c r="SC977" s="18"/>
      <c r="SD977" s="18"/>
      <c r="SE977" s="18"/>
      <c r="SF977" s="18"/>
      <c r="SG977" s="18"/>
      <c r="SH977" s="18"/>
      <c r="SI977" s="18"/>
      <c r="SJ977" s="18"/>
      <c r="SK977" s="18"/>
      <c r="SL977" s="18"/>
      <c r="SM977" s="18"/>
      <c r="SN977" s="18"/>
      <c r="SO977" s="18"/>
      <c r="SP977" s="18"/>
      <c r="SQ977" s="18"/>
      <c r="SR977" s="18"/>
      <c r="SS977" s="18"/>
      <c r="ST977" s="18"/>
      <c r="SU977" s="18"/>
      <c r="SV977" s="18"/>
      <c r="SW977" s="18"/>
      <c r="SX977" s="18"/>
      <c r="SY977" s="18"/>
      <c r="SZ977" s="18"/>
      <c r="TA977" s="18"/>
      <c r="TB977" s="18"/>
      <c r="TC977" s="18"/>
      <c r="TD977" s="18"/>
      <c r="TE977" s="18"/>
      <c r="TF977" s="18"/>
      <c r="TG977" s="18"/>
      <c r="TH977" s="18"/>
      <c r="TI977" s="18"/>
      <c r="TJ977" s="18"/>
      <c r="TK977" s="18"/>
      <c r="TL977" s="18"/>
      <c r="TM977" s="18"/>
      <c r="TN977" s="18"/>
      <c r="TO977" s="18"/>
      <c r="TP977" s="18"/>
      <c r="TQ977" s="18"/>
      <c r="TR977" s="18"/>
      <c r="TS977" s="18"/>
      <c r="TT977" s="18"/>
      <c r="TU977" s="18"/>
      <c r="TV977" s="18"/>
      <c r="TW977" s="18"/>
      <c r="TX977" s="18"/>
      <c r="TY977" s="18"/>
      <c r="TZ977" s="18"/>
      <c r="UA977" s="18"/>
      <c r="UB977" s="18"/>
      <c r="UC977" s="18"/>
      <c r="UD977" s="18"/>
      <c r="UE977" s="18"/>
      <c r="UF977" s="18"/>
      <c r="UG977" s="19"/>
    </row>
    <row r="978" spans="1:553" ht="60.75" customHeight="1">
      <c r="A978" s="356" t="s">
        <v>15</v>
      </c>
      <c r="B978" s="385"/>
      <c r="C978" s="384" t="s">
        <v>19</v>
      </c>
      <c r="D978" s="1432" t="s">
        <v>20</v>
      </c>
      <c r="E978" s="1432">
        <v>355</v>
      </c>
      <c r="F978" s="1435">
        <v>1</v>
      </c>
      <c r="G978" s="1469" t="s">
        <v>935</v>
      </c>
      <c r="H978" s="1470">
        <v>425.1</v>
      </c>
      <c r="I978" s="1070">
        <v>400</v>
      </c>
      <c r="J978" s="368">
        <v>390000</v>
      </c>
      <c r="K978" s="684"/>
      <c r="L978" s="366">
        <f t="shared" ref="L978:L987" si="146">PRODUCT(I978:K978)</f>
        <v>156000000</v>
      </c>
      <c r="M978" s="392"/>
      <c r="N978" s="392"/>
      <c r="O978" s="366"/>
      <c r="P978" s="366"/>
      <c r="Q978" s="1537"/>
      <c r="R978" s="1452"/>
      <c r="S978" s="308"/>
      <c r="T978" s="308"/>
      <c r="U978" s="308"/>
      <c r="V978" s="308"/>
      <c r="W978" s="308"/>
      <c r="X978" s="308"/>
      <c r="Y978" s="308"/>
      <c r="Z978" s="604"/>
      <c r="AA978" s="308"/>
      <c r="AB978" s="1105"/>
      <c r="AC978" s="373">
        <f>I978</f>
        <v>400</v>
      </c>
      <c r="AD978" s="373"/>
      <c r="AE978" s="373"/>
      <c r="AF978" s="373"/>
      <c r="AG978" s="373"/>
      <c r="AH978" s="373"/>
      <c r="AI978" s="373"/>
      <c r="AJ978" s="373"/>
      <c r="AK978" s="389"/>
      <c r="AL978" s="100"/>
      <c r="AM978" s="27"/>
      <c r="AN978" s="27"/>
      <c r="AO978" s="27"/>
      <c r="AP978" s="27"/>
      <c r="AQ978" s="27"/>
      <c r="AR978" s="27"/>
      <c r="AS978" s="22"/>
      <c r="AT978" s="22"/>
      <c r="AU978" s="22"/>
      <c r="AV978" s="22"/>
      <c r="AW978" s="22"/>
      <c r="AX978" s="22"/>
      <c r="AY978" s="22"/>
      <c r="AZ978" s="22"/>
      <c r="BA978" s="22"/>
      <c r="BB978" s="22"/>
      <c r="BC978" s="22"/>
      <c r="BD978" s="22"/>
      <c r="BE978" s="22"/>
      <c r="BF978" s="22"/>
      <c r="BG978" s="22"/>
      <c r="BH978" s="22"/>
      <c r="BI978" s="22"/>
      <c r="BJ978" s="22"/>
      <c r="BK978" s="22"/>
      <c r="BL978" s="22"/>
      <c r="BM978" s="22"/>
      <c r="BN978" s="22"/>
      <c r="BO978" s="22"/>
      <c r="BP978" s="22"/>
      <c r="BQ978" s="22"/>
      <c r="BR978" s="22"/>
      <c r="BS978" s="22"/>
      <c r="BT978" s="22"/>
      <c r="BU978" s="22"/>
      <c r="BV978" s="22"/>
      <c r="BW978" s="22"/>
      <c r="BX978" s="22"/>
      <c r="BY978" s="22"/>
      <c r="BZ978" s="22"/>
      <c r="CA978" s="22"/>
      <c r="CB978" s="22"/>
      <c r="CC978" s="22"/>
      <c r="CD978" s="22"/>
      <c r="CE978" s="22"/>
      <c r="CF978" s="22"/>
      <c r="CG978" s="22"/>
      <c r="CH978" s="22"/>
      <c r="CI978" s="22"/>
      <c r="CJ978" s="22"/>
      <c r="CK978" s="22"/>
      <c r="CL978" s="22"/>
      <c r="CM978" s="22"/>
      <c r="CN978" s="22"/>
      <c r="CO978" s="22"/>
      <c r="CP978" s="22"/>
      <c r="CQ978" s="22"/>
      <c r="CR978" s="22"/>
      <c r="CS978" s="22"/>
      <c r="CT978" s="22"/>
      <c r="CU978" s="22"/>
      <c r="CV978" s="22"/>
      <c r="CW978" s="22"/>
      <c r="CX978" s="22"/>
      <c r="CY978" s="22"/>
      <c r="CZ978" s="22"/>
      <c r="DA978" s="22"/>
      <c r="DB978" s="22"/>
      <c r="DC978" s="22"/>
      <c r="DD978" s="22"/>
      <c r="DE978" s="22"/>
      <c r="DF978" s="22"/>
      <c r="DG978" s="22"/>
      <c r="DH978" s="22"/>
      <c r="DI978" s="22"/>
      <c r="DJ978" s="22"/>
      <c r="DK978" s="22"/>
      <c r="DL978" s="22"/>
      <c r="DM978" s="22"/>
      <c r="DN978" s="22"/>
      <c r="DO978" s="22"/>
      <c r="DP978" s="22"/>
      <c r="DQ978" s="22"/>
      <c r="DR978" s="22"/>
      <c r="DS978" s="22"/>
      <c r="DT978" s="22"/>
      <c r="DU978" s="22"/>
      <c r="DV978" s="22"/>
      <c r="DW978" s="22"/>
      <c r="DX978" s="22"/>
      <c r="DY978" s="22"/>
      <c r="DZ978" s="22"/>
      <c r="EA978" s="22"/>
      <c r="EB978" s="22"/>
      <c r="EC978" s="22"/>
      <c r="ED978" s="22"/>
      <c r="EE978" s="22"/>
      <c r="EF978" s="22"/>
      <c r="EG978" s="22"/>
      <c r="EH978" s="22"/>
      <c r="EI978" s="22"/>
      <c r="EJ978" s="22"/>
      <c r="EK978" s="22"/>
      <c r="EL978" s="22"/>
      <c r="EM978" s="22"/>
      <c r="EN978" s="22"/>
      <c r="EO978" s="22"/>
      <c r="EP978" s="22"/>
      <c r="EQ978" s="22"/>
      <c r="ER978" s="22"/>
      <c r="ES978" s="22"/>
      <c r="ET978" s="22"/>
      <c r="EU978" s="22"/>
      <c r="EV978" s="22"/>
      <c r="EW978" s="22"/>
      <c r="EX978" s="22"/>
      <c r="EY978" s="22"/>
      <c r="EZ978" s="22"/>
      <c r="FA978" s="22"/>
      <c r="FB978" s="22"/>
      <c r="FC978" s="22"/>
      <c r="FD978" s="22"/>
      <c r="FE978" s="22"/>
      <c r="FF978" s="22"/>
      <c r="FG978" s="22"/>
      <c r="FH978" s="22"/>
      <c r="FI978" s="22"/>
      <c r="FJ978" s="22"/>
      <c r="FK978" s="22"/>
      <c r="FL978" s="22"/>
      <c r="FM978" s="22"/>
      <c r="FN978" s="22"/>
      <c r="FO978" s="22"/>
      <c r="FP978" s="22"/>
      <c r="FQ978" s="22"/>
      <c r="FR978" s="22"/>
      <c r="FS978" s="22"/>
      <c r="FT978" s="22"/>
      <c r="FU978" s="22"/>
      <c r="FV978" s="22"/>
      <c r="FW978" s="22"/>
      <c r="FX978" s="22"/>
      <c r="FY978" s="22"/>
      <c r="FZ978" s="22"/>
      <c r="GA978" s="22"/>
      <c r="GB978" s="22"/>
      <c r="GC978" s="22"/>
      <c r="GD978" s="22"/>
      <c r="GE978" s="22"/>
      <c r="GF978" s="22"/>
      <c r="GG978" s="22"/>
      <c r="GH978" s="22"/>
      <c r="GI978" s="22"/>
      <c r="GJ978" s="22"/>
      <c r="GK978" s="22"/>
      <c r="GL978" s="22"/>
      <c r="GM978" s="22"/>
      <c r="GN978" s="22"/>
      <c r="GO978" s="22"/>
      <c r="GP978" s="22"/>
      <c r="GQ978" s="22"/>
      <c r="GR978" s="22"/>
      <c r="GS978" s="22"/>
      <c r="GT978" s="22"/>
      <c r="GU978" s="22"/>
      <c r="GV978" s="22"/>
      <c r="GW978" s="22"/>
      <c r="GX978" s="22"/>
      <c r="GY978" s="22"/>
      <c r="GZ978" s="22"/>
      <c r="HA978" s="22"/>
      <c r="HB978" s="22"/>
      <c r="HC978" s="22"/>
      <c r="HD978" s="22"/>
      <c r="HE978" s="22"/>
      <c r="HF978" s="22"/>
      <c r="HG978" s="22"/>
      <c r="HH978" s="22"/>
      <c r="HI978" s="22"/>
      <c r="HJ978" s="22"/>
      <c r="HK978" s="22"/>
      <c r="HL978" s="22"/>
      <c r="HM978" s="22"/>
      <c r="HN978" s="22"/>
      <c r="HO978" s="22"/>
      <c r="HP978" s="22"/>
      <c r="HQ978" s="22"/>
      <c r="HR978" s="22"/>
      <c r="HS978" s="22"/>
      <c r="HT978" s="22"/>
      <c r="HU978" s="22"/>
      <c r="HV978" s="22"/>
      <c r="HW978" s="22"/>
      <c r="HX978" s="22"/>
      <c r="HY978" s="22"/>
      <c r="HZ978" s="22"/>
      <c r="IA978" s="22"/>
      <c r="IB978" s="22"/>
      <c r="IC978" s="22"/>
      <c r="ID978" s="22"/>
      <c r="IE978" s="22"/>
      <c r="IF978" s="22"/>
      <c r="IG978" s="22"/>
      <c r="IH978" s="22"/>
      <c r="II978" s="22"/>
      <c r="IJ978" s="22"/>
      <c r="IK978" s="22"/>
      <c r="IL978" s="22"/>
      <c r="IM978" s="22"/>
      <c r="IN978" s="22"/>
      <c r="IO978" s="22"/>
      <c r="IP978" s="22"/>
      <c r="IQ978" s="22"/>
      <c r="IR978" s="22"/>
      <c r="IS978" s="22"/>
      <c r="IT978" s="22"/>
      <c r="IU978" s="22"/>
      <c r="IV978" s="22"/>
      <c r="IW978" s="22"/>
      <c r="IX978" s="22"/>
      <c r="IY978" s="22"/>
      <c r="IZ978" s="22"/>
      <c r="JA978" s="22"/>
      <c r="JB978" s="22"/>
      <c r="JC978" s="22"/>
      <c r="JD978" s="22"/>
      <c r="JE978" s="22"/>
      <c r="JF978" s="22"/>
      <c r="JG978" s="22"/>
      <c r="JH978" s="22"/>
      <c r="JI978" s="22"/>
      <c r="JJ978" s="22"/>
      <c r="JK978" s="22"/>
      <c r="JL978" s="22"/>
      <c r="JM978" s="22"/>
      <c r="JN978" s="22"/>
      <c r="JO978" s="22"/>
      <c r="JP978" s="22"/>
      <c r="JQ978" s="22"/>
      <c r="JR978" s="22"/>
      <c r="JS978" s="22"/>
      <c r="JT978" s="22"/>
      <c r="JU978" s="22"/>
      <c r="JV978" s="22"/>
      <c r="JW978" s="22"/>
      <c r="JX978" s="22"/>
      <c r="JY978" s="22"/>
      <c r="JZ978" s="22"/>
      <c r="KA978" s="22"/>
      <c r="KB978" s="22"/>
      <c r="KC978" s="22"/>
      <c r="KD978" s="22"/>
      <c r="KE978" s="22"/>
      <c r="KF978" s="22"/>
      <c r="KG978" s="22"/>
      <c r="KH978" s="22"/>
      <c r="KI978" s="22"/>
      <c r="KJ978" s="22"/>
      <c r="KK978" s="22"/>
      <c r="KL978" s="22"/>
      <c r="KM978" s="22"/>
      <c r="KN978" s="22"/>
      <c r="KO978" s="22"/>
      <c r="KP978" s="22"/>
      <c r="KQ978" s="22"/>
      <c r="KR978" s="22"/>
      <c r="KS978" s="22"/>
      <c r="KT978" s="22"/>
      <c r="KU978" s="22"/>
      <c r="KV978" s="22"/>
      <c r="KW978" s="22"/>
      <c r="KX978" s="22"/>
      <c r="KY978" s="22"/>
      <c r="KZ978" s="22"/>
      <c r="LA978" s="22"/>
      <c r="LB978" s="22"/>
      <c r="LC978" s="22"/>
      <c r="LD978" s="22"/>
      <c r="LE978" s="22"/>
      <c r="LF978" s="22"/>
      <c r="LG978" s="22"/>
      <c r="LH978" s="22"/>
      <c r="LI978" s="22"/>
      <c r="LJ978" s="22"/>
      <c r="LK978" s="22"/>
      <c r="LL978" s="22"/>
      <c r="LM978" s="22"/>
      <c r="LN978" s="22"/>
      <c r="LO978" s="22"/>
      <c r="LP978" s="22"/>
      <c r="LQ978" s="22"/>
      <c r="LR978" s="22"/>
      <c r="LS978" s="22"/>
      <c r="LT978" s="22"/>
      <c r="LU978" s="22"/>
      <c r="LV978" s="22"/>
      <c r="LW978" s="22"/>
      <c r="LX978" s="22"/>
      <c r="LY978" s="22"/>
      <c r="LZ978" s="22"/>
      <c r="MA978" s="22"/>
      <c r="MB978" s="22"/>
      <c r="MC978" s="22"/>
      <c r="MD978" s="22"/>
      <c r="ME978" s="22"/>
      <c r="MF978" s="22"/>
      <c r="MG978" s="22"/>
      <c r="MH978" s="22"/>
      <c r="MI978" s="22"/>
      <c r="MJ978" s="22"/>
      <c r="MK978" s="22"/>
      <c r="ML978" s="22"/>
      <c r="MM978" s="22"/>
      <c r="MN978" s="22"/>
      <c r="MO978" s="22"/>
      <c r="MP978" s="22"/>
      <c r="MQ978" s="22"/>
      <c r="MR978" s="22"/>
      <c r="MS978" s="22"/>
      <c r="MT978" s="22"/>
      <c r="MU978" s="22"/>
      <c r="MV978" s="22"/>
      <c r="MW978" s="22"/>
      <c r="MX978" s="22"/>
      <c r="MY978" s="22"/>
      <c r="MZ978" s="22"/>
      <c r="NA978" s="22"/>
      <c r="NB978" s="22"/>
      <c r="NC978" s="22"/>
      <c r="ND978" s="22"/>
      <c r="NE978" s="22"/>
      <c r="NF978" s="22"/>
      <c r="NG978" s="22"/>
      <c r="NH978" s="22"/>
      <c r="NI978" s="22"/>
      <c r="NJ978" s="22"/>
      <c r="NK978" s="22"/>
      <c r="NL978" s="22"/>
      <c r="NM978" s="22"/>
      <c r="NN978" s="22"/>
      <c r="NO978" s="22"/>
      <c r="NP978" s="22"/>
      <c r="NQ978" s="22"/>
      <c r="NR978" s="22"/>
      <c r="NS978" s="22"/>
      <c r="NT978" s="22"/>
      <c r="NU978" s="22"/>
      <c r="NV978" s="22"/>
      <c r="NW978" s="22"/>
      <c r="NX978" s="22"/>
      <c r="NY978" s="22"/>
      <c r="NZ978" s="22"/>
      <c r="OA978" s="22"/>
      <c r="OB978" s="22"/>
      <c r="OC978" s="22"/>
      <c r="OD978" s="22"/>
      <c r="OE978" s="22"/>
      <c r="OF978" s="22"/>
      <c r="OG978" s="22"/>
      <c r="OH978" s="22"/>
      <c r="OI978" s="22"/>
      <c r="OJ978" s="22"/>
      <c r="OK978" s="22"/>
      <c r="OL978" s="22"/>
      <c r="OM978" s="22"/>
      <c r="ON978" s="22"/>
      <c r="OO978" s="22"/>
      <c r="OP978" s="22"/>
      <c r="OQ978" s="22"/>
      <c r="OR978" s="22"/>
      <c r="OS978" s="22"/>
      <c r="OT978" s="22"/>
      <c r="OU978" s="22"/>
      <c r="OV978" s="22"/>
      <c r="OW978" s="22"/>
      <c r="OX978" s="22"/>
      <c r="OY978" s="22"/>
      <c r="OZ978" s="22"/>
      <c r="PA978" s="22"/>
      <c r="PB978" s="22"/>
      <c r="PC978" s="22"/>
      <c r="PD978" s="22"/>
      <c r="PE978" s="22"/>
      <c r="PF978" s="22"/>
      <c r="PG978" s="22"/>
      <c r="PH978" s="22"/>
      <c r="PI978" s="22"/>
      <c r="PJ978" s="22"/>
      <c r="PK978" s="22"/>
      <c r="PL978" s="22"/>
      <c r="PM978" s="22"/>
      <c r="PN978" s="22"/>
      <c r="PO978" s="22"/>
      <c r="PP978" s="22"/>
      <c r="PQ978" s="22"/>
      <c r="PR978" s="22"/>
      <c r="PS978" s="22"/>
      <c r="PT978" s="22"/>
      <c r="PU978" s="22"/>
      <c r="PV978" s="22"/>
      <c r="PW978" s="22"/>
      <c r="PX978" s="22"/>
      <c r="PY978" s="22"/>
      <c r="PZ978" s="22"/>
      <c r="QA978" s="22"/>
      <c r="QB978" s="22"/>
      <c r="QC978" s="22"/>
      <c r="QD978" s="22"/>
      <c r="QE978" s="22"/>
      <c r="QF978" s="22"/>
      <c r="QG978" s="22"/>
      <c r="QH978" s="22"/>
      <c r="QI978" s="22"/>
      <c r="QJ978" s="22"/>
      <c r="QK978" s="22"/>
      <c r="QL978" s="22"/>
      <c r="QM978" s="22"/>
      <c r="QN978" s="22"/>
      <c r="QO978" s="22"/>
      <c r="QP978" s="22"/>
      <c r="QQ978" s="22"/>
      <c r="QR978" s="22"/>
      <c r="QS978" s="22"/>
      <c r="QT978" s="22"/>
      <c r="QU978" s="22"/>
      <c r="QV978" s="22"/>
      <c r="QW978" s="22"/>
      <c r="QX978" s="22"/>
      <c r="QY978" s="22"/>
      <c r="QZ978" s="22"/>
      <c r="RA978" s="22"/>
      <c r="RB978" s="22"/>
      <c r="RC978" s="22"/>
      <c r="RD978" s="22"/>
      <c r="RE978" s="22"/>
      <c r="RF978" s="22"/>
      <c r="RG978" s="22"/>
      <c r="RH978" s="22"/>
      <c r="RI978" s="22"/>
      <c r="RJ978" s="22"/>
      <c r="RK978" s="22"/>
      <c r="RL978" s="22"/>
      <c r="RM978" s="22"/>
      <c r="RN978" s="22"/>
      <c r="RO978" s="22"/>
      <c r="RP978" s="22"/>
      <c r="RQ978" s="22"/>
      <c r="RR978" s="22"/>
      <c r="RS978" s="22"/>
      <c r="RT978" s="22"/>
      <c r="RU978" s="22"/>
      <c r="RV978" s="22"/>
      <c r="RW978" s="22"/>
      <c r="RX978" s="22"/>
      <c r="RY978" s="22"/>
      <c r="RZ978" s="22"/>
      <c r="SA978" s="22"/>
      <c r="SB978" s="22"/>
      <c r="SC978" s="22"/>
      <c r="SD978" s="22"/>
      <c r="SE978" s="22"/>
      <c r="SF978" s="22"/>
      <c r="SG978" s="22"/>
      <c r="SH978" s="22"/>
      <c r="SI978" s="22"/>
      <c r="SJ978" s="22"/>
      <c r="SK978" s="22"/>
      <c r="SL978" s="22"/>
      <c r="SM978" s="22"/>
      <c r="SN978" s="22"/>
      <c r="SO978" s="22"/>
      <c r="SP978" s="22"/>
      <c r="SQ978" s="22"/>
      <c r="SR978" s="22"/>
      <c r="SS978" s="22"/>
      <c r="ST978" s="22"/>
      <c r="SU978" s="22"/>
      <c r="SV978" s="22"/>
      <c r="SW978" s="22"/>
      <c r="SX978" s="22"/>
      <c r="SY978" s="22"/>
      <c r="SZ978" s="22"/>
      <c r="TA978" s="22"/>
      <c r="TB978" s="22"/>
      <c r="TC978" s="22"/>
      <c r="TD978" s="22"/>
      <c r="TE978" s="22"/>
      <c r="TF978" s="22"/>
      <c r="TG978" s="22"/>
      <c r="TH978" s="22"/>
      <c r="TI978" s="22"/>
      <c r="TJ978" s="22"/>
      <c r="TK978" s="22"/>
      <c r="TL978" s="22"/>
      <c r="TM978" s="22"/>
      <c r="TN978" s="22"/>
      <c r="TO978" s="22"/>
      <c r="TP978" s="22"/>
      <c r="TQ978" s="22"/>
      <c r="TR978" s="22"/>
      <c r="TS978" s="22"/>
      <c r="TT978" s="22"/>
      <c r="TU978" s="22"/>
      <c r="TV978" s="22"/>
      <c r="TW978" s="22"/>
      <c r="TX978" s="22"/>
      <c r="TY978" s="22"/>
      <c r="TZ978" s="22"/>
      <c r="UA978" s="22"/>
      <c r="UB978" s="22"/>
      <c r="UC978" s="22"/>
      <c r="UD978" s="22"/>
      <c r="UE978" s="22"/>
      <c r="UF978" s="22"/>
      <c r="UG978" s="23"/>
    </row>
    <row r="979" spans="1:553" s="169" customFormat="1" ht="65.25" customHeight="1">
      <c r="A979" s="356" t="s">
        <v>15</v>
      </c>
      <c r="B979" s="385"/>
      <c r="C979" s="384" t="s">
        <v>22</v>
      </c>
      <c r="D979" s="1433"/>
      <c r="E979" s="1434"/>
      <c r="F979" s="1433"/>
      <c r="G979" s="1434"/>
      <c r="H979" s="1433"/>
      <c r="I979" s="1070">
        <f>H978-I978</f>
        <v>25.100000000000023</v>
      </c>
      <c r="J979" s="368">
        <v>60000</v>
      </c>
      <c r="K979" s="684"/>
      <c r="L979" s="366">
        <f t="shared" si="146"/>
        <v>1506000.0000000014</v>
      </c>
      <c r="M979" s="366"/>
      <c r="N979" s="366"/>
      <c r="O979" s="366"/>
      <c r="P979" s="366"/>
      <c r="Q979" s="1445"/>
      <c r="R979" s="1452"/>
      <c r="S979" s="308"/>
      <c r="T979" s="308"/>
      <c r="U979" s="308"/>
      <c r="V979" s="308"/>
      <c r="W979" s="308"/>
      <c r="X979" s="308"/>
      <c r="Y979" s="308"/>
      <c r="Z979" s="604"/>
      <c r="AA979" s="308"/>
      <c r="AB979" s="1105">
        <f>I979</f>
        <v>25.100000000000023</v>
      </c>
      <c r="AC979" s="373"/>
      <c r="AD979" s="373"/>
      <c r="AE979" s="373"/>
      <c r="AF979" s="373"/>
      <c r="AG979" s="373"/>
      <c r="AH979" s="373"/>
      <c r="AI979" s="373"/>
      <c r="AJ979" s="373"/>
      <c r="AK979" s="389"/>
      <c r="AL979" s="892"/>
      <c r="AM979" s="893"/>
      <c r="AN979" s="893"/>
      <c r="AO979" s="893"/>
      <c r="AP979" s="893"/>
      <c r="AQ979" s="893"/>
      <c r="AR979" s="893"/>
      <c r="AS979" s="166"/>
      <c r="AT979" s="166"/>
      <c r="AU979" s="166"/>
      <c r="AV979" s="166"/>
      <c r="AW979" s="166"/>
      <c r="AX979" s="166"/>
      <c r="AY979" s="166"/>
      <c r="AZ979" s="166"/>
      <c r="BA979" s="166"/>
      <c r="BB979" s="166"/>
      <c r="BC979" s="166"/>
      <c r="BD979" s="166"/>
      <c r="BE979" s="166"/>
      <c r="BF979" s="166"/>
      <c r="BG979" s="166"/>
      <c r="BH979" s="166"/>
      <c r="BI979" s="166"/>
      <c r="BJ979" s="166"/>
      <c r="BK979" s="166"/>
      <c r="BL979" s="166"/>
      <c r="BM979" s="166"/>
      <c r="BN979" s="166"/>
      <c r="BO979" s="166"/>
      <c r="BP979" s="166"/>
      <c r="BQ979" s="166"/>
      <c r="BR979" s="166"/>
      <c r="BS979" s="166"/>
      <c r="BT979" s="166"/>
      <c r="BU979" s="166"/>
      <c r="BV979" s="166"/>
      <c r="BW979" s="166"/>
      <c r="BX979" s="166"/>
      <c r="BY979" s="166"/>
      <c r="BZ979" s="166"/>
      <c r="CA979" s="166"/>
      <c r="CB979" s="166"/>
      <c r="CC979" s="166"/>
      <c r="CD979" s="166"/>
      <c r="CE979" s="166"/>
      <c r="CF979" s="166"/>
      <c r="CG979" s="166"/>
      <c r="CH979" s="166"/>
      <c r="CI979" s="166"/>
      <c r="CJ979" s="166"/>
      <c r="CK979" s="166"/>
      <c r="CL979" s="166"/>
      <c r="CM979" s="166"/>
      <c r="CN979" s="166"/>
      <c r="CO979" s="166"/>
      <c r="CP979" s="166"/>
      <c r="CQ979" s="166"/>
      <c r="CR979" s="166"/>
      <c r="CS979" s="166"/>
      <c r="CT979" s="166"/>
      <c r="CU979" s="166"/>
      <c r="CV979" s="166"/>
      <c r="CW979" s="166"/>
      <c r="CX979" s="166"/>
      <c r="CY979" s="166"/>
      <c r="CZ979" s="166"/>
      <c r="DA979" s="166"/>
      <c r="DB979" s="166"/>
      <c r="DC979" s="166"/>
      <c r="DD979" s="166"/>
      <c r="DE979" s="166"/>
      <c r="DF979" s="166"/>
      <c r="DG979" s="166"/>
      <c r="DH979" s="166"/>
      <c r="DI979" s="166"/>
      <c r="DJ979" s="166"/>
      <c r="DK979" s="166"/>
      <c r="DL979" s="166"/>
      <c r="DM979" s="166"/>
      <c r="DN979" s="166"/>
      <c r="DO979" s="166"/>
      <c r="DP979" s="166"/>
      <c r="DQ979" s="166"/>
      <c r="DR979" s="166"/>
      <c r="DS979" s="166"/>
      <c r="DT979" s="166"/>
      <c r="DU979" s="166"/>
      <c r="DV979" s="166"/>
      <c r="DW979" s="166"/>
      <c r="DX979" s="166"/>
      <c r="DY979" s="166"/>
      <c r="DZ979" s="166"/>
      <c r="EA979" s="166"/>
      <c r="EB979" s="166"/>
      <c r="EC979" s="166"/>
      <c r="ED979" s="166"/>
      <c r="EE979" s="166"/>
      <c r="EF979" s="166"/>
      <c r="EG979" s="166"/>
      <c r="EH979" s="166"/>
      <c r="EI979" s="166"/>
      <c r="EJ979" s="166"/>
      <c r="EK979" s="166"/>
      <c r="EL979" s="166"/>
      <c r="EM979" s="166"/>
      <c r="EN979" s="166"/>
      <c r="EO979" s="166"/>
      <c r="EP979" s="166"/>
      <c r="EQ979" s="166"/>
      <c r="ER979" s="166"/>
      <c r="ES979" s="166"/>
      <c r="ET979" s="166"/>
      <c r="EU979" s="166"/>
      <c r="EV979" s="166"/>
      <c r="EW979" s="166"/>
      <c r="EX979" s="166"/>
      <c r="EY979" s="166"/>
      <c r="EZ979" s="166"/>
      <c r="FA979" s="166"/>
      <c r="FB979" s="166"/>
      <c r="FC979" s="166"/>
      <c r="FD979" s="166"/>
      <c r="FE979" s="166"/>
      <c r="FF979" s="166"/>
      <c r="FG979" s="166"/>
      <c r="FH979" s="166"/>
      <c r="FI979" s="166"/>
      <c r="FJ979" s="166"/>
      <c r="FK979" s="166"/>
      <c r="FL979" s="166"/>
      <c r="FM979" s="166"/>
      <c r="FN979" s="166"/>
      <c r="FO979" s="166"/>
      <c r="FP979" s="166"/>
      <c r="FQ979" s="166"/>
      <c r="FR979" s="166"/>
      <c r="FS979" s="166"/>
      <c r="FT979" s="166"/>
      <c r="FU979" s="166"/>
      <c r="FV979" s="166"/>
      <c r="FW979" s="166"/>
      <c r="FX979" s="166"/>
      <c r="FY979" s="166"/>
      <c r="FZ979" s="166"/>
      <c r="GA979" s="166"/>
      <c r="GB979" s="166"/>
      <c r="GC979" s="166"/>
      <c r="GD979" s="166"/>
      <c r="GE979" s="166"/>
      <c r="GF979" s="166"/>
      <c r="GG979" s="166"/>
      <c r="GH979" s="166"/>
      <c r="GI979" s="166"/>
      <c r="GJ979" s="166"/>
      <c r="GK979" s="166"/>
      <c r="GL979" s="166"/>
      <c r="GM979" s="166"/>
      <c r="GN979" s="166"/>
      <c r="GO979" s="166"/>
      <c r="GP979" s="166"/>
      <c r="GQ979" s="166"/>
      <c r="GR979" s="166"/>
      <c r="GS979" s="166"/>
      <c r="GT979" s="166"/>
      <c r="GU979" s="166"/>
      <c r="GV979" s="166"/>
      <c r="GW979" s="166"/>
      <c r="GX979" s="166"/>
      <c r="GY979" s="166"/>
      <c r="GZ979" s="166"/>
      <c r="HA979" s="166"/>
      <c r="HB979" s="166"/>
      <c r="HC979" s="166"/>
      <c r="HD979" s="166"/>
      <c r="HE979" s="166"/>
      <c r="HF979" s="166"/>
      <c r="HG979" s="166"/>
      <c r="HH979" s="166"/>
      <c r="HI979" s="166"/>
      <c r="HJ979" s="166"/>
      <c r="HK979" s="166"/>
      <c r="HL979" s="166"/>
      <c r="HM979" s="166"/>
      <c r="HN979" s="166"/>
      <c r="HO979" s="166"/>
      <c r="HP979" s="166"/>
      <c r="HQ979" s="166"/>
      <c r="HR979" s="166"/>
      <c r="HS979" s="166"/>
      <c r="HT979" s="166"/>
      <c r="HU979" s="166"/>
      <c r="HV979" s="166"/>
      <c r="HW979" s="166"/>
      <c r="HX979" s="166"/>
      <c r="HY979" s="166"/>
      <c r="HZ979" s="166"/>
      <c r="IA979" s="166"/>
      <c r="IB979" s="166"/>
      <c r="IC979" s="166"/>
      <c r="ID979" s="166"/>
      <c r="IE979" s="166"/>
      <c r="IF979" s="166"/>
      <c r="IG979" s="166"/>
      <c r="IH979" s="166"/>
      <c r="II979" s="166"/>
      <c r="IJ979" s="166"/>
      <c r="IK979" s="166"/>
      <c r="IL979" s="166"/>
      <c r="IM979" s="166"/>
      <c r="IN979" s="166"/>
      <c r="IO979" s="166"/>
      <c r="IP979" s="166"/>
      <c r="IQ979" s="166"/>
      <c r="IR979" s="166"/>
      <c r="IS979" s="166"/>
      <c r="IT979" s="166"/>
      <c r="IU979" s="166"/>
      <c r="IV979" s="166"/>
      <c r="IW979" s="166"/>
      <c r="IX979" s="166"/>
      <c r="IY979" s="166"/>
      <c r="IZ979" s="166"/>
      <c r="JA979" s="166"/>
      <c r="JB979" s="166"/>
      <c r="JC979" s="166"/>
      <c r="JD979" s="166"/>
      <c r="JE979" s="166"/>
      <c r="JF979" s="166"/>
      <c r="JG979" s="166"/>
      <c r="JH979" s="166"/>
      <c r="JI979" s="166"/>
      <c r="JJ979" s="166"/>
      <c r="JK979" s="166"/>
      <c r="JL979" s="166"/>
      <c r="JM979" s="166"/>
      <c r="JN979" s="166"/>
      <c r="JO979" s="166"/>
      <c r="JP979" s="166"/>
      <c r="JQ979" s="166"/>
      <c r="JR979" s="166"/>
      <c r="JS979" s="166"/>
      <c r="JT979" s="166"/>
      <c r="JU979" s="166"/>
      <c r="JV979" s="166"/>
      <c r="JW979" s="166"/>
      <c r="JX979" s="166"/>
      <c r="JY979" s="166"/>
      <c r="JZ979" s="166"/>
      <c r="KA979" s="166"/>
      <c r="KB979" s="166"/>
      <c r="KC979" s="166"/>
      <c r="KD979" s="166"/>
      <c r="KE979" s="166"/>
      <c r="KF979" s="166"/>
      <c r="KG979" s="166"/>
      <c r="KH979" s="166"/>
      <c r="KI979" s="166"/>
      <c r="KJ979" s="166"/>
      <c r="KK979" s="166"/>
      <c r="KL979" s="166"/>
      <c r="KM979" s="166"/>
      <c r="KN979" s="166"/>
      <c r="KO979" s="166"/>
      <c r="KP979" s="166"/>
      <c r="KQ979" s="166"/>
      <c r="KR979" s="166"/>
      <c r="KS979" s="166"/>
      <c r="KT979" s="166"/>
      <c r="KU979" s="166"/>
      <c r="KV979" s="166"/>
      <c r="KW979" s="166"/>
      <c r="KX979" s="166"/>
      <c r="KY979" s="166"/>
      <c r="KZ979" s="166"/>
      <c r="LA979" s="166"/>
      <c r="LB979" s="166"/>
      <c r="LC979" s="166"/>
      <c r="LD979" s="166"/>
      <c r="LE979" s="166"/>
      <c r="LF979" s="166"/>
      <c r="LG979" s="166"/>
      <c r="LH979" s="166"/>
      <c r="LI979" s="166"/>
      <c r="LJ979" s="166"/>
      <c r="LK979" s="166"/>
      <c r="LL979" s="166"/>
      <c r="LM979" s="166"/>
      <c r="LN979" s="166"/>
      <c r="LO979" s="166"/>
      <c r="LP979" s="166"/>
      <c r="LQ979" s="166"/>
      <c r="LR979" s="166"/>
      <c r="LS979" s="166"/>
      <c r="LT979" s="166"/>
      <c r="LU979" s="166"/>
      <c r="LV979" s="166"/>
      <c r="LW979" s="166"/>
      <c r="LX979" s="166"/>
      <c r="LY979" s="166"/>
      <c r="LZ979" s="166"/>
      <c r="MA979" s="166"/>
      <c r="MB979" s="166"/>
      <c r="MC979" s="166"/>
      <c r="MD979" s="166"/>
      <c r="ME979" s="166"/>
      <c r="MF979" s="166"/>
      <c r="MG979" s="166"/>
      <c r="MH979" s="166"/>
      <c r="MI979" s="166"/>
      <c r="MJ979" s="166"/>
      <c r="MK979" s="166"/>
      <c r="ML979" s="166"/>
      <c r="MM979" s="166"/>
      <c r="MN979" s="166"/>
      <c r="MO979" s="166"/>
      <c r="MP979" s="166"/>
      <c r="MQ979" s="166"/>
      <c r="MR979" s="166"/>
      <c r="MS979" s="166"/>
      <c r="MT979" s="166"/>
      <c r="MU979" s="166"/>
      <c r="MV979" s="166"/>
      <c r="MW979" s="166"/>
      <c r="MX979" s="166"/>
      <c r="MY979" s="166"/>
      <c r="MZ979" s="166"/>
      <c r="NA979" s="166"/>
      <c r="NB979" s="166"/>
      <c r="NC979" s="166"/>
      <c r="ND979" s="166"/>
      <c r="NE979" s="166"/>
      <c r="NF979" s="166"/>
      <c r="NG979" s="166"/>
      <c r="NH979" s="166"/>
      <c r="NI979" s="166"/>
      <c r="NJ979" s="166"/>
      <c r="NK979" s="166"/>
      <c r="NL979" s="166"/>
      <c r="NM979" s="166"/>
      <c r="NN979" s="166"/>
      <c r="NO979" s="166"/>
      <c r="NP979" s="166"/>
      <c r="NQ979" s="166"/>
      <c r="NR979" s="166"/>
      <c r="NS979" s="166"/>
      <c r="NT979" s="166"/>
      <c r="NU979" s="166"/>
      <c r="NV979" s="166"/>
      <c r="NW979" s="166"/>
      <c r="NX979" s="166"/>
      <c r="NY979" s="166"/>
      <c r="NZ979" s="166"/>
      <c r="OA979" s="166"/>
      <c r="OB979" s="166"/>
      <c r="OC979" s="166"/>
      <c r="OD979" s="166"/>
      <c r="OE979" s="166"/>
      <c r="OF979" s="166"/>
      <c r="OG979" s="166"/>
      <c r="OH979" s="166"/>
      <c r="OI979" s="166"/>
      <c r="OJ979" s="166"/>
      <c r="OK979" s="166"/>
      <c r="OL979" s="166"/>
      <c r="OM979" s="166"/>
      <c r="ON979" s="166"/>
      <c r="OO979" s="166"/>
      <c r="OP979" s="166"/>
      <c r="OQ979" s="166"/>
      <c r="OR979" s="166"/>
      <c r="OS979" s="166"/>
      <c r="OT979" s="166"/>
      <c r="OU979" s="166"/>
      <c r="OV979" s="166"/>
      <c r="OW979" s="166"/>
      <c r="OX979" s="166"/>
      <c r="OY979" s="166"/>
      <c r="OZ979" s="166"/>
      <c r="PA979" s="166"/>
      <c r="PB979" s="166"/>
      <c r="PC979" s="166"/>
      <c r="PD979" s="166"/>
      <c r="PE979" s="166"/>
      <c r="PF979" s="166"/>
      <c r="PG979" s="166"/>
      <c r="PH979" s="166"/>
      <c r="PI979" s="166"/>
      <c r="PJ979" s="166"/>
      <c r="PK979" s="166"/>
      <c r="PL979" s="166"/>
      <c r="PM979" s="166"/>
      <c r="PN979" s="166"/>
      <c r="PO979" s="166"/>
      <c r="PP979" s="166"/>
      <c r="PQ979" s="166"/>
      <c r="PR979" s="166"/>
      <c r="PS979" s="166"/>
      <c r="PT979" s="166"/>
      <c r="PU979" s="166"/>
      <c r="PV979" s="166"/>
      <c r="PW979" s="166"/>
      <c r="PX979" s="166"/>
      <c r="PY979" s="166"/>
      <c r="PZ979" s="166"/>
      <c r="QA979" s="166"/>
      <c r="QB979" s="166"/>
      <c r="QC979" s="166"/>
      <c r="QD979" s="166"/>
      <c r="QE979" s="166"/>
      <c r="QF979" s="166"/>
      <c r="QG979" s="166"/>
      <c r="QH979" s="166"/>
      <c r="QI979" s="166"/>
      <c r="QJ979" s="166"/>
      <c r="QK979" s="166"/>
      <c r="QL979" s="166"/>
      <c r="QM979" s="166"/>
      <c r="QN979" s="166"/>
      <c r="QO979" s="166"/>
      <c r="QP979" s="166"/>
      <c r="QQ979" s="166"/>
      <c r="QR979" s="166"/>
      <c r="QS979" s="166"/>
      <c r="QT979" s="166"/>
      <c r="QU979" s="166"/>
      <c r="QV979" s="166"/>
      <c r="QW979" s="166"/>
      <c r="QX979" s="166"/>
      <c r="QY979" s="166"/>
      <c r="QZ979" s="166"/>
      <c r="RA979" s="166"/>
      <c r="RB979" s="166"/>
      <c r="RC979" s="166"/>
      <c r="RD979" s="166"/>
      <c r="RE979" s="166"/>
      <c r="RF979" s="166"/>
      <c r="RG979" s="166"/>
      <c r="RH979" s="166"/>
      <c r="RI979" s="166"/>
      <c r="RJ979" s="166"/>
      <c r="RK979" s="166"/>
      <c r="RL979" s="166"/>
      <c r="RM979" s="166"/>
      <c r="RN979" s="166"/>
      <c r="RO979" s="166"/>
      <c r="RP979" s="166"/>
      <c r="RQ979" s="166"/>
      <c r="RR979" s="166"/>
      <c r="RS979" s="166"/>
      <c r="RT979" s="166"/>
      <c r="RU979" s="166"/>
      <c r="RV979" s="166"/>
      <c r="RW979" s="166"/>
      <c r="RX979" s="166"/>
      <c r="RY979" s="166"/>
      <c r="RZ979" s="166"/>
      <c r="SA979" s="166"/>
      <c r="SB979" s="166"/>
      <c r="SC979" s="166"/>
      <c r="SD979" s="166"/>
      <c r="SE979" s="166"/>
      <c r="SF979" s="166"/>
      <c r="SG979" s="166"/>
      <c r="SH979" s="166"/>
      <c r="SI979" s="166"/>
      <c r="SJ979" s="166"/>
      <c r="SK979" s="166"/>
      <c r="SL979" s="166"/>
      <c r="SM979" s="166"/>
      <c r="SN979" s="166"/>
      <c r="SO979" s="166"/>
      <c r="SP979" s="166"/>
      <c r="SQ979" s="166"/>
      <c r="SR979" s="166"/>
      <c r="SS979" s="166"/>
      <c r="ST979" s="166"/>
      <c r="SU979" s="166"/>
      <c r="SV979" s="166"/>
      <c r="SW979" s="166"/>
      <c r="SX979" s="166"/>
      <c r="SY979" s="166"/>
      <c r="SZ979" s="166"/>
      <c r="TA979" s="166"/>
      <c r="TB979" s="166"/>
      <c r="TC979" s="166"/>
      <c r="TD979" s="166"/>
      <c r="TE979" s="166"/>
      <c r="TF979" s="166"/>
      <c r="TG979" s="166"/>
      <c r="TH979" s="166"/>
      <c r="TI979" s="166"/>
      <c r="TJ979" s="166"/>
      <c r="TK979" s="166"/>
      <c r="TL979" s="166"/>
      <c r="TM979" s="166"/>
      <c r="TN979" s="166"/>
      <c r="TO979" s="166"/>
      <c r="TP979" s="166"/>
      <c r="TQ979" s="166"/>
      <c r="TR979" s="166"/>
      <c r="TS979" s="166"/>
      <c r="TT979" s="166"/>
      <c r="TU979" s="166"/>
      <c r="TV979" s="166"/>
      <c r="TW979" s="166"/>
      <c r="TX979" s="166"/>
      <c r="TY979" s="166"/>
      <c r="TZ979" s="166"/>
      <c r="UA979" s="166"/>
      <c r="UB979" s="166"/>
      <c r="UC979" s="166"/>
      <c r="UD979" s="166"/>
      <c r="UE979" s="166"/>
      <c r="UF979" s="166"/>
      <c r="UG979" s="894"/>
    </row>
    <row r="980" spans="1:553" ht="317.25" customHeight="1">
      <c r="A980" s="356"/>
      <c r="B980" s="385"/>
      <c r="C980" s="384" t="s">
        <v>23</v>
      </c>
      <c r="D980" s="376" t="s">
        <v>70</v>
      </c>
      <c r="E980" s="376" t="s">
        <v>562</v>
      </c>
      <c r="F980" s="385">
        <v>1</v>
      </c>
      <c r="G980" s="386" t="s">
        <v>935</v>
      </c>
      <c r="H980" s="387">
        <v>492.9</v>
      </c>
      <c r="I980" s="490">
        <f t="shared" ref="I980:I982" si="147">H980</f>
        <v>492.9</v>
      </c>
      <c r="J980" s="368">
        <v>62000</v>
      </c>
      <c r="K980" s="684"/>
      <c r="L980" s="480">
        <f t="shared" si="146"/>
        <v>30559800</v>
      </c>
      <c r="M980" s="366"/>
      <c r="N980" s="366"/>
      <c r="O980" s="366"/>
      <c r="P980" s="366"/>
      <c r="Q980" s="761" t="s">
        <v>563</v>
      </c>
      <c r="R980" s="1536" t="s">
        <v>478</v>
      </c>
      <c r="S980" s="308"/>
      <c r="T980" s="308"/>
      <c r="U980" s="308"/>
      <c r="V980" s="308"/>
      <c r="W980" s="685">
        <f>I980</f>
        <v>492.9</v>
      </c>
      <c r="X980" s="308"/>
      <c r="Y980" s="308"/>
      <c r="Z980" s="604"/>
      <c r="AA980" s="308"/>
      <c r="AB980" s="308"/>
      <c r="AC980" s="373"/>
      <c r="AD980" s="373"/>
      <c r="AE980" s="373"/>
      <c r="AF980" s="373"/>
      <c r="AG980" s="373"/>
      <c r="AH980" s="373"/>
      <c r="AI980" s="373"/>
      <c r="AJ980" s="373"/>
      <c r="AK980" s="389"/>
      <c r="AL980" s="100"/>
      <c r="AM980" s="27"/>
      <c r="AN980" s="27"/>
      <c r="AO980" s="27"/>
      <c r="AP980" s="27"/>
      <c r="AQ980" s="27"/>
      <c r="AR980" s="27"/>
      <c r="AS980" s="22"/>
      <c r="AT980" s="22"/>
      <c r="AU980" s="22"/>
      <c r="AV980" s="22"/>
      <c r="AW980" s="22"/>
      <c r="AX980" s="22"/>
      <c r="AY980" s="22"/>
      <c r="AZ980" s="22"/>
      <c r="BA980" s="22"/>
      <c r="BB980" s="22"/>
      <c r="BC980" s="22"/>
      <c r="BD980" s="22"/>
      <c r="BE980" s="22"/>
      <c r="BF980" s="22"/>
      <c r="BG980" s="22"/>
      <c r="BH980" s="22"/>
      <c r="BI980" s="22"/>
      <c r="BJ980" s="22"/>
      <c r="BK980" s="22"/>
      <c r="BL980" s="22"/>
      <c r="BM980" s="22"/>
      <c r="BN980" s="22"/>
      <c r="BO980" s="22"/>
      <c r="BP980" s="22"/>
      <c r="BQ980" s="22"/>
      <c r="BR980" s="22"/>
      <c r="BS980" s="22"/>
      <c r="BT980" s="22"/>
      <c r="BU980" s="22"/>
      <c r="BV980" s="22"/>
      <c r="BW980" s="22"/>
      <c r="BX980" s="22"/>
      <c r="BY980" s="22"/>
      <c r="BZ980" s="22"/>
      <c r="CA980" s="22"/>
      <c r="CB980" s="22"/>
      <c r="CC980" s="22"/>
      <c r="CD980" s="22"/>
      <c r="CE980" s="22"/>
      <c r="CF980" s="22"/>
      <c r="CG980" s="22"/>
      <c r="CH980" s="22"/>
      <c r="CI980" s="22"/>
      <c r="CJ980" s="22"/>
      <c r="CK980" s="22"/>
      <c r="CL980" s="22"/>
      <c r="CM980" s="22"/>
      <c r="CN980" s="22"/>
      <c r="CO980" s="22"/>
      <c r="CP980" s="22"/>
      <c r="CQ980" s="22"/>
      <c r="CR980" s="22"/>
      <c r="CS980" s="22"/>
      <c r="CT980" s="22"/>
      <c r="CU980" s="22"/>
      <c r="CV980" s="22"/>
      <c r="CW980" s="22"/>
      <c r="CX980" s="22"/>
      <c r="CY980" s="22"/>
      <c r="CZ980" s="22"/>
      <c r="DA980" s="22"/>
      <c r="DB980" s="22"/>
      <c r="DC980" s="22"/>
      <c r="DD980" s="22"/>
      <c r="DE980" s="22"/>
      <c r="DF980" s="22"/>
      <c r="DG980" s="22"/>
      <c r="DH980" s="22"/>
      <c r="DI980" s="22"/>
      <c r="DJ980" s="22"/>
      <c r="DK980" s="22"/>
      <c r="DL980" s="22"/>
      <c r="DM980" s="22"/>
      <c r="DN980" s="22"/>
      <c r="DO980" s="22"/>
      <c r="DP980" s="22"/>
      <c r="DQ980" s="22"/>
      <c r="DR980" s="22"/>
      <c r="DS980" s="22"/>
      <c r="DT980" s="22"/>
      <c r="DU980" s="22"/>
      <c r="DV980" s="22"/>
      <c r="DW980" s="22"/>
      <c r="DX980" s="22"/>
      <c r="DY980" s="22"/>
      <c r="DZ980" s="22"/>
      <c r="EA980" s="22"/>
      <c r="EB980" s="22"/>
      <c r="EC980" s="22"/>
      <c r="ED980" s="22"/>
      <c r="EE980" s="22"/>
      <c r="EF980" s="22"/>
      <c r="EG980" s="22"/>
      <c r="EH980" s="22"/>
      <c r="EI980" s="22"/>
      <c r="EJ980" s="22"/>
      <c r="EK980" s="22"/>
      <c r="EL980" s="22"/>
      <c r="EM980" s="22"/>
      <c r="EN980" s="22"/>
      <c r="EO980" s="22"/>
      <c r="EP980" s="22"/>
      <c r="EQ980" s="22"/>
      <c r="ER980" s="22"/>
      <c r="ES980" s="22"/>
      <c r="ET980" s="22"/>
      <c r="EU980" s="22"/>
      <c r="EV980" s="22"/>
      <c r="EW980" s="22"/>
      <c r="EX980" s="22"/>
      <c r="EY980" s="22"/>
      <c r="EZ980" s="22"/>
      <c r="FA980" s="22"/>
      <c r="FB980" s="22"/>
      <c r="FC980" s="22"/>
      <c r="FD980" s="22"/>
      <c r="FE980" s="22"/>
      <c r="FF980" s="22"/>
      <c r="FG980" s="22"/>
      <c r="FH980" s="22"/>
      <c r="FI980" s="22"/>
      <c r="FJ980" s="22"/>
      <c r="FK980" s="22"/>
      <c r="FL980" s="22"/>
      <c r="FM980" s="22"/>
      <c r="FN980" s="22"/>
      <c r="FO980" s="22"/>
      <c r="FP980" s="22"/>
      <c r="FQ980" s="22"/>
      <c r="FR980" s="22"/>
      <c r="FS980" s="22"/>
      <c r="FT980" s="22"/>
      <c r="FU980" s="22"/>
      <c r="FV980" s="22"/>
      <c r="FW980" s="22"/>
      <c r="FX980" s="22"/>
      <c r="FY980" s="22"/>
      <c r="FZ980" s="22"/>
      <c r="GA980" s="22"/>
      <c r="GB980" s="22"/>
      <c r="GC980" s="22"/>
      <c r="GD980" s="22"/>
      <c r="GE980" s="22"/>
      <c r="GF980" s="22"/>
      <c r="GG980" s="22"/>
      <c r="GH980" s="22"/>
      <c r="GI980" s="22"/>
      <c r="GJ980" s="22"/>
      <c r="GK980" s="22"/>
      <c r="GL980" s="22"/>
      <c r="GM980" s="22"/>
      <c r="GN980" s="22"/>
      <c r="GO980" s="22"/>
      <c r="GP980" s="22"/>
      <c r="GQ980" s="22"/>
      <c r="GR980" s="22"/>
      <c r="GS980" s="22"/>
      <c r="GT980" s="22"/>
      <c r="GU980" s="22"/>
      <c r="GV980" s="22"/>
      <c r="GW980" s="22"/>
      <c r="GX980" s="22"/>
      <c r="GY980" s="22"/>
      <c r="GZ980" s="22"/>
      <c r="HA980" s="22"/>
      <c r="HB980" s="22"/>
      <c r="HC980" s="22"/>
      <c r="HD980" s="22"/>
      <c r="HE980" s="22"/>
      <c r="HF980" s="22"/>
      <c r="HG980" s="22"/>
      <c r="HH980" s="22"/>
      <c r="HI980" s="22"/>
      <c r="HJ980" s="22"/>
      <c r="HK980" s="22"/>
      <c r="HL980" s="22"/>
      <c r="HM980" s="22"/>
      <c r="HN980" s="22"/>
      <c r="HO980" s="22"/>
      <c r="HP980" s="22"/>
      <c r="HQ980" s="22"/>
      <c r="HR980" s="22"/>
      <c r="HS980" s="22"/>
      <c r="HT980" s="22"/>
      <c r="HU980" s="22"/>
      <c r="HV980" s="22"/>
      <c r="HW980" s="22"/>
      <c r="HX980" s="22"/>
      <c r="HY980" s="22"/>
      <c r="HZ980" s="22"/>
      <c r="IA980" s="22"/>
      <c r="IB980" s="22"/>
      <c r="IC980" s="22"/>
      <c r="ID980" s="22"/>
      <c r="IE980" s="22"/>
      <c r="IF980" s="22"/>
      <c r="IG980" s="22"/>
      <c r="IH980" s="22"/>
      <c r="II980" s="22"/>
      <c r="IJ980" s="22"/>
      <c r="IK980" s="22"/>
      <c r="IL980" s="22"/>
      <c r="IM980" s="22"/>
      <c r="IN980" s="22"/>
      <c r="IO980" s="22"/>
      <c r="IP980" s="22"/>
      <c r="IQ980" s="22"/>
      <c r="IR980" s="22"/>
      <c r="IS980" s="22"/>
      <c r="IT980" s="22"/>
      <c r="IU980" s="22"/>
      <c r="IV980" s="22"/>
      <c r="IW980" s="22"/>
      <c r="IX980" s="22"/>
      <c r="IY980" s="22"/>
      <c r="IZ980" s="22"/>
      <c r="JA980" s="22"/>
      <c r="JB980" s="22"/>
      <c r="JC980" s="22"/>
      <c r="JD980" s="22"/>
      <c r="JE980" s="22"/>
      <c r="JF980" s="22"/>
      <c r="JG980" s="22"/>
      <c r="JH980" s="22"/>
      <c r="JI980" s="22"/>
      <c r="JJ980" s="22"/>
      <c r="JK980" s="22"/>
      <c r="JL980" s="22"/>
      <c r="JM980" s="22"/>
      <c r="JN980" s="22"/>
      <c r="JO980" s="22"/>
      <c r="JP980" s="22"/>
      <c r="JQ980" s="22"/>
      <c r="JR980" s="22"/>
      <c r="JS980" s="22"/>
      <c r="JT980" s="22"/>
      <c r="JU980" s="22"/>
      <c r="JV980" s="22"/>
      <c r="JW980" s="22"/>
      <c r="JX980" s="22"/>
      <c r="JY980" s="22"/>
      <c r="JZ980" s="22"/>
      <c r="KA980" s="22"/>
      <c r="KB980" s="22"/>
      <c r="KC980" s="22"/>
      <c r="KD980" s="22"/>
      <c r="KE980" s="22"/>
      <c r="KF980" s="22"/>
      <c r="KG980" s="22"/>
      <c r="KH980" s="22"/>
      <c r="KI980" s="22"/>
      <c r="KJ980" s="22"/>
      <c r="KK980" s="22"/>
      <c r="KL980" s="22"/>
      <c r="KM980" s="22"/>
      <c r="KN980" s="22"/>
      <c r="KO980" s="22"/>
      <c r="KP980" s="22"/>
      <c r="KQ980" s="22"/>
      <c r="KR980" s="22"/>
      <c r="KS980" s="22"/>
      <c r="KT980" s="22"/>
      <c r="KU980" s="22"/>
      <c r="KV980" s="22"/>
      <c r="KW980" s="22"/>
      <c r="KX980" s="22"/>
      <c r="KY980" s="22"/>
      <c r="KZ980" s="22"/>
      <c r="LA980" s="22"/>
      <c r="LB980" s="22"/>
      <c r="LC980" s="22"/>
      <c r="LD980" s="22"/>
      <c r="LE980" s="22"/>
      <c r="LF980" s="22"/>
      <c r="LG980" s="22"/>
      <c r="LH980" s="22"/>
      <c r="LI980" s="22"/>
      <c r="LJ980" s="22"/>
      <c r="LK980" s="22"/>
      <c r="LL980" s="22"/>
      <c r="LM980" s="22"/>
      <c r="LN980" s="22"/>
      <c r="LO980" s="22"/>
      <c r="LP980" s="22"/>
      <c r="LQ980" s="22"/>
      <c r="LR980" s="22"/>
      <c r="LS980" s="22"/>
      <c r="LT980" s="22"/>
      <c r="LU980" s="22"/>
      <c r="LV980" s="22"/>
      <c r="LW980" s="22"/>
      <c r="LX980" s="22"/>
      <c r="LY980" s="22"/>
      <c r="LZ980" s="22"/>
      <c r="MA980" s="22"/>
      <c r="MB980" s="22"/>
      <c r="MC980" s="22"/>
      <c r="MD980" s="22"/>
      <c r="ME980" s="22"/>
      <c r="MF980" s="22"/>
      <c r="MG980" s="22"/>
      <c r="MH980" s="22"/>
      <c r="MI980" s="22"/>
      <c r="MJ980" s="22"/>
      <c r="MK980" s="22"/>
      <c r="ML980" s="22"/>
      <c r="MM980" s="22"/>
      <c r="MN980" s="22"/>
      <c r="MO980" s="22"/>
      <c r="MP980" s="22"/>
      <c r="MQ980" s="22"/>
      <c r="MR980" s="22"/>
      <c r="MS980" s="22"/>
      <c r="MT980" s="22"/>
      <c r="MU980" s="22"/>
      <c r="MV980" s="22"/>
      <c r="MW980" s="22"/>
      <c r="MX980" s="22"/>
      <c r="MY980" s="22"/>
      <c r="MZ980" s="22"/>
      <c r="NA980" s="22"/>
      <c r="NB980" s="22"/>
      <c r="NC980" s="22"/>
      <c r="ND980" s="22"/>
      <c r="NE980" s="22"/>
      <c r="NF980" s="22"/>
      <c r="NG980" s="22"/>
      <c r="NH980" s="22"/>
      <c r="NI980" s="22"/>
      <c r="NJ980" s="22"/>
      <c r="NK980" s="22"/>
      <c r="NL980" s="22"/>
      <c r="NM980" s="22"/>
      <c r="NN980" s="22"/>
      <c r="NO980" s="22"/>
      <c r="NP980" s="22"/>
      <c r="NQ980" s="22"/>
      <c r="NR980" s="22"/>
      <c r="NS980" s="22"/>
      <c r="NT980" s="22"/>
      <c r="NU980" s="22"/>
      <c r="NV980" s="22"/>
      <c r="NW980" s="22"/>
      <c r="NX980" s="22"/>
      <c r="NY980" s="22"/>
      <c r="NZ980" s="22"/>
      <c r="OA980" s="22"/>
      <c r="OB980" s="22"/>
      <c r="OC980" s="22"/>
      <c r="OD980" s="22"/>
      <c r="OE980" s="22"/>
      <c r="OF980" s="22"/>
      <c r="OG980" s="22"/>
      <c r="OH980" s="22"/>
      <c r="OI980" s="22"/>
      <c r="OJ980" s="22"/>
      <c r="OK980" s="22"/>
      <c r="OL980" s="22"/>
      <c r="OM980" s="22"/>
      <c r="ON980" s="22"/>
      <c r="OO980" s="22"/>
      <c r="OP980" s="22"/>
      <c r="OQ980" s="22"/>
      <c r="OR980" s="22"/>
      <c r="OS980" s="22"/>
      <c r="OT980" s="22"/>
      <c r="OU980" s="22"/>
      <c r="OV980" s="22"/>
      <c r="OW980" s="22"/>
      <c r="OX980" s="22"/>
      <c r="OY980" s="22"/>
      <c r="OZ980" s="22"/>
      <c r="PA980" s="22"/>
      <c r="PB980" s="22"/>
      <c r="PC980" s="22"/>
      <c r="PD980" s="22"/>
      <c r="PE980" s="22"/>
      <c r="PF980" s="22"/>
      <c r="PG980" s="22"/>
      <c r="PH980" s="22"/>
      <c r="PI980" s="22"/>
      <c r="PJ980" s="22"/>
      <c r="PK980" s="22"/>
      <c r="PL980" s="22"/>
      <c r="PM980" s="22"/>
      <c r="PN980" s="22"/>
      <c r="PO980" s="22"/>
      <c r="PP980" s="22"/>
      <c r="PQ980" s="22"/>
      <c r="PR980" s="22"/>
      <c r="PS980" s="22"/>
      <c r="PT980" s="22"/>
      <c r="PU980" s="22"/>
      <c r="PV980" s="22"/>
      <c r="PW980" s="22"/>
      <c r="PX980" s="22"/>
      <c r="PY980" s="22"/>
      <c r="PZ980" s="22"/>
      <c r="QA980" s="22"/>
      <c r="QB980" s="22"/>
      <c r="QC980" s="22"/>
      <c r="QD980" s="22"/>
      <c r="QE980" s="22"/>
      <c r="QF980" s="22"/>
      <c r="QG980" s="22"/>
      <c r="QH980" s="22"/>
      <c r="QI980" s="22"/>
      <c r="QJ980" s="22"/>
      <c r="QK980" s="22"/>
      <c r="QL980" s="22"/>
      <c r="QM980" s="22"/>
      <c r="QN980" s="22"/>
      <c r="QO980" s="22"/>
      <c r="QP980" s="22"/>
      <c r="QQ980" s="22"/>
      <c r="QR980" s="22"/>
      <c r="QS980" s="22"/>
      <c r="QT980" s="22"/>
      <c r="QU980" s="22"/>
      <c r="QV980" s="22"/>
      <c r="QW980" s="22"/>
      <c r="QX980" s="22"/>
      <c r="QY980" s="22"/>
      <c r="QZ980" s="22"/>
      <c r="RA980" s="22"/>
      <c r="RB980" s="22"/>
      <c r="RC980" s="22"/>
      <c r="RD980" s="22"/>
      <c r="RE980" s="22"/>
      <c r="RF980" s="22"/>
      <c r="RG980" s="22"/>
      <c r="RH980" s="22"/>
      <c r="RI980" s="22"/>
      <c r="RJ980" s="22"/>
      <c r="RK980" s="22"/>
      <c r="RL980" s="22"/>
      <c r="RM980" s="22"/>
      <c r="RN980" s="22"/>
      <c r="RO980" s="22"/>
      <c r="RP980" s="22"/>
      <c r="RQ980" s="22"/>
      <c r="RR980" s="22"/>
      <c r="RS980" s="22"/>
      <c r="RT980" s="22"/>
      <c r="RU980" s="22"/>
      <c r="RV980" s="22"/>
      <c r="RW980" s="22"/>
      <c r="RX980" s="22"/>
      <c r="RY980" s="22"/>
      <c r="RZ980" s="22"/>
      <c r="SA980" s="22"/>
      <c r="SB980" s="22"/>
      <c r="SC980" s="22"/>
      <c r="SD980" s="22"/>
      <c r="SE980" s="22"/>
      <c r="SF980" s="22"/>
      <c r="SG980" s="22"/>
      <c r="SH980" s="22"/>
      <c r="SI980" s="22"/>
      <c r="SJ980" s="22"/>
      <c r="SK980" s="22"/>
      <c r="SL980" s="22"/>
      <c r="SM980" s="22"/>
      <c r="SN980" s="22"/>
      <c r="SO980" s="22"/>
      <c r="SP980" s="22"/>
      <c r="SQ980" s="22"/>
      <c r="SR980" s="22"/>
      <c r="SS980" s="22"/>
      <c r="ST980" s="22"/>
      <c r="SU980" s="22"/>
      <c r="SV980" s="22"/>
      <c r="SW980" s="22"/>
      <c r="SX980" s="22"/>
      <c r="SY980" s="22"/>
      <c r="SZ980" s="22"/>
      <c r="TA980" s="22"/>
      <c r="TB980" s="22"/>
      <c r="TC980" s="22"/>
      <c r="TD980" s="22"/>
      <c r="TE980" s="22"/>
      <c r="TF980" s="22"/>
      <c r="TG980" s="22"/>
      <c r="TH980" s="22"/>
      <c r="TI980" s="22"/>
      <c r="TJ980" s="22"/>
      <c r="TK980" s="22"/>
      <c r="TL980" s="22"/>
      <c r="TM980" s="22"/>
      <c r="TN980" s="22"/>
      <c r="TO980" s="22"/>
      <c r="TP980" s="22"/>
      <c r="TQ980" s="22"/>
      <c r="TR980" s="22"/>
      <c r="TS980" s="22"/>
      <c r="TT980" s="22"/>
      <c r="TU980" s="22"/>
      <c r="TV980" s="22"/>
      <c r="TW980" s="22"/>
      <c r="TX980" s="22"/>
      <c r="TY980" s="22"/>
      <c r="TZ980" s="22"/>
      <c r="UA980" s="22"/>
      <c r="UB980" s="22"/>
      <c r="UC980" s="22"/>
      <c r="UD980" s="22"/>
      <c r="UE980" s="22"/>
      <c r="UF980" s="22"/>
      <c r="UG980" s="23"/>
    </row>
    <row r="981" spans="1:553" ht="299.25" customHeight="1">
      <c r="A981" s="356"/>
      <c r="B981" s="385"/>
      <c r="C981" s="384" t="s">
        <v>23</v>
      </c>
      <c r="D981" s="376" t="s">
        <v>70</v>
      </c>
      <c r="E981" s="376" t="s">
        <v>226</v>
      </c>
      <c r="F981" s="385">
        <v>1</v>
      </c>
      <c r="G981" s="386" t="s">
        <v>935</v>
      </c>
      <c r="H981" s="387">
        <v>227.1</v>
      </c>
      <c r="I981" s="490">
        <f t="shared" si="147"/>
        <v>227.1</v>
      </c>
      <c r="J981" s="368">
        <v>62000</v>
      </c>
      <c r="K981" s="684"/>
      <c r="L981" s="480">
        <f t="shared" si="146"/>
        <v>14080200</v>
      </c>
      <c r="M981" s="366"/>
      <c r="N981" s="366"/>
      <c r="O981" s="366"/>
      <c r="P981" s="366"/>
      <c r="Q981" s="761" t="s">
        <v>564</v>
      </c>
      <c r="R981" s="1452"/>
      <c r="S981" s="308"/>
      <c r="T981" s="308"/>
      <c r="U981" s="308"/>
      <c r="V981" s="308"/>
      <c r="W981" s="685">
        <f>I981</f>
        <v>227.1</v>
      </c>
      <c r="X981" s="308"/>
      <c r="Y981" s="308"/>
      <c r="Z981" s="604"/>
      <c r="AA981" s="308"/>
      <c r="AB981" s="308"/>
      <c r="AC981" s="373"/>
      <c r="AD981" s="373"/>
      <c r="AE981" s="373"/>
      <c r="AF981" s="373"/>
      <c r="AG981" s="373"/>
      <c r="AH981" s="373"/>
      <c r="AI981" s="373"/>
      <c r="AJ981" s="373"/>
      <c r="AK981" s="389"/>
      <c r="AL981" s="100"/>
      <c r="AM981" s="27"/>
      <c r="AN981" s="27"/>
      <c r="AO981" s="27"/>
      <c r="AP981" s="27"/>
      <c r="AQ981" s="27"/>
      <c r="AR981" s="27"/>
      <c r="AS981" s="22"/>
      <c r="AT981" s="22"/>
      <c r="AU981" s="22"/>
      <c r="AV981" s="22"/>
      <c r="AW981" s="22"/>
      <c r="AX981" s="22"/>
      <c r="AY981" s="22"/>
      <c r="AZ981" s="22"/>
      <c r="BA981" s="22"/>
      <c r="BB981" s="22"/>
      <c r="BC981" s="22"/>
      <c r="BD981" s="22"/>
      <c r="BE981" s="22"/>
      <c r="BF981" s="22"/>
      <c r="BG981" s="22"/>
      <c r="BH981" s="22"/>
      <c r="BI981" s="22"/>
      <c r="BJ981" s="22"/>
      <c r="BK981" s="22"/>
      <c r="BL981" s="22"/>
      <c r="BM981" s="22"/>
      <c r="BN981" s="22"/>
      <c r="BO981" s="22"/>
      <c r="BP981" s="22"/>
      <c r="BQ981" s="22"/>
      <c r="BR981" s="22"/>
      <c r="BS981" s="22"/>
      <c r="BT981" s="22"/>
      <c r="BU981" s="22"/>
      <c r="BV981" s="22"/>
      <c r="BW981" s="22"/>
      <c r="BX981" s="22"/>
      <c r="BY981" s="22"/>
      <c r="BZ981" s="22"/>
      <c r="CA981" s="22"/>
      <c r="CB981" s="22"/>
      <c r="CC981" s="22"/>
      <c r="CD981" s="22"/>
      <c r="CE981" s="22"/>
      <c r="CF981" s="22"/>
      <c r="CG981" s="22"/>
      <c r="CH981" s="22"/>
      <c r="CI981" s="22"/>
      <c r="CJ981" s="22"/>
      <c r="CK981" s="22"/>
      <c r="CL981" s="22"/>
      <c r="CM981" s="22"/>
      <c r="CN981" s="22"/>
      <c r="CO981" s="22"/>
      <c r="CP981" s="22"/>
      <c r="CQ981" s="22"/>
      <c r="CR981" s="22"/>
      <c r="CS981" s="22"/>
      <c r="CT981" s="22"/>
      <c r="CU981" s="22"/>
      <c r="CV981" s="22"/>
      <c r="CW981" s="22"/>
      <c r="CX981" s="22"/>
      <c r="CY981" s="22"/>
      <c r="CZ981" s="22"/>
      <c r="DA981" s="22"/>
      <c r="DB981" s="22"/>
      <c r="DC981" s="22"/>
      <c r="DD981" s="22"/>
      <c r="DE981" s="22"/>
      <c r="DF981" s="22"/>
      <c r="DG981" s="22"/>
      <c r="DH981" s="22"/>
      <c r="DI981" s="22"/>
      <c r="DJ981" s="22"/>
      <c r="DK981" s="22"/>
      <c r="DL981" s="22"/>
      <c r="DM981" s="22"/>
      <c r="DN981" s="22"/>
      <c r="DO981" s="22"/>
      <c r="DP981" s="22"/>
      <c r="DQ981" s="22"/>
      <c r="DR981" s="22"/>
      <c r="DS981" s="22"/>
      <c r="DT981" s="22"/>
      <c r="DU981" s="22"/>
      <c r="DV981" s="22"/>
      <c r="DW981" s="22"/>
      <c r="DX981" s="22"/>
      <c r="DY981" s="22"/>
      <c r="DZ981" s="22"/>
      <c r="EA981" s="22"/>
      <c r="EB981" s="22"/>
      <c r="EC981" s="22"/>
      <c r="ED981" s="22"/>
      <c r="EE981" s="22"/>
      <c r="EF981" s="22"/>
      <c r="EG981" s="22"/>
      <c r="EH981" s="22"/>
      <c r="EI981" s="22"/>
      <c r="EJ981" s="22"/>
      <c r="EK981" s="22"/>
      <c r="EL981" s="22"/>
      <c r="EM981" s="22"/>
      <c r="EN981" s="22"/>
      <c r="EO981" s="22"/>
      <c r="EP981" s="22"/>
      <c r="EQ981" s="22"/>
      <c r="ER981" s="22"/>
      <c r="ES981" s="22"/>
      <c r="ET981" s="22"/>
      <c r="EU981" s="22"/>
      <c r="EV981" s="22"/>
      <c r="EW981" s="22"/>
      <c r="EX981" s="22"/>
      <c r="EY981" s="22"/>
      <c r="EZ981" s="22"/>
      <c r="FA981" s="22"/>
      <c r="FB981" s="22"/>
      <c r="FC981" s="22"/>
      <c r="FD981" s="22"/>
      <c r="FE981" s="22"/>
      <c r="FF981" s="22"/>
      <c r="FG981" s="22"/>
      <c r="FH981" s="22"/>
      <c r="FI981" s="22"/>
      <c r="FJ981" s="22"/>
      <c r="FK981" s="22"/>
      <c r="FL981" s="22"/>
      <c r="FM981" s="22"/>
      <c r="FN981" s="22"/>
      <c r="FO981" s="22"/>
      <c r="FP981" s="22"/>
      <c r="FQ981" s="22"/>
      <c r="FR981" s="22"/>
      <c r="FS981" s="22"/>
      <c r="FT981" s="22"/>
      <c r="FU981" s="22"/>
      <c r="FV981" s="22"/>
      <c r="FW981" s="22"/>
      <c r="FX981" s="22"/>
      <c r="FY981" s="22"/>
      <c r="FZ981" s="22"/>
      <c r="GA981" s="22"/>
      <c r="GB981" s="22"/>
      <c r="GC981" s="22"/>
      <c r="GD981" s="22"/>
      <c r="GE981" s="22"/>
      <c r="GF981" s="22"/>
      <c r="GG981" s="22"/>
      <c r="GH981" s="22"/>
      <c r="GI981" s="22"/>
      <c r="GJ981" s="22"/>
      <c r="GK981" s="22"/>
      <c r="GL981" s="22"/>
      <c r="GM981" s="22"/>
      <c r="GN981" s="22"/>
      <c r="GO981" s="22"/>
      <c r="GP981" s="22"/>
      <c r="GQ981" s="22"/>
      <c r="GR981" s="22"/>
      <c r="GS981" s="22"/>
      <c r="GT981" s="22"/>
      <c r="GU981" s="22"/>
      <c r="GV981" s="22"/>
      <c r="GW981" s="22"/>
      <c r="GX981" s="22"/>
      <c r="GY981" s="22"/>
      <c r="GZ981" s="22"/>
      <c r="HA981" s="22"/>
      <c r="HB981" s="22"/>
      <c r="HC981" s="22"/>
      <c r="HD981" s="22"/>
      <c r="HE981" s="22"/>
      <c r="HF981" s="22"/>
      <c r="HG981" s="22"/>
      <c r="HH981" s="22"/>
      <c r="HI981" s="22"/>
      <c r="HJ981" s="22"/>
      <c r="HK981" s="22"/>
      <c r="HL981" s="22"/>
      <c r="HM981" s="22"/>
      <c r="HN981" s="22"/>
      <c r="HO981" s="22"/>
      <c r="HP981" s="22"/>
      <c r="HQ981" s="22"/>
      <c r="HR981" s="22"/>
      <c r="HS981" s="22"/>
      <c r="HT981" s="22"/>
      <c r="HU981" s="22"/>
      <c r="HV981" s="22"/>
      <c r="HW981" s="22"/>
      <c r="HX981" s="22"/>
      <c r="HY981" s="22"/>
      <c r="HZ981" s="22"/>
      <c r="IA981" s="22"/>
      <c r="IB981" s="22"/>
      <c r="IC981" s="22"/>
      <c r="ID981" s="22"/>
      <c r="IE981" s="22"/>
      <c r="IF981" s="22"/>
      <c r="IG981" s="22"/>
      <c r="IH981" s="22"/>
      <c r="II981" s="22"/>
      <c r="IJ981" s="22"/>
      <c r="IK981" s="22"/>
      <c r="IL981" s="22"/>
      <c r="IM981" s="22"/>
      <c r="IN981" s="22"/>
      <c r="IO981" s="22"/>
      <c r="IP981" s="22"/>
      <c r="IQ981" s="22"/>
      <c r="IR981" s="22"/>
      <c r="IS981" s="22"/>
      <c r="IT981" s="22"/>
      <c r="IU981" s="22"/>
      <c r="IV981" s="22"/>
      <c r="IW981" s="22"/>
      <c r="IX981" s="22"/>
      <c r="IY981" s="22"/>
      <c r="IZ981" s="22"/>
      <c r="JA981" s="22"/>
      <c r="JB981" s="22"/>
      <c r="JC981" s="22"/>
      <c r="JD981" s="22"/>
      <c r="JE981" s="22"/>
      <c r="JF981" s="22"/>
      <c r="JG981" s="22"/>
      <c r="JH981" s="22"/>
      <c r="JI981" s="22"/>
      <c r="JJ981" s="22"/>
      <c r="JK981" s="22"/>
      <c r="JL981" s="22"/>
      <c r="JM981" s="22"/>
      <c r="JN981" s="22"/>
      <c r="JO981" s="22"/>
      <c r="JP981" s="22"/>
      <c r="JQ981" s="22"/>
      <c r="JR981" s="22"/>
      <c r="JS981" s="22"/>
      <c r="JT981" s="22"/>
      <c r="JU981" s="22"/>
      <c r="JV981" s="22"/>
      <c r="JW981" s="22"/>
      <c r="JX981" s="22"/>
      <c r="JY981" s="22"/>
      <c r="JZ981" s="22"/>
      <c r="KA981" s="22"/>
      <c r="KB981" s="22"/>
      <c r="KC981" s="22"/>
      <c r="KD981" s="22"/>
      <c r="KE981" s="22"/>
      <c r="KF981" s="22"/>
      <c r="KG981" s="22"/>
      <c r="KH981" s="22"/>
      <c r="KI981" s="22"/>
      <c r="KJ981" s="22"/>
      <c r="KK981" s="22"/>
      <c r="KL981" s="22"/>
      <c r="KM981" s="22"/>
      <c r="KN981" s="22"/>
      <c r="KO981" s="22"/>
      <c r="KP981" s="22"/>
      <c r="KQ981" s="22"/>
      <c r="KR981" s="22"/>
      <c r="KS981" s="22"/>
      <c r="KT981" s="22"/>
      <c r="KU981" s="22"/>
      <c r="KV981" s="22"/>
      <c r="KW981" s="22"/>
      <c r="KX981" s="22"/>
      <c r="KY981" s="22"/>
      <c r="KZ981" s="22"/>
      <c r="LA981" s="22"/>
      <c r="LB981" s="22"/>
      <c r="LC981" s="22"/>
      <c r="LD981" s="22"/>
      <c r="LE981" s="22"/>
      <c r="LF981" s="22"/>
      <c r="LG981" s="22"/>
      <c r="LH981" s="22"/>
      <c r="LI981" s="22"/>
      <c r="LJ981" s="22"/>
      <c r="LK981" s="22"/>
      <c r="LL981" s="22"/>
      <c r="LM981" s="22"/>
      <c r="LN981" s="22"/>
      <c r="LO981" s="22"/>
      <c r="LP981" s="22"/>
      <c r="LQ981" s="22"/>
      <c r="LR981" s="22"/>
      <c r="LS981" s="22"/>
      <c r="LT981" s="22"/>
      <c r="LU981" s="22"/>
      <c r="LV981" s="22"/>
      <c r="LW981" s="22"/>
      <c r="LX981" s="22"/>
      <c r="LY981" s="22"/>
      <c r="LZ981" s="22"/>
      <c r="MA981" s="22"/>
      <c r="MB981" s="22"/>
      <c r="MC981" s="22"/>
      <c r="MD981" s="22"/>
      <c r="ME981" s="22"/>
      <c r="MF981" s="22"/>
      <c r="MG981" s="22"/>
      <c r="MH981" s="22"/>
      <c r="MI981" s="22"/>
      <c r="MJ981" s="22"/>
      <c r="MK981" s="22"/>
      <c r="ML981" s="22"/>
      <c r="MM981" s="22"/>
      <c r="MN981" s="22"/>
      <c r="MO981" s="22"/>
      <c r="MP981" s="22"/>
      <c r="MQ981" s="22"/>
      <c r="MR981" s="22"/>
      <c r="MS981" s="22"/>
      <c r="MT981" s="22"/>
      <c r="MU981" s="22"/>
      <c r="MV981" s="22"/>
      <c r="MW981" s="22"/>
      <c r="MX981" s="22"/>
      <c r="MY981" s="22"/>
      <c r="MZ981" s="22"/>
      <c r="NA981" s="22"/>
      <c r="NB981" s="22"/>
      <c r="NC981" s="22"/>
      <c r="ND981" s="22"/>
      <c r="NE981" s="22"/>
      <c r="NF981" s="22"/>
      <c r="NG981" s="22"/>
      <c r="NH981" s="22"/>
      <c r="NI981" s="22"/>
      <c r="NJ981" s="22"/>
      <c r="NK981" s="22"/>
      <c r="NL981" s="22"/>
      <c r="NM981" s="22"/>
      <c r="NN981" s="22"/>
      <c r="NO981" s="22"/>
      <c r="NP981" s="22"/>
      <c r="NQ981" s="22"/>
      <c r="NR981" s="22"/>
      <c r="NS981" s="22"/>
      <c r="NT981" s="22"/>
      <c r="NU981" s="22"/>
      <c r="NV981" s="22"/>
      <c r="NW981" s="22"/>
      <c r="NX981" s="22"/>
      <c r="NY981" s="22"/>
      <c r="NZ981" s="22"/>
      <c r="OA981" s="22"/>
      <c r="OB981" s="22"/>
      <c r="OC981" s="22"/>
      <c r="OD981" s="22"/>
      <c r="OE981" s="22"/>
      <c r="OF981" s="22"/>
      <c r="OG981" s="22"/>
      <c r="OH981" s="22"/>
      <c r="OI981" s="22"/>
      <c r="OJ981" s="22"/>
      <c r="OK981" s="22"/>
      <c r="OL981" s="22"/>
      <c r="OM981" s="22"/>
      <c r="ON981" s="22"/>
      <c r="OO981" s="22"/>
      <c r="OP981" s="22"/>
      <c r="OQ981" s="22"/>
      <c r="OR981" s="22"/>
      <c r="OS981" s="22"/>
      <c r="OT981" s="22"/>
      <c r="OU981" s="22"/>
      <c r="OV981" s="22"/>
      <c r="OW981" s="22"/>
      <c r="OX981" s="22"/>
      <c r="OY981" s="22"/>
      <c r="OZ981" s="22"/>
      <c r="PA981" s="22"/>
      <c r="PB981" s="22"/>
      <c r="PC981" s="22"/>
      <c r="PD981" s="22"/>
      <c r="PE981" s="22"/>
      <c r="PF981" s="22"/>
      <c r="PG981" s="22"/>
      <c r="PH981" s="22"/>
      <c r="PI981" s="22"/>
      <c r="PJ981" s="22"/>
      <c r="PK981" s="22"/>
      <c r="PL981" s="22"/>
      <c r="PM981" s="22"/>
      <c r="PN981" s="22"/>
      <c r="PO981" s="22"/>
      <c r="PP981" s="22"/>
      <c r="PQ981" s="22"/>
      <c r="PR981" s="22"/>
      <c r="PS981" s="22"/>
      <c r="PT981" s="22"/>
      <c r="PU981" s="22"/>
      <c r="PV981" s="22"/>
      <c r="PW981" s="22"/>
      <c r="PX981" s="22"/>
      <c r="PY981" s="22"/>
      <c r="PZ981" s="22"/>
      <c r="QA981" s="22"/>
      <c r="QB981" s="22"/>
      <c r="QC981" s="22"/>
      <c r="QD981" s="22"/>
      <c r="QE981" s="22"/>
      <c r="QF981" s="22"/>
      <c r="QG981" s="22"/>
      <c r="QH981" s="22"/>
      <c r="QI981" s="22"/>
      <c r="QJ981" s="22"/>
      <c r="QK981" s="22"/>
      <c r="QL981" s="22"/>
      <c r="QM981" s="22"/>
      <c r="QN981" s="22"/>
      <c r="QO981" s="22"/>
      <c r="QP981" s="22"/>
      <c r="QQ981" s="22"/>
      <c r="QR981" s="22"/>
      <c r="QS981" s="22"/>
      <c r="QT981" s="22"/>
      <c r="QU981" s="22"/>
      <c r="QV981" s="22"/>
      <c r="QW981" s="22"/>
      <c r="QX981" s="22"/>
      <c r="QY981" s="22"/>
      <c r="QZ981" s="22"/>
      <c r="RA981" s="22"/>
      <c r="RB981" s="22"/>
      <c r="RC981" s="22"/>
      <c r="RD981" s="22"/>
      <c r="RE981" s="22"/>
      <c r="RF981" s="22"/>
      <c r="RG981" s="22"/>
      <c r="RH981" s="22"/>
      <c r="RI981" s="22"/>
      <c r="RJ981" s="22"/>
      <c r="RK981" s="22"/>
      <c r="RL981" s="22"/>
      <c r="RM981" s="22"/>
      <c r="RN981" s="22"/>
      <c r="RO981" s="22"/>
      <c r="RP981" s="22"/>
      <c r="RQ981" s="22"/>
      <c r="RR981" s="22"/>
      <c r="RS981" s="22"/>
      <c r="RT981" s="22"/>
      <c r="RU981" s="22"/>
      <c r="RV981" s="22"/>
      <c r="RW981" s="22"/>
      <c r="RX981" s="22"/>
      <c r="RY981" s="22"/>
      <c r="RZ981" s="22"/>
      <c r="SA981" s="22"/>
      <c r="SB981" s="22"/>
      <c r="SC981" s="22"/>
      <c r="SD981" s="22"/>
      <c r="SE981" s="22"/>
      <c r="SF981" s="22"/>
      <c r="SG981" s="22"/>
      <c r="SH981" s="22"/>
      <c r="SI981" s="22"/>
      <c r="SJ981" s="22"/>
      <c r="SK981" s="22"/>
      <c r="SL981" s="22"/>
      <c r="SM981" s="22"/>
      <c r="SN981" s="22"/>
      <c r="SO981" s="22"/>
      <c r="SP981" s="22"/>
      <c r="SQ981" s="22"/>
      <c r="SR981" s="22"/>
      <c r="SS981" s="22"/>
      <c r="ST981" s="22"/>
      <c r="SU981" s="22"/>
      <c r="SV981" s="22"/>
      <c r="SW981" s="22"/>
      <c r="SX981" s="22"/>
      <c r="SY981" s="22"/>
      <c r="SZ981" s="22"/>
      <c r="TA981" s="22"/>
      <c r="TB981" s="22"/>
      <c r="TC981" s="22"/>
      <c r="TD981" s="22"/>
      <c r="TE981" s="22"/>
      <c r="TF981" s="22"/>
      <c r="TG981" s="22"/>
      <c r="TH981" s="22"/>
      <c r="TI981" s="22"/>
      <c r="TJ981" s="22"/>
      <c r="TK981" s="22"/>
      <c r="TL981" s="22"/>
      <c r="TM981" s="22"/>
      <c r="TN981" s="22"/>
      <c r="TO981" s="22"/>
      <c r="TP981" s="22"/>
      <c r="TQ981" s="22"/>
      <c r="TR981" s="22"/>
      <c r="TS981" s="22"/>
      <c r="TT981" s="22"/>
      <c r="TU981" s="22"/>
      <c r="TV981" s="22"/>
      <c r="TW981" s="22"/>
      <c r="TX981" s="22"/>
      <c r="TY981" s="22"/>
      <c r="TZ981" s="22"/>
      <c r="UA981" s="22"/>
      <c r="UB981" s="22"/>
      <c r="UC981" s="22"/>
      <c r="UD981" s="22"/>
      <c r="UE981" s="22"/>
      <c r="UF981" s="22"/>
      <c r="UG981" s="23"/>
    </row>
    <row r="982" spans="1:553" ht="273.75" customHeight="1">
      <c r="A982" s="356"/>
      <c r="B982" s="385"/>
      <c r="C982" s="384" t="s">
        <v>23</v>
      </c>
      <c r="D982" s="376" t="s">
        <v>20</v>
      </c>
      <c r="E982" s="376" t="s">
        <v>565</v>
      </c>
      <c r="F982" s="385">
        <v>1</v>
      </c>
      <c r="G982" s="386" t="s">
        <v>935</v>
      </c>
      <c r="H982" s="387">
        <v>414.9</v>
      </c>
      <c r="I982" s="490">
        <f t="shared" si="147"/>
        <v>414.9</v>
      </c>
      <c r="J982" s="368">
        <v>62000</v>
      </c>
      <c r="K982" s="684"/>
      <c r="L982" s="480">
        <f t="shared" si="146"/>
        <v>25723800</v>
      </c>
      <c r="M982" s="366"/>
      <c r="N982" s="366"/>
      <c r="O982" s="366"/>
      <c r="P982" s="366"/>
      <c r="Q982" s="761" t="s">
        <v>566</v>
      </c>
      <c r="R982" s="1452"/>
      <c r="S982" s="308"/>
      <c r="T982" s="308"/>
      <c r="U982" s="308"/>
      <c r="V982" s="308"/>
      <c r="W982" s="685">
        <f>I982</f>
        <v>414.9</v>
      </c>
      <c r="X982" s="308"/>
      <c r="Y982" s="308"/>
      <c r="Z982" s="604"/>
      <c r="AA982" s="308"/>
      <c r="AB982" s="308"/>
      <c r="AC982" s="373"/>
      <c r="AD982" s="373"/>
      <c r="AE982" s="373"/>
      <c r="AF982" s="373"/>
      <c r="AG982" s="373"/>
      <c r="AH982" s="373"/>
      <c r="AI982" s="373"/>
      <c r="AJ982" s="373"/>
      <c r="AK982" s="389"/>
      <c r="AL982" s="100"/>
      <c r="AM982" s="27"/>
      <c r="AN982" s="27"/>
      <c r="AO982" s="27"/>
      <c r="AP982" s="27"/>
      <c r="AQ982" s="27"/>
      <c r="AR982" s="27"/>
      <c r="AS982" s="22"/>
      <c r="AT982" s="22"/>
      <c r="AU982" s="22"/>
      <c r="AV982" s="22"/>
      <c r="AW982" s="22"/>
      <c r="AX982" s="22"/>
      <c r="AY982" s="22"/>
      <c r="AZ982" s="22"/>
      <c r="BA982" s="22"/>
      <c r="BB982" s="22"/>
      <c r="BC982" s="22"/>
      <c r="BD982" s="22"/>
      <c r="BE982" s="22"/>
      <c r="BF982" s="22"/>
      <c r="BG982" s="22"/>
      <c r="BH982" s="22"/>
      <c r="BI982" s="22"/>
      <c r="BJ982" s="22"/>
      <c r="BK982" s="22"/>
      <c r="BL982" s="22"/>
      <c r="BM982" s="22"/>
      <c r="BN982" s="22"/>
      <c r="BO982" s="22"/>
      <c r="BP982" s="22"/>
      <c r="BQ982" s="22"/>
      <c r="BR982" s="22"/>
      <c r="BS982" s="22"/>
      <c r="BT982" s="22"/>
      <c r="BU982" s="22"/>
      <c r="BV982" s="22"/>
      <c r="BW982" s="22"/>
      <c r="BX982" s="22"/>
      <c r="BY982" s="22"/>
      <c r="BZ982" s="22"/>
      <c r="CA982" s="22"/>
      <c r="CB982" s="22"/>
      <c r="CC982" s="22"/>
      <c r="CD982" s="22"/>
      <c r="CE982" s="22"/>
      <c r="CF982" s="22"/>
      <c r="CG982" s="22"/>
      <c r="CH982" s="22"/>
      <c r="CI982" s="22"/>
      <c r="CJ982" s="22"/>
      <c r="CK982" s="22"/>
      <c r="CL982" s="22"/>
      <c r="CM982" s="22"/>
      <c r="CN982" s="22"/>
      <c r="CO982" s="22"/>
      <c r="CP982" s="22"/>
      <c r="CQ982" s="22"/>
      <c r="CR982" s="22"/>
      <c r="CS982" s="22"/>
      <c r="CT982" s="22"/>
      <c r="CU982" s="22"/>
      <c r="CV982" s="22"/>
      <c r="CW982" s="22"/>
      <c r="CX982" s="22"/>
      <c r="CY982" s="22"/>
      <c r="CZ982" s="22"/>
      <c r="DA982" s="22"/>
      <c r="DB982" s="22"/>
      <c r="DC982" s="22"/>
      <c r="DD982" s="22"/>
      <c r="DE982" s="22"/>
      <c r="DF982" s="22"/>
      <c r="DG982" s="22"/>
      <c r="DH982" s="22"/>
      <c r="DI982" s="22"/>
      <c r="DJ982" s="22"/>
      <c r="DK982" s="22"/>
      <c r="DL982" s="22"/>
      <c r="DM982" s="22"/>
      <c r="DN982" s="22"/>
      <c r="DO982" s="22"/>
      <c r="DP982" s="22"/>
      <c r="DQ982" s="22"/>
      <c r="DR982" s="22"/>
      <c r="DS982" s="22"/>
      <c r="DT982" s="22"/>
      <c r="DU982" s="22"/>
      <c r="DV982" s="22"/>
      <c r="DW982" s="22"/>
      <c r="DX982" s="22"/>
      <c r="DY982" s="22"/>
      <c r="DZ982" s="22"/>
      <c r="EA982" s="22"/>
      <c r="EB982" s="22"/>
      <c r="EC982" s="22"/>
      <c r="ED982" s="22"/>
      <c r="EE982" s="22"/>
      <c r="EF982" s="22"/>
      <c r="EG982" s="22"/>
      <c r="EH982" s="22"/>
      <c r="EI982" s="22"/>
      <c r="EJ982" s="22"/>
      <c r="EK982" s="22"/>
      <c r="EL982" s="22"/>
      <c r="EM982" s="22"/>
      <c r="EN982" s="22"/>
      <c r="EO982" s="22"/>
      <c r="EP982" s="22"/>
      <c r="EQ982" s="22"/>
      <c r="ER982" s="22"/>
      <c r="ES982" s="22"/>
      <c r="ET982" s="22"/>
      <c r="EU982" s="22"/>
      <c r="EV982" s="22"/>
      <c r="EW982" s="22"/>
      <c r="EX982" s="22"/>
      <c r="EY982" s="22"/>
      <c r="EZ982" s="22"/>
      <c r="FA982" s="22"/>
      <c r="FB982" s="22"/>
      <c r="FC982" s="22"/>
      <c r="FD982" s="22"/>
      <c r="FE982" s="22"/>
      <c r="FF982" s="22"/>
      <c r="FG982" s="22"/>
      <c r="FH982" s="22"/>
      <c r="FI982" s="22"/>
      <c r="FJ982" s="22"/>
      <c r="FK982" s="22"/>
      <c r="FL982" s="22"/>
      <c r="FM982" s="22"/>
      <c r="FN982" s="22"/>
      <c r="FO982" s="22"/>
      <c r="FP982" s="22"/>
      <c r="FQ982" s="22"/>
      <c r="FR982" s="22"/>
      <c r="FS982" s="22"/>
      <c r="FT982" s="22"/>
      <c r="FU982" s="22"/>
      <c r="FV982" s="22"/>
      <c r="FW982" s="22"/>
      <c r="FX982" s="22"/>
      <c r="FY982" s="22"/>
      <c r="FZ982" s="22"/>
      <c r="GA982" s="22"/>
      <c r="GB982" s="22"/>
      <c r="GC982" s="22"/>
      <c r="GD982" s="22"/>
      <c r="GE982" s="22"/>
      <c r="GF982" s="22"/>
      <c r="GG982" s="22"/>
      <c r="GH982" s="22"/>
      <c r="GI982" s="22"/>
      <c r="GJ982" s="22"/>
      <c r="GK982" s="22"/>
      <c r="GL982" s="22"/>
      <c r="GM982" s="22"/>
      <c r="GN982" s="22"/>
      <c r="GO982" s="22"/>
      <c r="GP982" s="22"/>
      <c r="GQ982" s="22"/>
      <c r="GR982" s="22"/>
      <c r="GS982" s="22"/>
      <c r="GT982" s="22"/>
      <c r="GU982" s="22"/>
      <c r="GV982" s="22"/>
      <c r="GW982" s="22"/>
      <c r="GX982" s="22"/>
      <c r="GY982" s="22"/>
      <c r="GZ982" s="22"/>
      <c r="HA982" s="22"/>
      <c r="HB982" s="22"/>
      <c r="HC982" s="22"/>
      <c r="HD982" s="22"/>
      <c r="HE982" s="22"/>
      <c r="HF982" s="22"/>
      <c r="HG982" s="22"/>
      <c r="HH982" s="22"/>
      <c r="HI982" s="22"/>
      <c r="HJ982" s="22"/>
      <c r="HK982" s="22"/>
      <c r="HL982" s="22"/>
      <c r="HM982" s="22"/>
      <c r="HN982" s="22"/>
      <c r="HO982" s="22"/>
      <c r="HP982" s="22"/>
      <c r="HQ982" s="22"/>
      <c r="HR982" s="22"/>
      <c r="HS982" s="22"/>
      <c r="HT982" s="22"/>
      <c r="HU982" s="22"/>
      <c r="HV982" s="22"/>
      <c r="HW982" s="22"/>
      <c r="HX982" s="22"/>
      <c r="HY982" s="22"/>
      <c r="HZ982" s="22"/>
      <c r="IA982" s="22"/>
      <c r="IB982" s="22"/>
      <c r="IC982" s="22"/>
      <c r="ID982" s="22"/>
      <c r="IE982" s="22"/>
      <c r="IF982" s="22"/>
      <c r="IG982" s="22"/>
      <c r="IH982" s="22"/>
      <c r="II982" s="22"/>
      <c r="IJ982" s="22"/>
      <c r="IK982" s="22"/>
      <c r="IL982" s="22"/>
      <c r="IM982" s="22"/>
      <c r="IN982" s="22"/>
      <c r="IO982" s="22"/>
      <c r="IP982" s="22"/>
      <c r="IQ982" s="22"/>
      <c r="IR982" s="22"/>
      <c r="IS982" s="22"/>
      <c r="IT982" s="22"/>
      <c r="IU982" s="22"/>
      <c r="IV982" s="22"/>
      <c r="IW982" s="22"/>
      <c r="IX982" s="22"/>
      <c r="IY982" s="22"/>
      <c r="IZ982" s="22"/>
      <c r="JA982" s="22"/>
      <c r="JB982" s="22"/>
      <c r="JC982" s="22"/>
      <c r="JD982" s="22"/>
      <c r="JE982" s="22"/>
      <c r="JF982" s="22"/>
      <c r="JG982" s="22"/>
      <c r="JH982" s="22"/>
      <c r="JI982" s="22"/>
      <c r="JJ982" s="22"/>
      <c r="JK982" s="22"/>
      <c r="JL982" s="22"/>
      <c r="JM982" s="22"/>
      <c r="JN982" s="22"/>
      <c r="JO982" s="22"/>
      <c r="JP982" s="22"/>
      <c r="JQ982" s="22"/>
      <c r="JR982" s="22"/>
      <c r="JS982" s="22"/>
      <c r="JT982" s="22"/>
      <c r="JU982" s="22"/>
      <c r="JV982" s="22"/>
      <c r="JW982" s="22"/>
      <c r="JX982" s="22"/>
      <c r="JY982" s="22"/>
      <c r="JZ982" s="22"/>
      <c r="KA982" s="22"/>
      <c r="KB982" s="22"/>
      <c r="KC982" s="22"/>
      <c r="KD982" s="22"/>
      <c r="KE982" s="22"/>
      <c r="KF982" s="22"/>
      <c r="KG982" s="22"/>
      <c r="KH982" s="22"/>
      <c r="KI982" s="22"/>
      <c r="KJ982" s="22"/>
      <c r="KK982" s="22"/>
      <c r="KL982" s="22"/>
      <c r="KM982" s="22"/>
      <c r="KN982" s="22"/>
      <c r="KO982" s="22"/>
      <c r="KP982" s="22"/>
      <c r="KQ982" s="22"/>
      <c r="KR982" s="22"/>
      <c r="KS982" s="22"/>
      <c r="KT982" s="22"/>
      <c r="KU982" s="22"/>
      <c r="KV982" s="22"/>
      <c r="KW982" s="22"/>
      <c r="KX982" s="22"/>
      <c r="KY982" s="22"/>
      <c r="KZ982" s="22"/>
      <c r="LA982" s="22"/>
      <c r="LB982" s="22"/>
      <c r="LC982" s="22"/>
      <c r="LD982" s="22"/>
      <c r="LE982" s="22"/>
      <c r="LF982" s="22"/>
      <c r="LG982" s="22"/>
      <c r="LH982" s="22"/>
      <c r="LI982" s="22"/>
      <c r="LJ982" s="22"/>
      <c r="LK982" s="22"/>
      <c r="LL982" s="22"/>
      <c r="LM982" s="22"/>
      <c r="LN982" s="22"/>
      <c r="LO982" s="22"/>
      <c r="LP982" s="22"/>
      <c r="LQ982" s="22"/>
      <c r="LR982" s="22"/>
      <c r="LS982" s="22"/>
      <c r="LT982" s="22"/>
      <c r="LU982" s="22"/>
      <c r="LV982" s="22"/>
      <c r="LW982" s="22"/>
      <c r="LX982" s="22"/>
      <c r="LY982" s="22"/>
      <c r="LZ982" s="22"/>
      <c r="MA982" s="22"/>
      <c r="MB982" s="22"/>
      <c r="MC982" s="22"/>
      <c r="MD982" s="22"/>
      <c r="ME982" s="22"/>
      <c r="MF982" s="22"/>
      <c r="MG982" s="22"/>
      <c r="MH982" s="22"/>
      <c r="MI982" s="22"/>
      <c r="MJ982" s="22"/>
      <c r="MK982" s="22"/>
      <c r="ML982" s="22"/>
      <c r="MM982" s="22"/>
      <c r="MN982" s="22"/>
      <c r="MO982" s="22"/>
      <c r="MP982" s="22"/>
      <c r="MQ982" s="22"/>
      <c r="MR982" s="22"/>
      <c r="MS982" s="22"/>
      <c r="MT982" s="22"/>
      <c r="MU982" s="22"/>
      <c r="MV982" s="22"/>
      <c r="MW982" s="22"/>
      <c r="MX982" s="22"/>
      <c r="MY982" s="22"/>
      <c r="MZ982" s="22"/>
      <c r="NA982" s="22"/>
      <c r="NB982" s="22"/>
      <c r="NC982" s="22"/>
      <c r="ND982" s="22"/>
      <c r="NE982" s="22"/>
      <c r="NF982" s="22"/>
      <c r="NG982" s="22"/>
      <c r="NH982" s="22"/>
      <c r="NI982" s="22"/>
      <c r="NJ982" s="22"/>
      <c r="NK982" s="22"/>
      <c r="NL982" s="22"/>
      <c r="NM982" s="22"/>
      <c r="NN982" s="22"/>
      <c r="NO982" s="22"/>
      <c r="NP982" s="22"/>
      <c r="NQ982" s="22"/>
      <c r="NR982" s="22"/>
      <c r="NS982" s="22"/>
      <c r="NT982" s="22"/>
      <c r="NU982" s="22"/>
      <c r="NV982" s="22"/>
      <c r="NW982" s="22"/>
      <c r="NX982" s="22"/>
      <c r="NY982" s="22"/>
      <c r="NZ982" s="22"/>
      <c r="OA982" s="22"/>
      <c r="OB982" s="22"/>
      <c r="OC982" s="22"/>
      <c r="OD982" s="22"/>
      <c r="OE982" s="22"/>
      <c r="OF982" s="22"/>
      <c r="OG982" s="22"/>
      <c r="OH982" s="22"/>
      <c r="OI982" s="22"/>
      <c r="OJ982" s="22"/>
      <c r="OK982" s="22"/>
      <c r="OL982" s="22"/>
      <c r="OM982" s="22"/>
      <c r="ON982" s="22"/>
      <c r="OO982" s="22"/>
      <c r="OP982" s="22"/>
      <c r="OQ982" s="22"/>
      <c r="OR982" s="22"/>
      <c r="OS982" s="22"/>
      <c r="OT982" s="22"/>
      <c r="OU982" s="22"/>
      <c r="OV982" s="22"/>
      <c r="OW982" s="22"/>
      <c r="OX982" s="22"/>
      <c r="OY982" s="22"/>
      <c r="OZ982" s="22"/>
      <c r="PA982" s="22"/>
      <c r="PB982" s="22"/>
      <c r="PC982" s="22"/>
      <c r="PD982" s="22"/>
      <c r="PE982" s="22"/>
      <c r="PF982" s="22"/>
      <c r="PG982" s="22"/>
      <c r="PH982" s="22"/>
      <c r="PI982" s="22"/>
      <c r="PJ982" s="22"/>
      <c r="PK982" s="22"/>
      <c r="PL982" s="22"/>
      <c r="PM982" s="22"/>
      <c r="PN982" s="22"/>
      <c r="PO982" s="22"/>
      <c r="PP982" s="22"/>
      <c r="PQ982" s="22"/>
      <c r="PR982" s="22"/>
      <c r="PS982" s="22"/>
      <c r="PT982" s="22"/>
      <c r="PU982" s="22"/>
      <c r="PV982" s="22"/>
      <c r="PW982" s="22"/>
      <c r="PX982" s="22"/>
      <c r="PY982" s="22"/>
      <c r="PZ982" s="22"/>
      <c r="QA982" s="22"/>
      <c r="QB982" s="22"/>
      <c r="QC982" s="22"/>
      <c r="QD982" s="22"/>
      <c r="QE982" s="22"/>
      <c r="QF982" s="22"/>
      <c r="QG982" s="22"/>
      <c r="QH982" s="22"/>
      <c r="QI982" s="22"/>
      <c r="QJ982" s="22"/>
      <c r="QK982" s="22"/>
      <c r="QL982" s="22"/>
      <c r="QM982" s="22"/>
      <c r="QN982" s="22"/>
      <c r="QO982" s="22"/>
      <c r="QP982" s="22"/>
      <c r="QQ982" s="22"/>
      <c r="QR982" s="22"/>
      <c r="QS982" s="22"/>
      <c r="QT982" s="22"/>
      <c r="QU982" s="22"/>
      <c r="QV982" s="22"/>
      <c r="QW982" s="22"/>
      <c r="QX982" s="22"/>
      <c r="QY982" s="22"/>
      <c r="QZ982" s="22"/>
      <c r="RA982" s="22"/>
      <c r="RB982" s="22"/>
      <c r="RC982" s="22"/>
      <c r="RD982" s="22"/>
      <c r="RE982" s="22"/>
      <c r="RF982" s="22"/>
      <c r="RG982" s="22"/>
      <c r="RH982" s="22"/>
      <c r="RI982" s="22"/>
      <c r="RJ982" s="22"/>
      <c r="RK982" s="22"/>
      <c r="RL982" s="22"/>
      <c r="RM982" s="22"/>
      <c r="RN982" s="22"/>
      <c r="RO982" s="22"/>
      <c r="RP982" s="22"/>
      <c r="RQ982" s="22"/>
      <c r="RR982" s="22"/>
      <c r="RS982" s="22"/>
      <c r="RT982" s="22"/>
      <c r="RU982" s="22"/>
      <c r="RV982" s="22"/>
      <c r="RW982" s="22"/>
      <c r="RX982" s="22"/>
      <c r="RY982" s="22"/>
      <c r="RZ982" s="22"/>
      <c r="SA982" s="22"/>
      <c r="SB982" s="22"/>
      <c r="SC982" s="22"/>
      <c r="SD982" s="22"/>
      <c r="SE982" s="22"/>
      <c r="SF982" s="22"/>
      <c r="SG982" s="22"/>
      <c r="SH982" s="22"/>
      <c r="SI982" s="22"/>
      <c r="SJ982" s="22"/>
      <c r="SK982" s="22"/>
      <c r="SL982" s="22"/>
      <c r="SM982" s="22"/>
      <c r="SN982" s="22"/>
      <c r="SO982" s="22"/>
      <c r="SP982" s="22"/>
      <c r="SQ982" s="22"/>
      <c r="SR982" s="22"/>
      <c r="SS982" s="22"/>
      <c r="ST982" s="22"/>
      <c r="SU982" s="22"/>
      <c r="SV982" s="22"/>
      <c r="SW982" s="22"/>
      <c r="SX982" s="22"/>
      <c r="SY982" s="22"/>
      <c r="SZ982" s="22"/>
      <c r="TA982" s="22"/>
      <c r="TB982" s="22"/>
      <c r="TC982" s="22"/>
      <c r="TD982" s="22"/>
      <c r="TE982" s="22"/>
      <c r="TF982" s="22"/>
      <c r="TG982" s="22"/>
      <c r="TH982" s="22"/>
      <c r="TI982" s="22"/>
      <c r="TJ982" s="22"/>
      <c r="TK982" s="22"/>
      <c r="TL982" s="22"/>
      <c r="TM982" s="22"/>
      <c r="TN982" s="22"/>
      <c r="TO982" s="22"/>
      <c r="TP982" s="22"/>
      <c r="TQ982" s="22"/>
      <c r="TR982" s="22"/>
      <c r="TS982" s="22"/>
      <c r="TT982" s="22"/>
      <c r="TU982" s="22"/>
      <c r="TV982" s="22"/>
      <c r="TW982" s="22"/>
      <c r="TX982" s="22"/>
      <c r="TY982" s="22"/>
      <c r="TZ982" s="22"/>
      <c r="UA982" s="22"/>
      <c r="UB982" s="22"/>
      <c r="UC982" s="22"/>
      <c r="UD982" s="22"/>
      <c r="UE982" s="22"/>
      <c r="UF982" s="22"/>
      <c r="UG982" s="23"/>
    </row>
    <row r="983" spans="1:553" ht="300.75" customHeight="1">
      <c r="A983" s="356"/>
      <c r="B983" s="385"/>
      <c r="C983" s="384" t="s">
        <v>69</v>
      </c>
      <c r="D983" s="376" t="s">
        <v>20</v>
      </c>
      <c r="E983" s="376" t="s">
        <v>567</v>
      </c>
      <c r="F983" s="385">
        <v>1</v>
      </c>
      <c r="G983" s="396" t="s">
        <v>33</v>
      </c>
      <c r="H983" s="387">
        <v>538.70000000000005</v>
      </c>
      <c r="I983" s="441">
        <v>538.70000000000005</v>
      </c>
      <c r="J983" s="477">
        <v>55000</v>
      </c>
      <c r="K983" s="391"/>
      <c r="L983" s="480">
        <f t="shared" si="146"/>
        <v>29628500.000000004</v>
      </c>
      <c r="M983" s="392"/>
      <c r="N983" s="392"/>
      <c r="O983" s="366"/>
      <c r="P983" s="366"/>
      <c r="Q983" s="761" t="s">
        <v>568</v>
      </c>
      <c r="R983" s="1163"/>
      <c r="S983" s="308"/>
      <c r="T983" s="308"/>
      <c r="U983" s="308"/>
      <c r="V983" s="308"/>
      <c r="W983" s="308"/>
      <c r="X983" s="307">
        <f>I983</f>
        <v>538.70000000000005</v>
      </c>
      <c r="Y983" s="308"/>
      <c r="Z983" s="604"/>
      <c r="AA983" s="308"/>
      <c r="AB983" s="308"/>
      <c r="AC983" s="449"/>
      <c r="AD983" s="449"/>
      <c r="AE983" s="449"/>
      <c r="AF983" s="449"/>
      <c r="AG983" s="449"/>
      <c r="AH983" s="449"/>
      <c r="AI983" s="449"/>
      <c r="AJ983" s="449"/>
      <c r="AK983" s="452"/>
      <c r="AL983" s="104"/>
      <c r="AM983" s="32"/>
      <c r="AN983" s="32"/>
      <c r="AO983" s="32"/>
      <c r="AP983" s="32"/>
      <c r="AQ983" s="32"/>
      <c r="AR983" s="32"/>
      <c r="AS983" s="31"/>
      <c r="AT983" s="22"/>
      <c r="AU983" s="22"/>
      <c r="AV983" s="22"/>
      <c r="AW983" s="22"/>
      <c r="AX983" s="22"/>
      <c r="AY983" s="22"/>
      <c r="AZ983" s="22"/>
      <c r="BA983" s="22"/>
      <c r="BB983" s="22"/>
      <c r="BC983" s="22"/>
      <c r="BD983" s="22"/>
      <c r="BE983" s="22"/>
      <c r="BF983" s="22"/>
      <c r="BG983" s="22"/>
      <c r="BH983" s="22"/>
      <c r="BI983" s="22"/>
      <c r="BJ983" s="22"/>
      <c r="BK983" s="22"/>
      <c r="BL983" s="22"/>
      <c r="BM983" s="22"/>
      <c r="BN983" s="22"/>
      <c r="BO983" s="22"/>
      <c r="BP983" s="25"/>
      <c r="BQ983" s="25"/>
      <c r="BR983" s="25"/>
      <c r="BS983" s="25"/>
      <c r="BT983" s="25"/>
      <c r="BU983" s="25"/>
      <c r="BV983" s="25"/>
      <c r="BW983" s="25"/>
      <c r="BX983" s="25"/>
      <c r="BY983" s="25"/>
      <c r="BZ983" s="25"/>
      <c r="CA983" s="25"/>
      <c r="CB983" s="25"/>
      <c r="CC983" s="25"/>
      <c r="CD983" s="25"/>
      <c r="CE983" s="25"/>
      <c r="CF983" s="25"/>
      <c r="CG983" s="25"/>
      <c r="CH983" s="25"/>
      <c r="CI983" s="25"/>
      <c r="CJ983" s="25"/>
      <c r="CK983" s="25"/>
      <c r="CL983" s="25"/>
      <c r="CM983" s="25"/>
      <c r="CN983" s="25"/>
      <c r="CO983" s="25"/>
      <c r="CP983" s="25"/>
      <c r="CQ983" s="25"/>
      <c r="CR983" s="25"/>
      <c r="CS983" s="25"/>
      <c r="CT983" s="25"/>
      <c r="CU983" s="25"/>
      <c r="CV983" s="25"/>
      <c r="CW983" s="25"/>
      <c r="CX983" s="25"/>
      <c r="CY983" s="25"/>
      <c r="CZ983" s="25"/>
      <c r="DA983" s="25"/>
      <c r="DB983" s="25"/>
      <c r="DC983" s="25"/>
      <c r="DD983" s="25"/>
      <c r="DE983" s="25"/>
      <c r="DF983" s="25"/>
      <c r="DG983" s="25"/>
      <c r="DH983" s="25"/>
      <c r="DI983" s="25"/>
      <c r="DJ983" s="25"/>
      <c r="DK983" s="25"/>
      <c r="DL983" s="25"/>
      <c r="DM983" s="25"/>
      <c r="DN983" s="25"/>
      <c r="DO983" s="25"/>
      <c r="DP983" s="25"/>
      <c r="DQ983" s="25"/>
      <c r="DR983" s="25"/>
      <c r="DS983" s="25"/>
      <c r="DT983" s="25"/>
      <c r="DU983" s="25"/>
      <c r="DV983" s="25"/>
      <c r="DW983" s="25"/>
      <c r="DX983" s="25"/>
      <c r="DY983" s="25"/>
      <c r="DZ983" s="25"/>
      <c r="EA983" s="25"/>
      <c r="EB983" s="25"/>
      <c r="EC983" s="25"/>
      <c r="ED983" s="25"/>
      <c r="EE983" s="25"/>
      <c r="EF983" s="25"/>
      <c r="EG983" s="25"/>
      <c r="EH983" s="25"/>
      <c r="EI983" s="25"/>
      <c r="EJ983" s="25"/>
      <c r="EK983" s="25"/>
      <c r="EL983" s="25"/>
      <c r="EM983" s="25"/>
      <c r="EN983" s="25"/>
      <c r="EO983" s="25"/>
      <c r="EP983" s="25"/>
      <c r="EQ983" s="25"/>
      <c r="ER983" s="25"/>
      <c r="ES983" s="25"/>
      <c r="ET983" s="25"/>
      <c r="EU983" s="25"/>
      <c r="EV983" s="25"/>
      <c r="EW983" s="25"/>
      <c r="EX983" s="25"/>
      <c r="EY983" s="25"/>
      <c r="EZ983" s="25"/>
      <c r="FA983" s="25"/>
      <c r="FB983" s="25"/>
      <c r="FC983" s="25"/>
      <c r="FD983" s="25"/>
      <c r="FE983" s="25"/>
      <c r="FF983" s="25"/>
      <c r="FG983" s="25"/>
      <c r="FH983" s="25"/>
      <c r="FI983" s="25"/>
      <c r="FJ983" s="25"/>
      <c r="FK983" s="25"/>
      <c r="FL983" s="25"/>
      <c r="FM983" s="25"/>
      <c r="FN983" s="25"/>
      <c r="FO983" s="25"/>
      <c r="FP983" s="25"/>
      <c r="FQ983" s="25"/>
      <c r="FR983" s="25"/>
      <c r="FS983" s="25"/>
      <c r="FT983" s="25"/>
      <c r="FU983" s="25"/>
      <c r="FV983" s="25"/>
      <c r="FW983" s="25"/>
      <c r="FX983" s="25"/>
      <c r="FY983" s="25"/>
      <c r="FZ983" s="25"/>
      <c r="GA983" s="25"/>
      <c r="GB983" s="25"/>
      <c r="GC983" s="25"/>
      <c r="GD983" s="25"/>
      <c r="GE983" s="25"/>
      <c r="GF983" s="25"/>
      <c r="GG983" s="25"/>
      <c r="GH983" s="25"/>
      <c r="GI983" s="25"/>
      <c r="GJ983" s="25"/>
      <c r="GK983" s="25"/>
      <c r="GL983" s="25"/>
      <c r="GM983" s="25"/>
      <c r="GN983" s="25"/>
      <c r="GO983" s="25"/>
      <c r="GP983" s="25"/>
      <c r="GQ983" s="25"/>
      <c r="GR983" s="25"/>
      <c r="GS983" s="25"/>
      <c r="GT983" s="25"/>
      <c r="GU983" s="25"/>
      <c r="GV983" s="25"/>
      <c r="GW983" s="25"/>
      <c r="GX983" s="25"/>
      <c r="GY983" s="25"/>
      <c r="GZ983" s="25"/>
      <c r="HA983" s="25"/>
      <c r="HB983" s="25"/>
      <c r="HC983" s="25"/>
      <c r="HD983" s="25"/>
      <c r="HE983" s="25"/>
      <c r="HF983" s="25"/>
      <c r="HG983" s="25"/>
      <c r="HH983" s="25"/>
      <c r="HI983" s="25"/>
      <c r="HJ983" s="25"/>
      <c r="HK983" s="25"/>
      <c r="HL983" s="25"/>
      <c r="HM983" s="25"/>
      <c r="HN983" s="25"/>
      <c r="HO983" s="25"/>
      <c r="HP983" s="25"/>
      <c r="HQ983" s="25"/>
      <c r="HR983" s="25"/>
      <c r="HS983" s="25"/>
      <c r="HT983" s="25"/>
      <c r="HU983" s="25"/>
      <c r="HV983" s="25"/>
      <c r="HW983" s="25"/>
      <c r="HX983" s="25"/>
      <c r="HY983" s="25"/>
      <c r="HZ983" s="25"/>
      <c r="IA983" s="25"/>
      <c r="IB983" s="25"/>
      <c r="IC983" s="25"/>
      <c r="ID983" s="25"/>
      <c r="IE983" s="25"/>
      <c r="IF983" s="25"/>
      <c r="IG983" s="25"/>
      <c r="IH983" s="25"/>
      <c r="II983" s="25"/>
      <c r="IJ983" s="25"/>
      <c r="IK983" s="25"/>
      <c r="IL983" s="25"/>
      <c r="IM983" s="25"/>
      <c r="IN983" s="25"/>
      <c r="IO983" s="25"/>
      <c r="IP983" s="25"/>
      <c r="IQ983" s="25"/>
      <c r="IR983" s="25"/>
      <c r="IS983" s="25"/>
      <c r="IT983" s="25"/>
      <c r="IU983" s="25"/>
      <c r="IV983" s="25"/>
      <c r="IW983" s="25"/>
      <c r="IX983" s="25"/>
      <c r="IY983" s="25"/>
      <c r="IZ983" s="25"/>
      <c r="JA983" s="25"/>
      <c r="JB983" s="25"/>
      <c r="JC983" s="25"/>
      <c r="JD983" s="25"/>
      <c r="JE983" s="25"/>
      <c r="JF983" s="25"/>
      <c r="JG983" s="25"/>
      <c r="JH983" s="25"/>
      <c r="JI983" s="25"/>
      <c r="JJ983" s="25"/>
      <c r="JK983" s="25"/>
      <c r="JL983" s="25"/>
      <c r="JM983" s="25"/>
      <c r="JN983" s="25"/>
      <c r="JO983" s="25"/>
      <c r="JP983" s="25"/>
      <c r="JQ983" s="25"/>
      <c r="JR983" s="25"/>
      <c r="JS983" s="25"/>
      <c r="JT983" s="25"/>
      <c r="JU983" s="25"/>
      <c r="JV983" s="25"/>
      <c r="JW983" s="25"/>
      <c r="JX983" s="25"/>
      <c r="JY983" s="25"/>
      <c r="JZ983" s="25"/>
      <c r="KA983" s="25"/>
      <c r="KB983" s="25"/>
      <c r="KC983" s="25"/>
      <c r="KD983" s="25"/>
      <c r="KE983" s="25"/>
      <c r="KF983" s="25"/>
      <c r="KG983" s="25"/>
      <c r="KH983" s="25"/>
      <c r="KI983" s="25"/>
      <c r="KJ983" s="25"/>
      <c r="KK983" s="25"/>
      <c r="KL983" s="25"/>
      <c r="KM983" s="25"/>
      <c r="KN983" s="25"/>
      <c r="KO983" s="25"/>
      <c r="KP983" s="25"/>
      <c r="KQ983" s="25"/>
      <c r="KR983" s="25"/>
      <c r="KS983" s="25"/>
      <c r="KT983" s="25"/>
      <c r="KU983" s="25"/>
      <c r="KV983" s="25"/>
      <c r="KW983" s="25"/>
      <c r="KX983" s="25"/>
      <c r="KY983" s="25"/>
      <c r="KZ983" s="25"/>
      <c r="LA983" s="25"/>
      <c r="LB983" s="25"/>
      <c r="LC983" s="25"/>
      <c r="LD983" s="25"/>
      <c r="LE983" s="25"/>
      <c r="LF983" s="25"/>
      <c r="LG983" s="25"/>
      <c r="LH983" s="25"/>
      <c r="LI983" s="25"/>
      <c r="LJ983" s="25"/>
      <c r="LK983" s="25"/>
      <c r="LL983" s="25"/>
      <c r="LM983" s="25"/>
      <c r="LN983" s="25"/>
      <c r="LO983" s="25"/>
      <c r="LP983" s="25"/>
      <c r="LQ983" s="25"/>
      <c r="LR983" s="25"/>
      <c r="LS983" s="25"/>
      <c r="LT983" s="25"/>
      <c r="LU983" s="25"/>
      <c r="LV983" s="25"/>
      <c r="LW983" s="25"/>
      <c r="LX983" s="25"/>
      <c r="LY983" s="25"/>
      <c r="LZ983" s="25"/>
      <c r="MA983" s="25"/>
      <c r="MB983" s="25"/>
      <c r="MC983" s="25"/>
      <c r="MD983" s="25"/>
      <c r="ME983" s="25"/>
      <c r="MF983" s="25"/>
      <c r="MG983" s="25"/>
      <c r="MH983" s="25"/>
      <c r="MI983" s="25"/>
      <c r="MJ983" s="25"/>
      <c r="MK983" s="25"/>
      <c r="ML983" s="25"/>
      <c r="MM983" s="25"/>
      <c r="MN983" s="25"/>
      <c r="MO983" s="25"/>
      <c r="MP983" s="25"/>
      <c r="MQ983" s="25"/>
      <c r="MR983" s="25"/>
      <c r="MS983" s="25"/>
      <c r="MT983" s="25"/>
      <c r="MU983" s="25"/>
      <c r="MV983" s="25"/>
      <c r="MW983" s="25"/>
      <c r="MX983" s="25"/>
      <c r="MY983" s="25"/>
      <c r="MZ983" s="25"/>
      <c r="NA983" s="25"/>
      <c r="NB983" s="25"/>
      <c r="NC983" s="25"/>
      <c r="ND983" s="25"/>
      <c r="NE983" s="25"/>
      <c r="NF983" s="25"/>
      <c r="NG983" s="25"/>
      <c r="NH983" s="25"/>
      <c r="NI983" s="25"/>
      <c r="NJ983" s="25"/>
      <c r="NK983" s="25"/>
      <c r="NL983" s="25"/>
      <c r="NM983" s="25"/>
      <c r="NN983" s="25"/>
      <c r="NO983" s="25"/>
      <c r="NP983" s="25"/>
      <c r="NQ983" s="25"/>
      <c r="NR983" s="25"/>
      <c r="NS983" s="25"/>
      <c r="NT983" s="25"/>
      <c r="NU983" s="25"/>
      <c r="NV983" s="25"/>
      <c r="NW983" s="25"/>
      <c r="NX983" s="25"/>
      <c r="NY983" s="25"/>
      <c r="NZ983" s="25"/>
      <c r="OA983" s="25"/>
      <c r="OB983" s="25"/>
      <c r="OC983" s="25"/>
      <c r="OD983" s="25"/>
      <c r="OE983" s="25"/>
      <c r="OF983" s="25"/>
      <c r="OG983" s="25"/>
      <c r="OH983" s="25"/>
      <c r="OI983" s="25"/>
      <c r="OJ983" s="25"/>
      <c r="OK983" s="25"/>
      <c r="OL983" s="25"/>
      <c r="OM983" s="25"/>
      <c r="ON983" s="25"/>
      <c r="OO983" s="25"/>
      <c r="OP983" s="25"/>
      <c r="OQ983" s="25"/>
      <c r="OR983" s="25"/>
      <c r="OS983" s="25"/>
      <c r="OT983" s="25"/>
      <c r="OU983" s="25"/>
      <c r="OV983" s="25"/>
      <c r="OW983" s="25"/>
      <c r="OX983" s="25"/>
      <c r="OY983" s="25"/>
      <c r="OZ983" s="25"/>
      <c r="PA983" s="25"/>
      <c r="PB983" s="25"/>
      <c r="PC983" s="25"/>
      <c r="PD983" s="25"/>
      <c r="PE983" s="25"/>
      <c r="PF983" s="25"/>
      <c r="PG983" s="25"/>
      <c r="PH983" s="25"/>
      <c r="PI983" s="25"/>
      <c r="PJ983" s="25"/>
      <c r="PK983" s="25"/>
      <c r="PL983" s="25"/>
      <c r="PM983" s="25"/>
      <c r="PN983" s="25"/>
      <c r="PO983" s="25"/>
      <c r="PP983" s="25"/>
      <c r="PQ983" s="25"/>
      <c r="PR983" s="25"/>
      <c r="PS983" s="25"/>
      <c r="PT983" s="25"/>
      <c r="PU983" s="25"/>
      <c r="PV983" s="25"/>
      <c r="PW983" s="25"/>
      <c r="PX983" s="25"/>
      <c r="PY983" s="25"/>
      <c r="PZ983" s="25"/>
      <c r="QA983" s="25"/>
      <c r="QB983" s="25"/>
      <c r="QC983" s="25"/>
      <c r="QD983" s="25"/>
      <c r="QE983" s="25"/>
      <c r="QF983" s="25"/>
      <c r="QG983" s="25"/>
      <c r="QH983" s="25"/>
      <c r="QI983" s="25"/>
      <c r="QJ983" s="25"/>
      <c r="QK983" s="25"/>
      <c r="QL983" s="25"/>
      <c r="QM983" s="25"/>
      <c r="QN983" s="25"/>
      <c r="QO983" s="25"/>
      <c r="QP983" s="25"/>
      <c r="QQ983" s="25"/>
      <c r="QR983" s="25"/>
      <c r="QS983" s="25"/>
      <c r="QT983" s="25"/>
      <c r="QU983" s="25"/>
      <c r="QV983" s="25"/>
      <c r="QW983" s="25"/>
      <c r="QX983" s="25"/>
      <c r="QY983" s="25"/>
      <c r="QZ983" s="25"/>
      <c r="RA983" s="25"/>
      <c r="RB983" s="25"/>
      <c r="RC983" s="25"/>
      <c r="RD983" s="25"/>
      <c r="RE983" s="25"/>
      <c r="RF983" s="25"/>
      <c r="RG983" s="25"/>
      <c r="RH983" s="25"/>
      <c r="RI983" s="25"/>
      <c r="RJ983" s="25"/>
      <c r="RK983" s="25"/>
      <c r="RL983" s="25"/>
      <c r="RM983" s="25"/>
      <c r="RN983" s="25"/>
      <c r="RO983" s="25"/>
      <c r="RP983" s="25"/>
      <c r="RQ983" s="25"/>
      <c r="RR983" s="25"/>
      <c r="RS983" s="25"/>
      <c r="RT983" s="25"/>
      <c r="RU983" s="25"/>
      <c r="RV983" s="25"/>
      <c r="RW983" s="25"/>
      <c r="RX983" s="25"/>
      <c r="RY983" s="25"/>
      <c r="RZ983" s="25"/>
      <c r="SA983" s="25"/>
      <c r="SB983" s="25"/>
      <c r="SC983" s="25"/>
      <c r="SD983" s="25"/>
      <c r="SE983" s="25"/>
      <c r="SF983" s="25"/>
      <c r="SG983" s="25"/>
      <c r="SH983" s="25"/>
      <c r="SI983" s="25"/>
      <c r="SJ983" s="25"/>
      <c r="SK983" s="25"/>
      <c r="SL983" s="25"/>
      <c r="SM983" s="25"/>
      <c r="SN983" s="25"/>
      <c r="SO983" s="25"/>
      <c r="SP983" s="25"/>
      <c r="SQ983" s="25"/>
      <c r="SR983" s="25"/>
      <c r="SS983" s="25"/>
      <c r="ST983" s="25"/>
      <c r="SU983" s="25"/>
      <c r="SV983" s="25"/>
      <c r="SW983" s="25"/>
      <c r="SX983" s="25"/>
      <c r="SY983" s="25"/>
      <c r="SZ983" s="25"/>
      <c r="TA983" s="25"/>
      <c r="TB983" s="25"/>
      <c r="TC983" s="25"/>
      <c r="TD983" s="25"/>
      <c r="TE983" s="25"/>
      <c r="TF983" s="25"/>
      <c r="TG983" s="25"/>
      <c r="TH983" s="25"/>
      <c r="TI983" s="25"/>
      <c r="TJ983" s="25"/>
      <c r="TK983" s="25"/>
      <c r="TL983" s="25"/>
      <c r="TM983" s="25"/>
      <c r="TN983" s="25"/>
      <c r="TO983" s="25"/>
      <c r="TP983" s="25"/>
      <c r="TQ983" s="25"/>
      <c r="TR983" s="25"/>
      <c r="TS983" s="25"/>
      <c r="TT983" s="25"/>
      <c r="TU983" s="25"/>
      <c r="TV983" s="25"/>
      <c r="TW983" s="25"/>
      <c r="TX983" s="25"/>
      <c r="TY983" s="25"/>
      <c r="TZ983" s="25"/>
      <c r="UA983" s="25"/>
      <c r="UB983" s="25"/>
      <c r="UC983" s="25"/>
      <c r="UD983" s="25"/>
      <c r="UE983" s="25"/>
      <c r="UF983" s="25"/>
      <c r="UG983" s="26"/>
    </row>
    <row r="984" spans="1:553" ht="255.75" customHeight="1">
      <c r="A984" s="356"/>
      <c r="B984" s="385"/>
      <c r="C984" s="384" t="s">
        <v>69</v>
      </c>
      <c r="D984" s="376" t="s">
        <v>20</v>
      </c>
      <c r="E984" s="376" t="s">
        <v>569</v>
      </c>
      <c r="F984" s="385">
        <v>1</v>
      </c>
      <c r="G984" s="396" t="s">
        <v>33</v>
      </c>
      <c r="H984" s="387">
        <v>121</v>
      </c>
      <c r="I984" s="441">
        <v>121</v>
      </c>
      <c r="J984" s="477">
        <v>55000</v>
      </c>
      <c r="K984" s="391"/>
      <c r="L984" s="480">
        <f t="shared" si="146"/>
        <v>6655000</v>
      </c>
      <c r="M984" s="392"/>
      <c r="N984" s="392"/>
      <c r="O984" s="366"/>
      <c r="P984" s="366"/>
      <c r="Q984" s="761" t="s">
        <v>570</v>
      </c>
      <c r="R984" s="1163"/>
      <c r="S984" s="308"/>
      <c r="T984" s="308"/>
      <c r="U984" s="308"/>
      <c r="V984" s="308"/>
      <c r="W984" s="308"/>
      <c r="X984" s="307">
        <f>I984</f>
        <v>121</v>
      </c>
      <c r="Y984" s="308"/>
      <c r="Z984" s="604"/>
      <c r="AA984" s="308"/>
      <c r="AB984" s="308"/>
      <c r="AC984" s="449"/>
      <c r="AD984" s="449"/>
      <c r="AE984" s="449"/>
      <c r="AF984" s="449"/>
      <c r="AG984" s="449"/>
      <c r="AH984" s="449"/>
      <c r="AI984" s="449"/>
      <c r="AJ984" s="449"/>
      <c r="AK984" s="452"/>
      <c r="AL984" s="104"/>
      <c r="AM984" s="32"/>
      <c r="AN984" s="32"/>
      <c r="AO984" s="32"/>
      <c r="AP984" s="32"/>
      <c r="AQ984" s="32"/>
      <c r="AR984" s="32"/>
      <c r="AS984" s="31"/>
      <c r="AT984" s="22"/>
      <c r="AU984" s="22"/>
      <c r="AV984" s="22"/>
      <c r="AW984" s="22"/>
      <c r="AX984" s="22"/>
      <c r="AY984" s="22"/>
      <c r="AZ984" s="22"/>
      <c r="BA984" s="22"/>
      <c r="BB984" s="22"/>
      <c r="BC984" s="22"/>
      <c r="BD984" s="22"/>
      <c r="BE984" s="22"/>
      <c r="BF984" s="22"/>
      <c r="BG984" s="22"/>
      <c r="BH984" s="22"/>
      <c r="BI984" s="22"/>
      <c r="BJ984" s="22"/>
      <c r="BK984" s="22"/>
      <c r="BL984" s="22"/>
      <c r="BM984" s="22"/>
      <c r="BN984" s="22"/>
      <c r="BO984" s="22"/>
      <c r="BP984" s="25"/>
      <c r="BQ984" s="25"/>
      <c r="BR984" s="25"/>
      <c r="BS984" s="25"/>
      <c r="BT984" s="25"/>
      <c r="BU984" s="25"/>
      <c r="BV984" s="25"/>
      <c r="BW984" s="25"/>
      <c r="BX984" s="25"/>
      <c r="BY984" s="25"/>
      <c r="BZ984" s="25"/>
      <c r="CA984" s="25"/>
      <c r="CB984" s="25"/>
      <c r="CC984" s="25"/>
      <c r="CD984" s="25"/>
      <c r="CE984" s="25"/>
      <c r="CF984" s="25"/>
      <c r="CG984" s="25"/>
      <c r="CH984" s="25"/>
      <c r="CI984" s="25"/>
      <c r="CJ984" s="25"/>
      <c r="CK984" s="25"/>
      <c r="CL984" s="25"/>
      <c r="CM984" s="25"/>
      <c r="CN984" s="25"/>
      <c r="CO984" s="25"/>
      <c r="CP984" s="25"/>
      <c r="CQ984" s="25"/>
      <c r="CR984" s="25"/>
      <c r="CS984" s="25"/>
      <c r="CT984" s="25"/>
      <c r="CU984" s="25"/>
      <c r="CV984" s="25"/>
      <c r="CW984" s="25"/>
      <c r="CX984" s="25"/>
      <c r="CY984" s="25"/>
      <c r="CZ984" s="25"/>
      <c r="DA984" s="25"/>
      <c r="DB984" s="25"/>
      <c r="DC984" s="25"/>
      <c r="DD984" s="25"/>
      <c r="DE984" s="25"/>
      <c r="DF984" s="25"/>
      <c r="DG984" s="25"/>
      <c r="DH984" s="25"/>
      <c r="DI984" s="25"/>
      <c r="DJ984" s="25"/>
      <c r="DK984" s="25"/>
      <c r="DL984" s="25"/>
      <c r="DM984" s="25"/>
      <c r="DN984" s="25"/>
      <c r="DO984" s="25"/>
      <c r="DP984" s="25"/>
      <c r="DQ984" s="25"/>
      <c r="DR984" s="25"/>
      <c r="DS984" s="25"/>
      <c r="DT984" s="25"/>
      <c r="DU984" s="25"/>
      <c r="DV984" s="25"/>
      <c r="DW984" s="25"/>
      <c r="DX984" s="25"/>
      <c r="DY984" s="25"/>
      <c r="DZ984" s="25"/>
      <c r="EA984" s="25"/>
      <c r="EB984" s="25"/>
      <c r="EC984" s="25"/>
      <c r="ED984" s="25"/>
      <c r="EE984" s="25"/>
      <c r="EF984" s="25"/>
      <c r="EG984" s="25"/>
      <c r="EH984" s="25"/>
      <c r="EI984" s="25"/>
      <c r="EJ984" s="25"/>
      <c r="EK984" s="25"/>
      <c r="EL984" s="25"/>
      <c r="EM984" s="25"/>
      <c r="EN984" s="25"/>
      <c r="EO984" s="25"/>
      <c r="EP984" s="25"/>
      <c r="EQ984" s="25"/>
      <c r="ER984" s="25"/>
      <c r="ES984" s="25"/>
      <c r="ET984" s="25"/>
      <c r="EU984" s="25"/>
      <c r="EV984" s="25"/>
      <c r="EW984" s="25"/>
      <c r="EX984" s="25"/>
      <c r="EY984" s="25"/>
      <c r="EZ984" s="25"/>
      <c r="FA984" s="25"/>
      <c r="FB984" s="25"/>
      <c r="FC984" s="25"/>
      <c r="FD984" s="25"/>
      <c r="FE984" s="25"/>
      <c r="FF984" s="25"/>
      <c r="FG984" s="25"/>
      <c r="FH984" s="25"/>
      <c r="FI984" s="25"/>
      <c r="FJ984" s="25"/>
      <c r="FK984" s="25"/>
      <c r="FL984" s="25"/>
      <c r="FM984" s="25"/>
      <c r="FN984" s="25"/>
      <c r="FO984" s="25"/>
      <c r="FP984" s="25"/>
      <c r="FQ984" s="25"/>
      <c r="FR984" s="25"/>
      <c r="FS984" s="25"/>
      <c r="FT984" s="25"/>
      <c r="FU984" s="25"/>
      <c r="FV984" s="25"/>
      <c r="FW984" s="25"/>
      <c r="FX984" s="25"/>
      <c r="FY984" s="25"/>
      <c r="FZ984" s="25"/>
      <c r="GA984" s="25"/>
      <c r="GB984" s="25"/>
      <c r="GC984" s="25"/>
      <c r="GD984" s="25"/>
      <c r="GE984" s="25"/>
      <c r="GF984" s="25"/>
      <c r="GG984" s="25"/>
      <c r="GH984" s="25"/>
      <c r="GI984" s="25"/>
      <c r="GJ984" s="25"/>
      <c r="GK984" s="25"/>
      <c r="GL984" s="25"/>
      <c r="GM984" s="25"/>
      <c r="GN984" s="25"/>
      <c r="GO984" s="25"/>
      <c r="GP984" s="25"/>
      <c r="GQ984" s="25"/>
      <c r="GR984" s="25"/>
      <c r="GS984" s="25"/>
      <c r="GT984" s="25"/>
      <c r="GU984" s="25"/>
      <c r="GV984" s="25"/>
      <c r="GW984" s="25"/>
      <c r="GX984" s="25"/>
      <c r="GY984" s="25"/>
      <c r="GZ984" s="25"/>
      <c r="HA984" s="25"/>
      <c r="HB984" s="25"/>
      <c r="HC984" s="25"/>
      <c r="HD984" s="25"/>
      <c r="HE984" s="25"/>
      <c r="HF984" s="25"/>
      <c r="HG984" s="25"/>
      <c r="HH984" s="25"/>
      <c r="HI984" s="25"/>
      <c r="HJ984" s="25"/>
      <c r="HK984" s="25"/>
      <c r="HL984" s="25"/>
      <c r="HM984" s="25"/>
      <c r="HN984" s="25"/>
      <c r="HO984" s="25"/>
      <c r="HP984" s="25"/>
      <c r="HQ984" s="25"/>
      <c r="HR984" s="25"/>
      <c r="HS984" s="25"/>
      <c r="HT984" s="25"/>
      <c r="HU984" s="25"/>
      <c r="HV984" s="25"/>
      <c r="HW984" s="25"/>
      <c r="HX984" s="25"/>
      <c r="HY984" s="25"/>
      <c r="HZ984" s="25"/>
      <c r="IA984" s="25"/>
      <c r="IB984" s="25"/>
      <c r="IC984" s="25"/>
      <c r="ID984" s="25"/>
      <c r="IE984" s="25"/>
      <c r="IF984" s="25"/>
      <c r="IG984" s="25"/>
      <c r="IH984" s="25"/>
      <c r="II984" s="25"/>
      <c r="IJ984" s="25"/>
      <c r="IK984" s="25"/>
      <c r="IL984" s="25"/>
      <c r="IM984" s="25"/>
      <c r="IN984" s="25"/>
      <c r="IO984" s="25"/>
      <c r="IP984" s="25"/>
      <c r="IQ984" s="25"/>
      <c r="IR984" s="25"/>
      <c r="IS984" s="25"/>
      <c r="IT984" s="25"/>
      <c r="IU984" s="25"/>
      <c r="IV984" s="25"/>
      <c r="IW984" s="25"/>
      <c r="IX984" s="25"/>
      <c r="IY984" s="25"/>
      <c r="IZ984" s="25"/>
      <c r="JA984" s="25"/>
      <c r="JB984" s="25"/>
      <c r="JC984" s="25"/>
      <c r="JD984" s="25"/>
      <c r="JE984" s="25"/>
      <c r="JF984" s="25"/>
      <c r="JG984" s="25"/>
      <c r="JH984" s="25"/>
      <c r="JI984" s="25"/>
      <c r="JJ984" s="25"/>
      <c r="JK984" s="25"/>
      <c r="JL984" s="25"/>
      <c r="JM984" s="25"/>
      <c r="JN984" s="25"/>
      <c r="JO984" s="25"/>
      <c r="JP984" s="25"/>
      <c r="JQ984" s="25"/>
      <c r="JR984" s="25"/>
      <c r="JS984" s="25"/>
      <c r="JT984" s="25"/>
      <c r="JU984" s="25"/>
      <c r="JV984" s="25"/>
      <c r="JW984" s="25"/>
      <c r="JX984" s="25"/>
      <c r="JY984" s="25"/>
      <c r="JZ984" s="25"/>
      <c r="KA984" s="25"/>
      <c r="KB984" s="25"/>
      <c r="KC984" s="25"/>
      <c r="KD984" s="25"/>
      <c r="KE984" s="25"/>
      <c r="KF984" s="25"/>
      <c r="KG984" s="25"/>
      <c r="KH984" s="25"/>
      <c r="KI984" s="25"/>
      <c r="KJ984" s="25"/>
      <c r="KK984" s="25"/>
      <c r="KL984" s="25"/>
      <c r="KM984" s="25"/>
      <c r="KN984" s="25"/>
      <c r="KO984" s="25"/>
      <c r="KP984" s="25"/>
      <c r="KQ984" s="25"/>
      <c r="KR984" s="25"/>
      <c r="KS984" s="25"/>
      <c r="KT984" s="25"/>
      <c r="KU984" s="25"/>
      <c r="KV984" s="25"/>
      <c r="KW984" s="25"/>
      <c r="KX984" s="25"/>
      <c r="KY984" s="25"/>
      <c r="KZ984" s="25"/>
      <c r="LA984" s="25"/>
      <c r="LB984" s="25"/>
      <c r="LC984" s="25"/>
      <c r="LD984" s="25"/>
      <c r="LE984" s="25"/>
      <c r="LF984" s="25"/>
      <c r="LG984" s="25"/>
      <c r="LH984" s="25"/>
      <c r="LI984" s="25"/>
      <c r="LJ984" s="25"/>
      <c r="LK984" s="25"/>
      <c r="LL984" s="25"/>
      <c r="LM984" s="25"/>
      <c r="LN984" s="25"/>
      <c r="LO984" s="25"/>
      <c r="LP984" s="25"/>
      <c r="LQ984" s="25"/>
      <c r="LR984" s="25"/>
      <c r="LS984" s="25"/>
      <c r="LT984" s="25"/>
      <c r="LU984" s="25"/>
      <c r="LV984" s="25"/>
      <c r="LW984" s="25"/>
      <c r="LX984" s="25"/>
      <c r="LY984" s="25"/>
      <c r="LZ984" s="25"/>
      <c r="MA984" s="25"/>
      <c r="MB984" s="25"/>
      <c r="MC984" s="25"/>
      <c r="MD984" s="25"/>
      <c r="ME984" s="25"/>
      <c r="MF984" s="25"/>
      <c r="MG984" s="25"/>
      <c r="MH984" s="25"/>
      <c r="MI984" s="25"/>
      <c r="MJ984" s="25"/>
      <c r="MK984" s="25"/>
      <c r="ML984" s="25"/>
      <c r="MM984" s="25"/>
      <c r="MN984" s="25"/>
      <c r="MO984" s="25"/>
      <c r="MP984" s="25"/>
      <c r="MQ984" s="25"/>
      <c r="MR984" s="25"/>
      <c r="MS984" s="25"/>
      <c r="MT984" s="25"/>
      <c r="MU984" s="25"/>
      <c r="MV984" s="25"/>
      <c r="MW984" s="25"/>
      <c r="MX984" s="25"/>
      <c r="MY984" s="25"/>
      <c r="MZ984" s="25"/>
      <c r="NA984" s="25"/>
      <c r="NB984" s="25"/>
      <c r="NC984" s="25"/>
      <c r="ND984" s="25"/>
      <c r="NE984" s="25"/>
      <c r="NF984" s="25"/>
      <c r="NG984" s="25"/>
      <c r="NH984" s="25"/>
      <c r="NI984" s="25"/>
      <c r="NJ984" s="25"/>
      <c r="NK984" s="25"/>
      <c r="NL984" s="25"/>
      <c r="NM984" s="25"/>
      <c r="NN984" s="25"/>
      <c r="NO984" s="25"/>
      <c r="NP984" s="25"/>
      <c r="NQ984" s="25"/>
      <c r="NR984" s="25"/>
      <c r="NS984" s="25"/>
      <c r="NT984" s="25"/>
      <c r="NU984" s="25"/>
      <c r="NV984" s="25"/>
      <c r="NW984" s="25"/>
      <c r="NX984" s="25"/>
      <c r="NY984" s="25"/>
      <c r="NZ984" s="25"/>
      <c r="OA984" s="25"/>
      <c r="OB984" s="25"/>
      <c r="OC984" s="25"/>
      <c r="OD984" s="25"/>
      <c r="OE984" s="25"/>
      <c r="OF984" s="25"/>
      <c r="OG984" s="25"/>
      <c r="OH984" s="25"/>
      <c r="OI984" s="25"/>
      <c r="OJ984" s="25"/>
      <c r="OK984" s="25"/>
      <c r="OL984" s="25"/>
      <c r="OM984" s="25"/>
      <c r="ON984" s="25"/>
      <c r="OO984" s="25"/>
      <c r="OP984" s="25"/>
      <c r="OQ984" s="25"/>
      <c r="OR984" s="25"/>
      <c r="OS984" s="25"/>
      <c r="OT984" s="25"/>
      <c r="OU984" s="25"/>
      <c r="OV984" s="25"/>
      <c r="OW984" s="25"/>
      <c r="OX984" s="25"/>
      <c r="OY984" s="25"/>
      <c r="OZ984" s="25"/>
      <c r="PA984" s="25"/>
      <c r="PB984" s="25"/>
      <c r="PC984" s="25"/>
      <c r="PD984" s="25"/>
      <c r="PE984" s="25"/>
      <c r="PF984" s="25"/>
      <c r="PG984" s="25"/>
      <c r="PH984" s="25"/>
      <c r="PI984" s="25"/>
      <c r="PJ984" s="25"/>
      <c r="PK984" s="25"/>
      <c r="PL984" s="25"/>
      <c r="PM984" s="25"/>
      <c r="PN984" s="25"/>
      <c r="PO984" s="25"/>
      <c r="PP984" s="25"/>
      <c r="PQ984" s="25"/>
      <c r="PR984" s="25"/>
      <c r="PS984" s="25"/>
      <c r="PT984" s="25"/>
      <c r="PU984" s="25"/>
      <c r="PV984" s="25"/>
      <c r="PW984" s="25"/>
      <c r="PX984" s="25"/>
      <c r="PY984" s="25"/>
      <c r="PZ984" s="25"/>
      <c r="QA984" s="25"/>
      <c r="QB984" s="25"/>
      <c r="QC984" s="25"/>
      <c r="QD984" s="25"/>
      <c r="QE984" s="25"/>
      <c r="QF984" s="25"/>
      <c r="QG984" s="25"/>
      <c r="QH984" s="25"/>
      <c r="QI984" s="25"/>
      <c r="QJ984" s="25"/>
      <c r="QK984" s="25"/>
      <c r="QL984" s="25"/>
      <c r="QM984" s="25"/>
      <c r="QN984" s="25"/>
      <c r="QO984" s="25"/>
      <c r="QP984" s="25"/>
      <c r="QQ984" s="25"/>
      <c r="QR984" s="25"/>
      <c r="QS984" s="25"/>
      <c r="QT984" s="25"/>
      <c r="QU984" s="25"/>
      <c r="QV984" s="25"/>
      <c r="QW984" s="25"/>
      <c r="QX984" s="25"/>
      <c r="QY984" s="25"/>
      <c r="QZ984" s="25"/>
      <c r="RA984" s="25"/>
      <c r="RB984" s="25"/>
      <c r="RC984" s="25"/>
      <c r="RD984" s="25"/>
      <c r="RE984" s="25"/>
      <c r="RF984" s="25"/>
      <c r="RG984" s="25"/>
      <c r="RH984" s="25"/>
      <c r="RI984" s="25"/>
      <c r="RJ984" s="25"/>
      <c r="RK984" s="25"/>
      <c r="RL984" s="25"/>
      <c r="RM984" s="25"/>
      <c r="RN984" s="25"/>
      <c r="RO984" s="25"/>
      <c r="RP984" s="25"/>
      <c r="RQ984" s="25"/>
      <c r="RR984" s="25"/>
      <c r="RS984" s="25"/>
      <c r="RT984" s="25"/>
      <c r="RU984" s="25"/>
      <c r="RV984" s="25"/>
      <c r="RW984" s="25"/>
      <c r="RX984" s="25"/>
      <c r="RY984" s="25"/>
      <c r="RZ984" s="25"/>
      <c r="SA984" s="25"/>
      <c r="SB984" s="25"/>
      <c r="SC984" s="25"/>
      <c r="SD984" s="25"/>
      <c r="SE984" s="25"/>
      <c r="SF984" s="25"/>
      <c r="SG984" s="25"/>
      <c r="SH984" s="25"/>
      <c r="SI984" s="25"/>
      <c r="SJ984" s="25"/>
      <c r="SK984" s="25"/>
      <c r="SL984" s="25"/>
      <c r="SM984" s="25"/>
      <c r="SN984" s="25"/>
      <c r="SO984" s="25"/>
      <c r="SP984" s="25"/>
      <c r="SQ984" s="25"/>
      <c r="SR984" s="25"/>
      <c r="SS984" s="25"/>
      <c r="ST984" s="25"/>
      <c r="SU984" s="25"/>
      <c r="SV984" s="25"/>
      <c r="SW984" s="25"/>
      <c r="SX984" s="25"/>
      <c r="SY984" s="25"/>
      <c r="SZ984" s="25"/>
      <c r="TA984" s="25"/>
      <c r="TB984" s="25"/>
      <c r="TC984" s="25"/>
      <c r="TD984" s="25"/>
      <c r="TE984" s="25"/>
      <c r="TF984" s="25"/>
      <c r="TG984" s="25"/>
      <c r="TH984" s="25"/>
      <c r="TI984" s="25"/>
      <c r="TJ984" s="25"/>
      <c r="TK984" s="25"/>
      <c r="TL984" s="25"/>
      <c r="TM984" s="25"/>
      <c r="TN984" s="25"/>
      <c r="TO984" s="25"/>
      <c r="TP984" s="25"/>
      <c r="TQ984" s="25"/>
      <c r="TR984" s="25"/>
      <c r="TS984" s="25"/>
      <c r="TT984" s="25"/>
      <c r="TU984" s="25"/>
      <c r="TV984" s="25"/>
      <c r="TW984" s="25"/>
      <c r="TX984" s="25"/>
      <c r="TY984" s="25"/>
      <c r="TZ984" s="25"/>
      <c r="UA984" s="25"/>
      <c r="UB984" s="25"/>
      <c r="UC984" s="25"/>
      <c r="UD984" s="25"/>
      <c r="UE984" s="25"/>
      <c r="UF984" s="25"/>
      <c r="UG984" s="26"/>
    </row>
    <row r="985" spans="1:553" ht="373.5" customHeight="1">
      <c r="A985" s="356"/>
      <c r="B985" s="385"/>
      <c r="C985" s="384" t="s">
        <v>69</v>
      </c>
      <c r="D985" s="376" t="s">
        <v>20</v>
      </c>
      <c r="E985" s="376" t="s">
        <v>571</v>
      </c>
      <c r="F985" s="385">
        <v>1</v>
      </c>
      <c r="G985" s="396" t="s">
        <v>33</v>
      </c>
      <c r="H985" s="387">
        <v>646.5</v>
      </c>
      <c r="I985" s="441">
        <v>646.5</v>
      </c>
      <c r="J985" s="477">
        <v>55000</v>
      </c>
      <c r="K985" s="391"/>
      <c r="L985" s="480">
        <f t="shared" si="146"/>
        <v>35557500</v>
      </c>
      <c r="M985" s="392"/>
      <c r="N985" s="392"/>
      <c r="O985" s="366"/>
      <c r="P985" s="366"/>
      <c r="Q985" s="761" t="s">
        <v>572</v>
      </c>
      <c r="R985" s="1163"/>
      <c r="S985" s="308"/>
      <c r="T985" s="308"/>
      <c r="U985" s="308"/>
      <c r="V985" s="308"/>
      <c r="W985" s="308"/>
      <c r="X985" s="307">
        <f>I985</f>
        <v>646.5</v>
      </c>
      <c r="Y985" s="308"/>
      <c r="Z985" s="604"/>
      <c r="AA985" s="308"/>
      <c r="AB985" s="308"/>
      <c r="AC985" s="449"/>
      <c r="AD985" s="449"/>
      <c r="AE985" s="449"/>
      <c r="AF985" s="449"/>
      <c r="AG985" s="449"/>
      <c r="AH985" s="449"/>
      <c r="AI985" s="449"/>
      <c r="AJ985" s="449"/>
      <c r="AK985" s="452"/>
      <c r="AL985" s="104"/>
      <c r="AM985" s="32"/>
      <c r="AN985" s="32"/>
      <c r="AO985" s="32"/>
      <c r="AP985" s="32"/>
      <c r="AQ985" s="32"/>
      <c r="AR985" s="32"/>
      <c r="AS985" s="31"/>
      <c r="AT985" s="22"/>
      <c r="AU985" s="22"/>
      <c r="AV985" s="22"/>
      <c r="AW985" s="22"/>
      <c r="AX985" s="22"/>
      <c r="AY985" s="22"/>
      <c r="AZ985" s="22"/>
      <c r="BA985" s="22"/>
      <c r="BB985" s="22"/>
      <c r="BC985" s="22"/>
      <c r="BD985" s="22"/>
      <c r="BE985" s="22"/>
      <c r="BF985" s="22"/>
      <c r="BG985" s="22"/>
      <c r="BH985" s="22"/>
      <c r="BI985" s="22"/>
      <c r="BJ985" s="22"/>
      <c r="BK985" s="22"/>
      <c r="BL985" s="22"/>
      <c r="BM985" s="22"/>
      <c r="BN985" s="22"/>
      <c r="BO985" s="22"/>
      <c r="BP985" s="25"/>
      <c r="BQ985" s="25"/>
      <c r="BR985" s="25"/>
      <c r="BS985" s="25"/>
      <c r="BT985" s="25"/>
      <c r="BU985" s="25"/>
      <c r="BV985" s="25"/>
      <c r="BW985" s="25"/>
      <c r="BX985" s="25"/>
      <c r="BY985" s="25"/>
      <c r="BZ985" s="25"/>
      <c r="CA985" s="25"/>
      <c r="CB985" s="25"/>
      <c r="CC985" s="25"/>
      <c r="CD985" s="25"/>
      <c r="CE985" s="25"/>
      <c r="CF985" s="25"/>
      <c r="CG985" s="25"/>
      <c r="CH985" s="25"/>
      <c r="CI985" s="25"/>
      <c r="CJ985" s="25"/>
      <c r="CK985" s="25"/>
      <c r="CL985" s="25"/>
      <c r="CM985" s="25"/>
      <c r="CN985" s="25"/>
      <c r="CO985" s="25"/>
      <c r="CP985" s="25"/>
      <c r="CQ985" s="25"/>
      <c r="CR985" s="25"/>
      <c r="CS985" s="25"/>
      <c r="CT985" s="25"/>
      <c r="CU985" s="25"/>
      <c r="CV985" s="25"/>
      <c r="CW985" s="25"/>
      <c r="CX985" s="25"/>
      <c r="CY985" s="25"/>
      <c r="CZ985" s="25"/>
      <c r="DA985" s="25"/>
      <c r="DB985" s="25"/>
      <c r="DC985" s="25"/>
      <c r="DD985" s="25"/>
      <c r="DE985" s="25"/>
      <c r="DF985" s="25"/>
      <c r="DG985" s="25"/>
      <c r="DH985" s="25"/>
      <c r="DI985" s="25"/>
      <c r="DJ985" s="25"/>
      <c r="DK985" s="25"/>
      <c r="DL985" s="25"/>
      <c r="DM985" s="25"/>
      <c r="DN985" s="25"/>
      <c r="DO985" s="25"/>
      <c r="DP985" s="25"/>
      <c r="DQ985" s="25"/>
      <c r="DR985" s="25"/>
      <c r="DS985" s="25"/>
      <c r="DT985" s="25"/>
      <c r="DU985" s="25"/>
      <c r="DV985" s="25"/>
      <c r="DW985" s="25"/>
      <c r="DX985" s="25"/>
      <c r="DY985" s="25"/>
      <c r="DZ985" s="25"/>
      <c r="EA985" s="25"/>
      <c r="EB985" s="25"/>
      <c r="EC985" s="25"/>
      <c r="ED985" s="25"/>
      <c r="EE985" s="25"/>
      <c r="EF985" s="25"/>
      <c r="EG985" s="25"/>
      <c r="EH985" s="25"/>
      <c r="EI985" s="25"/>
      <c r="EJ985" s="25"/>
      <c r="EK985" s="25"/>
      <c r="EL985" s="25"/>
      <c r="EM985" s="25"/>
      <c r="EN985" s="25"/>
      <c r="EO985" s="25"/>
      <c r="EP985" s="25"/>
      <c r="EQ985" s="25"/>
      <c r="ER985" s="25"/>
      <c r="ES985" s="25"/>
      <c r="ET985" s="25"/>
      <c r="EU985" s="25"/>
      <c r="EV985" s="25"/>
      <c r="EW985" s="25"/>
      <c r="EX985" s="25"/>
      <c r="EY985" s="25"/>
      <c r="EZ985" s="25"/>
      <c r="FA985" s="25"/>
      <c r="FB985" s="25"/>
      <c r="FC985" s="25"/>
      <c r="FD985" s="25"/>
      <c r="FE985" s="25"/>
      <c r="FF985" s="25"/>
      <c r="FG985" s="25"/>
      <c r="FH985" s="25"/>
      <c r="FI985" s="25"/>
      <c r="FJ985" s="25"/>
      <c r="FK985" s="25"/>
      <c r="FL985" s="25"/>
      <c r="FM985" s="25"/>
      <c r="FN985" s="25"/>
      <c r="FO985" s="25"/>
      <c r="FP985" s="25"/>
      <c r="FQ985" s="25"/>
      <c r="FR985" s="25"/>
      <c r="FS985" s="25"/>
      <c r="FT985" s="25"/>
      <c r="FU985" s="25"/>
      <c r="FV985" s="25"/>
      <c r="FW985" s="25"/>
      <c r="FX985" s="25"/>
      <c r="FY985" s="25"/>
      <c r="FZ985" s="25"/>
      <c r="GA985" s="25"/>
      <c r="GB985" s="25"/>
      <c r="GC985" s="25"/>
      <c r="GD985" s="25"/>
      <c r="GE985" s="25"/>
      <c r="GF985" s="25"/>
      <c r="GG985" s="25"/>
      <c r="GH985" s="25"/>
      <c r="GI985" s="25"/>
      <c r="GJ985" s="25"/>
      <c r="GK985" s="25"/>
      <c r="GL985" s="25"/>
      <c r="GM985" s="25"/>
      <c r="GN985" s="25"/>
      <c r="GO985" s="25"/>
      <c r="GP985" s="25"/>
      <c r="GQ985" s="25"/>
      <c r="GR985" s="25"/>
      <c r="GS985" s="25"/>
      <c r="GT985" s="25"/>
      <c r="GU985" s="25"/>
      <c r="GV985" s="25"/>
      <c r="GW985" s="25"/>
      <c r="GX985" s="25"/>
      <c r="GY985" s="25"/>
      <c r="GZ985" s="25"/>
      <c r="HA985" s="25"/>
      <c r="HB985" s="25"/>
      <c r="HC985" s="25"/>
      <c r="HD985" s="25"/>
      <c r="HE985" s="25"/>
      <c r="HF985" s="25"/>
      <c r="HG985" s="25"/>
      <c r="HH985" s="25"/>
      <c r="HI985" s="25"/>
      <c r="HJ985" s="25"/>
      <c r="HK985" s="25"/>
      <c r="HL985" s="25"/>
      <c r="HM985" s="25"/>
      <c r="HN985" s="25"/>
      <c r="HO985" s="25"/>
      <c r="HP985" s="25"/>
      <c r="HQ985" s="25"/>
      <c r="HR985" s="25"/>
      <c r="HS985" s="25"/>
      <c r="HT985" s="25"/>
      <c r="HU985" s="25"/>
      <c r="HV985" s="25"/>
      <c r="HW985" s="25"/>
      <c r="HX985" s="25"/>
      <c r="HY985" s="25"/>
      <c r="HZ985" s="25"/>
      <c r="IA985" s="25"/>
      <c r="IB985" s="25"/>
      <c r="IC985" s="25"/>
      <c r="ID985" s="25"/>
      <c r="IE985" s="25"/>
      <c r="IF985" s="25"/>
      <c r="IG985" s="25"/>
      <c r="IH985" s="25"/>
      <c r="II985" s="25"/>
      <c r="IJ985" s="25"/>
      <c r="IK985" s="25"/>
      <c r="IL985" s="25"/>
      <c r="IM985" s="25"/>
      <c r="IN985" s="25"/>
      <c r="IO985" s="25"/>
      <c r="IP985" s="25"/>
      <c r="IQ985" s="25"/>
      <c r="IR985" s="25"/>
      <c r="IS985" s="25"/>
      <c r="IT985" s="25"/>
      <c r="IU985" s="25"/>
      <c r="IV985" s="25"/>
      <c r="IW985" s="25"/>
      <c r="IX985" s="25"/>
      <c r="IY985" s="25"/>
      <c r="IZ985" s="25"/>
      <c r="JA985" s="25"/>
      <c r="JB985" s="25"/>
      <c r="JC985" s="25"/>
      <c r="JD985" s="25"/>
      <c r="JE985" s="25"/>
      <c r="JF985" s="25"/>
      <c r="JG985" s="25"/>
      <c r="JH985" s="25"/>
      <c r="JI985" s="25"/>
      <c r="JJ985" s="25"/>
      <c r="JK985" s="25"/>
      <c r="JL985" s="25"/>
      <c r="JM985" s="25"/>
      <c r="JN985" s="25"/>
      <c r="JO985" s="25"/>
      <c r="JP985" s="25"/>
      <c r="JQ985" s="25"/>
      <c r="JR985" s="25"/>
      <c r="JS985" s="25"/>
      <c r="JT985" s="25"/>
      <c r="JU985" s="25"/>
      <c r="JV985" s="25"/>
      <c r="JW985" s="25"/>
      <c r="JX985" s="25"/>
      <c r="JY985" s="25"/>
      <c r="JZ985" s="25"/>
      <c r="KA985" s="25"/>
      <c r="KB985" s="25"/>
      <c r="KC985" s="25"/>
      <c r="KD985" s="25"/>
      <c r="KE985" s="25"/>
      <c r="KF985" s="25"/>
      <c r="KG985" s="25"/>
      <c r="KH985" s="25"/>
      <c r="KI985" s="25"/>
      <c r="KJ985" s="25"/>
      <c r="KK985" s="25"/>
      <c r="KL985" s="25"/>
      <c r="KM985" s="25"/>
      <c r="KN985" s="25"/>
      <c r="KO985" s="25"/>
      <c r="KP985" s="25"/>
      <c r="KQ985" s="25"/>
      <c r="KR985" s="25"/>
      <c r="KS985" s="25"/>
      <c r="KT985" s="25"/>
      <c r="KU985" s="25"/>
      <c r="KV985" s="25"/>
      <c r="KW985" s="25"/>
      <c r="KX985" s="25"/>
      <c r="KY985" s="25"/>
      <c r="KZ985" s="25"/>
      <c r="LA985" s="25"/>
      <c r="LB985" s="25"/>
      <c r="LC985" s="25"/>
      <c r="LD985" s="25"/>
      <c r="LE985" s="25"/>
      <c r="LF985" s="25"/>
      <c r="LG985" s="25"/>
      <c r="LH985" s="25"/>
      <c r="LI985" s="25"/>
      <c r="LJ985" s="25"/>
      <c r="LK985" s="25"/>
      <c r="LL985" s="25"/>
      <c r="LM985" s="25"/>
      <c r="LN985" s="25"/>
      <c r="LO985" s="25"/>
      <c r="LP985" s="25"/>
      <c r="LQ985" s="25"/>
      <c r="LR985" s="25"/>
      <c r="LS985" s="25"/>
      <c r="LT985" s="25"/>
      <c r="LU985" s="25"/>
      <c r="LV985" s="25"/>
      <c r="LW985" s="25"/>
      <c r="LX985" s="25"/>
      <c r="LY985" s="25"/>
      <c r="LZ985" s="25"/>
      <c r="MA985" s="25"/>
      <c r="MB985" s="25"/>
      <c r="MC985" s="25"/>
      <c r="MD985" s="25"/>
      <c r="ME985" s="25"/>
      <c r="MF985" s="25"/>
      <c r="MG985" s="25"/>
      <c r="MH985" s="25"/>
      <c r="MI985" s="25"/>
      <c r="MJ985" s="25"/>
      <c r="MK985" s="25"/>
      <c r="ML985" s="25"/>
      <c r="MM985" s="25"/>
      <c r="MN985" s="25"/>
      <c r="MO985" s="25"/>
      <c r="MP985" s="25"/>
      <c r="MQ985" s="25"/>
      <c r="MR985" s="25"/>
      <c r="MS985" s="25"/>
      <c r="MT985" s="25"/>
      <c r="MU985" s="25"/>
      <c r="MV985" s="25"/>
      <c r="MW985" s="25"/>
      <c r="MX985" s="25"/>
      <c r="MY985" s="25"/>
      <c r="MZ985" s="25"/>
      <c r="NA985" s="25"/>
      <c r="NB985" s="25"/>
      <c r="NC985" s="25"/>
      <c r="ND985" s="25"/>
      <c r="NE985" s="25"/>
      <c r="NF985" s="25"/>
      <c r="NG985" s="25"/>
      <c r="NH985" s="25"/>
      <c r="NI985" s="25"/>
      <c r="NJ985" s="25"/>
      <c r="NK985" s="25"/>
      <c r="NL985" s="25"/>
      <c r="NM985" s="25"/>
      <c r="NN985" s="25"/>
      <c r="NO985" s="25"/>
      <c r="NP985" s="25"/>
      <c r="NQ985" s="25"/>
      <c r="NR985" s="25"/>
      <c r="NS985" s="25"/>
      <c r="NT985" s="25"/>
      <c r="NU985" s="25"/>
      <c r="NV985" s="25"/>
      <c r="NW985" s="25"/>
      <c r="NX985" s="25"/>
      <c r="NY985" s="25"/>
      <c r="NZ985" s="25"/>
      <c r="OA985" s="25"/>
      <c r="OB985" s="25"/>
      <c r="OC985" s="25"/>
      <c r="OD985" s="25"/>
      <c r="OE985" s="25"/>
      <c r="OF985" s="25"/>
      <c r="OG985" s="25"/>
      <c r="OH985" s="25"/>
      <c r="OI985" s="25"/>
      <c r="OJ985" s="25"/>
      <c r="OK985" s="25"/>
      <c r="OL985" s="25"/>
      <c r="OM985" s="25"/>
      <c r="ON985" s="25"/>
      <c r="OO985" s="25"/>
      <c r="OP985" s="25"/>
      <c r="OQ985" s="25"/>
      <c r="OR985" s="25"/>
      <c r="OS985" s="25"/>
      <c r="OT985" s="25"/>
      <c r="OU985" s="25"/>
      <c r="OV985" s="25"/>
      <c r="OW985" s="25"/>
      <c r="OX985" s="25"/>
      <c r="OY985" s="25"/>
      <c r="OZ985" s="25"/>
      <c r="PA985" s="25"/>
      <c r="PB985" s="25"/>
      <c r="PC985" s="25"/>
      <c r="PD985" s="25"/>
      <c r="PE985" s="25"/>
      <c r="PF985" s="25"/>
      <c r="PG985" s="25"/>
      <c r="PH985" s="25"/>
      <c r="PI985" s="25"/>
      <c r="PJ985" s="25"/>
      <c r="PK985" s="25"/>
      <c r="PL985" s="25"/>
      <c r="PM985" s="25"/>
      <c r="PN985" s="25"/>
      <c r="PO985" s="25"/>
      <c r="PP985" s="25"/>
      <c r="PQ985" s="25"/>
      <c r="PR985" s="25"/>
      <c r="PS985" s="25"/>
      <c r="PT985" s="25"/>
      <c r="PU985" s="25"/>
      <c r="PV985" s="25"/>
      <c r="PW985" s="25"/>
      <c r="PX985" s="25"/>
      <c r="PY985" s="25"/>
      <c r="PZ985" s="25"/>
      <c r="QA985" s="25"/>
      <c r="QB985" s="25"/>
      <c r="QC985" s="25"/>
      <c r="QD985" s="25"/>
      <c r="QE985" s="25"/>
      <c r="QF985" s="25"/>
      <c r="QG985" s="25"/>
      <c r="QH985" s="25"/>
      <c r="QI985" s="25"/>
      <c r="QJ985" s="25"/>
      <c r="QK985" s="25"/>
      <c r="QL985" s="25"/>
      <c r="QM985" s="25"/>
      <c r="QN985" s="25"/>
      <c r="QO985" s="25"/>
      <c r="QP985" s="25"/>
      <c r="QQ985" s="25"/>
      <c r="QR985" s="25"/>
      <c r="QS985" s="25"/>
      <c r="QT985" s="25"/>
      <c r="QU985" s="25"/>
      <c r="QV985" s="25"/>
      <c r="QW985" s="25"/>
      <c r="QX985" s="25"/>
      <c r="QY985" s="25"/>
      <c r="QZ985" s="25"/>
      <c r="RA985" s="25"/>
      <c r="RB985" s="25"/>
      <c r="RC985" s="25"/>
      <c r="RD985" s="25"/>
      <c r="RE985" s="25"/>
      <c r="RF985" s="25"/>
      <c r="RG985" s="25"/>
      <c r="RH985" s="25"/>
      <c r="RI985" s="25"/>
      <c r="RJ985" s="25"/>
      <c r="RK985" s="25"/>
      <c r="RL985" s="25"/>
      <c r="RM985" s="25"/>
      <c r="RN985" s="25"/>
      <c r="RO985" s="25"/>
      <c r="RP985" s="25"/>
      <c r="RQ985" s="25"/>
      <c r="RR985" s="25"/>
      <c r="RS985" s="25"/>
      <c r="RT985" s="25"/>
      <c r="RU985" s="25"/>
      <c r="RV985" s="25"/>
      <c r="RW985" s="25"/>
      <c r="RX985" s="25"/>
      <c r="RY985" s="25"/>
      <c r="RZ985" s="25"/>
      <c r="SA985" s="25"/>
      <c r="SB985" s="25"/>
      <c r="SC985" s="25"/>
      <c r="SD985" s="25"/>
      <c r="SE985" s="25"/>
      <c r="SF985" s="25"/>
      <c r="SG985" s="25"/>
      <c r="SH985" s="25"/>
      <c r="SI985" s="25"/>
      <c r="SJ985" s="25"/>
      <c r="SK985" s="25"/>
      <c r="SL985" s="25"/>
      <c r="SM985" s="25"/>
      <c r="SN985" s="25"/>
      <c r="SO985" s="25"/>
      <c r="SP985" s="25"/>
      <c r="SQ985" s="25"/>
      <c r="SR985" s="25"/>
      <c r="SS985" s="25"/>
      <c r="ST985" s="25"/>
      <c r="SU985" s="25"/>
      <c r="SV985" s="25"/>
      <c r="SW985" s="25"/>
      <c r="SX985" s="25"/>
      <c r="SY985" s="25"/>
      <c r="SZ985" s="25"/>
      <c r="TA985" s="25"/>
      <c r="TB985" s="25"/>
      <c r="TC985" s="25"/>
      <c r="TD985" s="25"/>
      <c r="TE985" s="25"/>
      <c r="TF985" s="25"/>
      <c r="TG985" s="25"/>
      <c r="TH985" s="25"/>
      <c r="TI985" s="25"/>
      <c r="TJ985" s="25"/>
      <c r="TK985" s="25"/>
      <c r="TL985" s="25"/>
      <c r="TM985" s="25"/>
      <c r="TN985" s="25"/>
      <c r="TO985" s="25"/>
      <c r="TP985" s="25"/>
      <c r="TQ985" s="25"/>
      <c r="TR985" s="25"/>
      <c r="TS985" s="25"/>
      <c r="TT985" s="25"/>
      <c r="TU985" s="25"/>
      <c r="TV985" s="25"/>
      <c r="TW985" s="25"/>
      <c r="TX985" s="25"/>
      <c r="TY985" s="25"/>
      <c r="TZ985" s="25"/>
      <c r="UA985" s="25"/>
      <c r="UB985" s="25"/>
      <c r="UC985" s="25"/>
      <c r="UD985" s="25"/>
      <c r="UE985" s="25"/>
      <c r="UF985" s="25"/>
      <c r="UG985" s="26"/>
    </row>
    <row r="986" spans="1:553" ht="295.5" customHeight="1">
      <c r="A986" s="356"/>
      <c r="B986" s="385"/>
      <c r="C986" s="384" t="s">
        <v>213</v>
      </c>
      <c r="D986" s="376" t="s">
        <v>20</v>
      </c>
      <c r="E986" s="376" t="s">
        <v>508</v>
      </c>
      <c r="F986" s="385">
        <v>1</v>
      </c>
      <c r="G986" s="396" t="s">
        <v>33</v>
      </c>
      <c r="H986" s="387">
        <v>203.1</v>
      </c>
      <c r="I986" s="441">
        <v>203.1</v>
      </c>
      <c r="J986" s="477">
        <v>62000</v>
      </c>
      <c r="K986" s="391"/>
      <c r="L986" s="480">
        <f t="shared" si="146"/>
        <v>12592200</v>
      </c>
      <c r="M986" s="392"/>
      <c r="N986" s="392"/>
      <c r="O986" s="366"/>
      <c r="P986" s="366"/>
      <c r="Q986" s="761" t="s">
        <v>573</v>
      </c>
      <c r="R986" s="1163"/>
      <c r="S986" s="308"/>
      <c r="T986" s="308"/>
      <c r="U986" s="308"/>
      <c r="V986" s="308"/>
      <c r="W986" s="308"/>
      <c r="X986" s="308"/>
      <c r="Y986" s="308"/>
      <c r="Z986" s="604"/>
      <c r="AA986" s="307">
        <f>I986</f>
        <v>203.1</v>
      </c>
      <c r="AB986" s="308"/>
      <c r="AC986" s="449"/>
      <c r="AD986" s="449"/>
      <c r="AE986" s="449"/>
      <c r="AF986" s="449"/>
      <c r="AG986" s="449"/>
      <c r="AH986" s="449"/>
      <c r="AI986" s="449"/>
      <c r="AJ986" s="449"/>
      <c r="AK986" s="452"/>
      <c r="AL986" s="104"/>
      <c r="AM986" s="32"/>
      <c r="AN986" s="32"/>
      <c r="AO986" s="32"/>
      <c r="AP986" s="32"/>
      <c r="AQ986" s="32"/>
      <c r="AR986" s="32"/>
      <c r="AS986" s="31"/>
      <c r="AT986" s="22"/>
      <c r="AU986" s="22"/>
      <c r="AV986" s="22"/>
      <c r="AW986" s="22"/>
      <c r="AX986" s="22"/>
      <c r="AY986" s="22"/>
      <c r="AZ986" s="22"/>
      <c r="BA986" s="22"/>
      <c r="BB986" s="22"/>
      <c r="BC986" s="22"/>
      <c r="BD986" s="22"/>
      <c r="BE986" s="22"/>
      <c r="BF986" s="22"/>
      <c r="BG986" s="22"/>
      <c r="BH986" s="22"/>
      <c r="BI986" s="22"/>
      <c r="BJ986" s="22"/>
      <c r="BK986" s="22"/>
      <c r="BL986" s="22"/>
      <c r="BM986" s="22"/>
      <c r="BN986" s="22"/>
      <c r="BO986" s="22"/>
      <c r="BP986" s="25"/>
      <c r="BQ986" s="25"/>
      <c r="BR986" s="25"/>
      <c r="BS986" s="25"/>
      <c r="BT986" s="25"/>
      <c r="BU986" s="25"/>
      <c r="BV986" s="25"/>
      <c r="BW986" s="25"/>
      <c r="BX986" s="25"/>
      <c r="BY986" s="25"/>
      <c r="BZ986" s="25"/>
      <c r="CA986" s="25"/>
      <c r="CB986" s="25"/>
      <c r="CC986" s="25"/>
      <c r="CD986" s="25"/>
      <c r="CE986" s="25"/>
      <c r="CF986" s="25"/>
      <c r="CG986" s="25"/>
      <c r="CH986" s="25"/>
      <c r="CI986" s="25"/>
      <c r="CJ986" s="25"/>
      <c r="CK986" s="25"/>
      <c r="CL986" s="25"/>
      <c r="CM986" s="25"/>
      <c r="CN986" s="25"/>
      <c r="CO986" s="25"/>
      <c r="CP986" s="25"/>
      <c r="CQ986" s="25"/>
      <c r="CR986" s="25"/>
      <c r="CS986" s="25"/>
      <c r="CT986" s="25"/>
      <c r="CU986" s="25"/>
      <c r="CV986" s="25"/>
      <c r="CW986" s="25"/>
      <c r="CX986" s="25"/>
      <c r="CY986" s="25"/>
      <c r="CZ986" s="25"/>
      <c r="DA986" s="25"/>
      <c r="DB986" s="25"/>
      <c r="DC986" s="25"/>
      <c r="DD986" s="25"/>
      <c r="DE986" s="25"/>
      <c r="DF986" s="25"/>
      <c r="DG986" s="25"/>
      <c r="DH986" s="25"/>
      <c r="DI986" s="25"/>
      <c r="DJ986" s="25"/>
      <c r="DK986" s="25"/>
      <c r="DL986" s="25"/>
      <c r="DM986" s="25"/>
      <c r="DN986" s="25"/>
      <c r="DO986" s="25"/>
      <c r="DP986" s="25"/>
      <c r="DQ986" s="25"/>
      <c r="DR986" s="25"/>
      <c r="DS986" s="25"/>
      <c r="DT986" s="25"/>
      <c r="DU986" s="25"/>
      <c r="DV986" s="25"/>
      <c r="DW986" s="25"/>
      <c r="DX986" s="25"/>
      <c r="DY986" s="25"/>
      <c r="DZ986" s="25"/>
      <c r="EA986" s="25"/>
      <c r="EB986" s="25"/>
      <c r="EC986" s="25"/>
      <c r="ED986" s="25"/>
      <c r="EE986" s="25"/>
      <c r="EF986" s="25"/>
      <c r="EG986" s="25"/>
      <c r="EH986" s="25"/>
      <c r="EI986" s="25"/>
      <c r="EJ986" s="25"/>
      <c r="EK986" s="25"/>
      <c r="EL986" s="25"/>
      <c r="EM986" s="25"/>
      <c r="EN986" s="25"/>
      <c r="EO986" s="25"/>
      <c r="EP986" s="25"/>
      <c r="EQ986" s="25"/>
      <c r="ER986" s="25"/>
      <c r="ES986" s="25"/>
      <c r="ET986" s="25"/>
      <c r="EU986" s="25"/>
      <c r="EV986" s="25"/>
      <c r="EW986" s="25"/>
      <c r="EX986" s="25"/>
      <c r="EY986" s="25"/>
      <c r="EZ986" s="25"/>
      <c r="FA986" s="25"/>
      <c r="FB986" s="25"/>
      <c r="FC986" s="25"/>
      <c r="FD986" s="25"/>
      <c r="FE986" s="25"/>
      <c r="FF986" s="25"/>
      <c r="FG986" s="25"/>
      <c r="FH986" s="25"/>
      <c r="FI986" s="25"/>
      <c r="FJ986" s="25"/>
      <c r="FK986" s="25"/>
      <c r="FL986" s="25"/>
      <c r="FM986" s="25"/>
      <c r="FN986" s="25"/>
      <c r="FO986" s="25"/>
      <c r="FP986" s="25"/>
      <c r="FQ986" s="25"/>
      <c r="FR986" s="25"/>
      <c r="FS986" s="25"/>
      <c r="FT986" s="25"/>
      <c r="FU986" s="25"/>
      <c r="FV986" s="25"/>
      <c r="FW986" s="25"/>
      <c r="FX986" s="25"/>
      <c r="FY986" s="25"/>
      <c r="FZ986" s="25"/>
      <c r="GA986" s="25"/>
      <c r="GB986" s="25"/>
      <c r="GC986" s="25"/>
      <c r="GD986" s="25"/>
      <c r="GE986" s="25"/>
      <c r="GF986" s="25"/>
      <c r="GG986" s="25"/>
      <c r="GH986" s="25"/>
      <c r="GI986" s="25"/>
      <c r="GJ986" s="25"/>
      <c r="GK986" s="25"/>
      <c r="GL986" s="25"/>
      <c r="GM986" s="25"/>
      <c r="GN986" s="25"/>
      <c r="GO986" s="25"/>
      <c r="GP986" s="25"/>
      <c r="GQ986" s="25"/>
      <c r="GR986" s="25"/>
      <c r="GS986" s="25"/>
      <c r="GT986" s="25"/>
      <c r="GU986" s="25"/>
      <c r="GV986" s="25"/>
      <c r="GW986" s="25"/>
      <c r="GX986" s="25"/>
      <c r="GY986" s="25"/>
      <c r="GZ986" s="25"/>
      <c r="HA986" s="25"/>
      <c r="HB986" s="25"/>
      <c r="HC986" s="25"/>
      <c r="HD986" s="25"/>
      <c r="HE986" s="25"/>
      <c r="HF986" s="25"/>
      <c r="HG986" s="25"/>
      <c r="HH986" s="25"/>
      <c r="HI986" s="25"/>
      <c r="HJ986" s="25"/>
      <c r="HK986" s="25"/>
      <c r="HL986" s="25"/>
      <c r="HM986" s="25"/>
      <c r="HN986" s="25"/>
      <c r="HO986" s="25"/>
      <c r="HP986" s="25"/>
      <c r="HQ986" s="25"/>
      <c r="HR986" s="25"/>
      <c r="HS986" s="25"/>
      <c r="HT986" s="25"/>
      <c r="HU986" s="25"/>
      <c r="HV986" s="25"/>
      <c r="HW986" s="25"/>
      <c r="HX986" s="25"/>
      <c r="HY986" s="25"/>
      <c r="HZ986" s="25"/>
      <c r="IA986" s="25"/>
      <c r="IB986" s="25"/>
      <c r="IC986" s="25"/>
      <c r="ID986" s="25"/>
      <c r="IE986" s="25"/>
      <c r="IF986" s="25"/>
      <c r="IG986" s="25"/>
      <c r="IH986" s="25"/>
      <c r="II986" s="25"/>
      <c r="IJ986" s="25"/>
      <c r="IK986" s="25"/>
      <c r="IL986" s="25"/>
      <c r="IM986" s="25"/>
      <c r="IN986" s="25"/>
      <c r="IO986" s="25"/>
      <c r="IP986" s="25"/>
      <c r="IQ986" s="25"/>
      <c r="IR986" s="25"/>
      <c r="IS986" s="25"/>
      <c r="IT986" s="25"/>
      <c r="IU986" s="25"/>
      <c r="IV986" s="25"/>
      <c r="IW986" s="25"/>
      <c r="IX986" s="25"/>
      <c r="IY986" s="25"/>
      <c r="IZ986" s="25"/>
      <c r="JA986" s="25"/>
      <c r="JB986" s="25"/>
      <c r="JC986" s="25"/>
      <c r="JD986" s="25"/>
      <c r="JE986" s="25"/>
      <c r="JF986" s="25"/>
      <c r="JG986" s="25"/>
      <c r="JH986" s="25"/>
      <c r="JI986" s="25"/>
      <c r="JJ986" s="25"/>
      <c r="JK986" s="25"/>
      <c r="JL986" s="25"/>
      <c r="JM986" s="25"/>
      <c r="JN986" s="25"/>
      <c r="JO986" s="25"/>
      <c r="JP986" s="25"/>
      <c r="JQ986" s="25"/>
      <c r="JR986" s="25"/>
      <c r="JS986" s="25"/>
      <c r="JT986" s="25"/>
      <c r="JU986" s="25"/>
      <c r="JV986" s="25"/>
      <c r="JW986" s="25"/>
      <c r="JX986" s="25"/>
      <c r="JY986" s="25"/>
      <c r="JZ986" s="25"/>
      <c r="KA986" s="25"/>
      <c r="KB986" s="25"/>
      <c r="KC986" s="25"/>
      <c r="KD986" s="25"/>
      <c r="KE986" s="25"/>
      <c r="KF986" s="25"/>
      <c r="KG986" s="25"/>
      <c r="KH986" s="25"/>
      <c r="KI986" s="25"/>
      <c r="KJ986" s="25"/>
      <c r="KK986" s="25"/>
      <c r="KL986" s="25"/>
      <c r="KM986" s="25"/>
      <c r="KN986" s="25"/>
      <c r="KO986" s="25"/>
      <c r="KP986" s="25"/>
      <c r="KQ986" s="25"/>
      <c r="KR986" s="25"/>
      <c r="KS986" s="25"/>
      <c r="KT986" s="25"/>
      <c r="KU986" s="25"/>
      <c r="KV986" s="25"/>
      <c r="KW986" s="25"/>
      <c r="KX986" s="25"/>
      <c r="KY986" s="25"/>
      <c r="KZ986" s="25"/>
      <c r="LA986" s="25"/>
      <c r="LB986" s="25"/>
      <c r="LC986" s="25"/>
      <c r="LD986" s="25"/>
      <c r="LE986" s="25"/>
      <c r="LF986" s="25"/>
      <c r="LG986" s="25"/>
      <c r="LH986" s="25"/>
      <c r="LI986" s="25"/>
      <c r="LJ986" s="25"/>
      <c r="LK986" s="25"/>
      <c r="LL986" s="25"/>
      <c r="LM986" s="25"/>
      <c r="LN986" s="25"/>
      <c r="LO986" s="25"/>
      <c r="LP986" s="25"/>
      <c r="LQ986" s="25"/>
      <c r="LR986" s="25"/>
      <c r="LS986" s="25"/>
      <c r="LT986" s="25"/>
      <c r="LU986" s="25"/>
      <c r="LV986" s="25"/>
      <c r="LW986" s="25"/>
      <c r="LX986" s="25"/>
      <c r="LY986" s="25"/>
      <c r="LZ986" s="25"/>
      <c r="MA986" s="25"/>
      <c r="MB986" s="25"/>
      <c r="MC986" s="25"/>
      <c r="MD986" s="25"/>
      <c r="ME986" s="25"/>
      <c r="MF986" s="25"/>
      <c r="MG986" s="25"/>
      <c r="MH986" s="25"/>
      <c r="MI986" s="25"/>
      <c r="MJ986" s="25"/>
      <c r="MK986" s="25"/>
      <c r="ML986" s="25"/>
      <c r="MM986" s="25"/>
      <c r="MN986" s="25"/>
      <c r="MO986" s="25"/>
      <c r="MP986" s="25"/>
      <c r="MQ986" s="25"/>
      <c r="MR986" s="25"/>
      <c r="MS986" s="25"/>
      <c r="MT986" s="25"/>
      <c r="MU986" s="25"/>
      <c r="MV986" s="25"/>
      <c r="MW986" s="25"/>
      <c r="MX986" s="25"/>
      <c r="MY986" s="25"/>
      <c r="MZ986" s="25"/>
      <c r="NA986" s="25"/>
      <c r="NB986" s="25"/>
      <c r="NC986" s="25"/>
      <c r="ND986" s="25"/>
      <c r="NE986" s="25"/>
      <c r="NF986" s="25"/>
      <c r="NG986" s="25"/>
      <c r="NH986" s="25"/>
      <c r="NI986" s="25"/>
      <c r="NJ986" s="25"/>
      <c r="NK986" s="25"/>
      <c r="NL986" s="25"/>
      <c r="NM986" s="25"/>
      <c r="NN986" s="25"/>
      <c r="NO986" s="25"/>
      <c r="NP986" s="25"/>
      <c r="NQ986" s="25"/>
      <c r="NR986" s="25"/>
      <c r="NS986" s="25"/>
      <c r="NT986" s="25"/>
      <c r="NU986" s="25"/>
      <c r="NV986" s="25"/>
      <c r="NW986" s="25"/>
      <c r="NX986" s="25"/>
      <c r="NY986" s="25"/>
      <c r="NZ986" s="25"/>
      <c r="OA986" s="25"/>
      <c r="OB986" s="25"/>
      <c r="OC986" s="25"/>
      <c r="OD986" s="25"/>
      <c r="OE986" s="25"/>
      <c r="OF986" s="25"/>
      <c r="OG986" s="25"/>
      <c r="OH986" s="25"/>
      <c r="OI986" s="25"/>
      <c r="OJ986" s="25"/>
      <c r="OK986" s="25"/>
      <c r="OL986" s="25"/>
      <c r="OM986" s="25"/>
      <c r="ON986" s="25"/>
      <c r="OO986" s="25"/>
      <c r="OP986" s="25"/>
      <c r="OQ986" s="25"/>
      <c r="OR986" s="25"/>
      <c r="OS986" s="25"/>
      <c r="OT986" s="25"/>
      <c r="OU986" s="25"/>
      <c r="OV986" s="25"/>
      <c r="OW986" s="25"/>
      <c r="OX986" s="25"/>
      <c r="OY986" s="25"/>
      <c r="OZ986" s="25"/>
      <c r="PA986" s="25"/>
      <c r="PB986" s="25"/>
      <c r="PC986" s="25"/>
      <c r="PD986" s="25"/>
      <c r="PE986" s="25"/>
      <c r="PF986" s="25"/>
      <c r="PG986" s="25"/>
      <c r="PH986" s="25"/>
      <c r="PI986" s="25"/>
      <c r="PJ986" s="25"/>
      <c r="PK986" s="25"/>
      <c r="PL986" s="25"/>
      <c r="PM986" s="25"/>
      <c r="PN986" s="25"/>
      <c r="PO986" s="25"/>
      <c r="PP986" s="25"/>
      <c r="PQ986" s="25"/>
      <c r="PR986" s="25"/>
      <c r="PS986" s="25"/>
      <c r="PT986" s="25"/>
      <c r="PU986" s="25"/>
      <c r="PV986" s="25"/>
      <c r="PW986" s="25"/>
      <c r="PX986" s="25"/>
      <c r="PY986" s="25"/>
      <c r="PZ986" s="25"/>
      <c r="QA986" s="25"/>
      <c r="QB986" s="25"/>
      <c r="QC986" s="25"/>
      <c r="QD986" s="25"/>
      <c r="QE986" s="25"/>
      <c r="QF986" s="25"/>
      <c r="QG986" s="25"/>
      <c r="QH986" s="25"/>
      <c r="QI986" s="25"/>
      <c r="QJ986" s="25"/>
      <c r="QK986" s="25"/>
      <c r="QL986" s="25"/>
      <c r="QM986" s="25"/>
      <c r="QN986" s="25"/>
      <c r="QO986" s="25"/>
      <c r="QP986" s="25"/>
      <c r="QQ986" s="25"/>
      <c r="QR986" s="25"/>
      <c r="QS986" s="25"/>
      <c r="QT986" s="25"/>
      <c r="QU986" s="25"/>
      <c r="QV986" s="25"/>
      <c r="QW986" s="25"/>
      <c r="QX986" s="25"/>
      <c r="QY986" s="25"/>
      <c r="QZ986" s="25"/>
      <c r="RA986" s="25"/>
      <c r="RB986" s="25"/>
      <c r="RC986" s="25"/>
      <c r="RD986" s="25"/>
      <c r="RE986" s="25"/>
      <c r="RF986" s="25"/>
      <c r="RG986" s="25"/>
      <c r="RH986" s="25"/>
      <c r="RI986" s="25"/>
      <c r="RJ986" s="25"/>
      <c r="RK986" s="25"/>
      <c r="RL986" s="25"/>
      <c r="RM986" s="25"/>
      <c r="RN986" s="25"/>
      <c r="RO986" s="25"/>
      <c r="RP986" s="25"/>
      <c r="RQ986" s="25"/>
      <c r="RR986" s="25"/>
      <c r="RS986" s="25"/>
      <c r="RT986" s="25"/>
      <c r="RU986" s="25"/>
      <c r="RV986" s="25"/>
      <c r="RW986" s="25"/>
      <c r="RX986" s="25"/>
      <c r="RY986" s="25"/>
      <c r="RZ986" s="25"/>
      <c r="SA986" s="25"/>
      <c r="SB986" s="25"/>
      <c r="SC986" s="25"/>
      <c r="SD986" s="25"/>
      <c r="SE986" s="25"/>
      <c r="SF986" s="25"/>
      <c r="SG986" s="25"/>
      <c r="SH986" s="25"/>
      <c r="SI986" s="25"/>
      <c r="SJ986" s="25"/>
      <c r="SK986" s="25"/>
      <c r="SL986" s="25"/>
      <c r="SM986" s="25"/>
      <c r="SN986" s="25"/>
      <c r="SO986" s="25"/>
      <c r="SP986" s="25"/>
      <c r="SQ986" s="25"/>
      <c r="SR986" s="25"/>
      <c r="SS986" s="25"/>
      <c r="ST986" s="25"/>
      <c r="SU986" s="25"/>
      <c r="SV986" s="25"/>
      <c r="SW986" s="25"/>
      <c r="SX986" s="25"/>
      <c r="SY986" s="25"/>
      <c r="SZ986" s="25"/>
      <c r="TA986" s="25"/>
      <c r="TB986" s="25"/>
      <c r="TC986" s="25"/>
      <c r="TD986" s="25"/>
      <c r="TE986" s="25"/>
      <c r="TF986" s="25"/>
      <c r="TG986" s="25"/>
      <c r="TH986" s="25"/>
      <c r="TI986" s="25"/>
      <c r="TJ986" s="25"/>
      <c r="TK986" s="25"/>
      <c r="TL986" s="25"/>
      <c r="TM986" s="25"/>
      <c r="TN986" s="25"/>
      <c r="TO986" s="25"/>
      <c r="TP986" s="25"/>
      <c r="TQ986" s="25"/>
      <c r="TR986" s="25"/>
      <c r="TS986" s="25"/>
      <c r="TT986" s="25"/>
      <c r="TU986" s="25"/>
      <c r="TV986" s="25"/>
      <c r="TW986" s="25"/>
      <c r="TX986" s="25"/>
      <c r="TY986" s="25"/>
      <c r="TZ986" s="25"/>
      <c r="UA986" s="25"/>
      <c r="UB986" s="25"/>
      <c r="UC986" s="25"/>
      <c r="UD986" s="25"/>
      <c r="UE986" s="25"/>
      <c r="UF986" s="25"/>
      <c r="UG986" s="26"/>
    </row>
    <row r="987" spans="1:553" ht="295.5" customHeight="1">
      <c r="A987" s="356"/>
      <c r="B987" s="385"/>
      <c r="C987" s="384" t="s">
        <v>213</v>
      </c>
      <c r="D987" s="376" t="s">
        <v>20</v>
      </c>
      <c r="E987" s="376" t="s">
        <v>574</v>
      </c>
      <c r="F987" s="385">
        <v>1</v>
      </c>
      <c r="G987" s="396" t="s">
        <v>33</v>
      </c>
      <c r="H987" s="387">
        <v>67.7</v>
      </c>
      <c r="I987" s="441">
        <v>67.7</v>
      </c>
      <c r="J987" s="477">
        <v>62000</v>
      </c>
      <c r="K987" s="391"/>
      <c r="L987" s="480">
        <f t="shared" si="146"/>
        <v>4197400</v>
      </c>
      <c r="M987" s="392"/>
      <c r="N987" s="392"/>
      <c r="O987" s="366"/>
      <c r="P987" s="366"/>
      <c r="Q987" s="761" t="s">
        <v>575</v>
      </c>
      <c r="R987" s="1163"/>
      <c r="S987" s="308"/>
      <c r="T987" s="308"/>
      <c r="U987" s="308"/>
      <c r="V987" s="308"/>
      <c r="W987" s="308"/>
      <c r="X987" s="308"/>
      <c r="Y987" s="308"/>
      <c r="Z987" s="604"/>
      <c r="AA987" s="307">
        <f>I987</f>
        <v>67.7</v>
      </c>
      <c r="AB987" s="308"/>
      <c r="AC987" s="449"/>
      <c r="AD987" s="449"/>
      <c r="AE987" s="449"/>
      <c r="AF987" s="449"/>
      <c r="AG987" s="449"/>
      <c r="AH987" s="449"/>
      <c r="AI987" s="449"/>
      <c r="AJ987" s="449"/>
      <c r="AK987" s="452"/>
      <c r="AL987" s="104"/>
      <c r="AM987" s="32"/>
      <c r="AN987" s="32"/>
      <c r="AO987" s="32"/>
      <c r="AP987" s="32"/>
      <c r="AQ987" s="32"/>
      <c r="AR987" s="32"/>
      <c r="AS987" s="31"/>
      <c r="AT987" s="22"/>
      <c r="AU987" s="22"/>
      <c r="AV987" s="22"/>
      <c r="AW987" s="22"/>
      <c r="AX987" s="22"/>
      <c r="AY987" s="22"/>
      <c r="AZ987" s="22"/>
      <c r="BA987" s="22"/>
      <c r="BB987" s="22"/>
      <c r="BC987" s="22"/>
      <c r="BD987" s="22"/>
      <c r="BE987" s="22"/>
      <c r="BF987" s="22"/>
      <c r="BG987" s="22"/>
      <c r="BH987" s="22"/>
      <c r="BI987" s="22"/>
      <c r="BJ987" s="22"/>
      <c r="BK987" s="22"/>
      <c r="BL987" s="22"/>
      <c r="BM987" s="22"/>
      <c r="BN987" s="22"/>
      <c r="BO987" s="22"/>
      <c r="BP987" s="25"/>
      <c r="BQ987" s="25"/>
      <c r="BR987" s="25"/>
      <c r="BS987" s="25"/>
      <c r="BT987" s="25"/>
      <c r="BU987" s="25"/>
      <c r="BV987" s="25"/>
      <c r="BW987" s="25"/>
      <c r="BX987" s="25"/>
      <c r="BY987" s="25"/>
      <c r="BZ987" s="25"/>
      <c r="CA987" s="25"/>
      <c r="CB987" s="25"/>
      <c r="CC987" s="25"/>
      <c r="CD987" s="25"/>
      <c r="CE987" s="25"/>
      <c r="CF987" s="25"/>
      <c r="CG987" s="25"/>
      <c r="CH987" s="25"/>
      <c r="CI987" s="25"/>
      <c r="CJ987" s="25"/>
      <c r="CK987" s="25"/>
      <c r="CL987" s="25"/>
      <c r="CM987" s="25"/>
      <c r="CN987" s="25"/>
      <c r="CO987" s="25"/>
      <c r="CP987" s="25"/>
      <c r="CQ987" s="25"/>
      <c r="CR987" s="25"/>
      <c r="CS987" s="25"/>
      <c r="CT987" s="25"/>
      <c r="CU987" s="25"/>
      <c r="CV987" s="25"/>
      <c r="CW987" s="25"/>
      <c r="CX987" s="25"/>
      <c r="CY987" s="25"/>
      <c r="CZ987" s="25"/>
      <c r="DA987" s="25"/>
      <c r="DB987" s="25"/>
      <c r="DC987" s="25"/>
      <c r="DD987" s="25"/>
      <c r="DE987" s="25"/>
      <c r="DF987" s="25"/>
      <c r="DG987" s="25"/>
      <c r="DH987" s="25"/>
      <c r="DI987" s="25"/>
      <c r="DJ987" s="25"/>
      <c r="DK987" s="25"/>
      <c r="DL987" s="25"/>
      <c r="DM987" s="25"/>
      <c r="DN987" s="25"/>
      <c r="DO987" s="25"/>
      <c r="DP987" s="25"/>
      <c r="DQ987" s="25"/>
      <c r="DR987" s="25"/>
      <c r="DS987" s="25"/>
      <c r="DT987" s="25"/>
      <c r="DU987" s="25"/>
      <c r="DV987" s="25"/>
      <c r="DW987" s="25"/>
      <c r="DX987" s="25"/>
      <c r="DY987" s="25"/>
      <c r="DZ987" s="25"/>
      <c r="EA987" s="25"/>
      <c r="EB987" s="25"/>
      <c r="EC987" s="25"/>
      <c r="ED987" s="25"/>
      <c r="EE987" s="25"/>
      <c r="EF987" s="25"/>
      <c r="EG987" s="25"/>
      <c r="EH987" s="25"/>
      <c r="EI987" s="25"/>
      <c r="EJ987" s="25"/>
      <c r="EK987" s="25"/>
      <c r="EL987" s="25"/>
      <c r="EM987" s="25"/>
      <c r="EN987" s="25"/>
      <c r="EO987" s="25"/>
      <c r="EP987" s="25"/>
      <c r="EQ987" s="25"/>
      <c r="ER987" s="25"/>
      <c r="ES987" s="25"/>
      <c r="ET987" s="25"/>
      <c r="EU987" s="25"/>
      <c r="EV987" s="25"/>
      <c r="EW987" s="25"/>
      <c r="EX987" s="25"/>
      <c r="EY987" s="25"/>
      <c r="EZ987" s="25"/>
      <c r="FA987" s="25"/>
      <c r="FB987" s="25"/>
      <c r="FC987" s="25"/>
      <c r="FD987" s="25"/>
      <c r="FE987" s="25"/>
      <c r="FF987" s="25"/>
      <c r="FG987" s="25"/>
      <c r="FH987" s="25"/>
      <c r="FI987" s="25"/>
      <c r="FJ987" s="25"/>
      <c r="FK987" s="25"/>
      <c r="FL987" s="25"/>
      <c r="FM987" s="25"/>
      <c r="FN987" s="25"/>
      <c r="FO987" s="25"/>
      <c r="FP987" s="25"/>
      <c r="FQ987" s="25"/>
      <c r="FR987" s="25"/>
      <c r="FS987" s="25"/>
      <c r="FT987" s="25"/>
      <c r="FU987" s="25"/>
      <c r="FV987" s="25"/>
      <c r="FW987" s="25"/>
      <c r="FX987" s="25"/>
      <c r="FY987" s="25"/>
      <c r="FZ987" s="25"/>
      <c r="GA987" s="25"/>
      <c r="GB987" s="25"/>
      <c r="GC987" s="25"/>
      <c r="GD987" s="25"/>
      <c r="GE987" s="25"/>
      <c r="GF987" s="25"/>
      <c r="GG987" s="25"/>
      <c r="GH987" s="25"/>
      <c r="GI987" s="25"/>
      <c r="GJ987" s="25"/>
      <c r="GK987" s="25"/>
      <c r="GL987" s="25"/>
      <c r="GM987" s="25"/>
      <c r="GN987" s="25"/>
      <c r="GO987" s="25"/>
      <c r="GP987" s="25"/>
      <c r="GQ987" s="25"/>
      <c r="GR987" s="25"/>
      <c r="GS987" s="25"/>
      <c r="GT987" s="25"/>
      <c r="GU987" s="25"/>
      <c r="GV987" s="25"/>
      <c r="GW987" s="25"/>
      <c r="GX987" s="25"/>
      <c r="GY987" s="25"/>
      <c r="GZ987" s="25"/>
      <c r="HA987" s="25"/>
      <c r="HB987" s="25"/>
      <c r="HC987" s="25"/>
      <c r="HD987" s="25"/>
      <c r="HE987" s="25"/>
      <c r="HF987" s="25"/>
      <c r="HG987" s="25"/>
      <c r="HH987" s="25"/>
      <c r="HI987" s="25"/>
      <c r="HJ987" s="25"/>
      <c r="HK987" s="25"/>
      <c r="HL987" s="25"/>
      <c r="HM987" s="25"/>
      <c r="HN987" s="25"/>
      <c r="HO987" s="25"/>
      <c r="HP987" s="25"/>
      <c r="HQ987" s="25"/>
      <c r="HR987" s="25"/>
      <c r="HS987" s="25"/>
      <c r="HT987" s="25"/>
      <c r="HU987" s="25"/>
      <c r="HV987" s="25"/>
      <c r="HW987" s="25"/>
      <c r="HX987" s="25"/>
      <c r="HY987" s="25"/>
      <c r="HZ987" s="25"/>
      <c r="IA987" s="25"/>
      <c r="IB987" s="25"/>
      <c r="IC987" s="25"/>
      <c r="ID987" s="25"/>
      <c r="IE987" s="25"/>
      <c r="IF987" s="25"/>
      <c r="IG987" s="25"/>
      <c r="IH987" s="25"/>
      <c r="II987" s="25"/>
      <c r="IJ987" s="25"/>
      <c r="IK987" s="25"/>
      <c r="IL987" s="25"/>
      <c r="IM987" s="25"/>
      <c r="IN987" s="25"/>
      <c r="IO987" s="25"/>
      <c r="IP987" s="25"/>
      <c r="IQ987" s="25"/>
      <c r="IR987" s="25"/>
      <c r="IS987" s="25"/>
      <c r="IT987" s="25"/>
      <c r="IU987" s="25"/>
      <c r="IV987" s="25"/>
      <c r="IW987" s="25"/>
      <c r="IX987" s="25"/>
      <c r="IY987" s="25"/>
      <c r="IZ987" s="25"/>
      <c r="JA987" s="25"/>
      <c r="JB987" s="25"/>
      <c r="JC987" s="25"/>
      <c r="JD987" s="25"/>
      <c r="JE987" s="25"/>
      <c r="JF987" s="25"/>
      <c r="JG987" s="25"/>
      <c r="JH987" s="25"/>
      <c r="JI987" s="25"/>
      <c r="JJ987" s="25"/>
      <c r="JK987" s="25"/>
      <c r="JL987" s="25"/>
      <c r="JM987" s="25"/>
      <c r="JN987" s="25"/>
      <c r="JO987" s="25"/>
      <c r="JP987" s="25"/>
      <c r="JQ987" s="25"/>
      <c r="JR987" s="25"/>
      <c r="JS987" s="25"/>
      <c r="JT987" s="25"/>
      <c r="JU987" s="25"/>
      <c r="JV987" s="25"/>
      <c r="JW987" s="25"/>
      <c r="JX987" s="25"/>
      <c r="JY987" s="25"/>
      <c r="JZ987" s="25"/>
      <c r="KA987" s="25"/>
      <c r="KB987" s="25"/>
      <c r="KC987" s="25"/>
      <c r="KD987" s="25"/>
      <c r="KE987" s="25"/>
      <c r="KF987" s="25"/>
      <c r="KG987" s="25"/>
      <c r="KH987" s="25"/>
      <c r="KI987" s="25"/>
      <c r="KJ987" s="25"/>
      <c r="KK987" s="25"/>
      <c r="KL987" s="25"/>
      <c r="KM987" s="25"/>
      <c r="KN987" s="25"/>
      <c r="KO987" s="25"/>
      <c r="KP987" s="25"/>
      <c r="KQ987" s="25"/>
      <c r="KR987" s="25"/>
      <c r="KS987" s="25"/>
      <c r="KT987" s="25"/>
      <c r="KU987" s="25"/>
      <c r="KV987" s="25"/>
      <c r="KW987" s="25"/>
      <c r="KX987" s="25"/>
      <c r="KY987" s="25"/>
      <c r="KZ987" s="25"/>
      <c r="LA987" s="25"/>
      <c r="LB987" s="25"/>
      <c r="LC987" s="25"/>
      <c r="LD987" s="25"/>
      <c r="LE987" s="25"/>
      <c r="LF987" s="25"/>
      <c r="LG987" s="25"/>
      <c r="LH987" s="25"/>
      <c r="LI987" s="25"/>
      <c r="LJ987" s="25"/>
      <c r="LK987" s="25"/>
      <c r="LL987" s="25"/>
      <c r="LM987" s="25"/>
      <c r="LN987" s="25"/>
      <c r="LO987" s="25"/>
      <c r="LP987" s="25"/>
      <c r="LQ987" s="25"/>
      <c r="LR987" s="25"/>
      <c r="LS987" s="25"/>
      <c r="LT987" s="25"/>
      <c r="LU987" s="25"/>
      <c r="LV987" s="25"/>
      <c r="LW987" s="25"/>
      <c r="LX987" s="25"/>
      <c r="LY987" s="25"/>
      <c r="LZ987" s="25"/>
      <c r="MA987" s="25"/>
      <c r="MB987" s="25"/>
      <c r="MC987" s="25"/>
      <c r="MD987" s="25"/>
      <c r="ME987" s="25"/>
      <c r="MF987" s="25"/>
      <c r="MG987" s="25"/>
      <c r="MH987" s="25"/>
      <c r="MI987" s="25"/>
      <c r="MJ987" s="25"/>
      <c r="MK987" s="25"/>
      <c r="ML987" s="25"/>
      <c r="MM987" s="25"/>
      <c r="MN987" s="25"/>
      <c r="MO987" s="25"/>
      <c r="MP987" s="25"/>
      <c r="MQ987" s="25"/>
      <c r="MR987" s="25"/>
      <c r="MS987" s="25"/>
      <c r="MT987" s="25"/>
      <c r="MU987" s="25"/>
      <c r="MV987" s="25"/>
      <c r="MW987" s="25"/>
      <c r="MX987" s="25"/>
      <c r="MY987" s="25"/>
      <c r="MZ987" s="25"/>
      <c r="NA987" s="25"/>
      <c r="NB987" s="25"/>
      <c r="NC987" s="25"/>
      <c r="ND987" s="25"/>
      <c r="NE987" s="25"/>
      <c r="NF987" s="25"/>
      <c r="NG987" s="25"/>
      <c r="NH987" s="25"/>
      <c r="NI987" s="25"/>
      <c r="NJ987" s="25"/>
      <c r="NK987" s="25"/>
      <c r="NL987" s="25"/>
      <c r="NM987" s="25"/>
      <c r="NN987" s="25"/>
      <c r="NO987" s="25"/>
      <c r="NP987" s="25"/>
      <c r="NQ987" s="25"/>
      <c r="NR987" s="25"/>
      <c r="NS987" s="25"/>
      <c r="NT987" s="25"/>
      <c r="NU987" s="25"/>
      <c r="NV987" s="25"/>
      <c r="NW987" s="25"/>
      <c r="NX987" s="25"/>
      <c r="NY987" s="25"/>
      <c r="NZ987" s="25"/>
      <c r="OA987" s="25"/>
      <c r="OB987" s="25"/>
      <c r="OC987" s="25"/>
      <c r="OD987" s="25"/>
      <c r="OE987" s="25"/>
      <c r="OF987" s="25"/>
      <c r="OG987" s="25"/>
      <c r="OH987" s="25"/>
      <c r="OI987" s="25"/>
      <c r="OJ987" s="25"/>
      <c r="OK987" s="25"/>
      <c r="OL987" s="25"/>
      <c r="OM987" s="25"/>
      <c r="ON987" s="25"/>
      <c r="OO987" s="25"/>
      <c r="OP987" s="25"/>
      <c r="OQ987" s="25"/>
      <c r="OR987" s="25"/>
      <c r="OS987" s="25"/>
      <c r="OT987" s="25"/>
      <c r="OU987" s="25"/>
      <c r="OV987" s="25"/>
      <c r="OW987" s="25"/>
      <c r="OX987" s="25"/>
      <c r="OY987" s="25"/>
      <c r="OZ987" s="25"/>
      <c r="PA987" s="25"/>
      <c r="PB987" s="25"/>
      <c r="PC987" s="25"/>
      <c r="PD987" s="25"/>
      <c r="PE987" s="25"/>
      <c r="PF987" s="25"/>
      <c r="PG987" s="25"/>
      <c r="PH987" s="25"/>
      <c r="PI987" s="25"/>
      <c r="PJ987" s="25"/>
      <c r="PK987" s="25"/>
      <c r="PL987" s="25"/>
      <c r="PM987" s="25"/>
      <c r="PN987" s="25"/>
      <c r="PO987" s="25"/>
      <c r="PP987" s="25"/>
      <c r="PQ987" s="25"/>
      <c r="PR987" s="25"/>
      <c r="PS987" s="25"/>
      <c r="PT987" s="25"/>
      <c r="PU987" s="25"/>
      <c r="PV987" s="25"/>
      <c r="PW987" s="25"/>
      <c r="PX987" s="25"/>
      <c r="PY987" s="25"/>
      <c r="PZ987" s="25"/>
      <c r="QA987" s="25"/>
      <c r="QB987" s="25"/>
      <c r="QC987" s="25"/>
      <c r="QD987" s="25"/>
      <c r="QE987" s="25"/>
      <c r="QF987" s="25"/>
      <c r="QG987" s="25"/>
      <c r="QH987" s="25"/>
      <c r="QI987" s="25"/>
      <c r="QJ987" s="25"/>
      <c r="QK987" s="25"/>
      <c r="QL987" s="25"/>
      <c r="QM987" s="25"/>
      <c r="QN987" s="25"/>
      <c r="QO987" s="25"/>
      <c r="QP987" s="25"/>
      <c r="QQ987" s="25"/>
      <c r="QR987" s="25"/>
      <c r="QS987" s="25"/>
      <c r="QT987" s="25"/>
      <c r="QU987" s="25"/>
      <c r="QV987" s="25"/>
      <c r="QW987" s="25"/>
      <c r="QX987" s="25"/>
      <c r="QY987" s="25"/>
      <c r="QZ987" s="25"/>
      <c r="RA987" s="25"/>
      <c r="RB987" s="25"/>
      <c r="RC987" s="25"/>
      <c r="RD987" s="25"/>
      <c r="RE987" s="25"/>
      <c r="RF987" s="25"/>
      <c r="RG987" s="25"/>
      <c r="RH987" s="25"/>
      <c r="RI987" s="25"/>
      <c r="RJ987" s="25"/>
      <c r="RK987" s="25"/>
      <c r="RL987" s="25"/>
      <c r="RM987" s="25"/>
      <c r="RN987" s="25"/>
      <c r="RO987" s="25"/>
      <c r="RP987" s="25"/>
      <c r="RQ987" s="25"/>
      <c r="RR987" s="25"/>
      <c r="RS987" s="25"/>
      <c r="RT987" s="25"/>
      <c r="RU987" s="25"/>
      <c r="RV987" s="25"/>
      <c r="RW987" s="25"/>
      <c r="RX987" s="25"/>
      <c r="RY987" s="25"/>
      <c r="RZ987" s="25"/>
      <c r="SA987" s="25"/>
      <c r="SB987" s="25"/>
      <c r="SC987" s="25"/>
      <c r="SD987" s="25"/>
      <c r="SE987" s="25"/>
      <c r="SF987" s="25"/>
      <c r="SG987" s="25"/>
      <c r="SH987" s="25"/>
      <c r="SI987" s="25"/>
      <c r="SJ987" s="25"/>
      <c r="SK987" s="25"/>
      <c r="SL987" s="25"/>
      <c r="SM987" s="25"/>
      <c r="SN987" s="25"/>
      <c r="SO987" s="25"/>
      <c r="SP987" s="25"/>
      <c r="SQ987" s="25"/>
      <c r="SR987" s="25"/>
      <c r="SS987" s="25"/>
      <c r="ST987" s="25"/>
      <c r="SU987" s="25"/>
      <c r="SV987" s="25"/>
      <c r="SW987" s="25"/>
      <c r="SX987" s="25"/>
      <c r="SY987" s="25"/>
      <c r="SZ987" s="25"/>
      <c r="TA987" s="25"/>
      <c r="TB987" s="25"/>
      <c r="TC987" s="25"/>
      <c r="TD987" s="25"/>
      <c r="TE987" s="25"/>
      <c r="TF987" s="25"/>
      <c r="TG987" s="25"/>
      <c r="TH987" s="25"/>
      <c r="TI987" s="25"/>
      <c r="TJ987" s="25"/>
      <c r="TK987" s="25"/>
      <c r="TL987" s="25"/>
      <c r="TM987" s="25"/>
      <c r="TN987" s="25"/>
      <c r="TO987" s="25"/>
      <c r="TP987" s="25"/>
      <c r="TQ987" s="25"/>
      <c r="TR987" s="25"/>
      <c r="TS987" s="25"/>
      <c r="TT987" s="25"/>
      <c r="TU987" s="25"/>
      <c r="TV987" s="25"/>
      <c r="TW987" s="25"/>
      <c r="TX987" s="25"/>
      <c r="TY987" s="25"/>
      <c r="TZ987" s="25"/>
      <c r="UA987" s="25"/>
      <c r="UB987" s="25"/>
      <c r="UC987" s="25"/>
      <c r="UD987" s="25"/>
      <c r="UE987" s="25"/>
      <c r="UF987" s="25"/>
      <c r="UG987" s="26"/>
    </row>
    <row r="988" spans="1:553" ht="30.75" customHeight="1">
      <c r="A988" s="356" t="s">
        <v>27</v>
      </c>
      <c r="B988" s="356"/>
      <c r="C988" s="1431" t="s">
        <v>28</v>
      </c>
      <c r="D988" s="1389"/>
      <c r="E988" s="1389"/>
      <c r="F988" s="1390"/>
      <c r="G988" s="356"/>
      <c r="H988" s="359"/>
      <c r="I988" s="359"/>
      <c r="J988" s="357"/>
      <c r="K988" s="364"/>
      <c r="L988" s="356">
        <f>SUM(L990:L1018)</f>
        <v>303486571.17888004</v>
      </c>
      <c r="M988" s="356"/>
      <c r="N988" s="356"/>
      <c r="O988" s="356"/>
      <c r="P988" s="356">
        <f>L988</f>
        <v>303486571.17888004</v>
      </c>
      <c r="Q988" s="610"/>
      <c r="R988" s="411"/>
      <c r="S988" s="308"/>
      <c r="T988" s="308"/>
      <c r="U988" s="308"/>
      <c r="V988" s="308"/>
      <c r="W988" s="308"/>
      <c r="X988" s="308"/>
      <c r="Y988" s="308"/>
      <c r="Z988" s="604"/>
      <c r="AA988" s="308"/>
      <c r="AB988" s="308"/>
      <c r="AC988" s="365"/>
      <c r="AD988" s="365"/>
      <c r="AE988" s="365"/>
      <c r="AF988" s="365"/>
      <c r="AG988" s="365"/>
      <c r="AH988" s="365"/>
      <c r="AI988" s="365"/>
      <c r="AJ988" s="365"/>
      <c r="AK988" s="377"/>
      <c r="AL988" s="343"/>
      <c r="AM988" s="24"/>
      <c r="AN988" s="24"/>
      <c r="AO988" s="24"/>
      <c r="AP988" s="24"/>
      <c r="AQ988" s="24"/>
      <c r="AR988" s="24"/>
      <c r="AS988" s="18"/>
      <c r="AT988" s="18"/>
      <c r="AU988" s="18"/>
      <c r="AV988" s="18"/>
      <c r="AW988" s="18"/>
      <c r="AX988" s="18"/>
      <c r="AY988" s="18"/>
      <c r="AZ988" s="18"/>
      <c r="BA988" s="18"/>
      <c r="BB988" s="18"/>
      <c r="BC988" s="18"/>
      <c r="BD988" s="18"/>
      <c r="BE988" s="18"/>
      <c r="BF988" s="18"/>
      <c r="BG988" s="18"/>
      <c r="BH988" s="18"/>
      <c r="BI988" s="18"/>
      <c r="BJ988" s="18"/>
      <c r="BK988" s="18"/>
      <c r="BL988" s="18"/>
      <c r="BM988" s="18"/>
      <c r="BN988" s="18"/>
      <c r="BO988" s="18"/>
      <c r="BP988" s="18"/>
      <c r="BQ988" s="18"/>
      <c r="BR988" s="18"/>
      <c r="BS988" s="18"/>
      <c r="BT988" s="18"/>
      <c r="BU988" s="18"/>
      <c r="BV988" s="18"/>
      <c r="BW988" s="18"/>
      <c r="BX988" s="18"/>
      <c r="BY988" s="18"/>
      <c r="BZ988" s="18"/>
      <c r="CA988" s="18"/>
      <c r="CB988" s="18"/>
      <c r="CC988" s="18"/>
      <c r="CD988" s="18"/>
      <c r="CE988" s="18"/>
      <c r="CF988" s="18"/>
      <c r="CG988" s="18"/>
      <c r="CH988" s="18"/>
      <c r="CI988" s="18"/>
      <c r="CJ988" s="18"/>
      <c r="CK988" s="18"/>
      <c r="CL988" s="18"/>
      <c r="CM988" s="18"/>
      <c r="CN988" s="18"/>
      <c r="CO988" s="18"/>
      <c r="CP988" s="18"/>
      <c r="CQ988" s="18"/>
      <c r="CR988" s="18"/>
      <c r="CS988" s="18"/>
      <c r="CT988" s="18"/>
      <c r="CU988" s="18"/>
      <c r="CV988" s="18"/>
      <c r="CW988" s="18"/>
      <c r="CX988" s="18"/>
      <c r="CY988" s="18"/>
      <c r="CZ988" s="18"/>
      <c r="DA988" s="18"/>
      <c r="DB988" s="18"/>
      <c r="DC988" s="18"/>
      <c r="DD988" s="18"/>
      <c r="DE988" s="18"/>
      <c r="DF988" s="18"/>
      <c r="DG988" s="18"/>
      <c r="DH988" s="18"/>
      <c r="DI988" s="18"/>
      <c r="DJ988" s="18"/>
      <c r="DK988" s="18"/>
      <c r="DL988" s="18"/>
      <c r="DM988" s="18"/>
      <c r="DN988" s="18"/>
      <c r="DO988" s="18"/>
      <c r="DP988" s="18"/>
      <c r="DQ988" s="18"/>
      <c r="DR988" s="18"/>
      <c r="DS988" s="18"/>
      <c r="DT988" s="18"/>
      <c r="DU988" s="18"/>
      <c r="DV988" s="18"/>
      <c r="DW988" s="18"/>
      <c r="DX988" s="18"/>
      <c r="DY988" s="18"/>
      <c r="DZ988" s="18"/>
      <c r="EA988" s="18"/>
      <c r="EB988" s="18"/>
      <c r="EC988" s="18"/>
      <c r="ED988" s="18"/>
      <c r="EE988" s="18"/>
      <c r="EF988" s="18"/>
      <c r="EG988" s="18"/>
      <c r="EH988" s="18"/>
      <c r="EI988" s="18"/>
      <c r="EJ988" s="18"/>
      <c r="EK988" s="18"/>
      <c r="EL988" s="18"/>
      <c r="EM988" s="18"/>
      <c r="EN988" s="18"/>
      <c r="EO988" s="18"/>
      <c r="EP988" s="18"/>
      <c r="EQ988" s="18"/>
      <c r="ER988" s="18"/>
      <c r="ES988" s="18"/>
      <c r="ET988" s="18"/>
      <c r="EU988" s="18"/>
      <c r="EV988" s="18"/>
      <c r="EW988" s="18"/>
      <c r="EX988" s="18"/>
      <c r="EY988" s="18"/>
      <c r="EZ988" s="18"/>
      <c r="FA988" s="18"/>
      <c r="FB988" s="18"/>
      <c r="FC988" s="18"/>
      <c r="FD988" s="18"/>
      <c r="FE988" s="18"/>
      <c r="FF988" s="18"/>
      <c r="FG988" s="18"/>
      <c r="FH988" s="18"/>
      <c r="FI988" s="18"/>
      <c r="FJ988" s="18"/>
      <c r="FK988" s="18"/>
      <c r="FL988" s="18"/>
      <c r="FM988" s="18"/>
      <c r="FN988" s="18"/>
      <c r="FO988" s="18"/>
      <c r="FP988" s="18"/>
      <c r="FQ988" s="18"/>
      <c r="FR988" s="18"/>
      <c r="FS988" s="18"/>
      <c r="FT988" s="18"/>
      <c r="FU988" s="18"/>
      <c r="FV988" s="18"/>
      <c r="FW988" s="18"/>
      <c r="FX988" s="18"/>
      <c r="FY988" s="18"/>
      <c r="FZ988" s="18"/>
      <c r="GA988" s="18"/>
      <c r="GB988" s="18"/>
      <c r="GC988" s="18"/>
      <c r="GD988" s="18"/>
      <c r="GE988" s="18"/>
      <c r="GF988" s="18"/>
      <c r="GG988" s="18"/>
      <c r="GH988" s="18"/>
      <c r="GI988" s="18"/>
      <c r="GJ988" s="18"/>
      <c r="GK988" s="18"/>
      <c r="GL988" s="18"/>
      <c r="GM988" s="18"/>
      <c r="GN988" s="18"/>
      <c r="GO988" s="18"/>
      <c r="GP988" s="18"/>
      <c r="GQ988" s="18"/>
      <c r="GR988" s="18"/>
      <c r="GS988" s="18"/>
      <c r="GT988" s="18"/>
      <c r="GU988" s="18"/>
      <c r="GV988" s="18"/>
      <c r="GW988" s="18"/>
      <c r="GX988" s="18"/>
      <c r="GY988" s="18"/>
      <c r="GZ988" s="18"/>
      <c r="HA988" s="18"/>
      <c r="HB988" s="18"/>
      <c r="HC988" s="18"/>
      <c r="HD988" s="18"/>
      <c r="HE988" s="18"/>
      <c r="HF988" s="18"/>
      <c r="HG988" s="18"/>
      <c r="HH988" s="18"/>
      <c r="HI988" s="18"/>
      <c r="HJ988" s="18"/>
      <c r="HK988" s="18"/>
      <c r="HL988" s="18"/>
      <c r="HM988" s="18"/>
      <c r="HN988" s="18"/>
      <c r="HO988" s="18"/>
      <c r="HP988" s="18"/>
      <c r="HQ988" s="18"/>
      <c r="HR988" s="18"/>
      <c r="HS988" s="18"/>
      <c r="HT988" s="18"/>
      <c r="HU988" s="18"/>
      <c r="HV988" s="18"/>
      <c r="HW988" s="18"/>
      <c r="HX988" s="18"/>
      <c r="HY988" s="18"/>
      <c r="HZ988" s="18"/>
      <c r="IA988" s="18"/>
      <c r="IB988" s="18"/>
      <c r="IC988" s="18"/>
      <c r="ID988" s="18"/>
      <c r="IE988" s="18"/>
      <c r="IF988" s="18"/>
      <c r="IG988" s="18"/>
      <c r="IH988" s="18"/>
      <c r="II988" s="18"/>
      <c r="IJ988" s="18"/>
      <c r="IK988" s="18"/>
      <c r="IL988" s="18"/>
      <c r="IM988" s="18"/>
      <c r="IN988" s="18"/>
      <c r="IO988" s="18"/>
      <c r="IP988" s="18"/>
      <c r="IQ988" s="18"/>
      <c r="IR988" s="18"/>
      <c r="IS988" s="18"/>
      <c r="IT988" s="18"/>
      <c r="IU988" s="18"/>
      <c r="IV988" s="18"/>
      <c r="IW988" s="18"/>
      <c r="IX988" s="18"/>
      <c r="IY988" s="18"/>
      <c r="IZ988" s="18"/>
      <c r="JA988" s="18"/>
      <c r="JB988" s="18"/>
      <c r="JC988" s="18"/>
      <c r="JD988" s="18"/>
      <c r="JE988" s="18"/>
      <c r="JF988" s="18"/>
      <c r="JG988" s="18"/>
      <c r="JH988" s="18"/>
      <c r="JI988" s="18"/>
      <c r="JJ988" s="18"/>
      <c r="JK988" s="18"/>
      <c r="JL988" s="18"/>
      <c r="JM988" s="18"/>
      <c r="JN988" s="18"/>
      <c r="JO988" s="18"/>
      <c r="JP988" s="18"/>
      <c r="JQ988" s="18"/>
      <c r="JR988" s="18"/>
      <c r="JS988" s="18"/>
      <c r="JT988" s="18"/>
      <c r="JU988" s="18"/>
      <c r="JV988" s="18"/>
      <c r="JW988" s="18"/>
      <c r="JX988" s="18"/>
      <c r="JY988" s="18"/>
      <c r="JZ988" s="18"/>
      <c r="KA988" s="18"/>
      <c r="KB988" s="18"/>
      <c r="KC988" s="18"/>
      <c r="KD988" s="18"/>
      <c r="KE988" s="18"/>
      <c r="KF988" s="18"/>
      <c r="KG988" s="18"/>
      <c r="KH988" s="18"/>
      <c r="KI988" s="18"/>
      <c r="KJ988" s="18"/>
      <c r="KK988" s="18"/>
      <c r="KL988" s="18"/>
      <c r="KM988" s="18"/>
      <c r="KN988" s="18"/>
      <c r="KO988" s="18"/>
      <c r="KP988" s="18"/>
      <c r="KQ988" s="18"/>
      <c r="KR988" s="18"/>
      <c r="KS988" s="18"/>
      <c r="KT988" s="18"/>
      <c r="KU988" s="18"/>
      <c r="KV988" s="18"/>
      <c r="KW988" s="18"/>
      <c r="KX988" s="18"/>
      <c r="KY988" s="18"/>
      <c r="KZ988" s="18"/>
      <c r="LA988" s="18"/>
      <c r="LB988" s="18"/>
      <c r="LC988" s="18"/>
      <c r="LD988" s="18"/>
      <c r="LE988" s="18"/>
      <c r="LF988" s="18"/>
      <c r="LG988" s="18"/>
      <c r="LH988" s="18"/>
      <c r="LI988" s="18"/>
      <c r="LJ988" s="18"/>
      <c r="LK988" s="18"/>
      <c r="LL988" s="18"/>
      <c r="LM988" s="18"/>
      <c r="LN988" s="18"/>
      <c r="LO988" s="18"/>
      <c r="LP988" s="18"/>
      <c r="LQ988" s="18"/>
      <c r="LR988" s="18"/>
      <c r="LS988" s="18"/>
      <c r="LT988" s="18"/>
      <c r="LU988" s="18"/>
      <c r="LV988" s="18"/>
      <c r="LW988" s="18"/>
      <c r="LX988" s="18"/>
      <c r="LY988" s="18"/>
      <c r="LZ988" s="18"/>
      <c r="MA988" s="18"/>
      <c r="MB988" s="18"/>
      <c r="MC988" s="18"/>
      <c r="MD988" s="18"/>
      <c r="ME988" s="18"/>
      <c r="MF988" s="18"/>
      <c r="MG988" s="18"/>
      <c r="MH988" s="18"/>
      <c r="MI988" s="18"/>
      <c r="MJ988" s="18"/>
      <c r="MK988" s="18"/>
      <c r="ML988" s="18"/>
      <c r="MM988" s="18"/>
      <c r="MN988" s="18"/>
      <c r="MO988" s="18"/>
      <c r="MP988" s="18"/>
      <c r="MQ988" s="18"/>
      <c r="MR988" s="18"/>
      <c r="MS988" s="18"/>
      <c r="MT988" s="18"/>
      <c r="MU988" s="18"/>
      <c r="MV988" s="18"/>
      <c r="MW988" s="18"/>
      <c r="MX988" s="18"/>
      <c r="MY988" s="18"/>
      <c r="MZ988" s="18"/>
      <c r="NA988" s="18"/>
      <c r="NB988" s="18"/>
      <c r="NC988" s="18"/>
      <c r="ND988" s="18"/>
      <c r="NE988" s="18"/>
      <c r="NF988" s="18"/>
      <c r="NG988" s="18"/>
      <c r="NH988" s="18"/>
      <c r="NI988" s="18"/>
      <c r="NJ988" s="18"/>
      <c r="NK988" s="18"/>
      <c r="NL988" s="18"/>
      <c r="NM988" s="18"/>
      <c r="NN988" s="18"/>
      <c r="NO988" s="18"/>
      <c r="NP988" s="18"/>
      <c r="NQ988" s="18"/>
      <c r="NR988" s="18"/>
      <c r="NS988" s="18"/>
      <c r="NT988" s="18"/>
      <c r="NU988" s="18"/>
      <c r="NV988" s="18"/>
      <c r="NW988" s="18"/>
      <c r="NX988" s="18"/>
      <c r="NY988" s="18"/>
      <c r="NZ988" s="18"/>
      <c r="OA988" s="18"/>
      <c r="OB988" s="18"/>
      <c r="OC988" s="18"/>
      <c r="OD988" s="18"/>
      <c r="OE988" s="18"/>
      <c r="OF988" s="18"/>
      <c r="OG988" s="18"/>
      <c r="OH988" s="18"/>
      <c r="OI988" s="18"/>
      <c r="OJ988" s="18"/>
      <c r="OK988" s="18"/>
      <c r="OL988" s="18"/>
      <c r="OM988" s="18"/>
      <c r="ON988" s="18"/>
      <c r="OO988" s="18"/>
      <c r="OP988" s="18"/>
      <c r="OQ988" s="18"/>
      <c r="OR988" s="18"/>
      <c r="OS988" s="18"/>
      <c r="OT988" s="18"/>
      <c r="OU988" s="18"/>
      <c r="OV988" s="18"/>
      <c r="OW988" s="18"/>
      <c r="OX988" s="18"/>
      <c r="OY988" s="18"/>
      <c r="OZ988" s="18"/>
      <c r="PA988" s="18"/>
      <c r="PB988" s="18"/>
      <c r="PC988" s="18"/>
      <c r="PD988" s="18"/>
      <c r="PE988" s="18"/>
      <c r="PF988" s="18"/>
      <c r="PG988" s="18"/>
      <c r="PH988" s="18"/>
      <c r="PI988" s="18"/>
      <c r="PJ988" s="18"/>
      <c r="PK988" s="18"/>
      <c r="PL988" s="18"/>
      <c r="PM988" s="18"/>
      <c r="PN988" s="18"/>
      <c r="PO988" s="18"/>
      <c r="PP988" s="18"/>
      <c r="PQ988" s="18"/>
      <c r="PR988" s="18"/>
      <c r="PS988" s="18"/>
      <c r="PT988" s="18"/>
      <c r="PU988" s="18"/>
      <c r="PV988" s="18"/>
      <c r="PW988" s="18"/>
      <c r="PX988" s="18"/>
      <c r="PY988" s="18"/>
      <c r="PZ988" s="18"/>
      <c r="QA988" s="18"/>
      <c r="QB988" s="18"/>
      <c r="QC988" s="18"/>
      <c r="QD988" s="18"/>
      <c r="QE988" s="18"/>
      <c r="QF988" s="18"/>
      <c r="QG988" s="18"/>
      <c r="QH988" s="18"/>
      <c r="QI988" s="18"/>
      <c r="QJ988" s="18"/>
      <c r="QK988" s="18"/>
      <c r="QL988" s="18"/>
      <c r="QM988" s="18"/>
      <c r="QN988" s="18"/>
      <c r="QO988" s="18"/>
      <c r="QP988" s="18"/>
      <c r="QQ988" s="18"/>
      <c r="QR988" s="18"/>
      <c r="QS988" s="18"/>
      <c r="QT988" s="18"/>
      <c r="QU988" s="18"/>
      <c r="QV988" s="18"/>
      <c r="QW988" s="18"/>
      <c r="QX988" s="18"/>
      <c r="QY988" s="18"/>
      <c r="QZ988" s="18"/>
      <c r="RA988" s="18"/>
      <c r="RB988" s="18"/>
      <c r="RC988" s="18"/>
      <c r="RD988" s="18"/>
      <c r="RE988" s="18"/>
      <c r="RF988" s="18"/>
      <c r="RG988" s="18"/>
      <c r="RH988" s="18"/>
      <c r="RI988" s="18"/>
      <c r="RJ988" s="18"/>
      <c r="RK988" s="18"/>
      <c r="RL988" s="18"/>
      <c r="RM988" s="18"/>
      <c r="RN988" s="18"/>
      <c r="RO988" s="18"/>
      <c r="RP988" s="18"/>
      <c r="RQ988" s="18"/>
      <c r="RR988" s="18"/>
      <c r="RS988" s="18"/>
      <c r="RT988" s="18"/>
      <c r="RU988" s="18"/>
      <c r="RV988" s="18"/>
      <c r="RW988" s="18"/>
      <c r="RX988" s="18"/>
      <c r="RY988" s="18"/>
      <c r="RZ988" s="18"/>
      <c r="SA988" s="18"/>
      <c r="SB988" s="18"/>
      <c r="SC988" s="18"/>
      <c r="SD988" s="18"/>
      <c r="SE988" s="18"/>
      <c r="SF988" s="18"/>
      <c r="SG988" s="18"/>
      <c r="SH988" s="18"/>
      <c r="SI988" s="18"/>
      <c r="SJ988" s="18"/>
      <c r="SK988" s="18"/>
      <c r="SL988" s="18"/>
      <c r="SM988" s="18"/>
      <c r="SN988" s="18"/>
      <c r="SO988" s="18"/>
      <c r="SP988" s="18"/>
      <c r="SQ988" s="18"/>
      <c r="SR988" s="18"/>
      <c r="SS988" s="18"/>
      <c r="ST988" s="18"/>
      <c r="SU988" s="18"/>
      <c r="SV988" s="18"/>
      <c r="SW988" s="18"/>
      <c r="SX988" s="18"/>
      <c r="SY988" s="18"/>
      <c r="SZ988" s="18"/>
      <c r="TA988" s="18"/>
      <c r="TB988" s="18"/>
      <c r="TC988" s="18"/>
      <c r="TD988" s="18"/>
      <c r="TE988" s="18"/>
      <c r="TF988" s="18"/>
      <c r="TG988" s="18"/>
      <c r="TH988" s="18"/>
      <c r="TI988" s="18"/>
      <c r="TJ988" s="18"/>
      <c r="TK988" s="18"/>
      <c r="TL988" s="18"/>
      <c r="TM988" s="18"/>
      <c r="TN988" s="18"/>
      <c r="TO988" s="18"/>
      <c r="TP988" s="18"/>
      <c r="TQ988" s="18"/>
      <c r="TR988" s="18"/>
      <c r="TS988" s="18"/>
      <c r="TT988" s="18"/>
      <c r="TU988" s="18"/>
      <c r="TV988" s="18"/>
      <c r="TW988" s="18"/>
      <c r="TX988" s="18"/>
      <c r="TY988" s="18"/>
      <c r="TZ988" s="18"/>
      <c r="UA988" s="18"/>
      <c r="UB988" s="18"/>
      <c r="UC988" s="18"/>
      <c r="UD988" s="18"/>
      <c r="UE988" s="18"/>
      <c r="UF988" s="18"/>
      <c r="UG988" s="19"/>
    </row>
    <row r="989" spans="1:553" ht="30.75" customHeight="1">
      <c r="A989" s="356"/>
      <c r="B989" s="356"/>
      <c r="C989" s="1394" t="s">
        <v>576</v>
      </c>
      <c r="D989" s="1395"/>
      <c r="E989" s="1395"/>
      <c r="F989" s="1396"/>
      <c r="G989" s="366"/>
      <c r="H989" s="370"/>
      <c r="I989" s="359"/>
      <c r="J989" s="368"/>
      <c r="K989" s="371"/>
      <c r="L989" s="356"/>
      <c r="M989" s="356"/>
      <c r="N989" s="356"/>
      <c r="O989" s="356"/>
      <c r="P989" s="356"/>
      <c r="Q989" s="610"/>
      <c r="R989" s="1226"/>
      <c r="S989" s="308"/>
      <c r="T989" s="308"/>
      <c r="U989" s="308"/>
      <c r="V989" s="308"/>
      <c r="W989" s="308"/>
      <c r="X989" s="308"/>
      <c r="Y989" s="308"/>
      <c r="Z989" s="604"/>
      <c r="AA989" s="308"/>
      <c r="AB989" s="308"/>
      <c r="AC989" s="373"/>
      <c r="AD989" s="373"/>
      <c r="AE989" s="373"/>
      <c r="AF989" s="373"/>
      <c r="AG989" s="373"/>
      <c r="AH989" s="373"/>
      <c r="AI989" s="373"/>
      <c r="AJ989" s="373"/>
      <c r="AK989" s="389"/>
      <c r="AL989" s="100"/>
      <c r="AM989" s="27"/>
      <c r="AN989" s="27"/>
      <c r="AO989" s="27"/>
      <c r="AP989" s="27"/>
      <c r="AQ989" s="27"/>
      <c r="AR989" s="27"/>
      <c r="AS989" s="22"/>
      <c r="AT989" s="22"/>
      <c r="AU989" s="22"/>
      <c r="AV989" s="22"/>
      <c r="AW989" s="22"/>
      <c r="AX989" s="22"/>
      <c r="AY989" s="22"/>
      <c r="AZ989" s="22"/>
      <c r="BA989" s="22"/>
      <c r="BB989" s="22"/>
      <c r="BC989" s="22"/>
      <c r="BD989" s="22"/>
      <c r="BE989" s="22"/>
      <c r="BF989" s="22"/>
      <c r="BG989" s="22"/>
      <c r="BH989" s="22"/>
      <c r="BI989" s="22"/>
      <c r="BJ989" s="22"/>
      <c r="BK989" s="22"/>
      <c r="BL989" s="22"/>
      <c r="BM989" s="22"/>
      <c r="BN989" s="22"/>
      <c r="BO989" s="22"/>
      <c r="BP989" s="22"/>
      <c r="BQ989" s="22"/>
      <c r="BR989" s="22"/>
      <c r="BS989" s="22"/>
      <c r="BT989" s="22"/>
      <c r="BU989" s="22"/>
      <c r="BV989" s="22"/>
      <c r="BW989" s="22"/>
      <c r="BX989" s="22"/>
      <c r="BY989" s="22"/>
      <c r="BZ989" s="22"/>
      <c r="CA989" s="22"/>
      <c r="CB989" s="22"/>
      <c r="CC989" s="22"/>
      <c r="CD989" s="22"/>
      <c r="CE989" s="22"/>
      <c r="CF989" s="22"/>
      <c r="CG989" s="22"/>
      <c r="CH989" s="22"/>
      <c r="CI989" s="22"/>
      <c r="CJ989" s="22"/>
      <c r="CK989" s="22"/>
      <c r="CL989" s="22"/>
      <c r="CM989" s="22"/>
      <c r="CN989" s="22"/>
      <c r="CO989" s="22"/>
      <c r="CP989" s="22"/>
      <c r="CQ989" s="22"/>
      <c r="CR989" s="22"/>
      <c r="CS989" s="22"/>
      <c r="CT989" s="22"/>
      <c r="CU989" s="22"/>
      <c r="CV989" s="22"/>
      <c r="CW989" s="22"/>
      <c r="CX989" s="22"/>
      <c r="CY989" s="22"/>
      <c r="CZ989" s="22"/>
      <c r="DA989" s="22"/>
      <c r="DB989" s="22"/>
      <c r="DC989" s="22"/>
      <c r="DD989" s="22"/>
      <c r="DE989" s="22"/>
      <c r="DF989" s="22"/>
      <c r="DG989" s="22"/>
      <c r="DH989" s="22"/>
      <c r="DI989" s="22"/>
      <c r="DJ989" s="22"/>
      <c r="DK989" s="22"/>
      <c r="DL989" s="22"/>
      <c r="DM989" s="22"/>
      <c r="DN989" s="22"/>
      <c r="DO989" s="22"/>
      <c r="DP989" s="22"/>
      <c r="DQ989" s="22"/>
      <c r="DR989" s="22"/>
      <c r="DS989" s="22"/>
      <c r="DT989" s="22"/>
      <c r="DU989" s="22"/>
      <c r="DV989" s="22"/>
      <c r="DW989" s="22"/>
      <c r="DX989" s="22"/>
      <c r="DY989" s="22"/>
      <c r="DZ989" s="22"/>
      <c r="EA989" s="22"/>
      <c r="EB989" s="22"/>
      <c r="EC989" s="22"/>
      <c r="ED989" s="22"/>
      <c r="EE989" s="22"/>
      <c r="EF989" s="22"/>
      <c r="EG989" s="22"/>
      <c r="EH989" s="22"/>
      <c r="EI989" s="22"/>
      <c r="EJ989" s="22"/>
      <c r="EK989" s="22"/>
      <c r="EL989" s="22"/>
      <c r="EM989" s="22"/>
      <c r="EN989" s="22"/>
      <c r="EO989" s="22"/>
      <c r="EP989" s="22"/>
      <c r="EQ989" s="22"/>
      <c r="ER989" s="22"/>
      <c r="ES989" s="22"/>
      <c r="ET989" s="22"/>
      <c r="EU989" s="22"/>
      <c r="EV989" s="22"/>
      <c r="EW989" s="22"/>
      <c r="EX989" s="22"/>
      <c r="EY989" s="22"/>
      <c r="EZ989" s="22"/>
      <c r="FA989" s="22"/>
      <c r="FB989" s="22"/>
      <c r="FC989" s="22"/>
      <c r="FD989" s="22"/>
      <c r="FE989" s="22"/>
      <c r="FF989" s="22"/>
      <c r="FG989" s="22"/>
      <c r="FH989" s="22"/>
      <c r="FI989" s="22"/>
      <c r="FJ989" s="22"/>
      <c r="FK989" s="22"/>
      <c r="FL989" s="22"/>
      <c r="FM989" s="22"/>
      <c r="FN989" s="22"/>
      <c r="FO989" s="22"/>
      <c r="FP989" s="22"/>
      <c r="FQ989" s="22"/>
      <c r="FR989" s="22"/>
      <c r="FS989" s="22"/>
      <c r="FT989" s="22"/>
      <c r="FU989" s="22"/>
      <c r="FV989" s="22"/>
      <c r="FW989" s="22"/>
      <c r="FX989" s="22"/>
      <c r="FY989" s="22"/>
      <c r="FZ989" s="22"/>
      <c r="GA989" s="22"/>
      <c r="GB989" s="22"/>
      <c r="GC989" s="22"/>
      <c r="GD989" s="22"/>
      <c r="GE989" s="22"/>
      <c r="GF989" s="22"/>
      <c r="GG989" s="22"/>
      <c r="GH989" s="22"/>
      <c r="GI989" s="22"/>
      <c r="GJ989" s="22"/>
      <c r="GK989" s="22"/>
      <c r="GL989" s="22"/>
      <c r="GM989" s="22"/>
      <c r="GN989" s="22"/>
      <c r="GO989" s="22"/>
      <c r="GP989" s="22"/>
      <c r="GQ989" s="22"/>
      <c r="GR989" s="22"/>
      <c r="GS989" s="22"/>
      <c r="GT989" s="22"/>
      <c r="GU989" s="22"/>
      <c r="GV989" s="22"/>
      <c r="GW989" s="22"/>
      <c r="GX989" s="22"/>
      <c r="GY989" s="22"/>
      <c r="GZ989" s="22"/>
      <c r="HA989" s="22"/>
      <c r="HB989" s="22"/>
      <c r="HC989" s="22"/>
      <c r="HD989" s="22"/>
      <c r="HE989" s="22"/>
      <c r="HF989" s="22"/>
      <c r="HG989" s="22"/>
      <c r="HH989" s="22"/>
      <c r="HI989" s="22"/>
      <c r="HJ989" s="22"/>
      <c r="HK989" s="22"/>
      <c r="HL989" s="22"/>
      <c r="HM989" s="22"/>
      <c r="HN989" s="22"/>
      <c r="HO989" s="22"/>
      <c r="HP989" s="22"/>
      <c r="HQ989" s="22"/>
      <c r="HR989" s="22"/>
      <c r="HS989" s="22"/>
      <c r="HT989" s="22"/>
      <c r="HU989" s="22"/>
      <c r="HV989" s="22"/>
      <c r="HW989" s="22"/>
      <c r="HX989" s="22"/>
      <c r="HY989" s="22"/>
      <c r="HZ989" s="22"/>
      <c r="IA989" s="22"/>
      <c r="IB989" s="22"/>
      <c r="IC989" s="22"/>
      <c r="ID989" s="22"/>
      <c r="IE989" s="22"/>
      <c r="IF989" s="22"/>
      <c r="IG989" s="22"/>
      <c r="IH989" s="22"/>
      <c r="II989" s="22"/>
      <c r="IJ989" s="22"/>
      <c r="IK989" s="22"/>
      <c r="IL989" s="22"/>
      <c r="IM989" s="22"/>
      <c r="IN989" s="22"/>
      <c r="IO989" s="22"/>
      <c r="IP989" s="22"/>
      <c r="IQ989" s="22"/>
      <c r="IR989" s="22"/>
      <c r="IS989" s="22"/>
      <c r="IT989" s="22"/>
      <c r="IU989" s="22"/>
      <c r="IV989" s="22"/>
      <c r="IW989" s="22"/>
      <c r="IX989" s="22"/>
      <c r="IY989" s="22"/>
      <c r="IZ989" s="22"/>
      <c r="JA989" s="22"/>
      <c r="JB989" s="22"/>
      <c r="JC989" s="22"/>
      <c r="JD989" s="22"/>
      <c r="JE989" s="22"/>
      <c r="JF989" s="22"/>
      <c r="JG989" s="22"/>
      <c r="JH989" s="22"/>
      <c r="JI989" s="22"/>
      <c r="JJ989" s="22"/>
      <c r="JK989" s="22"/>
      <c r="JL989" s="22"/>
      <c r="JM989" s="22"/>
      <c r="JN989" s="22"/>
      <c r="JO989" s="22"/>
      <c r="JP989" s="22"/>
      <c r="JQ989" s="22"/>
      <c r="JR989" s="22"/>
      <c r="JS989" s="22"/>
      <c r="JT989" s="22"/>
      <c r="JU989" s="22"/>
      <c r="JV989" s="22"/>
      <c r="JW989" s="22"/>
      <c r="JX989" s="22"/>
      <c r="JY989" s="22"/>
      <c r="JZ989" s="22"/>
      <c r="KA989" s="22"/>
      <c r="KB989" s="22"/>
      <c r="KC989" s="22"/>
      <c r="KD989" s="22"/>
      <c r="KE989" s="22"/>
      <c r="KF989" s="22"/>
      <c r="KG989" s="22"/>
      <c r="KH989" s="22"/>
      <c r="KI989" s="22"/>
      <c r="KJ989" s="22"/>
      <c r="KK989" s="22"/>
      <c r="KL989" s="22"/>
      <c r="KM989" s="22"/>
      <c r="KN989" s="22"/>
      <c r="KO989" s="22"/>
      <c r="KP989" s="22"/>
      <c r="KQ989" s="22"/>
      <c r="KR989" s="22"/>
      <c r="KS989" s="22"/>
      <c r="KT989" s="22"/>
      <c r="KU989" s="22"/>
      <c r="KV989" s="22"/>
      <c r="KW989" s="22"/>
      <c r="KX989" s="22"/>
      <c r="KY989" s="22"/>
      <c r="KZ989" s="22"/>
      <c r="LA989" s="22"/>
      <c r="LB989" s="22"/>
      <c r="LC989" s="22"/>
      <c r="LD989" s="22"/>
      <c r="LE989" s="22"/>
      <c r="LF989" s="22"/>
      <c r="LG989" s="22"/>
      <c r="LH989" s="22"/>
      <c r="LI989" s="22"/>
      <c r="LJ989" s="22"/>
      <c r="LK989" s="22"/>
      <c r="LL989" s="22"/>
      <c r="LM989" s="22"/>
      <c r="LN989" s="22"/>
      <c r="LO989" s="22"/>
      <c r="LP989" s="22"/>
      <c r="LQ989" s="22"/>
      <c r="LR989" s="22"/>
      <c r="LS989" s="22"/>
      <c r="LT989" s="22"/>
      <c r="LU989" s="22"/>
      <c r="LV989" s="22"/>
      <c r="LW989" s="22"/>
      <c r="LX989" s="22"/>
      <c r="LY989" s="22"/>
      <c r="LZ989" s="22"/>
      <c r="MA989" s="22"/>
      <c r="MB989" s="22"/>
      <c r="MC989" s="22"/>
      <c r="MD989" s="22"/>
      <c r="ME989" s="22"/>
      <c r="MF989" s="22"/>
      <c r="MG989" s="22"/>
      <c r="MH989" s="22"/>
      <c r="MI989" s="22"/>
      <c r="MJ989" s="22"/>
      <c r="MK989" s="22"/>
      <c r="ML989" s="22"/>
      <c r="MM989" s="22"/>
      <c r="MN989" s="22"/>
      <c r="MO989" s="22"/>
      <c r="MP989" s="22"/>
      <c r="MQ989" s="22"/>
      <c r="MR989" s="22"/>
      <c r="MS989" s="22"/>
      <c r="MT989" s="22"/>
      <c r="MU989" s="22"/>
      <c r="MV989" s="22"/>
      <c r="MW989" s="22"/>
      <c r="MX989" s="22"/>
      <c r="MY989" s="22"/>
      <c r="MZ989" s="22"/>
      <c r="NA989" s="22"/>
      <c r="NB989" s="22"/>
      <c r="NC989" s="22"/>
      <c r="ND989" s="22"/>
      <c r="NE989" s="22"/>
      <c r="NF989" s="22"/>
      <c r="NG989" s="22"/>
      <c r="NH989" s="22"/>
      <c r="NI989" s="22"/>
      <c r="NJ989" s="22"/>
      <c r="NK989" s="22"/>
      <c r="NL989" s="22"/>
      <c r="NM989" s="22"/>
      <c r="NN989" s="22"/>
      <c r="NO989" s="22"/>
      <c r="NP989" s="22"/>
      <c r="NQ989" s="22"/>
      <c r="NR989" s="22"/>
      <c r="NS989" s="22"/>
      <c r="NT989" s="22"/>
      <c r="NU989" s="22"/>
      <c r="NV989" s="22"/>
      <c r="NW989" s="22"/>
      <c r="NX989" s="22"/>
      <c r="NY989" s="22"/>
      <c r="NZ989" s="22"/>
      <c r="OA989" s="22"/>
      <c r="OB989" s="22"/>
      <c r="OC989" s="22"/>
      <c r="OD989" s="22"/>
      <c r="OE989" s="22"/>
      <c r="OF989" s="22"/>
      <c r="OG989" s="22"/>
      <c r="OH989" s="22"/>
      <c r="OI989" s="22"/>
      <c r="OJ989" s="22"/>
      <c r="OK989" s="22"/>
      <c r="OL989" s="22"/>
      <c r="OM989" s="22"/>
      <c r="ON989" s="22"/>
      <c r="OO989" s="22"/>
      <c r="OP989" s="22"/>
      <c r="OQ989" s="22"/>
      <c r="OR989" s="22"/>
      <c r="OS989" s="22"/>
      <c r="OT989" s="22"/>
      <c r="OU989" s="22"/>
      <c r="OV989" s="22"/>
      <c r="OW989" s="22"/>
      <c r="OX989" s="22"/>
      <c r="OY989" s="22"/>
      <c r="OZ989" s="22"/>
      <c r="PA989" s="22"/>
      <c r="PB989" s="22"/>
      <c r="PC989" s="22"/>
      <c r="PD989" s="22"/>
      <c r="PE989" s="22"/>
      <c r="PF989" s="22"/>
      <c r="PG989" s="22"/>
      <c r="PH989" s="22"/>
      <c r="PI989" s="22"/>
      <c r="PJ989" s="22"/>
      <c r="PK989" s="22"/>
      <c r="PL989" s="22"/>
      <c r="PM989" s="22"/>
      <c r="PN989" s="22"/>
      <c r="PO989" s="22"/>
      <c r="PP989" s="22"/>
      <c r="PQ989" s="22"/>
      <c r="PR989" s="22"/>
      <c r="PS989" s="22"/>
      <c r="PT989" s="22"/>
      <c r="PU989" s="22"/>
      <c r="PV989" s="22"/>
      <c r="PW989" s="22"/>
      <c r="PX989" s="22"/>
      <c r="PY989" s="22"/>
      <c r="PZ989" s="22"/>
      <c r="QA989" s="22"/>
      <c r="QB989" s="22"/>
      <c r="QC989" s="22"/>
      <c r="QD989" s="22"/>
      <c r="QE989" s="22"/>
      <c r="QF989" s="22"/>
      <c r="QG989" s="22"/>
      <c r="QH989" s="22"/>
      <c r="QI989" s="22"/>
      <c r="QJ989" s="22"/>
      <c r="QK989" s="22"/>
      <c r="QL989" s="22"/>
      <c r="QM989" s="22"/>
      <c r="QN989" s="22"/>
      <c r="QO989" s="22"/>
      <c r="QP989" s="22"/>
      <c r="QQ989" s="22"/>
      <c r="QR989" s="22"/>
      <c r="QS989" s="22"/>
      <c r="QT989" s="22"/>
      <c r="QU989" s="22"/>
      <c r="QV989" s="22"/>
      <c r="QW989" s="22"/>
      <c r="QX989" s="22"/>
      <c r="QY989" s="22"/>
      <c r="QZ989" s="22"/>
      <c r="RA989" s="22"/>
      <c r="RB989" s="22"/>
      <c r="RC989" s="22"/>
      <c r="RD989" s="22"/>
      <c r="RE989" s="22"/>
      <c r="RF989" s="22"/>
      <c r="RG989" s="22"/>
      <c r="RH989" s="22"/>
      <c r="RI989" s="22"/>
      <c r="RJ989" s="22"/>
      <c r="RK989" s="22"/>
      <c r="RL989" s="22"/>
      <c r="RM989" s="22"/>
      <c r="RN989" s="22"/>
      <c r="RO989" s="22"/>
      <c r="RP989" s="22"/>
      <c r="RQ989" s="22"/>
      <c r="RR989" s="22"/>
      <c r="RS989" s="22"/>
      <c r="RT989" s="22"/>
      <c r="RU989" s="22"/>
      <c r="RV989" s="22"/>
      <c r="RW989" s="22"/>
      <c r="RX989" s="22"/>
      <c r="RY989" s="22"/>
      <c r="RZ989" s="22"/>
      <c r="SA989" s="22"/>
      <c r="SB989" s="22"/>
      <c r="SC989" s="22"/>
      <c r="SD989" s="22"/>
      <c r="SE989" s="22"/>
      <c r="SF989" s="22"/>
      <c r="SG989" s="22"/>
      <c r="SH989" s="22"/>
      <c r="SI989" s="22"/>
      <c r="SJ989" s="22"/>
      <c r="SK989" s="22"/>
      <c r="SL989" s="22"/>
      <c r="SM989" s="22"/>
      <c r="SN989" s="22"/>
      <c r="SO989" s="22"/>
      <c r="SP989" s="22"/>
      <c r="SQ989" s="22"/>
      <c r="SR989" s="22"/>
      <c r="SS989" s="22"/>
      <c r="ST989" s="22"/>
      <c r="SU989" s="22"/>
      <c r="SV989" s="22"/>
      <c r="SW989" s="22"/>
      <c r="SX989" s="22"/>
      <c r="SY989" s="22"/>
      <c r="SZ989" s="22"/>
      <c r="TA989" s="22"/>
      <c r="TB989" s="22"/>
      <c r="TC989" s="22"/>
      <c r="TD989" s="22"/>
      <c r="TE989" s="22"/>
      <c r="TF989" s="22"/>
      <c r="TG989" s="22"/>
      <c r="TH989" s="22"/>
      <c r="TI989" s="22"/>
      <c r="TJ989" s="22"/>
      <c r="TK989" s="22"/>
      <c r="TL989" s="22"/>
      <c r="TM989" s="22"/>
      <c r="TN989" s="22"/>
      <c r="TO989" s="22"/>
      <c r="TP989" s="22"/>
      <c r="TQ989" s="22"/>
      <c r="TR989" s="22"/>
      <c r="TS989" s="22"/>
      <c r="TT989" s="22"/>
      <c r="TU989" s="22"/>
      <c r="TV989" s="22"/>
      <c r="TW989" s="22"/>
      <c r="TX989" s="22"/>
      <c r="TY989" s="22"/>
      <c r="TZ989" s="22"/>
      <c r="UA989" s="22"/>
      <c r="UB989" s="22"/>
      <c r="UC989" s="22"/>
      <c r="UD989" s="22"/>
      <c r="UE989" s="22"/>
      <c r="UF989" s="22"/>
      <c r="UG989" s="23"/>
    </row>
    <row r="990" spans="1:553" ht="75" customHeight="1">
      <c r="A990" s="356" t="s">
        <v>15</v>
      </c>
      <c r="B990" s="385" t="s">
        <v>29</v>
      </c>
      <c r="C990" s="1574" t="s">
        <v>1291</v>
      </c>
      <c r="D990" s="1389"/>
      <c r="E990" s="1389"/>
      <c r="F990" s="1390"/>
      <c r="G990" s="386" t="s">
        <v>935</v>
      </c>
      <c r="H990" s="370"/>
      <c r="I990" s="417">
        <f>9.4*10.4</f>
        <v>97.76</v>
      </c>
      <c r="J990" s="368">
        <v>2204600</v>
      </c>
      <c r="K990" s="371"/>
      <c r="L990" s="366">
        <f>I990*J990</f>
        <v>215521696</v>
      </c>
      <c r="M990" s="395"/>
      <c r="N990" s="395"/>
      <c r="O990" s="366"/>
      <c r="P990" s="396"/>
      <c r="Q990" s="473"/>
      <c r="R990" s="1039"/>
      <c r="S990" s="308"/>
      <c r="T990" s="308"/>
      <c r="U990" s="308"/>
      <c r="V990" s="308"/>
      <c r="W990" s="308"/>
      <c r="X990" s="308"/>
      <c r="Y990" s="308"/>
      <c r="Z990" s="604"/>
      <c r="AA990" s="308"/>
      <c r="AB990" s="308"/>
      <c r="AC990" s="373"/>
      <c r="AD990" s="373"/>
      <c r="AE990" s="373"/>
      <c r="AF990" s="373"/>
      <c r="AG990" s="389"/>
      <c r="AH990" s="389"/>
      <c r="AI990" s="389"/>
      <c r="AJ990" s="389"/>
      <c r="AK990" s="389"/>
      <c r="AL990" s="100"/>
      <c r="AM990" s="27"/>
      <c r="AN990" s="27"/>
      <c r="AO990" s="27"/>
      <c r="AP990" s="27"/>
      <c r="AQ990" s="22"/>
      <c r="AR990" s="22"/>
      <c r="AS990" s="22"/>
      <c r="AT990" s="22"/>
      <c r="AU990" s="22"/>
      <c r="AV990" s="22"/>
      <c r="AW990" s="22"/>
      <c r="AX990" s="22"/>
      <c r="AY990" s="22"/>
      <c r="AZ990" s="22"/>
      <c r="BA990" s="22"/>
      <c r="BB990" s="22"/>
      <c r="BC990" s="22"/>
      <c r="BD990" s="22"/>
      <c r="BE990" s="22"/>
      <c r="BF990" s="22"/>
      <c r="BG990" s="22"/>
      <c r="BH990" s="22"/>
      <c r="BI990" s="22"/>
      <c r="BJ990" s="22"/>
      <c r="BK990" s="22"/>
      <c r="BL990" s="22"/>
      <c r="BM990" s="22"/>
      <c r="BN990" s="22"/>
      <c r="BO990" s="22"/>
      <c r="BP990" s="22"/>
      <c r="BQ990" s="22"/>
      <c r="BR990" s="22"/>
      <c r="BS990" s="22"/>
      <c r="BT990" s="22"/>
      <c r="BU990" s="22"/>
      <c r="BV990" s="22"/>
      <c r="BW990" s="22"/>
      <c r="BX990" s="22"/>
      <c r="BY990" s="22"/>
      <c r="BZ990" s="22"/>
      <c r="CA990" s="22"/>
      <c r="CB990" s="22"/>
      <c r="CC990" s="22"/>
      <c r="CD990" s="22"/>
      <c r="CE990" s="22"/>
      <c r="CF990" s="22"/>
      <c r="CG990" s="22"/>
      <c r="CH990" s="22"/>
      <c r="CI990" s="22"/>
      <c r="CJ990" s="22"/>
      <c r="CK990" s="22"/>
      <c r="CL990" s="22"/>
      <c r="CM990" s="22"/>
      <c r="CN990" s="22"/>
      <c r="CO990" s="22"/>
      <c r="CP990" s="22"/>
      <c r="CQ990" s="22"/>
      <c r="CR990" s="22"/>
      <c r="CS990" s="22"/>
      <c r="CT990" s="22"/>
      <c r="CU990" s="22"/>
      <c r="CV990" s="22"/>
      <c r="CW990" s="22"/>
      <c r="CX990" s="22"/>
      <c r="CY990" s="22"/>
      <c r="CZ990" s="22"/>
      <c r="DA990" s="22"/>
      <c r="DB990" s="22"/>
      <c r="DC990" s="22"/>
      <c r="DD990" s="22"/>
      <c r="DE990" s="22"/>
      <c r="DF990" s="22"/>
      <c r="DG990" s="22"/>
      <c r="DH990" s="22"/>
      <c r="DI990" s="22"/>
      <c r="DJ990" s="22"/>
      <c r="DK990" s="22"/>
      <c r="DL990" s="22"/>
      <c r="DM990" s="22"/>
      <c r="DN990" s="22"/>
      <c r="DO990" s="22"/>
      <c r="DP990" s="22"/>
      <c r="DQ990" s="22"/>
      <c r="DR990" s="22"/>
      <c r="DS990" s="22"/>
      <c r="DT990" s="22"/>
      <c r="DU990" s="22"/>
      <c r="DV990" s="22"/>
      <c r="DW990" s="22"/>
      <c r="DX990" s="22"/>
      <c r="DY990" s="22"/>
      <c r="DZ990" s="22"/>
      <c r="EA990" s="22"/>
      <c r="EB990" s="22"/>
      <c r="EC990" s="22"/>
      <c r="ED990" s="22"/>
      <c r="EE990" s="22"/>
      <c r="EF990" s="22"/>
      <c r="EG990" s="22"/>
      <c r="EH990" s="22"/>
      <c r="EI990" s="22"/>
      <c r="EJ990" s="22"/>
      <c r="EK990" s="22"/>
      <c r="EL990" s="22"/>
      <c r="EM990" s="22"/>
      <c r="EN990" s="22"/>
      <c r="EO990" s="22"/>
      <c r="EP990" s="22"/>
      <c r="EQ990" s="22"/>
      <c r="ER990" s="22"/>
      <c r="ES990" s="22"/>
      <c r="ET990" s="22"/>
      <c r="EU990" s="22"/>
      <c r="EV990" s="22"/>
      <c r="EW990" s="22"/>
      <c r="EX990" s="22"/>
      <c r="EY990" s="22"/>
      <c r="EZ990" s="22"/>
      <c r="FA990" s="22"/>
      <c r="FB990" s="22"/>
      <c r="FC990" s="22"/>
      <c r="FD990" s="22"/>
      <c r="FE990" s="22"/>
      <c r="FF990" s="22"/>
      <c r="FG990" s="22"/>
      <c r="FH990" s="22"/>
      <c r="FI990" s="22"/>
      <c r="FJ990" s="22"/>
      <c r="FK990" s="22"/>
      <c r="FL990" s="22"/>
      <c r="FM990" s="22"/>
      <c r="FN990" s="22"/>
      <c r="FO990" s="22"/>
      <c r="FP990" s="22"/>
      <c r="FQ990" s="22"/>
      <c r="FR990" s="22"/>
      <c r="FS990" s="22"/>
      <c r="FT990" s="22"/>
      <c r="FU990" s="22"/>
      <c r="FV990" s="22"/>
      <c r="FW990" s="22"/>
      <c r="FX990" s="22"/>
      <c r="FY990" s="22"/>
      <c r="FZ990" s="22"/>
      <c r="GA990" s="22"/>
      <c r="GB990" s="22"/>
      <c r="GC990" s="22"/>
      <c r="GD990" s="22"/>
      <c r="GE990" s="22"/>
      <c r="GF990" s="22"/>
      <c r="GG990" s="22"/>
      <c r="GH990" s="22"/>
      <c r="GI990" s="22"/>
      <c r="GJ990" s="22"/>
      <c r="GK990" s="22"/>
      <c r="GL990" s="22"/>
      <c r="GM990" s="22"/>
      <c r="GN990" s="22"/>
      <c r="GO990" s="22"/>
      <c r="GP990" s="22"/>
      <c r="GQ990" s="22"/>
      <c r="GR990" s="22"/>
      <c r="GS990" s="22"/>
      <c r="GT990" s="22"/>
      <c r="GU990" s="22"/>
      <c r="GV990" s="22"/>
      <c r="GW990" s="22"/>
      <c r="GX990" s="22"/>
      <c r="GY990" s="22"/>
      <c r="GZ990" s="22"/>
      <c r="HA990" s="22"/>
      <c r="HB990" s="22"/>
      <c r="HC990" s="22"/>
      <c r="HD990" s="22"/>
      <c r="HE990" s="22"/>
      <c r="HF990" s="22"/>
      <c r="HG990" s="22"/>
      <c r="HH990" s="22"/>
      <c r="HI990" s="22"/>
      <c r="HJ990" s="22"/>
      <c r="HK990" s="22"/>
      <c r="HL990" s="22"/>
      <c r="HM990" s="22"/>
      <c r="HN990" s="22"/>
      <c r="HO990" s="22"/>
      <c r="HP990" s="22"/>
      <c r="HQ990" s="22"/>
      <c r="HR990" s="22"/>
      <c r="HS990" s="22"/>
      <c r="HT990" s="22"/>
      <c r="HU990" s="22"/>
      <c r="HV990" s="22"/>
      <c r="HW990" s="22"/>
      <c r="HX990" s="22"/>
      <c r="HY990" s="22"/>
      <c r="HZ990" s="22"/>
      <c r="IA990" s="22"/>
      <c r="IB990" s="22"/>
      <c r="IC990" s="22"/>
      <c r="ID990" s="22"/>
      <c r="IE990" s="22"/>
      <c r="IF990" s="22"/>
      <c r="IG990" s="22"/>
      <c r="IH990" s="22"/>
      <c r="II990" s="22"/>
      <c r="IJ990" s="22"/>
      <c r="IK990" s="22"/>
      <c r="IL990" s="22"/>
      <c r="IM990" s="22"/>
      <c r="IN990" s="22"/>
      <c r="IO990" s="22"/>
      <c r="IP990" s="22"/>
      <c r="IQ990" s="22"/>
      <c r="IR990" s="22"/>
      <c r="IS990" s="22"/>
      <c r="IT990" s="22"/>
      <c r="IU990" s="22"/>
      <c r="IV990" s="22"/>
      <c r="IW990" s="22"/>
      <c r="IX990" s="22"/>
      <c r="IY990" s="22"/>
      <c r="IZ990" s="22"/>
      <c r="JA990" s="22"/>
      <c r="JB990" s="22"/>
      <c r="JC990" s="22"/>
      <c r="JD990" s="22"/>
      <c r="JE990" s="22"/>
      <c r="JF990" s="22"/>
      <c r="JG990" s="22"/>
      <c r="JH990" s="22"/>
      <c r="JI990" s="22"/>
      <c r="JJ990" s="22"/>
      <c r="JK990" s="22"/>
      <c r="JL990" s="22"/>
      <c r="JM990" s="22"/>
      <c r="JN990" s="22"/>
      <c r="JO990" s="22"/>
      <c r="JP990" s="22"/>
      <c r="JQ990" s="22"/>
      <c r="JR990" s="22"/>
      <c r="JS990" s="22"/>
      <c r="JT990" s="22"/>
      <c r="JU990" s="22"/>
      <c r="JV990" s="22"/>
      <c r="JW990" s="22"/>
      <c r="JX990" s="22"/>
      <c r="JY990" s="22"/>
      <c r="JZ990" s="22"/>
      <c r="KA990" s="22"/>
      <c r="KB990" s="22"/>
      <c r="KC990" s="22"/>
      <c r="KD990" s="22"/>
      <c r="KE990" s="22"/>
      <c r="KF990" s="22"/>
      <c r="KG990" s="22"/>
      <c r="KH990" s="22"/>
      <c r="KI990" s="22"/>
      <c r="KJ990" s="22"/>
      <c r="KK990" s="22"/>
      <c r="KL990" s="22"/>
      <c r="KM990" s="22"/>
      <c r="KN990" s="22"/>
      <c r="KO990" s="22"/>
      <c r="KP990" s="22"/>
      <c r="KQ990" s="22"/>
      <c r="KR990" s="22"/>
      <c r="KS990" s="22"/>
      <c r="KT990" s="22"/>
      <c r="KU990" s="22"/>
      <c r="KV990" s="22"/>
      <c r="KW990" s="22"/>
      <c r="KX990" s="22"/>
      <c r="KY990" s="22"/>
      <c r="KZ990" s="22"/>
      <c r="LA990" s="22"/>
      <c r="LB990" s="22"/>
      <c r="LC990" s="22"/>
      <c r="LD990" s="22"/>
      <c r="LE990" s="22"/>
      <c r="LF990" s="22"/>
      <c r="LG990" s="22"/>
      <c r="LH990" s="22"/>
      <c r="LI990" s="22"/>
      <c r="LJ990" s="22"/>
      <c r="LK990" s="22"/>
      <c r="LL990" s="22"/>
      <c r="LM990" s="22"/>
      <c r="LN990" s="22"/>
      <c r="LO990" s="22"/>
      <c r="LP990" s="22"/>
      <c r="LQ990" s="22"/>
      <c r="LR990" s="22"/>
      <c r="LS990" s="22"/>
      <c r="LT990" s="22"/>
      <c r="LU990" s="22"/>
      <c r="LV990" s="22"/>
      <c r="LW990" s="22"/>
      <c r="LX990" s="22"/>
      <c r="LY990" s="22"/>
      <c r="LZ990" s="22"/>
      <c r="MA990" s="22"/>
      <c r="MB990" s="22"/>
      <c r="MC990" s="22"/>
      <c r="MD990" s="22"/>
      <c r="ME990" s="22"/>
      <c r="MF990" s="22"/>
      <c r="MG990" s="22"/>
      <c r="MH990" s="22"/>
      <c r="MI990" s="22"/>
      <c r="MJ990" s="22"/>
      <c r="MK990" s="22"/>
      <c r="ML990" s="22"/>
      <c r="MM990" s="22"/>
      <c r="MN990" s="22"/>
      <c r="MO990" s="22"/>
      <c r="MP990" s="22"/>
      <c r="MQ990" s="22"/>
      <c r="MR990" s="22"/>
      <c r="MS990" s="22"/>
      <c r="MT990" s="22"/>
      <c r="MU990" s="22"/>
      <c r="MV990" s="22"/>
      <c r="MW990" s="22"/>
      <c r="MX990" s="22"/>
      <c r="MY990" s="22"/>
      <c r="MZ990" s="22"/>
      <c r="NA990" s="22"/>
      <c r="NB990" s="22"/>
      <c r="NC990" s="22"/>
      <c r="ND990" s="22"/>
      <c r="NE990" s="22"/>
      <c r="NF990" s="22"/>
      <c r="NG990" s="22"/>
      <c r="NH990" s="22"/>
      <c r="NI990" s="22"/>
      <c r="NJ990" s="22"/>
      <c r="NK990" s="22"/>
      <c r="NL990" s="22"/>
      <c r="NM990" s="22"/>
      <c r="NN990" s="22"/>
      <c r="NO990" s="22"/>
      <c r="NP990" s="22"/>
      <c r="NQ990" s="22"/>
      <c r="NR990" s="22"/>
      <c r="NS990" s="22"/>
      <c r="NT990" s="22"/>
      <c r="NU990" s="22"/>
      <c r="NV990" s="22"/>
      <c r="NW990" s="22"/>
      <c r="NX990" s="22"/>
      <c r="NY990" s="22"/>
      <c r="NZ990" s="22"/>
      <c r="OA990" s="22"/>
      <c r="OB990" s="22"/>
      <c r="OC990" s="22"/>
      <c r="OD990" s="22"/>
      <c r="OE990" s="22"/>
      <c r="OF990" s="22"/>
      <c r="OG990" s="22"/>
      <c r="OH990" s="22"/>
      <c r="OI990" s="22"/>
      <c r="OJ990" s="22"/>
      <c r="OK990" s="22"/>
      <c r="OL990" s="22"/>
      <c r="OM990" s="22"/>
      <c r="ON990" s="22"/>
      <c r="OO990" s="22"/>
      <c r="OP990" s="22"/>
      <c r="OQ990" s="22"/>
      <c r="OR990" s="22"/>
      <c r="OS990" s="22"/>
      <c r="OT990" s="22"/>
      <c r="OU990" s="22"/>
      <c r="OV990" s="22"/>
      <c r="OW990" s="22"/>
      <c r="OX990" s="22"/>
      <c r="OY990" s="22"/>
      <c r="OZ990" s="22"/>
      <c r="PA990" s="22"/>
      <c r="PB990" s="22"/>
      <c r="PC990" s="22"/>
      <c r="PD990" s="22"/>
      <c r="PE990" s="22"/>
      <c r="PF990" s="22"/>
      <c r="PG990" s="22"/>
      <c r="PH990" s="22"/>
      <c r="PI990" s="22"/>
      <c r="PJ990" s="22"/>
      <c r="PK990" s="22"/>
      <c r="PL990" s="22"/>
      <c r="PM990" s="22"/>
      <c r="PN990" s="22"/>
      <c r="PO990" s="22"/>
      <c r="PP990" s="22"/>
      <c r="PQ990" s="22"/>
      <c r="PR990" s="22"/>
      <c r="PS990" s="22"/>
      <c r="PT990" s="22"/>
      <c r="PU990" s="22"/>
      <c r="PV990" s="22"/>
      <c r="PW990" s="22"/>
      <c r="PX990" s="22"/>
      <c r="PY990" s="22"/>
      <c r="PZ990" s="22"/>
      <c r="QA990" s="22"/>
      <c r="QB990" s="22"/>
      <c r="QC990" s="22"/>
      <c r="QD990" s="22"/>
      <c r="QE990" s="22"/>
      <c r="QF990" s="22"/>
      <c r="QG990" s="22"/>
      <c r="QH990" s="22"/>
      <c r="QI990" s="22"/>
      <c r="QJ990" s="22"/>
      <c r="QK990" s="22"/>
      <c r="QL990" s="22"/>
      <c r="QM990" s="22"/>
      <c r="QN990" s="22"/>
      <c r="QO990" s="22"/>
      <c r="QP990" s="22"/>
      <c r="QQ990" s="22"/>
      <c r="QR990" s="22"/>
      <c r="QS990" s="22"/>
      <c r="QT990" s="22"/>
      <c r="QU990" s="22"/>
      <c r="QV990" s="22"/>
      <c r="QW990" s="22"/>
      <c r="QX990" s="22"/>
      <c r="QY990" s="22"/>
      <c r="QZ990" s="22"/>
      <c r="RA990" s="22"/>
      <c r="RB990" s="22"/>
      <c r="RC990" s="22"/>
      <c r="RD990" s="22"/>
      <c r="RE990" s="22"/>
      <c r="RF990" s="22"/>
      <c r="RG990" s="22"/>
      <c r="RH990" s="22"/>
      <c r="RI990" s="22"/>
      <c r="RJ990" s="22"/>
      <c r="RK990" s="22"/>
      <c r="RL990" s="22"/>
      <c r="RM990" s="22"/>
      <c r="RN990" s="22"/>
      <c r="RO990" s="22"/>
      <c r="RP990" s="22"/>
      <c r="RQ990" s="22"/>
      <c r="RR990" s="22"/>
      <c r="RS990" s="22"/>
      <c r="RT990" s="22"/>
      <c r="RU990" s="22"/>
      <c r="RV990" s="22"/>
      <c r="RW990" s="22"/>
      <c r="RX990" s="22"/>
      <c r="RY990" s="22"/>
      <c r="RZ990" s="22"/>
      <c r="SA990" s="22"/>
      <c r="SB990" s="22"/>
      <c r="SC990" s="22"/>
      <c r="SD990" s="22"/>
      <c r="SE990" s="22"/>
      <c r="SF990" s="22"/>
      <c r="SG990" s="22"/>
      <c r="SH990" s="22"/>
      <c r="SI990" s="22"/>
      <c r="SJ990" s="22"/>
      <c r="SK990" s="22"/>
      <c r="SL990" s="22"/>
      <c r="SM990" s="22"/>
      <c r="SN990" s="22"/>
      <c r="SO990" s="22"/>
      <c r="SP990" s="22"/>
      <c r="SQ990" s="22"/>
      <c r="SR990" s="22"/>
      <c r="SS990" s="22"/>
      <c r="ST990" s="22"/>
      <c r="SU990" s="22"/>
      <c r="SV990" s="22"/>
      <c r="SW990" s="22"/>
      <c r="SX990" s="22"/>
      <c r="SY990" s="22"/>
      <c r="SZ990" s="22"/>
      <c r="TA990" s="22"/>
      <c r="TB990" s="22"/>
      <c r="TC990" s="22"/>
      <c r="TD990" s="22"/>
      <c r="TE990" s="22"/>
      <c r="TF990" s="22"/>
      <c r="TG990" s="22"/>
      <c r="TH990" s="22"/>
      <c r="TI990" s="22"/>
      <c r="TJ990" s="22"/>
      <c r="TK990" s="22"/>
      <c r="TL990" s="22"/>
      <c r="TM990" s="22"/>
      <c r="TN990" s="22"/>
      <c r="TO990" s="22"/>
      <c r="TP990" s="22"/>
      <c r="TQ990" s="22"/>
      <c r="TR990" s="22"/>
      <c r="TS990" s="22"/>
      <c r="TT990" s="22"/>
      <c r="TU990" s="22"/>
      <c r="TV990" s="22"/>
      <c r="TW990" s="22"/>
      <c r="TX990" s="22"/>
      <c r="TY990" s="22"/>
      <c r="TZ990" s="22"/>
      <c r="UA990" s="22"/>
      <c r="UB990" s="22"/>
      <c r="UC990" s="22"/>
      <c r="UD990" s="22"/>
      <c r="UE990" s="22"/>
      <c r="UF990" s="22"/>
      <c r="UG990" s="23"/>
    </row>
    <row r="991" spans="1:553" s="142" customFormat="1" ht="43.5" customHeight="1">
      <c r="A991" s="444"/>
      <c r="B991" s="384" t="s">
        <v>31</v>
      </c>
      <c r="C991" s="1370" t="s">
        <v>1002</v>
      </c>
      <c r="D991" s="1371"/>
      <c r="E991" s="1371"/>
      <c r="F991" s="1372"/>
      <c r="G991" s="386" t="s">
        <v>34</v>
      </c>
      <c r="H991" s="672"/>
      <c r="I991" s="422">
        <f>-(6.6+8.2)*2*1.63*0.22</f>
        <v>-10.614559999999997</v>
      </c>
      <c r="J991" s="368">
        <v>1748702</v>
      </c>
      <c r="K991" s="686"/>
      <c r="L991" s="689">
        <f t="shared" ref="L991" si="148">I991*J991</f>
        <v>-18561702.301119994</v>
      </c>
      <c r="M991" s="548"/>
      <c r="N991" s="548"/>
      <c r="O991" s="427"/>
      <c r="P991" s="384"/>
      <c r="Q991" s="1213"/>
      <c r="R991" s="1227"/>
      <c r="S991" s="308"/>
      <c r="T991" s="308"/>
      <c r="U991" s="308"/>
      <c r="V991" s="308"/>
      <c r="W991" s="308"/>
      <c r="X991" s="308"/>
      <c r="Y991" s="308"/>
      <c r="Z991" s="604"/>
      <c r="AA991" s="308"/>
      <c r="AB991" s="308"/>
      <c r="AC991" s="687"/>
      <c r="AD991" s="687"/>
      <c r="AE991" s="687"/>
      <c r="AF991" s="687"/>
      <c r="AG991" s="688"/>
      <c r="AH991" s="688"/>
      <c r="AI991" s="688"/>
      <c r="AJ991" s="688"/>
      <c r="AK991" s="688"/>
      <c r="AL991" s="207"/>
      <c r="AM991" s="140"/>
      <c r="AN991" s="140"/>
      <c r="AO991" s="140"/>
      <c r="AP991" s="140"/>
      <c r="AQ991" s="140"/>
      <c r="AR991" s="140"/>
      <c r="AS991" s="140"/>
      <c r="AT991" s="140"/>
      <c r="AU991" s="140"/>
      <c r="AV991" s="140"/>
      <c r="AW991" s="140"/>
      <c r="AX991" s="140"/>
      <c r="AY991" s="140"/>
      <c r="AZ991" s="140"/>
      <c r="BA991" s="140"/>
      <c r="BB991" s="140"/>
      <c r="BC991" s="140"/>
      <c r="BD991" s="140"/>
      <c r="BE991" s="140"/>
      <c r="BF991" s="140"/>
      <c r="BG991" s="140"/>
      <c r="BH991" s="140"/>
      <c r="BI991" s="140"/>
      <c r="BJ991" s="140"/>
      <c r="BK991" s="140"/>
      <c r="BL991" s="140"/>
      <c r="BM991" s="140"/>
      <c r="BN991" s="140"/>
      <c r="BO991" s="140"/>
      <c r="BP991" s="140"/>
      <c r="BQ991" s="140"/>
      <c r="BR991" s="140"/>
      <c r="BS991" s="140"/>
      <c r="BT991" s="140"/>
      <c r="BU991" s="140"/>
      <c r="BV991" s="140"/>
      <c r="BW991" s="140"/>
      <c r="BX991" s="140"/>
      <c r="BY991" s="140"/>
      <c r="BZ991" s="140"/>
      <c r="CA991" s="140"/>
      <c r="CB991" s="140"/>
      <c r="CC991" s="140"/>
      <c r="CD991" s="140"/>
      <c r="CE991" s="140"/>
      <c r="CF991" s="140"/>
      <c r="CG991" s="140"/>
      <c r="CH991" s="140"/>
      <c r="CI991" s="140"/>
      <c r="CJ991" s="140"/>
      <c r="CK991" s="140"/>
      <c r="CL991" s="140"/>
      <c r="CM991" s="140"/>
      <c r="CN991" s="140"/>
      <c r="CO991" s="140"/>
      <c r="CP991" s="140"/>
      <c r="CQ991" s="140"/>
      <c r="CR991" s="140"/>
      <c r="CS991" s="140"/>
      <c r="CT991" s="140"/>
      <c r="CU991" s="140"/>
      <c r="CV991" s="140"/>
      <c r="CW991" s="140"/>
      <c r="CX991" s="140"/>
      <c r="CY991" s="140"/>
      <c r="CZ991" s="140"/>
      <c r="DA991" s="140"/>
      <c r="DB991" s="140"/>
      <c r="DC991" s="140"/>
      <c r="DD991" s="140"/>
      <c r="DE991" s="140"/>
      <c r="DF991" s="140"/>
      <c r="DG991" s="140"/>
      <c r="DH991" s="140"/>
      <c r="DI991" s="140"/>
      <c r="DJ991" s="140"/>
      <c r="DK991" s="140"/>
      <c r="DL991" s="140"/>
      <c r="DM991" s="140"/>
      <c r="DN991" s="140"/>
      <c r="DO991" s="140"/>
      <c r="DP991" s="140"/>
      <c r="DQ991" s="140"/>
      <c r="DR991" s="140"/>
      <c r="DS991" s="140"/>
      <c r="DT991" s="140"/>
      <c r="DU991" s="140"/>
      <c r="DV991" s="140"/>
      <c r="DW991" s="140"/>
      <c r="DX991" s="140"/>
      <c r="DY991" s="140"/>
      <c r="DZ991" s="140"/>
      <c r="EA991" s="140"/>
      <c r="EB991" s="140"/>
      <c r="EC991" s="140"/>
      <c r="ED991" s="140"/>
      <c r="EE991" s="140"/>
      <c r="EF991" s="140"/>
      <c r="EG991" s="140"/>
      <c r="EH991" s="140"/>
      <c r="EI991" s="140"/>
      <c r="EJ991" s="140"/>
      <c r="EK991" s="140"/>
      <c r="EL991" s="140"/>
      <c r="EM991" s="140"/>
      <c r="EN991" s="140"/>
      <c r="EO991" s="140"/>
      <c r="EP991" s="140"/>
      <c r="EQ991" s="140"/>
      <c r="ER991" s="140"/>
      <c r="ES991" s="140"/>
      <c r="ET991" s="140"/>
      <c r="EU991" s="140"/>
      <c r="EV991" s="140"/>
      <c r="EW991" s="140"/>
      <c r="EX991" s="140"/>
      <c r="EY991" s="140"/>
      <c r="EZ991" s="140"/>
      <c r="FA991" s="140"/>
      <c r="FB991" s="140"/>
      <c r="FC991" s="140"/>
      <c r="FD991" s="140"/>
      <c r="FE991" s="140"/>
      <c r="FF991" s="140"/>
      <c r="FG991" s="140"/>
      <c r="FH991" s="140"/>
      <c r="FI991" s="140"/>
      <c r="FJ991" s="140"/>
      <c r="FK991" s="140"/>
      <c r="FL991" s="140"/>
      <c r="FM991" s="140"/>
      <c r="FN991" s="140"/>
      <c r="FO991" s="140"/>
      <c r="FP991" s="140"/>
      <c r="FQ991" s="140"/>
      <c r="FR991" s="140"/>
      <c r="FS991" s="140"/>
      <c r="FT991" s="140"/>
      <c r="FU991" s="140"/>
      <c r="FV991" s="140"/>
      <c r="FW991" s="140"/>
      <c r="FX991" s="140"/>
      <c r="FY991" s="140"/>
      <c r="FZ991" s="140"/>
      <c r="GA991" s="140"/>
      <c r="GB991" s="140"/>
      <c r="GC991" s="140"/>
      <c r="GD991" s="140"/>
      <c r="GE991" s="140"/>
      <c r="GF991" s="140"/>
      <c r="GG991" s="140"/>
      <c r="GH991" s="140"/>
      <c r="GI991" s="140"/>
      <c r="GJ991" s="140"/>
      <c r="GK991" s="140"/>
      <c r="GL991" s="140"/>
      <c r="GM991" s="140"/>
      <c r="GN991" s="140"/>
      <c r="GO991" s="140"/>
      <c r="GP991" s="140"/>
      <c r="GQ991" s="140"/>
      <c r="GR991" s="140"/>
      <c r="GS991" s="140"/>
      <c r="GT991" s="140"/>
      <c r="GU991" s="140"/>
      <c r="GV991" s="140"/>
      <c r="GW991" s="140"/>
      <c r="GX991" s="140"/>
      <c r="GY991" s="140"/>
      <c r="GZ991" s="140"/>
      <c r="HA991" s="140"/>
      <c r="HB991" s="140"/>
      <c r="HC991" s="140"/>
      <c r="HD991" s="140"/>
      <c r="HE991" s="140"/>
      <c r="HF991" s="140"/>
      <c r="HG991" s="140"/>
      <c r="HH991" s="140"/>
      <c r="HI991" s="140"/>
      <c r="HJ991" s="140"/>
      <c r="HK991" s="140"/>
      <c r="HL991" s="140"/>
      <c r="HM991" s="140"/>
      <c r="HN991" s="140"/>
      <c r="HO991" s="140"/>
      <c r="HP991" s="140"/>
      <c r="HQ991" s="140"/>
      <c r="HR991" s="140"/>
      <c r="HS991" s="140"/>
      <c r="HT991" s="140"/>
      <c r="HU991" s="140"/>
      <c r="HV991" s="140"/>
      <c r="HW991" s="140"/>
      <c r="HX991" s="140"/>
      <c r="HY991" s="140"/>
      <c r="HZ991" s="140"/>
      <c r="IA991" s="140"/>
      <c r="IB991" s="140"/>
      <c r="IC991" s="140"/>
      <c r="ID991" s="140"/>
      <c r="IE991" s="140"/>
      <c r="IF991" s="140"/>
      <c r="IG991" s="140"/>
      <c r="IH991" s="140"/>
      <c r="II991" s="140"/>
      <c r="IJ991" s="140"/>
      <c r="IK991" s="140"/>
      <c r="IL991" s="140"/>
      <c r="IM991" s="140"/>
      <c r="IN991" s="140"/>
      <c r="IO991" s="140"/>
      <c r="IP991" s="140"/>
      <c r="IQ991" s="140"/>
      <c r="IR991" s="140"/>
      <c r="IS991" s="140"/>
      <c r="IT991" s="140"/>
      <c r="IU991" s="140"/>
      <c r="IV991" s="140"/>
      <c r="IW991" s="140"/>
      <c r="IX991" s="140"/>
      <c r="IY991" s="140"/>
      <c r="IZ991" s="140"/>
      <c r="JA991" s="140"/>
      <c r="JB991" s="140"/>
      <c r="JC991" s="140"/>
      <c r="JD991" s="140"/>
      <c r="JE991" s="140"/>
      <c r="JF991" s="140"/>
      <c r="JG991" s="140"/>
      <c r="JH991" s="140"/>
      <c r="JI991" s="140"/>
      <c r="JJ991" s="140"/>
      <c r="JK991" s="140"/>
      <c r="JL991" s="140"/>
      <c r="JM991" s="140"/>
      <c r="JN991" s="140"/>
      <c r="JO991" s="140"/>
      <c r="JP991" s="140"/>
      <c r="JQ991" s="140"/>
      <c r="JR991" s="140"/>
      <c r="JS991" s="140"/>
      <c r="JT991" s="140"/>
      <c r="JU991" s="140"/>
      <c r="JV991" s="140"/>
      <c r="JW991" s="140"/>
      <c r="JX991" s="140"/>
      <c r="JY991" s="140"/>
      <c r="JZ991" s="140"/>
      <c r="KA991" s="140"/>
      <c r="KB991" s="140"/>
      <c r="KC991" s="140"/>
      <c r="KD991" s="140"/>
      <c r="KE991" s="140"/>
      <c r="KF991" s="140"/>
      <c r="KG991" s="140"/>
      <c r="KH991" s="140"/>
      <c r="KI991" s="140"/>
      <c r="KJ991" s="140"/>
      <c r="KK991" s="140"/>
      <c r="KL991" s="140"/>
      <c r="KM991" s="140"/>
      <c r="KN991" s="140"/>
      <c r="KO991" s="140"/>
      <c r="KP991" s="140"/>
      <c r="KQ991" s="140"/>
      <c r="KR991" s="140"/>
      <c r="KS991" s="140"/>
      <c r="KT991" s="140"/>
      <c r="KU991" s="140"/>
      <c r="KV991" s="140"/>
      <c r="KW991" s="140"/>
      <c r="KX991" s="140"/>
      <c r="KY991" s="140"/>
      <c r="KZ991" s="140"/>
      <c r="LA991" s="140"/>
      <c r="LB991" s="140"/>
      <c r="LC991" s="140"/>
      <c r="LD991" s="140"/>
      <c r="LE991" s="140"/>
      <c r="LF991" s="140"/>
      <c r="LG991" s="140"/>
      <c r="LH991" s="140"/>
      <c r="LI991" s="140"/>
      <c r="LJ991" s="140"/>
      <c r="LK991" s="140"/>
      <c r="LL991" s="140"/>
      <c r="LM991" s="140"/>
      <c r="LN991" s="140"/>
      <c r="LO991" s="140"/>
      <c r="LP991" s="140"/>
      <c r="LQ991" s="140"/>
      <c r="LR991" s="140"/>
      <c r="LS991" s="140"/>
      <c r="LT991" s="140"/>
      <c r="LU991" s="140"/>
      <c r="LV991" s="140"/>
      <c r="LW991" s="140"/>
      <c r="LX991" s="140"/>
      <c r="LY991" s="140"/>
      <c r="LZ991" s="140"/>
      <c r="MA991" s="140"/>
      <c r="MB991" s="140"/>
      <c r="MC991" s="140"/>
      <c r="MD991" s="140"/>
      <c r="ME991" s="140"/>
      <c r="MF991" s="140"/>
      <c r="MG991" s="140"/>
      <c r="MH991" s="140"/>
      <c r="MI991" s="140"/>
      <c r="MJ991" s="140"/>
      <c r="MK991" s="140"/>
      <c r="ML991" s="140"/>
      <c r="MM991" s="140"/>
      <c r="MN991" s="140"/>
      <c r="MO991" s="140"/>
      <c r="MP991" s="140"/>
      <c r="MQ991" s="140"/>
      <c r="MR991" s="140"/>
      <c r="MS991" s="140"/>
      <c r="MT991" s="140"/>
      <c r="MU991" s="140"/>
      <c r="MV991" s="140"/>
      <c r="MW991" s="140"/>
      <c r="MX991" s="140"/>
      <c r="MY991" s="140"/>
      <c r="MZ991" s="140"/>
      <c r="NA991" s="140"/>
      <c r="NB991" s="140"/>
      <c r="NC991" s="140"/>
      <c r="ND991" s="140"/>
      <c r="NE991" s="140"/>
      <c r="NF991" s="140"/>
      <c r="NG991" s="140"/>
      <c r="NH991" s="140"/>
      <c r="NI991" s="140"/>
      <c r="NJ991" s="140"/>
      <c r="NK991" s="140"/>
      <c r="NL991" s="140"/>
      <c r="NM991" s="140"/>
      <c r="NN991" s="140"/>
      <c r="NO991" s="140"/>
      <c r="NP991" s="140"/>
      <c r="NQ991" s="140"/>
      <c r="NR991" s="140"/>
      <c r="NS991" s="140"/>
      <c r="NT991" s="140"/>
      <c r="NU991" s="140"/>
      <c r="NV991" s="140"/>
      <c r="NW991" s="140"/>
      <c r="NX991" s="140"/>
      <c r="NY991" s="140"/>
      <c r="NZ991" s="140"/>
      <c r="OA991" s="140"/>
      <c r="OB991" s="140"/>
      <c r="OC991" s="140"/>
      <c r="OD991" s="140"/>
      <c r="OE991" s="140"/>
      <c r="OF991" s="140"/>
      <c r="OG991" s="140"/>
      <c r="OH991" s="140"/>
      <c r="OI991" s="140"/>
      <c r="OJ991" s="140"/>
      <c r="OK991" s="140"/>
      <c r="OL991" s="140"/>
      <c r="OM991" s="140"/>
      <c r="ON991" s="140"/>
      <c r="OO991" s="140"/>
      <c r="OP991" s="140"/>
      <c r="OQ991" s="140"/>
      <c r="OR991" s="140"/>
      <c r="OS991" s="140"/>
      <c r="OT991" s="140"/>
      <c r="OU991" s="140"/>
      <c r="OV991" s="140"/>
      <c r="OW991" s="140"/>
      <c r="OX991" s="140"/>
      <c r="OY991" s="140"/>
      <c r="OZ991" s="140"/>
      <c r="PA991" s="140"/>
      <c r="PB991" s="140"/>
      <c r="PC991" s="140"/>
      <c r="PD991" s="140"/>
      <c r="PE991" s="140"/>
      <c r="PF991" s="140"/>
      <c r="PG991" s="140"/>
      <c r="PH991" s="140"/>
      <c r="PI991" s="140"/>
      <c r="PJ991" s="140"/>
      <c r="PK991" s="140"/>
      <c r="PL991" s="140"/>
      <c r="PM991" s="140"/>
      <c r="PN991" s="140"/>
      <c r="PO991" s="140"/>
      <c r="PP991" s="140"/>
      <c r="PQ991" s="140"/>
      <c r="PR991" s="140"/>
      <c r="PS991" s="140"/>
      <c r="PT991" s="140"/>
      <c r="PU991" s="140"/>
      <c r="PV991" s="140"/>
      <c r="PW991" s="140"/>
      <c r="PX991" s="140"/>
      <c r="PY991" s="140"/>
      <c r="PZ991" s="140"/>
      <c r="QA991" s="140"/>
      <c r="QB991" s="140"/>
      <c r="QC991" s="140"/>
      <c r="QD991" s="140"/>
      <c r="QE991" s="140"/>
      <c r="QF991" s="140"/>
      <c r="QG991" s="140"/>
      <c r="QH991" s="140"/>
      <c r="QI991" s="140"/>
      <c r="QJ991" s="140"/>
      <c r="QK991" s="140"/>
      <c r="QL991" s="140"/>
      <c r="QM991" s="140"/>
      <c r="QN991" s="140"/>
      <c r="QO991" s="140"/>
      <c r="QP991" s="140"/>
      <c r="QQ991" s="140"/>
      <c r="QR991" s="140"/>
      <c r="QS991" s="140"/>
      <c r="QT991" s="140"/>
      <c r="QU991" s="140"/>
      <c r="QV991" s="140"/>
      <c r="QW991" s="140"/>
      <c r="QX991" s="140"/>
      <c r="QY991" s="140"/>
      <c r="QZ991" s="140"/>
      <c r="RA991" s="140"/>
      <c r="RB991" s="140"/>
      <c r="RC991" s="140"/>
      <c r="RD991" s="140"/>
      <c r="RE991" s="140"/>
      <c r="RF991" s="140"/>
      <c r="RG991" s="140"/>
      <c r="RH991" s="140"/>
      <c r="RI991" s="140"/>
      <c r="RJ991" s="140"/>
      <c r="RK991" s="140"/>
      <c r="RL991" s="140"/>
      <c r="RM991" s="140"/>
      <c r="RN991" s="140"/>
      <c r="RO991" s="140"/>
      <c r="RP991" s="140"/>
      <c r="RQ991" s="140"/>
      <c r="RR991" s="140"/>
      <c r="RS991" s="140"/>
      <c r="RT991" s="140"/>
      <c r="RU991" s="140"/>
      <c r="RV991" s="140"/>
      <c r="RW991" s="140"/>
      <c r="RX991" s="140"/>
      <c r="RY991" s="140"/>
      <c r="RZ991" s="140"/>
      <c r="SA991" s="140"/>
      <c r="SB991" s="140"/>
      <c r="SC991" s="140"/>
      <c r="SD991" s="140"/>
      <c r="SE991" s="140"/>
      <c r="SF991" s="140"/>
      <c r="SG991" s="140"/>
      <c r="SH991" s="140"/>
      <c r="SI991" s="140"/>
      <c r="SJ991" s="140"/>
      <c r="SK991" s="140"/>
      <c r="SL991" s="140"/>
      <c r="SM991" s="140"/>
      <c r="SN991" s="140"/>
      <c r="SO991" s="140"/>
      <c r="SP991" s="140"/>
      <c r="SQ991" s="140"/>
      <c r="SR991" s="140"/>
      <c r="SS991" s="140"/>
      <c r="ST991" s="140"/>
      <c r="SU991" s="140"/>
      <c r="SV991" s="140"/>
      <c r="SW991" s="140"/>
      <c r="SX991" s="140"/>
      <c r="SY991" s="140"/>
      <c r="SZ991" s="140"/>
      <c r="TA991" s="140"/>
      <c r="TB991" s="140"/>
      <c r="TC991" s="140"/>
      <c r="TD991" s="140"/>
      <c r="TE991" s="140"/>
      <c r="TF991" s="140"/>
      <c r="TG991" s="140"/>
      <c r="TH991" s="140"/>
      <c r="TI991" s="140"/>
      <c r="TJ991" s="140"/>
      <c r="TK991" s="140"/>
      <c r="TL991" s="140"/>
      <c r="TM991" s="140"/>
      <c r="TN991" s="140"/>
      <c r="TO991" s="140"/>
      <c r="TP991" s="140"/>
      <c r="TQ991" s="140"/>
      <c r="TR991" s="140"/>
      <c r="TS991" s="140"/>
      <c r="TT991" s="140"/>
      <c r="TU991" s="140"/>
      <c r="TV991" s="140"/>
      <c r="TW991" s="140"/>
      <c r="TX991" s="140"/>
      <c r="TY991" s="140"/>
      <c r="TZ991" s="140"/>
      <c r="UA991" s="140"/>
      <c r="UB991" s="140"/>
      <c r="UC991" s="140"/>
      <c r="UD991" s="140"/>
      <c r="UE991" s="140"/>
      <c r="UF991" s="140"/>
      <c r="UG991" s="141"/>
    </row>
    <row r="992" spans="1:553" s="120" customFormat="1" ht="43.5" customHeight="1">
      <c r="A992" s="431" t="s">
        <v>30</v>
      </c>
      <c r="B992" s="541">
        <v>2</v>
      </c>
      <c r="C992" s="1402" t="s">
        <v>891</v>
      </c>
      <c r="D992" s="1389"/>
      <c r="E992" s="1389"/>
      <c r="F992" s="1390"/>
      <c r="G992" s="542" t="s">
        <v>33</v>
      </c>
      <c r="H992" s="543"/>
      <c r="I992" s="422">
        <f>-(6.6+8.2)*2*1.63*2</f>
        <v>-96.495999999999981</v>
      </c>
      <c r="J992" s="990">
        <v>52000</v>
      </c>
      <c r="K992" s="644"/>
      <c r="L992" s="632">
        <f>J992*I992</f>
        <v>-5017791.9999999991</v>
      </c>
      <c r="M992" s="637"/>
      <c r="N992" s="637"/>
      <c r="O992" s="544"/>
      <c r="P992" s="638"/>
      <c r="Q992" s="634"/>
      <c r="R992" s="1164"/>
      <c r="S992" s="308"/>
      <c r="T992" s="308"/>
      <c r="U992" s="308"/>
      <c r="V992" s="308"/>
      <c r="W992" s="308"/>
      <c r="X992" s="308"/>
      <c r="Y992" s="308"/>
      <c r="Z992" s="604"/>
      <c r="AA992" s="308"/>
      <c r="AB992" s="308"/>
      <c r="AC992" s="545"/>
      <c r="AD992" s="545"/>
      <c r="AE992" s="545"/>
      <c r="AF992" s="545"/>
      <c r="AG992" s="546"/>
      <c r="AH992" s="546"/>
      <c r="AI992" s="546"/>
      <c r="AJ992" s="546"/>
      <c r="AK992" s="546"/>
      <c r="AL992" s="138"/>
      <c r="AM992" s="138"/>
      <c r="AN992" s="138"/>
      <c r="AO992" s="138"/>
      <c r="AP992" s="138"/>
      <c r="AQ992" s="139"/>
      <c r="AR992" s="139"/>
      <c r="AS992" s="139"/>
      <c r="AT992" s="139"/>
      <c r="AU992" s="139"/>
      <c r="AV992" s="139"/>
      <c r="AW992" s="139"/>
      <c r="AX992" s="139"/>
      <c r="AY992" s="139"/>
      <c r="AZ992" s="139"/>
      <c r="BA992" s="139"/>
      <c r="BB992" s="139"/>
      <c r="BC992" s="139"/>
      <c r="BD992" s="139"/>
      <c r="BE992" s="139"/>
      <c r="BF992" s="139"/>
      <c r="BG992" s="139"/>
      <c r="BH992" s="139"/>
      <c r="BI992" s="139"/>
      <c r="BJ992" s="139"/>
      <c r="BK992" s="139"/>
      <c r="BL992" s="139"/>
      <c r="BM992" s="139"/>
      <c r="BN992" s="139"/>
      <c r="BO992" s="139"/>
      <c r="BP992" s="139"/>
      <c r="BQ992" s="139"/>
      <c r="BR992" s="139"/>
      <c r="BS992" s="139"/>
      <c r="BT992" s="139"/>
      <c r="BU992" s="139"/>
      <c r="BV992" s="139"/>
      <c r="BW992" s="139"/>
      <c r="BX992" s="139"/>
      <c r="BY992" s="139"/>
      <c r="BZ992" s="139"/>
      <c r="CA992" s="139"/>
      <c r="CB992" s="139"/>
      <c r="CC992" s="139"/>
      <c r="CD992" s="139"/>
      <c r="CE992" s="139"/>
      <c r="CF992" s="139"/>
      <c r="CG992" s="139"/>
      <c r="CH992" s="139"/>
      <c r="CI992" s="139"/>
      <c r="CJ992" s="139"/>
      <c r="CK992" s="139"/>
      <c r="CL992" s="139"/>
      <c r="CM992" s="139"/>
      <c r="CN992" s="139"/>
      <c r="CO992" s="139"/>
      <c r="CP992" s="139"/>
      <c r="CQ992" s="139"/>
      <c r="CR992" s="139"/>
      <c r="CS992" s="139"/>
      <c r="CT992" s="139"/>
      <c r="CU992" s="139"/>
      <c r="CV992" s="139"/>
      <c r="CW992" s="139"/>
      <c r="CX992" s="139"/>
      <c r="CY992" s="139"/>
      <c r="CZ992" s="139"/>
      <c r="DA992" s="139"/>
      <c r="DB992" s="139"/>
      <c r="DC992" s="139"/>
      <c r="DD992" s="139"/>
      <c r="DE992" s="139"/>
      <c r="DF992" s="139"/>
      <c r="DG992" s="139"/>
      <c r="DH992" s="139"/>
      <c r="DI992" s="139"/>
      <c r="DJ992" s="139"/>
      <c r="DK992" s="139"/>
      <c r="DL992" s="139"/>
      <c r="DM992" s="139"/>
      <c r="DN992" s="139"/>
      <c r="DO992" s="139"/>
      <c r="DP992" s="139"/>
      <c r="DQ992" s="139"/>
      <c r="DR992" s="139"/>
      <c r="DS992" s="139"/>
      <c r="DT992" s="139"/>
      <c r="DU992" s="139"/>
      <c r="DV992" s="139"/>
      <c r="DW992" s="139"/>
      <c r="DX992" s="139"/>
      <c r="DY992" s="139"/>
      <c r="DZ992" s="139"/>
      <c r="EA992" s="139"/>
      <c r="EB992" s="139"/>
      <c r="EC992" s="139"/>
      <c r="ED992" s="139"/>
      <c r="EE992" s="139"/>
      <c r="EF992" s="139"/>
      <c r="EG992" s="139"/>
      <c r="EH992" s="139"/>
      <c r="EI992" s="139"/>
      <c r="EJ992" s="139"/>
      <c r="EK992" s="139"/>
      <c r="EL992" s="139"/>
      <c r="EM992" s="139"/>
      <c r="EN992" s="139"/>
      <c r="EO992" s="139"/>
      <c r="EP992" s="139"/>
      <c r="EQ992" s="139"/>
      <c r="ER992" s="139"/>
      <c r="ES992" s="139"/>
      <c r="ET992" s="139"/>
      <c r="EU992" s="139"/>
      <c r="EV992" s="139"/>
      <c r="EW992" s="139"/>
      <c r="EX992" s="139"/>
      <c r="EY992" s="139"/>
      <c r="EZ992" s="139"/>
      <c r="FA992" s="139"/>
      <c r="FB992" s="139"/>
      <c r="FC992" s="139"/>
      <c r="FD992" s="139"/>
      <c r="FE992" s="139"/>
      <c r="FF992" s="139"/>
      <c r="FG992" s="139"/>
      <c r="FH992" s="139"/>
      <c r="FI992" s="139"/>
      <c r="FJ992" s="139"/>
      <c r="FK992" s="139"/>
      <c r="FL992" s="139"/>
      <c r="FM992" s="139"/>
      <c r="FN992" s="139"/>
      <c r="FO992" s="139"/>
      <c r="FP992" s="139"/>
      <c r="FQ992" s="139"/>
      <c r="FR992" s="139"/>
      <c r="FS992" s="139"/>
      <c r="FT992" s="139"/>
      <c r="FU992" s="139"/>
      <c r="FV992" s="139"/>
      <c r="FW992" s="139"/>
      <c r="FX992" s="139"/>
      <c r="FY992" s="139"/>
      <c r="FZ992" s="139"/>
      <c r="GA992" s="139"/>
      <c r="GB992" s="139"/>
      <c r="GC992" s="139"/>
      <c r="GD992" s="139"/>
      <c r="GE992" s="139"/>
      <c r="GF992" s="139"/>
      <c r="GG992" s="139"/>
      <c r="GH992" s="139"/>
      <c r="GI992" s="139"/>
      <c r="GJ992" s="139"/>
      <c r="GK992" s="139"/>
      <c r="GL992" s="139"/>
      <c r="GM992" s="139"/>
      <c r="GN992" s="139"/>
      <c r="GO992" s="139"/>
      <c r="GP992" s="139"/>
      <c r="GQ992" s="139"/>
      <c r="GR992" s="139"/>
      <c r="GS992" s="139"/>
      <c r="GT992" s="139"/>
      <c r="GU992" s="139"/>
      <c r="GV992" s="139"/>
      <c r="GW992" s="139"/>
      <c r="GX992" s="139"/>
      <c r="GY992" s="139"/>
      <c r="GZ992" s="139"/>
      <c r="HA992" s="139"/>
      <c r="HB992" s="139"/>
      <c r="HC992" s="139"/>
      <c r="HD992" s="139"/>
      <c r="HE992" s="139"/>
      <c r="HF992" s="139"/>
      <c r="HG992" s="139"/>
      <c r="HH992" s="139"/>
      <c r="HI992" s="139"/>
      <c r="HJ992" s="139"/>
      <c r="HK992" s="139"/>
      <c r="HL992" s="139"/>
      <c r="HM992" s="139"/>
      <c r="HN992" s="139"/>
      <c r="HO992" s="139"/>
      <c r="HP992" s="139"/>
      <c r="HQ992" s="139"/>
      <c r="HR992" s="139"/>
      <c r="HS992" s="139"/>
      <c r="HT992" s="139"/>
      <c r="HU992" s="139"/>
      <c r="HV992" s="139"/>
      <c r="HW992" s="139"/>
      <c r="HX992" s="139"/>
      <c r="HY992" s="139"/>
      <c r="HZ992" s="139"/>
      <c r="IA992" s="139"/>
      <c r="IB992" s="139"/>
      <c r="IC992" s="139"/>
      <c r="ID992" s="139"/>
      <c r="IE992" s="139"/>
      <c r="IF992" s="139"/>
      <c r="IG992" s="139"/>
      <c r="IH992" s="139"/>
      <c r="II992" s="139"/>
      <c r="IJ992" s="139"/>
      <c r="IK992" s="139"/>
      <c r="IL992" s="139"/>
      <c r="IM992" s="139"/>
      <c r="IN992" s="139"/>
      <c r="IO992" s="139"/>
      <c r="IP992" s="139"/>
      <c r="IQ992" s="139"/>
      <c r="IR992" s="139"/>
      <c r="IS992" s="139"/>
      <c r="IT992" s="139"/>
      <c r="IU992" s="139"/>
      <c r="IV992" s="139"/>
      <c r="IW992" s="139"/>
      <c r="IX992" s="139"/>
      <c r="IY992" s="139"/>
      <c r="IZ992" s="139"/>
      <c r="JA992" s="139"/>
      <c r="JB992" s="139"/>
      <c r="JC992" s="139"/>
      <c r="JD992" s="139"/>
      <c r="JE992" s="139"/>
      <c r="JF992" s="139"/>
      <c r="JG992" s="139"/>
      <c r="JH992" s="139"/>
      <c r="JI992" s="139"/>
      <c r="JJ992" s="139"/>
      <c r="JK992" s="139"/>
      <c r="JL992" s="139"/>
      <c r="JM992" s="139"/>
      <c r="JN992" s="139"/>
      <c r="JO992" s="139"/>
      <c r="JP992" s="139"/>
      <c r="JQ992" s="139"/>
      <c r="JR992" s="139"/>
      <c r="JS992" s="139"/>
      <c r="JT992" s="139"/>
      <c r="JU992" s="139"/>
      <c r="JV992" s="139"/>
      <c r="JW992" s="139"/>
      <c r="JX992" s="139"/>
      <c r="JY992" s="139"/>
      <c r="JZ992" s="139"/>
      <c r="KA992" s="139"/>
      <c r="KB992" s="139"/>
      <c r="KC992" s="139"/>
      <c r="KD992" s="139"/>
      <c r="KE992" s="139"/>
      <c r="KF992" s="139"/>
      <c r="KG992" s="139"/>
      <c r="KH992" s="139"/>
      <c r="KI992" s="139"/>
      <c r="KJ992" s="139"/>
      <c r="KK992" s="139"/>
      <c r="KL992" s="139"/>
      <c r="KM992" s="139"/>
      <c r="KN992" s="139"/>
      <c r="KO992" s="139"/>
      <c r="KP992" s="139"/>
      <c r="KQ992" s="139"/>
      <c r="KR992" s="139"/>
      <c r="KS992" s="139"/>
      <c r="KT992" s="139"/>
      <c r="KU992" s="139"/>
      <c r="KV992" s="139"/>
      <c r="KW992" s="139"/>
      <c r="KX992" s="139"/>
      <c r="KY992" s="139"/>
      <c r="KZ992" s="139"/>
      <c r="LA992" s="139"/>
      <c r="LB992" s="139"/>
      <c r="LC992" s="139"/>
      <c r="LD992" s="139"/>
      <c r="LE992" s="139"/>
      <c r="LF992" s="139"/>
      <c r="LG992" s="139"/>
      <c r="LH992" s="139"/>
      <c r="LI992" s="139"/>
      <c r="LJ992" s="139"/>
      <c r="LK992" s="139"/>
      <c r="LL992" s="139"/>
      <c r="LM992" s="139"/>
      <c r="LN992" s="139"/>
      <c r="LO992" s="139"/>
      <c r="LP992" s="139"/>
      <c r="LQ992" s="139"/>
      <c r="LR992" s="139"/>
      <c r="LS992" s="139"/>
      <c r="LT992" s="139"/>
      <c r="LU992" s="139"/>
      <c r="LV992" s="139"/>
      <c r="LW992" s="139"/>
      <c r="LX992" s="139"/>
      <c r="LY992" s="139"/>
      <c r="LZ992" s="139"/>
      <c r="MA992" s="139"/>
      <c r="MB992" s="139"/>
      <c r="MC992" s="139"/>
      <c r="MD992" s="139"/>
      <c r="ME992" s="139"/>
      <c r="MF992" s="139"/>
      <c r="MG992" s="139"/>
      <c r="MH992" s="139"/>
      <c r="MI992" s="139"/>
      <c r="MJ992" s="139"/>
      <c r="MK992" s="139"/>
      <c r="ML992" s="139"/>
      <c r="MM992" s="139"/>
      <c r="MN992" s="139"/>
      <c r="MO992" s="139"/>
      <c r="MP992" s="139"/>
      <c r="MQ992" s="139"/>
      <c r="MR992" s="139"/>
      <c r="MS992" s="139"/>
      <c r="MT992" s="139"/>
      <c r="MU992" s="139"/>
      <c r="MV992" s="139"/>
      <c r="MW992" s="139"/>
      <c r="MX992" s="139"/>
      <c r="MY992" s="139"/>
      <c r="MZ992" s="139"/>
      <c r="NA992" s="139"/>
      <c r="NB992" s="139"/>
      <c r="NC992" s="139"/>
      <c r="ND992" s="139"/>
      <c r="NE992" s="139"/>
      <c r="NF992" s="139"/>
      <c r="NG992" s="139"/>
      <c r="NH992" s="139"/>
      <c r="NI992" s="139"/>
      <c r="NJ992" s="139"/>
      <c r="NK992" s="139"/>
      <c r="NL992" s="139"/>
      <c r="NM992" s="139"/>
      <c r="NN992" s="139"/>
      <c r="NO992" s="139"/>
      <c r="NP992" s="139"/>
      <c r="NQ992" s="139"/>
      <c r="NR992" s="139"/>
      <c r="NS992" s="139"/>
      <c r="NT992" s="139"/>
      <c r="NU992" s="139"/>
      <c r="NV992" s="139"/>
      <c r="NW992" s="139"/>
      <c r="NX992" s="139"/>
      <c r="NY992" s="139"/>
      <c r="NZ992" s="139"/>
      <c r="OA992" s="139"/>
      <c r="OB992" s="139"/>
      <c r="OC992" s="139"/>
      <c r="OD992" s="139"/>
      <c r="OE992" s="139"/>
      <c r="OF992" s="139"/>
      <c r="OG992" s="139"/>
      <c r="OH992" s="139"/>
      <c r="OI992" s="139"/>
      <c r="OJ992" s="139"/>
      <c r="OK992" s="139"/>
      <c r="OL992" s="139"/>
      <c r="OM992" s="139"/>
      <c r="ON992" s="139"/>
      <c r="OO992" s="139"/>
      <c r="OP992" s="139"/>
      <c r="OQ992" s="139"/>
      <c r="OR992" s="139"/>
      <c r="OS992" s="139"/>
      <c r="OT992" s="139"/>
      <c r="OU992" s="139"/>
      <c r="OV992" s="139"/>
      <c r="OW992" s="139"/>
      <c r="OX992" s="139"/>
      <c r="OY992" s="139"/>
      <c r="OZ992" s="139"/>
      <c r="PA992" s="139"/>
      <c r="PB992" s="139"/>
      <c r="PC992" s="139"/>
      <c r="PD992" s="139"/>
      <c r="PE992" s="139"/>
      <c r="PF992" s="139"/>
      <c r="PG992" s="139"/>
      <c r="PH992" s="139"/>
      <c r="PI992" s="139"/>
      <c r="PJ992" s="139"/>
      <c r="PK992" s="139"/>
      <c r="PL992" s="139"/>
      <c r="PM992" s="139"/>
      <c r="PN992" s="139"/>
      <c r="PO992" s="139"/>
      <c r="PP992" s="139"/>
      <c r="PQ992" s="139"/>
      <c r="PR992" s="139"/>
      <c r="PS992" s="139"/>
      <c r="PT992" s="139"/>
      <c r="PU992" s="139"/>
      <c r="PV992" s="139"/>
      <c r="PW992" s="139"/>
      <c r="PX992" s="139"/>
      <c r="PY992" s="139"/>
      <c r="PZ992" s="139"/>
      <c r="QA992" s="139"/>
      <c r="QB992" s="139"/>
      <c r="QC992" s="139"/>
      <c r="QD992" s="139"/>
      <c r="QE992" s="139"/>
      <c r="QF992" s="139"/>
      <c r="QG992" s="139"/>
      <c r="QH992" s="139"/>
      <c r="QI992" s="139"/>
      <c r="QJ992" s="139"/>
      <c r="QK992" s="139"/>
      <c r="QL992" s="139"/>
      <c r="QM992" s="139"/>
      <c r="QN992" s="139"/>
      <c r="QO992" s="139"/>
      <c r="QP992" s="139"/>
      <c r="QQ992" s="139"/>
      <c r="QR992" s="139"/>
      <c r="QS992" s="139"/>
      <c r="QT992" s="139"/>
      <c r="QU992" s="139"/>
      <c r="QV992" s="139"/>
      <c r="QW992" s="139"/>
      <c r="QX992" s="139"/>
      <c r="QY992" s="139"/>
      <c r="QZ992" s="139"/>
      <c r="RA992" s="139"/>
      <c r="RB992" s="139"/>
      <c r="RC992" s="139"/>
      <c r="RD992" s="139"/>
      <c r="RE992" s="139"/>
      <c r="RF992" s="139"/>
      <c r="RG992" s="139"/>
      <c r="RH992" s="139"/>
      <c r="RI992" s="139"/>
      <c r="RJ992" s="139"/>
      <c r="RK992" s="139"/>
      <c r="RL992" s="139"/>
      <c r="RM992" s="139"/>
      <c r="RN992" s="139"/>
      <c r="RO992" s="139"/>
      <c r="RP992" s="139"/>
      <c r="RQ992" s="139"/>
      <c r="RR992" s="139"/>
      <c r="RS992" s="139"/>
      <c r="RT992" s="139"/>
      <c r="RU992" s="139"/>
      <c r="RV992" s="139"/>
      <c r="RW992" s="139"/>
      <c r="RX992" s="139"/>
      <c r="RY992" s="139"/>
      <c r="RZ992" s="139"/>
      <c r="SA992" s="139"/>
      <c r="SB992" s="139"/>
      <c r="SC992" s="139"/>
      <c r="SD992" s="139"/>
      <c r="SE992" s="139"/>
      <c r="SF992" s="139"/>
      <c r="SG992" s="139"/>
      <c r="SH992" s="139"/>
      <c r="SI992" s="139"/>
      <c r="SJ992" s="139"/>
      <c r="SK992" s="139"/>
      <c r="SL992" s="139"/>
      <c r="SM992" s="139"/>
      <c r="SN992" s="139"/>
      <c r="SO992" s="139"/>
      <c r="SP992" s="139"/>
      <c r="SQ992" s="139"/>
      <c r="SR992" s="139"/>
      <c r="SS992" s="139"/>
      <c r="ST992" s="139"/>
      <c r="SU992" s="139"/>
      <c r="SV992" s="139"/>
      <c r="SW992" s="139"/>
      <c r="SX992" s="139"/>
      <c r="SY992" s="139"/>
      <c r="SZ992" s="139"/>
      <c r="TA992" s="139"/>
      <c r="TB992" s="139"/>
      <c r="TC992" s="139"/>
      <c r="TD992" s="139"/>
      <c r="TE992" s="139"/>
      <c r="TF992" s="139"/>
      <c r="TG992" s="139"/>
      <c r="TH992" s="139"/>
      <c r="TI992" s="139"/>
      <c r="TJ992" s="139"/>
      <c r="TK992" s="139"/>
      <c r="TL992" s="139"/>
      <c r="TM992" s="139"/>
      <c r="TN992" s="139"/>
      <c r="TO992" s="139"/>
      <c r="TP992" s="139"/>
      <c r="TQ992" s="139"/>
      <c r="TR992" s="139"/>
      <c r="TS992" s="139"/>
      <c r="TT992" s="139"/>
      <c r="TU992" s="139"/>
      <c r="TV992" s="139"/>
      <c r="TW992" s="139"/>
      <c r="TX992" s="139"/>
      <c r="TY992" s="139"/>
      <c r="TZ992" s="139"/>
      <c r="UA992" s="139"/>
      <c r="UB992" s="139"/>
      <c r="UC992" s="139"/>
      <c r="UD992" s="139"/>
      <c r="UE992" s="139"/>
      <c r="UF992" s="139"/>
      <c r="UG992" s="119"/>
    </row>
    <row r="993" spans="1:553" s="120" customFormat="1" ht="43.5" customHeight="1">
      <c r="A993" s="431" t="s">
        <v>30</v>
      </c>
      <c r="B993" s="541">
        <v>5</v>
      </c>
      <c r="C993" s="1402" t="s">
        <v>892</v>
      </c>
      <c r="D993" s="1389"/>
      <c r="E993" s="1389"/>
      <c r="F993" s="1390"/>
      <c r="G993" s="542" t="s">
        <v>33</v>
      </c>
      <c r="H993" s="543"/>
      <c r="I993" s="422">
        <f>-(6.6+8.2)*2*1.63*2</f>
        <v>-96.495999999999981</v>
      </c>
      <c r="J993" s="990">
        <v>41700</v>
      </c>
      <c r="K993" s="644"/>
      <c r="L993" s="632">
        <f>J993*I993</f>
        <v>-4023883.1999999993</v>
      </c>
      <c r="M993" s="637"/>
      <c r="N993" s="637"/>
      <c r="O993" s="544"/>
      <c r="P993" s="638"/>
      <c r="Q993" s="634"/>
      <c r="R993" s="1164"/>
      <c r="S993" s="308"/>
      <c r="T993" s="308"/>
      <c r="U993" s="308"/>
      <c r="V993" s="308"/>
      <c r="W993" s="308"/>
      <c r="X993" s="308"/>
      <c r="Y993" s="308"/>
      <c r="Z993" s="604"/>
      <c r="AA993" s="308"/>
      <c r="AB993" s="308"/>
      <c r="AC993" s="545"/>
      <c r="AD993" s="545"/>
      <c r="AE993" s="545"/>
      <c r="AF993" s="545"/>
      <c r="AG993" s="546"/>
      <c r="AH993" s="546"/>
      <c r="AI993" s="546"/>
      <c r="AJ993" s="546"/>
      <c r="AK993" s="546"/>
      <c r="AL993" s="138"/>
      <c r="AM993" s="138"/>
      <c r="AN993" s="138"/>
      <c r="AO993" s="138"/>
      <c r="AP993" s="138"/>
      <c r="AQ993" s="139"/>
      <c r="AR993" s="139"/>
      <c r="AS993" s="139"/>
      <c r="AT993" s="139"/>
      <c r="AU993" s="139"/>
      <c r="AV993" s="139"/>
      <c r="AW993" s="139"/>
      <c r="AX993" s="139"/>
      <c r="AY993" s="139"/>
      <c r="AZ993" s="139"/>
      <c r="BA993" s="139"/>
      <c r="BB993" s="139"/>
      <c r="BC993" s="139"/>
      <c r="BD993" s="139"/>
      <c r="BE993" s="139"/>
      <c r="BF993" s="139"/>
      <c r="BG993" s="139"/>
      <c r="BH993" s="139"/>
      <c r="BI993" s="139"/>
      <c r="BJ993" s="139"/>
      <c r="BK993" s="139"/>
      <c r="BL993" s="139"/>
      <c r="BM993" s="139"/>
      <c r="BN993" s="139"/>
      <c r="BO993" s="139"/>
      <c r="BP993" s="139"/>
      <c r="BQ993" s="139"/>
      <c r="BR993" s="139"/>
      <c r="BS993" s="139"/>
      <c r="BT993" s="139"/>
      <c r="BU993" s="139"/>
      <c r="BV993" s="139"/>
      <c r="BW993" s="139"/>
      <c r="BX993" s="139"/>
      <c r="BY993" s="139"/>
      <c r="BZ993" s="139"/>
      <c r="CA993" s="139"/>
      <c r="CB993" s="139"/>
      <c r="CC993" s="139"/>
      <c r="CD993" s="139"/>
      <c r="CE993" s="139"/>
      <c r="CF993" s="139"/>
      <c r="CG993" s="139"/>
      <c r="CH993" s="139"/>
      <c r="CI993" s="139"/>
      <c r="CJ993" s="139"/>
      <c r="CK993" s="139"/>
      <c r="CL993" s="139"/>
      <c r="CM993" s="139"/>
      <c r="CN993" s="139"/>
      <c r="CO993" s="139"/>
      <c r="CP993" s="139"/>
      <c r="CQ993" s="139"/>
      <c r="CR993" s="139"/>
      <c r="CS993" s="139"/>
      <c r="CT993" s="139"/>
      <c r="CU993" s="139"/>
      <c r="CV993" s="139"/>
      <c r="CW993" s="139"/>
      <c r="CX993" s="139"/>
      <c r="CY993" s="139"/>
      <c r="CZ993" s="139"/>
      <c r="DA993" s="139"/>
      <c r="DB993" s="139"/>
      <c r="DC993" s="139"/>
      <c r="DD993" s="139"/>
      <c r="DE993" s="139"/>
      <c r="DF993" s="139"/>
      <c r="DG993" s="139"/>
      <c r="DH993" s="139"/>
      <c r="DI993" s="139"/>
      <c r="DJ993" s="139"/>
      <c r="DK993" s="139"/>
      <c r="DL993" s="139"/>
      <c r="DM993" s="139"/>
      <c r="DN993" s="139"/>
      <c r="DO993" s="139"/>
      <c r="DP993" s="139"/>
      <c r="DQ993" s="139"/>
      <c r="DR993" s="139"/>
      <c r="DS993" s="139"/>
      <c r="DT993" s="139"/>
      <c r="DU993" s="139"/>
      <c r="DV993" s="139"/>
      <c r="DW993" s="139"/>
      <c r="DX993" s="139"/>
      <c r="DY993" s="139"/>
      <c r="DZ993" s="139"/>
      <c r="EA993" s="139"/>
      <c r="EB993" s="139"/>
      <c r="EC993" s="139"/>
      <c r="ED993" s="139"/>
      <c r="EE993" s="139"/>
      <c r="EF993" s="139"/>
      <c r="EG993" s="139"/>
      <c r="EH993" s="139"/>
      <c r="EI993" s="139"/>
      <c r="EJ993" s="139"/>
      <c r="EK993" s="139"/>
      <c r="EL993" s="139"/>
      <c r="EM993" s="139"/>
      <c r="EN993" s="139"/>
      <c r="EO993" s="139"/>
      <c r="EP993" s="139"/>
      <c r="EQ993" s="139"/>
      <c r="ER993" s="139"/>
      <c r="ES993" s="139"/>
      <c r="ET993" s="139"/>
      <c r="EU993" s="139"/>
      <c r="EV993" s="139"/>
      <c r="EW993" s="139"/>
      <c r="EX993" s="139"/>
      <c r="EY993" s="139"/>
      <c r="EZ993" s="139"/>
      <c r="FA993" s="139"/>
      <c r="FB993" s="139"/>
      <c r="FC993" s="139"/>
      <c r="FD993" s="139"/>
      <c r="FE993" s="139"/>
      <c r="FF993" s="139"/>
      <c r="FG993" s="139"/>
      <c r="FH993" s="139"/>
      <c r="FI993" s="139"/>
      <c r="FJ993" s="139"/>
      <c r="FK993" s="139"/>
      <c r="FL993" s="139"/>
      <c r="FM993" s="139"/>
      <c r="FN993" s="139"/>
      <c r="FO993" s="139"/>
      <c r="FP993" s="139"/>
      <c r="FQ993" s="139"/>
      <c r="FR993" s="139"/>
      <c r="FS993" s="139"/>
      <c r="FT993" s="139"/>
      <c r="FU993" s="139"/>
      <c r="FV993" s="139"/>
      <c r="FW993" s="139"/>
      <c r="FX993" s="139"/>
      <c r="FY993" s="139"/>
      <c r="FZ993" s="139"/>
      <c r="GA993" s="139"/>
      <c r="GB993" s="139"/>
      <c r="GC993" s="139"/>
      <c r="GD993" s="139"/>
      <c r="GE993" s="139"/>
      <c r="GF993" s="139"/>
      <c r="GG993" s="139"/>
      <c r="GH993" s="139"/>
      <c r="GI993" s="139"/>
      <c r="GJ993" s="139"/>
      <c r="GK993" s="139"/>
      <c r="GL993" s="139"/>
      <c r="GM993" s="139"/>
      <c r="GN993" s="139"/>
      <c r="GO993" s="139"/>
      <c r="GP993" s="139"/>
      <c r="GQ993" s="139"/>
      <c r="GR993" s="139"/>
      <c r="GS993" s="139"/>
      <c r="GT993" s="139"/>
      <c r="GU993" s="139"/>
      <c r="GV993" s="139"/>
      <c r="GW993" s="139"/>
      <c r="GX993" s="139"/>
      <c r="GY993" s="139"/>
      <c r="GZ993" s="139"/>
      <c r="HA993" s="139"/>
      <c r="HB993" s="139"/>
      <c r="HC993" s="139"/>
      <c r="HD993" s="139"/>
      <c r="HE993" s="139"/>
      <c r="HF993" s="139"/>
      <c r="HG993" s="139"/>
      <c r="HH993" s="139"/>
      <c r="HI993" s="139"/>
      <c r="HJ993" s="139"/>
      <c r="HK993" s="139"/>
      <c r="HL993" s="139"/>
      <c r="HM993" s="139"/>
      <c r="HN993" s="139"/>
      <c r="HO993" s="139"/>
      <c r="HP993" s="139"/>
      <c r="HQ993" s="139"/>
      <c r="HR993" s="139"/>
      <c r="HS993" s="139"/>
      <c r="HT993" s="139"/>
      <c r="HU993" s="139"/>
      <c r="HV993" s="139"/>
      <c r="HW993" s="139"/>
      <c r="HX993" s="139"/>
      <c r="HY993" s="139"/>
      <c r="HZ993" s="139"/>
      <c r="IA993" s="139"/>
      <c r="IB993" s="139"/>
      <c r="IC993" s="139"/>
      <c r="ID993" s="139"/>
      <c r="IE993" s="139"/>
      <c r="IF993" s="139"/>
      <c r="IG993" s="139"/>
      <c r="IH993" s="139"/>
      <c r="II993" s="139"/>
      <c r="IJ993" s="139"/>
      <c r="IK993" s="139"/>
      <c r="IL993" s="139"/>
      <c r="IM993" s="139"/>
      <c r="IN993" s="139"/>
      <c r="IO993" s="139"/>
      <c r="IP993" s="139"/>
      <c r="IQ993" s="139"/>
      <c r="IR993" s="139"/>
      <c r="IS993" s="139"/>
      <c r="IT993" s="139"/>
      <c r="IU993" s="139"/>
      <c r="IV993" s="139"/>
      <c r="IW993" s="139"/>
      <c r="IX993" s="139"/>
      <c r="IY993" s="139"/>
      <c r="IZ993" s="139"/>
      <c r="JA993" s="139"/>
      <c r="JB993" s="139"/>
      <c r="JC993" s="139"/>
      <c r="JD993" s="139"/>
      <c r="JE993" s="139"/>
      <c r="JF993" s="139"/>
      <c r="JG993" s="139"/>
      <c r="JH993" s="139"/>
      <c r="JI993" s="139"/>
      <c r="JJ993" s="139"/>
      <c r="JK993" s="139"/>
      <c r="JL993" s="139"/>
      <c r="JM993" s="139"/>
      <c r="JN993" s="139"/>
      <c r="JO993" s="139"/>
      <c r="JP993" s="139"/>
      <c r="JQ993" s="139"/>
      <c r="JR993" s="139"/>
      <c r="JS993" s="139"/>
      <c r="JT993" s="139"/>
      <c r="JU993" s="139"/>
      <c r="JV993" s="139"/>
      <c r="JW993" s="139"/>
      <c r="JX993" s="139"/>
      <c r="JY993" s="139"/>
      <c r="JZ993" s="139"/>
      <c r="KA993" s="139"/>
      <c r="KB993" s="139"/>
      <c r="KC993" s="139"/>
      <c r="KD993" s="139"/>
      <c r="KE993" s="139"/>
      <c r="KF993" s="139"/>
      <c r="KG993" s="139"/>
      <c r="KH993" s="139"/>
      <c r="KI993" s="139"/>
      <c r="KJ993" s="139"/>
      <c r="KK993" s="139"/>
      <c r="KL993" s="139"/>
      <c r="KM993" s="139"/>
      <c r="KN993" s="139"/>
      <c r="KO993" s="139"/>
      <c r="KP993" s="139"/>
      <c r="KQ993" s="139"/>
      <c r="KR993" s="139"/>
      <c r="KS993" s="139"/>
      <c r="KT993" s="139"/>
      <c r="KU993" s="139"/>
      <c r="KV993" s="139"/>
      <c r="KW993" s="139"/>
      <c r="KX993" s="139"/>
      <c r="KY993" s="139"/>
      <c r="KZ993" s="139"/>
      <c r="LA993" s="139"/>
      <c r="LB993" s="139"/>
      <c r="LC993" s="139"/>
      <c r="LD993" s="139"/>
      <c r="LE993" s="139"/>
      <c r="LF993" s="139"/>
      <c r="LG993" s="139"/>
      <c r="LH993" s="139"/>
      <c r="LI993" s="139"/>
      <c r="LJ993" s="139"/>
      <c r="LK993" s="139"/>
      <c r="LL993" s="139"/>
      <c r="LM993" s="139"/>
      <c r="LN993" s="139"/>
      <c r="LO993" s="139"/>
      <c r="LP993" s="139"/>
      <c r="LQ993" s="139"/>
      <c r="LR993" s="139"/>
      <c r="LS993" s="139"/>
      <c r="LT993" s="139"/>
      <c r="LU993" s="139"/>
      <c r="LV993" s="139"/>
      <c r="LW993" s="139"/>
      <c r="LX993" s="139"/>
      <c r="LY993" s="139"/>
      <c r="LZ993" s="139"/>
      <c r="MA993" s="139"/>
      <c r="MB993" s="139"/>
      <c r="MC993" s="139"/>
      <c r="MD993" s="139"/>
      <c r="ME993" s="139"/>
      <c r="MF993" s="139"/>
      <c r="MG993" s="139"/>
      <c r="MH993" s="139"/>
      <c r="MI993" s="139"/>
      <c r="MJ993" s="139"/>
      <c r="MK993" s="139"/>
      <c r="ML993" s="139"/>
      <c r="MM993" s="139"/>
      <c r="MN993" s="139"/>
      <c r="MO993" s="139"/>
      <c r="MP993" s="139"/>
      <c r="MQ993" s="139"/>
      <c r="MR993" s="139"/>
      <c r="MS993" s="139"/>
      <c r="MT993" s="139"/>
      <c r="MU993" s="139"/>
      <c r="MV993" s="139"/>
      <c r="MW993" s="139"/>
      <c r="MX993" s="139"/>
      <c r="MY993" s="139"/>
      <c r="MZ993" s="139"/>
      <c r="NA993" s="139"/>
      <c r="NB993" s="139"/>
      <c r="NC993" s="139"/>
      <c r="ND993" s="139"/>
      <c r="NE993" s="139"/>
      <c r="NF993" s="139"/>
      <c r="NG993" s="139"/>
      <c r="NH993" s="139"/>
      <c r="NI993" s="139"/>
      <c r="NJ993" s="139"/>
      <c r="NK993" s="139"/>
      <c r="NL993" s="139"/>
      <c r="NM993" s="139"/>
      <c r="NN993" s="139"/>
      <c r="NO993" s="139"/>
      <c r="NP993" s="139"/>
      <c r="NQ993" s="139"/>
      <c r="NR993" s="139"/>
      <c r="NS993" s="139"/>
      <c r="NT993" s="139"/>
      <c r="NU993" s="139"/>
      <c r="NV993" s="139"/>
      <c r="NW993" s="139"/>
      <c r="NX993" s="139"/>
      <c r="NY993" s="139"/>
      <c r="NZ993" s="139"/>
      <c r="OA993" s="139"/>
      <c r="OB993" s="139"/>
      <c r="OC993" s="139"/>
      <c r="OD993" s="139"/>
      <c r="OE993" s="139"/>
      <c r="OF993" s="139"/>
      <c r="OG993" s="139"/>
      <c r="OH993" s="139"/>
      <c r="OI993" s="139"/>
      <c r="OJ993" s="139"/>
      <c r="OK993" s="139"/>
      <c r="OL993" s="139"/>
      <c r="OM993" s="139"/>
      <c r="ON993" s="139"/>
      <c r="OO993" s="139"/>
      <c r="OP993" s="139"/>
      <c r="OQ993" s="139"/>
      <c r="OR993" s="139"/>
      <c r="OS993" s="139"/>
      <c r="OT993" s="139"/>
      <c r="OU993" s="139"/>
      <c r="OV993" s="139"/>
      <c r="OW993" s="139"/>
      <c r="OX993" s="139"/>
      <c r="OY993" s="139"/>
      <c r="OZ993" s="139"/>
      <c r="PA993" s="139"/>
      <c r="PB993" s="139"/>
      <c r="PC993" s="139"/>
      <c r="PD993" s="139"/>
      <c r="PE993" s="139"/>
      <c r="PF993" s="139"/>
      <c r="PG993" s="139"/>
      <c r="PH993" s="139"/>
      <c r="PI993" s="139"/>
      <c r="PJ993" s="139"/>
      <c r="PK993" s="139"/>
      <c r="PL993" s="139"/>
      <c r="PM993" s="139"/>
      <c r="PN993" s="139"/>
      <c r="PO993" s="139"/>
      <c r="PP993" s="139"/>
      <c r="PQ993" s="139"/>
      <c r="PR993" s="139"/>
      <c r="PS993" s="139"/>
      <c r="PT993" s="139"/>
      <c r="PU993" s="139"/>
      <c r="PV993" s="139"/>
      <c r="PW993" s="139"/>
      <c r="PX993" s="139"/>
      <c r="PY993" s="139"/>
      <c r="PZ993" s="139"/>
      <c r="QA993" s="139"/>
      <c r="QB993" s="139"/>
      <c r="QC993" s="139"/>
      <c r="QD993" s="139"/>
      <c r="QE993" s="139"/>
      <c r="QF993" s="139"/>
      <c r="QG993" s="139"/>
      <c r="QH993" s="139"/>
      <c r="QI993" s="139"/>
      <c r="QJ993" s="139"/>
      <c r="QK993" s="139"/>
      <c r="QL993" s="139"/>
      <c r="QM993" s="139"/>
      <c r="QN993" s="139"/>
      <c r="QO993" s="139"/>
      <c r="QP993" s="139"/>
      <c r="QQ993" s="139"/>
      <c r="QR993" s="139"/>
      <c r="QS993" s="139"/>
      <c r="QT993" s="139"/>
      <c r="QU993" s="139"/>
      <c r="QV993" s="139"/>
      <c r="QW993" s="139"/>
      <c r="QX993" s="139"/>
      <c r="QY993" s="139"/>
      <c r="QZ993" s="139"/>
      <c r="RA993" s="139"/>
      <c r="RB993" s="139"/>
      <c r="RC993" s="139"/>
      <c r="RD993" s="139"/>
      <c r="RE993" s="139"/>
      <c r="RF993" s="139"/>
      <c r="RG993" s="139"/>
      <c r="RH993" s="139"/>
      <c r="RI993" s="139"/>
      <c r="RJ993" s="139"/>
      <c r="RK993" s="139"/>
      <c r="RL993" s="139"/>
      <c r="RM993" s="139"/>
      <c r="RN993" s="139"/>
      <c r="RO993" s="139"/>
      <c r="RP993" s="139"/>
      <c r="RQ993" s="139"/>
      <c r="RR993" s="139"/>
      <c r="RS993" s="139"/>
      <c r="RT993" s="139"/>
      <c r="RU993" s="139"/>
      <c r="RV993" s="139"/>
      <c r="RW993" s="139"/>
      <c r="RX993" s="139"/>
      <c r="RY993" s="139"/>
      <c r="RZ993" s="139"/>
      <c r="SA993" s="139"/>
      <c r="SB993" s="139"/>
      <c r="SC993" s="139"/>
      <c r="SD993" s="139"/>
      <c r="SE993" s="139"/>
      <c r="SF993" s="139"/>
      <c r="SG993" s="139"/>
      <c r="SH993" s="139"/>
      <c r="SI993" s="139"/>
      <c r="SJ993" s="139"/>
      <c r="SK993" s="139"/>
      <c r="SL993" s="139"/>
      <c r="SM993" s="139"/>
      <c r="SN993" s="139"/>
      <c r="SO993" s="139"/>
      <c r="SP993" s="139"/>
      <c r="SQ993" s="139"/>
      <c r="SR993" s="139"/>
      <c r="SS993" s="139"/>
      <c r="ST993" s="139"/>
      <c r="SU993" s="139"/>
      <c r="SV993" s="139"/>
      <c r="SW993" s="139"/>
      <c r="SX993" s="139"/>
      <c r="SY993" s="139"/>
      <c r="SZ993" s="139"/>
      <c r="TA993" s="139"/>
      <c r="TB993" s="139"/>
      <c r="TC993" s="139"/>
      <c r="TD993" s="139"/>
      <c r="TE993" s="139"/>
      <c r="TF993" s="139"/>
      <c r="TG993" s="139"/>
      <c r="TH993" s="139"/>
      <c r="TI993" s="139"/>
      <c r="TJ993" s="139"/>
      <c r="TK993" s="139"/>
      <c r="TL993" s="139"/>
      <c r="TM993" s="139"/>
      <c r="TN993" s="139"/>
      <c r="TO993" s="139"/>
      <c r="TP993" s="139"/>
      <c r="TQ993" s="139"/>
      <c r="TR993" s="139"/>
      <c r="TS993" s="139"/>
      <c r="TT993" s="139"/>
      <c r="TU993" s="139"/>
      <c r="TV993" s="139"/>
      <c r="TW993" s="139"/>
      <c r="TX993" s="139"/>
      <c r="TY993" s="139"/>
      <c r="TZ993" s="139"/>
      <c r="UA993" s="139"/>
      <c r="UB993" s="139"/>
      <c r="UC993" s="139"/>
      <c r="UD993" s="139"/>
      <c r="UE993" s="139"/>
      <c r="UF993" s="139"/>
      <c r="UG993" s="119"/>
    </row>
    <row r="994" spans="1:553" ht="43.5" customHeight="1">
      <c r="A994" s="356" t="s">
        <v>30</v>
      </c>
      <c r="B994" s="385" t="s">
        <v>31</v>
      </c>
      <c r="C994" s="1404" t="s">
        <v>577</v>
      </c>
      <c r="D994" s="1389"/>
      <c r="E994" s="1389"/>
      <c r="F994" s="1390"/>
      <c r="G994" s="386" t="s">
        <v>34</v>
      </c>
      <c r="H994" s="370"/>
      <c r="I994" s="422">
        <f>((0.125*0.125*3.14)-(0.15*0.15*3.14))*4.2*14</f>
        <v>-1.2693450000000002</v>
      </c>
      <c r="J994" s="368">
        <v>4000000</v>
      </c>
      <c r="K994" s="371"/>
      <c r="L994" s="391">
        <f t="shared" ref="L994:L1007" si="149">ROUND(PRODUCT(I994:K994),0)</f>
        <v>-5077380</v>
      </c>
      <c r="M994" s="391"/>
      <c r="N994" s="391"/>
      <c r="O994" s="391"/>
      <c r="P994" s="391"/>
      <c r="Q994" s="1142"/>
      <c r="R994" s="1226"/>
      <c r="S994" s="308"/>
      <c r="T994" s="308"/>
      <c r="U994" s="308"/>
      <c r="V994" s="308"/>
      <c r="W994" s="308"/>
      <c r="X994" s="308"/>
      <c r="Y994" s="308"/>
      <c r="Z994" s="604"/>
      <c r="AA994" s="308"/>
      <c r="AB994" s="308"/>
      <c r="AC994" s="449"/>
      <c r="AD994" s="449"/>
      <c r="AE994" s="449"/>
      <c r="AF994" s="449"/>
      <c r="AG994" s="449"/>
      <c r="AH994" s="449"/>
      <c r="AI994" s="449"/>
      <c r="AJ994" s="449"/>
      <c r="AK994" s="452"/>
      <c r="AL994" s="104"/>
      <c r="AM994" s="32"/>
      <c r="AN994" s="32"/>
      <c r="AO994" s="32"/>
      <c r="AP994" s="32"/>
      <c r="AQ994" s="32"/>
      <c r="AR994" s="32"/>
      <c r="AS994" s="31"/>
      <c r="AT994" s="31"/>
      <c r="AU994" s="31"/>
      <c r="AV994" s="31"/>
      <c r="AW994" s="31"/>
      <c r="AX994" s="31"/>
      <c r="AY994" s="31"/>
      <c r="AZ994" s="31"/>
      <c r="BA994" s="31"/>
      <c r="BB994" s="31"/>
      <c r="BC994" s="31"/>
      <c r="BD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c r="CT994" s="31"/>
      <c r="CU994" s="31"/>
      <c r="CV994" s="31"/>
      <c r="CW994" s="31"/>
      <c r="CX994" s="31"/>
      <c r="CY994" s="31"/>
      <c r="CZ994" s="31"/>
      <c r="DA994" s="31"/>
      <c r="DB994" s="31"/>
      <c r="DC994" s="31"/>
      <c r="DD994" s="31"/>
      <c r="DE994" s="31"/>
      <c r="DF994" s="31"/>
      <c r="DG994" s="31"/>
      <c r="DH994" s="31"/>
      <c r="DI994" s="31"/>
      <c r="DJ994" s="31"/>
      <c r="DK994" s="31"/>
      <c r="DL994" s="31"/>
      <c r="DM994" s="31"/>
      <c r="DN994" s="31"/>
      <c r="DO994" s="31"/>
      <c r="DP994" s="31"/>
      <c r="DQ994" s="31"/>
      <c r="DR994" s="31"/>
      <c r="DS994" s="31"/>
      <c r="DT994" s="31"/>
      <c r="DU994" s="31"/>
      <c r="DV994" s="31"/>
      <c r="DW994" s="31"/>
      <c r="DX994" s="31"/>
      <c r="DY994" s="31"/>
      <c r="DZ994" s="31"/>
      <c r="EA994" s="31"/>
      <c r="EB994" s="31"/>
      <c r="EC994" s="31"/>
      <c r="ED994" s="31"/>
      <c r="EE994" s="31"/>
      <c r="EF994" s="31"/>
      <c r="EG994" s="31"/>
      <c r="EH994" s="31"/>
      <c r="EI994" s="31"/>
      <c r="EJ994" s="31"/>
      <c r="EK994" s="31"/>
      <c r="EL994" s="31"/>
      <c r="EM994" s="31"/>
      <c r="EN994" s="31"/>
      <c r="EO994" s="31"/>
      <c r="EP994" s="31"/>
      <c r="EQ994" s="31"/>
      <c r="ER994" s="31"/>
      <c r="ES994" s="31"/>
      <c r="ET994" s="31"/>
      <c r="EU994" s="31"/>
      <c r="EV994" s="31"/>
      <c r="EW994" s="31"/>
      <c r="EX994" s="31"/>
      <c r="EY994" s="31"/>
      <c r="EZ994" s="31"/>
      <c r="FA994" s="31"/>
      <c r="FB994" s="31"/>
      <c r="FC994" s="31"/>
      <c r="FD994" s="31"/>
      <c r="FE994" s="31"/>
      <c r="FF994" s="31"/>
      <c r="FG994" s="31"/>
      <c r="FH994" s="31"/>
      <c r="FI994" s="31"/>
      <c r="FJ994" s="31"/>
      <c r="FK994" s="31"/>
      <c r="FL994" s="31"/>
      <c r="FM994" s="31"/>
      <c r="FN994" s="31"/>
      <c r="FO994" s="31"/>
      <c r="FP994" s="31"/>
      <c r="FQ994" s="31"/>
      <c r="FR994" s="31"/>
      <c r="FS994" s="31"/>
      <c r="FT994" s="31"/>
      <c r="FU994" s="31"/>
      <c r="FV994" s="31"/>
      <c r="FW994" s="31"/>
      <c r="FX994" s="31"/>
      <c r="FY994" s="31"/>
      <c r="FZ994" s="31"/>
      <c r="GA994" s="31"/>
      <c r="GB994" s="31"/>
      <c r="GC994" s="31"/>
      <c r="GD994" s="31"/>
      <c r="GE994" s="31"/>
      <c r="GF994" s="31"/>
      <c r="GG994" s="31"/>
      <c r="GH994" s="31"/>
      <c r="GI994" s="31"/>
      <c r="GJ994" s="31"/>
      <c r="GK994" s="31"/>
      <c r="GL994" s="31"/>
      <c r="GM994" s="31"/>
      <c r="GN994" s="31"/>
      <c r="GO994" s="31"/>
      <c r="GP994" s="31"/>
      <c r="GQ994" s="31"/>
      <c r="GR994" s="31"/>
      <c r="GS994" s="31"/>
      <c r="GT994" s="31"/>
      <c r="GU994" s="31"/>
      <c r="GV994" s="31"/>
      <c r="GW994" s="31"/>
      <c r="GX994" s="31"/>
      <c r="GY994" s="31"/>
      <c r="GZ994" s="31"/>
      <c r="HA994" s="31"/>
      <c r="HB994" s="31"/>
      <c r="HC994" s="31"/>
      <c r="HD994" s="31"/>
      <c r="HE994" s="31"/>
      <c r="HF994" s="31"/>
      <c r="HG994" s="31"/>
      <c r="HH994" s="31"/>
      <c r="HI994" s="31"/>
      <c r="HJ994" s="31"/>
      <c r="HK994" s="31"/>
      <c r="HL994" s="31"/>
      <c r="HM994" s="31"/>
      <c r="HN994" s="31"/>
      <c r="HO994" s="31"/>
      <c r="HP994" s="31"/>
      <c r="HQ994" s="31"/>
      <c r="HR994" s="31"/>
      <c r="HS994" s="31"/>
      <c r="HT994" s="31"/>
      <c r="HU994" s="31"/>
      <c r="HV994" s="31"/>
      <c r="HW994" s="31"/>
      <c r="HX994" s="31"/>
      <c r="HY994" s="31"/>
      <c r="HZ994" s="31"/>
      <c r="IA994" s="31"/>
      <c r="IB994" s="31"/>
      <c r="IC994" s="31"/>
      <c r="ID994" s="31"/>
      <c r="IE994" s="31"/>
      <c r="IF994" s="31"/>
      <c r="IG994" s="31"/>
      <c r="IH994" s="31"/>
      <c r="II994" s="31"/>
      <c r="IJ994" s="31"/>
      <c r="IK994" s="31"/>
      <c r="IL994" s="31"/>
      <c r="IM994" s="31"/>
      <c r="IN994" s="31"/>
      <c r="IO994" s="31"/>
      <c r="IP994" s="31"/>
      <c r="IQ994" s="31"/>
      <c r="IR994" s="31"/>
      <c r="IS994" s="31"/>
      <c r="IT994" s="31"/>
      <c r="IU994" s="31"/>
      <c r="IV994" s="31"/>
      <c r="IW994" s="31"/>
      <c r="IX994" s="31"/>
      <c r="IY994" s="31"/>
      <c r="IZ994" s="31"/>
      <c r="JA994" s="31"/>
      <c r="JB994" s="31"/>
      <c r="JC994" s="31"/>
      <c r="JD994" s="31"/>
      <c r="JE994" s="31"/>
      <c r="JF994" s="31"/>
      <c r="JG994" s="31"/>
      <c r="JH994" s="31"/>
      <c r="JI994" s="31"/>
      <c r="JJ994" s="31"/>
      <c r="JK994" s="31"/>
      <c r="JL994" s="31"/>
      <c r="JM994" s="31"/>
      <c r="JN994" s="31"/>
      <c r="JO994" s="31"/>
      <c r="JP994" s="31"/>
      <c r="JQ994" s="31"/>
      <c r="JR994" s="31"/>
      <c r="JS994" s="31"/>
      <c r="JT994" s="31"/>
      <c r="JU994" s="31"/>
      <c r="JV994" s="31"/>
      <c r="JW994" s="31"/>
      <c r="JX994" s="31"/>
      <c r="JY994" s="31"/>
      <c r="JZ994" s="31"/>
      <c r="KA994" s="31"/>
      <c r="KB994" s="31"/>
      <c r="KC994" s="31"/>
      <c r="KD994" s="31"/>
      <c r="KE994" s="31"/>
      <c r="KF994" s="31"/>
      <c r="KG994" s="31"/>
      <c r="KH994" s="31"/>
      <c r="KI994" s="31"/>
      <c r="KJ994" s="31"/>
      <c r="KK994" s="31"/>
      <c r="KL994" s="31"/>
      <c r="KM994" s="31"/>
      <c r="KN994" s="31"/>
      <c r="KO994" s="31"/>
      <c r="KP994" s="31"/>
      <c r="KQ994" s="31"/>
      <c r="KR994" s="31"/>
      <c r="KS994" s="31"/>
      <c r="KT994" s="31"/>
      <c r="KU994" s="31"/>
      <c r="KV994" s="31"/>
      <c r="KW994" s="31"/>
      <c r="KX994" s="31"/>
      <c r="KY994" s="31"/>
      <c r="KZ994" s="31"/>
      <c r="LA994" s="31"/>
      <c r="LB994" s="31"/>
      <c r="LC994" s="31"/>
      <c r="LD994" s="31"/>
      <c r="LE994" s="31"/>
      <c r="LF994" s="31"/>
      <c r="LG994" s="31"/>
      <c r="LH994" s="31"/>
      <c r="LI994" s="31"/>
      <c r="LJ994" s="31"/>
      <c r="LK994" s="31"/>
      <c r="LL994" s="31"/>
      <c r="LM994" s="31"/>
      <c r="LN994" s="31"/>
      <c r="LO994" s="31"/>
      <c r="LP994" s="31"/>
      <c r="LQ994" s="31"/>
      <c r="LR994" s="31"/>
      <c r="LS994" s="31"/>
      <c r="LT994" s="31"/>
      <c r="LU994" s="31"/>
      <c r="LV994" s="31"/>
      <c r="LW994" s="31"/>
      <c r="LX994" s="31"/>
      <c r="LY994" s="31"/>
      <c r="LZ994" s="31"/>
      <c r="MA994" s="31"/>
      <c r="MB994" s="31"/>
      <c r="MC994" s="31"/>
      <c r="MD994" s="31"/>
      <c r="ME994" s="31"/>
      <c r="MF994" s="31"/>
      <c r="MG994" s="31"/>
      <c r="MH994" s="31"/>
      <c r="MI994" s="31"/>
      <c r="MJ994" s="31"/>
      <c r="MK994" s="31"/>
      <c r="ML994" s="31"/>
      <c r="MM994" s="31"/>
      <c r="MN994" s="31"/>
      <c r="MO994" s="31"/>
      <c r="MP994" s="31"/>
      <c r="MQ994" s="31"/>
      <c r="MR994" s="31"/>
      <c r="MS994" s="31"/>
      <c r="MT994" s="31"/>
      <c r="MU994" s="31"/>
      <c r="MV994" s="31"/>
      <c r="MW994" s="31"/>
      <c r="MX994" s="31"/>
      <c r="MY994" s="31"/>
      <c r="MZ994" s="31"/>
      <c r="NA994" s="31"/>
      <c r="NB994" s="31"/>
      <c r="NC994" s="31"/>
      <c r="ND994" s="31"/>
      <c r="NE994" s="31"/>
      <c r="NF994" s="31"/>
      <c r="NG994" s="31"/>
      <c r="NH994" s="31"/>
      <c r="NI994" s="31"/>
      <c r="NJ994" s="31"/>
      <c r="NK994" s="31"/>
      <c r="NL994" s="31"/>
      <c r="NM994" s="31"/>
      <c r="NN994" s="31"/>
      <c r="NO994" s="31"/>
      <c r="NP994" s="31"/>
      <c r="NQ994" s="31"/>
      <c r="NR994" s="31"/>
      <c r="NS994" s="31"/>
      <c r="NT994" s="31"/>
      <c r="NU994" s="31"/>
      <c r="NV994" s="31"/>
      <c r="NW994" s="31"/>
      <c r="NX994" s="31"/>
      <c r="NY994" s="31"/>
      <c r="NZ994" s="31"/>
      <c r="OA994" s="31"/>
      <c r="OB994" s="31"/>
      <c r="OC994" s="31"/>
      <c r="OD994" s="31"/>
      <c r="OE994" s="31"/>
      <c r="OF994" s="31"/>
      <c r="OG994" s="31"/>
      <c r="OH994" s="31"/>
      <c r="OI994" s="31"/>
      <c r="OJ994" s="31"/>
      <c r="OK994" s="31"/>
      <c r="OL994" s="31"/>
      <c r="OM994" s="31"/>
      <c r="ON994" s="31"/>
      <c r="OO994" s="31"/>
      <c r="OP994" s="31"/>
      <c r="OQ994" s="31"/>
      <c r="OR994" s="31"/>
      <c r="OS994" s="31"/>
      <c r="OT994" s="31"/>
      <c r="OU994" s="31"/>
      <c r="OV994" s="31"/>
      <c r="OW994" s="31"/>
      <c r="OX994" s="31"/>
      <c r="OY994" s="31"/>
      <c r="OZ994" s="31"/>
      <c r="PA994" s="31"/>
      <c r="PB994" s="31"/>
      <c r="PC994" s="31"/>
      <c r="PD994" s="31"/>
      <c r="PE994" s="31"/>
      <c r="PF994" s="31"/>
      <c r="PG994" s="31"/>
      <c r="PH994" s="31"/>
      <c r="PI994" s="31"/>
      <c r="PJ994" s="31"/>
      <c r="PK994" s="31"/>
      <c r="PL994" s="31"/>
      <c r="PM994" s="31"/>
      <c r="PN994" s="31"/>
      <c r="PO994" s="31"/>
      <c r="PP994" s="31"/>
      <c r="PQ994" s="31"/>
      <c r="PR994" s="31"/>
      <c r="PS994" s="31"/>
      <c r="PT994" s="31"/>
      <c r="PU994" s="31"/>
      <c r="PV994" s="31"/>
      <c r="PW994" s="31"/>
      <c r="PX994" s="31"/>
      <c r="PY994" s="31"/>
      <c r="PZ994" s="31"/>
      <c r="QA994" s="31"/>
      <c r="QB994" s="31"/>
      <c r="QC994" s="31"/>
      <c r="QD994" s="31"/>
      <c r="QE994" s="31"/>
      <c r="QF994" s="31"/>
      <c r="QG994" s="31"/>
      <c r="QH994" s="31"/>
      <c r="QI994" s="31"/>
      <c r="QJ994" s="31"/>
      <c r="QK994" s="31"/>
      <c r="QL994" s="31"/>
      <c r="QM994" s="31"/>
      <c r="QN994" s="31"/>
      <c r="QO994" s="31"/>
      <c r="QP994" s="31"/>
      <c r="QQ994" s="31"/>
      <c r="QR994" s="31"/>
      <c r="QS994" s="31"/>
      <c r="QT994" s="31"/>
      <c r="QU994" s="31"/>
      <c r="QV994" s="31"/>
      <c r="QW994" s="31"/>
      <c r="QX994" s="31"/>
      <c r="QY994" s="31"/>
      <c r="QZ994" s="31"/>
      <c r="RA994" s="31"/>
      <c r="RB994" s="31"/>
      <c r="RC994" s="31"/>
      <c r="RD994" s="31"/>
      <c r="RE994" s="31"/>
      <c r="RF994" s="31"/>
      <c r="RG994" s="31"/>
      <c r="RH994" s="31"/>
      <c r="RI994" s="31"/>
      <c r="RJ994" s="31"/>
      <c r="RK994" s="31"/>
      <c r="RL994" s="31"/>
      <c r="RM994" s="31"/>
      <c r="RN994" s="31"/>
      <c r="RO994" s="31"/>
      <c r="RP994" s="31"/>
      <c r="RQ994" s="31"/>
      <c r="RR994" s="31"/>
      <c r="RS994" s="31"/>
      <c r="RT994" s="31"/>
      <c r="RU994" s="31"/>
      <c r="RV994" s="31"/>
      <c r="RW994" s="31"/>
      <c r="RX994" s="31"/>
      <c r="RY994" s="31"/>
      <c r="RZ994" s="31"/>
      <c r="SA994" s="31"/>
      <c r="SB994" s="31"/>
      <c r="SC994" s="31"/>
      <c r="SD994" s="31"/>
      <c r="SE994" s="31"/>
      <c r="SF994" s="31"/>
      <c r="SG994" s="31"/>
      <c r="SH994" s="31"/>
      <c r="SI994" s="31"/>
      <c r="SJ994" s="31"/>
      <c r="SK994" s="31"/>
      <c r="SL994" s="31"/>
      <c r="SM994" s="31"/>
      <c r="SN994" s="31"/>
      <c r="SO994" s="31"/>
      <c r="SP994" s="31"/>
      <c r="SQ994" s="31"/>
      <c r="SR994" s="31"/>
      <c r="SS994" s="31"/>
      <c r="ST994" s="31"/>
      <c r="SU994" s="31"/>
      <c r="SV994" s="31"/>
      <c r="SW994" s="31"/>
      <c r="SX994" s="31"/>
      <c r="SY994" s="31"/>
      <c r="SZ994" s="31"/>
      <c r="TA994" s="31"/>
      <c r="TB994" s="31"/>
      <c r="TC994" s="31"/>
      <c r="TD994" s="31"/>
      <c r="TE994" s="31"/>
      <c r="TF994" s="31"/>
      <c r="TG994" s="31"/>
      <c r="TH994" s="31"/>
      <c r="TI994" s="31"/>
      <c r="TJ994" s="31"/>
      <c r="TK994" s="31"/>
      <c r="TL994" s="31"/>
      <c r="TM994" s="31"/>
      <c r="TN994" s="31"/>
      <c r="TO994" s="31"/>
      <c r="TP994" s="31"/>
      <c r="TQ994" s="31"/>
      <c r="TR994" s="31"/>
      <c r="TS994" s="31"/>
      <c r="TT994" s="31"/>
      <c r="TU994" s="31"/>
      <c r="TV994" s="31"/>
      <c r="TW994" s="31"/>
      <c r="TX994" s="31"/>
      <c r="TY994" s="31"/>
      <c r="TZ994" s="31"/>
      <c r="UA994" s="31"/>
      <c r="UB994" s="31"/>
      <c r="UC994" s="31"/>
      <c r="UD994" s="31"/>
      <c r="UE994" s="31"/>
      <c r="UF994" s="31"/>
      <c r="UG994" s="33"/>
    </row>
    <row r="995" spans="1:553" ht="43.5" customHeight="1">
      <c r="A995" s="356" t="s">
        <v>30</v>
      </c>
      <c r="B995" s="385" t="s">
        <v>31</v>
      </c>
      <c r="C995" s="1404" t="s">
        <v>73</v>
      </c>
      <c r="D995" s="1389"/>
      <c r="E995" s="1389"/>
      <c r="F995" s="1390"/>
      <c r="G995" s="386" t="s">
        <v>34</v>
      </c>
      <c r="H995" s="370"/>
      <c r="I995" s="422">
        <f>((0.125*0.125*3.14)-(0.15*0.15*3.14))*5.2*6</f>
        <v>-0.67353000000000018</v>
      </c>
      <c r="J995" s="368">
        <v>4000000</v>
      </c>
      <c r="K995" s="371"/>
      <c r="L995" s="391">
        <f t="shared" si="149"/>
        <v>-2694120</v>
      </c>
      <c r="M995" s="391"/>
      <c r="N995" s="391"/>
      <c r="O995" s="391"/>
      <c r="P995" s="391"/>
      <c r="Q995" s="1142"/>
      <c r="R995" s="1226"/>
      <c r="S995" s="308"/>
      <c r="T995" s="308"/>
      <c r="U995" s="308"/>
      <c r="V995" s="308"/>
      <c r="W995" s="308"/>
      <c r="X995" s="308"/>
      <c r="Y995" s="308"/>
      <c r="Z995" s="604"/>
      <c r="AA995" s="308"/>
      <c r="AB995" s="308"/>
      <c r="AC995" s="449"/>
      <c r="AD995" s="449"/>
      <c r="AE995" s="449"/>
      <c r="AF995" s="449"/>
      <c r="AG995" s="449"/>
      <c r="AH995" s="449"/>
      <c r="AI995" s="449"/>
      <c r="AJ995" s="449"/>
      <c r="AK995" s="452"/>
      <c r="AL995" s="104"/>
      <c r="AM995" s="32"/>
      <c r="AN995" s="32"/>
      <c r="AO995" s="32"/>
      <c r="AP995" s="32"/>
      <c r="AQ995" s="32"/>
      <c r="AR995" s="32"/>
      <c r="AS995" s="31"/>
      <c r="AT995" s="31"/>
      <c r="AU995" s="31"/>
      <c r="AV995" s="31"/>
      <c r="AW995" s="31"/>
      <c r="AX995" s="31"/>
      <c r="AY995" s="31"/>
      <c r="AZ995" s="31"/>
      <c r="BA995" s="31"/>
      <c r="BB995" s="31"/>
      <c r="BC995" s="31"/>
      <c r="BD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c r="CT995" s="31"/>
      <c r="CU995" s="31"/>
      <c r="CV995" s="31"/>
      <c r="CW995" s="31"/>
      <c r="CX995" s="31"/>
      <c r="CY995" s="31"/>
      <c r="CZ995" s="31"/>
      <c r="DA995" s="31"/>
      <c r="DB995" s="31"/>
      <c r="DC995" s="31"/>
      <c r="DD995" s="31"/>
      <c r="DE995" s="31"/>
      <c r="DF995" s="31"/>
      <c r="DG995" s="31"/>
      <c r="DH995" s="31"/>
      <c r="DI995" s="31"/>
      <c r="DJ995" s="31"/>
      <c r="DK995" s="31"/>
      <c r="DL995" s="31"/>
      <c r="DM995" s="31"/>
      <c r="DN995" s="31"/>
      <c r="DO995" s="31"/>
      <c r="DP995" s="31"/>
      <c r="DQ995" s="31"/>
      <c r="DR995" s="31"/>
      <c r="DS995" s="31"/>
      <c r="DT995" s="31"/>
      <c r="DU995" s="31"/>
      <c r="DV995" s="31"/>
      <c r="DW995" s="31"/>
      <c r="DX995" s="31"/>
      <c r="DY995" s="31"/>
      <c r="DZ995" s="31"/>
      <c r="EA995" s="31"/>
      <c r="EB995" s="31"/>
      <c r="EC995" s="31"/>
      <c r="ED995" s="31"/>
      <c r="EE995" s="31"/>
      <c r="EF995" s="31"/>
      <c r="EG995" s="31"/>
      <c r="EH995" s="31"/>
      <c r="EI995" s="31"/>
      <c r="EJ995" s="31"/>
      <c r="EK995" s="31"/>
      <c r="EL995" s="31"/>
      <c r="EM995" s="31"/>
      <c r="EN995" s="31"/>
      <c r="EO995" s="31"/>
      <c r="EP995" s="31"/>
      <c r="EQ995" s="31"/>
      <c r="ER995" s="31"/>
      <c r="ES995" s="31"/>
      <c r="ET995" s="31"/>
      <c r="EU995" s="31"/>
      <c r="EV995" s="31"/>
      <c r="EW995" s="31"/>
      <c r="EX995" s="31"/>
      <c r="EY995" s="31"/>
      <c r="EZ995" s="31"/>
      <c r="FA995" s="31"/>
      <c r="FB995" s="31"/>
      <c r="FC995" s="31"/>
      <c r="FD995" s="31"/>
      <c r="FE995" s="31"/>
      <c r="FF995" s="31"/>
      <c r="FG995" s="31"/>
      <c r="FH995" s="31"/>
      <c r="FI995" s="31"/>
      <c r="FJ995" s="31"/>
      <c r="FK995" s="31"/>
      <c r="FL995" s="31"/>
      <c r="FM995" s="31"/>
      <c r="FN995" s="31"/>
      <c r="FO995" s="31"/>
      <c r="FP995" s="31"/>
      <c r="FQ995" s="31"/>
      <c r="FR995" s="31"/>
      <c r="FS995" s="31"/>
      <c r="FT995" s="31"/>
      <c r="FU995" s="31"/>
      <c r="FV995" s="31"/>
      <c r="FW995" s="31"/>
      <c r="FX995" s="31"/>
      <c r="FY995" s="31"/>
      <c r="FZ995" s="31"/>
      <c r="GA995" s="31"/>
      <c r="GB995" s="31"/>
      <c r="GC995" s="31"/>
      <c r="GD995" s="31"/>
      <c r="GE995" s="31"/>
      <c r="GF995" s="31"/>
      <c r="GG995" s="31"/>
      <c r="GH995" s="31"/>
      <c r="GI995" s="31"/>
      <c r="GJ995" s="31"/>
      <c r="GK995" s="31"/>
      <c r="GL995" s="31"/>
      <c r="GM995" s="31"/>
      <c r="GN995" s="31"/>
      <c r="GO995" s="31"/>
      <c r="GP995" s="31"/>
      <c r="GQ995" s="31"/>
      <c r="GR995" s="31"/>
      <c r="GS995" s="31"/>
      <c r="GT995" s="31"/>
      <c r="GU995" s="31"/>
      <c r="GV995" s="31"/>
      <c r="GW995" s="31"/>
      <c r="GX995" s="31"/>
      <c r="GY995" s="31"/>
      <c r="GZ995" s="31"/>
      <c r="HA995" s="31"/>
      <c r="HB995" s="31"/>
      <c r="HC995" s="31"/>
      <c r="HD995" s="31"/>
      <c r="HE995" s="31"/>
      <c r="HF995" s="31"/>
      <c r="HG995" s="31"/>
      <c r="HH995" s="31"/>
      <c r="HI995" s="31"/>
      <c r="HJ995" s="31"/>
      <c r="HK995" s="31"/>
      <c r="HL995" s="31"/>
      <c r="HM995" s="31"/>
      <c r="HN995" s="31"/>
      <c r="HO995" s="31"/>
      <c r="HP995" s="31"/>
      <c r="HQ995" s="31"/>
      <c r="HR995" s="31"/>
      <c r="HS995" s="31"/>
      <c r="HT995" s="31"/>
      <c r="HU995" s="31"/>
      <c r="HV995" s="31"/>
      <c r="HW995" s="31"/>
      <c r="HX995" s="31"/>
      <c r="HY995" s="31"/>
      <c r="HZ995" s="31"/>
      <c r="IA995" s="31"/>
      <c r="IB995" s="31"/>
      <c r="IC995" s="31"/>
      <c r="ID995" s="31"/>
      <c r="IE995" s="31"/>
      <c r="IF995" s="31"/>
      <c r="IG995" s="31"/>
      <c r="IH995" s="31"/>
      <c r="II995" s="31"/>
      <c r="IJ995" s="31"/>
      <c r="IK995" s="31"/>
      <c r="IL995" s="31"/>
      <c r="IM995" s="31"/>
      <c r="IN995" s="31"/>
      <c r="IO995" s="31"/>
      <c r="IP995" s="31"/>
      <c r="IQ995" s="31"/>
      <c r="IR995" s="31"/>
      <c r="IS995" s="31"/>
      <c r="IT995" s="31"/>
      <c r="IU995" s="31"/>
      <c r="IV995" s="31"/>
      <c r="IW995" s="31"/>
      <c r="IX995" s="31"/>
      <c r="IY995" s="31"/>
      <c r="IZ995" s="31"/>
      <c r="JA995" s="31"/>
      <c r="JB995" s="31"/>
      <c r="JC995" s="31"/>
      <c r="JD995" s="31"/>
      <c r="JE995" s="31"/>
      <c r="JF995" s="31"/>
      <c r="JG995" s="31"/>
      <c r="JH995" s="31"/>
      <c r="JI995" s="31"/>
      <c r="JJ995" s="31"/>
      <c r="JK995" s="31"/>
      <c r="JL995" s="31"/>
      <c r="JM995" s="31"/>
      <c r="JN995" s="31"/>
      <c r="JO995" s="31"/>
      <c r="JP995" s="31"/>
      <c r="JQ995" s="31"/>
      <c r="JR995" s="31"/>
      <c r="JS995" s="31"/>
      <c r="JT995" s="31"/>
      <c r="JU995" s="31"/>
      <c r="JV995" s="31"/>
      <c r="JW995" s="31"/>
      <c r="JX995" s="31"/>
      <c r="JY995" s="31"/>
      <c r="JZ995" s="31"/>
      <c r="KA995" s="31"/>
      <c r="KB995" s="31"/>
      <c r="KC995" s="31"/>
      <c r="KD995" s="31"/>
      <c r="KE995" s="31"/>
      <c r="KF995" s="31"/>
      <c r="KG995" s="31"/>
      <c r="KH995" s="31"/>
      <c r="KI995" s="31"/>
      <c r="KJ995" s="31"/>
      <c r="KK995" s="31"/>
      <c r="KL995" s="31"/>
      <c r="KM995" s="31"/>
      <c r="KN995" s="31"/>
      <c r="KO995" s="31"/>
      <c r="KP995" s="31"/>
      <c r="KQ995" s="31"/>
      <c r="KR995" s="31"/>
      <c r="KS995" s="31"/>
      <c r="KT995" s="31"/>
      <c r="KU995" s="31"/>
      <c r="KV995" s="31"/>
      <c r="KW995" s="31"/>
      <c r="KX995" s="31"/>
      <c r="KY995" s="31"/>
      <c r="KZ995" s="31"/>
      <c r="LA995" s="31"/>
      <c r="LB995" s="31"/>
      <c r="LC995" s="31"/>
      <c r="LD995" s="31"/>
      <c r="LE995" s="31"/>
      <c r="LF995" s="31"/>
      <c r="LG995" s="31"/>
      <c r="LH995" s="31"/>
      <c r="LI995" s="31"/>
      <c r="LJ995" s="31"/>
      <c r="LK995" s="31"/>
      <c r="LL995" s="31"/>
      <c r="LM995" s="31"/>
      <c r="LN995" s="31"/>
      <c r="LO995" s="31"/>
      <c r="LP995" s="31"/>
      <c r="LQ995" s="31"/>
      <c r="LR995" s="31"/>
      <c r="LS995" s="31"/>
      <c r="LT995" s="31"/>
      <c r="LU995" s="31"/>
      <c r="LV995" s="31"/>
      <c r="LW995" s="31"/>
      <c r="LX995" s="31"/>
      <c r="LY995" s="31"/>
      <c r="LZ995" s="31"/>
      <c r="MA995" s="31"/>
      <c r="MB995" s="31"/>
      <c r="MC995" s="31"/>
      <c r="MD995" s="31"/>
      <c r="ME995" s="31"/>
      <c r="MF995" s="31"/>
      <c r="MG995" s="31"/>
      <c r="MH995" s="31"/>
      <c r="MI995" s="31"/>
      <c r="MJ995" s="31"/>
      <c r="MK995" s="31"/>
      <c r="ML995" s="31"/>
      <c r="MM995" s="31"/>
      <c r="MN995" s="31"/>
      <c r="MO995" s="31"/>
      <c r="MP995" s="31"/>
      <c r="MQ995" s="31"/>
      <c r="MR995" s="31"/>
      <c r="MS995" s="31"/>
      <c r="MT995" s="31"/>
      <c r="MU995" s="31"/>
      <c r="MV995" s="31"/>
      <c r="MW995" s="31"/>
      <c r="MX995" s="31"/>
      <c r="MY995" s="31"/>
      <c r="MZ995" s="31"/>
      <c r="NA995" s="31"/>
      <c r="NB995" s="31"/>
      <c r="NC995" s="31"/>
      <c r="ND995" s="31"/>
      <c r="NE995" s="31"/>
      <c r="NF995" s="31"/>
      <c r="NG995" s="31"/>
      <c r="NH995" s="31"/>
      <c r="NI995" s="31"/>
      <c r="NJ995" s="31"/>
      <c r="NK995" s="31"/>
      <c r="NL995" s="31"/>
      <c r="NM995" s="31"/>
      <c r="NN995" s="31"/>
      <c r="NO995" s="31"/>
      <c r="NP995" s="31"/>
      <c r="NQ995" s="31"/>
      <c r="NR995" s="31"/>
      <c r="NS995" s="31"/>
      <c r="NT995" s="31"/>
      <c r="NU995" s="31"/>
      <c r="NV995" s="31"/>
      <c r="NW995" s="31"/>
      <c r="NX995" s="31"/>
      <c r="NY995" s="31"/>
      <c r="NZ995" s="31"/>
      <c r="OA995" s="31"/>
      <c r="OB995" s="31"/>
      <c r="OC995" s="31"/>
      <c r="OD995" s="31"/>
      <c r="OE995" s="31"/>
      <c r="OF995" s="31"/>
      <c r="OG995" s="31"/>
      <c r="OH995" s="31"/>
      <c r="OI995" s="31"/>
      <c r="OJ995" s="31"/>
      <c r="OK995" s="31"/>
      <c r="OL995" s="31"/>
      <c r="OM995" s="31"/>
      <c r="ON995" s="31"/>
      <c r="OO995" s="31"/>
      <c r="OP995" s="31"/>
      <c r="OQ995" s="31"/>
      <c r="OR995" s="31"/>
      <c r="OS995" s="31"/>
      <c r="OT995" s="31"/>
      <c r="OU995" s="31"/>
      <c r="OV995" s="31"/>
      <c r="OW995" s="31"/>
      <c r="OX995" s="31"/>
      <c r="OY995" s="31"/>
      <c r="OZ995" s="31"/>
      <c r="PA995" s="31"/>
      <c r="PB995" s="31"/>
      <c r="PC995" s="31"/>
      <c r="PD995" s="31"/>
      <c r="PE995" s="31"/>
      <c r="PF995" s="31"/>
      <c r="PG995" s="31"/>
      <c r="PH995" s="31"/>
      <c r="PI995" s="31"/>
      <c r="PJ995" s="31"/>
      <c r="PK995" s="31"/>
      <c r="PL995" s="31"/>
      <c r="PM995" s="31"/>
      <c r="PN995" s="31"/>
      <c r="PO995" s="31"/>
      <c r="PP995" s="31"/>
      <c r="PQ995" s="31"/>
      <c r="PR995" s="31"/>
      <c r="PS995" s="31"/>
      <c r="PT995" s="31"/>
      <c r="PU995" s="31"/>
      <c r="PV995" s="31"/>
      <c r="PW995" s="31"/>
      <c r="PX995" s="31"/>
      <c r="PY995" s="31"/>
      <c r="PZ995" s="31"/>
      <c r="QA995" s="31"/>
      <c r="QB995" s="31"/>
      <c r="QC995" s="31"/>
      <c r="QD995" s="31"/>
      <c r="QE995" s="31"/>
      <c r="QF995" s="31"/>
      <c r="QG995" s="31"/>
      <c r="QH995" s="31"/>
      <c r="QI995" s="31"/>
      <c r="QJ995" s="31"/>
      <c r="QK995" s="31"/>
      <c r="QL995" s="31"/>
      <c r="QM995" s="31"/>
      <c r="QN995" s="31"/>
      <c r="QO995" s="31"/>
      <c r="QP995" s="31"/>
      <c r="QQ995" s="31"/>
      <c r="QR995" s="31"/>
      <c r="QS995" s="31"/>
      <c r="QT995" s="31"/>
      <c r="QU995" s="31"/>
      <c r="QV995" s="31"/>
      <c r="QW995" s="31"/>
      <c r="QX995" s="31"/>
      <c r="QY995" s="31"/>
      <c r="QZ995" s="31"/>
      <c r="RA995" s="31"/>
      <c r="RB995" s="31"/>
      <c r="RC995" s="31"/>
      <c r="RD995" s="31"/>
      <c r="RE995" s="31"/>
      <c r="RF995" s="31"/>
      <c r="RG995" s="31"/>
      <c r="RH995" s="31"/>
      <c r="RI995" s="31"/>
      <c r="RJ995" s="31"/>
      <c r="RK995" s="31"/>
      <c r="RL995" s="31"/>
      <c r="RM995" s="31"/>
      <c r="RN995" s="31"/>
      <c r="RO995" s="31"/>
      <c r="RP995" s="31"/>
      <c r="RQ995" s="31"/>
      <c r="RR995" s="31"/>
      <c r="RS995" s="31"/>
      <c r="RT995" s="31"/>
      <c r="RU995" s="31"/>
      <c r="RV995" s="31"/>
      <c r="RW995" s="31"/>
      <c r="RX995" s="31"/>
      <c r="RY995" s="31"/>
      <c r="RZ995" s="31"/>
      <c r="SA995" s="31"/>
      <c r="SB995" s="31"/>
      <c r="SC995" s="31"/>
      <c r="SD995" s="31"/>
      <c r="SE995" s="31"/>
      <c r="SF995" s="31"/>
      <c r="SG995" s="31"/>
      <c r="SH995" s="31"/>
      <c r="SI995" s="31"/>
      <c r="SJ995" s="31"/>
      <c r="SK995" s="31"/>
      <c r="SL995" s="31"/>
      <c r="SM995" s="31"/>
      <c r="SN995" s="31"/>
      <c r="SO995" s="31"/>
      <c r="SP995" s="31"/>
      <c r="SQ995" s="31"/>
      <c r="SR995" s="31"/>
      <c r="SS995" s="31"/>
      <c r="ST995" s="31"/>
      <c r="SU995" s="31"/>
      <c r="SV995" s="31"/>
      <c r="SW995" s="31"/>
      <c r="SX995" s="31"/>
      <c r="SY995" s="31"/>
      <c r="SZ995" s="31"/>
      <c r="TA995" s="31"/>
      <c r="TB995" s="31"/>
      <c r="TC995" s="31"/>
      <c r="TD995" s="31"/>
      <c r="TE995" s="31"/>
      <c r="TF995" s="31"/>
      <c r="TG995" s="31"/>
      <c r="TH995" s="31"/>
      <c r="TI995" s="31"/>
      <c r="TJ995" s="31"/>
      <c r="TK995" s="31"/>
      <c r="TL995" s="31"/>
      <c r="TM995" s="31"/>
      <c r="TN995" s="31"/>
      <c r="TO995" s="31"/>
      <c r="TP995" s="31"/>
      <c r="TQ995" s="31"/>
      <c r="TR995" s="31"/>
      <c r="TS995" s="31"/>
      <c r="TT995" s="31"/>
      <c r="TU995" s="31"/>
      <c r="TV995" s="31"/>
      <c r="TW995" s="31"/>
      <c r="TX995" s="31"/>
      <c r="TY995" s="31"/>
      <c r="TZ995" s="31"/>
      <c r="UA995" s="31"/>
      <c r="UB995" s="31"/>
      <c r="UC995" s="31"/>
      <c r="UD995" s="31"/>
      <c r="UE995" s="31"/>
      <c r="UF995" s="31"/>
      <c r="UG995" s="33"/>
    </row>
    <row r="996" spans="1:553" ht="43.5" customHeight="1">
      <c r="A996" s="356"/>
      <c r="B996" s="385" t="s">
        <v>1006</v>
      </c>
      <c r="C996" s="1401" t="s">
        <v>1007</v>
      </c>
      <c r="D996" s="1455"/>
      <c r="E996" s="1455"/>
      <c r="F996" s="1456"/>
      <c r="G996" s="386" t="s">
        <v>33</v>
      </c>
      <c r="H996" s="370"/>
      <c r="I996" s="422">
        <f>-9.4*10.4</f>
        <v>-97.76</v>
      </c>
      <c r="J996" s="368">
        <f>185700-137200</f>
        <v>48500</v>
      </c>
      <c r="K996" s="371"/>
      <c r="L996" s="391">
        <f t="shared" si="149"/>
        <v>-4741360</v>
      </c>
      <c r="M996" s="391"/>
      <c r="N996" s="731"/>
      <c r="O996" s="391"/>
      <c r="P996" s="391"/>
      <c r="Q996" s="1142"/>
      <c r="R996" s="1226"/>
      <c r="S996" s="308"/>
      <c r="T996" s="308"/>
      <c r="U996" s="308"/>
      <c r="V996" s="308"/>
      <c r="W996" s="308"/>
      <c r="X996" s="308"/>
      <c r="Y996" s="308"/>
      <c r="Z996" s="604"/>
      <c r="AA996" s="308"/>
      <c r="AB996" s="308"/>
      <c r="AC996" s="449"/>
      <c r="AD996" s="449"/>
      <c r="AE996" s="449"/>
      <c r="AF996" s="449"/>
      <c r="AG996" s="449"/>
      <c r="AH996" s="449"/>
      <c r="AI996" s="449"/>
      <c r="AJ996" s="449"/>
      <c r="AK996" s="452"/>
      <c r="AL996" s="104"/>
      <c r="AM996" s="104"/>
      <c r="AN996" s="104"/>
      <c r="AO996" s="104"/>
      <c r="AP996" s="104"/>
      <c r="AQ996" s="104"/>
      <c r="AR996" s="104"/>
      <c r="AS996" s="106"/>
      <c r="AT996" s="106"/>
      <c r="AU996" s="106"/>
      <c r="AV996" s="106"/>
      <c r="AW996" s="106"/>
      <c r="AX996" s="106"/>
      <c r="AY996" s="106"/>
      <c r="AZ996" s="106"/>
      <c r="BA996" s="106"/>
      <c r="BB996" s="106"/>
      <c r="BC996" s="106"/>
      <c r="BD996" s="106"/>
      <c r="BE996" s="106"/>
      <c r="BF996" s="106"/>
      <c r="BG996" s="106"/>
      <c r="BH996" s="106"/>
      <c r="BI996" s="106"/>
      <c r="BJ996" s="106"/>
      <c r="BK996" s="106"/>
      <c r="BL996" s="106"/>
      <c r="BM996" s="106"/>
      <c r="BN996" s="106"/>
      <c r="BO996" s="106"/>
      <c r="BP996" s="106"/>
      <c r="BQ996" s="106"/>
      <c r="BR996" s="106"/>
      <c r="BS996" s="106"/>
      <c r="BT996" s="106"/>
      <c r="BU996" s="106"/>
      <c r="BV996" s="106"/>
      <c r="BW996" s="106"/>
      <c r="BX996" s="106"/>
      <c r="BY996" s="106"/>
      <c r="BZ996" s="106"/>
      <c r="CA996" s="106"/>
      <c r="CB996" s="106"/>
      <c r="CC996" s="106"/>
      <c r="CD996" s="106"/>
      <c r="CE996" s="106"/>
      <c r="CF996" s="106"/>
      <c r="CG996" s="106"/>
      <c r="CH996" s="106"/>
      <c r="CI996" s="106"/>
      <c r="CJ996" s="106"/>
      <c r="CK996" s="106"/>
      <c r="CL996" s="106"/>
      <c r="CM996" s="106"/>
      <c r="CN996" s="106"/>
      <c r="CO996" s="106"/>
      <c r="CP996" s="106"/>
      <c r="CQ996" s="106"/>
      <c r="CR996" s="106"/>
      <c r="CS996" s="106"/>
      <c r="CT996" s="106"/>
      <c r="CU996" s="106"/>
      <c r="CV996" s="106"/>
      <c r="CW996" s="106"/>
      <c r="CX996" s="106"/>
      <c r="CY996" s="106"/>
      <c r="CZ996" s="106"/>
      <c r="DA996" s="106"/>
      <c r="DB996" s="106"/>
      <c r="DC996" s="106"/>
      <c r="DD996" s="106"/>
      <c r="DE996" s="106"/>
      <c r="DF996" s="106"/>
      <c r="DG996" s="106"/>
      <c r="DH996" s="106"/>
      <c r="DI996" s="106"/>
      <c r="DJ996" s="106"/>
      <c r="DK996" s="106"/>
      <c r="DL996" s="106"/>
      <c r="DM996" s="106"/>
      <c r="DN996" s="106"/>
      <c r="DO996" s="106"/>
      <c r="DP996" s="106"/>
      <c r="DQ996" s="106"/>
      <c r="DR996" s="106"/>
      <c r="DS996" s="106"/>
      <c r="DT996" s="106"/>
      <c r="DU996" s="106"/>
      <c r="DV996" s="106"/>
      <c r="DW996" s="106"/>
      <c r="DX996" s="106"/>
      <c r="DY996" s="106"/>
      <c r="DZ996" s="106"/>
      <c r="EA996" s="106"/>
      <c r="EB996" s="106"/>
      <c r="EC996" s="106"/>
      <c r="ED996" s="106"/>
      <c r="EE996" s="106"/>
      <c r="EF996" s="106"/>
      <c r="EG996" s="106"/>
      <c r="EH996" s="106"/>
      <c r="EI996" s="106"/>
      <c r="EJ996" s="106"/>
      <c r="EK996" s="106"/>
      <c r="EL996" s="106"/>
      <c r="EM996" s="106"/>
      <c r="EN996" s="106"/>
      <c r="EO996" s="106"/>
      <c r="EP996" s="106"/>
      <c r="EQ996" s="106"/>
      <c r="ER996" s="106"/>
      <c r="ES996" s="106"/>
      <c r="ET996" s="106"/>
      <c r="EU996" s="106"/>
      <c r="EV996" s="106"/>
      <c r="EW996" s="106"/>
      <c r="EX996" s="106"/>
      <c r="EY996" s="106"/>
      <c r="EZ996" s="106"/>
      <c r="FA996" s="106"/>
      <c r="FB996" s="106"/>
      <c r="FC996" s="106"/>
      <c r="FD996" s="106"/>
      <c r="FE996" s="106"/>
      <c r="FF996" s="106"/>
      <c r="FG996" s="106"/>
      <c r="FH996" s="106"/>
      <c r="FI996" s="106"/>
      <c r="FJ996" s="106"/>
      <c r="FK996" s="106"/>
      <c r="FL996" s="106"/>
      <c r="FM996" s="106"/>
      <c r="FN996" s="106"/>
      <c r="FO996" s="106"/>
      <c r="FP996" s="106"/>
      <c r="FQ996" s="106"/>
      <c r="FR996" s="106"/>
      <c r="FS996" s="106"/>
      <c r="FT996" s="106"/>
      <c r="FU996" s="106"/>
      <c r="FV996" s="106"/>
      <c r="FW996" s="106"/>
      <c r="FX996" s="106"/>
      <c r="FY996" s="106"/>
      <c r="FZ996" s="106"/>
      <c r="GA996" s="106"/>
      <c r="GB996" s="106"/>
      <c r="GC996" s="106"/>
      <c r="GD996" s="106"/>
      <c r="GE996" s="106"/>
      <c r="GF996" s="106"/>
      <c r="GG996" s="106"/>
      <c r="GH996" s="106"/>
      <c r="GI996" s="106"/>
      <c r="GJ996" s="106"/>
      <c r="GK996" s="106"/>
      <c r="GL996" s="106"/>
      <c r="GM996" s="106"/>
      <c r="GN996" s="106"/>
      <c r="GO996" s="106"/>
      <c r="GP996" s="106"/>
      <c r="GQ996" s="106"/>
      <c r="GR996" s="106"/>
      <c r="GS996" s="106"/>
      <c r="GT996" s="106"/>
      <c r="GU996" s="106"/>
      <c r="GV996" s="106"/>
      <c r="GW996" s="106"/>
      <c r="GX996" s="106"/>
      <c r="GY996" s="106"/>
      <c r="GZ996" s="106"/>
      <c r="HA996" s="106"/>
      <c r="HB996" s="106"/>
      <c r="HC996" s="106"/>
      <c r="HD996" s="106"/>
      <c r="HE996" s="106"/>
      <c r="HF996" s="106"/>
      <c r="HG996" s="106"/>
      <c r="HH996" s="106"/>
      <c r="HI996" s="106"/>
      <c r="HJ996" s="106"/>
      <c r="HK996" s="106"/>
      <c r="HL996" s="106"/>
      <c r="HM996" s="106"/>
      <c r="HN996" s="106"/>
      <c r="HO996" s="106"/>
      <c r="HP996" s="106"/>
      <c r="HQ996" s="106"/>
      <c r="HR996" s="106"/>
      <c r="HS996" s="106"/>
      <c r="HT996" s="106"/>
      <c r="HU996" s="106"/>
      <c r="HV996" s="106"/>
      <c r="HW996" s="106"/>
      <c r="HX996" s="106"/>
      <c r="HY996" s="106"/>
      <c r="HZ996" s="106"/>
      <c r="IA996" s="106"/>
      <c r="IB996" s="106"/>
      <c r="IC996" s="106"/>
      <c r="ID996" s="106"/>
      <c r="IE996" s="106"/>
      <c r="IF996" s="106"/>
      <c r="IG996" s="106"/>
      <c r="IH996" s="106"/>
      <c r="II996" s="106"/>
      <c r="IJ996" s="106"/>
      <c r="IK996" s="106"/>
      <c r="IL996" s="106"/>
      <c r="IM996" s="106"/>
      <c r="IN996" s="106"/>
      <c r="IO996" s="106"/>
      <c r="IP996" s="106"/>
      <c r="IQ996" s="106"/>
      <c r="IR996" s="106"/>
      <c r="IS996" s="106"/>
      <c r="IT996" s="106"/>
      <c r="IU996" s="106"/>
      <c r="IV996" s="106"/>
      <c r="IW996" s="106"/>
      <c r="IX996" s="106"/>
      <c r="IY996" s="106"/>
      <c r="IZ996" s="106"/>
      <c r="JA996" s="106"/>
      <c r="JB996" s="106"/>
      <c r="JC996" s="106"/>
      <c r="JD996" s="106"/>
      <c r="JE996" s="106"/>
      <c r="JF996" s="106"/>
      <c r="JG996" s="106"/>
      <c r="JH996" s="106"/>
      <c r="JI996" s="106"/>
      <c r="JJ996" s="106"/>
      <c r="JK996" s="106"/>
      <c r="JL996" s="106"/>
      <c r="JM996" s="106"/>
      <c r="JN996" s="106"/>
      <c r="JO996" s="106"/>
      <c r="JP996" s="106"/>
      <c r="JQ996" s="106"/>
      <c r="JR996" s="106"/>
      <c r="JS996" s="106"/>
      <c r="JT996" s="106"/>
      <c r="JU996" s="106"/>
      <c r="JV996" s="106"/>
      <c r="JW996" s="106"/>
      <c r="JX996" s="106"/>
      <c r="JY996" s="106"/>
      <c r="JZ996" s="106"/>
      <c r="KA996" s="106"/>
      <c r="KB996" s="106"/>
      <c r="KC996" s="106"/>
      <c r="KD996" s="106"/>
      <c r="KE996" s="106"/>
      <c r="KF996" s="106"/>
      <c r="KG996" s="106"/>
      <c r="KH996" s="106"/>
      <c r="KI996" s="106"/>
      <c r="KJ996" s="106"/>
      <c r="KK996" s="106"/>
      <c r="KL996" s="106"/>
      <c r="KM996" s="106"/>
      <c r="KN996" s="106"/>
      <c r="KO996" s="106"/>
      <c r="KP996" s="106"/>
      <c r="KQ996" s="106"/>
      <c r="KR996" s="106"/>
      <c r="KS996" s="106"/>
      <c r="KT996" s="106"/>
      <c r="KU996" s="106"/>
      <c r="KV996" s="106"/>
      <c r="KW996" s="106"/>
      <c r="KX996" s="106"/>
      <c r="KY996" s="106"/>
      <c r="KZ996" s="106"/>
      <c r="LA996" s="106"/>
      <c r="LB996" s="106"/>
      <c r="LC996" s="106"/>
      <c r="LD996" s="106"/>
      <c r="LE996" s="106"/>
      <c r="LF996" s="106"/>
      <c r="LG996" s="106"/>
      <c r="LH996" s="106"/>
      <c r="LI996" s="106"/>
      <c r="LJ996" s="106"/>
      <c r="LK996" s="106"/>
      <c r="LL996" s="106"/>
      <c r="LM996" s="106"/>
      <c r="LN996" s="106"/>
      <c r="LO996" s="106"/>
      <c r="LP996" s="106"/>
      <c r="LQ996" s="106"/>
      <c r="LR996" s="106"/>
      <c r="LS996" s="106"/>
      <c r="LT996" s="106"/>
      <c r="LU996" s="106"/>
      <c r="LV996" s="106"/>
      <c r="LW996" s="106"/>
      <c r="LX996" s="106"/>
      <c r="LY996" s="106"/>
      <c r="LZ996" s="106"/>
      <c r="MA996" s="106"/>
      <c r="MB996" s="106"/>
      <c r="MC996" s="106"/>
      <c r="MD996" s="106"/>
      <c r="ME996" s="106"/>
      <c r="MF996" s="106"/>
      <c r="MG996" s="106"/>
      <c r="MH996" s="106"/>
      <c r="MI996" s="106"/>
      <c r="MJ996" s="106"/>
      <c r="MK996" s="106"/>
      <c r="ML996" s="106"/>
      <c r="MM996" s="106"/>
      <c r="MN996" s="106"/>
      <c r="MO996" s="106"/>
      <c r="MP996" s="106"/>
      <c r="MQ996" s="106"/>
      <c r="MR996" s="106"/>
      <c r="MS996" s="106"/>
      <c r="MT996" s="106"/>
      <c r="MU996" s="106"/>
      <c r="MV996" s="106"/>
      <c r="MW996" s="106"/>
      <c r="MX996" s="106"/>
      <c r="MY996" s="106"/>
      <c r="MZ996" s="106"/>
      <c r="NA996" s="106"/>
      <c r="NB996" s="106"/>
      <c r="NC996" s="106"/>
      <c r="ND996" s="106"/>
      <c r="NE996" s="106"/>
      <c r="NF996" s="106"/>
      <c r="NG996" s="106"/>
      <c r="NH996" s="106"/>
      <c r="NI996" s="106"/>
      <c r="NJ996" s="106"/>
      <c r="NK996" s="106"/>
      <c r="NL996" s="106"/>
      <c r="NM996" s="106"/>
      <c r="NN996" s="106"/>
      <c r="NO996" s="106"/>
      <c r="NP996" s="106"/>
      <c r="NQ996" s="106"/>
      <c r="NR996" s="106"/>
      <c r="NS996" s="106"/>
      <c r="NT996" s="106"/>
      <c r="NU996" s="106"/>
      <c r="NV996" s="106"/>
      <c r="NW996" s="106"/>
      <c r="NX996" s="106"/>
      <c r="NY996" s="106"/>
      <c r="NZ996" s="106"/>
      <c r="OA996" s="106"/>
      <c r="OB996" s="106"/>
      <c r="OC996" s="106"/>
      <c r="OD996" s="106"/>
      <c r="OE996" s="106"/>
      <c r="OF996" s="106"/>
      <c r="OG996" s="106"/>
      <c r="OH996" s="106"/>
      <c r="OI996" s="106"/>
      <c r="OJ996" s="106"/>
      <c r="OK996" s="106"/>
      <c r="OL996" s="106"/>
      <c r="OM996" s="106"/>
      <c r="ON996" s="106"/>
      <c r="OO996" s="106"/>
      <c r="OP996" s="106"/>
      <c r="OQ996" s="106"/>
      <c r="OR996" s="106"/>
      <c r="OS996" s="106"/>
      <c r="OT996" s="106"/>
      <c r="OU996" s="106"/>
      <c r="OV996" s="106"/>
      <c r="OW996" s="106"/>
      <c r="OX996" s="106"/>
      <c r="OY996" s="106"/>
      <c r="OZ996" s="106"/>
      <c r="PA996" s="106"/>
      <c r="PB996" s="106"/>
      <c r="PC996" s="106"/>
      <c r="PD996" s="106"/>
      <c r="PE996" s="106"/>
      <c r="PF996" s="106"/>
      <c r="PG996" s="106"/>
      <c r="PH996" s="106"/>
      <c r="PI996" s="106"/>
      <c r="PJ996" s="106"/>
      <c r="PK996" s="106"/>
      <c r="PL996" s="106"/>
      <c r="PM996" s="106"/>
      <c r="PN996" s="106"/>
      <c r="PO996" s="106"/>
      <c r="PP996" s="106"/>
      <c r="PQ996" s="106"/>
      <c r="PR996" s="106"/>
      <c r="PS996" s="106"/>
      <c r="PT996" s="106"/>
      <c r="PU996" s="106"/>
      <c r="PV996" s="106"/>
      <c r="PW996" s="106"/>
      <c r="PX996" s="106"/>
      <c r="PY996" s="106"/>
      <c r="PZ996" s="106"/>
      <c r="QA996" s="106"/>
      <c r="QB996" s="106"/>
      <c r="QC996" s="106"/>
      <c r="QD996" s="106"/>
      <c r="QE996" s="106"/>
      <c r="QF996" s="106"/>
      <c r="QG996" s="106"/>
      <c r="QH996" s="106"/>
      <c r="QI996" s="106"/>
      <c r="QJ996" s="106"/>
      <c r="QK996" s="106"/>
      <c r="QL996" s="106"/>
      <c r="QM996" s="106"/>
      <c r="QN996" s="106"/>
      <c r="QO996" s="106"/>
      <c r="QP996" s="106"/>
      <c r="QQ996" s="106"/>
      <c r="QR996" s="106"/>
      <c r="QS996" s="106"/>
      <c r="QT996" s="106"/>
      <c r="QU996" s="106"/>
      <c r="QV996" s="106"/>
      <c r="QW996" s="106"/>
      <c r="QX996" s="106"/>
      <c r="QY996" s="106"/>
      <c r="QZ996" s="106"/>
      <c r="RA996" s="106"/>
      <c r="RB996" s="106"/>
      <c r="RC996" s="106"/>
      <c r="RD996" s="106"/>
      <c r="RE996" s="106"/>
      <c r="RF996" s="106"/>
      <c r="RG996" s="106"/>
      <c r="RH996" s="106"/>
      <c r="RI996" s="106"/>
      <c r="RJ996" s="106"/>
      <c r="RK996" s="106"/>
      <c r="RL996" s="106"/>
      <c r="RM996" s="106"/>
      <c r="RN996" s="106"/>
      <c r="RO996" s="106"/>
      <c r="RP996" s="106"/>
      <c r="RQ996" s="106"/>
      <c r="RR996" s="106"/>
      <c r="RS996" s="106"/>
      <c r="RT996" s="106"/>
      <c r="RU996" s="106"/>
      <c r="RV996" s="106"/>
      <c r="RW996" s="106"/>
      <c r="RX996" s="106"/>
      <c r="RY996" s="106"/>
      <c r="RZ996" s="106"/>
      <c r="SA996" s="106"/>
      <c r="SB996" s="106"/>
      <c r="SC996" s="106"/>
      <c r="SD996" s="106"/>
      <c r="SE996" s="106"/>
      <c r="SF996" s="106"/>
      <c r="SG996" s="106"/>
      <c r="SH996" s="106"/>
      <c r="SI996" s="106"/>
      <c r="SJ996" s="106"/>
      <c r="SK996" s="106"/>
      <c r="SL996" s="106"/>
      <c r="SM996" s="106"/>
      <c r="SN996" s="106"/>
      <c r="SO996" s="106"/>
      <c r="SP996" s="106"/>
      <c r="SQ996" s="106"/>
      <c r="SR996" s="106"/>
      <c r="SS996" s="106"/>
      <c r="ST996" s="106"/>
      <c r="SU996" s="106"/>
      <c r="SV996" s="106"/>
      <c r="SW996" s="106"/>
      <c r="SX996" s="106"/>
      <c r="SY996" s="106"/>
      <c r="SZ996" s="106"/>
      <c r="TA996" s="106"/>
      <c r="TB996" s="106"/>
      <c r="TC996" s="106"/>
      <c r="TD996" s="106"/>
      <c r="TE996" s="106"/>
      <c r="TF996" s="106"/>
      <c r="TG996" s="106"/>
      <c r="TH996" s="106"/>
      <c r="TI996" s="106"/>
      <c r="TJ996" s="106"/>
      <c r="TK996" s="106"/>
      <c r="TL996" s="106"/>
      <c r="TM996" s="106"/>
      <c r="TN996" s="106"/>
      <c r="TO996" s="106"/>
      <c r="TP996" s="106"/>
      <c r="TQ996" s="106"/>
      <c r="TR996" s="106"/>
      <c r="TS996" s="106"/>
      <c r="TT996" s="106"/>
      <c r="TU996" s="106"/>
      <c r="TV996" s="106"/>
      <c r="TW996" s="106"/>
      <c r="TX996" s="106"/>
      <c r="TY996" s="106"/>
      <c r="TZ996" s="106"/>
      <c r="UA996" s="106"/>
      <c r="UB996" s="106"/>
      <c r="UC996" s="106"/>
      <c r="UD996" s="106"/>
      <c r="UE996" s="106"/>
      <c r="UF996" s="106"/>
      <c r="UG996" s="33"/>
    </row>
    <row r="997" spans="1:553" ht="43.5" customHeight="1">
      <c r="A997" s="356"/>
      <c r="B997" s="385" t="s">
        <v>951</v>
      </c>
      <c r="C997" s="1401" t="s">
        <v>1008</v>
      </c>
      <c r="D997" s="1455"/>
      <c r="E997" s="1455"/>
      <c r="F997" s="1456"/>
      <c r="G997" s="386" t="s">
        <v>33</v>
      </c>
      <c r="H997" s="370"/>
      <c r="I997" s="422">
        <f>-7.9*2</f>
        <v>-15.8</v>
      </c>
      <c r="J997" s="368">
        <f>215000-130000</f>
        <v>85000</v>
      </c>
      <c r="K997" s="371"/>
      <c r="L997" s="391">
        <f t="shared" si="149"/>
        <v>-1343000</v>
      </c>
      <c r="M997" s="391"/>
      <c r="N997" s="391"/>
      <c r="O997" s="391"/>
      <c r="P997" s="391"/>
      <c r="Q997" s="1142"/>
      <c r="R997" s="1226"/>
      <c r="S997" s="308"/>
      <c r="T997" s="308"/>
      <c r="U997" s="308"/>
      <c r="V997" s="308"/>
      <c r="W997" s="308"/>
      <c r="X997" s="308"/>
      <c r="Y997" s="308"/>
      <c r="Z997" s="604"/>
      <c r="AA997" s="308"/>
      <c r="AB997" s="308"/>
      <c r="AC997" s="449"/>
      <c r="AD997" s="449"/>
      <c r="AE997" s="449"/>
      <c r="AF997" s="449"/>
      <c r="AG997" s="449"/>
      <c r="AH997" s="449"/>
      <c r="AI997" s="449"/>
      <c r="AJ997" s="449"/>
      <c r="AK997" s="452"/>
      <c r="AL997" s="104"/>
      <c r="AM997" s="104"/>
      <c r="AN997" s="104"/>
      <c r="AO997" s="104"/>
      <c r="AP997" s="104"/>
      <c r="AQ997" s="104"/>
      <c r="AR997" s="104"/>
      <c r="AS997" s="106"/>
      <c r="AT997" s="106"/>
      <c r="AU997" s="106"/>
      <c r="AV997" s="106"/>
      <c r="AW997" s="106"/>
      <c r="AX997" s="106"/>
      <c r="AY997" s="106"/>
      <c r="AZ997" s="106"/>
      <c r="BA997" s="106"/>
      <c r="BB997" s="106"/>
      <c r="BC997" s="106"/>
      <c r="BD997" s="106"/>
      <c r="BE997" s="106"/>
      <c r="BF997" s="106"/>
      <c r="BG997" s="106"/>
      <c r="BH997" s="106"/>
      <c r="BI997" s="106"/>
      <c r="BJ997" s="106"/>
      <c r="BK997" s="106"/>
      <c r="BL997" s="106"/>
      <c r="BM997" s="106"/>
      <c r="BN997" s="106"/>
      <c r="BO997" s="106"/>
      <c r="BP997" s="106"/>
      <c r="BQ997" s="106"/>
      <c r="BR997" s="106"/>
      <c r="BS997" s="106"/>
      <c r="BT997" s="106"/>
      <c r="BU997" s="106"/>
      <c r="BV997" s="106"/>
      <c r="BW997" s="106"/>
      <c r="BX997" s="106"/>
      <c r="BY997" s="106"/>
      <c r="BZ997" s="106"/>
      <c r="CA997" s="106"/>
      <c r="CB997" s="106"/>
      <c r="CC997" s="106"/>
      <c r="CD997" s="106"/>
      <c r="CE997" s="106"/>
      <c r="CF997" s="106"/>
      <c r="CG997" s="106"/>
      <c r="CH997" s="106"/>
      <c r="CI997" s="106"/>
      <c r="CJ997" s="106"/>
      <c r="CK997" s="106"/>
      <c r="CL997" s="106"/>
      <c r="CM997" s="106"/>
      <c r="CN997" s="106"/>
      <c r="CO997" s="106"/>
      <c r="CP997" s="106"/>
      <c r="CQ997" s="106"/>
      <c r="CR997" s="106"/>
      <c r="CS997" s="106"/>
      <c r="CT997" s="106"/>
      <c r="CU997" s="106"/>
      <c r="CV997" s="106"/>
      <c r="CW997" s="106"/>
      <c r="CX997" s="106"/>
      <c r="CY997" s="106"/>
      <c r="CZ997" s="106"/>
      <c r="DA997" s="106"/>
      <c r="DB997" s="106"/>
      <c r="DC997" s="106"/>
      <c r="DD997" s="106"/>
      <c r="DE997" s="106"/>
      <c r="DF997" s="106"/>
      <c r="DG997" s="106"/>
      <c r="DH997" s="106"/>
      <c r="DI997" s="106"/>
      <c r="DJ997" s="106"/>
      <c r="DK997" s="106"/>
      <c r="DL997" s="106"/>
      <c r="DM997" s="106"/>
      <c r="DN997" s="106"/>
      <c r="DO997" s="106"/>
      <c r="DP997" s="106"/>
      <c r="DQ997" s="106"/>
      <c r="DR997" s="106"/>
      <c r="DS997" s="106"/>
      <c r="DT997" s="106"/>
      <c r="DU997" s="106"/>
      <c r="DV997" s="106"/>
      <c r="DW997" s="106"/>
      <c r="DX997" s="106"/>
      <c r="DY997" s="106"/>
      <c r="DZ997" s="106"/>
      <c r="EA997" s="106"/>
      <c r="EB997" s="106"/>
      <c r="EC997" s="106"/>
      <c r="ED997" s="106"/>
      <c r="EE997" s="106"/>
      <c r="EF997" s="106"/>
      <c r="EG997" s="106"/>
      <c r="EH997" s="106"/>
      <c r="EI997" s="106"/>
      <c r="EJ997" s="106"/>
      <c r="EK997" s="106"/>
      <c r="EL997" s="106"/>
      <c r="EM997" s="106"/>
      <c r="EN997" s="106"/>
      <c r="EO997" s="106"/>
      <c r="EP997" s="106"/>
      <c r="EQ997" s="106"/>
      <c r="ER997" s="106"/>
      <c r="ES997" s="106"/>
      <c r="ET997" s="106"/>
      <c r="EU997" s="106"/>
      <c r="EV997" s="106"/>
      <c r="EW997" s="106"/>
      <c r="EX997" s="106"/>
      <c r="EY997" s="106"/>
      <c r="EZ997" s="106"/>
      <c r="FA997" s="106"/>
      <c r="FB997" s="106"/>
      <c r="FC997" s="106"/>
      <c r="FD997" s="106"/>
      <c r="FE997" s="106"/>
      <c r="FF997" s="106"/>
      <c r="FG997" s="106"/>
      <c r="FH997" s="106"/>
      <c r="FI997" s="106"/>
      <c r="FJ997" s="106"/>
      <c r="FK997" s="106"/>
      <c r="FL997" s="106"/>
      <c r="FM997" s="106"/>
      <c r="FN997" s="106"/>
      <c r="FO997" s="106"/>
      <c r="FP997" s="106"/>
      <c r="FQ997" s="106"/>
      <c r="FR997" s="106"/>
      <c r="FS997" s="106"/>
      <c r="FT997" s="106"/>
      <c r="FU997" s="106"/>
      <c r="FV997" s="106"/>
      <c r="FW997" s="106"/>
      <c r="FX997" s="106"/>
      <c r="FY997" s="106"/>
      <c r="FZ997" s="106"/>
      <c r="GA997" s="106"/>
      <c r="GB997" s="106"/>
      <c r="GC997" s="106"/>
      <c r="GD997" s="106"/>
      <c r="GE997" s="106"/>
      <c r="GF997" s="106"/>
      <c r="GG997" s="106"/>
      <c r="GH997" s="106"/>
      <c r="GI997" s="106"/>
      <c r="GJ997" s="106"/>
      <c r="GK997" s="106"/>
      <c r="GL997" s="106"/>
      <c r="GM997" s="106"/>
      <c r="GN997" s="106"/>
      <c r="GO997" s="106"/>
      <c r="GP997" s="106"/>
      <c r="GQ997" s="106"/>
      <c r="GR997" s="106"/>
      <c r="GS997" s="106"/>
      <c r="GT997" s="106"/>
      <c r="GU997" s="106"/>
      <c r="GV997" s="106"/>
      <c r="GW997" s="106"/>
      <c r="GX997" s="106"/>
      <c r="GY997" s="106"/>
      <c r="GZ997" s="106"/>
      <c r="HA997" s="106"/>
      <c r="HB997" s="106"/>
      <c r="HC997" s="106"/>
      <c r="HD997" s="106"/>
      <c r="HE997" s="106"/>
      <c r="HF997" s="106"/>
      <c r="HG997" s="106"/>
      <c r="HH997" s="106"/>
      <c r="HI997" s="106"/>
      <c r="HJ997" s="106"/>
      <c r="HK997" s="106"/>
      <c r="HL997" s="106"/>
      <c r="HM997" s="106"/>
      <c r="HN997" s="106"/>
      <c r="HO997" s="106"/>
      <c r="HP997" s="106"/>
      <c r="HQ997" s="106"/>
      <c r="HR997" s="106"/>
      <c r="HS997" s="106"/>
      <c r="HT997" s="106"/>
      <c r="HU997" s="106"/>
      <c r="HV997" s="106"/>
      <c r="HW997" s="106"/>
      <c r="HX997" s="106"/>
      <c r="HY997" s="106"/>
      <c r="HZ997" s="106"/>
      <c r="IA997" s="106"/>
      <c r="IB997" s="106"/>
      <c r="IC997" s="106"/>
      <c r="ID997" s="106"/>
      <c r="IE997" s="106"/>
      <c r="IF997" s="106"/>
      <c r="IG997" s="106"/>
      <c r="IH997" s="106"/>
      <c r="II997" s="106"/>
      <c r="IJ997" s="106"/>
      <c r="IK997" s="106"/>
      <c r="IL997" s="106"/>
      <c r="IM997" s="106"/>
      <c r="IN997" s="106"/>
      <c r="IO997" s="106"/>
      <c r="IP997" s="106"/>
      <c r="IQ997" s="106"/>
      <c r="IR997" s="106"/>
      <c r="IS997" s="106"/>
      <c r="IT997" s="106"/>
      <c r="IU997" s="106"/>
      <c r="IV997" s="106"/>
      <c r="IW997" s="106"/>
      <c r="IX997" s="106"/>
      <c r="IY997" s="106"/>
      <c r="IZ997" s="106"/>
      <c r="JA997" s="106"/>
      <c r="JB997" s="106"/>
      <c r="JC997" s="106"/>
      <c r="JD997" s="106"/>
      <c r="JE997" s="106"/>
      <c r="JF997" s="106"/>
      <c r="JG997" s="106"/>
      <c r="JH997" s="106"/>
      <c r="JI997" s="106"/>
      <c r="JJ997" s="106"/>
      <c r="JK997" s="106"/>
      <c r="JL997" s="106"/>
      <c r="JM997" s="106"/>
      <c r="JN997" s="106"/>
      <c r="JO997" s="106"/>
      <c r="JP997" s="106"/>
      <c r="JQ997" s="106"/>
      <c r="JR997" s="106"/>
      <c r="JS997" s="106"/>
      <c r="JT997" s="106"/>
      <c r="JU997" s="106"/>
      <c r="JV997" s="106"/>
      <c r="JW997" s="106"/>
      <c r="JX997" s="106"/>
      <c r="JY997" s="106"/>
      <c r="JZ997" s="106"/>
      <c r="KA997" s="106"/>
      <c r="KB997" s="106"/>
      <c r="KC997" s="106"/>
      <c r="KD997" s="106"/>
      <c r="KE997" s="106"/>
      <c r="KF997" s="106"/>
      <c r="KG997" s="106"/>
      <c r="KH997" s="106"/>
      <c r="KI997" s="106"/>
      <c r="KJ997" s="106"/>
      <c r="KK997" s="106"/>
      <c r="KL997" s="106"/>
      <c r="KM997" s="106"/>
      <c r="KN997" s="106"/>
      <c r="KO997" s="106"/>
      <c r="KP997" s="106"/>
      <c r="KQ997" s="106"/>
      <c r="KR997" s="106"/>
      <c r="KS997" s="106"/>
      <c r="KT997" s="106"/>
      <c r="KU997" s="106"/>
      <c r="KV997" s="106"/>
      <c r="KW997" s="106"/>
      <c r="KX997" s="106"/>
      <c r="KY997" s="106"/>
      <c r="KZ997" s="106"/>
      <c r="LA997" s="106"/>
      <c r="LB997" s="106"/>
      <c r="LC997" s="106"/>
      <c r="LD997" s="106"/>
      <c r="LE997" s="106"/>
      <c r="LF997" s="106"/>
      <c r="LG997" s="106"/>
      <c r="LH997" s="106"/>
      <c r="LI997" s="106"/>
      <c r="LJ997" s="106"/>
      <c r="LK997" s="106"/>
      <c r="LL997" s="106"/>
      <c r="LM997" s="106"/>
      <c r="LN997" s="106"/>
      <c r="LO997" s="106"/>
      <c r="LP997" s="106"/>
      <c r="LQ997" s="106"/>
      <c r="LR997" s="106"/>
      <c r="LS997" s="106"/>
      <c r="LT997" s="106"/>
      <c r="LU997" s="106"/>
      <c r="LV997" s="106"/>
      <c r="LW997" s="106"/>
      <c r="LX997" s="106"/>
      <c r="LY997" s="106"/>
      <c r="LZ997" s="106"/>
      <c r="MA997" s="106"/>
      <c r="MB997" s="106"/>
      <c r="MC997" s="106"/>
      <c r="MD997" s="106"/>
      <c r="ME997" s="106"/>
      <c r="MF997" s="106"/>
      <c r="MG997" s="106"/>
      <c r="MH997" s="106"/>
      <c r="MI997" s="106"/>
      <c r="MJ997" s="106"/>
      <c r="MK997" s="106"/>
      <c r="ML997" s="106"/>
      <c r="MM997" s="106"/>
      <c r="MN997" s="106"/>
      <c r="MO997" s="106"/>
      <c r="MP997" s="106"/>
      <c r="MQ997" s="106"/>
      <c r="MR997" s="106"/>
      <c r="MS997" s="106"/>
      <c r="MT997" s="106"/>
      <c r="MU997" s="106"/>
      <c r="MV997" s="106"/>
      <c r="MW997" s="106"/>
      <c r="MX997" s="106"/>
      <c r="MY997" s="106"/>
      <c r="MZ997" s="106"/>
      <c r="NA997" s="106"/>
      <c r="NB997" s="106"/>
      <c r="NC997" s="106"/>
      <c r="ND997" s="106"/>
      <c r="NE997" s="106"/>
      <c r="NF997" s="106"/>
      <c r="NG997" s="106"/>
      <c r="NH997" s="106"/>
      <c r="NI997" s="106"/>
      <c r="NJ997" s="106"/>
      <c r="NK997" s="106"/>
      <c r="NL997" s="106"/>
      <c r="NM997" s="106"/>
      <c r="NN997" s="106"/>
      <c r="NO997" s="106"/>
      <c r="NP997" s="106"/>
      <c r="NQ997" s="106"/>
      <c r="NR997" s="106"/>
      <c r="NS997" s="106"/>
      <c r="NT997" s="106"/>
      <c r="NU997" s="106"/>
      <c r="NV997" s="106"/>
      <c r="NW997" s="106"/>
      <c r="NX997" s="106"/>
      <c r="NY997" s="106"/>
      <c r="NZ997" s="106"/>
      <c r="OA997" s="106"/>
      <c r="OB997" s="106"/>
      <c r="OC997" s="106"/>
      <c r="OD997" s="106"/>
      <c r="OE997" s="106"/>
      <c r="OF997" s="106"/>
      <c r="OG997" s="106"/>
      <c r="OH997" s="106"/>
      <c r="OI997" s="106"/>
      <c r="OJ997" s="106"/>
      <c r="OK997" s="106"/>
      <c r="OL997" s="106"/>
      <c r="OM997" s="106"/>
      <c r="ON997" s="106"/>
      <c r="OO997" s="106"/>
      <c r="OP997" s="106"/>
      <c r="OQ997" s="106"/>
      <c r="OR997" s="106"/>
      <c r="OS997" s="106"/>
      <c r="OT997" s="106"/>
      <c r="OU997" s="106"/>
      <c r="OV997" s="106"/>
      <c r="OW997" s="106"/>
      <c r="OX997" s="106"/>
      <c r="OY997" s="106"/>
      <c r="OZ997" s="106"/>
      <c r="PA997" s="106"/>
      <c r="PB997" s="106"/>
      <c r="PC997" s="106"/>
      <c r="PD997" s="106"/>
      <c r="PE997" s="106"/>
      <c r="PF997" s="106"/>
      <c r="PG997" s="106"/>
      <c r="PH997" s="106"/>
      <c r="PI997" s="106"/>
      <c r="PJ997" s="106"/>
      <c r="PK997" s="106"/>
      <c r="PL997" s="106"/>
      <c r="PM997" s="106"/>
      <c r="PN997" s="106"/>
      <c r="PO997" s="106"/>
      <c r="PP997" s="106"/>
      <c r="PQ997" s="106"/>
      <c r="PR997" s="106"/>
      <c r="PS997" s="106"/>
      <c r="PT997" s="106"/>
      <c r="PU997" s="106"/>
      <c r="PV997" s="106"/>
      <c r="PW997" s="106"/>
      <c r="PX997" s="106"/>
      <c r="PY997" s="106"/>
      <c r="PZ997" s="106"/>
      <c r="QA997" s="106"/>
      <c r="QB997" s="106"/>
      <c r="QC997" s="106"/>
      <c r="QD997" s="106"/>
      <c r="QE997" s="106"/>
      <c r="QF997" s="106"/>
      <c r="QG997" s="106"/>
      <c r="QH997" s="106"/>
      <c r="QI997" s="106"/>
      <c r="QJ997" s="106"/>
      <c r="QK997" s="106"/>
      <c r="QL997" s="106"/>
      <c r="QM997" s="106"/>
      <c r="QN997" s="106"/>
      <c r="QO997" s="106"/>
      <c r="QP997" s="106"/>
      <c r="QQ997" s="106"/>
      <c r="QR997" s="106"/>
      <c r="QS997" s="106"/>
      <c r="QT997" s="106"/>
      <c r="QU997" s="106"/>
      <c r="QV997" s="106"/>
      <c r="QW997" s="106"/>
      <c r="QX997" s="106"/>
      <c r="QY997" s="106"/>
      <c r="QZ997" s="106"/>
      <c r="RA997" s="106"/>
      <c r="RB997" s="106"/>
      <c r="RC997" s="106"/>
      <c r="RD997" s="106"/>
      <c r="RE997" s="106"/>
      <c r="RF997" s="106"/>
      <c r="RG997" s="106"/>
      <c r="RH997" s="106"/>
      <c r="RI997" s="106"/>
      <c r="RJ997" s="106"/>
      <c r="RK997" s="106"/>
      <c r="RL997" s="106"/>
      <c r="RM997" s="106"/>
      <c r="RN997" s="106"/>
      <c r="RO997" s="106"/>
      <c r="RP997" s="106"/>
      <c r="RQ997" s="106"/>
      <c r="RR997" s="106"/>
      <c r="RS997" s="106"/>
      <c r="RT997" s="106"/>
      <c r="RU997" s="106"/>
      <c r="RV997" s="106"/>
      <c r="RW997" s="106"/>
      <c r="RX997" s="106"/>
      <c r="RY997" s="106"/>
      <c r="RZ997" s="106"/>
      <c r="SA997" s="106"/>
      <c r="SB997" s="106"/>
      <c r="SC997" s="106"/>
      <c r="SD997" s="106"/>
      <c r="SE997" s="106"/>
      <c r="SF997" s="106"/>
      <c r="SG997" s="106"/>
      <c r="SH997" s="106"/>
      <c r="SI997" s="106"/>
      <c r="SJ997" s="106"/>
      <c r="SK997" s="106"/>
      <c r="SL997" s="106"/>
      <c r="SM997" s="106"/>
      <c r="SN997" s="106"/>
      <c r="SO997" s="106"/>
      <c r="SP997" s="106"/>
      <c r="SQ997" s="106"/>
      <c r="SR997" s="106"/>
      <c r="SS997" s="106"/>
      <c r="ST997" s="106"/>
      <c r="SU997" s="106"/>
      <c r="SV997" s="106"/>
      <c r="SW997" s="106"/>
      <c r="SX997" s="106"/>
      <c r="SY997" s="106"/>
      <c r="SZ997" s="106"/>
      <c r="TA997" s="106"/>
      <c r="TB997" s="106"/>
      <c r="TC997" s="106"/>
      <c r="TD997" s="106"/>
      <c r="TE997" s="106"/>
      <c r="TF997" s="106"/>
      <c r="TG997" s="106"/>
      <c r="TH997" s="106"/>
      <c r="TI997" s="106"/>
      <c r="TJ997" s="106"/>
      <c r="TK997" s="106"/>
      <c r="TL997" s="106"/>
      <c r="TM997" s="106"/>
      <c r="TN997" s="106"/>
      <c r="TO997" s="106"/>
      <c r="TP997" s="106"/>
      <c r="TQ997" s="106"/>
      <c r="TR997" s="106"/>
      <c r="TS997" s="106"/>
      <c r="TT997" s="106"/>
      <c r="TU997" s="106"/>
      <c r="TV997" s="106"/>
      <c r="TW997" s="106"/>
      <c r="TX997" s="106"/>
      <c r="TY997" s="106"/>
      <c r="TZ997" s="106"/>
      <c r="UA997" s="106"/>
      <c r="UB997" s="106"/>
      <c r="UC997" s="106"/>
      <c r="UD997" s="106"/>
      <c r="UE997" s="106"/>
      <c r="UF997" s="106"/>
      <c r="UG997" s="33"/>
    </row>
    <row r="998" spans="1:553" ht="43.5" customHeight="1">
      <c r="A998" s="356"/>
      <c r="B998" s="385" t="s">
        <v>31</v>
      </c>
      <c r="C998" s="1414" t="s">
        <v>1287</v>
      </c>
      <c r="D998" s="1389"/>
      <c r="E998" s="1389"/>
      <c r="F998" s="1390"/>
      <c r="G998" s="386" t="s">
        <v>34</v>
      </c>
      <c r="H998" s="370"/>
      <c r="I998" s="417">
        <f>(9.8*0.6*0.11)</f>
        <v>0.64680000000000004</v>
      </c>
      <c r="J998" s="368">
        <v>1913917</v>
      </c>
      <c r="K998" s="371"/>
      <c r="L998" s="391">
        <f t="shared" si="149"/>
        <v>1237922</v>
      </c>
      <c r="M998" s="395"/>
      <c r="N998" s="395"/>
      <c r="O998" s="366"/>
      <c r="P998" s="396"/>
      <c r="Q998" s="473"/>
      <c r="R998" s="1039"/>
      <c r="S998" s="308"/>
      <c r="T998" s="308"/>
      <c r="U998" s="308"/>
      <c r="V998" s="308"/>
      <c r="W998" s="308"/>
      <c r="X998" s="308"/>
      <c r="Y998" s="308"/>
      <c r="Z998" s="604"/>
      <c r="AA998" s="308"/>
      <c r="AB998" s="308"/>
      <c r="AC998" s="373"/>
      <c r="AD998" s="373"/>
      <c r="AE998" s="373"/>
      <c r="AF998" s="373"/>
      <c r="AG998" s="389"/>
      <c r="AH998" s="389"/>
      <c r="AI998" s="389"/>
      <c r="AJ998" s="389"/>
      <c r="AK998" s="389"/>
      <c r="AL998" s="100"/>
      <c r="AM998" s="27"/>
      <c r="AN998" s="27"/>
      <c r="AO998" s="27"/>
      <c r="AP998" s="27"/>
      <c r="AQ998" s="22"/>
      <c r="AR998" s="22"/>
      <c r="AS998" s="22"/>
      <c r="AT998" s="22"/>
      <c r="AU998" s="22"/>
      <c r="AV998" s="22"/>
      <c r="AW998" s="22"/>
      <c r="AX998" s="22"/>
      <c r="AY998" s="22"/>
      <c r="AZ998" s="22"/>
      <c r="BA998" s="22"/>
      <c r="BB998" s="22"/>
      <c r="BC998" s="22"/>
      <c r="BD998" s="22"/>
      <c r="BE998" s="22"/>
      <c r="BF998" s="22"/>
      <c r="BG998" s="22"/>
      <c r="BH998" s="22"/>
      <c r="BI998" s="22"/>
      <c r="BJ998" s="22"/>
      <c r="BK998" s="22"/>
      <c r="BL998" s="22"/>
      <c r="BM998" s="22"/>
      <c r="BN998" s="22"/>
      <c r="BO998" s="22"/>
      <c r="BP998" s="22"/>
      <c r="BQ998" s="22"/>
      <c r="BR998" s="22"/>
      <c r="BS998" s="22"/>
      <c r="BT998" s="22"/>
      <c r="BU998" s="22"/>
      <c r="BV998" s="22"/>
      <c r="BW998" s="22"/>
      <c r="BX998" s="22"/>
      <c r="BY998" s="22"/>
      <c r="BZ998" s="22"/>
      <c r="CA998" s="22"/>
      <c r="CB998" s="22"/>
      <c r="CC998" s="22"/>
      <c r="CD998" s="22"/>
      <c r="CE998" s="22"/>
      <c r="CF998" s="22"/>
      <c r="CG998" s="22"/>
      <c r="CH998" s="22"/>
      <c r="CI998" s="22"/>
      <c r="CJ998" s="22"/>
      <c r="CK998" s="22"/>
      <c r="CL998" s="22"/>
      <c r="CM998" s="22"/>
      <c r="CN998" s="22"/>
      <c r="CO998" s="22"/>
      <c r="CP998" s="22"/>
      <c r="CQ998" s="22"/>
      <c r="CR998" s="22"/>
      <c r="CS998" s="22"/>
      <c r="CT998" s="22"/>
      <c r="CU998" s="22"/>
      <c r="CV998" s="22"/>
      <c r="CW998" s="22"/>
      <c r="CX998" s="22"/>
      <c r="CY998" s="22"/>
      <c r="CZ998" s="22"/>
      <c r="DA998" s="22"/>
      <c r="DB998" s="22"/>
      <c r="DC998" s="22"/>
      <c r="DD998" s="22"/>
      <c r="DE998" s="22"/>
      <c r="DF998" s="22"/>
      <c r="DG998" s="22"/>
      <c r="DH998" s="22"/>
      <c r="DI998" s="22"/>
      <c r="DJ998" s="22"/>
      <c r="DK998" s="22"/>
      <c r="DL998" s="22"/>
      <c r="DM998" s="22"/>
      <c r="DN998" s="22"/>
      <c r="DO998" s="22"/>
      <c r="DP998" s="22"/>
      <c r="DQ998" s="22"/>
      <c r="DR998" s="22"/>
      <c r="DS998" s="22"/>
      <c r="DT998" s="22"/>
      <c r="DU998" s="22"/>
      <c r="DV998" s="22"/>
      <c r="DW998" s="22"/>
      <c r="DX998" s="22"/>
      <c r="DY998" s="22"/>
      <c r="DZ998" s="22"/>
      <c r="EA998" s="22"/>
      <c r="EB998" s="22"/>
      <c r="EC998" s="22"/>
      <c r="ED998" s="22"/>
      <c r="EE998" s="22"/>
      <c r="EF998" s="22"/>
      <c r="EG998" s="22"/>
      <c r="EH998" s="22"/>
      <c r="EI998" s="22"/>
      <c r="EJ998" s="22"/>
      <c r="EK998" s="22"/>
      <c r="EL998" s="22"/>
      <c r="EM998" s="22"/>
      <c r="EN998" s="22"/>
      <c r="EO998" s="22"/>
      <c r="EP998" s="22"/>
      <c r="EQ998" s="22"/>
      <c r="ER998" s="22"/>
      <c r="ES998" s="22"/>
      <c r="ET998" s="22"/>
      <c r="EU998" s="22"/>
      <c r="EV998" s="22"/>
      <c r="EW998" s="22"/>
      <c r="EX998" s="22"/>
      <c r="EY998" s="22"/>
      <c r="EZ998" s="22"/>
      <c r="FA998" s="22"/>
      <c r="FB998" s="22"/>
      <c r="FC998" s="22"/>
      <c r="FD998" s="22"/>
      <c r="FE998" s="22"/>
      <c r="FF998" s="22"/>
      <c r="FG998" s="22"/>
      <c r="FH998" s="22"/>
      <c r="FI998" s="22"/>
      <c r="FJ998" s="22"/>
      <c r="FK998" s="22"/>
      <c r="FL998" s="22"/>
      <c r="FM998" s="22"/>
      <c r="FN998" s="22"/>
      <c r="FO998" s="22"/>
      <c r="FP998" s="22"/>
      <c r="FQ998" s="22"/>
      <c r="FR998" s="22"/>
      <c r="FS998" s="22"/>
      <c r="FT998" s="22"/>
      <c r="FU998" s="22"/>
      <c r="FV998" s="22"/>
      <c r="FW998" s="22"/>
      <c r="FX998" s="22"/>
      <c r="FY998" s="22"/>
      <c r="FZ998" s="22"/>
      <c r="GA998" s="22"/>
      <c r="GB998" s="22"/>
      <c r="GC998" s="22"/>
      <c r="GD998" s="22"/>
      <c r="GE998" s="22"/>
      <c r="GF998" s="22"/>
      <c r="GG998" s="22"/>
      <c r="GH998" s="22"/>
      <c r="GI998" s="22"/>
      <c r="GJ998" s="22"/>
      <c r="GK998" s="22"/>
      <c r="GL998" s="22"/>
      <c r="GM998" s="22"/>
      <c r="GN998" s="22"/>
      <c r="GO998" s="22"/>
      <c r="GP998" s="22"/>
      <c r="GQ998" s="22"/>
      <c r="GR998" s="22"/>
      <c r="GS998" s="22"/>
      <c r="GT998" s="22"/>
      <c r="GU998" s="22"/>
      <c r="GV998" s="22"/>
      <c r="GW998" s="22"/>
      <c r="GX998" s="22"/>
      <c r="GY998" s="22"/>
      <c r="GZ998" s="22"/>
      <c r="HA998" s="22"/>
      <c r="HB998" s="22"/>
      <c r="HC998" s="22"/>
      <c r="HD998" s="22"/>
      <c r="HE998" s="22"/>
      <c r="HF998" s="22"/>
      <c r="HG998" s="22"/>
      <c r="HH998" s="22"/>
      <c r="HI998" s="22"/>
      <c r="HJ998" s="22"/>
      <c r="HK998" s="22"/>
      <c r="HL998" s="22"/>
      <c r="HM998" s="22"/>
      <c r="HN998" s="22"/>
      <c r="HO998" s="22"/>
      <c r="HP998" s="22"/>
      <c r="HQ998" s="22"/>
      <c r="HR998" s="22"/>
      <c r="HS998" s="22"/>
      <c r="HT998" s="22"/>
      <c r="HU998" s="22"/>
      <c r="HV998" s="22"/>
      <c r="HW998" s="22"/>
      <c r="HX998" s="22"/>
      <c r="HY998" s="22"/>
      <c r="HZ998" s="22"/>
      <c r="IA998" s="22"/>
      <c r="IB998" s="22"/>
      <c r="IC998" s="22"/>
      <c r="ID998" s="22"/>
      <c r="IE998" s="22"/>
      <c r="IF998" s="22"/>
      <c r="IG998" s="22"/>
      <c r="IH998" s="22"/>
      <c r="II998" s="22"/>
      <c r="IJ998" s="22"/>
      <c r="IK998" s="22"/>
      <c r="IL998" s="22"/>
      <c r="IM998" s="22"/>
      <c r="IN998" s="22"/>
      <c r="IO998" s="22"/>
      <c r="IP998" s="22"/>
      <c r="IQ998" s="22"/>
      <c r="IR998" s="22"/>
      <c r="IS998" s="22"/>
      <c r="IT998" s="22"/>
      <c r="IU998" s="22"/>
      <c r="IV998" s="22"/>
      <c r="IW998" s="22"/>
      <c r="IX998" s="22"/>
      <c r="IY998" s="22"/>
      <c r="IZ998" s="22"/>
      <c r="JA998" s="22"/>
      <c r="JB998" s="22"/>
      <c r="JC998" s="22"/>
      <c r="JD998" s="22"/>
      <c r="JE998" s="22"/>
      <c r="JF998" s="22"/>
      <c r="JG998" s="22"/>
      <c r="JH998" s="22"/>
      <c r="JI998" s="22"/>
      <c r="JJ998" s="22"/>
      <c r="JK998" s="22"/>
      <c r="JL998" s="22"/>
      <c r="JM998" s="22"/>
      <c r="JN998" s="22"/>
      <c r="JO998" s="22"/>
      <c r="JP998" s="22"/>
      <c r="JQ998" s="22"/>
      <c r="JR998" s="22"/>
      <c r="JS998" s="22"/>
      <c r="JT998" s="22"/>
      <c r="JU998" s="22"/>
      <c r="JV998" s="22"/>
      <c r="JW998" s="22"/>
      <c r="JX998" s="22"/>
      <c r="JY998" s="22"/>
      <c r="JZ998" s="22"/>
      <c r="KA998" s="22"/>
      <c r="KB998" s="22"/>
      <c r="KC998" s="22"/>
      <c r="KD998" s="22"/>
      <c r="KE998" s="22"/>
      <c r="KF998" s="22"/>
      <c r="KG998" s="22"/>
      <c r="KH998" s="22"/>
      <c r="KI998" s="22"/>
      <c r="KJ998" s="22"/>
      <c r="KK998" s="22"/>
      <c r="KL998" s="22"/>
      <c r="KM998" s="22"/>
      <c r="KN998" s="22"/>
      <c r="KO998" s="22"/>
      <c r="KP998" s="22"/>
      <c r="KQ998" s="22"/>
      <c r="KR998" s="22"/>
      <c r="KS998" s="22"/>
      <c r="KT998" s="22"/>
      <c r="KU998" s="22"/>
      <c r="KV998" s="22"/>
      <c r="KW998" s="22"/>
      <c r="KX998" s="22"/>
      <c r="KY998" s="22"/>
      <c r="KZ998" s="22"/>
      <c r="LA998" s="22"/>
      <c r="LB998" s="22"/>
      <c r="LC998" s="22"/>
      <c r="LD998" s="22"/>
      <c r="LE998" s="22"/>
      <c r="LF998" s="22"/>
      <c r="LG998" s="22"/>
      <c r="LH998" s="22"/>
      <c r="LI998" s="22"/>
      <c r="LJ998" s="22"/>
      <c r="LK998" s="22"/>
      <c r="LL998" s="22"/>
      <c r="LM998" s="22"/>
      <c r="LN998" s="22"/>
      <c r="LO998" s="22"/>
      <c r="LP998" s="22"/>
      <c r="LQ998" s="22"/>
      <c r="LR998" s="22"/>
      <c r="LS998" s="22"/>
      <c r="LT998" s="22"/>
      <c r="LU998" s="22"/>
      <c r="LV998" s="22"/>
      <c r="LW998" s="22"/>
      <c r="LX998" s="22"/>
      <c r="LY998" s="22"/>
      <c r="LZ998" s="22"/>
      <c r="MA998" s="22"/>
      <c r="MB998" s="22"/>
      <c r="MC998" s="22"/>
      <c r="MD998" s="22"/>
      <c r="ME998" s="22"/>
      <c r="MF998" s="22"/>
      <c r="MG998" s="22"/>
      <c r="MH998" s="22"/>
      <c r="MI998" s="22"/>
      <c r="MJ998" s="22"/>
      <c r="MK998" s="22"/>
      <c r="ML998" s="22"/>
      <c r="MM998" s="22"/>
      <c r="MN998" s="22"/>
      <c r="MO998" s="22"/>
      <c r="MP998" s="22"/>
      <c r="MQ998" s="22"/>
      <c r="MR998" s="22"/>
      <c r="MS998" s="22"/>
      <c r="MT998" s="22"/>
      <c r="MU998" s="22"/>
      <c r="MV998" s="22"/>
      <c r="MW998" s="22"/>
      <c r="MX998" s="22"/>
      <c r="MY998" s="22"/>
      <c r="MZ998" s="22"/>
      <c r="NA998" s="22"/>
      <c r="NB998" s="22"/>
      <c r="NC998" s="22"/>
      <c r="ND998" s="22"/>
      <c r="NE998" s="22"/>
      <c r="NF998" s="22"/>
      <c r="NG998" s="22"/>
      <c r="NH998" s="22"/>
      <c r="NI998" s="22"/>
      <c r="NJ998" s="22"/>
      <c r="NK998" s="22"/>
      <c r="NL998" s="22"/>
      <c r="NM998" s="22"/>
      <c r="NN998" s="22"/>
      <c r="NO998" s="22"/>
      <c r="NP998" s="22"/>
      <c r="NQ998" s="22"/>
      <c r="NR998" s="22"/>
      <c r="NS998" s="22"/>
      <c r="NT998" s="22"/>
      <c r="NU998" s="22"/>
      <c r="NV998" s="22"/>
      <c r="NW998" s="22"/>
      <c r="NX998" s="22"/>
      <c r="NY998" s="22"/>
      <c r="NZ998" s="22"/>
      <c r="OA998" s="22"/>
      <c r="OB998" s="22"/>
      <c r="OC998" s="22"/>
      <c r="OD998" s="22"/>
      <c r="OE998" s="22"/>
      <c r="OF998" s="22"/>
      <c r="OG998" s="22"/>
      <c r="OH998" s="22"/>
      <c r="OI998" s="22"/>
      <c r="OJ998" s="22"/>
      <c r="OK998" s="22"/>
      <c r="OL998" s="22"/>
      <c r="OM998" s="22"/>
      <c r="ON998" s="22"/>
      <c r="OO998" s="22"/>
      <c r="OP998" s="22"/>
      <c r="OQ998" s="22"/>
      <c r="OR998" s="22"/>
      <c r="OS998" s="22"/>
      <c r="OT998" s="22"/>
      <c r="OU998" s="22"/>
      <c r="OV998" s="22"/>
      <c r="OW998" s="22"/>
      <c r="OX998" s="22"/>
      <c r="OY998" s="22"/>
      <c r="OZ998" s="22"/>
      <c r="PA998" s="22"/>
      <c r="PB998" s="22"/>
      <c r="PC998" s="22"/>
      <c r="PD998" s="22"/>
      <c r="PE998" s="22"/>
      <c r="PF998" s="22"/>
      <c r="PG998" s="22"/>
      <c r="PH998" s="22"/>
      <c r="PI998" s="22"/>
      <c r="PJ998" s="22"/>
      <c r="PK998" s="22"/>
      <c r="PL998" s="22"/>
      <c r="PM998" s="22"/>
      <c r="PN998" s="22"/>
      <c r="PO998" s="22"/>
      <c r="PP998" s="22"/>
      <c r="PQ998" s="22"/>
      <c r="PR998" s="22"/>
      <c r="PS998" s="22"/>
      <c r="PT998" s="22"/>
      <c r="PU998" s="22"/>
      <c r="PV998" s="22"/>
      <c r="PW998" s="22"/>
      <c r="PX998" s="22"/>
      <c r="PY998" s="22"/>
      <c r="PZ998" s="22"/>
      <c r="QA998" s="22"/>
      <c r="QB998" s="22"/>
      <c r="QC998" s="22"/>
      <c r="QD998" s="22"/>
      <c r="QE998" s="22"/>
      <c r="QF998" s="22"/>
      <c r="QG998" s="22"/>
      <c r="QH998" s="22"/>
      <c r="QI998" s="22"/>
      <c r="QJ998" s="22"/>
      <c r="QK998" s="22"/>
      <c r="QL998" s="22"/>
      <c r="QM998" s="22"/>
      <c r="QN998" s="22"/>
      <c r="QO998" s="22"/>
      <c r="QP998" s="22"/>
      <c r="QQ998" s="22"/>
      <c r="QR998" s="22"/>
      <c r="QS998" s="22"/>
      <c r="QT998" s="22"/>
      <c r="QU998" s="22"/>
      <c r="QV998" s="22"/>
      <c r="QW998" s="22"/>
      <c r="QX998" s="22"/>
      <c r="QY998" s="22"/>
      <c r="QZ998" s="22"/>
      <c r="RA998" s="22"/>
      <c r="RB998" s="22"/>
      <c r="RC998" s="22"/>
      <c r="RD998" s="22"/>
      <c r="RE998" s="22"/>
      <c r="RF998" s="22"/>
      <c r="RG998" s="22"/>
      <c r="RH998" s="22"/>
      <c r="RI998" s="22"/>
      <c r="RJ998" s="22"/>
      <c r="RK998" s="22"/>
      <c r="RL998" s="22"/>
      <c r="RM998" s="22"/>
      <c r="RN998" s="22"/>
      <c r="RO998" s="22"/>
      <c r="RP998" s="22"/>
      <c r="RQ998" s="22"/>
      <c r="RR998" s="22"/>
      <c r="RS998" s="22"/>
      <c r="RT998" s="22"/>
      <c r="RU998" s="22"/>
      <c r="RV998" s="22"/>
      <c r="RW998" s="22"/>
      <c r="RX998" s="22"/>
      <c r="RY998" s="22"/>
      <c r="RZ998" s="22"/>
      <c r="SA998" s="22"/>
      <c r="SB998" s="22"/>
      <c r="SC998" s="22"/>
      <c r="SD998" s="22"/>
      <c r="SE998" s="22"/>
      <c r="SF998" s="22"/>
      <c r="SG998" s="22"/>
      <c r="SH998" s="22"/>
      <c r="SI998" s="22"/>
      <c r="SJ998" s="22"/>
      <c r="SK998" s="22"/>
      <c r="SL998" s="22"/>
      <c r="SM998" s="22"/>
      <c r="SN998" s="22"/>
      <c r="SO998" s="22"/>
      <c r="SP998" s="22"/>
      <c r="SQ998" s="22"/>
      <c r="SR998" s="22"/>
      <c r="SS998" s="22"/>
      <c r="ST998" s="22"/>
      <c r="SU998" s="22"/>
      <c r="SV998" s="22"/>
      <c r="SW998" s="22"/>
      <c r="SX998" s="22"/>
      <c r="SY998" s="22"/>
      <c r="SZ998" s="22"/>
      <c r="TA998" s="22"/>
      <c r="TB998" s="22"/>
      <c r="TC998" s="22"/>
      <c r="TD998" s="22"/>
      <c r="TE998" s="22"/>
      <c r="TF998" s="22"/>
      <c r="TG998" s="22"/>
      <c r="TH998" s="22"/>
      <c r="TI998" s="22"/>
      <c r="TJ998" s="22"/>
      <c r="TK998" s="22"/>
      <c r="TL998" s="22"/>
      <c r="TM998" s="22"/>
      <c r="TN998" s="22"/>
      <c r="TO998" s="22"/>
      <c r="TP998" s="22"/>
      <c r="TQ998" s="22"/>
      <c r="TR998" s="22"/>
      <c r="TS998" s="22"/>
      <c r="TT998" s="22"/>
      <c r="TU998" s="22"/>
      <c r="TV998" s="22"/>
      <c r="TW998" s="22"/>
      <c r="TX998" s="22"/>
      <c r="TY998" s="22"/>
      <c r="TZ998" s="22"/>
      <c r="UA998" s="22"/>
      <c r="UB998" s="22"/>
      <c r="UC998" s="22"/>
      <c r="UD998" s="22"/>
      <c r="UE998" s="22"/>
      <c r="UF998" s="22"/>
      <c r="UG998" s="23"/>
    </row>
    <row r="999" spans="1:553" ht="43.5" customHeight="1">
      <c r="A999" s="356"/>
      <c r="B999" s="385">
        <v>203</v>
      </c>
      <c r="C999" s="1414" t="s">
        <v>1286</v>
      </c>
      <c r="D999" s="1389"/>
      <c r="E999" s="1389"/>
      <c r="F999" s="1390"/>
      <c r="G999" s="386" t="s">
        <v>113</v>
      </c>
      <c r="H999" s="370"/>
      <c r="I999" s="417">
        <f>15.7*1.5/1.7</f>
        <v>13.852941176470587</v>
      </c>
      <c r="J999" s="368">
        <v>815000</v>
      </c>
      <c r="K999" s="371"/>
      <c r="L999" s="391">
        <f t="shared" si="149"/>
        <v>11290147</v>
      </c>
      <c r="M999" s="395"/>
      <c r="N999" s="395"/>
      <c r="O999" s="366"/>
      <c r="P999" s="396"/>
      <c r="Q999" s="473"/>
      <c r="R999" s="1039"/>
      <c r="S999" s="308"/>
      <c r="T999" s="308"/>
      <c r="U999" s="308"/>
      <c r="V999" s="308"/>
      <c r="W999" s="308"/>
      <c r="X999" s="308"/>
      <c r="Y999" s="308"/>
      <c r="Z999" s="604"/>
      <c r="AA999" s="308"/>
      <c r="AB999" s="308"/>
      <c r="AC999" s="373"/>
      <c r="AD999" s="373"/>
      <c r="AE999" s="373"/>
      <c r="AF999" s="373"/>
      <c r="AG999" s="389"/>
      <c r="AH999" s="389"/>
      <c r="AI999" s="389"/>
      <c r="AJ999" s="389"/>
      <c r="AK999" s="389"/>
      <c r="AL999" s="100"/>
      <c r="AM999" s="100"/>
      <c r="AN999" s="100"/>
      <c r="AO999" s="100"/>
      <c r="AP999" s="100"/>
      <c r="AQ999" s="101"/>
      <c r="AR999" s="101"/>
      <c r="AS999" s="101"/>
      <c r="AT999" s="101"/>
      <c r="AU999" s="101"/>
      <c r="AV999" s="101"/>
      <c r="AW999" s="101"/>
      <c r="AX999" s="101"/>
      <c r="AY999" s="101"/>
      <c r="AZ999" s="101"/>
      <c r="BA999" s="101"/>
      <c r="BB999" s="101"/>
      <c r="BC999" s="101"/>
      <c r="BD999" s="101"/>
      <c r="BE999" s="101"/>
      <c r="BF999" s="101"/>
      <c r="BG999" s="101"/>
      <c r="BH999" s="101"/>
      <c r="BI999" s="101"/>
      <c r="BJ999" s="101"/>
      <c r="BK999" s="101"/>
      <c r="BL999" s="101"/>
      <c r="BM999" s="101"/>
      <c r="BN999" s="101"/>
      <c r="BO999" s="101"/>
      <c r="BP999" s="101"/>
      <c r="BQ999" s="101"/>
      <c r="BR999" s="101"/>
      <c r="BS999" s="101"/>
      <c r="BT999" s="101"/>
      <c r="BU999" s="101"/>
      <c r="BV999" s="101"/>
      <c r="BW999" s="101"/>
      <c r="BX999" s="101"/>
      <c r="BY999" s="101"/>
      <c r="BZ999" s="101"/>
      <c r="CA999" s="101"/>
      <c r="CB999" s="101"/>
      <c r="CC999" s="101"/>
      <c r="CD999" s="101"/>
      <c r="CE999" s="101"/>
      <c r="CF999" s="101"/>
      <c r="CG999" s="101"/>
      <c r="CH999" s="101"/>
      <c r="CI999" s="101"/>
      <c r="CJ999" s="101"/>
      <c r="CK999" s="101"/>
      <c r="CL999" s="101"/>
      <c r="CM999" s="101"/>
      <c r="CN999" s="101"/>
      <c r="CO999" s="101"/>
      <c r="CP999" s="101"/>
      <c r="CQ999" s="101"/>
      <c r="CR999" s="101"/>
      <c r="CS999" s="101"/>
      <c r="CT999" s="101"/>
      <c r="CU999" s="101"/>
      <c r="CV999" s="101"/>
      <c r="CW999" s="101"/>
      <c r="CX999" s="101"/>
      <c r="CY999" s="101"/>
      <c r="CZ999" s="101"/>
      <c r="DA999" s="101"/>
      <c r="DB999" s="101"/>
      <c r="DC999" s="101"/>
      <c r="DD999" s="101"/>
      <c r="DE999" s="101"/>
      <c r="DF999" s="101"/>
      <c r="DG999" s="101"/>
      <c r="DH999" s="101"/>
      <c r="DI999" s="101"/>
      <c r="DJ999" s="101"/>
      <c r="DK999" s="101"/>
      <c r="DL999" s="101"/>
      <c r="DM999" s="101"/>
      <c r="DN999" s="101"/>
      <c r="DO999" s="101"/>
      <c r="DP999" s="101"/>
      <c r="DQ999" s="101"/>
      <c r="DR999" s="101"/>
      <c r="DS999" s="101"/>
      <c r="DT999" s="101"/>
      <c r="DU999" s="101"/>
      <c r="DV999" s="101"/>
      <c r="DW999" s="101"/>
      <c r="DX999" s="101"/>
      <c r="DY999" s="101"/>
      <c r="DZ999" s="101"/>
      <c r="EA999" s="101"/>
      <c r="EB999" s="101"/>
      <c r="EC999" s="101"/>
      <c r="ED999" s="101"/>
      <c r="EE999" s="101"/>
      <c r="EF999" s="101"/>
      <c r="EG999" s="101"/>
      <c r="EH999" s="101"/>
      <c r="EI999" s="101"/>
      <c r="EJ999" s="101"/>
      <c r="EK999" s="101"/>
      <c r="EL999" s="101"/>
      <c r="EM999" s="101"/>
      <c r="EN999" s="101"/>
      <c r="EO999" s="101"/>
      <c r="EP999" s="101"/>
      <c r="EQ999" s="101"/>
      <c r="ER999" s="101"/>
      <c r="ES999" s="101"/>
      <c r="ET999" s="101"/>
      <c r="EU999" s="101"/>
      <c r="EV999" s="101"/>
      <c r="EW999" s="101"/>
      <c r="EX999" s="101"/>
      <c r="EY999" s="101"/>
      <c r="EZ999" s="101"/>
      <c r="FA999" s="101"/>
      <c r="FB999" s="101"/>
      <c r="FC999" s="101"/>
      <c r="FD999" s="101"/>
      <c r="FE999" s="101"/>
      <c r="FF999" s="101"/>
      <c r="FG999" s="101"/>
      <c r="FH999" s="101"/>
      <c r="FI999" s="101"/>
      <c r="FJ999" s="101"/>
      <c r="FK999" s="101"/>
      <c r="FL999" s="101"/>
      <c r="FM999" s="101"/>
      <c r="FN999" s="101"/>
      <c r="FO999" s="101"/>
      <c r="FP999" s="101"/>
      <c r="FQ999" s="101"/>
      <c r="FR999" s="101"/>
      <c r="FS999" s="101"/>
      <c r="FT999" s="101"/>
      <c r="FU999" s="101"/>
      <c r="FV999" s="101"/>
      <c r="FW999" s="101"/>
      <c r="FX999" s="101"/>
      <c r="FY999" s="101"/>
      <c r="FZ999" s="101"/>
      <c r="GA999" s="101"/>
      <c r="GB999" s="101"/>
      <c r="GC999" s="101"/>
      <c r="GD999" s="101"/>
      <c r="GE999" s="101"/>
      <c r="GF999" s="101"/>
      <c r="GG999" s="101"/>
      <c r="GH999" s="101"/>
      <c r="GI999" s="101"/>
      <c r="GJ999" s="101"/>
      <c r="GK999" s="101"/>
      <c r="GL999" s="101"/>
      <c r="GM999" s="101"/>
      <c r="GN999" s="101"/>
      <c r="GO999" s="101"/>
      <c r="GP999" s="101"/>
      <c r="GQ999" s="101"/>
      <c r="GR999" s="101"/>
      <c r="GS999" s="101"/>
      <c r="GT999" s="101"/>
      <c r="GU999" s="101"/>
      <c r="GV999" s="101"/>
      <c r="GW999" s="101"/>
      <c r="GX999" s="101"/>
      <c r="GY999" s="101"/>
      <c r="GZ999" s="101"/>
      <c r="HA999" s="101"/>
      <c r="HB999" s="101"/>
      <c r="HC999" s="101"/>
      <c r="HD999" s="101"/>
      <c r="HE999" s="101"/>
      <c r="HF999" s="101"/>
      <c r="HG999" s="101"/>
      <c r="HH999" s="101"/>
      <c r="HI999" s="101"/>
      <c r="HJ999" s="101"/>
      <c r="HK999" s="101"/>
      <c r="HL999" s="101"/>
      <c r="HM999" s="101"/>
      <c r="HN999" s="101"/>
      <c r="HO999" s="101"/>
      <c r="HP999" s="101"/>
      <c r="HQ999" s="101"/>
      <c r="HR999" s="101"/>
      <c r="HS999" s="101"/>
      <c r="HT999" s="101"/>
      <c r="HU999" s="101"/>
      <c r="HV999" s="101"/>
      <c r="HW999" s="101"/>
      <c r="HX999" s="101"/>
      <c r="HY999" s="101"/>
      <c r="HZ999" s="101"/>
      <c r="IA999" s="101"/>
      <c r="IB999" s="101"/>
      <c r="IC999" s="101"/>
      <c r="ID999" s="101"/>
      <c r="IE999" s="101"/>
      <c r="IF999" s="101"/>
      <c r="IG999" s="101"/>
      <c r="IH999" s="101"/>
      <c r="II999" s="101"/>
      <c r="IJ999" s="101"/>
      <c r="IK999" s="101"/>
      <c r="IL999" s="101"/>
      <c r="IM999" s="101"/>
      <c r="IN999" s="101"/>
      <c r="IO999" s="101"/>
      <c r="IP999" s="101"/>
      <c r="IQ999" s="101"/>
      <c r="IR999" s="101"/>
      <c r="IS999" s="101"/>
      <c r="IT999" s="101"/>
      <c r="IU999" s="101"/>
      <c r="IV999" s="101"/>
      <c r="IW999" s="101"/>
      <c r="IX999" s="101"/>
      <c r="IY999" s="101"/>
      <c r="IZ999" s="101"/>
      <c r="JA999" s="101"/>
      <c r="JB999" s="101"/>
      <c r="JC999" s="101"/>
      <c r="JD999" s="101"/>
      <c r="JE999" s="101"/>
      <c r="JF999" s="101"/>
      <c r="JG999" s="101"/>
      <c r="JH999" s="101"/>
      <c r="JI999" s="101"/>
      <c r="JJ999" s="101"/>
      <c r="JK999" s="101"/>
      <c r="JL999" s="101"/>
      <c r="JM999" s="101"/>
      <c r="JN999" s="101"/>
      <c r="JO999" s="101"/>
      <c r="JP999" s="101"/>
      <c r="JQ999" s="101"/>
      <c r="JR999" s="101"/>
      <c r="JS999" s="101"/>
      <c r="JT999" s="101"/>
      <c r="JU999" s="101"/>
      <c r="JV999" s="101"/>
      <c r="JW999" s="101"/>
      <c r="JX999" s="101"/>
      <c r="JY999" s="101"/>
      <c r="JZ999" s="101"/>
      <c r="KA999" s="101"/>
      <c r="KB999" s="101"/>
      <c r="KC999" s="101"/>
      <c r="KD999" s="101"/>
      <c r="KE999" s="101"/>
      <c r="KF999" s="101"/>
      <c r="KG999" s="101"/>
      <c r="KH999" s="101"/>
      <c r="KI999" s="101"/>
      <c r="KJ999" s="101"/>
      <c r="KK999" s="101"/>
      <c r="KL999" s="101"/>
      <c r="KM999" s="101"/>
      <c r="KN999" s="101"/>
      <c r="KO999" s="101"/>
      <c r="KP999" s="101"/>
      <c r="KQ999" s="101"/>
      <c r="KR999" s="101"/>
      <c r="KS999" s="101"/>
      <c r="KT999" s="101"/>
      <c r="KU999" s="101"/>
      <c r="KV999" s="101"/>
      <c r="KW999" s="101"/>
      <c r="KX999" s="101"/>
      <c r="KY999" s="101"/>
      <c r="KZ999" s="101"/>
      <c r="LA999" s="101"/>
      <c r="LB999" s="101"/>
      <c r="LC999" s="101"/>
      <c r="LD999" s="101"/>
      <c r="LE999" s="101"/>
      <c r="LF999" s="101"/>
      <c r="LG999" s="101"/>
      <c r="LH999" s="101"/>
      <c r="LI999" s="101"/>
      <c r="LJ999" s="101"/>
      <c r="LK999" s="101"/>
      <c r="LL999" s="101"/>
      <c r="LM999" s="101"/>
      <c r="LN999" s="101"/>
      <c r="LO999" s="101"/>
      <c r="LP999" s="101"/>
      <c r="LQ999" s="101"/>
      <c r="LR999" s="101"/>
      <c r="LS999" s="101"/>
      <c r="LT999" s="101"/>
      <c r="LU999" s="101"/>
      <c r="LV999" s="101"/>
      <c r="LW999" s="101"/>
      <c r="LX999" s="101"/>
      <c r="LY999" s="101"/>
      <c r="LZ999" s="101"/>
      <c r="MA999" s="101"/>
      <c r="MB999" s="101"/>
      <c r="MC999" s="101"/>
      <c r="MD999" s="101"/>
      <c r="ME999" s="101"/>
      <c r="MF999" s="101"/>
      <c r="MG999" s="101"/>
      <c r="MH999" s="101"/>
      <c r="MI999" s="101"/>
      <c r="MJ999" s="101"/>
      <c r="MK999" s="101"/>
      <c r="ML999" s="101"/>
      <c r="MM999" s="101"/>
      <c r="MN999" s="101"/>
      <c r="MO999" s="101"/>
      <c r="MP999" s="101"/>
      <c r="MQ999" s="101"/>
      <c r="MR999" s="101"/>
      <c r="MS999" s="101"/>
      <c r="MT999" s="101"/>
      <c r="MU999" s="101"/>
      <c r="MV999" s="101"/>
      <c r="MW999" s="101"/>
      <c r="MX999" s="101"/>
      <c r="MY999" s="101"/>
      <c r="MZ999" s="101"/>
      <c r="NA999" s="101"/>
      <c r="NB999" s="101"/>
      <c r="NC999" s="101"/>
      <c r="ND999" s="101"/>
      <c r="NE999" s="101"/>
      <c r="NF999" s="101"/>
      <c r="NG999" s="101"/>
      <c r="NH999" s="101"/>
      <c r="NI999" s="101"/>
      <c r="NJ999" s="101"/>
      <c r="NK999" s="101"/>
      <c r="NL999" s="101"/>
      <c r="NM999" s="101"/>
      <c r="NN999" s="101"/>
      <c r="NO999" s="101"/>
      <c r="NP999" s="101"/>
      <c r="NQ999" s="101"/>
      <c r="NR999" s="101"/>
      <c r="NS999" s="101"/>
      <c r="NT999" s="101"/>
      <c r="NU999" s="101"/>
      <c r="NV999" s="101"/>
      <c r="NW999" s="101"/>
      <c r="NX999" s="101"/>
      <c r="NY999" s="101"/>
      <c r="NZ999" s="101"/>
      <c r="OA999" s="101"/>
      <c r="OB999" s="101"/>
      <c r="OC999" s="101"/>
      <c r="OD999" s="101"/>
      <c r="OE999" s="101"/>
      <c r="OF999" s="101"/>
      <c r="OG999" s="101"/>
      <c r="OH999" s="101"/>
      <c r="OI999" s="101"/>
      <c r="OJ999" s="101"/>
      <c r="OK999" s="101"/>
      <c r="OL999" s="101"/>
      <c r="OM999" s="101"/>
      <c r="ON999" s="101"/>
      <c r="OO999" s="101"/>
      <c r="OP999" s="101"/>
      <c r="OQ999" s="101"/>
      <c r="OR999" s="101"/>
      <c r="OS999" s="101"/>
      <c r="OT999" s="101"/>
      <c r="OU999" s="101"/>
      <c r="OV999" s="101"/>
      <c r="OW999" s="101"/>
      <c r="OX999" s="101"/>
      <c r="OY999" s="101"/>
      <c r="OZ999" s="101"/>
      <c r="PA999" s="101"/>
      <c r="PB999" s="101"/>
      <c r="PC999" s="101"/>
      <c r="PD999" s="101"/>
      <c r="PE999" s="101"/>
      <c r="PF999" s="101"/>
      <c r="PG999" s="101"/>
      <c r="PH999" s="101"/>
      <c r="PI999" s="101"/>
      <c r="PJ999" s="101"/>
      <c r="PK999" s="101"/>
      <c r="PL999" s="101"/>
      <c r="PM999" s="101"/>
      <c r="PN999" s="101"/>
      <c r="PO999" s="101"/>
      <c r="PP999" s="101"/>
      <c r="PQ999" s="101"/>
      <c r="PR999" s="101"/>
      <c r="PS999" s="101"/>
      <c r="PT999" s="101"/>
      <c r="PU999" s="101"/>
      <c r="PV999" s="101"/>
      <c r="PW999" s="101"/>
      <c r="PX999" s="101"/>
      <c r="PY999" s="101"/>
      <c r="PZ999" s="101"/>
      <c r="QA999" s="101"/>
      <c r="QB999" s="101"/>
      <c r="QC999" s="101"/>
      <c r="QD999" s="101"/>
      <c r="QE999" s="101"/>
      <c r="QF999" s="101"/>
      <c r="QG999" s="101"/>
      <c r="QH999" s="101"/>
      <c r="QI999" s="101"/>
      <c r="QJ999" s="101"/>
      <c r="QK999" s="101"/>
      <c r="QL999" s="101"/>
      <c r="QM999" s="101"/>
      <c r="QN999" s="101"/>
      <c r="QO999" s="101"/>
      <c r="QP999" s="101"/>
      <c r="QQ999" s="101"/>
      <c r="QR999" s="101"/>
      <c r="QS999" s="101"/>
      <c r="QT999" s="101"/>
      <c r="QU999" s="101"/>
      <c r="QV999" s="101"/>
      <c r="QW999" s="101"/>
      <c r="QX999" s="101"/>
      <c r="QY999" s="101"/>
      <c r="QZ999" s="101"/>
      <c r="RA999" s="101"/>
      <c r="RB999" s="101"/>
      <c r="RC999" s="101"/>
      <c r="RD999" s="101"/>
      <c r="RE999" s="101"/>
      <c r="RF999" s="101"/>
      <c r="RG999" s="101"/>
      <c r="RH999" s="101"/>
      <c r="RI999" s="101"/>
      <c r="RJ999" s="101"/>
      <c r="RK999" s="101"/>
      <c r="RL999" s="101"/>
      <c r="RM999" s="101"/>
      <c r="RN999" s="101"/>
      <c r="RO999" s="101"/>
      <c r="RP999" s="101"/>
      <c r="RQ999" s="101"/>
      <c r="RR999" s="101"/>
      <c r="RS999" s="101"/>
      <c r="RT999" s="101"/>
      <c r="RU999" s="101"/>
      <c r="RV999" s="101"/>
      <c r="RW999" s="101"/>
      <c r="RX999" s="101"/>
      <c r="RY999" s="101"/>
      <c r="RZ999" s="101"/>
      <c r="SA999" s="101"/>
      <c r="SB999" s="101"/>
      <c r="SC999" s="101"/>
      <c r="SD999" s="101"/>
      <c r="SE999" s="101"/>
      <c r="SF999" s="101"/>
      <c r="SG999" s="101"/>
      <c r="SH999" s="101"/>
      <c r="SI999" s="101"/>
      <c r="SJ999" s="101"/>
      <c r="SK999" s="101"/>
      <c r="SL999" s="101"/>
      <c r="SM999" s="101"/>
      <c r="SN999" s="101"/>
      <c r="SO999" s="101"/>
      <c r="SP999" s="101"/>
      <c r="SQ999" s="101"/>
      <c r="SR999" s="101"/>
      <c r="SS999" s="101"/>
      <c r="ST999" s="101"/>
      <c r="SU999" s="101"/>
      <c r="SV999" s="101"/>
      <c r="SW999" s="101"/>
      <c r="SX999" s="101"/>
      <c r="SY999" s="101"/>
      <c r="SZ999" s="101"/>
      <c r="TA999" s="101"/>
      <c r="TB999" s="101"/>
      <c r="TC999" s="101"/>
      <c r="TD999" s="101"/>
      <c r="TE999" s="101"/>
      <c r="TF999" s="101"/>
      <c r="TG999" s="101"/>
      <c r="TH999" s="101"/>
      <c r="TI999" s="101"/>
      <c r="TJ999" s="101"/>
      <c r="TK999" s="101"/>
      <c r="TL999" s="101"/>
      <c r="TM999" s="101"/>
      <c r="TN999" s="101"/>
      <c r="TO999" s="101"/>
      <c r="TP999" s="101"/>
      <c r="TQ999" s="101"/>
      <c r="TR999" s="101"/>
      <c r="TS999" s="101"/>
      <c r="TT999" s="101"/>
      <c r="TU999" s="101"/>
      <c r="TV999" s="101"/>
      <c r="TW999" s="101"/>
      <c r="TX999" s="101"/>
      <c r="TY999" s="101"/>
      <c r="TZ999" s="101"/>
      <c r="UA999" s="101"/>
      <c r="UB999" s="101"/>
      <c r="UC999" s="101"/>
      <c r="UD999" s="101"/>
      <c r="UE999" s="101"/>
      <c r="UF999" s="101"/>
      <c r="UG999" s="23"/>
    </row>
    <row r="1000" spans="1:553" s="120" customFormat="1" ht="43.5" customHeight="1">
      <c r="A1000" s="431" t="s">
        <v>30</v>
      </c>
      <c r="B1000" s="541">
        <v>2</v>
      </c>
      <c r="C1000" s="1402" t="s">
        <v>891</v>
      </c>
      <c r="D1000" s="1389"/>
      <c r="E1000" s="1389"/>
      <c r="F1000" s="1390"/>
      <c r="G1000" s="542" t="s">
        <v>33</v>
      </c>
      <c r="H1000" s="543"/>
      <c r="I1000" s="422">
        <f>-15.7*1.5</f>
        <v>-23.549999999999997</v>
      </c>
      <c r="J1000" s="990">
        <v>52000</v>
      </c>
      <c r="K1000" s="644"/>
      <c r="L1000" s="632">
        <f>J1000*I1000</f>
        <v>-1224599.9999999998</v>
      </c>
      <c r="M1000" s="637"/>
      <c r="N1000" s="637"/>
      <c r="O1000" s="544"/>
      <c r="P1000" s="638"/>
      <c r="Q1000" s="634"/>
      <c r="R1000" s="1164"/>
      <c r="S1000" s="308"/>
      <c r="T1000" s="308"/>
      <c r="U1000" s="308"/>
      <c r="V1000" s="308"/>
      <c r="W1000" s="308"/>
      <c r="X1000" s="308"/>
      <c r="Y1000" s="308"/>
      <c r="Z1000" s="604"/>
      <c r="AA1000" s="308"/>
      <c r="AB1000" s="308"/>
      <c r="AC1000" s="545"/>
      <c r="AD1000" s="545"/>
      <c r="AE1000" s="545"/>
      <c r="AF1000" s="545"/>
      <c r="AG1000" s="546"/>
      <c r="AH1000" s="546"/>
      <c r="AI1000" s="546"/>
      <c r="AJ1000" s="546"/>
      <c r="AK1000" s="546"/>
      <c r="AL1000" s="138"/>
      <c r="AM1000" s="138"/>
      <c r="AN1000" s="138"/>
      <c r="AO1000" s="138"/>
      <c r="AP1000" s="138"/>
      <c r="AQ1000" s="139"/>
      <c r="AR1000" s="139"/>
      <c r="AS1000" s="139"/>
      <c r="AT1000" s="139"/>
      <c r="AU1000" s="139"/>
      <c r="AV1000" s="139"/>
      <c r="AW1000" s="139"/>
      <c r="AX1000" s="139"/>
      <c r="AY1000" s="139"/>
      <c r="AZ1000" s="139"/>
      <c r="BA1000" s="139"/>
      <c r="BB1000" s="139"/>
      <c r="BC1000" s="139"/>
      <c r="BD1000" s="139"/>
      <c r="BE1000" s="139"/>
      <c r="BF1000" s="139"/>
      <c r="BG1000" s="139"/>
      <c r="BH1000" s="139"/>
      <c r="BI1000" s="139"/>
      <c r="BJ1000" s="139"/>
      <c r="BK1000" s="139"/>
      <c r="BL1000" s="139"/>
      <c r="BM1000" s="139"/>
      <c r="BN1000" s="139"/>
      <c r="BO1000" s="139"/>
      <c r="BP1000" s="139"/>
      <c r="BQ1000" s="139"/>
      <c r="BR1000" s="139"/>
      <c r="BS1000" s="139"/>
      <c r="BT1000" s="139"/>
      <c r="BU1000" s="139"/>
      <c r="BV1000" s="139"/>
      <c r="BW1000" s="139"/>
      <c r="BX1000" s="139"/>
      <c r="BY1000" s="139"/>
      <c r="BZ1000" s="139"/>
      <c r="CA1000" s="139"/>
      <c r="CB1000" s="139"/>
      <c r="CC1000" s="139"/>
      <c r="CD1000" s="139"/>
      <c r="CE1000" s="139"/>
      <c r="CF1000" s="139"/>
      <c r="CG1000" s="139"/>
      <c r="CH1000" s="139"/>
      <c r="CI1000" s="139"/>
      <c r="CJ1000" s="139"/>
      <c r="CK1000" s="139"/>
      <c r="CL1000" s="139"/>
      <c r="CM1000" s="139"/>
      <c r="CN1000" s="139"/>
      <c r="CO1000" s="139"/>
      <c r="CP1000" s="139"/>
      <c r="CQ1000" s="139"/>
      <c r="CR1000" s="139"/>
      <c r="CS1000" s="139"/>
      <c r="CT1000" s="139"/>
      <c r="CU1000" s="139"/>
      <c r="CV1000" s="139"/>
      <c r="CW1000" s="139"/>
      <c r="CX1000" s="139"/>
      <c r="CY1000" s="139"/>
      <c r="CZ1000" s="139"/>
      <c r="DA1000" s="139"/>
      <c r="DB1000" s="139"/>
      <c r="DC1000" s="139"/>
      <c r="DD1000" s="139"/>
      <c r="DE1000" s="139"/>
      <c r="DF1000" s="139"/>
      <c r="DG1000" s="139"/>
      <c r="DH1000" s="139"/>
      <c r="DI1000" s="139"/>
      <c r="DJ1000" s="139"/>
      <c r="DK1000" s="139"/>
      <c r="DL1000" s="139"/>
      <c r="DM1000" s="139"/>
      <c r="DN1000" s="139"/>
      <c r="DO1000" s="139"/>
      <c r="DP1000" s="139"/>
      <c r="DQ1000" s="139"/>
      <c r="DR1000" s="139"/>
      <c r="DS1000" s="139"/>
      <c r="DT1000" s="139"/>
      <c r="DU1000" s="139"/>
      <c r="DV1000" s="139"/>
      <c r="DW1000" s="139"/>
      <c r="DX1000" s="139"/>
      <c r="DY1000" s="139"/>
      <c r="DZ1000" s="139"/>
      <c r="EA1000" s="139"/>
      <c r="EB1000" s="139"/>
      <c r="EC1000" s="139"/>
      <c r="ED1000" s="139"/>
      <c r="EE1000" s="139"/>
      <c r="EF1000" s="139"/>
      <c r="EG1000" s="139"/>
      <c r="EH1000" s="139"/>
      <c r="EI1000" s="139"/>
      <c r="EJ1000" s="139"/>
      <c r="EK1000" s="139"/>
      <c r="EL1000" s="139"/>
      <c r="EM1000" s="139"/>
      <c r="EN1000" s="139"/>
      <c r="EO1000" s="139"/>
      <c r="EP1000" s="139"/>
      <c r="EQ1000" s="139"/>
      <c r="ER1000" s="139"/>
      <c r="ES1000" s="139"/>
      <c r="ET1000" s="139"/>
      <c r="EU1000" s="139"/>
      <c r="EV1000" s="139"/>
      <c r="EW1000" s="139"/>
      <c r="EX1000" s="139"/>
      <c r="EY1000" s="139"/>
      <c r="EZ1000" s="139"/>
      <c r="FA1000" s="139"/>
      <c r="FB1000" s="139"/>
      <c r="FC1000" s="139"/>
      <c r="FD1000" s="139"/>
      <c r="FE1000" s="139"/>
      <c r="FF1000" s="139"/>
      <c r="FG1000" s="139"/>
      <c r="FH1000" s="139"/>
      <c r="FI1000" s="139"/>
      <c r="FJ1000" s="139"/>
      <c r="FK1000" s="139"/>
      <c r="FL1000" s="139"/>
      <c r="FM1000" s="139"/>
      <c r="FN1000" s="139"/>
      <c r="FO1000" s="139"/>
      <c r="FP1000" s="139"/>
      <c r="FQ1000" s="139"/>
      <c r="FR1000" s="139"/>
      <c r="FS1000" s="139"/>
      <c r="FT1000" s="139"/>
      <c r="FU1000" s="139"/>
      <c r="FV1000" s="139"/>
      <c r="FW1000" s="139"/>
      <c r="FX1000" s="139"/>
      <c r="FY1000" s="139"/>
      <c r="FZ1000" s="139"/>
      <c r="GA1000" s="139"/>
      <c r="GB1000" s="139"/>
      <c r="GC1000" s="139"/>
      <c r="GD1000" s="139"/>
      <c r="GE1000" s="139"/>
      <c r="GF1000" s="139"/>
      <c r="GG1000" s="139"/>
      <c r="GH1000" s="139"/>
      <c r="GI1000" s="139"/>
      <c r="GJ1000" s="139"/>
      <c r="GK1000" s="139"/>
      <c r="GL1000" s="139"/>
      <c r="GM1000" s="139"/>
      <c r="GN1000" s="139"/>
      <c r="GO1000" s="139"/>
      <c r="GP1000" s="139"/>
      <c r="GQ1000" s="139"/>
      <c r="GR1000" s="139"/>
      <c r="GS1000" s="139"/>
      <c r="GT1000" s="139"/>
      <c r="GU1000" s="139"/>
      <c r="GV1000" s="139"/>
      <c r="GW1000" s="139"/>
      <c r="GX1000" s="139"/>
      <c r="GY1000" s="139"/>
      <c r="GZ1000" s="139"/>
      <c r="HA1000" s="139"/>
      <c r="HB1000" s="139"/>
      <c r="HC1000" s="139"/>
      <c r="HD1000" s="139"/>
      <c r="HE1000" s="139"/>
      <c r="HF1000" s="139"/>
      <c r="HG1000" s="139"/>
      <c r="HH1000" s="139"/>
      <c r="HI1000" s="139"/>
      <c r="HJ1000" s="139"/>
      <c r="HK1000" s="139"/>
      <c r="HL1000" s="139"/>
      <c r="HM1000" s="139"/>
      <c r="HN1000" s="139"/>
      <c r="HO1000" s="139"/>
      <c r="HP1000" s="139"/>
      <c r="HQ1000" s="139"/>
      <c r="HR1000" s="139"/>
      <c r="HS1000" s="139"/>
      <c r="HT1000" s="139"/>
      <c r="HU1000" s="139"/>
      <c r="HV1000" s="139"/>
      <c r="HW1000" s="139"/>
      <c r="HX1000" s="139"/>
      <c r="HY1000" s="139"/>
      <c r="HZ1000" s="139"/>
      <c r="IA1000" s="139"/>
      <c r="IB1000" s="139"/>
      <c r="IC1000" s="139"/>
      <c r="ID1000" s="139"/>
      <c r="IE1000" s="139"/>
      <c r="IF1000" s="139"/>
      <c r="IG1000" s="139"/>
      <c r="IH1000" s="139"/>
      <c r="II1000" s="139"/>
      <c r="IJ1000" s="139"/>
      <c r="IK1000" s="139"/>
      <c r="IL1000" s="139"/>
      <c r="IM1000" s="139"/>
      <c r="IN1000" s="139"/>
      <c r="IO1000" s="139"/>
      <c r="IP1000" s="139"/>
      <c r="IQ1000" s="139"/>
      <c r="IR1000" s="139"/>
      <c r="IS1000" s="139"/>
      <c r="IT1000" s="139"/>
      <c r="IU1000" s="139"/>
      <c r="IV1000" s="139"/>
      <c r="IW1000" s="139"/>
      <c r="IX1000" s="139"/>
      <c r="IY1000" s="139"/>
      <c r="IZ1000" s="139"/>
      <c r="JA1000" s="139"/>
      <c r="JB1000" s="139"/>
      <c r="JC1000" s="139"/>
      <c r="JD1000" s="139"/>
      <c r="JE1000" s="139"/>
      <c r="JF1000" s="139"/>
      <c r="JG1000" s="139"/>
      <c r="JH1000" s="139"/>
      <c r="JI1000" s="139"/>
      <c r="JJ1000" s="139"/>
      <c r="JK1000" s="139"/>
      <c r="JL1000" s="139"/>
      <c r="JM1000" s="139"/>
      <c r="JN1000" s="139"/>
      <c r="JO1000" s="139"/>
      <c r="JP1000" s="139"/>
      <c r="JQ1000" s="139"/>
      <c r="JR1000" s="139"/>
      <c r="JS1000" s="139"/>
      <c r="JT1000" s="139"/>
      <c r="JU1000" s="139"/>
      <c r="JV1000" s="139"/>
      <c r="JW1000" s="139"/>
      <c r="JX1000" s="139"/>
      <c r="JY1000" s="139"/>
      <c r="JZ1000" s="139"/>
      <c r="KA1000" s="139"/>
      <c r="KB1000" s="139"/>
      <c r="KC1000" s="139"/>
      <c r="KD1000" s="139"/>
      <c r="KE1000" s="139"/>
      <c r="KF1000" s="139"/>
      <c r="KG1000" s="139"/>
      <c r="KH1000" s="139"/>
      <c r="KI1000" s="139"/>
      <c r="KJ1000" s="139"/>
      <c r="KK1000" s="139"/>
      <c r="KL1000" s="139"/>
      <c r="KM1000" s="139"/>
      <c r="KN1000" s="139"/>
      <c r="KO1000" s="139"/>
      <c r="KP1000" s="139"/>
      <c r="KQ1000" s="139"/>
      <c r="KR1000" s="139"/>
      <c r="KS1000" s="139"/>
      <c r="KT1000" s="139"/>
      <c r="KU1000" s="139"/>
      <c r="KV1000" s="139"/>
      <c r="KW1000" s="139"/>
      <c r="KX1000" s="139"/>
      <c r="KY1000" s="139"/>
      <c r="KZ1000" s="139"/>
      <c r="LA1000" s="139"/>
      <c r="LB1000" s="139"/>
      <c r="LC1000" s="139"/>
      <c r="LD1000" s="139"/>
      <c r="LE1000" s="139"/>
      <c r="LF1000" s="139"/>
      <c r="LG1000" s="139"/>
      <c r="LH1000" s="139"/>
      <c r="LI1000" s="139"/>
      <c r="LJ1000" s="139"/>
      <c r="LK1000" s="139"/>
      <c r="LL1000" s="139"/>
      <c r="LM1000" s="139"/>
      <c r="LN1000" s="139"/>
      <c r="LO1000" s="139"/>
      <c r="LP1000" s="139"/>
      <c r="LQ1000" s="139"/>
      <c r="LR1000" s="139"/>
      <c r="LS1000" s="139"/>
      <c r="LT1000" s="139"/>
      <c r="LU1000" s="139"/>
      <c r="LV1000" s="139"/>
      <c r="LW1000" s="139"/>
      <c r="LX1000" s="139"/>
      <c r="LY1000" s="139"/>
      <c r="LZ1000" s="139"/>
      <c r="MA1000" s="139"/>
      <c r="MB1000" s="139"/>
      <c r="MC1000" s="139"/>
      <c r="MD1000" s="139"/>
      <c r="ME1000" s="139"/>
      <c r="MF1000" s="139"/>
      <c r="MG1000" s="139"/>
      <c r="MH1000" s="139"/>
      <c r="MI1000" s="139"/>
      <c r="MJ1000" s="139"/>
      <c r="MK1000" s="139"/>
      <c r="ML1000" s="139"/>
      <c r="MM1000" s="139"/>
      <c r="MN1000" s="139"/>
      <c r="MO1000" s="139"/>
      <c r="MP1000" s="139"/>
      <c r="MQ1000" s="139"/>
      <c r="MR1000" s="139"/>
      <c r="MS1000" s="139"/>
      <c r="MT1000" s="139"/>
      <c r="MU1000" s="139"/>
      <c r="MV1000" s="139"/>
      <c r="MW1000" s="139"/>
      <c r="MX1000" s="139"/>
      <c r="MY1000" s="139"/>
      <c r="MZ1000" s="139"/>
      <c r="NA1000" s="139"/>
      <c r="NB1000" s="139"/>
      <c r="NC1000" s="139"/>
      <c r="ND1000" s="139"/>
      <c r="NE1000" s="139"/>
      <c r="NF1000" s="139"/>
      <c r="NG1000" s="139"/>
      <c r="NH1000" s="139"/>
      <c r="NI1000" s="139"/>
      <c r="NJ1000" s="139"/>
      <c r="NK1000" s="139"/>
      <c r="NL1000" s="139"/>
      <c r="NM1000" s="139"/>
      <c r="NN1000" s="139"/>
      <c r="NO1000" s="139"/>
      <c r="NP1000" s="139"/>
      <c r="NQ1000" s="139"/>
      <c r="NR1000" s="139"/>
      <c r="NS1000" s="139"/>
      <c r="NT1000" s="139"/>
      <c r="NU1000" s="139"/>
      <c r="NV1000" s="139"/>
      <c r="NW1000" s="139"/>
      <c r="NX1000" s="139"/>
      <c r="NY1000" s="139"/>
      <c r="NZ1000" s="139"/>
      <c r="OA1000" s="139"/>
      <c r="OB1000" s="139"/>
      <c r="OC1000" s="139"/>
      <c r="OD1000" s="139"/>
      <c r="OE1000" s="139"/>
      <c r="OF1000" s="139"/>
      <c r="OG1000" s="139"/>
      <c r="OH1000" s="139"/>
      <c r="OI1000" s="139"/>
      <c r="OJ1000" s="139"/>
      <c r="OK1000" s="139"/>
      <c r="OL1000" s="139"/>
      <c r="OM1000" s="139"/>
      <c r="ON1000" s="139"/>
      <c r="OO1000" s="139"/>
      <c r="OP1000" s="139"/>
      <c r="OQ1000" s="139"/>
      <c r="OR1000" s="139"/>
      <c r="OS1000" s="139"/>
      <c r="OT1000" s="139"/>
      <c r="OU1000" s="139"/>
      <c r="OV1000" s="139"/>
      <c r="OW1000" s="139"/>
      <c r="OX1000" s="139"/>
      <c r="OY1000" s="139"/>
      <c r="OZ1000" s="139"/>
      <c r="PA1000" s="139"/>
      <c r="PB1000" s="139"/>
      <c r="PC1000" s="139"/>
      <c r="PD1000" s="139"/>
      <c r="PE1000" s="139"/>
      <c r="PF1000" s="139"/>
      <c r="PG1000" s="139"/>
      <c r="PH1000" s="139"/>
      <c r="PI1000" s="139"/>
      <c r="PJ1000" s="139"/>
      <c r="PK1000" s="139"/>
      <c r="PL1000" s="139"/>
      <c r="PM1000" s="139"/>
      <c r="PN1000" s="139"/>
      <c r="PO1000" s="139"/>
      <c r="PP1000" s="139"/>
      <c r="PQ1000" s="139"/>
      <c r="PR1000" s="139"/>
      <c r="PS1000" s="139"/>
      <c r="PT1000" s="139"/>
      <c r="PU1000" s="139"/>
      <c r="PV1000" s="139"/>
      <c r="PW1000" s="139"/>
      <c r="PX1000" s="139"/>
      <c r="PY1000" s="139"/>
      <c r="PZ1000" s="139"/>
      <c r="QA1000" s="139"/>
      <c r="QB1000" s="139"/>
      <c r="QC1000" s="139"/>
      <c r="QD1000" s="139"/>
      <c r="QE1000" s="139"/>
      <c r="QF1000" s="139"/>
      <c r="QG1000" s="139"/>
      <c r="QH1000" s="139"/>
      <c r="QI1000" s="139"/>
      <c r="QJ1000" s="139"/>
      <c r="QK1000" s="139"/>
      <c r="QL1000" s="139"/>
      <c r="QM1000" s="139"/>
      <c r="QN1000" s="139"/>
      <c r="QO1000" s="139"/>
      <c r="QP1000" s="139"/>
      <c r="QQ1000" s="139"/>
      <c r="QR1000" s="139"/>
      <c r="QS1000" s="139"/>
      <c r="QT1000" s="139"/>
      <c r="QU1000" s="139"/>
      <c r="QV1000" s="139"/>
      <c r="QW1000" s="139"/>
      <c r="QX1000" s="139"/>
      <c r="QY1000" s="139"/>
      <c r="QZ1000" s="139"/>
      <c r="RA1000" s="139"/>
      <c r="RB1000" s="139"/>
      <c r="RC1000" s="139"/>
      <c r="RD1000" s="139"/>
      <c r="RE1000" s="139"/>
      <c r="RF1000" s="139"/>
      <c r="RG1000" s="139"/>
      <c r="RH1000" s="139"/>
      <c r="RI1000" s="139"/>
      <c r="RJ1000" s="139"/>
      <c r="RK1000" s="139"/>
      <c r="RL1000" s="139"/>
      <c r="RM1000" s="139"/>
      <c r="RN1000" s="139"/>
      <c r="RO1000" s="139"/>
      <c r="RP1000" s="139"/>
      <c r="RQ1000" s="139"/>
      <c r="RR1000" s="139"/>
      <c r="RS1000" s="139"/>
      <c r="RT1000" s="139"/>
      <c r="RU1000" s="139"/>
      <c r="RV1000" s="139"/>
      <c r="RW1000" s="139"/>
      <c r="RX1000" s="139"/>
      <c r="RY1000" s="139"/>
      <c r="RZ1000" s="139"/>
      <c r="SA1000" s="139"/>
      <c r="SB1000" s="139"/>
      <c r="SC1000" s="139"/>
      <c r="SD1000" s="139"/>
      <c r="SE1000" s="139"/>
      <c r="SF1000" s="139"/>
      <c r="SG1000" s="139"/>
      <c r="SH1000" s="139"/>
      <c r="SI1000" s="139"/>
      <c r="SJ1000" s="139"/>
      <c r="SK1000" s="139"/>
      <c r="SL1000" s="139"/>
      <c r="SM1000" s="139"/>
      <c r="SN1000" s="139"/>
      <c r="SO1000" s="139"/>
      <c r="SP1000" s="139"/>
      <c r="SQ1000" s="139"/>
      <c r="SR1000" s="139"/>
      <c r="SS1000" s="139"/>
      <c r="ST1000" s="139"/>
      <c r="SU1000" s="139"/>
      <c r="SV1000" s="139"/>
      <c r="SW1000" s="139"/>
      <c r="SX1000" s="139"/>
      <c r="SY1000" s="139"/>
      <c r="SZ1000" s="139"/>
      <c r="TA1000" s="139"/>
      <c r="TB1000" s="139"/>
      <c r="TC1000" s="139"/>
      <c r="TD1000" s="139"/>
      <c r="TE1000" s="139"/>
      <c r="TF1000" s="139"/>
      <c r="TG1000" s="139"/>
      <c r="TH1000" s="139"/>
      <c r="TI1000" s="139"/>
      <c r="TJ1000" s="139"/>
      <c r="TK1000" s="139"/>
      <c r="TL1000" s="139"/>
      <c r="TM1000" s="139"/>
      <c r="TN1000" s="139"/>
      <c r="TO1000" s="139"/>
      <c r="TP1000" s="139"/>
      <c r="TQ1000" s="139"/>
      <c r="TR1000" s="139"/>
      <c r="TS1000" s="139"/>
      <c r="TT1000" s="139"/>
      <c r="TU1000" s="139"/>
      <c r="TV1000" s="139"/>
      <c r="TW1000" s="139"/>
      <c r="TX1000" s="139"/>
      <c r="TY1000" s="139"/>
      <c r="TZ1000" s="139"/>
      <c r="UA1000" s="139"/>
      <c r="UB1000" s="139"/>
      <c r="UC1000" s="139"/>
      <c r="UD1000" s="139"/>
      <c r="UE1000" s="139"/>
      <c r="UF1000" s="139"/>
      <c r="UG1000" s="119"/>
    </row>
    <row r="1001" spans="1:553" s="120" customFormat="1" ht="43.5" customHeight="1">
      <c r="A1001" s="431" t="s">
        <v>30</v>
      </c>
      <c r="B1001" s="541">
        <v>5</v>
      </c>
      <c r="C1001" s="1402" t="s">
        <v>892</v>
      </c>
      <c r="D1001" s="1389"/>
      <c r="E1001" s="1389"/>
      <c r="F1001" s="1390"/>
      <c r="G1001" s="542" t="s">
        <v>33</v>
      </c>
      <c r="H1001" s="543"/>
      <c r="I1001" s="422">
        <f>-15.7*1.5</f>
        <v>-23.549999999999997</v>
      </c>
      <c r="J1001" s="990">
        <v>41700</v>
      </c>
      <c r="K1001" s="644"/>
      <c r="L1001" s="632">
        <f>J1001*I1001</f>
        <v>-982034.99999999988</v>
      </c>
      <c r="M1001" s="637"/>
      <c r="N1001" s="637"/>
      <c r="O1001" s="544"/>
      <c r="P1001" s="638"/>
      <c r="Q1001" s="634"/>
      <c r="R1001" s="1164"/>
      <c r="S1001" s="308"/>
      <c r="T1001" s="308"/>
      <c r="U1001" s="308"/>
      <c r="V1001" s="308"/>
      <c r="W1001" s="308"/>
      <c r="X1001" s="308"/>
      <c r="Y1001" s="308"/>
      <c r="Z1001" s="604"/>
      <c r="AA1001" s="308"/>
      <c r="AB1001" s="308"/>
      <c r="AC1001" s="545"/>
      <c r="AD1001" s="545"/>
      <c r="AE1001" s="545"/>
      <c r="AF1001" s="545"/>
      <c r="AG1001" s="546"/>
      <c r="AH1001" s="546"/>
      <c r="AI1001" s="546"/>
      <c r="AJ1001" s="546"/>
      <c r="AK1001" s="546"/>
      <c r="AL1001" s="138"/>
      <c r="AM1001" s="138"/>
      <c r="AN1001" s="138"/>
      <c r="AO1001" s="138"/>
      <c r="AP1001" s="138"/>
      <c r="AQ1001" s="139"/>
      <c r="AR1001" s="139"/>
      <c r="AS1001" s="139"/>
      <c r="AT1001" s="139"/>
      <c r="AU1001" s="139"/>
      <c r="AV1001" s="139"/>
      <c r="AW1001" s="139"/>
      <c r="AX1001" s="139"/>
      <c r="AY1001" s="139"/>
      <c r="AZ1001" s="139"/>
      <c r="BA1001" s="139"/>
      <c r="BB1001" s="139"/>
      <c r="BC1001" s="139"/>
      <c r="BD1001" s="139"/>
      <c r="BE1001" s="139"/>
      <c r="BF1001" s="139"/>
      <c r="BG1001" s="139"/>
      <c r="BH1001" s="139"/>
      <c r="BI1001" s="139"/>
      <c r="BJ1001" s="139"/>
      <c r="BK1001" s="139"/>
      <c r="BL1001" s="139"/>
      <c r="BM1001" s="139"/>
      <c r="BN1001" s="139"/>
      <c r="BO1001" s="139"/>
      <c r="BP1001" s="139"/>
      <c r="BQ1001" s="139"/>
      <c r="BR1001" s="139"/>
      <c r="BS1001" s="139"/>
      <c r="BT1001" s="139"/>
      <c r="BU1001" s="139"/>
      <c r="BV1001" s="139"/>
      <c r="BW1001" s="139"/>
      <c r="BX1001" s="139"/>
      <c r="BY1001" s="139"/>
      <c r="BZ1001" s="139"/>
      <c r="CA1001" s="139"/>
      <c r="CB1001" s="139"/>
      <c r="CC1001" s="139"/>
      <c r="CD1001" s="139"/>
      <c r="CE1001" s="139"/>
      <c r="CF1001" s="139"/>
      <c r="CG1001" s="139"/>
      <c r="CH1001" s="139"/>
      <c r="CI1001" s="139"/>
      <c r="CJ1001" s="139"/>
      <c r="CK1001" s="139"/>
      <c r="CL1001" s="139"/>
      <c r="CM1001" s="139"/>
      <c r="CN1001" s="139"/>
      <c r="CO1001" s="139"/>
      <c r="CP1001" s="139"/>
      <c r="CQ1001" s="139"/>
      <c r="CR1001" s="139"/>
      <c r="CS1001" s="139"/>
      <c r="CT1001" s="139"/>
      <c r="CU1001" s="139"/>
      <c r="CV1001" s="139"/>
      <c r="CW1001" s="139"/>
      <c r="CX1001" s="139"/>
      <c r="CY1001" s="139"/>
      <c r="CZ1001" s="139"/>
      <c r="DA1001" s="139"/>
      <c r="DB1001" s="139"/>
      <c r="DC1001" s="139"/>
      <c r="DD1001" s="139"/>
      <c r="DE1001" s="139"/>
      <c r="DF1001" s="139"/>
      <c r="DG1001" s="139"/>
      <c r="DH1001" s="139"/>
      <c r="DI1001" s="139"/>
      <c r="DJ1001" s="139"/>
      <c r="DK1001" s="139"/>
      <c r="DL1001" s="139"/>
      <c r="DM1001" s="139"/>
      <c r="DN1001" s="139"/>
      <c r="DO1001" s="139"/>
      <c r="DP1001" s="139"/>
      <c r="DQ1001" s="139"/>
      <c r="DR1001" s="139"/>
      <c r="DS1001" s="139"/>
      <c r="DT1001" s="139"/>
      <c r="DU1001" s="139"/>
      <c r="DV1001" s="139"/>
      <c r="DW1001" s="139"/>
      <c r="DX1001" s="139"/>
      <c r="DY1001" s="139"/>
      <c r="DZ1001" s="139"/>
      <c r="EA1001" s="139"/>
      <c r="EB1001" s="139"/>
      <c r="EC1001" s="139"/>
      <c r="ED1001" s="139"/>
      <c r="EE1001" s="139"/>
      <c r="EF1001" s="139"/>
      <c r="EG1001" s="139"/>
      <c r="EH1001" s="139"/>
      <c r="EI1001" s="139"/>
      <c r="EJ1001" s="139"/>
      <c r="EK1001" s="139"/>
      <c r="EL1001" s="139"/>
      <c r="EM1001" s="139"/>
      <c r="EN1001" s="139"/>
      <c r="EO1001" s="139"/>
      <c r="EP1001" s="139"/>
      <c r="EQ1001" s="139"/>
      <c r="ER1001" s="139"/>
      <c r="ES1001" s="139"/>
      <c r="ET1001" s="139"/>
      <c r="EU1001" s="139"/>
      <c r="EV1001" s="139"/>
      <c r="EW1001" s="139"/>
      <c r="EX1001" s="139"/>
      <c r="EY1001" s="139"/>
      <c r="EZ1001" s="139"/>
      <c r="FA1001" s="139"/>
      <c r="FB1001" s="139"/>
      <c r="FC1001" s="139"/>
      <c r="FD1001" s="139"/>
      <c r="FE1001" s="139"/>
      <c r="FF1001" s="139"/>
      <c r="FG1001" s="139"/>
      <c r="FH1001" s="139"/>
      <c r="FI1001" s="139"/>
      <c r="FJ1001" s="139"/>
      <c r="FK1001" s="139"/>
      <c r="FL1001" s="139"/>
      <c r="FM1001" s="139"/>
      <c r="FN1001" s="139"/>
      <c r="FO1001" s="139"/>
      <c r="FP1001" s="139"/>
      <c r="FQ1001" s="139"/>
      <c r="FR1001" s="139"/>
      <c r="FS1001" s="139"/>
      <c r="FT1001" s="139"/>
      <c r="FU1001" s="139"/>
      <c r="FV1001" s="139"/>
      <c r="FW1001" s="139"/>
      <c r="FX1001" s="139"/>
      <c r="FY1001" s="139"/>
      <c r="FZ1001" s="139"/>
      <c r="GA1001" s="139"/>
      <c r="GB1001" s="139"/>
      <c r="GC1001" s="139"/>
      <c r="GD1001" s="139"/>
      <c r="GE1001" s="139"/>
      <c r="GF1001" s="139"/>
      <c r="GG1001" s="139"/>
      <c r="GH1001" s="139"/>
      <c r="GI1001" s="139"/>
      <c r="GJ1001" s="139"/>
      <c r="GK1001" s="139"/>
      <c r="GL1001" s="139"/>
      <c r="GM1001" s="139"/>
      <c r="GN1001" s="139"/>
      <c r="GO1001" s="139"/>
      <c r="GP1001" s="139"/>
      <c r="GQ1001" s="139"/>
      <c r="GR1001" s="139"/>
      <c r="GS1001" s="139"/>
      <c r="GT1001" s="139"/>
      <c r="GU1001" s="139"/>
      <c r="GV1001" s="139"/>
      <c r="GW1001" s="139"/>
      <c r="GX1001" s="139"/>
      <c r="GY1001" s="139"/>
      <c r="GZ1001" s="139"/>
      <c r="HA1001" s="139"/>
      <c r="HB1001" s="139"/>
      <c r="HC1001" s="139"/>
      <c r="HD1001" s="139"/>
      <c r="HE1001" s="139"/>
      <c r="HF1001" s="139"/>
      <c r="HG1001" s="139"/>
      <c r="HH1001" s="139"/>
      <c r="HI1001" s="139"/>
      <c r="HJ1001" s="139"/>
      <c r="HK1001" s="139"/>
      <c r="HL1001" s="139"/>
      <c r="HM1001" s="139"/>
      <c r="HN1001" s="139"/>
      <c r="HO1001" s="139"/>
      <c r="HP1001" s="139"/>
      <c r="HQ1001" s="139"/>
      <c r="HR1001" s="139"/>
      <c r="HS1001" s="139"/>
      <c r="HT1001" s="139"/>
      <c r="HU1001" s="139"/>
      <c r="HV1001" s="139"/>
      <c r="HW1001" s="139"/>
      <c r="HX1001" s="139"/>
      <c r="HY1001" s="139"/>
      <c r="HZ1001" s="139"/>
      <c r="IA1001" s="139"/>
      <c r="IB1001" s="139"/>
      <c r="IC1001" s="139"/>
      <c r="ID1001" s="139"/>
      <c r="IE1001" s="139"/>
      <c r="IF1001" s="139"/>
      <c r="IG1001" s="139"/>
      <c r="IH1001" s="139"/>
      <c r="II1001" s="139"/>
      <c r="IJ1001" s="139"/>
      <c r="IK1001" s="139"/>
      <c r="IL1001" s="139"/>
      <c r="IM1001" s="139"/>
      <c r="IN1001" s="139"/>
      <c r="IO1001" s="139"/>
      <c r="IP1001" s="139"/>
      <c r="IQ1001" s="139"/>
      <c r="IR1001" s="139"/>
      <c r="IS1001" s="139"/>
      <c r="IT1001" s="139"/>
      <c r="IU1001" s="139"/>
      <c r="IV1001" s="139"/>
      <c r="IW1001" s="139"/>
      <c r="IX1001" s="139"/>
      <c r="IY1001" s="139"/>
      <c r="IZ1001" s="139"/>
      <c r="JA1001" s="139"/>
      <c r="JB1001" s="139"/>
      <c r="JC1001" s="139"/>
      <c r="JD1001" s="139"/>
      <c r="JE1001" s="139"/>
      <c r="JF1001" s="139"/>
      <c r="JG1001" s="139"/>
      <c r="JH1001" s="139"/>
      <c r="JI1001" s="139"/>
      <c r="JJ1001" s="139"/>
      <c r="JK1001" s="139"/>
      <c r="JL1001" s="139"/>
      <c r="JM1001" s="139"/>
      <c r="JN1001" s="139"/>
      <c r="JO1001" s="139"/>
      <c r="JP1001" s="139"/>
      <c r="JQ1001" s="139"/>
      <c r="JR1001" s="139"/>
      <c r="JS1001" s="139"/>
      <c r="JT1001" s="139"/>
      <c r="JU1001" s="139"/>
      <c r="JV1001" s="139"/>
      <c r="JW1001" s="139"/>
      <c r="JX1001" s="139"/>
      <c r="JY1001" s="139"/>
      <c r="JZ1001" s="139"/>
      <c r="KA1001" s="139"/>
      <c r="KB1001" s="139"/>
      <c r="KC1001" s="139"/>
      <c r="KD1001" s="139"/>
      <c r="KE1001" s="139"/>
      <c r="KF1001" s="139"/>
      <c r="KG1001" s="139"/>
      <c r="KH1001" s="139"/>
      <c r="KI1001" s="139"/>
      <c r="KJ1001" s="139"/>
      <c r="KK1001" s="139"/>
      <c r="KL1001" s="139"/>
      <c r="KM1001" s="139"/>
      <c r="KN1001" s="139"/>
      <c r="KO1001" s="139"/>
      <c r="KP1001" s="139"/>
      <c r="KQ1001" s="139"/>
      <c r="KR1001" s="139"/>
      <c r="KS1001" s="139"/>
      <c r="KT1001" s="139"/>
      <c r="KU1001" s="139"/>
      <c r="KV1001" s="139"/>
      <c r="KW1001" s="139"/>
      <c r="KX1001" s="139"/>
      <c r="KY1001" s="139"/>
      <c r="KZ1001" s="139"/>
      <c r="LA1001" s="139"/>
      <c r="LB1001" s="139"/>
      <c r="LC1001" s="139"/>
      <c r="LD1001" s="139"/>
      <c r="LE1001" s="139"/>
      <c r="LF1001" s="139"/>
      <c r="LG1001" s="139"/>
      <c r="LH1001" s="139"/>
      <c r="LI1001" s="139"/>
      <c r="LJ1001" s="139"/>
      <c r="LK1001" s="139"/>
      <c r="LL1001" s="139"/>
      <c r="LM1001" s="139"/>
      <c r="LN1001" s="139"/>
      <c r="LO1001" s="139"/>
      <c r="LP1001" s="139"/>
      <c r="LQ1001" s="139"/>
      <c r="LR1001" s="139"/>
      <c r="LS1001" s="139"/>
      <c r="LT1001" s="139"/>
      <c r="LU1001" s="139"/>
      <c r="LV1001" s="139"/>
      <c r="LW1001" s="139"/>
      <c r="LX1001" s="139"/>
      <c r="LY1001" s="139"/>
      <c r="LZ1001" s="139"/>
      <c r="MA1001" s="139"/>
      <c r="MB1001" s="139"/>
      <c r="MC1001" s="139"/>
      <c r="MD1001" s="139"/>
      <c r="ME1001" s="139"/>
      <c r="MF1001" s="139"/>
      <c r="MG1001" s="139"/>
      <c r="MH1001" s="139"/>
      <c r="MI1001" s="139"/>
      <c r="MJ1001" s="139"/>
      <c r="MK1001" s="139"/>
      <c r="ML1001" s="139"/>
      <c r="MM1001" s="139"/>
      <c r="MN1001" s="139"/>
      <c r="MO1001" s="139"/>
      <c r="MP1001" s="139"/>
      <c r="MQ1001" s="139"/>
      <c r="MR1001" s="139"/>
      <c r="MS1001" s="139"/>
      <c r="MT1001" s="139"/>
      <c r="MU1001" s="139"/>
      <c r="MV1001" s="139"/>
      <c r="MW1001" s="139"/>
      <c r="MX1001" s="139"/>
      <c r="MY1001" s="139"/>
      <c r="MZ1001" s="139"/>
      <c r="NA1001" s="139"/>
      <c r="NB1001" s="139"/>
      <c r="NC1001" s="139"/>
      <c r="ND1001" s="139"/>
      <c r="NE1001" s="139"/>
      <c r="NF1001" s="139"/>
      <c r="NG1001" s="139"/>
      <c r="NH1001" s="139"/>
      <c r="NI1001" s="139"/>
      <c r="NJ1001" s="139"/>
      <c r="NK1001" s="139"/>
      <c r="NL1001" s="139"/>
      <c r="NM1001" s="139"/>
      <c r="NN1001" s="139"/>
      <c r="NO1001" s="139"/>
      <c r="NP1001" s="139"/>
      <c r="NQ1001" s="139"/>
      <c r="NR1001" s="139"/>
      <c r="NS1001" s="139"/>
      <c r="NT1001" s="139"/>
      <c r="NU1001" s="139"/>
      <c r="NV1001" s="139"/>
      <c r="NW1001" s="139"/>
      <c r="NX1001" s="139"/>
      <c r="NY1001" s="139"/>
      <c r="NZ1001" s="139"/>
      <c r="OA1001" s="139"/>
      <c r="OB1001" s="139"/>
      <c r="OC1001" s="139"/>
      <c r="OD1001" s="139"/>
      <c r="OE1001" s="139"/>
      <c r="OF1001" s="139"/>
      <c r="OG1001" s="139"/>
      <c r="OH1001" s="139"/>
      <c r="OI1001" s="139"/>
      <c r="OJ1001" s="139"/>
      <c r="OK1001" s="139"/>
      <c r="OL1001" s="139"/>
      <c r="OM1001" s="139"/>
      <c r="ON1001" s="139"/>
      <c r="OO1001" s="139"/>
      <c r="OP1001" s="139"/>
      <c r="OQ1001" s="139"/>
      <c r="OR1001" s="139"/>
      <c r="OS1001" s="139"/>
      <c r="OT1001" s="139"/>
      <c r="OU1001" s="139"/>
      <c r="OV1001" s="139"/>
      <c r="OW1001" s="139"/>
      <c r="OX1001" s="139"/>
      <c r="OY1001" s="139"/>
      <c r="OZ1001" s="139"/>
      <c r="PA1001" s="139"/>
      <c r="PB1001" s="139"/>
      <c r="PC1001" s="139"/>
      <c r="PD1001" s="139"/>
      <c r="PE1001" s="139"/>
      <c r="PF1001" s="139"/>
      <c r="PG1001" s="139"/>
      <c r="PH1001" s="139"/>
      <c r="PI1001" s="139"/>
      <c r="PJ1001" s="139"/>
      <c r="PK1001" s="139"/>
      <c r="PL1001" s="139"/>
      <c r="PM1001" s="139"/>
      <c r="PN1001" s="139"/>
      <c r="PO1001" s="139"/>
      <c r="PP1001" s="139"/>
      <c r="PQ1001" s="139"/>
      <c r="PR1001" s="139"/>
      <c r="PS1001" s="139"/>
      <c r="PT1001" s="139"/>
      <c r="PU1001" s="139"/>
      <c r="PV1001" s="139"/>
      <c r="PW1001" s="139"/>
      <c r="PX1001" s="139"/>
      <c r="PY1001" s="139"/>
      <c r="PZ1001" s="139"/>
      <c r="QA1001" s="139"/>
      <c r="QB1001" s="139"/>
      <c r="QC1001" s="139"/>
      <c r="QD1001" s="139"/>
      <c r="QE1001" s="139"/>
      <c r="QF1001" s="139"/>
      <c r="QG1001" s="139"/>
      <c r="QH1001" s="139"/>
      <c r="QI1001" s="139"/>
      <c r="QJ1001" s="139"/>
      <c r="QK1001" s="139"/>
      <c r="QL1001" s="139"/>
      <c r="QM1001" s="139"/>
      <c r="QN1001" s="139"/>
      <c r="QO1001" s="139"/>
      <c r="QP1001" s="139"/>
      <c r="QQ1001" s="139"/>
      <c r="QR1001" s="139"/>
      <c r="QS1001" s="139"/>
      <c r="QT1001" s="139"/>
      <c r="QU1001" s="139"/>
      <c r="QV1001" s="139"/>
      <c r="QW1001" s="139"/>
      <c r="QX1001" s="139"/>
      <c r="QY1001" s="139"/>
      <c r="QZ1001" s="139"/>
      <c r="RA1001" s="139"/>
      <c r="RB1001" s="139"/>
      <c r="RC1001" s="139"/>
      <c r="RD1001" s="139"/>
      <c r="RE1001" s="139"/>
      <c r="RF1001" s="139"/>
      <c r="RG1001" s="139"/>
      <c r="RH1001" s="139"/>
      <c r="RI1001" s="139"/>
      <c r="RJ1001" s="139"/>
      <c r="RK1001" s="139"/>
      <c r="RL1001" s="139"/>
      <c r="RM1001" s="139"/>
      <c r="RN1001" s="139"/>
      <c r="RO1001" s="139"/>
      <c r="RP1001" s="139"/>
      <c r="RQ1001" s="139"/>
      <c r="RR1001" s="139"/>
      <c r="RS1001" s="139"/>
      <c r="RT1001" s="139"/>
      <c r="RU1001" s="139"/>
      <c r="RV1001" s="139"/>
      <c r="RW1001" s="139"/>
      <c r="RX1001" s="139"/>
      <c r="RY1001" s="139"/>
      <c r="RZ1001" s="139"/>
      <c r="SA1001" s="139"/>
      <c r="SB1001" s="139"/>
      <c r="SC1001" s="139"/>
      <c r="SD1001" s="139"/>
      <c r="SE1001" s="139"/>
      <c r="SF1001" s="139"/>
      <c r="SG1001" s="139"/>
      <c r="SH1001" s="139"/>
      <c r="SI1001" s="139"/>
      <c r="SJ1001" s="139"/>
      <c r="SK1001" s="139"/>
      <c r="SL1001" s="139"/>
      <c r="SM1001" s="139"/>
      <c r="SN1001" s="139"/>
      <c r="SO1001" s="139"/>
      <c r="SP1001" s="139"/>
      <c r="SQ1001" s="139"/>
      <c r="SR1001" s="139"/>
      <c r="SS1001" s="139"/>
      <c r="ST1001" s="139"/>
      <c r="SU1001" s="139"/>
      <c r="SV1001" s="139"/>
      <c r="SW1001" s="139"/>
      <c r="SX1001" s="139"/>
      <c r="SY1001" s="139"/>
      <c r="SZ1001" s="139"/>
      <c r="TA1001" s="139"/>
      <c r="TB1001" s="139"/>
      <c r="TC1001" s="139"/>
      <c r="TD1001" s="139"/>
      <c r="TE1001" s="139"/>
      <c r="TF1001" s="139"/>
      <c r="TG1001" s="139"/>
      <c r="TH1001" s="139"/>
      <c r="TI1001" s="139"/>
      <c r="TJ1001" s="139"/>
      <c r="TK1001" s="139"/>
      <c r="TL1001" s="139"/>
      <c r="TM1001" s="139"/>
      <c r="TN1001" s="139"/>
      <c r="TO1001" s="139"/>
      <c r="TP1001" s="139"/>
      <c r="TQ1001" s="139"/>
      <c r="TR1001" s="139"/>
      <c r="TS1001" s="139"/>
      <c r="TT1001" s="139"/>
      <c r="TU1001" s="139"/>
      <c r="TV1001" s="139"/>
      <c r="TW1001" s="139"/>
      <c r="TX1001" s="139"/>
      <c r="TY1001" s="139"/>
      <c r="TZ1001" s="139"/>
      <c r="UA1001" s="139"/>
      <c r="UB1001" s="139"/>
      <c r="UC1001" s="139"/>
      <c r="UD1001" s="139"/>
      <c r="UE1001" s="139"/>
      <c r="UF1001" s="139"/>
      <c r="UG1001" s="119"/>
    </row>
    <row r="1002" spans="1:553" s="120" customFormat="1" ht="43.5" customHeight="1">
      <c r="A1002" s="431"/>
      <c r="B1002" s="541"/>
      <c r="C1002" s="1382" t="s">
        <v>1292</v>
      </c>
      <c r="D1002" s="1383"/>
      <c r="E1002" s="1383"/>
      <c r="F1002" s="1384"/>
      <c r="G1002" s="542" t="s">
        <v>33</v>
      </c>
      <c r="H1002" s="543"/>
      <c r="I1002" s="422">
        <f>-I990</f>
        <v>-97.76</v>
      </c>
      <c r="J1002" s="990">
        <f>124207-60200</f>
        <v>64007</v>
      </c>
      <c r="K1002" s="644"/>
      <c r="L1002" s="632">
        <f>J1002*I1002</f>
        <v>-6257324.3200000003</v>
      </c>
      <c r="M1002" s="637"/>
      <c r="N1002" s="637"/>
      <c r="O1002" s="544"/>
      <c r="P1002" s="638"/>
      <c r="Q1002" s="634"/>
      <c r="R1002" s="1164"/>
      <c r="S1002" s="308"/>
      <c r="T1002" s="308"/>
      <c r="U1002" s="308"/>
      <c r="V1002" s="308"/>
      <c r="W1002" s="308"/>
      <c r="X1002" s="308"/>
      <c r="Y1002" s="308"/>
      <c r="Z1002" s="604"/>
      <c r="AA1002" s="308"/>
      <c r="AB1002" s="308"/>
      <c r="AC1002" s="545"/>
      <c r="AD1002" s="545"/>
      <c r="AE1002" s="545"/>
      <c r="AF1002" s="545"/>
      <c r="AG1002" s="546"/>
      <c r="AH1002" s="546"/>
      <c r="AI1002" s="546"/>
      <c r="AJ1002" s="546"/>
      <c r="AK1002" s="546"/>
      <c r="AL1002" s="138"/>
      <c r="AM1002" s="138"/>
      <c r="AN1002" s="138"/>
      <c r="AO1002" s="138"/>
      <c r="AP1002" s="138"/>
      <c r="AQ1002" s="139"/>
      <c r="AR1002" s="139"/>
      <c r="AS1002" s="139"/>
      <c r="AT1002" s="139"/>
      <c r="AU1002" s="139"/>
      <c r="AV1002" s="139"/>
      <c r="AW1002" s="139"/>
      <c r="AX1002" s="139"/>
      <c r="AY1002" s="139"/>
      <c r="AZ1002" s="139"/>
      <c r="BA1002" s="139"/>
      <c r="BB1002" s="139"/>
      <c r="BC1002" s="139"/>
      <c r="BD1002" s="139"/>
      <c r="BE1002" s="139"/>
      <c r="BF1002" s="139"/>
      <c r="BG1002" s="139"/>
      <c r="BH1002" s="139"/>
      <c r="BI1002" s="139"/>
      <c r="BJ1002" s="139"/>
      <c r="BK1002" s="139"/>
      <c r="BL1002" s="139"/>
      <c r="BM1002" s="139"/>
      <c r="BN1002" s="139"/>
      <c r="BO1002" s="139"/>
      <c r="BP1002" s="139"/>
      <c r="BQ1002" s="139"/>
      <c r="BR1002" s="139"/>
      <c r="BS1002" s="139"/>
      <c r="BT1002" s="139"/>
      <c r="BU1002" s="139"/>
      <c r="BV1002" s="139"/>
      <c r="BW1002" s="139"/>
      <c r="BX1002" s="139"/>
      <c r="BY1002" s="139"/>
      <c r="BZ1002" s="139"/>
      <c r="CA1002" s="139"/>
      <c r="CB1002" s="139"/>
      <c r="CC1002" s="139"/>
      <c r="CD1002" s="139"/>
      <c r="CE1002" s="139"/>
      <c r="CF1002" s="139"/>
      <c r="CG1002" s="139"/>
      <c r="CH1002" s="139"/>
      <c r="CI1002" s="139"/>
      <c r="CJ1002" s="139"/>
      <c r="CK1002" s="139"/>
      <c r="CL1002" s="139"/>
      <c r="CM1002" s="139"/>
      <c r="CN1002" s="139"/>
      <c r="CO1002" s="139"/>
      <c r="CP1002" s="139"/>
      <c r="CQ1002" s="139"/>
      <c r="CR1002" s="139"/>
      <c r="CS1002" s="139"/>
      <c r="CT1002" s="139"/>
      <c r="CU1002" s="139"/>
      <c r="CV1002" s="139"/>
      <c r="CW1002" s="139"/>
      <c r="CX1002" s="139"/>
      <c r="CY1002" s="139"/>
      <c r="CZ1002" s="139"/>
      <c r="DA1002" s="139"/>
      <c r="DB1002" s="139"/>
      <c r="DC1002" s="139"/>
      <c r="DD1002" s="139"/>
      <c r="DE1002" s="139"/>
      <c r="DF1002" s="139"/>
      <c r="DG1002" s="139"/>
      <c r="DH1002" s="139"/>
      <c r="DI1002" s="139"/>
      <c r="DJ1002" s="139"/>
      <c r="DK1002" s="139"/>
      <c r="DL1002" s="139"/>
      <c r="DM1002" s="139"/>
      <c r="DN1002" s="139"/>
      <c r="DO1002" s="139"/>
      <c r="DP1002" s="139"/>
      <c r="DQ1002" s="139"/>
      <c r="DR1002" s="139"/>
      <c r="DS1002" s="139"/>
      <c r="DT1002" s="139"/>
      <c r="DU1002" s="139"/>
      <c r="DV1002" s="139"/>
      <c r="DW1002" s="139"/>
      <c r="DX1002" s="139"/>
      <c r="DY1002" s="139"/>
      <c r="DZ1002" s="139"/>
      <c r="EA1002" s="139"/>
      <c r="EB1002" s="139"/>
      <c r="EC1002" s="139"/>
      <c r="ED1002" s="139"/>
      <c r="EE1002" s="139"/>
      <c r="EF1002" s="139"/>
      <c r="EG1002" s="139"/>
      <c r="EH1002" s="139"/>
      <c r="EI1002" s="139"/>
      <c r="EJ1002" s="139"/>
      <c r="EK1002" s="139"/>
      <c r="EL1002" s="139"/>
      <c r="EM1002" s="139"/>
      <c r="EN1002" s="139"/>
      <c r="EO1002" s="139"/>
      <c r="EP1002" s="139"/>
      <c r="EQ1002" s="139"/>
      <c r="ER1002" s="139"/>
      <c r="ES1002" s="139"/>
      <c r="ET1002" s="139"/>
      <c r="EU1002" s="139"/>
      <c r="EV1002" s="139"/>
      <c r="EW1002" s="139"/>
      <c r="EX1002" s="139"/>
      <c r="EY1002" s="139"/>
      <c r="EZ1002" s="139"/>
      <c r="FA1002" s="139"/>
      <c r="FB1002" s="139"/>
      <c r="FC1002" s="139"/>
      <c r="FD1002" s="139"/>
      <c r="FE1002" s="139"/>
      <c r="FF1002" s="139"/>
      <c r="FG1002" s="139"/>
      <c r="FH1002" s="139"/>
      <c r="FI1002" s="139"/>
      <c r="FJ1002" s="139"/>
      <c r="FK1002" s="139"/>
      <c r="FL1002" s="139"/>
      <c r="FM1002" s="139"/>
      <c r="FN1002" s="139"/>
      <c r="FO1002" s="139"/>
      <c r="FP1002" s="139"/>
      <c r="FQ1002" s="139"/>
      <c r="FR1002" s="139"/>
      <c r="FS1002" s="139"/>
      <c r="FT1002" s="139"/>
      <c r="FU1002" s="139"/>
      <c r="FV1002" s="139"/>
      <c r="FW1002" s="139"/>
      <c r="FX1002" s="139"/>
      <c r="FY1002" s="139"/>
      <c r="FZ1002" s="139"/>
      <c r="GA1002" s="139"/>
      <c r="GB1002" s="139"/>
      <c r="GC1002" s="139"/>
      <c r="GD1002" s="139"/>
      <c r="GE1002" s="139"/>
      <c r="GF1002" s="139"/>
      <c r="GG1002" s="139"/>
      <c r="GH1002" s="139"/>
      <c r="GI1002" s="139"/>
      <c r="GJ1002" s="139"/>
      <c r="GK1002" s="139"/>
      <c r="GL1002" s="139"/>
      <c r="GM1002" s="139"/>
      <c r="GN1002" s="139"/>
      <c r="GO1002" s="139"/>
      <c r="GP1002" s="139"/>
      <c r="GQ1002" s="139"/>
      <c r="GR1002" s="139"/>
      <c r="GS1002" s="139"/>
      <c r="GT1002" s="139"/>
      <c r="GU1002" s="139"/>
      <c r="GV1002" s="139"/>
      <c r="GW1002" s="139"/>
      <c r="GX1002" s="139"/>
      <c r="GY1002" s="139"/>
      <c r="GZ1002" s="139"/>
      <c r="HA1002" s="139"/>
      <c r="HB1002" s="139"/>
      <c r="HC1002" s="139"/>
      <c r="HD1002" s="139"/>
      <c r="HE1002" s="139"/>
      <c r="HF1002" s="139"/>
      <c r="HG1002" s="139"/>
      <c r="HH1002" s="139"/>
      <c r="HI1002" s="139"/>
      <c r="HJ1002" s="139"/>
      <c r="HK1002" s="139"/>
      <c r="HL1002" s="139"/>
      <c r="HM1002" s="139"/>
      <c r="HN1002" s="139"/>
      <c r="HO1002" s="139"/>
      <c r="HP1002" s="139"/>
      <c r="HQ1002" s="139"/>
      <c r="HR1002" s="139"/>
      <c r="HS1002" s="139"/>
      <c r="HT1002" s="139"/>
      <c r="HU1002" s="139"/>
      <c r="HV1002" s="139"/>
      <c r="HW1002" s="139"/>
      <c r="HX1002" s="139"/>
      <c r="HY1002" s="139"/>
      <c r="HZ1002" s="139"/>
      <c r="IA1002" s="139"/>
      <c r="IB1002" s="139"/>
      <c r="IC1002" s="139"/>
      <c r="ID1002" s="139"/>
      <c r="IE1002" s="139"/>
      <c r="IF1002" s="139"/>
      <c r="IG1002" s="139"/>
      <c r="IH1002" s="139"/>
      <c r="II1002" s="139"/>
      <c r="IJ1002" s="139"/>
      <c r="IK1002" s="139"/>
      <c r="IL1002" s="139"/>
      <c r="IM1002" s="139"/>
      <c r="IN1002" s="139"/>
      <c r="IO1002" s="139"/>
      <c r="IP1002" s="139"/>
      <c r="IQ1002" s="139"/>
      <c r="IR1002" s="139"/>
      <c r="IS1002" s="139"/>
      <c r="IT1002" s="139"/>
      <c r="IU1002" s="139"/>
      <c r="IV1002" s="139"/>
      <c r="IW1002" s="139"/>
      <c r="IX1002" s="139"/>
      <c r="IY1002" s="139"/>
      <c r="IZ1002" s="139"/>
      <c r="JA1002" s="139"/>
      <c r="JB1002" s="139"/>
      <c r="JC1002" s="139"/>
      <c r="JD1002" s="139"/>
      <c r="JE1002" s="139"/>
      <c r="JF1002" s="139"/>
      <c r="JG1002" s="139"/>
      <c r="JH1002" s="139"/>
      <c r="JI1002" s="139"/>
      <c r="JJ1002" s="139"/>
      <c r="JK1002" s="139"/>
      <c r="JL1002" s="139"/>
      <c r="JM1002" s="139"/>
      <c r="JN1002" s="139"/>
      <c r="JO1002" s="139"/>
      <c r="JP1002" s="139"/>
      <c r="JQ1002" s="139"/>
      <c r="JR1002" s="139"/>
      <c r="JS1002" s="139"/>
      <c r="JT1002" s="139"/>
      <c r="JU1002" s="139"/>
      <c r="JV1002" s="139"/>
      <c r="JW1002" s="139"/>
      <c r="JX1002" s="139"/>
      <c r="JY1002" s="139"/>
      <c r="JZ1002" s="139"/>
      <c r="KA1002" s="139"/>
      <c r="KB1002" s="139"/>
      <c r="KC1002" s="139"/>
      <c r="KD1002" s="139"/>
      <c r="KE1002" s="139"/>
      <c r="KF1002" s="139"/>
      <c r="KG1002" s="139"/>
      <c r="KH1002" s="139"/>
      <c r="KI1002" s="139"/>
      <c r="KJ1002" s="139"/>
      <c r="KK1002" s="139"/>
      <c r="KL1002" s="139"/>
      <c r="KM1002" s="139"/>
      <c r="KN1002" s="139"/>
      <c r="KO1002" s="139"/>
      <c r="KP1002" s="139"/>
      <c r="KQ1002" s="139"/>
      <c r="KR1002" s="139"/>
      <c r="KS1002" s="139"/>
      <c r="KT1002" s="139"/>
      <c r="KU1002" s="139"/>
      <c r="KV1002" s="139"/>
      <c r="KW1002" s="139"/>
      <c r="KX1002" s="139"/>
      <c r="KY1002" s="139"/>
      <c r="KZ1002" s="139"/>
      <c r="LA1002" s="139"/>
      <c r="LB1002" s="139"/>
      <c r="LC1002" s="139"/>
      <c r="LD1002" s="139"/>
      <c r="LE1002" s="139"/>
      <c r="LF1002" s="139"/>
      <c r="LG1002" s="139"/>
      <c r="LH1002" s="139"/>
      <c r="LI1002" s="139"/>
      <c r="LJ1002" s="139"/>
      <c r="LK1002" s="139"/>
      <c r="LL1002" s="139"/>
      <c r="LM1002" s="139"/>
      <c r="LN1002" s="139"/>
      <c r="LO1002" s="139"/>
      <c r="LP1002" s="139"/>
      <c r="LQ1002" s="139"/>
      <c r="LR1002" s="139"/>
      <c r="LS1002" s="139"/>
      <c r="LT1002" s="139"/>
      <c r="LU1002" s="139"/>
      <c r="LV1002" s="139"/>
      <c r="LW1002" s="139"/>
      <c r="LX1002" s="139"/>
      <c r="LY1002" s="139"/>
      <c r="LZ1002" s="139"/>
      <c r="MA1002" s="139"/>
      <c r="MB1002" s="139"/>
      <c r="MC1002" s="139"/>
      <c r="MD1002" s="139"/>
      <c r="ME1002" s="139"/>
      <c r="MF1002" s="139"/>
      <c r="MG1002" s="139"/>
      <c r="MH1002" s="139"/>
      <c r="MI1002" s="139"/>
      <c r="MJ1002" s="139"/>
      <c r="MK1002" s="139"/>
      <c r="ML1002" s="139"/>
      <c r="MM1002" s="139"/>
      <c r="MN1002" s="139"/>
      <c r="MO1002" s="139"/>
      <c r="MP1002" s="139"/>
      <c r="MQ1002" s="139"/>
      <c r="MR1002" s="139"/>
      <c r="MS1002" s="139"/>
      <c r="MT1002" s="139"/>
      <c r="MU1002" s="139"/>
      <c r="MV1002" s="139"/>
      <c r="MW1002" s="139"/>
      <c r="MX1002" s="139"/>
      <c r="MY1002" s="139"/>
      <c r="MZ1002" s="139"/>
      <c r="NA1002" s="139"/>
      <c r="NB1002" s="139"/>
      <c r="NC1002" s="139"/>
      <c r="ND1002" s="139"/>
      <c r="NE1002" s="139"/>
      <c r="NF1002" s="139"/>
      <c r="NG1002" s="139"/>
      <c r="NH1002" s="139"/>
      <c r="NI1002" s="139"/>
      <c r="NJ1002" s="139"/>
      <c r="NK1002" s="139"/>
      <c r="NL1002" s="139"/>
      <c r="NM1002" s="139"/>
      <c r="NN1002" s="139"/>
      <c r="NO1002" s="139"/>
      <c r="NP1002" s="139"/>
      <c r="NQ1002" s="139"/>
      <c r="NR1002" s="139"/>
      <c r="NS1002" s="139"/>
      <c r="NT1002" s="139"/>
      <c r="NU1002" s="139"/>
      <c r="NV1002" s="139"/>
      <c r="NW1002" s="139"/>
      <c r="NX1002" s="139"/>
      <c r="NY1002" s="139"/>
      <c r="NZ1002" s="139"/>
      <c r="OA1002" s="139"/>
      <c r="OB1002" s="139"/>
      <c r="OC1002" s="139"/>
      <c r="OD1002" s="139"/>
      <c r="OE1002" s="139"/>
      <c r="OF1002" s="139"/>
      <c r="OG1002" s="139"/>
      <c r="OH1002" s="139"/>
      <c r="OI1002" s="139"/>
      <c r="OJ1002" s="139"/>
      <c r="OK1002" s="139"/>
      <c r="OL1002" s="139"/>
      <c r="OM1002" s="139"/>
      <c r="ON1002" s="139"/>
      <c r="OO1002" s="139"/>
      <c r="OP1002" s="139"/>
      <c r="OQ1002" s="139"/>
      <c r="OR1002" s="139"/>
      <c r="OS1002" s="139"/>
      <c r="OT1002" s="139"/>
      <c r="OU1002" s="139"/>
      <c r="OV1002" s="139"/>
      <c r="OW1002" s="139"/>
      <c r="OX1002" s="139"/>
      <c r="OY1002" s="139"/>
      <c r="OZ1002" s="139"/>
      <c r="PA1002" s="139"/>
      <c r="PB1002" s="139"/>
      <c r="PC1002" s="139"/>
      <c r="PD1002" s="139"/>
      <c r="PE1002" s="139"/>
      <c r="PF1002" s="139"/>
      <c r="PG1002" s="139"/>
      <c r="PH1002" s="139"/>
      <c r="PI1002" s="139"/>
      <c r="PJ1002" s="139"/>
      <c r="PK1002" s="139"/>
      <c r="PL1002" s="139"/>
      <c r="PM1002" s="139"/>
      <c r="PN1002" s="139"/>
      <c r="PO1002" s="139"/>
      <c r="PP1002" s="139"/>
      <c r="PQ1002" s="139"/>
      <c r="PR1002" s="139"/>
      <c r="PS1002" s="139"/>
      <c r="PT1002" s="139"/>
      <c r="PU1002" s="139"/>
      <c r="PV1002" s="139"/>
      <c r="PW1002" s="139"/>
      <c r="PX1002" s="139"/>
      <c r="PY1002" s="139"/>
      <c r="PZ1002" s="139"/>
      <c r="QA1002" s="139"/>
      <c r="QB1002" s="139"/>
      <c r="QC1002" s="139"/>
      <c r="QD1002" s="139"/>
      <c r="QE1002" s="139"/>
      <c r="QF1002" s="139"/>
      <c r="QG1002" s="139"/>
      <c r="QH1002" s="139"/>
      <c r="QI1002" s="139"/>
      <c r="QJ1002" s="139"/>
      <c r="QK1002" s="139"/>
      <c r="QL1002" s="139"/>
      <c r="QM1002" s="139"/>
      <c r="QN1002" s="139"/>
      <c r="QO1002" s="139"/>
      <c r="QP1002" s="139"/>
      <c r="QQ1002" s="139"/>
      <c r="QR1002" s="139"/>
      <c r="QS1002" s="139"/>
      <c r="QT1002" s="139"/>
      <c r="QU1002" s="139"/>
      <c r="QV1002" s="139"/>
      <c r="QW1002" s="139"/>
      <c r="QX1002" s="139"/>
      <c r="QY1002" s="139"/>
      <c r="QZ1002" s="139"/>
      <c r="RA1002" s="139"/>
      <c r="RB1002" s="139"/>
      <c r="RC1002" s="139"/>
      <c r="RD1002" s="139"/>
      <c r="RE1002" s="139"/>
      <c r="RF1002" s="139"/>
      <c r="RG1002" s="139"/>
      <c r="RH1002" s="139"/>
      <c r="RI1002" s="139"/>
      <c r="RJ1002" s="139"/>
      <c r="RK1002" s="139"/>
      <c r="RL1002" s="139"/>
      <c r="RM1002" s="139"/>
      <c r="RN1002" s="139"/>
      <c r="RO1002" s="139"/>
      <c r="RP1002" s="139"/>
      <c r="RQ1002" s="139"/>
      <c r="RR1002" s="139"/>
      <c r="RS1002" s="139"/>
      <c r="RT1002" s="139"/>
      <c r="RU1002" s="139"/>
      <c r="RV1002" s="139"/>
      <c r="RW1002" s="139"/>
      <c r="RX1002" s="139"/>
      <c r="RY1002" s="139"/>
      <c r="RZ1002" s="139"/>
      <c r="SA1002" s="139"/>
      <c r="SB1002" s="139"/>
      <c r="SC1002" s="139"/>
      <c r="SD1002" s="139"/>
      <c r="SE1002" s="139"/>
      <c r="SF1002" s="139"/>
      <c r="SG1002" s="139"/>
      <c r="SH1002" s="139"/>
      <c r="SI1002" s="139"/>
      <c r="SJ1002" s="139"/>
      <c r="SK1002" s="139"/>
      <c r="SL1002" s="139"/>
      <c r="SM1002" s="139"/>
      <c r="SN1002" s="139"/>
      <c r="SO1002" s="139"/>
      <c r="SP1002" s="139"/>
      <c r="SQ1002" s="139"/>
      <c r="SR1002" s="139"/>
      <c r="SS1002" s="139"/>
      <c r="ST1002" s="139"/>
      <c r="SU1002" s="139"/>
      <c r="SV1002" s="139"/>
      <c r="SW1002" s="139"/>
      <c r="SX1002" s="139"/>
      <c r="SY1002" s="139"/>
      <c r="SZ1002" s="139"/>
      <c r="TA1002" s="139"/>
      <c r="TB1002" s="139"/>
      <c r="TC1002" s="139"/>
      <c r="TD1002" s="139"/>
      <c r="TE1002" s="139"/>
      <c r="TF1002" s="139"/>
      <c r="TG1002" s="139"/>
      <c r="TH1002" s="139"/>
      <c r="TI1002" s="139"/>
      <c r="TJ1002" s="139"/>
      <c r="TK1002" s="139"/>
      <c r="TL1002" s="139"/>
      <c r="TM1002" s="139"/>
      <c r="TN1002" s="139"/>
      <c r="TO1002" s="139"/>
      <c r="TP1002" s="139"/>
      <c r="TQ1002" s="139"/>
      <c r="TR1002" s="139"/>
      <c r="TS1002" s="139"/>
      <c r="TT1002" s="139"/>
      <c r="TU1002" s="139"/>
      <c r="TV1002" s="139"/>
      <c r="TW1002" s="139"/>
      <c r="TX1002" s="139"/>
      <c r="TY1002" s="139"/>
      <c r="TZ1002" s="139"/>
      <c r="UA1002" s="139"/>
      <c r="UB1002" s="139"/>
      <c r="UC1002" s="139"/>
      <c r="UD1002" s="139"/>
      <c r="UE1002" s="139"/>
      <c r="UF1002" s="139"/>
      <c r="UG1002" s="119"/>
    </row>
    <row r="1003" spans="1:553" ht="86.25" customHeight="1">
      <c r="A1003" s="356"/>
      <c r="B1003" s="385">
        <v>146</v>
      </c>
      <c r="C1003" s="1535" t="s">
        <v>1003</v>
      </c>
      <c r="D1003" s="1389"/>
      <c r="E1003" s="1389"/>
      <c r="F1003" s="1390"/>
      <c r="G1003" s="386" t="s">
        <v>33</v>
      </c>
      <c r="H1003" s="370"/>
      <c r="I1003" s="417">
        <f>8*2.8</f>
        <v>22.4</v>
      </c>
      <c r="J1003" s="368">
        <v>3693200</v>
      </c>
      <c r="K1003" s="371"/>
      <c r="L1003" s="391">
        <f t="shared" si="149"/>
        <v>82727680</v>
      </c>
      <c r="M1003" s="395"/>
      <c r="N1003" s="395"/>
      <c r="O1003" s="366"/>
      <c r="P1003" s="396"/>
      <c r="Q1003" s="473"/>
      <c r="R1003" s="1039"/>
      <c r="S1003" s="308"/>
      <c r="T1003" s="308"/>
      <c r="U1003" s="308"/>
      <c r="V1003" s="308"/>
      <c r="W1003" s="308"/>
      <c r="X1003" s="308"/>
      <c r="Y1003" s="308"/>
      <c r="Z1003" s="604"/>
      <c r="AA1003" s="308"/>
      <c r="AB1003" s="308"/>
      <c r="AC1003" s="373"/>
      <c r="AD1003" s="373"/>
      <c r="AE1003" s="373"/>
      <c r="AF1003" s="373"/>
      <c r="AG1003" s="389"/>
      <c r="AH1003" s="389"/>
      <c r="AI1003" s="389"/>
      <c r="AJ1003" s="389"/>
      <c r="AK1003" s="389"/>
      <c r="AL1003" s="100"/>
      <c r="AM1003" s="27"/>
      <c r="AN1003" s="27"/>
      <c r="AO1003" s="27"/>
      <c r="AP1003" s="27"/>
      <c r="AQ1003" s="22"/>
      <c r="AR1003" s="22"/>
      <c r="AS1003" s="22"/>
      <c r="AT1003" s="22"/>
      <c r="AU1003" s="22"/>
      <c r="AV1003" s="22"/>
      <c r="AW1003" s="22"/>
      <c r="AX1003" s="22"/>
      <c r="AY1003" s="22"/>
      <c r="AZ1003" s="22"/>
      <c r="BA1003" s="22"/>
      <c r="BB1003" s="22"/>
      <c r="BC1003" s="22"/>
      <c r="BD1003" s="22"/>
      <c r="BE1003" s="22"/>
      <c r="BF1003" s="22"/>
      <c r="BG1003" s="22"/>
      <c r="BH1003" s="22"/>
      <c r="BI1003" s="22"/>
      <c r="BJ1003" s="22"/>
      <c r="BK1003" s="22"/>
      <c r="BL1003" s="22"/>
      <c r="BM1003" s="22"/>
      <c r="BN1003" s="22"/>
      <c r="BO1003" s="22"/>
      <c r="BP1003" s="22"/>
      <c r="BQ1003" s="22"/>
      <c r="BR1003" s="22"/>
      <c r="BS1003" s="22"/>
      <c r="BT1003" s="22"/>
      <c r="BU1003" s="22"/>
      <c r="BV1003" s="22"/>
      <c r="BW1003" s="22"/>
      <c r="BX1003" s="22"/>
      <c r="BY1003" s="22"/>
      <c r="BZ1003" s="22"/>
      <c r="CA1003" s="22"/>
      <c r="CB1003" s="22"/>
      <c r="CC1003" s="22"/>
      <c r="CD1003" s="22"/>
      <c r="CE1003" s="22"/>
      <c r="CF1003" s="22"/>
      <c r="CG1003" s="22"/>
      <c r="CH1003" s="22"/>
      <c r="CI1003" s="22"/>
      <c r="CJ1003" s="22"/>
      <c r="CK1003" s="22"/>
      <c r="CL1003" s="22"/>
      <c r="CM1003" s="22"/>
      <c r="CN1003" s="22"/>
      <c r="CO1003" s="22"/>
      <c r="CP1003" s="22"/>
      <c r="CQ1003" s="22"/>
      <c r="CR1003" s="22"/>
      <c r="CS1003" s="22"/>
      <c r="CT1003" s="22"/>
      <c r="CU1003" s="22"/>
      <c r="CV1003" s="22"/>
      <c r="CW1003" s="22"/>
      <c r="CX1003" s="22"/>
      <c r="CY1003" s="22"/>
      <c r="CZ1003" s="22"/>
      <c r="DA1003" s="22"/>
      <c r="DB1003" s="22"/>
      <c r="DC1003" s="22"/>
      <c r="DD1003" s="22"/>
      <c r="DE1003" s="22"/>
      <c r="DF1003" s="22"/>
      <c r="DG1003" s="22"/>
      <c r="DH1003" s="22"/>
      <c r="DI1003" s="22"/>
      <c r="DJ1003" s="22"/>
      <c r="DK1003" s="22"/>
      <c r="DL1003" s="22"/>
      <c r="DM1003" s="22"/>
      <c r="DN1003" s="22"/>
      <c r="DO1003" s="22"/>
      <c r="DP1003" s="22"/>
      <c r="DQ1003" s="22"/>
      <c r="DR1003" s="22"/>
      <c r="DS1003" s="22"/>
      <c r="DT1003" s="22"/>
      <c r="DU1003" s="22"/>
      <c r="DV1003" s="22"/>
      <c r="DW1003" s="22"/>
      <c r="DX1003" s="22"/>
      <c r="DY1003" s="22"/>
      <c r="DZ1003" s="22"/>
      <c r="EA1003" s="22"/>
      <c r="EB1003" s="22"/>
      <c r="EC1003" s="22"/>
      <c r="ED1003" s="22"/>
      <c r="EE1003" s="22"/>
      <c r="EF1003" s="22"/>
      <c r="EG1003" s="22"/>
      <c r="EH1003" s="22"/>
      <c r="EI1003" s="22"/>
      <c r="EJ1003" s="22"/>
      <c r="EK1003" s="22"/>
      <c r="EL1003" s="22"/>
      <c r="EM1003" s="22"/>
      <c r="EN1003" s="22"/>
      <c r="EO1003" s="22"/>
      <c r="EP1003" s="22"/>
      <c r="EQ1003" s="22"/>
      <c r="ER1003" s="22"/>
      <c r="ES1003" s="22"/>
      <c r="ET1003" s="22"/>
      <c r="EU1003" s="22"/>
      <c r="EV1003" s="22"/>
      <c r="EW1003" s="22"/>
      <c r="EX1003" s="22"/>
      <c r="EY1003" s="22"/>
      <c r="EZ1003" s="22"/>
      <c r="FA1003" s="22"/>
      <c r="FB1003" s="22"/>
      <c r="FC1003" s="22"/>
      <c r="FD1003" s="22"/>
      <c r="FE1003" s="22"/>
      <c r="FF1003" s="22"/>
      <c r="FG1003" s="22"/>
      <c r="FH1003" s="22"/>
      <c r="FI1003" s="22"/>
      <c r="FJ1003" s="22"/>
      <c r="FK1003" s="22"/>
      <c r="FL1003" s="22"/>
      <c r="FM1003" s="22"/>
      <c r="FN1003" s="22"/>
      <c r="FO1003" s="22"/>
      <c r="FP1003" s="22"/>
      <c r="FQ1003" s="22"/>
      <c r="FR1003" s="22"/>
      <c r="FS1003" s="22"/>
      <c r="FT1003" s="22"/>
      <c r="FU1003" s="22"/>
      <c r="FV1003" s="22"/>
      <c r="FW1003" s="22"/>
      <c r="FX1003" s="22"/>
      <c r="FY1003" s="22"/>
      <c r="FZ1003" s="22"/>
      <c r="GA1003" s="22"/>
      <c r="GB1003" s="22"/>
      <c r="GC1003" s="22"/>
      <c r="GD1003" s="22"/>
      <c r="GE1003" s="22"/>
      <c r="GF1003" s="22"/>
      <c r="GG1003" s="22"/>
      <c r="GH1003" s="22"/>
      <c r="GI1003" s="22"/>
      <c r="GJ1003" s="22"/>
      <c r="GK1003" s="22"/>
      <c r="GL1003" s="22"/>
      <c r="GM1003" s="22"/>
      <c r="GN1003" s="22"/>
      <c r="GO1003" s="22"/>
      <c r="GP1003" s="22"/>
      <c r="GQ1003" s="22"/>
      <c r="GR1003" s="22"/>
      <c r="GS1003" s="22"/>
      <c r="GT1003" s="22"/>
      <c r="GU1003" s="22"/>
      <c r="GV1003" s="22"/>
      <c r="GW1003" s="22"/>
      <c r="GX1003" s="22"/>
      <c r="GY1003" s="22"/>
      <c r="GZ1003" s="22"/>
      <c r="HA1003" s="22"/>
      <c r="HB1003" s="22"/>
      <c r="HC1003" s="22"/>
      <c r="HD1003" s="22"/>
      <c r="HE1003" s="22"/>
      <c r="HF1003" s="22"/>
      <c r="HG1003" s="22"/>
      <c r="HH1003" s="22"/>
      <c r="HI1003" s="22"/>
      <c r="HJ1003" s="22"/>
      <c r="HK1003" s="22"/>
      <c r="HL1003" s="22"/>
      <c r="HM1003" s="22"/>
      <c r="HN1003" s="22"/>
      <c r="HO1003" s="22"/>
      <c r="HP1003" s="22"/>
      <c r="HQ1003" s="22"/>
      <c r="HR1003" s="22"/>
      <c r="HS1003" s="22"/>
      <c r="HT1003" s="22"/>
      <c r="HU1003" s="22"/>
      <c r="HV1003" s="22"/>
      <c r="HW1003" s="22"/>
      <c r="HX1003" s="22"/>
      <c r="HY1003" s="22"/>
      <c r="HZ1003" s="22"/>
      <c r="IA1003" s="22"/>
      <c r="IB1003" s="22"/>
      <c r="IC1003" s="22"/>
      <c r="ID1003" s="22"/>
      <c r="IE1003" s="22"/>
      <c r="IF1003" s="22"/>
      <c r="IG1003" s="22"/>
      <c r="IH1003" s="22"/>
      <c r="II1003" s="22"/>
      <c r="IJ1003" s="22"/>
      <c r="IK1003" s="22"/>
      <c r="IL1003" s="22"/>
      <c r="IM1003" s="22"/>
      <c r="IN1003" s="22"/>
      <c r="IO1003" s="22"/>
      <c r="IP1003" s="22"/>
      <c r="IQ1003" s="22"/>
      <c r="IR1003" s="22"/>
      <c r="IS1003" s="22"/>
      <c r="IT1003" s="22"/>
      <c r="IU1003" s="22"/>
      <c r="IV1003" s="22"/>
      <c r="IW1003" s="22"/>
      <c r="IX1003" s="22"/>
      <c r="IY1003" s="22"/>
      <c r="IZ1003" s="22"/>
      <c r="JA1003" s="22"/>
      <c r="JB1003" s="22"/>
      <c r="JC1003" s="22"/>
      <c r="JD1003" s="22"/>
      <c r="JE1003" s="22"/>
      <c r="JF1003" s="22"/>
      <c r="JG1003" s="22"/>
      <c r="JH1003" s="22"/>
      <c r="JI1003" s="22"/>
      <c r="JJ1003" s="22"/>
      <c r="JK1003" s="22"/>
      <c r="JL1003" s="22"/>
      <c r="JM1003" s="22"/>
      <c r="JN1003" s="22"/>
      <c r="JO1003" s="22"/>
      <c r="JP1003" s="22"/>
      <c r="JQ1003" s="22"/>
      <c r="JR1003" s="22"/>
      <c r="JS1003" s="22"/>
      <c r="JT1003" s="22"/>
      <c r="JU1003" s="22"/>
      <c r="JV1003" s="22"/>
      <c r="JW1003" s="22"/>
      <c r="JX1003" s="22"/>
      <c r="JY1003" s="22"/>
      <c r="JZ1003" s="22"/>
      <c r="KA1003" s="22"/>
      <c r="KB1003" s="22"/>
      <c r="KC1003" s="22"/>
      <c r="KD1003" s="22"/>
      <c r="KE1003" s="22"/>
      <c r="KF1003" s="22"/>
      <c r="KG1003" s="22"/>
      <c r="KH1003" s="22"/>
      <c r="KI1003" s="22"/>
      <c r="KJ1003" s="22"/>
      <c r="KK1003" s="22"/>
      <c r="KL1003" s="22"/>
      <c r="KM1003" s="22"/>
      <c r="KN1003" s="22"/>
      <c r="KO1003" s="22"/>
      <c r="KP1003" s="22"/>
      <c r="KQ1003" s="22"/>
      <c r="KR1003" s="22"/>
      <c r="KS1003" s="22"/>
      <c r="KT1003" s="22"/>
      <c r="KU1003" s="22"/>
      <c r="KV1003" s="22"/>
      <c r="KW1003" s="22"/>
      <c r="KX1003" s="22"/>
      <c r="KY1003" s="22"/>
      <c r="KZ1003" s="22"/>
      <c r="LA1003" s="22"/>
      <c r="LB1003" s="22"/>
      <c r="LC1003" s="22"/>
      <c r="LD1003" s="22"/>
      <c r="LE1003" s="22"/>
      <c r="LF1003" s="22"/>
      <c r="LG1003" s="22"/>
      <c r="LH1003" s="22"/>
      <c r="LI1003" s="22"/>
      <c r="LJ1003" s="22"/>
      <c r="LK1003" s="22"/>
      <c r="LL1003" s="22"/>
      <c r="LM1003" s="22"/>
      <c r="LN1003" s="22"/>
      <c r="LO1003" s="22"/>
      <c r="LP1003" s="22"/>
      <c r="LQ1003" s="22"/>
      <c r="LR1003" s="22"/>
      <c r="LS1003" s="22"/>
      <c r="LT1003" s="22"/>
      <c r="LU1003" s="22"/>
      <c r="LV1003" s="22"/>
      <c r="LW1003" s="22"/>
      <c r="LX1003" s="22"/>
      <c r="LY1003" s="22"/>
      <c r="LZ1003" s="22"/>
      <c r="MA1003" s="22"/>
      <c r="MB1003" s="22"/>
      <c r="MC1003" s="22"/>
      <c r="MD1003" s="22"/>
      <c r="ME1003" s="22"/>
      <c r="MF1003" s="22"/>
      <c r="MG1003" s="22"/>
      <c r="MH1003" s="22"/>
      <c r="MI1003" s="22"/>
      <c r="MJ1003" s="22"/>
      <c r="MK1003" s="22"/>
      <c r="ML1003" s="22"/>
      <c r="MM1003" s="22"/>
      <c r="MN1003" s="22"/>
      <c r="MO1003" s="22"/>
      <c r="MP1003" s="22"/>
      <c r="MQ1003" s="22"/>
      <c r="MR1003" s="22"/>
      <c r="MS1003" s="22"/>
      <c r="MT1003" s="22"/>
      <c r="MU1003" s="22"/>
      <c r="MV1003" s="22"/>
      <c r="MW1003" s="22"/>
      <c r="MX1003" s="22"/>
      <c r="MY1003" s="22"/>
      <c r="MZ1003" s="22"/>
      <c r="NA1003" s="22"/>
      <c r="NB1003" s="22"/>
      <c r="NC1003" s="22"/>
      <c r="ND1003" s="22"/>
      <c r="NE1003" s="22"/>
      <c r="NF1003" s="22"/>
      <c r="NG1003" s="22"/>
      <c r="NH1003" s="22"/>
      <c r="NI1003" s="22"/>
      <c r="NJ1003" s="22"/>
      <c r="NK1003" s="22"/>
      <c r="NL1003" s="22"/>
      <c r="NM1003" s="22"/>
      <c r="NN1003" s="22"/>
      <c r="NO1003" s="22"/>
      <c r="NP1003" s="22"/>
      <c r="NQ1003" s="22"/>
      <c r="NR1003" s="22"/>
      <c r="NS1003" s="22"/>
      <c r="NT1003" s="22"/>
      <c r="NU1003" s="22"/>
      <c r="NV1003" s="22"/>
      <c r="NW1003" s="22"/>
      <c r="NX1003" s="22"/>
      <c r="NY1003" s="22"/>
      <c r="NZ1003" s="22"/>
      <c r="OA1003" s="22"/>
      <c r="OB1003" s="22"/>
      <c r="OC1003" s="22"/>
      <c r="OD1003" s="22"/>
      <c r="OE1003" s="22"/>
      <c r="OF1003" s="22"/>
      <c r="OG1003" s="22"/>
      <c r="OH1003" s="22"/>
      <c r="OI1003" s="22"/>
      <c r="OJ1003" s="22"/>
      <c r="OK1003" s="22"/>
      <c r="OL1003" s="22"/>
      <c r="OM1003" s="22"/>
      <c r="ON1003" s="22"/>
      <c r="OO1003" s="22"/>
      <c r="OP1003" s="22"/>
      <c r="OQ1003" s="22"/>
      <c r="OR1003" s="22"/>
      <c r="OS1003" s="22"/>
      <c r="OT1003" s="22"/>
      <c r="OU1003" s="22"/>
      <c r="OV1003" s="22"/>
      <c r="OW1003" s="22"/>
      <c r="OX1003" s="22"/>
      <c r="OY1003" s="22"/>
      <c r="OZ1003" s="22"/>
      <c r="PA1003" s="22"/>
      <c r="PB1003" s="22"/>
      <c r="PC1003" s="22"/>
      <c r="PD1003" s="22"/>
      <c r="PE1003" s="22"/>
      <c r="PF1003" s="22"/>
      <c r="PG1003" s="22"/>
      <c r="PH1003" s="22"/>
      <c r="PI1003" s="22"/>
      <c r="PJ1003" s="22"/>
      <c r="PK1003" s="22"/>
      <c r="PL1003" s="22"/>
      <c r="PM1003" s="22"/>
      <c r="PN1003" s="22"/>
      <c r="PO1003" s="22"/>
      <c r="PP1003" s="22"/>
      <c r="PQ1003" s="22"/>
      <c r="PR1003" s="22"/>
      <c r="PS1003" s="22"/>
      <c r="PT1003" s="22"/>
      <c r="PU1003" s="22"/>
      <c r="PV1003" s="22"/>
      <c r="PW1003" s="22"/>
      <c r="PX1003" s="22"/>
      <c r="PY1003" s="22"/>
      <c r="PZ1003" s="22"/>
      <c r="QA1003" s="22"/>
      <c r="QB1003" s="22"/>
      <c r="QC1003" s="22"/>
      <c r="QD1003" s="22"/>
      <c r="QE1003" s="22"/>
      <c r="QF1003" s="22"/>
      <c r="QG1003" s="22"/>
      <c r="QH1003" s="22"/>
      <c r="QI1003" s="22"/>
      <c r="QJ1003" s="22"/>
      <c r="QK1003" s="22"/>
      <c r="QL1003" s="22"/>
      <c r="QM1003" s="22"/>
      <c r="QN1003" s="22"/>
      <c r="QO1003" s="22"/>
      <c r="QP1003" s="22"/>
      <c r="QQ1003" s="22"/>
      <c r="QR1003" s="22"/>
      <c r="QS1003" s="22"/>
      <c r="QT1003" s="22"/>
      <c r="QU1003" s="22"/>
      <c r="QV1003" s="22"/>
      <c r="QW1003" s="22"/>
      <c r="QX1003" s="22"/>
      <c r="QY1003" s="22"/>
      <c r="QZ1003" s="22"/>
      <c r="RA1003" s="22"/>
      <c r="RB1003" s="22"/>
      <c r="RC1003" s="22"/>
      <c r="RD1003" s="22"/>
      <c r="RE1003" s="22"/>
      <c r="RF1003" s="22"/>
      <c r="RG1003" s="22"/>
      <c r="RH1003" s="22"/>
      <c r="RI1003" s="22"/>
      <c r="RJ1003" s="22"/>
      <c r="RK1003" s="22"/>
      <c r="RL1003" s="22"/>
      <c r="RM1003" s="22"/>
      <c r="RN1003" s="22"/>
      <c r="RO1003" s="22"/>
      <c r="RP1003" s="22"/>
      <c r="RQ1003" s="22"/>
      <c r="RR1003" s="22"/>
      <c r="RS1003" s="22"/>
      <c r="RT1003" s="22"/>
      <c r="RU1003" s="22"/>
      <c r="RV1003" s="22"/>
      <c r="RW1003" s="22"/>
      <c r="RX1003" s="22"/>
      <c r="RY1003" s="22"/>
      <c r="RZ1003" s="22"/>
      <c r="SA1003" s="22"/>
      <c r="SB1003" s="22"/>
      <c r="SC1003" s="22"/>
      <c r="SD1003" s="22"/>
      <c r="SE1003" s="22"/>
      <c r="SF1003" s="22"/>
      <c r="SG1003" s="22"/>
      <c r="SH1003" s="22"/>
      <c r="SI1003" s="22"/>
      <c r="SJ1003" s="22"/>
      <c r="SK1003" s="22"/>
      <c r="SL1003" s="22"/>
      <c r="SM1003" s="22"/>
      <c r="SN1003" s="22"/>
      <c r="SO1003" s="22"/>
      <c r="SP1003" s="22"/>
      <c r="SQ1003" s="22"/>
      <c r="SR1003" s="22"/>
      <c r="SS1003" s="22"/>
      <c r="ST1003" s="22"/>
      <c r="SU1003" s="22"/>
      <c r="SV1003" s="22"/>
      <c r="SW1003" s="22"/>
      <c r="SX1003" s="22"/>
      <c r="SY1003" s="22"/>
      <c r="SZ1003" s="22"/>
      <c r="TA1003" s="22"/>
      <c r="TB1003" s="22"/>
      <c r="TC1003" s="22"/>
      <c r="TD1003" s="22"/>
      <c r="TE1003" s="22"/>
      <c r="TF1003" s="22"/>
      <c r="TG1003" s="22"/>
      <c r="TH1003" s="22"/>
      <c r="TI1003" s="22"/>
      <c r="TJ1003" s="22"/>
      <c r="TK1003" s="22"/>
      <c r="TL1003" s="22"/>
      <c r="TM1003" s="22"/>
      <c r="TN1003" s="22"/>
      <c r="TO1003" s="22"/>
      <c r="TP1003" s="22"/>
      <c r="TQ1003" s="22"/>
      <c r="TR1003" s="22"/>
      <c r="TS1003" s="22"/>
      <c r="TT1003" s="22"/>
      <c r="TU1003" s="22"/>
      <c r="TV1003" s="22"/>
      <c r="TW1003" s="22"/>
      <c r="TX1003" s="22"/>
      <c r="TY1003" s="22"/>
      <c r="TZ1003" s="22"/>
      <c r="UA1003" s="22"/>
      <c r="UB1003" s="22"/>
      <c r="UC1003" s="22"/>
      <c r="UD1003" s="22"/>
      <c r="UE1003" s="22"/>
      <c r="UF1003" s="22"/>
      <c r="UG1003" s="23"/>
    </row>
    <row r="1004" spans="1:553" ht="50.25" customHeight="1">
      <c r="A1004" s="356"/>
      <c r="B1004" s="385" t="s">
        <v>31</v>
      </c>
      <c r="C1004" s="1535" t="s">
        <v>1004</v>
      </c>
      <c r="D1004" s="1389"/>
      <c r="E1004" s="1389"/>
      <c r="F1004" s="1390"/>
      <c r="G1004" s="386" t="s">
        <v>34</v>
      </c>
      <c r="H1004" s="370"/>
      <c r="I1004" s="422">
        <f>-19.6*4.2*0.11</f>
        <v>-9.055200000000001</v>
      </c>
      <c r="J1004" s="368">
        <v>1913917</v>
      </c>
      <c r="K1004" s="371"/>
      <c r="L1004" s="391">
        <f t="shared" si="149"/>
        <v>-17330901</v>
      </c>
      <c r="M1004" s="395"/>
      <c r="N1004" s="395"/>
      <c r="O1004" s="366"/>
      <c r="P1004" s="396"/>
      <c r="Q1004" s="473"/>
      <c r="R1004" s="1039"/>
      <c r="S1004" s="308"/>
      <c r="T1004" s="308"/>
      <c r="U1004" s="308"/>
      <c r="V1004" s="308"/>
      <c r="W1004" s="308"/>
      <c r="X1004" s="308"/>
      <c r="Y1004" s="308"/>
      <c r="Z1004" s="604"/>
      <c r="AA1004" s="308"/>
      <c r="AB1004" s="308"/>
      <c r="AC1004" s="373"/>
      <c r="AD1004" s="373"/>
      <c r="AE1004" s="373"/>
      <c r="AF1004" s="373"/>
      <c r="AG1004" s="389"/>
      <c r="AH1004" s="389"/>
      <c r="AI1004" s="389"/>
      <c r="AJ1004" s="389"/>
      <c r="AK1004" s="389"/>
      <c r="AL1004" s="100"/>
      <c r="AM1004" s="27"/>
      <c r="AN1004" s="27"/>
      <c r="AO1004" s="27"/>
      <c r="AP1004" s="27"/>
      <c r="AQ1004" s="22"/>
      <c r="AR1004" s="22"/>
      <c r="AS1004" s="22"/>
      <c r="AT1004" s="22"/>
      <c r="AU1004" s="22"/>
      <c r="AV1004" s="22"/>
      <c r="AW1004" s="22"/>
      <c r="AX1004" s="22"/>
      <c r="AY1004" s="22"/>
      <c r="AZ1004" s="22"/>
      <c r="BA1004" s="22"/>
      <c r="BB1004" s="22"/>
      <c r="BC1004" s="22"/>
      <c r="BD1004" s="22"/>
      <c r="BE1004" s="22"/>
      <c r="BF1004" s="22"/>
      <c r="BG1004" s="22"/>
      <c r="BH1004" s="22"/>
      <c r="BI1004" s="22"/>
      <c r="BJ1004" s="22"/>
      <c r="BK1004" s="22"/>
      <c r="BL1004" s="22"/>
      <c r="BM1004" s="22"/>
      <c r="BN1004" s="22"/>
      <c r="BO1004" s="22"/>
      <c r="BP1004" s="22"/>
      <c r="BQ1004" s="22"/>
      <c r="BR1004" s="22"/>
      <c r="BS1004" s="22"/>
      <c r="BT1004" s="22"/>
      <c r="BU1004" s="22"/>
      <c r="BV1004" s="22"/>
      <c r="BW1004" s="22"/>
      <c r="BX1004" s="22"/>
      <c r="BY1004" s="22"/>
      <c r="BZ1004" s="22"/>
      <c r="CA1004" s="22"/>
      <c r="CB1004" s="22"/>
      <c r="CC1004" s="22"/>
      <c r="CD1004" s="22"/>
      <c r="CE1004" s="22"/>
      <c r="CF1004" s="22"/>
      <c r="CG1004" s="22"/>
      <c r="CH1004" s="22"/>
      <c r="CI1004" s="22"/>
      <c r="CJ1004" s="22"/>
      <c r="CK1004" s="22"/>
      <c r="CL1004" s="22"/>
      <c r="CM1004" s="22"/>
      <c r="CN1004" s="22"/>
      <c r="CO1004" s="22"/>
      <c r="CP1004" s="22"/>
      <c r="CQ1004" s="22"/>
      <c r="CR1004" s="22"/>
      <c r="CS1004" s="22"/>
      <c r="CT1004" s="22"/>
      <c r="CU1004" s="22"/>
      <c r="CV1004" s="22"/>
      <c r="CW1004" s="22"/>
      <c r="CX1004" s="22"/>
      <c r="CY1004" s="22"/>
      <c r="CZ1004" s="22"/>
      <c r="DA1004" s="22"/>
      <c r="DB1004" s="22"/>
      <c r="DC1004" s="22"/>
      <c r="DD1004" s="22"/>
      <c r="DE1004" s="22"/>
      <c r="DF1004" s="22"/>
      <c r="DG1004" s="22"/>
      <c r="DH1004" s="22"/>
      <c r="DI1004" s="22"/>
      <c r="DJ1004" s="22"/>
      <c r="DK1004" s="22"/>
      <c r="DL1004" s="22"/>
      <c r="DM1004" s="22"/>
      <c r="DN1004" s="22"/>
      <c r="DO1004" s="22"/>
      <c r="DP1004" s="22"/>
      <c r="DQ1004" s="22"/>
      <c r="DR1004" s="22"/>
      <c r="DS1004" s="22"/>
      <c r="DT1004" s="22"/>
      <c r="DU1004" s="22"/>
      <c r="DV1004" s="22"/>
      <c r="DW1004" s="22"/>
      <c r="DX1004" s="22"/>
      <c r="DY1004" s="22"/>
      <c r="DZ1004" s="22"/>
      <c r="EA1004" s="22"/>
      <c r="EB1004" s="22"/>
      <c r="EC1004" s="22"/>
      <c r="ED1004" s="22"/>
      <c r="EE1004" s="22"/>
      <c r="EF1004" s="22"/>
      <c r="EG1004" s="22"/>
      <c r="EH1004" s="22"/>
      <c r="EI1004" s="22"/>
      <c r="EJ1004" s="22"/>
      <c r="EK1004" s="22"/>
      <c r="EL1004" s="22"/>
      <c r="EM1004" s="22"/>
      <c r="EN1004" s="22"/>
      <c r="EO1004" s="22"/>
      <c r="EP1004" s="22"/>
      <c r="EQ1004" s="22"/>
      <c r="ER1004" s="22"/>
      <c r="ES1004" s="22"/>
      <c r="ET1004" s="22"/>
      <c r="EU1004" s="22"/>
      <c r="EV1004" s="22"/>
      <c r="EW1004" s="22"/>
      <c r="EX1004" s="22"/>
      <c r="EY1004" s="22"/>
      <c r="EZ1004" s="22"/>
      <c r="FA1004" s="22"/>
      <c r="FB1004" s="22"/>
      <c r="FC1004" s="22"/>
      <c r="FD1004" s="22"/>
      <c r="FE1004" s="22"/>
      <c r="FF1004" s="22"/>
      <c r="FG1004" s="22"/>
      <c r="FH1004" s="22"/>
      <c r="FI1004" s="22"/>
      <c r="FJ1004" s="22"/>
      <c r="FK1004" s="22"/>
      <c r="FL1004" s="22"/>
      <c r="FM1004" s="22"/>
      <c r="FN1004" s="22"/>
      <c r="FO1004" s="22"/>
      <c r="FP1004" s="22"/>
      <c r="FQ1004" s="22"/>
      <c r="FR1004" s="22"/>
      <c r="FS1004" s="22"/>
      <c r="FT1004" s="22"/>
      <c r="FU1004" s="22"/>
      <c r="FV1004" s="22"/>
      <c r="FW1004" s="22"/>
      <c r="FX1004" s="22"/>
      <c r="FY1004" s="22"/>
      <c r="FZ1004" s="22"/>
      <c r="GA1004" s="22"/>
      <c r="GB1004" s="22"/>
      <c r="GC1004" s="22"/>
      <c r="GD1004" s="22"/>
      <c r="GE1004" s="22"/>
      <c r="GF1004" s="22"/>
      <c r="GG1004" s="22"/>
      <c r="GH1004" s="22"/>
      <c r="GI1004" s="22"/>
      <c r="GJ1004" s="22"/>
      <c r="GK1004" s="22"/>
      <c r="GL1004" s="22"/>
      <c r="GM1004" s="22"/>
      <c r="GN1004" s="22"/>
      <c r="GO1004" s="22"/>
      <c r="GP1004" s="22"/>
      <c r="GQ1004" s="22"/>
      <c r="GR1004" s="22"/>
      <c r="GS1004" s="22"/>
      <c r="GT1004" s="22"/>
      <c r="GU1004" s="22"/>
      <c r="GV1004" s="22"/>
      <c r="GW1004" s="22"/>
      <c r="GX1004" s="22"/>
      <c r="GY1004" s="22"/>
      <c r="GZ1004" s="22"/>
      <c r="HA1004" s="22"/>
      <c r="HB1004" s="22"/>
      <c r="HC1004" s="22"/>
      <c r="HD1004" s="22"/>
      <c r="HE1004" s="22"/>
      <c r="HF1004" s="22"/>
      <c r="HG1004" s="22"/>
      <c r="HH1004" s="22"/>
      <c r="HI1004" s="22"/>
      <c r="HJ1004" s="22"/>
      <c r="HK1004" s="22"/>
      <c r="HL1004" s="22"/>
      <c r="HM1004" s="22"/>
      <c r="HN1004" s="22"/>
      <c r="HO1004" s="22"/>
      <c r="HP1004" s="22"/>
      <c r="HQ1004" s="22"/>
      <c r="HR1004" s="22"/>
      <c r="HS1004" s="22"/>
      <c r="HT1004" s="22"/>
      <c r="HU1004" s="22"/>
      <c r="HV1004" s="22"/>
      <c r="HW1004" s="22"/>
      <c r="HX1004" s="22"/>
      <c r="HY1004" s="22"/>
      <c r="HZ1004" s="22"/>
      <c r="IA1004" s="22"/>
      <c r="IB1004" s="22"/>
      <c r="IC1004" s="22"/>
      <c r="ID1004" s="22"/>
      <c r="IE1004" s="22"/>
      <c r="IF1004" s="22"/>
      <c r="IG1004" s="22"/>
      <c r="IH1004" s="22"/>
      <c r="II1004" s="22"/>
      <c r="IJ1004" s="22"/>
      <c r="IK1004" s="22"/>
      <c r="IL1004" s="22"/>
      <c r="IM1004" s="22"/>
      <c r="IN1004" s="22"/>
      <c r="IO1004" s="22"/>
      <c r="IP1004" s="22"/>
      <c r="IQ1004" s="22"/>
      <c r="IR1004" s="22"/>
      <c r="IS1004" s="22"/>
      <c r="IT1004" s="22"/>
      <c r="IU1004" s="22"/>
      <c r="IV1004" s="22"/>
      <c r="IW1004" s="22"/>
      <c r="IX1004" s="22"/>
      <c r="IY1004" s="22"/>
      <c r="IZ1004" s="22"/>
      <c r="JA1004" s="22"/>
      <c r="JB1004" s="22"/>
      <c r="JC1004" s="22"/>
      <c r="JD1004" s="22"/>
      <c r="JE1004" s="22"/>
      <c r="JF1004" s="22"/>
      <c r="JG1004" s="22"/>
      <c r="JH1004" s="22"/>
      <c r="JI1004" s="22"/>
      <c r="JJ1004" s="22"/>
      <c r="JK1004" s="22"/>
      <c r="JL1004" s="22"/>
      <c r="JM1004" s="22"/>
      <c r="JN1004" s="22"/>
      <c r="JO1004" s="22"/>
      <c r="JP1004" s="22"/>
      <c r="JQ1004" s="22"/>
      <c r="JR1004" s="22"/>
      <c r="JS1004" s="22"/>
      <c r="JT1004" s="22"/>
      <c r="JU1004" s="22"/>
      <c r="JV1004" s="22"/>
      <c r="JW1004" s="22"/>
      <c r="JX1004" s="22"/>
      <c r="JY1004" s="22"/>
      <c r="JZ1004" s="22"/>
      <c r="KA1004" s="22"/>
      <c r="KB1004" s="22"/>
      <c r="KC1004" s="22"/>
      <c r="KD1004" s="22"/>
      <c r="KE1004" s="22"/>
      <c r="KF1004" s="22"/>
      <c r="KG1004" s="22"/>
      <c r="KH1004" s="22"/>
      <c r="KI1004" s="22"/>
      <c r="KJ1004" s="22"/>
      <c r="KK1004" s="22"/>
      <c r="KL1004" s="22"/>
      <c r="KM1004" s="22"/>
      <c r="KN1004" s="22"/>
      <c r="KO1004" s="22"/>
      <c r="KP1004" s="22"/>
      <c r="KQ1004" s="22"/>
      <c r="KR1004" s="22"/>
      <c r="KS1004" s="22"/>
      <c r="KT1004" s="22"/>
      <c r="KU1004" s="22"/>
      <c r="KV1004" s="22"/>
      <c r="KW1004" s="22"/>
      <c r="KX1004" s="22"/>
      <c r="KY1004" s="22"/>
      <c r="KZ1004" s="22"/>
      <c r="LA1004" s="22"/>
      <c r="LB1004" s="22"/>
      <c r="LC1004" s="22"/>
      <c r="LD1004" s="22"/>
      <c r="LE1004" s="22"/>
      <c r="LF1004" s="22"/>
      <c r="LG1004" s="22"/>
      <c r="LH1004" s="22"/>
      <c r="LI1004" s="22"/>
      <c r="LJ1004" s="22"/>
      <c r="LK1004" s="22"/>
      <c r="LL1004" s="22"/>
      <c r="LM1004" s="22"/>
      <c r="LN1004" s="22"/>
      <c r="LO1004" s="22"/>
      <c r="LP1004" s="22"/>
      <c r="LQ1004" s="22"/>
      <c r="LR1004" s="22"/>
      <c r="LS1004" s="22"/>
      <c r="LT1004" s="22"/>
      <c r="LU1004" s="22"/>
      <c r="LV1004" s="22"/>
      <c r="LW1004" s="22"/>
      <c r="LX1004" s="22"/>
      <c r="LY1004" s="22"/>
      <c r="LZ1004" s="22"/>
      <c r="MA1004" s="22"/>
      <c r="MB1004" s="22"/>
      <c r="MC1004" s="22"/>
      <c r="MD1004" s="22"/>
      <c r="ME1004" s="22"/>
      <c r="MF1004" s="22"/>
      <c r="MG1004" s="22"/>
      <c r="MH1004" s="22"/>
      <c r="MI1004" s="22"/>
      <c r="MJ1004" s="22"/>
      <c r="MK1004" s="22"/>
      <c r="ML1004" s="22"/>
      <c r="MM1004" s="22"/>
      <c r="MN1004" s="22"/>
      <c r="MO1004" s="22"/>
      <c r="MP1004" s="22"/>
      <c r="MQ1004" s="22"/>
      <c r="MR1004" s="22"/>
      <c r="MS1004" s="22"/>
      <c r="MT1004" s="22"/>
      <c r="MU1004" s="22"/>
      <c r="MV1004" s="22"/>
      <c r="MW1004" s="22"/>
      <c r="MX1004" s="22"/>
      <c r="MY1004" s="22"/>
      <c r="MZ1004" s="22"/>
      <c r="NA1004" s="22"/>
      <c r="NB1004" s="22"/>
      <c r="NC1004" s="22"/>
      <c r="ND1004" s="22"/>
      <c r="NE1004" s="22"/>
      <c r="NF1004" s="22"/>
      <c r="NG1004" s="22"/>
      <c r="NH1004" s="22"/>
      <c r="NI1004" s="22"/>
      <c r="NJ1004" s="22"/>
      <c r="NK1004" s="22"/>
      <c r="NL1004" s="22"/>
      <c r="NM1004" s="22"/>
      <c r="NN1004" s="22"/>
      <c r="NO1004" s="22"/>
      <c r="NP1004" s="22"/>
      <c r="NQ1004" s="22"/>
      <c r="NR1004" s="22"/>
      <c r="NS1004" s="22"/>
      <c r="NT1004" s="22"/>
      <c r="NU1004" s="22"/>
      <c r="NV1004" s="22"/>
      <c r="NW1004" s="22"/>
      <c r="NX1004" s="22"/>
      <c r="NY1004" s="22"/>
      <c r="NZ1004" s="22"/>
      <c r="OA1004" s="22"/>
      <c r="OB1004" s="22"/>
      <c r="OC1004" s="22"/>
      <c r="OD1004" s="22"/>
      <c r="OE1004" s="22"/>
      <c r="OF1004" s="22"/>
      <c r="OG1004" s="22"/>
      <c r="OH1004" s="22"/>
      <c r="OI1004" s="22"/>
      <c r="OJ1004" s="22"/>
      <c r="OK1004" s="22"/>
      <c r="OL1004" s="22"/>
      <c r="OM1004" s="22"/>
      <c r="ON1004" s="22"/>
      <c r="OO1004" s="22"/>
      <c r="OP1004" s="22"/>
      <c r="OQ1004" s="22"/>
      <c r="OR1004" s="22"/>
      <c r="OS1004" s="22"/>
      <c r="OT1004" s="22"/>
      <c r="OU1004" s="22"/>
      <c r="OV1004" s="22"/>
      <c r="OW1004" s="22"/>
      <c r="OX1004" s="22"/>
      <c r="OY1004" s="22"/>
      <c r="OZ1004" s="22"/>
      <c r="PA1004" s="22"/>
      <c r="PB1004" s="22"/>
      <c r="PC1004" s="22"/>
      <c r="PD1004" s="22"/>
      <c r="PE1004" s="22"/>
      <c r="PF1004" s="22"/>
      <c r="PG1004" s="22"/>
      <c r="PH1004" s="22"/>
      <c r="PI1004" s="22"/>
      <c r="PJ1004" s="22"/>
      <c r="PK1004" s="22"/>
      <c r="PL1004" s="22"/>
      <c r="PM1004" s="22"/>
      <c r="PN1004" s="22"/>
      <c r="PO1004" s="22"/>
      <c r="PP1004" s="22"/>
      <c r="PQ1004" s="22"/>
      <c r="PR1004" s="22"/>
      <c r="PS1004" s="22"/>
      <c r="PT1004" s="22"/>
      <c r="PU1004" s="22"/>
      <c r="PV1004" s="22"/>
      <c r="PW1004" s="22"/>
      <c r="PX1004" s="22"/>
      <c r="PY1004" s="22"/>
      <c r="PZ1004" s="22"/>
      <c r="QA1004" s="22"/>
      <c r="QB1004" s="22"/>
      <c r="QC1004" s="22"/>
      <c r="QD1004" s="22"/>
      <c r="QE1004" s="22"/>
      <c r="QF1004" s="22"/>
      <c r="QG1004" s="22"/>
      <c r="QH1004" s="22"/>
      <c r="QI1004" s="22"/>
      <c r="QJ1004" s="22"/>
      <c r="QK1004" s="22"/>
      <c r="QL1004" s="22"/>
      <c r="QM1004" s="22"/>
      <c r="QN1004" s="22"/>
      <c r="QO1004" s="22"/>
      <c r="QP1004" s="22"/>
      <c r="QQ1004" s="22"/>
      <c r="QR1004" s="22"/>
      <c r="QS1004" s="22"/>
      <c r="QT1004" s="22"/>
      <c r="QU1004" s="22"/>
      <c r="QV1004" s="22"/>
      <c r="QW1004" s="22"/>
      <c r="QX1004" s="22"/>
      <c r="QY1004" s="22"/>
      <c r="QZ1004" s="22"/>
      <c r="RA1004" s="22"/>
      <c r="RB1004" s="22"/>
      <c r="RC1004" s="22"/>
      <c r="RD1004" s="22"/>
      <c r="RE1004" s="22"/>
      <c r="RF1004" s="22"/>
      <c r="RG1004" s="22"/>
      <c r="RH1004" s="22"/>
      <c r="RI1004" s="22"/>
      <c r="RJ1004" s="22"/>
      <c r="RK1004" s="22"/>
      <c r="RL1004" s="22"/>
      <c r="RM1004" s="22"/>
      <c r="RN1004" s="22"/>
      <c r="RO1004" s="22"/>
      <c r="RP1004" s="22"/>
      <c r="RQ1004" s="22"/>
      <c r="RR1004" s="22"/>
      <c r="RS1004" s="22"/>
      <c r="RT1004" s="22"/>
      <c r="RU1004" s="22"/>
      <c r="RV1004" s="22"/>
      <c r="RW1004" s="22"/>
      <c r="RX1004" s="22"/>
      <c r="RY1004" s="22"/>
      <c r="RZ1004" s="22"/>
      <c r="SA1004" s="22"/>
      <c r="SB1004" s="22"/>
      <c r="SC1004" s="22"/>
      <c r="SD1004" s="22"/>
      <c r="SE1004" s="22"/>
      <c r="SF1004" s="22"/>
      <c r="SG1004" s="22"/>
      <c r="SH1004" s="22"/>
      <c r="SI1004" s="22"/>
      <c r="SJ1004" s="22"/>
      <c r="SK1004" s="22"/>
      <c r="SL1004" s="22"/>
      <c r="SM1004" s="22"/>
      <c r="SN1004" s="22"/>
      <c r="SO1004" s="22"/>
      <c r="SP1004" s="22"/>
      <c r="SQ1004" s="22"/>
      <c r="SR1004" s="22"/>
      <c r="SS1004" s="22"/>
      <c r="ST1004" s="22"/>
      <c r="SU1004" s="22"/>
      <c r="SV1004" s="22"/>
      <c r="SW1004" s="22"/>
      <c r="SX1004" s="22"/>
      <c r="SY1004" s="22"/>
      <c r="SZ1004" s="22"/>
      <c r="TA1004" s="22"/>
      <c r="TB1004" s="22"/>
      <c r="TC1004" s="22"/>
      <c r="TD1004" s="22"/>
      <c r="TE1004" s="22"/>
      <c r="TF1004" s="22"/>
      <c r="TG1004" s="22"/>
      <c r="TH1004" s="22"/>
      <c r="TI1004" s="22"/>
      <c r="TJ1004" s="22"/>
      <c r="TK1004" s="22"/>
      <c r="TL1004" s="22"/>
      <c r="TM1004" s="22"/>
      <c r="TN1004" s="22"/>
      <c r="TO1004" s="22"/>
      <c r="TP1004" s="22"/>
      <c r="TQ1004" s="22"/>
      <c r="TR1004" s="22"/>
      <c r="TS1004" s="22"/>
      <c r="TT1004" s="22"/>
      <c r="TU1004" s="22"/>
      <c r="TV1004" s="22"/>
      <c r="TW1004" s="22"/>
      <c r="TX1004" s="22"/>
      <c r="TY1004" s="22"/>
      <c r="TZ1004" s="22"/>
      <c r="UA1004" s="22"/>
      <c r="UB1004" s="22"/>
      <c r="UC1004" s="22"/>
      <c r="UD1004" s="22"/>
      <c r="UE1004" s="22"/>
      <c r="UF1004" s="22"/>
      <c r="UG1004" s="23"/>
    </row>
    <row r="1005" spans="1:553" ht="50.25" customHeight="1">
      <c r="A1005" s="431" t="s">
        <v>30</v>
      </c>
      <c r="B1005" s="541">
        <v>5</v>
      </c>
      <c r="C1005" s="1556" t="s">
        <v>892</v>
      </c>
      <c r="D1005" s="1389"/>
      <c r="E1005" s="1389"/>
      <c r="F1005" s="1390"/>
      <c r="G1005" s="542" t="s">
        <v>33</v>
      </c>
      <c r="H1005" s="543"/>
      <c r="I1005" s="422">
        <f>-19.6*4.2*2</f>
        <v>-164.64000000000001</v>
      </c>
      <c r="J1005" s="990">
        <v>41700</v>
      </c>
      <c r="K1005" s="644"/>
      <c r="L1005" s="632">
        <f>J1005*I1005</f>
        <v>-6865488.0000000009</v>
      </c>
      <c r="M1005" s="395"/>
      <c r="N1005" s="395"/>
      <c r="O1005" s="366"/>
      <c r="P1005" s="396"/>
      <c r="Q1005" s="473"/>
      <c r="R1005" s="1039"/>
      <c r="S1005" s="308"/>
      <c r="T1005" s="308"/>
      <c r="U1005" s="308"/>
      <c r="V1005" s="308"/>
      <c r="W1005" s="308"/>
      <c r="X1005" s="308"/>
      <c r="Y1005" s="308"/>
      <c r="Z1005" s="604"/>
      <c r="AA1005" s="308"/>
      <c r="AB1005" s="308"/>
      <c r="AC1005" s="373"/>
      <c r="AD1005" s="373"/>
      <c r="AE1005" s="373"/>
      <c r="AF1005" s="373"/>
      <c r="AG1005" s="389"/>
      <c r="AH1005" s="389"/>
      <c r="AI1005" s="389"/>
      <c r="AJ1005" s="389"/>
      <c r="AK1005" s="389"/>
      <c r="AL1005" s="100"/>
      <c r="AM1005" s="100"/>
      <c r="AN1005" s="100"/>
      <c r="AO1005" s="100"/>
      <c r="AP1005" s="100"/>
      <c r="AQ1005" s="101"/>
      <c r="AR1005" s="101"/>
      <c r="AS1005" s="101"/>
      <c r="AT1005" s="101"/>
      <c r="AU1005" s="101"/>
      <c r="AV1005" s="101"/>
      <c r="AW1005" s="101"/>
      <c r="AX1005" s="101"/>
      <c r="AY1005" s="101"/>
      <c r="AZ1005" s="101"/>
      <c r="BA1005" s="101"/>
      <c r="BB1005" s="101"/>
      <c r="BC1005" s="101"/>
      <c r="BD1005" s="101"/>
      <c r="BE1005" s="101"/>
      <c r="BF1005" s="101"/>
      <c r="BG1005" s="101"/>
      <c r="BH1005" s="101"/>
      <c r="BI1005" s="101"/>
      <c r="BJ1005" s="101"/>
      <c r="BK1005" s="101"/>
      <c r="BL1005" s="101"/>
      <c r="BM1005" s="101"/>
      <c r="BN1005" s="101"/>
      <c r="BO1005" s="101"/>
      <c r="BP1005" s="101"/>
      <c r="BQ1005" s="101"/>
      <c r="BR1005" s="101"/>
      <c r="BS1005" s="101"/>
      <c r="BT1005" s="101"/>
      <c r="BU1005" s="101"/>
      <c r="BV1005" s="101"/>
      <c r="BW1005" s="101"/>
      <c r="BX1005" s="101"/>
      <c r="BY1005" s="101"/>
      <c r="BZ1005" s="101"/>
      <c r="CA1005" s="101"/>
      <c r="CB1005" s="101"/>
      <c r="CC1005" s="101"/>
      <c r="CD1005" s="101"/>
      <c r="CE1005" s="101"/>
      <c r="CF1005" s="101"/>
      <c r="CG1005" s="101"/>
      <c r="CH1005" s="101"/>
      <c r="CI1005" s="101"/>
      <c r="CJ1005" s="101"/>
      <c r="CK1005" s="101"/>
      <c r="CL1005" s="101"/>
      <c r="CM1005" s="101"/>
      <c r="CN1005" s="101"/>
      <c r="CO1005" s="101"/>
      <c r="CP1005" s="101"/>
      <c r="CQ1005" s="101"/>
      <c r="CR1005" s="101"/>
      <c r="CS1005" s="101"/>
      <c r="CT1005" s="101"/>
      <c r="CU1005" s="101"/>
      <c r="CV1005" s="101"/>
      <c r="CW1005" s="101"/>
      <c r="CX1005" s="101"/>
      <c r="CY1005" s="101"/>
      <c r="CZ1005" s="101"/>
      <c r="DA1005" s="101"/>
      <c r="DB1005" s="101"/>
      <c r="DC1005" s="101"/>
      <c r="DD1005" s="101"/>
      <c r="DE1005" s="101"/>
      <c r="DF1005" s="101"/>
      <c r="DG1005" s="101"/>
      <c r="DH1005" s="101"/>
      <c r="DI1005" s="101"/>
      <c r="DJ1005" s="101"/>
      <c r="DK1005" s="101"/>
      <c r="DL1005" s="101"/>
      <c r="DM1005" s="101"/>
      <c r="DN1005" s="101"/>
      <c r="DO1005" s="101"/>
      <c r="DP1005" s="101"/>
      <c r="DQ1005" s="101"/>
      <c r="DR1005" s="101"/>
      <c r="DS1005" s="101"/>
      <c r="DT1005" s="101"/>
      <c r="DU1005" s="101"/>
      <c r="DV1005" s="101"/>
      <c r="DW1005" s="101"/>
      <c r="DX1005" s="101"/>
      <c r="DY1005" s="101"/>
      <c r="DZ1005" s="101"/>
      <c r="EA1005" s="101"/>
      <c r="EB1005" s="101"/>
      <c r="EC1005" s="101"/>
      <c r="ED1005" s="101"/>
      <c r="EE1005" s="101"/>
      <c r="EF1005" s="101"/>
      <c r="EG1005" s="101"/>
      <c r="EH1005" s="101"/>
      <c r="EI1005" s="101"/>
      <c r="EJ1005" s="101"/>
      <c r="EK1005" s="101"/>
      <c r="EL1005" s="101"/>
      <c r="EM1005" s="101"/>
      <c r="EN1005" s="101"/>
      <c r="EO1005" s="101"/>
      <c r="EP1005" s="101"/>
      <c r="EQ1005" s="101"/>
      <c r="ER1005" s="101"/>
      <c r="ES1005" s="101"/>
      <c r="ET1005" s="101"/>
      <c r="EU1005" s="101"/>
      <c r="EV1005" s="101"/>
      <c r="EW1005" s="101"/>
      <c r="EX1005" s="101"/>
      <c r="EY1005" s="101"/>
      <c r="EZ1005" s="101"/>
      <c r="FA1005" s="101"/>
      <c r="FB1005" s="101"/>
      <c r="FC1005" s="101"/>
      <c r="FD1005" s="101"/>
      <c r="FE1005" s="101"/>
      <c r="FF1005" s="101"/>
      <c r="FG1005" s="101"/>
      <c r="FH1005" s="101"/>
      <c r="FI1005" s="101"/>
      <c r="FJ1005" s="101"/>
      <c r="FK1005" s="101"/>
      <c r="FL1005" s="101"/>
      <c r="FM1005" s="101"/>
      <c r="FN1005" s="101"/>
      <c r="FO1005" s="101"/>
      <c r="FP1005" s="101"/>
      <c r="FQ1005" s="101"/>
      <c r="FR1005" s="101"/>
      <c r="FS1005" s="101"/>
      <c r="FT1005" s="101"/>
      <c r="FU1005" s="101"/>
      <c r="FV1005" s="101"/>
      <c r="FW1005" s="101"/>
      <c r="FX1005" s="101"/>
      <c r="FY1005" s="101"/>
      <c r="FZ1005" s="101"/>
      <c r="GA1005" s="101"/>
      <c r="GB1005" s="101"/>
      <c r="GC1005" s="101"/>
      <c r="GD1005" s="101"/>
      <c r="GE1005" s="101"/>
      <c r="GF1005" s="101"/>
      <c r="GG1005" s="101"/>
      <c r="GH1005" s="101"/>
      <c r="GI1005" s="101"/>
      <c r="GJ1005" s="101"/>
      <c r="GK1005" s="101"/>
      <c r="GL1005" s="101"/>
      <c r="GM1005" s="101"/>
      <c r="GN1005" s="101"/>
      <c r="GO1005" s="101"/>
      <c r="GP1005" s="101"/>
      <c r="GQ1005" s="101"/>
      <c r="GR1005" s="101"/>
      <c r="GS1005" s="101"/>
      <c r="GT1005" s="101"/>
      <c r="GU1005" s="101"/>
      <c r="GV1005" s="101"/>
      <c r="GW1005" s="101"/>
      <c r="GX1005" s="101"/>
      <c r="GY1005" s="101"/>
      <c r="GZ1005" s="101"/>
      <c r="HA1005" s="101"/>
      <c r="HB1005" s="101"/>
      <c r="HC1005" s="101"/>
      <c r="HD1005" s="101"/>
      <c r="HE1005" s="101"/>
      <c r="HF1005" s="101"/>
      <c r="HG1005" s="101"/>
      <c r="HH1005" s="101"/>
      <c r="HI1005" s="101"/>
      <c r="HJ1005" s="101"/>
      <c r="HK1005" s="101"/>
      <c r="HL1005" s="101"/>
      <c r="HM1005" s="101"/>
      <c r="HN1005" s="101"/>
      <c r="HO1005" s="101"/>
      <c r="HP1005" s="101"/>
      <c r="HQ1005" s="101"/>
      <c r="HR1005" s="101"/>
      <c r="HS1005" s="101"/>
      <c r="HT1005" s="101"/>
      <c r="HU1005" s="101"/>
      <c r="HV1005" s="101"/>
      <c r="HW1005" s="101"/>
      <c r="HX1005" s="101"/>
      <c r="HY1005" s="101"/>
      <c r="HZ1005" s="101"/>
      <c r="IA1005" s="101"/>
      <c r="IB1005" s="101"/>
      <c r="IC1005" s="101"/>
      <c r="ID1005" s="101"/>
      <c r="IE1005" s="101"/>
      <c r="IF1005" s="101"/>
      <c r="IG1005" s="101"/>
      <c r="IH1005" s="101"/>
      <c r="II1005" s="101"/>
      <c r="IJ1005" s="101"/>
      <c r="IK1005" s="101"/>
      <c r="IL1005" s="101"/>
      <c r="IM1005" s="101"/>
      <c r="IN1005" s="101"/>
      <c r="IO1005" s="101"/>
      <c r="IP1005" s="101"/>
      <c r="IQ1005" s="101"/>
      <c r="IR1005" s="101"/>
      <c r="IS1005" s="101"/>
      <c r="IT1005" s="101"/>
      <c r="IU1005" s="101"/>
      <c r="IV1005" s="101"/>
      <c r="IW1005" s="101"/>
      <c r="IX1005" s="101"/>
      <c r="IY1005" s="101"/>
      <c r="IZ1005" s="101"/>
      <c r="JA1005" s="101"/>
      <c r="JB1005" s="101"/>
      <c r="JC1005" s="101"/>
      <c r="JD1005" s="101"/>
      <c r="JE1005" s="101"/>
      <c r="JF1005" s="101"/>
      <c r="JG1005" s="101"/>
      <c r="JH1005" s="101"/>
      <c r="JI1005" s="101"/>
      <c r="JJ1005" s="101"/>
      <c r="JK1005" s="101"/>
      <c r="JL1005" s="101"/>
      <c r="JM1005" s="101"/>
      <c r="JN1005" s="101"/>
      <c r="JO1005" s="101"/>
      <c r="JP1005" s="101"/>
      <c r="JQ1005" s="101"/>
      <c r="JR1005" s="101"/>
      <c r="JS1005" s="101"/>
      <c r="JT1005" s="101"/>
      <c r="JU1005" s="101"/>
      <c r="JV1005" s="101"/>
      <c r="JW1005" s="101"/>
      <c r="JX1005" s="101"/>
      <c r="JY1005" s="101"/>
      <c r="JZ1005" s="101"/>
      <c r="KA1005" s="101"/>
      <c r="KB1005" s="101"/>
      <c r="KC1005" s="101"/>
      <c r="KD1005" s="101"/>
      <c r="KE1005" s="101"/>
      <c r="KF1005" s="101"/>
      <c r="KG1005" s="101"/>
      <c r="KH1005" s="101"/>
      <c r="KI1005" s="101"/>
      <c r="KJ1005" s="101"/>
      <c r="KK1005" s="101"/>
      <c r="KL1005" s="101"/>
      <c r="KM1005" s="101"/>
      <c r="KN1005" s="101"/>
      <c r="KO1005" s="101"/>
      <c r="KP1005" s="101"/>
      <c r="KQ1005" s="101"/>
      <c r="KR1005" s="101"/>
      <c r="KS1005" s="101"/>
      <c r="KT1005" s="101"/>
      <c r="KU1005" s="101"/>
      <c r="KV1005" s="101"/>
      <c r="KW1005" s="101"/>
      <c r="KX1005" s="101"/>
      <c r="KY1005" s="101"/>
      <c r="KZ1005" s="101"/>
      <c r="LA1005" s="101"/>
      <c r="LB1005" s="101"/>
      <c r="LC1005" s="101"/>
      <c r="LD1005" s="101"/>
      <c r="LE1005" s="101"/>
      <c r="LF1005" s="101"/>
      <c r="LG1005" s="101"/>
      <c r="LH1005" s="101"/>
      <c r="LI1005" s="101"/>
      <c r="LJ1005" s="101"/>
      <c r="LK1005" s="101"/>
      <c r="LL1005" s="101"/>
      <c r="LM1005" s="101"/>
      <c r="LN1005" s="101"/>
      <c r="LO1005" s="101"/>
      <c r="LP1005" s="101"/>
      <c r="LQ1005" s="101"/>
      <c r="LR1005" s="101"/>
      <c r="LS1005" s="101"/>
      <c r="LT1005" s="101"/>
      <c r="LU1005" s="101"/>
      <c r="LV1005" s="101"/>
      <c r="LW1005" s="101"/>
      <c r="LX1005" s="101"/>
      <c r="LY1005" s="101"/>
      <c r="LZ1005" s="101"/>
      <c r="MA1005" s="101"/>
      <c r="MB1005" s="101"/>
      <c r="MC1005" s="101"/>
      <c r="MD1005" s="101"/>
      <c r="ME1005" s="101"/>
      <c r="MF1005" s="101"/>
      <c r="MG1005" s="101"/>
      <c r="MH1005" s="101"/>
      <c r="MI1005" s="101"/>
      <c r="MJ1005" s="101"/>
      <c r="MK1005" s="101"/>
      <c r="ML1005" s="101"/>
      <c r="MM1005" s="101"/>
      <c r="MN1005" s="101"/>
      <c r="MO1005" s="101"/>
      <c r="MP1005" s="101"/>
      <c r="MQ1005" s="101"/>
      <c r="MR1005" s="101"/>
      <c r="MS1005" s="101"/>
      <c r="MT1005" s="101"/>
      <c r="MU1005" s="101"/>
      <c r="MV1005" s="101"/>
      <c r="MW1005" s="101"/>
      <c r="MX1005" s="101"/>
      <c r="MY1005" s="101"/>
      <c r="MZ1005" s="101"/>
      <c r="NA1005" s="101"/>
      <c r="NB1005" s="101"/>
      <c r="NC1005" s="101"/>
      <c r="ND1005" s="101"/>
      <c r="NE1005" s="101"/>
      <c r="NF1005" s="101"/>
      <c r="NG1005" s="101"/>
      <c r="NH1005" s="101"/>
      <c r="NI1005" s="101"/>
      <c r="NJ1005" s="101"/>
      <c r="NK1005" s="101"/>
      <c r="NL1005" s="101"/>
      <c r="NM1005" s="101"/>
      <c r="NN1005" s="101"/>
      <c r="NO1005" s="101"/>
      <c r="NP1005" s="101"/>
      <c r="NQ1005" s="101"/>
      <c r="NR1005" s="101"/>
      <c r="NS1005" s="101"/>
      <c r="NT1005" s="101"/>
      <c r="NU1005" s="101"/>
      <c r="NV1005" s="101"/>
      <c r="NW1005" s="101"/>
      <c r="NX1005" s="101"/>
      <c r="NY1005" s="101"/>
      <c r="NZ1005" s="101"/>
      <c r="OA1005" s="101"/>
      <c r="OB1005" s="101"/>
      <c r="OC1005" s="101"/>
      <c r="OD1005" s="101"/>
      <c r="OE1005" s="101"/>
      <c r="OF1005" s="101"/>
      <c r="OG1005" s="101"/>
      <c r="OH1005" s="101"/>
      <c r="OI1005" s="101"/>
      <c r="OJ1005" s="101"/>
      <c r="OK1005" s="101"/>
      <c r="OL1005" s="101"/>
      <c r="OM1005" s="101"/>
      <c r="ON1005" s="101"/>
      <c r="OO1005" s="101"/>
      <c r="OP1005" s="101"/>
      <c r="OQ1005" s="101"/>
      <c r="OR1005" s="101"/>
      <c r="OS1005" s="101"/>
      <c r="OT1005" s="101"/>
      <c r="OU1005" s="101"/>
      <c r="OV1005" s="101"/>
      <c r="OW1005" s="101"/>
      <c r="OX1005" s="101"/>
      <c r="OY1005" s="101"/>
      <c r="OZ1005" s="101"/>
      <c r="PA1005" s="101"/>
      <c r="PB1005" s="101"/>
      <c r="PC1005" s="101"/>
      <c r="PD1005" s="101"/>
      <c r="PE1005" s="101"/>
      <c r="PF1005" s="101"/>
      <c r="PG1005" s="101"/>
      <c r="PH1005" s="101"/>
      <c r="PI1005" s="101"/>
      <c r="PJ1005" s="101"/>
      <c r="PK1005" s="101"/>
      <c r="PL1005" s="101"/>
      <c r="PM1005" s="101"/>
      <c r="PN1005" s="101"/>
      <c r="PO1005" s="101"/>
      <c r="PP1005" s="101"/>
      <c r="PQ1005" s="101"/>
      <c r="PR1005" s="101"/>
      <c r="PS1005" s="101"/>
      <c r="PT1005" s="101"/>
      <c r="PU1005" s="101"/>
      <c r="PV1005" s="101"/>
      <c r="PW1005" s="101"/>
      <c r="PX1005" s="101"/>
      <c r="PY1005" s="101"/>
      <c r="PZ1005" s="101"/>
      <c r="QA1005" s="101"/>
      <c r="QB1005" s="101"/>
      <c r="QC1005" s="101"/>
      <c r="QD1005" s="101"/>
      <c r="QE1005" s="101"/>
      <c r="QF1005" s="101"/>
      <c r="QG1005" s="101"/>
      <c r="QH1005" s="101"/>
      <c r="QI1005" s="101"/>
      <c r="QJ1005" s="101"/>
      <c r="QK1005" s="101"/>
      <c r="QL1005" s="101"/>
      <c r="QM1005" s="101"/>
      <c r="QN1005" s="101"/>
      <c r="QO1005" s="101"/>
      <c r="QP1005" s="101"/>
      <c r="QQ1005" s="101"/>
      <c r="QR1005" s="101"/>
      <c r="QS1005" s="101"/>
      <c r="QT1005" s="101"/>
      <c r="QU1005" s="101"/>
      <c r="QV1005" s="101"/>
      <c r="QW1005" s="101"/>
      <c r="QX1005" s="101"/>
      <c r="QY1005" s="101"/>
      <c r="QZ1005" s="101"/>
      <c r="RA1005" s="101"/>
      <c r="RB1005" s="101"/>
      <c r="RC1005" s="101"/>
      <c r="RD1005" s="101"/>
      <c r="RE1005" s="101"/>
      <c r="RF1005" s="101"/>
      <c r="RG1005" s="101"/>
      <c r="RH1005" s="101"/>
      <c r="RI1005" s="101"/>
      <c r="RJ1005" s="101"/>
      <c r="RK1005" s="101"/>
      <c r="RL1005" s="101"/>
      <c r="RM1005" s="101"/>
      <c r="RN1005" s="101"/>
      <c r="RO1005" s="101"/>
      <c r="RP1005" s="101"/>
      <c r="RQ1005" s="101"/>
      <c r="RR1005" s="101"/>
      <c r="RS1005" s="101"/>
      <c r="RT1005" s="101"/>
      <c r="RU1005" s="101"/>
      <c r="RV1005" s="101"/>
      <c r="RW1005" s="101"/>
      <c r="RX1005" s="101"/>
      <c r="RY1005" s="101"/>
      <c r="RZ1005" s="101"/>
      <c r="SA1005" s="101"/>
      <c r="SB1005" s="101"/>
      <c r="SC1005" s="101"/>
      <c r="SD1005" s="101"/>
      <c r="SE1005" s="101"/>
      <c r="SF1005" s="101"/>
      <c r="SG1005" s="101"/>
      <c r="SH1005" s="101"/>
      <c r="SI1005" s="101"/>
      <c r="SJ1005" s="101"/>
      <c r="SK1005" s="101"/>
      <c r="SL1005" s="101"/>
      <c r="SM1005" s="101"/>
      <c r="SN1005" s="101"/>
      <c r="SO1005" s="101"/>
      <c r="SP1005" s="101"/>
      <c r="SQ1005" s="101"/>
      <c r="SR1005" s="101"/>
      <c r="SS1005" s="101"/>
      <c r="ST1005" s="101"/>
      <c r="SU1005" s="101"/>
      <c r="SV1005" s="101"/>
      <c r="SW1005" s="101"/>
      <c r="SX1005" s="101"/>
      <c r="SY1005" s="101"/>
      <c r="SZ1005" s="101"/>
      <c r="TA1005" s="101"/>
      <c r="TB1005" s="101"/>
      <c r="TC1005" s="101"/>
      <c r="TD1005" s="101"/>
      <c r="TE1005" s="101"/>
      <c r="TF1005" s="101"/>
      <c r="TG1005" s="101"/>
      <c r="TH1005" s="101"/>
      <c r="TI1005" s="101"/>
      <c r="TJ1005" s="101"/>
      <c r="TK1005" s="101"/>
      <c r="TL1005" s="101"/>
      <c r="TM1005" s="101"/>
      <c r="TN1005" s="101"/>
      <c r="TO1005" s="101"/>
      <c r="TP1005" s="101"/>
      <c r="TQ1005" s="101"/>
      <c r="TR1005" s="101"/>
      <c r="TS1005" s="101"/>
      <c r="TT1005" s="101"/>
      <c r="TU1005" s="101"/>
      <c r="TV1005" s="101"/>
      <c r="TW1005" s="101"/>
      <c r="TX1005" s="101"/>
      <c r="TY1005" s="101"/>
      <c r="TZ1005" s="101"/>
      <c r="UA1005" s="101"/>
      <c r="UB1005" s="101"/>
      <c r="UC1005" s="101"/>
      <c r="UD1005" s="101"/>
      <c r="UE1005" s="101"/>
      <c r="UF1005" s="101"/>
      <c r="UG1005" s="23"/>
    </row>
    <row r="1006" spans="1:553" ht="51" customHeight="1">
      <c r="A1006" s="356"/>
      <c r="B1006" s="385">
        <v>52</v>
      </c>
      <c r="C1006" s="1535" t="s">
        <v>578</v>
      </c>
      <c r="D1006" s="1389"/>
      <c r="E1006" s="1389"/>
      <c r="F1006" s="1390"/>
      <c r="G1006" s="386"/>
      <c r="H1006" s="370"/>
      <c r="I1006" s="417">
        <f>(3.5*2.8)+(2*1.7)</f>
        <v>13.2</v>
      </c>
      <c r="J1006" s="368">
        <v>60200</v>
      </c>
      <c r="K1006" s="371"/>
      <c r="L1006" s="391">
        <f t="shared" si="149"/>
        <v>794640</v>
      </c>
      <c r="M1006" s="395"/>
      <c r="N1006" s="395"/>
      <c r="O1006" s="366"/>
      <c r="P1006" s="396"/>
      <c r="Q1006" s="473"/>
      <c r="R1006" s="1039"/>
      <c r="S1006" s="308"/>
      <c r="T1006" s="308"/>
      <c r="U1006" s="308"/>
      <c r="V1006" s="308"/>
      <c r="W1006" s="308"/>
      <c r="X1006" s="308"/>
      <c r="Y1006" s="308"/>
      <c r="Z1006" s="604"/>
      <c r="AA1006" s="308"/>
      <c r="AB1006" s="308"/>
      <c r="AC1006" s="373"/>
      <c r="AD1006" s="373"/>
      <c r="AE1006" s="373"/>
      <c r="AF1006" s="373"/>
      <c r="AG1006" s="389"/>
      <c r="AH1006" s="389"/>
      <c r="AI1006" s="389"/>
      <c r="AJ1006" s="389"/>
      <c r="AK1006" s="389"/>
      <c r="AL1006" s="100"/>
      <c r="AM1006" s="27"/>
      <c r="AN1006" s="27"/>
      <c r="AO1006" s="27"/>
      <c r="AP1006" s="27"/>
      <c r="AQ1006" s="22"/>
      <c r="AR1006" s="22"/>
      <c r="AS1006" s="22"/>
      <c r="AT1006" s="22"/>
      <c r="AU1006" s="22"/>
      <c r="AV1006" s="22"/>
      <c r="AW1006" s="22"/>
      <c r="AX1006" s="22"/>
      <c r="AY1006" s="22"/>
      <c r="AZ1006" s="22"/>
      <c r="BA1006" s="22"/>
      <c r="BB1006" s="22"/>
      <c r="BC1006" s="22"/>
      <c r="BD1006" s="22"/>
      <c r="BE1006" s="22"/>
      <c r="BF1006" s="22"/>
      <c r="BG1006" s="22"/>
      <c r="BH1006" s="22"/>
      <c r="BI1006" s="22"/>
      <c r="BJ1006" s="22"/>
      <c r="BK1006" s="22"/>
      <c r="BL1006" s="22"/>
      <c r="BM1006" s="22"/>
      <c r="BN1006" s="22"/>
      <c r="BO1006" s="22"/>
      <c r="BP1006" s="22"/>
      <c r="BQ1006" s="22"/>
      <c r="BR1006" s="22"/>
      <c r="BS1006" s="22"/>
      <c r="BT1006" s="22"/>
      <c r="BU1006" s="22"/>
      <c r="BV1006" s="22"/>
      <c r="BW1006" s="22"/>
      <c r="BX1006" s="22"/>
      <c r="BY1006" s="22"/>
      <c r="BZ1006" s="22"/>
      <c r="CA1006" s="22"/>
      <c r="CB1006" s="22"/>
      <c r="CC1006" s="22"/>
      <c r="CD1006" s="22"/>
      <c r="CE1006" s="22"/>
      <c r="CF1006" s="22"/>
      <c r="CG1006" s="22"/>
      <c r="CH1006" s="22"/>
      <c r="CI1006" s="22"/>
      <c r="CJ1006" s="22"/>
      <c r="CK1006" s="22"/>
      <c r="CL1006" s="22"/>
      <c r="CM1006" s="22"/>
      <c r="CN1006" s="22"/>
      <c r="CO1006" s="22"/>
      <c r="CP1006" s="22"/>
      <c r="CQ1006" s="22"/>
      <c r="CR1006" s="22"/>
      <c r="CS1006" s="22"/>
      <c r="CT1006" s="22"/>
      <c r="CU1006" s="22"/>
      <c r="CV1006" s="22"/>
      <c r="CW1006" s="22"/>
      <c r="CX1006" s="22"/>
      <c r="CY1006" s="22"/>
      <c r="CZ1006" s="22"/>
      <c r="DA1006" s="22"/>
      <c r="DB1006" s="22"/>
      <c r="DC1006" s="22"/>
      <c r="DD1006" s="22"/>
      <c r="DE1006" s="22"/>
      <c r="DF1006" s="22"/>
      <c r="DG1006" s="22"/>
      <c r="DH1006" s="22"/>
      <c r="DI1006" s="22"/>
      <c r="DJ1006" s="22"/>
      <c r="DK1006" s="22"/>
      <c r="DL1006" s="22"/>
      <c r="DM1006" s="22"/>
      <c r="DN1006" s="22"/>
      <c r="DO1006" s="22"/>
      <c r="DP1006" s="22"/>
      <c r="DQ1006" s="22"/>
      <c r="DR1006" s="22"/>
      <c r="DS1006" s="22"/>
      <c r="DT1006" s="22"/>
      <c r="DU1006" s="22"/>
      <c r="DV1006" s="22"/>
      <c r="DW1006" s="22"/>
      <c r="DX1006" s="22"/>
      <c r="DY1006" s="22"/>
      <c r="DZ1006" s="22"/>
      <c r="EA1006" s="22"/>
      <c r="EB1006" s="22"/>
      <c r="EC1006" s="22"/>
      <c r="ED1006" s="22"/>
      <c r="EE1006" s="22"/>
      <c r="EF1006" s="22"/>
      <c r="EG1006" s="22"/>
      <c r="EH1006" s="22"/>
      <c r="EI1006" s="22"/>
      <c r="EJ1006" s="22"/>
      <c r="EK1006" s="22"/>
      <c r="EL1006" s="22"/>
      <c r="EM1006" s="22"/>
      <c r="EN1006" s="22"/>
      <c r="EO1006" s="22"/>
      <c r="EP1006" s="22"/>
      <c r="EQ1006" s="22"/>
      <c r="ER1006" s="22"/>
      <c r="ES1006" s="22"/>
      <c r="ET1006" s="22"/>
      <c r="EU1006" s="22"/>
      <c r="EV1006" s="22"/>
      <c r="EW1006" s="22"/>
      <c r="EX1006" s="22"/>
      <c r="EY1006" s="22"/>
      <c r="EZ1006" s="22"/>
      <c r="FA1006" s="22"/>
      <c r="FB1006" s="22"/>
      <c r="FC1006" s="22"/>
      <c r="FD1006" s="22"/>
      <c r="FE1006" s="22"/>
      <c r="FF1006" s="22"/>
      <c r="FG1006" s="22"/>
      <c r="FH1006" s="22"/>
      <c r="FI1006" s="22"/>
      <c r="FJ1006" s="22"/>
      <c r="FK1006" s="22"/>
      <c r="FL1006" s="22"/>
      <c r="FM1006" s="22"/>
      <c r="FN1006" s="22"/>
      <c r="FO1006" s="22"/>
      <c r="FP1006" s="22"/>
      <c r="FQ1006" s="22"/>
      <c r="FR1006" s="22"/>
      <c r="FS1006" s="22"/>
      <c r="FT1006" s="22"/>
      <c r="FU1006" s="22"/>
      <c r="FV1006" s="22"/>
      <c r="FW1006" s="22"/>
      <c r="FX1006" s="22"/>
      <c r="FY1006" s="22"/>
      <c r="FZ1006" s="22"/>
      <c r="GA1006" s="22"/>
      <c r="GB1006" s="22"/>
      <c r="GC1006" s="22"/>
      <c r="GD1006" s="22"/>
      <c r="GE1006" s="22"/>
      <c r="GF1006" s="22"/>
      <c r="GG1006" s="22"/>
      <c r="GH1006" s="22"/>
      <c r="GI1006" s="22"/>
      <c r="GJ1006" s="22"/>
      <c r="GK1006" s="22"/>
      <c r="GL1006" s="22"/>
      <c r="GM1006" s="22"/>
      <c r="GN1006" s="22"/>
      <c r="GO1006" s="22"/>
      <c r="GP1006" s="22"/>
      <c r="GQ1006" s="22"/>
      <c r="GR1006" s="22"/>
      <c r="GS1006" s="22"/>
      <c r="GT1006" s="22"/>
      <c r="GU1006" s="22"/>
      <c r="GV1006" s="22"/>
      <c r="GW1006" s="22"/>
      <c r="GX1006" s="22"/>
      <c r="GY1006" s="22"/>
      <c r="GZ1006" s="22"/>
      <c r="HA1006" s="22"/>
      <c r="HB1006" s="22"/>
      <c r="HC1006" s="22"/>
      <c r="HD1006" s="22"/>
      <c r="HE1006" s="22"/>
      <c r="HF1006" s="22"/>
      <c r="HG1006" s="22"/>
      <c r="HH1006" s="22"/>
      <c r="HI1006" s="22"/>
      <c r="HJ1006" s="22"/>
      <c r="HK1006" s="22"/>
      <c r="HL1006" s="22"/>
      <c r="HM1006" s="22"/>
      <c r="HN1006" s="22"/>
      <c r="HO1006" s="22"/>
      <c r="HP1006" s="22"/>
      <c r="HQ1006" s="22"/>
      <c r="HR1006" s="22"/>
      <c r="HS1006" s="22"/>
      <c r="HT1006" s="22"/>
      <c r="HU1006" s="22"/>
      <c r="HV1006" s="22"/>
      <c r="HW1006" s="22"/>
      <c r="HX1006" s="22"/>
      <c r="HY1006" s="22"/>
      <c r="HZ1006" s="22"/>
      <c r="IA1006" s="22"/>
      <c r="IB1006" s="22"/>
      <c r="IC1006" s="22"/>
      <c r="ID1006" s="22"/>
      <c r="IE1006" s="22"/>
      <c r="IF1006" s="22"/>
      <c r="IG1006" s="22"/>
      <c r="IH1006" s="22"/>
      <c r="II1006" s="22"/>
      <c r="IJ1006" s="22"/>
      <c r="IK1006" s="22"/>
      <c r="IL1006" s="22"/>
      <c r="IM1006" s="22"/>
      <c r="IN1006" s="22"/>
      <c r="IO1006" s="22"/>
      <c r="IP1006" s="22"/>
      <c r="IQ1006" s="22"/>
      <c r="IR1006" s="22"/>
      <c r="IS1006" s="22"/>
      <c r="IT1006" s="22"/>
      <c r="IU1006" s="22"/>
      <c r="IV1006" s="22"/>
      <c r="IW1006" s="22"/>
      <c r="IX1006" s="22"/>
      <c r="IY1006" s="22"/>
      <c r="IZ1006" s="22"/>
      <c r="JA1006" s="22"/>
      <c r="JB1006" s="22"/>
      <c r="JC1006" s="22"/>
      <c r="JD1006" s="22"/>
      <c r="JE1006" s="22"/>
      <c r="JF1006" s="22"/>
      <c r="JG1006" s="22"/>
      <c r="JH1006" s="22"/>
      <c r="JI1006" s="22"/>
      <c r="JJ1006" s="22"/>
      <c r="JK1006" s="22"/>
      <c r="JL1006" s="22"/>
      <c r="JM1006" s="22"/>
      <c r="JN1006" s="22"/>
      <c r="JO1006" s="22"/>
      <c r="JP1006" s="22"/>
      <c r="JQ1006" s="22"/>
      <c r="JR1006" s="22"/>
      <c r="JS1006" s="22"/>
      <c r="JT1006" s="22"/>
      <c r="JU1006" s="22"/>
      <c r="JV1006" s="22"/>
      <c r="JW1006" s="22"/>
      <c r="JX1006" s="22"/>
      <c r="JY1006" s="22"/>
      <c r="JZ1006" s="22"/>
      <c r="KA1006" s="22"/>
      <c r="KB1006" s="22"/>
      <c r="KC1006" s="22"/>
      <c r="KD1006" s="22"/>
      <c r="KE1006" s="22"/>
      <c r="KF1006" s="22"/>
      <c r="KG1006" s="22"/>
      <c r="KH1006" s="22"/>
      <c r="KI1006" s="22"/>
      <c r="KJ1006" s="22"/>
      <c r="KK1006" s="22"/>
      <c r="KL1006" s="22"/>
      <c r="KM1006" s="22"/>
      <c r="KN1006" s="22"/>
      <c r="KO1006" s="22"/>
      <c r="KP1006" s="22"/>
      <c r="KQ1006" s="22"/>
      <c r="KR1006" s="22"/>
      <c r="KS1006" s="22"/>
      <c r="KT1006" s="22"/>
      <c r="KU1006" s="22"/>
      <c r="KV1006" s="22"/>
      <c r="KW1006" s="22"/>
      <c r="KX1006" s="22"/>
      <c r="KY1006" s="22"/>
      <c r="KZ1006" s="22"/>
      <c r="LA1006" s="22"/>
      <c r="LB1006" s="22"/>
      <c r="LC1006" s="22"/>
      <c r="LD1006" s="22"/>
      <c r="LE1006" s="22"/>
      <c r="LF1006" s="22"/>
      <c r="LG1006" s="22"/>
      <c r="LH1006" s="22"/>
      <c r="LI1006" s="22"/>
      <c r="LJ1006" s="22"/>
      <c r="LK1006" s="22"/>
      <c r="LL1006" s="22"/>
      <c r="LM1006" s="22"/>
      <c r="LN1006" s="22"/>
      <c r="LO1006" s="22"/>
      <c r="LP1006" s="22"/>
      <c r="LQ1006" s="22"/>
      <c r="LR1006" s="22"/>
      <c r="LS1006" s="22"/>
      <c r="LT1006" s="22"/>
      <c r="LU1006" s="22"/>
      <c r="LV1006" s="22"/>
      <c r="LW1006" s="22"/>
      <c r="LX1006" s="22"/>
      <c r="LY1006" s="22"/>
      <c r="LZ1006" s="22"/>
      <c r="MA1006" s="22"/>
      <c r="MB1006" s="22"/>
      <c r="MC1006" s="22"/>
      <c r="MD1006" s="22"/>
      <c r="ME1006" s="22"/>
      <c r="MF1006" s="22"/>
      <c r="MG1006" s="22"/>
      <c r="MH1006" s="22"/>
      <c r="MI1006" s="22"/>
      <c r="MJ1006" s="22"/>
      <c r="MK1006" s="22"/>
      <c r="ML1006" s="22"/>
      <c r="MM1006" s="22"/>
      <c r="MN1006" s="22"/>
      <c r="MO1006" s="22"/>
      <c r="MP1006" s="22"/>
      <c r="MQ1006" s="22"/>
      <c r="MR1006" s="22"/>
      <c r="MS1006" s="22"/>
      <c r="MT1006" s="22"/>
      <c r="MU1006" s="22"/>
      <c r="MV1006" s="22"/>
      <c r="MW1006" s="22"/>
      <c r="MX1006" s="22"/>
      <c r="MY1006" s="22"/>
      <c r="MZ1006" s="22"/>
      <c r="NA1006" s="22"/>
      <c r="NB1006" s="22"/>
      <c r="NC1006" s="22"/>
      <c r="ND1006" s="22"/>
      <c r="NE1006" s="22"/>
      <c r="NF1006" s="22"/>
      <c r="NG1006" s="22"/>
      <c r="NH1006" s="22"/>
      <c r="NI1006" s="22"/>
      <c r="NJ1006" s="22"/>
      <c r="NK1006" s="22"/>
      <c r="NL1006" s="22"/>
      <c r="NM1006" s="22"/>
      <c r="NN1006" s="22"/>
      <c r="NO1006" s="22"/>
      <c r="NP1006" s="22"/>
      <c r="NQ1006" s="22"/>
      <c r="NR1006" s="22"/>
      <c r="NS1006" s="22"/>
      <c r="NT1006" s="22"/>
      <c r="NU1006" s="22"/>
      <c r="NV1006" s="22"/>
      <c r="NW1006" s="22"/>
      <c r="NX1006" s="22"/>
      <c r="NY1006" s="22"/>
      <c r="NZ1006" s="22"/>
      <c r="OA1006" s="22"/>
      <c r="OB1006" s="22"/>
      <c r="OC1006" s="22"/>
      <c r="OD1006" s="22"/>
      <c r="OE1006" s="22"/>
      <c r="OF1006" s="22"/>
      <c r="OG1006" s="22"/>
      <c r="OH1006" s="22"/>
      <c r="OI1006" s="22"/>
      <c r="OJ1006" s="22"/>
      <c r="OK1006" s="22"/>
      <c r="OL1006" s="22"/>
      <c r="OM1006" s="22"/>
      <c r="ON1006" s="22"/>
      <c r="OO1006" s="22"/>
      <c r="OP1006" s="22"/>
      <c r="OQ1006" s="22"/>
      <c r="OR1006" s="22"/>
      <c r="OS1006" s="22"/>
      <c r="OT1006" s="22"/>
      <c r="OU1006" s="22"/>
      <c r="OV1006" s="22"/>
      <c r="OW1006" s="22"/>
      <c r="OX1006" s="22"/>
      <c r="OY1006" s="22"/>
      <c r="OZ1006" s="22"/>
      <c r="PA1006" s="22"/>
      <c r="PB1006" s="22"/>
      <c r="PC1006" s="22"/>
      <c r="PD1006" s="22"/>
      <c r="PE1006" s="22"/>
      <c r="PF1006" s="22"/>
      <c r="PG1006" s="22"/>
      <c r="PH1006" s="22"/>
      <c r="PI1006" s="22"/>
      <c r="PJ1006" s="22"/>
      <c r="PK1006" s="22"/>
      <c r="PL1006" s="22"/>
      <c r="PM1006" s="22"/>
      <c r="PN1006" s="22"/>
      <c r="PO1006" s="22"/>
      <c r="PP1006" s="22"/>
      <c r="PQ1006" s="22"/>
      <c r="PR1006" s="22"/>
      <c r="PS1006" s="22"/>
      <c r="PT1006" s="22"/>
      <c r="PU1006" s="22"/>
      <c r="PV1006" s="22"/>
      <c r="PW1006" s="22"/>
      <c r="PX1006" s="22"/>
      <c r="PY1006" s="22"/>
      <c r="PZ1006" s="22"/>
      <c r="QA1006" s="22"/>
      <c r="QB1006" s="22"/>
      <c r="QC1006" s="22"/>
      <c r="QD1006" s="22"/>
      <c r="QE1006" s="22"/>
      <c r="QF1006" s="22"/>
      <c r="QG1006" s="22"/>
      <c r="QH1006" s="22"/>
      <c r="QI1006" s="22"/>
      <c r="QJ1006" s="22"/>
      <c r="QK1006" s="22"/>
      <c r="QL1006" s="22"/>
      <c r="QM1006" s="22"/>
      <c r="QN1006" s="22"/>
      <c r="QO1006" s="22"/>
      <c r="QP1006" s="22"/>
      <c r="QQ1006" s="22"/>
      <c r="QR1006" s="22"/>
      <c r="QS1006" s="22"/>
      <c r="QT1006" s="22"/>
      <c r="QU1006" s="22"/>
      <c r="QV1006" s="22"/>
      <c r="QW1006" s="22"/>
      <c r="QX1006" s="22"/>
      <c r="QY1006" s="22"/>
      <c r="QZ1006" s="22"/>
      <c r="RA1006" s="22"/>
      <c r="RB1006" s="22"/>
      <c r="RC1006" s="22"/>
      <c r="RD1006" s="22"/>
      <c r="RE1006" s="22"/>
      <c r="RF1006" s="22"/>
      <c r="RG1006" s="22"/>
      <c r="RH1006" s="22"/>
      <c r="RI1006" s="22"/>
      <c r="RJ1006" s="22"/>
      <c r="RK1006" s="22"/>
      <c r="RL1006" s="22"/>
      <c r="RM1006" s="22"/>
      <c r="RN1006" s="22"/>
      <c r="RO1006" s="22"/>
      <c r="RP1006" s="22"/>
      <c r="RQ1006" s="22"/>
      <c r="RR1006" s="22"/>
      <c r="RS1006" s="22"/>
      <c r="RT1006" s="22"/>
      <c r="RU1006" s="22"/>
      <c r="RV1006" s="22"/>
      <c r="RW1006" s="22"/>
      <c r="RX1006" s="22"/>
      <c r="RY1006" s="22"/>
      <c r="RZ1006" s="22"/>
      <c r="SA1006" s="22"/>
      <c r="SB1006" s="22"/>
      <c r="SC1006" s="22"/>
      <c r="SD1006" s="22"/>
      <c r="SE1006" s="22"/>
      <c r="SF1006" s="22"/>
      <c r="SG1006" s="22"/>
      <c r="SH1006" s="22"/>
      <c r="SI1006" s="22"/>
      <c r="SJ1006" s="22"/>
      <c r="SK1006" s="22"/>
      <c r="SL1006" s="22"/>
      <c r="SM1006" s="22"/>
      <c r="SN1006" s="22"/>
      <c r="SO1006" s="22"/>
      <c r="SP1006" s="22"/>
      <c r="SQ1006" s="22"/>
      <c r="SR1006" s="22"/>
      <c r="SS1006" s="22"/>
      <c r="ST1006" s="22"/>
      <c r="SU1006" s="22"/>
      <c r="SV1006" s="22"/>
      <c r="SW1006" s="22"/>
      <c r="SX1006" s="22"/>
      <c r="SY1006" s="22"/>
      <c r="SZ1006" s="22"/>
      <c r="TA1006" s="22"/>
      <c r="TB1006" s="22"/>
      <c r="TC1006" s="22"/>
      <c r="TD1006" s="22"/>
      <c r="TE1006" s="22"/>
      <c r="TF1006" s="22"/>
      <c r="TG1006" s="22"/>
      <c r="TH1006" s="22"/>
      <c r="TI1006" s="22"/>
      <c r="TJ1006" s="22"/>
      <c r="TK1006" s="22"/>
      <c r="TL1006" s="22"/>
      <c r="TM1006" s="22"/>
      <c r="TN1006" s="22"/>
      <c r="TO1006" s="22"/>
      <c r="TP1006" s="22"/>
      <c r="TQ1006" s="22"/>
      <c r="TR1006" s="22"/>
      <c r="TS1006" s="22"/>
      <c r="TT1006" s="22"/>
      <c r="TU1006" s="22"/>
      <c r="TV1006" s="22"/>
      <c r="TW1006" s="22"/>
      <c r="TX1006" s="22"/>
      <c r="TY1006" s="22"/>
      <c r="TZ1006" s="22"/>
      <c r="UA1006" s="22"/>
      <c r="UB1006" s="22"/>
      <c r="UC1006" s="22"/>
      <c r="UD1006" s="22"/>
      <c r="UE1006" s="22"/>
      <c r="UF1006" s="22"/>
      <c r="UG1006" s="23"/>
    </row>
    <row r="1007" spans="1:553" ht="51" customHeight="1">
      <c r="A1007" s="356"/>
      <c r="B1007" s="385">
        <v>217</v>
      </c>
      <c r="C1007" s="1535" t="s">
        <v>579</v>
      </c>
      <c r="D1007" s="1389"/>
      <c r="E1007" s="1389"/>
      <c r="F1007" s="1390"/>
      <c r="G1007" s="386"/>
      <c r="H1007" s="370"/>
      <c r="I1007" s="417">
        <f>6.8*4.8</f>
        <v>32.64</v>
      </c>
      <c r="J1007" s="368">
        <v>137200</v>
      </c>
      <c r="K1007" s="371"/>
      <c r="L1007" s="391">
        <f t="shared" si="149"/>
        <v>4478208</v>
      </c>
      <c r="M1007" s="395"/>
      <c r="N1007" s="395"/>
      <c r="O1007" s="366"/>
      <c r="P1007" s="396"/>
      <c r="Q1007" s="473"/>
      <c r="R1007" s="1039"/>
      <c r="S1007" s="308"/>
      <c r="T1007" s="308"/>
      <c r="U1007" s="308"/>
      <c r="V1007" s="308"/>
      <c r="W1007" s="308"/>
      <c r="X1007" s="308"/>
      <c r="Y1007" s="308"/>
      <c r="Z1007" s="604"/>
      <c r="AA1007" s="308"/>
      <c r="AB1007" s="308"/>
      <c r="AC1007" s="373"/>
      <c r="AD1007" s="373"/>
      <c r="AE1007" s="373"/>
      <c r="AF1007" s="373"/>
      <c r="AG1007" s="389"/>
      <c r="AH1007" s="389"/>
      <c r="AI1007" s="389"/>
      <c r="AJ1007" s="389"/>
      <c r="AK1007" s="389"/>
      <c r="AL1007" s="100"/>
      <c r="AM1007" s="27"/>
      <c r="AN1007" s="27"/>
      <c r="AO1007" s="27"/>
      <c r="AP1007" s="27"/>
      <c r="AQ1007" s="22"/>
      <c r="AR1007" s="22"/>
      <c r="AS1007" s="22"/>
      <c r="AT1007" s="22"/>
      <c r="AU1007" s="22"/>
      <c r="AV1007" s="22"/>
      <c r="AW1007" s="22"/>
      <c r="AX1007" s="22"/>
      <c r="AY1007" s="22"/>
      <c r="AZ1007" s="22"/>
      <c r="BA1007" s="22"/>
      <c r="BB1007" s="22"/>
      <c r="BC1007" s="22"/>
      <c r="BD1007" s="22"/>
      <c r="BE1007" s="22"/>
      <c r="BF1007" s="22"/>
      <c r="BG1007" s="22"/>
      <c r="BH1007" s="22"/>
      <c r="BI1007" s="22"/>
      <c r="BJ1007" s="22"/>
      <c r="BK1007" s="22"/>
      <c r="BL1007" s="22"/>
      <c r="BM1007" s="22"/>
      <c r="BN1007" s="22"/>
      <c r="BO1007" s="22"/>
      <c r="BP1007" s="22"/>
      <c r="BQ1007" s="22"/>
      <c r="BR1007" s="22"/>
      <c r="BS1007" s="22"/>
      <c r="BT1007" s="22"/>
      <c r="BU1007" s="22"/>
      <c r="BV1007" s="22"/>
      <c r="BW1007" s="22"/>
      <c r="BX1007" s="22"/>
      <c r="BY1007" s="22"/>
      <c r="BZ1007" s="22"/>
      <c r="CA1007" s="22"/>
      <c r="CB1007" s="22"/>
      <c r="CC1007" s="22"/>
      <c r="CD1007" s="22"/>
      <c r="CE1007" s="22"/>
      <c r="CF1007" s="22"/>
      <c r="CG1007" s="22"/>
      <c r="CH1007" s="22"/>
      <c r="CI1007" s="22"/>
      <c r="CJ1007" s="22"/>
      <c r="CK1007" s="22"/>
      <c r="CL1007" s="22"/>
      <c r="CM1007" s="22"/>
      <c r="CN1007" s="22"/>
      <c r="CO1007" s="22"/>
      <c r="CP1007" s="22"/>
      <c r="CQ1007" s="22"/>
      <c r="CR1007" s="22"/>
      <c r="CS1007" s="22"/>
      <c r="CT1007" s="22"/>
      <c r="CU1007" s="22"/>
      <c r="CV1007" s="22"/>
      <c r="CW1007" s="22"/>
      <c r="CX1007" s="22"/>
      <c r="CY1007" s="22"/>
      <c r="CZ1007" s="22"/>
      <c r="DA1007" s="22"/>
      <c r="DB1007" s="22"/>
      <c r="DC1007" s="22"/>
      <c r="DD1007" s="22"/>
      <c r="DE1007" s="22"/>
      <c r="DF1007" s="22"/>
      <c r="DG1007" s="22"/>
      <c r="DH1007" s="22"/>
      <c r="DI1007" s="22"/>
      <c r="DJ1007" s="22"/>
      <c r="DK1007" s="22"/>
      <c r="DL1007" s="22"/>
      <c r="DM1007" s="22"/>
      <c r="DN1007" s="22"/>
      <c r="DO1007" s="22"/>
      <c r="DP1007" s="22"/>
      <c r="DQ1007" s="22"/>
      <c r="DR1007" s="22"/>
      <c r="DS1007" s="22"/>
      <c r="DT1007" s="22"/>
      <c r="DU1007" s="22"/>
      <c r="DV1007" s="22"/>
      <c r="DW1007" s="22"/>
      <c r="DX1007" s="22"/>
      <c r="DY1007" s="22"/>
      <c r="DZ1007" s="22"/>
      <c r="EA1007" s="22"/>
      <c r="EB1007" s="22"/>
      <c r="EC1007" s="22"/>
      <c r="ED1007" s="22"/>
      <c r="EE1007" s="22"/>
      <c r="EF1007" s="22"/>
      <c r="EG1007" s="22"/>
      <c r="EH1007" s="22"/>
      <c r="EI1007" s="22"/>
      <c r="EJ1007" s="22"/>
      <c r="EK1007" s="22"/>
      <c r="EL1007" s="22"/>
      <c r="EM1007" s="22"/>
      <c r="EN1007" s="22"/>
      <c r="EO1007" s="22"/>
      <c r="EP1007" s="22"/>
      <c r="EQ1007" s="22"/>
      <c r="ER1007" s="22"/>
      <c r="ES1007" s="22"/>
      <c r="ET1007" s="22"/>
      <c r="EU1007" s="22"/>
      <c r="EV1007" s="22"/>
      <c r="EW1007" s="22"/>
      <c r="EX1007" s="22"/>
      <c r="EY1007" s="22"/>
      <c r="EZ1007" s="22"/>
      <c r="FA1007" s="22"/>
      <c r="FB1007" s="22"/>
      <c r="FC1007" s="22"/>
      <c r="FD1007" s="22"/>
      <c r="FE1007" s="22"/>
      <c r="FF1007" s="22"/>
      <c r="FG1007" s="22"/>
      <c r="FH1007" s="22"/>
      <c r="FI1007" s="22"/>
      <c r="FJ1007" s="22"/>
      <c r="FK1007" s="22"/>
      <c r="FL1007" s="22"/>
      <c r="FM1007" s="22"/>
      <c r="FN1007" s="22"/>
      <c r="FO1007" s="22"/>
      <c r="FP1007" s="22"/>
      <c r="FQ1007" s="22"/>
      <c r="FR1007" s="22"/>
      <c r="FS1007" s="22"/>
      <c r="FT1007" s="22"/>
      <c r="FU1007" s="22"/>
      <c r="FV1007" s="22"/>
      <c r="FW1007" s="22"/>
      <c r="FX1007" s="22"/>
      <c r="FY1007" s="22"/>
      <c r="FZ1007" s="22"/>
      <c r="GA1007" s="22"/>
      <c r="GB1007" s="22"/>
      <c r="GC1007" s="22"/>
      <c r="GD1007" s="22"/>
      <c r="GE1007" s="22"/>
      <c r="GF1007" s="22"/>
      <c r="GG1007" s="22"/>
      <c r="GH1007" s="22"/>
      <c r="GI1007" s="22"/>
      <c r="GJ1007" s="22"/>
      <c r="GK1007" s="22"/>
      <c r="GL1007" s="22"/>
      <c r="GM1007" s="22"/>
      <c r="GN1007" s="22"/>
      <c r="GO1007" s="22"/>
      <c r="GP1007" s="22"/>
      <c r="GQ1007" s="22"/>
      <c r="GR1007" s="22"/>
      <c r="GS1007" s="22"/>
      <c r="GT1007" s="22"/>
      <c r="GU1007" s="22"/>
      <c r="GV1007" s="22"/>
      <c r="GW1007" s="22"/>
      <c r="GX1007" s="22"/>
      <c r="GY1007" s="22"/>
      <c r="GZ1007" s="22"/>
      <c r="HA1007" s="22"/>
      <c r="HB1007" s="22"/>
      <c r="HC1007" s="22"/>
      <c r="HD1007" s="22"/>
      <c r="HE1007" s="22"/>
      <c r="HF1007" s="22"/>
      <c r="HG1007" s="22"/>
      <c r="HH1007" s="22"/>
      <c r="HI1007" s="22"/>
      <c r="HJ1007" s="22"/>
      <c r="HK1007" s="22"/>
      <c r="HL1007" s="22"/>
      <c r="HM1007" s="22"/>
      <c r="HN1007" s="22"/>
      <c r="HO1007" s="22"/>
      <c r="HP1007" s="22"/>
      <c r="HQ1007" s="22"/>
      <c r="HR1007" s="22"/>
      <c r="HS1007" s="22"/>
      <c r="HT1007" s="22"/>
      <c r="HU1007" s="22"/>
      <c r="HV1007" s="22"/>
      <c r="HW1007" s="22"/>
      <c r="HX1007" s="22"/>
      <c r="HY1007" s="22"/>
      <c r="HZ1007" s="22"/>
      <c r="IA1007" s="22"/>
      <c r="IB1007" s="22"/>
      <c r="IC1007" s="22"/>
      <c r="ID1007" s="22"/>
      <c r="IE1007" s="22"/>
      <c r="IF1007" s="22"/>
      <c r="IG1007" s="22"/>
      <c r="IH1007" s="22"/>
      <c r="II1007" s="22"/>
      <c r="IJ1007" s="22"/>
      <c r="IK1007" s="22"/>
      <c r="IL1007" s="22"/>
      <c r="IM1007" s="22"/>
      <c r="IN1007" s="22"/>
      <c r="IO1007" s="22"/>
      <c r="IP1007" s="22"/>
      <c r="IQ1007" s="22"/>
      <c r="IR1007" s="22"/>
      <c r="IS1007" s="22"/>
      <c r="IT1007" s="22"/>
      <c r="IU1007" s="22"/>
      <c r="IV1007" s="22"/>
      <c r="IW1007" s="22"/>
      <c r="IX1007" s="22"/>
      <c r="IY1007" s="22"/>
      <c r="IZ1007" s="22"/>
      <c r="JA1007" s="22"/>
      <c r="JB1007" s="22"/>
      <c r="JC1007" s="22"/>
      <c r="JD1007" s="22"/>
      <c r="JE1007" s="22"/>
      <c r="JF1007" s="22"/>
      <c r="JG1007" s="22"/>
      <c r="JH1007" s="22"/>
      <c r="JI1007" s="22"/>
      <c r="JJ1007" s="22"/>
      <c r="JK1007" s="22"/>
      <c r="JL1007" s="22"/>
      <c r="JM1007" s="22"/>
      <c r="JN1007" s="22"/>
      <c r="JO1007" s="22"/>
      <c r="JP1007" s="22"/>
      <c r="JQ1007" s="22"/>
      <c r="JR1007" s="22"/>
      <c r="JS1007" s="22"/>
      <c r="JT1007" s="22"/>
      <c r="JU1007" s="22"/>
      <c r="JV1007" s="22"/>
      <c r="JW1007" s="22"/>
      <c r="JX1007" s="22"/>
      <c r="JY1007" s="22"/>
      <c r="JZ1007" s="22"/>
      <c r="KA1007" s="22"/>
      <c r="KB1007" s="22"/>
      <c r="KC1007" s="22"/>
      <c r="KD1007" s="22"/>
      <c r="KE1007" s="22"/>
      <c r="KF1007" s="22"/>
      <c r="KG1007" s="22"/>
      <c r="KH1007" s="22"/>
      <c r="KI1007" s="22"/>
      <c r="KJ1007" s="22"/>
      <c r="KK1007" s="22"/>
      <c r="KL1007" s="22"/>
      <c r="KM1007" s="22"/>
      <c r="KN1007" s="22"/>
      <c r="KO1007" s="22"/>
      <c r="KP1007" s="22"/>
      <c r="KQ1007" s="22"/>
      <c r="KR1007" s="22"/>
      <c r="KS1007" s="22"/>
      <c r="KT1007" s="22"/>
      <c r="KU1007" s="22"/>
      <c r="KV1007" s="22"/>
      <c r="KW1007" s="22"/>
      <c r="KX1007" s="22"/>
      <c r="KY1007" s="22"/>
      <c r="KZ1007" s="22"/>
      <c r="LA1007" s="22"/>
      <c r="LB1007" s="22"/>
      <c r="LC1007" s="22"/>
      <c r="LD1007" s="22"/>
      <c r="LE1007" s="22"/>
      <c r="LF1007" s="22"/>
      <c r="LG1007" s="22"/>
      <c r="LH1007" s="22"/>
      <c r="LI1007" s="22"/>
      <c r="LJ1007" s="22"/>
      <c r="LK1007" s="22"/>
      <c r="LL1007" s="22"/>
      <c r="LM1007" s="22"/>
      <c r="LN1007" s="22"/>
      <c r="LO1007" s="22"/>
      <c r="LP1007" s="22"/>
      <c r="LQ1007" s="22"/>
      <c r="LR1007" s="22"/>
      <c r="LS1007" s="22"/>
      <c r="LT1007" s="22"/>
      <c r="LU1007" s="22"/>
      <c r="LV1007" s="22"/>
      <c r="LW1007" s="22"/>
      <c r="LX1007" s="22"/>
      <c r="LY1007" s="22"/>
      <c r="LZ1007" s="22"/>
      <c r="MA1007" s="22"/>
      <c r="MB1007" s="22"/>
      <c r="MC1007" s="22"/>
      <c r="MD1007" s="22"/>
      <c r="ME1007" s="22"/>
      <c r="MF1007" s="22"/>
      <c r="MG1007" s="22"/>
      <c r="MH1007" s="22"/>
      <c r="MI1007" s="22"/>
      <c r="MJ1007" s="22"/>
      <c r="MK1007" s="22"/>
      <c r="ML1007" s="22"/>
      <c r="MM1007" s="22"/>
      <c r="MN1007" s="22"/>
      <c r="MO1007" s="22"/>
      <c r="MP1007" s="22"/>
      <c r="MQ1007" s="22"/>
      <c r="MR1007" s="22"/>
      <c r="MS1007" s="22"/>
      <c r="MT1007" s="22"/>
      <c r="MU1007" s="22"/>
      <c r="MV1007" s="22"/>
      <c r="MW1007" s="22"/>
      <c r="MX1007" s="22"/>
      <c r="MY1007" s="22"/>
      <c r="MZ1007" s="22"/>
      <c r="NA1007" s="22"/>
      <c r="NB1007" s="22"/>
      <c r="NC1007" s="22"/>
      <c r="ND1007" s="22"/>
      <c r="NE1007" s="22"/>
      <c r="NF1007" s="22"/>
      <c r="NG1007" s="22"/>
      <c r="NH1007" s="22"/>
      <c r="NI1007" s="22"/>
      <c r="NJ1007" s="22"/>
      <c r="NK1007" s="22"/>
      <c r="NL1007" s="22"/>
      <c r="NM1007" s="22"/>
      <c r="NN1007" s="22"/>
      <c r="NO1007" s="22"/>
      <c r="NP1007" s="22"/>
      <c r="NQ1007" s="22"/>
      <c r="NR1007" s="22"/>
      <c r="NS1007" s="22"/>
      <c r="NT1007" s="22"/>
      <c r="NU1007" s="22"/>
      <c r="NV1007" s="22"/>
      <c r="NW1007" s="22"/>
      <c r="NX1007" s="22"/>
      <c r="NY1007" s="22"/>
      <c r="NZ1007" s="22"/>
      <c r="OA1007" s="22"/>
      <c r="OB1007" s="22"/>
      <c r="OC1007" s="22"/>
      <c r="OD1007" s="22"/>
      <c r="OE1007" s="22"/>
      <c r="OF1007" s="22"/>
      <c r="OG1007" s="22"/>
      <c r="OH1007" s="22"/>
      <c r="OI1007" s="22"/>
      <c r="OJ1007" s="22"/>
      <c r="OK1007" s="22"/>
      <c r="OL1007" s="22"/>
      <c r="OM1007" s="22"/>
      <c r="ON1007" s="22"/>
      <c r="OO1007" s="22"/>
      <c r="OP1007" s="22"/>
      <c r="OQ1007" s="22"/>
      <c r="OR1007" s="22"/>
      <c r="OS1007" s="22"/>
      <c r="OT1007" s="22"/>
      <c r="OU1007" s="22"/>
      <c r="OV1007" s="22"/>
      <c r="OW1007" s="22"/>
      <c r="OX1007" s="22"/>
      <c r="OY1007" s="22"/>
      <c r="OZ1007" s="22"/>
      <c r="PA1007" s="22"/>
      <c r="PB1007" s="22"/>
      <c r="PC1007" s="22"/>
      <c r="PD1007" s="22"/>
      <c r="PE1007" s="22"/>
      <c r="PF1007" s="22"/>
      <c r="PG1007" s="22"/>
      <c r="PH1007" s="22"/>
      <c r="PI1007" s="22"/>
      <c r="PJ1007" s="22"/>
      <c r="PK1007" s="22"/>
      <c r="PL1007" s="22"/>
      <c r="PM1007" s="22"/>
      <c r="PN1007" s="22"/>
      <c r="PO1007" s="22"/>
      <c r="PP1007" s="22"/>
      <c r="PQ1007" s="22"/>
      <c r="PR1007" s="22"/>
      <c r="PS1007" s="22"/>
      <c r="PT1007" s="22"/>
      <c r="PU1007" s="22"/>
      <c r="PV1007" s="22"/>
      <c r="PW1007" s="22"/>
      <c r="PX1007" s="22"/>
      <c r="PY1007" s="22"/>
      <c r="PZ1007" s="22"/>
      <c r="QA1007" s="22"/>
      <c r="QB1007" s="22"/>
      <c r="QC1007" s="22"/>
      <c r="QD1007" s="22"/>
      <c r="QE1007" s="22"/>
      <c r="QF1007" s="22"/>
      <c r="QG1007" s="22"/>
      <c r="QH1007" s="22"/>
      <c r="QI1007" s="22"/>
      <c r="QJ1007" s="22"/>
      <c r="QK1007" s="22"/>
      <c r="QL1007" s="22"/>
      <c r="QM1007" s="22"/>
      <c r="QN1007" s="22"/>
      <c r="QO1007" s="22"/>
      <c r="QP1007" s="22"/>
      <c r="QQ1007" s="22"/>
      <c r="QR1007" s="22"/>
      <c r="QS1007" s="22"/>
      <c r="QT1007" s="22"/>
      <c r="QU1007" s="22"/>
      <c r="QV1007" s="22"/>
      <c r="QW1007" s="22"/>
      <c r="QX1007" s="22"/>
      <c r="QY1007" s="22"/>
      <c r="QZ1007" s="22"/>
      <c r="RA1007" s="22"/>
      <c r="RB1007" s="22"/>
      <c r="RC1007" s="22"/>
      <c r="RD1007" s="22"/>
      <c r="RE1007" s="22"/>
      <c r="RF1007" s="22"/>
      <c r="RG1007" s="22"/>
      <c r="RH1007" s="22"/>
      <c r="RI1007" s="22"/>
      <c r="RJ1007" s="22"/>
      <c r="RK1007" s="22"/>
      <c r="RL1007" s="22"/>
      <c r="RM1007" s="22"/>
      <c r="RN1007" s="22"/>
      <c r="RO1007" s="22"/>
      <c r="RP1007" s="22"/>
      <c r="RQ1007" s="22"/>
      <c r="RR1007" s="22"/>
      <c r="RS1007" s="22"/>
      <c r="RT1007" s="22"/>
      <c r="RU1007" s="22"/>
      <c r="RV1007" s="22"/>
      <c r="RW1007" s="22"/>
      <c r="RX1007" s="22"/>
      <c r="RY1007" s="22"/>
      <c r="RZ1007" s="22"/>
      <c r="SA1007" s="22"/>
      <c r="SB1007" s="22"/>
      <c r="SC1007" s="22"/>
      <c r="SD1007" s="22"/>
      <c r="SE1007" s="22"/>
      <c r="SF1007" s="22"/>
      <c r="SG1007" s="22"/>
      <c r="SH1007" s="22"/>
      <c r="SI1007" s="22"/>
      <c r="SJ1007" s="22"/>
      <c r="SK1007" s="22"/>
      <c r="SL1007" s="22"/>
      <c r="SM1007" s="22"/>
      <c r="SN1007" s="22"/>
      <c r="SO1007" s="22"/>
      <c r="SP1007" s="22"/>
      <c r="SQ1007" s="22"/>
      <c r="SR1007" s="22"/>
      <c r="SS1007" s="22"/>
      <c r="ST1007" s="22"/>
      <c r="SU1007" s="22"/>
      <c r="SV1007" s="22"/>
      <c r="SW1007" s="22"/>
      <c r="SX1007" s="22"/>
      <c r="SY1007" s="22"/>
      <c r="SZ1007" s="22"/>
      <c r="TA1007" s="22"/>
      <c r="TB1007" s="22"/>
      <c r="TC1007" s="22"/>
      <c r="TD1007" s="22"/>
      <c r="TE1007" s="22"/>
      <c r="TF1007" s="22"/>
      <c r="TG1007" s="22"/>
      <c r="TH1007" s="22"/>
      <c r="TI1007" s="22"/>
      <c r="TJ1007" s="22"/>
      <c r="TK1007" s="22"/>
      <c r="TL1007" s="22"/>
      <c r="TM1007" s="22"/>
      <c r="TN1007" s="22"/>
      <c r="TO1007" s="22"/>
      <c r="TP1007" s="22"/>
      <c r="TQ1007" s="22"/>
      <c r="TR1007" s="22"/>
      <c r="TS1007" s="22"/>
      <c r="TT1007" s="22"/>
      <c r="TU1007" s="22"/>
      <c r="TV1007" s="22"/>
      <c r="TW1007" s="22"/>
      <c r="TX1007" s="22"/>
      <c r="TY1007" s="22"/>
      <c r="TZ1007" s="22"/>
      <c r="UA1007" s="22"/>
      <c r="UB1007" s="22"/>
      <c r="UC1007" s="22"/>
      <c r="UD1007" s="22"/>
      <c r="UE1007" s="22"/>
      <c r="UF1007" s="22"/>
      <c r="UG1007" s="23"/>
    </row>
    <row r="1008" spans="1:553" ht="51" customHeight="1">
      <c r="A1008" s="356"/>
      <c r="B1008" s="385"/>
      <c r="C1008" s="1535" t="s">
        <v>580</v>
      </c>
      <c r="D1008" s="1389"/>
      <c r="E1008" s="1389"/>
      <c r="F1008" s="1390"/>
      <c r="G1008" s="386"/>
      <c r="H1008" s="370"/>
      <c r="I1008" s="417"/>
      <c r="J1008" s="368"/>
      <c r="K1008" s="371"/>
      <c r="L1008" s="391"/>
      <c r="M1008" s="395"/>
      <c r="N1008" s="395"/>
      <c r="O1008" s="366"/>
      <c r="P1008" s="396"/>
      <c r="Q1008" s="473"/>
      <c r="R1008" s="1039"/>
      <c r="S1008" s="308"/>
      <c r="T1008" s="308"/>
      <c r="U1008" s="308"/>
      <c r="V1008" s="308"/>
      <c r="W1008" s="308"/>
      <c r="X1008" s="308"/>
      <c r="Y1008" s="308"/>
      <c r="Z1008" s="604"/>
      <c r="AA1008" s="308"/>
      <c r="AB1008" s="308"/>
      <c r="AC1008" s="373"/>
      <c r="AD1008" s="373"/>
      <c r="AE1008" s="373"/>
      <c r="AF1008" s="373"/>
      <c r="AG1008" s="389"/>
      <c r="AH1008" s="389"/>
      <c r="AI1008" s="389"/>
      <c r="AJ1008" s="389"/>
      <c r="AK1008" s="389"/>
      <c r="AL1008" s="100"/>
      <c r="AM1008" s="27"/>
      <c r="AN1008" s="27"/>
      <c r="AO1008" s="27"/>
      <c r="AP1008" s="27"/>
      <c r="AQ1008" s="22"/>
      <c r="AR1008" s="22"/>
      <c r="AS1008" s="22"/>
      <c r="AT1008" s="22"/>
      <c r="AU1008" s="22"/>
      <c r="AV1008" s="22"/>
      <c r="AW1008" s="22"/>
      <c r="AX1008" s="22"/>
      <c r="AY1008" s="22"/>
      <c r="AZ1008" s="22"/>
      <c r="BA1008" s="22"/>
      <c r="BB1008" s="22"/>
      <c r="BC1008" s="22"/>
      <c r="BD1008" s="22"/>
      <c r="BE1008" s="22"/>
      <c r="BF1008" s="22"/>
      <c r="BG1008" s="22"/>
      <c r="BH1008" s="22"/>
      <c r="BI1008" s="22"/>
      <c r="BJ1008" s="22"/>
      <c r="BK1008" s="22"/>
      <c r="BL1008" s="22"/>
      <c r="BM1008" s="22"/>
      <c r="BN1008" s="22"/>
      <c r="BO1008" s="22"/>
      <c r="BP1008" s="22"/>
      <c r="BQ1008" s="22"/>
      <c r="BR1008" s="22"/>
      <c r="BS1008" s="22"/>
      <c r="BT1008" s="22"/>
      <c r="BU1008" s="22"/>
      <c r="BV1008" s="22"/>
      <c r="BW1008" s="22"/>
      <c r="BX1008" s="22"/>
      <c r="BY1008" s="22"/>
      <c r="BZ1008" s="22"/>
      <c r="CA1008" s="22"/>
      <c r="CB1008" s="22"/>
      <c r="CC1008" s="22"/>
      <c r="CD1008" s="22"/>
      <c r="CE1008" s="22"/>
      <c r="CF1008" s="22"/>
      <c r="CG1008" s="22"/>
      <c r="CH1008" s="22"/>
      <c r="CI1008" s="22"/>
      <c r="CJ1008" s="22"/>
      <c r="CK1008" s="22"/>
      <c r="CL1008" s="22"/>
      <c r="CM1008" s="22"/>
      <c r="CN1008" s="22"/>
      <c r="CO1008" s="22"/>
      <c r="CP1008" s="22"/>
      <c r="CQ1008" s="22"/>
      <c r="CR1008" s="22"/>
      <c r="CS1008" s="22"/>
      <c r="CT1008" s="22"/>
      <c r="CU1008" s="22"/>
      <c r="CV1008" s="22"/>
      <c r="CW1008" s="22"/>
      <c r="CX1008" s="22"/>
      <c r="CY1008" s="22"/>
      <c r="CZ1008" s="22"/>
      <c r="DA1008" s="22"/>
      <c r="DB1008" s="22"/>
      <c r="DC1008" s="22"/>
      <c r="DD1008" s="22"/>
      <c r="DE1008" s="22"/>
      <c r="DF1008" s="22"/>
      <c r="DG1008" s="22"/>
      <c r="DH1008" s="22"/>
      <c r="DI1008" s="22"/>
      <c r="DJ1008" s="22"/>
      <c r="DK1008" s="22"/>
      <c r="DL1008" s="22"/>
      <c r="DM1008" s="22"/>
      <c r="DN1008" s="22"/>
      <c r="DO1008" s="22"/>
      <c r="DP1008" s="22"/>
      <c r="DQ1008" s="22"/>
      <c r="DR1008" s="22"/>
      <c r="DS1008" s="22"/>
      <c r="DT1008" s="22"/>
      <c r="DU1008" s="22"/>
      <c r="DV1008" s="22"/>
      <c r="DW1008" s="22"/>
      <c r="DX1008" s="22"/>
      <c r="DY1008" s="22"/>
      <c r="DZ1008" s="22"/>
      <c r="EA1008" s="22"/>
      <c r="EB1008" s="22"/>
      <c r="EC1008" s="22"/>
      <c r="ED1008" s="22"/>
      <c r="EE1008" s="22"/>
      <c r="EF1008" s="22"/>
      <c r="EG1008" s="22"/>
      <c r="EH1008" s="22"/>
      <c r="EI1008" s="22"/>
      <c r="EJ1008" s="22"/>
      <c r="EK1008" s="22"/>
      <c r="EL1008" s="22"/>
      <c r="EM1008" s="22"/>
      <c r="EN1008" s="22"/>
      <c r="EO1008" s="22"/>
      <c r="EP1008" s="22"/>
      <c r="EQ1008" s="22"/>
      <c r="ER1008" s="22"/>
      <c r="ES1008" s="22"/>
      <c r="ET1008" s="22"/>
      <c r="EU1008" s="22"/>
      <c r="EV1008" s="22"/>
      <c r="EW1008" s="22"/>
      <c r="EX1008" s="22"/>
      <c r="EY1008" s="22"/>
      <c r="EZ1008" s="22"/>
      <c r="FA1008" s="22"/>
      <c r="FB1008" s="22"/>
      <c r="FC1008" s="22"/>
      <c r="FD1008" s="22"/>
      <c r="FE1008" s="22"/>
      <c r="FF1008" s="22"/>
      <c r="FG1008" s="22"/>
      <c r="FH1008" s="22"/>
      <c r="FI1008" s="22"/>
      <c r="FJ1008" s="22"/>
      <c r="FK1008" s="22"/>
      <c r="FL1008" s="22"/>
      <c r="FM1008" s="22"/>
      <c r="FN1008" s="22"/>
      <c r="FO1008" s="22"/>
      <c r="FP1008" s="22"/>
      <c r="FQ1008" s="22"/>
      <c r="FR1008" s="22"/>
      <c r="FS1008" s="22"/>
      <c r="FT1008" s="22"/>
      <c r="FU1008" s="22"/>
      <c r="FV1008" s="22"/>
      <c r="FW1008" s="22"/>
      <c r="FX1008" s="22"/>
      <c r="FY1008" s="22"/>
      <c r="FZ1008" s="22"/>
      <c r="GA1008" s="22"/>
      <c r="GB1008" s="22"/>
      <c r="GC1008" s="22"/>
      <c r="GD1008" s="22"/>
      <c r="GE1008" s="22"/>
      <c r="GF1008" s="22"/>
      <c r="GG1008" s="22"/>
      <c r="GH1008" s="22"/>
      <c r="GI1008" s="22"/>
      <c r="GJ1008" s="22"/>
      <c r="GK1008" s="22"/>
      <c r="GL1008" s="22"/>
      <c r="GM1008" s="22"/>
      <c r="GN1008" s="22"/>
      <c r="GO1008" s="22"/>
      <c r="GP1008" s="22"/>
      <c r="GQ1008" s="22"/>
      <c r="GR1008" s="22"/>
      <c r="GS1008" s="22"/>
      <c r="GT1008" s="22"/>
      <c r="GU1008" s="22"/>
      <c r="GV1008" s="22"/>
      <c r="GW1008" s="22"/>
      <c r="GX1008" s="22"/>
      <c r="GY1008" s="22"/>
      <c r="GZ1008" s="22"/>
      <c r="HA1008" s="22"/>
      <c r="HB1008" s="22"/>
      <c r="HC1008" s="22"/>
      <c r="HD1008" s="22"/>
      <c r="HE1008" s="22"/>
      <c r="HF1008" s="22"/>
      <c r="HG1008" s="22"/>
      <c r="HH1008" s="22"/>
      <c r="HI1008" s="22"/>
      <c r="HJ1008" s="22"/>
      <c r="HK1008" s="22"/>
      <c r="HL1008" s="22"/>
      <c r="HM1008" s="22"/>
      <c r="HN1008" s="22"/>
      <c r="HO1008" s="22"/>
      <c r="HP1008" s="22"/>
      <c r="HQ1008" s="22"/>
      <c r="HR1008" s="22"/>
      <c r="HS1008" s="22"/>
      <c r="HT1008" s="22"/>
      <c r="HU1008" s="22"/>
      <c r="HV1008" s="22"/>
      <c r="HW1008" s="22"/>
      <c r="HX1008" s="22"/>
      <c r="HY1008" s="22"/>
      <c r="HZ1008" s="22"/>
      <c r="IA1008" s="22"/>
      <c r="IB1008" s="22"/>
      <c r="IC1008" s="22"/>
      <c r="ID1008" s="22"/>
      <c r="IE1008" s="22"/>
      <c r="IF1008" s="22"/>
      <c r="IG1008" s="22"/>
      <c r="IH1008" s="22"/>
      <c r="II1008" s="22"/>
      <c r="IJ1008" s="22"/>
      <c r="IK1008" s="22"/>
      <c r="IL1008" s="22"/>
      <c r="IM1008" s="22"/>
      <c r="IN1008" s="22"/>
      <c r="IO1008" s="22"/>
      <c r="IP1008" s="22"/>
      <c r="IQ1008" s="22"/>
      <c r="IR1008" s="22"/>
      <c r="IS1008" s="22"/>
      <c r="IT1008" s="22"/>
      <c r="IU1008" s="22"/>
      <c r="IV1008" s="22"/>
      <c r="IW1008" s="22"/>
      <c r="IX1008" s="22"/>
      <c r="IY1008" s="22"/>
      <c r="IZ1008" s="22"/>
      <c r="JA1008" s="22"/>
      <c r="JB1008" s="22"/>
      <c r="JC1008" s="22"/>
      <c r="JD1008" s="22"/>
      <c r="JE1008" s="22"/>
      <c r="JF1008" s="22"/>
      <c r="JG1008" s="22"/>
      <c r="JH1008" s="22"/>
      <c r="JI1008" s="22"/>
      <c r="JJ1008" s="22"/>
      <c r="JK1008" s="22"/>
      <c r="JL1008" s="22"/>
      <c r="JM1008" s="22"/>
      <c r="JN1008" s="22"/>
      <c r="JO1008" s="22"/>
      <c r="JP1008" s="22"/>
      <c r="JQ1008" s="22"/>
      <c r="JR1008" s="22"/>
      <c r="JS1008" s="22"/>
      <c r="JT1008" s="22"/>
      <c r="JU1008" s="22"/>
      <c r="JV1008" s="22"/>
      <c r="JW1008" s="22"/>
      <c r="JX1008" s="22"/>
      <c r="JY1008" s="22"/>
      <c r="JZ1008" s="22"/>
      <c r="KA1008" s="22"/>
      <c r="KB1008" s="22"/>
      <c r="KC1008" s="22"/>
      <c r="KD1008" s="22"/>
      <c r="KE1008" s="22"/>
      <c r="KF1008" s="22"/>
      <c r="KG1008" s="22"/>
      <c r="KH1008" s="22"/>
      <c r="KI1008" s="22"/>
      <c r="KJ1008" s="22"/>
      <c r="KK1008" s="22"/>
      <c r="KL1008" s="22"/>
      <c r="KM1008" s="22"/>
      <c r="KN1008" s="22"/>
      <c r="KO1008" s="22"/>
      <c r="KP1008" s="22"/>
      <c r="KQ1008" s="22"/>
      <c r="KR1008" s="22"/>
      <c r="KS1008" s="22"/>
      <c r="KT1008" s="22"/>
      <c r="KU1008" s="22"/>
      <c r="KV1008" s="22"/>
      <c r="KW1008" s="22"/>
      <c r="KX1008" s="22"/>
      <c r="KY1008" s="22"/>
      <c r="KZ1008" s="22"/>
      <c r="LA1008" s="22"/>
      <c r="LB1008" s="22"/>
      <c r="LC1008" s="22"/>
      <c r="LD1008" s="22"/>
      <c r="LE1008" s="22"/>
      <c r="LF1008" s="22"/>
      <c r="LG1008" s="22"/>
      <c r="LH1008" s="22"/>
      <c r="LI1008" s="22"/>
      <c r="LJ1008" s="22"/>
      <c r="LK1008" s="22"/>
      <c r="LL1008" s="22"/>
      <c r="LM1008" s="22"/>
      <c r="LN1008" s="22"/>
      <c r="LO1008" s="22"/>
      <c r="LP1008" s="22"/>
      <c r="LQ1008" s="22"/>
      <c r="LR1008" s="22"/>
      <c r="LS1008" s="22"/>
      <c r="LT1008" s="22"/>
      <c r="LU1008" s="22"/>
      <c r="LV1008" s="22"/>
      <c r="LW1008" s="22"/>
      <c r="LX1008" s="22"/>
      <c r="LY1008" s="22"/>
      <c r="LZ1008" s="22"/>
      <c r="MA1008" s="22"/>
      <c r="MB1008" s="22"/>
      <c r="MC1008" s="22"/>
      <c r="MD1008" s="22"/>
      <c r="ME1008" s="22"/>
      <c r="MF1008" s="22"/>
      <c r="MG1008" s="22"/>
      <c r="MH1008" s="22"/>
      <c r="MI1008" s="22"/>
      <c r="MJ1008" s="22"/>
      <c r="MK1008" s="22"/>
      <c r="ML1008" s="22"/>
      <c r="MM1008" s="22"/>
      <c r="MN1008" s="22"/>
      <c r="MO1008" s="22"/>
      <c r="MP1008" s="22"/>
      <c r="MQ1008" s="22"/>
      <c r="MR1008" s="22"/>
      <c r="MS1008" s="22"/>
      <c r="MT1008" s="22"/>
      <c r="MU1008" s="22"/>
      <c r="MV1008" s="22"/>
      <c r="MW1008" s="22"/>
      <c r="MX1008" s="22"/>
      <c r="MY1008" s="22"/>
      <c r="MZ1008" s="22"/>
      <c r="NA1008" s="22"/>
      <c r="NB1008" s="22"/>
      <c r="NC1008" s="22"/>
      <c r="ND1008" s="22"/>
      <c r="NE1008" s="22"/>
      <c r="NF1008" s="22"/>
      <c r="NG1008" s="22"/>
      <c r="NH1008" s="22"/>
      <c r="NI1008" s="22"/>
      <c r="NJ1008" s="22"/>
      <c r="NK1008" s="22"/>
      <c r="NL1008" s="22"/>
      <c r="NM1008" s="22"/>
      <c r="NN1008" s="22"/>
      <c r="NO1008" s="22"/>
      <c r="NP1008" s="22"/>
      <c r="NQ1008" s="22"/>
      <c r="NR1008" s="22"/>
      <c r="NS1008" s="22"/>
      <c r="NT1008" s="22"/>
      <c r="NU1008" s="22"/>
      <c r="NV1008" s="22"/>
      <c r="NW1008" s="22"/>
      <c r="NX1008" s="22"/>
      <c r="NY1008" s="22"/>
      <c r="NZ1008" s="22"/>
      <c r="OA1008" s="22"/>
      <c r="OB1008" s="22"/>
      <c r="OC1008" s="22"/>
      <c r="OD1008" s="22"/>
      <c r="OE1008" s="22"/>
      <c r="OF1008" s="22"/>
      <c r="OG1008" s="22"/>
      <c r="OH1008" s="22"/>
      <c r="OI1008" s="22"/>
      <c r="OJ1008" s="22"/>
      <c r="OK1008" s="22"/>
      <c r="OL1008" s="22"/>
      <c r="OM1008" s="22"/>
      <c r="ON1008" s="22"/>
      <c r="OO1008" s="22"/>
      <c r="OP1008" s="22"/>
      <c r="OQ1008" s="22"/>
      <c r="OR1008" s="22"/>
      <c r="OS1008" s="22"/>
      <c r="OT1008" s="22"/>
      <c r="OU1008" s="22"/>
      <c r="OV1008" s="22"/>
      <c r="OW1008" s="22"/>
      <c r="OX1008" s="22"/>
      <c r="OY1008" s="22"/>
      <c r="OZ1008" s="22"/>
      <c r="PA1008" s="22"/>
      <c r="PB1008" s="22"/>
      <c r="PC1008" s="22"/>
      <c r="PD1008" s="22"/>
      <c r="PE1008" s="22"/>
      <c r="PF1008" s="22"/>
      <c r="PG1008" s="22"/>
      <c r="PH1008" s="22"/>
      <c r="PI1008" s="22"/>
      <c r="PJ1008" s="22"/>
      <c r="PK1008" s="22"/>
      <c r="PL1008" s="22"/>
      <c r="PM1008" s="22"/>
      <c r="PN1008" s="22"/>
      <c r="PO1008" s="22"/>
      <c r="PP1008" s="22"/>
      <c r="PQ1008" s="22"/>
      <c r="PR1008" s="22"/>
      <c r="PS1008" s="22"/>
      <c r="PT1008" s="22"/>
      <c r="PU1008" s="22"/>
      <c r="PV1008" s="22"/>
      <c r="PW1008" s="22"/>
      <c r="PX1008" s="22"/>
      <c r="PY1008" s="22"/>
      <c r="PZ1008" s="22"/>
      <c r="QA1008" s="22"/>
      <c r="QB1008" s="22"/>
      <c r="QC1008" s="22"/>
      <c r="QD1008" s="22"/>
      <c r="QE1008" s="22"/>
      <c r="QF1008" s="22"/>
      <c r="QG1008" s="22"/>
      <c r="QH1008" s="22"/>
      <c r="QI1008" s="22"/>
      <c r="QJ1008" s="22"/>
      <c r="QK1008" s="22"/>
      <c r="QL1008" s="22"/>
      <c r="QM1008" s="22"/>
      <c r="QN1008" s="22"/>
      <c r="QO1008" s="22"/>
      <c r="QP1008" s="22"/>
      <c r="QQ1008" s="22"/>
      <c r="QR1008" s="22"/>
      <c r="QS1008" s="22"/>
      <c r="QT1008" s="22"/>
      <c r="QU1008" s="22"/>
      <c r="QV1008" s="22"/>
      <c r="QW1008" s="22"/>
      <c r="QX1008" s="22"/>
      <c r="QY1008" s="22"/>
      <c r="QZ1008" s="22"/>
      <c r="RA1008" s="22"/>
      <c r="RB1008" s="22"/>
      <c r="RC1008" s="22"/>
      <c r="RD1008" s="22"/>
      <c r="RE1008" s="22"/>
      <c r="RF1008" s="22"/>
      <c r="RG1008" s="22"/>
      <c r="RH1008" s="22"/>
      <c r="RI1008" s="22"/>
      <c r="RJ1008" s="22"/>
      <c r="RK1008" s="22"/>
      <c r="RL1008" s="22"/>
      <c r="RM1008" s="22"/>
      <c r="RN1008" s="22"/>
      <c r="RO1008" s="22"/>
      <c r="RP1008" s="22"/>
      <c r="RQ1008" s="22"/>
      <c r="RR1008" s="22"/>
      <c r="RS1008" s="22"/>
      <c r="RT1008" s="22"/>
      <c r="RU1008" s="22"/>
      <c r="RV1008" s="22"/>
      <c r="RW1008" s="22"/>
      <c r="RX1008" s="22"/>
      <c r="RY1008" s="22"/>
      <c r="RZ1008" s="22"/>
      <c r="SA1008" s="22"/>
      <c r="SB1008" s="22"/>
      <c r="SC1008" s="22"/>
      <c r="SD1008" s="22"/>
      <c r="SE1008" s="22"/>
      <c r="SF1008" s="22"/>
      <c r="SG1008" s="22"/>
      <c r="SH1008" s="22"/>
      <c r="SI1008" s="22"/>
      <c r="SJ1008" s="22"/>
      <c r="SK1008" s="22"/>
      <c r="SL1008" s="22"/>
      <c r="SM1008" s="22"/>
      <c r="SN1008" s="22"/>
      <c r="SO1008" s="22"/>
      <c r="SP1008" s="22"/>
      <c r="SQ1008" s="22"/>
      <c r="SR1008" s="22"/>
      <c r="SS1008" s="22"/>
      <c r="ST1008" s="22"/>
      <c r="SU1008" s="22"/>
      <c r="SV1008" s="22"/>
      <c r="SW1008" s="22"/>
      <c r="SX1008" s="22"/>
      <c r="SY1008" s="22"/>
      <c r="SZ1008" s="22"/>
      <c r="TA1008" s="22"/>
      <c r="TB1008" s="22"/>
      <c r="TC1008" s="22"/>
      <c r="TD1008" s="22"/>
      <c r="TE1008" s="22"/>
      <c r="TF1008" s="22"/>
      <c r="TG1008" s="22"/>
      <c r="TH1008" s="22"/>
      <c r="TI1008" s="22"/>
      <c r="TJ1008" s="22"/>
      <c r="TK1008" s="22"/>
      <c r="TL1008" s="22"/>
      <c r="TM1008" s="22"/>
      <c r="TN1008" s="22"/>
      <c r="TO1008" s="22"/>
      <c r="TP1008" s="22"/>
      <c r="TQ1008" s="22"/>
      <c r="TR1008" s="22"/>
      <c r="TS1008" s="22"/>
      <c r="TT1008" s="22"/>
      <c r="TU1008" s="22"/>
      <c r="TV1008" s="22"/>
      <c r="TW1008" s="22"/>
      <c r="TX1008" s="22"/>
      <c r="TY1008" s="22"/>
      <c r="TZ1008" s="22"/>
      <c r="UA1008" s="22"/>
      <c r="UB1008" s="22"/>
      <c r="UC1008" s="22"/>
      <c r="UD1008" s="22"/>
      <c r="UE1008" s="22"/>
      <c r="UF1008" s="22"/>
      <c r="UG1008" s="23"/>
    </row>
    <row r="1009" spans="1:553" ht="51" customHeight="1">
      <c r="A1009" s="356"/>
      <c r="B1009" s="385">
        <v>219</v>
      </c>
      <c r="C1009" s="1535" t="s">
        <v>581</v>
      </c>
      <c r="D1009" s="1389"/>
      <c r="E1009" s="1389"/>
      <c r="F1009" s="1390"/>
      <c r="G1009" s="386" t="s">
        <v>33</v>
      </c>
      <c r="H1009" s="370"/>
      <c r="I1009" s="417">
        <f>1*1.2</f>
        <v>1.2</v>
      </c>
      <c r="J1009" s="368">
        <v>267200</v>
      </c>
      <c r="K1009" s="371"/>
      <c r="L1009" s="391">
        <f t="shared" ref="L1009:L1017" si="150">ROUND(PRODUCT(I1009:K1009),0)</f>
        <v>320640</v>
      </c>
      <c r="M1009" s="395"/>
      <c r="N1009" s="395"/>
      <c r="O1009" s="366"/>
      <c r="P1009" s="396"/>
      <c r="Q1009" s="473"/>
      <c r="R1009" s="1039"/>
      <c r="S1009" s="308"/>
      <c r="T1009" s="308"/>
      <c r="U1009" s="308"/>
      <c r="V1009" s="308"/>
      <c r="W1009" s="308"/>
      <c r="X1009" s="308"/>
      <c r="Y1009" s="308"/>
      <c r="Z1009" s="604"/>
      <c r="AA1009" s="308"/>
      <c r="AB1009" s="308"/>
      <c r="AC1009" s="373"/>
      <c r="AD1009" s="373"/>
      <c r="AE1009" s="373"/>
      <c r="AF1009" s="373"/>
      <c r="AG1009" s="389"/>
      <c r="AH1009" s="389"/>
      <c r="AI1009" s="389"/>
      <c r="AJ1009" s="389"/>
      <c r="AK1009" s="389"/>
      <c r="AL1009" s="100"/>
      <c r="AM1009" s="27"/>
      <c r="AN1009" s="27"/>
      <c r="AO1009" s="27"/>
      <c r="AP1009" s="27"/>
      <c r="AQ1009" s="22"/>
      <c r="AR1009" s="22"/>
      <c r="AS1009" s="22"/>
      <c r="AT1009" s="22"/>
      <c r="AU1009" s="22"/>
      <c r="AV1009" s="22"/>
      <c r="AW1009" s="22"/>
      <c r="AX1009" s="22"/>
      <c r="AY1009" s="22"/>
      <c r="AZ1009" s="22"/>
      <c r="BA1009" s="22"/>
      <c r="BB1009" s="22"/>
      <c r="BC1009" s="22"/>
      <c r="BD1009" s="22"/>
      <c r="BE1009" s="22"/>
      <c r="BF1009" s="22"/>
      <c r="BG1009" s="22"/>
      <c r="BH1009" s="22"/>
      <c r="BI1009" s="22"/>
      <c r="BJ1009" s="22"/>
      <c r="BK1009" s="22"/>
      <c r="BL1009" s="22"/>
      <c r="BM1009" s="22"/>
      <c r="BN1009" s="22"/>
      <c r="BO1009" s="22"/>
      <c r="BP1009" s="22"/>
      <c r="BQ1009" s="22"/>
      <c r="BR1009" s="22"/>
      <c r="BS1009" s="22"/>
      <c r="BT1009" s="22"/>
      <c r="BU1009" s="22"/>
      <c r="BV1009" s="22"/>
      <c r="BW1009" s="22"/>
      <c r="BX1009" s="22"/>
      <c r="BY1009" s="22"/>
      <c r="BZ1009" s="22"/>
      <c r="CA1009" s="22"/>
      <c r="CB1009" s="22"/>
      <c r="CC1009" s="22"/>
      <c r="CD1009" s="22"/>
      <c r="CE1009" s="22"/>
      <c r="CF1009" s="22"/>
      <c r="CG1009" s="22"/>
      <c r="CH1009" s="22"/>
      <c r="CI1009" s="22"/>
      <c r="CJ1009" s="22"/>
      <c r="CK1009" s="22"/>
      <c r="CL1009" s="22"/>
      <c r="CM1009" s="22"/>
      <c r="CN1009" s="22"/>
      <c r="CO1009" s="22"/>
      <c r="CP1009" s="22"/>
      <c r="CQ1009" s="22"/>
      <c r="CR1009" s="22"/>
      <c r="CS1009" s="22"/>
      <c r="CT1009" s="22"/>
      <c r="CU1009" s="22"/>
      <c r="CV1009" s="22"/>
      <c r="CW1009" s="22"/>
      <c r="CX1009" s="22"/>
      <c r="CY1009" s="22"/>
      <c r="CZ1009" s="22"/>
      <c r="DA1009" s="22"/>
      <c r="DB1009" s="22"/>
      <c r="DC1009" s="22"/>
      <c r="DD1009" s="22"/>
      <c r="DE1009" s="22"/>
      <c r="DF1009" s="22"/>
      <c r="DG1009" s="22"/>
      <c r="DH1009" s="22"/>
      <c r="DI1009" s="22"/>
      <c r="DJ1009" s="22"/>
      <c r="DK1009" s="22"/>
      <c r="DL1009" s="22"/>
      <c r="DM1009" s="22"/>
      <c r="DN1009" s="22"/>
      <c r="DO1009" s="22"/>
      <c r="DP1009" s="22"/>
      <c r="DQ1009" s="22"/>
      <c r="DR1009" s="22"/>
      <c r="DS1009" s="22"/>
      <c r="DT1009" s="22"/>
      <c r="DU1009" s="22"/>
      <c r="DV1009" s="22"/>
      <c r="DW1009" s="22"/>
      <c r="DX1009" s="22"/>
      <c r="DY1009" s="22"/>
      <c r="DZ1009" s="22"/>
      <c r="EA1009" s="22"/>
      <c r="EB1009" s="22"/>
      <c r="EC1009" s="22"/>
      <c r="ED1009" s="22"/>
      <c r="EE1009" s="22"/>
      <c r="EF1009" s="22"/>
      <c r="EG1009" s="22"/>
      <c r="EH1009" s="22"/>
      <c r="EI1009" s="22"/>
      <c r="EJ1009" s="22"/>
      <c r="EK1009" s="22"/>
      <c r="EL1009" s="22"/>
      <c r="EM1009" s="22"/>
      <c r="EN1009" s="22"/>
      <c r="EO1009" s="22"/>
      <c r="EP1009" s="22"/>
      <c r="EQ1009" s="22"/>
      <c r="ER1009" s="22"/>
      <c r="ES1009" s="22"/>
      <c r="ET1009" s="22"/>
      <c r="EU1009" s="22"/>
      <c r="EV1009" s="22"/>
      <c r="EW1009" s="22"/>
      <c r="EX1009" s="22"/>
      <c r="EY1009" s="22"/>
      <c r="EZ1009" s="22"/>
      <c r="FA1009" s="22"/>
      <c r="FB1009" s="22"/>
      <c r="FC1009" s="22"/>
      <c r="FD1009" s="22"/>
      <c r="FE1009" s="22"/>
      <c r="FF1009" s="22"/>
      <c r="FG1009" s="22"/>
      <c r="FH1009" s="22"/>
      <c r="FI1009" s="22"/>
      <c r="FJ1009" s="22"/>
      <c r="FK1009" s="22"/>
      <c r="FL1009" s="22"/>
      <c r="FM1009" s="22"/>
      <c r="FN1009" s="22"/>
      <c r="FO1009" s="22"/>
      <c r="FP1009" s="22"/>
      <c r="FQ1009" s="22"/>
      <c r="FR1009" s="22"/>
      <c r="FS1009" s="22"/>
      <c r="FT1009" s="22"/>
      <c r="FU1009" s="22"/>
      <c r="FV1009" s="22"/>
      <c r="FW1009" s="22"/>
      <c r="FX1009" s="22"/>
      <c r="FY1009" s="22"/>
      <c r="FZ1009" s="22"/>
      <c r="GA1009" s="22"/>
      <c r="GB1009" s="22"/>
      <c r="GC1009" s="22"/>
      <c r="GD1009" s="22"/>
      <c r="GE1009" s="22"/>
      <c r="GF1009" s="22"/>
      <c r="GG1009" s="22"/>
      <c r="GH1009" s="22"/>
      <c r="GI1009" s="22"/>
      <c r="GJ1009" s="22"/>
      <c r="GK1009" s="22"/>
      <c r="GL1009" s="22"/>
      <c r="GM1009" s="22"/>
      <c r="GN1009" s="22"/>
      <c r="GO1009" s="22"/>
      <c r="GP1009" s="22"/>
      <c r="GQ1009" s="22"/>
      <c r="GR1009" s="22"/>
      <c r="GS1009" s="22"/>
      <c r="GT1009" s="22"/>
      <c r="GU1009" s="22"/>
      <c r="GV1009" s="22"/>
      <c r="GW1009" s="22"/>
      <c r="GX1009" s="22"/>
      <c r="GY1009" s="22"/>
      <c r="GZ1009" s="22"/>
      <c r="HA1009" s="22"/>
      <c r="HB1009" s="22"/>
      <c r="HC1009" s="22"/>
      <c r="HD1009" s="22"/>
      <c r="HE1009" s="22"/>
      <c r="HF1009" s="22"/>
      <c r="HG1009" s="22"/>
      <c r="HH1009" s="22"/>
      <c r="HI1009" s="22"/>
      <c r="HJ1009" s="22"/>
      <c r="HK1009" s="22"/>
      <c r="HL1009" s="22"/>
      <c r="HM1009" s="22"/>
      <c r="HN1009" s="22"/>
      <c r="HO1009" s="22"/>
      <c r="HP1009" s="22"/>
      <c r="HQ1009" s="22"/>
      <c r="HR1009" s="22"/>
      <c r="HS1009" s="22"/>
      <c r="HT1009" s="22"/>
      <c r="HU1009" s="22"/>
      <c r="HV1009" s="22"/>
      <c r="HW1009" s="22"/>
      <c r="HX1009" s="22"/>
      <c r="HY1009" s="22"/>
      <c r="HZ1009" s="22"/>
      <c r="IA1009" s="22"/>
      <c r="IB1009" s="22"/>
      <c r="IC1009" s="22"/>
      <c r="ID1009" s="22"/>
      <c r="IE1009" s="22"/>
      <c r="IF1009" s="22"/>
      <c r="IG1009" s="22"/>
      <c r="IH1009" s="22"/>
      <c r="II1009" s="22"/>
      <c r="IJ1009" s="22"/>
      <c r="IK1009" s="22"/>
      <c r="IL1009" s="22"/>
      <c r="IM1009" s="22"/>
      <c r="IN1009" s="22"/>
      <c r="IO1009" s="22"/>
      <c r="IP1009" s="22"/>
      <c r="IQ1009" s="22"/>
      <c r="IR1009" s="22"/>
      <c r="IS1009" s="22"/>
      <c r="IT1009" s="22"/>
      <c r="IU1009" s="22"/>
      <c r="IV1009" s="22"/>
      <c r="IW1009" s="22"/>
      <c r="IX1009" s="22"/>
      <c r="IY1009" s="22"/>
      <c r="IZ1009" s="22"/>
      <c r="JA1009" s="22"/>
      <c r="JB1009" s="22"/>
      <c r="JC1009" s="22"/>
      <c r="JD1009" s="22"/>
      <c r="JE1009" s="22"/>
      <c r="JF1009" s="22"/>
      <c r="JG1009" s="22"/>
      <c r="JH1009" s="22"/>
      <c r="JI1009" s="22"/>
      <c r="JJ1009" s="22"/>
      <c r="JK1009" s="22"/>
      <c r="JL1009" s="22"/>
      <c r="JM1009" s="22"/>
      <c r="JN1009" s="22"/>
      <c r="JO1009" s="22"/>
      <c r="JP1009" s="22"/>
      <c r="JQ1009" s="22"/>
      <c r="JR1009" s="22"/>
      <c r="JS1009" s="22"/>
      <c r="JT1009" s="22"/>
      <c r="JU1009" s="22"/>
      <c r="JV1009" s="22"/>
      <c r="JW1009" s="22"/>
      <c r="JX1009" s="22"/>
      <c r="JY1009" s="22"/>
      <c r="JZ1009" s="22"/>
      <c r="KA1009" s="22"/>
      <c r="KB1009" s="22"/>
      <c r="KC1009" s="22"/>
      <c r="KD1009" s="22"/>
      <c r="KE1009" s="22"/>
      <c r="KF1009" s="22"/>
      <c r="KG1009" s="22"/>
      <c r="KH1009" s="22"/>
      <c r="KI1009" s="22"/>
      <c r="KJ1009" s="22"/>
      <c r="KK1009" s="22"/>
      <c r="KL1009" s="22"/>
      <c r="KM1009" s="22"/>
      <c r="KN1009" s="22"/>
      <c r="KO1009" s="22"/>
      <c r="KP1009" s="22"/>
      <c r="KQ1009" s="22"/>
      <c r="KR1009" s="22"/>
      <c r="KS1009" s="22"/>
      <c r="KT1009" s="22"/>
      <c r="KU1009" s="22"/>
      <c r="KV1009" s="22"/>
      <c r="KW1009" s="22"/>
      <c r="KX1009" s="22"/>
      <c r="KY1009" s="22"/>
      <c r="KZ1009" s="22"/>
      <c r="LA1009" s="22"/>
      <c r="LB1009" s="22"/>
      <c r="LC1009" s="22"/>
      <c r="LD1009" s="22"/>
      <c r="LE1009" s="22"/>
      <c r="LF1009" s="22"/>
      <c r="LG1009" s="22"/>
      <c r="LH1009" s="22"/>
      <c r="LI1009" s="22"/>
      <c r="LJ1009" s="22"/>
      <c r="LK1009" s="22"/>
      <c r="LL1009" s="22"/>
      <c r="LM1009" s="22"/>
      <c r="LN1009" s="22"/>
      <c r="LO1009" s="22"/>
      <c r="LP1009" s="22"/>
      <c r="LQ1009" s="22"/>
      <c r="LR1009" s="22"/>
      <c r="LS1009" s="22"/>
      <c r="LT1009" s="22"/>
      <c r="LU1009" s="22"/>
      <c r="LV1009" s="22"/>
      <c r="LW1009" s="22"/>
      <c r="LX1009" s="22"/>
      <c r="LY1009" s="22"/>
      <c r="LZ1009" s="22"/>
      <c r="MA1009" s="22"/>
      <c r="MB1009" s="22"/>
      <c r="MC1009" s="22"/>
      <c r="MD1009" s="22"/>
      <c r="ME1009" s="22"/>
      <c r="MF1009" s="22"/>
      <c r="MG1009" s="22"/>
      <c r="MH1009" s="22"/>
      <c r="MI1009" s="22"/>
      <c r="MJ1009" s="22"/>
      <c r="MK1009" s="22"/>
      <c r="ML1009" s="22"/>
      <c r="MM1009" s="22"/>
      <c r="MN1009" s="22"/>
      <c r="MO1009" s="22"/>
      <c r="MP1009" s="22"/>
      <c r="MQ1009" s="22"/>
      <c r="MR1009" s="22"/>
      <c r="MS1009" s="22"/>
      <c r="MT1009" s="22"/>
      <c r="MU1009" s="22"/>
      <c r="MV1009" s="22"/>
      <c r="MW1009" s="22"/>
      <c r="MX1009" s="22"/>
      <c r="MY1009" s="22"/>
      <c r="MZ1009" s="22"/>
      <c r="NA1009" s="22"/>
      <c r="NB1009" s="22"/>
      <c r="NC1009" s="22"/>
      <c r="ND1009" s="22"/>
      <c r="NE1009" s="22"/>
      <c r="NF1009" s="22"/>
      <c r="NG1009" s="22"/>
      <c r="NH1009" s="22"/>
      <c r="NI1009" s="22"/>
      <c r="NJ1009" s="22"/>
      <c r="NK1009" s="22"/>
      <c r="NL1009" s="22"/>
      <c r="NM1009" s="22"/>
      <c r="NN1009" s="22"/>
      <c r="NO1009" s="22"/>
      <c r="NP1009" s="22"/>
      <c r="NQ1009" s="22"/>
      <c r="NR1009" s="22"/>
      <c r="NS1009" s="22"/>
      <c r="NT1009" s="22"/>
      <c r="NU1009" s="22"/>
      <c r="NV1009" s="22"/>
      <c r="NW1009" s="22"/>
      <c r="NX1009" s="22"/>
      <c r="NY1009" s="22"/>
      <c r="NZ1009" s="22"/>
      <c r="OA1009" s="22"/>
      <c r="OB1009" s="22"/>
      <c r="OC1009" s="22"/>
      <c r="OD1009" s="22"/>
      <c r="OE1009" s="22"/>
      <c r="OF1009" s="22"/>
      <c r="OG1009" s="22"/>
      <c r="OH1009" s="22"/>
      <c r="OI1009" s="22"/>
      <c r="OJ1009" s="22"/>
      <c r="OK1009" s="22"/>
      <c r="OL1009" s="22"/>
      <c r="OM1009" s="22"/>
      <c r="ON1009" s="22"/>
      <c r="OO1009" s="22"/>
      <c r="OP1009" s="22"/>
      <c r="OQ1009" s="22"/>
      <c r="OR1009" s="22"/>
      <c r="OS1009" s="22"/>
      <c r="OT1009" s="22"/>
      <c r="OU1009" s="22"/>
      <c r="OV1009" s="22"/>
      <c r="OW1009" s="22"/>
      <c r="OX1009" s="22"/>
      <c r="OY1009" s="22"/>
      <c r="OZ1009" s="22"/>
      <c r="PA1009" s="22"/>
      <c r="PB1009" s="22"/>
      <c r="PC1009" s="22"/>
      <c r="PD1009" s="22"/>
      <c r="PE1009" s="22"/>
      <c r="PF1009" s="22"/>
      <c r="PG1009" s="22"/>
      <c r="PH1009" s="22"/>
      <c r="PI1009" s="22"/>
      <c r="PJ1009" s="22"/>
      <c r="PK1009" s="22"/>
      <c r="PL1009" s="22"/>
      <c r="PM1009" s="22"/>
      <c r="PN1009" s="22"/>
      <c r="PO1009" s="22"/>
      <c r="PP1009" s="22"/>
      <c r="PQ1009" s="22"/>
      <c r="PR1009" s="22"/>
      <c r="PS1009" s="22"/>
      <c r="PT1009" s="22"/>
      <c r="PU1009" s="22"/>
      <c r="PV1009" s="22"/>
      <c r="PW1009" s="22"/>
      <c r="PX1009" s="22"/>
      <c r="PY1009" s="22"/>
      <c r="PZ1009" s="22"/>
      <c r="QA1009" s="22"/>
      <c r="QB1009" s="22"/>
      <c r="QC1009" s="22"/>
      <c r="QD1009" s="22"/>
      <c r="QE1009" s="22"/>
      <c r="QF1009" s="22"/>
      <c r="QG1009" s="22"/>
      <c r="QH1009" s="22"/>
      <c r="QI1009" s="22"/>
      <c r="QJ1009" s="22"/>
      <c r="QK1009" s="22"/>
      <c r="QL1009" s="22"/>
      <c r="QM1009" s="22"/>
      <c r="QN1009" s="22"/>
      <c r="QO1009" s="22"/>
      <c r="QP1009" s="22"/>
      <c r="QQ1009" s="22"/>
      <c r="QR1009" s="22"/>
      <c r="QS1009" s="22"/>
      <c r="QT1009" s="22"/>
      <c r="QU1009" s="22"/>
      <c r="QV1009" s="22"/>
      <c r="QW1009" s="22"/>
      <c r="QX1009" s="22"/>
      <c r="QY1009" s="22"/>
      <c r="QZ1009" s="22"/>
      <c r="RA1009" s="22"/>
      <c r="RB1009" s="22"/>
      <c r="RC1009" s="22"/>
      <c r="RD1009" s="22"/>
      <c r="RE1009" s="22"/>
      <c r="RF1009" s="22"/>
      <c r="RG1009" s="22"/>
      <c r="RH1009" s="22"/>
      <c r="RI1009" s="22"/>
      <c r="RJ1009" s="22"/>
      <c r="RK1009" s="22"/>
      <c r="RL1009" s="22"/>
      <c r="RM1009" s="22"/>
      <c r="RN1009" s="22"/>
      <c r="RO1009" s="22"/>
      <c r="RP1009" s="22"/>
      <c r="RQ1009" s="22"/>
      <c r="RR1009" s="22"/>
      <c r="RS1009" s="22"/>
      <c r="RT1009" s="22"/>
      <c r="RU1009" s="22"/>
      <c r="RV1009" s="22"/>
      <c r="RW1009" s="22"/>
      <c r="RX1009" s="22"/>
      <c r="RY1009" s="22"/>
      <c r="RZ1009" s="22"/>
      <c r="SA1009" s="22"/>
      <c r="SB1009" s="22"/>
      <c r="SC1009" s="22"/>
      <c r="SD1009" s="22"/>
      <c r="SE1009" s="22"/>
      <c r="SF1009" s="22"/>
      <c r="SG1009" s="22"/>
      <c r="SH1009" s="22"/>
      <c r="SI1009" s="22"/>
      <c r="SJ1009" s="22"/>
      <c r="SK1009" s="22"/>
      <c r="SL1009" s="22"/>
      <c r="SM1009" s="22"/>
      <c r="SN1009" s="22"/>
      <c r="SO1009" s="22"/>
      <c r="SP1009" s="22"/>
      <c r="SQ1009" s="22"/>
      <c r="SR1009" s="22"/>
      <c r="SS1009" s="22"/>
      <c r="ST1009" s="22"/>
      <c r="SU1009" s="22"/>
      <c r="SV1009" s="22"/>
      <c r="SW1009" s="22"/>
      <c r="SX1009" s="22"/>
      <c r="SY1009" s="22"/>
      <c r="SZ1009" s="22"/>
      <c r="TA1009" s="22"/>
      <c r="TB1009" s="22"/>
      <c r="TC1009" s="22"/>
      <c r="TD1009" s="22"/>
      <c r="TE1009" s="22"/>
      <c r="TF1009" s="22"/>
      <c r="TG1009" s="22"/>
      <c r="TH1009" s="22"/>
      <c r="TI1009" s="22"/>
      <c r="TJ1009" s="22"/>
      <c r="TK1009" s="22"/>
      <c r="TL1009" s="22"/>
      <c r="TM1009" s="22"/>
      <c r="TN1009" s="22"/>
      <c r="TO1009" s="22"/>
      <c r="TP1009" s="22"/>
      <c r="TQ1009" s="22"/>
      <c r="TR1009" s="22"/>
      <c r="TS1009" s="22"/>
      <c r="TT1009" s="22"/>
      <c r="TU1009" s="22"/>
      <c r="TV1009" s="22"/>
      <c r="TW1009" s="22"/>
      <c r="TX1009" s="22"/>
      <c r="TY1009" s="22"/>
      <c r="TZ1009" s="22"/>
      <c r="UA1009" s="22"/>
      <c r="UB1009" s="22"/>
      <c r="UC1009" s="22"/>
      <c r="UD1009" s="22"/>
      <c r="UE1009" s="22"/>
      <c r="UF1009" s="22"/>
      <c r="UG1009" s="23"/>
    </row>
    <row r="1010" spans="1:553" ht="51" customHeight="1">
      <c r="A1010" s="356"/>
      <c r="B1010" s="385" t="s">
        <v>31</v>
      </c>
      <c r="C1010" s="1535" t="s">
        <v>1005</v>
      </c>
      <c r="D1010" s="1389"/>
      <c r="E1010" s="1389"/>
      <c r="F1010" s="1390"/>
      <c r="G1010" s="386" t="s">
        <v>34</v>
      </c>
      <c r="H1010" s="370"/>
      <c r="I1010" s="417">
        <f>1*1.2*0.11</f>
        <v>0.13200000000000001</v>
      </c>
      <c r="J1010" s="368">
        <v>1913917</v>
      </c>
      <c r="K1010" s="371"/>
      <c r="L1010" s="391">
        <f t="shared" si="150"/>
        <v>252637</v>
      </c>
      <c r="M1010" s="395"/>
      <c r="N1010" s="395"/>
      <c r="O1010" s="366"/>
      <c r="P1010" s="396"/>
      <c r="Q1010" s="473"/>
      <c r="R1010" s="1039"/>
      <c r="S1010" s="308"/>
      <c r="T1010" s="308"/>
      <c r="U1010" s="308"/>
      <c r="V1010" s="308"/>
      <c r="W1010" s="308"/>
      <c r="X1010" s="308"/>
      <c r="Y1010" s="308"/>
      <c r="Z1010" s="604"/>
      <c r="AA1010" s="308"/>
      <c r="AB1010" s="308"/>
      <c r="AC1010" s="373"/>
      <c r="AD1010" s="373"/>
      <c r="AE1010" s="373"/>
      <c r="AF1010" s="373"/>
      <c r="AG1010" s="389"/>
      <c r="AH1010" s="389"/>
      <c r="AI1010" s="389"/>
      <c r="AJ1010" s="389"/>
      <c r="AK1010" s="389"/>
      <c r="AL1010" s="100"/>
      <c r="AM1010" s="27"/>
      <c r="AN1010" s="27"/>
      <c r="AO1010" s="27"/>
      <c r="AP1010" s="27"/>
      <c r="AQ1010" s="22"/>
      <c r="AR1010" s="22"/>
      <c r="AS1010" s="22"/>
      <c r="AT1010" s="22"/>
      <c r="AU1010" s="22"/>
      <c r="AV1010" s="22"/>
      <c r="AW1010" s="22"/>
      <c r="AX1010" s="22"/>
      <c r="AY1010" s="22"/>
      <c r="AZ1010" s="22"/>
      <c r="BA1010" s="22"/>
      <c r="BB1010" s="22"/>
      <c r="BC1010" s="22"/>
      <c r="BD1010" s="22"/>
      <c r="BE1010" s="22"/>
      <c r="BF1010" s="22"/>
      <c r="BG1010" s="22"/>
      <c r="BH1010" s="22"/>
      <c r="BI1010" s="22"/>
      <c r="BJ1010" s="22"/>
      <c r="BK1010" s="22"/>
      <c r="BL1010" s="22"/>
      <c r="BM1010" s="22"/>
      <c r="BN1010" s="22"/>
      <c r="BO1010" s="22"/>
      <c r="BP1010" s="22"/>
      <c r="BQ1010" s="22"/>
      <c r="BR1010" s="22"/>
      <c r="BS1010" s="22"/>
      <c r="BT1010" s="22"/>
      <c r="BU1010" s="22"/>
      <c r="BV1010" s="22"/>
      <c r="BW1010" s="22"/>
      <c r="BX1010" s="22"/>
      <c r="BY1010" s="22"/>
      <c r="BZ1010" s="22"/>
      <c r="CA1010" s="22"/>
      <c r="CB1010" s="22"/>
      <c r="CC1010" s="22"/>
      <c r="CD1010" s="22"/>
      <c r="CE1010" s="22"/>
      <c r="CF1010" s="22"/>
      <c r="CG1010" s="22"/>
      <c r="CH1010" s="22"/>
      <c r="CI1010" s="22"/>
      <c r="CJ1010" s="22"/>
      <c r="CK1010" s="22"/>
      <c r="CL1010" s="22"/>
      <c r="CM1010" s="22"/>
      <c r="CN1010" s="22"/>
      <c r="CO1010" s="22"/>
      <c r="CP1010" s="22"/>
      <c r="CQ1010" s="22"/>
      <c r="CR1010" s="22"/>
      <c r="CS1010" s="22"/>
      <c r="CT1010" s="22"/>
      <c r="CU1010" s="22"/>
      <c r="CV1010" s="22"/>
      <c r="CW1010" s="22"/>
      <c r="CX1010" s="22"/>
      <c r="CY1010" s="22"/>
      <c r="CZ1010" s="22"/>
      <c r="DA1010" s="22"/>
      <c r="DB1010" s="22"/>
      <c r="DC1010" s="22"/>
      <c r="DD1010" s="22"/>
      <c r="DE1010" s="22"/>
      <c r="DF1010" s="22"/>
      <c r="DG1010" s="22"/>
      <c r="DH1010" s="22"/>
      <c r="DI1010" s="22"/>
      <c r="DJ1010" s="22"/>
      <c r="DK1010" s="22"/>
      <c r="DL1010" s="22"/>
      <c r="DM1010" s="22"/>
      <c r="DN1010" s="22"/>
      <c r="DO1010" s="22"/>
      <c r="DP1010" s="22"/>
      <c r="DQ1010" s="22"/>
      <c r="DR1010" s="22"/>
      <c r="DS1010" s="22"/>
      <c r="DT1010" s="22"/>
      <c r="DU1010" s="22"/>
      <c r="DV1010" s="22"/>
      <c r="DW1010" s="22"/>
      <c r="DX1010" s="22"/>
      <c r="DY1010" s="22"/>
      <c r="DZ1010" s="22"/>
      <c r="EA1010" s="22"/>
      <c r="EB1010" s="22"/>
      <c r="EC1010" s="22"/>
      <c r="ED1010" s="22"/>
      <c r="EE1010" s="22"/>
      <c r="EF1010" s="22"/>
      <c r="EG1010" s="22"/>
      <c r="EH1010" s="22"/>
      <c r="EI1010" s="22"/>
      <c r="EJ1010" s="22"/>
      <c r="EK1010" s="22"/>
      <c r="EL1010" s="22"/>
      <c r="EM1010" s="22"/>
      <c r="EN1010" s="22"/>
      <c r="EO1010" s="22"/>
      <c r="EP1010" s="22"/>
      <c r="EQ1010" s="22"/>
      <c r="ER1010" s="22"/>
      <c r="ES1010" s="22"/>
      <c r="ET1010" s="22"/>
      <c r="EU1010" s="22"/>
      <c r="EV1010" s="22"/>
      <c r="EW1010" s="22"/>
      <c r="EX1010" s="22"/>
      <c r="EY1010" s="22"/>
      <c r="EZ1010" s="22"/>
      <c r="FA1010" s="22"/>
      <c r="FB1010" s="22"/>
      <c r="FC1010" s="22"/>
      <c r="FD1010" s="22"/>
      <c r="FE1010" s="22"/>
      <c r="FF1010" s="22"/>
      <c r="FG1010" s="22"/>
      <c r="FH1010" s="22"/>
      <c r="FI1010" s="22"/>
      <c r="FJ1010" s="22"/>
      <c r="FK1010" s="22"/>
      <c r="FL1010" s="22"/>
      <c r="FM1010" s="22"/>
      <c r="FN1010" s="22"/>
      <c r="FO1010" s="22"/>
      <c r="FP1010" s="22"/>
      <c r="FQ1010" s="22"/>
      <c r="FR1010" s="22"/>
      <c r="FS1010" s="22"/>
      <c r="FT1010" s="22"/>
      <c r="FU1010" s="22"/>
      <c r="FV1010" s="22"/>
      <c r="FW1010" s="22"/>
      <c r="FX1010" s="22"/>
      <c r="FY1010" s="22"/>
      <c r="FZ1010" s="22"/>
      <c r="GA1010" s="22"/>
      <c r="GB1010" s="22"/>
      <c r="GC1010" s="22"/>
      <c r="GD1010" s="22"/>
      <c r="GE1010" s="22"/>
      <c r="GF1010" s="22"/>
      <c r="GG1010" s="22"/>
      <c r="GH1010" s="22"/>
      <c r="GI1010" s="22"/>
      <c r="GJ1010" s="22"/>
      <c r="GK1010" s="22"/>
      <c r="GL1010" s="22"/>
      <c r="GM1010" s="22"/>
      <c r="GN1010" s="22"/>
      <c r="GO1010" s="22"/>
      <c r="GP1010" s="22"/>
      <c r="GQ1010" s="22"/>
      <c r="GR1010" s="22"/>
      <c r="GS1010" s="22"/>
      <c r="GT1010" s="22"/>
      <c r="GU1010" s="22"/>
      <c r="GV1010" s="22"/>
      <c r="GW1010" s="22"/>
      <c r="GX1010" s="22"/>
      <c r="GY1010" s="22"/>
      <c r="GZ1010" s="22"/>
      <c r="HA1010" s="22"/>
      <c r="HB1010" s="22"/>
      <c r="HC1010" s="22"/>
      <c r="HD1010" s="22"/>
      <c r="HE1010" s="22"/>
      <c r="HF1010" s="22"/>
      <c r="HG1010" s="22"/>
      <c r="HH1010" s="22"/>
      <c r="HI1010" s="22"/>
      <c r="HJ1010" s="22"/>
      <c r="HK1010" s="22"/>
      <c r="HL1010" s="22"/>
      <c r="HM1010" s="22"/>
      <c r="HN1010" s="22"/>
      <c r="HO1010" s="22"/>
      <c r="HP1010" s="22"/>
      <c r="HQ1010" s="22"/>
      <c r="HR1010" s="22"/>
      <c r="HS1010" s="22"/>
      <c r="HT1010" s="22"/>
      <c r="HU1010" s="22"/>
      <c r="HV1010" s="22"/>
      <c r="HW1010" s="22"/>
      <c r="HX1010" s="22"/>
      <c r="HY1010" s="22"/>
      <c r="HZ1010" s="22"/>
      <c r="IA1010" s="22"/>
      <c r="IB1010" s="22"/>
      <c r="IC1010" s="22"/>
      <c r="ID1010" s="22"/>
      <c r="IE1010" s="22"/>
      <c r="IF1010" s="22"/>
      <c r="IG1010" s="22"/>
      <c r="IH1010" s="22"/>
      <c r="II1010" s="22"/>
      <c r="IJ1010" s="22"/>
      <c r="IK1010" s="22"/>
      <c r="IL1010" s="22"/>
      <c r="IM1010" s="22"/>
      <c r="IN1010" s="22"/>
      <c r="IO1010" s="22"/>
      <c r="IP1010" s="22"/>
      <c r="IQ1010" s="22"/>
      <c r="IR1010" s="22"/>
      <c r="IS1010" s="22"/>
      <c r="IT1010" s="22"/>
      <c r="IU1010" s="22"/>
      <c r="IV1010" s="22"/>
      <c r="IW1010" s="22"/>
      <c r="IX1010" s="22"/>
      <c r="IY1010" s="22"/>
      <c r="IZ1010" s="22"/>
      <c r="JA1010" s="22"/>
      <c r="JB1010" s="22"/>
      <c r="JC1010" s="22"/>
      <c r="JD1010" s="22"/>
      <c r="JE1010" s="22"/>
      <c r="JF1010" s="22"/>
      <c r="JG1010" s="22"/>
      <c r="JH1010" s="22"/>
      <c r="JI1010" s="22"/>
      <c r="JJ1010" s="22"/>
      <c r="JK1010" s="22"/>
      <c r="JL1010" s="22"/>
      <c r="JM1010" s="22"/>
      <c r="JN1010" s="22"/>
      <c r="JO1010" s="22"/>
      <c r="JP1010" s="22"/>
      <c r="JQ1010" s="22"/>
      <c r="JR1010" s="22"/>
      <c r="JS1010" s="22"/>
      <c r="JT1010" s="22"/>
      <c r="JU1010" s="22"/>
      <c r="JV1010" s="22"/>
      <c r="JW1010" s="22"/>
      <c r="JX1010" s="22"/>
      <c r="JY1010" s="22"/>
      <c r="JZ1010" s="22"/>
      <c r="KA1010" s="22"/>
      <c r="KB1010" s="22"/>
      <c r="KC1010" s="22"/>
      <c r="KD1010" s="22"/>
      <c r="KE1010" s="22"/>
      <c r="KF1010" s="22"/>
      <c r="KG1010" s="22"/>
      <c r="KH1010" s="22"/>
      <c r="KI1010" s="22"/>
      <c r="KJ1010" s="22"/>
      <c r="KK1010" s="22"/>
      <c r="KL1010" s="22"/>
      <c r="KM1010" s="22"/>
      <c r="KN1010" s="22"/>
      <c r="KO1010" s="22"/>
      <c r="KP1010" s="22"/>
      <c r="KQ1010" s="22"/>
      <c r="KR1010" s="22"/>
      <c r="KS1010" s="22"/>
      <c r="KT1010" s="22"/>
      <c r="KU1010" s="22"/>
      <c r="KV1010" s="22"/>
      <c r="KW1010" s="22"/>
      <c r="KX1010" s="22"/>
      <c r="KY1010" s="22"/>
      <c r="KZ1010" s="22"/>
      <c r="LA1010" s="22"/>
      <c r="LB1010" s="22"/>
      <c r="LC1010" s="22"/>
      <c r="LD1010" s="22"/>
      <c r="LE1010" s="22"/>
      <c r="LF1010" s="22"/>
      <c r="LG1010" s="22"/>
      <c r="LH1010" s="22"/>
      <c r="LI1010" s="22"/>
      <c r="LJ1010" s="22"/>
      <c r="LK1010" s="22"/>
      <c r="LL1010" s="22"/>
      <c r="LM1010" s="22"/>
      <c r="LN1010" s="22"/>
      <c r="LO1010" s="22"/>
      <c r="LP1010" s="22"/>
      <c r="LQ1010" s="22"/>
      <c r="LR1010" s="22"/>
      <c r="LS1010" s="22"/>
      <c r="LT1010" s="22"/>
      <c r="LU1010" s="22"/>
      <c r="LV1010" s="22"/>
      <c r="LW1010" s="22"/>
      <c r="LX1010" s="22"/>
      <c r="LY1010" s="22"/>
      <c r="LZ1010" s="22"/>
      <c r="MA1010" s="22"/>
      <c r="MB1010" s="22"/>
      <c r="MC1010" s="22"/>
      <c r="MD1010" s="22"/>
      <c r="ME1010" s="22"/>
      <c r="MF1010" s="22"/>
      <c r="MG1010" s="22"/>
      <c r="MH1010" s="22"/>
      <c r="MI1010" s="22"/>
      <c r="MJ1010" s="22"/>
      <c r="MK1010" s="22"/>
      <c r="ML1010" s="22"/>
      <c r="MM1010" s="22"/>
      <c r="MN1010" s="22"/>
      <c r="MO1010" s="22"/>
      <c r="MP1010" s="22"/>
      <c r="MQ1010" s="22"/>
      <c r="MR1010" s="22"/>
      <c r="MS1010" s="22"/>
      <c r="MT1010" s="22"/>
      <c r="MU1010" s="22"/>
      <c r="MV1010" s="22"/>
      <c r="MW1010" s="22"/>
      <c r="MX1010" s="22"/>
      <c r="MY1010" s="22"/>
      <c r="MZ1010" s="22"/>
      <c r="NA1010" s="22"/>
      <c r="NB1010" s="22"/>
      <c r="NC1010" s="22"/>
      <c r="ND1010" s="22"/>
      <c r="NE1010" s="22"/>
      <c r="NF1010" s="22"/>
      <c r="NG1010" s="22"/>
      <c r="NH1010" s="22"/>
      <c r="NI1010" s="22"/>
      <c r="NJ1010" s="22"/>
      <c r="NK1010" s="22"/>
      <c r="NL1010" s="22"/>
      <c r="NM1010" s="22"/>
      <c r="NN1010" s="22"/>
      <c r="NO1010" s="22"/>
      <c r="NP1010" s="22"/>
      <c r="NQ1010" s="22"/>
      <c r="NR1010" s="22"/>
      <c r="NS1010" s="22"/>
      <c r="NT1010" s="22"/>
      <c r="NU1010" s="22"/>
      <c r="NV1010" s="22"/>
      <c r="NW1010" s="22"/>
      <c r="NX1010" s="22"/>
      <c r="NY1010" s="22"/>
      <c r="NZ1010" s="22"/>
      <c r="OA1010" s="22"/>
      <c r="OB1010" s="22"/>
      <c r="OC1010" s="22"/>
      <c r="OD1010" s="22"/>
      <c r="OE1010" s="22"/>
      <c r="OF1010" s="22"/>
      <c r="OG1010" s="22"/>
      <c r="OH1010" s="22"/>
      <c r="OI1010" s="22"/>
      <c r="OJ1010" s="22"/>
      <c r="OK1010" s="22"/>
      <c r="OL1010" s="22"/>
      <c r="OM1010" s="22"/>
      <c r="ON1010" s="22"/>
      <c r="OO1010" s="22"/>
      <c r="OP1010" s="22"/>
      <c r="OQ1010" s="22"/>
      <c r="OR1010" s="22"/>
      <c r="OS1010" s="22"/>
      <c r="OT1010" s="22"/>
      <c r="OU1010" s="22"/>
      <c r="OV1010" s="22"/>
      <c r="OW1010" s="22"/>
      <c r="OX1010" s="22"/>
      <c r="OY1010" s="22"/>
      <c r="OZ1010" s="22"/>
      <c r="PA1010" s="22"/>
      <c r="PB1010" s="22"/>
      <c r="PC1010" s="22"/>
      <c r="PD1010" s="22"/>
      <c r="PE1010" s="22"/>
      <c r="PF1010" s="22"/>
      <c r="PG1010" s="22"/>
      <c r="PH1010" s="22"/>
      <c r="PI1010" s="22"/>
      <c r="PJ1010" s="22"/>
      <c r="PK1010" s="22"/>
      <c r="PL1010" s="22"/>
      <c r="PM1010" s="22"/>
      <c r="PN1010" s="22"/>
      <c r="PO1010" s="22"/>
      <c r="PP1010" s="22"/>
      <c r="PQ1010" s="22"/>
      <c r="PR1010" s="22"/>
      <c r="PS1010" s="22"/>
      <c r="PT1010" s="22"/>
      <c r="PU1010" s="22"/>
      <c r="PV1010" s="22"/>
      <c r="PW1010" s="22"/>
      <c r="PX1010" s="22"/>
      <c r="PY1010" s="22"/>
      <c r="PZ1010" s="22"/>
      <c r="QA1010" s="22"/>
      <c r="QB1010" s="22"/>
      <c r="QC1010" s="22"/>
      <c r="QD1010" s="22"/>
      <c r="QE1010" s="22"/>
      <c r="QF1010" s="22"/>
      <c r="QG1010" s="22"/>
      <c r="QH1010" s="22"/>
      <c r="QI1010" s="22"/>
      <c r="QJ1010" s="22"/>
      <c r="QK1010" s="22"/>
      <c r="QL1010" s="22"/>
      <c r="QM1010" s="22"/>
      <c r="QN1010" s="22"/>
      <c r="QO1010" s="22"/>
      <c r="QP1010" s="22"/>
      <c r="QQ1010" s="22"/>
      <c r="QR1010" s="22"/>
      <c r="QS1010" s="22"/>
      <c r="QT1010" s="22"/>
      <c r="QU1010" s="22"/>
      <c r="QV1010" s="22"/>
      <c r="QW1010" s="22"/>
      <c r="QX1010" s="22"/>
      <c r="QY1010" s="22"/>
      <c r="QZ1010" s="22"/>
      <c r="RA1010" s="22"/>
      <c r="RB1010" s="22"/>
      <c r="RC1010" s="22"/>
      <c r="RD1010" s="22"/>
      <c r="RE1010" s="22"/>
      <c r="RF1010" s="22"/>
      <c r="RG1010" s="22"/>
      <c r="RH1010" s="22"/>
      <c r="RI1010" s="22"/>
      <c r="RJ1010" s="22"/>
      <c r="RK1010" s="22"/>
      <c r="RL1010" s="22"/>
      <c r="RM1010" s="22"/>
      <c r="RN1010" s="22"/>
      <c r="RO1010" s="22"/>
      <c r="RP1010" s="22"/>
      <c r="RQ1010" s="22"/>
      <c r="RR1010" s="22"/>
      <c r="RS1010" s="22"/>
      <c r="RT1010" s="22"/>
      <c r="RU1010" s="22"/>
      <c r="RV1010" s="22"/>
      <c r="RW1010" s="22"/>
      <c r="RX1010" s="22"/>
      <c r="RY1010" s="22"/>
      <c r="RZ1010" s="22"/>
      <c r="SA1010" s="22"/>
      <c r="SB1010" s="22"/>
      <c r="SC1010" s="22"/>
      <c r="SD1010" s="22"/>
      <c r="SE1010" s="22"/>
      <c r="SF1010" s="22"/>
      <c r="SG1010" s="22"/>
      <c r="SH1010" s="22"/>
      <c r="SI1010" s="22"/>
      <c r="SJ1010" s="22"/>
      <c r="SK1010" s="22"/>
      <c r="SL1010" s="22"/>
      <c r="SM1010" s="22"/>
      <c r="SN1010" s="22"/>
      <c r="SO1010" s="22"/>
      <c r="SP1010" s="22"/>
      <c r="SQ1010" s="22"/>
      <c r="SR1010" s="22"/>
      <c r="SS1010" s="22"/>
      <c r="ST1010" s="22"/>
      <c r="SU1010" s="22"/>
      <c r="SV1010" s="22"/>
      <c r="SW1010" s="22"/>
      <c r="SX1010" s="22"/>
      <c r="SY1010" s="22"/>
      <c r="SZ1010" s="22"/>
      <c r="TA1010" s="22"/>
      <c r="TB1010" s="22"/>
      <c r="TC1010" s="22"/>
      <c r="TD1010" s="22"/>
      <c r="TE1010" s="22"/>
      <c r="TF1010" s="22"/>
      <c r="TG1010" s="22"/>
      <c r="TH1010" s="22"/>
      <c r="TI1010" s="22"/>
      <c r="TJ1010" s="22"/>
      <c r="TK1010" s="22"/>
      <c r="TL1010" s="22"/>
      <c r="TM1010" s="22"/>
      <c r="TN1010" s="22"/>
      <c r="TO1010" s="22"/>
      <c r="TP1010" s="22"/>
      <c r="TQ1010" s="22"/>
      <c r="TR1010" s="22"/>
      <c r="TS1010" s="22"/>
      <c r="TT1010" s="22"/>
      <c r="TU1010" s="22"/>
      <c r="TV1010" s="22"/>
      <c r="TW1010" s="22"/>
      <c r="TX1010" s="22"/>
      <c r="TY1010" s="22"/>
      <c r="TZ1010" s="22"/>
      <c r="UA1010" s="22"/>
      <c r="UB1010" s="22"/>
      <c r="UC1010" s="22"/>
      <c r="UD1010" s="22"/>
      <c r="UE1010" s="22"/>
      <c r="UF1010" s="22"/>
      <c r="UG1010" s="23"/>
    </row>
    <row r="1011" spans="1:553" ht="51" customHeight="1">
      <c r="A1011" s="356"/>
      <c r="B1011" s="385">
        <v>161</v>
      </c>
      <c r="C1011" s="1535" t="s">
        <v>1009</v>
      </c>
      <c r="D1011" s="1389"/>
      <c r="E1011" s="1389"/>
      <c r="F1011" s="1390"/>
      <c r="G1011" s="386" t="s">
        <v>582</v>
      </c>
      <c r="H1011" s="370"/>
      <c r="I1011" s="417">
        <f>2*1.7*1</f>
        <v>3.4</v>
      </c>
      <c r="J1011" s="368">
        <v>1080400</v>
      </c>
      <c r="K1011" s="371"/>
      <c r="L1011" s="391">
        <f t="shared" si="150"/>
        <v>3673360</v>
      </c>
      <c r="M1011" s="395"/>
      <c r="N1011" s="395"/>
      <c r="O1011" s="366"/>
      <c r="P1011" s="396"/>
      <c r="Q1011" s="473"/>
      <c r="R1011" s="1039"/>
      <c r="S1011" s="308"/>
      <c r="T1011" s="308"/>
      <c r="U1011" s="308"/>
      <c r="V1011" s="308"/>
      <c r="W1011" s="308"/>
      <c r="X1011" s="308"/>
      <c r="Y1011" s="308"/>
      <c r="Z1011" s="604"/>
      <c r="AA1011" s="308"/>
      <c r="AB1011" s="308"/>
      <c r="AC1011" s="373"/>
      <c r="AD1011" s="373"/>
      <c r="AE1011" s="373"/>
      <c r="AF1011" s="373"/>
      <c r="AG1011" s="389"/>
      <c r="AH1011" s="389"/>
      <c r="AI1011" s="389"/>
      <c r="AJ1011" s="389"/>
      <c r="AK1011" s="389"/>
      <c r="AL1011" s="100"/>
      <c r="AM1011" s="27"/>
      <c r="AN1011" s="27"/>
      <c r="AO1011" s="27"/>
      <c r="AP1011" s="27"/>
      <c r="AQ1011" s="22"/>
      <c r="AR1011" s="22"/>
      <c r="AS1011" s="22"/>
      <c r="AT1011" s="22"/>
      <c r="AU1011" s="22"/>
      <c r="AV1011" s="22"/>
      <c r="AW1011" s="22"/>
      <c r="AX1011" s="22"/>
      <c r="AY1011" s="22"/>
      <c r="AZ1011" s="22"/>
      <c r="BA1011" s="22"/>
      <c r="BB1011" s="22"/>
      <c r="BC1011" s="22"/>
      <c r="BD1011" s="22"/>
      <c r="BE1011" s="22"/>
      <c r="BF1011" s="22"/>
      <c r="BG1011" s="22"/>
      <c r="BH1011" s="22"/>
      <c r="BI1011" s="22"/>
      <c r="BJ1011" s="22"/>
      <c r="BK1011" s="22"/>
      <c r="BL1011" s="22"/>
      <c r="BM1011" s="22"/>
      <c r="BN1011" s="22"/>
      <c r="BO1011" s="22"/>
      <c r="BP1011" s="22"/>
      <c r="BQ1011" s="22"/>
      <c r="BR1011" s="22"/>
      <c r="BS1011" s="22"/>
      <c r="BT1011" s="22"/>
      <c r="BU1011" s="22"/>
      <c r="BV1011" s="22"/>
      <c r="BW1011" s="22"/>
      <c r="BX1011" s="22"/>
      <c r="BY1011" s="22"/>
      <c r="BZ1011" s="22"/>
      <c r="CA1011" s="22"/>
      <c r="CB1011" s="22"/>
      <c r="CC1011" s="22"/>
      <c r="CD1011" s="22"/>
      <c r="CE1011" s="22"/>
      <c r="CF1011" s="22"/>
      <c r="CG1011" s="22"/>
      <c r="CH1011" s="22"/>
      <c r="CI1011" s="22"/>
      <c r="CJ1011" s="22"/>
      <c r="CK1011" s="22"/>
      <c r="CL1011" s="22"/>
      <c r="CM1011" s="22"/>
      <c r="CN1011" s="22"/>
      <c r="CO1011" s="22"/>
      <c r="CP1011" s="22"/>
      <c r="CQ1011" s="22"/>
      <c r="CR1011" s="22"/>
      <c r="CS1011" s="22"/>
      <c r="CT1011" s="22"/>
      <c r="CU1011" s="22"/>
      <c r="CV1011" s="22"/>
      <c r="CW1011" s="22"/>
      <c r="CX1011" s="22"/>
      <c r="CY1011" s="22"/>
      <c r="CZ1011" s="22"/>
      <c r="DA1011" s="22"/>
      <c r="DB1011" s="22"/>
      <c r="DC1011" s="22"/>
      <c r="DD1011" s="22"/>
      <c r="DE1011" s="22"/>
      <c r="DF1011" s="22"/>
      <c r="DG1011" s="22"/>
      <c r="DH1011" s="22"/>
      <c r="DI1011" s="22"/>
      <c r="DJ1011" s="22"/>
      <c r="DK1011" s="22"/>
      <c r="DL1011" s="22"/>
      <c r="DM1011" s="22"/>
      <c r="DN1011" s="22"/>
      <c r="DO1011" s="22"/>
      <c r="DP1011" s="22"/>
      <c r="DQ1011" s="22"/>
      <c r="DR1011" s="22"/>
      <c r="DS1011" s="22"/>
      <c r="DT1011" s="22"/>
      <c r="DU1011" s="22"/>
      <c r="DV1011" s="22"/>
      <c r="DW1011" s="22"/>
      <c r="DX1011" s="22"/>
      <c r="DY1011" s="22"/>
      <c r="DZ1011" s="22"/>
      <c r="EA1011" s="22"/>
      <c r="EB1011" s="22"/>
      <c r="EC1011" s="22"/>
      <c r="ED1011" s="22"/>
      <c r="EE1011" s="22"/>
      <c r="EF1011" s="22"/>
      <c r="EG1011" s="22"/>
      <c r="EH1011" s="22"/>
      <c r="EI1011" s="22"/>
      <c r="EJ1011" s="22"/>
      <c r="EK1011" s="22"/>
      <c r="EL1011" s="22"/>
      <c r="EM1011" s="22"/>
      <c r="EN1011" s="22"/>
      <c r="EO1011" s="22"/>
      <c r="EP1011" s="22"/>
      <c r="EQ1011" s="22"/>
      <c r="ER1011" s="22"/>
      <c r="ES1011" s="22"/>
      <c r="ET1011" s="22"/>
      <c r="EU1011" s="22"/>
      <c r="EV1011" s="22"/>
      <c r="EW1011" s="22"/>
      <c r="EX1011" s="22"/>
      <c r="EY1011" s="22"/>
      <c r="EZ1011" s="22"/>
      <c r="FA1011" s="22"/>
      <c r="FB1011" s="22"/>
      <c r="FC1011" s="22"/>
      <c r="FD1011" s="22"/>
      <c r="FE1011" s="22"/>
      <c r="FF1011" s="22"/>
      <c r="FG1011" s="22"/>
      <c r="FH1011" s="22"/>
      <c r="FI1011" s="22"/>
      <c r="FJ1011" s="22"/>
      <c r="FK1011" s="22"/>
      <c r="FL1011" s="22"/>
      <c r="FM1011" s="22"/>
      <c r="FN1011" s="22"/>
      <c r="FO1011" s="22"/>
      <c r="FP1011" s="22"/>
      <c r="FQ1011" s="22"/>
      <c r="FR1011" s="22"/>
      <c r="FS1011" s="22"/>
      <c r="FT1011" s="22"/>
      <c r="FU1011" s="22"/>
      <c r="FV1011" s="22"/>
      <c r="FW1011" s="22"/>
      <c r="FX1011" s="22"/>
      <c r="FY1011" s="22"/>
      <c r="FZ1011" s="22"/>
      <c r="GA1011" s="22"/>
      <c r="GB1011" s="22"/>
      <c r="GC1011" s="22"/>
      <c r="GD1011" s="22"/>
      <c r="GE1011" s="22"/>
      <c r="GF1011" s="22"/>
      <c r="GG1011" s="22"/>
      <c r="GH1011" s="22"/>
      <c r="GI1011" s="22"/>
      <c r="GJ1011" s="22"/>
      <c r="GK1011" s="22"/>
      <c r="GL1011" s="22"/>
      <c r="GM1011" s="22"/>
      <c r="GN1011" s="22"/>
      <c r="GO1011" s="22"/>
      <c r="GP1011" s="22"/>
      <c r="GQ1011" s="22"/>
      <c r="GR1011" s="22"/>
      <c r="GS1011" s="22"/>
      <c r="GT1011" s="22"/>
      <c r="GU1011" s="22"/>
      <c r="GV1011" s="22"/>
      <c r="GW1011" s="22"/>
      <c r="GX1011" s="22"/>
      <c r="GY1011" s="22"/>
      <c r="GZ1011" s="22"/>
      <c r="HA1011" s="22"/>
      <c r="HB1011" s="22"/>
      <c r="HC1011" s="22"/>
      <c r="HD1011" s="22"/>
      <c r="HE1011" s="22"/>
      <c r="HF1011" s="22"/>
      <c r="HG1011" s="22"/>
      <c r="HH1011" s="22"/>
      <c r="HI1011" s="22"/>
      <c r="HJ1011" s="22"/>
      <c r="HK1011" s="22"/>
      <c r="HL1011" s="22"/>
      <c r="HM1011" s="22"/>
      <c r="HN1011" s="22"/>
      <c r="HO1011" s="22"/>
      <c r="HP1011" s="22"/>
      <c r="HQ1011" s="22"/>
      <c r="HR1011" s="22"/>
      <c r="HS1011" s="22"/>
      <c r="HT1011" s="22"/>
      <c r="HU1011" s="22"/>
      <c r="HV1011" s="22"/>
      <c r="HW1011" s="22"/>
      <c r="HX1011" s="22"/>
      <c r="HY1011" s="22"/>
      <c r="HZ1011" s="22"/>
      <c r="IA1011" s="22"/>
      <c r="IB1011" s="22"/>
      <c r="IC1011" s="22"/>
      <c r="ID1011" s="22"/>
      <c r="IE1011" s="22"/>
      <c r="IF1011" s="22"/>
      <c r="IG1011" s="22"/>
      <c r="IH1011" s="22"/>
      <c r="II1011" s="22"/>
      <c r="IJ1011" s="22"/>
      <c r="IK1011" s="22"/>
      <c r="IL1011" s="22"/>
      <c r="IM1011" s="22"/>
      <c r="IN1011" s="22"/>
      <c r="IO1011" s="22"/>
      <c r="IP1011" s="22"/>
      <c r="IQ1011" s="22"/>
      <c r="IR1011" s="22"/>
      <c r="IS1011" s="22"/>
      <c r="IT1011" s="22"/>
      <c r="IU1011" s="22"/>
      <c r="IV1011" s="22"/>
      <c r="IW1011" s="22"/>
      <c r="IX1011" s="22"/>
      <c r="IY1011" s="22"/>
      <c r="IZ1011" s="22"/>
      <c r="JA1011" s="22"/>
      <c r="JB1011" s="22"/>
      <c r="JC1011" s="22"/>
      <c r="JD1011" s="22"/>
      <c r="JE1011" s="22"/>
      <c r="JF1011" s="22"/>
      <c r="JG1011" s="22"/>
      <c r="JH1011" s="22"/>
      <c r="JI1011" s="22"/>
      <c r="JJ1011" s="22"/>
      <c r="JK1011" s="22"/>
      <c r="JL1011" s="22"/>
      <c r="JM1011" s="22"/>
      <c r="JN1011" s="22"/>
      <c r="JO1011" s="22"/>
      <c r="JP1011" s="22"/>
      <c r="JQ1011" s="22"/>
      <c r="JR1011" s="22"/>
      <c r="JS1011" s="22"/>
      <c r="JT1011" s="22"/>
      <c r="JU1011" s="22"/>
      <c r="JV1011" s="22"/>
      <c r="JW1011" s="22"/>
      <c r="JX1011" s="22"/>
      <c r="JY1011" s="22"/>
      <c r="JZ1011" s="22"/>
      <c r="KA1011" s="22"/>
      <c r="KB1011" s="22"/>
      <c r="KC1011" s="22"/>
      <c r="KD1011" s="22"/>
      <c r="KE1011" s="22"/>
      <c r="KF1011" s="22"/>
      <c r="KG1011" s="22"/>
      <c r="KH1011" s="22"/>
      <c r="KI1011" s="22"/>
      <c r="KJ1011" s="22"/>
      <c r="KK1011" s="22"/>
      <c r="KL1011" s="22"/>
      <c r="KM1011" s="22"/>
      <c r="KN1011" s="22"/>
      <c r="KO1011" s="22"/>
      <c r="KP1011" s="22"/>
      <c r="KQ1011" s="22"/>
      <c r="KR1011" s="22"/>
      <c r="KS1011" s="22"/>
      <c r="KT1011" s="22"/>
      <c r="KU1011" s="22"/>
      <c r="KV1011" s="22"/>
      <c r="KW1011" s="22"/>
      <c r="KX1011" s="22"/>
      <c r="KY1011" s="22"/>
      <c r="KZ1011" s="22"/>
      <c r="LA1011" s="22"/>
      <c r="LB1011" s="22"/>
      <c r="LC1011" s="22"/>
      <c r="LD1011" s="22"/>
      <c r="LE1011" s="22"/>
      <c r="LF1011" s="22"/>
      <c r="LG1011" s="22"/>
      <c r="LH1011" s="22"/>
      <c r="LI1011" s="22"/>
      <c r="LJ1011" s="22"/>
      <c r="LK1011" s="22"/>
      <c r="LL1011" s="22"/>
      <c r="LM1011" s="22"/>
      <c r="LN1011" s="22"/>
      <c r="LO1011" s="22"/>
      <c r="LP1011" s="22"/>
      <c r="LQ1011" s="22"/>
      <c r="LR1011" s="22"/>
      <c r="LS1011" s="22"/>
      <c r="LT1011" s="22"/>
      <c r="LU1011" s="22"/>
      <c r="LV1011" s="22"/>
      <c r="LW1011" s="22"/>
      <c r="LX1011" s="22"/>
      <c r="LY1011" s="22"/>
      <c r="LZ1011" s="22"/>
      <c r="MA1011" s="22"/>
      <c r="MB1011" s="22"/>
      <c r="MC1011" s="22"/>
      <c r="MD1011" s="22"/>
      <c r="ME1011" s="22"/>
      <c r="MF1011" s="22"/>
      <c r="MG1011" s="22"/>
      <c r="MH1011" s="22"/>
      <c r="MI1011" s="22"/>
      <c r="MJ1011" s="22"/>
      <c r="MK1011" s="22"/>
      <c r="ML1011" s="22"/>
      <c r="MM1011" s="22"/>
      <c r="MN1011" s="22"/>
      <c r="MO1011" s="22"/>
      <c r="MP1011" s="22"/>
      <c r="MQ1011" s="22"/>
      <c r="MR1011" s="22"/>
      <c r="MS1011" s="22"/>
      <c r="MT1011" s="22"/>
      <c r="MU1011" s="22"/>
      <c r="MV1011" s="22"/>
      <c r="MW1011" s="22"/>
      <c r="MX1011" s="22"/>
      <c r="MY1011" s="22"/>
      <c r="MZ1011" s="22"/>
      <c r="NA1011" s="22"/>
      <c r="NB1011" s="22"/>
      <c r="NC1011" s="22"/>
      <c r="ND1011" s="22"/>
      <c r="NE1011" s="22"/>
      <c r="NF1011" s="22"/>
      <c r="NG1011" s="22"/>
      <c r="NH1011" s="22"/>
      <c r="NI1011" s="22"/>
      <c r="NJ1011" s="22"/>
      <c r="NK1011" s="22"/>
      <c r="NL1011" s="22"/>
      <c r="NM1011" s="22"/>
      <c r="NN1011" s="22"/>
      <c r="NO1011" s="22"/>
      <c r="NP1011" s="22"/>
      <c r="NQ1011" s="22"/>
      <c r="NR1011" s="22"/>
      <c r="NS1011" s="22"/>
      <c r="NT1011" s="22"/>
      <c r="NU1011" s="22"/>
      <c r="NV1011" s="22"/>
      <c r="NW1011" s="22"/>
      <c r="NX1011" s="22"/>
      <c r="NY1011" s="22"/>
      <c r="NZ1011" s="22"/>
      <c r="OA1011" s="22"/>
      <c r="OB1011" s="22"/>
      <c r="OC1011" s="22"/>
      <c r="OD1011" s="22"/>
      <c r="OE1011" s="22"/>
      <c r="OF1011" s="22"/>
      <c r="OG1011" s="22"/>
      <c r="OH1011" s="22"/>
      <c r="OI1011" s="22"/>
      <c r="OJ1011" s="22"/>
      <c r="OK1011" s="22"/>
      <c r="OL1011" s="22"/>
      <c r="OM1011" s="22"/>
      <c r="ON1011" s="22"/>
      <c r="OO1011" s="22"/>
      <c r="OP1011" s="22"/>
      <c r="OQ1011" s="22"/>
      <c r="OR1011" s="22"/>
      <c r="OS1011" s="22"/>
      <c r="OT1011" s="22"/>
      <c r="OU1011" s="22"/>
      <c r="OV1011" s="22"/>
      <c r="OW1011" s="22"/>
      <c r="OX1011" s="22"/>
      <c r="OY1011" s="22"/>
      <c r="OZ1011" s="22"/>
      <c r="PA1011" s="22"/>
      <c r="PB1011" s="22"/>
      <c r="PC1011" s="22"/>
      <c r="PD1011" s="22"/>
      <c r="PE1011" s="22"/>
      <c r="PF1011" s="22"/>
      <c r="PG1011" s="22"/>
      <c r="PH1011" s="22"/>
      <c r="PI1011" s="22"/>
      <c r="PJ1011" s="22"/>
      <c r="PK1011" s="22"/>
      <c r="PL1011" s="22"/>
      <c r="PM1011" s="22"/>
      <c r="PN1011" s="22"/>
      <c r="PO1011" s="22"/>
      <c r="PP1011" s="22"/>
      <c r="PQ1011" s="22"/>
      <c r="PR1011" s="22"/>
      <c r="PS1011" s="22"/>
      <c r="PT1011" s="22"/>
      <c r="PU1011" s="22"/>
      <c r="PV1011" s="22"/>
      <c r="PW1011" s="22"/>
      <c r="PX1011" s="22"/>
      <c r="PY1011" s="22"/>
      <c r="PZ1011" s="22"/>
      <c r="QA1011" s="22"/>
      <c r="QB1011" s="22"/>
      <c r="QC1011" s="22"/>
      <c r="QD1011" s="22"/>
      <c r="QE1011" s="22"/>
      <c r="QF1011" s="22"/>
      <c r="QG1011" s="22"/>
      <c r="QH1011" s="22"/>
      <c r="QI1011" s="22"/>
      <c r="QJ1011" s="22"/>
      <c r="QK1011" s="22"/>
      <c r="QL1011" s="22"/>
      <c r="QM1011" s="22"/>
      <c r="QN1011" s="22"/>
      <c r="QO1011" s="22"/>
      <c r="QP1011" s="22"/>
      <c r="QQ1011" s="22"/>
      <c r="QR1011" s="22"/>
      <c r="QS1011" s="22"/>
      <c r="QT1011" s="22"/>
      <c r="QU1011" s="22"/>
      <c r="QV1011" s="22"/>
      <c r="QW1011" s="22"/>
      <c r="QX1011" s="22"/>
      <c r="QY1011" s="22"/>
      <c r="QZ1011" s="22"/>
      <c r="RA1011" s="22"/>
      <c r="RB1011" s="22"/>
      <c r="RC1011" s="22"/>
      <c r="RD1011" s="22"/>
      <c r="RE1011" s="22"/>
      <c r="RF1011" s="22"/>
      <c r="RG1011" s="22"/>
      <c r="RH1011" s="22"/>
      <c r="RI1011" s="22"/>
      <c r="RJ1011" s="22"/>
      <c r="RK1011" s="22"/>
      <c r="RL1011" s="22"/>
      <c r="RM1011" s="22"/>
      <c r="RN1011" s="22"/>
      <c r="RO1011" s="22"/>
      <c r="RP1011" s="22"/>
      <c r="RQ1011" s="22"/>
      <c r="RR1011" s="22"/>
      <c r="RS1011" s="22"/>
      <c r="RT1011" s="22"/>
      <c r="RU1011" s="22"/>
      <c r="RV1011" s="22"/>
      <c r="RW1011" s="22"/>
      <c r="RX1011" s="22"/>
      <c r="RY1011" s="22"/>
      <c r="RZ1011" s="22"/>
      <c r="SA1011" s="22"/>
      <c r="SB1011" s="22"/>
      <c r="SC1011" s="22"/>
      <c r="SD1011" s="22"/>
      <c r="SE1011" s="22"/>
      <c r="SF1011" s="22"/>
      <c r="SG1011" s="22"/>
      <c r="SH1011" s="22"/>
      <c r="SI1011" s="22"/>
      <c r="SJ1011" s="22"/>
      <c r="SK1011" s="22"/>
      <c r="SL1011" s="22"/>
      <c r="SM1011" s="22"/>
      <c r="SN1011" s="22"/>
      <c r="SO1011" s="22"/>
      <c r="SP1011" s="22"/>
      <c r="SQ1011" s="22"/>
      <c r="SR1011" s="22"/>
      <c r="SS1011" s="22"/>
      <c r="ST1011" s="22"/>
      <c r="SU1011" s="22"/>
      <c r="SV1011" s="22"/>
      <c r="SW1011" s="22"/>
      <c r="SX1011" s="22"/>
      <c r="SY1011" s="22"/>
      <c r="SZ1011" s="22"/>
      <c r="TA1011" s="22"/>
      <c r="TB1011" s="22"/>
      <c r="TC1011" s="22"/>
      <c r="TD1011" s="22"/>
      <c r="TE1011" s="22"/>
      <c r="TF1011" s="22"/>
      <c r="TG1011" s="22"/>
      <c r="TH1011" s="22"/>
      <c r="TI1011" s="22"/>
      <c r="TJ1011" s="22"/>
      <c r="TK1011" s="22"/>
      <c r="TL1011" s="22"/>
      <c r="TM1011" s="22"/>
      <c r="TN1011" s="22"/>
      <c r="TO1011" s="22"/>
      <c r="TP1011" s="22"/>
      <c r="TQ1011" s="22"/>
      <c r="TR1011" s="22"/>
      <c r="TS1011" s="22"/>
      <c r="TT1011" s="22"/>
      <c r="TU1011" s="22"/>
      <c r="TV1011" s="22"/>
      <c r="TW1011" s="22"/>
      <c r="TX1011" s="22"/>
      <c r="TY1011" s="22"/>
      <c r="TZ1011" s="22"/>
      <c r="UA1011" s="22"/>
      <c r="UB1011" s="22"/>
      <c r="UC1011" s="22"/>
      <c r="UD1011" s="22"/>
      <c r="UE1011" s="22"/>
      <c r="UF1011" s="22"/>
      <c r="UG1011" s="23"/>
    </row>
    <row r="1012" spans="1:553" ht="51" customHeight="1">
      <c r="A1012" s="356"/>
      <c r="B1012" s="385">
        <v>152</v>
      </c>
      <c r="C1012" s="1535" t="s">
        <v>583</v>
      </c>
      <c r="D1012" s="1389"/>
      <c r="E1012" s="1389"/>
      <c r="F1012" s="1390"/>
      <c r="G1012" s="386" t="s">
        <v>33</v>
      </c>
      <c r="H1012" s="370"/>
      <c r="I1012" s="417">
        <f>1.6*1.7</f>
        <v>2.72</v>
      </c>
      <c r="J1012" s="368">
        <v>1000000</v>
      </c>
      <c r="K1012" s="371"/>
      <c r="L1012" s="391">
        <f t="shared" si="150"/>
        <v>2720000</v>
      </c>
      <c r="M1012" s="395"/>
      <c r="N1012" s="395"/>
      <c r="O1012" s="366"/>
      <c r="P1012" s="396"/>
      <c r="Q1012" s="473"/>
      <c r="R1012" s="1039"/>
      <c r="S1012" s="308"/>
      <c r="T1012" s="308"/>
      <c r="U1012" s="308"/>
      <c r="V1012" s="308"/>
      <c r="W1012" s="308"/>
      <c r="X1012" s="308"/>
      <c r="Y1012" s="308"/>
      <c r="Z1012" s="604"/>
      <c r="AA1012" s="308"/>
      <c r="AB1012" s="308"/>
      <c r="AC1012" s="373"/>
      <c r="AD1012" s="373"/>
      <c r="AE1012" s="373"/>
      <c r="AF1012" s="373"/>
      <c r="AG1012" s="389"/>
      <c r="AH1012" s="389"/>
      <c r="AI1012" s="389"/>
      <c r="AJ1012" s="389"/>
      <c r="AK1012" s="389"/>
      <c r="AL1012" s="100"/>
      <c r="AM1012" s="27"/>
      <c r="AN1012" s="27"/>
      <c r="AO1012" s="27"/>
      <c r="AP1012" s="27"/>
      <c r="AQ1012" s="22"/>
      <c r="AR1012" s="22"/>
      <c r="AS1012" s="22"/>
      <c r="AT1012" s="22"/>
      <c r="AU1012" s="22"/>
      <c r="AV1012" s="22"/>
      <c r="AW1012" s="22"/>
      <c r="AX1012" s="22"/>
      <c r="AY1012" s="22"/>
      <c r="AZ1012" s="22"/>
      <c r="BA1012" s="22"/>
      <c r="BB1012" s="22"/>
      <c r="BC1012" s="22"/>
      <c r="BD1012" s="22"/>
      <c r="BE1012" s="22"/>
      <c r="BF1012" s="22"/>
      <c r="BG1012" s="22"/>
      <c r="BH1012" s="22"/>
      <c r="BI1012" s="22"/>
      <c r="BJ1012" s="22"/>
      <c r="BK1012" s="22"/>
      <c r="BL1012" s="22"/>
      <c r="BM1012" s="22"/>
      <c r="BN1012" s="22"/>
      <c r="BO1012" s="22"/>
      <c r="BP1012" s="22"/>
      <c r="BQ1012" s="22"/>
      <c r="BR1012" s="22"/>
      <c r="BS1012" s="22"/>
      <c r="BT1012" s="22"/>
      <c r="BU1012" s="22"/>
      <c r="BV1012" s="22"/>
      <c r="BW1012" s="22"/>
      <c r="BX1012" s="22"/>
      <c r="BY1012" s="22"/>
      <c r="BZ1012" s="22"/>
      <c r="CA1012" s="22"/>
      <c r="CB1012" s="22"/>
      <c r="CC1012" s="22"/>
      <c r="CD1012" s="22"/>
      <c r="CE1012" s="22"/>
      <c r="CF1012" s="22"/>
      <c r="CG1012" s="22"/>
      <c r="CH1012" s="22"/>
      <c r="CI1012" s="22"/>
      <c r="CJ1012" s="22"/>
      <c r="CK1012" s="22"/>
      <c r="CL1012" s="22"/>
      <c r="CM1012" s="22"/>
      <c r="CN1012" s="22"/>
      <c r="CO1012" s="22"/>
      <c r="CP1012" s="22"/>
      <c r="CQ1012" s="22"/>
      <c r="CR1012" s="22"/>
      <c r="CS1012" s="22"/>
      <c r="CT1012" s="22"/>
      <c r="CU1012" s="22"/>
      <c r="CV1012" s="22"/>
      <c r="CW1012" s="22"/>
      <c r="CX1012" s="22"/>
      <c r="CY1012" s="22"/>
      <c r="CZ1012" s="22"/>
      <c r="DA1012" s="22"/>
      <c r="DB1012" s="22"/>
      <c r="DC1012" s="22"/>
      <c r="DD1012" s="22"/>
      <c r="DE1012" s="22"/>
      <c r="DF1012" s="22"/>
      <c r="DG1012" s="22"/>
      <c r="DH1012" s="22"/>
      <c r="DI1012" s="22"/>
      <c r="DJ1012" s="22"/>
      <c r="DK1012" s="22"/>
      <c r="DL1012" s="22"/>
      <c r="DM1012" s="22"/>
      <c r="DN1012" s="22"/>
      <c r="DO1012" s="22"/>
      <c r="DP1012" s="22"/>
      <c r="DQ1012" s="22"/>
      <c r="DR1012" s="22"/>
      <c r="DS1012" s="22"/>
      <c r="DT1012" s="22"/>
      <c r="DU1012" s="22"/>
      <c r="DV1012" s="22"/>
      <c r="DW1012" s="22"/>
      <c r="DX1012" s="22"/>
      <c r="DY1012" s="22"/>
      <c r="DZ1012" s="22"/>
      <c r="EA1012" s="22"/>
      <c r="EB1012" s="22"/>
      <c r="EC1012" s="22"/>
      <c r="ED1012" s="22"/>
      <c r="EE1012" s="22"/>
      <c r="EF1012" s="22"/>
      <c r="EG1012" s="22"/>
      <c r="EH1012" s="22"/>
      <c r="EI1012" s="22"/>
      <c r="EJ1012" s="22"/>
      <c r="EK1012" s="22"/>
      <c r="EL1012" s="22"/>
      <c r="EM1012" s="22"/>
      <c r="EN1012" s="22"/>
      <c r="EO1012" s="22"/>
      <c r="EP1012" s="22"/>
      <c r="EQ1012" s="22"/>
      <c r="ER1012" s="22"/>
      <c r="ES1012" s="22"/>
      <c r="ET1012" s="22"/>
      <c r="EU1012" s="22"/>
      <c r="EV1012" s="22"/>
      <c r="EW1012" s="22"/>
      <c r="EX1012" s="22"/>
      <c r="EY1012" s="22"/>
      <c r="EZ1012" s="22"/>
      <c r="FA1012" s="22"/>
      <c r="FB1012" s="22"/>
      <c r="FC1012" s="22"/>
      <c r="FD1012" s="22"/>
      <c r="FE1012" s="22"/>
      <c r="FF1012" s="22"/>
      <c r="FG1012" s="22"/>
      <c r="FH1012" s="22"/>
      <c r="FI1012" s="22"/>
      <c r="FJ1012" s="22"/>
      <c r="FK1012" s="22"/>
      <c r="FL1012" s="22"/>
      <c r="FM1012" s="22"/>
      <c r="FN1012" s="22"/>
      <c r="FO1012" s="22"/>
      <c r="FP1012" s="22"/>
      <c r="FQ1012" s="22"/>
      <c r="FR1012" s="22"/>
      <c r="FS1012" s="22"/>
      <c r="FT1012" s="22"/>
      <c r="FU1012" s="22"/>
      <c r="FV1012" s="22"/>
      <c r="FW1012" s="22"/>
      <c r="FX1012" s="22"/>
      <c r="FY1012" s="22"/>
      <c r="FZ1012" s="22"/>
      <c r="GA1012" s="22"/>
      <c r="GB1012" s="22"/>
      <c r="GC1012" s="22"/>
      <c r="GD1012" s="22"/>
      <c r="GE1012" s="22"/>
      <c r="GF1012" s="22"/>
      <c r="GG1012" s="22"/>
      <c r="GH1012" s="22"/>
      <c r="GI1012" s="22"/>
      <c r="GJ1012" s="22"/>
      <c r="GK1012" s="22"/>
      <c r="GL1012" s="22"/>
      <c r="GM1012" s="22"/>
      <c r="GN1012" s="22"/>
      <c r="GO1012" s="22"/>
      <c r="GP1012" s="22"/>
      <c r="GQ1012" s="22"/>
      <c r="GR1012" s="22"/>
      <c r="GS1012" s="22"/>
      <c r="GT1012" s="22"/>
      <c r="GU1012" s="22"/>
      <c r="GV1012" s="22"/>
      <c r="GW1012" s="22"/>
      <c r="GX1012" s="22"/>
      <c r="GY1012" s="22"/>
      <c r="GZ1012" s="22"/>
      <c r="HA1012" s="22"/>
      <c r="HB1012" s="22"/>
      <c r="HC1012" s="22"/>
      <c r="HD1012" s="22"/>
      <c r="HE1012" s="22"/>
      <c r="HF1012" s="22"/>
      <c r="HG1012" s="22"/>
      <c r="HH1012" s="22"/>
      <c r="HI1012" s="22"/>
      <c r="HJ1012" s="22"/>
      <c r="HK1012" s="22"/>
      <c r="HL1012" s="22"/>
      <c r="HM1012" s="22"/>
      <c r="HN1012" s="22"/>
      <c r="HO1012" s="22"/>
      <c r="HP1012" s="22"/>
      <c r="HQ1012" s="22"/>
      <c r="HR1012" s="22"/>
      <c r="HS1012" s="22"/>
      <c r="HT1012" s="22"/>
      <c r="HU1012" s="22"/>
      <c r="HV1012" s="22"/>
      <c r="HW1012" s="22"/>
      <c r="HX1012" s="22"/>
      <c r="HY1012" s="22"/>
      <c r="HZ1012" s="22"/>
      <c r="IA1012" s="22"/>
      <c r="IB1012" s="22"/>
      <c r="IC1012" s="22"/>
      <c r="ID1012" s="22"/>
      <c r="IE1012" s="22"/>
      <c r="IF1012" s="22"/>
      <c r="IG1012" s="22"/>
      <c r="IH1012" s="22"/>
      <c r="II1012" s="22"/>
      <c r="IJ1012" s="22"/>
      <c r="IK1012" s="22"/>
      <c r="IL1012" s="22"/>
      <c r="IM1012" s="22"/>
      <c r="IN1012" s="22"/>
      <c r="IO1012" s="22"/>
      <c r="IP1012" s="22"/>
      <c r="IQ1012" s="22"/>
      <c r="IR1012" s="22"/>
      <c r="IS1012" s="22"/>
      <c r="IT1012" s="22"/>
      <c r="IU1012" s="22"/>
      <c r="IV1012" s="22"/>
      <c r="IW1012" s="22"/>
      <c r="IX1012" s="22"/>
      <c r="IY1012" s="22"/>
      <c r="IZ1012" s="22"/>
      <c r="JA1012" s="22"/>
      <c r="JB1012" s="22"/>
      <c r="JC1012" s="22"/>
      <c r="JD1012" s="22"/>
      <c r="JE1012" s="22"/>
      <c r="JF1012" s="22"/>
      <c r="JG1012" s="22"/>
      <c r="JH1012" s="22"/>
      <c r="JI1012" s="22"/>
      <c r="JJ1012" s="22"/>
      <c r="JK1012" s="22"/>
      <c r="JL1012" s="22"/>
      <c r="JM1012" s="22"/>
      <c r="JN1012" s="22"/>
      <c r="JO1012" s="22"/>
      <c r="JP1012" s="22"/>
      <c r="JQ1012" s="22"/>
      <c r="JR1012" s="22"/>
      <c r="JS1012" s="22"/>
      <c r="JT1012" s="22"/>
      <c r="JU1012" s="22"/>
      <c r="JV1012" s="22"/>
      <c r="JW1012" s="22"/>
      <c r="JX1012" s="22"/>
      <c r="JY1012" s="22"/>
      <c r="JZ1012" s="22"/>
      <c r="KA1012" s="22"/>
      <c r="KB1012" s="22"/>
      <c r="KC1012" s="22"/>
      <c r="KD1012" s="22"/>
      <c r="KE1012" s="22"/>
      <c r="KF1012" s="22"/>
      <c r="KG1012" s="22"/>
      <c r="KH1012" s="22"/>
      <c r="KI1012" s="22"/>
      <c r="KJ1012" s="22"/>
      <c r="KK1012" s="22"/>
      <c r="KL1012" s="22"/>
      <c r="KM1012" s="22"/>
      <c r="KN1012" s="22"/>
      <c r="KO1012" s="22"/>
      <c r="KP1012" s="22"/>
      <c r="KQ1012" s="22"/>
      <c r="KR1012" s="22"/>
      <c r="KS1012" s="22"/>
      <c r="KT1012" s="22"/>
      <c r="KU1012" s="22"/>
      <c r="KV1012" s="22"/>
      <c r="KW1012" s="22"/>
      <c r="KX1012" s="22"/>
      <c r="KY1012" s="22"/>
      <c r="KZ1012" s="22"/>
      <c r="LA1012" s="22"/>
      <c r="LB1012" s="22"/>
      <c r="LC1012" s="22"/>
      <c r="LD1012" s="22"/>
      <c r="LE1012" s="22"/>
      <c r="LF1012" s="22"/>
      <c r="LG1012" s="22"/>
      <c r="LH1012" s="22"/>
      <c r="LI1012" s="22"/>
      <c r="LJ1012" s="22"/>
      <c r="LK1012" s="22"/>
      <c r="LL1012" s="22"/>
      <c r="LM1012" s="22"/>
      <c r="LN1012" s="22"/>
      <c r="LO1012" s="22"/>
      <c r="LP1012" s="22"/>
      <c r="LQ1012" s="22"/>
      <c r="LR1012" s="22"/>
      <c r="LS1012" s="22"/>
      <c r="LT1012" s="22"/>
      <c r="LU1012" s="22"/>
      <c r="LV1012" s="22"/>
      <c r="LW1012" s="22"/>
      <c r="LX1012" s="22"/>
      <c r="LY1012" s="22"/>
      <c r="LZ1012" s="22"/>
      <c r="MA1012" s="22"/>
      <c r="MB1012" s="22"/>
      <c r="MC1012" s="22"/>
      <c r="MD1012" s="22"/>
      <c r="ME1012" s="22"/>
      <c r="MF1012" s="22"/>
      <c r="MG1012" s="22"/>
      <c r="MH1012" s="22"/>
      <c r="MI1012" s="22"/>
      <c r="MJ1012" s="22"/>
      <c r="MK1012" s="22"/>
      <c r="ML1012" s="22"/>
      <c r="MM1012" s="22"/>
      <c r="MN1012" s="22"/>
      <c r="MO1012" s="22"/>
      <c r="MP1012" s="22"/>
      <c r="MQ1012" s="22"/>
      <c r="MR1012" s="22"/>
      <c r="MS1012" s="22"/>
      <c r="MT1012" s="22"/>
      <c r="MU1012" s="22"/>
      <c r="MV1012" s="22"/>
      <c r="MW1012" s="22"/>
      <c r="MX1012" s="22"/>
      <c r="MY1012" s="22"/>
      <c r="MZ1012" s="22"/>
      <c r="NA1012" s="22"/>
      <c r="NB1012" s="22"/>
      <c r="NC1012" s="22"/>
      <c r="ND1012" s="22"/>
      <c r="NE1012" s="22"/>
      <c r="NF1012" s="22"/>
      <c r="NG1012" s="22"/>
      <c r="NH1012" s="22"/>
      <c r="NI1012" s="22"/>
      <c r="NJ1012" s="22"/>
      <c r="NK1012" s="22"/>
      <c r="NL1012" s="22"/>
      <c r="NM1012" s="22"/>
      <c r="NN1012" s="22"/>
      <c r="NO1012" s="22"/>
      <c r="NP1012" s="22"/>
      <c r="NQ1012" s="22"/>
      <c r="NR1012" s="22"/>
      <c r="NS1012" s="22"/>
      <c r="NT1012" s="22"/>
      <c r="NU1012" s="22"/>
      <c r="NV1012" s="22"/>
      <c r="NW1012" s="22"/>
      <c r="NX1012" s="22"/>
      <c r="NY1012" s="22"/>
      <c r="NZ1012" s="22"/>
      <c r="OA1012" s="22"/>
      <c r="OB1012" s="22"/>
      <c r="OC1012" s="22"/>
      <c r="OD1012" s="22"/>
      <c r="OE1012" s="22"/>
      <c r="OF1012" s="22"/>
      <c r="OG1012" s="22"/>
      <c r="OH1012" s="22"/>
      <c r="OI1012" s="22"/>
      <c r="OJ1012" s="22"/>
      <c r="OK1012" s="22"/>
      <c r="OL1012" s="22"/>
      <c r="OM1012" s="22"/>
      <c r="ON1012" s="22"/>
      <c r="OO1012" s="22"/>
      <c r="OP1012" s="22"/>
      <c r="OQ1012" s="22"/>
      <c r="OR1012" s="22"/>
      <c r="OS1012" s="22"/>
      <c r="OT1012" s="22"/>
      <c r="OU1012" s="22"/>
      <c r="OV1012" s="22"/>
      <c r="OW1012" s="22"/>
      <c r="OX1012" s="22"/>
      <c r="OY1012" s="22"/>
      <c r="OZ1012" s="22"/>
      <c r="PA1012" s="22"/>
      <c r="PB1012" s="22"/>
      <c r="PC1012" s="22"/>
      <c r="PD1012" s="22"/>
      <c r="PE1012" s="22"/>
      <c r="PF1012" s="22"/>
      <c r="PG1012" s="22"/>
      <c r="PH1012" s="22"/>
      <c r="PI1012" s="22"/>
      <c r="PJ1012" s="22"/>
      <c r="PK1012" s="22"/>
      <c r="PL1012" s="22"/>
      <c r="PM1012" s="22"/>
      <c r="PN1012" s="22"/>
      <c r="PO1012" s="22"/>
      <c r="PP1012" s="22"/>
      <c r="PQ1012" s="22"/>
      <c r="PR1012" s="22"/>
      <c r="PS1012" s="22"/>
      <c r="PT1012" s="22"/>
      <c r="PU1012" s="22"/>
      <c r="PV1012" s="22"/>
      <c r="PW1012" s="22"/>
      <c r="PX1012" s="22"/>
      <c r="PY1012" s="22"/>
      <c r="PZ1012" s="22"/>
      <c r="QA1012" s="22"/>
      <c r="QB1012" s="22"/>
      <c r="QC1012" s="22"/>
      <c r="QD1012" s="22"/>
      <c r="QE1012" s="22"/>
      <c r="QF1012" s="22"/>
      <c r="QG1012" s="22"/>
      <c r="QH1012" s="22"/>
      <c r="QI1012" s="22"/>
      <c r="QJ1012" s="22"/>
      <c r="QK1012" s="22"/>
      <c r="QL1012" s="22"/>
      <c r="QM1012" s="22"/>
      <c r="QN1012" s="22"/>
      <c r="QO1012" s="22"/>
      <c r="QP1012" s="22"/>
      <c r="QQ1012" s="22"/>
      <c r="QR1012" s="22"/>
      <c r="QS1012" s="22"/>
      <c r="QT1012" s="22"/>
      <c r="QU1012" s="22"/>
      <c r="QV1012" s="22"/>
      <c r="QW1012" s="22"/>
      <c r="QX1012" s="22"/>
      <c r="QY1012" s="22"/>
      <c r="QZ1012" s="22"/>
      <c r="RA1012" s="22"/>
      <c r="RB1012" s="22"/>
      <c r="RC1012" s="22"/>
      <c r="RD1012" s="22"/>
      <c r="RE1012" s="22"/>
      <c r="RF1012" s="22"/>
      <c r="RG1012" s="22"/>
      <c r="RH1012" s="22"/>
      <c r="RI1012" s="22"/>
      <c r="RJ1012" s="22"/>
      <c r="RK1012" s="22"/>
      <c r="RL1012" s="22"/>
      <c r="RM1012" s="22"/>
      <c r="RN1012" s="22"/>
      <c r="RO1012" s="22"/>
      <c r="RP1012" s="22"/>
      <c r="RQ1012" s="22"/>
      <c r="RR1012" s="22"/>
      <c r="RS1012" s="22"/>
      <c r="RT1012" s="22"/>
      <c r="RU1012" s="22"/>
      <c r="RV1012" s="22"/>
      <c r="RW1012" s="22"/>
      <c r="RX1012" s="22"/>
      <c r="RY1012" s="22"/>
      <c r="RZ1012" s="22"/>
      <c r="SA1012" s="22"/>
      <c r="SB1012" s="22"/>
      <c r="SC1012" s="22"/>
      <c r="SD1012" s="22"/>
      <c r="SE1012" s="22"/>
      <c r="SF1012" s="22"/>
      <c r="SG1012" s="22"/>
      <c r="SH1012" s="22"/>
      <c r="SI1012" s="22"/>
      <c r="SJ1012" s="22"/>
      <c r="SK1012" s="22"/>
      <c r="SL1012" s="22"/>
      <c r="SM1012" s="22"/>
      <c r="SN1012" s="22"/>
      <c r="SO1012" s="22"/>
      <c r="SP1012" s="22"/>
      <c r="SQ1012" s="22"/>
      <c r="SR1012" s="22"/>
      <c r="SS1012" s="22"/>
      <c r="ST1012" s="22"/>
      <c r="SU1012" s="22"/>
      <c r="SV1012" s="22"/>
      <c r="SW1012" s="22"/>
      <c r="SX1012" s="22"/>
      <c r="SY1012" s="22"/>
      <c r="SZ1012" s="22"/>
      <c r="TA1012" s="22"/>
      <c r="TB1012" s="22"/>
      <c r="TC1012" s="22"/>
      <c r="TD1012" s="22"/>
      <c r="TE1012" s="22"/>
      <c r="TF1012" s="22"/>
      <c r="TG1012" s="22"/>
      <c r="TH1012" s="22"/>
      <c r="TI1012" s="22"/>
      <c r="TJ1012" s="22"/>
      <c r="TK1012" s="22"/>
      <c r="TL1012" s="22"/>
      <c r="TM1012" s="22"/>
      <c r="TN1012" s="22"/>
      <c r="TO1012" s="22"/>
      <c r="TP1012" s="22"/>
      <c r="TQ1012" s="22"/>
      <c r="TR1012" s="22"/>
      <c r="TS1012" s="22"/>
      <c r="TT1012" s="22"/>
      <c r="TU1012" s="22"/>
      <c r="TV1012" s="22"/>
      <c r="TW1012" s="22"/>
      <c r="TX1012" s="22"/>
      <c r="TY1012" s="22"/>
      <c r="TZ1012" s="22"/>
      <c r="UA1012" s="22"/>
      <c r="UB1012" s="22"/>
      <c r="UC1012" s="22"/>
      <c r="UD1012" s="22"/>
      <c r="UE1012" s="22"/>
      <c r="UF1012" s="22"/>
      <c r="UG1012" s="23"/>
    </row>
    <row r="1013" spans="1:553" ht="51" customHeight="1">
      <c r="A1013" s="356"/>
      <c r="B1013" s="385">
        <v>247</v>
      </c>
      <c r="C1013" s="1535" t="s">
        <v>584</v>
      </c>
      <c r="D1013" s="1389"/>
      <c r="E1013" s="1389"/>
      <c r="F1013" s="1390"/>
      <c r="G1013" s="386" t="s">
        <v>33</v>
      </c>
      <c r="H1013" s="370"/>
      <c r="I1013" s="417">
        <f>4.5*3.5</f>
        <v>15.75</v>
      </c>
      <c r="J1013" s="368">
        <v>1088500</v>
      </c>
      <c r="K1013" s="371"/>
      <c r="L1013" s="391">
        <f t="shared" si="150"/>
        <v>17143875</v>
      </c>
      <c r="M1013" s="395"/>
      <c r="N1013" s="395"/>
      <c r="O1013" s="366"/>
      <c r="P1013" s="396"/>
      <c r="Q1013" s="473"/>
      <c r="R1013" s="1039"/>
      <c r="S1013" s="308"/>
      <c r="T1013" s="308"/>
      <c r="U1013" s="308"/>
      <c r="V1013" s="308"/>
      <c r="W1013" s="308"/>
      <c r="X1013" s="308"/>
      <c r="Y1013" s="308"/>
      <c r="Z1013" s="604"/>
      <c r="AA1013" s="308"/>
      <c r="AB1013" s="308"/>
      <c r="AC1013" s="373"/>
      <c r="AD1013" s="373"/>
      <c r="AE1013" s="373"/>
      <c r="AF1013" s="373"/>
      <c r="AG1013" s="389"/>
      <c r="AH1013" s="389"/>
      <c r="AI1013" s="389"/>
      <c r="AJ1013" s="389"/>
      <c r="AK1013" s="389"/>
      <c r="AL1013" s="100"/>
      <c r="AM1013" s="27"/>
      <c r="AN1013" s="27"/>
      <c r="AO1013" s="27"/>
      <c r="AP1013" s="27"/>
      <c r="AQ1013" s="22"/>
      <c r="AR1013" s="22"/>
      <c r="AS1013" s="22"/>
      <c r="AT1013" s="22"/>
      <c r="AU1013" s="22"/>
      <c r="AV1013" s="22"/>
      <c r="AW1013" s="22"/>
      <c r="AX1013" s="22"/>
      <c r="AY1013" s="22"/>
      <c r="AZ1013" s="22"/>
      <c r="BA1013" s="22"/>
      <c r="BB1013" s="22"/>
      <c r="BC1013" s="22"/>
      <c r="BD1013" s="22"/>
      <c r="BE1013" s="22"/>
      <c r="BF1013" s="22"/>
      <c r="BG1013" s="22"/>
      <c r="BH1013" s="22"/>
      <c r="BI1013" s="22"/>
      <c r="BJ1013" s="22"/>
      <c r="BK1013" s="22"/>
      <c r="BL1013" s="22"/>
      <c r="BM1013" s="22"/>
      <c r="BN1013" s="22"/>
      <c r="BO1013" s="22"/>
      <c r="BP1013" s="22"/>
      <c r="BQ1013" s="22"/>
      <c r="BR1013" s="22"/>
      <c r="BS1013" s="22"/>
      <c r="BT1013" s="22"/>
      <c r="BU1013" s="22"/>
      <c r="BV1013" s="22"/>
      <c r="BW1013" s="22"/>
      <c r="BX1013" s="22"/>
      <c r="BY1013" s="22"/>
      <c r="BZ1013" s="22"/>
      <c r="CA1013" s="22"/>
      <c r="CB1013" s="22"/>
      <c r="CC1013" s="22"/>
      <c r="CD1013" s="22"/>
      <c r="CE1013" s="22"/>
      <c r="CF1013" s="22"/>
      <c r="CG1013" s="22"/>
      <c r="CH1013" s="22"/>
      <c r="CI1013" s="22"/>
      <c r="CJ1013" s="22"/>
      <c r="CK1013" s="22"/>
      <c r="CL1013" s="22"/>
      <c r="CM1013" s="22"/>
      <c r="CN1013" s="22"/>
      <c r="CO1013" s="22"/>
      <c r="CP1013" s="22"/>
      <c r="CQ1013" s="22"/>
      <c r="CR1013" s="22"/>
      <c r="CS1013" s="22"/>
      <c r="CT1013" s="22"/>
      <c r="CU1013" s="22"/>
      <c r="CV1013" s="22"/>
      <c r="CW1013" s="22"/>
      <c r="CX1013" s="22"/>
      <c r="CY1013" s="22"/>
      <c r="CZ1013" s="22"/>
      <c r="DA1013" s="22"/>
      <c r="DB1013" s="22"/>
      <c r="DC1013" s="22"/>
      <c r="DD1013" s="22"/>
      <c r="DE1013" s="22"/>
      <c r="DF1013" s="22"/>
      <c r="DG1013" s="22"/>
      <c r="DH1013" s="22"/>
      <c r="DI1013" s="22"/>
      <c r="DJ1013" s="22"/>
      <c r="DK1013" s="22"/>
      <c r="DL1013" s="22"/>
      <c r="DM1013" s="22"/>
      <c r="DN1013" s="22"/>
      <c r="DO1013" s="22"/>
      <c r="DP1013" s="22"/>
      <c r="DQ1013" s="22"/>
      <c r="DR1013" s="22"/>
      <c r="DS1013" s="22"/>
      <c r="DT1013" s="22"/>
      <c r="DU1013" s="22"/>
      <c r="DV1013" s="22"/>
      <c r="DW1013" s="22"/>
      <c r="DX1013" s="22"/>
      <c r="DY1013" s="22"/>
      <c r="DZ1013" s="22"/>
      <c r="EA1013" s="22"/>
      <c r="EB1013" s="22"/>
      <c r="EC1013" s="22"/>
      <c r="ED1013" s="22"/>
      <c r="EE1013" s="22"/>
      <c r="EF1013" s="22"/>
      <c r="EG1013" s="22"/>
      <c r="EH1013" s="22"/>
      <c r="EI1013" s="22"/>
      <c r="EJ1013" s="22"/>
      <c r="EK1013" s="22"/>
      <c r="EL1013" s="22"/>
      <c r="EM1013" s="22"/>
      <c r="EN1013" s="22"/>
      <c r="EO1013" s="22"/>
      <c r="EP1013" s="22"/>
      <c r="EQ1013" s="22"/>
      <c r="ER1013" s="22"/>
      <c r="ES1013" s="22"/>
      <c r="ET1013" s="22"/>
      <c r="EU1013" s="22"/>
      <c r="EV1013" s="22"/>
      <c r="EW1013" s="22"/>
      <c r="EX1013" s="22"/>
      <c r="EY1013" s="22"/>
      <c r="EZ1013" s="22"/>
      <c r="FA1013" s="22"/>
      <c r="FB1013" s="22"/>
      <c r="FC1013" s="22"/>
      <c r="FD1013" s="22"/>
      <c r="FE1013" s="22"/>
      <c r="FF1013" s="22"/>
      <c r="FG1013" s="22"/>
      <c r="FH1013" s="22"/>
      <c r="FI1013" s="22"/>
      <c r="FJ1013" s="22"/>
      <c r="FK1013" s="22"/>
      <c r="FL1013" s="22"/>
      <c r="FM1013" s="22"/>
      <c r="FN1013" s="22"/>
      <c r="FO1013" s="22"/>
      <c r="FP1013" s="22"/>
      <c r="FQ1013" s="22"/>
      <c r="FR1013" s="22"/>
      <c r="FS1013" s="22"/>
      <c r="FT1013" s="22"/>
      <c r="FU1013" s="22"/>
      <c r="FV1013" s="22"/>
      <c r="FW1013" s="22"/>
      <c r="FX1013" s="22"/>
      <c r="FY1013" s="22"/>
      <c r="FZ1013" s="22"/>
      <c r="GA1013" s="22"/>
      <c r="GB1013" s="22"/>
      <c r="GC1013" s="22"/>
      <c r="GD1013" s="22"/>
      <c r="GE1013" s="22"/>
      <c r="GF1013" s="22"/>
      <c r="GG1013" s="22"/>
      <c r="GH1013" s="22"/>
      <c r="GI1013" s="22"/>
      <c r="GJ1013" s="22"/>
      <c r="GK1013" s="22"/>
      <c r="GL1013" s="22"/>
      <c r="GM1013" s="22"/>
      <c r="GN1013" s="22"/>
      <c r="GO1013" s="22"/>
      <c r="GP1013" s="22"/>
      <c r="GQ1013" s="22"/>
      <c r="GR1013" s="22"/>
      <c r="GS1013" s="22"/>
      <c r="GT1013" s="22"/>
      <c r="GU1013" s="22"/>
      <c r="GV1013" s="22"/>
      <c r="GW1013" s="22"/>
      <c r="GX1013" s="22"/>
      <c r="GY1013" s="22"/>
      <c r="GZ1013" s="22"/>
      <c r="HA1013" s="22"/>
      <c r="HB1013" s="22"/>
      <c r="HC1013" s="22"/>
      <c r="HD1013" s="22"/>
      <c r="HE1013" s="22"/>
      <c r="HF1013" s="22"/>
      <c r="HG1013" s="22"/>
      <c r="HH1013" s="22"/>
      <c r="HI1013" s="22"/>
      <c r="HJ1013" s="22"/>
      <c r="HK1013" s="22"/>
      <c r="HL1013" s="22"/>
      <c r="HM1013" s="22"/>
      <c r="HN1013" s="22"/>
      <c r="HO1013" s="22"/>
      <c r="HP1013" s="22"/>
      <c r="HQ1013" s="22"/>
      <c r="HR1013" s="22"/>
      <c r="HS1013" s="22"/>
      <c r="HT1013" s="22"/>
      <c r="HU1013" s="22"/>
      <c r="HV1013" s="22"/>
      <c r="HW1013" s="22"/>
      <c r="HX1013" s="22"/>
      <c r="HY1013" s="22"/>
      <c r="HZ1013" s="22"/>
      <c r="IA1013" s="22"/>
      <c r="IB1013" s="22"/>
      <c r="IC1013" s="22"/>
      <c r="ID1013" s="22"/>
      <c r="IE1013" s="22"/>
      <c r="IF1013" s="22"/>
      <c r="IG1013" s="22"/>
      <c r="IH1013" s="22"/>
      <c r="II1013" s="22"/>
      <c r="IJ1013" s="22"/>
      <c r="IK1013" s="22"/>
      <c r="IL1013" s="22"/>
      <c r="IM1013" s="22"/>
      <c r="IN1013" s="22"/>
      <c r="IO1013" s="22"/>
      <c r="IP1013" s="22"/>
      <c r="IQ1013" s="22"/>
      <c r="IR1013" s="22"/>
      <c r="IS1013" s="22"/>
      <c r="IT1013" s="22"/>
      <c r="IU1013" s="22"/>
      <c r="IV1013" s="22"/>
      <c r="IW1013" s="22"/>
      <c r="IX1013" s="22"/>
      <c r="IY1013" s="22"/>
      <c r="IZ1013" s="22"/>
      <c r="JA1013" s="22"/>
      <c r="JB1013" s="22"/>
      <c r="JC1013" s="22"/>
      <c r="JD1013" s="22"/>
      <c r="JE1013" s="22"/>
      <c r="JF1013" s="22"/>
      <c r="JG1013" s="22"/>
      <c r="JH1013" s="22"/>
      <c r="JI1013" s="22"/>
      <c r="JJ1013" s="22"/>
      <c r="JK1013" s="22"/>
      <c r="JL1013" s="22"/>
      <c r="JM1013" s="22"/>
      <c r="JN1013" s="22"/>
      <c r="JO1013" s="22"/>
      <c r="JP1013" s="22"/>
      <c r="JQ1013" s="22"/>
      <c r="JR1013" s="22"/>
      <c r="JS1013" s="22"/>
      <c r="JT1013" s="22"/>
      <c r="JU1013" s="22"/>
      <c r="JV1013" s="22"/>
      <c r="JW1013" s="22"/>
      <c r="JX1013" s="22"/>
      <c r="JY1013" s="22"/>
      <c r="JZ1013" s="22"/>
      <c r="KA1013" s="22"/>
      <c r="KB1013" s="22"/>
      <c r="KC1013" s="22"/>
      <c r="KD1013" s="22"/>
      <c r="KE1013" s="22"/>
      <c r="KF1013" s="22"/>
      <c r="KG1013" s="22"/>
      <c r="KH1013" s="22"/>
      <c r="KI1013" s="22"/>
      <c r="KJ1013" s="22"/>
      <c r="KK1013" s="22"/>
      <c r="KL1013" s="22"/>
      <c r="KM1013" s="22"/>
      <c r="KN1013" s="22"/>
      <c r="KO1013" s="22"/>
      <c r="KP1013" s="22"/>
      <c r="KQ1013" s="22"/>
      <c r="KR1013" s="22"/>
      <c r="KS1013" s="22"/>
      <c r="KT1013" s="22"/>
      <c r="KU1013" s="22"/>
      <c r="KV1013" s="22"/>
      <c r="KW1013" s="22"/>
      <c r="KX1013" s="22"/>
      <c r="KY1013" s="22"/>
      <c r="KZ1013" s="22"/>
      <c r="LA1013" s="22"/>
      <c r="LB1013" s="22"/>
      <c r="LC1013" s="22"/>
      <c r="LD1013" s="22"/>
      <c r="LE1013" s="22"/>
      <c r="LF1013" s="22"/>
      <c r="LG1013" s="22"/>
      <c r="LH1013" s="22"/>
      <c r="LI1013" s="22"/>
      <c r="LJ1013" s="22"/>
      <c r="LK1013" s="22"/>
      <c r="LL1013" s="22"/>
      <c r="LM1013" s="22"/>
      <c r="LN1013" s="22"/>
      <c r="LO1013" s="22"/>
      <c r="LP1013" s="22"/>
      <c r="LQ1013" s="22"/>
      <c r="LR1013" s="22"/>
      <c r="LS1013" s="22"/>
      <c r="LT1013" s="22"/>
      <c r="LU1013" s="22"/>
      <c r="LV1013" s="22"/>
      <c r="LW1013" s="22"/>
      <c r="LX1013" s="22"/>
      <c r="LY1013" s="22"/>
      <c r="LZ1013" s="22"/>
      <c r="MA1013" s="22"/>
      <c r="MB1013" s="22"/>
      <c r="MC1013" s="22"/>
      <c r="MD1013" s="22"/>
      <c r="ME1013" s="22"/>
      <c r="MF1013" s="22"/>
      <c r="MG1013" s="22"/>
      <c r="MH1013" s="22"/>
      <c r="MI1013" s="22"/>
      <c r="MJ1013" s="22"/>
      <c r="MK1013" s="22"/>
      <c r="ML1013" s="22"/>
      <c r="MM1013" s="22"/>
      <c r="MN1013" s="22"/>
      <c r="MO1013" s="22"/>
      <c r="MP1013" s="22"/>
      <c r="MQ1013" s="22"/>
      <c r="MR1013" s="22"/>
      <c r="MS1013" s="22"/>
      <c r="MT1013" s="22"/>
      <c r="MU1013" s="22"/>
      <c r="MV1013" s="22"/>
      <c r="MW1013" s="22"/>
      <c r="MX1013" s="22"/>
      <c r="MY1013" s="22"/>
      <c r="MZ1013" s="22"/>
      <c r="NA1013" s="22"/>
      <c r="NB1013" s="22"/>
      <c r="NC1013" s="22"/>
      <c r="ND1013" s="22"/>
      <c r="NE1013" s="22"/>
      <c r="NF1013" s="22"/>
      <c r="NG1013" s="22"/>
      <c r="NH1013" s="22"/>
      <c r="NI1013" s="22"/>
      <c r="NJ1013" s="22"/>
      <c r="NK1013" s="22"/>
      <c r="NL1013" s="22"/>
      <c r="NM1013" s="22"/>
      <c r="NN1013" s="22"/>
      <c r="NO1013" s="22"/>
      <c r="NP1013" s="22"/>
      <c r="NQ1013" s="22"/>
      <c r="NR1013" s="22"/>
      <c r="NS1013" s="22"/>
      <c r="NT1013" s="22"/>
      <c r="NU1013" s="22"/>
      <c r="NV1013" s="22"/>
      <c r="NW1013" s="22"/>
      <c r="NX1013" s="22"/>
      <c r="NY1013" s="22"/>
      <c r="NZ1013" s="22"/>
      <c r="OA1013" s="22"/>
      <c r="OB1013" s="22"/>
      <c r="OC1013" s="22"/>
      <c r="OD1013" s="22"/>
      <c r="OE1013" s="22"/>
      <c r="OF1013" s="22"/>
      <c r="OG1013" s="22"/>
      <c r="OH1013" s="22"/>
      <c r="OI1013" s="22"/>
      <c r="OJ1013" s="22"/>
      <c r="OK1013" s="22"/>
      <c r="OL1013" s="22"/>
      <c r="OM1013" s="22"/>
      <c r="ON1013" s="22"/>
      <c r="OO1013" s="22"/>
      <c r="OP1013" s="22"/>
      <c r="OQ1013" s="22"/>
      <c r="OR1013" s="22"/>
      <c r="OS1013" s="22"/>
      <c r="OT1013" s="22"/>
      <c r="OU1013" s="22"/>
      <c r="OV1013" s="22"/>
      <c r="OW1013" s="22"/>
      <c r="OX1013" s="22"/>
      <c r="OY1013" s="22"/>
      <c r="OZ1013" s="22"/>
      <c r="PA1013" s="22"/>
      <c r="PB1013" s="22"/>
      <c r="PC1013" s="22"/>
      <c r="PD1013" s="22"/>
      <c r="PE1013" s="22"/>
      <c r="PF1013" s="22"/>
      <c r="PG1013" s="22"/>
      <c r="PH1013" s="22"/>
      <c r="PI1013" s="22"/>
      <c r="PJ1013" s="22"/>
      <c r="PK1013" s="22"/>
      <c r="PL1013" s="22"/>
      <c r="PM1013" s="22"/>
      <c r="PN1013" s="22"/>
      <c r="PO1013" s="22"/>
      <c r="PP1013" s="22"/>
      <c r="PQ1013" s="22"/>
      <c r="PR1013" s="22"/>
      <c r="PS1013" s="22"/>
      <c r="PT1013" s="22"/>
      <c r="PU1013" s="22"/>
      <c r="PV1013" s="22"/>
      <c r="PW1013" s="22"/>
      <c r="PX1013" s="22"/>
      <c r="PY1013" s="22"/>
      <c r="PZ1013" s="22"/>
      <c r="QA1013" s="22"/>
      <c r="QB1013" s="22"/>
      <c r="QC1013" s="22"/>
      <c r="QD1013" s="22"/>
      <c r="QE1013" s="22"/>
      <c r="QF1013" s="22"/>
      <c r="QG1013" s="22"/>
      <c r="QH1013" s="22"/>
      <c r="QI1013" s="22"/>
      <c r="QJ1013" s="22"/>
      <c r="QK1013" s="22"/>
      <c r="QL1013" s="22"/>
      <c r="QM1013" s="22"/>
      <c r="QN1013" s="22"/>
      <c r="QO1013" s="22"/>
      <c r="QP1013" s="22"/>
      <c r="QQ1013" s="22"/>
      <c r="QR1013" s="22"/>
      <c r="QS1013" s="22"/>
      <c r="QT1013" s="22"/>
      <c r="QU1013" s="22"/>
      <c r="QV1013" s="22"/>
      <c r="QW1013" s="22"/>
      <c r="QX1013" s="22"/>
      <c r="QY1013" s="22"/>
      <c r="QZ1013" s="22"/>
      <c r="RA1013" s="22"/>
      <c r="RB1013" s="22"/>
      <c r="RC1013" s="22"/>
      <c r="RD1013" s="22"/>
      <c r="RE1013" s="22"/>
      <c r="RF1013" s="22"/>
      <c r="RG1013" s="22"/>
      <c r="RH1013" s="22"/>
      <c r="RI1013" s="22"/>
      <c r="RJ1013" s="22"/>
      <c r="RK1013" s="22"/>
      <c r="RL1013" s="22"/>
      <c r="RM1013" s="22"/>
      <c r="RN1013" s="22"/>
      <c r="RO1013" s="22"/>
      <c r="RP1013" s="22"/>
      <c r="RQ1013" s="22"/>
      <c r="RR1013" s="22"/>
      <c r="RS1013" s="22"/>
      <c r="RT1013" s="22"/>
      <c r="RU1013" s="22"/>
      <c r="RV1013" s="22"/>
      <c r="RW1013" s="22"/>
      <c r="RX1013" s="22"/>
      <c r="RY1013" s="22"/>
      <c r="RZ1013" s="22"/>
      <c r="SA1013" s="22"/>
      <c r="SB1013" s="22"/>
      <c r="SC1013" s="22"/>
      <c r="SD1013" s="22"/>
      <c r="SE1013" s="22"/>
      <c r="SF1013" s="22"/>
      <c r="SG1013" s="22"/>
      <c r="SH1013" s="22"/>
      <c r="SI1013" s="22"/>
      <c r="SJ1013" s="22"/>
      <c r="SK1013" s="22"/>
      <c r="SL1013" s="22"/>
      <c r="SM1013" s="22"/>
      <c r="SN1013" s="22"/>
      <c r="SO1013" s="22"/>
      <c r="SP1013" s="22"/>
      <c r="SQ1013" s="22"/>
      <c r="SR1013" s="22"/>
      <c r="SS1013" s="22"/>
      <c r="ST1013" s="22"/>
      <c r="SU1013" s="22"/>
      <c r="SV1013" s="22"/>
      <c r="SW1013" s="22"/>
      <c r="SX1013" s="22"/>
      <c r="SY1013" s="22"/>
      <c r="SZ1013" s="22"/>
      <c r="TA1013" s="22"/>
      <c r="TB1013" s="22"/>
      <c r="TC1013" s="22"/>
      <c r="TD1013" s="22"/>
      <c r="TE1013" s="22"/>
      <c r="TF1013" s="22"/>
      <c r="TG1013" s="22"/>
      <c r="TH1013" s="22"/>
      <c r="TI1013" s="22"/>
      <c r="TJ1013" s="22"/>
      <c r="TK1013" s="22"/>
      <c r="TL1013" s="22"/>
      <c r="TM1013" s="22"/>
      <c r="TN1013" s="22"/>
      <c r="TO1013" s="22"/>
      <c r="TP1013" s="22"/>
      <c r="TQ1013" s="22"/>
      <c r="TR1013" s="22"/>
      <c r="TS1013" s="22"/>
      <c r="TT1013" s="22"/>
      <c r="TU1013" s="22"/>
      <c r="TV1013" s="22"/>
      <c r="TW1013" s="22"/>
      <c r="TX1013" s="22"/>
      <c r="TY1013" s="22"/>
      <c r="TZ1013" s="22"/>
      <c r="UA1013" s="22"/>
      <c r="UB1013" s="22"/>
      <c r="UC1013" s="22"/>
      <c r="UD1013" s="22"/>
      <c r="UE1013" s="22"/>
      <c r="UF1013" s="22"/>
      <c r="UG1013" s="23"/>
    </row>
    <row r="1014" spans="1:553" ht="51" customHeight="1">
      <c r="A1014" s="356"/>
      <c r="B1014" s="385">
        <v>48</v>
      </c>
      <c r="C1014" s="1535" t="s">
        <v>1010</v>
      </c>
      <c r="D1014" s="1389"/>
      <c r="E1014" s="1389"/>
      <c r="F1014" s="1390"/>
      <c r="G1014" s="386" t="s">
        <v>33</v>
      </c>
      <c r="H1014" s="370"/>
      <c r="I1014" s="417">
        <f>(1.3*2)+(3.5*2.3)</f>
        <v>10.649999999999999</v>
      </c>
      <c r="J1014" s="368">
        <v>130000</v>
      </c>
      <c r="K1014" s="371"/>
      <c r="L1014" s="391">
        <f t="shared" si="150"/>
        <v>1384500</v>
      </c>
      <c r="M1014" s="395"/>
      <c r="N1014" s="395"/>
      <c r="O1014" s="366"/>
      <c r="P1014" s="396"/>
      <c r="Q1014" s="473"/>
      <c r="R1014" s="1039"/>
      <c r="S1014" s="308"/>
      <c r="T1014" s="308"/>
      <c r="U1014" s="308"/>
      <c r="V1014" s="308"/>
      <c r="W1014" s="308"/>
      <c r="X1014" s="308"/>
      <c r="Y1014" s="308"/>
      <c r="Z1014" s="604"/>
      <c r="AA1014" s="308"/>
      <c r="AB1014" s="308"/>
      <c r="AC1014" s="373"/>
      <c r="AD1014" s="373"/>
      <c r="AE1014" s="373"/>
      <c r="AF1014" s="373"/>
      <c r="AG1014" s="389"/>
      <c r="AH1014" s="389"/>
      <c r="AI1014" s="389"/>
      <c r="AJ1014" s="389"/>
      <c r="AK1014" s="389"/>
      <c r="AL1014" s="100"/>
      <c r="AM1014" s="27"/>
      <c r="AN1014" s="27"/>
      <c r="AO1014" s="27"/>
      <c r="AP1014" s="27"/>
      <c r="AQ1014" s="22"/>
      <c r="AR1014" s="22"/>
      <c r="AS1014" s="22"/>
      <c r="AT1014" s="22"/>
      <c r="AU1014" s="22"/>
      <c r="AV1014" s="22"/>
      <c r="AW1014" s="22"/>
      <c r="AX1014" s="22"/>
      <c r="AY1014" s="22"/>
      <c r="AZ1014" s="22"/>
      <c r="BA1014" s="22"/>
      <c r="BB1014" s="22"/>
      <c r="BC1014" s="22"/>
      <c r="BD1014" s="22"/>
      <c r="BE1014" s="22"/>
      <c r="BF1014" s="22"/>
      <c r="BG1014" s="22"/>
      <c r="BH1014" s="22"/>
      <c r="BI1014" s="22"/>
      <c r="BJ1014" s="22"/>
      <c r="BK1014" s="22"/>
      <c r="BL1014" s="22"/>
      <c r="BM1014" s="22"/>
      <c r="BN1014" s="22"/>
      <c r="BO1014" s="22"/>
      <c r="BP1014" s="22"/>
      <c r="BQ1014" s="22"/>
      <c r="BR1014" s="22"/>
      <c r="BS1014" s="22"/>
      <c r="BT1014" s="22"/>
      <c r="BU1014" s="22"/>
      <c r="BV1014" s="22"/>
      <c r="BW1014" s="22"/>
      <c r="BX1014" s="22"/>
      <c r="BY1014" s="22"/>
      <c r="BZ1014" s="22"/>
      <c r="CA1014" s="22"/>
      <c r="CB1014" s="22"/>
      <c r="CC1014" s="22"/>
      <c r="CD1014" s="22"/>
      <c r="CE1014" s="22"/>
      <c r="CF1014" s="22"/>
      <c r="CG1014" s="22"/>
      <c r="CH1014" s="22"/>
      <c r="CI1014" s="22"/>
      <c r="CJ1014" s="22"/>
      <c r="CK1014" s="22"/>
      <c r="CL1014" s="22"/>
      <c r="CM1014" s="22"/>
      <c r="CN1014" s="22"/>
      <c r="CO1014" s="22"/>
      <c r="CP1014" s="22"/>
      <c r="CQ1014" s="22"/>
      <c r="CR1014" s="22"/>
      <c r="CS1014" s="22"/>
      <c r="CT1014" s="22"/>
      <c r="CU1014" s="22"/>
      <c r="CV1014" s="22"/>
      <c r="CW1014" s="22"/>
      <c r="CX1014" s="22"/>
      <c r="CY1014" s="22"/>
      <c r="CZ1014" s="22"/>
      <c r="DA1014" s="22"/>
      <c r="DB1014" s="22"/>
      <c r="DC1014" s="22"/>
      <c r="DD1014" s="22"/>
      <c r="DE1014" s="22"/>
      <c r="DF1014" s="22"/>
      <c r="DG1014" s="22"/>
      <c r="DH1014" s="22"/>
      <c r="DI1014" s="22"/>
      <c r="DJ1014" s="22"/>
      <c r="DK1014" s="22"/>
      <c r="DL1014" s="22"/>
      <c r="DM1014" s="22"/>
      <c r="DN1014" s="22"/>
      <c r="DO1014" s="22"/>
      <c r="DP1014" s="22"/>
      <c r="DQ1014" s="22"/>
      <c r="DR1014" s="22"/>
      <c r="DS1014" s="22"/>
      <c r="DT1014" s="22"/>
      <c r="DU1014" s="22"/>
      <c r="DV1014" s="22"/>
      <c r="DW1014" s="22"/>
      <c r="DX1014" s="22"/>
      <c r="DY1014" s="22"/>
      <c r="DZ1014" s="22"/>
      <c r="EA1014" s="22"/>
      <c r="EB1014" s="22"/>
      <c r="EC1014" s="22"/>
      <c r="ED1014" s="22"/>
      <c r="EE1014" s="22"/>
      <c r="EF1014" s="22"/>
      <c r="EG1014" s="22"/>
      <c r="EH1014" s="22"/>
      <c r="EI1014" s="22"/>
      <c r="EJ1014" s="22"/>
      <c r="EK1014" s="22"/>
      <c r="EL1014" s="22"/>
      <c r="EM1014" s="22"/>
      <c r="EN1014" s="22"/>
      <c r="EO1014" s="22"/>
      <c r="EP1014" s="22"/>
      <c r="EQ1014" s="22"/>
      <c r="ER1014" s="22"/>
      <c r="ES1014" s="22"/>
      <c r="ET1014" s="22"/>
      <c r="EU1014" s="22"/>
      <c r="EV1014" s="22"/>
      <c r="EW1014" s="22"/>
      <c r="EX1014" s="22"/>
      <c r="EY1014" s="22"/>
      <c r="EZ1014" s="22"/>
      <c r="FA1014" s="22"/>
      <c r="FB1014" s="22"/>
      <c r="FC1014" s="22"/>
      <c r="FD1014" s="22"/>
      <c r="FE1014" s="22"/>
      <c r="FF1014" s="22"/>
      <c r="FG1014" s="22"/>
      <c r="FH1014" s="22"/>
      <c r="FI1014" s="22"/>
      <c r="FJ1014" s="22"/>
      <c r="FK1014" s="22"/>
      <c r="FL1014" s="22"/>
      <c r="FM1014" s="22"/>
      <c r="FN1014" s="22"/>
      <c r="FO1014" s="22"/>
      <c r="FP1014" s="22"/>
      <c r="FQ1014" s="22"/>
      <c r="FR1014" s="22"/>
      <c r="FS1014" s="22"/>
      <c r="FT1014" s="22"/>
      <c r="FU1014" s="22"/>
      <c r="FV1014" s="22"/>
      <c r="FW1014" s="22"/>
      <c r="FX1014" s="22"/>
      <c r="FY1014" s="22"/>
      <c r="FZ1014" s="22"/>
      <c r="GA1014" s="22"/>
      <c r="GB1014" s="22"/>
      <c r="GC1014" s="22"/>
      <c r="GD1014" s="22"/>
      <c r="GE1014" s="22"/>
      <c r="GF1014" s="22"/>
      <c r="GG1014" s="22"/>
      <c r="GH1014" s="22"/>
      <c r="GI1014" s="22"/>
      <c r="GJ1014" s="22"/>
      <c r="GK1014" s="22"/>
      <c r="GL1014" s="22"/>
      <c r="GM1014" s="22"/>
      <c r="GN1014" s="22"/>
      <c r="GO1014" s="22"/>
      <c r="GP1014" s="22"/>
      <c r="GQ1014" s="22"/>
      <c r="GR1014" s="22"/>
      <c r="GS1014" s="22"/>
      <c r="GT1014" s="22"/>
      <c r="GU1014" s="22"/>
      <c r="GV1014" s="22"/>
      <c r="GW1014" s="22"/>
      <c r="GX1014" s="22"/>
      <c r="GY1014" s="22"/>
      <c r="GZ1014" s="22"/>
      <c r="HA1014" s="22"/>
      <c r="HB1014" s="22"/>
      <c r="HC1014" s="22"/>
      <c r="HD1014" s="22"/>
      <c r="HE1014" s="22"/>
      <c r="HF1014" s="22"/>
      <c r="HG1014" s="22"/>
      <c r="HH1014" s="22"/>
      <c r="HI1014" s="22"/>
      <c r="HJ1014" s="22"/>
      <c r="HK1014" s="22"/>
      <c r="HL1014" s="22"/>
      <c r="HM1014" s="22"/>
      <c r="HN1014" s="22"/>
      <c r="HO1014" s="22"/>
      <c r="HP1014" s="22"/>
      <c r="HQ1014" s="22"/>
      <c r="HR1014" s="22"/>
      <c r="HS1014" s="22"/>
      <c r="HT1014" s="22"/>
      <c r="HU1014" s="22"/>
      <c r="HV1014" s="22"/>
      <c r="HW1014" s="22"/>
      <c r="HX1014" s="22"/>
      <c r="HY1014" s="22"/>
      <c r="HZ1014" s="22"/>
      <c r="IA1014" s="22"/>
      <c r="IB1014" s="22"/>
      <c r="IC1014" s="22"/>
      <c r="ID1014" s="22"/>
      <c r="IE1014" s="22"/>
      <c r="IF1014" s="22"/>
      <c r="IG1014" s="22"/>
      <c r="IH1014" s="22"/>
      <c r="II1014" s="22"/>
      <c r="IJ1014" s="22"/>
      <c r="IK1014" s="22"/>
      <c r="IL1014" s="22"/>
      <c r="IM1014" s="22"/>
      <c r="IN1014" s="22"/>
      <c r="IO1014" s="22"/>
      <c r="IP1014" s="22"/>
      <c r="IQ1014" s="22"/>
      <c r="IR1014" s="22"/>
      <c r="IS1014" s="22"/>
      <c r="IT1014" s="22"/>
      <c r="IU1014" s="22"/>
      <c r="IV1014" s="22"/>
      <c r="IW1014" s="22"/>
      <c r="IX1014" s="22"/>
      <c r="IY1014" s="22"/>
      <c r="IZ1014" s="22"/>
      <c r="JA1014" s="22"/>
      <c r="JB1014" s="22"/>
      <c r="JC1014" s="22"/>
      <c r="JD1014" s="22"/>
      <c r="JE1014" s="22"/>
      <c r="JF1014" s="22"/>
      <c r="JG1014" s="22"/>
      <c r="JH1014" s="22"/>
      <c r="JI1014" s="22"/>
      <c r="JJ1014" s="22"/>
      <c r="JK1014" s="22"/>
      <c r="JL1014" s="22"/>
      <c r="JM1014" s="22"/>
      <c r="JN1014" s="22"/>
      <c r="JO1014" s="22"/>
      <c r="JP1014" s="22"/>
      <c r="JQ1014" s="22"/>
      <c r="JR1014" s="22"/>
      <c r="JS1014" s="22"/>
      <c r="JT1014" s="22"/>
      <c r="JU1014" s="22"/>
      <c r="JV1014" s="22"/>
      <c r="JW1014" s="22"/>
      <c r="JX1014" s="22"/>
      <c r="JY1014" s="22"/>
      <c r="JZ1014" s="22"/>
      <c r="KA1014" s="22"/>
      <c r="KB1014" s="22"/>
      <c r="KC1014" s="22"/>
      <c r="KD1014" s="22"/>
      <c r="KE1014" s="22"/>
      <c r="KF1014" s="22"/>
      <c r="KG1014" s="22"/>
      <c r="KH1014" s="22"/>
      <c r="KI1014" s="22"/>
      <c r="KJ1014" s="22"/>
      <c r="KK1014" s="22"/>
      <c r="KL1014" s="22"/>
      <c r="KM1014" s="22"/>
      <c r="KN1014" s="22"/>
      <c r="KO1014" s="22"/>
      <c r="KP1014" s="22"/>
      <c r="KQ1014" s="22"/>
      <c r="KR1014" s="22"/>
      <c r="KS1014" s="22"/>
      <c r="KT1014" s="22"/>
      <c r="KU1014" s="22"/>
      <c r="KV1014" s="22"/>
      <c r="KW1014" s="22"/>
      <c r="KX1014" s="22"/>
      <c r="KY1014" s="22"/>
      <c r="KZ1014" s="22"/>
      <c r="LA1014" s="22"/>
      <c r="LB1014" s="22"/>
      <c r="LC1014" s="22"/>
      <c r="LD1014" s="22"/>
      <c r="LE1014" s="22"/>
      <c r="LF1014" s="22"/>
      <c r="LG1014" s="22"/>
      <c r="LH1014" s="22"/>
      <c r="LI1014" s="22"/>
      <c r="LJ1014" s="22"/>
      <c r="LK1014" s="22"/>
      <c r="LL1014" s="22"/>
      <c r="LM1014" s="22"/>
      <c r="LN1014" s="22"/>
      <c r="LO1014" s="22"/>
      <c r="LP1014" s="22"/>
      <c r="LQ1014" s="22"/>
      <c r="LR1014" s="22"/>
      <c r="LS1014" s="22"/>
      <c r="LT1014" s="22"/>
      <c r="LU1014" s="22"/>
      <c r="LV1014" s="22"/>
      <c r="LW1014" s="22"/>
      <c r="LX1014" s="22"/>
      <c r="LY1014" s="22"/>
      <c r="LZ1014" s="22"/>
      <c r="MA1014" s="22"/>
      <c r="MB1014" s="22"/>
      <c r="MC1014" s="22"/>
      <c r="MD1014" s="22"/>
      <c r="ME1014" s="22"/>
      <c r="MF1014" s="22"/>
      <c r="MG1014" s="22"/>
      <c r="MH1014" s="22"/>
      <c r="MI1014" s="22"/>
      <c r="MJ1014" s="22"/>
      <c r="MK1014" s="22"/>
      <c r="ML1014" s="22"/>
      <c r="MM1014" s="22"/>
      <c r="MN1014" s="22"/>
      <c r="MO1014" s="22"/>
      <c r="MP1014" s="22"/>
      <c r="MQ1014" s="22"/>
      <c r="MR1014" s="22"/>
      <c r="MS1014" s="22"/>
      <c r="MT1014" s="22"/>
      <c r="MU1014" s="22"/>
      <c r="MV1014" s="22"/>
      <c r="MW1014" s="22"/>
      <c r="MX1014" s="22"/>
      <c r="MY1014" s="22"/>
      <c r="MZ1014" s="22"/>
      <c r="NA1014" s="22"/>
      <c r="NB1014" s="22"/>
      <c r="NC1014" s="22"/>
      <c r="ND1014" s="22"/>
      <c r="NE1014" s="22"/>
      <c r="NF1014" s="22"/>
      <c r="NG1014" s="22"/>
      <c r="NH1014" s="22"/>
      <c r="NI1014" s="22"/>
      <c r="NJ1014" s="22"/>
      <c r="NK1014" s="22"/>
      <c r="NL1014" s="22"/>
      <c r="NM1014" s="22"/>
      <c r="NN1014" s="22"/>
      <c r="NO1014" s="22"/>
      <c r="NP1014" s="22"/>
      <c r="NQ1014" s="22"/>
      <c r="NR1014" s="22"/>
      <c r="NS1014" s="22"/>
      <c r="NT1014" s="22"/>
      <c r="NU1014" s="22"/>
      <c r="NV1014" s="22"/>
      <c r="NW1014" s="22"/>
      <c r="NX1014" s="22"/>
      <c r="NY1014" s="22"/>
      <c r="NZ1014" s="22"/>
      <c r="OA1014" s="22"/>
      <c r="OB1014" s="22"/>
      <c r="OC1014" s="22"/>
      <c r="OD1014" s="22"/>
      <c r="OE1014" s="22"/>
      <c r="OF1014" s="22"/>
      <c r="OG1014" s="22"/>
      <c r="OH1014" s="22"/>
      <c r="OI1014" s="22"/>
      <c r="OJ1014" s="22"/>
      <c r="OK1014" s="22"/>
      <c r="OL1014" s="22"/>
      <c r="OM1014" s="22"/>
      <c r="ON1014" s="22"/>
      <c r="OO1014" s="22"/>
      <c r="OP1014" s="22"/>
      <c r="OQ1014" s="22"/>
      <c r="OR1014" s="22"/>
      <c r="OS1014" s="22"/>
      <c r="OT1014" s="22"/>
      <c r="OU1014" s="22"/>
      <c r="OV1014" s="22"/>
      <c r="OW1014" s="22"/>
      <c r="OX1014" s="22"/>
      <c r="OY1014" s="22"/>
      <c r="OZ1014" s="22"/>
      <c r="PA1014" s="22"/>
      <c r="PB1014" s="22"/>
      <c r="PC1014" s="22"/>
      <c r="PD1014" s="22"/>
      <c r="PE1014" s="22"/>
      <c r="PF1014" s="22"/>
      <c r="PG1014" s="22"/>
      <c r="PH1014" s="22"/>
      <c r="PI1014" s="22"/>
      <c r="PJ1014" s="22"/>
      <c r="PK1014" s="22"/>
      <c r="PL1014" s="22"/>
      <c r="PM1014" s="22"/>
      <c r="PN1014" s="22"/>
      <c r="PO1014" s="22"/>
      <c r="PP1014" s="22"/>
      <c r="PQ1014" s="22"/>
      <c r="PR1014" s="22"/>
      <c r="PS1014" s="22"/>
      <c r="PT1014" s="22"/>
      <c r="PU1014" s="22"/>
      <c r="PV1014" s="22"/>
      <c r="PW1014" s="22"/>
      <c r="PX1014" s="22"/>
      <c r="PY1014" s="22"/>
      <c r="PZ1014" s="22"/>
      <c r="QA1014" s="22"/>
      <c r="QB1014" s="22"/>
      <c r="QC1014" s="22"/>
      <c r="QD1014" s="22"/>
      <c r="QE1014" s="22"/>
      <c r="QF1014" s="22"/>
      <c r="QG1014" s="22"/>
      <c r="QH1014" s="22"/>
      <c r="QI1014" s="22"/>
      <c r="QJ1014" s="22"/>
      <c r="QK1014" s="22"/>
      <c r="QL1014" s="22"/>
      <c r="QM1014" s="22"/>
      <c r="QN1014" s="22"/>
      <c r="QO1014" s="22"/>
      <c r="QP1014" s="22"/>
      <c r="QQ1014" s="22"/>
      <c r="QR1014" s="22"/>
      <c r="QS1014" s="22"/>
      <c r="QT1014" s="22"/>
      <c r="QU1014" s="22"/>
      <c r="QV1014" s="22"/>
      <c r="QW1014" s="22"/>
      <c r="QX1014" s="22"/>
      <c r="QY1014" s="22"/>
      <c r="QZ1014" s="22"/>
      <c r="RA1014" s="22"/>
      <c r="RB1014" s="22"/>
      <c r="RC1014" s="22"/>
      <c r="RD1014" s="22"/>
      <c r="RE1014" s="22"/>
      <c r="RF1014" s="22"/>
      <c r="RG1014" s="22"/>
      <c r="RH1014" s="22"/>
      <c r="RI1014" s="22"/>
      <c r="RJ1014" s="22"/>
      <c r="RK1014" s="22"/>
      <c r="RL1014" s="22"/>
      <c r="RM1014" s="22"/>
      <c r="RN1014" s="22"/>
      <c r="RO1014" s="22"/>
      <c r="RP1014" s="22"/>
      <c r="RQ1014" s="22"/>
      <c r="RR1014" s="22"/>
      <c r="RS1014" s="22"/>
      <c r="RT1014" s="22"/>
      <c r="RU1014" s="22"/>
      <c r="RV1014" s="22"/>
      <c r="RW1014" s="22"/>
      <c r="RX1014" s="22"/>
      <c r="RY1014" s="22"/>
      <c r="RZ1014" s="22"/>
      <c r="SA1014" s="22"/>
      <c r="SB1014" s="22"/>
      <c r="SC1014" s="22"/>
      <c r="SD1014" s="22"/>
      <c r="SE1014" s="22"/>
      <c r="SF1014" s="22"/>
      <c r="SG1014" s="22"/>
      <c r="SH1014" s="22"/>
      <c r="SI1014" s="22"/>
      <c r="SJ1014" s="22"/>
      <c r="SK1014" s="22"/>
      <c r="SL1014" s="22"/>
      <c r="SM1014" s="22"/>
      <c r="SN1014" s="22"/>
      <c r="SO1014" s="22"/>
      <c r="SP1014" s="22"/>
      <c r="SQ1014" s="22"/>
      <c r="SR1014" s="22"/>
      <c r="SS1014" s="22"/>
      <c r="ST1014" s="22"/>
      <c r="SU1014" s="22"/>
      <c r="SV1014" s="22"/>
      <c r="SW1014" s="22"/>
      <c r="SX1014" s="22"/>
      <c r="SY1014" s="22"/>
      <c r="SZ1014" s="22"/>
      <c r="TA1014" s="22"/>
      <c r="TB1014" s="22"/>
      <c r="TC1014" s="22"/>
      <c r="TD1014" s="22"/>
      <c r="TE1014" s="22"/>
      <c r="TF1014" s="22"/>
      <c r="TG1014" s="22"/>
      <c r="TH1014" s="22"/>
      <c r="TI1014" s="22"/>
      <c r="TJ1014" s="22"/>
      <c r="TK1014" s="22"/>
      <c r="TL1014" s="22"/>
      <c r="TM1014" s="22"/>
      <c r="TN1014" s="22"/>
      <c r="TO1014" s="22"/>
      <c r="TP1014" s="22"/>
      <c r="TQ1014" s="22"/>
      <c r="TR1014" s="22"/>
      <c r="TS1014" s="22"/>
      <c r="TT1014" s="22"/>
      <c r="TU1014" s="22"/>
      <c r="TV1014" s="22"/>
      <c r="TW1014" s="22"/>
      <c r="TX1014" s="22"/>
      <c r="TY1014" s="22"/>
      <c r="TZ1014" s="22"/>
      <c r="UA1014" s="22"/>
      <c r="UB1014" s="22"/>
      <c r="UC1014" s="22"/>
      <c r="UD1014" s="22"/>
      <c r="UE1014" s="22"/>
      <c r="UF1014" s="22"/>
      <c r="UG1014" s="23"/>
    </row>
    <row r="1015" spans="1:553" s="109" customFormat="1" ht="51" customHeight="1">
      <c r="A1015" s="356"/>
      <c r="B1015" s="385">
        <v>213</v>
      </c>
      <c r="C1015" s="1388" t="s">
        <v>1288</v>
      </c>
      <c r="D1015" s="1389"/>
      <c r="E1015" s="1389"/>
      <c r="F1015" s="1390"/>
      <c r="G1015" s="386" t="s">
        <v>34</v>
      </c>
      <c r="H1015" s="370"/>
      <c r="I1015" s="417">
        <f>11.5*0.55*1.2</f>
        <v>7.59</v>
      </c>
      <c r="J1015" s="368">
        <f>1/((0.95+0.7)/2*1.45*1)*2025500</f>
        <v>1693207.941483804</v>
      </c>
      <c r="K1015" s="371"/>
      <c r="L1015" s="391">
        <f t="shared" si="150"/>
        <v>12851448</v>
      </c>
      <c r="M1015" s="395"/>
      <c r="N1015" s="395"/>
      <c r="O1015" s="366"/>
      <c r="P1015" s="396"/>
      <c r="Q1015" s="473"/>
      <c r="R1015" s="1039"/>
      <c r="S1015" s="308"/>
      <c r="T1015" s="308"/>
      <c r="U1015" s="308"/>
      <c r="V1015" s="308"/>
      <c r="W1015" s="308"/>
      <c r="X1015" s="308"/>
      <c r="Y1015" s="308"/>
      <c r="Z1015" s="604"/>
      <c r="AA1015" s="308"/>
      <c r="AB1015" s="308"/>
      <c r="AC1015" s="373"/>
      <c r="AD1015" s="373"/>
      <c r="AE1015" s="373"/>
      <c r="AF1015" s="373"/>
      <c r="AG1015" s="389"/>
      <c r="AH1015" s="389"/>
      <c r="AI1015" s="389"/>
      <c r="AJ1015" s="389"/>
      <c r="AK1015" s="389"/>
      <c r="AL1015" s="127"/>
      <c r="AM1015" s="153"/>
      <c r="AN1015" s="153"/>
      <c r="AO1015" s="153"/>
      <c r="AP1015" s="153"/>
      <c r="AQ1015" s="121"/>
      <c r="AR1015" s="121"/>
      <c r="AS1015" s="121"/>
      <c r="AT1015" s="121"/>
      <c r="AU1015" s="121"/>
      <c r="AV1015" s="121"/>
      <c r="AW1015" s="121"/>
      <c r="AX1015" s="121"/>
      <c r="AY1015" s="121"/>
      <c r="AZ1015" s="121"/>
      <c r="BA1015" s="121"/>
      <c r="BB1015" s="121"/>
      <c r="BC1015" s="121"/>
      <c r="BD1015" s="121"/>
      <c r="BE1015" s="121"/>
      <c r="BF1015" s="121"/>
      <c r="BG1015" s="121"/>
      <c r="BH1015" s="121"/>
      <c r="BI1015" s="121"/>
      <c r="BJ1015" s="121"/>
      <c r="BK1015" s="121"/>
      <c r="BL1015" s="121"/>
      <c r="BM1015" s="121"/>
      <c r="BN1015" s="121"/>
      <c r="BO1015" s="121"/>
      <c r="BP1015" s="121"/>
      <c r="BQ1015" s="121"/>
      <c r="BR1015" s="121"/>
      <c r="BS1015" s="121"/>
      <c r="BT1015" s="121"/>
      <c r="BU1015" s="121"/>
      <c r="BV1015" s="121"/>
      <c r="BW1015" s="121"/>
      <c r="BX1015" s="121"/>
      <c r="BY1015" s="121"/>
      <c r="BZ1015" s="121"/>
      <c r="CA1015" s="121"/>
      <c r="CB1015" s="121"/>
      <c r="CC1015" s="121"/>
      <c r="CD1015" s="121"/>
      <c r="CE1015" s="121"/>
      <c r="CF1015" s="121"/>
      <c r="CG1015" s="121"/>
      <c r="CH1015" s="121"/>
      <c r="CI1015" s="121"/>
      <c r="CJ1015" s="121"/>
      <c r="CK1015" s="121"/>
      <c r="CL1015" s="121"/>
      <c r="CM1015" s="121"/>
      <c r="CN1015" s="121"/>
      <c r="CO1015" s="121"/>
      <c r="CP1015" s="121"/>
      <c r="CQ1015" s="121"/>
      <c r="CR1015" s="121"/>
      <c r="CS1015" s="121"/>
      <c r="CT1015" s="121"/>
      <c r="CU1015" s="121"/>
      <c r="CV1015" s="121"/>
      <c r="CW1015" s="121"/>
      <c r="CX1015" s="121"/>
      <c r="CY1015" s="121"/>
      <c r="CZ1015" s="121"/>
      <c r="DA1015" s="121"/>
      <c r="DB1015" s="121"/>
      <c r="DC1015" s="121"/>
      <c r="DD1015" s="121"/>
      <c r="DE1015" s="121"/>
      <c r="DF1015" s="121"/>
      <c r="DG1015" s="121"/>
      <c r="DH1015" s="121"/>
      <c r="DI1015" s="121"/>
      <c r="DJ1015" s="121"/>
      <c r="DK1015" s="121"/>
      <c r="DL1015" s="121"/>
      <c r="DM1015" s="121"/>
      <c r="DN1015" s="121"/>
      <c r="DO1015" s="121"/>
      <c r="DP1015" s="121"/>
      <c r="DQ1015" s="121"/>
      <c r="DR1015" s="121"/>
      <c r="DS1015" s="121"/>
      <c r="DT1015" s="121"/>
      <c r="DU1015" s="121"/>
      <c r="DV1015" s="121"/>
      <c r="DW1015" s="121"/>
      <c r="DX1015" s="121"/>
      <c r="DY1015" s="121"/>
      <c r="DZ1015" s="121"/>
      <c r="EA1015" s="121"/>
      <c r="EB1015" s="121"/>
      <c r="EC1015" s="121"/>
      <c r="ED1015" s="121"/>
      <c r="EE1015" s="121"/>
      <c r="EF1015" s="121"/>
      <c r="EG1015" s="121"/>
      <c r="EH1015" s="121"/>
      <c r="EI1015" s="121"/>
      <c r="EJ1015" s="121"/>
      <c r="EK1015" s="121"/>
      <c r="EL1015" s="121"/>
      <c r="EM1015" s="121"/>
      <c r="EN1015" s="121"/>
      <c r="EO1015" s="121"/>
      <c r="EP1015" s="121"/>
      <c r="EQ1015" s="121"/>
      <c r="ER1015" s="121"/>
      <c r="ES1015" s="121"/>
      <c r="ET1015" s="121"/>
      <c r="EU1015" s="121"/>
      <c r="EV1015" s="121"/>
      <c r="EW1015" s="121"/>
      <c r="EX1015" s="121"/>
      <c r="EY1015" s="121"/>
      <c r="EZ1015" s="121"/>
      <c r="FA1015" s="121"/>
      <c r="FB1015" s="121"/>
      <c r="FC1015" s="121"/>
      <c r="FD1015" s="121"/>
      <c r="FE1015" s="121"/>
      <c r="FF1015" s="121"/>
      <c r="FG1015" s="121"/>
      <c r="FH1015" s="121"/>
      <c r="FI1015" s="121"/>
      <c r="FJ1015" s="121"/>
      <c r="FK1015" s="121"/>
      <c r="FL1015" s="121"/>
      <c r="FM1015" s="121"/>
      <c r="FN1015" s="121"/>
      <c r="FO1015" s="121"/>
      <c r="FP1015" s="121"/>
      <c r="FQ1015" s="121"/>
      <c r="FR1015" s="121"/>
      <c r="FS1015" s="121"/>
      <c r="FT1015" s="121"/>
      <c r="FU1015" s="121"/>
      <c r="FV1015" s="121"/>
      <c r="FW1015" s="121"/>
      <c r="FX1015" s="121"/>
      <c r="FY1015" s="121"/>
      <c r="FZ1015" s="121"/>
      <c r="GA1015" s="121"/>
      <c r="GB1015" s="121"/>
      <c r="GC1015" s="121"/>
      <c r="GD1015" s="121"/>
      <c r="GE1015" s="121"/>
      <c r="GF1015" s="121"/>
      <c r="GG1015" s="121"/>
      <c r="GH1015" s="121"/>
      <c r="GI1015" s="121"/>
      <c r="GJ1015" s="121"/>
      <c r="GK1015" s="121"/>
      <c r="GL1015" s="121"/>
      <c r="GM1015" s="121"/>
      <c r="GN1015" s="121"/>
      <c r="GO1015" s="121"/>
      <c r="GP1015" s="121"/>
      <c r="GQ1015" s="121"/>
      <c r="GR1015" s="121"/>
      <c r="GS1015" s="121"/>
      <c r="GT1015" s="121"/>
      <c r="GU1015" s="121"/>
      <c r="GV1015" s="121"/>
      <c r="GW1015" s="121"/>
      <c r="GX1015" s="121"/>
      <c r="GY1015" s="121"/>
      <c r="GZ1015" s="121"/>
      <c r="HA1015" s="121"/>
      <c r="HB1015" s="121"/>
      <c r="HC1015" s="121"/>
      <c r="HD1015" s="121"/>
      <c r="HE1015" s="121"/>
      <c r="HF1015" s="121"/>
      <c r="HG1015" s="121"/>
      <c r="HH1015" s="121"/>
      <c r="HI1015" s="121"/>
      <c r="HJ1015" s="121"/>
      <c r="HK1015" s="121"/>
      <c r="HL1015" s="121"/>
      <c r="HM1015" s="121"/>
      <c r="HN1015" s="121"/>
      <c r="HO1015" s="121"/>
      <c r="HP1015" s="121"/>
      <c r="HQ1015" s="121"/>
      <c r="HR1015" s="121"/>
      <c r="HS1015" s="121"/>
      <c r="HT1015" s="121"/>
      <c r="HU1015" s="121"/>
      <c r="HV1015" s="121"/>
      <c r="HW1015" s="121"/>
      <c r="HX1015" s="121"/>
      <c r="HY1015" s="121"/>
      <c r="HZ1015" s="121"/>
      <c r="IA1015" s="121"/>
      <c r="IB1015" s="121"/>
      <c r="IC1015" s="121"/>
      <c r="ID1015" s="121"/>
      <c r="IE1015" s="121"/>
      <c r="IF1015" s="121"/>
      <c r="IG1015" s="121"/>
      <c r="IH1015" s="121"/>
      <c r="II1015" s="121"/>
      <c r="IJ1015" s="121"/>
      <c r="IK1015" s="121"/>
      <c r="IL1015" s="121"/>
      <c r="IM1015" s="121"/>
      <c r="IN1015" s="121"/>
      <c r="IO1015" s="121"/>
      <c r="IP1015" s="121"/>
      <c r="IQ1015" s="121"/>
      <c r="IR1015" s="121"/>
      <c r="IS1015" s="121"/>
      <c r="IT1015" s="121"/>
      <c r="IU1015" s="121"/>
      <c r="IV1015" s="121"/>
      <c r="IW1015" s="121"/>
      <c r="IX1015" s="121"/>
      <c r="IY1015" s="121"/>
      <c r="IZ1015" s="121"/>
      <c r="JA1015" s="121"/>
      <c r="JB1015" s="121"/>
      <c r="JC1015" s="121"/>
      <c r="JD1015" s="121"/>
      <c r="JE1015" s="121"/>
      <c r="JF1015" s="121"/>
      <c r="JG1015" s="121"/>
      <c r="JH1015" s="121"/>
      <c r="JI1015" s="121"/>
      <c r="JJ1015" s="121"/>
      <c r="JK1015" s="121"/>
      <c r="JL1015" s="121"/>
      <c r="JM1015" s="121"/>
      <c r="JN1015" s="121"/>
      <c r="JO1015" s="121"/>
      <c r="JP1015" s="121"/>
      <c r="JQ1015" s="121"/>
      <c r="JR1015" s="121"/>
      <c r="JS1015" s="121"/>
      <c r="JT1015" s="121"/>
      <c r="JU1015" s="121"/>
      <c r="JV1015" s="121"/>
      <c r="JW1015" s="121"/>
      <c r="JX1015" s="121"/>
      <c r="JY1015" s="121"/>
      <c r="JZ1015" s="121"/>
      <c r="KA1015" s="121"/>
      <c r="KB1015" s="121"/>
      <c r="KC1015" s="121"/>
      <c r="KD1015" s="121"/>
      <c r="KE1015" s="121"/>
      <c r="KF1015" s="121"/>
      <c r="KG1015" s="121"/>
      <c r="KH1015" s="121"/>
      <c r="KI1015" s="121"/>
      <c r="KJ1015" s="121"/>
      <c r="KK1015" s="121"/>
      <c r="KL1015" s="121"/>
      <c r="KM1015" s="121"/>
      <c r="KN1015" s="121"/>
      <c r="KO1015" s="121"/>
      <c r="KP1015" s="121"/>
      <c r="KQ1015" s="121"/>
      <c r="KR1015" s="121"/>
      <c r="KS1015" s="121"/>
      <c r="KT1015" s="121"/>
      <c r="KU1015" s="121"/>
      <c r="KV1015" s="121"/>
      <c r="KW1015" s="121"/>
      <c r="KX1015" s="121"/>
      <c r="KY1015" s="121"/>
      <c r="KZ1015" s="121"/>
      <c r="LA1015" s="121"/>
      <c r="LB1015" s="121"/>
      <c r="LC1015" s="121"/>
      <c r="LD1015" s="121"/>
      <c r="LE1015" s="121"/>
      <c r="LF1015" s="121"/>
      <c r="LG1015" s="121"/>
      <c r="LH1015" s="121"/>
      <c r="LI1015" s="121"/>
      <c r="LJ1015" s="121"/>
      <c r="LK1015" s="121"/>
      <c r="LL1015" s="121"/>
      <c r="LM1015" s="121"/>
      <c r="LN1015" s="121"/>
      <c r="LO1015" s="121"/>
      <c r="LP1015" s="121"/>
      <c r="LQ1015" s="121"/>
      <c r="LR1015" s="121"/>
      <c r="LS1015" s="121"/>
      <c r="LT1015" s="121"/>
      <c r="LU1015" s="121"/>
      <c r="LV1015" s="121"/>
      <c r="LW1015" s="121"/>
      <c r="LX1015" s="121"/>
      <c r="LY1015" s="121"/>
      <c r="LZ1015" s="121"/>
      <c r="MA1015" s="121"/>
      <c r="MB1015" s="121"/>
      <c r="MC1015" s="121"/>
      <c r="MD1015" s="121"/>
      <c r="ME1015" s="121"/>
      <c r="MF1015" s="121"/>
      <c r="MG1015" s="121"/>
      <c r="MH1015" s="121"/>
      <c r="MI1015" s="121"/>
      <c r="MJ1015" s="121"/>
      <c r="MK1015" s="121"/>
      <c r="ML1015" s="121"/>
      <c r="MM1015" s="121"/>
      <c r="MN1015" s="121"/>
      <c r="MO1015" s="121"/>
      <c r="MP1015" s="121"/>
      <c r="MQ1015" s="121"/>
      <c r="MR1015" s="121"/>
      <c r="MS1015" s="121"/>
      <c r="MT1015" s="121"/>
      <c r="MU1015" s="121"/>
      <c r="MV1015" s="121"/>
      <c r="MW1015" s="121"/>
      <c r="MX1015" s="121"/>
      <c r="MY1015" s="121"/>
      <c r="MZ1015" s="121"/>
      <c r="NA1015" s="121"/>
      <c r="NB1015" s="121"/>
      <c r="NC1015" s="121"/>
      <c r="ND1015" s="121"/>
      <c r="NE1015" s="121"/>
      <c r="NF1015" s="121"/>
      <c r="NG1015" s="121"/>
      <c r="NH1015" s="121"/>
      <c r="NI1015" s="121"/>
      <c r="NJ1015" s="121"/>
      <c r="NK1015" s="121"/>
      <c r="NL1015" s="121"/>
      <c r="NM1015" s="121"/>
      <c r="NN1015" s="121"/>
      <c r="NO1015" s="121"/>
      <c r="NP1015" s="121"/>
      <c r="NQ1015" s="121"/>
      <c r="NR1015" s="121"/>
      <c r="NS1015" s="121"/>
      <c r="NT1015" s="121"/>
      <c r="NU1015" s="121"/>
      <c r="NV1015" s="121"/>
      <c r="NW1015" s="121"/>
      <c r="NX1015" s="121"/>
      <c r="NY1015" s="121"/>
      <c r="NZ1015" s="121"/>
      <c r="OA1015" s="121"/>
      <c r="OB1015" s="121"/>
      <c r="OC1015" s="121"/>
      <c r="OD1015" s="121"/>
      <c r="OE1015" s="121"/>
      <c r="OF1015" s="121"/>
      <c r="OG1015" s="121"/>
      <c r="OH1015" s="121"/>
      <c r="OI1015" s="121"/>
      <c r="OJ1015" s="121"/>
      <c r="OK1015" s="121"/>
      <c r="OL1015" s="121"/>
      <c r="OM1015" s="121"/>
      <c r="ON1015" s="121"/>
      <c r="OO1015" s="121"/>
      <c r="OP1015" s="121"/>
      <c r="OQ1015" s="121"/>
      <c r="OR1015" s="121"/>
      <c r="OS1015" s="121"/>
      <c r="OT1015" s="121"/>
      <c r="OU1015" s="121"/>
      <c r="OV1015" s="121"/>
      <c r="OW1015" s="121"/>
      <c r="OX1015" s="121"/>
      <c r="OY1015" s="121"/>
      <c r="OZ1015" s="121"/>
      <c r="PA1015" s="121"/>
      <c r="PB1015" s="121"/>
      <c r="PC1015" s="121"/>
      <c r="PD1015" s="121"/>
      <c r="PE1015" s="121"/>
      <c r="PF1015" s="121"/>
      <c r="PG1015" s="121"/>
      <c r="PH1015" s="121"/>
      <c r="PI1015" s="121"/>
      <c r="PJ1015" s="121"/>
      <c r="PK1015" s="121"/>
      <c r="PL1015" s="121"/>
      <c r="PM1015" s="121"/>
      <c r="PN1015" s="121"/>
      <c r="PO1015" s="121"/>
      <c r="PP1015" s="121"/>
      <c r="PQ1015" s="121"/>
      <c r="PR1015" s="121"/>
      <c r="PS1015" s="121"/>
      <c r="PT1015" s="121"/>
      <c r="PU1015" s="121"/>
      <c r="PV1015" s="121"/>
      <c r="PW1015" s="121"/>
      <c r="PX1015" s="121"/>
      <c r="PY1015" s="121"/>
      <c r="PZ1015" s="121"/>
      <c r="QA1015" s="121"/>
      <c r="QB1015" s="121"/>
      <c r="QC1015" s="121"/>
      <c r="QD1015" s="121"/>
      <c r="QE1015" s="121"/>
      <c r="QF1015" s="121"/>
      <c r="QG1015" s="121"/>
      <c r="QH1015" s="121"/>
      <c r="QI1015" s="121"/>
      <c r="QJ1015" s="121"/>
      <c r="QK1015" s="121"/>
      <c r="QL1015" s="121"/>
      <c r="QM1015" s="121"/>
      <c r="QN1015" s="121"/>
      <c r="QO1015" s="121"/>
      <c r="QP1015" s="121"/>
      <c r="QQ1015" s="121"/>
      <c r="QR1015" s="121"/>
      <c r="QS1015" s="121"/>
      <c r="QT1015" s="121"/>
      <c r="QU1015" s="121"/>
      <c r="QV1015" s="121"/>
      <c r="QW1015" s="121"/>
      <c r="QX1015" s="121"/>
      <c r="QY1015" s="121"/>
      <c r="QZ1015" s="121"/>
      <c r="RA1015" s="121"/>
      <c r="RB1015" s="121"/>
      <c r="RC1015" s="121"/>
      <c r="RD1015" s="121"/>
      <c r="RE1015" s="121"/>
      <c r="RF1015" s="121"/>
      <c r="RG1015" s="121"/>
      <c r="RH1015" s="121"/>
      <c r="RI1015" s="121"/>
      <c r="RJ1015" s="121"/>
      <c r="RK1015" s="121"/>
      <c r="RL1015" s="121"/>
      <c r="RM1015" s="121"/>
      <c r="RN1015" s="121"/>
      <c r="RO1015" s="121"/>
      <c r="RP1015" s="121"/>
      <c r="RQ1015" s="121"/>
      <c r="RR1015" s="121"/>
      <c r="RS1015" s="121"/>
      <c r="RT1015" s="121"/>
      <c r="RU1015" s="121"/>
      <c r="RV1015" s="121"/>
      <c r="RW1015" s="121"/>
      <c r="RX1015" s="121"/>
      <c r="RY1015" s="121"/>
      <c r="RZ1015" s="121"/>
      <c r="SA1015" s="121"/>
      <c r="SB1015" s="121"/>
      <c r="SC1015" s="121"/>
      <c r="SD1015" s="121"/>
      <c r="SE1015" s="121"/>
      <c r="SF1015" s="121"/>
      <c r="SG1015" s="121"/>
      <c r="SH1015" s="121"/>
      <c r="SI1015" s="121"/>
      <c r="SJ1015" s="121"/>
      <c r="SK1015" s="121"/>
      <c r="SL1015" s="121"/>
      <c r="SM1015" s="121"/>
      <c r="SN1015" s="121"/>
      <c r="SO1015" s="121"/>
      <c r="SP1015" s="121"/>
      <c r="SQ1015" s="121"/>
      <c r="SR1015" s="121"/>
      <c r="SS1015" s="121"/>
      <c r="ST1015" s="121"/>
      <c r="SU1015" s="121"/>
      <c r="SV1015" s="121"/>
      <c r="SW1015" s="121"/>
      <c r="SX1015" s="121"/>
      <c r="SY1015" s="121"/>
      <c r="SZ1015" s="121"/>
      <c r="TA1015" s="121"/>
      <c r="TB1015" s="121"/>
      <c r="TC1015" s="121"/>
      <c r="TD1015" s="121"/>
      <c r="TE1015" s="121"/>
      <c r="TF1015" s="121"/>
      <c r="TG1015" s="121"/>
      <c r="TH1015" s="121"/>
      <c r="TI1015" s="121"/>
      <c r="TJ1015" s="121"/>
      <c r="TK1015" s="121"/>
      <c r="TL1015" s="121"/>
      <c r="TM1015" s="121"/>
      <c r="TN1015" s="121"/>
      <c r="TO1015" s="121"/>
      <c r="TP1015" s="121"/>
      <c r="TQ1015" s="121"/>
      <c r="TR1015" s="121"/>
      <c r="TS1015" s="121"/>
      <c r="TT1015" s="121"/>
      <c r="TU1015" s="121"/>
      <c r="TV1015" s="121"/>
      <c r="TW1015" s="121"/>
      <c r="TX1015" s="121"/>
      <c r="TY1015" s="121"/>
      <c r="TZ1015" s="121"/>
      <c r="UA1015" s="121"/>
      <c r="UB1015" s="121"/>
      <c r="UC1015" s="121"/>
      <c r="UD1015" s="121"/>
      <c r="UE1015" s="121"/>
      <c r="UF1015" s="121"/>
      <c r="UG1015" s="129"/>
    </row>
    <row r="1016" spans="1:553" ht="51" customHeight="1">
      <c r="A1016" s="356"/>
      <c r="B1016" s="385" t="s">
        <v>31</v>
      </c>
      <c r="C1016" s="1535" t="s">
        <v>1289</v>
      </c>
      <c r="D1016" s="1389"/>
      <c r="E1016" s="1389"/>
      <c r="F1016" s="1390"/>
      <c r="G1016" s="386" t="s">
        <v>34</v>
      </c>
      <c r="H1016" s="370"/>
      <c r="I1016" s="417">
        <f>50*0.8*0.3</f>
        <v>12</v>
      </c>
      <c r="J1016" s="368">
        <v>606342</v>
      </c>
      <c r="K1016" s="371"/>
      <c r="L1016" s="391">
        <f t="shared" si="150"/>
        <v>7276104</v>
      </c>
      <c r="M1016" s="395"/>
      <c r="N1016" s="395"/>
      <c r="O1016" s="366"/>
      <c r="P1016" s="396"/>
      <c r="Q1016" s="473"/>
      <c r="R1016" s="1039"/>
      <c r="S1016" s="308"/>
      <c r="T1016" s="308"/>
      <c r="U1016" s="308"/>
      <c r="V1016" s="308"/>
      <c r="W1016" s="308"/>
      <c r="X1016" s="308"/>
      <c r="Y1016" s="308"/>
      <c r="Z1016" s="604"/>
      <c r="AA1016" s="308"/>
      <c r="AB1016" s="308"/>
      <c r="AC1016" s="373"/>
      <c r="AD1016" s="373"/>
      <c r="AE1016" s="373"/>
      <c r="AF1016" s="373"/>
      <c r="AG1016" s="389"/>
      <c r="AH1016" s="389"/>
      <c r="AI1016" s="389"/>
      <c r="AJ1016" s="389"/>
      <c r="AK1016" s="389"/>
      <c r="AL1016" s="100"/>
      <c r="AM1016" s="27"/>
      <c r="AN1016" s="27"/>
      <c r="AO1016" s="27"/>
      <c r="AP1016" s="27"/>
      <c r="AQ1016" s="22"/>
      <c r="AR1016" s="22"/>
      <c r="AS1016" s="22"/>
      <c r="AT1016" s="22"/>
      <c r="AU1016" s="22"/>
      <c r="AV1016" s="22"/>
      <c r="AW1016" s="22"/>
      <c r="AX1016" s="22"/>
      <c r="AY1016" s="22"/>
      <c r="AZ1016" s="22"/>
      <c r="BA1016" s="22"/>
      <c r="BB1016" s="22"/>
      <c r="BC1016" s="22"/>
      <c r="BD1016" s="22"/>
      <c r="BE1016" s="22"/>
      <c r="BF1016" s="22"/>
      <c r="BG1016" s="22"/>
      <c r="BH1016" s="22"/>
      <c r="BI1016" s="22"/>
      <c r="BJ1016" s="22"/>
      <c r="BK1016" s="22"/>
      <c r="BL1016" s="22"/>
      <c r="BM1016" s="22"/>
      <c r="BN1016" s="22"/>
      <c r="BO1016" s="22"/>
      <c r="BP1016" s="22"/>
      <c r="BQ1016" s="22"/>
      <c r="BR1016" s="22"/>
      <c r="BS1016" s="22"/>
      <c r="BT1016" s="22"/>
      <c r="BU1016" s="22"/>
      <c r="BV1016" s="22"/>
      <c r="BW1016" s="22"/>
      <c r="BX1016" s="22"/>
      <c r="BY1016" s="22"/>
      <c r="BZ1016" s="22"/>
      <c r="CA1016" s="22"/>
      <c r="CB1016" s="22"/>
      <c r="CC1016" s="22"/>
      <c r="CD1016" s="22"/>
      <c r="CE1016" s="22"/>
      <c r="CF1016" s="22"/>
      <c r="CG1016" s="22"/>
      <c r="CH1016" s="22"/>
      <c r="CI1016" s="22"/>
      <c r="CJ1016" s="22"/>
      <c r="CK1016" s="22"/>
      <c r="CL1016" s="22"/>
      <c r="CM1016" s="22"/>
      <c r="CN1016" s="22"/>
      <c r="CO1016" s="22"/>
      <c r="CP1016" s="22"/>
      <c r="CQ1016" s="22"/>
      <c r="CR1016" s="22"/>
      <c r="CS1016" s="22"/>
      <c r="CT1016" s="22"/>
      <c r="CU1016" s="22"/>
      <c r="CV1016" s="22"/>
      <c r="CW1016" s="22"/>
      <c r="CX1016" s="22"/>
      <c r="CY1016" s="22"/>
      <c r="CZ1016" s="22"/>
      <c r="DA1016" s="22"/>
      <c r="DB1016" s="22"/>
      <c r="DC1016" s="22"/>
      <c r="DD1016" s="22"/>
      <c r="DE1016" s="22"/>
      <c r="DF1016" s="22"/>
      <c r="DG1016" s="22"/>
      <c r="DH1016" s="22"/>
      <c r="DI1016" s="22"/>
      <c r="DJ1016" s="22"/>
      <c r="DK1016" s="22"/>
      <c r="DL1016" s="22"/>
      <c r="DM1016" s="22"/>
      <c r="DN1016" s="22"/>
      <c r="DO1016" s="22"/>
      <c r="DP1016" s="22"/>
      <c r="DQ1016" s="22"/>
      <c r="DR1016" s="22"/>
      <c r="DS1016" s="22"/>
      <c r="DT1016" s="22"/>
      <c r="DU1016" s="22"/>
      <c r="DV1016" s="22"/>
      <c r="DW1016" s="22"/>
      <c r="DX1016" s="22"/>
      <c r="DY1016" s="22"/>
      <c r="DZ1016" s="22"/>
      <c r="EA1016" s="22"/>
      <c r="EB1016" s="22"/>
      <c r="EC1016" s="22"/>
      <c r="ED1016" s="22"/>
      <c r="EE1016" s="22"/>
      <c r="EF1016" s="22"/>
      <c r="EG1016" s="22"/>
      <c r="EH1016" s="22"/>
      <c r="EI1016" s="22"/>
      <c r="EJ1016" s="22"/>
      <c r="EK1016" s="22"/>
      <c r="EL1016" s="22"/>
      <c r="EM1016" s="22"/>
      <c r="EN1016" s="22"/>
      <c r="EO1016" s="22"/>
      <c r="EP1016" s="22"/>
      <c r="EQ1016" s="22"/>
      <c r="ER1016" s="22"/>
      <c r="ES1016" s="22"/>
      <c r="ET1016" s="22"/>
      <c r="EU1016" s="22"/>
      <c r="EV1016" s="22"/>
      <c r="EW1016" s="22"/>
      <c r="EX1016" s="22"/>
      <c r="EY1016" s="22"/>
      <c r="EZ1016" s="22"/>
      <c r="FA1016" s="22"/>
      <c r="FB1016" s="22"/>
      <c r="FC1016" s="22"/>
      <c r="FD1016" s="22"/>
      <c r="FE1016" s="22"/>
      <c r="FF1016" s="22"/>
      <c r="FG1016" s="22"/>
      <c r="FH1016" s="22"/>
      <c r="FI1016" s="22"/>
      <c r="FJ1016" s="22"/>
      <c r="FK1016" s="22"/>
      <c r="FL1016" s="22"/>
      <c r="FM1016" s="22"/>
      <c r="FN1016" s="22"/>
      <c r="FO1016" s="22"/>
      <c r="FP1016" s="22"/>
      <c r="FQ1016" s="22"/>
      <c r="FR1016" s="22"/>
      <c r="FS1016" s="22"/>
      <c r="FT1016" s="22"/>
      <c r="FU1016" s="22"/>
      <c r="FV1016" s="22"/>
      <c r="FW1016" s="22"/>
      <c r="FX1016" s="22"/>
      <c r="FY1016" s="22"/>
      <c r="FZ1016" s="22"/>
      <c r="GA1016" s="22"/>
      <c r="GB1016" s="22"/>
      <c r="GC1016" s="22"/>
      <c r="GD1016" s="22"/>
      <c r="GE1016" s="22"/>
      <c r="GF1016" s="22"/>
      <c r="GG1016" s="22"/>
      <c r="GH1016" s="22"/>
      <c r="GI1016" s="22"/>
      <c r="GJ1016" s="22"/>
      <c r="GK1016" s="22"/>
      <c r="GL1016" s="22"/>
      <c r="GM1016" s="22"/>
      <c r="GN1016" s="22"/>
      <c r="GO1016" s="22"/>
      <c r="GP1016" s="22"/>
      <c r="GQ1016" s="22"/>
      <c r="GR1016" s="22"/>
      <c r="GS1016" s="22"/>
      <c r="GT1016" s="22"/>
      <c r="GU1016" s="22"/>
      <c r="GV1016" s="22"/>
      <c r="GW1016" s="22"/>
      <c r="GX1016" s="22"/>
      <c r="GY1016" s="22"/>
      <c r="GZ1016" s="22"/>
      <c r="HA1016" s="22"/>
      <c r="HB1016" s="22"/>
      <c r="HC1016" s="22"/>
      <c r="HD1016" s="22"/>
      <c r="HE1016" s="22"/>
      <c r="HF1016" s="22"/>
      <c r="HG1016" s="22"/>
      <c r="HH1016" s="22"/>
      <c r="HI1016" s="22"/>
      <c r="HJ1016" s="22"/>
      <c r="HK1016" s="22"/>
      <c r="HL1016" s="22"/>
      <c r="HM1016" s="22"/>
      <c r="HN1016" s="22"/>
      <c r="HO1016" s="22"/>
      <c r="HP1016" s="22"/>
      <c r="HQ1016" s="22"/>
      <c r="HR1016" s="22"/>
      <c r="HS1016" s="22"/>
      <c r="HT1016" s="22"/>
      <c r="HU1016" s="22"/>
      <c r="HV1016" s="22"/>
      <c r="HW1016" s="22"/>
      <c r="HX1016" s="22"/>
      <c r="HY1016" s="22"/>
      <c r="HZ1016" s="22"/>
      <c r="IA1016" s="22"/>
      <c r="IB1016" s="22"/>
      <c r="IC1016" s="22"/>
      <c r="ID1016" s="22"/>
      <c r="IE1016" s="22"/>
      <c r="IF1016" s="22"/>
      <c r="IG1016" s="22"/>
      <c r="IH1016" s="22"/>
      <c r="II1016" s="22"/>
      <c r="IJ1016" s="22"/>
      <c r="IK1016" s="22"/>
      <c r="IL1016" s="22"/>
      <c r="IM1016" s="22"/>
      <c r="IN1016" s="22"/>
      <c r="IO1016" s="22"/>
      <c r="IP1016" s="22"/>
      <c r="IQ1016" s="22"/>
      <c r="IR1016" s="22"/>
      <c r="IS1016" s="22"/>
      <c r="IT1016" s="22"/>
      <c r="IU1016" s="22"/>
      <c r="IV1016" s="22"/>
      <c r="IW1016" s="22"/>
      <c r="IX1016" s="22"/>
      <c r="IY1016" s="22"/>
      <c r="IZ1016" s="22"/>
      <c r="JA1016" s="22"/>
      <c r="JB1016" s="22"/>
      <c r="JC1016" s="22"/>
      <c r="JD1016" s="22"/>
      <c r="JE1016" s="22"/>
      <c r="JF1016" s="22"/>
      <c r="JG1016" s="22"/>
      <c r="JH1016" s="22"/>
      <c r="JI1016" s="22"/>
      <c r="JJ1016" s="22"/>
      <c r="JK1016" s="22"/>
      <c r="JL1016" s="22"/>
      <c r="JM1016" s="22"/>
      <c r="JN1016" s="22"/>
      <c r="JO1016" s="22"/>
      <c r="JP1016" s="22"/>
      <c r="JQ1016" s="22"/>
      <c r="JR1016" s="22"/>
      <c r="JS1016" s="22"/>
      <c r="JT1016" s="22"/>
      <c r="JU1016" s="22"/>
      <c r="JV1016" s="22"/>
      <c r="JW1016" s="22"/>
      <c r="JX1016" s="22"/>
      <c r="JY1016" s="22"/>
      <c r="JZ1016" s="22"/>
      <c r="KA1016" s="22"/>
      <c r="KB1016" s="22"/>
      <c r="KC1016" s="22"/>
      <c r="KD1016" s="22"/>
      <c r="KE1016" s="22"/>
      <c r="KF1016" s="22"/>
      <c r="KG1016" s="22"/>
      <c r="KH1016" s="22"/>
      <c r="KI1016" s="22"/>
      <c r="KJ1016" s="22"/>
      <c r="KK1016" s="22"/>
      <c r="KL1016" s="22"/>
      <c r="KM1016" s="22"/>
      <c r="KN1016" s="22"/>
      <c r="KO1016" s="22"/>
      <c r="KP1016" s="22"/>
      <c r="KQ1016" s="22"/>
      <c r="KR1016" s="22"/>
      <c r="KS1016" s="22"/>
      <c r="KT1016" s="22"/>
      <c r="KU1016" s="22"/>
      <c r="KV1016" s="22"/>
      <c r="KW1016" s="22"/>
      <c r="KX1016" s="22"/>
      <c r="KY1016" s="22"/>
      <c r="KZ1016" s="22"/>
      <c r="LA1016" s="22"/>
      <c r="LB1016" s="22"/>
      <c r="LC1016" s="22"/>
      <c r="LD1016" s="22"/>
      <c r="LE1016" s="22"/>
      <c r="LF1016" s="22"/>
      <c r="LG1016" s="22"/>
      <c r="LH1016" s="22"/>
      <c r="LI1016" s="22"/>
      <c r="LJ1016" s="22"/>
      <c r="LK1016" s="22"/>
      <c r="LL1016" s="22"/>
      <c r="LM1016" s="22"/>
      <c r="LN1016" s="22"/>
      <c r="LO1016" s="22"/>
      <c r="LP1016" s="22"/>
      <c r="LQ1016" s="22"/>
      <c r="LR1016" s="22"/>
      <c r="LS1016" s="22"/>
      <c r="LT1016" s="22"/>
      <c r="LU1016" s="22"/>
      <c r="LV1016" s="22"/>
      <c r="LW1016" s="22"/>
      <c r="LX1016" s="22"/>
      <c r="LY1016" s="22"/>
      <c r="LZ1016" s="22"/>
      <c r="MA1016" s="22"/>
      <c r="MB1016" s="22"/>
      <c r="MC1016" s="22"/>
      <c r="MD1016" s="22"/>
      <c r="ME1016" s="22"/>
      <c r="MF1016" s="22"/>
      <c r="MG1016" s="22"/>
      <c r="MH1016" s="22"/>
      <c r="MI1016" s="22"/>
      <c r="MJ1016" s="22"/>
      <c r="MK1016" s="22"/>
      <c r="ML1016" s="22"/>
      <c r="MM1016" s="22"/>
      <c r="MN1016" s="22"/>
      <c r="MO1016" s="22"/>
      <c r="MP1016" s="22"/>
      <c r="MQ1016" s="22"/>
      <c r="MR1016" s="22"/>
      <c r="MS1016" s="22"/>
      <c r="MT1016" s="22"/>
      <c r="MU1016" s="22"/>
      <c r="MV1016" s="22"/>
      <c r="MW1016" s="22"/>
      <c r="MX1016" s="22"/>
      <c r="MY1016" s="22"/>
      <c r="MZ1016" s="22"/>
      <c r="NA1016" s="22"/>
      <c r="NB1016" s="22"/>
      <c r="NC1016" s="22"/>
      <c r="ND1016" s="22"/>
      <c r="NE1016" s="22"/>
      <c r="NF1016" s="22"/>
      <c r="NG1016" s="22"/>
      <c r="NH1016" s="22"/>
      <c r="NI1016" s="22"/>
      <c r="NJ1016" s="22"/>
      <c r="NK1016" s="22"/>
      <c r="NL1016" s="22"/>
      <c r="NM1016" s="22"/>
      <c r="NN1016" s="22"/>
      <c r="NO1016" s="22"/>
      <c r="NP1016" s="22"/>
      <c r="NQ1016" s="22"/>
      <c r="NR1016" s="22"/>
      <c r="NS1016" s="22"/>
      <c r="NT1016" s="22"/>
      <c r="NU1016" s="22"/>
      <c r="NV1016" s="22"/>
      <c r="NW1016" s="22"/>
      <c r="NX1016" s="22"/>
      <c r="NY1016" s="22"/>
      <c r="NZ1016" s="22"/>
      <c r="OA1016" s="22"/>
      <c r="OB1016" s="22"/>
      <c r="OC1016" s="22"/>
      <c r="OD1016" s="22"/>
      <c r="OE1016" s="22"/>
      <c r="OF1016" s="22"/>
      <c r="OG1016" s="22"/>
      <c r="OH1016" s="22"/>
      <c r="OI1016" s="22"/>
      <c r="OJ1016" s="22"/>
      <c r="OK1016" s="22"/>
      <c r="OL1016" s="22"/>
      <c r="OM1016" s="22"/>
      <c r="ON1016" s="22"/>
      <c r="OO1016" s="22"/>
      <c r="OP1016" s="22"/>
      <c r="OQ1016" s="22"/>
      <c r="OR1016" s="22"/>
      <c r="OS1016" s="22"/>
      <c r="OT1016" s="22"/>
      <c r="OU1016" s="22"/>
      <c r="OV1016" s="22"/>
      <c r="OW1016" s="22"/>
      <c r="OX1016" s="22"/>
      <c r="OY1016" s="22"/>
      <c r="OZ1016" s="22"/>
      <c r="PA1016" s="22"/>
      <c r="PB1016" s="22"/>
      <c r="PC1016" s="22"/>
      <c r="PD1016" s="22"/>
      <c r="PE1016" s="22"/>
      <c r="PF1016" s="22"/>
      <c r="PG1016" s="22"/>
      <c r="PH1016" s="22"/>
      <c r="PI1016" s="22"/>
      <c r="PJ1016" s="22"/>
      <c r="PK1016" s="22"/>
      <c r="PL1016" s="22"/>
      <c r="PM1016" s="22"/>
      <c r="PN1016" s="22"/>
      <c r="PO1016" s="22"/>
      <c r="PP1016" s="22"/>
      <c r="PQ1016" s="22"/>
      <c r="PR1016" s="22"/>
      <c r="PS1016" s="22"/>
      <c r="PT1016" s="22"/>
      <c r="PU1016" s="22"/>
      <c r="PV1016" s="22"/>
      <c r="PW1016" s="22"/>
      <c r="PX1016" s="22"/>
      <c r="PY1016" s="22"/>
      <c r="PZ1016" s="22"/>
      <c r="QA1016" s="22"/>
      <c r="QB1016" s="22"/>
      <c r="QC1016" s="22"/>
      <c r="QD1016" s="22"/>
      <c r="QE1016" s="22"/>
      <c r="QF1016" s="22"/>
      <c r="QG1016" s="22"/>
      <c r="QH1016" s="22"/>
      <c r="QI1016" s="22"/>
      <c r="QJ1016" s="22"/>
      <c r="QK1016" s="22"/>
      <c r="QL1016" s="22"/>
      <c r="QM1016" s="22"/>
      <c r="QN1016" s="22"/>
      <c r="QO1016" s="22"/>
      <c r="QP1016" s="22"/>
      <c r="QQ1016" s="22"/>
      <c r="QR1016" s="22"/>
      <c r="QS1016" s="22"/>
      <c r="QT1016" s="22"/>
      <c r="QU1016" s="22"/>
      <c r="QV1016" s="22"/>
      <c r="QW1016" s="22"/>
      <c r="QX1016" s="22"/>
      <c r="QY1016" s="22"/>
      <c r="QZ1016" s="22"/>
      <c r="RA1016" s="22"/>
      <c r="RB1016" s="22"/>
      <c r="RC1016" s="22"/>
      <c r="RD1016" s="22"/>
      <c r="RE1016" s="22"/>
      <c r="RF1016" s="22"/>
      <c r="RG1016" s="22"/>
      <c r="RH1016" s="22"/>
      <c r="RI1016" s="22"/>
      <c r="RJ1016" s="22"/>
      <c r="RK1016" s="22"/>
      <c r="RL1016" s="22"/>
      <c r="RM1016" s="22"/>
      <c r="RN1016" s="22"/>
      <c r="RO1016" s="22"/>
      <c r="RP1016" s="22"/>
      <c r="RQ1016" s="22"/>
      <c r="RR1016" s="22"/>
      <c r="RS1016" s="22"/>
      <c r="RT1016" s="22"/>
      <c r="RU1016" s="22"/>
      <c r="RV1016" s="22"/>
      <c r="RW1016" s="22"/>
      <c r="RX1016" s="22"/>
      <c r="RY1016" s="22"/>
      <c r="RZ1016" s="22"/>
      <c r="SA1016" s="22"/>
      <c r="SB1016" s="22"/>
      <c r="SC1016" s="22"/>
      <c r="SD1016" s="22"/>
      <c r="SE1016" s="22"/>
      <c r="SF1016" s="22"/>
      <c r="SG1016" s="22"/>
      <c r="SH1016" s="22"/>
      <c r="SI1016" s="22"/>
      <c r="SJ1016" s="22"/>
      <c r="SK1016" s="22"/>
      <c r="SL1016" s="22"/>
      <c r="SM1016" s="22"/>
      <c r="SN1016" s="22"/>
      <c r="SO1016" s="22"/>
      <c r="SP1016" s="22"/>
      <c r="SQ1016" s="22"/>
      <c r="SR1016" s="22"/>
      <c r="SS1016" s="22"/>
      <c r="ST1016" s="22"/>
      <c r="SU1016" s="22"/>
      <c r="SV1016" s="22"/>
      <c r="SW1016" s="22"/>
      <c r="SX1016" s="22"/>
      <c r="SY1016" s="22"/>
      <c r="SZ1016" s="22"/>
      <c r="TA1016" s="22"/>
      <c r="TB1016" s="22"/>
      <c r="TC1016" s="22"/>
      <c r="TD1016" s="22"/>
      <c r="TE1016" s="22"/>
      <c r="TF1016" s="22"/>
      <c r="TG1016" s="22"/>
      <c r="TH1016" s="22"/>
      <c r="TI1016" s="22"/>
      <c r="TJ1016" s="22"/>
      <c r="TK1016" s="22"/>
      <c r="TL1016" s="22"/>
      <c r="TM1016" s="22"/>
      <c r="TN1016" s="22"/>
      <c r="TO1016" s="22"/>
      <c r="TP1016" s="22"/>
      <c r="TQ1016" s="22"/>
      <c r="TR1016" s="22"/>
      <c r="TS1016" s="22"/>
      <c r="TT1016" s="22"/>
      <c r="TU1016" s="22"/>
      <c r="TV1016" s="22"/>
      <c r="TW1016" s="22"/>
      <c r="TX1016" s="22"/>
      <c r="TY1016" s="22"/>
      <c r="TZ1016" s="22"/>
      <c r="UA1016" s="22"/>
      <c r="UB1016" s="22"/>
      <c r="UC1016" s="22"/>
      <c r="UD1016" s="22"/>
      <c r="UE1016" s="22"/>
      <c r="UF1016" s="22"/>
      <c r="UG1016" s="23"/>
    </row>
    <row r="1017" spans="1:553" ht="51" customHeight="1">
      <c r="A1017" s="356"/>
      <c r="B1017" s="385">
        <v>157</v>
      </c>
      <c r="C1017" s="1388" t="s">
        <v>585</v>
      </c>
      <c r="D1017" s="1389"/>
      <c r="E1017" s="1389"/>
      <c r="F1017" s="1390"/>
      <c r="G1017" s="386" t="s">
        <v>113</v>
      </c>
      <c r="H1017" s="370"/>
      <c r="I1017" s="417">
        <v>30</v>
      </c>
      <c r="J1017" s="368">
        <v>200000</v>
      </c>
      <c r="K1017" s="371"/>
      <c r="L1017" s="391">
        <f t="shared" si="150"/>
        <v>6000000</v>
      </c>
      <c r="M1017" s="395"/>
      <c r="N1017" s="395"/>
      <c r="O1017" s="366"/>
      <c r="P1017" s="396"/>
      <c r="Q1017" s="473"/>
      <c r="R1017" s="1039"/>
      <c r="S1017" s="308"/>
      <c r="T1017" s="308"/>
      <c r="U1017" s="308"/>
      <c r="V1017" s="308"/>
      <c r="W1017" s="308"/>
      <c r="X1017" s="308"/>
      <c r="Y1017" s="308"/>
      <c r="Z1017" s="604"/>
      <c r="AA1017" s="308"/>
      <c r="AB1017" s="308"/>
      <c r="AC1017" s="373"/>
      <c r="AD1017" s="373"/>
      <c r="AE1017" s="373"/>
      <c r="AF1017" s="373"/>
      <c r="AG1017" s="389"/>
      <c r="AH1017" s="389"/>
      <c r="AI1017" s="389"/>
      <c r="AJ1017" s="389"/>
      <c r="AK1017" s="389"/>
      <c r="AL1017" s="100"/>
      <c r="AM1017" s="27"/>
      <c r="AN1017" s="27"/>
      <c r="AO1017" s="27"/>
      <c r="AP1017" s="27"/>
      <c r="AQ1017" s="22"/>
      <c r="AR1017" s="22"/>
      <c r="AS1017" s="22"/>
      <c r="AT1017" s="22"/>
      <c r="AU1017" s="22"/>
      <c r="AV1017" s="22"/>
      <c r="AW1017" s="22"/>
      <c r="AX1017" s="22"/>
      <c r="AY1017" s="22"/>
      <c r="AZ1017" s="22"/>
      <c r="BA1017" s="22"/>
      <c r="BB1017" s="22"/>
      <c r="BC1017" s="22"/>
      <c r="BD1017" s="22"/>
      <c r="BE1017" s="22"/>
      <c r="BF1017" s="22"/>
      <c r="BG1017" s="22"/>
      <c r="BH1017" s="22"/>
      <c r="BI1017" s="22"/>
      <c r="BJ1017" s="22"/>
      <c r="BK1017" s="22"/>
      <c r="BL1017" s="22"/>
      <c r="BM1017" s="22"/>
      <c r="BN1017" s="22"/>
      <c r="BO1017" s="22"/>
      <c r="BP1017" s="22"/>
      <c r="BQ1017" s="22"/>
      <c r="BR1017" s="22"/>
      <c r="BS1017" s="22"/>
      <c r="BT1017" s="22"/>
      <c r="BU1017" s="22"/>
      <c r="BV1017" s="22"/>
      <c r="BW1017" s="22"/>
      <c r="BX1017" s="22"/>
      <c r="BY1017" s="22"/>
      <c r="BZ1017" s="22"/>
      <c r="CA1017" s="22"/>
      <c r="CB1017" s="22"/>
      <c r="CC1017" s="22"/>
      <c r="CD1017" s="22"/>
      <c r="CE1017" s="22"/>
      <c r="CF1017" s="22"/>
      <c r="CG1017" s="22"/>
      <c r="CH1017" s="22"/>
      <c r="CI1017" s="22"/>
      <c r="CJ1017" s="22"/>
      <c r="CK1017" s="22"/>
      <c r="CL1017" s="22"/>
      <c r="CM1017" s="22"/>
      <c r="CN1017" s="22"/>
      <c r="CO1017" s="22"/>
      <c r="CP1017" s="22"/>
      <c r="CQ1017" s="22"/>
      <c r="CR1017" s="22"/>
      <c r="CS1017" s="22"/>
      <c r="CT1017" s="22"/>
      <c r="CU1017" s="22"/>
      <c r="CV1017" s="22"/>
      <c r="CW1017" s="22"/>
      <c r="CX1017" s="22"/>
      <c r="CY1017" s="22"/>
      <c r="CZ1017" s="22"/>
      <c r="DA1017" s="22"/>
      <c r="DB1017" s="22"/>
      <c r="DC1017" s="22"/>
      <c r="DD1017" s="22"/>
      <c r="DE1017" s="22"/>
      <c r="DF1017" s="22"/>
      <c r="DG1017" s="22"/>
      <c r="DH1017" s="22"/>
      <c r="DI1017" s="22"/>
      <c r="DJ1017" s="22"/>
      <c r="DK1017" s="22"/>
      <c r="DL1017" s="22"/>
      <c r="DM1017" s="22"/>
      <c r="DN1017" s="22"/>
      <c r="DO1017" s="22"/>
      <c r="DP1017" s="22"/>
      <c r="DQ1017" s="22"/>
      <c r="DR1017" s="22"/>
      <c r="DS1017" s="22"/>
      <c r="DT1017" s="22"/>
      <c r="DU1017" s="22"/>
      <c r="DV1017" s="22"/>
      <c r="DW1017" s="22"/>
      <c r="DX1017" s="22"/>
      <c r="DY1017" s="22"/>
      <c r="DZ1017" s="22"/>
      <c r="EA1017" s="22"/>
      <c r="EB1017" s="22"/>
      <c r="EC1017" s="22"/>
      <c r="ED1017" s="22"/>
      <c r="EE1017" s="22"/>
      <c r="EF1017" s="22"/>
      <c r="EG1017" s="22"/>
      <c r="EH1017" s="22"/>
      <c r="EI1017" s="22"/>
      <c r="EJ1017" s="22"/>
      <c r="EK1017" s="22"/>
      <c r="EL1017" s="22"/>
      <c r="EM1017" s="22"/>
      <c r="EN1017" s="22"/>
      <c r="EO1017" s="22"/>
      <c r="EP1017" s="22"/>
      <c r="EQ1017" s="22"/>
      <c r="ER1017" s="22"/>
      <c r="ES1017" s="22"/>
      <c r="ET1017" s="22"/>
      <c r="EU1017" s="22"/>
      <c r="EV1017" s="22"/>
      <c r="EW1017" s="22"/>
      <c r="EX1017" s="22"/>
      <c r="EY1017" s="22"/>
      <c r="EZ1017" s="22"/>
      <c r="FA1017" s="22"/>
      <c r="FB1017" s="22"/>
      <c r="FC1017" s="22"/>
      <c r="FD1017" s="22"/>
      <c r="FE1017" s="22"/>
      <c r="FF1017" s="22"/>
      <c r="FG1017" s="22"/>
      <c r="FH1017" s="22"/>
      <c r="FI1017" s="22"/>
      <c r="FJ1017" s="22"/>
      <c r="FK1017" s="22"/>
      <c r="FL1017" s="22"/>
      <c r="FM1017" s="22"/>
      <c r="FN1017" s="22"/>
      <c r="FO1017" s="22"/>
      <c r="FP1017" s="22"/>
      <c r="FQ1017" s="22"/>
      <c r="FR1017" s="22"/>
      <c r="FS1017" s="22"/>
      <c r="FT1017" s="22"/>
      <c r="FU1017" s="22"/>
      <c r="FV1017" s="22"/>
      <c r="FW1017" s="22"/>
      <c r="FX1017" s="22"/>
      <c r="FY1017" s="22"/>
      <c r="FZ1017" s="22"/>
      <c r="GA1017" s="22"/>
      <c r="GB1017" s="22"/>
      <c r="GC1017" s="22"/>
      <c r="GD1017" s="22"/>
      <c r="GE1017" s="22"/>
      <c r="GF1017" s="22"/>
      <c r="GG1017" s="22"/>
      <c r="GH1017" s="22"/>
      <c r="GI1017" s="22"/>
      <c r="GJ1017" s="22"/>
      <c r="GK1017" s="22"/>
      <c r="GL1017" s="22"/>
      <c r="GM1017" s="22"/>
      <c r="GN1017" s="22"/>
      <c r="GO1017" s="22"/>
      <c r="GP1017" s="22"/>
      <c r="GQ1017" s="22"/>
      <c r="GR1017" s="22"/>
      <c r="GS1017" s="22"/>
      <c r="GT1017" s="22"/>
      <c r="GU1017" s="22"/>
      <c r="GV1017" s="22"/>
      <c r="GW1017" s="22"/>
      <c r="GX1017" s="22"/>
      <c r="GY1017" s="22"/>
      <c r="GZ1017" s="22"/>
      <c r="HA1017" s="22"/>
      <c r="HB1017" s="22"/>
      <c r="HC1017" s="22"/>
      <c r="HD1017" s="22"/>
      <c r="HE1017" s="22"/>
      <c r="HF1017" s="22"/>
      <c r="HG1017" s="22"/>
      <c r="HH1017" s="22"/>
      <c r="HI1017" s="22"/>
      <c r="HJ1017" s="22"/>
      <c r="HK1017" s="22"/>
      <c r="HL1017" s="22"/>
      <c r="HM1017" s="22"/>
      <c r="HN1017" s="22"/>
      <c r="HO1017" s="22"/>
      <c r="HP1017" s="22"/>
      <c r="HQ1017" s="22"/>
      <c r="HR1017" s="22"/>
      <c r="HS1017" s="22"/>
      <c r="HT1017" s="22"/>
      <c r="HU1017" s="22"/>
      <c r="HV1017" s="22"/>
      <c r="HW1017" s="22"/>
      <c r="HX1017" s="22"/>
      <c r="HY1017" s="22"/>
      <c r="HZ1017" s="22"/>
      <c r="IA1017" s="22"/>
      <c r="IB1017" s="22"/>
      <c r="IC1017" s="22"/>
      <c r="ID1017" s="22"/>
      <c r="IE1017" s="22"/>
      <c r="IF1017" s="22"/>
      <c r="IG1017" s="22"/>
      <c r="IH1017" s="22"/>
      <c r="II1017" s="22"/>
      <c r="IJ1017" s="22"/>
      <c r="IK1017" s="22"/>
      <c r="IL1017" s="22"/>
      <c r="IM1017" s="22"/>
      <c r="IN1017" s="22"/>
      <c r="IO1017" s="22"/>
      <c r="IP1017" s="22"/>
      <c r="IQ1017" s="22"/>
      <c r="IR1017" s="22"/>
      <c r="IS1017" s="22"/>
      <c r="IT1017" s="22"/>
      <c r="IU1017" s="22"/>
      <c r="IV1017" s="22"/>
      <c r="IW1017" s="22"/>
      <c r="IX1017" s="22"/>
      <c r="IY1017" s="22"/>
      <c r="IZ1017" s="22"/>
      <c r="JA1017" s="22"/>
      <c r="JB1017" s="22"/>
      <c r="JC1017" s="22"/>
      <c r="JD1017" s="22"/>
      <c r="JE1017" s="22"/>
      <c r="JF1017" s="22"/>
      <c r="JG1017" s="22"/>
      <c r="JH1017" s="22"/>
      <c r="JI1017" s="22"/>
      <c r="JJ1017" s="22"/>
      <c r="JK1017" s="22"/>
      <c r="JL1017" s="22"/>
      <c r="JM1017" s="22"/>
      <c r="JN1017" s="22"/>
      <c r="JO1017" s="22"/>
      <c r="JP1017" s="22"/>
      <c r="JQ1017" s="22"/>
      <c r="JR1017" s="22"/>
      <c r="JS1017" s="22"/>
      <c r="JT1017" s="22"/>
      <c r="JU1017" s="22"/>
      <c r="JV1017" s="22"/>
      <c r="JW1017" s="22"/>
      <c r="JX1017" s="22"/>
      <c r="JY1017" s="22"/>
      <c r="JZ1017" s="22"/>
      <c r="KA1017" s="22"/>
      <c r="KB1017" s="22"/>
      <c r="KC1017" s="22"/>
      <c r="KD1017" s="22"/>
      <c r="KE1017" s="22"/>
      <c r="KF1017" s="22"/>
      <c r="KG1017" s="22"/>
      <c r="KH1017" s="22"/>
      <c r="KI1017" s="22"/>
      <c r="KJ1017" s="22"/>
      <c r="KK1017" s="22"/>
      <c r="KL1017" s="22"/>
      <c r="KM1017" s="22"/>
      <c r="KN1017" s="22"/>
      <c r="KO1017" s="22"/>
      <c r="KP1017" s="22"/>
      <c r="KQ1017" s="22"/>
      <c r="KR1017" s="22"/>
      <c r="KS1017" s="22"/>
      <c r="KT1017" s="22"/>
      <c r="KU1017" s="22"/>
      <c r="KV1017" s="22"/>
      <c r="KW1017" s="22"/>
      <c r="KX1017" s="22"/>
      <c r="KY1017" s="22"/>
      <c r="KZ1017" s="22"/>
      <c r="LA1017" s="22"/>
      <c r="LB1017" s="22"/>
      <c r="LC1017" s="22"/>
      <c r="LD1017" s="22"/>
      <c r="LE1017" s="22"/>
      <c r="LF1017" s="22"/>
      <c r="LG1017" s="22"/>
      <c r="LH1017" s="22"/>
      <c r="LI1017" s="22"/>
      <c r="LJ1017" s="22"/>
      <c r="LK1017" s="22"/>
      <c r="LL1017" s="22"/>
      <c r="LM1017" s="22"/>
      <c r="LN1017" s="22"/>
      <c r="LO1017" s="22"/>
      <c r="LP1017" s="22"/>
      <c r="LQ1017" s="22"/>
      <c r="LR1017" s="22"/>
      <c r="LS1017" s="22"/>
      <c r="LT1017" s="22"/>
      <c r="LU1017" s="22"/>
      <c r="LV1017" s="22"/>
      <c r="LW1017" s="22"/>
      <c r="LX1017" s="22"/>
      <c r="LY1017" s="22"/>
      <c r="LZ1017" s="22"/>
      <c r="MA1017" s="22"/>
      <c r="MB1017" s="22"/>
      <c r="MC1017" s="22"/>
      <c r="MD1017" s="22"/>
      <c r="ME1017" s="22"/>
      <c r="MF1017" s="22"/>
      <c r="MG1017" s="22"/>
      <c r="MH1017" s="22"/>
      <c r="MI1017" s="22"/>
      <c r="MJ1017" s="22"/>
      <c r="MK1017" s="22"/>
      <c r="ML1017" s="22"/>
      <c r="MM1017" s="22"/>
      <c r="MN1017" s="22"/>
      <c r="MO1017" s="22"/>
      <c r="MP1017" s="22"/>
      <c r="MQ1017" s="22"/>
      <c r="MR1017" s="22"/>
      <c r="MS1017" s="22"/>
      <c r="MT1017" s="22"/>
      <c r="MU1017" s="22"/>
      <c r="MV1017" s="22"/>
      <c r="MW1017" s="22"/>
      <c r="MX1017" s="22"/>
      <c r="MY1017" s="22"/>
      <c r="MZ1017" s="22"/>
      <c r="NA1017" s="22"/>
      <c r="NB1017" s="22"/>
      <c r="NC1017" s="22"/>
      <c r="ND1017" s="22"/>
      <c r="NE1017" s="22"/>
      <c r="NF1017" s="22"/>
      <c r="NG1017" s="22"/>
      <c r="NH1017" s="22"/>
      <c r="NI1017" s="22"/>
      <c r="NJ1017" s="22"/>
      <c r="NK1017" s="22"/>
      <c r="NL1017" s="22"/>
      <c r="NM1017" s="22"/>
      <c r="NN1017" s="22"/>
      <c r="NO1017" s="22"/>
      <c r="NP1017" s="22"/>
      <c r="NQ1017" s="22"/>
      <c r="NR1017" s="22"/>
      <c r="NS1017" s="22"/>
      <c r="NT1017" s="22"/>
      <c r="NU1017" s="22"/>
      <c r="NV1017" s="22"/>
      <c r="NW1017" s="22"/>
      <c r="NX1017" s="22"/>
      <c r="NY1017" s="22"/>
      <c r="NZ1017" s="22"/>
      <c r="OA1017" s="22"/>
      <c r="OB1017" s="22"/>
      <c r="OC1017" s="22"/>
      <c r="OD1017" s="22"/>
      <c r="OE1017" s="22"/>
      <c r="OF1017" s="22"/>
      <c r="OG1017" s="22"/>
      <c r="OH1017" s="22"/>
      <c r="OI1017" s="22"/>
      <c r="OJ1017" s="22"/>
      <c r="OK1017" s="22"/>
      <c r="OL1017" s="22"/>
      <c r="OM1017" s="22"/>
      <c r="ON1017" s="22"/>
      <c r="OO1017" s="22"/>
      <c r="OP1017" s="22"/>
      <c r="OQ1017" s="22"/>
      <c r="OR1017" s="22"/>
      <c r="OS1017" s="22"/>
      <c r="OT1017" s="22"/>
      <c r="OU1017" s="22"/>
      <c r="OV1017" s="22"/>
      <c r="OW1017" s="22"/>
      <c r="OX1017" s="22"/>
      <c r="OY1017" s="22"/>
      <c r="OZ1017" s="22"/>
      <c r="PA1017" s="22"/>
      <c r="PB1017" s="22"/>
      <c r="PC1017" s="22"/>
      <c r="PD1017" s="22"/>
      <c r="PE1017" s="22"/>
      <c r="PF1017" s="22"/>
      <c r="PG1017" s="22"/>
      <c r="PH1017" s="22"/>
      <c r="PI1017" s="22"/>
      <c r="PJ1017" s="22"/>
      <c r="PK1017" s="22"/>
      <c r="PL1017" s="22"/>
      <c r="PM1017" s="22"/>
      <c r="PN1017" s="22"/>
      <c r="PO1017" s="22"/>
      <c r="PP1017" s="22"/>
      <c r="PQ1017" s="22"/>
      <c r="PR1017" s="22"/>
      <c r="PS1017" s="22"/>
      <c r="PT1017" s="22"/>
      <c r="PU1017" s="22"/>
      <c r="PV1017" s="22"/>
      <c r="PW1017" s="22"/>
      <c r="PX1017" s="22"/>
      <c r="PY1017" s="22"/>
      <c r="PZ1017" s="22"/>
      <c r="QA1017" s="22"/>
      <c r="QB1017" s="22"/>
      <c r="QC1017" s="22"/>
      <c r="QD1017" s="22"/>
      <c r="QE1017" s="22"/>
      <c r="QF1017" s="22"/>
      <c r="QG1017" s="22"/>
      <c r="QH1017" s="22"/>
      <c r="QI1017" s="22"/>
      <c r="QJ1017" s="22"/>
      <c r="QK1017" s="22"/>
      <c r="QL1017" s="22"/>
      <c r="QM1017" s="22"/>
      <c r="QN1017" s="22"/>
      <c r="QO1017" s="22"/>
      <c r="QP1017" s="22"/>
      <c r="QQ1017" s="22"/>
      <c r="QR1017" s="22"/>
      <c r="QS1017" s="22"/>
      <c r="QT1017" s="22"/>
      <c r="QU1017" s="22"/>
      <c r="QV1017" s="22"/>
      <c r="QW1017" s="22"/>
      <c r="QX1017" s="22"/>
      <c r="QY1017" s="22"/>
      <c r="QZ1017" s="22"/>
      <c r="RA1017" s="22"/>
      <c r="RB1017" s="22"/>
      <c r="RC1017" s="22"/>
      <c r="RD1017" s="22"/>
      <c r="RE1017" s="22"/>
      <c r="RF1017" s="22"/>
      <c r="RG1017" s="22"/>
      <c r="RH1017" s="22"/>
      <c r="RI1017" s="22"/>
      <c r="RJ1017" s="22"/>
      <c r="RK1017" s="22"/>
      <c r="RL1017" s="22"/>
      <c r="RM1017" s="22"/>
      <c r="RN1017" s="22"/>
      <c r="RO1017" s="22"/>
      <c r="RP1017" s="22"/>
      <c r="RQ1017" s="22"/>
      <c r="RR1017" s="22"/>
      <c r="RS1017" s="22"/>
      <c r="RT1017" s="22"/>
      <c r="RU1017" s="22"/>
      <c r="RV1017" s="22"/>
      <c r="RW1017" s="22"/>
      <c r="RX1017" s="22"/>
      <c r="RY1017" s="22"/>
      <c r="RZ1017" s="22"/>
      <c r="SA1017" s="22"/>
      <c r="SB1017" s="22"/>
      <c r="SC1017" s="22"/>
      <c r="SD1017" s="22"/>
      <c r="SE1017" s="22"/>
      <c r="SF1017" s="22"/>
      <c r="SG1017" s="22"/>
      <c r="SH1017" s="22"/>
      <c r="SI1017" s="22"/>
      <c r="SJ1017" s="22"/>
      <c r="SK1017" s="22"/>
      <c r="SL1017" s="22"/>
      <c r="SM1017" s="22"/>
      <c r="SN1017" s="22"/>
      <c r="SO1017" s="22"/>
      <c r="SP1017" s="22"/>
      <c r="SQ1017" s="22"/>
      <c r="SR1017" s="22"/>
      <c r="SS1017" s="22"/>
      <c r="ST1017" s="22"/>
      <c r="SU1017" s="22"/>
      <c r="SV1017" s="22"/>
      <c r="SW1017" s="22"/>
      <c r="SX1017" s="22"/>
      <c r="SY1017" s="22"/>
      <c r="SZ1017" s="22"/>
      <c r="TA1017" s="22"/>
      <c r="TB1017" s="22"/>
      <c r="TC1017" s="22"/>
      <c r="TD1017" s="22"/>
      <c r="TE1017" s="22"/>
      <c r="TF1017" s="22"/>
      <c r="TG1017" s="22"/>
      <c r="TH1017" s="22"/>
      <c r="TI1017" s="22"/>
      <c r="TJ1017" s="22"/>
      <c r="TK1017" s="22"/>
      <c r="TL1017" s="22"/>
      <c r="TM1017" s="22"/>
      <c r="TN1017" s="22"/>
      <c r="TO1017" s="22"/>
      <c r="TP1017" s="22"/>
      <c r="TQ1017" s="22"/>
      <c r="TR1017" s="22"/>
      <c r="TS1017" s="22"/>
      <c r="TT1017" s="22"/>
      <c r="TU1017" s="22"/>
      <c r="TV1017" s="22"/>
      <c r="TW1017" s="22"/>
      <c r="TX1017" s="22"/>
      <c r="TY1017" s="22"/>
      <c r="TZ1017" s="22"/>
      <c r="UA1017" s="22"/>
      <c r="UB1017" s="22"/>
      <c r="UC1017" s="22"/>
      <c r="UD1017" s="22"/>
      <c r="UE1017" s="22"/>
      <c r="UF1017" s="22"/>
      <c r="UG1017" s="23"/>
    </row>
    <row r="1018" spans="1:553" s="236" customFormat="1" ht="27.75" customHeight="1">
      <c r="A1018" s="356" t="s">
        <v>15</v>
      </c>
      <c r="B1018" s="366" t="s">
        <v>39</v>
      </c>
      <c r="C1018" s="1404" t="s">
        <v>1417</v>
      </c>
      <c r="D1018" s="1389"/>
      <c r="E1018" s="1389"/>
      <c r="F1018" s="1390"/>
      <c r="G1018" s="386" t="s">
        <v>1394</v>
      </c>
      <c r="H1018" s="370"/>
      <c r="I1018" s="834">
        <f>1.5*1.5*1.5</f>
        <v>3.375</v>
      </c>
      <c r="J1018" s="368">
        <v>2943200</v>
      </c>
      <c r="K1018" s="371"/>
      <c r="L1018" s="391">
        <f>ROUND(PRODUCT(I1018:K1018),0)</f>
        <v>9933300</v>
      </c>
      <c r="M1018" s="395"/>
      <c r="N1018" s="395"/>
      <c r="O1018" s="366"/>
      <c r="P1018" s="396"/>
      <c r="Q1018" s="473"/>
      <c r="R1018" s="1039"/>
      <c r="S1018" s="1045"/>
      <c r="T1018" s="303"/>
      <c r="U1018" s="306"/>
      <c r="V1018" s="307"/>
      <c r="W1018" s="306"/>
      <c r="X1018" s="306"/>
      <c r="Y1018" s="306"/>
      <c r="Z1018" s="306"/>
      <c r="AA1018" s="306"/>
      <c r="AB1018" s="306"/>
      <c r="AC1018" s="449"/>
      <c r="AD1018" s="449"/>
      <c r="AE1018" s="449"/>
      <c r="AF1018" s="449"/>
      <c r="AG1018" s="452"/>
      <c r="AH1018" s="452"/>
      <c r="AI1018" s="452"/>
      <c r="AJ1018" s="452"/>
      <c r="AK1018" s="452"/>
      <c r="AL1018" s="242"/>
      <c r="AM1018" s="241"/>
      <c r="AN1018" s="241"/>
      <c r="AO1018" s="241"/>
      <c r="AP1018" s="241"/>
      <c r="AQ1018" s="238"/>
      <c r="AR1018" s="238"/>
      <c r="AS1018" s="238"/>
      <c r="AT1018" s="238"/>
      <c r="AU1018" s="238"/>
      <c r="AV1018" s="238"/>
      <c r="AW1018" s="238"/>
      <c r="AX1018" s="238"/>
      <c r="AY1018" s="238"/>
      <c r="AZ1018" s="238"/>
      <c r="BA1018" s="238"/>
      <c r="BB1018" s="238"/>
      <c r="BC1018" s="238"/>
      <c r="BD1018" s="238"/>
      <c r="BE1018" s="238"/>
      <c r="BF1018" s="238"/>
      <c r="BG1018" s="238"/>
      <c r="BH1018" s="238"/>
      <c r="BI1018" s="238"/>
      <c r="BJ1018" s="238"/>
      <c r="BK1018" s="238"/>
      <c r="BL1018" s="238"/>
      <c r="BM1018" s="239"/>
      <c r="BN1018" s="239"/>
      <c r="BO1018" s="239"/>
      <c r="BP1018" s="239"/>
      <c r="BQ1018" s="239"/>
      <c r="BR1018" s="239"/>
      <c r="BS1018" s="239"/>
      <c r="BT1018" s="239"/>
      <c r="BU1018" s="239"/>
      <c r="BV1018" s="239"/>
      <c r="BW1018" s="239"/>
      <c r="BX1018" s="239"/>
      <c r="BY1018" s="239"/>
      <c r="BZ1018" s="239"/>
      <c r="CA1018" s="239"/>
      <c r="CB1018" s="239"/>
      <c r="CC1018" s="239"/>
      <c r="CD1018" s="239"/>
      <c r="CE1018" s="239"/>
      <c r="CF1018" s="239"/>
      <c r="CG1018" s="239"/>
      <c r="CH1018" s="239"/>
      <c r="CI1018" s="239"/>
      <c r="CJ1018" s="239"/>
      <c r="CK1018" s="239"/>
      <c r="CL1018" s="239"/>
      <c r="CM1018" s="239"/>
      <c r="CN1018" s="239"/>
      <c r="CO1018" s="239"/>
      <c r="CP1018" s="239"/>
      <c r="CQ1018" s="239"/>
      <c r="CR1018" s="239"/>
      <c r="CS1018" s="239"/>
      <c r="CT1018" s="239"/>
      <c r="CU1018" s="239"/>
      <c r="CV1018" s="239"/>
      <c r="CW1018" s="239"/>
      <c r="CX1018" s="239"/>
      <c r="CY1018" s="239"/>
      <c r="CZ1018" s="239"/>
      <c r="DA1018" s="239"/>
      <c r="DB1018" s="239"/>
      <c r="DC1018" s="239"/>
      <c r="DD1018" s="239"/>
      <c r="DE1018" s="239"/>
      <c r="DF1018" s="239"/>
      <c r="DG1018" s="239"/>
      <c r="DH1018" s="239"/>
      <c r="DI1018" s="239"/>
      <c r="DJ1018" s="239"/>
      <c r="DK1018" s="239"/>
      <c r="DL1018" s="239"/>
      <c r="DM1018" s="239"/>
      <c r="DN1018" s="239"/>
      <c r="DO1018" s="239"/>
      <c r="DP1018" s="239"/>
      <c r="DQ1018" s="239"/>
      <c r="DR1018" s="239"/>
      <c r="DS1018" s="239"/>
      <c r="DT1018" s="239"/>
      <c r="DU1018" s="239"/>
      <c r="DV1018" s="239"/>
      <c r="DW1018" s="239"/>
      <c r="DX1018" s="239"/>
      <c r="DY1018" s="239"/>
      <c r="DZ1018" s="239"/>
      <c r="EA1018" s="239"/>
      <c r="EB1018" s="239"/>
      <c r="EC1018" s="239"/>
      <c r="ED1018" s="239"/>
      <c r="EE1018" s="239"/>
      <c r="EF1018" s="239"/>
      <c r="EG1018" s="239"/>
      <c r="EH1018" s="239"/>
      <c r="EI1018" s="239"/>
      <c r="EJ1018" s="239"/>
      <c r="EK1018" s="239"/>
      <c r="EL1018" s="239"/>
      <c r="EM1018" s="239"/>
      <c r="EN1018" s="239"/>
      <c r="EO1018" s="239"/>
      <c r="EP1018" s="239"/>
      <c r="EQ1018" s="239"/>
      <c r="ER1018" s="239"/>
      <c r="ES1018" s="239"/>
      <c r="ET1018" s="239"/>
      <c r="EU1018" s="239"/>
      <c r="EV1018" s="239"/>
      <c r="EW1018" s="239"/>
      <c r="EX1018" s="239"/>
      <c r="EY1018" s="239"/>
      <c r="EZ1018" s="239"/>
      <c r="FA1018" s="239"/>
      <c r="FB1018" s="239"/>
      <c r="FC1018" s="239"/>
      <c r="FD1018" s="239"/>
      <c r="FE1018" s="239"/>
      <c r="FF1018" s="239"/>
      <c r="FG1018" s="239"/>
      <c r="FH1018" s="239"/>
      <c r="FI1018" s="239"/>
      <c r="FJ1018" s="239"/>
      <c r="FK1018" s="239"/>
      <c r="FL1018" s="239"/>
      <c r="FM1018" s="239"/>
      <c r="FN1018" s="239"/>
      <c r="FO1018" s="239"/>
      <c r="FP1018" s="239"/>
      <c r="FQ1018" s="239"/>
      <c r="FR1018" s="239"/>
      <c r="FS1018" s="239"/>
      <c r="FT1018" s="239"/>
      <c r="FU1018" s="239"/>
      <c r="FV1018" s="239"/>
      <c r="FW1018" s="239"/>
      <c r="FX1018" s="239"/>
      <c r="FY1018" s="239"/>
      <c r="FZ1018" s="239"/>
      <c r="GA1018" s="239"/>
      <c r="GB1018" s="239"/>
      <c r="GC1018" s="239"/>
      <c r="GD1018" s="239"/>
      <c r="GE1018" s="239"/>
      <c r="GF1018" s="239"/>
      <c r="GG1018" s="239"/>
      <c r="GH1018" s="239"/>
      <c r="GI1018" s="239"/>
      <c r="GJ1018" s="239"/>
      <c r="GK1018" s="239"/>
      <c r="GL1018" s="239"/>
      <c r="GM1018" s="239"/>
      <c r="GN1018" s="239"/>
      <c r="GO1018" s="239"/>
      <c r="GP1018" s="239"/>
      <c r="GQ1018" s="239"/>
      <c r="GR1018" s="239"/>
      <c r="GS1018" s="239"/>
      <c r="GT1018" s="239"/>
      <c r="GU1018" s="239"/>
      <c r="GV1018" s="239"/>
      <c r="GW1018" s="239"/>
      <c r="GX1018" s="239"/>
      <c r="GY1018" s="239"/>
      <c r="GZ1018" s="239"/>
      <c r="HA1018" s="239"/>
      <c r="HB1018" s="239"/>
      <c r="HC1018" s="239"/>
      <c r="HD1018" s="239"/>
      <c r="HE1018" s="239"/>
      <c r="HF1018" s="239"/>
      <c r="HG1018" s="239"/>
      <c r="HH1018" s="239"/>
      <c r="HI1018" s="239"/>
      <c r="HJ1018" s="239"/>
      <c r="HK1018" s="239"/>
      <c r="HL1018" s="239"/>
      <c r="HM1018" s="239"/>
      <c r="HN1018" s="239"/>
      <c r="HO1018" s="239"/>
      <c r="HP1018" s="239"/>
      <c r="HQ1018" s="239"/>
      <c r="HR1018" s="239"/>
      <c r="HS1018" s="239"/>
      <c r="HT1018" s="239"/>
      <c r="HU1018" s="239"/>
      <c r="HV1018" s="239"/>
      <c r="HW1018" s="239"/>
      <c r="HX1018" s="239"/>
      <c r="HY1018" s="239"/>
      <c r="HZ1018" s="239"/>
      <c r="IA1018" s="239"/>
      <c r="IB1018" s="239"/>
      <c r="IC1018" s="239"/>
      <c r="ID1018" s="239"/>
      <c r="IE1018" s="239"/>
      <c r="IF1018" s="239"/>
      <c r="IG1018" s="239"/>
      <c r="IH1018" s="239"/>
      <c r="II1018" s="239"/>
      <c r="IJ1018" s="239"/>
      <c r="IK1018" s="239"/>
      <c r="IL1018" s="239"/>
      <c r="IM1018" s="239"/>
      <c r="IN1018" s="239"/>
      <c r="IO1018" s="239"/>
      <c r="IP1018" s="239"/>
      <c r="IQ1018" s="239"/>
      <c r="IR1018" s="239"/>
      <c r="IS1018" s="239"/>
      <c r="IT1018" s="239"/>
      <c r="IU1018" s="239"/>
      <c r="IV1018" s="239"/>
      <c r="IW1018" s="239"/>
      <c r="IX1018" s="239"/>
      <c r="IY1018" s="239"/>
      <c r="IZ1018" s="239"/>
      <c r="JA1018" s="239"/>
      <c r="JB1018" s="239"/>
      <c r="JC1018" s="239"/>
      <c r="JD1018" s="239"/>
      <c r="JE1018" s="239"/>
      <c r="JF1018" s="239"/>
      <c r="JG1018" s="239"/>
      <c r="JH1018" s="239"/>
      <c r="JI1018" s="239"/>
      <c r="JJ1018" s="239"/>
      <c r="JK1018" s="239"/>
      <c r="JL1018" s="239"/>
      <c r="JM1018" s="239"/>
      <c r="JN1018" s="239"/>
      <c r="JO1018" s="239"/>
      <c r="JP1018" s="239"/>
      <c r="JQ1018" s="239"/>
      <c r="JR1018" s="239"/>
      <c r="JS1018" s="239"/>
      <c r="JT1018" s="239"/>
      <c r="JU1018" s="239"/>
      <c r="JV1018" s="239"/>
      <c r="JW1018" s="239"/>
      <c r="JX1018" s="239"/>
      <c r="JY1018" s="239"/>
      <c r="JZ1018" s="239"/>
      <c r="KA1018" s="239"/>
      <c r="KB1018" s="239"/>
      <c r="KC1018" s="239"/>
      <c r="KD1018" s="239"/>
      <c r="KE1018" s="239"/>
      <c r="KF1018" s="239"/>
      <c r="KG1018" s="239"/>
      <c r="KH1018" s="239"/>
      <c r="KI1018" s="239"/>
      <c r="KJ1018" s="239"/>
      <c r="KK1018" s="239"/>
      <c r="KL1018" s="239"/>
      <c r="KM1018" s="239"/>
      <c r="KN1018" s="239"/>
      <c r="KO1018" s="239"/>
      <c r="KP1018" s="239"/>
      <c r="KQ1018" s="239"/>
      <c r="KR1018" s="239"/>
      <c r="KS1018" s="239"/>
      <c r="KT1018" s="239"/>
      <c r="KU1018" s="239"/>
      <c r="KV1018" s="239"/>
      <c r="KW1018" s="239"/>
      <c r="KX1018" s="239"/>
      <c r="KY1018" s="239"/>
      <c r="KZ1018" s="239"/>
      <c r="LA1018" s="239"/>
      <c r="LB1018" s="239"/>
      <c r="LC1018" s="239"/>
      <c r="LD1018" s="239"/>
      <c r="LE1018" s="239"/>
      <c r="LF1018" s="239"/>
      <c r="LG1018" s="239"/>
      <c r="LH1018" s="239"/>
      <c r="LI1018" s="239"/>
      <c r="LJ1018" s="239"/>
      <c r="LK1018" s="239"/>
      <c r="LL1018" s="239"/>
      <c r="LM1018" s="239"/>
      <c r="LN1018" s="239"/>
      <c r="LO1018" s="239"/>
      <c r="LP1018" s="239"/>
      <c r="LQ1018" s="239"/>
      <c r="LR1018" s="239"/>
      <c r="LS1018" s="239"/>
      <c r="LT1018" s="239"/>
      <c r="LU1018" s="239"/>
      <c r="LV1018" s="239"/>
      <c r="LW1018" s="239"/>
      <c r="LX1018" s="239"/>
      <c r="LY1018" s="239"/>
      <c r="LZ1018" s="239"/>
      <c r="MA1018" s="239"/>
      <c r="MB1018" s="239"/>
      <c r="MC1018" s="239"/>
      <c r="MD1018" s="239"/>
      <c r="ME1018" s="239"/>
      <c r="MF1018" s="239"/>
      <c r="MG1018" s="239"/>
      <c r="MH1018" s="239"/>
      <c r="MI1018" s="239"/>
      <c r="MJ1018" s="239"/>
      <c r="MK1018" s="239"/>
      <c r="ML1018" s="239"/>
      <c r="MM1018" s="239"/>
      <c r="MN1018" s="239"/>
      <c r="MO1018" s="239"/>
      <c r="MP1018" s="239"/>
      <c r="MQ1018" s="239"/>
      <c r="MR1018" s="239"/>
      <c r="MS1018" s="239"/>
      <c r="MT1018" s="239"/>
      <c r="MU1018" s="239"/>
      <c r="MV1018" s="239"/>
      <c r="MW1018" s="239"/>
      <c r="MX1018" s="239"/>
      <c r="MY1018" s="239"/>
      <c r="MZ1018" s="239"/>
      <c r="NA1018" s="239"/>
      <c r="NB1018" s="239"/>
      <c r="NC1018" s="239"/>
      <c r="ND1018" s="239"/>
      <c r="NE1018" s="239"/>
      <c r="NF1018" s="239"/>
      <c r="NG1018" s="239"/>
      <c r="NH1018" s="239"/>
      <c r="NI1018" s="239"/>
      <c r="NJ1018" s="239"/>
      <c r="NK1018" s="239"/>
      <c r="NL1018" s="239"/>
      <c r="NM1018" s="239"/>
      <c r="NN1018" s="239"/>
      <c r="NO1018" s="239"/>
      <c r="NP1018" s="239"/>
      <c r="NQ1018" s="239"/>
      <c r="NR1018" s="239"/>
      <c r="NS1018" s="239"/>
      <c r="NT1018" s="239"/>
      <c r="NU1018" s="239"/>
      <c r="NV1018" s="239"/>
      <c r="NW1018" s="239"/>
      <c r="NX1018" s="239"/>
      <c r="NY1018" s="239"/>
      <c r="NZ1018" s="239"/>
      <c r="OA1018" s="239"/>
      <c r="OB1018" s="239"/>
      <c r="OC1018" s="239"/>
      <c r="OD1018" s="239"/>
      <c r="OE1018" s="239"/>
      <c r="OF1018" s="239"/>
      <c r="OG1018" s="239"/>
      <c r="OH1018" s="239"/>
      <c r="OI1018" s="239"/>
      <c r="OJ1018" s="239"/>
      <c r="OK1018" s="239"/>
      <c r="OL1018" s="239"/>
      <c r="OM1018" s="239"/>
      <c r="ON1018" s="239"/>
      <c r="OO1018" s="239"/>
      <c r="OP1018" s="239"/>
      <c r="OQ1018" s="239"/>
      <c r="OR1018" s="239"/>
      <c r="OS1018" s="239"/>
      <c r="OT1018" s="239"/>
      <c r="OU1018" s="239"/>
      <c r="OV1018" s="239"/>
      <c r="OW1018" s="239"/>
      <c r="OX1018" s="239"/>
      <c r="OY1018" s="239"/>
      <c r="OZ1018" s="239"/>
      <c r="PA1018" s="239"/>
      <c r="PB1018" s="239"/>
      <c r="PC1018" s="239"/>
      <c r="PD1018" s="239"/>
      <c r="PE1018" s="239"/>
      <c r="PF1018" s="239"/>
      <c r="PG1018" s="239"/>
      <c r="PH1018" s="239"/>
      <c r="PI1018" s="239"/>
      <c r="PJ1018" s="239"/>
      <c r="PK1018" s="239"/>
      <c r="PL1018" s="239"/>
      <c r="PM1018" s="239"/>
      <c r="PN1018" s="239"/>
      <c r="PO1018" s="239"/>
      <c r="PP1018" s="239"/>
      <c r="PQ1018" s="239"/>
      <c r="PR1018" s="239"/>
      <c r="PS1018" s="239"/>
      <c r="PT1018" s="239"/>
      <c r="PU1018" s="239"/>
      <c r="PV1018" s="239"/>
      <c r="PW1018" s="239"/>
      <c r="PX1018" s="239"/>
      <c r="PY1018" s="239"/>
      <c r="PZ1018" s="239"/>
      <c r="QA1018" s="239"/>
      <c r="QB1018" s="239"/>
      <c r="QC1018" s="239"/>
      <c r="QD1018" s="239"/>
      <c r="QE1018" s="239"/>
      <c r="QF1018" s="239"/>
      <c r="QG1018" s="239"/>
      <c r="QH1018" s="239"/>
      <c r="QI1018" s="239"/>
      <c r="QJ1018" s="239"/>
      <c r="QK1018" s="239"/>
      <c r="QL1018" s="239"/>
      <c r="QM1018" s="239"/>
      <c r="QN1018" s="239"/>
      <c r="QO1018" s="239"/>
      <c r="QP1018" s="239"/>
      <c r="QQ1018" s="239"/>
      <c r="QR1018" s="239"/>
      <c r="QS1018" s="239"/>
      <c r="QT1018" s="239"/>
      <c r="QU1018" s="239"/>
      <c r="QV1018" s="239"/>
      <c r="QW1018" s="239"/>
      <c r="QX1018" s="239"/>
      <c r="QY1018" s="239"/>
      <c r="QZ1018" s="239"/>
      <c r="RA1018" s="239"/>
      <c r="RB1018" s="239"/>
      <c r="RC1018" s="239"/>
      <c r="RD1018" s="239"/>
      <c r="RE1018" s="239"/>
      <c r="RF1018" s="239"/>
      <c r="RG1018" s="239"/>
      <c r="RH1018" s="239"/>
      <c r="RI1018" s="239"/>
      <c r="RJ1018" s="239"/>
      <c r="RK1018" s="239"/>
      <c r="RL1018" s="239"/>
      <c r="RM1018" s="239"/>
      <c r="RN1018" s="239"/>
      <c r="RO1018" s="239"/>
      <c r="RP1018" s="239"/>
      <c r="RQ1018" s="239"/>
      <c r="RR1018" s="239"/>
      <c r="RS1018" s="239"/>
      <c r="RT1018" s="239"/>
      <c r="RU1018" s="239"/>
      <c r="RV1018" s="239"/>
      <c r="RW1018" s="239"/>
      <c r="RX1018" s="239"/>
      <c r="RY1018" s="239"/>
      <c r="RZ1018" s="239"/>
      <c r="SA1018" s="239"/>
      <c r="SB1018" s="239"/>
      <c r="SC1018" s="239"/>
      <c r="SD1018" s="239"/>
      <c r="SE1018" s="239"/>
      <c r="SF1018" s="239"/>
      <c r="SG1018" s="239"/>
      <c r="SH1018" s="239"/>
      <c r="SI1018" s="239"/>
      <c r="SJ1018" s="239"/>
      <c r="SK1018" s="239"/>
      <c r="SL1018" s="239"/>
      <c r="SM1018" s="239"/>
      <c r="SN1018" s="239"/>
      <c r="SO1018" s="239"/>
      <c r="SP1018" s="239"/>
      <c r="SQ1018" s="239"/>
      <c r="SR1018" s="239"/>
      <c r="SS1018" s="239"/>
      <c r="ST1018" s="239"/>
      <c r="SU1018" s="239"/>
      <c r="SV1018" s="239"/>
      <c r="SW1018" s="239"/>
      <c r="SX1018" s="239"/>
      <c r="SY1018" s="239"/>
      <c r="SZ1018" s="239"/>
      <c r="TA1018" s="239"/>
      <c r="TB1018" s="239"/>
      <c r="TC1018" s="239"/>
      <c r="TD1018" s="239"/>
      <c r="TE1018" s="239"/>
      <c r="TF1018" s="239"/>
      <c r="TG1018" s="239"/>
      <c r="TH1018" s="239"/>
      <c r="TI1018" s="239"/>
      <c r="TJ1018" s="239"/>
      <c r="TK1018" s="239"/>
      <c r="TL1018" s="239"/>
      <c r="TM1018" s="239"/>
      <c r="TN1018" s="239"/>
      <c r="TO1018" s="239"/>
      <c r="TP1018" s="239"/>
      <c r="TQ1018" s="239"/>
      <c r="TR1018" s="239"/>
      <c r="TS1018" s="239"/>
      <c r="TT1018" s="239"/>
      <c r="TU1018" s="239"/>
      <c r="TV1018" s="239"/>
      <c r="TW1018" s="239"/>
      <c r="TX1018" s="239"/>
      <c r="TY1018" s="239"/>
      <c r="TZ1018" s="239"/>
      <c r="UA1018" s="239"/>
      <c r="UB1018" s="239"/>
      <c r="UC1018" s="239"/>
      <c r="UD1018" s="239"/>
      <c r="UE1018" s="239"/>
      <c r="UF1018" s="239"/>
      <c r="UG1018" s="240"/>
    </row>
    <row r="1019" spans="1:553" ht="61.15" customHeight="1">
      <c r="A1019" s="356" t="s">
        <v>43</v>
      </c>
      <c r="B1019" s="356"/>
      <c r="C1019" s="1431" t="s">
        <v>44</v>
      </c>
      <c r="D1019" s="1389"/>
      <c r="E1019" s="1389"/>
      <c r="F1019" s="1390"/>
      <c r="G1019" s="366"/>
      <c r="H1019" s="370"/>
      <c r="I1019" s="370"/>
      <c r="J1019" s="368"/>
      <c r="K1019" s="371"/>
      <c r="L1019" s="356">
        <f>SUM(L1020:L1044)</f>
        <v>51097385.649999991</v>
      </c>
      <c r="M1019" s="356"/>
      <c r="N1019" s="356"/>
      <c r="O1019" s="356"/>
      <c r="P1019" s="356">
        <f>L1019</f>
        <v>51097385.649999991</v>
      </c>
      <c r="Q1019" s="610"/>
      <c r="R1019" s="1226" t="s">
        <v>45</v>
      </c>
      <c r="S1019" s="308"/>
      <c r="T1019" s="308"/>
      <c r="U1019" s="308"/>
      <c r="V1019" s="308"/>
      <c r="W1019" s="308"/>
      <c r="X1019" s="308"/>
      <c r="Y1019" s="308"/>
      <c r="Z1019" s="604"/>
      <c r="AA1019" s="308"/>
      <c r="AB1019" s="308"/>
      <c r="AC1019" s="373"/>
      <c r="AD1019" s="373"/>
      <c r="AE1019" s="373"/>
      <c r="AF1019" s="373"/>
      <c r="AG1019" s="373"/>
      <c r="AH1019" s="373"/>
      <c r="AI1019" s="373"/>
      <c r="AJ1019" s="373"/>
      <c r="AK1019" s="389"/>
      <c r="AL1019" s="100"/>
      <c r="AM1019" s="27"/>
      <c r="AN1019" s="27"/>
      <c r="AO1019" s="27"/>
      <c r="AP1019" s="27"/>
      <c r="AQ1019" s="27"/>
      <c r="AR1019" s="27"/>
      <c r="AS1019" s="22"/>
      <c r="AT1019" s="22"/>
      <c r="AU1019" s="22"/>
      <c r="AV1019" s="22"/>
      <c r="AW1019" s="22"/>
      <c r="AX1019" s="22"/>
      <c r="AY1019" s="22"/>
      <c r="AZ1019" s="22"/>
      <c r="BA1019" s="22"/>
      <c r="BB1019" s="22"/>
      <c r="BC1019" s="22"/>
      <c r="BD1019" s="22"/>
      <c r="BE1019" s="22"/>
      <c r="BF1019" s="22"/>
      <c r="BG1019" s="22"/>
      <c r="BH1019" s="22"/>
      <c r="BI1019" s="22"/>
      <c r="BJ1019" s="22"/>
      <c r="BK1019" s="22"/>
      <c r="BL1019" s="22"/>
      <c r="BM1019" s="22"/>
      <c r="BN1019" s="22"/>
      <c r="BO1019" s="22"/>
      <c r="BP1019" s="22"/>
      <c r="BQ1019" s="22"/>
      <c r="BR1019" s="22"/>
      <c r="BS1019" s="22"/>
      <c r="BT1019" s="22"/>
      <c r="BU1019" s="22"/>
      <c r="BV1019" s="22"/>
      <c r="BW1019" s="22"/>
      <c r="BX1019" s="22"/>
      <c r="BY1019" s="22"/>
      <c r="BZ1019" s="22"/>
      <c r="CA1019" s="22"/>
      <c r="CB1019" s="22"/>
      <c r="CC1019" s="22"/>
      <c r="CD1019" s="22"/>
      <c r="CE1019" s="22"/>
      <c r="CF1019" s="22"/>
      <c r="CG1019" s="22"/>
      <c r="CH1019" s="22"/>
      <c r="CI1019" s="22"/>
      <c r="CJ1019" s="22"/>
      <c r="CK1019" s="22"/>
      <c r="CL1019" s="22"/>
      <c r="CM1019" s="22"/>
      <c r="CN1019" s="22"/>
      <c r="CO1019" s="22"/>
      <c r="CP1019" s="22"/>
      <c r="CQ1019" s="22"/>
      <c r="CR1019" s="22"/>
      <c r="CS1019" s="22"/>
      <c r="CT1019" s="22"/>
      <c r="CU1019" s="22"/>
      <c r="CV1019" s="22"/>
      <c r="CW1019" s="22"/>
      <c r="CX1019" s="22"/>
      <c r="CY1019" s="22"/>
      <c r="CZ1019" s="22"/>
      <c r="DA1019" s="22"/>
      <c r="DB1019" s="22"/>
      <c r="DC1019" s="22"/>
      <c r="DD1019" s="22"/>
      <c r="DE1019" s="22"/>
      <c r="DF1019" s="22"/>
      <c r="DG1019" s="22"/>
      <c r="DH1019" s="22"/>
      <c r="DI1019" s="22"/>
      <c r="DJ1019" s="22"/>
      <c r="DK1019" s="22"/>
      <c r="DL1019" s="22"/>
      <c r="DM1019" s="22"/>
      <c r="DN1019" s="22"/>
      <c r="DO1019" s="22"/>
      <c r="DP1019" s="22"/>
      <c r="DQ1019" s="22"/>
      <c r="DR1019" s="22"/>
      <c r="DS1019" s="22"/>
      <c r="DT1019" s="22"/>
      <c r="DU1019" s="22"/>
      <c r="DV1019" s="22"/>
      <c r="DW1019" s="22"/>
      <c r="DX1019" s="22"/>
      <c r="DY1019" s="22"/>
      <c r="DZ1019" s="22"/>
      <c r="EA1019" s="22"/>
      <c r="EB1019" s="22"/>
      <c r="EC1019" s="22"/>
      <c r="ED1019" s="22"/>
      <c r="EE1019" s="22"/>
      <c r="EF1019" s="22"/>
      <c r="EG1019" s="22"/>
      <c r="EH1019" s="22"/>
      <c r="EI1019" s="22"/>
      <c r="EJ1019" s="22"/>
      <c r="EK1019" s="22"/>
      <c r="EL1019" s="22"/>
      <c r="EM1019" s="22"/>
      <c r="EN1019" s="22"/>
      <c r="EO1019" s="22"/>
      <c r="EP1019" s="22"/>
      <c r="EQ1019" s="22"/>
      <c r="ER1019" s="22"/>
      <c r="ES1019" s="22"/>
      <c r="ET1019" s="22"/>
      <c r="EU1019" s="22"/>
      <c r="EV1019" s="22"/>
      <c r="EW1019" s="22"/>
      <c r="EX1019" s="22"/>
      <c r="EY1019" s="22"/>
      <c r="EZ1019" s="22"/>
      <c r="FA1019" s="22"/>
      <c r="FB1019" s="22"/>
      <c r="FC1019" s="22"/>
      <c r="FD1019" s="22"/>
      <c r="FE1019" s="22"/>
      <c r="FF1019" s="22"/>
      <c r="FG1019" s="22"/>
      <c r="FH1019" s="22"/>
      <c r="FI1019" s="22"/>
      <c r="FJ1019" s="22"/>
      <c r="FK1019" s="22"/>
      <c r="FL1019" s="22"/>
      <c r="FM1019" s="22"/>
      <c r="FN1019" s="22"/>
      <c r="FO1019" s="22"/>
      <c r="FP1019" s="22"/>
      <c r="FQ1019" s="22"/>
      <c r="FR1019" s="22"/>
      <c r="FS1019" s="22"/>
      <c r="FT1019" s="22"/>
      <c r="FU1019" s="22"/>
      <c r="FV1019" s="22"/>
      <c r="FW1019" s="22"/>
      <c r="FX1019" s="22"/>
      <c r="FY1019" s="22"/>
      <c r="FZ1019" s="22"/>
      <c r="GA1019" s="22"/>
      <c r="GB1019" s="22"/>
      <c r="GC1019" s="22"/>
      <c r="GD1019" s="22"/>
      <c r="GE1019" s="22"/>
      <c r="GF1019" s="22"/>
      <c r="GG1019" s="22"/>
      <c r="GH1019" s="22"/>
      <c r="GI1019" s="22"/>
      <c r="GJ1019" s="22"/>
      <c r="GK1019" s="22"/>
      <c r="GL1019" s="22"/>
      <c r="GM1019" s="22"/>
      <c r="GN1019" s="22"/>
      <c r="GO1019" s="22"/>
      <c r="GP1019" s="22"/>
      <c r="GQ1019" s="22"/>
      <c r="GR1019" s="22"/>
      <c r="GS1019" s="22"/>
      <c r="GT1019" s="22"/>
      <c r="GU1019" s="22"/>
      <c r="GV1019" s="22"/>
      <c r="GW1019" s="22"/>
      <c r="GX1019" s="22"/>
      <c r="GY1019" s="22"/>
      <c r="GZ1019" s="22"/>
      <c r="HA1019" s="22"/>
      <c r="HB1019" s="22"/>
      <c r="HC1019" s="22"/>
      <c r="HD1019" s="22"/>
      <c r="HE1019" s="22"/>
      <c r="HF1019" s="22"/>
      <c r="HG1019" s="22"/>
      <c r="HH1019" s="22"/>
      <c r="HI1019" s="22"/>
      <c r="HJ1019" s="22"/>
      <c r="HK1019" s="22"/>
      <c r="HL1019" s="22"/>
      <c r="HM1019" s="22"/>
      <c r="HN1019" s="22"/>
      <c r="HO1019" s="22"/>
      <c r="HP1019" s="22"/>
      <c r="HQ1019" s="22"/>
      <c r="HR1019" s="22"/>
      <c r="HS1019" s="22"/>
      <c r="HT1019" s="22"/>
      <c r="HU1019" s="22"/>
      <c r="HV1019" s="22"/>
      <c r="HW1019" s="22"/>
      <c r="HX1019" s="22"/>
      <c r="HY1019" s="22"/>
      <c r="HZ1019" s="22"/>
      <c r="IA1019" s="22"/>
      <c r="IB1019" s="22"/>
      <c r="IC1019" s="22"/>
      <c r="ID1019" s="22"/>
      <c r="IE1019" s="22"/>
      <c r="IF1019" s="22"/>
      <c r="IG1019" s="22"/>
      <c r="IH1019" s="22"/>
      <c r="II1019" s="22"/>
      <c r="IJ1019" s="22"/>
      <c r="IK1019" s="22"/>
      <c r="IL1019" s="22"/>
      <c r="IM1019" s="22"/>
      <c r="IN1019" s="22"/>
      <c r="IO1019" s="22"/>
      <c r="IP1019" s="22"/>
      <c r="IQ1019" s="22"/>
      <c r="IR1019" s="22"/>
      <c r="IS1019" s="22"/>
      <c r="IT1019" s="22"/>
      <c r="IU1019" s="22"/>
      <c r="IV1019" s="22"/>
      <c r="IW1019" s="22"/>
      <c r="IX1019" s="22"/>
      <c r="IY1019" s="22"/>
      <c r="IZ1019" s="22"/>
      <c r="JA1019" s="22"/>
      <c r="JB1019" s="22"/>
      <c r="JC1019" s="22"/>
      <c r="JD1019" s="22"/>
      <c r="JE1019" s="22"/>
      <c r="JF1019" s="22"/>
      <c r="JG1019" s="22"/>
      <c r="JH1019" s="22"/>
      <c r="JI1019" s="22"/>
      <c r="JJ1019" s="22"/>
      <c r="JK1019" s="22"/>
      <c r="JL1019" s="22"/>
      <c r="JM1019" s="22"/>
      <c r="JN1019" s="22"/>
      <c r="JO1019" s="22"/>
      <c r="JP1019" s="22"/>
      <c r="JQ1019" s="22"/>
      <c r="JR1019" s="22"/>
      <c r="JS1019" s="22"/>
      <c r="JT1019" s="22"/>
      <c r="JU1019" s="22"/>
      <c r="JV1019" s="22"/>
      <c r="JW1019" s="22"/>
      <c r="JX1019" s="22"/>
      <c r="JY1019" s="22"/>
      <c r="JZ1019" s="22"/>
      <c r="KA1019" s="22"/>
      <c r="KB1019" s="22"/>
      <c r="KC1019" s="22"/>
      <c r="KD1019" s="22"/>
      <c r="KE1019" s="22"/>
      <c r="KF1019" s="22"/>
      <c r="KG1019" s="22"/>
      <c r="KH1019" s="22"/>
      <c r="KI1019" s="22"/>
      <c r="KJ1019" s="22"/>
      <c r="KK1019" s="22"/>
      <c r="KL1019" s="22"/>
      <c r="KM1019" s="22"/>
      <c r="KN1019" s="22"/>
      <c r="KO1019" s="22"/>
      <c r="KP1019" s="22"/>
      <c r="KQ1019" s="22"/>
      <c r="KR1019" s="22"/>
      <c r="KS1019" s="22"/>
      <c r="KT1019" s="22"/>
      <c r="KU1019" s="22"/>
      <c r="KV1019" s="22"/>
      <c r="KW1019" s="22"/>
      <c r="KX1019" s="22"/>
      <c r="KY1019" s="22"/>
      <c r="KZ1019" s="22"/>
      <c r="LA1019" s="22"/>
      <c r="LB1019" s="22"/>
      <c r="LC1019" s="22"/>
      <c r="LD1019" s="22"/>
      <c r="LE1019" s="22"/>
      <c r="LF1019" s="22"/>
      <c r="LG1019" s="22"/>
      <c r="LH1019" s="22"/>
      <c r="LI1019" s="22"/>
      <c r="LJ1019" s="22"/>
      <c r="LK1019" s="22"/>
      <c r="LL1019" s="22"/>
      <c r="LM1019" s="22"/>
      <c r="LN1019" s="22"/>
      <c r="LO1019" s="22"/>
      <c r="LP1019" s="22"/>
      <c r="LQ1019" s="22"/>
      <c r="LR1019" s="22"/>
      <c r="LS1019" s="22"/>
      <c r="LT1019" s="22"/>
      <c r="LU1019" s="22"/>
      <c r="LV1019" s="22"/>
      <c r="LW1019" s="22"/>
      <c r="LX1019" s="22"/>
      <c r="LY1019" s="22"/>
      <c r="LZ1019" s="22"/>
      <c r="MA1019" s="22"/>
      <c r="MB1019" s="22"/>
      <c r="MC1019" s="22"/>
      <c r="MD1019" s="22"/>
      <c r="ME1019" s="22"/>
      <c r="MF1019" s="22"/>
      <c r="MG1019" s="22"/>
      <c r="MH1019" s="22"/>
      <c r="MI1019" s="22"/>
      <c r="MJ1019" s="22"/>
      <c r="MK1019" s="22"/>
      <c r="ML1019" s="22"/>
      <c r="MM1019" s="22"/>
      <c r="MN1019" s="22"/>
      <c r="MO1019" s="22"/>
      <c r="MP1019" s="22"/>
      <c r="MQ1019" s="22"/>
      <c r="MR1019" s="22"/>
      <c r="MS1019" s="22"/>
      <c r="MT1019" s="22"/>
      <c r="MU1019" s="22"/>
      <c r="MV1019" s="22"/>
      <c r="MW1019" s="22"/>
      <c r="MX1019" s="22"/>
      <c r="MY1019" s="22"/>
      <c r="MZ1019" s="22"/>
      <c r="NA1019" s="22"/>
      <c r="NB1019" s="22"/>
      <c r="NC1019" s="22"/>
      <c r="ND1019" s="22"/>
      <c r="NE1019" s="22"/>
      <c r="NF1019" s="22"/>
      <c r="NG1019" s="22"/>
      <c r="NH1019" s="22"/>
      <c r="NI1019" s="22"/>
      <c r="NJ1019" s="22"/>
      <c r="NK1019" s="22"/>
      <c r="NL1019" s="22"/>
      <c r="NM1019" s="22"/>
      <c r="NN1019" s="22"/>
      <c r="NO1019" s="22"/>
      <c r="NP1019" s="22"/>
      <c r="NQ1019" s="22"/>
      <c r="NR1019" s="22"/>
      <c r="NS1019" s="22"/>
      <c r="NT1019" s="22"/>
      <c r="NU1019" s="22"/>
      <c r="NV1019" s="22"/>
      <c r="NW1019" s="22"/>
      <c r="NX1019" s="22"/>
      <c r="NY1019" s="22"/>
      <c r="NZ1019" s="22"/>
      <c r="OA1019" s="22"/>
      <c r="OB1019" s="22"/>
      <c r="OC1019" s="22"/>
      <c r="OD1019" s="22"/>
      <c r="OE1019" s="22"/>
      <c r="OF1019" s="22"/>
      <c r="OG1019" s="22"/>
      <c r="OH1019" s="22"/>
      <c r="OI1019" s="22"/>
      <c r="OJ1019" s="22"/>
      <c r="OK1019" s="22"/>
      <c r="OL1019" s="22"/>
      <c r="OM1019" s="22"/>
      <c r="ON1019" s="22"/>
      <c r="OO1019" s="22"/>
      <c r="OP1019" s="22"/>
      <c r="OQ1019" s="22"/>
      <c r="OR1019" s="22"/>
      <c r="OS1019" s="22"/>
      <c r="OT1019" s="22"/>
      <c r="OU1019" s="22"/>
      <c r="OV1019" s="22"/>
      <c r="OW1019" s="22"/>
      <c r="OX1019" s="22"/>
      <c r="OY1019" s="22"/>
      <c r="OZ1019" s="22"/>
      <c r="PA1019" s="22"/>
      <c r="PB1019" s="22"/>
      <c r="PC1019" s="22"/>
      <c r="PD1019" s="22"/>
      <c r="PE1019" s="22"/>
      <c r="PF1019" s="22"/>
      <c r="PG1019" s="22"/>
      <c r="PH1019" s="22"/>
      <c r="PI1019" s="22"/>
      <c r="PJ1019" s="22"/>
      <c r="PK1019" s="22"/>
      <c r="PL1019" s="22"/>
      <c r="PM1019" s="22"/>
      <c r="PN1019" s="22"/>
      <c r="PO1019" s="22"/>
      <c r="PP1019" s="22"/>
      <c r="PQ1019" s="22"/>
      <c r="PR1019" s="22"/>
      <c r="PS1019" s="22"/>
      <c r="PT1019" s="22"/>
      <c r="PU1019" s="22"/>
      <c r="PV1019" s="22"/>
      <c r="PW1019" s="22"/>
      <c r="PX1019" s="22"/>
      <c r="PY1019" s="22"/>
      <c r="PZ1019" s="22"/>
      <c r="QA1019" s="22"/>
      <c r="QB1019" s="22"/>
      <c r="QC1019" s="22"/>
      <c r="QD1019" s="22"/>
      <c r="QE1019" s="22"/>
      <c r="QF1019" s="22"/>
      <c r="QG1019" s="22"/>
      <c r="QH1019" s="22"/>
      <c r="QI1019" s="22"/>
      <c r="QJ1019" s="22"/>
      <c r="QK1019" s="22"/>
      <c r="QL1019" s="22"/>
      <c r="QM1019" s="22"/>
      <c r="QN1019" s="22"/>
      <c r="QO1019" s="22"/>
      <c r="QP1019" s="22"/>
      <c r="QQ1019" s="22"/>
      <c r="QR1019" s="22"/>
      <c r="QS1019" s="22"/>
      <c r="QT1019" s="22"/>
      <c r="QU1019" s="22"/>
      <c r="QV1019" s="22"/>
      <c r="QW1019" s="22"/>
      <c r="QX1019" s="22"/>
      <c r="QY1019" s="22"/>
      <c r="QZ1019" s="22"/>
      <c r="RA1019" s="22"/>
      <c r="RB1019" s="22"/>
      <c r="RC1019" s="22"/>
      <c r="RD1019" s="22"/>
      <c r="RE1019" s="22"/>
      <c r="RF1019" s="22"/>
      <c r="RG1019" s="22"/>
      <c r="RH1019" s="22"/>
      <c r="RI1019" s="22"/>
      <c r="RJ1019" s="22"/>
      <c r="RK1019" s="22"/>
      <c r="RL1019" s="22"/>
      <c r="RM1019" s="22"/>
      <c r="RN1019" s="22"/>
      <c r="RO1019" s="22"/>
      <c r="RP1019" s="22"/>
      <c r="RQ1019" s="22"/>
      <c r="RR1019" s="22"/>
      <c r="RS1019" s="22"/>
      <c r="RT1019" s="22"/>
      <c r="RU1019" s="22"/>
      <c r="RV1019" s="22"/>
      <c r="RW1019" s="22"/>
      <c r="RX1019" s="22"/>
      <c r="RY1019" s="22"/>
      <c r="RZ1019" s="22"/>
      <c r="SA1019" s="22"/>
      <c r="SB1019" s="22"/>
      <c r="SC1019" s="22"/>
      <c r="SD1019" s="22"/>
      <c r="SE1019" s="22"/>
      <c r="SF1019" s="22"/>
      <c r="SG1019" s="22"/>
      <c r="SH1019" s="22"/>
      <c r="SI1019" s="22"/>
      <c r="SJ1019" s="22"/>
      <c r="SK1019" s="22"/>
      <c r="SL1019" s="22"/>
      <c r="SM1019" s="22"/>
      <c r="SN1019" s="22"/>
      <c r="SO1019" s="22"/>
      <c r="SP1019" s="22"/>
      <c r="SQ1019" s="22"/>
      <c r="SR1019" s="22"/>
      <c r="SS1019" s="22"/>
      <c r="ST1019" s="22"/>
      <c r="SU1019" s="22"/>
      <c r="SV1019" s="22"/>
      <c r="SW1019" s="22"/>
      <c r="SX1019" s="22"/>
      <c r="SY1019" s="22"/>
      <c r="SZ1019" s="22"/>
      <c r="TA1019" s="22"/>
      <c r="TB1019" s="22"/>
      <c r="TC1019" s="22"/>
      <c r="TD1019" s="22"/>
      <c r="TE1019" s="22"/>
      <c r="TF1019" s="22"/>
      <c r="TG1019" s="22"/>
      <c r="TH1019" s="22"/>
      <c r="TI1019" s="22"/>
      <c r="TJ1019" s="22"/>
      <c r="TK1019" s="22"/>
      <c r="TL1019" s="22"/>
      <c r="TM1019" s="22"/>
      <c r="TN1019" s="22"/>
      <c r="TO1019" s="22"/>
      <c r="TP1019" s="22"/>
      <c r="TQ1019" s="22"/>
      <c r="TR1019" s="22"/>
      <c r="TS1019" s="22"/>
      <c r="TT1019" s="22"/>
      <c r="TU1019" s="22"/>
      <c r="TV1019" s="22"/>
      <c r="TW1019" s="22"/>
      <c r="TX1019" s="22"/>
      <c r="TY1019" s="22"/>
      <c r="TZ1019" s="22"/>
      <c r="UA1019" s="22"/>
      <c r="UB1019" s="22"/>
      <c r="UC1019" s="22"/>
      <c r="UD1019" s="22"/>
      <c r="UE1019" s="22"/>
      <c r="UF1019" s="22"/>
      <c r="UG1019" s="23"/>
    </row>
    <row r="1020" spans="1:553" ht="29.25" customHeight="1">
      <c r="A1020" s="356"/>
      <c r="B1020" s="356"/>
      <c r="C1020" s="1443" t="s">
        <v>367</v>
      </c>
      <c r="D1020" s="1389"/>
      <c r="E1020" s="1389"/>
      <c r="F1020" s="1390"/>
      <c r="G1020" s="366"/>
      <c r="H1020" s="370"/>
      <c r="I1020" s="370"/>
      <c r="J1020" s="368"/>
      <c r="K1020" s="371"/>
      <c r="L1020" s="356"/>
      <c r="M1020" s="356"/>
      <c r="N1020" s="356"/>
      <c r="O1020" s="356"/>
      <c r="P1020" s="356"/>
      <c r="Q1020" s="610"/>
      <c r="R1020" s="1226"/>
      <c r="S1020" s="308"/>
      <c r="T1020" s="308"/>
      <c r="U1020" s="308"/>
      <c r="V1020" s="308"/>
      <c r="W1020" s="308"/>
      <c r="X1020" s="308"/>
      <c r="Y1020" s="308"/>
      <c r="Z1020" s="604"/>
      <c r="AA1020" s="308"/>
      <c r="AB1020" s="308"/>
      <c r="AC1020" s="373"/>
      <c r="AD1020" s="373"/>
      <c r="AE1020" s="373"/>
      <c r="AF1020" s="373"/>
      <c r="AG1020" s="373"/>
      <c r="AH1020" s="373"/>
      <c r="AI1020" s="373"/>
      <c r="AJ1020" s="373"/>
      <c r="AK1020" s="389"/>
      <c r="AL1020" s="100"/>
      <c r="AM1020" s="27"/>
      <c r="AN1020" s="27"/>
      <c r="AO1020" s="27"/>
      <c r="AP1020" s="27"/>
      <c r="AQ1020" s="27"/>
      <c r="AR1020" s="27"/>
      <c r="AS1020" s="22"/>
      <c r="AT1020" s="22"/>
      <c r="AU1020" s="22"/>
      <c r="AV1020" s="22"/>
      <c r="AW1020" s="22"/>
      <c r="AX1020" s="22"/>
      <c r="AY1020" s="22"/>
      <c r="AZ1020" s="22"/>
      <c r="BA1020" s="22"/>
      <c r="BB1020" s="22"/>
      <c r="BC1020" s="22"/>
      <c r="BD1020" s="22"/>
      <c r="BE1020" s="22"/>
      <c r="BF1020" s="22"/>
      <c r="BG1020" s="22"/>
      <c r="BH1020" s="22"/>
      <c r="BI1020" s="22"/>
      <c r="BJ1020" s="22"/>
      <c r="BK1020" s="22"/>
      <c r="BL1020" s="22"/>
      <c r="BM1020" s="22"/>
      <c r="BN1020" s="22"/>
      <c r="BO1020" s="22"/>
      <c r="BP1020" s="22"/>
      <c r="BQ1020" s="22"/>
      <c r="BR1020" s="22"/>
      <c r="BS1020" s="22"/>
      <c r="BT1020" s="22"/>
      <c r="BU1020" s="22"/>
      <c r="BV1020" s="22"/>
      <c r="BW1020" s="22"/>
      <c r="BX1020" s="22"/>
      <c r="BY1020" s="22"/>
      <c r="BZ1020" s="22"/>
      <c r="CA1020" s="22"/>
      <c r="CB1020" s="22"/>
      <c r="CC1020" s="22"/>
      <c r="CD1020" s="22"/>
      <c r="CE1020" s="22"/>
      <c r="CF1020" s="22"/>
      <c r="CG1020" s="22"/>
      <c r="CH1020" s="22"/>
      <c r="CI1020" s="22"/>
      <c r="CJ1020" s="22"/>
      <c r="CK1020" s="22"/>
      <c r="CL1020" s="22"/>
      <c r="CM1020" s="22"/>
      <c r="CN1020" s="22"/>
      <c r="CO1020" s="22"/>
      <c r="CP1020" s="22"/>
      <c r="CQ1020" s="22"/>
      <c r="CR1020" s="22"/>
      <c r="CS1020" s="22"/>
      <c r="CT1020" s="22"/>
      <c r="CU1020" s="22"/>
      <c r="CV1020" s="22"/>
      <c r="CW1020" s="22"/>
      <c r="CX1020" s="22"/>
      <c r="CY1020" s="22"/>
      <c r="CZ1020" s="22"/>
      <c r="DA1020" s="22"/>
      <c r="DB1020" s="22"/>
      <c r="DC1020" s="22"/>
      <c r="DD1020" s="22"/>
      <c r="DE1020" s="22"/>
      <c r="DF1020" s="22"/>
      <c r="DG1020" s="22"/>
      <c r="DH1020" s="22"/>
      <c r="DI1020" s="22"/>
      <c r="DJ1020" s="22"/>
      <c r="DK1020" s="22"/>
      <c r="DL1020" s="22"/>
      <c r="DM1020" s="22"/>
      <c r="DN1020" s="22"/>
      <c r="DO1020" s="22"/>
      <c r="DP1020" s="22"/>
      <c r="DQ1020" s="22"/>
      <c r="DR1020" s="22"/>
      <c r="DS1020" s="22"/>
      <c r="DT1020" s="22"/>
      <c r="DU1020" s="22"/>
      <c r="DV1020" s="22"/>
      <c r="DW1020" s="22"/>
      <c r="DX1020" s="22"/>
      <c r="DY1020" s="22"/>
      <c r="DZ1020" s="22"/>
      <c r="EA1020" s="22"/>
      <c r="EB1020" s="22"/>
      <c r="EC1020" s="22"/>
      <c r="ED1020" s="22"/>
      <c r="EE1020" s="22"/>
      <c r="EF1020" s="22"/>
      <c r="EG1020" s="22"/>
      <c r="EH1020" s="22"/>
      <c r="EI1020" s="22"/>
      <c r="EJ1020" s="22"/>
      <c r="EK1020" s="22"/>
      <c r="EL1020" s="22"/>
      <c r="EM1020" s="22"/>
      <c r="EN1020" s="22"/>
      <c r="EO1020" s="22"/>
      <c r="EP1020" s="22"/>
      <c r="EQ1020" s="22"/>
      <c r="ER1020" s="22"/>
      <c r="ES1020" s="22"/>
      <c r="ET1020" s="22"/>
      <c r="EU1020" s="22"/>
      <c r="EV1020" s="22"/>
      <c r="EW1020" s="22"/>
      <c r="EX1020" s="22"/>
      <c r="EY1020" s="22"/>
      <c r="EZ1020" s="22"/>
      <c r="FA1020" s="22"/>
      <c r="FB1020" s="22"/>
      <c r="FC1020" s="22"/>
      <c r="FD1020" s="22"/>
      <c r="FE1020" s="22"/>
      <c r="FF1020" s="22"/>
      <c r="FG1020" s="22"/>
      <c r="FH1020" s="22"/>
      <c r="FI1020" s="22"/>
      <c r="FJ1020" s="22"/>
      <c r="FK1020" s="22"/>
      <c r="FL1020" s="22"/>
      <c r="FM1020" s="22"/>
      <c r="FN1020" s="22"/>
      <c r="FO1020" s="22"/>
      <c r="FP1020" s="22"/>
      <c r="FQ1020" s="22"/>
      <c r="FR1020" s="22"/>
      <c r="FS1020" s="22"/>
      <c r="FT1020" s="22"/>
      <c r="FU1020" s="22"/>
      <c r="FV1020" s="22"/>
      <c r="FW1020" s="22"/>
      <c r="FX1020" s="22"/>
      <c r="FY1020" s="22"/>
      <c r="FZ1020" s="22"/>
      <c r="GA1020" s="22"/>
      <c r="GB1020" s="22"/>
      <c r="GC1020" s="22"/>
      <c r="GD1020" s="22"/>
      <c r="GE1020" s="22"/>
      <c r="GF1020" s="22"/>
      <c r="GG1020" s="22"/>
      <c r="GH1020" s="22"/>
      <c r="GI1020" s="22"/>
      <c r="GJ1020" s="22"/>
      <c r="GK1020" s="22"/>
      <c r="GL1020" s="22"/>
      <c r="GM1020" s="22"/>
      <c r="GN1020" s="22"/>
      <c r="GO1020" s="22"/>
      <c r="GP1020" s="22"/>
      <c r="GQ1020" s="22"/>
      <c r="GR1020" s="22"/>
      <c r="GS1020" s="22"/>
      <c r="GT1020" s="22"/>
      <c r="GU1020" s="22"/>
      <c r="GV1020" s="22"/>
      <c r="GW1020" s="22"/>
      <c r="GX1020" s="22"/>
      <c r="GY1020" s="22"/>
      <c r="GZ1020" s="22"/>
      <c r="HA1020" s="22"/>
      <c r="HB1020" s="22"/>
      <c r="HC1020" s="22"/>
      <c r="HD1020" s="22"/>
      <c r="HE1020" s="22"/>
      <c r="HF1020" s="22"/>
      <c r="HG1020" s="22"/>
      <c r="HH1020" s="22"/>
      <c r="HI1020" s="22"/>
      <c r="HJ1020" s="22"/>
      <c r="HK1020" s="22"/>
      <c r="HL1020" s="22"/>
      <c r="HM1020" s="22"/>
      <c r="HN1020" s="22"/>
      <c r="HO1020" s="22"/>
      <c r="HP1020" s="22"/>
      <c r="HQ1020" s="22"/>
      <c r="HR1020" s="22"/>
      <c r="HS1020" s="22"/>
      <c r="HT1020" s="22"/>
      <c r="HU1020" s="22"/>
      <c r="HV1020" s="22"/>
      <c r="HW1020" s="22"/>
      <c r="HX1020" s="22"/>
      <c r="HY1020" s="22"/>
      <c r="HZ1020" s="22"/>
      <c r="IA1020" s="22"/>
      <c r="IB1020" s="22"/>
      <c r="IC1020" s="22"/>
      <c r="ID1020" s="22"/>
      <c r="IE1020" s="22"/>
      <c r="IF1020" s="22"/>
      <c r="IG1020" s="22"/>
      <c r="IH1020" s="22"/>
      <c r="II1020" s="22"/>
      <c r="IJ1020" s="22"/>
      <c r="IK1020" s="22"/>
      <c r="IL1020" s="22"/>
      <c r="IM1020" s="22"/>
      <c r="IN1020" s="22"/>
      <c r="IO1020" s="22"/>
      <c r="IP1020" s="22"/>
      <c r="IQ1020" s="22"/>
      <c r="IR1020" s="22"/>
      <c r="IS1020" s="22"/>
      <c r="IT1020" s="22"/>
      <c r="IU1020" s="22"/>
      <c r="IV1020" s="22"/>
      <c r="IW1020" s="22"/>
      <c r="IX1020" s="22"/>
      <c r="IY1020" s="22"/>
      <c r="IZ1020" s="22"/>
      <c r="JA1020" s="22"/>
      <c r="JB1020" s="22"/>
      <c r="JC1020" s="22"/>
      <c r="JD1020" s="22"/>
      <c r="JE1020" s="22"/>
      <c r="JF1020" s="22"/>
      <c r="JG1020" s="22"/>
      <c r="JH1020" s="22"/>
      <c r="JI1020" s="22"/>
      <c r="JJ1020" s="22"/>
      <c r="JK1020" s="22"/>
      <c r="JL1020" s="22"/>
      <c r="JM1020" s="22"/>
      <c r="JN1020" s="22"/>
      <c r="JO1020" s="22"/>
      <c r="JP1020" s="22"/>
      <c r="JQ1020" s="22"/>
      <c r="JR1020" s="22"/>
      <c r="JS1020" s="22"/>
      <c r="JT1020" s="22"/>
      <c r="JU1020" s="22"/>
      <c r="JV1020" s="22"/>
      <c r="JW1020" s="22"/>
      <c r="JX1020" s="22"/>
      <c r="JY1020" s="22"/>
      <c r="JZ1020" s="22"/>
      <c r="KA1020" s="22"/>
      <c r="KB1020" s="22"/>
      <c r="KC1020" s="22"/>
      <c r="KD1020" s="22"/>
      <c r="KE1020" s="22"/>
      <c r="KF1020" s="22"/>
      <c r="KG1020" s="22"/>
      <c r="KH1020" s="22"/>
      <c r="KI1020" s="22"/>
      <c r="KJ1020" s="22"/>
      <c r="KK1020" s="22"/>
      <c r="KL1020" s="22"/>
      <c r="KM1020" s="22"/>
      <c r="KN1020" s="22"/>
      <c r="KO1020" s="22"/>
      <c r="KP1020" s="22"/>
      <c r="KQ1020" s="22"/>
      <c r="KR1020" s="22"/>
      <c r="KS1020" s="22"/>
      <c r="KT1020" s="22"/>
      <c r="KU1020" s="22"/>
      <c r="KV1020" s="22"/>
      <c r="KW1020" s="22"/>
      <c r="KX1020" s="22"/>
      <c r="KY1020" s="22"/>
      <c r="KZ1020" s="22"/>
      <c r="LA1020" s="22"/>
      <c r="LB1020" s="22"/>
      <c r="LC1020" s="22"/>
      <c r="LD1020" s="22"/>
      <c r="LE1020" s="22"/>
      <c r="LF1020" s="22"/>
      <c r="LG1020" s="22"/>
      <c r="LH1020" s="22"/>
      <c r="LI1020" s="22"/>
      <c r="LJ1020" s="22"/>
      <c r="LK1020" s="22"/>
      <c r="LL1020" s="22"/>
      <c r="LM1020" s="22"/>
      <c r="LN1020" s="22"/>
      <c r="LO1020" s="22"/>
      <c r="LP1020" s="22"/>
      <c r="LQ1020" s="22"/>
      <c r="LR1020" s="22"/>
      <c r="LS1020" s="22"/>
      <c r="LT1020" s="22"/>
      <c r="LU1020" s="22"/>
      <c r="LV1020" s="22"/>
      <c r="LW1020" s="22"/>
      <c r="LX1020" s="22"/>
      <c r="LY1020" s="22"/>
      <c r="LZ1020" s="22"/>
      <c r="MA1020" s="22"/>
      <c r="MB1020" s="22"/>
      <c r="MC1020" s="22"/>
      <c r="MD1020" s="22"/>
      <c r="ME1020" s="22"/>
      <c r="MF1020" s="22"/>
      <c r="MG1020" s="22"/>
      <c r="MH1020" s="22"/>
      <c r="MI1020" s="22"/>
      <c r="MJ1020" s="22"/>
      <c r="MK1020" s="22"/>
      <c r="ML1020" s="22"/>
      <c r="MM1020" s="22"/>
      <c r="MN1020" s="22"/>
      <c r="MO1020" s="22"/>
      <c r="MP1020" s="22"/>
      <c r="MQ1020" s="22"/>
      <c r="MR1020" s="22"/>
      <c r="MS1020" s="22"/>
      <c r="MT1020" s="22"/>
      <c r="MU1020" s="22"/>
      <c r="MV1020" s="22"/>
      <c r="MW1020" s="22"/>
      <c r="MX1020" s="22"/>
      <c r="MY1020" s="22"/>
      <c r="MZ1020" s="22"/>
      <c r="NA1020" s="22"/>
      <c r="NB1020" s="22"/>
      <c r="NC1020" s="22"/>
      <c r="ND1020" s="22"/>
      <c r="NE1020" s="22"/>
      <c r="NF1020" s="22"/>
      <c r="NG1020" s="22"/>
      <c r="NH1020" s="22"/>
      <c r="NI1020" s="22"/>
      <c r="NJ1020" s="22"/>
      <c r="NK1020" s="22"/>
      <c r="NL1020" s="22"/>
      <c r="NM1020" s="22"/>
      <c r="NN1020" s="22"/>
      <c r="NO1020" s="22"/>
      <c r="NP1020" s="22"/>
      <c r="NQ1020" s="22"/>
      <c r="NR1020" s="22"/>
      <c r="NS1020" s="22"/>
      <c r="NT1020" s="22"/>
      <c r="NU1020" s="22"/>
      <c r="NV1020" s="22"/>
      <c r="NW1020" s="22"/>
      <c r="NX1020" s="22"/>
      <c r="NY1020" s="22"/>
      <c r="NZ1020" s="22"/>
      <c r="OA1020" s="22"/>
      <c r="OB1020" s="22"/>
      <c r="OC1020" s="22"/>
      <c r="OD1020" s="22"/>
      <c r="OE1020" s="22"/>
      <c r="OF1020" s="22"/>
      <c r="OG1020" s="22"/>
      <c r="OH1020" s="22"/>
      <c r="OI1020" s="22"/>
      <c r="OJ1020" s="22"/>
      <c r="OK1020" s="22"/>
      <c r="OL1020" s="22"/>
      <c r="OM1020" s="22"/>
      <c r="ON1020" s="22"/>
      <c r="OO1020" s="22"/>
      <c r="OP1020" s="22"/>
      <c r="OQ1020" s="22"/>
      <c r="OR1020" s="22"/>
      <c r="OS1020" s="22"/>
      <c r="OT1020" s="22"/>
      <c r="OU1020" s="22"/>
      <c r="OV1020" s="22"/>
      <c r="OW1020" s="22"/>
      <c r="OX1020" s="22"/>
      <c r="OY1020" s="22"/>
      <c r="OZ1020" s="22"/>
      <c r="PA1020" s="22"/>
      <c r="PB1020" s="22"/>
      <c r="PC1020" s="22"/>
      <c r="PD1020" s="22"/>
      <c r="PE1020" s="22"/>
      <c r="PF1020" s="22"/>
      <c r="PG1020" s="22"/>
      <c r="PH1020" s="22"/>
      <c r="PI1020" s="22"/>
      <c r="PJ1020" s="22"/>
      <c r="PK1020" s="22"/>
      <c r="PL1020" s="22"/>
      <c r="PM1020" s="22"/>
      <c r="PN1020" s="22"/>
      <c r="PO1020" s="22"/>
      <c r="PP1020" s="22"/>
      <c r="PQ1020" s="22"/>
      <c r="PR1020" s="22"/>
      <c r="PS1020" s="22"/>
      <c r="PT1020" s="22"/>
      <c r="PU1020" s="22"/>
      <c r="PV1020" s="22"/>
      <c r="PW1020" s="22"/>
      <c r="PX1020" s="22"/>
      <c r="PY1020" s="22"/>
      <c r="PZ1020" s="22"/>
      <c r="QA1020" s="22"/>
      <c r="QB1020" s="22"/>
      <c r="QC1020" s="22"/>
      <c r="QD1020" s="22"/>
      <c r="QE1020" s="22"/>
      <c r="QF1020" s="22"/>
      <c r="QG1020" s="22"/>
      <c r="QH1020" s="22"/>
      <c r="QI1020" s="22"/>
      <c r="QJ1020" s="22"/>
      <c r="QK1020" s="22"/>
      <c r="QL1020" s="22"/>
      <c r="QM1020" s="22"/>
      <c r="QN1020" s="22"/>
      <c r="QO1020" s="22"/>
      <c r="QP1020" s="22"/>
      <c r="QQ1020" s="22"/>
      <c r="QR1020" s="22"/>
      <c r="QS1020" s="22"/>
      <c r="QT1020" s="22"/>
      <c r="QU1020" s="22"/>
      <c r="QV1020" s="22"/>
      <c r="QW1020" s="22"/>
      <c r="QX1020" s="22"/>
      <c r="QY1020" s="22"/>
      <c r="QZ1020" s="22"/>
      <c r="RA1020" s="22"/>
      <c r="RB1020" s="22"/>
      <c r="RC1020" s="22"/>
      <c r="RD1020" s="22"/>
      <c r="RE1020" s="22"/>
      <c r="RF1020" s="22"/>
      <c r="RG1020" s="22"/>
      <c r="RH1020" s="22"/>
      <c r="RI1020" s="22"/>
      <c r="RJ1020" s="22"/>
      <c r="RK1020" s="22"/>
      <c r="RL1020" s="22"/>
      <c r="RM1020" s="22"/>
      <c r="RN1020" s="22"/>
      <c r="RO1020" s="22"/>
      <c r="RP1020" s="22"/>
      <c r="RQ1020" s="22"/>
      <c r="RR1020" s="22"/>
      <c r="RS1020" s="22"/>
      <c r="RT1020" s="22"/>
      <c r="RU1020" s="22"/>
      <c r="RV1020" s="22"/>
      <c r="RW1020" s="22"/>
      <c r="RX1020" s="22"/>
      <c r="RY1020" s="22"/>
      <c r="RZ1020" s="22"/>
      <c r="SA1020" s="22"/>
      <c r="SB1020" s="22"/>
      <c r="SC1020" s="22"/>
      <c r="SD1020" s="22"/>
      <c r="SE1020" s="22"/>
      <c r="SF1020" s="22"/>
      <c r="SG1020" s="22"/>
      <c r="SH1020" s="22"/>
      <c r="SI1020" s="22"/>
      <c r="SJ1020" s="22"/>
      <c r="SK1020" s="22"/>
      <c r="SL1020" s="22"/>
      <c r="SM1020" s="22"/>
      <c r="SN1020" s="22"/>
      <c r="SO1020" s="22"/>
      <c r="SP1020" s="22"/>
      <c r="SQ1020" s="22"/>
      <c r="SR1020" s="22"/>
      <c r="SS1020" s="22"/>
      <c r="ST1020" s="22"/>
      <c r="SU1020" s="22"/>
      <c r="SV1020" s="22"/>
      <c r="SW1020" s="22"/>
      <c r="SX1020" s="22"/>
      <c r="SY1020" s="22"/>
      <c r="SZ1020" s="22"/>
      <c r="TA1020" s="22"/>
      <c r="TB1020" s="22"/>
      <c r="TC1020" s="22"/>
      <c r="TD1020" s="22"/>
      <c r="TE1020" s="22"/>
      <c r="TF1020" s="22"/>
      <c r="TG1020" s="22"/>
      <c r="TH1020" s="22"/>
      <c r="TI1020" s="22"/>
      <c r="TJ1020" s="22"/>
      <c r="TK1020" s="22"/>
      <c r="TL1020" s="22"/>
      <c r="TM1020" s="22"/>
      <c r="TN1020" s="22"/>
      <c r="TO1020" s="22"/>
      <c r="TP1020" s="22"/>
      <c r="TQ1020" s="22"/>
      <c r="TR1020" s="22"/>
      <c r="TS1020" s="22"/>
      <c r="TT1020" s="22"/>
      <c r="TU1020" s="22"/>
      <c r="TV1020" s="22"/>
      <c r="TW1020" s="22"/>
      <c r="TX1020" s="22"/>
      <c r="TY1020" s="22"/>
      <c r="TZ1020" s="22"/>
      <c r="UA1020" s="22"/>
      <c r="UB1020" s="22"/>
      <c r="UC1020" s="22"/>
      <c r="UD1020" s="22"/>
      <c r="UE1020" s="22"/>
      <c r="UF1020" s="22"/>
      <c r="UG1020" s="23"/>
    </row>
    <row r="1021" spans="1:553" ht="39" customHeight="1">
      <c r="A1021" s="356"/>
      <c r="B1021" s="356"/>
      <c r="C1021" s="375" t="s">
        <v>52</v>
      </c>
      <c r="D1021" s="418" t="str">
        <f>D986</f>
        <v>2</v>
      </c>
      <c r="E1021" s="418" t="str">
        <f>E986</f>
        <v>344</v>
      </c>
      <c r="F1021" s="366"/>
      <c r="G1021" s="386" t="s">
        <v>935</v>
      </c>
      <c r="H1021" s="370"/>
      <c r="I1021" s="370">
        <f>I986</f>
        <v>203.1</v>
      </c>
      <c r="J1021" s="368">
        <v>16000</v>
      </c>
      <c r="K1021" s="371"/>
      <c r="L1021" s="366">
        <f>I1021*J1021</f>
        <v>3249600</v>
      </c>
      <c r="M1021" s="356"/>
      <c r="N1021" s="356"/>
      <c r="O1021" s="356"/>
      <c r="P1021" s="356"/>
      <c r="Q1021" s="610"/>
      <c r="R1021" s="1226"/>
      <c r="S1021" s="308"/>
      <c r="T1021" s="308"/>
      <c r="U1021" s="308"/>
      <c r="V1021" s="308"/>
      <c r="W1021" s="308"/>
      <c r="X1021" s="308"/>
      <c r="Y1021" s="308"/>
      <c r="Z1021" s="604"/>
      <c r="AA1021" s="308"/>
      <c r="AB1021" s="308"/>
      <c r="AC1021" s="373"/>
      <c r="AD1021" s="373"/>
      <c r="AE1021" s="373"/>
      <c r="AF1021" s="373"/>
      <c r="AG1021" s="373"/>
      <c r="AH1021" s="373"/>
      <c r="AI1021" s="373"/>
      <c r="AJ1021" s="373"/>
      <c r="AK1021" s="389"/>
      <c r="AL1021" s="100"/>
      <c r="AM1021" s="27"/>
      <c r="AN1021" s="27"/>
      <c r="AO1021" s="27"/>
      <c r="AP1021" s="27"/>
      <c r="AQ1021" s="27"/>
      <c r="AR1021" s="27"/>
      <c r="AS1021" s="22"/>
      <c r="AT1021" s="22"/>
      <c r="AU1021" s="22"/>
      <c r="AV1021" s="22"/>
      <c r="AW1021" s="22"/>
      <c r="AX1021" s="22"/>
      <c r="AY1021" s="22"/>
      <c r="AZ1021" s="22"/>
      <c r="BA1021" s="22"/>
      <c r="BB1021" s="22"/>
      <c r="BC1021" s="22"/>
      <c r="BD1021" s="22"/>
      <c r="BE1021" s="22"/>
      <c r="BF1021" s="22"/>
      <c r="BG1021" s="22"/>
      <c r="BH1021" s="22"/>
      <c r="BI1021" s="22"/>
      <c r="BJ1021" s="22"/>
      <c r="BK1021" s="22"/>
      <c r="BL1021" s="22"/>
      <c r="BM1021" s="22"/>
      <c r="BN1021" s="22"/>
      <c r="BO1021" s="22"/>
      <c r="BP1021" s="22"/>
      <c r="BQ1021" s="22"/>
      <c r="BR1021" s="22"/>
      <c r="BS1021" s="22"/>
      <c r="BT1021" s="22"/>
      <c r="BU1021" s="22"/>
      <c r="BV1021" s="22"/>
      <c r="BW1021" s="22"/>
      <c r="BX1021" s="22"/>
      <c r="BY1021" s="22"/>
      <c r="BZ1021" s="22"/>
      <c r="CA1021" s="22"/>
      <c r="CB1021" s="22"/>
      <c r="CC1021" s="22"/>
      <c r="CD1021" s="22"/>
      <c r="CE1021" s="22"/>
      <c r="CF1021" s="22"/>
      <c r="CG1021" s="22"/>
      <c r="CH1021" s="22"/>
      <c r="CI1021" s="22"/>
      <c r="CJ1021" s="22"/>
      <c r="CK1021" s="22"/>
      <c r="CL1021" s="22"/>
      <c r="CM1021" s="22"/>
      <c r="CN1021" s="22"/>
      <c r="CO1021" s="22"/>
      <c r="CP1021" s="22"/>
      <c r="CQ1021" s="22"/>
      <c r="CR1021" s="22"/>
      <c r="CS1021" s="22"/>
      <c r="CT1021" s="22"/>
      <c r="CU1021" s="22"/>
      <c r="CV1021" s="22"/>
      <c r="CW1021" s="22"/>
      <c r="CX1021" s="22"/>
      <c r="CY1021" s="22"/>
      <c r="CZ1021" s="22"/>
      <c r="DA1021" s="22"/>
      <c r="DB1021" s="22"/>
      <c r="DC1021" s="22"/>
      <c r="DD1021" s="22"/>
      <c r="DE1021" s="22"/>
      <c r="DF1021" s="22"/>
      <c r="DG1021" s="22"/>
      <c r="DH1021" s="22"/>
      <c r="DI1021" s="22"/>
      <c r="DJ1021" s="22"/>
      <c r="DK1021" s="22"/>
      <c r="DL1021" s="22"/>
      <c r="DM1021" s="22"/>
      <c r="DN1021" s="22"/>
      <c r="DO1021" s="22"/>
      <c r="DP1021" s="22"/>
      <c r="DQ1021" s="22"/>
      <c r="DR1021" s="22"/>
      <c r="DS1021" s="22"/>
      <c r="DT1021" s="22"/>
      <c r="DU1021" s="22"/>
      <c r="DV1021" s="22"/>
      <c r="DW1021" s="22"/>
      <c r="DX1021" s="22"/>
      <c r="DY1021" s="22"/>
      <c r="DZ1021" s="22"/>
      <c r="EA1021" s="22"/>
      <c r="EB1021" s="22"/>
      <c r="EC1021" s="22"/>
      <c r="ED1021" s="22"/>
      <c r="EE1021" s="22"/>
      <c r="EF1021" s="22"/>
      <c r="EG1021" s="22"/>
      <c r="EH1021" s="22"/>
      <c r="EI1021" s="22"/>
      <c r="EJ1021" s="22"/>
      <c r="EK1021" s="22"/>
      <c r="EL1021" s="22"/>
      <c r="EM1021" s="22"/>
      <c r="EN1021" s="22"/>
      <c r="EO1021" s="22"/>
      <c r="EP1021" s="22"/>
      <c r="EQ1021" s="22"/>
      <c r="ER1021" s="22"/>
      <c r="ES1021" s="22"/>
      <c r="ET1021" s="22"/>
      <c r="EU1021" s="22"/>
      <c r="EV1021" s="22"/>
      <c r="EW1021" s="22"/>
      <c r="EX1021" s="22"/>
      <c r="EY1021" s="22"/>
      <c r="EZ1021" s="22"/>
      <c r="FA1021" s="22"/>
      <c r="FB1021" s="22"/>
      <c r="FC1021" s="22"/>
      <c r="FD1021" s="22"/>
      <c r="FE1021" s="22"/>
      <c r="FF1021" s="22"/>
      <c r="FG1021" s="22"/>
      <c r="FH1021" s="22"/>
      <c r="FI1021" s="22"/>
      <c r="FJ1021" s="22"/>
      <c r="FK1021" s="22"/>
      <c r="FL1021" s="22"/>
      <c r="FM1021" s="22"/>
      <c r="FN1021" s="22"/>
      <c r="FO1021" s="22"/>
      <c r="FP1021" s="22"/>
      <c r="FQ1021" s="22"/>
      <c r="FR1021" s="22"/>
      <c r="FS1021" s="22"/>
      <c r="FT1021" s="22"/>
      <c r="FU1021" s="22"/>
      <c r="FV1021" s="22"/>
      <c r="FW1021" s="22"/>
      <c r="FX1021" s="22"/>
      <c r="FY1021" s="22"/>
      <c r="FZ1021" s="22"/>
      <c r="GA1021" s="22"/>
      <c r="GB1021" s="22"/>
      <c r="GC1021" s="22"/>
      <c r="GD1021" s="22"/>
      <c r="GE1021" s="22"/>
      <c r="GF1021" s="22"/>
      <c r="GG1021" s="22"/>
      <c r="GH1021" s="22"/>
      <c r="GI1021" s="22"/>
      <c r="GJ1021" s="22"/>
      <c r="GK1021" s="22"/>
      <c r="GL1021" s="22"/>
      <c r="GM1021" s="22"/>
      <c r="GN1021" s="22"/>
      <c r="GO1021" s="22"/>
      <c r="GP1021" s="22"/>
      <c r="GQ1021" s="22"/>
      <c r="GR1021" s="22"/>
      <c r="GS1021" s="22"/>
      <c r="GT1021" s="22"/>
      <c r="GU1021" s="22"/>
      <c r="GV1021" s="22"/>
      <c r="GW1021" s="22"/>
      <c r="GX1021" s="22"/>
      <c r="GY1021" s="22"/>
      <c r="GZ1021" s="22"/>
      <c r="HA1021" s="22"/>
      <c r="HB1021" s="22"/>
      <c r="HC1021" s="22"/>
      <c r="HD1021" s="22"/>
      <c r="HE1021" s="22"/>
      <c r="HF1021" s="22"/>
      <c r="HG1021" s="22"/>
      <c r="HH1021" s="22"/>
      <c r="HI1021" s="22"/>
      <c r="HJ1021" s="22"/>
      <c r="HK1021" s="22"/>
      <c r="HL1021" s="22"/>
      <c r="HM1021" s="22"/>
      <c r="HN1021" s="22"/>
      <c r="HO1021" s="22"/>
      <c r="HP1021" s="22"/>
      <c r="HQ1021" s="22"/>
      <c r="HR1021" s="22"/>
      <c r="HS1021" s="22"/>
      <c r="HT1021" s="22"/>
      <c r="HU1021" s="22"/>
      <c r="HV1021" s="22"/>
      <c r="HW1021" s="22"/>
      <c r="HX1021" s="22"/>
      <c r="HY1021" s="22"/>
      <c r="HZ1021" s="22"/>
      <c r="IA1021" s="22"/>
      <c r="IB1021" s="22"/>
      <c r="IC1021" s="22"/>
      <c r="ID1021" s="22"/>
      <c r="IE1021" s="22"/>
      <c r="IF1021" s="22"/>
      <c r="IG1021" s="22"/>
      <c r="IH1021" s="22"/>
      <c r="II1021" s="22"/>
      <c r="IJ1021" s="22"/>
      <c r="IK1021" s="22"/>
      <c r="IL1021" s="22"/>
      <c r="IM1021" s="22"/>
      <c r="IN1021" s="22"/>
      <c r="IO1021" s="22"/>
      <c r="IP1021" s="22"/>
      <c r="IQ1021" s="22"/>
      <c r="IR1021" s="22"/>
      <c r="IS1021" s="22"/>
      <c r="IT1021" s="22"/>
      <c r="IU1021" s="22"/>
      <c r="IV1021" s="22"/>
      <c r="IW1021" s="22"/>
      <c r="IX1021" s="22"/>
      <c r="IY1021" s="22"/>
      <c r="IZ1021" s="22"/>
      <c r="JA1021" s="22"/>
      <c r="JB1021" s="22"/>
      <c r="JC1021" s="22"/>
      <c r="JD1021" s="22"/>
      <c r="JE1021" s="22"/>
      <c r="JF1021" s="22"/>
      <c r="JG1021" s="22"/>
      <c r="JH1021" s="22"/>
      <c r="JI1021" s="22"/>
      <c r="JJ1021" s="22"/>
      <c r="JK1021" s="22"/>
      <c r="JL1021" s="22"/>
      <c r="JM1021" s="22"/>
      <c r="JN1021" s="22"/>
      <c r="JO1021" s="22"/>
      <c r="JP1021" s="22"/>
      <c r="JQ1021" s="22"/>
      <c r="JR1021" s="22"/>
      <c r="JS1021" s="22"/>
      <c r="JT1021" s="22"/>
      <c r="JU1021" s="22"/>
      <c r="JV1021" s="22"/>
      <c r="JW1021" s="22"/>
      <c r="JX1021" s="22"/>
      <c r="JY1021" s="22"/>
      <c r="JZ1021" s="22"/>
      <c r="KA1021" s="22"/>
      <c r="KB1021" s="22"/>
      <c r="KC1021" s="22"/>
      <c r="KD1021" s="22"/>
      <c r="KE1021" s="22"/>
      <c r="KF1021" s="22"/>
      <c r="KG1021" s="22"/>
      <c r="KH1021" s="22"/>
      <c r="KI1021" s="22"/>
      <c r="KJ1021" s="22"/>
      <c r="KK1021" s="22"/>
      <c r="KL1021" s="22"/>
      <c r="KM1021" s="22"/>
      <c r="KN1021" s="22"/>
      <c r="KO1021" s="22"/>
      <c r="KP1021" s="22"/>
      <c r="KQ1021" s="22"/>
      <c r="KR1021" s="22"/>
      <c r="KS1021" s="22"/>
      <c r="KT1021" s="22"/>
      <c r="KU1021" s="22"/>
      <c r="KV1021" s="22"/>
      <c r="KW1021" s="22"/>
      <c r="KX1021" s="22"/>
      <c r="KY1021" s="22"/>
      <c r="KZ1021" s="22"/>
      <c r="LA1021" s="22"/>
      <c r="LB1021" s="22"/>
      <c r="LC1021" s="22"/>
      <c r="LD1021" s="22"/>
      <c r="LE1021" s="22"/>
      <c r="LF1021" s="22"/>
      <c r="LG1021" s="22"/>
      <c r="LH1021" s="22"/>
      <c r="LI1021" s="22"/>
      <c r="LJ1021" s="22"/>
      <c r="LK1021" s="22"/>
      <c r="LL1021" s="22"/>
      <c r="LM1021" s="22"/>
      <c r="LN1021" s="22"/>
      <c r="LO1021" s="22"/>
      <c r="LP1021" s="22"/>
      <c r="LQ1021" s="22"/>
      <c r="LR1021" s="22"/>
      <c r="LS1021" s="22"/>
      <c r="LT1021" s="22"/>
      <c r="LU1021" s="22"/>
      <c r="LV1021" s="22"/>
      <c r="LW1021" s="22"/>
      <c r="LX1021" s="22"/>
      <c r="LY1021" s="22"/>
      <c r="LZ1021" s="22"/>
      <c r="MA1021" s="22"/>
      <c r="MB1021" s="22"/>
      <c r="MC1021" s="22"/>
      <c r="MD1021" s="22"/>
      <c r="ME1021" s="22"/>
      <c r="MF1021" s="22"/>
      <c r="MG1021" s="22"/>
      <c r="MH1021" s="22"/>
      <c r="MI1021" s="22"/>
      <c r="MJ1021" s="22"/>
      <c r="MK1021" s="22"/>
      <c r="ML1021" s="22"/>
      <c r="MM1021" s="22"/>
      <c r="MN1021" s="22"/>
      <c r="MO1021" s="22"/>
      <c r="MP1021" s="22"/>
      <c r="MQ1021" s="22"/>
      <c r="MR1021" s="22"/>
      <c r="MS1021" s="22"/>
      <c r="MT1021" s="22"/>
      <c r="MU1021" s="22"/>
      <c r="MV1021" s="22"/>
      <c r="MW1021" s="22"/>
      <c r="MX1021" s="22"/>
      <c r="MY1021" s="22"/>
      <c r="MZ1021" s="22"/>
      <c r="NA1021" s="22"/>
      <c r="NB1021" s="22"/>
      <c r="NC1021" s="22"/>
      <c r="ND1021" s="22"/>
      <c r="NE1021" s="22"/>
      <c r="NF1021" s="22"/>
      <c r="NG1021" s="22"/>
      <c r="NH1021" s="22"/>
      <c r="NI1021" s="22"/>
      <c r="NJ1021" s="22"/>
      <c r="NK1021" s="22"/>
      <c r="NL1021" s="22"/>
      <c r="NM1021" s="22"/>
      <c r="NN1021" s="22"/>
      <c r="NO1021" s="22"/>
      <c r="NP1021" s="22"/>
      <c r="NQ1021" s="22"/>
      <c r="NR1021" s="22"/>
      <c r="NS1021" s="22"/>
      <c r="NT1021" s="22"/>
      <c r="NU1021" s="22"/>
      <c r="NV1021" s="22"/>
      <c r="NW1021" s="22"/>
      <c r="NX1021" s="22"/>
      <c r="NY1021" s="22"/>
      <c r="NZ1021" s="22"/>
      <c r="OA1021" s="22"/>
      <c r="OB1021" s="22"/>
      <c r="OC1021" s="22"/>
      <c r="OD1021" s="22"/>
      <c r="OE1021" s="22"/>
      <c r="OF1021" s="22"/>
      <c r="OG1021" s="22"/>
      <c r="OH1021" s="22"/>
      <c r="OI1021" s="22"/>
      <c r="OJ1021" s="22"/>
      <c r="OK1021" s="22"/>
      <c r="OL1021" s="22"/>
      <c r="OM1021" s="22"/>
      <c r="ON1021" s="22"/>
      <c r="OO1021" s="22"/>
      <c r="OP1021" s="22"/>
      <c r="OQ1021" s="22"/>
      <c r="OR1021" s="22"/>
      <c r="OS1021" s="22"/>
      <c r="OT1021" s="22"/>
      <c r="OU1021" s="22"/>
      <c r="OV1021" s="22"/>
      <c r="OW1021" s="22"/>
      <c r="OX1021" s="22"/>
      <c r="OY1021" s="22"/>
      <c r="OZ1021" s="22"/>
      <c r="PA1021" s="22"/>
      <c r="PB1021" s="22"/>
      <c r="PC1021" s="22"/>
      <c r="PD1021" s="22"/>
      <c r="PE1021" s="22"/>
      <c r="PF1021" s="22"/>
      <c r="PG1021" s="22"/>
      <c r="PH1021" s="22"/>
      <c r="PI1021" s="22"/>
      <c r="PJ1021" s="22"/>
      <c r="PK1021" s="22"/>
      <c r="PL1021" s="22"/>
      <c r="PM1021" s="22"/>
      <c r="PN1021" s="22"/>
      <c r="PO1021" s="22"/>
      <c r="PP1021" s="22"/>
      <c r="PQ1021" s="22"/>
      <c r="PR1021" s="22"/>
      <c r="PS1021" s="22"/>
      <c r="PT1021" s="22"/>
      <c r="PU1021" s="22"/>
      <c r="PV1021" s="22"/>
      <c r="PW1021" s="22"/>
      <c r="PX1021" s="22"/>
      <c r="PY1021" s="22"/>
      <c r="PZ1021" s="22"/>
      <c r="QA1021" s="22"/>
      <c r="QB1021" s="22"/>
      <c r="QC1021" s="22"/>
      <c r="QD1021" s="22"/>
      <c r="QE1021" s="22"/>
      <c r="QF1021" s="22"/>
      <c r="QG1021" s="22"/>
      <c r="QH1021" s="22"/>
      <c r="QI1021" s="22"/>
      <c r="QJ1021" s="22"/>
      <c r="QK1021" s="22"/>
      <c r="QL1021" s="22"/>
      <c r="QM1021" s="22"/>
      <c r="QN1021" s="22"/>
      <c r="QO1021" s="22"/>
      <c r="QP1021" s="22"/>
      <c r="QQ1021" s="22"/>
      <c r="QR1021" s="22"/>
      <c r="QS1021" s="22"/>
      <c r="QT1021" s="22"/>
      <c r="QU1021" s="22"/>
      <c r="QV1021" s="22"/>
      <c r="QW1021" s="22"/>
      <c r="QX1021" s="22"/>
      <c r="QY1021" s="22"/>
      <c r="QZ1021" s="22"/>
      <c r="RA1021" s="22"/>
      <c r="RB1021" s="22"/>
      <c r="RC1021" s="22"/>
      <c r="RD1021" s="22"/>
      <c r="RE1021" s="22"/>
      <c r="RF1021" s="22"/>
      <c r="RG1021" s="22"/>
      <c r="RH1021" s="22"/>
      <c r="RI1021" s="22"/>
      <c r="RJ1021" s="22"/>
      <c r="RK1021" s="22"/>
      <c r="RL1021" s="22"/>
      <c r="RM1021" s="22"/>
      <c r="RN1021" s="22"/>
      <c r="RO1021" s="22"/>
      <c r="RP1021" s="22"/>
      <c r="RQ1021" s="22"/>
      <c r="RR1021" s="22"/>
      <c r="RS1021" s="22"/>
      <c r="RT1021" s="22"/>
      <c r="RU1021" s="22"/>
      <c r="RV1021" s="22"/>
      <c r="RW1021" s="22"/>
      <c r="RX1021" s="22"/>
      <c r="RY1021" s="22"/>
      <c r="RZ1021" s="22"/>
      <c r="SA1021" s="22"/>
      <c r="SB1021" s="22"/>
      <c r="SC1021" s="22"/>
      <c r="SD1021" s="22"/>
      <c r="SE1021" s="22"/>
      <c r="SF1021" s="22"/>
      <c r="SG1021" s="22"/>
      <c r="SH1021" s="22"/>
      <c r="SI1021" s="22"/>
      <c r="SJ1021" s="22"/>
      <c r="SK1021" s="22"/>
      <c r="SL1021" s="22"/>
      <c r="SM1021" s="22"/>
      <c r="SN1021" s="22"/>
      <c r="SO1021" s="22"/>
      <c r="SP1021" s="22"/>
      <c r="SQ1021" s="22"/>
      <c r="SR1021" s="22"/>
      <c r="SS1021" s="22"/>
      <c r="ST1021" s="22"/>
      <c r="SU1021" s="22"/>
      <c r="SV1021" s="22"/>
      <c r="SW1021" s="22"/>
      <c r="SX1021" s="22"/>
      <c r="SY1021" s="22"/>
      <c r="SZ1021" s="22"/>
      <c r="TA1021" s="22"/>
      <c r="TB1021" s="22"/>
      <c r="TC1021" s="22"/>
      <c r="TD1021" s="22"/>
      <c r="TE1021" s="22"/>
      <c r="TF1021" s="22"/>
      <c r="TG1021" s="22"/>
      <c r="TH1021" s="22"/>
      <c r="TI1021" s="22"/>
      <c r="TJ1021" s="22"/>
      <c r="TK1021" s="22"/>
      <c r="TL1021" s="22"/>
      <c r="TM1021" s="22"/>
      <c r="TN1021" s="22"/>
      <c r="TO1021" s="22"/>
      <c r="TP1021" s="22"/>
      <c r="TQ1021" s="22"/>
      <c r="TR1021" s="22"/>
      <c r="TS1021" s="22"/>
      <c r="TT1021" s="22"/>
      <c r="TU1021" s="22"/>
      <c r="TV1021" s="22"/>
      <c r="TW1021" s="22"/>
      <c r="TX1021" s="22"/>
      <c r="TY1021" s="22"/>
      <c r="TZ1021" s="22"/>
      <c r="UA1021" s="22"/>
      <c r="UB1021" s="22"/>
      <c r="UC1021" s="22"/>
      <c r="UD1021" s="22"/>
      <c r="UE1021" s="22"/>
      <c r="UF1021" s="22"/>
      <c r="UG1021" s="23"/>
    </row>
    <row r="1022" spans="1:553" ht="39" customHeight="1">
      <c r="A1022" s="356"/>
      <c r="B1022" s="356"/>
      <c r="C1022" s="375" t="s">
        <v>52</v>
      </c>
      <c r="D1022" s="418" t="str">
        <f>D987</f>
        <v>2</v>
      </c>
      <c r="E1022" s="418" t="str">
        <f>E987</f>
        <v>359</v>
      </c>
      <c r="F1022" s="366"/>
      <c r="G1022" s="386" t="s">
        <v>935</v>
      </c>
      <c r="H1022" s="370"/>
      <c r="I1022" s="370">
        <f>I987</f>
        <v>67.7</v>
      </c>
      <c r="J1022" s="368">
        <v>16000</v>
      </c>
      <c r="K1022" s="371"/>
      <c r="L1022" s="366">
        <f>I1022*J1022</f>
        <v>1083200</v>
      </c>
      <c r="M1022" s="356"/>
      <c r="N1022" s="356"/>
      <c r="O1022" s="356"/>
      <c r="P1022" s="356"/>
      <c r="Q1022" s="610"/>
      <c r="R1022" s="1226"/>
      <c r="S1022" s="308"/>
      <c r="T1022" s="308"/>
      <c r="U1022" s="308"/>
      <c r="V1022" s="308"/>
      <c r="W1022" s="308"/>
      <c r="X1022" s="308"/>
      <c r="Y1022" s="308"/>
      <c r="Z1022" s="604"/>
      <c r="AA1022" s="308"/>
      <c r="AB1022" s="308"/>
      <c r="AC1022" s="373"/>
      <c r="AD1022" s="373"/>
      <c r="AE1022" s="373"/>
      <c r="AF1022" s="373"/>
      <c r="AG1022" s="373"/>
      <c r="AH1022" s="373"/>
      <c r="AI1022" s="373"/>
      <c r="AJ1022" s="373"/>
      <c r="AK1022" s="389"/>
      <c r="AL1022" s="100"/>
      <c r="AM1022" s="27"/>
      <c r="AN1022" s="27"/>
      <c r="AO1022" s="27"/>
      <c r="AP1022" s="27"/>
      <c r="AQ1022" s="27"/>
      <c r="AR1022" s="27"/>
      <c r="AS1022" s="22"/>
      <c r="AT1022" s="22"/>
      <c r="AU1022" s="22"/>
      <c r="AV1022" s="22"/>
      <c r="AW1022" s="22"/>
      <c r="AX1022" s="22"/>
      <c r="AY1022" s="22"/>
      <c r="AZ1022" s="22"/>
      <c r="BA1022" s="22"/>
      <c r="BB1022" s="22"/>
      <c r="BC1022" s="22"/>
      <c r="BD1022" s="22"/>
      <c r="BE1022" s="22"/>
      <c r="BF1022" s="22"/>
      <c r="BG1022" s="22"/>
      <c r="BH1022" s="22"/>
      <c r="BI1022" s="22"/>
      <c r="BJ1022" s="22"/>
      <c r="BK1022" s="22"/>
      <c r="BL1022" s="22"/>
      <c r="BM1022" s="22"/>
      <c r="BN1022" s="22"/>
      <c r="BO1022" s="22"/>
      <c r="BP1022" s="22"/>
      <c r="BQ1022" s="22"/>
      <c r="BR1022" s="22"/>
      <c r="BS1022" s="22"/>
      <c r="BT1022" s="22"/>
      <c r="BU1022" s="22"/>
      <c r="BV1022" s="22"/>
      <c r="BW1022" s="22"/>
      <c r="BX1022" s="22"/>
      <c r="BY1022" s="22"/>
      <c r="BZ1022" s="22"/>
      <c r="CA1022" s="22"/>
      <c r="CB1022" s="22"/>
      <c r="CC1022" s="22"/>
      <c r="CD1022" s="22"/>
      <c r="CE1022" s="22"/>
      <c r="CF1022" s="22"/>
      <c r="CG1022" s="22"/>
      <c r="CH1022" s="22"/>
      <c r="CI1022" s="22"/>
      <c r="CJ1022" s="22"/>
      <c r="CK1022" s="22"/>
      <c r="CL1022" s="22"/>
      <c r="CM1022" s="22"/>
      <c r="CN1022" s="22"/>
      <c r="CO1022" s="22"/>
      <c r="CP1022" s="22"/>
      <c r="CQ1022" s="22"/>
      <c r="CR1022" s="22"/>
      <c r="CS1022" s="22"/>
      <c r="CT1022" s="22"/>
      <c r="CU1022" s="22"/>
      <c r="CV1022" s="22"/>
      <c r="CW1022" s="22"/>
      <c r="CX1022" s="22"/>
      <c r="CY1022" s="22"/>
      <c r="CZ1022" s="22"/>
      <c r="DA1022" s="22"/>
      <c r="DB1022" s="22"/>
      <c r="DC1022" s="22"/>
      <c r="DD1022" s="22"/>
      <c r="DE1022" s="22"/>
      <c r="DF1022" s="22"/>
      <c r="DG1022" s="22"/>
      <c r="DH1022" s="22"/>
      <c r="DI1022" s="22"/>
      <c r="DJ1022" s="22"/>
      <c r="DK1022" s="22"/>
      <c r="DL1022" s="22"/>
      <c r="DM1022" s="22"/>
      <c r="DN1022" s="22"/>
      <c r="DO1022" s="22"/>
      <c r="DP1022" s="22"/>
      <c r="DQ1022" s="22"/>
      <c r="DR1022" s="22"/>
      <c r="DS1022" s="22"/>
      <c r="DT1022" s="22"/>
      <c r="DU1022" s="22"/>
      <c r="DV1022" s="22"/>
      <c r="DW1022" s="22"/>
      <c r="DX1022" s="22"/>
      <c r="DY1022" s="22"/>
      <c r="DZ1022" s="22"/>
      <c r="EA1022" s="22"/>
      <c r="EB1022" s="22"/>
      <c r="EC1022" s="22"/>
      <c r="ED1022" s="22"/>
      <c r="EE1022" s="22"/>
      <c r="EF1022" s="22"/>
      <c r="EG1022" s="22"/>
      <c r="EH1022" s="22"/>
      <c r="EI1022" s="22"/>
      <c r="EJ1022" s="22"/>
      <c r="EK1022" s="22"/>
      <c r="EL1022" s="22"/>
      <c r="EM1022" s="22"/>
      <c r="EN1022" s="22"/>
      <c r="EO1022" s="22"/>
      <c r="EP1022" s="22"/>
      <c r="EQ1022" s="22"/>
      <c r="ER1022" s="22"/>
      <c r="ES1022" s="22"/>
      <c r="ET1022" s="22"/>
      <c r="EU1022" s="22"/>
      <c r="EV1022" s="22"/>
      <c r="EW1022" s="22"/>
      <c r="EX1022" s="22"/>
      <c r="EY1022" s="22"/>
      <c r="EZ1022" s="22"/>
      <c r="FA1022" s="22"/>
      <c r="FB1022" s="22"/>
      <c r="FC1022" s="22"/>
      <c r="FD1022" s="22"/>
      <c r="FE1022" s="22"/>
      <c r="FF1022" s="22"/>
      <c r="FG1022" s="22"/>
      <c r="FH1022" s="22"/>
      <c r="FI1022" s="22"/>
      <c r="FJ1022" s="22"/>
      <c r="FK1022" s="22"/>
      <c r="FL1022" s="22"/>
      <c r="FM1022" s="22"/>
      <c r="FN1022" s="22"/>
      <c r="FO1022" s="22"/>
      <c r="FP1022" s="22"/>
      <c r="FQ1022" s="22"/>
      <c r="FR1022" s="22"/>
      <c r="FS1022" s="22"/>
      <c r="FT1022" s="22"/>
      <c r="FU1022" s="22"/>
      <c r="FV1022" s="22"/>
      <c r="FW1022" s="22"/>
      <c r="FX1022" s="22"/>
      <c r="FY1022" s="22"/>
      <c r="FZ1022" s="22"/>
      <c r="GA1022" s="22"/>
      <c r="GB1022" s="22"/>
      <c r="GC1022" s="22"/>
      <c r="GD1022" s="22"/>
      <c r="GE1022" s="22"/>
      <c r="GF1022" s="22"/>
      <c r="GG1022" s="22"/>
      <c r="GH1022" s="22"/>
      <c r="GI1022" s="22"/>
      <c r="GJ1022" s="22"/>
      <c r="GK1022" s="22"/>
      <c r="GL1022" s="22"/>
      <c r="GM1022" s="22"/>
      <c r="GN1022" s="22"/>
      <c r="GO1022" s="22"/>
      <c r="GP1022" s="22"/>
      <c r="GQ1022" s="22"/>
      <c r="GR1022" s="22"/>
      <c r="GS1022" s="22"/>
      <c r="GT1022" s="22"/>
      <c r="GU1022" s="22"/>
      <c r="GV1022" s="22"/>
      <c r="GW1022" s="22"/>
      <c r="GX1022" s="22"/>
      <c r="GY1022" s="22"/>
      <c r="GZ1022" s="22"/>
      <c r="HA1022" s="22"/>
      <c r="HB1022" s="22"/>
      <c r="HC1022" s="22"/>
      <c r="HD1022" s="22"/>
      <c r="HE1022" s="22"/>
      <c r="HF1022" s="22"/>
      <c r="HG1022" s="22"/>
      <c r="HH1022" s="22"/>
      <c r="HI1022" s="22"/>
      <c r="HJ1022" s="22"/>
      <c r="HK1022" s="22"/>
      <c r="HL1022" s="22"/>
      <c r="HM1022" s="22"/>
      <c r="HN1022" s="22"/>
      <c r="HO1022" s="22"/>
      <c r="HP1022" s="22"/>
      <c r="HQ1022" s="22"/>
      <c r="HR1022" s="22"/>
      <c r="HS1022" s="22"/>
      <c r="HT1022" s="22"/>
      <c r="HU1022" s="22"/>
      <c r="HV1022" s="22"/>
      <c r="HW1022" s="22"/>
      <c r="HX1022" s="22"/>
      <c r="HY1022" s="22"/>
      <c r="HZ1022" s="22"/>
      <c r="IA1022" s="22"/>
      <c r="IB1022" s="22"/>
      <c r="IC1022" s="22"/>
      <c r="ID1022" s="22"/>
      <c r="IE1022" s="22"/>
      <c r="IF1022" s="22"/>
      <c r="IG1022" s="22"/>
      <c r="IH1022" s="22"/>
      <c r="II1022" s="22"/>
      <c r="IJ1022" s="22"/>
      <c r="IK1022" s="22"/>
      <c r="IL1022" s="22"/>
      <c r="IM1022" s="22"/>
      <c r="IN1022" s="22"/>
      <c r="IO1022" s="22"/>
      <c r="IP1022" s="22"/>
      <c r="IQ1022" s="22"/>
      <c r="IR1022" s="22"/>
      <c r="IS1022" s="22"/>
      <c r="IT1022" s="22"/>
      <c r="IU1022" s="22"/>
      <c r="IV1022" s="22"/>
      <c r="IW1022" s="22"/>
      <c r="IX1022" s="22"/>
      <c r="IY1022" s="22"/>
      <c r="IZ1022" s="22"/>
      <c r="JA1022" s="22"/>
      <c r="JB1022" s="22"/>
      <c r="JC1022" s="22"/>
      <c r="JD1022" s="22"/>
      <c r="JE1022" s="22"/>
      <c r="JF1022" s="22"/>
      <c r="JG1022" s="22"/>
      <c r="JH1022" s="22"/>
      <c r="JI1022" s="22"/>
      <c r="JJ1022" s="22"/>
      <c r="JK1022" s="22"/>
      <c r="JL1022" s="22"/>
      <c r="JM1022" s="22"/>
      <c r="JN1022" s="22"/>
      <c r="JO1022" s="22"/>
      <c r="JP1022" s="22"/>
      <c r="JQ1022" s="22"/>
      <c r="JR1022" s="22"/>
      <c r="JS1022" s="22"/>
      <c r="JT1022" s="22"/>
      <c r="JU1022" s="22"/>
      <c r="JV1022" s="22"/>
      <c r="JW1022" s="22"/>
      <c r="JX1022" s="22"/>
      <c r="JY1022" s="22"/>
      <c r="JZ1022" s="22"/>
      <c r="KA1022" s="22"/>
      <c r="KB1022" s="22"/>
      <c r="KC1022" s="22"/>
      <c r="KD1022" s="22"/>
      <c r="KE1022" s="22"/>
      <c r="KF1022" s="22"/>
      <c r="KG1022" s="22"/>
      <c r="KH1022" s="22"/>
      <c r="KI1022" s="22"/>
      <c r="KJ1022" s="22"/>
      <c r="KK1022" s="22"/>
      <c r="KL1022" s="22"/>
      <c r="KM1022" s="22"/>
      <c r="KN1022" s="22"/>
      <c r="KO1022" s="22"/>
      <c r="KP1022" s="22"/>
      <c r="KQ1022" s="22"/>
      <c r="KR1022" s="22"/>
      <c r="KS1022" s="22"/>
      <c r="KT1022" s="22"/>
      <c r="KU1022" s="22"/>
      <c r="KV1022" s="22"/>
      <c r="KW1022" s="22"/>
      <c r="KX1022" s="22"/>
      <c r="KY1022" s="22"/>
      <c r="KZ1022" s="22"/>
      <c r="LA1022" s="22"/>
      <c r="LB1022" s="22"/>
      <c r="LC1022" s="22"/>
      <c r="LD1022" s="22"/>
      <c r="LE1022" s="22"/>
      <c r="LF1022" s="22"/>
      <c r="LG1022" s="22"/>
      <c r="LH1022" s="22"/>
      <c r="LI1022" s="22"/>
      <c r="LJ1022" s="22"/>
      <c r="LK1022" s="22"/>
      <c r="LL1022" s="22"/>
      <c r="LM1022" s="22"/>
      <c r="LN1022" s="22"/>
      <c r="LO1022" s="22"/>
      <c r="LP1022" s="22"/>
      <c r="LQ1022" s="22"/>
      <c r="LR1022" s="22"/>
      <c r="LS1022" s="22"/>
      <c r="LT1022" s="22"/>
      <c r="LU1022" s="22"/>
      <c r="LV1022" s="22"/>
      <c r="LW1022" s="22"/>
      <c r="LX1022" s="22"/>
      <c r="LY1022" s="22"/>
      <c r="LZ1022" s="22"/>
      <c r="MA1022" s="22"/>
      <c r="MB1022" s="22"/>
      <c r="MC1022" s="22"/>
      <c r="MD1022" s="22"/>
      <c r="ME1022" s="22"/>
      <c r="MF1022" s="22"/>
      <c r="MG1022" s="22"/>
      <c r="MH1022" s="22"/>
      <c r="MI1022" s="22"/>
      <c r="MJ1022" s="22"/>
      <c r="MK1022" s="22"/>
      <c r="ML1022" s="22"/>
      <c r="MM1022" s="22"/>
      <c r="MN1022" s="22"/>
      <c r="MO1022" s="22"/>
      <c r="MP1022" s="22"/>
      <c r="MQ1022" s="22"/>
      <c r="MR1022" s="22"/>
      <c r="MS1022" s="22"/>
      <c r="MT1022" s="22"/>
      <c r="MU1022" s="22"/>
      <c r="MV1022" s="22"/>
      <c r="MW1022" s="22"/>
      <c r="MX1022" s="22"/>
      <c r="MY1022" s="22"/>
      <c r="MZ1022" s="22"/>
      <c r="NA1022" s="22"/>
      <c r="NB1022" s="22"/>
      <c r="NC1022" s="22"/>
      <c r="ND1022" s="22"/>
      <c r="NE1022" s="22"/>
      <c r="NF1022" s="22"/>
      <c r="NG1022" s="22"/>
      <c r="NH1022" s="22"/>
      <c r="NI1022" s="22"/>
      <c r="NJ1022" s="22"/>
      <c r="NK1022" s="22"/>
      <c r="NL1022" s="22"/>
      <c r="NM1022" s="22"/>
      <c r="NN1022" s="22"/>
      <c r="NO1022" s="22"/>
      <c r="NP1022" s="22"/>
      <c r="NQ1022" s="22"/>
      <c r="NR1022" s="22"/>
      <c r="NS1022" s="22"/>
      <c r="NT1022" s="22"/>
      <c r="NU1022" s="22"/>
      <c r="NV1022" s="22"/>
      <c r="NW1022" s="22"/>
      <c r="NX1022" s="22"/>
      <c r="NY1022" s="22"/>
      <c r="NZ1022" s="22"/>
      <c r="OA1022" s="22"/>
      <c r="OB1022" s="22"/>
      <c r="OC1022" s="22"/>
      <c r="OD1022" s="22"/>
      <c r="OE1022" s="22"/>
      <c r="OF1022" s="22"/>
      <c r="OG1022" s="22"/>
      <c r="OH1022" s="22"/>
      <c r="OI1022" s="22"/>
      <c r="OJ1022" s="22"/>
      <c r="OK1022" s="22"/>
      <c r="OL1022" s="22"/>
      <c r="OM1022" s="22"/>
      <c r="ON1022" s="22"/>
      <c r="OO1022" s="22"/>
      <c r="OP1022" s="22"/>
      <c r="OQ1022" s="22"/>
      <c r="OR1022" s="22"/>
      <c r="OS1022" s="22"/>
      <c r="OT1022" s="22"/>
      <c r="OU1022" s="22"/>
      <c r="OV1022" s="22"/>
      <c r="OW1022" s="22"/>
      <c r="OX1022" s="22"/>
      <c r="OY1022" s="22"/>
      <c r="OZ1022" s="22"/>
      <c r="PA1022" s="22"/>
      <c r="PB1022" s="22"/>
      <c r="PC1022" s="22"/>
      <c r="PD1022" s="22"/>
      <c r="PE1022" s="22"/>
      <c r="PF1022" s="22"/>
      <c r="PG1022" s="22"/>
      <c r="PH1022" s="22"/>
      <c r="PI1022" s="22"/>
      <c r="PJ1022" s="22"/>
      <c r="PK1022" s="22"/>
      <c r="PL1022" s="22"/>
      <c r="PM1022" s="22"/>
      <c r="PN1022" s="22"/>
      <c r="PO1022" s="22"/>
      <c r="PP1022" s="22"/>
      <c r="PQ1022" s="22"/>
      <c r="PR1022" s="22"/>
      <c r="PS1022" s="22"/>
      <c r="PT1022" s="22"/>
      <c r="PU1022" s="22"/>
      <c r="PV1022" s="22"/>
      <c r="PW1022" s="22"/>
      <c r="PX1022" s="22"/>
      <c r="PY1022" s="22"/>
      <c r="PZ1022" s="22"/>
      <c r="QA1022" s="22"/>
      <c r="QB1022" s="22"/>
      <c r="QC1022" s="22"/>
      <c r="QD1022" s="22"/>
      <c r="QE1022" s="22"/>
      <c r="QF1022" s="22"/>
      <c r="QG1022" s="22"/>
      <c r="QH1022" s="22"/>
      <c r="QI1022" s="22"/>
      <c r="QJ1022" s="22"/>
      <c r="QK1022" s="22"/>
      <c r="QL1022" s="22"/>
      <c r="QM1022" s="22"/>
      <c r="QN1022" s="22"/>
      <c r="QO1022" s="22"/>
      <c r="QP1022" s="22"/>
      <c r="QQ1022" s="22"/>
      <c r="QR1022" s="22"/>
      <c r="QS1022" s="22"/>
      <c r="QT1022" s="22"/>
      <c r="QU1022" s="22"/>
      <c r="QV1022" s="22"/>
      <c r="QW1022" s="22"/>
      <c r="QX1022" s="22"/>
      <c r="QY1022" s="22"/>
      <c r="QZ1022" s="22"/>
      <c r="RA1022" s="22"/>
      <c r="RB1022" s="22"/>
      <c r="RC1022" s="22"/>
      <c r="RD1022" s="22"/>
      <c r="RE1022" s="22"/>
      <c r="RF1022" s="22"/>
      <c r="RG1022" s="22"/>
      <c r="RH1022" s="22"/>
      <c r="RI1022" s="22"/>
      <c r="RJ1022" s="22"/>
      <c r="RK1022" s="22"/>
      <c r="RL1022" s="22"/>
      <c r="RM1022" s="22"/>
      <c r="RN1022" s="22"/>
      <c r="RO1022" s="22"/>
      <c r="RP1022" s="22"/>
      <c r="RQ1022" s="22"/>
      <c r="RR1022" s="22"/>
      <c r="RS1022" s="22"/>
      <c r="RT1022" s="22"/>
      <c r="RU1022" s="22"/>
      <c r="RV1022" s="22"/>
      <c r="RW1022" s="22"/>
      <c r="RX1022" s="22"/>
      <c r="RY1022" s="22"/>
      <c r="RZ1022" s="22"/>
      <c r="SA1022" s="22"/>
      <c r="SB1022" s="22"/>
      <c r="SC1022" s="22"/>
      <c r="SD1022" s="22"/>
      <c r="SE1022" s="22"/>
      <c r="SF1022" s="22"/>
      <c r="SG1022" s="22"/>
      <c r="SH1022" s="22"/>
      <c r="SI1022" s="22"/>
      <c r="SJ1022" s="22"/>
      <c r="SK1022" s="22"/>
      <c r="SL1022" s="22"/>
      <c r="SM1022" s="22"/>
      <c r="SN1022" s="22"/>
      <c r="SO1022" s="22"/>
      <c r="SP1022" s="22"/>
      <c r="SQ1022" s="22"/>
      <c r="SR1022" s="22"/>
      <c r="SS1022" s="22"/>
      <c r="ST1022" s="22"/>
      <c r="SU1022" s="22"/>
      <c r="SV1022" s="22"/>
      <c r="SW1022" s="22"/>
      <c r="SX1022" s="22"/>
      <c r="SY1022" s="22"/>
      <c r="SZ1022" s="22"/>
      <c r="TA1022" s="22"/>
      <c r="TB1022" s="22"/>
      <c r="TC1022" s="22"/>
      <c r="TD1022" s="22"/>
      <c r="TE1022" s="22"/>
      <c r="TF1022" s="22"/>
      <c r="TG1022" s="22"/>
      <c r="TH1022" s="22"/>
      <c r="TI1022" s="22"/>
      <c r="TJ1022" s="22"/>
      <c r="TK1022" s="22"/>
      <c r="TL1022" s="22"/>
      <c r="TM1022" s="22"/>
      <c r="TN1022" s="22"/>
      <c r="TO1022" s="22"/>
      <c r="TP1022" s="22"/>
      <c r="TQ1022" s="22"/>
      <c r="TR1022" s="22"/>
      <c r="TS1022" s="22"/>
      <c r="TT1022" s="22"/>
      <c r="TU1022" s="22"/>
      <c r="TV1022" s="22"/>
      <c r="TW1022" s="22"/>
      <c r="TX1022" s="22"/>
      <c r="TY1022" s="22"/>
      <c r="TZ1022" s="22"/>
      <c r="UA1022" s="22"/>
      <c r="UB1022" s="22"/>
      <c r="UC1022" s="22"/>
      <c r="UD1022" s="22"/>
      <c r="UE1022" s="22"/>
      <c r="UF1022" s="22"/>
      <c r="UG1022" s="23"/>
    </row>
    <row r="1023" spans="1:553" ht="39" customHeight="1">
      <c r="A1023" s="356"/>
      <c r="B1023" s="356"/>
      <c r="C1023" s="375" t="s">
        <v>52</v>
      </c>
      <c r="D1023" s="418" t="str">
        <f>D1059</f>
        <v>2</v>
      </c>
      <c r="E1023" s="418" t="str">
        <f>E1059</f>
        <v>295</v>
      </c>
      <c r="F1023" s="366"/>
      <c r="G1023" s="386" t="s">
        <v>935</v>
      </c>
      <c r="H1023" s="370"/>
      <c r="I1023" s="370">
        <f>I1059</f>
        <v>538.70000000000005</v>
      </c>
      <c r="J1023" s="368">
        <v>16000</v>
      </c>
      <c r="K1023" s="371"/>
      <c r="L1023" s="366">
        <f>I1023*J1023</f>
        <v>8619200</v>
      </c>
      <c r="M1023" s="356"/>
      <c r="N1023" s="356"/>
      <c r="O1023" s="356"/>
      <c r="P1023" s="356"/>
      <c r="Q1023" s="610"/>
      <c r="R1023" s="1226"/>
      <c r="S1023" s="308"/>
      <c r="T1023" s="308"/>
      <c r="U1023" s="308"/>
      <c r="V1023" s="308"/>
      <c r="W1023" s="308"/>
      <c r="X1023" s="308"/>
      <c r="Y1023" s="308"/>
      <c r="Z1023" s="604"/>
      <c r="AA1023" s="308"/>
      <c r="AB1023" s="308"/>
      <c r="AC1023" s="373"/>
      <c r="AD1023" s="373"/>
      <c r="AE1023" s="373"/>
      <c r="AF1023" s="373"/>
      <c r="AG1023" s="373"/>
      <c r="AH1023" s="373"/>
      <c r="AI1023" s="373"/>
      <c r="AJ1023" s="373"/>
      <c r="AK1023" s="389"/>
      <c r="AL1023" s="100"/>
      <c r="AM1023" s="27"/>
      <c r="AN1023" s="27"/>
      <c r="AO1023" s="27"/>
      <c r="AP1023" s="27"/>
      <c r="AQ1023" s="27"/>
      <c r="AR1023" s="27"/>
      <c r="AS1023" s="22"/>
      <c r="AT1023" s="22"/>
      <c r="AU1023" s="22"/>
      <c r="AV1023" s="22"/>
      <c r="AW1023" s="22"/>
      <c r="AX1023" s="22"/>
      <c r="AY1023" s="22"/>
      <c r="AZ1023" s="22"/>
      <c r="BA1023" s="22"/>
      <c r="BB1023" s="22"/>
      <c r="BC1023" s="22"/>
      <c r="BD1023" s="22"/>
      <c r="BE1023" s="22"/>
      <c r="BF1023" s="22"/>
      <c r="BG1023" s="22"/>
      <c r="BH1023" s="22"/>
      <c r="BI1023" s="22"/>
      <c r="BJ1023" s="22"/>
      <c r="BK1023" s="22"/>
      <c r="BL1023" s="22"/>
      <c r="BM1023" s="22"/>
      <c r="BN1023" s="22"/>
      <c r="BO1023" s="22"/>
      <c r="BP1023" s="22"/>
      <c r="BQ1023" s="22"/>
      <c r="BR1023" s="22"/>
      <c r="BS1023" s="22"/>
      <c r="BT1023" s="22"/>
      <c r="BU1023" s="22"/>
      <c r="BV1023" s="22"/>
      <c r="BW1023" s="22"/>
      <c r="BX1023" s="22"/>
      <c r="BY1023" s="22"/>
      <c r="BZ1023" s="22"/>
      <c r="CA1023" s="22"/>
      <c r="CB1023" s="22"/>
      <c r="CC1023" s="22"/>
      <c r="CD1023" s="22"/>
      <c r="CE1023" s="22"/>
      <c r="CF1023" s="22"/>
      <c r="CG1023" s="22"/>
      <c r="CH1023" s="22"/>
      <c r="CI1023" s="22"/>
      <c r="CJ1023" s="22"/>
      <c r="CK1023" s="22"/>
      <c r="CL1023" s="22"/>
      <c r="CM1023" s="22"/>
      <c r="CN1023" s="22"/>
      <c r="CO1023" s="22"/>
      <c r="CP1023" s="22"/>
      <c r="CQ1023" s="22"/>
      <c r="CR1023" s="22"/>
      <c r="CS1023" s="22"/>
      <c r="CT1023" s="22"/>
      <c r="CU1023" s="22"/>
      <c r="CV1023" s="22"/>
      <c r="CW1023" s="22"/>
      <c r="CX1023" s="22"/>
      <c r="CY1023" s="22"/>
      <c r="CZ1023" s="22"/>
      <c r="DA1023" s="22"/>
      <c r="DB1023" s="22"/>
      <c r="DC1023" s="22"/>
      <c r="DD1023" s="22"/>
      <c r="DE1023" s="22"/>
      <c r="DF1023" s="22"/>
      <c r="DG1023" s="22"/>
      <c r="DH1023" s="22"/>
      <c r="DI1023" s="22"/>
      <c r="DJ1023" s="22"/>
      <c r="DK1023" s="22"/>
      <c r="DL1023" s="22"/>
      <c r="DM1023" s="22"/>
      <c r="DN1023" s="22"/>
      <c r="DO1023" s="22"/>
      <c r="DP1023" s="22"/>
      <c r="DQ1023" s="22"/>
      <c r="DR1023" s="22"/>
      <c r="DS1023" s="22"/>
      <c r="DT1023" s="22"/>
      <c r="DU1023" s="22"/>
      <c r="DV1023" s="22"/>
      <c r="DW1023" s="22"/>
      <c r="DX1023" s="22"/>
      <c r="DY1023" s="22"/>
      <c r="DZ1023" s="22"/>
      <c r="EA1023" s="22"/>
      <c r="EB1023" s="22"/>
      <c r="EC1023" s="22"/>
      <c r="ED1023" s="22"/>
      <c r="EE1023" s="22"/>
      <c r="EF1023" s="22"/>
      <c r="EG1023" s="22"/>
      <c r="EH1023" s="22"/>
      <c r="EI1023" s="22"/>
      <c r="EJ1023" s="22"/>
      <c r="EK1023" s="22"/>
      <c r="EL1023" s="22"/>
      <c r="EM1023" s="22"/>
      <c r="EN1023" s="22"/>
      <c r="EO1023" s="22"/>
      <c r="EP1023" s="22"/>
      <c r="EQ1023" s="22"/>
      <c r="ER1023" s="22"/>
      <c r="ES1023" s="22"/>
      <c r="ET1023" s="22"/>
      <c r="EU1023" s="22"/>
      <c r="EV1023" s="22"/>
      <c r="EW1023" s="22"/>
      <c r="EX1023" s="22"/>
      <c r="EY1023" s="22"/>
      <c r="EZ1023" s="22"/>
      <c r="FA1023" s="22"/>
      <c r="FB1023" s="22"/>
      <c r="FC1023" s="22"/>
      <c r="FD1023" s="22"/>
      <c r="FE1023" s="22"/>
      <c r="FF1023" s="22"/>
      <c r="FG1023" s="22"/>
      <c r="FH1023" s="22"/>
      <c r="FI1023" s="22"/>
      <c r="FJ1023" s="22"/>
      <c r="FK1023" s="22"/>
      <c r="FL1023" s="22"/>
      <c r="FM1023" s="22"/>
      <c r="FN1023" s="22"/>
      <c r="FO1023" s="22"/>
      <c r="FP1023" s="22"/>
      <c r="FQ1023" s="22"/>
      <c r="FR1023" s="22"/>
      <c r="FS1023" s="22"/>
      <c r="FT1023" s="22"/>
      <c r="FU1023" s="22"/>
      <c r="FV1023" s="22"/>
      <c r="FW1023" s="22"/>
      <c r="FX1023" s="22"/>
      <c r="FY1023" s="22"/>
      <c r="FZ1023" s="22"/>
      <c r="GA1023" s="22"/>
      <c r="GB1023" s="22"/>
      <c r="GC1023" s="22"/>
      <c r="GD1023" s="22"/>
      <c r="GE1023" s="22"/>
      <c r="GF1023" s="22"/>
      <c r="GG1023" s="22"/>
      <c r="GH1023" s="22"/>
      <c r="GI1023" s="22"/>
      <c r="GJ1023" s="22"/>
      <c r="GK1023" s="22"/>
      <c r="GL1023" s="22"/>
      <c r="GM1023" s="22"/>
      <c r="GN1023" s="22"/>
      <c r="GO1023" s="22"/>
      <c r="GP1023" s="22"/>
      <c r="GQ1023" s="22"/>
      <c r="GR1023" s="22"/>
      <c r="GS1023" s="22"/>
      <c r="GT1023" s="22"/>
      <c r="GU1023" s="22"/>
      <c r="GV1023" s="22"/>
      <c r="GW1023" s="22"/>
      <c r="GX1023" s="22"/>
      <c r="GY1023" s="22"/>
      <c r="GZ1023" s="22"/>
      <c r="HA1023" s="22"/>
      <c r="HB1023" s="22"/>
      <c r="HC1023" s="22"/>
      <c r="HD1023" s="22"/>
      <c r="HE1023" s="22"/>
      <c r="HF1023" s="22"/>
      <c r="HG1023" s="22"/>
      <c r="HH1023" s="22"/>
      <c r="HI1023" s="22"/>
      <c r="HJ1023" s="22"/>
      <c r="HK1023" s="22"/>
      <c r="HL1023" s="22"/>
      <c r="HM1023" s="22"/>
      <c r="HN1023" s="22"/>
      <c r="HO1023" s="22"/>
      <c r="HP1023" s="22"/>
      <c r="HQ1023" s="22"/>
      <c r="HR1023" s="22"/>
      <c r="HS1023" s="22"/>
      <c r="HT1023" s="22"/>
      <c r="HU1023" s="22"/>
      <c r="HV1023" s="22"/>
      <c r="HW1023" s="22"/>
      <c r="HX1023" s="22"/>
      <c r="HY1023" s="22"/>
      <c r="HZ1023" s="22"/>
      <c r="IA1023" s="22"/>
      <c r="IB1023" s="22"/>
      <c r="IC1023" s="22"/>
      <c r="ID1023" s="22"/>
      <c r="IE1023" s="22"/>
      <c r="IF1023" s="22"/>
      <c r="IG1023" s="22"/>
      <c r="IH1023" s="22"/>
      <c r="II1023" s="22"/>
      <c r="IJ1023" s="22"/>
      <c r="IK1023" s="22"/>
      <c r="IL1023" s="22"/>
      <c r="IM1023" s="22"/>
      <c r="IN1023" s="22"/>
      <c r="IO1023" s="22"/>
      <c r="IP1023" s="22"/>
      <c r="IQ1023" s="22"/>
      <c r="IR1023" s="22"/>
      <c r="IS1023" s="22"/>
      <c r="IT1023" s="22"/>
      <c r="IU1023" s="22"/>
      <c r="IV1023" s="22"/>
      <c r="IW1023" s="22"/>
      <c r="IX1023" s="22"/>
      <c r="IY1023" s="22"/>
      <c r="IZ1023" s="22"/>
      <c r="JA1023" s="22"/>
      <c r="JB1023" s="22"/>
      <c r="JC1023" s="22"/>
      <c r="JD1023" s="22"/>
      <c r="JE1023" s="22"/>
      <c r="JF1023" s="22"/>
      <c r="JG1023" s="22"/>
      <c r="JH1023" s="22"/>
      <c r="JI1023" s="22"/>
      <c r="JJ1023" s="22"/>
      <c r="JK1023" s="22"/>
      <c r="JL1023" s="22"/>
      <c r="JM1023" s="22"/>
      <c r="JN1023" s="22"/>
      <c r="JO1023" s="22"/>
      <c r="JP1023" s="22"/>
      <c r="JQ1023" s="22"/>
      <c r="JR1023" s="22"/>
      <c r="JS1023" s="22"/>
      <c r="JT1023" s="22"/>
      <c r="JU1023" s="22"/>
      <c r="JV1023" s="22"/>
      <c r="JW1023" s="22"/>
      <c r="JX1023" s="22"/>
      <c r="JY1023" s="22"/>
      <c r="JZ1023" s="22"/>
      <c r="KA1023" s="22"/>
      <c r="KB1023" s="22"/>
      <c r="KC1023" s="22"/>
      <c r="KD1023" s="22"/>
      <c r="KE1023" s="22"/>
      <c r="KF1023" s="22"/>
      <c r="KG1023" s="22"/>
      <c r="KH1023" s="22"/>
      <c r="KI1023" s="22"/>
      <c r="KJ1023" s="22"/>
      <c r="KK1023" s="22"/>
      <c r="KL1023" s="22"/>
      <c r="KM1023" s="22"/>
      <c r="KN1023" s="22"/>
      <c r="KO1023" s="22"/>
      <c r="KP1023" s="22"/>
      <c r="KQ1023" s="22"/>
      <c r="KR1023" s="22"/>
      <c r="KS1023" s="22"/>
      <c r="KT1023" s="22"/>
      <c r="KU1023" s="22"/>
      <c r="KV1023" s="22"/>
      <c r="KW1023" s="22"/>
      <c r="KX1023" s="22"/>
      <c r="KY1023" s="22"/>
      <c r="KZ1023" s="22"/>
      <c r="LA1023" s="22"/>
      <c r="LB1023" s="22"/>
      <c r="LC1023" s="22"/>
      <c r="LD1023" s="22"/>
      <c r="LE1023" s="22"/>
      <c r="LF1023" s="22"/>
      <c r="LG1023" s="22"/>
      <c r="LH1023" s="22"/>
      <c r="LI1023" s="22"/>
      <c r="LJ1023" s="22"/>
      <c r="LK1023" s="22"/>
      <c r="LL1023" s="22"/>
      <c r="LM1023" s="22"/>
      <c r="LN1023" s="22"/>
      <c r="LO1023" s="22"/>
      <c r="LP1023" s="22"/>
      <c r="LQ1023" s="22"/>
      <c r="LR1023" s="22"/>
      <c r="LS1023" s="22"/>
      <c r="LT1023" s="22"/>
      <c r="LU1023" s="22"/>
      <c r="LV1023" s="22"/>
      <c r="LW1023" s="22"/>
      <c r="LX1023" s="22"/>
      <c r="LY1023" s="22"/>
      <c r="LZ1023" s="22"/>
      <c r="MA1023" s="22"/>
      <c r="MB1023" s="22"/>
      <c r="MC1023" s="22"/>
      <c r="MD1023" s="22"/>
      <c r="ME1023" s="22"/>
      <c r="MF1023" s="22"/>
      <c r="MG1023" s="22"/>
      <c r="MH1023" s="22"/>
      <c r="MI1023" s="22"/>
      <c r="MJ1023" s="22"/>
      <c r="MK1023" s="22"/>
      <c r="ML1023" s="22"/>
      <c r="MM1023" s="22"/>
      <c r="MN1023" s="22"/>
      <c r="MO1023" s="22"/>
      <c r="MP1023" s="22"/>
      <c r="MQ1023" s="22"/>
      <c r="MR1023" s="22"/>
      <c r="MS1023" s="22"/>
      <c r="MT1023" s="22"/>
      <c r="MU1023" s="22"/>
      <c r="MV1023" s="22"/>
      <c r="MW1023" s="22"/>
      <c r="MX1023" s="22"/>
      <c r="MY1023" s="22"/>
      <c r="MZ1023" s="22"/>
      <c r="NA1023" s="22"/>
      <c r="NB1023" s="22"/>
      <c r="NC1023" s="22"/>
      <c r="ND1023" s="22"/>
      <c r="NE1023" s="22"/>
      <c r="NF1023" s="22"/>
      <c r="NG1023" s="22"/>
      <c r="NH1023" s="22"/>
      <c r="NI1023" s="22"/>
      <c r="NJ1023" s="22"/>
      <c r="NK1023" s="22"/>
      <c r="NL1023" s="22"/>
      <c r="NM1023" s="22"/>
      <c r="NN1023" s="22"/>
      <c r="NO1023" s="22"/>
      <c r="NP1023" s="22"/>
      <c r="NQ1023" s="22"/>
      <c r="NR1023" s="22"/>
      <c r="NS1023" s="22"/>
      <c r="NT1023" s="22"/>
      <c r="NU1023" s="22"/>
      <c r="NV1023" s="22"/>
      <c r="NW1023" s="22"/>
      <c r="NX1023" s="22"/>
      <c r="NY1023" s="22"/>
      <c r="NZ1023" s="22"/>
      <c r="OA1023" s="22"/>
      <c r="OB1023" s="22"/>
      <c r="OC1023" s="22"/>
      <c r="OD1023" s="22"/>
      <c r="OE1023" s="22"/>
      <c r="OF1023" s="22"/>
      <c r="OG1023" s="22"/>
      <c r="OH1023" s="22"/>
      <c r="OI1023" s="22"/>
      <c r="OJ1023" s="22"/>
      <c r="OK1023" s="22"/>
      <c r="OL1023" s="22"/>
      <c r="OM1023" s="22"/>
      <c r="ON1023" s="22"/>
      <c r="OO1023" s="22"/>
      <c r="OP1023" s="22"/>
      <c r="OQ1023" s="22"/>
      <c r="OR1023" s="22"/>
      <c r="OS1023" s="22"/>
      <c r="OT1023" s="22"/>
      <c r="OU1023" s="22"/>
      <c r="OV1023" s="22"/>
      <c r="OW1023" s="22"/>
      <c r="OX1023" s="22"/>
      <c r="OY1023" s="22"/>
      <c r="OZ1023" s="22"/>
      <c r="PA1023" s="22"/>
      <c r="PB1023" s="22"/>
      <c r="PC1023" s="22"/>
      <c r="PD1023" s="22"/>
      <c r="PE1023" s="22"/>
      <c r="PF1023" s="22"/>
      <c r="PG1023" s="22"/>
      <c r="PH1023" s="22"/>
      <c r="PI1023" s="22"/>
      <c r="PJ1023" s="22"/>
      <c r="PK1023" s="22"/>
      <c r="PL1023" s="22"/>
      <c r="PM1023" s="22"/>
      <c r="PN1023" s="22"/>
      <c r="PO1023" s="22"/>
      <c r="PP1023" s="22"/>
      <c r="PQ1023" s="22"/>
      <c r="PR1023" s="22"/>
      <c r="PS1023" s="22"/>
      <c r="PT1023" s="22"/>
      <c r="PU1023" s="22"/>
      <c r="PV1023" s="22"/>
      <c r="PW1023" s="22"/>
      <c r="PX1023" s="22"/>
      <c r="PY1023" s="22"/>
      <c r="PZ1023" s="22"/>
      <c r="QA1023" s="22"/>
      <c r="QB1023" s="22"/>
      <c r="QC1023" s="22"/>
      <c r="QD1023" s="22"/>
      <c r="QE1023" s="22"/>
      <c r="QF1023" s="22"/>
      <c r="QG1023" s="22"/>
      <c r="QH1023" s="22"/>
      <c r="QI1023" s="22"/>
      <c r="QJ1023" s="22"/>
      <c r="QK1023" s="22"/>
      <c r="QL1023" s="22"/>
      <c r="QM1023" s="22"/>
      <c r="QN1023" s="22"/>
      <c r="QO1023" s="22"/>
      <c r="QP1023" s="22"/>
      <c r="QQ1023" s="22"/>
      <c r="QR1023" s="22"/>
      <c r="QS1023" s="22"/>
      <c r="QT1023" s="22"/>
      <c r="QU1023" s="22"/>
      <c r="QV1023" s="22"/>
      <c r="QW1023" s="22"/>
      <c r="QX1023" s="22"/>
      <c r="QY1023" s="22"/>
      <c r="QZ1023" s="22"/>
      <c r="RA1023" s="22"/>
      <c r="RB1023" s="22"/>
      <c r="RC1023" s="22"/>
      <c r="RD1023" s="22"/>
      <c r="RE1023" s="22"/>
      <c r="RF1023" s="22"/>
      <c r="RG1023" s="22"/>
      <c r="RH1023" s="22"/>
      <c r="RI1023" s="22"/>
      <c r="RJ1023" s="22"/>
      <c r="RK1023" s="22"/>
      <c r="RL1023" s="22"/>
      <c r="RM1023" s="22"/>
      <c r="RN1023" s="22"/>
      <c r="RO1023" s="22"/>
      <c r="RP1023" s="22"/>
      <c r="RQ1023" s="22"/>
      <c r="RR1023" s="22"/>
      <c r="RS1023" s="22"/>
      <c r="RT1023" s="22"/>
      <c r="RU1023" s="22"/>
      <c r="RV1023" s="22"/>
      <c r="RW1023" s="22"/>
      <c r="RX1023" s="22"/>
      <c r="RY1023" s="22"/>
      <c r="RZ1023" s="22"/>
      <c r="SA1023" s="22"/>
      <c r="SB1023" s="22"/>
      <c r="SC1023" s="22"/>
      <c r="SD1023" s="22"/>
      <c r="SE1023" s="22"/>
      <c r="SF1023" s="22"/>
      <c r="SG1023" s="22"/>
      <c r="SH1023" s="22"/>
      <c r="SI1023" s="22"/>
      <c r="SJ1023" s="22"/>
      <c r="SK1023" s="22"/>
      <c r="SL1023" s="22"/>
      <c r="SM1023" s="22"/>
      <c r="SN1023" s="22"/>
      <c r="SO1023" s="22"/>
      <c r="SP1023" s="22"/>
      <c r="SQ1023" s="22"/>
      <c r="SR1023" s="22"/>
      <c r="SS1023" s="22"/>
      <c r="ST1023" s="22"/>
      <c r="SU1023" s="22"/>
      <c r="SV1023" s="22"/>
      <c r="SW1023" s="22"/>
      <c r="SX1023" s="22"/>
      <c r="SY1023" s="22"/>
      <c r="SZ1023" s="22"/>
      <c r="TA1023" s="22"/>
      <c r="TB1023" s="22"/>
      <c r="TC1023" s="22"/>
      <c r="TD1023" s="22"/>
      <c r="TE1023" s="22"/>
      <c r="TF1023" s="22"/>
      <c r="TG1023" s="22"/>
      <c r="TH1023" s="22"/>
      <c r="TI1023" s="22"/>
      <c r="TJ1023" s="22"/>
      <c r="TK1023" s="22"/>
      <c r="TL1023" s="22"/>
      <c r="TM1023" s="22"/>
      <c r="TN1023" s="22"/>
      <c r="TO1023" s="22"/>
      <c r="TP1023" s="22"/>
      <c r="TQ1023" s="22"/>
      <c r="TR1023" s="22"/>
      <c r="TS1023" s="22"/>
      <c r="TT1023" s="22"/>
      <c r="TU1023" s="22"/>
      <c r="TV1023" s="22"/>
      <c r="TW1023" s="22"/>
      <c r="TX1023" s="22"/>
      <c r="TY1023" s="22"/>
      <c r="TZ1023" s="22"/>
      <c r="UA1023" s="22"/>
      <c r="UB1023" s="22"/>
      <c r="UC1023" s="22"/>
      <c r="UD1023" s="22"/>
      <c r="UE1023" s="22"/>
      <c r="UF1023" s="22"/>
      <c r="UG1023" s="23"/>
    </row>
    <row r="1024" spans="1:553" ht="39" customHeight="1">
      <c r="A1024" s="356"/>
      <c r="B1024" s="356"/>
      <c r="C1024" s="375" t="s">
        <v>52</v>
      </c>
      <c r="D1024" s="418" t="str">
        <f>D1060</f>
        <v>2</v>
      </c>
      <c r="E1024" s="418" t="str">
        <f>E1061</f>
        <v>411</v>
      </c>
      <c r="F1024" s="366"/>
      <c r="G1024" s="386" t="s">
        <v>935</v>
      </c>
      <c r="H1024" s="370"/>
      <c r="I1024" s="370">
        <f>I1061</f>
        <v>121</v>
      </c>
      <c r="J1024" s="368">
        <v>16000</v>
      </c>
      <c r="K1024" s="371"/>
      <c r="L1024" s="366">
        <f>I1024*J1024</f>
        <v>1936000</v>
      </c>
      <c r="M1024" s="356"/>
      <c r="N1024" s="356"/>
      <c r="O1024" s="356"/>
      <c r="P1024" s="356"/>
      <c r="Q1024" s="610"/>
      <c r="R1024" s="1226"/>
      <c r="S1024" s="308"/>
      <c r="T1024" s="308"/>
      <c r="U1024" s="308"/>
      <c r="V1024" s="308"/>
      <c r="W1024" s="308"/>
      <c r="X1024" s="308"/>
      <c r="Y1024" s="308"/>
      <c r="Z1024" s="604"/>
      <c r="AA1024" s="308"/>
      <c r="AB1024" s="308"/>
      <c r="AC1024" s="373"/>
      <c r="AD1024" s="373"/>
      <c r="AE1024" s="373"/>
      <c r="AF1024" s="373"/>
      <c r="AG1024" s="373"/>
      <c r="AH1024" s="373"/>
      <c r="AI1024" s="373"/>
      <c r="AJ1024" s="373"/>
      <c r="AK1024" s="389"/>
      <c r="AL1024" s="100"/>
      <c r="AM1024" s="27"/>
      <c r="AN1024" s="27"/>
      <c r="AO1024" s="27"/>
      <c r="AP1024" s="27"/>
      <c r="AQ1024" s="27"/>
      <c r="AR1024" s="27"/>
      <c r="AS1024" s="22"/>
      <c r="AT1024" s="22"/>
      <c r="AU1024" s="22"/>
      <c r="AV1024" s="22"/>
      <c r="AW1024" s="22"/>
      <c r="AX1024" s="22"/>
      <c r="AY1024" s="22"/>
      <c r="AZ1024" s="22"/>
      <c r="BA1024" s="22"/>
      <c r="BB1024" s="22"/>
      <c r="BC1024" s="22"/>
      <c r="BD1024" s="22"/>
      <c r="BE1024" s="22"/>
      <c r="BF1024" s="22"/>
      <c r="BG1024" s="22"/>
      <c r="BH1024" s="22"/>
      <c r="BI1024" s="22"/>
      <c r="BJ1024" s="22"/>
      <c r="BK1024" s="22"/>
      <c r="BL1024" s="22"/>
      <c r="BM1024" s="22"/>
      <c r="BN1024" s="22"/>
      <c r="BO1024" s="22"/>
      <c r="BP1024" s="22"/>
      <c r="BQ1024" s="22"/>
      <c r="BR1024" s="22"/>
      <c r="BS1024" s="22"/>
      <c r="BT1024" s="22"/>
      <c r="BU1024" s="22"/>
      <c r="BV1024" s="22"/>
      <c r="BW1024" s="22"/>
      <c r="BX1024" s="22"/>
      <c r="BY1024" s="22"/>
      <c r="BZ1024" s="22"/>
      <c r="CA1024" s="22"/>
      <c r="CB1024" s="22"/>
      <c r="CC1024" s="22"/>
      <c r="CD1024" s="22"/>
      <c r="CE1024" s="22"/>
      <c r="CF1024" s="22"/>
      <c r="CG1024" s="22"/>
      <c r="CH1024" s="22"/>
      <c r="CI1024" s="22"/>
      <c r="CJ1024" s="22"/>
      <c r="CK1024" s="22"/>
      <c r="CL1024" s="22"/>
      <c r="CM1024" s="22"/>
      <c r="CN1024" s="22"/>
      <c r="CO1024" s="22"/>
      <c r="CP1024" s="22"/>
      <c r="CQ1024" s="22"/>
      <c r="CR1024" s="22"/>
      <c r="CS1024" s="22"/>
      <c r="CT1024" s="22"/>
      <c r="CU1024" s="22"/>
      <c r="CV1024" s="22"/>
      <c r="CW1024" s="22"/>
      <c r="CX1024" s="22"/>
      <c r="CY1024" s="22"/>
      <c r="CZ1024" s="22"/>
      <c r="DA1024" s="22"/>
      <c r="DB1024" s="22"/>
      <c r="DC1024" s="22"/>
      <c r="DD1024" s="22"/>
      <c r="DE1024" s="22"/>
      <c r="DF1024" s="22"/>
      <c r="DG1024" s="22"/>
      <c r="DH1024" s="22"/>
      <c r="DI1024" s="22"/>
      <c r="DJ1024" s="22"/>
      <c r="DK1024" s="22"/>
      <c r="DL1024" s="22"/>
      <c r="DM1024" s="22"/>
      <c r="DN1024" s="22"/>
      <c r="DO1024" s="22"/>
      <c r="DP1024" s="22"/>
      <c r="DQ1024" s="22"/>
      <c r="DR1024" s="22"/>
      <c r="DS1024" s="22"/>
      <c r="DT1024" s="22"/>
      <c r="DU1024" s="22"/>
      <c r="DV1024" s="22"/>
      <c r="DW1024" s="22"/>
      <c r="DX1024" s="22"/>
      <c r="DY1024" s="22"/>
      <c r="DZ1024" s="22"/>
      <c r="EA1024" s="22"/>
      <c r="EB1024" s="22"/>
      <c r="EC1024" s="22"/>
      <c r="ED1024" s="22"/>
      <c r="EE1024" s="22"/>
      <c r="EF1024" s="22"/>
      <c r="EG1024" s="22"/>
      <c r="EH1024" s="22"/>
      <c r="EI1024" s="22"/>
      <c r="EJ1024" s="22"/>
      <c r="EK1024" s="22"/>
      <c r="EL1024" s="22"/>
      <c r="EM1024" s="22"/>
      <c r="EN1024" s="22"/>
      <c r="EO1024" s="22"/>
      <c r="EP1024" s="22"/>
      <c r="EQ1024" s="22"/>
      <c r="ER1024" s="22"/>
      <c r="ES1024" s="22"/>
      <c r="ET1024" s="22"/>
      <c r="EU1024" s="22"/>
      <c r="EV1024" s="22"/>
      <c r="EW1024" s="22"/>
      <c r="EX1024" s="22"/>
      <c r="EY1024" s="22"/>
      <c r="EZ1024" s="22"/>
      <c r="FA1024" s="22"/>
      <c r="FB1024" s="22"/>
      <c r="FC1024" s="22"/>
      <c r="FD1024" s="22"/>
      <c r="FE1024" s="22"/>
      <c r="FF1024" s="22"/>
      <c r="FG1024" s="22"/>
      <c r="FH1024" s="22"/>
      <c r="FI1024" s="22"/>
      <c r="FJ1024" s="22"/>
      <c r="FK1024" s="22"/>
      <c r="FL1024" s="22"/>
      <c r="FM1024" s="22"/>
      <c r="FN1024" s="22"/>
      <c r="FO1024" s="22"/>
      <c r="FP1024" s="22"/>
      <c r="FQ1024" s="22"/>
      <c r="FR1024" s="22"/>
      <c r="FS1024" s="22"/>
      <c r="FT1024" s="22"/>
      <c r="FU1024" s="22"/>
      <c r="FV1024" s="22"/>
      <c r="FW1024" s="22"/>
      <c r="FX1024" s="22"/>
      <c r="FY1024" s="22"/>
      <c r="FZ1024" s="22"/>
      <c r="GA1024" s="22"/>
      <c r="GB1024" s="22"/>
      <c r="GC1024" s="22"/>
      <c r="GD1024" s="22"/>
      <c r="GE1024" s="22"/>
      <c r="GF1024" s="22"/>
      <c r="GG1024" s="22"/>
      <c r="GH1024" s="22"/>
      <c r="GI1024" s="22"/>
      <c r="GJ1024" s="22"/>
      <c r="GK1024" s="22"/>
      <c r="GL1024" s="22"/>
      <c r="GM1024" s="22"/>
      <c r="GN1024" s="22"/>
      <c r="GO1024" s="22"/>
      <c r="GP1024" s="22"/>
      <c r="GQ1024" s="22"/>
      <c r="GR1024" s="22"/>
      <c r="GS1024" s="22"/>
      <c r="GT1024" s="22"/>
      <c r="GU1024" s="22"/>
      <c r="GV1024" s="22"/>
      <c r="GW1024" s="22"/>
      <c r="GX1024" s="22"/>
      <c r="GY1024" s="22"/>
      <c r="GZ1024" s="22"/>
      <c r="HA1024" s="22"/>
      <c r="HB1024" s="22"/>
      <c r="HC1024" s="22"/>
      <c r="HD1024" s="22"/>
      <c r="HE1024" s="22"/>
      <c r="HF1024" s="22"/>
      <c r="HG1024" s="22"/>
      <c r="HH1024" s="22"/>
      <c r="HI1024" s="22"/>
      <c r="HJ1024" s="22"/>
      <c r="HK1024" s="22"/>
      <c r="HL1024" s="22"/>
      <c r="HM1024" s="22"/>
      <c r="HN1024" s="22"/>
      <c r="HO1024" s="22"/>
      <c r="HP1024" s="22"/>
      <c r="HQ1024" s="22"/>
      <c r="HR1024" s="22"/>
      <c r="HS1024" s="22"/>
      <c r="HT1024" s="22"/>
      <c r="HU1024" s="22"/>
      <c r="HV1024" s="22"/>
      <c r="HW1024" s="22"/>
      <c r="HX1024" s="22"/>
      <c r="HY1024" s="22"/>
      <c r="HZ1024" s="22"/>
      <c r="IA1024" s="22"/>
      <c r="IB1024" s="22"/>
      <c r="IC1024" s="22"/>
      <c r="ID1024" s="22"/>
      <c r="IE1024" s="22"/>
      <c r="IF1024" s="22"/>
      <c r="IG1024" s="22"/>
      <c r="IH1024" s="22"/>
      <c r="II1024" s="22"/>
      <c r="IJ1024" s="22"/>
      <c r="IK1024" s="22"/>
      <c r="IL1024" s="22"/>
      <c r="IM1024" s="22"/>
      <c r="IN1024" s="22"/>
      <c r="IO1024" s="22"/>
      <c r="IP1024" s="22"/>
      <c r="IQ1024" s="22"/>
      <c r="IR1024" s="22"/>
      <c r="IS1024" s="22"/>
      <c r="IT1024" s="22"/>
      <c r="IU1024" s="22"/>
      <c r="IV1024" s="22"/>
      <c r="IW1024" s="22"/>
      <c r="IX1024" s="22"/>
      <c r="IY1024" s="22"/>
      <c r="IZ1024" s="22"/>
      <c r="JA1024" s="22"/>
      <c r="JB1024" s="22"/>
      <c r="JC1024" s="22"/>
      <c r="JD1024" s="22"/>
      <c r="JE1024" s="22"/>
      <c r="JF1024" s="22"/>
      <c r="JG1024" s="22"/>
      <c r="JH1024" s="22"/>
      <c r="JI1024" s="22"/>
      <c r="JJ1024" s="22"/>
      <c r="JK1024" s="22"/>
      <c r="JL1024" s="22"/>
      <c r="JM1024" s="22"/>
      <c r="JN1024" s="22"/>
      <c r="JO1024" s="22"/>
      <c r="JP1024" s="22"/>
      <c r="JQ1024" s="22"/>
      <c r="JR1024" s="22"/>
      <c r="JS1024" s="22"/>
      <c r="JT1024" s="22"/>
      <c r="JU1024" s="22"/>
      <c r="JV1024" s="22"/>
      <c r="JW1024" s="22"/>
      <c r="JX1024" s="22"/>
      <c r="JY1024" s="22"/>
      <c r="JZ1024" s="22"/>
      <c r="KA1024" s="22"/>
      <c r="KB1024" s="22"/>
      <c r="KC1024" s="22"/>
      <c r="KD1024" s="22"/>
      <c r="KE1024" s="22"/>
      <c r="KF1024" s="22"/>
      <c r="KG1024" s="22"/>
      <c r="KH1024" s="22"/>
      <c r="KI1024" s="22"/>
      <c r="KJ1024" s="22"/>
      <c r="KK1024" s="22"/>
      <c r="KL1024" s="22"/>
      <c r="KM1024" s="22"/>
      <c r="KN1024" s="22"/>
      <c r="KO1024" s="22"/>
      <c r="KP1024" s="22"/>
      <c r="KQ1024" s="22"/>
      <c r="KR1024" s="22"/>
      <c r="KS1024" s="22"/>
      <c r="KT1024" s="22"/>
      <c r="KU1024" s="22"/>
      <c r="KV1024" s="22"/>
      <c r="KW1024" s="22"/>
      <c r="KX1024" s="22"/>
      <c r="KY1024" s="22"/>
      <c r="KZ1024" s="22"/>
      <c r="LA1024" s="22"/>
      <c r="LB1024" s="22"/>
      <c r="LC1024" s="22"/>
      <c r="LD1024" s="22"/>
      <c r="LE1024" s="22"/>
      <c r="LF1024" s="22"/>
      <c r="LG1024" s="22"/>
      <c r="LH1024" s="22"/>
      <c r="LI1024" s="22"/>
      <c r="LJ1024" s="22"/>
      <c r="LK1024" s="22"/>
      <c r="LL1024" s="22"/>
      <c r="LM1024" s="22"/>
      <c r="LN1024" s="22"/>
      <c r="LO1024" s="22"/>
      <c r="LP1024" s="22"/>
      <c r="LQ1024" s="22"/>
      <c r="LR1024" s="22"/>
      <c r="LS1024" s="22"/>
      <c r="LT1024" s="22"/>
      <c r="LU1024" s="22"/>
      <c r="LV1024" s="22"/>
      <c r="LW1024" s="22"/>
      <c r="LX1024" s="22"/>
      <c r="LY1024" s="22"/>
      <c r="LZ1024" s="22"/>
      <c r="MA1024" s="22"/>
      <c r="MB1024" s="22"/>
      <c r="MC1024" s="22"/>
      <c r="MD1024" s="22"/>
      <c r="ME1024" s="22"/>
      <c r="MF1024" s="22"/>
      <c r="MG1024" s="22"/>
      <c r="MH1024" s="22"/>
      <c r="MI1024" s="22"/>
      <c r="MJ1024" s="22"/>
      <c r="MK1024" s="22"/>
      <c r="ML1024" s="22"/>
      <c r="MM1024" s="22"/>
      <c r="MN1024" s="22"/>
      <c r="MO1024" s="22"/>
      <c r="MP1024" s="22"/>
      <c r="MQ1024" s="22"/>
      <c r="MR1024" s="22"/>
      <c r="MS1024" s="22"/>
      <c r="MT1024" s="22"/>
      <c r="MU1024" s="22"/>
      <c r="MV1024" s="22"/>
      <c r="MW1024" s="22"/>
      <c r="MX1024" s="22"/>
      <c r="MY1024" s="22"/>
      <c r="MZ1024" s="22"/>
      <c r="NA1024" s="22"/>
      <c r="NB1024" s="22"/>
      <c r="NC1024" s="22"/>
      <c r="ND1024" s="22"/>
      <c r="NE1024" s="22"/>
      <c r="NF1024" s="22"/>
      <c r="NG1024" s="22"/>
      <c r="NH1024" s="22"/>
      <c r="NI1024" s="22"/>
      <c r="NJ1024" s="22"/>
      <c r="NK1024" s="22"/>
      <c r="NL1024" s="22"/>
      <c r="NM1024" s="22"/>
      <c r="NN1024" s="22"/>
      <c r="NO1024" s="22"/>
      <c r="NP1024" s="22"/>
      <c r="NQ1024" s="22"/>
      <c r="NR1024" s="22"/>
      <c r="NS1024" s="22"/>
      <c r="NT1024" s="22"/>
      <c r="NU1024" s="22"/>
      <c r="NV1024" s="22"/>
      <c r="NW1024" s="22"/>
      <c r="NX1024" s="22"/>
      <c r="NY1024" s="22"/>
      <c r="NZ1024" s="22"/>
      <c r="OA1024" s="22"/>
      <c r="OB1024" s="22"/>
      <c r="OC1024" s="22"/>
      <c r="OD1024" s="22"/>
      <c r="OE1024" s="22"/>
      <c r="OF1024" s="22"/>
      <c r="OG1024" s="22"/>
      <c r="OH1024" s="22"/>
      <c r="OI1024" s="22"/>
      <c r="OJ1024" s="22"/>
      <c r="OK1024" s="22"/>
      <c r="OL1024" s="22"/>
      <c r="OM1024" s="22"/>
      <c r="ON1024" s="22"/>
      <c r="OO1024" s="22"/>
      <c r="OP1024" s="22"/>
      <c r="OQ1024" s="22"/>
      <c r="OR1024" s="22"/>
      <c r="OS1024" s="22"/>
      <c r="OT1024" s="22"/>
      <c r="OU1024" s="22"/>
      <c r="OV1024" s="22"/>
      <c r="OW1024" s="22"/>
      <c r="OX1024" s="22"/>
      <c r="OY1024" s="22"/>
      <c r="OZ1024" s="22"/>
      <c r="PA1024" s="22"/>
      <c r="PB1024" s="22"/>
      <c r="PC1024" s="22"/>
      <c r="PD1024" s="22"/>
      <c r="PE1024" s="22"/>
      <c r="PF1024" s="22"/>
      <c r="PG1024" s="22"/>
      <c r="PH1024" s="22"/>
      <c r="PI1024" s="22"/>
      <c r="PJ1024" s="22"/>
      <c r="PK1024" s="22"/>
      <c r="PL1024" s="22"/>
      <c r="PM1024" s="22"/>
      <c r="PN1024" s="22"/>
      <c r="PO1024" s="22"/>
      <c r="PP1024" s="22"/>
      <c r="PQ1024" s="22"/>
      <c r="PR1024" s="22"/>
      <c r="PS1024" s="22"/>
      <c r="PT1024" s="22"/>
      <c r="PU1024" s="22"/>
      <c r="PV1024" s="22"/>
      <c r="PW1024" s="22"/>
      <c r="PX1024" s="22"/>
      <c r="PY1024" s="22"/>
      <c r="PZ1024" s="22"/>
      <c r="QA1024" s="22"/>
      <c r="QB1024" s="22"/>
      <c r="QC1024" s="22"/>
      <c r="QD1024" s="22"/>
      <c r="QE1024" s="22"/>
      <c r="QF1024" s="22"/>
      <c r="QG1024" s="22"/>
      <c r="QH1024" s="22"/>
      <c r="QI1024" s="22"/>
      <c r="QJ1024" s="22"/>
      <c r="QK1024" s="22"/>
      <c r="QL1024" s="22"/>
      <c r="QM1024" s="22"/>
      <c r="QN1024" s="22"/>
      <c r="QO1024" s="22"/>
      <c r="QP1024" s="22"/>
      <c r="QQ1024" s="22"/>
      <c r="QR1024" s="22"/>
      <c r="QS1024" s="22"/>
      <c r="QT1024" s="22"/>
      <c r="QU1024" s="22"/>
      <c r="QV1024" s="22"/>
      <c r="QW1024" s="22"/>
      <c r="QX1024" s="22"/>
      <c r="QY1024" s="22"/>
      <c r="QZ1024" s="22"/>
      <c r="RA1024" s="22"/>
      <c r="RB1024" s="22"/>
      <c r="RC1024" s="22"/>
      <c r="RD1024" s="22"/>
      <c r="RE1024" s="22"/>
      <c r="RF1024" s="22"/>
      <c r="RG1024" s="22"/>
      <c r="RH1024" s="22"/>
      <c r="RI1024" s="22"/>
      <c r="RJ1024" s="22"/>
      <c r="RK1024" s="22"/>
      <c r="RL1024" s="22"/>
      <c r="RM1024" s="22"/>
      <c r="RN1024" s="22"/>
      <c r="RO1024" s="22"/>
      <c r="RP1024" s="22"/>
      <c r="RQ1024" s="22"/>
      <c r="RR1024" s="22"/>
      <c r="RS1024" s="22"/>
      <c r="RT1024" s="22"/>
      <c r="RU1024" s="22"/>
      <c r="RV1024" s="22"/>
      <c r="RW1024" s="22"/>
      <c r="RX1024" s="22"/>
      <c r="RY1024" s="22"/>
      <c r="RZ1024" s="22"/>
      <c r="SA1024" s="22"/>
      <c r="SB1024" s="22"/>
      <c r="SC1024" s="22"/>
      <c r="SD1024" s="22"/>
      <c r="SE1024" s="22"/>
      <c r="SF1024" s="22"/>
      <c r="SG1024" s="22"/>
      <c r="SH1024" s="22"/>
      <c r="SI1024" s="22"/>
      <c r="SJ1024" s="22"/>
      <c r="SK1024" s="22"/>
      <c r="SL1024" s="22"/>
      <c r="SM1024" s="22"/>
      <c r="SN1024" s="22"/>
      <c r="SO1024" s="22"/>
      <c r="SP1024" s="22"/>
      <c r="SQ1024" s="22"/>
      <c r="SR1024" s="22"/>
      <c r="SS1024" s="22"/>
      <c r="ST1024" s="22"/>
      <c r="SU1024" s="22"/>
      <c r="SV1024" s="22"/>
      <c r="SW1024" s="22"/>
      <c r="SX1024" s="22"/>
      <c r="SY1024" s="22"/>
      <c r="SZ1024" s="22"/>
      <c r="TA1024" s="22"/>
      <c r="TB1024" s="22"/>
      <c r="TC1024" s="22"/>
      <c r="TD1024" s="22"/>
      <c r="TE1024" s="22"/>
      <c r="TF1024" s="22"/>
      <c r="TG1024" s="22"/>
      <c r="TH1024" s="22"/>
      <c r="TI1024" s="22"/>
      <c r="TJ1024" s="22"/>
      <c r="TK1024" s="22"/>
      <c r="TL1024" s="22"/>
      <c r="TM1024" s="22"/>
      <c r="TN1024" s="22"/>
      <c r="TO1024" s="22"/>
      <c r="TP1024" s="22"/>
      <c r="TQ1024" s="22"/>
      <c r="TR1024" s="22"/>
      <c r="TS1024" s="22"/>
      <c r="TT1024" s="22"/>
      <c r="TU1024" s="22"/>
      <c r="TV1024" s="22"/>
      <c r="TW1024" s="22"/>
      <c r="TX1024" s="22"/>
      <c r="TY1024" s="22"/>
      <c r="TZ1024" s="22"/>
      <c r="UA1024" s="22"/>
      <c r="UB1024" s="22"/>
      <c r="UC1024" s="22"/>
      <c r="UD1024" s="22"/>
      <c r="UE1024" s="22"/>
      <c r="UF1024" s="22"/>
      <c r="UG1024" s="23"/>
    </row>
    <row r="1025" spans="1:553" ht="29.25" customHeight="1">
      <c r="A1025" s="356"/>
      <c r="B1025" s="356"/>
      <c r="C1025" s="363" t="s">
        <v>586</v>
      </c>
      <c r="D1025" s="492"/>
      <c r="E1025" s="445"/>
      <c r="F1025" s="444"/>
      <c r="G1025" s="366"/>
      <c r="H1025" s="370"/>
      <c r="I1025" s="370"/>
      <c r="J1025" s="368"/>
      <c r="K1025" s="371"/>
      <c r="L1025" s="356"/>
      <c r="M1025" s="356"/>
      <c r="N1025" s="356"/>
      <c r="O1025" s="356"/>
      <c r="P1025" s="356"/>
      <c r="Q1025" s="610"/>
      <c r="R1025" s="1226"/>
      <c r="S1025" s="308"/>
      <c r="T1025" s="308"/>
      <c r="U1025" s="308"/>
      <c r="V1025" s="308"/>
      <c r="W1025" s="308"/>
      <c r="X1025" s="308"/>
      <c r="Y1025" s="308"/>
      <c r="Z1025" s="604"/>
      <c r="AA1025" s="308"/>
      <c r="AB1025" s="308"/>
      <c r="AC1025" s="373"/>
      <c r="AD1025" s="373"/>
      <c r="AE1025" s="373"/>
      <c r="AF1025" s="373"/>
      <c r="AG1025" s="373"/>
      <c r="AH1025" s="373"/>
      <c r="AI1025" s="373"/>
      <c r="AJ1025" s="373"/>
      <c r="AK1025" s="389"/>
      <c r="AL1025" s="100"/>
      <c r="AM1025" s="27"/>
      <c r="AN1025" s="27"/>
      <c r="AO1025" s="27"/>
      <c r="AP1025" s="27"/>
      <c r="AQ1025" s="27"/>
      <c r="AR1025" s="27"/>
      <c r="AS1025" s="22"/>
      <c r="AT1025" s="22"/>
      <c r="AU1025" s="22"/>
      <c r="AV1025" s="22"/>
      <c r="AW1025" s="22"/>
      <c r="AX1025" s="22"/>
      <c r="AY1025" s="22"/>
      <c r="AZ1025" s="22"/>
      <c r="BA1025" s="22"/>
      <c r="BB1025" s="22"/>
      <c r="BC1025" s="22"/>
      <c r="BD1025" s="22"/>
      <c r="BE1025" s="22"/>
      <c r="BF1025" s="22"/>
      <c r="BG1025" s="22"/>
      <c r="BH1025" s="22"/>
      <c r="BI1025" s="22"/>
      <c r="BJ1025" s="22"/>
      <c r="BK1025" s="22"/>
      <c r="BL1025" s="22"/>
      <c r="BM1025" s="22"/>
      <c r="BN1025" s="22"/>
      <c r="BO1025" s="22"/>
      <c r="BP1025" s="22"/>
      <c r="BQ1025" s="22"/>
      <c r="BR1025" s="22"/>
      <c r="BS1025" s="22"/>
      <c r="BT1025" s="22"/>
      <c r="BU1025" s="22"/>
      <c r="BV1025" s="22"/>
      <c r="BW1025" s="22"/>
      <c r="BX1025" s="22"/>
      <c r="BY1025" s="22"/>
      <c r="BZ1025" s="22"/>
      <c r="CA1025" s="22"/>
      <c r="CB1025" s="22"/>
      <c r="CC1025" s="22"/>
      <c r="CD1025" s="22"/>
      <c r="CE1025" s="22"/>
      <c r="CF1025" s="22"/>
      <c r="CG1025" s="22"/>
      <c r="CH1025" s="22"/>
      <c r="CI1025" s="22"/>
      <c r="CJ1025" s="22"/>
      <c r="CK1025" s="22"/>
      <c r="CL1025" s="22"/>
      <c r="CM1025" s="22"/>
      <c r="CN1025" s="22"/>
      <c r="CO1025" s="22"/>
      <c r="CP1025" s="22"/>
      <c r="CQ1025" s="22"/>
      <c r="CR1025" s="22"/>
      <c r="CS1025" s="22"/>
      <c r="CT1025" s="22"/>
      <c r="CU1025" s="22"/>
      <c r="CV1025" s="22"/>
      <c r="CW1025" s="22"/>
      <c r="CX1025" s="22"/>
      <c r="CY1025" s="22"/>
      <c r="CZ1025" s="22"/>
      <c r="DA1025" s="22"/>
      <c r="DB1025" s="22"/>
      <c r="DC1025" s="22"/>
      <c r="DD1025" s="22"/>
      <c r="DE1025" s="22"/>
      <c r="DF1025" s="22"/>
      <c r="DG1025" s="22"/>
      <c r="DH1025" s="22"/>
      <c r="DI1025" s="22"/>
      <c r="DJ1025" s="22"/>
      <c r="DK1025" s="22"/>
      <c r="DL1025" s="22"/>
      <c r="DM1025" s="22"/>
      <c r="DN1025" s="22"/>
      <c r="DO1025" s="22"/>
      <c r="DP1025" s="22"/>
      <c r="DQ1025" s="22"/>
      <c r="DR1025" s="22"/>
      <c r="DS1025" s="22"/>
      <c r="DT1025" s="22"/>
      <c r="DU1025" s="22"/>
      <c r="DV1025" s="22"/>
      <c r="DW1025" s="22"/>
      <c r="DX1025" s="22"/>
      <c r="DY1025" s="22"/>
      <c r="DZ1025" s="22"/>
      <c r="EA1025" s="22"/>
      <c r="EB1025" s="22"/>
      <c r="EC1025" s="22"/>
      <c r="ED1025" s="22"/>
      <c r="EE1025" s="22"/>
      <c r="EF1025" s="22"/>
      <c r="EG1025" s="22"/>
      <c r="EH1025" s="22"/>
      <c r="EI1025" s="22"/>
      <c r="EJ1025" s="22"/>
      <c r="EK1025" s="22"/>
      <c r="EL1025" s="22"/>
      <c r="EM1025" s="22"/>
      <c r="EN1025" s="22"/>
      <c r="EO1025" s="22"/>
      <c r="EP1025" s="22"/>
      <c r="EQ1025" s="22"/>
      <c r="ER1025" s="22"/>
      <c r="ES1025" s="22"/>
      <c r="ET1025" s="22"/>
      <c r="EU1025" s="22"/>
      <c r="EV1025" s="22"/>
      <c r="EW1025" s="22"/>
      <c r="EX1025" s="22"/>
      <c r="EY1025" s="22"/>
      <c r="EZ1025" s="22"/>
      <c r="FA1025" s="22"/>
      <c r="FB1025" s="22"/>
      <c r="FC1025" s="22"/>
      <c r="FD1025" s="22"/>
      <c r="FE1025" s="22"/>
      <c r="FF1025" s="22"/>
      <c r="FG1025" s="22"/>
      <c r="FH1025" s="22"/>
      <c r="FI1025" s="22"/>
      <c r="FJ1025" s="22"/>
      <c r="FK1025" s="22"/>
      <c r="FL1025" s="22"/>
      <c r="FM1025" s="22"/>
      <c r="FN1025" s="22"/>
      <c r="FO1025" s="22"/>
      <c r="FP1025" s="22"/>
      <c r="FQ1025" s="22"/>
      <c r="FR1025" s="22"/>
      <c r="FS1025" s="22"/>
      <c r="FT1025" s="22"/>
      <c r="FU1025" s="22"/>
      <c r="FV1025" s="22"/>
      <c r="FW1025" s="22"/>
      <c r="FX1025" s="22"/>
      <c r="FY1025" s="22"/>
      <c r="FZ1025" s="22"/>
      <c r="GA1025" s="22"/>
      <c r="GB1025" s="22"/>
      <c r="GC1025" s="22"/>
      <c r="GD1025" s="22"/>
      <c r="GE1025" s="22"/>
      <c r="GF1025" s="22"/>
      <c r="GG1025" s="22"/>
      <c r="GH1025" s="22"/>
      <c r="GI1025" s="22"/>
      <c r="GJ1025" s="22"/>
      <c r="GK1025" s="22"/>
      <c r="GL1025" s="22"/>
      <c r="GM1025" s="22"/>
      <c r="GN1025" s="22"/>
      <c r="GO1025" s="22"/>
      <c r="GP1025" s="22"/>
      <c r="GQ1025" s="22"/>
      <c r="GR1025" s="22"/>
      <c r="GS1025" s="22"/>
      <c r="GT1025" s="22"/>
      <c r="GU1025" s="22"/>
      <c r="GV1025" s="22"/>
      <c r="GW1025" s="22"/>
      <c r="GX1025" s="22"/>
      <c r="GY1025" s="22"/>
      <c r="GZ1025" s="22"/>
      <c r="HA1025" s="22"/>
      <c r="HB1025" s="22"/>
      <c r="HC1025" s="22"/>
      <c r="HD1025" s="22"/>
      <c r="HE1025" s="22"/>
      <c r="HF1025" s="22"/>
      <c r="HG1025" s="22"/>
      <c r="HH1025" s="22"/>
      <c r="HI1025" s="22"/>
      <c r="HJ1025" s="22"/>
      <c r="HK1025" s="22"/>
      <c r="HL1025" s="22"/>
      <c r="HM1025" s="22"/>
      <c r="HN1025" s="22"/>
      <c r="HO1025" s="22"/>
      <c r="HP1025" s="22"/>
      <c r="HQ1025" s="22"/>
      <c r="HR1025" s="22"/>
      <c r="HS1025" s="22"/>
      <c r="HT1025" s="22"/>
      <c r="HU1025" s="22"/>
      <c r="HV1025" s="22"/>
      <c r="HW1025" s="22"/>
      <c r="HX1025" s="22"/>
      <c r="HY1025" s="22"/>
      <c r="HZ1025" s="22"/>
      <c r="IA1025" s="22"/>
      <c r="IB1025" s="22"/>
      <c r="IC1025" s="22"/>
      <c r="ID1025" s="22"/>
      <c r="IE1025" s="22"/>
      <c r="IF1025" s="22"/>
      <c r="IG1025" s="22"/>
      <c r="IH1025" s="22"/>
      <c r="II1025" s="22"/>
      <c r="IJ1025" s="22"/>
      <c r="IK1025" s="22"/>
      <c r="IL1025" s="22"/>
      <c r="IM1025" s="22"/>
      <c r="IN1025" s="22"/>
      <c r="IO1025" s="22"/>
      <c r="IP1025" s="22"/>
      <c r="IQ1025" s="22"/>
      <c r="IR1025" s="22"/>
      <c r="IS1025" s="22"/>
      <c r="IT1025" s="22"/>
      <c r="IU1025" s="22"/>
      <c r="IV1025" s="22"/>
      <c r="IW1025" s="22"/>
      <c r="IX1025" s="22"/>
      <c r="IY1025" s="22"/>
      <c r="IZ1025" s="22"/>
      <c r="JA1025" s="22"/>
      <c r="JB1025" s="22"/>
      <c r="JC1025" s="22"/>
      <c r="JD1025" s="22"/>
      <c r="JE1025" s="22"/>
      <c r="JF1025" s="22"/>
      <c r="JG1025" s="22"/>
      <c r="JH1025" s="22"/>
      <c r="JI1025" s="22"/>
      <c r="JJ1025" s="22"/>
      <c r="JK1025" s="22"/>
      <c r="JL1025" s="22"/>
      <c r="JM1025" s="22"/>
      <c r="JN1025" s="22"/>
      <c r="JO1025" s="22"/>
      <c r="JP1025" s="22"/>
      <c r="JQ1025" s="22"/>
      <c r="JR1025" s="22"/>
      <c r="JS1025" s="22"/>
      <c r="JT1025" s="22"/>
      <c r="JU1025" s="22"/>
      <c r="JV1025" s="22"/>
      <c r="JW1025" s="22"/>
      <c r="JX1025" s="22"/>
      <c r="JY1025" s="22"/>
      <c r="JZ1025" s="22"/>
      <c r="KA1025" s="22"/>
      <c r="KB1025" s="22"/>
      <c r="KC1025" s="22"/>
      <c r="KD1025" s="22"/>
      <c r="KE1025" s="22"/>
      <c r="KF1025" s="22"/>
      <c r="KG1025" s="22"/>
      <c r="KH1025" s="22"/>
      <c r="KI1025" s="22"/>
      <c r="KJ1025" s="22"/>
      <c r="KK1025" s="22"/>
      <c r="KL1025" s="22"/>
      <c r="KM1025" s="22"/>
      <c r="KN1025" s="22"/>
      <c r="KO1025" s="22"/>
      <c r="KP1025" s="22"/>
      <c r="KQ1025" s="22"/>
      <c r="KR1025" s="22"/>
      <c r="KS1025" s="22"/>
      <c r="KT1025" s="22"/>
      <c r="KU1025" s="22"/>
      <c r="KV1025" s="22"/>
      <c r="KW1025" s="22"/>
      <c r="KX1025" s="22"/>
      <c r="KY1025" s="22"/>
      <c r="KZ1025" s="22"/>
      <c r="LA1025" s="22"/>
      <c r="LB1025" s="22"/>
      <c r="LC1025" s="22"/>
      <c r="LD1025" s="22"/>
      <c r="LE1025" s="22"/>
      <c r="LF1025" s="22"/>
      <c r="LG1025" s="22"/>
      <c r="LH1025" s="22"/>
      <c r="LI1025" s="22"/>
      <c r="LJ1025" s="22"/>
      <c r="LK1025" s="22"/>
      <c r="LL1025" s="22"/>
      <c r="LM1025" s="22"/>
      <c r="LN1025" s="22"/>
      <c r="LO1025" s="22"/>
      <c r="LP1025" s="22"/>
      <c r="LQ1025" s="22"/>
      <c r="LR1025" s="22"/>
      <c r="LS1025" s="22"/>
      <c r="LT1025" s="22"/>
      <c r="LU1025" s="22"/>
      <c r="LV1025" s="22"/>
      <c r="LW1025" s="22"/>
      <c r="LX1025" s="22"/>
      <c r="LY1025" s="22"/>
      <c r="LZ1025" s="22"/>
      <c r="MA1025" s="22"/>
      <c r="MB1025" s="22"/>
      <c r="MC1025" s="22"/>
      <c r="MD1025" s="22"/>
      <c r="ME1025" s="22"/>
      <c r="MF1025" s="22"/>
      <c r="MG1025" s="22"/>
      <c r="MH1025" s="22"/>
      <c r="MI1025" s="22"/>
      <c r="MJ1025" s="22"/>
      <c r="MK1025" s="22"/>
      <c r="ML1025" s="22"/>
      <c r="MM1025" s="22"/>
      <c r="MN1025" s="22"/>
      <c r="MO1025" s="22"/>
      <c r="MP1025" s="22"/>
      <c r="MQ1025" s="22"/>
      <c r="MR1025" s="22"/>
      <c r="MS1025" s="22"/>
      <c r="MT1025" s="22"/>
      <c r="MU1025" s="22"/>
      <c r="MV1025" s="22"/>
      <c r="MW1025" s="22"/>
      <c r="MX1025" s="22"/>
      <c r="MY1025" s="22"/>
      <c r="MZ1025" s="22"/>
      <c r="NA1025" s="22"/>
      <c r="NB1025" s="22"/>
      <c r="NC1025" s="22"/>
      <c r="ND1025" s="22"/>
      <c r="NE1025" s="22"/>
      <c r="NF1025" s="22"/>
      <c r="NG1025" s="22"/>
      <c r="NH1025" s="22"/>
      <c r="NI1025" s="22"/>
      <c r="NJ1025" s="22"/>
      <c r="NK1025" s="22"/>
      <c r="NL1025" s="22"/>
      <c r="NM1025" s="22"/>
      <c r="NN1025" s="22"/>
      <c r="NO1025" s="22"/>
      <c r="NP1025" s="22"/>
      <c r="NQ1025" s="22"/>
      <c r="NR1025" s="22"/>
      <c r="NS1025" s="22"/>
      <c r="NT1025" s="22"/>
      <c r="NU1025" s="22"/>
      <c r="NV1025" s="22"/>
      <c r="NW1025" s="22"/>
      <c r="NX1025" s="22"/>
      <c r="NY1025" s="22"/>
      <c r="NZ1025" s="22"/>
      <c r="OA1025" s="22"/>
      <c r="OB1025" s="22"/>
      <c r="OC1025" s="22"/>
      <c r="OD1025" s="22"/>
      <c r="OE1025" s="22"/>
      <c r="OF1025" s="22"/>
      <c r="OG1025" s="22"/>
      <c r="OH1025" s="22"/>
      <c r="OI1025" s="22"/>
      <c r="OJ1025" s="22"/>
      <c r="OK1025" s="22"/>
      <c r="OL1025" s="22"/>
      <c r="OM1025" s="22"/>
      <c r="ON1025" s="22"/>
      <c r="OO1025" s="22"/>
      <c r="OP1025" s="22"/>
      <c r="OQ1025" s="22"/>
      <c r="OR1025" s="22"/>
      <c r="OS1025" s="22"/>
      <c r="OT1025" s="22"/>
      <c r="OU1025" s="22"/>
      <c r="OV1025" s="22"/>
      <c r="OW1025" s="22"/>
      <c r="OX1025" s="22"/>
      <c r="OY1025" s="22"/>
      <c r="OZ1025" s="22"/>
      <c r="PA1025" s="22"/>
      <c r="PB1025" s="22"/>
      <c r="PC1025" s="22"/>
      <c r="PD1025" s="22"/>
      <c r="PE1025" s="22"/>
      <c r="PF1025" s="22"/>
      <c r="PG1025" s="22"/>
      <c r="PH1025" s="22"/>
      <c r="PI1025" s="22"/>
      <c r="PJ1025" s="22"/>
      <c r="PK1025" s="22"/>
      <c r="PL1025" s="22"/>
      <c r="PM1025" s="22"/>
      <c r="PN1025" s="22"/>
      <c r="PO1025" s="22"/>
      <c r="PP1025" s="22"/>
      <c r="PQ1025" s="22"/>
      <c r="PR1025" s="22"/>
      <c r="PS1025" s="22"/>
      <c r="PT1025" s="22"/>
      <c r="PU1025" s="22"/>
      <c r="PV1025" s="22"/>
      <c r="PW1025" s="22"/>
      <c r="PX1025" s="22"/>
      <c r="PY1025" s="22"/>
      <c r="PZ1025" s="22"/>
      <c r="QA1025" s="22"/>
      <c r="QB1025" s="22"/>
      <c r="QC1025" s="22"/>
      <c r="QD1025" s="22"/>
      <c r="QE1025" s="22"/>
      <c r="QF1025" s="22"/>
      <c r="QG1025" s="22"/>
      <c r="QH1025" s="22"/>
      <c r="QI1025" s="22"/>
      <c r="QJ1025" s="22"/>
      <c r="QK1025" s="22"/>
      <c r="QL1025" s="22"/>
      <c r="QM1025" s="22"/>
      <c r="QN1025" s="22"/>
      <c r="QO1025" s="22"/>
      <c r="QP1025" s="22"/>
      <c r="QQ1025" s="22"/>
      <c r="QR1025" s="22"/>
      <c r="QS1025" s="22"/>
      <c r="QT1025" s="22"/>
      <c r="QU1025" s="22"/>
      <c r="QV1025" s="22"/>
      <c r="QW1025" s="22"/>
      <c r="QX1025" s="22"/>
      <c r="QY1025" s="22"/>
      <c r="QZ1025" s="22"/>
      <c r="RA1025" s="22"/>
      <c r="RB1025" s="22"/>
      <c r="RC1025" s="22"/>
      <c r="RD1025" s="22"/>
      <c r="RE1025" s="22"/>
      <c r="RF1025" s="22"/>
      <c r="RG1025" s="22"/>
      <c r="RH1025" s="22"/>
      <c r="RI1025" s="22"/>
      <c r="RJ1025" s="22"/>
      <c r="RK1025" s="22"/>
      <c r="RL1025" s="22"/>
      <c r="RM1025" s="22"/>
      <c r="RN1025" s="22"/>
      <c r="RO1025" s="22"/>
      <c r="RP1025" s="22"/>
      <c r="RQ1025" s="22"/>
      <c r="RR1025" s="22"/>
      <c r="RS1025" s="22"/>
      <c r="RT1025" s="22"/>
      <c r="RU1025" s="22"/>
      <c r="RV1025" s="22"/>
      <c r="RW1025" s="22"/>
      <c r="RX1025" s="22"/>
      <c r="RY1025" s="22"/>
      <c r="RZ1025" s="22"/>
      <c r="SA1025" s="22"/>
      <c r="SB1025" s="22"/>
      <c r="SC1025" s="22"/>
      <c r="SD1025" s="22"/>
      <c r="SE1025" s="22"/>
      <c r="SF1025" s="22"/>
      <c r="SG1025" s="22"/>
      <c r="SH1025" s="22"/>
      <c r="SI1025" s="22"/>
      <c r="SJ1025" s="22"/>
      <c r="SK1025" s="22"/>
      <c r="SL1025" s="22"/>
      <c r="SM1025" s="22"/>
      <c r="SN1025" s="22"/>
      <c r="SO1025" s="22"/>
      <c r="SP1025" s="22"/>
      <c r="SQ1025" s="22"/>
      <c r="SR1025" s="22"/>
      <c r="SS1025" s="22"/>
      <c r="ST1025" s="22"/>
      <c r="SU1025" s="22"/>
      <c r="SV1025" s="22"/>
      <c r="SW1025" s="22"/>
      <c r="SX1025" s="22"/>
      <c r="SY1025" s="22"/>
      <c r="SZ1025" s="22"/>
      <c r="TA1025" s="22"/>
      <c r="TB1025" s="22"/>
      <c r="TC1025" s="22"/>
      <c r="TD1025" s="22"/>
      <c r="TE1025" s="22"/>
      <c r="TF1025" s="22"/>
      <c r="TG1025" s="22"/>
      <c r="TH1025" s="22"/>
      <c r="TI1025" s="22"/>
      <c r="TJ1025" s="22"/>
      <c r="TK1025" s="22"/>
      <c r="TL1025" s="22"/>
      <c r="TM1025" s="22"/>
      <c r="TN1025" s="22"/>
      <c r="TO1025" s="22"/>
      <c r="TP1025" s="22"/>
      <c r="TQ1025" s="22"/>
      <c r="TR1025" s="22"/>
      <c r="TS1025" s="22"/>
      <c r="TT1025" s="22"/>
      <c r="TU1025" s="22"/>
      <c r="TV1025" s="22"/>
      <c r="TW1025" s="22"/>
      <c r="TX1025" s="22"/>
      <c r="TY1025" s="22"/>
      <c r="TZ1025" s="22"/>
      <c r="UA1025" s="22"/>
      <c r="UB1025" s="22"/>
      <c r="UC1025" s="22"/>
      <c r="UD1025" s="22"/>
      <c r="UE1025" s="22"/>
      <c r="UF1025" s="22"/>
      <c r="UG1025" s="23"/>
    </row>
    <row r="1026" spans="1:553" s="1262" customFormat="1" ht="29.25" customHeight="1">
      <c r="A1026" s="356"/>
      <c r="B1026" s="356"/>
      <c r="C1026" s="1523" t="s">
        <v>199</v>
      </c>
      <c r="D1026" s="1528"/>
      <c r="E1026" s="1528"/>
      <c r="F1026" s="1529"/>
      <c r="G1026" s="418" t="s">
        <v>48</v>
      </c>
      <c r="H1026" s="370"/>
      <c r="I1026" s="1017">
        <v>1</v>
      </c>
      <c r="J1026" s="368">
        <v>391100</v>
      </c>
      <c r="K1026" s="565">
        <v>0.7</v>
      </c>
      <c r="L1026" s="571">
        <f t="shared" ref="L1026:L1033" si="151">I1026*J1026*K1026</f>
        <v>273770</v>
      </c>
      <c r="M1026" s="356"/>
      <c r="N1026" s="356"/>
      <c r="O1026" s="356"/>
      <c r="P1026" s="356"/>
      <c r="Q1026" s="610"/>
      <c r="R1026" s="1226"/>
      <c r="S1026" s="308"/>
      <c r="T1026" s="308"/>
      <c r="U1026" s="308"/>
      <c r="V1026" s="308"/>
      <c r="W1026" s="308"/>
      <c r="X1026" s="308"/>
      <c r="Y1026" s="308"/>
      <c r="Z1026" s="604"/>
      <c r="AA1026" s="308"/>
      <c r="AB1026" s="308"/>
      <c r="AC1026" s="373"/>
      <c r="AD1026" s="373"/>
      <c r="AE1026" s="373"/>
      <c r="AF1026" s="373"/>
      <c r="AG1026" s="373"/>
      <c r="AH1026" s="373"/>
      <c r="AI1026" s="373"/>
      <c r="AJ1026" s="373"/>
      <c r="AK1026" s="389"/>
      <c r="AL1026" s="1276"/>
      <c r="AM1026" s="1277"/>
      <c r="AN1026" s="1277"/>
      <c r="AO1026" s="1277"/>
      <c r="AP1026" s="1277"/>
      <c r="AQ1026" s="1277"/>
      <c r="AR1026" s="1277"/>
      <c r="AS1026" s="1278"/>
      <c r="AT1026" s="1278"/>
      <c r="AU1026" s="1278"/>
      <c r="AV1026" s="1278"/>
      <c r="AW1026" s="1278"/>
      <c r="AX1026" s="1278"/>
      <c r="AY1026" s="1278"/>
      <c r="AZ1026" s="1278"/>
      <c r="BA1026" s="1278"/>
      <c r="BB1026" s="1278"/>
      <c r="BC1026" s="1278"/>
      <c r="BD1026" s="1278"/>
      <c r="BE1026" s="1278"/>
      <c r="BF1026" s="1278"/>
      <c r="BG1026" s="1278"/>
      <c r="BH1026" s="1278"/>
      <c r="BI1026" s="1278"/>
      <c r="BJ1026" s="1278"/>
      <c r="BK1026" s="1278"/>
      <c r="BL1026" s="1278"/>
      <c r="BM1026" s="1278"/>
      <c r="BN1026" s="1278"/>
      <c r="BO1026" s="1278"/>
      <c r="BP1026" s="1278"/>
      <c r="BQ1026" s="1278"/>
      <c r="BR1026" s="1278"/>
      <c r="BS1026" s="1278"/>
      <c r="BT1026" s="1278"/>
      <c r="BU1026" s="1278"/>
      <c r="BV1026" s="1278"/>
      <c r="BW1026" s="1278"/>
      <c r="BX1026" s="1278"/>
      <c r="BY1026" s="1278"/>
      <c r="BZ1026" s="1278"/>
      <c r="CA1026" s="1278"/>
      <c r="CB1026" s="1278"/>
      <c r="CC1026" s="1278"/>
      <c r="CD1026" s="1278"/>
      <c r="CE1026" s="1278"/>
      <c r="CF1026" s="1278"/>
      <c r="CG1026" s="1278"/>
      <c r="CH1026" s="1278"/>
      <c r="CI1026" s="1278"/>
      <c r="CJ1026" s="1278"/>
      <c r="CK1026" s="1278"/>
      <c r="CL1026" s="1278"/>
      <c r="CM1026" s="1278"/>
      <c r="CN1026" s="1278"/>
      <c r="CO1026" s="1278"/>
      <c r="CP1026" s="1278"/>
      <c r="CQ1026" s="1278"/>
      <c r="CR1026" s="1278"/>
      <c r="CS1026" s="1278"/>
      <c r="CT1026" s="1278"/>
      <c r="CU1026" s="1278"/>
      <c r="CV1026" s="1278"/>
      <c r="CW1026" s="1278"/>
      <c r="CX1026" s="1278"/>
      <c r="CY1026" s="1278"/>
      <c r="CZ1026" s="1278"/>
      <c r="DA1026" s="1278"/>
      <c r="DB1026" s="1278"/>
      <c r="DC1026" s="1278"/>
      <c r="DD1026" s="1278"/>
      <c r="DE1026" s="1278"/>
      <c r="DF1026" s="1278"/>
      <c r="DG1026" s="1278"/>
      <c r="DH1026" s="1278"/>
      <c r="DI1026" s="1278"/>
      <c r="DJ1026" s="1278"/>
      <c r="DK1026" s="1278"/>
      <c r="DL1026" s="1278"/>
      <c r="DM1026" s="1278"/>
      <c r="DN1026" s="1278"/>
      <c r="DO1026" s="1278"/>
      <c r="DP1026" s="1278"/>
      <c r="DQ1026" s="1278"/>
      <c r="DR1026" s="1278"/>
      <c r="DS1026" s="1278"/>
      <c r="DT1026" s="1278"/>
      <c r="DU1026" s="1278"/>
      <c r="DV1026" s="1278"/>
      <c r="DW1026" s="1278"/>
      <c r="DX1026" s="1278"/>
      <c r="DY1026" s="1278"/>
      <c r="DZ1026" s="1278"/>
      <c r="EA1026" s="1278"/>
      <c r="EB1026" s="1278"/>
      <c r="EC1026" s="1278"/>
      <c r="ED1026" s="1278"/>
      <c r="EE1026" s="1278"/>
      <c r="EF1026" s="1278"/>
      <c r="EG1026" s="1278"/>
      <c r="EH1026" s="1278"/>
      <c r="EI1026" s="1278"/>
      <c r="EJ1026" s="1278"/>
      <c r="EK1026" s="1278"/>
      <c r="EL1026" s="1278"/>
      <c r="EM1026" s="1278"/>
      <c r="EN1026" s="1278"/>
      <c r="EO1026" s="1278"/>
      <c r="EP1026" s="1278"/>
      <c r="EQ1026" s="1278"/>
      <c r="ER1026" s="1278"/>
      <c r="ES1026" s="1278"/>
      <c r="ET1026" s="1278"/>
      <c r="EU1026" s="1278"/>
      <c r="EV1026" s="1278"/>
      <c r="EW1026" s="1278"/>
      <c r="EX1026" s="1278"/>
      <c r="EY1026" s="1278"/>
      <c r="EZ1026" s="1278"/>
      <c r="FA1026" s="1278"/>
      <c r="FB1026" s="1278"/>
      <c r="FC1026" s="1278"/>
      <c r="FD1026" s="1278"/>
      <c r="FE1026" s="1278"/>
      <c r="FF1026" s="1278"/>
      <c r="FG1026" s="1278"/>
      <c r="FH1026" s="1278"/>
      <c r="FI1026" s="1278"/>
      <c r="FJ1026" s="1278"/>
      <c r="FK1026" s="1278"/>
      <c r="FL1026" s="1278"/>
      <c r="FM1026" s="1278"/>
      <c r="FN1026" s="1278"/>
      <c r="FO1026" s="1278"/>
      <c r="FP1026" s="1278"/>
      <c r="FQ1026" s="1278"/>
      <c r="FR1026" s="1278"/>
      <c r="FS1026" s="1278"/>
      <c r="FT1026" s="1278"/>
      <c r="FU1026" s="1278"/>
      <c r="FV1026" s="1278"/>
      <c r="FW1026" s="1278"/>
      <c r="FX1026" s="1278"/>
      <c r="FY1026" s="1278"/>
      <c r="FZ1026" s="1278"/>
      <c r="GA1026" s="1278"/>
      <c r="GB1026" s="1278"/>
      <c r="GC1026" s="1278"/>
      <c r="GD1026" s="1278"/>
      <c r="GE1026" s="1278"/>
      <c r="GF1026" s="1278"/>
      <c r="GG1026" s="1278"/>
      <c r="GH1026" s="1278"/>
      <c r="GI1026" s="1278"/>
      <c r="GJ1026" s="1278"/>
      <c r="GK1026" s="1278"/>
      <c r="GL1026" s="1278"/>
      <c r="GM1026" s="1278"/>
      <c r="GN1026" s="1278"/>
      <c r="GO1026" s="1278"/>
      <c r="GP1026" s="1278"/>
      <c r="GQ1026" s="1278"/>
      <c r="GR1026" s="1278"/>
      <c r="GS1026" s="1278"/>
      <c r="GT1026" s="1278"/>
      <c r="GU1026" s="1278"/>
      <c r="GV1026" s="1278"/>
      <c r="GW1026" s="1278"/>
      <c r="GX1026" s="1278"/>
      <c r="GY1026" s="1278"/>
      <c r="GZ1026" s="1278"/>
      <c r="HA1026" s="1278"/>
      <c r="HB1026" s="1278"/>
      <c r="HC1026" s="1278"/>
      <c r="HD1026" s="1278"/>
      <c r="HE1026" s="1278"/>
      <c r="HF1026" s="1278"/>
      <c r="HG1026" s="1278"/>
      <c r="HH1026" s="1278"/>
      <c r="HI1026" s="1278"/>
      <c r="HJ1026" s="1278"/>
      <c r="HK1026" s="1278"/>
      <c r="HL1026" s="1278"/>
      <c r="HM1026" s="1278"/>
      <c r="HN1026" s="1278"/>
      <c r="HO1026" s="1278"/>
      <c r="HP1026" s="1278"/>
      <c r="HQ1026" s="1278"/>
      <c r="HR1026" s="1278"/>
      <c r="HS1026" s="1278"/>
      <c r="HT1026" s="1278"/>
      <c r="HU1026" s="1278"/>
      <c r="HV1026" s="1278"/>
      <c r="HW1026" s="1278"/>
      <c r="HX1026" s="1278"/>
      <c r="HY1026" s="1278"/>
      <c r="HZ1026" s="1278"/>
      <c r="IA1026" s="1278"/>
      <c r="IB1026" s="1278"/>
      <c r="IC1026" s="1278"/>
      <c r="ID1026" s="1278"/>
      <c r="IE1026" s="1278"/>
      <c r="IF1026" s="1278"/>
      <c r="IG1026" s="1278"/>
      <c r="IH1026" s="1278"/>
      <c r="II1026" s="1278"/>
      <c r="IJ1026" s="1278"/>
      <c r="IK1026" s="1278"/>
      <c r="IL1026" s="1278"/>
      <c r="IM1026" s="1278"/>
      <c r="IN1026" s="1278"/>
      <c r="IO1026" s="1278"/>
      <c r="IP1026" s="1278"/>
      <c r="IQ1026" s="1278"/>
      <c r="IR1026" s="1278"/>
      <c r="IS1026" s="1278"/>
      <c r="IT1026" s="1278"/>
      <c r="IU1026" s="1278"/>
      <c r="IV1026" s="1278"/>
      <c r="IW1026" s="1278"/>
      <c r="IX1026" s="1278"/>
      <c r="IY1026" s="1278"/>
      <c r="IZ1026" s="1278"/>
      <c r="JA1026" s="1278"/>
      <c r="JB1026" s="1278"/>
      <c r="JC1026" s="1278"/>
      <c r="JD1026" s="1278"/>
      <c r="JE1026" s="1278"/>
      <c r="JF1026" s="1278"/>
      <c r="JG1026" s="1278"/>
      <c r="JH1026" s="1278"/>
      <c r="JI1026" s="1278"/>
      <c r="JJ1026" s="1278"/>
      <c r="JK1026" s="1278"/>
      <c r="JL1026" s="1278"/>
      <c r="JM1026" s="1278"/>
      <c r="JN1026" s="1278"/>
      <c r="JO1026" s="1278"/>
      <c r="JP1026" s="1278"/>
      <c r="JQ1026" s="1278"/>
      <c r="JR1026" s="1278"/>
      <c r="JS1026" s="1278"/>
      <c r="JT1026" s="1278"/>
      <c r="JU1026" s="1278"/>
      <c r="JV1026" s="1278"/>
      <c r="JW1026" s="1278"/>
      <c r="JX1026" s="1278"/>
      <c r="JY1026" s="1278"/>
      <c r="JZ1026" s="1278"/>
      <c r="KA1026" s="1278"/>
      <c r="KB1026" s="1278"/>
      <c r="KC1026" s="1278"/>
      <c r="KD1026" s="1278"/>
      <c r="KE1026" s="1278"/>
      <c r="KF1026" s="1278"/>
      <c r="KG1026" s="1278"/>
      <c r="KH1026" s="1278"/>
      <c r="KI1026" s="1278"/>
      <c r="KJ1026" s="1278"/>
      <c r="KK1026" s="1278"/>
      <c r="KL1026" s="1278"/>
      <c r="KM1026" s="1278"/>
      <c r="KN1026" s="1278"/>
      <c r="KO1026" s="1278"/>
      <c r="KP1026" s="1278"/>
      <c r="KQ1026" s="1278"/>
      <c r="KR1026" s="1278"/>
      <c r="KS1026" s="1278"/>
      <c r="KT1026" s="1278"/>
      <c r="KU1026" s="1278"/>
      <c r="KV1026" s="1278"/>
      <c r="KW1026" s="1278"/>
      <c r="KX1026" s="1278"/>
      <c r="KY1026" s="1278"/>
      <c r="KZ1026" s="1278"/>
      <c r="LA1026" s="1278"/>
      <c r="LB1026" s="1278"/>
      <c r="LC1026" s="1278"/>
      <c r="LD1026" s="1278"/>
      <c r="LE1026" s="1278"/>
      <c r="LF1026" s="1278"/>
      <c r="LG1026" s="1278"/>
      <c r="LH1026" s="1278"/>
      <c r="LI1026" s="1278"/>
      <c r="LJ1026" s="1278"/>
      <c r="LK1026" s="1278"/>
      <c r="LL1026" s="1278"/>
      <c r="LM1026" s="1278"/>
      <c r="LN1026" s="1278"/>
      <c r="LO1026" s="1278"/>
      <c r="LP1026" s="1278"/>
      <c r="LQ1026" s="1278"/>
      <c r="LR1026" s="1278"/>
      <c r="LS1026" s="1278"/>
      <c r="LT1026" s="1278"/>
      <c r="LU1026" s="1278"/>
      <c r="LV1026" s="1278"/>
      <c r="LW1026" s="1278"/>
      <c r="LX1026" s="1278"/>
      <c r="LY1026" s="1278"/>
      <c r="LZ1026" s="1278"/>
      <c r="MA1026" s="1278"/>
      <c r="MB1026" s="1278"/>
      <c r="MC1026" s="1278"/>
      <c r="MD1026" s="1278"/>
      <c r="ME1026" s="1278"/>
      <c r="MF1026" s="1278"/>
      <c r="MG1026" s="1278"/>
      <c r="MH1026" s="1278"/>
      <c r="MI1026" s="1278"/>
      <c r="MJ1026" s="1278"/>
      <c r="MK1026" s="1278"/>
      <c r="ML1026" s="1278"/>
      <c r="MM1026" s="1278"/>
      <c r="MN1026" s="1278"/>
      <c r="MO1026" s="1278"/>
      <c r="MP1026" s="1278"/>
      <c r="MQ1026" s="1278"/>
      <c r="MR1026" s="1278"/>
      <c r="MS1026" s="1278"/>
      <c r="MT1026" s="1278"/>
      <c r="MU1026" s="1278"/>
      <c r="MV1026" s="1278"/>
      <c r="MW1026" s="1278"/>
      <c r="MX1026" s="1278"/>
      <c r="MY1026" s="1278"/>
      <c r="MZ1026" s="1278"/>
      <c r="NA1026" s="1278"/>
      <c r="NB1026" s="1278"/>
      <c r="NC1026" s="1278"/>
      <c r="ND1026" s="1278"/>
      <c r="NE1026" s="1278"/>
      <c r="NF1026" s="1278"/>
      <c r="NG1026" s="1278"/>
      <c r="NH1026" s="1278"/>
      <c r="NI1026" s="1278"/>
      <c r="NJ1026" s="1278"/>
      <c r="NK1026" s="1278"/>
      <c r="NL1026" s="1278"/>
      <c r="NM1026" s="1278"/>
      <c r="NN1026" s="1278"/>
      <c r="NO1026" s="1278"/>
      <c r="NP1026" s="1278"/>
      <c r="NQ1026" s="1278"/>
      <c r="NR1026" s="1278"/>
      <c r="NS1026" s="1278"/>
      <c r="NT1026" s="1278"/>
      <c r="NU1026" s="1278"/>
      <c r="NV1026" s="1278"/>
      <c r="NW1026" s="1278"/>
      <c r="NX1026" s="1278"/>
      <c r="NY1026" s="1278"/>
      <c r="NZ1026" s="1278"/>
      <c r="OA1026" s="1278"/>
      <c r="OB1026" s="1278"/>
      <c r="OC1026" s="1278"/>
      <c r="OD1026" s="1278"/>
      <c r="OE1026" s="1278"/>
      <c r="OF1026" s="1278"/>
      <c r="OG1026" s="1278"/>
      <c r="OH1026" s="1278"/>
      <c r="OI1026" s="1278"/>
      <c r="OJ1026" s="1278"/>
      <c r="OK1026" s="1278"/>
      <c r="OL1026" s="1278"/>
      <c r="OM1026" s="1278"/>
      <c r="ON1026" s="1278"/>
      <c r="OO1026" s="1278"/>
      <c r="OP1026" s="1278"/>
      <c r="OQ1026" s="1278"/>
      <c r="OR1026" s="1278"/>
      <c r="OS1026" s="1278"/>
      <c r="OT1026" s="1278"/>
      <c r="OU1026" s="1278"/>
      <c r="OV1026" s="1278"/>
      <c r="OW1026" s="1278"/>
      <c r="OX1026" s="1278"/>
      <c r="OY1026" s="1278"/>
      <c r="OZ1026" s="1278"/>
      <c r="PA1026" s="1278"/>
      <c r="PB1026" s="1278"/>
      <c r="PC1026" s="1278"/>
      <c r="PD1026" s="1278"/>
      <c r="PE1026" s="1278"/>
      <c r="PF1026" s="1278"/>
      <c r="PG1026" s="1278"/>
      <c r="PH1026" s="1278"/>
      <c r="PI1026" s="1278"/>
      <c r="PJ1026" s="1278"/>
      <c r="PK1026" s="1278"/>
      <c r="PL1026" s="1278"/>
      <c r="PM1026" s="1278"/>
      <c r="PN1026" s="1278"/>
      <c r="PO1026" s="1278"/>
      <c r="PP1026" s="1278"/>
      <c r="PQ1026" s="1278"/>
      <c r="PR1026" s="1278"/>
      <c r="PS1026" s="1278"/>
      <c r="PT1026" s="1278"/>
      <c r="PU1026" s="1278"/>
      <c r="PV1026" s="1278"/>
      <c r="PW1026" s="1278"/>
      <c r="PX1026" s="1278"/>
      <c r="PY1026" s="1278"/>
      <c r="PZ1026" s="1278"/>
      <c r="QA1026" s="1278"/>
      <c r="QB1026" s="1278"/>
      <c r="QC1026" s="1278"/>
      <c r="QD1026" s="1278"/>
      <c r="QE1026" s="1278"/>
      <c r="QF1026" s="1278"/>
      <c r="QG1026" s="1278"/>
      <c r="QH1026" s="1278"/>
      <c r="QI1026" s="1278"/>
      <c r="QJ1026" s="1278"/>
      <c r="QK1026" s="1278"/>
      <c r="QL1026" s="1278"/>
      <c r="QM1026" s="1278"/>
      <c r="QN1026" s="1278"/>
      <c r="QO1026" s="1278"/>
      <c r="QP1026" s="1278"/>
      <c r="QQ1026" s="1278"/>
      <c r="QR1026" s="1278"/>
      <c r="QS1026" s="1278"/>
      <c r="QT1026" s="1278"/>
      <c r="QU1026" s="1278"/>
      <c r="QV1026" s="1278"/>
      <c r="QW1026" s="1278"/>
      <c r="QX1026" s="1278"/>
      <c r="QY1026" s="1278"/>
      <c r="QZ1026" s="1278"/>
      <c r="RA1026" s="1278"/>
      <c r="RB1026" s="1278"/>
      <c r="RC1026" s="1278"/>
      <c r="RD1026" s="1278"/>
      <c r="RE1026" s="1278"/>
      <c r="RF1026" s="1278"/>
      <c r="RG1026" s="1278"/>
      <c r="RH1026" s="1278"/>
      <c r="RI1026" s="1278"/>
      <c r="RJ1026" s="1278"/>
      <c r="RK1026" s="1278"/>
      <c r="RL1026" s="1278"/>
      <c r="RM1026" s="1278"/>
      <c r="RN1026" s="1278"/>
      <c r="RO1026" s="1278"/>
      <c r="RP1026" s="1278"/>
      <c r="RQ1026" s="1278"/>
      <c r="RR1026" s="1278"/>
      <c r="RS1026" s="1278"/>
      <c r="RT1026" s="1278"/>
      <c r="RU1026" s="1278"/>
      <c r="RV1026" s="1278"/>
      <c r="RW1026" s="1278"/>
      <c r="RX1026" s="1278"/>
      <c r="RY1026" s="1278"/>
      <c r="RZ1026" s="1278"/>
      <c r="SA1026" s="1278"/>
      <c r="SB1026" s="1278"/>
      <c r="SC1026" s="1278"/>
      <c r="SD1026" s="1278"/>
      <c r="SE1026" s="1278"/>
      <c r="SF1026" s="1278"/>
      <c r="SG1026" s="1278"/>
      <c r="SH1026" s="1278"/>
      <c r="SI1026" s="1278"/>
      <c r="SJ1026" s="1278"/>
      <c r="SK1026" s="1278"/>
      <c r="SL1026" s="1278"/>
      <c r="SM1026" s="1278"/>
      <c r="SN1026" s="1278"/>
      <c r="SO1026" s="1278"/>
      <c r="SP1026" s="1278"/>
      <c r="SQ1026" s="1278"/>
      <c r="SR1026" s="1278"/>
      <c r="SS1026" s="1278"/>
      <c r="ST1026" s="1278"/>
      <c r="SU1026" s="1278"/>
      <c r="SV1026" s="1278"/>
      <c r="SW1026" s="1278"/>
      <c r="SX1026" s="1278"/>
      <c r="SY1026" s="1278"/>
      <c r="SZ1026" s="1278"/>
      <c r="TA1026" s="1278"/>
      <c r="TB1026" s="1278"/>
      <c r="TC1026" s="1278"/>
      <c r="TD1026" s="1278"/>
      <c r="TE1026" s="1278"/>
      <c r="TF1026" s="1278"/>
      <c r="TG1026" s="1278"/>
      <c r="TH1026" s="1278"/>
      <c r="TI1026" s="1278"/>
      <c r="TJ1026" s="1278"/>
      <c r="TK1026" s="1278"/>
      <c r="TL1026" s="1278"/>
      <c r="TM1026" s="1278"/>
      <c r="TN1026" s="1278"/>
      <c r="TO1026" s="1278"/>
      <c r="TP1026" s="1278"/>
      <c r="TQ1026" s="1278"/>
      <c r="TR1026" s="1278"/>
      <c r="TS1026" s="1278"/>
      <c r="TT1026" s="1278"/>
      <c r="TU1026" s="1278"/>
      <c r="TV1026" s="1278"/>
      <c r="TW1026" s="1278"/>
      <c r="TX1026" s="1278"/>
      <c r="TY1026" s="1278"/>
      <c r="TZ1026" s="1278"/>
      <c r="UA1026" s="1278"/>
      <c r="UB1026" s="1278"/>
      <c r="UC1026" s="1278"/>
      <c r="UD1026" s="1278"/>
      <c r="UE1026" s="1278"/>
      <c r="UF1026" s="1278"/>
      <c r="UG1026" s="1279"/>
    </row>
    <row r="1027" spans="1:553" s="1262" customFormat="1" ht="29.25" customHeight="1">
      <c r="A1027" s="356"/>
      <c r="B1027" s="356"/>
      <c r="C1027" s="1523" t="s">
        <v>587</v>
      </c>
      <c r="D1027" s="1528"/>
      <c r="E1027" s="1528"/>
      <c r="F1027" s="1529"/>
      <c r="G1027" s="564" t="s">
        <v>46</v>
      </c>
      <c r="H1027" s="370"/>
      <c r="I1027" s="1017">
        <f>(95.03*100/500)*(23-(4-3))*4</f>
        <v>1672.528</v>
      </c>
      <c r="J1027" s="368">
        <v>11000</v>
      </c>
      <c r="K1027" s="565">
        <v>0.7</v>
      </c>
      <c r="L1027" s="571">
        <f t="shared" si="151"/>
        <v>12878465.6</v>
      </c>
      <c r="M1027" s="356"/>
      <c r="N1027" s="356"/>
      <c r="O1027" s="356"/>
      <c r="P1027" s="356"/>
      <c r="Q1027" s="610"/>
      <c r="R1027" s="1226"/>
      <c r="S1027" s="308"/>
      <c r="T1027" s="308"/>
      <c r="U1027" s="308"/>
      <c r="V1027" s="308"/>
      <c r="W1027" s="308"/>
      <c r="X1027" s="308"/>
      <c r="Y1027" s="308"/>
      <c r="Z1027" s="604"/>
      <c r="AA1027" s="308"/>
      <c r="AB1027" s="308"/>
      <c r="AC1027" s="373"/>
      <c r="AD1027" s="373"/>
      <c r="AE1027" s="373"/>
      <c r="AF1027" s="373"/>
      <c r="AG1027" s="373"/>
      <c r="AH1027" s="373"/>
      <c r="AI1027" s="373"/>
      <c r="AJ1027" s="373"/>
      <c r="AK1027" s="389"/>
      <c r="AL1027" s="1276"/>
      <c r="AM1027" s="1277"/>
      <c r="AN1027" s="1277"/>
      <c r="AO1027" s="1277"/>
      <c r="AP1027" s="1277"/>
      <c r="AQ1027" s="1277"/>
      <c r="AR1027" s="1277"/>
      <c r="AS1027" s="1278"/>
      <c r="AT1027" s="1278"/>
      <c r="AU1027" s="1278"/>
      <c r="AV1027" s="1278"/>
      <c r="AW1027" s="1278"/>
      <c r="AX1027" s="1278"/>
      <c r="AY1027" s="1278"/>
      <c r="AZ1027" s="1278"/>
      <c r="BA1027" s="1278"/>
      <c r="BB1027" s="1278"/>
      <c r="BC1027" s="1278"/>
      <c r="BD1027" s="1278"/>
      <c r="BE1027" s="1278"/>
      <c r="BF1027" s="1278"/>
      <c r="BG1027" s="1278"/>
      <c r="BH1027" s="1278"/>
      <c r="BI1027" s="1278"/>
      <c r="BJ1027" s="1278"/>
      <c r="BK1027" s="1278"/>
      <c r="BL1027" s="1278"/>
      <c r="BM1027" s="1278"/>
      <c r="BN1027" s="1278"/>
      <c r="BO1027" s="1278"/>
      <c r="BP1027" s="1278"/>
      <c r="BQ1027" s="1278"/>
      <c r="BR1027" s="1278"/>
      <c r="BS1027" s="1278"/>
      <c r="BT1027" s="1278"/>
      <c r="BU1027" s="1278"/>
      <c r="BV1027" s="1278"/>
      <c r="BW1027" s="1278"/>
      <c r="BX1027" s="1278"/>
      <c r="BY1027" s="1278"/>
      <c r="BZ1027" s="1278"/>
      <c r="CA1027" s="1278"/>
      <c r="CB1027" s="1278"/>
      <c r="CC1027" s="1278"/>
      <c r="CD1027" s="1278"/>
      <c r="CE1027" s="1278"/>
      <c r="CF1027" s="1278"/>
      <c r="CG1027" s="1278"/>
      <c r="CH1027" s="1278"/>
      <c r="CI1027" s="1278"/>
      <c r="CJ1027" s="1278"/>
      <c r="CK1027" s="1278"/>
      <c r="CL1027" s="1278"/>
      <c r="CM1027" s="1278"/>
      <c r="CN1027" s="1278"/>
      <c r="CO1027" s="1278"/>
      <c r="CP1027" s="1278"/>
      <c r="CQ1027" s="1278"/>
      <c r="CR1027" s="1278"/>
      <c r="CS1027" s="1278"/>
      <c r="CT1027" s="1278"/>
      <c r="CU1027" s="1278"/>
      <c r="CV1027" s="1278"/>
      <c r="CW1027" s="1278"/>
      <c r="CX1027" s="1278"/>
      <c r="CY1027" s="1278"/>
      <c r="CZ1027" s="1278"/>
      <c r="DA1027" s="1278"/>
      <c r="DB1027" s="1278"/>
      <c r="DC1027" s="1278"/>
      <c r="DD1027" s="1278"/>
      <c r="DE1027" s="1278"/>
      <c r="DF1027" s="1278"/>
      <c r="DG1027" s="1278"/>
      <c r="DH1027" s="1278"/>
      <c r="DI1027" s="1278"/>
      <c r="DJ1027" s="1278"/>
      <c r="DK1027" s="1278"/>
      <c r="DL1027" s="1278"/>
      <c r="DM1027" s="1278"/>
      <c r="DN1027" s="1278"/>
      <c r="DO1027" s="1278"/>
      <c r="DP1027" s="1278"/>
      <c r="DQ1027" s="1278"/>
      <c r="DR1027" s="1278"/>
      <c r="DS1027" s="1278"/>
      <c r="DT1027" s="1278"/>
      <c r="DU1027" s="1278"/>
      <c r="DV1027" s="1278"/>
      <c r="DW1027" s="1278"/>
      <c r="DX1027" s="1278"/>
      <c r="DY1027" s="1278"/>
      <c r="DZ1027" s="1278"/>
      <c r="EA1027" s="1278"/>
      <c r="EB1027" s="1278"/>
      <c r="EC1027" s="1278"/>
      <c r="ED1027" s="1278"/>
      <c r="EE1027" s="1278"/>
      <c r="EF1027" s="1278"/>
      <c r="EG1027" s="1278"/>
      <c r="EH1027" s="1278"/>
      <c r="EI1027" s="1278"/>
      <c r="EJ1027" s="1278"/>
      <c r="EK1027" s="1278"/>
      <c r="EL1027" s="1278"/>
      <c r="EM1027" s="1278"/>
      <c r="EN1027" s="1278"/>
      <c r="EO1027" s="1278"/>
      <c r="EP1027" s="1278"/>
      <c r="EQ1027" s="1278"/>
      <c r="ER1027" s="1278"/>
      <c r="ES1027" s="1278"/>
      <c r="ET1027" s="1278"/>
      <c r="EU1027" s="1278"/>
      <c r="EV1027" s="1278"/>
      <c r="EW1027" s="1278"/>
      <c r="EX1027" s="1278"/>
      <c r="EY1027" s="1278"/>
      <c r="EZ1027" s="1278"/>
      <c r="FA1027" s="1278"/>
      <c r="FB1027" s="1278"/>
      <c r="FC1027" s="1278"/>
      <c r="FD1027" s="1278"/>
      <c r="FE1027" s="1278"/>
      <c r="FF1027" s="1278"/>
      <c r="FG1027" s="1278"/>
      <c r="FH1027" s="1278"/>
      <c r="FI1027" s="1278"/>
      <c r="FJ1027" s="1278"/>
      <c r="FK1027" s="1278"/>
      <c r="FL1027" s="1278"/>
      <c r="FM1027" s="1278"/>
      <c r="FN1027" s="1278"/>
      <c r="FO1027" s="1278"/>
      <c r="FP1027" s="1278"/>
      <c r="FQ1027" s="1278"/>
      <c r="FR1027" s="1278"/>
      <c r="FS1027" s="1278"/>
      <c r="FT1027" s="1278"/>
      <c r="FU1027" s="1278"/>
      <c r="FV1027" s="1278"/>
      <c r="FW1027" s="1278"/>
      <c r="FX1027" s="1278"/>
      <c r="FY1027" s="1278"/>
      <c r="FZ1027" s="1278"/>
      <c r="GA1027" s="1278"/>
      <c r="GB1027" s="1278"/>
      <c r="GC1027" s="1278"/>
      <c r="GD1027" s="1278"/>
      <c r="GE1027" s="1278"/>
      <c r="GF1027" s="1278"/>
      <c r="GG1027" s="1278"/>
      <c r="GH1027" s="1278"/>
      <c r="GI1027" s="1278"/>
      <c r="GJ1027" s="1278"/>
      <c r="GK1027" s="1278"/>
      <c r="GL1027" s="1278"/>
      <c r="GM1027" s="1278"/>
      <c r="GN1027" s="1278"/>
      <c r="GO1027" s="1278"/>
      <c r="GP1027" s="1278"/>
      <c r="GQ1027" s="1278"/>
      <c r="GR1027" s="1278"/>
      <c r="GS1027" s="1278"/>
      <c r="GT1027" s="1278"/>
      <c r="GU1027" s="1278"/>
      <c r="GV1027" s="1278"/>
      <c r="GW1027" s="1278"/>
      <c r="GX1027" s="1278"/>
      <c r="GY1027" s="1278"/>
      <c r="GZ1027" s="1278"/>
      <c r="HA1027" s="1278"/>
      <c r="HB1027" s="1278"/>
      <c r="HC1027" s="1278"/>
      <c r="HD1027" s="1278"/>
      <c r="HE1027" s="1278"/>
      <c r="HF1027" s="1278"/>
      <c r="HG1027" s="1278"/>
      <c r="HH1027" s="1278"/>
      <c r="HI1027" s="1278"/>
      <c r="HJ1027" s="1278"/>
      <c r="HK1027" s="1278"/>
      <c r="HL1027" s="1278"/>
      <c r="HM1027" s="1278"/>
      <c r="HN1027" s="1278"/>
      <c r="HO1027" s="1278"/>
      <c r="HP1027" s="1278"/>
      <c r="HQ1027" s="1278"/>
      <c r="HR1027" s="1278"/>
      <c r="HS1027" s="1278"/>
      <c r="HT1027" s="1278"/>
      <c r="HU1027" s="1278"/>
      <c r="HV1027" s="1278"/>
      <c r="HW1027" s="1278"/>
      <c r="HX1027" s="1278"/>
      <c r="HY1027" s="1278"/>
      <c r="HZ1027" s="1278"/>
      <c r="IA1027" s="1278"/>
      <c r="IB1027" s="1278"/>
      <c r="IC1027" s="1278"/>
      <c r="ID1027" s="1278"/>
      <c r="IE1027" s="1278"/>
      <c r="IF1027" s="1278"/>
      <c r="IG1027" s="1278"/>
      <c r="IH1027" s="1278"/>
      <c r="II1027" s="1278"/>
      <c r="IJ1027" s="1278"/>
      <c r="IK1027" s="1278"/>
      <c r="IL1027" s="1278"/>
      <c r="IM1027" s="1278"/>
      <c r="IN1027" s="1278"/>
      <c r="IO1027" s="1278"/>
      <c r="IP1027" s="1278"/>
      <c r="IQ1027" s="1278"/>
      <c r="IR1027" s="1278"/>
      <c r="IS1027" s="1278"/>
      <c r="IT1027" s="1278"/>
      <c r="IU1027" s="1278"/>
      <c r="IV1027" s="1278"/>
      <c r="IW1027" s="1278"/>
      <c r="IX1027" s="1278"/>
      <c r="IY1027" s="1278"/>
      <c r="IZ1027" s="1278"/>
      <c r="JA1027" s="1278"/>
      <c r="JB1027" s="1278"/>
      <c r="JC1027" s="1278"/>
      <c r="JD1027" s="1278"/>
      <c r="JE1027" s="1278"/>
      <c r="JF1027" s="1278"/>
      <c r="JG1027" s="1278"/>
      <c r="JH1027" s="1278"/>
      <c r="JI1027" s="1278"/>
      <c r="JJ1027" s="1278"/>
      <c r="JK1027" s="1278"/>
      <c r="JL1027" s="1278"/>
      <c r="JM1027" s="1278"/>
      <c r="JN1027" s="1278"/>
      <c r="JO1027" s="1278"/>
      <c r="JP1027" s="1278"/>
      <c r="JQ1027" s="1278"/>
      <c r="JR1027" s="1278"/>
      <c r="JS1027" s="1278"/>
      <c r="JT1027" s="1278"/>
      <c r="JU1027" s="1278"/>
      <c r="JV1027" s="1278"/>
      <c r="JW1027" s="1278"/>
      <c r="JX1027" s="1278"/>
      <c r="JY1027" s="1278"/>
      <c r="JZ1027" s="1278"/>
      <c r="KA1027" s="1278"/>
      <c r="KB1027" s="1278"/>
      <c r="KC1027" s="1278"/>
      <c r="KD1027" s="1278"/>
      <c r="KE1027" s="1278"/>
      <c r="KF1027" s="1278"/>
      <c r="KG1027" s="1278"/>
      <c r="KH1027" s="1278"/>
      <c r="KI1027" s="1278"/>
      <c r="KJ1027" s="1278"/>
      <c r="KK1027" s="1278"/>
      <c r="KL1027" s="1278"/>
      <c r="KM1027" s="1278"/>
      <c r="KN1027" s="1278"/>
      <c r="KO1027" s="1278"/>
      <c r="KP1027" s="1278"/>
      <c r="KQ1027" s="1278"/>
      <c r="KR1027" s="1278"/>
      <c r="KS1027" s="1278"/>
      <c r="KT1027" s="1278"/>
      <c r="KU1027" s="1278"/>
      <c r="KV1027" s="1278"/>
      <c r="KW1027" s="1278"/>
      <c r="KX1027" s="1278"/>
      <c r="KY1027" s="1278"/>
      <c r="KZ1027" s="1278"/>
      <c r="LA1027" s="1278"/>
      <c r="LB1027" s="1278"/>
      <c r="LC1027" s="1278"/>
      <c r="LD1027" s="1278"/>
      <c r="LE1027" s="1278"/>
      <c r="LF1027" s="1278"/>
      <c r="LG1027" s="1278"/>
      <c r="LH1027" s="1278"/>
      <c r="LI1027" s="1278"/>
      <c r="LJ1027" s="1278"/>
      <c r="LK1027" s="1278"/>
      <c r="LL1027" s="1278"/>
      <c r="LM1027" s="1278"/>
      <c r="LN1027" s="1278"/>
      <c r="LO1027" s="1278"/>
      <c r="LP1027" s="1278"/>
      <c r="LQ1027" s="1278"/>
      <c r="LR1027" s="1278"/>
      <c r="LS1027" s="1278"/>
      <c r="LT1027" s="1278"/>
      <c r="LU1027" s="1278"/>
      <c r="LV1027" s="1278"/>
      <c r="LW1027" s="1278"/>
      <c r="LX1027" s="1278"/>
      <c r="LY1027" s="1278"/>
      <c r="LZ1027" s="1278"/>
      <c r="MA1027" s="1278"/>
      <c r="MB1027" s="1278"/>
      <c r="MC1027" s="1278"/>
      <c r="MD1027" s="1278"/>
      <c r="ME1027" s="1278"/>
      <c r="MF1027" s="1278"/>
      <c r="MG1027" s="1278"/>
      <c r="MH1027" s="1278"/>
      <c r="MI1027" s="1278"/>
      <c r="MJ1027" s="1278"/>
      <c r="MK1027" s="1278"/>
      <c r="ML1027" s="1278"/>
      <c r="MM1027" s="1278"/>
      <c r="MN1027" s="1278"/>
      <c r="MO1027" s="1278"/>
      <c r="MP1027" s="1278"/>
      <c r="MQ1027" s="1278"/>
      <c r="MR1027" s="1278"/>
      <c r="MS1027" s="1278"/>
      <c r="MT1027" s="1278"/>
      <c r="MU1027" s="1278"/>
      <c r="MV1027" s="1278"/>
      <c r="MW1027" s="1278"/>
      <c r="MX1027" s="1278"/>
      <c r="MY1027" s="1278"/>
      <c r="MZ1027" s="1278"/>
      <c r="NA1027" s="1278"/>
      <c r="NB1027" s="1278"/>
      <c r="NC1027" s="1278"/>
      <c r="ND1027" s="1278"/>
      <c r="NE1027" s="1278"/>
      <c r="NF1027" s="1278"/>
      <c r="NG1027" s="1278"/>
      <c r="NH1027" s="1278"/>
      <c r="NI1027" s="1278"/>
      <c r="NJ1027" s="1278"/>
      <c r="NK1027" s="1278"/>
      <c r="NL1027" s="1278"/>
      <c r="NM1027" s="1278"/>
      <c r="NN1027" s="1278"/>
      <c r="NO1027" s="1278"/>
      <c r="NP1027" s="1278"/>
      <c r="NQ1027" s="1278"/>
      <c r="NR1027" s="1278"/>
      <c r="NS1027" s="1278"/>
      <c r="NT1027" s="1278"/>
      <c r="NU1027" s="1278"/>
      <c r="NV1027" s="1278"/>
      <c r="NW1027" s="1278"/>
      <c r="NX1027" s="1278"/>
      <c r="NY1027" s="1278"/>
      <c r="NZ1027" s="1278"/>
      <c r="OA1027" s="1278"/>
      <c r="OB1027" s="1278"/>
      <c r="OC1027" s="1278"/>
      <c r="OD1027" s="1278"/>
      <c r="OE1027" s="1278"/>
      <c r="OF1027" s="1278"/>
      <c r="OG1027" s="1278"/>
      <c r="OH1027" s="1278"/>
      <c r="OI1027" s="1278"/>
      <c r="OJ1027" s="1278"/>
      <c r="OK1027" s="1278"/>
      <c r="OL1027" s="1278"/>
      <c r="OM1027" s="1278"/>
      <c r="ON1027" s="1278"/>
      <c r="OO1027" s="1278"/>
      <c r="OP1027" s="1278"/>
      <c r="OQ1027" s="1278"/>
      <c r="OR1027" s="1278"/>
      <c r="OS1027" s="1278"/>
      <c r="OT1027" s="1278"/>
      <c r="OU1027" s="1278"/>
      <c r="OV1027" s="1278"/>
      <c r="OW1027" s="1278"/>
      <c r="OX1027" s="1278"/>
      <c r="OY1027" s="1278"/>
      <c r="OZ1027" s="1278"/>
      <c r="PA1027" s="1278"/>
      <c r="PB1027" s="1278"/>
      <c r="PC1027" s="1278"/>
      <c r="PD1027" s="1278"/>
      <c r="PE1027" s="1278"/>
      <c r="PF1027" s="1278"/>
      <c r="PG1027" s="1278"/>
      <c r="PH1027" s="1278"/>
      <c r="PI1027" s="1278"/>
      <c r="PJ1027" s="1278"/>
      <c r="PK1027" s="1278"/>
      <c r="PL1027" s="1278"/>
      <c r="PM1027" s="1278"/>
      <c r="PN1027" s="1278"/>
      <c r="PO1027" s="1278"/>
      <c r="PP1027" s="1278"/>
      <c r="PQ1027" s="1278"/>
      <c r="PR1027" s="1278"/>
      <c r="PS1027" s="1278"/>
      <c r="PT1027" s="1278"/>
      <c r="PU1027" s="1278"/>
      <c r="PV1027" s="1278"/>
      <c r="PW1027" s="1278"/>
      <c r="PX1027" s="1278"/>
      <c r="PY1027" s="1278"/>
      <c r="PZ1027" s="1278"/>
      <c r="QA1027" s="1278"/>
      <c r="QB1027" s="1278"/>
      <c r="QC1027" s="1278"/>
      <c r="QD1027" s="1278"/>
      <c r="QE1027" s="1278"/>
      <c r="QF1027" s="1278"/>
      <c r="QG1027" s="1278"/>
      <c r="QH1027" s="1278"/>
      <c r="QI1027" s="1278"/>
      <c r="QJ1027" s="1278"/>
      <c r="QK1027" s="1278"/>
      <c r="QL1027" s="1278"/>
      <c r="QM1027" s="1278"/>
      <c r="QN1027" s="1278"/>
      <c r="QO1027" s="1278"/>
      <c r="QP1027" s="1278"/>
      <c r="QQ1027" s="1278"/>
      <c r="QR1027" s="1278"/>
      <c r="QS1027" s="1278"/>
      <c r="QT1027" s="1278"/>
      <c r="QU1027" s="1278"/>
      <c r="QV1027" s="1278"/>
      <c r="QW1027" s="1278"/>
      <c r="QX1027" s="1278"/>
      <c r="QY1027" s="1278"/>
      <c r="QZ1027" s="1278"/>
      <c r="RA1027" s="1278"/>
      <c r="RB1027" s="1278"/>
      <c r="RC1027" s="1278"/>
      <c r="RD1027" s="1278"/>
      <c r="RE1027" s="1278"/>
      <c r="RF1027" s="1278"/>
      <c r="RG1027" s="1278"/>
      <c r="RH1027" s="1278"/>
      <c r="RI1027" s="1278"/>
      <c r="RJ1027" s="1278"/>
      <c r="RK1027" s="1278"/>
      <c r="RL1027" s="1278"/>
      <c r="RM1027" s="1278"/>
      <c r="RN1027" s="1278"/>
      <c r="RO1027" s="1278"/>
      <c r="RP1027" s="1278"/>
      <c r="RQ1027" s="1278"/>
      <c r="RR1027" s="1278"/>
      <c r="RS1027" s="1278"/>
      <c r="RT1027" s="1278"/>
      <c r="RU1027" s="1278"/>
      <c r="RV1027" s="1278"/>
      <c r="RW1027" s="1278"/>
      <c r="RX1027" s="1278"/>
      <c r="RY1027" s="1278"/>
      <c r="RZ1027" s="1278"/>
      <c r="SA1027" s="1278"/>
      <c r="SB1027" s="1278"/>
      <c r="SC1027" s="1278"/>
      <c r="SD1027" s="1278"/>
      <c r="SE1027" s="1278"/>
      <c r="SF1027" s="1278"/>
      <c r="SG1027" s="1278"/>
      <c r="SH1027" s="1278"/>
      <c r="SI1027" s="1278"/>
      <c r="SJ1027" s="1278"/>
      <c r="SK1027" s="1278"/>
      <c r="SL1027" s="1278"/>
      <c r="SM1027" s="1278"/>
      <c r="SN1027" s="1278"/>
      <c r="SO1027" s="1278"/>
      <c r="SP1027" s="1278"/>
      <c r="SQ1027" s="1278"/>
      <c r="SR1027" s="1278"/>
      <c r="SS1027" s="1278"/>
      <c r="ST1027" s="1278"/>
      <c r="SU1027" s="1278"/>
      <c r="SV1027" s="1278"/>
      <c r="SW1027" s="1278"/>
      <c r="SX1027" s="1278"/>
      <c r="SY1027" s="1278"/>
      <c r="SZ1027" s="1278"/>
      <c r="TA1027" s="1278"/>
      <c r="TB1027" s="1278"/>
      <c r="TC1027" s="1278"/>
      <c r="TD1027" s="1278"/>
      <c r="TE1027" s="1278"/>
      <c r="TF1027" s="1278"/>
      <c r="TG1027" s="1278"/>
      <c r="TH1027" s="1278"/>
      <c r="TI1027" s="1278"/>
      <c r="TJ1027" s="1278"/>
      <c r="TK1027" s="1278"/>
      <c r="TL1027" s="1278"/>
      <c r="TM1027" s="1278"/>
      <c r="TN1027" s="1278"/>
      <c r="TO1027" s="1278"/>
      <c r="TP1027" s="1278"/>
      <c r="TQ1027" s="1278"/>
      <c r="TR1027" s="1278"/>
      <c r="TS1027" s="1278"/>
      <c r="TT1027" s="1278"/>
      <c r="TU1027" s="1278"/>
      <c r="TV1027" s="1278"/>
      <c r="TW1027" s="1278"/>
      <c r="TX1027" s="1278"/>
      <c r="TY1027" s="1278"/>
      <c r="TZ1027" s="1278"/>
      <c r="UA1027" s="1278"/>
      <c r="UB1027" s="1278"/>
      <c r="UC1027" s="1278"/>
      <c r="UD1027" s="1278"/>
      <c r="UE1027" s="1278"/>
      <c r="UF1027" s="1278"/>
      <c r="UG1027" s="1279"/>
    </row>
    <row r="1028" spans="1:553" s="1262" customFormat="1" ht="29.25" customHeight="1">
      <c r="A1028" s="356"/>
      <c r="B1028" s="356"/>
      <c r="C1028" s="1523" t="s">
        <v>263</v>
      </c>
      <c r="D1028" s="1528"/>
      <c r="E1028" s="1528"/>
      <c r="F1028" s="1529"/>
      <c r="G1028" s="564" t="s">
        <v>46</v>
      </c>
      <c r="H1028" s="370"/>
      <c r="I1028" s="1017">
        <f>(95.03*100/500)*(23-(7-3))*1</f>
        <v>361.11400000000003</v>
      </c>
      <c r="J1028" s="368">
        <v>11000</v>
      </c>
      <c r="K1028" s="565">
        <v>0.7</v>
      </c>
      <c r="L1028" s="571">
        <f t="shared" si="151"/>
        <v>2780577.8000000003</v>
      </c>
      <c r="M1028" s="356"/>
      <c r="N1028" s="356"/>
      <c r="O1028" s="356"/>
      <c r="P1028" s="356"/>
      <c r="Q1028" s="610"/>
      <c r="R1028" s="1226"/>
      <c r="S1028" s="308"/>
      <c r="T1028" s="308"/>
      <c r="U1028" s="308"/>
      <c r="V1028" s="308"/>
      <c r="W1028" s="308"/>
      <c r="X1028" s="308"/>
      <c r="Y1028" s="308"/>
      <c r="Z1028" s="604"/>
      <c r="AA1028" s="308"/>
      <c r="AB1028" s="308"/>
      <c r="AC1028" s="373"/>
      <c r="AD1028" s="373"/>
      <c r="AE1028" s="373"/>
      <c r="AF1028" s="373"/>
      <c r="AG1028" s="373"/>
      <c r="AH1028" s="373"/>
      <c r="AI1028" s="373"/>
      <c r="AJ1028" s="373"/>
      <c r="AK1028" s="389"/>
      <c r="AL1028" s="1276"/>
      <c r="AM1028" s="1277"/>
      <c r="AN1028" s="1277"/>
      <c r="AO1028" s="1277"/>
      <c r="AP1028" s="1277"/>
      <c r="AQ1028" s="1277"/>
      <c r="AR1028" s="1277"/>
      <c r="AS1028" s="1278"/>
      <c r="AT1028" s="1278"/>
      <c r="AU1028" s="1278"/>
      <c r="AV1028" s="1278"/>
      <c r="AW1028" s="1278"/>
      <c r="AX1028" s="1278"/>
      <c r="AY1028" s="1278"/>
      <c r="AZ1028" s="1278"/>
      <c r="BA1028" s="1278"/>
      <c r="BB1028" s="1278"/>
      <c r="BC1028" s="1278"/>
      <c r="BD1028" s="1278"/>
      <c r="BE1028" s="1278"/>
      <c r="BF1028" s="1278"/>
      <c r="BG1028" s="1278"/>
      <c r="BH1028" s="1278"/>
      <c r="BI1028" s="1278"/>
      <c r="BJ1028" s="1278"/>
      <c r="BK1028" s="1278"/>
      <c r="BL1028" s="1278"/>
      <c r="BM1028" s="1278"/>
      <c r="BN1028" s="1278"/>
      <c r="BO1028" s="1278"/>
      <c r="BP1028" s="1278"/>
      <c r="BQ1028" s="1278"/>
      <c r="BR1028" s="1278"/>
      <c r="BS1028" s="1278"/>
      <c r="BT1028" s="1278"/>
      <c r="BU1028" s="1278"/>
      <c r="BV1028" s="1278"/>
      <c r="BW1028" s="1278"/>
      <c r="BX1028" s="1278"/>
      <c r="BY1028" s="1278"/>
      <c r="BZ1028" s="1278"/>
      <c r="CA1028" s="1278"/>
      <c r="CB1028" s="1278"/>
      <c r="CC1028" s="1278"/>
      <c r="CD1028" s="1278"/>
      <c r="CE1028" s="1278"/>
      <c r="CF1028" s="1278"/>
      <c r="CG1028" s="1278"/>
      <c r="CH1028" s="1278"/>
      <c r="CI1028" s="1278"/>
      <c r="CJ1028" s="1278"/>
      <c r="CK1028" s="1278"/>
      <c r="CL1028" s="1278"/>
      <c r="CM1028" s="1278"/>
      <c r="CN1028" s="1278"/>
      <c r="CO1028" s="1278"/>
      <c r="CP1028" s="1278"/>
      <c r="CQ1028" s="1278"/>
      <c r="CR1028" s="1278"/>
      <c r="CS1028" s="1278"/>
      <c r="CT1028" s="1278"/>
      <c r="CU1028" s="1278"/>
      <c r="CV1028" s="1278"/>
      <c r="CW1028" s="1278"/>
      <c r="CX1028" s="1278"/>
      <c r="CY1028" s="1278"/>
      <c r="CZ1028" s="1278"/>
      <c r="DA1028" s="1278"/>
      <c r="DB1028" s="1278"/>
      <c r="DC1028" s="1278"/>
      <c r="DD1028" s="1278"/>
      <c r="DE1028" s="1278"/>
      <c r="DF1028" s="1278"/>
      <c r="DG1028" s="1278"/>
      <c r="DH1028" s="1278"/>
      <c r="DI1028" s="1278"/>
      <c r="DJ1028" s="1278"/>
      <c r="DK1028" s="1278"/>
      <c r="DL1028" s="1278"/>
      <c r="DM1028" s="1278"/>
      <c r="DN1028" s="1278"/>
      <c r="DO1028" s="1278"/>
      <c r="DP1028" s="1278"/>
      <c r="DQ1028" s="1278"/>
      <c r="DR1028" s="1278"/>
      <c r="DS1028" s="1278"/>
      <c r="DT1028" s="1278"/>
      <c r="DU1028" s="1278"/>
      <c r="DV1028" s="1278"/>
      <c r="DW1028" s="1278"/>
      <c r="DX1028" s="1278"/>
      <c r="DY1028" s="1278"/>
      <c r="DZ1028" s="1278"/>
      <c r="EA1028" s="1278"/>
      <c r="EB1028" s="1278"/>
      <c r="EC1028" s="1278"/>
      <c r="ED1028" s="1278"/>
      <c r="EE1028" s="1278"/>
      <c r="EF1028" s="1278"/>
      <c r="EG1028" s="1278"/>
      <c r="EH1028" s="1278"/>
      <c r="EI1028" s="1278"/>
      <c r="EJ1028" s="1278"/>
      <c r="EK1028" s="1278"/>
      <c r="EL1028" s="1278"/>
      <c r="EM1028" s="1278"/>
      <c r="EN1028" s="1278"/>
      <c r="EO1028" s="1278"/>
      <c r="EP1028" s="1278"/>
      <c r="EQ1028" s="1278"/>
      <c r="ER1028" s="1278"/>
      <c r="ES1028" s="1278"/>
      <c r="ET1028" s="1278"/>
      <c r="EU1028" s="1278"/>
      <c r="EV1028" s="1278"/>
      <c r="EW1028" s="1278"/>
      <c r="EX1028" s="1278"/>
      <c r="EY1028" s="1278"/>
      <c r="EZ1028" s="1278"/>
      <c r="FA1028" s="1278"/>
      <c r="FB1028" s="1278"/>
      <c r="FC1028" s="1278"/>
      <c r="FD1028" s="1278"/>
      <c r="FE1028" s="1278"/>
      <c r="FF1028" s="1278"/>
      <c r="FG1028" s="1278"/>
      <c r="FH1028" s="1278"/>
      <c r="FI1028" s="1278"/>
      <c r="FJ1028" s="1278"/>
      <c r="FK1028" s="1278"/>
      <c r="FL1028" s="1278"/>
      <c r="FM1028" s="1278"/>
      <c r="FN1028" s="1278"/>
      <c r="FO1028" s="1278"/>
      <c r="FP1028" s="1278"/>
      <c r="FQ1028" s="1278"/>
      <c r="FR1028" s="1278"/>
      <c r="FS1028" s="1278"/>
      <c r="FT1028" s="1278"/>
      <c r="FU1028" s="1278"/>
      <c r="FV1028" s="1278"/>
      <c r="FW1028" s="1278"/>
      <c r="FX1028" s="1278"/>
      <c r="FY1028" s="1278"/>
      <c r="FZ1028" s="1278"/>
      <c r="GA1028" s="1278"/>
      <c r="GB1028" s="1278"/>
      <c r="GC1028" s="1278"/>
      <c r="GD1028" s="1278"/>
      <c r="GE1028" s="1278"/>
      <c r="GF1028" s="1278"/>
      <c r="GG1028" s="1278"/>
      <c r="GH1028" s="1278"/>
      <c r="GI1028" s="1278"/>
      <c r="GJ1028" s="1278"/>
      <c r="GK1028" s="1278"/>
      <c r="GL1028" s="1278"/>
      <c r="GM1028" s="1278"/>
      <c r="GN1028" s="1278"/>
      <c r="GO1028" s="1278"/>
      <c r="GP1028" s="1278"/>
      <c r="GQ1028" s="1278"/>
      <c r="GR1028" s="1278"/>
      <c r="GS1028" s="1278"/>
      <c r="GT1028" s="1278"/>
      <c r="GU1028" s="1278"/>
      <c r="GV1028" s="1278"/>
      <c r="GW1028" s="1278"/>
      <c r="GX1028" s="1278"/>
      <c r="GY1028" s="1278"/>
      <c r="GZ1028" s="1278"/>
      <c r="HA1028" s="1278"/>
      <c r="HB1028" s="1278"/>
      <c r="HC1028" s="1278"/>
      <c r="HD1028" s="1278"/>
      <c r="HE1028" s="1278"/>
      <c r="HF1028" s="1278"/>
      <c r="HG1028" s="1278"/>
      <c r="HH1028" s="1278"/>
      <c r="HI1028" s="1278"/>
      <c r="HJ1028" s="1278"/>
      <c r="HK1028" s="1278"/>
      <c r="HL1028" s="1278"/>
      <c r="HM1028" s="1278"/>
      <c r="HN1028" s="1278"/>
      <c r="HO1028" s="1278"/>
      <c r="HP1028" s="1278"/>
      <c r="HQ1028" s="1278"/>
      <c r="HR1028" s="1278"/>
      <c r="HS1028" s="1278"/>
      <c r="HT1028" s="1278"/>
      <c r="HU1028" s="1278"/>
      <c r="HV1028" s="1278"/>
      <c r="HW1028" s="1278"/>
      <c r="HX1028" s="1278"/>
      <c r="HY1028" s="1278"/>
      <c r="HZ1028" s="1278"/>
      <c r="IA1028" s="1278"/>
      <c r="IB1028" s="1278"/>
      <c r="IC1028" s="1278"/>
      <c r="ID1028" s="1278"/>
      <c r="IE1028" s="1278"/>
      <c r="IF1028" s="1278"/>
      <c r="IG1028" s="1278"/>
      <c r="IH1028" s="1278"/>
      <c r="II1028" s="1278"/>
      <c r="IJ1028" s="1278"/>
      <c r="IK1028" s="1278"/>
      <c r="IL1028" s="1278"/>
      <c r="IM1028" s="1278"/>
      <c r="IN1028" s="1278"/>
      <c r="IO1028" s="1278"/>
      <c r="IP1028" s="1278"/>
      <c r="IQ1028" s="1278"/>
      <c r="IR1028" s="1278"/>
      <c r="IS1028" s="1278"/>
      <c r="IT1028" s="1278"/>
      <c r="IU1028" s="1278"/>
      <c r="IV1028" s="1278"/>
      <c r="IW1028" s="1278"/>
      <c r="IX1028" s="1278"/>
      <c r="IY1028" s="1278"/>
      <c r="IZ1028" s="1278"/>
      <c r="JA1028" s="1278"/>
      <c r="JB1028" s="1278"/>
      <c r="JC1028" s="1278"/>
      <c r="JD1028" s="1278"/>
      <c r="JE1028" s="1278"/>
      <c r="JF1028" s="1278"/>
      <c r="JG1028" s="1278"/>
      <c r="JH1028" s="1278"/>
      <c r="JI1028" s="1278"/>
      <c r="JJ1028" s="1278"/>
      <c r="JK1028" s="1278"/>
      <c r="JL1028" s="1278"/>
      <c r="JM1028" s="1278"/>
      <c r="JN1028" s="1278"/>
      <c r="JO1028" s="1278"/>
      <c r="JP1028" s="1278"/>
      <c r="JQ1028" s="1278"/>
      <c r="JR1028" s="1278"/>
      <c r="JS1028" s="1278"/>
      <c r="JT1028" s="1278"/>
      <c r="JU1028" s="1278"/>
      <c r="JV1028" s="1278"/>
      <c r="JW1028" s="1278"/>
      <c r="JX1028" s="1278"/>
      <c r="JY1028" s="1278"/>
      <c r="JZ1028" s="1278"/>
      <c r="KA1028" s="1278"/>
      <c r="KB1028" s="1278"/>
      <c r="KC1028" s="1278"/>
      <c r="KD1028" s="1278"/>
      <c r="KE1028" s="1278"/>
      <c r="KF1028" s="1278"/>
      <c r="KG1028" s="1278"/>
      <c r="KH1028" s="1278"/>
      <c r="KI1028" s="1278"/>
      <c r="KJ1028" s="1278"/>
      <c r="KK1028" s="1278"/>
      <c r="KL1028" s="1278"/>
      <c r="KM1028" s="1278"/>
      <c r="KN1028" s="1278"/>
      <c r="KO1028" s="1278"/>
      <c r="KP1028" s="1278"/>
      <c r="KQ1028" s="1278"/>
      <c r="KR1028" s="1278"/>
      <c r="KS1028" s="1278"/>
      <c r="KT1028" s="1278"/>
      <c r="KU1028" s="1278"/>
      <c r="KV1028" s="1278"/>
      <c r="KW1028" s="1278"/>
      <c r="KX1028" s="1278"/>
      <c r="KY1028" s="1278"/>
      <c r="KZ1028" s="1278"/>
      <c r="LA1028" s="1278"/>
      <c r="LB1028" s="1278"/>
      <c r="LC1028" s="1278"/>
      <c r="LD1028" s="1278"/>
      <c r="LE1028" s="1278"/>
      <c r="LF1028" s="1278"/>
      <c r="LG1028" s="1278"/>
      <c r="LH1028" s="1278"/>
      <c r="LI1028" s="1278"/>
      <c r="LJ1028" s="1278"/>
      <c r="LK1028" s="1278"/>
      <c r="LL1028" s="1278"/>
      <c r="LM1028" s="1278"/>
      <c r="LN1028" s="1278"/>
      <c r="LO1028" s="1278"/>
      <c r="LP1028" s="1278"/>
      <c r="LQ1028" s="1278"/>
      <c r="LR1028" s="1278"/>
      <c r="LS1028" s="1278"/>
      <c r="LT1028" s="1278"/>
      <c r="LU1028" s="1278"/>
      <c r="LV1028" s="1278"/>
      <c r="LW1028" s="1278"/>
      <c r="LX1028" s="1278"/>
      <c r="LY1028" s="1278"/>
      <c r="LZ1028" s="1278"/>
      <c r="MA1028" s="1278"/>
      <c r="MB1028" s="1278"/>
      <c r="MC1028" s="1278"/>
      <c r="MD1028" s="1278"/>
      <c r="ME1028" s="1278"/>
      <c r="MF1028" s="1278"/>
      <c r="MG1028" s="1278"/>
      <c r="MH1028" s="1278"/>
      <c r="MI1028" s="1278"/>
      <c r="MJ1028" s="1278"/>
      <c r="MK1028" s="1278"/>
      <c r="ML1028" s="1278"/>
      <c r="MM1028" s="1278"/>
      <c r="MN1028" s="1278"/>
      <c r="MO1028" s="1278"/>
      <c r="MP1028" s="1278"/>
      <c r="MQ1028" s="1278"/>
      <c r="MR1028" s="1278"/>
      <c r="MS1028" s="1278"/>
      <c r="MT1028" s="1278"/>
      <c r="MU1028" s="1278"/>
      <c r="MV1028" s="1278"/>
      <c r="MW1028" s="1278"/>
      <c r="MX1028" s="1278"/>
      <c r="MY1028" s="1278"/>
      <c r="MZ1028" s="1278"/>
      <c r="NA1028" s="1278"/>
      <c r="NB1028" s="1278"/>
      <c r="NC1028" s="1278"/>
      <c r="ND1028" s="1278"/>
      <c r="NE1028" s="1278"/>
      <c r="NF1028" s="1278"/>
      <c r="NG1028" s="1278"/>
      <c r="NH1028" s="1278"/>
      <c r="NI1028" s="1278"/>
      <c r="NJ1028" s="1278"/>
      <c r="NK1028" s="1278"/>
      <c r="NL1028" s="1278"/>
      <c r="NM1028" s="1278"/>
      <c r="NN1028" s="1278"/>
      <c r="NO1028" s="1278"/>
      <c r="NP1028" s="1278"/>
      <c r="NQ1028" s="1278"/>
      <c r="NR1028" s="1278"/>
      <c r="NS1028" s="1278"/>
      <c r="NT1028" s="1278"/>
      <c r="NU1028" s="1278"/>
      <c r="NV1028" s="1278"/>
      <c r="NW1028" s="1278"/>
      <c r="NX1028" s="1278"/>
      <c r="NY1028" s="1278"/>
      <c r="NZ1028" s="1278"/>
      <c r="OA1028" s="1278"/>
      <c r="OB1028" s="1278"/>
      <c r="OC1028" s="1278"/>
      <c r="OD1028" s="1278"/>
      <c r="OE1028" s="1278"/>
      <c r="OF1028" s="1278"/>
      <c r="OG1028" s="1278"/>
      <c r="OH1028" s="1278"/>
      <c r="OI1028" s="1278"/>
      <c r="OJ1028" s="1278"/>
      <c r="OK1028" s="1278"/>
      <c r="OL1028" s="1278"/>
      <c r="OM1028" s="1278"/>
      <c r="ON1028" s="1278"/>
      <c r="OO1028" s="1278"/>
      <c r="OP1028" s="1278"/>
      <c r="OQ1028" s="1278"/>
      <c r="OR1028" s="1278"/>
      <c r="OS1028" s="1278"/>
      <c r="OT1028" s="1278"/>
      <c r="OU1028" s="1278"/>
      <c r="OV1028" s="1278"/>
      <c r="OW1028" s="1278"/>
      <c r="OX1028" s="1278"/>
      <c r="OY1028" s="1278"/>
      <c r="OZ1028" s="1278"/>
      <c r="PA1028" s="1278"/>
      <c r="PB1028" s="1278"/>
      <c r="PC1028" s="1278"/>
      <c r="PD1028" s="1278"/>
      <c r="PE1028" s="1278"/>
      <c r="PF1028" s="1278"/>
      <c r="PG1028" s="1278"/>
      <c r="PH1028" s="1278"/>
      <c r="PI1028" s="1278"/>
      <c r="PJ1028" s="1278"/>
      <c r="PK1028" s="1278"/>
      <c r="PL1028" s="1278"/>
      <c r="PM1028" s="1278"/>
      <c r="PN1028" s="1278"/>
      <c r="PO1028" s="1278"/>
      <c r="PP1028" s="1278"/>
      <c r="PQ1028" s="1278"/>
      <c r="PR1028" s="1278"/>
      <c r="PS1028" s="1278"/>
      <c r="PT1028" s="1278"/>
      <c r="PU1028" s="1278"/>
      <c r="PV1028" s="1278"/>
      <c r="PW1028" s="1278"/>
      <c r="PX1028" s="1278"/>
      <c r="PY1028" s="1278"/>
      <c r="PZ1028" s="1278"/>
      <c r="QA1028" s="1278"/>
      <c r="QB1028" s="1278"/>
      <c r="QC1028" s="1278"/>
      <c r="QD1028" s="1278"/>
      <c r="QE1028" s="1278"/>
      <c r="QF1028" s="1278"/>
      <c r="QG1028" s="1278"/>
      <c r="QH1028" s="1278"/>
      <c r="QI1028" s="1278"/>
      <c r="QJ1028" s="1278"/>
      <c r="QK1028" s="1278"/>
      <c r="QL1028" s="1278"/>
      <c r="QM1028" s="1278"/>
      <c r="QN1028" s="1278"/>
      <c r="QO1028" s="1278"/>
      <c r="QP1028" s="1278"/>
      <c r="QQ1028" s="1278"/>
      <c r="QR1028" s="1278"/>
      <c r="QS1028" s="1278"/>
      <c r="QT1028" s="1278"/>
      <c r="QU1028" s="1278"/>
      <c r="QV1028" s="1278"/>
      <c r="QW1028" s="1278"/>
      <c r="QX1028" s="1278"/>
      <c r="QY1028" s="1278"/>
      <c r="QZ1028" s="1278"/>
      <c r="RA1028" s="1278"/>
      <c r="RB1028" s="1278"/>
      <c r="RC1028" s="1278"/>
      <c r="RD1028" s="1278"/>
      <c r="RE1028" s="1278"/>
      <c r="RF1028" s="1278"/>
      <c r="RG1028" s="1278"/>
      <c r="RH1028" s="1278"/>
      <c r="RI1028" s="1278"/>
      <c r="RJ1028" s="1278"/>
      <c r="RK1028" s="1278"/>
      <c r="RL1028" s="1278"/>
      <c r="RM1028" s="1278"/>
      <c r="RN1028" s="1278"/>
      <c r="RO1028" s="1278"/>
      <c r="RP1028" s="1278"/>
      <c r="RQ1028" s="1278"/>
      <c r="RR1028" s="1278"/>
      <c r="RS1028" s="1278"/>
      <c r="RT1028" s="1278"/>
      <c r="RU1028" s="1278"/>
      <c r="RV1028" s="1278"/>
      <c r="RW1028" s="1278"/>
      <c r="RX1028" s="1278"/>
      <c r="RY1028" s="1278"/>
      <c r="RZ1028" s="1278"/>
      <c r="SA1028" s="1278"/>
      <c r="SB1028" s="1278"/>
      <c r="SC1028" s="1278"/>
      <c r="SD1028" s="1278"/>
      <c r="SE1028" s="1278"/>
      <c r="SF1028" s="1278"/>
      <c r="SG1028" s="1278"/>
      <c r="SH1028" s="1278"/>
      <c r="SI1028" s="1278"/>
      <c r="SJ1028" s="1278"/>
      <c r="SK1028" s="1278"/>
      <c r="SL1028" s="1278"/>
      <c r="SM1028" s="1278"/>
      <c r="SN1028" s="1278"/>
      <c r="SO1028" s="1278"/>
      <c r="SP1028" s="1278"/>
      <c r="SQ1028" s="1278"/>
      <c r="SR1028" s="1278"/>
      <c r="SS1028" s="1278"/>
      <c r="ST1028" s="1278"/>
      <c r="SU1028" s="1278"/>
      <c r="SV1028" s="1278"/>
      <c r="SW1028" s="1278"/>
      <c r="SX1028" s="1278"/>
      <c r="SY1028" s="1278"/>
      <c r="SZ1028" s="1278"/>
      <c r="TA1028" s="1278"/>
      <c r="TB1028" s="1278"/>
      <c r="TC1028" s="1278"/>
      <c r="TD1028" s="1278"/>
      <c r="TE1028" s="1278"/>
      <c r="TF1028" s="1278"/>
      <c r="TG1028" s="1278"/>
      <c r="TH1028" s="1278"/>
      <c r="TI1028" s="1278"/>
      <c r="TJ1028" s="1278"/>
      <c r="TK1028" s="1278"/>
      <c r="TL1028" s="1278"/>
      <c r="TM1028" s="1278"/>
      <c r="TN1028" s="1278"/>
      <c r="TO1028" s="1278"/>
      <c r="TP1028" s="1278"/>
      <c r="TQ1028" s="1278"/>
      <c r="TR1028" s="1278"/>
      <c r="TS1028" s="1278"/>
      <c r="TT1028" s="1278"/>
      <c r="TU1028" s="1278"/>
      <c r="TV1028" s="1278"/>
      <c r="TW1028" s="1278"/>
      <c r="TX1028" s="1278"/>
      <c r="TY1028" s="1278"/>
      <c r="TZ1028" s="1278"/>
      <c r="UA1028" s="1278"/>
      <c r="UB1028" s="1278"/>
      <c r="UC1028" s="1278"/>
      <c r="UD1028" s="1278"/>
      <c r="UE1028" s="1278"/>
      <c r="UF1028" s="1278"/>
      <c r="UG1028" s="1279"/>
    </row>
    <row r="1029" spans="1:553" s="1262" customFormat="1" ht="29.25" customHeight="1">
      <c r="A1029" s="356"/>
      <c r="B1029" s="356"/>
      <c r="C1029" s="1523" t="s">
        <v>588</v>
      </c>
      <c r="D1029" s="1528"/>
      <c r="E1029" s="1528"/>
      <c r="F1029" s="1529"/>
      <c r="G1029" s="418" t="s">
        <v>48</v>
      </c>
      <c r="H1029" s="370"/>
      <c r="I1029" s="1017">
        <v>1</v>
      </c>
      <c r="J1029" s="368">
        <v>219200</v>
      </c>
      <c r="K1029" s="565">
        <v>0.7</v>
      </c>
      <c r="L1029" s="571">
        <f t="shared" si="151"/>
        <v>153440</v>
      </c>
      <c r="M1029" s="356"/>
      <c r="N1029" s="356"/>
      <c r="O1029" s="356"/>
      <c r="P1029" s="356"/>
      <c r="Q1029" s="610"/>
      <c r="R1029" s="1226"/>
      <c r="S1029" s="308"/>
      <c r="T1029" s="308"/>
      <c r="U1029" s="308"/>
      <c r="V1029" s="308"/>
      <c r="W1029" s="308"/>
      <c r="X1029" s="308"/>
      <c r="Y1029" s="308"/>
      <c r="Z1029" s="604"/>
      <c r="AA1029" s="308"/>
      <c r="AB1029" s="308"/>
      <c r="AC1029" s="373"/>
      <c r="AD1029" s="373"/>
      <c r="AE1029" s="373"/>
      <c r="AF1029" s="373"/>
      <c r="AG1029" s="373"/>
      <c r="AH1029" s="373"/>
      <c r="AI1029" s="373"/>
      <c r="AJ1029" s="373"/>
      <c r="AK1029" s="389"/>
      <c r="AL1029" s="1276"/>
      <c r="AM1029" s="1277"/>
      <c r="AN1029" s="1277"/>
      <c r="AO1029" s="1277"/>
      <c r="AP1029" s="1277"/>
      <c r="AQ1029" s="1277"/>
      <c r="AR1029" s="1277"/>
      <c r="AS1029" s="1278"/>
      <c r="AT1029" s="1278"/>
      <c r="AU1029" s="1278"/>
      <c r="AV1029" s="1278"/>
      <c r="AW1029" s="1278"/>
      <c r="AX1029" s="1278"/>
      <c r="AY1029" s="1278"/>
      <c r="AZ1029" s="1278"/>
      <c r="BA1029" s="1278"/>
      <c r="BB1029" s="1278"/>
      <c r="BC1029" s="1278"/>
      <c r="BD1029" s="1278"/>
      <c r="BE1029" s="1278"/>
      <c r="BF1029" s="1278"/>
      <c r="BG1029" s="1278"/>
      <c r="BH1029" s="1278"/>
      <c r="BI1029" s="1278"/>
      <c r="BJ1029" s="1278"/>
      <c r="BK1029" s="1278"/>
      <c r="BL1029" s="1278"/>
      <c r="BM1029" s="1278"/>
      <c r="BN1029" s="1278"/>
      <c r="BO1029" s="1278"/>
      <c r="BP1029" s="1278"/>
      <c r="BQ1029" s="1278"/>
      <c r="BR1029" s="1278"/>
      <c r="BS1029" s="1278"/>
      <c r="BT1029" s="1278"/>
      <c r="BU1029" s="1278"/>
      <c r="BV1029" s="1278"/>
      <c r="BW1029" s="1278"/>
      <c r="BX1029" s="1278"/>
      <c r="BY1029" s="1278"/>
      <c r="BZ1029" s="1278"/>
      <c r="CA1029" s="1278"/>
      <c r="CB1029" s="1278"/>
      <c r="CC1029" s="1278"/>
      <c r="CD1029" s="1278"/>
      <c r="CE1029" s="1278"/>
      <c r="CF1029" s="1278"/>
      <c r="CG1029" s="1278"/>
      <c r="CH1029" s="1278"/>
      <c r="CI1029" s="1278"/>
      <c r="CJ1029" s="1278"/>
      <c r="CK1029" s="1278"/>
      <c r="CL1029" s="1278"/>
      <c r="CM1029" s="1278"/>
      <c r="CN1029" s="1278"/>
      <c r="CO1029" s="1278"/>
      <c r="CP1029" s="1278"/>
      <c r="CQ1029" s="1278"/>
      <c r="CR1029" s="1278"/>
      <c r="CS1029" s="1278"/>
      <c r="CT1029" s="1278"/>
      <c r="CU1029" s="1278"/>
      <c r="CV1029" s="1278"/>
      <c r="CW1029" s="1278"/>
      <c r="CX1029" s="1278"/>
      <c r="CY1029" s="1278"/>
      <c r="CZ1029" s="1278"/>
      <c r="DA1029" s="1278"/>
      <c r="DB1029" s="1278"/>
      <c r="DC1029" s="1278"/>
      <c r="DD1029" s="1278"/>
      <c r="DE1029" s="1278"/>
      <c r="DF1029" s="1278"/>
      <c r="DG1029" s="1278"/>
      <c r="DH1029" s="1278"/>
      <c r="DI1029" s="1278"/>
      <c r="DJ1029" s="1278"/>
      <c r="DK1029" s="1278"/>
      <c r="DL1029" s="1278"/>
      <c r="DM1029" s="1278"/>
      <c r="DN1029" s="1278"/>
      <c r="DO1029" s="1278"/>
      <c r="DP1029" s="1278"/>
      <c r="DQ1029" s="1278"/>
      <c r="DR1029" s="1278"/>
      <c r="DS1029" s="1278"/>
      <c r="DT1029" s="1278"/>
      <c r="DU1029" s="1278"/>
      <c r="DV1029" s="1278"/>
      <c r="DW1029" s="1278"/>
      <c r="DX1029" s="1278"/>
      <c r="DY1029" s="1278"/>
      <c r="DZ1029" s="1278"/>
      <c r="EA1029" s="1278"/>
      <c r="EB1029" s="1278"/>
      <c r="EC1029" s="1278"/>
      <c r="ED1029" s="1278"/>
      <c r="EE1029" s="1278"/>
      <c r="EF1029" s="1278"/>
      <c r="EG1029" s="1278"/>
      <c r="EH1029" s="1278"/>
      <c r="EI1029" s="1278"/>
      <c r="EJ1029" s="1278"/>
      <c r="EK1029" s="1278"/>
      <c r="EL1029" s="1278"/>
      <c r="EM1029" s="1278"/>
      <c r="EN1029" s="1278"/>
      <c r="EO1029" s="1278"/>
      <c r="EP1029" s="1278"/>
      <c r="EQ1029" s="1278"/>
      <c r="ER1029" s="1278"/>
      <c r="ES1029" s="1278"/>
      <c r="ET1029" s="1278"/>
      <c r="EU1029" s="1278"/>
      <c r="EV1029" s="1278"/>
      <c r="EW1029" s="1278"/>
      <c r="EX1029" s="1278"/>
      <c r="EY1029" s="1278"/>
      <c r="EZ1029" s="1278"/>
      <c r="FA1029" s="1278"/>
      <c r="FB1029" s="1278"/>
      <c r="FC1029" s="1278"/>
      <c r="FD1029" s="1278"/>
      <c r="FE1029" s="1278"/>
      <c r="FF1029" s="1278"/>
      <c r="FG1029" s="1278"/>
      <c r="FH1029" s="1278"/>
      <c r="FI1029" s="1278"/>
      <c r="FJ1029" s="1278"/>
      <c r="FK1029" s="1278"/>
      <c r="FL1029" s="1278"/>
      <c r="FM1029" s="1278"/>
      <c r="FN1029" s="1278"/>
      <c r="FO1029" s="1278"/>
      <c r="FP1029" s="1278"/>
      <c r="FQ1029" s="1278"/>
      <c r="FR1029" s="1278"/>
      <c r="FS1029" s="1278"/>
      <c r="FT1029" s="1278"/>
      <c r="FU1029" s="1278"/>
      <c r="FV1029" s="1278"/>
      <c r="FW1029" s="1278"/>
      <c r="FX1029" s="1278"/>
      <c r="FY1029" s="1278"/>
      <c r="FZ1029" s="1278"/>
      <c r="GA1029" s="1278"/>
      <c r="GB1029" s="1278"/>
      <c r="GC1029" s="1278"/>
      <c r="GD1029" s="1278"/>
      <c r="GE1029" s="1278"/>
      <c r="GF1029" s="1278"/>
      <c r="GG1029" s="1278"/>
      <c r="GH1029" s="1278"/>
      <c r="GI1029" s="1278"/>
      <c r="GJ1029" s="1278"/>
      <c r="GK1029" s="1278"/>
      <c r="GL1029" s="1278"/>
      <c r="GM1029" s="1278"/>
      <c r="GN1029" s="1278"/>
      <c r="GO1029" s="1278"/>
      <c r="GP1029" s="1278"/>
      <c r="GQ1029" s="1278"/>
      <c r="GR1029" s="1278"/>
      <c r="GS1029" s="1278"/>
      <c r="GT1029" s="1278"/>
      <c r="GU1029" s="1278"/>
      <c r="GV1029" s="1278"/>
      <c r="GW1029" s="1278"/>
      <c r="GX1029" s="1278"/>
      <c r="GY1029" s="1278"/>
      <c r="GZ1029" s="1278"/>
      <c r="HA1029" s="1278"/>
      <c r="HB1029" s="1278"/>
      <c r="HC1029" s="1278"/>
      <c r="HD1029" s="1278"/>
      <c r="HE1029" s="1278"/>
      <c r="HF1029" s="1278"/>
      <c r="HG1029" s="1278"/>
      <c r="HH1029" s="1278"/>
      <c r="HI1029" s="1278"/>
      <c r="HJ1029" s="1278"/>
      <c r="HK1029" s="1278"/>
      <c r="HL1029" s="1278"/>
      <c r="HM1029" s="1278"/>
      <c r="HN1029" s="1278"/>
      <c r="HO1029" s="1278"/>
      <c r="HP1029" s="1278"/>
      <c r="HQ1029" s="1278"/>
      <c r="HR1029" s="1278"/>
      <c r="HS1029" s="1278"/>
      <c r="HT1029" s="1278"/>
      <c r="HU1029" s="1278"/>
      <c r="HV1029" s="1278"/>
      <c r="HW1029" s="1278"/>
      <c r="HX1029" s="1278"/>
      <c r="HY1029" s="1278"/>
      <c r="HZ1029" s="1278"/>
      <c r="IA1029" s="1278"/>
      <c r="IB1029" s="1278"/>
      <c r="IC1029" s="1278"/>
      <c r="ID1029" s="1278"/>
      <c r="IE1029" s="1278"/>
      <c r="IF1029" s="1278"/>
      <c r="IG1029" s="1278"/>
      <c r="IH1029" s="1278"/>
      <c r="II1029" s="1278"/>
      <c r="IJ1029" s="1278"/>
      <c r="IK1029" s="1278"/>
      <c r="IL1029" s="1278"/>
      <c r="IM1029" s="1278"/>
      <c r="IN1029" s="1278"/>
      <c r="IO1029" s="1278"/>
      <c r="IP1029" s="1278"/>
      <c r="IQ1029" s="1278"/>
      <c r="IR1029" s="1278"/>
      <c r="IS1029" s="1278"/>
      <c r="IT1029" s="1278"/>
      <c r="IU1029" s="1278"/>
      <c r="IV1029" s="1278"/>
      <c r="IW1029" s="1278"/>
      <c r="IX1029" s="1278"/>
      <c r="IY1029" s="1278"/>
      <c r="IZ1029" s="1278"/>
      <c r="JA1029" s="1278"/>
      <c r="JB1029" s="1278"/>
      <c r="JC1029" s="1278"/>
      <c r="JD1029" s="1278"/>
      <c r="JE1029" s="1278"/>
      <c r="JF1029" s="1278"/>
      <c r="JG1029" s="1278"/>
      <c r="JH1029" s="1278"/>
      <c r="JI1029" s="1278"/>
      <c r="JJ1029" s="1278"/>
      <c r="JK1029" s="1278"/>
      <c r="JL1029" s="1278"/>
      <c r="JM1029" s="1278"/>
      <c r="JN1029" s="1278"/>
      <c r="JO1029" s="1278"/>
      <c r="JP1029" s="1278"/>
      <c r="JQ1029" s="1278"/>
      <c r="JR1029" s="1278"/>
      <c r="JS1029" s="1278"/>
      <c r="JT1029" s="1278"/>
      <c r="JU1029" s="1278"/>
      <c r="JV1029" s="1278"/>
      <c r="JW1029" s="1278"/>
      <c r="JX1029" s="1278"/>
      <c r="JY1029" s="1278"/>
      <c r="JZ1029" s="1278"/>
      <c r="KA1029" s="1278"/>
      <c r="KB1029" s="1278"/>
      <c r="KC1029" s="1278"/>
      <c r="KD1029" s="1278"/>
      <c r="KE1029" s="1278"/>
      <c r="KF1029" s="1278"/>
      <c r="KG1029" s="1278"/>
      <c r="KH1029" s="1278"/>
      <c r="KI1029" s="1278"/>
      <c r="KJ1029" s="1278"/>
      <c r="KK1029" s="1278"/>
      <c r="KL1029" s="1278"/>
      <c r="KM1029" s="1278"/>
      <c r="KN1029" s="1278"/>
      <c r="KO1029" s="1278"/>
      <c r="KP1029" s="1278"/>
      <c r="KQ1029" s="1278"/>
      <c r="KR1029" s="1278"/>
      <c r="KS1029" s="1278"/>
      <c r="KT1029" s="1278"/>
      <c r="KU1029" s="1278"/>
      <c r="KV1029" s="1278"/>
      <c r="KW1029" s="1278"/>
      <c r="KX1029" s="1278"/>
      <c r="KY1029" s="1278"/>
      <c r="KZ1029" s="1278"/>
      <c r="LA1029" s="1278"/>
      <c r="LB1029" s="1278"/>
      <c r="LC1029" s="1278"/>
      <c r="LD1029" s="1278"/>
      <c r="LE1029" s="1278"/>
      <c r="LF1029" s="1278"/>
      <c r="LG1029" s="1278"/>
      <c r="LH1029" s="1278"/>
      <c r="LI1029" s="1278"/>
      <c r="LJ1029" s="1278"/>
      <c r="LK1029" s="1278"/>
      <c r="LL1029" s="1278"/>
      <c r="LM1029" s="1278"/>
      <c r="LN1029" s="1278"/>
      <c r="LO1029" s="1278"/>
      <c r="LP1029" s="1278"/>
      <c r="LQ1029" s="1278"/>
      <c r="LR1029" s="1278"/>
      <c r="LS1029" s="1278"/>
      <c r="LT1029" s="1278"/>
      <c r="LU1029" s="1278"/>
      <c r="LV1029" s="1278"/>
      <c r="LW1029" s="1278"/>
      <c r="LX1029" s="1278"/>
      <c r="LY1029" s="1278"/>
      <c r="LZ1029" s="1278"/>
      <c r="MA1029" s="1278"/>
      <c r="MB1029" s="1278"/>
      <c r="MC1029" s="1278"/>
      <c r="MD1029" s="1278"/>
      <c r="ME1029" s="1278"/>
      <c r="MF1029" s="1278"/>
      <c r="MG1029" s="1278"/>
      <c r="MH1029" s="1278"/>
      <c r="MI1029" s="1278"/>
      <c r="MJ1029" s="1278"/>
      <c r="MK1029" s="1278"/>
      <c r="ML1029" s="1278"/>
      <c r="MM1029" s="1278"/>
      <c r="MN1029" s="1278"/>
      <c r="MO1029" s="1278"/>
      <c r="MP1029" s="1278"/>
      <c r="MQ1029" s="1278"/>
      <c r="MR1029" s="1278"/>
      <c r="MS1029" s="1278"/>
      <c r="MT1029" s="1278"/>
      <c r="MU1029" s="1278"/>
      <c r="MV1029" s="1278"/>
      <c r="MW1029" s="1278"/>
      <c r="MX1029" s="1278"/>
      <c r="MY1029" s="1278"/>
      <c r="MZ1029" s="1278"/>
      <c r="NA1029" s="1278"/>
      <c r="NB1029" s="1278"/>
      <c r="NC1029" s="1278"/>
      <c r="ND1029" s="1278"/>
      <c r="NE1029" s="1278"/>
      <c r="NF1029" s="1278"/>
      <c r="NG1029" s="1278"/>
      <c r="NH1029" s="1278"/>
      <c r="NI1029" s="1278"/>
      <c r="NJ1029" s="1278"/>
      <c r="NK1029" s="1278"/>
      <c r="NL1029" s="1278"/>
      <c r="NM1029" s="1278"/>
      <c r="NN1029" s="1278"/>
      <c r="NO1029" s="1278"/>
      <c r="NP1029" s="1278"/>
      <c r="NQ1029" s="1278"/>
      <c r="NR1029" s="1278"/>
      <c r="NS1029" s="1278"/>
      <c r="NT1029" s="1278"/>
      <c r="NU1029" s="1278"/>
      <c r="NV1029" s="1278"/>
      <c r="NW1029" s="1278"/>
      <c r="NX1029" s="1278"/>
      <c r="NY1029" s="1278"/>
      <c r="NZ1029" s="1278"/>
      <c r="OA1029" s="1278"/>
      <c r="OB1029" s="1278"/>
      <c r="OC1029" s="1278"/>
      <c r="OD1029" s="1278"/>
      <c r="OE1029" s="1278"/>
      <c r="OF1029" s="1278"/>
      <c r="OG1029" s="1278"/>
      <c r="OH1029" s="1278"/>
      <c r="OI1029" s="1278"/>
      <c r="OJ1029" s="1278"/>
      <c r="OK1029" s="1278"/>
      <c r="OL1029" s="1278"/>
      <c r="OM1029" s="1278"/>
      <c r="ON1029" s="1278"/>
      <c r="OO1029" s="1278"/>
      <c r="OP1029" s="1278"/>
      <c r="OQ1029" s="1278"/>
      <c r="OR1029" s="1278"/>
      <c r="OS1029" s="1278"/>
      <c r="OT1029" s="1278"/>
      <c r="OU1029" s="1278"/>
      <c r="OV1029" s="1278"/>
      <c r="OW1029" s="1278"/>
      <c r="OX1029" s="1278"/>
      <c r="OY1029" s="1278"/>
      <c r="OZ1029" s="1278"/>
      <c r="PA1029" s="1278"/>
      <c r="PB1029" s="1278"/>
      <c r="PC1029" s="1278"/>
      <c r="PD1029" s="1278"/>
      <c r="PE1029" s="1278"/>
      <c r="PF1029" s="1278"/>
      <c r="PG1029" s="1278"/>
      <c r="PH1029" s="1278"/>
      <c r="PI1029" s="1278"/>
      <c r="PJ1029" s="1278"/>
      <c r="PK1029" s="1278"/>
      <c r="PL1029" s="1278"/>
      <c r="PM1029" s="1278"/>
      <c r="PN1029" s="1278"/>
      <c r="PO1029" s="1278"/>
      <c r="PP1029" s="1278"/>
      <c r="PQ1029" s="1278"/>
      <c r="PR1029" s="1278"/>
      <c r="PS1029" s="1278"/>
      <c r="PT1029" s="1278"/>
      <c r="PU1029" s="1278"/>
      <c r="PV1029" s="1278"/>
      <c r="PW1029" s="1278"/>
      <c r="PX1029" s="1278"/>
      <c r="PY1029" s="1278"/>
      <c r="PZ1029" s="1278"/>
      <c r="QA1029" s="1278"/>
      <c r="QB1029" s="1278"/>
      <c r="QC1029" s="1278"/>
      <c r="QD1029" s="1278"/>
      <c r="QE1029" s="1278"/>
      <c r="QF1029" s="1278"/>
      <c r="QG1029" s="1278"/>
      <c r="QH1029" s="1278"/>
      <c r="QI1029" s="1278"/>
      <c r="QJ1029" s="1278"/>
      <c r="QK1029" s="1278"/>
      <c r="QL1029" s="1278"/>
      <c r="QM1029" s="1278"/>
      <c r="QN1029" s="1278"/>
      <c r="QO1029" s="1278"/>
      <c r="QP1029" s="1278"/>
      <c r="QQ1029" s="1278"/>
      <c r="QR1029" s="1278"/>
      <c r="QS1029" s="1278"/>
      <c r="QT1029" s="1278"/>
      <c r="QU1029" s="1278"/>
      <c r="QV1029" s="1278"/>
      <c r="QW1029" s="1278"/>
      <c r="QX1029" s="1278"/>
      <c r="QY1029" s="1278"/>
      <c r="QZ1029" s="1278"/>
      <c r="RA1029" s="1278"/>
      <c r="RB1029" s="1278"/>
      <c r="RC1029" s="1278"/>
      <c r="RD1029" s="1278"/>
      <c r="RE1029" s="1278"/>
      <c r="RF1029" s="1278"/>
      <c r="RG1029" s="1278"/>
      <c r="RH1029" s="1278"/>
      <c r="RI1029" s="1278"/>
      <c r="RJ1029" s="1278"/>
      <c r="RK1029" s="1278"/>
      <c r="RL1029" s="1278"/>
      <c r="RM1029" s="1278"/>
      <c r="RN1029" s="1278"/>
      <c r="RO1029" s="1278"/>
      <c r="RP1029" s="1278"/>
      <c r="RQ1029" s="1278"/>
      <c r="RR1029" s="1278"/>
      <c r="RS1029" s="1278"/>
      <c r="RT1029" s="1278"/>
      <c r="RU1029" s="1278"/>
      <c r="RV1029" s="1278"/>
      <c r="RW1029" s="1278"/>
      <c r="RX1029" s="1278"/>
      <c r="RY1029" s="1278"/>
      <c r="RZ1029" s="1278"/>
      <c r="SA1029" s="1278"/>
      <c r="SB1029" s="1278"/>
      <c r="SC1029" s="1278"/>
      <c r="SD1029" s="1278"/>
      <c r="SE1029" s="1278"/>
      <c r="SF1029" s="1278"/>
      <c r="SG1029" s="1278"/>
      <c r="SH1029" s="1278"/>
      <c r="SI1029" s="1278"/>
      <c r="SJ1029" s="1278"/>
      <c r="SK1029" s="1278"/>
      <c r="SL1029" s="1278"/>
      <c r="SM1029" s="1278"/>
      <c r="SN1029" s="1278"/>
      <c r="SO1029" s="1278"/>
      <c r="SP1029" s="1278"/>
      <c r="SQ1029" s="1278"/>
      <c r="SR1029" s="1278"/>
      <c r="SS1029" s="1278"/>
      <c r="ST1029" s="1278"/>
      <c r="SU1029" s="1278"/>
      <c r="SV1029" s="1278"/>
      <c r="SW1029" s="1278"/>
      <c r="SX1029" s="1278"/>
      <c r="SY1029" s="1278"/>
      <c r="SZ1029" s="1278"/>
      <c r="TA1029" s="1278"/>
      <c r="TB1029" s="1278"/>
      <c r="TC1029" s="1278"/>
      <c r="TD1029" s="1278"/>
      <c r="TE1029" s="1278"/>
      <c r="TF1029" s="1278"/>
      <c r="TG1029" s="1278"/>
      <c r="TH1029" s="1278"/>
      <c r="TI1029" s="1278"/>
      <c r="TJ1029" s="1278"/>
      <c r="TK1029" s="1278"/>
      <c r="TL1029" s="1278"/>
      <c r="TM1029" s="1278"/>
      <c r="TN1029" s="1278"/>
      <c r="TO1029" s="1278"/>
      <c r="TP1029" s="1278"/>
      <c r="TQ1029" s="1278"/>
      <c r="TR1029" s="1278"/>
      <c r="TS1029" s="1278"/>
      <c r="TT1029" s="1278"/>
      <c r="TU1029" s="1278"/>
      <c r="TV1029" s="1278"/>
      <c r="TW1029" s="1278"/>
      <c r="TX1029" s="1278"/>
      <c r="TY1029" s="1278"/>
      <c r="TZ1029" s="1278"/>
      <c r="UA1029" s="1278"/>
      <c r="UB1029" s="1278"/>
      <c r="UC1029" s="1278"/>
      <c r="UD1029" s="1278"/>
      <c r="UE1029" s="1278"/>
      <c r="UF1029" s="1278"/>
      <c r="UG1029" s="1279"/>
    </row>
    <row r="1030" spans="1:553" s="1262" customFormat="1" ht="29.25" customHeight="1">
      <c r="A1030" s="356"/>
      <c r="B1030" s="356"/>
      <c r="C1030" s="1523" t="s">
        <v>589</v>
      </c>
      <c r="D1030" s="1528"/>
      <c r="E1030" s="1528"/>
      <c r="F1030" s="1529"/>
      <c r="G1030" s="564" t="s">
        <v>46</v>
      </c>
      <c r="H1030" s="370"/>
      <c r="I1030" s="370">
        <f>(55.03*100/400)*(32-(4-3))*2</f>
        <v>852.96500000000003</v>
      </c>
      <c r="J1030" s="368">
        <v>7300</v>
      </c>
      <c r="K1030" s="565">
        <v>0.7</v>
      </c>
      <c r="L1030" s="368">
        <f>I1030*J1030*K1030</f>
        <v>4358651.1499999994</v>
      </c>
      <c r="M1030" s="356"/>
      <c r="N1030" s="356"/>
      <c r="O1030" s="356"/>
      <c r="P1030" s="356"/>
      <c r="Q1030" s="610"/>
      <c r="R1030" s="1226"/>
      <c r="S1030" s="308"/>
      <c r="T1030" s="308"/>
      <c r="U1030" s="308"/>
      <c r="V1030" s="308"/>
      <c r="W1030" s="308"/>
      <c r="X1030" s="308"/>
      <c r="Y1030" s="308"/>
      <c r="Z1030" s="604"/>
      <c r="AA1030" s="308"/>
      <c r="AB1030" s="308"/>
      <c r="AC1030" s="373"/>
      <c r="AD1030" s="373"/>
      <c r="AE1030" s="373"/>
      <c r="AF1030" s="373"/>
      <c r="AG1030" s="373"/>
      <c r="AH1030" s="373"/>
      <c r="AI1030" s="373"/>
      <c r="AJ1030" s="373"/>
      <c r="AK1030" s="389"/>
      <c r="AL1030" s="1276"/>
      <c r="AM1030" s="1277"/>
      <c r="AN1030" s="1277"/>
      <c r="AO1030" s="1277"/>
      <c r="AP1030" s="1277"/>
      <c r="AQ1030" s="1277"/>
      <c r="AR1030" s="1277"/>
      <c r="AS1030" s="1278"/>
      <c r="AT1030" s="1278"/>
      <c r="AU1030" s="1278"/>
      <c r="AV1030" s="1278"/>
      <c r="AW1030" s="1278"/>
      <c r="AX1030" s="1278"/>
      <c r="AY1030" s="1278"/>
      <c r="AZ1030" s="1278"/>
      <c r="BA1030" s="1278"/>
      <c r="BB1030" s="1278"/>
      <c r="BC1030" s="1278"/>
      <c r="BD1030" s="1278"/>
      <c r="BE1030" s="1278"/>
      <c r="BF1030" s="1278"/>
      <c r="BG1030" s="1278"/>
      <c r="BH1030" s="1278"/>
      <c r="BI1030" s="1278"/>
      <c r="BJ1030" s="1278"/>
      <c r="BK1030" s="1278"/>
      <c r="BL1030" s="1278"/>
      <c r="BM1030" s="1278"/>
      <c r="BN1030" s="1278"/>
      <c r="BO1030" s="1278"/>
      <c r="BP1030" s="1278"/>
      <c r="BQ1030" s="1278"/>
      <c r="BR1030" s="1278"/>
      <c r="BS1030" s="1278"/>
      <c r="BT1030" s="1278"/>
      <c r="BU1030" s="1278"/>
      <c r="BV1030" s="1278"/>
      <c r="BW1030" s="1278"/>
      <c r="BX1030" s="1278"/>
      <c r="BY1030" s="1278"/>
      <c r="BZ1030" s="1278"/>
      <c r="CA1030" s="1278"/>
      <c r="CB1030" s="1278"/>
      <c r="CC1030" s="1278"/>
      <c r="CD1030" s="1278"/>
      <c r="CE1030" s="1278"/>
      <c r="CF1030" s="1278"/>
      <c r="CG1030" s="1278"/>
      <c r="CH1030" s="1278"/>
      <c r="CI1030" s="1278"/>
      <c r="CJ1030" s="1278"/>
      <c r="CK1030" s="1278"/>
      <c r="CL1030" s="1278"/>
      <c r="CM1030" s="1278"/>
      <c r="CN1030" s="1278"/>
      <c r="CO1030" s="1278"/>
      <c r="CP1030" s="1278"/>
      <c r="CQ1030" s="1278"/>
      <c r="CR1030" s="1278"/>
      <c r="CS1030" s="1278"/>
      <c r="CT1030" s="1278"/>
      <c r="CU1030" s="1278"/>
      <c r="CV1030" s="1278"/>
      <c r="CW1030" s="1278"/>
      <c r="CX1030" s="1278"/>
      <c r="CY1030" s="1278"/>
      <c r="CZ1030" s="1278"/>
      <c r="DA1030" s="1278"/>
      <c r="DB1030" s="1278"/>
      <c r="DC1030" s="1278"/>
      <c r="DD1030" s="1278"/>
      <c r="DE1030" s="1278"/>
      <c r="DF1030" s="1278"/>
      <c r="DG1030" s="1278"/>
      <c r="DH1030" s="1278"/>
      <c r="DI1030" s="1278"/>
      <c r="DJ1030" s="1278"/>
      <c r="DK1030" s="1278"/>
      <c r="DL1030" s="1278"/>
      <c r="DM1030" s="1278"/>
      <c r="DN1030" s="1278"/>
      <c r="DO1030" s="1278"/>
      <c r="DP1030" s="1278"/>
      <c r="DQ1030" s="1278"/>
      <c r="DR1030" s="1278"/>
      <c r="DS1030" s="1278"/>
      <c r="DT1030" s="1278"/>
      <c r="DU1030" s="1278"/>
      <c r="DV1030" s="1278"/>
      <c r="DW1030" s="1278"/>
      <c r="DX1030" s="1278"/>
      <c r="DY1030" s="1278"/>
      <c r="DZ1030" s="1278"/>
      <c r="EA1030" s="1278"/>
      <c r="EB1030" s="1278"/>
      <c r="EC1030" s="1278"/>
      <c r="ED1030" s="1278"/>
      <c r="EE1030" s="1278"/>
      <c r="EF1030" s="1278"/>
      <c r="EG1030" s="1278"/>
      <c r="EH1030" s="1278"/>
      <c r="EI1030" s="1278"/>
      <c r="EJ1030" s="1278"/>
      <c r="EK1030" s="1278"/>
      <c r="EL1030" s="1278"/>
      <c r="EM1030" s="1278"/>
      <c r="EN1030" s="1278"/>
      <c r="EO1030" s="1278"/>
      <c r="EP1030" s="1278"/>
      <c r="EQ1030" s="1278"/>
      <c r="ER1030" s="1278"/>
      <c r="ES1030" s="1278"/>
      <c r="ET1030" s="1278"/>
      <c r="EU1030" s="1278"/>
      <c r="EV1030" s="1278"/>
      <c r="EW1030" s="1278"/>
      <c r="EX1030" s="1278"/>
      <c r="EY1030" s="1278"/>
      <c r="EZ1030" s="1278"/>
      <c r="FA1030" s="1278"/>
      <c r="FB1030" s="1278"/>
      <c r="FC1030" s="1278"/>
      <c r="FD1030" s="1278"/>
      <c r="FE1030" s="1278"/>
      <c r="FF1030" s="1278"/>
      <c r="FG1030" s="1278"/>
      <c r="FH1030" s="1278"/>
      <c r="FI1030" s="1278"/>
      <c r="FJ1030" s="1278"/>
      <c r="FK1030" s="1278"/>
      <c r="FL1030" s="1278"/>
      <c r="FM1030" s="1278"/>
      <c r="FN1030" s="1278"/>
      <c r="FO1030" s="1278"/>
      <c r="FP1030" s="1278"/>
      <c r="FQ1030" s="1278"/>
      <c r="FR1030" s="1278"/>
      <c r="FS1030" s="1278"/>
      <c r="FT1030" s="1278"/>
      <c r="FU1030" s="1278"/>
      <c r="FV1030" s="1278"/>
      <c r="FW1030" s="1278"/>
      <c r="FX1030" s="1278"/>
      <c r="FY1030" s="1278"/>
      <c r="FZ1030" s="1278"/>
      <c r="GA1030" s="1278"/>
      <c r="GB1030" s="1278"/>
      <c r="GC1030" s="1278"/>
      <c r="GD1030" s="1278"/>
      <c r="GE1030" s="1278"/>
      <c r="GF1030" s="1278"/>
      <c r="GG1030" s="1278"/>
      <c r="GH1030" s="1278"/>
      <c r="GI1030" s="1278"/>
      <c r="GJ1030" s="1278"/>
      <c r="GK1030" s="1278"/>
      <c r="GL1030" s="1278"/>
      <c r="GM1030" s="1278"/>
      <c r="GN1030" s="1278"/>
      <c r="GO1030" s="1278"/>
      <c r="GP1030" s="1278"/>
      <c r="GQ1030" s="1278"/>
      <c r="GR1030" s="1278"/>
      <c r="GS1030" s="1278"/>
      <c r="GT1030" s="1278"/>
      <c r="GU1030" s="1278"/>
      <c r="GV1030" s="1278"/>
      <c r="GW1030" s="1278"/>
      <c r="GX1030" s="1278"/>
      <c r="GY1030" s="1278"/>
      <c r="GZ1030" s="1278"/>
      <c r="HA1030" s="1278"/>
      <c r="HB1030" s="1278"/>
      <c r="HC1030" s="1278"/>
      <c r="HD1030" s="1278"/>
      <c r="HE1030" s="1278"/>
      <c r="HF1030" s="1278"/>
      <c r="HG1030" s="1278"/>
      <c r="HH1030" s="1278"/>
      <c r="HI1030" s="1278"/>
      <c r="HJ1030" s="1278"/>
      <c r="HK1030" s="1278"/>
      <c r="HL1030" s="1278"/>
      <c r="HM1030" s="1278"/>
      <c r="HN1030" s="1278"/>
      <c r="HO1030" s="1278"/>
      <c r="HP1030" s="1278"/>
      <c r="HQ1030" s="1278"/>
      <c r="HR1030" s="1278"/>
      <c r="HS1030" s="1278"/>
      <c r="HT1030" s="1278"/>
      <c r="HU1030" s="1278"/>
      <c r="HV1030" s="1278"/>
      <c r="HW1030" s="1278"/>
      <c r="HX1030" s="1278"/>
      <c r="HY1030" s="1278"/>
      <c r="HZ1030" s="1278"/>
      <c r="IA1030" s="1278"/>
      <c r="IB1030" s="1278"/>
      <c r="IC1030" s="1278"/>
      <c r="ID1030" s="1278"/>
      <c r="IE1030" s="1278"/>
      <c r="IF1030" s="1278"/>
      <c r="IG1030" s="1278"/>
      <c r="IH1030" s="1278"/>
      <c r="II1030" s="1278"/>
      <c r="IJ1030" s="1278"/>
      <c r="IK1030" s="1278"/>
      <c r="IL1030" s="1278"/>
      <c r="IM1030" s="1278"/>
      <c r="IN1030" s="1278"/>
      <c r="IO1030" s="1278"/>
      <c r="IP1030" s="1278"/>
      <c r="IQ1030" s="1278"/>
      <c r="IR1030" s="1278"/>
      <c r="IS1030" s="1278"/>
      <c r="IT1030" s="1278"/>
      <c r="IU1030" s="1278"/>
      <c r="IV1030" s="1278"/>
      <c r="IW1030" s="1278"/>
      <c r="IX1030" s="1278"/>
      <c r="IY1030" s="1278"/>
      <c r="IZ1030" s="1278"/>
      <c r="JA1030" s="1278"/>
      <c r="JB1030" s="1278"/>
      <c r="JC1030" s="1278"/>
      <c r="JD1030" s="1278"/>
      <c r="JE1030" s="1278"/>
      <c r="JF1030" s="1278"/>
      <c r="JG1030" s="1278"/>
      <c r="JH1030" s="1278"/>
      <c r="JI1030" s="1278"/>
      <c r="JJ1030" s="1278"/>
      <c r="JK1030" s="1278"/>
      <c r="JL1030" s="1278"/>
      <c r="JM1030" s="1278"/>
      <c r="JN1030" s="1278"/>
      <c r="JO1030" s="1278"/>
      <c r="JP1030" s="1278"/>
      <c r="JQ1030" s="1278"/>
      <c r="JR1030" s="1278"/>
      <c r="JS1030" s="1278"/>
      <c r="JT1030" s="1278"/>
      <c r="JU1030" s="1278"/>
      <c r="JV1030" s="1278"/>
      <c r="JW1030" s="1278"/>
      <c r="JX1030" s="1278"/>
      <c r="JY1030" s="1278"/>
      <c r="JZ1030" s="1278"/>
      <c r="KA1030" s="1278"/>
      <c r="KB1030" s="1278"/>
      <c r="KC1030" s="1278"/>
      <c r="KD1030" s="1278"/>
      <c r="KE1030" s="1278"/>
      <c r="KF1030" s="1278"/>
      <c r="KG1030" s="1278"/>
      <c r="KH1030" s="1278"/>
      <c r="KI1030" s="1278"/>
      <c r="KJ1030" s="1278"/>
      <c r="KK1030" s="1278"/>
      <c r="KL1030" s="1278"/>
      <c r="KM1030" s="1278"/>
      <c r="KN1030" s="1278"/>
      <c r="KO1030" s="1278"/>
      <c r="KP1030" s="1278"/>
      <c r="KQ1030" s="1278"/>
      <c r="KR1030" s="1278"/>
      <c r="KS1030" s="1278"/>
      <c r="KT1030" s="1278"/>
      <c r="KU1030" s="1278"/>
      <c r="KV1030" s="1278"/>
      <c r="KW1030" s="1278"/>
      <c r="KX1030" s="1278"/>
      <c r="KY1030" s="1278"/>
      <c r="KZ1030" s="1278"/>
      <c r="LA1030" s="1278"/>
      <c r="LB1030" s="1278"/>
      <c r="LC1030" s="1278"/>
      <c r="LD1030" s="1278"/>
      <c r="LE1030" s="1278"/>
      <c r="LF1030" s="1278"/>
      <c r="LG1030" s="1278"/>
      <c r="LH1030" s="1278"/>
      <c r="LI1030" s="1278"/>
      <c r="LJ1030" s="1278"/>
      <c r="LK1030" s="1278"/>
      <c r="LL1030" s="1278"/>
      <c r="LM1030" s="1278"/>
      <c r="LN1030" s="1278"/>
      <c r="LO1030" s="1278"/>
      <c r="LP1030" s="1278"/>
      <c r="LQ1030" s="1278"/>
      <c r="LR1030" s="1278"/>
      <c r="LS1030" s="1278"/>
      <c r="LT1030" s="1278"/>
      <c r="LU1030" s="1278"/>
      <c r="LV1030" s="1278"/>
      <c r="LW1030" s="1278"/>
      <c r="LX1030" s="1278"/>
      <c r="LY1030" s="1278"/>
      <c r="LZ1030" s="1278"/>
      <c r="MA1030" s="1278"/>
      <c r="MB1030" s="1278"/>
      <c r="MC1030" s="1278"/>
      <c r="MD1030" s="1278"/>
      <c r="ME1030" s="1278"/>
      <c r="MF1030" s="1278"/>
      <c r="MG1030" s="1278"/>
      <c r="MH1030" s="1278"/>
      <c r="MI1030" s="1278"/>
      <c r="MJ1030" s="1278"/>
      <c r="MK1030" s="1278"/>
      <c r="ML1030" s="1278"/>
      <c r="MM1030" s="1278"/>
      <c r="MN1030" s="1278"/>
      <c r="MO1030" s="1278"/>
      <c r="MP1030" s="1278"/>
      <c r="MQ1030" s="1278"/>
      <c r="MR1030" s="1278"/>
      <c r="MS1030" s="1278"/>
      <c r="MT1030" s="1278"/>
      <c r="MU1030" s="1278"/>
      <c r="MV1030" s="1278"/>
      <c r="MW1030" s="1278"/>
      <c r="MX1030" s="1278"/>
      <c r="MY1030" s="1278"/>
      <c r="MZ1030" s="1278"/>
      <c r="NA1030" s="1278"/>
      <c r="NB1030" s="1278"/>
      <c r="NC1030" s="1278"/>
      <c r="ND1030" s="1278"/>
      <c r="NE1030" s="1278"/>
      <c r="NF1030" s="1278"/>
      <c r="NG1030" s="1278"/>
      <c r="NH1030" s="1278"/>
      <c r="NI1030" s="1278"/>
      <c r="NJ1030" s="1278"/>
      <c r="NK1030" s="1278"/>
      <c r="NL1030" s="1278"/>
      <c r="NM1030" s="1278"/>
      <c r="NN1030" s="1278"/>
      <c r="NO1030" s="1278"/>
      <c r="NP1030" s="1278"/>
      <c r="NQ1030" s="1278"/>
      <c r="NR1030" s="1278"/>
      <c r="NS1030" s="1278"/>
      <c r="NT1030" s="1278"/>
      <c r="NU1030" s="1278"/>
      <c r="NV1030" s="1278"/>
      <c r="NW1030" s="1278"/>
      <c r="NX1030" s="1278"/>
      <c r="NY1030" s="1278"/>
      <c r="NZ1030" s="1278"/>
      <c r="OA1030" s="1278"/>
      <c r="OB1030" s="1278"/>
      <c r="OC1030" s="1278"/>
      <c r="OD1030" s="1278"/>
      <c r="OE1030" s="1278"/>
      <c r="OF1030" s="1278"/>
      <c r="OG1030" s="1278"/>
      <c r="OH1030" s="1278"/>
      <c r="OI1030" s="1278"/>
      <c r="OJ1030" s="1278"/>
      <c r="OK1030" s="1278"/>
      <c r="OL1030" s="1278"/>
      <c r="OM1030" s="1278"/>
      <c r="ON1030" s="1278"/>
      <c r="OO1030" s="1278"/>
      <c r="OP1030" s="1278"/>
      <c r="OQ1030" s="1278"/>
      <c r="OR1030" s="1278"/>
      <c r="OS1030" s="1278"/>
      <c r="OT1030" s="1278"/>
      <c r="OU1030" s="1278"/>
      <c r="OV1030" s="1278"/>
      <c r="OW1030" s="1278"/>
      <c r="OX1030" s="1278"/>
      <c r="OY1030" s="1278"/>
      <c r="OZ1030" s="1278"/>
      <c r="PA1030" s="1278"/>
      <c r="PB1030" s="1278"/>
      <c r="PC1030" s="1278"/>
      <c r="PD1030" s="1278"/>
      <c r="PE1030" s="1278"/>
      <c r="PF1030" s="1278"/>
      <c r="PG1030" s="1278"/>
      <c r="PH1030" s="1278"/>
      <c r="PI1030" s="1278"/>
      <c r="PJ1030" s="1278"/>
      <c r="PK1030" s="1278"/>
      <c r="PL1030" s="1278"/>
      <c r="PM1030" s="1278"/>
      <c r="PN1030" s="1278"/>
      <c r="PO1030" s="1278"/>
      <c r="PP1030" s="1278"/>
      <c r="PQ1030" s="1278"/>
      <c r="PR1030" s="1278"/>
      <c r="PS1030" s="1278"/>
      <c r="PT1030" s="1278"/>
      <c r="PU1030" s="1278"/>
      <c r="PV1030" s="1278"/>
      <c r="PW1030" s="1278"/>
      <c r="PX1030" s="1278"/>
      <c r="PY1030" s="1278"/>
      <c r="PZ1030" s="1278"/>
      <c r="QA1030" s="1278"/>
      <c r="QB1030" s="1278"/>
      <c r="QC1030" s="1278"/>
      <c r="QD1030" s="1278"/>
      <c r="QE1030" s="1278"/>
      <c r="QF1030" s="1278"/>
      <c r="QG1030" s="1278"/>
      <c r="QH1030" s="1278"/>
      <c r="QI1030" s="1278"/>
      <c r="QJ1030" s="1278"/>
      <c r="QK1030" s="1278"/>
      <c r="QL1030" s="1278"/>
      <c r="QM1030" s="1278"/>
      <c r="QN1030" s="1278"/>
      <c r="QO1030" s="1278"/>
      <c r="QP1030" s="1278"/>
      <c r="QQ1030" s="1278"/>
      <c r="QR1030" s="1278"/>
      <c r="QS1030" s="1278"/>
      <c r="QT1030" s="1278"/>
      <c r="QU1030" s="1278"/>
      <c r="QV1030" s="1278"/>
      <c r="QW1030" s="1278"/>
      <c r="QX1030" s="1278"/>
      <c r="QY1030" s="1278"/>
      <c r="QZ1030" s="1278"/>
      <c r="RA1030" s="1278"/>
      <c r="RB1030" s="1278"/>
      <c r="RC1030" s="1278"/>
      <c r="RD1030" s="1278"/>
      <c r="RE1030" s="1278"/>
      <c r="RF1030" s="1278"/>
      <c r="RG1030" s="1278"/>
      <c r="RH1030" s="1278"/>
      <c r="RI1030" s="1278"/>
      <c r="RJ1030" s="1278"/>
      <c r="RK1030" s="1278"/>
      <c r="RL1030" s="1278"/>
      <c r="RM1030" s="1278"/>
      <c r="RN1030" s="1278"/>
      <c r="RO1030" s="1278"/>
      <c r="RP1030" s="1278"/>
      <c r="RQ1030" s="1278"/>
      <c r="RR1030" s="1278"/>
      <c r="RS1030" s="1278"/>
      <c r="RT1030" s="1278"/>
      <c r="RU1030" s="1278"/>
      <c r="RV1030" s="1278"/>
      <c r="RW1030" s="1278"/>
      <c r="RX1030" s="1278"/>
      <c r="RY1030" s="1278"/>
      <c r="RZ1030" s="1278"/>
      <c r="SA1030" s="1278"/>
      <c r="SB1030" s="1278"/>
      <c r="SC1030" s="1278"/>
      <c r="SD1030" s="1278"/>
      <c r="SE1030" s="1278"/>
      <c r="SF1030" s="1278"/>
      <c r="SG1030" s="1278"/>
      <c r="SH1030" s="1278"/>
      <c r="SI1030" s="1278"/>
      <c r="SJ1030" s="1278"/>
      <c r="SK1030" s="1278"/>
      <c r="SL1030" s="1278"/>
      <c r="SM1030" s="1278"/>
      <c r="SN1030" s="1278"/>
      <c r="SO1030" s="1278"/>
      <c r="SP1030" s="1278"/>
      <c r="SQ1030" s="1278"/>
      <c r="SR1030" s="1278"/>
      <c r="SS1030" s="1278"/>
      <c r="ST1030" s="1278"/>
      <c r="SU1030" s="1278"/>
      <c r="SV1030" s="1278"/>
      <c r="SW1030" s="1278"/>
      <c r="SX1030" s="1278"/>
      <c r="SY1030" s="1278"/>
      <c r="SZ1030" s="1278"/>
      <c r="TA1030" s="1278"/>
      <c r="TB1030" s="1278"/>
      <c r="TC1030" s="1278"/>
      <c r="TD1030" s="1278"/>
      <c r="TE1030" s="1278"/>
      <c r="TF1030" s="1278"/>
      <c r="TG1030" s="1278"/>
      <c r="TH1030" s="1278"/>
      <c r="TI1030" s="1278"/>
      <c r="TJ1030" s="1278"/>
      <c r="TK1030" s="1278"/>
      <c r="TL1030" s="1278"/>
      <c r="TM1030" s="1278"/>
      <c r="TN1030" s="1278"/>
      <c r="TO1030" s="1278"/>
      <c r="TP1030" s="1278"/>
      <c r="TQ1030" s="1278"/>
      <c r="TR1030" s="1278"/>
      <c r="TS1030" s="1278"/>
      <c r="TT1030" s="1278"/>
      <c r="TU1030" s="1278"/>
      <c r="TV1030" s="1278"/>
      <c r="TW1030" s="1278"/>
      <c r="TX1030" s="1278"/>
      <c r="TY1030" s="1278"/>
      <c r="TZ1030" s="1278"/>
      <c r="UA1030" s="1278"/>
      <c r="UB1030" s="1278"/>
      <c r="UC1030" s="1278"/>
      <c r="UD1030" s="1278"/>
      <c r="UE1030" s="1278"/>
      <c r="UF1030" s="1278"/>
      <c r="UG1030" s="1279"/>
    </row>
    <row r="1031" spans="1:553" s="1262" customFormat="1" ht="29.25" customHeight="1">
      <c r="A1031" s="356"/>
      <c r="B1031" s="356"/>
      <c r="C1031" s="1523" t="s">
        <v>590</v>
      </c>
      <c r="D1031" s="1528"/>
      <c r="E1031" s="1528"/>
      <c r="F1031" s="1529"/>
      <c r="G1031" s="564" t="s">
        <v>46</v>
      </c>
      <c r="H1031" s="370"/>
      <c r="I1031" s="370">
        <f>(55.03*100/400)*(32-(6-3))*1</f>
        <v>398.96750000000003</v>
      </c>
      <c r="J1031" s="368">
        <v>7300</v>
      </c>
      <c r="K1031" s="565">
        <v>0.7</v>
      </c>
      <c r="L1031" s="368">
        <f>I1031*J1031*K1031</f>
        <v>2038723.9249999998</v>
      </c>
      <c r="M1031" s="356"/>
      <c r="N1031" s="356"/>
      <c r="O1031" s="356"/>
      <c r="P1031" s="356"/>
      <c r="Q1031" s="610"/>
      <c r="R1031" s="1226"/>
      <c r="S1031" s="308"/>
      <c r="T1031" s="308"/>
      <c r="U1031" s="308"/>
      <c r="V1031" s="308"/>
      <c r="W1031" s="308"/>
      <c r="X1031" s="308"/>
      <c r="Y1031" s="308"/>
      <c r="Z1031" s="604"/>
      <c r="AA1031" s="308"/>
      <c r="AB1031" s="308"/>
      <c r="AC1031" s="373"/>
      <c r="AD1031" s="373"/>
      <c r="AE1031" s="373"/>
      <c r="AF1031" s="373"/>
      <c r="AG1031" s="373"/>
      <c r="AH1031" s="373"/>
      <c r="AI1031" s="373"/>
      <c r="AJ1031" s="373"/>
      <c r="AK1031" s="389"/>
      <c r="AL1031" s="1276"/>
      <c r="AM1031" s="1277"/>
      <c r="AN1031" s="1277"/>
      <c r="AO1031" s="1277"/>
      <c r="AP1031" s="1277"/>
      <c r="AQ1031" s="1277"/>
      <c r="AR1031" s="1277"/>
      <c r="AS1031" s="1278"/>
      <c r="AT1031" s="1278"/>
      <c r="AU1031" s="1278"/>
      <c r="AV1031" s="1278"/>
      <c r="AW1031" s="1278"/>
      <c r="AX1031" s="1278"/>
      <c r="AY1031" s="1278"/>
      <c r="AZ1031" s="1278"/>
      <c r="BA1031" s="1278"/>
      <c r="BB1031" s="1278"/>
      <c r="BC1031" s="1278"/>
      <c r="BD1031" s="1278"/>
      <c r="BE1031" s="1278"/>
      <c r="BF1031" s="1278"/>
      <c r="BG1031" s="1278"/>
      <c r="BH1031" s="1278"/>
      <c r="BI1031" s="1278"/>
      <c r="BJ1031" s="1278"/>
      <c r="BK1031" s="1278"/>
      <c r="BL1031" s="1278"/>
      <c r="BM1031" s="1278"/>
      <c r="BN1031" s="1278"/>
      <c r="BO1031" s="1278"/>
      <c r="BP1031" s="1278"/>
      <c r="BQ1031" s="1278"/>
      <c r="BR1031" s="1278"/>
      <c r="BS1031" s="1278"/>
      <c r="BT1031" s="1278"/>
      <c r="BU1031" s="1278"/>
      <c r="BV1031" s="1278"/>
      <c r="BW1031" s="1278"/>
      <c r="BX1031" s="1278"/>
      <c r="BY1031" s="1278"/>
      <c r="BZ1031" s="1278"/>
      <c r="CA1031" s="1278"/>
      <c r="CB1031" s="1278"/>
      <c r="CC1031" s="1278"/>
      <c r="CD1031" s="1278"/>
      <c r="CE1031" s="1278"/>
      <c r="CF1031" s="1278"/>
      <c r="CG1031" s="1278"/>
      <c r="CH1031" s="1278"/>
      <c r="CI1031" s="1278"/>
      <c r="CJ1031" s="1278"/>
      <c r="CK1031" s="1278"/>
      <c r="CL1031" s="1278"/>
      <c r="CM1031" s="1278"/>
      <c r="CN1031" s="1278"/>
      <c r="CO1031" s="1278"/>
      <c r="CP1031" s="1278"/>
      <c r="CQ1031" s="1278"/>
      <c r="CR1031" s="1278"/>
      <c r="CS1031" s="1278"/>
      <c r="CT1031" s="1278"/>
      <c r="CU1031" s="1278"/>
      <c r="CV1031" s="1278"/>
      <c r="CW1031" s="1278"/>
      <c r="CX1031" s="1278"/>
      <c r="CY1031" s="1278"/>
      <c r="CZ1031" s="1278"/>
      <c r="DA1031" s="1278"/>
      <c r="DB1031" s="1278"/>
      <c r="DC1031" s="1278"/>
      <c r="DD1031" s="1278"/>
      <c r="DE1031" s="1278"/>
      <c r="DF1031" s="1278"/>
      <c r="DG1031" s="1278"/>
      <c r="DH1031" s="1278"/>
      <c r="DI1031" s="1278"/>
      <c r="DJ1031" s="1278"/>
      <c r="DK1031" s="1278"/>
      <c r="DL1031" s="1278"/>
      <c r="DM1031" s="1278"/>
      <c r="DN1031" s="1278"/>
      <c r="DO1031" s="1278"/>
      <c r="DP1031" s="1278"/>
      <c r="DQ1031" s="1278"/>
      <c r="DR1031" s="1278"/>
      <c r="DS1031" s="1278"/>
      <c r="DT1031" s="1278"/>
      <c r="DU1031" s="1278"/>
      <c r="DV1031" s="1278"/>
      <c r="DW1031" s="1278"/>
      <c r="DX1031" s="1278"/>
      <c r="DY1031" s="1278"/>
      <c r="DZ1031" s="1278"/>
      <c r="EA1031" s="1278"/>
      <c r="EB1031" s="1278"/>
      <c r="EC1031" s="1278"/>
      <c r="ED1031" s="1278"/>
      <c r="EE1031" s="1278"/>
      <c r="EF1031" s="1278"/>
      <c r="EG1031" s="1278"/>
      <c r="EH1031" s="1278"/>
      <c r="EI1031" s="1278"/>
      <c r="EJ1031" s="1278"/>
      <c r="EK1031" s="1278"/>
      <c r="EL1031" s="1278"/>
      <c r="EM1031" s="1278"/>
      <c r="EN1031" s="1278"/>
      <c r="EO1031" s="1278"/>
      <c r="EP1031" s="1278"/>
      <c r="EQ1031" s="1278"/>
      <c r="ER1031" s="1278"/>
      <c r="ES1031" s="1278"/>
      <c r="ET1031" s="1278"/>
      <c r="EU1031" s="1278"/>
      <c r="EV1031" s="1278"/>
      <c r="EW1031" s="1278"/>
      <c r="EX1031" s="1278"/>
      <c r="EY1031" s="1278"/>
      <c r="EZ1031" s="1278"/>
      <c r="FA1031" s="1278"/>
      <c r="FB1031" s="1278"/>
      <c r="FC1031" s="1278"/>
      <c r="FD1031" s="1278"/>
      <c r="FE1031" s="1278"/>
      <c r="FF1031" s="1278"/>
      <c r="FG1031" s="1278"/>
      <c r="FH1031" s="1278"/>
      <c r="FI1031" s="1278"/>
      <c r="FJ1031" s="1278"/>
      <c r="FK1031" s="1278"/>
      <c r="FL1031" s="1278"/>
      <c r="FM1031" s="1278"/>
      <c r="FN1031" s="1278"/>
      <c r="FO1031" s="1278"/>
      <c r="FP1031" s="1278"/>
      <c r="FQ1031" s="1278"/>
      <c r="FR1031" s="1278"/>
      <c r="FS1031" s="1278"/>
      <c r="FT1031" s="1278"/>
      <c r="FU1031" s="1278"/>
      <c r="FV1031" s="1278"/>
      <c r="FW1031" s="1278"/>
      <c r="FX1031" s="1278"/>
      <c r="FY1031" s="1278"/>
      <c r="FZ1031" s="1278"/>
      <c r="GA1031" s="1278"/>
      <c r="GB1031" s="1278"/>
      <c r="GC1031" s="1278"/>
      <c r="GD1031" s="1278"/>
      <c r="GE1031" s="1278"/>
      <c r="GF1031" s="1278"/>
      <c r="GG1031" s="1278"/>
      <c r="GH1031" s="1278"/>
      <c r="GI1031" s="1278"/>
      <c r="GJ1031" s="1278"/>
      <c r="GK1031" s="1278"/>
      <c r="GL1031" s="1278"/>
      <c r="GM1031" s="1278"/>
      <c r="GN1031" s="1278"/>
      <c r="GO1031" s="1278"/>
      <c r="GP1031" s="1278"/>
      <c r="GQ1031" s="1278"/>
      <c r="GR1031" s="1278"/>
      <c r="GS1031" s="1278"/>
      <c r="GT1031" s="1278"/>
      <c r="GU1031" s="1278"/>
      <c r="GV1031" s="1278"/>
      <c r="GW1031" s="1278"/>
      <c r="GX1031" s="1278"/>
      <c r="GY1031" s="1278"/>
      <c r="GZ1031" s="1278"/>
      <c r="HA1031" s="1278"/>
      <c r="HB1031" s="1278"/>
      <c r="HC1031" s="1278"/>
      <c r="HD1031" s="1278"/>
      <c r="HE1031" s="1278"/>
      <c r="HF1031" s="1278"/>
      <c r="HG1031" s="1278"/>
      <c r="HH1031" s="1278"/>
      <c r="HI1031" s="1278"/>
      <c r="HJ1031" s="1278"/>
      <c r="HK1031" s="1278"/>
      <c r="HL1031" s="1278"/>
      <c r="HM1031" s="1278"/>
      <c r="HN1031" s="1278"/>
      <c r="HO1031" s="1278"/>
      <c r="HP1031" s="1278"/>
      <c r="HQ1031" s="1278"/>
      <c r="HR1031" s="1278"/>
      <c r="HS1031" s="1278"/>
      <c r="HT1031" s="1278"/>
      <c r="HU1031" s="1278"/>
      <c r="HV1031" s="1278"/>
      <c r="HW1031" s="1278"/>
      <c r="HX1031" s="1278"/>
      <c r="HY1031" s="1278"/>
      <c r="HZ1031" s="1278"/>
      <c r="IA1031" s="1278"/>
      <c r="IB1031" s="1278"/>
      <c r="IC1031" s="1278"/>
      <c r="ID1031" s="1278"/>
      <c r="IE1031" s="1278"/>
      <c r="IF1031" s="1278"/>
      <c r="IG1031" s="1278"/>
      <c r="IH1031" s="1278"/>
      <c r="II1031" s="1278"/>
      <c r="IJ1031" s="1278"/>
      <c r="IK1031" s="1278"/>
      <c r="IL1031" s="1278"/>
      <c r="IM1031" s="1278"/>
      <c r="IN1031" s="1278"/>
      <c r="IO1031" s="1278"/>
      <c r="IP1031" s="1278"/>
      <c r="IQ1031" s="1278"/>
      <c r="IR1031" s="1278"/>
      <c r="IS1031" s="1278"/>
      <c r="IT1031" s="1278"/>
      <c r="IU1031" s="1278"/>
      <c r="IV1031" s="1278"/>
      <c r="IW1031" s="1278"/>
      <c r="IX1031" s="1278"/>
      <c r="IY1031" s="1278"/>
      <c r="IZ1031" s="1278"/>
      <c r="JA1031" s="1278"/>
      <c r="JB1031" s="1278"/>
      <c r="JC1031" s="1278"/>
      <c r="JD1031" s="1278"/>
      <c r="JE1031" s="1278"/>
      <c r="JF1031" s="1278"/>
      <c r="JG1031" s="1278"/>
      <c r="JH1031" s="1278"/>
      <c r="JI1031" s="1278"/>
      <c r="JJ1031" s="1278"/>
      <c r="JK1031" s="1278"/>
      <c r="JL1031" s="1278"/>
      <c r="JM1031" s="1278"/>
      <c r="JN1031" s="1278"/>
      <c r="JO1031" s="1278"/>
      <c r="JP1031" s="1278"/>
      <c r="JQ1031" s="1278"/>
      <c r="JR1031" s="1278"/>
      <c r="JS1031" s="1278"/>
      <c r="JT1031" s="1278"/>
      <c r="JU1031" s="1278"/>
      <c r="JV1031" s="1278"/>
      <c r="JW1031" s="1278"/>
      <c r="JX1031" s="1278"/>
      <c r="JY1031" s="1278"/>
      <c r="JZ1031" s="1278"/>
      <c r="KA1031" s="1278"/>
      <c r="KB1031" s="1278"/>
      <c r="KC1031" s="1278"/>
      <c r="KD1031" s="1278"/>
      <c r="KE1031" s="1278"/>
      <c r="KF1031" s="1278"/>
      <c r="KG1031" s="1278"/>
      <c r="KH1031" s="1278"/>
      <c r="KI1031" s="1278"/>
      <c r="KJ1031" s="1278"/>
      <c r="KK1031" s="1278"/>
      <c r="KL1031" s="1278"/>
      <c r="KM1031" s="1278"/>
      <c r="KN1031" s="1278"/>
      <c r="KO1031" s="1278"/>
      <c r="KP1031" s="1278"/>
      <c r="KQ1031" s="1278"/>
      <c r="KR1031" s="1278"/>
      <c r="KS1031" s="1278"/>
      <c r="KT1031" s="1278"/>
      <c r="KU1031" s="1278"/>
      <c r="KV1031" s="1278"/>
      <c r="KW1031" s="1278"/>
      <c r="KX1031" s="1278"/>
      <c r="KY1031" s="1278"/>
      <c r="KZ1031" s="1278"/>
      <c r="LA1031" s="1278"/>
      <c r="LB1031" s="1278"/>
      <c r="LC1031" s="1278"/>
      <c r="LD1031" s="1278"/>
      <c r="LE1031" s="1278"/>
      <c r="LF1031" s="1278"/>
      <c r="LG1031" s="1278"/>
      <c r="LH1031" s="1278"/>
      <c r="LI1031" s="1278"/>
      <c r="LJ1031" s="1278"/>
      <c r="LK1031" s="1278"/>
      <c r="LL1031" s="1278"/>
      <c r="LM1031" s="1278"/>
      <c r="LN1031" s="1278"/>
      <c r="LO1031" s="1278"/>
      <c r="LP1031" s="1278"/>
      <c r="LQ1031" s="1278"/>
      <c r="LR1031" s="1278"/>
      <c r="LS1031" s="1278"/>
      <c r="LT1031" s="1278"/>
      <c r="LU1031" s="1278"/>
      <c r="LV1031" s="1278"/>
      <c r="LW1031" s="1278"/>
      <c r="LX1031" s="1278"/>
      <c r="LY1031" s="1278"/>
      <c r="LZ1031" s="1278"/>
      <c r="MA1031" s="1278"/>
      <c r="MB1031" s="1278"/>
      <c r="MC1031" s="1278"/>
      <c r="MD1031" s="1278"/>
      <c r="ME1031" s="1278"/>
      <c r="MF1031" s="1278"/>
      <c r="MG1031" s="1278"/>
      <c r="MH1031" s="1278"/>
      <c r="MI1031" s="1278"/>
      <c r="MJ1031" s="1278"/>
      <c r="MK1031" s="1278"/>
      <c r="ML1031" s="1278"/>
      <c r="MM1031" s="1278"/>
      <c r="MN1031" s="1278"/>
      <c r="MO1031" s="1278"/>
      <c r="MP1031" s="1278"/>
      <c r="MQ1031" s="1278"/>
      <c r="MR1031" s="1278"/>
      <c r="MS1031" s="1278"/>
      <c r="MT1031" s="1278"/>
      <c r="MU1031" s="1278"/>
      <c r="MV1031" s="1278"/>
      <c r="MW1031" s="1278"/>
      <c r="MX1031" s="1278"/>
      <c r="MY1031" s="1278"/>
      <c r="MZ1031" s="1278"/>
      <c r="NA1031" s="1278"/>
      <c r="NB1031" s="1278"/>
      <c r="NC1031" s="1278"/>
      <c r="ND1031" s="1278"/>
      <c r="NE1031" s="1278"/>
      <c r="NF1031" s="1278"/>
      <c r="NG1031" s="1278"/>
      <c r="NH1031" s="1278"/>
      <c r="NI1031" s="1278"/>
      <c r="NJ1031" s="1278"/>
      <c r="NK1031" s="1278"/>
      <c r="NL1031" s="1278"/>
      <c r="NM1031" s="1278"/>
      <c r="NN1031" s="1278"/>
      <c r="NO1031" s="1278"/>
      <c r="NP1031" s="1278"/>
      <c r="NQ1031" s="1278"/>
      <c r="NR1031" s="1278"/>
      <c r="NS1031" s="1278"/>
      <c r="NT1031" s="1278"/>
      <c r="NU1031" s="1278"/>
      <c r="NV1031" s="1278"/>
      <c r="NW1031" s="1278"/>
      <c r="NX1031" s="1278"/>
      <c r="NY1031" s="1278"/>
      <c r="NZ1031" s="1278"/>
      <c r="OA1031" s="1278"/>
      <c r="OB1031" s="1278"/>
      <c r="OC1031" s="1278"/>
      <c r="OD1031" s="1278"/>
      <c r="OE1031" s="1278"/>
      <c r="OF1031" s="1278"/>
      <c r="OG1031" s="1278"/>
      <c r="OH1031" s="1278"/>
      <c r="OI1031" s="1278"/>
      <c r="OJ1031" s="1278"/>
      <c r="OK1031" s="1278"/>
      <c r="OL1031" s="1278"/>
      <c r="OM1031" s="1278"/>
      <c r="ON1031" s="1278"/>
      <c r="OO1031" s="1278"/>
      <c r="OP1031" s="1278"/>
      <c r="OQ1031" s="1278"/>
      <c r="OR1031" s="1278"/>
      <c r="OS1031" s="1278"/>
      <c r="OT1031" s="1278"/>
      <c r="OU1031" s="1278"/>
      <c r="OV1031" s="1278"/>
      <c r="OW1031" s="1278"/>
      <c r="OX1031" s="1278"/>
      <c r="OY1031" s="1278"/>
      <c r="OZ1031" s="1278"/>
      <c r="PA1031" s="1278"/>
      <c r="PB1031" s="1278"/>
      <c r="PC1031" s="1278"/>
      <c r="PD1031" s="1278"/>
      <c r="PE1031" s="1278"/>
      <c r="PF1031" s="1278"/>
      <c r="PG1031" s="1278"/>
      <c r="PH1031" s="1278"/>
      <c r="PI1031" s="1278"/>
      <c r="PJ1031" s="1278"/>
      <c r="PK1031" s="1278"/>
      <c r="PL1031" s="1278"/>
      <c r="PM1031" s="1278"/>
      <c r="PN1031" s="1278"/>
      <c r="PO1031" s="1278"/>
      <c r="PP1031" s="1278"/>
      <c r="PQ1031" s="1278"/>
      <c r="PR1031" s="1278"/>
      <c r="PS1031" s="1278"/>
      <c r="PT1031" s="1278"/>
      <c r="PU1031" s="1278"/>
      <c r="PV1031" s="1278"/>
      <c r="PW1031" s="1278"/>
      <c r="PX1031" s="1278"/>
      <c r="PY1031" s="1278"/>
      <c r="PZ1031" s="1278"/>
      <c r="QA1031" s="1278"/>
      <c r="QB1031" s="1278"/>
      <c r="QC1031" s="1278"/>
      <c r="QD1031" s="1278"/>
      <c r="QE1031" s="1278"/>
      <c r="QF1031" s="1278"/>
      <c r="QG1031" s="1278"/>
      <c r="QH1031" s="1278"/>
      <c r="QI1031" s="1278"/>
      <c r="QJ1031" s="1278"/>
      <c r="QK1031" s="1278"/>
      <c r="QL1031" s="1278"/>
      <c r="QM1031" s="1278"/>
      <c r="QN1031" s="1278"/>
      <c r="QO1031" s="1278"/>
      <c r="QP1031" s="1278"/>
      <c r="QQ1031" s="1278"/>
      <c r="QR1031" s="1278"/>
      <c r="QS1031" s="1278"/>
      <c r="QT1031" s="1278"/>
      <c r="QU1031" s="1278"/>
      <c r="QV1031" s="1278"/>
      <c r="QW1031" s="1278"/>
      <c r="QX1031" s="1278"/>
      <c r="QY1031" s="1278"/>
      <c r="QZ1031" s="1278"/>
      <c r="RA1031" s="1278"/>
      <c r="RB1031" s="1278"/>
      <c r="RC1031" s="1278"/>
      <c r="RD1031" s="1278"/>
      <c r="RE1031" s="1278"/>
      <c r="RF1031" s="1278"/>
      <c r="RG1031" s="1278"/>
      <c r="RH1031" s="1278"/>
      <c r="RI1031" s="1278"/>
      <c r="RJ1031" s="1278"/>
      <c r="RK1031" s="1278"/>
      <c r="RL1031" s="1278"/>
      <c r="RM1031" s="1278"/>
      <c r="RN1031" s="1278"/>
      <c r="RO1031" s="1278"/>
      <c r="RP1031" s="1278"/>
      <c r="RQ1031" s="1278"/>
      <c r="RR1031" s="1278"/>
      <c r="RS1031" s="1278"/>
      <c r="RT1031" s="1278"/>
      <c r="RU1031" s="1278"/>
      <c r="RV1031" s="1278"/>
      <c r="RW1031" s="1278"/>
      <c r="RX1031" s="1278"/>
      <c r="RY1031" s="1278"/>
      <c r="RZ1031" s="1278"/>
      <c r="SA1031" s="1278"/>
      <c r="SB1031" s="1278"/>
      <c r="SC1031" s="1278"/>
      <c r="SD1031" s="1278"/>
      <c r="SE1031" s="1278"/>
      <c r="SF1031" s="1278"/>
      <c r="SG1031" s="1278"/>
      <c r="SH1031" s="1278"/>
      <c r="SI1031" s="1278"/>
      <c r="SJ1031" s="1278"/>
      <c r="SK1031" s="1278"/>
      <c r="SL1031" s="1278"/>
      <c r="SM1031" s="1278"/>
      <c r="SN1031" s="1278"/>
      <c r="SO1031" s="1278"/>
      <c r="SP1031" s="1278"/>
      <c r="SQ1031" s="1278"/>
      <c r="SR1031" s="1278"/>
      <c r="SS1031" s="1278"/>
      <c r="ST1031" s="1278"/>
      <c r="SU1031" s="1278"/>
      <c r="SV1031" s="1278"/>
      <c r="SW1031" s="1278"/>
      <c r="SX1031" s="1278"/>
      <c r="SY1031" s="1278"/>
      <c r="SZ1031" s="1278"/>
      <c r="TA1031" s="1278"/>
      <c r="TB1031" s="1278"/>
      <c r="TC1031" s="1278"/>
      <c r="TD1031" s="1278"/>
      <c r="TE1031" s="1278"/>
      <c r="TF1031" s="1278"/>
      <c r="TG1031" s="1278"/>
      <c r="TH1031" s="1278"/>
      <c r="TI1031" s="1278"/>
      <c r="TJ1031" s="1278"/>
      <c r="TK1031" s="1278"/>
      <c r="TL1031" s="1278"/>
      <c r="TM1031" s="1278"/>
      <c r="TN1031" s="1278"/>
      <c r="TO1031" s="1278"/>
      <c r="TP1031" s="1278"/>
      <c r="TQ1031" s="1278"/>
      <c r="TR1031" s="1278"/>
      <c r="TS1031" s="1278"/>
      <c r="TT1031" s="1278"/>
      <c r="TU1031" s="1278"/>
      <c r="TV1031" s="1278"/>
      <c r="TW1031" s="1278"/>
      <c r="TX1031" s="1278"/>
      <c r="TY1031" s="1278"/>
      <c r="TZ1031" s="1278"/>
      <c r="UA1031" s="1278"/>
      <c r="UB1031" s="1278"/>
      <c r="UC1031" s="1278"/>
      <c r="UD1031" s="1278"/>
      <c r="UE1031" s="1278"/>
      <c r="UF1031" s="1278"/>
      <c r="UG1031" s="1279"/>
    </row>
    <row r="1032" spans="1:553" s="1262" customFormat="1" ht="29.25" customHeight="1">
      <c r="A1032" s="356"/>
      <c r="B1032" s="356"/>
      <c r="C1032" s="1523" t="s">
        <v>453</v>
      </c>
      <c r="D1032" s="1528"/>
      <c r="E1032" s="1528"/>
      <c r="F1032" s="1529"/>
      <c r="G1032" s="564" t="s">
        <v>193</v>
      </c>
      <c r="H1032" s="370"/>
      <c r="I1032" s="370">
        <v>1</v>
      </c>
      <c r="J1032" s="368">
        <v>297200</v>
      </c>
      <c r="K1032" s="565">
        <v>0.7</v>
      </c>
      <c r="L1032" s="571">
        <f t="shared" si="151"/>
        <v>208040</v>
      </c>
      <c r="M1032" s="356"/>
      <c r="N1032" s="356"/>
      <c r="O1032" s="356"/>
      <c r="P1032" s="356"/>
      <c r="Q1032" s="610"/>
      <c r="R1032" s="1226"/>
      <c r="S1032" s="308"/>
      <c r="T1032" s="308"/>
      <c r="U1032" s="308"/>
      <c r="V1032" s="308"/>
      <c r="W1032" s="308"/>
      <c r="X1032" s="308"/>
      <c r="Y1032" s="308"/>
      <c r="Z1032" s="604"/>
      <c r="AA1032" s="308"/>
      <c r="AB1032" s="308"/>
      <c r="AC1032" s="373"/>
      <c r="AD1032" s="373"/>
      <c r="AE1032" s="373"/>
      <c r="AF1032" s="373"/>
      <c r="AG1032" s="373"/>
      <c r="AH1032" s="373"/>
      <c r="AI1032" s="373"/>
      <c r="AJ1032" s="373"/>
      <c r="AK1032" s="389"/>
      <c r="AL1032" s="1276"/>
      <c r="AM1032" s="1277"/>
      <c r="AN1032" s="1277"/>
      <c r="AO1032" s="1277"/>
      <c r="AP1032" s="1277"/>
      <c r="AQ1032" s="1277"/>
      <c r="AR1032" s="1277"/>
      <c r="AS1032" s="1278"/>
      <c r="AT1032" s="1278"/>
      <c r="AU1032" s="1278"/>
      <c r="AV1032" s="1278"/>
      <c r="AW1032" s="1278"/>
      <c r="AX1032" s="1278"/>
      <c r="AY1032" s="1278"/>
      <c r="AZ1032" s="1278"/>
      <c r="BA1032" s="1278"/>
      <c r="BB1032" s="1278"/>
      <c r="BC1032" s="1278"/>
      <c r="BD1032" s="1278"/>
      <c r="BE1032" s="1278"/>
      <c r="BF1032" s="1278"/>
      <c r="BG1032" s="1278"/>
      <c r="BH1032" s="1278"/>
      <c r="BI1032" s="1278"/>
      <c r="BJ1032" s="1278"/>
      <c r="BK1032" s="1278"/>
      <c r="BL1032" s="1278"/>
      <c r="BM1032" s="1278"/>
      <c r="BN1032" s="1278"/>
      <c r="BO1032" s="1278"/>
      <c r="BP1032" s="1278"/>
      <c r="BQ1032" s="1278"/>
      <c r="BR1032" s="1278"/>
      <c r="BS1032" s="1278"/>
      <c r="BT1032" s="1278"/>
      <c r="BU1032" s="1278"/>
      <c r="BV1032" s="1278"/>
      <c r="BW1032" s="1278"/>
      <c r="BX1032" s="1278"/>
      <c r="BY1032" s="1278"/>
      <c r="BZ1032" s="1278"/>
      <c r="CA1032" s="1278"/>
      <c r="CB1032" s="1278"/>
      <c r="CC1032" s="1278"/>
      <c r="CD1032" s="1278"/>
      <c r="CE1032" s="1278"/>
      <c r="CF1032" s="1278"/>
      <c r="CG1032" s="1278"/>
      <c r="CH1032" s="1278"/>
      <c r="CI1032" s="1278"/>
      <c r="CJ1032" s="1278"/>
      <c r="CK1032" s="1278"/>
      <c r="CL1032" s="1278"/>
      <c r="CM1032" s="1278"/>
      <c r="CN1032" s="1278"/>
      <c r="CO1032" s="1278"/>
      <c r="CP1032" s="1278"/>
      <c r="CQ1032" s="1278"/>
      <c r="CR1032" s="1278"/>
      <c r="CS1032" s="1278"/>
      <c r="CT1032" s="1278"/>
      <c r="CU1032" s="1278"/>
      <c r="CV1032" s="1278"/>
      <c r="CW1032" s="1278"/>
      <c r="CX1032" s="1278"/>
      <c r="CY1032" s="1278"/>
      <c r="CZ1032" s="1278"/>
      <c r="DA1032" s="1278"/>
      <c r="DB1032" s="1278"/>
      <c r="DC1032" s="1278"/>
      <c r="DD1032" s="1278"/>
      <c r="DE1032" s="1278"/>
      <c r="DF1032" s="1278"/>
      <c r="DG1032" s="1278"/>
      <c r="DH1032" s="1278"/>
      <c r="DI1032" s="1278"/>
      <c r="DJ1032" s="1278"/>
      <c r="DK1032" s="1278"/>
      <c r="DL1032" s="1278"/>
      <c r="DM1032" s="1278"/>
      <c r="DN1032" s="1278"/>
      <c r="DO1032" s="1278"/>
      <c r="DP1032" s="1278"/>
      <c r="DQ1032" s="1278"/>
      <c r="DR1032" s="1278"/>
      <c r="DS1032" s="1278"/>
      <c r="DT1032" s="1278"/>
      <c r="DU1032" s="1278"/>
      <c r="DV1032" s="1278"/>
      <c r="DW1032" s="1278"/>
      <c r="DX1032" s="1278"/>
      <c r="DY1032" s="1278"/>
      <c r="DZ1032" s="1278"/>
      <c r="EA1032" s="1278"/>
      <c r="EB1032" s="1278"/>
      <c r="EC1032" s="1278"/>
      <c r="ED1032" s="1278"/>
      <c r="EE1032" s="1278"/>
      <c r="EF1032" s="1278"/>
      <c r="EG1032" s="1278"/>
      <c r="EH1032" s="1278"/>
      <c r="EI1032" s="1278"/>
      <c r="EJ1032" s="1278"/>
      <c r="EK1032" s="1278"/>
      <c r="EL1032" s="1278"/>
      <c r="EM1032" s="1278"/>
      <c r="EN1032" s="1278"/>
      <c r="EO1032" s="1278"/>
      <c r="EP1032" s="1278"/>
      <c r="EQ1032" s="1278"/>
      <c r="ER1032" s="1278"/>
      <c r="ES1032" s="1278"/>
      <c r="ET1032" s="1278"/>
      <c r="EU1032" s="1278"/>
      <c r="EV1032" s="1278"/>
      <c r="EW1032" s="1278"/>
      <c r="EX1032" s="1278"/>
      <c r="EY1032" s="1278"/>
      <c r="EZ1032" s="1278"/>
      <c r="FA1032" s="1278"/>
      <c r="FB1032" s="1278"/>
      <c r="FC1032" s="1278"/>
      <c r="FD1032" s="1278"/>
      <c r="FE1032" s="1278"/>
      <c r="FF1032" s="1278"/>
      <c r="FG1032" s="1278"/>
      <c r="FH1032" s="1278"/>
      <c r="FI1032" s="1278"/>
      <c r="FJ1032" s="1278"/>
      <c r="FK1032" s="1278"/>
      <c r="FL1032" s="1278"/>
      <c r="FM1032" s="1278"/>
      <c r="FN1032" s="1278"/>
      <c r="FO1032" s="1278"/>
      <c r="FP1032" s="1278"/>
      <c r="FQ1032" s="1278"/>
      <c r="FR1032" s="1278"/>
      <c r="FS1032" s="1278"/>
      <c r="FT1032" s="1278"/>
      <c r="FU1032" s="1278"/>
      <c r="FV1032" s="1278"/>
      <c r="FW1032" s="1278"/>
      <c r="FX1032" s="1278"/>
      <c r="FY1032" s="1278"/>
      <c r="FZ1032" s="1278"/>
      <c r="GA1032" s="1278"/>
      <c r="GB1032" s="1278"/>
      <c r="GC1032" s="1278"/>
      <c r="GD1032" s="1278"/>
      <c r="GE1032" s="1278"/>
      <c r="GF1032" s="1278"/>
      <c r="GG1032" s="1278"/>
      <c r="GH1032" s="1278"/>
      <c r="GI1032" s="1278"/>
      <c r="GJ1032" s="1278"/>
      <c r="GK1032" s="1278"/>
      <c r="GL1032" s="1278"/>
      <c r="GM1032" s="1278"/>
      <c r="GN1032" s="1278"/>
      <c r="GO1032" s="1278"/>
      <c r="GP1032" s="1278"/>
      <c r="GQ1032" s="1278"/>
      <c r="GR1032" s="1278"/>
      <c r="GS1032" s="1278"/>
      <c r="GT1032" s="1278"/>
      <c r="GU1032" s="1278"/>
      <c r="GV1032" s="1278"/>
      <c r="GW1032" s="1278"/>
      <c r="GX1032" s="1278"/>
      <c r="GY1032" s="1278"/>
      <c r="GZ1032" s="1278"/>
      <c r="HA1032" s="1278"/>
      <c r="HB1032" s="1278"/>
      <c r="HC1032" s="1278"/>
      <c r="HD1032" s="1278"/>
      <c r="HE1032" s="1278"/>
      <c r="HF1032" s="1278"/>
      <c r="HG1032" s="1278"/>
      <c r="HH1032" s="1278"/>
      <c r="HI1032" s="1278"/>
      <c r="HJ1032" s="1278"/>
      <c r="HK1032" s="1278"/>
      <c r="HL1032" s="1278"/>
      <c r="HM1032" s="1278"/>
      <c r="HN1032" s="1278"/>
      <c r="HO1032" s="1278"/>
      <c r="HP1032" s="1278"/>
      <c r="HQ1032" s="1278"/>
      <c r="HR1032" s="1278"/>
      <c r="HS1032" s="1278"/>
      <c r="HT1032" s="1278"/>
      <c r="HU1032" s="1278"/>
      <c r="HV1032" s="1278"/>
      <c r="HW1032" s="1278"/>
      <c r="HX1032" s="1278"/>
      <c r="HY1032" s="1278"/>
      <c r="HZ1032" s="1278"/>
      <c r="IA1032" s="1278"/>
      <c r="IB1032" s="1278"/>
      <c r="IC1032" s="1278"/>
      <c r="ID1032" s="1278"/>
      <c r="IE1032" s="1278"/>
      <c r="IF1032" s="1278"/>
      <c r="IG1032" s="1278"/>
      <c r="IH1032" s="1278"/>
      <c r="II1032" s="1278"/>
      <c r="IJ1032" s="1278"/>
      <c r="IK1032" s="1278"/>
      <c r="IL1032" s="1278"/>
      <c r="IM1032" s="1278"/>
      <c r="IN1032" s="1278"/>
      <c r="IO1032" s="1278"/>
      <c r="IP1032" s="1278"/>
      <c r="IQ1032" s="1278"/>
      <c r="IR1032" s="1278"/>
      <c r="IS1032" s="1278"/>
      <c r="IT1032" s="1278"/>
      <c r="IU1032" s="1278"/>
      <c r="IV1032" s="1278"/>
      <c r="IW1032" s="1278"/>
      <c r="IX1032" s="1278"/>
      <c r="IY1032" s="1278"/>
      <c r="IZ1032" s="1278"/>
      <c r="JA1032" s="1278"/>
      <c r="JB1032" s="1278"/>
      <c r="JC1032" s="1278"/>
      <c r="JD1032" s="1278"/>
      <c r="JE1032" s="1278"/>
      <c r="JF1032" s="1278"/>
      <c r="JG1032" s="1278"/>
      <c r="JH1032" s="1278"/>
      <c r="JI1032" s="1278"/>
      <c r="JJ1032" s="1278"/>
      <c r="JK1032" s="1278"/>
      <c r="JL1032" s="1278"/>
      <c r="JM1032" s="1278"/>
      <c r="JN1032" s="1278"/>
      <c r="JO1032" s="1278"/>
      <c r="JP1032" s="1278"/>
      <c r="JQ1032" s="1278"/>
      <c r="JR1032" s="1278"/>
      <c r="JS1032" s="1278"/>
      <c r="JT1032" s="1278"/>
      <c r="JU1032" s="1278"/>
      <c r="JV1032" s="1278"/>
      <c r="JW1032" s="1278"/>
      <c r="JX1032" s="1278"/>
      <c r="JY1032" s="1278"/>
      <c r="JZ1032" s="1278"/>
      <c r="KA1032" s="1278"/>
      <c r="KB1032" s="1278"/>
      <c r="KC1032" s="1278"/>
      <c r="KD1032" s="1278"/>
      <c r="KE1032" s="1278"/>
      <c r="KF1032" s="1278"/>
      <c r="KG1032" s="1278"/>
      <c r="KH1032" s="1278"/>
      <c r="KI1032" s="1278"/>
      <c r="KJ1032" s="1278"/>
      <c r="KK1032" s="1278"/>
      <c r="KL1032" s="1278"/>
      <c r="KM1032" s="1278"/>
      <c r="KN1032" s="1278"/>
      <c r="KO1032" s="1278"/>
      <c r="KP1032" s="1278"/>
      <c r="KQ1032" s="1278"/>
      <c r="KR1032" s="1278"/>
      <c r="KS1032" s="1278"/>
      <c r="KT1032" s="1278"/>
      <c r="KU1032" s="1278"/>
      <c r="KV1032" s="1278"/>
      <c r="KW1032" s="1278"/>
      <c r="KX1032" s="1278"/>
      <c r="KY1032" s="1278"/>
      <c r="KZ1032" s="1278"/>
      <c r="LA1032" s="1278"/>
      <c r="LB1032" s="1278"/>
      <c r="LC1032" s="1278"/>
      <c r="LD1032" s="1278"/>
      <c r="LE1032" s="1278"/>
      <c r="LF1032" s="1278"/>
      <c r="LG1032" s="1278"/>
      <c r="LH1032" s="1278"/>
      <c r="LI1032" s="1278"/>
      <c r="LJ1032" s="1278"/>
      <c r="LK1032" s="1278"/>
      <c r="LL1032" s="1278"/>
      <c r="LM1032" s="1278"/>
      <c r="LN1032" s="1278"/>
      <c r="LO1032" s="1278"/>
      <c r="LP1032" s="1278"/>
      <c r="LQ1032" s="1278"/>
      <c r="LR1032" s="1278"/>
      <c r="LS1032" s="1278"/>
      <c r="LT1032" s="1278"/>
      <c r="LU1032" s="1278"/>
      <c r="LV1032" s="1278"/>
      <c r="LW1032" s="1278"/>
      <c r="LX1032" s="1278"/>
      <c r="LY1032" s="1278"/>
      <c r="LZ1032" s="1278"/>
      <c r="MA1032" s="1278"/>
      <c r="MB1032" s="1278"/>
      <c r="MC1032" s="1278"/>
      <c r="MD1032" s="1278"/>
      <c r="ME1032" s="1278"/>
      <c r="MF1032" s="1278"/>
      <c r="MG1032" s="1278"/>
      <c r="MH1032" s="1278"/>
      <c r="MI1032" s="1278"/>
      <c r="MJ1032" s="1278"/>
      <c r="MK1032" s="1278"/>
      <c r="ML1032" s="1278"/>
      <c r="MM1032" s="1278"/>
      <c r="MN1032" s="1278"/>
      <c r="MO1032" s="1278"/>
      <c r="MP1032" s="1278"/>
      <c r="MQ1032" s="1278"/>
      <c r="MR1032" s="1278"/>
      <c r="MS1032" s="1278"/>
      <c r="MT1032" s="1278"/>
      <c r="MU1032" s="1278"/>
      <c r="MV1032" s="1278"/>
      <c r="MW1032" s="1278"/>
      <c r="MX1032" s="1278"/>
      <c r="MY1032" s="1278"/>
      <c r="MZ1032" s="1278"/>
      <c r="NA1032" s="1278"/>
      <c r="NB1032" s="1278"/>
      <c r="NC1032" s="1278"/>
      <c r="ND1032" s="1278"/>
      <c r="NE1032" s="1278"/>
      <c r="NF1032" s="1278"/>
      <c r="NG1032" s="1278"/>
      <c r="NH1032" s="1278"/>
      <c r="NI1032" s="1278"/>
      <c r="NJ1032" s="1278"/>
      <c r="NK1032" s="1278"/>
      <c r="NL1032" s="1278"/>
      <c r="NM1032" s="1278"/>
      <c r="NN1032" s="1278"/>
      <c r="NO1032" s="1278"/>
      <c r="NP1032" s="1278"/>
      <c r="NQ1032" s="1278"/>
      <c r="NR1032" s="1278"/>
      <c r="NS1032" s="1278"/>
      <c r="NT1032" s="1278"/>
      <c r="NU1032" s="1278"/>
      <c r="NV1032" s="1278"/>
      <c r="NW1032" s="1278"/>
      <c r="NX1032" s="1278"/>
      <c r="NY1032" s="1278"/>
      <c r="NZ1032" s="1278"/>
      <c r="OA1032" s="1278"/>
      <c r="OB1032" s="1278"/>
      <c r="OC1032" s="1278"/>
      <c r="OD1032" s="1278"/>
      <c r="OE1032" s="1278"/>
      <c r="OF1032" s="1278"/>
      <c r="OG1032" s="1278"/>
      <c r="OH1032" s="1278"/>
      <c r="OI1032" s="1278"/>
      <c r="OJ1032" s="1278"/>
      <c r="OK1032" s="1278"/>
      <c r="OL1032" s="1278"/>
      <c r="OM1032" s="1278"/>
      <c r="ON1032" s="1278"/>
      <c r="OO1032" s="1278"/>
      <c r="OP1032" s="1278"/>
      <c r="OQ1032" s="1278"/>
      <c r="OR1032" s="1278"/>
      <c r="OS1032" s="1278"/>
      <c r="OT1032" s="1278"/>
      <c r="OU1032" s="1278"/>
      <c r="OV1032" s="1278"/>
      <c r="OW1032" s="1278"/>
      <c r="OX1032" s="1278"/>
      <c r="OY1032" s="1278"/>
      <c r="OZ1032" s="1278"/>
      <c r="PA1032" s="1278"/>
      <c r="PB1032" s="1278"/>
      <c r="PC1032" s="1278"/>
      <c r="PD1032" s="1278"/>
      <c r="PE1032" s="1278"/>
      <c r="PF1032" s="1278"/>
      <c r="PG1032" s="1278"/>
      <c r="PH1032" s="1278"/>
      <c r="PI1032" s="1278"/>
      <c r="PJ1032" s="1278"/>
      <c r="PK1032" s="1278"/>
      <c r="PL1032" s="1278"/>
      <c r="PM1032" s="1278"/>
      <c r="PN1032" s="1278"/>
      <c r="PO1032" s="1278"/>
      <c r="PP1032" s="1278"/>
      <c r="PQ1032" s="1278"/>
      <c r="PR1032" s="1278"/>
      <c r="PS1032" s="1278"/>
      <c r="PT1032" s="1278"/>
      <c r="PU1032" s="1278"/>
      <c r="PV1032" s="1278"/>
      <c r="PW1032" s="1278"/>
      <c r="PX1032" s="1278"/>
      <c r="PY1032" s="1278"/>
      <c r="PZ1032" s="1278"/>
      <c r="QA1032" s="1278"/>
      <c r="QB1032" s="1278"/>
      <c r="QC1032" s="1278"/>
      <c r="QD1032" s="1278"/>
      <c r="QE1032" s="1278"/>
      <c r="QF1032" s="1278"/>
      <c r="QG1032" s="1278"/>
      <c r="QH1032" s="1278"/>
      <c r="QI1032" s="1278"/>
      <c r="QJ1032" s="1278"/>
      <c r="QK1032" s="1278"/>
      <c r="QL1032" s="1278"/>
      <c r="QM1032" s="1278"/>
      <c r="QN1032" s="1278"/>
      <c r="QO1032" s="1278"/>
      <c r="QP1032" s="1278"/>
      <c r="QQ1032" s="1278"/>
      <c r="QR1032" s="1278"/>
      <c r="QS1032" s="1278"/>
      <c r="QT1032" s="1278"/>
      <c r="QU1032" s="1278"/>
      <c r="QV1032" s="1278"/>
      <c r="QW1032" s="1278"/>
      <c r="QX1032" s="1278"/>
      <c r="QY1032" s="1278"/>
      <c r="QZ1032" s="1278"/>
      <c r="RA1032" s="1278"/>
      <c r="RB1032" s="1278"/>
      <c r="RC1032" s="1278"/>
      <c r="RD1032" s="1278"/>
      <c r="RE1032" s="1278"/>
      <c r="RF1032" s="1278"/>
      <c r="RG1032" s="1278"/>
      <c r="RH1032" s="1278"/>
      <c r="RI1032" s="1278"/>
      <c r="RJ1032" s="1278"/>
      <c r="RK1032" s="1278"/>
      <c r="RL1032" s="1278"/>
      <c r="RM1032" s="1278"/>
      <c r="RN1032" s="1278"/>
      <c r="RO1032" s="1278"/>
      <c r="RP1032" s="1278"/>
      <c r="RQ1032" s="1278"/>
      <c r="RR1032" s="1278"/>
      <c r="RS1032" s="1278"/>
      <c r="RT1032" s="1278"/>
      <c r="RU1032" s="1278"/>
      <c r="RV1032" s="1278"/>
      <c r="RW1032" s="1278"/>
      <c r="RX1032" s="1278"/>
      <c r="RY1032" s="1278"/>
      <c r="RZ1032" s="1278"/>
      <c r="SA1032" s="1278"/>
      <c r="SB1032" s="1278"/>
      <c r="SC1032" s="1278"/>
      <c r="SD1032" s="1278"/>
      <c r="SE1032" s="1278"/>
      <c r="SF1032" s="1278"/>
      <c r="SG1032" s="1278"/>
      <c r="SH1032" s="1278"/>
      <c r="SI1032" s="1278"/>
      <c r="SJ1032" s="1278"/>
      <c r="SK1032" s="1278"/>
      <c r="SL1032" s="1278"/>
      <c r="SM1032" s="1278"/>
      <c r="SN1032" s="1278"/>
      <c r="SO1032" s="1278"/>
      <c r="SP1032" s="1278"/>
      <c r="SQ1032" s="1278"/>
      <c r="SR1032" s="1278"/>
      <c r="SS1032" s="1278"/>
      <c r="ST1032" s="1278"/>
      <c r="SU1032" s="1278"/>
      <c r="SV1032" s="1278"/>
      <c r="SW1032" s="1278"/>
      <c r="SX1032" s="1278"/>
      <c r="SY1032" s="1278"/>
      <c r="SZ1032" s="1278"/>
      <c r="TA1032" s="1278"/>
      <c r="TB1032" s="1278"/>
      <c r="TC1032" s="1278"/>
      <c r="TD1032" s="1278"/>
      <c r="TE1032" s="1278"/>
      <c r="TF1032" s="1278"/>
      <c r="TG1032" s="1278"/>
      <c r="TH1032" s="1278"/>
      <c r="TI1032" s="1278"/>
      <c r="TJ1032" s="1278"/>
      <c r="TK1032" s="1278"/>
      <c r="TL1032" s="1278"/>
      <c r="TM1032" s="1278"/>
      <c r="TN1032" s="1278"/>
      <c r="TO1032" s="1278"/>
      <c r="TP1032" s="1278"/>
      <c r="TQ1032" s="1278"/>
      <c r="TR1032" s="1278"/>
      <c r="TS1032" s="1278"/>
      <c r="TT1032" s="1278"/>
      <c r="TU1032" s="1278"/>
      <c r="TV1032" s="1278"/>
      <c r="TW1032" s="1278"/>
      <c r="TX1032" s="1278"/>
      <c r="TY1032" s="1278"/>
      <c r="TZ1032" s="1278"/>
      <c r="UA1032" s="1278"/>
      <c r="UB1032" s="1278"/>
      <c r="UC1032" s="1278"/>
      <c r="UD1032" s="1278"/>
      <c r="UE1032" s="1278"/>
      <c r="UF1032" s="1278"/>
      <c r="UG1032" s="1279"/>
    </row>
    <row r="1033" spans="1:553" s="1262" customFormat="1" ht="29.25" customHeight="1">
      <c r="A1033" s="356"/>
      <c r="B1033" s="356"/>
      <c r="C1033" s="1523" t="s">
        <v>591</v>
      </c>
      <c r="D1033" s="1528"/>
      <c r="E1033" s="1528"/>
      <c r="F1033" s="1529"/>
      <c r="G1033" s="418" t="s">
        <v>46</v>
      </c>
      <c r="H1033" s="370"/>
      <c r="I1033" s="370">
        <f>(161.02*100/400)*(12-(4-3))*2</f>
        <v>885.61</v>
      </c>
      <c r="J1033" s="368">
        <v>10600</v>
      </c>
      <c r="K1033" s="565">
        <v>0.7</v>
      </c>
      <c r="L1033" s="571">
        <f t="shared" si="151"/>
        <v>6571226.1999999993</v>
      </c>
      <c r="M1033" s="356"/>
      <c r="N1033" s="356"/>
      <c r="O1033" s="356"/>
      <c r="P1033" s="356"/>
      <c r="Q1033" s="610"/>
      <c r="R1033" s="1226"/>
      <c r="S1033" s="308"/>
      <c r="T1033" s="308"/>
      <c r="U1033" s="308"/>
      <c r="V1033" s="308"/>
      <c r="W1033" s="308"/>
      <c r="X1033" s="308"/>
      <c r="Y1033" s="308"/>
      <c r="Z1033" s="604"/>
      <c r="AA1033" s="308"/>
      <c r="AB1033" s="308"/>
      <c r="AC1033" s="373"/>
      <c r="AD1033" s="373"/>
      <c r="AE1033" s="373"/>
      <c r="AF1033" s="373"/>
      <c r="AG1033" s="373"/>
      <c r="AH1033" s="373"/>
      <c r="AI1033" s="373"/>
      <c r="AJ1033" s="373"/>
      <c r="AK1033" s="389"/>
      <c r="AL1033" s="1276"/>
      <c r="AM1033" s="1277"/>
      <c r="AN1033" s="1277"/>
      <c r="AO1033" s="1277"/>
      <c r="AP1033" s="1277"/>
      <c r="AQ1033" s="1277"/>
      <c r="AR1033" s="1277"/>
      <c r="AS1033" s="1278"/>
      <c r="AT1033" s="1278"/>
      <c r="AU1033" s="1278"/>
      <c r="AV1033" s="1278"/>
      <c r="AW1033" s="1278"/>
      <c r="AX1033" s="1278"/>
      <c r="AY1033" s="1278"/>
      <c r="AZ1033" s="1278"/>
      <c r="BA1033" s="1278"/>
      <c r="BB1033" s="1278"/>
      <c r="BC1033" s="1278"/>
      <c r="BD1033" s="1278"/>
      <c r="BE1033" s="1278"/>
      <c r="BF1033" s="1278"/>
      <c r="BG1033" s="1278"/>
      <c r="BH1033" s="1278"/>
      <c r="BI1033" s="1278"/>
      <c r="BJ1033" s="1278"/>
      <c r="BK1033" s="1278"/>
      <c r="BL1033" s="1278"/>
      <c r="BM1033" s="1278"/>
      <c r="BN1033" s="1278"/>
      <c r="BO1033" s="1278"/>
      <c r="BP1033" s="1278"/>
      <c r="BQ1033" s="1278"/>
      <c r="BR1033" s="1278"/>
      <c r="BS1033" s="1278"/>
      <c r="BT1033" s="1278"/>
      <c r="BU1033" s="1278"/>
      <c r="BV1033" s="1278"/>
      <c r="BW1033" s="1278"/>
      <c r="BX1033" s="1278"/>
      <c r="BY1033" s="1278"/>
      <c r="BZ1033" s="1278"/>
      <c r="CA1033" s="1278"/>
      <c r="CB1033" s="1278"/>
      <c r="CC1033" s="1278"/>
      <c r="CD1033" s="1278"/>
      <c r="CE1033" s="1278"/>
      <c r="CF1033" s="1278"/>
      <c r="CG1033" s="1278"/>
      <c r="CH1033" s="1278"/>
      <c r="CI1033" s="1278"/>
      <c r="CJ1033" s="1278"/>
      <c r="CK1033" s="1278"/>
      <c r="CL1033" s="1278"/>
      <c r="CM1033" s="1278"/>
      <c r="CN1033" s="1278"/>
      <c r="CO1033" s="1278"/>
      <c r="CP1033" s="1278"/>
      <c r="CQ1033" s="1278"/>
      <c r="CR1033" s="1278"/>
      <c r="CS1033" s="1278"/>
      <c r="CT1033" s="1278"/>
      <c r="CU1033" s="1278"/>
      <c r="CV1033" s="1278"/>
      <c r="CW1033" s="1278"/>
      <c r="CX1033" s="1278"/>
      <c r="CY1033" s="1278"/>
      <c r="CZ1033" s="1278"/>
      <c r="DA1033" s="1278"/>
      <c r="DB1033" s="1278"/>
      <c r="DC1033" s="1278"/>
      <c r="DD1033" s="1278"/>
      <c r="DE1033" s="1278"/>
      <c r="DF1033" s="1278"/>
      <c r="DG1033" s="1278"/>
      <c r="DH1033" s="1278"/>
      <c r="DI1033" s="1278"/>
      <c r="DJ1033" s="1278"/>
      <c r="DK1033" s="1278"/>
      <c r="DL1033" s="1278"/>
      <c r="DM1033" s="1278"/>
      <c r="DN1033" s="1278"/>
      <c r="DO1033" s="1278"/>
      <c r="DP1033" s="1278"/>
      <c r="DQ1033" s="1278"/>
      <c r="DR1033" s="1278"/>
      <c r="DS1033" s="1278"/>
      <c r="DT1033" s="1278"/>
      <c r="DU1033" s="1278"/>
      <c r="DV1033" s="1278"/>
      <c r="DW1033" s="1278"/>
      <c r="DX1033" s="1278"/>
      <c r="DY1033" s="1278"/>
      <c r="DZ1033" s="1278"/>
      <c r="EA1033" s="1278"/>
      <c r="EB1033" s="1278"/>
      <c r="EC1033" s="1278"/>
      <c r="ED1033" s="1278"/>
      <c r="EE1033" s="1278"/>
      <c r="EF1033" s="1278"/>
      <c r="EG1033" s="1278"/>
      <c r="EH1033" s="1278"/>
      <c r="EI1033" s="1278"/>
      <c r="EJ1033" s="1278"/>
      <c r="EK1033" s="1278"/>
      <c r="EL1033" s="1278"/>
      <c r="EM1033" s="1278"/>
      <c r="EN1033" s="1278"/>
      <c r="EO1033" s="1278"/>
      <c r="EP1033" s="1278"/>
      <c r="EQ1033" s="1278"/>
      <c r="ER1033" s="1278"/>
      <c r="ES1033" s="1278"/>
      <c r="ET1033" s="1278"/>
      <c r="EU1033" s="1278"/>
      <c r="EV1033" s="1278"/>
      <c r="EW1033" s="1278"/>
      <c r="EX1033" s="1278"/>
      <c r="EY1033" s="1278"/>
      <c r="EZ1033" s="1278"/>
      <c r="FA1033" s="1278"/>
      <c r="FB1033" s="1278"/>
      <c r="FC1033" s="1278"/>
      <c r="FD1033" s="1278"/>
      <c r="FE1033" s="1278"/>
      <c r="FF1033" s="1278"/>
      <c r="FG1033" s="1278"/>
      <c r="FH1033" s="1278"/>
      <c r="FI1033" s="1278"/>
      <c r="FJ1033" s="1278"/>
      <c r="FK1033" s="1278"/>
      <c r="FL1033" s="1278"/>
      <c r="FM1033" s="1278"/>
      <c r="FN1033" s="1278"/>
      <c r="FO1033" s="1278"/>
      <c r="FP1033" s="1278"/>
      <c r="FQ1033" s="1278"/>
      <c r="FR1033" s="1278"/>
      <c r="FS1033" s="1278"/>
      <c r="FT1033" s="1278"/>
      <c r="FU1033" s="1278"/>
      <c r="FV1033" s="1278"/>
      <c r="FW1033" s="1278"/>
      <c r="FX1033" s="1278"/>
      <c r="FY1033" s="1278"/>
      <c r="FZ1033" s="1278"/>
      <c r="GA1033" s="1278"/>
      <c r="GB1033" s="1278"/>
      <c r="GC1033" s="1278"/>
      <c r="GD1033" s="1278"/>
      <c r="GE1033" s="1278"/>
      <c r="GF1033" s="1278"/>
      <c r="GG1033" s="1278"/>
      <c r="GH1033" s="1278"/>
      <c r="GI1033" s="1278"/>
      <c r="GJ1033" s="1278"/>
      <c r="GK1033" s="1278"/>
      <c r="GL1033" s="1278"/>
      <c r="GM1033" s="1278"/>
      <c r="GN1033" s="1278"/>
      <c r="GO1033" s="1278"/>
      <c r="GP1033" s="1278"/>
      <c r="GQ1033" s="1278"/>
      <c r="GR1033" s="1278"/>
      <c r="GS1033" s="1278"/>
      <c r="GT1033" s="1278"/>
      <c r="GU1033" s="1278"/>
      <c r="GV1033" s="1278"/>
      <c r="GW1033" s="1278"/>
      <c r="GX1033" s="1278"/>
      <c r="GY1033" s="1278"/>
      <c r="GZ1033" s="1278"/>
      <c r="HA1033" s="1278"/>
      <c r="HB1033" s="1278"/>
      <c r="HC1033" s="1278"/>
      <c r="HD1033" s="1278"/>
      <c r="HE1033" s="1278"/>
      <c r="HF1033" s="1278"/>
      <c r="HG1033" s="1278"/>
      <c r="HH1033" s="1278"/>
      <c r="HI1033" s="1278"/>
      <c r="HJ1033" s="1278"/>
      <c r="HK1033" s="1278"/>
      <c r="HL1033" s="1278"/>
      <c r="HM1033" s="1278"/>
      <c r="HN1033" s="1278"/>
      <c r="HO1033" s="1278"/>
      <c r="HP1033" s="1278"/>
      <c r="HQ1033" s="1278"/>
      <c r="HR1033" s="1278"/>
      <c r="HS1033" s="1278"/>
      <c r="HT1033" s="1278"/>
      <c r="HU1033" s="1278"/>
      <c r="HV1033" s="1278"/>
      <c r="HW1033" s="1278"/>
      <c r="HX1033" s="1278"/>
      <c r="HY1033" s="1278"/>
      <c r="HZ1033" s="1278"/>
      <c r="IA1033" s="1278"/>
      <c r="IB1033" s="1278"/>
      <c r="IC1033" s="1278"/>
      <c r="ID1033" s="1278"/>
      <c r="IE1033" s="1278"/>
      <c r="IF1033" s="1278"/>
      <c r="IG1033" s="1278"/>
      <c r="IH1033" s="1278"/>
      <c r="II1033" s="1278"/>
      <c r="IJ1033" s="1278"/>
      <c r="IK1033" s="1278"/>
      <c r="IL1033" s="1278"/>
      <c r="IM1033" s="1278"/>
      <c r="IN1033" s="1278"/>
      <c r="IO1033" s="1278"/>
      <c r="IP1033" s="1278"/>
      <c r="IQ1033" s="1278"/>
      <c r="IR1033" s="1278"/>
      <c r="IS1033" s="1278"/>
      <c r="IT1033" s="1278"/>
      <c r="IU1033" s="1278"/>
      <c r="IV1033" s="1278"/>
      <c r="IW1033" s="1278"/>
      <c r="IX1033" s="1278"/>
      <c r="IY1033" s="1278"/>
      <c r="IZ1033" s="1278"/>
      <c r="JA1033" s="1278"/>
      <c r="JB1033" s="1278"/>
      <c r="JC1033" s="1278"/>
      <c r="JD1033" s="1278"/>
      <c r="JE1033" s="1278"/>
      <c r="JF1033" s="1278"/>
      <c r="JG1033" s="1278"/>
      <c r="JH1033" s="1278"/>
      <c r="JI1033" s="1278"/>
      <c r="JJ1033" s="1278"/>
      <c r="JK1033" s="1278"/>
      <c r="JL1033" s="1278"/>
      <c r="JM1033" s="1278"/>
      <c r="JN1033" s="1278"/>
      <c r="JO1033" s="1278"/>
      <c r="JP1033" s="1278"/>
      <c r="JQ1033" s="1278"/>
      <c r="JR1033" s="1278"/>
      <c r="JS1033" s="1278"/>
      <c r="JT1033" s="1278"/>
      <c r="JU1033" s="1278"/>
      <c r="JV1033" s="1278"/>
      <c r="JW1033" s="1278"/>
      <c r="JX1033" s="1278"/>
      <c r="JY1033" s="1278"/>
      <c r="JZ1033" s="1278"/>
      <c r="KA1033" s="1278"/>
      <c r="KB1033" s="1278"/>
      <c r="KC1033" s="1278"/>
      <c r="KD1033" s="1278"/>
      <c r="KE1033" s="1278"/>
      <c r="KF1033" s="1278"/>
      <c r="KG1033" s="1278"/>
      <c r="KH1033" s="1278"/>
      <c r="KI1033" s="1278"/>
      <c r="KJ1033" s="1278"/>
      <c r="KK1033" s="1278"/>
      <c r="KL1033" s="1278"/>
      <c r="KM1033" s="1278"/>
      <c r="KN1033" s="1278"/>
      <c r="KO1033" s="1278"/>
      <c r="KP1033" s="1278"/>
      <c r="KQ1033" s="1278"/>
      <c r="KR1033" s="1278"/>
      <c r="KS1033" s="1278"/>
      <c r="KT1033" s="1278"/>
      <c r="KU1033" s="1278"/>
      <c r="KV1033" s="1278"/>
      <c r="KW1033" s="1278"/>
      <c r="KX1033" s="1278"/>
      <c r="KY1033" s="1278"/>
      <c r="KZ1033" s="1278"/>
      <c r="LA1033" s="1278"/>
      <c r="LB1033" s="1278"/>
      <c r="LC1033" s="1278"/>
      <c r="LD1033" s="1278"/>
      <c r="LE1033" s="1278"/>
      <c r="LF1033" s="1278"/>
      <c r="LG1033" s="1278"/>
      <c r="LH1033" s="1278"/>
      <c r="LI1033" s="1278"/>
      <c r="LJ1033" s="1278"/>
      <c r="LK1033" s="1278"/>
      <c r="LL1033" s="1278"/>
      <c r="LM1033" s="1278"/>
      <c r="LN1033" s="1278"/>
      <c r="LO1033" s="1278"/>
      <c r="LP1033" s="1278"/>
      <c r="LQ1033" s="1278"/>
      <c r="LR1033" s="1278"/>
      <c r="LS1033" s="1278"/>
      <c r="LT1033" s="1278"/>
      <c r="LU1033" s="1278"/>
      <c r="LV1033" s="1278"/>
      <c r="LW1033" s="1278"/>
      <c r="LX1033" s="1278"/>
      <c r="LY1033" s="1278"/>
      <c r="LZ1033" s="1278"/>
      <c r="MA1033" s="1278"/>
      <c r="MB1033" s="1278"/>
      <c r="MC1033" s="1278"/>
      <c r="MD1033" s="1278"/>
      <c r="ME1033" s="1278"/>
      <c r="MF1033" s="1278"/>
      <c r="MG1033" s="1278"/>
      <c r="MH1033" s="1278"/>
      <c r="MI1033" s="1278"/>
      <c r="MJ1033" s="1278"/>
      <c r="MK1033" s="1278"/>
      <c r="ML1033" s="1278"/>
      <c r="MM1033" s="1278"/>
      <c r="MN1033" s="1278"/>
      <c r="MO1033" s="1278"/>
      <c r="MP1033" s="1278"/>
      <c r="MQ1033" s="1278"/>
      <c r="MR1033" s="1278"/>
      <c r="MS1033" s="1278"/>
      <c r="MT1033" s="1278"/>
      <c r="MU1033" s="1278"/>
      <c r="MV1033" s="1278"/>
      <c r="MW1033" s="1278"/>
      <c r="MX1033" s="1278"/>
      <c r="MY1033" s="1278"/>
      <c r="MZ1033" s="1278"/>
      <c r="NA1033" s="1278"/>
      <c r="NB1033" s="1278"/>
      <c r="NC1033" s="1278"/>
      <c r="ND1033" s="1278"/>
      <c r="NE1033" s="1278"/>
      <c r="NF1033" s="1278"/>
      <c r="NG1033" s="1278"/>
      <c r="NH1033" s="1278"/>
      <c r="NI1033" s="1278"/>
      <c r="NJ1033" s="1278"/>
      <c r="NK1033" s="1278"/>
      <c r="NL1033" s="1278"/>
      <c r="NM1033" s="1278"/>
      <c r="NN1033" s="1278"/>
      <c r="NO1033" s="1278"/>
      <c r="NP1033" s="1278"/>
      <c r="NQ1033" s="1278"/>
      <c r="NR1033" s="1278"/>
      <c r="NS1033" s="1278"/>
      <c r="NT1033" s="1278"/>
      <c r="NU1033" s="1278"/>
      <c r="NV1033" s="1278"/>
      <c r="NW1033" s="1278"/>
      <c r="NX1033" s="1278"/>
      <c r="NY1033" s="1278"/>
      <c r="NZ1033" s="1278"/>
      <c r="OA1033" s="1278"/>
      <c r="OB1033" s="1278"/>
      <c r="OC1033" s="1278"/>
      <c r="OD1033" s="1278"/>
      <c r="OE1033" s="1278"/>
      <c r="OF1033" s="1278"/>
      <c r="OG1033" s="1278"/>
      <c r="OH1033" s="1278"/>
      <c r="OI1033" s="1278"/>
      <c r="OJ1033" s="1278"/>
      <c r="OK1033" s="1278"/>
      <c r="OL1033" s="1278"/>
      <c r="OM1033" s="1278"/>
      <c r="ON1033" s="1278"/>
      <c r="OO1033" s="1278"/>
      <c r="OP1033" s="1278"/>
      <c r="OQ1033" s="1278"/>
      <c r="OR1033" s="1278"/>
      <c r="OS1033" s="1278"/>
      <c r="OT1033" s="1278"/>
      <c r="OU1033" s="1278"/>
      <c r="OV1033" s="1278"/>
      <c r="OW1033" s="1278"/>
      <c r="OX1033" s="1278"/>
      <c r="OY1033" s="1278"/>
      <c r="OZ1033" s="1278"/>
      <c r="PA1033" s="1278"/>
      <c r="PB1033" s="1278"/>
      <c r="PC1033" s="1278"/>
      <c r="PD1033" s="1278"/>
      <c r="PE1033" s="1278"/>
      <c r="PF1033" s="1278"/>
      <c r="PG1033" s="1278"/>
      <c r="PH1033" s="1278"/>
      <c r="PI1033" s="1278"/>
      <c r="PJ1033" s="1278"/>
      <c r="PK1033" s="1278"/>
      <c r="PL1033" s="1278"/>
      <c r="PM1033" s="1278"/>
      <c r="PN1033" s="1278"/>
      <c r="PO1033" s="1278"/>
      <c r="PP1033" s="1278"/>
      <c r="PQ1033" s="1278"/>
      <c r="PR1033" s="1278"/>
      <c r="PS1033" s="1278"/>
      <c r="PT1033" s="1278"/>
      <c r="PU1033" s="1278"/>
      <c r="PV1033" s="1278"/>
      <c r="PW1033" s="1278"/>
      <c r="PX1033" s="1278"/>
      <c r="PY1033" s="1278"/>
      <c r="PZ1033" s="1278"/>
      <c r="QA1033" s="1278"/>
      <c r="QB1033" s="1278"/>
      <c r="QC1033" s="1278"/>
      <c r="QD1033" s="1278"/>
      <c r="QE1033" s="1278"/>
      <c r="QF1033" s="1278"/>
      <c r="QG1033" s="1278"/>
      <c r="QH1033" s="1278"/>
      <c r="QI1033" s="1278"/>
      <c r="QJ1033" s="1278"/>
      <c r="QK1033" s="1278"/>
      <c r="QL1033" s="1278"/>
      <c r="QM1033" s="1278"/>
      <c r="QN1033" s="1278"/>
      <c r="QO1033" s="1278"/>
      <c r="QP1033" s="1278"/>
      <c r="QQ1033" s="1278"/>
      <c r="QR1033" s="1278"/>
      <c r="QS1033" s="1278"/>
      <c r="QT1033" s="1278"/>
      <c r="QU1033" s="1278"/>
      <c r="QV1033" s="1278"/>
      <c r="QW1033" s="1278"/>
      <c r="QX1033" s="1278"/>
      <c r="QY1033" s="1278"/>
      <c r="QZ1033" s="1278"/>
      <c r="RA1033" s="1278"/>
      <c r="RB1033" s="1278"/>
      <c r="RC1033" s="1278"/>
      <c r="RD1033" s="1278"/>
      <c r="RE1033" s="1278"/>
      <c r="RF1033" s="1278"/>
      <c r="RG1033" s="1278"/>
      <c r="RH1033" s="1278"/>
      <c r="RI1033" s="1278"/>
      <c r="RJ1033" s="1278"/>
      <c r="RK1033" s="1278"/>
      <c r="RL1033" s="1278"/>
      <c r="RM1033" s="1278"/>
      <c r="RN1033" s="1278"/>
      <c r="RO1033" s="1278"/>
      <c r="RP1033" s="1278"/>
      <c r="RQ1033" s="1278"/>
      <c r="RR1033" s="1278"/>
      <c r="RS1033" s="1278"/>
      <c r="RT1033" s="1278"/>
      <c r="RU1033" s="1278"/>
      <c r="RV1033" s="1278"/>
      <c r="RW1033" s="1278"/>
      <c r="RX1033" s="1278"/>
      <c r="RY1033" s="1278"/>
      <c r="RZ1033" s="1278"/>
      <c r="SA1033" s="1278"/>
      <c r="SB1033" s="1278"/>
      <c r="SC1033" s="1278"/>
      <c r="SD1033" s="1278"/>
      <c r="SE1033" s="1278"/>
      <c r="SF1033" s="1278"/>
      <c r="SG1033" s="1278"/>
      <c r="SH1033" s="1278"/>
      <c r="SI1033" s="1278"/>
      <c r="SJ1033" s="1278"/>
      <c r="SK1033" s="1278"/>
      <c r="SL1033" s="1278"/>
      <c r="SM1033" s="1278"/>
      <c r="SN1033" s="1278"/>
      <c r="SO1033" s="1278"/>
      <c r="SP1033" s="1278"/>
      <c r="SQ1033" s="1278"/>
      <c r="SR1033" s="1278"/>
      <c r="SS1033" s="1278"/>
      <c r="ST1033" s="1278"/>
      <c r="SU1033" s="1278"/>
      <c r="SV1033" s="1278"/>
      <c r="SW1033" s="1278"/>
      <c r="SX1033" s="1278"/>
      <c r="SY1033" s="1278"/>
      <c r="SZ1033" s="1278"/>
      <c r="TA1033" s="1278"/>
      <c r="TB1033" s="1278"/>
      <c r="TC1033" s="1278"/>
      <c r="TD1033" s="1278"/>
      <c r="TE1033" s="1278"/>
      <c r="TF1033" s="1278"/>
      <c r="TG1033" s="1278"/>
      <c r="TH1033" s="1278"/>
      <c r="TI1033" s="1278"/>
      <c r="TJ1033" s="1278"/>
      <c r="TK1033" s="1278"/>
      <c r="TL1033" s="1278"/>
      <c r="TM1033" s="1278"/>
      <c r="TN1033" s="1278"/>
      <c r="TO1033" s="1278"/>
      <c r="TP1033" s="1278"/>
      <c r="TQ1033" s="1278"/>
      <c r="TR1033" s="1278"/>
      <c r="TS1033" s="1278"/>
      <c r="TT1033" s="1278"/>
      <c r="TU1033" s="1278"/>
      <c r="TV1033" s="1278"/>
      <c r="TW1033" s="1278"/>
      <c r="TX1033" s="1278"/>
      <c r="TY1033" s="1278"/>
      <c r="TZ1033" s="1278"/>
      <c r="UA1033" s="1278"/>
      <c r="UB1033" s="1278"/>
      <c r="UC1033" s="1278"/>
      <c r="UD1033" s="1278"/>
      <c r="UE1033" s="1278"/>
      <c r="UF1033" s="1278"/>
      <c r="UG1033" s="1279"/>
    </row>
    <row r="1034" spans="1:553" s="1262" customFormat="1" ht="46.5" customHeight="1">
      <c r="A1034" s="356"/>
      <c r="B1034" s="356"/>
      <c r="C1034" s="1405" t="s">
        <v>1413</v>
      </c>
      <c r="D1034" s="1406"/>
      <c r="E1034" s="1406"/>
      <c r="F1034" s="1407"/>
      <c r="G1034" s="418" t="s">
        <v>48</v>
      </c>
      <c r="H1034" s="370"/>
      <c r="I1034" s="370">
        <v>2</v>
      </c>
      <c r="J1034" s="368">
        <v>270000</v>
      </c>
      <c r="K1034" s="370"/>
      <c r="L1034" s="571">
        <f t="shared" ref="L1034:L1035" si="152">I1034*J1034</f>
        <v>540000</v>
      </c>
      <c r="M1034" s="356"/>
      <c r="N1034" s="356"/>
      <c r="O1034" s="356"/>
      <c r="P1034" s="356"/>
      <c r="Q1034" s="610"/>
      <c r="R1034" s="1226"/>
      <c r="S1034" s="308"/>
      <c r="T1034" s="308"/>
      <c r="U1034" s="308"/>
      <c r="V1034" s="308"/>
      <c r="W1034" s="308"/>
      <c r="X1034" s="308"/>
      <c r="Y1034" s="308"/>
      <c r="Z1034" s="604"/>
      <c r="AA1034" s="308"/>
      <c r="AB1034" s="308"/>
      <c r="AC1034" s="373"/>
      <c r="AD1034" s="373"/>
      <c r="AE1034" s="373"/>
      <c r="AF1034" s="373"/>
      <c r="AG1034" s="373"/>
      <c r="AH1034" s="373"/>
      <c r="AI1034" s="373"/>
      <c r="AJ1034" s="373"/>
      <c r="AK1034" s="389"/>
      <c r="AL1034" s="1276"/>
      <c r="AM1034" s="1277"/>
      <c r="AN1034" s="1277"/>
      <c r="AO1034" s="1277"/>
      <c r="AP1034" s="1277"/>
      <c r="AQ1034" s="1277"/>
      <c r="AR1034" s="1277"/>
      <c r="AS1034" s="1278"/>
      <c r="AT1034" s="1278"/>
      <c r="AU1034" s="1278"/>
      <c r="AV1034" s="1278"/>
      <c r="AW1034" s="1278"/>
      <c r="AX1034" s="1278"/>
      <c r="AY1034" s="1278"/>
      <c r="AZ1034" s="1278"/>
      <c r="BA1034" s="1278"/>
      <c r="BB1034" s="1278"/>
      <c r="BC1034" s="1278"/>
      <c r="BD1034" s="1278"/>
      <c r="BE1034" s="1278"/>
      <c r="BF1034" s="1278"/>
      <c r="BG1034" s="1278"/>
      <c r="BH1034" s="1278"/>
      <c r="BI1034" s="1278"/>
      <c r="BJ1034" s="1278"/>
      <c r="BK1034" s="1278"/>
      <c r="BL1034" s="1278"/>
      <c r="BM1034" s="1278"/>
      <c r="BN1034" s="1278"/>
      <c r="BO1034" s="1278"/>
      <c r="BP1034" s="1278"/>
      <c r="BQ1034" s="1278"/>
      <c r="BR1034" s="1278"/>
      <c r="BS1034" s="1278"/>
      <c r="BT1034" s="1278"/>
      <c r="BU1034" s="1278"/>
      <c r="BV1034" s="1278"/>
      <c r="BW1034" s="1278"/>
      <c r="BX1034" s="1278"/>
      <c r="BY1034" s="1278"/>
      <c r="BZ1034" s="1278"/>
      <c r="CA1034" s="1278"/>
      <c r="CB1034" s="1278"/>
      <c r="CC1034" s="1278"/>
      <c r="CD1034" s="1278"/>
      <c r="CE1034" s="1278"/>
      <c r="CF1034" s="1278"/>
      <c r="CG1034" s="1278"/>
      <c r="CH1034" s="1278"/>
      <c r="CI1034" s="1278"/>
      <c r="CJ1034" s="1278"/>
      <c r="CK1034" s="1278"/>
      <c r="CL1034" s="1278"/>
      <c r="CM1034" s="1278"/>
      <c r="CN1034" s="1278"/>
      <c r="CO1034" s="1278"/>
      <c r="CP1034" s="1278"/>
      <c r="CQ1034" s="1278"/>
      <c r="CR1034" s="1278"/>
      <c r="CS1034" s="1278"/>
      <c r="CT1034" s="1278"/>
      <c r="CU1034" s="1278"/>
      <c r="CV1034" s="1278"/>
      <c r="CW1034" s="1278"/>
      <c r="CX1034" s="1278"/>
      <c r="CY1034" s="1278"/>
      <c r="CZ1034" s="1278"/>
      <c r="DA1034" s="1278"/>
      <c r="DB1034" s="1278"/>
      <c r="DC1034" s="1278"/>
      <c r="DD1034" s="1278"/>
      <c r="DE1034" s="1278"/>
      <c r="DF1034" s="1278"/>
      <c r="DG1034" s="1278"/>
      <c r="DH1034" s="1278"/>
      <c r="DI1034" s="1278"/>
      <c r="DJ1034" s="1278"/>
      <c r="DK1034" s="1278"/>
      <c r="DL1034" s="1278"/>
      <c r="DM1034" s="1278"/>
      <c r="DN1034" s="1278"/>
      <c r="DO1034" s="1278"/>
      <c r="DP1034" s="1278"/>
      <c r="DQ1034" s="1278"/>
      <c r="DR1034" s="1278"/>
      <c r="DS1034" s="1278"/>
      <c r="DT1034" s="1278"/>
      <c r="DU1034" s="1278"/>
      <c r="DV1034" s="1278"/>
      <c r="DW1034" s="1278"/>
      <c r="DX1034" s="1278"/>
      <c r="DY1034" s="1278"/>
      <c r="DZ1034" s="1278"/>
      <c r="EA1034" s="1278"/>
      <c r="EB1034" s="1278"/>
      <c r="EC1034" s="1278"/>
      <c r="ED1034" s="1278"/>
      <c r="EE1034" s="1278"/>
      <c r="EF1034" s="1278"/>
      <c r="EG1034" s="1278"/>
      <c r="EH1034" s="1278"/>
      <c r="EI1034" s="1278"/>
      <c r="EJ1034" s="1278"/>
      <c r="EK1034" s="1278"/>
      <c r="EL1034" s="1278"/>
      <c r="EM1034" s="1278"/>
      <c r="EN1034" s="1278"/>
      <c r="EO1034" s="1278"/>
      <c r="EP1034" s="1278"/>
      <c r="EQ1034" s="1278"/>
      <c r="ER1034" s="1278"/>
      <c r="ES1034" s="1278"/>
      <c r="ET1034" s="1278"/>
      <c r="EU1034" s="1278"/>
      <c r="EV1034" s="1278"/>
      <c r="EW1034" s="1278"/>
      <c r="EX1034" s="1278"/>
      <c r="EY1034" s="1278"/>
      <c r="EZ1034" s="1278"/>
      <c r="FA1034" s="1278"/>
      <c r="FB1034" s="1278"/>
      <c r="FC1034" s="1278"/>
      <c r="FD1034" s="1278"/>
      <c r="FE1034" s="1278"/>
      <c r="FF1034" s="1278"/>
      <c r="FG1034" s="1278"/>
      <c r="FH1034" s="1278"/>
      <c r="FI1034" s="1278"/>
      <c r="FJ1034" s="1278"/>
      <c r="FK1034" s="1278"/>
      <c r="FL1034" s="1278"/>
      <c r="FM1034" s="1278"/>
      <c r="FN1034" s="1278"/>
      <c r="FO1034" s="1278"/>
      <c r="FP1034" s="1278"/>
      <c r="FQ1034" s="1278"/>
      <c r="FR1034" s="1278"/>
      <c r="FS1034" s="1278"/>
      <c r="FT1034" s="1278"/>
      <c r="FU1034" s="1278"/>
      <c r="FV1034" s="1278"/>
      <c r="FW1034" s="1278"/>
      <c r="FX1034" s="1278"/>
      <c r="FY1034" s="1278"/>
      <c r="FZ1034" s="1278"/>
      <c r="GA1034" s="1278"/>
      <c r="GB1034" s="1278"/>
      <c r="GC1034" s="1278"/>
      <c r="GD1034" s="1278"/>
      <c r="GE1034" s="1278"/>
      <c r="GF1034" s="1278"/>
      <c r="GG1034" s="1278"/>
      <c r="GH1034" s="1278"/>
      <c r="GI1034" s="1278"/>
      <c r="GJ1034" s="1278"/>
      <c r="GK1034" s="1278"/>
      <c r="GL1034" s="1278"/>
      <c r="GM1034" s="1278"/>
      <c r="GN1034" s="1278"/>
      <c r="GO1034" s="1278"/>
      <c r="GP1034" s="1278"/>
      <c r="GQ1034" s="1278"/>
      <c r="GR1034" s="1278"/>
      <c r="GS1034" s="1278"/>
      <c r="GT1034" s="1278"/>
      <c r="GU1034" s="1278"/>
      <c r="GV1034" s="1278"/>
      <c r="GW1034" s="1278"/>
      <c r="GX1034" s="1278"/>
      <c r="GY1034" s="1278"/>
      <c r="GZ1034" s="1278"/>
      <c r="HA1034" s="1278"/>
      <c r="HB1034" s="1278"/>
      <c r="HC1034" s="1278"/>
      <c r="HD1034" s="1278"/>
      <c r="HE1034" s="1278"/>
      <c r="HF1034" s="1278"/>
      <c r="HG1034" s="1278"/>
      <c r="HH1034" s="1278"/>
      <c r="HI1034" s="1278"/>
      <c r="HJ1034" s="1278"/>
      <c r="HK1034" s="1278"/>
      <c r="HL1034" s="1278"/>
      <c r="HM1034" s="1278"/>
      <c r="HN1034" s="1278"/>
      <c r="HO1034" s="1278"/>
      <c r="HP1034" s="1278"/>
      <c r="HQ1034" s="1278"/>
      <c r="HR1034" s="1278"/>
      <c r="HS1034" s="1278"/>
      <c r="HT1034" s="1278"/>
      <c r="HU1034" s="1278"/>
      <c r="HV1034" s="1278"/>
      <c r="HW1034" s="1278"/>
      <c r="HX1034" s="1278"/>
      <c r="HY1034" s="1278"/>
      <c r="HZ1034" s="1278"/>
      <c r="IA1034" s="1278"/>
      <c r="IB1034" s="1278"/>
      <c r="IC1034" s="1278"/>
      <c r="ID1034" s="1278"/>
      <c r="IE1034" s="1278"/>
      <c r="IF1034" s="1278"/>
      <c r="IG1034" s="1278"/>
      <c r="IH1034" s="1278"/>
      <c r="II1034" s="1278"/>
      <c r="IJ1034" s="1278"/>
      <c r="IK1034" s="1278"/>
      <c r="IL1034" s="1278"/>
      <c r="IM1034" s="1278"/>
      <c r="IN1034" s="1278"/>
      <c r="IO1034" s="1278"/>
      <c r="IP1034" s="1278"/>
      <c r="IQ1034" s="1278"/>
      <c r="IR1034" s="1278"/>
      <c r="IS1034" s="1278"/>
      <c r="IT1034" s="1278"/>
      <c r="IU1034" s="1278"/>
      <c r="IV1034" s="1278"/>
      <c r="IW1034" s="1278"/>
      <c r="IX1034" s="1278"/>
      <c r="IY1034" s="1278"/>
      <c r="IZ1034" s="1278"/>
      <c r="JA1034" s="1278"/>
      <c r="JB1034" s="1278"/>
      <c r="JC1034" s="1278"/>
      <c r="JD1034" s="1278"/>
      <c r="JE1034" s="1278"/>
      <c r="JF1034" s="1278"/>
      <c r="JG1034" s="1278"/>
      <c r="JH1034" s="1278"/>
      <c r="JI1034" s="1278"/>
      <c r="JJ1034" s="1278"/>
      <c r="JK1034" s="1278"/>
      <c r="JL1034" s="1278"/>
      <c r="JM1034" s="1278"/>
      <c r="JN1034" s="1278"/>
      <c r="JO1034" s="1278"/>
      <c r="JP1034" s="1278"/>
      <c r="JQ1034" s="1278"/>
      <c r="JR1034" s="1278"/>
      <c r="JS1034" s="1278"/>
      <c r="JT1034" s="1278"/>
      <c r="JU1034" s="1278"/>
      <c r="JV1034" s="1278"/>
      <c r="JW1034" s="1278"/>
      <c r="JX1034" s="1278"/>
      <c r="JY1034" s="1278"/>
      <c r="JZ1034" s="1278"/>
      <c r="KA1034" s="1278"/>
      <c r="KB1034" s="1278"/>
      <c r="KC1034" s="1278"/>
      <c r="KD1034" s="1278"/>
      <c r="KE1034" s="1278"/>
      <c r="KF1034" s="1278"/>
      <c r="KG1034" s="1278"/>
      <c r="KH1034" s="1278"/>
      <c r="KI1034" s="1278"/>
      <c r="KJ1034" s="1278"/>
      <c r="KK1034" s="1278"/>
      <c r="KL1034" s="1278"/>
      <c r="KM1034" s="1278"/>
      <c r="KN1034" s="1278"/>
      <c r="KO1034" s="1278"/>
      <c r="KP1034" s="1278"/>
      <c r="KQ1034" s="1278"/>
      <c r="KR1034" s="1278"/>
      <c r="KS1034" s="1278"/>
      <c r="KT1034" s="1278"/>
      <c r="KU1034" s="1278"/>
      <c r="KV1034" s="1278"/>
      <c r="KW1034" s="1278"/>
      <c r="KX1034" s="1278"/>
      <c r="KY1034" s="1278"/>
      <c r="KZ1034" s="1278"/>
      <c r="LA1034" s="1278"/>
      <c r="LB1034" s="1278"/>
      <c r="LC1034" s="1278"/>
      <c r="LD1034" s="1278"/>
      <c r="LE1034" s="1278"/>
      <c r="LF1034" s="1278"/>
      <c r="LG1034" s="1278"/>
      <c r="LH1034" s="1278"/>
      <c r="LI1034" s="1278"/>
      <c r="LJ1034" s="1278"/>
      <c r="LK1034" s="1278"/>
      <c r="LL1034" s="1278"/>
      <c r="LM1034" s="1278"/>
      <c r="LN1034" s="1278"/>
      <c r="LO1034" s="1278"/>
      <c r="LP1034" s="1278"/>
      <c r="LQ1034" s="1278"/>
      <c r="LR1034" s="1278"/>
      <c r="LS1034" s="1278"/>
      <c r="LT1034" s="1278"/>
      <c r="LU1034" s="1278"/>
      <c r="LV1034" s="1278"/>
      <c r="LW1034" s="1278"/>
      <c r="LX1034" s="1278"/>
      <c r="LY1034" s="1278"/>
      <c r="LZ1034" s="1278"/>
      <c r="MA1034" s="1278"/>
      <c r="MB1034" s="1278"/>
      <c r="MC1034" s="1278"/>
      <c r="MD1034" s="1278"/>
      <c r="ME1034" s="1278"/>
      <c r="MF1034" s="1278"/>
      <c r="MG1034" s="1278"/>
      <c r="MH1034" s="1278"/>
      <c r="MI1034" s="1278"/>
      <c r="MJ1034" s="1278"/>
      <c r="MK1034" s="1278"/>
      <c r="ML1034" s="1278"/>
      <c r="MM1034" s="1278"/>
      <c r="MN1034" s="1278"/>
      <c r="MO1034" s="1278"/>
      <c r="MP1034" s="1278"/>
      <c r="MQ1034" s="1278"/>
      <c r="MR1034" s="1278"/>
      <c r="MS1034" s="1278"/>
      <c r="MT1034" s="1278"/>
      <c r="MU1034" s="1278"/>
      <c r="MV1034" s="1278"/>
      <c r="MW1034" s="1278"/>
      <c r="MX1034" s="1278"/>
      <c r="MY1034" s="1278"/>
      <c r="MZ1034" s="1278"/>
      <c r="NA1034" s="1278"/>
      <c r="NB1034" s="1278"/>
      <c r="NC1034" s="1278"/>
      <c r="ND1034" s="1278"/>
      <c r="NE1034" s="1278"/>
      <c r="NF1034" s="1278"/>
      <c r="NG1034" s="1278"/>
      <c r="NH1034" s="1278"/>
      <c r="NI1034" s="1278"/>
      <c r="NJ1034" s="1278"/>
      <c r="NK1034" s="1278"/>
      <c r="NL1034" s="1278"/>
      <c r="NM1034" s="1278"/>
      <c r="NN1034" s="1278"/>
      <c r="NO1034" s="1278"/>
      <c r="NP1034" s="1278"/>
      <c r="NQ1034" s="1278"/>
      <c r="NR1034" s="1278"/>
      <c r="NS1034" s="1278"/>
      <c r="NT1034" s="1278"/>
      <c r="NU1034" s="1278"/>
      <c r="NV1034" s="1278"/>
      <c r="NW1034" s="1278"/>
      <c r="NX1034" s="1278"/>
      <c r="NY1034" s="1278"/>
      <c r="NZ1034" s="1278"/>
      <c r="OA1034" s="1278"/>
      <c r="OB1034" s="1278"/>
      <c r="OC1034" s="1278"/>
      <c r="OD1034" s="1278"/>
      <c r="OE1034" s="1278"/>
      <c r="OF1034" s="1278"/>
      <c r="OG1034" s="1278"/>
      <c r="OH1034" s="1278"/>
      <c r="OI1034" s="1278"/>
      <c r="OJ1034" s="1278"/>
      <c r="OK1034" s="1278"/>
      <c r="OL1034" s="1278"/>
      <c r="OM1034" s="1278"/>
      <c r="ON1034" s="1278"/>
      <c r="OO1034" s="1278"/>
      <c r="OP1034" s="1278"/>
      <c r="OQ1034" s="1278"/>
      <c r="OR1034" s="1278"/>
      <c r="OS1034" s="1278"/>
      <c r="OT1034" s="1278"/>
      <c r="OU1034" s="1278"/>
      <c r="OV1034" s="1278"/>
      <c r="OW1034" s="1278"/>
      <c r="OX1034" s="1278"/>
      <c r="OY1034" s="1278"/>
      <c r="OZ1034" s="1278"/>
      <c r="PA1034" s="1278"/>
      <c r="PB1034" s="1278"/>
      <c r="PC1034" s="1278"/>
      <c r="PD1034" s="1278"/>
      <c r="PE1034" s="1278"/>
      <c r="PF1034" s="1278"/>
      <c r="PG1034" s="1278"/>
      <c r="PH1034" s="1278"/>
      <c r="PI1034" s="1278"/>
      <c r="PJ1034" s="1278"/>
      <c r="PK1034" s="1278"/>
      <c r="PL1034" s="1278"/>
      <c r="PM1034" s="1278"/>
      <c r="PN1034" s="1278"/>
      <c r="PO1034" s="1278"/>
      <c r="PP1034" s="1278"/>
      <c r="PQ1034" s="1278"/>
      <c r="PR1034" s="1278"/>
      <c r="PS1034" s="1278"/>
      <c r="PT1034" s="1278"/>
      <c r="PU1034" s="1278"/>
      <c r="PV1034" s="1278"/>
      <c r="PW1034" s="1278"/>
      <c r="PX1034" s="1278"/>
      <c r="PY1034" s="1278"/>
      <c r="PZ1034" s="1278"/>
      <c r="QA1034" s="1278"/>
      <c r="QB1034" s="1278"/>
      <c r="QC1034" s="1278"/>
      <c r="QD1034" s="1278"/>
      <c r="QE1034" s="1278"/>
      <c r="QF1034" s="1278"/>
      <c r="QG1034" s="1278"/>
      <c r="QH1034" s="1278"/>
      <c r="QI1034" s="1278"/>
      <c r="QJ1034" s="1278"/>
      <c r="QK1034" s="1278"/>
      <c r="QL1034" s="1278"/>
      <c r="QM1034" s="1278"/>
      <c r="QN1034" s="1278"/>
      <c r="QO1034" s="1278"/>
      <c r="QP1034" s="1278"/>
      <c r="QQ1034" s="1278"/>
      <c r="QR1034" s="1278"/>
      <c r="QS1034" s="1278"/>
      <c r="QT1034" s="1278"/>
      <c r="QU1034" s="1278"/>
      <c r="QV1034" s="1278"/>
      <c r="QW1034" s="1278"/>
      <c r="QX1034" s="1278"/>
      <c r="QY1034" s="1278"/>
      <c r="QZ1034" s="1278"/>
      <c r="RA1034" s="1278"/>
      <c r="RB1034" s="1278"/>
      <c r="RC1034" s="1278"/>
      <c r="RD1034" s="1278"/>
      <c r="RE1034" s="1278"/>
      <c r="RF1034" s="1278"/>
      <c r="RG1034" s="1278"/>
      <c r="RH1034" s="1278"/>
      <c r="RI1034" s="1278"/>
      <c r="RJ1034" s="1278"/>
      <c r="RK1034" s="1278"/>
      <c r="RL1034" s="1278"/>
      <c r="RM1034" s="1278"/>
      <c r="RN1034" s="1278"/>
      <c r="RO1034" s="1278"/>
      <c r="RP1034" s="1278"/>
      <c r="RQ1034" s="1278"/>
      <c r="RR1034" s="1278"/>
      <c r="RS1034" s="1278"/>
      <c r="RT1034" s="1278"/>
      <c r="RU1034" s="1278"/>
      <c r="RV1034" s="1278"/>
      <c r="RW1034" s="1278"/>
      <c r="RX1034" s="1278"/>
      <c r="RY1034" s="1278"/>
      <c r="RZ1034" s="1278"/>
      <c r="SA1034" s="1278"/>
      <c r="SB1034" s="1278"/>
      <c r="SC1034" s="1278"/>
      <c r="SD1034" s="1278"/>
      <c r="SE1034" s="1278"/>
      <c r="SF1034" s="1278"/>
      <c r="SG1034" s="1278"/>
      <c r="SH1034" s="1278"/>
      <c r="SI1034" s="1278"/>
      <c r="SJ1034" s="1278"/>
      <c r="SK1034" s="1278"/>
      <c r="SL1034" s="1278"/>
      <c r="SM1034" s="1278"/>
      <c r="SN1034" s="1278"/>
      <c r="SO1034" s="1278"/>
      <c r="SP1034" s="1278"/>
      <c r="SQ1034" s="1278"/>
      <c r="SR1034" s="1278"/>
      <c r="SS1034" s="1278"/>
      <c r="ST1034" s="1278"/>
      <c r="SU1034" s="1278"/>
      <c r="SV1034" s="1278"/>
      <c r="SW1034" s="1278"/>
      <c r="SX1034" s="1278"/>
      <c r="SY1034" s="1278"/>
      <c r="SZ1034" s="1278"/>
      <c r="TA1034" s="1278"/>
      <c r="TB1034" s="1278"/>
      <c r="TC1034" s="1278"/>
      <c r="TD1034" s="1278"/>
      <c r="TE1034" s="1278"/>
      <c r="TF1034" s="1278"/>
      <c r="TG1034" s="1278"/>
      <c r="TH1034" s="1278"/>
      <c r="TI1034" s="1278"/>
      <c r="TJ1034" s="1278"/>
      <c r="TK1034" s="1278"/>
      <c r="TL1034" s="1278"/>
      <c r="TM1034" s="1278"/>
      <c r="TN1034" s="1278"/>
      <c r="TO1034" s="1278"/>
      <c r="TP1034" s="1278"/>
      <c r="TQ1034" s="1278"/>
      <c r="TR1034" s="1278"/>
      <c r="TS1034" s="1278"/>
      <c r="TT1034" s="1278"/>
      <c r="TU1034" s="1278"/>
      <c r="TV1034" s="1278"/>
      <c r="TW1034" s="1278"/>
      <c r="TX1034" s="1278"/>
      <c r="TY1034" s="1278"/>
      <c r="TZ1034" s="1278"/>
      <c r="UA1034" s="1278"/>
      <c r="UB1034" s="1278"/>
      <c r="UC1034" s="1278"/>
      <c r="UD1034" s="1278"/>
      <c r="UE1034" s="1278"/>
      <c r="UF1034" s="1278"/>
      <c r="UG1034" s="1279"/>
    </row>
    <row r="1035" spans="1:553" s="1262" customFormat="1" ht="29.25" customHeight="1">
      <c r="A1035" s="356"/>
      <c r="B1035" s="356"/>
      <c r="C1035" s="1523" t="s">
        <v>592</v>
      </c>
      <c r="D1035" s="1528"/>
      <c r="E1035" s="1528"/>
      <c r="F1035" s="1529"/>
      <c r="G1035" s="564" t="s">
        <v>46</v>
      </c>
      <c r="H1035" s="370"/>
      <c r="I1035" s="529">
        <f>(132.2*100/1200)*5</f>
        <v>55.083333333333329</v>
      </c>
      <c r="J1035" s="368">
        <v>6600</v>
      </c>
      <c r="K1035" s="370"/>
      <c r="L1035" s="571">
        <f t="shared" si="152"/>
        <v>363549.99999999994</v>
      </c>
      <c r="M1035" s="356"/>
      <c r="N1035" s="356"/>
      <c r="O1035" s="356"/>
      <c r="P1035" s="356"/>
      <c r="Q1035" s="610"/>
      <c r="R1035" s="1226"/>
      <c r="S1035" s="308"/>
      <c r="T1035" s="308"/>
      <c r="U1035" s="308"/>
      <c r="V1035" s="308"/>
      <c r="W1035" s="308"/>
      <c r="X1035" s="308"/>
      <c r="Y1035" s="308"/>
      <c r="Z1035" s="604"/>
      <c r="AA1035" s="308"/>
      <c r="AB1035" s="308"/>
      <c r="AC1035" s="373"/>
      <c r="AD1035" s="373"/>
      <c r="AE1035" s="373"/>
      <c r="AF1035" s="373"/>
      <c r="AG1035" s="373"/>
      <c r="AH1035" s="373"/>
      <c r="AI1035" s="373"/>
      <c r="AJ1035" s="373"/>
      <c r="AK1035" s="389"/>
      <c r="AL1035" s="1276"/>
      <c r="AM1035" s="1277"/>
      <c r="AN1035" s="1277"/>
      <c r="AO1035" s="1277"/>
      <c r="AP1035" s="1277"/>
      <c r="AQ1035" s="1277"/>
      <c r="AR1035" s="1277"/>
      <c r="AS1035" s="1278"/>
      <c r="AT1035" s="1278"/>
      <c r="AU1035" s="1278"/>
      <c r="AV1035" s="1278"/>
      <c r="AW1035" s="1278"/>
      <c r="AX1035" s="1278"/>
      <c r="AY1035" s="1278"/>
      <c r="AZ1035" s="1278"/>
      <c r="BA1035" s="1278"/>
      <c r="BB1035" s="1278"/>
      <c r="BC1035" s="1278"/>
      <c r="BD1035" s="1278"/>
      <c r="BE1035" s="1278"/>
      <c r="BF1035" s="1278"/>
      <c r="BG1035" s="1278"/>
      <c r="BH1035" s="1278"/>
      <c r="BI1035" s="1278"/>
      <c r="BJ1035" s="1278"/>
      <c r="BK1035" s="1278"/>
      <c r="BL1035" s="1278"/>
      <c r="BM1035" s="1278"/>
      <c r="BN1035" s="1278"/>
      <c r="BO1035" s="1278"/>
      <c r="BP1035" s="1278"/>
      <c r="BQ1035" s="1278"/>
      <c r="BR1035" s="1278"/>
      <c r="BS1035" s="1278"/>
      <c r="BT1035" s="1278"/>
      <c r="BU1035" s="1278"/>
      <c r="BV1035" s="1278"/>
      <c r="BW1035" s="1278"/>
      <c r="BX1035" s="1278"/>
      <c r="BY1035" s="1278"/>
      <c r="BZ1035" s="1278"/>
      <c r="CA1035" s="1278"/>
      <c r="CB1035" s="1278"/>
      <c r="CC1035" s="1278"/>
      <c r="CD1035" s="1278"/>
      <c r="CE1035" s="1278"/>
      <c r="CF1035" s="1278"/>
      <c r="CG1035" s="1278"/>
      <c r="CH1035" s="1278"/>
      <c r="CI1035" s="1278"/>
      <c r="CJ1035" s="1278"/>
      <c r="CK1035" s="1278"/>
      <c r="CL1035" s="1278"/>
      <c r="CM1035" s="1278"/>
      <c r="CN1035" s="1278"/>
      <c r="CO1035" s="1278"/>
      <c r="CP1035" s="1278"/>
      <c r="CQ1035" s="1278"/>
      <c r="CR1035" s="1278"/>
      <c r="CS1035" s="1278"/>
      <c r="CT1035" s="1278"/>
      <c r="CU1035" s="1278"/>
      <c r="CV1035" s="1278"/>
      <c r="CW1035" s="1278"/>
      <c r="CX1035" s="1278"/>
      <c r="CY1035" s="1278"/>
      <c r="CZ1035" s="1278"/>
      <c r="DA1035" s="1278"/>
      <c r="DB1035" s="1278"/>
      <c r="DC1035" s="1278"/>
      <c r="DD1035" s="1278"/>
      <c r="DE1035" s="1278"/>
      <c r="DF1035" s="1278"/>
      <c r="DG1035" s="1278"/>
      <c r="DH1035" s="1278"/>
      <c r="DI1035" s="1278"/>
      <c r="DJ1035" s="1278"/>
      <c r="DK1035" s="1278"/>
      <c r="DL1035" s="1278"/>
      <c r="DM1035" s="1278"/>
      <c r="DN1035" s="1278"/>
      <c r="DO1035" s="1278"/>
      <c r="DP1035" s="1278"/>
      <c r="DQ1035" s="1278"/>
      <c r="DR1035" s="1278"/>
      <c r="DS1035" s="1278"/>
      <c r="DT1035" s="1278"/>
      <c r="DU1035" s="1278"/>
      <c r="DV1035" s="1278"/>
      <c r="DW1035" s="1278"/>
      <c r="DX1035" s="1278"/>
      <c r="DY1035" s="1278"/>
      <c r="DZ1035" s="1278"/>
      <c r="EA1035" s="1278"/>
      <c r="EB1035" s="1278"/>
      <c r="EC1035" s="1278"/>
      <c r="ED1035" s="1278"/>
      <c r="EE1035" s="1278"/>
      <c r="EF1035" s="1278"/>
      <c r="EG1035" s="1278"/>
      <c r="EH1035" s="1278"/>
      <c r="EI1035" s="1278"/>
      <c r="EJ1035" s="1278"/>
      <c r="EK1035" s="1278"/>
      <c r="EL1035" s="1278"/>
      <c r="EM1035" s="1278"/>
      <c r="EN1035" s="1278"/>
      <c r="EO1035" s="1278"/>
      <c r="EP1035" s="1278"/>
      <c r="EQ1035" s="1278"/>
      <c r="ER1035" s="1278"/>
      <c r="ES1035" s="1278"/>
      <c r="ET1035" s="1278"/>
      <c r="EU1035" s="1278"/>
      <c r="EV1035" s="1278"/>
      <c r="EW1035" s="1278"/>
      <c r="EX1035" s="1278"/>
      <c r="EY1035" s="1278"/>
      <c r="EZ1035" s="1278"/>
      <c r="FA1035" s="1278"/>
      <c r="FB1035" s="1278"/>
      <c r="FC1035" s="1278"/>
      <c r="FD1035" s="1278"/>
      <c r="FE1035" s="1278"/>
      <c r="FF1035" s="1278"/>
      <c r="FG1035" s="1278"/>
      <c r="FH1035" s="1278"/>
      <c r="FI1035" s="1278"/>
      <c r="FJ1035" s="1278"/>
      <c r="FK1035" s="1278"/>
      <c r="FL1035" s="1278"/>
      <c r="FM1035" s="1278"/>
      <c r="FN1035" s="1278"/>
      <c r="FO1035" s="1278"/>
      <c r="FP1035" s="1278"/>
      <c r="FQ1035" s="1278"/>
      <c r="FR1035" s="1278"/>
      <c r="FS1035" s="1278"/>
      <c r="FT1035" s="1278"/>
      <c r="FU1035" s="1278"/>
      <c r="FV1035" s="1278"/>
      <c r="FW1035" s="1278"/>
      <c r="FX1035" s="1278"/>
      <c r="FY1035" s="1278"/>
      <c r="FZ1035" s="1278"/>
      <c r="GA1035" s="1278"/>
      <c r="GB1035" s="1278"/>
      <c r="GC1035" s="1278"/>
      <c r="GD1035" s="1278"/>
      <c r="GE1035" s="1278"/>
      <c r="GF1035" s="1278"/>
      <c r="GG1035" s="1278"/>
      <c r="GH1035" s="1278"/>
      <c r="GI1035" s="1278"/>
      <c r="GJ1035" s="1278"/>
      <c r="GK1035" s="1278"/>
      <c r="GL1035" s="1278"/>
      <c r="GM1035" s="1278"/>
      <c r="GN1035" s="1278"/>
      <c r="GO1035" s="1278"/>
      <c r="GP1035" s="1278"/>
      <c r="GQ1035" s="1278"/>
      <c r="GR1035" s="1278"/>
      <c r="GS1035" s="1278"/>
      <c r="GT1035" s="1278"/>
      <c r="GU1035" s="1278"/>
      <c r="GV1035" s="1278"/>
      <c r="GW1035" s="1278"/>
      <c r="GX1035" s="1278"/>
      <c r="GY1035" s="1278"/>
      <c r="GZ1035" s="1278"/>
      <c r="HA1035" s="1278"/>
      <c r="HB1035" s="1278"/>
      <c r="HC1035" s="1278"/>
      <c r="HD1035" s="1278"/>
      <c r="HE1035" s="1278"/>
      <c r="HF1035" s="1278"/>
      <c r="HG1035" s="1278"/>
      <c r="HH1035" s="1278"/>
      <c r="HI1035" s="1278"/>
      <c r="HJ1035" s="1278"/>
      <c r="HK1035" s="1278"/>
      <c r="HL1035" s="1278"/>
      <c r="HM1035" s="1278"/>
      <c r="HN1035" s="1278"/>
      <c r="HO1035" s="1278"/>
      <c r="HP1035" s="1278"/>
      <c r="HQ1035" s="1278"/>
      <c r="HR1035" s="1278"/>
      <c r="HS1035" s="1278"/>
      <c r="HT1035" s="1278"/>
      <c r="HU1035" s="1278"/>
      <c r="HV1035" s="1278"/>
      <c r="HW1035" s="1278"/>
      <c r="HX1035" s="1278"/>
      <c r="HY1035" s="1278"/>
      <c r="HZ1035" s="1278"/>
      <c r="IA1035" s="1278"/>
      <c r="IB1035" s="1278"/>
      <c r="IC1035" s="1278"/>
      <c r="ID1035" s="1278"/>
      <c r="IE1035" s="1278"/>
      <c r="IF1035" s="1278"/>
      <c r="IG1035" s="1278"/>
      <c r="IH1035" s="1278"/>
      <c r="II1035" s="1278"/>
      <c r="IJ1035" s="1278"/>
      <c r="IK1035" s="1278"/>
      <c r="IL1035" s="1278"/>
      <c r="IM1035" s="1278"/>
      <c r="IN1035" s="1278"/>
      <c r="IO1035" s="1278"/>
      <c r="IP1035" s="1278"/>
      <c r="IQ1035" s="1278"/>
      <c r="IR1035" s="1278"/>
      <c r="IS1035" s="1278"/>
      <c r="IT1035" s="1278"/>
      <c r="IU1035" s="1278"/>
      <c r="IV1035" s="1278"/>
      <c r="IW1035" s="1278"/>
      <c r="IX1035" s="1278"/>
      <c r="IY1035" s="1278"/>
      <c r="IZ1035" s="1278"/>
      <c r="JA1035" s="1278"/>
      <c r="JB1035" s="1278"/>
      <c r="JC1035" s="1278"/>
      <c r="JD1035" s="1278"/>
      <c r="JE1035" s="1278"/>
      <c r="JF1035" s="1278"/>
      <c r="JG1035" s="1278"/>
      <c r="JH1035" s="1278"/>
      <c r="JI1035" s="1278"/>
      <c r="JJ1035" s="1278"/>
      <c r="JK1035" s="1278"/>
      <c r="JL1035" s="1278"/>
      <c r="JM1035" s="1278"/>
      <c r="JN1035" s="1278"/>
      <c r="JO1035" s="1278"/>
      <c r="JP1035" s="1278"/>
      <c r="JQ1035" s="1278"/>
      <c r="JR1035" s="1278"/>
      <c r="JS1035" s="1278"/>
      <c r="JT1035" s="1278"/>
      <c r="JU1035" s="1278"/>
      <c r="JV1035" s="1278"/>
      <c r="JW1035" s="1278"/>
      <c r="JX1035" s="1278"/>
      <c r="JY1035" s="1278"/>
      <c r="JZ1035" s="1278"/>
      <c r="KA1035" s="1278"/>
      <c r="KB1035" s="1278"/>
      <c r="KC1035" s="1278"/>
      <c r="KD1035" s="1278"/>
      <c r="KE1035" s="1278"/>
      <c r="KF1035" s="1278"/>
      <c r="KG1035" s="1278"/>
      <c r="KH1035" s="1278"/>
      <c r="KI1035" s="1278"/>
      <c r="KJ1035" s="1278"/>
      <c r="KK1035" s="1278"/>
      <c r="KL1035" s="1278"/>
      <c r="KM1035" s="1278"/>
      <c r="KN1035" s="1278"/>
      <c r="KO1035" s="1278"/>
      <c r="KP1035" s="1278"/>
      <c r="KQ1035" s="1278"/>
      <c r="KR1035" s="1278"/>
      <c r="KS1035" s="1278"/>
      <c r="KT1035" s="1278"/>
      <c r="KU1035" s="1278"/>
      <c r="KV1035" s="1278"/>
      <c r="KW1035" s="1278"/>
      <c r="KX1035" s="1278"/>
      <c r="KY1035" s="1278"/>
      <c r="KZ1035" s="1278"/>
      <c r="LA1035" s="1278"/>
      <c r="LB1035" s="1278"/>
      <c r="LC1035" s="1278"/>
      <c r="LD1035" s="1278"/>
      <c r="LE1035" s="1278"/>
      <c r="LF1035" s="1278"/>
      <c r="LG1035" s="1278"/>
      <c r="LH1035" s="1278"/>
      <c r="LI1035" s="1278"/>
      <c r="LJ1035" s="1278"/>
      <c r="LK1035" s="1278"/>
      <c r="LL1035" s="1278"/>
      <c r="LM1035" s="1278"/>
      <c r="LN1035" s="1278"/>
      <c r="LO1035" s="1278"/>
      <c r="LP1035" s="1278"/>
      <c r="LQ1035" s="1278"/>
      <c r="LR1035" s="1278"/>
      <c r="LS1035" s="1278"/>
      <c r="LT1035" s="1278"/>
      <c r="LU1035" s="1278"/>
      <c r="LV1035" s="1278"/>
      <c r="LW1035" s="1278"/>
      <c r="LX1035" s="1278"/>
      <c r="LY1035" s="1278"/>
      <c r="LZ1035" s="1278"/>
      <c r="MA1035" s="1278"/>
      <c r="MB1035" s="1278"/>
      <c r="MC1035" s="1278"/>
      <c r="MD1035" s="1278"/>
      <c r="ME1035" s="1278"/>
      <c r="MF1035" s="1278"/>
      <c r="MG1035" s="1278"/>
      <c r="MH1035" s="1278"/>
      <c r="MI1035" s="1278"/>
      <c r="MJ1035" s="1278"/>
      <c r="MK1035" s="1278"/>
      <c r="ML1035" s="1278"/>
      <c r="MM1035" s="1278"/>
      <c r="MN1035" s="1278"/>
      <c r="MO1035" s="1278"/>
      <c r="MP1035" s="1278"/>
      <c r="MQ1035" s="1278"/>
      <c r="MR1035" s="1278"/>
      <c r="MS1035" s="1278"/>
      <c r="MT1035" s="1278"/>
      <c r="MU1035" s="1278"/>
      <c r="MV1035" s="1278"/>
      <c r="MW1035" s="1278"/>
      <c r="MX1035" s="1278"/>
      <c r="MY1035" s="1278"/>
      <c r="MZ1035" s="1278"/>
      <c r="NA1035" s="1278"/>
      <c r="NB1035" s="1278"/>
      <c r="NC1035" s="1278"/>
      <c r="ND1035" s="1278"/>
      <c r="NE1035" s="1278"/>
      <c r="NF1035" s="1278"/>
      <c r="NG1035" s="1278"/>
      <c r="NH1035" s="1278"/>
      <c r="NI1035" s="1278"/>
      <c r="NJ1035" s="1278"/>
      <c r="NK1035" s="1278"/>
      <c r="NL1035" s="1278"/>
      <c r="NM1035" s="1278"/>
      <c r="NN1035" s="1278"/>
      <c r="NO1035" s="1278"/>
      <c r="NP1035" s="1278"/>
      <c r="NQ1035" s="1278"/>
      <c r="NR1035" s="1278"/>
      <c r="NS1035" s="1278"/>
      <c r="NT1035" s="1278"/>
      <c r="NU1035" s="1278"/>
      <c r="NV1035" s="1278"/>
      <c r="NW1035" s="1278"/>
      <c r="NX1035" s="1278"/>
      <c r="NY1035" s="1278"/>
      <c r="NZ1035" s="1278"/>
      <c r="OA1035" s="1278"/>
      <c r="OB1035" s="1278"/>
      <c r="OC1035" s="1278"/>
      <c r="OD1035" s="1278"/>
      <c r="OE1035" s="1278"/>
      <c r="OF1035" s="1278"/>
      <c r="OG1035" s="1278"/>
      <c r="OH1035" s="1278"/>
      <c r="OI1035" s="1278"/>
      <c r="OJ1035" s="1278"/>
      <c r="OK1035" s="1278"/>
      <c r="OL1035" s="1278"/>
      <c r="OM1035" s="1278"/>
      <c r="ON1035" s="1278"/>
      <c r="OO1035" s="1278"/>
      <c r="OP1035" s="1278"/>
      <c r="OQ1035" s="1278"/>
      <c r="OR1035" s="1278"/>
      <c r="OS1035" s="1278"/>
      <c r="OT1035" s="1278"/>
      <c r="OU1035" s="1278"/>
      <c r="OV1035" s="1278"/>
      <c r="OW1035" s="1278"/>
      <c r="OX1035" s="1278"/>
      <c r="OY1035" s="1278"/>
      <c r="OZ1035" s="1278"/>
      <c r="PA1035" s="1278"/>
      <c r="PB1035" s="1278"/>
      <c r="PC1035" s="1278"/>
      <c r="PD1035" s="1278"/>
      <c r="PE1035" s="1278"/>
      <c r="PF1035" s="1278"/>
      <c r="PG1035" s="1278"/>
      <c r="PH1035" s="1278"/>
      <c r="PI1035" s="1278"/>
      <c r="PJ1035" s="1278"/>
      <c r="PK1035" s="1278"/>
      <c r="PL1035" s="1278"/>
      <c r="PM1035" s="1278"/>
      <c r="PN1035" s="1278"/>
      <c r="PO1035" s="1278"/>
      <c r="PP1035" s="1278"/>
      <c r="PQ1035" s="1278"/>
      <c r="PR1035" s="1278"/>
      <c r="PS1035" s="1278"/>
      <c r="PT1035" s="1278"/>
      <c r="PU1035" s="1278"/>
      <c r="PV1035" s="1278"/>
      <c r="PW1035" s="1278"/>
      <c r="PX1035" s="1278"/>
      <c r="PY1035" s="1278"/>
      <c r="PZ1035" s="1278"/>
      <c r="QA1035" s="1278"/>
      <c r="QB1035" s="1278"/>
      <c r="QC1035" s="1278"/>
      <c r="QD1035" s="1278"/>
      <c r="QE1035" s="1278"/>
      <c r="QF1035" s="1278"/>
      <c r="QG1035" s="1278"/>
      <c r="QH1035" s="1278"/>
      <c r="QI1035" s="1278"/>
      <c r="QJ1035" s="1278"/>
      <c r="QK1035" s="1278"/>
      <c r="QL1035" s="1278"/>
      <c r="QM1035" s="1278"/>
      <c r="QN1035" s="1278"/>
      <c r="QO1035" s="1278"/>
      <c r="QP1035" s="1278"/>
      <c r="QQ1035" s="1278"/>
      <c r="QR1035" s="1278"/>
      <c r="QS1035" s="1278"/>
      <c r="QT1035" s="1278"/>
      <c r="QU1035" s="1278"/>
      <c r="QV1035" s="1278"/>
      <c r="QW1035" s="1278"/>
      <c r="QX1035" s="1278"/>
      <c r="QY1035" s="1278"/>
      <c r="QZ1035" s="1278"/>
      <c r="RA1035" s="1278"/>
      <c r="RB1035" s="1278"/>
      <c r="RC1035" s="1278"/>
      <c r="RD1035" s="1278"/>
      <c r="RE1035" s="1278"/>
      <c r="RF1035" s="1278"/>
      <c r="RG1035" s="1278"/>
      <c r="RH1035" s="1278"/>
      <c r="RI1035" s="1278"/>
      <c r="RJ1035" s="1278"/>
      <c r="RK1035" s="1278"/>
      <c r="RL1035" s="1278"/>
      <c r="RM1035" s="1278"/>
      <c r="RN1035" s="1278"/>
      <c r="RO1035" s="1278"/>
      <c r="RP1035" s="1278"/>
      <c r="RQ1035" s="1278"/>
      <c r="RR1035" s="1278"/>
      <c r="RS1035" s="1278"/>
      <c r="RT1035" s="1278"/>
      <c r="RU1035" s="1278"/>
      <c r="RV1035" s="1278"/>
      <c r="RW1035" s="1278"/>
      <c r="RX1035" s="1278"/>
      <c r="RY1035" s="1278"/>
      <c r="RZ1035" s="1278"/>
      <c r="SA1035" s="1278"/>
      <c r="SB1035" s="1278"/>
      <c r="SC1035" s="1278"/>
      <c r="SD1035" s="1278"/>
      <c r="SE1035" s="1278"/>
      <c r="SF1035" s="1278"/>
      <c r="SG1035" s="1278"/>
      <c r="SH1035" s="1278"/>
      <c r="SI1035" s="1278"/>
      <c r="SJ1035" s="1278"/>
      <c r="SK1035" s="1278"/>
      <c r="SL1035" s="1278"/>
      <c r="SM1035" s="1278"/>
      <c r="SN1035" s="1278"/>
      <c r="SO1035" s="1278"/>
      <c r="SP1035" s="1278"/>
      <c r="SQ1035" s="1278"/>
      <c r="SR1035" s="1278"/>
      <c r="SS1035" s="1278"/>
      <c r="ST1035" s="1278"/>
      <c r="SU1035" s="1278"/>
      <c r="SV1035" s="1278"/>
      <c r="SW1035" s="1278"/>
      <c r="SX1035" s="1278"/>
      <c r="SY1035" s="1278"/>
      <c r="SZ1035" s="1278"/>
      <c r="TA1035" s="1278"/>
      <c r="TB1035" s="1278"/>
      <c r="TC1035" s="1278"/>
      <c r="TD1035" s="1278"/>
      <c r="TE1035" s="1278"/>
      <c r="TF1035" s="1278"/>
      <c r="TG1035" s="1278"/>
      <c r="TH1035" s="1278"/>
      <c r="TI1035" s="1278"/>
      <c r="TJ1035" s="1278"/>
      <c r="TK1035" s="1278"/>
      <c r="TL1035" s="1278"/>
      <c r="TM1035" s="1278"/>
      <c r="TN1035" s="1278"/>
      <c r="TO1035" s="1278"/>
      <c r="TP1035" s="1278"/>
      <c r="TQ1035" s="1278"/>
      <c r="TR1035" s="1278"/>
      <c r="TS1035" s="1278"/>
      <c r="TT1035" s="1278"/>
      <c r="TU1035" s="1278"/>
      <c r="TV1035" s="1278"/>
      <c r="TW1035" s="1278"/>
      <c r="TX1035" s="1278"/>
      <c r="TY1035" s="1278"/>
      <c r="TZ1035" s="1278"/>
      <c r="UA1035" s="1278"/>
      <c r="UB1035" s="1278"/>
      <c r="UC1035" s="1278"/>
      <c r="UD1035" s="1278"/>
      <c r="UE1035" s="1278"/>
      <c r="UF1035" s="1278"/>
      <c r="UG1035" s="1279"/>
    </row>
    <row r="1036" spans="1:553" s="1262" customFormat="1" ht="29.25" customHeight="1">
      <c r="A1036" s="356"/>
      <c r="B1036" s="356"/>
      <c r="C1036" s="1523" t="s">
        <v>593</v>
      </c>
      <c r="D1036" s="1528"/>
      <c r="E1036" s="1528"/>
      <c r="F1036" s="1529"/>
      <c r="G1036" s="564" t="s">
        <v>48</v>
      </c>
      <c r="H1036" s="370"/>
      <c r="I1036" s="370">
        <v>4</v>
      </c>
      <c r="J1036" s="368">
        <v>202900</v>
      </c>
      <c r="K1036" s="565">
        <v>0.7</v>
      </c>
      <c r="L1036" s="571">
        <f t="shared" ref="L1036:L1042" si="153">I1036*J1036*K1036</f>
        <v>568120</v>
      </c>
      <c r="M1036" s="356"/>
      <c r="N1036" s="356"/>
      <c r="O1036" s="356"/>
      <c r="P1036" s="356"/>
      <c r="Q1036" s="610"/>
      <c r="R1036" s="1226"/>
      <c r="S1036" s="308"/>
      <c r="T1036" s="308"/>
      <c r="U1036" s="308"/>
      <c r="V1036" s="308"/>
      <c r="W1036" s="308"/>
      <c r="X1036" s="308"/>
      <c r="Y1036" s="308"/>
      <c r="Z1036" s="604"/>
      <c r="AA1036" s="308"/>
      <c r="AB1036" s="308"/>
      <c r="AC1036" s="373"/>
      <c r="AD1036" s="373"/>
      <c r="AE1036" s="373"/>
      <c r="AF1036" s="373"/>
      <c r="AG1036" s="373"/>
      <c r="AH1036" s="373"/>
      <c r="AI1036" s="373"/>
      <c r="AJ1036" s="373"/>
      <c r="AK1036" s="389"/>
      <c r="AL1036" s="1276"/>
      <c r="AM1036" s="1277"/>
      <c r="AN1036" s="1277"/>
      <c r="AO1036" s="1277"/>
      <c r="AP1036" s="1277"/>
      <c r="AQ1036" s="1277"/>
      <c r="AR1036" s="1277"/>
      <c r="AS1036" s="1278"/>
      <c r="AT1036" s="1278"/>
      <c r="AU1036" s="1278"/>
      <c r="AV1036" s="1278"/>
      <c r="AW1036" s="1278"/>
      <c r="AX1036" s="1278"/>
      <c r="AY1036" s="1278"/>
      <c r="AZ1036" s="1278"/>
      <c r="BA1036" s="1278"/>
      <c r="BB1036" s="1278"/>
      <c r="BC1036" s="1278"/>
      <c r="BD1036" s="1278"/>
      <c r="BE1036" s="1278"/>
      <c r="BF1036" s="1278"/>
      <c r="BG1036" s="1278"/>
      <c r="BH1036" s="1278"/>
      <c r="BI1036" s="1278"/>
      <c r="BJ1036" s="1278"/>
      <c r="BK1036" s="1278"/>
      <c r="BL1036" s="1278"/>
      <c r="BM1036" s="1278"/>
      <c r="BN1036" s="1278"/>
      <c r="BO1036" s="1278"/>
      <c r="BP1036" s="1278"/>
      <c r="BQ1036" s="1278"/>
      <c r="BR1036" s="1278"/>
      <c r="BS1036" s="1278"/>
      <c r="BT1036" s="1278"/>
      <c r="BU1036" s="1278"/>
      <c r="BV1036" s="1278"/>
      <c r="BW1036" s="1278"/>
      <c r="BX1036" s="1278"/>
      <c r="BY1036" s="1278"/>
      <c r="BZ1036" s="1278"/>
      <c r="CA1036" s="1278"/>
      <c r="CB1036" s="1278"/>
      <c r="CC1036" s="1278"/>
      <c r="CD1036" s="1278"/>
      <c r="CE1036" s="1278"/>
      <c r="CF1036" s="1278"/>
      <c r="CG1036" s="1278"/>
      <c r="CH1036" s="1278"/>
      <c r="CI1036" s="1278"/>
      <c r="CJ1036" s="1278"/>
      <c r="CK1036" s="1278"/>
      <c r="CL1036" s="1278"/>
      <c r="CM1036" s="1278"/>
      <c r="CN1036" s="1278"/>
      <c r="CO1036" s="1278"/>
      <c r="CP1036" s="1278"/>
      <c r="CQ1036" s="1278"/>
      <c r="CR1036" s="1278"/>
      <c r="CS1036" s="1278"/>
      <c r="CT1036" s="1278"/>
      <c r="CU1036" s="1278"/>
      <c r="CV1036" s="1278"/>
      <c r="CW1036" s="1278"/>
      <c r="CX1036" s="1278"/>
      <c r="CY1036" s="1278"/>
      <c r="CZ1036" s="1278"/>
      <c r="DA1036" s="1278"/>
      <c r="DB1036" s="1278"/>
      <c r="DC1036" s="1278"/>
      <c r="DD1036" s="1278"/>
      <c r="DE1036" s="1278"/>
      <c r="DF1036" s="1278"/>
      <c r="DG1036" s="1278"/>
      <c r="DH1036" s="1278"/>
      <c r="DI1036" s="1278"/>
      <c r="DJ1036" s="1278"/>
      <c r="DK1036" s="1278"/>
      <c r="DL1036" s="1278"/>
      <c r="DM1036" s="1278"/>
      <c r="DN1036" s="1278"/>
      <c r="DO1036" s="1278"/>
      <c r="DP1036" s="1278"/>
      <c r="DQ1036" s="1278"/>
      <c r="DR1036" s="1278"/>
      <c r="DS1036" s="1278"/>
      <c r="DT1036" s="1278"/>
      <c r="DU1036" s="1278"/>
      <c r="DV1036" s="1278"/>
      <c r="DW1036" s="1278"/>
      <c r="DX1036" s="1278"/>
      <c r="DY1036" s="1278"/>
      <c r="DZ1036" s="1278"/>
      <c r="EA1036" s="1278"/>
      <c r="EB1036" s="1278"/>
      <c r="EC1036" s="1278"/>
      <c r="ED1036" s="1278"/>
      <c r="EE1036" s="1278"/>
      <c r="EF1036" s="1278"/>
      <c r="EG1036" s="1278"/>
      <c r="EH1036" s="1278"/>
      <c r="EI1036" s="1278"/>
      <c r="EJ1036" s="1278"/>
      <c r="EK1036" s="1278"/>
      <c r="EL1036" s="1278"/>
      <c r="EM1036" s="1278"/>
      <c r="EN1036" s="1278"/>
      <c r="EO1036" s="1278"/>
      <c r="EP1036" s="1278"/>
      <c r="EQ1036" s="1278"/>
      <c r="ER1036" s="1278"/>
      <c r="ES1036" s="1278"/>
      <c r="ET1036" s="1278"/>
      <c r="EU1036" s="1278"/>
      <c r="EV1036" s="1278"/>
      <c r="EW1036" s="1278"/>
      <c r="EX1036" s="1278"/>
      <c r="EY1036" s="1278"/>
      <c r="EZ1036" s="1278"/>
      <c r="FA1036" s="1278"/>
      <c r="FB1036" s="1278"/>
      <c r="FC1036" s="1278"/>
      <c r="FD1036" s="1278"/>
      <c r="FE1036" s="1278"/>
      <c r="FF1036" s="1278"/>
      <c r="FG1036" s="1278"/>
      <c r="FH1036" s="1278"/>
      <c r="FI1036" s="1278"/>
      <c r="FJ1036" s="1278"/>
      <c r="FK1036" s="1278"/>
      <c r="FL1036" s="1278"/>
      <c r="FM1036" s="1278"/>
      <c r="FN1036" s="1278"/>
      <c r="FO1036" s="1278"/>
      <c r="FP1036" s="1278"/>
      <c r="FQ1036" s="1278"/>
      <c r="FR1036" s="1278"/>
      <c r="FS1036" s="1278"/>
      <c r="FT1036" s="1278"/>
      <c r="FU1036" s="1278"/>
      <c r="FV1036" s="1278"/>
      <c r="FW1036" s="1278"/>
      <c r="FX1036" s="1278"/>
      <c r="FY1036" s="1278"/>
      <c r="FZ1036" s="1278"/>
      <c r="GA1036" s="1278"/>
      <c r="GB1036" s="1278"/>
      <c r="GC1036" s="1278"/>
      <c r="GD1036" s="1278"/>
      <c r="GE1036" s="1278"/>
      <c r="GF1036" s="1278"/>
      <c r="GG1036" s="1278"/>
      <c r="GH1036" s="1278"/>
      <c r="GI1036" s="1278"/>
      <c r="GJ1036" s="1278"/>
      <c r="GK1036" s="1278"/>
      <c r="GL1036" s="1278"/>
      <c r="GM1036" s="1278"/>
      <c r="GN1036" s="1278"/>
      <c r="GO1036" s="1278"/>
      <c r="GP1036" s="1278"/>
      <c r="GQ1036" s="1278"/>
      <c r="GR1036" s="1278"/>
      <c r="GS1036" s="1278"/>
      <c r="GT1036" s="1278"/>
      <c r="GU1036" s="1278"/>
      <c r="GV1036" s="1278"/>
      <c r="GW1036" s="1278"/>
      <c r="GX1036" s="1278"/>
      <c r="GY1036" s="1278"/>
      <c r="GZ1036" s="1278"/>
      <c r="HA1036" s="1278"/>
      <c r="HB1036" s="1278"/>
      <c r="HC1036" s="1278"/>
      <c r="HD1036" s="1278"/>
      <c r="HE1036" s="1278"/>
      <c r="HF1036" s="1278"/>
      <c r="HG1036" s="1278"/>
      <c r="HH1036" s="1278"/>
      <c r="HI1036" s="1278"/>
      <c r="HJ1036" s="1278"/>
      <c r="HK1036" s="1278"/>
      <c r="HL1036" s="1278"/>
      <c r="HM1036" s="1278"/>
      <c r="HN1036" s="1278"/>
      <c r="HO1036" s="1278"/>
      <c r="HP1036" s="1278"/>
      <c r="HQ1036" s="1278"/>
      <c r="HR1036" s="1278"/>
      <c r="HS1036" s="1278"/>
      <c r="HT1036" s="1278"/>
      <c r="HU1036" s="1278"/>
      <c r="HV1036" s="1278"/>
      <c r="HW1036" s="1278"/>
      <c r="HX1036" s="1278"/>
      <c r="HY1036" s="1278"/>
      <c r="HZ1036" s="1278"/>
      <c r="IA1036" s="1278"/>
      <c r="IB1036" s="1278"/>
      <c r="IC1036" s="1278"/>
      <c r="ID1036" s="1278"/>
      <c r="IE1036" s="1278"/>
      <c r="IF1036" s="1278"/>
      <c r="IG1036" s="1278"/>
      <c r="IH1036" s="1278"/>
      <c r="II1036" s="1278"/>
      <c r="IJ1036" s="1278"/>
      <c r="IK1036" s="1278"/>
      <c r="IL1036" s="1278"/>
      <c r="IM1036" s="1278"/>
      <c r="IN1036" s="1278"/>
      <c r="IO1036" s="1278"/>
      <c r="IP1036" s="1278"/>
      <c r="IQ1036" s="1278"/>
      <c r="IR1036" s="1278"/>
      <c r="IS1036" s="1278"/>
      <c r="IT1036" s="1278"/>
      <c r="IU1036" s="1278"/>
      <c r="IV1036" s="1278"/>
      <c r="IW1036" s="1278"/>
      <c r="IX1036" s="1278"/>
      <c r="IY1036" s="1278"/>
      <c r="IZ1036" s="1278"/>
      <c r="JA1036" s="1278"/>
      <c r="JB1036" s="1278"/>
      <c r="JC1036" s="1278"/>
      <c r="JD1036" s="1278"/>
      <c r="JE1036" s="1278"/>
      <c r="JF1036" s="1278"/>
      <c r="JG1036" s="1278"/>
      <c r="JH1036" s="1278"/>
      <c r="JI1036" s="1278"/>
      <c r="JJ1036" s="1278"/>
      <c r="JK1036" s="1278"/>
      <c r="JL1036" s="1278"/>
      <c r="JM1036" s="1278"/>
      <c r="JN1036" s="1278"/>
      <c r="JO1036" s="1278"/>
      <c r="JP1036" s="1278"/>
      <c r="JQ1036" s="1278"/>
      <c r="JR1036" s="1278"/>
      <c r="JS1036" s="1278"/>
      <c r="JT1036" s="1278"/>
      <c r="JU1036" s="1278"/>
      <c r="JV1036" s="1278"/>
      <c r="JW1036" s="1278"/>
      <c r="JX1036" s="1278"/>
      <c r="JY1036" s="1278"/>
      <c r="JZ1036" s="1278"/>
      <c r="KA1036" s="1278"/>
      <c r="KB1036" s="1278"/>
      <c r="KC1036" s="1278"/>
      <c r="KD1036" s="1278"/>
      <c r="KE1036" s="1278"/>
      <c r="KF1036" s="1278"/>
      <c r="KG1036" s="1278"/>
      <c r="KH1036" s="1278"/>
      <c r="KI1036" s="1278"/>
      <c r="KJ1036" s="1278"/>
      <c r="KK1036" s="1278"/>
      <c r="KL1036" s="1278"/>
      <c r="KM1036" s="1278"/>
      <c r="KN1036" s="1278"/>
      <c r="KO1036" s="1278"/>
      <c r="KP1036" s="1278"/>
      <c r="KQ1036" s="1278"/>
      <c r="KR1036" s="1278"/>
      <c r="KS1036" s="1278"/>
      <c r="KT1036" s="1278"/>
      <c r="KU1036" s="1278"/>
      <c r="KV1036" s="1278"/>
      <c r="KW1036" s="1278"/>
      <c r="KX1036" s="1278"/>
      <c r="KY1036" s="1278"/>
      <c r="KZ1036" s="1278"/>
      <c r="LA1036" s="1278"/>
      <c r="LB1036" s="1278"/>
      <c r="LC1036" s="1278"/>
      <c r="LD1036" s="1278"/>
      <c r="LE1036" s="1278"/>
      <c r="LF1036" s="1278"/>
      <c r="LG1036" s="1278"/>
      <c r="LH1036" s="1278"/>
      <c r="LI1036" s="1278"/>
      <c r="LJ1036" s="1278"/>
      <c r="LK1036" s="1278"/>
      <c r="LL1036" s="1278"/>
      <c r="LM1036" s="1278"/>
      <c r="LN1036" s="1278"/>
      <c r="LO1036" s="1278"/>
      <c r="LP1036" s="1278"/>
      <c r="LQ1036" s="1278"/>
      <c r="LR1036" s="1278"/>
      <c r="LS1036" s="1278"/>
      <c r="LT1036" s="1278"/>
      <c r="LU1036" s="1278"/>
      <c r="LV1036" s="1278"/>
      <c r="LW1036" s="1278"/>
      <c r="LX1036" s="1278"/>
      <c r="LY1036" s="1278"/>
      <c r="LZ1036" s="1278"/>
      <c r="MA1036" s="1278"/>
      <c r="MB1036" s="1278"/>
      <c r="MC1036" s="1278"/>
      <c r="MD1036" s="1278"/>
      <c r="ME1036" s="1278"/>
      <c r="MF1036" s="1278"/>
      <c r="MG1036" s="1278"/>
      <c r="MH1036" s="1278"/>
      <c r="MI1036" s="1278"/>
      <c r="MJ1036" s="1278"/>
      <c r="MK1036" s="1278"/>
      <c r="ML1036" s="1278"/>
      <c r="MM1036" s="1278"/>
      <c r="MN1036" s="1278"/>
      <c r="MO1036" s="1278"/>
      <c r="MP1036" s="1278"/>
      <c r="MQ1036" s="1278"/>
      <c r="MR1036" s="1278"/>
      <c r="MS1036" s="1278"/>
      <c r="MT1036" s="1278"/>
      <c r="MU1036" s="1278"/>
      <c r="MV1036" s="1278"/>
      <c r="MW1036" s="1278"/>
      <c r="MX1036" s="1278"/>
      <c r="MY1036" s="1278"/>
      <c r="MZ1036" s="1278"/>
      <c r="NA1036" s="1278"/>
      <c r="NB1036" s="1278"/>
      <c r="NC1036" s="1278"/>
      <c r="ND1036" s="1278"/>
      <c r="NE1036" s="1278"/>
      <c r="NF1036" s="1278"/>
      <c r="NG1036" s="1278"/>
      <c r="NH1036" s="1278"/>
      <c r="NI1036" s="1278"/>
      <c r="NJ1036" s="1278"/>
      <c r="NK1036" s="1278"/>
      <c r="NL1036" s="1278"/>
      <c r="NM1036" s="1278"/>
      <c r="NN1036" s="1278"/>
      <c r="NO1036" s="1278"/>
      <c r="NP1036" s="1278"/>
      <c r="NQ1036" s="1278"/>
      <c r="NR1036" s="1278"/>
      <c r="NS1036" s="1278"/>
      <c r="NT1036" s="1278"/>
      <c r="NU1036" s="1278"/>
      <c r="NV1036" s="1278"/>
      <c r="NW1036" s="1278"/>
      <c r="NX1036" s="1278"/>
      <c r="NY1036" s="1278"/>
      <c r="NZ1036" s="1278"/>
      <c r="OA1036" s="1278"/>
      <c r="OB1036" s="1278"/>
      <c r="OC1036" s="1278"/>
      <c r="OD1036" s="1278"/>
      <c r="OE1036" s="1278"/>
      <c r="OF1036" s="1278"/>
      <c r="OG1036" s="1278"/>
      <c r="OH1036" s="1278"/>
      <c r="OI1036" s="1278"/>
      <c r="OJ1036" s="1278"/>
      <c r="OK1036" s="1278"/>
      <c r="OL1036" s="1278"/>
      <c r="OM1036" s="1278"/>
      <c r="ON1036" s="1278"/>
      <c r="OO1036" s="1278"/>
      <c r="OP1036" s="1278"/>
      <c r="OQ1036" s="1278"/>
      <c r="OR1036" s="1278"/>
      <c r="OS1036" s="1278"/>
      <c r="OT1036" s="1278"/>
      <c r="OU1036" s="1278"/>
      <c r="OV1036" s="1278"/>
      <c r="OW1036" s="1278"/>
      <c r="OX1036" s="1278"/>
      <c r="OY1036" s="1278"/>
      <c r="OZ1036" s="1278"/>
      <c r="PA1036" s="1278"/>
      <c r="PB1036" s="1278"/>
      <c r="PC1036" s="1278"/>
      <c r="PD1036" s="1278"/>
      <c r="PE1036" s="1278"/>
      <c r="PF1036" s="1278"/>
      <c r="PG1036" s="1278"/>
      <c r="PH1036" s="1278"/>
      <c r="PI1036" s="1278"/>
      <c r="PJ1036" s="1278"/>
      <c r="PK1036" s="1278"/>
      <c r="PL1036" s="1278"/>
      <c r="PM1036" s="1278"/>
      <c r="PN1036" s="1278"/>
      <c r="PO1036" s="1278"/>
      <c r="PP1036" s="1278"/>
      <c r="PQ1036" s="1278"/>
      <c r="PR1036" s="1278"/>
      <c r="PS1036" s="1278"/>
      <c r="PT1036" s="1278"/>
      <c r="PU1036" s="1278"/>
      <c r="PV1036" s="1278"/>
      <c r="PW1036" s="1278"/>
      <c r="PX1036" s="1278"/>
      <c r="PY1036" s="1278"/>
      <c r="PZ1036" s="1278"/>
      <c r="QA1036" s="1278"/>
      <c r="QB1036" s="1278"/>
      <c r="QC1036" s="1278"/>
      <c r="QD1036" s="1278"/>
      <c r="QE1036" s="1278"/>
      <c r="QF1036" s="1278"/>
      <c r="QG1036" s="1278"/>
      <c r="QH1036" s="1278"/>
      <c r="QI1036" s="1278"/>
      <c r="QJ1036" s="1278"/>
      <c r="QK1036" s="1278"/>
      <c r="QL1036" s="1278"/>
      <c r="QM1036" s="1278"/>
      <c r="QN1036" s="1278"/>
      <c r="QO1036" s="1278"/>
      <c r="QP1036" s="1278"/>
      <c r="QQ1036" s="1278"/>
      <c r="QR1036" s="1278"/>
      <c r="QS1036" s="1278"/>
      <c r="QT1036" s="1278"/>
      <c r="QU1036" s="1278"/>
      <c r="QV1036" s="1278"/>
      <c r="QW1036" s="1278"/>
      <c r="QX1036" s="1278"/>
      <c r="QY1036" s="1278"/>
      <c r="QZ1036" s="1278"/>
      <c r="RA1036" s="1278"/>
      <c r="RB1036" s="1278"/>
      <c r="RC1036" s="1278"/>
      <c r="RD1036" s="1278"/>
      <c r="RE1036" s="1278"/>
      <c r="RF1036" s="1278"/>
      <c r="RG1036" s="1278"/>
      <c r="RH1036" s="1278"/>
      <c r="RI1036" s="1278"/>
      <c r="RJ1036" s="1278"/>
      <c r="RK1036" s="1278"/>
      <c r="RL1036" s="1278"/>
      <c r="RM1036" s="1278"/>
      <c r="RN1036" s="1278"/>
      <c r="RO1036" s="1278"/>
      <c r="RP1036" s="1278"/>
      <c r="RQ1036" s="1278"/>
      <c r="RR1036" s="1278"/>
      <c r="RS1036" s="1278"/>
      <c r="RT1036" s="1278"/>
      <c r="RU1036" s="1278"/>
      <c r="RV1036" s="1278"/>
      <c r="RW1036" s="1278"/>
      <c r="RX1036" s="1278"/>
      <c r="RY1036" s="1278"/>
      <c r="RZ1036" s="1278"/>
      <c r="SA1036" s="1278"/>
      <c r="SB1036" s="1278"/>
      <c r="SC1036" s="1278"/>
      <c r="SD1036" s="1278"/>
      <c r="SE1036" s="1278"/>
      <c r="SF1036" s="1278"/>
      <c r="SG1036" s="1278"/>
      <c r="SH1036" s="1278"/>
      <c r="SI1036" s="1278"/>
      <c r="SJ1036" s="1278"/>
      <c r="SK1036" s="1278"/>
      <c r="SL1036" s="1278"/>
      <c r="SM1036" s="1278"/>
      <c r="SN1036" s="1278"/>
      <c r="SO1036" s="1278"/>
      <c r="SP1036" s="1278"/>
      <c r="SQ1036" s="1278"/>
      <c r="SR1036" s="1278"/>
      <c r="SS1036" s="1278"/>
      <c r="ST1036" s="1278"/>
      <c r="SU1036" s="1278"/>
      <c r="SV1036" s="1278"/>
      <c r="SW1036" s="1278"/>
      <c r="SX1036" s="1278"/>
      <c r="SY1036" s="1278"/>
      <c r="SZ1036" s="1278"/>
      <c r="TA1036" s="1278"/>
      <c r="TB1036" s="1278"/>
      <c r="TC1036" s="1278"/>
      <c r="TD1036" s="1278"/>
      <c r="TE1036" s="1278"/>
      <c r="TF1036" s="1278"/>
      <c r="TG1036" s="1278"/>
      <c r="TH1036" s="1278"/>
      <c r="TI1036" s="1278"/>
      <c r="TJ1036" s="1278"/>
      <c r="TK1036" s="1278"/>
      <c r="TL1036" s="1278"/>
      <c r="TM1036" s="1278"/>
      <c r="TN1036" s="1278"/>
      <c r="TO1036" s="1278"/>
      <c r="TP1036" s="1278"/>
      <c r="TQ1036" s="1278"/>
      <c r="TR1036" s="1278"/>
      <c r="TS1036" s="1278"/>
      <c r="TT1036" s="1278"/>
      <c r="TU1036" s="1278"/>
      <c r="TV1036" s="1278"/>
      <c r="TW1036" s="1278"/>
      <c r="TX1036" s="1278"/>
      <c r="TY1036" s="1278"/>
      <c r="TZ1036" s="1278"/>
      <c r="UA1036" s="1278"/>
      <c r="UB1036" s="1278"/>
      <c r="UC1036" s="1278"/>
      <c r="UD1036" s="1278"/>
      <c r="UE1036" s="1278"/>
      <c r="UF1036" s="1278"/>
      <c r="UG1036" s="1279"/>
    </row>
    <row r="1037" spans="1:553" s="1262" customFormat="1" ht="29.25" customHeight="1">
      <c r="A1037" s="356"/>
      <c r="B1037" s="356"/>
      <c r="C1037" s="1523" t="s">
        <v>461</v>
      </c>
      <c r="D1037" s="1528"/>
      <c r="E1037" s="1528"/>
      <c r="F1037" s="1529"/>
      <c r="G1037" s="564" t="s">
        <v>48</v>
      </c>
      <c r="H1037" s="370"/>
      <c r="I1037" s="1017">
        <v>1</v>
      </c>
      <c r="J1037" s="368">
        <v>102700</v>
      </c>
      <c r="K1037" s="565">
        <v>0.7</v>
      </c>
      <c r="L1037" s="571">
        <f>I1037*J1037*K1037</f>
        <v>71890</v>
      </c>
      <c r="M1037" s="356"/>
      <c r="N1037" s="356"/>
      <c r="O1037" s="356"/>
      <c r="P1037" s="356"/>
      <c r="Q1037" s="610"/>
      <c r="R1037" s="1226"/>
      <c r="S1037" s="308"/>
      <c r="T1037" s="308"/>
      <c r="U1037" s="308"/>
      <c r="V1037" s="308"/>
      <c r="W1037" s="308"/>
      <c r="X1037" s="308"/>
      <c r="Y1037" s="308"/>
      <c r="Z1037" s="604"/>
      <c r="AA1037" s="308"/>
      <c r="AB1037" s="308"/>
      <c r="AC1037" s="373"/>
      <c r="AD1037" s="373"/>
      <c r="AE1037" s="373"/>
      <c r="AF1037" s="373"/>
      <c r="AG1037" s="373"/>
      <c r="AH1037" s="373"/>
      <c r="AI1037" s="373"/>
      <c r="AJ1037" s="373"/>
      <c r="AK1037" s="389"/>
      <c r="AL1037" s="1276"/>
      <c r="AM1037" s="1277"/>
      <c r="AN1037" s="1277"/>
      <c r="AO1037" s="1277"/>
      <c r="AP1037" s="1277"/>
      <c r="AQ1037" s="1277"/>
      <c r="AR1037" s="1277"/>
      <c r="AS1037" s="1278"/>
      <c r="AT1037" s="1278"/>
      <c r="AU1037" s="1278"/>
      <c r="AV1037" s="1278"/>
      <c r="AW1037" s="1278"/>
      <c r="AX1037" s="1278"/>
      <c r="AY1037" s="1278"/>
      <c r="AZ1037" s="1278"/>
      <c r="BA1037" s="1278"/>
      <c r="BB1037" s="1278"/>
      <c r="BC1037" s="1278"/>
      <c r="BD1037" s="1278"/>
      <c r="BE1037" s="1278"/>
      <c r="BF1037" s="1278"/>
      <c r="BG1037" s="1278"/>
      <c r="BH1037" s="1278"/>
      <c r="BI1037" s="1278"/>
      <c r="BJ1037" s="1278"/>
      <c r="BK1037" s="1278"/>
      <c r="BL1037" s="1278"/>
      <c r="BM1037" s="1278"/>
      <c r="BN1037" s="1278"/>
      <c r="BO1037" s="1278"/>
      <c r="BP1037" s="1278"/>
      <c r="BQ1037" s="1278"/>
      <c r="BR1037" s="1278"/>
      <c r="BS1037" s="1278"/>
      <c r="BT1037" s="1278"/>
      <c r="BU1037" s="1278"/>
      <c r="BV1037" s="1278"/>
      <c r="BW1037" s="1278"/>
      <c r="BX1037" s="1278"/>
      <c r="BY1037" s="1278"/>
      <c r="BZ1037" s="1278"/>
      <c r="CA1037" s="1278"/>
      <c r="CB1037" s="1278"/>
      <c r="CC1037" s="1278"/>
      <c r="CD1037" s="1278"/>
      <c r="CE1037" s="1278"/>
      <c r="CF1037" s="1278"/>
      <c r="CG1037" s="1278"/>
      <c r="CH1037" s="1278"/>
      <c r="CI1037" s="1278"/>
      <c r="CJ1037" s="1278"/>
      <c r="CK1037" s="1278"/>
      <c r="CL1037" s="1278"/>
      <c r="CM1037" s="1278"/>
      <c r="CN1037" s="1278"/>
      <c r="CO1037" s="1278"/>
      <c r="CP1037" s="1278"/>
      <c r="CQ1037" s="1278"/>
      <c r="CR1037" s="1278"/>
      <c r="CS1037" s="1278"/>
      <c r="CT1037" s="1278"/>
      <c r="CU1037" s="1278"/>
      <c r="CV1037" s="1278"/>
      <c r="CW1037" s="1278"/>
      <c r="CX1037" s="1278"/>
      <c r="CY1037" s="1278"/>
      <c r="CZ1037" s="1278"/>
      <c r="DA1037" s="1278"/>
      <c r="DB1037" s="1278"/>
      <c r="DC1037" s="1278"/>
      <c r="DD1037" s="1278"/>
      <c r="DE1037" s="1278"/>
      <c r="DF1037" s="1278"/>
      <c r="DG1037" s="1278"/>
      <c r="DH1037" s="1278"/>
      <c r="DI1037" s="1278"/>
      <c r="DJ1037" s="1278"/>
      <c r="DK1037" s="1278"/>
      <c r="DL1037" s="1278"/>
      <c r="DM1037" s="1278"/>
      <c r="DN1037" s="1278"/>
      <c r="DO1037" s="1278"/>
      <c r="DP1037" s="1278"/>
      <c r="DQ1037" s="1278"/>
      <c r="DR1037" s="1278"/>
      <c r="DS1037" s="1278"/>
      <c r="DT1037" s="1278"/>
      <c r="DU1037" s="1278"/>
      <c r="DV1037" s="1278"/>
      <c r="DW1037" s="1278"/>
      <c r="DX1037" s="1278"/>
      <c r="DY1037" s="1278"/>
      <c r="DZ1037" s="1278"/>
      <c r="EA1037" s="1278"/>
      <c r="EB1037" s="1278"/>
      <c r="EC1037" s="1278"/>
      <c r="ED1037" s="1278"/>
      <c r="EE1037" s="1278"/>
      <c r="EF1037" s="1278"/>
      <c r="EG1037" s="1278"/>
      <c r="EH1037" s="1278"/>
      <c r="EI1037" s="1278"/>
      <c r="EJ1037" s="1278"/>
      <c r="EK1037" s="1278"/>
      <c r="EL1037" s="1278"/>
      <c r="EM1037" s="1278"/>
      <c r="EN1037" s="1278"/>
      <c r="EO1037" s="1278"/>
      <c r="EP1037" s="1278"/>
      <c r="EQ1037" s="1278"/>
      <c r="ER1037" s="1278"/>
      <c r="ES1037" s="1278"/>
      <c r="ET1037" s="1278"/>
      <c r="EU1037" s="1278"/>
      <c r="EV1037" s="1278"/>
      <c r="EW1037" s="1278"/>
      <c r="EX1037" s="1278"/>
      <c r="EY1037" s="1278"/>
      <c r="EZ1037" s="1278"/>
      <c r="FA1037" s="1278"/>
      <c r="FB1037" s="1278"/>
      <c r="FC1037" s="1278"/>
      <c r="FD1037" s="1278"/>
      <c r="FE1037" s="1278"/>
      <c r="FF1037" s="1278"/>
      <c r="FG1037" s="1278"/>
      <c r="FH1037" s="1278"/>
      <c r="FI1037" s="1278"/>
      <c r="FJ1037" s="1278"/>
      <c r="FK1037" s="1278"/>
      <c r="FL1037" s="1278"/>
      <c r="FM1037" s="1278"/>
      <c r="FN1037" s="1278"/>
      <c r="FO1037" s="1278"/>
      <c r="FP1037" s="1278"/>
      <c r="FQ1037" s="1278"/>
      <c r="FR1037" s="1278"/>
      <c r="FS1037" s="1278"/>
      <c r="FT1037" s="1278"/>
      <c r="FU1037" s="1278"/>
      <c r="FV1037" s="1278"/>
      <c r="FW1037" s="1278"/>
      <c r="FX1037" s="1278"/>
      <c r="FY1037" s="1278"/>
      <c r="FZ1037" s="1278"/>
      <c r="GA1037" s="1278"/>
      <c r="GB1037" s="1278"/>
      <c r="GC1037" s="1278"/>
      <c r="GD1037" s="1278"/>
      <c r="GE1037" s="1278"/>
      <c r="GF1037" s="1278"/>
      <c r="GG1037" s="1278"/>
      <c r="GH1037" s="1278"/>
      <c r="GI1037" s="1278"/>
      <c r="GJ1037" s="1278"/>
      <c r="GK1037" s="1278"/>
      <c r="GL1037" s="1278"/>
      <c r="GM1037" s="1278"/>
      <c r="GN1037" s="1278"/>
      <c r="GO1037" s="1278"/>
      <c r="GP1037" s="1278"/>
      <c r="GQ1037" s="1278"/>
      <c r="GR1037" s="1278"/>
      <c r="GS1037" s="1278"/>
      <c r="GT1037" s="1278"/>
      <c r="GU1037" s="1278"/>
      <c r="GV1037" s="1278"/>
      <c r="GW1037" s="1278"/>
      <c r="GX1037" s="1278"/>
      <c r="GY1037" s="1278"/>
      <c r="GZ1037" s="1278"/>
      <c r="HA1037" s="1278"/>
      <c r="HB1037" s="1278"/>
      <c r="HC1037" s="1278"/>
      <c r="HD1037" s="1278"/>
      <c r="HE1037" s="1278"/>
      <c r="HF1037" s="1278"/>
      <c r="HG1037" s="1278"/>
      <c r="HH1037" s="1278"/>
      <c r="HI1037" s="1278"/>
      <c r="HJ1037" s="1278"/>
      <c r="HK1037" s="1278"/>
      <c r="HL1037" s="1278"/>
      <c r="HM1037" s="1278"/>
      <c r="HN1037" s="1278"/>
      <c r="HO1037" s="1278"/>
      <c r="HP1037" s="1278"/>
      <c r="HQ1037" s="1278"/>
      <c r="HR1037" s="1278"/>
      <c r="HS1037" s="1278"/>
      <c r="HT1037" s="1278"/>
      <c r="HU1037" s="1278"/>
      <c r="HV1037" s="1278"/>
      <c r="HW1037" s="1278"/>
      <c r="HX1037" s="1278"/>
      <c r="HY1037" s="1278"/>
      <c r="HZ1037" s="1278"/>
      <c r="IA1037" s="1278"/>
      <c r="IB1037" s="1278"/>
      <c r="IC1037" s="1278"/>
      <c r="ID1037" s="1278"/>
      <c r="IE1037" s="1278"/>
      <c r="IF1037" s="1278"/>
      <c r="IG1037" s="1278"/>
      <c r="IH1037" s="1278"/>
      <c r="II1037" s="1278"/>
      <c r="IJ1037" s="1278"/>
      <c r="IK1037" s="1278"/>
      <c r="IL1037" s="1278"/>
      <c r="IM1037" s="1278"/>
      <c r="IN1037" s="1278"/>
      <c r="IO1037" s="1278"/>
      <c r="IP1037" s="1278"/>
      <c r="IQ1037" s="1278"/>
      <c r="IR1037" s="1278"/>
      <c r="IS1037" s="1278"/>
      <c r="IT1037" s="1278"/>
      <c r="IU1037" s="1278"/>
      <c r="IV1037" s="1278"/>
      <c r="IW1037" s="1278"/>
      <c r="IX1037" s="1278"/>
      <c r="IY1037" s="1278"/>
      <c r="IZ1037" s="1278"/>
      <c r="JA1037" s="1278"/>
      <c r="JB1037" s="1278"/>
      <c r="JC1037" s="1278"/>
      <c r="JD1037" s="1278"/>
      <c r="JE1037" s="1278"/>
      <c r="JF1037" s="1278"/>
      <c r="JG1037" s="1278"/>
      <c r="JH1037" s="1278"/>
      <c r="JI1037" s="1278"/>
      <c r="JJ1037" s="1278"/>
      <c r="JK1037" s="1278"/>
      <c r="JL1037" s="1278"/>
      <c r="JM1037" s="1278"/>
      <c r="JN1037" s="1278"/>
      <c r="JO1037" s="1278"/>
      <c r="JP1037" s="1278"/>
      <c r="JQ1037" s="1278"/>
      <c r="JR1037" s="1278"/>
      <c r="JS1037" s="1278"/>
      <c r="JT1037" s="1278"/>
      <c r="JU1037" s="1278"/>
      <c r="JV1037" s="1278"/>
      <c r="JW1037" s="1278"/>
      <c r="JX1037" s="1278"/>
      <c r="JY1037" s="1278"/>
      <c r="JZ1037" s="1278"/>
      <c r="KA1037" s="1278"/>
      <c r="KB1037" s="1278"/>
      <c r="KC1037" s="1278"/>
      <c r="KD1037" s="1278"/>
      <c r="KE1037" s="1278"/>
      <c r="KF1037" s="1278"/>
      <c r="KG1037" s="1278"/>
      <c r="KH1037" s="1278"/>
      <c r="KI1037" s="1278"/>
      <c r="KJ1037" s="1278"/>
      <c r="KK1037" s="1278"/>
      <c r="KL1037" s="1278"/>
      <c r="KM1037" s="1278"/>
      <c r="KN1037" s="1278"/>
      <c r="KO1037" s="1278"/>
      <c r="KP1037" s="1278"/>
      <c r="KQ1037" s="1278"/>
      <c r="KR1037" s="1278"/>
      <c r="KS1037" s="1278"/>
      <c r="KT1037" s="1278"/>
      <c r="KU1037" s="1278"/>
      <c r="KV1037" s="1278"/>
      <c r="KW1037" s="1278"/>
      <c r="KX1037" s="1278"/>
      <c r="KY1037" s="1278"/>
      <c r="KZ1037" s="1278"/>
      <c r="LA1037" s="1278"/>
      <c r="LB1037" s="1278"/>
      <c r="LC1037" s="1278"/>
      <c r="LD1037" s="1278"/>
      <c r="LE1037" s="1278"/>
      <c r="LF1037" s="1278"/>
      <c r="LG1037" s="1278"/>
      <c r="LH1037" s="1278"/>
      <c r="LI1037" s="1278"/>
      <c r="LJ1037" s="1278"/>
      <c r="LK1037" s="1278"/>
      <c r="LL1037" s="1278"/>
      <c r="LM1037" s="1278"/>
      <c r="LN1037" s="1278"/>
      <c r="LO1037" s="1278"/>
      <c r="LP1037" s="1278"/>
      <c r="LQ1037" s="1278"/>
      <c r="LR1037" s="1278"/>
      <c r="LS1037" s="1278"/>
      <c r="LT1037" s="1278"/>
      <c r="LU1037" s="1278"/>
      <c r="LV1037" s="1278"/>
      <c r="LW1037" s="1278"/>
      <c r="LX1037" s="1278"/>
      <c r="LY1037" s="1278"/>
      <c r="LZ1037" s="1278"/>
      <c r="MA1037" s="1278"/>
      <c r="MB1037" s="1278"/>
      <c r="MC1037" s="1278"/>
      <c r="MD1037" s="1278"/>
      <c r="ME1037" s="1278"/>
      <c r="MF1037" s="1278"/>
      <c r="MG1037" s="1278"/>
      <c r="MH1037" s="1278"/>
      <c r="MI1037" s="1278"/>
      <c r="MJ1037" s="1278"/>
      <c r="MK1037" s="1278"/>
      <c r="ML1037" s="1278"/>
      <c r="MM1037" s="1278"/>
      <c r="MN1037" s="1278"/>
      <c r="MO1037" s="1278"/>
      <c r="MP1037" s="1278"/>
      <c r="MQ1037" s="1278"/>
      <c r="MR1037" s="1278"/>
      <c r="MS1037" s="1278"/>
      <c r="MT1037" s="1278"/>
      <c r="MU1037" s="1278"/>
      <c r="MV1037" s="1278"/>
      <c r="MW1037" s="1278"/>
      <c r="MX1037" s="1278"/>
      <c r="MY1037" s="1278"/>
      <c r="MZ1037" s="1278"/>
      <c r="NA1037" s="1278"/>
      <c r="NB1037" s="1278"/>
      <c r="NC1037" s="1278"/>
      <c r="ND1037" s="1278"/>
      <c r="NE1037" s="1278"/>
      <c r="NF1037" s="1278"/>
      <c r="NG1037" s="1278"/>
      <c r="NH1037" s="1278"/>
      <c r="NI1037" s="1278"/>
      <c r="NJ1037" s="1278"/>
      <c r="NK1037" s="1278"/>
      <c r="NL1037" s="1278"/>
      <c r="NM1037" s="1278"/>
      <c r="NN1037" s="1278"/>
      <c r="NO1037" s="1278"/>
      <c r="NP1037" s="1278"/>
      <c r="NQ1037" s="1278"/>
      <c r="NR1037" s="1278"/>
      <c r="NS1037" s="1278"/>
      <c r="NT1037" s="1278"/>
      <c r="NU1037" s="1278"/>
      <c r="NV1037" s="1278"/>
      <c r="NW1037" s="1278"/>
      <c r="NX1037" s="1278"/>
      <c r="NY1037" s="1278"/>
      <c r="NZ1037" s="1278"/>
      <c r="OA1037" s="1278"/>
      <c r="OB1037" s="1278"/>
      <c r="OC1037" s="1278"/>
      <c r="OD1037" s="1278"/>
      <c r="OE1037" s="1278"/>
      <c r="OF1037" s="1278"/>
      <c r="OG1037" s="1278"/>
      <c r="OH1037" s="1278"/>
      <c r="OI1037" s="1278"/>
      <c r="OJ1037" s="1278"/>
      <c r="OK1037" s="1278"/>
      <c r="OL1037" s="1278"/>
      <c r="OM1037" s="1278"/>
      <c r="ON1037" s="1278"/>
      <c r="OO1037" s="1278"/>
      <c r="OP1037" s="1278"/>
      <c r="OQ1037" s="1278"/>
      <c r="OR1037" s="1278"/>
      <c r="OS1037" s="1278"/>
      <c r="OT1037" s="1278"/>
      <c r="OU1037" s="1278"/>
      <c r="OV1037" s="1278"/>
      <c r="OW1037" s="1278"/>
      <c r="OX1037" s="1278"/>
      <c r="OY1037" s="1278"/>
      <c r="OZ1037" s="1278"/>
      <c r="PA1037" s="1278"/>
      <c r="PB1037" s="1278"/>
      <c r="PC1037" s="1278"/>
      <c r="PD1037" s="1278"/>
      <c r="PE1037" s="1278"/>
      <c r="PF1037" s="1278"/>
      <c r="PG1037" s="1278"/>
      <c r="PH1037" s="1278"/>
      <c r="PI1037" s="1278"/>
      <c r="PJ1037" s="1278"/>
      <c r="PK1037" s="1278"/>
      <c r="PL1037" s="1278"/>
      <c r="PM1037" s="1278"/>
      <c r="PN1037" s="1278"/>
      <c r="PO1037" s="1278"/>
      <c r="PP1037" s="1278"/>
      <c r="PQ1037" s="1278"/>
      <c r="PR1037" s="1278"/>
      <c r="PS1037" s="1278"/>
      <c r="PT1037" s="1278"/>
      <c r="PU1037" s="1278"/>
      <c r="PV1037" s="1278"/>
      <c r="PW1037" s="1278"/>
      <c r="PX1037" s="1278"/>
      <c r="PY1037" s="1278"/>
      <c r="PZ1037" s="1278"/>
      <c r="QA1037" s="1278"/>
      <c r="QB1037" s="1278"/>
      <c r="QC1037" s="1278"/>
      <c r="QD1037" s="1278"/>
      <c r="QE1037" s="1278"/>
      <c r="QF1037" s="1278"/>
      <c r="QG1037" s="1278"/>
      <c r="QH1037" s="1278"/>
      <c r="QI1037" s="1278"/>
      <c r="QJ1037" s="1278"/>
      <c r="QK1037" s="1278"/>
      <c r="QL1037" s="1278"/>
      <c r="QM1037" s="1278"/>
      <c r="QN1037" s="1278"/>
      <c r="QO1037" s="1278"/>
      <c r="QP1037" s="1278"/>
      <c r="QQ1037" s="1278"/>
      <c r="QR1037" s="1278"/>
      <c r="QS1037" s="1278"/>
      <c r="QT1037" s="1278"/>
      <c r="QU1037" s="1278"/>
      <c r="QV1037" s="1278"/>
      <c r="QW1037" s="1278"/>
      <c r="QX1037" s="1278"/>
      <c r="QY1037" s="1278"/>
      <c r="QZ1037" s="1278"/>
      <c r="RA1037" s="1278"/>
      <c r="RB1037" s="1278"/>
      <c r="RC1037" s="1278"/>
      <c r="RD1037" s="1278"/>
      <c r="RE1037" s="1278"/>
      <c r="RF1037" s="1278"/>
      <c r="RG1037" s="1278"/>
      <c r="RH1037" s="1278"/>
      <c r="RI1037" s="1278"/>
      <c r="RJ1037" s="1278"/>
      <c r="RK1037" s="1278"/>
      <c r="RL1037" s="1278"/>
      <c r="RM1037" s="1278"/>
      <c r="RN1037" s="1278"/>
      <c r="RO1037" s="1278"/>
      <c r="RP1037" s="1278"/>
      <c r="RQ1037" s="1278"/>
      <c r="RR1037" s="1278"/>
      <c r="RS1037" s="1278"/>
      <c r="RT1037" s="1278"/>
      <c r="RU1037" s="1278"/>
      <c r="RV1037" s="1278"/>
      <c r="RW1037" s="1278"/>
      <c r="RX1037" s="1278"/>
      <c r="RY1037" s="1278"/>
      <c r="RZ1037" s="1278"/>
      <c r="SA1037" s="1278"/>
      <c r="SB1037" s="1278"/>
      <c r="SC1037" s="1278"/>
      <c r="SD1037" s="1278"/>
      <c r="SE1037" s="1278"/>
      <c r="SF1037" s="1278"/>
      <c r="SG1037" s="1278"/>
      <c r="SH1037" s="1278"/>
      <c r="SI1037" s="1278"/>
      <c r="SJ1037" s="1278"/>
      <c r="SK1037" s="1278"/>
      <c r="SL1037" s="1278"/>
      <c r="SM1037" s="1278"/>
      <c r="SN1037" s="1278"/>
      <c r="SO1037" s="1278"/>
      <c r="SP1037" s="1278"/>
      <c r="SQ1037" s="1278"/>
      <c r="SR1037" s="1278"/>
      <c r="SS1037" s="1278"/>
      <c r="ST1037" s="1278"/>
      <c r="SU1037" s="1278"/>
      <c r="SV1037" s="1278"/>
      <c r="SW1037" s="1278"/>
      <c r="SX1037" s="1278"/>
      <c r="SY1037" s="1278"/>
      <c r="SZ1037" s="1278"/>
      <c r="TA1037" s="1278"/>
      <c r="TB1037" s="1278"/>
      <c r="TC1037" s="1278"/>
      <c r="TD1037" s="1278"/>
      <c r="TE1037" s="1278"/>
      <c r="TF1037" s="1278"/>
      <c r="TG1037" s="1278"/>
      <c r="TH1037" s="1278"/>
      <c r="TI1037" s="1278"/>
      <c r="TJ1037" s="1278"/>
      <c r="TK1037" s="1278"/>
      <c r="TL1037" s="1278"/>
      <c r="TM1037" s="1278"/>
      <c r="TN1037" s="1278"/>
      <c r="TO1037" s="1278"/>
      <c r="TP1037" s="1278"/>
      <c r="TQ1037" s="1278"/>
      <c r="TR1037" s="1278"/>
      <c r="TS1037" s="1278"/>
      <c r="TT1037" s="1278"/>
      <c r="TU1037" s="1278"/>
      <c r="TV1037" s="1278"/>
      <c r="TW1037" s="1278"/>
      <c r="TX1037" s="1278"/>
      <c r="TY1037" s="1278"/>
      <c r="TZ1037" s="1278"/>
      <c r="UA1037" s="1278"/>
      <c r="UB1037" s="1278"/>
      <c r="UC1037" s="1278"/>
      <c r="UD1037" s="1278"/>
      <c r="UE1037" s="1278"/>
      <c r="UF1037" s="1278"/>
      <c r="UG1037" s="1279"/>
    </row>
    <row r="1038" spans="1:553" s="1262" customFormat="1" ht="29.25" customHeight="1">
      <c r="A1038" s="356"/>
      <c r="B1038" s="356"/>
      <c r="C1038" s="1523" t="s">
        <v>449</v>
      </c>
      <c r="D1038" s="1528"/>
      <c r="E1038" s="1528"/>
      <c r="F1038" s="1529"/>
      <c r="G1038" s="564" t="s">
        <v>46</v>
      </c>
      <c r="H1038" s="370"/>
      <c r="I1038" s="370">
        <f>(31.98*100/400)*(17-(4-3))*3</f>
        <v>383.76</v>
      </c>
      <c r="J1038" s="368">
        <v>5800</v>
      </c>
      <c r="K1038" s="565">
        <v>0.7</v>
      </c>
      <c r="L1038" s="368">
        <f>I1038*J1038*K1038</f>
        <v>1558065.5999999999</v>
      </c>
      <c r="M1038" s="356"/>
      <c r="N1038" s="356"/>
      <c r="O1038" s="356"/>
      <c r="P1038" s="356"/>
      <c r="Q1038" s="610"/>
      <c r="R1038" s="1226"/>
      <c r="S1038" s="308"/>
      <c r="T1038" s="308"/>
      <c r="U1038" s="308"/>
      <c r="V1038" s="308"/>
      <c r="W1038" s="308"/>
      <c r="X1038" s="308"/>
      <c r="Y1038" s="308"/>
      <c r="Z1038" s="604"/>
      <c r="AA1038" s="308"/>
      <c r="AB1038" s="308"/>
      <c r="AC1038" s="373"/>
      <c r="AD1038" s="373"/>
      <c r="AE1038" s="373"/>
      <c r="AF1038" s="373"/>
      <c r="AG1038" s="373"/>
      <c r="AH1038" s="373"/>
      <c r="AI1038" s="373"/>
      <c r="AJ1038" s="373"/>
      <c r="AK1038" s="389"/>
      <c r="AL1038" s="1276"/>
      <c r="AM1038" s="1277"/>
      <c r="AN1038" s="1277"/>
      <c r="AO1038" s="1277"/>
      <c r="AP1038" s="1277"/>
      <c r="AQ1038" s="1277"/>
      <c r="AR1038" s="1277"/>
      <c r="AS1038" s="1278"/>
      <c r="AT1038" s="1278"/>
      <c r="AU1038" s="1278"/>
      <c r="AV1038" s="1278"/>
      <c r="AW1038" s="1278"/>
      <c r="AX1038" s="1278"/>
      <c r="AY1038" s="1278"/>
      <c r="AZ1038" s="1278"/>
      <c r="BA1038" s="1278"/>
      <c r="BB1038" s="1278"/>
      <c r="BC1038" s="1278"/>
      <c r="BD1038" s="1278"/>
      <c r="BE1038" s="1278"/>
      <c r="BF1038" s="1278"/>
      <c r="BG1038" s="1278"/>
      <c r="BH1038" s="1278"/>
      <c r="BI1038" s="1278"/>
      <c r="BJ1038" s="1278"/>
      <c r="BK1038" s="1278"/>
      <c r="BL1038" s="1278"/>
      <c r="BM1038" s="1278"/>
      <c r="BN1038" s="1278"/>
      <c r="BO1038" s="1278"/>
      <c r="BP1038" s="1278"/>
      <c r="BQ1038" s="1278"/>
      <c r="BR1038" s="1278"/>
      <c r="BS1038" s="1278"/>
      <c r="BT1038" s="1278"/>
      <c r="BU1038" s="1278"/>
      <c r="BV1038" s="1278"/>
      <c r="BW1038" s="1278"/>
      <c r="BX1038" s="1278"/>
      <c r="BY1038" s="1278"/>
      <c r="BZ1038" s="1278"/>
      <c r="CA1038" s="1278"/>
      <c r="CB1038" s="1278"/>
      <c r="CC1038" s="1278"/>
      <c r="CD1038" s="1278"/>
      <c r="CE1038" s="1278"/>
      <c r="CF1038" s="1278"/>
      <c r="CG1038" s="1278"/>
      <c r="CH1038" s="1278"/>
      <c r="CI1038" s="1278"/>
      <c r="CJ1038" s="1278"/>
      <c r="CK1038" s="1278"/>
      <c r="CL1038" s="1278"/>
      <c r="CM1038" s="1278"/>
      <c r="CN1038" s="1278"/>
      <c r="CO1038" s="1278"/>
      <c r="CP1038" s="1278"/>
      <c r="CQ1038" s="1278"/>
      <c r="CR1038" s="1278"/>
      <c r="CS1038" s="1278"/>
      <c r="CT1038" s="1278"/>
      <c r="CU1038" s="1278"/>
      <c r="CV1038" s="1278"/>
      <c r="CW1038" s="1278"/>
      <c r="CX1038" s="1278"/>
      <c r="CY1038" s="1278"/>
      <c r="CZ1038" s="1278"/>
      <c r="DA1038" s="1278"/>
      <c r="DB1038" s="1278"/>
      <c r="DC1038" s="1278"/>
      <c r="DD1038" s="1278"/>
      <c r="DE1038" s="1278"/>
      <c r="DF1038" s="1278"/>
      <c r="DG1038" s="1278"/>
      <c r="DH1038" s="1278"/>
      <c r="DI1038" s="1278"/>
      <c r="DJ1038" s="1278"/>
      <c r="DK1038" s="1278"/>
      <c r="DL1038" s="1278"/>
      <c r="DM1038" s="1278"/>
      <c r="DN1038" s="1278"/>
      <c r="DO1038" s="1278"/>
      <c r="DP1038" s="1278"/>
      <c r="DQ1038" s="1278"/>
      <c r="DR1038" s="1278"/>
      <c r="DS1038" s="1278"/>
      <c r="DT1038" s="1278"/>
      <c r="DU1038" s="1278"/>
      <c r="DV1038" s="1278"/>
      <c r="DW1038" s="1278"/>
      <c r="DX1038" s="1278"/>
      <c r="DY1038" s="1278"/>
      <c r="DZ1038" s="1278"/>
      <c r="EA1038" s="1278"/>
      <c r="EB1038" s="1278"/>
      <c r="EC1038" s="1278"/>
      <c r="ED1038" s="1278"/>
      <c r="EE1038" s="1278"/>
      <c r="EF1038" s="1278"/>
      <c r="EG1038" s="1278"/>
      <c r="EH1038" s="1278"/>
      <c r="EI1038" s="1278"/>
      <c r="EJ1038" s="1278"/>
      <c r="EK1038" s="1278"/>
      <c r="EL1038" s="1278"/>
      <c r="EM1038" s="1278"/>
      <c r="EN1038" s="1278"/>
      <c r="EO1038" s="1278"/>
      <c r="EP1038" s="1278"/>
      <c r="EQ1038" s="1278"/>
      <c r="ER1038" s="1278"/>
      <c r="ES1038" s="1278"/>
      <c r="ET1038" s="1278"/>
      <c r="EU1038" s="1278"/>
      <c r="EV1038" s="1278"/>
      <c r="EW1038" s="1278"/>
      <c r="EX1038" s="1278"/>
      <c r="EY1038" s="1278"/>
      <c r="EZ1038" s="1278"/>
      <c r="FA1038" s="1278"/>
      <c r="FB1038" s="1278"/>
      <c r="FC1038" s="1278"/>
      <c r="FD1038" s="1278"/>
      <c r="FE1038" s="1278"/>
      <c r="FF1038" s="1278"/>
      <c r="FG1038" s="1278"/>
      <c r="FH1038" s="1278"/>
      <c r="FI1038" s="1278"/>
      <c r="FJ1038" s="1278"/>
      <c r="FK1038" s="1278"/>
      <c r="FL1038" s="1278"/>
      <c r="FM1038" s="1278"/>
      <c r="FN1038" s="1278"/>
      <c r="FO1038" s="1278"/>
      <c r="FP1038" s="1278"/>
      <c r="FQ1038" s="1278"/>
      <c r="FR1038" s="1278"/>
      <c r="FS1038" s="1278"/>
      <c r="FT1038" s="1278"/>
      <c r="FU1038" s="1278"/>
      <c r="FV1038" s="1278"/>
      <c r="FW1038" s="1278"/>
      <c r="FX1038" s="1278"/>
      <c r="FY1038" s="1278"/>
      <c r="FZ1038" s="1278"/>
      <c r="GA1038" s="1278"/>
      <c r="GB1038" s="1278"/>
      <c r="GC1038" s="1278"/>
      <c r="GD1038" s="1278"/>
      <c r="GE1038" s="1278"/>
      <c r="GF1038" s="1278"/>
      <c r="GG1038" s="1278"/>
      <c r="GH1038" s="1278"/>
      <c r="GI1038" s="1278"/>
      <c r="GJ1038" s="1278"/>
      <c r="GK1038" s="1278"/>
      <c r="GL1038" s="1278"/>
      <c r="GM1038" s="1278"/>
      <c r="GN1038" s="1278"/>
      <c r="GO1038" s="1278"/>
      <c r="GP1038" s="1278"/>
      <c r="GQ1038" s="1278"/>
      <c r="GR1038" s="1278"/>
      <c r="GS1038" s="1278"/>
      <c r="GT1038" s="1278"/>
      <c r="GU1038" s="1278"/>
      <c r="GV1038" s="1278"/>
      <c r="GW1038" s="1278"/>
      <c r="GX1038" s="1278"/>
      <c r="GY1038" s="1278"/>
      <c r="GZ1038" s="1278"/>
      <c r="HA1038" s="1278"/>
      <c r="HB1038" s="1278"/>
      <c r="HC1038" s="1278"/>
      <c r="HD1038" s="1278"/>
      <c r="HE1038" s="1278"/>
      <c r="HF1038" s="1278"/>
      <c r="HG1038" s="1278"/>
      <c r="HH1038" s="1278"/>
      <c r="HI1038" s="1278"/>
      <c r="HJ1038" s="1278"/>
      <c r="HK1038" s="1278"/>
      <c r="HL1038" s="1278"/>
      <c r="HM1038" s="1278"/>
      <c r="HN1038" s="1278"/>
      <c r="HO1038" s="1278"/>
      <c r="HP1038" s="1278"/>
      <c r="HQ1038" s="1278"/>
      <c r="HR1038" s="1278"/>
      <c r="HS1038" s="1278"/>
      <c r="HT1038" s="1278"/>
      <c r="HU1038" s="1278"/>
      <c r="HV1038" s="1278"/>
      <c r="HW1038" s="1278"/>
      <c r="HX1038" s="1278"/>
      <c r="HY1038" s="1278"/>
      <c r="HZ1038" s="1278"/>
      <c r="IA1038" s="1278"/>
      <c r="IB1038" s="1278"/>
      <c r="IC1038" s="1278"/>
      <c r="ID1038" s="1278"/>
      <c r="IE1038" s="1278"/>
      <c r="IF1038" s="1278"/>
      <c r="IG1038" s="1278"/>
      <c r="IH1038" s="1278"/>
      <c r="II1038" s="1278"/>
      <c r="IJ1038" s="1278"/>
      <c r="IK1038" s="1278"/>
      <c r="IL1038" s="1278"/>
      <c r="IM1038" s="1278"/>
      <c r="IN1038" s="1278"/>
      <c r="IO1038" s="1278"/>
      <c r="IP1038" s="1278"/>
      <c r="IQ1038" s="1278"/>
      <c r="IR1038" s="1278"/>
      <c r="IS1038" s="1278"/>
      <c r="IT1038" s="1278"/>
      <c r="IU1038" s="1278"/>
      <c r="IV1038" s="1278"/>
      <c r="IW1038" s="1278"/>
      <c r="IX1038" s="1278"/>
      <c r="IY1038" s="1278"/>
      <c r="IZ1038" s="1278"/>
      <c r="JA1038" s="1278"/>
      <c r="JB1038" s="1278"/>
      <c r="JC1038" s="1278"/>
      <c r="JD1038" s="1278"/>
      <c r="JE1038" s="1278"/>
      <c r="JF1038" s="1278"/>
      <c r="JG1038" s="1278"/>
      <c r="JH1038" s="1278"/>
      <c r="JI1038" s="1278"/>
      <c r="JJ1038" s="1278"/>
      <c r="JK1038" s="1278"/>
      <c r="JL1038" s="1278"/>
      <c r="JM1038" s="1278"/>
      <c r="JN1038" s="1278"/>
      <c r="JO1038" s="1278"/>
      <c r="JP1038" s="1278"/>
      <c r="JQ1038" s="1278"/>
      <c r="JR1038" s="1278"/>
      <c r="JS1038" s="1278"/>
      <c r="JT1038" s="1278"/>
      <c r="JU1038" s="1278"/>
      <c r="JV1038" s="1278"/>
      <c r="JW1038" s="1278"/>
      <c r="JX1038" s="1278"/>
      <c r="JY1038" s="1278"/>
      <c r="JZ1038" s="1278"/>
      <c r="KA1038" s="1278"/>
      <c r="KB1038" s="1278"/>
      <c r="KC1038" s="1278"/>
      <c r="KD1038" s="1278"/>
      <c r="KE1038" s="1278"/>
      <c r="KF1038" s="1278"/>
      <c r="KG1038" s="1278"/>
      <c r="KH1038" s="1278"/>
      <c r="KI1038" s="1278"/>
      <c r="KJ1038" s="1278"/>
      <c r="KK1038" s="1278"/>
      <c r="KL1038" s="1278"/>
      <c r="KM1038" s="1278"/>
      <c r="KN1038" s="1278"/>
      <c r="KO1038" s="1278"/>
      <c r="KP1038" s="1278"/>
      <c r="KQ1038" s="1278"/>
      <c r="KR1038" s="1278"/>
      <c r="KS1038" s="1278"/>
      <c r="KT1038" s="1278"/>
      <c r="KU1038" s="1278"/>
      <c r="KV1038" s="1278"/>
      <c r="KW1038" s="1278"/>
      <c r="KX1038" s="1278"/>
      <c r="KY1038" s="1278"/>
      <c r="KZ1038" s="1278"/>
      <c r="LA1038" s="1278"/>
      <c r="LB1038" s="1278"/>
      <c r="LC1038" s="1278"/>
      <c r="LD1038" s="1278"/>
      <c r="LE1038" s="1278"/>
      <c r="LF1038" s="1278"/>
      <c r="LG1038" s="1278"/>
      <c r="LH1038" s="1278"/>
      <c r="LI1038" s="1278"/>
      <c r="LJ1038" s="1278"/>
      <c r="LK1038" s="1278"/>
      <c r="LL1038" s="1278"/>
      <c r="LM1038" s="1278"/>
      <c r="LN1038" s="1278"/>
      <c r="LO1038" s="1278"/>
      <c r="LP1038" s="1278"/>
      <c r="LQ1038" s="1278"/>
      <c r="LR1038" s="1278"/>
      <c r="LS1038" s="1278"/>
      <c r="LT1038" s="1278"/>
      <c r="LU1038" s="1278"/>
      <c r="LV1038" s="1278"/>
      <c r="LW1038" s="1278"/>
      <c r="LX1038" s="1278"/>
      <c r="LY1038" s="1278"/>
      <c r="LZ1038" s="1278"/>
      <c r="MA1038" s="1278"/>
      <c r="MB1038" s="1278"/>
      <c r="MC1038" s="1278"/>
      <c r="MD1038" s="1278"/>
      <c r="ME1038" s="1278"/>
      <c r="MF1038" s="1278"/>
      <c r="MG1038" s="1278"/>
      <c r="MH1038" s="1278"/>
      <c r="MI1038" s="1278"/>
      <c r="MJ1038" s="1278"/>
      <c r="MK1038" s="1278"/>
      <c r="ML1038" s="1278"/>
      <c r="MM1038" s="1278"/>
      <c r="MN1038" s="1278"/>
      <c r="MO1038" s="1278"/>
      <c r="MP1038" s="1278"/>
      <c r="MQ1038" s="1278"/>
      <c r="MR1038" s="1278"/>
      <c r="MS1038" s="1278"/>
      <c r="MT1038" s="1278"/>
      <c r="MU1038" s="1278"/>
      <c r="MV1038" s="1278"/>
      <c r="MW1038" s="1278"/>
      <c r="MX1038" s="1278"/>
      <c r="MY1038" s="1278"/>
      <c r="MZ1038" s="1278"/>
      <c r="NA1038" s="1278"/>
      <c r="NB1038" s="1278"/>
      <c r="NC1038" s="1278"/>
      <c r="ND1038" s="1278"/>
      <c r="NE1038" s="1278"/>
      <c r="NF1038" s="1278"/>
      <c r="NG1038" s="1278"/>
      <c r="NH1038" s="1278"/>
      <c r="NI1038" s="1278"/>
      <c r="NJ1038" s="1278"/>
      <c r="NK1038" s="1278"/>
      <c r="NL1038" s="1278"/>
      <c r="NM1038" s="1278"/>
      <c r="NN1038" s="1278"/>
      <c r="NO1038" s="1278"/>
      <c r="NP1038" s="1278"/>
      <c r="NQ1038" s="1278"/>
      <c r="NR1038" s="1278"/>
      <c r="NS1038" s="1278"/>
      <c r="NT1038" s="1278"/>
      <c r="NU1038" s="1278"/>
      <c r="NV1038" s="1278"/>
      <c r="NW1038" s="1278"/>
      <c r="NX1038" s="1278"/>
      <c r="NY1038" s="1278"/>
      <c r="NZ1038" s="1278"/>
      <c r="OA1038" s="1278"/>
      <c r="OB1038" s="1278"/>
      <c r="OC1038" s="1278"/>
      <c r="OD1038" s="1278"/>
      <c r="OE1038" s="1278"/>
      <c r="OF1038" s="1278"/>
      <c r="OG1038" s="1278"/>
      <c r="OH1038" s="1278"/>
      <c r="OI1038" s="1278"/>
      <c r="OJ1038" s="1278"/>
      <c r="OK1038" s="1278"/>
      <c r="OL1038" s="1278"/>
      <c r="OM1038" s="1278"/>
      <c r="ON1038" s="1278"/>
      <c r="OO1038" s="1278"/>
      <c r="OP1038" s="1278"/>
      <c r="OQ1038" s="1278"/>
      <c r="OR1038" s="1278"/>
      <c r="OS1038" s="1278"/>
      <c r="OT1038" s="1278"/>
      <c r="OU1038" s="1278"/>
      <c r="OV1038" s="1278"/>
      <c r="OW1038" s="1278"/>
      <c r="OX1038" s="1278"/>
      <c r="OY1038" s="1278"/>
      <c r="OZ1038" s="1278"/>
      <c r="PA1038" s="1278"/>
      <c r="PB1038" s="1278"/>
      <c r="PC1038" s="1278"/>
      <c r="PD1038" s="1278"/>
      <c r="PE1038" s="1278"/>
      <c r="PF1038" s="1278"/>
      <c r="PG1038" s="1278"/>
      <c r="PH1038" s="1278"/>
      <c r="PI1038" s="1278"/>
      <c r="PJ1038" s="1278"/>
      <c r="PK1038" s="1278"/>
      <c r="PL1038" s="1278"/>
      <c r="PM1038" s="1278"/>
      <c r="PN1038" s="1278"/>
      <c r="PO1038" s="1278"/>
      <c r="PP1038" s="1278"/>
      <c r="PQ1038" s="1278"/>
      <c r="PR1038" s="1278"/>
      <c r="PS1038" s="1278"/>
      <c r="PT1038" s="1278"/>
      <c r="PU1038" s="1278"/>
      <c r="PV1038" s="1278"/>
      <c r="PW1038" s="1278"/>
      <c r="PX1038" s="1278"/>
      <c r="PY1038" s="1278"/>
      <c r="PZ1038" s="1278"/>
      <c r="QA1038" s="1278"/>
      <c r="QB1038" s="1278"/>
      <c r="QC1038" s="1278"/>
      <c r="QD1038" s="1278"/>
      <c r="QE1038" s="1278"/>
      <c r="QF1038" s="1278"/>
      <c r="QG1038" s="1278"/>
      <c r="QH1038" s="1278"/>
      <c r="QI1038" s="1278"/>
      <c r="QJ1038" s="1278"/>
      <c r="QK1038" s="1278"/>
      <c r="QL1038" s="1278"/>
      <c r="QM1038" s="1278"/>
      <c r="QN1038" s="1278"/>
      <c r="QO1038" s="1278"/>
      <c r="QP1038" s="1278"/>
      <c r="QQ1038" s="1278"/>
      <c r="QR1038" s="1278"/>
      <c r="QS1038" s="1278"/>
      <c r="QT1038" s="1278"/>
      <c r="QU1038" s="1278"/>
      <c r="QV1038" s="1278"/>
      <c r="QW1038" s="1278"/>
      <c r="QX1038" s="1278"/>
      <c r="QY1038" s="1278"/>
      <c r="QZ1038" s="1278"/>
      <c r="RA1038" s="1278"/>
      <c r="RB1038" s="1278"/>
      <c r="RC1038" s="1278"/>
      <c r="RD1038" s="1278"/>
      <c r="RE1038" s="1278"/>
      <c r="RF1038" s="1278"/>
      <c r="RG1038" s="1278"/>
      <c r="RH1038" s="1278"/>
      <c r="RI1038" s="1278"/>
      <c r="RJ1038" s="1278"/>
      <c r="RK1038" s="1278"/>
      <c r="RL1038" s="1278"/>
      <c r="RM1038" s="1278"/>
      <c r="RN1038" s="1278"/>
      <c r="RO1038" s="1278"/>
      <c r="RP1038" s="1278"/>
      <c r="RQ1038" s="1278"/>
      <c r="RR1038" s="1278"/>
      <c r="RS1038" s="1278"/>
      <c r="RT1038" s="1278"/>
      <c r="RU1038" s="1278"/>
      <c r="RV1038" s="1278"/>
      <c r="RW1038" s="1278"/>
      <c r="RX1038" s="1278"/>
      <c r="RY1038" s="1278"/>
      <c r="RZ1038" s="1278"/>
      <c r="SA1038" s="1278"/>
      <c r="SB1038" s="1278"/>
      <c r="SC1038" s="1278"/>
      <c r="SD1038" s="1278"/>
      <c r="SE1038" s="1278"/>
      <c r="SF1038" s="1278"/>
      <c r="SG1038" s="1278"/>
      <c r="SH1038" s="1278"/>
      <c r="SI1038" s="1278"/>
      <c r="SJ1038" s="1278"/>
      <c r="SK1038" s="1278"/>
      <c r="SL1038" s="1278"/>
      <c r="SM1038" s="1278"/>
      <c r="SN1038" s="1278"/>
      <c r="SO1038" s="1278"/>
      <c r="SP1038" s="1278"/>
      <c r="SQ1038" s="1278"/>
      <c r="SR1038" s="1278"/>
      <c r="SS1038" s="1278"/>
      <c r="ST1038" s="1278"/>
      <c r="SU1038" s="1278"/>
      <c r="SV1038" s="1278"/>
      <c r="SW1038" s="1278"/>
      <c r="SX1038" s="1278"/>
      <c r="SY1038" s="1278"/>
      <c r="SZ1038" s="1278"/>
      <c r="TA1038" s="1278"/>
      <c r="TB1038" s="1278"/>
      <c r="TC1038" s="1278"/>
      <c r="TD1038" s="1278"/>
      <c r="TE1038" s="1278"/>
      <c r="TF1038" s="1278"/>
      <c r="TG1038" s="1278"/>
      <c r="TH1038" s="1278"/>
      <c r="TI1038" s="1278"/>
      <c r="TJ1038" s="1278"/>
      <c r="TK1038" s="1278"/>
      <c r="TL1038" s="1278"/>
      <c r="TM1038" s="1278"/>
      <c r="TN1038" s="1278"/>
      <c r="TO1038" s="1278"/>
      <c r="TP1038" s="1278"/>
      <c r="TQ1038" s="1278"/>
      <c r="TR1038" s="1278"/>
      <c r="TS1038" s="1278"/>
      <c r="TT1038" s="1278"/>
      <c r="TU1038" s="1278"/>
      <c r="TV1038" s="1278"/>
      <c r="TW1038" s="1278"/>
      <c r="TX1038" s="1278"/>
      <c r="TY1038" s="1278"/>
      <c r="TZ1038" s="1278"/>
      <c r="UA1038" s="1278"/>
      <c r="UB1038" s="1278"/>
      <c r="UC1038" s="1278"/>
      <c r="UD1038" s="1278"/>
      <c r="UE1038" s="1278"/>
      <c r="UF1038" s="1278"/>
      <c r="UG1038" s="1279"/>
    </row>
    <row r="1039" spans="1:553" s="1262" customFormat="1" ht="29.25" customHeight="1">
      <c r="A1039" s="356"/>
      <c r="B1039" s="356"/>
      <c r="C1039" s="1523" t="s">
        <v>272</v>
      </c>
      <c r="D1039" s="1528"/>
      <c r="E1039" s="1528"/>
      <c r="F1039" s="1529"/>
      <c r="G1039" s="564" t="s">
        <v>46</v>
      </c>
      <c r="H1039" s="370"/>
      <c r="I1039" s="370">
        <f>(20.51*100/400)*(12-(5-3))*1</f>
        <v>51.275000000000006</v>
      </c>
      <c r="J1039" s="368">
        <v>3100</v>
      </c>
      <c r="K1039" s="565">
        <v>0.7</v>
      </c>
      <c r="L1039" s="571">
        <f t="shared" si="153"/>
        <v>111266.75000000001</v>
      </c>
      <c r="M1039" s="356"/>
      <c r="N1039" s="356"/>
      <c r="O1039" s="356"/>
      <c r="P1039" s="356"/>
      <c r="Q1039" s="610"/>
      <c r="R1039" s="1226"/>
      <c r="S1039" s="308"/>
      <c r="T1039" s="308"/>
      <c r="U1039" s="308"/>
      <c r="V1039" s="308"/>
      <c r="W1039" s="308"/>
      <c r="X1039" s="308"/>
      <c r="Y1039" s="308"/>
      <c r="Z1039" s="604"/>
      <c r="AA1039" s="308"/>
      <c r="AB1039" s="308"/>
      <c r="AC1039" s="373"/>
      <c r="AD1039" s="373"/>
      <c r="AE1039" s="373"/>
      <c r="AF1039" s="373"/>
      <c r="AG1039" s="373"/>
      <c r="AH1039" s="373"/>
      <c r="AI1039" s="373"/>
      <c r="AJ1039" s="373"/>
      <c r="AK1039" s="389"/>
      <c r="AL1039" s="1276"/>
      <c r="AM1039" s="1277"/>
      <c r="AN1039" s="1277"/>
      <c r="AO1039" s="1277"/>
      <c r="AP1039" s="1277"/>
      <c r="AQ1039" s="1277"/>
      <c r="AR1039" s="1277"/>
      <c r="AS1039" s="1278"/>
      <c r="AT1039" s="1278"/>
      <c r="AU1039" s="1278"/>
      <c r="AV1039" s="1278"/>
      <c r="AW1039" s="1278"/>
      <c r="AX1039" s="1278"/>
      <c r="AY1039" s="1278"/>
      <c r="AZ1039" s="1278"/>
      <c r="BA1039" s="1278"/>
      <c r="BB1039" s="1278"/>
      <c r="BC1039" s="1278"/>
      <c r="BD1039" s="1278"/>
      <c r="BE1039" s="1278"/>
      <c r="BF1039" s="1278"/>
      <c r="BG1039" s="1278"/>
      <c r="BH1039" s="1278"/>
      <c r="BI1039" s="1278"/>
      <c r="BJ1039" s="1278"/>
      <c r="BK1039" s="1278"/>
      <c r="BL1039" s="1278"/>
      <c r="BM1039" s="1278"/>
      <c r="BN1039" s="1278"/>
      <c r="BO1039" s="1278"/>
      <c r="BP1039" s="1278"/>
      <c r="BQ1039" s="1278"/>
      <c r="BR1039" s="1278"/>
      <c r="BS1039" s="1278"/>
      <c r="BT1039" s="1278"/>
      <c r="BU1039" s="1278"/>
      <c r="BV1039" s="1278"/>
      <c r="BW1039" s="1278"/>
      <c r="BX1039" s="1278"/>
      <c r="BY1039" s="1278"/>
      <c r="BZ1039" s="1278"/>
      <c r="CA1039" s="1278"/>
      <c r="CB1039" s="1278"/>
      <c r="CC1039" s="1278"/>
      <c r="CD1039" s="1278"/>
      <c r="CE1039" s="1278"/>
      <c r="CF1039" s="1278"/>
      <c r="CG1039" s="1278"/>
      <c r="CH1039" s="1278"/>
      <c r="CI1039" s="1278"/>
      <c r="CJ1039" s="1278"/>
      <c r="CK1039" s="1278"/>
      <c r="CL1039" s="1278"/>
      <c r="CM1039" s="1278"/>
      <c r="CN1039" s="1278"/>
      <c r="CO1039" s="1278"/>
      <c r="CP1039" s="1278"/>
      <c r="CQ1039" s="1278"/>
      <c r="CR1039" s="1278"/>
      <c r="CS1039" s="1278"/>
      <c r="CT1039" s="1278"/>
      <c r="CU1039" s="1278"/>
      <c r="CV1039" s="1278"/>
      <c r="CW1039" s="1278"/>
      <c r="CX1039" s="1278"/>
      <c r="CY1039" s="1278"/>
      <c r="CZ1039" s="1278"/>
      <c r="DA1039" s="1278"/>
      <c r="DB1039" s="1278"/>
      <c r="DC1039" s="1278"/>
      <c r="DD1039" s="1278"/>
      <c r="DE1039" s="1278"/>
      <c r="DF1039" s="1278"/>
      <c r="DG1039" s="1278"/>
      <c r="DH1039" s="1278"/>
      <c r="DI1039" s="1278"/>
      <c r="DJ1039" s="1278"/>
      <c r="DK1039" s="1278"/>
      <c r="DL1039" s="1278"/>
      <c r="DM1039" s="1278"/>
      <c r="DN1039" s="1278"/>
      <c r="DO1039" s="1278"/>
      <c r="DP1039" s="1278"/>
      <c r="DQ1039" s="1278"/>
      <c r="DR1039" s="1278"/>
      <c r="DS1039" s="1278"/>
      <c r="DT1039" s="1278"/>
      <c r="DU1039" s="1278"/>
      <c r="DV1039" s="1278"/>
      <c r="DW1039" s="1278"/>
      <c r="DX1039" s="1278"/>
      <c r="DY1039" s="1278"/>
      <c r="DZ1039" s="1278"/>
      <c r="EA1039" s="1278"/>
      <c r="EB1039" s="1278"/>
      <c r="EC1039" s="1278"/>
      <c r="ED1039" s="1278"/>
      <c r="EE1039" s="1278"/>
      <c r="EF1039" s="1278"/>
      <c r="EG1039" s="1278"/>
      <c r="EH1039" s="1278"/>
      <c r="EI1039" s="1278"/>
      <c r="EJ1039" s="1278"/>
      <c r="EK1039" s="1278"/>
      <c r="EL1039" s="1278"/>
      <c r="EM1039" s="1278"/>
      <c r="EN1039" s="1278"/>
      <c r="EO1039" s="1278"/>
      <c r="EP1039" s="1278"/>
      <c r="EQ1039" s="1278"/>
      <c r="ER1039" s="1278"/>
      <c r="ES1039" s="1278"/>
      <c r="ET1039" s="1278"/>
      <c r="EU1039" s="1278"/>
      <c r="EV1039" s="1278"/>
      <c r="EW1039" s="1278"/>
      <c r="EX1039" s="1278"/>
      <c r="EY1039" s="1278"/>
      <c r="EZ1039" s="1278"/>
      <c r="FA1039" s="1278"/>
      <c r="FB1039" s="1278"/>
      <c r="FC1039" s="1278"/>
      <c r="FD1039" s="1278"/>
      <c r="FE1039" s="1278"/>
      <c r="FF1039" s="1278"/>
      <c r="FG1039" s="1278"/>
      <c r="FH1039" s="1278"/>
      <c r="FI1039" s="1278"/>
      <c r="FJ1039" s="1278"/>
      <c r="FK1039" s="1278"/>
      <c r="FL1039" s="1278"/>
      <c r="FM1039" s="1278"/>
      <c r="FN1039" s="1278"/>
      <c r="FO1039" s="1278"/>
      <c r="FP1039" s="1278"/>
      <c r="FQ1039" s="1278"/>
      <c r="FR1039" s="1278"/>
      <c r="FS1039" s="1278"/>
      <c r="FT1039" s="1278"/>
      <c r="FU1039" s="1278"/>
      <c r="FV1039" s="1278"/>
      <c r="FW1039" s="1278"/>
      <c r="FX1039" s="1278"/>
      <c r="FY1039" s="1278"/>
      <c r="FZ1039" s="1278"/>
      <c r="GA1039" s="1278"/>
      <c r="GB1039" s="1278"/>
      <c r="GC1039" s="1278"/>
      <c r="GD1039" s="1278"/>
      <c r="GE1039" s="1278"/>
      <c r="GF1039" s="1278"/>
      <c r="GG1039" s="1278"/>
      <c r="GH1039" s="1278"/>
      <c r="GI1039" s="1278"/>
      <c r="GJ1039" s="1278"/>
      <c r="GK1039" s="1278"/>
      <c r="GL1039" s="1278"/>
      <c r="GM1039" s="1278"/>
      <c r="GN1039" s="1278"/>
      <c r="GO1039" s="1278"/>
      <c r="GP1039" s="1278"/>
      <c r="GQ1039" s="1278"/>
      <c r="GR1039" s="1278"/>
      <c r="GS1039" s="1278"/>
      <c r="GT1039" s="1278"/>
      <c r="GU1039" s="1278"/>
      <c r="GV1039" s="1278"/>
      <c r="GW1039" s="1278"/>
      <c r="GX1039" s="1278"/>
      <c r="GY1039" s="1278"/>
      <c r="GZ1039" s="1278"/>
      <c r="HA1039" s="1278"/>
      <c r="HB1039" s="1278"/>
      <c r="HC1039" s="1278"/>
      <c r="HD1039" s="1278"/>
      <c r="HE1039" s="1278"/>
      <c r="HF1039" s="1278"/>
      <c r="HG1039" s="1278"/>
      <c r="HH1039" s="1278"/>
      <c r="HI1039" s="1278"/>
      <c r="HJ1039" s="1278"/>
      <c r="HK1039" s="1278"/>
      <c r="HL1039" s="1278"/>
      <c r="HM1039" s="1278"/>
      <c r="HN1039" s="1278"/>
      <c r="HO1039" s="1278"/>
      <c r="HP1039" s="1278"/>
      <c r="HQ1039" s="1278"/>
      <c r="HR1039" s="1278"/>
      <c r="HS1039" s="1278"/>
      <c r="HT1039" s="1278"/>
      <c r="HU1039" s="1278"/>
      <c r="HV1039" s="1278"/>
      <c r="HW1039" s="1278"/>
      <c r="HX1039" s="1278"/>
      <c r="HY1039" s="1278"/>
      <c r="HZ1039" s="1278"/>
      <c r="IA1039" s="1278"/>
      <c r="IB1039" s="1278"/>
      <c r="IC1039" s="1278"/>
      <c r="ID1039" s="1278"/>
      <c r="IE1039" s="1278"/>
      <c r="IF1039" s="1278"/>
      <c r="IG1039" s="1278"/>
      <c r="IH1039" s="1278"/>
      <c r="II1039" s="1278"/>
      <c r="IJ1039" s="1278"/>
      <c r="IK1039" s="1278"/>
      <c r="IL1039" s="1278"/>
      <c r="IM1039" s="1278"/>
      <c r="IN1039" s="1278"/>
      <c r="IO1039" s="1278"/>
      <c r="IP1039" s="1278"/>
      <c r="IQ1039" s="1278"/>
      <c r="IR1039" s="1278"/>
      <c r="IS1039" s="1278"/>
      <c r="IT1039" s="1278"/>
      <c r="IU1039" s="1278"/>
      <c r="IV1039" s="1278"/>
      <c r="IW1039" s="1278"/>
      <c r="IX1039" s="1278"/>
      <c r="IY1039" s="1278"/>
      <c r="IZ1039" s="1278"/>
      <c r="JA1039" s="1278"/>
      <c r="JB1039" s="1278"/>
      <c r="JC1039" s="1278"/>
      <c r="JD1039" s="1278"/>
      <c r="JE1039" s="1278"/>
      <c r="JF1039" s="1278"/>
      <c r="JG1039" s="1278"/>
      <c r="JH1039" s="1278"/>
      <c r="JI1039" s="1278"/>
      <c r="JJ1039" s="1278"/>
      <c r="JK1039" s="1278"/>
      <c r="JL1039" s="1278"/>
      <c r="JM1039" s="1278"/>
      <c r="JN1039" s="1278"/>
      <c r="JO1039" s="1278"/>
      <c r="JP1039" s="1278"/>
      <c r="JQ1039" s="1278"/>
      <c r="JR1039" s="1278"/>
      <c r="JS1039" s="1278"/>
      <c r="JT1039" s="1278"/>
      <c r="JU1039" s="1278"/>
      <c r="JV1039" s="1278"/>
      <c r="JW1039" s="1278"/>
      <c r="JX1039" s="1278"/>
      <c r="JY1039" s="1278"/>
      <c r="JZ1039" s="1278"/>
      <c r="KA1039" s="1278"/>
      <c r="KB1039" s="1278"/>
      <c r="KC1039" s="1278"/>
      <c r="KD1039" s="1278"/>
      <c r="KE1039" s="1278"/>
      <c r="KF1039" s="1278"/>
      <c r="KG1039" s="1278"/>
      <c r="KH1039" s="1278"/>
      <c r="KI1039" s="1278"/>
      <c r="KJ1039" s="1278"/>
      <c r="KK1039" s="1278"/>
      <c r="KL1039" s="1278"/>
      <c r="KM1039" s="1278"/>
      <c r="KN1039" s="1278"/>
      <c r="KO1039" s="1278"/>
      <c r="KP1039" s="1278"/>
      <c r="KQ1039" s="1278"/>
      <c r="KR1039" s="1278"/>
      <c r="KS1039" s="1278"/>
      <c r="KT1039" s="1278"/>
      <c r="KU1039" s="1278"/>
      <c r="KV1039" s="1278"/>
      <c r="KW1039" s="1278"/>
      <c r="KX1039" s="1278"/>
      <c r="KY1039" s="1278"/>
      <c r="KZ1039" s="1278"/>
      <c r="LA1039" s="1278"/>
      <c r="LB1039" s="1278"/>
      <c r="LC1039" s="1278"/>
      <c r="LD1039" s="1278"/>
      <c r="LE1039" s="1278"/>
      <c r="LF1039" s="1278"/>
      <c r="LG1039" s="1278"/>
      <c r="LH1039" s="1278"/>
      <c r="LI1039" s="1278"/>
      <c r="LJ1039" s="1278"/>
      <c r="LK1039" s="1278"/>
      <c r="LL1039" s="1278"/>
      <c r="LM1039" s="1278"/>
      <c r="LN1039" s="1278"/>
      <c r="LO1039" s="1278"/>
      <c r="LP1039" s="1278"/>
      <c r="LQ1039" s="1278"/>
      <c r="LR1039" s="1278"/>
      <c r="LS1039" s="1278"/>
      <c r="LT1039" s="1278"/>
      <c r="LU1039" s="1278"/>
      <c r="LV1039" s="1278"/>
      <c r="LW1039" s="1278"/>
      <c r="LX1039" s="1278"/>
      <c r="LY1039" s="1278"/>
      <c r="LZ1039" s="1278"/>
      <c r="MA1039" s="1278"/>
      <c r="MB1039" s="1278"/>
      <c r="MC1039" s="1278"/>
      <c r="MD1039" s="1278"/>
      <c r="ME1039" s="1278"/>
      <c r="MF1039" s="1278"/>
      <c r="MG1039" s="1278"/>
      <c r="MH1039" s="1278"/>
      <c r="MI1039" s="1278"/>
      <c r="MJ1039" s="1278"/>
      <c r="MK1039" s="1278"/>
      <c r="ML1039" s="1278"/>
      <c r="MM1039" s="1278"/>
      <c r="MN1039" s="1278"/>
      <c r="MO1039" s="1278"/>
      <c r="MP1039" s="1278"/>
      <c r="MQ1039" s="1278"/>
      <c r="MR1039" s="1278"/>
      <c r="MS1039" s="1278"/>
      <c r="MT1039" s="1278"/>
      <c r="MU1039" s="1278"/>
      <c r="MV1039" s="1278"/>
      <c r="MW1039" s="1278"/>
      <c r="MX1039" s="1278"/>
      <c r="MY1039" s="1278"/>
      <c r="MZ1039" s="1278"/>
      <c r="NA1039" s="1278"/>
      <c r="NB1039" s="1278"/>
      <c r="NC1039" s="1278"/>
      <c r="ND1039" s="1278"/>
      <c r="NE1039" s="1278"/>
      <c r="NF1039" s="1278"/>
      <c r="NG1039" s="1278"/>
      <c r="NH1039" s="1278"/>
      <c r="NI1039" s="1278"/>
      <c r="NJ1039" s="1278"/>
      <c r="NK1039" s="1278"/>
      <c r="NL1039" s="1278"/>
      <c r="NM1039" s="1278"/>
      <c r="NN1039" s="1278"/>
      <c r="NO1039" s="1278"/>
      <c r="NP1039" s="1278"/>
      <c r="NQ1039" s="1278"/>
      <c r="NR1039" s="1278"/>
      <c r="NS1039" s="1278"/>
      <c r="NT1039" s="1278"/>
      <c r="NU1039" s="1278"/>
      <c r="NV1039" s="1278"/>
      <c r="NW1039" s="1278"/>
      <c r="NX1039" s="1278"/>
      <c r="NY1039" s="1278"/>
      <c r="NZ1039" s="1278"/>
      <c r="OA1039" s="1278"/>
      <c r="OB1039" s="1278"/>
      <c r="OC1039" s="1278"/>
      <c r="OD1039" s="1278"/>
      <c r="OE1039" s="1278"/>
      <c r="OF1039" s="1278"/>
      <c r="OG1039" s="1278"/>
      <c r="OH1039" s="1278"/>
      <c r="OI1039" s="1278"/>
      <c r="OJ1039" s="1278"/>
      <c r="OK1039" s="1278"/>
      <c r="OL1039" s="1278"/>
      <c r="OM1039" s="1278"/>
      <c r="ON1039" s="1278"/>
      <c r="OO1039" s="1278"/>
      <c r="OP1039" s="1278"/>
      <c r="OQ1039" s="1278"/>
      <c r="OR1039" s="1278"/>
      <c r="OS1039" s="1278"/>
      <c r="OT1039" s="1278"/>
      <c r="OU1039" s="1278"/>
      <c r="OV1039" s="1278"/>
      <c r="OW1039" s="1278"/>
      <c r="OX1039" s="1278"/>
      <c r="OY1039" s="1278"/>
      <c r="OZ1039" s="1278"/>
      <c r="PA1039" s="1278"/>
      <c r="PB1039" s="1278"/>
      <c r="PC1039" s="1278"/>
      <c r="PD1039" s="1278"/>
      <c r="PE1039" s="1278"/>
      <c r="PF1039" s="1278"/>
      <c r="PG1039" s="1278"/>
      <c r="PH1039" s="1278"/>
      <c r="PI1039" s="1278"/>
      <c r="PJ1039" s="1278"/>
      <c r="PK1039" s="1278"/>
      <c r="PL1039" s="1278"/>
      <c r="PM1039" s="1278"/>
      <c r="PN1039" s="1278"/>
      <c r="PO1039" s="1278"/>
      <c r="PP1039" s="1278"/>
      <c r="PQ1039" s="1278"/>
      <c r="PR1039" s="1278"/>
      <c r="PS1039" s="1278"/>
      <c r="PT1039" s="1278"/>
      <c r="PU1039" s="1278"/>
      <c r="PV1039" s="1278"/>
      <c r="PW1039" s="1278"/>
      <c r="PX1039" s="1278"/>
      <c r="PY1039" s="1278"/>
      <c r="PZ1039" s="1278"/>
      <c r="QA1039" s="1278"/>
      <c r="QB1039" s="1278"/>
      <c r="QC1039" s="1278"/>
      <c r="QD1039" s="1278"/>
      <c r="QE1039" s="1278"/>
      <c r="QF1039" s="1278"/>
      <c r="QG1039" s="1278"/>
      <c r="QH1039" s="1278"/>
      <c r="QI1039" s="1278"/>
      <c r="QJ1039" s="1278"/>
      <c r="QK1039" s="1278"/>
      <c r="QL1039" s="1278"/>
      <c r="QM1039" s="1278"/>
      <c r="QN1039" s="1278"/>
      <c r="QO1039" s="1278"/>
      <c r="QP1039" s="1278"/>
      <c r="QQ1039" s="1278"/>
      <c r="QR1039" s="1278"/>
      <c r="QS1039" s="1278"/>
      <c r="QT1039" s="1278"/>
      <c r="QU1039" s="1278"/>
      <c r="QV1039" s="1278"/>
      <c r="QW1039" s="1278"/>
      <c r="QX1039" s="1278"/>
      <c r="QY1039" s="1278"/>
      <c r="QZ1039" s="1278"/>
      <c r="RA1039" s="1278"/>
      <c r="RB1039" s="1278"/>
      <c r="RC1039" s="1278"/>
      <c r="RD1039" s="1278"/>
      <c r="RE1039" s="1278"/>
      <c r="RF1039" s="1278"/>
      <c r="RG1039" s="1278"/>
      <c r="RH1039" s="1278"/>
      <c r="RI1039" s="1278"/>
      <c r="RJ1039" s="1278"/>
      <c r="RK1039" s="1278"/>
      <c r="RL1039" s="1278"/>
      <c r="RM1039" s="1278"/>
      <c r="RN1039" s="1278"/>
      <c r="RO1039" s="1278"/>
      <c r="RP1039" s="1278"/>
      <c r="RQ1039" s="1278"/>
      <c r="RR1039" s="1278"/>
      <c r="RS1039" s="1278"/>
      <c r="RT1039" s="1278"/>
      <c r="RU1039" s="1278"/>
      <c r="RV1039" s="1278"/>
      <c r="RW1039" s="1278"/>
      <c r="RX1039" s="1278"/>
      <c r="RY1039" s="1278"/>
      <c r="RZ1039" s="1278"/>
      <c r="SA1039" s="1278"/>
      <c r="SB1039" s="1278"/>
      <c r="SC1039" s="1278"/>
      <c r="SD1039" s="1278"/>
      <c r="SE1039" s="1278"/>
      <c r="SF1039" s="1278"/>
      <c r="SG1039" s="1278"/>
      <c r="SH1039" s="1278"/>
      <c r="SI1039" s="1278"/>
      <c r="SJ1039" s="1278"/>
      <c r="SK1039" s="1278"/>
      <c r="SL1039" s="1278"/>
      <c r="SM1039" s="1278"/>
      <c r="SN1039" s="1278"/>
      <c r="SO1039" s="1278"/>
      <c r="SP1039" s="1278"/>
      <c r="SQ1039" s="1278"/>
      <c r="SR1039" s="1278"/>
      <c r="SS1039" s="1278"/>
      <c r="ST1039" s="1278"/>
      <c r="SU1039" s="1278"/>
      <c r="SV1039" s="1278"/>
      <c r="SW1039" s="1278"/>
      <c r="SX1039" s="1278"/>
      <c r="SY1039" s="1278"/>
      <c r="SZ1039" s="1278"/>
      <c r="TA1039" s="1278"/>
      <c r="TB1039" s="1278"/>
      <c r="TC1039" s="1278"/>
      <c r="TD1039" s="1278"/>
      <c r="TE1039" s="1278"/>
      <c r="TF1039" s="1278"/>
      <c r="TG1039" s="1278"/>
      <c r="TH1039" s="1278"/>
      <c r="TI1039" s="1278"/>
      <c r="TJ1039" s="1278"/>
      <c r="TK1039" s="1278"/>
      <c r="TL1039" s="1278"/>
      <c r="TM1039" s="1278"/>
      <c r="TN1039" s="1278"/>
      <c r="TO1039" s="1278"/>
      <c r="TP1039" s="1278"/>
      <c r="TQ1039" s="1278"/>
      <c r="TR1039" s="1278"/>
      <c r="TS1039" s="1278"/>
      <c r="TT1039" s="1278"/>
      <c r="TU1039" s="1278"/>
      <c r="TV1039" s="1278"/>
      <c r="TW1039" s="1278"/>
      <c r="TX1039" s="1278"/>
      <c r="TY1039" s="1278"/>
      <c r="TZ1039" s="1278"/>
      <c r="UA1039" s="1278"/>
      <c r="UB1039" s="1278"/>
      <c r="UC1039" s="1278"/>
      <c r="UD1039" s="1278"/>
      <c r="UE1039" s="1278"/>
      <c r="UF1039" s="1278"/>
      <c r="UG1039" s="1279"/>
    </row>
    <row r="1040" spans="1:553" s="1262" customFormat="1" ht="29.25" customHeight="1">
      <c r="A1040" s="356"/>
      <c r="B1040" s="356"/>
      <c r="C1040" s="1523" t="s">
        <v>594</v>
      </c>
      <c r="D1040" s="1528"/>
      <c r="E1040" s="1528"/>
      <c r="F1040" s="1529"/>
      <c r="G1040" s="564" t="s">
        <v>46</v>
      </c>
      <c r="H1040" s="370"/>
      <c r="I1040" s="1298">
        <f>(42.76*100/400)*(32-(8-3))*1</f>
        <v>288.63</v>
      </c>
      <c r="J1040" s="368">
        <v>7300</v>
      </c>
      <c r="K1040" s="565">
        <v>0.7</v>
      </c>
      <c r="L1040" s="571">
        <f>I1040*J1040*K1040</f>
        <v>1474899.2999999998</v>
      </c>
      <c r="M1040" s="356"/>
      <c r="N1040" s="356"/>
      <c r="O1040" s="356"/>
      <c r="P1040" s="356"/>
      <c r="Q1040" s="610"/>
      <c r="R1040" s="1226"/>
      <c r="S1040" s="308"/>
      <c r="T1040" s="308"/>
      <c r="U1040" s="308"/>
      <c r="V1040" s="308"/>
      <c r="W1040" s="308"/>
      <c r="X1040" s="308"/>
      <c r="Y1040" s="308"/>
      <c r="Z1040" s="604"/>
      <c r="AA1040" s="308"/>
      <c r="AB1040" s="308"/>
      <c r="AC1040" s="373"/>
      <c r="AD1040" s="373"/>
      <c r="AE1040" s="373"/>
      <c r="AF1040" s="373"/>
      <c r="AG1040" s="373"/>
      <c r="AH1040" s="373"/>
      <c r="AI1040" s="373"/>
      <c r="AJ1040" s="373"/>
      <c r="AK1040" s="389"/>
      <c r="AL1040" s="1276"/>
      <c r="AM1040" s="1277"/>
      <c r="AN1040" s="1277"/>
      <c r="AO1040" s="1277"/>
      <c r="AP1040" s="1277"/>
      <c r="AQ1040" s="1277"/>
      <c r="AR1040" s="1277"/>
      <c r="AS1040" s="1278"/>
      <c r="AT1040" s="1278"/>
      <c r="AU1040" s="1278"/>
      <c r="AV1040" s="1278"/>
      <c r="AW1040" s="1278"/>
      <c r="AX1040" s="1278"/>
      <c r="AY1040" s="1278"/>
      <c r="AZ1040" s="1278"/>
      <c r="BA1040" s="1278"/>
      <c r="BB1040" s="1278"/>
      <c r="BC1040" s="1278"/>
      <c r="BD1040" s="1278"/>
      <c r="BE1040" s="1278"/>
      <c r="BF1040" s="1278"/>
      <c r="BG1040" s="1278"/>
      <c r="BH1040" s="1278"/>
      <c r="BI1040" s="1278"/>
      <c r="BJ1040" s="1278"/>
      <c r="BK1040" s="1278"/>
      <c r="BL1040" s="1278"/>
      <c r="BM1040" s="1278"/>
      <c r="BN1040" s="1278"/>
      <c r="BO1040" s="1278"/>
      <c r="BP1040" s="1278"/>
      <c r="BQ1040" s="1278"/>
      <c r="BR1040" s="1278"/>
      <c r="BS1040" s="1278"/>
      <c r="BT1040" s="1278"/>
      <c r="BU1040" s="1278"/>
      <c r="BV1040" s="1278"/>
      <c r="BW1040" s="1278"/>
      <c r="BX1040" s="1278"/>
      <c r="BY1040" s="1278"/>
      <c r="BZ1040" s="1278"/>
      <c r="CA1040" s="1278"/>
      <c r="CB1040" s="1278"/>
      <c r="CC1040" s="1278"/>
      <c r="CD1040" s="1278"/>
      <c r="CE1040" s="1278"/>
      <c r="CF1040" s="1278"/>
      <c r="CG1040" s="1278"/>
      <c r="CH1040" s="1278"/>
      <c r="CI1040" s="1278"/>
      <c r="CJ1040" s="1278"/>
      <c r="CK1040" s="1278"/>
      <c r="CL1040" s="1278"/>
      <c r="CM1040" s="1278"/>
      <c r="CN1040" s="1278"/>
      <c r="CO1040" s="1278"/>
      <c r="CP1040" s="1278"/>
      <c r="CQ1040" s="1278"/>
      <c r="CR1040" s="1278"/>
      <c r="CS1040" s="1278"/>
      <c r="CT1040" s="1278"/>
      <c r="CU1040" s="1278"/>
      <c r="CV1040" s="1278"/>
      <c r="CW1040" s="1278"/>
      <c r="CX1040" s="1278"/>
      <c r="CY1040" s="1278"/>
      <c r="CZ1040" s="1278"/>
      <c r="DA1040" s="1278"/>
      <c r="DB1040" s="1278"/>
      <c r="DC1040" s="1278"/>
      <c r="DD1040" s="1278"/>
      <c r="DE1040" s="1278"/>
      <c r="DF1040" s="1278"/>
      <c r="DG1040" s="1278"/>
      <c r="DH1040" s="1278"/>
      <c r="DI1040" s="1278"/>
      <c r="DJ1040" s="1278"/>
      <c r="DK1040" s="1278"/>
      <c r="DL1040" s="1278"/>
      <c r="DM1040" s="1278"/>
      <c r="DN1040" s="1278"/>
      <c r="DO1040" s="1278"/>
      <c r="DP1040" s="1278"/>
      <c r="DQ1040" s="1278"/>
      <c r="DR1040" s="1278"/>
      <c r="DS1040" s="1278"/>
      <c r="DT1040" s="1278"/>
      <c r="DU1040" s="1278"/>
      <c r="DV1040" s="1278"/>
      <c r="DW1040" s="1278"/>
      <c r="DX1040" s="1278"/>
      <c r="DY1040" s="1278"/>
      <c r="DZ1040" s="1278"/>
      <c r="EA1040" s="1278"/>
      <c r="EB1040" s="1278"/>
      <c r="EC1040" s="1278"/>
      <c r="ED1040" s="1278"/>
      <c r="EE1040" s="1278"/>
      <c r="EF1040" s="1278"/>
      <c r="EG1040" s="1278"/>
      <c r="EH1040" s="1278"/>
      <c r="EI1040" s="1278"/>
      <c r="EJ1040" s="1278"/>
      <c r="EK1040" s="1278"/>
      <c r="EL1040" s="1278"/>
      <c r="EM1040" s="1278"/>
      <c r="EN1040" s="1278"/>
      <c r="EO1040" s="1278"/>
      <c r="EP1040" s="1278"/>
      <c r="EQ1040" s="1278"/>
      <c r="ER1040" s="1278"/>
      <c r="ES1040" s="1278"/>
      <c r="ET1040" s="1278"/>
      <c r="EU1040" s="1278"/>
      <c r="EV1040" s="1278"/>
      <c r="EW1040" s="1278"/>
      <c r="EX1040" s="1278"/>
      <c r="EY1040" s="1278"/>
      <c r="EZ1040" s="1278"/>
      <c r="FA1040" s="1278"/>
      <c r="FB1040" s="1278"/>
      <c r="FC1040" s="1278"/>
      <c r="FD1040" s="1278"/>
      <c r="FE1040" s="1278"/>
      <c r="FF1040" s="1278"/>
      <c r="FG1040" s="1278"/>
      <c r="FH1040" s="1278"/>
      <c r="FI1040" s="1278"/>
      <c r="FJ1040" s="1278"/>
      <c r="FK1040" s="1278"/>
      <c r="FL1040" s="1278"/>
      <c r="FM1040" s="1278"/>
      <c r="FN1040" s="1278"/>
      <c r="FO1040" s="1278"/>
      <c r="FP1040" s="1278"/>
      <c r="FQ1040" s="1278"/>
      <c r="FR1040" s="1278"/>
      <c r="FS1040" s="1278"/>
      <c r="FT1040" s="1278"/>
      <c r="FU1040" s="1278"/>
      <c r="FV1040" s="1278"/>
      <c r="FW1040" s="1278"/>
      <c r="FX1040" s="1278"/>
      <c r="FY1040" s="1278"/>
      <c r="FZ1040" s="1278"/>
      <c r="GA1040" s="1278"/>
      <c r="GB1040" s="1278"/>
      <c r="GC1040" s="1278"/>
      <c r="GD1040" s="1278"/>
      <c r="GE1040" s="1278"/>
      <c r="GF1040" s="1278"/>
      <c r="GG1040" s="1278"/>
      <c r="GH1040" s="1278"/>
      <c r="GI1040" s="1278"/>
      <c r="GJ1040" s="1278"/>
      <c r="GK1040" s="1278"/>
      <c r="GL1040" s="1278"/>
      <c r="GM1040" s="1278"/>
      <c r="GN1040" s="1278"/>
      <c r="GO1040" s="1278"/>
      <c r="GP1040" s="1278"/>
      <c r="GQ1040" s="1278"/>
      <c r="GR1040" s="1278"/>
      <c r="GS1040" s="1278"/>
      <c r="GT1040" s="1278"/>
      <c r="GU1040" s="1278"/>
      <c r="GV1040" s="1278"/>
      <c r="GW1040" s="1278"/>
      <c r="GX1040" s="1278"/>
      <c r="GY1040" s="1278"/>
      <c r="GZ1040" s="1278"/>
      <c r="HA1040" s="1278"/>
      <c r="HB1040" s="1278"/>
      <c r="HC1040" s="1278"/>
      <c r="HD1040" s="1278"/>
      <c r="HE1040" s="1278"/>
      <c r="HF1040" s="1278"/>
      <c r="HG1040" s="1278"/>
      <c r="HH1040" s="1278"/>
      <c r="HI1040" s="1278"/>
      <c r="HJ1040" s="1278"/>
      <c r="HK1040" s="1278"/>
      <c r="HL1040" s="1278"/>
      <c r="HM1040" s="1278"/>
      <c r="HN1040" s="1278"/>
      <c r="HO1040" s="1278"/>
      <c r="HP1040" s="1278"/>
      <c r="HQ1040" s="1278"/>
      <c r="HR1040" s="1278"/>
      <c r="HS1040" s="1278"/>
      <c r="HT1040" s="1278"/>
      <c r="HU1040" s="1278"/>
      <c r="HV1040" s="1278"/>
      <c r="HW1040" s="1278"/>
      <c r="HX1040" s="1278"/>
      <c r="HY1040" s="1278"/>
      <c r="HZ1040" s="1278"/>
      <c r="IA1040" s="1278"/>
      <c r="IB1040" s="1278"/>
      <c r="IC1040" s="1278"/>
      <c r="ID1040" s="1278"/>
      <c r="IE1040" s="1278"/>
      <c r="IF1040" s="1278"/>
      <c r="IG1040" s="1278"/>
      <c r="IH1040" s="1278"/>
      <c r="II1040" s="1278"/>
      <c r="IJ1040" s="1278"/>
      <c r="IK1040" s="1278"/>
      <c r="IL1040" s="1278"/>
      <c r="IM1040" s="1278"/>
      <c r="IN1040" s="1278"/>
      <c r="IO1040" s="1278"/>
      <c r="IP1040" s="1278"/>
      <c r="IQ1040" s="1278"/>
      <c r="IR1040" s="1278"/>
      <c r="IS1040" s="1278"/>
      <c r="IT1040" s="1278"/>
      <c r="IU1040" s="1278"/>
      <c r="IV1040" s="1278"/>
      <c r="IW1040" s="1278"/>
      <c r="IX1040" s="1278"/>
      <c r="IY1040" s="1278"/>
      <c r="IZ1040" s="1278"/>
      <c r="JA1040" s="1278"/>
      <c r="JB1040" s="1278"/>
      <c r="JC1040" s="1278"/>
      <c r="JD1040" s="1278"/>
      <c r="JE1040" s="1278"/>
      <c r="JF1040" s="1278"/>
      <c r="JG1040" s="1278"/>
      <c r="JH1040" s="1278"/>
      <c r="JI1040" s="1278"/>
      <c r="JJ1040" s="1278"/>
      <c r="JK1040" s="1278"/>
      <c r="JL1040" s="1278"/>
      <c r="JM1040" s="1278"/>
      <c r="JN1040" s="1278"/>
      <c r="JO1040" s="1278"/>
      <c r="JP1040" s="1278"/>
      <c r="JQ1040" s="1278"/>
      <c r="JR1040" s="1278"/>
      <c r="JS1040" s="1278"/>
      <c r="JT1040" s="1278"/>
      <c r="JU1040" s="1278"/>
      <c r="JV1040" s="1278"/>
      <c r="JW1040" s="1278"/>
      <c r="JX1040" s="1278"/>
      <c r="JY1040" s="1278"/>
      <c r="JZ1040" s="1278"/>
      <c r="KA1040" s="1278"/>
      <c r="KB1040" s="1278"/>
      <c r="KC1040" s="1278"/>
      <c r="KD1040" s="1278"/>
      <c r="KE1040" s="1278"/>
      <c r="KF1040" s="1278"/>
      <c r="KG1040" s="1278"/>
      <c r="KH1040" s="1278"/>
      <c r="KI1040" s="1278"/>
      <c r="KJ1040" s="1278"/>
      <c r="KK1040" s="1278"/>
      <c r="KL1040" s="1278"/>
      <c r="KM1040" s="1278"/>
      <c r="KN1040" s="1278"/>
      <c r="KO1040" s="1278"/>
      <c r="KP1040" s="1278"/>
      <c r="KQ1040" s="1278"/>
      <c r="KR1040" s="1278"/>
      <c r="KS1040" s="1278"/>
      <c r="KT1040" s="1278"/>
      <c r="KU1040" s="1278"/>
      <c r="KV1040" s="1278"/>
      <c r="KW1040" s="1278"/>
      <c r="KX1040" s="1278"/>
      <c r="KY1040" s="1278"/>
      <c r="KZ1040" s="1278"/>
      <c r="LA1040" s="1278"/>
      <c r="LB1040" s="1278"/>
      <c r="LC1040" s="1278"/>
      <c r="LD1040" s="1278"/>
      <c r="LE1040" s="1278"/>
      <c r="LF1040" s="1278"/>
      <c r="LG1040" s="1278"/>
      <c r="LH1040" s="1278"/>
      <c r="LI1040" s="1278"/>
      <c r="LJ1040" s="1278"/>
      <c r="LK1040" s="1278"/>
      <c r="LL1040" s="1278"/>
      <c r="LM1040" s="1278"/>
      <c r="LN1040" s="1278"/>
      <c r="LO1040" s="1278"/>
      <c r="LP1040" s="1278"/>
      <c r="LQ1040" s="1278"/>
      <c r="LR1040" s="1278"/>
      <c r="LS1040" s="1278"/>
      <c r="LT1040" s="1278"/>
      <c r="LU1040" s="1278"/>
      <c r="LV1040" s="1278"/>
      <c r="LW1040" s="1278"/>
      <c r="LX1040" s="1278"/>
      <c r="LY1040" s="1278"/>
      <c r="LZ1040" s="1278"/>
      <c r="MA1040" s="1278"/>
      <c r="MB1040" s="1278"/>
      <c r="MC1040" s="1278"/>
      <c r="MD1040" s="1278"/>
      <c r="ME1040" s="1278"/>
      <c r="MF1040" s="1278"/>
      <c r="MG1040" s="1278"/>
      <c r="MH1040" s="1278"/>
      <c r="MI1040" s="1278"/>
      <c r="MJ1040" s="1278"/>
      <c r="MK1040" s="1278"/>
      <c r="ML1040" s="1278"/>
      <c r="MM1040" s="1278"/>
      <c r="MN1040" s="1278"/>
      <c r="MO1040" s="1278"/>
      <c r="MP1040" s="1278"/>
      <c r="MQ1040" s="1278"/>
      <c r="MR1040" s="1278"/>
      <c r="MS1040" s="1278"/>
      <c r="MT1040" s="1278"/>
      <c r="MU1040" s="1278"/>
      <c r="MV1040" s="1278"/>
      <c r="MW1040" s="1278"/>
      <c r="MX1040" s="1278"/>
      <c r="MY1040" s="1278"/>
      <c r="MZ1040" s="1278"/>
      <c r="NA1040" s="1278"/>
      <c r="NB1040" s="1278"/>
      <c r="NC1040" s="1278"/>
      <c r="ND1040" s="1278"/>
      <c r="NE1040" s="1278"/>
      <c r="NF1040" s="1278"/>
      <c r="NG1040" s="1278"/>
      <c r="NH1040" s="1278"/>
      <c r="NI1040" s="1278"/>
      <c r="NJ1040" s="1278"/>
      <c r="NK1040" s="1278"/>
      <c r="NL1040" s="1278"/>
      <c r="NM1040" s="1278"/>
      <c r="NN1040" s="1278"/>
      <c r="NO1040" s="1278"/>
      <c r="NP1040" s="1278"/>
      <c r="NQ1040" s="1278"/>
      <c r="NR1040" s="1278"/>
      <c r="NS1040" s="1278"/>
      <c r="NT1040" s="1278"/>
      <c r="NU1040" s="1278"/>
      <c r="NV1040" s="1278"/>
      <c r="NW1040" s="1278"/>
      <c r="NX1040" s="1278"/>
      <c r="NY1040" s="1278"/>
      <c r="NZ1040" s="1278"/>
      <c r="OA1040" s="1278"/>
      <c r="OB1040" s="1278"/>
      <c r="OC1040" s="1278"/>
      <c r="OD1040" s="1278"/>
      <c r="OE1040" s="1278"/>
      <c r="OF1040" s="1278"/>
      <c r="OG1040" s="1278"/>
      <c r="OH1040" s="1278"/>
      <c r="OI1040" s="1278"/>
      <c r="OJ1040" s="1278"/>
      <c r="OK1040" s="1278"/>
      <c r="OL1040" s="1278"/>
      <c r="OM1040" s="1278"/>
      <c r="ON1040" s="1278"/>
      <c r="OO1040" s="1278"/>
      <c r="OP1040" s="1278"/>
      <c r="OQ1040" s="1278"/>
      <c r="OR1040" s="1278"/>
      <c r="OS1040" s="1278"/>
      <c r="OT1040" s="1278"/>
      <c r="OU1040" s="1278"/>
      <c r="OV1040" s="1278"/>
      <c r="OW1040" s="1278"/>
      <c r="OX1040" s="1278"/>
      <c r="OY1040" s="1278"/>
      <c r="OZ1040" s="1278"/>
      <c r="PA1040" s="1278"/>
      <c r="PB1040" s="1278"/>
      <c r="PC1040" s="1278"/>
      <c r="PD1040" s="1278"/>
      <c r="PE1040" s="1278"/>
      <c r="PF1040" s="1278"/>
      <c r="PG1040" s="1278"/>
      <c r="PH1040" s="1278"/>
      <c r="PI1040" s="1278"/>
      <c r="PJ1040" s="1278"/>
      <c r="PK1040" s="1278"/>
      <c r="PL1040" s="1278"/>
      <c r="PM1040" s="1278"/>
      <c r="PN1040" s="1278"/>
      <c r="PO1040" s="1278"/>
      <c r="PP1040" s="1278"/>
      <c r="PQ1040" s="1278"/>
      <c r="PR1040" s="1278"/>
      <c r="PS1040" s="1278"/>
      <c r="PT1040" s="1278"/>
      <c r="PU1040" s="1278"/>
      <c r="PV1040" s="1278"/>
      <c r="PW1040" s="1278"/>
      <c r="PX1040" s="1278"/>
      <c r="PY1040" s="1278"/>
      <c r="PZ1040" s="1278"/>
      <c r="QA1040" s="1278"/>
      <c r="QB1040" s="1278"/>
      <c r="QC1040" s="1278"/>
      <c r="QD1040" s="1278"/>
      <c r="QE1040" s="1278"/>
      <c r="QF1040" s="1278"/>
      <c r="QG1040" s="1278"/>
      <c r="QH1040" s="1278"/>
      <c r="QI1040" s="1278"/>
      <c r="QJ1040" s="1278"/>
      <c r="QK1040" s="1278"/>
      <c r="QL1040" s="1278"/>
      <c r="QM1040" s="1278"/>
      <c r="QN1040" s="1278"/>
      <c r="QO1040" s="1278"/>
      <c r="QP1040" s="1278"/>
      <c r="QQ1040" s="1278"/>
      <c r="QR1040" s="1278"/>
      <c r="QS1040" s="1278"/>
      <c r="QT1040" s="1278"/>
      <c r="QU1040" s="1278"/>
      <c r="QV1040" s="1278"/>
      <c r="QW1040" s="1278"/>
      <c r="QX1040" s="1278"/>
      <c r="QY1040" s="1278"/>
      <c r="QZ1040" s="1278"/>
      <c r="RA1040" s="1278"/>
      <c r="RB1040" s="1278"/>
      <c r="RC1040" s="1278"/>
      <c r="RD1040" s="1278"/>
      <c r="RE1040" s="1278"/>
      <c r="RF1040" s="1278"/>
      <c r="RG1040" s="1278"/>
      <c r="RH1040" s="1278"/>
      <c r="RI1040" s="1278"/>
      <c r="RJ1040" s="1278"/>
      <c r="RK1040" s="1278"/>
      <c r="RL1040" s="1278"/>
      <c r="RM1040" s="1278"/>
      <c r="RN1040" s="1278"/>
      <c r="RO1040" s="1278"/>
      <c r="RP1040" s="1278"/>
      <c r="RQ1040" s="1278"/>
      <c r="RR1040" s="1278"/>
      <c r="RS1040" s="1278"/>
      <c r="RT1040" s="1278"/>
      <c r="RU1040" s="1278"/>
      <c r="RV1040" s="1278"/>
      <c r="RW1040" s="1278"/>
      <c r="RX1040" s="1278"/>
      <c r="RY1040" s="1278"/>
      <c r="RZ1040" s="1278"/>
      <c r="SA1040" s="1278"/>
      <c r="SB1040" s="1278"/>
      <c r="SC1040" s="1278"/>
      <c r="SD1040" s="1278"/>
      <c r="SE1040" s="1278"/>
      <c r="SF1040" s="1278"/>
      <c r="SG1040" s="1278"/>
      <c r="SH1040" s="1278"/>
      <c r="SI1040" s="1278"/>
      <c r="SJ1040" s="1278"/>
      <c r="SK1040" s="1278"/>
      <c r="SL1040" s="1278"/>
      <c r="SM1040" s="1278"/>
      <c r="SN1040" s="1278"/>
      <c r="SO1040" s="1278"/>
      <c r="SP1040" s="1278"/>
      <c r="SQ1040" s="1278"/>
      <c r="SR1040" s="1278"/>
      <c r="SS1040" s="1278"/>
      <c r="ST1040" s="1278"/>
      <c r="SU1040" s="1278"/>
      <c r="SV1040" s="1278"/>
      <c r="SW1040" s="1278"/>
      <c r="SX1040" s="1278"/>
      <c r="SY1040" s="1278"/>
      <c r="SZ1040" s="1278"/>
      <c r="TA1040" s="1278"/>
      <c r="TB1040" s="1278"/>
      <c r="TC1040" s="1278"/>
      <c r="TD1040" s="1278"/>
      <c r="TE1040" s="1278"/>
      <c r="TF1040" s="1278"/>
      <c r="TG1040" s="1278"/>
      <c r="TH1040" s="1278"/>
      <c r="TI1040" s="1278"/>
      <c r="TJ1040" s="1278"/>
      <c r="TK1040" s="1278"/>
      <c r="TL1040" s="1278"/>
      <c r="TM1040" s="1278"/>
      <c r="TN1040" s="1278"/>
      <c r="TO1040" s="1278"/>
      <c r="TP1040" s="1278"/>
      <c r="TQ1040" s="1278"/>
      <c r="TR1040" s="1278"/>
      <c r="TS1040" s="1278"/>
      <c r="TT1040" s="1278"/>
      <c r="TU1040" s="1278"/>
      <c r="TV1040" s="1278"/>
      <c r="TW1040" s="1278"/>
      <c r="TX1040" s="1278"/>
      <c r="TY1040" s="1278"/>
      <c r="TZ1040" s="1278"/>
      <c r="UA1040" s="1278"/>
      <c r="UB1040" s="1278"/>
      <c r="UC1040" s="1278"/>
      <c r="UD1040" s="1278"/>
      <c r="UE1040" s="1278"/>
      <c r="UF1040" s="1278"/>
      <c r="UG1040" s="1279"/>
    </row>
    <row r="1041" spans="1:553" s="1262" customFormat="1" ht="29.25" customHeight="1">
      <c r="A1041" s="356"/>
      <c r="B1041" s="356"/>
      <c r="C1041" s="1523" t="s">
        <v>595</v>
      </c>
      <c r="D1041" s="1528"/>
      <c r="E1041" s="1528"/>
      <c r="F1041" s="1529"/>
      <c r="G1041" s="564" t="s">
        <v>46</v>
      </c>
      <c r="H1041" s="370"/>
      <c r="I1041" s="1298">
        <f>(42.76*100/400)*(32-(4-3))*1</f>
        <v>331.39</v>
      </c>
      <c r="J1041" s="368">
        <v>7300</v>
      </c>
      <c r="K1041" s="565">
        <v>0.7</v>
      </c>
      <c r="L1041" s="571">
        <f>I1041*J1041*K1041</f>
        <v>1693402.9</v>
      </c>
      <c r="M1041" s="356"/>
      <c r="N1041" s="356"/>
      <c r="O1041" s="356"/>
      <c r="P1041" s="356"/>
      <c r="Q1041" s="610"/>
      <c r="R1041" s="1226"/>
      <c r="S1041" s="308"/>
      <c r="T1041" s="308"/>
      <c r="U1041" s="308"/>
      <c r="V1041" s="308"/>
      <c r="W1041" s="308"/>
      <c r="X1041" s="308"/>
      <c r="Y1041" s="308"/>
      <c r="Z1041" s="604"/>
      <c r="AA1041" s="308"/>
      <c r="AB1041" s="308"/>
      <c r="AC1041" s="373"/>
      <c r="AD1041" s="373"/>
      <c r="AE1041" s="373"/>
      <c r="AF1041" s="373"/>
      <c r="AG1041" s="373"/>
      <c r="AH1041" s="373"/>
      <c r="AI1041" s="373"/>
      <c r="AJ1041" s="373"/>
      <c r="AK1041" s="389"/>
      <c r="AL1041" s="1276"/>
      <c r="AM1041" s="1277"/>
      <c r="AN1041" s="1277"/>
      <c r="AO1041" s="1277"/>
      <c r="AP1041" s="1277"/>
      <c r="AQ1041" s="1277"/>
      <c r="AR1041" s="1277"/>
      <c r="AS1041" s="1278"/>
      <c r="AT1041" s="1278"/>
      <c r="AU1041" s="1278"/>
      <c r="AV1041" s="1278"/>
      <c r="AW1041" s="1278"/>
      <c r="AX1041" s="1278"/>
      <c r="AY1041" s="1278"/>
      <c r="AZ1041" s="1278"/>
      <c r="BA1041" s="1278"/>
      <c r="BB1041" s="1278"/>
      <c r="BC1041" s="1278"/>
      <c r="BD1041" s="1278"/>
      <c r="BE1041" s="1278"/>
      <c r="BF1041" s="1278"/>
      <c r="BG1041" s="1278"/>
      <c r="BH1041" s="1278"/>
      <c r="BI1041" s="1278"/>
      <c r="BJ1041" s="1278"/>
      <c r="BK1041" s="1278"/>
      <c r="BL1041" s="1278"/>
      <c r="BM1041" s="1278"/>
      <c r="BN1041" s="1278"/>
      <c r="BO1041" s="1278"/>
      <c r="BP1041" s="1278"/>
      <c r="BQ1041" s="1278"/>
      <c r="BR1041" s="1278"/>
      <c r="BS1041" s="1278"/>
      <c r="BT1041" s="1278"/>
      <c r="BU1041" s="1278"/>
      <c r="BV1041" s="1278"/>
      <c r="BW1041" s="1278"/>
      <c r="BX1041" s="1278"/>
      <c r="BY1041" s="1278"/>
      <c r="BZ1041" s="1278"/>
      <c r="CA1041" s="1278"/>
      <c r="CB1041" s="1278"/>
      <c r="CC1041" s="1278"/>
      <c r="CD1041" s="1278"/>
      <c r="CE1041" s="1278"/>
      <c r="CF1041" s="1278"/>
      <c r="CG1041" s="1278"/>
      <c r="CH1041" s="1278"/>
      <c r="CI1041" s="1278"/>
      <c r="CJ1041" s="1278"/>
      <c r="CK1041" s="1278"/>
      <c r="CL1041" s="1278"/>
      <c r="CM1041" s="1278"/>
      <c r="CN1041" s="1278"/>
      <c r="CO1041" s="1278"/>
      <c r="CP1041" s="1278"/>
      <c r="CQ1041" s="1278"/>
      <c r="CR1041" s="1278"/>
      <c r="CS1041" s="1278"/>
      <c r="CT1041" s="1278"/>
      <c r="CU1041" s="1278"/>
      <c r="CV1041" s="1278"/>
      <c r="CW1041" s="1278"/>
      <c r="CX1041" s="1278"/>
      <c r="CY1041" s="1278"/>
      <c r="CZ1041" s="1278"/>
      <c r="DA1041" s="1278"/>
      <c r="DB1041" s="1278"/>
      <c r="DC1041" s="1278"/>
      <c r="DD1041" s="1278"/>
      <c r="DE1041" s="1278"/>
      <c r="DF1041" s="1278"/>
      <c r="DG1041" s="1278"/>
      <c r="DH1041" s="1278"/>
      <c r="DI1041" s="1278"/>
      <c r="DJ1041" s="1278"/>
      <c r="DK1041" s="1278"/>
      <c r="DL1041" s="1278"/>
      <c r="DM1041" s="1278"/>
      <c r="DN1041" s="1278"/>
      <c r="DO1041" s="1278"/>
      <c r="DP1041" s="1278"/>
      <c r="DQ1041" s="1278"/>
      <c r="DR1041" s="1278"/>
      <c r="DS1041" s="1278"/>
      <c r="DT1041" s="1278"/>
      <c r="DU1041" s="1278"/>
      <c r="DV1041" s="1278"/>
      <c r="DW1041" s="1278"/>
      <c r="DX1041" s="1278"/>
      <c r="DY1041" s="1278"/>
      <c r="DZ1041" s="1278"/>
      <c r="EA1041" s="1278"/>
      <c r="EB1041" s="1278"/>
      <c r="EC1041" s="1278"/>
      <c r="ED1041" s="1278"/>
      <c r="EE1041" s="1278"/>
      <c r="EF1041" s="1278"/>
      <c r="EG1041" s="1278"/>
      <c r="EH1041" s="1278"/>
      <c r="EI1041" s="1278"/>
      <c r="EJ1041" s="1278"/>
      <c r="EK1041" s="1278"/>
      <c r="EL1041" s="1278"/>
      <c r="EM1041" s="1278"/>
      <c r="EN1041" s="1278"/>
      <c r="EO1041" s="1278"/>
      <c r="EP1041" s="1278"/>
      <c r="EQ1041" s="1278"/>
      <c r="ER1041" s="1278"/>
      <c r="ES1041" s="1278"/>
      <c r="ET1041" s="1278"/>
      <c r="EU1041" s="1278"/>
      <c r="EV1041" s="1278"/>
      <c r="EW1041" s="1278"/>
      <c r="EX1041" s="1278"/>
      <c r="EY1041" s="1278"/>
      <c r="EZ1041" s="1278"/>
      <c r="FA1041" s="1278"/>
      <c r="FB1041" s="1278"/>
      <c r="FC1041" s="1278"/>
      <c r="FD1041" s="1278"/>
      <c r="FE1041" s="1278"/>
      <c r="FF1041" s="1278"/>
      <c r="FG1041" s="1278"/>
      <c r="FH1041" s="1278"/>
      <c r="FI1041" s="1278"/>
      <c r="FJ1041" s="1278"/>
      <c r="FK1041" s="1278"/>
      <c r="FL1041" s="1278"/>
      <c r="FM1041" s="1278"/>
      <c r="FN1041" s="1278"/>
      <c r="FO1041" s="1278"/>
      <c r="FP1041" s="1278"/>
      <c r="FQ1041" s="1278"/>
      <c r="FR1041" s="1278"/>
      <c r="FS1041" s="1278"/>
      <c r="FT1041" s="1278"/>
      <c r="FU1041" s="1278"/>
      <c r="FV1041" s="1278"/>
      <c r="FW1041" s="1278"/>
      <c r="FX1041" s="1278"/>
      <c r="FY1041" s="1278"/>
      <c r="FZ1041" s="1278"/>
      <c r="GA1041" s="1278"/>
      <c r="GB1041" s="1278"/>
      <c r="GC1041" s="1278"/>
      <c r="GD1041" s="1278"/>
      <c r="GE1041" s="1278"/>
      <c r="GF1041" s="1278"/>
      <c r="GG1041" s="1278"/>
      <c r="GH1041" s="1278"/>
      <c r="GI1041" s="1278"/>
      <c r="GJ1041" s="1278"/>
      <c r="GK1041" s="1278"/>
      <c r="GL1041" s="1278"/>
      <c r="GM1041" s="1278"/>
      <c r="GN1041" s="1278"/>
      <c r="GO1041" s="1278"/>
      <c r="GP1041" s="1278"/>
      <c r="GQ1041" s="1278"/>
      <c r="GR1041" s="1278"/>
      <c r="GS1041" s="1278"/>
      <c r="GT1041" s="1278"/>
      <c r="GU1041" s="1278"/>
      <c r="GV1041" s="1278"/>
      <c r="GW1041" s="1278"/>
      <c r="GX1041" s="1278"/>
      <c r="GY1041" s="1278"/>
      <c r="GZ1041" s="1278"/>
      <c r="HA1041" s="1278"/>
      <c r="HB1041" s="1278"/>
      <c r="HC1041" s="1278"/>
      <c r="HD1041" s="1278"/>
      <c r="HE1041" s="1278"/>
      <c r="HF1041" s="1278"/>
      <c r="HG1041" s="1278"/>
      <c r="HH1041" s="1278"/>
      <c r="HI1041" s="1278"/>
      <c r="HJ1041" s="1278"/>
      <c r="HK1041" s="1278"/>
      <c r="HL1041" s="1278"/>
      <c r="HM1041" s="1278"/>
      <c r="HN1041" s="1278"/>
      <c r="HO1041" s="1278"/>
      <c r="HP1041" s="1278"/>
      <c r="HQ1041" s="1278"/>
      <c r="HR1041" s="1278"/>
      <c r="HS1041" s="1278"/>
      <c r="HT1041" s="1278"/>
      <c r="HU1041" s="1278"/>
      <c r="HV1041" s="1278"/>
      <c r="HW1041" s="1278"/>
      <c r="HX1041" s="1278"/>
      <c r="HY1041" s="1278"/>
      <c r="HZ1041" s="1278"/>
      <c r="IA1041" s="1278"/>
      <c r="IB1041" s="1278"/>
      <c r="IC1041" s="1278"/>
      <c r="ID1041" s="1278"/>
      <c r="IE1041" s="1278"/>
      <c r="IF1041" s="1278"/>
      <c r="IG1041" s="1278"/>
      <c r="IH1041" s="1278"/>
      <c r="II1041" s="1278"/>
      <c r="IJ1041" s="1278"/>
      <c r="IK1041" s="1278"/>
      <c r="IL1041" s="1278"/>
      <c r="IM1041" s="1278"/>
      <c r="IN1041" s="1278"/>
      <c r="IO1041" s="1278"/>
      <c r="IP1041" s="1278"/>
      <c r="IQ1041" s="1278"/>
      <c r="IR1041" s="1278"/>
      <c r="IS1041" s="1278"/>
      <c r="IT1041" s="1278"/>
      <c r="IU1041" s="1278"/>
      <c r="IV1041" s="1278"/>
      <c r="IW1041" s="1278"/>
      <c r="IX1041" s="1278"/>
      <c r="IY1041" s="1278"/>
      <c r="IZ1041" s="1278"/>
      <c r="JA1041" s="1278"/>
      <c r="JB1041" s="1278"/>
      <c r="JC1041" s="1278"/>
      <c r="JD1041" s="1278"/>
      <c r="JE1041" s="1278"/>
      <c r="JF1041" s="1278"/>
      <c r="JG1041" s="1278"/>
      <c r="JH1041" s="1278"/>
      <c r="JI1041" s="1278"/>
      <c r="JJ1041" s="1278"/>
      <c r="JK1041" s="1278"/>
      <c r="JL1041" s="1278"/>
      <c r="JM1041" s="1278"/>
      <c r="JN1041" s="1278"/>
      <c r="JO1041" s="1278"/>
      <c r="JP1041" s="1278"/>
      <c r="JQ1041" s="1278"/>
      <c r="JR1041" s="1278"/>
      <c r="JS1041" s="1278"/>
      <c r="JT1041" s="1278"/>
      <c r="JU1041" s="1278"/>
      <c r="JV1041" s="1278"/>
      <c r="JW1041" s="1278"/>
      <c r="JX1041" s="1278"/>
      <c r="JY1041" s="1278"/>
      <c r="JZ1041" s="1278"/>
      <c r="KA1041" s="1278"/>
      <c r="KB1041" s="1278"/>
      <c r="KC1041" s="1278"/>
      <c r="KD1041" s="1278"/>
      <c r="KE1041" s="1278"/>
      <c r="KF1041" s="1278"/>
      <c r="KG1041" s="1278"/>
      <c r="KH1041" s="1278"/>
      <c r="KI1041" s="1278"/>
      <c r="KJ1041" s="1278"/>
      <c r="KK1041" s="1278"/>
      <c r="KL1041" s="1278"/>
      <c r="KM1041" s="1278"/>
      <c r="KN1041" s="1278"/>
      <c r="KO1041" s="1278"/>
      <c r="KP1041" s="1278"/>
      <c r="KQ1041" s="1278"/>
      <c r="KR1041" s="1278"/>
      <c r="KS1041" s="1278"/>
      <c r="KT1041" s="1278"/>
      <c r="KU1041" s="1278"/>
      <c r="KV1041" s="1278"/>
      <c r="KW1041" s="1278"/>
      <c r="KX1041" s="1278"/>
      <c r="KY1041" s="1278"/>
      <c r="KZ1041" s="1278"/>
      <c r="LA1041" s="1278"/>
      <c r="LB1041" s="1278"/>
      <c r="LC1041" s="1278"/>
      <c r="LD1041" s="1278"/>
      <c r="LE1041" s="1278"/>
      <c r="LF1041" s="1278"/>
      <c r="LG1041" s="1278"/>
      <c r="LH1041" s="1278"/>
      <c r="LI1041" s="1278"/>
      <c r="LJ1041" s="1278"/>
      <c r="LK1041" s="1278"/>
      <c r="LL1041" s="1278"/>
      <c r="LM1041" s="1278"/>
      <c r="LN1041" s="1278"/>
      <c r="LO1041" s="1278"/>
      <c r="LP1041" s="1278"/>
      <c r="LQ1041" s="1278"/>
      <c r="LR1041" s="1278"/>
      <c r="LS1041" s="1278"/>
      <c r="LT1041" s="1278"/>
      <c r="LU1041" s="1278"/>
      <c r="LV1041" s="1278"/>
      <c r="LW1041" s="1278"/>
      <c r="LX1041" s="1278"/>
      <c r="LY1041" s="1278"/>
      <c r="LZ1041" s="1278"/>
      <c r="MA1041" s="1278"/>
      <c r="MB1041" s="1278"/>
      <c r="MC1041" s="1278"/>
      <c r="MD1041" s="1278"/>
      <c r="ME1041" s="1278"/>
      <c r="MF1041" s="1278"/>
      <c r="MG1041" s="1278"/>
      <c r="MH1041" s="1278"/>
      <c r="MI1041" s="1278"/>
      <c r="MJ1041" s="1278"/>
      <c r="MK1041" s="1278"/>
      <c r="ML1041" s="1278"/>
      <c r="MM1041" s="1278"/>
      <c r="MN1041" s="1278"/>
      <c r="MO1041" s="1278"/>
      <c r="MP1041" s="1278"/>
      <c r="MQ1041" s="1278"/>
      <c r="MR1041" s="1278"/>
      <c r="MS1041" s="1278"/>
      <c r="MT1041" s="1278"/>
      <c r="MU1041" s="1278"/>
      <c r="MV1041" s="1278"/>
      <c r="MW1041" s="1278"/>
      <c r="MX1041" s="1278"/>
      <c r="MY1041" s="1278"/>
      <c r="MZ1041" s="1278"/>
      <c r="NA1041" s="1278"/>
      <c r="NB1041" s="1278"/>
      <c r="NC1041" s="1278"/>
      <c r="ND1041" s="1278"/>
      <c r="NE1041" s="1278"/>
      <c r="NF1041" s="1278"/>
      <c r="NG1041" s="1278"/>
      <c r="NH1041" s="1278"/>
      <c r="NI1041" s="1278"/>
      <c r="NJ1041" s="1278"/>
      <c r="NK1041" s="1278"/>
      <c r="NL1041" s="1278"/>
      <c r="NM1041" s="1278"/>
      <c r="NN1041" s="1278"/>
      <c r="NO1041" s="1278"/>
      <c r="NP1041" s="1278"/>
      <c r="NQ1041" s="1278"/>
      <c r="NR1041" s="1278"/>
      <c r="NS1041" s="1278"/>
      <c r="NT1041" s="1278"/>
      <c r="NU1041" s="1278"/>
      <c r="NV1041" s="1278"/>
      <c r="NW1041" s="1278"/>
      <c r="NX1041" s="1278"/>
      <c r="NY1041" s="1278"/>
      <c r="NZ1041" s="1278"/>
      <c r="OA1041" s="1278"/>
      <c r="OB1041" s="1278"/>
      <c r="OC1041" s="1278"/>
      <c r="OD1041" s="1278"/>
      <c r="OE1041" s="1278"/>
      <c r="OF1041" s="1278"/>
      <c r="OG1041" s="1278"/>
      <c r="OH1041" s="1278"/>
      <c r="OI1041" s="1278"/>
      <c r="OJ1041" s="1278"/>
      <c r="OK1041" s="1278"/>
      <c r="OL1041" s="1278"/>
      <c r="OM1041" s="1278"/>
      <c r="ON1041" s="1278"/>
      <c r="OO1041" s="1278"/>
      <c r="OP1041" s="1278"/>
      <c r="OQ1041" s="1278"/>
      <c r="OR1041" s="1278"/>
      <c r="OS1041" s="1278"/>
      <c r="OT1041" s="1278"/>
      <c r="OU1041" s="1278"/>
      <c r="OV1041" s="1278"/>
      <c r="OW1041" s="1278"/>
      <c r="OX1041" s="1278"/>
      <c r="OY1041" s="1278"/>
      <c r="OZ1041" s="1278"/>
      <c r="PA1041" s="1278"/>
      <c r="PB1041" s="1278"/>
      <c r="PC1041" s="1278"/>
      <c r="PD1041" s="1278"/>
      <c r="PE1041" s="1278"/>
      <c r="PF1041" s="1278"/>
      <c r="PG1041" s="1278"/>
      <c r="PH1041" s="1278"/>
      <c r="PI1041" s="1278"/>
      <c r="PJ1041" s="1278"/>
      <c r="PK1041" s="1278"/>
      <c r="PL1041" s="1278"/>
      <c r="PM1041" s="1278"/>
      <c r="PN1041" s="1278"/>
      <c r="PO1041" s="1278"/>
      <c r="PP1041" s="1278"/>
      <c r="PQ1041" s="1278"/>
      <c r="PR1041" s="1278"/>
      <c r="PS1041" s="1278"/>
      <c r="PT1041" s="1278"/>
      <c r="PU1041" s="1278"/>
      <c r="PV1041" s="1278"/>
      <c r="PW1041" s="1278"/>
      <c r="PX1041" s="1278"/>
      <c r="PY1041" s="1278"/>
      <c r="PZ1041" s="1278"/>
      <c r="QA1041" s="1278"/>
      <c r="QB1041" s="1278"/>
      <c r="QC1041" s="1278"/>
      <c r="QD1041" s="1278"/>
      <c r="QE1041" s="1278"/>
      <c r="QF1041" s="1278"/>
      <c r="QG1041" s="1278"/>
      <c r="QH1041" s="1278"/>
      <c r="QI1041" s="1278"/>
      <c r="QJ1041" s="1278"/>
      <c r="QK1041" s="1278"/>
      <c r="QL1041" s="1278"/>
      <c r="QM1041" s="1278"/>
      <c r="QN1041" s="1278"/>
      <c r="QO1041" s="1278"/>
      <c r="QP1041" s="1278"/>
      <c r="QQ1041" s="1278"/>
      <c r="QR1041" s="1278"/>
      <c r="QS1041" s="1278"/>
      <c r="QT1041" s="1278"/>
      <c r="QU1041" s="1278"/>
      <c r="QV1041" s="1278"/>
      <c r="QW1041" s="1278"/>
      <c r="QX1041" s="1278"/>
      <c r="QY1041" s="1278"/>
      <c r="QZ1041" s="1278"/>
      <c r="RA1041" s="1278"/>
      <c r="RB1041" s="1278"/>
      <c r="RC1041" s="1278"/>
      <c r="RD1041" s="1278"/>
      <c r="RE1041" s="1278"/>
      <c r="RF1041" s="1278"/>
      <c r="RG1041" s="1278"/>
      <c r="RH1041" s="1278"/>
      <c r="RI1041" s="1278"/>
      <c r="RJ1041" s="1278"/>
      <c r="RK1041" s="1278"/>
      <c r="RL1041" s="1278"/>
      <c r="RM1041" s="1278"/>
      <c r="RN1041" s="1278"/>
      <c r="RO1041" s="1278"/>
      <c r="RP1041" s="1278"/>
      <c r="RQ1041" s="1278"/>
      <c r="RR1041" s="1278"/>
      <c r="RS1041" s="1278"/>
      <c r="RT1041" s="1278"/>
      <c r="RU1041" s="1278"/>
      <c r="RV1041" s="1278"/>
      <c r="RW1041" s="1278"/>
      <c r="RX1041" s="1278"/>
      <c r="RY1041" s="1278"/>
      <c r="RZ1041" s="1278"/>
      <c r="SA1041" s="1278"/>
      <c r="SB1041" s="1278"/>
      <c r="SC1041" s="1278"/>
      <c r="SD1041" s="1278"/>
      <c r="SE1041" s="1278"/>
      <c r="SF1041" s="1278"/>
      <c r="SG1041" s="1278"/>
      <c r="SH1041" s="1278"/>
      <c r="SI1041" s="1278"/>
      <c r="SJ1041" s="1278"/>
      <c r="SK1041" s="1278"/>
      <c r="SL1041" s="1278"/>
      <c r="SM1041" s="1278"/>
      <c r="SN1041" s="1278"/>
      <c r="SO1041" s="1278"/>
      <c r="SP1041" s="1278"/>
      <c r="SQ1041" s="1278"/>
      <c r="SR1041" s="1278"/>
      <c r="SS1041" s="1278"/>
      <c r="ST1041" s="1278"/>
      <c r="SU1041" s="1278"/>
      <c r="SV1041" s="1278"/>
      <c r="SW1041" s="1278"/>
      <c r="SX1041" s="1278"/>
      <c r="SY1041" s="1278"/>
      <c r="SZ1041" s="1278"/>
      <c r="TA1041" s="1278"/>
      <c r="TB1041" s="1278"/>
      <c r="TC1041" s="1278"/>
      <c r="TD1041" s="1278"/>
      <c r="TE1041" s="1278"/>
      <c r="TF1041" s="1278"/>
      <c r="TG1041" s="1278"/>
      <c r="TH1041" s="1278"/>
      <c r="TI1041" s="1278"/>
      <c r="TJ1041" s="1278"/>
      <c r="TK1041" s="1278"/>
      <c r="TL1041" s="1278"/>
      <c r="TM1041" s="1278"/>
      <c r="TN1041" s="1278"/>
      <c r="TO1041" s="1278"/>
      <c r="TP1041" s="1278"/>
      <c r="TQ1041" s="1278"/>
      <c r="TR1041" s="1278"/>
      <c r="TS1041" s="1278"/>
      <c r="TT1041" s="1278"/>
      <c r="TU1041" s="1278"/>
      <c r="TV1041" s="1278"/>
      <c r="TW1041" s="1278"/>
      <c r="TX1041" s="1278"/>
      <c r="TY1041" s="1278"/>
      <c r="TZ1041" s="1278"/>
      <c r="UA1041" s="1278"/>
      <c r="UB1041" s="1278"/>
      <c r="UC1041" s="1278"/>
      <c r="UD1041" s="1278"/>
      <c r="UE1041" s="1278"/>
      <c r="UF1041" s="1278"/>
      <c r="UG1041" s="1279"/>
    </row>
    <row r="1042" spans="1:553" s="1262" customFormat="1" ht="46.5" customHeight="1">
      <c r="A1042" s="356"/>
      <c r="B1042" s="356"/>
      <c r="C1042" s="1523" t="s">
        <v>462</v>
      </c>
      <c r="D1042" s="1528"/>
      <c r="E1042" s="1528"/>
      <c r="F1042" s="1529"/>
      <c r="G1042" s="564" t="s">
        <v>46</v>
      </c>
      <c r="H1042" s="370"/>
      <c r="I1042" s="370">
        <f>(20.51*100/400)*(12-(4-3))*1</f>
        <v>56.402500000000003</v>
      </c>
      <c r="J1042" s="368">
        <v>3100</v>
      </c>
      <c r="K1042" s="565">
        <v>0.7</v>
      </c>
      <c r="L1042" s="571">
        <f t="shared" si="153"/>
        <v>122393.42499999999</v>
      </c>
      <c r="M1042" s="356"/>
      <c r="N1042" s="356"/>
      <c r="O1042" s="356"/>
      <c r="P1042" s="356"/>
      <c r="Q1042" s="610"/>
      <c r="R1042" s="1226"/>
      <c r="S1042" s="308"/>
      <c r="T1042" s="308"/>
      <c r="U1042" s="308"/>
      <c r="V1042" s="308"/>
      <c r="W1042" s="308"/>
      <c r="X1042" s="308"/>
      <c r="Y1042" s="308"/>
      <c r="Z1042" s="604"/>
      <c r="AA1042" s="308"/>
      <c r="AB1042" s="308"/>
      <c r="AC1042" s="373"/>
      <c r="AD1042" s="373"/>
      <c r="AE1042" s="373"/>
      <c r="AF1042" s="373"/>
      <c r="AG1042" s="373"/>
      <c r="AH1042" s="373"/>
      <c r="AI1042" s="373"/>
      <c r="AJ1042" s="373"/>
      <c r="AK1042" s="389"/>
      <c r="AL1042" s="1276"/>
      <c r="AM1042" s="1277"/>
      <c r="AN1042" s="1277"/>
      <c r="AO1042" s="1277"/>
      <c r="AP1042" s="1277"/>
      <c r="AQ1042" s="1277"/>
      <c r="AR1042" s="1277"/>
      <c r="AS1042" s="1278"/>
      <c r="AT1042" s="1278"/>
      <c r="AU1042" s="1278"/>
      <c r="AV1042" s="1278"/>
      <c r="AW1042" s="1278"/>
      <c r="AX1042" s="1278"/>
      <c r="AY1042" s="1278"/>
      <c r="AZ1042" s="1278"/>
      <c r="BA1042" s="1278"/>
      <c r="BB1042" s="1278"/>
      <c r="BC1042" s="1278"/>
      <c r="BD1042" s="1278"/>
      <c r="BE1042" s="1278"/>
      <c r="BF1042" s="1278"/>
      <c r="BG1042" s="1278"/>
      <c r="BH1042" s="1278"/>
      <c r="BI1042" s="1278"/>
      <c r="BJ1042" s="1278"/>
      <c r="BK1042" s="1278"/>
      <c r="BL1042" s="1278"/>
      <c r="BM1042" s="1278"/>
      <c r="BN1042" s="1278"/>
      <c r="BO1042" s="1278"/>
      <c r="BP1042" s="1278"/>
      <c r="BQ1042" s="1278"/>
      <c r="BR1042" s="1278"/>
      <c r="BS1042" s="1278"/>
      <c r="BT1042" s="1278"/>
      <c r="BU1042" s="1278"/>
      <c r="BV1042" s="1278"/>
      <c r="BW1042" s="1278"/>
      <c r="BX1042" s="1278"/>
      <c r="BY1042" s="1278"/>
      <c r="BZ1042" s="1278"/>
      <c r="CA1042" s="1278"/>
      <c r="CB1042" s="1278"/>
      <c r="CC1042" s="1278"/>
      <c r="CD1042" s="1278"/>
      <c r="CE1042" s="1278"/>
      <c r="CF1042" s="1278"/>
      <c r="CG1042" s="1278"/>
      <c r="CH1042" s="1278"/>
      <c r="CI1042" s="1278"/>
      <c r="CJ1042" s="1278"/>
      <c r="CK1042" s="1278"/>
      <c r="CL1042" s="1278"/>
      <c r="CM1042" s="1278"/>
      <c r="CN1042" s="1278"/>
      <c r="CO1042" s="1278"/>
      <c r="CP1042" s="1278"/>
      <c r="CQ1042" s="1278"/>
      <c r="CR1042" s="1278"/>
      <c r="CS1042" s="1278"/>
      <c r="CT1042" s="1278"/>
      <c r="CU1042" s="1278"/>
      <c r="CV1042" s="1278"/>
      <c r="CW1042" s="1278"/>
      <c r="CX1042" s="1278"/>
      <c r="CY1042" s="1278"/>
      <c r="CZ1042" s="1278"/>
      <c r="DA1042" s="1278"/>
      <c r="DB1042" s="1278"/>
      <c r="DC1042" s="1278"/>
      <c r="DD1042" s="1278"/>
      <c r="DE1042" s="1278"/>
      <c r="DF1042" s="1278"/>
      <c r="DG1042" s="1278"/>
      <c r="DH1042" s="1278"/>
      <c r="DI1042" s="1278"/>
      <c r="DJ1042" s="1278"/>
      <c r="DK1042" s="1278"/>
      <c r="DL1042" s="1278"/>
      <c r="DM1042" s="1278"/>
      <c r="DN1042" s="1278"/>
      <c r="DO1042" s="1278"/>
      <c r="DP1042" s="1278"/>
      <c r="DQ1042" s="1278"/>
      <c r="DR1042" s="1278"/>
      <c r="DS1042" s="1278"/>
      <c r="DT1042" s="1278"/>
      <c r="DU1042" s="1278"/>
      <c r="DV1042" s="1278"/>
      <c r="DW1042" s="1278"/>
      <c r="DX1042" s="1278"/>
      <c r="DY1042" s="1278"/>
      <c r="DZ1042" s="1278"/>
      <c r="EA1042" s="1278"/>
      <c r="EB1042" s="1278"/>
      <c r="EC1042" s="1278"/>
      <c r="ED1042" s="1278"/>
      <c r="EE1042" s="1278"/>
      <c r="EF1042" s="1278"/>
      <c r="EG1042" s="1278"/>
      <c r="EH1042" s="1278"/>
      <c r="EI1042" s="1278"/>
      <c r="EJ1042" s="1278"/>
      <c r="EK1042" s="1278"/>
      <c r="EL1042" s="1278"/>
      <c r="EM1042" s="1278"/>
      <c r="EN1042" s="1278"/>
      <c r="EO1042" s="1278"/>
      <c r="EP1042" s="1278"/>
      <c r="EQ1042" s="1278"/>
      <c r="ER1042" s="1278"/>
      <c r="ES1042" s="1278"/>
      <c r="ET1042" s="1278"/>
      <c r="EU1042" s="1278"/>
      <c r="EV1042" s="1278"/>
      <c r="EW1042" s="1278"/>
      <c r="EX1042" s="1278"/>
      <c r="EY1042" s="1278"/>
      <c r="EZ1042" s="1278"/>
      <c r="FA1042" s="1278"/>
      <c r="FB1042" s="1278"/>
      <c r="FC1042" s="1278"/>
      <c r="FD1042" s="1278"/>
      <c r="FE1042" s="1278"/>
      <c r="FF1042" s="1278"/>
      <c r="FG1042" s="1278"/>
      <c r="FH1042" s="1278"/>
      <c r="FI1042" s="1278"/>
      <c r="FJ1042" s="1278"/>
      <c r="FK1042" s="1278"/>
      <c r="FL1042" s="1278"/>
      <c r="FM1042" s="1278"/>
      <c r="FN1042" s="1278"/>
      <c r="FO1042" s="1278"/>
      <c r="FP1042" s="1278"/>
      <c r="FQ1042" s="1278"/>
      <c r="FR1042" s="1278"/>
      <c r="FS1042" s="1278"/>
      <c r="FT1042" s="1278"/>
      <c r="FU1042" s="1278"/>
      <c r="FV1042" s="1278"/>
      <c r="FW1042" s="1278"/>
      <c r="FX1042" s="1278"/>
      <c r="FY1042" s="1278"/>
      <c r="FZ1042" s="1278"/>
      <c r="GA1042" s="1278"/>
      <c r="GB1042" s="1278"/>
      <c r="GC1042" s="1278"/>
      <c r="GD1042" s="1278"/>
      <c r="GE1042" s="1278"/>
      <c r="GF1042" s="1278"/>
      <c r="GG1042" s="1278"/>
      <c r="GH1042" s="1278"/>
      <c r="GI1042" s="1278"/>
      <c r="GJ1042" s="1278"/>
      <c r="GK1042" s="1278"/>
      <c r="GL1042" s="1278"/>
      <c r="GM1042" s="1278"/>
      <c r="GN1042" s="1278"/>
      <c r="GO1042" s="1278"/>
      <c r="GP1042" s="1278"/>
      <c r="GQ1042" s="1278"/>
      <c r="GR1042" s="1278"/>
      <c r="GS1042" s="1278"/>
      <c r="GT1042" s="1278"/>
      <c r="GU1042" s="1278"/>
      <c r="GV1042" s="1278"/>
      <c r="GW1042" s="1278"/>
      <c r="GX1042" s="1278"/>
      <c r="GY1042" s="1278"/>
      <c r="GZ1042" s="1278"/>
      <c r="HA1042" s="1278"/>
      <c r="HB1042" s="1278"/>
      <c r="HC1042" s="1278"/>
      <c r="HD1042" s="1278"/>
      <c r="HE1042" s="1278"/>
      <c r="HF1042" s="1278"/>
      <c r="HG1042" s="1278"/>
      <c r="HH1042" s="1278"/>
      <c r="HI1042" s="1278"/>
      <c r="HJ1042" s="1278"/>
      <c r="HK1042" s="1278"/>
      <c r="HL1042" s="1278"/>
      <c r="HM1042" s="1278"/>
      <c r="HN1042" s="1278"/>
      <c r="HO1042" s="1278"/>
      <c r="HP1042" s="1278"/>
      <c r="HQ1042" s="1278"/>
      <c r="HR1042" s="1278"/>
      <c r="HS1042" s="1278"/>
      <c r="HT1042" s="1278"/>
      <c r="HU1042" s="1278"/>
      <c r="HV1042" s="1278"/>
      <c r="HW1042" s="1278"/>
      <c r="HX1042" s="1278"/>
      <c r="HY1042" s="1278"/>
      <c r="HZ1042" s="1278"/>
      <c r="IA1042" s="1278"/>
      <c r="IB1042" s="1278"/>
      <c r="IC1042" s="1278"/>
      <c r="ID1042" s="1278"/>
      <c r="IE1042" s="1278"/>
      <c r="IF1042" s="1278"/>
      <c r="IG1042" s="1278"/>
      <c r="IH1042" s="1278"/>
      <c r="II1042" s="1278"/>
      <c r="IJ1042" s="1278"/>
      <c r="IK1042" s="1278"/>
      <c r="IL1042" s="1278"/>
      <c r="IM1042" s="1278"/>
      <c r="IN1042" s="1278"/>
      <c r="IO1042" s="1278"/>
      <c r="IP1042" s="1278"/>
      <c r="IQ1042" s="1278"/>
      <c r="IR1042" s="1278"/>
      <c r="IS1042" s="1278"/>
      <c r="IT1042" s="1278"/>
      <c r="IU1042" s="1278"/>
      <c r="IV1042" s="1278"/>
      <c r="IW1042" s="1278"/>
      <c r="IX1042" s="1278"/>
      <c r="IY1042" s="1278"/>
      <c r="IZ1042" s="1278"/>
      <c r="JA1042" s="1278"/>
      <c r="JB1042" s="1278"/>
      <c r="JC1042" s="1278"/>
      <c r="JD1042" s="1278"/>
      <c r="JE1042" s="1278"/>
      <c r="JF1042" s="1278"/>
      <c r="JG1042" s="1278"/>
      <c r="JH1042" s="1278"/>
      <c r="JI1042" s="1278"/>
      <c r="JJ1042" s="1278"/>
      <c r="JK1042" s="1278"/>
      <c r="JL1042" s="1278"/>
      <c r="JM1042" s="1278"/>
      <c r="JN1042" s="1278"/>
      <c r="JO1042" s="1278"/>
      <c r="JP1042" s="1278"/>
      <c r="JQ1042" s="1278"/>
      <c r="JR1042" s="1278"/>
      <c r="JS1042" s="1278"/>
      <c r="JT1042" s="1278"/>
      <c r="JU1042" s="1278"/>
      <c r="JV1042" s="1278"/>
      <c r="JW1042" s="1278"/>
      <c r="JX1042" s="1278"/>
      <c r="JY1042" s="1278"/>
      <c r="JZ1042" s="1278"/>
      <c r="KA1042" s="1278"/>
      <c r="KB1042" s="1278"/>
      <c r="KC1042" s="1278"/>
      <c r="KD1042" s="1278"/>
      <c r="KE1042" s="1278"/>
      <c r="KF1042" s="1278"/>
      <c r="KG1042" s="1278"/>
      <c r="KH1042" s="1278"/>
      <c r="KI1042" s="1278"/>
      <c r="KJ1042" s="1278"/>
      <c r="KK1042" s="1278"/>
      <c r="KL1042" s="1278"/>
      <c r="KM1042" s="1278"/>
      <c r="KN1042" s="1278"/>
      <c r="KO1042" s="1278"/>
      <c r="KP1042" s="1278"/>
      <c r="KQ1042" s="1278"/>
      <c r="KR1042" s="1278"/>
      <c r="KS1042" s="1278"/>
      <c r="KT1042" s="1278"/>
      <c r="KU1042" s="1278"/>
      <c r="KV1042" s="1278"/>
      <c r="KW1042" s="1278"/>
      <c r="KX1042" s="1278"/>
      <c r="KY1042" s="1278"/>
      <c r="KZ1042" s="1278"/>
      <c r="LA1042" s="1278"/>
      <c r="LB1042" s="1278"/>
      <c r="LC1042" s="1278"/>
      <c r="LD1042" s="1278"/>
      <c r="LE1042" s="1278"/>
      <c r="LF1042" s="1278"/>
      <c r="LG1042" s="1278"/>
      <c r="LH1042" s="1278"/>
      <c r="LI1042" s="1278"/>
      <c r="LJ1042" s="1278"/>
      <c r="LK1042" s="1278"/>
      <c r="LL1042" s="1278"/>
      <c r="LM1042" s="1278"/>
      <c r="LN1042" s="1278"/>
      <c r="LO1042" s="1278"/>
      <c r="LP1042" s="1278"/>
      <c r="LQ1042" s="1278"/>
      <c r="LR1042" s="1278"/>
      <c r="LS1042" s="1278"/>
      <c r="LT1042" s="1278"/>
      <c r="LU1042" s="1278"/>
      <c r="LV1042" s="1278"/>
      <c r="LW1042" s="1278"/>
      <c r="LX1042" s="1278"/>
      <c r="LY1042" s="1278"/>
      <c r="LZ1042" s="1278"/>
      <c r="MA1042" s="1278"/>
      <c r="MB1042" s="1278"/>
      <c r="MC1042" s="1278"/>
      <c r="MD1042" s="1278"/>
      <c r="ME1042" s="1278"/>
      <c r="MF1042" s="1278"/>
      <c r="MG1042" s="1278"/>
      <c r="MH1042" s="1278"/>
      <c r="MI1042" s="1278"/>
      <c r="MJ1042" s="1278"/>
      <c r="MK1042" s="1278"/>
      <c r="ML1042" s="1278"/>
      <c r="MM1042" s="1278"/>
      <c r="MN1042" s="1278"/>
      <c r="MO1042" s="1278"/>
      <c r="MP1042" s="1278"/>
      <c r="MQ1042" s="1278"/>
      <c r="MR1042" s="1278"/>
      <c r="MS1042" s="1278"/>
      <c r="MT1042" s="1278"/>
      <c r="MU1042" s="1278"/>
      <c r="MV1042" s="1278"/>
      <c r="MW1042" s="1278"/>
      <c r="MX1042" s="1278"/>
      <c r="MY1042" s="1278"/>
      <c r="MZ1042" s="1278"/>
      <c r="NA1042" s="1278"/>
      <c r="NB1042" s="1278"/>
      <c r="NC1042" s="1278"/>
      <c r="ND1042" s="1278"/>
      <c r="NE1042" s="1278"/>
      <c r="NF1042" s="1278"/>
      <c r="NG1042" s="1278"/>
      <c r="NH1042" s="1278"/>
      <c r="NI1042" s="1278"/>
      <c r="NJ1042" s="1278"/>
      <c r="NK1042" s="1278"/>
      <c r="NL1042" s="1278"/>
      <c r="NM1042" s="1278"/>
      <c r="NN1042" s="1278"/>
      <c r="NO1042" s="1278"/>
      <c r="NP1042" s="1278"/>
      <c r="NQ1042" s="1278"/>
      <c r="NR1042" s="1278"/>
      <c r="NS1042" s="1278"/>
      <c r="NT1042" s="1278"/>
      <c r="NU1042" s="1278"/>
      <c r="NV1042" s="1278"/>
      <c r="NW1042" s="1278"/>
      <c r="NX1042" s="1278"/>
      <c r="NY1042" s="1278"/>
      <c r="NZ1042" s="1278"/>
      <c r="OA1042" s="1278"/>
      <c r="OB1042" s="1278"/>
      <c r="OC1042" s="1278"/>
      <c r="OD1042" s="1278"/>
      <c r="OE1042" s="1278"/>
      <c r="OF1042" s="1278"/>
      <c r="OG1042" s="1278"/>
      <c r="OH1042" s="1278"/>
      <c r="OI1042" s="1278"/>
      <c r="OJ1042" s="1278"/>
      <c r="OK1042" s="1278"/>
      <c r="OL1042" s="1278"/>
      <c r="OM1042" s="1278"/>
      <c r="ON1042" s="1278"/>
      <c r="OO1042" s="1278"/>
      <c r="OP1042" s="1278"/>
      <c r="OQ1042" s="1278"/>
      <c r="OR1042" s="1278"/>
      <c r="OS1042" s="1278"/>
      <c r="OT1042" s="1278"/>
      <c r="OU1042" s="1278"/>
      <c r="OV1042" s="1278"/>
      <c r="OW1042" s="1278"/>
      <c r="OX1042" s="1278"/>
      <c r="OY1042" s="1278"/>
      <c r="OZ1042" s="1278"/>
      <c r="PA1042" s="1278"/>
      <c r="PB1042" s="1278"/>
      <c r="PC1042" s="1278"/>
      <c r="PD1042" s="1278"/>
      <c r="PE1042" s="1278"/>
      <c r="PF1042" s="1278"/>
      <c r="PG1042" s="1278"/>
      <c r="PH1042" s="1278"/>
      <c r="PI1042" s="1278"/>
      <c r="PJ1042" s="1278"/>
      <c r="PK1042" s="1278"/>
      <c r="PL1042" s="1278"/>
      <c r="PM1042" s="1278"/>
      <c r="PN1042" s="1278"/>
      <c r="PO1042" s="1278"/>
      <c r="PP1042" s="1278"/>
      <c r="PQ1042" s="1278"/>
      <c r="PR1042" s="1278"/>
      <c r="PS1042" s="1278"/>
      <c r="PT1042" s="1278"/>
      <c r="PU1042" s="1278"/>
      <c r="PV1042" s="1278"/>
      <c r="PW1042" s="1278"/>
      <c r="PX1042" s="1278"/>
      <c r="PY1042" s="1278"/>
      <c r="PZ1042" s="1278"/>
      <c r="QA1042" s="1278"/>
      <c r="QB1042" s="1278"/>
      <c r="QC1042" s="1278"/>
      <c r="QD1042" s="1278"/>
      <c r="QE1042" s="1278"/>
      <c r="QF1042" s="1278"/>
      <c r="QG1042" s="1278"/>
      <c r="QH1042" s="1278"/>
      <c r="QI1042" s="1278"/>
      <c r="QJ1042" s="1278"/>
      <c r="QK1042" s="1278"/>
      <c r="QL1042" s="1278"/>
      <c r="QM1042" s="1278"/>
      <c r="QN1042" s="1278"/>
      <c r="QO1042" s="1278"/>
      <c r="QP1042" s="1278"/>
      <c r="QQ1042" s="1278"/>
      <c r="QR1042" s="1278"/>
      <c r="QS1042" s="1278"/>
      <c r="QT1042" s="1278"/>
      <c r="QU1042" s="1278"/>
      <c r="QV1042" s="1278"/>
      <c r="QW1042" s="1278"/>
      <c r="QX1042" s="1278"/>
      <c r="QY1042" s="1278"/>
      <c r="QZ1042" s="1278"/>
      <c r="RA1042" s="1278"/>
      <c r="RB1042" s="1278"/>
      <c r="RC1042" s="1278"/>
      <c r="RD1042" s="1278"/>
      <c r="RE1042" s="1278"/>
      <c r="RF1042" s="1278"/>
      <c r="RG1042" s="1278"/>
      <c r="RH1042" s="1278"/>
      <c r="RI1042" s="1278"/>
      <c r="RJ1042" s="1278"/>
      <c r="RK1042" s="1278"/>
      <c r="RL1042" s="1278"/>
      <c r="RM1042" s="1278"/>
      <c r="RN1042" s="1278"/>
      <c r="RO1042" s="1278"/>
      <c r="RP1042" s="1278"/>
      <c r="RQ1042" s="1278"/>
      <c r="RR1042" s="1278"/>
      <c r="RS1042" s="1278"/>
      <c r="RT1042" s="1278"/>
      <c r="RU1042" s="1278"/>
      <c r="RV1042" s="1278"/>
      <c r="RW1042" s="1278"/>
      <c r="RX1042" s="1278"/>
      <c r="RY1042" s="1278"/>
      <c r="RZ1042" s="1278"/>
      <c r="SA1042" s="1278"/>
      <c r="SB1042" s="1278"/>
      <c r="SC1042" s="1278"/>
      <c r="SD1042" s="1278"/>
      <c r="SE1042" s="1278"/>
      <c r="SF1042" s="1278"/>
      <c r="SG1042" s="1278"/>
      <c r="SH1042" s="1278"/>
      <c r="SI1042" s="1278"/>
      <c r="SJ1042" s="1278"/>
      <c r="SK1042" s="1278"/>
      <c r="SL1042" s="1278"/>
      <c r="SM1042" s="1278"/>
      <c r="SN1042" s="1278"/>
      <c r="SO1042" s="1278"/>
      <c r="SP1042" s="1278"/>
      <c r="SQ1042" s="1278"/>
      <c r="SR1042" s="1278"/>
      <c r="SS1042" s="1278"/>
      <c r="ST1042" s="1278"/>
      <c r="SU1042" s="1278"/>
      <c r="SV1042" s="1278"/>
      <c r="SW1042" s="1278"/>
      <c r="SX1042" s="1278"/>
      <c r="SY1042" s="1278"/>
      <c r="SZ1042" s="1278"/>
      <c r="TA1042" s="1278"/>
      <c r="TB1042" s="1278"/>
      <c r="TC1042" s="1278"/>
      <c r="TD1042" s="1278"/>
      <c r="TE1042" s="1278"/>
      <c r="TF1042" s="1278"/>
      <c r="TG1042" s="1278"/>
      <c r="TH1042" s="1278"/>
      <c r="TI1042" s="1278"/>
      <c r="TJ1042" s="1278"/>
      <c r="TK1042" s="1278"/>
      <c r="TL1042" s="1278"/>
      <c r="TM1042" s="1278"/>
      <c r="TN1042" s="1278"/>
      <c r="TO1042" s="1278"/>
      <c r="TP1042" s="1278"/>
      <c r="TQ1042" s="1278"/>
      <c r="TR1042" s="1278"/>
      <c r="TS1042" s="1278"/>
      <c r="TT1042" s="1278"/>
      <c r="TU1042" s="1278"/>
      <c r="TV1042" s="1278"/>
      <c r="TW1042" s="1278"/>
      <c r="TX1042" s="1278"/>
      <c r="TY1042" s="1278"/>
      <c r="TZ1042" s="1278"/>
      <c r="UA1042" s="1278"/>
      <c r="UB1042" s="1278"/>
      <c r="UC1042" s="1278"/>
      <c r="UD1042" s="1278"/>
      <c r="UE1042" s="1278"/>
      <c r="UF1042" s="1278"/>
      <c r="UG1042" s="1279"/>
    </row>
    <row r="1043" spans="1:553" s="1262" customFormat="1" ht="46.5" customHeight="1">
      <c r="A1043" s="356"/>
      <c r="B1043" s="356"/>
      <c r="C1043" s="1405" t="s">
        <v>1414</v>
      </c>
      <c r="D1043" s="1406"/>
      <c r="E1043" s="1406"/>
      <c r="F1043" s="1407"/>
      <c r="G1043" s="564" t="s">
        <v>48</v>
      </c>
      <c r="H1043" s="370"/>
      <c r="I1043" s="370">
        <v>7</v>
      </c>
      <c r="J1043" s="368">
        <v>39000</v>
      </c>
      <c r="K1043" s="370"/>
      <c r="L1043" s="571">
        <f>I1043*J1043</f>
        <v>273000</v>
      </c>
      <c r="M1043" s="356"/>
      <c r="N1043" s="356"/>
      <c r="O1043" s="356"/>
      <c r="P1043" s="356"/>
      <c r="Q1043" s="610"/>
      <c r="R1043" s="1226"/>
      <c r="S1043" s="308"/>
      <c r="T1043" s="308"/>
      <c r="U1043" s="308"/>
      <c r="V1043" s="308"/>
      <c r="W1043" s="308"/>
      <c r="X1043" s="308"/>
      <c r="Y1043" s="308"/>
      <c r="Z1043" s="604"/>
      <c r="AA1043" s="308"/>
      <c r="AB1043" s="308"/>
      <c r="AC1043" s="373"/>
      <c r="AD1043" s="373"/>
      <c r="AE1043" s="373"/>
      <c r="AF1043" s="373"/>
      <c r="AG1043" s="373"/>
      <c r="AH1043" s="373"/>
      <c r="AI1043" s="373"/>
      <c r="AJ1043" s="373"/>
      <c r="AK1043" s="389"/>
      <c r="AL1043" s="1276"/>
      <c r="AM1043" s="1277"/>
      <c r="AN1043" s="1277"/>
      <c r="AO1043" s="1277"/>
      <c r="AP1043" s="1277"/>
      <c r="AQ1043" s="1277"/>
      <c r="AR1043" s="1277"/>
      <c r="AS1043" s="1278"/>
      <c r="AT1043" s="1278"/>
      <c r="AU1043" s="1278"/>
      <c r="AV1043" s="1278"/>
      <c r="AW1043" s="1278"/>
      <c r="AX1043" s="1278"/>
      <c r="AY1043" s="1278"/>
      <c r="AZ1043" s="1278"/>
      <c r="BA1043" s="1278"/>
      <c r="BB1043" s="1278"/>
      <c r="BC1043" s="1278"/>
      <c r="BD1043" s="1278"/>
      <c r="BE1043" s="1278"/>
      <c r="BF1043" s="1278"/>
      <c r="BG1043" s="1278"/>
      <c r="BH1043" s="1278"/>
      <c r="BI1043" s="1278"/>
      <c r="BJ1043" s="1278"/>
      <c r="BK1043" s="1278"/>
      <c r="BL1043" s="1278"/>
      <c r="BM1043" s="1278"/>
      <c r="BN1043" s="1278"/>
      <c r="BO1043" s="1278"/>
      <c r="BP1043" s="1278"/>
      <c r="BQ1043" s="1278"/>
      <c r="BR1043" s="1278"/>
      <c r="BS1043" s="1278"/>
      <c r="BT1043" s="1278"/>
      <c r="BU1043" s="1278"/>
      <c r="BV1043" s="1278"/>
      <c r="BW1043" s="1278"/>
      <c r="BX1043" s="1278"/>
      <c r="BY1043" s="1278"/>
      <c r="BZ1043" s="1278"/>
      <c r="CA1043" s="1278"/>
      <c r="CB1043" s="1278"/>
      <c r="CC1043" s="1278"/>
      <c r="CD1043" s="1278"/>
      <c r="CE1043" s="1278"/>
      <c r="CF1043" s="1278"/>
      <c r="CG1043" s="1278"/>
      <c r="CH1043" s="1278"/>
      <c r="CI1043" s="1278"/>
      <c r="CJ1043" s="1278"/>
      <c r="CK1043" s="1278"/>
      <c r="CL1043" s="1278"/>
      <c r="CM1043" s="1278"/>
      <c r="CN1043" s="1278"/>
      <c r="CO1043" s="1278"/>
      <c r="CP1043" s="1278"/>
      <c r="CQ1043" s="1278"/>
      <c r="CR1043" s="1278"/>
      <c r="CS1043" s="1278"/>
      <c r="CT1043" s="1278"/>
      <c r="CU1043" s="1278"/>
      <c r="CV1043" s="1278"/>
      <c r="CW1043" s="1278"/>
      <c r="CX1043" s="1278"/>
      <c r="CY1043" s="1278"/>
      <c r="CZ1043" s="1278"/>
      <c r="DA1043" s="1278"/>
      <c r="DB1043" s="1278"/>
      <c r="DC1043" s="1278"/>
      <c r="DD1043" s="1278"/>
      <c r="DE1043" s="1278"/>
      <c r="DF1043" s="1278"/>
      <c r="DG1043" s="1278"/>
      <c r="DH1043" s="1278"/>
      <c r="DI1043" s="1278"/>
      <c r="DJ1043" s="1278"/>
      <c r="DK1043" s="1278"/>
      <c r="DL1043" s="1278"/>
      <c r="DM1043" s="1278"/>
      <c r="DN1043" s="1278"/>
      <c r="DO1043" s="1278"/>
      <c r="DP1043" s="1278"/>
      <c r="DQ1043" s="1278"/>
      <c r="DR1043" s="1278"/>
      <c r="DS1043" s="1278"/>
      <c r="DT1043" s="1278"/>
      <c r="DU1043" s="1278"/>
      <c r="DV1043" s="1278"/>
      <c r="DW1043" s="1278"/>
      <c r="DX1043" s="1278"/>
      <c r="DY1043" s="1278"/>
      <c r="DZ1043" s="1278"/>
      <c r="EA1043" s="1278"/>
      <c r="EB1043" s="1278"/>
      <c r="EC1043" s="1278"/>
      <c r="ED1043" s="1278"/>
      <c r="EE1043" s="1278"/>
      <c r="EF1043" s="1278"/>
      <c r="EG1043" s="1278"/>
      <c r="EH1043" s="1278"/>
      <c r="EI1043" s="1278"/>
      <c r="EJ1043" s="1278"/>
      <c r="EK1043" s="1278"/>
      <c r="EL1043" s="1278"/>
      <c r="EM1043" s="1278"/>
      <c r="EN1043" s="1278"/>
      <c r="EO1043" s="1278"/>
      <c r="EP1043" s="1278"/>
      <c r="EQ1043" s="1278"/>
      <c r="ER1043" s="1278"/>
      <c r="ES1043" s="1278"/>
      <c r="ET1043" s="1278"/>
      <c r="EU1043" s="1278"/>
      <c r="EV1043" s="1278"/>
      <c r="EW1043" s="1278"/>
      <c r="EX1043" s="1278"/>
      <c r="EY1043" s="1278"/>
      <c r="EZ1043" s="1278"/>
      <c r="FA1043" s="1278"/>
      <c r="FB1043" s="1278"/>
      <c r="FC1043" s="1278"/>
      <c r="FD1043" s="1278"/>
      <c r="FE1043" s="1278"/>
      <c r="FF1043" s="1278"/>
      <c r="FG1043" s="1278"/>
      <c r="FH1043" s="1278"/>
      <c r="FI1043" s="1278"/>
      <c r="FJ1043" s="1278"/>
      <c r="FK1043" s="1278"/>
      <c r="FL1043" s="1278"/>
      <c r="FM1043" s="1278"/>
      <c r="FN1043" s="1278"/>
      <c r="FO1043" s="1278"/>
      <c r="FP1043" s="1278"/>
      <c r="FQ1043" s="1278"/>
      <c r="FR1043" s="1278"/>
      <c r="FS1043" s="1278"/>
      <c r="FT1043" s="1278"/>
      <c r="FU1043" s="1278"/>
      <c r="FV1043" s="1278"/>
      <c r="FW1043" s="1278"/>
      <c r="FX1043" s="1278"/>
      <c r="FY1043" s="1278"/>
      <c r="FZ1043" s="1278"/>
      <c r="GA1043" s="1278"/>
      <c r="GB1043" s="1278"/>
      <c r="GC1043" s="1278"/>
      <c r="GD1043" s="1278"/>
      <c r="GE1043" s="1278"/>
      <c r="GF1043" s="1278"/>
      <c r="GG1043" s="1278"/>
      <c r="GH1043" s="1278"/>
      <c r="GI1043" s="1278"/>
      <c r="GJ1043" s="1278"/>
      <c r="GK1043" s="1278"/>
      <c r="GL1043" s="1278"/>
      <c r="GM1043" s="1278"/>
      <c r="GN1043" s="1278"/>
      <c r="GO1043" s="1278"/>
      <c r="GP1043" s="1278"/>
      <c r="GQ1043" s="1278"/>
      <c r="GR1043" s="1278"/>
      <c r="GS1043" s="1278"/>
      <c r="GT1043" s="1278"/>
      <c r="GU1043" s="1278"/>
      <c r="GV1043" s="1278"/>
      <c r="GW1043" s="1278"/>
      <c r="GX1043" s="1278"/>
      <c r="GY1043" s="1278"/>
      <c r="GZ1043" s="1278"/>
      <c r="HA1043" s="1278"/>
      <c r="HB1043" s="1278"/>
      <c r="HC1043" s="1278"/>
      <c r="HD1043" s="1278"/>
      <c r="HE1043" s="1278"/>
      <c r="HF1043" s="1278"/>
      <c r="HG1043" s="1278"/>
      <c r="HH1043" s="1278"/>
      <c r="HI1043" s="1278"/>
      <c r="HJ1043" s="1278"/>
      <c r="HK1043" s="1278"/>
      <c r="HL1043" s="1278"/>
      <c r="HM1043" s="1278"/>
      <c r="HN1043" s="1278"/>
      <c r="HO1043" s="1278"/>
      <c r="HP1043" s="1278"/>
      <c r="HQ1043" s="1278"/>
      <c r="HR1043" s="1278"/>
      <c r="HS1043" s="1278"/>
      <c r="HT1043" s="1278"/>
      <c r="HU1043" s="1278"/>
      <c r="HV1043" s="1278"/>
      <c r="HW1043" s="1278"/>
      <c r="HX1043" s="1278"/>
      <c r="HY1043" s="1278"/>
      <c r="HZ1043" s="1278"/>
      <c r="IA1043" s="1278"/>
      <c r="IB1043" s="1278"/>
      <c r="IC1043" s="1278"/>
      <c r="ID1043" s="1278"/>
      <c r="IE1043" s="1278"/>
      <c r="IF1043" s="1278"/>
      <c r="IG1043" s="1278"/>
      <c r="IH1043" s="1278"/>
      <c r="II1043" s="1278"/>
      <c r="IJ1043" s="1278"/>
      <c r="IK1043" s="1278"/>
      <c r="IL1043" s="1278"/>
      <c r="IM1043" s="1278"/>
      <c r="IN1043" s="1278"/>
      <c r="IO1043" s="1278"/>
      <c r="IP1043" s="1278"/>
      <c r="IQ1043" s="1278"/>
      <c r="IR1043" s="1278"/>
      <c r="IS1043" s="1278"/>
      <c r="IT1043" s="1278"/>
      <c r="IU1043" s="1278"/>
      <c r="IV1043" s="1278"/>
      <c r="IW1043" s="1278"/>
      <c r="IX1043" s="1278"/>
      <c r="IY1043" s="1278"/>
      <c r="IZ1043" s="1278"/>
      <c r="JA1043" s="1278"/>
      <c r="JB1043" s="1278"/>
      <c r="JC1043" s="1278"/>
      <c r="JD1043" s="1278"/>
      <c r="JE1043" s="1278"/>
      <c r="JF1043" s="1278"/>
      <c r="JG1043" s="1278"/>
      <c r="JH1043" s="1278"/>
      <c r="JI1043" s="1278"/>
      <c r="JJ1043" s="1278"/>
      <c r="JK1043" s="1278"/>
      <c r="JL1043" s="1278"/>
      <c r="JM1043" s="1278"/>
      <c r="JN1043" s="1278"/>
      <c r="JO1043" s="1278"/>
      <c r="JP1043" s="1278"/>
      <c r="JQ1043" s="1278"/>
      <c r="JR1043" s="1278"/>
      <c r="JS1043" s="1278"/>
      <c r="JT1043" s="1278"/>
      <c r="JU1043" s="1278"/>
      <c r="JV1043" s="1278"/>
      <c r="JW1043" s="1278"/>
      <c r="JX1043" s="1278"/>
      <c r="JY1043" s="1278"/>
      <c r="JZ1043" s="1278"/>
      <c r="KA1043" s="1278"/>
      <c r="KB1043" s="1278"/>
      <c r="KC1043" s="1278"/>
      <c r="KD1043" s="1278"/>
      <c r="KE1043" s="1278"/>
      <c r="KF1043" s="1278"/>
      <c r="KG1043" s="1278"/>
      <c r="KH1043" s="1278"/>
      <c r="KI1043" s="1278"/>
      <c r="KJ1043" s="1278"/>
      <c r="KK1043" s="1278"/>
      <c r="KL1043" s="1278"/>
      <c r="KM1043" s="1278"/>
      <c r="KN1043" s="1278"/>
      <c r="KO1043" s="1278"/>
      <c r="KP1043" s="1278"/>
      <c r="KQ1043" s="1278"/>
      <c r="KR1043" s="1278"/>
      <c r="KS1043" s="1278"/>
      <c r="KT1043" s="1278"/>
      <c r="KU1043" s="1278"/>
      <c r="KV1043" s="1278"/>
      <c r="KW1043" s="1278"/>
      <c r="KX1043" s="1278"/>
      <c r="KY1043" s="1278"/>
      <c r="KZ1043" s="1278"/>
      <c r="LA1043" s="1278"/>
      <c r="LB1043" s="1278"/>
      <c r="LC1043" s="1278"/>
      <c r="LD1043" s="1278"/>
      <c r="LE1043" s="1278"/>
      <c r="LF1043" s="1278"/>
      <c r="LG1043" s="1278"/>
      <c r="LH1043" s="1278"/>
      <c r="LI1043" s="1278"/>
      <c r="LJ1043" s="1278"/>
      <c r="LK1043" s="1278"/>
      <c r="LL1043" s="1278"/>
      <c r="LM1043" s="1278"/>
      <c r="LN1043" s="1278"/>
      <c r="LO1043" s="1278"/>
      <c r="LP1043" s="1278"/>
      <c r="LQ1043" s="1278"/>
      <c r="LR1043" s="1278"/>
      <c r="LS1043" s="1278"/>
      <c r="LT1043" s="1278"/>
      <c r="LU1043" s="1278"/>
      <c r="LV1043" s="1278"/>
      <c r="LW1043" s="1278"/>
      <c r="LX1043" s="1278"/>
      <c r="LY1043" s="1278"/>
      <c r="LZ1043" s="1278"/>
      <c r="MA1043" s="1278"/>
      <c r="MB1043" s="1278"/>
      <c r="MC1043" s="1278"/>
      <c r="MD1043" s="1278"/>
      <c r="ME1043" s="1278"/>
      <c r="MF1043" s="1278"/>
      <c r="MG1043" s="1278"/>
      <c r="MH1043" s="1278"/>
      <c r="MI1043" s="1278"/>
      <c r="MJ1043" s="1278"/>
      <c r="MK1043" s="1278"/>
      <c r="ML1043" s="1278"/>
      <c r="MM1043" s="1278"/>
      <c r="MN1043" s="1278"/>
      <c r="MO1043" s="1278"/>
      <c r="MP1043" s="1278"/>
      <c r="MQ1043" s="1278"/>
      <c r="MR1043" s="1278"/>
      <c r="MS1043" s="1278"/>
      <c r="MT1043" s="1278"/>
      <c r="MU1043" s="1278"/>
      <c r="MV1043" s="1278"/>
      <c r="MW1043" s="1278"/>
      <c r="MX1043" s="1278"/>
      <c r="MY1043" s="1278"/>
      <c r="MZ1043" s="1278"/>
      <c r="NA1043" s="1278"/>
      <c r="NB1043" s="1278"/>
      <c r="NC1043" s="1278"/>
      <c r="ND1043" s="1278"/>
      <c r="NE1043" s="1278"/>
      <c r="NF1043" s="1278"/>
      <c r="NG1043" s="1278"/>
      <c r="NH1043" s="1278"/>
      <c r="NI1043" s="1278"/>
      <c r="NJ1043" s="1278"/>
      <c r="NK1043" s="1278"/>
      <c r="NL1043" s="1278"/>
      <c r="NM1043" s="1278"/>
      <c r="NN1043" s="1278"/>
      <c r="NO1043" s="1278"/>
      <c r="NP1043" s="1278"/>
      <c r="NQ1043" s="1278"/>
      <c r="NR1043" s="1278"/>
      <c r="NS1043" s="1278"/>
      <c r="NT1043" s="1278"/>
      <c r="NU1043" s="1278"/>
      <c r="NV1043" s="1278"/>
      <c r="NW1043" s="1278"/>
      <c r="NX1043" s="1278"/>
      <c r="NY1043" s="1278"/>
      <c r="NZ1043" s="1278"/>
      <c r="OA1043" s="1278"/>
      <c r="OB1043" s="1278"/>
      <c r="OC1043" s="1278"/>
      <c r="OD1043" s="1278"/>
      <c r="OE1043" s="1278"/>
      <c r="OF1043" s="1278"/>
      <c r="OG1043" s="1278"/>
      <c r="OH1043" s="1278"/>
      <c r="OI1043" s="1278"/>
      <c r="OJ1043" s="1278"/>
      <c r="OK1043" s="1278"/>
      <c r="OL1043" s="1278"/>
      <c r="OM1043" s="1278"/>
      <c r="ON1043" s="1278"/>
      <c r="OO1043" s="1278"/>
      <c r="OP1043" s="1278"/>
      <c r="OQ1043" s="1278"/>
      <c r="OR1043" s="1278"/>
      <c r="OS1043" s="1278"/>
      <c r="OT1043" s="1278"/>
      <c r="OU1043" s="1278"/>
      <c r="OV1043" s="1278"/>
      <c r="OW1043" s="1278"/>
      <c r="OX1043" s="1278"/>
      <c r="OY1043" s="1278"/>
      <c r="OZ1043" s="1278"/>
      <c r="PA1043" s="1278"/>
      <c r="PB1043" s="1278"/>
      <c r="PC1043" s="1278"/>
      <c r="PD1043" s="1278"/>
      <c r="PE1043" s="1278"/>
      <c r="PF1043" s="1278"/>
      <c r="PG1043" s="1278"/>
      <c r="PH1043" s="1278"/>
      <c r="PI1043" s="1278"/>
      <c r="PJ1043" s="1278"/>
      <c r="PK1043" s="1278"/>
      <c r="PL1043" s="1278"/>
      <c r="PM1043" s="1278"/>
      <c r="PN1043" s="1278"/>
      <c r="PO1043" s="1278"/>
      <c r="PP1043" s="1278"/>
      <c r="PQ1043" s="1278"/>
      <c r="PR1043" s="1278"/>
      <c r="PS1043" s="1278"/>
      <c r="PT1043" s="1278"/>
      <c r="PU1043" s="1278"/>
      <c r="PV1043" s="1278"/>
      <c r="PW1043" s="1278"/>
      <c r="PX1043" s="1278"/>
      <c r="PY1043" s="1278"/>
      <c r="PZ1043" s="1278"/>
      <c r="QA1043" s="1278"/>
      <c r="QB1043" s="1278"/>
      <c r="QC1043" s="1278"/>
      <c r="QD1043" s="1278"/>
      <c r="QE1043" s="1278"/>
      <c r="QF1043" s="1278"/>
      <c r="QG1043" s="1278"/>
      <c r="QH1043" s="1278"/>
      <c r="QI1043" s="1278"/>
      <c r="QJ1043" s="1278"/>
      <c r="QK1043" s="1278"/>
      <c r="QL1043" s="1278"/>
      <c r="QM1043" s="1278"/>
      <c r="QN1043" s="1278"/>
      <c r="QO1043" s="1278"/>
      <c r="QP1043" s="1278"/>
      <c r="QQ1043" s="1278"/>
      <c r="QR1043" s="1278"/>
      <c r="QS1043" s="1278"/>
      <c r="QT1043" s="1278"/>
      <c r="QU1043" s="1278"/>
      <c r="QV1043" s="1278"/>
      <c r="QW1043" s="1278"/>
      <c r="QX1043" s="1278"/>
      <c r="QY1043" s="1278"/>
      <c r="QZ1043" s="1278"/>
      <c r="RA1043" s="1278"/>
      <c r="RB1043" s="1278"/>
      <c r="RC1043" s="1278"/>
      <c r="RD1043" s="1278"/>
      <c r="RE1043" s="1278"/>
      <c r="RF1043" s="1278"/>
      <c r="RG1043" s="1278"/>
      <c r="RH1043" s="1278"/>
      <c r="RI1043" s="1278"/>
      <c r="RJ1043" s="1278"/>
      <c r="RK1043" s="1278"/>
      <c r="RL1043" s="1278"/>
      <c r="RM1043" s="1278"/>
      <c r="RN1043" s="1278"/>
      <c r="RO1043" s="1278"/>
      <c r="RP1043" s="1278"/>
      <c r="RQ1043" s="1278"/>
      <c r="RR1043" s="1278"/>
      <c r="RS1043" s="1278"/>
      <c r="RT1043" s="1278"/>
      <c r="RU1043" s="1278"/>
      <c r="RV1043" s="1278"/>
      <c r="RW1043" s="1278"/>
      <c r="RX1043" s="1278"/>
      <c r="RY1043" s="1278"/>
      <c r="RZ1043" s="1278"/>
      <c r="SA1043" s="1278"/>
      <c r="SB1043" s="1278"/>
      <c r="SC1043" s="1278"/>
      <c r="SD1043" s="1278"/>
      <c r="SE1043" s="1278"/>
      <c r="SF1043" s="1278"/>
      <c r="SG1043" s="1278"/>
      <c r="SH1043" s="1278"/>
      <c r="SI1043" s="1278"/>
      <c r="SJ1043" s="1278"/>
      <c r="SK1043" s="1278"/>
      <c r="SL1043" s="1278"/>
      <c r="SM1043" s="1278"/>
      <c r="SN1043" s="1278"/>
      <c r="SO1043" s="1278"/>
      <c r="SP1043" s="1278"/>
      <c r="SQ1043" s="1278"/>
      <c r="SR1043" s="1278"/>
      <c r="SS1043" s="1278"/>
      <c r="ST1043" s="1278"/>
      <c r="SU1043" s="1278"/>
      <c r="SV1043" s="1278"/>
      <c r="SW1043" s="1278"/>
      <c r="SX1043" s="1278"/>
      <c r="SY1043" s="1278"/>
      <c r="SZ1043" s="1278"/>
      <c r="TA1043" s="1278"/>
      <c r="TB1043" s="1278"/>
      <c r="TC1043" s="1278"/>
      <c r="TD1043" s="1278"/>
      <c r="TE1043" s="1278"/>
      <c r="TF1043" s="1278"/>
      <c r="TG1043" s="1278"/>
      <c r="TH1043" s="1278"/>
      <c r="TI1043" s="1278"/>
      <c r="TJ1043" s="1278"/>
      <c r="TK1043" s="1278"/>
      <c r="TL1043" s="1278"/>
      <c r="TM1043" s="1278"/>
      <c r="TN1043" s="1278"/>
      <c r="TO1043" s="1278"/>
      <c r="TP1043" s="1278"/>
      <c r="TQ1043" s="1278"/>
      <c r="TR1043" s="1278"/>
      <c r="TS1043" s="1278"/>
      <c r="TT1043" s="1278"/>
      <c r="TU1043" s="1278"/>
      <c r="TV1043" s="1278"/>
      <c r="TW1043" s="1278"/>
      <c r="TX1043" s="1278"/>
      <c r="TY1043" s="1278"/>
      <c r="TZ1043" s="1278"/>
      <c r="UA1043" s="1278"/>
      <c r="UB1043" s="1278"/>
      <c r="UC1043" s="1278"/>
      <c r="UD1043" s="1278"/>
      <c r="UE1043" s="1278"/>
      <c r="UF1043" s="1278"/>
      <c r="UG1043" s="1279"/>
    </row>
    <row r="1044" spans="1:553" s="1262" customFormat="1" ht="46.5" customHeight="1">
      <c r="A1044" s="356"/>
      <c r="B1044" s="356"/>
      <c r="C1044" s="1523" t="s">
        <v>596</v>
      </c>
      <c r="D1044" s="1528"/>
      <c r="E1044" s="1528"/>
      <c r="F1044" s="1529"/>
      <c r="G1044" s="564" t="s">
        <v>46</v>
      </c>
      <c r="H1044" s="370"/>
      <c r="I1044" s="370">
        <f>(95.72*100/10000)*25</f>
        <v>23.93</v>
      </c>
      <c r="J1044" s="368">
        <v>7100</v>
      </c>
      <c r="K1044" s="370"/>
      <c r="L1044" s="571">
        <f>I1044*J1044</f>
        <v>169903</v>
      </c>
      <c r="M1044" s="356"/>
      <c r="N1044" s="356"/>
      <c r="O1044" s="356"/>
      <c r="P1044" s="356"/>
      <c r="Q1044" s="610"/>
      <c r="R1044" s="1226"/>
      <c r="S1044" s="308"/>
      <c r="T1044" s="308"/>
      <c r="U1044" s="308"/>
      <c r="V1044" s="308"/>
      <c r="W1044" s="308"/>
      <c r="X1044" s="308"/>
      <c r="Y1044" s="308"/>
      <c r="Z1044" s="604"/>
      <c r="AA1044" s="308"/>
      <c r="AB1044" s="308"/>
      <c r="AC1044" s="373"/>
      <c r="AD1044" s="373"/>
      <c r="AE1044" s="373"/>
      <c r="AF1044" s="373"/>
      <c r="AG1044" s="373"/>
      <c r="AH1044" s="373"/>
      <c r="AI1044" s="373"/>
      <c r="AJ1044" s="373"/>
      <c r="AK1044" s="389"/>
      <c r="AL1044" s="1276"/>
      <c r="AM1044" s="1277"/>
      <c r="AN1044" s="1277"/>
      <c r="AO1044" s="1277"/>
      <c r="AP1044" s="1277"/>
      <c r="AQ1044" s="1277"/>
      <c r="AR1044" s="1277"/>
      <c r="AS1044" s="1278"/>
      <c r="AT1044" s="1278"/>
      <c r="AU1044" s="1278"/>
      <c r="AV1044" s="1278"/>
      <c r="AW1044" s="1278"/>
      <c r="AX1044" s="1278"/>
      <c r="AY1044" s="1278"/>
      <c r="AZ1044" s="1278"/>
      <c r="BA1044" s="1278"/>
      <c r="BB1044" s="1278"/>
      <c r="BC1044" s="1278"/>
      <c r="BD1044" s="1278"/>
      <c r="BE1044" s="1278"/>
      <c r="BF1044" s="1278"/>
      <c r="BG1044" s="1278"/>
      <c r="BH1044" s="1278"/>
      <c r="BI1044" s="1278"/>
      <c r="BJ1044" s="1278"/>
      <c r="BK1044" s="1278"/>
      <c r="BL1044" s="1278"/>
      <c r="BM1044" s="1278"/>
      <c r="BN1044" s="1278"/>
      <c r="BO1044" s="1278"/>
      <c r="BP1044" s="1278"/>
      <c r="BQ1044" s="1278"/>
      <c r="BR1044" s="1278"/>
      <c r="BS1044" s="1278"/>
      <c r="BT1044" s="1278"/>
      <c r="BU1044" s="1278"/>
      <c r="BV1044" s="1278"/>
      <c r="BW1044" s="1278"/>
      <c r="BX1044" s="1278"/>
      <c r="BY1044" s="1278"/>
      <c r="BZ1044" s="1278"/>
      <c r="CA1044" s="1278"/>
      <c r="CB1044" s="1278"/>
      <c r="CC1044" s="1278"/>
      <c r="CD1044" s="1278"/>
      <c r="CE1044" s="1278"/>
      <c r="CF1044" s="1278"/>
      <c r="CG1044" s="1278"/>
      <c r="CH1044" s="1278"/>
      <c r="CI1044" s="1278"/>
      <c r="CJ1044" s="1278"/>
      <c r="CK1044" s="1278"/>
      <c r="CL1044" s="1278"/>
      <c r="CM1044" s="1278"/>
      <c r="CN1044" s="1278"/>
      <c r="CO1044" s="1278"/>
      <c r="CP1044" s="1278"/>
      <c r="CQ1044" s="1278"/>
      <c r="CR1044" s="1278"/>
      <c r="CS1044" s="1278"/>
      <c r="CT1044" s="1278"/>
      <c r="CU1044" s="1278"/>
      <c r="CV1044" s="1278"/>
      <c r="CW1044" s="1278"/>
      <c r="CX1044" s="1278"/>
      <c r="CY1044" s="1278"/>
      <c r="CZ1044" s="1278"/>
      <c r="DA1044" s="1278"/>
      <c r="DB1044" s="1278"/>
      <c r="DC1044" s="1278"/>
      <c r="DD1044" s="1278"/>
      <c r="DE1044" s="1278"/>
      <c r="DF1044" s="1278"/>
      <c r="DG1044" s="1278"/>
      <c r="DH1044" s="1278"/>
      <c r="DI1044" s="1278"/>
      <c r="DJ1044" s="1278"/>
      <c r="DK1044" s="1278"/>
      <c r="DL1044" s="1278"/>
      <c r="DM1044" s="1278"/>
      <c r="DN1044" s="1278"/>
      <c r="DO1044" s="1278"/>
      <c r="DP1044" s="1278"/>
      <c r="DQ1044" s="1278"/>
      <c r="DR1044" s="1278"/>
      <c r="DS1044" s="1278"/>
      <c r="DT1044" s="1278"/>
      <c r="DU1044" s="1278"/>
      <c r="DV1044" s="1278"/>
      <c r="DW1044" s="1278"/>
      <c r="DX1044" s="1278"/>
      <c r="DY1044" s="1278"/>
      <c r="DZ1044" s="1278"/>
      <c r="EA1044" s="1278"/>
      <c r="EB1044" s="1278"/>
      <c r="EC1044" s="1278"/>
      <c r="ED1044" s="1278"/>
      <c r="EE1044" s="1278"/>
      <c r="EF1044" s="1278"/>
      <c r="EG1044" s="1278"/>
      <c r="EH1044" s="1278"/>
      <c r="EI1044" s="1278"/>
      <c r="EJ1044" s="1278"/>
      <c r="EK1044" s="1278"/>
      <c r="EL1044" s="1278"/>
      <c r="EM1044" s="1278"/>
      <c r="EN1044" s="1278"/>
      <c r="EO1044" s="1278"/>
      <c r="EP1044" s="1278"/>
      <c r="EQ1044" s="1278"/>
      <c r="ER1044" s="1278"/>
      <c r="ES1044" s="1278"/>
      <c r="ET1044" s="1278"/>
      <c r="EU1044" s="1278"/>
      <c r="EV1044" s="1278"/>
      <c r="EW1044" s="1278"/>
      <c r="EX1044" s="1278"/>
      <c r="EY1044" s="1278"/>
      <c r="EZ1044" s="1278"/>
      <c r="FA1044" s="1278"/>
      <c r="FB1044" s="1278"/>
      <c r="FC1044" s="1278"/>
      <c r="FD1044" s="1278"/>
      <c r="FE1044" s="1278"/>
      <c r="FF1044" s="1278"/>
      <c r="FG1044" s="1278"/>
      <c r="FH1044" s="1278"/>
      <c r="FI1044" s="1278"/>
      <c r="FJ1044" s="1278"/>
      <c r="FK1044" s="1278"/>
      <c r="FL1044" s="1278"/>
      <c r="FM1044" s="1278"/>
      <c r="FN1044" s="1278"/>
      <c r="FO1044" s="1278"/>
      <c r="FP1044" s="1278"/>
      <c r="FQ1044" s="1278"/>
      <c r="FR1044" s="1278"/>
      <c r="FS1044" s="1278"/>
      <c r="FT1044" s="1278"/>
      <c r="FU1044" s="1278"/>
      <c r="FV1044" s="1278"/>
      <c r="FW1044" s="1278"/>
      <c r="FX1044" s="1278"/>
      <c r="FY1044" s="1278"/>
      <c r="FZ1044" s="1278"/>
      <c r="GA1044" s="1278"/>
      <c r="GB1044" s="1278"/>
      <c r="GC1044" s="1278"/>
      <c r="GD1044" s="1278"/>
      <c r="GE1044" s="1278"/>
      <c r="GF1044" s="1278"/>
      <c r="GG1044" s="1278"/>
      <c r="GH1044" s="1278"/>
      <c r="GI1044" s="1278"/>
      <c r="GJ1044" s="1278"/>
      <c r="GK1044" s="1278"/>
      <c r="GL1044" s="1278"/>
      <c r="GM1044" s="1278"/>
      <c r="GN1044" s="1278"/>
      <c r="GO1044" s="1278"/>
      <c r="GP1044" s="1278"/>
      <c r="GQ1044" s="1278"/>
      <c r="GR1044" s="1278"/>
      <c r="GS1044" s="1278"/>
      <c r="GT1044" s="1278"/>
      <c r="GU1044" s="1278"/>
      <c r="GV1044" s="1278"/>
      <c r="GW1044" s="1278"/>
      <c r="GX1044" s="1278"/>
      <c r="GY1044" s="1278"/>
      <c r="GZ1044" s="1278"/>
      <c r="HA1044" s="1278"/>
      <c r="HB1044" s="1278"/>
      <c r="HC1044" s="1278"/>
      <c r="HD1044" s="1278"/>
      <c r="HE1044" s="1278"/>
      <c r="HF1044" s="1278"/>
      <c r="HG1044" s="1278"/>
      <c r="HH1044" s="1278"/>
      <c r="HI1044" s="1278"/>
      <c r="HJ1044" s="1278"/>
      <c r="HK1044" s="1278"/>
      <c r="HL1044" s="1278"/>
      <c r="HM1044" s="1278"/>
      <c r="HN1044" s="1278"/>
      <c r="HO1044" s="1278"/>
      <c r="HP1044" s="1278"/>
      <c r="HQ1044" s="1278"/>
      <c r="HR1044" s="1278"/>
      <c r="HS1044" s="1278"/>
      <c r="HT1044" s="1278"/>
      <c r="HU1044" s="1278"/>
      <c r="HV1044" s="1278"/>
      <c r="HW1044" s="1278"/>
      <c r="HX1044" s="1278"/>
      <c r="HY1044" s="1278"/>
      <c r="HZ1044" s="1278"/>
      <c r="IA1044" s="1278"/>
      <c r="IB1044" s="1278"/>
      <c r="IC1044" s="1278"/>
      <c r="ID1044" s="1278"/>
      <c r="IE1044" s="1278"/>
      <c r="IF1044" s="1278"/>
      <c r="IG1044" s="1278"/>
      <c r="IH1044" s="1278"/>
      <c r="II1044" s="1278"/>
      <c r="IJ1044" s="1278"/>
      <c r="IK1044" s="1278"/>
      <c r="IL1044" s="1278"/>
      <c r="IM1044" s="1278"/>
      <c r="IN1044" s="1278"/>
      <c r="IO1044" s="1278"/>
      <c r="IP1044" s="1278"/>
      <c r="IQ1044" s="1278"/>
      <c r="IR1044" s="1278"/>
      <c r="IS1044" s="1278"/>
      <c r="IT1044" s="1278"/>
      <c r="IU1044" s="1278"/>
      <c r="IV1044" s="1278"/>
      <c r="IW1044" s="1278"/>
      <c r="IX1044" s="1278"/>
      <c r="IY1044" s="1278"/>
      <c r="IZ1044" s="1278"/>
      <c r="JA1044" s="1278"/>
      <c r="JB1044" s="1278"/>
      <c r="JC1044" s="1278"/>
      <c r="JD1044" s="1278"/>
      <c r="JE1044" s="1278"/>
      <c r="JF1044" s="1278"/>
      <c r="JG1044" s="1278"/>
      <c r="JH1044" s="1278"/>
      <c r="JI1044" s="1278"/>
      <c r="JJ1044" s="1278"/>
      <c r="JK1044" s="1278"/>
      <c r="JL1044" s="1278"/>
      <c r="JM1044" s="1278"/>
      <c r="JN1044" s="1278"/>
      <c r="JO1044" s="1278"/>
      <c r="JP1044" s="1278"/>
      <c r="JQ1044" s="1278"/>
      <c r="JR1044" s="1278"/>
      <c r="JS1044" s="1278"/>
      <c r="JT1044" s="1278"/>
      <c r="JU1044" s="1278"/>
      <c r="JV1044" s="1278"/>
      <c r="JW1044" s="1278"/>
      <c r="JX1044" s="1278"/>
      <c r="JY1044" s="1278"/>
      <c r="JZ1044" s="1278"/>
      <c r="KA1044" s="1278"/>
      <c r="KB1044" s="1278"/>
      <c r="KC1044" s="1278"/>
      <c r="KD1044" s="1278"/>
      <c r="KE1044" s="1278"/>
      <c r="KF1044" s="1278"/>
      <c r="KG1044" s="1278"/>
      <c r="KH1044" s="1278"/>
      <c r="KI1044" s="1278"/>
      <c r="KJ1044" s="1278"/>
      <c r="KK1044" s="1278"/>
      <c r="KL1044" s="1278"/>
      <c r="KM1044" s="1278"/>
      <c r="KN1044" s="1278"/>
      <c r="KO1044" s="1278"/>
      <c r="KP1044" s="1278"/>
      <c r="KQ1044" s="1278"/>
      <c r="KR1044" s="1278"/>
      <c r="KS1044" s="1278"/>
      <c r="KT1044" s="1278"/>
      <c r="KU1044" s="1278"/>
      <c r="KV1044" s="1278"/>
      <c r="KW1044" s="1278"/>
      <c r="KX1044" s="1278"/>
      <c r="KY1044" s="1278"/>
      <c r="KZ1044" s="1278"/>
      <c r="LA1044" s="1278"/>
      <c r="LB1044" s="1278"/>
      <c r="LC1044" s="1278"/>
      <c r="LD1044" s="1278"/>
      <c r="LE1044" s="1278"/>
      <c r="LF1044" s="1278"/>
      <c r="LG1044" s="1278"/>
      <c r="LH1044" s="1278"/>
      <c r="LI1044" s="1278"/>
      <c r="LJ1044" s="1278"/>
      <c r="LK1044" s="1278"/>
      <c r="LL1044" s="1278"/>
      <c r="LM1044" s="1278"/>
      <c r="LN1044" s="1278"/>
      <c r="LO1044" s="1278"/>
      <c r="LP1044" s="1278"/>
      <c r="LQ1044" s="1278"/>
      <c r="LR1044" s="1278"/>
      <c r="LS1044" s="1278"/>
      <c r="LT1044" s="1278"/>
      <c r="LU1044" s="1278"/>
      <c r="LV1044" s="1278"/>
      <c r="LW1044" s="1278"/>
      <c r="LX1044" s="1278"/>
      <c r="LY1044" s="1278"/>
      <c r="LZ1044" s="1278"/>
      <c r="MA1044" s="1278"/>
      <c r="MB1044" s="1278"/>
      <c r="MC1044" s="1278"/>
      <c r="MD1044" s="1278"/>
      <c r="ME1044" s="1278"/>
      <c r="MF1044" s="1278"/>
      <c r="MG1044" s="1278"/>
      <c r="MH1044" s="1278"/>
      <c r="MI1044" s="1278"/>
      <c r="MJ1044" s="1278"/>
      <c r="MK1044" s="1278"/>
      <c r="ML1044" s="1278"/>
      <c r="MM1044" s="1278"/>
      <c r="MN1044" s="1278"/>
      <c r="MO1044" s="1278"/>
      <c r="MP1044" s="1278"/>
      <c r="MQ1044" s="1278"/>
      <c r="MR1044" s="1278"/>
      <c r="MS1044" s="1278"/>
      <c r="MT1044" s="1278"/>
      <c r="MU1044" s="1278"/>
      <c r="MV1044" s="1278"/>
      <c r="MW1044" s="1278"/>
      <c r="MX1044" s="1278"/>
      <c r="MY1044" s="1278"/>
      <c r="MZ1044" s="1278"/>
      <c r="NA1044" s="1278"/>
      <c r="NB1044" s="1278"/>
      <c r="NC1044" s="1278"/>
      <c r="ND1044" s="1278"/>
      <c r="NE1044" s="1278"/>
      <c r="NF1044" s="1278"/>
      <c r="NG1044" s="1278"/>
      <c r="NH1044" s="1278"/>
      <c r="NI1044" s="1278"/>
      <c r="NJ1044" s="1278"/>
      <c r="NK1044" s="1278"/>
      <c r="NL1044" s="1278"/>
      <c r="NM1044" s="1278"/>
      <c r="NN1044" s="1278"/>
      <c r="NO1044" s="1278"/>
      <c r="NP1044" s="1278"/>
      <c r="NQ1044" s="1278"/>
      <c r="NR1044" s="1278"/>
      <c r="NS1044" s="1278"/>
      <c r="NT1044" s="1278"/>
      <c r="NU1044" s="1278"/>
      <c r="NV1044" s="1278"/>
      <c r="NW1044" s="1278"/>
      <c r="NX1044" s="1278"/>
      <c r="NY1044" s="1278"/>
      <c r="NZ1044" s="1278"/>
      <c r="OA1044" s="1278"/>
      <c r="OB1044" s="1278"/>
      <c r="OC1044" s="1278"/>
      <c r="OD1044" s="1278"/>
      <c r="OE1044" s="1278"/>
      <c r="OF1044" s="1278"/>
      <c r="OG1044" s="1278"/>
      <c r="OH1044" s="1278"/>
      <c r="OI1044" s="1278"/>
      <c r="OJ1044" s="1278"/>
      <c r="OK1044" s="1278"/>
      <c r="OL1044" s="1278"/>
      <c r="OM1044" s="1278"/>
      <c r="ON1044" s="1278"/>
      <c r="OO1044" s="1278"/>
      <c r="OP1044" s="1278"/>
      <c r="OQ1044" s="1278"/>
      <c r="OR1044" s="1278"/>
      <c r="OS1044" s="1278"/>
      <c r="OT1044" s="1278"/>
      <c r="OU1044" s="1278"/>
      <c r="OV1044" s="1278"/>
      <c r="OW1044" s="1278"/>
      <c r="OX1044" s="1278"/>
      <c r="OY1044" s="1278"/>
      <c r="OZ1044" s="1278"/>
      <c r="PA1044" s="1278"/>
      <c r="PB1044" s="1278"/>
      <c r="PC1044" s="1278"/>
      <c r="PD1044" s="1278"/>
      <c r="PE1044" s="1278"/>
      <c r="PF1044" s="1278"/>
      <c r="PG1044" s="1278"/>
      <c r="PH1044" s="1278"/>
      <c r="PI1044" s="1278"/>
      <c r="PJ1044" s="1278"/>
      <c r="PK1044" s="1278"/>
      <c r="PL1044" s="1278"/>
      <c r="PM1044" s="1278"/>
      <c r="PN1044" s="1278"/>
      <c r="PO1044" s="1278"/>
      <c r="PP1044" s="1278"/>
      <c r="PQ1044" s="1278"/>
      <c r="PR1044" s="1278"/>
      <c r="PS1044" s="1278"/>
      <c r="PT1044" s="1278"/>
      <c r="PU1044" s="1278"/>
      <c r="PV1044" s="1278"/>
      <c r="PW1044" s="1278"/>
      <c r="PX1044" s="1278"/>
      <c r="PY1044" s="1278"/>
      <c r="PZ1044" s="1278"/>
      <c r="QA1044" s="1278"/>
      <c r="QB1044" s="1278"/>
      <c r="QC1044" s="1278"/>
      <c r="QD1044" s="1278"/>
      <c r="QE1044" s="1278"/>
      <c r="QF1044" s="1278"/>
      <c r="QG1044" s="1278"/>
      <c r="QH1044" s="1278"/>
      <c r="QI1044" s="1278"/>
      <c r="QJ1044" s="1278"/>
      <c r="QK1044" s="1278"/>
      <c r="QL1044" s="1278"/>
      <c r="QM1044" s="1278"/>
      <c r="QN1044" s="1278"/>
      <c r="QO1044" s="1278"/>
      <c r="QP1044" s="1278"/>
      <c r="QQ1044" s="1278"/>
      <c r="QR1044" s="1278"/>
      <c r="QS1044" s="1278"/>
      <c r="QT1044" s="1278"/>
      <c r="QU1044" s="1278"/>
      <c r="QV1044" s="1278"/>
      <c r="QW1044" s="1278"/>
      <c r="QX1044" s="1278"/>
      <c r="QY1044" s="1278"/>
      <c r="QZ1044" s="1278"/>
      <c r="RA1044" s="1278"/>
      <c r="RB1044" s="1278"/>
      <c r="RC1044" s="1278"/>
      <c r="RD1044" s="1278"/>
      <c r="RE1044" s="1278"/>
      <c r="RF1044" s="1278"/>
      <c r="RG1044" s="1278"/>
      <c r="RH1044" s="1278"/>
      <c r="RI1044" s="1278"/>
      <c r="RJ1044" s="1278"/>
      <c r="RK1044" s="1278"/>
      <c r="RL1044" s="1278"/>
      <c r="RM1044" s="1278"/>
      <c r="RN1044" s="1278"/>
      <c r="RO1044" s="1278"/>
      <c r="RP1044" s="1278"/>
      <c r="RQ1044" s="1278"/>
      <c r="RR1044" s="1278"/>
      <c r="RS1044" s="1278"/>
      <c r="RT1044" s="1278"/>
      <c r="RU1044" s="1278"/>
      <c r="RV1044" s="1278"/>
      <c r="RW1044" s="1278"/>
      <c r="RX1044" s="1278"/>
      <c r="RY1044" s="1278"/>
      <c r="RZ1044" s="1278"/>
      <c r="SA1044" s="1278"/>
      <c r="SB1044" s="1278"/>
      <c r="SC1044" s="1278"/>
      <c r="SD1044" s="1278"/>
      <c r="SE1044" s="1278"/>
      <c r="SF1044" s="1278"/>
      <c r="SG1044" s="1278"/>
      <c r="SH1044" s="1278"/>
      <c r="SI1044" s="1278"/>
      <c r="SJ1044" s="1278"/>
      <c r="SK1044" s="1278"/>
      <c r="SL1044" s="1278"/>
      <c r="SM1044" s="1278"/>
      <c r="SN1044" s="1278"/>
      <c r="SO1044" s="1278"/>
      <c r="SP1044" s="1278"/>
      <c r="SQ1044" s="1278"/>
      <c r="SR1044" s="1278"/>
      <c r="SS1044" s="1278"/>
      <c r="ST1044" s="1278"/>
      <c r="SU1044" s="1278"/>
      <c r="SV1044" s="1278"/>
      <c r="SW1044" s="1278"/>
      <c r="SX1044" s="1278"/>
      <c r="SY1044" s="1278"/>
      <c r="SZ1044" s="1278"/>
      <c r="TA1044" s="1278"/>
      <c r="TB1044" s="1278"/>
      <c r="TC1044" s="1278"/>
      <c r="TD1044" s="1278"/>
      <c r="TE1044" s="1278"/>
      <c r="TF1044" s="1278"/>
      <c r="TG1044" s="1278"/>
      <c r="TH1044" s="1278"/>
      <c r="TI1044" s="1278"/>
      <c r="TJ1044" s="1278"/>
      <c r="TK1044" s="1278"/>
      <c r="TL1044" s="1278"/>
      <c r="TM1044" s="1278"/>
      <c r="TN1044" s="1278"/>
      <c r="TO1044" s="1278"/>
      <c r="TP1044" s="1278"/>
      <c r="TQ1044" s="1278"/>
      <c r="TR1044" s="1278"/>
      <c r="TS1044" s="1278"/>
      <c r="TT1044" s="1278"/>
      <c r="TU1044" s="1278"/>
      <c r="TV1044" s="1278"/>
      <c r="TW1044" s="1278"/>
      <c r="TX1044" s="1278"/>
      <c r="TY1044" s="1278"/>
      <c r="TZ1044" s="1278"/>
      <c r="UA1044" s="1278"/>
      <c r="UB1044" s="1278"/>
      <c r="UC1044" s="1278"/>
      <c r="UD1044" s="1278"/>
      <c r="UE1044" s="1278"/>
      <c r="UF1044" s="1278"/>
      <c r="UG1044" s="1279"/>
    </row>
    <row r="1045" spans="1:553" ht="46.5" customHeight="1">
      <c r="A1045" s="356" t="s">
        <v>53</v>
      </c>
      <c r="B1045" s="356"/>
      <c r="C1045" s="1573" t="s">
        <v>273</v>
      </c>
      <c r="D1045" s="1389"/>
      <c r="E1045" s="1389"/>
      <c r="F1045" s="1390"/>
      <c r="G1045" s="356"/>
      <c r="H1045" s="424"/>
      <c r="I1045" s="424"/>
      <c r="J1045" s="357"/>
      <c r="K1045" s="358"/>
      <c r="L1045" s="356">
        <f>L1046+L1047</f>
        <v>5500000</v>
      </c>
      <c r="M1045" s="356"/>
      <c r="N1045" s="356"/>
      <c r="O1045" s="356"/>
      <c r="P1045" s="356">
        <f>L1045</f>
        <v>5500000</v>
      </c>
      <c r="Q1045" s="610"/>
      <c r="R1045" s="1447" t="s">
        <v>55</v>
      </c>
      <c r="S1045" s="308"/>
      <c r="T1045" s="308"/>
      <c r="U1045" s="308"/>
      <c r="V1045" s="308"/>
      <c r="W1045" s="308"/>
      <c r="X1045" s="308"/>
      <c r="Y1045" s="308"/>
      <c r="Z1045" s="604"/>
      <c r="AA1045" s="308"/>
      <c r="AB1045" s="308"/>
      <c r="AC1045" s="404"/>
      <c r="AD1045" s="404"/>
      <c r="AE1045" s="404"/>
      <c r="AF1045" s="404"/>
      <c r="AG1045" s="404"/>
      <c r="AH1045" s="404"/>
      <c r="AI1045" s="404"/>
      <c r="AJ1045" s="404"/>
      <c r="AK1045" s="404"/>
      <c r="AL1045" s="295"/>
      <c r="AM1045" s="24"/>
      <c r="AN1045" s="24"/>
      <c r="AO1045" s="24"/>
      <c r="AP1045" s="24"/>
      <c r="AQ1045" s="24"/>
      <c r="AR1045" s="24"/>
      <c r="AS1045" s="24"/>
      <c r="AT1045" s="18"/>
      <c r="AU1045" s="18"/>
      <c r="AV1045" s="18"/>
      <c r="AW1045" s="18"/>
      <c r="AX1045" s="18"/>
      <c r="AY1045" s="18"/>
      <c r="AZ1045" s="18"/>
      <c r="BA1045" s="18"/>
      <c r="BB1045" s="18"/>
      <c r="BC1045" s="18"/>
      <c r="BD1045" s="18"/>
      <c r="BE1045" s="18"/>
      <c r="BF1045" s="18"/>
      <c r="BG1045" s="18"/>
      <c r="BH1045" s="18"/>
      <c r="BI1045" s="18"/>
      <c r="BJ1045" s="18"/>
      <c r="BK1045" s="18"/>
      <c r="BL1045" s="18"/>
      <c r="BM1045" s="18"/>
      <c r="BN1045" s="18"/>
      <c r="BO1045" s="18"/>
      <c r="BP1045" s="18"/>
      <c r="BQ1045" s="18"/>
      <c r="BR1045" s="18"/>
      <c r="BS1045" s="18"/>
      <c r="BT1045" s="18"/>
      <c r="BU1045" s="18"/>
      <c r="BV1045" s="18"/>
      <c r="BW1045" s="18"/>
      <c r="BX1045" s="18"/>
      <c r="BY1045" s="18"/>
      <c r="BZ1045" s="18"/>
      <c r="CA1045" s="18"/>
      <c r="CB1045" s="18"/>
      <c r="CC1045" s="18"/>
      <c r="CD1045" s="18"/>
      <c r="CE1045" s="18"/>
      <c r="CF1045" s="18"/>
      <c r="CG1045" s="18"/>
      <c r="CH1045" s="18"/>
      <c r="CI1045" s="18"/>
      <c r="CJ1045" s="18"/>
      <c r="CK1045" s="18"/>
      <c r="CL1045" s="18"/>
      <c r="CM1045" s="18"/>
      <c r="CN1045" s="18"/>
      <c r="CO1045" s="18"/>
      <c r="CP1045" s="18"/>
      <c r="CQ1045" s="18"/>
      <c r="CR1045" s="18"/>
      <c r="CS1045" s="18"/>
      <c r="CT1045" s="18"/>
      <c r="CU1045" s="18"/>
      <c r="CV1045" s="18"/>
      <c r="CW1045" s="18"/>
      <c r="CX1045" s="18"/>
      <c r="CY1045" s="18"/>
      <c r="CZ1045" s="18"/>
      <c r="DA1045" s="18"/>
      <c r="DB1045" s="18"/>
      <c r="DC1045" s="18"/>
      <c r="DD1045" s="18"/>
      <c r="DE1045" s="18"/>
      <c r="DF1045" s="18"/>
      <c r="DG1045" s="18"/>
      <c r="DH1045" s="18"/>
      <c r="DI1045" s="18"/>
      <c r="DJ1045" s="18"/>
      <c r="DK1045" s="18"/>
      <c r="DL1045" s="18"/>
      <c r="DM1045" s="18"/>
      <c r="DN1045" s="18"/>
      <c r="DO1045" s="18"/>
      <c r="DP1045" s="18"/>
      <c r="DQ1045" s="18"/>
      <c r="DR1045" s="18"/>
      <c r="DS1045" s="18"/>
      <c r="DT1045" s="18"/>
      <c r="DU1045" s="18"/>
      <c r="DV1045" s="18"/>
      <c r="DW1045" s="18"/>
      <c r="DX1045" s="18"/>
      <c r="DY1045" s="18"/>
      <c r="DZ1045" s="18"/>
      <c r="EA1045" s="18"/>
      <c r="EB1045" s="18"/>
      <c r="EC1045" s="18"/>
      <c r="ED1045" s="18"/>
      <c r="EE1045" s="18"/>
      <c r="EF1045" s="18"/>
      <c r="EG1045" s="18"/>
      <c r="EH1045" s="18"/>
      <c r="EI1045" s="18"/>
      <c r="EJ1045" s="18"/>
      <c r="EK1045" s="18"/>
      <c r="EL1045" s="18"/>
      <c r="EM1045" s="18"/>
      <c r="EN1045" s="18"/>
      <c r="EO1045" s="18"/>
      <c r="EP1045" s="18"/>
      <c r="EQ1045" s="18"/>
      <c r="ER1045" s="18"/>
      <c r="ES1045" s="18"/>
      <c r="ET1045" s="18"/>
      <c r="EU1045" s="18"/>
      <c r="EV1045" s="18"/>
      <c r="EW1045" s="18"/>
      <c r="EX1045" s="18"/>
      <c r="EY1045" s="18"/>
      <c r="EZ1045" s="18"/>
      <c r="FA1045" s="18"/>
      <c r="FB1045" s="18"/>
      <c r="FC1045" s="18"/>
      <c r="FD1045" s="18"/>
      <c r="FE1045" s="18"/>
      <c r="FF1045" s="18"/>
      <c r="FG1045" s="18"/>
      <c r="FH1045" s="18"/>
      <c r="FI1045" s="18"/>
      <c r="FJ1045" s="18"/>
      <c r="FK1045" s="18"/>
      <c r="FL1045" s="18"/>
      <c r="FM1045" s="18"/>
      <c r="FN1045" s="18"/>
      <c r="FO1045" s="18"/>
      <c r="FP1045" s="18"/>
      <c r="FQ1045" s="18"/>
      <c r="FR1045" s="18"/>
      <c r="FS1045" s="18"/>
      <c r="FT1045" s="18"/>
      <c r="FU1045" s="18"/>
      <c r="FV1045" s="18"/>
      <c r="FW1045" s="18"/>
      <c r="FX1045" s="18"/>
      <c r="FY1045" s="18"/>
      <c r="FZ1045" s="18"/>
      <c r="GA1045" s="18"/>
      <c r="GB1045" s="18"/>
      <c r="GC1045" s="18"/>
      <c r="GD1045" s="18"/>
      <c r="GE1045" s="18"/>
      <c r="GF1045" s="18"/>
      <c r="GG1045" s="18"/>
      <c r="GH1045" s="18"/>
      <c r="GI1045" s="18"/>
      <c r="GJ1045" s="18"/>
      <c r="GK1045" s="18"/>
      <c r="GL1045" s="18"/>
      <c r="GM1045" s="18"/>
      <c r="GN1045" s="18"/>
      <c r="GO1045" s="18"/>
      <c r="GP1045" s="18"/>
      <c r="GQ1045" s="18"/>
      <c r="GR1045" s="18"/>
      <c r="GS1045" s="18"/>
      <c r="GT1045" s="18"/>
      <c r="GU1045" s="18"/>
      <c r="GV1045" s="18"/>
      <c r="GW1045" s="18"/>
      <c r="GX1045" s="18"/>
      <c r="GY1045" s="18"/>
      <c r="GZ1045" s="18"/>
      <c r="HA1045" s="18"/>
      <c r="HB1045" s="18"/>
      <c r="HC1045" s="18"/>
      <c r="HD1045" s="18"/>
      <c r="HE1045" s="18"/>
      <c r="HF1045" s="18"/>
      <c r="HG1045" s="18"/>
      <c r="HH1045" s="18"/>
      <c r="HI1045" s="18"/>
      <c r="HJ1045" s="18"/>
      <c r="HK1045" s="18"/>
      <c r="HL1045" s="18"/>
      <c r="HM1045" s="18"/>
      <c r="HN1045" s="18"/>
      <c r="HO1045" s="18"/>
      <c r="HP1045" s="18"/>
      <c r="HQ1045" s="18"/>
      <c r="HR1045" s="18"/>
      <c r="HS1045" s="18"/>
      <c r="HT1045" s="18"/>
      <c r="HU1045" s="18"/>
      <c r="HV1045" s="18"/>
      <c r="HW1045" s="18"/>
      <c r="HX1045" s="18"/>
      <c r="HY1045" s="18"/>
      <c r="HZ1045" s="18"/>
      <c r="IA1045" s="18"/>
      <c r="IB1045" s="18"/>
      <c r="IC1045" s="18"/>
      <c r="ID1045" s="18"/>
      <c r="IE1045" s="18"/>
      <c r="IF1045" s="18"/>
      <c r="IG1045" s="18"/>
      <c r="IH1045" s="18"/>
      <c r="II1045" s="18"/>
      <c r="IJ1045" s="18"/>
      <c r="IK1045" s="18"/>
      <c r="IL1045" s="18"/>
      <c r="IM1045" s="18"/>
      <c r="IN1045" s="18"/>
      <c r="IO1045" s="18"/>
      <c r="IP1045" s="18"/>
      <c r="IQ1045" s="18"/>
      <c r="IR1045" s="18"/>
      <c r="IS1045" s="18"/>
      <c r="IT1045" s="18"/>
      <c r="IU1045" s="18"/>
      <c r="IV1045" s="18"/>
      <c r="IW1045" s="18"/>
      <c r="IX1045" s="18"/>
      <c r="IY1045" s="18"/>
      <c r="IZ1045" s="18"/>
      <c r="JA1045" s="18"/>
      <c r="JB1045" s="18"/>
      <c r="JC1045" s="18"/>
      <c r="JD1045" s="18"/>
      <c r="JE1045" s="18"/>
      <c r="JF1045" s="18"/>
      <c r="JG1045" s="18"/>
      <c r="JH1045" s="18"/>
      <c r="JI1045" s="18"/>
      <c r="JJ1045" s="18"/>
      <c r="JK1045" s="18"/>
      <c r="JL1045" s="18"/>
      <c r="JM1045" s="18"/>
      <c r="JN1045" s="18"/>
      <c r="JO1045" s="18"/>
      <c r="JP1045" s="18"/>
      <c r="JQ1045" s="18"/>
      <c r="JR1045" s="18"/>
      <c r="JS1045" s="18"/>
      <c r="JT1045" s="18"/>
      <c r="JU1045" s="18"/>
      <c r="JV1045" s="18"/>
      <c r="JW1045" s="18"/>
      <c r="JX1045" s="18"/>
      <c r="JY1045" s="18"/>
      <c r="JZ1045" s="18"/>
      <c r="KA1045" s="18"/>
      <c r="KB1045" s="18"/>
      <c r="KC1045" s="18"/>
      <c r="KD1045" s="18"/>
      <c r="KE1045" s="18"/>
      <c r="KF1045" s="18"/>
      <c r="KG1045" s="18"/>
      <c r="KH1045" s="18"/>
      <c r="KI1045" s="18"/>
      <c r="KJ1045" s="18"/>
      <c r="KK1045" s="18"/>
      <c r="KL1045" s="18"/>
      <c r="KM1045" s="18"/>
      <c r="KN1045" s="18"/>
      <c r="KO1045" s="18"/>
      <c r="KP1045" s="18"/>
      <c r="KQ1045" s="18"/>
      <c r="KR1045" s="18"/>
      <c r="KS1045" s="18"/>
      <c r="KT1045" s="18"/>
      <c r="KU1045" s="18"/>
      <c r="KV1045" s="18"/>
      <c r="KW1045" s="18"/>
      <c r="KX1045" s="18"/>
      <c r="KY1045" s="18"/>
      <c r="KZ1045" s="18"/>
      <c r="LA1045" s="18"/>
      <c r="LB1045" s="18"/>
      <c r="LC1045" s="18"/>
      <c r="LD1045" s="18"/>
      <c r="LE1045" s="18"/>
      <c r="LF1045" s="18"/>
      <c r="LG1045" s="18"/>
      <c r="LH1045" s="18"/>
      <c r="LI1045" s="18"/>
      <c r="LJ1045" s="18"/>
      <c r="LK1045" s="18"/>
      <c r="LL1045" s="18"/>
      <c r="LM1045" s="18"/>
      <c r="LN1045" s="18"/>
      <c r="LO1045" s="18"/>
      <c r="LP1045" s="18"/>
      <c r="LQ1045" s="18"/>
      <c r="LR1045" s="18"/>
      <c r="LS1045" s="18"/>
      <c r="LT1045" s="18"/>
      <c r="LU1045" s="18"/>
      <c r="LV1045" s="18"/>
      <c r="LW1045" s="18"/>
      <c r="LX1045" s="18"/>
      <c r="LY1045" s="18"/>
      <c r="LZ1045" s="18"/>
      <c r="MA1045" s="18"/>
      <c r="MB1045" s="18"/>
      <c r="MC1045" s="18"/>
      <c r="MD1045" s="18"/>
      <c r="ME1045" s="18"/>
      <c r="MF1045" s="18"/>
      <c r="MG1045" s="18"/>
      <c r="MH1045" s="18"/>
      <c r="MI1045" s="18"/>
      <c r="MJ1045" s="18"/>
      <c r="MK1045" s="18"/>
      <c r="ML1045" s="18"/>
      <c r="MM1045" s="18"/>
      <c r="MN1045" s="18"/>
      <c r="MO1045" s="18"/>
      <c r="MP1045" s="18"/>
      <c r="MQ1045" s="18"/>
      <c r="MR1045" s="18"/>
      <c r="MS1045" s="18"/>
      <c r="MT1045" s="18"/>
      <c r="MU1045" s="18"/>
      <c r="MV1045" s="18"/>
      <c r="MW1045" s="18"/>
      <c r="MX1045" s="18"/>
      <c r="MY1045" s="18"/>
      <c r="MZ1045" s="18"/>
      <c r="NA1045" s="18"/>
      <c r="NB1045" s="18"/>
      <c r="NC1045" s="18"/>
      <c r="ND1045" s="18"/>
      <c r="NE1045" s="18"/>
      <c r="NF1045" s="18"/>
      <c r="NG1045" s="18"/>
      <c r="NH1045" s="18"/>
      <c r="NI1045" s="18"/>
      <c r="NJ1045" s="18"/>
      <c r="NK1045" s="18"/>
      <c r="NL1045" s="18"/>
      <c r="NM1045" s="18"/>
      <c r="NN1045" s="18"/>
      <c r="NO1045" s="18"/>
      <c r="NP1045" s="18"/>
      <c r="NQ1045" s="18"/>
      <c r="NR1045" s="18"/>
      <c r="NS1045" s="18"/>
      <c r="NT1045" s="18"/>
      <c r="NU1045" s="18"/>
      <c r="NV1045" s="18"/>
      <c r="NW1045" s="18"/>
      <c r="NX1045" s="18"/>
      <c r="NY1045" s="18"/>
      <c r="NZ1045" s="18"/>
      <c r="OA1045" s="18"/>
      <c r="OB1045" s="18"/>
      <c r="OC1045" s="18"/>
      <c r="OD1045" s="18"/>
      <c r="OE1045" s="18"/>
      <c r="OF1045" s="18"/>
      <c r="OG1045" s="18"/>
      <c r="OH1045" s="18"/>
      <c r="OI1045" s="18"/>
      <c r="OJ1045" s="18"/>
      <c r="OK1045" s="18"/>
      <c r="OL1045" s="18"/>
      <c r="OM1045" s="18"/>
      <c r="ON1045" s="18"/>
      <c r="OO1045" s="18"/>
      <c r="OP1045" s="18"/>
      <c r="OQ1045" s="18"/>
      <c r="OR1045" s="18"/>
      <c r="OS1045" s="18"/>
      <c r="OT1045" s="18"/>
      <c r="OU1045" s="18"/>
      <c r="OV1045" s="18"/>
      <c r="OW1045" s="18"/>
      <c r="OX1045" s="18"/>
      <c r="OY1045" s="18"/>
      <c r="OZ1045" s="18"/>
      <c r="PA1045" s="18"/>
      <c r="PB1045" s="18"/>
      <c r="PC1045" s="18"/>
      <c r="PD1045" s="18"/>
      <c r="PE1045" s="18"/>
      <c r="PF1045" s="18"/>
      <c r="PG1045" s="18"/>
      <c r="PH1045" s="18"/>
      <c r="PI1045" s="18"/>
      <c r="PJ1045" s="18"/>
      <c r="PK1045" s="18"/>
      <c r="PL1045" s="18"/>
      <c r="PM1045" s="18"/>
      <c r="PN1045" s="18"/>
      <c r="PO1045" s="18"/>
      <c r="PP1045" s="18"/>
      <c r="PQ1045" s="18"/>
      <c r="PR1045" s="18"/>
      <c r="PS1045" s="18"/>
      <c r="PT1045" s="18"/>
      <c r="PU1045" s="18"/>
      <c r="PV1045" s="18"/>
      <c r="PW1045" s="18"/>
      <c r="PX1045" s="18"/>
      <c r="PY1045" s="18"/>
      <c r="PZ1045" s="18"/>
      <c r="QA1045" s="18"/>
      <c r="QB1045" s="18"/>
      <c r="QC1045" s="18"/>
      <c r="QD1045" s="18"/>
      <c r="QE1045" s="18"/>
      <c r="QF1045" s="18"/>
      <c r="QG1045" s="18"/>
      <c r="QH1045" s="18"/>
      <c r="QI1045" s="18"/>
      <c r="QJ1045" s="18"/>
      <c r="QK1045" s="18"/>
      <c r="QL1045" s="18"/>
      <c r="QM1045" s="18"/>
      <c r="QN1045" s="18"/>
      <c r="QO1045" s="18"/>
      <c r="QP1045" s="18"/>
      <c r="QQ1045" s="18"/>
      <c r="QR1045" s="18"/>
      <c r="QS1045" s="18"/>
      <c r="QT1045" s="18"/>
      <c r="QU1045" s="18"/>
      <c r="QV1045" s="18"/>
      <c r="QW1045" s="18"/>
      <c r="QX1045" s="18"/>
      <c r="QY1045" s="18"/>
      <c r="QZ1045" s="18"/>
      <c r="RA1045" s="18"/>
      <c r="RB1045" s="18"/>
      <c r="RC1045" s="18"/>
      <c r="RD1045" s="18"/>
      <c r="RE1045" s="18"/>
      <c r="RF1045" s="18"/>
      <c r="RG1045" s="18"/>
      <c r="RH1045" s="18"/>
      <c r="RI1045" s="18"/>
      <c r="RJ1045" s="18"/>
      <c r="RK1045" s="18"/>
      <c r="RL1045" s="18"/>
      <c r="RM1045" s="18"/>
      <c r="RN1045" s="18"/>
      <c r="RO1045" s="18"/>
      <c r="RP1045" s="18"/>
      <c r="RQ1045" s="18"/>
      <c r="RR1045" s="18"/>
      <c r="RS1045" s="18"/>
      <c r="RT1045" s="18"/>
      <c r="RU1045" s="18"/>
      <c r="RV1045" s="18"/>
      <c r="RW1045" s="18"/>
      <c r="RX1045" s="18"/>
      <c r="RY1045" s="18"/>
      <c r="RZ1045" s="18"/>
      <c r="SA1045" s="18"/>
      <c r="SB1045" s="18"/>
      <c r="SC1045" s="18"/>
      <c r="SD1045" s="18"/>
      <c r="SE1045" s="18"/>
      <c r="SF1045" s="18"/>
      <c r="SG1045" s="18"/>
      <c r="SH1045" s="18"/>
      <c r="SI1045" s="18"/>
      <c r="SJ1045" s="18"/>
      <c r="SK1045" s="18"/>
      <c r="SL1045" s="18"/>
      <c r="SM1045" s="18"/>
      <c r="SN1045" s="18"/>
      <c r="SO1045" s="18"/>
      <c r="SP1045" s="18"/>
      <c r="SQ1045" s="18"/>
      <c r="SR1045" s="18"/>
      <c r="SS1045" s="18"/>
      <c r="ST1045" s="18"/>
      <c r="SU1045" s="18"/>
      <c r="SV1045" s="18"/>
      <c r="SW1045" s="18"/>
      <c r="SX1045" s="18"/>
      <c r="SY1045" s="18"/>
      <c r="SZ1045" s="18"/>
      <c r="TA1045" s="18"/>
      <c r="TB1045" s="18"/>
      <c r="TC1045" s="18"/>
      <c r="TD1045" s="18"/>
      <c r="TE1045" s="18"/>
      <c r="TF1045" s="18"/>
      <c r="TG1045" s="18"/>
      <c r="TH1045" s="18"/>
      <c r="TI1045" s="18"/>
      <c r="TJ1045" s="18"/>
      <c r="TK1045" s="18"/>
      <c r="TL1045" s="18"/>
      <c r="TM1045" s="18"/>
      <c r="TN1045" s="18"/>
      <c r="TO1045" s="18"/>
      <c r="TP1045" s="18"/>
      <c r="TQ1045" s="18"/>
      <c r="TR1045" s="18"/>
      <c r="TS1045" s="18"/>
      <c r="TT1045" s="18"/>
      <c r="TU1045" s="18"/>
      <c r="TV1045" s="18"/>
      <c r="TW1045" s="18"/>
      <c r="TX1045" s="18"/>
      <c r="TY1045" s="18"/>
      <c r="TZ1045" s="18"/>
      <c r="UA1045" s="18"/>
      <c r="UB1045" s="18"/>
      <c r="UC1045" s="18"/>
      <c r="UD1045" s="18"/>
      <c r="UE1045" s="18"/>
      <c r="UF1045" s="18"/>
      <c r="UG1045" s="19"/>
    </row>
    <row r="1046" spans="1:553" ht="46.5" customHeight="1">
      <c r="A1046" s="356"/>
      <c r="B1046" s="356"/>
      <c r="C1046" s="1538" t="s">
        <v>56</v>
      </c>
      <c r="D1046" s="1389"/>
      <c r="E1046" s="1389"/>
      <c r="F1046" s="1390"/>
      <c r="G1046" s="366" t="s">
        <v>57</v>
      </c>
      <c r="H1046" s="417"/>
      <c r="I1046" s="417">
        <v>1</v>
      </c>
      <c r="J1046" s="368">
        <v>5000000</v>
      </c>
      <c r="K1046" s="369"/>
      <c r="L1046" s="366">
        <f t="shared" ref="L1046:L1047" si="154">I1046*J1046</f>
        <v>5000000</v>
      </c>
      <c r="M1046" s="356"/>
      <c r="N1046" s="356"/>
      <c r="O1046" s="356"/>
      <c r="P1046" s="356"/>
      <c r="Q1046" s="610"/>
      <c r="R1046" s="1452"/>
      <c r="S1046" s="308"/>
      <c r="T1046" s="308"/>
      <c r="U1046" s="308"/>
      <c r="V1046" s="308"/>
      <c r="W1046" s="308"/>
      <c r="X1046" s="308"/>
      <c r="Y1046" s="308"/>
      <c r="Z1046" s="604"/>
      <c r="AA1046" s="308"/>
      <c r="AB1046" s="308"/>
      <c r="AC1046" s="456"/>
      <c r="AD1046" s="456"/>
      <c r="AE1046" s="456"/>
      <c r="AF1046" s="456"/>
      <c r="AG1046" s="456"/>
      <c r="AH1046" s="456"/>
      <c r="AI1046" s="456"/>
      <c r="AJ1046" s="456"/>
      <c r="AK1046" s="456"/>
      <c r="AL1046" s="184"/>
      <c r="AM1046" s="34"/>
      <c r="AN1046" s="34"/>
      <c r="AO1046" s="34"/>
      <c r="AP1046" s="34"/>
      <c r="AQ1046" s="34"/>
      <c r="AR1046" s="34"/>
      <c r="AS1046" s="34"/>
      <c r="AT1046" s="35"/>
      <c r="AU1046" s="35"/>
      <c r="AV1046" s="35"/>
      <c r="AW1046" s="35"/>
      <c r="AX1046" s="35"/>
      <c r="AY1046" s="35"/>
      <c r="AZ1046" s="35"/>
      <c r="BA1046" s="35"/>
      <c r="BB1046" s="35"/>
      <c r="BC1046" s="35"/>
      <c r="BD1046" s="35"/>
      <c r="BE1046" s="35"/>
      <c r="BF1046" s="35"/>
      <c r="BG1046" s="35"/>
      <c r="BH1046" s="35"/>
      <c r="BI1046" s="35"/>
      <c r="BJ1046" s="35"/>
      <c r="BK1046" s="35"/>
      <c r="BL1046" s="35"/>
      <c r="BM1046" s="35"/>
      <c r="BN1046" s="35"/>
      <c r="BO1046" s="35"/>
      <c r="BP1046" s="36"/>
      <c r="BQ1046" s="36"/>
      <c r="BR1046" s="36"/>
      <c r="BS1046" s="36"/>
      <c r="BT1046" s="36"/>
      <c r="BU1046" s="36"/>
      <c r="BV1046" s="36"/>
      <c r="BW1046" s="36"/>
      <c r="BX1046" s="36"/>
      <c r="BY1046" s="36"/>
      <c r="BZ1046" s="36"/>
      <c r="CA1046" s="36"/>
      <c r="CB1046" s="36"/>
      <c r="CC1046" s="36"/>
      <c r="CD1046" s="36"/>
      <c r="CE1046" s="36"/>
      <c r="CF1046" s="36"/>
      <c r="CG1046" s="36"/>
      <c r="CH1046" s="36"/>
      <c r="CI1046" s="36"/>
      <c r="CJ1046" s="36"/>
      <c r="CK1046" s="36"/>
      <c r="CL1046" s="36"/>
      <c r="CM1046" s="36"/>
      <c r="CN1046" s="36"/>
      <c r="CO1046" s="36"/>
      <c r="CP1046" s="36"/>
      <c r="CQ1046" s="36"/>
      <c r="CR1046" s="36"/>
      <c r="CS1046" s="36"/>
      <c r="CT1046" s="36"/>
      <c r="CU1046" s="36"/>
      <c r="CV1046" s="36"/>
      <c r="CW1046" s="36"/>
      <c r="CX1046" s="36"/>
      <c r="CY1046" s="36"/>
      <c r="CZ1046" s="36"/>
      <c r="DA1046" s="36"/>
      <c r="DB1046" s="36"/>
      <c r="DC1046" s="36"/>
      <c r="DD1046" s="36"/>
      <c r="DE1046" s="36"/>
      <c r="DF1046" s="36"/>
      <c r="DG1046" s="36"/>
      <c r="DH1046" s="36"/>
      <c r="DI1046" s="36"/>
      <c r="DJ1046" s="36"/>
      <c r="DK1046" s="36"/>
      <c r="DL1046" s="36"/>
      <c r="DM1046" s="36"/>
      <c r="DN1046" s="36"/>
      <c r="DO1046" s="36"/>
      <c r="DP1046" s="36"/>
      <c r="DQ1046" s="36"/>
      <c r="DR1046" s="36"/>
      <c r="DS1046" s="36"/>
      <c r="DT1046" s="36"/>
      <c r="DU1046" s="36"/>
      <c r="DV1046" s="36"/>
      <c r="DW1046" s="36"/>
      <c r="DX1046" s="36"/>
      <c r="DY1046" s="36"/>
      <c r="DZ1046" s="36"/>
      <c r="EA1046" s="36"/>
      <c r="EB1046" s="36"/>
      <c r="EC1046" s="36"/>
      <c r="ED1046" s="36"/>
      <c r="EE1046" s="36"/>
      <c r="EF1046" s="36"/>
      <c r="EG1046" s="36"/>
      <c r="EH1046" s="36"/>
      <c r="EI1046" s="36"/>
      <c r="EJ1046" s="36"/>
      <c r="EK1046" s="36"/>
      <c r="EL1046" s="36"/>
      <c r="EM1046" s="36"/>
      <c r="EN1046" s="36"/>
      <c r="EO1046" s="36"/>
      <c r="EP1046" s="36"/>
      <c r="EQ1046" s="36"/>
      <c r="ER1046" s="36"/>
      <c r="ES1046" s="36"/>
      <c r="ET1046" s="36"/>
      <c r="EU1046" s="36"/>
      <c r="EV1046" s="36"/>
      <c r="EW1046" s="36"/>
      <c r="EX1046" s="36"/>
      <c r="EY1046" s="36"/>
      <c r="EZ1046" s="36"/>
      <c r="FA1046" s="36"/>
      <c r="FB1046" s="36"/>
      <c r="FC1046" s="36"/>
      <c r="FD1046" s="36"/>
      <c r="FE1046" s="36"/>
      <c r="FF1046" s="36"/>
      <c r="FG1046" s="36"/>
      <c r="FH1046" s="36"/>
      <c r="FI1046" s="36"/>
      <c r="FJ1046" s="36"/>
      <c r="FK1046" s="36"/>
      <c r="FL1046" s="36"/>
      <c r="FM1046" s="36"/>
      <c r="FN1046" s="36"/>
      <c r="FO1046" s="36"/>
      <c r="FP1046" s="36"/>
      <c r="FQ1046" s="36"/>
      <c r="FR1046" s="36"/>
      <c r="FS1046" s="36"/>
      <c r="FT1046" s="36"/>
      <c r="FU1046" s="36"/>
      <c r="FV1046" s="36"/>
      <c r="FW1046" s="36"/>
      <c r="FX1046" s="36"/>
      <c r="FY1046" s="36"/>
      <c r="FZ1046" s="36"/>
      <c r="GA1046" s="36"/>
      <c r="GB1046" s="36"/>
      <c r="GC1046" s="36"/>
      <c r="GD1046" s="36"/>
      <c r="GE1046" s="36"/>
      <c r="GF1046" s="36"/>
      <c r="GG1046" s="36"/>
      <c r="GH1046" s="36"/>
      <c r="GI1046" s="36"/>
      <c r="GJ1046" s="36"/>
      <c r="GK1046" s="36"/>
      <c r="GL1046" s="36"/>
      <c r="GM1046" s="36"/>
      <c r="GN1046" s="36"/>
      <c r="GO1046" s="36"/>
      <c r="GP1046" s="36"/>
      <c r="GQ1046" s="36"/>
      <c r="GR1046" s="36"/>
      <c r="GS1046" s="36"/>
      <c r="GT1046" s="36"/>
      <c r="GU1046" s="36"/>
      <c r="GV1046" s="36"/>
      <c r="GW1046" s="36"/>
      <c r="GX1046" s="36"/>
      <c r="GY1046" s="36"/>
      <c r="GZ1046" s="36"/>
      <c r="HA1046" s="36"/>
      <c r="HB1046" s="36"/>
      <c r="HC1046" s="36"/>
      <c r="HD1046" s="36"/>
      <c r="HE1046" s="36"/>
      <c r="HF1046" s="36"/>
      <c r="HG1046" s="36"/>
      <c r="HH1046" s="36"/>
      <c r="HI1046" s="36"/>
      <c r="HJ1046" s="36"/>
      <c r="HK1046" s="36"/>
      <c r="HL1046" s="36"/>
      <c r="HM1046" s="36"/>
      <c r="HN1046" s="36"/>
      <c r="HO1046" s="36"/>
      <c r="HP1046" s="36"/>
      <c r="HQ1046" s="36"/>
      <c r="HR1046" s="36"/>
      <c r="HS1046" s="36"/>
      <c r="HT1046" s="36"/>
      <c r="HU1046" s="36"/>
      <c r="HV1046" s="36"/>
      <c r="HW1046" s="36"/>
      <c r="HX1046" s="36"/>
      <c r="HY1046" s="36"/>
      <c r="HZ1046" s="36"/>
      <c r="IA1046" s="36"/>
      <c r="IB1046" s="36"/>
      <c r="IC1046" s="36"/>
      <c r="ID1046" s="36"/>
      <c r="IE1046" s="36"/>
      <c r="IF1046" s="36"/>
      <c r="IG1046" s="36"/>
      <c r="IH1046" s="36"/>
      <c r="II1046" s="36"/>
      <c r="IJ1046" s="36"/>
      <c r="IK1046" s="36"/>
      <c r="IL1046" s="36"/>
      <c r="IM1046" s="36"/>
      <c r="IN1046" s="36"/>
      <c r="IO1046" s="36"/>
      <c r="IP1046" s="36"/>
      <c r="IQ1046" s="36"/>
      <c r="IR1046" s="36"/>
      <c r="IS1046" s="36"/>
      <c r="IT1046" s="36"/>
      <c r="IU1046" s="36"/>
      <c r="IV1046" s="36"/>
      <c r="IW1046" s="36"/>
      <c r="IX1046" s="36"/>
      <c r="IY1046" s="36"/>
      <c r="IZ1046" s="36"/>
      <c r="JA1046" s="36"/>
      <c r="JB1046" s="36"/>
      <c r="JC1046" s="36"/>
      <c r="JD1046" s="36"/>
      <c r="JE1046" s="36"/>
      <c r="JF1046" s="36"/>
      <c r="JG1046" s="36"/>
      <c r="JH1046" s="36"/>
      <c r="JI1046" s="36"/>
      <c r="JJ1046" s="36"/>
      <c r="JK1046" s="36"/>
      <c r="JL1046" s="36"/>
      <c r="JM1046" s="36"/>
      <c r="JN1046" s="36"/>
      <c r="JO1046" s="36"/>
      <c r="JP1046" s="36"/>
      <c r="JQ1046" s="36"/>
      <c r="JR1046" s="36"/>
      <c r="JS1046" s="36"/>
      <c r="JT1046" s="36"/>
      <c r="JU1046" s="36"/>
      <c r="JV1046" s="36"/>
      <c r="JW1046" s="36"/>
      <c r="JX1046" s="36"/>
      <c r="JY1046" s="36"/>
      <c r="JZ1046" s="36"/>
      <c r="KA1046" s="36"/>
      <c r="KB1046" s="36"/>
      <c r="KC1046" s="36"/>
      <c r="KD1046" s="36"/>
      <c r="KE1046" s="36"/>
      <c r="KF1046" s="36"/>
      <c r="KG1046" s="36"/>
      <c r="KH1046" s="36"/>
      <c r="KI1046" s="36"/>
      <c r="KJ1046" s="36"/>
      <c r="KK1046" s="36"/>
      <c r="KL1046" s="36"/>
      <c r="KM1046" s="36"/>
      <c r="KN1046" s="36"/>
      <c r="KO1046" s="36"/>
      <c r="KP1046" s="36"/>
      <c r="KQ1046" s="36"/>
      <c r="KR1046" s="36"/>
      <c r="KS1046" s="36"/>
      <c r="KT1046" s="36"/>
      <c r="KU1046" s="36"/>
      <c r="KV1046" s="36"/>
      <c r="KW1046" s="36"/>
      <c r="KX1046" s="36"/>
      <c r="KY1046" s="36"/>
      <c r="KZ1046" s="36"/>
      <c r="LA1046" s="36"/>
      <c r="LB1046" s="36"/>
      <c r="LC1046" s="36"/>
      <c r="LD1046" s="36"/>
      <c r="LE1046" s="36"/>
      <c r="LF1046" s="36"/>
      <c r="LG1046" s="36"/>
      <c r="LH1046" s="36"/>
      <c r="LI1046" s="36"/>
      <c r="LJ1046" s="36"/>
      <c r="LK1046" s="36"/>
      <c r="LL1046" s="36"/>
      <c r="LM1046" s="36"/>
      <c r="LN1046" s="36"/>
      <c r="LO1046" s="36"/>
      <c r="LP1046" s="36"/>
      <c r="LQ1046" s="36"/>
      <c r="LR1046" s="36"/>
      <c r="LS1046" s="36"/>
      <c r="LT1046" s="36"/>
      <c r="LU1046" s="36"/>
      <c r="LV1046" s="36"/>
      <c r="LW1046" s="36"/>
      <c r="LX1046" s="36"/>
      <c r="LY1046" s="36"/>
      <c r="LZ1046" s="36"/>
      <c r="MA1046" s="36"/>
      <c r="MB1046" s="36"/>
      <c r="MC1046" s="36"/>
      <c r="MD1046" s="36"/>
      <c r="ME1046" s="36"/>
      <c r="MF1046" s="36"/>
      <c r="MG1046" s="36"/>
      <c r="MH1046" s="36"/>
      <c r="MI1046" s="36"/>
      <c r="MJ1046" s="36"/>
      <c r="MK1046" s="36"/>
      <c r="ML1046" s="36"/>
      <c r="MM1046" s="36"/>
      <c r="MN1046" s="36"/>
      <c r="MO1046" s="36"/>
      <c r="MP1046" s="36"/>
      <c r="MQ1046" s="36"/>
      <c r="MR1046" s="36"/>
      <c r="MS1046" s="36"/>
      <c r="MT1046" s="36"/>
      <c r="MU1046" s="36"/>
      <c r="MV1046" s="36"/>
      <c r="MW1046" s="36"/>
      <c r="MX1046" s="36"/>
      <c r="MY1046" s="36"/>
      <c r="MZ1046" s="36"/>
      <c r="NA1046" s="36"/>
      <c r="NB1046" s="36"/>
      <c r="NC1046" s="36"/>
      <c r="ND1046" s="36"/>
      <c r="NE1046" s="36"/>
      <c r="NF1046" s="36"/>
      <c r="NG1046" s="36"/>
      <c r="NH1046" s="36"/>
      <c r="NI1046" s="36"/>
      <c r="NJ1046" s="36"/>
      <c r="NK1046" s="36"/>
      <c r="NL1046" s="36"/>
      <c r="NM1046" s="36"/>
      <c r="NN1046" s="36"/>
      <c r="NO1046" s="36"/>
      <c r="NP1046" s="36"/>
      <c r="NQ1046" s="36"/>
      <c r="NR1046" s="36"/>
      <c r="NS1046" s="36"/>
      <c r="NT1046" s="36"/>
      <c r="NU1046" s="36"/>
      <c r="NV1046" s="36"/>
      <c r="NW1046" s="36"/>
      <c r="NX1046" s="36"/>
      <c r="NY1046" s="36"/>
      <c r="NZ1046" s="36"/>
      <c r="OA1046" s="36"/>
      <c r="OB1046" s="36"/>
      <c r="OC1046" s="36"/>
      <c r="OD1046" s="36"/>
      <c r="OE1046" s="36"/>
      <c r="OF1046" s="36"/>
      <c r="OG1046" s="36"/>
      <c r="OH1046" s="36"/>
      <c r="OI1046" s="36"/>
      <c r="OJ1046" s="36"/>
      <c r="OK1046" s="36"/>
      <c r="OL1046" s="36"/>
      <c r="OM1046" s="36"/>
      <c r="ON1046" s="36"/>
      <c r="OO1046" s="36"/>
      <c r="OP1046" s="36"/>
      <c r="OQ1046" s="36"/>
      <c r="OR1046" s="36"/>
      <c r="OS1046" s="36"/>
      <c r="OT1046" s="36"/>
      <c r="OU1046" s="36"/>
      <c r="OV1046" s="36"/>
      <c r="OW1046" s="36"/>
      <c r="OX1046" s="36"/>
      <c r="OY1046" s="36"/>
      <c r="OZ1046" s="36"/>
      <c r="PA1046" s="36"/>
      <c r="PB1046" s="36"/>
      <c r="PC1046" s="36"/>
      <c r="PD1046" s="36"/>
      <c r="PE1046" s="36"/>
      <c r="PF1046" s="36"/>
      <c r="PG1046" s="36"/>
      <c r="PH1046" s="36"/>
      <c r="PI1046" s="36"/>
      <c r="PJ1046" s="36"/>
      <c r="PK1046" s="36"/>
      <c r="PL1046" s="36"/>
      <c r="PM1046" s="36"/>
      <c r="PN1046" s="36"/>
      <c r="PO1046" s="36"/>
      <c r="PP1046" s="36"/>
      <c r="PQ1046" s="36"/>
      <c r="PR1046" s="36"/>
      <c r="PS1046" s="36"/>
      <c r="PT1046" s="36"/>
      <c r="PU1046" s="36"/>
      <c r="PV1046" s="36"/>
      <c r="PW1046" s="36"/>
      <c r="PX1046" s="36"/>
      <c r="PY1046" s="36"/>
      <c r="PZ1046" s="36"/>
      <c r="QA1046" s="36"/>
      <c r="QB1046" s="36"/>
      <c r="QC1046" s="36"/>
      <c r="QD1046" s="36"/>
      <c r="QE1046" s="36"/>
      <c r="QF1046" s="36"/>
      <c r="QG1046" s="36"/>
      <c r="QH1046" s="36"/>
      <c r="QI1046" s="36"/>
      <c r="QJ1046" s="36"/>
      <c r="QK1046" s="36"/>
      <c r="QL1046" s="36"/>
      <c r="QM1046" s="36"/>
      <c r="QN1046" s="36"/>
      <c r="QO1046" s="36"/>
      <c r="QP1046" s="36"/>
      <c r="QQ1046" s="36"/>
      <c r="QR1046" s="36"/>
      <c r="QS1046" s="36"/>
      <c r="QT1046" s="36"/>
      <c r="QU1046" s="36"/>
      <c r="QV1046" s="36"/>
      <c r="QW1046" s="36"/>
      <c r="QX1046" s="36"/>
      <c r="QY1046" s="36"/>
      <c r="QZ1046" s="36"/>
      <c r="RA1046" s="36"/>
      <c r="RB1046" s="36"/>
      <c r="RC1046" s="36"/>
      <c r="RD1046" s="36"/>
      <c r="RE1046" s="36"/>
      <c r="RF1046" s="36"/>
      <c r="RG1046" s="36"/>
      <c r="RH1046" s="36"/>
      <c r="RI1046" s="36"/>
      <c r="RJ1046" s="36"/>
      <c r="RK1046" s="36"/>
      <c r="RL1046" s="36"/>
      <c r="RM1046" s="36"/>
      <c r="RN1046" s="36"/>
      <c r="RO1046" s="36"/>
      <c r="RP1046" s="36"/>
      <c r="RQ1046" s="36"/>
      <c r="RR1046" s="36"/>
      <c r="RS1046" s="36"/>
      <c r="RT1046" s="36"/>
      <c r="RU1046" s="36"/>
      <c r="RV1046" s="36"/>
      <c r="RW1046" s="36"/>
      <c r="RX1046" s="36"/>
      <c r="RY1046" s="36"/>
      <c r="RZ1046" s="36"/>
      <c r="SA1046" s="36"/>
      <c r="SB1046" s="36"/>
      <c r="SC1046" s="36"/>
      <c r="SD1046" s="36"/>
      <c r="SE1046" s="36"/>
      <c r="SF1046" s="36"/>
      <c r="SG1046" s="36"/>
      <c r="SH1046" s="36"/>
      <c r="SI1046" s="36"/>
      <c r="SJ1046" s="36"/>
      <c r="SK1046" s="36"/>
      <c r="SL1046" s="36"/>
      <c r="SM1046" s="36"/>
      <c r="SN1046" s="36"/>
      <c r="SO1046" s="36"/>
      <c r="SP1046" s="36"/>
      <c r="SQ1046" s="36"/>
      <c r="SR1046" s="36"/>
      <c r="SS1046" s="36"/>
      <c r="ST1046" s="36"/>
      <c r="SU1046" s="36"/>
      <c r="SV1046" s="36"/>
      <c r="SW1046" s="36"/>
      <c r="SX1046" s="36"/>
      <c r="SY1046" s="36"/>
      <c r="SZ1046" s="36"/>
      <c r="TA1046" s="36"/>
      <c r="TB1046" s="36"/>
      <c r="TC1046" s="36"/>
      <c r="TD1046" s="36"/>
      <c r="TE1046" s="36"/>
      <c r="TF1046" s="36"/>
      <c r="TG1046" s="36"/>
      <c r="TH1046" s="36"/>
      <c r="TI1046" s="36"/>
      <c r="TJ1046" s="36"/>
      <c r="TK1046" s="36"/>
      <c r="TL1046" s="36"/>
      <c r="TM1046" s="36"/>
      <c r="TN1046" s="36"/>
      <c r="TO1046" s="36"/>
      <c r="TP1046" s="36"/>
      <c r="TQ1046" s="36"/>
      <c r="TR1046" s="36"/>
      <c r="TS1046" s="36"/>
      <c r="TT1046" s="36"/>
      <c r="TU1046" s="36"/>
      <c r="TV1046" s="36"/>
      <c r="TW1046" s="36"/>
      <c r="TX1046" s="36"/>
      <c r="TY1046" s="36"/>
      <c r="TZ1046" s="36"/>
      <c r="UA1046" s="36"/>
      <c r="UB1046" s="36"/>
      <c r="UC1046" s="36"/>
      <c r="UD1046" s="36"/>
      <c r="UE1046" s="36"/>
      <c r="UF1046" s="36"/>
      <c r="UG1046" s="37"/>
    </row>
    <row r="1047" spans="1:553" ht="46.5" customHeight="1">
      <c r="A1047" s="356"/>
      <c r="B1047" s="356"/>
      <c r="C1047" s="1538" t="s">
        <v>204</v>
      </c>
      <c r="D1047" s="1389"/>
      <c r="E1047" s="1389"/>
      <c r="F1047" s="1390"/>
      <c r="G1047" s="366" t="s">
        <v>205</v>
      </c>
      <c r="H1047" s="417"/>
      <c r="I1047" s="417">
        <v>1</v>
      </c>
      <c r="J1047" s="368">
        <v>500000</v>
      </c>
      <c r="K1047" s="369"/>
      <c r="L1047" s="366">
        <f t="shared" si="154"/>
        <v>500000</v>
      </c>
      <c r="M1047" s="356"/>
      <c r="N1047" s="356"/>
      <c r="O1047" s="356"/>
      <c r="P1047" s="356"/>
      <c r="Q1047" s="610"/>
      <c r="R1047" s="1226"/>
      <c r="S1047" s="308"/>
      <c r="T1047" s="308"/>
      <c r="U1047" s="308"/>
      <c r="V1047" s="308"/>
      <c r="W1047" s="308"/>
      <c r="X1047" s="308"/>
      <c r="Y1047" s="308"/>
      <c r="Z1047" s="604"/>
      <c r="AA1047" s="308"/>
      <c r="AB1047" s="308"/>
      <c r="AC1047" s="456"/>
      <c r="AD1047" s="456"/>
      <c r="AE1047" s="456"/>
      <c r="AF1047" s="456"/>
      <c r="AG1047" s="456"/>
      <c r="AH1047" s="456"/>
      <c r="AI1047" s="456"/>
      <c r="AJ1047" s="456"/>
      <c r="AK1047" s="456"/>
      <c r="AL1047" s="184"/>
      <c r="AM1047" s="34"/>
      <c r="AN1047" s="34"/>
      <c r="AO1047" s="34"/>
      <c r="AP1047" s="34"/>
      <c r="AQ1047" s="34"/>
      <c r="AR1047" s="34"/>
      <c r="AS1047" s="34"/>
      <c r="AT1047" s="35"/>
      <c r="AU1047" s="35"/>
      <c r="AV1047" s="35"/>
      <c r="AW1047" s="35"/>
      <c r="AX1047" s="35"/>
      <c r="AY1047" s="35"/>
      <c r="AZ1047" s="35"/>
      <c r="BA1047" s="35"/>
      <c r="BB1047" s="35"/>
      <c r="BC1047" s="35"/>
      <c r="BD1047" s="35"/>
      <c r="BE1047" s="35"/>
      <c r="BF1047" s="35"/>
      <c r="BG1047" s="35"/>
      <c r="BH1047" s="35"/>
      <c r="BI1047" s="35"/>
      <c r="BJ1047" s="35"/>
      <c r="BK1047" s="35"/>
      <c r="BL1047" s="35"/>
      <c r="BM1047" s="35"/>
      <c r="BN1047" s="35"/>
      <c r="BO1047" s="35"/>
      <c r="BP1047" s="36"/>
      <c r="BQ1047" s="36"/>
      <c r="BR1047" s="36"/>
      <c r="BS1047" s="36"/>
      <c r="BT1047" s="36"/>
      <c r="BU1047" s="36"/>
      <c r="BV1047" s="36"/>
      <c r="BW1047" s="36"/>
      <c r="BX1047" s="36"/>
      <c r="BY1047" s="36"/>
      <c r="BZ1047" s="36"/>
      <c r="CA1047" s="36"/>
      <c r="CB1047" s="36"/>
      <c r="CC1047" s="36"/>
      <c r="CD1047" s="36"/>
      <c r="CE1047" s="36"/>
      <c r="CF1047" s="36"/>
      <c r="CG1047" s="36"/>
      <c r="CH1047" s="36"/>
      <c r="CI1047" s="36"/>
      <c r="CJ1047" s="36"/>
      <c r="CK1047" s="36"/>
      <c r="CL1047" s="36"/>
      <c r="CM1047" s="36"/>
      <c r="CN1047" s="36"/>
      <c r="CO1047" s="36"/>
      <c r="CP1047" s="36"/>
      <c r="CQ1047" s="36"/>
      <c r="CR1047" s="36"/>
      <c r="CS1047" s="36"/>
      <c r="CT1047" s="36"/>
      <c r="CU1047" s="36"/>
      <c r="CV1047" s="36"/>
      <c r="CW1047" s="36"/>
      <c r="CX1047" s="36"/>
      <c r="CY1047" s="36"/>
      <c r="CZ1047" s="36"/>
      <c r="DA1047" s="36"/>
      <c r="DB1047" s="36"/>
      <c r="DC1047" s="36"/>
      <c r="DD1047" s="36"/>
      <c r="DE1047" s="36"/>
      <c r="DF1047" s="36"/>
      <c r="DG1047" s="36"/>
      <c r="DH1047" s="36"/>
      <c r="DI1047" s="36"/>
      <c r="DJ1047" s="36"/>
      <c r="DK1047" s="36"/>
      <c r="DL1047" s="36"/>
      <c r="DM1047" s="36"/>
      <c r="DN1047" s="36"/>
      <c r="DO1047" s="36"/>
      <c r="DP1047" s="36"/>
      <c r="DQ1047" s="36"/>
      <c r="DR1047" s="36"/>
      <c r="DS1047" s="36"/>
      <c r="DT1047" s="36"/>
      <c r="DU1047" s="36"/>
      <c r="DV1047" s="36"/>
      <c r="DW1047" s="36"/>
      <c r="DX1047" s="36"/>
      <c r="DY1047" s="36"/>
      <c r="DZ1047" s="36"/>
      <c r="EA1047" s="36"/>
      <c r="EB1047" s="36"/>
      <c r="EC1047" s="36"/>
      <c r="ED1047" s="36"/>
      <c r="EE1047" s="36"/>
      <c r="EF1047" s="36"/>
      <c r="EG1047" s="36"/>
      <c r="EH1047" s="36"/>
      <c r="EI1047" s="36"/>
      <c r="EJ1047" s="36"/>
      <c r="EK1047" s="36"/>
      <c r="EL1047" s="36"/>
      <c r="EM1047" s="36"/>
      <c r="EN1047" s="36"/>
      <c r="EO1047" s="36"/>
      <c r="EP1047" s="36"/>
      <c r="EQ1047" s="36"/>
      <c r="ER1047" s="36"/>
      <c r="ES1047" s="36"/>
      <c r="ET1047" s="36"/>
      <c r="EU1047" s="36"/>
      <c r="EV1047" s="36"/>
      <c r="EW1047" s="36"/>
      <c r="EX1047" s="36"/>
      <c r="EY1047" s="36"/>
      <c r="EZ1047" s="36"/>
      <c r="FA1047" s="36"/>
      <c r="FB1047" s="36"/>
      <c r="FC1047" s="36"/>
      <c r="FD1047" s="36"/>
      <c r="FE1047" s="36"/>
      <c r="FF1047" s="36"/>
      <c r="FG1047" s="36"/>
      <c r="FH1047" s="36"/>
      <c r="FI1047" s="36"/>
      <c r="FJ1047" s="36"/>
      <c r="FK1047" s="36"/>
      <c r="FL1047" s="36"/>
      <c r="FM1047" s="36"/>
      <c r="FN1047" s="36"/>
      <c r="FO1047" s="36"/>
      <c r="FP1047" s="36"/>
      <c r="FQ1047" s="36"/>
      <c r="FR1047" s="36"/>
      <c r="FS1047" s="36"/>
      <c r="FT1047" s="36"/>
      <c r="FU1047" s="36"/>
      <c r="FV1047" s="36"/>
      <c r="FW1047" s="36"/>
      <c r="FX1047" s="36"/>
      <c r="FY1047" s="36"/>
      <c r="FZ1047" s="36"/>
      <c r="GA1047" s="36"/>
      <c r="GB1047" s="36"/>
      <c r="GC1047" s="36"/>
      <c r="GD1047" s="36"/>
      <c r="GE1047" s="36"/>
      <c r="GF1047" s="36"/>
      <c r="GG1047" s="36"/>
      <c r="GH1047" s="36"/>
      <c r="GI1047" s="36"/>
      <c r="GJ1047" s="36"/>
      <c r="GK1047" s="36"/>
      <c r="GL1047" s="36"/>
      <c r="GM1047" s="36"/>
      <c r="GN1047" s="36"/>
      <c r="GO1047" s="36"/>
      <c r="GP1047" s="36"/>
      <c r="GQ1047" s="36"/>
      <c r="GR1047" s="36"/>
      <c r="GS1047" s="36"/>
      <c r="GT1047" s="36"/>
      <c r="GU1047" s="36"/>
      <c r="GV1047" s="36"/>
      <c r="GW1047" s="36"/>
      <c r="GX1047" s="36"/>
      <c r="GY1047" s="36"/>
      <c r="GZ1047" s="36"/>
      <c r="HA1047" s="36"/>
      <c r="HB1047" s="36"/>
      <c r="HC1047" s="36"/>
      <c r="HD1047" s="36"/>
      <c r="HE1047" s="36"/>
      <c r="HF1047" s="36"/>
      <c r="HG1047" s="36"/>
      <c r="HH1047" s="36"/>
      <c r="HI1047" s="36"/>
      <c r="HJ1047" s="36"/>
      <c r="HK1047" s="36"/>
      <c r="HL1047" s="36"/>
      <c r="HM1047" s="36"/>
      <c r="HN1047" s="36"/>
      <c r="HO1047" s="36"/>
      <c r="HP1047" s="36"/>
      <c r="HQ1047" s="36"/>
      <c r="HR1047" s="36"/>
      <c r="HS1047" s="36"/>
      <c r="HT1047" s="36"/>
      <c r="HU1047" s="36"/>
      <c r="HV1047" s="36"/>
      <c r="HW1047" s="36"/>
      <c r="HX1047" s="36"/>
      <c r="HY1047" s="36"/>
      <c r="HZ1047" s="36"/>
      <c r="IA1047" s="36"/>
      <c r="IB1047" s="36"/>
      <c r="IC1047" s="36"/>
      <c r="ID1047" s="36"/>
      <c r="IE1047" s="36"/>
      <c r="IF1047" s="36"/>
      <c r="IG1047" s="36"/>
      <c r="IH1047" s="36"/>
      <c r="II1047" s="36"/>
      <c r="IJ1047" s="36"/>
      <c r="IK1047" s="36"/>
      <c r="IL1047" s="36"/>
      <c r="IM1047" s="36"/>
      <c r="IN1047" s="36"/>
      <c r="IO1047" s="36"/>
      <c r="IP1047" s="36"/>
      <c r="IQ1047" s="36"/>
      <c r="IR1047" s="36"/>
      <c r="IS1047" s="36"/>
      <c r="IT1047" s="36"/>
      <c r="IU1047" s="36"/>
      <c r="IV1047" s="36"/>
      <c r="IW1047" s="36"/>
      <c r="IX1047" s="36"/>
      <c r="IY1047" s="36"/>
      <c r="IZ1047" s="36"/>
      <c r="JA1047" s="36"/>
      <c r="JB1047" s="36"/>
      <c r="JC1047" s="36"/>
      <c r="JD1047" s="36"/>
      <c r="JE1047" s="36"/>
      <c r="JF1047" s="36"/>
      <c r="JG1047" s="36"/>
      <c r="JH1047" s="36"/>
      <c r="JI1047" s="36"/>
      <c r="JJ1047" s="36"/>
      <c r="JK1047" s="36"/>
      <c r="JL1047" s="36"/>
      <c r="JM1047" s="36"/>
      <c r="JN1047" s="36"/>
      <c r="JO1047" s="36"/>
      <c r="JP1047" s="36"/>
      <c r="JQ1047" s="36"/>
      <c r="JR1047" s="36"/>
      <c r="JS1047" s="36"/>
      <c r="JT1047" s="36"/>
      <c r="JU1047" s="36"/>
      <c r="JV1047" s="36"/>
      <c r="JW1047" s="36"/>
      <c r="JX1047" s="36"/>
      <c r="JY1047" s="36"/>
      <c r="JZ1047" s="36"/>
      <c r="KA1047" s="36"/>
      <c r="KB1047" s="36"/>
      <c r="KC1047" s="36"/>
      <c r="KD1047" s="36"/>
      <c r="KE1047" s="36"/>
      <c r="KF1047" s="36"/>
      <c r="KG1047" s="36"/>
      <c r="KH1047" s="36"/>
      <c r="KI1047" s="36"/>
      <c r="KJ1047" s="36"/>
      <c r="KK1047" s="36"/>
      <c r="KL1047" s="36"/>
      <c r="KM1047" s="36"/>
      <c r="KN1047" s="36"/>
      <c r="KO1047" s="36"/>
      <c r="KP1047" s="36"/>
      <c r="KQ1047" s="36"/>
      <c r="KR1047" s="36"/>
      <c r="KS1047" s="36"/>
      <c r="KT1047" s="36"/>
      <c r="KU1047" s="36"/>
      <c r="KV1047" s="36"/>
      <c r="KW1047" s="36"/>
      <c r="KX1047" s="36"/>
      <c r="KY1047" s="36"/>
      <c r="KZ1047" s="36"/>
      <c r="LA1047" s="36"/>
      <c r="LB1047" s="36"/>
      <c r="LC1047" s="36"/>
      <c r="LD1047" s="36"/>
      <c r="LE1047" s="36"/>
      <c r="LF1047" s="36"/>
      <c r="LG1047" s="36"/>
      <c r="LH1047" s="36"/>
      <c r="LI1047" s="36"/>
      <c r="LJ1047" s="36"/>
      <c r="LK1047" s="36"/>
      <c r="LL1047" s="36"/>
      <c r="LM1047" s="36"/>
      <c r="LN1047" s="36"/>
      <c r="LO1047" s="36"/>
      <c r="LP1047" s="36"/>
      <c r="LQ1047" s="36"/>
      <c r="LR1047" s="36"/>
      <c r="LS1047" s="36"/>
      <c r="LT1047" s="36"/>
      <c r="LU1047" s="36"/>
      <c r="LV1047" s="36"/>
      <c r="LW1047" s="36"/>
      <c r="LX1047" s="36"/>
      <c r="LY1047" s="36"/>
      <c r="LZ1047" s="36"/>
      <c r="MA1047" s="36"/>
      <c r="MB1047" s="36"/>
      <c r="MC1047" s="36"/>
      <c r="MD1047" s="36"/>
      <c r="ME1047" s="36"/>
      <c r="MF1047" s="36"/>
      <c r="MG1047" s="36"/>
      <c r="MH1047" s="36"/>
      <c r="MI1047" s="36"/>
      <c r="MJ1047" s="36"/>
      <c r="MK1047" s="36"/>
      <c r="ML1047" s="36"/>
      <c r="MM1047" s="36"/>
      <c r="MN1047" s="36"/>
      <c r="MO1047" s="36"/>
      <c r="MP1047" s="36"/>
      <c r="MQ1047" s="36"/>
      <c r="MR1047" s="36"/>
      <c r="MS1047" s="36"/>
      <c r="MT1047" s="36"/>
      <c r="MU1047" s="36"/>
      <c r="MV1047" s="36"/>
      <c r="MW1047" s="36"/>
      <c r="MX1047" s="36"/>
      <c r="MY1047" s="36"/>
      <c r="MZ1047" s="36"/>
      <c r="NA1047" s="36"/>
      <c r="NB1047" s="36"/>
      <c r="NC1047" s="36"/>
      <c r="ND1047" s="36"/>
      <c r="NE1047" s="36"/>
      <c r="NF1047" s="36"/>
      <c r="NG1047" s="36"/>
      <c r="NH1047" s="36"/>
      <c r="NI1047" s="36"/>
      <c r="NJ1047" s="36"/>
      <c r="NK1047" s="36"/>
      <c r="NL1047" s="36"/>
      <c r="NM1047" s="36"/>
      <c r="NN1047" s="36"/>
      <c r="NO1047" s="36"/>
      <c r="NP1047" s="36"/>
      <c r="NQ1047" s="36"/>
      <c r="NR1047" s="36"/>
      <c r="NS1047" s="36"/>
      <c r="NT1047" s="36"/>
      <c r="NU1047" s="36"/>
      <c r="NV1047" s="36"/>
      <c r="NW1047" s="36"/>
      <c r="NX1047" s="36"/>
      <c r="NY1047" s="36"/>
      <c r="NZ1047" s="36"/>
      <c r="OA1047" s="36"/>
      <c r="OB1047" s="36"/>
      <c r="OC1047" s="36"/>
      <c r="OD1047" s="36"/>
      <c r="OE1047" s="36"/>
      <c r="OF1047" s="36"/>
      <c r="OG1047" s="36"/>
      <c r="OH1047" s="36"/>
      <c r="OI1047" s="36"/>
      <c r="OJ1047" s="36"/>
      <c r="OK1047" s="36"/>
      <c r="OL1047" s="36"/>
      <c r="OM1047" s="36"/>
      <c r="ON1047" s="36"/>
      <c r="OO1047" s="36"/>
      <c r="OP1047" s="36"/>
      <c r="OQ1047" s="36"/>
      <c r="OR1047" s="36"/>
      <c r="OS1047" s="36"/>
      <c r="OT1047" s="36"/>
      <c r="OU1047" s="36"/>
      <c r="OV1047" s="36"/>
      <c r="OW1047" s="36"/>
      <c r="OX1047" s="36"/>
      <c r="OY1047" s="36"/>
      <c r="OZ1047" s="36"/>
      <c r="PA1047" s="36"/>
      <c r="PB1047" s="36"/>
      <c r="PC1047" s="36"/>
      <c r="PD1047" s="36"/>
      <c r="PE1047" s="36"/>
      <c r="PF1047" s="36"/>
      <c r="PG1047" s="36"/>
      <c r="PH1047" s="36"/>
      <c r="PI1047" s="36"/>
      <c r="PJ1047" s="36"/>
      <c r="PK1047" s="36"/>
      <c r="PL1047" s="36"/>
      <c r="PM1047" s="36"/>
      <c r="PN1047" s="36"/>
      <c r="PO1047" s="36"/>
      <c r="PP1047" s="36"/>
      <c r="PQ1047" s="36"/>
      <c r="PR1047" s="36"/>
      <c r="PS1047" s="36"/>
      <c r="PT1047" s="36"/>
      <c r="PU1047" s="36"/>
      <c r="PV1047" s="36"/>
      <c r="PW1047" s="36"/>
      <c r="PX1047" s="36"/>
      <c r="PY1047" s="36"/>
      <c r="PZ1047" s="36"/>
      <c r="QA1047" s="36"/>
      <c r="QB1047" s="36"/>
      <c r="QC1047" s="36"/>
      <c r="QD1047" s="36"/>
      <c r="QE1047" s="36"/>
      <c r="QF1047" s="36"/>
      <c r="QG1047" s="36"/>
      <c r="QH1047" s="36"/>
      <c r="QI1047" s="36"/>
      <c r="QJ1047" s="36"/>
      <c r="QK1047" s="36"/>
      <c r="QL1047" s="36"/>
      <c r="QM1047" s="36"/>
      <c r="QN1047" s="36"/>
      <c r="QO1047" s="36"/>
      <c r="QP1047" s="36"/>
      <c r="QQ1047" s="36"/>
      <c r="QR1047" s="36"/>
      <c r="QS1047" s="36"/>
      <c r="QT1047" s="36"/>
      <c r="QU1047" s="36"/>
      <c r="QV1047" s="36"/>
      <c r="QW1047" s="36"/>
      <c r="QX1047" s="36"/>
      <c r="QY1047" s="36"/>
      <c r="QZ1047" s="36"/>
      <c r="RA1047" s="36"/>
      <c r="RB1047" s="36"/>
      <c r="RC1047" s="36"/>
      <c r="RD1047" s="36"/>
      <c r="RE1047" s="36"/>
      <c r="RF1047" s="36"/>
      <c r="RG1047" s="36"/>
      <c r="RH1047" s="36"/>
      <c r="RI1047" s="36"/>
      <c r="RJ1047" s="36"/>
      <c r="RK1047" s="36"/>
      <c r="RL1047" s="36"/>
      <c r="RM1047" s="36"/>
      <c r="RN1047" s="36"/>
      <c r="RO1047" s="36"/>
      <c r="RP1047" s="36"/>
      <c r="RQ1047" s="36"/>
      <c r="RR1047" s="36"/>
      <c r="RS1047" s="36"/>
      <c r="RT1047" s="36"/>
      <c r="RU1047" s="36"/>
      <c r="RV1047" s="36"/>
      <c r="RW1047" s="36"/>
      <c r="RX1047" s="36"/>
      <c r="RY1047" s="36"/>
      <c r="RZ1047" s="36"/>
      <c r="SA1047" s="36"/>
      <c r="SB1047" s="36"/>
      <c r="SC1047" s="36"/>
      <c r="SD1047" s="36"/>
      <c r="SE1047" s="36"/>
      <c r="SF1047" s="36"/>
      <c r="SG1047" s="36"/>
      <c r="SH1047" s="36"/>
      <c r="SI1047" s="36"/>
      <c r="SJ1047" s="36"/>
      <c r="SK1047" s="36"/>
      <c r="SL1047" s="36"/>
      <c r="SM1047" s="36"/>
      <c r="SN1047" s="36"/>
      <c r="SO1047" s="36"/>
      <c r="SP1047" s="36"/>
      <c r="SQ1047" s="36"/>
      <c r="SR1047" s="36"/>
      <c r="SS1047" s="36"/>
      <c r="ST1047" s="36"/>
      <c r="SU1047" s="36"/>
      <c r="SV1047" s="36"/>
      <c r="SW1047" s="36"/>
      <c r="SX1047" s="36"/>
      <c r="SY1047" s="36"/>
      <c r="SZ1047" s="36"/>
      <c r="TA1047" s="36"/>
      <c r="TB1047" s="36"/>
      <c r="TC1047" s="36"/>
      <c r="TD1047" s="36"/>
      <c r="TE1047" s="36"/>
      <c r="TF1047" s="36"/>
      <c r="TG1047" s="36"/>
      <c r="TH1047" s="36"/>
      <c r="TI1047" s="36"/>
      <c r="TJ1047" s="36"/>
      <c r="TK1047" s="36"/>
      <c r="TL1047" s="36"/>
      <c r="TM1047" s="36"/>
      <c r="TN1047" s="36"/>
      <c r="TO1047" s="36"/>
      <c r="TP1047" s="36"/>
      <c r="TQ1047" s="36"/>
      <c r="TR1047" s="36"/>
      <c r="TS1047" s="36"/>
      <c r="TT1047" s="36"/>
      <c r="TU1047" s="36"/>
      <c r="TV1047" s="36"/>
      <c r="TW1047" s="36"/>
      <c r="TX1047" s="36"/>
      <c r="TY1047" s="36"/>
      <c r="TZ1047" s="36"/>
      <c r="UA1047" s="36"/>
      <c r="UB1047" s="36"/>
      <c r="UC1047" s="36"/>
      <c r="UD1047" s="36"/>
      <c r="UE1047" s="36"/>
      <c r="UF1047" s="36"/>
      <c r="UG1047" s="37"/>
    </row>
    <row r="1048" spans="1:553" ht="56.25" customHeight="1">
      <c r="A1048" s="356" t="s">
        <v>58</v>
      </c>
      <c r="B1048" s="356"/>
      <c r="C1048" s="1431" t="s">
        <v>59</v>
      </c>
      <c r="D1048" s="1389"/>
      <c r="E1048" s="1389"/>
      <c r="F1048" s="1390"/>
      <c r="G1048" s="356"/>
      <c r="H1048" s="359"/>
      <c r="I1048" s="359"/>
      <c r="J1048" s="357"/>
      <c r="K1048" s="364"/>
      <c r="L1048" s="356">
        <f>SUM(L1049:L1057)</f>
        <v>493837600</v>
      </c>
      <c r="M1048" s="356"/>
      <c r="N1048" s="356"/>
      <c r="O1048" s="356"/>
      <c r="P1048" s="356">
        <f>L1048</f>
        <v>493837600</v>
      </c>
      <c r="Q1048" s="610"/>
      <c r="R1048" s="1447" t="s">
        <v>922</v>
      </c>
      <c r="S1048" s="308"/>
      <c r="T1048" s="308"/>
      <c r="U1048" s="308"/>
      <c r="V1048" s="308"/>
      <c r="W1048" s="308"/>
      <c r="X1048" s="308"/>
      <c r="Y1048" s="308"/>
      <c r="Z1048" s="604"/>
      <c r="AA1048" s="308"/>
      <c r="AB1048" s="308"/>
      <c r="AC1048" s="365"/>
      <c r="AD1048" s="365"/>
      <c r="AE1048" s="365"/>
      <c r="AF1048" s="365"/>
      <c r="AG1048" s="365"/>
      <c r="AH1048" s="365"/>
      <c r="AI1048" s="365"/>
      <c r="AJ1048" s="365"/>
      <c r="AK1048" s="377"/>
      <c r="AL1048" s="343"/>
      <c r="AM1048" s="24"/>
      <c r="AN1048" s="24"/>
      <c r="AO1048" s="24"/>
      <c r="AP1048" s="24"/>
      <c r="AQ1048" s="24"/>
      <c r="AR1048" s="24"/>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c r="BM1048" s="18"/>
      <c r="BN1048" s="18"/>
      <c r="BO1048" s="18"/>
      <c r="BP1048" s="18"/>
      <c r="BQ1048" s="18"/>
      <c r="BR1048" s="18"/>
      <c r="BS1048" s="18"/>
      <c r="BT1048" s="18"/>
      <c r="BU1048" s="18"/>
      <c r="BV1048" s="18"/>
      <c r="BW1048" s="18"/>
      <c r="BX1048" s="18"/>
      <c r="BY1048" s="18"/>
      <c r="BZ1048" s="18"/>
      <c r="CA1048" s="18"/>
      <c r="CB1048" s="18"/>
      <c r="CC1048" s="18"/>
      <c r="CD1048" s="18"/>
      <c r="CE1048" s="18"/>
      <c r="CF1048" s="18"/>
      <c r="CG1048" s="18"/>
      <c r="CH1048" s="18"/>
      <c r="CI1048" s="18"/>
      <c r="CJ1048" s="18"/>
      <c r="CK1048" s="18"/>
      <c r="CL1048" s="18"/>
      <c r="CM1048" s="18"/>
      <c r="CN1048" s="18"/>
      <c r="CO1048" s="18"/>
      <c r="CP1048" s="18"/>
      <c r="CQ1048" s="18"/>
      <c r="CR1048" s="18"/>
      <c r="CS1048" s="18"/>
      <c r="CT1048" s="18"/>
      <c r="CU1048" s="18"/>
      <c r="CV1048" s="18"/>
      <c r="CW1048" s="18"/>
      <c r="CX1048" s="18"/>
      <c r="CY1048" s="18"/>
      <c r="CZ1048" s="18"/>
      <c r="DA1048" s="18"/>
      <c r="DB1048" s="18"/>
      <c r="DC1048" s="18"/>
      <c r="DD1048" s="18"/>
      <c r="DE1048" s="18"/>
      <c r="DF1048" s="18"/>
      <c r="DG1048" s="18"/>
      <c r="DH1048" s="18"/>
      <c r="DI1048" s="18"/>
      <c r="DJ1048" s="18"/>
      <c r="DK1048" s="18"/>
      <c r="DL1048" s="18"/>
      <c r="DM1048" s="18"/>
      <c r="DN1048" s="18"/>
      <c r="DO1048" s="18"/>
      <c r="DP1048" s="18"/>
      <c r="DQ1048" s="18"/>
      <c r="DR1048" s="18"/>
      <c r="DS1048" s="18"/>
      <c r="DT1048" s="18"/>
      <c r="DU1048" s="18"/>
      <c r="DV1048" s="18"/>
      <c r="DW1048" s="18"/>
      <c r="DX1048" s="18"/>
      <c r="DY1048" s="18"/>
      <c r="DZ1048" s="18"/>
      <c r="EA1048" s="18"/>
      <c r="EB1048" s="18"/>
      <c r="EC1048" s="18"/>
      <c r="ED1048" s="18"/>
      <c r="EE1048" s="18"/>
      <c r="EF1048" s="18"/>
      <c r="EG1048" s="18"/>
      <c r="EH1048" s="18"/>
      <c r="EI1048" s="18"/>
      <c r="EJ1048" s="18"/>
      <c r="EK1048" s="18"/>
      <c r="EL1048" s="18"/>
      <c r="EM1048" s="18"/>
      <c r="EN1048" s="18"/>
      <c r="EO1048" s="18"/>
      <c r="EP1048" s="18"/>
      <c r="EQ1048" s="18"/>
      <c r="ER1048" s="18"/>
      <c r="ES1048" s="18"/>
      <c r="ET1048" s="18"/>
      <c r="EU1048" s="18"/>
      <c r="EV1048" s="18"/>
      <c r="EW1048" s="18"/>
      <c r="EX1048" s="18"/>
      <c r="EY1048" s="18"/>
      <c r="EZ1048" s="18"/>
      <c r="FA1048" s="18"/>
      <c r="FB1048" s="18"/>
      <c r="FC1048" s="18"/>
      <c r="FD1048" s="18"/>
      <c r="FE1048" s="18"/>
      <c r="FF1048" s="18"/>
      <c r="FG1048" s="18"/>
      <c r="FH1048" s="18"/>
      <c r="FI1048" s="18"/>
      <c r="FJ1048" s="18"/>
      <c r="FK1048" s="18"/>
      <c r="FL1048" s="18"/>
      <c r="FM1048" s="18"/>
      <c r="FN1048" s="18"/>
      <c r="FO1048" s="18"/>
      <c r="FP1048" s="18"/>
      <c r="FQ1048" s="18"/>
      <c r="FR1048" s="18"/>
      <c r="FS1048" s="18"/>
      <c r="FT1048" s="18"/>
      <c r="FU1048" s="18"/>
      <c r="FV1048" s="18"/>
      <c r="FW1048" s="18"/>
      <c r="FX1048" s="18"/>
      <c r="FY1048" s="18"/>
      <c r="FZ1048" s="18"/>
      <c r="GA1048" s="18"/>
      <c r="GB1048" s="18"/>
      <c r="GC1048" s="18"/>
      <c r="GD1048" s="18"/>
      <c r="GE1048" s="18"/>
      <c r="GF1048" s="18"/>
      <c r="GG1048" s="18"/>
      <c r="GH1048" s="18"/>
      <c r="GI1048" s="18"/>
      <c r="GJ1048" s="18"/>
      <c r="GK1048" s="18"/>
      <c r="GL1048" s="18"/>
      <c r="GM1048" s="18"/>
      <c r="GN1048" s="18"/>
      <c r="GO1048" s="18"/>
      <c r="GP1048" s="18"/>
      <c r="GQ1048" s="18"/>
      <c r="GR1048" s="18"/>
      <c r="GS1048" s="18"/>
      <c r="GT1048" s="18"/>
      <c r="GU1048" s="18"/>
      <c r="GV1048" s="18"/>
      <c r="GW1048" s="18"/>
      <c r="GX1048" s="18"/>
      <c r="GY1048" s="18"/>
      <c r="GZ1048" s="18"/>
      <c r="HA1048" s="18"/>
      <c r="HB1048" s="18"/>
      <c r="HC1048" s="18"/>
      <c r="HD1048" s="18"/>
      <c r="HE1048" s="18"/>
      <c r="HF1048" s="18"/>
      <c r="HG1048" s="18"/>
      <c r="HH1048" s="18"/>
      <c r="HI1048" s="18"/>
      <c r="HJ1048" s="18"/>
      <c r="HK1048" s="18"/>
      <c r="HL1048" s="18"/>
      <c r="HM1048" s="18"/>
      <c r="HN1048" s="18"/>
      <c r="HO1048" s="18"/>
      <c r="HP1048" s="18"/>
      <c r="HQ1048" s="18"/>
      <c r="HR1048" s="18"/>
      <c r="HS1048" s="18"/>
      <c r="HT1048" s="18"/>
      <c r="HU1048" s="18"/>
      <c r="HV1048" s="18"/>
      <c r="HW1048" s="18"/>
      <c r="HX1048" s="18"/>
      <c r="HY1048" s="18"/>
      <c r="HZ1048" s="18"/>
      <c r="IA1048" s="18"/>
      <c r="IB1048" s="18"/>
      <c r="IC1048" s="18"/>
      <c r="ID1048" s="18"/>
      <c r="IE1048" s="18"/>
      <c r="IF1048" s="18"/>
      <c r="IG1048" s="18"/>
      <c r="IH1048" s="18"/>
      <c r="II1048" s="18"/>
      <c r="IJ1048" s="18"/>
      <c r="IK1048" s="18"/>
      <c r="IL1048" s="18"/>
      <c r="IM1048" s="18"/>
      <c r="IN1048" s="18"/>
      <c r="IO1048" s="18"/>
      <c r="IP1048" s="18"/>
      <c r="IQ1048" s="18"/>
      <c r="IR1048" s="18"/>
      <c r="IS1048" s="18"/>
      <c r="IT1048" s="18"/>
      <c r="IU1048" s="18"/>
      <c r="IV1048" s="18"/>
      <c r="IW1048" s="18"/>
      <c r="IX1048" s="18"/>
      <c r="IY1048" s="18"/>
      <c r="IZ1048" s="18"/>
      <c r="JA1048" s="18"/>
      <c r="JB1048" s="18"/>
      <c r="JC1048" s="18"/>
      <c r="JD1048" s="18"/>
      <c r="JE1048" s="18"/>
      <c r="JF1048" s="18"/>
      <c r="JG1048" s="18"/>
      <c r="JH1048" s="18"/>
      <c r="JI1048" s="18"/>
      <c r="JJ1048" s="18"/>
      <c r="JK1048" s="18"/>
      <c r="JL1048" s="18"/>
      <c r="JM1048" s="18"/>
      <c r="JN1048" s="18"/>
      <c r="JO1048" s="18"/>
      <c r="JP1048" s="18"/>
      <c r="JQ1048" s="18"/>
      <c r="JR1048" s="18"/>
      <c r="JS1048" s="18"/>
      <c r="JT1048" s="18"/>
      <c r="JU1048" s="18"/>
      <c r="JV1048" s="18"/>
      <c r="JW1048" s="18"/>
      <c r="JX1048" s="18"/>
      <c r="JY1048" s="18"/>
      <c r="JZ1048" s="18"/>
      <c r="KA1048" s="18"/>
      <c r="KB1048" s="18"/>
      <c r="KC1048" s="18"/>
      <c r="KD1048" s="18"/>
      <c r="KE1048" s="18"/>
      <c r="KF1048" s="18"/>
      <c r="KG1048" s="18"/>
      <c r="KH1048" s="18"/>
      <c r="KI1048" s="18"/>
      <c r="KJ1048" s="18"/>
      <c r="KK1048" s="18"/>
      <c r="KL1048" s="18"/>
      <c r="KM1048" s="18"/>
      <c r="KN1048" s="18"/>
      <c r="KO1048" s="18"/>
      <c r="KP1048" s="18"/>
      <c r="KQ1048" s="18"/>
      <c r="KR1048" s="18"/>
      <c r="KS1048" s="18"/>
      <c r="KT1048" s="18"/>
      <c r="KU1048" s="18"/>
      <c r="KV1048" s="18"/>
      <c r="KW1048" s="18"/>
      <c r="KX1048" s="18"/>
      <c r="KY1048" s="18"/>
      <c r="KZ1048" s="18"/>
      <c r="LA1048" s="18"/>
      <c r="LB1048" s="18"/>
      <c r="LC1048" s="18"/>
      <c r="LD1048" s="18"/>
      <c r="LE1048" s="18"/>
      <c r="LF1048" s="18"/>
      <c r="LG1048" s="18"/>
      <c r="LH1048" s="18"/>
      <c r="LI1048" s="18"/>
      <c r="LJ1048" s="18"/>
      <c r="LK1048" s="18"/>
      <c r="LL1048" s="18"/>
      <c r="LM1048" s="18"/>
      <c r="LN1048" s="18"/>
      <c r="LO1048" s="18"/>
      <c r="LP1048" s="18"/>
      <c r="LQ1048" s="18"/>
      <c r="LR1048" s="18"/>
      <c r="LS1048" s="18"/>
      <c r="LT1048" s="18"/>
      <c r="LU1048" s="18"/>
      <c r="LV1048" s="18"/>
      <c r="LW1048" s="18"/>
      <c r="LX1048" s="18"/>
      <c r="LY1048" s="18"/>
      <c r="LZ1048" s="18"/>
      <c r="MA1048" s="18"/>
      <c r="MB1048" s="18"/>
      <c r="MC1048" s="18"/>
      <c r="MD1048" s="18"/>
      <c r="ME1048" s="18"/>
      <c r="MF1048" s="18"/>
      <c r="MG1048" s="18"/>
      <c r="MH1048" s="18"/>
      <c r="MI1048" s="18"/>
      <c r="MJ1048" s="18"/>
      <c r="MK1048" s="18"/>
      <c r="ML1048" s="18"/>
      <c r="MM1048" s="18"/>
      <c r="MN1048" s="18"/>
      <c r="MO1048" s="18"/>
      <c r="MP1048" s="18"/>
      <c r="MQ1048" s="18"/>
      <c r="MR1048" s="18"/>
      <c r="MS1048" s="18"/>
      <c r="MT1048" s="18"/>
      <c r="MU1048" s="18"/>
      <c r="MV1048" s="18"/>
      <c r="MW1048" s="18"/>
      <c r="MX1048" s="18"/>
      <c r="MY1048" s="18"/>
      <c r="MZ1048" s="18"/>
      <c r="NA1048" s="18"/>
      <c r="NB1048" s="18"/>
      <c r="NC1048" s="18"/>
      <c r="ND1048" s="18"/>
      <c r="NE1048" s="18"/>
      <c r="NF1048" s="18"/>
      <c r="NG1048" s="18"/>
      <c r="NH1048" s="18"/>
      <c r="NI1048" s="18"/>
      <c r="NJ1048" s="18"/>
      <c r="NK1048" s="18"/>
      <c r="NL1048" s="18"/>
      <c r="NM1048" s="18"/>
      <c r="NN1048" s="18"/>
      <c r="NO1048" s="18"/>
      <c r="NP1048" s="18"/>
      <c r="NQ1048" s="18"/>
      <c r="NR1048" s="18"/>
      <c r="NS1048" s="18"/>
      <c r="NT1048" s="18"/>
      <c r="NU1048" s="18"/>
      <c r="NV1048" s="18"/>
      <c r="NW1048" s="18"/>
      <c r="NX1048" s="18"/>
      <c r="NY1048" s="18"/>
      <c r="NZ1048" s="18"/>
      <c r="OA1048" s="18"/>
      <c r="OB1048" s="18"/>
      <c r="OC1048" s="18"/>
      <c r="OD1048" s="18"/>
      <c r="OE1048" s="18"/>
      <c r="OF1048" s="18"/>
      <c r="OG1048" s="18"/>
      <c r="OH1048" s="18"/>
      <c r="OI1048" s="18"/>
      <c r="OJ1048" s="18"/>
      <c r="OK1048" s="18"/>
      <c r="OL1048" s="18"/>
      <c r="OM1048" s="18"/>
      <c r="ON1048" s="18"/>
      <c r="OO1048" s="18"/>
      <c r="OP1048" s="18"/>
      <c r="OQ1048" s="18"/>
      <c r="OR1048" s="18"/>
      <c r="OS1048" s="18"/>
      <c r="OT1048" s="18"/>
      <c r="OU1048" s="18"/>
      <c r="OV1048" s="18"/>
      <c r="OW1048" s="18"/>
      <c r="OX1048" s="18"/>
      <c r="OY1048" s="18"/>
      <c r="OZ1048" s="18"/>
      <c r="PA1048" s="18"/>
      <c r="PB1048" s="18"/>
      <c r="PC1048" s="18"/>
      <c r="PD1048" s="18"/>
      <c r="PE1048" s="18"/>
      <c r="PF1048" s="18"/>
      <c r="PG1048" s="18"/>
      <c r="PH1048" s="18"/>
      <c r="PI1048" s="18"/>
      <c r="PJ1048" s="18"/>
      <c r="PK1048" s="18"/>
      <c r="PL1048" s="18"/>
      <c r="PM1048" s="18"/>
      <c r="PN1048" s="18"/>
      <c r="PO1048" s="18"/>
      <c r="PP1048" s="18"/>
      <c r="PQ1048" s="18"/>
      <c r="PR1048" s="18"/>
      <c r="PS1048" s="18"/>
      <c r="PT1048" s="18"/>
      <c r="PU1048" s="18"/>
      <c r="PV1048" s="18"/>
      <c r="PW1048" s="18"/>
      <c r="PX1048" s="18"/>
      <c r="PY1048" s="18"/>
      <c r="PZ1048" s="18"/>
      <c r="QA1048" s="18"/>
      <c r="QB1048" s="18"/>
      <c r="QC1048" s="18"/>
      <c r="QD1048" s="18"/>
      <c r="QE1048" s="18"/>
      <c r="QF1048" s="18"/>
      <c r="QG1048" s="18"/>
      <c r="QH1048" s="18"/>
      <c r="QI1048" s="18"/>
      <c r="QJ1048" s="18"/>
      <c r="QK1048" s="18"/>
      <c r="QL1048" s="18"/>
      <c r="QM1048" s="18"/>
      <c r="QN1048" s="18"/>
      <c r="QO1048" s="18"/>
      <c r="QP1048" s="18"/>
      <c r="QQ1048" s="18"/>
      <c r="QR1048" s="18"/>
      <c r="QS1048" s="18"/>
      <c r="QT1048" s="18"/>
      <c r="QU1048" s="18"/>
      <c r="QV1048" s="18"/>
      <c r="QW1048" s="18"/>
      <c r="QX1048" s="18"/>
      <c r="QY1048" s="18"/>
      <c r="QZ1048" s="18"/>
      <c r="RA1048" s="18"/>
      <c r="RB1048" s="18"/>
      <c r="RC1048" s="18"/>
      <c r="RD1048" s="18"/>
      <c r="RE1048" s="18"/>
      <c r="RF1048" s="18"/>
      <c r="RG1048" s="18"/>
      <c r="RH1048" s="18"/>
      <c r="RI1048" s="18"/>
      <c r="RJ1048" s="18"/>
      <c r="RK1048" s="18"/>
      <c r="RL1048" s="18"/>
      <c r="RM1048" s="18"/>
      <c r="RN1048" s="18"/>
      <c r="RO1048" s="18"/>
      <c r="RP1048" s="18"/>
      <c r="RQ1048" s="18"/>
      <c r="RR1048" s="18"/>
      <c r="RS1048" s="18"/>
      <c r="RT1048" s="18"/>
      <c r="RU1048" s="18"/>
      <c r="RV1048" s="18"/>
      <c r="RW1048" s="18"/>
      <c r="RX1048" s="18"/>
      <c r="RY1048" s="18"/>
      <c r="RZ1048" s="18"/>
      <c r="SA1048" s="18"/>
      <c r="SB1048" s="18"/>
      <c r="SC1048" s="18"/>
      <c r="SD1048" s="18"/>
      <c r="SE1048" s="18"/>
      <c r="SF1048" s="18"/>
      <c r="SG1048" s="18"/>
      <c r="SH1048" s="18"/>
      <c r="SI1048" s="18"/>
      <c r="SJ1048" s="18"/>
      <c r="SK1048" s="18"/>
      <c r="SL1048" s="18"/>
      <c r="SM1048" s="18"/>
      <c r="SN1048" s="18"/>
      <c r="SO1048" s="18"/>
      <c r="SP1048" s="18"/>
      <c r="SQ1048" s="18"/>
      <c r="SR1048" s="18"/>
      <c r="SS1048" s="18"/>
      <c r="ST1048" s="18"/>
      <c r="SU1048" s="18"/>
      <c r="SV1048" s="18"/>
      <c r="SW1048" s="18"/>
      <c r="SX1048" s="18"/>
      <c r="SY1048" s="18"/>
      <c r="SZ1048" s="18"/>
      <c r="TA1048" s="18"/>
      <c r="TB1048" s="18"/>
      <c r="TC1048" s="18"/>
      <c r="TD1048" s="18"/>
      <c r="TE1048" s="18"/>
      <c r="TF1048" s="18"/>
      <c r="TG1048" s="18"/>
      <c r="TH1048" s="18"/>
      <c r="TI1048" s="18"/>
      <c r="TJ1048" s="18"/>
      <c r="TK1048" s="18"/>
      <c r="TL1048" s="18"/>
      <c r="TM1048" s="18"/>
      <c r="TN1048" s="18"/>
      <c r="TO1048" s="18"/>
      <c r="TP1048" s="18"/>
      <c r="TQ1048" s="18"/>
      <c r="TR1048" s="18"/>
      <c r="TS1048" s="18"/>
      <c r="TT1048" s="18"/>
      <c r="TU1048" s="18"/>
      <c r="TV1048" s="18"/>
      <c r="TW1048" s="18"/>
      <c r="TX1048" s="18"/>
      <c r="TY1048" s="18"/>
      <c r="TZ1048" s="18"/>
      <c r="UA1048" s="18"/>
      <c r="UB1048" s="18"/>
      <c r="UC1048" s="18"/>
      <c r="UD1048" s="18"/>
      <c r="UE1048" s="18"/>
      <c r="UF1048" s="18"/>
      <c r="UG1048" s="19"/>
    </row>
    <row r="1049" spans="1:553" ht="45" customHeight="1">
      <c r="A1049" s="356"/>
      <c r="B1049" s="385"/>
      <c r="C1049" s="384" t="s">
        <v>22</v>
      </c>
      <c r="D1049" s="418">
        <v>2</v>
      </c>
      <c r="E1049" s="376">
        <f>E978</f>
        <v>355</v>
      </c>
      <c r="F1049" s="385"/>
      <c r="G1049" s="386" t="s">
        <v>935</v>
      </c>
      <c r="H1049" s="370"/>
      <c r="I1049" s="370">
        <f>I979</f>
        <v>25.100000000000023</v>
      </c>
      <c r="J1049" s="368">
        <v>62000</v>
      </c>
      <c r="K1049" s="732" t="s">
        <v>70</v>
      </c>
      <c r="L1049" s="391">
        <f t="shared" ref="L1049:L1057" si="155">I1049*J1049*K1049</f>
        <v>1556200.0000000014</v>
      </c>
      <c r="M1049" s="366"/>
      <c r="N1049" s="366"/>
      <c r="O1049" s="366"/>
      <c r="P1049" s="366"/>
      <c r="Q1049" s="812"/>
      <c r="R1049" s="1452"/>
      <c r="S1049" s="308"/>
      <c r="T1049" s="308"/>
      <c r="U1049" s="308"/>
      <c r="V1049" s="308"/>
      <c r="W1049" s="308"/>
      <c r="X1049" s="308"/>
      <c r="Y1049" s="308"/>
      <c r="Z1049" s="604"/>
      <c r="AA1049" s="308"/>
      <c r="AB1049" s="308"/>
      <c r="AC1049" s="373"/>
      <c r="AD1049" s="373"/>
      <c r="AE1049" s="373"/>
      <c r="AF1049" s="373"/>
      <c r="AG1049" s="373"/>
      <c r="AH1049" s="373"/>
      <c r="AI1049" s="373"/>
      <c r="AJ1049" s="373"/>
      <c r="AK1049" s="389"/>
      <c r="AL1049" s="100"/>
      <c r="AM1049" s="27"/>
      <c r="AN1049" s="27"/>
      <c r="AO1049" s="27"/>
      <c r="AP1049" s="27"/>
      <c r="AQ1049" s="27"/>
      <c r="AR1049" s="27"/>
      <c r="AS1049" s="22"/>
      <c r="AT1049" s="22"/>
      <c r="AU1049" s="22"/>
      <c r="AV1049" s="22"/>
      <c r="AW1049" s="22"/>
      <c r="AX1049" s="22"/>
      <c r="AY1049" s="22"/>
      <c r="AZ1049" s="22"/>
      <c r="BA1049" s="22"/>
      <c r="BB1049" s="22"/>
      <c r="BC1049" s="22"/>
      <c r="BD1049" s="22"/>
      <c r="BE1049" s="22"/>
      <c r="BF1049" s="22"/>
      <c r="BG1049" s="22"/>
      <c r="BH1049" s="22"/>
      <c r="BI1049" s="22"/>
      <c r="BJ1049" s="22"/>
      <c r="BK1049" s="22"/>
      <c r="BL1049" s="22"/>
      <c r="BM1049" s="22"/>
      <c r="BN1049" s="22"/>
      <c r="BO1049" s="22"/>
      <c r="BP1049" s="22"/>
      <c r="BQ1049" s="22"/>
      <c r="BR1049" s="22"/>
      <c r="BS1049" s="22"/>
      <c r="BT1049" s="22"/>
      <c r="BU1049" s="22"/>
      <c r="BV1049" s="22"/>
      <c r="BW1049" s="22"/>
      <c r="BX1049" s="22"/>
      <c r="BY1049" s="22"/>
      <c r="BZ1049" s="22"/>
      <c r="CA1049" s="22"/>
      <c r="CB1049" s="22"/>
      <c r="CC1049" s="22"/>
      <c r="CD1049" s="22"/>
      <c r="CE1049" s="22"/>
      <c r="CF1049" s="22"/>
      <c r="CG1049" s="22"/>
      <c r="CH1049" s="22"/>
      <c r="CI1049" s="22"/>
      <c r="CJ1049" s="22"/>
      <c r="CK1049" s="22"/>
      <c r="CL1049" s="22"/>
      <c r="CM1049" s="22"/>
      <c r="CN1049" s="22"/>
      <c r="CO1049" s="22"/>
      <c r="CP1049" s="22"/>
      <c r="CQ1049" s="22"/>
      <c r="CR1049" s="22"/>
      <c r="CS1049" s="22"/>
      <c r="CT1049" s="22"/>
      <c r="CU1049" s="22"/>
      <c r="CV1049" s="22"/>
      <c r="CW1049" s="22"/>
      <c r="CX1049" s="22"/>
      <c r="CY1049" s="22"/>
      <c r="CZ1049" s="22"/>
      <c r="DA1049" s="22"/>
      <c r="DB1049" s="22"/>
      <c r="DC1049" s="22"/>
      <c r="DD1049" s="22"/>
      <c r="DE1049" s="22"/>
      <c r="DF1049" s="22"/>
      <c r="DG1049" s="22"/>
      <c r="DH1049" s="22"/>
      <c r="DI1049" s="22"/>
      <c r="DJ1049" s="22"/>
      <c r="DK1049" s="22"/>
      <c r="DL1049" s="22"/>
      <c r="DM1049" s="22"/>
      <c r="DN1049" s="22"/>
      <c r="DO1049" s="22"/>
      <c r="DP1049" s="22"/>
      <c r="DQ1049" s="22"/>
      <c r="DR1049" s="22"/>
      <c r="DS1049" s="22"/>
      <c r="DT1049" s="22"/>
      <c r="DU1049" s="22"/>
      <c r="DV1049" s="22"/>
      <c r="DW1049" s="22"/>
      <c r="DX1049" s="22"/>
      <c r="DY1049" s="22"/>
      <c r="DZ1049" s="22"/>
      <c r="EA1049" s="22"/>
      <c r="EB1049" s="22"/>
      <c r="EC1049" s="22"/>
      <c r="ED1049" s="22"/>
      <c r="EE1049" s="22"/>
      <c r="EF1049" s="22"/>
      <c r="EG1049" s="22"/>
      <c r="EH1049" s="22"/>
      <c r="EI1049" s="22"/>
      <c r="EJ1049" s="22"/>
      <c r="EK1049" s="22"/>
      <c r="EL1049" s="22"/>
      <c r="EM1049" s="22"/>
      <c r="EN1049" s="22"/>
      <c r="EO1049" s="22"/>
      <c r="EP1049" s="22"/>
      <c r="EQ1049" s="22"/>
      <c r="ER1049" s="22"/>
      <c r="ES1049" s="22"/>
      <c r="ET1049" s="22"/>
      <c r="EU1049" s="22"/>
      <c r="EV1049" s="22"/>
      <c r="EW1049" s="22"/>
      <c r="EX1049" s="22"/>
      <c r="EY1049" s="22"/>
      <c r="EZ1049" s="22"/>
      <c r="FA1049" s="22"/>
      <c r="FB1049" s="22"/>
      <c r="FC1049" s="22"/>
      <c r="FD1049" s="22"/>
      <c r="FE1049" s="22"/>
      <c r="FF1049" s="22"/>
      <c r="FG1049" s="22"/>
      <c r="FH1049" s="22"/>
      <c r="FI1049" s="22"/>
      <c r="FJ1049" s="22"/>
      <c r="FK1049" s="22"/>
      <c r="FL1049" s="22"/>
      <c r="FM1049" s="22"/>
      <c r="FN1049" s="22"/>
      <c r="FO1049" s="22"/>
      <c r="FP1049" s="22"/>
      <c r="FQ1049" s="22"/>
      <c r="FR1049" s="22"/>
      <c r="FS1049" s="22"/>
      <c r="FT1049" s="22"/>
      <c r="FU1049" s="22"/>
      <c r="FV1049" s="22"/>
      <c r="FW1049" s="22"/>
      <c r="FX1049" s="22"/>
      <c r="FY1049" s="22"/>
      <c r="FZ1049" s="22"/>
      <c r="GA1049" s="22"/>
      <c r="GB1049" s="22"/>
      <c r="GC1049" s="22"/>
      <c r="GD1049" s="22"/>
      <c r="GE1049" s="22"/>
      <c r="GF1049" s="22"/>
      <c r="GG1049" s="22"/>
      <c r="GH1049" s="22"/>
      <c r="GI1049" s="22"/>
      <c r="GJ1049" s="22"/>
      <c r="GK1049" s="22"/>
      <c r="GL1049" s="22"/>
      <c r="GM1049" s="22"/>
      <c r="GN1049" s="22"/>
      <c r="GO1049" s="22"/>
      <c r="GP1049" s="22"/>
      <c r="GQ1049" s="22"/>
      <c r="GR1049" s="22"/>
      <c r="GS1049" s="22"/>
      <c r="GT1049" s="22"/>
      <c r="GU1049" s="22"/>
      <c r="GV1049" s="22"/>
      <c r="GW1049" s="22"/>
      <c r="GX1049" s="22"/>
      <c r="GY1049" s="22"/>
      <c r="GZ1049" s="22"/>
      <c r="HA1049" s="22"/>
      <c r="HB1049" s="22"/>
      <c r="HC1049" s="22"/>
      <c r="HD1049" s="22"/>
      <c r="HE1049" s="22"/>
      <c r="HF1049" s="22"/>
      <c r="HG1049" s="22"/>
      <c r="HH1049" s="22"/>
      <c r="HI1049" s="22"/>
      <c r="HJ1049" s="22"/>
      <c r="HK1049" s="22"/>
      <c r="HL1049" s="22"/>
      <c r="HM1049" s="22"/>
      <c r="HN1049" s="22"/>
      <c r="HO1049" s="22"/>
      <c r="HP1049" s="22"/>
      <c r="HQ1049" s="22"/>
      <c r="HR1049" s="22"/>
      <c r="HS1049" s="22"/>
      <c r="HT1049" s="22"/>
      <c r="HU1049" s="22"/>
      <c r="HV1049" s="22"/>
      <c r="HW1049" s="22"/>
      <c r="HX1049" s="22"/>
      <c r="HY1049" s="22"/>
      <c r="HZ1049" s="22"/>
      <c r="IA1049" s="22"/>
      <c r="IB1049" s="22"/>
      <c r="IC1049" s="22"/>
      <c r="ID1049" s="22"/>
      <c r="IE1049" s="22"/>
      <c r="IF1049" s="22"/>
      <c r="IG1049" s="22"/>
      <c r="IH1049" s="22"/>
      <c r="II1049" s="22"/>
      <c r="IJ1049" s="22"/>
      <c r="IK1049" s="22"/>
      <c r="IL1049" s="22"/>
      <c r="IM1049" s="22"/>
      <c r="IN1049" s="22"/>
      <c r="IO1049" s="22"/>
      <c r="IP1049" s="22"/>
      <c r="IQ1049" s="22"/>
      <c r="IR1049" s="22"/>
      <c r="IS1049" s="22"/>
      <c r="IT1049" s="22"/>
      <c r="IU1049" s="22"/>
      <c r="IV1049" s="22"/>
      <c r="IW1049" s="22"/>
      <c r="IX1049" s="22"/>
      <c r="IY1049" s="22"/>
      <c r="IZ1049" s="22"/>
      <c r="JA1049" s="22"/>
      <c r="JB1049" s="22"/>
      <c r="JC1049" s="22"/>
      <c r="JD1049" s="22"/>
      <c r="JE1049" s="22"/>
      <c r="JF1049" s="22"/>
      <c r="JG1049" s="22"/>
      <c r="JH1049" s="22"/>
      <c r="JI1049" s="22"/>
      <c r="JJ1049" s="22"/>
      <c r="JK1049" s="22"/>
      <c r="JL1049" s="22"/>
      <c r="JM1049" s="22"/>
      <c r="JN1049" s="22"/>
      <c r="JO1049" s="22"/>
      <c r="JP1049" s="22"/>
      <c r="JQ1049" s="22"/>
      <c r="JR1049" s="22"/>
      <c r="JS1049" s="22"/>
      <c r="JT1049" s="22"/>
      <c r="JU1049" s="22"/>
      <c r="JV1049" s="22"/>
      <c r="JW1049" s="22"/>
      <c r="JX1049" s="22"/>
      <c r="JY1049" s="22"/>
      <c r="JZ1049" s="22"/>
      <c r="KA1049" s="22"/>
      <c r="KB1049" s="22"/>
      <c r="KC1049" s="22"/>
      <c r="KD1049" s="22"/>
      <c r="KE1049" s="22"/>
      <c r="KF1049" s="22"/>
      <c r="KG1049" s="22"/>
      <c r="KH1049" s="22"/>
      <c r="KI1049" s="22"/>
      <c r="KJ1049" s="22"/>
      <c r="KK1049" s="22"/>
      <c r="KL1049" s="22"/>
      <c r="KM1049" s="22"/>
      <c r="KN1049" s="22"/>
      <c r="KO1049" s="22"/>
      <c r="KP1049" s="22"/>
      <c r="KQ1049" s="22"/>
      <c r="KR1049" s="22"/>
      <c r="KS1049" s="22"/>
      <c r="KT1049" s="22"/>
      <c r="KU1049" s="22"/>
      <c r="KV1049" s="22"/>
      <c r="KW1049" s="22"/>
      <c r="KX1049" s="22"/>
      <c r="KY1049" s="22"/>
      <c r="KZ1049" s="22"/>
      <c r="LA1049" s="22"/>
      <c r="LB1049" s="22"/>
      <c r="LC1049" s="22"/>
      <c r="LD1049" s="22"/>
      <c r="LE1049" s="22"/>
      <c r="LF1049" s="22"/>
      <c r="LG1049" s="22"/>
      <c r="LH1049" s="22"/>
      <c r="LI1049" s="22"/>
      <c r="LJ1049" s="22"/>
      <c r="LK1049" s="22"/>
      <c r="LL1049" s="22"/>
      <c r="LM1049" s="22"/>
      <c r="LN1049" s="22"/>
      <c r="LO1049" s="22"/>
      <c r="LP1049" s="22"/>
      <c r="LQ1049" s="22"/>
      <c r="LR1049" s="22"/>
      <c r="LS1049" s="22"/>
      <c r="LT1049" s="22"/>
      <c r="LU1049" s="22"/>
      <c r="LV1049" s="22"/>
      <c r="LW1049" s="22"/>
      <c r="LX1049" s="22"/>
      <c r="LY1049" s="22"/>
      <c r="LZ1049" s="22"/>
      <c r="MA1049" s="22"/>
      <c r="MB1049" s="22"/>
      <c r="MC1049" s="22"/>
      <c r="MD1049" s="22"/>
      <c r="ME1049" s="22"/>
      <c r="MF1049" s="22"/>
      <c r="MG1049" s="22"/>
      <c r="MH1049" s="22"/>
      <c r="MI1049" s="22"/>
      <c r="MJ1049" s="22"/>
      <c r="MK1049" s="22"/>
      <c r="ML1049" s="22"/>
      <c r="MM1049" s="22"/>
      <c r="MN1049" s="22"/>
      <c r="MO1049" s="22"/>
      <c r="MP1049" s="22"/>
      <c r="MQ1049" s="22"/>
      <c r="MR1049" s="22"/>
      <c r="MS1049" s="22"/>
      <c r="MT1049" s="22"/>
      <c r="MU1049" s="22"/>
      <c r="MV1049" s="22"/>
      <c r="MW1049" s="22"/>
      <c r="MX1049" s="22"/>
      <c r="MY1049" s="22"/>
      <c r="MZ1049" s="22"/>
      <c r="NA1049" s="22"/>
      <c r="NB1049" s="22"/>
      <c r="NC1049" s="22"/>
      <c r="ND1049" s="22"/>
      <c r="NE1049" s="22"/>
      <c r="NF1049" s="22"/>
      <c r="NG1049" s="22"/>
      <c r="NH1049" s="22"/>
      <c r="NI1049" s="22"/>
      <c r="NJ1049" s="22"/>
      <c r="NK1049" s="22"/>
      <c r="NL1049" s="22"/>
      <c r="NM1049" s="22"/>
      <c r="NN1049" s="22"/>
      <c r="NO1049" s="22"/>
      <c r="NP1049" s="22"/>
      <c r="NQ1049" s="22"/>
      <c r="NR1049" s="22"/>
      <c r="NS1049" s="22"/>
      <c r="NT1049" s="22"/>
      <c r="NU1049" s="22"/>
      <c r="NV1049" s="22"/>
      <c r="NW1049" s="22"/>
      <c r="NX1049" s="22"/>
      <c r="NY1049" s="22"/>
      <c r="NZ1049" s="22"/>
      <c r="OA1049" s="22"/>
      <c r="OB1049" s="22"/>
      <c r="OC1049" s="22"/>
      <c r="OD1049" s="22"/>
      <c r="OE1049" s="22"/>
      <c r="OF1049" s="22"/>
      <c r="OG1049" s="22"/>
      <c r="OH1049" s="22"/>
      <c r="OI1049" s="22"/>
      <c r="OJ1049" s="22"/>
      <c r="OK1049" s="22"/>
      <c r="OL1049" s="22"/>
      <c r="OM1049" s="22"/>
      <c r="ON1049" s="22"/>
      <c r="OO1049" s="22"/>
      <c r="OP1049" s="22"/>
      <c r="OQ1049" s="22"/>
      <c r="OR1049" s="22"/>
      <c r="OS1049" s="22"/>
      <c r="OT1049" s="22"/>
      <c r="OU1049" s="22"/>
      <c r="OV1049" s="22"/>
      <c r="OW1049" s="22"/>
      <c r="OX1049" s="22"/>
      <c r="OY1049" s="22"/>
      <c r="OZ1049" s="22"/>
      <c r="PA1049" s="22"/>
      <c r="PB1049" s="22"/>
      <c r="PC1049" s="22"/>
      <c r="PD1049" s="22"/>
      <c r="PE1049" s="22"/>
      <c r="PF1049" s="22"/>
      <c r="PG1049" s="22"/>
      <c r="PH1049" s="22"/>
      <c r="PI1049" s="22"/>
      <c r="PJ1049" s="22"/>
      <c r="PK1049" s="22"/>
      <c r="PL1049" s="22"/>
      <c r="PM1049" s="22"/>
      <c r="PN1049" s="22"/>
      <c r="PO1049" s="22"/>
      <c r="PP1049" s="22"/>
      <c r="PQ1049" s="22"/>
      <c r="PR1049" s="22"/>
      <c r="PS1049" s="22"/>
      <c r="PT1049" s="22"/>
      <c r="PU1049" s="22"/>
      <c r="PV1049" s="22"/>
      <c r="PW1049" s="22"/>
      <c r="PX1049" s="22"/>
      <c r="PY1049" s="22"/>
      <c r="PZ1049" s="22"/>
      <c r="QA1049" s="22"/>
      <c r="QB1049" s="22"/>
      <c r="QC1049" s="22"/>
      <c r="QD1049" s="22"/>
      <c r="QE1049" s="22"/>
      <c r="QF1049" s="22"/>
      <c r="QG1049" s="22"/>
      <c r="QH1049" s="22"/>
      <c r="QI1049" s="22"/>
      <c r="QJ1049" s="22"/>
      <c r="QK1049" s="22"/>
      <c r="QL1049" s="22"/>
      <c r="QM1049" s="22"/>
      <c r="QN1049" s="22"/>
      <c r="QO1049" s="22"/>
      <c r="QP1049" s="22"/>
      <c r="QQ1049" s="22"/>
      <c r="QR1049" s="22"/>
      <c r="QS1049" s="22"/>
      <c r="QT1049" s="22"/>
      <c r="QU1049" s="22"/>
      <c r="QV1049" s="22"/>
      <c r="QW1049" s="22"/>
      <c r="QX1049" s="22"/>
      <c r="QY1049" s="22"/>
      <c r="QZ1049" s="22"/>
      <c r="RA1049" s="22"/>
      <c r="RB1049" s="22"/>
      <c r="RC1049" s="22"/>
      <c r="RD1049" s="22"/>
      <c r="RE1049" s="22"/>
      <c r="RF1049" s="22"/>
      <c r="RG1049" s="22"/>
      <c r="RH1049" s="22"/>
      <c r="RI1049" s="22"/>
      <c r="RJ1049" s="22"/>
      <c r="RK1049" s="22"/>
      <c r="RL1049" s="22"/>
      <c r="RM1049" s="22"/>
      <c r="RN1049" s="22"/>
      <c r="RO1049" s="22"/>
      <c r="RP1049" s="22"/>
      <c r="RQ1049" s="22"/>
      <c r="RR1049" s="22"/>
      <c r="RS1049" s="22"/>
      <c r="RT1049" s="22"/>
      <c r="RU1049" s="22"/>
      <c r="RV1049" s="22"/>
      <c r="RW1049" s="22"/>
      <c r="RX1049" s="22"/>
      <c r="RY1049" s="22"/>
      <c r="RZ1049" s="22"/>
      <c r="SA1049" s="22"/>
      <c r="SB1049" s="22"/>
      <c r="SC1049" s="22"/>
      <c r="SD1049" s="22"/>
      <c r="SE1049" s="22"/>
      <c r="SF1049" s="22"/>
      <c r="SG1049" s="22"/>
      <c r="SH1049" s="22"/>
      <c r="SI1049" s="22"/>
      <c r="SJ1049" s="22"/>
      <c r="SK1049" s="22"/>
      <c r="SL1049" s="22"/>
      <c r="SM1049" s="22"/>
      <c r="SN1049" s="22"/>
      <c r="SO1049" s="22"/>
      <c r="SP1049" s="22"/>
      <c r="SQ1049" s="22"/>
      <c r="SR1049" s="22"/>
      <c r="SS1049" s="22"/>
      <c r="ST1049" s="22"/>
      <c r="SU1049" s="22"/>
      <c r="SV1049" s="22"/>
      <c r="SW1049" s="22"/>
      <c r="SX1049" s="22"/>
      <c r="SY1049" s="22"/>
      <c r="SZ1049" s="22"/>
      <c r="TA1049" s="22"/>
      <c r="TB1049" s="22"/>
      <c r="TC1049" s="22"/>
      <c r="TD1049" s="22"/>
      <c r="TE1049" s="22"/>
      <c r="TF1049" s="22"/>
      <c r="TG1049" s="22"/>
      <c r="TH1049" s="22"/>
      <c r="TI1049" s="22"/>
      <c r="TJ1049" s="22"/>
      <c r="TK1049" s="22"/>
      <c r="TL1049" s="22"/>
      <c r="TM1049" s="22"/>
      <c r="TN1049" s="22"/>
      <c r="TO1049" s="22"/>
      <c r="TP1049" s="22"/>
      <c r="TQ1049" s="22"/>
      <c r="TR1049" s="22"/>
      <c r="TS1049" s="22"/>
      <c r="TT1049" s="22"/>
      <c r="TU1049" s="22"/>
      <c r="TV1049" s="22"/>
      <c r="TW1049" s="22"/>
      <c r="TX1049" s="22"/>
      <c r="TY1049" s="22"/>
      <c r="TZ1049" s="22"/>
      <c r="UA1049" s="22"/>
      <c r="UB1049" s="22"/>
      <c r="UC1049" s="22"/>
      <c r="UD1049" s="22"/>
      <c r="UE1049" s="22"/>
      <c r="UF1049" s="22"/>
      <c r="UG1049" s="23"/>
    </row>
    <row r="1050" spans="1:553" ht="45" customHeight="1">
      <c r="A1050" s="356"/>
      <c r="B1050" s="385"/>
      <c r="C1050" s="384" t="str">
        <f>'Phương án chi tiết'!C980</f>
        <v>Đất chuyên trồng lúa nước (LUC)</v>
      </c>
      <c r="D1050" s="376" t="str">
        <f>'Phương án chi tiết'!D980</f>
        <v>1</v>
      </c>
      <c r="E1050" s="376" t="str">
        <f>'Phương án chi tiết'!E980</f>
        <v>321</v>
      </c>
      <c r="F1050" s="385"/>
      <c r="G1050" s="386" t="s">
        <v>935</v>
      </c>
      <c r="H1050" s="370"/>
      <c r="I1050" s="422">
        <f>'Phương án chi tiết'!I980</f>
        <v>492.9</v>
      </c>
      <c r="J1050" s="368">
        <v>72000</v>
      </c>
      <c r="K1050" s="684" t="s">
        <v>597</v>
      </c>
      <c r="L1050" s="391">
        <f t="shared" si="155"/>
        <v>106466400</v>
      </c>
      <c r="M1050" s="366"/>
      <c r="N1050" s="366"/>
      <c r="O1050" s="366"/>
      <c r="P1050" s="366"/>
      <c r="Q1050" s="812"/>
      <c r="R1050" s="1452"/>
      <c r="S1050" s="308"/>
      <c r="T1050" s="308"/>
      <c r="U1050" s="308"/>
      <c r="V1050" s="308"/>
      <c r="W1050" s="308"/>
      <c r="X1050" s="308"/>
      <c r="Y1050" s="308"/>
      <c r="Z1050" s="604"/>
      <c r="AA1050" s="308"/>
      <c r="AB1050" s="308"/>
      <c r="AC1050" s="373"/>
      <c r="AD1050" s="373"/>
      <c r="AE1050" s="373"/>
      <c r="AF1050" s="373"/>
      <c r="AG1050" s="373"/>
      <c r="AH1050" s="373"/>
      <c r="AI1050" s="373"/>
      <c r="AJ1050" s="373"/>
      <c r="AK1050" s="389"/>
      <c r="AL1050" s="100"/>
      <c r="AM1050" s="27"/>
      <c r="AN1050" s="27"/>
      <c r="AO1050" s="27"/>
      <c r="AP1050" s="27"/>
      <c r="AQ1050" s="27"/>
      <c r="AR1050" s="27"/>
      <c r="AS1050" s="22"/>
      <c r="AT1050" s="22"/>
      <c r="AU1050" s="22"/>
      <c r="AV1050" s="22"/>
      <c r="AW1050" s="22"/>
      <c r="AX1050" s="22"/>
      <c r="AY1050" s="22"/>
      <c r="AZ1050" s="22"/>
      <c r="BA1050" s="22"/>
      <c r="BB1050" s="22"/>
      <c r="BC1050" s="22"/>
      <c r="BD1050" s="22"/>
      <c r="BE1050" s="22"/>
      <c r="BF1050" s="22"/>
      <c r="BG1050" s="22"/>
      <c r="BH1050" s="22"/>
      <c r="BI1050" s="22"/>
      <c r="BJ1050" s="22"/>
      <c r="BK1050" s="22"/>
      <c r="BL1050" s="22"/>
      <c r="BM1050" s="22"/>
      <c r="BN1050" s="22"/>
      <c r="BO1050" s="22"/>
      <c r="BP1050" s="22"/>
      <c r="BQ1050" s="22"/>
      <c r="BR1050" s="22"/>
      <c r="BS1050" s="22"/>
      <c r="BT1050" s="22"/>
      <c r="BU1050" s="22"/>
      <c r="BV1050" s="22"/>
      <c r="BW1050" s="22"/>
      <c r="BX1050" s="22"/>
      <c r="BY1050" s="22"/>
      <c r="BZ1050" s="22"/>
      <c r="CA1050" s="22"/>
      <c r="CB1050" s="22"/>
      <c r="CC1050" s="22"/>
      <c r="CD1050" s="22"/>
      <c r="CE1050" s="22"/>
      <c r="CF1050" s="22"/>
      <c r="CG1050" s="22"/>
      <c r="CH1050" s="22"/>
      <c r="CI1050" s="22"/>
      <c r="CJ1050" s="22"/>
      <c r="CK1050" s="22"/>
      <c r="CL1050" s="22"/>
      <c r="CM1050" s="22"/>
      <c r="CN1050" s="22"/>
      <c r="CO1050" s="22"/>
      <c r="CP1050" s="22"/>
      <c r="CQ1050" s="22"/>
      <c r="CR1050" s="22"/>
      <c r="CS1050" s="22"/>
      <c r="CT1050" s="22"/>
      <c r="CU1050" s="22"/>
      <c r="CV1050" s="22"/>
      <c r="CW1050" s="22"/>
      <c r="CX1050" s="22"/>
      <c r="CY1050" s="22"/>
      <c r="CZ1050" s="22"/>
      <c r="DA1050" s="22"/>
      <c r="DB1050" s="22"/>
      <c r="DC1050" s="22"/>
      <c r="DD1050" s="22"/>
      <c r="DE1050" s="22"/>
      <c r="DF1050" s="22"/>
      <c r="DG1050" s="22"/>
      <c r="DH1050" s="22"/>
      <c r="DI1050" s="22"/>
      <c r="DJ1050" s="22"/>
      <c r="DK1050" s="22"/>
      <c r="DL1050" s="22"/>
      <c r="DM1050" s="22"/>
      <c r="DN1050" s="22"/>
      <c r="DO1050" s="22"/>
      <c r="DP1050" s="22"/>
      <c r="DQ1050" s="22"/>
      <c r="DR1050" s="22"/>
      <c r="DS1050" s="22"/>
      <c r="DT1050" s="22"/>
      <c r="DU1050" s="22"/>
      <c r="DV1050" s="22"/>
      <c r="DW1050" s="22"/>
      <c r="DX1050" s="22"/>
      <c r="DY1050" s="22"/>
      <c r="DZ1050" s="22"/>
      <c r="EA1050" s="22"/>
      <c r="EB1050" s="22"/>
      <c r="EC1050" s="22"/>
      <c r="ED1050" s="22"/>
      <c r="EE1050" s="22"/>
      <c r="EF1050" s="22"/>
      <c r="EG1050" s="22"/>
      <c r="EH1050" s="22"/>
      <c r="EI1050" s="22"/>
      <c r="EJ1050" s="22"/>
      <c r="EK1050" s="22"/>
      <c r="EL1050" s="22"/>
      <c r="EM1050" s="22"/>
      <c r="EN1050" s="22"/>
      <c r="EO1050" s="22"/>
      <c r="EP1050" s="22"/>
      <c r="EQ1050" s="22"/>
      <c r="ER1050" s="22"/>
      <c r="ES1050" s="22"/>
      <c r="ET1050" s="22"/>
      <c r="EU1050" s="22"/>
      <c r="EV1050" s="22"/>
      <c r="EW1050" s="22"/>
      <c r="EX1050" s="22"/>
      <c r="EY1050" s="22"/>
      <c r="EZ1050" s="22"/>
      <c r="FA1050" s="22"/>
      <c r="FB1050" s="22"/>
      <c r="FC1050" s="22"/>
      <c r="FD1050" s="22"/>
      <c r="FE1050" s="22"/>
      <c r="FF1050" s="22"/>
      <c r="FG1050" s="22"/>
      <c r="FH1050" s="22"/>
      <c r="FI1050" s="22"/>
      <c r="FJ1050" s="22"/>
      <c r="FK1050" s="22"/>
      <c r="FL1050" s="22"/>
      <c r="FM1050" s="22"/>
      <c r="FN1050" s="22"/>
      <c r="FO1050" s="22"/>
      <c r="FP1050" s="22"/>
      <c r="FQ1050" s="22"/>
      <c r="FR1050" s="22"/>
      <c r="FS1050" s="22"/>
      <c r="FT1050" s="22"/>
      <c r="FU1050" s="22"/>
      <c r="FV1050" s="22"/>
      <c r="FW1050" s="22"/>
      <c r="FX1050" s="22"/>
      <c r="FY1050" s="22"/>
      <c r="FZ1050" s="22"/>
      <c r="GA1050" s="22"/>
      <c r="GB1050" s="22"/>
      <c r="GC1050" s="22"/>
      <c r="GD1050" s="22"/>
      <c r="GE1050" s="22"/>
      <c r="GF1050" s="22"/>
      <c r="GG1050" s="22"/>
      <c r="GH1050" s="22"/>
      <c r="GI1050" s="22"/>
      <c r="GJ1050" s="22"/>
      <c r="GK1050" s="22"/>
      <c r="GL1050" s="22"/>
      <c r="GM1050" s="22"/>
      <c r="GN1050" s="22"/>
      <c r="GO1050" s="22"/>
      <c r="GP1050" s="22"/>
      <c r="GQ1050" s="22"/>
      <c r="GR1050" s="22"/>
      <c r="GS1050" s="22"/>
      <c r="GT1050" s="22"/>
      <c r="GU1050" s="22"/>
      <c r="GV1050" s="22"/>
      <c r="GW1050" s="22"/>
      <c r="GX1050" s="22"/>
      <c r="GY1050" s="22"/>
      <c r="GZ1050" s="22"/>
      <c r="HA1050" s="22"/>
      <c r="HB1050" s="22"/>
      <c r="HC1050" s="22"/>
      <c r="HD1050" s="22"/>
      <c r="HE1050" s="22"/>
      <c r="HF1050" s="22"/>
      <c r="HG1050" s="22"/>
      <c r="HH1050" s="22"/>
      <c r="HI1050" s="22"/>
      <c r="HJ1050" s="22"/>
      <c r="HK1050" s="22"/>
      <c r="HL1050" s="22"/>
      <c r="HM1050" s="22"/>
      <c r="HN1050" s="22"/>
      <c r="HO1050" s="22"/>
      <c r="HP1050" s="22"/>
      <c r="HQ1050" s="22"/>
      <c r="HR1050" s="22"/>
      <c r="HS1050" s="22"/>
      <c r="HT1050" s="22"/>
      <c r="HU1050" s="22"/>
      <c r="HV1050" s="22"/>
      <c r="HW1050" s="22"/>
      <c r="HX1050" s="22"/>
      <c r="HY1050" s="22"/>
      <c r="HZ1050" s="22"/>
      <c r="IA1050" s="22"/>
      <c r="IB1050" s="22"/>
      <c r="IC1050" s="22"/>
      <c r="ID1050" s="22"/>
      <c r="IE1050" s="22"/>
      <c r="IF1050" s="22"/>
      <c r="IG1050" s="22"/>
      <c r="IH1050" s="22"/>
      <c r="II1050" s="22"/>
      <c r="IJ1050" s="22"/>
      <c r="IK1050" s="22"/>
      <c r="IL1050" s="22"/>
      <c r="IM1050" s="22"/>
      <c r="IN1050" s="22"/>
      <c r="IO1050" s="22"/>
      <c r="IP1050" s="22"/>
      <c r="IQ1050" s="22"/>
      <c r="IR1050" s="22"/>
      <c r="IS1050" s="22"/>
      <c r="IT1050" s="22"/>
      <c r="IU1050" s="22"/>
      <c r="IV1050" s="22"/>
      <c r="IW1050" s="22"/>
      <c r="IX1050" s="22"/>
      <c r="IY1050" s="22"/>
      <c r="IZ1050" s="22"/>
      <c r="JA1050" s="22"/>
      <c r="JB1050" s="22"/>
      <c r="JC1050" s="22"/>
      <c r="JD1050" s="22"/>
      <c r="JE1050" s="22"/>
      <c r="JF1050" s="22"/>
      <c r="JG1050" s="22"/>
      <c r="JH1050" s="22"/>
      <c r="JI1050" s="22"/>
      <c r="JJ1050" s="22"/>
      <c r="JK1050" s="22"/>
      <c r="JL1050" s="22"/>
      <c r="JM1050" s="22"/>
      <c r="JN1050" s="22"/>
      <c r="JO1050" s="22"/>
      <c r="JP1050" s="22"/>
      <c r="JQ1050" s="22"/>
      <c r="JR1050" s="22"/>
      <c r="JS1050" s="22"/>
      <c r="JT1050" s="22"/>
      <c r="JU1050" s="22"/>
      <c r="JV1050" s="22"/>
      <c r="JW1050" s="22"/>
      <c r="JX1050" s="22"/>
      <c r="JY1050" s="22"/>
      <c r="JZ1050" s="22"/>
      <c r="KA1050" s="22"/>
      <c r="KB1050" s="22"/>
      <c r="KC1050" s="22"/>
      <c r="KD1050" s="22"/>
      <c r="KE1050" s="22"/>
      <c r="KF1050" s="22"/>
      <c r="KG1050" s="22"/>
      <c r="KH1050" s="22"/>
      <c r="KI1050" s="22"/>
      <c r="KJ1050" s="22"/>
      <c r="KK1050" s="22"/>
      <c r="KL1050" s="22"/>
      <c r="KM1050" s="22"/>
      <c r="KN1050" s="22"/>
      <c r="KO1050" s="22"/>
      <c r="KP1050" s="22"/>
      <c r="KQ1050" s="22"/>
      <c r="KR1050" s="22"/>
      <c r="KS1050" s="22"/>
      <c r="KT1050" s="22"/>
      <c r="KU1050" s="22"/>
      <c r="KV1050" s="22"/>
      <c r="KW1050" s="22"/>
      <c r="KX1050" s="22"/>
      <c r="KY1050" s="22"/>
      <c r="KZ1050" s="22"/>
      <c r="LA1050" s="22"/>
      <c r="LB1050" s="22"/>
      <c r="LC1050" s="22"/>
      <c r="LD1050" s="22"/>
      <c r="LE1050" s="22"/>
      <c r="LF1050" s="22"/>
      <c r="LG1050" s="22"/>
      <c r="LH1050" s="22"/>
      <c r="LI1050" s="22"/>
      <c r="LJ1050" s="22"/>
      <c r="LK1050" s="22"/>
      <c r="LL1050" s="22"/>
      <c r="LM1050" s="22"/>
      <c r="LN1050" s="22"/>
      <c r="LO1050" s="22"/>
      <c r="LP1050" s="22"/>
      <c r="LQ1050" s="22"/>
      <c r="LR1050" s="22"/>
      <c r="LS1050" s="22"/>
      <c r="LT1050" s="22"/>
      <c r="LU1050" s="22"/>
      <c r="LV1050" s="22"/>
      <c r="LW1050" s="22"/>
      <c r="LX1050" s="22"/>
      <c r="LY1050" s="22"/>
      <c r="LZ1050" s="22"/>
      <c r="MA1050" s="22"/>
      <c r="MB1050" s="22"/>
      <c r="MC1050" s="22"/>
      <c r="MD1050" s="22"/>
      <c r="ME1050" s="22"/>
      <c r="MF1050" s="22"/>
      <c r="MG1050" s="22"/>
      <c r="MH1050" s="22"/>
      <c r="MI1050" s="22"/>
      <c r="MJ1050" s="22"/>
      <c r="MK1050" s="22"/>
      <c r="ML1050" s="22"/>
      <c r="MM1050" s="22"/>
      <c r="MN1050" s="22"/>
      <c r="MO1050" s="22"/>
      <c r="MP1050" s="22"/>
      <c r="MQ1050" s="22"/>
      <c r="MR1050" s="22"/>
      <c r="MS1050" s="22"/>
      <c r="MT1050" s="22"/>
      <c r="MU1050" s="22"/>
      <c r="MV1050" s="22"/>
      <c r="MW1050" s="22"/>
      <c r="MX1050" s="22"/>
      <c r="MY1050" s="22"/>
      <c r="MZ1050" s="22"/>
      <c r="NA1050" s="22"/>
      <c r="NB1050" s="22"/>
      <c r="NC1050" s="22"/>
      <c r="ND1050" s="22"/>
      <c r="NE1050" s="22"/>
      <c r="NF1050" s="22"/>
      <c r="NG1050" s="22"/>
      <c r="NH1050" s="22"/>
      <c r="NI1050" s="22"/>
      <c r="NJ1050" s="22"/>
      <c r="NK1050" s="22"/>
      <c r="NL1050" s="22"/>
      <c r="NM1050" s="22"/>
      <c r="NN1050" s="22"/>
      <c r="NO1050" s="22"/>
      <c r="NP1050" s="22"/>
      <c r="NQ1050" s="22"/>
      <c r="NR1050" s="22"/>
      <c r="NS1050" s="22"/>
      <c r="NT1050" s="22"/>
      <c r="NU1050" s="22"/>
      <c r="NV1050" s="22"/>
      <c r="NW1050" s="22"/>
      <c r="NX1050" s="22"/>
      <c r="NY1050" s="22"/>
      <c r="NZ1050" s="22"/>
      <c r="OA1050" s="22"/>
      <c r="OB1050" s="22"/>
      <c r="OC1050" s="22"/>
      <c r="OD1050" s="22"/>
      <c r="OE1050" s="22"/>
      <c r="OF1050" s="22"/>
      <c r="OG1050" s="22"/>
      <c r="OH1050" s="22"/>
      <c r="OI1050" s="22"/>
      <c r="OJ1050" s="22"/>
      <c r="OK1050" s="22"/>
      <c r="OL1050" s="22"/>
      <c r="OM1050" s="22"/>
      <c r="ON1050" s="22"/>
      <c r="OO1050" s="22"/>
      <c r="OP1050" s="22"/>
      <c r="OQ1050" s="22"/>
      <c r="OR1050" s="22"/>
      <c r="OS1050" s="22"/>
      <c r="OT1050" s="22"/>
      <c r="OU1050" s="22"/>
      <c r="OV1050" s="22"/>
      <c r="OW1050" s="22"/>
      <c r="OX1050" s="22"/>
      <c r="OY1050" s="22"/>
      <c r="OZ1050" s="22"/>
      <c r="PA1050" s="22"/>
      <c r="PB1050" s="22"/>
      <c r="PC1050" s="22"/>
      <c r="PD1050" s="22"/>
      <c r="PE1050" s="22"/>
      <c r="PF1050" s="22"/>
      <c r="PG1050" s="22"/>
      <c r="PH1050" s="22"/>
      <c r="PI1050" s="22"/>
      <c r="PJ1050" s="22"/>
      <c r="PK1050" s="22"/>
      <c r="PL1050" s="22"/>
      <c r="PM1050" s="22"/>
      <c r="PN1050" s="22"/>
      <c r="PO1050" s="22"/>
      <c r="PP1050" s="22"/>
      <c r="PQ1050" s="22"/>
      <c r="PR1050" s="22"/>
      <c r="PS1050" s="22"/>
      <c r="PT1050" s="22"/>
      <c r="PU1050" s="22"/>
      <c r="PV1050" s="22"/>
      <c r="PW1050" s="22"/>
      <c r="PX1050" s="22"/>
      <c r="PY1050" s="22"/>
      <c r="PZ1050" s="22"/>
      <c r="QA1050" s="22"/>
      <c r="QB1050" s="22"/>
      <c r="QC1050" s="22"/>
      <c r="QD1050" s="22"/>
      <c r="QE1050" s="22"/>
      <c r="QF1050" s="22"/>
      <c r="QG1050" s="22"/>
      <c r="QH1050" s="22"/>
      <c r="QI1050" s="22"/>
      <c r="QJ1050" s="22"/>
      <c r="QK1050" s="22"/>
      <c r="QL1050" s="22"/>
      <c r="QM1050" s="22"/>
      <c r="QN1050" s="22"/>
      <c r="QO1050" s="22"/>
      <c r="QP1050" s="22"/>
      <c r="QQ1050" s="22"/>
      <c r="QR1050" s="22"/>
      <c r="QS1050" s="22"/>
      <c r="QT1050" s="22"/>
      <c r="QU1050" s="22"/>
      <c r="QV1050" s="22"/>
      <c r="QW1050" s="22"/>
      <c r="QX1050" s="22"/>
      <c r="QY1050" s="22"/>
      <c r="QZ1050" s="22"/>
      <c r="RA1050" s="22"/>
      <c r="RB1050" s="22"/>
      <c r="RC1050" s="22"/>
      <c r="RD1050" s="22"/>
      <c r="RE1050" s="22"/>
      <c r="RF1050" s="22"/>
      <c r="RG1050" s="22"/>
      <c r="RH1050" s="22"/>
      <c r="RI1050" s="22"/>
      <c r="RJ1050" s="22"/>
      <c r="RK1050" s="22"/>
      <c r="RL1050" s="22"/>
      <c r="RM1050" s="22"/>
      <c r="RN1050" s="22"/>
      <c r="RO1050" s="22"/>
      <c r="RP1050" s="22"/>
      <c r="RQ1050" s="22"/>
      <c r="RR1050" s="22"/>
      <c r="RS1050" s="22"/>
      <c r="RT1050" s="22"/>
      <c r="RU1050" s="22"/>
      <c r="RV1050" s="22"/>
      <c r="RW1050" s="22"/>
      <c r="RX1050" s="22"/>
      <c r="RY1050" s="22"/>
      <c r="RZ1050" s="22"/>
      <c r="SA1050" s="22"/>
      <c r="SB1050" s="22"/>
      <c r="SC1050" s="22"/>
      <c r="SD1050" s="22"/>
      <c r="SE1050" s="22"/>
      <c r="SF1050" s="22"/>
      <c r="SG1050" s="22"/>
      <c r="SH1050" s="22"/>
      <c r="SI1050" s="22"/>
      <c r="SJ1050" s="22"/>
      <c r="SK1050" s="22"/>
      <c r="SL1050" s="22"/>
      <c r="SM1050" s="22"/>
      <c r="SN1050" s="22"/>
      <c r="SO1050" s="22"/>
      <c r="SP1050" s="22"/>
      <c r="SQ1050" s="22"/>
      <c r="SR1050" s="22"/>
      <c r="SS1050" s="22"/>
      <c r="ST1050" s="22"/>
      <c r="SU1050" s="22"/>
      <c r="SV1050" s="22"/>
      <c r="SW1050" s="22"/>
      <c r="SX1050" s="22"/>
      <c r="SY1050" s="22"/>
      <c r="SZ1050" s="22"/>
      <c r="TA1050" s="22"/>
      <c r="TB1050" s="22"/>
      <c r="TC1050" s="22"/>
      <c r="TD1050" s="22"/>
      <c r="TE1050" s="22"/>
      <c r="TF1050" s="22"/>
      <c r="TG1050" s="22"/>
      <c r="TH1050" s="22"/>
      <c r="TI1050" s="22"/>
      <c r="TJ1050" s="22"/>
      <c r="TK1050" s="22"/>
      <c r="TL1050" s="22"/>
      <c r="TM1050" s="22"/>
      <c r="TN1050" s="22"/>
      <c r="TO1050" s="22"/>
      <c r="TP1050" s="22"/>
      <c r="TQ1050" s="22"/>
      <c r="TR1050" s="22"/>
      <c r="TS1050" s="22"/>
      <c r="TT1050" s="22"/>
      <c r="TU1050" s="22"/>
      <c r="TV1050" s="22"/>
      <c r="TW1050" s="22"/>
      <c r="TX1050" s="22"/>
      <c r="TY1050" s="22"/>
      <c r="TZ1050" s="22"/>
      <c r="UA1050" s="22"/>
      <c r="UB1050" s="22"/>
      <c r="UC1050" s="22"/>
      <c r="UD1050" s="22"/>
      <c r="UE1050" s="22"/>
      <c r="UF1050" s="22"/>
      <c r="UG1050" s="23"/>
    </row>
    <row r="1051" spans="1:553" ht="45" customHeight="1">
      <c r="A1051" s="356"/>
      <c r="B1051" s="385"/>
      <c r="C1051" s="384" t="str">
        <f>'Phương án chi tiết'!C981</f>
        <v>Đất chuyên trồng lúa nước (LUC)</v>
      </c>
      <c r="D1051" s="376" t="str">
        <f>'Phương án chi tiết'!D981</f>
        <v>1</v>
      </c>
      <c r="E1051" s="376" t="str">
        <f>'Phương án chi tiết'!E981</f>
        <v>339</v>
      </c>
      <c r="F1051" s="385"/>
      <c r="G1051" s="386" t="s">
        <v>935</v>
      </c>
      <c r="H1051" s="370"/>
      <c r="I1051" s="422">
        <f>'Phương án chi tiết'!I981</f>
        <v>227.1</v>
      </c>
      <c r="J1051" s="368">
        <v>72000</v>
      </c>
      <c r="K1051" s="684" t="s">
        <v>597</v>
      </c>
      <c r="L1051" s="391">
        <f t="shared" si="155"/>
        <v>49053600</v>
      </c>
      <c r="M1051" s="366"/>
      <c r="N1051" s="366"/>
      <c r="O1051" s="366"/>
      <c r="P1051" s="366"/>
      <c r="Q1051" s="812"/>
      <c r="R1051" s="1452"/>
      <c r="S1051" s="308"/>
      <c r="T1051" s="308"/>
      <c r="U1051" s="308"/>
      <c r="V1051" s="308"/>
      <c r="W1051" s="308"/>
      <c r="X1051" s="308"/>
      <c r="Y1051" s="308"/>
      <c r="Z1051" s="604"/>
      <c r="AA1051" s="308"/>
      <c r="AB1051" s="308"/>
      <c r="AC1051" s="373"/>
      <c r="AD1051" s="373"/>
      <c r="AE1051" s="373"/>
      <c r="AF1051" s="373"/>
      <c r="AG1051" s="373"/>
      <c r="AH1051" s="373"/>
      <c r="AI1051" s="373"/>
      <c r="AJ1051" s="373"/>
      <c r="AK1051" s="389"/>
      <c r="AL1051" s="100"/>
      <c r="AM1051" s="27"/>
      <c r="AN1051" s="27"/>
      <c r="AO1051" s="27"/>
      <c r="AP1051" s="27"/>
      <c r="AQ1051" s="27"/>
      <c r="AR1051" s="27"/>
      <c r="AS1051" s="22"/>
      <c r="AT1051" s="22"/>
      <c r="AU1051" s="22"/>
      <c r="AV1051" s="22"/>
      <c r="AW1051" s="22"/>
      <c r="AX1051" s="22"/>
      <c r="AY1051" s="22"/>
      <c r="AZ1051" s="22"/>
      <c r="BA1051" s="22"/>
      <c r="BB1051" s="22"/>
      <c r="BC1051" s="22"/>
      <c r="BD1051" s="22"/>
      <c r="BE1051" s="22"/>
      <c r="BF1051" s="22"/>
      <c r="BG1051" s="22"/>
      <c r="BH1051" s="22"/>
      <c r="BI1051" s="22"/>
      <c r="BJ1051" s="22"/>
      <c r="BK1051" s="22"/>
      <c r="BL1051" s="22"/>
      <c r="BM1051" s="22"/>
      <c r="BN1051" s="22"/>
      <c r="BO1051" s="22"/>
      <c r="BP1051" s="22"/>
      <c r="BQ1051" s="22"/>
      <c r="BR1051" s="22"/>
      <c r="BS1051" s="22"/>
      <c r="BT1051" s="22"/>
      <c r="BU1051" s="22"/>
      <c r="BV1051" s="22"/>
      <c r="BW1051" s="22"/>
      <c r="BX1051" s="22"/>
      <c r="BY1051" s="22"/>
      <c r="BZ1051" s="22"/>
      <c r="CA1051" s="22"/>
      <c r="CB1051" s="22"/>
      <c r="CC1051" s="22"/>
      <c r="CD1051" s="22"/>
      <c r="CE1051" s="22"/>
      <c r="CF1051" s="22"/>
      <c r="CG1051" s="22"/>
      <c r="CH1051" s="22"/>
      <c r="CI1051" s="22"/>
      <c r="CJ1051" s="22"/>
      <c r="CK1051" s="22"/>
      <c r="CL1051" s="22"/>
      <c r="CM1051" s="22"/>
      <c r="CN1051" s="22"/>
      <c r="CO1051" s="22"/>
      <c r="CP1051" s="22"/>
      <c r="CQ1051" s="22"/>
      <c r="CR1051" s="22"/>
      <c r="CS1051" s="22"/>
      <c r="CT1051" s="22"/>
      <c r="CU1051" s="22"/>
      <c r="CV1051" s="22"/>
      <c r="CW1051" s="22"/>
      <c r="CX1051" s="22"/>
      <c r="CY1051" s="22"/>
      <c r="CZ1051" s="22"/>
      <c r="DA1051" s="22"/>
      <c r="DB1051" s="22"/>
      <c r="DC1051" s="22"/>
      <c r="DD1051" s="22"/>
      <c r="DE1051" s="22"/>
      <c r="DF1051" s="22"/>
      <c r="DG1051" s="22"/>
      <c r="DH1051" s="22"/>
      <c r="DI1051" s="22"/>
      <c r="DJ1051" s="22"/>
      <c r="DK1051" s="22"/>
      <c r="DL1051" s="22"/>
      <c r="DM1051" s="22"/>
      <c r="DN1051" s="22"/>
      <c r="DO1051" s="22"/>
      <c r="DP1051" s="22"/>
      <c r="DQ1051" s="22"/>
      <c r="DR1051" s="22"/>
      <c r="DS1051" s="22"/>
      <c r="DT1051" s="22"/>
      <c r="DU1051" s="22"/>
      <c r="DV1051" s="22"/>
      <c r="DW1051" s="22"/>
      <c r="DX1051" s="22"/>
      <c r="DY1051" s="22"/>
      <c r="DZ1051" s="22"/>
      <c r="EA1051" s="22"/>
      <c r="EB1051" s="22"/>
      <c r="EC1051" s="22"/>
      <c r="ED1051" s="22"/>
      <c r="EE1051" s="22"/>
      <c r="EF1051" s="22"/>
      <c r="EG1051" s="22"/>
      <c r="EH1051" s="22"/>
      <c r="EI1051" s="22"/>
      <c r="EJ1051" s="22"/>
      <c r="EK1051" s="22"/>
      <c r="EL1051" s="22"/>
      <c r="EM1051" s="22"/>
      <c r="EN1051" s="22"/>
      <c r="EO1051" s="22"/>
      <c r="EP1051" s="22"/>
      <c r="EQ1051" s="22"/>
      <c r="ER1051" s="22"/>
      <c r="ES1051" s="22"/>
      <c r="ET1051" s="22"/>
      <c r="EU1051" s="22"/>
      <c r="EV1051" s="22"/>
      <c r="EW1051" s="22"/>
      <c r="EX1051" s="22"/>
      <c r="EY1051" s="22"/>
      <c r="EZ1051" s="22"/>
      <c r="FA1051" s="22"/>
      <c r="FB1051" s="22"/>
      <c r="FC1051" s="22"/>
      <c r="FD1051" s="22"/>
      <c r="FE1051" s="22"/>
      <c r="FF1051" s="22"/>
      <c r="FG1051" s="22"/>
      <c r="FH1051" s="22"/>
      <c r="FI1051" s="22"/>
      <c r="FJ1051" s="22"/>
      <c r="FK1051" s="22"/>
      <c r="FL1051" s="22"/>
      <c r="FM1051" s="22"/>
      <c r="FN1051" s="22"/>
      <c r="FO1051" s="22"/>
      <c r="FP1051" s="22"/>
      <c r="FQ1051" s="22"/>
      <c r="FR1051" s="22"/>
      <c r="FS1051" s="22"/>
      <c r="FT1051" s="22"/>
      <c r="FU1051" s="22"/>
      <c r="FV1051" s="22"/>
      <c r="FW1051" s="22"/>
      <c r="FX1051" s="22"/>
      <c r="FY1051" s="22"/>
      <c r="FZ1051" s="22"/>
      <c r="GA1051" s="22"/>
      <c r="GB1051" s="22"/>
      <c r="GC1051" s="22"/>
      <c r="GD1051" s="22"/>
      <c r="GE1051" s="22"/>
      <c r="GF1051" s="22"/>
      <c r="GG1051" s="22"/>
      <c r="GH1051" s="22"/>
      <c r="GI1051" s="22"/>
      <c r="GJ1051" s="22"/>
      <c r="GK1051" s="22"/>
      <c r="GL1051" s="22"/>
      <c r="GM1051" s="22"/>
      <c r="GN1051" s="22"/>
      <c r="GO1051" s="22"/>
      <c r="GP1051" s="22"/>
      <c r="GQ1051" s="22"/>
      <c r="GR1051" s="22"/>
      <c r="GS1051" s="22"/>
      <c r="GT1051" s="22"/>
      <c r="GU1051" s="22"/>
      <c r="GV1051" s="22"/>
      <c r="GW1051" s="22"/>
      <c r="GX1051" s="22"/>
      <c r="GY1051" s="22"/>
      <c r="GZ1051" s="22"/>
      <c r="HA1051" s="22"/>
      <c r="HB1051" s="22"/>
      <c r="HC1051" s="22"/>
      <c r="HD1051" s="22"/>
      <c r="HE1051" s="22"/>
      <c r="HF1051" s="22"/>
      <c r="HG1051" s="22"/>
      <c r="HH1051" s="22"/>
      <c r="HI1051" s="22"/>
      <c r="HJ1051" s="22"/>
      <c r="HK1051" s="22"/>
      <c r="HL1051" s="22"/>
      <c r="HM1051" s="22"/>
      <c r="HN1051" s="22"/>
      <c r="HO1051" s="22"/>
      <c r="HP1051" s="22"/>
      <c r="HQ1051" s="22"/>
      <c r="HR1051" s="22"/>
      <c r="HS1051" s="22"/>
      <c r="HT1051" s="22"/>
      <c r="HU1051" s="22"/>
      <c r="HV1051" s="22"/>
      <c r="HW1051" s="22"/>
      <c r="HX1051" s="22"/>
      <c r="HY1051" s="22"/>
      <c r="HZ1051" s="22"/>
      <c r="IA1051" s="22"/>
      <c r="IB1051" s="22"/>
      <c r="IC1051" s="22"/>
      <c r="ID1051" s="22"/>
      <c r="IE1051" s="22"/>
      <c r="IF1051" s="22"/>
      <c r="IG1051" s="22"/>
      <c r="IH1051" s="22"/>
      <c r="II1051" s="22"/>
      <c r="IJ1051" s="22"/>
      <c r="IK1051" s="22"/>
      <c r="IL1051" s="22"/>
      <c r="IM1051" s="22"/>
      <c r="IN1051" s="22"/>
      <c r="IO1051" s="22"/>
      <c r="IP1051" s="22"/>
      <c r="IQ1051" s="22"/>
      <c r="IR1051" s="22"/>
      <c r="IS1051" s="22"/>
      <c r="IT1051" s="22"/>
      <c r="IU1051" s="22"/>
      <c r="IV1051" s="22"/>
      <c r="IW1051" s="22"/>
      <c r="IX1051" s="22"/>
      <c r="IY1051" s="22"/>
      <c r="IZ1051" s="22"/>
      <c r="JA1051" s="22"/>
      <c r="JB1051" s="22"/>
      <c r="JC1051" s="22"/>
      <c r="JD1051" s="22"/>
      <c r="JE1051" s="22"/>
      <c r="JF1051" s="22"/>
      <c r="JG1051" s="22"/>
      <c r="JH1051" s="22"/>
      <c r="JI1051" s="22"/>
      <c r="JJ1051" s="22"/>
      <c r="JK1051" s="22"/>
      <c r="JL1051" s="22"/>
      <c r="JM1051" s="22"/>
      <c r="JN1051" s="22"/>
      <c r="JO1051" s="22"/>
      <c r="JP1051" s="22"/>
      <c r="JQ1051" s="22"/>
      <c r="JR1051" s="22"/>
      <c r="JS1051" s="22"/>
      <c r="JT1051" s="22"/>
      <c r="JU1051" s="22"/>
      <c r="JV1051" s="22"/>
      <c r="JW1051" s="22"/>
      <c r="JX1051" s="22"/>
      <c r="JY1051" s="22"/>
      <c r="JZ1051" s="22"/>
      <c r="KA1051" s="22"/>
      <c r="KB1051" s="22"/>
      <c r="KC1051" s="22"/>
      <c r="KD1051" s="22"/>
      <c r="KE1051" s="22"/>
      <c r="KF1051" s="22"/>
      <c r="KG1051" s="22"/>
      <c r="KH1051" s="22"/>
      <c r="KI1051" s="22"/>
      <c r="KJ1051" s="22"/>
      <c r="KK1051" s="22"/>
      <c r="KL1051" s="22"/>
      <c r="KM1051" s="22"/>
      <c r="KN1051" s="22"/>
      <c r="KO1051" s="22"/>
      <c r="KP1051" s="22"/>
      <c r="KQ1051" s="22"/>
      <c r="KR1051" s="22"/>
      <c r="KS1051" s="22"/>
      <c r="KT1051" s="22"/>
      <c r="KU1051" s="22"/>
      <c r="KV1051" s="22"/>
      <c r="KW1051" s="22"/>
      <c r="KX1051" s="22"/>
      <c r="KY1051" s="22"/>
      <c r="KZ1051" s="22"/>
      <c r="LA1051" s="22"/>
      <c r="LB1051" s="22"/>
      <c r="LC1051" s="22"/>
      <c r="LD1051" s="22"/>
      <c r="LE1051" s="22"/>
      <c r="LF1051" s="22"/>
      <c r="LG1051" s="22"/>
      <c r="LH1051" s="22"/>
      <c r="LI1051" s="22"/>
      <c r="LJ1051" s="22"/>
      <c r="LK1051" s="22"/>
      <c r="LL1051" s="22"/>
      <c r="LM1051" s="22"/>
      <c r="LN1051" s="22"/>
      <c r="LO1051" s="22"/>
      <c r="LP1051" s="22"/>
      <c r="LQ1051" s="22"/>
      <c r="LR1051" s="22"/>
      <c r="LS1051" s="22"/>
      <c r="LT1051" s="22"/>
      <c r="LU1051" s="22"/>
      <c r="LV1051" s="22"/>
      <c r="LW1051" s="22"/>
      <c r="LX1051" s="22"/>
      <c r="LY1051" s="22"/>
      <c r="LZ1051" s="22"/>
      <c r="MA1051" s="22"/>
      <c r="MB1051" s="22"/>
      <c r="MC1051" s="22"/>
      <c r="MD1051" s="22"/>
      <c r="ME1051" s="22"/>
      <c r="MF1051" s="22"/>
      <c r="MG1051" s="22"/>
      <c r="MH1051" s="22"/>
      <c r="MI1051" s="22"/>
      <c r="MJ1051" s="22"/>
      <c r="MK1051" s="22"/>
      <c r="ML1051" s="22"/>
      <c r="MM1051" s="22"/>
      <c r="MN1051" s="22"/>
      <c r="MO1051" s="22"/>
      <c r="MP1051" s="22"/>
      <c r="MQ1051" s="22"/>
      <c r="MR1051" s="22"/>
      <c r="MS1051" s="22"/>
      <c r="MT1051" s="22"/>
      <c r="MU1051" s="22"/>
      <c r="MV1051" s="22"/>
      <c r="MW1051" s="22"/>
      <c r="MX1051" s="22"/>
      <c r="MY1051" s="22"/>
      <c r="MZ1051" s="22"/>
      <c r="NA1051" s="22"/>
      <c r="NB1051" s="22"/>
      <c r="NC1051" s="22"/>
      <c r="ND1051" s="22"/>
      <c r="NE1051" s="22"/>
      <c r="NF1051" s="22"/>
      <c r="NG1051" s="22"/>
      <c r="NH1051" s="22"/>
      <c r="NI1051" s="22"/>
      <c r="NJ1051" s="22"/>
      <c r="NK1051" s="22"/>
      <c r="NL1051" s="22"/>
      <c r="NM1051" s="22"/>
      <c r="NN1051" s="22"/>
      <c r="NO1051" s="22"/>
      <c r="NP1051" s="22"/>
      <c r="NQ1051" s="22"/>
      <c r="NR1051" s="22"/>
      <c r="NS1051" s="22"/>
      <c r="NT1051" s="22"/>
      <c r="NU1051" s="22"/>
      <c r="NV1051" s="22"/>
      <c r="NW1051" s="22"/>
      <c r="NX1051" s="22"/>
      <c r="NY1051" s="22"/>
      <c r="NZ1051" s="22"/>
      <c r="OA1051" s="22"/>
      <c r="OB1051" s="22"/>
      <c r="OC1051" s="22"/>
      <c r="OD1051" s="22"/>
      <c r="OE1051" s="22"/>
      <c r="OF1051" s="22"/>
      <c r="OG1051" s="22"/>
      <c r="OH1051" s="22"/>
      <c r="OI1051" s="22"/>
      <c r="OJ1051" s="22"/>
      <c r="OK1051" s="22"/>
      <c r="OL1051" s="22"/>
      <c r="OM1051" s="22"/>
      <c r="ON1051" s="22"/>
      <c r="OO1051" s="22"/>
      <c r="OP1051" s="22"/>
      <c r="OQ1051" s="22"/>
      <c r="OR1051" s="22"/>
      <c r="OS1051" s="22"/>
      <c r="OT1051" s="22"/>
      <c r="OU1051" s="22"/>
      <c r="OV1051" s="22"/>
      <c r="OW1051" s="22"/>
      <c r="OX1051" s="22"/>
      <c r="OY1051" s="22"/>
      <c r="OZ1051" s="22"/>
      <c r="PA1051" s="22"/>
      <c r="PB1051" s="22"/>
      <c r="PC1051" s="22"/>
      <c r="PD1051" s="22"/>
      <c r="PE1051" s="22"/>
      <c r="PF1051" s="22"/>
      <c r="PG1051" s="22"/>
      <c r="PH1051" s="22"/>
      <c r="PI1051" s="22"/>
      <c r="PJ1051" s="22"/>
      <c r="PK1051" s="22"/>
      <c r="PL1051" s="22"/>
      <c r="PM1051" s="22"/>
      <c r="PN1051" s="22"/>
      <c r="PO1051" s="22"/>
      <c r="PP1051" s="22"/>
      <c r="PQ1051" s="22"/>
      <c r="PR1051" s="22"/>
      <c r="PS1051" s="22"/>
      <c r="PT1051" s="22"/>
      <c r="PU1051" s="22"/>
      <c r="PV1051" s="22"/>
      <c r="PW1051" s="22"/>
      <c r="PX1051" s="22"/>
      <c r="PY1051" s="22"/>
      <c r="PZ1051" s="22"/>
      <c r="QA1051" s="22"/>
      <c r="QB1051" s="22"/>
      <c r="QC1051" s="22"/>
      <c r="QD1051" s="22"/>
      <c r="QE1051" s="22"/>
      <c r="QF1051" s="22"/>
      <c r="QG1051" s="22"/>
      <c r="QH1051" s="22"/>
      <c r="QI1051" s="22"/>
      <c r="QJ1051" s="22"/>
      <c r="QK1051" s="22"/>
      <c r="QL1051" s="22"/>
      <c r="QM1051" s="22"/>
      <c r="QN1051" s="22"/>
      <c r="QO1051" s="22"/>
      <c r="QP1051" s="22"/>
      <c r="QQ1051" s="22"/>
      <c r="QR1051" s="22"/>
      <c r="QS1051" s="22"/>
      <c r="QT1051" s="22"/>
      <c r="QU1051" s="22"/>
      <c r="QV1051" s="22"/>
      <c r="QW1051" s="22"/>
      <c r="QX1051" s="22"/>
      <c r="QY1051" s="22"/>
      <c r="QZ1051" s="22"/>
      <c r="RA1051" s="22"/>
      <c r="RB1051" s="22"/>
      <c r="RC1051" s="22"/>
      <c r="RD1051" s="22"/>
      <c r="RE1051" s="22"/>
      <c r="RF1051" s="22"/>
      <c r="RG1051" s="22"/>
      <c r="RH1051" s="22"/>
      <c r="RI1051" s="22"/>
      <c r="RJ1051" s="22"/>
      <c r="RK1051" s="22"/>
      <c r="RL1051" s="22"/>
      <c r="RM1051" s="22"/>
      <c r="RN1051" s="22"/>
      <c r="RO1051" s="22"/>
      <c r="RP1051" s="22"/>
      <c r="RQ1051" s="22"/>
      <c r="RR1051" s="22"/>
      <c r="RS1051" s="22"/>
      <c r="RT1051" s="22"/>
      <c r="RU1051" s="22"/>
      <c r="RV1051" s="22"/>
      <c r="RW1051" s="22"/>
      <c r="RX1051" s="22"/>
      <c r="RY1051" s="22"/>
      <c r="RZ1051" s="22"/>
      <c r="SA1051" s="22"/>
      <c r="SB1051" s="22"/>
      <c r="SC1051" s="22"/>
      <c r="SD1051" s="22"/>
      <c r="SE1051" s="22"/>
      <c r="SF1051" s="22"/>
      <c r="SG1051" s="22"/>
      <c r="SH1051" s="22"/>
      <c r="SI1051" s="22"/>
      <c r="SJ1051" s="22"/>
      <c r="SK1051" s="22"/>
      <c r="SL1051" s="22"/>
      <c r="SM1051" s="22"/>
      <c r="SN1051" s="22"/>
      <c r="SO1051" s="22"/>
      <c r="SP1051" s="22"/>
      <c r="SQ1051" s="22"/>
      <c r="SR1051" s="22"/>
      <c r="SS1051" s="22"/>
      <c r="ST1051" s="22"/>
      <c r="SU1051" s="22"/>
      <c r="SV1051" s="22"/>
      <c r="SW1051" s="22"/>
      <c r="SX1051" s="22"/>
      <c r="SY1051" s="22"/>
      <c r="SZ1051" s="22"/>
      <c r="TA1051" s="22"/>
      <c r="TB1051" s="22"/>
      <c r="TC1051" s="22"/>
      <c r="TD1051" s="22"/>
      <c r="TE1051" s="22"/>
      <c r="TF1051" s="22"/>
      <c r="TG1051" s="22"/>
      <c r="TH1051" s="22"/>
      <c r="TI1051" s="22"/>
      <c r="TJ1051" s="22"/>
      <c r="TK1051" s="22"/>
      <c r="TL1051" s="22"/>
      <c r="TM1051" s="22"/>
      <c r="TN1051" s="22"/>
      <c r="TO1051" s="22"/>
      <c r="TP1051" s="22"/>
      <c r="TQ1051" s="22"/>
      <c r="TR1051" s="22"/>
      <c r="TS1051" s="22"/>
      <c r="TT1051" s="22"/>
      <c r="TU1051" s="22"/>
      <c r="TV1051" s="22"/>
      <c r="TW1051" s="22"/>
      <c r="TX1051" s="22"/>
      <c r="TY1051" s="22"/>
      <c r="TZ1051" s="22"/>
      <c r="UA1051" s="22"/>
      <c r="UB1051" s="22"/>
      <c r="UC1051" s="22"/>
      <c r="UD1051" s="22"/>
      <c r="UE1051" s="22"/>
      <c r="UF1051" s="22"/>
      <c r="UG1051" s="23"/>
    </row>
    <row r="1052" spans="1:553" ht="45" customHeight="1">
      <c r="A1052" s="356"/>
      <c r="B1052" s="385"/>
      <c r="C1052" s="384" t="str">
        <f>'Phương án chi tiết'!C982</f>
        <v>Đất chuyên trồng lúa nước (LUC)</v>
      </c>
      <c r="D1052" s="376" t="str">
        <f>'Phương án chi tiết'!D982</f>
        <v>2</v>
      </c>
      <c r="E1052" s="376" t="str">
        <f>'Phương án chi tiết'!E982</f>
        <v>202</v>
      </c>
      <c r="F1052" s="385"/>
      <c r="G1052" s="386" t="s">
        <v>935</v>
      </c>
      <c r="H1052" s="370"/>
      <c r="I1052" s="422">
        <f>'Phương án chi tiết'!I982</f>
        <v>414.9</v>
      </c>
      <c r="J1052" s="368">
        <v>72000</v>
      </c>
      <c r="K1052" s="684" t="s">
        <v>597</v>
      </c>
      <c r="L1052" s="391">
        <f t="shared" si="155"/>
        <v>89618400</v>
      </c>
      <c r="M1052" s="366"/>
      <c r="N1052" s="366"/>
      <c r="O1052" s="366"/>
      <c r="P1052" s="366"/>
      <c r="Q1052" s="812"/>
      <c r="R1052" s="1452"/>
      <c r="S1052" s="308"/>
      <c r="T1052" s="308"/>
      <c r="U1052" s="308"/>
      <c r="V1052" s="308"/>
      <c r="W1052" s="308"/>
      <c r="X1052" s="308"/>
      <c r="Y1052" s="308"/>
      <c r="Z1052" s="604"/>
      <c r="AA1052" s="308"/>
      <c r="AB1052" s="308"/>
      <c r="AC1052" s="373"/>
      <c r="AD1052" s="373"/>
      <c r="AE1052" s="373"/>
      <c r="AF1052" s="373"/>
      <c r="AG1052" s="373"/>
      <c r="AH1052" s="373"/>
      <c r="AI1052" s="373"/>
      <c r="AJ1052" s="373"/>
      <c r="AK1052" s="389"/>
      <c r="AL1052" s="100"/>
      <c r="AM1052" s="27"/>
      <c r="AN1052" s="27"/>
      <c r="AO1052" s="27"/>
      <c r="AP1052" s="27"/>
      <c r="AQ1052" s="27"/>
      <c r="AR1052" s="27"/>
      <c r="AS1052" s="22"/>
      <c r="AT1052" s="22"/>
      <c r="AU1052" s="22"/>
      <c r="AV1052" s="22"/>
      <c r="AW1052" s="22"/>
      <c r="AX1052" s="22"/>
      <c r="AY1052" s="22"/>
      <c r="AZ1052" s="22"/>
      <c r="BA1052" s="22"/>
      <c r="BB1052" s="22"/>
      <c r="BC1052" s="22"/>
      <c r="BD1052" s="22"/>
      <c r="BE1052" s="22"/>
      <c r="BF1052" s="22"/>
      <c r="BG1052" s="22"/>
      <c r="BH1052" s="22"/>
      <c r="BI1052" s="22"/>
      <c r="BJ1052" s="22"/>
      <c r="BK1052" s="22"/>
      <c r="BL1052" s="22"/>
      <c r="BM1052" s="22"/>
      <c r="BN1052" s="22"/>
      <c r="BO1052" s="22"/>
      <c r="BP1052" s="22"/>
      <c r="BQ1052" s="22"/>
      <c r="BR1052" s="22"/>
      <c r="BS1052" s="22"/>
      <c r="BT1052" s="22"/>
      <c r="BU1052" s="22"/>
      <c r="BV1052" s="22"/>
      <c r="BW1052" s="22"/>
      <c r="BX1052" s="22"/>
      <c r="BY1052" s="22"/>
      <c r="BZ1052" s="22"/>
      <c r="CA1052" s="22"/>
      <c r="CB1052" s="22"/>
      <c r="CC1052" s="22"/>
      <c r="CD1052" s="22"/>
      <c r="CE1052" s="22"/>
      <c r="CF1052" s="22"/>
      <c r="CG1052" s="22"/>
      <c r="CH1052" s="22"/>
      <c r="CI1052" s="22"/>
      <c r="CJ1052" s="22"/>
      <c r="CK1052" s="22"/>
      <c r="CL1052" s="22"/>
      <c r="CM1052" s="22"/>
      <c r="CN1052" s="22"/>
      <c r="CO1052" s="22"/>
      <c r="CP1052" s="22"/>
      <c r="CQ1052" s="22"/>
      <c r="CR1052" s="22"/>
      <c r="CS1052" s="22"/>
      <c r="CT1052" s="22"/>
      <c r="CU1052" s="22"/>
      <c r="CV1052" s="22"/>
      <c r="CW1052" s="22"/>
      <c r="CX1052" s="22"/>
      <c r="CY1052" s="22"/>
      <c r="CZ1052" s="22"/>
      <c r="DA1052" s="22"/>
      <c r="DB1052" s="22"/>
      <c r="DC1052" s="22"/>
      <c r="DD1052" s="22"/>
      <c r="DE1052" s="22"/>
      <c r="DF1052" s="22"/>
      <c r="DG1052" s="22"/>
      <c r="DH1052" s="22"/>
      <c r="DI1052" s="22"/>
      <c r="DJ1052" s="22"/>
      <c r="DK1052" s="22"/>
      <c r="DL1052" s="22"/>
      <c r="DM1052" s="22"/>
      <c r="DN1052" s="22"/>
      <c r="DO1052" s="22"/>
      <c r="DP1052" s="22"/>
      <c r="DQ1052" s="22"/>
      <c r="DR1052" s="22"/>
      <c r="DS1052" s="22"/>
      <c r="DT1052" s="22"/>
      <c r="DU1052" s="22"/>
      <c r="DV1052" s="22"/>
      <c r="DW1052" s="22"/>
      <c r="DX1052" s="22"/>
      <c r="DY1052" s="22"/>
      <c r="DZ1052" s="22"/>
      <c r="EA1052" s="22"/>
      <c r="EB1052" s="22"/>
      <c r="EC1052" s="22"/>
      <c r="ED1052" s="22"/>
      <c r="EE1052" s="22"/>
      <c r="EF1052" s="22"/>
      <c r="EG1052" s="22"/>
      <c r="EH1052" s="22"/>
      <c r="EI1052" s="22"/>
      <c r="EJ1052" s="22"/>
      <c r="EK1052" s="22"/>
      <c r="EL1052" s="22"/>
      <c r="EM1052" s="22"/>
      <c r="EN1052" s="22"/>
      <c r="EO1052" s="22"/>
      <c r="EP1052" s="22"/>
      <c r="EQ1052" s="22"/>
      <c r="ER1052" s="22"/>
      <c r="ES1052" s="22"/>
      <c r="ET1052" s="22"/>
      <c r="EU1052" s="22"/>
      <c r="EV1052" s="22"/>
      <c r="EW1052" s="22"/>
      <c r="EX1052" s="22"/>
      <c r="EY1052" s="22"/>
      <c r="EZ1052" s="22"/>
      <c r="FA1052" s="22"/>
      <c r="FB1052" s="22"/>
      <c r="FC1052" s="22"/>
      <c r="FD1052" s="22"/>
      <c r="FE1052" s="22"/>
      <c r="FF1052" s="22"/>
      <c r="FG1052" s="22"/>
      <c r="FH1052" s="22"/>
      <c r="FI1052" s="22"/>
      <c r="FJ1052" s="22"/>
      <c r="FK1052" s="22"/>
      <c r="FL1052" s="22"/>
      <c r="FM1052" s="22"/>
      <c r="FN1052" s="22"/>
      <c r="FO1052" s="22"/>
      <c r="FP1052" s="22"/>
      <c r="FQ1052" s="22"/>
      <c r="FR1052" s="22"/>
      <c r="FS1052" s="22"/>
      <c r="FT1052" s="22"/>
      <c r="FU1052" s="22"/>
      <c r="FV1052" s="22"/>
      <c r="FW1052" s="22"/>
      <c r="FX1052" s="22"/>
      <c r="FY1052" s="22"/>
      <c r="FZ1052" s="22"/>
      <c r="GA1052" s="22"/>
      <c r="GB1052" s="22"/>
      <c r="GC1052" s="22"/>
      <c r="GD1052" s="22"/>
      <c r="GE1052" s="22"/>
      <c r="GF1052" s="22"/>
      <c r="GG1052" s="22"/>
      <c r="GH1052" s="22"/>
      <c r="GI1052" s="22"/>
      <c r="GJ1052" s="22"/>
      <c r="GK1052" s="22"/>
      <c r="GL1052" s="22"/>
      <c r="GM1052" s="22"/>
      <c r="GN1052" s="22"/>
      <c r="GO1052" s="22"/>
      <c r="GP1052" s="22"/>
      <c r="GQ1052" s="22"/>
      <c r="GR1052" s="22"/>
      <c r="GS1052" s="22"/>
      <c r="GT1052" s="22"/>
      <c r="GU1052" s="22"/>
      <c r="GV1052" s="22"/>
      <c r="GW1052" s="22"/>
      <c r="GX1052" s="22"/>
      <c r="GY1052" s="22"/>
      <c r="GZ1052" s="22"/>
      <c r="HA1052" s="22"/>
      <c r="HB1052" s="22"/>
      <c r="HC1052" s="22"/>
      <c r="HD1052" s="22"/>
      <c r="HE1052" s="22"/>
      <c r="HF1052" s="22"/>
      <c r="HG1052" s="22"/>
      <c r="HH1052" s="22"/>
      <c r="HI1052" s="22"/>
      <c r="HJ1052" s="22"/>
      <c r="HK1052" s="22"/>
      <c r="HL1052" s="22"/>
      <c r="HM1052" s="22"/>
      <c r="HN1052" s="22"/>
      <c r="HO1052" s="22"/>
      <c r="HP1052" s="22"/>
      <c r="HQ1052" s="22"/>
      <c r="HR1052" s="22"/>
      <c r="HS1052" s="22"/>
      <c r="HT1052" s="22"/>
      <c r="HU1052" s="22"/>
      <c r="HV1052" s="22"/>
      <c r="HW1052" s="22"/>
      <c r="HX1052" s="22"/>
      <c r="HY1052" s="22"/>
      <c r="HZ1052" s="22"/>
      <c r="IA1052" s="22"/>
      <c r="IB1052" s="22"/>
      <c r="IC1052" s="22"/>
      <c r="ID1052" s="22"/>
      <c r="IE1052" s="22"/>
      <c r="IF1052" s="22"/>
      <c r="IG1052" s="22"/>
      <c r="IH1052" s="22"/>
      <c r="II1052" s="22"/>
      <c r="IJ1052" s="22"/>
      <c r="IK1052" s="22"/>
      <c r="IL1052" s="22"/>
      <c r="IM1052" s="22"/>
      <c r="IN1052" s="22"/>
      <c r="IO1052" s="22"/>
      <c r="IP1052" s="22"/>
      <c r="IQ1052" s="22"/>
      <c r="IR1052" s="22"/>
      <c r="IS1052" s="22"/>
      <c r="IT1052" s="22"/>
      <c r="IU1052" s="22"/>
      <c r="IV1052" s="22"/>
      <c r="IW1052" s="22"/>
      <c r="IX1052" s="22"/>
      <c r="IY1052" s="22"/>
      <c r="IZ1052" s="22"/>
      <c r="JA1052" s="22"/>
      <c r="JB1052" s="22"/>
      <c r="JC1052" s="22"/>
      <c r="JD1052" s="22"/>
      <c r="JE1052" s="22"/>
      <c r="JF1052" s="22"/>
      <c r="JG1052" s="22"/>
      <c r="JH1052" s="22"/>
      <c r="JI1052" s="22"/>
      <c r="JJ1052" s="22"/>
      <c r="JK1052" s="22"/>
      <c r="JL1052" s="22"/>
      <c r="JM1052" s="22"/>
      <c r="JN1052" s="22"/>
      <c r="JO1052" s="22"/>
      <c r="JP1052" s="22"/>
      <c r="JQ1052" s="22"/>
      <c r="JR1052" s="22"/>
      <c r="JS1052" s="22"/>
      <c r="JT1052" s="22"/>
      <c r="JU1052" s="22"/>
      <c r="JV1052" s="22"/>
      <c r="JW1052" s="22"/>
      <c r="JX1052" s="22"/>
      <c r="JY1052" s="22"/>
      <c r="JZ1052" s="22"/>
      <c r="KA1052" s="22"/>
      <c r="KB1052" s="22"/>
      <c r="KC1052" s="22"/>
      <c r="KD1052" s="22"/>
      <c r="KE1052" s="22"/>
      <c r="KF1052" s="22"/>
      <c r="KG1052" s="22"/>
      <c r="KH1052" s="22"/>
      <c r="KI1052" s="22"/>
      <c r="KJ1052" s="22"/>
      <c r="KK1052" s="22"/>
      <c r="KL1052" s="22"/>
      <c r="KM1052" s="22"/>
      <c r="KN1052" s="22"/>
      <c r="KO1052" s="22"/>
      <c r="KP1052" s="22"/>
      <c r="KQ1052" s="22"/>
      <c r="KR1052" s="22"/>
      <c r="KS1052" s="22"/>
      <c r="KT1052" s="22"/>
      <c r="KU1052" s="22"/>
      <c r="KV1052" s="22"/>
      <c r="KW1052" s="22"/>
      <c r="KX1052" s="22"/>
      <c r="KY1052" s="22"/>
      <c r="KZ1052" s="22"/>
      <c r="LA1052" s="22"/>
      <c r="LB1052" s="22"/>
      <c r="LC1052" s="22"/>
      <c r="LD1052" s="22"/>
      <c r="LE1052" s="22"/>
      <c r="LF1052" s="22"/>
      <c r="LG1052" s="22"/>
      <c r="LH1052" s="22"/>
      <c r="LI1052" s="22"/>
      <c r="LJ1052" s="22"/>
      <c r="LK1052" s="22"/>
      <c r="LL1052" s="22"/>
      <c r="LM1052" s="22"/>
      <c r="LN1052" s="22"/>
      <c r="LO1052" s="22"/>
      <c r="LP1052" s="22"/>
      <c r="LQ1052" s="22"/>
      <c r="LR1052" s="22"/>
      <c r="LS1052" s="22"/>
      <c r="LT1052" s="22"/>
      <c r="LU1052" s="22"/>
      <c r="LV1052" s="22"/>
      <c r="LW1052" s="22"/>
      <c r="LX1052" s="22"/>
      <c r="LY1052" s="22"/>
      <c r="LZ1052" s="22"/>
      <c r="MA1052" s="22"/>
      <c r="MB1052" s="22"/>
      <c r="MC1052" s="22"/>
      <c r="MD1052" s="22"/>
      <c r="ME1052" s="22"/>
      <c r="MF1052" s="22"/>
      <c r="MG1052" s="22"/>
      <c r="MH1052" s="22"/>
      <c r="MI1052" s="22"/>
      <c r="MJ1052" s="22"/>
      <c r="MK1052" s="22"/>
      <c r="ML1052" s="22"/>
      <c r="MM1052" s="22"/>
      <c r="MN1052" s="22"/>
      <c r="MO1052" s="22"/>
      <c r="MP1052" s="22"/>
      <c r="MQ1052" s="22"/>
      <c r="MR1052" s="22"/>
      <c r="MS1052" s="22"/>
      <c r="MT1052" s="22"/>
      <c r="MU1052" s="22"/>
      <c r="MV1052" s="22"/>
      <c r="MW1052" s="22"/>
      <c r="MX1052" s="22"/>
      <c r="MY1052" s="22"/>
      <c r="MZ1052" s="22"/>
      <c r="NA1052" s="22"/>
      <c r="NB1052" s="22"/>
      <c r="NC1052" s="22"/>
      <c r="ND1052" s="22"/>
      <c r="NE1052" s="22"/>
      <c r="NF1052" s="22"/>
      <c r="NG1052" s="22"/>
      <c r="NH1052" s="22"/>
      <c r="NI1052" s="22"/>
      <c r="NJ1052" s="22"/>
      <c r="NK1052" s="22"/>
      <c r="NL1052" s="22"/>
      <c r="NM1052" s="22"/>
      <c r="NN1052" s="22"/>
      <c r="NO1052" s="22"/>
      <c r="NP1052" s="22"/>
      <c r="NQ1052" s="22"/>
      <c r="NR1052" s="22"/>
      <c r="NS1052" s="22"/>
      <c r="NT1052" s="22"/>
      <c r="NU1052" s="22"/>
      <c r="NV1052" s="22"/>
      <c r="NW1052" s="22"/>
      <c r="NX1052" s="22"/>
      <c r="NY1052" s="22"/>
      <c r="NZ1052" s="22"/>
      <c r="OA1052" s="22"/>
      <c r="OB1052" s="22"/>
      <c r="OC1052" s="22"/>
      <c r="OD1052" s="22"/>
      <c r="OE1052" s="22"/>
      <c r="OF1052" s="22"/>
      <c r="OG1052" s="22"/>
      <c r="OH1052" s="22"/>
      <c r="OI1052" s="22"/>
      <c r="OJ1052" s="22"/>
      <c r="OK1052" s="22"/>
      <c r="OL1052" s="22"/>
      <c r="OM1052" s="22"/>
      <c r="ON1052" s="22"/>
      <c r="OO1052" s="22"/>
      <c r="OP1052" s="22"/>
      <c r="OQ1052" s="22"/>
      <c r="OR1052" s="22"/>
      <c r="OS1052" s="22"/>
      <c r="OT1052" s="22"/>
      <c r="OU1052" s="22"/>
      <c r="OV1052" s="22"/>
      <c r="OW1052" s="22"/>
      <c r="OX1052" s="22"/>
      <c r="OY1052" s="22"/>
      <c r="OZ1052" s="22"/>
      <c r="PA1052" s="22"/>
      <c r="PB1052" s="22"/>
      <c r="PC1052" s="22"/>
      <c r="PD1052" s="22"/>
      <c r="PE1052" s="22"/>
      <c r="PF1052" s="22"/>
      <c r="PG1052" s="22"/>
      <c r="PH1052" s="22"/>
      <c r="PI1052" s="22"/>
      <c r="PJ1052" s="22"/>
      <c r="PK1052" s="22"/>
      <c r="PL1052" s="22"/>
      <c r="PM1052" s="22"/>
      <c r="PN1052" s="22"/>
      <c r="PO1052" s="22"/>
      <c r="PP1052" s="22"/>
      <c r="PQ1052" s="22"/>
      <c r="PR1052" s="22"/>
      <c r="PS1052" s="22"/>
      <c r="PT1052" s="22"/>
      <c r="PU1052" s="22"/>
      <c r="PV1052" s="22"/>
      <c r="PW1052" s="22"/>
      <c r="PX1052" s="22"/>
      <c r="PY1052" s="22"/>
      <c r="PZ1052" s="22"/>
      <c r="QA1052" s="22"/>
      <c r="QB1052" s="22"/>
      <c r="QC1052" s="22"/>
      <c r="QD1052" s="22"/>
      <c r="QE1052" s="22"/>
      <c r="QF1052" s="22"/>
      <c r="QG1052" s="22"/>
      <c r="QH1052" s="22"/>
      <c r="QI1052" s="22"/>
      <c r="QJ1052" s="22"/>
      <c r="QK1052" s="22"/>
      <c r="QL1052" s="22"/>
      <c r="QM1052" s="22"/>
      <c r="QN1052" s="22"/>
      <c r="QO1052" s="22"/>
      <c r="QP1052" s="22"/>
      <c r="QQ1052" s="22"/>
      <c r="QR1052" s="22"/>
      <c r="QS1052" s="22"/>
      <c r="QT1052" s="22"/>
      <c r="QU1052" s="22"/>
      <c r="QV1052" s="22"/>
      <c r="QW1052" s="22"/>
      <c r="QX1052" s="22"/>
      <c r="QY1052" s="22"/>
      <c r="QZ1052" s="22"/>
      <c r="RA1052" s="22"/>
      <c r="RB1052" s="22"/>
      <c r="RC1052" s="22"/>
      <c r="RD1052" s="22"/>
      <c r="RE1052" s="22"/>
      <c r="RF1052" s="22"/>
      <c r="RG1052" s="22"/>
      <c r="RH1052" s="22"/>
      <c r="RI1052" s="22"/>
      <c r="RJ1052" s="22"/>
      <c r="RK1052" s="22"/>
      <c r="RL1052" s="22"/>
      <c r="RM1052" s="22"/>
      <c r="RN1052" s="22"/>
      <c r="RO1052" s="22"/>
      <c r="RP1052" s="22"/>
      <c r="RQ1052" s="22"/>
      <c r="RR1052" s="22"/>
      <c r="RS1052" s="22"/>
      <c r="RT1052" s="22"/>
      <c r="RU1052" s="22"/>
      <c r="RV1052" s="22"/>
      <c r="RW1052" s="22"/>
      <c r="RX1052" s="22"/>
      <c r="RY1052" s="22"/>
      <c r="RZ1052" s="22"/>
      <c r="SA1052" s="22"/>
      <c r="SB1052" s="22"/>
      <c r="SC1052" s="22"/>
      <c r="SD1052" s="22"/>
      <c r="SE1052" s="22"/>
      <c r="SF1052" s="22"/>
      <c r="SG1052" s="22"/>
      <c r="SH1052" s="22"/>
      <c r="SI1052" s="22"/>
      <c r="SJ1052" s="22"/>
      <c r="SK1052" s="22"/>
      <c r="SL1052" s="22"/>
      <c r="SM1052" s="22"/>
      <c r="SN1052" s="22"/>
      <c r="SO1052" s="22"/>
      <c r="SP1052" s="22"/>
      <c r="SQ1052" s="22"/>
      <c r="SR1052" s="22"/>
      <c r="SS1052" s="22"/>
      <c r="ST1052" s="22"/>
      <c r="SU1052" s="22"/>
      <c r="SV1052" s="22"/>
      <c r="SW1052" s="22"/>
      <c r="SX1052" s="22"/>
      <c r="SY1052" s="22"/>
      <c r="SZ1052" s="22"/>
      <c r="TA1052" s="22"/>
      <c r="TB1052" s="22"/>
      <c r="TC1052" s="22"/>
      <c r="TD1052" s="22"/>
      <c r="TE1052" s="22"/>
      <c r="TF1052" s="22"/>
      <c r="TG1052" s="22"/>
      <c r="TH1052" s="22"/>
      <c r="TI1052" s="22"/>
      <c r="TJ1052" s="22"/>
      <c r="TK1052" s="22"/>
      <c r="TL1052" s="22"/>
      <c r="TM1052" s="22"/>
      <c r="TN1052" s="22"/>
      <c r="TO1052" s="22"/>
      <c r="TP1052" s="22"/>
      <c r="TQ1052" s="22"/>
      <c r="TR1052" s="22"/>
      <c r="TS1052" s="22"/>
      <c r="TT1052" s="22"/>
      <c r="TU1052" s="22"/>
      <c r="TV1052" s="22"/>
      <c r="TW1052" s="22"/>
      <c r="TX1052" s="22"/>
      <c r="TY1052" s="22"/>
      <c r="TZ1052" s="22"/>
      <c r="UA1052" s="22"/>
      <c r="UB1052" s="22"/>
      <c r="UC1052" s="22"/>
      <c r="UD1052" s="22"/>
      <c r="UE1052" s="22"/>
      <c r="UF1052" s="22"/>
      <c r="UG1052" s="23"/>
    </row>
    <row r="1053" spans="1:553" ht="45" customHeight="1">
      <c r="A1053" s="356"/>
      <c r="B1053" s="385"/>
      <c r="C1053" s="384" t="str">
        <f t="shared" ref="C1053:E1057" si="156">C983</f>
        <v>Đất trồng lúa còn lại (LUK)</v>
      </c>
      <c r="D1053" s="376" t="str">
        <f t="shared" si="156"/>
        <v>2</v>
      </c>
      <c r="E1053" s="376" t="str">
        <f t="shared" si="156"/>
        <v>295</v>
      </c>
      <c r="F1053" s="385"/>
      <c r="G1053" s="386" t="s">
        <v>935</v>
      </c>
      <c r="H1053" s="370"/>
      <c r="I1053" s="422">
        <f>I983</f>
        <v>538.70000000000005</v>
      </c>
      <c r="J1053" s="368">
        <v>62000</v>
      </c>
      <c r="K1053" s="479">
        <v>2.5</v>
      </c>
      <c r="L1053" s="391">
        <f t="shared" si="155"/>
        <v>83498500.000000015</v>
      </c>
      <c r="M1053" s="366"/>
      <c r="N1053" s="366"/>
      <c r="O1053" s="366"/>
      <c r="P1053" s="366"/>
      <c r="Q1053" s="812"/>
      <c r="R1053" s="1226"/>
      <c r="S1053" s="308"/>
      <c r="T1053" s="308"/>
      <c r="U1053" s="308"/>
      <c r="V1053" s="308"/>
      <c r="W1053" s="308"/>
      <c r="X1053" s="308"/>
      <c r="Y1053" s="308"/>
      <c r="Z1053" s="604"/>
      <c r="AA1053" s="308"/>
      <c r="AB1053" s="308"/>
      <c r="AC1053" s="449"/>
      <c r="AD1053" s="449"/>
      <c r="AE1053" s="449"/>
      <c r="AF1053" s="449"/>
      <c r="AG1053" s="449"/>
      <c r="AH1053" s="449"/>
      <c r="AI1053" s="449"/>
      <c r="AJ1053" s="449"/>
      <c r="AK1053" s="452"/>
      <c r="AL1053" s="104"/>
      <c r="AM1053" s="32"/>
      <c r="AN1053" s="32"/>
      <c r="AO1053" s="32"/>
      <c r="AP1053" s="32"/>
      <c r="AQ1053" s="32"/>
      <c r="AR1053" s="32"/>
      <c r="AS1053" s="31"/>
      <c r="AT1053" s="31"/>
      <c r="AU1053" s="31"/>
      <c r="AV1053" s="31"/>
      <c r="AW1053" s="31"/>
      <c r="AX1053" s="31"/>
      <c r="AY1053" s="31"/>
      <c r="AZ1053" s="31"/>
      <c r="BA1053" s="31"/>
      <c r="BB1053" s="31"/>
      <c r="BC1053" s="31"/>
      <c r="BD1053" s="31"/>
      <c r="BE1053" s="31"/>
      <c r="BF1053" s="31"/>
      <c r="BG1053" s="31"/>
      <c r="BH1053" s="31"/>
      <c r="BI1053" s="31"/>
      <c r="BJ1053" s="31"/>
      <c r="BK1053" s="31"/>
      <c r="BL1053" s="31"/>
      <c r="BM1053" s="31"/>
      <c r="BN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c r="CT1053" s="31"/>
      <c r="CU1053" s="31"/>
      <c r="CV1053" s="31"/>
      <c r="CW1053" s="31"/>
      <c r="CX1053" s="31"/>
      <c r="CY1053" s="31"/>
      <c r="CZ1053" s="31"/>
      <c r="DA1053" s="31"/>
      <c r="DB1053" s="31"/>
      <c r="DC1053" s="31"/>
      <c r="DD1053" s="31"/>
      <c r="DE1053" s="31"/>
      <c r="DF1053" s="31"/>
      <c r="DG1053" s="31"/>
      <c r="DH1053" s="31"/>
      <c r="DI1053" s="31"/>
      <c r="DJ1053" s="31"/>
      <c r="DK1053" s="31"/>
      <c r="DL1053" s="31"/>
      <c r="DM1053" s="31"/>
      <c r="DN1053" s="31"/>
      <c r="DO1053" s="31"/>
      <c r="DP1053" s="31"/>
      <c r="DQ1053" s="31"/>
      <c r="DR1053" s="31"/>
      <c r="DS1053" s="31"/>
      <c r="DT1053" s="31"/>
      <c r="DU1053" s="31"/>
      <c r="DV1053" s="31"/>
      <c r="DW1053" s="31"/>
      <c r="DX1053" s="31"/>
      <c r="DY1053" s="31"/>
      <c r="DZ1053" s="31"/>
      <c r="EA1053" s="31"/>
      <c r="EB1053" s="31"/>
      <c r="EC1053" s="31"/>
      <c r="ED1053" s="31"/>
      <c r="EE1053" s="31"/>
      <c r="EF1053" s="31"/>
      <c r="EG1053" s="31"/>
      <c r="EH1053" s="31"/>
      <c r="EI1053" s="31"/>
      <c r="EJ1053" s="31"/>
      <c r="EK1053" s="31"/>
      <c r="EL1053" s="31"/>
      <c r="EM1053" s="31"/>
      <c r="EN1053" s="31"/>
      <c r="EO1053" s="31"/>
      <c r="EP1053" s="31"/>
      <c r="EQ1053" s="31"/>
      <c r="ER1053" s="31"/>
      <c r="ES1053" s="31"/>
      <c r="ET1053" s="31"/>
      <c r="EU1053" s="31"/>
      <c r="EV1053" s="31"/>
      <c r="EW1053" s="31"/>
      <c r="EX1053" s="31"/>
      <c r="EY1053" s="31"/>
      <c r="EZ1053" s="31"/>
      <c r="FA1053" s="31"/>
      <c r="FB1053" s="31"/>
      <c r="FC1053" s="31"/>
      <c r="FD1053" s="31"/>
      <c r="FE1053" s="31"/>
      <c r="FF1053" s="31"/>
      <c r="FG1053" s="31"/>
      <c r="FH1053" s="31"/>
      <c r="FI1053" s="31"/>
      <c r="FJ1053" s="31"/>
      <c r="FK1053" s="31"/>
      <c r="FL1053" s="31"/>
      <c r="FM1053" s="31"/>
      <c r="FN1053" s="31"/>
      <c r="FO1053" s="31"/>
      <c r="FP1053" s="31"/>
      <c r="FQ1053" s="31"/>
      <c r="FR1053" s="31"/>
      <c r="FS1053" s="31"/>
      <c r="FT1053" s="31"/>
      <c r="FU1053" s="31"/>
      <c r="FV1053" s="31"/>
      <c r="FW1053" s="31"/>
      <c r="FX1053" s="31"/>
      <c r="FY1053" s="31"/>
      <c r="FZ1053" s="31"/>
      <c r="GA1053" s="31"/>
      <c r="GB1053" s="31"/>
      <c r="GC1053" s="31"/>
      <c r="GD1053" s="31"/>
      <c r="GE1053" s="31"/>
      <c r="GF1053" s="31"/>
      <c r="GG1053" s="31"/>
      <c r="GH1053" s="31"/>
      <c r="GI1053" s="31"/>
      <c r="GJ1053" s="31"/>
      <c r="GK1053" s="31"/>
      <c r="GL1053" s="31"/>
      <c r="GM1053" s="31"/>
      <c r="GN1053" s="31"/>
      <c r="GO1053" s="31"/>
      <c r="GP1053" s="31"/>
      <c r="GQ1053" s="31"/>
      <c r="GR1053" s="31"/>
      <c r="GS1053" s="31"/>
      <c r="GT1053" s="31"/>
      <c r="GU1053" s="31"/>
      <c r="GV1053" s="31"/>
      <c r="GW1053" s="31"/>
      <c r="GX1053" s="31"/>
      <c r="GY1053" s="31"/>
      <c r="GZ1053" s="31"/>
      <c r="HA1053" s="31"/>
      <c r="HB1053" s="31"/>
      <c r="HC1053" s="31"/>
      <c r="HD1053" s="31"/>
      <c r="HE1053" s="31"/>
      <c r="HF1053" s="31"/>
      <c r="HG1053" s="31"/>
      <c r="HH1053" s="31"/>
      <c r="HI1053" s="31"/>
      <c r="HJ1053" s="31"/>
      <c r="HK1053" s="31"/>
      <c r="HL1053" s="31"/>
      <c r="HM1053" s="31"/>
      <c r="HN1053" s="31"/>
      <c r="HO1053" s="31"/>
      <c r="HP1053" s="31"/>
      <c r="HQ1053" s="31"/>
      <c r="HR1053" s="31"/>
      <c r="HS1053" s="31"/>
      <c r="HT1053" s="31"/>
      <c r="HU1053" s="31"/>
      <c r="HV1053" s="31"/>
      <c r="HW1053" s="31"/>
      <c r="HX1053" s="31"/>
      <c r="HY1053" s="31"/>
      <c r="HZ1053" s="31"/>
      <c r="IA1053" s="31"/>
      <c r="IB1053" s="31"/>
      <c r="IC1053" s="31"/>
      <c r="ID1053" s="31"/>
      <c r="IE1053" s="31"/>
      <c r="IF1053" s="31"/>
      <c r="IG1053" s="31"/>
      <c r="IH1053" s="31"/>
      <c r="II1053" s="31"/>
      <c r="IJ1053" s="31"/>
      <c r="IK1053" s="31"/>
      <c r="IL1053" s="31"/>
      <c r="IM1053" s="31"/>
      <c r="IN1053" s="31"/>
      <c r="IO1053" s="31"/>
      <c r="IP1053" s="31"/>
      <c r="IQ1053" s="31"/>
      <c r="IR1053" s="31"/>
      <c r="IS1053" s="31"/>
      <c r="IT1053" s="31"/>
      <c r="IU1053" s="31"/>
      <c r="IV1053" s="31"/>
      <c r="IW1053" s="31"/>
      <c r="IX1053" s="31"/>
      <c r="IY1053" s="31"/>
      <c r="IZ1053" s="31"/>
      <c r="JA1053" s="31"/>
      <c r="JB1053" s="31"/>
      <c r="JC1053" s="31"/>
      <c r="JD1053" s="31"/>
      <c r="JE1053" s="31"/>
      <c r="JF1053" s="31"/>
      <c r="JG1053" s="31"/>
      <c r="JH1053" s="31"/>
      <c r="JI1053" s="31"/>
      <c r="JJ1053" s="31"/>
      <c r="JK1053" s="31"/>
      <c r="JL1053" s="31"/>
      <c r="JM1053" s="31"/>
      <c r="JN1053" s="31"/>
      <c r="JO1053" s="31"/>
      <c r="JP1053" s="31"/>
      <c r="JQ1053" s="31"/>
      <c r="JR1053" s="31"/>
      <c r="JS1053" s="31"/>
      <c r="JT1053" s="31"/>
      <c r="JU1053" s="31"/>
      <c r="JV1053" s="31"/>
      <c r="JW1053" s="31"/>
      <c r="JX1053" s="31"/>
      <c r="JY1053" s="31"/>
      <c r="JZ1053" s="31"/>
      <c r="KA1053" s="31"/>
      <c r="KB1053" s="31"/>
      <c r="KC1053" s="31"/>
      <c r="KD1053" s="31"/>
      <c r="KE1053" s="31"/>
      <c r="KF1053" s="31"/>
      <c r="KG1053" s="31"/>
      <c r="KH1053" s="31"/>
      <c r="KI1053" s="31"/>
      <c r="KJ1053" s="31"/>
      <c r="KK1053" s="31"/>
      <c r="KL1053" s="31"/>
      <c r="KM1053" s="31"/>
      <c r="KN1053" s="31"/>
      <c r="KO1053" s="31"/>
      <c r="KP1053" s="31"/>
      <c r="KQ1053" s="31"/>
      <c r="KR1053" s="31"/>
      <c r="KS1053" s="31"/>
      <c r="KT1053" s="31"/>
      <c r="KU1053" s="31"/>
      <c r="KV1053" s="31"/>
      <c r="KW1053" s="31"/>
      <c r="KX1053" s="31"/>
      <c r="KY1053" s="31"/>
      <c r="KZ1053" s="31"/>
      <c r="LA1053" s="31"/>
      <c r="LB1053" s="31"/>
      <c r="LC1053" s="31"/>
      <c r="LD1053" s="31"/>
      <c r="LE1053" s="31"/>
      <c r="LF1053" s="31"/>
      <c r="LG1053" s="31"/>
      <c r="LH1053" s="31"/>
      <c r="LI1053" s="31"/>
      <c r="LJ1053" s="31"/>
      <c r="LK1053" s="31"/>
      <c r="LL1053" s="31"/>
      <c r="LM1053" s="31"/>
      <c r="LN1053" s="31"/>
      <c r="LO1053" s="31"/>
      <c r="LP1053" s="31"/>
      <c r="LQ1053" s="31"/>
      <c r="LR1053" s="31"/>
      <c r="LS1053" s="31"/>
      <c r="LT1053" s="31"/>
      <c r="LU1053" s="31"/>
      <c r="LV1053" s="31"/>
      <c r="LW1053" s="31"/>
      <c r="LX1053" s="31"/>
      <c r="LY1053" s="31"/>
      <c r="LZ1053" s="31"/>
      <c r="MA1053" s="31"/>
      <c r="MB1053" s="31"/>
      <c r="MC1053" s="31"/>
      <c r="MD1053" s="31"/>
      <c r="ME1053" s="31"/>
      <c r="MF1053" s="31"/>
      <c r="MG1053" s="31"/>
      <c r="MH1053" s="31"/>
      <c r="MI1053" s="31"/>
      <c r="MJ1053" s="31"/>
      <c r="MK1053" s="31"/>
      <c r="ML1053" s="31"/>
      <c r="MM1053" s="31"/>
      <c r="MN1053" s="31"/>
      <c r="MO1053" s="31"/>
      <c r="MP1053" s="31"/>
      <c r="MQ1053" s="31"/>
      <c r="MR1053" s="31"/>
      <c r="MS1053" s="31"/>
      <c r="MT1053" s="31"/>
      <c r="MU1053" s="31"/>
      <c r="MV1053" s="31"/>
      <c r="MW1053" s="31"/>
      <c r="MX1053" s="31"/>
      <c r="MY1053" s="31"/>
      <c r="MZ1053" s="31"/>
      <c r="NA1053" s="31"/>
      <c r="NB1053" s="31"/>
      <c r="NC1053" s="31"/>
      <c r="ND1053" s="31"/>
      <c r="NE1053" s="31"/>
      <c r="NF1053" s="31"/>
      <c r="NG1053" s="31"/>
      <c r="NH1053" s="31"/>
      <c r="NI1053" s="31"/>
      <c r="NJ1053" s="31"/>
      <c r="NK1053" s="31"/>
      <c r="NL1053" s="31"/>
      <c r="NM1053" s="31"/>
      <c r="NN1053" s="31"/>
      <c r="NO1053" s="31"/>
      <c r="NP1053" s="31"/>
      <c r="NQ1053" s="31"/>
      <c r="NR1053" s="31"/>
      <c r="NS1053" s="31"/>
      <c r="NT1053" s="31"/>
      <c r="NU1053" s="31"/>
      <c r="NV1053" s="31"/>
      <c r="NW1053" s="31"/>
      <c r="NX1053" s="31"/>
      <c r="NY1053" s="31"/>
      <c r="NZ1053" s="31"/>
      <c r="OA1053" s="31"/>
      <c r="OB1053" s="31"/>
      <c r="OC1053" s="31"/>
      <c r="OD1053" s="31"/>
      <c r="OE1053" s="31"/>
      <c r="OF1053" s="31"/>
      <c r="OG1053" s="31"/>
      <c r="OH1053" s="31"/>
      <c r="OI1053" s="31"/>
      <c r="OJ1053" s="31"/>
      <c r="OK1053" s="31"/>
      <c r="OL1053" s="31"/>
      <c r="OM1053" s="31"/>
      <c r="ON1053" s="31"/>
      <c r="OO1053" s="31"/>
      <c r="OP1053" s="31"/>
      <c r="OQ1053" s="31"/>
      <c r="OR1053" s="31"/>
      <c r="OS1053" s="31"/>
      <c r="OT1053" s="31"/>
      <c r="OU1053" s="31"/>
      <c r="OV1053" s="31"/>
      <c r="OW1053" s="31"/>
      <c r="OX1053" s="31"/>
      <c r="OY1053" s="31"/>
      <c r="OZ1053" s="31"/>
      <c r="PA1053" s="31"/>
      <c r="PB1053" s="31"/>
      <c r="PC1053" s="31"/>
      <c r="PD1053" s="31"/>
      <c r="PE1053" s="31"/>
      <c r="PF1053" s="31"/>
      <c r="PG1053" s="31"/>
      <c r="PH1053" s="31"/>
      <c r="PI1053" s="31"/>
      <c r="PJ1053" s="31"/>
      <c r="PK1053" s="31"/>
      <c r="PL1053" s="31"/>
      <c r="PM1053" s="31"/>
      <c r="PN1053" s="31"/>
      <c r="PO1053" s="31"/>
      <c r="PP1053" s="31"/>
      <c r="PQ1053" s="31"/>
      <c r="PR1053" s="31"/>
      <c r="PS1053" s="31"/>
      <c r="PT1053" s="31"/>
      <c r="PU1053" s="31"/>
      <c r="PV1053" s="31"/>
      <c r="PW1053" s="31"/>
      <c r="PX1053" s="31"/>
      <c r="PY1053" s="31"/>
      <c r="PZ1053" s="31"/>
      <c r="QA1053" s="31"/>
      <c r="QB1053" s="31"/>
      <c r="QC1053" s="31"/>
      <c r="QD1053" s="31"/>
      <c r="QE1053" s="31"/>
      <c r="QF1053" s="31"/>
      <c r="QG1053" s="31"/>
      <c r="QH1053" s="31"/>
      <c r="QI1053" s="31"/>
      <c r="QJ1053" s="31"/>
      <c r="QK1053" s="31"/>
      <c r="QL1053" s="31"/>
      <c r="QM1053" s="31"/>
      <c r="QN1053" s="31"/>
      <c r="QO1053" s="31"/>
      <c r="QP1053" s="31"/>
      <c r="QQ1053" s="31"/>
      <c r="QR1053" s="31"/>
      <c r="QS1053" s="31"/>
      <c r="QT1053" s="31"/>
      <c r="QU1053" s="31"/>
      <c r="QV1053" s="31"/>
      <c r="QW1053" s="31"/>
      <c r="QX1053" s="31"/>
      <c r="QY1053" s="31"/>
      <c r="QZ1053" s="31"/>
      <c r="RA1053" s="31"/>
      <c r="RB1053" s="31"/>
      <c r="RC1053" s="31"/>
      <c r="RD1053" s="31"/>
      <c r="RE1053" s="31"/>
      <c r="RF1053" s="31"/>
      <c r="RG1053" s="31"/>
      <c r="RH1053" s="31"/>
      <c r="RI1053" s="31"/>
      <c r="RJ1053" s="31"/>
      <c r="RK1053" s="31"/>
      <c r="RL1053" s="31"/>
      <c r="RM1053" s="31"/>
      <c r="RN1053" s="31"/>
      <c r="RO1053" s="31"/>
      <c r="RP1053" s="31"/>
      <c r="RQ1053" s="31"/>
      <c r="RR1053" s="31"/>
      <c r="RS1053" s="31"/>
      <c r="RT1053" s="31"/>
      <c r="RU1053" s="31"/>
      <c r="RV1053" s="31"/>
      <c r="RW1053" s="31"/>
      <c r="RX1053" s="31"/>
      <c r="RY1053" s="31"/>
      <c r="RZ1053" s="31"/>
      <c r="SA1053" s="31"/>
      <c r="SB1053" s="31"/>
      <c r="SC1053" s="31"/>
      <c r="SD1053" s="31"/>
      <c r="SE1053" s="31"/>
      <c r="SF1053" s="31"/>
      <c r="SG1053" s="31"/>
      <c r="SH1053" s="31"/>
      <c r="SI1053" s="31"/>
      <c r="SJ1053" s="31"/>
      <c r="SK1053" s="31"/>
      <c r="SL1053" s="31"/>
      <c r="SM1053" s="31"/>
      <c r="SN1053" s="31"/>
      <c r="SO1053" s="31"/>
      <c r="SP1053" s="31"/>
      <c r="SQ1053" s="31"/>
      <c r="SR1053" s="31"/>
      <c r="SS1053" s="31"/>
      <c r="ST1053" s="31"/>
      <c r="SU1053" s="31"/>
      <c r="SV1053" s="31"/>
      <c r="SW1053" s="31"/>
      <c r="SX1053" s="31"/>
      <c r="SY1053" s="31"/>
      <c r="SZ1053" s="31"/>
      <c r="TA1053" s="31"/>
      <c r="TB1053" s="31"/>
      <c r="TC1053" s="31"/>
      <c r="TD1053" s="31"/>
      <c r="TE1053" s="31"/>
      <c r="TF1053" s="31"/>
      <c r="TG1053" s="31"/>
      <c r="TH1053" s="31"/>
      <c r="TI1053" s="31"/>
      <c r="TJ1053" s="31"/>
      <c r="TK1053" s="31"/>
      <c r="TL1053" s="31"/>
      <c r="TM1053" s="31"/>
      <c r="TN1053" s="31"/>
      <c r="TO1053" s="31"/>
      <c r="TP1053" s="31"/>
      <c r="TQ1053" s="31"/>
      <c r="TR1053" s="31"/>
      <c r="TS1053" s="31"/>
      <c r="TT1053" s="31"/>
      <c r="TU1053" s="31"/>
      <c r="TV1053" s="31"/>
      <c r="TW1053" s="31"/>
      <c r="TX1053" s="31"/>
      <c r="TY1053" s="31"/>
      <c r="TZ1053" s="31"/>
      <c r="UA1053" s="31"/>
      <c r="UB1053" s="31"/>
      <c r="UC1053" s="31"/>
      <c r="UD1053" s="31"/>
      <c r="UE1053" s="31"/>
      <c r="UF1053" s="31"/>
      <c r="UG1053" s="33"/>
    </row>
    <row r="1054" spans="1:553" ht="45" customHeight="1">
      <c r="A1054" s="356"/>
      <c r="B1054" s="385"/>
      <c r="C1054" s="384" t="str">
        <f t="shared" si="156"/>
        <v>Đất trồng lúa còn lại (LUK)</v>
      </c>
      <c r="D1054" s="376" t="str">
        <f t="shared" si="156"/>
        <v>2</v>
      </c>
      <c r="E1054" s="376" t="str">
        <f t="shared" si="156"/>
        <v>411</v>
      </c>
      <c r="F1054" s="385"/>
      <c r="G1054" s="386" t="s">
        <v>935</v>
      </c>
      <c r="H1054" s="370"/>
      <c r="I1054" s="422">
        <f>I984</f>
        <v>121</v>
      </c>
      <c r="J1054" s="368">
        <v>62000</v>
      </c>
      <c r="K1054" s="479">
        <v>2.5</v>
      </c>
      <c r="L1054" s="391">
        <f t="shared" si="155"/>
        <v>18755000</v>
      </c>
      <c r="M1054" s="366"/>
      <c r="N1054" s="366"/>
      <c r="O1054" s="366"/>
      <c r="P1054" s="366"/>
      <c r="Q1054" s="812"/>
      <c r="R1054" s="1226"/>
      <c r="S1054" s="308"/>
      <c r="T1054" s="308"/>
      <c r="U1054" s="308"/>
      <c r="V1054" s="308"/>
      <c r="W1054" s="308"/>
      <c r="X1054" s="308"/>
      <c r="Y1054" s="308"/>
      <c r="Z1054" s="604"/>
      <c r="AA1054" s="308"/>
      <c r="AB1054" s="308"/>
      <c r="AC1054" s="449"/>
      <c r="AD1054" s="449"/>
      <c r="AE1054" s="449"/>
      <c r="AF1054" s="449"/>
      <c r="AG1054" s="449"/>
      <c r="AH1054" s="449"/>
      <c r="AI1054" s="449"/>
      <c r="AJ1054" s="449"/>
      <c r="AK1054" s="452"/>
      <c r="AL1054" s="104"/>
      <c r="AM1054" s="32"/>
      <c r="AN1054" s="32"/>
      <c r="AO1054" s="32"/>
      <c r="AP1054" s="32"/>
      <c r="AQ1054" s="32"/>
      <c r="AR1054" s="32"/>
      <c r="AS1054" s="31"/>
      <c r="AT1054" s="31"/>
      <c r="AU1054" s="31"/>
      <c r="AV1054" s="31"/>
      <c r="AW1054" s="31"/>
      <c r="AX1054" s="31"/>
      <c r="AY1054" s="31"/>
      <c r="AZ1054" s="31"/>
      <c r="BA1054" s="31"/>
      <c r="BB1054" s="31"/>
      <c r="BC1054" s="31"/>
      <c r="BD1054" s="31"/>
      <c r="BE1054" s="31"/>
      <c r="BF1054" s="31"/>
      <c r="BG1054" s="31"/>
      <c r="BH1054" s="31"/>
      <c r="BI1054" s="31"/>
      <c r="BJ1054" s="31"/>
      <c r="BK1054" s="31"/>
      <c r="BL1054" s="31"/>
      <c r="BM1054" s="31"/>
      <c r="BN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c r="CT1054" s="31"/>
      <c r="CU1054" s="31"/>
      <c r="CV1054" s="31"/>
      <c r="CW1054" s="31"/>
      <c r="CX1054" s="31"/>
      <c r="CY1054" s="31"/>
      <c r="CZ1054" s="31"/>
      <c r="DA1054" s="31"/>
      <c r="DB1054" s="31"/>
      <c r="DC1054" s="31"/>
      <c r="DD1054" s="31"/>
      <c r="DE1054" s="31"/>
      <c r="DF1054" s="31"/>
      <c r="DG1054" s="31"/>
      <c r="DH1054" s="31"/>
      <c r="DI1054" s="31"/>
      <c r="DJ1054" s="31"/>
      <c r="DK1054" s="31"/>
      <c r="DL1054" s="31"/>
      <c r="DM1054" s="31"/>
      <c r="DN1054" s="31"/>
      <c r="DO1054" s="31"/>
      <c r="DP1054" s="31"/>
      <c r="DQ1054" s="31"/>
      <c r="DR1054" s="31"/>
      <c r="DS1054" s="31"/>
      <c r="DT1054" s="31"/>
      <c r="DU1054" s="31"/>
      <c r="DV1054" s="31"/>
      <c r="DW1054" s="31"/>
      <c r="DX1054" s="31"/>
      <c r="DY1054" s="31"/>
      <c r="DZ1054" s="31"/>
      <c r="EA1054" s="31"/>
      <c r="EB1054" s="31"/>
      <c r="EC1054" s="31"/>
      <c r="ED1054" s="31"/>
      <c r="EE1054" s="31"/>
      <c r="EF1054" s="31"/>
      <c r="EG1054" s="31"/>
      <c r="EH1054" s="31"/>
      <c r="EI1054" s="31"/>
      <c r="EJ1054" s="31"/>
      <c r="EK1054" s="31"/>
      <c r="EL1054" s="31"/>
      <c r="EM1054" s="31"/>
      <c r="EN1054" s="31"/>
      <c r="EO1054" s="31"/>
      <c r="EP1054" s="31"/>
      <c r="EQ1054" s="31"/>
      <c r="ER1054" s="31"/>
      <c r="ES1054" s="31"/>
      <c r="ET1054" s="31"/>
      <c r="EU1054" s="31"/>
      <c r="EV1054" s="31"/>
      <c r="EW1054" s="31"/>
      <c r="EX1054" s="31"/>
      <c r="EY1054" s="31"/>
      <c r="EZ1054" s="31"/>
      <c r="FA1054" s="31"/>
      <c r="FB1054" s="31"/>
      <c r="FC1054" s="31"/>
      <c r="FD1054" s="31"/>
      <c r="FE1054" s="31"/>
      <c r="FF1054" s="31"/>
      <c r="FG1054" s="31"/>
      <c r="FH1054" s="31"/>
      <c r="FI1054" s="31"/>
      <c r="FJ1054" s="31"/>
      <c r="FK1054" s="31"/>
      <c r="FL1054" s="31"/>
      <c r="FM1054" s="31"/>
      <c r="FN1054" s="31"/>
      <c r="FO1054" s="31"/>
      <c r="FP1054" s="31"/>
      <c r="FQ1054" s="31"/>
      <c r="FR1054" s="31"/>
      <c r="FS1054" s="31"/>
      <c r="FT1054" s="31"/>
      <c r="FU1054" s="31"/>
      <c r="FV1054" s="31"/>
      <c r="FW1054" s="31"/>
      <c r="FX1054" s="31"/>
      <c r="FY1054" s="31"/>
      <c r="FZ1054" s="31"/>
      <c r="GA1054" s="31"/>
      <c r="GB1054" s="31"/>
      <c r="GC1054" s="31"/>
      <c r="GD1054" s="31"/>
      <c r="GE1054" s="31"/>
      <c r="GF1054" s="31"/>
      <c r="GG1054" s="31"/>
      <c r="GH1054" s="31"/>
      <c r="GI1054" s="31"/>
      <c r="GJ1054" s="31"/>
      <c r="GK1054" s="31"/>
      <c r="GL1054" s="31"/>
      <c r="GM1054" s="31"/>
      <c r="GN1054" s="31"/>
      <c r="GO1054" s="31"/>
      <c r="GP1054" s="31"/>
      <c r="GQ1054" s="31"/>
      <c r="GR1054" s="31"/>
      <c r="GS1054" s="31"/>
      <c r="GT1054" s="31"/>
      <c r="GU1054" s="31"/>
      <c r="GV1054" s="31"/>
      <c r="GW1054" s="31"/>
      <c r="GX1054" s="31"/>
      <c r="GY1054" s="31"/>
      <c r="GZ1054" s="31"/>
      <c r="HA1054" s="31"/>
      <c r="HB1054" s="31"/>
      <c r="HC1054" s="31"/>
      <c r="HD1054" s="31"/>
      <c r="HE1054" s="31"/>
      <c r="HF1054" s="31"/>
      <c r="HG1054" s="31"/>
      <c r="HH1054" s="31"/>
      <c r="HI1054" s="31"/>
      <c r="HJ1054" s="31"/>
      <c r="HK1054" s="31"/>
      <c r="HL1054" s="31"/>
      <c r="HM1054" s="31"/>
      <c r="HN1054" s="31"/>
      <c r="HO1054" s="31"/>
      <c r="HP1054" s="31"/>
      <c r="HQ1054" s="31"/>
      <c r="HR1054" s="31"/>
      <c r="HS1054" s="31"/>
      <c r="HT1054" s="31"/>
      <c r="HU1054" s="31"/>
      <c r="HV1054" s="31"/>
      <c r="HW1054" s="31"/>
      <c r="HX1054" s="31"/>
      <c r="HY1054" s="31"/>
      <c r="HZ1054" s="31"/>
      <c r="IA1054" s="31"/>
      <c r="IB1054" s="31"/>
      <c r="IC1054" s="31"/>
      <c r="ID1054" s="31"/>
      <c r="IE1054" s="31"/>
      <c r="IF1054" s="31"/>
      <c r="IG1054" s="31"/>
      <c r="IH1054" s="31"/>
      <c r="II1054" s="31"/>
      <c r="IJ1054" s="31"/>
      <c r="IK1054" s="31"/>
      <c r="IL1054" s="31"/>
      <c r="IM1054" s="31"/>
      <c r="IN1054" s="31"/>
      <c r="IO1054" s="31"/>
      <c r="IP1054" s="31"/>
      <c r="IQ1054" s="31"/>
      <c r="IR1054" s="31"/>
      <c r="IS1054" s="31"/>
      <c r="IT1054" s="31"/>
      <c r="IU1054" s="31"/>
      <c r="IV1054" s="31"/>
      <c r="IW1054" s="31"/>
      <c r="IX1054" s="31"/>
      <c r="IY1054" s="31"/>
      <c r="IZ1054" s="31"/>
      <c r="JA1054" s="31"/>
      <c r="JB1054" s="31"/>
      <c r="JC1054" s="31"/>
      <c r="JD1054" s="31"/>
      <c r="JE1054" s="31"/>
      <c r="JF1054" s="31"/>
      <c r="JG1054" s="31"/>
      <c r="JH1054" s="31"/>
      <c r="JI1054" s="31"/>
      <c r="JJ1054" s="31"/>
      <c r="JK1054" s="31"/>
      <c r="JL1054" s="31"/>
      <c r="JM1054" s="31"/>
      <c r="JN1054" s="31"/>
      <c r="JO1054" s="31"/>
      <c r="JP1054" s="31"/>
      <c r="JQ1054" s="31"/>
      <c r="JR1054" s="31"/>
      <c r="JS1054" s="31"/>
      <c r="JT1054" s="31"/>
      <c r="JU1054" s="31"/>
      <c r="JV1054" s="31"/>
      <c r="JW1054" s="31"/>
      <c r="JX1054" s="31"/>
      <c r="JY1054" s="31"/>
      <c r="JZ1054" s="31"/>
      <c r="KA1054" s="31"/>
      <c r="KB1054" s="31"/>
      <c r="KC1054" s="31"/>
      <c r="KD1054" s="31"/>
      <c r="KE1054" s="31"/>
      <c r="KF1054" s="31"/>
      <c r="KG1054" s="31"/>
      <c r="KH1054" s="31"/>
      <c r="KI1054" s="31"/>
      <c r="KJ1054" s="31"/>
      <c r="KK1054" s="31"/>
      <c r="KL1054" s="31"/>
      <c r="KM1054" s="31"/>
      <c r="KN1054" s="31"/>
      <c r="KO1054" s="31"/>
      <c r="KP1054" s="31"/>
      <c r="KQ1054" s="31"/>
      <c r="KR1054" s="31"/>
      <c r="KS1054" s="31"/>
      <c r="KT1054" s="31"/>
      <c r="KU1054" s="31"/>
      <c r="KV1054" s="31"/>
      <c r="KW1054" s="31"/>
      <c r="KX1054" s="31"/>
      <c r="KY1054" s="31"/>
      <c r="KZ1054" s="31"/>
      <c r="LA1054" s="31"/>
      <c r="LB1054" s="31"/>
      <c r="LC1054" s="31"/>
      <c r="LD1054" s="31"/>
      <c r="LE1054" s="31"/>
      <c r="LF1054" s="31"/>
      <c r="LG1054" s="31"/>
      <c r="LH1054" s="31"/>
      <c r="LI1054" s="31"/>
      <c r="LJ1054" s="31"/>
      <c r="LK1054" s="31"/>
      <c r="LL1054" s="31"/>
      <c r="LM1054" s="31"/>
      <c r="LN1054" s="31"/>
      <c r="LO1054" s="31"/>
      <c r="LP1054" s="31"/>
      <c r="LQ1054" s="31"/>
      <c r="LR1054" s="31"/>
      <c r="LS1054" s="31"/>
      <c r="LT1054" s="31"/>
      <c r="LU1054" s="31"/>
      <c r="LV1054" s="31"/>
      <c r="LW1054" s="31"/>
      <c r="LX1054" s="31"/>
      <c r="LY1054" s="31"/>
      <c r="LZ1054" s="31"/>
      <c r="MA1054" s="31"/>
      <c r="MB1054" s="31"/>
      <c r="MC1054" s="31"/>
      <c r="MD1054" s="31"/>
      <c r="ME1054" s="31"/>
      <c r="MF1054" s="31"/>
      <c r="MG1054" s="31"/>
      <c r="MH1054" s="31"/>
      <c r="MI1054" s="31"/>
      <c r="MJ1054" s="31"/>
      <c r="MK1054" s="31"/>
      <c r="ML1054" s="31"/>
      <c r="MM1054" s="31"/>
      <c r="MN1054" s="31"/>
      <c r="MO1054" s="31"/>
      <c r="MP1054" s="31"/>
      <c r="MQ1054" s="31"/>
      <c r="MR1054" s="31"/>
      <c r="MS1054" s="31"/>
      <c r="MT1054" s="31"/>
      <c r="MU1054" s="31"/>
      <c r="MV1054" s="31"/>
      <c r="MW1054" s="31"/>
      <c r="MX1054" s="31"/>
      <c r="MY1054" s="31"/>
      <c r="MZ1054" s="31"/>
      <c r="NA1054" s="31"/>
      <c r="NB1054" s="31"/>
      <c r="NC1054" s="31"/>
      <c r="ND1054" s="31"/>
      <c r="NE1054" s="31"/>
      <c r="NF1054" s="31"/>
      <c r="NG1054" s="31"/>
      <c r="NH1054" s="31"/>
      <c r="NI1054" s="31"/>
      <c r="NJ1054" s="31"/>
      <c r="NK1054" s="31"/>
      <c r="NL1054" s="31"/>
      <c r="NM1054" s="31"/>
      <c r="NN1054" s="31"/>
      <c r="NO1054" s="31"/>
      <c r="NP1054" s="31"/>
      <c r="NQ1054" s="31"/>
      <c r="NR1054" s="31"/>
      <c r="NS1054" s="31"/>
      <c r="NT1054" s="31"/>
      <c r="NU1054" s="31"/>
      <c r="NV1054" s="31"/>
      <c r="NW1054" s="31"/>
      <c r="NX1054" s="31"/>
      <c r="NY1054" s="31"/>
      <c r="NZ1054" s="31"/>
      <c r="OA1054" s="31"/>
      <c r="OB1054" s="31"/>
      <c r="OC1054" s="31"/>
      <c r="OD1054" s="31"/>
      <c r="OE1054" s="31"/>
      <c r="OF1054" s="31"/>
      <c r="OG1054" s="31"/>
      <c r="OH1054" s="31"/>
      <c r="OI1054" s="31"/>
      <c r="OJ1054" s="31"/>
      <c r="OK1054" s="31"/>
      <c r="OL1054" s="31"/>
      <c r="OM1054" s="31"/>
      <c r="ON1054" s="31"/>
      <c r="OO1054" s="31"/>
      <c r="OP1054" s="31"/>
      <c r="OQ1054" s="31"/>
      <c r="OR1054" s="31"/>
      <c r="OS1054" s="31"/>
      <c r="OT1054" s="31"/>
      <c r="OU1054" s="31"/>
      <c r="OV1054" s="31"/>
      <c r="OW1054" s="31"/>
      <c r="OX1054" s="31"/>
      <c r="OY1054" s="31"/>
      <c r="OZ1054" s="31"/>
      <c r="PA1054" s="31"/>
      <c r="PB1054" s="31"/>
      <c r="PC1054" s="31"/>
      <c r="PD1054" s="31"/>
      <c r="PE1054" s="31"/>
      <c r="PF1054" s="31"/>
      <c r="PG1054" s="31"/>
      <c r="PH1054" s="31"/>
      <c r="PI1054" s="31"/>
      <c r="PJ1054" s="31"/>
      <c r="PK1054" s="31"/>
      <c r="PL1054" s="31"/>
      <c r="PM1054" s="31"/>
      <c r="PN1054" s="31"/>
      <c r="PO1054" s="31"/>
      <c r="PP1054" s="31"/>
      <c r="PQ1054" s="31"/>
      <c r="PR1054" s="31"/>
      <c r="PS1054" s="31"/>
      <c r="PT1054" s="31"/>
      <c r="PU1054" s="31"/>
      <c r="PV1054" s="31"/>
      <c r="PW1054" s="31"/>
      <c r="PX1054" s="31"/>
      <c r="PY1054" s="31"/>
      <c r="PZ1054" s="31"/>
      <c r="QA1054" s="31"/>
      <c r="QB1054" s="31"/>
      <c r="QC1054" s="31"/>
      <c r="QD1054" s="31"/>
      <c r="QE1054" s="31"/>
      <c r="QF1054" s="31"/>
      <c r="QG1054" s="31"/>
      <c r="QH1054" s="31"/>
      <c r="QI1054" s="31"/>
      <c r="QJ1054" s="31"/>
      <c r="QK1054" s="31"/>
      <c r="QL1054" s="31"/>
      <c r="QM1054" s="31"/>
      <c r="QN1054" s="31"/>
      <c r="QO1054" s="31"/>
      <c r="QP1054" s="31"/>
      <c r="QQ1054" s="31"/>
      <c r="QR1054" s="31"/>
      <c r="QS1054" s="31"/>
      <c r="QT1054" s="31"/>
      <c r="QU1054" s="31"/>
      <c r="QV1054" s="31"/>
      <c r="QW1054" s="31"/>
      <c r="QX1054" s="31"/>
      <c r="QY1054" s="31"/>
      <c r="QZ1054" s="31"/>
      <c r="RA1054" s="31"/>
      <c r="RB1054" s="31"/>
      <c r="RC1054" s="31"/>
      <c r="RD1054" s="31"/>
      <c r="RE1054" s="31"/>
      <c r="RF1054" s="31"/>
      <c r="RG1054" s="31"/>
      <c r="RH1054" s="31"/>
      <c r="RI1054" s="31"/>
      <c r="RJ1054" s="31"/>
      <c r="RK1054" s="31"/>
      <c r="RL1054" s="31"/>
      <c r="RM1054" s="31"/>
      <c r="RN1054" s="31"/>
      <c r="RO1054" s="31"/>
      <c r="RP1054" s="31"/>
      <c r="RQ1054" s="31"/>
      <c r="RR1054" s="31"/>
      <c r="RS1054" s="31"/>
      <c r="RT1054" s="31"/>
      <c r="RU1054" s="31"/>
      <c r="RV1054" s="31"/>
      <c r="RW1054" s="31"/>
      <c r="RX1054" s="31"/>
      <c r="RY1054" s="31"/>
      <c r="RZ1054" s="31"/>
      <c r="SA1054" s="31"/>
      <c r="SB1054" s="31"/>
      <c r="SC1054" s="31"/>
      <c r="SD1054" s="31"/>
      <c r="SE1054" s="31"/>
      <c r="SF1054" s="31"/>
      <c r="SG1054" s="31"/>
      <c r="SH1054" s="31"/>
      <c r="SI1054" s="31"/>
      <c r="SJ1054" s="31"/>
      <c r="SK1054" s="31"/>
      <c r="SL1054" s="31"/>
      <c r="SM1054" s="31"/>
      <c r="SN1054" s="31"/>
      <c r="SO1054" s="31"/>
      <c r="SP1054" s="31"/>
      <c r="SQ1054" s="31"/>
      <c r="SR1054" s="31"/>
      <c r="SS1054" s="31"/>
      <c r="ST1054" s="31"/>
      <c r="SU1054" s="31"/>
      <c r="SV1054" s="31"/>
      <c r="SW1054" s="31"/>
      <c r="SX1054" s="31"/>
      <c r="SY1054" s="31"/>
      <c r="SZ1054" s="31"/>
      <c r="TA1054" s="31"/>
      <c r="TB1054" s="31"/>
      <c r="TC1054" s="31"/>
      <c r="TD1054" s="31"/>
      <c r="TE1054" s="31"/>
      <c r="TF1054" s="31"/>
      <c r="TG1054" s="31"/>
      <c r="TH1054" s="31"/>
      <c r="TI1054" s="31"/>
      <c r="TJ1054" s="31"/>
      <c r="TK1054" s="31"/>
      <c r="TL1054" s="31"/>
      <c r="TM1054" s="31"/>
      <c r="TN1054" s="31"/>
      <c r="TO1054" s="31"/>
      <c r="TP1054" s="31"/>
      <c r="TQ1054" s="31"/>
      <c r="TR1054" s="31"/>
      <c r="TS1054" s="31"/>
      <c r="TT1054" s="31"/>
      <c r="TU1054" s="31"/>
      <c r="TV1054" s="31"/>
      <c r="TW1054" s="31"/>
      <c r="TX1054" s="31"/>
      <c r="TY1054" s="31"/>
      <c r="TZ1054" s="31"/>
      <c r="UA1054" s="31"/>
      <c r="UB1054" s="31"/>
      <c r="UC1054" s="31"/>
      <c r="UD1054" s="31"/>
      <c r="UE1054" s="31"/>
      <c r="UF1054" s="31"/>
      <c r="UG1054" s="33"/>
    </row>
    <row r="1055" spans="1:553" ht="45" customHeight="1">
      <c r="A1055" s="356"/>
      <c r="B1055" s="385"/>
      <c r="C1055" s="384" t="str">
        <f t="shared" si="156"/>
        <v>Đất trồng lúa còn lại (LUK)</v>
      </c>
      <c r="D1055" s="376" t="str">
        <f t="shared" si="156"/>
        <v>2</v>
      </c>
      <c r="E1055" s="376" t="str">
        <f t="shared" si="156"/>
        <v>416</v>
      </c>
      <c r="F1055" s="385"/>
      <c r="G1055" s="386" t="s">
        <v>935</v>
      </c>
      <c r="H1055" s="370"/>
      <c r="I1055" s="422">
        <f>I985</f>
        <v>646.5</v>
      </c>
      <c r="J1055" s="368">
        <v>62000</v>
      </c>
      <c r="K1055" s="479">
        <v>2.5</v>
      </c>
      <c r="L1055" s="391">
        <f t="shared" si="155"/>
        <v>100207500</v>
      </c>
      <c r="M1055" s="366"/>
      <c r="N1055" s="366"/>
      <c r="O1055" s="366"/>
      <c r="P1055" s="366"/>
      <c r="Q1055" s="812"/>
      <c r="R1055" s="1226"/>
      <c r="S1055" s="308"/>
      <c r="T1055" s="308"/>
      <c r="U1055" s="308"/>
      <c r="V1055" s="308"/>
      <c r="W1055" s="308"/>
      <c r="X1055" s="308"/>
      <c r="Y1055" s="308"/>
      <c r="Z1055" s="604"/>
      <c r="AA1055" s="308"/>
      <c r="AB1055" s="308"/>
      <c r="AC1055" s="449"/>
      <c r="AD1055" s="449"/>
      <c r="AE1055" s="449"/>
      <c r="AF1055" s="449"/>
      <c r="AG1055" s="449"/>
      <c r="AH1055" s="449"/>
      <c r="AI1055" s="449"/>
      <c r="AJ1055" s="449"/>
      <c r="AK1055" s="452"/>
      <c r="AL1055" s="104"/>
      <c r="AM1055" s="32"/>
      <c r="AN1055" s="32"/>
      <c r="AO1055" s="32"/>
      <c r="AP1055" s="32"/>
      <c r="AQ1055" s="32"/>
      <c r="AR1055" s="32"/>
      <c r="AS1055" s="31"/>
      <c r="AT1055" s="31"/>
      <c r="AU1055" s="31"/>
      <c r="AV1055" s="31"/>
      <c r="AW1055" s="31"/>
      <c r="AX1055" s="31"/>
      <c r="AY1055" s="31"/>
      <c r="AZ1055" s="31"/>
      <c r="BA1055" s="31"/>
      <c r="BB1055" s="31"/>
      <c r="BC1055" s="31"/>
      <c r="BD1055" s="31"/>
      <c r="BE1055" s="31"/>
      <c r="BF1055" s="31"/>
      <c r="BG1055" s="31"/>
      <c r="BH1055" s="31"/>
      <c r="BI1055" s="31"/>
      <c r="BJ1055" s="31"/>
      <c r="BK1055" s="31"/>
      <c r="BL1055" s="31"/>
      <c r="BM1055" s="31"/>
      <c r="BN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c r="CT1055" s="31"/>
      <c r="CU1055" s="31"/>
      <c r="CV1055" s="31"/>
      <c r="CW1055" s="31"/>
      <c r="CX1055" s="31"/>
      <c r="CY1055" s="31"/>
      <c r="CZ1055" s="31"/>
      <c r="DA1055" s="31"/>
      <c r="DB1055" s="31"/>
      <c r="DC1055" s="31"/>
      <c r="DD1055" s="31"/>
      <c r="DE1055" s="31"/>
      <c r="DF1055" s="31"/>
      <c r="DG1055" s="31"/>
      <c r="DH1055" s="31"/>
      <c r="DI1055" s="31"/>
      <c r="DJ1055" s="31"/>
      <c r="DK1055" s="31"/>
      <c r="DL1055" s="31"/>
      <c r="DM1055" s="31"/>
      <c r="DN1055" s="31"/>
      <c r="DO1055" s="31"/>
      <c r="DP1055" s="31"/>
      <c r="DQ1055" s="31"/>
      <c r="DR1055" s="31"/>
      <c r="DS1055" s="31"/>
      <c r="DT1055" s="31"/>
      <c r="DU1055" s="31"/>
      <c r="DV1055" s="31"/>
      <c r="DW1055" s="31"/>
      <c r="DX1055" s="31"/>
      <c r="DY1055" s="31"/>
      <c r="DZ1055" s="31"/>
      <c r="EA1055" s="31"/>
      <c r="EB1055" s="31"/>
      <c r="EC1055" s="31"/>
      <c r="ED1055" s="31"/>
      <c r="EE1055" s="31"/>
      <c r="EF1055" s="31"/>
      <c r="EG1055" s="31"/>
      <c r="EH1055" s="31"/>
      <c r="EI1055" s="31"/>
      <c r="EJ1055" s="31"/>
      <c r="EK1055" s="31"/>
      <c r="EL1055" s="31"/>
      <c r="EM1055" s="31"/>
      <c r="EN1055" s="31"/>
      <c r="EO1055" s="31"/>
      <c r="EP1055" s="31"/>
      <c r="EQ1055" s="31"/>
      <c r="ER1055" s="31"/>
      <c r="ES1055" s="31"/>
      <c r="ET1055" s="31"/>
      <c r="EU1055" s="31"/>
      <c r="EV1055" s="31"/>
      <c r="EW1055" s="31"/>
      <c r="EX1055" s="31"/>
      <c r="EY1055" s="31"/>
      <c r="EZ1055" s="31"/>
      <c r="FA1055" s="31"/>
      <c r="FB1055" s="31"/>
      <c r="FC1055" s="31"/>
      <c r="FD1055" s="31"/>
      <c r="FE1055" s="31"/>
      <c r="FF1055" s="31"/>
      <c r="FG1055" s="31"/>
      <c r="FH1055" s="31"/>
      <c r="FI1055" s="31"/>
      <c r="FJ1055" s="31"/>
      <c r="FK1055" s="31"/>
      <c r="FL1055" s="31"/>
      <c r="FM1055" s="31"/>
      <c r="FN1055" s="31"/>
      <c r="FO1055" s="31"/>
      <c r="FP1055" s="31"/>
      <c r="FQ1055" s="31"/>
      <c r="FR1055" s="31"/>
      <c r="FS1055" s="31"/>
      <c r="FT1055" s="31"/>
      <c r="FU1055" s="31"/>
      <c r="FV1055" s="31"/>
      <c r="FW1055" s="31"/>
      <c r="FX1055" s="31"/>
      <c r="FY1055" s="31"/>
      <c r="FZ1055" s="31"/>
      <c r="GA1055" s="31"/>
      <c r="GB1055" s="31"/>
      <c r="GC1055" s="31"/>
      <c r="GD1055" s="31"/>
      <c r="GE1055" s="31"/>
      <c r="GF1055" s="31"/>
      <c r="GG1055" s="31"/>
      <c r="GH1055" s="31"/>
      <c r="GI1055" s="31"/>
      <c r="GJ1055" s="31"/>
      <c r="GK1055" s="31"/>
      <c r="GL1055" s="31"/>
      <c r="GM1055" s="31"/>
      <c r="GN1055" s="31"/>
      <c r="GO1055" s="31"/>
      <c r="GP1055" s="31"/>
      <c r="GQ1055" s="31"/>
      <c r="GR1055" s="31"/>
      <c r="GS1055" s="31"/>
      <c r="GT1055" s="31"/>
      <c r="GU1055" s="31"/>
      <c r="GV1055" s="31"/>
      <c r="GW1055" s="31"/>
      <c r="GX1055" s="31"/>
      <c r="GY1055" s="31"/>
      <c r="GZ1055" s="31"/>
      <c r="HA1055" s="31"/>
      <c r="HB1055" s="31"/>
      <c r="HC1055" s="31"/>
      <c r="HD1055" s="31"/>
      <c r="HE1055" s="31"/>
      <c r="HF1055" s="31"/>
      <c r="HG1055" s="31"/>
      <c r="HH1055" s="31"/>
      <c r="HI1055" s="31"/>
      <c r="HJ1055" s="31"/>
      <c r="HK1055" s="31"/>
      <c r="HL1055" s="31"/>
      <c r="HM1055" s="31"/>
      <c r="HN1055" s="31"/>
      <c r="HO1055" s="31"/>
      <c r="HP1055" s="31"/>
      <c r="HQ1055" s="31"/>
      <c r="HR1055" s="31"/>
      <c r="HS1055" s="31"/>
      <c r="HT1055" s="31"/>
      <c r="HU1055" s="31"/>
      <c r="HV1055" s="31"/>
      <c r="HW1055" s="31"/>
      <c r="HX1055" s="31"/>
      <c r="HY1055" s="31"/>
      <c r="HZ1055" s="31"/>
      <c r="IA1055" s="31"/>
      <c r="IB1055" s="31"/>
      <c r="IC1055" s="31"/>
      <c r="ID1055" s="31"/>
      <c r="IE1055" s="31"/>
      <c r="IF1055" s="31"/>
      <c r="IG1055" s="31"/>
      <c r="IH1055" s="31"/>
      <c r="II1055" s="31"/>
      <c r="IJ1055" s="31"/>
      <c r="IK1055" s="31"/>
      <c r="IL1055" s="31"/>
      <c r="IM1055" s="31"/>
      <c r="IN1055" s="31"/>
      <c r="IO1055" s="31"/>
      <c r="IP1055" s="31"/>
      <c r="IQ1055" s="31"/>
      <c r="IR1055" s="31"/>
      <c r="IS1055" s="31"/>
      <c r="IT1055" s="31"/>
      <c r="IU1055" s="31"/>
      <c r="IV1055" s="31"/>
      <c r="IW1055" s="31"/>
      <c r="IX1055" s="31"/>
      <c r="IY1055" s="31"/>
      <c r="IZ1055" s="31"/>
      <c r="JA1055" s="31"/>
      <c r="JB1055" s="31"/>
      <c r="JC1055" s="31"/>
      <c r="JD1055" s="31"/>
      <c r="JE1055" s="31"/>
      <c r="JF1055" s="31"/>
      <c r="JG1055" s="31"/>
      <c r="JH1055" s="31"/>
      <c r="JI1055" s="31"/>
      <c r="JJ1055" s="31"/>
      <c r="JK1055" s="31"/>
      <c r="JL1055" s="31"/>
      <c r="JM1055" s="31"/>
      <c r="JN1055" s="31"/>
      <c r="JO1055" s="31"/>
      <c r="JP1055" s="31"/>
      <c r="JQ1055" s="31"/>
      <c r="JR1055" s="31"/>
      <c r="JS1055" s="31"/>
      <c r="JT1055" s="31"/>
      <c r="JU1055" s="31"/>
      <c r="JV1055" s="31"/>
      <c r="JW1055" s="31"/>
      <c r="JX1055" s="31"/>
      <c r="JY1055" s="31"/>
      <c r="JZ1055" s="31"/>
      <c r="KA1055" s="31"/>
      <c r="KB1055" s="31"/>
      <c r="KC1055" s="31"/>
      <c r="KD1055" s="31"/>
      <c r="KE1055" s="31"/>
      <c r="KF1055" s="31"/>
      <c r="KG1055" s="31"/>
      <c r="KH1055" s="31"/>
      <c r="KI1055" s="31"/>
      <c r="KJ1055" s="31"/>
      <c r="KK1055" s="31"/>
      <c r="KL1055" s="31"/>
      <c r="KM1055" s="31"/>
      <c r="KN1055" s="31"/>
      <c r="KO1055" s="31"/>
      <c r="KP1055" s="31"/>
      <c r="KQ1055" s="31"/>
      <c r="KR1055" s="31"/>
      <c r="KS1055" s="31"/>
      <c r="KT1055" s="31"/>
      <c r="KU1055" s="31"/>
      <c r="KV1055" s="31"/>
      <c r="KW1055" s="31"/>
      <c r="KX1055" s="31"/>
      <c r="KY1055" s="31"/>
      <c r="KZ1055" s="31"/>
      <c r="LA1055" s="31"/>
      <c r="LB1055" s="31"/>
      <c r="LC1055" s="31"/>
      <c r="LD1055" s="31"/>
      <c r="LE1055" s="31"/>
      <c r="LF1055" s="31"/>
      <c r="LG1055" s="31"/>
      <c r="LH1055" s="31"/>
      <c r="LI1055" s="31"/>
      <c r="LJ1055" s="31"/>
      <c r="LK1055" s="31"/>
      <c r="LL1055" s="31"/>
      <c r="LM1055" s="31"/>
      <c r="LN1055" s="31"/>
      <c r="LO1055" s="31"/>
      <c r="LP1055" s="31"/>
      <c r="LQ1055" s="31"/>
      <c r="LR1055" s="31"/>
      <c r="LS1055" s="31"/>
      <c r="LT1055" s="31"/>
      <c r="LU1055" s="31"/>
      <c r="LV1055" s="31"/>
      <c r="LW1055" s="31"/>
      <c r="LX1055" s="31"/>
      <c r="LY1055" s="31"/>
      <c r="LZ1055" s="31"/>
      <c r="MA1055" s="31"/>
      <c r="MB1055" s="31"/>
      <c r="MC1055" s="31"/>
      <c r="MD1055" s="31"/>
      <c r="ME1055" s="31"/>
      <c r="MF1055" s="31"/>
      <c r="MG1055" s="31"/>
      <c r="MH1055" s="31"/>
      <c r="MI1055" s="31"/>
      <c r="MJ1055" s="31"/>
      <c r="MK1055" s="31"/>
      <c r="ML1055" s="31"/>
      <c r="MM1055" s="31"/>
      <c r="MN1055" s="31"/>
      <c r="MO1055" s="31"/>
      <c r="MP1055" s="31"/>
      <c r="MQ1055" s="31"/>
      <c r="MR1055" s="31"/>
      <c r="MS1055" s="31"/>
      <c r="MT1055" s="31"/>
      <c r="MU1055" s="31"/>
      <c r="MV1055" s="31"/>
      <c r="MW1055" s="31"/>
      <c r="MX1055" s="31"/>
      <c r="MY1055" s="31"/>
      <c r="MZ1055" s="31"/>
      <c r="NA1055" s="31"/>
      <c r="NB1055" s="31"/>
      <c r="NC1055" s="31"/>
      <c r="ND1055" s="31"/>
      <c r="NE1055" s="31"/>
      <c r="NF1055" s="31"/>
      <c r="NG1055" s="31"/>
      <c r="NH1055" s="31"/>
      <c r="NI1055" s="31"/>
      <c r="NJ1055" s="31"/>
      <c r="NK1055" s="31"/>
      <c r="NL1055" s="31"/>
      <c r="NM1055" s="31"/>
      <c r="NN1055" s="31"/>
      <c r="NO1055" s="31"/>
      <c r="NP1055" s="31"/>
      <c r="NQ1055" s="31"/>
      <c r="NR1055" s="31"/>
      <c r="NS1055" s="31"/>
      <c r="NT1055" s="31"/>
      <c r="NU1055" s="31"/>
      <c r="NV1055" s="31"/>
      <c r="NW1055" s="31"/>
      <c r="NX1055" s="31"/>
      <c r="NY1055" s="31"/>
      <c r="NZ1055" s="31"/>
      <c r="OA1055" s="31"/>
      <c r="OB1055" s="31"/>
      <c r="OC1055" s="31"/>
      <c r="OD1055" s="31"/>
      <c r="OE1055" s="31"/>
      <c r="OF1055" s="31"/>
      <c r="OG1055" s="31"/>
      <c r="OH1055" s="31"/>
      <c r="OI1055" s="31"/>
      <c r="OJ1055" s="31"/>
      <c r="OK1055" s="31"/>
      <c r="OL1055" s="31"/>
      <c r="OM1055" s="31"/>
      <c r="ON1055" s="31"/>
      <c r="OO1055" s="31"/>
      <c r="OP1055" s="31"/>
      <c r="OQ1055" s="31"/>
      <c r="OR1055" s="31"/>
      <c r="OS1055" s="31"/>
      <c r="OT1055" s="31"/>
      <c r="OU1055" s="31"/>
      <c r="OV1055" s="31"/>
      <c r="OW1055" s="31"/>
      <c r="OX1055" s="31"/>
      <c r="OY1055" s="31"/>
      <c r="OZ1055" s="31"/>
      <c r="PA1055" s="31"/>
      <c r="PB1055" s="31"/>
      <c r="PC1055" s="31"/>
      <c r="PD1055" s="31"/>
      <c r="PE1055" s="31"/>
      <c r="PF1055" s="31"/>
      <c r="PG1055" s="31"/>
      <c r="PH1055" s="31"/>
      <c r="PI1055" s="31"/>
      <c r="PJ1055" s="31"/>
      <c r="PK1055" s="31"/>
      <c r="PL1055" s="31"/>
      <c r="PM1055" s="31"/>
      <c r="PN1055" s="31"/>
      <c r="PO1055" s="31"/>
      <c r="PP1055" s="31"/>
      <c r="PQ1055" s="31"/>
      <c r="PR1055" s="31"/>
      <c r="PS1055" s="31"/>
      <c r="PT1055" s="31"/>
      <c r="PU1055" s="31"/>
      <c r="PV1055" s="31"/>
      <c r="PW1055" s="31"/>
      <c r="PX1055" s="31"/>
      <c r="PY1055" s="31"/>
      <c r="PZ1055" s="31"/>
      <c r="QA1055" s="31"/>
      <c r="QB1055" s="31"/>
      <c r="QC1055" s="31"/>
      <c r="QD1055" s="31"/>
      <c r="QE1055" s="31"/>
      <c r="QF1055" s="31"/>
      <c r="QG1055" s="31"/>
      <c r="QH1055" s="31"/>
      <c r="QI1055" s="31"/>
      <c r="QJ1055" s="31"/>
      <c r="QK1055" s="31"/>
      <c r="QL1055" s="31"/>
      <c r="QM1055" s="31"/>
      <c r="QN1055" s="31"/>
      <c r="QO1055" s="31"/>
      <c r="QP1055" s="31"/>
      <c r="QQ1055" s="31"/>
      <c r="QR1055" s="31"/>
      <c r="QS1055" s="31"/>
      <c r="QT1055" s="31"/>
      <c r="QU1055" s="31"/>
      <c r="QV1055" s="31"/>
      <c r="QW1055" s="31"/>
      <c r="QX1055" s="31"/>
      <c r="QY1055" s="31"/>
      <c r="QZ1055" s="31"/>
      <c r="RA1055" s="31"/>
      <c r="RB1055" s="31"/>
      <c r="RC1055" s="31"/>
      <c r="RD1055" s="31"/>
      <c r="RE1055" s="31"/>
      <c r="RF1055" s="31"/>
      <c r="RG1055" s="31"/>
      <c r="RH1055" s="31"/>
      <c r="RI1055" s="31"/>
      <c r="RJ1055" s="31"/>
      <c r="RK1055" s="31"/>
      <c r="RL1055" s="31"/>
      <c r="RM1055" s="31"/>
      <c r="RN1055" s="31"/>
      <c r="RO1055" s="31"/>
      <c r="RP1055" s="31"/>
      <c r="RQ1055" s="31"/>
      <c r="RR1055" s="31"/>
      <c r="RS1055" s="31"/>
      <c r="RT1055" s="31"/>
      <c r="RU1055" s="31"/>
      <c r="RV1055" s="31"/>
      <c r="RW1055" s="31"/>
      <c r="RX1055" s="31"/>
      <c r="RY1055" s="31"/>
      <c r="RZ1055" s="31"/>
      <c r="SA1055" s="31"/>
      <c r="SB1055" s="31"/>
      <c r="SC1055" s="31"/>
      <c r="SD1055" s="31"/>
      <c r="SE1055" s="31"/>
      <c r="SF1055" s="31"/>
      <c r="SG1055" s="31"/>
      <c r="SH1055" s="31"/>
      <c r="SI1055" s="31"/>
      <c r="SJ1055" s="31"/>
      <c r="SK1055" s="31"/>
      <c r="SL1055" s="31"/>
      <c r="SM1055" s="31"/>
      <c r="SN1055" s="31"/>
      <c r="SO1055" s="31"/>
      <c r="SP1055" s="31"/>
      <c r="SQ1055" s="31"/>
      <c r="SR1055" s="31"/>
      <c r="SS1055" s="31"/>
      <c r="ST1055" s="31"/>
      <c r="SU1055" s="31"/>
      <c r="SV1055" s="31"/>
      <c r="SW1055" s="31"/>
      <c r="SX1055" s="31"/>
      <c r="SY1055" s="31"/>
      <c r="SZ1055" s="31"/>
      <c r="TA1055" s="31"/>
      <c r="TB1055" s="31"/>
      <c r="TC1055" s="31"/>
      <c r="TD1055" s="31"/>
      <c r="TE1055" s="31"/>
      <c r="TF1055" s="31"/>
      <c r="TG1055" s="31"/>
      <c r="TH1055" s="31"/>
      <c r="TI1055" s="31"/>
      <c r="TJ1055" s="31"/>
      <c r="TK1055" s="31"/>
      <c r="TL1055" s="31"/>
      <c r="TM1055" s="31"/>
      <c r="TN1055" s="31"/>
      <c r="TO1055" s="31"/>
      <c r="TP1055" s="31"/>
      <c r="TQ1055" s="31"/>
      <c r="TR1055" s="31"/>
      <c r="TS1055" s="31"/>
      <c r="TT1055" s="31"/>
      <c r="TU1055" s="31"/>
      <c r="TV1055" s="31"/>
      <c r="TW1055" s="31"/>
      <c r="TX1055" s="31"/>
      <c r="TY1055" s="31"/>
      <c r="TZ1055" s="31"/>
      <c r="UA1055" s="31"/>
      <c r="UB1055" s="31"/>
      <c r="UC1055" s="31"/>
      <c r="UD1055" s="31"/>
      <c r="UE1055" s="31"/>
      <c r="UF1055" s="31"/>
      <c r="UG1055" s="33"/>
    </row>
    <row r="1056" spans="1:553" ht="45" customHeight="1">
      <c r="A1056" s="356"/>
      <c r="B1056" s="385"/>
      <c r="C1056" s="384" t="str">
        <f t="shared" si="156"/>
        <v>Đất nuôi trồng thuỷ sản (NTS)</v>
      </c>
      <c r="D1056" s="376" t="str">
        <f t="shared" si="156"/>
        <v>2</v>
      </c>
      <c r="E1056" s="376" t="str">
        <f t="shared" si="156"/>
        <v>344</v>
      </c>
      <c r="F1056" s="385"/>
      <c r="G1056" s="386" t="s">
        <v>935</v>
      </c>
      <c r="H1056" s="370"/>
      <c r="I1056" s="422">
        <f>I986</f>
        <v>203.1</v>
      </c>
      <c r="J1056" s="368">
        <v>66000</v>
      </c>
      <c r="K1056" s="479">
        <v>2.5</v>
      </c>
      <c r="L1056" s="391">
        <f t="shared" si="155"/>
        <v>33511500</v>
      </c>
      <c r="M1056" s="366"/>
      <c r="N1056" s="366"/>
      <c r="O1056" s="366"/>
      <c r="P1056" s="366"/>
      <c r="Q1056" s="812"/>
      <c r="R1056" s="1226"/>
      <c r="S1056" s="308"/>
      <c r="T1056" s="308"/>
      <c r="U1056" s="308"/>
      <c r="V1056" s="308"/>
      <c r="W1056" s="308"/>
      <c r="X1056" s="308"/>
      <c r="Y1056" s="308"/>
      <c r="Z1056" s="604"/>
      <c r="AA1056" s="308"/>
      <c r="AB1056" s="308"/>
      <c r="AC1056" s="449"/>
      <c r="AD1056" s="449"/>
      <c r="AE1056" s="449"/>
      <c r="AF1056" s="449"/>
      <c r="AG1056" s="449"/>
      <c r="AH1056" s="449"/>
      <c r="AI1056" s="449"/>
      <c r="AJ1056" s="449"/>
      <c r="AK1056" s="452"/>
      <c r="AL1056" s="104"/>
      <c r="AM1056" s="32"/>
      <c r="AN1056" s="32"/>
      <c r="AO1056" s="32"/>
      <c r="AP1056" s="32"/>
      <c r="AQ1056" s="32"/>
      <c r="AR1056" s="32"/>
      <c r="AS1056" s="31"/>
      <c r="AT1056" s="31"/>
      <c r="AU1056" s="31"/>
      <c r="AV1056" s="31"/>
      <c r="AW1056" s="31"/>
      <c r="AX1056" s="31"/>
      <c r="AY1056" s="31"/>
      <c r="AZ1056" s="31"/>
      <c r="BA1056" s="31"/>
      <c r="BB1056" s="31"/>
      <c r="BC1056" s="31"/>
      <c r="BD1056" s="31"/>
      <c r="BE1056" s="31"/>
      <c r="BF1056" s="31"/>
      <c r="BG1056" s="31"/>
      <c r="BH1056" s="31"/>
      <c r="BI1056" s="31"/>
      <c r="BJ1056" s="31"/>
      <c r="BK1056" s="31"/>
      <c r="BL1056" s="31"/>
      <c r="BM1056" s="31"/>
      <c r="BN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c r="CT1056" s="31"/>
      <c r="CU1056" s="31"/>
      <c r="CV1056" s="31"/>
      <c r="CW1056" s="31"/>
      <c r="CX1056" s="31"/>
      <c r="CY1056" s="31"/>
      <c r="CZ1056" s="31"/>
      <c r="DA1056" s="31"/>
      <c r="DB1056" s="31"/>
      <c r="DC1056" s="31"/>
      <c r="DD1056" s="31"/>
      <c r="DE1056" s="31"/>
      <c r="DF1056" s="31"/>
      <c r="DG1056" s="31"/>
      <c r="DH1056" s="31"/>
      <c r="DI1056" s="31"/>
      <c r="DJ1056" s="31"/>
      <c r="DK1056" s="31"/>
      <c r="DL1056" s="31"/>
      <c r="DM1056" s="31"/>
      <c r="DN1056" s="31"/>
      <c r="DO1056" s="31"/>
      <c r="DP1056" s="31"/>
      <c r="DQ1056" s="31"/>
      <c r="DR1056" s="31"/>
      <c r="DS1056" s="31"/>
      <c r="DT1056" s="31"/>
      <c r="DU1056" s="31"/>
      <c r="DV1056" s="31"/>
      <c r="DW1056" s="31"/>
      <c r="DX1056" s="31"/>
      <c r="DY1056" s="31"/>
      <c r="DZ1056" s="31"/>
      <c r="EA1056" s="31"/>
      <c r="EB1056" s="31"/>
      <c r="EC1056" s="31"/>
      <c r="ED1056" s="31"/>
      <c r="EE1056" s="31"/>
      <c r="EF1056" s="31"/>
      <c r="EG1056" s="31"/>
      <c r="EH1056" s="31"/>
      <c r="EI1056" s="31"/>
      <c r="EJ1056" s="31"/>
      <c r="EK1056" s="31"/>
      <c r="EL1056" s="31"/>
      <c r="EM1056" s="31"/>
      <c r="EN1056" s="31"/>
      <c r="EO1056" s="31"/>
      <c r="EP1056" s="31"/>
      <c r="EQ1056" s="31"/>
      <c r="ER1056" s="31"/>
      <c r="ES1056" s="31"/>
      <c r="ET1056" s="31"/>
      <c r="EU1056" s="31"/>
      <c r="EV1056" s="31"/>
      <c r="EW1056" s="31"/>
      <c r="EX1056" s="31"/>
      <c r="EY1056" s="31"/>
      <c r="EZ1056" s="31"/>
      <c r="FA1056" s="31"/>
      <c r="FB1056" s="31"/>
      <c r="FC1056" s="31"/>
      <c r="FD1056" s="31"/>
      <c r="FE1056" s="31"/>
      <c r="FF1056" s="31"/>
      <c r="FG1056" s="31"/>
      <c r="FH1056" s="31"/>
      <c r="FI1056" s="31"/>
      <c r="FJ1056" s="31"/>
      <c r="FK1056" s="31"/>
      <c r="FL1056" s="31"/>
      <c r="FM1056" s="31"/>
      <c r="FN1056" s="31"/>
      <c r="FO1056" s="31"/>
      <c r="FP1056" s="31"/>
      <c r="FQ1056" s="31"/>
      <c r="FR1056" s="31"/>
      <c r="FS1056" s="31"/>
      <c r="FT1056" s="31"/>
      <c r="FU1056" s="31"/>
      <c r="FV1056" s="31"/>
      <c r="FW1056" s="31"/>
      <c r="FX1056" s="31"/>
      <c r="FY1056" s="31"/>
      <c r="FZ1056" s="31"/>
      <c r="GA1056" s="31"/>
      <c r="GB1056" s="31"/>
      <c r="GC1056" s="31"/>
      <c r="GD1056" s="31"/>
      <c r="GE1056" s="31"/>
      <c r="GF1056" s="31"/>
      <c r="GG1056" s="31"/>
      <c r="GH1056" s="31"/>
      <c r="GI1056" s="31"/>
      <c r="GJ1056" s="31"/>
      <c r="GK1056" s="31"/>
      <c r="GL1056" s="31"/>
      <c r="GM1056" s="31"/>
      <c r="GN1056" s="31"/>
      <c r="GO1056" s="31"/>
      <c r="GP1056" s="31"/>
      <c r="GQ1056" s="31"/>
      <c r="GR1056" s="31"/>
      <c r="GS1056" s="31"/>
      <c r="GT1056" s="31"/>
      <c r="GU1056" s="31"/>
      <c r="GV1056" s="31"/>
      <c r="GW1056" s="31"/>
      <c r="GX1056" s="31"/>
      <c r="GY1056" s="31"/>
      <c r="GZ1056" s="31"/>
      <c r="HA1056" s="31"/>
      <c r="HB1056" s="31"/>
      <c r="HC1056" s="31"/>
      <c r="HD1056" s="31"/>
      <c r="HE1056" s="31"/>
      <c r="HF1056" s="31"/>
      <c r="HG1056" s="31"/>
      <c r="HH1056" s="31"/>
      <c r="HI1056" s="31"/>
      <c r="HJ1056" s="31"/>
      <c r="HK1056" s="31"/>
      <c r="HL1056" s="31"/>
      <c r="HM1056" s="31"/>
      <c r="HN1056" s="31"/>
      <c r="HO1056" s="31"/>
      <c r="HP1056" s="31"/>
      <c r="HQ1056" s="31"/>
      <c r="HR1056" s="31"/>
      <c r="HS1056" s="31"/>
      <c r="HT1056" s="31"/>
      <c r="HU1056" s="31"/>
      <c r="HV1056" s="31"/>
      <c r="HW1056" s="31"/>
      <c r="HX1056" s="31"/>
      <c r="HY1056" s="31"/>
      <c r="HZ1056" s="31"/>
      <c r="IA1056" s="31"/>
      <c r="IB1056" s="31"/>
      <c r="IC1056" s="31"/>
      <c r="ID1056" s="31"/>
      <c r="IE1056" s="31"/>
      <c r="IF1056" s="31"/>
      <c r="IG1056" s="31"/>
      <c r="IH1056" s="31"/>
      <c r="II1056" s="31"/>
      <c r="IJ1056" s="31"/>
      <c r="IK1056" s="31"/>
      <c r="IL1056" s="31"/>
      <c r="IM1056" s="31"/>
      <c r="IN1056" s="31"/>
      <c r="IO1056" s="31"/>
      <c r="IP1056" s="31"/>
      <c r="IQ1056" s="31"/>
      <c r="IR1056" s="31"/>
      <c r="IS1056" s="31"/>
      <c r="IT1056" s="31"/>
      <c r="IU1056" s="31"/>
      <c r="IV1056" s="31"/>
      <c r="IW1056" s="31"/>
      <c r="IX1056" s="31"/>
      <c r="IY1056" s="31"/>
      <c r="IZ1056" s="31"/>
      <c r="JA1056" s="31"/>
      <c r="JB1056" s="31"/>
      <c r="JC1056" s="31"/>
      <c r="JD1056" s="31"/>
      <c r="JE1056" s="31"/>
      <c r="JF1056" s="31"/>
      <c r="JG1056" s="31"/>
      <c r="JH1056" s="31"/>
      <c r="JI1056" s="31"/>
      <c r="JJ1056" s="31"/>
      <c r="JK1056" s="31"/>
      <c r="JL1056" s="31"/>
      <c r="JM1056" s="31"/>
      <c r="JN1056" s="31"/>
      <c r="JO1056" s="31"/>
      <c r="JP1056" s="31"/>
      <c r="JQ1056" s="31"/>
      <c r="JR1056" s="31"/>
      <c r="JS1056" s="31"/>
      <c r="JT1056" s="31"/>
      <c r="JU1056" s="31"/>
      <c r="JV1056" s="31"/>
      <c r="JW1056" s="31"/>
      <c r="JX1056" s="31"/>
      <c r="JY1056" s="31"/>
      <c r="JZ1056" s="31"/>
      <c r="KA1056" s="31"/>
      <c r="KB1056" s="31"/>
      <c r="KC1056" s="31"/>
      <c r="KD1056" s="31"/>
      <c r="KE1056" s="31"/>
      <c r="KF1056" s="31"/>
      <c r="KG1056" s="31"/>
      <c r="KH1056" s="31"/>
      <c r="KI1056" s="31"/>
      <c r="KJ1056" s="31"/>
      <c r="KK1056" s="31"/>
      <c r="KL1056" s="31"/>
      <c r="KM1056" s="31"/>
      <c r="KN1056" s="31"/>
      <c r="KO1056" s="31"/>
      <c r="KP1056" s="31"/>
      <c r="KQ1056" s="31"/>
      <c r="KR1056" s="31"/>
      <c r="KS1056" s="31"/>
      <c r="KT1056" s="31"/>
      <c r="KU1056" s="31"/>
      <c r="KV1056" s="31"/>
      <c r="KW1056" s="31"/>
      <c r="KX1056" s="31"/>
      <c r="KY1056" s="31"/>
      <c r="KZ1056" s="31"/>
      <c r="LA1056" s="31"/>
      <c r="LB1056" s="31"/>
      <c r="LC1056" s="31"/>
      <c r="LD1056" s="31"/>
      <c r="LE1056" s="31"/>
      <c r="LF1056" s="31"/>
      <c r="LG1056" s="31"/>
      <c r="LH1056" s="31"/>
      <c r="LI1056" s="31"/>
      <c r="LJ1056" s="31"/>
      <c r="LK1056" s="31"/>
      <c r="LL1056" s="31"/>
      <c r="LM1056" s="31"/>
      <c r="LN1056" s="31"/>
      <c r="LO1056" s="31"/>
      <c r="LP1056" s="31"/>
      <c r="LQ1056" s="31"/>
      <c r="LR1056" s="31"/>
      <c r="LS1056" s="31"/>
      <c r="LT1056" s="31"/>
      <c r="LU1056" s="31"/>
      <c r="LV1056" s="31"/>
      <c r="LW1056" s="31"/>
      <c r="LX1056" s="31"/>
      <c r="LY1056" s="31"/>
      <c r="LZ1056" s="31"/>
      <c r="MA1056" s="31"/>
      <c r="MB1056" s="31"/>
      <c r="MC1056" s="31"/>
      <c r="MD1056" s="31"/>
      <c r="ME1056" s="31"/>
      <c r="MF1056" s="31"/>
      <c r="MG1056" s="31"/>
      <c r="MH1056" s="31"/>
      <c r="MI1056" s="31"/>
      <c r="MJ1056" s="31"/>
      <c r="MK1056" s="31"/>
      <c r="ML1056" s="31"/>
      <c r="MM1056" s="31"/>
      <c r="MN1056" s="31"/>
      <c r="MO1056" s="31"/>
      <c r="MP1056" s="31"/>
      <c r="MQ1056" s="31"/>
      <c r="MR1056" s="31"/>
      <c r="MS1056" s="31"/>
      <c r="MT1056" s="31"/>
      <c r="MU1056" s="31"/>
      <c r="MV1056" s="31"/>
      <c r="MW1056" s="31"/>
      <c r="MX1056" s="31"/>
      <c r="MY1056" s="31"/>
      <c r="MZ1056" s="31"/>
      <c r="NA1056" s="31"/>
      <c r="NB1056" s="31"/>
      <c r="NC1056" s="31"/>
      <c r="ND1056" s="31"/>
      <c r="NE1056" s="31"/>
      <c r="NF1056" s="31"/>
      <c r="NG1056" s="31"/>
      <c r="NH1056" s="31"/>
      <c r="NI1056" s="31"/>
      <c r="NJ1056" s="31"/>
      <c r="NK1056" s="31"/>
      <c r="NL1056" s="31"/>
      <c r="NM1056" s="31"/>
      <c r="NN1056" s="31"/>
      <c r="NO1056" s="31"/>
      <c r="NP1056" s="31"/>
      <c r="NQ1056" s="31"/>
      <c r="NR1056" s="31"/>
      <c r="NS1056" s="31"/>
      <c r="NT1056" s="31"/>
      <c r="NU1056" s="31"/>
      <c r="NV1056" s="31"/>
      <c r="NW1056" s="31"/>
      <c r="NX1056" s="31"/>
      <c r="NY1056" s="31"/>
      <c r="NZ1056" s="31"/>
      <c r="OA1056" s="31"/>
      <c r="OB1056" s="31"/>
      <c r="OC1056" s="31"/>
      <c r="OD1056" s="31"/>
      <c r="OE1056" s="31"/>
      <c r="OF1056" s="31"/>
      <c r="OG1056" s="31"/>
      <c r="OH1056" s="31"/>
      <c r="OI1056" s="31"/>
      <c r="OJ1056" s="31"/>
      <c r="OK1056" s="31"/>
      <c r="OL1056" s="31"/>
      <c r="OM1056" s="31"/>
      <c r="ON1056" s="31"/>
      <c r="OO1056" s="31"/>
      <c r="OP1056" s="31"/>
      <c r="OQ1056" s="31"/>
      <c r="OR1056" s="31"/>
      <c r="OS1056" s="31"/>
      <c r="OT1056" s="31"/>
      <c r="OU1056" s="31"/>
      <c r="OV1056" s="31"/>
      <c r="OW1056" s="31"/>
      <c r="OX1056" s="31"/>
      <c r="OY1056" s="31"/>
      <c r="OZ1056" s="31"/>
      <c r="PA1056" s="31"/>
      <c r="PB1056" s="31"/>
      <c r="PC1056" s="31"/>
      <c r="PD1056" s="31"/>
      <c r="PE1056" s="31"/>
      <c r="PF1056" s="31"/>
      <c r="PG1056" s="31"/>
      <c r="PH1056" s="31"/>
      <c r="PI1056" s="31"/>
      <c r="PJ1056" s="31"/>
      <c r="PK1056" s="31"/>
      <c r="PL1056" s="31"/>
      <c r="PM1056" s="31"/>
      <c r="PN1056" s="31"/>
      <c r="PO1056" s="31"/>
      <c r="PP1056" s="31"/>
      <c r="PQ1056" s="31"/>
      <c r="PR1056" s="31"/>
      <c r="PS1056" s="31"/>
      <c r="PT1056" s="31"/>
      <c r="PU1056" s="31"/>
      <c r="PV1056" s="31"/>
      <c r="PW1056" s="31"/>
      <c r="PX1056" s="31"/>
      <c r="PY1056" s="31"/>
      <c r="PZ1056" s="31"/>
      <c r="QA1056" s="31"/>
      <c r="QB1056" s="31"/>
      <c r="QC1056" s="31"/>
      <c r="QD1056" s="31"/>
      <c r="QE1056" s="31"/>
      <c r="QF1056" s="31"/>
      <c r="QG1056" s="31"/>
      <c r="QH1056" s="31"/>
      <c r="QI1056" s="31"/>
      <c r="QJ1056" s="31"/>
      <c r="QK1056" s="31"/>
      <c r="QL1056" s="31"/>
      <c r="QM1056" s="31"/>
      <c r="QN1056" s="31"/>
      <c r="QO1056" s="31"/>
      <c r="QP1056" s="31"/>
      <c r="QQ1056" s="31"/>
      <c r="QR1056" s="31"/>
      <c r="QS1056" s="31"/>
      <c r="QT1056" s="31"/>
      <c r="QU1056" s="31"/>
      <c r="QV1056" s="31"/>
      <c r="QW1056" s="31"/>
      <c r="QX1056" s="31"/>
      <c r="QY1056" s="31"/>
      <c r="QZ1056" s="31"/>
      <c r="RA1056" s="31"/>
      <c r="RB1056" s="31"/>
      <c r="RC1056" s="31"/>
      <c r="RD1056" s="31"/>
      <c r="RE1056" s="31"/>
      <c r="RF1056" s="31"/>
      <c r="RG1056" s="31"/>
      <c r="RH1056" s="31"/>
      <c r="RI1056" s="31"/>
      <c r="RJ1056" s="31"/>
      <c r="RK1056" s="31"/>
      <c r="RL1056" s="31"/>
      <c r="RM1056" s="31"/>
      <c r="RN1056" s="31"/>
      <c r="RO1056" s="31"/>
      <c r="RP1056" s="31"/>
      <c r="RQ1056" s="31"/>
      <c r="RR1056" s="31"/>
      <c r="RS1056" s="31"/>
      <c r="RT1056" s="31"/>
      <c r="RU1056" s="31"/>
      <c r="RV1056" s="31"/>
      <c r="RW1056" s="31"/>
      <c r="RX1056" s="31"/>
      <c r="RY1056" s="31"/>
      <c r="RZ1056" s="31"/>
      <c r="SA1056" s="31"/>
      <c r="SB1056" s="31"/>
      <c r="SC1056" s="31"/>
      <c r="SD1056" s="31"/>
      <c r="SE1056" s="31"/>
      <c r="SF1056" s="31"/>
      <c r="SG1056" s="31"/>
      <c r="SH1056" s="31"/>
      <c r="SI1056" s="31"/>
      <c r="SJ1056" s="31"/>
      <c r="SK1056" s="31"/>
      <c r="SL1056" s="31"/>
      <c r="SM1056" s="31"/>
      <c r="SN1056" s="31"/>
      <c r="SO1056" s="31"/>
      <c r="SP1056" s="31"/>
      <c r="SQ1056" s="31"/>
      <c r="SR1056" s="31"/>
      <c r="SS1056" s="31"/>
      <c r="ST1056" s="31"/>
      <c r="SU1056" s="31"/>
      <c r="SV1056" s="31"/>
      <c r="SW1056" s="31"/>
      <c r="SX1056" s="31"/>
      <c r="SY1056" s="31"/>
      <c r="SZ1056" s="31"/>
      <c r="TA1056" s="31"/>
      <c r="TB1056" s="31"/>
      <c r="TC1056" s="31"/>
      <c r="TD1056" s="31"/>
      <c r="TE1056" s="31"/>
      <c r="TF1056" s="31"/>
      <c r="TG1056" s="31"/>
      <c r="TH1056" s="31"/>
      <c r="TI1056" s="31"/>
      <c r="TJ1056" s="31"/>
      <c r="TK1056" s="31"/>
      <c r="TL1056" s="31"/>
      <c r="TM1056" s="31"/>
      <c r="TN1056" s="31"/>
      <c r="TO1056" s="31"/>
      <c r="TP1056" s="31"/>
      <c r="TQ1056" s="31"/>
      <c r="TR1056" s="31"/>
      <c r="TS1056" s="31"/>
      <c r="TT1056" s="31"/>
      <c r="TU1056" s="31"/>
      <c r="TV1056" s="31"/>
      <c r="TW1056" s="31"/>
      <c r="TX1056" s="31"/>
      <c r="TY1056" s="31"/>
      <c r="TZ1056" s="31"/>
      <c r="UA1056" s="31"/>
      <c r="UB1056" s="31"/>
      <c r="UC1056" s="31"/>
      <c r="UD1056" s="31"/>
      <c r="UE1056" s="31"/>
      <c r="UF1056" s="31"/>
      <c r="UG1056" s="33"/>
    </row>
    <row r="1057" spans="1:553" ht="45" customHeight="1">
      <c r="A1057" s="356"/>
      <c r="B1057" s="385"/>
      <c r="C1057" s="384" t="str">
        <f t="shared" si="156"/>
        <v>Đất nuôi trồng thuỷ sản (NTS)</v>
      </c>
      <c r="D1057" s="376" t="str">
        <f t="shared" si="156"/>
        <v>2</v>
      </c>
      <c r="E1057" s="376" t="str">
        <f t="shared" si="156"/>
        <v>359</v>
      </c>
      <c r="F1057" s="385"/>
      <c r="G1057" s="386" t="s">
        <v>935</v>
      </c>
      <c r="H1057" s="370"/>
      <c r="I1057" s="422">
        <f>I987</f>
        <v>67.7</v>
      </c>
      <c r="J1057" s="368">
        <v>66000</v>
      </c>
      <c r="K1057" s="479">
        <v>2.5</v>
      </c>
      <c r="L1057" s="391">
        <f t="shared" si="155"/>
        <v>11170500</v>
      </c>
      <c r="M1057" s="366"/>
      <c r="N1057" s="366"/>
      <c r="O1057" s="366"/>
      <c r="P1057" s="366"/>
      <c r="Q1057" s="812"/>
      <c r="R1057" s="1226"/>
      <c r="S1057" s="308"/>
      <c r="T1057" s="308"/>
      <c r="U1057" s="308"/>
      <c r="V1057" s="308"/>
      <c r="W1057" s="308"/>
      <c r="X1057" s="308"/>
      <c r="Y1057" s="308"/>
      <c r="Z1057" s="604"/>
      <c r="AA1057" s="308"/>
      <c r="AB1057" s="308"/>
      <c r="AC1057" s="449"/>
      <c r="AD1057" s="449"/>
      <c r="AE1057" s="449"/>
      <c r="AF1057" s="449"/>
      <c r="AG1057" s="449"/>
      <c r="AH1057" s="449"/>
      <c r="AI1057" s="449"/>
      <c r="AJ1057" s="449"/>
      <c r="AK1057" s="452"/>
      <c r="AL1057" s="104"/>
      <c r="AM1057" s="32"/>
      <c r="AN1057" s="32"/>
      <c r="AO1057" s="32"/>
      <c r="AP1057" s="32"/>
      <c r="AQ1057" s="32"/>
      <c r="AR1057" s="32"/>
      <c r="AS1057" s="31"/>
      <c r="AT1057" s="31"/>
      <c r="AU1057" s="31"/>
      <c r="AV1057" s="31"/>
      <c r="AW1057" s="31"/>
      <c r="AX1057" s="31"/>
      <c r="AY1057" s="31"/>
      <c r="AZ1057" s="31"/>
      <c r="BA1057" s="31"/>
      <c r="BB1057" s="31"/>
      <c r="BC1057" s="31"/>
      <c r="BD1057" s="31"/>
      <c r="BE1057" s="31"/>
      <c r="BF1057" s="31"/>
      <c r="BG1057" s="31"/>
      <c r="BH1057" s="31"/>
      <c r="BI1057" s="31"/>
      <c r="BJ1057" s="31"/>
      <c r="BK1057" s="31"/>
      <c r="BL1057" s="31"/>
      <c r="BM1057" s="31"/>
      <c r="BN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c r="CT1057" s="31"/>
      <c r="CU1057" s="31"/>
      <c r="CV1057" s="31"/>
      <c r="CW1057" s="31"/>
      <c r="CX1057" s="31"/>
      <c r="CY1057" s="31"/>
      <c r="CZ1057" s="31"/>
      <c r="DA1057" s="31"/>
      <c r="DB1057" s="31"/>
      <c r="DC1057" s="31"/>
      <c r="DD1057" s="31"/>
      <c r="DE1057" s="31"/>
      <c r="DF1057" s="31"/>
      <c r="DG1057" s="31"/>
      <c r="DH1057" s="31"/>
      <c r="DI1057" s="31"/>
      <c r="DJ1057" s="31"/>
      <c r="DK1057" s="31"/>
      <c r="DL1057" s="31"/>
      <c r="DM1057" s="31"/>
      <c r="DN1057" s="31"/>
      <c r="DO1057" s="31"/>
      <c r="DP1057" s="31"/>
      <c r="DQ1057" s="31"/>
      <c r="DR1057" s="31"/>
      <c r="DS1057" s="31"/>
      <c r="DT1057" s="31"/>
      <c r="DU1057" s="31"/>
      <c r="DV1057" s="31"/>
      <c r="DW1057" s="31"/>
      <c r="DX1057" s="31"/>
      <c r="DY1057" s="31"/>
      <c r="DZ1057" s="31"/>
      <c r="EA1057" s="31"/>
      <c r="EB1057" s="31"/>
      <c r="EC1057" s="31"/>
      <c r="ED1057" s="31"/>
      <c r="EE1057" s="31"/>
      <c r="EF1057" s="31"/>
      <c r="EG1057" s="31"/>
      <c r="EH1057" s="31"/>
      <c r="EI1057" s="31"/>
      <c r="EJ1057" s="31"/>
      <c r="EK1057" s="31"/>
      <c r="EL1057" s="31"/>
      <c r="EM1057" s="31"/>
      <c r="EN1057" s="31"/>
      <c r="EO1057" s="31"/>
      <c r="EP1057" s="31"/>
      <c r="EQ1057" s="31"/>
      <c r="ER1057" s="31"/>
      <c r="ES1057" s="31"/>
      <c r="ET1057" s="31"/>
      <c r="EU1057" s="31"/>
      <c r="EV1057" s="31"/>
      <c r="EW1057" s="31"/>
      <c r="EX1057" s="31"/>
      <c r="EY1057" s="31"/>
      <c r="EZ1057" s="31"/>
      <c r="FA1057" s="31"/>
      <c r="FB1057" s="31"/>
      <c r="FC1057" s="31"/>
      <c r="FD1057" s="31"/>
      <c r="FE1057" s="31"/>
      <c r="FF1057" s="31"/>
      <c r="FG1057" s="31"/>
      <c r="FH1057" s="31"/>
      <c r="FI1057" s="31"/>
      <c r="FJ1057" s="31"/>
      <c r="FK1057" s="31"/>
      <c r="FL1057" s="31"/>
      <c r="FM1057" s="31"/>
      <c r="FN1057" s="31"/>
      <c r="FO1057" s="31"/>
      <c r="FP1057" s="31"/>
      <c r="FQ1057" s="31"/>
      <c r="FR1057" s="31"/>
      <c r="FS1057" s="31"/>
      <c r="FT1057" s="31"/>
      <c r="FU1057" s="31"/>
      <c r="FV1057" s="31"/>
      <c r="FW1057" s="31"/>
      <c r="FX1057" s="31"/>
      <c r="FY1057" s="31"/>
      <c r="FZ1057" s="31"/>
      <c r="GA1057" s="31"/>
      <c r="GB1057" s="31"/>
      <c r="GC1057" s="31"/>
      <c r="GD1057" s="31"/>
      <c r="GE1057" s="31"/>
      <c r="GF1057" s="31"/>
      <c r="GG1057" s="31"/>
      <c r="GH1057" s="31"/>
      <c r="GI1057" s="31"/>
      <c r="GJ1057" s="31"/>
      <c r="GK1057" s="31"/>
      <c r="GL1057" s="31"/>
      <c r="GM1057" s="31"/>
      <c r="GN1057" s="31"/>
      <c r="GO1057" s="31"/>
      <c r="GP1057" s="31"/>
      <c r="GQ1057" s="31"/>
      <c r="GR1057" s="31"/>
      <c r="GS1057" s="31"/>
      <c r="GT1057" s="31"/>
      <c r="GU1057" s="31"/>
      <c r="GV1057" s="31"/>
      <c r="GW1057" s="31"/>
      <c r="GX1057" s="31"/>
      <c r="GY1057" s="31"/>
      <c r="GZ1057" s="31"/>
      <c r="HA1057" s="31"/>
      <c r="HB1057" s="31"/>
      <c r="HC1057" s="31"/>
      <c r="HD1057" s="31"/>
      <c r="HE1057" s="31"/>
      <c r="HF1057" s="31"/>
      <c r="HG1057" s="31"/>
      <c r="HH1057" s="31"/>
      <c r="HI1057" s="31"/>
      <c r="HJ1057" s="31"/>
      <c r="HK1057" s="31"/>
      <c r="HL1057" s="31"/>
      <c r="HM1057" s="31"/>
      <c r="HN1057" s="31"/>
      <c r="HO1057" s="31"/>
      <c r="HP1057" s="31"/>
      <c r="HQ1057" s="31"/>
      <c r="HR1057" s="31"/>
      <c r="HS1057" s="31"/>
      <c r="HT1057" s="31"/>
      <c r="HU1057" s="31"/>
      <c r="HV1057" s="31"/>
      <c r="HW1057" s="31"/>
      <c r="HX1057" s="31"/>
      <c r="HY1057" s="31"/>
      <c r="HZ1057" s="31"/>
      <c r="IA1057" s="31"/>
      <c r="IB1057" s="31"/>
      <c r="IC1057" s="31"/>
      <c r="ID1057" s="31"/>
      <c r="IE1057" s="31"/>
      <c r="IF1057" s="31"/>
      <c r="IG1057" s="31"/>
      <c r="IH1057" s="31"/>
      <c r="II1057" s="31"/>
      <c r="IJ1057" s="31"/>
      <c r="IK1057" s="31"/>
      <c r="IL1057" s="31"/>
      <c r="IM1057" s="31"/>
      <c r="IN1057" s="31"/>
      <c r="IO1057" s="31"/>
      <c r="IP1057" s="31"/>
      <c r="IQ1057" s="31"/>
      <c r="IR1057" s="31"/>
      <c r="IS1057" s="31"/>
      <c r="IT1057" s="31"/>
      <c r="IU1057" s="31"/>
      <c r="IV1057" s="31"/>
      <c r="IW1057" s="31"/>
      <c r="IX1057" s="31"/>
      <c r="IY1057" s="31"/>
      <c r="IZ1057" s="31"/>
      <c r="JA1057" s="31"/>
      <c r="JB1057" s="31"/>
      <c r="JC1057" s="31"/>
      <c r="JD1057" s="31"/>
      <c r="JE1057" s="31"/>
      <c r="JF1057" s="31"/>
      <c r="JG1057" s="31"/>
      <c r="JH1057" s="31"/>
      <c r="JI1057" s="31"/>
      <c r="JJ1057" s="31"/>
      <c r="JK1057" s="31"/>
      <c r="JL1057" s="31"/>
      <c r="JM1057" s="31"/>
      <c r="JN1057" s="31"/>
      <c r="JO1057" s="31"/>
      <c r="JP1057" s="31"/>
      <c r="JQ1057" s="31"/>
      <c r="JR1057" s="31"/>
      <c r="JS1057" s="31"/>
      <c r="JT1057" s="31"/>
      <c r="JU1057" s="31"/>
      <c r="JV1057" s="31"/>
      <c r="JW1057" s="31"/>
      <c r="JX1057" s="31"/>
      <c r="JY1057" s="31"/>
      <c r="JZ1057" s="31"/>
      <c r="KA1057" s="31"/>
      <c r="KB1057" s="31"/>
      <c r="KC1057" s="31"/>
      <c r="KD1057" s="31"/>
      <c r="KE1057" s="31"/>
      <c r="KF1057" s="31"/>
      <c r="KG1057" s="31"/>
      <c r="KH1057" s="31"/>
      <c r="KI1057" s="31"/>
      <c r="KJ1057" s="31"/>
      <c r="KK1057" s="31"/>
      <c r="KL1057" s="31"/>
      <c r="KM1057" s="31"/>
      <c r="KN1057" s="31"/>
      <c r="KO1057" s="31"/>
      <c r="KP1057" s="31"/>
      <c r="KQ1057" s="31"/>
      <c r="KR1057" s="31"/>
      <c r="KS1057" s="31"/>
      <c r="KT1057" s="31"/>
      <c r="KU1057" s="31"/>
      <c r="KV1057" s="31"/>
      <c r="KW1057" s="31"/>
      <c r="KX1057" s="31"/>
      <c r="KY1057" s="31"/>
      <c r="KZ1057" s="31"/>
      <c r="LA1057" s="31"/>
      <c r="LB1057" s="31"/>
      <c r="LC1057" s="31"/>
      <c r="LD1057" s="31"/>
      <c r="LE1057" s="31"/>
      <c r="LF1057" s="31"/>
      <c r="LG1057" s="31"/>
      <c r="LH1057" s="31"/>
      <c r="LI1057" s="31"/>
      <c r="LJ1057" s="31"/>
      <c r="LK1057" s="31"/>
      <c r="LL1057" s="31"/>
      <c r="LM1057" s="31"/>
      <c r="LN1057" s="31"/>
      <c r="LO1057" s="31"/>
      <c r="LP1057" s="31"/>
      <c r="LQ1057" s="31"/>
      <c r="LR1057" s="31"/>
      <c r="LS1057" s="31"/>
      <c r="LT1057" s="31"/>
      <c r="LU1057" s="31"/>
      <c r="LV1057" s="31"/>
      <c r="LW1057" s="31"/>
      <c r="LX1057" s="31"/>
      <c r="LY1057" s="31"/>
      <c r="LZ1057" s="31"/>
      <c r="MA1057" s="31"/>
      <c r="MB1057" s="31"/>
      <c r="MC1057" s="31"/>
      <c r="MD1057" s="31"/>
      <c r="ME1057" s="31"/>
      <c r="MF1057" s="31"/>
      <c r="MG1057" s="31"/>
      <c r="MH1057" s="31"/>
      <c r="MI1057" s="31"/>
      <c r="MJ1057" s="31"/>
      <c r="MK1057" s="31"/>
      <c r="ML1057" s="31"/>
      <c r="MM1057" s="31"/>
      <c r="MN1057" s="31"/>
      <c r="MO1057" s="31"/>
      <c r="MP1057" s="31"/>
      <c r="MQ1057" s="31"/>
      <c r="MR1057" s="31"/>
      <c r="MS1057" s="31"/>
      <c r="MT1057" s="31"/>
      <c r="MU1057" s="31"/>
      <c r="MV1057" s="31"/>
      <c r="MW1057" s="31"/>
      <c r="MX1057" s="31"/>
      <c r="MY1057" s="31"/>
      <c r="MZ1057" s="31"/>
      <c r="NA1057" s="31"/>
      <c r="NB1057" s="31"/>
      <c r="NC1057" s="31"/>
      <c r="ND1057" s="31"/>
      <c r="NE1057" s="31"/>
      <c r="NF1057" s="31"/>
      <c r="NG1057" s="31"/>
      <c r="NH1057" s="31"/>
      <c r="NI1057" s="31"/>
      <c r="NJ1057" s="31"/>
      <c r="NK1057" s="31"/>
      <c r="NL1057" s="31"/>
      <c r="NM1057" s="31"/>
      <c r="NN1057" s="31"/>
      <c r="NO1057" s="31"/>
      <c r="NP1057" s="31"/>
      <c r="NQ1057" s="31"/>
      <c r="NR1057" s="31"/>
      <c r="NS1057" s="31"/>
      <c r="NT1057" s="31"/>
      <c r="NU1057" s="31"/>
      <c r="NV1057" s="31"/>
      <c r="NW1057" s="31"/>
      <c r="NX1057" s="31"/>
      <c r="NY1057" s="31"/>
      <c r="NZ1057" s="31"/>
      <c r="OA1057" s="31"/>
      <c r="OB1057" s="31"/>
      <c r="OC1057" s="31"/>
      <c r="OD1057" s="31"/>
      <c r="OE1057" s="31"/>
      <c r="OF1057" s="31"/>
      <c r="OG1057" s="31"/>
      <c r="OH1057" s="31"/>
      <c r="OI1057" s="31"/>
      <c r="OJ1057" s="31"/>
      <c r="OK1057" s="31"/>
      <c r="OL1057" s="31"/>
      <c r="OM1057" s="31"/>
      <c r="ON1057" s="31"/>
      <c r="OO1057" s="31"/>
      <c r="OP1057" s="31"/>
      <c r="OQ1057" s="31"/>
      <c r="OR1057" s="31"/>
      <c r="OS1057" s="31"/>
      <c r="OT1057" s="31"/>
      <c r="OU1057" s="31"/>
      <c r="OV1057" s="31"/>
      <c r="OW1057" s="31"/>
      <c r="OX1057" s="31"/>
      <c r="OY1057" s="31"/>
      <c r="OZ1057" s="31"/>
      <c r="PA1057" s="31"/>
      <c r="PB1057" s="31"/>
      <c r="PC1057" s="31"/>
      <c r="PD1057" s="31"/>
      <c r="PE1057" s="31"/>
      <c r="PF1057" s="31"/>
      <c r="PG1057" s="31"/>
      <c r="PH1057" s="31"/>
      <c r="PI1057" s="31"/>
      <c r="PJ1057" s="31"/>
      <c r="PK1057" s="31"/>
      <c r="PL1057" s="31"/>
      <c r="PM1057" s="31"/>
      <c r="PN1057" s="31"/>
      <c r="PO1057" s="31"/>
      <c r="PP1057" s="31"/>
      <c r="PQ1057" s="31"/>
      <c r="PR1057" s="31"/>
      <c r="PS1057" s="31"/>
      <c r="PT1057" s="31"/>
      <c r="PU1057" s="31"/>
      <c r="PV1057" s="31"/>
      <c r="PW1057" s="31"/>
      <c r="PX1057" s="31"/>
      <c r="PY1057" s="31"/>
      <c r="PZ1057" s="31"/>
      <c r="QA1057" s="31"/>
      <c r="QB1057" s="31"/>
      <c r="QC1057" s="31"/>
      <c r="QD1057" s="31"/>
      <c r="QE1057" s="31"/>
      <c r="QF1057" s="31"/>
      <c r="QG1057" s="31"/>
      <c r="QH1057" s="31"/>
      <c r="QI1057" s="31"/>
      <c r="QJ1057" s="31"/>
      <c r="QK1057" s="31"/>
      <c r="QL1057" s="31"/>
      <c r="QM1057" s="31"/>
      <c r="QN1057" s="31"/>
      <c r="QO1057" s="31"/>
      <c r="QP1057" s="31"/>
      <c r="QQ1057" s="31"/>
      <c r="QR1057" s="31"/>
      <c r="QS1057" s="31"/>
      <c r="QT1057" s="31"/>
      <c r="QU1057" s="31"/>
      <c r="QV1057" s="31"/>
      <c r="QW1057" s="31"/>
      <c r="QX1057" s="31"/>
      <c r="QY1057" s="31"/>
      <c r="QZ1057" s="31"/>
      <c r="RA1057" s="31"/>
      <c r="RB1057" s="31"/>
      <c r="RC1057" s="31"/>
      <c r="RD1057" s="31"/>
      <c r="RE1057" s="31"/>
      <c r="RF1057" s="31"/>
      <c r="RG1057" s="31"/>
      <c r="RH1057" s="31"/>
      <c r="RI1057" s="31"/>
      <c r="RJ1057" s="31"/>
      <c r="RK1057" s="31"/>
      <c r="RL1057" s="31"/>
      <c r="RM1057" s="31"/>
      <c r="RN1057" s="31"/>
      <c r="RO1057" s="31"/>
      <c r="RP1057" s="31"/>
      <c r="RQ1057" s="31"/>
      <c r="RR1057" s="31"/>
      <c r="RS1057" s="31"/>
      <c r="RT1057" s="31"/>
      <c r="RU1057" s="31"/>
      <c r="RV1057" s="31"/>
      <c r="RW1057" s="31"/>
      <c r="RX1057" s="31"/>
      <c r="RY1057" s="31"/>
      <c r="RZ1057" s="31"/>
      <c r="SA1057" s="31"/>
      <c r="SB1057" s="31"/>
      <c r="SC1057" s="31"/>
      <c r="SD1057" s="31"/>
      <c r="SE1057" s="31"/>
      <c r="SF1057" s="31"/>
      <c r="SG1057" s="31"/>
      <c r="SH1057" s="31"/>
      <c r="SI1057" s="31"/>
      <c r="SJ1057" s="31"/>
      <c r="SK1057" s="31"/>
      <c r="SL1057" s="31"/>
      <c r="SM1057" s="31"/>
      <c r="SN1057" s="31"/>
      <c r="SO1057" s="31"/>
      <c r="SP1057" s="31"/>
      <c r="SQ1057" s="31"/>
      <c r="SR1057" s="31"/>
      <c r="SS1057" s="31"/>
      <c r="ST1057" s="31"/>
      <c r="SU1057" s="31"/>
      <c r="SV1057" s="31"/>
      <c r="SW1057" s="31"/>
      <c r="SX1057" s="31"/>
      <c r="SY1057" s="31"/>
      <c r="SZ1057" s="31"/>
      <c r="TA1057" s="31"/>
      <c r="TB1057" s="31"/>
      <c r="TC1057" s="31"/>
      <c r="TD1057" s="31"/>
      <c r="TE1057" s="31"/>
      <c r="TF1057" s="31"/>
      <c r="TG1057" s="31"/>
      <c r="TH1057" s="31"/>
      <c r="TI1057" s="31"/>
      <c r="TJ1057" s="31"/>
      <c r="TK1057" s="31"/>
      <c r="TL1057" s="31"/>
      <c r="TM1057" s="31"/>
      <c r="TN1057" s="31"/>
      <c r="TO1057" s="31"/>
      <c r="TP1057" s="31"/>
      <c r="TQ1057" s="31"/>
      <c r="TR1057" s="31"/>
      <c r="TS1057" s="31"/>
      <c r="TT1057" s="31"/>
      <c r="TU1057" s="31"/>
      <c r="TV1057" s="31"/>
      <c r="TW1057" s="31"/>
      <c r="TX1057" s="31"/>
      <c r="TY1057" s="31"/>
      <c r="TZ1057" s="31"/>
      <c r="UA1057" s="31"/>
      <c r="UB1057" s="31"/>
      <c r="UC1057" s="31"/>
      <c r="UD1057" s="31"/>
      <c r="UE1057" s="31"/>
      <c r="UF1057" s="31"/>
      <c r="UG1057" s="33"/>
    </row>
    <row r="1058" spans="1:553" ht="34.5" customHeight="1">
      <c r="A1058" s="356" t="s">
        <v>61</v>
      </c>
      <c r="B1058" s="535"/>
      <c r="C1058" s="733" t="s">
        <v>1012</v>
      </c>
      <c r="D1058" s="376"/>
      <c r="E1058" s="376"/>
      <c r="F1058" s="385"/>
      <c r="G1058" s="386"/>
      <c r="H1058" s="370"/>
      <c r="I1058" s="422"/>
      <c r="J1058" s="368"/>
      <c r="K1058" s="479"/>
      <c r="L1058" s="734">
        <f>SUM(L1059:L1064)</f>
        <v>55176900</v>
      </c>
      <c r="M1058" s="366"/>
      <c r="N1058" s="366"/>
      <c r="O1058" s="366"/>
      <c r="P1058" s="356">
        <f>L1058</f>
        <v>55176900</v>
      </c>
      <c r="Q1058" s="812"/>
      <c r="R1058" s="1226"/>
      <c r="S1058" s="308"/>
      <c r="T1058" s="308"/>
      <c r="U1058" s="308"/>
      <c r="V1058" s="308"/>
      <c r="W1058" s="308"/>
      <c r="X1058" s="308"/>
      <c r="Y1058" s="308"/>
      <c r="Z1058" s="604"/>
      <c r="AA1058" s="308"/>
      <c r="AB1058" s="308"/>
      <c r="AC1058" s="449"/>
      <c r="AD1058" s="449"/>
      <c r="AE1058" s="449"/>
      <c r="AF1058" s="449"/>
      <c r="AG1058" s="449"/>
      <c r="AH1058" s="449"/>
      <c r="AI1058" s="449"/>
      <c r="AJ1058" s="449"/>
      <c r="AK1058" s="452"/>
      <c r="AL1058" s="104"/>
      <c r="AM1058" s="32"/>
      <c r="AN1058" s="32"/>
      <c r="AO1058" s="32"/>
      <c r="AP1058" s="32"/>
      <c r="AQ1058" s="32"/>
      <c r="AR1058" s="32"/>
      <c r="AS1058" s="31"/>
      <c r="AT1058" s="31"/>
      <c r="AU1058" s="31"/>
      <c r="AV1058" s="31"/>
      <c r="AW1058" s="31"/>
      <c r="AX1058" s="31"/>
      <c r="AY1058" s="31"/>
      <c r="AZ1058" s="31"/>
      <c r="BA1058" s="31"/>
      <c r="BB1058" s="31"/>
      <c r="BC1058" s="31"/>
      <c r="BD1058" s="31"/>
      <c r="BE1058" s="31"/>
      <c r="BF1058" s="31"/>
      <c r="BG1058" s="31"/>
      <c r="BH1058" s="31"/>
      <c r="BI1058" s="31"/>
      <c r="BJ1058" s="31"/>
      <c r="BK1058" s="31"/>
      <c r="BL1058" s="31"/>
      <c r="BM1058" s="31"/>
      <c r="BN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c r="CT1058" s="31"/>
      <c r="CU1058" s="31"/>
      <c r="CV1058" s="31"/>
      <c r="CW1058" s="31"/>
      <c r="CX1058" s="31"/>
      <c r="CY1058" s="31"/>
      <c r="CZ1058" s="31"/>
      <c r="DA1058" s="31"/>
      <c r="DB1058" s="31"/>
      <c r="DC1058" s="31"/>
      <c r="DD1058" s="31"/>
      <c r="DE1058" s="31"/>
      <c r="DF1058" s="31"/>
      <c r="DG1058" s="31"/>
      <c r="DH1058" s="31"/>
      <c r="DI1058" s="31"/>
      <c r="DJ1058" s="31"/>
      <c r="DK1058" s="31"/>
      <c r="DL1058" s="31"/>
      <c r="DM1058" s="31"/>
      <c r="DN1058" s="31"/>
      <c r="DO1058" s="31"/>
      <c r="DP1058" s="31"/>
      <c r="DQ1058" s="31"/>
      <c r="DR1058" s="31"/>
      <c r="DS1058" s="31"/>
      <c r="DT1058" s="31"/>
      <c r="DU1058" s="31"/>
      <c r="DV1058" s="31"/>
      <c r="DW1058" s="31"/>
      <c r="DX1058" s="31"/>
      <c r="DY1058" s="31"/>
      <c r="DZ1058" s="31"/>
      <c r="EA1058" s="31"/>
      <c r="EB1058" s="31"/>
      <c r="EC1058" s="31"/>
      <c r="ED1058" s="31"/>
      <c r="EE1058" s="31"/>
      <c r="EF1058" s="31"/>
      <c r="EG1058" s="31"/>
      <c r="EH1058" s="31"/>
      <c r="EI1058" s="31"/>
      <c r="EJ1058" s="31"/>
      <c r="EK1058" s="31"/>
      <c r="EL1058" s="31"/>
      <c r="EM1058" s="31"/>
      <c r="EN1058" s="31"/>
      <c r="EO1058" s="31"/>
      <c r="EP1058" s="31"/>
      <c r="EQ1058" s="31"/>
      <c r="ER1058" s="31"/>
      <c r="ES1058" s="31"/>
      <c r="ET1058" s="31"/>
      <c r="EU1058" s="31"/>
      <c r="EV1058" s="31"/>
      <c r="EW1058" s="31"/>
      <c r="EX1058" s="31"/>
      <c r="EY1058" s="31"/>
      <c r="EZ1058" s="31"/>
      <c r="FA1058" s="31"/>
      <c r="FB1058" s="31"/>
      <c r="FC1058" s="31"/>
      <c r="FD1058" s="31"/>
      <c r="FE1058" s="31"/>
      <c r="FF1058" s="31"/>
      <c r="FG1058" s="31"/>
      <c r="FH1058" s="31"/>
      <c r="FI1058" s="31"/>
      <c r="FJ1058" s="31"/>
      <c r="FK1058" s="31"/>
      <c r="FL1058" s="31"/>
      <c r="FM1058" s="31"/>
      <c r="FN1058" s="31"/>
      <c r="FO1058" s="31"/>
      <c r="FP1058" s="31"/>
      <c r="FQ1058" s="31"/>
      <c r="FR1058" s="31"/>
      <c r="FS1058" s="31"/>
      <c r="FT1058" s="31"/>
      <c r="FU1058" s="31"/>
      <c r="FV1058" s="31"/>
      <c r="FW1058" s="31"/>
      <c r="FX1058" s="31"/>
      <c r="FY1058" s="31"/>
      <c r="FZ1058" s="31"/>
      <c r="GA1058" s="31"/>
      <c r="GB1058" s="31"/>
      <c r="GC1058" s="31"/>
      <c r="GD1058" s="31"/>
      <c r="GE1058" s="31"/>
      <c r="GF1058" s="31"/>
      <c r="GG1058" s="31"/>
      <c r="GH1058" s="31"/>
      <c r="GI1058" s="31"/>
      <c r="GJ1058" s="31"/>
      <c r="GK1058" s="31"/>
      <c r="GL1058" s="31"/>
      <c r="GM1058" s="31"/>
      <c r="GN1058" s="31"/>
      <c r="GO1058" s="31"/>
      <c r="GP1058" s="31"/>
      <c r="GQ1058" s="31"/>
      <c r="GR1058" s="31"/>
      <c r="GS1058" s="31"/>
      <c r="GT1058" s="31"/>
      <c r="GU1058" s="31"/>
      <c r="GV1058" s="31"/>
      <c r="GW1058" s="31"/>
      <c r="GX1058" s="31"/>
      <c r="GY1058" s="31"/>
      <c r="GZ1058" s="31"/>
      <c r="HA1058" s="31"/>
      <c r="HB1058" s="31"/>
      <c r="HC1058" s="31"/>
      <c r="HD1058" s="31"/>
      <c r="HE1058" s="31"/>
      <c r="HF1058" s="31"/>
      <c r="HG1058" s="31"/>
      <c r="HH1058" s="31"/>
      <c r="HI1058" s="31"/>
      <c r="HJ1058" s="31"/>
      <c r="HK1058" s="31"/>
      <c r="HL1058" s="31"/>
      <c r="HM1058" s="31"/>
      <c r="HN1058" s="31"/>
      <c r="HO1058" s="31"/>
      <c r="HP1058" s="31"/>
      <c r="HQ1058" s="31"/>
      <c r="HR1058" s="31"/>
      <c r="HS1058" s="31"/>
      <c r="HT1058" s="31"/>
      <c r="HU1058" s="31"/>
      <c r="HV1058" s="31"/>
      <c r="HW1058" s="31"/>
      <c r="HX1058" s="31"/>
      <c r="HY1058" s="31"/>
      <c r="HZ1058" s="31"/>
      <c r="IA1058" s="31"/>
      <c r="IB1058" s="31"/>
      <c r="IC1058" s="31"/>
      <c r="ID1058" s="31"/>
      <c r="IE1058" s="31"/>
      <c r="IF1058" s="31"/>
      <c r="IG1058" s="31"/>
      <c r="IH1058" s="31"/>
      <c r="II1058" s="31"/>
      <c r="IJ1058" s="31"/>
      <c r="IK1058" s="31"/>
      <c r="IL1058" s="31"/>
      <c r="IM1058" s="31"/>
      <c r="IN1058" s="31"/>
      <c r="IO1058" s="31"/>
      <c r="IP1058" s="31"/>
      <c r="IQ1058" s="31"/>
      <c r="IR1058" s="31"/>
      <c r="IS1058" s="31"/>
      <c r="IT1058" s="31"/>
      <c r="IU1058" s="31"/>
      <c r="IV1058" s="31"/>
      <c r="IW1058" s="31"/>
      <c r="IX1058" s="31"/>
      <c r="IY1058" s="31"/>
      <c r="IZ1058" s="31"/>
      <c r="JA1058" s="31"/>
      <c r="JB1058" s="31"/>
      <c r="JC1058" s="31"/>
      <c r="JD1058" s="31"/>
      <c r="JE1058" s="31"/>
      <c r="JF1058" s="31"/>
      <c r="JG1058" s="31"/>
      <c r="JH1058" s="31"/>
      <c r="JI1058" s="31"/>
      <c r="JJ1058" s="31"/>
      <c r="JK1058" s="31"/>
      <c r="JL1058" s="31"/>
      <c r="JM1058" s="31"/>
      <c r="JN1058" s="31"/>
      <c r="JO1058" s="31"/>
      <c r="JP1058" s="31"/>
      <c r="JQ1058" s="31"/>
      <c r="JR1058" s="31"/>
      <c r="JS1058" s="31"/>
      <c r="JT1058" s="31"/>
      <c r="JU1058" s="31"/>
      <c r="JV1058" s="31"/>
      <c r="JW1058" s="31"/>
      <c r="JX1058" s="31"/>
      <c r="JY1058" s="31"/>
      <c r="JZ1058" s="31"/>
      <c r="KA1058" s="31"/>
      <c r="KB1058" s="31"/>
      <c r="KC1058" s="31"/>
      <c r="KD1058" s="31"/>
      <c r="KE1058" s="31"/>
      <c r="KF1058" s="31"/>
      <c r="KG1058" s="31"/>
      <c r="KH1058" s="31"/>
      <c r="KI1058" s="31"/>
      <c r="KJ1058" s="31"/>
      <c r="KK1058" s="31"/>
      <c r="KL1058" s="31"/>
      <c r="KM1058" s="31"/>
      <c r="KN1058" s="31"/>
      <c r="KO1058" s="31"/>
      <c r="KP1058" s="31"/>
      <c r="KQ1058" s="31"/>
      <c r="KR1058" s="31"/>
      <c r="KS1058" s="31"/>
      <c r="KT1058" s="31"/>
      <c r="KU1058" s="31"/>
      <c r="KV1058" s="31"/>
      <c r="KW1058" s="31"/>
      <c r="KX1058" s="31"/>
      <c r="KY1058" s="31"/>
      <c r="KZ1058" s="31"/>
      <c r="LA1058" s="31"/>
      <c r="LB1058" s="31"/>
      <c r="LC1058" s="31"/>
      <c r="LD1058" s="31"/>
      <c r="LE1058" s="31"/>
      <c r="LF1058" s="31"/>
      <c r="LG1058" s="31"/>
      <c r="LH1058" s="31"/>
      <c r="LI1058" s="31"/>
      <c r="LJ1058" s="31"/>
      <c r="LK1058" s="31"/>
      <c r="LL1058" s="31"/>
      <c r="LM1058" s="31"/>
      <c r="LN1058" s="31"/>
      <c r="LO1058" s="31"/>
      <c r="LP1058" s="31"/>
      <c r="LQ1058" s="31"/>
      <c r="LR1058" s="31"/>
      <c r="LS1058" s="31"/>
      <c r="LT1058" s="31"/>
      <c r="LU1058" s="31"/>
      <c r="LV1058" s="31"/>
      <c r="LW1058" s="31"/>
      <c r="LX1058" s="31"/>
      <c r="LY1058" s="31"/>
      <c r="LZ1058" s="31"/>
      <c r="MA1058" s="31"/>
      <c r="MB1058" s="31"/>
      <c r="MC1058" s="31"/>
      <c r="MD1058" s="31"/>
      <c r="ME1058" s="31"/>
      <c r="MF1058" s="31"/>
      <c r="MG1058" s="31"/>
      <c r="MH1058" s="31"/>
      <c r="MI1058" s="31"/>
      <c r="MJ1058" s="31"/>
      <c r="MK1058" s="31"/>
      <c r="ML1058" s="31"/>
      <c r="MM1058" s="31"/>
      <c r="MN1058" s="31"/>
      <c r="MO1058" s="31"/>
      <c r="MP1058" s="31"/>
      <c r="MQ1058" s="31"/>
      <c r="MR1058" s="31"/>
      <c r="MS1058" s="31"/>
      <c r="MT1058" s="31"/>
      <c r="MU1058" s="31"/>
      <c r="MV1058" s="31"/>
      <c r="MW1058" s="31"/>
      <c r="MX1058" s="31"/>
      <c r="MY1058" s="31"/>
      <c r="MZ1058" s="31"/>
      <c r="NA1058" s="31"/>
      <c r="NB1058" s="31"/>
      <c r="NC1058" s="31"/>
      <c r="ND1058" s="31"/>
      <c r="NE1058" s="31"/>
      <c r="NF1058" s="31"/>
      <c r="NG1058" s="31"/>
      <c r="NH1058" s="31"/>
      <c r="NI1058" s="31"/>
      <c r="NJ1058" s="31"/>
      <c r="NK1058" s="31"/>
      <c r="NL1058" s="31"/>
      <c r="NM1058" s="31"/>
      <c r="NN1058" s="31"/>
      <c r="NO1058" s="31"/>
      <c r="NP1058" s="31"/>
      <c r="NQ1058" s="31"/>
      <c r="NR1058" s="31"/>
      <c r="NS1058" s="31"/>
      <c r="NT1058" s="31"/>
      <c r="NU1058" s="31"/>
      <c r="NV1058" s="31"/>
      <c r="NW1058" s="31"/>
      <c r="NX1058" s="31"/>
      <c r="NY1058" s="31"/>
      <c r="NZ1058" s="31"/>
      <c r="OA1058" s="31"/>
      <c r="OB1058" s="31"/>
      <c r="OC1058" s="31"/>
      <c r="OD1058" s="31"/>
      <c r="OE1058" s="31"/>
      <c r="OF1058" s="31"/>
      <c r="OG1058" s="31"/>
      <c r="OH1058" s="31"/>
      <c r="OI1058" s="31"/>
      <c r="OJ1058" s="31"/>
      <c r="OK1058" s="31"/>
      <c r="OL1058" s="31"/>
      <c r="OM1058" s="31"/>
      <c r="ON1058" s="31"/>
      <c r="OO1058" s="31"/>
      <c r="OP1058" s="31"/>
      <c r="OQ1058" s="31"/>
      <c r="OR1058" s="31"/>
      <c r="OS1058" s="31"/>
      <c r="OT1058" s="31"/>
      <c r="OU1058" s="31"/>
      <c r="OV1058" s="31"/>
      <c r="OW1058" s="31"/>
      <c r="OX1058" s="31"/>
      <c r="OY1058" s="31"/>
      <c r="OZ1058" s="31"/>
      <c r="PA1058" s="31"/>
      <c r="PB1058" s="31"/>
      <c r="PC1058" s="31"/>
      <c r="PD1058" s="31"/>
      <c r="PE1058" s="31"/>
      <c r="PF1058" s="31"/>
      <c r="PG1058" s="31"/>
      <c r="PH1058" s="31"/>
      <c r="PI1058" s="31"/>
      <c r="PJ1058" s="31"/>
      <c r="PK1058" s="31"/>
      <c r="PL1058" s="31"/>
      <c r="PM1058" s="31"/>
      <c r="PN1058" s="31"/>
      <c r="PO1058" s="31"/>
      <c r="PP1058" s="31"/>
      <c r="PQ1058" s="31"/>
      <c r="PR1058" s="31"/>
      <c r="PS1058" s="31"/>
      <c r="PT1058" s="31"/>
      <c r="PU1058" s="31"/>
      <c r="PV1058" s="31"/>
      <c r="PW1058" s="31"/>
      <c r="PX1058" s="31"/>
      <c r="PY1058" s="31"/>
      <c r="PZ1058" s="31"/>
      <c r="QA1058" s="31"/>
      <c r="QB1058" s="31"/>
      <c r="QC1058" s="31"/>
      <c r="QD1058" s="31"/>
      <c r="QE1058" s="31"/>
      <c r="QF1058" s="31"/>
      <c r="QG1058" s="31"/>
      <c r="QH1058" s="31"/>
      <c r="QI1058" s="31"/>
      <c r="QJ1058" s="31"/>
      <c r="QK1058" s="31"/>
      <c r="QL1058" s="31"/>
      <c r="QM1058" s="31"/>
      <c r="QN1058" s="31"/>
      <c r="QO1058" s="31"/>
      <c r="QP1058" s="31"/>
      <c r="QQ1058" s="31"/>
      <c r="QR1058" s="31"/>
      <c r="QS1058" s="31"/>
      <c r="QT1058" s="31"/>
      <c r="QU1058" s="31"/>
      <c r="QV1058" s="31"/>
      <c r="QW1058" s="31"/>
      <c r="QX1058" s="31"/>
      <c r="QY1058" s="31"/>
      <c r="QZ1058" s="31"/>
      <c r="RA1058" s="31"/>
      <c r="RB1058" s="31"/>
      <c r="RC1058" s="31"/>
      <c r="RD1058" s="31"/>
      <c r="RE1058" s="31"/>
      <c r="RF1058" s="31"/>
      <c r="RG1058" s="31"/>
      <c r="RH1058" s="31"/>
      <c r="RI1058" s="31"/>
      <c r="RJ1058" s="31"/>
      <c r="RK1058" s="31"/>
      <c r="RL1058" s="31"/>
      <c r="RM1058" s="31"/>
      <c r="RN1058" s="31"/>
      <c r="RO1058" s="31"/>
      <c r="RP1058" s="31"/>
      <c r="RQ1058" s="31"/>
      <c r="RR1058" s="31"/>
      <c r="RS1058" s="31"/>
      <c r="RT1058" s="31"/>
      <c r="RU1058" s="31"/>
      <c r="RV1058" s="31"/>
      <c r="RW1058" s="31"/>
      <c r="RX1058" s="31"/>
      <c r="RY1058" s="31"/>
      <c r="RZ1058" s="31"/>
      <c r="SA1058" s="31"/>
      <c r="SB1058" s="31"/>
      <c r="SC1058" s="31"/>
      <c r="SD1058" s="31"/>
      <c r="SE1058" s="31"/>
      <c r="SF1058" s="31"/>
      <c r="SG1058" s="31"/>
      <c r="SH1058" s="31"/>
      <c r="SI1058" s="31"/>
      <c r="SJ1058" s="31"/>
      <c r="SK1058" s="31"/>
      <c r="SL1058" s="31"/>
      <c r="SM1058" s="31"/>
      <c r="SN1058" s="31"/>
      <c r="SO1058" s="31"/>
      <c r="SP1058" s="31"/>
      <c r="SQ1058" s="31"/>
      <c r="SR1058" s="31"/>
      <c r="SS1058" s="31"/>
      <c r="ST1058" s="31"/>
      <c r="SU1058" s="31"/>
      <c r="SV1058" s="31"/>
      <c r="SW1058" s="31"/>
      <c r="SX1058" s="31"/>
      <c r="SY1058" s="31"/>
      <c r="SZ1058" s="31"/>
      <c r="TA1058" s="31"/>
      <c r="TB1058" s="31"/>
      <c r="TC1058" s="31"/>
      <c r="TD1058" s="31"/>
      <c r="TE1058" s="31"/>
      <c r="TF1058" s="31"/>
      <c r="TG1058" s="31"/>
      <c r="TH1058" s="31"/>
      <c r="TI1058" s="31"/>
      <c r="TJ1058" s="31"/>
      <c r="TK1058" s="31"/>
      <c r="TL1058" s="31"/>
      <c r="TM1058" s="31"/>
      <c r="TN1058" s="31"/>
      <c r="TO1058" s="31"/>
      <c r="TP1058" s="31"/>
      <c r="TQ1058" s="31"/>
      <c r="TR1058" s="31"/>
      <c r="TS1058" s="31"/>
      <c r="TT1058" s="31"/>
      <c r="TU1058" s="31"/>
      <c r="TV1058" s="31"/>
      <c r="TW1058" s="31"/>
      <c r="TX1058" s="31"/>
      <c r="TY1058" s="31"/>
      <c r="TZ1058" s="31"/>
      <c r="UA1058" s="31"/>
      <c r="UB1058" s="31"/>
      <c r="UC1058" s="31"/>
      <c r="UD1058" s="31"/>
      <c r="UE1058" s="31"/>
      <c r="UF1058" s="31"/>
      <c r="UG1058" s="33"/>
    </row>
    <row r="1059" spans="1:553" s="462" customFormat="1" ht="135.75" customHeight="1">
      <c r="A1059" s="356"/>
      <c r="B1059" s="385"/>
      <c r="C1059" s="384" t="s">
        <v>598</v>
      </c>
      <c r="D1059" s="376" t="str">
        <f t="shared" ref="D1059:E1059" si="157">D1053</f>
        <v>2</v>
      </c>
      <c r="E1059" s="376" t="str">
        <f t="shared" si="157"/>
        <v>295</v>
      </c>
      <c r="F1059" s="385"/>
      <c r="G1059" s="386" t="s">
        <v>935</v>
      </c>
      <c r="H1059" s="370"/>
      <c r="I1059" s="422">
        <f>I1053</f>
        <v>538.70000000000005</v>
      </c>
      <c r="J1059" s="1074">
        <f>62000-55000</f>
        <v>7000</v>
      </c>
      <c r="K1059" s="1106"/>
      <c r="L1059" s="735">
        <f t="shared" ref="L1059:L1064" si="158">I1059*J1059</f>
        <v>3770900.0000000005</v>
      </c>
      <c r="M1059" s="366"/>
      <c r="N1059" s="366"/>
      <c r="O1059" s="366"/>
      <c r="P1059" s="366"/>
      <c r="Q1059" s="812"/>
      <c r="R1059" s="1226"/>
      <c r="S1059" s="308"/>
      <c r="T1059" s="308"/>
      <c r="U1059" s="308"/>
      <c r="V1059" s="308"/>
      <c r="W1059" s="308"/>
      <c r="X1059" s="308"/>
      <c r="Y1059" s="308"/>
      <c r="Z1059" s="604"/>
      <c r="AA1059" s="308"/>
      <c r="AB1059" s="308"/>
      <c r="AC1059" s="449"/>
      <c r="AD1059" s="449"/>
      <c r="AE1059" s="449"/>
      <c r="AF1059" s="449"/>
      <c r="AG1059" s="449"/>
      <c r="AH1059" s="449"/>
      <c r="AI1059" s="449"/>
      <c r="AJ1059" s="449"/>
      <c r="AK1059" s="452"/>
      <c r="AL1059" s="979"/>
      <c r="AM1059" s="980"/>
      <c r="AN1059" s="980"/>
      <c r="AO1059" s="980"/>
      <c r="AP1059" s="980"/>
      <c r="AQ1059" s="980"/>
      <c r="AR1059" s="980"/>
      <c r="AS1059" s="977"/>
      <c r="AT1059" s="977"/>
      <c r="AU1059" s="977"/>
      <c r="AV1059" s="977"/>
      <c r="AW1059" s="977"/>
      <c r="AX1059" s="977"/>
      <c r="AY1059" s="977"/>
      <c r="AZ1059" s="977"/>
      <c r="BA1059" s="977"/>
      <c r="BB1059" s="977"/>
      <c r="BC1059" s="977"/>
      <c r="BD1059" s="977"/>
      <c r="BE1059" s="977"/>
      <c r="BF1059" s="977"/>
      <c r="BG1059" s="977"/>
      <c r="BH1059" s="977"/>
      <c r="BI1059" s="977"/>
      <c r="BJ1059" s="977"/>
      <c r="BK1059" s="977"/>
      <c r="BL1059" s="977"/>
      <c r="BM1059" s="977"/>
      <c r="BN1059" s="977"/>
      <c r="BO1059" s="977"/>
      <c r="BP1059" s="977"/>
      <c r="BQ1059" s="977"/>
      <c r="BR1059" s="977"/>
      <c r="BS1059" s="977"/>
      <c r="BT1059" s="977"/>
      <c r="BU1059" s="977"/>
      <c r="BV1059" s="977"/>
      <c r="BW1059" s="977"/>
      <c r="BX1059" s="977"/>
      <c r="BY1059" s="977"/>
      <c r="BZ1059" s="977"/>
      <c r="CA1059" s="977"/>
      <c r="CB1059" s="977"/>
      <c r="CC1059" s="977"/>
      <c r="CD1059" s="977"/>
      <c r="CE1059" s="977"/>
      <c r="CF1059" s="977"/>
      <c r="CG1059" s="977"/>
      <c r="CH1059" s="977"/>
      <c r="CI1059" s="977"/>
      <c r="CJ1059" s="977"/>
      <c r="CK1059" s="977"/>
      <c r="CL1059" s="977"/>
      <c r="CM1059" s="977"/>
      <c r="CN1059" s="977"/>
      <c r="CO1059" s="977"/>
      <c r="CP1059" s="977"/>
      <c r="CQ1059" s="977"/>
      <c r="CR1059" s="977"/>
      <c r="CS1059" s="977"/>
      <c r="CT1059" s="977"/>
      <c r="CU1059" s="977"/>
      <c r="CV1059" s="977"/>
      <c r="CW1059" s="977"/>
      <c r="CX1059" s="977"/>
      <c r="CY1059" s="977"/>
      <c r="CZ1059" s="977"/>
      <c r="DA1059" s="977"/>
      <c r="DB1059" s="977"/>
      <c r="DC1059" s="977"/>
      <c r="DD1059" s="977"/>
      <c r="DE1059" s="977"/>
      <c r="DF1059" s="977"/>
      <c r="DG1059" s="977"/>
      <c r="DH1059" s="977"/>
      <c r="DI1059" s="977"/>
      <c r="DJ1059" s="977"/>
      <c r="DK1059" s="977"/>
      <c r="DL1059" s="977"/>
      <c r="DM1059" s="977"/>
      <c r="DN1059" s="977"/>
      <c r="DO1059" s="977"/>
      <c r="DP1059" s="977"/>
      <c r="DQ1059" s="977"/>
      <c r="DR1059" s="977"/>
      <c r="DS1059" s="977"/>
      <c r="DT1059" s="977"/>
      <c r="DU1059" s="977"/>
      <c r="DV1059" s="977"/>
      <c r="DW1059" s="977"/>
      <c r="DX1059" s="977"/>
      <c r="DY1059" s="977"/>
      <c r="DZ1059" s="977"/>
      <c r="EA1059" s="977"/>
      <c r="EB1059" s="977"/>
      <c r="EC1059" s="977"/>
      <c r="ED1059" s="977"/>
      <c r="EE1059" s="977"/>
      <c r="EF1059" s="977"/>
      <c r="EG1059" s="977"/>
      <c r="EH1059" s="977"/>
      <c r="EI1059" s="977"/>
      <c r="EJ1059" s="977"/>
      <c r="EK1059" s="977"/>
      <c r="EL1059" s="977"/>
      <c r="EM1059" s="977"/>
      <c r="EN1059" s="977"/>
      <c r="EO1059" s="977"/>
      <c r="EP1059" s="977"/>
      <c r="EQ1059" s="977"/>
      <c r="ER1059" s="977"/>
      <c r="ES1059" s="977"/>
      <c r="ET1059" s="977"/>
      <c r="EU1059" s="977"/>
      <c r="EV1059" s="977"/>
      <c r="EW1059" s="977"/>
      <c r="EX1059" s="977"/>
      <c r="EY1059" s="977"/>
      <c r="EZ1059" s="977"/>
      <c r="FA1059" s="977"/>
      <c r="FB1059" s="977"/>
      <c r="FC1059" s="977"/>
      <c r="FD1059" s="977"/>
      <c r="FE1059" s="977"/>
      <c r="FF1059" s="977"/>
      <c r="FG1059" s="977"/>
      <c r="FH1059" s="977"/>
      <c r="FI1059" s="977"/>
      <c r="FJ1059" s="977"/>
      <c r="FK1059" s="977"/>
      <c r="FL1059" s="977"/>
      <c r="FM1059" s="977"/>
      <c r="FN1059" s="977"/>
      <c r="FO1059" s="977"/>
      <c r="FP1059" s="977"/>
      <c r="FQ1059" s="977"/>
      <c r="FR1059" s="977"/>
      <c r="FS1059" s="977"/>
      <c r="FT1059" s="977"/>
      <c r="FU1059" s="977"/>
      <c r="FV1059" s="977"/>
      <c r="FW1059" s="977"/>
      <c r="FX1059" s="977"/>
      <c r="FY1059" s="977"/>
      <c r="FZ1059" s="977"/>
      <c r="GA1059" s="977"/>
      <c r="GB1059" s="977"/>
      <c r="GC1059" s="977"/>
      <c r="GD1059" s="977"/>
      <c r="GE1059" s="977"/>
      <c r="GF1059" s="977"/>
      <c r="GG1059" s="977"/>
      <c r="GH1059" s="977"/>
      <c r="GI1059" s="977"/>
      <c r="GJ1059" s="977"/>
      <c r="GK1059" s="977"/>
      <c r="GL1059" s="977"/>
      <c r="GM1059" s="977"/>
      <c r="GN1059" s="977"/>
      <c r="GO1059" s="977"/>
      <c r="GP1059" s="977"/>
      <c r="GQ1059" s="977"/>
      <c r="GR1059" s="977"/>
      <c r="GS1059" s="977"/>
      <c r="GT1059" s="977"/>
      <c r="GU1059" s="977"/>
      <c r="GV1059" s="977"/>
      <c r="GW1059" s="977"/>
      <c r="GX1059" s="977"/>
      <c r="GY1059" s="977"/>
      <c r="GZ1059" s="977"/>
      <c r="HA1059" s="977"/>
      <c r="HB1059" s="977"/>
      <c r="HC1059" s="977"/>
      <c r="HD1059" s="977"/>
      <c r="HE1059" s="977"/>
      <c r="HF1059" s="977"/>
      <c r="HG1059" s="977"/>
      <c r="HH1059" s="977"/>
      <c r="HI1059" s="977"/>
      <c r="HJ1059" s="977"/>
      <c r="HK1059" s="977"/>
      <c r="HL1059" s="977"/>
      <c r="HM1059" s="977"/>
      <c r="HN1059" s="977"/>
      <c r="HO1059" s="977"/>
      <c r="HP1059" s="977"/>
      <c r="HQ1059" s="977"/>
      <c r="HR1059" s="977"/>
      <c r="HS1059" s="977"/>
      <c r="HT1059" s="977"/>
      <c r="HU1059" s="977"/>
      <c r="HV1059" s="977"/>
      <c r="HW1059" s="977"/>
      <c r="HX1059" s="977"/>
      <c r="HY1059" s="977"/>
      <c r="HZ1059" s="977"/>
      <c r="IA1059" s="977"/>
      <c r="IB1059" s="977"/>
      <c r="IC1059" s="977"/>
      <c r="ID1059" s="977"/>
      <c r="IE1059" s="977"/>
      <c r="IF1059" s="977"/>
      <c r="IG1059" s="977"/>
      <c r="IH1059" s="977"/>
      <c r="II1059" s="977"/>
      <c r="IJ1059" s="977"/>
      <c r="IK1059" s="977"/>
      <c r="IL1059" s="977"/>
      <c r="IM1059" s="977"/>
      <c r="IN1059" s="977"/>
      <c r="IO1059" s="977"/>
      <c r="IP1059" s="977"/>
      <c r="IQ1059" s="977"/>
      <c r="IR1059" s="977"/>
      <c r="IS1059" s="977"/>
      <c r="IT1059" s="977"/>
      <c r="IU1059" s="977"/>
      <c r="IV1059" s="977"/>
      <c r="IW1059" s="977"/>
      <c r="IX1059" s="977"/>
      <c r="IY1059" s="977"/>
      <c r="IZ1059" s="977"/>
      <c r="JA1059" s="977"/>
      <c r="JB1059" s="977"/>
      <c r="JC1059" s="977"/>
      <c r="JD1059" s="977"/>
      <c r="JE1059" s="977"/>
      <c r="JF1059" s="977"/>
      <c r="JG1059" s="977"/>
      <c r="JH1059" s="977"/>
      <c r="JI1059" s="977"/>
      <c r="JJ1059" s="977"/>
      <c r="JK1059" s="977"/>
      <c r="JL1059" s="977"/>
      <c r="JM1059" s="977"/>
      <c r="JN1059" s="977"/>
      <c r="JO1059" s="977"/>
      <c r="JP1059" s="977"/>
      <c r="JQ1059" s="977"/>
      <c r="JR1059" s="977"/>
      <c r="JS1059" s="977"/>
      <c r="JT1059" s="977"/>
      <c r="JU1059" s="977"/>
      <c r="JV1059" s="977"/>
      <c r="JW1059" s="977"/>
      <c r="JX1059" s="977"/>
      <c r="JY1059" s="977"/>
      <c r="JZ1059" s="977"/>
      <c r="KA1059" s="977"/>
      <c r="KB1059" s="977"/>
      <c r="KC1059" s="977"/>
      <c r="KD1059" s="977"/>
      <c r="KE1059" s="977"/>
      <c r="KF1059" s="977"/>
      <c r="KG1059" s="977"/>
      <c r="KH1059" s="977"/>
      <c r="KI1059" s="977"/>
      <c r="KJ1059" s="977"/>
      <c r="KK1059" s="977"/>
      <c r="KL1059" s="977"/>
      <c r="KM1059" s="977"/>
      <c r="KN1059" s="977"/>
      <c r="KO1059" s="977"/>
      <c r="KP1059" s="977"/>
      <c r="KQ1059" s="977"/>
      <c r="KR1059" s="977"/>
      <c r="KS1059" s="977"/>
      <c r="KT1059" s="977"/>
      <c r="KU1059" s="977"/>
      <c r="KV1059" s="977"/>
      <c r="KW1059" s="977"/>
      <c r="KX1059" s="977"/>
      <c r="KY1059" s="977"/>
      <c r="KZ1059" s="977"/>
      <c r="LA1059" s="977"/>
      <c r="LB1059" s="977"/>
      <c r="LC1059" s="977"/>
      <c r="LD1059" s="977"/>
      <c r="LE1059" s="977"/>
      <c r="LF1059" s="977"/>
      <c r="LG1059" s="977"/>
      <c r="LH1059" s="977"/>
      <c r="LI1059" s="977"/>
      <c r="LJ1059" s="977"/>
      <c r="LK1059" s="977"/>
      <c r="LL1059" s="977"/>
      <c r="LM1059" s="977"/>
      <c r="LN1059" s="977"/>
      <c r="LO1059" s="977"/>
      <c r="LP1059" s="977"/>
      <c r="LQ1059" s="977"/>
      <c r="LR1059" s="977"/>
      <c r="LS1059" s="977"/>
      <c r="LT1059" s="977"/>
      <c r="LU1059" s="977"/>
      <c r="LV1059" s="977"/>
      <c r="LW1059" s="977"/>
      <c r="LX1059" s="977"/>
      <c r="LY1059" s="977"/>
      <c r="LZ1059" s="977"/>
      <c r="MA1059" s="977"/>
      <c r="MB1059" s="977"/>
      <c r="MC1059" s="977"/>
      <c r="MD1059" s="977"/>
      <c r="ME1059" s="977"/>
      <c r="MF1059" s="977"/>
      <c r="MG1059" s="977"/>
      <c r="MH1059" s="977"/>
      <c r="MI1059" s="977"/>
      <c r="MJ1059" s="977"/>
      <c r="MK1059" s="977"/>
      <c r="ML1059" s="977"/>
      <c r="MM1059" s="977"/>
      <c r="MN1059" s="977"/>
      <c r="MO1059" s="977"/>
      <c r="MP1059" s="977"/>
      <c r="MQ1059" s="977"/>
      <c r="MR1059" s="977"/>
      <c r="MS1059" s="977"/>
      <c r="MT1059" s="977"/>
      <c r="MU1059" s="977"/>
      <c r="MV1059" s="977"/>
      <c r="MW1059" s="977"/>
      <c r="MX1059" s="977"/>
      <c r="MY1059" s="977"/>
      <c r="MZ1059" s="977"/>
      <c r="NA1059" s="977"/>
      <c r="NB1059" s="977"/>
      <c r="NC1059" s="977"/>
      <c r="ND1059" s="977"/>
      <c r="NE1059" s="977"/>
      <c r="NF1059" s="977"/>
      <c r="NG1059" s="977"/>
      <c r="NH1059" s="977"/>
      <c r="NI1059" s="977"/>
      <c r="NJ1059" s="977"/>
      <c r="NK1059" s="977"/>
      <c r="NL1059" s="977"/>
      <c r="NM1059" s="977"/>
      <c r="NN1059" s="977"/>
      <c r="NO1059" s="977"/>
      <c r="NP1059" s="977"/>
      <c r="NQ1059" s="977"/>
      <c r="NR1059" s="977"/>
      <c r="NS1059" s="977"/>
      <c r="NT1059" s="977"/>
      <c r="NU1059" s="977"/>
      <c r="NV1059" s="977"/>
      <c r="NW1059" s="977"/>
      <c r="NX1059" s="977"/>
      <c r="NY1059" s="977"/>
      <c r="NZ1059" s="977"/>
      <c r="OA1059" s="977"/>
      <c r="OB1059" s="977"/>
      <c r="OC1059" s="977"/>
      <c r="OD1059" s="977"/>
      <c r="OE1059" s="977"/>
      <c r="OF1059" s="977"/>
      <c r="OG1059" s="977"/>
      <c r="OH1059" s="977"/>
      <c r="OI1059" s="977"/>
      <c r="OJ1059" s="977"/>
      <c r="OK1059" s="977"/>
      <c r="OL1059" s="977"/>
      <c r="OM1059" s="977"/>
      <c r="ON1059" s="977"/>
      <c r="OO1059" s="977"/>
      <c r="OP1059" s="977"/>
      <c r="OQ1059" s="977"/>
      <c r="OR1059" s="977"/>
      <c r="OS1059" s="977"/>
      <c r="OT1059" s="977"/>
      <c r="OU1059" s="977"/>
      <c r="OV1059" s="977"/>
      <c r="OW1059" s="977"/>
      <c r="OX1059" s="977"/>
      <c r="OY1059" s="977"/>
      <c r="OZ1059" s="977"/>
      <c r="PA1059" s="977"/>
      <c r="PB1059" s="977"/>
      <c r="PC1059" s="977"/>
      <c r="PD1059" s="977"/>
      <c r="PE1059" s="977"/>
      <c r="PF1059" s="977"/>
      <c r="PG1059" s="977"/>
      <c r="PH1059" s="977"/>
      <c r="PI1059" s="977"/>
      <c r="PJ1059" s="977"/>
      <c r="PK1059" s="977"/>
      <c r="PL1059" s="977"/>
      <c r="PM1059" s="977"/>
      <c r="PN1059" s="977"/>
      <c r="PO1059" s="977"/>
      <c r="PP1059" s="977"/>
      <c r="PQ1059" s="977"/>
      <c r="PR1059" s="977"/>
      <c r="PS1059" s="977"/>
      <c r="PT1059" s="977"/>
      <c r="PU1059" s="977"/>
      <c r="PV1059" s="977"/>
      <c r="PW1059" s="977"/>
      <c r="PX1059" s="977"/>
      <c r="PY1059" s="977"/>
      <c r="PZ1059" s="977"/>
      <c r="QA1059" s="977"/>
      <c r="QB1059" s="977"/>
      <c r="QC1059" s="977"/>
      <c r="QD1059" s="977"/>
      <c r="QE1059" s="977"/>
      <c r="QF1059" s="977"/>
      <c r="QG1059" s="977"/>
      <c r="QH1059" s="977"/>
      <c r="QI1059" s="977"/>
      <c r="QJ1059" s="977"/>
      <c r="QK1059" s="977"/>
      <c r="QL1059" s="977"/>
      <c r="QM1059" s="977"/>
      <c r="QN1059" s="977"/>
      <c r="QO1059" s="977"/>
      <c r="QP1059" s="977"/>
      <c r="QQ1059" s="977"/>
      <c r="QR1059" s="977"/>
      <c r="QS1059" s="977"/>
      <c r="QT1059" s="977"/>
      <c r="QU1059" s="977"/>
      <c r="QV1059" s="977"/>
      <c r="QW1059" s="977"/>
      <c r="QX1059" s="977"/>
      <c r="QY1059" s="977"/>
      <c r="QZ1059" s="977"/>
      <c r="RA1059" s="977"/>
      <c r="RB1059" s="977"/>
      <c r="RC1059" s="977"/>
      <c r="RD1059" s="977"/>
      <c r="RE1059" s="977"/>
      <c r="RF1059" s="977"/>
      <c r="RG1059" s="977"/>
      <c r="RH1059" s="977"/>
      <c r="RI1059" s="977"/>
      <c r="RJ1059" s="977"/>
      <c r="RK1059" s="977"/>
      <c r="RL1059" s="977"/>
      <c r="RM1059" s="977"/>
      <c r="RN1059" s="977"/>
      <c r="RO1059" s="977"/>
      <c r="RP1059" s="977"/>
      <c r="RQ1059" s="977"/>
      <c r="RR1059" s="977"/>
      <c r="RS1059" s="977"/>
      <c r="RT1059" s="977"/>
      <c r="RU1059" s="977"/>
      <c r="RV1059" s="977"/>
      <c r="RW1059" s="977"/>
      <c r="RX1059" s="977"/>
      <c r="RY1059" s="977"/>
      <c r="RZ1059" s="977"/>
      <c r="SA1059" s="977"/>
      <c r="SB1059" s="977"/>
      <c r="SC1059" s="977"/>
      <c r="SD1059" s="977"/>
      <c r="SE1059" s="977"/>
      <c r="SF1059" s="977"/>
      <c r="SG1059" s="977"/>
      <c r="SH1059" s="977"/>
      <c r="SI1059" s="977"/>
      <c r="SJ1059" s="977"/>
      <c r="SK1059" s="977"/>
      <c r="SL1059" s="977"/>
      <c r="SM1059" s="977"/>
      <c r="SN1059" s="977"/>
      <c r="SO1059" s="977"/>
      <c r="SP1059" s="977"/>
      <c r="SQ1059" s="977"/>
      <c r="SR1059" s="977"/>
      <c r="SS1059" s="977"/>
      <c r="ST1059" s="977"/>
      <c r="SU1059" s="977"/>
      <c r="SV1059" s="977"/>
      <c r="SW1059" s="977"/>
      <c r="SX1059" s="977"/>
      <c r="SY1059" s="977"/>
      <c r="SZ1059" s="977"/>
      <c r="TA1059" s="977"/>
      <c r="TB1059" s="977"/>
      <c r="TC1059" s="977"/>
      <c r="TD1059" s="977"/>
      <c r="TE1059" s="977"/>
      <c r="TF1059" s="977"/>
      <c r="TG1059" s="977"/>
      <c r="TH1059" s="977"/>
      <c r="TI1059" s="977"/>
      <c r="TJ1059" s="977"/>
      <c r="TK1059" s="977"/>
      <c r="TL1059" s="977"/>
      <c r="TM1059" s="977"/>
      <c r="TN1059" s="977"/>
      <c r="TO1059" s="977"/>
      <c r="TP1059" s="977"/>
      <c r="TQ1059" s="977"/>
      <c r="TR1059" s="977"/>
      <c r="TS1059" s="977"/>
      <c r="TT1059" s="977"/>
      <c r="TU1059" s="977"/>
      <c r="TV1059" s="977"/>
      <c r="TW1059" s="977"/>
      <c r="TX1059" s="977"/>
      <c r="TY1059" s="977"/>
      <c r="TZ1059" s="977"/>
      <c r="UA1059" s="977"/>
      <c r="UB1059" s="977"/>
      <c r="UC1059" s="977"/>
      <c r="UD1059" s="977"/>
      <c r="UE1059" s="977"/>
      <c r="UF1059" s="977"/>
      <c r="UG1059" s="978"/>
    </row>
    <row r="1060" spans="1:553" s="462" customFormat="1" ht="135.75" customHeight="1">
      <c r="A1060" s="356"/>
      <c r="B1060" s="385"/>
      <c r="C1060" s="384" t="s">
        <v>274</v>
      </c>
      <c r="D1060" s="376" t="str">
        <f t="shared" ref="D1060:E1060" si="159">D1059</f>
        <v>2</v>
      </c>
      <c r="E1060" s="376" t="str">
        <f t="shared" si="159"/>
        <v>295</v>
      </c>
      <c r="F1060" s="385"/>
      <c r="G1060" s="386" t="s">
        <v>935</v>
      </c>
      <c r="H1060" s="370"/>
      <c r="I1060" s="422">
        <f>I1059</f>
        <v>538.70000000000005</v>
      </c>
      <c r="J1060" s="1074">
        <f>(66000*2.5)-(62000*2.5)</f>
        <v>10000</v>
      </c>
      <c r="K1060" s="1106"/>
      <c r="L1060" s="735">
        <f t="shared" si="158"/>
        <v>5387000</v>
      </c>
      <c r="M1060" s="366"/>
      <c r="N1060" s="366"/>
      <c r="O1060" s="366"/>
      <c r="P1060" s="366"/>
      <c r="Q1060" s="812"/>
      <c r="R1060" s="1226"/>
      <c r="S1060" s="308"/>
      <c r="T1060" s="308"/>
      <c r="U1060" s="308"/>
      <c r="V1060" s="308"/>
      <c r="W1060" s="308"/>
      <c r="X1060" s="308"/>
      <c r="Y1060" s="308"/>
      <c r="Z1060" s="604"/>
      <c r="AA1060" s="308"/>
      <c r="AB1060" s="308"/>
      <c r="AC1060" s="449"/>
      <c r="AD1060" s="449"/>
      <c r="AE1060" s="449"/>
      <c r="AF1060" s="449"/>
      <c r="AG1060" s="449"/>
      <c r="AH1060" s="449"/>
      <c r="AI1060" s="449"/>
      <c r="AJ1060" s="449"/>
      <c r="AK1060" s="452"/>
      <c r="AL1060" s="979"/>
      <c r="AM1060" s="980"/>
      <c r="AN1060" s="980"/>
      <c r="AO1060" s="980"/>
      <c r="AP1060" s="980"/>
      <c r="AQ1060" s="980"/>
      <c r="AR1060" s="980"/>
      <c r="AS1060" s="977"/>
      <c r="AT1060" s="977"/>
      <c r="AU1060" s="977"/>
      <c r="AV1060" s="977"/>
      <c r="AW1060" s="977"/>
      <c r="AX1060" s="977"/>
      <c r="AY1060" s="977"/>
      <c r="AZ1060" s="977"/>
      <c r="BA1060" s="977"/>
      <c r="BB1060" s="977"/>
      <c r="BC1060" s="977"/>
      <c r="BD1060" s="977"/>
      <c r="BE1060" s="977"/>
      <c r="BF1060" s="977"/>
      <c r="BG1060" s="977"/>
      <c r="BH1060" s="977"/>
      <c r="BI1060" s="977"/>
      <c r="BJ1060" s="977"/>
      <c r="BK1060" s="977"/>
      <c r="BL1060" s="977"/>
      <c r="BM1060" s="977"/>
      <c r="BN1060" s="977"/>
      <c r="BO1060" s="977"/>
      <c r="BP1060" s="977"/>
      <c r="BQ1060" s="977"/>
      <c r="BR1060" s="977"/>
      <c r="BS1060" s="977"/>
      <c r="BT1060" s="977"/>
      <c r="BU1060" s="977"/>
      <c r="BV1060" s="977"/>
      <c r="BW1060" s="977"/>
      <c r="BX1060" s="977"/>
      <c r="BY1060" s="977"/>
      <c r="BZ1060" s="977"/>
      <c r="CA1060" s="977"/>
      <c r="CB1060" s="977"/>
      <c r="CC1060" s="977"/>
      <c r="CD1060" s="977"/>
      <c r="CE1060" s="977"/>
      <c r="CF1060" s="977"/>
      <c r="CG1060" s="977"/>
      <c r="CH1060" s="977"/>
      <c r="CI1060" s="977"/>
      <c r="CJ1060" s="977"/>
      <c r="CK1060" s="977"/>
      <c r="CL1060" s="977"/>
      <c r="CM1060" s="977"/>
      <c r="CN1060" s="977"/>
      <c r="CO1060" s="977"/>
      <c r="CP1060" s="977"/>
      <c r="CQ1060" s="977"/>
      <c r="CR1060" s="977"/>
      <c r="CS1060" s="977"/>
      <c r="CT1060" s="977"/>
      <c r="CU1060" s="977"/>
      <c r="CV1060" s="977"/>
      <c r="CW1060" s="977"/>
      <c r="CX1060" s="977"/>
      <c r="CY1060" s="977"/>
      <c r="CZ1060" s="977"/>
      <c r="DA1060" s="977"/>
      <c r="DB1060" s="977"/>
      <c r="DC1060" s="977"/>
      <c r="DD1060" s="977"/>
      <c r="DE1060" s="977"/>
      <c r="DF1060" s="977"/>
      <c r="DG1060" s="977"/>
      <c r="DH1060" s="977"/>
      <c r="DI1060" s="977"/>
      <c r="DJ1060" s="977"/>
      <c r="DK1060" s="977"/>
      <c r="DL1060" s="977"/>
      <c r="DM1060" s="977"/>
      <c r="DN1060" s="977"/>
      <c r="DO1060" s="977"/>
      <c r="DP1060" s="977"/>
      <c r="DQ1060" s="977"/>
      <c r="DR1060" s="977"/>
      <c r="DS1060" s="977"/>
      <c r="DT1060" s="977"/>
      <c r="DU1060" s="977"/>
      <c r="DV1060" s="977"/>
      <c r="DW1060" s="977"/>
      <c r="DX1060" s="977"/>
      <c r="DY1060" s="977"/>
      <c r="DZ1060" s="977"/>
      <c r="EA1060" s="977"/>
      <c r="EB1060" s="977"/>
      <c r="EC1060" s="977"/>
      <c r="ED1060" s="977"/>
      <c r="EE1060" s="977"/>
      <c r="EF1060" s="977"/>
      <c r="EG1060" s="977"/>
      <c r="EH1060" s="977"/>
      <c r="EI1060" s="977"/>
      <c r="EJ1060" s="977"/>
      <c r="EK1060" s="977"/>
      <c r="EL1060" s="977"/>
      <c r="EM1060" s="977"/>
      <c r="EN1060" s="977"/>
      <c r="EO1060" s="977"/>
      <c r="EP1060" s="977"/>
      <c r="EQ1060" s="977"/>
      <c r="ER1060" s="977"/>
      <c r="ES1060" s="977"/>
      <c r="ET1060" s="977"/>
      <c r="EU1060" s="977"/>
      <c r="EV1060" s="977"/>
      <c r="EW1060" s="977"/>
      <c r="EX1060" s="977"/>
      <c r="EY1060" s="977"/>
      <c r="EZ1060" s="977"/>
      <c r="FA1060" s="977"/>
      <c r="FB1060" s="977"/>
      <c r="FC1060" s="977"/>
      <c r="FD1060" s="977"/>
      <c r="FE1060" s="977"/>
      <c r="FF1060" s="977"/>
      <c r="FG1060" s="977"/>
      <c r="FH1060" s="977"/>
      <c r="FI1060" s="977"/>
      <c r="FJ1060" s="977"/>
      <c r="FK1060" s="977"/>
      <c r="FL1060" s="977"/>
      <c r="FM1060" s="977"/>
      <c r="FN1060" s="977"/>
      <c r="FO1060" s="977"/>
      <c r="FP1060" s="977"/>
      <c r="FQ1060" s="977"/>
      <c r="FR1060" s="977"/>
      <c r="FS1060" s="977"/>
      <c r="FT1060" s="977"/>
      <c r="FU1060" s="977"/>
      <c r="FV1060" s="977"/>
      <c r="FW1060" s="977"/>
      <c r="FX1060" s="977"/>
      <c r="FY1060" s="977"/>
      <c r="FZ1060" s="977"/>
      <c r="GA1060" s="977"/>
      <c r="GB1060" s="977"/>
      <c r="GC1060" s="977"/>
      <c r="GD1060" s="977"/>
      <c r="GE1060" s="977"/>
      <c r="GF1060" s="977"/>
      <c r="GG1060" s="977"/>
      <c r="GH1060" s="977"/>
      <c r="GI1060" s="977"/>
      <c r="GJ1060" s="977"/>
      <c r="GK1060" s="977"/>
      <c r="GL1060" s="977"/>
      <c r="GM1060" s="977"/>
      <c r="GN1060" s="977"/>
      <c r="GO1060" s="977"/>
      <c r="GP1060" s="977"/>
      <c r="GQ1060" s="977"/>
      <c r="GR1060" s="977"/>
      <c r="GS1060" s="977"/>
      <c r="GT1060" s="977"/>
      <c r="GU1060" s="977"/>
      <c r="GV1060" s="977"/>
      <c r="GW1060" s="977"/>
      <c r="GX1060" s="977"/>
      <c r="GY1060" s="977"/>
      <c r="GZ1060" s="977"/>
      <c r="HA1060" s="977"/>
      <c r="HB1060" s="977"/>
      <c r="HC1060" s="977"/>
      <c r="HD1060" s="977"/>
      <c r="HE1060" s="977"/>
      <c r="HF1060" s="977"/>
      <c r="HG1060" s="977"/>
      <c r="HH1060" s="977"/>
      <c r="HI1060" s="977"/>
      <c r="HJ1060" s="977"/>
      <c r="HK1060" s="977"/>
      <c r="HL1060" s="977"/>
      <c r="HM1060" s="977"/>
      <c r="HN1060" s="977"/>
      <c r="HO1060" s="977"/>
      <c r="HP1060" s="977"/>
      <c r="HQ1060" s="977"/>
      <c r="HR1060" s="977"/>
      <c r="HS1060" s="977"/>
      <c r="HT1060" s="977"/>
      <c r="HU1060" s="977"/>
      <c r="HV1060" s="977"/>
      <c r="HW1060" s="977"/>
      <c r="HX1060" s="977"/>
      <c r="HY1060" s="977"/>
      <c r="HZ1060" s="977"/>
      <c r="IA1060" s="977"/>
      <c r="IB1060" s="977"/>
      <c r="IC1060" s="977"/>
      <c r="ID1060" s="977"/>
      <c r="IE1060" s="977"/>
      <c r="IF1060" s="977"/>
      <c r="IG1060" s="977"/>
      <c r="IH1060" s="977"/>
      <c r="II1060" s="977"/>
      <c r="IJ1060" s="977"/>
      <c r="IK1060" s="977"/>
      <c r="IL1060" s="977"/>
      <c r="IM1060" s="977"/>
      <c r="IN1060" s="977"/>
      <c r="IO1060" s="977"/>
      <c r="IP1060" s="977"/>
      <c r="IQ1060" s="977"/>
      <c r="IR1060" s="977"/>
      <c r="IS1060" s="977"/>
      <c r="IT1060" s="977"/>
      <c r="IU1060" s="977"/>
      <c r="IV1060" s="977"/>
      <c r="IW1060" s="977"/>
      <c r="IX1060" s="977"/>
      <c r="IY1060" s="977"/>
      <c r="IZ1060" s="977"/>
      <c r="JA1060" s="977"/>
      <c r="JB1060" s="977"/>
      <c r="JC1060" s="977"/>
      <c r="JD1060" s="977"/>
      <c r="JE1060" s="977"/>
      <c r="JF1060" s="977"/>
      <c r="JG1060" s="977"/>
      <c r="JH1060" s="977"/>
      <c r="JI1060" s="977"/>
      <c r="JJ1060" s="977"/>
      <c r="JK1060" s="977"/>
      <c r="JL1060" s="977"/>
      <c r="JM1060" s="977"/>
      <c r="JN1060" s="977"/>
      <c r="JO1060" s="977"/>
      <c r="JP1060" s="977"/>
      <c r="JQ1060" s="977"/>
      <c r="JR1060" s="977"/>
      <c r="JS1060" s="977"/>
      <c r="JT1060" s="977"/>
      <c r="JU1060" s="977"/>
      <c r="JV1060" s="977"/>
      <c r="JW1060" s="977"/>
      <c r="JX1060" s="977"/>
      <c r="JY1060" s="977"/>
      <c r="JZ1060" s="977"/>
      <c r="KA1060" s="977"/>
      <c r="KB1060" s="977"/>
      <c r="KC1060" s="977"/>
      <c r="KD1060" s="977"/>
      <c r="KE1060" s="977"/>
      <c r="KF1060" s="977"/>
      <c r="KG1060" s="977"/>
      <c r="KH1060" s="977"/>
      <c r="KI1060" s="977"/>
      <c r="KJ1060" s="977"/>
      <c r="KK1060" s="977"/>
      <c r="KL1060" s="977"/>
      <c r="KM1060" s="977"/>
      <c r="KN1060" s="977"/>
      <c r="KO1060" s="977"/>
      <c r="KP1060" s="977"/>
      <c r="KQ1060" s="977"/>
      <c r="KR1060" s="977"/>
      <c r="KS1060" s="977"/>
      <c r="KT1060" s="977"/>
      <c r="KU1060" s="977"/>
      <c r="KV1060" s="977"/>
      <c r="KW1060" s="977"/>
      <c r="KX1060" s="977"/>
      <c r="KY1060" s="977"/>
      <c r="KZ1060" s="977"/>
      <c r="LA1060" s="977"/>
      <c r="LB1060" s="977"/>
      <c r="LC1060" s="977"/>
      <c r="LD1060" s="977"/>
      <c r="LE1060" s="977"/>
      <c r="LF1060" s="977"/>
      <c r="LG1060" s="977"/>
      <c r="LH1060" s="977"/>
      <c r="LI1060" s="977"/>
      <c r="LJ1060" s="977"/>
      <c r="LK1060" s="977"/>
      <c r="LL1060" s="977"/>
      <c r="LM1060" s="977"/>
      <c r="LN1060" s="977"/>
      <c r="LO1060" s="977"/>
      <c r="LP1060" s="977"/>
      <c r="LQ1060" s="977"/>
      <c r="LR1060" s="977"/>
      <c r="LS1060" s="977"/>
      <c r="LT1060" s="977"/>
      <c r="LU1060" s="977"/>
      <c r="LV1060" s="977"/>
      <c r="LW1060" s="977"/>
      <c r="LX1060" s="977"/>
      <c r="LY1060" s="977"/>
      <c r="LZ1060" s="977"/>
      <c r="MA1060" s="977"/>
      <c r="MB1060" s="977"/>
      <c r="MC1060" s="977"/>
      <c r="MD1060" s="977"/>
      <c r="ME1060" s="977"/>
      <c r="MF1060" s="977"/>
      <c r="MG1060" s="977"/>
      <c r="MH1060" s="977"/>
      <c r="MI1060" s="977"/>
      <c r="MJ1060" s="977"/>
      <c r="MK1060" s="977"/>
      <c r="ML1060" s="977"/>
      <c r="MM1060" s="977"/>
      <c r="MN1060" s="977"/>
      <c r="MO1060" s="977"/>
      <c r="MP1060" s="977"/>
      <c r="MQ1060" s="977"/>
      <c r="MR1060" s="977"/>
      <c r="MS1060" s="977"/>
      <c r="MT1060" s="977"/>
      <c r="MU1060" s="977"/>
      <c r="MV1060" s="977"/>
      <c r="MW1060" s="977"/>
      <c r="MX1060" s="977"/>
      <c r="MY1060" s="977"/>
      <c r="MZ1060" s="977"/>
      <c r="NA1060" s="977"/>
      <c r="NB1060" s="977"/>
      <c r="NC1060" s="977"/>
      <c r="ND1060" s="977"/>
      <c r="NE1060" s="977"/>
      <c r="NF1060" s="977"/>
      <c r="NG1060" s="977"/>
      <c r="NH1060" s="977"/>
      <c r="NI1060" s="977"/>
      <c r="NJ1060" s="977"/>
      <c r="NK1060" s="977"/>
      <c r="NL1060" s="977"/>
      <c r="NM1060" s="977"/>
      <c r="NN1060" s="977"/>
      <c r="NO1060" s="977"/>
      <c r="NP1060" s="977"/>
      <c r="NQ1060" s="977"/>
      <c r="NR1060" s="977"/>
      <c r="NS1060" s="977"/>
      <c r="NT1060" s="977"/>
      <c r="NU1060" s="977"/>
      <c r="NV1060" s="977"/>
      <c r="NW1060" s="977"/>
      <c r="NX1060" s="977"/>
      <c r="NY1060" s="977"/>
      <c r="NZ1060" s="977"/>
      <c r="OA1060" s="977"/>
      <c r="OB1060" s="977"/>
      <c r="OC1060" s="977"/>
      <c r="OD1060" s="977"/>
      <c r="OE1060" s="977"/>
      <c r="OF1060" s="977"/>
      <c r="OG1060" s="977"/>
      <c r="OH1060" s="977"/>
      <c r="OI1060" s="977"/>
      <c r="OJ1060" s="977"/>
      <c r="OK1060" s="977"/>
      <c r="OL1060" s="977"/>
      <c r="OM1060" s="977"/>
      <c r="ON1060" s="977"/>
      <c r="OO1060" s="977"/>
      <c r="OP1060" s="977"/>
      <c r="OQ1060" s="977"/>
      <c r="OR1060" s="977"/>
      <c r="OS1060" s="977"/>
      <c r="OT1060" s="977"/>
      <c r="OU1060" s="977"/>
      <c r="OV1060" s="977"/>
      <c r="OW1060" s="977"/>
      <c r="OX1060" s="977"/>
      <c r="OY1060" s="977"/>
      <c r="OZ1060" s="977"/>
      <c r="PA1060" s="977"/>
      <c r="PB1060" s="977"/>
      <c r="PC1060" s="977"/>
      <c r="PD1060" s="977"/>
      <c r="PE1060" s="977"/>
      <c r="PF1060" s="977"/>
      <c r="PG1060" s="977"/>
      <c r="PH1060" s="977"/>
      <c r="PI1060" s="977"/>
      <c r="PJ1060" s="977"/>
      <c r="PK1060" s="977"/>
      <c r="PL1060" s="977"/>
      <c r="PM1060" s="977"/>
      <c r="PN1060" s="977"/>
      <c r="PO1060" s="977"/>
      <c r="PP1060" s="977"/>
      <c r="PQ1060" s="977"/>
      <c r="PR1060" s="977"/>
      <c r="PS1060" s="977"/>
      <c r="PT1060" s="977"/>
      <c r="PU1060" s="977"/>
      <c r="PV1060" s="977"/>
      <c r="PW1060" s="977"/>
      <c r="PX1060" s="977"/>
      <c r="PY1060" s="977"/>
      <c r="PZ1060" s="977"/>
      <c r="QA1060" s="977"/>
      <c r="QB1060" s="977"/>
      <c r="QC1060" s="977"/>
      <c r="QD1060" s="977"/>
      <c r="QE1060" s="977"/>
      <c r="QF1060" s="977"/>
      <c r="QG1060" s="977"/>
      <c r="QH1060" s="977"/>
      <c r="QI1060" s="977"/>
      <c r="QJ1060" s="977"/>
      <c r="QK1060" s="977"/>
      <c r="QL1060" s="977"/>
      <c r="QM1060" s="977"/>
      <c r="QN1060" s="977"/>
      <c r="QO1060" s="977"/>
      <c r="QP1060" s="977"/>
      <c r="QQ1060" s="977"/>
      <c r="QR1060" s="977"/>
      <c r="QS1060" s="977"/>
      <c r="QT1060" s="977"/>
      <c r="QU1060" s="977"/>
      <c r="QV1060" s="977"/>
      <c r="QW1060" s="977"/>
      <c r="QX1060" s="977"/>
      <c r="QY1060" s="977"/>
      <c r="QZ1060" s="977"/>
      <c r="RA1060" s="977"/>
      <c r="RB1060" s="977"/>
      <c r="RC1060" s="977"/>
      <c r="RD1060" s="977"/>
      <c r="RE1060" s="977"/>
      <c r="RF1060" s="977"/>
      <c r="RG1060" s="977"/>
      <c r="RH1060" s="977"/>
      <c r="RI1060" s="977"/>
      <c r="RJ1060" s="977"/>
      <c r="RK1060" s="977"/>
      <c r="RL1060" s="977"/>
      <c r="RM1060" s="977"/>
      <c r="RN1060" s="977"/>
      <c r="RO1060" s="977"/>
      <c r="RP1060" s="977"/>
      <c r="RQ1060" s="977"/>
      <c r="RR1060" s="977"/>
      <c r="RS1060" s="977"/>
      <c r="RT1060" s="977"/>
      <c r="RU1060" s="977"/>
      <c r="RV1060" s="977"/>
      <c r="RW1060" s="977"/>
      <c r="RX1060" s="977"/>
      <c r="RY1060" s="977"/>
      <c r="RZ1060" s="977"/>
      <c r="SA1060" s="977"/>
      <c r="SB1060" s="977"/>
      <c r="SC1060" s="977"/>
      <c r="SD1060" s="977"/>
      <c r="SE1060" s="977"/>
      <c r="SF1060" s="977"/>
      <c r="SG1060" s="977"/>
      <c r="SH1060" s="977"/>
      <c r="SI1060" s="977"/>
      <c r="SJ1060" s="977"/>
      <c r="SK1060" s="977"/>
      <c r="SL1060" s="977"/>
      <c r="SM1060" s="977"/>
      <c r="SN1060" s="977"/>
      <c r="SO1060" s="977"/>
      <c r="SP1060" s="977"/>
      <c r="SQ1060" s="977"/>
      <c r="SR1060" s="977"/>
      <c r="SS1060" s="977"/>
      <c r="ST1060" s="977"/>
      <c r="SU1060" s="977"/>
      <c r="SV1060" s="977"/>
      <c r="SW1060" s="977"/>
      <c r="SX1060" s="977"/>
      <c r="SY1060" s="977"/>
      <c r="SZ1060" s="977"/>
      <c r="TA1060" s="977"/>
      <c r="TB1060" s="977"/>
      <c r="TC1060" s="977"/>
      <c r="TD1060" s="977"/>
      <c r="TE1060" s="977"/>
      <c r="TF1060" s="977"/>
      <c r="TG1060" s="977"/>
      <c r="TH1060" s="977"/>
      <c r="TI1060" s="977"/>
      <c r="TJ1060" s="977"/>
      <c r="TK1060" s="977"/>
      <c r="TL1060" s="977"/>
      <c r="TM1060" s="977"/>
      <c r="TN1060" s="977"/>
      <c r="TO1060" s="977"/>
      <c r="TP1060" s="977"/>
      <c r="TQ1060" s="977"/>
      <c r="TR1060" s="977"/>
      <c r="TS1060" s="977"/>
      <c r="TT1060" s="977"/>
      <c r="TU1060" s="977"/>
      <c r="TV1060" s="977"/>
      <c r="TW1060" s="977"/>
      <c r="TX1060" s="977"/>
      <c r="TY1060" s="977"/>
      <c r="TZ1060" s="977"/>
      <c r="UA1060" s="977"/>
      <c r="UB1060" s="977"/>
      <c r="UC1060" s="977"/>
      <c r="UD1060" s="977"/>
      <c r="UE1060" s="977"/>
      <c r="UF1060" s="977"/>
      <c r="UG1060" s="978"/>
    </row>
    <row r="1061" spans="1:553" s="462" customFormat="1" ht="135.75" customHeight="1">
      <c r="A1061" s="356"/>
      <c r="B1061" s="385"/>
      <c r="C1061" s="384" t="s">
        <v>598</v>
      </c>
      <c r="D1061" s="376" t="str">
        <f t="shared" ref="D1061:E1061" si="160">D1054</f>
        <v>2</v>
      </c>
      <c r="E1061" s="376" t="str">
        <f t="shared" si="160"/>
        <v>411</v>
      </c>
      <c r="F1061" s="385"/>
      <c r="G1061" s="386" t="s">
        <v>935</v>
      </c>
      <c r="H1061" s="370"/>
      <c r="I1061" s="422">
        <f>I1054</f>
        <v>121</v>
      </c>
      <c r="J1061" s="1074">
        <f>62000-55000</f>
        <v>7000</v>
      </c>
      <c r="K1061" s="1106"/>
      <c r="L1061" s="735">
        <f t="shared" si="158"/>
        <v>847000</v>
      </c>
      <c r="M1061" s="366"/>
      <c r="N1061" s="366"/>
      <c r="O1061" s="366"/>
      <c r="P1061" s="366"/>
      <c r="Q1061" s="812"/>
      <c r="R1061" s="1226"/>
      <c r="S1061" s="308"/>
      <c r="T1061" s="308"/>
      <c r="U1061" s="308"/>
      <c r="V1061" s="308"/>
      <c r="W1061" s="308"/>
      <c r="X1061" s="308"/>
      <c r="Y1061" s="308"/>
      <c r="Z1061" s="604"/>
      <c r="AA1061" s="308"/>
      <c r="AB1061" s="308"/>
      <c r="AC1061" s="449"/>
      <c r="AD1061" s="449"/>
      <c r="AE1061" s="449"/>
      <c r="AF1061" s="449"/>
      <c r="AG1061" s="449"/>
      <c r="AH1061" s="449"/>
      <c r="AI1061" s="449"/>
      <c r="AJ1061" s="449"/>
      <c r="AK1061" s="452"/>
      <c r="AL1061" s="979"/>
      <c r="AM1061" s="980"/>
      <c r="AN1061" s="980"/>
      <c r="AO1061" s="980"/>
      <c r="AP1061" s="980"/>
      <c r="AQ1061" s="980"/>
      <c r="AR1061" s="980"/>
      <c r="AS1061" s="977"/>
      <c r="AT1061" s="977"/>
      <c r="AU1061" s="977"/>
      <c r="AV1061" s="977"/>
      <c r="AW1061" s="977"/>
      <c r="AX1061" s="977"/>
      <c r="AY1061" s="977"/>
      <c r="AZ1061" s="977"/>
      <c r="BA1061" s="977"/>
      <c r="BB1061" s="977"/>
      <c r="BC1061" s="977"/>
      <c r="BD1061" s="977"/>
      <c r="BE1061" s="977"/>
      <c r="BF1061" s="977"/>
      <c r="BG1061" s="977"/>
      <c r="BH1061" s="977"/>
      <c r="BI1061" s="977"/>
      <c r="BJ1061" s="977"/>
      <c r="BK1061" s="977"/>
      <c r="BL1061" s="977"/>
      <c r="BM1061" s="977"/>
      <c r="BN1061" s="977"/>
      <c r="BO1061" s="977"/>
      <c r="BP1061" s="977"/>
      <c r="BQ1061" s="977"/>
      <c r="BR1061" s="977"/>
      <c r="BS1061" s="977"/>
      <c r="BT1061" s="977"/>
      <c r="BU1061" s="977"/>
      <c r="BV1061" s="977"/>
      <c r="BW1061" s="977"/>
      <c r="BX1061" s="977"/>
      <c r="BY1061" s="977"/>
      <c r="BZ1061" s="977"/>
      <c r="CA1061" s="977"/>
      <c r="CB1061" s="977"/>
      <c r="CC1061" s="977"/>
      <c r="CD1061" s="977"/>
      <c r="CE1061" s="977"/>
      <c r="CF1061" s="977"/>
      <c r="CG1061" s="977"/>
      <c r="CH1061" s="977"/>
      <c r="CI1061" s="977"/>
      <c r="CJ1061" s="977"/>
      <c r="CK1061" s="977"/>
      <c r="CL1061" s="977"/>
      <c r="CM1061" s="977"/>
      <c r="CN1061" s="977"/>
      <c r="CO1061" s="977"/>
      <c r="CP1061" s="977"/>
      <c r="CQ1061" s="977"/>
      <c r="CR1061" s="977"/>
      <c r="CS1061" s="977"/>
      <c r="CT1061" s="977"/>
      <c r="CU1061" s="977"/>
      <c r="CV1061" s="977"/>
      <c r="CW1061" s="977"/>
      <c r="CX1061" s="977"/>
      <c r="CY1061" s="977"/>
      <c r="CZ1061" s="977"/>
      <c r="DA1061" s="977"/>
      <c r="DB1061" s="977"/>
      <c r="DC1061" s="977"/>
      <c r="DD1061" s="977"/>
      <c r="DE1061" s="977"/>
      <c r="DF1061" s="977"/>
      <c r="DG1061" s="977"/>
      <c r="DH1061" s="977"/>
      <c r="DI1061" s="977"/>
      <c r="DJ1061" s="977"/>
      <c r="DK1061" s="977"/>
      <c r="DL1061" s="977"/>
      <c r="DM1061" s="977"/>
      <c r="DN1061" s="977"/>
      <c r="DO1061" s="977"/>
      <c r="DP1061" s="977"/>
      <c r="DQ1061" s="977"/>
      <c r="DR1061" s="977"/>
      <c r="DS1061" s="977"/>
      <c r="DT1061" s="977"/>
      <c r="DU1061" s="977"/>
      <c r="DV1061" s="977"/>
      <c r="DW1061" s="977"/>
      <c r="DX1061" s="977"/>
      <c r="DY1061" s="977"/>
      <c r="DZ1061" s="977"/>
      <c r="EA1061" s="977"/>
      <c r="EB1061" s="977"/>
      <c r="EC1061" s="977"/>
      <c r="ED1061" s="977"/>
      <c r="EE1061" s="977"/>
      <c r="EF1061" s="977"/>
      <c r="EG1061" s="977"/>
      <c r="EH1061" s="977"/>
      <c r="EI1061" s="977"/>
      <c r="EJ1061" s="977"/>
      <c r="EK1061" s="977"/>
      <c r="EL1061" s="977"/>
      <c r="EM1061" s="977"/>
      <c r="EN1061" s="977"/>
      <c r="EO1061" s="977"/>
      <c r="EP1061" s="977"/>
      <c r="EQ1061" s="977"/>
      <c r="ER1061" s="977"/>
      <c r="ES1061" s="977"/>
      <c r="ET1061" s="977"/>
      <c r="EU1061" s="977"/>
      <c r="EV1061" s="977"/>
      <c r="EW1061" s="977"/>
      <c r="EX1061" s="977"/>
      <c r="EY1061" s="977"/>
      <c r="EZ1061" s="977"/>
      <c r="FA1061" s="977"/>
      <c r="FB1061" s="977"/>
      <c r="FC1061" s="977"/>
      <c r="FD1061" s="977"/>
      <c r="FE1061" s="977"/>
      <c r="FF1061" s="977"/>
      <c r="FG1061" s="977"/>
      <c r="FH1061" s="977"/>
      <c r="FI1061" s="977"/>
      <c r="FJ1061" s="977"/>
      <c r="FK1061" s="977"/>
      <c r="FL1061" s="977"/>
      <c r="FM1061" s="977"/>
      <c r="FN1061" s="977"/>
      <c r="FO1061" s="977"/>
      <c r="FP1061" s="977"/>
      <c r="FQ1061" s="977"/>
      <c r="FR1061" s="977"/>
      <c r="FS1061" s="977"/>
      <c r="FT1061" s="977"/>
      <c r="FU1061" s="977"/>
      <c r="FV1061" s="977"/>
      <c r="FW1061" s="977"/>
      <c r="FX1061" s="977"/>
      <c r="FY1061" s="977"/>
      <c r="FZ1061" s="977"/>
      <c r="GA1061" s="977"/>
      <c r="GB1061" s="977"/>
      <c r="GC1061" s="977"/>
      <c r="GD1061" s="977"/>
      <c r="GE1061" s="977"/>
      <c r="GF1061" s="977"/>
      <c r="GG1061" s="977"/>
      <c r="GH1061" s="977"/>
      <c r="GI1061" s="977"/>
      <c r="GJ1061" s="977"/>
      <c r="GK1061" s="977"/>
      <c r="GL1061" s="977"/>
      <c r="GM1061" s="977"/>
      <c r="GN1061" s="977"/>
      <c r="GO1061" s="977"/>
      <c r="GP1061" s="977"/>
      <c r="GQ1061" s="977"/>
      <c r="GR1061" s="977"/>
      <c r="GS1061" s="977"/>
      <c r="GT1061" s="977"/>
      <c r="GU1061" s="977"/>
      <c r="GV1061" s="977"/>
      <c r="GW1061" s="977"/>
      <c r="GX1061" s="977"/>
      <c r="GY1061" s="977"/>
      <c r="GZ1061" s="977"/>
      <c r="HA1061" s="977"/>
      <c r="HB1061" s="977"/>
      <c r="HC1061" s="977"/>
      <c r="HD1061" s="977"/>
      <c r="HE1061" s="977"/>
      <c r="HF1061" s="977"/>
      <c r="HG1061" s="977"/>
      <c r="HH1061" s="977"/>
      <c r="HI1061" s="977"/>
      <c r="HJ1061" s="977"/>
      <c r="HK1061" s="977"/>
      <c r="HL1061" s="977"/>
      <c r="HM1061" s="977"/>
      <c r="HN1061" s="977"/>
      <c r="HO1061" s="977"/>
      <c r="HP1061" s="977"/>
      <c r="HQ1061" s="977"/>
      <c r="HR1061" s="977"/>
      <c r="HS1061" s="977"/>
      <c r="HT1061" s="977"/>
      <c r="HU1061" s="977"/>
      <c r="HV1061" s="977"/>
      <c r="HW1061" s="977"/>
      <c r="HX1061" s="977"/>
      <c r="HY1061" s="977"/>
      <c r="HZ1061" s="977"/>
      <c r="IA1061" s="977"/>
      <c r="IB1061" s="977"/>
      <c r="IC1061" s="977"/>
      <c r="ID1061" s="977"/>
      <c r="IE1061" s="977"/>
      <c r="IF1061" s="977"/>
      <c r="IG1061" s="977"/>
      <c r="IH1061" s="977"/>
      <c r="II1061" s="977"/>
      <c r="IJ1061" s="977"/>
      <c r="IK1061" s="977"/>
      <c r="IL1061" s="977"/>
      <c r="IM1061" s="977"/>
      <c r="IN1061" s="977"/>
      <c r="IO1061" s="977"/>
      <c r="IP1061" s="977"/>
      <c r="IQ1061" s="977"/>
      <c r="IR1061" s="977"/>
      <c r="IS1061" s="977"/>
      <c r="IT1061" s="977"/>
      <c r="IU1061" s="977"/>
      <c r="IV1061" s="977"/>
      <c r="IW1061" s="977"/>
      <c r="IX1061" s="977"/>
      <c r="IY1061" s="977"/>
      <c r="IZ1061" s="977"/>
      <c r="JA1061" s="977"/>
      <c r="JB1061" s="977"/>
      <c r="JC1061" s="977"/>
      <c r="JD1061" s="977"/>
      <c r="JE1061" s="977"/>
      <c r="JF1061" s="977"/>
      <c r="JG1061" s="977"/>
      <c r="JH1061" s="977"/>
      <c r="JI1061" s="977"/>
      <c r="JJ1061" s="977"/>
      <c r="JK1061" s="977"/>
      <c r="JL1061" s="977"/>
      <c r="JM1061" s="977"/>
      <c r="JN1061" s="977"/>
      <c r="JO1061" s="977"/>
      <c r="JP1061" s="977"/>
      <c r="JQ1061" s="977"/>
      <c r="JR1061" s="977"/>
      <c r="JS1061" s="977"/>
      <c r="JT1061" s="977"/>
      <c r="JU1061" s="977"/>
      <c r="JV1061" s="977"/>
      <c r="JW1061" s="977"/>
      <c r="JX1061" s="977"/>
      <c r="JY1061" s="977"/>
      <c r="JZ1061" s="977"/>
      <c r="KA1061" s="977"/>
      <c r="KB1061" s="977"/>
      <c r="KC1061" s="977"/>
      <c r="KD1061" s="977"/>
      <c r="KE1061" s="977"/>
      <c r="KF1061" s="977"/>
      <c r="KG1061" s="977"/>
      <c r="KH1061" s="977"/>
      <c r="KI1061" s="977"/>
      <c r="KJ1061" s="977"/>
      <c r="KK1061" s="977"/>
      <c r="KL1061" s="977"/>
      <c r="KM1061" s="977"/>
      <c r="KN1061" s="977"/>
      <c r="KO1061" s="977"/>
      <c r="KP1061" s="977"/>
      <c r="KQ1061" s="977"/>
      <c r="KR1061" s="977"/>
      <c r="KS1061" s="977"/>
      <c r="KT1061" s="977"/>
      <c r="KU1061" s="977"/>
      <c r="KV1061" s="977"/>
      <c r="KW1061" s="977"/>
      <c r="KX1061" s="977"/>
      <c r="KY1061" s="977"/>
      <c r="KZ1061" s="977"/>
      <c r="LA1061" s="977"/>
      <c r="LB1061" s="977"/>
      <c r="LC1061" s="977"/>
      <c r="LD1061" s="977"/>
      <c r="LE1061" s="977"/>
      <c r="LF1061" s="977"/>
      <c r="LG1061" s="977"/>
      <c r="LH1061" s="977"/>
      <c r="LI1061" s="977"/>
      <c r="LJ1061" s="977"/>
      <c r="LK1061" s="977"/>
      <c r="LL1061" s="977"/>
      <c r="LM1061" s="977"/>
      <c r="LN1061" s="977"/>
      <c r="LO1061" s="977"/>
      <c r="LP1061" s="977"/>
      <c r="LQ1061" s="977"/>
      <c r="LR1061" s="977"/>
      <c r="LS1061" s="977"/>
      <c r="LT1061" s="977"/>
      <c r="LU1061" s="977"/>
      <c r="LV1061" s="977"/>
      <c r="LW1061" s="977"/>
      <c r="LX1061" s="977"/>
      <c r="LY1061" s="977"/>
      <c r="LZ1061" s="977"/>
      <c r="MA1061" s="977"/>
      <c r="MB1061" s="977"/>
      <c r="MC1061" s="977"/>
      <c r="MD1061" s="977"/>
      <c r="ME1061" s="977"/>
      <c r="MF1061" s="977"/>
      <c r="MG1061" s="977"/>
      <c r="MH1061" s="977"/>
      <c r="MI1061" s="977"/>
      <c r="MJ1061" s="977"/>
      <c r="MK1061" s="977"/>
      <c r="ML1061" s="977"/>
      <c r="MM1061" s="977"/>
      <c r="MN1061" s="977"/>
      <c r="MO1061" s="977"/>
      <c r="MP1061" s="977"/>
      <c r="MQ1061" s="977"/>
      <c r="MR1061" s="977"/>
      <c r="MS1061" s="977"/>
      <c r="MT1061" s="977"/>
      <c r="MU1061" s="977"/>
      <c r="MV1061" s="977"/>
      <c r="MW1061" s="977"/>
      <c r="MX1061" s="977"/>
      <c r="MY1061" s="977"/>
      <c r="MZ1061" s="977"/>
      <c r="NA1061" s="977"/>
      <c r="NB1061" s="977"/>
      <c r="NC1061" s="977"/>
      <c r="ND1061" s="977"/>
      <c r="NE1061" s="977"/>
      <c r="NF1061" s="977"/>
      <c r="NG1061" s="977"/>
      <c r="NH1061" s="977"/>
      <c r="NI1061" s="977"/>
      <c r="NJ1061" s="977"/>
      <c r="NK1061" s="977"/>
      <c r="NL1061" s="977"/>
      <c r="NM1061" s="977"/>
      <c r="NN1061" s="977"/>
      <c r="NO1061" s="977"/>
      <c r="NP1061" s="977"/>
      <c r="NQ1061" s="977"/>
      <c r="NR1061" s="977"/>
      <c r="NS1061" s="977"/>
      <c r="NT1061" s="977"/>
      <c r="NU1061" s="977"/>
      <c r="NV1061" s="977"/>
      <c r="NW1061" s="977"/>
      <c r="NX1061" s="977"/>
      <c r="NY1061" s="977"/>
      <c r="NZ1061" s="977"/>
      <c r="OA1061" s="977"/>
      <c r="OB1061" s="977"/>
      <c r="OC1061" s="977"/>
      <c r="OD1061" s="977"/>
      <c r="OE1061" s="977"/>
      <c r="OF1061" s="977"/>
      <c r="OG1061" s="977"/>
      <c r="OH1061" s="977"/>
      <c r="OI1061" s="977"/>
      <c r="OJ1061" s="977"/>
      <c r="OK1061" s="977"/>
      <c r="OL1061" s="977"/>
      <c r="OM1061" s="977"/>
      <c r="ON1061" s="977"/>
      <c r="OO1061" s="977"/>
      <c r="OP1061" s="977"/>
      <c r="OQ1061" s="977"/>
      <c r="OR1061" s="977"/>
      <c r="OS1061" s="977"/>
      <c r="OT1061" s="977"/>
      <c r="OU1061" s="977"/>
      <c r="OV1061" s="977"/>
      <c r="OW1061" s="977"/>
      <c r="OX1061" s="977"/>
      <c r="OY1061" s="977"/>
      <c r="OZ1061" s="977"/>
      <c r="PA1061" s="977"/>
      <c r="PB1061" s="977"/>
      <c r="PC1061" s="977"/>
      <c r="PD1061" s="977"/>
      <c r="PE1061" s="977"/>
      <c r="PF1061" s="977"/>
      <c r="PG1061" s="977"/>
      <c r="PH1061" s="977"/>
      <c r="PI1061" s="977"/>
      <c r="PJ1061" s="977"/>
      <c r="PK1061" s="977"/>
      <c r="PL1061" s="977"/>
      <c r="PM1061" s="977"/>
      <c r="PN1061" s="977"/>
      <c r="PO1061" s="977"/>
      <c r="PP1061" s="977"/>
      <c r="PQ1061" s="977"/>
      <c r="PR1061" s="977"/>
      <c r="PS1061" s="977"/>
      <c r="PT1061" s="977"/>
      <c r="PU1061" s="977"/>
      <c r="PV1061" s="977"/>
      <c r="PW1061" s="977"/>
      <c r="PX1061" s="977"/>
      <c r="PY1061" s="977"/>
      <c r="PZ1061" s="977"/>
      <c r="QA1061" s="977"/>
      <c r="QB1061" s="977"/>
      <c r="QC1061" s="977"/>
      <c r="QD1061" s="977"/>
      <c r="QE1061" s="977"/>
      <c r="QF1061" s="977"/>
      <c r="QG1061" s="977"/>
      <c r="QH1061" s="977"/>
      <c r="QI1061" s="977"/>
      <c r="QJ1061" s="977"/>
      <c r="QK1061" s="977"/>
      <c r="QL1061" s="977"/>
      <c r="QM1061" s="977"/>
      <c r="QN1061" s="977"/>
      <c r="QO1061" s="977"/>
      <c r="QP1061" s="977"/>
      <c r="QQ1061" s="977"/>
      <c r="QR1061" s="977"/>
      <c r="QS1061" s="977"/>
      <c r="QT1061" s="977"/>
      <c r="QU1061" s="977"/>
      <c r="QV1061" s="977"/>
      <c r="QW1061" s="977"/>
      <c r="QX1061" s="977"/>
      <c r="QY1061" s="977"/>
      <c r="QZ1061" s="977"/>
      <c r="RA1061" s="977"/>
      <c r="RB1061" s="977"/>
      <c r="RC1061" s="977"/>
      <c r="RD1061" s="977"/>
      <c r="RE1061" s="977"/>
      <c r="RF1061" s="977"/>
      <c r="RG1061" s="977"/>
      <c r="RH1061" s="977"/>
      <c r="RI1061" s="977"/>
      <c r="RJ1061" s="977"/>
      <c r="RK1061" s="977"/>
      <c r="RL1061" s="977"/>
      <c r="RM1061" s="977"/>
      <c r="RN1061" s="977"/>
      <c r="RO1061" s="977"/>
      <c r="RP1061" s="977"/>
      <c r="RQ1061" s="977"/>
      <c r="RR1061" s="977"/>
      <c r="RS1061" s="977"/>
      <c r="RT1061" s="977"/>
      <c r="RU1061" s="977"/>
      <c r="RV1061" s="977"/>
      <c r="RW1061" s="977"/>
      <c r="RX1061" s="977"/>
      <c r="RY1061" s="977"/>
      <c r="RZ1061" s="977"/>
      <c r="SA1061" s="977"/>
      <c r="SB1061" s="977"/>
      <c r="SC1061" s="977"/>
      <c r="SD1061" s="977"/>
      <c r="SE1061" s="977"/>
      <c r="SF1061" s="977"/>
      <c r="SG1061" s="977"/>
      <c r="SH1061" s="977"/>
      <c r="SI1061" s="977"/>
      <c r="SJ1061" s="977"/>
      <c r="SK1061" s="977"/>
      <c r="SL1061" s="977"/>
      <c r="SM1061" s="977"/>
      <c r="SN1061" s="977"/>
      <c r="SO1061" s="977"/>
      <c r="SP1061" s="977"/>
      <c r="SQ1061" s="977"/>
      <c r="SR1061" s="977"/>
      <c r="SS1061" s="977"/>
      <c r="ST1061" s="977"/>
      <c r="SU1061" s="977"/>
      <c r="SV1061" s="977"/>
      <c r="SW1061" s="977"/>
      <c r="SX1061" s="977"/>
      <c r="SY1061" s="977"/>
      <c r="SZ1061" s="977"/>
      <c r="TA1061" s="977"/>
      <c r="TB1061" s="977"/>
      <c r="TC1061" s="977"/>
      <c r="TD1061" s="977"/>
      <c r="TE1061" s="977"/>
      <c r="TF1061" s="977"/>
      <c r="TG1061" s="977"/>
      <c r="TH1061" s="977"/>
      <c r="TI1061" s="977"/>
      <c r="TJ1061" s="977"/>
      <c r="TK1061" s="977"/>
      <c r="TL1061" s="977"/>
      <c r="TM1061" s="977"/>
      <c r="TN1061" s="977"/>
      <c r="TO1061" s="977"/>
      <c r="TP1061" s="977"/>
      <c r="TQ1061" s="977"/>
      <c r="TR1061" s="977"/>
      <c r="TS1061" s="977"/>
      <c r="TT1061" s="977"/>
      <c r="TU1061" s="977"/>
      <c r="TV1061" s="977"/>
      <c r="TW1061" s="977"/>
      <c r="TX1061" s="977"/>
      <c r="TY1061" s="977"/>
      <c r="TZ1061" s="977"/>
      <c r="UA1061" s="977"/>
      <c r="UB1061" s="977"/>
      <c r="UC1061" s="977"/>
      <c r="UD1061" s="977"/>
      <c r="UE1061" s="977"/>
      <c r="UF1061" s="977"/>
      <c r="UG1061" s="978"/>
    </row>
    <row r="1062" spans="1:553" s="462" customFormat="1" ht="124.5" customHeight="1">
      <c r="A1062" s="356"/>
      <c r="B1062" s="385"/>
      <c r="C1062" s="384" t="s">
        <v>274</v>
      </c>
      <c r="D1062" s="376" t="str">
        <f t="shared" ref="D1062:E1062" si="161">D1061</f>
        <v>2</v>
      </c>
      <c r="E1062" s="376" t="str">
        <f t="shared" si="161"/>
        <v>411</v>
      </c>
      <c r="F1062" s="385"/>
      <c r="G1062" s="386" t="s">
        <v>935</v>
      </c>
      <c r="H1062" s="370"/>
      <c r="I1062" s="422">
        <f>I1061</f>
        <v>121</v>
      </c>
      <c r="J1062" s="1074">
        <f>(66000*2.5)-(62000*2.5)</f>
        <v>10000</v>
      </c>
      <c r="K1062" s="1106"/>
      <c r="L1062" s="735">
        <f t="shared" si="158"/>
        <v>1210000</v>
      </c>
      <c r="M1062" s="366"/>
      <c r="N1062" s="366"/>
      <c r="O1062" s="366"/>
      <c r="P1062" s="366"/>
      <c r="Q1062" s="812"/>
      <c r="R1062" s="1226"/>
      <c r="S1062" s="308"/>
      <c r="T1062" s="308"/>
      <c r="U1062" s="308"/>
      <c r="V1062" s="308"/>
      <c r="W1062" s="308"/>
      <c r="X1062" s="308"/>
      <c r="Y1062" s="308"/>
      <c r="Z1062" s="604"/>
      <c r="AA1062" s="308"/>
      <c r="AB1062" s="308"/>
      <c r="AC1062" s="449"/>
      <c r="AD1062" s="449"/>
      <c r="AE1062" s="449"/>
      <c r="AF1062" s="449"/>
      <c r="AG1062" s="449"/>
      <c r="AH1062" s="449"/>
      <c r="AI1062" s="449"/>
      <c r="AJ1062" s="449"/>
      <c r="AK1062" s="452"/>
      <c r="AL1062" s="979"/>
      <c r="AM1062" s="980"/>
      <c r="AN1062" s="980"/>
      <c r="AO1062" s="980"/>
      <c r="AP1062" s="980"/>
      <c r="AQ1062" s="980"/>
      <c r="AR1062" s="980"/>
      <c r="AS1062" s="977"/>
      <c r="AT1062" s="977"/>
      <c r="AU1062" s="977"/>
      <c r="AV1062" s="977"/>
      <c r="AW1062" s="977"/>
      <c r="AX1062" s="977"/>
      <c r="AY1062" s="977"/>
      <c r="AZ1062" s="977"/>
      <c r="BA1062" s="977"/>
      <c r="BB1062" s="977"/>
      <c r="BC1062" s="977"/>
      <c r="BD1062" s="977"/>
      <c r="BE1062" s="977"/>
      <c r="BF1062" s="977"/>
      <c r="BG1062" s="977"/>
      <c r="BH1062" s="977"/>
      <c r="BI1062" s="977"/>
      <c r="BJ1062" s="977"/>
      <c r="BK1062" s="977"/>
      <c r="BL1062" s="977"/>
      <c r="BM1062" s="977"/>
      <c r="BN1062" s="977"/>
      <c r="BO1062" s="977"/>
      <c r="BP1062" s="977"/>
      <c r="BQ1062" s="977"/>
      <c r="BR1062" s="977"/>
      <c r="BS1062" s="977"/>
      <c r="BT1062" s="977"/>
      <c r="BU1062" s="977"/>
      <c r="BV1062" s="977"/>
      <c r="BW1062" s="977"/>
      <c r="BX1062" s="977"/>
      <c r="BY1062" s="977"/>
      <c r="BZ1062" s="977"/>
      <c r="CA1062" s="977"/>
      <c r="CB1062" s="977"/>
      <c r="CC1062" s="977"/>
      <c r="CD1062" s="977"/>
      <c r="CE1062" s="977"/>
      <c r="CF1062" s="977"/>
      <c r="CG1062" s="977"/>
      <c r="CH1062" s="977"/>
      <c r="CI1062" s="977"/>
      <c r="CJ1062" s="977"/>
      <c r="CK1062" s="977"/>
      <c r="CL1062" s="977"/>
      <c r="CM1062" s="977"/>
      <c r="CN1062" s="977"/>
      <c r="CO1062" s="977"/>
      <c r="CP1062" s="977"/>
      <c r="CQ1062" s="977"/>
      <c r="CR1062" s="977"/>
      <c r="CS1062" s="977"/>
      <c r="CT1062" s="977"/>
      <c r="CU1062" s="977"/>
      <c r="CV1062" s="977"/>
      <c r="CW1062" s="977"/>
      <c r="CX1062" s="977"/>
      <c r="CY1062" s="977"/>
      <c r="CZ1062" s="977"/>
      <c r="DA1062" s="977"/>
      <c r="DB1062" s="977"/>
      <c r="DC1062" s="977"/>
      <c r="DD1062" s="977"/>
      <c r="DE1062" s="977"/>
      <c r="DF1062" s="977"/>
      <c r="DG1062" s="977"/>
      <c r="DH1062" s="977"/>
      <c r="DI1062" s="977"/>
      <c r="DJ1062" s="977"/>
      <c r="DK1062" s="977"/>
      <c r="DL1062" s="977"/>
      <c r="DM1062" s="977"/>
      <c r="DN1062" s="977"/>
      <c r="DO1062" s="977"/>
      <c r="DP1062" s="977"/>
      <c r="DQ1062" s="977"/>
      <c r="DR1062" s="977"/>
      <c r="DS1062" s="977"/>
      <c r="DT1062" s="977"/>
      <c r="DU1062" s="977"/>
      <c r="DV1062" s="977"/>
      <c r="DW1062" s="977"/>
      <c r="DX1062" s="977"/>
      <c r="DY1062" s="977"/>
      <c r="DZ1062" s="977"/>
      <c r="EA1062" s="977"/>
      <c r="EB1062" s="977"/>
      <c r="EC1062" s="977"/>
      <c r="ED1062" s="977"/>
      <c r="EE1062" s="977"/>
      <c r="EF1062" s="977"/>
      <c r="EG1062" s="977"/>
      <c r="EH1062" s="977"/>
      <c r="EI1062" s="977"/>
      <c r="EJ1062" s="977"/>
      <c r="EK1062" s="977"/>
      <c r="EL1062" s="977"/>
      <c r="EM1062" s="977"/>
      <c r="EN1062" s="977"/>
      <c r="EO1062" s="977"/>
      <c r="EP1062" s="977"/>
      <c r="EQ1062" s="977"/>
      <c r="ER1062" s="977"/>
      <c r="ES1062" s="977"/>
      <c r="ET1062" s="977"/>
      <c r="EU1062" s="977"/>
      <c r="EV1062" s="977"/>
      <c r="EW1062" s="977"/>
      <c r="EX1062" s="977"/>
      <c r="EY1062" s="977"/>
      <c r="EZ1062" s="977"/>
      <c r="FA1062" s="977"/>
      <c r="FB1062" s="977"/>
      <c r="FC1062" s="977"/>
      <c r="FD1062" s="977"/>
      <c r="FE1062" s="977"/>
      <c r="FF1062" s="977"/>
      <c r="FG1062" s="977"/>
      <c r="FH1062" s="977"/>
      <c r="FI1062" s="977"/>
      <c r="FJ1062" s="977"/>
      <c r="FK1062" s="977"/>
      <c r="FL1062" s="977"/>
      <c r="FM1062" s="977"/>
      <c r="FN1062" s="977"/>
      <c r="FO1062" s="977"/>
      <c r="FP1062" s="977"/>
      <c r="FQ1062" s="977"/>
      <c r="FR1062" s="977"/>
      <c r="FS1062" s="977"/>
      <c r="FT1062" s="977"/>
      <c r="FU1062" s="977"/>
      <c r="FV1062" s="977"/>
      <c r="FW1062" s="977"/>
      <c r="FX1062" s="977"/>
      <c r="FY1062" s="977"/>
      <c r="FZ1062" s="977"/>
      <c r="GA1062" s="977"/>
      <c r="GB1062" s="977"/>
      <c r="GC1062" s="977"/>
      <c r="GD1062" s="977"/>
      <c r="GE1062" s="977"/>
      <c r="GF1062" s="977"/>
      <c r="GG1062" s="977"/>
      <c r="GH1062" s="977"/>
      <c r="GI1062" s="977"/>
      <c r="GJ1062" s="977"/>
      <c r="GK1062" s="977"/>
      <c r="GL1062" s="977"/>
      <c r="GM1062" s="977"/>
      <c r="GN1062" s="977"/>
      <c r="GO1062" s="977"/>
      <c r="GP1062" s="977"/>
      <c r="GQ1062" s="977"/>
      <c r="GR1062" s="977"/>
      <c r="GS1062" s="977"/>
      <c r="GT1062" s="977"/>
      <c r="GU1062" s="977"/>
      <c r="GV1062" s="977"/>
      <c r="GW1062" s="977"/>
      <c r="GX1062" s="977"/>
      <c r="GY1062" s="977"/>
      <c r="GZ1062" s="977"/>
      <c r="HA1062" s="977"/>
      <c r="HB1062" s="977"/>
      <c r="HC1062" s="977"/>
      <c r="HD1062" s="977"/>
      <c r="HE1062" s="977"/>
      <c r="HF1062" s="977"/>
      <c r="HG1062" s="977"/>
      <c r="HH1062" s="977"/>
      <c r="HI1062" s="977"/>
      <c r="HJ1062" s="977"/>
      <c r="HK1062" s="977"/>
      <c r="HL1062" s="977"/>
      <c r="HM1062" s="977"/>
      <c r="HN1062" s="977"/>
      <c r="HO1062" s="977"/>
      <c r="HP1062" s="977"/>
      <c r="HQ1062" s="977"/>
      <c r="HR1062" s="977"/>
      <c r="HS1062" s="977"/>
      <c r="HT1062" s="977"/>
      <c r="HU1062" s="977"/>
      <c r="HV1062" s="977"/>
      <c r="HW1062" s="977"/>
      <c r="HX1062" s="977"/>
      <c r="HY1062" s="977"/>
      <c r="HZ1062" s="977"/>
      <c r="IA1062" s="977"/>
      <c r="IB1062" s="977"/>
      <c r="IC1062" s="977"/>
      <c r="ID1062" s="977"/>
      <c r="IE1062" s="977"/>
      <c r="IF1062" s="977"/>
      <c r="IG1062" s="977"/>
      <c r="IH1062" s="977"/>
      <c r="II1062" s="977"/>
      <c r="IJ1062" s="977"/>
      <c r="IK1062" s="977"/>
      <c r="IL1062" s="977"/>
      <c r="IM1062" s="977"/>
      <c r="IN1062" s="977"/>
      <c r="IO1062" s="977"/>
      <c r="IP1062" s="977"/>
      <c r="IQ1062" s="977"/>
      <c r="IR1062" s="977"/>
      <c r="IS1062" s="977"/>
      <c r="IT1062" s="977"/>
      <c r="IU1062" s="977"/>
      <c r="IV1062" s="977"/>
      <c r="IW1062" s="977"/>
      <c r="IX1062" s="977"/>
      <c r="IY1062" s="977"/>
      <c r="IZ1062" s="977"/>
      <c r="JA1062" s="977"/>
      <c r="JB1062" s="977"/>
      <c r="JC1062" s="977"/>
      <c r="JD1062" s="977"/>
      <c r="JE1062" s="977"/>
      <c r="JF1062" s="977"/>
      <c r="JG1062" s="977"/>
      <c r="JH1062" s="977"/>
      <c r="JI1062" s="977"/>
      <c r="JJ1062" s="977"/>
      <c r="JK1062" s="977"/>
      <c r="JL1062" s="977"/>
      <c r="JM1062" s="977"/>
      <c r="JN1062" s="977"/>
      <c r="JO1062" s="977"/>
      <c r="JP1062" s="977"/>
      <c r="JQ1062" s="977"/>
      <c r="JR1062" s="977"/>
      <c r="JS1062" s="977"/>
      <c r="JT1062" s="977"/>
      <c r="JU1062" s="977"/>
      <c r="JV1062" s="977"/>
      <c r="JW1062" s="977"/>
      <c r="JX1062" s="977"/>
      <c r="JY1062" s="977"/>
      <c r="JZ1062" s="977"/>
      <c r="KA1062" s="977"/>
      <c r="KB1062" s="977"/>
      <c r="KC1062" s="977"/>
      <c r="KD1062" s="977"/>
      <c r="KE1062" s="977"/>
      <c r="KF1062" s="977"/>
      <c r="KG1062" s="977"/>
      <c r="KH1062" s="977"/>
      <c r="KI1062" s="977"/>
      <c r="KJ1062" s="977"/>
      <c r="KK1062" s="977"/>
      <c r="KL1062" s="977"/>
      <c r="KM1062" s="977"/>
      <c r="KN1062" s="977"/>
      <c r="KO1062" s="977"/>
      <c r="KP1062" s="977"/>
      <c r="KQ1062" s="977"/>
      <c r="KR1062" s="977"/>
      <c r="KS1062" s="977"/>
      <c r="KT1062" s="977"/>
      <c r="KU1062" s="977"/>
      <c r="KV1062" s="977"/>
      <c r="KW1062" s="977"/>
      <c r="KX1062" s="977"/>
      <c r="KY1062" s="977"/>
      <c r="KZ1062" s="977"/>
      <c r="LA1062" s="977"/>
      <c r="LB1062" s="977"/>
      <c r="LC1062" s="977"/>
      <c r="LD1062" s="977"/>
      <c r="LE1062" s="977"/>
      <c r="LF1062" s="977"/>
      <c r="LG1062" s="977"/>
      <c r="LH1062" s="977"/>
      <c r="LI1062" s="977"/>
      <c r="LJ1062" s="977"/>
      <c r="LK1062" s="977"/>
      <c r="LL1062" s="977"/>
      <c r="LM1062" s="977"/>
      <c r="LN1062" s="977"/>
      <c r="LO1062" s="977"/>
      <c r="LP1062" s="977"/>
      <c r="LQ1062" s="977"/>
      <c r="LR1062" s="977"/>
      <c r="LS1062" s="977"/>
      <c r="LT1062" s="977"/>
      <c r="LU1062" s="977"/>
      <c r="LV1062" s="977"/>
      <c r="LW1062" s="977"/>
      <c r="LX1062" s="977"/>
      <c r="LY1062" s="977"/>
      <c r="LZ1062" s="977"/>
      <c r="MA1062" s="977"/>
      <c r="MB1062" s="977"/>
      <c r="MC1062" s="977"/>
      <c r="MD1062" s="977"/>
      <c r="ME1062" s="977"/>
      <c r="MF1062" s="977"/>
      <c r="MG1062" s="977"/>
      <c r="MH1062" s="977"/>
      <c r="MI1062" s="977"/>
      <c r="MJ1062" s="977"/>
      <c r="MK1062" s="977"/>
      <c r="ML1062" s="977"/>
      <c r="MM1062" s="977"/>
      <c r="MN1062" s="977"/>
      <c r="MO1062" s="977"/>
      <c r="MP1062" s="977"/>
      <c r="MQ1062" s="977"/>
      <c r="MR1062" s="977"/>
      <c r="MS1062" s="977"/>
      <c r="MT1062" s="977"/>
      <c r="MU1062" s="977"/>
      <c r="MV1062" s="977"/>
      <c r="MW1062" s="977"/>
      <c r="MX1062" s="977"/>
      <c r="MY1062" s="977"/>
      <c r="MZ1062" s="977"/>
      <c r="NA1062" s="977"/>
      <c r="NB1062" s="977"/>
      <c r="NC1062" s="977"/>
      <c r="ND1062" s="977"/>
      <c r="NE1062" s="977"/>
      <c r="NF1062" s="977"/>
      <c r="NG1062" s="977"/>
      <c r="NH1062" s="977"/>
      <c r="NI1062" s="977"/>
      <c r="NJ1062" s="977"/>
      <c r="NK1062" s="977"/>
      <c r="NL1062" s="977"/>
      <c r="NM1062" s="977"/>
      <c r="NN1062" s="977"/>
      <c r="NO1062" s="977"/>
      <c r="NP1062" s="977"/>
      <c r="NQ1062" s="977"/>
      <c r="NR1062" s="977"/>
      <c r="NS1062" s="977"/>
      <c r="NT1062" s="977"/>
      <c r="NU1062" s="977"/>
      <c r="NV1062" s="977"/>
      <c r="NW1062" s="977"/>
      <c r="NX1062" s="977"/>
      <c r="NY1062" s="977"/>
      <c r="NZ1062" s="977"/>
      <c r="OA1062" s="977"/>
      <c r="OB1062" s="977"/>
      <c r="OC1062" s="977"/>
      <c r="OD1062" s="977"/>
      <c r="OE1062" s="977"/>
      <c r="OF1062" s="977"/>
      <c r="OG1062" s="977"/>
      <c r="OH1062" s="977"/>
      <c r="OI1062" s="977"/>
      <c r="OJ1062" s="977"/>
      <c r="OK1062" s="977"/>
      <c r="OL1062" s="977"/>
      <c r="OM1062" s="977"/>
      <c r="ON1062" s="977"/>
      <c r="OO1062" s="977"/>
      <c r="OP1062" s="977"/>
      <c r="OQ1062" s="977"/>
      <c r="OR1062" s="977"/>
      <c r="OS1062" s="977"/>
      <c r="OT1062" s="977"/>
      <c r="OU1062" s="977"/>
      <c r="OV1062" s="977"/>
      <c r="OW1062" s="977"/>
      <c r="OX1062" s="977"/>
      <c r="OY1062" s="977"/>
      <c r="OZ1062" s="977"/>
      <c r="PA1062" s="977"/>
      <c r="PB1062" s="977"/>
      <c r="PC1062" s="977"/>
      <c r="PD1062" s="977"/>
      <c r="PE1062" s="977"/>
      <c r="PF1062" s="977"/>
      <c r="PG1062" s="977"/>
      <c r="PH1062" s="977"/>
      <c r="PI1062" s="977"/>
      <c r="PJ1062" s="977"/>
      <c r="PK1062" s="977"/>
      <c r="PL1062" s="977"/>
      <c r="PM1062" s="977"/>
      <c r="PN1062" s="977"/>
      <c r="PO1062" s="977"/>
      <c r="PP1062" s="977"/>
      <c r="PQ1062" s="977"/>
      <c r="PR1062" s="977"/>
      <c r="PS1062" s="977"/>
      <c r="PT1062" s="977"/>
      <c r="PU1062" s="977"/>
      <c r="PV1062" s="977"/>
      <c r="PW1062" s="977"/>
      <c r="PX1062" s="977"/>
      <c r="PY1062" s="977"/>
      <c r="PZ1062" s="977"/>
      <c r="QA1062" s="977"/>
      <c r="QB1062" s="977"/>
      <c r="QC1062" s="977"/>
      <c r="QD1062" s="977"/>
      <c r="QE1062" s="977"/>
      <c r="QF1062" s="977"/>
      <c r="QG1062" s="977"/>
      <c r="QH1062" s="977"/>
      <c r="QI1062" s="977"/>
      <c r="QJ1062" s="977"/>
      <c r="QK1062" s="977"/>
      <c r="QL1062" s="977"/>
      <c r="QM1062" s="977"/>
      <c r="QN1062" s="977"/>
      <c r="QO1062" s="977"/>
      <c r="QP1062" s="977"/>
      <c r="QQ1062" s="977"/>
      <c r="QR1062" s="977"/>
      <c r="QS1062" s="977"/>
      <c r="QT1062" s="977"/>
      <c r="QU1062" s="977"/>
      <c r="QV1062" s="977"/>
      <c r="QW1062" s="977"/>
      <c r="QX1062" s="977"/>
      <c r="QY1062" s="977"/>
      <c r="QZ1062" s="977"/>
      <c r="RA1062" s="977"/>
      <c r="RB1062" s="977"/>
      <c r="RC1062" s="977"/>
      <c r="RD1062" s="977"/>
      <c r="RE1062" s="977"/>
      <c r="RF1062" s="977"/>
      <c r="RG1062" s="977"/>
      <c r="RH1062" s="977"/>
      <c r="RI1062" s="977"/>
      <c r="RJ1062" s="977"/>
      <c r="RK1062" s="977"/>
      <c r="RL1062" s="977"/>
      <c r="RM1062" s="977"/>
      <c r="RN1062" s="977"/>
      <c r="RO1062" s="977"/>
      <c r="RP1062" s="977"/>
      <c r="RQ1062" s="977"/>
      <c r="RR1062" s="977"/>
      <c r="RS1062" s="977"/>
      <c r="RT1062" s="977"/>
      <c r="RU1062" s="977"/>
      <c r="RV1062" s="977"/>
      <c r="RW1062" s="977"/>
      <c r="RX1062" s="977"/>
      <c r="RY1062" s="977"/>
      <c r="RZ1062" s="977"/>
      <c r="SA1062" s="977"/>
      <c r="SB1062" s="977"/>
      <c r="SC1062" s="977"/>
      <c r="SD1062" s="977"/>
      <c r="SE1062" s="977"/>
      <c r="SF1062" s="977"/>
      <c r="SG1062" s="977"/>
      <c r="SH1062" s="977"/>
      <c r="SI1062" s="977"/>
      <c r="SJ1062" s="977"/>
      <c r="SK1062" s="977"/>
      <c r="SL1062" s="977"/>
      <c r="SM1062" s="977"/>
      <c r="SN1062" s="977"/>
      <c r="SO1062" s="977"/>
      <c r="SP1062" s="977"/>
      <c r="SQ1062" s="977"/>
      <c r="SR1062" s="977"/>
      <c r="SS1062" s="977"/>
      <c r="ST1062" s="977"/>
      <c r="SU1062" s="977"/>
      <c r="SV1062" s="977"/>
      <c r="SW1062" s="977"/>
      <c r="SX1062" s="977"/>
      <c r="SY1062" s="977"/>
      <c r="SZ1062" s="977"/>
      <c r="TA1062" s="977"/>
      <c r="TB1062" s="977"/>
      <c r="TC1062" s="977"/>
      <c r="TD1062" s="977"/>
      <c r="TE1062" s="977"/>
      <c r="TF1062" s="977"/>
      <c r="TG1062" s="977"/>
      <c r="TH1062" s="977"/>
      <c r="TI1062" s="977"/>
      <c r="TJ1062" s="977"/>
      <c r="TK1062" s="977"/>
      <c r="TL1062" s="977"/>
      <c r="TM1062" s="977"/>
      <c r="TN1062" s="977"/>
      <c r="TO1062" s="977"/>
      <c r="TP1062" s="977"/>
      <c r="TQ1062" s="977"/>
      <c r="TR1062" s="977"/>
      <c r="TS1062" s="977"/>
      <c r="TT1062" s="977"/>
      <c r="TU1062" s="977"/>
      <c r="TV1062" s="977"/>
      <c r="TW1062" s="977"/>
      <c r="TX1062" s="977"/>
      <c r="TY1062" s="977"/>
      <c r="TZ1062" s="977"/>
      <c r="UA1062" s="977"/>
      <c r="UB1062" s="977"/>
      <c r="UC1062" s="977"/>
      <c r="UD1062" s="977"/>
      <c r="UE1062" s="977"/>
      <c r="UF1062" s="977"/>
      <c r="UG1062" s="978"/>
    </row>
    <row r="1063" spans="1:553" s="462" customFormat="1" ht="124.5" customHeight="1">
      <c r="A1063" s="356"/>
      <c r="B1063" s="385"/>
      <c r="C1063" s="384" t="s">
        <v>599</v>
      </c>
      <c r="D1063" s="376" t="str">
        <f t="shared" ref="D1063:E1063" si="162">D1055</f>
        <v>2</v>
      </c>
      <c r="E1063" s="376" t="str">
        <f t="shared" si="162"/>
        <v>416</v>
      </c>
      <c r="F1063" s="385"/>
      <c r="G1063" s="386" t="s">
        <v>935</v>
      </c>
      <c r="H1063" s="370"/>
      <c r="I1063" s="422">
        <f>I1055</f>
        <v>646.5</v>
      </c>
      <c r="J1063" s="1074">
        <f>62000-55000</f>
        <v>7000</v>
      </c>
      <c r="K1063" s="1106"/>
      <c r="L1063" s="735">
        <f t="shared" si="158"/>
        <v>4525500</v>
      </c>
      <c r="M1063" s="366"/>
      <c r="N1063" s="366"/>
      <c r="O1063" s="366"/>
      <c r="P1063" s="366"/>
      <c r="Q1063" s="812"/>
      <c r="R1063" s="1226"/>
      <c r="S1063" s="308"/>
      <c r="T1063" s="308"/>
      <c r="U1063" s="308"/>
      <c r="V1063" s="308"/>
      <c r="W1063" s="308"/>
      <c r="X1063" s="308"/>
      <c r="Y1063" s="308"/>
      <c r="Z1063" s="604"/>
      <c r="AA1063" s="308"/>
      <c r="AB1063" s="308"/>
      <c r="AC1063" s="449"/>
      <c r="AD1063" s="449"/>
      <c r="AE1063" s="449"/>
      <c r="AF1063" s="449"/>
      <c r="AG1063" s="449"/>
      <c r="AH1063" s="449"/>
      <c r="AI1063" s="449"/>
      <c r="AJ1063" s="449"/>
      <c r="AK1063" s="452"/>
      <c r="AL1063" s="979"/>
      <c r="AM1063" s="980"/>
      <c r="AN1063" s="980"/>
      <c r="AO1063" s="980"/>
      <c r="AP1063" s="980"/>
      <c r="AQ1063" s="980"/>
      <c r="AR1063" s="980"/>
      <c r="AS1063" s="977"/>
      <c r="AT1063" s="977"/>
      <c r="AU1063" s="977"/>
      <c r="AV1063" s="977"/>
      <c r="AW1063" s="977"/>
      <c r="AX1063" s="977"/>
      <c r="AY1063" s="977"/>
      <c r="AZ1063" s="977"/>
      <c r="BA1063" s="977"/>
      <c r="BB1063" s="977"/>
      <c r="BC1063" s="977"/>
      <c r="BD1063" s="977"/>
      <c r="BE1063" s="977"/>
      <c r="BF1063" s="977"/>
      <c r="BG1063" s="977"/>
      <c r="BH1063" s="977"/>
      <c r="BI1063" s="977"/>
      <c r="BJ1063" s="977"/>
      <c r="BK1063" s="977"/>
      <c r="BL1063" s="977"/>
      <c r="BM1063" s="977"/>
      <c r="BN1063" s="977"/>
      <c r="BO1063" s="977"/>
      <c r="BP1063" s="977"/>
      <c r="BQ1063" s="977"/>
      <c r="BR1063" s="977"/>
      <c r="BS1063" s="977"/>
      <c r="BT1063" s="977"/>
      <c r="BU1063" s="977"/>
      <c r="BV1063" s="977"/>
      <c r="BW1063" s="977"/>
      <c r="BX1063" s="977"/>
      <c r="BY1063" s="977"/>
      <c r="BZ1063" s="977"/>
      <c r="CA1063" s="977"/>
      <c r="CB1063" s="977"/>
      <c r="CC1063" s="977"/>
      <c r="CD1063" s="977"/>
      <c r="CE1063" s="977"/>
      <c r="CF1063" s="977"/>
      <c r="CG1063" s="977"/>
      <c r="CH1063" s="977"/>
      <c r="CI1063" s="977"/>
      <c r="CJ1063" s="977"/>
      <c r="CK1063" s="977"/>
      <c r="CL1063" s="977"/>
      <c r="CM1063" s="977"/>
      <c r="CN1063" s="977"/>
      <c r="CO1063" s="977"/>
      <c r="CP1063" s="977"/>
      <c r="CQ1063" s="977"/>
      <c r="CR1063" s="977"/>
      <c r="CS1063" s="977"/>
      <c r="CT1063" s="977"/>
      <c r="CU1063" s="977"/>
      <c r="CV1063" s="977"/>
      <c r="CW1063" s="977"/>
      <c r="CX1063" s="977"/>
      <c r="CY1063" s="977"/>
      <c r="CZ1063" s="977"/>
      <c r="DA1063" s="977"/>
      <c r="DB1063" s="977"/>
      <c r="DC1063" s="977"/>
      <c r="DD1063" s="977"/>
      <c r="DE1063" s="977"/>
      <c r="DF1063" s="977"/>
      <c r="DG1063" s="977"/>
      <c r="DH1063" s="977"/>
      <c r="DI1063" s="977"/>
      <c r="DJ1063" s="977"/>
      <c r="DK1063" s="977"/>
      <c r="DL1063" s="977"/>
      <c r="DM1063" s="977"/>
      <c r="DN1063" s="977"/>
      <c r="DO1063" s="977"/>
      <c r="DP1063" s="977"/>
      <c r="DQ1063" s="977"/>
      <c r="DR1063" s="977"/>
      <c r="DS1063" s="977"/>
      <c r="DT1063" s="977"/>
      <c r="DU1063" s="977"/>
      <c r="DV1063" s="977"/>
      <c r="DW1063" s="977"/>
      <c r="DX1063" s="977"/>
      <c r="DY1063" s="977"/>
      <c r="DZ1063" s="977"/>
      <c r="EA1063" s="977"/>
      <c r="EB1063" s="977"/>
      <c r="EC1063" s="977"/>
      <c r="ED1063" s="977"/>
      <c r="EE1063" s="977"/>
      <c r="EF1063" s="977"/>
      <c r="EG1063" s="977"/>
      <c r="EH1063" s="977"/>
      <c r="EI1063" s="977"/>
      <c r="EJ1063" s="977"/>
      <c r="EK1063" s="977"/>
      <c r="EL1063" s="977"/>
      <c r="EM1063" s="977"/>
      <c r="EN1063" s="977"/>
      <c r="EO1063" s="977"/>
      <c r="EP1063" s="977"/>
      <c r="EQ1063" s="977"/>
      <c r="ER1063" s="977"/>
      <c r="ES1063" s="977"/>
      <c r="ET1063" s="977"/>
      <c r="EU1063" s="977"/>
      <c r="EV1063" s="977"/>
      <c r="EW1063" s="977"/>
      <c r="EX1063" s="977"/>
      <c r="EY1063" s="977"/>
      <c r="EZ1063" s="977"/>
      <c r="FA1063" s="977"/>
      <c r="FB1063" s="977"/>
      <c r="FC1063" s="977"/>
      <c r="FD1063" s="977"/>
      <c r="FE1063" s="977"/>
      <c r="FF1063" s="977"/>
      <c r="FG1063" s="977"/>
      <c r="FH1063" s="977"/>
      <c r="FI1063" s="977"/>
      <c r="FJ1063" s="977"/>
      <c r="FK1063" s="977"/>
      <c r="FL1063" s="977"/>
      <c r="FM1063" s="977"/>
      <c r="FN1063" s="977"/>
      <c r="FO1063" s="977"/>
      <c r="FP1063" s="977"/>
      <c r="FQ1063" s="977"/>
      <c r="FR1063" s="977"/>
      <c r="FS1063" s="977"/>
      <c r="FT1063" s="977"/>
      <c r="FU1063" s="977"/>
      <c r="FV1063" s="977"/>
      <c r="FW1063" s="977"/>
      <c r="FX1063" s="977"/>
      <c r="FY1063" s="977"/>
      <c r="FZ1063" s="977"/>
      <c r="GA1063" s="977"/>
      <c r="GB1063" s="977"/>
      <c r="GC1063" s="977"/>
      <c r="GD1063" s="977"/>
      <c r="GE1063" s="977"/>
      <c r="GF1063" s="977"/>
      <c r="GG1063" s="977"/>
      <c r="GH1063" s="977"/>
      <c r="GI1063" s="977"/>
      <c r="GJ1063" s="977"/>
      <c r="GK1063" s="977"/>
      <c r="GL1063" s="977"/>
      <c r="GM1063" s="977"/>
      <c r="GN1063" s="977"/>
      <c r="GO1063" s="977"/>
      <c r="GP1063" s="977"/>
      <c r="GQ1063" s="977"/>
      <c r="GR1063" s="977"/>
      <c r="GS1063" s="977"/>
      <c r="GT1063" s="977"/>
      <c r="GU1063" s="977"/>
      <c r="GV1063" s="977"/>
      <c r="GW1063" s="977"/>
      <c r="GX1063" s="977"/>
      <c r="GY1063" s="977"/>
      <c r="GZ1063" s="977"/>
      <c r="HA1063" s="977"/>
      <c r="HB1063" s="977"/>
      <c r="HC1063" s="977"/>
      <c r="HD1063" s="977"/>
      <c r="HE1063" s="977"/>
      <c r="HF1063" s="977"/>
      <c r="HG1063" s="977"/>
      <c r="HH1063" s="977"/>
      <c r="HI1063" s="977"/>
      <c r="HJ1063" s="977"/>
      <c r="HK1063" s="977"/>
      <c r="HL1063" s="977"/>
      <c r="HM1063" s="977"/>
      <c r="HN1063" s="977"/>
      <c r="HO1063" s="977"/>
      <c r="HP1063" s="977"/>
      <c r="HQ1063" s="977"/>
      <c r="HR1063" s="977"/>
      <c r="HS1063" s="977"/>
      <c r="HT1063" s="977"/>
      <c r="HU1063" s="977"/>
      <c r="HV1063" s="977"/>
      <c r="HW1063" s="977"/>
      <c r="HX1063" s="977"/>
      <c r="HY1063" s="977"/>
      <c r="HZ1063" s="977"/>
      <c r="IA1063" s="977"/>
      <c r="IB1063" s="977"/>
      <c r="IC1063" s="977"/>
      <c r="ID1063" s="977"/>
      <c r="IE1063" s="977"/>
      <c r="IF1063" s="977"/>
      <c r="IG1063" s="977"/>
      <c r="IH1063" s="977"/>
      <c r="II1063" s="977"/>
      <c r="IJ1063" s="977"/>
      <c r="IK1063" s="977"/>
      <c r="IL1063" s="977"/>
      <c r="IM1063" s="977"/>
      <c r="IN1063" s="977"/>
      <c r="IO1063" s="977"/>
      <c r="IP1063" s="977"/>
      <c r="IQ1063" s="977"/>
      <c r="IR1063" s="977"/>
      <c r="IS1063" s="977"/>
      <c r="IT1063" s="977"/>
      <c r="IU1063" s="977"/>
      <c r="IV1063" s="977"/>
      <c r="IW1063" s="977"/>
      <c r="IX1063" s="977"/>
      <c r="IY1063" s="977"/>
      <c r="IZ1063" s="977"/>
      <c r="JA1063" s="977"/>
      <c r="JB1063" s="977"/>
      <c r="JC1063" s="977"/>
      <c r="JD1063" s="977"/>
      <c r="JE1063" s="977"/>
      <c r="JF1063" s="977"/>
      <c r="JG1063" s="977"/>
      <c r="JH1063" s="977"/>
      <c r="JI1063" s="977"/>
      <c r="JJ1063" s="977"/>
      <c r="JK1063" s="977"/>
      <c r="JL1063" s="977"/>
      <c r="JM1063" s="977"/>
      <c r="JN1063" s="977"/>
      <c r="JO1063" s="977"/>
      <c r="JP1063" s="977"/>
      <c r="JQ1063" s="977"/>
      <c r="JR1063" s="977"/>
      <c r="JS1063" s="977"/>
      <c r="JT1063" s="977"/>
      <c r="JU1063" s="977"/>
      <c r="JV1063" s="977"/>
      <c r="JW1063" s="977"/>
      <c r="JX1063" s="977"/>
      <c r="JY1063" s="977"/>
      <c r="JZ1063" s="977"/>
      <c r="KA1063" s="977"/>
      <c r="KB1063" s="977"/>
      <c r="KC1063" s="977"/>
      <c r="KD1063" s="977"/>
      <c r="KE1063" s="977"/>
      <c r="KF1063" s="977"/>
      <c r="KG1063" s="977"/>
      <c r="KH1063" s="977"/>
      <c r="KI1063" s="977"/>
      <c r="KJ1063" s="977"/>
      <c r="KK1063" s="977"/>
      <c r="KL1063" s="977"/>
      <c r="KM1063" s="977"/>
      <c r="KN1063" s="977"/>
      <c r="KO1063" s="977"/>
      <c r="KP1063" s="977"/>
      <c r="KQ1063" s="977"/>
      <c r="KR1063" s="977"/>
      <c r="KS1063" s="977"/>
      <c r="KT1063" s="977"/>
      <c r="KU1063" s="977"/>
      <c r="KV1063" s="977"/>
      <c r="KW1063" s="977"/>
      <c r="KX1063" s="977"/>
      <c r="KY1063" s="977"/>
      <c r="KZ1063" s="977"/>
      <c r="LA1063" s="977"/>
      <c r="LB1063" s="977"/>
      <c r="LC1063" s="977"/>
      <c r="LD1063" s="977"/>
      <c r="LE1063" s="977"/>
      <c r="LF1063" s="977"/>
      <c r="LG1063" s="977"/>
      <c r="LH1063" s="977"/>
      <c r="LI1063" s="977"/>
      <c r="LJ1063" s="977"/>
      <c r="LK1063" s="977"/>
      <c r="LL1063" s="977"/>
      <c r="LM1063" s="977"/>
      <c r="LN1063" s="977"/>
      <c r="LO1063" s="977"/>
      <c r="LP1063" s="977"/>
      <c r="LQ1063" s="977"/>
      <c r="LR1063" s="977"/>
      <c r="LS1063" s="977"/>
      <c r="LT1063" s="977"/>
      <c r="LU1063" s="977"/>
      <c r="LV1063" s="977"/>
      <c r="LW1063" s="977"/>
      <c r="LX1063" s="977"/>
      <c r="LY1063" s="977"/>
      <c r="LZ1063" s="977"/>
      <c r="MA1063" s="977"/>
      <c r="MB1063" s="977"/>
      <c r="MC1063" s="977"/>
      <c r="MD1063" s="977"/>
      <c r="ME1063" s="977"/>
      <c r="MF1063" s="977"/>
      <c r="MG1063" s="977"/>
      <c r="MH1063" s="977"/>
      <c r="MI1063" s="977"/>
      <c r="MJ1063" s="977"/>
      <c r="MK1063" s="977"/>
      <c r="ML1063" s="977"/>
      <c r="MM1063" s="977"/>
      <c r="MN1063" s="977"/>
      <c r="MO1063" s="977"/>
      <c r="MP1063" s="977"/>
      <c r="MQ1063" s="977"/>
      <c r="MR1063" s="977"/>
      <c r="MS1063" s="977"/>
      <c r="MT1063" s="977"/>
      <c r="MU1063" s="977"/>
      <c r="MV1063" s="977"/>
      <c r="MW1063" s="977"/>
      <c r="MX1063" s="977"/>
      <c r="MY1063" s="977"/>
      <c r="MZ1063" s="977"/>
      <c r="NA1063" s="977"/>
      <c r="NB1063" s="977"/>
      <c r="NC1063" s="977"/>
      <c r="ND1063" s="977"/>
      <c r="NE1063" s="977"/>
      <c r="NF1063" s="977"/>
      <c r="NG1063" s="977"/>
      <c r="NH1063" s="977"/>
      <c r="NI1063" s="977"/>
      <c r="NJ1063" s="977"/>
      <c r="NK1063" s="977"/>
      <c r="NL1063" s="977"/>
      <c r="NM1063" s="977"/>
      <c r="NN1063" s="977"/>
      <c r="NO1063" s="977"/>
      <c r="NP1063" s="977"/>
      <c r="NQ1063" s="977"/>
      <c r="NR1063" s="977"/>
      <c r="NS1063" s="977"/>
      <c r="NT1063" s="977"/>
      <c r="NU1063" s="977"/>
      <c r="NV1063" s="977"/>
      <c r="NW1063" s="977"/>
      <c r="NX1063" s="977"/>
      <c r="NY1063" s="977"/>
      <c r="NZ1063" s="977"/>
      <c r="OA1063" s="977"/>
      <c r="OB1063" s="977"/>
      <c r="OC1063" s="977"/>
      <c r="OD1063" s="977"/>
      <c r="OE1063" s="977"/>
      <c r="OF1063" s="977"/>
      <c r="OG1063" s="977"/>
      <c r="OH1063" s="977"/>
      <c r="OI1063" s="977"/>
      <c r="OJ1063" s="977"/>
      <c r="OK1063" s="977"/>
      <c r="OL1063" s="977"/>
      <c r="OM1063" s="977"/>
      <c r="ON1063" s="977"/>
      <c r="OO1063" s="977"/>
      <c r="OP1063" s="977"/>
      <c r="OQ1063" s="977"/>
      <c r="OR1063" s="977"/>
      <c r="OS1063" s="977"/>
      <c r="OT1063" s="977"/>
      <c r="OU1063" s="977"/>
      <c r="OV1063" s="977"/>
      <c r="OW1063" s="977"/>
      <c r="OX1063" s="977"/>
      <c r="OY1063" s="977"/>
      <c r="OZ1063" s="977"/>
      <c r="PA1063" s="977"/>
      <c r="PB1063" s="977"/>
      <c r="PC1063" s="977"/>
      <c r="PD1063" s="977"/>
      <c r="PE1063" s="977"/>
      <c r="PF1063" s="977"/>
      <c r="PG1063" s="977"/>
      <c r="PH1063" s="977"/>
      <c r="PI1063" s="977"/>
      <c r="PJ1063" s="977"/>
      <c r="PK1063" s="977"/>
      <c r="PL1063" s="977"/>
      <c r="PM1063" s="977"/>
      <c r="PN1063" s="977"/>
      <c r="PO1063" s="977"/>
      <c r="PP1063" s="977"/>
      <c r="PQ1063" s="977"/>
      <c r="PR1063" s="977"/>
      <c r="PS1063" s="977"/>
      <c r="PT1063" s="977"/>
      <c r="PU1063" s="977"/>
      <c r="PV1063" s="977"/>
      <c r="PW1063" s="977"/>
      <c r="PX1063" s="977"/>
      <c r="PY1063" s="977"/>
      <c r="PZ1063" s="977"/>
      <c r="QA1063" s="977"/>
      <c r="QB1063" s="977"/>
      <c r="QC1063" s="977"/>
      <c r="QD1063" s="977"/>
      <c r="QE1063" s="977"/>
      <c r="QF1063" s="977"/>
      <c r="QG1063" s="977"/>
      <c r="QH1063" s="977"/>
      <c r="QI1063" s="977"/>
      <c r="QJ1063" s="977"/>
      <c r="QK1063" s="977"/>
      <c r="QL1063" s="977"/>
      <c r="QM1063" s="977"/>
      <c r="QN1063" s="977"/>
      <c r="QO1063" s="977"/>
      <c r="QP1063" s="977"/>
      <c r="QQ1063" s="977"/>
      <c r="QR1063" s="977"/>
      <c r="QS1063" s="977"/>
      <c r="QT1063" s="977"/>
      <c r="QU1063" s="977"/>
      <c r="QV1063" s="977"/>
      <c r="QW1063" s="977"/>
      <c r="QX1063" s="977"/>
      <c r="QY1063" s="977"/>
      <c r="QZ1063" s="977"/>
      <c r="RA1063" s="977"/>
      <c r="RB1063" s="977"/>
      <c r="RC1063" s="977"/>
      <c r="RD1063" s="977"/>
      <c r="RE1063" s="977"/>
      <c r="RF1063" s="977"/>
      <c r="RG1063" s="977"/>
      <c r="RH1063" s="977"/>
      <c r="RI1063" s="977"/>
      <c r="RJ1063" s="977"/>
      <c r="RK1063" s="977"/>
      <c r="RL1063" s="977"/>
      <c r="RM1063" s="977"/>
      <c r="RN1063" s="977"/>
      <c r="RO1063" s="977"/>
      <c r="RP1063" s="977"/>
      <c r="RQ1063" s="977"/>
      <c r="RR1063" s="977"/>
      <c r="RS1063" s="977"/>
      <c r="RT1063" s="977"/>
      <c r="RU1063" s="977"/>
      <c r="RV1063" s="977"/>
      <c r="RW1063" s="977"/>
      <c r="RX1063" s="977"/>
      <c r="RY1063" s="977"/>
      <c r="RZ1063" s="977"/>
      <c r="SA1063" s="977"/>
      <c r="SB1063" s="977"/>
      <c r="SC1063" s="977"/>
      <c r="SD1063" s="977"/>
      <c r="SE1063" s="977"/>
      <c r="SF1063" s="977"/>
      <c r="SG1063" s="977"/>
      <c r="SH1063" s="977"/>
      <c r="SI1063" s="977"/>
      <c r="SJ1063" s="977"/>
      <c r="SK1063" s="977"/>
      <c r="SL1063" s="977"/>
      <c r="SM1063" s="977"/>
      <c r="SN1063" s="977"/>
      <c r="SO1063" s="977"/>
      <c r="SP1063" s="977"/>
      <c r="SQ1063" s="977"/>
      <c r="SR1063" s="977"/>
      <c r="SS1063" s="977"/>
      <c r="ST1063" s="977"/>
      <c r="SU1063" s="977"/>
      <c r="SV1063" s="977"/>
      <c r="SW1063" s="977"/>
      <c r="SX1063" s="977"/>
      <c r="SY1063" s="977"/>
      <c r="SZ1063" s="977"/>
      <c r="TA1063" s="977"/>
      <c r="TB1063" s="977"/>
      <c r="TC1063" s="977"/>
      <c r="TD1063" s="977"/>
      <c r="TE1063" s="977"/>
      <c r="TF1063" s="977"/>
      <c r="TG1063" s="977"/>
      <c r="TH1063" s="977"/>
      <c r="TI1063" s="977"/>
      <c r="TJ1063" s="977"/>
      <c r="TK1063" s="977"/>
      <c r="TL1063" s="977"/>
      <c r="TM1063" s="977"/>
      <c r="TN1063" s="977"/>
      <c r="TO1063" s="977"/>
      <c r="TP1063" s="977"/>
      <c r="TQ1063" s="977"/>
      <c r="TR1063" s="977"/>
      <c r="TS1063" s="977"/>
      <c r="TT1063" s="977"/>
      <c r="TU1063" s="977"/>
      <c r="TV1063" s="977"/>
      <c r="TW1063" s="977"/>
      <c r="TX1063" s="977"/>
      <c r="TY1063" s="977"/>
      <c r="TZ1063" s="977"/>
      <c r="UA1063" s="977"/>
      <c r="UB1063" s="977"/>
      <c r="UC1063" s="977"/>
      <c r="UD1063" s="977"/>
      <c r="UE1063" s="977"/>
      <c r="UF1063" s="977"/>
      <c r="UG1063" s="978"/>
    </row>
    <row r="1064" spans="1:553" s="462" customFormat="1" ht="124.5" customHeight="1">
      <c r="A1064" s="356"/>
      <c r="B1064" s="385"/>
      <c r="C1064" s="384" t="s">
        <v>600</v>
      </c>
      <c r="D1064" s="376" t="str">
        <f t="shared" ref="D1064:E1064" si="163">D1063</f>
        <v>2</v>
      </c>
      <c r="E1064" s="376" t="str">
        <f t="shared" si="163"/>
        <v>416</v>
      </c>
      <c r="F1064" s="385"/>
      <c r="G1064" s="386" t="s">
        <v>935</v>
      </c>
      <c r="H1064" s="370"/>
      <c r="I1064" s="422">
        <f>I1063</f>
        <v>646.5</v>
      </c>
      <c r="J1064" s="1074">
        <f>(72000*3)-(62000*2.5)</f>
        <v>61000</v>
      </c>
      <c r="K1064" s="1106"/>
      <c r="L1064" s="735">
        <f t="shared" si="158"/>
        <v>39436500</v>
      </c>
      <c r="M1064" s="366"/>
      <c r="N1064" s="366"/>
      <c r="O1064" s="366"/>
      <c r="P1064" s="366"/>
      <c r="Q1064" s="812"/>
      <c r="R1064" s="1226"/>
      <c r="S1064" s="308"/>
      <c r="T1064" s="308"/>
      <c r="U1064" s="308"/>
      <c r="V1064" s="308"/>
      <c r="W1064" s="308"/>
      <c r="X1064" s="308"/>
      <c r="Y1064" s="308"/>
      <c r="Z1064" s="604"/>
      <c r="AA1064" s="308"/>
      <c r="AB1064" s="308"/>
      <c r="AC1064" s="449"/>
      <c r="AD1064" s="449"/>
      <c r="AE1064" s="449"/>
      <c r="AF1064" s="449"/>
      <c r="AG1064" s="449"/>
      <c r="AH1064" s="449"/>
      <c r="AI1064" s="449"/>
      <c r="AJ1064" s="449"/>
      <c r="AK1064" s="452"/>
      <c r="AL1064" s="979"/>
      <c r="AM1064" s="980"/>
      <c r="AN1064" s="980"/>
      <c r="AO1064" s="980"/>
      <c r="AP1064" s="980"/>
      <c r="AQ1064" s="980"/>
      <c r="AR1064" s="980"/>
      <c r="AS1064" s="977"/>
      <c r="AT1064" s="977"/>
      <c r="AU1064" s="977"/>
      <c r="AV1064" s="977"/>
      <c r="AW1064" s="977"/>
      <c r="AX1064" s="977"/>
      <c r="AY1064" s="977"/>
      <c r="AZ1064" s="977"/>
      <c r="BA1064" s="977"/>
      <c r="BB1064" s="977"/>
      <c r="BC1064" s="977"/>
      <c r="BD1064" s="977"/>
      <c r="BE1064" s="977"/>
      <c r="BF1064" s="977"/>
      <c r="BG1064" s="977"/>
      <c r="BH1064" s="977"/>
      <c r="BI1064" s="977"/>
      <c r="BJ1064" s="977"/>
      <c r="BK1064" s="977"/>
      <c r="BL1064" s="977"/>
      <c r="BM1064" s="977"/>
      <c r="BN1064" s="977"/>
      <c r="BO1064" s="977"/>
      <c r="BP1064" s="977"/>
      <c r="BQ1064" s="977"/>
      <c r="BR1064" s="977"/>
      <c r="BS1064" s="977"/>
      <c r="BT1064" s="977"/>
      <c r="BU1064" s="977"/>
      <c r="BV1064" s="977"/>
      <c r="BW1064" s="977"/>
      <c r="BX1064" s="977"/>
      <c r="BY1064" s="977"/>
      <c r="BZ1064" s="977"/>
      <c r="CA1064" s="977"/>
      <c r="CB1064" s="977"/>
      <c r="CC1064" s="977"/>
      <c r="CD1064" s="977"/>
      <c r="CE1064" s="977"/>
      <c r="CF1064" s="977"/>
      <c r="CG1064" s="977"/>
      <c r="CH1064" s="977"/>
      <c r="CI1064" s="977"/>
      <c r="CJ1064" s="977"/>
      <c r="CK1064" s="977"/>
      <c r="CL1064" s="977"/>
      <c r="CM1064" s="977"/>
      <c r="CN1064" s="977"/>
      <c r="CO1064" s="977"/>
      <c r="CP1064" s="977"/>
      <c r="CQ1064" s="977"/>
      <c r="CR1064" s="977"/>
      <c r="CS1064" s="977"/>
      <c r="CT1064" s="977"/>
      <c r="CU1064" s="977"/>
      <c r="CV1064" s="977"/>
      <c r="CW1064" s="977"/>
      <c r="CX1064" s="977"/>
      <c r="CY1064" s="977"/>
      <c r="CZ1064" s="977"/>
      <c r="DA1064" s="977"/>
      <c r="DB1064" s="977"/>
      <c r="DC1064" s="977"/>
      <c r="DD1064" s="977"/>
      <c r="DE1064" s="977"/>
      <c r="DF1064" s="977"/>
      <c r="DG1064" s="977"/>
      <c r="DH1064" s="977"/>
      <c r="DI1064" s="977"/>
      <c r="DJ1064" s="977"/>
      <c r="DK1064" s="977"/>
      <c r="DL1064" s="977"/>
      <c r="DM1064" s="977"/>
      <c r="DN1064" s="977"/>
      <c r="DO1064" s="977"/>
      <c r="DP1064" s="977"/>
      <c r="DQ1064" s="977"/>
      <c r="DR1064" s="977"/>
      <c r="DS1064" s="977"/>
      <c r="DT1064" s="977"/>
      <c r="DU1064" s="977"/>
      <c r="DV1064" s="977"/>
      <c r="DW1064" s="977"/>
      <c r="DX1064" s="977"/>
      <c r="DY1064" s="977"/>
      <c r="DZ1064" s="977"/>
      <c r="EA1064" s="977"/>
      <c r="EB1064" s="977"/>
      <c r="EC1064" s="977"/>
      <c r="ED1064" s="977"/>
      <c r="EE1064" s="977"/>
      <c r="EF1064" s="977"/>
      <c r="EG1064" s="977"/>
      <c r="EH1064" s="977"/>
      <c r="EI1064" s="977"/>
      <c r="EJ1064" s="977"/>
      <c r="EK1064" s="977"/>
      <c r="EL1064" s="977"/>
      <c r="EM1064" s="977"/>
      <c r="EN1064" s="977"/>
      <c r="EO1064" s="977"/>
      <c r="EP1064" s="977"/>
      <c r="EQ1064" s="977"/>
      <c r="ER1064" s="977"/>
      <c r="ES1064" s="977"/>
      <c r="ET1064" s="977"/>
      <c r="EU1064" s="977"/>
      <c r="EV1064" s="977"/>
      <c r="EW1064" s="977"/>
      <c r="EX1064" s="977"/>
      <c r="EY1064" s="977"/>
      <c r="EZ1064" s="977"/>
      <c r="FA1064" s="977"/>
      <c r="FB1064" s="977"/>
      <c r="FC1064" s="977"/>
      <c r="FD1064" s="977"/>
      <c r="FE1064" s="977"/>
      <c r="FF1064" s="977"/>
      <c r="FG1064" s="977"/>
      <c r="FH1064" s="977"/>
      <c r="FI1064" s="977"/>
      <c r="FJ1064" s="977"/>
      <c r="FK1064" s="977"/>
      <c r="FL1064" s="977"/>
      <c r="FM1064" s="977"/>
      <c r="FN1064" s="977"/>
      <c r="FO1064" s="977"/>
      <c r="FP1064" s="977"/>
      <c r="FQ1064" s="977"/>
      <c r="FR1064" s="977"/>
      <c r="FS1064" s="977"/>
      <c r="FT1064" s="977"/>
      <c r="FU1064" s="977"/>
      <c r="FV1064" s="977"/>
      <c r="FW1064" s="977"/>
      <c r="FX1064" s="977"/>
      <c r="FY1064" s="977"/>
      <c r="FZ1064" s="977"/>
      <c r="GA1064" s="977"/>
      <c r="GB1064" s="977"/>
      <c r="GC1064" s="977"/>
      <c r="GD1064" s="977"/>
      <c r="GE1064" s="977"/>
      <c r="GF1064" s="977"/>
      <c r="GG1064" s="977"/>
      <c r="GH1064" s="977"/>
      <c r="GI1064" s="977"/>
      <c r="GJ1064" s="977"/>
      <c r="GK1064" s="977"/>
      <c r="GL1064" s="977"/>
      <c r="GM1064" s="977"/>
      <c r="GN1064" s="977"/>
      <c r="GO1064" s="977"/>
      <c r="GP1064" s="977"/>
      <c r="GQ1064" s="977"/>
      <c r="GR1064" s="977"/>
      <c r="GS1064" s="977"/>
      <c r="GT1064" s="977"/>
      <c r="GU1064" s="977"/>
      <c r="GV1064" s="977"/>
      <c r="GW1064" s="977"/>
      <c r="GX1064" s="977"/>
      <c r="GY1064" s="977"/>
      <c r="GZ1064" s="977"/>
      <c r="HA1064" s="977"/>
      <c r="HB1064" s="977"/>
      <c r="HC1064" s="977"/>
      <c r="HD1064" s="977"/>
      <c r="HE1064" s="977"/>
      <c r="HF1064" s="977"/>
      <c r="HG1064" s="977"/>
      <c r="HH1064" s="977"/>
      <c r="HI1064" s="977"/>
      <c r="HJ1064" s="977"/>
      <c r="HK1064" s="977"/>
      <c r="HL1064" s="977"/>
      <c r="HM1064" s="977"/>
      <c r="HN1064" s="977"/>
      <c r="HO1064" s="977"/>
      <c r="HP1064" s="977"/>
      <c r="HQ1064" s="977"/>
      <c r="HR1064" s="977"/>
      <c r="HS1064" s="977"/>
      <c r="HT1064" s="977"/>
      <c r="HU1064" s="977"/>
      <c r="HV1064" s="977"/>
      <c r="HW1064" s="977"/>
      <c r="HX1064" s="977"/>
      <c r="HY1064" s="977"/>
      <c r="HZ1064" s="977"/>
      <c r="IA1064" s="977"/>
      <c r="IB1064" s="977"/>
      <c r="IC1064" s="977"/>
      <c r="ID1064" s="977"/>
      <c r="IE1064" s="977"/>
      <c r="IF1064" s="977"/>
      <c r="IG1064" s="977"/>
      <c r="IH1064" s="977"/>
      <c r="II1064" s="977"/>
      <c r="IJ1064" s="977"/>
      <c r="IK1064" s="977"/>
      <c r="IL1064" s="977"/>
      <c r="IM1064" s="977"/>
      <c r="IN1064" s="977"/>
      <c r="IO1064" s="977"/>
      <c r="IP1064" s="977"/>
      <c r="IQ1064" s="977"/>
      <c r="IR1064" s="977"/>
      <c r="IS1064" s="977"/>
      <c r="IT1064" s="977"/>
      <c r="IU1064" s="977"/>
      <c r="IV1064" s="977"/>
      <c r="IW1064" s="977"/>
      <c r="IX1064" s="977"/>
      <c r="IY1064" s="977"/>
      <c r="IZ1064" s="977"/>
      <c r="JA1064" s="977"/>
      <c r="JB1064" s="977"/>
      <c r="JC1064" s="977"/>
      <c r="JD1064" s="977"/>
      <c r="JE1064" s="977"/>
      <c r="JF1064" s="977"/>
      <c r="JG1064" s="977"/>
      <c r="JH1064" s="977"/>
      <c r="JI1064" s="977"/>
      <c r="JJ1064" s="977"/>
      <c r="JK1064" s="977"/>
      <c r="JL1064" s="977"/>
      <c r="JM1064" s="977"/>
      <c r="JN1064" s="977"/>
      <c r="JO1064" s="977"/>
      <c r="JP1064" s="977"/>
      <c r="JQ1064" s="977"/>
      <c r="JR1064" s="977"/>
      <c r="JS1064" s="977"/>
      <c r="JT1064" s="977"/>
      <c r="JU1064" s="977"/>
      <c r="JV1064" s="977"/>
      <c r="JW1064" s="977"/>
      <c r="JX1064" s="977"/>
      <c r="JY1064" s="977"/>
      <c r="JZ1064" s="977"/>
      <c r="KA1064" s="977"/>
      <c r="KB1064" s="977"/>
      <c r="KC1064" s="977"/>
      <c r="KD1064" s="977"/>
      <c r="KE1064" s="977"/>
      <c r="KF1064" s="977"/>
      <c r="KG1064" s="977"/>
      <c r="KH1064" s="977"/>
      <c r="KI1064" s="977"/>
      <c r="KJ1064" s="977"/>
      <c r="KK1064" s="977"/>
      <c r="KL1064" s="977"/>
      <c r="KM1064" s="977"/>
      <c r="KN1064" s="977"/>
      <c r="KO1064" s="977"/>
      <c r="KP1064" s="977"/>
      <c r="KQ1064" s="977"/>
      <c r="KR1064" s="977"/>
      <c r="KS1064" s="977"/>
      <c r="KT1064" s="977"/>
      <c r="KU1064" s="977"/>
      <c r="KV1064" s="977"/>
      <c r="KW1064" s="977"/>
      <c r="KX1064" s="977"/>
      <c r="KY1064" s="977"/>
      <c r="KZ1064" s="977"/>
      <c r="LA1064" s="977"/>
      <c r="LB1064" s="977"/>
      <c r="LC1064" s="977"/>
      <c r="LD1064" s="977"/>
      <c r="LE1064" s="977"/>
      <c r="LF1064" s="977"/>
      <c r="LG1064" s="977"/>
      <c r="LH1064" s="977"/>
      <c r="LI1064" s="977"/>
      <c r="LJ1064" s="977"/>
      <c r="LK1064" s="977"/>
      <c r="LL1064" s="977"/>
      <c r="LM1064" s="977"/>
      <c r="LN1064" s="977"/>
      <c r="LO1064" s="977"/>
      <c r="LP1064" s="977"/>
      <c r="LQ1064" s="977"/>
      <c r="LR1064" s="977"/>
      <c r="LS1064" s="977"/>
      <c r="LT1064" s="977"/>
      <c r="LU1064" s="977"/>
      <c r="LV1064" s="977"/>
      <c r="LW1064" s="977"/>
      <c r="LX1064" s="977"/>
      <c r="LY1064" s="977"/>
      <c r="LZ1064" s="977"/>
      <c r="MA1064" s="977"/>
      <c r="MB1064" s="977"/>
      <c r="MC1064" s="977"/>
      <c r="MD1064" s="977"/>
      <c r="ME1064" s="977"/>
      <c r="MF1064" s="977"/>
      <c r="MG1064" s="977"/>
      <c r="MH1064" s="977"/>
      <c r="MI1064" s="977"/>
      <c r="MJ1064" s="977"/>
      <c r="MK1064" s="977"/>
      <c r="ML1064" s="977"/>
      <c r="MM1064" s="977"/>
      <c r="MN1064" s="977"/>
      <c r="MO1064" s="977"/>
      <c r="MP1064" s="977"/>
      <c r="MQ1064" s="977"/>
      <c r="MR1064" s="977"/>
      <c r="MS1064" s="977"/>
      <c r="MT1064" s="977"/>
      <c r="MU1064" s="977"/>
      <c r="MV1064" s="977"/>
      <c r="MW1064" s="977"/>
      <c r="MX1064" s="977"/>
      <c r="MY1064" s="977"/>
      <c r="MZ1064" s="977"/>
      <c r="NA1064" s="977"/>
      <c r="NB1064" s="977"/>
      <c r="NC1064" s="977"/>
      <c r="ND1064" s="977"/>
      <c r="NE1064" s="977"/>
      <c r="NF1064" s="977"/>
      <c r="NG1064" s="977"/>
      <c r="NH1064" s="977"/>
      <c r="NI1064" s="977"/>
      <c r="NJ1064" s="977"/>
      <c r="NK1064" s="977"/>
      <c r="NL1064" s="977"/>
      <c r="NM1064" s="977"/>
      <c r="NN1064" s="977"/>
      <c r="NO1064" s="977"/>
      <c r="NP1064" s="977"/>
      <c r="NQ1064" s="977"/>
      <c r="NR1064" s="977"/>
      <c r="NS1064" s="977"/>
      <c r="NT1064" s="977"/>
      <c r="NU1064" s="977"/>
      <c r="NV1064" s="977"/>
      <c r="NW1064" s="977"/>
      <c r="NX1064" s="977"/>
      <c r="NY1064" s="977"/>
      <c r="NZ1064" s="977"/>
      <c r="OA1064" s="977"/>
      <c r="OB1064" s="977"/>
      <c r="OC1064" s="977"/>
      <c r="OD1064" s="977"/>
      <c r="OE1064" s="977"/>
      <c r="OF1064" s="977"/>
      <c r="OG1064" s="977"/>
      <c r="OH1064" s="977"/>
      <c r="OI1064" s="977"/>
      <c r="OJ1064" s="977"/>
      <c r="OK1064" s="977"/>
      <c r="OL1064" s="977"/>
      <c r="OM1064" s="977"/>
      <c r="ON1064" s="977"/>
      <c r="OO1064" s="977"/>
      <c r="OP1064" s="977"/>
      <c r="OQ1064" s="977"/>
      <c r="OR1064" s="977"/>
      <c r="OS1064" s="977"/>
      <c r="OT1064" s="977"/>
      <c r="OU1064" s="977"/>
      <c r="OV1064" s="977"/>
      <c r="OW1064" s="977"/>
      <c r="OX1064" s="977"/>
      <c r="OY1064" s="977"/>
      <c r="OZ1064" s="977"/>
      <c r="PA1064" s="977"/>
      <c r="PB1064" s="977"/>
      <c r="PC1064" s="977"/>
      <c r="PD1064" s="977"/>
      <c r="PE1064" s="977"/>
      <c r="PF1064" s="977"/>
      <c r="PG1064" s="977"/>
      <c r="PH1064" s="977"/>
      <c r="PI1064" s="977"/>
      <c r="PJ1064" s="977"/>
      <c r="PK1064" s="977"/>
      <c r="PL1064" s="977"/>
      <c r="PM1064" s="977"/>
      <c r="PN1064" s="977"/>
      <c r="PO1064" s="977"/>
      <c r="PP1064" s="977"/>
      <c r="PQ1064" s="977"/>
      <c r="PR1064" s="977"/>
      <c r="PS1064" s="977"/>
      <c r="PT1064" s="977"/>
      <c r="PU1064" s="977"/>
      <c r="PV1064" s="977"/>
      <c r="PW1064" s="977"/>
      <c r="PX1064" s="977"/>
      <c r="PY1064" s="977"/>
      <c r="PZ1064" s="977"/>
      <c r="QA1064" s="977"/>
      <c r="QB1064" s="977"/>
      <c r="QC1064" s="977"/>
      <c r="QD1064" s="977"/>
      <c r="QE1064" s="977"/>
      <c r="QF1064" s="977"/>
      <c r="QG1064" s="977"/>
      <c r="QH1064" s="977"/>
      <c r="QI1064" s="977"/>
      <c r="QJ1064" s="977"/>
      <c r="QK1064" s="977"/>
      <c r="QL1064" s="977"/>
      <c r="QM1064" s="977"/>
      <c r="QN1064" s="977"/>
      <c r="QO1064" s="977"/>
      <c r="QP1064" s="977"/>
      <c r="QQ1064" s="977"/>
      <c r="QR1064" s="977"/>
      <c r="QS1064" s="977"/>
      <c r="QT1064" s="977"/>
      <c r="QU1064" s="977"/>
      <c r="QV1064" s="977"/>
      <c r="QW1064" s="977"/>
      <c r="QX1064" s="977"/>
      <c r="QY1064" s="977"/>
      <c r="QZ1064" s="977"/>
      <c r="RA1064" s="977"/>
      <c r="RB1064" s="977"/>
      <c r="RC1064" s="977"/>
      <c r="RD1064" s="977"/>
      <c r="RE1064" s="977"/>
      <c r="RF1064" s="977"/>
      <c r="RG1064" s="977"/>
      <c r="RH1064" s="977"/>
      <c r="RI1064" s="977"/>
      <c r="RJ1064" s="977"/>
      <c r="RK1064" s="977"/>
      <c r="RL1064" s="977"/>
      <c r="RM1064" s="977"/>
      <c r="RN1064" s="977"/>
      <c r="RO1064" s="977"/>
      <c r="RP1064" s="977"/>
      <c r="RQ1064" s="977"/>
      <c r="RR1064" s="977"/>
      <c r="RS1064" s="977"/>
      <c r="RT1064" s="977"/>
      <c r="RU1064" s="977"/>
      <c r="RV1064" s="977"/>
      <c r="RW1064" s="977"/>
      <c r="RX1064" s="977"/>
      <c r="RY1064" s="977"/>
      <c r="RZ1064" s="977"/>
      <c r="SA1064" s="977"/>
      <c r="SB1064" s="977"/>
      <c r="SC1064" s="977"/>
      <c r="SD1064" s="977"/>
      <c r="SE1064" s="977"/>
      <c r="SF1064" s="977"/>
      <c r="SG1064" s="977"/>
      <c r="SH1064" s="977"/>
      <c r="SI1064" s="977"/>
      <c r="SJ1064" s="977"/>
      <c r="SK1064" s="977"/>
      <c r="SL1064" s="977"/>
      <c r="SM1064" s="977"/>
      <c r="SN1064" s="977"/>
      <c r="SO1064" s="977"/>
      <c r="SP1064" s="977"/>
      <c r="SQ1064" s="977"/>
      <c r="SR1064" s="977"/>
      <c r="SS1064" s="977"/>
      <c r="ST1064" s="977"/>
      <c r="SU1064" s="977"/>
      <c r="SV1064" s="977"/>
      <c r="SW1064" s="977"/>
      <c r="SX1064" s="977"/>
      <c r="SY1064" s="977"/>
      <c r="SZ1064" s="977"/>
      <c r="TA1064" s="977"/>
      <c r="TB1064" s="977"/>
      <c r="TC1064" s="977"/>
      <c r="TD1064" s="977"/>
      <c r="TE1064" s="977"/>
      <c r="TF1064" s="977"/>
      <c r="TG1064" s="977"/>
      <c r="TH1064" s="977"/>
      <c r="TI1064" s="977"/>
      <c r="TJ1064" s="977"/>
      <c r="TK1064" s="977"/>
      <c r="TL1064" s="977"/>
      <c r="TM1064" s="977"/>
      <c r="TN1064" s="977"/>
      <c r="TO1064" s="977"/>
      <c r="TP1064" s="977"/>
      <c r="TQ1064" s="977"/>
      <c r="TR1064" s="977"/>
      <c r="TS1064" s="977"/>
      <c r="TT1064" s="977"/>
      <c r="TU1064" s="977"/>
      <c r="TV1064" s="977"/>
      <c r="TW1064" s="977"/>
      <c r="TX1064" s="977"/>
      <c r="TY1064" s="977"/>
      <c r="TZ1064" s="977"/>
      <c r="UA1064" s="977"/>
      <c r="UB1064" s="977"/>
      <c r="UC1064" s="977"/>
      <c r="UD1064" s="977"/>
      <c r="UE1064" s="977"/>
      <c r="UF1064" s="977"/>
      <c r="UG1064" s="978"/>
    </row>
    <row r="1065" spans="1:553" ht="47.25" customHeight="1">
      <c r="A1065" s="356" t="s">
        <v>66</v>
      </c>
      <c r="B1065" s="428"/>
      <c r="C1065" s="1431" t="s">
        <v>62</v>
      </c>
      <c r="D1065" s="1389"/>
      <c r="E1065" s="1389"/>
      <c r="F1065" s="1390"/>
      <c r="G1065" s="429"/>
      <c r="H1065" s="359"/>
      <c r="I1065" s="359"/>
      <c r="J1065" s="357"/>
      <c r="K1065" s="364"/>
      <c r="L1065" s="356"/>
      <c r="M1065" s="356"/>
      <c r="N1065" s="356"/>
      <c r="O1065" s="356"/>
      <c r="P1065" s="358">
        <f>L1065</f>
        <v>0</v>
      </c>
      <c r="Q1065" s="610"/>
      <c r="R1065" s="1447" t="s">
        <v>63</v>
      </c>
      <c r="S1065" s="308"/>
      <c r="T1065" s="308"/>
      <c r="U1065" s="308"/>
      <c r="V1065" s="308"/>
      <c r="W1065" s="308"/>
      <c r="X1065" s="308"/>
      <c r="Y1065" s="308"/>
      <c r="Z1065" s="604"/>
      <c r="AA1065" s="308"/>
      <c r="AB1065" s="308"/>
      <c r="AC1065" s="365"/>
      <c r="AD1065" s="365"/>
      <c r="AE1065" s="365"/>
      <c r="AF1065" s="365"/>
      <c r="AG1065" s="365"/>
      <c r="AH1065" s="365"/>
      <c r="AI1065" s="365"/>
      <c r="AJ1065" s="365"/>
      <c r="AK1065" s="377"/>
      <c r="AL1065" s="343"/>
      <c r="AM1065" s="24"/>
      <c r="AN1065" s="24"/>
      <c r="AO1065" s="24"/>
      <c r="AP1065" s="24"/>
      <c r="AQ1065" s="24"/>
      <c r="AR1065" s="24"/>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c r="BM1065" s="18"/>
      <c r="BN1065" s="18"/>
      <c r="BO1065" s="18"/>
      <c r="BP1065" s="18"/>
      <c r="BQ1065" s="18"/>
      <c r="BR1065" s="18"/>
      <c r="BS1065" s="18"/>
      <c r="BT1065" s="18"/>
      <c r="BU1065" s="18"/>
      <c r="BV1065" s="18"/>
      <c r="BW1065" s="18"/>
      <c r="BX1065" s="18"/>
      <c r="BY1065" s="18"/>
      <c r="BZ1065" s="18"/>
      <c r="CA1065" s="18"/>
      <c r="CB1065" s="18"/>
      <c r="CC1065" s="18"/>
      <c r="CD1065" s="18"/>
      <c r="CE1065" s="18"/>
      <c r="CF1065" s="18"/>
      <c r="CG1065" s="18"/>
      <c r="CH1065" s="18"/>
      <c r="CI1065" s="18"/>
      <c r="CJ1065" s="18"/>
      <c r="CK1065" s="18"/>
      <c r="CL1065" s="18"/>
      <c r="CM1065" s="18"/>
      <c r="CN1065" s="18"/>
      <c r="CO1065" s="18"/>
      <c r="CP1065" s="18"/>
      <c r="CQ1065" s="18"/>
      <c r="CR1065" s="18"/>
      <c r="CS1065" s="18"/>
      <c r="CT1065" s="18"/>
      <c r="CU1065" s="18"/>
      <c r="CV1065" s="18"/>
      <c r="CW1065" s="18"/>
      <c r="CX1065" s="18"/>
      <c r="CY1065" s="18"/>
      <c r="CZ1065" s="18"/>
      <c r="DA1065" s="18"/>
      <c r="DB1065" s="18"/>
      <c r="DC1065" s="18"/>
      <c r="DD1065" s="18"/>
      <c r="DE1065" s="18"/>
      <c r="DF1065" s="18"/>
      <c r="DG1065" s="18"/>
      <c r="DH1065" s="18"/>
      <c r="DI1065" s="18"/>
      <c r="DJ1065" s="18"/>
      <c r="DK1065" s="18"/>
      <c r="DL1065" s="18"/>
      <c r="DM1065" s="18"/>
      <c r="DN1065" s="18"/>
      <c r="DO1065" s="18"/>
      <c r="DP1065" s="18"/>
      <c r="DQ1065" s="18"/>
      <c r="DR1065" s="18"/>
      <c r="DS1065" s="18"/>
      <c r="DT1065" s="18"/>
      <c r="DU1065" s="18"/>
      <c r="DV1065" s="18"/>
      <c r="DW1065" s="18"/>
      <c r="DX1065" s="18"/>
      <c r="DY1065" s="18"/>
      <c r="DZ1065" s="18"/>
      <c r="EA1065" s="18"/>
      <c r="EB1065" s="18"/>
      <c r="EC1065" s="18"/>
      <c r="ED1065" s="18"/>
      <c r="EE1065" s="18"/>
      <c r="EF1065" s="18"/>
      <c r="EG1065" s="18"/>
      <c r="EH1065" s="18"/>
      <c r="EI1065" s="18"/>
      <c r="EJ1065" s="18"/>
      <c r="EK1065" s="18"/>
      <c r="EL1065" s="18"/>
      <c r="EM1065" s="18"/>
      <c r="EN1065" s="18"/>
      <c r="EO1065" s="18"/>
      <c r="EP1065" s="18"/>
      <c r="EQ1065" s="18"/>
      <c r="ER1065" s="18"/>
      <c r="ES1065" s="18"/>
      <c r="ET1065" s="18"/>
      <c r="EU1065" s="18"/>
      <c r="EV1065" s="18"/>
      <c r="EW1065" s="18"/>
      <c r="EX1065" s="18"/>
      <c r="EY1065" s="18"/>
      <c r="EZ1065" s="18"/>
      <c r="FA1065" s="18"/>
      <c r="FB1065" s="18"/>
      <c r="FC1065" s="18"/>
      <c r="FD1065" s="18"/>
      <c r="FE1065" s="18"/>
      <c r="FF1065" s="18"/>
      <c r="FG1065" s="18"/>
      <c r="FH1065" s="18"/>
      <c r="FI1065" s="18"/>
      <c r="FJ1065" s="18"/>
      <c r="FK1065" s="18"/>
      <c r="FL1065" s="18"/>
      <c r="FM1065" s="18"/>
      <c r="FN1065" s="18"/>
      <c r="FO1065" s="18"/>
      <c r="FP1065" s="18"/>
      <c r="FQ1065" s="18"/>
      <c r="FR1065" s="18"/>
      <c r="FS1065" s="18"/>
      <c r="FT1065" s="18"/>
      <c r="FU1065" s="18"/>
      <c r="FV1065" s="18"/>
      <c r="FW1065" s="18"/>
      <c r="FX1065" s="18"/>
      <c r="FY1065" s="18"/>
      <c r="FZ1065" s="18"/>
      <c r="GA1065" s="18"/>
      <c r="GB1065" s="18"/>
      <c r="GC1065" s="18"/>
      <c r="GD1065" s="18"/>
      <c r="GE1065" s="18"/>
      <c r="GF1065" s="18"/>
      <c r="GG1065" s="18"/>
      <c r="GH1065" s="18"/>
      <c r="GI1065" s="18"/>
      <c r="GJ1065" s="18"/>
      <c r="GK1065" s="18"/>
      <c r="GL1065" s="18"/>
      <c r="GM1065" s="18"/>
      <c r="GN1065" s="18"/>
      <c r="GO1065" s="18"/>
      <c r="GP1065" s="18"/>
      <c r="GQ1065" s="18"/>
      <c r="GR1065" s="18"/>
      <c r="GS1065" s="18"/>
      <c r="GT1065" s="18"/>
      <c r="GU1065" s="18"/>
      <c r="GV1065" s="18"/>
      <c r="GW1065" s="18"/>
      <c r="GX1065" s="18"/>
      <c r="GY1065" s="18"/>
      <c r="GZ1065" s="18"/>
      <c r="HA1065" s="18"/>
      <c r="HB1065" s="18"/>
      <c r="HC1065" s="18"/>
      <c r="HD1065" s="18"/>
      <c r="HE1065" s="18"/>
      <c r="HF1065" s="18"/>
      <c r="HG1065" s="18"/>
      <c r="HH1065" s="18"/>
      <c r="HI1065" s="18"/>
      <c r="HJ1065" s="18"/>
      <c r="HK1065" s="18"/>
      <c r="HL1065" s="18"/>
      <c r="HM1065" s="18"/>
      <c r="HN1065" s="18"/>
      <c r="HO1065" s="18"/>
      <c r="HP1065" s="18"/>
      <c r="HQ1065" s="18"/>
      <c r="HR1065" s="18"/>
      <c r="HS1065" s="18"/>
      <c r="HT1065" s="18"/>
      <c r="HU1065" s="18"/>
      <c r="HV1065" s="18"/>
      <c r="HW1065" s="18"/>
      <c r="HX1065" s="18"/>
      <c r="HY1065" s="18"/>
      <c r="HZ1065" s="18"/>
      <c r="IA1065" s="18"/>
      <c r="IB1065" s="18"/>
      <c r="IC1065" s="18"/>
      <c r="ID1065" s="18"/>
      <c r="IE1065" s="18"/>
      <c r="IF1065" s="18"/>
      <c r="IG1065" s="18"/>
      <c r="IH1065" s="18"/>
      <c r="II1065" s="18"/>
      <c r="IJ1065" s="18"/>
      <c r="IK1065" s="18"/>
      <c r="IL1065" s="18"/>
      <c r="IM1065" s="18"/>
      <c r="IN1065" s="18"/>
      <c r="IO1065" s="18"/>
      <c r="IP1065" s="18"/>
      <c r="IQ1065" s="18"/>
      <c r="IR1065" s="18"/>
      <c r="IS1065" s="18"/>
      <c r="IT1065" s="18"/>
      <c r="IU1065" s="18"/>
      <c r="IV1065" s="18"/>
      <c r="IW1065" s="18"/>
      <c r="IX1065" s="18"/>
      <c r="IY1065" s="18"/>
      <c r="IZ1065" s="18"/>
      <c r="JA1065" s="18"/>
      <c r="JB1065" s="18"/>
      <c r="JC1065" s="18"/>
      <c r="JD1065" s="18"/>
      <c r="JE1065" s="18"/>
      <c r="JF1065" s="18"/>
      <c r="JG1065" s="18"/>
      <c r="JH1065" s="18"/>
      <c r="JI1065" s="18"/>
      <c r="JJ1065" s="18"/>
      <c r="JK1065" s="18"/>
      <c r="JL1065" s="18"/>
      <c r="JM1065" s="18"/>
      <c r="JN1065" s="18"/>
      <c r="JO1065" s="18"/>
      <c r="JP1065" s="18"/>
      <c r="JQ1065" s="18"/>
      <c r="JR1065" s="18"/>
      <c r="JS1065" s="18"/>
      <c r="JT1065" s="18"/>
      <c r="JU1065" s="18"/>
      <c r="JV1065" s="18"/>
      <c r="JW1065" s="18"/>
      <c r="JX1065" s="18"/>
      <c r="JY1065" s="18"/>
      <c r="JZ1065" s="18"/>
      <c r="KA1065" s="18"/>
      <c r="KB1065" s="18"/>
      <c r="KC1065" s="18"/>
      <c r="KD1065" s="18"/>
      <c r="KE1065" s="18"/>
      <c r="KF1065" s="18"/>
      <c r="KG1065" s="18"/>
      <c r="KH1065" s="18"/>
      <c r="KI1065" s="18"/>
      <c r="KJ1065" s="18"/>
      <c r="KK1065" s="18"/>
      <c r="KL1065" s="18"/>
      <c r="KM1065" s="18"/>
      <c r="KN1065" s="18"/>
      <c r="KO1065" s="18"/>
      <c r="KP1065" s="18"/>
      <c r="KQ1065" s="18"/>
      <c r="KR1065" s="18"/>
      <c r="KS1065" s="18"/>
      <c r="KT1065" s="18"/>
      <c r="KU1065" s="18"/>
      <c r="KV1065" s="18"/>
      <c r="KW1065" s="18"/>
      <c r="KX1065" s="18"/>
      <c r="KY1065" s="18"/>
      <c r="KZ1065" s="18"/>
      <c r="LA1065" s="18"/>
      <c r="LB1065" s="18"/>
      <c r="LC1065" s="18"/>
      <c r="LD1065" s="18"/>
      <c r="LE1065" s="18"/>
      <c r="LF1065" s="18"/>
      <c r="LG1065" s="18"/>
      <c r="LH1065" s="18"/>
      <c r="LI1065" s="18"/>
      <c r="LJ1065" s="18"/>
      <c r="LK1065" s="18"/>
      <c r="LL1065" s="18"/>
      <c r="LM1065" s="18"/>
      <c r="LN1065" s="18"/>
      <c r="LO1065" s="18"/>
      <c r="LP1065" s="18"/>
      <c r="LQ1065" s="18"/>
      <c r="LR1065" s="18"/>
      <c r="LS1065" s="18"/>
      <c r="LT1065" s="18"/>
      <c r="LU1065" s="18"/>
      <c r="LV1065" s="18"/>
      <c r="LW1065" s="18"/>
      <c r="LX1065" s="18"/>
      <c r="LY1065" s="18"/>
      <c r="LZ1065" s="18"/>
      <c r="MA1065" s="18"/>
      <c r="MB1065" s="18"/>
      <c r="MC1065" s="18"/>
      <c r="MD1065" s="18"/>
      <c r="ME1065" s="18"/>
      <c r="MF1065" s="18"/>
      <c r="MG1065" s="18"/>
      <c r="MH1065" s="18"/>
      <c r="MI1065" s="18"/>
      <c r="MJ1065" s="18"/>
      <c r="MK1065" s="18"/>
      <c r="ML1065" s="18"/>
      <c r="MM1065" s="18"/>
      <c r="MN1065" s="18"/>
      <c r="MO1065" s="18"/>
      <c r="MP1065" s="18"/>
      <c r="MQ1065" s="18"/>
      <c r="MR1065" s="18"/>
      <c r="MS1065" s="18"/>
      <c r="MT1065" s="18"/>
      <c r="MU1065" s="18"/>
      <c r="MV1065" s="18"/>
      <c r="MW1065" s="18"/>
      <c r="MX1065" s="18"/>
      <c r="MY1065" s="18"/>
      <c r="MZ1065" s="18"/>
      <c r="NA1065" s="18"/>
      <c r="NB1065" s="18"/>
      <c r="NC1065" s="18"/>
      <c r="ND1065" s="18"/>
      <c r="NE1065" s="18"/>
      <c r="NF1065" s="18"/>
      <c r="NG1065" s="18"/>
      <c r="NH1065" s="18"/>
      <c r="NI1065" s="18"/>
      <c r="NJ1065" s="18"/>
      <c r="NK1065" s="18"/>
      <c r="NL1065" s="18"/>
      <c r="NM1065" s="18"/>
      <c r="NN1065" s="18"/>
      <c r="NO1065" s="18"/>
      <c r="NP1065" s="18"/>
      <c r="NQ1065" s="18"/>
      <c r="NR1065" s="18"/>
      <c r="NS1065" s="18"/>
      <c r="NT1065" s="18"/>
      <c r="NU1065" s="18"/>
      <c r="NV1065" s="18"/>
      <c r="NW1065" s="18"/>
      <c r="NX1065" s="18"/>
      <c r="NY1065" s="18"/>
      <c r="NZ1065" s="18"/>
      <c r="OA1065" s="18"/>
      <c r="OB1065" s="18"/>
      <c r="OC1065" s="18"/>
      <c r="OD1065" s="18"/>
      <c r="OE1065" s="18"/>
      <c r="OF1065" s="18"/>
      <c r="OG1065" s="18"/>
      <c r="OH1065" s="18"/>
      <c r="OI1065" s="18"/>
      <c r="OJ1065" s="18"/>
      <c r="OK1065" s="18"/>
      <c r="OL1065" s="18"/>
      <c r="OM1065" s="18"/>
      <c r="ON1065" s="18"/>
      <c r="OO1065" s="18"/>
      <c r="OP1065" s="18"/>
      <c r="OQ1065" s="18"/>
      <c r="OR1065" s="18"/>
      <c r="OS1065" s="18"/>
      <c r="OT1065" s="18"/>
      <c r="OU1065" s="18"/>
      <c r="OV1065" s="18"/>
      <c r="OW1065" s="18"/>
      <c r="OX1065" s="18"/>
      <c r="OY1065" s="18"/>
      <c r="OZ1065" s="18"/>
      <c r="PA1065" s="18"/>
      <c r="PB1065" s="18"/>
      <c r="PC1065" s="18"/>
      <c r="PD1065" s="18"/>
      <c r="PE1065" s="18"/>
      <c r="PF1065" s="18"/>
      <c r="PG1065" s="18"/>
      <c r="PH1065" s="18"/>
      <c r="PI1065" s="18"/>
      <c r="PJ1065" s="18"/>
      <c r="PK1065" s="18"/>
      <c r="PL1065" s="18"/>
      <c r="PM1065" s="18"/>
      <c r="PN1065" s="18"/>
      <c r="PO1065" s="18"/>
      <c r="PP1065" s="18"/>
      <c r="PQ1065" s="18"/>
      <c r="PR1065" s="18"/>
      <c r="PS1065" s="18"/>
      <c r="PT1065" s="18"/>
      <c r="PU1065" s="18"/>
      <c r="PV1065" s="18"/>
      <c r="PW1065" s="18"/>
      <c r="PX1065" s="18"/>
      <c r="PY1065" s="18"/>
      <c r="PZ1065" s="18"/>
      <c r="QA1065" s="18"/>
      <c r="QB1065" s="18"/>
      <c r="QC1065" s="18"/>
      <c r="QD1065" s="18"/>
      <c r="QE1065" s="18"/>
      <c r="QF1065" s="18"/>
      <c r="QG1065" s="18"/>
      <c r="QH1065" s="18"/>
      <c r="QI1065" s="18"/>
      <c r="QJ1065" s="18"/>
      <c r="QK1065" s="18"/>
      <c r="QL1065" s="18"/>
      <c r="QM1065" s="18"/>
      <c r="QN1065" s="18"/>
      <c r="QO1065" s="18"/>
      <c r="QP1065" s="18"/>
      <c r="QQ1065" s="18"/>
      <c r="QR1065" s="18"/>
      <c r="QS1065" s="18"/>
      <c r="QT1065" s="18"/>
      <c r="QU1065" s="18"/>
      <c r="QV1065" s="18"/>
      <c r="QW1065" s="18"/>
      <c r="QX1065" s="18"/>
      <c r="QY1065" s="18"/>
      <c r="QZ1065" s="18"/>
      <c r="RA1065" s="18"/>
      <c r="RB1065" s="18"/>
      <c r="RC1065" s="18"/>
      <c r="RD1065" s="18"/>
      <c r="RE1065" s="18"/>
      <c r="RF1065" s="18"/>
      <c r="RG1065" s="18"/>
      <c r="RH1065" s="18"/>
      <c r="RI1065" s="18"/>
      <c r="RJ1065" s="18"/>
      <c r="RK1065" s="18"/>
      <c r="RL1065" s="18"/>
      <c r="RM1065" s="18"/>
      <c r="RN1065" s="18"/>
      <c r="RO1065" s="18"/>
      <c r="RP1065" s="18"/>
      <c r="RQ1065" s="18"/>
      <c r="RR1065" s="18"/>
      <c r="RS1065" s="18"/>
      <c r="RT1065" s="18"/>
      <c r="RU1065" s="18"/>
      <c r="RV1065" s="18"/>
      <c r="RW1065" s="18"/>
      <c r="RX1065" s="18"/>
      <c r="RY1065" s="18"/>
      <c r="RZ1065" s="18"/>
      <c r="SA1065" s="18"/>
      <c r="SB1065" s="18"/>
      <c r="SC1065" s="18"/>
      <c r="SD1065" s="18"/>
      <c r="SE1065" s="18"/>
      <c r="SF1065" s="18"/>
      <c r="SG1065" s="18"/>
      <c r="SH1065" s="18"/>
      <c r="SI1065" s="18"/>
      <c r="SJ1065" s="18"/>
      <c r="SK1065" s="18"/>
      <c r="SL1065" s="18"/>
      <c r="SM1065" s="18"/>
      <c r="SN1065" s="18"/>
      <c r="SO1065" s="18"/>
      <c r="SP1065" s="18"/>
      <c r="SQ1065" s="18"/>
      <c r="SR1065" s="18"/>
      <c r="SS1065" s="18"/>
      <c r="ST1065" s="18"/>
      <c r="SU1065" s="18"/>
      <c r="SV1065" s="18"/>
      <c r="SW1065" s="18"/>
      <c r="SX1065" s="18"/>
      <c r="SY1065" s="18"/>
      <c r="SZ1065" s="18"/>
      <c r="TA1065" s="18"/>
      <c r="TB1065" s="18"/>
      <c r="TC1065" s="18"/>
      <c r="TD1065" s="18"/>
      <c r="TE1065" s="18"/>
      <c r="TF1065" s="18"/>
      <c r="TG1065" s="18"/>
      <c r="TH1065" s="18"/>
      <c r="TI1065" s="18"/>
      <c r="TJ1065" s="18"/>
      <c r="TK1065" s="18"/>
      <c r="TL1065" s="18"/>
      <c r="TM1065" s="18"/>
      <c r="TN1065" s="18"/>
      <c r="TO1065" s="18"/>
      <c r="TP1065" s="18"/>
      <c r="TQ1065" s="18"/>
      <c r="TR1065" s="18"/>
      <c r="TS1065" s="18"/>
      <c r="TT1065" s="18"/>
      <c r="TU1065" s="18"/>
      <c r="TV1065" s="18"/>
      <c r="TW1065" s="18"/>
      <c r="TX1065" s="18"/>
      <c r="TY1065" s="18"/>
      <c r="TZ1065" s="18"/>
      <c r="UA1065" s="18"/>
      <c r="UB1065" s="18"/>
      <c r="UC1065" s="18"/>
      <c r="UD1065" s="18"/>
      <c r="UE1065" s="18"/>
      <c r="UF1065" s="18"/>
      <c r="UG1065" s="19"/>
    </row>
    <row r="1066" spans="1:553" ht="45.75" customHeight="1">
      <c r="A1066" s="356"/>
      <c r="B1066" s="428"/>
      <c r="C1066" s="1451" t="s">
        <v>275</v>
      </c>
      <c r="D1066" s="1389"/>
      <c r="E1066" s="1389"/>
      <c r="F1066" s="1390"/>
      <c r="G1066" s="386" t="s">
        <v>65</v>
      </c>
      <c r="H1066" s="370"/>
      <c r="I1066" s="1056"/>
      <c r="J1066" s="368"/>
      <c r="K1066" s="371"/>
      <c r="L1066" s="366"/>
      <c r="M1066" s="356"/>
      <c r="N1066" s="356"/>
      <c r="O1066" s="356"/>
      <c r="P1066" s="356"/>
      <c r="Q1066" s="610"/>
      <c r="R1066" s="1452"/>
      <c r="S1066" s="308"/>
      <c r="T1066" s="308"/>
      <c r="U1066" s="308"/>
      <c r="V1066" s="308"/>
      <c r="W1066" s="308"/>
      <c r="X1066" s="308"/>
      <c r="Y1066" s="308"/>
      <c r="Z1066" s="604"/>
      <c r="AA1066" s="308"/>
      <c r="AB1066" s="308"/>
      <c r="AC1066" s="454"/>
      <c r="AD1066" s="454"/>
      <c r="AE1066" s="454"/>
      <c r="AF1066" s="454"/>
      <c r="AG1066" s="454"/>
      <c r="AH1066" s="454"/>
      <c r="AI1066" s="454"/>
      <c r="AJ1066" s="454"/>
      <c r="AK1066" s="455"/>
      <c r="AL1066" s="110"/>
      <c r="AM1066" s="34"/>
      <c r="AN1066" s="34"/>
      <c r="AO1066" s="34"/>
      <c r="AP1066" s="34"/>
      <c r="AQ1066" s="34"/>
      <c r="AR1066" s="34"/>
      <c r="AS1066" s="35"/>
      <c r="AT1066" s="35"/>
      <c r="AU1066" s="35"/>
      <c r="AV1066" s="35"/>
      <c r="AW1066" s="35"/>
      <c r="AX1066" s="35"/>
      <c r="AY1066" s="35"/>
      <c r="AZ1066" s="35"/>
      <c r="BA1066" s="35"/>
      <c r="BB1066" s="35"/>
      <c r="BC1066" s="35"/>
      <c r="BD1066" s="35"/>
      <c r="BE1066" s="35"/>
      <c r="BF1066" s="35"/>
      <c r="BG1066" s="35"/>
      <c r="BH1066" s="35"/>
      <c r="BI1066" s="35"/>
      <c r="BJ1066" s="35"/>
      <c r="BK1066" s="35"/>
      <c r="BL1066" s="35"/>
      <c r="BM1066" s="35"/>
      <c r="BN1066" s="35"/>
      <c r="BO1066" s="35"/>
      <c r="BP1066" s="36"/>
      <c r="BQ1066" s="36"/>
      <c r="BR1066" s="36"/>
      <c r="BS1066" s="36"/>
      <c r="BT1066" s="36"/>
      <c r="BU1066" s="36"/>
      <c r="BV1066" s="36"/>
      <c r="BW1066" s="36"/>
      <c r="BX1066" s="36"/>
      <c r="BY1066" s="36"/>
      <c r="BZ1066" s="36"/>
      <c r="CA1066" s="36"/>
      <c r="CB1066" s="36"/>
      <c r="CC1066" s="36"/>
      <c r="CD1066" s="36"/>
      <c r="CE1066" s="36"/>
      <c r="CF1066" s="36"/>
      <c r="CG1066" s="36"/>
      <c r="CH1066" s="36"/>
      <c r="CI1066" s="36"/>
      <c r="CJ1066" s="36"/>
      <c r="CK1066" s="36"/>
      <c r="CL1066" s="36"/>
      <c r="CM1066" s="36"/>
      <c r="CN1066" s="36"/>
      <c r="CO1066" s="36"/>
      <c r="CP1066" s="36"/>
      <c r="CQ1066" s="36"/>
      <c r="CR1066" s="36"/>
      <c r="CS1066" s="36"/>
      <c r="CT1066" s="36"/>
      <c r="CU1066" s="36"/>
      <c r="CV1066" s="36"/>
      <c r="CW1066" s="36"/>
      <c r="CX1066" s="36"/>
      <c r="CY1066" s="36"/>
      <c r="CZ1066" s="36"/>
      <c r="DA1066" s="36"/>
      <c r="DB1066" s="36"/>
      <c r="DC1066" s="36"/>
      <c r="DD1066" s="36"/>
      <c r="DE1066" s="36"/>
      <c r="DF1066" s="36"/>
      <c r="DG1066" s="36"/>
      <c r="DH1066" s="36"/>
      <c r="DI1066" s="36"/>
      <c r="DJ1066" s="36"/>
      <c r="DK1066" s="36"/>
      <c r="DL1066" s="36"/>
      <c r="DM1066" s="36"/>
      <c r="DN1066" s="36"/>
      <c r="DO1066" s="36"/>
      <c r="DP1066" s="36"/>
      <c r="DQ1066" s="36"/>
      <c r="DR1066" s="36"/>
      <c r="DS1066" s="36"/>
      <c r="DT1066" s="36"/>
      <c r="DU1066" s="36"/>
      <c r="DV1066" s="36"/>
      <c r="DW1066" s="36"/>
      <c r="DX1066" s="36"/>
      <c r="DY1066" s="36"/>
      <c r="DZ1066" s="36"/>
      <c r="EA1066" s="36"/>
      <c r="EB1066" s="36"/>
      <c r="EC1066" s="36"/>
      <c r="ED1066" s="36"/>
      <c r="EE1066" s="36"/>
      <c r="EF1066" s="36"/>
      <c r="EG1066" s="36"/>
      <c r="EH1066" s="36"/>
      <c r="EI1066" s="36"/>
      <c r="EJ1066" s="36"/>
      <c r="EK1066" s="36"/>
      <c r="EL1066" s="36"/>
      <c r="EM1066" s="36"/>
      <c r="EN1066" s="36"/>
      <c r="EO1066" s="36"/>
      <c r="EP1066" s="36"/>
      <c r="EQ1066" s="36"/>
      <c r="ER1066" s="36"/>
      <c r="ES1066" s="36"/>
      <c r="ET1066" s="36"/>
      <c r="EU1066" s="36"/>
      <c r="EV1066" s="36"/>
      <c r="EW1066" s="36"/>
      <c r="EX1066" s="36"/>
      <c r="EY1066" s="36"/>
      <c r="EZ1066" s="36"/>
      <c r="FA1066" s="36"/>
      <c r="FB1066" s="36"/>
      <c r="FC1066" s="36"/>
      <c r="FD1066" s="36"/>
      <c r="FE1066" s="36"/>
      <c r="FF1066" s="36"/>
      <c r="FG1066" s="36"/>
      <c r="FH1066" s="36"/>
      <c r="FI1066" s="36"/>
      <c r="FJ1066" s="36"/>
      <c r="FK1066" s="36"/>
      <c r="FL1066" s="36"/>
      <c r="FM1066" s="36"/>
      <c r="FN1066" s="36"/>
      <c r="FO1066" s="36"/>
      <c r="FP1066" s="36"/>
      <c r="FQ1066" s="36"/>
      <c r="FR1066" s="36"/>
      <c r="FS1066" s="36"/>
      <c r="FT1066" s="36"/>
      <c r="FU1066" s="36"/>
      <c r="FV1066" s="36"/>
      <c r="FW1066" s="36"/>
      <c r="FX1066" s="36"/>
      <c r="FY1066" s="36"/>
      <c r="FZ1066" s="36"/>
      <c r="GA1066" s="36"/>
      <c r="GB1066" s="36"/>
      <c r="GC1066" s="36"/>
      <c r="GD1066" s="36"/>
      <c r="GE1066" s="36"/>
      <c r="GF1066" s="36"/>
      <c r="GG1066" s="36"/>
      <c r="GH1066" s="36"/>
      <c r="GI1066" s="36"/>
      <c r="GJ1066" s="36"/>
      <c r="GK1066" s="36"/>
      <c r="GL1066" s="36"/>
      <c r="GM1066" s="36"/>
      <c r="GN1066" s="36"/>
      <c r="GO1066" s="36"/>
      <c r="GP1066" s="36"/>
      <c r="GQ1066" s="36"/>
      <c r="GR1066" s="36"/>
      <c r="GS1066" s="36"/>
      <c r="GT1066" s="36"/>
      <c r="GU1066" s="36"/>
      <c r="GV1066" s="36"/>
      <c r="GW1066" s="36"/>
      <c r="GX1066" s="36"/>
      <c r="GY1066" s="36"/>
      <c r="GZ1066" s="36"/>
      <c r="HA1066" s="36"/>
      <c r="HB1066" s="36"/>
      <c r="HC1066" s="36"/>
      <c r="HD1066" s="36"/>
      <c r="HE1066" s="36"/>
      <c r="HF1066" s="36"/>
      <c r="HG1066" s="36"/>
      <c r="HH1066" s="36"/>
      <c r="HI1066" s="36"/>
      <c r="HJ1066" s="36"/>
      <c r="HK1066" s="36"/>
      <c r="HL1066" s="36"/>
      <c r="HM1066" s="36"/>
      <c r="HN1066" s="36"/>
      <c r="HO1066" s="36"/>
      <c r="HP1066" s="36"/>
      <c r="HQ1066" s="36"/>
      <c r="HR1066" s="36"/>
      <c r="HS1066" s="36"/>
      <c r="HT1066" s="36"/>
      <c r="HU1066" s="36"/>
      <c r="HV1066" s="36"/>
      <c r="HW1066" s="36"/>
      <c r="HX1066" s="36"/>
      <c r="HY1066" s="36"/>
      <c r="HZ1066" s="36"/>
      <c r="IA1066" s="36"/>
      <c r="IB1066" s="36"/>
      <c r="IC1066" s="36"/>
      <c r="ID1066" s="36"/>
      <c r="IE1066" s="36"/>
      <c r="IF1066" s="36"/>
      <c r="IG1066" s="36"/>
      <c r="IH1066" s="36"/>
      <c r="II1066" s="36"/>
      <c r="IJ1066" s="36"/>
      <c r="IK1066" s="36"/>
      <c r="IL1066" s="36"/>
      <c r="IM1066" s="36"/>
      <c r="IN1066" s="36"/>
      <c r="IO1066" s="36"/>
      <c r="IP1066" s="36"/>
      <c r="IQ1066" s="36"/>
      <c r="IR1066" s="36"/>
      <c r="IS1066" s="36"/>
      <c r="IT1066" s="36"/>
      <c r="IU1066" s="36"/>
      <c r="IV1066" s="36"/>
      <c r="IW1066" s="36"/>
      <c r="IX1066" s="36"/>
      <c r="IY1066" s="36"/>
      <c r="IZ1066" s="36"/>
      <c r="JA1066" s="36"/>
      <c r="JB1066" s="36"/>
      <c r="JC1066" s="36"/>
      <c r="JD1066" s="36"/>
      <c r="JE1066" s="36"/>
      <c r="JF1066" s="36"/>
      <c r="JG1066" s="36"/>
      <c r="JH1066" s="36"/>
      <c r="JI1066" s="36"/>
      <c r="JJ1066" s="36"/>
      <c r="JK1066" s="36"/>
      <c r="JL1066" s="36"/>
      <c r="JM1066" s="36"/>
      <c r="JN1066" s="36"/>
      <c r="JO1066" s="36"/>
      <c r="JP1066" s="36"/>
      <c r="JQ1066" s="36"/>
      <c r="JR1066" s="36"/>
      <c r="JS1066" s="36"/>
      <c r="JT1066" s="36"/>
      <c r="JU1066" s="36"/>
      <c r="JV1066" s="36"/>
      <c r="JW1066" s="36"/>
      <c r="JX1066" s="36"/>
      <c r="JY1066" s="36"/>
      <c r="JZ1066" s="36"/>
      <c r="KA1066" s="36"/>
      <c r="KB1066" s="36"/>
      <c r="KC1066" s="36"/>
      <c r="KD1066" s="36"/>
      <c r="KE1066" s="36"/>
      <c r="KF1066" s="36"/>
      <c r="KG1066" s="36"/>
      <c r="KH1066" s="36"/>
      <c r="KI1066" s="36"/>
      <c r="KJ1066" s="36"/>
      <c r="KK1066" s="36"/>
      <c r="KL1066" s="36"/>
      <c r="KM1066" s="36"/>
      <c r="KN1066" s="36"/>
      <c r="KO1066" s="36"/>
      <c r="KP1066" s="36"/>
      <c r="KQ1066" s="36"/>
      <c r="KR1066" s="36"/>
      <c r="KS1066" s="36"/>
      <c r="KT1066" s="36"/>
      <c r="KU1066" s="36"/>
      <c r="KV1066" s="36"/>
      <c r="KW1066" s="36"/>
      <c r="KX1066" s="36"/>
      <c r="KY1066" s="36"/>
      <c r="KZ1066" s="36"/>
      <c r="LA1066" s="36"/>
      <c r="LB1066" s="36"/>
      <c r="LC1066" s="36"/>
      <c r="LD1066" s="36"/>
      <c r="LE1066" s="36"/>
      <c r="LF1066" s="36"/>
      <c r="LG1066" s="36"/>
      <c r="LH1066" s="36"/>
      <c r="LI1066" s="36"/>
      <c r="LJ1066" s="36"/>
      <c r="LK1066" s="36"/>
      <c r="LL1066" s="36"/>
      <c r="LM1066" s="36"/>
      <c r="LN1066" s="36"/>
      <c r="LO1066" s="36"/>
      <c r="LP1066" s="36"/>
      <c r="LQ1066" s="36"/>
      <c r="LR1066" s="36"/>
      <c r="LS1066" s="36"/>
      <c r="LT1066" s="36"/>
      <c r="LU1066" s="36"/>
      <c r="LV1066" s="36"/>
      <c r="LW1066" s="36"/>
      <c r="LX1066" s="36"/>
      <c r="LY1066" s="36"/>
      <c r="LZ1066" s="36"/>
      <c r="MA1066" s="36"/>
      <c r="MB1066" s="36"/>
      <c r="MC1066" s="36"/>
      <c r="MD1066" s="36"/>
      <c r="ME1066" s="36"/>
      <c r="MF1066" s="36"/>
      <c r="MG1066" s="36"/>
      <c r="MH1066" s="36"/>
      <c r="MI1066" s="36"/>
      <c r="MJ1066" s="36"/>
      <c r="MK1066" s="36"/>
      <c r="ML1066" s="36"/>
      <c r="MM1066" s="36"/>
      <c r="MN1066" s="36"/>
      <c r="MO1066" s="36"/>
      <c r="MP1066" s="36"/>
      <c r="MQ1066" s="36"/>
      <c r="MR1066" s="36"/>
      <c r="MS1066" s="36"/>
      <c r="MT1066" s="36"/>
      <c r="MU1066" s="36"/>
      <c r="MV1066" s="36"/>
      <c r="MW1066" s="36"/>
      <c r="MX1066" s="36"/>
      <c r="MY1066" s="36"/>
      <c r="MZ1066" s="36"/>
      <c r="NA1066" s="36"/>
      <c r="NB1066" s="36"/>
      <c r="NC1066" s="36"/>
      <c r="ND1066" s="36"/>
      <c r="NE1066" s="36"/>
      <c r="NF1066" s="36"/>
      <c r="NG1066" s="36"/>
      <c r="NH1066" s="36"/>
      <c r="NI1066" s="36"/>
      <c r="NJ1066" s="36"/>
      <c r="NK1066" s="36"/>
      <c r="NL1066" s="36"/>
      <c r="NM1066" s="36"/>
      <c r="NN1066" s="36"/>
      <c r="NO1066" s="36"/>
      <c r="NP1066" s="36"/>
      <c r="NQ1066" s="36"/>
      <c r="NR1066" s="36"/>
      <c r="NS1066" s="36"/>
      <c r="NT1066" s="36"/>
      <c r="NU1066" s="36"/>
      <c r="NV1066" s="36"/>
      <c r="NW1066" s="36"/>
      <c r="NX1066" s="36"/>
      <c r="NY1066" s="36"/>
      <c r="NZ1066" s="36"/>
      <c r="OA1066" s="36"/>
      <c r="OB1066" s="36"/>
      <c r="OC1066" s="36"/>
      <c r="OD1066" s="36"/>
      <c r="OE1066" s="36"/>
      <c r="OF1066" s="36"/>
      <c r="OG1066" s="36"/>
      <c r="OH1066" s="36"/>
      <c r="OI1066" s="36"/>
      <c r="OJ1066" s="36"/>
      <c r="OK1066" s="36"/>
      <c r="OL1066" s="36"/>
      <c r="OM1066" s="36"/>
      <c r="ON1066" s="36"/>
      <c r="OO1066" s="36"/>
      <c r="OP1066" s="36"/>
      <c r="OQ1066" s="36"/>
      <c r="OR1066" s="36"/>
      <c r="OS1066" s="36"/>
      <c r="OT1066" s="36"/>
      <c r="OU1066" s="36"/>
      <c r="OV1066" s="36"/>
      <c r="OW1066" s="36"/>
      <c r="OX1066" s="36"/>
      <c r="OY1066" s="36"/>
      <c r="OZ1066" s="36"/>
      <c r="PA1066" s="36"/>
      <c r="PB1066" s="36"/>
      <c r="PC1066" s="36"/>
      <c r="PD1066" s="36"/>
      <c r="PE1066" s="36"/>
      <c r="PF1066" s="36"/>
      <c r="PG1066" s="36"/>
      <c r="PH1066" s="36"/>
      <c r="PI1066" s="36"/>
      <c r="PJ1066" s="36"/>
      <c r="PK1066" s="36"/>
      <c r="PL1066" s="36"/>
      <c r="PM1066" s="36"/>
      <c r="PN1066" s="36"/>
      <c r="PO1066" s="36"/>
      <c r="PP1066" s="36"/>
      <c r="PQ1066" s="36"/>
      <c r="PR1066" s="36"/>
      <c r="PS1066" s="36"/>
      <c r="PT1066" s="36"/>
      <c r="PU1066" s="36"/>
      <c r="PV1066" s="36"/>
      <c r="PW1066" s="36"/>
      <c r="PX1066" s="36"/>
      <c r="PY1066" s="36"/>
      <c r="PZ1066" s="36"/>
      <c r="QA1066" s="36"/>
      <c r="QB1066" s="36"/>
      <c r="QC1066" s="36"/>
      <c r="QD1066" s="36"/>
      <c r="QE1066" s="36"/>
      <c r="QF1066" s="36"/>
      <c r="QG1066" s="36"/>
      <c r="QH1066" s="36"/>
      <c r="QI1066" s="36"/>
      <c r="QJ1066" s="36"/>
      <c r="QK1066" s="36"/>
      <c r="QL1066" s="36"/>
      <c r="QM1066" s="36"/>
      <c r="QN1066" s="36"/>
      <c r="QO1066" s="36"/>
      <c r="QP1066" s="36"/>
      <c r="QQ1066" s="36"/>
      <c r="QR1066" s="36"/>
      <c r="QS1066" s="36"/>
      <c r="QT1066" s="36"/>
      <c r="QU1066" s="36"/>
      <c r="QV1066" s="36"/>
      <c r="QW1066" s="36"/>
      <c r="QX1066" s="36"/>
      <c r="QY1066" s="36"/>
      <c r="QZ1066" s="36"/>
      <c r="RA1066" s="36"/>
      <c r="RB1066" s="36"/>
      <c r="RC1066" s="36"/>
      <c r="RD1066" s="36"/>
      <c r="RE1066" s="36"/>
      <c r="RF1066" s="36"/>
      <c r="RG1066" s="36"/>
      <c r="RH1066" s="36"/>
      <c r="RI1066" s="36"/>
      <c r="RJ1066" s="36"/>
      <c r="RK1066" s="36"/>
      <c r="RL1066" s="36"/>
      <c r="RM1066" s="36"/>
      <c r="RN1066" s="36"/>
      <c r="RO1066" s="36"/>
      <c r="RP1066" s="36"/>
      <c r="RQ1066" s="36"/>
      <c r="RR1066" s="36"/>
      <c r="RS1066" s="36"/>
      <c r="RT1066" s="36"/>
      <c r="RU1066" s="36"/>
      <c r="RV1066" s="36"/>
      <c r="RW1066" s="36"/>
      <c r="RX1066" s="36"/>
      <c r="RY1066" s="36"/>
      <c r="RZ1066" s="36"/>
      <c r="SA1066" s="36"/>
      <c r="SB1066" s="36"/>
      <c r="SC1066" s="36"/>
      <c r="SD1066" s="36"/>
      <c r="SE1066" s="36"/>
      <c r="SF1066" s="36"/>
      <c r="SG1066" s="36"/>
      <c r="SH1066" s="36"/>
      <c r="SI1066" s="36"/>
      <c r="SJ1066" s="36"/>
      <c r="SK1066" s="36"/>
      <c r="SL1066" s="36"/>
      <c r="SM1066" s="36"/>
      <c r="SN1066" s="36"/>
      <c r="SO1066" s="36"/>
      <c r="SP1066" s="36"/>
      <c r="SQ1066" s="36"/>
      <c r="SR1066" s="36"/>
      <c r="SS1066" s="36"/>
      <c r="ST1066" s="36"/>
      <c r="SU1066" s="36"/>
      <c r="SV1066" s="36"/>
      <c r="SW1066" s="36"/>
      <c r="SX1066" s="36"/>
      <c r="SY1066" s="36"/>
      <c r="SZ1066" s="36"/>
      <c r="TA1066" s="36"/>
      <c r="TB1066" s="36"/>
      <c r="TC1066" s="36"/>
      <c r="TD1066" s="36"/>
      <c r="TE1066" s="36"/>
      <c r="TF1066" s="36"/>
      <c r="TG1066" s="36"/>
      <c r="TH1066" s="36"/>
      <c r="TI1066" s="36"/>
      <c r="TJ1066" s="36"/>
      <c r="TK1066" s="36"/>
      <c r="TL1066" s="36"/>
      <c r="TM1066" s="36"/>
      <c r="TN1066" s="36"/>
      <c r="TO1066" s="36"/>
      <c r="TP1066" s="36"/>
      <c r="TQ1066" s="36"/>
      <c r="TR1066" s="36"/>
      <c r="TS1066" s="36"/>
      <c r="TT1066" s="36"/>
      <c r="TU1066" s="36"/>
      <c r="TV1066" s="36"/>
      <c r="TW1066" s="36"/>
      <c r="TX1066" s="36"/>
      <c r="TY1066" s="36"/>
      <c r="TZ1066" s="36"/>
      <c r="UA1066" s="36"/>
      <c r="UB1066" s="36"/>
      <c r="UC1066" s="36"/>
      <c r="UD1066" s="36"/>
      <c r="UE1066" s="36"/>
      <c r="UF1066" s="36"/>
      <c r="UG1066" s="37"/>
    </row>
    <row r="1067" spans="1:553" ht="45.75" customHeight="1">
      <c r="A1067" s="356"/>
      <c r="B1067" s="428"/>
      <c r="C1067" s="1404" t="s">
        <v>276</v>
      </c>
      <c r="D1067" s="1389"/>
      <c r="E1067" s="1389"/>
      <c r="F1067" s="1390"/>
      <c r="G1067" s="366" t="s">
        <v>205</v>
      </c>
      <c r="H1067" s="417"/>
      <c r="I1067" s="417"/>
      <c r="J1067" s="368"/>
      <c r="K1067" s="369"/>
      <c r="L1067" s="366"/>
      <c r="M1067" s="356"/>
      <c r="N1067" s="356"/>
      <c r="O1067" s="356"/>
      <c r="P1067" s="356"/>
      <c r="Q1067" s="610"/>
      <c r="R1067" s="1452"/>
      <c r="S1067" s="308"/>
      <c r="T1067" s="308"/>
      <c r="U1067" s="308"/>
      <c r="V1067" s="308"/>
      <c r="W1067" s="308"/>
      <c r="X1067" s="308"/>
      <c r="Y1067" s="308"/>
      <c r="Z1067" s="604"/>
      <c r="AA1067" s="308"/>
      <c r="AB1067" s="308"/>
      <c r="AC1067" s="454"/>
      <c r="AD1067" s="454"/>
      <c r="AE1067" s="454"/>
      <c r="AF1067" s="454"/>
      <c r="AG1067" s="454"/>
      <c r="AH1067" s="454"/>
      <c r="AI1067" s="454"/>
      <c r="AJ1067" s="454"/>
      <c r="AK1067" s="455"/>
      <c r="AL1067" s="110"/>
      <c r="AM1067" s="34"/>
      <c r="AN1067" s="34"/>
      <c r="AO1067" s="34"/>
      <c r="AP1067" s="34"/>
      <c r="AQ1067" s="34"/>
      <c r="AR1067" s="34"/>
      <c r="AS1067" s="35"/>
      <c r="AT1067" s="35"/>
      <c r="AU1067" s="35"/>
      <c r="AV1067" s="35"/>
      <c r="AW1067" s="35"/>
      <c r="AX1067" s="35"/>
      <c r="AY1067" s="35"/>
      <c r="AZ1067" s="35"/>
      <c r="BA1067" s="35"/>
      <c r="BB1067" s="35"/>
      <c r="BC1067" s="35"/>
      <c r="BD1067" s="35"/>
      <c r="BE1067" s="35"/>
      <c r="BF1067" s="35"/>
      <c r="BG1067" s="35"/>
      <c r="BH1067" s="35"/>
      <c r="BI1067" s="35"/>
      <c r="BJ1067" s="35"/>
      <c r="BK1067" s="35"/>
      <c r="BL1067" s="35"/>
      <c r="BM1067" s="35"/>
      <c r="BN1067" s="35"/>
      <c r="BO1067" s="35"/>
      <c r="BP1067" s="36"/>
      <c r="BQ1067" s="36"/>
      <c r="BR1067" s="36"/>
      <c r="BS1067" s="36"/>
      <c r="BT1067" s="36"/>
      <c r="BU1067" s="36"/>
      <c r="BV1067" s="36"/>
      <c r="BW1067" s="36"/>
      <c r="BX1067" s="36"/>
      <c r="BY1067" s="36"/>
      <c r="BZ1067" s="36"/>
      <c r="CA1067" s="36"/>
      <c r="CB1067" s="36"/>
      <c r="CC1067" s="36"/>
      <c r="CD1067" s="36"/>
      <c r="CE1067" s="36"/>
      <c r="CF1067" s="36"/>
      <c r="CG1067" s="36"/>
      <c r="CH1067" s="36"/>
      <c r="CI1067" s="36"/>
      <c r="CJ1067" s="36"/>
      <c r="CK1067" s="36"/>
      <c r="CL1067" s="36"/>
      <c r="CM1067" s="36"/>
      <c r="CN1067" s="36"/>
      <c r="CO1067" s="36"/>
      <c r="CP1067" s="36"/>
      <c r="CQ1067" s="36"/>
      <c r="CR1067" s="36"/>
      <c r="CS1067" s="36"/>
      <c r="CT1067" s="36"/>
      <c r="CU1067" s="36"/>
      <c r="CV1067" s="36"/>
      <c r="CW1067" s="36"/>
      <c r="CX1067" s="36"/>
      <c r="CY1067" s="36"/>
      <c r="CZ1067" s="36"/>
      <c r="DA1067" s="36"/>
      <c r="DB1067" s="36"/>
      <c r="DC1067" s="36"/>
      <c r="DD1067" s="36"/>
      <c r="DE1067" s="36"/>
      <c r="DF1067" s="36"/>
      <c r="DG1067" s="36"/>
      <c r="DH1067" s="36"/>
      <c r="DI1067" s="36"/>
      <c r="DJ1067" s="36"/>
      <c r="DK1067" s="36"/>
      <c r="DL1067" s="36"/>
      <c r="DM1067" s="36"/>
      <c r="DN1067" s="36"/>
      <c r="DO1067" s="36"/>
      <c r="DP1067" s="36"/>
      <c r="DQ1067" s="36"/>
      <c r="DR1067" s="36"/>
      <c r="DS1067" s="36"/>
      <c r="DT1067" s="36"/>
      <c r="DU1067" s="36"/>
      <c r="DV1067" s="36"/>
      <c r="DW1067" s="36"/>
      <c r="DX1067" s="36"/>
      <c r="DY1067" s="36"/>
      <c r="DZ1067" s="36"/>
      <c r="EA1067" s="36"/>
      <c r="EB1067" s="36"/>
      <c r="EC1067" s="36"/>
      <c r="ED1067" s="36"/>
      <c r="EE1067" s="36"/>
      <c r="EF1067" s="36"/>
      <c r="EG1067" s="36"/>
      <c r="EH1067" s="36"/>
      <c r="EI1067" s="36"/>
      <c r="EJ1067" s="36"/>
      <c r="EK1067" s="36"/>
      <c r="EL1067" s="36"/>
      <c r="EM1067" s="36"/>
      <c r="EN1067" s="36"/>
      <c r="EO1067" s="36"/>
      <c r="EP1067" s="36"/>
      <c r="EQ1067" s="36"/>
      <c r="ER1067" s="36"/>
      <c r="ES1067" s="36"/>
      <c r="ET1067" s="36"/>
      <c r="EU1067" s="36"/>
      <c r="EV1067" s="36"/>
      <c r="EW1067" s="36"/>
      <c r="EX1067" s="36"/>
      <c r="EY1067" s="36"/>
      <c r="EZ1067" s="36"/>
      <c r="FA1067" s="36"/>
      <c r="FB1067" s="36"/>
      <c r="FC1067" s="36"/>
      <c r="FD1067" s="36"/>
      <c r="FE1067" s="36"/>
      <c r="FF1067" s="36"/>
      <c r="FG1067" s="36"/>
      <c r="FH1067" s="36"/>
      <c r="FI1067" s="36"/>
      <c r="FJ1067" s="36"/>
      <c r="FK1067" s="36"/>
      <c r="FL1067" s="36"/>
      <c r="FM1067" s="36"/>
      <c r="FN1067" s="36"/>
      <c r="FO1067" s="36"/>
      <c r="FP1067" s="36"/>
      <c r="FQ1067" s="36"/>
      <c r="FR1067" s="36"/>
      <c r="FS1067" s="36"/>
      <c r="FT1067" s="36"/>
      <c r="FU1067" s="36"/>
      <c r="FV1067" s="36"/>
      <c r="FW1067" s="36"/>
      <c r="FX1067" s="36"/>
      <c r="FY1067" s="36"/>
      <c r="FZ1067" s="36"/>
      <c r="GA1067" s="36"/>
      <c r="GB1067" s="36"/>
      <c r="GC1067" s="36"/>
      <c r="GD1067" s="36"/>
      <c r="GE1067" s="36"/>
      <c r="GF1067" s="36"/>
      <c r="GG1067" s="36"/>
      <c r="GH1067" s="36"/>
      <c r="GI1067" s="36"/>
      <c r="GJ1067" s="36"/>
      <c r="GK1067" s="36"/>
      <c r="GL1067" s="36"/>
      <c r="GM1067" s="36"/>
      <c r="GN1067" s="36"/>
      <c r="GO1067" s="36"/>
      <c r="GP1067" s="36"/>
      <c r="GQ1067" s="36"/>
      <c r="GR1067" s="36"/>
      <c r="GS1067" s="36"/>
      <c r="GT1067" s="36"/>
      <c r="GU1067" s="36"/>
      <c r="GV1067" s="36"/>
      <c r="GW1067" s="36"/>
      <c r="GX1067" s="36"/>
      <c r="GY1067" s="36"/>
      <c r="GZ1067" s="36"/>
      <c r="HA1067" s="36"/>
      <c r="HB1067" s="36"/>
      <c r="HC1067" s="36"/>
      <c r="HD1067" s="36"/>
      <c r="HE1067" s="36"/>
      <c r="HF1067" s="36"/>
      <c r="HG1067" s="36"/>
      <c r="HH1067" s="36"/>
      <c r="HI1067" s="36"/>
      <c r="HJ1067" s="36"/>
      <c r="HK1067" s="36"/>
      <c r="HL1067" s="36"/>
      <c r="HM1067" s="36"/>
      <c r="HN1067" s="36"/>
      <c r="HO1067" s="36"/>
      <c r="HP1067" s="36"/>
      <c r="HQ1067" s="36"/>
      <c r="HR1067" s="36"/>
      <c r="HS1067" s="36"/>
      <c r="HT1067" s="36"/>
      <c r="HU1067" s="36"/>
      <c r="HV1067" s="36"/>
      <c r="HW1067" s="36"/>
      <c r="HX1067" s="36"/>
      <c r="HY1067" s="36"/>
      <c r="HZ1067" s="36"/>
      <c r="IA1067" s="36"/>
      <c r="IB1067" s="36"/>
      <c r="IC1067" s="36"/>
      <c r="ID1067" s="36"/>
      <c r="IE1067" s="36"/>
      <c r="IF1067" s="36"/>
      <c r="IG1067" s="36"/>
      <c r="IH1067" s="36"/>
      <c r="II1067" s="36"/>
      <c r="IJ1067" s="36"/>
      <c r="IK1067" s="36"/>
      <c r="IL1067" s="36"/>
      <c r="IM1067" s="36"/>
      <c r="IN1067" s="36"/>
      <c r="IO1067" s="36"/>
      <c r="IP1067" s="36"/>
      <c r="IQ1067" s="36"/>
      <c r="IR1067" s="36"/>
      <c r="IS1067" s="36"/>
      <c r="IT1067" s="36"/>
      <c r="IU1067" s="36"/>
      <c r="IV1067" s="36"/>
      <c r="IW1067" s="36"/>
      <c r="IX1067" s="36"/>
      <c r="IY1067" s="36"/>
      <c r="IZ1067" s="36"/>
      <c r="JA1067" s="36"/>
      <c r="JB1067" s="36"/>
      <c r="JC1067" s="36"/>
      <c r="JD1067" s="36"/>
      <c r="JE1067" s="36"/>
      <c r="JF1067" s="36"/>
      <c r="JG1067" s="36"/>
      <c r="JH1067" s="36"/>
      <c r="JI1067" s="36"/>
      <c r="JJ1067" s="36"/>
      <c r="JK1067" s="36"/>
      <c r="JL1067" s="36"/>
      <c r="JM1067" s="36"/>
      <c r="JN1067" s="36"/>
      <c r="JO1067" s="36"/>
      <c r="JP1067" s="36"/>
      <c r="JQ1067" s="36"/>
      <c r="JR1067" s="36"/>
      <c r="JS1067" s="36"/>
      <c r="JT1067" s="36"/>
      <c r="JU1067" s="36"/>
      <c r="JV1067" s="36"/>
      <c r="JW1067" s="36"/>
      <c r="JX1067" s="36"/>
      <c r="JY1067" s="36"/>
      <c r="JZ1067" s="36"/>
      <c r="KA1067" s="36"/>
      <c r="KB1067" s="36"/>
      <c r="KC1067" s="36"/>
      <c r="KD1067" s="36"/>
      <c r="KE1067" s="36"/>
      <c r="KF1067" s="36"/>
      <c r="KG1067" s="36"/>
      <c r="KH1067" s="36"/>
      <c r="KI1067" s="36"/>
      <c r="KJ1067" s="36"/>
      <c r="KK1067" s="36"/>
      <c r="KL1067" s="36"/>
      <c r="KM1067" s="36"/>
      <c r="KN1067" s="36"/>
      <c r="KO1067" s="36"/>
      <c r="KP1067" s="36"/>
      <c r="KQ1067" s="36"/>
      <c r="KR1067" s="36"/>
      <c r="KS1067" s="36"/>
      <c r="KT1067" s="36"/>
      <c r="KU1067" s="36"/>
      <c r="KV1067" s="36"/>
      <c r="KW1067" s="36"/>
      <c r="KX1067" s="36"/>
      <c r="KY1067" s="36"/>
      <c r="KZ1067" s="36"/>
      <c r="LA1067" s="36"/>
      <c r="LB1067" s="36"/>
      <c r="LC1067" s="36"/>
      <c r="LD1067" s="36"/>
      <c r="LE1067" s="36"/>
      <c r="LF1067" s="36"/>
      <c r="LG1067" s="36"/>
      <c r="LH1067" s="36"/>
      <c r="LI1067" s="36"/>
      <c r="LJ1067" s="36"/>
      <c r="LK1067" s="36"/>
      <c r="LL1067" s="36"/>
      <c r="LM1067" s="36"/>
      <c r="LN1067" s="36"/>
      <c r="LO1067" s="36"/>
      <c r="LP1067" s="36"/>
      <c r="LQ1067" s="36"/>
      <c r="LR1067" s="36"/>
      <c r="LS1067" s="36"/>
      <c r="LT1067" s="36"/>
      <c r="LU1067" s="36"/>
      <c r="LV1067" s="36"/>
      <c r="LW1067" s="36"/>
      <c r="LX1067" s="36"/>
      <c r="LY1067" s="36"/>
      <c r="LZ1067" s="36"/>
      <c r="MA1067" s="36"/>
      <c r="MB1067" s="36"/>
      <c r="MC1067" s="36"/>
      <c r="MD1067" s="36"/>
      <c r="ME1067" s="36"/>
      <c r="MF1067" s="36"/>
      <c r="MG1067" s="36"/>
      <c r="MH1067" s="36"/>
      <c r="MI1067" s="36"/>
      <c r="MJ1067" s="36"/>
      <c r="MK1067" s="36"/>
      <c r="ML1067" s="36"/>
      <c r="MM1067" s="36"/>
      <c r="MN1067" s="36"/>
      <c r="MO1067" s="36"/>
      <c r="MP1067" s="36"/>
      <c r="MQ1067" s="36"/>
      <c r="MR1067" s="36"/>
      <c r="MS1067" s="36"/>
      <c r="MT1067" s="36"/>
      <c r="MU1067" s="36"/>
      <c r="MV1067" s="36"/>
      <c r="MW1067" s="36"/>
      <c r="MX1067" s="36"/>
      <c r="MY1067" s="36"/>
      <c r="MZ1067" s="36"/>
      <c r="NA1067" s="36"/>
      <c r="NB1067" s="36"/>
      <c r="NC1067" s="36"/>
      <c r="ND1067" s="36"/>
      <c r="NE1067" s="36"/>
      <c r="NF1067" s="36"/>
      <c r="NG1067" s="36"/>
      <c r="NH1067" s="36"/>
      <c r="NI1067" s="36"/>
      <c r="NJ1067" s="36"/>
      <c r="NK1067" s="36"/>
      <c r="NL1067" s="36"/>
      <c r="NM1067" s="36"/>
      <c r="NN1067" s="36"/>
      <c r="NO1067" s="36"/>
      <c r="NP1067" s="36"/>
      <c r="NQ1067" s="36"/>
      <c r="NR1067" s="36"/>
      <c r="NS1067" s="36"/>
      <c r="NT1067" s="36"/>
      <c r="NU1067" s="36"/>
      <c r="NV1067" s="36"/>
      <c r="NW1067" s="36"/>
      <c r="NX1067" s="36"/>
      <c r="NY1067" s="36"/>
      <c r="NZ1067" s="36"/>
      <c r="OA1067" s="36"/>
      <c r="OB1067" s="36"/>
      <c r="OC1067" s="36"/>
      <c r="OD1067" s="36"/>
      <c r="OE1067" s="36"/>
      <c r="OF1067" s="36"/>
      <c r="OG1067" s="36"/>
      <c r="OH1067" s="36"/>
      <c r="OI1067" s="36"/>
      <c r="OJ1067" s="36"/>
      <c r="OK1067" s="36"/>
      <c r="OL1067" s="36"/>
      <c r="OM1067" s="36"/>
      <c r="ON1067" s="36"/>
      <c r="OO1067" s="36"/>
      <c r="OP1067" s="36"/>
      <c r="OQ1067" s="36"/>
      <c r="OR1067" s="36"/>
      <c r="OS1067" s="36"/>
      <c r="OT1067" s="36"/>
      <c r="OU1067" s="36"/>
      <c r="OV1067" s="36"/>
      <c r="OW1067" s="36"/>
      <c r="OX1067" s="36"/>
      <c r="OY1067" s="36"/>
      <c r="OZ1067" s="36"/>
      <c r="PA1067" s="36"/>
      <c r="PB1067" s="36"/>
      <c r="PC1067" s="36"/>
      <c r="PD1067" s="36"/>
      <c r="PE1067" s="36"/>
      <c r="PF1067" s="36"/>
      <c r="PG1067" s="36"/>
      <c r="PH1067" s="36"/>
      <c r="PI1067" s="36"/>
      <c r="PJ1067" s="36"/>
      <c r="PK1067" s="36"/>
      <c r="PL1067" s="36"/>
      <c r="PM1067" s="36"/>
      <c r="PN1067" s="36"/>
      <c r="PO1067" s="36"/>
      <c r="PP1067" s="36"/>
      <c r="PQ1067" s="36"/>
      <c r="PR1067" s="36"/>
      <c r="PS1067" s="36"/>
      <c r="PT1067" s="36"/>
      <c r="PU1067" s="36"/>
      <c r="PV1067" s="36"/>
      <c r="PW1067" s="36"/>
      <c r="PX1067" s="36"/>
      <c r="PY1067" s="36"/>
      <c r="PZ1067" s="36"/>
      <c r="QA1067" s="36"/>
      <c r="QB1067" s="36"/>
      <c r="QC1067" s="36"/>
      <c r="QD1067" s="36"/>
      <c r="QE1067" s="36"/>
      <c r="QF1067" s="36"/>
      <c r="QG1067" s="36"/>
      <c r="QH1067" s="36"/>
      <c r="QI1067" s="36"/>
      <c r="QJ1067" s="36"/>
      <c r="QK1067" s="36"/>
      <c r="QL1067" s="36"/>
      <c r="QM1067" s="36"/>
      <c r="QN1067" s="36"/>
      <c r="QO1067" s="36"/>
      <c r="QP1067" s="36"/>
      <c r="QQ1067" s="36"/>
      <c r="QR1067" s="36"/>
      <c r="QS1067" s="36"/>
      <c r="QT1067" s="36"/>
      <c r="QU1067" s="36"/>
      <c r="QV1067" s="36"/>
      <c r="QW1067" s="36"/>
      <c r="QX1067" s="36"/>
      <c r="QY1067" s="36"/>
      <c r="QZ1067" s="36"/>
      <c r="RA1067" s="36"/>
      <c r="RB1067" s="36"/>
      <c r="RC1067" s="36"/>
      <c r="RD1067" s="36"/>
      <c r="RE1067" s="36"/>
      <c r="RF1067" s="36"/>
      <c r="RG1067" s="36"/>
      <c r="RH1067" s="36"/>
      <c r="RI1067" s="36"/>
      <c r="RJ1067" s="36"/>
      <c r="RK1067" s="36"/>
      <c r="RL1067" s="36"/>
      <c r="RM1067" s="36"/>
      <c r="RN1067" s="36"/>
      <c r="RO1067" s="36"/>
      <c r="RP1067" s="36"/>
      <c r="RQ1067" s="36"/>
      <c r="RR1067" s="36"/>
      <c r="RS1067" s="36"/>
      <c r="RT1067" s="36"/>
      <c r="RU1067" s="36"/>
      <c r="RV1067" s="36"/>
      <c r="RW1067" s="36"/>
      <c r="RX1067" s="36"/>
      <c r="RY1067" s="36"/>
      <c r="RZ1067" s="36"/>
      <c r="SA1067" s="36"/>
      <c r="SB1067" s="36"/>
      <c r="SC1067" s="36"/>
      <c r="SD1067" s="36"/>
      <c r="SE1067" s="36"/>
      <c r="SF1067" s="36"/>
      <c r="SG1067" s="36"/>
      <c r="SH1067" s="36"/>
      <c r="SI1067" s="36"/>
      <c r="SJ1067" s="36"/>
      <c r="SK1067" s="36"/>
      <c r="SL1067" s="36"/>
      <c r="SM1067" s="36"/>
      <c r="SN1067" s="36"/>
      <c r="SO1067" s="36"/>
      <c r="SP1067" s="36"/>
      <c r="SQ1067" s="36"/>
      <c r="SR1067" s="36"/>
      <c r="SS1067" s="36"/>
      <c r="ST1067" s="36"/>
      <c r="SU1067" s="36"/>
      <c r="SV1067" s="36"/>
      <c r="SW1067" s="36"/>
      <c r="SX1067" s="36"/>
      <c r="SY1067" s="36"/>
      <c r="SZ1067" s="36"/>
      <c r="TA1067" s="36"/>
      <c r="TB1067" s="36"/>
      <c r="TC1067" s="36"/>
      <c r="TD1067" s="36"/>
      <c r="TE1067" s="36"/>
      <c r="TF1067" s="36"/>
      <c r="TG1067" s="36"/>
      <c r="TH1067" s="36"/>
      <c r="TI1067" s="36"/>
      <c r="TJ1067" s="36"/>
      <c r="TK1067" s="36"/>
      <c r="TL1067" s="36"/>
      <c r="TM1067" s="36"/>
      <c r="TN1067" s="36"/>
      <c r="TO1067" s="36"/>
      <c r="TP1067" s="36"/>
      <c r="TQ1067" s="36"/>
      <c r="TR1067" s="36"/>
      <c r="TS1067" s="36"/>
      <c r="TT1067" s="36"/>
      <c r="TU1067" s="36"/>
      <c r="TV1067" s="36"/>
      <c r="TW1067" s="36"/>
      <c r="TX1067" s="36"/>
      <c r="TY1067" s="36"/>
      <c r="TZ1067" s="36"/>
      <c r="UA1067" s="36"/>
      <c r="UB1067" s="36"/>
      <c r="UC1067" s="36"/>
      <c r="UD1067" s="36"/>
      <c r="UE1067" s="36"/>
      <c r="UF1067" s="36"/>
      <c r="UG1067" s="37"/>
    </row>
    <row r="1068" spans="1:553" ht="29.25" customHeight="1">
      <c r="A1068" s="356" t="s">
        <v>80</v>
      </c>
      <c r="B1068" s="356"/>
      <c r="C1068" s="1431" t="s">
        <v>67</v>
      </c>
      <c r="D1068" s="1389"/>
      <c r="E1068" s="1389"/>
      <c r="F1068" s="1390"/>
      <c r="G1068" s="356"/>
      <c r="H1068" s="359"/>
      <c r="I1068" s="359"/>
      <c r="J1068" s="357"/>
      <c r="K1068" s="364"/>
      <c r="L1068" s="356"/>
      <c r="M1068" s="356"/>
      <c r="N1068" s="356"/>
      <c r="O1068" s="356"/>
      <c r="P1068" s="356"/>
      <c r="Q1068" s="610"/>
      <c r="R1068" s="421"/>
      <c r="S1068" s="308"/>
      <c r="T1068" s="308"/>
      <c r="U1068" s="308"/>
      <c r="V1068" s="308"/>
      <c r="W1068" s="308"/>
      <c r="X1068" s="308"/>
      <c r="Y1068" s="308"/>
      <c r="Z1068" s="604"/>
      <c r="AA1068" s="308"/>
      <c r="AB1068" s="308"/>
      <c r="AC1068" s="365"/>
      <c r="AD1068" s="365"/>
      <c r="AE1068" s="365"/>
      <c r="AF1068" s="365"/>
      <c r="AG1068" s="365"/>
      <c r="AH1068" s="365"/>
      <c r="AI1068" s="365"/>
      <c r="AJ1068" s="365"/>
      <c r="AK1068" s="377"/>
      <c r="AL1068" s="343"/>
      <c r="AM1068" s="24"/>
      <c r="AN1068" s="24"/>
      <c r="AO1068" s="24"/>
      <c r="AP1068" s="24"/>
      <c r="AQ1068" s="24"/>
      <c r="AR1068" s="24"/>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c r="BM1068" s="18"/>
      <c r="BN1068" s="18"/>
      <c r="BO1068" s="18"/>
      <c r="BP1068" s="18"/>
      <c r="BQ1068" s="18"/>
      <c r="BR1068" s="18"/>
      <c r="BS1068" s="18"/>
      <c r="BT1068" s="18"/>
      <c r="BU1068" s="18"/>
      <c r="BV1068" s="18"/>
      <c r="BW1068" s="18"/>
      <c r="BX1068" s="18"/>
      <c r="BY1068" s="18"/>
      <c r="BZ1068" s="18"/>
      <c r="CA1068" s="18"/>
      <c r="CB1068" s="18"/>
      <c r="CC1068" s="18"/>
      <c r="CD1068" s="18"/>
      <c r="CE1068" s="18"/>
      <c r="CF1068" s="18"/>
      <c r="CG1068" s="18"/>
      <c r="CH1068" s="18"/>
      <c r="CI1068" s="18"/>
      <c r="CJ1068" s="18"/>
      <c r="CK1068" s="18"/>
      <c r="CL1068" s="18"/>
      <c r="CM1068" s="18"/>
      <c r="CN1068" s="18"/>
      <c r="CO1068" s="18"/>
      <c r="CP1068" s="18"/>
      <c r="CQ1068" s="18"/>
      <c r="CR1068" s="18"/>
      <c r="CS1068" s="18"/>
      <c r="CT1068" s="18"/>
      <c r="CU1068" s="18"/>
      <c r="CV1068" s="18"/>
      <c r="CW1068" s="18"/>
      <c r="CX1068" s="18"/>
      <c r="CY1068" s="18"/>
      <c r="CZ1068" s="18"/>
      <c r="DA1068" s="18"/>
      <c r="DB1068" s="18"/>
      <c r="DC1068" s="18"/>
      <c r="DD1068" s="18"/>
      <c r="DE1068" s="18"/>
      <c r="DF1068" s="18"/>
      <c r="DG1068" s="18"/>
      <c r="DH1068" s="18"/>
      <c r="DI1068" s="18"/>
      <c r="DJ1068" s="18"/>
      <c r="DK1068" s="18"/>
      <c r="DL1068" s="18"/>
      <c r="DM1068" s="18"/>
      <c r="DN1068" s="18"/>
      <c r="DO1068" s="18"/>
      <c r="DP1068" s="18"/>
      <c r="DQ1068" s="18"/>
      <c r="DR1068" s="18"/>
      <c r="DS1068" s="18"/>
      <c r="DT1068" s="18"/>
      <c r="DU1068" s="18"/>
      <c r="DV1068" s="18"/>
      <c r="DW1068" s="18"/>
      <c r="DX1068" s="18"/>
      <c r="DY1068" s="18"/>
      <c r="DZ1068" s="18"/>
      <c r="EA1068" s="18"/>
      <c r="EB1068" s="18"/>
      <c r="EC1068" s="18"/>
      <c r="ED1068" s="18"/>
      <c r="EE1068" s="18"/>
      <c r="EF1068" s="18"/>
      <c r="EG1068" s="18"/>
      <c r="EH1068" s="18"/>
      <c r="EI1068" s="18"/>
      <c r="EJ1068" s="18"/>
      <c r="EK1068" s="18"/>
      <c r="EL1068" s="18"/>
      <c r="EM1068" s="18"/>
      <c r="EN1068" s="18"/>
      <c r="EO1068" s="18"/>
      <c r="EP1068" s="18"/>
      <c r="EQ1068" s="18"/>
      <c r="ER1068" s="18"/>
      <c r="ES1068" s="18"/>
      <c r="ET1068" s="18"/>
      <c r="EU1068" s="18"/>
      <c r="EV1068" s="18"/>
      <c r="EW1068" s="18"/>
      <c r="EX1068" s="18"/>
      <c r="EY1068" s="18"/>
      <c r="EZ1068" s="18"/>
      <c r="FA1068" s="18"/>
      <c r="FB1068" s="18"/>
      <c r="FC1068" s="18"/>
      <c r="FD1068" s="18"/>
      <c r="FE1068" s="18"/>
      <c r="FF1068" s="18"/>
      <c r="FG1068" s="18"/>
      <c r="FH1068" s="18"/>
      <c r="FI1068" s="18"/>
      <c r="FJ1068" s="18"/>
      <c r="FK1068" s="18"/>
      <c r="FL1068" s="18"/>
      <c r="FM1068" s="18"/>
      <c r="FN1068" s="18"/>
      <c r="FO1068" s="18"/>
      <c r="FP1068" s="18"/>
      <c r="FQ1068" s="18"/>
      <c r="FR1068" s="18"/>
      <c r="FS1068" s="18"/>
      <c r="FT1068" s="18"/>
      <c r="FU1068" s="18"/>
      <c r="FV1068" s="18"/>
      <c r="FW1068" s="18"/>
      <c r="FX1068" s="18"/>
      <c r="FY1068" s="18"/>
      <c r="FZ1068" s="18"/>
      <c r="GA1068" s="18"/>
      <c r="GB1068" s="18"/>
      <c r="GC1068" s="18"/>
      <c r="GD1068" s="18"/>
      <c r="GE1068" s="18"/>
      <c r="GF1068" s="18"/>
      <c r="GG1068" s="18"/>
      <c r="GH1068" s="18"/>
      <c r="GI1068" s="18"/>
      <c r="GJ1068" s="18"/>
      <c r="GK1068" s="18"/>
      <c r="GL1068" s="18"/>
      <c r="GM1068" s="18"/>
      <c r="GN1068" s="18"/>
      <c r="GO1068" s="18"/>
      <c r="GP1068" s="18"/>
      <c r="GQ1068" s="18"/>
      <c r="GR1068" s="18"/>
      <c r="GS1068" s="18"/>
      <c r="GT1068" s="18"/>
      <c r="GU1068" s="18"/>
      <c r="GV1068" s="18"/>
      <c r="GW1068" s="18"/>
      <c r="GX1068" s="18"/>
      <c r="GY1068" s="18"/>
      <c r="GZ1068" s="18"/>
      <c r="HA1068" s="18"/>
      <c r="HB1068" s="18"/>
      <c r="HC1068" s="18"/>
      <c r="HD1068" s="18"/>
      <c r="HE1068" s="18"/>
      <c r="HF1068" s="18"/>
      <c r="HG1068" s="18"/>
      <c r="HH1068" s="18"/>
      <c r="HI1068" s="18"/>
      <c r="HJ1068" s="18"/>
      <c r="HK1068" s="18"/>
      <c r="HL1068" s="18"/>
      <c r="HM1068" s="18"/>
      <c r="HN1068" s="18"/>
      <c r="HO1068" s="18"/>
      <c r="HP1068" s="18"/>
      <c r="HQ1068" s="18"/>
      <c r="HR1068" s="18"/>
      <c r="HS1068" s="18"/>
      <c r="HT1068" s="18"/>
      <c r="HU1068" s="18"/>
      <c r="HV1068" s="18"/>
      <c r="HW1068" s="18"/>
      <c r="HX1068" s="18"/>
      <c r="HY1068" s="18"/>
      <c r="HZ1068" s="18"/>
      <c r="IA1068" s="18"/>
      <c r="IB1068" s="18"/>
      <c r="IC1068" s="18"/>
      <c r="ID1068" s="18"/>
      <c r="IE1068" s="18"/>
      <c r="IF1068" s="18"/>
      <c r="IG1068" s="18"/>
      <c r="IH1068" s="18"/>
      <c r="II1068" s="18"/>
      <c r="IJ1068" s="18"/>
      <c r="IK1068" s="18"/>
      <c r="IL1068" s="18"/>
      <c r="IM1068" s="18"/>
      <c r="IN1068" s="18"/>
      <c r="IO1068" s="18"/>
      <c r="IP1068" s="18"/>
      <c r="IQ1068" s="18"/>
      <c r="IR1068" s="18"/>
      <c r="IS1068" s="18"/>
      <c r="IT1068" s="18"/>
      <c r="IU1068" s="18"/>
      <c r="IV1068" s="18"/>
      <c r="IW1068" s="18"/>
      <c r="IX1068" s="18"/>
      <c r="IY1068" s="18"/>
      <c r="IZ1068" s="18"/>
      <c r="JA1068" s="18"/>
      <c r="JB1068" s="18"/>
      <c r="JC1068" s="18"/>
      <c r="JD1068" s="18"/>
      <c r="JE1068" s="18"/>
      <c r="JF1068" s="18"/>
      <c r="JG1068" s="18"/>
      <c r="JH1068" s="18"/>
      <c r="JI1068" s="18"/>
      <c r="JJ1068" s="18"/>
      <c r="JK1068" s="18"/>
      <c r="JL1068" s="18"/>
      <c r="JM1068" s="18"/>
      <c r="JN1068" s="18"/>
      <c r="JO1068" s="18"/>
      <c r="JP1068" s="18"/>
      <c r="JQ1068" s="18"/>
      <c r="JR1068" s="18"/>
      <c r="JS1068" s="18"/>
      <c r="JT1068" s="18"/>
      <c r="JU1068" s="18"/>
      <c r="JV1068" s="18"/>
      <c r="JW1068" s="18"/>
      <c r="JX1068" s="18"/>
      <c r="JY1068" s="18"/>
      <c r="JZ1068" s="18"/>
      <c r="KA1068" s="18"/>
      <c r="KB1068" s="18"/>
      <c r="KC1068" s="18"/>
      <c r="KD1068" s="18"/>
      <c r="KE1068" s="18"/>
      <c r="KF1068" s="18"/>
      <c r="KG1068" s="18"/>
      <c r="KH1068" s="18"/>
      <c r="KI1068" s="18"/>
      <c r="KJ1068" s="18"/>
      <c r="KK1068" s="18"/>
      <c r="KL1068" s="18"/>
      <c r="KM1068" s="18"/>
      <c r="KN1068" s="18"/>
      <c r="KO1068" s="18"/>
      <c r="KP1068" s="18"/>
      <c r="KQ1068" s="18"/>
      <c r="KR1068" s="18"/>
      <c r="KS1068" s="18"/>
      <c r="KT1068" s="18"/>
      <c r="KU1068" s="18"/>
      <c r="KV1068" s="18"/>
      <c r="KW1068" s="18"/>
      <c r="KX1068" s="18"/>
      <c r="KY1068" s="18"/>
      <c r="KZ1068" s="18"/>
      <c r="LA1068" s="18"/>
      <c r="LB1068" s="18"/>
      <c r="LC1068" s="18"/>
      <c r="LD1068" s="18"/>
      <c r="LE1068" s="18"/>
      <c r="LF1068" s="18"/>
      <c r="LG1068" s="18"/>
      <c r="LH1068" s="18"/>
      <c r="LI1068" s="18"/>
      <c r="LJ1068" s="18"/>
      <c r="LK1068" s="18"/>
      <c r="LL1068" s="18"/>
      <c r="LM1068" s="18"/>
      <c r="LN1068" s="18"/>
      <c r="LO1068" s="18"/>
      <c r="LP1068" s="18"/>
      <c r="LQ1068" s="18"/>
      <c r="LR1068" s="18"/>
      <c r="LS1068" s="18"/>
      <c r="LT1068" s="18"/>
      <c r="LU1068" s="18"/>
      <c r="LV1068" s="18"/>
      <c r="LW1068" s="18"/>
      <c r="LX1068" s="18"/>
      <c r="LY1068" s="18"/>
      <c r="LZ1068" s="18"/>
      <c r="MA1068" s="18"/>
      <c r="MB1068" s="18"/>
      <c r="MC1068" s="18"/>
      <c r="MD1068" s="18"/>
      <c r="ME1068" s="18"/>
      <c r="MF1068" s="18"/>
      <c r="MG1068" s="18"/>
      <c r="MH1068" s="18"/>
      <c r="MI1068" s="18"/>
      <c r="MJ1068" s="18"/>
      <c r="MK1068" s="18"/>
      <c r="ML1068" s="18"/>
      <c r="MM1068" s="18"/>
      <c r="MN1068" s="18"/>
      <c r="MO1068" s="18"/>
      <c r="MP1068" s="18"/>
      <c r="MQ1068" s="18"/>
      <c r="MR1068" s="18"/>
      <c r="MS1068" s="18"/>
      <c r="MT1068" s="18"/>
      <c r="MU1068" s="18"/>
      <c r="MV1068" s="18"/>
      <c r="MW1068" s="18"/>
      <c r="MX1068" s="18"/>
      <c r="MY1068" s="18"/>
      <c r="MZ1068" s="18"/>
      <c r="NA1068" s="18"/>
      <c r="NB1068" s="18"/>
      <c r="NC1068" s="18"/>
      <c r="ND1068" s="18"/>
      <c r="NE1068" s="18"/>
      <c r="NF1068" s="18"/>
      <c r="NG1068" s="18"/>
      <c r="NH1068" s="18"/>
      <c r="NI1068" s="18"/>
      <c r="NJ1068" s="18"/>
      <c r="NK1068" s="18"/>
      <c r="NL1068" s="18"/>
      <c r="NM1068" s="18"/>
      <c r="NN1068" s="18"/>
      <c r="NO1068" s="18"/>
      <c r="NP1068" s="18"/>
      <c r="NQ1068" s="18"/>
      <c r="NR1068" s="18"/>
      <c r="NS1068" s="18"/>
      <c r="NT1068" s="18"/>
      <c r="NU1068" s="18"/>
      <c r="NV1068" s="18"/>
      <c r="NW1068" s="18"/>
      <c r="NX1068" s="18"/>
      <c r="NY1068" s="18"/>
      <c r="NZ1068" s="18"/>
      <c r="OA1068" s="18"/>
      <c r="OB1068" s="18"/>
      <c r="OC1068" s="18"/>
      <c r="OD1068" s="18"/>
      <c r="OE1068" s="18"/>
      <c r="OF1068" s="18"/>
      <c r="OG1068" s="18"/>
      <c r="OH1068" s="18"/>
      <c r="OI1068" s="18"/>
      <c r="OJ1068" s="18"/>
      <c r="OK1068" s="18"/>
      <c r="OL1068" s="18"/>
      <c r="OM1068" s="18"/>
      <c r="ON1068" s="18"/>
      <c r="OO1068" s="18"/>
      <c r="OP1068" s="18"/>
      <c r="OQ1068" s="18"/>
      <c r="OR1068" s="18"/>
      <c r="OS1068" s="18"/>
      <c r="OT1068" s="18"/>
      <c r="OU1068" s="18"/>
      <c r="OV1068" s="18"/>
      <c r="OW1068" s="18"/>
      <c r="OX1068" s="18"/>
      <c r="OY1068" s="18"/>
      <c r="OZ1068" s="18"/>
      <c r="PA1068" s="18"/>
      <c r="PB1068" s="18"/>
      <c r="PC1068" s="18"/>
      <c r="PD1068" s="18"/>
      <c r="PE1068" s="18"/>
      <c r="PF1068" s="18"/>
      <c r="PG1068" s="18"/>
      <c r="PH1068" s="18"/>
      <c r="PI1068" s="18"/>
      <c r="PJ1068" s="18"/>
      <c r="PK1068" s="18"/>
      <c r="PL1068" s="18"/>
      <c r="PM1068" s="18"/>
      <c r="PN1068" s="18"/>
      <c r="PO1068" s="18"/>
      <c r="PP1068" s="18"/>
      <c r="PQ1068" s="18"/>
      <c r="PR1068" s="18"/>
      <c r="PS1068" s="18"/>
      <c r="PT1068" s="18"/>
      <c r="PU1068" s="18"/>
      <c r="PV1068" s="18"/>
      <c r="PW1068" s="18"/>
      <c r="PX1068" s="18"/>
      <c r="PY1068" s="18"/>
      <c r="PZ1068" s="18"/>
      <c r="QA1068" s="18"/>
      <c r="QB1068" s="18"/>
      <c r="QC1068" s="18"/>
      <c r="QD1068" s="18"/>
      <c r="QE1068" s="18"/>
      <c r="QF1068" s="18"/>
      <c r="QG1068" s="18"/>
      <c r="QH1068" s="18"/>
      <c r="QI1068" s="18"/>
      <c r="QJ1068" s="18"/>
      <c r="QK1068" s="18"/>
      <c r="QL1068" s="18"/>
      <c r="QM1068" s="18"/>
      <c r="QN1068" s="18"/>
      <c r="QO1068" s="18"/>
      <c r="QP1068" s="18"/>
      <c r="QQ1068" s="18"/>
      <c r="QR1068" s="18"/>
      <c r="QS1068" s="18"/>
      <c r="QT1068" s="18"/>
      <c r="QU1068" s="18"/>
      <c r="QV1068" s="18"/>
      <c r="QW1068" s="18"/>
      <c r="QX1068" s="18"/>
      <c r="QY1068" s="18"/>
      <c r="QZ1068" s="18"/>
      <c r="RA1068" s="18"/>
      <c r="RB1068" s="18"/>
      <c r="RC1068" s="18"/>
      <c r="RD1068" s="18"/>
      <c r="RE1068" s="18"/>
      <c r="RF1068" s="18"/>
      <c r="RG1068" s="18"/>
      <c r="RH1068" s="18"/>
      <c r="RI1068" s="18"/>
      <c r="RJ1068" s="18"/>
      <c r="RK1068" s="18"/>
      <c r="RL1068" s="18"/>
      <c r="RM1068" s="18"/>
      <c r="RN1068" s="18"/>
      <c r="RO1068" s="18"/>
      <c r="RP1068" s="18"/>
      <c r="RQ1068" s="18"/>
      <c r="RR1068" s="18"/>
      <c r="RS1068" s="18"/>
      <c r="RT1068" s="18"/>
      <c r="RU1068" s="18"/>
      <c r="RV1068" s="18"/>
      <c r="RW1068" s="18"/>
      <c r="RX1068" s="18"/>
      <c r="RY1068" s="18"/>
      <c r="RZ1068" s="18"/>
      <c r="SA1068" s="18"/>
      <c r="SB1068" s="18"/>
      <c r="SC1068" s="18"/>
      <c r="SD1068" s="18"/>
      <c r="SE1068" s="18"/>
      <c r="SF1068" s="18"/>
      <c r="SG1068" s="18"/>
      <c r="SH1068" s="18"/>
      <c r="SI1068" s="18"/>
      <c r="SJ1068" s="18"/>
      <c r="SK1068" s="18"/>
      <c r="SL1068" s="18"/>
      <c r="SM1068" s="18"/>
      <c r="SN1068" s="18"/>
      <c r="SO1068" s="18"/>
      <c r="SP1068" s="18"/>
      <c r="SQ1068" s="18"/>
      <c r="SR1068" s="18"/>
      <c r="SS1068" s="18"/>
      <c r="ST1068" s="18"/>
      <c r="SU1068" s="18"/>
      <c r="SV1068" s="18"/>
      <c r="SW1068" s="18"/>
      <c r="SX1068" s="18"/>
      <c r="SY1068" s="18"/>
      <c r="SZ1068" s="18"/>
      <c r="TA1068" s="18"/>
      <c r="TB1068" s="18"/>
      <c r="TC1068" s="18"/>
      <c r="TD1068" s="18"/>
      <c r="TE1068" s="18"/>
      <c r="TF1068" s="18"/>
      <c r="TG1068" s="18"/>
      <c r="TH1068" s="18"/>
      <c r="TI1068" s="18"/>
      <c r="TJ1068" s="18"/>
      <c r="TK1068" s="18"/>
      <c r="TL1068" s="18"/>
      <c r="TM1068" s="18"/>
      <c r="TN1068" s="18"/>
      <c r="TO1068" s="18"/>
      <c r="TP1068" s="18"/>
      <c r="TQ1068" s="18"/>
      <c r="TR1068" s="18"/>
      <c r="TS1068" s="18"/>
      <c r="TT1068" s="18"/>
      <c r="TU1068" s="18"/>
      <c r="TV1068" s="18"/>
      <c r="TW1068" s="18"/>
      <c r="TX1068" s="18"/>
      <c r="TY1068" s="18"/>
      <c r="TZ1068" s="18"/>
      <c r="UA1068" s="18"/>
      <c r="UB1068" s="18"/>
      <c r="UC1068" s="18"/>
      <c r="UD1068" s="18"/>
      <c r="UE1068" s="18"/>
      <c r="UF1068" s="18"/>
      <c r="UG1068" s="19"/>
    </row>
    <row r="1069" spans="1:553" ht="122.25" customHeight="1">
      <c r="A1069" s="356" t="s">
        <v>15</v>
      </c>
      <c r="B1069" s="366"/>
      <c r="C1069" s="1414" t="s">
        <v>818</v>
      </c>
      <c r="D1069" s="1389"/>
      <c r="E1069" s="1389"/>
      <c r="F1069" s="1390"/>
      <c r="G1069" s="366" t="s">
        <v>68</v>
      </c>
      <c r="H1069" s="370"/>
      <c r="I1069" s="370">
        <v>1</v>
      </c>
      <c r="J1069" s="368"/>
      <c r="K1069" s="371"/>
      <c r="L1069" s="366"/>
      <c r="M1069" s="366"/>
      <c r="N1069" s="366"/>
      <c r="O1069" s="366"/>
      <c r="P1069" s="366"/>
      <c r="Q1069" s="812"/>
      <c r="R1069" s="421" t="s">
        <v>1042</v>
      </c>
      <c r="S1069" s="308"/>
      <c r="T1069" s="308"/>
      <c r="U1069" s="308"/>
      <c r="V1069" s="308"/>
      <c r="W1069" s="308"/>
      <c r="X1069" s="308"/>
      <c r="Y1069" s="308"/>
      <c r="Z1069" s="604"/>
      <c r="AA1069" s="308"/>
      <c r="AB1069" s="308"/>
      <c r="AC1069" s="449"/>
      <c r="AD1069" s="449"/>
      <c r="AE1069" s="449"/>
      <c r="AF1069" s="449"/>
      <c r="AG1069" s="449"/>
      <c r="AH1069" s="449"/>
      <c r="AI1069" s="449"/>
      <c r="AJ1069" s="449"/>
      <c r="AK1069" s="452"/>
      <c r="AL1069" s="104"/>
      <c r="AM1069" s="32"/>
      <c r="AN1069" s="32"/>
      <c r="AO1069" s="32"/>
      <c r="AP1069" s="32"/>
      <c r="AQ1069" s="32"/>
      <c r="AR1069" s="32"/>
      <c r="AS1069" s="31"/>
      <c r="AT1069" s="31"/>
      <c r="AU1069" s="31"/>
      <c r="AV1069" s="31"/>
      <c r="AW1069" s="31"/>
      <c r="AX1069" s="31"/>
      <c r="AY1069" s="31"/>
      <c r="AZ1069" s="31"/>
      <c r="BA1069" s="31"/>
      <c r="BB1069" s="31"/>
      <c r="BC1069" s="31"/>
      <c r="BD1069" s="31"/>
      <c r="BE1069" s="31"/>
      <c r="BF1069" s="31"/>
      <c r="BG1069" s="31"/>
      <c r="BH1069" s="31"/>
      <c r="BI1069" s="31"/>
      <c r="BJ1069" s="31"/>
      <c r="BK1069" s="31"/>
      <c r="BL1069" s="31"/>
      <c r="BM1069" s="31"/>
      <c r="BN1069" s="31"/>
      <c r="BO1069" s="31"/>
      <c r="BP1069" s="25"/>
      <c r="BQ1069" s="25"/>
      <c r="BR1069" s="25"/>
      <c r="BS1069" s="25"/>
      <c r="BT1069" s="25"/>
      <c r="BU1069" s="25"/>
      <c r="BV1069" s="25"/>
      <c r="BW1069" s="25"/>
      <c r="BX1069" s="25"/>
      <c r="BY1069" s="25"/>
      <c r="BZ1069" s="25"/>
      <c r="CA1069" s="25"/>
      <c r="CB1069" s="25"/>
      <c r="CC1069" s="25"/>
      <c r="CD1069" s="25"/>
      <c r="CE1069" s="25"/>
      <c r="CF1069" s="25"/>
      <c r="CG1069" s="25"/>
      <c r="CH1069" s="25"/>
      <c r="CI1069" s="25"/>
      <c r="CJ1069" s="25"/>
      <c r="CK1069" s="25"/>
      <c r="CL1069" s="25"/>
      <c r="CM1069" s="25"/>
      <c r="CN1069" s="25"/>
      <c r="CO1069" s="25"/>
      <c r="CP1069" s="25"/>
      <c r="CQ1069" s="25"/>
      <c r="CR1069" s="25"/>
      <c r="CS1069" s="25"/>
      <c r="CT1069" s="25"/>
      <c r="CU1069" s="25"/>
      <c r="CV1069" s="25"/>
      <c r="CW1069" s="25"/>
      <c r="CX1069" s="25"/>
      <c r="CY1069" s="25"/>
      <c r="CZ1069" s="25"/>
      <c r="DA1069" s="25"/>
      <c r="DB1069" s="25"/>
      <c r="DC1069" s="25"/>
      <c r="DD1069" s="25"/>
      <c r="DE1069" s="25"/>
      <c r="DF1069" s="25"/>
      <c r="DG1069" s="25"/>
      <c r="DH1069" s="25"/>
      <c r="DI1069" s="25"/>
      <c r="DJ1069" s="25"/>
      <c r="DK1069" s="25"/>
      <c r="DL1069" s="25"/>
      <c r="DM1069" s="25"/>
      <c r="DN1069" s="25"/>
      <c r="DO1069" s="25"/>
      <c r="DP1069" s="25"/>
      <c r="DQ1069" s="25"/>
      <c r="DR1069" s="25"/>
      <c r="DS1069" s="25"/>
      <c r="DT1069" s="25"/>
      <c r="DU1069" s="25"/>
      <c r="DV1069" s="25"/>
      <c r="DW1069" s="25"/>
      <c r="DX1069" s="25"/>
      <c r="DY1069" s="25"/>
      <c r="DZ1069" s="25"/>
      <c r="EA1069" s="25"/>
      <c r="EB1069" s="25"/>
      <c r="EC1069" s="25"/>
      <c r="ED1069" s="25"/>
      <c r="EE1069" s="25"/>
      <c r="EF1069" s="25"/>
      <c r="EG1069" s="25"/>
      <c r="EH1069" s="25"/>
      <c r="EI1069" s="25"/>
      <c r="EJ1069" s="25"/>
      <c r="EK1069" s="25"/>
      <c r="EL1069" s="25"/>
      <c r="EM1069" s="25"/>
      <c r="EN1069" s="25"/>
      <c r="EO1069" s="25"/>
      <c r="EP1069" s="25"/>
      <c r="EQ1069" s="25"/>
      <c r="ER1069" s="25"/>
      <c r="ES1069" s="25"/>
      <c r="ET1069" s="25"/>
      <c r="EU1069" s="25"/>
      <c r="EV1069" s="25"/>
      <c r="EW1069" s="25"/>
      <c r="EX1069" s="25"/>
      <c r="EY1069" s="25"/>
      <c r="EZ1069" s="25"/>
      <c r="FA1069" s="25"/>
      <c r="FB1069" s="25"/>
      <c r="FC1069" s="25"/>
      <c r="FD1069" s="25"/>
      <c r="FE1069" s="25"/>
      <c r="FF1069" s="25"/>
      <c r="FG1069" s="25"/>
      <c r="FH1069" s="25"/>
      <c r="FI1069" s="25"/>
      <c r="FJ1069" s="25"/>
      <c r="FK1069" s="25"/>
      <c r="FL1069" s="25"/>
      <c r="FM1069" s="25"/>
      <c r="FN1069" s="25"/>
      <c r="FO1069" s="25"/>
      <c r="FP1069" s="25"/>
      <c r="FQ1069" s="25"/>
      <c r="FR1069" s="25"/>
      <c r="FS1069" s="25"/>
      <c r="FT1069" s="25"/>
      <c r="FU1069" s="25"/>
      <c r="FV1069" s="25"/>
      <c r="FW1069" s="25"/>
      <c r="FX1069" s="25"/>
      <c r="FY1069" s="25"/>
      <c r="FZ1069" s="25"/>
      <c r="GA1069" s="25"/>
      <c r="GB1069" s="25"/>
      <c r="GC1069" s="25"/>
      <c r="GD1069" s="25"/>
      <c r="GE1069" s="25"/>
      <c r="GF1069" s="25"/>
      <c r="GG1069" s="25"/>
      <c r="GH1069" s="25"/>
      <c r="GI1069" s="25"/>
      <c r="GJ1069" s="25"/>
      <c r="GK1069" s="25"/>
      <c r="GL1069" s="25"/>
      <c r="GM1069" s="25"/>
      <c r="GN1069" s="25"/>
      <c r="GO1069" s="25"/>
      <c r="GP1069" s="25"/>
      <c r="GQ1069" s="25"/>
      <c r="GR1069" s="25"/>
      <c r="GS1069" s="25"/>
      <c r="GT1069" s="25"/>
      <c r="GU1069" s="25"/>
      <c r="GV1069" s="25"/>
      <c r="GW1069" s="25"/>
      <c r="GX1069" s="25"/>
      <c r="GY1069" s="25"/>
      <c r="GZ1069" s="25"/>
      <c r="HA1069" s="25"/>
      <c r="HB1069" s="25"/>
      <c r="HC1069" s="25"/>
      <c r="HD1069" s="25"/>
      <c r="HE1069" s="25"/>
      <c r="HF1069" s="25"/>
      <c r="HG1069" s="25"/>
      <c r="HH1069" s="25"/>
      <c r="HI1069" s="25"/>
      <c r="HJ1069" s="25"/>
      <c r="HK1069" s="25"/>
      <c r="HL1069" s="25"/>
      <c r="HM1069" s="25"/>
      <c r="HN1069" s="25"/>
      <c r="HO1069" s="25"/>
      <c r="HP1069" s="25"/>
      <c r="HQ1069" s="25"/>
      <c r="HR1069" s="25"/>
      <c r="HS1069" s="25"/>
      <c r="HT1069" s="25"/>
      <c r="HU1069" s="25"/>
      <c r="HV1069" s="25"/>
      <c r="HW1069" s="25"/>
      <c r="HX1069" s="25"/>
      <c r="HY1069" s="25"/>
      <c r="HZ1069" s="25"/>
      <c r="IA1069" s="25"/>
      <c r="IB1069" s="25"/>
      <c r="IC1069" s="25"/>
      <c r="ID1069" s="25"/>
      <c r="IE1069" s="25"/>
      <c r="IF1069" s="25"/>
      <c r="IG1069" s="25"/>
      <c r="IH1069" s="25"/>
      <c r="II1069" s="25"/>
      <c r="IJ1069" s="25"/>
      <c r="IK1069" s="25"/>
      <c r="IL1069" s="25"/>
      <c r="IM1069" s="25"/>
      <c r="IN1069" s="25"/>
      <c r="IO1069" s="25"/>
      <c r="IP1069" s="25"/>
      <c r="IQ1069" s="25"/>
      <c r="IR1069" s="25"/>
      <c r="IS1069" s="25"/>
      <c r="IT1069" s="25"/>
      <c r="IU1069" s="25"/>
      <c r="IV1069" s="25"/>
      <c r="IW1069" s="25"/>
      <c r="IX1069" s="25"/>
      <c r="IY1069" s="25"/>
      <c r="IZ1069" s="25"/>
      <c r="JA1069" s="25"/>
      <c r="JB1069" s="25"/>
      <c r="JC1069" s="25"/>
      <c r="JD1069" s="25"/>
      <c r="JE1069" s="25"/>
      <c r="JF1069" s="25"/>
      <c r="JG1069" s="25"/>
      <c r="JH1069" s="25"/>
      <c r="JI1069" s="25"/>
      <c r="JJ1069" s="25"/>
      <c r="JK1069" s="25"/>
      <c r="JL1069" s="25"/>
      <c r="JM1069" s="25"/>
      <c r="JN1069" s="25"/>
      <c r="JO1069" s="25"/>
      <c r="JP1069" s="25"/>
      <c r="JQ1069" s="25"/>
      <c r="JR1069" s="25"/>
      <c r="JS1069" s="25"/>
      <c r="JT1069" s="25"/>
      <c r="JU1069" s="25"/>
      <c r="JV1069" s="25"/>
      <c r="JW1069" s="25"/>
      <c r="JX1069" s="25"/>
      <c r="JY1069" s="25"/>
      <c r="JZ1069" s="25"/>
      <c r="KA1069" s="25"/>
      <c r="KB1069" s="25"/>
      <c r="KC1069" s="25"/>
      <c r="KD1069" s="25"/>
      <c r="KE1069" s="25"/>
      <c r="KF1069" s="25"/>
      <c r="KG1069" s="25"/>
      <c r="KH1069" s="25"/>
      <c r="KI1069" s="25"/>
      <c r="KJ1069" s="25"/>
      <c r="KK1069" s="25"/>
      <c r="KL1069" s="25"/>
      <c r="KM1069" s="25"/>
      <c r="KN1069" s="25"/>
      <c r="KO1069" s="25"/>
      <c r="KP1069" s="25"/>
      <c r="KQ1069" s="25"/>
      <c r="KR1069" s="25"/>
      <c r="KS1069" s="25"/>
      <c r="KT1069" s="25"/>
      <c r="KU1069" s="25"/>
      <c r="KV1069" s="25"/>
      <c r="KW1069" s="25"/>
      <c r="KX1069" s="25"/>
      <c r="KY1069" s="25"/>
      <c r="KZ1069" s="25"/>
      <c r="LA1069" s="25"/>
      <c r="LB1069" s="25"/>
      <c r="LC1069" s="25"/>
      <c r="LD1069" s="25"/>
      <c r="LE1069" s="25"/>
      <c r="LF1069" s="25"/>
      <c r="LG1069" s="25"/>
      <c r="LH1069" s="25"/>
      <c r="LI1069" s="25"/>
      <c r="LJ1069" s="25"/>
      <c r="LK1069" s="25"/>
      <c r="LL1069" s="25"/>
      <c r="LM1069" s="25"/>
      <c r="LN1069" s="25"/>
      <c r="LO1069" s="25"/>
      <c r="LP1069" s="25"/>
      <c r="LQ1069" s="25"/>
      <c r="LR1069" s="25"/>
      <c r="LS1069" s="25"/>
      <c r="LT1069" s="25"/>
      <c r="LU1069" s="25"/>
      <c r="LV1069" s="25"/>
      <c r="LW1069" s="25"/>
      <c r="LX1069" s="25"/>
      <c r="LY1069" s="25"/>
      <c r="LZ1069" s="25"/>
      <c r="MA1069" s="25"/>
      <c r="MB1069" s="25"/>
      <c r="MC1069" s="25"/>
      <c r="MD1069" s="25"/>
      <c r="ME1069" s="25"/>
      <c r="MF1069" s="25"/>
      <c r="MG1069" s="25"/>
      <c r="MH1069" s="25"/>
      <c r="MI1069" s="25"/>
      <c r="MJ1069" s="25"/>
      <c r="MK1069" s="25"/>
      <c r="ML1069" s="25"/>
      <c r="MM1069" s="25"/>
      <c r="MN1069" s="25"/>
      <c r="MO1069" s="25"/>
      <c r="MP1069" s="25"/>
      <c r="MQ1069" s="25"/>
      <c r="MR1069" s="25"/>
      <c r="MS1069" s="25"/>
      <c r="MT1069" s="25"/>
      <c r="MU1069" s="25"/>
      <c r="MV1069" s="25"/>
      <c r="MW1069" s="25"/>
      <c r="MX1069" s="25"/>
      <c r="MY1069" s="25"/>
      <c r="MZ1069" s="25"/>
      <c r="NA1069" s="25"/>
      <c r="NB1069" s="25"/>
      <c r="NC1069" s="25"/>
      <c r="ND1069" s="25"/>
      <c r="NE1069" s="25"/>
      <c r="NF1069" s="25"/>
      <c r="NG1069" s="25"/>
      <c r="NH1069" s="25"/>
      <c r="NI1069" s="25"/>
      <c r="NJ1069" s="25"/>
      <c r="NK1069" s="25"/>
      <c r="NL1069" s="25"/>
      <c r="NM1069" s="25"/>
      <c r="NN1069" s="25"/>
      <c r="NO1069" s="25"/>
      <c r="NP1069" s="25"/>
      <c r="NQ1069" s="25"/>
      <c r="NR1069" s="25"/>
      <c r="NS1069" s="25"/>
      <c r="NT1069" s="25"/>
      <c r="NU1069" s="25"/>
      <c r="NV1069" s="25"/>
      <c r="NW1069" s="25"/>
      <c r="NX1069" s="25"/>
      <c r="NY1069" s="25"/>
      <c r="NZ1069" s="25"/>
      <c r="OA1069" s="25"/>
      <c r="OB1069" s="25"/>
      <c r="OC1069" s="25"/>
      <c r="OD1069" s="25"/>
      <c r="OE1069" s="25"/>
      <c r="OF1069" s="25"/>
      <c r="OG1069" s="25"/>
      <c r="OH1069" s="25"/>
      <c r="OI1069" s="25"/>
      <c r="OJ1069" s="25"/>
      <c r="OK1069" s="25"/>
      <c r="OL1069" s="25"/>
      <c r="OM1069" s="25"/>
      <c r="ON1069" s="25"/>
      <c r="OO1069" s="25"/>
      <c r="OP1069" s="25"/>
      <c r="OQ1069" s="25"/>
      <c r="OR1069" s="25"/>
      <c r="OS1069" s="25"/>
      <c r="OT1069" s="25"/>
      <c r="OU1069" s="25"/>
      <c r="OV1069" s="25"/>
      <c r="OW1069" s="25"/>
      <c r="OX1069" s="25"/>
      <c r="OY1069" s="25"/>
      <c r="OZ1069" s="25"/>
      <c r="PA1069" s="25"/>
      <c r="PB1069" s="25"/>
      <c r="PC1069" s="25"/>
      <c r="PD1069" s="25"/>
      <c r="PE1069" s="25"/>
      <c r="PF1069" s="25"/>
      <c r="PG1069" s="25"/>
      <c r="PH1069" s="25"/>
      <c r="PI1069" s="25"/>
      <c r="PJ1069" s="25"/>
      <c r="PK1069" s="25"/>
      <c r="PL1069" s="25"/>
      <c r="PM1069" s="25"/>
      <c r="PN1069" s="25"/>
      <c r="PO1069" s="25"/>
      <c r="PP1069" s="25"/>
      <c r="PQ1069" s="25"/>
      <c r="PR1069" s="25"/>
      <c r="PS1069" s="25"/>
      <c r="PT1069" s="25"/>
      <c r="PU1069" s="25"/>
      <c r="PV1069" s="25"/>
      <c r="PW1069" s="25"/>
      <c r="PX1069" s="25"/>
      <c r="PY1069" s="25"/>
      <c r="PZ1069" s="25"/>
      <c r="QA1069" s="25"/>
      <c r="QB1069" s="25"/>
      <c r="QC1069" s="25"/>
      <c r="QD1069" s="25"/>
      <c r="QE1069" s="25"/>
      <c r="QF1069" s="25"/>
      <c r="QG1069" s="25"/>
      <c r="QH1069" s="25"/>
      <c r="QI1069" s="25"/>
      <c r="QJ1069" s="25"/>
      <c r="QK1069" s="25"/>
      <c r="QL1069" s="25"/>
      <c r="QM1069" s="25"/>
      <c r="QN1069" s="25"/>
      <c r="QO1069" s="25"/>
      <c r="QP1069" s="25"/>
      <c r="QQ1069" s="25"/>
      <c r="QR1069" s="25"/>
      <c r="QS1069" s="25"/>
      <c r="QT1069" s="25"/>
      <c r="QU1069" s="25"/>
      <c r="QV1069" s="25"/>
      <c r="QW1069" s="25"/>
      <c r="QX1069" s="25"/>
      <c r="QY1069" s="25"/>
      <c r="QZ1069" s="25"/>
      <c r="RA1069" s="25"/>
      <c r="RB1069" s="25"/>
      <c r="RC1069" s="25"/>
      <c r="RD1069" s="25"/>
      <c r="RE1069" s="25"/>
      <c r="RF1069" s="25"/>
      <c r="RG1069" s="25"/>
      <c r="RH1069" s="25"/>
      <c r="RI1069" s="25"/>
      <c r="RJ1069" s="25"/>
      <c r="RK1069" s="25"/>
      <c r="RL1069" s="25"/>
      <c r="RM1069" s="25"/>
      <c r="RN1069" s="25"/>
      <c r="RO1069" s="25"/>
      <c r="RP1069" s="25"/>
      <c r="RQ1069" s="25"/>
      <c r="RR1069" s="25"/>
      <c r="RS1069" s="25"/>
      <c r="RT1069" s="25"/>
      <c r="RU1069" s="25"/>
      <c r="RV1069" s="25"/>
      <c r="RW1069" s="25"/>
      <c r="RX1069" s="25"/>
      <c r="RY1069" s="25"/>
      <c r="RZ1069" s="25"/>
      <c r="SA1069" s="25"/>
      <c r="SB1069" s="25"/>
      <c r="SC1069" s="25"/>
      <c r="SD1069" s="25"/>
      <c r="SE1069" s="25"/>
      <c r="SF1069" s="25"/>
      <c r="SG1069" s="25"/>
      <c r="SH1069" s="25"/>
      <c r="SI1069" s="25"/>
      <c r="SJ1069" s="25"/>
      <c r="SK1069" s="25"/>
      <c r="SL1069" s="25"/>
      <c r="SM1069" s="25"/>
      <c r="SN1069" s="25"/>
      <c r="SO1069" s="25"/>
      <c r="SP1069" s="25"/>
      <c r="SQ1069" s="25"/>
      <c r="SR1069" s="25"/>
      <c r="SS1069" s="25"/>
      <c r="ST1069" s="25"/>
      <c r="SU1069" s="25"/>
      <c r="SV1069" s="25"/>
      <c r="SW1069" s="25"/>
      <c r="SX1069" s="25"/>
      <c r="SY1069" s="25"/>
      <c r="SZ1069" s="25"/>
      <c r="TA1069" s="25"/>
      <c r="TB1069" s="25"/>
      <c r="TC1069" s="25"/>
      <c r="TD1069" s="25"/>
      <c r="TE1069" s="25"/>
      <c r="TF1069" s="25"/>
      <c r="TG1069" s="25"/>
      <c r="TH1069" s="25"/>
      <c r="TI1069" s="25"/>
      <c r="TJ1069" s="25"/>
      <c r="TK1069" s="25"/>
      <c r="TL1069" s="25"/>
      <c r="TM1069" s="25"/>
      <c r="TN1069" s="25"/>
      <c r="TO1069" s="25"/>
      <c r="TP1069" s="25"/>
      <c r="TQ1069" s="25"/>
      <c r="TR1069" s="25"/>
      <c r="TS1069" s="25"/>
      <c r="TT1069" s="25"/>
      <c r="TU1069" s="25"/>
      <c r="TV1069" s="25"/>
      <c r="TW1069" s="25"/>
      <c r="TX1069" s="25"/>
      <c r="TY1069" s="25"/>
      <c r="TZ1069" s="25"/>
      <c r="UA1069" s="25"/>
      <c r="UB1069" s="25"/>
      <c r="UC1069" s="25"/>
      <c r="UD1069" s="25"/>
      <c r="UE1069" s="25"/>
      <c r="UF1069" s="25"/>
      <c r="UG1069" s="26"/>
    </row>
    <row r="1070" spans="1:553" s="182" customFormat="1" ht="113.25" customHeight="1">
      <c r="A1070" s="431">
        <v>10</v>
      </c>
      <c r="B1070" s="431"/>
      <c r="C1070" s="1185" t="s">
        <v>601</v>
      </c>
      <c r="D1070" s="1244"/>
      <c r="E1070" s="1244"/>
      <c r="F1070" s="1245"/>
      <c r="G1070" s="431"/>
      <c r="H1070" s="432"/>
      <c r="I1070" s="432"/>
      <c r="J1070" s="983"/>
      <c r="K1070" s="433"/>
      <c r="L1070" s="431">
        <f>L1074+L1097+L1145+L1173+L1176+L1198+L1203</f>
        <v>1872682411.53952</v>
      </c>
      <c r="M1070" s="431"/>
      <c r="N1070" s="431"/>
      <c r="O1070" s="431"/>
      <c r="P1070" s="431">
        <f>P1074+P1097+P1145+P1173+P1176+P1198+P1203</f>
        <v>1872682411.53952</v>
      </c>
      <c r="Q1070" s="815"/>
      <c r="R1070" s="914"/>
      <c r="S1070" s="435" t="s">
        <v>845</v>
      </c>
      <c r="T1070" s="615" t="s">
        <v>1322</v>
      </c>
      <c r="U1070" s="616">
        <f>H1074</f>
        <v>6508.5000000000009</v>
      </c>
      <c r="V1070" s="616">
        <f>I1074</f>
        <v>5770.8000000000011</v>
      </c>
      <c r="W1070" s="435">
        <f>SUM(W1072:W1096)</f>
        <v>2740.2000000000003</v>
      </c>
      <c r="X1070" s="435">
        <f t="shared" ref="X1070:AC1070" si="164">SUM(X1072:X1096)</f>
        <v>1242.7</v>
      </c>
      <c r="Y1070" s="435">
        <f t="shared" si="164"/>
        <v>0</v>
      </c>
      <c r="Z1070" s="435">
        <f t="shared" si="164"/>
        <v>83.6</v>
      </c>
      <c r="AA1070" s="435">
        <f t="shared" si="164"/>
        <v>0</v>
      </c>
      <c r="AB1070" s="435">
        <f>SUM(AB1072:AB1096)</f>
        <v>1304.3</v>
      </c>
      <c r="AC1070" s="435">
        <f t="shared" si="164"/>
        <v>400</v>
      </c>
      <c r="AD1070" s="365">
        <f>L1074</f>
        <v>473251300</v>
      </c>
      <c r="AE1070" s="365">
        <f>L1097</f>
        <v>420444461.93352008</v>
      </c>
      <c r="AF1070" s="365">
        <f>L1145</f>
        <v>93089949.605999991</v>
      </c>
      <c r="AG1070" s="365">
        <f>L1173</f>
        <v>7500000</v>
      </c>
      <c r="AH1070" s="365">
        <f>L1176</f>
        <v>866204300</v>
      </c>
      <c r="AI1070" s="365">
        <f>L1203</f>
        <v>0</v>
      </c>
      <c r="AJ1070" s="365">
        <f>L1198</f>
        <v>12192400</v>
      </c>
      <c r="AK1070" s="365">
        <f>SUM(AD1070:AJ1070)</f>
        <v>1872682411.53952</v>
      </c>
      <c r="AL1070" s="293"/>
      <c r="AM1070" s="20"/>
      <c r="AN1070" s="20"/>
      <c r="AO1070" s="16"/>
      <c r="AP1070" s="16"/>
      <c r="AQ1070" s="16"/>
      <c r="AR1070" s="16"/>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c r="BM1070" s="18"/>
      <c r="BN1070" s="18"/>
      <c r="BO1070" s="18"/>
      <c r="BP1070" s="18"/>
      <c r="BQ1070" s="18"/>
      <c r="BR1070" s="18"/>
      <c r="BS1070" s="18"/>
      <c r="BT1070" s="18"/>
      <c r="BU1070" s="18"/>
      <c r="BV1070" s="18"/>
      <c r="BW1070" s="18"/>
      <c r="BX1070" s="18"/>
      <c r="BY1070" s="18"/>
      <c r="BZ1070" s="18"/>
      <c r="CA1070" s="18"/>
      <c r="CB1070" s="18"/>
      <c r="CC1070" s="18"/>
      <c r="CD1070" s="18"/>
      <c r="CE1070" s="18"/>
      <c r="CF1070" s="18"/>
      <c r="CG1070" s="18"/>
      <c r="CH1070" s="18"/>
      <c r="CI1070" s="18"/>
      <c r="CJ1070" s="18"/>
      <c r="CK1070" s="18"/>
      <c r="CL1070" s="18"/>
      <c r="CM1070" s="18"/>
      <c r="CN1070" s="18"/>
      <c r="CO1070" s="18"/>
      <c r="CP1070" s="18"/>
      <c r="CQ1070" s="18"/>
      <c r="CR1070" s="18"/>
      <c r="CS1070" s="18"/>
      <c r="CT1070" s="18"/>
      <c r="CU1070" s="18"/>
      <c r="CV1070" s="18"/>
      <c r="CW1070" s="18"/>
      <c r="CX1070" s="18"/>
      <c r="CY1070" s="18"/>
      <c r="CZ1070" s="18"/>
      <c r="DA1070" s="18"/>
      <c r="DB1070" s="18"/>
      <c r="DC1070" s="18"/>
      <c r="DD1070" s="18"/>
      <c r="DE1070" s="18"/>
      <c r="DF1070" s="18"/>
      <c r="DG1070" s="18"/>
      <c r="DH1070" s="18"/>
      <c r="DI1070" s="18"/>
      <c r="DJ1070" s="18"/>
      <c r="DK1070" s="18"/>
      <c r="DL1070" s="18"/>
      <c r="DM1070" s="18"/>
      <c r="DN1070" s="18"/>
      <c r="DO1070" s="18"/>
      <c r="DP1070" s="18"/>
      <c r="DQ1070" s="18"/>
      <c r="DR1070" s="18"/>
      <c r="DS1070" s="18"/>
      <c r="DT1070" s="18"/>
      <c r="DU1070" s="18"/>
      <c r="DV1070" s="18"/>
      <c r="DW1070" s="18"/>
      <c r="DX1070" s="18"/>
      <c r="DY1070" s="18"/>
      <c r="DZ1070" s="18"/>
      <c r="EA1070" s="18"/>
      <c r="EB1070" s="18"/>
      <c r="EC1070" s="18"/>
      <c r="ED1070" s="18"/>
      <c r="EE1070" s="18"/>
      <c r="EF1070" s="18"/>
      <c r="EG1070" s="18"/>
      <c r="EH1070" s="18"/>
      <c r="EI1070" s="18"/>
      <c r="EJ1070" s="18"/>
      <c r="EK1070" s="18"/>
      <c r="EL1070" s="18"/>
      <c r="EM1070" s="18"/>
      <c r="EN1070" s="18"/>
      <c r="EO1070" s="18"/>
      <c r="EP1070" s="18"/>
      <c r="EQ1070" s="18"/>
      <c r="ER1070" s="18"/>
      <c r="ES1070" s="18"/>
      <c r="ET1070" s="18"/>
      <c r="EU1070" s="18"/>
      <c r="EV1070" s="18"/>
      <c r="EW1070" s="18"/>
      <c r="EX1070" s="18"/>
      <c r="EY1070" s="18"/>
      <c r="EZ1070" s="18"/>
      <c r="FA1070" s="18"/>
      <c r="FB1070" s="18"/>
      <c r="FC1070" s="18"/>
      <c r="FD1070" s="18"/>
      <c r="FE1070" s="18"/>
      <c r="FF1070" s="18"/>
      <c r="FG1070" s="18"/>
      <c r="FH1070" s="18"/>
      <c r="FI1070" s="18"/>
      <c r="FJ1070" s="18"/>
      <c r="FK1070" s="18"/>
      <c r="FL1070" s="18"/>
      <c r="FM1070" s="18"/>
      <c r="FN1070" s="18"/>
      <c r="FO1070" s="18"/>
      <c r="FP1070" s="18"/>
      <c r="FQ1070" s="18"/>
      <c r="FR1070" s="18"/>
      <c r="FS1070" s="18"/>
      <c r="FT1070" s="18"/>
      <c r="FU1070" s="18"/>
      <c r="FV1070" s="18"/>
      <c r="FW1070" s="18"/>
      <c r="FX1070" s="18"/>
      <c r="FY1070" s="18"/>
      <c r="FZ1070" s="18"/>
      <c r="GA1070" s="18"/>
      <c r="GB1070" s="18"/>
      <c r="GC1070" s="18"/>
      <c r="GD1070" s="18"/>
      <c r="GE1070" s="18"/>
      <c r="GF1070" s="18"/>
      <c r="GG1070" s="18"/>
      <c r="GH1070" s="18"/>
      <c r="GI1070" s="18"/>
      <c r="GJ1070" s="18"/>
      <c r="GK1070" s="18"/>
      <c r="GL1070" s="18"/>
      <c r="GM1070" s="18"/>
      <c r="GN1070" s="18"/>
      <c r="GO1070" s="18"/>
      <c r="GP1070" s="18"/>
      <c r="GQ1070" s="18"/>
      <c r="GR1070" s="18"/>
      <c r="GS1070" s="18"/>
      <c r="GT1070" s="18"/>
      <c r="GU1070" s="18"/>
      <c r="GV1070" s="18"/>
      <c r="GW1070" s="18"/>
      <c r="GX1070" s="18"/>
      <c r="GY1070" s="18"/>
      <c r="GZ1070" s="18"/>
      <c r="HA1070" s="18"/>
      <c r="HB1070" s="18"/>
      <c r="HC1070" s="18"/>
      <c r="HD1070" s="18"/>
      <c r="HE1070" s="18"/>
      <c r="HF1070" s="18"/>
      <c r="HG1070" s="18"/>
      <c r="HH1070" s="18"/>
      <c r="HI1070" s="18"/>
      <c r="HJ1070" s="18"/>
      <c r="HK1070" s="18"/>
      <c r="HL1070" s="18"/>
      <c r="HM1070" s="18"/>
      <c r="HN1070" s="18"/>
      <c r="HO1070" s="18"/>
      <c r="HP1070" s="18"/>
      <c r="HQ1070" s="18"/>
      <c r="HR1070" s="18"/>
      <c r="HS1070" s="18"/>
      <c r="HT1070" s="18"/>
      <c r="HU1070" s="18"/>
      <c r="HV1070" s="18"/>
      <c r="HW1070" s="18"/>
      <c r="HX1070" s="18"/>
      <c r="HY1070" s="18"/>
      <c r="HZ1070" s="18"/>
      <c r="IA1070" s="18"/>
      <c r="IB1070" s="18"/>
      <c r="IC1070" s="18"/>
      <c r="ID1070" s="18"/>
      <c r="IE1070" s="18"/>
      <c r="IF1070" s="18"/>
      <c r="IG1070" s="18"/>
      <c r="IH1070" s="18"/>
      <c r="II1070" s="18"/>
      <c r="IJ1070" s="18"/>
      <c r="IK1070" s="18"/>
      <c r="IL1070" s="18"/>
      <c r="IM1070" s="18"/>
      <c r="IN1070" s="18"/>
      <c r="IO1070" s="18"/>
      <c r="IP1070" s="18"/>
      <c r="IQ1070" s="18"/>
      <c r="IR1070" s="18"/>
      <c r="IS1070" s="18"/>
      <c r="IT1070" s="18"/>
      <c r="IU1070" s="18"/>
      <c r="IV1070" s="18"/>
      <c r="IW1070" s="18"/>
      <c r="IX1070" s="18"/>
      <c r="IY1070" s="18"/>
      <c r="IZ1070" s="18"/>
      <c r="JA1070" s="18"/>
      <c r="JB1070" s="18"/>
      <c r="JC1070" s="18"/>
      <c r="JD1070" s="18"/>
      <c r="JE1070" s="18"/>
      <c r="JF1070" s="18"/>
      <c r="JG1070" s="18"/>
      <c r="JH1070" s="18"/>
      <c r="JI1070" s="18"/>
      <c r="JJ1070" s="18"/>
      <c r="JK1070" s="18"/>
      <c r="JL1070" s="18"/>
      <c r="JM1070" s="18"/>
      <c r="JN1070" s="18"/>
      <c r="JO1070" s="18"/>
      <c r="JP1070" s="18"/>
      <c r="JQ1070" s="18"/>
      <c r="JR1070" s="18"/>
      <c r="JS1070" s="18"/>
      <c r="JT1070" s="18"/>
      <c r="JU1070" s="18"/>
      <c r="JV1070" s="18"/>
      <c r="JW1070" s="18"/>
      <c r="JX1070" s="18"/>
      <c r="JY1070" s="18"/>
      <c r="JZ1070" s="18"/>
      <c r="KA1070" s="18"/>
      <c r="KB1070" s="18"/>
      <c r="KC1070" s="18"/>
      <c r="KD1070" s="18"/>
      <c r="KE1070" s="18"/>
      <c r="KF1070" s="18"/>
      <c r="KG1070" s="18"/>
      <c r="KH1070" s="18"/>
      <c r="KI1070" s="18"/>
      <c r="KJ1070" s="18"/>
      <c r="KK1070" s="18"/>
      <c r="KL1070" s="18"/>
      <c r="KM1070" s="18"/>
      <c r="KN1070" s="18"/>
      <c r="KO1070" s="18"/>
      <c r="KP1070" s="18"/>
      <c r="KQ1070" s="18"/>
      <c r="KR1070" s="18"/>
      <c r="KS1070" s="18"/>
      <c r="KT1070" s="18"/>
      <c r="KU1070" s="18"/>
      <c r="KV1070" s="18"/>
      <c r="KW1070" s="18"/>
      <c r="KX1070" s="18"/>
      <c r="KY1070" s="18"/>
      <c r="KZ1070" s="18"/>
      <c r="LA1070" s="18"/>
      <c r="LB1070" s="18"/>
      <c r="LC1070" s="18"/>
      <c r="LD1070" s="18"/>
      <c r="LE1070" s="18"/>
      <c r="LF1070" s="18"/>
      <c r="LG1070" s="18"/>
      <c r="LH1070" s="18"/>
      <c r="LI1070" s="18"/>
      <c r="LJ1070" s="18"/>
      <c r="LK1070" s="18"/>
      <c r="LL1070" s="18"/>
      <c r="LM1070" s="18"/>
      <c r="LN1070" s="18"/>
      <c r="LO1070" s="18"/>
      <c r="LP1070" s="18"/>
      <c r="LQ1070" s="18"/>
      <c r="LR1070" s="18"/>
      <c r="LS1070" s="18"/>
      <c r="LT1070" s="18"/>
      <c r="LU1070" s="18"/>
      <c r="LV1070" s="18"/>
      <c r="LW1070" s="18"/>
      <c r="LX1070" s="18"/>
      <c r="LY1070" s="18"/>
      <c r="LZ1070" s="18"/>
      <c r="MA1070" s="18"/>
      <c r="MB1070" s="18"/>
      <c r="MC1070" s="18"/>
      <c r="MD1070" s="18"/>
      <c r="ME1070" s="18"/>
      <c r="MF1070" s="18"/>
      <c r="MG1070" s="18"/>
      <c r="MH1070" s="18"/>
      <c r="MI1070" s="18"/>
      <c r="MJ1070" s="18"/>
      <c r="MK1070" s="18"/>
      <c r="ML1070" s="18"/>
      <c r="MM1070" s="18"/>
      <c r="MN1070" s="18"/>
      <c r="MO1070" s="18"/>
      <c r="MP1070" s="18"/>
      <c r="MQ1070" s="18"/>
      <c r="MR1070" s="18"/>
      <c r="MS1070" s="18"/>
      <c r="MT1070" s="18"/>
      <c r="MU1070" s="18"/>
      <c r="MV1070" s="18"/>
      <c r="MW1070" s="18"/>
      <c r="MX1070" s="18"/>
      <c r="MY1070" s="18"/>
      <c r="MZ1070" s="18"/>
      <c r="NA1070" s="18"/>
      <c r="NB1070" s="18"/>
      <c r="NC1070" s="18"/>
      <c r="ND1070" s="18"/>
      <c r="NE1070" s="18"/>
      <c r="NF1070" s="18"/>
      <c r="NG1070" s="18"/>
      <c r="NH1070" s="18"/>
      <c r="NI1070" s="18"/>
      <c r="NJ1070" s="18"/>
      <c r="NK1070" s="18"/>
      <c r="NL1070" s="18"/>
      <c r="NM1070" s="18"/>
      <c r="NN1070" s="18"/>
      <c r="NO1070" s="18"/>
      <c r="NP1070" s="18"/>
      <c r="NQ1070" s="18"/>
      <c r="NR1070" s="18"/>
      <c r="NS1070" s="18"/>
      <c r="NT1070" s="18"/>
      <c r="NU1070" s="18"/>
      <c r="NV1070" s="18"/>
      <c r="NW1070" s="18"/>
      <c r="NX1070" s="18"/>
      <c r="NY1070" s="18"/>
      <c r="NZ1070" s="18"/>
      <c r="OA1070" s="18"/>
      <c r="OB1070" s="18"/>
      <c r="OC1070" s="18"/>
      <c r="OD1070" s="18"/>
      <c r="OE1070" s="18"/>
      <c r="OF1070" s="18"/>
      <c r="OG1070" s="18"/>
      <c r="OH1070" s="18"/>
      <c r="OI1070" s="18"/>
      <c r="OJ1070" s="18"/>
      <c r="OK1070" s="18"/>
      <c r="OL1070" s="18"/>
      <c r="OM1070" s="18"/>
      <c r="ON1070" s="18"/>
      <c r="OO1070" s="18"/>
      <c r="OP1070" s="18"/>
      <c r="OQ1070" s="18"/>
      <c r="OR1070" s="18"/>
      <c r="OS1070" s="18"/>
      <c r="OT1070" s="18"/>
      <c r="OU1070" s="18"/>
      <c r="OV1070" s="18"/>
      <c r="OW1070" s="18"/>
      <c r="OX1070" s="18"/>
      <c r="OY1070" s="18"/>
      <c r="OZ1070" s="18"/>
      <c r="PA1070" s="18"/>
      <c r="PB1070" s="18"/>
      <c r="PC1070" s="18"/>
      <c r="PD1070" s="18"/>
      <c r="PE1070" s="18"/>
      <c r="PF1070" s="18"/>
      <c r="PG1070" s="18"/>
      <c r="PH1070" s="18"/>
      <c r="PI1070" s="18"/>
      <c r="PJ1070" s="18"/>
      <c r="PK1070" s="18"/>
      <c r="PL1070" s="18"/>
      <c r="PM1070" s="18"/>
      <c r="PN1070" s="18"/>
      <c r="PO1070" s="18"/>
      <c r="PP1070" s="18"/>
      <c r="PQ1070" s="18"/>
      <c r="PR1070" s="18"/>
      <c r="PS1070" s="18"/>
      <c r="PT1070" s="18"/>
      <c r="PU1070" s="18"/>
      <c r="PV1070" s="18"/>
      <c r="PW1070" s="18"/>
      <c r="PX1070" s="18"/>
      <c r="PY1070" s="18"/>
      <c r="PZ1070" s="18"/>
      <c r="QA1070" s="18"/>
      <c r="QB1070" s="18"/>
      <c r="QC1070" s="18"/>
      <c r="QD1070" s="18"/>
      <c r="QE1070" s="18"/>
      <c r="QF1070" s="18"/>
      <c r="QG1070" s="18"/>
      <c r="QH1070" s="18"/>
      <c r="QI1070" s="18"/>
      <c r="QJ1070" s="18"/>
      <c r="QK1070" s="18"/>
      <c r="QL1070" s="18"/>
      <c r="QM1070" s="18"/>
      <c r="QN1070" s="18"/>
      <c r="QO1070" s="18"/>
      <c r="QP1070" s="18"/>
      <c r="QQ1070" s="18"/>
      <c r="QR1070" s="18"/>
      <c r="QS1070" s="18"/>
      <c r="QT1070" s="18"/>
      <c r="QU1070" s="18"/>
      <c r="QV1070" s="18"/>
      <c r="QW1070" s="18"/>
      <c r="QX1070" s="18"/>
      <c r="QY1070" s="18"/>
      <c r="QZ1070" s="18"/>
      <c r="RA1070" s="18"/>
      <c r="RB1070" s="18"/>
      <c r="RC1070" s="18"/>
      <c r="RD1070" s="18"/>
      <c r="RE1070" s="18"/>
      <c r="RF1070" s="18"/>
      <c r="RG1070" s="18"/>
      <c r="RH1070" s="18"/>
      <c r="RI1070" s="18"/>
      <c r="RJ1070" s="18"/>
      <c r="RK1070" s="18"/>
      <c r="RL1070" s="18"/>
      <c r="RM1070" s="18"/>
      <c r="RN1070" s="18"/>
      <c r="RO1070" s="18"/>
      <c r="RP1070" s="18"/>
      <c r="RQ1070" s="18"/>
      <c r="RR1070" s="18"/>
      <c r="RS1070" s="18"/>
      <c r="RT1070" s="18"/>
      <c r="RU1070" s="18"/>
      <c r="RV1070" s="18"/>
      <c r="RW1070" s="18"/>
      <c r="RX1070" s="18"/>
      <c r="RY1070" s="18"/>
      <c r="RZ1070" s="18"/>
      <c r="SA1070" s="18"/>
      <c r="SB1070" s="18"/>
      <c r="SC1070" s="18"/>
      <c r="SD1070" s="18"/>
      <c r="SE1070" s="18"/>
      <c r="SF1070" s="18"/>
      <c r="SG1070" s="18"/>
      <c r="SH1070" s="18"/>
      <c r="SI1070" s="18"/>
      <c r="SJ1070" s="18"/>
      <c r="SK1070" s="18"/>
      <c r="SL1070" s="18"/>
      <c r="SM1070" s="18"/>
      <c r="SN1070" s="18"/>
      <c r="SO1070" s="18"/>
      <c r="SP1070" s="18"/>
      <c r="SQ1070" s="18"/>
      <c r="SR1070" s="18"/>
      <c r="SS1070" s="18"/>
      <c r="ST1070" s="18"/>
      <c r="SU1070" s="18"/>
      <c r="SV1070" s="18"/>
      <c r="SW1070" s="18"/>
      <c r="SX1070" s="18"/>
      <c r="SY1070" s="18"/>
      <c r="SZ1070" s="18"/>
      <c r="TA1070" s="18"/>
      <c r="TB1070" s="18"/>
      <c r="TC1070" s="18"/>
      <c r="TD1070" s="18"/>
      <c r="TE1070" s="18"/>
      <c r="TF1070" s="18"/>
      <c r="TG1070" s="18"/>
      <c r="TH1070" s="18"/>
      <c r="TI1070" s="18"/>
      <c r="TJ1070" s="18"/>
      <c r="TK1070" s="18"/>
      <c r="TL1070" s="18"/>
      <c r="TM1070" s="18"/>
      <c r="TN1070" s="18"/>
      <c r="TO1070" s="18"/>
      <c r="TP1070" s="18"/>
      <c r="TQ1070" s="18"/>
      <c r="TR1070" s="18"/>
      <c r="TS1070" s="18"/>
      <c r="TT1070" s="18"/>
      <c r="TU1070" s="18"/>
      <c r="TV1070" s="18"/>
      <c r="TW1070" s="18"/>
      <c r="TX1070" s="18"/>
      <c r="TY1070" s="18"/>
      <c r="TZ1070" s="18"/>
      <c r="UA1070" s="18"/>
      <c r="UB1070" s="18"/>
      <c r="UC1070" s="18"/>
      <c r="UD1070" s="18"/>
      <c r="UE1070" s="18"/>
      <c r="UF1070" s="18"/>
      <c r="UG1070" s="19"/>
    </row>
    <row r="1071" spans="1:553" ht="30.75" customHeight="1">
      <c r="A1071" s="356" t="s">
        <v>15</v>
      </c>
      <c r="B1071" s="366"/>
      <c r="C1071" s="1443" t="s">
        <v>602</v>
      </c>
      <c r="D1071" s="1389"/>
      <c r="E1071" s="1389"/>
      <c r="F1071" s="1390"/>
      <c r="G1071" s="366"/>
      <c r="H1071" s="370"/>
      <c r="I1071" s="370"/>
      <c r="J1071" s="368"/>
      <c r="K1071" s="371"/>
      <c r="L1071" s="366"/>
      <c r="M1071" s="366"/>
      <c r="N1071" s="366"/>
      <c r="O1071" s="366"/>
      <c r="P1071" s="366"/>
      <c r="Q1071" s="812"/>
      <c r="R1071" s="1226"/>
      <c r="S1071" s="308"/>
      <c r="T1071" s="308"/>
      <c r="U1071" s="308"/>
      <c r="V1071" s="308"/>
      <c r="W1071" s="308"/>
      <c r="X1071" s="308"/>
      <c r="Y1071" s="308"/>
      <c r="Z1071" s="604"/>
      <c r="AA1071" s="308"/>
      <c r="AB1071" s="308"/>
      <c r="AC1071" s="373"/>
      <c r="AD1071" s="373"/>
      <c r="AE1071" s="373"/>
      <c r="AF1071" s="373"/>
      <c r="AG1071" s="373"/>
      <c r="AH1071" s="373"/>
      <c r="AI1071" s="373"/>
      <c r="AJ1071" s="373"/>
      <c r="AK1071" s="374"/>
      <c r="AL1071" s="323"/>
      <c r="AM1071" s="21"/>
      <c r="AN1071" s="21"/>
      <c r="AO1071" s="21"/>
      <c r="AP1071" s="21"/>
      <c r="AQ1071" s="21"/>
      <c r="AR1071" s="21"/>
      <c r="AS1071" s="22"/>
      <c r="AT1071" s="22"/>
      <c r="AU1071" s="22"/>
      <c r="AV1071" s="22"/>
      <c r="AW1071" s="22"/>
      <c r="AX1071" s="22"/>
      <c r="AY1071" s="22"/>
      <c r="AZ1071" s="22"/>
      <c r="BA1071" s="22"/>
      <c r="BB1071" s="22"/>
      <c r="BC1071" s="22"/>
      <c r="BD1071" s="22"/>
      <c r="BE1071" s="22"/>
      <c r="BF1071" s="22"/>
      <c r="BG1071" s="22"/>
      <c r="BH1071" s="22"/>
      <c r="BI1071" s="22"/>
      <c r="BJ1071" s="22"/>
      <c r="BK1071" s="22"/>
      <c r="BL1071" s="22"/>
      <c r="BM1071" s="22"/>
      <c r="BN1071" s="22"/>
      <c r="BO1071" s="22"/>
      <c r="BP1071" s="22"/>
      <c r="BQ1071" s="22"/>
      <c r="BR1071" s="22"/>
      <c r="BS1071" s="22"/>
      <c r="BT1071" s="22"/>
      <c r="BU1071" s="22"/>
      <c r="BV1071" s="22"/>
      <c r="BW1071" s="22"/>
      <c r="BX1071" s="22"/>
      <c r="BY1071" s="22"/>
      <c r="BZ1071" s="22"/>
      <c r="CA1071" s="22"/>
      <c r="CB1071" s="22"/>
      <c r="CC1071" s="22"/>
      <c r="CD1071" s="22"/>
      <c r="CE1071" s="22"/>
      <c r="CF1071" s="22"/>
      <c r="CG1071" s="22"/>
      <c r="CH1071" s="22"/>
      <c r="CI1071" s="22"/>
      <c r="CJ1071" s="22"/>
      <c r="CK1071" s="22"/>
      <c r="CL1071" s="22"/>
      <c r="CM1071" s="22"/>
      <c r="CN1071" s="22"/>
      <c r="CO1071" s="22"/>
      <c r="CP1071" s="22"/>
      <c r="CQ1071" s="22"/>
      <c r="CR1071" s="22"/>
      <c r="CS1071" s="22"/>
      <c r="CT1071" s="22"/>
      <c r="CU1071" s="22"/>
      <c r="CV1071" s="22"/>
      <c r="CW1071" s="22"/>
      <c r="CX1071" s="22"/>
      <c r="CY1071" s="22"/>
      <c r="CZ1071" s="22"/>
      <c r="DA1071" s="22"/>
      <c r="DB1071" s="22"/>
      <c r="DC1071" s="22"/>
      <c r="DD1071" s="22"/>
      <c r="DE1071" s="22"/>
      <c r="DF1071" s="22"/>
      <c r="DG1071" s="22"/>
      <c r="DH1071" s="22"/>
      <c r="DI1071" s="22"/>
      <c r="DJ1071" s="22"/>
      <c r="DK1071" s="22"/>
      <c r="DL1071" s="22"/>
      <c r="DM1071" s="22"/>
      <c r="DN1071" s="22"/>
      <c r="DO1071" s="22"/>
      <c r="DP1071" s="22"/>
      <c r="DQ1071" s="22"/>
      <c r="DR1071" s="22"/>
      <c r="DS1071" s="22"/>
      <c r="DT1071" s="22"/>
      <c r="DU1071" s="22"/>
      <c r="DV1071" s="22"/>
      <c r="DW1071" s="22"/>
      <c r="DX1071" s="22"/>
      <c r="DY1071" s="22"/>
      <c r="DZ1071" s="22"/>
      <c r="EA1071" s="22"/>
      <c r="EB1071" s="22"/>
      <c r="EC1071" s="22"/>
      <c r="ED1071" s="22"/>
      <c r="EE1071" s="22"/>
      <c r="EF1071" s="22"/>
      <c r="EG1071" s="22"/>
      <c r="EH1071" s="22"/>
      <c r="EI1071" s="22"/>
      <c r="EJ1071" s="22"/>
      <c r="EK1071" s="22"/>
      <c r="EL1071" s="22"/>
      <c r="EM1071" s="22"/>
      <c r="EN1071" s="22"/>
      <c r="EO1071" s="22"/>
      <c r="EP1071" s="22"/>
      <c r="EQ1071" s="22"/>
      <c r="ER1071" s="22"/>
      <c r="ES1071" s="22"/>
      <c r="ET1071" s="22"/>
      <c r="EU1071" s="22"/>
      <c r="EV1071" s="22"/>
      <c r="EW1071" s="22"/>
      <c r="EX1071" s="22"/>
      <c r="EY1071" s="22"/>
      <c r="EZ1071" s="22"/>
      <c r="FA1071" s="22"/>
      <c r="FB1071" s="22"/>
      <c r="FC1071" s="22"/>
      <c r="FD1071" s="22"/>
      <c r="FE1071" s="22"/>
      <c r="FF1071" s="22"/>
      <c r="FG1071" s="22"/>
      <c r="FH1071" s="22"/>
      <c r="FI1071" s="22"/>
      <c r="FJ1071" s="22"/>
      <c r="FK1071" s="22"/>
      <c r="FL1071" s="22"/>
      <c r="FM1071" s="22"/>
      <c r="FN1071" s="22"/>
      <c r="FO1071" s="22"/>
      <c r="FP1071" s="22"/>
      <c r="FQ1071" s="22"/>
      <c r="FR1071" s="22"/>
      <c r="FS1071" s="22"/>
      <c r="FT1071" s="22"/>
      <c r="FU1071" s="22"/>
      <c r="FV1071" s="22"/>
      <c r="FW1071" s="22"/>
      <c r="FX1071" s="22"/>
      <c r="FY1071" s="22"/>
      <c r="FZ1071" s="22"/>
      <c r="GA1071" s="22"/>
      <c r="GB1071" s="22"/>
      <c r="GC1071" s="22"/>
      <c r="GD1071" s="22"/>
      <c r="GE1071" s="22"/>
      <c r="GF1071" s="22"/>
      <c r="GG1071" s="22"/>
      <c r="GH1071" s="22"/>
      <c r="GI1071" s="22"/>
      <c r="GJ1071" s="22"/>
      <c r="GK1071" s="22"/>
      <c r="GL1071" s="22"/>
      <c r="GM1071" s="22"/>
      <c r="GN1071" s="22"/>
      <c r="GO1071" s="22"/>
      <c r="GP1071" s="22"/>
      <c r="GQ1071" s="22"/>
      <c r="GR1071" s="22"/>
      <c r="GS1071" s="22"/>
      <c r="GT1071" s="22"/>
      <c r="GU1071" s="22"/>
      <c r="GV1071" s="22"/>
      <c r="GW1071" s="22"/>
      <c r="GX1071" s="22"/>
      <c r="GY1071" s="22"/>
      <c r="GZ1071" s="22"/>
      <c r="HA1071" s="22"/>
      <c r="HB1071" s="22"/>
      <c r="HC1071" s="22"/>
      <c r="HD1071" s="22"/>
      <c r="HE1071" s="22"/>
      <c r="HF1071" s="22"/>
      <c r="HG1071" s="22"/>
      <c r="HH1071" s="22"/>
      <c r="HI1071" s="22"/>
      <c r="HJ1071" s="22"/>
      <c r="HK1071" s="22"/>
      <c r="HL1071" s="22"/>
      <c r="HM1071" s="22"/>
      <c r="HN1071" s="22"/>
      <c r="HO1071" s="22"/>
      <c r="HP1071" s="22"/>
      <c r="HQ1071" s="22"/>
      <c r="HR1071" s="22"/>
      <c r="HS1071" s="22"/>
      <c r="HT1071" s="22"/>
      <c r="HU1071" s="22"/>
      <c r="HV1071" s="22"/>
      <c r="HW1071" s="22"/>
      <c r="HX1071" s="22"/>
      <c r="HY1071" s="22"/>
      <c r="HZ1071" s="22"/>
      <c r="IA1071" s="22"/>
      <c r="IB1071" s="22"/>
      <c r="IC1071" s="22"/>
      <c r="ID1071" s="22"/>
      <c r="IE1071" s="22"/>
      <c r="IF1071" s="22"/>
      <c r="IG1071" s="22"/>
      <c r="IH1071" s="22"/>
      <c r="II1071" s="22"/>
      <c r="IJ1071" s="22"/>
      <c r="IK1071" s="22"/>
      <c r="IL1071" s="22"/>
      <c r="IM1071" s="22"/>
      <c r="IN1071" s="22"/>
      <c r="IO1071" s="22"/>
      <c r="IP1071" s="22"/>
      <c r="IQ1071" s="22"/>
      <c r="IR1071" s="22"/>
      <c r="IS1071" s="22"/>
      <c r="IT1071" s="22"/>
      <c r="IU1071" s="22"/>
      <c r="IV1071" s="22"/>
      <c r="IW1071" s="22"/>
      <c r="IX1071" s="22"/>
      <c r="IY1071" s="22"/>
      <c r="IZ1071" s="22"/>
      <c r="JA1071" s="22"/>
      <c r="JB1071" s="22"/>
      <c r="JC1071" s="22"/>
      <c r="JD1071" s="22"/>
      <c r="JE1071" s="22"/>
      <c r="JF1071" s="22"/>
      <c r="JG1071" s="22"/>
      <c r="JH1071" s="22"/>
      <c r="JI1071" s="22"/>
      <c r="JJ1071" s="22"/>
      <c r="JK1071" s="22"/>
      <c r="JL1071" s="22"/>
      <c r="JM1071" s="22"/>
      <c r="JN1071" s="22"/>
      <c r="JO1071" s="22"/>
      <c r="JP1071" s="22"/>
      <c r="JQ1071" s="22"/>
      <c r="JR1071" s="22"/>
      <c r="JS1071" s="22"/>
      <c r="JT1071" s="22"/>
      <c r="JU1071" s="22"/>
      <c r="JV1071" s="22"/>
      <c r="JW1071" s="22"/>
      <c r="JX1071" s="22"/>
      <c r="JY1071" s="22"/>
      <c r="JZ1071" s="22"/>
      <c r="KA1071" s="22"/>
      <c r="KB1071" s="22"/>
      <c r="KC1071" s="22"/>
      <c r="KD1071" s="22"/>
      <c r="KE1071" s="22"/>
      <c r="KF1071" s="22"/>
      <c r="KG1071" s="22"/>
      <c r="KH1071" s="22"/>
      <c r="KI1071" s="22"/>
      <c r="KJ1071" s="22"/>
      <c r="KK1071" s="22"/>
      <c r="KL1071" s="22"/>
      <c r="KM1071" s="22"/>
      <c r="KN1071" s="22"/>
      <c r="KO1071" s="22"/>
      <c r="KP1071" s="22"/>
      <c r="KQ1071" s="22"/>
      <c r="KR1071" s="22"/>
      <c r="KS1071" s="22"/>
      <c r="KT1071" s="22"/>
      <c r="KU1071" s="22"/>
      <c r="KV1071" s="22"/>
      <c r="KW1071" s="22"/>
      <c r="KX1071" s="22"/>
      <c r="KY1071" s="22"/>
      <c r="KZ1071" s="22"/>
      <c r="LA1071" s="22"/>
      <c r="LB1071" s="22"/>
      <c r="LC1071" s="22"/>
      <c r="LD1071" s="22"/>
      <c r="LE1071" s="22"/>
      <c r="LF1071" s="22"/>
      <c r="LG1071" s="22"/>
      <c r="LH1071" s="22"/>
      <c r="LI1071" s="22"/>
      <c r="LJ1071" s="22"/>
      <c r="LK1071" s="22"/>
      <c r="LL1071" s="22"/>
      <c r="LM1071" s="22"/>
      <c r="LN1071" s="22"/>
      <c r="LO1071" s="22"/>
      <c r="LP1071" s="22"/>
      <c r="LQ1071" s="22"/>
      <c r="LR1071" s="22"/>
      <c r="LS1071" s="22"/>
      <c r="LT1071" s="22"/>
      <c r="LU1071" s="22"/>
      <c r="LV1071" s="22"/>
      <c r="LW1071" s="22"/>
      <c r="LX1071" s="22"/>
      <c r="LY1071" s="22"/>
      <c r="LZ1071" s="22"/>
      <c r="MA1071" s="22"/>
      <c r="MB1071" s="22"/>
      <c r="MC1071" s="22"/>
      <c r="MD1071" s="22"/>
      <c r="ME1071" s="22"/>
      <c r="MF1071" s="22"/>
      <c r="MG1071" s="22"/>
      <c r="MH1071" s="22"/>
      <c r="MI1071" s="22"/>
      <c r="MJ1071" s="22"/>
      <c r="MK1071" s="22"/>
      <c r="ML1071" s="22"/>
      <c r="MM1071" s="22"/>
      <c r="MN1071" s="22"/>
      <c r="MO1071" s="22"/>
      <c r="MP1071" s="22"/>
      <c r="MQ1071" s="22"/>
      <c r="MR1071" s="22"/>
      <c r="MS1071" s="22"/>
      <c r="MT1071" s="22"/>
      <c r="MU1071" s="22"/>
      <c r="MV1071" s="22"/>
      <c r="MW1071" s="22"/>
      <c r="MX1071" s="22"/>
      <c r="MY1071" s="22"/>
      <c r="MZ1071" s="22"/>
      <c r="NA1071" s="22"/>
      <c r="NB1071" s="22"/>
      <c r="NC1071" s="22"/>
      <c r="ND1071" s="22"/>
      <c r="NE1071" s="22"/>
      <c r="NF1071" s="22"/>
      <c r="NG1071" s="22"/>
      <c r="NH1071" s="22"/>
      <c r="NI1071" s="22"/>
      <c r="NJ1071" s="22"/>
      <c r="NK1071" s="22"/>
      <c r="NL1071" s="22"/>
      <c r="NM1071" s="22"/>
      <c r="NN1071" s="22"/>
      <c r="NO1071" s="22"/>
      <c r="NP1071" s="22"/>
      <c r="NQ1071" s="22"/>
      <c r="NR1071" s="22"/>
      <c r="NS1071" s="22"/>
      <c r="NT1071" s="22"/>
      <c r="NU1071" s="22"/>
      <c r="NV1071" s="22"/>
      <c r="NW1071" s="22"/>
      <c r="NX1071" s="22"/>
      <c r="NY1071" s="22"/>
      <c r="NZ1071" s="22"/>
      <c r="OA1071" s="22"/>
      <c r="OB1071" s="22"/>
      <c r="OC1071" s="22"/>
      <c r="OD1071" s="22"/>
      <c r="OE1071" s="22"/>
      <c r="OF1071" s="22"/>
      <c r="OG1071" s="22"/>
      <c r="OH1071" s="22"/>
      <c r="OI1071" s="22"/>
      <c r="OJ1071" s="22"/>
      <c r="OK1071" s="22"/>
      <c r="OL1071" s="22"/>
      <c r="OM1071" s="22"/>
      <c r="ON1071" s="22"/>
      <c r="OO1071" s="22"/>
      <c r="OP1071" s="22"/>
      <c r="OQ1071" s="22"/>
      <c r="OR1071" s="22"/>
      <c r="OS1071" s="22"/>
      <c r="OT1071" s="22"/>
      <c r="OU1071" s="22"/>
      <c r="OV1071" s="22"/>
      <c r="OW1071" s="22"/>
      <c r="OX1071" s="22"/>
      <c r="OY1071" s="22"/>
      <c r="OZ1071" s="22"/>
      <c r="PA1071" s="22"/>
      <c r="PB1071" s="22"/>
      <c r="PC1071" s="22"/>
      <c r="PD1071" s="22"/>
      <c r="PE1071" s="22"/>
      <c r="PF1071" s="22"/>
      <c r="PG1071" s="22"/>
      <c r="PH1071" s="22"/>
      <c r="PI1071" s="22"/>
      <c r="PJ1071" s="22"/>
      <c r="PK1071" s="22"/>
      <c r="PL1071" s="22"/>
      <c r="PM1071" s="22"/>
      <c r="PN1071" s="22"/>
      <c r="PO1071" s="22"/>
      <c r="PP1071" s="22"/>
      <c r="PQ1071" s="22"/>
      <c r="PR1071" s="22"/>
      <c r="PS1071" s="22"/>
      <c r="PT1071" s="22"/>
      <c r="PU1071" s="22"/>
      <c r="PV1071" s="22"/>
      <c r="PW1071" s="22"/>
      <c r="PX1071" s="22"/>
      <c r="PY1071" s="22"/>
      <c r="PZ1071" s="22"/>
      <c r="QA1071" s="22"/>
      <c r="QB1071" s="22"/>
      <c r="QC1071" s="22"/>
      <c r="QD1071" s="22"/>
      <c r="QE1071" s="22"/>
      <c r="QF1071" s="22"/>
      <c r="QG1071" s="22"/>
      <c r="QH1071" s="22"/>
      <c r="QI1071" s="22"/>
      <c r="QJ1071" s="22"/>
      <c r="QK1071" s="22"/>
      <c r="QL1071" s="22"/>
      <c r="QM1071" s="22"/>
      <c r="QN1071" s="22"/>
      <c r="QO1071" s="22"/>
      <c r="QP1071" s="22"/>
      <c r="QQ1071" s="22"/>
      <c r="QR1071" s="22"/>
      <c r="QS1071" s="22"/>
      <c r="QT1071" s="22"/>
      <c r="QU1071" s="22"/>
      <c r="QV1071" s="22"/>
      <c r="QW1071" s="22"/>
      <c r="QX1071" s="22"/>
      <c r="QY1071" s="22"/>
      <c r="QZ1071" s="22"/>
      <c r="RA1071" s="22"/>
      <c r="RB1071" s="22"/>
      <c r="RC1071" s="22"/>
      <c r="RD1071" s="22"/>
      <c r="RE1071" s="22"/>
      <c r="RF1071" s="22"/>
      <c r="RG1071" s="22"/>
      <c r="RH1071" s="22"/>
      <c r="RI1071" s="22"/>
      <c r="RJ1071" s="22"/>
      <c r="RK1071" s="22"/>
      <c r="RL1071" s="22"/>
      <c r="RM1071" s="22"/>
      <c r="RN1071" s="22"/>
      <c r="RO1071" s="22"/>
      <c r="RP1071" s="22"/>
      <c r="RQ1071" s="22"/>
      <c r="RR1071" s="22"/>
      <c r="RS1071" s="22"/>
      <c r="RT1071" s="22"/>
      <c r="RU1071" s="22"/>
      <c r="RV1071" s="22"/>
      <c r="RW1071" s="22"/>
      <c r="RX1071" s="22"/>
      <c r="RY1071" s="22"/>
      <c r="RZ1071" s="22"/>
      <c r="SA1071" s="22"/>
      <c r="SB1071" s="22"/>
      <c r="SC1071" s="22"/>
      <c r="SD1071" s="22"/>
      <c r="SE1071" s="22"/>
      <c r="SF1071" s="22"/>
      <c r="SG1071" s="22"/>
      <c r="SH1071" s="22"/>
      <c r="SI1071" s="22"/>
      <c r="SJ1071" s="22"/>
      <c r="SK1071" s="22"/>
      <c r="SL1071" s="22"/>
      <c r="SM1071" s="22"/>
      <c r="SN1071" s="22"/>
      <c r="SO1071" s="22"/>
      <c r="SP1071" s="22"/>
      <c r="SQ1071" s="22"/>
      <c r="SR1071" s="22"/>
      <c r="SS1071" s="22"/>
      <c r="ST1071" s="22"/>
      <c r="SU1071" s="22"/>
      <c r="SV1071" s="22"/>
      <c r="SW1071" s="22"/>
      <c r="SX1071" s="22"/>
      <c r="SY1071" s="22"/>
      <c r="SZ1071" s="22"/>
      <c r="TA1071" s="22"/>
      <c r="TB1071" s="22"/>
      <c r="TC1071" s="22"/>
      <c r="TD1071" s="22"/>
      <c r="TE1071" s="22"/>
      <c r="TF1071" s="22"/>
      <c r="TG1071" s="22"/>
      <c r="TH1071" s="22"/>
      <c r="TI1071" s="22"/>
      <c r="TJ1071" s="22"/>
      <c r="TK1071" s="22"/>
      <c r="TL1071" s="22"/>
      <c r="TM1071" s="22"/>
      <c r="TN1071" s="22"/>
      <c r="TO1071" s="22"/>
      <c r="TP1071" s="22"/>
      <c r="TQ1071" s="22"/>
      <c r="TR1071" s="22"/>
      <c r="TS1071" s="22"/>
      <c r="TT1071" s="22"/>
      <c r="TU1071" s="22"/>
      <c r="TV1071" s="22"/>
      <c r="TW1071" s="22"/>
      <c r="TX1071" s="22"/>
      <c r="TY1071" s="22"/>
      <c r="TZ1071" s="22"/>
      <c r="UA1071" s="22"/>
      <c r="UB1071" s="22"/>
      <c r="UC1071" s="22"/>
      <c r="UD1071" s="22"/>
      <c r="UE1071" s="22"/>
      <c r="UF1071" s="22"/>
      <c r="UG1071" s="23"/>
    </row>
    <row r="1072" spans="1:553" ht="30.75" customHeight="1">
      <c r="A1072" s="356" t="s">
        <v>15</v>
      </c>
      <c r="B1072" s="366"/>
      <c r="C1072" s="1414" t="s">
        <v>16</v>
      </c>
      <c r="D1072" s="1389"/>
      <c r="E1072" s="1389"/>
      <c r="F1072" s="1390"/>
      <c r="G1072" s="366"/>
      <c r="H1072" s="370"/>
      <c r="I1072" s="370"/>
      <c r="J1072" s="368"/>
      <c r="K1072" s="371"/>
      <c r="L1072" s="366"/>
      <c r="M1072" s="366"/>
      <c r="N1072" s="366"/>
      <c r="O1072" s="366"/>
      <c r="P1072" s="366"/>
      <c r="Q1072" s="1036"/>
      <c r="R1072" s="1226"/>
      <c r="S1072" s="308"/>
      <c r="T1072" s="308"/>
      <c r="U1072" s="308"/>
      <c r="V1072" s="308"/>
      <c r="W1072" s="308"/>
      <c r="X1072" s="308"/>
      <c r="Y1072" s="308"/>
      <c r="Z1072" s="604"/>
      <c r="AA1072" s="308"/>
      <c r="AB1072" s="308"/>
      <c r="AC1072" s="373"/>
      <c r="AD1072" s="373"/>
      <c r="AE1072" s="373"/>
      <c r="AF1072" s="373"/>
      <c r="AG1072" s="373"/>
      <c r="AH1072" s="373"/>
      <c r="AI1072" s="373"/>
      <c r="AJ1072" s="373"/>
      <c r="AK1072" s="374"/>
      <c r="AL1072" s="323"/>
      <c r="AM1072" s="21"/>
      <c r="AN1072" s="21"/>
      <c r="AO1072" s="21"/>
      <c r="AP1072" s="21"/>
      <c r="AQ1072" s="21"/>
      <c r="AR1072" s="21"/>
      <c r="AS1072" s="22"/>
      <c r="AT1072" s="22"/>
      <c r="AU1072" s="22"/>
      <c r="AV1072" s="22"/>
      <c r="AW1072" s="22"/>
      <c r="AX1072" s="22"/>
      <c r="AY1072" s="22"/>
      <c r="AZ1072" s="22"/>
      <c r="BA1072" s="22"/>
      <c r="BB1072" s="22"/>
      <c r="BC1072" s="22"/>
      <c r="BD1072" s="22"/>
      <c r="BE1072" s="22"/>
      <c r="BF1072" s="22"/>
      <c r="BG1072" s="22"/>
      <c r="BH1072" s="22"/>
      <c r="BI1072" s="22"/>
      <c r="BJ1072" s="22"/>
      <c r="BK1072" s="22"/>
      <c r="BL1072" s="22"/>
      <c r="BM1072" s="22"/>
      <c r="BN1072" s="22"/>
      <c r="BO1072" s="22"/>
      <c r="BP1072" s="22"/>
      <c r="BQ1072" s="22"/>
      <c r="BR1072" s="22"/>
      <c r="BS1072" s="22"/>
      <c r="BT1072" s="22"/>
      <c r="BU1072" s="22"/>
      <c r="BV1072" s="22"/>
      <c r="BW1072" s="22"/>
      <c r="BX1072" s="22"/>
      <c r="BY1072" s="22"/>
      <c r="BZ1072" s="22"/>
      <c r="CA1072" s="22"/>
      <c r="CB1072" s="22"/>
      <c r="CC1072" s="22"/>
      <c r="CD1072" s="22"/>
      <c r="CE1072" s="22"/>
      <c r="CF1072" s="22"/>
      <c r="CG1072" s="22"/>
      <c r="CH1072" s="22"/>
      <c r="CI1072" s="22"/>
      <c r="CJ1072" s="22"/>
      <c r="CK1072" s="22"/>
      <c r="CL1072" s="22"/>
      <c r="CM1072" s="22"/>
      <c r="CN1072" s="22"/>
      <c r="CO1072" s="22"/>
      <c r="CP1072" s="22"/>
      <c r="CQ1072" s="22"/>
      <c r="CR1072" s="22"/>
      <c r="CS1072" s="22"/>
      <c r="CT1072" s="22"/>
      <c r="CU1072" s="22"/>
      <c r="CV1072" s="22"/>
      <c r="CW1072" s="22"/>
      <c r="CX1072" s="22"/>
      <c r="CY1072" s="22"/>
      <c r="CZ1072" s="22"/>
      <c r="DA1072" s="22"/>
      <c r="DB1072" s="22"/>
      <c r="DC1072" s="22"/>
      <c r="DD1072" s="22"/>
      <c r="DE1072" s="22"/>
      <c r="DF1072" s="22"/>
      <c r="DG1072" s="22"/>
      <c r="DH1072" s="22"/>
      <c r="DI1072" s="22"/>
      <c r="DJ1072" s="22"/>
      <c r="DK1072" s="22"/>
      <c r="DL1072" s="22"/>
      <c r="DM1072" s="22"/>
      <c r="DN1072" s="22"/>
      <c r="DO1072" s="22"/>
      <c r="DP1072" s="22"/>
      <c r="DQ1072" s="22"/>
      <c r="DR1072" s="22"/>
      <c r="DS1072" s="22"/>
      <c r="DT1072" s="22"/>
      <c r="DU1072" s="22"/>
      <c r="DV1072" s="22"/>
      <c r="DW1072" s="22"/>
      <c r="DX1072" s="22"/>
      <c r="DY1072" s="22"/>
      <c r="DZ1072" s="22"/>
      <c r="EA1072" s="22"/>
      <c r="EB1072" s="22"/>
      <c r="EC1072" s="22"/>
      <c r="ED1072" s="22"/>
      <c r="EE1072" s="22"/>
      <c r="EF1072" s="22"/>
      <c r="EG1072" s="22"/>
      <c r="EH1072" s="22"/>
      <c r="EI1072" s="22"/>
      <c r="EJ1072" s="22"/>
      <c r="EK1072" s="22"/>
      <c r="EL1072" s="22"/>
      <c r="EM1072" s="22"/>
      <c r="EN1072" s="22"/>
      <c r="EO1072" s="22"/>
      <c r="EP1072" s="22"/>
      <c r="EQ1072" s="22"/>
      <c r="ER1072" s="22"/>
      <c r="ES1072" s="22"/>
      <c r="ET1072" s="22"/>
      <c r="EU1072" s="22"/>
      <c r="EV1072" s="22"/>
      <c r="EW1072" s="22"/>
      <c r="EX1072" s="22"/>
      <c r="EY1072" s="22"/>
      <c r="EZ1072" s="22"/>
      <c r="FA1072" s="22"/>
      <c r="FB1072" s="22"/>
      <c r="FC1072" s="22"/>
      <c r="FD1072" s="22"/>
      <c r="FE1072" s="22"/>
      <c r="FF1072" s="22"/>
      <c r="FG1072" s="22"/>
      <c r="FH1072" s="22"/>
      <c r="FI1072" s="22"/>
      <c r="FJ1072" s="22"/>
      <c r="FK1072" s="22"/>
      <c r="FL1072" s="22"/>
      <c r="FM1072" s="22"/>
      <c r="FN1072" s="22"/>
      <c r="FO1072" s="22"/>
      <c r="FP1072" s="22"/>
      <c r="FQ1072" s="22"/>
      <c r="FR1072" s="22"/>
      <c r="FS1072" s="22"/>
      <c r="FT1072" s="22"/>
      <c r="FU1072" s="22"/>
      <c r="FV1072" s="22"/>
      <c r="FW1072" s="22"/>
      <c r="FX1072" s="22"/>
      <c r="FY1072" s="22"/>
      <c r="FZ1072" s="22"/>
      <c r="GA1072" s="22"/>
      <c r="GB1072" s="22"/>
      <c r="GC1072" s="22"/>
      <c r="GD1072" s="22"/>
      <c r="GE1072" s="22"/>
      <c r="GF1072" s="22"/>
      <c r="GG1072" s="22"/>
      <c r="GH1072" s="22"/>
      <c r="GI1072" s="22"/>
      <c r="GJ1072" s="22"/>
      <c r="GK1072" s="22"/>
      <c r="GL1072" s="22"/>
      <c r="GM1072" s="22"/>
      <c r="GN1072" s="22"/>
      <c r="GO1072" s="22"/>
      <c r="GP1072" s="22"/>
      <c r="GQ1072" s="22"/>
      <c r="GR1072" s="22"/>
      <c r="GS1072" s="22"/>
      <c r="GT1072" s="22"/>
      <c r="GU1072" s="22"/>
      <c r="GV1072" s="22"/>
      <c r="GW1072" s="22"/>
      <c r="GX1072" s="22"/>
      <c r="GY1072" s="22"/>
      <c r="GZ1072" s="22"/>
      <c r="HA1072" s="22"/>
      <c r="HB1072" s="22"/>
      <c r="HC1072" s="22"/>
      <c r="HD1072" s="22"/>
      <c r="HE1072" s="22"/>
      <c r="HF1072" s="22"/>
      <c r="HG1072" s="22"/>
      <c r="HH1072" s="22"/>
      <c r="HI1072" s="22"/>
      <c r="HJ1072" s="22"/>
      <c r="HK1072" s="22"/>
      <c r="HL1072" s="22"/>
      <c r="HM1072" s="22"/>
      <c r="HN1072" s="22"/>
      <c r="HO1072" s="22"/>
      <c r="HP1072" s="22"/>
      <c r="HQ1072" s="22"/>
      <c r="HR1072" s="22"/>
      <c r="HS1072" s="22"/>
      <c r="HT1072" s="22"/>
      <c r="HU1072" s="22"/>
      <c r="HV1072" s="22"/>
      <c r="HW1072" s="22"/>
      <c r="HX1072" s="22"/>
      <c r="HY1072" s="22"/>
      <c r="HZ1072" s="22"/>
      <c r="IA1072" s="22"/>
      <c r="IB1072" s="22"/>
      <c r="IC1072" s="22"/>
      <c r="ID1072" s="22"/>
      <c r="IE1072" s="22"/>
      <c r="IF1072" s="22"/>
      <c r="IG1072" s="22"/>
      <c r="IH1072" s="22"/>
      <c r="II1072" s="22"/>
      <c r="IJ1072" s="22"/>
      <c r="IK1072" s="22"/>
      <c r="IL1072" s="22"/>
      <c r="IM1072" s="22"/>
      <c r="IN1072" s="22"/>
      <c r="IO1072" s="22"/>
      <c r="IP1072" s="22"/>
      <c r="IQ1072" s="22"/>
      <c r="IR1072" s="22"/>
      <c r="IS1072" s="22"/>
      <c r="IT1072" s="22"/>
      <c r="IU1072" s="22"/>
      <c r="IV1072" s="22"/>
      <c r="IW1072" s="22"/>
      <c r="IX1072" s="22"/>
      <c r="IY1072" s="22"/>
      <c r="IZ1072" s="22"/>
      <c r="JA1072" s="22"/>
      <c r="JB1072" s="22"/>
      <c r="JC1072" s="22"/>
      <c r="JD1072" s="22"/>
      <c r="JE1072" s="22"/>
      <c r="JF1072" s="22"/>
      <c r="JG1072" s="22"/>
      <c r="JH1072" s="22"/>
      <c r="JI1072" s="22"/>
      <c r="JJ1072" s="22"/>
      <c r="JK1072" s="22"/>
      <c r="JL1072" s="22"/>
      <c r="JM1072" s="22"/>
      <c r="JN1072" s="22"/>
      <c r="JO1072" s="22"/>
      <c r="JP1072" s="22"/>
      <c r="JQ1072" s="22"/>
      <c r="JR1072" s="22"/>
      <c r="JS1072" s="22"/>
      <c r="JT1072" s="22"/>
      <c r="JU1072" s="22"/>
      <c r="JV1072" s="22"/>
      <c r="JW1072" s="22"/>
      <c r="JX1072" s="22"/>
      <c r="JY1072" s="22"/>
      <c r="JZ1072" s="22"/>
      <c r="KA1072" s="22"/>
      <c r="KB1072" s="22"/>
      <c r="KC1072" s="22"/>
      <c r="KD1072" s="22"/>
      <c r="KE1072" s="22"/>
      <c r="KF1072" s="22"/>
      <c r="KG1072" s="22"/>
      <c r="KH1072" s="22"/>
      <c r="KI1072" s="22"/>
      <c r="KJ1072" s="22"/>
      <c r="KK1072" s="22"/>
      <c r="KL1072" s="22"/>
      <c r="KM1072" s="22"/>
      <c r="KN1072" s="22"/>
      <c r="KO1072" s="22"/>
      <c r="KP1072" s="22"/>
      <c r="KQ1072" s="22"/>
      <c r="KR1072" s="22"/>
      <c r="KS1072" s="22"/>
      <c r="KT1072" s="22"/>
      <c r="KU1072" s="22"/>
      <c r="KV1072" s="22"/>
      <c r="KW1072" s="22"/>
      <c r="KX1072" s="22"/>
      <c r="KY1072" s="22"/>
      <c r="KZ1072" s="22"/>
      <c r="LA1072" s="22"/>
      <c r="LB1072" s="22"/>
      <c r="LC1072" s="22"/>
      <c r="LD1072" s="22"/>
      <c r="LE1072" s="22"/>
      <c r="LF1072" s="22"/>
      <c r="LG1072" s="22"/>
      <c r="LH1072" s="22"/>
      <c r="LI1072" s="22"/>
      <c r="LJ1072" s="22"/>
      <c r="LK1072" s="22"/>
      <c r="LL1072" s="22"/>
      <c r="LM1072" s="22"/>
      <c r="LN1072" s="22"/>
      <c r="LO1072" s="22"/>
      <c r="LP1072" s="22"/>
      <c r="LQ1072" s="22"/>
      <c r="LR1072" s="22"/>
      <c r="LS1072" s="22"/>
      <c r="LT1072" s="22"/>
      <c r="LU1072" s="22"/>
      <c r="LV1072" s="22"/>
      <c r="LW1072" s="22"/>
      <c r="LX1072" s="22"/>
      <c r="LY1072" s="22"/>
      <c r="LZ1072" s="22"/>
      <c r="MA1072" s="22"/>
      <c r="MB1072" s="22"/>
      <c r="MC1072" s="22"/>
      <c r="MD1072" s="22"/>
      <c r="ME1072" s="22"/>
      <c r="MF1072" s="22"/>
      <c r="MG1072" s="22"/>
      <c r="MH1072" s="22"/>
      <c r="MI1072" s="22"/>
      <c r="MJ1072" s="22"/>
      <c r="MK1072" s="22"/>
      <c r="ML1072" s="22"/>
      <c r="MM1072" s="22"/>
      <c r="MN1072" s="22"/>
      <c r="MO1072" s="22"/>
      <c r="MP1072" s="22"/>
      <c r="MQ1072" s="22"/>
      <c r="MR1072" s="22"/>
      <c r="MS1072" s="22"/>
      <c r="MT1072" s="22"/>
      <c r="MU1072" s="22"/>
      <c r="MV1072" s="22"/>
      <c r="MW1072" s="22"/>
      <c r="MX1072" s="22"/>
      <c r="MY1072" s="22"/>
      <c r="MZ1072" s="22"/>
      <c r="NA1072" s="22"/>
      <c r="NB1072" s="22"/>
      <c r="NC1072" s="22"/>
      <c r="ND1072" s="22"/>
      <c r="NE1072" s="22"/>
      <c r="NF1072" s="22"/>
      <c r="NG1072" s="22"/>
      <c r="NH1072" s="22"/>
      <c r="NI1072" s="22"/>
      <c r="NJ1072" s="22"/>
      <c r="NK1072" s="22"/>
      <c r="NL1072" s="22"/>
      <c r="NM1072" s="22"/>
      <c r="NN1072" s="22"/>
      <c r="NO1072" s="22"/>
      <c r="NP1072" s="22"/>
      <c r="NQ1072" s="22"/>
      <c r="NR1072" s="22"/>
      <c r="NS1072" s="22"/>
      <c r="NT1072" s="22"/>
      <c r="NU1072" s="22"/>
      <c r="NV1072" s="22"/>
      <c r="NW1072" s="22"/>
      <c r="NX1072" s="22"/>
      <c r="NY1072" s="22"/>
      <c r="NZ1072" s="22"/>
      <c r="OA1072" s="22"/>
      <c r="OB1072" s="22"/>
      <c r="OC1072" s="22"/>
      <c r="OD1072" s="22"/>
      <c r="OE1072" s="22"/>
      <c r="OF1072" s="22"/>
      <c r="OG1072" s="22"/>
      <c r="OH1072" s="22"/>
      <c r="OI1072" s="22"/>
      <c r="OJ1072" s="22"/>
      <c r="OK1072" s="22"/>
      <c r="OL1072" s="22"/>
      <c r="OM1072" s="22"/>
      <c r="ON1072" s="22"/>
      <c r="OO1072" s="22"/>
      <c r="OP1072" s="22"/>
      <c r="OQ1072" s="22"/>
      <c r="OR1072" s="22"/>
      <c r="OS1072" s="22"/>
      <c r="OT1072" s="22"/>
      <c r="OU1072" s="22"/>
      <c r="OV1072" s="22"/>
      <c r="OW1072" s="22"/>
      <c r="OX1072" s="22"/>
      <c r="OY1072" s="22"/>
      <c r="OZ1072" s="22"/>
      <c r="PA1072" s="22"/>
      <c r="PB1072" s="22"/>
      <c r="PC1072" s="22"/>
      <c r="PD1072" s="22"/>
      <c r="PE1072" s="22"/>
      <c r="PF1072" s="22"/>
      <c r="PG1072" s="22"/>
      <c r="PH1072" s="22"/>
      <c r="PI1072" s="22"/>
      <c r="PJ1072" s="22"/>
      <c r="PK1072" s="22"/>
      <c r="PL1072" s="22"/>
      <c r="PM1072" s="22"/>
      <c r="PN1072" s="22"/>
      <c r="PO1072" s="22"/>
      <c r="PP1072" s="22"/>
      <c r="PQ1072" s="22"/>
      <c r="PR1072" s="22"/>
      <c r="PS1072" s="22"/>
      <c r="PT1072" s="22"/>
      <c r="PU1072" s="22"/>
      <c r="PV1072" s="22"/>
      <c r="PW1072" s="22"/>
      <c r="PX1072" s="22"/>
      <c r="PY1072" s="22"/>
      <c r="PZ1072" s="22"/>
      <c r="QA1072" s="22"/>
      <c r="QB1072" s="22"/>
      <c r="QC1072" s="22"/>
      <c r="QD1072" s="22"/>
      <c r="QE1072" s="22"/>
      <c r="QF1072" s="22"/>
      <c r="QG1072" s="22"/>
      <c r="QH1072" s="22"/>
      <c r="QI1072" s="22"/>
      <c r="QJ1072" s="22"/>
      <c r="QK1072" s="22"/>
      <c r="QL1072" s="22"/>
      <c r="QM1072" s="22"/>
      <c r="QN1072" s="22"/>
      <c r="QO1072" s="22"/>
      <c r="QP1072" s="22"/>
      <c r="QQ1072" s="22"/>
      <c r="QR1072" s="22"/>
      <c r="QS1072" s="22"/>
      <c r="QT1072" s="22"/>
      <c r="QU1072" s="22"/>
      <c r="QV1072" s="22"/>
      <c r="QW1072" s="22"/>
      <c r="QX1072" s="22"/>
      <c r="QY1072" s="22"/>
      <c r="QZ1072" s="22"/>
      <c r="RA1072" s="22"/>
      <c r="RB1072" s="22"/>
      <c r="RC1072" s="22"/>
      <c r="RD1072" s="22"/>
      <c r="RE1072" s="22"/>
      <c r="RF1072" s="22"/>
      <c r="RG1072" s="22"/>
      <c r="RH1072" s="22"/>
      <c r="RI1072" s="22"/>
      <c r="RJ1072" s="22"/>
      <c r="RK1072" s="22"/>
      <c r="RL1072" s="22"/>
      <c r="RM1072" s="22"/>
      <c r="RN1072" s="22"/>
      <c r="RO1072" s="22"/>
      <c r="RP1072" s="22"/>
      <c r="RQ1072" s="22"/>
      <c r="RR1072" s="22"/>
      <c r="RS1072" s="22"/>
      <c r="RT1072" s="22"/>
      <c r="RU1072" s="22"/>
      <c r="RV1072" s="22"/>
      <c r="RW1072" s="22"/>
      <c r="RX1072" s="22"/>
      <c r="RY1072" s="22"/>
      <c r="RZ1072" s="22"/>
      <c r="SA1072" s="22"/>
      <c r="SB1072" s="22"/>
      <c r="SC1072" s="22"/>
      <c r="SD1072" s="22"/>
      <c r="SE1072" s="22"/>
      <c r="SF1072" s="22"/>
      <c r="SG1072" s="22"/>
      <c r="SH1072" s="22"/>
      <c r="SI1072" s="22"/>
      <c r="SJ1072" s="22"/>
      <c r="SK1072" s="22"/>
      <c r="SL1072" s="22"/>
      <c r="SM1072" s="22"/>
      <c r="SN1072" s="22"/>
      <c r="SO1072" s="22"/>
      <c r="SP1072" s="22"/>
      <c r="SQ1072" s="22"/>
      <c r="SR1072" s="22"/>
      <c r="SS1072" s="22"/>
      <c r="ST1072" s="22"/>
      <c r="SU1072" s="22"/>
      <c r="SV1072" s="22"/>
      <c r="SW1072" s="22"/>
      <c r="SX1072" s="22"/>
      <c r="SY1072" s="22"/>
      <c r="SZ1072" s="22"/>
      <c r="TA1072" s="22"/>
      <c r="TB1072" s="22"/>
      <c r="TC1072" s="22"/>
      <c r="TD1072" s="22"/>
      <c r="TE1072" s="22"/>
      <c r="TF1072" s="22"/>
      <c r="TG1072" s="22"/>
      <c r="TH1072" s="22"/>
      <c r="TI1072" s="22"/>
      <c r="TJ1072" s="22"/>
      <c r="TK1072" s="22"/>
      <c r="TL1072" s="22"/>
      <c r="TM1072" s="22"/>
      <c r="TN1072" s="22"/>
      <c r="TO1072" s="22"/>
      <c r="TP1072" s="22"/>
      <c r="TQ1072" s="22"/>
      <c r="TR1072" s="22"/>
      <c r="TS1072" s="22"/>
      <c r="TT1072" s="22"/>
      <c r="TU1072" s="22"/>
      <c r="TV1072" s="22"/>
      <c r="TW1072" s="22"/>
      <c r="TX1072" s="22"/>
      <c r="TY1072" s="22"/>
      <c r="TZ1072" s="22"/>
      <c r="UA1072" s="22"/>
      <c r="UB1072" s="22"/>
      <c r="UC1072" s="22"/>
      <c r="UD1072" s="22"/>
      <c r="UE1072" s="22"/>
      <c r="UF1072" s="22"/>
      <c r="UG1072" s="23"/>
    </row>
    <row r="1073" spans="1:553" ht="30.75" customHeight="1">
      <c r="A1073" s="356" t="s">
        <v>15</v>
      </c>
      <c r="B1073" s="366"/>
      <c r="C1073" s="1443" t="s">
        <v>603</v>
      </c>
      <c r="D1073" s="1389"/>
      <c r="E1073" s="1389"/>
      <c r="F1073" s="1390"/>
      <c r="G1073" s="366"/>
      <c r="H1073" s="370"/>
      <c r="I1073" s="370"/>
      <c r="J1073" s="368"/>
      <c r="K1073" s="371"/>
      <c r="L1073" s="366"/>
      <c r="M1073" s="366"/>
      <c r="N1073" s="366"/>
      <c r="O1073" s="366"/>
      <c r="P1073" s="366"/>
      <c r="Q1073" s="1036"/>
      <c r="R1073" s="1226"/>
      <c r="S1073" s="308"/>
      <c r="T1073" s="308"/>
      <c r="U1073" s="308"/>
      <c r="V1073" s="308"/>
      <c r="W1073" s="308"/>
      <c r="X1073" s="308"/>
      <c r="Y1073" s="308"/>
      <c r="Z1073" s="604"/>
      <c r="AA1073" s="308"/>
      <c r="AB1073" s="308"/>
      <c r="AC1073" s="373"/>
      <c r="AD1073" s="373"/>
      <c r="AE1073" s="373"/>
      <c r="AF1073" s="373"/>
      <c r="AG1073" s="373"/>
      <c r="AH1073" s="373"/>
      <c r="AI1073" s="373"/>
      <c r="AJ1073" s="373"/>
      <c r="AK1073" s="374"/>
      <c r="AL1073" s="323"/>
      <c r="AM1073" s="21"/>
      <c r="AN1073" s="21"/>
      <c r="AO1073" s="21"/>
      <c r="AP1073" s="21"/>
      <c r="AQ1073" s="21"/>
      <c r="AR1073" s="21"/>
      <c r="AS1073" s="22"/>
      <c r="AT1073" s="22"/>
      <c r="AU1073" s="22"/>
      <c r="AV1073" s="22"/>
      <c r="AW1073" s="22"/>
      <c r="AX1073" s="22"/>
      <c r="AY1073" s="22"/>
      <c r="AZ1073" s="22"/>
      <c r="BA1073" s="22"/>
      <c r="BB1073" s="22"/>
      <c r="BC1073" s="22"/>
      <c r="BD1073" s="22"/>
      <c r="BE1073" s="22"/>
      <c r="BF1073" s="22"/>
      <c r="BG1073" s="22"/>
      <c r="BH1073" s="22"/>
      <c r="BI1073" s="22"/>
      <c r="BJ1073" s="22"/>
      <c r="BK1073" s="22"/>
      <c r="BL1073" s="22"/>
      <c r="BM1073" s="22"/>
      <c r="BN1073" s="22"/>
      <c r="BO1073" s="22"/>
      <c r="BP1073" s="22"/>
      <c r="BQ1073" s="22"/>
      <c r="BR1073" s="22"/>
      <c r="BS1073" s="22"/>
      <c r="BT1073" s="22"/>
      <c r="BU1073" s="22"/>
      <c r="BV1073" s="22"/>
      <c r="BW1073" s="22"/>
      <c r="BX1073" s="22"/>
      <c r="BY1073" s="22"/>
      <c r="BZ1073" s="22"/>
      <c r="CA1073" s="22"/>
      <c r="CB1073" s="22"/>
      <c r="CC1073" s="22"/>
      <c r="CD1073" s="22"/>
      <c r="CE1073" s="22"/>
      <c r="CF1073" s="22"/>
      <c r="CG1073" s="22"/>
      <c r="CH1073" s="22"/>
      <c r="CI1073" s="22"/>
      <c r="CJ1073" s="22"/>
      <c r="CK1073" s="22"/>
      <c r="CL1073" s="22"/>
      <c r="CM1073" s="22"/>
      <c r="CN1073" s="22"/>
      <c r="CO1073" s="22"/>
      <c r="CP1073" s="22"/>
      <c r="CQ1073" s="22"/>
      <c r="CR1073" s="22"/>
      <c r="CS1073" s="22"/>
      <c r="CT1073" s="22"/>
      <c r="CU1073" s="22"/>
      <c r="CV1073" s="22"/>
      <c r="CW1073" s="22"/>
      <c r="CX1073" s="22"/>
      <c r="CY1073" s="22"/>
      <c r="CZ1073" s="22"/>
      <c r="DA1073" s="22"/>
      <c r="DB1073" s="22"/>
      <c r="DC1073" s="22"/>
      <c r="DD1073" s="22"/>
      <c r="DE1073" s="22"/>
      <c r="DF1073" s="22"/>
      <c r="DG1073" s="22"/>
      <c r="DH1073" s="22"/>
      <c r="DI1073" s="22"/>
      <c r="DJ1073" s="22"/>
      <c r="DK1073" s="22"/>
      <c r="DL1073" s="22"/>
      <c r="DM1073" s="22"/>
      <c r="DN1073" s="22"/>
      <c r="DO1073" s="22"/>
      <c r="DP1073" s="22"/>
      <c r="DQ1073" s="22"/>
      <c r="DR1073" s="22"/>
      <c r="DS1073" s="22"/>
      <c r="DT1073" s="22"/>
      <c r="DU1073" s="22"/>
      <c r="DV1073" s="22"/>
      <c r="DW1073" s="22"/>
      <c r="DX1073" s="22"/>
      <c r="DY1073" s="22"/>
      <c r="DZ1073" s="22"/>
      <c r="EA1073" s="22"/>
      <c r="EB1073" s="22"/>
      <c r="EC1073" s="22"/>
      <c r="ED1073" s="22"/>
      <c r="EE1073" s="22"/>
      <c r="EF1073" s="22"/>
      <c r="EG1073" s="22"/>
      <c r="EH1073" s="22"/>
      <c r="EI1073" s="22"/>
      <c r="EJ1073" s="22"/>
      <c r="EK1073" s="22"/>
      <c r="EL1073" s="22"/>
      <c r="EM1073" s="22"/>
      <c r="EN1073" s="22"/>
      <c r="EO1073" s="22"/>
      <c r="EP1073" s="22"/>
      <c r="EQ1073" s="22"/>
      <c r="ER1073" s="22"/>
      <c r="ES1073" s="22"/>
      <c r="ET1073" s="22"/>
      <c r="EU1073" s="22"/>
      <c r="EV1073" s="22"/>
      <c r="EW1073" s="22"/>
      <c r="EX1073" s="22"/>
      <c r="EY1073" s="22"/>
      <c r="EZ1073" s="22"/>
      <c r="FA1073" s="22"/>
      <c r="FB1073" s="22"/>
      <c r="FC1073" s="22"/>
      <c r="FD1073" s="22"/>
      <c r="FE1073" s="22"/>
      <c r="FF1073" s="22"/>
      <c r="FG1073" s="22"/>
      <c r="FH1073" s="22"/>
      <c r="FI1073" s="22"/>
      <c r="FJ1073" s="22"/>
      <c r="FK1073" s="22"/>
      <c r="FL1073" s="22"/>
      <c r="FM1073" s="22"/>
      <c r="FN1073" s="22"/>
      <c r="FO1073" s="22"/>
      <c r="FP1073" s="22"/>
      <c r="FQ1073" s="22"/>
      <c r="FR1073" s="22"/>
      <c r="FS1073" s="22"/>
      <c r="FT1073" s="22"/>
      <c r="FU1073" s="22"/>
      <c r="FV1073" s="22"/>
      <c r="FW1073" s="22"/>
      <c r="FX1073" s="22"/>
      <c r="FY1073" s="22"/>
      <c r="FZ1073" s="22"/>
      <c r="GA1073" s="22"/>
      <c r="GB1073" s="22"/>
      <c r="GC1073" s="22"/>
      <c r="GD1073" s="22"/>
      <c r="GE1073" s="22"/>
      <c r="GF1073" s="22"/>
      <c r="GG1073" s="22"/>
      <c r="GH1073" s="22"/>
      <c r="GI1073" s="22"/>
      <c r="GJ1073" s="22"/>
      <c r="GK1073" s="22"/>
      <c r="GL1073" s="22"/>
      <c r="GM1073" s="22"/>
      <c r="GN1073" s="22"/>
      <c r="GO1073" s="22"/>
      <c r="GP1073" s="22"/>
      <c r="GQ1073" s="22"/>
      <c r="GR1073" s="22"/>
      <c r="GS1073" s="22"/>
      <c r="GT1073" s="22"/>
      <c r="GU1073" s="22"/>
      <c r="GV1073" s="22"/>
      <c r="GW1073" s="22"/>
      <c r="GX1073" s="22"/>
      <c r="GY1073" s="22"/>
      <c r="GZ1073" s="22"/>
      <c r="HA1073" s="22"/>
      <c r="HB1073" s="22"/>
      <c r="HC1073" s="22"/>
      <c r="HD1073" s="22"/>
      <c r="HE1073" s="22"/>
      <c r="HF1073" s="22"/>
      <c r="HG1073" s="22"/>
      <c r="HH1073" s="22"/>
      <c r="HI1073" s="22"/>
      <c r="HJ1073" s="22"/>
      <c r="HK1073" s="22"/>
      <c r="HL1073" s="22"/>
      <c r="HM1073" s="22"/>
      <c r="HN1073" s="22"/>
      <c r="HO1073" s="22"/>
      <c r="HP1073" s="22"/>
      <c r="HQ1073" s="22"/>
      <c r="HR1073" s="22"/>
      <c r="HS1073" s="22"/>
      <c r="HT1073" s="22"/>
      <c r="HU1073" s="22"/>
      <c r="HV1073" s="22"/>
      <c r="HW1073" s="22"/>
      <c r="HX1073" s="22"/>
      <c r="HY1073" s="22"/>
      <c r="HZ1073" s="22"/>
      <c r="IA1073" s="22"/>
      <c r="IB1073" s="22"/>
      <c r="IC1073" s="22"/>
      <c r="ID1073" s="22"/>
      <c r="IE1073" s="22"/>
      <c r="IF1073" s="22"/>
      <c r="IG1073" s="22"/>
      <c r="IH1073" s="22"/>
      <c r="II1073" s="22"/>
      <c r="IJ1073" s="22"/>
      <c r="IK1073" s="22"/>
      <c r="IL1073" s="22"/>
      <c r="IM1073" s="22"/>
      <c r="IN1073" s="22"/>
      <c r="IO1073" s="22"/>
      <c r="IP1073" s="22"/>
      <c r="IQ1073" s="22"/>
      <c r="IR1073" s="22"/>
      <c r="IS1073" s="22"/>
      <c r="IT1073" s="22"/>
      <c r="IU1073" s="22"/>
      <c r="IV1073" s="22"/>
      <c r="IW1073" s="22"/>
      <c r="IX1073" s="22"/>
      <c r="IY1073" s="22"/>
      <c r="IZ1073" s="22"/>
      <c r="JA1073" s="22"/>
      <c r="JB1073" s="22"/>
      <c r="JC1073" s="22"/>
      <c r="JD1073" s="22"/>
      <c r="JE1073" s="22"/>
      <c r="JF1073" s="22"/>
      <c r="JG1073" s="22"/>
      <c r="JH1073" s="22"/>
      <c r="JI1073" s="22"/>
      <c r="JJ1073" s="22"/>
      <c r="JK1073" s="22"/>
      <c r="JL1073" s="22"/>
      <c r="JM1073" s="22"/>
      <c r="JN1073" s="22"/>
      <c r="JO1073" s="22"/>
      <c r="JP1073" s="22"/>
      <c r="JQ1073" s="22"/>
      <c r="JR1073" s="22"/>
      <c r="JS1073" s="22"/>
      <c r="JT1073" s="22"/>
      <c r="JU1073" s="22"/>
      <c r="JV1073" s="22"/>
      <c r="JW1073" s="22"/>
      <c r="JX1073" s="22"/>
      <c r="JY1073" s="22"/>
      <c r="JZ1073" s="22"/>
      <c r="KA1073" s="22"/>
      <c r="KB1073" s="22"/>
      <c r="KC1073" s="22"/>
      <c r="KD1073" s="22"/>
      <c r="KE1073" s="22"/>
      <c r="KF1073" s="22"/>
      <c r="KG1073" s="22"/>
      <c r="KH1073" s="22"/>
      <c r="KI1073" s="22"/>
      <c r="KJ1073" s="22"/>
      <c r="KK1073" s="22"/>
      <c r="KL1073" s="22"/>
      <c r="KM1073" s="22"/>
      <c r="KN1073" s="22"/>
      <c r="KO1073" s="22"/>
      <c r="KP1073" s="22"/>
      <c r="KQ1073" s="22"/>
      <c r="KR1073" s="22"/>
      <c r="KS1073" s="22"/>
      <c r="KT1073" s="22"/>
      <c r="KU1073" s="22"/>
      <c r="KV1073" s="22"/>
      <c r="KW1073" s="22"/>
      <c r="KX1073" s="22"/>
      <c r="KY1073" s="22"/>
      <c r="KZ1073" s="22"/>
      <c r="LA1073" s="22"/>
      <c r="LB1073" s="22"/>
      <c r="LC1073" s="22"/>
      <c r="LD1073" s="22"/>
      <c r="LE1073" s="22"/>
      <c r="LF1073" s="22"/>
      <c r="LG1073" s="22"/>
      <c r="LH1073" s="22"/>
      <c r="LI1073" s="22"/>
      <c r="LJ1073" s="22"/>
      <c r="LK1073" s="22"/>
      <c r="LL1073" s="22"/>
      <c r="LM1073" s="22"/>
      <c r="LN1073" s="22"/>
      <c r="LO1073" s="22"/>
      <c r="LP1073" s="22"/>
      <c r="LQ1073" s="22"/>
      <c r="LR1073" s="22"/>
      <c r="LS1073" s="22"/>
      <c r="LT1073" s="22"/>
      <c r="LU1073" s="22"/>
      <c r="LV1073" s="22"/>
      <c r="LW1073" s="22"/>
      <c r="LX1073" s="22"/>
      <c r="LY1073" s="22"/>
      <c r="LZ1073" s="22"/>
      <c r="MA1073" s="22"/>
      <c r="MB1073" s="22"/>
      <c r="MC1073" s="22"/>
      <c r="MD1073" s="22"/>
      <c r="ME1073" s="22"/>
      <c r="MF1073" s="22"/>
      <c r="MG1073" s="22"/>
      <c r="MH1073" s="22"/>
      <c r="MI1073" s="22"/>
      <c r="MJ1073" s="22"/>
      <c r="MK1073" s="22"/>
      <c r="ML1073" s="22"/>
      <c r="MM1073" s="22"/>
      <c r="MN1073" s="22"/>
      <c r="MO1073" s="22"/>
      <c r="MP1073" s="22"/>
      <c r="MQ1073" s="22"/>
      <c r="MR1073" s="22"/>
      <c r="MS1073" s="22"/>
      <c r="MT1073" s="22"/>
      <c r="MU1073" s="22"/>
      <c r="MV1073" s="22"/>
      <c r="MW1073" s="22"/>
      <c r="MX1073" s="22"/>
      <c r="MY1073" s="22"/>
      <c r="MZ1073" s="22"/>
      <c r="NA1073" s="22"/>
      <c r="NB1073" s="22"/>
      <c r="NC1073" s="22"/>
      <c r="ND1073" s="22"/>
      <c r="NE1073" s="22"/>
      <c r="NF1073" s="22"/>
      <c r="NG1073" s="22"/>
      <c r="NH1073" s="22"/>
      <c r="NI1073" s="22"/>
      <c r="NJ1073" s="22"/>
      <c r="NK1073" s="22"/>
      <c r="NL1073" s="22"/>
      <c r="NM1073" s="22"/>
      <c r="NN1073" s="22"/>
      <c r="NO1073" s="22"/>
      <c r="NP1073" s="22"/>
      <c r="NQ1073" s="22"/>
      <c r="NR1073" s="22"/>
      <c r="NS1073" s="22"/>
      <c r="NT1073" s="22"/>
      <c r="NU1073" s="22"/>
      <c r="NV1073" s="22"/>
      <c r="NW1073" s="22"/>
      <c r="NX1073" s="22"/>
      <c r="NY1073" s="22"/>
      <c r="NZ1073" s="22"/>
      <c r="OA1073" s="22"/>
      <c r="OB1073" s="22"/>
      <c r="OC1073" s="22"/>
      <c r="OD1073" s="22"/>
      <c r="OE1073" s="22"/>
      <c r="OF1073" s="22"/>
      <c r="OG1073" s="22"/>
      <c r="OH1073" s="22"/>
      <c r="OI1073" s="22"/>
      <c r="OJ1073" s="22"/>
      <c r="OK1073" s="22"/>
      <c r="OL1073" s="22"/>
      <c r="OM1073" s="22"/>
      <c r="ON1073" s="22"/>
      <c r="OO1073" s="22"/>
      <c r="OP1073" s="22"/>
      <c r="OQ1073" s="22"/>
      <c r="OR1073" s="22"/>
      <c r="OS1073" s="22"/>
      <c r="OT1073" s="22"/>
      <c r="OU1073" s="22"/>
      <c r="OV1073" s="22"/>
      <c r="OW1073" s="22"/>
      <c r="OX1073" s="22"/>
      <c r="OY1073" s="22"/>
      <c r="OZ1073" s="22"/>
      <c r="PA1073" s="22"/>
      <c r="PB1073" s="22"/>
      <c r="PC1073" s="22"/>
      <c r="PD1073" s="22"/>
      <c r="PE1073" s="22"/>
      <c r="PF1073" s="22"/>
      <c r="PG1073" s="22"/>
      <c r="PH1073" s="22"/>
      <c r="PI1073" s="22"/>
      <c r="PJ1073" s="22"/>
      <c r="PK1073" s="22"/>
      <c r="PL1073" s="22"/>
      <c r="PM1073" s="22"/>
      <c r="PN1073" s="22"/>
      <c r="PO1073" s="22"/>
      <c r="PP1073" s="22"/>
      <c r="PQ1073" s="22"/>
      <c r="PR1073" s="22"/>
      <c r="PS1073" s="22"/>
      <c r="PT1073" s="22"/>
      <c r="PU1073" s="22"/>
      <c r="PV1073" s="22"/>
      <c r="PW1073" s="22"/>
      <c r="PX1073" s="22"/>
      <c r="PY1073" s="22"/>
      <c r="PZ1073" s="22"/>
      <c r="QA1073" s="22"/>
      <c r="QB1073" s="22"/>
      <c r="QC1073" s="22"/>
      <c r="QD1073" s="22"/>
      <c r="QE1073" s="22"/>
      <c r="QF1073" s="22"/>
      <c r="QG1073" s="22"/>
      <c r="QH1073" s="22"/>
      <c r="QI1073" s="22"/>
      <c r="QJ1073" s="22"/>
      <c r="QK1073" s="22"/>
      <c r="QL1073" s="22"/>
      <c r="QM1073" s="22"/>
      <c r="QN1073" s="22"/>
      <c r="QO1073" s="22"/>
      <c r="QP1073" s="22"/>
      <c r="QQ1073" s="22"/>
      <c r="QR1073" s="22"/>
      <c r="QS1073" s="22"/>
      <c r="QT1073" s="22"/>
      <c r="QU1073" s="22"/>
      <c r="QV1073" s="22"/>
      <c r="QW1073" s="22"/>
      <c r="QX1073" s="22"/>
      <c r="QY1073" s="22"/>
      <c r="QZ1073" s="22"/>
      <c r="RA1073" s="22"/>
      <c r="RB1073" s="22"/>
      <c r="RC1073" s="22"/>
      <c r="RD1073" s="22"/>
      <c r="RE1073" s="22"/>
      <c r="RF1073" s="22"/>
      <c r="RG1073" s="22"/>
      <c r="RH1073" s="22"/>
      <c r="RI1073" s="22"/>
      <c r="RJ1073" s="22"/>
      <c r="RK1073" s="22"/>
      <c r="RL1073" s="22"/>
      <c r="RM1073" s="22"/>
      <c r="RN1073" s="22"/>
      <c r="RO1073" s="22"/>
      <c r="RP1073" s="22"/>
      <c r="RQ1073" s="22"/>
      <c r="RR1073" s="22"/>
      <c r="RS1073" s="22"/>
      <c r="RT1073" s="22"/>
      <c r="RU1073" s="22"/>
      <c r="RV1073" s="22"/>
      <c r="RW1073" s="22"/>
      <c r="RX1073" s="22"/>
      <c r="RY1073" s="22"/>
      <c r="RZ1073" s="22"/>
      <c r="SA1073" s="22"/>
      <c r="SB1073" s="22"/>
      <c r="SC1073" s="22"/>
      <c r="SD1073" s="22"/>
      <c r="SE1073" s="22"/>
      <c r="SF1073" s="22"/>
      <c r="SG1073" s="22"/>
      <c r="SH1073" s="22"/>
      <c r="SI1073" s="22"/>
      <c r="SJ1073" s="22"/>
      <c r="SK1073" s="22"/>
      <c r="SL1073" s="22"/>
      <c r="SM1073" s="22"/>
      <c r="SN1073" s="22"/>
      <c r="SO1073" s="22"/>
      <c r="SP1073" s="22"/>
      <c r="SQ1073" s="22"/>
      <c r="SR1073" s="22"/>
      <c r="SS1073" s="22"/>
      <c r="ST1073" s="22"/>
      <c r="SU1073" s="22"/>
      <c r="SV1073" s="22"/>
      <c r="SW1073" s="22"/>
      <c r="SX1073" s="22"/>
      <c r="SY1073" s="22"/>
      <c r="SZ1073" s="22"/>
      <c r="TA1073" s="22"/>
      <c r="TB1073" s="22"/>
      <c r="TC1073" s="22"/>
      <c r="TD1073" s="22"/>
      <c r="TE1073" s="22"/>
      <c r="TF1073" s="22"/>
      <c r="TG1073" s="22"/>
      <c r="TH1073" s="22"/>
      <c r="TI1073" s="22"/>
      <c r="TJ1073" s="22"/>
      <c r="TK1073" s="22"/>
      <c r="TL1073" s="22"/>
      <c r="TM1073" s="22"/>
      <c r="TN1073" s="22"/>
      <c r="TO1073" s="22"/>
      <c r="TP1073" s="22"/>
      <c r="TQ1073" s="22"/>
      <c r="TR1073" s="22"/>
      <c r="TS1073" s="22"/>
      <c r="TT1073" s="22"/>
      <c r="TU1073" s="22"/>
      <c r="TV1073" s="22"/>
      <c r="TW1073" s="22"/>
      <c r="TX1073" s="22"/>
      <c r="TY1073" s="22"/>
      <c r="TZ1073" s="22"/>
      <c r="UA1073" s="22"/>
      <c r="UB1073" s="22"/>
      <c r="UC1073" s="22"/>
      <c r="UD1073" s="22"/>
      <c r="UE1073" s="22"/>
      <c r="UF1073" s="22"/>
      <c r="UG1073" s="23"/>
    </row>
    <row r="1074" spans="1:553" ht="30.75" customHeight="1">
      <c r="A1074" s="356" t="s">
        <v>17</v>
      </c>
      <c r="B1074" s="356"/>
      <c r="C1074" s="1431" t="s">
        <v>18</v>
      </c>
      <c r="D1074" s="1389"/>
      <c r="E1074" s="1389"/>
      <c r="F1074" s="1390"/>
      <c r="G1074" s="356" t="s">
        <v>1393</v>
      </c>
      <c r="H1074" s="359">
        <f>SUM(H1075:H1096)</f>
        <v>6508.5000000000009</v>
      </c>
      <c r="I1074" s="359">
        <f>SUM(I1075:I1096)</f>
        <v>5770.8000000000011</v>
      </c>
      <c r="J1074" s="357"/>
      <c r="K1074" s="364"/>
      <c r="L1074" s="356">
        <f>SUM(L1075:L1096)</f>
        <v>473251300</v>
      </c>
      <c r="M1074" s="356"/>
      <c r="N1074" s="356"/>
      <c r="O1074" s="356"/>
      <c r="P1074" s="356">
        <f>L1074</f>
        <v>473251300</v>
      </c>
      <c r="Q1074" s="1084"/>
      <c r="R1074" s="1447" t="s">
        <v>872</v>
      </c>
      <c r="S1074" s="308"/>
      <c r="T1074" s="308"/>
      <c r="U1074" s="308"/>
      <c r="V1074" s="308"/>
      <c r="W1074" s="308"/>
      <c r="X1074" s="308"/>
      <c r="Y1074" s="308"/>
      <c r="Z1074" s="604"/>
      <c r="AA1074" s="308"/>
      <c r="AB1074" s="308"/>
      <c r="AC1074" s="365"/>
      <c r="AD1074" s="365"/>
      <c r="AE1074" s="365"/>
      <c r="AF1074" s="365"/>
      <c r="AG1074" s="365"/>
      <c r="AH1074" s="365"/>
      <c r="AI1074" s="365"/>
      <c r="AJ1074" s="365"/>
      <c r="AK1074" s="377"/>
      <c r="AL1074" s="343"/>
      <c r="AM1074" s="24"/>
      <c r="AN1074" s="24"/>
      <c r="AO1074" s="16"/>
      <c r="AP1074" s="24"/>
      <c r="AQ1074" s="24"/>
      <c r="AR1074" s="24"/>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c r="BM1074" s="18"/>
      <c r="BN1074" s="18"/>
      <c r="BO1074" s="18"/>
      <c r="BP1074" s="18"/>
      <c r="BQ1074" s="18"/>
      <c r="BR1074" s="18"/>
      <c r="BS1074" s="18"/>
      <c r="BT1074" s="18"/>
      <c r="BU1074" s="18"/>
      <c r="BV1074" s="18"/>
      <c r="BW1074" s="18"/>
      <c r="BX1074" s="18"/>
      <c r="BY1074" s="18"/>
      <c r="BZ1074" s="18"/>
      <c r="CA1074" s="18"/>
      <c r="CB1074" s="18"/>
      <c r="CC1074" s="18"/>
      <c r="CD1074" s="18"/>
      <c r="CE1074" s="18"/>
      <c r="CF1074" s="18"/>
      <c r="CG1074" s="18"/>
      <c r="CH1074" s="18"/>
      <c r="CI1074" s="18"/>
      <c r="CJ1074" s="18"/>
      <c r="CK1074" s="18"/>
      <c r="CL1074" s="18"/>
      <c r="CM1074" s="18"/>
      <c r="CN1074" s="18"/>
      <c r="CO1074" s="18"/>
      <c r="CP1074" s="18"/>
      <c r="CQ1074" s="18"/>
      <c r="CR1074" s="18"/>
      <c r="CS1074" s="18"/>
      <c r="CT1074" s="18"/>
      <c r="CU1074" s="18"/>
      <c r="CV1074" s="18"/>
      <c r="CW1074" s="18"/>
      <c r="CX1074" s="18"/>
      <c r="CY1074" s="18"/>
      <c r="CZ1074" s="18"/>
      <c r="DA1074" s="18"/>
      <c r="DB1074" s="18"/>
      <c r="DC1074" s="18"/>
      <c r="DD1074" s="18"/>
      <c r="DE1074" s="18"/>
      <c r="DF1074" s="18"/>
      <c r="DG1074" s="18"/>
      <c r="DH1074" s="18"/>
      <c r="DI1074" s="18"/>
      <c r="DJ1074" s="18"/>
      <c r="DK1074" s="18"/>
      <c r="DL1074" s="18"/>
      <c r="DM1074" s="18"/>
      <c r="DN1074" s="18"/>
      <c r="DO1074" s="18"/>
      <c r="DP1074" s="18"/>
      <c r="DQ1074" s="18"/>
      <c r="DR1074" s="18"/>
      <c r="DS1074" s="18"/>
      <c r="DT1074" s="18"/>
      <c r="DU1074" s="18"/>
      <c r="DV1074" s="18"/>
      <c r="DW1074" s="18"/>
      <c r="DX1074" s="18"/>
      <c r="DY1074" s="18"/>
      <c r="DZ1074" s="18"/>
      <c r="EA1074" s="18"/>
      <c r="EB1074" s="18"/>
      <c r="EC1074" s="18"/>
      <c r="ED1074" s="18"/>
      <c r="EE1074" s="18"/>
      <c r="EF1074" s="18"/>
      <c r="EG1074" s="18"/>
      <c r="EH1074" s="18"/>
      <c r="EI1074" s="18"/>
      <c r="EJ1074" s="18"/>
      <c r="EK1074" s="18"/>
      <c r="EL1074" s="18"/>
      <c r="EM1074" s="18"/>
      <c r="EN1074" s="18"/>
      <c r="EO1074" s="18"/>
      <c r="EP1074" s="18"/>
      <c r="EQ1074" s="18"/>
      <c r="ER1074" s="18"/>
      <c r="ES1074" s="18"/>
      <c r="ET1074" s="18"/>
      <c r="EU1074" s="18"/>
      <c r="EV1074" s="18"/>
      <c r="EW1074" s="18"/>
      <c r="EX1074" s="18"/>
      <c r="EY1074" s="18"/>
      <c r="EZ1074" s="18"/>
      <c r="FA1074" s="18"/>
      <c r="FB1074" s="18"/>
      <c r="FC1074" s="18"/>
      <c r="FD1074" s="18"/>
      <c r="FE1074" s="18"/>
      <c r="FF1074" s="18"/>
      <c r="FG1074" s="18"/>
      <c r="FH1074" s="18"/>
      <c r="FI1074" s="18"/>
      <c r="FJ1074" s="18"/>
      <c r="FK1074" s="18"/>
      <c r="FL1074" s="18"/>
      <c r="FM1074" s="18"/>
      <c r="FN1074" s="18"/>
      <c r="FO1074" s="18"/>
      <c r="FP1074" s="18"/>
      <c r="FQ1074" s="18"/>
      <c r="FR1074" s="18"/>
      <c r="FS1074" s="18"/>
      <c r="FT1074" s="18"/>
      <c r="FU1074" s="18"/>
      <c r="FV1074" s="18"/>
      <c r="FW1074" s="18"/>
      <c r="FX1074" s="18"/>
      <c r="FY1074" s="18"/>
      <c r="FZ1074" s="18"/>
      <c r="GA1074" s="18"/>
      <c r="GB1074" s="18"/>
      <c r="GC1074" s="18"/>
      <c r="GD1074" s="18"/>
      <c r="GE1074" s="18"/>
      <c r="GF1074" s="18"/>
      <c r="GG1074" s="18"/>
      <c r="GH1074" s="18"/>
      <c r="GI1074" s="18"/>
      <c r="GJ1074" s="18"/>
      <c r="GK1074" s="18"/>
      <c r="GL1074" s="18"/>
      <c r="GM1074" s="18"/>
      <c r="GN1074" s="18"/>
      <c r="GO1074" s="18"/>
      <c r="GP1074" s="18"/>
      <c r="GQ1074" s="18"/>
      <c r="GR1074" s="18"/>
      <c r="GS1074" s="18"/>
      <c r="GT1074" s="18"/>
      <c r="GU1074" s="18"/>
      <c r="GV1074" s="18"/>
      <c r="GW1074" s="18"/>
      <c r="GX1074" s="18"/>
      <c r="GY1074" s="18"/>
      <c r="GZ1074" s="18"/>
      <c r="HA1074" s="18"/>
      <c r="HB1074" s="18"/>
      <c r="HC1074" s="18"/>
      <c r="HD1074" s="18"/>
      <c r="HE1074" s="18"/>
      <c r="HF1074" s="18"/>
      <c r="HG1074" s="18"/>
      <c r="HH1074" s="18"/>
      <c r="HI1074" s="18"/>
      <c r="HJ1074" s="18"/>
      <c r="HK1074" s="18"/>
      <c r="HL1074" s="18"/>
      <c r="HM1074" s="18"/>
      <c r="HN1074" s="18"/>
      <c r="HO1074" s="18"/>
      <c r="HP1074" s="18"/>
      <c r="HQ1074" s="18"/>
      <c r="HR1074" s="18"/>
      <c r="HS1074" s="18"/>
      <c r="HT1074" s="18"/>
      <c r="HU1074" s="18"/>
      <c r="HV1074" s="18"/>
      <c r="HW1074" s="18"/>
      <c r="HX1074" s="18"/>
      <c r="HY1074" s="18"/>
      <c r="HZ1074" s="18"/>
      <c r="IA1074" s="18"/>
      <c r="IB1074" s="18"/>
      <c r="IC1074" s="18"/>
      <c r="ID1074" s="18"/>
      <c r="IE1074" s="18"/>
      <c r="IF1074" s="18"/>
      <c r="IG1074" s="18"/>
      <c r="IH1074" s="18"/>
      <c r="II1074" s="18"/>
      <c r="IJ1074" s="18"/>
      <c r="IK1074" s="18"/>
      <c r="IL1074" s="18"/>
      <c r="IM1074" s="18"/>
      <c r="IN1074" s="18"/>
      <c r="IO1074" s="18"/>
      <c r="IP1074" s="18"/>
      <c r="IQ1074" s="18"/>
      <c r="IR1074" s="18"/>
      <c r="IS1074" s="18"/>
      <c r="IT1074" s="18"/>
      <c r="IU1074" s="18"/>
      <c r="IV1074" s="18"/>
      <c r="IW1074" s="18"/>
      <c r="IX1074" s="18"/>
      <c r="IY1074" s="18"/>
      <c r="IZ1074" s="18"/>
      <c r="JA1074" s="18"/>
      <c r="JB1074" s="18"/>
      <c r="JC1074" s="18"/>
      <c r="JD1074" s="18"/>
      <c r="JE1074" s="18"/>
      <c r="JF1074" s="18"/>
      <c r="JG1074" s="18"/>
      <c r="JH1074" s="18"/>
      <c r="JI1074" s="18"/>
      <c r="JJ1074" s="18"/>
      <c r="JK1074" s="18"/>
      <c r="JL1074" s="18"/>
      <c r="JM1074" s="18"/>
      <c r="JN1074" s="18"/>
      <c r="JO1074" s="18"/>
      <c r="JP1074" s="18"/>
      <c r="JQ1074" s="18"/>
      <c r="JR1074" s="18"/>
      <c r="JS1074" s="18"/>
      <c r="JT1074" s="18"/>
      <c r="JU1074" s="18"/>
      <c r="JV1074" s="18"/>
      <c r="JW1074" s="18"/>
      <c r="JX1074" s="18"/>
      <c r="JY1074" s="18"/>
      <c r="JZ1074" s="18"/>
      <c r="KA1074" s="18"/>
      <c r="KB1074" s="18"/>
      <c r="KC1074" s="18"/>
      <c r="KD1074" s="18"/>
      <c r="KE1074" s="18"/>
      <c r="KF1074" s="18"/>
      <c r="KG1074" s="18"/>
      <c r="KH1074" s="18"/>
      <c r="KI1074" s="18"/>
      <c r="KJ1074" s="18"/>
      <c r="KK1074" s="18"/>
      <c r="KL1074" s="18"/>
      <c r="KM1074" s="18"/>
      <c r="KN1074" s="18"/>
      <c r="KO1074" s="18"/>
      <c r="KP1074" s="18"/>
      <c r="KQ1074" s="18"/>
      <c r="KR1074" s="18"/>
      <c r="KS1074" s="18"/>
      <c r="KT1074" s="18"/>
      <c r="KU1074" s="18"/>
      <c r="KV1074" s="18"/>
      <c r="KW1074" s="18"/>
      <c r="KX1074" s="18"/>
      <c r="KY1074" s="18"/>
      <c r="KZ1074" s="18"/>
      <c r="LA1074" s="18"/>
      <c r="LB1074" s="18"/>
      <c r="LC1074" s="18"/>
      <c r="LD1074" s="18"/>
      <c r="LE1074" s="18"/>
      <c r="LF1074" s="18"/>
      <c r="LG1074" s="18"/>
      <c r="LH1074" s="18"/>
      <c r="LI1074" s="18"/>
      <c r="LJ1074" s="18"/>
      <c r="LK1074" s="18"/>
      <c r="LL1074" s="18"/>
      <c r="LM1074" s="18"/>
      <c r="LN1074" s="18"/>
      <c r="LO1074" s="18"/>
      <c r="LP1074" s="18"/>
      <c r="LQ1074" s="18"/>
      <c r="LR1074" s="18"/>
      <c r="LS1074" s="18"/>
      <c r="LT1074" s="18"/>
      <c r="LU1074" s="18"/>
      <c r="LV1074" s="18"/>
      <c r="LW1074" s="18"/>
      <c r="LX1074" s="18"/>
      <c r="LY1074" s="18"/>
      <c r="LZ1074" s="18"/>
      <c r="MA1074" s="18"/>
      <c r="MB1074" s="18"/>
      <c r="MC1074" s="18"/>
      <c r="MD1074" s="18"/>
      <c r="ME1074" s="18"/>
      <c r="MF1074" s="18"/>
      <c r="MG1074" s="18"/>
      <c r="MH1074" s="18"/>
      <c r="MI1074" s="18"/>
      <c r="MJ1074" s="18"/>
      <c r="MK1074" s="18"/>
      <c r="ML1074" s="18"/>
      <c r="MM1074" s="18"/>
      <c r="MN1074" s="18"/>
      <c r="MO1074" s="18"/>
      <c r="MP1074" s="18"/>
      <c r="MQ1074" s="18"/>
      <c r="MR1074" s="18"/>
      <c r="MS1074" s="18"/>
      <c r="MT1074" s="18"/>
      <c r="MU1074" s="18"/>
      <c r="MV1074" s="18"/>
      <c r="MW1074" s="18"/>
      <c r="MX1074" s="18"/>
      <c r="MY1074" s="18"/>
      <c r="MZ1074" s="18"/>
      <c r="NA1074" s="18"/>
      <c r="NB1074" s="18"/>
      <c r="NC1074" s="18"/>
      <c r="ND1074" s="18"/>
      <c r="NE1074" s="18"/>
      <c r="NF1074" s="18"/>
      <c r="NG1074" s="18"/>
      <c r="NH1074" s="18"/>
      <c r="NI1074" s="18"/>
      <c r="NJ1074" s="18"/>
      <c r="NK1074" s="18"/>
      <c r="NL1074" s="18"/>
      <c r="NM1074" s="18"/>
      <c r="NN1074" s="18"/>
      <c r="NO1074" s="18"/>
      <c r="NP1074" s="18"/>
      <c r="NQ1074" s="18"/>
      <c r="NR1074" s="18"/>
      <c r="NS1074" s="18"/>
      <c r="NT1074" s="18"/>
      <c r="NU1074" s="18"/>
      <c r="NV1074" s="18"/>
      <c r="NW1074" s="18"/>
      <c r="NX1074" s="18"/>
      <c r="NY1074" s="18"/>
      <c r="NZ1074" s="18"/>
      <c r="OA1074" s="18"/>
      <c r="OB1074" s="18"/>
      <c r="OC1074" s="18"/>
      <c r="OD1074" s="18"/>
      <c r="OE1074" s="18"/>
      <c r="OF1074" s="18"/>
      <c r="OG1074" s="18"/>
      <c r="OH1074" s="18"/>
      <c r="OI1074" s="18"/>
      <c r="OJ1074" s="18"/>
      <c r="OK1074" s="18"/>
      <c r="OL1074" s="18"/>
      <c r="OM1074" s="18"/>
      <c r="ON1074" s="18"/>
      <c r="OO1074" s="18"/>
      <c r="OP1074" s="18"/>
      <c r="OQ1074" s="18"/>
      <c r="OR1074" s="18"/>
      <c r="OS1074" s="18"/>
      <c r="OT1074" s="18"/>
      <c r="OU1074" s="18"/>
      <c r="OV1074" s="18"/>
      <c r="OW1074" s="18"/>
      <c r="OX1074" s="18"/>
      <c r="OY1074" s="18"/>
      <c r="OZ1074" s="18"/>
      <c r="PA1074" s="18"/>
      <c r="PB1074" s="18"/>
      <c r="PC1074" s="18"/>
      <c r="PD1074" s="18"/>
      <c r="PE1074" s="18"/>
      <c r="PF1074" s="18"/>
      <c r="PG1074" s="18"/>
      <c r="PH1074" s="18"/>
      <c r="PI1074" s="18"/>
      <c r="PJ1074" s="18"/>
      <c r="PK1074" s="18"/>
      <c r="PL1074" s="18"/>
      <c r="PM1074" s="18"/>
      <c r="PN1074" s="18"/>
      <c r="PO1074" s="18"/>
      <c r="PP1074" s="18"/>
      <c r="PQ1074" s="18"/>
      <c r="PR1074" s="18"/>
      <c r="PS1074" s="18"/>
      <c r="PT1074" s="18"/>
      <c r="PU1074" s="18"/>
      <c r="PV1074" s="18"/>
      <c r="PW1074" s="18"/>
      <c r="PX1074" s="18"/>
      <c r="PY1074" s="18"/>
      <c r="PZ1074" s="18"/>
      <c r="QA1074" s="18"/>
      <c r="QB1074" s="18"/>
      <c r="QC1074" s="18"/>
      <c r="QD1074" s="18"/>
      <c r="QE1074" s="18"/>
      <c r="QF1074" s="18"/>
      <c r="QG1074" s="18"/>
      <c r="QH1074" s="18"/>
      <c r="QI1074" s="18"/>
      <c r="QJ1074" s="18"/>
      <c r="QK1074" s="18"/>
      <c r="QL1074" s="18"/>
      <c r="QM1074" s="18"/>
      <c r="QN1074" s="18"/>
      <c r="QO1074" s="18"/>
      <c r="QP1074" s="18"/>
      <c r="QQ1074" s="18"/>
      <c r="QR1074" s="18"/>
      <c r="QS1074" s="18"/>
      <c r="QT1074" s="18"/>
      <c r="QU1074" s="18"/>
      <c r="QV1074" s="18"/>
      <c r="QW1074" s="18"/>
      <c r="QX1074" s="18"/>
      <c r="QY1074" s="18"/>
      <c r="QZ1074" s="18"/>
      <c r="RA1074" s="18"/>
      <c r="RB1074" s="18"/>
      <c r="RC1074" s="18"/>
      <c r="RD1074" s="18"/>
      <c r="RE1074" s="18"/>
      <c r="RF1074" s="18"/>
      <c r="RG1074" s="18"/>
      <c r="RH1074" s="18"/>
      <c r="RI1074" s="18"/>
      <c r="RJ1074" s="18"/>
      <c r="RK1074" s="18"/>
      <c r="RL1074" s="18"/>
      <c r="RM1074" s="18"/>
      <c r="RN1074" s="18"/>
      <c r="RO1074" s="18"/>
      <c r="RP1074" s="18"/>
      <c r="RQ1074" s="18"/>
      <c r="RR1074" s="18"/>
      <c r="RS1074" s="18"/>
      <c r="RT1074" s="18"/>
      <c r="RU1074" s="18"/>
      <c r="RV1074" s="18"/>
      <c r="RW1074" s="18"/>
      <c r="RX1074" s="18"/>
      <c r="RY1074" s="18"/>
      <c r="RZ1074" s="18"/>
      <c r="SA1074" s="18"/>
      <c r="SB1074" s="18"/>
      <c r="SC1074" s="18"/>
      <c r="SD1074" s="18"/>
      <c r="SE1074" s="18"/>
      <c r="SF1074" s="18"/>
      <c r="SG1074" s="18"/>
      <c r="SH1074" s="18"/>
      <c r="SI1074" s="18"/>
      <c r="SJ1074" s="18"/>
      <c r="SK1074" s="18"/>
      <c r="SL1074" s="18"/>
      <c r="SM1074" s="18"/>
      <c r="SN1074" s="18"/>
      <c r="SO1074" s="18"/>
      <c r="SP1074" s="18"/>
      <c r="SQ1074" s="18"/>
      <c r="SR1074" s="18"/>
      <c r="SS1074" s="18"/>
      <c r="ST1074" s="18"/>
      <c r="SU1074" s="18"/>
      <c r="SV1074" s="18"/>
      <c r="SW1074" s="18"/>
      <c r="SX1074" s="18"/>
      <c r="SY1074" s="18"/>
      <c r="SZ1074" s="18"/>
      <c r="TA1074" s="18"/>
      <c r="TB1074" s="18"/>
      <c r="TC1074" s="18"/>
      <c r="TD1074" s="18"/>
      <c r="TE1074" s="18"/>
      <c r="TF1074" s="18"/>
      <c r="TG1074" s="18"/>
      <c r="TH1074" s="18"/>
      <c r="TI1074" s="18"/>
      <c r="TJ1074" s="18"/>
      <c r="TK1074" s="18"/>
      <c r="TL1074" s="18"/>
      <c r="TM1074" s="18"/>
      <c r="TN1074" s="18"/>
      <c r="TO1074" s="18"/>
      <c r="TP1074" s="18"/>
      <c r="TQ1074" s="18"/>
      <c r="TR1074" s="18"/>
      <c r="TS1074" s="18"/>
      <c r="TT1074" s="18"/>
      <c r="TU1074" s="18"/>
      <c r="TV1074" s="18"/>
      <c r="TW1074" s="18"/>
      <c r="TX1074" s="18"/>
      <c r="TY1074" s="18"/>
      <c r="TZ1074" s="18"/>
      <c r="UA1074" s="18"/>
      <c r="UB1074" s="18"/>
      <c r="UC1074" s="18"/>
      <c r="UD1074" s="18"/>
      <c r="UE1074" s="18"/>
      <c r="UF1074" s="18"/>
      <c r="UG1074" s="19"/>
    </row>
    <row r="1075" spans="1:553" ht="78.75" customHeight="1">
      <c r="A1075" s="356" t="s">
        <v>15</v>
      </c>
      <c r="B1075" s="385"/>
      <c r="C1075" s="384" t="s">
        <v>19</v>
      </c>
      <c r="D1075" s="1432" t="s">
        <v>20</v>
      </c>
      <c r="E1075" s="1432">
        <v>442</v>
      </c>
      <c r="F1075" s="1435">
        <v>1</v>
      </c>
      <c r="G1075" s="1469" t="s">
        <v>935</v>
      </c>
      <c r="H1075" s="1516">
        <v>1615.8</v>
      </c>
      <c r="I1075" s="1070">
        <v>400</v>
      </c>
      <c r="J1075" s="368">
        <v>390000</v>
      </c>
      <c r="K1075" s="684"/>
      <c r="L1075" s="366">
        <f t="shared" ref="L1075:L1096" si="165">PRODUCT(I1075:K1075)</f>
        <v>156000000</v>
      </c>
      <c r="M1075" s="451" t="s">
        <v>88</v>
      </c>
      <c r="N1075" s="392">
        <v>198000</v>
      </c>
      <c r="O1075" s="366">
        <f>I1075*M1075*N1075</f>
        <v>31680000</v>
      </c>
      <c r="P1075" s="366"/>
      <c r="Q1075" s="1415" t="s">
        <v>604</v>
      </c>
      <c r="R1075" s="1452"/>
      <c r="S1075" s="308"/>
      <c r="T1075" s="308"/>
      <c r="U1075" s="308"/>
      <c r="V1075" s="308"/>
      <c r="W1075" s="308"/>
      <c r="X1075" s="308"/>
      <c r="Y1075" s="308"/>
      <c r="Z1075" s="604"/>
      <c r="AA1075" s="308"/>
      <c r="AB1075" s="308"/>
      <c r="AC1075" s="373">
        <f>I1075</f>
        <v>400</v>
      </c>
      <c r="AD1075" s="373"/>
      <c r="AE1075" s="373"/>
      <c r="AF1075" s="373"/>
      <c r="AG1075" s="373"/>
      <c r="AH1075" s="373"/>
      <c r="AI1075" s="373"/>
      <c r="AJ1075" s="373"/>
      <c r="AK1075" s="389"/>
      <c r="AL1075" s="100"/>
      <c r="AM1075" s="27"/>
      <c r="AN1075" s="27"/>
      <c r="AO1075" s="27"/>
      <c r="AP1075" s="27"/>
      <c r="AQ1075" s="27"/>
      <c r="AR1075" s="27"/>
      <c r="AS1075" s="22"/>
      <c r="AT1075" s="22"/>
      <c r="AU1075" s="22"/>
      <c r="AV1075" s="22"/>
      <c r="AW1075" s="22"/>
      <c r="AX1075" s="22"/>
      <c r="AY1075" s="22"/>
      <c r="AZ1075" s="22"/>
      <c r="BA1075" s="22"/>
      <c r="BB1075" s="22"/>
      <c r="BC1075" s="22"/>
      <c r="BD1075" s="22"/>
      <c r="BE1075" s="22"/>
      <c r="BF1075" s="22"/>
      <c r="BG1075" s="22"/>
      <c r="BH1075" s="22"/>
      <c r="BI1075" s="22"/>
      <c r="BJ1075" s="22"/>
      <c r="BK1075" s="22"/>
      <c r="BL1075" s="22"/>
      <c r="BM1075" s="22"/>
      <c r="BN1075" s="22"/>
      <c r="BO1075" s="22"/>
      <c r="BP1075" s="22"/>
      <c r="BQ1075" s="22"/>
      <c r="BR1075" s="22"/>
      <c r="BS1075" s="22"/>
      <c r="BT1075" s="22"/>
      <c r="BU1075" s="22"/>
      <c r="BV1075" s="22"/>
      <c r="BW1075" s="22"/>
      <c r="BX1075" s="22"/>
      <c r="BY1075" s="22"/>
      <c r="BZ1075" s="22"/>
      <c r="CA1075" s="22"/>
      <c r="CB1075" s="22"/>
      <c r="CC1075" s="22"/>
      <c r="CD1075" s="22"/>
      <c r="CE1075" s="22"/>
      <c r="CF1075" s="22"/>
      <c r="CG1075" s="22"/>
      <c r="CH1075" s="22"/>
      <c r="CI1075" s="22"/>
      <c r="CJ1075" s="22"/>
      <c r="CK1075" s="22"/>
      <c r="CL1075" s="22"/>
      <c r="CM1075" s="22"/>
      <c r="CN1075" s="22"/>
      <c r="CO1075" s="22"/>
      <c r="CP1075" s="22"/>
      <c r="CQ1075" s="22"/>
      <c r="CR1075" s="22"/>
      <c r="CS1075" s="22"/>
      <c r="CT1075" s="22"/>
      <c r="CU1075" s="22"/>
      <c r="CV1075" s="22"/>
      <c r="CW1075" s="22"/>
      <c r="CX1075" s="22"/>
      <c r="CY1075" s="22"/>
      <c r="CZ1075" s="22"/>
      <c r="DA1075" s="22"/>
      <c r="DB1075" s="22"/>
      <c r="DC1075" s="22"/>
      <c r="DD1075" s="22"/>
      <c r="DE1075" s="22"/>
      <c r="DF1075" s="22"/>
      <c r="DG1075" s="22"/>
      <c r="DH1075" s="22"/>
      <c r="DI1075" s="22"/>
      <c r="DJ1075" s="22"/>
      <c r="DK1075" s="22"/>
      <c r="DL1075" s="22"/>
      <c r="DM1075" s="22"/>
      <c r="DN1075" s="22"/>
      <c r="DO1075" s="22"/>
      <c r="DP1075" s="22"/>
      <c r="DQ1075" s="22"/>
      <c r="DR1075" s="22"/>
      <c r="DS1075" s="22"/>
      <c r="DT1075" s="22"/>
      <c r="DU1075" s="22"/>
      <c r="DV1075" s="22"/>
      <c r="DW1075" s="22"/>
      <c r="DX1075" s="22"/>
      <c r="DY1075" s="22"/>
      <c r="DZ1075" s="22"/>
      <c r="EA1075" s="22"/>
      <c r="EB1075" s="22"/>
      <c r="EC1075" s="22"/>
      <c r="ED1075" s="22"/>
      <c r="EE1075" s="22"/>
      <c r="EF1075" s="22"/>
      <c r="EG1075" s="22"/>
      <c r="EH1075" s="22"/>
      <c r="EI1075" s="22"/>
      <c r="EJ1075" s="22"/>
      <c r="EK1075" s="22"/>
      <c r="EL1075" s="22"/>
      <c r="EM1075" s="22"/>
      <c r="EN1075" s="22"/>
      <c r="EO1075" s="22"/>
      <c r="EP1075" s="22"/>
      <c r="EQ1075" s="22"/>
      <c r="ER1075" s="22"/>
      <c r="ES1075" s="22"/>
      <c r="ET1075" s="22"/>
      <c r="EU1075" s="22"/>
      <c r="EV1075" s="22"/>
      <c r="EW1075" s="22"/>
      <c r="EX1075" s="22"/>
      <c r="EY1075" s="22"/>
      <c r="EZ1075" s="22"/>
      <c r="FA1075" s="22"/>
      <c r="FB1075" s="22"/>
      <c r="FC1075" s="22"/>
      <c r="FD1075" s="22"/>
      <c r="FE1075" s="22"/>
      <c r="FF1075" s="22"/>
      <c r="FG1075" s="22"/>
      <c r="FH1075" s="22"/>
      <c r="FI1075" s="22"/>
      <c r="FJ1075" s="22"/>
      <c r="FK1075" s="22"/>
      <c r="FL1075" s="22"/>
      <c r="FM1075" s="22"/>
      <c r="FN1075" s="22"/>
      <c r="FO1075" s="22"/>
      <c r="FP1075" s="22"/>
      <c r="FQ1075" s="22"/>
      <c r="FR1075" s="22"/>
      <c r="FS1075" s="22"/>
      <c r="FT1075" s="22"/>
      <c r="FU1075" s="22"/>
      <c r="FV1075" s="22"/>
      <c r="FW1075" s="22"/>
      <c r="FX1075" s="22"/>
      <c r="FY1075" s="22"/>
      <c r="FZ1075" s="22"/>
      <c r="GA1075" s="22"/>
      <c r="GB1075" s="22"/>
      <c r="GC1075" s="22"/>
      <c r="GD1075" s="22"/>
      <c r="GE1075" s="22"/>
      <c r="GF1075" s="22"/>
      <c r="GG1075" s="22"/>
      <c r="GH1075" s="22"/>
      <c r="GI1075" s="22"/>
      <c r="GJ1075" s="22"/>
      <c r="GK1075" s="22"/>
      <c r="GL1075" s="22"/>
      <c r="GM1075" s="22"/>
      <c r="GN1075" s="22"/>
      <c r="GO1075" s="22"/>
      <c r="GP1075" s="22"/>
      <c r="GQ1075" s="22"/>
      <c r="GR1075" s="22"/>
      <c r="GS1075" s="22"/>
      <c r="GT1075" s="22"/>
      <c r="GU1075" s="22"/>
      <c r="GV1075" s="22"/>
      <c r="GW1075" s="22"/>
      <c r="GX1075" s="22"/>
      <c r="GY1075" s="22"/>
      <c r="GZ1075" s="22"/>
      <c r="HA1075" s="22"/>
      <c r="HB1075" s="22"/>
      <c r="HC1075" s="22"/>
      <c r="HD1075" s="22"/>
      <c r="HE1075" s="22"/>
      <c r="HF1075" s="22"/>
      <c r="HG1075" s="22"/>
      <c r="HH1075" s="22"/>
      <c r="HI1075" s="22"/>
      <c r="HJ1075" s="22"/>
      <c r="HK1075" s="22"/>
      <c r="HL1075" s="22"/>
      <c r="HM1075" s="22"/>
      <c r="HN1075" s="22"/>
      <c r="HO1075" s="22"/>
      <c r="HP1075" s="22"/>
      <c r="HQ1075" s="22"/>
      <c r="HR1075" s="22"/>
      <c r="HS1075" s="22"/>
      <c r="HT1075" s="22"/>
      <c r="HU1075" s="22"/>
      <c r="HV1075" s="22"/>
      <c r="HW1075" s="22"/>
      <c r="HX1075" s="22"/>
      <c r="HY1075" s="22"/>
      <c r="HZ1075" s="22"/>
      <c r="IA1075" s="22"/>
      <c r="IB1075" s="22"/>
      <c r="IC1075" s="22"/>
      <c r="ID1075" s="22"/>
      <c r="IE1075" s="22"/>
      <c r="IF1075" s="22"/>
      <c r="IG1075" s="22"/>
      <c r="IH1075" s="22"/>
      <c r="II1075" s="22"/>
      <c r="IJ1075" s="22"/>
      <c r="IK1075" s="22"/>
      <c r="IL1075" s="22"/>
      <c r="IM1075" s="22"/>
      <c r="IN1075" s="22"/>
      <c r="IO1075" s="22"/>
      <c r="IP1075" s="22"/>
      <c r="IQ1075" s="22"/>
      <c r="IR1075" s="22"/>
      <c r="IS1075" s="22"/>
      <c r="IT1075" s="22"/>
      <c r="IU1075" s="22"/>
      <c r="IV1075" s="22"/>
      <c r="IW1075" s="22"/>
      <c r="IX1075" s="22"/>
      <c r="IY1075" s="22"/>
      <c r="IZ1075" s="22"/>
      <c r="JA1075" s="22"/>
      <c r="JB1075" s="22"/>
      <c r="JC1075" s="22"/>
      <c r="JD1075" s="22"/>
      <c r="JE1075" s="22"/>
      <c r="JF1075" s="22"/>
      <c r="JG1075" s="22"/>
      <c r="JH1075" s="22"/>
      <c r="JI1075" s="22"/>
      <c r="JJ1075" s="22"/>
      <c r="JK1075" s="22"/>
      <c r="JL1075" s="22"/>
      <c r="JM1075" s="22"/>
      <c r="JN1075" s="22"/>
      <c r="JO1075" s="22"/>
      <c r="JP1075" s="22"/>
      <c r="JQ1075" s="22"/>
      <c r="JR1075" s="22"/>
      <c r="JS1075" s="22"/>
      <c r="JT1075" s="22"/>
      <c r="JU1075" s="22"/>
      <c r="JV1075" s="22"/>
      <c r="JW1075" s="22"/>
      <c r="JX1075" s="22"/>
      <c r="JY1075" s="22"/>
      <c r="JZ1075" s="22"/>
      <c r="KA1075" s="22"/>
      <c r="KB1075" s="22"/>
      <c r="KC1075" s="22"/>
      <c r="KD1075" s="22"/>
      <c r="KE1075" s="22"/>
      <c r="KF1075" s="22"/>
      <c r="KG1075" s="22"/>
      <c r="KH1075" s="22"/>
      <c r="KI1075" s="22"/>
      <c r="KJ1075" s="22"/>
      <c r="KK1075" s="22"/>
      <c r="KL1075" s="22"/>
      <c r="KM1075" s="22"/>
      <c r="KN1075" s="22"/>
      <c r="KO1075" s="22"/>
      <c r="KP1075" s="22"/>
      <c r="KQ1075" s="22"/>
      <c r="KR1075" s="22"/>
      <c r="KS1075" s="22"/>
      <c r="KT1075" s="22"/>
      <c r="KU1075" s="22"/>
      <c r="KV1075" s="22"/>
      <c r="KW1075" s="22"/>
      <c r="KX1075" s="22"/>
      <c r="KY1075" s="22"/>
      <c r="KZ1075" s="22"/>
      <c r="LA1075" s="22"/>
      <c r="LB1075" s="22"/>
      <c r="LC1075" s="22"/>
      <c r="LD1075" s="22"/>
      <c r="LE1075" s="22"/>
      <c r="LF1075" s="22"/>
      <c r="LG1075" s="22"/>
      <c r="LH1075" s="22"/>
      <c r="LI1075" s="22"/>
      <c r="LJ1075" s="22"/>
      <c r="LK1075" s="22"/>
      <c r="LL1075" s="22"/>
      <c r="LM1075" s="22"/>
      <c r="LN1075" s="22"/>
      <c r="LO1075" s="22"/>
      <c r="LP1075" s="22"/>
      <c r="LQ1075" s="22"/>
      <c r="LR1075" s="22"/>
      <c r="LS1075" s="22"/>
      <c r="LT1075" s="22"/>
      <c r="LU1075" s="22"/>
      <c r="LV1075" s="22"/>
      <c r="LW1075" s="22"/>
      <c r="LX1075" s="22"/>
      <c r="LY1075" s="22"/>
      <c r="LZ1075" s="22"/>
      <c r="MA1075" s="22"/>
      <c r="MB1075" s="22"/>
      <c r="MC1075" s="22"/>
      <c r="MD1075" s="22"/>
      <c r="ME1075" s="22"/>
      <c r="MF1075" s="22"/>
      <c r="MG1075" s="22"/>
      <c r="MH1075" s="22"/>
      <c r="MI1075" s="22"/>
      <c r="MJ1075" s="22"/>
      <c r="MK1075" s="22"/>
      <c r="ML1075" s="22"/>
      <c r="MM1075" s="22"/>
      <c r="MN1075" s="22"/>
      <c r="MO1075" s="22"/>
      <c r="MP1075" s="22"/>
      <c r="MQ1075" s="22"/>
      <c r="MR1075" s="22"/>
      <c r="MS1075" s="22"/>
      <c r="MT1075" s="22"/>
      <c r="MU1075" s="22"/>
      <c r="MV1075" s="22"/>
      <c r="MW1075" s="22"/>
      <c r="MX1075" s="22"/>
      <c r="MY1075" s="22"/>
      <c r="MZ1075" s="22"/>
      <c r="NA1075" s="22"/>
      <c r="NB1075" s="22"/>
      <c r="NC1075" s="22"/>
      <c r="ND1075" s="22"/>
      <c r="NE1075" s="22"/>
      <c r="NF1075" s="22"/>
      <c r="NG1075" s="22"/>
      <c r="NH1075" s="22"/>
      <c r="NI1075" s="22"/>
      <c r="NJ1075" s="22"/>
      <c r="NK1075" s="22"/>
      <c r="NL1075" s="22"/>
      <c r="NM1075" s="22"/>
      <c r="NN1075" s="22"/>
      <c r="NO1075" s="22"/>
      <c r="NP1075" s="22"/>
      <c r="NQ1075" s="22"/>
      <c r="NR1075" s="22"/>
      <c r="NS1075" s="22"/>
      <c r="NT1075" s="22"/>
      <c r="NU1075" s="22"/>
      <c r="NV1075" s="22"/>
      <c r="NW1075" s="22"/>
      <c r="NX1075" s="22"/>
      <c r="NY1075" s="22"/>
      <c r="NZ1075" s="22"/>
      <c r="OA1075" s="22"/>
      <c r="OB1075" s="22"/>
      <c r="OC1075" s="22"/>
      <c r="OD1075" s="22"/>
      <c r="OE1075" s="22"/>
      <c r="OF1075" s="22"/>
      <c r="OG1075" s="22"/>
      <c r="OH1075" s="22"/>
      <c r="OI1075" s="22"/>
      <c r="OJ1075" s="22"/>
      <c r="OK1075" s="22"/>
      <c r="OL1075" s="22"/>
      <c r="OM1075" s="22"/>
      <c r="ON1075" s="22"/>
      <c r="OO1075" s="22"/>
      <c r="OP1075" s="22"/>
      <c r="OQ1075" s="22"/>
      <c r="OR1075" s="22"/>
      <c r="OS1075" s="22"/>
      <c r="OT1075" s="22"/>
      <c r="OU1075" s="22"/>
      <c r="OV1075" s="22"/>
      <c r="OW1075" s="22"/>
      <c r="OX1075" s="22"/>
      <c r="OY1075" s="22"/>
      <c r="OZ1075" s="22"/>
      <c r="PA1075" s="22"/>
      <c r="PB1075" s="22"/>
      <c r="PC1075" s="22"/>
      <c r="PD1075" s="22"/>
      <c r="PE1075" s="22"/>
      <c r="PF1075" s="22"/>
      <c r="PG1075" s="22"/>
      <c r="PH1075" s="22"/>
      <c r="PI1075" s="22"/>
      <c r="PJ1075" s="22"/>
      <c r="PK1075" s="22"/>
      <c r="PL1075" s="22"/>
      <c r="PM1075" s="22"/>
      <c r="PN1075" s="22"/>
      <c r="PO1075" s="22"/>
      <c r="PP1075" s="22"/>
      <c r="PQ1075" s="22"/>
      <c r="PR1075" s="22"/>
      <c r="PS1075" s="22"/>
      <c r="PT1075" s="22"/>
      <c r="PU1075" s="22"/>
      <c r="PV1075" s="22"/>
      <c r="PW1075" s="22"/>
      <c r="PX1075" s="22"/>
      <c r="PY1075" s="22"/>
      <c r="PZ1075" s="22"/>
      <c r="QA1075" s="22"/>
      <c r="QB1075" s="22"/>
      <c r="QC1075" s="22"/>
      <c r="QD1075" s="22"/>
      <c r="QE1075" s="22"/>
      <c r="QF1075" s="22"/>
      <c r="QG1075" s="22"/>
      <c r="QH1075" s="22"/>
      <c r="QI1075" s="22"/>
      <c r="QJ1075" s="22"/>
      <c r="QK1075" s="22"/>
      <c r="QL1075" s="22"/>
      <c r="QM1075" s="22"/>
      <c r="QN1075" s="22"/>
      <c r="QO1075" s="22"/>
      <c r="QP1075" s="22"/>
      <c r="QQ1075" s="22"/>
      <c r="QR1075" s="22"/>
      <c r="QS1075" s="22"/>
      <c r="QT1075" s="22"/>
      <c r="QU1075" s="22"/>
      <c r="QV1075" s="22"/>
      <c r="QW1075" s="22"/>
      <c r="QX1075" s="22"/>
      <c r="QY1075" s="22"/>
      <c r="QZ1075" s="22"/>
      <c r="RA1075" s="22"/>
      <c r="RB1075" s="22"/>
      <c r="RC1075" s="22"/>
      <c r="RD1075" s="22"/>
      <c r="RE1075" s="22"/>
      <c r="RF1075" s="22"/>
      <c r="RG1075" s="22"/>
      <c r="RH1075" s="22"/>
      <c r="RI1075" s="22"/>
      <c r="RJ1075" s="22"/>
      <c r="RK1075" s="22"/>
      <c r="RL1075" s="22"/>
      <c r="RM1075" s="22"/>
      <c r="RN1075" s="22"/>
      <c r="RO1075" s="22"/>
      <c r="RP1075" s="22"/>
      <c r="RQ1075" s="22"/>
      <c r="RR1075" s="22"/>
      <c r="RS1075" s="22"/>
      <c r="RT1075" s="22"/>
      <c r="RU1075" s="22"/>
      <c r="RV1075" s="22"/>
      <c r="RW1075" s="22"/>
      <c r="RX1075" s="22"/>
      <c r="RY1075" s="22"/>
      <c r="RZ1075" s="22"/>
      <c r="SA1075" s="22"/>
      <c r="SB1075" s="22"/>
      <c r="SC1075" s="22"/>
      <c r="SD1075" s="22"/>
      <c r="SE1075" s="22"/>
      <c r="SF1075" s="22"/>
      <c r="SG1075" s="22"/>
      <c r="SH1075" s="22"/>
      <c r="SI1075" s="22"/>
      <c r="SJ1075" s="22"/>
      <c r="SK1075" s="22"/>
      <c r="SL1075" s="22"/>
      <c r="SM1075" s="22"/>
      <c r="SN1075" s="22"/>
      <c r="SO1075" s="22"/>
      <c r="SP1075" s="22"/>
      <c r="SQ1075" s="22"/>
      <c r="SR1075" s="22"/>
      <c r="SS1075" s="22"/>
      <c r="ST1075" s="22"/>
      <c r="SU1075" s="22"/>
      <c r="SV1075" s="22"/>
      <c r="SW1075" s="22"/>
      <c r="SX1075" s="22"/>
      <c r="SY1075" s="22"/>
      <c r="SZ1075" s="22"/>
      <c r="TA1075" s="22"/>
      <c r="TB1075" s="22"/>
      <c r="TC1075" s="22"/>
      <c r="TD1075" s="22"/>
      <c r="TE1075" s="22"/>
      <c r="TF1075" s="22"/>
      <c r="TG1075" s="22"/>
      <c r="TH1075" s="22"/>
      <c r="TI1075" s="22"/>
      <c r="TJ1075" s="22"/>
      <c r="TK1075" s="22"/>
      <c r="TL1075" s="22"/>
      <c r="TM1075" s="22"/>
      <c r="TN1075" s="22"/>
      <c r="TO1075" s="22"/>
      <c r="TP1075" s="22"/>
      <c r="TQ1075" s="22"/>
      <c r="TR1075" s="22"/>
      <c r="TS1075" s="22"/>
      <c r="TT1075" s="22"/>
      <c r="TU1075" s="22"/>
      <c r="TV1075" s="22"/>
      <c r="TW1075" s="22"/>
      <c r="TX1075" s="22"/>
      <c r="TY1075" s="22"/>
      <c r="TZ1075" s="22"/>
      <c r="UA1075" s="22"/>
      <c r="UB1075" s="22"/>
      <c r="UC1075" s="22"/>
      <c r="UD1075" s="22"/>
      <c r="UE1075" s="22"/>
      <c r="UF1075" s="22"/>
      <c r="UG1075" s="23"/>
    </row>
    <row r="1076" spans="1:553" s="169" customFormat="1" ht="94.5" customHeight="1">
      <c r="A1076" s="356" t="s">
        <v>15</v>
      </c>
      <c r="B1076" s="385"/>
      <c r="C1076" s="384" t="s">
        <v>22</v>
      </c>
      <c r="D1076" s="1433"/>
      <c r="E1076" s="1434"/>
      <c r="F1076" s="1433"/>
      <c r="G1076" s="1434"/>
      <c r="H1076" s="1517"/>
      <c r="I1076" s="1070">
        <f>H1075-I1075</f>
        <v>1215.8</v>
      </c>
      <c r="J1076" s="368">
        <v>60000</v>
      </c>
      <c r="K1076" s="684"/>
      <c r="L1076" s="366">
        <f t="shared" si="165"/>
        <v>72948000</v>
      </c>
      <c r="M1076" s="366"/>
      <c r="N1076" s="366"/>
      <c r="O1076" s="366"/>
      <c r="P1076" s="366"/>
      <c r="Q1076" s="1416"/>
      <c r="R1076" s="1452"/>
      <c r="S1076" s="308"/>
      <c r="T1076" s="308"/>
      <c r="U1076" s="308"/>
      <c r="V1076" s="308"/>
      <c r="W1076" s="308"/>
      <c r="X1076" s="308"/>
      <c r="Y1076" s="308"/>
      <c r="Z1076" s="604"/>
      <c r="AA1076" s="308"/>
      <c r="AB1076" s="1105">
        <f>I1076</f>
        <v>1215.8</v>
      </c>
      <c r="AC1076" s="373"/>
      <c r="AD1076" s="373"/>
      <c r="AE1076" s="373"/>
      <c r="AF1076" s="373"/>
      <c r="AG1076" s="373"/>
      <c r="AH1076" s="373"/>
      <c r="AI1076" s="373"/>
      <c r="AJ1076" s="373"/>
      <c r="AK1076" s="389"/>
      <c r="AL1076" s="892"/>
      <c r="AM1076" s="893"/>
      <c r="AN1076" s="893"/>
      <c r="AO1076" s="893"/>
      <c r="AP1076" s="893"/>
      <c r="AQ1076" s="893"/>
      <c r="AR1076" s="893"/>
      <c r="AS1076" s="166"/>
      <c r="AT1076" s="166"/>
      <c r="AU1076" s="166"/>
      <c r="AV1076" s="166"/>
      <c r="AW1076" s="166"/>
      <c r="AX1076" s="166"/>
      <c r="AY1076" s="166"/>
      <c r="AZ1076" s="166"/>
      <c r="BA1076" s="166"/>
      <c r="BB1076" s="166"/>
      <c r="BC1076" s="166"/>
      <c r="BD1076" s="166"/>
      <c r="BE1076" s="166"/>
      <c r="BF1076" s="166"/>
      <c r="BG1076" s="166"/>
      <c r="BH1076" s="166"/>
      <c r="BI1076" s="166"/>
      <c r="BJ1076" s="166"/>
      <c r="BK1076" s="166"/>
      <c r="BL1076" s="166"/>
      <c r="BM1076" s="166"/>
      <c r="BN1076" s="166"/>
      <c r="BO1076" s="166"/>
      <c r="BP1076" s="166"/>
      <c r="BQ1076" s="166"/>
      <c r="BR1076" s="166"/>
      <c r="BS1076" s="166"/>
      <c r="BT1076" s="166"/>
      <c r="BU1076" s="166"/>
      <c r="BV1076" s="166"/>
      <c r="BW1076" s="166"/>
      <c r="BX1076" s="166"/>
      <c r="BY1076" s="166"/>
      <c r="BZ1076" s="166"/>
      <c r="CA1076" s="166"/>
      <c r="CB1076" s="166"/>
      <c r="CC1076" s="166"/>
      <c r="CD1076" s="166"/>
      <c r="CE1076" s="166"/>
      <c r="CF1076" s="166"/>
      <c r="CG1076" s="166"/>
      <c r="CH1076" s="166"/>
      <c r="CI1076" s="166"/>
      <c r="CJ1076" s="166"/>
      <c r="CK1076" s="166"/>
      <c r="CL1076" s="166"/>
      <c r="CM1076" s="166"/>
      <c r="CN1076" s="166"/>
      <c r="CO1076" s="166"/>
      <c r="CP1076" s="166"/>
      <c r="CQ1076" s="166"/>
      <c r="CR1076" s="166"/>
      <c r="CS1076" s="166"/>
      <c r="CT1076" s="166"/>
      <c r="CU1076" s="166"/>
      <c r="CV1076" s="166"/>
      <c r="CW1076" s="166"/>
      <c r="CX1076" s="166"/>
      <c r="CY1076" s="166"/>
      <c r="CZ1076" s="166"/>
      <c r="DA1076" s="166"/>
      <c r="DB1076" s="166"/>
      <c r="DC1076" s="166"/>
      <c r="DD1076" s="166"/>
      <c r="DE1076" s="166"/>
      <c r="DF1076" s="166"/>
      <c r="DG1076" s="166"/>
      <c r="DH1076" s="166"/>
      <c r="DI1076" s="166"/>
      <c r="DJ1076" s="166"/>
      <c r="DK1076" s="166"/>
      <c r="DL1076" s="166"/>
      <c r="DM1076" s="166"/>
      <c r="DN1076" s="166"/>
      <c r="DO1076" s="166"/>
      <c r="DP1076" s="166"/>
      <c r="DQ1076" s="166"/>
      <c r="DR1076" s="166"/>
      <c r="DS1076" s="166"/>
      <c r="DT1076" s="166"/>
      <c r="DU1076" s="166"/>
      <c r="DV1076" s="166"/>
      <c r="DW1076" s="166"/>
      <c r="DX1076" s="166"/>
      <c r="DY1076" s="166"/>
      <c r="DZ1076" s="166"/>
      <c r="EA1076" s="166"/>
      <c r="EB1076" s="166"/>
      <c r="EC1076" s="166"/>
      <c r="ED1076" s="166"/>
      <c r="EE1076" s="166"/>
      <c r="EF1076" s="166"/>
      <c r="EG1076" s="166"/>
      <c r="EH1076" s="166"/>
      <c r="EI1076" s="166"/>
      <c r="EJ1076" s="166"/>
      <c r="EK1076" s="166"/>
      <c r="EL1076" s="166"/>
      <c r="EM1076" s="166"/>
      <c r="EN1076" s="166"/>
      <c r="EO1076" s="166"/>
      <c r="EP1076" s="166"/>
      <c r="EQ1076" s="166"/>
      <c r="ER1076" s="166"/>
      <c r="ES1076" s="166"/>
      <c r="ET1076" s="166"/>
      <c r="EU1076" s="166"/>
      <c r="EV1076" s="166"/>
      <c r="EW1076" s="166"/>
      <c r="EX1076" s="166"/>
      <c r="EY1076" s="166"/>
      <c r="EZ1076" s="166"/>
      <c r="FA1076" s="166"/>
      <c r="FB1076" s="166"/>
      <c r="FC1076" s="166"/>
      <c r="FD1076" s="166"/>
      <c r="FE1076" s="166"/>
      <c r="FF1076" s="166"/>
      <c r="FG1076" s="166"/>
      <c r="FH1076" s="166"/>
      <c r="FI1076" s="166"/>
      <c r="FJ1076" s="166"/>
      <c r="FK1076" s="166"/>
      <c r="FL1076" s="166"/>
      <c r="FM1076" s="166"/>
      <c r="FN1076" s="166"/>
      <c r="FO1076" s="166"/>
      <c r="FP1076" s="166"/>
      <c r="FQ1076" s="166"/>
      <c r="FR1076" s="166"/>
      <c r="FS1076" s="166"/>
      <c r="FT1076" s="166"/>
      <c r="FU1076" s="166"/>
      <c r="FV1076" s="166"/>
      <c r="FW1076" s="166"/>
      <c r="FX1076" s="166"/>
      <c r="FY1076" s="166"/>
      <c r="FZ1076" s="166"/>
      <c r="GA1076" s="166"/>
      <c r="GB1076" s="166"/>
      <c r="GC1076" s="166"/>
      <c r="GD1076" s="166"/>
      <c r="GE1076" s="166"/>
      <c r="GF1076" s="166"/>
      <c r="GG1076" s="166"/>
      <c r="GH1076" s="166"/>
      <c r="GI1076" s="166"/>
      <c r="GJ1076" s="166"/>
      <c r="GK1076" s="166"/>
      <c r="GL1076" s="166"/>
      <c r="GM1076" s="166"/>
      <c r="GN1076" s="166"/>
      <c r="GO1076" s="166"/>
      <c r="GP1076" s="166"/>
      <c r="GQ1076" s="166"/>
      <c r="GR1076" s="166"/>
      <c r="GS1076" s="166"/>
      <c r="GT1076" s="166"/>
      <c r="GU1076" s="166"/>
      <c r="GV1076" s="166"/>
      <c r="GW1076" s="166"/>
      <c r="GX1076" s="166"/>
      <c r="GY1076" s="166"/>
      <c r="GZ1076" s="166"/>
      <c r="HA1076" s="166"/>
      <c r="HB1076" s="166"/>
      <c r="HC1076" s="166"/>
      <c r="HD1076" s="166"/>
      <c r="HE1076" s="166"/>
      <c r="HF1076" s="166"/>
      <c r="HG1076" s="166"/>
      <c r="HH1076" s="166"/>
      <c r="HI1076" s="166"/>
      <c r="HJ1076" s="166"/>
      <c r="HK1076" s="166"/>
      <c r="HL1076" s="166"/>
      <c r="HM1076" s="166"/>
      <c r="HN1076" s="166"/>
      <c r="HO1076" s="166"/>
      <c r="HP1076" s="166"/>
      <c r="HQ1076" s="166"/>
      <c r="HR1076" s="166"/>
      <c r="HS1076" s="166"/>
      <c r="HT1076" s="166"/>
      <c r="HU1076" s="166"/>
      <c r="HV1076" s="166"/>
      <c r="HW1076" s="166"/>
      <c r="HX1076" s="166"/>
      <c r="HY1076" s="166"/>
      <c r="HZ1076" s="166"/>
      <c r="IA1076" s="166"/>
      <c r="IB1076" s="166"/>
      <c r="IC1076" s="166"/>
      <c r="ID1076" s="166"/>
      <c r="IE1076" s="166"/>
      <c r="IF1076" s="166"/>
      <c r="IG1076" s="166"/>
      <c r="IH1076" s="166"/>
      <c r="II1076" s="166"/>
      <c r="IJ1076" s="166"/>
      <c r="IK1076" s="166"/>
      <c r="IL1076" s="166"/>
      <c r="IM1076" s="166"/>
      <c r="IN1076" s="166"/>
      <c r="IO1076" s="166"/>
      <c r="IP1076" s="166"/>
      <c r="IQ1076" s="166"/>
      <c r="IR1076" s="166"/>
      <c r="IS1076" s="166"/>
      <c r="IT1076" s="166"/>
      <c r="IU1076" s="166"/>
      <c r="IV1076" s="166"/>
      <c r="IW1076" s="166"/>
      <c r="IX1076" s="166"/>
      <c r="IY1076" s="166"/>
      <c r="IZ1076" s="166"/>
      <c r="JA1076" s="166"/>
      <c r="JB1076" s="166"/>
      <c r="JC1076" s="166"/>
      <c r="JD1076" s="166"/>
      <c r="JE1076" s="166"/>
      <c r="JF1076" s="166"/>
      <c r="JG1076" s="166"/>
      <c r="JH1076" s="166"/>
      <c r="JI1076" s="166"/>
      <c r="JJ1076" s="166"/>
      <c r="JK1076" s="166"/>
      <c r="JL1076" s="166"/>
      <c r="JM1076" s="166"/>
      <c r="JN1076" s="166"/>
      <c r="JO1076" s="166"/>
      <c r="JP1076" s="166"/>
      <c r="JQ1076" s="166"/>
      <c r="JR1076" s="166"/>
      <c r="JS1076" s="166"/>
      <c r="JT1076" s="166"/>
      <c r="JU1076" s="166"/>
      <c r="JV1076" s="166"/>
      <c r="JW1076" s="166"/>
      <c r="JX1076" s="166"/>
      <c r="JY1076" s="166"/>
      <c r="JZ1076" s="166"/>
      <c r="KA1076" s="166"/>
      <c r="KB1076" s="166"/>
      <c r="KC1076" s="166"/>
      <c r="KD1076" s="166"/>
      <c r="KE1076" s="166"/>
      <c r="KF1076" s="166"/>
      <c r="KG1076" s="166"/>
      <c r="KH1076" s="166"/>
      <c r="KI1076" s="166"/>
      <c r="KJ1076" s="166"/>
      <c r="KK1076" s="166"/>
      <c r="KL1076" s="166"/>
      <c r="KM1076" s="166"/>
      <c r="KN1076" s="166"/>
      <c r="KO1076" s="166"/>
      <c r="KP1076" s="166"/>
      <c r="KQ1076" s="166"/>
      <c r="KR1076" s="166"/>
      <c r="KS1076" s="166"/>
      <c r="KT1076" s="166"/>
      <c r="KU1076" s="166"/>
      <c r="KV1076" s="166"/>
      <c r="KW1076" s="166"/>
      <c r="KX1076" s="166"/>
      <c r="KY1076" s="166"/>
      <c r="KZ1076" s="166"/>
      <c r="LA1076" s="166"/>
      <c r="LB1076" s="166"/>
      <c r="LC1076" s="166"/>
      <c r="LD1076" s="166"/>
      <c r="LE1076" s="166"/>
      <c r="LF1076" s="166"/>
      <c r="LG1076" s="166"/>
      <c r="LH1076" s="166"/>
      <c r="LI1076" s="166"/>
      <c r="LJ1076" s="166"/>
      <c r="LK1076" s="166"/>
      <c r="LL1076" s="166"/>
      <c r="LM1076" s="166"/>
      <c r="LN1076" s="166"/>
      <c r="LO1076" s="166"/>
      <c r="LP1076" s="166"/>
      <c r="LQ1076" s="166"/>
      <c r="LR1076" s="166"/>
      <c r="LS1076" s="166"/>
      <c r="LT1076" s="166"/>
      <c r="LU1076" s="166"/>
      <c r="LV1076" s="166"/>
      <c r="LW1076" s="166"/>
      <c r="LX1076" s="166"/>
      <c r="LY1076" s="166"/>
      <c r="LZ1076" s="166"/>
      <c r="MA1076" s="166"/>
      <c r="MB1076" s="166"/>
      <c r="MC1076" s="166"/>
      <c r="MD1076" s="166"/>
      <c r="ME1076" s="166"/>
      <c r="MF1076" s="166"/>
      <c r="MG1076" s="166"/>
      <c r="MH1076" s="166"/>
      <c r="MI1076" s="166"/>
      <c r="MJ1076" s="166"/>
      <c r="MK1076" s="166"/>
      <c r="ML1076" s="166"/>
      <c r="MM1076" s="166"/>
      <c r="MN1076" s="166"/>
      <c r="MO1076" s="166"/>
      <c r="MP1076" s="166"/>
      <c r="MQ1076" s="166"/>
      <c r="MR1076" s="166"/>
      <c r="MS1076" s="166"/>
      <c r="MT1076" s="166"/>
      <c r="MU1076" s="166"/>
      <c r="MV1076" s="166"/>
      <c r="MW1076" s="166"/>
      <c r="MX1076" s="166"/>
      <c r="MY1076" s="166"/>
      <c r="MZ1076" s="166"/>
      <c r="NA1076" s="166"/>
      <c r="NB1076" s="166"/>
      <c r="NC1076" s="166"/>
      <c r="ND1076" s="166"/>
      <c r="NE1076" s="166"/>
      <c r="NF1076" s="166"/>
      <c r="NG1076" s="166"/>
      <c r="NH1076" s="166"/>
      <c r="NI1076" s="166"/>
      <c r="NJ1076" s="166"/>
      <c r="NK1076" s="166"/>
      <c r="NL1076" s="166"/>
      <c r="NM1076" s="166"/>
      <c r="NN1076" s="166"/>
      <c r="NO1076" s="166"/>
      <c r="NP1076" s="166"/>
      <c r="NQ1076" s="166"/>
      <c r="NR1076" s="166"/>
      <c r="NS1076" s="166"/>
      <c r="NT1076" s="166"/>
      <c r="NU1076" s="166"/>
      <c r="NV1076" s="166"/>
      <c r="NW1076" s="166"/>
      <c r="NX1076" s="166"/>
      <c r="NY1076" s="166"/>
      <c r="NZ1076" s="166"/>
      <c r="OA1076" s="166"/>
      <c r="OB1076" s="166"/>
      <c r="OC1076" s="166"/>
      <c r="OD1076" s="166"/>
      <c r="OE1076" s="166"/>
      <c r="OF1076" s="166"/>
      <c r="OG1076" s="166"/>
      <c r="OH1076" s="166"/>
      <c r="OI1076" s="166"/>
      <c r="OJ1076" s="166"/>
      <c r="OK1076" s="166"/>
      <c r="OL1076" s="166"/>
      <c r="OM1076" s="166"/>
      <c r="ON1076" s="166"/>
      <c r="OO1076" s="166"/>
      <c r="OP1076" s="166"/>
      <c r="OQ1076" s="166"/>
      <c r="OR1076" s="166"/>
      <c r="OS1076" s="166"/>
      <c r="OT1076" s="166"/>
      <c r="OU1076" s="166"/>
      <c r="OV1076" s="166"/>
      <c r="OW1076" s="166"/>
      <c r="OX1076" s="166"/>
      <c r="OY1076" s="166"/>
      <c r="OZ1076" s="166"/>
      <c r="PA1076" s="166"/>
      <c r="PB1076" s="166"/>
      <c r="PC1076" s="166"/>
      <c r="PD1076" s="166"/>
      <c r="PE1076" s="166"/>
      <c r="PF1076" s="166"/>
      <c r="PG1076" s="166"/>
      <c r="PH1076" s="166"/>
      <c r="PI1076" s="166"/>
      <c r="PJ1076" s="166"/>
      <c r="PK1076" s="166"/>
      <c r="PL1076" s="166"/>
      <c r="PM1076" s="166"/>
      <c r="PN1076" s="166"/>
      <c r="PO1076" s="166"/>
      <c r="PP1076" s="166"/>
      <c r="PQ1076" s="166"/>
      <c r="PR1076" s="166"/>
      <c r="PS1076" s="166"/>
      <c r="PT1076" s="166"/>
      <c r="PU1076" s="166"/>
      <c r="PV1076" s="166"/>
      <c r="PW1076" s="166"/>
      <c r="PX1076" s="166"/>
      <c r="PY1076" s="166"/>
      <c r="PZ1076" s="166"/>
      <c r="QA1076" s="166"/>
      <c r="QB1076" s="166"/>
      <c r="QC1076" s="166"/>
      <c r="QD1076" s="166"/>
      <c r="QE1076" s="166"/>
      <c r="QF1076" s="166"/>
      <c r="QG1076" s="166"/>
      <c r="QH1076" s="166"/>
      <c r="QI1076" s="166"/>
      <c r="QJ1076" s="166"/>
      <c r="QK1076" s="166"/>
      <c r="QL1076" s="166"/>
      <c r="QM1076" s="166"/>
      <c r="QN1076" s="166"/>
      <c r="QO1076" s="166"/>
      <c r="QP1076" s="166"/>
      <c r="QQ1076" s="166"/>
      <c r="QR1076" s="166"/>
      <c r="QS1076" s="166"/>
      <c r="QT1076" s="166"/>
      <c r="QU1076" s="166"/>
      <c r="QV1076" s="166"/>
      <c r="QW1076" s="166"/>
      <c r="QX1076" s="166"/>
      <c r="QY1076" s="166"/>
      <c r="QZ1076" s="166"/>
      <c r="RA1076" s="166"/>
      <c r="RB1076" s="166"/>
      <c r="RC1076" s="166"/>
      <c r="RD1076" s="166"/>
      <c r="RE1076" s="166"/>
      <c r="RF1076" s="166"/>
      <c r="RG1076" s="166"/>
      <c r="RH1076" s="166"/>
      <c r="RI1076" s="166"/>
      <c r="RJ1076" s="166"/>
      <c r="RK1076" s="166"/>
      <c r="RL1076" s="166"/>
      <c r="RM1076" s="166"/>
      <c r="RN1076" s="166"/>
      <c r="RO1076" s="166"/>
      <c r="RP1076" s="166"/>
      <c r="RQ1076" s="166"/>
      <c r="RR1076" s="166"/>
      <c r="RS1076" s="166"/>
      <c r="RT1076" s="166"/>
      <c r="RU1076" s="166"/>
      <c r="RV1076" s="166"/>
      <c r="RW1076" s="166"/>
      <c r="RX1076" s="166"/>
      <c r="RY1076" s="166"/>
      <c r="RZ1076" s="166"/>
      <c r="SA1076" s="166"/>
      <c r="SB1076" s="166"/>
      <c r="SC1076" s="166"/>
      <c r="SD1076" s="166"/>
      <c r="SE1076" s="166"/>
      <c r="SF1076" s="166"/>
      <c r="SG1076" s="166"/>
      <c r="SH1076" s="166"/>
      <c r="SI1076" s="166"/>
      <c r="SJ1076" s="166"/>
      <c r="SK1076" s="166"/>
      <c r="SL1076" s="166"/>
      <c r="SM1076" s="166"/>
      <c r="SN1076" s="166"/>
      <c r="SO1076" s="166"/>
      <c r="SP1076" s="166"/>
      <c r="SQ1076" s="166"/>
      <c r="SR1076" s="166"/>
      <c r="SS1076" s="166"/>
      <c r="ST1076" s="166"/>
      <c r="SU1076" s="166"/>
      <c r="SV1076" s="166"/>
      <c r="SW1076" s="166"/>
      <c r="SX1076" s="166"/>
      <c r="SY1076" s="166"/>
      <c r="SZ1076" s="166"/>
      <c r="TA1076" s="166"/>
      <c r="TB1076" s="166"/>
      <c r="TC1076" s="166"/>
      <c r="TD1076" s="166"/>
      <c r="TE1076" s="166"/>
      <c r="TF1076" s="166"/>
      <c r="TG1076" s="166"/>
      <c r="TH1076" s="166"/>
      <c r="TI1076" s="166"/>
      <c r="TJ1076" s="166"/>
      <c r="TK1076" s="166"/>
      <c r="TL1076" s="166"/>
      <c r="TM1076" s="166"/>
      <c r="TN1076" s="166"/>
      <c r="TO1076" s="166"/>
      <c r="TP1076" s="166"/>
      <c r="TQ1076" s="166"/>
      <c r="TR1076" s="166"/>
      <c r="TS1076" s="166"/>
      <c r="TT1076" s="166"/>
      <c r="TU1076" s="166"/>
      <c r="TV1076" s="166"/>
      <c r="TW1076" s="166"/>
      <c r="TX1076" s="166"/>
      <c r="TY1076" s="166"/>
      <c r="TZ1076" s="166"/>
      <c r="UA1076" s="166"/>
      <c r="UB1076" s="166"/>
      <c r="UC1076" s="166"/>
      <c r="UD1076" s="166"/>
      <c r="UE1076" s="166"/>
      <c r="UF1076" s="166"/>
      <c r="UG1076" s="894"/>
    </row>
    <row r="1077" spans="1:553" ht="408.75" customHeight="1">
      <c r="A1077" s="356"/>
      <c r="B1077" s="385"/>
      <c r="C1077" s="384" t="s">
        <v>23</v>
      </c>
      <c r="D1077" s="376" t="s">
        <v>70</v>
      </c>
      <c r="E1077" s="376">
        <v>270</v>
      </c>
      <c r="F1077" s="385">
        <v>1</v>
      </c>
      <c r="G1077" s="386" t="s">
        <v>935</v>
      </c>
      <c r="H1077" s="736">
        <v>141.1</v>
      </c>
      <c r="I1077" s="490">
        <v>141.1</v>
      </c>
      <c r="J1077" s="368">
        <v>62000</v>
      </c>
      <c r="K1077" s="391"/>
      <c r="L1077" s="480">
        <f t="shared" si="165"/>
        <v>8748200</v>
      </c>
      <c r="M1077" s="366"/>
      <c r="N1077" s="366"/>
      <c r="O1077" s="366"/>
      <c r="P1077" s="366"/>
      <c r="Q1077" s="761" t="s">
        <v>605</v>
      </c>
      <c r="R1077" s="1536" t="s">
        <v>606</v>
      </c>
      <c r="S1077" s="308"/>
      <c r="T1077" s="308"/>
      <c r="U1077" s="308"/>
      <c r="V1077" s="308"/>
      <c r="W1077" s="685">
        <f>I1077</f>
        <v>141.1</v>
      </c>
      <c r="X1077" s="308"/>
      <c r="Y1077" s="308"/>
      <c r="Z1077" s="604"/>
      <c r="AA1077" s="308"/>
      <c r="AB1077" s="308"/>
      <c r="AC1077" s="373"/>
      <c r="AD1077" s="373"/>
      <c r="AE1077" s="373"/>
      <c r="AF1077" s="373"/>
      <c r="AG1077" s="373"/>
      <c r="AH1077" s="373"/>
      <c r="AI1077" s="373"/>
      <c r="AJ1077" s="373"/>
      <c r="AK1077" s="389"/>
      <c r="AL1077" s="100"/>
      <c r="AM1077" s="27"/>
      <c r="AN1077" s="27"/>
      <c r="AO1077" s="27"/>
      <c r="AP1077" s="27"/>
      <c r="AQ1077" s="27"/>
      <c r="AR1077" s="27"/>
      <c r="AS1077" s="22"/>
      <c r="AT1077" s="22"/>
      <c r="AU1077" s="22"/>
      <c r="AV1077" s="22"/>
      <c r="AW1077" s="22"/>
      <c r="AX1077" s="22"/>
      <c r="AY1077" s="22"/>
      <c r="AZ1077" s="22"/>
      <c r="BA1077" s="22"/>
      <c r="BB1077" s="22"/>
      <c r="BC1077" s="22"/>
      <c r="BD1077" s="22"/>
      <c r="BE1077" s="22"/>
      <c r="BF1077" s="22"/>
      <c r="BG1077" s="22"/>
      <c r="BH1077" s="22"/>
      <c r="BI1077" s="22"/>
      <c r="BJ1077" s="22"/>
      <c r="BK1077" s="22"/>
      <c r="BL1077" s="22"/>
      <c r="BM1077" s="22"/>
      <c r="BN1077" s="22"/>
      <c r="BO1077" s="22"/>
      <c r="BP1077" s="22"/>
      <c r="BQ1077" s="22"/>
      <c r="BR1077" s="22"/>
      <c r="BS1077" s="22"/>
      <c r="BT1077" s="22"/>
      <c r="BU1077" s="22"/>
      <c r="BV1077" s="22"/>
      <c r="BW1077" s="22"/>
      <c r="BX1077" s="22"/>
      <c r="BY1077" s="22"/>
      <c r="BZ1077" s="22"/>
      <c r="CA1077" s="22"/>
      <c r="CB1077" s="22"/>
      <c r="CC1077" s="22"/>
      <c r="CD1077" s="22"/>
      <c r="CE1077" s="22"/>
      <c r="CF1077" s="22"/>
      <c r="CG1077" s="22"/>
      <c r="CH1077" s="22"/>
      <c r="CI1077" s="22"/>
      <c r="CJ1077" s="22"/>
      <c r="CK1077" s="22"/>
      <c r="CL1077" s="22"/>
      <c r="CM1077" s="22"/>
      <c r="CN1077" s="22"/>
      <c r="CO1077" s="22"/>
      <c r="CP1077" s="22"/>
      <c r="CQ1077" s="22"/>
      <c r="CR1077" s="22"/>
      <c r="CS1077" s="22"/>
      <c r="CT1077" s="22"/>
      <c r="CU1077" s="22"/>
      <c r="CV1077" s="22"/>
      <c r="CW1077" s="22"/>
      <c r="CX1077" s="22"/>
      <c r="CY1077" s="22"/>
      <c r="CZ1077" s="22"/>
      <c r="DA1077" s="22"/>
      <c r="DB1077" s="22"/>
      <c r="DC1077" s="22"/>
      <c r="DD1077" s="22"/>
      <c r="DE1077" s="22"/>
      <c r="DF1077" s="22"/>
      <c r="DG1077" s="22"/>
      <c r="DH1077" s="22"/>
      <c r="DI1077" s="22"/>
      <c r="DJ1077" s="22"/>
      <c r="DK1077" s="22"/>
      <c r="DL1077" s="22"/>
      <c r="DM1077" s="22"/>
      <c r="DN1077" s="22"/>
      <c r="DO1077" s="22"/>
      <c r="DP1077" s="22"/>
      <c r="DQ1077" s="22"/>
      <c r="DR1077" s="22"/>
      <c r="DS1077" s="22"/>
      <c r="DT1077" s="22"/>
      <c r="DU1077" s="22"/>
      <c r="DV1077" s="22"/>
      <c r="DW1077" s="22"/>
      <c r="DX1077" s="22"/>
      <c r="DY1077" s="22"/>
      <c r="DZ1077" s="22"/>
      <c r="EA1077" s="22"/>
      <c r="EB1077" s="22"/>
      <c r="EC1077" s="22"/>
      <c r="ED1077" s="22"/>
      <c r="EE1077" s="22"/>
      <c r="EF1077" s="22"/>
      <c r="EG1077" s="22"/>
      <c r="EH1077" s="22"/>
      <c r="EI1077" s="22"/>
      <c r="EJ1077" s="22"/>
      <c r="EK1077" s="22"/>
      <c r="EL1077" s="22"/>
      <c r="EM1077" s="22"/>
      <c r="EN1077" s="22"/>
      <c r="EO1077" s="22"/>
      <c r="EP1077" s="22"/>
      <c r="EQ1077" s="22"/>
      <c r="ER1077" s="22"/>
      <c r="ES1077" s="22"/>
      <c r="ET1077" s="22"/>
      <c r="EU1077" s="22"/>
      <c r="EV1077" s="22"/>
      <c r="EW1077" s="22"/>
      <c r="EX1077" s="22"/>
      <c r="EY1077" s="22"/>
      <c r="EZ1077" s="22"/>
      <c r="FA1077" s="22"/>
      <c r="FB1077" s="22"/>
      <c r="FC1077" s="22"/>
      <c r="FD1077" s="22"/>
      <c r="FE1077" s="22"/>
      <c r="FF1077" s="22"/>
      <c r="FG1077" s="22"/>
      <c r="FH1077" s="22"/>
      <c r="FI1077" s="22"/>
      <c r="FJ1077" s="22"/>
      <c r="FK1077" s="22"/>
      <c r="FL1077" s="22"/>
      <c r="FM1077" s="22"/>
      <c r="FN1077" s="22"/>
      <c r="FO1077" s="22"/>
      <c r="FP1077" s="22"/>
      <c r="FQ1077" s="22"/>
      <c r="FR1077" s="22"/>
      <c r="FS1077" s="22"/>
      <c r="FT1077" s="22"/>
      <c r="FU1077" s="22"/>
      <c r="FV1077" s="22"/>
      <c r="FW1077" s="22"/>
      <c r="FX1077" s="22"/>
      <c r="FY1077" s="22"/>
      <c r="FZ1077" s="22"/>
      <c r="GA1077" s="22"/>
      <c r="GB1077" s="22"/>
      <c r="GC1077" s="22"/>
      <c r="GD1077" s="22"/>
      <c r="GE1077" s="22"/>
      <c r="GF1077" s="22"/>
      <c r="GG1077" s="22"/>
      <c r="GH1077" s="22"/>
      <c r="GI1077" s="22"/>
      <c r="GJ1077" s="22"/>
      <c r="GK1077" s="22"/>
      <c r="GL1077" s="22"/>
      <c r="GM1077" s="22"/>
      <c r="GN1077" s="22"/>
      <c r="GO1077" s="22"/>
      <c r="GP1077" s="22"/>
      <c r="GQ1077" s="22"/>
      <c r="GR1077" s="22"/>
      <c r="GS1077" s="22"/>
      <c r="GT1077" s="22"/>
      <c r="GU1077" s="22"/>
      <c r="GV1077" s="22"/>
      <c r="GW1077" s="22"/>
      <c r="GX1077" s="22"/>
      <c r="GY1077" s="22"/>
      <c r="GZ1077" s="22"/>
      <c r="HA1077" s="22"/>
      <c r="HB1077" s="22"/>
      <c r="HC1077" s="22"/>
      <c r="HD1077" s="22"/>
      <c r="HE1077" s="22"/>
      <c r="HF1077" s="22"/>
      <c r="HG1077" s="22"/>
      <c r="HH1077" s="22"/>
      <c r="HI1077" s="22"/>
      <c r="HJ1077" s="22"/>
      <c r="HK1077" s="22"/>
      <c r="HL1077" s="22"/>
      <c r="HM1077" s="22"/>
      <c r="HN1077" s="22"/>
      <c r="HO1077" s="22"/>
      <c r="HP1077" s="22"/>
      <c r="HQ1077" s="22"/>
      <c r="HR1077" s="22"/>
      <c r="HS1077" s="22"/>
      <c r="HT1077" s="22"/>
      <c r="HU1077" s="22"/>
      <c r="HV1077" s="22"/>
      <c r="HW1077" s="22"/>
      <c r="HX1077" s="22"/>
      <c r="HY1077" s="22"/>
      <c r="HZ1077" s="22"/>
      <c r="IA1077" s="22"/>
      <c r="IB1077" s="22"/>
      <c r="IC1077" s="22"/>
      <c r="ID1077" s="22"/>
      <c r="IE1077" s="22"/>
      <c r="IF1077" s="22"/>
      <c r="IG1077" s="22"/>
      <c r="IH1077" s="22"/>
      <c r="II1077" s="22"/>
      <c r="IJ1077" s="22"/>
      <c r="IK1077" s="22"/>
      <c r="IL1077" s="22"/>
      <c r="IM1077" s="22"/>
      <c r="IN1077" s="22"/>
      <c r="IO1077" s="22"/>
      <c r="IP1077" s="22"/>
      <c r="IQ1077" s="22"/>
      <c r="IR1077" s="22"/>
      <c r="IS1077" s="22"/>
      <c r="IT1077" s="22"/>
      <c r="IU1077" s="22"/>
      <c r="IV1077" s="22"/>
      <c r="IW1077" s="22"/>
      <c r="IX1077" s="22"/>
      <c r="IY1077" s="22"/>
      <c r="IZ1077" s="22"/>
      <c r="JA1077" s="22"/>
      <c r="JB1077" s="22"/>
      <c r="JC1077" s="22"/>
      <c r="JD1077" s="22"/>
      <c r="JE1077" s="22"/>
      <c r="JF1077" s="22"/>
      <c r="JG1077" s="22"/>
      <c r="JH1077" s="22"/>
      <c r="JI1077" s="22"/>
      <c r="JJ1077" s="22"/>
      <c r="JK1077" s="22"/>
      <c r="JL1077" s="22"/>
      <c r="JM1077" s="22"/>
      <c r="JN1077" s="22"/>
      <c r="JO1077" s="22"/>
      <c r="JP1077" s="22"/>
      <c r="JQ1077" s="22"/>
      <c r="JR1077" s="22"/>
      <c r="JS1077" s="22"/>
      <c r="JT1077" s="22"/>
      <c r="JU1077" s="22"/>
      <c r="JV1077" s="22"/>
      <c r="JW1077" s="22"/>
      <c r="JX1077" s="22"/>
      <c r="JY1077" s="22"/>
      <c r="JZ1077" s="22"/>
      <c r="KA1077" s="22"/>
      <c r="KB1077" s="22"/>
      <c r="KC1077" s="22"/>
      <c r="KD1077" s="22"/>
      <c r="KE1077" s="22"/>
      <c r="KF1077" s="22"/>
      <c r="KG1077" s="22"/>
      <c r="KH1077" s="22"/>
      <c r="KI1077" s="22"/>
      <c r="KJ1077" s="22"/>
      <c r="KK1077" s="22"/>
      <c r="KL1077" s="22"/>
      <c r="KM1077" s="22"/>
      <c r="KN1077" s="22"/>
      <c r="KO1077" s="22"/>
      <c r="KP1077" s="22"/>
      <c r="KQ1077" s="22"/>
      <c r="KR1077" s="22"/>
      <c r="KS1077" s="22"/>
      <c r="KT1077" s="22"/>
      <c r="KU1077" s="22"/>
      <c r="KV1077" s="22"/>
      <c r="KW1077" s="22"/>
      <c r="KX1077" s="22"/>
      <c r="KY1077" s="22"/>
      <c r="KZ1077" s="22"/>
      <c r="LA1077" s="22"/>
      <c r="LB1077" s="22"/>
      <c r="LC1077" s="22"/>
      <c r="LD1077" s="22"/>
      <c r="LE1077" s="22"/>
      <c r="LF1077" s="22"/>
      <c r="LG1077" s="22"/>
      <c r="LH1077" s="22"/>
      <c r="LI1077" s="22"/>
      <c r="LJ1077" s="22"/>
      <c r="LK1077" s="22"/>
      <c r="LL1077" s="22"/>
      <c r="LM1077" s="22"/>
      <c r="LN1077" s="22"/>
      <c r="LO1077" s="22"/>
      <c r="LP1077" s="22"/>
      <c r="LQ1077" s="22"/>
      <c r="LR1077" s="22"/>
      <c r="LS1077" s="22"/>
      <c r="LT1077" s="22"/>
      <c r="LU1077" s="22"/>
      <c r="LV1077" s="22"/>
      <c r="LW1077" s="22"/>
      <c r="LX1077" s="22"/>
      <c r="LY1077" s="22"/>
      <c r="LZ1077" s="22"/>
      <c r="MA1077" s="22"/>
      <c r="MB1077" s="22"/>
      <c r="MC1077" s="22"/>
      <c r="MD1077" s="22"/>
      <c r="ME1077" s="22"/>
      <c r="MF1077" s="22"/>
      <c r="MG1077" s="22"/>
      <c r="MH1077" s="22"/>
      <c r="MI1077" s="22"/>
      <c r="MJ1077" s="22"/>
      <c r="MK1077" s="22"/>
      <c r="ML1077" s="22"/>
      <c r="MM1077" s="22"/>
      <c r="MN1077" s="22"/>
      <c r="MO1077" s="22"/>
      <c r="MP1077" s="22"/>
      <c r="MQ1077" s="22"/>
      <c r="MR1077" s="22"/>
      <c r="MS1077" s="22"/>
      <c r="MT1077" s="22"/>
      <c r="MU1077" s="22"/>
      <c r="MV1077" s="22"/>
      <c r="MW1077" s="22"/>
      <c r="MX1077" s="22"/>
      <c r="MY1077" s="22"/>
      <c r="MZ1077" s="22"/>
      <c r="NA1077" s="22"/>
      <c r="NB1077" s="22"/>
      <c r="NC1077" s="22"/>
      <c r="ND1077" s="22"/>
      <c r="NE1077" s="22"/>
      <c r="NF1077" s="22"/>
      <c r="NG1077" s="22"/>
      <c r="NH1077" s="22"/>
      <c r="NI1077" s="22"/>
      <c r="NJ1077" s="22"/>
      <c r="NK1077" s="22"/>
      <c r="NL1077" s="22"/>
      <c r="NM1077" s="22"/>
      <c r="NN1077" s="22"/>
      <c r="NO1077" s="22"/>
      <c r="NP1077" s="22"/>
      <c r="NQ1077" s="22"/>
      <c r="NR1077" s="22"/>
      <c r="NS1077" s="22"/>
      <c r="NT1077" s="22"/>
      <c r="NU1077" s="22"/>
      <c r="NV1077" s="22"/>
      <c r="NW1077" s="22"/>
      <c r="NX1077" s="22"/>
      <c r="NY1077" s="22"/>
      <c r="NZ1077" s="22"/>
      <c r="OA1077" s="22"/>
      <c r="OB1077" s="22"/>
      <c r="OC1077" s="22"/>
      <c r="OD1077" s="22"/>
      <c r="OE1077" s="22"/>
      <c r="OF1077" s="22"/>
      <c r="OG1077" s="22"/>
      <c r="OH1077" s="22"/>
      <c r="OI1077" s="22"/>
      <c r="OJ1077" s="22"/>
      <c r="OK1077" s="22"/>
      <c r="OL1077" s="22"/>
      <c r="OM1077" s="22"/>
      <c r="ON1077" s="22"/>
      <c r="OO1077" s="22"/>
      <c r="OP1077" s="22"/>
      <c r="OQ1077" s="22"/>
      <c r="OR1077" s="22"/>
      <c r="OS1077" s="22"/>
      <c r="OT1077" s="22"/>
      <c r="OU1077" s="22"/>
      <c r="OV1077" s="22"/>
      <c r="OW1077" s="22"/>
      <c r="OX1077" s="22"/>
      <c r="OY1077" s="22"/>
      <c r="OZ1077" s="22"/>
      <c r="PA1077" s="22"/>
      <c r="PB1077" s="22"/>
      <c r="PC1077" s="22"/>
      <c r="PD1077" s="22"/>
      <c r="PE1077" s="22"/>
      <c r="PF1077" s="22"/>
      <c r="PG1077" s="22"/>
      <c r="PH1077" s="22"/>
      <c r="PI1077" s="22"/>
      <c r="PJ1077" s="22"/>
      <c r="PK1077" s="22"/>
      <c r="PL1077" s="22"/>
      <c r="PM1077" s="22"/>
      <c r="PN1077" s="22"/>
      <c r="PO1077" s="22"/>
      <c r="PP1077" s="22"/>
      <c r="PQ1077" s="22"/>
      <c r="PR1077" s="22"/>
      <c r="PS1077" s="22"/>
      <c r="PT1077" s="22"/>
      <c r="PU1077" s="22"/>
      <c r="PV1077" s="22"/>
      <c r="PW1077" s="22"/>
      <c r="PX1077" s="22"/>
      <c r="PY1077" s="22"/>
      <c r="PZ1077" s="22"/>
      <c r="QA1077" s="22"/>
      <c r="QB1077" s="22"/>
      <c r="QC1077" s="22"/>
      <c r="QD1077" s="22"/>
      <c r="QE1077" s="22"/>
      <c r="QF1077" s="22"/>
      <c r="QG1077" s="22"/>
      <c r="QH1077" s="22"/>
      <c r="QI1077" s="22"/>
      <c r="QJ1077" s="22"/>
      <c r="QK1077" s="22"/>
      <c r="QL1077" s="22"/>
      <c r="QM1077" s="22"/>
      <c r="QN1077" s="22"/>
      <c r="QO1077" s="22"/>
      <c r="QP1077" s="22"/>
      <c r="QQ1077" s="22"/>
      <c r="QR1077" s="22"/>
      <c r="QS1077" s="22"/>
      <c r="QT1077" s="22"/>
      <c r="QU1077" s="22"/>
      <c r="QV1077" s="22"/>
      <c r="QW1077" s="22"/>
      <c r="QX1077" s="22"/>
      <c r="QY1077" s="22"/>
      <c r="QZ1077" s="22"/>
      <c r="RA1077" s="22"/>
      <c r="RB1077" s="22"/>
      <c r="RC1077" s="22"/>
      <c r="RD1077" s="22"/>
      <c r="RE1077" s="22"/>
      <c r="RF1077" s="22"/>
      <c r="RG1077" s="22"/>
      <c r="RH1077" s="22"/>
      <c r="RI1077" s="22"/>
      <c r="RJ1077" s="22"/>
      <c r="RK1077" s="22"/>
      <c r="RL1077" s="22"/>
      <c r="RM1077" s="22"/>
      <c r="RN1077" s="22"/>
      <c r="RO1077" s="22"/>
      <c r="RP1077" s="22"/>
      <c r="RQ1077" s="22"/>
      <c r="RR1077" s="22"/>
      <c r="RS1077" s="22"/>
      <c r="RT1077" s="22"/>
      <c r="RU1077" s="22"/>
      <c r="RV1077" s="22"/>
      <c r="RW1077" s="22"/>
      <c r="RX1077" s="22"/>
      <c r="RY1077" s="22"/>
      <c r="RZ1077" s="22"/>
      <c r="SA1077" s="22"/>
      <c r="SB1077" s="22"/>
      <c r="SC1077" s="22"/>
      <c r="SD1077" s="22"/>
      <c r="SE1077" s="22"/>
      <c r="SF1077" s="22"/>
      <c r="SG1077" s="22"/>
      <c r="SH1077" s="22"/>
      <c r="SI1077" s="22"/>
      <c r="SJ1077" s="22"/>
      <c r="SK1077" s="22"/>
      <c r="SL1077" s="22"/>
      <c r="SM1077" s="22"/>
      <c r="SN1077" s="22"/>
      <c r="SO1077" s="22"/>
      <c r="SP1077" s="22"/>
      <c r="SQ1077" s="22"/>
      <c r="SR1077" s="22"/>
      <c r="SS1077" s="22"/>
      <c r="ST1077" s="22"/>
      <c r="SU1077" s="22"/>
      <c r="SV1077" s="22"/>
      <c r="SW1077" s="22"/>
      <c r="SX1077" s="22"/>
      <c r="SY1077" s="22"/>
      <c r="SZ1077" s="22"/>
      <c r="TA1077" s="22"/>
      <c r="TB1077" s="22"/>
      <c r="TC1077" s="22"/>
      <c r="TD1077" s="22"/>
      <c r="TE1077" s="22"/>
      <c r="TF1077" s="22"/>
      <c r="TG1077" s="22"/>
      <c r="TH1077" s="22"/>
      <c r="TI1077" s="22"/>
      <c r="TJ1077" s="22"/>
      <c r="TK1077" s="22"/>
      <c r="TL1077" s="22"/>
      <c r="TM1077" s="22"/>
      <c r="TN1077" s="22"/>
      <c r="TO1077" s="22"/>
      <c r="TP1077" s="22"/>
      <c r="TQ1077" s="22"/>
      <c r="TR1077" s="22"/>
      <c r="TS1077" s="22"/>
      <c r="TT1077" s="22"/>
      <c r="TU1077" s="22"/>
      <c r="TV1077" s="22"/>
      <c r="TW1077" s="22"/>
      <c r="TX1077" s="22"/>
      <c r="TY1077" s="22"/>
      <c r="TZ1077" s="22"/>
      <c r="UA1077" s="22"/>
      <c r="UB1077" s="22"/>
      <c r="UC1077" s="22"/>
      <c r="UD1077" s="22"/>
      <c r="UE1077" s="22"/>
      <c r="UF1077" s="22"/>
      <c r="UG1077" s="23"/>
    </row>
    <row r="1078" spans="1:553" ht="408.75" customHeight="1">
      <c r="A1078" s="356"/>
      <c r="B1078" s="385"/>
      <c r="C1078" s="384" t="s">
        <v>23</v>
      </c>
      <c r="D1078" s="376">
        <v>2</v>
      </c>
      <c r="E1078" s="376">
        <v>180</v>
      </c>
      <c r="F1078" s="385">
        <v>1</v>
      </c>
      <c r="G1078" s="386" t="s">
        <v>935</v>
      </c>
      <c r="H1078" s="387">
        <v>69.099999999999994</v>
      </c>
      <c r="I1078" s="490">
        <v>69.099999999999994</v>
      </c>
      <c r="J1078" s="368">
        <v>62000</v>
      </c>
      <c r="K1078" s="391"/>
      <c r="L1078" s="480">
        <f t="shared" si="165"/>
        <v>4284200</v>
      </c>
      <c r="M1078" s="366"/>
      <c r="N1078" s="366"/>
      <c r="O1078" s="366"/>
      <c r="P1078" s="366"/>
      <c r="Q1078" s="761" t="s">
        <v>607</v>
      </c>
      <c r="R1078" s="1452"/>
      <c r="S1078" s="308"/>
      <c r="T1078" s="308"/>
      <c r="U1078" s="308"/>
      <c r="V1078" s="308"/>
      <c r="W1078" s="685">
        <f>I1078</f>
        <v>69.099999999999994</v>
      </c>
      <c r="X1078" s="308"/>
      <c r="Y1078" s="308"/>
      <c r="Z1078" s="604"/>
      <c r="AA1078" s="308"/>
      <c r="AB1078" s="308"/>
      <c r="AC1078" s="373"/>
      <c r="AD1078" s="373"/>
      <c r="AE1078" s="373"/>
      <c r="AF1078" s="373"/>
      <c r="AG1078" s="373"/>
      <c r="AH1078" s="373"/>
      <c r="AI1078" s="373"/>
      <c r="AJ1078" s="373"/>
      <c r="AK1078" s="389"/>
      <c r="AL1078" s="100"/>
      <c r="AM1078" s="27"/>
      <c r="AN1078" s="27"/>
      <c r="AO1078" s="27"/>
      <c r="AP1078" s="27"/>
      <c r="AQ1078" s="27"/>
      <c r="AR1078" s="27"/>
      <c r="AS1078" s="22"/>
      <c r="AT1078" s="22"/>
      <c r="AU1078" s="22"/>
      <c r="AV1078" s="22"/>
      <c r="AW1078" s="22"/>
      <c r="AX1078" s="22"/>
      <c r="AY1078" s="22"/>
      <c r="AZ1078" s="22"/>
      <c r="BA1078" s="22"/>
      <c r="BB1078" s="22"/>
      <c r="BC1078" s="22"/>
      <c r="BD1078" s="22"/>
      <c r="BE1078" s="22"/>
      <c r="BF1078" s="22"/>
      <c r="BG1078" s="22"/>
      <c r="BH1078" s="22"/>
      <c r="BI1078" s="22"/>
      <c r="BJ1078" s="22"/>
      <c r="BK1078" s="22"/>
      <c r="BL1078" s="22"/>
      <c r="BM1078" s="22"/>
      <c r="BN1078" s="22"/>
      <c r="BO1078" s="22"/>
      <c r="BP1078" s="22"/>
      <c r="BQ1078" s="22"/>
      <c r="BR1078" s="22"/>
      <c r="BS1078" s="22"/>
      <c r="BT1078" s="22"/>
      <c r="BU1078" s="22"/>
      <c r="BV1078" s="22"/>
      <c r="BW1078" s="22"/>
      <c r="BX1078" s="22"/>
      <c r="BY1078" s="22"/>
      <c r="BZ1078" s="22"/>
      <c r="CA1078" s="22"/>
      <c r="CB1078" s="22"/>
      <c r="CC1078" s="22"/>
      <c r="CD1078" s="22"/>
      <c r="CE1078" s="22"/>
      <c r="CF1078" s="22"/>
      <c r="CG1078" s="22"/>
      <c r="CH1078" s="22"/>
      <c r="CI1078" s="22"/>
      <c r="CJ1078" s="22"/>
      <c r="CK1078" s="22"/>
      <c r="CL1078" s="22"/>
      <c r="CM1078" s="22"/>
      <c r="CN1078" s="22"/>
      <c r="CO1078" s="22"/>
      <c r="CP1078" s="22"/>
      <c r="CQ1078" s="22"/>
      <c r="CR1078" s="22"/>
      <c r="CS1078" s="22"/>
      <c r="CT1078" s="22"/>
      <c r="CU1078" s="22"/>
      <c r="CV1078" s="22"/>
      <c r="CW1078" s="22"/>
      <c r="CX1078" s="22"/>
      <c r="CY1078" s="22"/>
      <c r="CZ1078" s="22"/>
      <c r="DA1078" s="22"/>
      <c r="DB1078" s="22"/>
      <c r="DC1078" s="22"/>
      <c r="DD1078" s="22"/>
      <c r="DE1078" s="22"/>
      <c r="DF1078" s="22"/>
      <c r="DG1078" s="22"/>
      <c r="DH1078" s="22"/>
      <c r="DI1078" s="22"/>
      <c r="DJ1078" s="22"/>
      <c r="DK1078" s="22"/>
      <c r="DL1078" s="22"/>
      <c r="DM1078" s="22"/>
      <c r="DN1078" s="22"/>
      <c r="DO1078" s="22"/>
      <c r="DP1078" s="22"/>
      <c r="DQ1078" s="22"/>
      <c r="DR1078" s="22"/>
      <c r="DS1078" s="22"/>
      <c r="DT1078" s="22"/>
      <c r="DU1078" s="22"/>
      <c r="DV1078" s="22"/>
      <c r="DW1078" s="22"/>
      <c r="DX1078" s="22"/>
      <c r="DY1078" s="22"/>
      <c r="DZ1078" s="22"/>
      <c r="EA1078" s="22"/>
      <c r="EB1078" s="22"/>
      <c r="EC1078" s="22"/>
      <c r="ED1078" s="22"/>
      <c r="EE1078" s="22"/>
      <c r="EF1078" s="22"/>
      <c r="EG1078" s="22"/>
      <c r="EH1078" s="22"/>
      <c r="EI1078" s="22"/>
      <c r="EJ1078" s="22"/>
      <c r="EK1078" s="22"/>
      <c r="EL1078" s="22"/>
      <c r="EM1078" s="22"/>
      <c r="EN1078" s="22"/>
      <c r="EO1078" s="22"/>
      <c r="EP1078" s="22"/>
      <c r="EQ1078" s="22"/>
      <c r="ER1078" s="22"/>
      <c r="ES1078" s="22"/>
      <c r="ET1078" s="22"/>
      <c r="EU1078" s="22"/>
      <c r="EV1078" s="22"/>
      <c r="EW1078" s="22"/>
      <c r="EX1078" s="22"/>
      <c r="EY1078" s="22"/>
      <c r="EZ1078" s="22"/>
      <c r="FA1078" s="22"/>
      <c r="FB1078" s="22"/>
      <c r="FC1078" s="22"/>
      <c r="FD1078" s="22"/>
      <c r="FE1078" s="22"/>
      <c r="FF1078" s="22"/>
      <c r="FG1078" s="22"/>
      <c r="FH1078" s="22"/>
      <c r="FI1078" s="22"/>
      <c r="FJ1078" s="22"/>
      <c r="FK1078" s="22"/>
      <c r="FL1078" s="22"/>
      <c r="FM1078" s="22"/>
      <c r="FN1078" s="22"/>
      <c r="FO1078" s="22"/>
      <c r="FP1078" s="22"/>
      <c r="FQ1078" s="22"/>
      <c r="FR1078" s="22"/>
      <c r="FS1078" s="22"/>
      <c r="FT1078" s="22"/>
      <c r="FU1078" s="22"/>
      <c r="FV1078" s="22"/>
      <c r="FW1078" s="22"/>
      <c r="FX1078" s="22"/>
      <c r="FY1078" s="22"/>
      <c r="FZ1078" s="22"/>
      <c r="GA1078" s="22"/>
      <c r="GB1078" s="22"/>
      <c r="GC1078" s="22"/>
      <c r="GD1078" s="22"/>
      <c r="GE1078" s="22"/>
      <c r="GF1078" s="22"/>
      <c r="GG1078" s="22"/>
      <c r="GH1078" s="22"/>
      <c r="GI1078" s="22"/>
      <c r="GJ1078" s="22"/>
      <c r="GK1078" s="22"/>
      <c r="GL1078" s="22"/>
      <c r="GM1078" s="22"/>
      <c r="GN1078" s="22"/>
      <c r="GO1078" s="22"/>
      <c r="GP1078" s="22"/>
      <c r="GQ1078" s="22"/>
      <c r="GR1078" s="22"/>
      <c r="GS1078" s="22"/>
      <c r="GT1078" s="22"/>
      <c r="GU1078" s="22"/>
      <c r="GV1078" s="22"/>
      <c r="GW1078" s="22"/>
      <c r="GX1078" s="22"/>
      <c r="GY1078" s="22"/>
      <c r="GZ1078" s="22"/>
      <c r="HA1078" s="22"/>
      <c r="HB1078" s="22"/>
      <c r="HC1078" s="22"/>
      <c r="HD1078" s="22"/>
      <c r="HE1078" s="22"/>
      <c r="HF1078" s="22"/>
      <c r="HG1078" s="22"/>
      <c r="HH1078" s="22"/>
      <c r="HI1078" s="22"/>
      <c r="HJ1078" s="22"/>
      <c r="HK1078" s="22"/>
      <c r="HL1078" s="22"/>
      <c r="HM1078" s="22"/>
      <c r="HN1078" s="22"/>
      <c r="HO1078" s="22"/>
      <c r="HP1078" s="22"/>
      <c r="HQ1078" s="22"/>
      <c r="HR1078" s="22"/>
      <c r="HS1078" s="22"/>
      <c r="HT1078" s="22"/>
      <c r="HU1078" s="22"/>
      <c r="HV1078" s="22"/>
      <c r="HW1078" s="22"/>
      <c r="HX1078" s="22"/>
      <c r="HY1078" s="22"/>
      <c r="HZ1078" s="22"/>
      <c r="IA1078" s="22"/>
      <c r="IB1078" s="22"/>
      <c r="IC1078" s="22"/>
      <c r="ID1078" s="22"/>
      <c r="IE1078" s="22"/>
      <c r="IF1078" s="22"/>
      <c r="IG1078" s="22"/>
      <c r="IH1078" s="22"/>
      <c r="II1078" s="22"/>
      <c r="IJ1078" s="22"/>
      <c r="IK1078" s="22"/>
      <c r="IL1078" s="22"/>
      <c r="IM1078" s="22"/>
      <c r="IN1078" s="22"/>
      <c r="IO1078" s="22"/>
      <c r="IP1078" s="22"/>
      <c r="IQ1078" s="22"/>
      <c r="IR1078" s="22"/>
      <c r="IS1078" s="22"/>
      <c r="IT1078" s="22"/>
      <c r="IU1078" s="22"/>
      <c r="IV1078" s="22"/>
      <c r="IW1078" s="22"/>
      <c r="IX1078" s="22"/>
      <c r="IY1078" s="22"/>
      <c r="IZ1078" s="22"/>
      <c r="JA1078" s="22"/>
      <c r="JB1078" s="22"/>
      <c r="JC1078" s="22"/>
      <c r="JD1078" s="22"/>
      <c r="JE1078" s="22"/>
      <c r="JF1078" s="22"/>
      <c r="JG1078" s="22"/>
      <c r="JH1078" s="22"/>
      <c r="JI1078" s="22"/>
      <c r="JJ1078" s="22"/>
      <c r="JK1078" s="22"/>
      <c r="JL1078" s="22"/>
      <c r="JM1078" s="22"/>
      <c r="JN1078" s="22"/>
      <c r="JO1078" s="22"/>
      <c r="JP1078" s="22"/>
      <c r="JQ1078" s="22"/>
      <c r="JR1078" s="22"/>
      <c r="JS1078" s="22"/>
      <c r="JT1078" s="22"/>
      <c r="JU1078" s="22"/>
      <c r="JV1078" s="22"/>
      <c r="JW1078" s="22"/>
      <c r="JX1078" s="22"/>
      <c r="JY1078" s="22"/>
      <c r="JZ1078" s="22"/>
      <c r="KA1078" s="22"/>
      <c r="KB1078" s="22"/>
      <c r="KC1078" s="22"/>
      <c r="KD1078" s="22"/>
      <c r="KE1078" s="22"/>
      <c r="KF1078" s="22"/>
      <c r="KG1078" s="22"/>
      <c r="KH1078" s="22"/>
      <c r="KI1078" s="22"/>
      <c r="KJ1078" s="22"/>
      <c r="KK1078" s="22"/>
      <c r="KL1078" s="22"/>
      <c r="KM1078" s="22"/>
      <c r="KN1078" s="22"/>
      <c r="KO1078" s="22"/>
      <c r="KP1078" s="22"/>
      <c r="KQ1078" s="22"/>
      <c r="KR1078" s="22"/>
      <c r="KS1078" s="22"/>
      <c r="KT1078" s="22"/>
      <c r="KU1078" s="22"/>
      <c r="KV1078" s="22"/>
      <c r="KW1078" s="22"/>
      <c r="KX1078" s="22"/>
      <c r="KY1078" s="22"/>
      <c r="KZ1078" s="22"/>
      <c r="LA1078" s="22"/>
      <c r="LB1078" s="22"/>
      <c r="LC1078" s="22"/>
      <c r="LD1078" s="22"/>
      <c r="LE1078" s="22"/>
      <c r="LF1078" s="22"/>
      <c r="LG1078" s="22"/>
      <c r="LH1078" s="22"/>
      <c r="LI1078" s="22"/>
      <c r="LJ1078" s="22"/>
      <c r="LK1078" s="22"/>
      <c r="LL1078" s="22"/>
      <c r="LM1078" s="22"/>
      <c r="LN1078" s="22"/>
      <c r="LO1078" s="22"/>
      <c r="LP1078" s="22"/>
      <c r="LQ1078" s="22"/>
      <c r="LR1078" s="22"/>
      <c r="LS1078" s="22"/>
      <c r="LT1078" s="22"/>
      <c r="LU1078" s="22"/>
      <c r="LV1078" s="22"/>
      <c r="LW1078" s="22"/>
      <c r="LX1078" s="22"/>
      <c r="LY1078" s="22"/>
      <c r="LZ1078" s="22"/>
      <c r="MA1078" s="22"/>
      <c r="MB1078" s="22"/>
      <c r="MC1078" s="22"/>
      <c r="MD1078" s="22"/>
      <c r="ME1078" s="22"/>
      <c r="MF1078" s="22"/>
      <c r="MG1078" s="22"/>
      <c r="MH1078" s="22"/>
      <c r="MI1078" s="22"/>
      <c r="MJ1078" s="22"/>
      <c r="MK1078" s="22"/>
      <c r="ML1078" s="22"/>
      <c r="MM1078" s="22"/>
      <c r="MN1078" s="22"/>
      <c r="MO1078" s="22"/>
      <c r="MP1078" s="22"/>
      <c r="MQ1078" s="22"/>
      <c r="MR1078" s="22"/>
      <c r="MS1078" s="22"/>
      <c r="MT1078" s="22"/>
      <c r="MU1078" s="22"/>
      <c r="MV1078" s="22"/>
      <c r="MW1078" s="22"/>
      <c r="MX1078" s="22"/>
      <c r="MY1078" s="22"/>
      <c r="MZ1078" s="22"/>
      <c r="NA1078" s="22"/>
      <c r="NB1078" s="22"/>
      <c r="NC1078" s="22"/>
      <c r="ND1078" s="22"/>
      <c r="NE1078" s="22"/>
      <c r="NF1078" s="22"/>
      <c r="NG1078" s="22"/>
      <c r="NH1078" s="22"/>
      <c r="NI1078" s="22"/>
      <c r="NJ1078" s="22"/>
      <c r="NK1078" s="22"/>
      <c r="NL1078" s="22"/>
      <c r="NM1078" s="22"/>
      <c r="NN1078" s="22"/>
      <c r="NO1078" s="22"/>
      <c r="NP1078" s="22"/>
      <c r="NQ1078" s="22"/>
      <c r="NR1078" s="22"/>
      <c r="NS1078" s="22"/>
      <c r="NT1078" s="22"/>
      <c r="NU1078" s="22"/>
      <c r="NV1078" s="22"/>
      <c r="NW1078" s="22"/>
      <c r="NX1078" s="22"/>
      <c r="NY1078" s="22"/>
      <c r="NZ1078" s="22"/>
      <c r="OA1078" s="22"/>
      <c r="OB1078" s="22"/>
      <c r="OC1078" s="22"/>
      <c r="OD1078" s="22"/>
      <c r="OE1078" s="22"/>
      <c r="OF1078" s="22"/>
      <c r="OG1078" s="22"/>
      <c r="OH1078" s="22"/>
      <c r="OI1078" s="22"/>
      <c r="OJ1078" s="22"/>
      <c r="OK1078" s="22"/>
      <c r="OL1078" s="22"/>
      <c r="OM1078" s="22"/>
      <c r="ON1078" s="22"/>
      <c r="OO1078" s="22"/>
      <c r="OP1078" s="22"/>
      <c r="OQ1078" s="22"/>
      <c r="OR1078" s="22"/>
      <c r="OS1078" s="22"/>
      <c r="OT1078" s="22"/>
      <c r="OU1078" s="22"/>
      <c r="OV1078" s="22"/>
      <c r="OW1078" s="22"/>
      <c r="OX1078" s="22"/>
      <c r="OY1078" s="22"/>
      <c r="OZ1078" s="22"/>
      <c r="PA1078" s="22"/>
      <c r="PB1078" s="22"/>
      <c r="PC1078" s="22"/>
      <c r="PD1078" s="22"/>
      <c r="PE1078" s="22"/>
      <c r="PF1078" s="22"/>
      <c r="PG1078" s="22"/>
      <c r="PH1078" s="22"/>
      <c r="PI1078" s="22"/>
      <c r="PJ1078" s="22"/>
      <c r="PK1078" s="22"/>
      <c r="PL1078" s="22"/>
      <c r="PM1078" s="22"/>
      <c r="PN1078" s="22"/>
      <c r="PO1078" s="22"/>
      <c r="PP1078" s="22"/>
      <c r="PQ1078" s="22"/>
      <c r="PR1078" s="22"/>
      <c r="PS1078" s="22"/>
      <c r="PT1078" s="22"/>
      <c r="PU1078" s="22"/>
      <c r="PV1078" s="22"/>
      <c r="PW1078" s="22"/>
      <c r="PX1078" s="22"/>
      <c r="PY1078" s="22"/>
      <c r="PZ1078" s="22"/>
      <c r="QA1078" s="22"/>
      <c r="QB1078" s="22"/>
      <c r="QC1078" s="22"/>
      <c r="QD1078" s="22"/>
      <c r="QE1078" s="22"/>
      <c r="QF1078" s="22"/>
      <c r="QG1078" s="22"/>
      <c r="QH1078" s="22"/>
      <c r="QI1078" s="22"/>
      <c r="QJ1078" s="22"/>
      <c r="QK1078" s="22"/>
      <c r="QL1078" s="22"/>
      <c r="QM1078" s="22"/>
      <c r="QN1078" s="22"/>
      <c r="QO1078" s="22"/>
      <c r="QP1078" s="22"/>
      <c r="QQ1078" s="22"/>
      <c r="QR1078" s="22"/>
      <c r="QS1078" s="22"/>
      <c r="QT1078" s="22"/>
      <c r="QU1078" s="22"/>
      <c r="QV1078" s="22"/>
      <c r="QW1078" s="22"/>
      <c r="QX1078" s="22"/>
      <c r="QY1078" s="22"/>
      <c r="QZ1078" s="22"/>
      <c r="RA1078" s="22"/>
      <c r="RB1078" s="22"/>
      <c r="RC1078" s="22"/>
      <c r="RD1078" s="22"/>
      <c r="RE1078" s="22"/>
      <c r="RF1078" s="22"/>
      <c r="RG1078" s="22"/>
      <c r="RH1078" s="22"/>
      <c r="RI1078" s="22"/>
      <c r="RJ1078" s="22"/>
      <c r="RK1078" s="22"/>
      <c r="RL1078" s="22"/>
      <c r="RM1078" s="22"/>
      <c r="RN1078" s="22"/>
      <c r="RO1078" s="22"/>
      <c r="RP1078" s="22"/>
      <c r="RQ1078" s="22"/>
      <c r="RR1078" s="22"/>
      <c r="RS1078" s="22"/>
      <c r="RT1078" s="22"/>
      <c r="RU1078" s="22"/>
      <c r="RV1078" s="22"/>
      <c r="RW1078" s="22"/>
      <c r="RX1078" s="22"/>
      <c r="RY1078" s="22"/>
      <c r="RZ1078" s="22"/>
      <c r="SA1078" s="22"/>
      <c r="SB1078" s="22"/>
      <c r="SC1078" s="22"/>
      <c r="SD1078" s="22"/>
      <c r="SE1078" s="22"/>
      <c r="SF1078" s="22"/>
      <c r="SG1078" s="22"/>
      <c r="SH1078" s="22"/>
      <c r="SI1078" s="22"/>
      <c r="SJ1078" s="22"/>
      <c r="SK1078" s="22"/>
      <c r="SL1078" s="22"/>
      <c r="SM1078" s="22"/>
      <c r="SN1078" s="22"/>
      <c r="SO1078" s="22"/>
      <c r="SP1078" s="22"/>
      <c r="SQ1078" s="22"/>
      <c r="SR1078" s="22"/>
      <c r="SS1078" s="22"/>
      <c r="ST1078" s="22"/>
      <c r="SU1078" s="22"/>
      <c r="SV1078" s="22"/>
      <c r="SW1078" s="22"/>
      <c r="SX1078" s="22"/>
      <c r="SY1078" s="22"/>
      <c r="SZ1078" s="22"/>
      <c r="TA1078" s="22"/>
      <c r="TB1078" s="22"/>
      <c r="TC1078" s="22"/>
      <c r="TD1078" s="22"/>
      <c r="TE1078" s="22"/>
      <c r="TF1078" s="22"/>
      <c r="TG1078" s="22"/>
      <c r="TH1078" s="22"/>
      <c r="TI1078" s="22"/>
      <c r="TJ1078" s="22"/>
      <c r="TK1078" s="22"/>
      <c r="TL1078" s="22"/>
      <c r="TM1078" s="22"/>
      <c r="TN1078" s="22"/>
      <c r="TO1078" s="22"/>
      <c r="TP1078" s="22"/>
      <c r="TQ1078" s="22"/>
      <c r="TR1078" s="22"/>
      <c r="TS1078" s="22"/>
      <c r="TT1078" s="22"/>
      <c r="TU1078" s="22"/>
      <c r="TV1078" s="22"/>
      <c r="TW1078" s="22"/>
      <c r="TX1078" s="22"/>
      <c r="TY1078" s="22"/>
      <c r="TZ1078" s="22"/>
      <c r="UA1078" s="22"/>
      <c r="UB1078" s="22"/>
      <c r="UC1078" s="22"/>
      <c r="UD1078" s="22"/>
      <c r="UE1078" s="22"/>
      <c r="UF1078" s="22"/>
      <c r="UG1078" s="23"/>
    </row>
    <row r="1079" spans="1:553" ht="409.5" customHeight="1">
      <c r="A1079" s="356"/>
      <c r="B1079" s="385"/>
      <c r="C1079" s="384" t="s">
        <v>23</v>
      </c>
      <c r="D1079" s="376">
        <v>2</v>
      </c>
      <c r="E1079" s="376">
        <v>228</v>
      </c>
      <c r="F1079" s="385">
        <v>1</v>
      </c>
      <c r="G1079" s="386" t="s">
        <v>935</v>
      </c>
      <c r="H1079" s="387">
        <v>364.1</v>
      </c>
      <c r="I1079" s="490">
        <v>364.1</v>
      </c>
      <c r="J1079" s="368">
        <v>62000</v>
      </c>
      <c r="K1079" s="391"/>
      <c r="L1079" s="480">
        <f t="shared" si="165"/>
        <v>22574200</v>
      </c>
      <c r="M1079" s="366"/>
      <c r="N1079" s="366"/>
      <c r="O1079" s="366"/>
      <c r="P1079" s="366"/>
      <c r="Q1079" s="761" t="s">
        <v>608</v>
      </c>
      <c r="R1079" s="1452"/>
      <c r="S1079" s="308"/>
      <c r="T1079" s="308"/>
      <c r="U1079" s="308"/>
      <c r="V1079" s="308"/>
      <c r="W1079" s="685">
        <f>I1079</f>
        <v>364.1</v>
      </c>
      <c r="X1079" s="308"/>
      <c r="Y1079" s="308"/>
      <c r="Z1079" s="604"/>
      <c r="AA1079" s="308"/>
      <c r="AB1079" s="308"/>
      <c r="AC1079" s="373"/>
      <c r="AD1079" s="373"/>
      <c r="AE1079" s="373"/>
      <c r="AF1079" s="373"/>
      <c r="AG1079" s="373"/>
      <c r="AH1079" s="373"/>
      <c r="AI1079" s="373"/>
      <c r="AJ1079" s="373"/>
      <c r="AK1079" s="389"/>
      <c r="AL1079" s="100"/>
      <c r="AM1079" s="27"/>
      <c r="AN1079" s="27"/>
      <c r="AO1079" s="27"/>
      <c r="AP1079" s="27"/>
      <c r="AQ1079" s="27"/>
      <c r="AR1079" s="27"/>
      <c r="AS1079" s="22"/>
      <c r="AT1079" s="22"/>
      <c r="AU1079" s="22"/>
      <c r="AV1079" s="22"/>
      <c r="AW1079" s="22"/>
      <c r="AX1079" s="22"/>
      <c r="AY1079" s="22"/>
      <c r="AZ1079" s="22"/>
      <c r="BA1079" s="22"/>
      <c r="BB1079" s="22"/>
      <c r="BC1079" s="22"/>
      <c r="BD1079" s="22"/>
      <c r="BE1079" s="22"/>
      <c r="BF1079" s="22"/>
      <c r="BG1079" s="22"/>
      <c r="BH1079" s="22"/>
      <c r="BI1079" s="22"/>
      <c r="BJ1079" s="22"/>
      <c r="BK1079" s="22"/>
      <c r="BL1079" s="22"/>
      <c r="BM1079" s="22"/>
      <c r="BN1079" s="22"/>
      <c r="BO1079" s="22"/>
      <c r="BP1079" s="22"/>
      <c r="BQ1079" s="22"/>
      <c r="BR1079" s="22"/>
      <c r="BS1079" s="22"/>
      <c r="BT1079" s="22"/>
      <c r="BU1079" s="22"/>
      <c r="BV1079" s="22"/>
      <c r="BW1079" s="22"/>
      <c r="BX1079" s="22"/>
      <c r="BY1079" s="22"/>
      <c r="BZ1079" s="22"/>
      <c r="CA1079" s="22"/>
      <c r="CB1079" s="22"/>
      <c r="CC1079" s="22"/>
      <c r="CD1079" s="22"/>
      <c r="CE1079" s="22"/>
      <c r="CF1079" s="22"/>
      <c r="CG1079" s="22"/>
      <c r="CH1079" s="22"/>
      <c r="CI1079" s="22"/>
      <c r="CJ1079" s="22"/>
      <c r="CK1079" s="22"/>
      <c r="CL1079" s="22"/>
      <c r="CM1079" s="22"/>
      <c r="CN1079" s="22"/>
      <c r="CO1079" s="22"/>
      <c r="CP1079" s="22"/>
      <c r="CQ1079" s="22"/>
      <c r="CR1079" s="22"/>
      <c r="CS1079" s="22"/>
      <c r="CT1079" s="22"/>
      <c r="CU1079" s="22"/>
      <c r="CV1079" s="22"/>
      <c r="CW1079" s="22"/>
      <c r="CX1079" s="22"/>
      <c r="CY1079" s="22"/>
      <c r="CZ1079" s="22"/>
      <c r="DA1079" s="22"/>
      <c r="DB1079" s="22"/>
      <c r="DC1079" s="22"/>
      <c r="DD1079" s="22"/>
      <c r="DE1079" s="22"/>
      <c r="DF1079" s="22"/>
      <c r="DG1079" s="22"/>
      <c r="DH1079" s="22"/>
      <c r="DI1079" s="22"/>
      <c r="DJ1079" s="22"/>
      <c r="DK1079" s="22"/>
      <c r="DL1079" s="22"/>
      <c r="DM1079" s="22"/>
      <c r="DN1079" s="22"/>
      <c r="DO1079" s="22"/>
      <c r="DP1079" s="22"/>
      <c r="DQ1079" s="22"/>
      <c r="DR1079" s="22"/>
      <c r="DS1079" s="22"/>
      <c r="DT1079" s="22"/>
      <c r="DU1079" s="22"/>
      <c r="DV1079" s="22"/>
      <c r="DW1079" s="22"/>
      <c r="DX1079" s="22"/>
      <c r="DY1079" s="22"/>
      <c r="DZ1079" s="22"/>
      <c r="EA1079" s="22"/>
      <c r="EB1079" s="22"/>
      <c r="EC1079" s="22"/>
      <c r="ED1079" s="22"/>
      <c r="EE1079" s="22"/>
      <c r="EF1079" s="22"/>
      <c r="EG1079" s="22"/>
      <c r="EH1079" s="22"/>
      <c r="EI1079" s="22"/>
      <c r="EJ1079" s="22"/>
      <c r="EK1079" s="22"/>
      <c r="EL1079" s="22"/>
      <c r="EM1079" s="22"/>
      <c r="EN1079" s="22"/>
      <c r="EO1079" s="22"/>
      <c r="EP1079" s="22"/>
      <c r="EQ1079" s="22"/>
      <c r="ER1079" s="22"/>
      <c r="ES1079" s="22"/>
      <c r="ET1079" s="22"/>
      <c r="EU1079" s="22"/>
      <c r="EV1079" s="22"/>
      <c r="EW1079" s="22"/>
      <c r="EX1079" s="22"/>
      <c r="EY1079" s="22"/>
      <c r="EZ1079" s="22"/>
      <c r="FA1079" s="22"/>
      <c r="FB1079" s="22"/>
      <c r="FC1079" s="22"/>
      <c r="FD1079" s="22"/>
      <c r="FE1079" s="22"/>
      <c r="FF1079" s="22"/>
      <c r="FG1079" s="22"/>
      <c r="FH1079" s="22"/>
      <c r="FI1079" s="22"/>
      <c r="FJ1079" s="22"/>
      <c r="FK1079" s="22"/>
      <c r="FL1079" s="22"/>
      <c r="FM1079" s="22"/>
      <c r="FN1079" s="22"/>
      <c r="FO1079" s="22"/>
      <c r="FP1079" s="22"/>
      <c r="FQ1079" s="22"/>
      <c r="FR1079" s="22"/>
      <c r="FS1079" s="22"/>
      <c r="FT1079" s="22"/>
      <c r="FU1079" s="22"/>
      <c r="FV1079" s="22"/>
      <c r="FW1079" s="22"/>
      <c r="FX1079" s="22"/>
      <c r="FY1079" s="22"/>
      <c r="FZ1079" s="22"/>
      <c r="GA1079" s="22"/>
      <c r="GB1079" s="22"/>
      <c r="GC1079" s="22"/>
      <c r="GD1079" s="22"/>
      <c r="GE1079" s="22"/>
      <c r="GF1079" s="22"/>
      <c r="GG1079" s="22"/>
      <c r="GH1079" s="22"/>
      <c r="GI1079" s="22"/>
      <c r="GJ1079" s="22"/>
      <c r="GK1079" s="22"/>
      <c r="GL1079" s="22"/>
      <c r="GM1079" s="22"/>
      <c r="GN1079" s="22"/>
      <c r="GO1079" s="22"/>
      <c r="GP1079" s="22"/>
      <c r="GQ1079" s="22"/>
      <c r="GR1079" s="22"/>
      <c r="GS1079" s="22"/>
      <c r="GT1079" s="22"/>
      <c r="GU1079" s="22"/>
      <c r="GV1079" s="22"/>
      <c r="GW1079" s="22"/>
      <c r="GX1079" s="22"/>
      <c r="GY1079" s="22"/>
      <c r="GZ1079" s="22"/>
      <c r="HA1079" s="22"/>
      <c r="HB1079" s="22"/>
      <c r="HC1079" s="22"/>
      <c r="HD1079" s="22"/>
      <c r="HE1079" s="22"/>
      <c r="HF1079" s="22"/>
      <c r="HG1079" s="22"/>
      <c r="HH1079" s="22"/>
      <c r="HI1079" s="22"/>
      <c r="HJ1079" s="22"/>
      <c r="HK1079" s="22"/>
      <c r="HL1079" s="22"/>
      <c r="HM1079" s="22"/>
      <c r="HN1079" s="22"/>
      <c r="HO1079" s="22"/>
      <c r="HP1079" s="22"/>
      <c r="HQ1079" s="22"/>
      <c r="HR1079" s="22"/>
      <c r="HS1079" s="22"/>
      <c r="HT1079" s="22"/>
      <c r="HU1079" s="22"/>
      <c r="HV1079" s="22"/>
      <c r="HW1079" s="22"/>
      <c r="HX1079" s="22"/>
      <c r="HY1079" s="22"/>
      <c r="HZ1079" s="22"/>
      <c r="IA1079" s="22"/>
      <c r="IB1079" s="22"/>
      <c r="IC1079" s="22"/>
      <c r="ID1079" s="22"/>
      <c r="IE1079" s="22"/>
      <c r="IF1079" s="22"/>
      <c r="IG1079" s="22"/>
      <c r="IH1079" s="22"/>
      <c r="II1079" s="22"/>
      <c r="IJ1079" s="22"/>
      <c r="IK1079" s="22"/>
      <c r="IL1079" s="22"/>
      <c r="IM1079" s="22"/>
      <c r="IN1079" s="22"/>
      <c r="IO1079" s="22"/>
      <c r="IP1079" s="22"/>
      <c r="IQ1079" s="22"/>
      <c r="IR1079" s="22"/>
      <c r="IS1079" s="22"/>
      <c r="IT1079" s="22"/>
      <c r="IU1079" s="22"/>
      <c r="IV1079" s="22"/>
      <c r="IW1079" s="22"/>
      <c r="IX1079" s="22"/>
      <c r="IY1079" s="22"/>
      <c r="IZ1079" s="22"/>
      <c r="JA1079" s="22"/>
      <c r="JB1079" s="22"/>
      <c r="JC1079" s="22"/>
      <c r="JD1079" s="22"/>
      <c r="JE1079" s="22"/>
      <c r="JF1079" s="22"/>
      <c r="JG1079" s="22"/>
      <c r="JH1079" s="22"/>
      <c r="JI1079" s="22"/>
      <c r="JJ1079" s="22"/>
      <c r="JK1079" s="22"/>
      <c r="JL1079" s="22"/>
      <c r="JM1079" s="22"/>
      <c r="JN1079" s="22"/>
      <c r="JO1079" s="22"/>
      <c r="JP1079" s="22"/>
      <c r="JQ1079" s="22"/>
      <c r="JR1079" s="22"/>
      <c r="JS1079" s="22"/>
      <c r="JT1079" s="22"/>
      <c r="JU1079" s="22"/>
      <c r="JV1079" s="22"/>
      <c r="JW1079" s="22"/>
      <c r="JX1079" s="22"/>
      <c r="JY1079" s="22"/>
      <c r="JZ1079" s="22"/>
      <c r="KA1079" s="22"/>
      <c r="KB1079" s="22"/>
      <c r="KC1079" s="22"/>
      <c r="KD1079" s="22"/>
      <c r="KE1079" s="22"/>
      <c r="KF1079" s="22"/>
      <c r="KG1079" s="22"/>
      <c r="KH1079" s="22"/>
      <c r="KI1079" s="22"/>
      <c r="KJ1079" s="22"/>
      <c r="KK1079" s="22"/>
      <c r="KL1079" s="22"/>
      <c r="KM1079" s="22"/>
      <c r="KN1079" s="22"/>
      <c r="KO1079" s="22"/>
      <c r="KP1079" s="22"/>
      <c r="KQ1079" s="22"/>
      <c r="KR1079" s="22"/>
      <c r="KS1079" s="22"/>
      <c r="KT1079" s="22"/>
      <c r="KU1079" s="22"/>
      <c r="KV1079" s="22"/>
      <c r="KW1079" s="22"/>
      <c r="KX1079" s="22"/>
      <c r="KY1079" s="22"/>
      <c r="KZ1079" s="22"/>
      <c r="LA1079" s="22"/>
      <c r="LB1079" s="22"/>
      <c r="LC1079" s="22"/>
      <c r="LD1079" s="22"/>
      <c r="LE1079" s="22"/>
      <c r="LF1079" s="22"/>
      <c r="LG1079" s="22"/>
      <c r="LH1079" s="22"/>
      <c r="LI1079" s="22"/>
      <c r="LJ1079" s="22"/>
      <c r="LK1079" s="22"/>
      <c r="LL1079" s="22"/>
      <c r="LM1079" s="22"/>
      <c r="LN1079" s="22"/>
      <c r="LO1079" s="22"/>
      <c r="LP1079" s="22"/>
      <c r="LQ1079" s="22"/>
      <c r="LR1079" s="22"/>
      <c r="LS1079" s="22"/>
      <c r="LT1079" s="22"/>
      <c r="LU1079" s="22"/>
      <c r="LV1079" s="22"/>
      <c r="LW1079" s="22"/>
      <c r="LX1079" s="22"/>
      <c r="LY1079" s="22"/>
      <c r="LZ1079" s="22"/>
      <c r="MA1079" s="22"/>
      <c r="MB1079" s="22"/>
      <c r="MC1079" s="22"/>
      <c r="MD1079" s="22"/>
      <c r="ME1079" s="22"/>
      <c r="MF1079" s="22"/>
      <c r="MG1079" s="22"/>
      <c r="MH1079" s="22"/>
      <c r="MI1079" s="22"/>
      <c r="MJ1079" s="22"/>
      <c r="MK1079" s="22"/>
      <c r="ML1079" s="22"/>
      <c r="MM1079" s="22"/>
      <c r="MN1079" s="22"/>
      <c r="MO1079" s="22"/>
      <c r="MP1079" s="22"/>
      <c r="MQ1079" s="22"/>
      <c r="MR1079" s="22"/>
      <c r="MS1079" s="22"/>
      <c r="MT1079" s="22"/>
      <c r="MU1079" s="22"/>
      <c r="MV1079" s="22"/>
      <c r="MW1079" s="22"/>
      <c r="MX1079" s="22"/>
      <c r="MY1079" s="22"/>
      <c r="MZ1079" s="22"/>
      <c r="NA1079" s="22"/>
      <c r="NB1079" s="22"/>
      <c r="NC1079" s="22"/>
      <c r="ND1079" s="22"/>
      <c r="NE1079" s="22"/>
      <c r="NF1079" s="22"/>
      <c r="NG1079" s="22"/>
      <c r="NH1079" s="22"/>
      <c r="NI1079" s="22"/>
      <c r="NJ1079" s="22"/>
      <c r="NK1079" s="22"/>
      <c r="NL1079" s="22"/>
      <c r="NM1079" s="22"/>
      <c r="NN1079" s="22"/>
      <c r="NO1079" s="22"/>
      <c r="NP1079" s="22"/>
      <c r="NQ1079" s="22"/>
      <c r="NR1079" s="22"/>
      <c r="NS1079" s="22"/>
      <c r="NT1079" s="22"/>
      <c r="NU1079" s="22"/>
      <c r="NV1079" s="22"/>
      <c r="NW1079" s="22"/>
      <c r="NX1079" s="22"/>
      <c r="NY1079" s="22"/>
      <c r="NZ1079" s="22"/>
      <c r="OA1079" s="22"/>
      <c r="OB1079" s="22"/>
      <c r="OC1079" s="22"/>
      <c r="OD1079" s="22"/>
      <c r="OE1079" s="22"/>
      <c r="OF1079" s="22"/>
      <c r="OG1079" s="22"/>
      <c r="OH1079" s="22"/>
      <c r="OI1079" s="22"/>
      <c r="OJ1079" s="22"/>
      <c r="OK1079" s="22"/>
      <c r="OL1079" s="22"/>
      <c r="OM1079" s="22"/>
      <c r="ON1079" s="22"/>
      <c r="OO1079" s="22"/>
      <c r="OP1079" s="22"/>
      <c r="OQ1079" s="22"/>
      <c r="OR1079" s="22"/>
      <c r="OS1079" s="22"/>
      <c r="OT1079" s="22"/>
      <c r="OU1079" s="22"/>
      <c r="OV1079" s="22"/>
      <c r="OW1079" s="22"/>
      <c r="OX1079" s="22"/>
      <c r="OY1079" s="22"/>
      <c r="OZ1079" s="22"/>
      <c r="PA1079" s="22"/>
      <c r="PB1079" s="22"/>
      <c r="PC1079" s="22"/>
      <c r="PD1079" s="22"/>
      <c r="PE1079" s="22"/>
      <c r="PF1079" s="22"/>
      <c r="PG1079" s="22"/>
      <c r="PH1079" s="22"/>
      <c r="PI1079" s="22"/>
      <c r="PJ1079" s="22"/>
      <c r="PK1079" s="22"/>
      <c r="PL1079" s="22"/>
      <c r="PM1079" s="22"/>
      <c r="PN1079" s="22"/>
      <c r="PO1079" s="22"/>
      <c r="PP1079" s="22"/>
      <c r="PQ1079" s="22"/>
      <c r="PR1079" s="22"/>
      <c r="PS1079" s="22"/>
      <c r="PT1079" s="22"/>
      <c r="PU1079" s="22"/>
      <c r="PV1079" s="22"/>
      <c r="PW1079" s="22"/>
      <c r="PX1079" s="22"/>
      <c r="PY1079" s="22"/>
      <c r="PZ1079" s="22"/>
      <c r="QA1079" s="22"/>
      <c r="QB1079" s="22"/>
      <c r="QC1079" s="22"/>
      <c r="QD1079" s="22"/>
      <c r="QE1079" s="22"/>
      <c r="QF1079" s="22"/>
      <c r="QG1079" s="22"/>
      <c r="QH1079" s="22"/>
      <c r="QI1079" s="22"/>
      <c r="QJ1079" s="22"/>
      <c r="QK1079" s="22"/>
      <c r="QL1079" s="22"/>
      <c r="QM1079" s="22"/>
      <c r="QN1079" s="22"/>
      <c r="QO1079" s="22"/>
      <c r="QP1079" s="22"/>
      <c r="QQ1079" s="22"/>
      <c r="QR1079" s="22"/>
      <c r="QS1079" s="22"/>
      <c r="QT1079" s="22"/>
      <c r="QU1079" s="22"/>
      <c r="QV1079" s="22"/>
      <c r="QW1079" s="22"/>
      <c r="QX1079" s="22"/>
      <c r="QY1079" s="22"/>
      <c r="QZ1079" s="22"/>
      <c r="RA1079" s="22"/>
      <c r="RB1079" s="22"/>
      <c r="RC1079" s="22"/>
      <c r="RD1079" s="22"/>
      <c r="RE1079" s="22"/>
      <c r="RF1079" s="22"/>
      <c r="RG1079" s="22"/>
      <c r="RH1079" s="22"/>
      <c r="RI1079" s="22"/>
      <c r="RJ1079" s="22"/>
      <c r="RK1079" s="22"/>
      <c r="RL1079" s="22"/>
      <c r="RM1079" s="22"/>
      <c r="RN1079" s="22"/>
      <c r="RO1079" s="22"/>
      <c r="RP1079" s="22"/>
      <c r="RQ1079" s="22"/>
      <c r="RR1079" s="22"/>
      <c r="RS1079" s="22"/>
      <c r="RT1079" s="22"/>
      <c r="RU1079" s="22"/>
      <c r="RV1079" s="22"/>
      <c r="RW1079" s="22"/>
      <c r="RX1079" s="22"/>
      <c r="RY1079" s="22"/>
      <c r="RZ1079" s="22"/>
      <c r="SA1079" s="22"/>
      <c r="SB1079" s="22"/>
      <c r="SC1079" s="22"/>
      <c r="SD1079" s="22"/>
      <c r="SE1079" s="22"/>
      <c r="SF1079" s="22"/>
      <c r="SG1079" s="22"/>
      <c r="SH1079" s="22"/>
      <c r="SI1079" s="22"/>
      <c r="SJ1079" s="22"/>
      <c r="SK1079" s="22"/>
      <c r="SL1079" s="22"/>
      <c r="SM1079" s="22"/>
      <c r="SN1079" s="22"/>
      <c r="SO1079" s="22"/>
      <c r="SP1079" s="22"/>
      <c r="SQ1079" s="22"/>
      <c r="SR1079" s="22"/>
      <c r="SS1079" s="22"/>
      <c r="ST1079" s="22"/>
      <c r="SU1079" s="22"/>
      <c r="SV1079" s="22"/>
      <c r="SW1079" s="22"/>
      <c r="SX1079" s="22"/>
      <c r="SY1079" s="22"/>
      <c r="SZ1079" s="22"/>
      <c r="TA1079" s="22"/>
      <c r="TB1079" s="22"/>
      <c r="TC1079" s="22"/>
      <c r="TD1079" s="22"/>
      <c r="TE1079" s="22"/>
      <c r="TF1079" s="22"/>
      <c r="TG1079" s="22"/>
      <c r="TH1079" s="22"/>
      <c r="TI1079" s="22"/>
      <c r="TJ1079" s="22"/>
      <c r="TK1079" s="22"/>
      <c r="TL1079" s="22"/>
      <c r="TM1079" s="22"/>
      <c r="TN1079" s="22"/>
      <c r="TO1079" s="22"/>
      <c r="TP1079" s="22"/>
      <c r="TQ1079" s="22"/>
      <c r="TR1079" s="22"/>
      <c r="TS1079" s="22"/>
      <c r="TT1079" s="22"/>
      <c r="TU1079" s="22"/>
      <c r="TV1079" s="22"/>
      <c r="TW1079" s="22"/>
      <c r="TX1079" s="22"/>
      <c r="TY1079" s="22"/>
      <c r="TZ1079" s="22"/>
      <c r="UA1079" s="22"/>
      <c r="UB1079" s="22"/>
      <c r="UC1079" s="22"/>
      <c r="UD1079" s="22"/>
      <c r="UE1079" s="22"/>
      <c r="UF1079" s="22"/>
      <c r="UG1079" s="23"/>
    </row>
    <row r="1080" spans="1:553" ht="344.25" customHeight="1">
      <c r="A1080" s="356"/>
      <c r="B1080" s="385"/>
      <c r="C1080" s="384" t="s">
        <v>69</v>
      </c>
      <c r="D1080" s="376" t="s">
        <v>20</v>
      </c>
      <c r="E1080" s="376" t="s">
        <v>609</v>
      </c>
      <c r="F1080" s="376">
        <v>1</v>
      </c>
      <c r="G1080" s="417" t="s">
        <v>1303</v>
      </c>
      <c r="H1080" s="387">
        <v>112.1</v>
      </c>
      <c r="I1080" s="441">
        <v>112.1</v>
      </c>
      <c r="J1080" s="368">
        <v>55000</v>
      </c>
      <c r="K1080" s="391"/>
      <c r="L1080" s="480">
        <f t="shared" si="165"/>
        <v>6165500</v>
      </c>
      <c r="M1080" s="366"/>
      <c r="N1080" s="366"/>
      <c r="O1080" s="366"/>
      <c r="P1080" s="366"/>
      <c r="Q1080" s="761" t="s">
        <v>610</v>
      </c>
      <c r="R1080" s="1452"/>
      <c r="S1080" s="308"/>
      <c r="T1080" s="308"/>
      <c r="U1080" s="308"/>
      <c r="V1080" s="308"/>
      <c r="W1080" s="308"/>
      <c r="X1080" s="307">
        <f>I1080</f>
        <v>112.1</v>
      </c>
      <c r="Y1080" s="308"/>
      <c r="Z1080" s="604"/>
      <c r="AA1080" s="308"/>
      <c r="AB1080" s="308"/>
      <c r="AC1080" s="373"/>
      <c r="AD1080" s="373"/>
      <c r="AE1080" s="373"/>
      <c r="AF1080" s="373"/>
      <c r="AG1080" s="373"/>
      <c r="AH1080" s="373"/>
      <c r="AI1080" s="373"/>
      <c r="AJ1080" s="373"/>
      <c r="AK1080" s="389"/>
      <c r="AL1080" s="100"/>
      <c r="AM1080" s="27"/>
      <c r="AN1080" s="27"/>
      <c r="AO1080" s="27"/>
      <c r="AP1080" s="27"/>
      <c r="AQ1080" s="27"/>
      <c r="AR1080" s="27"/>
      <c r="AS1080" s="22"/>
      <c r="AT1080" s="22"/>
      <c r="AU1080" s="22"/>
      <c r="AV1080" s="22"/>
      <c r="AW1080" s="22"/>
      <c r="AX1080" s="22"/>
      <c r="AY1080" s="22"/>
      <c r="AZ1080" s="22"/>
      <c r="BA1080" s="22"/>
      <c r="BB1080" s="22"/>
      <c r="BC1080" s="22"/>
      <c r="BD1080" s="22"/>
      <c r="BE1080" s="22"/>
      <c r="BF1080" s="22"/>
      <c r="BG1080" s="22"/>
      <c r="BH1080" s="22"/>
      <c r="BI1080" s="22"/>
      <c r="BJ1080" s="22"/>
      <c r="BK1080" s="22"/>
      <c r="BL1080" s="22"/>
      <c r="BM1080" s="22"/>
      <c r="BN1080" s="22"/>
      <c r="BO1080" s="22"/>
      <c r="BP1080" s="22"/>
      <c r="BQ1080" s="22"/>
      <c r="BR1080" s="22"/>
      <c r="BS1080" s="22"/>
      <c r="BT1080" s="22"/>
      <c r="BU1080" s="22"/>
      <c r="BV1080" s="22"/>
      <c r="BW1080" s="22"/>
      <c r="BX1080" s="22"/>
      <c r="BY1080" s="22"/>
      <c r="BZ1080" s="22"/>
      <c r="CA1080" s="22"/>
      <c r="CB1080" s="22"/>
      <c r="CC1080" s="22"/>
      <c r="CD1080" s="22"/>
      <c r="CE1080" s="22"/>
      <c r="CF1080" s="22"/>
      <c r="CG1080" s="22"/>
      <c r="CH1080" s="22"/>
      <c r="CI1080" s="22"/>
      <c r="CJ1080" s="22"/>
      <c r="CK1080" s="22"/>
      <c r="CL1080" s="22"/>
      <c r="CM1080" s="22"/>
      <c r="CN1080" s="22"/>
      <c r="CO1080" s="22"/>
      <c r="CP1080" s="22"/>
      <c r="CQ1080" s="22"/>
      <c r="CR1080" s="22"/>
      <c r="CS1080" s="22"/>
      <c r="CT1080" s="22"/>
      <c r="CU1080" s="22"/>
      <c r="CV1080" s="22"/>
      <c r="CW1080" s="22"/>
      <c r="CX1080" s="22"/>
      <c r="CY1080" s="22"/>
      <c r="CZ1080" s="22"/>
      <c r="DA1080" s="22"/>
      <c r="DB1080" s="22"/>
      <c r="DC1080" s="22"/>
      <c r="DD1080" s="22"/>
      <c r="DE1080" s="22"/>
      <c r="DF1080" s="22"/>
      <c r="DG1080" s="22"/>
      <c r="DH1080" s="22"/>
      <c r="DI1080" s="22"/>
      <c r="DJ1080" s="22"/>
      <c r="DK1080" s="22"/>
      <c r="DL1080" s="22"/>
      <c r="DM1080" s="22"/>
      <c r="DN1080" s="22"/>
      <c r="DO1080" s="22"/>
      <c r="DP1080" s="22"/>
      <c r="DQ1080" s="22"/>
      <c r="DR1080" s="22"/>
      <c r="DS1080" s="22"/>
      <c r="DT1080" s="22"/>
      <c r="DU1080" s="22"/>
      <c r="DV1080" s="22"/>
      <c r="DW1080" s="22"/>
      <c r="DX1080" s="22"/>
      <c r="DY1080" s="22"/>
      <c r="DZ1080" s="22"/>
      <c r="EA1080" s="22"/>
      <c r="EB1080" s="22"/>
      <c r="EC1080" s="22"/>
      <c r="ED1080" s="22"/>
      <c r="EE1080" s="22"/>
      <c r="EF1080" s="22"/>
      <c r="EG1080" s="22"/>
      <c r="EH1080" s="22"/>
      <c r="EI1080" s="22"/>
      <c r="EJ1080" s="22"/>
      <c r="EK1080" s="22"/>
      <c r="EL1080" s="22"/>
      <c r="EM1080" s="22"/>
      <c r="EN1080" s="22"/>
      <c r="EO1080" s="22"/>
      <c r="EP1080" s="22"/>
      <c r="EQ1080" s="22"/>
      <c r="ER1080" s="22"/>
      <c r="ES1080" s="22"/>
      <c r="ET1080" s="22"/>
      <c r="EU1080" s="22"/>
      <c r="EV1080" s="22"/>
      <c r="EW1080" s="22"/>
      <c r="EX1080" s="22"/>
      <c r="EY1080" s="22"/>
      <c r="EZ1080" s="22"/>
      <c r="FA1080" s="22"/>
      <c r="FB1080" s="22"/>
      <c r="FC1080" s="22"/>
      <c r="FD1080" s="22"/>
      <c r="FE1080" s="22"/>
      <c r="FF1080" s="22"/>
      <c r="FG1080" s="22"/>
      <c r="FH1080" s="22"/>
      <c r="FI1080" s="22"/>
      <c r="FJ1080" s="22"/>
      <c r="FK1080" s="22"/>
      <c r="FL1080" s="22"/>
      <c r="FM1080" s="22"/>
      <c r="FN1080" s="22"/>
      <c r="FO1080" s="22"/>
      <c r="FP1080" s="22"/>
      <c r="FQ1080" s="22"/>
      <c r="FR1080" s="22"/>
      <c r="FS1080" s="22"/>
      <c r="FT1080" s="22"/>
      <c r="FU1080" s="22"/>
      <c r="FV1080" s="22"/>
      <c r="FW1080" s="22"/>
      <c r="FX1080" s="22"/>
      <c r="FY1080" s="22"/>
      <c r="FZ1080" s="22"/>
      <c r="GA1080" s="22"/>
      <c r="GB1080" s="22"/>
      <c r="GC1080" s="22"/>
      <c r="GD1080" s="22"/>
      <c r="GE1080" s="22"/>
      <c r="GF1080" s="22"/>
      <c r="GG1080" s="22"/>
      <c r="GH1080" s="22"/>
      <c r="GI1080" s="22"/>
      <c r="GJ1080" s="22"/>
      <c r="GK1080" s="22"/>
      <c r="GL1080" s="22"/>
      <c r="GM1080" s="22"/>
      <c r="GN1080" s="22"/>
      <c r="GO1080" s="22"/>
      <c r="GP1080" s="22"/>
      <c r="GQ1080" s="22"/>
      <c r="GR1080" s="22"/>
      <c r="GS1080" s="22"/>
      <c r="GT1080" s="22"/>
      <c r="GU1080" s="22"/>
      <c r="GV1080" s="22"/>
      <c r="GW1080" s="22"/>
      <c r="GX1080" s="22"/>
      <c r="GY1080" s="22"/>
      <c r="GZ1080" s="22"/>
      <c r="HA1080" s="22"/>
      <c r="HB1080" s="22"/>
      <c r="HC1080" s="22"/>
      <c r="HD1080" s="22"/>
      <c r="HE1080" s="22"/>
      <c r="HF1080" s="22"/>
      <c r="HG1080" s="22"/>
      <c r="HH1080" s="22"/>
      <c r="HI1080" s="22"/>
      <c r="HJ1080" s="22"/>
      <c r="HK1080" s="22"/>
      <c r="HL1080" s="22"/>
      <c r="HM1080" s="22"/>
      <c r="HN1080" s="22"/>
      <c r="HO1080" s="22"/>
      <c r="HP1080" s="22"/>
      <c r="HQ1080" s="22"/>
      <c r="HR1080" s="22"/>
      <c r="HS1080" s="22"/>
      <c r="HT1080" s="22"/>
      <c r="HU1080" s="22"/>
      <c r="HV1080" s="22"/>
      <c r="HW1080" s="22"/>
      <c r="HX1080" s="22"/>
      <c r="HY1080" s="22"/>
      <c r="HZ1080" s="22"/>
      <c r="IA1080" s="22"/>
      <c r="IB1080" s="22"/>
      <c r="IC1080" s="22"/>
      <c r="ID1080" s="22"/>
      <c r="IE1080" s="22"/>
      <c r="IF1080" s="22"/>
      <c r="IG1080" s="22"/>
      <c r="IH1080" s="22"/>
      <c r="II1080" s="22"/>
      <c r="IJ1080" s="22"/>
      <c r="IK1080" s="22"/>
      <c r="IL1080" s="22"/>
      <c r="IM1080" s="22"/>
      <c r="IN1080" s="22"/>
      <c r="IO1080" s="22"/>
      <c r="IP1080" s="22"/>
      <c r="IQ1080" s="22"/>
      <c r="IR1080" s="22"/>
      <c r="IS1080" s="22"/>
      <c r="IT1080" s="22"/>
      <c r="IU1080" s="22"/>
      <c r="IV1080" s="22"/>
      <c r="IW1080" s="22"/>
      <c r="IX1080" s="22"/>
      <c r="IY1080" s="22"/>
      <c r="IZ1080" s="22"/>
      <c r="JA1080" s="22"/>
      <c r="JB1080" s="22"/>
      <c r="JC1080" s="22"/>
      <c r="JD1080" s="22"/>
      <c r="JE1080" s="22"/>
      <c r="JF1080" s="22"/>
      <c r="JG1080" s="22"/>
      <c r="JH1080" s="22"/>
      <c r="JI1080" s="22"/>
      <c r="JJ1080" s="22"/>
      <c r="JK1080" s="22"/>
      <c r="JL1080" s="22"/>
      <c r="JM1080" s="22"/>
      <c r="JN1080" s="22"/>
      <c r="JO1080" s="22"/>
      <c r="JP1080" s="22"/>
      <c r="JQ1080" s="22"/>
      <c r="JR1080" s="22"/>
      <c r="JS1080" s="22"/>
      <c r="JT1080" s="22"/>
      <c r="JU1080" s="22"/>
      <c r="JV1080" s="22"/>
      <c r="JW1080" s="22"/>
      <c r="JX1080" s="22"/>
      <c r="JY1080" s="22"/>
      <c r="JZ1080" s="22"/>
      <c r="KA1080" s="22"/>
      <c r="KB1080" s="22"/>
      <c r="KC1080" s="22"/>
      <c r="KD1080" s="22"/>
      <c r="KE1080" s="22"/>
      <c r="KF1080" s="22"/>
      <c r="KG1080" s="22"/>
      <c r="KH1080" s="22"/>
      <c r="KI1080" s="22"/>
      <c r="KJ1080" s="22"/>
      <c r="KK1080" s="22"/>
      <c r="KL1080" s="22"/>
      <c r="KM1080" s="22"/>
      <c r="KN1080" s="22"/>
      <c r="KO1080" s="22"/>
      <c r="KP1080" s="22"/>
      <c r="KQ1080" s="22"/>
      <c r="KR1080" s="22"/>
      <c r="KS1080" s="22"/>
      <c r="KT1080" s="22"/>
      <c r="KU1080" s="22"/>
      <c r="KV1080" s="22"/>
      <c r="KW1080" s="22"/>
      <c r="KX1080" s="22"/>
      <c r="KY1080" s="22"/>
      <c r="KZ1080" s="22"/>
      <c r="LA1080" s="22"/>
      <c r="LB1080" s="22"/>
      <c r="LC1080" s="22"/>
      <c r="LD1080" s="22"/>
      <c r="LE1080" s="22"/>
      <c r="LF1080" s="22"/>
      <c r="LG1080" s="22"/>
      <c r="LH1080" s="22"/>
      <c r="LI1080" s="22"/>
      <c r="LJ1080" s="22"/>
      <c r="LK1080" s="22"/>
      <c r="LL1080" s="22"/>
      <c r="LM1080" s="22"/>
      <c r="LN1080" s="22"/>
      <c r="LO1080" s="22"/>
      <c r="LP1080" s="22"/>
      <c r="LQ1080" s="22"/>
      <c r="LR1080" s="22"/>
      <c r="LS1080" s="22"/>
      <c r="LT1080" s="22"/>
      <c r="LU1080" s="22"/>
      <c r="LV1080" s="22"/>
      <c r="LW1080" s="22"/>
      <c r="LX1080" s="22"/>
      <c r="LY1080" s="22"/>
      <c r="LZ1080" s="22"/>
      <c r="MA1080" s="22"/>
      <c r="MB1080" s="22"/>
      <c r="MC1080" s="22"/>
      <c r="MD1080" s="22"/>
      <c r="ME1080" s="22"/>
      <c r="MF1080" s="22"/>
      <c r="MG1080" s="22"/>
      <c r="MH1080" s="22"/>
      <c r="MI1080" s="22"/>
      <c r="MJ1080" s="22"/>
      <c r="MK1080" s="22"/>
      <c r="ML1080" s="22"/>
      <c r="MM1080" s="22"/>
      <c r="MN1080" s="22"/>
      <c r="MO1080" s="22"/>
      <c r="MP1080" s="22"/>
      <c r="MQ1080" s="22"/>
      <c r="MR1080" s="22"/>
      <c r="MS1080" s="22"/>
      <c r="MT1080" s="22"/>
      <c r="MU1080" s="22"/>
      <c r="MV1080" s="22"/>
      <c r="MW1080" s="22"/>
      <c r="MX1080" s="22"/>
      <c r="MY1080" s="22"/>
      <c r="MZ1080" s="22"/>
      <c r="NA1080" s="22"/>
      <c r="NB1080" s="22"/>
      <c r="NC1080" s="22"/>
      <c r="ND1080" s="22"/>
      <c r="NE1080" s="22"/>
      <c r="NF1080" s="22"/>
      <c r="NG1080" s="22"/>
      <c r="NH1080" s="22"/>
      <c r="NI1080" s="22"/>
      <c r="NJ1080" s="22"/>
      <c r="NK1080" s="22"/>
      <c r="NL1080" s="22"/>
      <c r="NM1080" s="22"/>
      <c r="NN1080" s="22"/>
      <c r="NO1080" s="22"/>
      <c r="NP1080" s="22"/>
      <c r="NQ1080" s="22"/>
      <c r="NR1080" s="22"/>
      <c r="NS1080" s="22"/>
      <c r="NT1080" s="22"/>
      <c r="NU1080" s="22"/>
      <c r="NV1080" s="22"/>
      <c r="NW1080" s="22"/>
      <c r="NX1080" s="22"/>
      <c r="NY1080" s="22"/>
      <c r="NZ1080" s="22"/>
      <c r="OA1080" s="22"/>
      <c r="OB1080" s="22"/>
      <c r="OC1080" s="22"/>
      <c r="OD1080" s="22"/>
      <c r="OE1080" s="22"/>
      <c r="OF1080" s="22"/>
      <c r="OG1080" s="22"/>
      <c r="OH1080" s="22"/>
      <c r="OI1080" s="22"/>
      <c r="OJ1080" s="22"/>
      <c r="OK1080" s="22"/>
      <c r="OL1080" s="22"/>
      <c r="OM1080" s="22"/>
      <c r="ON1080" s="22"/>
      <c r="OO1080" s="22"/>
      <c r="OP1080" s="22"/>
      <c r="OQ1080" s="22"/>
      <c r="OR1080" s="22"/>
      <c r="OS1080" s="22"/>
      <c r="OT1080" s="22"/>
      <c r="OU1080" s="22"/>
      <c r="OV1080" s="22"/>
      <c r="OW1080" s="22"/>
      <c r="OX1080" s="22"/>
      <c r="OY1080" s="22"/>
      <c r="OZ1080" s="22"/>
      <c r="PA1080" s="22"/>
      <c r="PB1080" s="22"/>
      <c r="PC1080" s="22"/>
      <c r="PD1080" s="22"/>
      <c r="PE1080" s="22"/>
      <c r="PF1080" s="22"/>
      <c r="PG1080" s="22"/>
      <c r="PH1080" s="22"/>
      <c r="PI1080" s="22"/>
      <c r="PJ1080" s="22"/>
      <c r="PK1080" s="22"/>
      <c r="PL1080" s="22"/>
      <c r="PM1080" s="22"/>
      <c r="PN1080" s="22"/>
      <c r="PO1080" s="22"/>
      <c r="PP1080" s="22"/>
      <c r="PQ1080" s="22"/>
      <c r="PR1080" s="22"/>
      <c r="PS1080" s="22"/>
      <c r="PT1080" s="22"/>
      <c r="PU1080" s="22"/>
      <c r="PV1080" s="22"/>
      <c r="PW1080" s="22"/>
      <c r="PX1080" s="22"/>
      <c r="PY1080" s="22"/>
      <c r="PZ1080" s="22"/>
      <c r="QA1080" s="22"/>
      <c r="QB1080" s="22"/>
      <c r="QC1080" s="22"/>
      <c r="QD1080" s="22"/>
      <c r="QE1080" s="22"/>
      <c r="QF1080" s="22"/>
      <c r="QG1080" s="22"/>
      <c r="QH1080" s="22"/>
      <c r="QI1080" s="22"/>
      <c r="QJ1080" s="22"/>
      <c r="QK1080" s="22"/>
      <c r="QL1080" s="22"/>
      <c r="QM1080" s="22"/>
      <c r="QN1080" s="22"/>
      <c r="QO1080" s="22"/>
      <c r="QP1080" s="22"/>
      <c r="QQ1080" s="22"/>
      <c r="QR1080" s="22"/>
      <c r="QS1080" s="22"/>
      <c r="QT1080" s="22"/>
      <c r="QU1080" s="22"/>
      <c r="QV1080" s="22"/>
      <c r="QW1080" s="22"/>
      <c r="QX1080" s="22"/>
      <c r="QY1080" s="22"/>
      <c r="QZ1080" s="22"/>
      <c r="RA1080" s="22"/>
      <c r="RB1080" s="22"/>
      <c r="RC1080" s="22"/>
      <c r="RD1080" s="22"/>
      <c r="RE1080" s="22"/>
      <c r="RF1080" s="22"/>
      <c r="RG1080" s="22"/>
      <c r="RH1080" s="22"/>
      <c r="RI1080" s="22"/>
      <c r="RJ1080" s="22"/>
      <c r="RK1080" s="22"/>
      <c r="RL1080" s="22"/>
      <c r="RM1080" s="22"/>
      <c r="RN1080" s="22"/>
      <c r="RO1080" s="22"/>
      <c r="RP1080" s="22"/>
      <c r="RQ1080" s="22"/>
      <c r="RR1080" s="22"/>
      <c r="RS1080" s="22"/>
      <c r="RT1080" s="22"/>
      <c r="RU1080" s="22"/>
      <c r="RV1080" s="22"/>
      <c r="RW1080" s="22"/>
      <c r="RX1080" s="22"/>
      <c r="RY1080" s="22"/>
      <c r="RZ1080" s="22"/>
      <c r="SA1080" s="22"/>
      <c r="SB1080" s="22"/>
      <c r="SC1080" s="22"/>
      <c r="SD1080" s="22"/>
      <c r="SE1080" s="22"/>
      <c r="SF1080" s="22"/>
      <c r="SG1080" s="22"/>
      <c r="SH1080" s="22"/>
      <c r="SI1080" s="22"/>
      <c r="SJ1080" s="22"/>
      <c r="SK1080" s="22"/>
      <c r="SL1080" s="22"/>
      <c r="SM1080" s="22"/>
      <c r="SN1080" s="22"/>
      <c r="SO1080" s="22"/>
      <c r="SP1080" s="22"/>
      <c r="SQ1080" s="22"/>
      <c r="SR1080" s="22"/>
      <c r="SS1080" s="22"/>
      <c r="ST1080" s="22"/>
      <c r="SU1080" s="22"/>
      <c r="SV1080" s="22"/>
      <c r="SW1080" s="22"/>
      <c r="SX1080" s="22"/>
      <c r="SY1080" s="22"/>
      <c r="SZ1080" s="22"/>
      <c r="TA1080" s="22"/>
      <c r="TB1080" s="22"/>
      <c r="TC1080" s="22"/>
      <c r="TD1080" s="22"/>
      <c r="TE1080" s="22"/>
      <c r="TF1080" s="22"/>
      <c r="TG1080" s="22"/>
      <c r="TH1080" s="22"/>
      <c r="TI1080" s="22"/>
      <c r="TJ1080" s="22"/>
      <c r="TK1080" s="22"/>
      <c r="TL1080" s="22"/>
      <c r="TM1080" s="22"/>
      <c r="TN1080" s="22"/>
      <c r="TO1080" s="22"/>
      <c r="TP1080" s="22"/>
      <c r="TQ1080" s="22"/>
      <c r="TR1080" s="22"/>
      <c r="TS1080" s="22"/>
      <c r="TT1080" s="22"/>
      <c r="TU1080" s="22"/>
      <c r="TV1080" s="22"/>
      <c r="TW1080" s="22"/>
      <c r="TX1080" s="22"/>
      <c r="TY1080" s="22"/>
      <c r="TZ1080" s="22"/>
      <c r="UA1080" s="22"/>
      <c r="UB1080" s="22"/>
      <c r="UC1080" s="22"/>
      <c r="UD1080" s="22"/>
      <c r="UE1080" s="22"/>
      <c r="UF1080" s="22"/>
      <c r="UG1080" s="23"/>
    </row>
    <row r="1081" spans="1:553" ht="265.5" customHeight="1">
      <c r="A1081" s="356"/>
      <c r="B1081" s="385"/>
      <c r="C1081" s="384" t="s">
        <v>23</v>
      </c>
      <c r="D1081" s="376" t="s">
        <v>70</v>
      </c>
      <c r="E1081" s="376" t="s">
        <v>611</v>
      </c>
      <c r="F1081" s="385">
        <v>1</v>
      </c>
      <c r="G1081" s="386" t="s">
        <v>935</v>
      </c>
      <c r="H1081" s="387">
        <v>393.7</v>
      </c>
      <c r="I1081" s="490">
        <v>393.7</v>
      </c>
      <c r="J1081" s="368">
        <v>62000</v>
      </c>
      <c r="K1081" s="391"/>
      <c r="L1081" s="480">
        <f t="shared" si="165"/>
        <v>24409400</v>
      </c>
      <c r="M1081" s="366"/>
      <c r="N1081" s="366"/>
      <c r="O1081" s="366"/>
      <c r="P1081" s="366"/>
      <c r="Q1081" s="761" t="s">
        <v>612</v>
      </c>
      <c r="R1081" s="1452"/>
      <c r="S1081" s="308"/>
      <c r="T1081" s="308"/>
      <c r="U1081" s="308"/>
      <c r="V1081" s="308"/>
      <c r="W1081" s="685">
        <f>I1081</f>
        <v>393.7</v>
      </c>
      <c r="X1081" s="308"/>
      <c r="Y1081" s="308"/>
      <c r="Z1081" s="604"/>
      <c r="AA1081" s="308"/>
      <c r="AB1081" s="308"/>
      <c r="AC1081" s="373"/>
      <c r="AD1081" s="373"/>
      <c r="AE1081" s="373"/>
      <c r="AF1081" s="373"/>
      <c r="AG1081" s="373"/>
      <c r="AH1081" s="373"/>
      <c r="AI1081" s="373"/>
      <c r="AJ1081" s="373"/>
      <c r="AK1081" s="389"/>
      <c r="AL1081" s="100"/>
      <c r="AM1081" s="27"/>
      <c r="AN1081" s="27"/>
      <c r="AO1081" s="27"/>
      <c r="AP1081" s="27"/>
      <c r="AQ1081" s="27"/>
      <c r="AR1081" s="27"/>
      <c r="AS1081" s="22"/>
      <c r="AT1081" s="22"/>
      <c r="AU1081" s="22"/>
      <c r="AV1081" s="22"/>
      <c r="AW1081" s="22"/>
      <c r="AX1081" s="22"/>
      <c r="AY1081" s="22"/>
      <c r="AZ1081" s="22"/>
      <c r="BA1081" s="22"/>
      <c r="BB1081" s="22"/>
      <c r="BC1081" s="22"/>
      <c r="BD1081" s="22"/>
      <c r="BE1081" s="22"/>
      <c r="BF1081" s="22"/>
      <c r="BG1081" s="22"/>
      <c r="BH1081" s="22"/>
      <c r="BI1081" s="22"/>
      <c r="BJ1081" s="22"/>
      <c r="BK1081" s="22"/>
      <c r="BL1081" s="22"/>
      <c r="BM1081" s="22"/>
      <c r="BN1081" s="22"/>
      <c r="BO1081" s="22"/>
      <c r="BP1081" s="22"/>
      <c r="BQ1081" s="22"/>
      <c r="BR1081" s="22"/>
      <c r="BS1081" s="22"/>
      <c r="BT1081" s="22"/>
      <c r="BU1081" s="22"/>
      <c r="BV1081" s="22"/>
      <c r="BW1081" s="22"/>
      <c r="BX1081" s="22"/>
      <c r="BY1081" s="22"/>
      <c r="BZ1081" s="22"/>
      <c r="CA1081" s="22"/>
      <c r="CB1081" s="22"/>
      <c r="CC1081" s="22"/>
      <c r="CD1081" s="22"/>
      <c r="CE1081" s="22"/>
      <c r="CF1081" s="22"/>
      <c r="CG1081" s="22"/>
      <c r="CH1081" s="22"/>
      <c r="CI1081" s="22"/>
      <c r="CJ1081" s="22"/>
      <c r="CK1081" s="22"/>
      <c r="CL1081" s="22"/>
      <c r="CM1081" s="22"/>
      <c r="CN1081" s="22"/>
      <c r="CO1081" s="22"/>
      <c r="CP1081" s="22"/>
      <c r="CQ1081" s="22"/>
      <c r="CR1081" s="22"/>
      <c r="CS1081" s="22"/>
      <c r="CT1081" s="22"/>
      <c r="CU1081" s="22"/>
      <c r="CV1081" s="22"/>
      <c r="CW1081" s="22"/>
      <c r="CX1081" s="22"/>
      <c r="CY1081" s="22"/>
      <c r="CZ1081" s="22"/>
      <c r="DA1081" s="22"/>
      <c r="DB1081" s="22"/>
      <c r="DC1081" s="22"/>
      <c r="DD1081" s="22"/>
      <c r="DE1081" s="22"/>
      <c r="DF1081" s="22"/>
      <c r="DG1081" s="22"/>
      <c r="DH1081" s="22"/>
      <c r="DI1081" s="22"/>
      <c r="DJ1081" s="22"/>
      <c r="DK1081" s="22"/>
      <c r="DL1081" s="22"/>
      <c r="DM1081" s="22"/>
      <c r="DN1081" s="22"/>
      <c r="DO1081" s="22"/>
      <c r="DP1081" s="22"/>
      <c r="DQ1081" s="22"/>
      <c r="DR1081" s="22"/>
      <c r="DS1081" s="22"/>
      <c r="DT1081" s="22"/>
      <c r="DU1081" s="22"/>
      <c r="DV1081" s="22"/>
      <c r="DW1081" s="22"/>
      <c r="DX1081" s="22"/>
      <c r="DY1081" s="22"/>
      <c r="DZ1081" s="22"/>
      <c r="EA1081" s="22"/>
      <c r="EB1081" s="22"/>
      <c r="EC1081" s="22"/>
      <c r="ED1081" s="22"/>
      <c r="EE1081" s="22"/>
      <c r="EF1081" s="22"/>
      <c r="EG1081" s="22"/>
      <c r="EH1081" s="22"/>
      <c r="EI1081" s="22"/>
      <c r="EJ1081" s="22"/>
      <c r="EK1081" s="22"/>
      <c r="EL1081" s="22"/>
      <c r="EM1081" s="22"/>
      <c r="EN1081" s="22"/>
      <c r="EO1081" s="22"/>
      <c r="EP1081" s="22"/>
      <c r="EQ1081" s="22"/>
      <c r="ER1081" s="22"/>
      <c r="ES1081" s="22"/>
      <c r="ET1081" s="22"/>
      <c r="EU1081" s="22"/>
      <c r="EV1081" s="22"/>
      <c r="EW1081" s="22"/>
      <c r="EX1081" s="22"/>
      <c r="EY1081" s="22"/>
      <c r="EZ1081" s="22"/>
      <c r="FA1081" s="22"/>
      <c r="FB1081" s="22"/>
      <c r="FC1081" s="22"/>
      <c r="FD1081" s="22"/>
      <c r="FE1081" s="22"/>
      <c r="FF1081" s="22"/>
      <c r="FG1081" s="22"/>
      <c r="FH1081" s="22"/>
      <c r="FI1081" s="22"/>
      <c r="FJ1081" s="22"/>
      <c r="FK1081" s="22"/>
      <c r="FL1081" s="22"/>
      <c r="FM1081" s="22"/>
      <c r="FN1081" s="22"/>
      <c r="FO1081" s="22"/>
      <c r="FP1081" s="22"/>
      <c r="FQ1081" s="22"/>
      <c r="FR1081" s="22"/>
      <c r="FS1081" s="22"/>
      <c r="FT1081" s="22"/>
      <c r="FU1081" s="22"/>
      <c r="FV1081" s="22"/>
      <c r="FW1081" s="22"/>
      <c r="FX1081" s="22"/>
      <c r="FY1081" s="22"/>
      <c r="FZ1081" s="22"/>
      <c r="GA1081" s="22"/>
      <c r="GB1081" s="22"/>
      <c r="GC1081" s="22"/>
      <c r="GD1081" s="22"/>
      <c r="GE1081" s="22"/>
      <c r="GF1081" s="22"/>
      <c r="GG1081" s="22"/>
      <c r="GH1081" s="22"/>
      <c r="GI1081" s="22"/>
      <c r="GJ1081" s="22"/>
      <c r="GK1081" s="22"/>
      <c r="GL1081" s="22"/>
      <c r="GM1081" s="22"/>
      <c r="GN1081" s="22"/>
      <c r="GO1081" s="22"/>
      <c r="GP1081" s="22"/>
      <c r="GQ1081" s="22"/>
      <c r="GR1081" s="22"/>
      <c r="GS1081" s="22"/>
      <c r="GT1081" s="22"/>
      <c r="GU1081" s="22"/>
      <c r="GV1081" s="22"/>
      <c r="GW1081" s="22"/>
      <c r="GX1081" s="22"/>
      <c r="GY1081" s="22"/>
      <c r="GZ1081" s="22"/>
      <c r="HA1081" s="22"/>
      <c r="HB1081" s="22"/>
      <c r="HC1081" s="22"/>
      <c r="HD1081" s="22"/>
      <c r="HE1081" s="22"/>
      <c r="HF1081" s="22"/>
      <c r="HG1081" s="22"/>
      <c r="HH1081" s="22"/>
      <c r="HI1081" s="22"/>
      <c r="HJ1081" s="22"/>
      <c r="HK1081" s="22"/>
      <c r="HL1081" s="22"/>
      <c r="HM1081" s="22"/>
      <c r="HN1081" s="22"/>
      <c r="HO1081" s="22"/>
      <c r="HP1081" s="22"/>
      <c r="HQ1081" s="22"/>
      <c r="HR1081" s="22"/>
      <c r="HS1081" s="22"/>
      <c r="HT1081" s="22"/>
      <c r="HU1081" s="22"/>
      <c r="HV1081" s="22"/>
      <c r="HW1081" s="22"/>
      <c r="HX1081" s="22"/>
      <c r="HY1081" s="22"/>
      <c r="HZ1081" s="22"/>
      <c r="IA1081" s="22"/>
      <c r="IB1081" s="22"/>
      <c r="IC1081" s="22"/>
      <c r="ID1081" s="22"/>
      <c r="IE1081" s="22"/>
      <c r="IF1081" s="22"/>
      <c r="IG1081" s="22"/>
      <c r="IH1081" s="22"/>
      <c r="II1081" s="22"/>
      <c r="IJ1081" s="22"/>
      <c r="IK1081" s="22"/>
      <c r="IL1081" s="22"/>
      <c r="IM1081" s="22"/>
      <c r="IN1081" s="22"/>
      <c r="IO1081" s="22"/>
      <c r="IP1081" s="22"/>
      <c r="IQ1081" s="22"/>
      <c r="IR1081" s="22"/>
      <c r="IS1081" s="22"/>
      <c r="IT1081" s="22"/>
      <c r="IU1081" s="22"/>
      <c r="IV1081" s="22"/>
      <c r="IW1081" s="22"/>
      <c r="IX1081" s="22"/>
      <c r="IY1081" s="22"/>
      <c r="IZ1081" s="22"/>
      <c r="JA1081" s="22"/>
      <c r="JB1081" s="22"/>
      <c r="JC1081" s="22"/>
      <c r="JD1081" s="22"/>
      <c r="JE1081" s="22"/>
      <c r="JF1081" s="22"/>
      <c r="JG1081" s="22"/>
      <c r="JH1081" s="22"/>
      <c r="JI1081" s="22"/>
      <c r="JJ1081" s="22"/>
      <c r="JK1081" s="22"/>
      <c r="JL1081" s="22"/>
      <c r="JM1081" s="22"/>
      <c r="JN1081" s="22"/>
      <c r="JO1081" s="22"/>
      <c r="JP1081" s="22"/>
      <c r="JQ1081" s="22"/>
      <c r="JR1081" s="22"/>
      <c r="JS1081" s="22"/>
      <c r="JT1081" s="22"/>
      <c r="JU1081" s="22"/>
      <c r="JV1081" s="22"/>
      <c r="JW1081" s="22"/>
      <c r="JX1081" s="22"/>
      <c r="JY1081" s="22"/>
      <c r="JZ1081" s="22"/>
      <c r="KA1081" s="22"/>
      <c r="KB1081" s="22"/>
      <c r="KC1081" s="22"/>
      <c r="KD1081" s="22"/>
      <c r="KE1081" s="22"/>
      <c r="KF1081" s="22"/>
      <c r="KG1081" s="22"/>
      <c r="KH1081" s="22"/>
      <c r="KI1081" s="22"/>
      <c r="KJ1081" s="22"/>
      <c r="KK1081" s="22"/>
      <c r="KL1081" s="22"/>
      <c r="KM1081" s="22"/>
      <c r="KN1081" s="22"/>
      <c r="KO1081" s="22"/>
      <c r="KP1081" s="22"/>
      <c r="KQ1081" s="22"/>
      <c r="KR1081" s="22"/>
      <c r="KS1081" s="22"/>
      <c r="KT1081" s="22"/>
      <c r="KU1081" s="22"/>
      <c r="KV1081" s="22"/>
      <c r="KW1081" s="22"/>
      <c r="KX1081" s="22"/>
      <c r="KY1081" s="22"/>
      <c r="KZ1081" s="22"/>
      <c r="LA1081" s="22"/>
      <c r="LB1081" s="22"/>
      <c r="LC1081" s="22"/>
      <c r="LD1081" s="22"/>
      <c r="LE1081" s="22"/>
      <c r="LF1081" s="22"/>
      <c r="LG1081" s="22"/>
      <c r="LH1081" s="22"/>
      <c r="LI1081" s="22"/>
      <c r="LJ1081" s="22"/>
      <c r="LK1081" s="22"/>
      <c r="LL1081" s="22"/>
      <c r="LM1081" s="22"/>
      <c r="LN1081" s="22"/>
      <c r="LO1081" s="22"/>
      <c r="LP1081" s="22"/>
      <c r="LQ1081" s="22"/>
      <c r="LR1081" s="22"/>
      <c r="LS1081" s="22"/>
      <c r="LT1081" s="22"/>
      <c r="LU1081" s="22"/>
      <c r="LV1081" s="22"/>
      <c r="LW1081" s="22"/>
      <c r="LX1081" s="22"/>
      <c r="LY1081" s="22"/>
      <c r="LZ1081" s="22"/>
      <c r="MA1081" s="22"/>
      <c r="MB1081" s="22"/>
      <c r="MC1081" s="22"/>
      <c r="MD1081" s="22"/>
      <c r="ME1081" s="22"/>
      <c r="MF1081" s="22"/>
      <c r="MG1081" s="22"/>
      <c r="MH1081" s="22"/>
      <c r="MI1081" s="22"/>
      <c r="MJ1081" s="22"/>
      <c r="MK1081" s="22"/>
      <c r="ML1081" s="22"/>
      <c r="MM1081" s="22"/>
      <c r="MN1081" s="22"/>
      <c r="MO1081" s="22"/>
      <c r="MP1081" s="22"/>
      <c r="MQ1081" s="22"/>
      <c r="MR1081" s="22"/>
      <c r="MS1081" s="22"/>
      <c r="MT1081" s="22"/>
      <c r="MU1081" s="22"/>
      <c r="MV1081" s="22"/>
      <c r="MW1081" s="22"/>
      <c r="MX1081" s="22"/>
      <c r="MY1081" s="22"/>
      <c r="MZ1081" s="22"/>
      <c r="NA1081" s="22"/>
      <c r="NB1081" s="22"/>
      <c r="NC1081" s="22"/>
      <c r="ND1081" s="22"/>
      <c r="NE1081" s="22"/>
      <c r="NF1081" s="22"/>
      <c r="NG1081" s="22"/>
      <c r="NH1081" s="22"/>
      <c r="NI1081" s="22"/>
      <c r="NJ1081" s="22"/>
      <c r="NK1081" s="22"/>
      <c r="NL1081" s="22"/>
      <c r="NM1081" s="22"/>
      <c r="NN1081" s="22"/>
      <c r="NO1081" s="22"/>
      <c r="NP1081" s="22"/>
      <c r="NQ1081" s="22"/>
      <c r="NR1081" s="22"/>
      <c r="NS1081" s="22"/>
      <c r="NT1081" s="22"/>
      <c r="NU1081" s="22"/>
      <c r="NV1081" s="22"/>
      <c r="NW1081" s="22"/>
      <c r="NX1081" s="22"/>
      <c r="NY1081" s="22"/>
      <c r="NZ1081" s="22"/>
      <c r="OA1081" s="22"/>
      <c r="OB1081" s="22"/>
      <c r="OC1081" s="22"/>
      <c r="OD1081" s="22"/>
      <c r="OE1081" s="22"/>
      <c r="OF1081" s="22"/>
      <c r="OG1081" s="22"/>
      <c r="OH1081" s="22"/>
      <c r="OI1081" s="22"/>
      <c r="OJ1081" s="22"/>
      <c r="OK1081" s="22"/>
      <c r="OL1081" s="22"/>
      <c r="OM1081" s="22"/>
      <c r="ON1081" s="22"/>
      <c r="OO1081" s="22"/>
      <c r="OP1081" s="22"/>
      <c r="OQ1081" s="22"/>
      <c r="OR1081" s="22"/>
      <c r="OS1081" s="22"/>
      <c r="OT1081" s="22"/>
      <c r="OU1081" s="22"/>
      <c r="OV1081" s="22"/>
      <c r="OW1081" s="22"/>
      <c r="OX1081" s="22"/>
      <c r="OY1081" s="22"/>
      <c r="OZ1081" s="22"/>
      <c r="PA1081" s="22"/>
      <c r="PB1081" s="22"/>
      <c r="PC1081" s="22"/>
      <c r="PD1081" s="22"/>
      <c r="PE1081" s="22"/>
      <c r="PF1081" s="22"/>
      <c r="PG1081" s="22"/>
      <c r="PH1081" s="22"/>
      <c r="PI1081" s="22"/>
      <c r="PJ1081" s="22"/>
      <c r="PK1081" s="22"/>
      <c r="PL1081" s="22"/>
      <c r="PM1081" s="22"/>
      <c r="PN1081" s="22"/>
      <c r="PO1081" s="22"/>
      <c r="PP1081" s="22"/>
      <c r="PQ1081" s="22"/>
      <c r="PR1081" s="22"/>
      <c r="PS1081" s="22"/>
      <c r="PT1081" s="22"/>
      <c r="PU1081" s="22"/>
      <c r="PV1081" s="22"/>
      <c r="PW1081" s="22"/>
      <c r="PX1081" s="22"/>
      <c r="PY1081" s="22"/>
      <c r="PZ1081" s="22"/>
      <c r="QA1081" s="22"/>
      <c r="QB1081" s="22"/>
      <c r="QC1081" s="22"/>
      <c r="QD1081" s="22"/>
      <c r="QE1081" s="22"/>
      <c r="QF1081" s="22"/>
      <c r="QG1081" s="22"/>
      <c r="QH1081" s="22"/>
      <c r="QI1081" s="22"/>
      <c r="QJ1081" s="22"/>
      <c r="QK1081" s="22"/>
      <c r="QL1081" s="22"/>
      <c r="QM1081" s="22"/>
      <c r="QN1081" s="22"/>
      <c r="QO1081" s="22"/>
      <c r="QP1081" s="22"/>
      <c r="QQ1081" s="22"/>
      <c r="QR1081" s="22"/>
      <c r="QS1081" s="22"/>
      <c r="QT1081" s="22"/>
      <c r="QU1081" s="22"/>
      <c r="QV1081" s="22"/>
      <c r="QW1081" s="22"/>
      <c r="QX1081" s="22"/>
      <c r="QY1081" s="22"/>
      <c r="QZ1081" s="22"/>
      <c r="RA1081" s="22"/>
      <c r="RB1081" s="22"/>
      <c r="RC1081" s="22"/>
      <c r="RD1081" s="22"/>
      <c r="RE1081" s="22"/>
      <c r="RF1081" s="22"/>
      <c r="RG1081" s="22"/>
      <c r="RH1081" s="22"/>
      <c r="RI1081" s="22"/>
      <c r="RJ1081" s="22"/>
      <c r="RK1081" s="22"/>
      <c r="RL1081" s="22"/>
      <c r="RM1081" s="22"/>
      <c r="RN1081" s="22"/>
      <c r="RO1081" s="22"/>
      <c r="RP1081" s="22"/>
      <c r="RQ1081" s="22"/>
      <c r="RR1081" s="22"/>
      <c r="RS1081" s="22"/>
      <c r="RT1081" s="22"/>
      <c r="RU1081" s="22"/>
      <c r="RV1081" s="22"/>
      <c r="RW1081" s="22"/>
      <c r="RX1081" s="22"/>
      <c r="RY1081" s="22"/>
      <c r="RZ1081" s="22"/>
      <c r="SA1081" s="22"/>
      <c r="SB1081" s="22"/>
      <c r="SC1081" s="22"/>
      <c r="SD1081" s="22"/>
      <c r="SE1081" s="22"/>
      <c r="SF1081" s="22"/>
      <c r="SG1081" s="22"/>
      <c r="SH1081" s="22"/>
      <c r="SI1081" s="22"/>
      <c r="SJ1081" s="22"/>
      <c r="SK1081" s="22"/>
      <c r="SL1081" s="22"/>
      <c r="SM1081" s="22"/>
      <c r="SN1081" s="22"/>
      <c r="SO1081" s="22"/>
      <c r="SP1081" s="22"/>
      <c r="SQ1081" s="22"/>
      <c r="SR1081" s="22"/>
      <c r="SS1081" s="22"/>
      <c r="ST1081" s="22"/>
      <c r="SU1081" s="22"/>
      <c r="SV1081" s="22"/>
      <c r="SW1081" s="22"/>
      <c r="SX1081" s="22"/>
      <c r="SY1081" s="22"/>
      <c r="SZ1081" s="22"/>
      <c r="TA1081" s="22"/>
      <c r="TB1081" s="22"/>
      <c r="TC1081" s="22"/>
      <c r="TD1081" s="22"/>
      <c r="TE1081" s="22"/>
      <c r="TF1081" s="22"/>
      <c r="TG1081" s="22"/>
      <c r="TH1081" s="22"/>
      <c r="TI1081" s="22"/>
      <c r="TJ1081" s="22"/>
      <c r="TK1081" s="22"/>
      <c r="TL1081" s="22"/>
      <c r="TM1081" s="22"/>
      <c r="TN1081" s="22"/>
      <c r="TO1081" s="22"/>
      <c r="TP1081" s="22"/>
      <c r="TQ1081" s="22"/>
      <c r="TR1081" s="22"/>
      <c r="TS1081" s="22"/>
      <c r="TT1081" s="22"/>
      <c r="TU1081" s="22"/>
      <c r="TV1081" s="22"/>
      <c r="TW1081" s="22"/>
      <c r="TX1081" s="22"/>
      <c r="TY1081" s="22"/>
      <c r="TZ1081" s="22"/>
      <c r="UA1081" s="22"/>
      <c r="UB1081" s="22"/>
      <c r="UC1081" s="22"/>
      <c r="UD1081" s="22"/>
      <c r="UE1081" s="22"/>
      <c r="UF1081" s="22"/>
      <c r="UG1081" s="23"/>
    </row>
    <row r="1082" spans="1:553" ht="408.75" customHeight="1">
      <c r="A1082" s="356"/>
      <c r="B1082" s="385"/>
      <c r="C1082" s="384" t="s">
        <v>23</v>
      </c>
      <c r="D1082" s="376" t="s">
        <v>70</v>
      </c>
      <c r="E1082" s="376" t="s">
        <v>613</v>
      </c>
      <c r="F1082" s="385">
        <v>1</v>
      </c>
      <c r="G1082" s="386" t="s">
        <v>935</v>
      </c>
      <c r="H1082" s="387">
        <v>590.20000000000005</v>
      </c>
      <c r="I1082" s="490">
        <v>590.20000000000005</v>
      </c>
      <c r="J1082" s="368">
        <v>62000</v>
      </c>
      <c r="K1082" s="391"/>
      <c r="L1082" s="480">
        <f t="shared" si="165"/>
        <v>36592400</v>
      </c>
      <c r="M1082" s="366"/>
      <c r="N1082" s="366"/>
      <c r="O1082" s="366"/>
      <c r="P1082" s="366"/>
      <c r="Q1082" s="761" t="s">
        <v>614</v>
      </c>
      <c r="R1082" s="1452"/>
      <c r="S1082" s="308"/>
      <c r="T1082" s="308"/>
      <c r="U1082" s="308"/>
      <c r="V1082" s="308"/>
      <c r="W1082" s="685">
        <f>I1082</f>
        <v>590.20000000000005</v>
      </c>
      <c r="X1082" s="308"/>
      <c r="Y1082" s="308"/>
      <c r="Z1082" s="604"/>
      <c r="AA1082" s="308"/>
      <c r="AB1082" s="308"/>
      <c r="AC1082" s="373"/>
      <c r="AD1082" s="373"/>
      <c r="AE1082" s="373"/>
      <c r="AF1082" s="373"/>
      <c r="AG1082" s="373"/>
      <c r="AH1082" s="373"/>
      <c r="AI1082" s="373"/>
      <c r="AJ1082" s="373"/>
      <c r="AK1082" s="389"/>
      <c r="AL1082" s="100"/>
      <c r="AM1082" s="27"/>
      <c r="AN1082" s="27"/>
      <c r="AO1082" s="27"/>
      <c r="AP1082" s="27"/>
      <c r="AQ1082" s="27"/>
      <c r="AR1082" s="27"/>
      <c r="AS1082" s="22"/>
      <c r="AT1082" s="22"/>
      <c r="AU1082" s="22"/>
      <c r="AV1082" s="22"/>
      <c r="AW1082" s="22"/>
      <c r="AX1082" s="22"/>
      <c r="AY1082" s="22"/>
      <c r="AZ1082" s="22"/>
      <c r="BA1082" s="22"/>
      <c r="BB1082" s="22"/>
      <c r="BC1082" s="22"/>
      <c r="BD1082" s="22"/>
      <c r="BE1082" s="22"/>
      <c r="BF1082" s="22"/>
      <c r="BG1082" s="22"/>
      <c r="BH1082" s="22"/>
      <c r="BI1082" s="22"/>
      <c r="BJ1082" s="22"/>
      <c r="BK1082" s="22"/>
      <c r="BL1082" s="22"/>
      <c r="BM1082" s="22"/>
      <c r="BN1082" s="22"/>
      <c r="BO1082" s="22"/>
      <c r="BP1082" s="22"/>
      <c r="BQ1082" s="22"/>
      <c r="BR1082" s="22"/>
      <c r="BS1082" s="22"/>
      <c r="BT1082" s="22"/>
      <c r="BU1082" s="22"/>
      <c r="BV1082" s="22"/>
      <c r="BW1082" s="22"/>
      <c r="BX1082" s="22"/>
      <c r="BY1082" s="22"/>
      <c r="BZ1082" s="22"/>
      <c r="CA1082" s="22"/>
      <c r="CB1082" s="22"/>
      <c r="CC1082" s="22"/>
      <c r="CD1082" s="22"/>
      <c r="CE1082" s="22"/>
      <c r="CF1082" s="22"/>
      <c r="CG1082" s="22"/>
      <c r="CH1082" s="22"/>
      <c r="CI1082" s="22"/>
      <c r="CJ1082" s="22"/>
      <c r="CK1082" s="22"/>
      <c r="CL1082" s="22"/>
      <c r="CM1082" s="22"/>
      <c r="CN1082" s="22"/>
      <c r="CO1082" s="22"/>
      <c r="CP1082" s="22"/>
      <c r="CQ1082" s="22"/>
      <c r="CR1082" s="22"/>
      <c r="CS1082" s="22"/>
      <c r="CT1082" s="22"/>
      <c r="CU1082" s="22"/>
      <c r="CV1082" s="22"/>
      <c r="CW1082" s="22"/>
      <c r="CX1082" s="22"/>
      <c r="CY1082" s="22"/>
      <c r="CZ1082" s="22"/>
      <c r="DA1082" s="22"/>
      <c r="DB1082" s="22"/>
      <c r="DC1082" s="22"/>
      <c r="DD1082" s="22"/>
      <c r="DE1082" s="22"/>
      <c r="DF1082" s="22"/>
      <c r="DG1082" s="22"/>
      <c r="DH1082" s="22"/>
      <c r="DI1082" s="22"/>
      <c r="DJ1082" s="22"/>
      <c r="DK1082" s="22"/>
      <c r="DL1082" s="22"/>
      <c r="DM1082" s="22"/>
      <c r="DN1082" s="22"/>
      <c r="DO1082" s="22"/>
      <c r="DP1082" s="22"/>
      <c r="DQ1082" s="22"/>
      <c r="DR1082" s="22"/>
      <c r="DS1082" s="22"/>
      <c r="DT1082" s="22"/>
      <c r="DU1082" s="22"/>
      <c r="DV1082" s="22"/>
      <c r="DW1082" s="22"/>
      <c r="DX1082" s="22"/>
      <c r="DY1082" s="22"/>
      <c r="DZ1082" s="22"/>
      <c r="EA1082" s="22"/>
      <c r="EB1082" s="22"/>
      <c r="EC1082" s="22"/>
      <c r="ED1082" s="22"/>
      <c r="EE1082" s="22"/>
      <c r="EF1082" s="22"/>
      <c r="EG1082" s="22"/>
      <c r="EH1082" s="22"/>
      <c r="EI1082" s="22"/>
      <c r="EJ1082" s="22"/>
      <c r="EK1082" s="22"/>
      <c r="EL1082" s="22"/>
      <c r="EM1082" s="22"/>
      <c r="EN1082" s="22"/>
      <c r="EO1082" s="22"/>
      <c r="EP1082" s="22"/>
      <c r="EQ1082" s="22"/>
      <c r="ER1082" s="22"/>
      <c r="ES1082" s="22"/>
      <c r="ET1082" s="22"/>
      <c r="EU1082" s="22"/>
      <c r="EV1082" s="22"/>
      <c r="EW1082" s="22"/>
      <c r="EX1082" s="22"/>
      <c r="EY1082" s="22"/>
      <c r="EZ1082" s="22"/>
      <c r="FA1082" s="22"/>
      <c r="FB1082" s="22"/>
      <c r="FC1082" s="22"/>
      <c r="FD1082" s="22"/>
      <c r="FE1082" s="22"/>
      <c r="FF1082" s="22"/>
      <c r="FG1082" s="22"/>
      <c r="FH1082" s="22"/>
      <c r="FI1082" s="22"/>
      <c r="FJ1082" s="22"/>
      <c r="FK1082" s="22"/>
      <c r="FL1082" s="22"/>
      <c r="FM1082" s="22"/>
      <c r="FN1082" s="22"/>
      <c r="FO1082" s="22"/>
      <c r="FP1082" s="22"/>
      <c r="FQ1082" s="22"/>
      <c r="FR1082" s="22"/>
      <c r="FS1082" s="22"/>
      <c r="FT1082" s="22"/>
      <c r="FU1082" s="22"/>
      <c r="FV1082" s="22"/>
      <c r="FW1082" s="22"/>
      <c r="FX1082" s="22"/>
      <c r="FY1082" s="22"/>
      <c r="FZ1082" s="22"/>
      <c r="GA1082" s="22"/>
      <c r="GB1082" s="22"/>
      <c r="GC1082" s="22"/>
      <c r="GD1082" s="22"/>
      <c r="GE1082" s="22"/>
      <c r="GF1082" s="22"/>
      <c r="GG1082" s="22"/>
      <c r="GH1082" s="22"/>
      <c r="GI1082" s="22"/>
      <c r="GJ1082" s="22"/>
      <c r="GK1082" s="22"/>
      <c r="GL1082" s="22"/>
      <c r="GM1082" s="22"/>
      <c r="GN1082" s="22"/>
      <c r="GO1082" s="22"/>
      <c r="GP1082" s="22"/>
      <c r="GQ1082" s="22"/>
      <c r="GR1082" s="22"/>
      <c r="GS1082" s="22"/>
      <c r="GT1082" s="22"/>
      <c r="GU1082" s="22"/>
      <c r="GV1082" s="22"/>
      <c r="GW1082" s="22"/>
      <c r="GX1082" s="22"/>
      <c r="GY1082" s="22"/>
      <c r="GZ1082" s="22"/>
      <c r="HA1082" s="22"/>
      <c r="HB1082" s="22"/>
      <c r="HC1082" s="22"/>
      <c r="HD1082" s="22"/>
      <c r="HE1082" s="22"/>
      <c r="HF1082" s="22"/>
      <c r="HG1082" s="22"/>
      <c r="HH1082" s="22"/>
      <c r="HI1082" s="22"/>
      <c r="HJ1082" s="22"/>
      <c r="HK1082" s="22"/>
      <c r="HL1082" s="22"/>
      <c r="HM1082" s="22"/>
      <c r="HN1082" s="22"/>
      <c r="HO1082" s="22"/>
      <c r="HP1082" s="22"/>
      <c r="HQ1082" s="22"/>
      <c r="HR1082" s="22"/>
      <c r="HS1082" s="22"/>
      <c r="HT1082" s="22"/>
      <c r="HU1082" s="22"/>
      <c r="HV1082" s="22"/>
      <c r="HW1082" s="22"/>
      <c r="HX1082" s="22"/>
      <c r="HY1082" s="22"/>
      <c r="HZ1082" s="22"/>
      <c r="IA1082" s="22"/>
      <c r="IB1082" s="22"/>
      <c r="IC1082" s="22"/>
      <c r="ID1082" s="22"/>
      <c r="IE1082" s="22"/>
      <c r="IF1082" s="22"/>
      <c r="IG1082" s="22"/>
      <c r="IH1082" s="22"/>
      <c r="II1082" s="22"/>
      <c r="IJ1082" s="22"/>
      <c r="IK1082" s="22"/>
      <c r="IL1082" s="22"/>
      <c r="IM1082" s="22"/>
      <c r="IN1082" s="22"/>
      <c r="IO1082" s="22"/>
      <c r="IP1082" s="22"/>
      <c r="IQ1082" s="22"/>
      <c r="IR1082" s="22"/>
      <c r="IS1082" s="22"/>
      <c r="IT1082" s="22"/>
      <c r="IU1082" s="22"/>
      <c r="IV1082" s="22"/>
      <c r="IW1082" s="22"/>
      <c r="IX1082" s="22"/>
      <c r="IY1082" s="22"/>
      <c r="IZ1082" s="22"/>
      <c r="JA1082" s="22"/>
      <c r="JB1082" s="22"/>
      <c r="JC1082" s="22"/>
      <c r="JD1082" s="22"/>
      <c r="JE1082" s="22"/>
      <c r="JF1082" s="22"/>
      <c r="JG1082" s="22"/>
      <c r="JH1082" s="22"/>
      <c r="JI1082" s="22"/>
      <c r="JJ1082" s="22"/>
      <c r="JK1082" s="22"/>
      <c r="JL1082" s="22"/>
      <c r="JM1082" s="22"/>
      <c r="JN1082" s="22"/>
      <c r="JO1082" s="22"/>
      <c r="JP1082" s="22"/>
      <c r="JQ1082" s="22"/>
      <c r="JR1082" s="22"/>
      <c r="JS1082" s="22"/>
      <c r="JT1082" s="22"/>
      <c r="JU1082" s="22"/>
      <c r="JV1082" s="22"/>
      <c r="JW1082" s="22"/>
      <c r="JX1082" s="22"/>
      <c r="JY1082" s="22"/>
      <c r="JZ1082" s="22"/>
      <c r="KA1082" s="22"/>
      <c r="KB1082" s="22"/>
      <c r="KC1082" s="22"/>
      <c r="KD1082" s="22"/>
      <c r="KE1082" s="22"/>
      <c r="KF1082" s="22"/>
      <c r="KG1082" s="22"/>
      <c r="KH1082" s="22"/>
      <c r="KI1082" s="22"/>
      <c r="KJ1082" s="22"/>
      <c r="KK1082" s="22"/>
      <c r="KL1082" s="22"/>
      <c r="KM1082" s="22"/>
      <c r="KN1082" s="22"/>
      <c r="KO1082" s="22"/>
      <c r="KP1082" s="22"/>
      <c r="KQ1082" s="22"/>
      <c r="KR1082" s="22"/>
      <c r="KS1082" s="22"/>
      <c r="KT1082" s="22"/>
      <c r="KU1082" s="22"/>
      <c r="KV1082" s="22"/>
      <c r="KW1082" s="22"/>
      <c r="KX1082" s="22"/>
      <c r="KY1082" s="22"/>
      <c r="KZ1082" s="22"/>
      <c r="LA1082" s="22"/>
      <c r="LB1082" s="22"/>
      <c r="LC1082" s="22"/>
      <c r="LD1082" s="22"/>
      <c r="LE1082" s="22"/>
      <c r="LF1082" s="22"/>
      <c r="LG1082" s="22"/>
      <c r="LH1082" s="22"/>
      <c r="LI1082" s="22"/>
      <c r="LJ1082" s="22"/>
      <c r="LK1082" s="22"/>
      <c r="LL1082" s="22"/>
      <c r="LM1082" s="22"/>
      <c r="LN1082" s="22"/>
      <c r="LO1082" s="22"/>
      <c r="LP1082" s="22"/>
      <c r="LQ1082" s="22"/>
      <c r="LR1082" s="22"/>
      <c r="LS1082" s="22"/>
      <c r="LT1082" s="22"/>
      <c r="LU1082" s="22"/>
      <c r="LV1082" s="22"/>
      <c r="LW1082" s="22"/>
      <c r="LX1082" s="22"/>
      <c r="LY1082" s="22"/>
      <c r="LZ1082" s="22"/>
      <c r="MA1082" s="22"/>
      <c r="MB1082" s="22"/>
      <c r="MC1082" s="22"/>
      <c r="MD1082" s="22"/>
      <c r="ME1082" s="22"/>
      <c r="MF1082" s="22"/>
      <c r="MG1082" s="22"/>
      <c r="MH1082" s="22"/>
      <c r="MI1082" s="22"/>
      <c r="MJ1082" s="22"/>
      <c r="MK1082" s="22"/>
      <c r="ML1082" s="22"/>
      <c r="MM1082" s="22"/>
      <c r="MN1082" s="22"/>
      <c r="MO1082" s="22"/>
      <c r="MP1082" s="22"/>
      <c r="MQ1082" s="22"/>
      <c r="MR1082" s="22"/>
      <c r="MS1082" s="22"/>
      <c r="MT1082" s="22"/>
      <c r="MU1082" s="22"/>
      <c r="MV1082" s="22"/>
      <c r="MW1082" s="22"/>
      <c r="MX1082" s="22"/>
      <c r="MY1082" s="22"/>
      <c r="MZ1082" s="22"/>
      <c r="NA1082" s="22"/>
      <c r="NB1082" s="22"/>
      <c r="NC1082" s="22"/>
      <c r="ND1082" s="22"/>
      <c r="NE1082" s="22"/>
      <c r="NF1082" s="22"/>
      <c r="NG1082" s="22"/>
      <c r="NH1082" s="22"/>
      <c r="NI1082" s="22"/>
      <c r="NJ1082" s="22"/>
      <c r="NK1082" s="22"/>
      <c r="NL1082" s="22"/>
      <c r="NM1082" s="22"/>
      <c r="NN1082" s="22"/>
      <c r="NO1082" s="22"/>
      <c r="NP1082" s="22"/>
      <c r="NQ1082" s="22"/>
      <c r="NR1082" s="22"/>
      <c r="NS1082" s="22"/>
      <c r="NT1082" s="22"/>
      <c r="NU1082" s="22"/>
      <c r="NV1082" s="22"/>
      <c r="NW1082" s="22"/>
      <c r="NX1082" s="22"/>
      <c r="NY1082" s="22"/>
      <c r="NZ1082" s="22"/>
      <c r="OA1082" s="22"/>
      <c r="OB1082" s="22"/>
      <c r="OC1082" s="22"/>
      <c r="OD1082" s="22"/>
      <c r="OE1082" s="22"/>
      <c r="OF1082" s="22"/>
      <c r="OG1082" s="22"/>
      <c r="OH1082" s="22"/>
      <c r="OI1082" s="22"/>
      <c r="OJ1082" s="22"/>
      <c r="OK1082" s="22"/>
      <c r="OL1082" s="22"/>
      <c r="OM1082" s="22"/>
      <c r="ON1082" s="22"/>
      <c r="OO1082" s="22"/>
      <c r="OP1082" s="22"/>
      <c r="OQ1082" s="22"/>
      <c r="OR1082" s="22"/>
      <c r="OS1082" s="22"/>
      <c r="OT1082" s="22"/>
      <c r="OU1082" s="22"/>
      <c r="OV1082" s="22"/>
      <c r="OW1082" s="22"/>
      <c r="OX1082" s="22"/>
      <c r="OY1082" s="22"/>
      <c r="OZ1082" s="22"/>
      <c r="PA1082" s="22"/>
      <c r="PB1082" s="22"/>
      <c r="PC1082" s="22"/>
      <c r="PD1082" s="22"/>
      <c r="PE1082" s="22"/>
      <c r="PF1082" s="22"/>
      <c r="PG1082" s="22"/>
      <c r="PH1082" s="22"/>
      <c r="PI1082" s="22"/>
      <c r="PJ1082" s="22"/>
      <c r="PK1082" s="22"/>
      <c r="PL1082" s="22"/>
      <c r="PM1082" s="22"/>
      <c r="PN1082" s="22"/>
      <c r="PO1082" s="22"/>
      <c r="PP1082" s="22"/>
      <c r="PQ1082" s="22"/>
      <c r="PR1082" s="22"/>
      <c r="PS1082" s="22"/>
      <c r="PT1082" s="22"/>
      <c r="PU1082" s="22"/>
      <c r="PV1082" s="22"/>
      <c r="PW1082" s="22"/>
      <c r="PX1082" s="22"/>
      <c r="PY1082" s="22"/>
      <c r="PZ1082" s="22"/>
      <c r="QA1082" s="22"/>
      <c r="QB1082" s="22"/>
      <c r="QC1082" s="22"/>
      <c r="QD1082" s="22"/>
      <c r="QE1082" s="22"/>
      <c r="QF1082" s="22"/>
      <c r="QG1082" s="22"/>
      <c r="QH1082" s="22"/>
      <c r="QI1082" s="22"/>
      <c r="QJ1082" s="22"/>
      <c r="QK1082" s="22"/>
      <c r="QL1082" s="22"/>
      <c r="QM1082" s="22"/>
      <c r="QN1082" s="22"/>
      <c r="QO1082" s="22"/>
      <c r="QP1082" s="22"/>
      <c r="QQ1082" s="22"/>
      <c r="QR1082" s="22"/>
      <c r="QS1082" s="22"/>
      <c r="QT1082" s="22"/>
      <c r="QU1082" s="22"/>
      <c r="QV1082" s="22"/>
      <c r="QW1082" s="22"/>
      <c r="QX1082" s="22"/>
      <c r="QY1082" s="22"/>
      <c r="QZ1082" s="22"/>
      <c r="RA1082" s="22"/>
      <c r="RB1082" s="22"/>
      <c r="RC1082" s="22"/>
      <c r="RD1082" s="22"/>
      <c r="RE1082" s="22"/>
      <c r="RF1082" s="22"/>
      <c r="RG1082" s="22"/>
      <c r="RH1082" s="22"/>
      <c r="RI1082" s="22"/>
      <c r="RJ1082" s="22"/>
      <c r="RK1082" s="22"/>
      <c r="RL1082" s="22"/>
      <c r="RM1082" s="22"/>
      <c r="RN1082" s="22"/>
      <c r="RO1082" s="22"/>
      <c r="RP1082" s="22"/>
      <c r="RQ1082" s="22"/>
      <c r="RR1082" s="22"/>
      <c r="RS1082" s="22"/>
      <c r="RT1082" s="22"/>
      <c r="RU1082" s="22"/>
      <c r="RV1082" s="22"/>
      <c r="RW1082" s="22"/>
      <c r="RX1082" s="22"/>
      <c r="RY1082" s="22"/>
      <c r="RZ1082" s="22"/>
      <c r="SA1082" s="22"/>
      <c r="SB1082" s="22"/>
      <c r="SC1082" s="22"/>
      <c r="SD1082" s="22"/>
      <c r="SE1082" s="22"/>
      <c r="SF1082" s="22"/>
      <c r="SG1082" s="22"/>
      <c r="SH1082" s="22"/>
      <c r="SI1082" s="22"/>
      <c r="SJ1082" s="22"/>
      <c r="SK1082" s="22"/>
      <c r="SL1082" s="22"/>
      <c r="SM1082" s="22"/>
      <c r="SN1082" s="22"/>
      <c r="SO1082" s="22"/>
      <c r="SP1082" s="22"/>
      <c r="SQ1082" s="22"/>
      <c r="SR1082" s="22"/>
      <c r="SS1082" s="22"/>
      <c r="ST1082" s="22"/>
      <c r="SU1082" s="22"/>
      <c r="SV1082" s="22"/>
      <c r="SW1082" s="22"/>
      <c r="SX1082" s="22"/>
      <c r="SY1082" s="22"/>
      <c r="SZ1082" s="22"/>
      <c r="TA1082" s="22"/>
      <c r="TB1082" s="22"/>
      <c r="TC1082" s="22"/>
      <c r="TD1082" s="22"/>
      <c r="TE1082" s="22"/>
      <c r="TF1082" s="22"/>
      <c r="TG1082" s="22"/>
      <c r="TH1082" s="22"/>
      <c r="TI1082" s="22"/>
      <c r="TJ1082" s="22"/>
      <c r="TK1082" s="22"/>
      <c r="TL1082" s="22"/>
      <c r="TM1082" s="22"/>
      <c r="TN1082" s="22"/>
      <c r="TO1082" s="22"/>
      <c r="TP1082" s="22"/>
      <c r="TQ1082" s="22"/>
      <c r="TR1082" s="22"/>
      <c r="TS1082" s="22"/>
      <c r="TT1082" s="22"/>
      <c r="TU1082" s="22"/>
      <c r="TV1082" s="22"/>
      <c r="TW1082" s="22"/>
      <c r="TX1082" s="22"/>
      <c r="TY1082" s="22"/>
      <c r="TZ1082" s="22"/>
      <c r="UA1082" s="22"/>
      <c r="UB1082" s="22"/>
      <c r="UC1082" s="22"/>
      <c r="UD1082" s="22"/>
      <c r="UE1082" s="22"/>
      <c r="UF1082" s="22"/>
      <c r="UG1082" s="23"/>
    </row>
    <row r="1083" spans="1:553" ht="409.5" customHeight="1">
      <c r="A1083" s="356"/>
      <c r="B1083" s="385"/>
      <c r="C1083" s="384" t="s">
        <v>23</v>
      </c>
      <c r="D1083" s="376" t="s">
        <v>20</v>
      </c>
      <c r="E1083" s="376" t="s">
        <v>615</v>
      </c>
      <c r="F1083" s="385">
        <v>1</v>
      </c>
      <c r="G1083" s="386" t="s">
        <v>935</v>
      </c>
      <c r="H1083" s="387">
        <v>483.8</v>
      </c>
      <c r="I1083" s="490">
        <v>483.8</v>
      </c>
      <c r="J1083" s="368">
        <v>62000</v>
      </c>
      <c r="K1083" s="391"/>
      <c r="L1083" s="480">
        <f t="shared" si="165"/>
        <v>29995600</v>
      </c>
      <c r="M1083" s="366"/>
      <c r="N1083" s="366"/>
      <c r="O1083" s="366"/>
      <c r="P1083" s="366"/>
      <c r="Q1083" s="761" t="s">
        <v>616</v>
      </c>
      <c r="R1083" s="1452"/>
      <c r="S1083" s="308"/>
      <c r="T1083" s="308"/>
      <c r="U1083" s="308"/>
      <c r="V1083" s="308"/>
      <c r="W1083" s="685">
        <f>I1083</f>
        <v>483.8</v>
      </c>
      <c r="X1083" s="308"/>
      <c r="Y1083" s="308"/>
      <c r="Z1083" s="604"/>
      <c r="AA1083" s="308"/>
      <c r="AB1083" s="308"/>
      <c r="AC1083" s="373"/>
      <c r="AD1083" s="373"/>
      <c r="AE1083" s="373"/>
      <c r="AF1083" s="373"/>
      <c r="AG1083" s="373"/>
      <c r="AH1083" s="373"/>
      <c r="AI1083" s="373"/>
      <c r="AJ1083" s="373"/>
      <c r="AK1083" s="389"/>
      <c r="AL1083" s="100"/>
      <c r="AM1083" s="27"/>
      <c r="AN1083" s="27"/>
      <c r="AO1083" s="27"/>
      <c r="AP1083" s="27"/>
      <c r="AQ1083" s="27"/>
      <c r="AR1083" s="27"/>
      <c r="AS1083" s="22"/>
      <c r="AT1083" s="22"/>
      <c r="AU1083" s="22"/>
      <c r="AV1083" s="22"/>
      <c r="AW1083" s="22"/>
      <c r="AX1083" s="22"/>
      <c r="AY1083" s="22"/>
      <c r="AZ1083" s="22"/>
      <c r="BA1083" s="22"/>
      <c r="BB1083" s="22"/>
      <c r="BC1083" s="22"/>
      <c r="BD1083" s="22"/>
      <c r="BE1083" s="22"/>
      <c r="BF1083" s="22"/>
      <c r="BG1083" s="22"/>
      <c r="BH1083" s="22"/>
      <c r="BI1083" s="22"/>
      <c r="BJ1083" s="22"/>
      <c r="BK1083" s="22"/>
      <c r="BL1083" s="22"/>
      <c r="BM1083" s="22"/>
      <c r="BN1083" s="22"/>
      <c r="BO1083" s="22"/>
      <c r="BP1083" s="22"/>
      <c r="BQ1083" s="22"/>
      <c r="BR1083" s="22"/>
      <c r="BS1083" s="22"/>
      <c r="BT1083" s="22"/>
      <c r="BU1083" s="22"/>
      <c r="BV1083" s="22"/>
      <c r="BW1083" s="22"/>
      <c r="BX1083" s="22"/>
      <c r="BY1083" s="22"/>
      <c r="BZ1083" s="22"/>
      <c r="CA1083" s="22"/>
      <c r="CB1083" s="22"/>
      <c r="CC1083" s="22"/>
      <c r="CD1083" s="22"/>
      <c r="CE1083" s="22"/>
      <c r="CF1083" s="22"/>
      <c r="CG1083" s="22"/>
      <c r="CH1083" s="22"/>
      <c r="CI1083" s="22"/>
      <c r="CJ1083" s="22"/>
      <c r="CK1083" s="22"/>
      <c r="CL1083" s="22"/>
      <c r="CM1083" s="22"/>
      <c r="CN1083" s="22"/>
      <c r="CO1083" s="22"/>
      <c r="CP1083" s="22"/>
      <c r="CQ1083" s="22"/>
      <c r="CR1083" s="22"/>
      <c r="CS1083" s="22"/>
      <c r="CT1083" s="22"/>
      <c r="CU1083" s="22"/>
      <c r="CV1083" s="22"/>
      <c r="CW1083" s="22"/>
      <c r="CX1083" s="22"/>
      <c r="CY1083" s="22"/>
      <c r="CZ1083" s="22"/>
      <c r="DA1083" s="22"/>
      <c r="DB1083" s="22"/>
      <c r="DC1083" s="22"/>
      <c r="DD1083" s="22"/>
      <c r="DE1083" s="22"/>
      <c r="DF1083" s="22"/>
      <c r="DG1083" s="22"/>
      <c r="DH1083" s="22"/>
      <c r="DI1083" s="22"/>
      <c r="DJ1083" s="22"/>
      <c r="DK1083" s="22"/>
      <c r="DL1083" s="22"/>
      <c r="DM1083" s="22"/>
      <c r="DN1083" s="22"/>
      <c r="DO1083" s="22"/>
      <c r="DP1083" s="22"/>
      <c r="DQ1083" s="22"/>
      <c r="DR1083" s="22"/>
      <c r="DS1083" s="22"/>
      <c r="DT1083" s="22"/>
      <c r="DU1083" s="22"/>
      <c r="DV1083" s="22"/>
      <c r="DW1083" s="22"/>
      <c r="DX1083" s="22"/>
      <c r="DY1083" s="22"/>
      <c r="DZ1083" s="22"/>
      <c r="EA1083" s="22"/>
      <c r="EB1083" s="22"/>
      <c r="EC1083" s="22"/>
      <c r="ED1083" s="22"/>
      <c r="EE1083" s="22"/>
      <c r="EF1083" s="22"/>
      <c r="EG1083" s="22"/>
      <c r="EH1083" s="22"/>
      <c r="EI1083" s="22"/>
      <c r="EJ1083" s="22"/>
      <c r="EK1083" s="22"/>
      <c r="EL1083" s="22"/>
      <c r="EM1083" s="22"/>
      <c r="EN1083" s="22"/>
      <c r="EO1083" s="22"/>
      <c r="EP1083" s="22"/>
      <c r="EQ1083" s="22"/>
      <c r="ER1083" s="22"/>
      <c r="ES1083" s="22"/>
      <c r="ET1083" s="22"/>
      <c r="EU1083" s="22"/>
      <c r="EV1083" s="22"/>
      <c r="EW1083" s="22"/>
      <c r="EX1083" s="22"/>
      <c r="EY1083" s="22"/>
      <c r="EZ1083" s="22"/>
      <c r="FA1083" s="22"/>
      <c r="FB1083" s="22"/>
      <c r="FC1083" s="22"/>
      <c r="FD1083" s="22"/>
      <c r="FE1083" s="22"/>
      <c r="FF1083" s="22"/>
      <c r="FG1083" s="22"/>
      <c r="FH1083" s="22"/>
      <c r="FI1083" s="22"/>
      <c r="FJ1083" s="22"/>
      <c r="FK1083" s="22"/>
      <c r="FL1083" s="22"/>
      <c r="FM1083" s="22"/>
      <c r="FN1083" s="22"/>
      <c r="FO1083" s="22"/>
      <c r="FP1083" s="22"/>
      <c r="FQ1083" s="22"/>
      <c r="FR1083" s="22"/>
      <c r="FS1083" s="22"/>
      <c r="FT1083" s="22"/>
      <c r="FU1083" s="22"/>
      <c r="FV1083" s="22"/>
      <c r="FW1083" s="22"/>
      <c r="FX1083" s="22"/>
      <c r="FY1083" s="22"/>
      <c r="FZ1083" s="22"/>
      <c r="GA1083" s="22"/>
      <c r="GB1083" s="22"/>
      <c r="GC1083" s="22"/>
      <c r="GD1083" s="22"/>
      <c r="GE1083" s="22"/>
      <c r="GF1083" s="22"/>
      <c r="GG1083" s="22"/>
      <c r="GH1083" s="22"/>
      <c r="GI1083" s="22"/>
      <c r="GJ1083" s="22"/>
      <c r="GK1083" s="22"/>
      <c r="GL1083" s="22"/>
      <c r="GM1083" s="22"/>
      <c r="GN1083" s="22"/>
      <c r="GO1083" s="22"/>
      <c r="GP1083" s="22"/>
      <c r="GQ1083" s="22"/>
      <c r="GR1083" s="22"/>
      <c r="GS1083" s="22"/>
      <c r="GT1083" s="22"/>
      <c r="GU1083" s="22"/>
      <c r="GV1083" s="22"/>
      <c r="GW1083" s="22"/>
      <c r="GX1083" s="22"/>
      <c r="GY1083" s="22"/>
      <c r="GZ1083" s="22"/>
      <c r="HA1083" s="22"/>
      <c r="HB1083" s="22"/>
      <c r="HC1083" s="22"/>
      <c r="HD1083" s="22"/>
      <c r="HE1083" s="22"/>
      <c r="HF1083" s="22"/>
      <c r="HG1083" s="22"/>
      <c r="HH1083" s="22"/>
      <c r="HI1083" s="22"/>
      <c r="HJ1083" s="22"/>
      <c r="HK1083" s="22"/>
      <c r="HL1083" s="22"/>
      <c r="HM1083" s="22"/>
      <c r="HN1083" s="22"/>
      <c r="HO1083" s="22"/>
      <c r="HP1083" s="22"/>
      <c r="HQ1083" s="22"/>
      <c r="HR1083" s="22"/>
      <c r="HS1083" s="22"/>
      <c r="HT1083" s="22"/>
      <c r="HU1083" s="22"/>
      <c r="HV1083" s="22"/>
      <c r="HW1083" s="22"/>
      <c r="HX1083" s="22"/>
      <c r="HY1083" s="22"/>
      <c r="HZ1083" s="22"/>
      <c r="IA1083" s="22"/>
      <c r="IB1083" s="22"/>
      <c r="IC1083" s="22"/>
      <c r="ID1083" s="22"/>
      <c r="IE1083" s="22"/>
      <c r="IF1083" s="22"/>
      <c r="IG1083" s="22"/>
      <c r="IH1083" s="22"/>
      <c r="II1083" s="22"/>
      <c r="IJ1083" s="22"/>
      <c r="IK1083" s="22"/>
      <c r="IL1083" s="22"/>
      <c r="IM1083" s="22"/>
      <c r="IN1083" s="22"/>
      <c r="IO1083" s="22"/>
      <c r="IP1083" s="22"/>
      <c r="IQ1083" s="22"/>
      <c r="IR1083" s="22"/>
      <c r="IS1083" s="22"/>
      <c r="IT1083" s="22"/>
      <c r="IU1083" s="22"/>
      <c r="IV1083" s="22"/>
      <c r="IW1083" s="22"/>
      <c r="IX1083" s="22"/>
      <c r="IY1083" s="22"/>
      <c r="IZ1083" s="22"/>
      <c r="JA1083" s="22"/>
      <c r="JB1083" s="22"/>
      <c r="JC1083" s="22"/>
      <c r="JD1083" s="22"/>
      <c r="JE1083" s="22"/>
      <c r="JF1083" s="22"/>
      <c r="JG1083" s="22"/>
      <c r="JH1083" s="22"/>
      <c r="JI1083" s="22"/>
      <c r="JJ1083" s="22"/>
      <c r="JK1083" s="22"/>
      <c r="JL1083" s="22"/>
      <c r="JM1083" s="22"/>
      <c r="JN1083" s="22"/>
      <c r="JO1083" s="22"/>
      <c r="JP1083" s="22"/>
      <c r="JQ1083" s="22"/>
      <c r="JR1083" s="22"/>
      <c r="JS1083" s="22"/>
      <c r="JT1083" s="22"/>
      <c r="JU1083" s="22"/>
      <c r="JV1083" s="22"/>
      <c r="JW1083" s="22"/>
      <c r="JX1083" s="22"/>
      <c r="JY1083" s="22"/>
      <c r="JZ1083" s="22"/>
      <c r="KA1083" s="22"/>
      <c r="KB1083" s="22"/>
      <c r="KC1083" s="22"/>
      <c r="KD1083" s="22"/>
      <c r="KE1083" s="22"/>
      <c r="KF1083" s="22"/>
      <c r="KG1083" s="22"/>
      <c r="KH1083" s="22"/>
      <c r="KI1083" s="22"/>
      <c r="KJ1083" s="22"/>
      <c r="KK1083" s="22"/>
      <c r="KL1083" s="22"/>
      <c r="KM1083" s="22"/>
      <c r="KN1083" s="22"/>
      <c r="KO1083" s="22"/>
      <c r="KP1083" s="22"/>
      <c r="KQ1083" s="22"/>
      <c r="KR1083" s="22"/>
      <c r="KS1083" s="22"/>
      <c r="KT1083" s="22"/>
      <c r="KU1083" s="22"/>
      <c r="KV1083" s="22"/>
      <c r="KW1083" s="22"/>
      <c r="KX1083" s="22"/>
      <c r="KY1083" s="22"/>
      <c r="KZ1083" s="22"/>
      <c r="LA1083" s="22"/>
      <c r="LB1083" s="22"/>
      <c r="LC1083" s="22"/>
      <c r="LD1083" s="22"/>
      <c r="LE1083" s="22"/>
      <c r="LF1083" s="22"/>
      <c r="LG1083" s="22"/>
      <c r="LH1083" s="22"/>
      <c r="LI1083" s="22"/>
      <c r="LJ1083" s="22"/>
      <c r="LK1083" s="22"/>
      <c r="LL1083" s="22"/>
      <c r="LM1083" s="22"/>
      <c r="LN1083" s="22"/>
      <c r="LO1083" s="22"/>
      <c r="LP1083" s="22"/>
      <c r="LQ1083" s="22"/>
      <c r="LR1083" s="22"/>
      <c r="LS1083" s="22"/>
      <c r="LT1083" s="22"/>
      <c r="LU1083" s="22"/>
      <c r="LV1083" s="22"/>
      <c r="LW1083" s="22"/>
      <c r="LX1083" s="22"/>
      <c r="LY1083" s="22"/>
      <c r="LZ1083" s="22"/>
      <c r="MA1083" s="22"/>
      <c r="MB1083" s="22"/>
      <c r="MC1083" s="22"/>
      <c r="MD1083" s="22"/>
      <c r="ME1083" s="22"/>
      <c r="MF1083" s="22"/>
      <c r="MG1083" s="22"/>
      <c r="MH1083" s="22"/>
      <c r="MI1083" s="22"/>
      <c r="MJ1083" s="22"/>
      <c r="MK1083" s="22"/>
      <c r="ML1083" s="22"/>
      <c r="MM1083" s="22"/>
      <c r="MN1083" s="22"/>
      <c r="MO1083" s="22"/>
      <c r="MP1083" s="22"/>
      <c r="MQ1083" s="22"/>
      <c r="MR1083" s="22"/>
      <c r="MS1083" s="22"/>
      <c r="MT1083" s="22"/>
      <c r="MU1083" s="22"/>
      <c r="MV1083" s="22"/>
      <c r="MW1083" s="22"/>
      <c r="MX1083" s="22"/>
      <c r="MY1083" s="22"/>
      <c r="MZ1083" s="22"/>
      <c r="NA1083" s="22"/>
      <c r="NB1083" s="22"/>
      <c r="NC1083" s="22"/>
      <c r="ND1083" s="22"/>
      <c r="NE1083" s="22"/>
      <c r="NF1083" s="22"/>
      <c r="NG1083" s="22"/>
      <c r="NH1083" s="22"/>
      <c r="NI1083" s="22"/>
      <c r="NJ1083" s="22"/>
      <c r="NK1083" s="22"/>
      <c r="NL1083" s="22"/>
      <c r="NM1083" s="22"/>
      <c r="NN1083" s="22"/>
      <c r="NO1083" s="22"/>
      <c r="NP1083" s="22"/>
      <c r="NQ1083" s="22"/>
      <c r="NR1083" s="22"/>
      <c r="NS1083" s="22"/>
      <c r="NT1083" s="22"/>
      <c r="NU1083" s="22"/>
      <c r="NV1083" s="22"/>
      <c r="NW1083" s="22"/>
      <c r="NX1083" s="22"/>
      <c r="NY1083" s="22"/>
      <c r="NZ1083" s="22"/>
      <c r="OA1083" s="22"/>
      <c r="OB1083" s="22"/>
      <c r="OC1083" s="22"/>
      <c r="OD1083" s="22"/>
      <c r="OE1083" s="22"/>
      <c r="OF1083" s="22"/>
      <c r="OG1083" s="22"/>
      <c r="OH1083" s="22"/>
      <c r="OI1083" s="22"/>
      <c r="OJ1083" s="22"/>
      <c r="OK1083" s="22"/>
      <c r="OL1083" s="22"/>
      <c r="OM1083" s="22"/>
      <c r="ON1083" s="22"/>
      <c r="OO1083" s="22"/>
      <c r="OP1083" s="22"/>
      <c r="OQ1083" s="22"/>
      <c r="OR1083" s="22"/>
      <c r="OS1083" s="22"/>
      <c r="OT1083" s="22"/>
      <c r="OU1083" s="22"/>
      <c r="OV1083" s="22"/>
      <c r="OW1083" s="22"/>
      <c r="OX1083" s="22"/>
      <c r="OY1083" s="22"/>
      <c r="OZ1083" s="22"/>
      <c r="PA1083" s="22"/>
      <c r="PB1083" s="22"/>
      <c r="PC1083" s="22"/>
      <c r="PD1083" s="22"/>
      <c r="PE1083" s="22"/>
      <c r="PF1083" s="22"/>
      <c r="PG1083" s="22"/>
      <c r="PH1083" s="22"/>
      <c r="PI1083" s="22"/>
      <c r="PJ1083" s="22"/>
      <c r="PK1083" s="22"/>
      <c r="PL1083" s="22"/>
      <c r="PM1083" s="22"/>
      <c r="PN1083" s="22"/>
      <c r="PO1083" s="22"/>
      <c r="PP1083" s="22"/>
      <c r="PQ1083" s="22"/>
      <c r="PR1083" s="22"/>
      <c r="PS1083" s="22"/>
      <c r="PT1083" s="22"/>
      <c r="PU1083" s="22"/>
      <c r="PV1083" s="22"/>
      <c r="PW1083" s="22"/>
      <c r="PX1083" s="22"/>
      <c r="PY1083" s="22"/>
      <c r="PZ1083" s="22"/>
      <c r="QA1083" s="22"/>
      <c r="QB1083" s="22"/>
      <c r="QC1083" s="22"/>
      <c r="QD1083" s="22"/>
      <c r="QE1083" s="22"/>
      <c r="QF1083" s="22"/>
      <c r="QG1083" s="22"/>
      <c r="QH1083" s="22"/>
      <c r="QI1083" s="22"/>
      <c r="QJ1083" s="22"/>
      <c r="QK1083" s="22"/>
      <c r="QL1083" s="22"/>
      <c r="QM1083" s="22"/>
      <c r="QN1083" s="22"/>
      <c r="QO1083" s="22"/>
      <c r="QP1083" s="22"/>
      <c r="QQ1083" s="22"/>
      <c r="QR1083" s="22"/>
      <c r="QS1083" s="22"/>
      <c r="QT1083" s="22"/>
      <c r="QU1083" s="22"/>
      <c r="QV1083" s="22"/>
      <c r="QW1083" s="22"/>
      <c r="QX1083" s="22"/>
      <c r="QY1083" s="22"/>
      <c r="QZ1083" s="22"/>
      <c r="RA1083" s="22"/>
      <c r="RB1083" s="22"/>
      <c r="RC1083" s="22"/>
      <c r="RD1083" s="22"/>
      <c r="RE1083" s="22"/>
      <c r="RF1083" s="22"/>
      <c r="RG1083" s="22"/>
      <c r="RH1083" s="22"/>
      <c r="RI1083" s="22"/>
      <c r="RJ1083" s="22"/>
      <c r="RK1083" s="22"/>
      <c r="RL1083" s="22"/>
      <c r="RM1083" s="22"/>
      <c r="RN1083" s="22"/>
      <c r="RO1083" s="22"/>
      <c r="RP1083" s="22"/>
      <c r="RQ1083" s="22"/>
      <c r="RR1083" s="22"/>
      <c r="RS1083" s="22"/>
      <c r="RT1083" s="22"/>
      <c r="RU1083" s="22"/>
      <c r="RV1083" s="22"/>
      <c r="RW1083" s="22"/>
      <c r="RX1083" s="22"/>
      <c r="RY1083" s="22"/>
      <c r="RZ1083" s="22"/>
      <c r="SA1083" s="22"/>
      <c r="SB1083" s="22"/>
      <c r="SC1083" s="22"/>
      <c r="SD1083" s="22"/>
      <c r="SE1083" s="22"/>
      <c r="SF1083" s="22"/>
      <c r="SG1083" s="22"/>
      <c r="SH1083" s="22"/>
      <c r="SI1083" s="22"/>
      <c r="SJ1083" s="22"/>
      <c r="SK1083" s="22"/>
      <c r="SL1083" s="22"/>
      <c r="SM1083" s="22"/>
      <c r="SN1083" s="22"/>
      <c r="SO1083" s="22"/>
      <c r="SP1083" s="22"/>
      <c r="SQ1083" s="22"/>
      <c r="SR1083" s="22"/>
      <c r="SS1083" s="22"/>
      <c r="ST1083" s="22"/>
      <c r="SU1083" s="22"/>
      <c r="SV1083" s="22"/>
      <c r="SW1083" s="22"/>
      <c r="SX1083" s="22"/>
      <c r="SY1083" s="22"/>
      <c r="SZ1083" s="22"/>
      <c r="TA1083" s="22"/>
      <c r="TB1083" s="22"/>
      <c r="TC1083" s="22"/>
      <c r="TD1083" s="22"/>
      <c r="TE1083" s="22"/>
      <c r="TF1083" s="22"/>
      <c r="TG1083" s="22"/>
      <c r="TH1083" s="22"/>
      <c r="TI1083" s="22"/>
      <c r="TJ1083" s="22"/>
      <c r="TK1083" s="22"/>
      <c r="TL1083" s="22"/>
      <c r="TM1083" s="22"/>
      <c r="TN1083" s="22"/>
      <c r="TO1083" s="22"/>
      <c r="TP1083" s="22"/>
      <c r="TQ1083" s="22"/>
      <c r="TR1083" s="22"/>
      <c r="TS1083" s="22"/>
      <c r="TT1083" s="22"/>
      <c r="TU1083" s="22"/>
      <c r="TV1083" s="22"/>
      <c r="TW1083" s="22"/>
      <c r="TX1083" s="22"/>
      <c r="TY1083" s="22"/>
      <c r="TZ1083" s="22"/>
      <c r="UA1083" s="22"/>
      <c r="UB1083" s="22"/>
      <c r="UC1083" s="22"/>
      <c r="UD1083" s="22"/>
      <c r="UE1083" s="22"/>
      <c r="UF1083" s="22"/>
      <c r="UG1083" s="23"/>
    </row>
    <row r="1084" spans="1:553" ht="387.5">
      <c r="A1084" s="356"/>
      <c r="B1084" s="385"/>
      <c r="C1084" s="384" t="s">
        <v>69</v>
      </c>
      <c r="D1084" s="376" t="s">
        <v>20</v>
      </c>
      <c r="E1084" s="376" t="s">
        <v>617</v>
      </c>
      <c r="F1084" s="385">
        <v>1</v>
      </c>
      <c r="G1084" s="386" t="s">
        <v>935</v>
      </c>
      <c r="H1084" s="387">
        <v>605.1</v>
      </c>
      <c r="I1084" s="441">
        <v>605.1</v>
      </c>
      <c r="J1084" s="368">
        <v>55000</v>
      </c>
      <c r="K1084" s="391"/>
      <c r="L1084" s="480">
        <f t="shared" si="165"/>
        <v>33280500</v>
      </c>
      <c r="M1084" s="366"/>
      <c r="N1084" s="366"/>
      <c r="O1084" s="366"/>
      <c r="P1084" s="366"/>
      <c r="Q1084" s="761" t="s">
        <v>618</v>
      </c>
      <c r="R1084" s="1452"/>
      <c r="S1084" s="308"/>
      <c r="T1084" s="308"/>
      <c r="U1084" s="308"/>
      <c r="V1084" s="308"/>
      <c r="W1084" s="308"/>
      <c r="X1084" s="307">
        <f>I1084</f>
        <v>605.1</v>
      </c>
      <c r="Y1084" s="308"/>
      <c r="Z1084" s="604"/>
      <c r="AA1084" s="308"/>
      <c r="AB1084" s="308"/>
      <c r="AC1084" s="373"/>
      <c r="AD1084" s="373"/>
      <c r="AE1084" s="373"/>
      <c r="AF1084" s="373"/>
      <c r="AG1084" s="373"/>
      <c r="AH1084" s="373"/>
      <c r="AI1084" s="373"/>
      <c r="AJ1084" s="373"/>
      <c r="AK1084" s="389"/>
      <c r="AL1084" s="100"/>
      <c r="AM1084" s="27"/>
      <c r="AN1084" s="27"/>
      <c r="AO1084" s="27"/>
      <c r="AP1084" s="27"/>
      <c r="AQ1084" s="27"/>
      <c r="AR1084" s="27"/>
      <c r="AS1084" s="22"/>
      <c r="AT1084" s="22"/>
      <c r="AU1084" s="22"/>
      <c r="AV1084" s="22"/>
      <c r="AW1084" s="22"/>
      <c r="AX1084" s="22"/>
      <c r="AY1084" s="22"/>
      <c r="AZ1084" s="22"/>
      <c r="BA1084" s="22"/>
      <c r="BB1084" s="22"/>
      <c r="BC1084" s="22"/>
      <c r="BD1084" s="22"/>
      <c r="BE1084" s="22"/>
      <c r="BF1084" s="22"/>
      <c r="BG1084" s="22"/>
      <c r="BH1084" s="22"/>
      <c r="BI1084" s="22"/>
      <c r="BJ1084" s="22"/>
      <c r="BK1084" s="22"/>
      <c r="BL1084" s="22"/>
      <c r="BM1084" s="22"/>
      <c r="BN1084" s="22"/>
      <c r="BO1084" s="22"/>
      <c r="BP1084" s="22"/>
      <c r="BQ1084" s="22"/>
      <c r="BR1084" s="22"/>
      <c r="BS1084" s="22"/>
      <c r="BT1084" s="22"/>
      <c r="BU1084" s="22"/>
      <c r="BV1084" s="22"/>
      <c r="BW1084" s="22"/>
      <c r="BX1084" s="22"/>
      <c r="BY1084" s="22"/>
      <c r="BZ1084" s="22"/>
      <c r="CA1084" s="22"/>
      <c r="CB1084" s="22"/>
      <c r="CC1084" s="22"/>
      <c r="CD1084" s="22"/>
      <c r="CE1084" s="22"/>
      <c r="CF1084" s="22"/>
      <c r="CG1084" s="22"/>
      <c r="CH1084" s="22"/>
      <c r="CI1084" s="22"/>
      <c r="CJ1084" s="22"/>
      <c r="CK1084" s="22"/>
      <c r="CL1084" s="22"/>
      <c r="CM1084" s="22"/>
      <c r="CN1084" s="22"/>
      <c r="CO1084" s="22"/>
      <c r="CP1084" s="22"/>
      <c r="CQ1084" s="22"/>
      <c r="CR1084" s="22"/>
      <c r="CS1084" s="22"/>
      <c r="CT1084" s="22"/>
      <c r="CU1084" s="22"/>
      <c r="CV1084" s="22"/>
      <c r="CW1084" s="22"/>
      <c r="CX1084" s="22"/>
      <c r="CY1084" s="22"/>
      <c r="CZ1084" s="22"/>
      <c r="DA1084" s="22"/>
      <c r="DB1084" s="22"/>
      <c r="DC1084" s="22"/>
      <c r="DD1084" s="22"/>
      <c r="DE1084" s="22"/>
      <c r="DF1084" s="22"/>
      <c r="DG1084" s="22"/>
      <c r="DH1084" s="22"/>
      <c r="DI1084" s="22"/>
      <c r="DJ1084" s="22"/>
      <c r="DK1084" s="22"/>
      <c r="DL1084" s="22"/>
      <c r="DM1084" s="22"/>
      <c r="DN1084" s="22"/>
      <c r="DO1084" s="22"/>
      <c r="DP1084" s="22"/>
      <c r="DQ1084" s="22"/>
      <c r="DR1084" s="22"/>
      <c r="DS1084" s="22"/>
      <c r="DT1084" s="22"/>
      <c r="DU1084" s="22"/>
      <c r="DV1084" s="22"/>
      <c r="DW1084" s="22"/>
      <c r="DX1084" s="22"/>
      <c r="DY1084" s="22"/>
      <c r="DZ1084" s="22"/>
      <c r="EA1084" s="22"/>
      <c r="EB1084" s="22"/>
      <c r="EC1084" s="22"/>
      <c r="ED1084" s="22"/>
      <c r="EE1084" s="22"/>
      <c r="EF1084" s="22"/>
      <c r="EG1084" s="22"/>
      <c r="EH1084" s="22"/>
      <c r="EI1084" s="22"/>
      <c r="EJ1084" s="22"/>
      <c r="EK1084" s="22"/>
      <c r="EL1084" s="22"/>
      <c r="EM1084" s="22"/>
      <c r="EN1084" s="22"/>
      <c r="EO1084" s="22"/>
      <c r="EP1084" s="22"/>
      <c r="EQ1084" s="22"/>
      <c r="ER1084" s="22"/>
      <c r="ES1084" s="22"/>
      <c r="ET1084" s="22"/>
      <c r="EU1084" s="22"/>
      <c r="EV1084" s="22"/>
      <c r="EW1084" s="22"/>
      <c r="EX1084" s="22"/>
      <c r="EY1084" s="22"/>
      <c r="EZ1084" s="22"/>
      <c r="FA1084" s="22"/>
      <c r="FB1084" s="22"/>
      <c r="FC1084" s="22"/>
      <c r="FD1084" s="22"/>
      <c r="FE1084" s="22"/>
      <c r="FF1084" s="22"/>
      <c r="FG1084" s="22"/>
      <c r="FH1084" s="22"/>
      <c r="FI1084" s="22"/>
      <c r="FJ1084" s="22"/>
      <c r="FK1084" s="22"/>
      <c r="FL1084" s="22"/>
      <c r="FM1084" s="22"/>
      <c r="FN1084" s="22"/>
      <c r="FO1084" s="22"/>
      <c r="FP1084" s="22"/>
      <c r="FQ1084" s="22"/>
      <c r="FR1084" s="22"/>
      <c r="FS1084" s="22"/>
      <c r="FT1084" s="22"/>
      <c r="FU1084" s="22"/>
      <c r="FV1084" s="22"/>
      <c r="FW1084" s="22"/>
      <c r="FX1084" s="22"/>
      <c r="FY1084" s="22"/>
      <c r="FZ1084" s="22"/>
      <c r="GA1084" s="22"/>
      <c r="GB1084" s="22"/>
      <c r="GC1084" s="22"/>
      <c r="GD1084" s="22"/>
      <c r="GE1084" s="22"/>
      <c r="GF1084" s="22"/>
      <c r="GG1084" s="22"/>
      <c r="GH1084" s="22"/>
      <c r="GI1084" s="22"/>
      <c r="GJ1084" s="22"/>
      <c r="GK1084" s="22"/>
      <c r="GL1084" s="22"/>
      <c r="GM1084" s="22"/>
      <c r="GN1084" s="22"/>
      <c r="GO1084" s="22"/>
      <c r="GP1084" s="22"/>
      <c r="GQ1084" s="22"/>
      <c r="GR1084" s="22"/>
      <c r="GS1084" s="22"/>
      <c r="GT1084" s="22"/>
      <c r="GU1084" s="22"/>
      <c r="GV1084" s="22"/>
      <c r="GW1084" s="22"/>
      <c r="GX1084" s="22"/>
      <c r="GY1084" s="22"/>
      <c r="GZ1084" s="22"/>
      <c r="HA1084" s="22"/>
      <c r="HB1084" s="22"/>
      <c r="HC1084" s="22"/>
      <c r="HD1084" s="22"/>
      <c r="HE1084" s="22"/>
      <c r="HF1084" s="22"/>
      <c r="HG1084" s="22"/>
      <c r="HH1084" s="22"/>
      <c r="HI1084" s="22"/>
      <c r="HJ1084" s="22"/>
      <c r="HK1084" s="22"/>
      <c r="HL1084" s="22"/>
      <c r="HM1084" s="22"/>
      <c r="HN1084" s="22"/>
      <c r="HO1084" s="22"/>
      <c r="HP1084" s="22"/>
      <c r="HQ1084" s="22"/>
      <c r="HR1084" s="22"/>
      <c r="HS1084" s="22"/>
      <c r="HT1084" s="22"/>
      <c r="HU1084" s="22"/>
      <c r="HV1084" s="22"/>
      <c r="HW1084" s="22"/>
      <c r="HX1084" s="22"/>
      <c r="HY1084" s="22"/>
      <c r="HZ1084" s="22"/>
      <c r="IA1084" s="22"/>
      <c r="IB1084" s="22"/>
      <c r="IC1084" s="22"/>
      <c r="ID1084" s="22"/>
      <c r="IE1084" s="22"/>
      <c r="IF1084" s="22"/>
      <c r="IG1084" s="22"/>
      <c r="IH1084" s="22"/>
      <c r="II1084" s="22"/>
      <c r="IJ1084" s="22"/>
      <c r="IK1084" s="22"/>
      <c r="IL1084" s="22"/>
      <c r="IM1084" s="22"/>
      <c r="IN1084" s="22"/>
      <c r="IO1084" s="22"/>
      <c r="IP1084" s="22"/>
      <c r="IQ1084" s="22"/>
      <c r="IR1084" s="22"/>
      <c r="IS1084" s="22"/>
      <c r="IT1084" s="22"/>
      <c r="IU1084" s="22"/>
      <c r="IV1084" s="22"/>
      <c r="IW1084" s="22"/>
      <c r="IX1084" s="22"/>
      <c r="IY1084" s="22"/>
      <c r="IZ1084" s="22"/>
      <c r="JA1084" s="22"/>
      <c r="JB1084" s="22"/>
      <c r="JC1084" s="22"/>
      <c r="JD1084" s="22"/>
      <c r="JE1084" s="22"/>
      <c r="JF1084" s="22"/>
      <c r="JG1084" s="22"/>
      <c r="JH1084" s="22"/>
      <c r="JI1084" s="22"/>
      <c r="JJ1084" s="22"/>
      <c r="JK1084" s="22"/>
      <c r="JL1084" s="22"/>
      <c r="JM1084" s="22"/>
      <c r="JN1084" s="22"/>
      <c r="JO1084" s="22"/>
      <c r="JP1084" s="22"/>
      <c r="JQ1084" s="22"/>
      <c r="JR1084" s="22"/>
      <c r="JS1084" s="22"/>
      <c r="JT1084" s="22"/>
      <c r="JU1084" s="22"/>
      <c r="JV1084" s="22"/>
      <c r="JW1084" s="22"/>
      <c r="JX1084" s="22"/>
      <c r="JY1084" s="22"/>
      <c r="JZ1084" s="22"/>
      <c r="KA1084" s="22"/>
      <c r="KB1084" s="22"/>
      <c r="KC1084" s="22"/>
      <c r="KD1084" s="22"/>
      <c r="KE1084" s="22"/>
      <c r="KF1084" s="22"/>
      <c r="KG1084" s="22"/>
      <c r="KH1084" s="22"/>
      <c r="KI1084" s="22"/>
      <c r="KJ1084" s="22"/>
      <c r="KK1084" s="22"/>
      <c r="KL1084" s="22"/>
      <c r="KM1084" s="22"/>
      <c r="KN1084" s="22"/>
      <c r="KO1084" s="22"/>
      <c r="KP1084" s="22"/>
      <c r="KQ1084" s="22"/>
      <c r="KR1084" s="22"/>
      <c r="KS1084" s="22"/>
      <c r="KT1084" s="22"/>
      <c r="KU1084" s="22"/>
      <c r="KV1084" s="22"/>
      <c r="KW1084" s="22"/>
      <c r="KX1084" s="22"/>
      <c r="KY1084" s="22"/>
      <c r="KZ1084" s="22"/>
      <c r="LA1084" s="22"/>
      <c r="LB1084" s="22"/>
      <c r="LC1084" s="22"/>
      <c r="LD1084" s="22"/>
      <c r="LE1084" s="22"/>
      <c r="LF1084" s="22"/>
      <c r="LG1084" s="22"/>
      <c r="LH1084" s="22"/>
      <c r="LI1084" s="22"/>
      <c r="LJ1084" s="22"/>
      <c r="LK1084" s="22"/>
      <c r="LL1084" s="22"/>
      <c r="LM1084" s="22"/>
      <c r="LN1084" s="22"/>
      <c r="LO1084" s="22"/>
      <c r="LP1084" s="22"/>
      <c r="LQ1084" s="22"/>
      <c r="LR1084" s="22"/>
      <c r="LS1084" s="22"/>
      <c r="LT1084" s="22"/>
      <c r="LU1084" s="22"/>
      <c r="LV1084" s="22"/>
      <c r="LW1084" s="22"/>
      <c r="LX1084" s="22"/>
      <c r="LY1084" s="22"/>
      <c r="LZ1084" s="22"/>
      <c r="MA1084" s="22"/>
      <c r="MB1084" s="22"/>
      <c r="MC1084" s="22"/>
      <c r="MD1084" s="22"/>
      <c r="ME1084" s="22"/>
      <c r="MF1084" s="22"/>
      <c r="MG1084" s="22"/>
      <c r="MH1084" s="22"/>
      <c r="MI1084" s="22"/>
      <c r="MJ1084" s="22"/>
      <c r="MK1084" s="22"/>
      <c r="ML1084" s="22"/>
      <c r="MM1084" s="22"/>
      <c r="MN1084" s="22"/>
      <c r="MO1084" s="22"/>
      <c r="MP1084" s="22"/>
      <c r="MQ1084" s="22"/>
      <c r="MR1084" s="22"/>
      <c r="MS1084" s="22"/>
      <c r="MT1084" s="22"/>
      <c r="MU1084" s="22"/>
      <c r="MV1084" s="22"/>
      <c r="MW1084" s="22"/>
      <c r="MX1084" s="22"/>
      <c r="MY1084" s="22"/>
      <c r="MZ1084" s="22"/>
      <c r="NA1084" s="22"/>
      <c r="NB1084" s="22"/>
      <c r="NC1084" s="22"/>
      <c r="ND1084" s="22"/>
      <c r="NE1084" s="22"/>
      <c r="NF1084" s="22"/>
      <c r="NG1084" s="22"/>
      <c r="NH1084" s="22"/>
      <c r="NI1084" s="22"/>
      <c r="NJ1084" s="22"/>
      <c r="NK1084" s="22"/>
      <c r="NL1084" s="22"/>
      <c r="NM1084" s="22"/>
      <c r="NN1084" s="22"/>
      <c r="NO1084" s="22"/>
      <c r="NP1084" s="22"/>
      <c r="NQ1084" s="22"/>
      <c r="NR1084" s="22"/>
      <c r="NS1084" s="22"/>
      <c r="NT1084" s="22"/>
      <c r="NU1084" s="22"/>
      <c r="NV1084" s="22"/>
      <c r="NW1084" s="22"/>
      <c r="NX1084" s="22"/>
      <c r="NY1084" s="22"/>
      <c r="NZ1084" s="22"/>
      <c r="OA1084" s="22"/>
      <c r="OB1084" s="22"/>
      <c r="OC1084" s="22"/>
      <c r="OD1084" s="22"/>
      <c r="OE1084" s="22"/>
      <c r="OF1084" s="22"/>
      <c r="OG1084" s="22"/>
      <c r="OH1084" s="22"/>
      <c r="OI1084" s="22"/>
      <c r="OJ1084" s="22"/>
      <c r="OK1084" s="22"/>
      <c r="OL1084" s="22"/>
      <c r="OM1084" s="22"/>
      <c r="ON1084" s="22"/>
      <c r="OO1084" s="22"/>
      <c r="OP1084" s="22"/>
      <c r="OQ1084" s="22"/>
      <c r="OR1084" s="22"/>
      <c r="OS1084" s="22"/>
      <c r="OT1084" s="22"/>
      <c r="OU1084" s="22"/>
      <c r="OV1084" s="22"/>
      <c r="OW1084" s="22"/>
      <c r="OX1084" s="22"/>
      <c r="OY1084" s="22"/>
      <c r="OZ1084" s="22"/>
      <c r="PA1084" s="22"/>
      <c r="PB1084" s="22"/>
      <c r="PC1084" s="22"/>
      <c r="PD1084" s="22"/>
      <c r="PE1084" s="22"/>
      <c r="PF1084" s="22"/>
      <c r="PG1084" s="22"/>
      <c r="PH1084" s="22"/>
      <c r="PI1084" s="22"/>
      <c r="PJ1084" s="22"/>
      <c r="PK1084" s="22"/>
      <c r="PL1084" s="22"/>
      <c r="PM1084" s="22"/>
      <c r="PN1084" s="22"/>
      <c r="PO1084" s="22"/>
      <c r="PP1084" s="22"/>
      <c r="PQ1084" s="22"/>
      <c r="PR1084" s="22"/>
      <c r="PS1084" s="22"/>
      <c r="PT1084" s="22"/>
      <c r="PU1084" s="22"/>
      <c r="PV1084" s="22"/>
      <c r="PW1084" s="22"/>
      <c r="PX1084" s="22"/>
      <c r="PY1084" s="22"/>
      <c r="PZ1084" s="22"/>
      <c r="QA1084" s="22"/>
      <c r="QB1084" s="22"/>
      <c r="QC1084" s="22"/>
      <c r="QD1084" s="22"/>
      <c r="QE1084" s="22"/>
      <c r="QF1084" s="22"/>
      <c r="QG1084" s="22"/>
      <c r="QH1084" s="22"/>
      <c r="QI1084" s="22"/>
      <c r="QJ1084" s="22"/>
      <c r="QK1084" s="22"/>
      <c r="QL1084" s="22"/>
      <c r="QM1084" s="22"/>
      <c r="QN1084" s="22"/>
      <c r="QO1084" s="22"/>
      <c r="QP1084" s="22"/>
      <c r="QQ1084" s="22"/>
      <c r="QR1084" s="22"/>
      <c r="QS1084" s="22"/>
      <c r="QT1084" s="22"/>
      <c r="QU1084" s="22"/>
      <c r="QV1084" s="22"/>
      <c r="QW1084" s="22"/>
      <c r="QX1084" s="22"/>
      <c r="QY1084" s="22"/>
      <c r="QZ1084" s="22"/>
      <c r="RA1084" s="22"/>
      <c r="RB1084" s="22"/>
      <c r="RC1084" s="22"/>
      <c r="RD1084" s="22"/>
      <c r="RE1084" s="22"/>
      <c r="RF1084" s="22"/>
      <c r="RG1084" s="22"/>
      <c r="RH1084" s="22"/>
      <c r="RI1084" s="22"/>
      <c r="RJ1084" s="22"/>
      <c r="RK1084" s="22"/>
      <c r="RL1084" s="22"/>
      <c r="RM1084" s="22"/>
      <c r="RN1084" s="22"/>
      <c r="RO1084" s="22"/>
      <c r="RP1084" s="22"/>
      <c r="RQ1084" s="22"/>
      <c r="RR1084" s="22"/>
      <c r="RS1084" s="22"/>
      <c r="RT1084" s="22"/>
      <c r="RU1084" s="22"/>
      <c r="RV1084" s="22"/>
      <c r="RW1084" s="22"/>
      <c r="RX1084" s="22"/>
      <c r="RY1084" s="22"/>
      <c r="RZ1084" s="22"/>
      <c r="SA1084" s="22"/>
      <c r="SB1084" s="22"/>
      <c r="SC1084" s="22"/>
      <c r="SD1084" s="22"/>
      <c r="SE1084" s="22"/>
      <c r="SF1084" s="22"/>
      <c r="SG1084" s="22"/>
      <c r="SH1084" s="22"/>
      <c r="SI1084" s="22"/>
      <c r="SJ1084" s="22"/>
      <c r="SK1084" s="22"/>
      <c r="SL1084" s="22"/>
      <c r="SM1084" s="22"/>
      <c r="SN1084" s="22"/>
      <c r="SO1084" s="22"/>
      <c r="SP1084" s="22"/>
      <c r="SQ1084" s="22"/>
      <c r="SR1084" s="22"/>
      <c r="SS1084" s="22"/>
      <c r="ST1084" s="22"/>
      <c r="SU1084" s="22"/>
      <c r="SV1084" s="22"/>
      <c r="SW1084" s="22"/>
      <c r="SX1084" s="22"/>
      <c r="SY1084" s="22"/>
      <c r="SZ1084" s="22"/>
      <c r="TA1084" s="22"/>
      <c r="TB1084" s="22"/>
      <c r="TC1084" s="22"/>
      <c r="TD1084" s="22"/>
      <c r="TE1084" s="22"/>
      <c r="TF1084" s="22"/>
      <c r="TG1084" s="22"/>
      <c r="TH1084" s="22"/>
      <c r="TI1084" s="22"/>
      <c r="TJ1084" s="22"/>
      <c r="TK1084" s="22"/>
      <c r="TL1084" s="22"/>
      <c r="TM1084" s="22"/>
      <c r="TN1084" s="22"/>
      <c r="TO1084" s="22"/>
      <c r="TP1084" s="22"/>
      <c r="TQ1084" s="22"/>
      <c r="TR1084" s="22"/>
      <c r="TS1084" s="22"/>
      <c r="TT1084" s="22"/>
      <c r="TU1084" s="22"/>
      <c r="TV1084" s="22"/>
      <c r="TW1084" s="22"/>
      <c r="TX1084" s="22"/>
      <c r="TY1084" s="22"/>
      <c r="TZ1084" s="22"/>
      <c r="UA1084" s="22"/>
      <c r="UB1084" s="22"/>
      <c r="UC1084" s="22"/>
      <c r="UD1084" s="22"/>
      <c r="UE1084" s="22"/>
      <c r="UF1084" s="22"/>
      <c r="UG1084" s="23"/>
    </row>
    <row r="1085" spans="1:553" ht="188.25" customHeight="1">
      <c r="A1085" s="356"/>
      <c r="B1085" s="385"/>
      <c r="C1085" s="384" t="s">
        <v>23</v>
      </c>
      <c r="D1085" s="376" t="s">
        <v>70</v>
      </c>
      <c r="E1085" s="376" t="s">
        <v>619</v>
      </c>
      <c r="F1085" s="385">
        <v>1</v>
      </c>
      <c r="G1085" s="386" t="s">
        <v>935</v>
      </c>
      <c r="H1085" s="387">
        <v>127.3</v>
      </c>
      <c r="I1085" s="490">
        <v>127.3</v>
      </c>
      <c r="J1085" s="368">
        <v>62000</v>
      </c>
      <c r="K1085" s="391"/>
      <c r="L1085" s="480">
        <f t="shared" si="165"/>
        <v>7892600</v>
      </c>
      <c r="M1085" s="366"/>
      <c r="N1085" s="366"/>
      <c r="O1085" s="366"/>
      <c r="P1085" s="366"/>
      <c r="Q1085" s="761" t="s">
        <v>620</v>
      </c>
      <c r="R1085" s="1452"/>
      <c r="S1085" s="308"/>
      <c r="T1085" s="308"/>
      <c r="U1085" s="308"/>
      <c r="V1085" s="308"/>
      <c r="W1085" s="685">
        <f t="shared" ref="W1085:W1090" si="166">I1085</f>
        <v>127.3</v>
      </c>
      <c r="X1085" s="308"/>
      <c r="Y1085" s="308"/>
      <c r="Z1085" s="604"/>
      <c r="AA1085" s="308"/>
      <c r="AB1085" s="308"/>
      <c r="AC1085" s="373"/>
      <c r="AD1085" s="373"/>
      <c r="AE1085" s="373"/>
      <c r="AF1085" s="373"/>
      <c r="AG1085" s="373"/>
      <c r="AH1085" s="373"/>
      <c r="AI1085" s="373"/>
      <c r="AJ1085" s="373"/>
      <c r="AK1085" s="389"/>
      <c r="AL1085" s="100"/>
      <c r="AM1085" s="27"/>
      <c r="AN1085" s="27"/>
      <c r="AO1085" s="27"/>
      <c r="AP1085" s="27"/>
      <c r="AQ1085" s="27"/>
      <c r="AR1085" s="27"/>
      <c r="AS1085" s="22"/>
      <c r="AT1085" s="22"/>
      <c r="AU1085" s="22"/>
      <c r="AV1085" s="22"/>
      <c r="AW1085" s="22"/>
      <c r="AX1085" s="22"/>
      <c r="AY1085" s="22"/>
      <c r="AZ1085" s="22"/>
      <c r="BA1085" s="22"/>
      <c r="BB1085" s="22"/>
      <c r="BC1085" s="22"/>
      <c r="BD1085" s="22"/>
      <c r="BE1085" s="22"/>
      <c r="BF1085" s="22"/>
      <c r="BG1085" s="22"/>
      <c r="BH1085" s="22"/>
      <c r="BI1085" s="22"/>
      <c r="BJ1085" s="22"/>
      <c r="BK1085" s="22"/>
      <c r="BL1085" s="22"/>
      <c r="BM1085" s="22"/>
      <c r="BN1085" s="22"/>
      <c r="BO1085" s="22"/>
      <c r="BP1085" s="22"/>
      <c r="BQ1085" s="22"/>
      <c r="BR1085" s="22"/>
      <c r="BS1085" s="22"/>
      <c r="BT1085" s="22"/>
      <c r="BU1085" s="22"/>
      <c r="BV1085" s="22"/>
      <c r="BW1085" s="22"/>
      <c r="BX1085" s="22"/>
      <c r="BY1085" s="22"/>
      <c r="BZ1085" s="22"/>
      <c r="CA1085" s="22"/>
      <c r="CB1085" s="22"/>
      <c r="CC1085" s="22"/>
      <c r="CD1085" s="22"/>
      <c r="CE1085" s="22"/>
      <c r="CF1085" s="22"/>
      <c r="CG1085" s="22"/>
      <c r="CH1085" s="22"/>
      <c r="CI1085" s="22"/>
      <c r="CJ1085" s="22"/>
      <c r="CK1085" s="22"/>
      <c r="CL1085" s="22"/>
      <c r="CM1085" s="22"/>
      <c r="CN1085" s="22"/>
      <c r="CO1085" s="22"/>
      <c r="CP1085" s="22"/>
      <c r="CQ1085" s="22"/>
      <c r="CR1085" s="22"/>
      <c r="CS1085" s="22"/>
      <c r="CT1085" s="22"/>
      <c r="CU1085" s="22"/>
      <c r="CV1085" s="22"/>
      <c r="CW1085" s="22"/>
      <c r="CX1085" s="22"/>
      <c r="CY1085" s="22"/>
      <c r="CZ1085" s="22"/>
      <c r="DA1085" s="22"/>
      <c r="DB1085" s="22"/>
      <c r="DC1085" s="22"/>
      <c r="DD1085" s="22"/>
      <c r="DE1085" s="22"/>
      <c r="DF1085" s="22"/>
      <c r="DG1085" s="22"/>
      <c r="DH1085" s="22"/>
      <c r="DI1085" s="22"/>
      <c r="DJ1085" s="22"/>
      <c r="DK1085" s="22"/>
      <c r="DL1085" s="22"/>
      <c r="DM1085" s="22"/>
      <c r="DN1085" s="22"/>
      <c r="DO1085" s="22"/>
      <c r="DP1085" s="22"/>
      <c r="DQ1085" s="22"/>
      <c r="DR1085" s="22"/>
      <c r="DS1085" s="22"/>
      <c r="DT1085" s="22"/>
      <c r="DU1085" s="22"/>
      <c r="DV1085" s="22"/>
      <c r="DW1085" s="22"/>
      <c r="DX1085" s="22"/>
      <c r="DY1085" s="22"/>
      <c r="DZ1085" s="22"/>
      <c r="EA1085" s="22"/>
      <c r="EB1085" s="22"/>
      <c r="EC1085" s="22"/>
      <c r="ED1085" s="22"/>
      <c r="EE1085" s="22"/>
      <c r="EF1085" s="22"/>
      <c r="EG1085" s="22"/>
      <c r="EH1085" s="22"/>
      <c r="EI1085" s="22"/>
      <c r="EJ1085" s="22"/>
      <c r="EK1085" s="22"/>
      <c r="EL1085" s="22"/>
      <c r="EM1085" s="22"/>
      <c r="EN1085" s="22"/>
      <c r="EO1085" s="22"/>
      <c r="EP1085" s="22"/>
      <c r="EQ1085" s="22"/>
      <c r="ER1085" s="22"/>
      <c r="ES1085" s="22"/>
      <c r="ET1085" s="22"/>
      <c r="EU1085" s="22"/>
      <c r="EV1085" s="22"/>
      <c r="EW1085" s="22"/>
      <c r="EX1085" s="22"/>
      <c r="EY1085" s="22"/>
      <c r="EZ1085" s="22"/>
      <c r="FA1085" s="22"/>
      <c r="FB1085" s="22"/>
      <c r="FC1085" s="22"/>
      <c r="FD1085" s="22"/>
      <c r="FE1085" s="22"/>
      <c r="FF1085" s="22"/>
      <c r="FG1085" s="22"/>
      <c r="FH1085" s="22"/>
      <c r="FI1085" s="22"/>
      <c r="FJ1085" s="22"/>
      <c r="FK1085" s="22"/>
      <c r="FL1085" s="22"/>
      <c r="FM1085" s="22"/>
      <c r="FN1085" s="22"/>
      <c r="FO1085" s="22"/>
      <c r="FP1085" s="22"/>
      <c r="FQ1085" s="22"/>
      <c r="FR1085" s="22"/>
      <c r="FS1085" s="22"/>
      <c r="FT1085" s="22"/>
      <c r="FU1085" s="22"/>
      <c r="FV1085" s="22"/>
      <c r="FW1085" s="22"/>
      <c r="FX1085" s="22"/>
      <c r="FY1085" s="22"/>
      <c r="FZ1085" s="22"/>
      <c r="GA1085" s="22"/>
      <c r="GB1085" s="22"/>
      <c r="GC1085" s="22"/>
      <c r="GD1085" s="22"/>
      <c r="GE1085" s="22"/>
      <c r="GF1085" s="22"/>
      <c r="GG1085" s="22"/>
      <c r="GH1085" s="22"/>
      <c r="GI1085" s="22"/>
      <c r="GJ1085" s="22"/>
      <c r="GK1085" s="22"/>
      <c r="GL1085" s="22"/>
      <c r="GM1085" s="22"/>
      <c r="GN1085" s="22"/>
      <c r="GO1085" s="22"/>
      <c r="GP1085" s="22"/>
      <c r="GQ1085" s="22"/>
      <c r="GR1085" s="22"/>
      <c r="GS1085" s="22"/>
      <c r="GT1085" s="22"/>
      <c r="GU1085" s="22"/>
      <c r="GV1085" s="22"/>
      <c r="GW1085" s="22"/>
      <c r="GX1085" s="22"/>
      <c r="GY1085" s="22"/>
      <c r="GZ1085" s="22"/>
      <c r="HA1085" s="22"/>
      <c r="HB1085" s="22"/>
      <c r="HC1085" s="22"/>
      <c r="HD1085" s="22"/>
      <c r="HE1085" s="22"/>
      <c r="HF1085" s="22"/>
      <c r="HG1085" s="22"/>
      <c r="HH1085" s="22"/>
      <c r="HI1085" s="22"/>
      <c r="HJ1085" s="22"/>
      <c r="HK1085" s="22"/>
      <c r="HL1085" s="22"/>
      <c r="HM1085" s="22"/>
      <c r="HN1085" s="22"/>
      <c r="HO1085" s="22"/>
      <c r="HP1085" s="22"/>
      <c r="HQ1085" s="22"/>
      <c r="HR1085" s="22"/>
      <c r="HS1085" s="22"/>
      <c r="HT1085" s="22"/>
      <c r="HU1085" s="22"/>
      <c r="HV1085" s="22"/>
      <c r="HW1085" s="22"/>
      <c r="HX1085" s="22"/>
      <c r="HY1085" s="22"/>
      <c r="HZ1085" s="22"/>
      <c r="IA1085" s="22"/>
      <c r="IB1085" s="22"/>
      <c r="IC1085" s="22"/>
      <c r="ID1085" s="22"/>
      <c r="IE1085" s="22"/>
      <c r="IF1085" s="22"/>
      <c r="IG1085" s="22"/>
      <c r="IH1085" s="22"/>
      <c r="II1085" s="22"/>
      <c r="IJ1085" s="22"/>
      <c r="IK1085" s="22"/>
      <c r="IL1085" s="22"/>
      <c r="IM1085" s="22"/>
      <c r="IN1085" s="22"/>
      <c r="IO1085" s="22"/>
      <c r="IP1085" s="22"/>
      <c r="IQ1085" s="22"/>
      <c r="IR1085" s="22"/>
      <c r="IS1085" s="22"/>
      <c r="IT1085" s="22"/>
      <c r="IU1085" s="22"/>
      <c r="IV1085" s="22"/>
      <c r="IW1085" s="22"/>
      <c r="IX1085" s="22"/>
      <c r="IY1085" s="22"/>
      <c r="IZ1085" s="22"/>
      <c r="JA1085" s="22"/>
      <c r="JB1085" s="22"/>
      <c r="JC1085" s="22"/>
      <c r="JD1085" s="22"/>
      <c r="JE1085" s="22"/>
      <c r="JF1085" s="22"/>
      <c r="JG1085" s="22"/>
      <c r="JH1085" s="22"/>
      <c r="JI1085" s="22"/>
      <c r="JJ1085" s="22"/>
      <c r="JK1085" s="22"/>
      <c r="JL1085" s="22"/>
      <c r="JM1085" s="22"/>
      <c r="JN1085" s="22"/>
      <c r="JO1085" s="22"/>
      <c r="JP1085" s="22"/>
      <c r="JQ1085" s="22"/>
      <c r="JR1085" s="22"/>
      <c r="JS1085" s="22"/>
      <c r="JT1085" s="22"/>
      <c r="JU1085" s="22"/>
      <c r="JV1085" s="22"/>
      <c r="JW1085" s="22"/>
      <c r="JX1085" s="22"/>
      <c r="JY1085" s="22"/>
      <c r="JZ1085" s="22"/>
      <c r="KA1085" s="22"/>
      <c r="KB1085" s="22"/>
      <c r="KC1085" s="22"/>
      <c r="KD1085" s="22"/>
      <c r="KE1085" s="22"/>
      <c r="KF1085" s="22"/>
      <c r="KG1085" s="22"/>
      <c r="KH1085" s="22"/>
      <c r="KI1085" s="22"/>
      <c r="KJ1085" s="22"/>
      <c r="KK1085" s="22"/>
      <c r="KL1085" s="22"/>
      <c r="KM1085" s="22"/>
      <c r="KN1085" s="22"/>
      <c r="KO1085" s="22"/>
      <c r="KP1085" s="22"/>
      <c r="KQ1085" s="22"/>
      <c r="KR1085" s="22"/>
      <c r="KS1085" s="22"/>
      <c r="KT1085" s="22"/>
      <c r="KU1085" s="22"/>
      <c r="KV1085" s="22"/>
      <c r="KW1085" s="22"/>
      <c r="KX1085" s="22"/>
      <c r="KY1085" s="22"/>
      <c r="KZ1085" s="22"/>
      <c r="LA1085" s="22"/>
      <c r="LB1085" s="22"/>
      <c r="LC1085" s="22"/>
      <c r="LD1085" s="22"/>
      <c r="LE1085" s="22"/>
      <c r="LF1085" s="22"/>
      <c r="LG1085" s="22"/>
      <c r="LH1085" s="22"/>
      <c r="LI1085" s="22"/>
      <c r="LJ1085" s="22"/>
      <c r="LK1085" s="22"/>
      <c r="LL1085" s="22"/>
      <c r="LM1085" s="22"/>
      <c r="LN1085" s="22"/>
      <c r="LO1085" s="22"/>
      <c r="LP1085" s="22"/>
      <c r="LQ1085" s="22"/>
      <c r="LR1085" s="22"/>
      <c r="LS1085" s="22"/>
      <c r="LT1085" s="22"/>
      <c r="LU1085" s="22"/>
      <c r="LV1085" s="22"/>
      <c r="LW1085" s="22"/>
      <c r="LX1085" s="22"/>
      <c r="LY1085" s="22"/>
      <c r="LZ1085" s="22"/>
      <c r="MA1085" s="22"/>
      <c r="MB1085" s="22"/>
      <c r="MC1085" s="22"/>
      <c r="MD1085" s="22"/>
      <c r="ME1085" s="22"/>
      <c r="MF1085" s="22"/>
      <c r="MG1085" s="22"/>
      <c r="MH1085" s="22"/>
      <c r="MI1085" s="22"/>
      <c r="MJ1085" s="22"/>
      <c r="MK1085" s="22"/>
      <c r="ML1085" s="22"/>
      <c r="MM1085" s="22"/>
      <c r="MN1085" s="22"/>
      <c r="MO1085" s="22"/>
      <c r="MP1085" s="22"/>
      <c r="MQ1085" s="22"/>
      <c r="MR1085" s="22"/>
      <c r="MS1085" s="22"/>
      <c r="MT1085" s="22"/>
      <c r="MU1085" s="22"/>
      <c r="MV1085" s="22"/>
      <c r="MW1085" s="22"/>
      <c r="MX1085" s="22"/>
      <c r="MY1085" s="22"/>
      <c r="MZ1085" s="22"/>
      <c r="NA1085" s="22"/>
      <c r="NB1085" s="22"/>
      <c r="NC1085" s="22"/>
      <c r="ND1085" s="22"/>
      <c r="NE1085" s="22"/>
      <c r="NF1085" s="22"/>
      <c r="NG1085" s="22"/>
      <c r="NH1085" s="22"/>
      <c r="NI1085" s="22"/>
      <c r="NJ1085" s="22"/>
      <c r="NK1085" s="22"/>
      <c r="NL1085" s="22"/>
      <c r="NM1085" s="22"/>
      <c r="NN1085" s="22"/>
      <c r="NO1085" s="22"/>
      <c r="NP1085" s="22"/>
      <c r="NQ1085" s="22"/>
      <c r="NR1085" s="22"/>
      <c r="NS1085" s="22"/>
      <c r="NT1085" s="22"/>
      <c r="NU1085" s="22"/>
      <c r="NV1085" s="22"/>
      <c r="NW1085" s="22"/>
      <c r="NX1085" s="22"/>
      <c r="NY1085" s="22"/>
      <c r="NZ1085" s="22"/>
      <c r="OA1085" s="22"/>
      <c r="OB1085" s="22"/>
      <c r="OC1085" s="22"/>
      <c r="OD1085" s="22"/>
      <c r="OE1085" s="22"/>
      <c r="OF1085" s="22"/>
      <c r="OG1085" s="22"/>
      <c r="OH1085" s="22"/>
      <c r="OI1085" s="22"/>
      <c r="OJ1085" s="22"/>
      <c r="OK1085" s="22"/>
      <c r="OL1085" s="22"/>
      <c r="OM1085" s="22"/>
      <c r="ON1085" s="22"/>
      <c r="OO1085" s="22"/>
      <c r="OP1085" s="22"/>
      <c r="OQ1085" s="22"/>
      <c r="OR1085" s="22"/>
      <c r="OS1085" s="22"/>
      <c r="OT1085" s="22"/>
      <c r="OU1085" s="22"/>
      <c r="OV1085" s="22"/>
      <c r="OW1085" s="22"/>
      <c r="OX1085" s="22"/>
      <c r="OY1085" s="22"/>
      <c r="OZ1085" s="22"/>
      <c r="PA1085" s="22"/>
      <c r="PB1085" s="22"/>
      <c r="PC1085" s="22"/>
      <c r="PD1085" s="22"/>
      <c r="PE1085" s="22"/>
      <c r="PF1085" s="22"/>
      <c r="PG1085" s="22"/>
      <c r="PH1085" s="22"/>
      <c r="PI1085" s="22"/>
      <c r="PJ1085" s="22"/>
      <c r="PK1085" s="22"/>
      <c r="PL1085" s="22"/>
      <c r="PM1085" s="22"/>
      <c r="PN1085" s="22"/>
      <c r="PO1085" s="22"/>
      <c r="PP1085" s="22"/>
      <c r="PQ1085" s="22"/>
      <c r="PR1085" s="22"/>
      <c r="PS1085" s="22"/>
      <c r="PT1085" s="22"/>
      <c r="PU1085" s="22"/>
      <c r="PV1085" s="22"/>
      <c r="PW1085" s="22"/>
      <c r="PX1085" s="22"/>
      <c r="PY1085" s="22"/>
      <c r="PZ1085" s="22"/>
      <c r="QA1085" s="22"/>
      <c r="QB1085" s="22"/>
      <c r="QC1085" s="22"/>
      <c r="QD1085" s="22"/>
      <c r="QE1085" s="22"/>
      <c r="QF1085" s="22"/>
      <c r="QG1085" s="22"/>
      <c r="QH1085" s="22"/>
      <c r="QI1085" s="22"/>
      <c r="QJ1085" s="22"/>
      <c r="QK1085" s="22"/>
      <c r="QL1085" s="22"/>
      <c r="QM1085" s="22"/>
      <c r="QN1085" s="22"/>
      <c r="QO1085" s="22"/>
      <c r="QP1085" s="22"/>
      <c r="QQ1085" s="22"/>
      <c r="QR1085" s="22"/>
      <c r="QS1085" s="22"/>
      <c r="QT1085" s="22"/>
      <c r="QU1085" s="22"/>
      <c r="QV1085" s="22"/>
      <c r="QW1085" s="22"/>
      <c r="QX1085" s="22"/>
      <c r="QY1085" s="22"/>
      <c r="QZ1085" s="22"/>
      <c r="RA1085" s="22"/>
      <c r="RB1085" s="22"/>
      <c r="RC1085" s="22"/>
      <c r="RD1085" s="22"/>
      <c r="RE1085" s="22"/>
      <c r="RF1085" s="22"/>
      <c r="RG1085" s="22"/>
      <c r="RH1085" s="22"/>
      <c r="RI1085" s="22"/>
      <c r="RJ1085" s="22"/>
      <c r="RK1085" s="22"/>
      <c r="RL1085" s="22"/>
      <c r="RM1085" s="22"/>
      <c r="RN1085" s="22"/>
      <c r="RO1085" s="22"/>
      <c r="RP1085" s="22"/>
      <c r="RQ1085" s="22"/>
      <c r="RR1085" s="22"/>
      <c r="RS1085" s="22"/>
      <c r="RT1085" s="22"/>
      <c r="RU1085" s="22"/>
      <c r="RV1085" s="22"/>
      <c r="RW1085" s="22"/>
      <c r="RX1085" s="22"/>
      <c r="RY1085" s="22"/>
      <c r="RZ1085" s="22"/>
      <c r="SA1085" s="22"/>
      <c r="SB1085" s="22"/>
      <c r="SC1085" s="22"/>
      <c r="SD1085" s="22"/>
      <c r="SE1085" s="22"/>
      <c r="SF1085" s="22"/>
      <c r="SG1085" s="22"/>
      <c r="SH1085" s="22"/>
      <c r="SI1085" s="22"/>
      <c r="SJ1085" s="22"/>
      <c r="SK1085" s="22"/>
      <c r="SL1085" s="22"/>
      <c r="SM1085" s="22"/>
      <c r="SN1085" s="22"/>
      <c r="SO1085" s="22"/>
      <c r="SP1085" s="22"/>
      <c r="SQ1085" s="22"/>
      <c r="SR1085" s="22"/>
      <c r="SS1085" s="22"/>
      <c r="ST1085" s="22"/>
      <c r="SU1085" s="22"/>
      <c r="SV1085" s="22"/>
      <c r="SW1085" s="22"/>
      <c r="SX1085" s="22"/>
      <c r="SY1085" s="22"/>
      <c r="SZ1085" s="22"/>
      <c r="TA1085" s="22"/>
      <c r="TB1085" s="22"/>
      <c r="TC1085" s="22"/>
      <c r="TD1085" s="22"/>
      <c r="TE1085" s="22"/>
      <c r="TF1085" s="22"/>
      <c r="TG1085" s="22"/>
      <c r="TH1085" s="22"/>
      <c r="TI1085" s="22"/>
      <c r="TJ1085" s="22"/>
      <c r="TK1085" s="22"/>
      <c r="TL1085" s="22"/>
      <c r="TM1085" s="22"/>
      <c r="TN1085" s="22"/>
      <c r="TO1085" s="22"/>
      <c r="TP1085" s="22"/>
      <c r="TQ1085" s="22"/>
      <c r="TR1085" s="22"/>
      <c r="TS1085" s="22"/>
      <c r="TT1085" s="22"/>
      <c r="TU1085" s="22"/>
      <c r="TV1085" s="22"/>
      <c r="TW1085" s="22"/>
      <c r="TX1085" s="22"/>
      <c r="TY1085" s="22"/>
      <c r="TZ1085" s="22"/>
      <c r="UA1085" s="22"/>
      <c r="UB1085" s="22"/>
      <c r="UC1085" s="22"/>
      <c r="UD1085" s="22"/>
      <c r="UE1085" s="22"/>
      <c r="UF1085" s="22"/>
      <c r="UG1085" s="23"/>
    </row>
    <row r="1086" spans="1:553" ht="188.25" customHeight="1">
      <c r="A1086" s="356"/>
      <c r="B1086" s="385"/>
      <c r="C1086" s="384" t="s">
        <v>23</v>
      </c>
      <c r="D1086" s="376" t="s">
        <v>70</v>
      </c>
      <c r="E1086" s="376" t="s">
        <v>621</v>
      </c>
      <c r="F1086" s="385">
        <v>1</v>
      </c>
      <c r="G1086" s="386" t="s">
        <v>935</v>
      </c>
      <c r="H1086" s="387">
        <v>28.1</v>
      </c>
      <c r="I1086" s="490">
        <v>28.1</v>
      </c>
      <c r="J1086" s="368">
        <v>62000</v>
      </c>
      <c r="K1086" s="391"/>
      <c r="L1086" s="480">
        <f t="shared" si="165"/>
        <v>1742200</v>
      </c>
      <c r="M1086" s="366"/>
      <c r="N1086" s="366"/>
      <c r="O1086" s="366"/>
      <c r="P1086" s="366"/>
      <c r="Q1086" s="761" t="s">
        <v>620</v>
      </c>
      <c r="R1086" s="1452"/>
      <c r="S1086" s="308"/>
      <c r="T1086" s="308"/>
      <c r="U1086" s="308"/>
      <c r="V1086" s="308"/>
      <c r="W1086" s="685">
        <f t="shared" si="166"/>
        <v>28.1</v>
      </c>
      <c r="X1086" s="308"/>
      <c r="Y1086" s="308"/>
      <c r="Z1086" s="604"/>
      <c r="AA1086" s="308"/>
      <c r="AB1086" s="308"/>
      <c r="AC1086" s="373"/>
      <c r="AD1086" s="373"/>
      <c r="AE1086" s="373"/>
      <c r="AF1086" s="373"/>
      <c r="AG1086" s="373"/>
      <c r="AH1086" s="373"/>
      <c r="AI1086" s="373"/>
      <c r="AJ1086" s="373"/>
      <c r="AK1086" s="389"/>
      <c r="AL1086" s="100"/>
      <c r="AM1086" s="27"/>
      <c r="AN1086" s="27"/>
      <c r="AO1086" s="27"/>
      <c r="AP1086" s="27"/>
      <c r="AQ1086" s="27"/>
      <c r="AR1086" s="27"/>
      <c r="AS1086" s="22"/>
      <c r="AT1086" s="22"/>
      <c r="AU1086" s="22"/>
      <c r="AV1086" s="22"/>
      <c r="AW1086" s="22"/>
      <c r="AX1086" s="22"/>
      <c r="AY1086" s="22"/>
      <c r="AZ1086" s="22"/>
      <c r="BA1086" s="22"/>
      <c r="BB1086" s="22"/>
      <c r="BC1086" s="22"/>
      <c r="BD1086" s="22"/>
      <c r="BE1086" s="22"/>
      <c r="BF1086" s="22"/>
      <c r="BG1086" s="22"/>
      <c r="BH1086" s="22"/>
      <c r="BI1086" s="22"/>
      <c r="BJ1086" s="22"/>
      <c r="BK1086" s="22"/>
      <c r="BL1086" s="22"/>
      <c r="BM1086" s="22"/>
      <c r="BN1086" s="22"/>
      <c r="BO1086" s="22"/>
      <c r="BP1086" s="22"/>
      <c r="BQ1086" s="22"/>
      <c r="BR1086" s="22"/>
      <c r="BS1086" s="22"/>
      <c r="BT1086" s="22"/>
      <c r="BU1086" s="22"/>
      <c r="BV1086" s="22"/>
      <c r="BW1086" s="22"/>
      <c r="BX1086" s="22"/>
      <c r="BY1086" s="22"/>
      <c r="BZ1086" s="22"/>
      <c r="CA1086" s="22"/>
      <c r="CB1086" s="22"/>
      <c r="CC1086" s="22"/>
      <c r="CD1086" s="22"/>
      <c r="CE1086" s="22"/>
      <c r="CF1086" s="22"/>
      <c r="CG1086" s="22"/>
      <c r="CH1086" s="22"/>
      <c r="CI1086" s="22"/>
      <c r="CJ1086" s="22"/>
      <c r="CK1086" s="22"/>
      <c r="CL1086" s="22"/>
      <c r="CM1086" s="22"/>
      <c r="CN1086" s="22"/>
      <c r="CO1086" s="22"/>
      <c r="CP1086" s="22"/>
      <c r="CQ1086" s="22"/>
      <c r="CR1086" s="22"/>
      <c r="CS1086" s="22"/>
      <c r="CT1086" s="22"/>
      <c r="CU1086" s="22"/>
      <c r="CV1086" s="22"/>
      <c r="CW1086" s="22"/>
      <c r="CX1086" s="22"/>
      <c r="CY1086" s="22"/>
      <c r="CZ1086" s="22"/>
      <c r="DA1086" s="22"/>
      <c r="DB1086" s="22"/>
      <c r="DC1086" s="22"/>
      <c r="DD1086" s="22"/>
      <c r="DE1086" s="22"/>
      <c r="DF1086" s="22"/>
      <c r="DG1086" s="22"/>
      <c r="DH1086" s="22"/>
      <c r="DI1086" s="22"/>
      <c r="DJ1086" s="22"/>
      <c r="DK1086" s="22"/>
      <c r="DL1086" s="22"/>
      <c r="DM1086" s="22"/>
      <c r="DN1086" s="22"/>
      <c r="DO1086" s="22"/>
      <c r="DP1086" s="22"/>
      <c r="DQ1086" s="22"/>
      <c r="DR1086" s="22"/>
      <c r="DS1086" s="22"/>
      <c r="DT1086" s="22"/>
      <c r="DU1086" s="22"/>
      <c r="DV1086" s="22"/>
      <c r="DW1086" s="22"/>
      <c r="DX1086" s="22"/>
      <c r="DY1086" s="22"/>
      <c r="DZ1086" s="22"/>
      <c r="EA1086" s="22"/>
      <c r="EB1086" s="22"/>
      <c r="EC1086" s="22"/>
      <c r="ED1086" s="22"/>
      <c r="EE1086" s="22"/>
      <c r="EF1086" s="22"/>
      <c r="EG1086" s="22"/>
      <c r="EH1086" s="22"/>
      <c r="EI1086" s="22"/>
      <c r="EJ1086" s="22"/>
      <c r="EK1086" s="22"/>
      <c r="EL1086" s="22"/>
      <c r="EM1086" s="22"/>
      <c r="EN1086" s="22"/>
      <c r="EO1086" s="22"/>
      <c r="EP1086" s="22"/>
      <c r="EQ1086" s="22"/>
      <c r="ER1086" s="22"/>
      <c r="ES1086" s="22"/>
      <c r="ET1086" s="22"/>
      <c r="EU1086" s="22"/>
      <c r="EV1086" s="22"/>
      <c r="EW1086" s="22"/>
      <c r="EX1086" s="22"/>
      <c r="EY1086" s="22"/>
      <c r="EZ1086" s="22"/>
      <c r="FA1086" s="22"/>
      <c r="FB1086" s="22"/>
      <c r="FC1086" s="22"/>
      <c r="FD1086" s="22"/>
      <c r="FE1086" s="22"/>
      <c r="FF1086" s="22"/>
      <c r="FG1086" s="22"/>
      <c r="FH1086" s="22"/>
      <c r="FI1086" s="22"/>
      <c r="FJ1086" s="22"/>
      <c r="FK1086" s="22"/>
      <c r="FL1086" s="22"/>
      <c r="FM1086" s="22"/>
      <c r="FN1086" s="22"/>
      <c r="FO1086" s="22"/>
      <c r="FP1086" s="22"/>
      <c r="FQ1086" s="22"/>
      <c r="FR1086" s="22"/>
      <c r="FS1086" s="22"/>
      <c r="FT1086" s="22"/>
      <c r="FU1086" s="22"/>
      <c r="FV1086" s="22"/>
      <c r="FW1086" s="22"/>
      <c r="FX1086" s="22"/>
      <c r="FY1086" s="22"/>
      <c r="FZ1086" s="22"/>
      <c r="GA1086" s="22"/>
      <c r="GB1086" s="22"/>
      <c r="GC1086" s="22"/>
      <c r="GD1086" s="22"/>
      <c r="GE1086" s="22"/>
      <c r="GF1086" s="22"/>
      <c r="GG1086" s="22"/>
      <c r="GH1086" s="22"/>
      <c r="GI1086" s="22"/>
      <c r="GJ1086" s="22"/>
      <c r="GK1086" s="22"/>
      <c r="GL1086" s="22"/>
      <c r="GM1086" s="22"/>
      <c r="GN1086" s="22"/>
      <c r="GO1086" s="22"/>
      <c r="GP1086" s="22"/>
      <c r="GQ1086" s="22"/>
      <c r="GR1086" s="22"/>
      <c r="GS1086" s="22"/>
      <c r="GT1086" s="22"/>
      <c r="GU1086" s="22"/>
      <c r="GV1086" s="22"/>
      <c r="GW1086" s="22"/>
      <c r="GX1086" s="22"/>
      <c r="GY1086" s="22"/>
      <c r="GZ1086" s="22"/>
      <c r="HA1086" s="22"/>
      <c r="HB1086" s="22"/>
      <c r="HC1086" s="22"/>
      <c r="HD1086" s="22"/>
      <c r="HE1086" s="22"/>
      <c r="HF1086" s="22"/>
      <c r="HG1086" s="22"/>
      <c r="HH1086" s="22"/>
      <c r="HI1086" s="22"/>
      <c r="HJ1086" s="22"/>
      <c r="HK1086" s="22"/>
      <c r="HL1086" s="22"/>
      <c r="HM1086" s="22"/>
      <c r="HN1086" s="22"/>
      <c r="HO1086" s="22"/>
      <c r="HP1086" s="22"/>
      <c r="HQ1086" s="22"/>
      <c r="HR1086" s="22"/>
      <c r="HS1086" s="22"/>
      <c r="HT1086" s="22"/>
      <c r="HU1086" s="22"/>
      <c r="HV1086" s="22"/>
      <c r="HW1086" s="22"/>
      <c r="HX1086" s="22"/>
      <c r="HY1086" s="22"/>
      <c r="HZ1086" s="22"/>
      <c r="IA1086" s="22"/>
      <c r="IB1086" s="22"/>
      <c r="IC1086" s="22"/>
      <c r="ID1086" s="22"/>
      <c r="IE1086" s="22"/>
      <c r="IF1086" s="22"/>
      <c r="IG1086" s="22"/>
      <c r="IH1086" s="22"/>
      <c r="II1086" s="22"/>
      <c r="IJ1086" s="22"/>
      <c r="IK1086" s="22"/>
      <c r="IL1086" s="22"/>
      <c r="IM1086" s="22"/>
      <c r="IN1086" s="22"/>
      <c r="IO1086" s="22"/>
      <c r="IP1086" s="22"/>
      <c r="IQ1086" s="22"/>
      <c r="IR1086" s="22"/>
      <c r="IS1086" s="22"/>
      <c r="IT1086" s="22"/>
      <c r="IU1086" s="22"/>
      <c r="IV1086" s="22"/>
      <c r="IW1086" s="22"/>
      <c r="IX1086" s="22"/>
      <c r="IY1086" s="22"/>
      <c r="IZ1086" s="22"/>
      <c r="JA1086" s="22"/>
      <c r="JB1086" s="22"/>
      <c r="JC1086" s="22"/>
      <c r="JD1086" s="22"/>
      <c r="JE1086" s="22"/>
      <c r="JF1086" s="22"/>
      <c r="JG1086" s="22"/>
      <c r="JH1086" s="22"/>
      <c r="JI1086" s="22"/>
      <c r="JJ1086" s="22"/>
      <c r="JK1086" s="22"/>
      <c r="JL1086" s="22"/>
      <c r="JM1086" s="22"/>
      <c r="JN1086" s="22"/>
      <c r="JO1086" s="22"/>
      <c r="JP1086" s="22"/>
      <c r="JQ1086" s="22"/>
      <c r="JR1086" s="22"/>
      <c r="JS1086" s="22"/>
      <c r="JT1086" s="22"/>
      <c r="JU1086" s="22"/>
      <c r="JV1086" s="22"/>
      <c r="JW1086" s="22"/>
      <c r="JX1086" s="22"/>
      <c r="JY1086" s="22"/>
      <c r="JZ1086" s="22"/>
      <c r="KA1086" s="22"/>
      <c r="KB1086" s="22"/>
      <c r="KC1086" s="22"/>
      <c r="KD1086" s="22"/>
      <c r="KE1086" s="22"/>
      <c r="KF1086" s="22"/>
      <c r="KG1086" s="22"/>
      <c r="KH1086" s="22"/>
      <c r="KI1086" s="22"/>
      <c r="KJ1086" s="22"/>
      <c r="KK1086" s="22"/>
      <c r="KL1086" s="22"/>
      <c r="KM1086" s="22"/>
      <c r="KN1086" s="22"/>
      <c r="KO1086" s="22"/>
      <c r="KP1086" s="22"/>
      <c r="KQ1086" s="22"/>
      <c r="KR1086" s="22"/>
      <c r="KS1086" s="22"/>
      <c r="KT1086" s="22"/>
      <c r="KU1086" s="22"/>
      <c r="KV1086" s="22"/>
      <c r="KW1086" s="22"/>
      <c r="KX1086" s="22"/>
      <c r="KY1086" s="22"/>
      <c r="KZ1086" s="22"/>
      <c r="LA1086" s="22"/>
      <c r="LB1086" s="22"/>
      <c r="LC1086" s="22"/>
      <c r="LD1086" s="22"/>
      <c r="LE1086" s="22"/>
      <c r="LF1086" s="22"/>
      <c r="LG1086" s="22"/>
      <c r="LH1086" s="22"/>
      <c r="LI1086" s="22"/>
      <c r="LJ1086" s="22"/>
      <c r="LK1086" s="22"/>
      <c r="LL1086" s="22"/>
      <c r="LM1086" s="22"/>
      <c r="LN1086" s="22"/>
      <c r="LO1086" s="22"/>
      <c r="LP1086" s="22"/>
      <c r="LQ1086" s="22"/>
      <c r="LR1086" s="22"/>
      <c r="LS1086" s="22"/>
      <c r="LT1086" s="22"/>
      <c r="LU1086" s="22"/>
      <c r="LV1086" s="22"/>
      <c r="LW1086" s="22"/>
      <c r="LX1086" s="22"/>
      <c r="LY1086" s="22"/>
      <c r="LZ1086" s="22"/>
      <c r="MA1086" s="22"/>
      <c r="MB1086" s="22"/>
      <c r="MC1086" s="22"/>
      <c r="MD1086" s="22"/>
      <c r="ME1086" s="22"/>
      <c r="MF1086" s="22"/>
      <c r="MG1086" s="22"/>
      <c r="MH1086" s="22"/>
      <c r="MI1086" s="22"/>
      <c r="MJ1086" s="22"/>
      <c r="MK1086" s="22"/>
      <c r="ML1086" s="22"/>
      <c r="MM1086" s="22"/>
      <c r="MN1086" s="22"/>
      <c r="MO1086" s="22"/>
      <c r="MP1086" s="22"/>
      <c r="MQ1086" s="22"/>
      <c r="MR1086" s="22"/>
      <c r="MS1086" s="22"/>
      <c r="MT1086" s="22"/>
      <c r="MU1086" s="22"/>
      <c r="MV1086" s="22"/>
      <c r="MW1086" s="22"/>
      <c r="MX1086" s="22"/>
      <c r="MY1086" s="22"/>
      <c r="MZ1086" s="22"/>
      <c r="NA1086" s="22"/>
      <c r="NB1086" s="22"/>
      <c r="NC1086" s="22"/>
      <c r="ND1086" s="22"/>
      <c r="NE1086" s="22"/>
      <c r="NF1086" s="22"/>
      <c r="NG1086" s="22"/>
      <c r="NH1086" s="22"/>
      <c r="NI1086" s="22"/>
      <c r="NJ1086" s="22"/>
      <c r="NK1086" s="22"/>
      <c r="NL1086" s="22"/>
      <c r="NM1086" s="22"/>
      <c r="NN1086" s="22"/>
      <c r="NO1086" s="22"/>
      <c r="NP1086" s="22"/>
      <c r="NQ1086" s="22"/>
      <c r="NR1086" s="22"/>
      <c r="NS1086" s="22"/>
      <c r="NT1086" s="22"/>
      <c r="NU1086" s="22"/>
      <c r="NV1086" s="22"/>
      <c r="NW1086" s="22"/>
      <c r="NX1086" s="22"/>
      <c r="NY1086" s="22"/>
      <c r="NZ1086" s="22"/>
      <c r="OA1086" s="22"/>
      <c r="OB1086" s="22"/>
      <c r="OC1086" s="22"/>
      <c r="OD1086" s="22"/>
      <c r="OE1086" s="22"/>
      <c r="OF1086" s="22"/>
      <c r="OG1086" s="22"/>
      <c r="OH1086" s="22"/>
      <c r="OI1086" s="22"/>
      <c r="OJ1086" s="22"/>
      <c r="OK1086" s="22"/>
      <c r="OL1086" s="22"/>
      <c r="OM1086" s="22"/>
      <c r="ON1086" s="22"/>
      <c r="OO1086" s="22"/>
      <c r="OP1086" s="22"/>
      <c r="OQ1086" s="22"/>
      <c r="OR1086" s="22"/>
      <c r="OS1086" s="22"/>
      <c r="OT1086" s="22"/>
      <c r="OU1086" s="22"/>
      <c r="OV1086" s="22"/>
      <c r="OW1086" s="22"/>
      <c r="OX1086" s="22"/>
      <c r="OY1086" s="22"/>
      <c r="OZ1086" s="22"/>
      <c r="PA1086" s="22"/>
      <c r="PB1086" s="22"/>
      <c r="PC1086" s="22"/>
      <c r="PD1086" s="22"/>
      <c r="PE1086" s="22"/>
      <c r="PF1086" s="22"/>
      <c r="PG1086" s="22"/>
      <c r="PH1086" s="22"/>
      <c r="PI1086" s="22"/>
      <c r="PJ1086" s="22"/>
      <c r="PK1086" s="22"/>
      <c r="PL1086" s="22"/>
      <c r="PM1086" s="22"/>
      <c r="PN1086" s="22"/>
      <c r="PO1086" s="22"/>
      <c r="PP1086" s="22"/>
      <c r="PQ1086" s="22"/>
      <c r="PR1086" s="22"/>
      <c r="PS1086" s="22"/>
      <c r="PT1086" s="22"/>
      <c r="PU1086" s="22"/>
      <c r="PV1086" s="22"/>
      <c r="PW1086" s="22"/>
      <c r="PX1086" s="22"/>
      <c r="PY1086" s="22"/>
      <c r="PZ1086" s="22"/>
      <c r="QA1086" s="22"/>
      <c r="QB1086" s="22"/>
      <c r="QC1086" s="22"/>
      <c r="QD1086" s="22"/>
      <c r="QE1086" s="22"/>
      <c r="QF1086" s="22"/>
      <c r="QG1086" s="22"/>
      <c r="QH1086" s="22"/>
      <c r="QI1086" s="22"/>
      <c r="QJ1086" s="22"/>
      <c r="QK1086" s="22"/>
      <c r="QL1086" s="22"/>
      <c r="QM1086" s="22"/>
      <c r="QN1086" s="22"/>
      <c r="QO1086" s="22"/>
      <c r="QP1086" s="22"/>
      <c r="QQ1086" s="22"/>
      <c r="QR1086" s="22"/>
      <c r="QS1086" s="22"/>
      <c r="QT1086" s="22"/>
      <c r="QU1086" s="22"/>
      <c r="QV1086" s="22"/>
      <c r="QW1086" s="22"/>
      <c r="QX1086" s="22"/>
      <c r="QY1086" s="22"/>
      <c r="QZ1086" s="22"/>
      <c r="RA1086" s="22"/>
      <c r="RB1086" s="22"/>
      <c r="RC1086" s="22"/>
      <c r="RD1086" s="22"/>
      <c r="RE1086" s="22"/>
      <c r="RF1086" s="22"/>
      <c r="RG1086" s="22"/>
      <c r="RH1086" s="22"/>
      <c r="RI1086" s="22"/>
      <c r="RJ1086" s="22"/>
      <c r="RK1086" s="22"/>
      <c r="RL1086" s="22"/>
      <c r="RM1086" s="22"/>
      <c r="RN1086" s="22"/>
      <c r="RO1086" s="22"/>
      <c r="RP1086" s="22"/>
      <c r="RQ1086" s="22"/>
      <c r="RR1086" s="22"/>
      <c r="RS1086" s="22"/>
      <c r="RT1086" s="22"/>
      <c r="RU1086" s="22"/>
      <c r="RV1086" s="22"/>
      <c r="RW1086" s="22"/>
      <c r="RX1086" s="22"/>
      <c r="RY1086" s="22"/>
      <c r="RZ1086" s="22"/>
      <c r="SA1086" s="22"/>
      <c r="SB1086" s="22"/>
      <c r="SC1086" s="22"/>
      <c r="SD1086" s="22"/>
      <c r="SE1086" s="22"/>
      <c r="SF1086" s="22"/>
      <c r="SG1086" s="22"/>
      <c r="SH1086" s="22"/>
      <c r="SI1086" s="22"/>
      <c r="SJ1086" s="22"/>
      <c r="SK1086" s="22"/>
      <c r="SL1086" s="22"/>
      <c r="SM1086" s="22"/>
      <c r="SN1086" s="22"/>
      <c r="SO1086" s="22"/>
      <c r="SP1086" s="22"/>
      <c r="SQ1086" s="22"/>
      <c r="SR1086" s="22"/>
      <c r="SS1086" s="22"/>
      <c r="ST1086" s="22"/>
      <c r="SU1086" s="22"/>
      <c r="SV1086" s="22"/>
      <c r="SW1086" s="22"/>
      <c r="SX1086" s="22"/>
      <c r="SY1086" s="22"/>
      <c r="SZ1086" s="22"/>
      <c r="TA1086" s="22"/>
      <c r="TB1086" s="22"/>
      <c r="TC1086" s="22"/>
      <c r="TD1086" s="22"/>
      <c r="TE1086" s="22"/>
      <c r="TF1086" s="22"/>
      <c r="TG1086" s="22"/>
      <c r="TH1086" s="22"/>
      <c r="TI1086" s="22"/>
      <c r="TJ1086" s="22"/>
      <c r="TK1086" s="22"/>
      <c r="TL1086" s="22"/>
      <c r="TM1086" s="22"/>
      <c r="TN1086" s="22"/>
      <c r="TO1086" s="22"/>
      <c r="TP1086" s="22"/>
      <c r="TQ1086" s="22"/>
      <c r="TR1086" s="22"/>
      <c r="TS1086" s="22"/>
      <c r="TT1086" s="22"/>
      <c r="TU1086" s="22"/>
      <c r="TV1086" s="22"/>
      <c r="TW1086" s="22"/>
      <c r="TX1086" s="22"/>
      <c r="TY1086" s="22"/>
      <c r="TZ1086" s="22"/>
      <c r="UA1086" s="22"/>
      <c r="UB1086" s="22"/>
      <c r="UC1086" s="22"/>
      <c r="UD1086" s="22"/>
      <c r="UE1086" s="22"/>
      <c r="UF1086" s="22"/>
      <c r="UG1086" s="23"/>
    </row>
    <row r="1087" spans="1:553" ht="188.25" customHeight="1">
      <c r="A1087" s="356"/>
      <c r="B1087" s="385"/>
      <c r="C1087" s="384" t="s">
        <v>23</v>
      </c>
      <c r="D1087" s="376" t="s">
        <v>70</v>
      </c>
      <c r="E1087" s="376" t="s">
        <v>622</v>
      </c>
      <c r="F1087" s="385">
        <v>1</v>
      </c>
      <c r="G1087" s="386" t="s">
        <v>935</v>
      </c>
      <c r="H1087" s="387">
        <v>51.5</v>
      </c>
      <c r="I1087" s="490">
        <v>51.5</v>
      </c>
      <c r="J1087" s="368">
        <v>62000</v>
      </c>
      <c r="K1087" s="391"/>
      <c r="L1087" s="480">
        <f t="shared" si="165"/>
        <v>3193000</v>
      </c>
      <c r="M1087" s="366"/>
      <c r="N1087" s="366"/>
      <c r="O1087" s="366"/>
      <c r="P1087" s="366"/>
      <c r="Q1087" s="761" t="s">
        <v>620</v>
      </c>
      <c r="R1087" s="1452"/>
      <c r="S1087" s="308"/>
      <c r="T1087" s="308"/>
      <c r="U1087" s="308"/>
      <c r="V1087" s="308"/>
      <c r="W1087" s="685">
        <f t="shared" si="166"/>
        <v>51.5</v>
      </c>
      <c r="X1087" s="308"/>
      <c r="Y1087" s="308"/>
      <c r="Z1087" s="604"/>
      <c r="AA1087" s="308"/>
      <c r="AB1087" s="308"/>
      <c r="AC1087" s="373"/>
      <c r="AD1087" s="373"/>
      <c r="AE1087" s="373"/>
      <c r="AF1087" s="373"/>
      <c r="AG1087" s="373"/>
      <c r="AH1087" s="373"/>
      <c r="AI1087" s="373"/>
      <c r="AJ1087" s="373"/>
      <c r="AK1087" s="389"/>
      <c r="AL1087" s="100"/>
      <c r="AM1087" s="27"/>
      <c r="AN1087" s="27"/>
      <c r="AO1087" s="27"/>
      <c r="AP1087" s="27"/>
      <c r="AQ1087" s="27"/>
      <c r="AR1087" s="27"/>
      <c r="AS1087" s="22"/>
      <c r="AT1087" s="22"/>
      <c r="AU1087" s="22"/>
      <c r="AV1087" s="22"/>
      <c r="AW1087" s="22"/>
      <c r="AX1087" s="22"/>
      <c r="AY1087" s="22"/>
      <c r="AZ1087" s="22"/>
      <c r="BA1087" s="22"/>
      <c r="BB1087" s="22"/>
      <c r="BC1087" s="22"/>
      <c r="BD1087" s="22"/>
      <c r="BE1087" s="22"/>
      <c r="BF1087" s="22"/>
      <c r="BG1087" s="22"/>
      <c r="BH1087" s="22"/>
      <c r="BI1087" s="22"/>
      <c r="BJ1087" s="22"/>
      <c r="BK1087" s="22"/>
      <c r="BL1087" s="22"/>
      <c r="BM1087" s="22"/>
      <c r="BN1087" s="22"/>
      <c r="BO1087" s="22"/>
      <c r="BP1087" s="22"/>
      <c r="BQ1087" s="22"/>
      <c r="BR1087" s="22"/>
      <c r="BS1087" s="22"/>
      <c r="BT1087" s="22"/>
      <c r="BU1087" s="22"/>
      <c r="BV1087" s="22"/>
      <c r="BW1087" s="22"/>
      <c r="BX1087" s="22"/>
      <c r="BY1087" s="22"/>
      <c r="BZ1087" s="22"/>
      <c r="CA1087" s="22"/>
      <c r="CB1087" s="22"/>
      <c r="CC1087" s="22"/>
      <c r="CD1087" s="22"/>
      <c r="CE1087" s="22"/>
      <c r="CF1087" s="22"/>
      <c r="CG1087" s="22"/>
      <c r="CH1087" s="22"/>
      <c r="CI1087" s="22"/>
      <c r="CJ1087" s="22"/>
      <c r="CK1087" s="22"/>
      <c r="CL1087" s="22"/>
      <c r="CM1087" s="22"/>
      <c r="CN1087" s="22"/>
      <c r="CO1087" s="22"/>
      <c r="CP1087" s="22"/>
      <c r="CQ1087" s="22"/>
      <c r="CR1087" s="22"/>
      <c r="CS1087" s="22"/>
      <c r="CT1087" s="22"/>
      <c r="CU1087" s="22"/>
      <c r="CV1087" s="22"/>
      <c r="CW1087" s="22"/>
      <c r="CX1087" s="22"/>
      <c r="CY1087" s="22"/>
      <c r="CZ1087" s="22"/>
      <c r="DA1087" s="22"/>
      <c r="DB1087" s="22"/>
      <c r="DC1087" s="22"/>
      <c r="DD1087" s="22"/>
      <c r="DE1087" s="22"/>
      <c r="DF1087" s="22"/>
      <c r="DG1087" s="22"/>
      <c r="DH1087" s="22"/>
      <c r="DI1087" s="22"/>
      <c r="DJ1087" s="22"/>
      <c r="DK1087" s="22"/>
      <c r="DL1087" s="22"/>
      <c r="DM1087" s="22"/>
      <c r="DN1087" s="22"/>
      <c r="DO1087" s="22"/>
      <c r="DP1087" s="22"/>
      <c r="DQ1087" s="22"/>
      <c r="DR1087" s="22"/>
      <c r="DS1087" s="22"/>
      <c r="DT1087" s="22"/>
      <c r="DU1087" s="22"/>
      <c r="DV1087" s="22"/>
      <c r="DW1087" s="22"/>
      <c r="DX1087" s="22"/>
      <c r="DY1087" s="22"/>
      <c r="DZ1087" s="22"/>
      <c r="EA1087" s="22"/>
      <c r="EB1087" s="22"/>
      <c r="EC1087" s="22"/>
      <c r="ED1087" s="22"/>
      <c r="EE1087" s="22"/>
      <c r="EF1087" s="22"/>
      <c r="EG1087" s="22"/>
      <c r="EH1087" s="22"/>
      <c r="EI1087" s="22"/>
      <c r="EJ1087" s="22"/>
      <c r="EK1087" s="22"/>
      <c r="EL1087" s="22"/>
      <c r="EM1087" s="22"/>
      <c r="EN1087" s="22"/>
      <c r="EO1087" s="22"/>
      <c r="EP1087" s="22"/>
      <c r="EQ1087" s="22"/>
      <c r="ER1087" s="22"/>
      <c r="ES1087" s="22"/>
      <c r="ET1087" s="22"/>
      <c r="EU1087" s="22"/>
      <c r="EV1087" s="22"/>
      <c r="EW1087" s="22"/>
      <c r="EX1087" s="22"/>
      <c r="EY1087" s="22"/>
      <c r="EZ1087" s="22"/>
      <c r="FA1087" s="22"/>
      <c r="FB1087" s="22"/>
      <c r="FC1087" s="22"/>
      <c r="FD1087" s="22"/>
      <c r="FE1087" s="22"/>
      <c r="FF1087" s="22"/>
      <c r="FG1087" s="22"/>
      <c r="FH1087" s="22"/>
      <c r="FI1087" s="22"/>
      <c r="FJ1087" s="22"/>
      <c r="FK1087" s="22"/>
      <c r="FL1087" s="22"/>
      <c r="FM1087" s="22"/>
      <c r="FN1087" s="22"/>
      <c r="FO1087" s="22"/>
      <c r="FP1087" s="22"/>
      <c r="FQ1087" s="22"/>
      <c r="FR1087" s="22"/>
      <c r="FS1087" s="22"/>
      <c r="FT1087" s="22"/>
      <c r="FU1087" s="22"/>
      <c r="FV1087" s="22"/>
      <c r="FW1087" s="22"/>
      <c r="FX1087" s="22"/>
      <c r="FY1087" s="22"/>
      <c r="FZ1087" s="22"/>
      <c r="GA1087" s="22"/>
      <c r="GB1087" s="22"/>
      <c r="GC1087" s="22"/>
      <c r="GD1087" s="22"/>
      <c r="GE1087" s="22"/>
      <c r="GF1087" s="22"/>
      <c r="GG1087" s="22"/>
      <c r="GH1087" s="22"/>
      <c r="GI1087" s="22"/>
      <c r="GJ1087" s="22"/>
      <c r="GK1087" s="22"/>
      <c r="GL1087" s="22"/>
      <c r="GM1087" s="22"/>
      <c r="GN1087" s="22"/>
      <c r="GO1087" s="22"/>
      <c r="GP1087" s="22"/>
      <c r="GQ1087" s="22"/>
      <c r="GR1087" s="22"/>
      <c r="GS1087" s="22"/>
      <c r="GT1087" s="22"/>
      <c r="GU1087" s="22"/>
      <c r="GV1087" s="22"/>
      <c r="GW1087" s="22"/>
      <c r="GX1087" s="22"/>
      <c r="GY1087" s="22"/>
      <c r="GZ1087" s="22"/>
      <c r="HA1087" s="22"/>
      <c r="HB1087" s="22"/>
      <c r="HC1087" s="22"/>
      <c r="HD1087" s="22"/>
      <c r="HE1087" s="22"/>
      <c r="HF1087" s="22"/>
      <c r="HG1087" s="22"/>
      <c r="HH1087" s="22"/>
      <c r="HI1087" s="22"/>
      <c r="HJ1087" s="22"/>
      <c r="HK1087" s="22"/>
      <c r="HL1087" s="22"/>
      <c r="HM1087" s="22"/>
      <c r="HN1087" s="22"/>
      <c r="HO1087" s="22"/>
      <c r="HP1087" s="22"/>
      <c r="HQ1087" s="22"/>
      <c r="HR1087" s="22"/>
      <c r="HS1087" s="22"/>
      <c r="HT1087" s="22"/>
      <c r="HU1087" s="22"/>
      <c r="HV1087" s="22"/>
      <c r="HW1087" s="22"/>
      <c r="HX1087" s="22"/>
      <c r="HY1087" s="22"/>
      <c r="HZ1087" s="22"/>
      <c r="IA1087" s="22"/>
      <c r="IB1087" s="22"/>
      <c r="IC1087" s="22"/>
      <c r="ID1087" s="22"/>
      <c r="IE1087" s="22"/>
      <c r="IF1087" s="22"/>
      <c r="IG1087" s="22"/>
      <c r="IH1087" s="22"/>
      <c r="II1087" s="22"/>
      <c r="IJ1087" s="22"/>
      <c r="IK1087" s="22"/>
      <c r="IL1087" s="22"/>
      <c r="IM1087" s="22"/>
      <c r="IN1087" s="22"/>
      <c r="IO1087" s="22"/>
      <c r="IP1087" s="22"/>
      <c r="IQ1087" s="22"/>
      <c r="IR1087" s="22"/>
      <c r="IS1087" s="22"/>
      <c r="IT1087" s="22"/>
      <c r="IU1087" s="22"/>
      <c r="IV1087" s="22"/>
      <c r="IW1087" s="22"/>
      <c r="IX1087" s="22"/>
      <c r="IY1087" s="22"/>
      <c r="IZ1087" s="22"/>
      <c r="JA1087" s="22"/>
      <c r="JB1087" s="22"/>
      <c r="JC1087" s="22"/>
      <c r="JD1087" s="22"/>
      <c r="JE1087" s="22"/>
      <c r="JF1087" s="22"/>
      <c r="JG1087" s="22"/>
      <c r="JH1087" s="22"/>
      <c r="JI1087" s="22"/>
      <c r="JJ1087" s="22"/>
      <c r="JK1087" s="22"/>
      <c r="JL1087" s="22"/>
      <c r="JM1087" s="22"/>
      <c r="JN1087" s="22"/>
      <c r="JO1087" s="22"/>
      <c r="JP1087" s="22"/>
      <c r="JQ1087" s="22"/>
      <c r="JR1087" s="22"/>
      <c r="JS1087" s="22"/>
      <c r="JT1087" s="22"/>
      <c r="JU1087" s="22"/>
      <c r="JV1087" s="22"/>
      <c r="JW1087" s="22"/>
      <c r="JX1087" s="22"/>
      <c r="JY1087" s="22"/>
      <c r="JZ1087" s="22"/>
      <c r="KA1087" s="22"/>
      <c r="KB1087" s="22"/>
      <c r="KC1087" s="22"/>
      <c r="KD1087" s="22"/>
      <c r="KE1087" s="22"/>
      <c r="KF1087" s="22"/>
      <c r="KG1087" s="22"/>
      <c r="KH1087" s="22"/>
      <c r="KI1087" s="22"/>
      <c r="KJ1087" s="22"/>
      <c r="KK1087" s="22"/>
      <c r="KL1087" s="22"/>
      <c r="KM1087" s="22"/>
      <c r="KN1087" s="22"/>
      <c r="KO1087" s="22"/>
      <c r="KP1087" s="22"/>
      <c r="KQ1087" s="22"/>
      <c r="KR1087" s="22"/>
      <c r="KS1087" s="22"/>
      <c r="KT1087" s="22"/>
      <c r="KU1087" s="22"/>
      <c r="KV1087" s="22"/>
      <c r="KW1087" s="22"/>
      <c r="KX1087" s="22"/>
      <c r="KY1087" s="22"/>
      <c r="KZ1087" s="22"/>
      <c r="LA1087" s="22"/>
      <c r="LB1087" s="22"/>
      <c r="LC1087" s="22"/>
      <c r="LD1087" s="22"/>
      <c r="LE1087" s="22"/>
      <c r="LF1087" s="22"/>
      <c r="LG1087" s="22"/>
      <c r="LH1087" s="22"/>
      <c r="LI1087" s="22"/>
      <c r="LJ1087" s="22"/>
      <c r="LK1087" s="22"/>
      <c r="LL1087" s="22"/>
      <c r="LM1087" s="22"/>
      <c r="LN1087" s="22"/>
      <c r="LO1087" s="22"/>
      <c r="LP1087" s="22"/>
      <c r="LQ1087" s="22"/>
      <c r="LR1087" s="22"/>
      <c r="LS1087" s="22"/>
      <c r="LT1087" s="22"/>
      <c r="LU1087" s="22"/>
      <c r="LV1087" s="22"/>
      <c r="LW1087" s="22"/>
      <c r="LX1087" s="22"/>
      <c r="LY1087" s="22"/>
      <c r="LZ1087" s="22"/>
      <c r="MA1087" s="22"/>
      <c r="MB1087" s="22"/>
      <c r="MC1087" s="22"/>
      <c r="MD1087" s="22"/>
      <c r="ME1087" s="22"/>
      <c r="MF1087" s="22"/>
      <c r="MG1087" s="22"/>
      <c r="MH1087" s="22"/>
      <c r="MI1087" s="22"/>
      <c r="MJ1087" s="22"/>
      <c r="MK1087" s="22"/>
      <c r="ML1087" s="22"/>
      <c r="MM1087" s="22"/>
      <c r="MN1087" s="22"/>
      <c r="MO1087" s="22"/>
      <c r="MP1087" s="22"/>
      <c r="MQ1087" s="22"/>
      <c r="MR1087" s="22"/>
      <c r="MS1087" s="22"/>
      <c r="MT1087" s="22"/>
      <c r="MU1087" s="22"/>
      <c r="MV1087" s="22"/>
      <c r="MW1087" s="22"/>
      <c r="MX1087" s="22"/>
      <c r="MY1087" s="22"/>
      <c r="MZ1087" s="22"/>
      <c r="NA1087" s="22"/>
      <c r="NB1087" s="22"/>
      <c r="NC1087" s="22"/>
      <c r="ND1087" s="22"/>
      <c r="NE1087" s="22"/>
      <c r="NF1087" s="22"/>
      <c r="NG1087" s="22"/>
      <c r="NH1087" s="22"/>
      <c r="NI1087" s="22"/>
      <c r="NJ1087" s="22"/>
      <c r="NK1087" s="22"/>
      <c r="NL1087" s="22"/>
      <c r="NM1087" s="22"/>
      <c r="NN1087" s="22"/>
      <c r="NO1087" s="22"/>
      <c r="NP1087" s="22"/>
      <c r="NQ1087" s="22"/>
      <c r="NR1087" s="22"/>
      <c r="NS1087" s="22"/>
      <c r="NT1087" s="22"/>
      <c r="NU1087" s="22"/>
      <c r="NV1087" s="22"/>
      <c r="NW1087" s="22"/>
      <c r="NX1087" s="22"/>
      <c r="NY1087" s="22"/>
      <c r="NZ1087" s="22"/>
      <c r="OA1087" s="22"/>
      <c r="OB1087" s="22"/>
      <c r="OC1087" s="22"/>
      <c r="OD1087" s="22"/>
      <c r="OE1087" s="22"/>
      <c r="OF1087" s="22"/>
      <c r="OG1087" s="22"/>
      <c r="OH1087" s="22"/>
      <c r="OI1087" s="22"/>
      <c r="OJ1087" s="22"/>
      <c r="OK1087" s="22"/>
      <c r="OL1087" s="22"/>
      <c r="OM1087" s="22"/>
      <c r="ON1087" s="22"/>
      <c r="OO1087" s="22"/>
      <c r="OP1087" s="22"/>
      <c r="OQ1087" s="22"/>
      <c r="OR1087" s="22"/>
      <c r="OS1087" s="22"/>
      <c r="OT1087" s="22"/>
      <c r="OU1087" s="22"/>
      <c r="OV1087" s="22"/>
      <c r="OW1087" s="22"/>
      <c r="OX1087" s="22"/>
      <c r="OY1087" s="22"/>
      <c r="OZ1087" s="22"/>
      <c r="PA1087" s="22"/>
      <c r="PB1087" s="22"/>
      <c r="PC1087" s="22"/>
      <c r="PD1087" s="22"/>
      <c r="PE1087" s="22"/>
      <c r="PF1087" s="22"/>
      <c r="PG1087" s="22"/>
      <c r="PH1087" s="22"/>
      <c r="PI1087" s="22"/>
      <c r="PJ1087" s="22"/>
      <c r="PK1087" s="22"/>
      <c r="PL1087" s="22"/>
      <c r="PM1087" s="22"/>
      <c r="PN1087" s="22"/>
      <c r="PO1087" s="22"/>
      <c r="PP1087" s="22"/>
      <c r="PQ1087" s="22"/>
      <c r="PR1087" s="22"/>
      <c r="PS1087" s="22"/>
      <c r="PT1087" s="22"/>
      <c r="PU1087" s="22"/>
      <c r="PV1087" s="22"/>
      <c r="PW1087" s="22"/>
      <c r="PX1087" s="22"/>
      <c r="PY1087" s="22"/>
      <c r="PZ1087" s="22"/>
      <c r="QA1087" s="22"/>
      <c r="QB1087" s="22"/>
      <c r="QC1087" s="22"/>
      <c r="QD1087" s="22"/>
      <c r="QE1087" s="22"/>
      <c r="QF1087" s="22"/>
      <c r="QG1087" s="22"/>
      <c r="QH1087" s="22"/>
      <c r="QI1087" s="22"/>
      <c r="QJ1087" s="22"/>
      <c r="QK1087" s="22"/>
      <c r="QL1087" s="22"/>
      <c r="QM1087" s="22"/>
      <c r="QN1087" s="22"/>
      <c r="QO1087" s="22"/>
      <c r="QP1087" s="22"/>
      <c r="QQ1087" s="22"/>
      <c r="QR1087" s="22"/>
      <c r="QS1087" s="22"/>
      <c r="QT1087" s="22"/>
      <c r="QU1087" s="22"/>
      <c r="QV1087" s="22"/>
      <c r="QW1087" s="22"/>
      <c r="QX1087" s="22"/>
      <c r="QY1087" s="22"/>
      <c r="QZ1087" s="22"/>
      <c r="RA1087" s="22"/>
      <c r="RB1087" s="22"/>
      <c r="RC1087" s="22"/>
      <c r="RD1087" s="22"/>
      <c r="RE1087" s="22"/>
      <c r="RF1087" s="22"/>
      <c r="RG1087" s="22"/>
      <c r="RH1087" s="22"/>
      <c r="RI1087" s="22"/>
      <c r="RJ1087" s="22"/>
      <c r="RK1087" s="22"/>
      <c r="RL1087" s="22"/>
      <c r="RM1087" s="22"/>
      <c r="RN1087" s="22"/>
      <c r="RO1087" s="22"/>
      <c r="RP1087" s="22"/>
      <c r="RQ1087" s="22"/>
      <c r="RR1087" s="22"/>
      <c r="RS1087" s="22"/>
      <c r="RT1087" s="22"/>
      <c r="RU1087" s="22"/>
      <c r="RV1087" s="22"/>
      <c r="RW1087" s="22"/>
      <c r="RX1087" s="22"/>
      <c r="RY1087" s="22"/>
      <c r="RZ1087" s="22"/>
      <c r="SA1087" s="22"/>
      <c r="SB1087" s="22"/>
      <c r="SC1087" s="22"/>
      <c r="SD1087" s="22"/>
      <c r="SE1087" s="22"/>
      <c r="SF1087" s="22"/>
      <c r="SG1087" s="22"/>
      <c r="SH1087" s="22"/>
      <c r="SI1087" s="22"/>
      <c r="SJ1087" s="22"/>
      <c r="SK1087" s="22"/>
      <c r="SL1087" s="22"/>
      <c r="SM1087" s="22"/>
      <c r="SN1087" s="22"/>
      <c r="SO1087" s="22"/>
      <c r="SP1087" s="22"/>
      <c r="SQ1087" s="22"/>
      <c r="SR1087" s="22"/>
      <c r="SS1087" s="22"/>
      <c r="ST1087" s="22"/>
      <c r="SU1087" s="22"/>
      <c r="SV1087" s="22"/>
      <c r="SW1087" s="22"/>
      <c r="SX1087" s="22"/>
      <c r="SY1087" s="22"/>
      <c r="SZ1087" s="22"/>
      <c r="TA1087" s="22"/>
      <c r="TB1087" s="22"/>
      <c r="TC1087" s="22"/>
      <c r="TD1087" s="22"/>
      <c r="TE1087" s="22"/>
      <c r="TF1087" s="22"/>
      <c r="TG1087" s="22"/>
      <c r="TH1087" s="22"/>
      <c r="TI1087" s="22"/>
      <c r="TJ1087" s="22"/>
      <c r="TK1087" s="22"/>
      <c r="TL1087" s="22"/>
      <c r="TM1087" s="22"/>
      <c r="TN1087" s="22"/>
      <c r="TO1087" s="22"/>
      <c r="TP1087" s="22"/>
      <c r="TQ1087" s="22"/>
      <c r="TR1087" s="22"/>
      <c r="TS1087" s="22"/>
      <c r="TT1087" s="22"/>
      <c r="TU1087" s="22"/>
      <c r="TV1087" s="22"/>
      <c r="TW1087" s="22"/>
      <c r="TX1087" s="22"/>
      <c r="TY1087" s="22"/>
      <c r="TZ1087" s="22"/>
      <c r="UA1087" s="22"/>
      <c r="UB1087" s="22"/>
      <c r="UC1087" s="22"/>
      <c r="UD1087" s="22"/>
      <c r="UE1087" s="22"/>
      <c r="UF1087" s="22"/>
      <c r="UG1087" s="23"/>
    </row>
    <row r="1088" spans="1:553" ht="184.5" customHeight="1">
      <c r="A1088" s="356"/>
      <c r="B1088" s="385"/>
      <c r="C1088" s="384" t="s">
        <v>23</v>
      </c>
      <c r="D1088" s="376" t="s">
        <v>70</v>
      </c>
      <c r="E1088" s="376" t="s">
        <v>623</v>
      </c>
      <c r="F1088" s="385">
        <v>1</v>
      </c>
      <c r="G1088" s="386" t="s">
        <v>935</v>
      </c>
      <c r="H1088" s="387">
        <v>81.5</v>
      </c>
      <c r="I1088" s="490">
        <v>81.5</v>
      </c>
      <c r="J1088" s="368">
        <v>62000</v>
      </c>
      <c r="K1088" s="391"/>
      <c r="L1088" s="480">
        <f t="shared" si="165"/>
        <v>5053000</v>
      </c>
      <c r="M1088" s="366"/>
      <c r="N1088" s="366"/>
      <c r="O1088" s="366"/>
      <c r="P1088" s="366"/>
      <c r="Q1088" s="761" t="s">
        <v>620</v>
      </c>
      <c r="R1088" s="1452"/>
      <c r="S1088" s="308"/>
      <c r="T1088" s="308"/>
      <c r="U1088" s="308"/>
      <c r="V1088" s="308"/>
      <c r="W1088" s="685">
        <f t="shared" si="166"/>
        <v>81.5</v>
      </c>
      <c r="X1088" s="308"/>
      <c r="Y1088" s="308"/>
      <c r="Z1088" s="604"/>
      <c r="AA1088" s="308"/>
      <c r="AB1088" s="308"/>
      <c r="AC1088" s="373"/>
      <c r="AD1088" s="373"/>
      <c r="AE1088" s="373"/>
      <c r="AF1088" s="373"/>
      <c r="AG1088" s="373"/>
      <c r="AH1088" s="373"/>
      <c r="AI1088" s="373"/>
      <c r="AJ1088" s="373"/>
      <c r="AK1088" s="389"/>
      <c r="AL1088" s="100"/>
      <c r="AM1088" s="27"/>
      <c r="AN1088" s="27"/>
      <c r="AO1088" s="27"/>
      <c r="AP1088" s="27"/>
      <c r="AQ1088" s="27"/>
      <c r="AR1088" s="27"/>
      <c r="AS1088" s="22"/>
      <c r="AT1088" s="22"/>
      <c r="AU1088" s="22"/>
      <c r="AV1088" s="22"/>
      <c r="AW1088" s="22"/>
      <c r="AX1088" s="22"/>
      <c r="AY1088" s="22"/>
      <c r="AZ1088" s="22"/>
      <c r="BA1088" s="22"/>
      <c r="BB1088" s="22"/>
      <c r="BC1088" s="22"/>
      <c r="BD1088" s="22"/>
      <c r="BE1088" s="22"/>
      <c r="BF1088" s="22"/>
      <c r="BG1088" s="22"/>
      <c r="BH1088" s="22"/>
      <c r="BI1088" s="22"/>
      <c r="BJ1088" s="22"/>
      <c r="BK1088" s="22"/>
      <c r="BL1088" s="22"/>
      <c r="BM1088" s="22"/>
      <c r="BN1088" s="22"/>
      <c r="BO1088" s="22"/>
      <c r="BP1088" s="22"/>
      <c r="BQ1088" s="22"/>
      <c r="BR1088" s="22"/>
      <c r="BS1088" s="22"/>
      <c r="BT1088" s="22"/>
      <c r="BU1088" s="22"/>
      <c r="BV1088" s="22"/>
      <c r="BW1088" s="22"/>
      <c r="BX1088" s="22"/>
      <c r="BY1088" s="22"/>
      <c r="BZ1088" s="22"/>
      <c r="CA1088" s="22"/>
      <c r="CB1088" s="22"/>
      <c r="CC1088" s="22"/>
      <c r="CD1088" s="22"/>
      <c r="CE1088" s="22"/>
      <c r="CF1088" s="22"/>
      <c r="CG1088" s="22"/>
      <c r="CH1088" s="22"/>
      <c r="CI1088" s="22"/>
      <c r="CJ1088" s="22"/>
      <c r="CK1088" s="22"/>
      <c r="CL1088" s="22"/>
      <c r="CM1088" s="22"/>
      <c r="CN1088" s="22"/>
      <c r="CO1088" s="22"/>
      <c r="CP1088" s="22"/>
      <c r="CQ1088" s="22"/>
      <c r="CR1088" s="22"/>
      <c r="CS1088" s="22"/>
      <c r="CT1088" s="22"/>
      <c r="CU1088" s="22"/>
      <c r="CV1088" s="22"/>
      <c r="CW1088" s="22"/>
      <c r="CX1088" s="22"/>
      <c r="CY1088" s="22"/>
      <c r="CZ1088" s="22"/>
      <c r="DA1088" s="22"/>
      <c r="DB1088" s="22"/>
      <c r="DC1088" s="22"/>
      <c r="DD1088" s="22"/>
      <c r="DE1088" s="22"/>
      <c r="DF1088" s="22"/>
      <c r="DG1088" s="22"/>
      <c r="DH1088" s="22"/>
      <c r="DI1088" s="22"/>
      <c r="DJ1088" s="22"/>
      <c r="DK1088" s="22"/>
      <c r="DL1088" s="22"/>
      <c r="DM1088" s="22"/>
      <c r="DN1088" s="22"/>
      <c r="DO1088" s="22"/>
      <c r="DP1088" s="22"/>
      <c r="DQ1088" s="22"/>
      <c r="DR1088" s="22"/>
      <c r="DS1088" s="22"/>
      <c r="DT1088" s="22"/>
      <c r="DU1088" s="22"/>
      <c r="DV1088" s="22"/>
      <c r="DW1088" s="22"/>
      <c r="DX1088" s="22"/>
      <c r="DY1088" s="22"/>
      <c r="DZ1088" s="22"/>
      <c r="EA1088" s="22"/>
      <c r="EB1088" s="22"/>
      <c r="EC1088" s="22"/>
      <c r="ED1088" s="22"/>
      <c r="EE1088" s="22"/>
      <c r="EF1088" s="22"/>
      <c r="EG1088" s="22"/>
      <c r="EH1088" s="22"/>
      <c r="EI1088" s="22"/>
      <c r="EJ1088" s="22"/>
      <c r="EK1088" s="22"/>
      <c r="EL1088" s="22"/>
      <c r="EM1088" s="22"/>
      <c r="EN1088" s="22"/>
      <c r="EO1088" s="22"/>
      <c r="EP1088" s="22"/>
      <c r="EQ1088" s="22"/>
      <c r="ER1088" s="22"/>
      <c r="ES1088" s="22"/>
      <c r="ET1088" s="22"/>
      <c r="EU1088" s="22"/>
      <c r="EV1088" s="22"/>
      <c r="EW1088" s="22"/>
      <c r="EX1088" s="22"/>
      <c r="EY1088" s="22"/>
      <c r="EZ1088" s="22"/>
      <c r="FA1088" s="22"/>
      <c r="FB1088" s="22"/>
      <c r="FC1088" s="22"/>
      <c r="FD1088" s="22"/>
      <c r="FE1088" s="22"/>
      <c r="FF1088" s="22"/>
      <c r="FG1088" s="22"/>
      <c r="FH1088" s="22"/>
      <c r="FI1088" s="22"/>
      <c r="FJ1088" s="22"/>
      <c r="FK1088" s="22"/>
      <c r="FL1088" s="22"/>
      <c r="FM1088" s="22"/>
      <c r="FN1088" s="22"/>
      <c r="FO1088" s="22"/>
      <c r="FP1088" s="22"/>
      <c r="FQ1088" s="22"/>
      <c r="FR1088" s="22"/>
      <c r="FS1088" s="22"/>
      <c r="FT1088" s="22"/>
      <c r="FU1088" s="22"/>
      <c r="FV1088" s="22"/>
      <c r="FW1088" s="22"/>
      <c r="FX1088" s="22"/>
      <c r="FY1088" s="22"/>
      <c r="FZ1088" s="22"/>
      <c r="GA1088" s="22"/>
      <c r="GB1088" s="22"/>
      <c r="GC1088" s="22"/>
      <c r="GD1088" s="22"/>
      <c r="GE1088" s="22"/>
      <c r="GF1088" s="22"/>
      <c r="GG1088" s="22"/>
      <c r="GH1088" s="22"/>
      <c r="GI1088" s="22"/>
      <c r="GJ1088" s="22"/>
      <c r="GK1088" s="22"/>
      <c r="GL1088" s="22"/>
      <c r="GM1088" s="22"/>
      <c r="GN1088" s="22"/>
      <c r="GO1088" s="22"/>
      <c r="GP1088" s="22"/>
      <c r="GQ1088" s="22"/>
      <c r="GR1088" s="22"/>
      <c r="GS1088" s="22"/>
      <c r="GT1088" s="22"/>
      <c r="GU1088" s="22"/>
      <c r="GV1088" s="22"/>
      <c r="GW1088" s="22"/>
      <c r="GX1088" s="22"/>
      <c r="GY1088" s="22"/>
      <c r="GZ1088" s="22"/>
      <c r="HA1088" s="22"/>
      <c r="HB1088" s="22"/>
      <c r="HC1088" s="22"/>
      <c r="HD1088" s="22"/>
      <c r="HE1088" s="22"/>
      <c r="HF1088" s="22"/>
      <c r="HG1088" s="22"/>
      <c r="HH1088" s="22"/>
      <c r="HI1088" s="22"/>
      <c r="HJ1088" s="22"/>
      <c r="HK1088" s="22"/>
      <c r="HL1088" s="22"/>
      <c r="HM1088" s="22"/>
      <c r="HN1088" s="22"/>
      <c r="HO1088" s="22"/>
      <c r="HP1088" s="22"/>
      <c r="HQ1088" s="22"/>
      <c r="HR1088" s="22"/>
      <c r="HS1088" s="22"/>
      <c r="HT1088" s="22"/>
      <c r="HU1088" s="22"/>
      <c r="HV1088" s="22"/>
      <c r="HW1088" s="22"/>
      <c r="HX1088" s="22"/>
      <c r="HY1088" s="22"/>
      <c r="HZ1088" s="22"/>
      <c r="IA1088" s="22"/>
      <c r="IB1088" s="22"/>
      <c r="IC1088" s="22"/>
      <c r="ID1088" s="22"/>
      <c r="IE1088" s="22"/>
      <c r="IF1088" s="22"/>
      <c r="IG1088" s="22"/>
      <c r="IH1088" s="22"/>
      <c r="II1088" s="22"/>
      <c r="IJ1088" s="22"/>
      <c r="IK1088" s="22"/>
      <c r="IL1088" s="22"/>
      <c r="IM1088" s="22"/>
      <c r="IN1088" s="22"/>
      <c r="IO1088" s="22"/>
      <c r="IP1088" s="22"/>
      <c r="IQ1088" s="22"/>
      <c r="IR1088" s="22"/>
      <c r="IS1088" s="22"/>
      <c r="IT1088" s="22"/>
      <c r="IU1088" s="22"/>
      <c r="IV1088" s="22"/>
      <c r="IW1088" s="22"/>
      <c r="IX1088" s="22"/>
      <c r="IY1088" s="22"/>
      <c r="IZ1088" s="22"/>
      <c r="JA1088" s="22"/>
      <c r="JB1088" s="22"/>
      <c r="JC1088" s="22"/>
      <c r="JD1088" s="22"/>
      <c r="JE1088" s="22"/>
      <c r="JF1088" s="22"/>
      <c r="JG1088" s="22"/>
      <c r="JH1088" s="22"/>
      <c r="JI1088" s="22"/>
      <c r="JJ1088" s="22"/>
      <c r="JK1088" s="22"/>
      <c r="JL1088" s="22"/>
      <c r="JM1088" s="22"/>
      <c r="JN1088" s="22"/>
      <c r="JO1088" s="22"/>
      <c r="JP1088" s="22"/>
      <c r="JQ1088" s="22"/>
      <c r="JR1088" s="22"/>
      <c r="JS1088" s="22"/>
      <c r="JT1088" s="22"/>
      <c r="JU1088" s="22"/>
      <c r="JV1088" s="22"/>
      <c r="JW1088" s="22"/>
      <c r="JX1088" s="22"/>
      <c r="JY1088" s="22"/>
      <c r="JZ1088" s="22"/>
      <c r="KA1088" s="22"/>
      <c r="KB1088" s="22"/>
      <c r="KC1088" s="22"/>
      <c r="KD1088" s="22"/>
      <c r="KE1088" s="22"/>
      <c r="KF1088" s="22"/>
      <c r="KG1088" s="22"/>
      <c r="KH1088" s="22"/>
      <c r="KI1088" s="22"/>
      <c r="KJ1088" s="22"/>
      <c r="KK1088" s="22"/>
      <c r="KL1088" s="22"/>
      <c r="KM1088" s="22"/>
      <c r="KN1088" s="22"/>
      <c r="KO1088" s="22"/>
      <c r="KP1088" s="22"/>
      <c r="KQ1088" s="22"/>
      <c r="KR1088" s="22"/>
      <c r="KS1088" s="22"/>
      <c r="KT1088" s="22"/>
      <c r="KU1088" s="22"/>
      <c r="KV1088" s="22"/>
      <c r="KW1088" s="22"/>
      <c r="KX1088" s="22"/>
      <c r="KY1088" s="22"/>
      <c r="KZ1088" s="22"/>
      <c r="LA1088" s="22"/>
      <c r="LB1088" s="22"/>
      <c r="LC1088" s="22"/>
      <c r="LD1088" s="22"/>
      <c r="LE1088" s="22"/>
      <c r="LF1088" s="22"/>
      <c r="LG1088" s="22"/>
      <c r="LH1088" s="22"/>
      <c r="LI1088" s="22"/>
      <c r="LJ1088" s="22"/>
      <c r="LK1088" s="22"/>
      <c r="LL1088" s="22"/>
      <c r="LM1088" s="22"/>
      <c r="LN1088" s="22"/>
      <c r="LO1088" s="22"/>
      <c r="LP1088" s="22"/>
      <c r="LQ1088" s="22"/>
      <c r="LR1088" s="22"/>
      <c r="LS1088" s="22"/>
      <c r="LT1088" s="22"/>
      <c r="LU1088" s="22"/>
      <c r="LV1088" s="22"/>
      <c r="LW1088" s="22"/>
      <c r="LX1088" s="22"/>
      <c r="LY1088" s="22"/>
      <c r="LZ1088" s="22"/>
      <c r="MA1088" s="22"/>
      <c r="MB1088" s="22"/>
      <c r="MC1088" s="22"/>
      <c r="MD1088" s="22"/>
      <c r="ME1088" s="22"/>
      <c r="MF1088" s="22"/>
      <c r="MG1088" s="22"/>
      <c r="MH1088" s="22"/>
      <c r="MI1088" s="22"/>
      <c r="MJ1088" s="22"/>
      <c r="MK1088" s="22"/>
      <c r="ML1088" s="22"/>
      <c r="MM1088" s="22"/>
      <c r="MN1088" s="22"/>
      <c r="MO1088" s="22"/>
      <c r="MP1088" s="22"/>
      <c r="MQ1088" s="22"/>
      <c r="MR1088" s="22"/>
      <c r="MS1088" s="22"/>
      <c r="MT1088" s="22"/>
      <c r="MU1088" s="22"/>
      <c r="MV1088" s="22"/>
      <c r="MW1088" s="22"/>
      <c r="MX1088" s="22"/>
      <c r="MY1088" s="22"/>
      <c r="MZ1088" s="22"/>
      <c r="NA1088" s="22"/>
      <c r="NB1088" s="22"/>
      <c r="NC1088" s="22"/>
      <c r="ND1088" s="22"/>
      <c r="NE1088" s="22"/>
      <c r="NF1088" s="22"/>
      <c r="NG1088" s="22"/>
      <c r="NH1088" s="22"/>
      <c r="NI1088" s="22"/>
      <c r="NJ1088" s="22"/>
      <c r="NK1088" s="22"/>
      <c r="NL1088" s="22"/>
      <c r="NM1088" s="22"/>
      <c r="NN1088" s="22"/>
      <c r="NO1088" s="22"/>
      <c r="NP1088" s="22"/>
      <c r="NQ1088" s="22"/>
      <c r="NR1088" s="22"/>
      <c r="NS1088" s="22"/>
      <c r="NT1088" s="22"/>
      <c r="NU1088" s="22"/>
      <c r="NV1088" s="22"/>
      <c r="NW1088" s="22"/>
      <c r="NX1088" s="22"/>
      <c r="NY1088" s="22"/>
      <c r="NZ1088" s="22"/>
      <c r="OA1088" s="22"/>
      <c r="OB1088" s="22"/>
      <c r="OC1088" s="22"/>
      <c r="OD1088" s="22"/>
      <c r="OE1088" s="22"/>
      <c r="OF1088" s="22"/>
      <c r="OG1088" s="22"/>
      <c r="OH1088" s="22"/>
      <c r="OI1088" s="22"/>
      <c r="OJ1088" s="22"/>
      <c r="OK1088" s="22"/>
      <c r="OL1088" s="22"/>
      <c r="OM1088" s="22"/>
      <c r="ON1088" s="22"/>
      <c r="OO1088" s="22"/>
      <c r="OP1088" s="22"/>
      <c r="OQ1088" s="22"/>
      <c r="OR1088" s="22"/>
      <c r="OS1088" s="22"/>
      <c r="OT1088" s="22"/>
      <c r="OU1088" s="22"/>
      <c r="OV1088" s="22"/>
      <c r="OW1088" s="22"/>
      <c r="OX1088" s="22"/>
      <c r="OY1088" s="22"/>
      <c r="OZ1088" s="22"/>
      <c r="PA1088" s="22"/>
      <c r="PB1088" s="22"/>
      <c r="PC1088" s="22"/>
      <c r="PD1088" s="22"/>
      <c r="PE1088" s="22"/>
      <c r="PF1088" s="22"/>
      <c r="PG1088" s="22"/>
      <c r="PH1088" s="22"/>
      <c r="PI1088" s="22"/>
      <c r="PJ1088" s="22"/>
      <c r="PK1088" s="22"/>
      <c r="PL1088" s="22"/>
      <c r="PM1088" s="22"/>
      <c r="PN1088" s="22"/>
      <c r="PO1088" s="22"/>
      <c r="PP1088" s="22"/>
      <c r="PQ1088" s="22"/>
      <c r="PR1088" s="22"/>
      <c r="PS1088" s="22"/>
      <c r="PT1088" s="22"/>
      <c r="PU1088" s="22"/>
      <c r="PV1088" s="22"/>
      <c r="PW1088" s="22"/>
      <c r="PX1088" s="22"/>
      <c r="PY1088" s="22"/>
      <c r="PZ1088" s="22"/>
      <c r="QA1088" s="22"/>
      <c r="QB1088" s="22"/>
      <c r="QC1088" s="22"/>
      <c r="QD1088" s="22"/>
      <c r="QE1088" s="22"/>
      <c r="QF1088" s="22"/>
      <c r="QG1088" s="22"/>
      <c r="QH1088" s="22"/>
      <c r="QI1088" s="22"/>
      <c r="QJ1088" s="22"/>
      <c r="QK1088" s="22"/>
      <c r="QL1088" s="22"/>
      <c r="QM1088" s="22"/>
      <c r="QN1088" s="22"/>
      <c r="QO1088" s="22"/>
      <c r="QP1088" s="22"/>
      <c r="QQ1088" s="22"/>
      <c r="QR1088" s="22"/>
      <c r="QS1088" s="22"/>
      <c r="QT1088" s="22"/>
      <c r="QU1088" s="22"/>
      <c r="QV1088" s="22"/>
      <c r="QW1088" s="22"/>
      <c r="QX1088" s="22"/>
      <c r="QY1088" s="22"/>
      <c r="QZ1088" s="22"/>
      <c r="RA1088" s="22"/>
      <c r="RB1088" s="22"/>
      <c r="RC1088" s="22"/>
      <c r="RD1088" s="22"/>
      <c r="RE1088" s="22"/>
      <c r="RF1088" s="22"/>
      <c r="RG1088" s="22"/>
      <c r="RH1088" s="22"/>
      <c r="RI1088" s="22"/>
      <c r="RJ1088" s="22"/>
      <c r="RK1088" s="22"/>
      <c r="RL1088" s="22"/>
      <c r="RM1088" s="22"/>
      <c r="RN1088" s="22"/>
      <c r="RO1088" s="22"/>
      <c r="RP1088" s="22"/>
      <c r="RQ1088" s="22"/>
      <c r="RR1088" s="22"/>
      <c r="RS1088" s="22"/>
      <c r="RT1088" s="22"/>
      <c r="RU1088" s="22"/>
      <c r="RV1088" s="22"/>
      <c r="RW1088" s="22"/>
      <c r="RX1088" s="22"/>
      <c r="RY1088" s="22"/>
      <c r="RZ1088" s="22"/>
      <c r="SA1088" s="22"/>
      <c r="SB1088" s="22"/>
      <c r="SC1088" s="22"/>
      <c r="SD1088" s="22"/>
      <c r="SE1088" s="22"/>
      <c r="SF1088" s="22"/>
      <c r="SG1088" s="22"/>
      <c r="SH1088" s="22"/>
      <c r="SI1088" s="22"/>
      <c r="SJ1088" s="22"/>
      <c r="SK1088" s="22"/>
      <c r="SL1088" s="22"/>
      <c r="SM1088" s="22"/>
      <c r="SN1088" s="22"/>
      <c r="SO1088" s="22"/>
      <c r="SP1088" s="22"/>
      <c r="SQ1088" s="22"/>
      <c r="SR1088" s="22"/>
      <c r="SS1088" s="22"/>
      <c r="ST1088" s="22"/>
      <c r="SU1088" s="22"/>
      <c r="SV1088" s="22"/>
      <c r="SW1088" s="22"/>
      <c r="SX1088" s="22"/>
      <c r="SY1088" s="22"/>
      <c r="SZ1088" s="22"/>
      <c r="TA1088" s="22"/>
      <c r="TB1088" s="22"/>
      <c r="TC1088" s="22"/>
      <c r="TD1088" s="22"/>
      <c r="TE1088" s="22"/>
      <c r="TF1088" s="22"/>
      <c r="TG1088" s="22"/>
      <c r="TH1088" s="22"/>
      <c r="TI1088" s="22"/>
      <c r="TJ1088" s="22"/>
      <c r="TK1088" s="22"/>
      <c r="TL1088" s="22"/>
      <c r="TM1088" s="22"/>
      <c r="TN1088" s="22"/>
      <c r="TO1088" s="22"/>
      <c r="TP1088" s="22"/>
      <c r="TQ1088" s="22"/>
      <c r="TR1088" s="22"/>
      <c r="TS1088" s="22"/>
      <c r="TT1088" s="22"/>
      <c r="TU1088" s="22"/>
      <c r="TV1088" s="22"/>
      <c r="TW1088" s="22"/>
      <c r="TX1088" s="22"/>
      <c r="TY1088" s="22"/>
      <c r="TZ1088" s="22"/>
      <c r="UA1088" s="22"/>
      <c r="UB1088" s="22"/>
      <c r="UC1088" s="22"/>
      <c r="UD1088" s="22"/>
      <c r="UE1088" s="22"/>
      <c r="UF1088" s="22"/>
      <c r="UG1088" s="23"/>
    </row>
    <row r="1089" spans="1:553" ht="184.5" customHeight="1">
      <c r="A1089" s="356"/>
      <c r="B1089" s="385"/>
      <c r="C1089" s="384" t="s">
        <v>23</v>
      </c>
      <c r="D1089" s="376" t="s">
        <v>70</v>
      </c>
      <c r="E1089" s="376" t="s">
        <v>314</v>
      </c>
      <c r="F1089" s="385">
        <v>1</v>
      </c>
      <c r="G1089" s="386" t="s">
        <v>935</v>
      </c>
      <c r="H1089" s="387">
        <v>138.80000000000001</v>
      </c>
      <c r="I1089" s="490">
        <v>138.80000000000001</v>
      </c>
      <c r="J1089" s="368">
        <v>62000</v>
      </c>
      <c r="K1089" s="391"/>
      <c r="L1089" s="480">
        <f t="shared" si="165"/>
        <v>8605600</v>
      </c>
      <c r="M1089" s="366"/>
      <c r="N1089" s="366"/>
      <c r="O1089" s="366"/>
      <c r="P1089" s="366"/>
      <c r="Q1089" s="761" t="s">
        <v>620</v>
      </c>
      <c r="R1089" s="1452"/>
      <c r="S1089" s="308"/>
      <c r="T1089" s="308"/>
      <c r="U1089" s="308"/>
      <c r="V1089" s="308"/>
      <c r="W1089" s="685">
        <f t="shared" si="166"/>
        <v>138.80000000000001</v>
      </c>
      <c r="X1089" s="308"/>
      <c r="Y1089" s="308"/>
      <c r="Z1089" s="604"/>
      <c r="AA1089" s="308"/>
      <c r="AB1089" s="308"/>
      <c r="AC1089" s="373"/>
      <c r="AD1089" s="373"/>
      <c r="AE1089" s="373"/>
      <c r="AF1089" s="373"/>
      <c r="AG1089" s="373"/>
      <c r="AH1089" s="373"/>
      <c r="AI1089" s="373"/>
      <c r="AJ1089" s="373"/>
      <c r="AK1089" s="389"/>
      <c r="AL1089" s="100"/>
      <c r="AM1089" s="27"/>
      <c r="AN1089" s="27"/>
      <c r="AO1089" s="27"/>
      <c r="AP1089" s="27"/>
      <c r="AQ1089" s="27"/>
      <c r="AR1089" s="27"/>
      <c r="AS1089" s="22"/>
      <c r="AT1089" s="22"/>
      <c r="AU1089" s="22"/>
      <c r="AV1089" s="22"/>
      <c r="AW1089" s="22"/>
      <c r="AX1089" s="22"/>
      <c r="AY1089" s="22"/>
      <c r="AZ1089" s="22"/>
      <c r="BA1089" s="22"/>
      <c r="BB1089" s="22"/>
      <c r="BC1089" s="22"/>
      <c r="BD1089" s="22"/>
      <c r="BE1089" s="22"/>
      <c r="BF1089" s="22"/>
      <c r="BG1089" s="22"/>
      <c r="BH1089" s="22"/>
      <c r="BI1089" s="22"/>
      <c r="BJ1089" s="22"/>
      <c r="BK1089" s="22"/>
      <c r="BL1089" s="22"/>
      <c r="BM1089" s="22"/>
      <c r="BN1089" s="22"/>
      <c r="BO1089" s="22"/>
      <c r="BP1089" s="22"/>
      <c r="BQ1089" s="22"/>
      <c r="BR1089" s="22"/>
      <c r="BS1089" s="22"/>
      <c r="BT1089" s="22"/>
      <c r="BU1089" s="22"/>
      <c r="BV1089" s="22"/>
      <c r="BW1089" s="22"/>
      <c r="BX1089" s="22"/>
      <c r="BY1089" s="22"/>
      <c r="BZ1089" s="22"/>
      <c r="CA1089" s="22"/>
      <c r="CB1089" s="22"/>
      <c r="CC1089" s="22"/>
      <c r="CD1089" s="22"/>
      <c r="CE1089" s="22"/>
      <c r="CF1089" s="22"/>
      <c r="CG1089" s="22"/>
      <c r="CH1089" s="22"/>
      <c r="CI1089" s="22"/>
      <c r="CJ1089" s="22"/>
      <c r="CK1089" s="22"/>
      <c r="CL1089" s="22"/>
      <c r="CM1089" s="22"/>
      <c r="CN1089" s="22"/>
      <c r="CO1089" s="22"/>
      <c r="CP1089" s="22"/>
      <c r="CQ1089" s="22"/>
      <c r="CR1089" s="22"/>
      <c r="CS1089" s="22"/>
      <c r="CT1089" s="22"/>
      <c r="CU1089" s="22"/>
      <c r="CV1089" s="22"/>
      <c r="CW1089" s="22"/>
      <c r="CX1089" s="22"/>
      <c r="CY1089" s="22"/>
      <c r="CZ1089" s="22"/>
      <c r="DA1089" s="22"/>
      <c r="DB1089" s="22"/>
      <c r="DC1089" s="22"/>
      <c r="DD1089" s="22"/>
      <c r="DE1089" s="22"/>
      <c r="DF1089" s="22"/>
      <c r="DG1089" s="22"/>
      <c r="DH1089" s="22"/>
      <c r="DI1089" s="22"/>
      <c r="DJ1089" s="22"/>
      <c r="DK1089" s="22"/>
      <c r="DL1089" s="22"/>
      <c r="DM1089" s="22"/>
      <c r="DN1089" s="22"/>
      <c r="DO1089" s="22"/>
      <c r="DP1089" s="22"/>
      <c r="DQ1089" s="22"/>
      <c r="DR1089" s="22"/>
      <c r="DS1089" s="22"/>
      <c r="DT1089" s="22"/>
      <c r="DU1089" s="22"/>
      <c r="DV1089" s="22"/>
      <c r="DW1089" s="22"/>
      <c r="DX1089" s="22"/>
      <c r="DY1089" s="22"/>
      <c r="DZ1089" s="22"/>
      <c r="EA1089" s="22"/>
      <c r="EB1089" s="22"/>
      <c r="EC1089" s="22"/>
      <c r="ED1089" s="22"/>
      <c r="EE1089" s="22"/>
      <c r="EF1089" s="22"/>
      <c r="EG1089" s="22"/>
      <c r="EH1089" s="22"/>
      <c r="EI1089" s="22"/>
      <c r="EJ1089" s="22"/>
      <c r="EK1089" s="22"/>
      <c r="EL1089" s="22"/>
      <c r="EM1089" s="22"/>
      <c r="EN1089" s="22"/>
      <c r="EO1089" s="22"/>
      <c r="EP1089" s="22"/>
      <c r="EQ1089" s="22"/>
      <c r="ER1089" s="22"/>
      <c r="ES1089" s="22"/>
      <c r="ET1089" s="22"/>
      <c r="EU1089" s="22"/>
      <c r="EV1089" s="22"/>
      <c r="EW1089" s="22"/>
      <c r="EX1089" s="22"/>
      <c r="EY1089" s="22"/>
      <c r="EZ1089" s="22"/>
      <c r="FA1089" s="22"/>
      <c r="FB1089" s="22"/>
      <c r="FC1089" s="22"/>
      <c r="FD1089" s="22"/>
      <c r="FE1089" s="22"/>
      <c r="FF1089" s="22"/>
      <c r="FG1089" s="22"/>
      <c r="FH1089" s="22"/>
      <c r="FI1089" s="22"/>
      <c r="FJ1089" s="22"/>
      <c r="FK1089" s="22"/>
      <c r="FL1089" s="22"/>
      <c r="FM1089" s="22"/>
      <c r="FN1089" s="22"/>
      <c r="FO1089" s="22"/>
      <c r="FP1089" s="22"/>
      <c r="FQ1089" s="22"/>
      <c r="FR1089" s="22"/>
      <c r="FS1089" s="22"/>
      <c r="FT1089" s="22"/>
      <c r="FU1089" s="22"/>
      <c r="FV1089" s="22"/>
      <c r="FW1089" s="22"/>
      <c r="FX1089" s="22"/>
      <c r="FY1089" s="22"/>
      <c r="FZ1089" s="22"/>
      <c r="GA1089" s="22"/>
      <c r="GB1089" s="22"/>
      <c r="GC1089" s="22"/>
      <c r="GD1089" s="22"/>
      <c r="GE1089" s="22"/>
      <c r="GF1089" s="22"/>
      <c r="GG1089" s="22"/>
      <c r="GH1089" s="22"/>
      <c r="GI1089" s="22"/>
      <c r="GJ1089" s="22"/>
      <c r="GK1089" s="22"/>
      <c r="GL1089" s="22"/>
      <c r="GM1089" s="22"/>
      <c r="GN1089" s="22"/>
      <c r="GO1089" s="22"/>
      <c r="GP1089" s="22"/>
      <c r="GQ1089" s="22"/>
      <c r="GR1089" s="22"/>
      <c r="GS1089" s="22"/>
      <c r="GT1089" s="22"/>
      <c r="GU1089" s="22"/>
      <c r="GV1089" s="22"/>
      <c r="GW1089" s="22"/>
      <c r="GX1089" s="22"/>
      <c r="GY1089" s="22"/>
      <c r="GZ1089" s="22"/>
      <c r="HA1089" s="22"/>
      <c r="HB1089" s="22"/>
      <c r="HC1089" s="22"/>
      <c r="HD1089" s="22"/>
      <c r="HE1089" s="22"/>
      <c r="HF1089" s="22"/>
      <c r="HG1089" s="22"/>
      <c r="HH1089" s="22"/>
      <c r="HI1089" s="22"/>
      <c r="HJ1089" s="22"/>
      <c r="HK1089" s="22"/>
      <c r="HL1089" s="22"/>
      <c r="HM1089" s="22"/>
      <c r="HN1089" s="22"/>
      <c r="HO1089" s="22"/>
      <c r="HP1089" s="22"/>
      <c r="HQ1089" s="22"/>
      <c r="HR1089" s="22"/>
      <c r="HS1089" s="22"/>
      <c r="HT1089" s="22"/>
      <c r="HU1089" s="22"/>
      <c r="HV1089" s="22"/>
      <c r="HW1089" s="22"/>
      <c r="HX1089" s="22"/>
      <c r="HY1089" s="22"/>
      <c r="HZ1089" s="22"/>
      <c r="IA1089" s="22"/>
      <c r="IB1089" s="22"/>
      <c r="IC1089" s="22"/>
      <c r="ID1089" s="22"/>
      <c r="IE1089" s="22"/>
      <c r="IF1089" s="22"/>
      <c r="IG1089" s="22"/>
      <c r="IH1089" s="22"/>
      <c r="II1089" s="22"/>
      <c r="IJ1089" s="22"/>
      <c r="IK1089" s="22"/>
      <c r="IL1089" s="22"/>
      <c r="IM1089" s="22"/>
      <c r="IN1089" s="22"/>
      <c r="IO1089" s="22"/>
      <c r="IP1089" s="22"/>
      <c r="IQ1089" s="22"/>
      <c r="IR1089" s="22"/>
      <c r="IS1089" s="22"/>
      <c r="IT1089" s="22"/>
      <c r="IU1089" s="22"/>
      <c r="IV1089" s="22"/>
      <c r="IW1089" s="22"/>
      <c r="IX1089" s="22"/>
      <c r="IY1089" s="22"/>
      <c r="IZ1089" s="22"/>
      <c r="JA1089" s="22"/>
      <c r="JB1089" s="22"/>
      <c r="JC1089" s="22"/>
      <c r="JD1089" s="22"/>
      <c r="JE1089" s="22"/>
      <c r="JF1089" s="22"/>
      <c r="JG1089" s="22"/>
      <c r="JH1089" s="22"/>
      <c r="JI1089" s="22"/>
      <c r="JJ1089" s="22"/>
      <c r="JK1089" s="22"/>
      <c r="JL1089" s="22"/>
      <c r="JM1089" s="22"/>
      <c r="JN1089" s="22"/>
      <c r="JO1089" s="22"/>
      <c r="JP1089" s="22"/>
      <c r="JQ1089" s="22"/>
      <c r="JR1089" s="22"/>
      <c r="JS1089" s="22"/>
      <c r="JT1089" s="22"/>
      <c r="JU1089" s="22"/>
      <c r="JV1089" s="22"/>
      <c r="JW1089" s="22"/>
      <c r="JX1089" s="22"/>
      <c r="JY1089" s="22"/>
      <c r="JZ1089" s="22"/>
      <c r="KA1089" s="22"/>
      <c r="KB1089" s="22"/>
      <c r="KC1089" s="22"/>
      <c r="KD1089" s="22"/>
      <c r="KE1089" s="22"/>
      <c r="KF1089" s="22"/>
      <c r="KG1089" s="22"/>
      <c r="KH1089" s="22"/>
      <c r="KI1089" s="22"/>
      <c r="KJ1089" s="22"/>
      <c r="KK1089" s="22"/>
      <c r="KL1089" s="22"/>
      <c r="KM1089" s="22"/>
      <c r="KN1089" s="22"/>
      <c r="KO1089" s="22"/>
      <c r="KP1089" s="22"/>
      <c r="KQ1089" s="22"/>
      <c r="KR1089" s="22"/>
      <c r="KS1089" s="22"/>
      <c r="KT1089" s="22"/>
      <c r="KU1089" s="22"/>
      <c r="KV1089" s="22"/>
      <c r="KW1089" s="22"/>
      <c r="KX1089" s="22"/>
      <c r="KY1089" s="22"/>
      <c r="KZ1089" s="22"/>
      <c r="LA1089" s="22"/>
      <c r="LB1089" s="22"/>
      <c r="LC1089" s="22"/>
      <c r="LD1089" s="22"/>
      <c r="LE1089" s="22"/>
      <c r="LF1089" s="22"/>
      <c r="LG1089" s="22"/>
      <c r="LH1089" s="22"/>
      <c r="LI1089" s="22"/>
      <c r="LJ1089" s="22"/>
      <c r="LK1089" s="22"/>
      <c r="LL1089" s="22"/>
      <c r="LM1089" s="22"/>
      <c r="LN1089" s="22"/>
      <c r="LO1089" s="22"/>
      <c r="LP1089" s="22"/>
      <c r="LQ1089" s="22"/>
      <c r="LR1089" s="22"/>
      <c r="LS1089" s="22"/>
      <c r="LT1089" s="22"/>
      <c r="LU1089" s="22"/>
      <c r="LV1089" s="22"/>
      <c r="LW1089" s="22"/>
      <c r="LX1089" s="22"/>
      <c r="LY1089" s="22"/>
      <c r="LZ1089" s="22"/>
      <c r="MA1089" s="22"/>
      <c r="MB1089" s="22"/>
      <c r="MC1089" s="22"/>
      <c r="MD1089" s="22"/>
      <c r="ME1089" s="22"/>
      <c r="MF1089" s="22"/>
      <c r="MG1089" s="22"/>
      <c r="MH1089" s="22"/>
      <c r="MI1089" s="22"/>
      <c r="MJ1089" s="22"/>
      <c r="MK1089" s="22"/>
      <c r="ML1089" s="22"/>
      <c r="MM1089" s="22"/>
      <c r="MN1089" s="22"/>
      <c r="MO1089" s="22"/>
      <c r="MP1089" s="22"/>
      <c r="MQ1089" s="22"/>
      <c r="MR1089" s="22"/>
      <c r="MS1089" s="22"/>
      <c r="MT1089" s="22"/>
      <c r="MU1089" s="22"/>
      <c r="MV1089" s="22"/>
      <c r="MW1089" s="22"/>
      <c r="MX1089" s="22"/>
      <c r="MY1089" s="22"/>
      <c r="MZ1089" s="22"/>
      <c r="NA1089" s="22"/>
      <c r="NB1089" s="22"/>
      <c r="NC1089" s="22"/>
      <c r="ND1089" s="22"/>
      <c r="NE1089" s="22"/>
      <c r="NF1089" s="22"/>
      <c r="NG1089" s="22"/>
      <c r="NH1089" s="22"/>
      <c r="NI1089" s="22"/>
      <c r="NJ1089" s="22"/>
      <c r="NK1089" s="22"/>
      <c r="NL1089" s="22"/>
      <c r="NM1089" s="22"/>
      <c r="NN1089" s="22"/>
      <c r="NO1089" s="22"/>
      <c r="NP1089" s="22"/>
      <c r="NQ1089" s="22"/>
      <c r="NR1089" s="22"/>
      <c r="NS1089" s="22"/>
      <c r="NT1089" s="22"/>
      <c r="NU1089" s="22"/>
      <c r="NV1089" s="22"/>
      <c r="NW1089" s="22"/>
      <c r="NX1089" s="22"/>
      <c r="NY1089" s="22"/>
      <c r="NZ1089" s="22"/>
      <c r="OA1089" s="22"/>
      <c r="OB1089" s="22"/>
      <c r="OC1089" s="22"/>
      <c r="OD1089" s="22"/>
      <c r="OE1089" s="22"/>
      <c r="OF1089" s="22"/>
      <c r="OG1089" s="22"/>
      <c r="OH1089" s="22"/>
      <c r="OI1089" s="22"/>
      <c r="OJ1089" s="22"/>
      <c r="OK1089" s="22"/>
      <c r="OL1089" s="22"/>
      <c r="OM1089" s="22"/>
      <c r="ON1089" s="22"/>
      <c r="OO1089" s="22"/>
      <c r="OP1089" s="22"/>
      <c r="OQ1089" s="22"/>
      <c r="OR1089" s="22"/>
      <c r="OS1089" s="22"/>
      <c r="OT1089" s="22"/>
      <c r="OU1089" s="22"/>
      <c r="OV1089" s="22"/>
      <c r="OW1089" s="22"/>
      <c r="OX1089" s="22"/>
      <c r="OY1089" s="22"/>
      <c r="OZ1089" s="22"/>
      <c r="PA1089" s="22"/>
      <c r="PB1089" s="22"/>
      <c r="PC1089" s="22"/>
      <c r="PD1089" s="22"/>
      <c r="PE1089" s="22"/>
      <c r="PF1089" s="22"/>
      <c r="PG1089" s="22"/>
      <c r="PH1089" s="22"/>
      <c r="PI1089" s="22"/>
      <c r="PJ1089" s="22"/>
      <c r="PK1089" s="22"/>
      <c r="PL1089" s="22"/>
      <c r="PM1089" s="22"/>
      <c r="PN1089" s="22"/>
      <c r="PO1089" s="22"/>
      <c r="PP1089" s="22"/>
      <c r="PQ1089" s="22"/>
      <c r="PR1089" s="22"/>
      <c r="PS1089" s="22"/>
      <c r="PT1089" s="22"/>
      <c r="PU1089" s="22"/>
      <c r="PV1089" s="22"/>
      <c r="PW1089" s="22"/>
      <c r="PX1089" s="22"/>
      <c r="PY1089" s="22"/>
      <c r="PZ1089" s="22"/>
      <c r="QA1089" s="22"/>
      <c r="QB1089" s="22"/>
      <c r="QC1089" s="22"/>
      <c r="QD1089" s="22"/>
      <c r="QE1089" s="22"/>
      <c r="QF1089" s="22"/>
      <c r="QG1089" s="22"/>
      <c r="QH1089" s="22"/>
      <c r="QI1089" s="22"/>
      <c r="QJ1089" s="22"/>
      <c r="QK1089" s="22"/>
      <c r="QL1089" s="22"/>
      <c r="QM1089" s="22"/>
      <c r="QN1089" s="22"/>
      <c r="QO1089" s="22"/>
      <c r="QP1089" s="22"/>
      <c r="QQ1089" s="22"/>
      <c r="QR1089" s="22"/>
      <c r="QS1089" s="22"/>
      <c r="QT1089" s="22"/>
      <c r="QU1089" s="22"/>
      <c r="QV1089" s="22"/>
      <c r="QW1089" s="22"/>
      <c r="QX1089" s="22"/>
      <c r="QY1089" s="22"/>
      <c r="QZ1089" s="22"/>
      <c r="RA1089" s="22"/>
      <c r="RB1089" s="22"/>
      <c r="RC1089" s="22"/>
      <c r="RD1089" s="22"/>
      <c r="RE1089" s="22"/>
      <c r="RF1089" s="22"/>
      <c r="RG1089" s="22"/>
      <c r="RH1089" s="22"/>
      <c r="RI1089" s="22"/>
      <c r="RJ1089" s="22"/>
      <c r="RK1089" s="22"/>
      <c r="RL1089" s="22"/>
      <c r="RM1089" s="22"/>
      <c r="RN1089" s="22"/>
      <c r="RO1089" s="22"/>
      <c r="RP1089" s="22"/>
      <c r="RQ1089" s="22"/>
      <c r="RR1089" s="22"/>
      <c r="RS1089" s="22"/>
      <c r="RT1089" s="22"/>
      <c r="RU1089" s="22"/>
      <c r="RV1089" s="22"/>
      <c r="RW1089" s="22"/>
      <c r="RX1089" s="22"/>
      <c r="RY1089" s="22"/>
      <c r="RZ1089" s="22"/>
      <c r="SA1089" s="22"/>
      <c r="SB1089" s="22"/>
      <c r="SC1089" s="22"/>
      <c r="SD1089" s="22"/>
      <c r="SE1089" s="22"/>
      <c r="SF1089" s="22"/>
      <c r="SG1089" s="22"/>
      <c r="SH1089" s="22"/>
      <c r="SI1089" s="22"/>
      <c r="SJ1089" s="22"/>
      <c r="SK1089" s="22"/>
      <c r="SL1089" s="22"/>
      <c r="SM1089" s="22"/>
      <c r="SN1089" s="22"/>
      <c r="SO1089" s="22"/>
      <c r="SP1089" s="22"/>
      <c r="SQ1089" s="22"/>
      <c r="SR1089" s="22"/>
      <c r="SS1089" s="22"/>
      <c r="ST1089" s="22"/>
      <c r="SU1089" s="22"/>
      <c r="SV1089" s="22"/>
      <c r="SW1089" s="22"/>
      <c r="SX1089" s="22"/>
      <c r="SY1089" s="22"/>
      <c r="SZ1089" s="22"/>
      <c r="TA1089" s="22"/>
      <c r="TB1089" s="22"/>
      <c r="TC1089" s="22"/>
      <c r="TD1089" s="22"/>
      <c r="TE1089" s="22"/>
      <c r="TF1089" s="22"/>
      <c r="TG1089" s="22"/>
      <c r="TH1089" s="22"/>
      <c r="TI1089" s="22"/>
      <c r="TJ1089" s="22"/>
      <c r="TK1089" s="22"/>
      <c r="TL1089" s="22"/>
      <c r="TM1089" s="22"/>
      <c r="TN1089" s="22"/>
      <c r="TO1089" s="22"/>
      <c r="TP1089" s="22"/>
      <c r="TQ1089" s="22"/>
      <c r="TR1089" s="22"/>
      <c r="TS1089" s="22"/>
      <c r="TT1089" s="22"/>
      <c r="TU1089" s="22"/>
      <c r="TV1089" s="22"/>
      <c r="TW1089" s="22"/>
      <c r="TX1089" s="22"/>
      <c r="TY1089" s="22"/>
      <c r="TZ1089" s="22"/>
      <c r="UA1089" s="22"/>
      <c r="UB1089" s="22"/>
      <c r="UC1089" s="22"/>
      <c r="UD1089" s="22"/>
      <c r="UE1089" s="22"/>
      <c r="UF1089" s="22"/>
      <c r="UG1089" s="23"/>
    </row>
    <row r="1090" spans="1:553" ht="184.5" customHeight="1">
      <c r="A1090" s="356"/>
      <c r="B1090" s="385"/>
      <c r="C1090" s="384" t="s">
        <v>23</v>
      </c>
      <c r="D1090" s="376" t="s">
        <v>70</v>
      </c>
      <c r="E1090" s="376" t="s">
        <v>141</v>
      </c>
      <c r="F1090" s="385">
        <v>1</v>
      </c>
      <c r="G1090" s="386" t="s">
        <v>935</v>
      </c>
      <c r="H1090" s="387">
        <v>48.6</v>
      </c>
      <c r="I1090" s="490">
        <v>48.6</v>
      </c>
      <c r="J1090" s="368">
        <v>62000</v>
      </c>
      <c r="K1090" s="391"/>
      <c r="L1090" s="480">
        <f t="shared" si="165"/>
        <v>3013200</v>
      </c>
      <c r="M1090" s="366"/>
      <c r="N1090" s="366"/>
      <c r="O1090" s="366"/>
      <c r="P1090" s="366"/>
      <c r="Q1090" s="761" t="s">
        <v>620</v>
      </c>
      <c r="R1090" s="1452"/>
      <c r="S1090" s="308"/>
      <c r="T1090" s="308"/>
      <c r="U1090" s="308"/>
      <c r="V1090" s="308"/>
      <c r="W1090" s="685">
        <f t="shared" si="166"/>
        <v>48.6</v>
      </c>
      <c r="X1090" s="308"/>
      <c r="Y1090" s="308"/>
      <c r="Z1090" s="604"/>
      <c r="AA1090" s="308"/>
      <c r="AB1090" s="308"/>
      <c r="AC1090" s="373"/>
      <c r="AD1090" s="373"/>
      <c r="AE1090" s="373"/>
      <c r="AF1090" s="373"/>
      <c r="AG1090" s="373"/>
      <c r="AH1090" s="373"/>
      <c r="AI1090" s="373"/>
      <c r="AJ1090" s="373"/>
      <c r="AK1090" s="389"/>
      <c r="AL1090" s="100"/>
      <c r="AM1090" s="27"/>
      <c r="AN1090" s="27"/>
      <c r="AO1090" s="27"/>
      <c r="AP1090" s="27"/>
      <c r="AQ1090" s="27"/>
      <c r="AR1090" s="27"/>
      <c r="AS1090" s="22"/>
      <c r="AT1090" s="22"/>
      <c r="AU1090" s="22"/>
      <c r="AV1090" s="22"/>
      <c r="AW1090" s="22"/>
      <c r="AX1090" s="22"/>
      <c r="AY1090" s="22"/>
      <c r="AZ1090" s="22"/>
      <c r="BA1090" s="22"/>
      <c r="BB1090" s="22"/>
      <c r="BC1090" s="22"/>
      <c r="BD1090" s="22"/>
      <c r="BE1090" s="22"/>
      <c r="BF1090" s="22"/>
      <c r="BG1090" s="22"/>
      <c r="BH1090" s="22"/>
      <c r="BI1090" s="22"/>
      <c r="BJ1090" s="22"/>
      <c r="BK1090" s="22"/>
      <c r="BL1090" s="22"/>
      <c r="BM1090" s="22"/>
      <c r="BN1090" s="22"/>
      <c r="BO1090" s="22"/>
      <c r="BP1090" s="22"/>
      <c r="BQ1090" s="22"/>
      <c r="BR1090" s="22"/>
      <c r="BS1090" s="22"/>
      <c r="BT1090" s="22"/>
      <c r="BU1090" s="22"/>
      <c r="BV1090" s="22"/>
      <c r="BW1090" s="22"/>
      <c r="BX1090" s="22"/>
      <c r="BY1090" s="22"/>
      <c r="BZ1090" s="22"/>
      <c r="CA1090" s="22"/>
      <c r="CB1090" s="22"/>
      <c r="CC1090" s="22"/>
      <c r="CD1090" s="22"/>
      <c r="CE1090" s="22"/>
      <c r="CF1090" s="22"/>
      <c r="CG1090" s="22"/>
      <c r="CH1090" s="22"/>
      <c r="CI1090" s="22"/>
      <c r="CJ1090" s="22"/>
      <c r="CK1090" s="22"/>
      <c r="CL1090" s="22"/>
      <c r="CM1090" s="22"/>
      <c r="CN1090" s="22"/>
      <c r="CO1090" s="22"/>
      <c r="CP1090" s="22"/>
      <c r="CQ1090" s="22"/>
      <c r="CR1090" s="22"/>
      <c r="CS1090" s="22"/>
      <c r="CT1090" s="22"/>
      <c r="CU1090" s="22"/>
      <c r="CV1090" s="22"/>
      <c r="CW1090" s="22"/>
      <c r="CX1090" s="22"/>
      <c r="CY1090" s="22"/>
      <c r="CZ1090" s="22"/>
      <c r="DA1090" s="22"/>
      <c r="DB1090" s="22"/>
      <c r="DC1090" s="22"/>
      <c r="DD1090" s="22"/>
      <c r="DE1090" s="22"/>
      <c r="DF1090" s="22"/>
      <c r="DG1090" s="22"/>
      <c r="DH1090" s="22"/>
      <c r="DI1090" s="22"/>
      <c r="DJ1090" s="22"/>
      <c r="DK1090" s="22"/>
      <c r="DL1090" s="22"/>
      <c r="DM1090" s="22"/>
      <c r="DN1090" s="22"/>
      <c r="DO1090" s="22"/>
      <c r="DP1090" s="22"/>
      <c r="DQ1090" s="22"/>
      <c r="DR1090" s="22"/>
      <c r="DS1090" s="22"/>
      <c r="DT1090" s="22"/>
      <c r="DU1090" s="22"/>
      <c r="DV1090" s="22"/>
      <c r="DW1090" s="22"/>
      <c r="DX1090" s="22"/>
      <c r="DY1090" s="22"/>
      <c r="DZ1090" s="22"/>
      <c r="EA1090" s="22"/>
      <c r="EB1090" s="22"/>
      <c r="EC1090" s="22"/>
      <c r="ED1090" s="22"/>
      <c r="EE1090" s="22"/>
      <c r="EF1090" s="22"/>
      <c r="EG1090" s="22"/>
      <c r="EH1090" s="22"/>
      <c r="EI1090" s="22"/>
      <c r="EJ1090" s="22"/>
      <c r="EK1090" s="22"/>
      <c r="EL1090" s="22"/>
      <c r="EM1090" s="22"/>
      <c r="EN1090" s="22"/>
      <c r="EO1090" s="22"/>
      <c r="EP1090" s="22"/>
      <c r="EQ1090" s="22"/>
      <c r="ER1090" s="22"/>
      <c r="ES1090" s="22"/>
      <c r="ET1090" s="22"/>
      <c r="EU1090" s="22"/>
      <c r="EV1090" s="22"/>
      <c r="EW1090" s="22"/>
      <c r="EX1090" s="22"/>
      <c r="EY1090" s="22"/>
      <c r="EZ1090" s="22"/>
      <c r="FA1090" s="22"/>
      <c r="FB1090" s="22"/>
      <c r="FC1090" s="22"/>
      <c r="FD1090" s="22"/>
      <c r="FE1090" s="22"/>
      <c r="FF1090" s="22"/>
      <c r="FG1090" s="22"/>
      <c r="FH1090" s="22"/>
      <c r="FI1090" s="22"/>
      <c r="FJ1090" s="22"/>
      <c r="FK1090" s="22"/>
      <c r="FL1090" s="22"/>
      <c r="FM1090" s="22"/>
      <c r="FN1090" s="22"/>
      <c r="FO1090" s="22"/>
      <c r="FP1090" s="22"/>
      <c r="FQ1090" s="22"/>
      <c r="FR1090" s="22"/>
      <c r="FS1090" s="22"/>
      <c r="FT1090" s="22"/>
      <c r="FU1090" s="22"/>
      <c r="FV1090" s="22"/>
      <c r="FW1090" s="22"/>
      <c r="FX1090" s="22"/>
      <c r="FY1090" s="22"/>
      <c r="FZ1090" s="22"/>
      <c r="GA1090" s="22"/>
      <c r="GB1090" s="22"/>
      <c r="GC1090" s="22"/>
      <c r="GD1090" s="22"/>
      <c r="GE1090" s="22"/>
      <c r="GF1090" s="22"/>
      <c r="GG1090" s="22"/>
      <c r="GH1090" s="22"/>
      <c r="GI1090" s="22"/>
      <c r="GJ1090" s="22"/>
      <c r="GK1090" s="22"/>
      <c r="GL1090" s="22"/>
      <c r="GM1090" s="22"/>
      <c r="GN1090" s="22"/>
      <c r="GO1090" s="22"/>
      <c r="GP1090" s="22"/>
      <c r="GQ1090" s="22"/>
      <c r="GR1090" s="22"/>
      <c r="GS1090" s="22"/>
      <c r="GT1090" s="22"/>
      <c r="GU1090" s="22"/>
      <c r="GV1090" s="22"/>
      <c r="GW1090" s="22"/>
      <c r="GX1090" s="22"/>
      <c r="GY1090" s="22"/>
      <c r="GZ1090" s="22"/>
      <c r="HA1090" s="22"/>
      <c r="HB1090" s="22"/>
      <c r="HC1090" s="22"/>
      <c r="HD1090" s="22"/>
      <c r="HE1090" s="22"/>
      <c r="HF1090" s="22"/>
      <c r="HG1090" s="22"/>
      <c r="HH1090" s="22"/>
      <c r="HI1090" s="22"/>
      <c r="HJ1090" s="22"/>
      <c r="HK1090" s="22"/>
      <c r="HL1090" s="22"/>
      <c r="HM1090" s="22"/>
      <c r="HN1090" s="22"/>
      <c r="HO1090" s="22"/>
      <c r="HP1090" s="22"/>
      <c r="HQ1090" s="22"/>
      <c r="HR1090" s="22"/>
      <c r="HS1090" s="22"/>
      <c r="HT1090" s="22"/>
      <c r="HU1090" s="22"/>
      <c r="HV1090" s="22"/>
      <c r="HW1090" s="22"/>
      <c r="HX1090" s="22"/>
      <c r="HY1090" s="22"/>
      <c r="HZ1090" s="22"/>
      <c r="IA1090" s="22"/>
      <c r="IB1090" s="22"/>
      <c r="IC1090" s="22"/>
      <c r="ID1090" s="22"/>
      <c r="IE1090" s="22"/>
      <c r="IF1090" s="22"/>
      <c r="IG1090" s="22"/>
      <c r="IH1090" s="22"/>
      <c r="II1090" s="22"/>
      <c r="IJ1090" s="22"/>
      <c r="IK1090" s="22"/>
      <c r="IL1090" s="22"/>
      <c r="IM1090" s="22"/>
      <c r="IN1090" s="22"/>
      <c r="IO1090" s="22"/>
      <c r="IP1090" s="22"/>
      <c r="IQ1090" s="22"/>
      <c r="IR1090" s="22"/>
      <c r="IS1090" s="22"/>
      <c r="IT1090" s="22"/>
      <c r="IU1090" s="22"/>
      <c r="IV1090" s="22"/>
      <c r="IW1090" s="22"/>
      <c r="IX1090" s="22"/>
      <c r="IY1090" s="22"/>
      <c r="IZ1090" s="22"/>
      <c r="JA1090" s="22"/>
      <c r="JB1090" s="22"/>
      <c r="JC1090" s="22"/>
      <c r="JD1090" s="22"/>
      <c r="JE1090" s="22"/>
      <c r="JF1090" s="22"/>
      <c r="JG1090" s="22"/>
      <c r="JH1090" s="22"/>
      <c r="JI1090" s="22"/>
      <c r="JJ1090" s="22"/>
      <c r="JK1090" s="22"/>
      <c r="JL1090" s="22"/>
      <c r="JM1090" s="22"/>
      <c r="JN1090" s="22"/>
      <c r="JO1090" s="22"/>
      <c r="JP1090" s="22"/>
      <c r="JQ1090" s="22"/>
      <c r="JR1090" s="22"/>
      <c r="JS1090" s="22"/>
      <c r="JT1090" s="22"/>
      <c r="JU1090" s="22"/>
      <c r="JV1090" s="22"/>
      <c r="JW1090" s="22"/>
      <c r="JX1090" s="22"/>
      <c r="JY1090" s="22"/>
      <c r="JZ1090" s="22"/>
      <c r="KA1090" s="22"/>
      <c r="KB1090" s="22"/>
      <c r="KC1090" s="22"/>
      <c r="KD1090" s="22"/>
      <c r="KE1090" s="22"/>
      <c r="KF1090" s="22"/>
      <c r="KG1090" s="22"/>
      <c r="KH1090" s="22"/>
      <c r="KI1090" s="22"/>
      <c r="KJ1090" s="22"/>
      <c r="KK1090" s="22"/>
      <c r="KL1090" s="22"/>
      <c r="KM1090" s="22"/>
      <c r="KN1090" s="22"/>
      <c r="KO1090" s="22"/>
      <c r="KP1090" s="22"/>
      <c r="KQ1090" s="22"/>
      <c r="KR1090" s="22"/>
      <c r="KS1090" s="22"/>
      <c r="KT1090" s="22"/>
      <c r="KU1090" s="22"/>
      <c r="KV1090" s="22"/>
      <c r="KW1090" s="22"/>
      <c r="KX1090" s="22"/>
      <c r="KY1090" s="22"/>
      <c r="KZ1090" s="22"/>
      <c r="LA1090" s="22"/>
      <c r="LB1090" s="22"/>
      <c r="LC1090" s="22"/>
      <c r="LD1090" s="22"/>
      <c r="LE1090" s="22"/>
      <c r="LF1090" s="22"/>
      <c r="LG1090" s="22"/>
      <c r="LH1090" s="22"/>
      <c r="LI1090" s="22"/>
      <c r="LJ1090" s="22"/>
      <c r="LK1090" s="22"/>
      <c r="LL1090" s="22"/>
      <c r="LM1090" s="22"/>
      <c r="LN1090" s="22"/>
      <c r="LO1090" s="22"/>
      <c r="LP1090" s="22"/>
      <c r="LQ1090" s="22"/>
      <c r="LR1090" s="22"/>
      <c r="LS1090" s="22"/>
      <c r="LT1090" s="22"/>
      <c r="LU1090" s="22"/>
      <c r="LV1090" s="22"/>
      <c r="LW1090" s="22"/>
      <c r="LX1090" s="22"/>
      <c r="LY1090" s="22"/>
      <c r="LZ1090" s="22"/>
      <c r="MA1090" s="22"/>
      <c r="MB1090" s="22"/>
      <c r="MC1090" s="22"/>
      <c r="MD1090" s="22"/>
      <c r="ME1090" s="22"/>
      <c r="MF1090" s="22"/>
      <c r="MG1090" s="22"/>
      <c r="MH1090" s="22"/>
      <c r="MI1090" s="22"/>
      <c r="MJ1090" s="22"/>
      <c r="MK1090" s="22"/>
      <c r="ML1090" s="22"/>
      <c r="MM1090" s="22"/>
      <c r="MN1090" s="22"/>
      <c r="MO1090" s="22"/>
      <c r="MP1090" s="22"/>
      <c r="MQ1090" s="22"/>
      <c r="MR1090" s="22"/>
      <c r="MS1090" s="22"/>
      <c r="MT1090" s="22"/>
      <c r="MU1090" s="22"/>
      <c r="MV1090" s="22"/>
      <c r="MW1090" s="22"/>
      <c r="MX1090" s="22"/>
      <c r="MY1090" s="22"/>
      <c r="MZ1090" s="22"/>
      <c r="NA1090" s="22"/>
      <c r="NB1090" s="22"/>
      <c r="NC1090" s="22"/>
      <c r="ND1090" s="22"/>
      <c r="NE1090" s="22"/>
      <c r="NF1090" s="22"/>
      <c r="NG1090" s="22"/>
      <c r="NH1090" s="22"/>
      <c r="NI1090" s="22"/>
      <c r="NJ1090" s="22"/>
      <c r="NK1090" s="22"/>
      <c r="NL1090" s="22"/>
      <c r="NM1090" s="22"/>
      <c r="NN1090" s="22"/>
      <c r="NO1090" s="22"/>
      <c r="NP1090" s="22"/>
      <c r="NQ1090" s="22"/>
      <c r="NR1090" s="22"/>
      <c r="NS1090" s="22"/>
      <c r="NT1090" s="22"/>
      <c r="NU1090" s="22"/>
      <c r="NV1090" s="22"/>
      <c r="NW1090" s="22"/>
      <c r="NX1090" s="22"/>
      <c r="NY1090" s="22"/>
      <c r="NZ1090" s="22"/>
      <c r="OA1090" s="22"/>
      <c r="OB1090" s="22"/>
      <c r="OC1090" s="22"/>
      <c r="OD1090" s="22"/>
      <c r="OE1090" s="22"/>
      <c r="OF1090" s="22"/>
      <c r="OG1090" s="22"/>
      <c r="OH1090" s="22"/>
      <c r="OI1090" s="22"/>
      <c r="OJ1090" s="22"/>
      <c r="OK1090" s="22"/>
      <c r="OL1090" s="22"/>
      <c r="OM1090" s="22"/>
      <c r="ON1090" s="22"/>
      <c r="OO1090" s="22"/>
      <c r="OP1090" s="22"/>
      <c r="OQ1090" s="22"/>
      <c r="OR1090" s="22"/>
      <c r="OS1090" s="22"/>
      <c r="OT1090" s="22"/>
      <c r="OU1090" s="22"/>
      <c r="OV1090" s="22"/>
      <c r="OW1090" s="22"/>
      <c r="OX1090" s="22"/>
      <c r="OY1090" s="22"/>
      <c r="OZ1090" s="22"/>
      <c r="PA1090" s="22"/>
      <c r="PB1090" s="22"/>
      <c r="PC1090" s="22"/>
      <c r="PD1090" s="22"/>
      <c r="PE1090" s="22"/>
      <c r="PF1090" s="22"/>
      <c r="PG1090" s="22"/>
      <c r="PH1090" s="22"/>
      <c r="PI1090" s="22"/>
      <c r="PJ1090" s="22"/>
      <c r="PK1090" s="22"/>
      <c r="PL1090" s="22"/>
      <c r="PM1090" s="22"/>
      <c r="PN1090" s="22"/>
      <c r="PO1090" s="22"/>
      <c r="PP1090" s="22"/>
      <c r="PQ1090" s="22"/>
      <c r="PR1090" s="22"/>
      <c r="PS1090" s="22"/>
      <c r="PT1090" s="22"/>
      <c r="PU1090" s="22"/>
      <c r="PV1090" s="22"/>
      <c r="PW1090" s="22"/>
      <c r="PX1090" s="22"/>
      <c r="PY1090" s="22"/>
      <c r="PZ1090" s="22"/>
      <c r="QA1090" s="22"/>
      <c r="QB1090" s="22"/>
      <c r="QC1090" s="22"/>
      <c r="QD1090" s="22"/>
      <c r="QE1090" s="22"/>
      <c r="QF1090" s="22"/>
      <c r="QG1090" s="22"/>
      <c r="QH1090" s="22"/>
      <c r="QI1090" s="22"/>
      <c r="QJ1090" s="22"/>
      <c r="QK1090" s="22"/>
      <c r="QL1090" s="22"/>
      <c r="QM1090" s="22"/>
      <c r="QN1090" s="22"/>
      <c r="QO1090" s="22"/>
      <c r="QP1090" s="22"/>
      <c r="QQ1090" s="22"/>
      <c r="QR1090" s="22"/>
      <c r="QS1090" s="22"/>
      <c r="QT1090" s="22"/>
      <c r="QU1090" s="22"/>
      <c r="QV1090" s="22"/>
      <c r="QW1090" s="22"/>
      <c r="QX1090" s="22"/>
      <c r="QY1090" s="22"/>
      <c r="QZ1090" s="22"/>
      <c r="RA1090" s="22"/>
      <c r="RB1090" s="22"/>
      <c r="RC1090" s="22"/>
      <c r="RD1090" s="22"/>
      <c r="RE1090" s="22"/>
      <c r="RF1090" s="22"/>
      <c r="RG1090" s="22"/>
      <c r="RH1090" s="22"/>
      <c r="RI1090" s="22"/>
      <c r="RJ1090" s="22"/>
      <c r="RK1090" s="22"/>
      <c r="RL1090" s="22"/>
      <c r="RM1090" s="22"/>
      <c r="RN1090" s="22"/>
      <c r="RO1090" s="22"/>
      <c r="RP1090" s="22"/>
      <c r="RQ1090" s="22"/>
      <c r="RR1090" s="22"/>
      <c r="RS1090" s="22"/>
      <c r="RT1090" s="22"/>
      <c r="RU1090" s="22"/>
      <c r="RV1090" s="22"/>
      <c r="RW1090" s="22"/>
      <c r="RX1090" s="22"/>
      <c r="RY1090" s="22"/>
      <c r="RZ1090" s="22"/>
      <c r="SA1090" s="22"/>
      <c r="SB1090" s="22"/>
      <c r="SC1090" s="22"/>
      <c r="SD1090" s="22"/>
      <c r="SE1090" s="22"/>
      <c r="SF1090" s="22"/>
      <c r="SG1090" s="22"/>
      <c r="SH1090" s="22"/>
      <c r="SI1090" s="22"/>
      <c r="SJ1090" s="22"/>
      <c r="SK1090" s="22"/>
      <c r="SL1090" s="22"/>
      <c r="SM1090" s="22"/>
      <c r="SN1090" s="22"/>
      <c r="SO1090" s="22"/>
      <c r="SP1090" s="22"/>
      <c r="SQ1090" s="22"/>
      <c r="SR1090" s="22"/>
      <c r="SS1090" s="22"/>
      <c r="ST1090" s="22"/>
      <c r="SU1090" s="22"/>
      <c r="SV1090" s="22"/>
      <c r="SW1090" s="22"/>
      <c r="SX1090" s="22"/>
      <c r="SY1090" s="22"/>
      <c r="SZ1090" s="22"/>
      <c r="TA1090" s="22"/>
      <c r="TB1090" s="22"/>
      <c r="TC1090" s="22"/>
      <c r="TD1090" s="22"/>
      <c r="TE1090" s="22"/>
      <c r="TF1090" s="22"/>
      <c r="TG1090" s="22"/>
      <c r="TH1090" s="22"/>
      <c r="TI1090" s="22"/>
      <c r="TJ1090" s="22"/>
      <c r="TK1090" s="22"/>
      <c r="TL1090" s="22"/>
      <c r="TM1090" s="22"/>
      <c r="TN1090" s="22"/>
      <c r="TO1090" s="22"/>
      <c r="TP1090" s="22"/>
      <c r="TQ1090" s="22"/>
      <c r="TR1090" s="22"/>
      <c r="TS1090" s="22"/>
      <c r="TT1090" s="22"/>
      <c r="TU1090" s="22"/>
      <c r="TV1090" s="22"/>
      <c r="TW1090" s="22"/>
      <c r="TX1090" s="22"/>
      <c r="TY1090" s="22"/>
      <c r="TZ1090" s="22"/>
      <c r="UA1090" s="22"/>
      <c r="UB1090" s="22"/>
      <c r="UC1090" s="22"/>
      <c r="UD1090" s="22"/>
      <c r="UE1090" s="22"/>
      <c r="UF1090" s="22"/>
      <c r="UG1090" s="23"/>
    </row>
    <row r="1091" spans="1:553" ht="184.5" customHeight="1">
      <c r="A1091" s="356"/>
      <c r="B1091" s="385"/>
      <c r="C1091" s="384" t="s">
        <v>69</v>
      </c>
      <c r="D1091" s="376" t="s">
        <v>70</v>
      </c>
      <c r="E1091" s="376" t="s">
        <v>624</v>
      </c>
      <c r="F1091" s="385">
        <v>1</v>
      </c>
      <c r="G1091" s="386" t="s">
        <v>935</v>
      </c>
      <c r="H1091" s="387">
        <v>525.5</v>
      </c>
      <c r="I1091" s="490">
        <v>525.5</v>
      </c>
      <c r="J1091" s="477">
        <v>55000</v>
      </c>
      <c r="K1091" s="391"/>
      <c r="L1091" s="480">
        <f t="shared" si="165"/>
        <v>28902500</v>
      </c>
      <c r="M1091" s="366"/>
      <c r="N1091" s="366"/>
      <c r="O1091" s="366"/>
      <c r="P1091" s="366"/>
      <c r="Q1091" s="1213" t="s">
        <v>625</v>
      </c>
      <c r="R1091" s="1452"/>
      <c r="S1091" s="308"/>
      <c r="T1091" s="308"/>
      <c r="U1091" s="308"/>
      <c r="V1091" s="308"/>
      <c r="W1091" s="308"/>
      <c r="X1091" s="685">
        <f>I1091</f>
        <v>525.5</v>
      </c>
      <c r="Y1091" s="308"/>
      <c r="Z1091" s="604"/>
      <c r="AA1091" s="308"/>
      <c r="AB1091" s="308"/>
      <c r="AC1091" s="373"/>
      <c r="AD1091" s="373"/>
      <c r="AE1091" s="373"/>
      <c r="AF1091" s="373"/>
      <c r="AG1091" s="373"/>
      <c r="AH1091" s="373"/>
      <c r="AI1091" s="373"/>
      <c r="AJ1091" s="373"/>
      <c r="AK1091" s="389"/>
      <c r="AL1091" s="100"/>
      <c r="AM1091" s="27"/>
      <c r="AN1091" s="27"/>
      <c r="AO1091" s="27"/>
      <c r="AP1091" s="27"/>
      <c r="AQ1091" s="27"/>
      <c r="AR1091" s="27"/>
      <c r="AS1091" s="22"/>
      <c r="AT1091" s="22"/>
      <c r="AU1091" s="22"/>
      <c r="AV1091" s="22"/>
      <c r="AW1091" s="22"/>
      <c r="AX1091" s="22"/>
      <c r="AY1091" s="22"/>
      <c r="AZ1091" s="22"/>
      <c r="BA1091" s="22"/>
      <c r="BB1091" s="22"/>
      <c r="BC1091" s="22"/>
      <c r="BD1091" s="22"/>
      <c r="BE1091" s="22"/>
      <c r="BF1091" s="22"/>
      <c r="BG1091" s="22"/>
      <c r="BH1091" s="22"/>
      <c r="BI1091" s="22"/>
      <c r="BJ1091" s="22"/>
      <c r="BK1091" s="22"/>
      <c r="BL1091" s="22"/>
      <c r="BM1091" s="22"/>
      <c r="BN1091" s="22"/>
      <c r="BO1091" s="22"/>
      <c r="BP1091" s="22"/>
      <c r="BQ1091" s="22"/>
      <c r="BR1091" s="22"/>
      <c r="BS1091" s="22"/>
      <c r="BT1091" s="22"/>
      <c r="BU1091" s="22"/>
      <c r="BV1091" s="22"/>
      <c r="BW1091" s="22"/>
      <c r="BX1091" s="22"/>
      <c r="BY1091" s="22"/>
      <c r="BZ1091" s="22"/>
      <c r="CA1091" s="22"/>
      <c r="CB1091" s="22"/>
      <c r="CC1091" s="22"/>
      <c r="CD1091" s="22"/>
      <c r="CE1091" s="22"/>
      <c r="CF1091" s="22"/>
      <c r="CG1091" s="22"/>
      <c r="CH1091" s="22"/>
      <c r="CI1091" s="22"/>
      <c r="CJ1091" s="22"/>
      <c r="CK1091" s="22"/>
      <c r="CL1091" s="22"/>
      <c r="CM1091" s="22"/>
      <c r="CN1091" s="22"/>
      <c r="CO1091" s="22"/>
      <c r="CP1091" s="22"/>
      <c r="CQ1091" s="22"/>
      <c r="CR1091" s="22"/>
      <c r="CS1091" s="22"/>
      <c r="CT1091" s="22"/>
      <c r="CU1091" s="22"/>
      <c r="CV1091" s="22"/>
      <c r="CW1091" s="22"/>
      <c r="CX1091" s="22"/>
      <c r="CY1091" s="22"/>
      <c r="CZ1091" s="22"/>
      <c r="DA1091" s="22"/>
      <c r="DB1091" s="22"/>
      <c r="DC1091" s="22"/>
      <c r="DD1091" s="22"/>
      <c r="DE1091" s="22"/>
      <c r="DF1091" s="22"/>
      <c r="DG1091" s="22"/>
      <c r="DH1091" s="22"/>
      <c r="DI1091" s="22"/>
      <c r="DJ1091" s="22"/>
      <c r="DK1091" s="22"/>
      <c r="DL1091" s="22"/>
      <c r="DM1091" s="22"/>
      <c r="DN1091" s="22"/>
      <c r="DO1091" s="22"/>
      <c r="DP1091" s="22"/>
      <c r="DQ1091" s="22"/>
      <c r="DR1091" s="22"/>
      <c r="DS1091" s="22"/>
      <c r="DT1091" s="22"/>
      <c r="DU1091" s="22"/>
      <c r="DV1091" s="22"/>
      <c r="DW1091" s="22"/>
      <c r="DX1091" s="22"/>
      <c r="DY1091" s="22"/>
      <c r="DZ1091" s="22"/>
      <c r="EA1091" s="22"/>
      <c r="EB1091" s="22"/>
      <c r="EC1091" s="22"/>
      <c r="ED1091" s="22"/>
      <c r="EE1091" s="22"/>
      <c r="EF1091" s="22"/>
      <c r="EG1091" s="22"/>
      <c r="EH1091" s="22"/>
      <c r="EI1091" s="22"/>
      <c r="EJ1091" s="22"/>
      <c r="EK1091" s="22"/>
      <c r="EL1091" s="22"/>
      <c r="EM1091" s="22"/>
      <c r="EN1091" s="22"/>
      <c r="EO1091" s="22"/>
      <c r="EP1091" s="22"/>
      <c r="EQ1091" s="22"/>
      <c r="ER1091" s="22"/>
      <c r="ES1091" s="22"/>
      <c r="ET1091" s="22"/>
      <c r="EU1091" s="22"/>
      <c r="EV1091" s="22"/>
      <c r="EW1091" s="22"/>
      <c r="EX1091" s="22"/>
      <c r="EY1091" s="22"/>
      <c r="EZ1091" s="22"/>
      <c r="FA1091" s="22"/>
      <c r="FB1091" s="22"/>
      <c r="FC1091" s="22"/>
      <c r="FD1091" s="22"/>
      <c r="FE1091" s="22"/>
      <c r="FF1091" s="22"/>
      <c r="FG1091" s="22"/>
      <c r="FH1091" s="22"/>
      <c r="FI1091" s="22"/>
      <c r="FJ1091" s="22"/>
      <c r="FK1091" s="22"/>
      <c r="FL1091" s="22"/>
      <c r="FM1091" s="22"/>
      <c r="FN1091" s="22"/>
      <c r="FO1091" s="22"/>
      <c r="FP1091" s="22"/>
      <c r="FQ1091" s="22"/>
      <c r="FR1091" s="22"/>
      <c r="FS1091" s="22"/>
      <c r="FT1091" s="22"/>
      <c r="FU1091" s="22"/>
      <c r="FV1091" s="22"/>
      <c r="FW1091" s="22"/>
      <c r="FX1091" s="22"/>
      <c r="FY1091" s="22"/>
      <c r="FZ1091" s="22"/>
      <c r="GA1091" s="22"/>
      <c r="GB1091" s="22"/>
      <c r="GC1091" s="22"/>
      <c r="GD1091" s="22"/>
      <c r="GE1091" s="22"/>
      <c r="GF1091" s="22"/>
      <c r="GG1091" s="22"/>
      <c r="GH1091" s="22"/>
      <c r="GI1091" s="22"/>
      <c r="GJ1091" s="22"/>
      <c r="GK1091" s="22"/>
      <c r="GL1091" s="22"/>
      <c r="GM1091" s="22"/>
      <c r="GN1091" s="22"/>
      <c r="GO1091" s="22"/>
      <c r="GP1091" s="22"/>
      <c r="GQ1091" s="22"/>
      <c r="GR1091" s="22"/>
      <c r="GS1091" s="22"/>
      <c r="GT1091" s="22"/>
      <c r="GU1091" s="22"/>
      <c r="GV1091" s="22"/>
      <c r="GW1091" s="22"/>
      <c r="GX1091" s="22"/>
      <c r="GY1091" s="22"/>
      <c r="GZ1091" s="22"/>
      <c r="HA1091" s="22"/>
      <c r="HB1091" s="22"/>
      <c r="HC1091" s="22"/>
      <c r="HD1091" s="22"/>
      <c r="HE1091" s="22"/>
      <c r="HF1091" s="22"/>
      <c r="HG1091" s="22"/>
      <c r="HH1091" s="22"/>
      <c r="HI1091" s="22"/>
      <c r="HJ1091" s="22"/>
      <c r="HK1091" s="22"/>
      <c r="HL1091" s="22"/>
      <c r="HM1091" s="22"/>
      <c r="HN1091" s="22"/>
      <c r="HO1091" s="22"/>
      <c r="HP1091" s="22"/>
      <c r="HQ1091" s="22"/>
      <c r="HR1091" s="22"/>
      <c r="HS1091" s="22"/>
      <c r="HT1091" s="22"/>
      <c r="HU1091" s="22"/>
      <c r="HV1091" s="22"/>
      <c r="HW1091" s="22"/>
      <c r="HX1091" s="22"/>
      <c r="HY1091" s="22"/>
      <c r="HZ1091" s="22"/>
      <c r="IA1091" s="22"/>
      <c r="IB1091" s="22"/>
      <c r="IC1091" s="22"/>
      <c r="ID1091" s="22"/>
      <c r="IE1091" s="22"/>
      <c r="IF1091" s="22"/>
      <c r="IG1091" s="22"/>
      <c r="IH1091" s="22"/>
      <c r="II1091" s="22"/>
      <c r="IJ1091" s="22"/>
      <c r="IK1091" s="22"/>
      <c r="IL1091" s="22"/>
      <c r="IM1091" s="22"/>
      <c r="IN1091" s="22"/>
      <c r="IO1091" s="22"/>
      <c r="IP1091" s="22"/>
      <c r="IQ1091" s="22"/>
      <c r="IR1091" s="22"/>
      <c r="IS1091" s="22"/>
      <c r="IT1091" s="22"/>
      <c r="IU1091" s="22"/>
      <c r="IV1091" s="22"/>
      <c r="IW1091" s="22"/>
      <c r="IX1091" s="22"/>
      <c r="IY1091" s="22"/>
      <c r="IZ1091" s="22"/>
      <c r="JA1091" s="22"/>
      <c r="JB1091" s="22"/>
      <c r="JC1091" s="22"/>
      <c r="JD1091" s="22"/>
      <c r="JE1091" s="22"/>
      <c r="JF1091" s="22"/>
      <c r="JG1091" s="22"/>
      <c r="JH1091" s="22"/>
      <c r="JI1091" s="22"/>
      <c r="JJ1091" s="22"/>
      <c r="JK1091" s="22"/>
      <c r="JL1091" s="22"/>
      <c r="JM1091" s="22"/>
      <c r="JN1091" s="22"/>
      <c r="JO1091" s="22"/>
      <c r="JP1091" s="22"/>
      <c r="JQ1091" s="22"/>
      <c r="JR1091" s="22"/>
      <c r="JS1091" s="22"/>
      <c r="JT1091" s="22"/>
      <c r="JU1091" s="22"/>
      <c r="JV1091" s="22"/>
      <c r="JW1091" s="22"/>
      <c r="JX1091" s="22"/>
      <c r="JY1091" s="22"/>
      <c r="JZ1091" s="22"/>
      <c r="KA1091" s="22"/>
      <c r="KB1091" s="22"/>
      <c r="KC1091" s="22"/>
      <c r="KD1091" s="22"/>
      <c r="KE1091" s="22"/>
      <c r="KF1091" s="22"/>
      <c r="KG1091" s="22"/>
      <c r="KH1091" s="22"/>
      <c r="KI1091" s="22"/>
      <c r="KJ1091" s="22"/>
      <c r="KK1091" s="22"/>
      <c r="KL1091" s="22"/>
      <c r="KM1091" s="22"/>
      <c r="KN1091" s="22"/>
      <c r="KO1091" s="22"/>
      <c r="KP1091" s="22"/>
      <c r="KQ1091" s="22"/>
      <c r="KR1091" s="22"/>
      <c r="KS1091" s="22"/>
      <c r="KT1091" s="22"/>
      <c r="KU1091" s="22"/>
      <c r="KV1091" s="22"/>
      <c r="KW1091" s="22"/>
      <c r="KX1091" s="22"/>
      <c r="KY1091" s="22"/>
      <c r="KZ1091" s="22"/>
      <c r="LA1091" s="22"/>
      <c r="LB1091" s="22"/>
      <c r="LC1091" s="22"/>
      <c r="LD1091" s="22"/>
      <c r="LE1091" s="22"/>
      <c r="LF1091" s="22"/>
      <c r="LG1091" s="22"/>
      <c r="LH1091" s="22"/>
      <c r="LI1091" s="22"/>
      <c r="LJ1091" s="22"/>
      <c r="LK1091" s="22"/>
      <c r="LL1091" s="22"/>
      <c r="LM1091" s="22"/>
      <c r="LN1091" s="22"/>
      <c r="LO1091" s="22"/>
      <c r="LP1091" s="22"/>
      <c r="LQ1091" s="22"/>
      <c r="LR1091" s="22"/>
      <c r="LS1091" s="22"/>
      <c r="LT1091" s="22"/>
      <c r="LU1091" s="22"/>
      <c r="LV1091" s="22"/>
      <c r="LW1091" s="22"/>
      <c r="LX1091" s="22"/>
      <c r="LY1091" s="22"/>
      <c r="LZ1091" s="22"/>
      <c r="MA1091" s="22"/>
      <c r="MB1091" s="22"/>
      <c r="MC1091" s="22"/>
      <c r="MD1091" s="22"/>
      <c r="ME1091" s="22"/>
      <c r="MF1091" s="22"/>
      <c r="MG1091" s="22"/>
      <c r="MH1091" s="22"/>
      <c r="MI1091" s="22"/>
      <c r="MJ1091" s="22"/>
      <c r="MK1091" s="22"/>
      <c r="ML1091" s="22"/>
      <c r="MM1091" s="22"/>
      <c r="MN1091" s="22"/>
      <c r="MO1091" s="22"/>
      <c r="MP1091" s="22"/>
      <c r="MQ1091" s="22"/>
      <c r="MR1091" s="22"/>
      <c r="MS1091" s="22"/>
      <c r="MT1091" s="22"/>
      <c r="MU1091" s="22"/>
      <c r="MV1091" s="22"/>
      <c r="MW1091" s="22"/>
      <c r="MX1091" s="22"/>
      <c r="MY1091" s="22"/>
      <c r="MZ1091" s="22"/>
      <c r="NA1091" s="22"/>
      <c r="NB1091" s="22"/>
      <c r="NC1091" s="22"/>
      <c r="ND1091" s="22"/>
      <c r="NE1091" s="22"/>
      <c r="NF1091" s="22"/>
      <c r="NG1091" s="22"/>
      <c r="NH1091" s="22"/>
      <c r="NI1091" s="22"/>
      <c r="NJ1091" s="22"/>
      <c r="NK1091" s="22"/>
      <c r="NL1091" s="22"/>
      <c r="NM1091" s="22"/>
      <c r="NN1091" s="22"/>
      <c r="NO1091" s="22"/>
      <c r="NP1091" s="22"/>
      <c r="NQ1091" s="22"/>
      <c r="NR1091" s="22"/>
      <c r="NS1091" s="22"/>
      <c r="NT1091" s="22"/>
      <c r="NU1091" s="22"/>
      <c r="NV1091" s="22"/>
      <c r="NW1091" s="22"/>
      <c r="NX1091" s="22"/>
      <c r="NY1091" s="22"/>
      <c r="NZ1091" s="22"/>
      <c r="OA1091" s="22"/>
      <c r="OB1091" s="22"/>
      <c r="OC1091" s="22"/>
      <c r="OD1091" s="22"/>
      <c r="OE1091" s="22"/>
      <c r="OF1091" s="22"/>
      <c r="OG1091" s="22"/>
      <c r="OH1091" s="22"/>
      <c r="OI1091" s="22"/>
      <c r="OJ1091" s="22"/>
      <c r="OK1091" s="22"/>
      <c r="OL1091" s="22"/>
      <c r="OM1091" s="22"/>
      <c r="ON1091" s="22"/>
      <c r="OO1091" s="22"/>
      <c r="OP1091" s="22"/>
      <c r="OQ1091" s="22"/>
      <c r="OR1091" s="22"/>
      <c r="OS1091" s="22"/>
      <c r="OT1091" s="22"/>
      <c r="OU1091" s="22"/>
      <c r="OV1091" s="22"/>
      <c r="OW1091" s="22"/>
      <c r="OX1091" s="22"/>
      <c r="OY1091" s="22"/>
      <c r="OZ1091" s="22"/>
      <c r="PA1091" s="22"/>
      <c r="PB1091" s="22"/>
      <c r="PC1091" s="22"/>
      <c r="PD1091" s="22"/>
      <c r="PE1091" s="22"/>
      <c r="PF1091" s="22"/>
      <c r="PG1091" s="22"/>
      <c r="PH1091" s="22"/>
      <c r="PI1091" s="22"/>
      <c r="PJ1091" s="22"/>
      <c r="PK1091" s="22"/>
      <c r="PL1091" s="22"/>
      <c r="PM1091" s="22"/>
      <c r="PN1091" s="22"/>
      <c r="PO1091" s="22"/>
      <c r="PP1091" s="22"/>
      <c r="PQ1091" s="22"/>
      <c r="PR1091" s="22"/>
      <c r="PS1091" s="22"/>
      <c r="PT1091" s="22"/>
      <c r="PU1091" s="22"/>
      <c r="PV1091" s="22"/>
      <c r="PW1091" s="22"/>
      <c r="PX1091" s="22"/>
      <c r="PY1091" s="22"/>
      <c r="PZ1091" s="22"/>
      <c r="QA1091" s="22"/>
      <c r="QB1091" s="22"/>
      <c r="QC1091" s="22"/>
      <c r="QD1091" s="22"/>
      <c r="QE1091" s="22"/>
      <c r="QF1091" s="22"/>
      <c r="QG1091" s="22"/>
      <c r="QH1091" s="22"/>
      <c r="QI1091" s="22"/>
      <c r="QJ1091" s="22"/>
      <c r="QK1091" s="22"/>
      <c r="QL1091" s="22"/>
      <c r="QM1091" s="22"/>
      <c r="QN1091" s="22"/>
      <c r="QO1091" s="22"/>
      <c r="QP1091" s="22"/>
      <c r="QQ1091" s="22"/>
      <c r="QR1091" s="22"/>
      <c r="QS1091" s="22"/>
      <c r="QT1091" s="22"/>
      <c r="QU1091" s="22"/>
      <c r="QV1091" s="22"/>
      <c r="QW1091" s="22"/>
      <c r="QX1091" s="22"/>
      <c r="QY1091" s="22"/>
      <c r="QZ1091" s="22"/>
      <c r="RA1091" s="22"/>
      <c r="RB1091" s="22"/>
      <c r="RC1091" s="22"/>
      <c r="RD1091" s="22"/>
      <c r="RE1091" s="22"/>
      <c r="RF1091" s="22"/>
      <c r="RG1091" s="22"/>
      <c r="RH1091" s="22"/>
      <c r="RI1091" s="22"/>
      <c r="RJ1091" s="22"/>
      <c r="RK1091" s="22"/>
      <c r="RL1091" s="22"/>
      <c r="RM1091" s="22"/>
      <c r="RN1091" s="22"/>
      <c r="RO1091" s="22"/>
      <c r="RP1091" s="22"/>
      <c r="RQ1091" s="22"/>
      <c r="RR1091" s="22"/>
      <c r="RS1091" s="22"/>
      <c r="RT1091" s="22"/>
      <c r="RU1091" s="22"/>
      <c r="RV1091" s="22"/>
      <c r="RW1091" s="22"/>
      <c r="RX1091" s="22"/>
      <c r="RY1091" s="22"/>
      <c r="RZ1091" s="22"/>
      <c r="SA1091" s="22"/>
      <c r="SB1091" s="22"/>
      <c r="SC1091" s="22"/>
      <c r="SD1091" s="22"/>
      <c r="SE1091" s="22"/>
      <c r="SF1091" s="22"/>
      <c r="SG1091" s="22"/>
      <c r="SH1091" s="22"/>
      <c r="SI1091" s="22"/>
      <c r="SJ1091" s="22"/>
      <c r="SK1091" s="22"/>
      <c r="SL1091" s="22"/>
      <c r="SM1091" s="22"/>
      <c r="SN1091" s="22"/>
      <c r="SO1091" s="22"/>
      <c r="SP1091" s="22"/>
      <c r="SQ1091" s="22"/>
      <c r="SR1091" s="22"/>
      <c r="SS1091" s="22"/>
      <c r="ST1091" s="22"/>
      <c r="SU1091" s="22"/>
      <c r="SV1091" s="22"/>
      <c r="SW1091" s="22"/>
      <c r="SX1091" s="22"/>
      <c r="SY1091" s="22"/>
      <c r="SZ1091" s="22"/>
      <c r="TA1091" s="22"/>
      <c r="TB1091" s="22"/>
      <c r="TC1091" s="22"/>
      <c r="TD1091" s="22"/>
      <c r="TE1091" s="22"/>
      <c r="TF1091" s="22"/>
      <c r="TG1091" s="22"/>
      <c r="TH1091" s="22"/>
      <c r="TI1091" s="22"/>
      <c r="TJ1091" s="22"/>
      <c r="TK1091" s="22"/>
      <c r="TL1091" s="22"/>
      <c r="TM1091" s="22"/>
      <c r="TN1091" s="22"/>
      <c r="TO1091" s="22"/>
      <c r="TP1091" s="22"/>
      <c r="TQ1091" s="22"/>
      <c r="TR1091" s="22"/>
      <c r="TS1091" s="22"/>
      <c r="TT1091" s="22"/>
      <c r="TU1091" s="22"/>
      <c r="TV1091" s="22"/>
      <c r="TW1091" s="22"/>
      <c r="TX1091" s="22"/>
      <c r="TY1091" s="22"/>
      <c r="TZ1091" s="22"/>
      <c r="UA1091" s="22"/>
      <c r="UB1091" s="22"/>
      <c r="UC1091" s="22"/>
      <c r="UD1091" s="22"/>
      <c r="UE1091" s="22"/>
      <c r="UF1091" s="22"/>
      <c r="UG1091" s="23"/>
    </row>
    <row r="1092" spans="1:553" ht="265.5" customHeight="1">
      <c r="A1092" s="356"/>
      <c r="B1092" s="385"/>
      <c r="C1092" s="390" t="s">
        <v>72</v>
      </c>
      <c r="D1092" s="376">
        <v>1</v>
      </c>
      <c r="E1092" s="376">
        <v>511</v>
      </c>
      <c r="F1092" s="376">
        <v>1</v>
      </c>
      <c r="G1092" s="417" t="s">
        <v>1303</v>
      </c>
      <c r="H1092" s="284">
        <v>821.3</v>
      </c>
      <c r="I1092" s="1075">
        <v>83.6</v>
      </c>
      <c r="J1092" s="477">
        <v>9000</v>
      </c>
      <c r="K1092" s="443"/>
      <c r="L1092" s="571">
        <f t="shared" si="165"/>
        <v>752400</v>
      </c>
      <c r="M1092" s="418"/>
      <c r="N1092" s="418"/>
      <c r="O1092" s="366"/>
      <c r="P1092" s="366"/>
      <c r="Q1092" s="1213" t="s">
        <v>626</v>
      </c>
      <c r="R1092" s="1452"/>
      <c r="S1092" s="308"/>
      <c r="T1092" s="308"/>
      <c r="U1092" s="308"/>
      <c r="V1092" s="308"/>
      <c r="W1092" s="308"/>
      <c r="X1092" s="308"/>
      <c r="Y1092" s="308"/>
      <c r="Z1092" s="931">
        <f>I1092</f>
        <v>83.6</v>
      </c>
      <c r="AA1092" s="308"/>
      <c r="AB1092" s="308"/>
      <c r="AC1092" s="373"/>
      <c r="AD1092" s="373"/>
      <c r="AE1092" s="373"/>
      <c r="AF1092" s="373"/>
      <c r="AG1092" s="373"/>
      <c r="AH1092" s="373"/>
      <c r="AI1092" s="373"/>
      <c r="AJ1092" s="373"/>
      <c r="AK1092" s="389"/>
      <c r="AL1092" s="100"/>
      <c r="AM1092" s="27"/>
      <c r="AN1092" s="27"/>
      <c r="AO1092" s="27"/>
      <c r="AP1092" s="27"/>
      <c r="AQ1092" s="27"/>
      <c r="AR1092" s="27"/>
      <c r="AS1092" s="22"/>
      <c r="AT1092" s="22"/>
      <c r="AU1092" s="22"/>
      <c r="AV1092" s="22"/>
      <c r="AW1092" s="22"/>
      <c r="AX1092" s="22"/>
      <c r="AY1092" s="22"/>
      <c r="AZ1092" s="22"/>
      <c r="BA1092" s="22"/>
      <c r="BB1092" s="22"/>
      <c r="BC1092" s="22"/>
      <c r="BD1092" s="22"/>
      <c r="BE1092" s="22"/>
      <c r="BF1092" s="22"/>
      <c r="BG1092" s="22"/>
      <c r="BH1092" s="22"/>
      <c r="BI1092" s="22"/>
      <c r="BJ1092" s="22"/>
      <c r="BK1092" s="22"/>
      <c r="BL1092" s="22"/>
      <c r="BM1092" s="22"/>
      <c r="BN1092" s="22"/>
      <c r="BO1092" s="22"/>
      <c r="BP1092" s="22"/>
      <c r="BQ1092" s="22"/>
      <c r="BR1092" s="22"/>
      <c r="BS1092" s="22"/>
      <c r="BT1092" s="22"/>
      <c r="BU1092" s="22"/>
      <c r="BV1092" s="22"/>
      <c r="BW1092" s="22"/>
      <c r="BX1092" s="22"/>
      <c r="BY1092" s="22"/>
      <c r="BZ1092" s="22"/>
      <c r="CA1092" s="22"/>
      <c r="CB1092" s="22"/>
      <c r="CC1092" s="22"/>
      <c r="CD1092" s="22"/>
      <c r="CE1092" s="22"/>
      <c r="CF1092" s="22"/>
      <c r="CG1092" s="22"/>
      <c r="CH1092" s="22"/>
      <c r="CI1092" s="22"/>
      <c r="CJ1092" s="22"/>
      <c r="CK1092" s="22"/>
      <c r="CL1092" s="22"/>
      <c r="CM1092" s="22"/>
      <c r="CN1092" s="22"/>
      <c r="CO1092" s="22"/>
      <c r="CP1092" s="22"/>
      <c r="CQ1092" s="22"/>
      <c r="CR1092" s="22"/>
      <c r="CS1092" s="22"/>
      <c r="CT1092" s="22"/>
      <c r="CU1092" s="22"/>
      <c r="CV1092" s="22"/>
      <c r="CW1092" s="22"/>
      <c r="CX1092" s="22"/>
      <c r="CY1092" s="22"/>
      <c r="CZ1092" s="22"/>
      <c r="DA1092" s="22"/>
      <c r="DB1092" s="22"/>
      <c r="DC1092" s="22"/>
      <c r="DD1092" s="22"/>
      <c r="DE1092" s="22"/>
      <c r="DF1092" s="22"/>
      <c r="DG1092" s="22"/>
      <c r="DH1092" s="22"/>
      <c r="DI1092" s="22"/>
      <c r="DJ1092" s="22"/>
      <c r="DK1092" s="22"/>
      <c r="DL1092" s="22"/>
      <c r="DM1092" s="22"/>
      <c r="DN1092" s="22"/>
      <c r="DO1092" s="22"/>
      <c r="DP1092" s="22"/>
      <c r="DQ1092" s="22"/>
      <c r="DR1092" s="22"/>
      <c r="DS1092" s="22"/>
      <c r="DT1092" s="22"/>
      <c r="DU1092" s="22"/>
      <c r="DV1092" s="22"/>
      <c r="DW1092" s="22"/>
      <c r="DX1092" s="22"/>
      <c r="DY1092" s="22"/>
      <c r="DZ1092" s="22"/>
      <c r="EA1092" s="22"/>
      <c r="EB1092" s="22"/>
      <c r="EC1092" s="22"/>
      <c r="ED1092" s="22"/>
      <c r="EE1092" s="22"/>
      <c r="EF1092" s="22"/>
      <c r="EG1092" s="22"/>
      <c r="EH1092" s="22"/>
      <c r="EI1092" s="22"/>
      <c r="EJ1092" s="22"/>
      <c r="EK1092" s="22"/>
      <c r="EL1092" s="22"/>
      <c r="EM1092" s="22"/>
      <c r="EN1092" s="22"/>
      <c r="EO1092" s="22"/>
      <c r="EP1092" s="22"/>
      <c r="EQ1092" s="22"/>
      <c r="ER1092" s="22"/>
      <c r="ES1092" s="22"/>
      <c r="ET1092" s="22"/>
      <c r="EU1092" s="22"/>
      <c r="EV1092" s="22"/>
      <c r="EW1092" s="22"/>
      <c r="EX1092" s="22"/>
      <c r="EY1092" s="22"/>
      <c r="EZ1092" s="22"/>
      <c r="FA1092" s="22"/>
      <c r="FB1092" s="22"/>
      <c r="FC1092" s="22"/>
      <c r="FD1092" s="22"/>
      <c r="FE1092" s="22"/>
      <c r="FF1092" s="22"/>
      <c r="FG1092" s="22"/>
      <c r="FH1092" s="22"/>
      <c r="FI1092" s="22"/>
      <c r="FJ1092" s="22"/>
      <c r="FK1092" s="22"/>
      <c r="FL1092" s="22"/>
      <c r="FM1092" s="22"/>
      <c r="FN1092" s="22"/>
      <c r="FO1092" s="22"/>
      <c r="FP1092" s="22"/>
      <c r="FQ1092" s="22"/>
      <c r="FR1092" s="22"/>
      <c r="FS1092" s="22"/>
      <c r="FT1092" s="22"/>
      <c r="FU1092" s="22"/>
      <c r="FV1092" s="22"/>
      <c r="FW1092" s="22"/>
      <c r="FX1092" s="22"/>
      <c r="FY1092" s="22"/>
      <c r="FZ1092" s="22"/>
      <c r="GA1092" s="22"/>
      <c r="GB1092" s="22"/>
      <c r="GC1092" s="22"/>
      <c r="GD1092" s="22"/>
      <c r="GE1092" s="22"/>
      <c r="GF1092" s="22"/>
      <c r="GG1092" s="22"/>
      <c r="GH1092" s="22"/>
      <c r="GI1092" s="22"/>
      <c r="GJ1092" s="22"/>
      <c r="GK1092" s="22"/>
      <c r="GL1092" s="22"/>
      <c r="GM1092" s="22"/>
      <c r="GN1092" s="22"/>
      <c r="GO1092" s="22"/>
      <c r="GP1092" s="22"/>
      <c r="GQ1092" s="22"/>
      <c r="GR1092" s="22"/>
      <c r="GS1092" s="22"/>
      <c r="GT1092" s="22"/>
      <c r="GU1092" s="22"/>
      <c r="GV1092" s="22"/>
      <c r="GW1092" s="22"/>
      <c r="GX1092" s="22"/>
      <c r="GY1092" s="22"/>
      <c r="GZ1092" s="22"/>
      <c r="HA1092" s="22"/>
      <c r="HB1092" s="22"/>
      <c r="HC1092" s="22"/>
      <c r="HD1092" s="22"/>
      <c r="HE1092" s="22"/>
      <c r="HF1092" s="22"/>
      <c r="HG1092" s="22"/>
      <c r="HH1092" s="22"/>
      <c r="HI1092" s="22"/>
      <c r="HJ1092" s="22"/>
      <c r="HK1092" s="22"/>
      <c r="HL1092" s="22"/>
      <c r="HM1092" s="22"/>
      <c r="HN1092" s="22"/>
      <c r="HO1092" s="22"/>
      <c r="HP1092" s="22"/>
      <c r="HQ1092" s="22"/>
      <c r="HR1092" s="22"/>
      <c r="HS1092" s="22"/>
      <c r="HT1092" s="22"/>
      <c r="HU1092" s="22"/>
      <c r="HV1092" s="22"/>
      <c r="HW1092" s="22"/>
      <c r="HX1092" s="22"/>
      <c r="HY1092" s="22"/>
      <c r="HZ1092" s="22"/>
      <c r="IA1092" s="22"/>
      <c r="IB1092" s="22"/>
      <c r="IC1092" s="22"/>
      <c r="ID1092" s="22"/>
      <c r="IE1092" s="22"/>
      <c r="IF1092" s="22"/>
      <c r="IG1092" s="22"/>
      <c r="IH1092" s="22"/>
      <c r="II1092" s="22"/>
      <c r="IJ1092" s="22"/>
      <c r="IK1092" s="22"/>
      <c r="IL1092" s="22"/>
      <c r="IM1092" s="22"/>
      <c r="IN1092" s="22"/>
      <c r="IO1092" s="22"/>
      <c r="IP1092" s="22"/>
      <c r="IQ1092" s="22"/>
      <c r="IR1092" s="22"/>
      <c r="IS1092" s="22"/>
      <c r="IT1092" s="22"/>
      <c r="IU1092" s="22"/>
      <c r="IV1092" s="22"/>
      <c r="IW1092" s="22"/>
      <c r="IX1092" s="22"/>
      <c r="IY1092" s="22"/>
      <c r="IZ1092" s="22"/>
      <c r="JA1092" s="22"/>
      <c r="JB1092" s="22"/>
      <c r="JC1092" s="22"/>
      <c r="JD1092" s="22"/>
      <c r="JE1092" s="22"/>
      <c r="JF1092" s="22"/>
      <c r="JG1092" s="22"/>
      <c r="JH1092" s="22"/>
      <c r="JI1092" s="22"/>
      <c r="JJ1092" s="22"/>
      <c r="JK1092" s="22"/>
      <c r="JL1092" s="22"/>
      <c r="JM1092" s="22"/>
      <c r="JN1092" s="22"/>
      <c r="JO1092" s="22"/>
      <c r="JP1092" s="22"/>
      <c r="JQ1092" s="22"/>
      <c r="JR1092" s="22"/>
      <c r="JS1092" s="22"/>
      <c r="JT1092" s="22"/>
      <c r="JU1092" s="22"/>
      <c r="JV1092" s="22"/>
      <c r="JW1092" s="22"/>
      <c r="JX1092" s="22"/>
      <c r="JY1092" s="22"/>
      <c r="JZ1092" s="22"/>
      <c r="KA1092" s="22"/>
      <c r="KB1092" s="22"/>
      <c r="KC1092" s="22"/>
      <c r="KD1092" s="22"/>
      <c r="KE1092" s="22"/>
      <c r="KF1092" s="22"/>
      <c r="KG1092" s="22"/>
      <c r="KH1092" s="22"/>
      <c r="KI1092" s="22"/>
      <c r="KJ1092" s="22"/>
      <c r="KK1092" s="22"/>
      <c r="KL1092" s="22"/>
      <c r="KM1092" s="22"/>
      <c r="KN1092" s="22"/>
      <c r="KO1092" s="22"/>
      <c r="KP1092" s="22"/>
      <c r="KQ1092" s="22"/>
      <c r="KR1092" s="22"/>
      <c r="KS1092" s="22"/>
      <c r="KT1092" s="22"/>
      <c r="KU1092" s="22"/>
      <c r="KV1092" s="22"/>
      <c r="KW1092" s="22"/>
      <c r="KX1092" s="22"/>
      <c r="KY1092" s="22"/>
      <c r="KZ1092" s="22"/>
      <c r="LA1092" s="22"/>
      <c r="LB1092" s="22"/>
      <c r="LC1092" s="22"/>
      <c r="LD1092" s="22"/>
      <c r="LE1092" s="22"/>
      <c r="LF1092" s="22"/>
      <c r="LG1092" s="22"/>
      <c r="LH1092" s="22"/>
      <c r="LI1092" s="22"/>
      <c r="LJ1092" s="22"/>
      <c r="LK1092" s="22"/>
      <c r="LL1092" s="22"/>
      <c r="LM1092" s="22"/>
      <c r="LN1092" s="22"/>
      <c r="LO1092" s="22"/>
      <c r="LP1092" s="22"/>
      <c r="LQ1092" s="22"/>
      <c r="LR1092" s="22"/>
      <c r="LS1092" s="22"/>
      <c r="LT1092" s="22"/>
      <c r="LU1092" s="22"/>
      <c r="LV1092" s="22"/>
      <c r="LW1092" s="22"/>
      <c r="LX1092" s="22"/>
      <c r="LY1092" s="22"/>
      <c r="LZ1092" s="22"/>
      <c r="MA1092" s="22"/>
      <c r="MB1092" s="22"/>
      <c r="MC1092" s="22"/>
      <c r="MD1092" s="22"/>
      <c r="ME1092" s="22"/>
      <c r="MF1092" s="22"/>
      <c r="MG1092" s="22"/>
      <c r="MH1092" s="22"/>
      <c r="MI1092" s="22"/>
      <c r="MJ1092" s="22"/>
      <c r="MK1092" s="22"/>
      <c r="ML1092" s="22"/>
      <c r="MM1092" s="22"/>
      <c r="MN1092" s="22"/>
      <c r="MO1092" s="22"/>
      <c r="MP1092" s="22"/>
      <c r="MQ1092" s="22"/>
      <c r="MR1092" s="22"/>
      <c r="MS1092" s="22"/>
      <c r="MT1092" s="22"/>
      <c r="MU1092" s="22"/>
      <c r="MV1092" s="22"/>
      <c r="MW1092" s="22"/>
      <c r="MX1092" s="22"/>
      <c r="MY1092" s="22"/>
      <c r="MZ1092" s="22"/>
      <c r="NA1092" s="22"/>
      <c r="NB1092" s="22"/>
      <c r="NC1092" s="22"/>
      <c r="ND1092" s="22"/>
      <c r="NE1092" s="22"/>
      <c r="NF1092" s="22"/>
      <c r="NG1092" s="22"/>
      <c r="NH1092" s="22"/>
      <c r="NI1092" s="22"/>
      <c r="NJ1092" s="22"/>
      <c r="NK1092" s="22"/>
      <c r="NL1092" s="22"/>
      <c r="NM1092" s="22"/>
      <c r="NN1092" s="22"/>
      <c r="NO1092" s="22"/>
      <c r="NP1092" s="22"/>
      <c r="NQ1092" s="22"/>
      <c r="NR1092" s="22"/>
      <c r="NS1092" s="22"/>
      <c r="NT1092" s="22"/>
      <c r="NU1092" s="22"/>
      <c r="NV1092" s="22"/>
      <c r="NW1092" s="22"/>
      <c r="NX1092" s="22"/>
      <c r="NY1092" s="22"/>
      <c r="NZ1092" s="22"/>
      <c r="OA1092" s="22"/>
      <c r="OB1092" s="22"/>
      <c r="OC1092" s="22"/>
      <c r="OD1092" s="22"/>
      <c r="OE1092" s="22"/>
      <c r="OF1092" s="22"/>
      <c r="OG1092" s="22"/>
      <c r="OH1092" s="22"/>
      <c r="OI1092" s="22"/>
      <c r="OJ1092" s="22"/>
      <c r="OK1092" s="22"/>
      <c r="OL1092" s="22"/>
      <c r="OM1092" s="22"/>
      <c r="ON1092" s="22"/>
      <c r="OO1092" s="22"/>
      <c r="OP1092" s="22"/>
      <c r="OQ1092" s="22"/>
      <c r="OR1092" s="22"/>
      <c r="OS1092" s="22"/>
      <c r="OT1092" s="22"/>
      <c r="OU1092" s="22"/>
      <c r="OV1092" s="22"/>
      <c r="OW1092" s="22"/>
      <c r="OX1092" s="22"/>
      <c r="OY1092" s="22"/>
      <c r="OZ1092" s="22"/>
      <c r="PA1092" s="22"/>
      <c r="PB1092" s="22"/>
      <c r="PC1092" s="22"/>
      <c r="PD1092" s="22"/>
      <c r="PE1092" s="22"/>
      <c r="PF1092" s="22"/>
      <c r="PG1092" s="22"/>
      <c r="PH1092" s="22"/>
      <c r="PI1092" s="22"/>
      <c r="PJ1092" s="22"/>
      <c r="PK1092" s="22"/>
      <c r="PL1092" s="22"/>
      <c r="PM1092" s="22"/>
      <c r="PN1092" s="22"/>
      <c r="PO1092" s="22"/>
      <c r="PP1092" s="22"/>
      <c r="PQ1092" s="22"/>
      <c r="PR1092" s="22"/>
      <c r="PS1092" s="22"/>
      <c r="PT1092" s="22"/>
      <c r="PU1092" s="22"/>
      <c r="PV1092" s="22"/>
      <c r="PW1092" s="22"/>
      <c r="PX1092" s="22"/>
      <c r="PY1092" s="22"/>
      <c r="PZ1092" s="22"/>
      <c r="QA1092" s="22"/>
      <c r="QB1092" s="22"/>
      <c r="QC1092" s="22"/>
      <c r="QD1092" s="22"/>
      <c r="QE1092" s="22"/>
      <c r="QF1092" s="22"/>
      <c r="QG1092" s="22"/>
      <c r="QH1092" s="22"/>
      <c r="QI1092" s="22"/>
      <c r="QJ1092" s="22"/>
      <c r="QK1092" s="22"/>
      <c r="QL1092" s="22"/>
      <c r="QM1092" s="22"/>
      <c r="QN1092" s="22"/>
      <c r="QO1092" s="22"/>
      <c r="QP1092" s="22"/>
      <c r="QQ1092" s="22"/>
      <c r="QR1092" s="22"/>
      <c r="QS1092" s="22"/>
      <c r="QT1092" s="22"/>
      <c r="QU1092" s="22"/>
      <c r="QV1092" s="22"/>
      <c r="QW1092" s="22"/>
      <c r="QX1092" s="22"/>
      <c r="QY1092" s="22"/>
      <c r="QZ1092" s="22"/>
      <c r="RA1092" s="22"/>
      <c r="RB1092" s="22"/>
      <c r="RC1092" s="22"/>
      <c r="RD1092" s="22"/>
      <c r="RE1092" s="22"/>
      <c r="RF1092" s="22"/>
      <c r="RG1092" s="22"/>
      <c r="RH1092" s="22"/>
      <c r="RI1092" s="22"/>
      <c r="RJ1092" s="22"/>
      <c r="RK1092" s="22"/>
      <c r="RL1092" s="22"/>
      <c r="RM1092" s="22"/>
      <c r="RN1092" s="22"/>
      <c r="RO1092" s="22"/>
      <c r="RP1092" s="22"/>
      <c r="RQ1092" s="22"/>
      <c r="RR1092" s="22"/>
      <c r="RS1092" s="22"/>
      <c r="RT1092" s="22"/>
      <c r="RU1092" s="22"/>
      <c r="RV1092" s="22"/>
      <c r="RW1092" s="22"/>
      <c r="RX1092" s="22"/>
      <c r="RY1092" s="22"/>
      <c r="RZ1092" s="22"/>
      <c r="SA1092" s="22"/>
      <c r="SB1092" s="22"/>
      <c r="SC1092" s="22"/>
      <c r="SD1092" s="22"/>
      <c r="SE1092" s="22"/>
      <c r="SF1092" s="22"/>
      <c r="SG1092" s="22"/>
      <c r="SH1092" s="22"/>
      <c r="SI1092" s="22"/>
      <c r="SJ1092" s="22"/>
      <c r="SK1092" s="22"/>
      <c r="SL1092" s="22"/>
      <c r="SM1092" s="22"/>
      <c r="SN1092" s="22"/>
      <c r="SO1092" s="22"/>
      <c r="SP1092" s="22"/>
      <c r="SQ1092" s="22"/>
      <c r="SR1092" s="22"/>
      <c r="SS1092" s="22"/>
      <c r="ST1092" s="22"/>
      <c r="SU1092" s="22"/>
      <c r="SV1092" s="22"/>
      <c r="SW1092" s="22"/>
      <c r="SX1092" s="22"/>
      <c r="SY1092" s="22"/>
      <c r="SZ1092" s="22"/>
      <c r="TA1092" s="22"/>
      <c r="TB1092" s="22"/>
      <c r="TC1092" s="22"/>
      <c r="TD1092" s="22"/>
      <c r="TE1092" s="22"/>
      <c r="TF1092" s="22"/>
      <c r="TG1092" s="22"/>
      <c r="TH1092" s="22"/>
      <c r="TI1092" s="22"/>
      <c r="TJ1092" s="22"/>
      <c r="TK1092" s="22"/>
      <c r="TL1092" s="22"/>
      <c r="TM1092" s="22"/>
      <c r="TN1092" s="22"/>
      <c r="TO1092" s="22"/>
      <c r="TP1092" s="22"/>
      <c r="TQ1092" s="22"/>
      <c r="TR1092" s="22"/>
      <c r="TS1092" s="22"/>
      <c r="TT1092" s="22"/>
      <c r="TU1092" s="22"/>
      <c r="TV1092" s="22"/>
      <c r="TW1092" s="22"/>
      <c r="TX1092" s="22"/>
      <c r="TY1092" s="22"/>
      <c r="TZ1092" s="22"/>
      <c r="UA1092" s="22"/>
      <c r="UB1092" s="22"/>
      <c r="UC1092" s="22"/>
      <c r="UD1092" s="22"/>
      <c r="UE1092" s="22"/>
      <c r="UF1092" s="22"/>
      <c r="UG1092" s="23"/>
    </row>
    <row r="1093" spans="1:553" ht="184.5" customHeight="1">
      <c r="A1093" s="356"/>
      <c r="B1093" s="385"/>
      <c r="C1093" s="384" t="s">
        <v>23</v>
      </c>
      <c r="D1093" s="376" t="s">
        <v>20</v>
      </c>
      <c r="E1093" s="376" t="s">
        <v>627</v>
      </c>
      <c r="F1093" s="385">
        <v>1</v>
      </c>
      <c r="G1093" s="386" t="s">
        <v>935</v>
      </c>
      <c r="H1093" s="387">
        <v>62.8</v>
      </c>
      <c r="I1093" s="490">
        <v>62.8</v>
      </c>
      <c r="J1093" s="368">
        <v>62000</v>
      </c>
      <c r="K1093" s="391"/>
      <c r="L1093" s="480">
        <f t="shared" si="165"/>
        <v>3893600</v>
      </c>
      <c r="M1093" s="366"/>
      <c r="N1093" s="366"/>
      <c r="O1093" s="366"/>
      <c r="P1093" s="366"/>
      <c r="Q1093" s="761" t="s">
        <v>628</v>
      </c>
      <c r="R1093" s="1452"/>
      <c r="S1093" s="308"/>
      <c r="T1093" s="308"/>
      <c r="U1093" s="308"/>
      <c r="V1093" s="308"/>
      <c r="W1093" s="685">
        <f>I1093</f>
        <v>62.8</v>
      </c>
      <c r="X1093" s="308"/>
      <c r="Y1093" s="308"/>
      <c r="Z1093" s="604"/>
      <c r="AA1093" s="308"/>
      <c r="AB1093" s="308"/>
      <c r="AC1093" s="373"/>
      <c r="AD1093" s="373"/>
      <c r="AE1093" s="373"/>
      <c r="AF1093" s="373"/>
      <c r="AG1093" s="373"/>
      <c r="AH1093" s="373"/>
      <c r="AI1093" s="373"/>
      <c r="AJ1093" s="373"/>
      <c r="AK1093" s="389"/>
      <c r="AL1093" s="100"/>
      <c r="AM1093" s="27"/>
      <c r="AN1093" s="27"/>
      <c r="AO1093" s="27"/>
      <c r="AP1093" s="27"/>
      <c r="AQ1093" s="27"/>
      <c r="AR1093" s="27"/>
      <c r="AS1093" s="22"/>
      <c r="AT1093" s="22"/>
      <c r="AU1093" s="22"/>
      <c r="AV1093" s="22"/>
      <c r="AW1093" s="22"/>
      <c r="AX1093" s="22"/>
      <c r="AY1093" s="22"/>
      <c r="AZ1093" s="22"/>
      <c r="BA1093" s="22"/>
      <c r="BB1093" s="22"/>
      <c r="BC1093" s="22"/>
      <c r="BD1093" s="22"/>
      <c r="BE1093" s="22"/>
      <c r="BF1093" s="22"/>
      <c r="BG1093" s="22"/>
      <c r="BH1093" s="22"/>
      <c r="BI1093" s="22"/>
      <c r="BJ1093" s="22"/>
      <c r="BK1093" s="22"/>
      <c r="BL1093" s="22"/>
      <c r="BM1093" s="22"/>
      <c r="BN1093" s="22"/>
      <c r="BO1093" s="22"/>
      <c r="BP1093" s="22"/>
      <c r="BQ1093" s="22"/>
      <c r="BR1093" s="22"/>
      <c r="BS1093" s="22"/>
      <c r="BT1093" s="22"/>
      <c r="BU1093" s="22"/>
      <c r="BV1093" s="22"/>
      <c r="BW1093" s="22"/>
      <c r="BX1093" s="22"/>
      <c r="BY1093" s="22"/>
      <c r="BZ1093" s="22"/>
      <c r="CA1093" s="22"/>
      <c r="CB1093" s="22"/>
      <c r="CC1093" s="22"/>
      <c r="CD1093" s="22"/>
      <c r="CE1093" s="22"/>
      <c r="CF1093" s="22"/>
      <c r="CG1093" s="22"/>
      <c r="CH1093" s="22"/>
      <c r="CI1093" s="22"/>
      <c r="CJ1093" s="22"/>
      <c r="CK1093" s="22"/>
      <c r="CL1093" s="22"/>
      <c r="CM1093" s="22"/>
      <c r="CN1093" s="22"/>
      <c r="CO1093" s="22"/>
      <c r="CP1093" s="22"/>
      <c r="CQ1093" s="22"/>
      <c r="CR1093" s="22"/>
      <c r="CS1093" s="22"/>
      <c r="CT1093" s="22"/>
      <c r="CU1093" s="22"/>
      <c r="CV1093" s="22"/>
      <c r="CW1093" s="22"/>
      <c r="CX1093" s="22"/>
      <c r="CY1093" s="22"/>
      <c r="CZ1093" s="22"/>
      <c r="DA1093" s="22"/>
      <c r="DB1093" s="22"/>
      <c r="DC1093" s="22"/>
      <c r="DD1093" s="22"/>
      <c r="DE1093" s="22"/>
      <c r="DF1093" s="22"/>
      <c r="DG1093" s="22"/>
      <c r="DH1093" s="22"/>
      <c r="DI1093" s="22"/>
      <c r="DJ1093" s="22"/>
      <c r="DK1093" s="22"/>
      <c r="DL1093" s="22"/>
      <c r="DM1093" s="22"/>
      <c r="DN1093" s="22"/>
      <c r="DO1093" s="22"/>
      <c r="DP1093" s="22"/>
      <c r="DQ1093" s="22"/>
      <c r="DR1093" s="22"/>
      <c r="DS1093" s="22"/>
      <c r="DT1093" s="22"/>
      <c r="DU1093" s="22"/>
      <c r="DV1093" s="22"/>
      <c r="DW1093" s="22"/>
      <c r="DX1093" s="22"/>
      <c r="DY1093" s="22"/>
      <c r="DZ1093" s="22"/>
      <c r="EA1093" s="22"/>
      <c r="EB1093" s="22"/>
      <c r="EC1093" s="22"/>
      <c r="ED1093" s="22"/>
      <c r="EE1093" s="22"/>
      <c r="EF1093" s="22"/>
      <c r="EG1093" s="22"/>
      <c r="EH1093" s="22"/>
      <c r="EI1093" s="22"/>
      <c r="EJ1093" s="22"/>
      <c r="EK1093" s="22"/>
      <c r="EL1093" s="22"/>
      <c r="EM1093" s="22"/>
      <c r="EN1093" s="22"/>
      <c r="EO1093" s="22"/>
      <c r="EP1093" s="22"/>
      <c r="EQ1093" s="22"/>
      <c r="ER1093" s="22"/>
      <c r="ES1093" s="22"/>
      <c r="ET1093" s="22"/>
      <c r="EU1093" s="22"/>
      <c r="EV1093" s="22"/>
      <c r="EW1093" s="22"/>
      <c r="EX1093" s="22"/>
      <c r="EY1093" s="22"/>
      <c r="EZ1093" s="22"/>
      <c r="FA1093" s="22"/>
      <c r="FB1093" s="22"/>
      <c r="FC1093" s="22"/>
      <c r="FD1093" s="22"/>
      <c r="FE1093" s="22"/>
      <c r="FF1093" s="22"/>
      <c r="FG1093" s="22"/>
      <c r="FH1093" s="22"/>
      <c r="FI1093" s="22"/>
      <c r="FJ1093" s="22"/>
      <c r="FK1093" s="22"/>
      <c r="FL1093" s="22"/>
      <c r="FM1093" s="22"/>
      <c r="FN1093" s="22"/>
      <c r="FO1093" s="22"/>
      <c r="FP1093" s="22"/>
      <c r="FQ1093" s="22"/>
      <c r="FR1093" s="22"/>
      <c r="FS1093" s="22"/>
      <c r="FT1093" s="22"/>
      <c r="FU1093" s="22"/>
      <c r="FV1093" s="22"/>
      <c r="FW1093" s="22"/>
      <c r="FX1093" s="22"/>
      <c r="FY1093" s="22"/>
      <c r="FZ1093" s="22"/>
      <c r="GA1093" s="22"/>
      <c r="GB1093" s="22"/>
      <c r="GC1093" s="22"/>
      <c r="GD1093" s="22"/>
      <c r="GE1093" s="22"/>
      <c r="GF1093" s="22"/>
      <c r="GG1093" s="22"/>
      <c r="GH1093" s="22"/>
      <c r="GI1093" s="22"/>
      <c r="GJ1093" s="22"/>
      <c r="GK1093" s="22"/>
      <c r="GL1093" s="22"/>
      <c r="GM1093" s="22"/>
      <c r="GN1093" s="22"/>
      <c r="GO1093" s="22"/>
      <c r="GP1093" s="22"/>
      <c r="GQ1093" s="22"/>
      <c r="GR1093" s="22"/>
      <c r="GS1093" s="22"/>
      <c r="GT1093" s="22"/>
      <c r="GU1093" s="22"/>
      <c r="GV1093" s="22"/>
      <c r="GW1093" s="22"/>
      <c r="GX1093" s="22"/>
      <c r="GY1093" s="22"/>
      <c r="GZ1093" s="22"/>
      <c r="HA1093" s="22"/>
      <c r="HB1093" s="22"/>
      <c r="HC1093" s="22"/>
      <c r="HD1093" s="22"/>
      <c r="HE1093" s="22"/>
      <c r="HF1093" s="22"/>
      <c r="HG1093" s="22"/>
      <c r="HH1093" s="22"/>
      <c r="HI1093" s="22"/>
      <c r="HJ1093" s="22"/>
      <c r="HK1093" s="22"/>
      <c r="HL1093" s="22"/>
      <c r="HM1093" s="22"/>
      <c r="HN1093" s="22"/>
      <c r="HO1093" s="22"/>
      <c r="HP1093" s="22"/>
      <c r="HQ1093" s="22"/>
      <c r="HR1093" s="22"/>
      <c r="HS1093" s="22"/>
      <c r="HT1093" s="22"/>
      <c r="HU1093" s="22"/>
      <c r="HV1093" s="22"/>
      <c r="HW1093" s="22"/>
      <c r="HX1093" s="22"/>
      <c r="HY1093" s="22"/>
      <c r="HZ1093" s="22"/>
      <c r="IA1093" s="22"/>
      <c r="IB1093" s="22"/>
      <c r="IC1093" s="22"/>
      <c r="ID1093" s="22"/>
      <c r="IE1093" s="22"/>
      <c r="IF1093" s="22"/>
      <c r="IG1093" s="22"/>
      <c r="IH1093" s="22"/>
      <c r="II1093" s="22"/>
      <c r="IJ1093" s="22"/>
      <c r="IK1093" s="22"/>
      <c r="IL1093" s="22"/>
      <c r="IM1093" s="22"/>
      <c r="IN1093" s="22"/>
      <c r="IO1093" s="22"/>
      <c r="IP1093" s="22"/>
      <c r="IQ1093" s="22"/>
      <c r="IR1093" s="22"/>
      <c r="IS1093" s="22"/>
      <c r="IT1093" s="22"/>
      <c r="IU1093" s="22"/>
      <c r="IV1093" s="22"/>
      <c r="IW1093" s="22"/>
      <c r="IX1093" s="22"/>
      <c r="IY1093" s="22"/>
      <c r="IZ1093" s="22"/>
      <c r="JA1093" s="22"/>
      <c r="JB1093" s="22"/>
      <c r="JC1093" s="22"/>
      <c r="JD1093" s="22"/>
      <c r="JE1093" s="22"/>
      <c r="JF1093" s="22"/>
      <c r="JG1093" s="22"/>
      <c r="JH1093" s="22"/>
      <c r="JI1093" s="22"/>
      <c r="JJ1093" s="22"/>
      <c r="JK1093" s="22"/>
      <c r="JL1093" s="22"/>
      <c r="JM1093" s="22"/>
      <c r="JN1093" s="22"/>
      <c r="JO1093" s="22"/>
      <c r="JP1093" s="22"/>
      <c r="JQ1093" s="22"/>
      <c r="JR1093" s="22"/>
      <c r="JS1093" s="22"/>
      <c r="JT1093" s="22"/>
      <c r="JU1093" s="22"/>
      <c r="JV1093" s="22"/>
      <c r="JW1093" s="22"/>
      <c r="JX1093" s="22"/>
      <c r="JY1093" s="22"/>
      <c r="JZ1093" s="22"/>
      <c r="KA1093" s="22"/>
      <c r="KB1093" s="22"/>
      <c r="KC1093" s="22"/>
      <c r="KD1093" s="22"/>
      <c r="KE1093" s="22"/>
      <c r="KF1093" s="22"/>
      <c r="KG1093" s="22"/>
      <c r="KH1093" s="22"/>
      <c r="KI1093" s="22"/>
      <c r="KJ1093" s="22"/>
      <c r="KK1093" s="22"/>
      <c r="KL1093" s="22"/>
      <c r="KM1093" s="22"/>
      <c r="KN1093" s="22"/>
      <c r="KO1093" s="22"/>
      <c r="KP1093" s="22"/>
      <c r="KQ1093" s="22"/>
      <c r="KR1093" s="22"/>
      <c r="KS1093" s="22"/>
      <c r="KT1093" s="22"/>
      <c r="KU1093" s="22"/>
      <c r="KV1093" s="22"/>
      <c r="KW1093" s="22"/>
      <c r="KX1093" s="22"/>
      <c r="KY1093" s="22"/>
      <c r="KZ1093" s="22"/>
      <c r="LA1093" s="22"/>
      <c r="LB1093" s="22"/>
      <c r="LC1093" s="22"/>
      <c r="LD1093" s="22"/>
      <c r="LE1093" s="22"/>
      <c r="LF1093" s="22"/>
      <c r="LG1093" s="22"/>
      <c r="LH1093" s="22"/>
      <c r="LI1093" s="22"/>
      <c r="LJ1093" s="22"/>
      <c r="LK1093" s="22"/>
      <c r="LL1093" s="22"/>
      <c r="LM1093" s="22"/>
      <c r="LN1093" s="22"/>
      <c r="LO1093" s="22"/>
      <c r="LP1093" s="22"/>
      <c r="LQ1093" s="22"/>
      <c r="LR1093" s="22"/>
      <c r="LS1093" s="22"/>
      <c r="LT1093" s="22"/>
      <c r="LU1093" s="22"/>
      <c r="LV1093" s="22"/>
      <c r="LW1093" s="22"/>
      <c r="LX1093" s="22"/>
      <c r="LY1093" s="22"/>
      <c r="LZ1093" s="22"/>
      <c r="MA1093" s="22"/>
      <c r="MB1093" s="22"/>
      <c r="MC1093" s="22"/>
      <c r="MD1093" s="22"/>
      <c r="ME1093" s="22"/>
      <c r="MF1093" s="22"/>
      <c r="MG1093" s="22"/>
      <c r="MH1093" s="22"/>
      <c r="MI1093" s="22"/>
      <c r="MJ1093" s="22"/>
      <c r="MK1093" s="22"/>
      <c r="ML1093" s="22"/>
      <c r="MM1093" s="22"/>
      <c r="MN1093" s="22"/>
      <c r="MO1093" s="22"/>
      <c r="MP1093" s="22"/>
      <c r="MQ1093" s="22"/>
      <c r="MR1093" s="22"/>
      <c r="MS1093" s="22"/>
      <c r="MT1093" s="22"/>
      <c r="MU1093" s="22"/>
      <c r="MV1093" s="22"/>
      <c r="MW1093" s="22"/>
      <c r="MX1093" s="22"/>
      <c r="MY1093" s="22"/>
      <c r="MZ1093" s="22"/>
      <c r="NA1093" s="22"/>
      <c r="NB1093" s="22"/>
      <c r="NC1093" s="22"/>
      <c r="ND1093" s="22"/>
      <c r="NE1093" s="22"/>
      <c r="NF1093" s="22"/>
      <c r="NG1093" s="22"/>
      <c r="NH1093" s="22"/>
      <c r="NI1093" s="22"/>
      <c r="NJ1093" s="22"/>
      <c r="NK1093" s="22"/>
      <c r="NL1093" s="22"/>
      <c r="NM1093" s="22"/>
      <c r="NN1093" s="22"/>
      <c r="NO1093" s="22"/>
      <c r="NP1093" s="22"/>
      <c r="NQ1093" s="22"/>
      <c r="NR1093" s="22"/>
      <c r="NS1093" s="22"/>
      <c r="NT1093" s="22"/>
      <c r="NU1093" s="22"/>
      <c r="NV1093" s="22"/>
      <c r="NW1093" s="22"/>
      <c r="NX1093" s="22"/>
      <c r="NY1093" s="22"/>
      <c r="NZ1093" s="22"/>
      <c r="OA1093" s="22"/>
      <c r="OB1093" s="22"/>
      <c r="OC1093" s="22"/>
      <c r="OD1093" s="22"/>
      <c r="OE1093" s="22"/>
      <c r="OF1093" s="22"/>
      <c r="OG1093" s="22"/>
      <c r="OH1093" s="22"/>
      <c r="OI1093" s="22"/>
      <c r="OJ1093" s="22"/>
      <c r="OK1093" s="22"/>
      <c r="OL1093" s="22"/>
      <c r="OM1093" s="22"/>
      <c r="ON1093" s="22"/>
      <c r="OO1093" s="22"/>
      <c r="OP1093" s="22"/>
      <c r="OQ1093" s="22"/>
      <c r="OR1093" s="22"/>
      <c r="OS1093" s="22"/>
      <c r="OT1093" s="22"/>
      <c r="OU1093" s="22"/>
      <c r="OV1093" s="22"/>
      <c r="OW1093" s="22"/>
      <c r="OX1093" s="22"/>
      <c r="OY1093" s="22"/>
      <c r="OZ1093" s="22"/>
      <c r="PA1093" s="22"/>
      <c r="PB1093" s="22"/>
      <c r="PC1093" s="22"/>
      <c r="PD1093" s="22"/>
      <c r="PE1093" s="22"/>
      <c r="PF1093" s="22"/>
      <c r="PG1093" s="22"/>
      <c r="PH1093" s="22"/>
      <c r="PI1093" s="22"/>
      <c r="PJ1093" s="22"/>
      <c r="PK1093" s="22"/>
      <c r="PL1093" s="22"/>
      <c r="PM1093" s="22"/>
      <c r="PN1093" s="22"/>
      <c r="PO1093" s="22"/>
      <c r="PP1093" s="22"/>
      <c r="PQ1093" s="22"/>
      <c r="PR1093" s="22"/>
      <c r="PS1093" s="22"/>
      <c r="PT1093" s="22"/>
      <c r="PU1093" s="22"/>
      <c r="PV1093" s="22"/>
      <c r="PW1093" s="22"/>
      <c r="PX1093" s="22"/>
      <c r="PY1093" s="22"/>
      <c r="PZ1093" s="22"/>
      <c r="QA1093" s="22"/>
      <c r="QB1093" s="22"/>
      <c r="QC1093" s="22"/>
      <c r="QD1093" s="22"/>
      <c r="QE1093" s="22"/>
      <c r="QF1093" s="22"/>
      <c r="QG1093" s="22"/>
      <c r="QH1093" s="22"/>
      <c r="QI1093" s="22"/>
      <c r="QJ1093" s="22"/>
      <c r="QK1093" s="22"/>
      <c r="QL1093" s="22"/>
      <c r="QM1093" s="22"/>
      <c r="QN1093" s="22"/>
      <c r="QO1093" s="22"/>
      <c r="QP1093" s="22"/>
      <c r="QQ1093" s="22"/>
      <c r="QR1093" s="22"/>
      <c r="QS1093" s="22"/>
      <c r="QT1093" s="22"/>
      <c r="QU1093" s="22"/>
      <c r="QV1093" s="22"/>
      <c r="QW1093" s="22"/>
      <c r="QX1093" s="22"/>
      <c r="QY1093" s="22"/>
      <c r="QZ1093" s="22"/>
      <c r="RA1093" s="22"/>
      <c r="RB1093" s="22"/>
      <c r="RC1093" s="22"/>
      <c r="RD1093" s="22"/>
      <c r="RE1093" s="22"/>
      <c r="RF1093" s="22"/>
      <c r="RG1093" s="22"/>
      <c r="RH1093" s="22"/>
      <c r="RI1093" s="22"/>
      <c r="RJ1093" s="22"/>
      <c r="RK1093" s="22"/>
      <c r="RL1093" s="22"/>
      <c r="RM1093" s="22"/>
      <c r="RN1093" s="22"/>
      <c r="RO1093" s="22"/>
      <c r="RP1093" s="22"/>
      <c r="RQ1093" s="22"/>
      <c r="RR1093" s="22"/>
      <c r="RS1093" s="22"/>
      <c r="RT1093" s="22"/>
      <c r="RU1093" s="22"/>
      <c r="RV1093" s="22"/>
      <c r="RW1093" s="22"/>
      <c r="RX1093" s="22"/>
      <c r="RY1093" s="22"/>
      <c r="RZ1093" s="22"/>
      <c r="SA1093" s="22"/>
      <c r="SB1093" s="22"/>
      <c r="SC1093" s="22"/>
      <c r="SD1093" s="22"/>
      <c r="SE1093" s="22"/>
      <c r="SF1093" s="22"/>
      <c r="SG1093" s="22"/>
      <c r="SH1093" s="22"/>
      <c r="SI1093" s="22"/>
      <c r="SJ1093" s="22"/>
      <c r="SK1093" s="22"/>
      <c r="SL1093" s="22"/>
      <c r="SM1093" s="22"/>
      <c r="SN1093" s="22"/>
      <c r="SO1093" s="22"/>
      <c r="SP1093" s="22"/>
      <c r="SQ1093" s="22"/>
      <c r="SR1093" s="22"/>
      <c r="SS1093" s="22"/>
      <c r="ST1093" s="22"/>
      <c r="SU1093" s="22"/>
      <c r="SV1093" s="22"/>
      <c r="SW1093" s="22"/>
      <c r="SX1093" s="22"/>
      <c r="SY1093" s="22"/>
      <c r="SZ1093" s="22"/>
      <c r="TA1093" s="22"/>
      <c r="TB1093" s="22"/>
      <c r="TC1093" s="22"/>
      <c r="TD1093" s="22"/>
      <c r="TE1093" s="22"/>
      <c r="TF1093" s="22"/>
      <c r="TG1093" s="22"/>
      <c r="TH1093" s="22"/>
      <c r="TI1093" s="22"/>
      <c r="TJ1093" s="22"/>
      <c r="TK1093" s="22"/>
      <c r="TL1093" s="22"/>
      <c r="TM1093" s="22"/>
      <c r="TN1093" s="22"/>
      <c r="TO1093" s="22"/>
      <c r="TP1093" s="22"/>
      <c r="TQ1093" s="22"/>
      <c r="TR1093" s="22"/>
      <c r="TS1093" s="22"/>
      <c r="TT1093" s="22"/>
      <c r="TU1093" s="22"/>
      <c r="TV1093" s="22"/>
      <c r="TW1093" s="22"/>
      <c r="TX1093" s="22"/>
      <c r="TY1093" s="22"/>
      <c r="TZ1093" s="22"/>
      <c r="UA1093" s="22"/>
      <c r="UB1093" s="22"/>
      <c r="UC1093" s="22"/>
      <c r="UD1093" s="22"/>
      <c r="UE1093" s="22"/>
      <c r="UF1093" s="22"/>
      <c r="UG1093" s="23"/>
    </row>
    <row r="1094" spans="1:553" ht="184.5" customHeight="1">
      <c r="A1094" s="356"/>
      <c r="B1094" s="385"/>
      <c r="C1094" s="384" t="s">
        <v>23</v>
      </c>
      <c r="D1094" s="376" t="s">
        <v>20</v>
      </c>
      <c r="E1094" s="376" t="s">
        <v>629</v>
      </c>
      <c r="F1094" s="385">
        <v>1</v>
      </c>
      <c r="G1094" s="386" t="s">
        <v>935</v>
      </c>
      <c r="H1094" s="387">
        <v>98.2</v>
      </c>
      <c r="I1094" s="490">
        <v>98.2</v>
      </c>
      <c r="J1094" s="368">
        <v>62000</v>
      </c>
      <c r="K1094" s="391"/>
      <c r="L1094" s="480">
        <f t="shared" si="165"/>
        <v>6088400</v>
      </c>
      <c r="M1094" s="366"/>
      <c r="N1094" s="366"/>
      <c r="O1094" s="366"/>
      <c r="P1094" s="366"/>
      <c r="Q1094" s="761" t="s">
        <v>628</v>
      </c>
      <c r="R1094" s="1452"/>
      <c r="S1094" s="308"/>
      <c r="T1094" s="308"/>
      <c r="U1094" s="308"/>
      <c r="V1094" s="308"/>
      <c r="W1094" s="685">
        <f>I1094</f>
        <v>98.2</v>
      </c>
      <c r="X1094" s="308"/>
      <c r="Y1094" s="308"/>
      <c r="Z1094" s="604"/>
      <c r="AA1094" s="308"/>
      <c r="AB1094" s="308"/>
      <c r="AC1094" s="373"/>
      <c r="AD1094" s="373"/>
      <c r="AE1094" s="373"/>
      <c r="AF1094" s="373"/>
      <c r="AG1094" s="373"/>
      <c r="AH1094" s="373"/>
      <c r="AI1094" s="373"/>
      <c r="AJ1094" s="373"/>
      <c r="AK1094" s="389"/>
      <c r="AL1094" s="100"/>
      <c r="AM1094" s="27"/>
      <c r="AN1094" s="27"/>
      <c r="AO1094" s="27"/>
      <c r="AP1094" s="27"/>
      <c r="AQ1094" s="27"/>
      <c r="AR1094" s="27"/>
      <c r="AS1094" s="22"/>
      <c r="AT1094" s="22"/>
      <c r="AU1094" s="22"/>
      <c r="AV1094" s="22"/>
      <c r="AW1094" s="22"/>
      <c r="AX1094" s="22"/>
      <c r="AY1094" s="22"/>
      <c r="AZ1094" s="22"/>
      <c r="BA1094" s="22"/>
      <c r="BB1094" s="22"/>
      <c r="BC1094" s="22"/>
      <c r="BD1094" s="22"/>
      <c r="BE1094" s="22"/>
      <c r="BF1094" s="22"/>
      <c r="BG1094" s="22"/>
      <c r="BH1094" s="22"/>
      <c r="BI1094" s="22"/>
      <c r="BJ1094" s="22"/>
      <c r="BK1094" s="22"/>
      <c r="BL1094" s="22"/>
      <c r="BM1094" s="22"/>
      <c r="BN1094" s="22"/>
      <c r="BO1094" s="22"/>
      <c r="BP1094" s="22"/>
      <c r="BQ1094" s="22"/>
      <c r="BR1094" s="22"/>
      <c r="BS1094" s="22"/>
      <c r="BT1094" s="22"/>
      <c r="BU1094" s="22"/>
      <c r="BV1094" s="22"/>
      <c r="BW1094" s="22"/>
      <c r="BX1094" s="22"/>
      <c r="BY1094" s="22"/>
      <c r="BZ1094" s="22"/>
      <c r="CA1094" s="22"/>
      <c r="CB1094" s="22"/>
      <c r="CC1094" s="22"/>
      <c r="CD1094" s="22"/>
      <c r="CE1094" s="22"/>
      <c r="CF1094" s="22"/>
      <c r="CG1094" s="22"/>
      <c r="CH1094" s="22"/>
      <c r="CI1094" s="22"/>
      <c r="CJ1094" s="22"/>
      <c r="CK1094" s="22"/>
      <c r="CL1094" s="22"/>
      <c r="CM1094" s="22"/>
      <c r="CN1094" s="22"/>
      <c r="CO1094" s="22"/>
      <c r="CP1094" s="22"/>
      <c r="CQ1094" s="22"/>
      <c r="CR1094" s="22"/>
      <c r="CS1094" s="22"/>
      <c r="CT1094" s="22"/>
      <c r="CU1094" s="22"/>
      <c r="CV1094" s="22"/>
      <c r="CW1094" s="22"/>
      <c r="CX1094" s="22"/>
      <c r="CY1094" s="22"/>
      <c r="CZ1094" s="22"/>
      <c r="DA1094" s="22"/>
      <c r="DB1094" s="22"/>
      <c r="DC1094" s="22"/>
      <c r="DD1094" s="22"/>
      <c r="DE1094" s="22"/>
      <c r="DF1094" s="22"/>
      <c r="DG1094" s="22"/>
      <c r="DH1094" s="22"/>
      <c r="DI1094" s="22"/>
      <c r="DJ1094" s="22"/>
      <c r="DK1094" s="22"/>
      <c r="DL1094" s="22"/>
      <c r="DM1094" s="22"/>
      <c r="DN1094" s="22"/>
      <c r="DO1094" s="22"/>
      <c r="DP1094" s="22"/>
      <c r="DQ1094" s="22"/>
      <c r="DR1094" s="22"/>
      <c r="DS1094" s="22"/>
      <c r="DT1094" s="22"/>
      <c r="DU1094" s="22"/>
      <c r="DV1094" s="22"/>
      <c r="DW1094" s="22"/>
      <c r="DX1094" s="22"/>
      <c r="DY1094" s="22"/>
      <c r="DZ1094" s="22"/>
      <c r="EA1094" s="22"/>
      <c r="EB1094" s="22"/>
      <c r="EC1094" s="22"/>
      <c r="ED1094" s="22"/>
      <c r="EE1094" s="22"/>
      <c r="EF1094" s="22"/>
      <c r="EG1094" s="22"/>
      <c r="EH1094" s="22"/>
      <c r="EI1094" s="22"/>
      <c r="EJ1094" s="22"/>
      <c r="EK1094" s="22"/>
      <c r="EL1094" s="22"/>
      <c r="EM1094" s="22"/>
      <c r="EN1094" s="22"/>
      <c r="EO1094" s="22"/>
      <c r="EP1094" s="22"/>
      <c r="EQ1094" s="22"/>
      <c r="ER1094" s="22"/>
      <c r="ES1094" s="22"/>
      <c r="ET1094" s="22"/>
      <c r="EU1094" s="22"/>
      <c r="EV1094" s="22"/>
      <c r="EW1094" s="22"/>
      <c r="EX1094" s="22"/>
      <c r="EY1094" s="22"/>
      <c r="EZ1094" s="22"/>
      <c r="FA1094" s="22"/>
      <c r="FB1094" s="22"/>
      <c r="FC1094" s="22"/>
      <c r="FD1094" s="22"/>
      <c r="FE1094" s="22"/>
      <c r="FF1094" s="22"/>
      <c r="FG1094" s="22"/>
      <c r="FH1094" s="22"/>
      <c r="FI1094" s="22"/>
      <c r="FJ1094" s="22"/>
      <c r="FK1094" s="22"/>
      <c r="FL1094" s="22"/>
      <c r="FM1094" s="22"/>
      <c r="FN1094" s="22"/>
      <c r="FO1094" s="22"/>
      <c r="FP1094" s="22"/>
      <c r="FQ1094" s="22"/>
      <c r="FR1094" s="22"/>
      <c r="FS1094" s="22"/>
      <c r="FT1094" s="22"/>
      <c r="FU1094" s="22"/>
      <c r="FV1094" s="22"/>
      <c r="FW1094" s="22"/>
      <c r="FX1094" s="22"/>
      <c r="FY1094" s="22"/>
      <c r="FZ1094" s="22"/>
      <c r="GA1094" s="22"/>
      <c r="GB1094" s="22"/>
      <c r="GC1094" s="22"/>
      <c r="GD1094" s="22"/>
      <c r="GE1094" s="22"/>
      <c r="GF1094" s="22"/>
      <c r="GG1094" s="22"/>
      <c r="GH1094" s="22"/>
      <c r="GI1094" s="22"/>
      <c r="GJ1094" s="22"/>
      <c r="GK1094" s="22"/>
      <c r="GL1094" s="22"/>
      <c r="GM1094" s="22"/>
      <c r="GN1094" s="22"/>
      <c r="GO1094" s="22"/>
      <c r="GP1094" s="22"/>
      <c r="GQ1094" s="22"/>
      <c r="GR1094" s="22"/>
      <c r="GS1094" s="22"/>
      <c r="GT1094" s="22"/>
      <c r="GU1094" s="22"/>
      <c r="GV1094" s="22"/>
      <c r="GW1094" s="22"/>
      <c r="GX1094" s="22"/>
      <c r="GY1094" s="22"/>
      <c r="GZ1094" s="22"/>
      <c r="HA1094" s="22"/>
      <c r="HB1094" s="22"/>
      <c r="HC1094" s="22"/>
      <c r="HD1094" s="22"/>
      <c r="HE1094" s="22"/>
      <c r="HF1094" s="22"/>
      <c r="HG1094" s="22"/>
      <c r="HH1094" s="22"/>
      <c r="HI1094" s="22"/>
      <c r="HJ1094" s="22"/>
      <c r="HK1094" s="22"/>
      <c r="HL1094" s="22"/>
      <c r="HM1094" s="22"/>
      <c r="HN1094" s="22"/>
      <c r="HO1094" s="22"/>
      <c r="HP1094" s="22"/>
      <c r="HQ1094" s="22"/>
      <c r="HR1094" s="22"/>
      <c r="HS1094" s="22"/>
      <c r="HT1094" s="22"/>
      <c r="HU1094" s="22"/>
      <c r="HV1094" s="22"/>
      <c r="HW1094" s="22"/>
      <c r="HX1094" s="22"/>
      <c r="HY1094" s="22"/>
      <c r="HZ1094" s="22"/>
      <c r="IA1094" s="22"/>
      <c r="IB1094" s="22"/>
      <c r="IC1094" s="22"/>
      <c r="ID1094" s="22"/>
      <c r="IE1094" s="22"/>
      <c r="IF1094" s="22"/>
      <c r="IG1094" s="22"/>
      <c r="IH1094" s="22"/>
      <c r="II1094" s="22"/>
      <c r="IJ1094" s="22"/>
      <c r="IK1094" s="22"/>
      <c r="IL1094" s="22"/>
      <c r="IM1094" s="22"/>
      <c r="IN1094" s="22"/>
      <c r="IO1094" s="22"/>
      <c r="IP1094" s="22"/>
      <c r="IQ1094" s="22"/>
      <c r="IR1094" s="22"/>
      <c r="IS1094" s="22"/>
      <c r="IT1094" s="22"/>
      <c r="IU1094" s="22"/>
      <c r="IV1094" s="22"/>
      <c r="IW1094" s="22"/>
      <c r="IX1094" s="22"/>
      <c r="IY1094" s="22"/>
      <c r="IZ1094" s="22"/>
      <c r="JA1094" s="22"/>
      <c r="JB1094" s="22"/>
      <c r="JC1094" s="22"/>
      <c r="JD1094" s="22"/>
      <c r="JE1094" s="22"/>
      <c r="JF1094" s="22"/>
      <c r="JG1094" s="22"/>
      <c r="JH1094" s="22"/>
      <c r="JI1094" s="22"/>
      <c r="JJ1094" s="22"/>
      <c r="JK1094" s="22"/>
      <c r="JL1094" s="22"/>
      <c r="JM1094" s="22"/>
      <c r="JN1094" s="22"/>
      <c r="JO1094" s="22"/>
      <c r="JP1094" s="22"/>
      <c r="JQ1094" s="22"/>
      <c r="JR1094" s="22"/>
      <c r="JS1094" s="22"/>
      <c r="JT1094" s="22"/>
      <c r="JU1094" s="22"/>
      <c r="JV1094" s="22"/>
      <c r="JW1094" s="22"/>
      <c r="JX1094" s="22"/>
      <c r="JY1094" s="22"/>
      <c r="JZ1094" s="22"/>
      <c r="KA1094" s="22"/>
      <c r="KB1094" s="22"/>
      <c r="KC1094" s="22"/>
      <c r="KD1094" s="22"/>
      <c r="KE1094" s="22"/>
      <c r="KF1094" s="22"/>
      <c r="KG1094" s="22"/>
      <c r="KH1094" s="22"/>
      <c r="KI1094" s="22"/>
      <c r="KJ1094" s="22"/>
      <c r="KK1094" s="22"/>
      <c r="KL1094" s="22"/>
      <c r="KM1094" s="22"/>
      <c r="KN1094" s="22"/>
      <c r="KO1094" s="22"/>
      <c r="KP1094" s="22"/>
      <c r="KQ1094" s="22"/>
      <c r="KR1094" s="22"/>
      <c r="KS1094" s="22"/>
      <c r="KT1094" s="22"/>
      <c r="KU1094" s="22"/>
      <c r="KV1094" s="22"/>
      <c r="KW1094" s="22"/>
      <c r="KX1094" s="22"/>
      <c r="KY1094" s="22"/>
      <c r="KZ1094" s="22"/>
      <c r="LA1094" s="22"/>
      <c r="LB1094" s="22"/>
      <c r="LC1094" s="22"/>
      <c r="LD1094" s="22"/>
      <c r="LE1094" s="22"/>
      <c r="LF1094" s="22"/>
      <c r="LG1094" s="22"/>
      <c r="LH1094" s="22"/>
      <c r="LI1094" s="22"/>
      <c r="LJ1094" s="22"/>
      <c r="LK1094" s="22"/>
      <c r="LL1094" s="22"/>
      <c r="LM1094" s="22"/>
      <c r="LN1094" s="22"/>
      <c r="LO1094" s="22"/>
      <c r="LP1094" s="22"/>
      <c r="LQ1094" s="22"/>
      <c r="LR1094" s="22"/>
      <c r="LS1094" s="22"/>
      <c r="LT1094" s="22"/>
      <c r="LU1094" s="22"/>
      <c r="LV1094" s="22"/>
      <c r="LW1094" s="22"/>
      <c r="LX1094" s="22"/>
      <c r="LY1094" s="22"/>
      <c r="LZ1094" s="22"/>
      <c r="MA1094" s="22"/>
      <c r="MB1094" s="22"/>
      <c r="MC1094" s="22"/>
      <c r="MD1094" s="22"/>
      <c r="ME1094" s="22"/>
      <c r="MF1094" s="22"/>
      <c r="MG1094" s="22"/>
      <c r="MH1094" s="22"/>
      <c r="MI1094" s="22"/>
      <c r="MJ1094" s="22"/>
      <c r="MK1094" s="22"/>
      <c r="ML1094" s="22"/>
      <c r="MM1094" s="22"/>
      <c r="MN1094" s="22"/>
      <c r="MO1094" s="22"/>
      <c r="MP1094" s="22"/>
      <c r="MQ1094" s="22"/>
      <c r="MR1094" s="22"/>
      <c r="MS1094" s="22"/>
      <c r="MT1094" s="22"/>
      <c r="MU1094" s="22"/>
      <c r="MV1094" s="22"/>
      <c r="MW1094" s="22"/>
      <c r="MX1094" s="22"/>
      <c r="MY1094" s="22"/>
      <c r="MZ1094" s="22"/>
      <c r="NA1094" s="22"/>
      <c r="NB1094" s="22"/>
      <c r="NC1094" s="22"/>
      <c r="ND1094" s="22"/>
      <c r="NE1094" s="22"/>
      <c r="NF1094" s="22"/>
      <c r="NG1094" s="22"/>
      <c r="NH1094" s="22"/>
      <c r="NI1094" s="22"/>
      <c r="NJ1094" s="22"/>
      <c r="NK1094" s="22"/>
      <c r="NL1094" s="22"/>
      <c r="NM1094" s="22"/>
      <c r="NN1094" s="22"/>
      <c r="NO1094" s="22"/>
      <c r="NP1094" s="22"/>
      <c r="NQ1094" s="22"/>
      <c r="NR1094" s="22"/>
      <c r="NS1094" s="22"/>
      <c r="NT1094" s="22"/>
      <c r="NU1094" s="22"/>
      <c r="NV1094" s="22"/>
      <c r="NW1094" s="22"/>
      <c r="NX1094" s="22"/>
      <c r="NY1094" s="22"/>
      <c r="NZ1094" s="22"/>
      <c r="OA1094" s="22"/>
      <c r="OB1094" s="22"/>
      <c r="OC1094" s="22"/>
      <c r="OD1094" s="22"/>
      <c r="OE1094" s="22"/>
      <c r="OF1094" s="22"/>
      <c r="OG1094" s="22"/>
      <c r="OH1094" s="22"/>
      <c r="OI1094" s="22"/>
      <c r="OJ1094" s="22"/>
      <c r="OK1094" s="22"/>
      <c r="OL1094" s="22"/>
      <c r="OM1094" s="22"/>
      <c r="ON1094" s="22"/>
      <c r="OO1094" s="22"/>
      <c r="OP1094" s="22"/>
      <c r="OQ1094" s="22"/>
      <c r="OR1094" s="22"/>
      <c r="OS1094" s="22"/>
      <c r="OT1094" s="22"/>
      <c r="OU1094" s="22"/>
      <c r="OV1094" s="22"/>
      <c r="OW1094" s="22"/>
      <c r="OX1094" s="22"/>
      <c r="OY1094" s="22"/>
      <c r="OZ1094" s="22"/>
      <c r="PA1094" s="22"/>
      <c r="PB1094" s="22"/>
      <c r="PC1094" s="22"/>
      <c r="PD1094" s="22"/>
      <c r="PE1094" s="22"/>
      <c r="PF1094" s="22"/>
      <c r="PG1094" s="22"/>
      <c r="PH1094" s="22"/>
      <c r="PI1094" s="22"/>
      <c r="PJ1094" s="22"/>
      <c r="PK1094" s="22"/>
      <c r="PL1094" s="22"/>
      <c r="PM1094" s="22"/>
      <c r="PN1094" s="22"/>
      <c r="PO1094" s="22"/>
      <c r="PP1094" s="22"/>
      <c r="PQ1094" s="22"/>
      <c r="PR1094" s="22"/>
      <c r="PS1094" s="22"/>
      <c r="PT1094" s="22"/>
      <c r="PU1094" s="22"/>
      <c r="PV1094" s="22"/>
      <c r="PW1094" s="22"/>
      <c r="PX1094" s="22"/>
      <c r="PY1094" s="22"/>
      <c r="PZ1094" s="22"/>
      <c r="QA1094" s="22"/>
      <c r="QB1094" s="22"/>
      <c r="QC1094" s="22"/>
      <c r="QD1094" s="22"/>
      <c r="QE1094" s="22"/>
      <c r="QF1094" s="22"/>
      <c r="QG1094" s="22"/>
      <c r="QH1094" s="22"/>
      <c r="QI1094" s="22"/>
      <c r="QJ1094" s="22"/>
      <c r="QK1094" s="22"/>
      <c r="QL1094" s="22"/>
      <c r="QM1094" s="22"/>
      <c r="QN1094" s="22"/>
      <c r="QO1094" s="22"/>
      <c r="QP1094" s="22"/>
      <c r="QQ1094" s="22"/>
      <c r="QR1094" s="22"/>
      <c r="QS1094" s="22"/>
      <c r="QT1094" s="22"/>
      <c r="QU1094" s="22"/>
      <c r="QV1094" s="22"/>
      <c r="QW1094" s="22"/>
      <c r="QX1094" s="22"/>
      <c r="QY1094" s="22"/>
      <c r="QZ1094" s="22"/>
      <c r="RA1094" s="22"/>
      <c r="RB1094" s="22"/>
      <c r="RC1094" s="22"/>
      <c r="RD1094" s="22"/>
      <c r="RE1094" s="22"/>
      <c r="RF1094" s="22"/>
      <c r="RG1094" s="22"/>
      <c r="RH1094" s="22"/>
      <c r="RI1094" s="22"/>
      <c r="RJ1094" s="22"/>
      <c r="RK1094" s="22"/>
      <c r="RL1094" s="22"/>
      <c r="RM1094" s="22"/>
      <c r="RN1094" s="22"/>
      <c r="RO1094" s="22"/>
      <c r="RP1094" s="22"/>
      <c r="RQ1094" s="22"/>
      <c r="RR1094" s="22"/>
      <c r="RS1094" s="22"/>
      <c r="RT1094" s="22"/>
      <c r="RU1094" s="22"/>
      <c r="RV1094" s="22"/>
      <c r="RW1094" s="22"/>
      <c r="RX1094" s="22"/>
      <c r="RY1094" s="22"/>
      <c r="RZ1094" s="22"/>
      <c r="SA1094" s="22"/>
      <c r="SB1094" s="22"/>
      <c r="SC1094" s="22"/>
      <c r="SD1094" s="22"/>
      <c r="SE1094" s="22"/>
      <c r="SF1094" s="22"/>
      <c r="SG1094" s="22"/>
      <c r="SH1094" s="22"/>
      <c r="SI1094" s="22"/>
      <c r="SJ1094" s="22"/>
      <c r="SK1094" s="22"/>
      <c r="SL1094" s="22"/>
      <c r="SM1094" s="22"/>
      <c r="SN1094" s="22"/>
      <c r="SO1094" s="22"/>
      <c r="SP1094" s="22"/>
      <c r="SQ1094" s="22"/>
      <c r="SR1094" s="22"/>
      <c r="SS1094" s="22"/>
      <c r="ST1094" s="22"/>
      <c r="SU1094" s="22"/>
      <c r="SV1094" s="22"/>
      <c r="SW1094" s="22"/>
      <c r="SX1094" s="22"/>
      <c r="SY1094" s="22"/>
      <c r="SZ1094" s="22"/>
      <c r="TA1094" s="22"/>
      <c r="TB1094" s="22"/>
      <c r="TC1094" s="22"/>
      <c r="TD1094" s="22"/>
      <c r="TE1094" s="22"/>
      <c r="TF1094" s="22"/>
      <c r="TG1094" s="22"/>
      <c r="TH1094" s="22"/>
      <c r="TI1094" s="22"/>
      <c r="TJ1094" s="22"/>
      <c r="TK1094" s="22"/>
      <c r="TL1094" s="22"/>
      <c r="TM1094" s="22"/>
      <c r="TN1094" s="22"/>
      <c r="TO1094" s="22"/>
      <c r="TP1094" s="22"/>
      <c r="TQ1094" s="22"/>
      <c r="TR1094" s="22"/>
      <c r="TS1094" s="22"/>
      <c r="TT1094" s="22"/>
      <c r="TU1094" s="22"/>
      <c r="TV1094" s="22"/>
      <c r="TW1094" s="22"/>
      <c r="TX1094" s="22"/>
      <c r="TY1094" s="22"/>
      <c r="TZ1094" s="22"/>
      <c r="UA1094" s="22"/>
      <c r="UB1094" s="22"/>
      <c r="UC1094" s="22"/>
      <c r="UD1094" s="22"/>
      <c r="UE1094" s="22"/>
      <c r="UF1094" s="22"/>
      <c r="UG1094" s="23"/>
    </row>
    <row r="1095" spans="1:553" ht="184.5" customHeight="1">
      <c r="A1095" s="356"/>
      <c r="B1095" s="385"/>
      <c r="C1095" s="384" t="s">
        <v>23</v>
      </c>
      <c r="D1095" s="376" t="s">
        <v>20</v>
      </c>
      <c r="E1095" s="376" t="s">
        <v>630</v>
      </c>
      <c r="F1095" s="385">
        <v>1</v>
      </c>
      <c r="G1095" s="386" t="s">
        <v>935</v>
      </c>
      <c r="H1095" s="387">
        <v>61.4</v>
      </c>
      <c r="I1095" s="490">
        <v>61.4</v>
      </c>
      <c r="J1095" s="368">
        <v>62000</v>
      </c>
      <c r="K1095" s="391"/>
      <c r="L1095" s="480">
        <f t="shared" si="165"/>
        <v>3806800</v>
      </c>
      <c r="M1095" s="366"/>
      <c r="N1095" s="366"/>
      <c r="O1095" s="366"/>
      <c r="P1095" s="366"/>
      <c r="Q1095" s="761" t="s">
        <v>628</v>
      </c>
      <c r="R1095" s="1452"/>
      <c r="S1095" s="308"/>
      <c r="T1095" s="308"/>
      <c r="U1095" s="308"/>
      <c r="V1095" s="308"/>
      <c r="W1095" s="685">
        <f>I1095</f>
        <v>61.4</v>
      </c>
      <c r="X1095" s="308"/>
      <c r="Y1095" s="308"/>
      <c r="Z1095" s="604"/>
      <c r="AA1095" s="308"/>
      <c r="AB1095" s="308"/>
      <c r="AC1095" s="373"/>
      <c r="AD1095" s="373"/>
      <c r="AE1095" s="373"/>
      <c r="AF1095" s="373"/>
      <c r="AG1095" s="373"/>
      <c r="AH1095" s="373"/>
      <c r="AI1095" s="373"/>
      <c r="AJ1095" s="373"/>
      <c r="AK1095" s="389"/>
      <c r="AL1095" s="100"/>
      <c r="AM1095" s="27"/>
      <c r="AN1095" s="27"/>
      <c r="AO1095" s="27"/>
      <c r="AP1095" s="27"/>
      <c r="AQ1095" s="27"/>
      <c r="AR1095" s="27"/>
      <c r="AS1095" s="22"/>
      <c r="AT1095" s="22"/>
      <c r="AU1095" s="22"/>
      <c r="AV1095" s="22"/>
      <c r="AW1095" s="22"/>
      <c r="AX1095" s="22"/>
      <c r="AY1095" s="22"/>
      <c r="AZ1095" s="22"/>
      <c r="BA1095" s="22"/>
      <c r="BB1095" s="22"/>
      <c r="BC1095" s="22"/>
      <c r="BD1095" s="22"/>
      <c r="BE1095" s="22"/>
      <c r="BF1095" s="22"/>
      <c r="BG1095" s="22"/>
      <c r="BH1095" s="22"/>
      <c r="BI1095" s="22"/>
      <c r="BJ1095" s="22"/>
      <c r="BK1095" s="22"/>
      <c r="BL1095" s="22"/>
      <c r="BM1095" s="22"/>
      <c r="BN1095" s="22"/>
      <c r="BO1095" s="22"/>
      <c r="BP1095" s="22"/>
      <c r="BQ1095" s="22"/>
      <c r="BR1095" s="22"/>
      <c r="BS1095" s="22"/>
      <c r="BT1095" s="22"/>
      <c r="BU1095" s="22"/>
      <c r="BV1095" s="22"/>
      <c r="BW1095" s="22"/>
      <c r="BX1095" s="22"/>
      <c r="BY1095" s="22"/>
      <c r="BZ1095" s="22"/>
      <c r="CA1095" s="22"/>
      <c r="CB1095" s="22"/>
      <c r="CC1095" s="22"/>
      <c r="CD1095" s="22"/>
      <c r="CE1095" s="22"/>
      <c r="CF1095" s="22"/>
      <c r="CG1095" s="22"/>
      <c r="CH1095" s="22"/>
      <c r="CI1095" s="22"/>
      <c r="CJ1095" s="22"/>
      <c r="CK1095" s="22"/>
      <c r="CL1095" s="22"/>
      <c r="CM1095" s="22"/>
      <c r="CN1095" s="22"/>
      <c r="CO1095" s="22"/>
      <c r="CP1095" s="22"/>
      <c r="CQ1095" s="22"/>
      <c r="CR1095" s="22"/>
      <c r="CS1095" s="22"/>
      <c r="CT1095" s="22"/>
      <c r="CU1095" s="22"/>
      <c r="CV1095" s="22"/>
      <c r="CW1095" s="22"/>
      <c r="CX1095" s="22"/>
      <c r="CY1095" s="22"/>
      <c r="CZ1095" s="22"/>
      <c r="DA1095" s="22"/>
      <c r="DB1095" s="22"/>
      <c r="DC1095" s="22"/>
      <c r="DD1095" s="22"/>
      <c r="DE1095" s="22"/>
      <c r="DF1095" s="22"/>
      <c r="DG1095" s="22"/>
      <c r="DH1095" s="22"/>
      <c r="DI1095" s="22"/>
      <c r="DJ1095" s="22"/>
      <c r="DK1095" s="22"/>
      <c r="DL1095" s="22"/>
      <c r="DM1095" s="22"/>
      <c r="DN1095" s="22"/>
      <c r="DO1095" s="22"/>
      <c r="DP1095" s="22"/>
      <c r="DQ1095" s="22"/>
      <c r="DR1095" s="22"/>
      <c r="DS1095" s="22"/>
      <c r="DT1095" s="22"/>
      <c r="DU1095" s="22"/>
      <c r="DV1095" s="22"/>
      <c r="DW1095" s="22"/>
      <c r="DX1095" s="22"/>
      <c r="DY1095" s="22"/>
      <c r="DZ1095" s="22"/>
      <c r="EA1095" s="22"/>
      <c r="EB1095" s="22"/>
      <c r="EC1095" s="22"/>
      <c r="ED1095" s="22"/>
      <c r="EE1095" s="22"/>
      <c r="EF1095" s="22"/>
      <c r="EG1095" s="22"/>
      <c r="EH1095" s="22"/>
      <c r="EI1095" s="22"/>
      <c r="EJ1095" s="22"/>
      <c r="EK1095" s="22"/>
      <c r="EL1095" s="22"/>
      <c r="EM1095" s="22"/>
      <c r="EN1095" s="22"/>
      <c r="EO1095" s="22"/>
      <c r="EP1095" s="22"/>
      <c r="EQ1095" s="22"/>
      <c r="ER1095" s="22"/>
      <c r="ES1095" s="22"/>
      <c r="ET1095" s="22"/>
      <c r="EU1095" s="22"/>
      <c r="EV1095" s="22"/>
      <c r="EW1095" s="22"/>
      <c r="EX1095" s="22"/>
      <c r="EY1095" s="22"/>
      <c r="EZ1095" s="22"/>
      <c r="FA1095" s="22"/>
      <c r="FB1095" s="22"/>
      <c r="FC1095" s="22"/>
      <c r="FD1095" s="22"/>
      <c r="FE1095" s="22"/>
      <c r="FF1095" s="22"/>
      <c r="FG1095" s="22"/>
      <c r="FH1095" s="22"/>
      <c r="FI1095" s="22"/>
      <c r="FJ1095" s="22"/>
      <c r="FK1095" s="22"/>
      <c r="FL1095" s="22"/>
      <c r="FM1095" s="22"/>
      <c r="FN1095" s="22"/>
      <c r="FO1095" s="22"/>
      <c r="FP1095" s="22"/>
      <c r="FQ1095" s="22"/>
      <c r="FR1095" s="22"/>
      <c r="FS1095" s="22"/>
      <c r="FT1095" s="22"/>
      <c r="FU1095" s="22"/>
      <c r="FV1095" s="22"/>
      <c r="FW1095" s="22"/>
      <c r="FX1095" s="22"/>
      <c r="FY1095" s="22"/>
      <c r="FZ1095" s="22"/>
      <c r="GA1095" s="22"/>
      <c r="GB1095" s="22"/>
      <c r="GC1095" s="22"/>
      <c r="GD1095" s="22"/>
      <c r="GE1095" s="22"/>
      <c r="GF1095" s="22"/>
      <c r="GG1095" s="22"/>
      <c r="GH1095" s="22"/>
      <c r="GI1095" s="22"/>
      <c r="GJ1095" s="22"/>
      <c r="GK1095" s="22"/>
      <c r="GL1095" s="22"/>
      <c r="GM1095" s="22"/>
      <c r="GN1095" s="22"/>
      <c r="GO1095" s="22"/>
      <c r="GP1095" s="22"/>
      <c r="GQ1095" s="22"/>
      <c r="GR1095" s="22"/>
      <c r="GS1095" s="22"/>
      <c r="GT1095" s="22"/>
      <c r="GU1095" s="22"/>
      <c r="GV1095" s="22"/>
      <c r="GW1095" s="22"/>
      <c r="GX1095" s="22"/>
      <c r="GY1095" s="22"/>
      <c r="GZ1095" s="22"/>
      <c r="HA1095" s="22"/>
      <c r="HB1095" s="22"/>
      <c r="HC1095" s="22"/>
      <c r="HD1095" s="22"/>
      <c r="HE1095" s="22"/>
      <c r="HF1095" s="22"/>
      <c r="HG1095" s="22"/>
      <c r="HH1095" s="22"/>
      <c r="HI1095" s="22"/>
      <c r="HJ1095" s="22"/>
      <c r="HK1095" s="22"/>
      <c r="HL1095" s="22"/>
      <c r="HM1095" s="22"/>
      <c r="HN1095" s="22"/>
      <c r="HO1095" s="22"/>
      <c r="HP1095" s="22"/>
      <c r="HQ1095" s="22"/>
      <c r="HR1095" s="22"/>
      <c r="HS1095" s="22"/>
      <c r="HT1095" s="22"/>
      <c r="HU1095" s="22"/>
      <c r="HV1095" s="22"/>
      <c r="HW1095" s="22"/>
      <c r="HX1095" s="22"/>
      <c r="HY1095" s="22"/>
      <c r="HZ1095" s="22"/>
      <c r="IA1095" s="22"/>
      <c r="IB1095" s="22"/>
      <c r="IC1095" s="22"/>
      <c r="ID1095" s="22"/>
      <c r="IE1095" s="22"/>
      <c r="IF1095" s="22"/>
      <c r="IG1095" s="22"/>
      <c r="IH1095" s="22"/>
      <c r="II1095" s="22"/>
      <c r="IJ1095" s="22"/>
      <c r="IK1095" s="22"/>
      <c r="IL1095" s="22"/>
      <c r="IM1095" s="22"/>
      <c r="IN1095" s="22"/>
      <c r="IO1095" s="22"/>
      <c r="IP1095" s="22"/>
      <c r="IQ1095" s="22"/>
      <c r="IR1095" s="22"/>
      <c r="IS1095" s="22"/>
      <c r="IT1095" s="22"/>
      <c r="IU1095" s="22"/>
      <c r="IV1095" s="22"/>
      <c r="IW1095" s="22"/>
      <c r="IX1095" s="22"/>
      <c r="IY1095" s="22"/>
      <c r="IZ1095" s="22"/>
      <c r="JA1095" s="22"/>
      <c r="JB1095" s="22"/>
      <c r="JC1095" s="22"/>
      <c r="JD1095" s="22"/>
      <c r="JE1095" s="22"/>
      <c r="JF1095" s="22"/>
      <c r="JG1095" s="22"/>
      <c r="JH1095" s="22"/>
      <c r="JI1095" s="22"/>
      <c r="JJ1095" s="22"/>
      <c r="JK1095" s="22"/>
      <c r="JL1095" s="22"/>
      <c r="JM1095" s="22"/>
      <c r="JN1095" s="22"/>
      <c r="JO1095" s="22"/>
      <c r="JP1095" s="22"/>
      <c r="JQ1095" s="22"/>
      <c r="JR1095" s="22"/>
      <c r="JS1095" s="22"/>
      <c r="JT1095" s="22"/>
      <c r="JU1095" s="22"/>
      <c r="JV1095" s="22"/>
      <c r="JW1095" s="22"/>
      <c r="JX1095" s="22"/>
      <c r="JY1095" s="22"/>
      <c r="JZ1095" s="22"/>
      <c r="KA1095" s="22"/>
      <c r="KB1095" s="22"/>
      <c r="KC1095" s="22"/>
      <c r="KD1095" s="22"/>
      <c r="KE1095" s="22"/>
      <c r="KF1095" s="22"/>
      <c r="KG1095" s="22"/>
      <c r="KH1095" s="22"/>
      <c r="KI1095" s="22"/>
      <c r="KJ1095" s="22"/>
      <c r="KK1095" s="22"/>
      <c r="KL1095" s="22"/>
      <c r="KM1095" s="22"/>
      <c r="KN1095" s="22"/>
      <c r="KO1095" s="22"/>
      <c r="KP1095" s="22"/>
      <c r="KQ1095" s="22"/>
      <c r="KR1095" s="22"/>
      <c r="KS1095" s="22"/>
      <c r="KT1095" s="22"/>
      <c r="KU1095" s="22"/>
      <c r="KV1095" s="22"/>
      <c r="KW1095" s="22"/>
      <c r="KX1095" s="22"/>
      <c r="KY1095" s="22"/>
      <c r="KZ1095" s="22"/>
      <c r="LA1095" s="22"/>
      <c r="LB1095" s="22"/>
      <c r="LC1095" s="22"/>
      <c r="LD1095" s="22"/>
      <c r="LE1095" s="22"/>
      <c r="LF1095" s="22"/>
      <c r="LG1095" s="22"/>
      <c r="LH1095" s="22"/>
      <c r="LI1095" s="22"/>
      <c r="LJ1095" s="22"/>
      <c r="LK1095" s="22"/>
      <c r="LL1095" s="22"/>
      <c r="LM1095" s="22"/>
      <c r="LN1095" s="22"/>
      <c r="LO1095" s="22"/>
      <c r="LP1095" s="22"/>
      <c r="LQ1095" s="22"/>
      <c r="LR1095" s="22"/>
      <c r="LS1095" s="22"/>
      <c r="LT1095" s="22"/>
      <c r="LU1095" s="22"/>
      <c r="LV1095" s="22"/>
      <c r="LW1095" s="22"/>
      <c r="LX1095" s="22"/>
      <c r="LY1095" s="22"/>
      <c r="LZ1095" s="22"/>
      <c r="MA1095" s="22"/>
      <c r="MB1095" s="22"/>
      <c r="MC1095" s="22"/>
      <c r="MD1095" s="22"/>
      <c r="ME1095" s="22"/>
      <c r="MF1095" s="22"/>
      <c r="MG1095" s="22"/>
      <c r="MH1095" s="22"/>
      <c r="MI1095" s="22"/>
      <c r="MJ1095" s="22"/>
      <c r="MK1095" s="22"/>
      <c r="ML1095" s="22"/>
      <c r="MM1095" s="22"/>
      <c r="MN1095" s="22"/>
      <c r="MO1095" s="22"/>
      <c r="MP1095" s="22"/>
      <c r="MQ1095" s="22"/>
      <c r="MR1095" s="22"/>
      <c r="MS1095" s="22"/>
      <c r="MT1095" s="22"/>
      <c r="MU1095" s="22"/>
      <c r="MV1095" s="22"/>
      <c r="MW1095" s="22"/>
      <c r="MX1095" s="22"/>
      <c r="MY1095" s="22"/>
      <c r="MZ1095" s="22"/>
      <c r="NA1095" s="22"/>
      <c r="NB1095" s="22"/>
      <c r="NC1095" s="22"/>
      <c r="ND1095" s="22"/>
      <c r="NE1095" s="22"/>
      <c r="NF1095" s="22"/>
      <c r="NG1095" s="22"/>
      <c r="NH1095" s="22"/>
      <c r="NI1095" s="22"/>
      <c r="NJ1095" s="22"/>
      <c r="NK1095" s="22"/>
      <c r="NL1095" s="22"/>
      <c r="NM1095" s="22"/>
      <c r="NN1095" s="22"/>
      <c r="NO1095" s="22"/>
      <c r="NP1095" s="22"/>
      <c r="NQ1095" s="22"/>
      <c r="NR1095" s="22"/>
      <c r="NS1095" s="22"/>
      <c r="NT1095" s="22"/>
      <c r="NU1095" s="22"/>
      <c r="NV1095" s="22"/>
      <c r="NW1095" s="22"/>
      <c r="NX1095" s="22"/>
      <c r="NY1095" s="22"/>
      <c r="NZ1095" s="22"/>
      <c r="OA1095" s="22"/>
      <c r="OB1095" s="22"/>
      <c r="OC1095" s="22"/>
      <c r="OD1095" s="22"/>
      <c r="OE1095" s="22"/>
      <c r="OF1095" s="22"/>
      <c r="OG1095" s="22"/>
      <c r="OH1095" s="22"/>
      <c r="OI1095" s="22"/>
      <c r="OJ1095" s="22"/>
      <c r="OK1095" s="22"/>
      <c r="OL1095" s="22"/>
      <c r="OM1095" s="22"/>
      <c r="ON1095" s="22"/>
      <c r="OO1095" s="22"/>
      <c r="OP1095" s="22"/>
      <c r="OQ1095" s="22"/>
      <c r="OR1095" s="22"/>
      <c r="OS1095" s="22"/>
      <c r="OT1095" s="22"/>
      <c r="OU1095" s="22"/>
      <c r="OV1095" s="22"/>
      <c r="OW1095" s="22"/>
      <c r="OX1095" s="22"/>
      <c r="OY1095" s="22"/>
      <c r="OZ1095" s="22"/>
      <c r="PA1095" s="22"/>
      <c r="PB1095" s="22"/>
      <c r="PC1095" s="22"/>
      <c r="PD1095" s="22"/>
      <c r="PE1095" s="22"/>
      <c r="PF1095" s="22"/>
      <c r="PG1095" s="22"/>
      <c r="PH1095" s="22"/>
      <c r="PI1095" s="22"/>
      <c r="PJ1095" s="22"/>
      <c r="PK1095" s="22"/>
      <c r="PL1095" s="22"/>
      <c r="PM1095" s="22"/>
      <c r="PN1095" s="22"/>
      <c r="PO1095" s="22"/>
      <c r="PP1095" s="22"/>
      <c r="PQ1095" s="22"/>
      <c r="PR1095" s="22"/>
      <c r="PS1095" s="22"/>
      <c r="PT1095" s="22"/>
      <c r="PU1095" s="22"/>
      <c r="PV1095" s="22"/>
      <c r="PW1095" s="22"/>
      <c r="PX1095" s="22"/>
      <c r="PY1095" s="22"/>
      <c r="PZ1095" s="22"/>
      <c r="QA1095" s="22"/>
      <c r="QB1095" s="22"/>
      <c r="QC1095" s="22"/>
      <c r="QD1095" s="22"/>
      <c r="QE1095" s="22"/>
      <c r="QF1095" s="22"/>
      <c r="QG1095" s="22"/>
      <c r="QH1095" s="22"/>
      <c r="QI1095" s="22"/>
      <c r="QJ1095" s="22"/>
      <c r="QK1095" s="22"/>
      <c r="QL1095" s="22"/>
      <c r="QM1095" s="22"/>
      <c r="QN1095" s="22"/>
      <c r="QO1095" s="22"/>
      <c r="QP1095" s="22"/>
      <c r="QQ1095" s="22"/>
      <c r="QR1095" s="22"/>
      <c r="QS1095" s="22"/>
      <c r="QT1095" s="22"/>
      <c r="QU1095" s="22"/>
      <c r="QV1095" s="22"/>
      <c r="QW1095" s="22"/>
      <c r="QX1095" s="22"/>
      <c r="QY1095" s="22"/>
      <c r="QZ1095" s="22"/>
      <c r="RA1095" s="22"/>
      <c r="RB1095" s="22"/>
      <c r="RC1095" s="22"/>
      <c r="RD1095" s="22"/>
      <c r="RE1095" s="22"/>
      <c r="RF1095" s="22"/>
      <c r="RG1095" s="22"/>
      <c r="RH1095" s="22"/>
      <c r="RI1095" s="22"/>
      <c r="RJ1095" s="22"/>
      <c r="RK1095" s="22"/>
      <c r="RL1095" s="22"/>
      <c r="RM1095" s="22"/>
      <c r="RN1095" s="22"/>
      <c r="RO1095" s="22"/>
      <c r="RP1095" s="22"/>
      <c r="RQ1095" s="22"/>
      <c r="RR1095" s="22"/>
      <c r="RS1095" s="22"/>
      <c r="RT1095" s="22"/>
      <c r="RU1095" s="22"/>
      <c r="RV1095" s="22"/>
      <c r="RW1095" s="22"/>
      <c r="RX1095" s="22"/>
      <c r="RY1095" s="22"/>
      <c r="RZ1095" s="22"/>
      <c r="SA1095" s="22"/>
      <c r="SB1095" s="22"/>
      <c r="SC1095" s="22"/>
      <c r="SD1095" s="22"/>
      <c r="SE1095" s="22"/>
      <c r="SF1095" s="22"/>
      <c r="SG1095" s="22"/>
      <c r="SH1095" s="22"/>
      <c r="SI1095" s="22"/>
      <c r="SJ1095" s="22"/>
      <c r="SK1095" s="22"/>
      <c r="SL1095" s="22"/>
      <c r="SM1095" s="22"/>
      <c r="SN1095" s="22"/>
      <c r="SO1095" s="22"/>
      <c r="SP1095" s="22"/>
      <c r="SQ1095" s="22"/>
      <c r="SR1095" s="22"/>
      <c r="SS1095" s="22"/>
      <c r="ST1095" s="22"/>
      <c r="SU1095" s="22"/>
      <c r="SV1095" s="22"/>
      <c r="SW1095" s="22"/>
      <c r="SX1095" s="22"/>
      <c r="SY1095" s="22"/>
      <c r="SZ1095" s="22"/>
      <c r="TA1095" s="22"/>
      <c r="TB1095" s="22"/>
      <c r="TC1095" s="22"/>
      <c r="TD1095" s="22"/>
      <c r="TE1095" s="22"/>
      <c r="TF1095" s="22"/>
      <c r="TG1095" s="22"/>
      <c r="TH1095" s="22"/>
      <c r="TI1095" s="22"/>
      <c r="TJ1095" s="22"/>
      <c r="TK1095" s="22"/>
      <c r="TL1095" s="22"/>
      <c r="TM1095" s="22"/>
      <c r="TN1095" s="22"/>
      <c r="TO1095" s="22"/>
      <c r="TP1095" s="22"/>
      <c r="TQ1095" s="22"/>
      <c r="TR1095" s="22"/>
      <c r="TS1095" s="22"/>
      <c r="TT1095" s="22"/>
      <c r="TU1095" s="22"/>
      <c r="TV1095" s="22"/>
      <c r="TW1095" s="22"/>
      <c r="TX1095" s="22"/>
      <c r="TY1095" s="22"/>
      <c r="TZ1095" s="22"/>
      <c r="UA1095" s="22"/>
      <c r="UB1095" s="22"/>
      <c r="UC1095" s="22"/>
      <c r="UD1095" s="22"/>
      <c r="UE1095" s="22"/>
      <c r="UF1095" s="22"/>
      <c r="UG1095" s="23"/>
    </row>
    <row r="1096" spans="1:553" s="169" customFormat="1" ht="184.5" customHeight="1">
      <c r="A1096" s="445"/>
      <c r="B1096" s="376"/>
      <c r="C1096" s="390" t="s">
        <v>22</v>
      </c>
      <c r="D1096" s="376">
        <v>2</v>
      </c>
      <c r="E1096" s="376">
        <v>435</v>
      </c>
      <c r="F1096" s="376">
        <v>1</v>
      </c>
      <c r="G1096" s="417" t="s">
        <v>1303</v>
      </c>
      <c r="H1096" s="376">
        <v>88.5</v>
      </c>
      <c r="I1096" s="490">
        <v>88.5</v>
      </c>
      <c r="J1096" s="1061">
        <v>60000</v>
      </c>
      <c r="K1096" s="443"/>
      <c r="L1096" s="571">
        <f t="shared" si="165"/>
        <v>5310000</v>
      </c>
      <c r="M1096" s="418"/>
      <c r="N1096" s="418"/>
      <c r="O1096" s="418"/>
      <c r="P1096" s="418"/>
      <c r="Q1096" s="761" t="s">
        <v>631</v>
      </c>
      <c r="R1096" s="1452"/>
      <c r="S1096" s="308"/>
      <c r="T1096" s="308"/>
      <c r="U1096" s="308"/>
      <c r="V1096" s="308"/>
      <c r="W1096" s="308"/>
      <c r="X1096" s="308"/>
      <c r="Y1096" s="308"/>
      <c r="Z1096" s="604"/>
      <c r="AA1096" s="308"/>
      <c r="AB1096" s="685">
        <f>I1096</f>
        <v>88.5</v>
      </c>
      <c r="AC1096" s="448"/>
      <c r="AD1096" s="448"/>
      <c r="AE1096" s="448"/>
      <c r="AF1096" s="448"/>
      <c r="AG1096" s="448"/>
      <c r="AH1096" s="448"/>
      <c r="AI1096" s="448"/>
      <c r="AJ1096" s="448"/>
      <c r="AK1096" s="447"/>
      <c r="AL1096" s="895"/>
      <c r="AM1096" s="896"/>
      <c r="AN1096" s="896"/>
      <c r="AO1096" s="896"/>
      <c r="AP1096" s="896"/>
      <c r="AQ1096" s="896"/>
      <c r="AR1096" s="896"/>
      <c r="AS1096" s="897"/>
      <c r="AT1096" s="897"/>
      <c r="AU1096" s="897"/>
      <c r="AV1096" s="897"/>
      <c r="AW1096" s="897"/>
      <c r="AX1096" s="897"/>
      <c r="AY1096" s="897"/>
      <c r="AZ1096" s="897"/>
      <c r="BA1096" s="897"/>
      <c r="BB1096" s="897"/>
      <c r="BC1096" s="897"/>
      <c r="BD1096" s="897"/>
      <c r="BE1096" s="897"/>
      <c r="BF1096" s="897"/>
      <c r="BG1096" s="897"/>
      <c r="BH1096" s="897"/>
      <c r="BI1096" s="897"/>
      <c r="BJ1096" s="897"/>
      <c r="BK1096" s="897"/>
      <c r="BL1096" s="897"/>
      <c r="BM1096" s="897"/>
      <c r="BN1096" s="897"/>
      <c r="BO1096" s="897"/>
      <c r="BP1096" s="897"/>
      <c r="BQ1096" s="897"/>
      <c r="BR1096" s="897"/>
      <c r="BS1096" s="897"/>
      <c r="BT1096" s="897"/>
      <c r="BU1096" s="897"/>
      <c r="BV1096" s="897"/>
      <c r="BW1096" s="897"/>
      <c r="BX1096" s="897"/>
      <c r="BY1096" s="897"/>
      <c r="BZ1096" s="897"/>
      <c r="CA1096" s="897"/>
      <c r="CB1096" s="897"/>
      <c r="CC1096" s="897"/>
      <c r="CD1096" s="897"/>
      <c r="CE1096" s="897"/>
      <c r="CF1096" s="897"/>
      <c r="CG1096" s="897"/>
      <c r="CH1096" s="897"/>
      <c r="CI1096" s="897"/>
      <c r="CJ1096" s="897"/>
      <c r="CK1096" s="897"/>
      <c r="CL1096" s="897"/>
      <c r="CM1096" s="897"/>
      <c r="CN1096" s="897"/>
      <c r="CO1096" s="897"/>
      <c r="CP1096" s="897"/>
      <c r="CQ1096" s="897"/>
      <c r="CR1096" s="897"/>
      <c r="CS1096" s="897"/>
      <c r="CT1096" s="897"/>
      <c r="CU1096" s="897"/>
      <c r="CV1096" s="897"/>
      <c r="CW1096" s="897"/>
      <c r="CX1096" s="897"/>
      <c r="CY1096" s="897"/>
      <c r="CZ1096" s="897"/>
      <c r="DA1096" s="897"/>
      <c r="DB1096" s="897"/>
      <c r="DC1096" s="897"/>
      <c r="DD1096" s="897"/>
      <c r="DE1096" s="897"/>
      <c r="DF1096" s="897"/>
      <c r="DG1096" s="897"/>
      <c r="DH1096" s="897"/>
      <c r="DI1096" s="897"/>
      <c r="DJ1096" s="897"/>
      <c r="DK1096" s="897"/>
      <c r="DL1096" s="897"/>
      <c r="DM1096" s="897"/>
      <c r="DN1096" s="897"/>
      <c r="DO1096" s="897"/>
      <c r="DP1096" s="897"/>
      <c r="DQ1096" s="897"/>
      <c r="DR1096" s="897"/>
      <c r="DS1096" s="897"/>
      <c r="DT1096" s="897"/>
      <c r="DU1096" s="897"/>
      <c r="DV1096" s="897"/>
      <c r="DW1096" s="897"/>
      <c r="DX1096" s="897"/>
      <c r="DY1096" s="897"/>
      <c r="DZ1096" s="897"/>
      <c r="EA1096" s="897"/>
      <c r="EB1096" s="897"/>
      <c r="EC1096" s="897"/>
      <c r="ED1096" s="897"/>
      <c r="EE1096" s="897"/>
      <c r="EF1096" s="897"/>
      <c r="EG1096" s="897"/>
      <c r="EH1096" s="897"/>
      <c r="EI1096" s="897"/>
      <c r="EJ1096" s="897"/>
      <c r="EK1096" s="897"/>
      <c r="EL1096" s="897"/>
      <c r="EM1096" s="897"/>
      <c r="EN1096" s="897"/>
      <c r="EO1096" s="897"/>
      <c r="EP1096" s="897"/>
      <c r="EQ1096" s="897"/>
      <c r="ER1096" s="897"/>
      <c r="ES1096" s="897"/>
      <c r="ET1096" s="897"/>
      <c r="EU1096" s="897"/>
      <c r="EV1096" s="897"/>
      <c r="EW1096" s="897"/>
      <c r="EX1096" s="897"/>
      <c r="EY1096" s="897"/>
      <c r="EZ1096" s="897"/>
      <c r="FA1096" s="897"/>
      <c r="FB1096" s="897"/>
      <c r="FC1096" s="897"/>
      <c r="FD1096" s="897"/>
      <c r="FE1096" s="897"/>
      <c r="FF1096" s="897"/>
      <c r="FG1096" s="897"/>
      <c r="FH1096" s="897"/>
      <c r="FI1096" s="897"/>
      <c r="FJ1096" s="897"/>
      <c r="FK1096" s="897"/>
      <c r="FL1096" s="897"/>
      <c r="FM1096" s="897"/>
      <c r="FN1096" s="897"/>
      <c r="FO1096" s="897"/>
      <c r="FP1096" s="897"/>
      <c r="FQ1096" s="897"/>
      <c r="FR1096" s="897"/>
      <c r="FS1096" s="897"/>
      <c r="FT1096" s="897"/>
      <c r="FU1096" s="897"/>
      <c r="FV1096" s="897"/>
      <c r="FW1096" s="897"/>
      <c r="FX1096" s="897"/>
      <c r="FY1096" s="897"/>
      <c r="FZ1096" s="897"/>
      <c r="GA1096" s="897"/>
      <c r="GB1096" s="897"/>
      <c r="GC1096" s="897"/>
      <c r="GD1096" s="897"/>
      <c r="GE1096" s="897"/>
      <c r="GF1096" s="897"/>
      <c r="GG1096" s="897"/>
      <c r="GH1096" s="897"/>
      <c r="GI1096" s="897"/>
      <c r="GJ1096" s="897"/>
      <c r="GK1096" s="897"/>
      <c r="GL1096" s="897"/>
      <c r="GM1096" s="897"/>
      <c r="GN1096" s="897"/>
      <c r="GO1096" s="897"/>
      <c r="GP1096" s="897"/>
      <c r="GQ1096" s="897"/>
      <c r="GR1096" s="897"/>
      <c r="GS1096" s="897"/>
      <c r="GT1096" s="897"/>
      <c r="GU1096" s="897"/>
      <c r="GV1096" s="897"/>
      <c r="GW1096" s="897"/>
      <c r="GX1096" s="897"/>
      <c r="GY1096" s="897"/>
      <c r="GZ1096" s="897"/>
      <c r="HA1096" s="897"/>
      <c r="HB1096" s="897"/>
      <c r="HC1096" s="897"/>
      <c r="HD1096" s="897"/>
      <c r="HE1096" s="897"/>
      <c r="HF1096" s="897"/>
      <c r="HG1096" s="897"/>
      <c r="HH1096" s="897"/>
      <c r="HI1096" s="897"/>
      <c r="HJ1096" s="897"/>
      <c r="HK1096" s="897"/>
      <c r="HL1096" s="897"/>
      <c r="HM1096" s="897"/>
      <c r="HN1096" s="897"/>
      <c r="HO1096" s="897"/>
      <c r="HP1096" s="897"/>
      <c r="HQ1096" s="897"/>
      <c r="HR1096" s="897"/>
      <c r="HS1096" s="897"/>
      <c r="HT1096" s="897"/>
      <c r="HU1096" s="897"/>
      <c r="HV1096" s="897"/>
      <c r="HW1096" s="897"/>
      <c r="HX1096" s="897"/>
      <c r="HY1096" s="897"/>
      <c r="HZ1096" s="897"/>
      <c r="IA1096" s="897"/>
      <c r="IB1096" s="897"/>
      <c r="IC1096" s="897"/>
      <c r="ID1096" s="897"/>
      <c r="IE1096" s="897"/>
      <c r="IF1096" s="897"/>
      <c r="IG1096" s="897"/>
      <c r="IH1096" s="897"/>
      <c r="II1096" s="897"/>
      <c r="IJ1096" s="897"/>
      <c r="IK1096" s="897"/>
      <c r="IL1096" s="897"/>
      <c r="IM1096" s="897"/>
      <c r="IN1096" s="897"/>
      <c r="IO1096" s="897"/>
      <c r="IP1096" s="897"/>
      <c r="IQ1096" s="897"/>
      <c r="IR1096" s="897"/>
      <c r="IS1096" s="897"/>
      <c r="IT1096" s="897"/>
      <c r="IU1096" s="897"/>
      <c r="IV1096" s="897"/>
      <c r="IW1096" s="897"/>
      <c r="IX1096" s="897"/>
      <c r="IY1096" s="897"/>
      <c r="IZ1096" s="897"/>
      <c r="JA1096" s="897"/>
      <c r="JB1096" s="897"/>
      <c r="JC1096" s="897"/>
      <c r="JD1096" s="897"/>
      <c r="JE1096" s="897"/>
      <c r="JF1096" s="897"/>
      <c r="JG1096" s="897"/>
      <c r="JH1096" s="897"/>
      <c r="JI1096" s="897"/>
      <c r="JJ1096" s="897"/>
      <c r="JK1096" s="897"/>
      <c r="JL1096" s="897"/>
      <c r="JM1096" s="897"/>
      <c r="JN1096" s="897"/>
      <c r="JO1096" s="897"/>
      <c r="JP1096" s="897"/>
      <c r="JQ1096" s="897"/>
      <c r="JR1096" s="897"/>
      <c r="JS1096" s="897"/>
      <c r="JT1096" s="897"/>
      <c r="JU1096" s="897"/>
      <c r="JV1096" s="897"/>
      <c r="JW1096" s="897"/>
      <c r="JX1096" s="897"/>
      <c r="JY1096" s="897"/>
      <c r="JZ1096" s="897"/>
      <c r="KA1096" s="897"/>
      <c r="KB1096" s="897"/>
      <c r="KC1096" s="897"/>
      <c r="KD1096" s="897"/>
      <c r="KE1096" s="897"/>
      <c r="KF1096" s="897"/>
      <c r="KG1096" s="897"/>
      <c r="KH1096" s="897"/>
      <c r="KI1096" s="897"/>
      <c r="KJ1096" s="897"/>
      <c r="KK1096" s="897"/>
      <c r="KL1096" s="897"/>
      <c r="KM1096" s="897"/>
      <c r="KN1096" s="897"/>
      <c r="KO1096" s="897"/>
      <c r="KP1096" s="897"/>
      <c r="KQ1096" s="897"/>
      <c r="KR1096" s="897"/>
      <c r="KS1096" s="897"/>
      <c r="KT1096" s="897"/>
      <c r="KU1096" s="897"/>
      <c r="KV1096" s="897"/>
      <c r="KW1096" s="897"/>
      <c r="KX1096" s="897"/>
      <c r="KY1096" s="897"/>
      <c r="KZ1096" s="897"/>
      <c r="LA1096" s="897"/>
      <c r="LB1096" s="897"/>
      <c r="LC1096" s="897"/>
      <c r="LD1096" s="897"/>
      <c r="LE1096" s="897"/>
      <c r="LF1096" s="897"/>
      <c r="LG1096" s="897"/>
      <c r="LH1096" s="897"/>
      <c r="LI1096" s="897"/>
      <c r="LJ1096" s="897"/>
      <c r="LK1096" s="897"/>
      <c r="LL1096" s="897"/>
      <c r="LM1096" s="897"/>
      <c r="LN1096" s="897"/>
      <c r="LO1096" s="897"/>
      <c r="LP1096" s="897"/>
      <c r="LQ1096" s="897"/>
      <c r="LR1096" s="897"/>
      <c r="LS1096" s="897"/>
      <c r="LT1096" s="897"/>
      <c r="LU1096" s="897"/>
      <c r="LV1096" s="897"/>
      <c r="LW1096" s="897"/>
      <c r="LX1096" s="897"/>
      <c r="LY1096" s="897"/>
      <c r="LZ1096" s="897"/>
      <c r="MA1096" s="897"/>
      <c r="MB1096" s="897"/>
      <c r="MC1096" s="897"/>
      <c r="MD1096" s="897"/>
      <c r="ME1096" s="897"/>
      <c r="MF1096" s="897"/>
      <c r="MG1096" s="897"/>
      <c r="MH1096" s="897"/>
      <c r="MI1096" s="897"/>
      <c r="MJ1096" s="897"/>
      <c r="MK1096" s="897"/>
      <c r="ML1096" s="897"/>
      <c r="MM1096" s="897"/>
      <c r="MN1096" s="897"/>
      <c r="MO1096" s="897"/>
      <c r="MP1096" s="897"/>
      <c r="MQ1096" s="897"/>
      <c r="MR1096" s="897"/>
      <c r="MS1096" s="897"/>
      <c r="MT1096" s="897"/>
      <c r="MU1096" s="897"/>
      <c r="MV1096" s="897"/>
      <c r="MW1096" s="897"/>
      <c r="MX1096" s="897"/>
      <c r="MY1096" s="897"/>
      <c r="MZ1096" s="897"/>
      <c r="NA1096" s="897"/>
      <c r="NB1096" s="897"/>
      <c r="NC1096" s="897"/>
      <c r="ND1096" s="897"/>
      <c r="NE1096" s="897"/>
      <c r="NF1096" s="897"/>
      <c r="NG1096" s="897"/>
      <c r="NH1096" s="897"/>
      <c r="NI1096" s="897"/>
      <c r="NJ1096" s="897"/>
      <c r="NK1096" s="897"/>
      <c r="NL1096" s="897"/>
      <c r="NM1096" s="897"/>
      <c r="NN1096" s="897"/>
      <c r="NO1096" s="897"/>
      <c r="NP1096" s="897"/>
      <c r="NQ1096" s="897"/>
      <c r="NR1096" s="897"/>
      <c r="NS1096" s="897"/>
      <c r="NT1096" s="897"/>
      <c r="NU1096" s="897"/>
      <c r="NV1096" s="897"/>
      <c r="NW1096" s="897"/>
      <c r="NX1096" s="897"/>
      <c r="NY1096" s="897"/>
      <c r="NZ1096" s="897"/>
      <c r="OA1096" s="897"/>
      <c r="OB1096" s="897"/>
      <c r="OC1096" s="897"/>
      <c r="OD1096" s="897"/>
      <c r="OE1096" s="897"/>
      <c r="OF1096" s="897"/>
      <c r="OG1096" s="897"/>
      <c r="OH1096" s="897"/>
      <c r="OI1096" s="897"/>
      <c r="OJ1096" s="897"/>
      <c r="OK1096" s="897"/>
      <c r="OL1096" s="897"/>
      <c r="OM1096" s="897"/>
      <c r="ON1096" s="897"/>
      <c r="OO1096" s="897"/>
      <c r="OP1096" s="897"/>
      <c r="OQ1096" s="897"/>
      <c r="OR1096" s="897"/>
      <c r="OS1096" s="897"/>
      <c r="OT1096" s="897"/>
      <c r="OU1096" s="897"/>
      <c r="OV1096" s="897"/>
      <c r="OW1096" s="897"/>
      <c r="OX1096" s="897"/>
      <c r="OY1096" s="897"/>
      <c r="OZ1096" s="897"/>
      <c r="PA1096" s="897"/>
      <c r="PB1096" s="897"/>
      <c r="PC1096" s="897"/>
      <c r="PD1096" s="897"/>
      <c r="PE1096" s="897"/>
      <c r="PF1096" s="897"/>
      <c r="PG1096" s="897"/>
      <c r="PH1096" s="897"/>
      <c r="PI1096" s="897"/>
      <c r="PJ1096" s="897"/>
      <c r="PK1096" s="897"/>
      <c r="PL1096" s="897"/>
      <c r="PM1096" s="897"/>
      <c r="PN1096" s="897"/>
      <c r="PO1096" s="897"/>
      <c r="PP1096" s="897"/>
      <c r="PQ1096" s="897"/>
      <c r="PR1096" s="897"/>
      <c r="PS1096" s="897"/>
      <c r="PT1096" s="897"/>
      <c r="PU1096" s="897"/>
      <c r="PV1096" s="897"/>
      <c r="PW1096" s="897"/>
      <c r="PX1096" s="897"/>
      <c r="PY1096" s="897"/>
      <c r="PZ1096" s="897"/>
      <c r="QA1096" s="897"/>
      <c r="QB1096" s="897"/>
      <c r="QC1096" s="897"/>
      <c r="QD1096" s="897"/>
      <c r="QE1096" s="897"/>
      <c r="QF1096" s="897"/>
      <c r="QG1096" s="897"/>
      <c r="QH1096" s="897"/>
      <c r="QI1096" s="897"/>
      <c r="QJ1096" s="897"/>
      <c r="QK1096" s="897"/>
      <c r="QL1096" s="897"/>
      <c r="QM1096" s="897"/>
      <c r="QN1096" s="897"/>
      <c r="QO1096" s="897"/>
      <c r="QP1096" s="897"/>
      <c r="QQ1096" s="897"/>
      <c r="QR1096" s="897"/>
      <c r="QS1096" s="897"/>
      <c r="QT1096" s="897"/>
      <c r="QU1096" s="897"/>
      <c r="QV1096" s="897"/>
      <c r="QW1096" s="897"/>
      <c r="QX1096" s="897"/>
      <c r="QY1096" s="897"/>
      <c r="QZ1096" s="897"/>
      <c r="RA1096" s="897"/>
      <c r="RB1096" s="897"/>
      <c r="RC1096" s="897"/>
      <c r="RD1096" s="897"/>
      <c r="RE1096" s="897"/>
      <c r="RF1096" s="897"/>
      <c r="RG1096" s="897"/>
      <c r="RH1096" s="897"/>
      <c r="RI1096" s="897"/>
      <c r="RJ1096" s="897"/>
      <c r="RK1096" s="897"/>
      <c r="RL1096" s="897"/>
      <c r="RM1096" s="897"/>
      <c r="RN1096" s="897"/>
      <c r="RO1096" s="897"/>
      <c r="RP1096" s="897"/>
      <c r="RQ1096" s="897"/>
      <c r="RR1096" s="897"/>
      <c r="RS1096" s="897"/>
      <c r="RT1096" s="897"/>
      <c r="RU1096" s="897"/>
      <c r="RV1096" s="897"/>
      <c r="RW1096" s="897"/>
      <c r="RX1096" s="897"/>
      <c r="RY1096" s="897"/>
      <c r="RZ1096" s="897"/>
      <c r="SA1096" s="897"/>
      <c r="SB1096" s="897"/>
      <c r="SC1096" s="897"/>
      <c r="SD1096" s="897"/>
      <c r="SE1096" s="897"/>
      <c r="SF1096" s="897"/>
      <c r="SG1096" s="897"/>
      <c r="SH1096" s="897"/>
      <c r="SI1096" s="897"/>
      <c r="SJ1096" s="897"/>
      <c r="SK1096" s="897"/>
      <c r="SL1096" s="897"/>
      <c r="SM1096" s="897"/>
      <c r="SN1096" s="897"/>
      <c r="SO1096" s="897"/>
      <c r="SP1096" s="897"/>
      <c r="SQ1096" s="897"/>
      <c r="SR1096" s="897"/>
      <c r="SS1096" s="897"/>
      <c r="ST1096" s="897"/>
      <c r="SU1096" s="897"/>
      <c r="SV1096" s="897"/>
      <c r="SW1096" s="897"/>
      <c r="SX1096" s="897"/>
      <c r="SY1096" s="897"/>
      <c r="SZ1096" s="897"/>
      <c r="TA1096" s="897"/>
      <c r="TB1096" s="897"/>
      <c r="TC1096" s="897"/>
      <c r="TD1096" s="897"/>
      <c r="TE1096" s="897"/>
      <c r="TF1096" s="897"/>
      <c r="TG1096" s="897"/>
      <c r="TH1096" s="897"/>
      <c r="TI1096" s="897"/>
      <c r="TJ1096" s="897"/>
      <c r="TK1096" s="897"/>
      <c r="TL1096" s="897"/>
      <c r="TM1096" s="897"/>
      <c r="TN1096" s="897"/>
      <c r="TO1096" s="897"/>
      <c r="TP1096" s="897"/>
      <c r="TQ1096" s="897"/>
      <c r="TR1096" s="897"/>
      <c r="TS1096" s="897"/>
      <c r="TT1096" s="897"/>
      <c r="TU1096" s="897"/>
      <c r="TV1096" s="897"/>
      <c r="TW1096" s="897"/>
      <c r="TX1096" s="897"/>
      <c r="TY1096" s="897"/>
      <c r="TZ1096" s="897"/>
      <c r="UA1096" s="897"/>
      <c r="UB1096" s="897"/>
      <c r="UC1096" s="897"/>
      <c r="UD1096" s="897"/>
      <c r="UE1096" s="897"/>
      <c r="UF1096" s="897"/>
      <c r="UG1096" s="898"/>
    </row>
    <row r="1097" spans="1:553" ht="78" customHeight="1">
      <c r="A1097" s="356" t="s">
        <v>27</v>
      </c>
      <c r="B1097" s="356"/>
      <c r="C1097" s="1431" t="s">
        <v>28</v>
      </c>
      <c r="D1097" s="1389"/>
      <c r="E1097" s="1389"/>
      <c r="F1097" s="1390"/>
      <c r="G1097" s="356"/>
      <c r="H1097" s="359"/>
      <c r="I1097" s="359"/>
      <c r="J1097" s="357"/>
      <c r="K1097" s="364"/>
      <c r="L1097" s="356">
        <f>SUM(L1099:L1144)</f>
        <v>420444461.93352008</v>
      </c>
      <c r="M1097" s="356"/>
      <c r="N1097" s="356"/>
      <c r="O1097" s="356"/>
      <c r="P1097" s="356">
        <f>L1097</f>
        <v>420444461.93352008</v>
      </c>
      <c r="Q1097" s="610"/>
      <c r="R1097" s="1236" t="s">
        <v>1401</v>
      </c>
      <c r="S1097" s="308"/>
      <c r="T1097" s="308"/>
      <c r="U1097" s="308"/>
      <c r="V1097" s="308"/>
      <c r="W1097" s="308"/>
      <c r="X1097" s="308"/>
      <c r="Y1097" s="308"/>
      <c r="Z1097" s="604"/>
      <c r="AA1097" s="308"/>
      <c r="AB1097" s="308"/>
      <c r="AC1097" s="365"/>
      <c r="AD1097" s="365"/>
      <c r="AE1097" s="365"/>
      <c r="AF1097" s="365"/>
      <c r="AG1097" s="365"/>
      <c r="AH1097" s="365"/>
      <c r="AI1097" s="365"/>
      <c r="AJ1097" s="365"/>
      <c r="AK1097" s="377"/>
      <c r="AL1097" s="343"/>
      <c r="AM1097" s="24"/>
      <c r="AN1097" s="24"/>
      <c r="AO1097" s="24"/>
      <c r="AP1097" s="24"/>
      <c r="AQ1097" s="24"/>
      <c r="AR1097" s="24"/>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c r="BM1097" s="18"/>
      <c r="BN1097" s="18"/>
      <c r="BO1097" s="18"/>
      <c r="BP1097" s="18"/>
      <c r="BQ1097" s="18"/>
      <c r="BR1097" s="18"/>
      <c r="BS1097" s="18"/>
      <c r="BT1097" s="18"/>
      <c r="BU1097" s="18"/>
      <c r="BV1097" s="18"/>
      <c r="BW1097" s="18"/>
      <c r="BX1097" s="18"/>
      <c r="BY1097" s="18"/>
      <c r="BZ1097" s="18"/>
      <c r="CA1097" s="18"/>
      <c r="CB1097" s="18"/>
      <c r="CC1097" s="18"/>
      <c r="CD1097" s="18"/>
      <c r="CE1097" s="18"/>
      <c r="CF1097" s="18"/>
      <c r="CG1097" s="18"/>
      <c r="CH1097" s="18"/>
      <c r="CI1097" s="18"/>
      <c r="CJ1097" s="18"/>
      <c r="CK1097" s="18"/>
      <c r="CL1097" s="18"/>
      <c r="CM1097" s="18"/>
      <c r="CN1097" s="18"/>
      <c r="CO1097" s="18"/>
      <c r="CP1097" s="18"/>
      <c r="CQ1097" s="18"/>
      <c r="CR1097" s="18"/>
      <c r="CS1097" s="18"/>
      <c r="CT1097" s="18"/>
      <c r="CU1097" s="18"/>
      <c r="CV1097" s="18"/>
      <c r="CW1097" s="18"/>
      <c r="CX1097" s="18"/>
      <c r="CY1097" s="18"/>
      <c r="CZ1097" s="18"/>
      <c r="DA1097" s="18"/>
      <c r="DB1097" s="18"/>
      <c r="DC1097" s="18"/>
      <c r="DD1097" s="18"/>
      <c r="DE1097" s="18"/>
      <c r="DF1097" s="18"/>
      <c r="DG1097" s="18"/>
      <c r="DH1097" s="18"/>
      <c r="DI1097" s="18"/>
      <c r="DJ1097" s="18"/>
      <c r="DK1097" s="18"/>
      <c r="DL1097" s="18"/>
      <c r="DM1097" s="18"/>
      <c r="DN1097" s="18"/>
      <c r="DO1097" s="18"/>
      <c r="DP1097" s="18"/>
      <c r="DQ1097" s="18"/>
      <c r="DR1097" s="18"/>
      <c r="DS1097" s="18"/>
      <c r="DT1097" s="18"/>
      <c r="DU1097" s="18"/>
      <c r="DV1097" s="18"/>
      <c r="DW1097" s="18"/>
      <c r="DX1097" s="18"/>
      <c r="DY1097" s="18"/>
      <c r="DZ1097" s="18"/>
      <c r="EA1097" s="18"/>
      <c r="EB1097" s="18"/>
      <c r="EC1097" s="18"/>
      <c r="ED1097" s="18"/>
      <c r="EE1097" s="18"/>
      <c r="EF1097" s="18"/>
      <c r="EG1097" s="18"/>
      <c r="EH1097" s="18"/>
      <c r="EI1097" s="18"/>
      <c r="EJ1097" s="18"/>
      <c r="EK1097" s="18"/>
      <c r="EL1097" s="18"/>
      <c r="EM1097" s="18"/>
      <c r="EN1097" s="18"/>
      <c r="EO1097" s="18"/>
      <c r="EP1097" s="18"/>
      <c r="EQ1097" s="18"/>
      <c r="ER1097" s="18"/>
      <c r="ES1097" s="18"/>
      <c r="ET1097" s="18"/>
      <c r="EU1097" s="18"/>
      <c r="EV1097" s="18"/>
      <c r="EW1097" s="18"/>
      <c r="EX1097" s="18"/>
      <c r="EY1097" s="18"/>
      <c r="EZ1097" s="18"/>
      <c r="FA1097" s="18"/>
      <c r="FB1097" s="18"/>
      <c r="FC1097" s="18"/>
      <c r="FD1097" s="18"/>
      <c r="FE1097" s="18"/>
      <c r="FF1097" s="18"/>
      <c r="FG1097" s="18"/>
      <c r="FH1097" s="18"/>
      <c r="FI1097" s="18"/>
      <c r="FJ1097" s="18"/>
      <c r="FK1097" s="18"/>
      <c r="FL1097" s="18"/>
      <c r="FM1097" s="18"/>
      <c r="FN1097" s="18"/>
      <c r="FO1097" s="18"/>
      <c r="FP1097" s="18"/>
      <c r="FQ1097" s="18"/>
      <c r="FR1097" s="18"/>
      <c r="FS1097" s="18"/>
      <c r="FT1097" s="18"/>
      <c r="FU1097" s="18"/>
      <c r="FV1097" s="18"/>
      <c r="FW1097" s="18"/>
      <c r="FX1097" s="18"/>
      <c r="FY1097" s="18"/>
      <c r="FZ1097" s="18"/>
      <c r="GA1097" s="18"/>
      <c r="GB1097" s="18"/>
      <c r="GC1097" s="18"/>
      <c r="GD1097" s="18"/>
      <c r="GE1097" s="18"/>
      <c r="GF1097" s="18"/>
      <c r="GG1097" s="18"/>
      <c r="GH1097" s="18"/>
      <c r="GI1097" s="18"/>
      <c r="GJ1097" s="18"/>
      <c r="GK1097" s="18"/>
      <c r="GL1097" s="18"/>
      <c r="GM1097" s="18"/>
      <c r="GN1097" s="18"/>
      <c r="GO1097" s="18"/>
      <c r="GP1097" s="18"/>
      <c r="GQ1097" s="18"/>
      <c r="GR1097" s="18"/>
      <c r="GS1097" s="18"/>
      <c r="GT1097" s="18"/>
      <c r="GU1097" s="18"/>
      <c r="GV1097" s="18"/>
      <c r="GW1097" s="18"/>
      <c r="GX1097" s="18"/>
      <c r="GY1097" s="18"/>
      <c r="GZ1097" s="18"/>
      <c r="HA1097" s="18"/>
      <c r="HB1097" s="18"/>
      <c r="HC1097" s="18"/>
      <c r="HD1097" s="18"/>
      <c r="HE1097" s="18"/>
      <c r="HF1097" s="18"/>
      <c r="HG1097" s="18"/>
      <c r="HH1097" s="18"/>
      <c r="HI1097" s="18"/>
      <c r="HJ1097" s="18"/>
      <c r="HK1097" s="18"/>
      <c r="HL1097" s="18"/>
      <c r="HM1097" s="18"/>
      <c r="HN1097" s="18"/>
      <c r="HO1097" s="18"/>
      <c r="HP1097" s="18"/>
      <c r="HQ1097" s="18"/>
      <c r="HR1097" s="18"/>
      <c r="HS1097" s="18"/>
      <c r="HT1097" s="18"/>
      <c r="HU1097" s="18"/>
      <c r="HV1097" s="18"/>
      <c r="HW1097" s="18"/>
      <c r="HX1097" s="18"/>
      <c r="HY1097" s="18"/>
      <c r="HZ1097" s="18"/>
      <c r="IA1097" s="18"/>
      <c r="IB1097" s="18"/>
      <c r="IC1097" s="18"/>
      <c r="ID1097" s="18"/>
      <c r="IE1097" s="18"/>
      <c r="IF1097" s="18"/>
      <c r="IG1097" s="18"/>
      <c r="IH1097" s="18"/>
      <c r="II1097" s="18"/>
      <c r="IJ1097" s="18"/>
      <c r="IK1097" s="18"/>
      <c r="IL1097" s="18"/>
      <c r="IM1097" s="18"/>
      <c r="IN1097" s="18"/>
      <c r="IO1097" s="18"/>
      <c r="IP1097" s="18"/>
      <c r="IQ1097" s="18"/>
      <c r="IR1097" s="18"/>
      <c r="IS1097" s="18"/>
      <c r="IT1097" s="18"/>
      <c r="IU1097" s="18"/>
      <c r="IV1097" s="18"/>
      <c r="IW1097" s="18"/>
      <c r="IX1097" s="18"/>
      <c r="IY1097" s="18"/>
      <c r="IZ1097" s="18"/>
      <c r="JA1097" s="18"/>
      <c r="JB1097" s="18"/>
      <c r="JC1097" s="18"/>
      <c r="JD1097" s="18"/>
      <c r="JE1097" s="18"/>
      <c r="JF1097" s="18"/>
      <c r="JG1097" s="18"/>
      <c r="JH1097" s="18"/>
      <c r="JI1097" s="18"/>
      <c r="JJ1097" s="18"/>
      <c r="JK1097" s="18"/>
      <c r="JL1097" s="18"/>
      <c r="JM1097" s="18"/>
      <c r="JN1097" s="18"/>
      <c r="JO1097" s="18"/>
      <c r="JP1097" s="18"/>
      <c r="JQ1097" s="18"/>
      <c r="JR1097" s="18"/>
      <c r="JS1097" s="18"/>
      <c r="JT1097" s="18"/>
      <c r="JU1097" s="18"/>
      <c r="JV1097" s="18"/>
      <c r="JW1097" s="18"/>
      <c r="JX1097" s="18"/>
      <c r="JY1097" s="18"/>
      <c r="JZ1097" s="18"/>
      <c r="KA1097" s="18"/>
      <c r="KB1097" s="18"/>
      <c r="KC1097" s="18"/>
      <c r="KD1097" s="18"/>
      <c r="KE1097" s="18"/>
      <c r="KF1097" s="18"/>
      <c r="KG1097" s="18"/>
      <c r="KH1097" s="18"/>
      <c r="KI1097" s="18"/>
      <c r="KJ1097" s="18"/>
      <c r="KK1097" s="18"/>
      <c r="KL1097" s="18"/>
      <c r="KM1097" s="18"/>
      <c r="KN1097" s="18"/>
      <c r="KO1097" s="18"/>
      <c r="KP1097" s="18"/>
      <c r="KQ1097" s="18"/>
      <c r="KR1097" s="18"/>
      <c r="KS1097" s="18"/>
      <c r="KT1097" s="18"/>
      <c r="KU1097" s="18"/>
      <c r="KV1097" s="18"/>
      <c r="KW1097" s="18"/>
      <c r="KX1097" s="18"/>
      <c r="KY1097" s="18"/>
      <c r="KZ1097" s="18"/>
      <c r="LA1097" s="18"/>
      <c r="LB1097" s="18"/>
      <c r="LC1097" s="18"/>
      <c r="LD1097" s="18"/>
      <c r="LE1097" s="18"/>
      <c r="LF1097" s="18"/>
      <c r="LG1097" s="18"/>
      <c r="LH1097" s="18"/>
      <c r="LI1097" s="18"/>
      <c r="LJ1097" s="18"/>
      <c r="LK1097" s="18"/>
      <c r="LL1097" s="18"/>
      <c r="LM1097" s="18"/>
      <c r="LN1097" s="18"/>
      <c r="LO1097" s="18"/>
      <c r="LP1097" s="18"/>
      <c r="LQ1097" s="18"/>
      <c r="LR1097" s="18"/>
      <c r="LS1097" s="18"/>
      <c r="LT1097" s="18"/>
      <c r="LU1097" s="18"/>
      <c r="LV1097" s="18"/>
      <c r="LW1097" s="18"/>
      <c r="LX1097" s="18"/>
      <c r="LY1097" s="18"/>
      <c r="LZ1097" s="18"/>
      <c r="MA1097" s="18"/>
      <c r="MB1097" s="18"/>
      <c r="MC1097" s="18"/>
      <c r="MD1097" s="18"/>
      <c r="ME1097" s="18"/>
      <c r="MF1097" s="18"/>
      <c r="MG1097" s="18"/>
      <c r="MH1097" s="18"/>
      <c r="MI1097" s="18"/>
      <c r="MJ1097" s="18"/>
      <c r="MK1097" s="18"/>
      <c r="ML1097" s="18"/>
      <c r="MM1097" s="18"/>
      <c r="MN1097" s="18"/>
      <c r="MO1097" s="18"/>
      <c r="MP1097" s="18"/>
      <c r="MQ1097" s="18"/>
      <c r="MR1097" s="18"/>
      <c r="MS1097" s="18"/>
      <c r="MT1097" s="18"/>
      <c r="MU1097" s="18"/>
      <c r="MV1097" s="18"/>
      <c r="MW1097" s="18"/>
      <c r="MX1097" s="18"/>
      <c r="MY1097" s="18"/>
      <c r="MZ1097" s="18"/>
      <c r="NA1097" s="18"/>
      <c r="NB1097" s="18"/>
      <c r="NC1097" s="18"/>
      <c r="ND1097" s="18"/>
      <c r="NE1097" s="18"/>
      <c r="NF1097" s="18"/>
      <c r="NG1097" s="18"/>
      <c r="NH1097" s="18"/>
      <c r="NI1097" s="18"/>
      <c r="NJ1097" s="18"/>
      <c r="NK1097" s="18"/>
      <c r="NL1097" s="18"/>
      <c r="NM1097" s="18"/>
      <c r="NN1097" s="18"/>
      <c r="NO1097" s="18"/>
      <c r="NP1097" s="18"/>
      <c r="NQ1097" s="18"/>
      <c r="NR1097" s="18"/>
      <c r="NS1097" s="18"/>
      <c r="NT1097" s="18"/>
      <c r="NU1097" s="18"/>
      <c r="NV1097" s="18"/>
      <c r="NW1097" s="18"/>
      <c r="NX1097" s="18"/>
      <c r="NY1097" s="18"/>
      <c r="NZ1097" s="18"/>
      <c r="OA1097" s="18"/>
      <c r="OB1097" s="18"/>
      <c r="OC1097" s="18"/>
      <c r="OD1097" s="18"/>
      <c r="OE1097" s="18"/>
      <c r="OF1097" s="18"/>
      <c r="OG1097" s="18"/>
      <c r="OH1097" s="18"/>
      <c r="OI1097" s="18"/>
      <c r="OJ1097" s="18"/>
      <c r="OK1097" s="18"/>
      <c r="OL1097" s="18"/>
      <c r="OM1097" s="18"/>
      <c r="ON1097" s="18"/>
      <c r="OO1097" s="18"/>
      <c r="OP1097" s="18"/>
      <c r="OQ1097" s="18"/>
      <c r="OR1097" s="18"/>
      <c r="OS1097" s="18"/>
      <c r="OT1097" s="18"/>
      <c r="OU1097" s="18"/>
      <c r="OV1097" s="18"/>
      <c r="OW1097" s="18"/>
      <c r="OX1097" s="18"/>
      <c r="OY1097" s="18"/>
      <c r="OZ1097" s="18"/>
      <c r="PA1097" s="18"/>
      <c r="PB1097" s="18"/>
      <c r="PC1097" s="18"/>
      <c r="PD1097" s="18"/>
      <c r="PE1097" s="18"/>
      <c r="PF1097" s="18"/>
      <c r="PG1097" s="18"/>
      <c r="PH1097" s="18"/>
      <c r="PI1097" s="18"/>
      <c r="PJ1097" s="18"/>
      <c r="PK1097" s="18"/>
      <c r="PL1097" s="18"/>
      <c r="PM1097" s="18"/>
      <c r="PN1097" s="18"/>
      <c r="PO1097" s="18"/>
      <c r="PP1097" s="18"/>
      <c r="PQ1097" s="18"/>
      <c r="PR1097" s="18"/>
      <c r="PS1097" s="18"/>
      <c r="PT1097" s="18"/>
      <c r="PU1097" s="18"/>
      <c r="PV1097" s="18"/>
      <c r="PW1097" s="18"/>
      <c r="PX1097" s="18"/>
      <c r="PY1097" s="18"/>
      <c r="PZ1097" s="18"/>
      <c r="QA1097" s="18"/>
      <c r="QB1097" s="18"/>
      <c r="QC1097" s="18"/>
      <c r="QD1097" s="18"/>
      <c r="QE1097" s="18"/>
      <c r="QF1097" s="18"/>
      <c r="QG1097" s="18"/>
      <c r="QH1097" s="18"/>
      <c r="QI1097" s="18"/>
      <c r="QJ1097" s="18"/>
      <c r="QK1097" s="18"/>
      <c r="QL1097" s="18"/>
      <c r="QM1097" s="18"/>
      <c r="QN1097" s="18"/>
      <c r="QO1097" s="18"/>
      <c r="QP1097" s="18"/>
      <c r="QQ1097" s="18"/>
      <c r="QR1097" s="18"/>
      <c r="QS1097" s="18"/>
      <c r="QT1097" s="18"/>
      <c r="QU1097" s="18"/>
      <c r="QV1097" s="18"/>
      <c r="QW1097" s="18"/>
      <c r="QX1097" s="18"/>
      <c r="QY1097" s="18"/>
      <c r="QZ1097" s="18"/>
      <c r="RA1097" s="18"/>
      <c r="RB1097" s="18"/>
      <c r="RC1097" s="18"/>
      <c r="RD1097" s="18"/>
      <c r="RE1097" s="18"/>
      <c r="RF1097" s="18"/>
      <c r="RG1097" s="18"/>
      <c r="RH1097" s="18"/>
      <c r="RI1097" s="18"/>
      <c r="RJ1097" s="18"/>
      <c r="RK1097" s="18"/>
      <c r="RL1097" s="18"/>
      <c r="RM1097" s="18"/>
      <c r="RN1097" s="18"/>
      <c r="RO1097" s="18"/>
      <c r="RP1097" s="18"/>
      <c r="RQ1097" s="18"/>
      <c r="RR1097" s="18"/>
      <c r="RS1097" s="18"/>
      <c r="RT1097" s="18"/>
      <c r="RU1097" s="18"/>
      <c r="RV1097" s="18"/>
      <c r="RW1097" s="18"/>
      <c r="RX1097" s="18"/>
      <c r="RY1097" s="18"/>
      <c r="RZ1097" s="18"/>
      <c r="SA1097" s="18"/>
      <c r="SB1097" s="18"/>
      <c r="SC1097" s="18"/>
      <c r="SD1097" s="18"/>
      <c r="SE1097" s="18"/>
      <c r="SF1097" s="18"/>
      <c r="SG1097" s="18"/>
      <c r="SH1097" s="18"/>
      <c r="SI1097" s="18"/>
      <c r="SJ1097" s="18"/>
      <c r="SK1097" s="18"/>
      <c r="SL1097" s="18"/>
      <c r="SM1097" s="18"/>
      <c r="SN1097" s="18"/>
      <c r="SO1097" s="18"/>
      <c r="SP1097" s="18"/>
      <c r="SQ1097" s="18"/>
      <c r="SR1097" s="18"/>
      <c r="SS1097" s="18"/>
      <c r="ST1097" s="18"/>
      <c r="SU1097" s="18"/>
      <c r="SV1097" s="18"/>
      <c r="SW1097" s="18"/>
      <c r="SX1097" s="18"/>
      <c r="SY1097" s="18"/>
      <c r="SZ1097" s="18"/>
      <c r="TA1097" s="18"/>
      <c r="TB1097" s="18"/>
      <c r="TC1097" s="18"/>
      <c r="TD1097" s="18"/>
      <c r="TE1097" s="18"/>
      <c r="TF1097" s="18"/>
      <c r="TG1097" s="18"/>
      <c r="TH1097" s="18"/>
      <c r="TI1097" s="18"/>
      <c r="TJ1097" s="18"/>
      <c r="TK1097" s="18"/>
      <c r="TL1097" s="18"/>
      <c r="TM1097" s="18"/>
      <c r="TN1097" s="18"/>
      <c r="TO1097" s="18"/>
      <c r="TP1097" s="18"/>
      <c r="TQ1097" s="18"/>
      <c r="TR1097" s="18"/>
      <c r="TS1097" s="18"/>
      <c r="TT1097" s="18"/>
      <c r="TU1097" s="18"/>
      <c r="TV1097" s="18"/>
      <c r="TW1097" s="18"/>
      <c r="TX1097" s="18"/>
      <c r="TY1097" s="18"/>
      <c r="TZ1097" s="18"/>
      <c r="UA1097" s="18"/>
      <c r="UB1097" s="18"/>
      <c r="UC1097" s="18"/>
      <c r="UD1097" s="18"/>
      <c r="UE1097" s="18"/>
      <c r="UF1097" s="18"/>
      <c r="UG1097" s="19"/>
    </row>
    <row r="1098" spans="1:553" ht="30.75" customHeight="1">
      <c r="A1098" s="356"/>
      <c r="B1098" s="356"/>
      <c r="C1098" s="548" t="s">
        <v>632</v>
      </c>
      <c r="D1098" s="400"/>
      <c r="E1098" s="360"/>
      <c r="F1098" s="737"/>
      <c r="G1098" s="366"/>
      <c r="H1098" s="370"/>
      <c r="I1098" s="359"/>
      <c r="J1098" s="368"/>
      <c r="K1098" s="371"/>
      <c r="L1098" s="356"/>
      <c r="M1098" s="356"/>
      <c r="N1098" s="356"/>
      <c r="O1098" s="356"/>
      <c r="P1098" s="356"/>
      <c r="Q1098" s="610"/>
      <c r="R1098" s="1226"/>
      <c r="S1098" s="308"/>
      <c r="T1098" s="308"/>
      <c r="U1098" s="308"/>
      <c r="V1098" s="308"/>
      <c r="W1098" s="308"/>
      <c r="X1098" s="308"/>
      <c r="Y1098" s="308"/>
      <c r="Z1098" s="604"/>
      <c r="AA1098" s="308"/>
      <c r="AB1098" s="308"/>
      <c r="AC1098" s="373"/>
      <c r="AD1098" s="373"/>
      <c r="AE1098" s="373"/>
      <c r="AF1098" s="373"/>
      <c r="AG1098" s="373"/>
      <c r="AH1098" s="373"/>
      <c r="AI1098" s="373"/>
      <c r="AJ1098" s="373"/>
      <c r="AK1098" s="389"/>
      <c r="AL1098" s="100"/>
      <c r="AM1098" s="27"/>
      <c r="AN1098" s="27"/>
      <c r="AO1098" s="27"/>
      <c r="AP1098" s="27"/>
      <c r="AQ1098" s="27"/>
      <c r="AR1098" s="27"/>
      <c r="AS1098" s="22"/>
      <c r="AT1098" s="22"/>
      <c r="AU1098" s="22"/>
      <c r="AV1098" s="22"/>
      <c r="AW1098" s="22"/>
      <c r="AX1098" s="22"/>
      <c r="AY1098" s="22"/>
      <c r="AZ1098" s="22"/>
      <c r="BA1098" s="22"/>
      <c r="BB1098" s="22"/>
      <c r="BC1098" s="22"/>
      <c r="BD1098" s="22"/>
      <c r="BE1098" s="22"/>
      <c r="BF1098" s="22"/>
      <c r="BG1098" s="22"/>
      <c r="BH1098" s="22"/>
      <c r="BI1098" s="22"/>
      <c r="BJ1098" s="22"/>
      <c r="BK1098" s="22"/>
      <c r="BL1098" s="22"/>
      <c r="BM1098" s="22"/>
      <c r="BN1098" s="22"/>
      <c r="BO1098" s="22"/>
      <c r="BP1098" s="22"/>
      <c r="BQ1098" s="22"/>
      <c r="BR1098" s="22"/>
      <c r="BS1098" s="22"/>
      <c r="BT1098" s="22"/>
      <c r="BU1098" s="22"/>
      <c r="BV1098" s="22"/>
      <c r="BW1098" s="22"/>
      <c r="BX1098" s="22"/>
      <c r="BY1098" s="22"/>
      <c r="BZ1098" s="22"/>
      <c r="CA1098" s="22"/>
      <c r="CB1098" s="22"/>
      <c r="CC1098" s="22"/>
      <c r="CD1098" s="22"/>
      <c r="CE1098" s="22"/>
      <c r="CF1098" s="22"/>
      <c r="CG1098" s="22"/>
      <c r="CH1098" s="22"/>
      <c r="CI1098" s="22"/>
      <c r="CJ1098" s="22"/>
      <c r="CK1098" s="22"/>
      <c r="CL1098" s="22"/>
      <c r="CM1098" s="22"/>
      <c r="CN1098" s="22"/>
      <c r="CO1098" s="22"/>
      <c r="CP1098" s="22"/>
      <c r="CQ1098" s="22"/>
      <c r="CR1098" s="22"/>
      <c r="CS1098" s="22"/>
      <c r="CT1098" s="22"/>
      <c r="CU1098" s="22"/>
      <c r="CV1098" s="22"/>
      <c r="CW1098" s="22"/>
      <c r="CX1098" s="22"/>
      <c r="CY1098" s="22"/>
      <c r="CZ1098" s="22"/>
      <c r="DA1098" s="22"/>
      <c r="DB1098" s="22"/>
      <c r="DC1098" s="22"/>
      <c r="DD1098" s="22"/>
      <c r="DE1098" s="22"/>
      <c r="DF1098" s="22"/>
      <c r="DG1098" s="22"/>
      <c r="DH1098" s="22"/>
      <c r="DI1098" s="22"/>
      <c r="DJ1098" s="22"/>
      <c r="DK1098" s="22"/>
      <c r="DL1098" s="22"/>
      <c r="DM1098" s="22"/>
      <c r="DN1098" s="22"/>
      <c r="DO1098" s="22"/>
      <c r="DP1098" s="22"/>
      <c r="DQ1098" s="22"/>
      <c r="DR1098" s="22"/>
      <c r="DS1098" s="22"/>
      <c r="DT1098" s="22"/>
      <c r="DU1098" s="22"/>
      <c r="DV1098" s="22"/>
      <c r="DW1098" s="22"/>
      <c r="DX1098" s="22"/>
      <c r="DY1098" s="22"/>
      <c r="DZ1098" s="22"/>
      <c r="EA1098" s="22"/>
      <c r="EB1098" s="22"/>
      <c r="EC1098" s="22"/>
      <c r="ED1098" s="22"/>
      <c r="EE1098" s="22"/>
      <c r="EF1098" s="22"/>
      <c r="EG1098" s="22"/>
      <c r="EH1098" s="22"/>
      <c r="EI1098" s="22"/>
      <c r="EJ1098" s="22"/>
      <c r="EK1098" s="22"/>
      <c r="EL1098" s="22"/>
      <c r="EM1098" s="22"/>
      <c r="EN1098" s="22"/>
      <c r="EO1098" s="22"/>
      <c r="EP1098" s="22"/>
      <c r="EQ1098" s="22"/>
      <c r="ER1098" s="22"/>
      <c r="ES1098" s="22"/>
      <c r="ET1098" s="22"/>
      <c r="EU1098" s="22"/>
      <c r="EV1098" s="22"/>
      <c r="EW1098" s="22"/>
      <c r="EX1098" s="22"/>
      <c r="EY1098" s="22"/>
      <c r="EZ1098" s="22"/>
      <c r="FA1098" s="22"/>
      <c r="FB1098" s="22"/>
      <c r="FC1098" s="22"/>
      <c r="FD1098" s="22"/>
      <c r="FE1098" s="22"/>
      <c r="FF1098" s="22"/>
      <c r="FG1098" s="22"/>
      <c r="FH1098" s="22"/>
      <c r="FI1098" s="22"/>
      <c r="FJ1098" s="22"/>
      <c r="FK1098" s="22"/>
      <c r="FL1098" s="22"/>
      <c r="FM1098" s="22"/>
      <c r="FN1098" s="22"/>
      <c r="FO1098" s="22"/>
      <c r="FP1098" s="22"/>
      <c r="FQ1098" s="22"/>
      <c r="FR1098" s="22"/>
      <c r="FS1098" s="22"/>
      <c r="FT1098" s="22"/>
      <c r="FU1098" s="22"/>
      <c r="FV1098" s="22"/>
      <c r="FW1098" s="22"/>
      <c r="FX1098" s="22"/>
      <c r="FY1098" s="22"/>
      <c r="FZ1098" s="22"/>
      <c r="GA1098" s="22"/>
      <c r="GB1098" s="22"/>
      <c r="GC1098" s="22"/>
      <c r="GD1098" s="22"/>
      <c r="GE1098" s="22"/>
      <c r="GF1098" s="22"/>
      <c r="GG1098" s="22"/>
      <c r="GH1098" s="22"/>
      <c r="GI1098" s="22"/>
      <c r="GJ1098" s="22"/>
      <c r="GK1098" s="22"/>
      <c r="GL1098" s="22"/>
      <c r="GM1098" s="22"/>
      <c r="GN1098" s="22"/>
      <c r="GO1098" s="22"/>
      <c r="GP1098" s="22"/>
      <c r="GQ1098" s="22"/>
      <c r="GR1098" s="22"/>
      <c r="GS1098" s="22"/>
      <c r="GT1098" s="22"/>
      <c r="GU1098" s="22"/>
      <c r="GV1098" s="22"/>
      <c r="GW1098" s="22"/>
      <c r="GX1098" s="22"/>
      <c r="GY1098" s="22"/>
      <c r="GZ1098" s="22"/>
      <c r="HA1098" s="22"/>
      <c r="HB1098" s="22"/>
      <c r="HC1098" s="22"/>
      <c r="HD1098" s="22"/>
      <c r="HE1098" s="22"/>
      <c r="HF1098" s="22"/>
      <c r="HG1098" s="22"/>
      <c r="HH1098" s="22"/>
      <c r="HI1098" s="22"/>
      <c r="HJ1098" s="22"/>
      <c r="HK1098" s="22"/>
      <c r="HL1098" s="22"/>
      <c r="HM1098" s="22"/>
      <c r="HN1098" s="22"/>
      <c r="HO1098" s="22"/>
      <c r="HP1098" s="22"/>
      <c r="HQ1098" s="22"/>
      <c r="HR1098" s="22"/>
      <c r="HS1098" s="22"/>
      <c r="HT1098" s="22"/>
      <c r="HU1098" s="22"/>
      <c r="HV1098" s="22"/>
      <c r="HW1098" s="22"/>
      <c r="HX1098" s="22"/>
      <c r="HY1098" s="22"/>
      <c r="HZ1098" s="22"/>
      <c r="IA1098" s="22"/>
      <c r="IB1098" s="22"/>
      <c r="IC1098" s="22"/>
      <c r="ID1098" s="22"/>
      <c r="IE1098" s="22"/>
      <c r="IF1098" s="22"/>
      <c r="IG1098" s="22"/>
      <c r="IH1098" s="22"/>
      <c r="II1098" s="22"/>
      <c r="IJ1098" s="22"/>
      <c r="IK1098" s="22"/>
      <c r="IL1098" s="22"/>
      <c r="IM1098" s="22"/>
      <c r="IN1098" s="22"/>
      <c r="IO1098" s="22"/>
      <c r="IP1098" s="22"/>
      <c r="IQ1098" s="22"/>
      <c r="IR1098" s="22"/>
      <c r="IS1098" s="22"/>
      <c r="IT1098" s="22"/>
      <c r="IU1098" s="22"/>
      <c r="IV1098" s="22"/>
      <c r="IW1098" s="22"/>
      <c r="IX1098" s="22"/>
      <c r="IY1098" s="22"/>
      <c r="IZ1098" s="22"/>
      <c r="JA1098" s="22"/>
      <c r="JB1098" s="22"/>
      <c r="JC1098" s="22"/>
      <c r="JD1098" s="22"/>
      <c r="JE1098" s="22"/>
      <c r="JF1098" s="22"/>
      <c r="JG1098" s="22"/>
      <c r="JH1098" s="22"/>
      <c r="JI1098" s="22"/>
      <c r="JJ1098" s="22"/>
      <c r="JK1098" s="22"/>
      <c r="JL1098" s="22"/>
      <c r="JM1098" s="22"/>
      <c r="JN1098" s="22"/>
      <c r="JO1098" s="22"/>
      <c r="JP1098" s="22"/>
      <c r="JQ1098" s="22"/>
      <c r="JR1098" s="22"/>
      <c r="JS1098" s="22"/>
      <c r="JT1098" s="22"/>
      <c r="JU1098" s="22"/>
      <c r="JV1098" s="22"/>
      <c r="JW1098" s="22"/>
      <c r="JX1098" s="22"/>
      <c r="JY1098" s="22"/>
      <c r="JZ1098" s="22"/>
      <c r="KA1098" s="22"/>
      <c r="KB1098" s="22"/>
      <c r="KC1098" s="22"/>
      <c r="KD1098" s="22"/>
      <c r="KE1098" s="22"/>
      <c r="KF1098" s="22"/>
      <c r="KG1098" s="22"/>
      <c r="KH1098" s="22"/>
      <c r="KI1098" s="22"/>
      <c r="KJ1098" s="22"/>
      <c r="KK1098" s="22"/>
      <c r="KL1098" s="22"/>
      <c r="KM1098" s="22"/>
      <c r="KN1098" s="22"/>
      <c r="KO1098" s="22"/>
      <c r="KP1098" s="22"/>
      <c r="KQ1098" s="22"/>
      <c r="KR1098" s="22"/>
      <c r="KS1098" s="22"/>
      <c r="KT1098" s="22"/>
      <c r="KU1098" s="22"/>
      <c r="KV1098" s="22"/>
      <c r="KW1098" s="22"/>
      <c r="KX1098" s="22"/>
      <c r="KY1098" s="22"/>
      <c r="KZ1098" s="22"/>
      <c r="LA1098" s="22"/>
      <c r="LB1098" s="22"/>
      <c r="LC1098" s="22"/>
      <c r="LD1098" s="22"/>
      <c r="LE1098" s="22"/>
      <c r="LF1098" s="22"/>
      <c r="LG1098" s="22"/>
      <c r="LH1098" s="22"/>
      <c r="LI1098" s="22"/>
      <c r="LJ1098" s="22"/>
      <c r="LK1098" s="22"/>
      <c r="LL1098" s="22"/>
      <c r="LM1098" s="22"/>
      <c r="LN1098" s="22"/>
      <c r="LO1098" s="22"/>
      <c r="LP1098" s="22"/>
      <c r="LQ1098" s="22"/>
      <c r="LR1098" s="22"/>
      <c r="LS1098" s="22"/>
      <c r="LT1098" s="22"/>
      <c r="LU1098" s="22"/>
      <c r="LV1098" s="22"/>
      <c r="LW1098" s="22"/>
      <c r="LX1098" s="22"/>
      <c r="LY1098" s="22"/>
      <c r="LZ1098" s="22"/>
      <c r="MA1098" s="22"/>
      <c r="MB1098" s="22"/>
      <c r="MC1098" s="22"/>
      <c r="MD1098" s="22"/>
      <c r="ME1098" s="22"/>
      <c r="MF1098" s="22"/>
      <c r="MG1098" s="22"/>
      <c r="MH1098" s="22"/>
      <c r="MI1098" s="22"/>
      <c r="MJ1098" s="22"/>
      <c r="MK1098" s="22"/>
      <c r="ML1098" s="22"/>
      <c r="MM1098" s="22"/>
      <c r="MN1098" s="22"/>
      <c r="MO1098" s="22"/>
      <c r="MP1098" s="22"/>
      <c r="MQ1098" s="22"/>
      <c r="MR1098" s="22"/>
      <c r="MS1098" s="22"/>
      <c r="MT1098" s="22"/>
      <c r="MU1098" s="22"/>
      <c r="MV1098" s="22"/>
      <c r="MW1098" s="22"/>
      <c r="MX1098" s="22"/>
      <c r="MY1098" s="22"/>
      <c r="MZ1098" s="22"/>
      <c r="NA1098" s="22"/>
      <c r="NB1098" s="22"/>
      <c r="NC1098" s="22"/>
      <c r="ND1098" s="22"/>
      <c r="NE1098" s="22"/>
      <c r="NF1098" s="22"/>
      <c r="NG1098" s="22"/>
      <c r="NH1098" s="22"/>
      <c r="NI1098" s="22"/>
      <c r="NJ1098" s="22"/>
      <c r="NK1098" s="22"/>
      <c r="NL1098" s="22"/>
      <c r="NM1098" s="22"/>
      <c r="NN1098" s="22"/>
      <c r="NO1098" s="22"/>
      <c r="NP1098" s="22"/>
      <c r="NQ1098" s="22"/>
      <c r="NR1098" s="22"/>
      <c r="NS1098" s="22"/>
      <c r="NT1098" s="22"/>
      <c r="NU1098" s="22"/>
      <c r="NV1098" s="22"/>
      <c r="NW1098" s="22"/>
      <c r="NX1098" s="22"/>
      <c r="NY1098" s="22"/>
      <c r="NZ1098" s="22"/>
      <c r="OA1098" s="22"/>
      <c r="OB1098" s="22"/>
      <c r="OC1098" s="22"/>
      <c r="OD1098" s="22"/>
      <c r="OE1098" s="22"/>
      <c r="OF1098" s="22"/>
      <c r="OG1098" s="22"/>
      <c r="OH1098" s="22"/>
      <c r="OI1098" s="22"/>
      <c r="OJ1098" s="22"/>
      <c r="OK1098" s="22"/>
      <c r="OL1098" s="22"/>
      <c r="OM1098" s="22"/>
      <c r="ON1098" s="22"/>
      <c r="OO1098" s="22"/>
      <c r="OP1098" s="22"/>
      <c r="OQ1098" s="22"/>
      <c r="OR1098" s="22"/>
      <c r="OS1098" s="22"/>
      <c r="OT1098" s="22"/>
      <c r="OU1098" s="22"/>
      <c r="OV1098" s="22"/>
      <c r="OW1098" s="22"/>
      <c r="OX1098" s="22"/>
      <c r="OY1098" s="22"/>
      <c r="OZ1098" s="22"/>
      <c r="PA1098" s="22"/>
      <c r="PB1098" s="22"/>
      <c r="PC1098" s="22"/>
      <c r="PD1098" s="22"/>
      <c r="PE1098" s="22"/>
      <c r="PF1098" s="22"/>
      <c r="PG1098" s="22"/>
      <c r="PH1098" s="22"/>
      <c r="PI1098" s="22"/>
      <c r="PJ1098" s="22"/>
      <c r="PK1098" s="22"/>
      <c r="PL1098" s="22"/>
      <c r="PM1098" s="22"/>
      <c r="PN1098" s="22"/>
      <c r="PO1098" s="22"/>
      <c r="PP1098" s="22"/>
      <c r="PQ1098" s="22"/>
      <c r="PR1098" s="22"/>
      <c r="PS1098" s="22"/>
      <c r="PT1098" s="22"/>
      <c r="PU1098" s="22"/>
      <c r="PV1098" s="22"/>
      <c r="PW1098" s="22"/>
      <c r="PX1098" s="22"/>
      <c r="PY1098" s="22"/>
      <c r="PZ1098" s="22"/>
      <c r="QA1098" s="22"/>
      <c r="QB1098" s="22"/>
      <c r="QC1098" s="22"/>
      <c r="QD1098" s="22"/>
      <c r="QE1098" s="22"/>
      <c r="QF1098" s="22"/>
      <c r="QG1098" s="22"/>
      <c r="QH1098" s="22"/>
      <c r="QI1098" s="22"/>
      <c r="QJ1098" s="22"/>
      <c r="QK1098" s="22"/>
      <c r="QL1098" s="22"/>
      <c r="QM1098" s="22"/>
      <c r="QN1098" s="22"/>
      <c r="QO1098" s="22"/>
      <c r="QP1098" s="22"/>
      <c r="QQ1098" s="22"/>
      <c r="QR1098" s="22"/>
      <c r="QS1098" s="22"/>
      <c r="QT1098" s="22"/>
      <c r="QU1098" s="22"/>
      <c r="QV1098" s="22"/>
      <c r="QW1098" s="22"/>
      <c r="QX1098" s="22"/>
      <c r="QY1098" s="22"/>
      <c r="QZ1098" s="22"/>
      <c r="RA1098" s="22"/>
      <c r="RB1098" s="22"/>
      <c r="RC1098" s="22"/>
      <c r="RD1098" s="22"/>
      <c r="RE1098" s="22"/>
      <c r="RF1098" s="22"/>
      <c r="RG1098" s="22"/>
      <c r="RH1098" s="22"/>
      <c r="RI1098" s="22"/>
      <c r="RJ1098" s="22"/>
      <c r="RK1098" s="22"/>
      <c r="RL1098" s="22"/>
      <c r="RM1098" s="22"/>
      <c r="RN1098" s="22"/>
      <c r="RO1098" s="22"/>
      <c r="RP1098" s="22"/>
      <c r="RQ1098" s="22"/>
      <c r="RR1098" s="22"/>
      <c r="RS1098" s="22"/>
      <c r="RT1098" s="22"/>
      <c r="RU1098" s="22"/>
      <c r="RV1098" s="22"/>
      <c r="RW1098" s="22"/>
      <c r="RX1098" s="22"/>
      <c r="RY1098" s="22"/>
      <c r="RZ1098" s="22"/>
      <c r="SA1098" s="22"/>
      <c r="SB1098" s="22"/>
      <c r="SC1098" s="22"/>
      <c r="SD1098" s="22"/>
      <c r="SE1098" s="22"/>
      <c r="SF1098" s="22"/>
      <c r="SG1098" s="22"/>
      <c r="SH1098" s="22"/>
      <c r="SI1098" s="22"/>
      <c r="SJ1098" s="22"/>
      <c r="SK1098" s="22"/>
      <c r="SL1098" s="22"/>
      <c r="SM1098" s="22"/>
      <c r="SN1098" s="22"/>
      <c r="SO1098" s="22"/>
      <c r="SP1098" s="22"/>
      <c r="SQ1098" s="22"/>
      <c r="SR1098" s="22"/>
      <c r="SS1098" s="22"/>
      <c r="ST1098" s="22"/>
      <c r="SU1098" s="22"/>
      <c r="SV1098" s="22"/>
      <c r="SW1098" s="22"/>
      <c r="SX1098" s="22"/>
      <c r="SY1098" s="22"/>
      <c r="SZ1098" s="22"/>
      <c r="TA1098" s="22"/>
      <c r="TB1098" s="22"/>
      <c r="TC1098" s="22"/>
      <c r="TD1098" s="22"/>
      <c r="TE1098" s="22"/>
      <c r="TF1098" s="22"/>
      <c r="TG1098" s="22"/>
      <c r="TH1098" s="22"/>
      <c r="TI1098" s="22"/>
      <c r="TJ1098" s="22"/>
      <c r="TK1098" s="22"/>
      <c r="TL1098" s="22"/>
      <c r="TM1098" s="22"/>
      <c r="TN1098" s="22"/>
      <c r="TO1098" s="22"/>
      <c r="TP1098" s="22"/>
      <c r="TQ1098" s="22"/>
      <c r="TR1098" s="22"/>
      <c r="TS1098" s="22"/>
      <c r="TT1098" s="22"/>
      <c r="TU1098" s="22"/>
      <c r="TV1098" s="22"/>
      <c r="TW1098" s="22"/>
      <c r="TX1098" s="22"/>
      <c r="TY1098" s="22"/>
      <c r="TZ1098" s="22"/>
      <c r="UA1098" s="22"/>
      <c r="UB1098" s="22"/>
      <c r="UC1098" s="22"/>
      <c r="UD1098" s="22"/>
      <c r="UE1098" s="22"/>
      <c r="UF1098" s="22"/>
      <c r="UG1098" s="23"/>
    </row>
    <row r="1099" spans="1:553" ht="117" customHeight="1">
      <c r="A1099" s="356" t="s">
        <v>15</v>
      </c>
      <c r="B1099" s="385" t="s">
        <v>29</v>
      </c>
      <c r="C1099" s="1533" t="s">
        <v>1293</v>
      </c>
      <c r="D1099" s="1389"/>
      <c r="E1099" s="1389"/>
      <c r="F1099" s="1390"/>
      <c r="G1099" s="386" t="s">
        <v>935</v>
      </c>
      <c r="H1099" s="370"/>
      <c r="I1099" s="422">
        <f>(8.8*11.3)+(9.4*2)+(4.2*9.5)</f>
        <v>158.14000000000001</v>
      </c>
      <c r="J1099" s="477">
        <v>2204600</v>
      </c>
      <c r="K1099" s="388"/>
      <c r="L1099" s="391">
        <f t="shared" ref="L1099:L1144" si="167">I1099*J1099</f>
        <v>348635444.00000006</v>
      </c>
      <c r="M1099" s="395"/>
      <c r="N1099" s="395"/>
      <c r="O1099" s="366"/>
      <c r="P1099" s="396"/>
      <c r="Q1099" s="473"/>
      <c r="R1099" s="1039"/>
      <c r="S1099" s="308"/>
      <c r="T1099" s="308"/>
      <c r="U1099" s="308"/>
      <c r="V1099" s="308"/>
      <c r="W1099" s="308"/>
      <c r="X1099" s="308"/>
      <c r="Y1099" s="308"/>
      <c r="Z1099" s="604"/>
      <c r="AA1099" s="308"/>
      <c r="AB1099" s="308"/>
      <c r="AC1099" s="449"/>
      <c r="AD1099" s="449"/>
      <c r="AE1099" s="449"/>
      <c r="AF1099" s="449"/>
      <c r="AG1099" s="452"/>
      <c r="AH1099" s="452"/>
      <c r="AI1099" s="452"/>
      <c r="AJ1099" s="452"/>
      <c r="AK1099" s="452"/>
      <c r="AL1099" s="104"/>
      <c r="AM1099" s="32"/>
      <c r="AN1099" s="32"/>
      <c r="AO1099" s="32"/>
      <c r="AP1099" s="32"/>
      <c r="AQ1099" s="31"/>
      <c r="AR1099" s="31"/>
      <c r="AS1099" s="31"/>
      <c r="AT1099" s="31"/>
      <c r="AU1099" s="31"/>
      <c r="AV1099" s="31"/>
      <c r="AW1099" s="31"/>
      <c r="AX1099" s="31"/>
      <c r="AY1099" s="31"/>
      <c r="AZ1099" s="31"/>
      <c r="BA1099" s="31"/>
      <c r="BB1099" s="31"/>
      <c r="BC1099" s="31"/>
      <c r="BD1099" s="31"/>
      <c r="BE1099" s="31"/>
      <c r="BF1099" s="31"/>
      <c r="BG1099" s="31"/>
      <c r="BH1099" s="31"/>
      <c r="BI1099" s="31"/>
      <c r="BJ1099" s="31"/>
      <c r="BK1099" s="31"/>
      <c r="BL1099" s="31"/>
      <c r="BM1099" s="31"/>
      <c r="BN1099" s="31"/>
      <c r="BO1099" s="31"/>
      <c r="BP1099" s="31"/>
      <c r="BQ1099" s="31"/>
      <c r="BR1099" s="31"/>
      <c r="BS1099" s="31"/>
      <c r="BT1099" s="31"/>
      <c r="BU1099" s="31"/>
      <c r="BV1099" s="31"/>
      <c r="BW1099" s="31"/>
      <c r="BX1099" s="31"/>
      <c r="BY1099" s="31"/>
      <c r="BZ1099" s="31"/>
      <c r="CA1099" s="31"/>
      <c r="CB1099" s="31"/>
      <c r="CC1099" s="31"/>
      <c r="CD1099" s="31"/>
      <c r="CE1099" s="31"/>
      <c r="CF1099" s="31"/>
      <c r="CG1099" s="31"/>
      <c r="CH1099" s="31"/>
      <c r="CI1099" s="31"/>
      <c r="CJ1099" s="31"/>
      <c r="CK1099" s="31"/>
      <c r="CL1099" s="31"/>
      <c r="CM1099" s="31"/>
      <c r="CN1099" s="31"/>
      <c r="CO1099" s="31"/>
      <c r="CP1099" s="31"/>
      <c r="CQ1099" s="31"/>
      <c r="CR1099" s="31"/>
      <c r="CS1099" s="31"/>
      <c r="CT1099" s="31"/>
      <c r="CU1099" s="31"/>
      <c r="CV1099" s="31"/>
      <c r="CW1099" s="31"/>
      <c r="CX1099" s="31"/>
      <c r="CY1099" s="31"/>
      <c r="CZ1099" s="31"/>
      <c r="DA1099" s="31"/>
      <c r="DB1099" s="31"/>
      <c r="DC1099" s="31"/>
      <c r="DD1099" s="31"/>
      <c r="DE1099" s="31"/>
      <c r="DF1099" s="31"/>
      <c r="DG1099" s="31"/>
      <c r="DH1099" s="31"/>
      <c r="DI1099" s="31"/>
      <c r="DJ1099" s="31"/>
      <c r="DK1099" s="31"/>
      <c r="DL1099" s="31"/>
      <c r="DM1099" s="31"/>
      <c r="DN1099" s="31"/>
      <c r="DO1099" s="31"/>
      <c r="DP1099" s="31"/>
      <c r="DQ1099" s="31"/>
      <c r="DR1099" s="31"/>
      <c r="DS1099" s="31"/>
      <c r="DT1099" s="31"/>
      <c r="DU1099" s="31"/>
      <c r="DV1099" s="31"/>
      <c r="DW1099" s="31"/>
      <c r="DX1099" s="31"/>
      <c r="DY1099" s="31"/>
      <c r="DZ1099" s="31"/>
      <c r="EA1099" s="31"/>
      <c r="EB1099" s="31"/>
      <c r="EC1099" s="31"/>
      <c r="ED1099" s="31"/>
      <c r="EE1099" s="31"/>
      <c r="EF1099" s="31"/>
      <c r="EG1099" s="31"/>
      <c r="EH1099" s="31"/>
      <c r="EI1099" s="31"/>
      <c r="EJ1099" s="31"/>
      <c r="EK1099" s="31"/>
      <c r="EL1099" s="31"/>
      <c r="EM1099" s="31"/>
      <c r="EN1099" s="31"/>
      <c r="EO1099" s="31"/>
      <c r="EP1099" s="31"/>
      <c r="EQ1099" s="31"/>
      <c r="ER1099" s="31"/>
      <c r="ES1099" s="31"/>
      <c r="ET1099" s="31"/>
      <c r="EU1099" s="31"/>
      <c r="EV1099" s="31"/>
      <c r="EW1099" s="31"/>
      <c r="EX1099" s="31"/>
      <c r="EY1099" s="31"/>
      <c r="EZ1099" s="31"/>
      <c r="FA1099" s="31"/>
      <c r="FB1099" s="31"/>
      <c r="FC1099" s="31"/>
      <c r="FD1099" s="31"/>
      <c r="FE1099" s="31"/>
      <c r="FF1099" s="31"/>
      <c r="FG1099" s="31"/>
      <c r="FH1099" s="31"/>
      <c r="FI1099" s="31"/>
      <c r="FJ1099" s="31"/>
      <c r="FK1099" s="31"/>
      <c r="FL1099" s="31"/>
      <c r="FM1099" s="31"/>
      <c r="FN1099" s="31"/>
      <c r="FO1099" s="31"/>
      <c r="FP1099" s="31"/>
      <c r="FQ1099" s="31"/>
      <c r="FR1099" s="31"/>
      <c r="FS1099" s="31"/>
      <c r="FT1099" s="31"/>
      <c r="FU1099" s="31"/>
      <c r="FV1099" s="31"/>
      <c r="FW1099" s="31"/>
      <c r="FX1099" s="31"/>
      <c r="FY1099" s="31"/>
      <c r="FZ1099" s="31"/>
      <c r="GA1099" s="31"/>
      <c r="GB1099" s="31"/>
      <c r="GC1099" s="31"/>
      <c r="GD1099" s="31"/>
      <c r="GE1099" s="31"/>
      <c r="GF1099" s="31"/>
      <c r="GG1099" s="31"/>
      <c r="GH1099" s="31"/>
      <c r="GI1099" s="31"/>
      <c r="GJ1099" s="31"/>
      <c r="GK1099" s="31"/>
      <c r="GL1099" s="31"/>
      <c r="GM1099" s="31"/>
      <c r="GN1099" s="31"/>
      <c r="GO1099" s="31"/>
      <c r="GP1099" s="31"/>
      <c r="GQ1099" s="31"/>
      <c r="GR1099" s="31"/>
      <c r="GS1099" s="31"/>
      <c r="GT1099" s="31"/>
      <c r="GU1099" s="31"/>
      <c r="GV1099" s="31"/>
      <c r="GW1099" s="31"/>
      <c r="GX1099" s="31"/>
      <c r="GY1099" s="31"/>
      <c r="GZ1099" s="31"/>
      <c r="HA1099" s="31"/>
      <c r="HB1099" s="31"/>
      <c r="HC1099" s="31"/>
      <c r="HD1099" s="31"/>
      <c r="HE1099" s="31"/>
      <c r="HF1099" s="31"/>
      <c r="HG1099" s="31"/>
      <c r="HH1099" s="31"/>
      <c r="HI1099" s="31"/>
      <c r="HJ1099" s="31"/>
      <c r="HK1099" s="31"/>
      <c r="HL1099" s="31"/>
      <c r="HM1099" s="31"/>
      <c r="HN1099" s="31"/>
      <c r="HO1099" s="31"/>
      <c r="HP1099" s="31"/>
      <c r="HQ1099" s="31"/>
      <c r="HR1099" s="31"/>
      <c r="HS1099" s="31"/>
      <c r="HT1099" s="31"/>
      <c r="HU1099" s="31"/>
      <c r="HV1099" s="31"/>
      <c r="HW1099" s="31"/>
      <c r="HX1099" s="31"/>
      <c r="HY1099" s="31"/>
      <c r="HZ1099" s="31"/>
      <c r="IA1099" s="31"/>
      <c r="IB1099" s="31"/>
      <c r="IC1099" s="31"/>
      <c r="ID1099" s="31"/>
      <c r="IE1099" s="31"/>
      <c r="IF1099" s="31"/>
      <c r="IG1099" s="31"/>
      <c r="IH1099" s="31"/>
      <c r="II1099" s="31"/>
      <c r="IJ1099" s="31"/>
      <c r="IK1099" s="31"/>
      <c r="IL1099" s="31"/>
      <c r="IM1099" s="31"/>
      <c r="IN1099" s="31"/>
      <c r="IO1099" s="31"/>
      <c r="IP1099" s="31"/>
      <c r="IQ1099" s="31"/>
      <c r="IR1099" s="31"/>
      <c r="IS1099" s="31"/>
      <c r="IT1099" s="31"/>
      <c r="IU1099" s="31"/>
      <c r="IV1099" s="31"/>
      <c r="IW1099" s="31"/>
      <c r="IX1099" s="31"/>
      <c r="IY1099" s="31"/>
      <c r="IZ1099" s="31"/>
      <c r="JA1099" s="31"/>
      <c r="JB1099" s="31"/>
      <c r="JC1099" s="31"/>
      <c r="JD1099" s="31"/>
      <c r="JE1099" s="31"/>
      <c r="JF1099" s="31"/>
      <c r="JG1099" s="31"/>
      <c r="JH1099" s="31"/>
      <c r="JI1099" s="31"/>
      <c r="JJ1099" s="31"/>
      <c r="JK1099" s="31"/>
      <c r="JL1099" s="31"/>
      <c r="JM1099" s="31"/>
      <c r="JN1099" s="31"/>
      <c r="JO1099" s="31"/>
      <c r="JP1099" s="31"/>
      <c r="JQ1099" s="31"/>
      <c r="JR1099" s="31"/>
      <c r="JS1099" s="31"/>
      <c r="JT1099" s="31"/>
      <c r="JU1099" s="31"/>
      <c r="JV1099" s="31"/>
      <c r="JW1099" s="31"/>
      <c r="JX1099" s="31"/>
      <c r="JY1099" s="31"/>
      <c r="JZ1099" s="31"/>
      <c r="KA1099" s="31"/>
      <c r="KB1099" s="31"/>
      <c r="KC1099" s="31"/>
      <c r="KD1099" s="31"/>
      <c r="KE1099" s="31"/>
      <c r="KF1099" s="31"/>
      <c r="KG1099" s="31"/>
      <c r="KH1099" s="31"/>
      <c r="KI1099" s="31"/>
      <c r="KJ1099" s="31"/>
      <c r="KK1099" s="31"/>
      <c r="KL1099" s="31"/>
      <c r="KM1099" s="31"/>
      <c r="KN1099" s="31"/>
      <c r="KO1099" s="31"/>
      <c r="KP1099" s="31"/>
      <c r="KQ1099" s="31"/>
      <c r="KR1099" s="31"/>
      <c r="KS1099" s="31"/>
      <c r="KT1099" s="31"/>
      <c r="KU1099" s="31"/>
      <c r="KV1099" s="31"/>
      <c r="KW1099" s="31"/>
      <c r="KX1099" s="31"/>
      <c r="KY1099" s="31"/>
      <c r="KZ1099" s="31"/>
      <c r="LA1099" s="31"/>
      <c r="LB1099" s="31"/>
      <c r="LC1099" s="31"/>
      <c r="LD1099" s="31"/>
      <c r="LE1099" s="31"/>
      <c r="LF1099" s="31"/>
      <c r="LG1099" s="31"/>
      <c r="LH1099" s="31"/>
      <c r="LI1099" s="31"/>
      <c r="LJ1099" s="31"/>
      <c r="LK1099" s="31"/>
      <c r="LL1099" s="31"/>
      <c r="LM1099" s="31"/>
      <c r="LN1099" s="31"/>
      <c r="LO1099" s="31"/>
      <c r="LP1099" s="31"/>
      <c r="LQ1099" s="31"/>
      <c r="LR1099" s="31"/>
      <c r="LS1099" s="31"/>
      <c r="LT1099" s="31"/>
      <c r="LU1099" s="31"/>
      <c r="LV1099" s="31"/>
      <c r="LW1099" s="31"/>
      <c r="LX1099" s="31"/>
      <c r="LY1099" s="31"/>
      <c r="LZ1099" s="31"/>
      <c r="MA1099" s="31"/>
      <c r="MB1099" s="31"/>
      <c r="MC1099" s="31"/>
      <c r="MD1099" s="31"/>
      <c r="ME1099" s="31"/>
      <c r="MF1099" s="31"/>
      <c r="MG1099" s="31"/>
      <c r="MH1099" s="31"/>
      <c r="MI1099" s="31"/>
      <c r="MJ1099" s="31"/>
      <c r="MK1099" s="31"/>
      <c r="ML1099" s="31"/>
      <c r="MM1099" s="31"/>
      <c r="MN1099" s="31"/>
      <c r="MO1099" s="31"/>
      <c r="MP1099" s="31"/>
      <c r="MQ1099" s="31"/>
      <c r="MR1099" s="31"/>
      <c r="MS1099" s="31"/>
      <c r="MT1099" s="31"/>
      <c r="MU1099" s="31"/>
      <c r="MV1099" s="31"/>
      <c r="MW1099" s="31"/>
      <c r="MX1099" s="31"/>
      <c r="MY1099" s="31"/>
      <c r="MZ1099" s="31"/>
      <c r="NA1099" s="31"/>
      <c r="NB1099" s="31"/>
      <c r="NC1099" s="31"/>
      <c r="ND1099" s="31"/>
      <c r="NE1099" s="31"/>
      <c r="NF1099" s="31"/>
      <c r="NG1099" s="31"/>
      <c r="NH1099" s="31"/>
      <c r="NI1099" s="31"/>
      <c r="NJ1099" s="31"/>
      <c r="NK1099" s="31"/>
      <c r="NL1099" s="31"/>
      <c r="NM1099" s="31"/>
      <c r="NN1099" s="31"/>
      <c r="NO1099" s="31"/>
      <c r="NP1099" s="31"/>
      <c r="NQ1099" s="31"/>
      <c r="NR1099" s="31"/>
      <c r="NS1099" s="31"/>
      <c r="NT1099" s="31"/>
      <c r="NU1099" s="31"/>
      <c r="NV1099" s="31"/>
      <c r="NW1099" s="31"/>
      <c r="NX1099" s="31"/>
      <c r="NY1099" s="31"/>
      <c r="NZ1099" s="31"/>
      <c r="OA1099" s="31"/>
      <c r="OB1099" s="31"/>
      <c r="OC1099" s="31"/>
      <c r="OD1099" s="31"/>
      <c r="OE1099" s="31"/>
      <c r="OF1099" s="31"/>
      <c r="OG1099" s="31"/>
      <c r="OH1099" s="31"/>
      <c r="OI1099" s="31"/>
      <c r="OJ1099" s="31"/>
      <c r="OK1099" s="31"/>
      <c r="OL1099" s="31"/>
      <c r="OM1099" s="31"/>
      <c r="ON1099" s="31"/>
      <c r="OO1099" s="31"/>
      <c r="OP1099" s="31"/>
      <c r="OQ1099" s="31"/>
      <c r="OR1099" s="31"/>
      <c r="OS1099" s="31"/>
      <c r="OT1099" s="31"/>
      <c r="OU1099" s="31"/>
      <c r="OV1099" s="31"/>
      <c r="OW1099" s="31"/>
      <c r="OX1099" s="31"/>
      <c r="OY1099" s="31"/>
      <c r="OZ1099" s="31"/>
      <c r="PA1099" s="31"/>
      <c r="PB1099" s="31"/>
      <c r="PC1099" s="31"/>
      <c r="PD1099" s="31"/>
      <c r="PE1099" s="31"/>
      <c r="PF1099" s="31"/>
      <c r="PG1099" s="31"/>
      <c r="PH1099" s="31"/>
      <c r="PI1099" s="31"/>
      <c r="PJ1099" s="31"/>
      <c r="PK1099" s="31"/>
      <c r="PL1099" s="31"/>
      <c r="PM1099" s="31"/>
      <c r="PN1099" s="31"/>
      <c r="PO1099" s="31"/>
      <c r="PP1099" s="31"/>
      <c r="PQ1099" s="31"/>
      <c r="PR1099" s="31"/>
      <c r="PS1099" s="31"/>
      <c r="PT1099" s="31"/>
      <c r="PU1099" s="31"/>
      <c r="PV1099" s="31"/>
      <c r="PW1099" s="31"/>
      <c r="PX1099" s="31"/>
      <c r="PY1099" s="31"/>
      <c r="PZ1099" s="31"/>
      <c r="QA1099" s="31"/>
      <c r="QB1099" s="31"/>
      <c r="QC1099" s="31"/>
      <c r="QD1099" s="31"/>
      <c r="QE1099" s="31"/>
      <c r="QF1099" s="31"/>
      <c r="QG1099" s="31"/>
      <c r="QH1099" s="31"/>
      <c r="QI1099" s="31"/>
      <c r="QJ1099" s="31"/>
      <c r="QK1099" s="31"/>
      <c r="QL1099" s="31"/>
      <c r="QM1099" s="31"/>
      <c r="QN1099" s="31"/>
      <c r="QO1099" s="31"/>
      <c r="QP1099" s="31"/>
      <c r="QQ1099" s="31"/>
      <c r="QR1099" s="31"/>
      <c r="QS1099" s="31"/>
      <c r="QT1099" s="31"/>
      <c r="QU1099" s="31"/>
      <c r="QV1099" s="31"/>
      <c r="QW1099" s="31"/>
      <c r="QX1099" s="31"/>
      <c r="QY1099" s="31"/>
      <c r="QZ1099" s="31"/>
      <c r="RA1099" s="31"/>
      <c r="RB1099" s="31"/>
      <c r="RC1099" s="31"/>
      <c r="RD1099" s="31"/>
      <c r="RE1099" s="31"/>
      <c r="RF1099" s="31"/>
      <c r="RG1099" s="31"/>
      <c r="RH1099" s="31"/>
      <c r="RI1099" s="31"/>
      <c r="RJ1099" s="31"/>
      <c r="RK1099" s="31"/>
      <c r="RL1099" s="31"/>
      <c r="RM1099" s="31"/>
      <c r="RN1099" s="31"/>
      <c r="RO1099" s="31"/>
      <c r="RP1099" s="31"/>
      <c r="RQ1099" s="31"/>
      <c r="RR1099" s="31"/>
      <c r="RS1099" s="31"/>
      <c r="RT1099" s="31"/>
      <c r="RU1099" s="31"/>
      <c r="RV1099" s="31"/>
      <c r="RW1099" s="31"/>
      <c r="RX1099" s="31"/>
      <c r="RY1099" s="31"/>
      <c r="RZ1099" s="31"/>
      <c r="SA1099" s="31"/>
      <c r="SB1099" s="31"/>
      <c r="SC1099" s="31"/>
      <c r="SD1099" s="31"/>
      <c r="SE1099" s="31"/>
      <c r="SF1099" s="31"/>
      <c r="SG1099" s="31"/>
      <c r="SH1099" s="31"/>
      <c r="SI1099" s="31"/>
      <c r="SJ1099" s="31"/>
      <c r="SK1099" s="31"/>
      <c r="SL1099" s="31"/>
      <c r="SM1099" s="31"/>
      <c r="SN1099" s="31"/>
      <c r="SO1099" s="31"/>
      <c r="SP1099" s="31"/>
      <c r="SQ1099" s="31"/>
      <c r="SR1099" s="31"/>
      <c r="SS1099" s="31"/>
      <c r="ST1099" s="31"/>
      <c r="SU1099" s="31"/>
      <c r="SV1099" s="31"/>
      <c r="SW1099" s="31"/>
      <c r="SX1099" s="31"/>
      <c r="SY1099" s="31"/>
      <c r="SZ1099" s="31"/>
      <c r="TA1099" s="31"/>
      <c r="TB1099" s="31"/>
      <c r="TC1099" s="31"/>
      <c r="TD1099" s="31"/>
      <c r="TE1099" s="31"/>
      <c r="TF1099" s="31"/>
      <c r="TG1099" s="31"/>
      <c r="TH1099" s="31"/>
      <c r="TI1099" s="31"/>
      <c r="TJ1099" s="31"/>
      <c r="TK1099" s="31"/>
      <c r="TL1099" s="31"/>
      <c r="TM1099" s="31"/>
      <c r="TN1099" s="31"/>
      <c r="TO1099" s="31"/>
      <c r="TP1099" s="31"/>
      <c r="TQ1099" s="31"/>
      <c r="TR1099" s="31"/>
      <c r="TS1099" s="31"/>
      <c r="TT1099" s="31"/>
      <c r="TU1099" s="31"/>
      <c r="TV1099" s="31"/>
      <c r="TW1099" s="31"/>
      <c r="TX1099" s="31"/>
      <c r="TY1099" s="31"/>
      <c r="TZ1099" s="31"/>
      <c r="UA1099" s="31"/>
      <c r="UB1099" s="31"/>
      <c r="UC1099" s="31"/>
      <c r="UD1099" s="31"/>
      <c r="UE1099" s="31"/>
      <c r="UF1099" s="31"/>
      <c r="UG1099" s="33"/>
    </row>
    <row r="1100" spans="1:553" s="125" customFormat="1" ht="37.5" customHeight="1">
      <c r="A1100" s="431"/>
      <c r="B1100" s="541" t="s">
        <v>31</v>
      </c>
      <c r="C1100" s="1534" t="s">
        <v>633</v>
      </c>
      <c r="D1100" s="1389"/>
      <c r="E1100" s="1389"/>
      <c r="F1100" s="1390"/>
      <c r="G1100" s="542" t="s">
        <v>34</v>
      </c>
      <c r="H1100" s="543"/>
      <c r="I1100" s="583">
        <f>-((10+7)*2*1.75+(2.3+6.9)*2*1.75)*0.22</f>
        <v>-20.173999999999996</v>
      </c>
      <c r="J1100" s="997">
        <v>1748702</v>
      </c>
      <c r="K1100" s="738"/>
      <c r="L1100" s="1192">
        <f t="shared" si="167"/>
        <v>-35278314.147999994</v>
      </c>
      <c r="M1100" s="637"/>
      <c r="N1100" s="637"/>
      <c r="O1100" s="544"/>
      <c r="P1100" s="638"/>
      <c r="Q1100" s="1156"/>
      <c r="R1100" s="1164"/>
      <c r="S1100" s="308"/>
      <c r="T1100" s="308"/>
      <c r="U1100" s="308"/>
      <c r="V1100" s="308"/>
      <c r="W1100" s="308"/>
      <c r="X1100" s="308"/>
      <c r="Y1100" s="308"/>
      <c r="Z1100" s="604"/>
      <c r="AA1100" s="308"/>
      <c r="AB1100" s="308"/>
      <c r="AC1100" s="545"/>
      <c r="AD1100" s="545"/>
      <c r="AE1100" s="545"/>
      <c r="AF1100" s="545"/>
      <c r="AG1100" s="546"/>
      <c r="AH1100" s="546"/>
      <c r="AI1100" s="546"/>
      <c r="AJ1100" s="546"/>
      <c r="AK1100" s="546"/>
      <c r="AL1100" s="300"/>
      <c r="AM1100" s="122"/>
      <c r="AN1100" s="122"/>
      <c r="AO1100" s="122"/>
      <c r="AP1100" s="122"/>
      <c r="AQ1100" s="123"/>
      <c r="AR1100" s="123"/>
      <c r="AS1100" s="123"/>
      <c r="AT1100" s="123"/>
      <c r="AU1100" s="123"/>
      <c r="AV1100" s="123"/>
      <c r="AW1100" s="123"/>
      <c r="AX1100" s="123"/>
      <c r="AY1100" s="123"/>
      <c r="AZ1100" s="123"/>
      <c r="BA1100" s="123"/>
      <c r="BB1100" s="123"/>
      <c r="BC1100" s="123"/>
      <c r="BD1100" s="123"/>
      <c r="BE1100" s="123"/>
      <c r="BF1100" s="123"/>
      <c r="BG1100" s="123"/>
      <c r="BH1100" s="123"/>
      <c r="BI1100" s="123"/>
      <c r="BJ1100" s="123"/>
      <c r="BK1100" s="123"/>
      <c r="BL1100" s="123"/>
      <c r="BM1100" s="123"/>
      <c r="BN1100" s="123"/>
      <c r="BO1100" s="123"/>
      <c r="BP1100" s="123"/>
      <c r="BQ1100" s="123"/>
      <c r="BR1100" s="123"/>
      <c r="BS1100" s="123"/>
      <c r="BT1100" s="123"/>
      <c r="BU1100" s="123"/>
      <c r="BV1100" s="123"/>
      <c r="BW1100" s="123"/>
      <c r="BX1100" s="123"/>
      <c r="BY1100" s="123"/>
      <c r="BZ1100" s="123"/>
      <c r="CA1100" s="123"/>
      <c r="CB1100" s="123"/>
      <c r="CC1100" s="123"/>
      <c r="CD1100" s="123"/>
      <c r="CE1100" s="123"/>
      <c r="CF1100" s="123"/>
      <c r="CG1100" s="123"/>
      <c r="CH1100" s="123"/>
      <c r="CI1100" s="123"/>
      <c r="CJ1100" s="123"/>
      <c r="CK1100" s="123"/>
      <c r="CL1100" s="123"/>
      <c r="CM1100" s="123"/>
      <c r="CN1100" s="123"/>
      <c r="CO1100" s="123"/>
      <c r="CP1100" s="123"/>
      <c r="CQ1100" s="123"/>
      <c r="CR1100" s="123"/>
      <c r="CS1100" s="123"/>
      <c r="CT1100" s="123"/>
      <c r="CU1100" s="123"/>
      <c r="CV1100" s="123"/>
      <c r="CW1100" s="123"/>
      <c r="CX1100" s="123"/>
      <c r="CY1100" s="123"/>
      <c r="CZ1100" s="123"/>
      <c r="DA1100" s="123"/>
      <c r="DB1100" s="123"/>
      <c r="DC1100" s="123"/>
      <c r="DD1100" s="123"/>
      <c r="DE1100" s="123"/>
      <c r="DF1100" s="123"/>
      <c r="DG1100" s="123"/>
      <c r="DH1100" s="123"/>
      <c r="DI1100" s="123"/>
      <c r="DJ1100" s="123"/>
      <c r="DK1100" s="123"/>
      <c r="DL1100" s="123"/>
      <c r="DM1100" s="123"/>
      <c r="DN1100" s="123"/>
      <c r="DO1100" s="123"/>
      <c r="DP1100" s="123"/>
      <c r="DQ1100" s="123"/>
      <c r="DR1100" s="123"/>
      <c r="DS1100" s="123"/>
      <c r="DT1100" s="123"/>
      <c r="DU1100" s="123"/>
      <c r="DV1100" s="123"/>
      <c r="DW1100" s="123"/>
      <c r="DX1100" s="123"/>
      <c r="DY1100" s="123"/>
      <c r="DZ1100" s="123"/>
      <c r="EA1100" s="123"/>
      <c r="EB1100" s="123"/>
      <c r="EC1100" s="123"/>
      <c r="ED1100" s="123"/>
      <c r="EE1100" s="123"/>
      <c r="EF1100" s="123"/>
      <c r="EG1100" s="123"/>
      <c r="EH1100" s="123"/>
      <c r="EI1100" s="123"/>
      <c r="EJ1100" s="123"/>
      <c r="EK1100" s="123"/>
      <c r="EL1100" s="123"/>
      <c r="EM1100" s="123"/>
      <c r="EN1100" s="123"/>
      <c r="EO1100" s="123"/>
      <c r="EP1100" s="123"/>
      <c r="EQ1100" s="123"/>
      <c r="ER1100" s="123"/>
      <c r="ES1100" s="123"/>
      <c r="ET1100" s="123"/>
      <c r="EU1100" s="123"/>
      <c r="EV1100" s="123"/>
      <c r="EW1100" s="123"/>
      <c r="EX1100" s="123"/>
      <c r="EY1100" s="123"/>
      <c r="EZ1100" s="123"/>
      <c r="FA1100" s="123"/>
      <c r="FB1100" s="123"/>
      <c r="FC1100" s="123"/>
      <c r="FD1100" s="123"/>
      <c r="FE1100" s="123"/>
      <c r="FF1100" s="123"/>
      <c r="FG1100" s="123"/>
      <c r="FH1100" s="123"/>
      <c r="FI1100" s="123"/>
      <c r="FJ1100" s="123"/>
      <c r="FK1100" s="123"/>
      <c r="FL1100" s="123"/>
      <c r="FM1100" s="123"/>
      <c r="FN1100" s="123"/>
      <c r="FO1100" s="123"/>
      <c r="FP1100" s="123"/>
      <c r="FQ1100" s="123"/>
      <c r="FR1100" s="123"/>
      <c r="FS1100" s="123"/>
      <c r="FT1100" s="123"/>
      <c r="FU1100" s="123"/>
      <c r="FV1100" s="123"/>
      <c r="FW1100" s="123"/>
      <c r="FX1100" s="123"/>
      <c r="FY1100" s="123"/>
      <c r="FZ1100" s="123"/>
      <c r="GA1100" s="123"/>
      <c r="GB1100" s="123"/>
      <c r="GC1100" s="123"/>
      <c r="GD1100" s="123"/>
      <c r="GE1100" s="123"/>
      <c r="GF1100" s="123"/>
      <c r="GG1100" s="123"/>
      <c r="GH1100" s="123"/>
      <c r="GI1100" s="123"/>
      <c r="GJ1100" s="123"/>
      <c r="GK1100" s="123"/>
      <c r="GL1100" s="123"/>
      <c r="GM1100" s="123"/>
      <c r="GN1100" s="123"/>
      <c r="GO1100" s="123"/>
      <c r="GP1100" s="123"/>
      <c r="GQ1100" s="123"/>
      <c r="GR1100" s="123"/>
      <c r="GS1100" s="123"/>
      <c r="GT1100" s="123"/>
      <c r="GU1100" s="123"/>
      <c r="GV1100" s="123"/>
      <c r="GW1100" s="123"/>
      <c r="GX1100" s="123"/>
      <c r="GY1100" s="123"/>
      <c r="GZ1100" s="123"/>
      <c r="HA1100" s="123"/>
      <c r="HB1100" s="123"/>
      <c r="HC1100" s="123"/>
      <c r="HD1100" s="123"/>
      <c r="HE1100" s="123"/>
      <c r="HF1100" s="123"/>
      <c r="HG1100" s="123"/>
      <c r="HH1100" s="123"/>
      <c r="HI1100" s="123"/>
      <c r="HJ1100" s="123"/>
      <c r="HK1100" s="123"/>
      <c r="HL1100" s="123"/>
      <c r="HM1100" s="123"/>
      <c r="HN1100" s="123"/>
      <c r="HO1100" s="123"/>
      <c r="HP1100" s="123"/>
      <c r="HQ1100" s="123"/>
      <c r="HR1100" s="123"/>
      <c r="HS1100" s="123"/>
      <c r="HT1100" s="123"/>
      <c r="HU1100" s="123"/>
      <c r="HV1100" s="123"/>
      <c r="HW1100" s="123"/>
      <c r="HX1100" s="123"/>
      <c r="HY1100" s="123"/>
      <c r="HZ1100" s="123"/>
      <c r="IA1100" s="123"/>
      <c r="IB1100" s="123"/>
      <c r="IC1100" s="123"/>
      <c r="ID1100" s="123"/>
      <c r="IE1100" s="123"/>
      <c r="IF1100" s="123"/>
      <c r="IG1100" s="123"/>
      <c r="IH1100" s="123"/>
      <c r="II1100" s="123"/>
      <c r="IJ1100" s="123"/>
      <c r="IK1100" s="123"/>
      <c r="IL1100" s="123"/>
      <c r="IM1100" s="123"/>
      <c r="IN1100" s="123"/>
      <c r="IO1100" s="123"/>
      <c r="IP1100" s="123"/>
      <c r="IQ1100" s="123"/>
      <c r="IR1100" s="123"/>
      <c r="IS1100" s="123"/>
      <c r="IT1100" s="123"/>
      <c r="IU1100" s="123"/>
      <c r="IV1100" s="123"/>
      <c r="IW1100" s="123"/>
      <c r="IX1100" s="123"/>
      <c r="IY1100" s="123"/>
      <c r="IZ1100" s="123"/>
      <c r="JA1100" s="123"/>
      <c r="JB1100" s="123"/>
      <c r="JC1100" s="123"/>
      <c r="JD1100" s="123"/>
      <c r="JE1100" s="123"/>
      <c r="JF1100" s="123"/>
      <c r="JG1100" s="123"/>
      <c r="JH1100" s="123"/>
      <c r="JI1100" s="123"/>
      <c r="JJ1100" s="123"/>
      <c r="JK1100" s="123"/>
      <c r="JL1100" s="123"/>
      <c r="JM1100" s="123"/>
      <c r="JN1100" s="123"/>
      <c r="JO1100" s="123"/>
      <c r="JP1100" s="123"/>
      <c r="JQ1100" s="123"/>
      <c r="JR1100" s="123"/>
      <c r="JS1100" s="123"/>
      <c r="JT1100" s="123"/>
      <c r="JU1100" s="123"/>
      <c r="JV1100" s="123"/>
      <c r="JW1100" s="123"/>
      <c r="JX1100" s="123"/>
      <c r="JY1100" s="123"/>
      <c r="JZ1100" s="123"/>
      <c r="KA1100" s="123"/>
      <c r="KB1100" s="123"/>
      <c r="KC1100" s="123"/>
      <c r="KD1100" s="123"/>
      <c r="KE1100" s="123"/>
      <c r="KF1100" s="123"/>
      <c r="KG1100" s="123"/>
      <c r="KH1100" s="123"/>
      <c r="KI1100" s="123"/>
      <c r="KJ1100" s="123"/>
      <c r="KK1100" s="123"/>
      <c r="KL1100" s="123"/>
      <c r="KM1100" s="123"/>
      <c r="KN1100" s="123"/>
      <c r="KO1100" s="123"/>
      <c r="KP1100" s="123"/>
      <c r="KQ1100" s="123"/>
      <c r="KR1100" s="123"/>
      <c r="KS1100" s="123"/>
      <c r="KT1100" s="123"/>
      <c r="KU1100" s="123"/>
      <c r="KV1100" s="123"/>
      <c r="KW1100" s="123"/>
      <c r="KX1100" s="123"/>
      <c r="KY1100" s="123"/>
      <c r="KZ1100" s="123"/>
      <c r="LA1100" s="123"/>
      <c r="LB1100" s="123"/>
      <c r="LC1100" s="123"/>
      <c r="LD1100" s="123"/>
      <c r="LE1100" s="123"/>
      <c r="LF1100" s="123"/>
      <c r="LG1100" s="123"/>
      <c r="LH1100" s="123"/>
      <c r="LI1100" s="123"/>
      <c r="LJ1100" s="123"/>
      <c r="LK1100" s="123"/>
      <c r="LL1100" s="123"/>
      <c r="LM1100" s="123"/>
      <c r="LN1100" s="123"/>
      <c r="LO1100" s="123"/>
      <c r="LP1100" s="123"/>
      <c r="LQ1100" s="123"/>
      <c r="LR1100" s="123"/>
      <c r="LS1100" s="123"/>
      <c r="LT1100" s="123"/>
      <c r="LU1100" s="123"/>
      <c r="LV1100" s="123"/>
      <c r="LW1100" s="123"/>
      <c r="LX1100" s="123"/>
      <c r="LY1100" s="123"/>
      <c r="LZ1100" s="123"/>
      <c r="MA1100" s="123"/>
      <c r="MB1100" s="123"/>
      <c r="MC1100" s="123"/>
      <c r="MD1100" s="123"/>
      <c r="ME1100" s="123"/>
      <c r="MF1100" s="123"/>
      <c r="MG1100" s="123"/>
      <c r="MH1100" s="123"/>
      <c r="MI1100" s="123"/>
      <c r="MJ1100" s="123"/>
      <c r="MK1100" s="123"/>
      <c r="ML1100" s="123"/>
      <c r="MM1100" s="123"/>
      <c r="MN1100" s="123"/>
      <c r="MO1100" s="123"/>
      <c r="MP1100" s="123"/>
      <c r="MQ1100" s="123"/>
      <c r="MR1100" s="123"/>
      <c r="MS1100" s="123"/>
      <c r="MT1100" s="123"/>
      <c r="MU1100" s="123"/>
      <c r="MV1100" s="123"/>
      <c r="MW1100" s="123"/>
      <c r="MX1100" s="123"/>
      <c r="MY1100" s="123"/>
      <c r="MZ1100" s="123"/>
      <c r="NA1100" s="123"/>
      <c r="NB1100" s="123"/>
      <c r="NC1100" s="123"/>
      <c r="ND1100" s="123"/>
      <c r="NE1100" s="123"/>
      <c r="NF1100" s="123"/>
      <c r="NG1100" s="123"/>
      <c r="NH1100" s="123"/>
      <c r="NI1100" s="123"/>
      <c r="NJ1100" s="123"/>
      <c r="NK1100" s="123"/>
      <c r="NL1100" s="123"/>
      <c r="NM1100" s="123"/>
      <c r="NN1100" s="123"/>
      <c r="NO1100" s="123"/>
      <c r="NP1100" s="123"/>
      <c r="NQ1100" s="123"/>
      <c r="NR1100" s="123"/>
      <c r="NS1100" s="123"/>
      <c r="NT1100" s="123"/>
      <c r="NU1100" s="123"/>
      <c r="NV1100" s="123"/>
      <c r="NW1100" s="123"/>
      <c r="NX1100" s="123"/>
      <c r="NY1100" s="123"/>
      <c r="NZ1100" s="123"/>
      <c r="OA1100" s="123"/>
      <c r="OB1100" s="123"/>
      <c r="OC1100" s="123"/>
      <c r="OD1100" s="123"/>
      <c r="OE1100" s="123"/>
      <c r="OF1100" s="123"/>
      <c r="OG1100" s="123"/>
      <c r="OH1100" s="123"/>
      <c r="OI1100" s="123"/>
      <c r="OJ1100" s="123"/>
      <c r="OK1100" s="123"/>
      <c r="OL1100" s="123"/>
      <c r="OM1100" s="123"/>
      <c r="ON1100" s="123"/>
      <c r="OO1100" s="123"/>
      <c r="OP1100" s="123"/>
      <c r="OQ1100" s="123"/>
      <c r="OR1100" s="123"/>
      <c r="OS1100" s="123"/>
      <c r="OT1100" s="123"/>
      <c r="OU1100" s="123"/>
      <c r="OV1100" s="123"/>
      <c r="OW1100" s="123"/>
      <c r="OX1100" s="123"/>
      <c r="OY1100" s="123"/>
      <c r="OZ1100" s="123"/>
      <c r="PA1100" s="123"/>
      <c r="PB1100" s="123"/>
      <c r="PC1100" s="123"/>
      <c r="PD1100" s="123"/>
      <c r="PE1100" s="123"/>
      <c r="PF1100" s="123"/>
      <c r="PG1100" s="123"/>
      <c r="PH1100" s="123"/>
      <c r="PI1100" s="123"/>
      <c r="PJ1100" s="123"/>
      <c r="PK1100" s="123"/>
      <c r="PL1100" s="123"/>
      <c r="PM1100" s="123"/>
      <c r="PN1100" s="123"/>
      <c r="PO1100" s="123"/>
      <c r="PP1100" s="123"/>
      <c r="PQ1100" s="123"/>
      <c r="PR1100" s="123"/>
      <c r="PS1100" s="123"/>
      <c r="PT1100" s="123"/>
      <c r="PU1100" s="123"/>
      <c r="PV1100" s="123"/>
      <c r="PW1100" s="123"/>
      <c r="PX1100" s="123"/>
      <c r="PY1100" s="123"/>
      <c r="PZ1100" s="123"/>
      <c r="QA1100" s="123"/>
      <c r="QB1100" s="123"/>
      <c r="QC1100" s="123"/>
      <c r="QD1100" s="123"/>
      <c r="QE1100" s="123"/>
      <c r="QF1100" s="123"/>
      <c r="QG1100" s="123"/>
      <c r="QH1100" s="123"/>
      <c r="QI1100" s="123"/>
      <c r="QJ1100" s="123"/>
      <c r="QK1100" s="123"/>
      <c r="QL1100" s="123"/>
      <c r="QM1100" s="123"/>
      <c r="QN1100" s="123"/>
      <c r="QO1100" s="123"/>
      <c r="QP1100" s="123"/>
      <c r="QQ1100" s="123"/>
      <c r="QR1100" s="123"/>
      <c r="QS1100" s="123"/>
      <c r="QT1100" s="123"/>
      <c r="QU1100" s="123"/>
      <c r="QV1100" s="123"/>
      <c r="QW1100" s="123"/>
      <c r="QX1100" s="123"/>
      <c r="QY1100" s="123"/>
      <c r="QZ1100" s="123"/>
      <c r="RA1100" s="123"/>
      <c r="RB1100" s="123"/>
      <c r="RC1100" s="123"/>
      <c r="RD1100" s="123"/>
      <c r="RE1100" s="123"/>
      <c r="RF1100" s="123"/>
      <c r="RG1100" s="123"/>
      <c r="RH1100" s="123"/>
      <c r="RI1100" s="123"/>
      <c r="RJ1100" s="123"/>
      <c r="RK1100" s="123"/>
      <c r="RL1100" s="123"/>
      <c r="RM1100" s="123"/>
      <c r="RN1100" s="123"/>
      <c r="RO1100" s="123"/>
      <c r="RP1100" s="123"/>
      <c r="RQ1100" s="123"/>
      <c r="RR1100" s="123"/>
      <c r="RS1100" s="123"/>
      <c r="RT1100" s="123"/>
      <c r="RU1100" s="123"/>
      <c r="RV1100" s="123"/>
      <c r="RW1100" s="123"/>
      <c r="RX1100" s="123"/>
      <c r="RY1100" s="123"/>
      <c r="RZ1100" s="123"/>
      <c r="SA1100" s="123"/>
      <c r="SB1100" s="123"/>
      <c r="SC1100" s="123"/>
      <c r="SD1100" s="123"/>
      <c r="SE1100" s="123"/>
      <c r="SF1100" s="123"/>
      <c r="SG1100" s="123"/>
      <c r="SH1100" s="123"/>
      <c r="SI1100" s="123"/>
      <c r="SJ1100" s="123"/>
      <c r="SK1100" s="123"/>
      <c r="SL1100" s="123"/>
      <c r="SM1100" s="123"/>
      <c r="SN1100" s="123"/>
      <c r="SO1100" s="123"/>
      <c r="SP1100" s="123"/>
      <c r="SQ1100" s="123"/>
      <c r="SR1100" s="123"/>
      <c r="SS1100" s="123"/>
      <c r="ST1100" s="123"/>
      <c r="SU1100" s="123"/>
      <c r="SV1100" s="123"/>
      <c r="SW1100" s="123"/>
      <c r="SX1100" s="123"/>
      <c r="SY1100" s="123"/>
      <c r="SZ1100" s="123"/>
      <c r="TA1100" s="123"/>
      <c r="TB1100" s="123"/>
      <c r="TC1100" s="123"/>
      <c r="TD1100" s="123"/>
      <c r="TE1100" s="123"/>
      <c r="TF1100" s="123"/>
      <c r="TG1100" s="123"/>
      <c r="TH1100" s="123"/>
      <c r="TI1100" s="123"/>
      <c r="TJ1100" s="123"/>
      <c r="TK1100" s="123"/>
      <c r="TL1100" s="123"/>
      <c r="TM1100" s="123"/>
      <c r="TN1100" s="123"/>
      <c r="TO1100" s="123"/>
      <c r="TP1100" s="123"/>
      <c r="TQ1100" s="123"/>
      <c r="TR1100" s="123"/>
      <c r="TS1100" s="123"/>
      <c r="TT1100" s="123"/>
      <c r="TU1100" s="123"/>
      <c r="TV1100" s="123"/>
      <c r="TW1100" s="123"/>
      <c r="TX1100" s="123"/>
      <c r="TY1100" s="123"/>
      <c r="TZ1100" s="123"/>
      <c r="UA1100" s="123"/>
      <c r="UB1100" s="123"/>
      <c r="UC1100" s="123"/>
      <c r="UD1100" s="123"/>
      <c r="UE1100" s="123"/>
      <c r="UF1100" s="123"/>
      <c r="UG1100" s="124"/>
    </row>
    <row r="1101" spans="1:553" s="120" customFormat="1" ht="34.5" customHeight="1">
      <c r="A1101" s="431" t="s">
        <v>30</v>
      </c>
      <c r="B1101" s="541">
        <v>2</v>
      </c>
      <c r="C1101" s="1382" t="s">
        <v>891</v>
      </c>
      <c r="D1101" s="1383"/>
      <c r="E1101" s="1383"/>
      <c r="F1101" s="1384"/>
      <c r="G1101" s="542" t="s">
        <v>33</v>
      </c>
      <c r="H1101" s="543"/>
      <c r="I1101" s="583">
        <f>-((10+7)*2*1.75+(2.3+6.9)*2*1.75)*2</f>
        <v>-183.39999999999998</v>
      </c>
      <c r="J1101" s="990">
        <v>52000</v>
      </c>
      <c r="K1101" s="644"/>
      <c r="L1101" s="1191">
        <f>J1101*I1101</f>
        <v>-9536799.9999999981</v>
      </c>
      <c r="M1101" s="637"/>
      <c r="N1101" s="637"/>
      <c r="O1101" s="544"/>
      <c r="P1101" s="638"/>
      <c r="Q1101" s="634"/>
      <c r="R1101" s="1164"/>
      <c r="S1101" s="308"/>
      <c r="T1101" s="308"/>
      <c r="U1101" s="308"/>
      <c r="V1101" s="308"/>
      <c r="W1101" s="308"/>
      <c r="X1101" s="308"/>
      <c r="Y1101" s="308"/>
      <c r="Z1101" s="604"/>
      <c r="AA1101" s="308"/>
      <c r="AB1101" s="308"/>
      <c r="AC1101" s="545"/>
      <c r="AD1101" s="545"/>
      <c r="AE1101" s="545"/>
      <c r="AF1101" s="545"/>
      <c r="AG1101" s="546"/>
      <c r="AH1101" s="546"/>
      <c r="AI1101" s="546"/>
      <c r="AJ1101" s="546"/>
      <c r="AK1101" s="546"/>
      <c r="AL1101" s="138"/>
      <c r="AM1101" s="138"/>
      <c r="AN1101" s="138"/>
      <c r="AO1101" s="138"/>
      <c r="AP1101" s="138"/>
      <c r="AQ1101" s="139"/>
      <c r="AR1101" s="139"/>
      <c r="AS1101" s="139"/>
      <c r="AT1101" s="139"/>
      <c r="AU1101" s="139"/>
      <c r="AV1101" s="139"/>
      <c r="AW1101" s="139"/>
      <c r="AX1101" s="139"/>
      <c r="AY1101" s="139"/>
      <c r="AZ1101" s="139"/>
      <c r="BA1101" s="139"/>
      <c r="BB1101" s="139"/>
      <c r="BC1101" s="139"/>
      <c r="BD1101" s="139"/>
      <c r="BE1101" s="139"/>
      <c r="BF1101" s="139"/>
      <c r="BG1101" s="139"/>
      <c r="BH1101" s="139"/>
      <c r="BI1101" s="139"/>
      <c r="BJ1101" s="139"/>
      <c r="BK1101" s="139"/>
      <c r="BL1101" s="139"/>
      <c r="BM1101" s="139"/>
      <c r="BN1101" s="139"/>
      <c r="BO1101" s="139"/>
      <c r="BP1101" s="139"/>
      <c r="BQ1101" s="139"/>
      <c r="BR1101" s="139"/>
      <c r="BS1101" s="139"/>
      <c r="BT1101" s="139"/>
      <c r="BU1101" s="139"/>
      <c r="BV1101" s="139"/>
      <c r="BW1101" s="139"/>
      <c r="BX1101" s="139"/>
      <c r="BY1101" s="139"/>
      <c r="BZ1101" s="139"/>
      <c r="CA1101" s="139"/>
      <c r="CB1101" s="139"/>
      <c r="CC1101" s="139"/>
      <c r="CD1101" s="139"/>
      <c r="CE1101" s="139"/>
      <c r="CF1101" s="139"/>
      <c r="CG1101" s="139"/>
      <c r="CH1101" s="139"/>
      <c r="CI1101" s="139"/>
      <c r="CJ1101" s="139"/>
      <c r="CK1101" s="139"/>
      <c r="CL1101" s="139"/>
      <c r="CM1101" s="139"/>
      <c r="CN1101" s="139"/>
      <c r="CO1101" s="139"/>
      <c r="CP1101" s="139"/>
      <c r="CQ1101" s="139"/>
      <c r="CR1101" s="139"/>
      <c r="CS1101" s="139"/>
      <c r="CT1101" s="139"/>
      <c r="CU1101" s="139"/>
      <c r="CV1101" s="139"/>
      <c r="CW1101" s="139"/>
      <c r="CX1101" s="139"/>
      <c r="CY1101" s="139"/>
      <c r="CZ1101" s="139"/>
      <c r="DA1101" s="139"/>
      <c r="DB1101" s="139"/>
      <c r="DC1101" s="139"/>
      <c r="DD1101" s="139"/>
      <c r="DE1101" s="139"/>
      <c r="DF1101" s="139"/>
      <c r="DG1101" s="139"/>
      <c r="DH1101" s="139"/>
      <c r="DI1101" s="139"/>
      <c r="DJ1101" s="139"/>
      <c r="DK1101" s="139"/>
      <c r="DL1101" s="139"/>
      <c r="DM1101" s="139"/>
      <c r="DN1101" s="139"/>
      <c r="DO1101" s="139"/>
      <c r="DP1101" s="139"/>
      <c r="DQ1101" s="139"/>
      <c r="DR1101" s="139"/>
      <c r="DS1101" s="139"/>
      <c r="DT1101" s="139"/>
      <c r="DU1101" s="139"/>
      <c r="DV1101" s="139"/>
      <c r="DW1101" s="139"/>
      <c r="DX1101" s="139"/>
      <c r="DY1101" s="139"/>
      <c r="DZ1101" s="139"/>
      <c r="EA1101" s="139"/>
      <c r="EB1101" s="139"/>
      <c r="EC1101" s="139"/>
      <c r="ED1101" s="139"/>
      <c r="EE1101" s="139"/>
      <c r="EF1101" s="139"/>
      <c r="EG1101" s="139"/>
      <c r="EH1101" s="139"/>
      <c r="EI1101" s="139"/>
      <c r="EJ1101" s="139"/>
      <c r="EK1101" s="139"/>
      <c r="EL1101" s="139"/>
      <c r="EM1101" s="139"/>
      <c r="EN1101" s="139"/>
      <c r="EO1101" s="139"/>
      <c r="EP1101" s="139"/>
      <c r="EQ1101" s="139"/>
      <c r="ER1101" s="139"/>
      <c r="ES1101" s="139"/>
      <c r="ET1101" s="139"/>
      <c r="EU1101" s="139"/>
      <c r="EV1101" s="139"/>
      <c r="EW1101" s="139"/>
      <c r="EX1101" s="139"/>
      <c r="EY1101" s="139"/>
      <c r="EZ1101" s="139"/>
      <c r="FA1101" s="139"/>
      <c r="FB1101" s="139"/>
      <c r="FC1101" s="139"/>
      <c r="FD1101" s="139"/>
      <c r="FE1101" s="139"/>
      <c r="FF1101" s="139"/>
      <c r="FG1101" s="139"/>
      <c r="FH1101" s="139"/>
      <c r="FI1101" s="139"/>
      <c r="FJ1101" s="139"/>
      <c r="FK1101" s="139"/>
      <c r="FL1101" s="139"/>
      <c r="FM1101" s="139"/>
      <c r="FN1101" s="139"/>
      <c r="FO1101" s="139"/>
      <c r="FP1101" s="139"/>
      <c r="FQ1101" s="139"/>
      <c r="FR1101" s="139"/>
      <c r="FS1101" s="139"/>
      <c r="FT1101" s="139"/>
      <c r="FU1101" s="139"/>
      <c r="FV1101" s="139"/>
      <c r="FW1101" s="139"/>
      <c r="FX1101" s="139"/>
      <c r="FY1101" s="139"/>
      <c r="FZ1101" s="139"/>
      <c r="GA1101" s="139"/>
      <c r="GB1101" s="139"/>
      <c r="GC1101" s="139"/>
      <c r="GD1101" s="139"/>
      <c r="GE1101" s="139"/>
      <c r="GF1101" s="139"/>
      <c r="GG1101" s="139"/>
      <c r="GH1101" s="139"/>
      <c r="GI1101" s="139"/>
      <c r="GJ1101" s="139"/>
      <c r="GK1101" s="139"/>
      <c r="GL1101" s="139"/>
      <c r="GM1101" s="139"/>
      <c r="GN1101" s="139"/>
      <c r="GO1101" s="139"/>
      <c r="GP1101" s="139"/>
      <c r="GQ1101" s="139"/>
      <c r="GR1101" s="139"/>
      <c r="GS1101" s="139"/>
      <c r="GT1101" s="139"/>
      <c r="GU1101" s="139"/>
      <c r="GV1101" s="139"/>
      <c r="GW1101" s="139"/>
      <c r="GX1101" s="139"/>
      <c r="GY1101" s="139"/>
      <c r="GZ1101" s="139"/>
      <c r="HA1101" s="139"/>
      <c r="HB1101" s="139"/>
      <c r="HC1101" s="139"/>
      <c r="HD1101" s="139"/>
      <c r="HE1101" s="139"/>
      <c r="HF1101" s="139"/>
      <c r="HG1101" s="139"/>
      <c r="HH1101" s="139"/>
      <c r="HI1101" s="139"/>
      <c r="HJ1101" s="139"/>
      <c r="HK1101" s="139"/>
      <c r="HL1101" s="139"/>
      <c r="HM1101" s="139"/>
      <c r="HN1101" s="139"/>
      <c r="HO1101" s="139"/>
      <c r="HP1101" s="139"/>
      <c r="HQ1101" s="139"/>
      <c r="HR1101" s="139"/>
      <c r="HS1101" s="139"/>
      <c r="HT1101" s="139"/>
      <c r="HU1101" s="139"/>
      <c r="HV1101" s="139"/>
      <c r="HW1101" s="139"/>
      <c r="HX1101" s="139"/>
      <c r="HY1101" s="139"/>
      <c r="HZ1101" s="139"/>
      <c r="IA1101" s="139"/>
      <c r="IB1101" s="139"/>
      <c r="IC1101" s="139"/>
      <c r="ID1101" s="139"/>
      <c r="IE1101" s="139"/>
      <c r="IF1101" s="139"/>
      <c r="IG1101" s="139"/>
      <c r="IH1101" s="139"/>
      <c r="II1101" s="139"/>
      <c r="IJ1101" s="139"/>
      <c r="IK1101" s="139"/>
      <c r="IL1101" s="139"/>
      <c r="IM1101" s="139"/>
      <c r="IN1101" s="139"/>
      <c r="IO1101" s="139"/>
      <c r="IP1101" s="139"/>
      <c r="IQ1101" s="139"/>
      <c r="IR1101" s="139"/>
      <c r="IS1101" s="139"/>
      <c r="IT1101" s="139"/>
      <c r="IU1101" s="139"/>
      <c r="IV1101" s="139"/>
      <c r="IW1101" s="139"/>
      <c r="IX1101" s="139"/>
      <c r="IY1101" s="139"/>
      <c r="IZ1101" s="139"/>
      <c r="JA1101" s="139"/>
      <c r="JB1101" s="139"/>
      <c r="JC1101" s="139"/>
      <c r="JD1101" s="139"/>
      <c r="JE1101" s="139"/>
      <c r="JF1101" s="139"/>
      <c r="JG1101" s="139"/>
      <c r="JH1101" s="139"/>
      <c r="JI1101" s="139"/>
      <c r="JJ1101" s="139"/>
      <c r="JK1101" s="139"/>
      <c r="JL1101" s="139"/>
      <c r="JM1101" s="139"/>
      <c r="JN1101" s="139"/>
      <c r="JO1101" s="139"/>
      <c r="JP1101" s="139"/>
      <c r="JQ1101" s="139"/>
      <c r="JR1101" s="139"/>
      <c r="JS1101" s="139"/>
      <c r="JT1101" s="139"/>
      <c r="JU1101" s="139"/>
      <c r="JV1101" s="139"/>
      <c r="JW1101" s="139"/>
      <c r="JX1101" s="139"/>
      <c r="JY1101" s="139"/>
      <c r="JZ1101" s="139"/>
      <c r="KA1101" s="139"/>
      <c r="KB1101" s="139"/>
      <c r="KC1101" s="139"/>
      <c r="KD1101" s="139"/>
      <c r="KE1101" s="139"/>
      <c r="KF1101" s="139"/>
      <c r="KG1101" s="139"/>
      <c r="KH1101" s="139"/>
      <c r="KI1101" s="139"/>
      <c r="KJ1101" s="139"/>
      <c r="KK1101" s="139"/>
      <c r="KL1101" s="139"/>
      <c r="KM1101" s="139"/>
      <c r="KN1101" s="139"/>
      <c r="KO1101" s="139"/>
      <c r="KP1101" s="139"/>
      <c r="KQ1101" s="139"/>
      <c r="KR1101" s="139"/>
      <c r="KS1101" s="139"/>
      <c r="KT1101" s="139"/>
      <c r="KU1101" s="139"/>
      <c r="KV1101" s="139"/>
      <c r="KW1101" s="139"/>
      <c r="KX1101" s="139"/>
      <c r="KY1101" s="139"/>
      <c r="KZ1101" s="139"/>
      <c r="LA1101" s="139"/>
      <c r="LB1101" s="139"/>
      <c r="LC1101" s="139"/>
      <c r="LD1101" s="139"/>
      <c r="LE1101" s="139"/>
      <c r="LF1101" s="139"/>
      <c r="LG1101" s="139"/>
      <c r="LH1101" s="139"/>
      <c r="LI1101" s="139"/>
      <c r="LJ1101" s="139"/>
      <c r="LK1101" s="139"/>
      <c r="LL1101" s="139"/>
      <c r="LM1101" s="139"/>
      <c r="LN1101" s="139"/>
      <c r="LO1101" s="139"/>
      <c r="LP1101" s="139"/>
      <c r="LQ1101" s="139"/>
      <c r="LR1101" s="139"/>
      <c r="LS1101" s="139"/>
      <c r="LT1101" s="139"/>
      <c r="LU1101" s="139"/>
      <c r="LV1101" s="139"/>
      <c r="LW1101" s="139"/>
      <c r="LX1101" s="139"/>
      <c r="LY1101" s="139"/>
      <c r="LZ1101" s="139"/>
      <c r="MA1101" s="139"/>
      <c r="MB1101" s="139"/>
      <c r="MC1101" s="139"/>
      <c r="MD1101" s="139"/>
      <c r="ME1101" s="139"/>
      <c r="MF1101" s="139"/>
      <c r="MG1101" s="139"/>
      <c r="MH1101" s="139"/>
      <c r="MI1101" s="139"/>
      <c r="MJ1101" s="139"/>
      <c r="MK1101" s="139"/>
      <c r="ML1101" s="139"/>
      <c r="MM1101" s="139"/>
      <c r="MN1101" s="139"/>
      <c r="MO1101" s="139"/>
      <c r="MP1101" s="139"/>
      <c r="MQ1101" s="139"/>
      <c r="MR1101" s="139"/>
      <c r="MS1101" s="139"/>
      <c r="MT1101" s="139"/>
      <c r="MU1101" s="139"/>
      <c r="MV1101" s="139"/>
      <c r="MW1101" s="139"/>
      <c r="MX1101" s="139"/>
      <c r="MY1101" s="139"/>
      <c r="MZ1101" s="139"/>
      <c r="NA1101" s="139"/>
      <c r="NB1101" s="139"/>
      <c r="NC1101" s="139"/>
      <c r="ND1101" s="139"/>
      <c r="NE1101" s="139"/>
      <c r="NF1101" s="139"/>
      <c r="NG1101" s="139"/>
      <c r="NH1101" s="139"/>
      <c r="NI1101" s="139"/>
      <c r="NJ1101" s="139"/>
      <c r="NK1101" s="139"/>
      <c r="NL1101" s="139"/>
      <c r="NM1101" s="139"/>
      <c r="NN1101" s="139"/>
      <c r="NO1101" s="139"/>
      <c r="NP1101" s="139"/>
      <c r="NQ1101" s="139"/>
      <c r="NR1101" s="139"/>
      <c r="NS1101" s="139"/>
      <c r="NT1101" s="139"/>
      <c r="NU1101" s="139"/>
      <c r="NV1101" s="139"/>
      <c r="NW1101" s="139"/>
      <c r="NX1101" s="139"/>
      <c r="NY1101" s="139"/>
      <c r="NZ1101" s="139"/>
      <c r="OA1101" s="139"/>
      <c r="OB1101" s="139"/>
      <c r="OC1101" s="139"/>
      <c r="OD1101" s="139"/>
      <c r="OE1101" s="139"/>
      <c r="OF1101" s="139"/>
      <c r="OG1101" s="139"/>
      <c r="OH1101" s="139"/>
      <c r="OI1101" s="139"/>
      <c r="OJ1101" s="139"/>
      <c r="OK1101" s="139"/>
      <c r="OL1101" s="139"/>
      <c r="OM1101" s="139"/>
      <c r="ON1101" s="139"/>
      <c r="OO1101" s="139"/>
      <c r="OP1101" s="139"/>
      <c r="OQ1101" s="139"/>
      <c r="OR1101" s="139"/>
      <c r="OS1101" s="139"/>
      <c r="OT1101" s="139"/>
      <c r="OU1101" s="139"/>
      <c r="OV1101" s="139"/>
      <c r="OW1101" s="139"/>
      <c r="OX1101" s="139"/>
      <c r="OY1101" s="139"/>
      <c r="OZ1101" s="139"/>
      <c r="PA1101" s="139"/>
      <c r="PB1101" s="139"/>
      <c r="PC1101" s="139"/>
      <c r="PD1101" s="139"/>
      <c r="PE1101" s="139"/>
      <c r="PF1101" s="139"/>
      <c r="PG1101" s="139"/>
      <c r="PH1101" s="139"/>
      <c r="PI1101" s="139"/>
      <c r="PJ1101" s="139"/>
      <c r="PK1101" s="139"/>
      <c r="PL1101" s="139"/>
      <c r="PM1101" s="139"/>
      <c r="PN1101" s="139"/>
      <c r="PO1101" s="139"/>
      <c r="PP1101" s="139"/>
      <c r="PQ1101" s="139"/>
      <c r="PR1101" s="139"/>
      <c r="PS1101" s="139"/>
      <c r="PT1101" s="139"/>
      <c r="PU1101" s="139"/>
      <c r="PV1101" s="139"/>
      <c r="PW1101" s="139"/>
      <c r="PX1101" s="139"/>
      <c r="PY1101" s="139"/>
      <c r="PZ1101" s="139"/>
      <c r="QA1101" s="139"/>
      <c r="QB1101" s="139"/>
      <c r="QC1101" s="139"/>
      <c r="QD1101" s="139"/>
      <c r="QE1101" s="139"/>
      <c r="QF1101" s="139"/>
      <c r="QG1101" s="139"/>
      <c r="QH1101" s="139"/>
      <c r="QI1101" s="139"/>
      <c r="QJ1101" s="139"/>
      <c r="QK1101" s="139"/>
      <c r="QL1101" s="139"/>
      <c r="QM1101" s="139"/>
      <c r="QN1101" s="139"/>
      <c r="QO1101" s="139"/>
      <c r="QP1101" s="139"/>
      <c r="QQ1101" s="139"/>
      <c r="QR1101" s="139"/>
      <c r="QS1101" s="139"/>
      <c r="QT1101" s="139"/>
      <c r="QU1101" s="139"/>
      <c r="QV1101" s="139"/>
      <c r="QW1101" s="139"/>
      <c r="QX1101" s="139"/>
      <c r="QY1101" s="139"/>
      <c r="QZ1101" s="139"/>
      <c r="RA1101" s="139"/>
      <c r="RB1101" s="139"/>
      <c r="RC1101" s="139"/>
      <c r="RD1101" s="139"/>
      <c r="RE1101" s="139"/>
      <c r="RF1101" s="139"/>
      <c r="RG1101" s="139"/>
      <c r="RH1101" s="139"/>
      <c r="RI1101" s="139"/>
      <c r="RJ1101" s="139"/>
      <c r="RK1101" s="139"/>
      <c r="RL1101" s="139"/>
      <c r="RM1101" s="139"/>
      <c r="RN1101" s="139"/>
      <c r="RO1101" s="139"/>
      <c r="RP1101" s="139"/>
      <c r="RQ1101" s="139"/>
      <c r="RR1101" s="139"/>
      <c r="RS1101" s="139"/>
      <c r="RT1101" s="139"/>
      <c r="RU1101" s="139"/>
      <c r="RV1101" s="139"/>
      <c r="RW1101" s="139"/>
      <c r="RX1101" s="139"/>
      <c r="RY1101" s="139"/>
      <c r="RZ1101" s="139"/>
      <c r="SA1101" s="139"/>
      <c r="SB1101" s="139"/>
      <c r="SC1101" s="139"/>
      <c r="SD1101" s="139"/>
      <c r="SE1101" s="139"/>
      <c r="SF1101" s="139"/>
      <c r="SG1101" s="139"/>
      <c r="SH1101" s="139"/>
      <c r="SI1101" s="139"/>
      <c r="SJ1101" s="139"/>
      <c r="SK1101" s="139"/>
      <c r="SL1101" s="139"/>
      <c r="SM1101" s="139"/>
      <c r="SN1101" s="139"/>
      <c r="SO1101" s="139"/>
      <c r="SP1101" s="139"/>
      <c r="SQ1101" s="139"/>
      <c r="SR1101" s="139"/>
      <c r="SS1101" s="139"/>
      <c r="ST1101" s="139"/>
      <c r="SU1101" s="139"/>
      <c r="SV1101" s="139"/>
      <c r="SW1101" s="139"/>
      <c r="SX1101" s="139"/>
      <c r="SY1101" s="139"/>
      <c r="SZ1101" s="139"/>
      <c r="TA1101" s="139"/>
      <c r="TB1101" s="139"/>
      <c r="TC1101" s="139"/>
      <c r="TD1101" s="139"/>
      <c r="TE1101" s="139"/>
      <c r="TF1101" s="139"/>
      <c r="TG1101" s="139"/>
      <c r="TH1101" s="139"/>
      <c r="TI1101" s="139"/>
      <c r="TJ1101" s="139"/>
      <c r="TK1101" s="139"/>
      <c r="TL1101" s="139"/>
      <c r="TM1101" s="139"/>
      <c r="TN1101" s="139"/>
      <c r="TO1101" s="139"/>
      <c r="TP1101" s="139"/>
      <c r="TQ1101" s="139"/>
      <c r="TR1101" s="139"/>
      <c r="TS1101" s="139"/>
      <c r="TT1101" s="139"/>
      <c r="TU1101" s="139"/>
      <c r="TV1101" s="139"/>
      <c r="TW1101" s="139"/>
      <c r="TX1101" s="139"/>
      <c r="TY1101" s="139"/>
      <c r="TZ1101" s="139"/>
      <c r="UA1101" s="139"/>
      <c r="UB1101" s="139"/>
      <c r="UC1101" s="139"/>
      <c r="UD1101" s="139"/>
      <c r="UE1101" s="139"/>
      <c r="UF1101" s="139"/>
      <c r="UG1101" s="119"/>
    </row>
    <row r="1102" spans="1:553" s="120" customFormat="1" ht="34.5" customHeight="1">
      <c r="A1102" s="431" t="s">
        <v>30</v>
      </c>
      <c r="B1102" s="541">
        <v>5</v>
      </c>
      <c r="C1102" s="1382" t="s">
        <v>892</v>
      </c>
      <c r="D1102" s="1383"/>
      <c r="E1102" s="1383"/>
      <c r="F1102" s="1384"/>
      <c r="G1102" s="542" t="s">
        <v>33</v>
      </c>
      <c r="H1102" s="543"/>
      <c r="I1102" s="583">
        <f>-((10+7)*2*1.75+(2.3+6.9)*2*1.75)*2</f>
        <v>-183.39999999999998</v>
      </c>
      <c r="J1102" s="990">
        <v>41700</v>
      </c>
      <c r="K1102" s="644"/>
      <c r="L1102" s="1191">
        <f>J1102*I1102</f>
        <v>-7647779.9999999991</v>
      </c>
      <c r="M1102" s="637"/>
      <c r="N1102" s="637"/>
      <c r="O1102" s="544"/>
      <c r="P1102" s="638"/>
      <c r="Q1102" s="634"/>
      <c r="R1102" s="1164"/>
      <c r="S1102" s="308"/>
      <c r="T1102" s="308"/>
      <c r="U1102" s="308"/>
      <c r="V1102" s="308"/>
      <c r="W1102" s="308"/>
      <c r="X1102" s="308"/>
      <c r="Y1102" s="308"/>
      <c r="Z1102" s="604"/>
      <c r="AA1102" s="308"/>
      <c r="AB1102" s="308"/>
      <c r="AC1102" s="545"/>
      <c r="AD1102" s="545"/>
      <c r="AE1102" s="545"/>
      <c r="AF1102" s="545"/>
      <c r="AG1102" s="546"/>
      <c r="AH1102" s="546"/>
      <c r="AI1102" s="546"/>
      <c r="AJ1102" s="546"/>
      <c r="AK1102" s="546"/>
      <c r="AL1102" s="138"/>
      <c r="AM1102" s="138"/>
      <c r="AN1102" s="138"/>
      <c r="AO1102" s="138"/>
      <c r="AP1102" s="138"/>
      <c r="AQ1102" s="139"/>
      <c r="AR1102" s="139"/>
      <c r="AS1102" s="139"/>
      <c r="AT1102" s="139"/>
      <c r="AU1102" s="139"/>
      <c r="AV1102" s="139"/>
      <c r="AW1102" s="139"/>
      <c r="AX1102" s="139"/>
      <c r="AY1102" s="139"/>
      <c r="AZ1102" s="139"/>
      <c r="BA1102" s="139"/>
      <c r="BB1102" s="139"/>
      <c r="BC1102" s="139"/>
      <c r="BD1102" s="139"/>
      <c r="BE1102" s="139"/>
      <c r="BF1102" s="139"/>
      <c r="BG1102" s="139"/>
      <c r="BH1102" s="139"/>
      <c r="BI1102" s="139"/>
      <c r="BJ1102" s="139"/>
      <c r="BK1102" s="139"/>
      <c r="BL1102" s="139"/>
      <c r="BM1102" s="139"/>
      <c r="BN1102" s="139"/>
      <c r="BO1102" s="139"/>
      <c r="BP1102" s="139"/>
      <c r="BQ1102" s="139"/>
      <c r="BR1102" s="139"/>
      <c r="BS1102" s="139"/>
      <c r="BT1102" s="139"/>
      <c r="BU1102" s="139"/>
      <c r="BV1102" s="139"/>
      <c r="BW1102" s="139"/>
      <c r="BX1102" s="139"/>
      <c r="BY1102" s="139"/>
      <c r="BZ1102" s="139"/>
      <c r="CA1102" s="139"/>
      <c r="CB1102" s="139"/>
      <c r="CC1102" s="139"/>
      <c r="CD1102" s="139"/>
      <c r="CE1102" s="139"/>
      <c r="CF1102" s="139"/>
      <c r="CG1102" s="139"/>
      <c r="CH1102" s="139"/>
      <c r="CI1102" s="139"/>
      <c r="CJ1102" s="139"/>
      <c r="CK1102" s="139"/>
      <c r="CL1102" s="139"/>
      <c r="CM1102" s="139"/>
      <c r="CN1102" s="139"/>
      <c r="CO1102" s="139"/>
      <c r="CP1102" s="139"/>
      <c r="CQ1102" s="139"/>
      <c r="CR1102" s="139"/>
      <c r="CS1102" s="139"/>
      <c r="CT1102" s="139"/>
      <c r="CU1102" s="139"/>
      <c r="CV1102" s="139"/>
      <c r="CW1102" s="139"/>
      <c r="CX1102" s="139"/>
      <c r="CY1102" s="139"/>
      <c r="CZ1102" s="139"/>
      <c r="DA1102" s="139"/>
      <c r="DB1102" s="139"/>
      <c r="DC1102" s="139"/>
      <c r="DD1102" s="139"/>
      <c r="DE1102" s="139"/>
      <c r="DF1102" s="139"/>
      <c r="DG1102" s="139"/>
      <c r="DH1102" s="139"/>
      <c r="DI1102" s="139"/>
      <c r="DJ1102" s="139"/>
      <c r="DK1102" s="139"/>
      <c r="DL1102" s="139"/>
      <c r="DM1102" s="139"/>
      <c r="DN1102" s="139"/>
      <c r="DO1102" s="139"/>
      <c r="DP1102" s="139"/>
      <c r="DQ1102" s="139"/>
      <c r="DR1102" s="139"/>
      <c r="DS1102" s="139"/>
      <c r="DT1102" s="139"/>
      <c r="DU1102" s="139"/>
      <c r="DV1102" s="139"/>
      <c r="DW1102" s="139"/>
      <c r="DX1102" s="139"/>
      <c r="DY1102" s="139"/>
      <c r="DZ1102" s="139"/>
      <c r="EA1102" s="139"/>
      <c r="EB1102" s="139"/>
      <c r="EC1102" s="139"/>
      <c r="ED1102" s="139"/>
      <c r="EE1102" s="139"/>
      <c r="EF1102" s="139"/>
      <c r="EG1102" s="139"/>
      <c r="EH1102" s="139"/>
      <c r="EI1102" s="139"/>
      <c r="EJ1102" s="139"/>
      <c r="EK1102" s="139"/>
      <c r="EL1102" s="139"/>
      <c r="EM1102" s="139"/>
      <c r="EN1102" s="139"/>
      <c r="EO1102" s="139"/>
      <c r="EP1102" s="139"/>
      <c r="EQ1102" s="139"/>
      <c r="ER1102" s="139"/>
      <c r="ES1102" s="139"/>
      <c r="ET1102" s="139"/>
      <c r="EU1102" s="139"/>
      <c r="EV1102" s="139"/>
      <c r="EW1102" s="139"/>
      <c r="EX1102" s="139"/>
      <c r="EY1102" s="139"/>
      <c r="EZ1102" s="139"/>
      <c r="FA1102" s="139"/>
      <c r="FB1102" s="139"/>
      <c r="FC1102" s="139"/>
      <c r="FD1102" s="139"/>
      <c r="FE1102" s="139"/>
      <c r="FF1102" s="139"/>
      <c r="FG1102" s="139"/>
      <c r="FH1102" s="139"/>
      <c r="FI1102" s="139"/>
      <c r="FJ1102" s="139"/>
      <c r="FK1102" s="139"/>
      <c r="FL1102" s="139"/>
      <c r="FM1102" s="139"/>
      <c r="FN1102" s="139"/>
      <c r="FO1102" s="139"/>
      <c r="FP1102" s="139"/>
      <c r="FQ1102" s="139"/>
      <c r="FR1102" s="139"/>
      <c r="FS1102" s="139"/>
      <c r="FT1102" s="139"/>
      <c r="FU1102" s="139"/>
      <c r="FV1102" s="139"/>
      <c r="FW1102" s="139"/>
      <c r="FX1102" s="139"/>
      <c r="FY1102" s="139"/>
      <c r="FZ1102" s="139"/>
      <c r="GA1102" s="139"/>
      <c r="GB1102" s="139"/>
      <c r="GC1102" s="139"/>
      <c r="GD1102" s="139"/>
      <c r="GE1102" s="139"/>
      <c r="GF1102" s="139"/>
      <c r="GG1102" s="139"/>
      <c r="GH1102" s="139"/>
      <c r="GI1102" s="139"/>
      <c r="GJ1102" s="139"/>
      <c r="GK1102" s="139"/>
      <c r="GL1102" s="139"/>
      <c r="GM1102" s="139"/>
      <c r="GN1102" s="139"/>
      <c r="GO1102" s="139"/>
      <c r="GP1102" s="139"/>
      <c r="GQ1102" s="139"/>
      <c r="GR1102" s="139"/>
      <c r="GS1102" s="139"/>
      <c r="GT1102" s="139"/>
      <c r="GU1102" s="139"/>
      <c r="GV1102" s="139"/>
      <c r="GW1102" s="139"/>
      <c r="GX1102" s="139"/>
      <c r="GY1102" s="139"/>
      <c r="GZ1102" s="139"/>
      <c r="HA1102" s="139"/>
      <c r="HB1102" s="139"/>
      <c r="HC1102" s="139"/>
      <c r="HD1102" s="139"/>
      <c r="HE1102" s="139"/>
      <c r="HF1102" s="139"/>
      <c r="HG1102" s="139"/>
      <c r="HH1102" s="139"/>
      <c r="HI1102" s="139"/>
      <c r="HJ1102" s="139"/>
      <c r="HK1102" s="139"/>
      <c r="HL1102" s="139"/>
      <c r="HM1102" s="139"/>
      <c r="HN1102" s="139"/>
      <c r="HO1102" s="139"/>
      <c r="HP1102" s="139"/>
      <c r="HQ1102" s="139"/>
      <c r="HR1102" s="139"/>
      <c r="HS1102" s="139"/>
      <c r="HT1102" s="139"/>
      <c r="HU1102" s="139"/>
      <c r="HV1102" s="139"/>
      <c r="HW1102" s="139"/>
      <c r="HX1102" s="139"/>
      <c r="HY1102" s="139"/>
      <c r="HZ1102" s="139"/>
      <c r="IA1102" s="139"/>
      <c r="IB1102" s="139"/>
      <c r="IC1102" s="139"/>
      <c r="ID1102" s="139"/>
      <c r="IE1102" s="139"/>
      <c r="IF1102" s="139"/>
      <c r="IG1102" s="139"/>
      <c r="IH1102" s="139"/>
      <c r="II1102" s="139"/>
      <c r="IJ1102" s="139"/>
      <c r="IK1102" s="139"/>
      <c r="IL1102" s="139"/>
      <c r="IM1102" s="139"/>
      <c r="IN1102" s="139"/>
      <c r="IO1102" s="139"/>
      <c r="IP1102" s="139"/>
      <c r="IQ1102" s="139"/>
      <c r="IR1102" s="139"/>
      <c r="IS1102" s="139"/>
      <c r="IT1102" s="139"/>
      <c r="IU1102" s="139"/>
      <c r="IV1102" s="139"/>
      <c r="IW1102" s="139"/>
      <c r="IX1102" s="139"/>
      <c r="IY1102" s="139"/>
      <c r="IZ1102" s="139"/>
      <c r="JA1102" s="139"/>
      <c r="JB1102" s="139"/>
      <c r="JC1102" s="139"/>
      <c r="JD1102" s="139"/>
      <c r="JE1102" s="139"/>
      <c r="JF1102" s="139"/>
      <c r="JG1102" s="139"/>
      <c r="JH1102" s="139"/>
      <c r="JI1102" s="139"/>
      <c r="JJ1102" s="139"/>
      <c r="JK1102" s="139"/>
      <c r="JL1102" s="139"/>
      <c r="JM1102" s="139"/>
      <c r="JN1102" s="139"/>
      <c r="JO1102" s="139"/>
      <c r="JP1102" s="139"/>
      <c r="JQ1102" s="139"/>
      <c r="JR1102" s="139"/>
      <c r="JS1102" s="139"/>
      <c r="JT1102" s="139"/>
      <c r="JU1102" s="139"/>
      <c r="JV1102" s="139"/>
      <c r="JW1102" s="139"/>
      <c r="JX1102" s="139"/>
      <c r="JY1102" s="139"/>
      <c r="JZ1102" s="139"/>
      <c r="KA1102" s="139"/>
      <c r="KB1102" s="139"/>
      <c r="KC1102" s="139"/>
      <c r="KD1102" s="139"/>
      <c r="KE1102" s="139"/>
      <c r="KF1102" s="139"/>
      <c r="KG1102" s="139"/>
      <c r="KH1102" s="139"/>
      <c r="KI1102" s="139"/>
      <c r="KJ1102" s="139"/>
      <c r="KK1102" s="139"/>
      <c r="KL1102" s="139"/>
      <c r="KM1102" s="139"/>
      <c r="KN1102" s="139"/>
      <c r="KO1102" s="139"/>
      <c r="KP1102" s="139"/>
      <c r="KQ1102" s="139"/>
      <c r="KR1102" s="139"/>
      <c r="KS1102" s="139"/>
      <c r="KT1102" s="139"/>
      <c r="KU1102" s="139"/>
      <c r="KV1102" s="139"/>
      <c r="KW1102" s="139"/>
      <c r="KX1102" s="139"/>
      <c r="KY1102" s="139"/>
      <c r="KZ1102" s="139"/>
      <c r="LA1102" s="139"/>
      <c r="LB1102" s="139"/>
      <c r="LC1102" s="139"/>
      <c r="LD1102" s="139"/>
      <c r="LE1102" s="139"/>
      <c r="LF1102" s="139"/>
      <c r="LG1102" s="139"/>
      <c r="LH1102" s="139"/>
      <c r="LI1102" s="139"/>
      <c r="LJ1102" s="139"/>
      <c r="LK1102" s="139"/>
      <c r="LL1102" s="139"/>
      <c r="LM1102" s="139"/>
      <c r="LN1102" s="139"/>
      <c r="LO1102" s="139"/>
      <c r="LP1102" s="139"/>
      <c r="LQ1102" s="139"/>
      <c r="LR1102" s="139"/>
      <c r="LS1102" s="139"/>
      <c r="LT1102" s="139"/>
      <c r="LU1102" s="139"/>
      <c r="LV1102" s="139"/>
      <c r="LW1102" s="139"/>
      <c r="LX1102" s="139"/>
      <c r="LY1102" s="139"/>
      <c r="LZ1102" s="139"/>
      <c r="MA1102" s="139"/>
      <c r="MB1102" s="139"/>
      <c r="MC1102" s="139"/>
      <c r="MD1102" s="139"/>
      <c r="ME1102" s="139"/>
      <c r="MF1102" s="139"/>
      <c r="MG1102" s="139"/>
      <c r="MH1102" s="139"/>
      <c r="MI1102" s="139"/>
      <c r="MJ1102" s="139"/>
      <c r="MK1102" s="139"/>
      <c r="ML1102" s="139"/>
      <c r="MM1102" s="139"/>
      <c r="MN1102" s="139"/>
      <c r="MO1102" s="139"/>
      <c r="MP1102" s="139"/>
      <c r="MQ1102" s="139"/>
      <c r="MR1102" s="139"/>
      <c r="MS1102" s="139"/>
      <c r="MT1102" s="139"/>
      <c r="MU1102" s="139"/>
      <c r="MV1102" s="139"/>
      <c r="MW1102" s="139"/>
      <c r="MX1102" s="139"/>
      <c r="MY1102" s="139"/>
      <c r="MZ1102" s="139"/>
      <c r="NA1102" s="139"/>
      <c r="NB1102" s="139"/>
      <c r="NC1102" s="139"/>
      <c r="ND1102" s="139"/>
      <c r="NE1102" s="139"/>
      <c r="NF1102" s="139"/>
      <c r="NG1102" s="139"/>
      <c r="NH1102" s="139"/>
      <c r="NI1102" s="139"/>
      <c r="NJ1102" s="139"/>
      <c r="NK1102" s="139"/>
      <c r="NL1102" s="139"/>
      <c r="NM1102" s="139"/>
      <c r="NN1102" s="139"/>
      <c r="NO1102" s="139"/>
      <c r="NP1102" s="139"/>
      <c r="NQ1102" s="139"/>
      <c r="NR1102" s="139"/>
      <c r="NS1102" s="139"/>
      <c r="NT1102" s="139"/>
      <c r="NU1102" s="139"/>
      <c r="NV1102" s="139"/>
      <c r="NW1102" s="139"/>
      <c r="NX1102" s="139"/>
      <c r="NY1102" s="139"/>
      <c r="NZ1102" s="139"/>
      <c r="OA1102" s="139"/>
      <c r="OB1102" s="139"/>
      <c r="OC1102" s="139"/>
      <c r="OD1102" s="139"/>
      <c r="OE1102" s="139"/>
      <c r="OF1102" s="139"/>
      <c r="OG1102" s="139"/>
      <c r="OH1102" s="139"/>
      <c r="OI1102" s="139"/>
      <c r="OJ1102" s="139"/>
      <c r="OK1102" s="139"/>
      <c r="OL1102" s="139"/>
      <c r="OM1102" s="139"/>
      <c r="ON1102" s="139"/>
      <c r="OO1102" s="139"/>
      <c r="OP1102" s="139"/>
      <c r="OQ1102" s="139"/>
      <c r="OR1102" s="139"/>
      <c r="OS1102" s="139"/>
      <c r="OT1102" s="139"/>
      <c r="OU1102" s="139"/>
      <c r="OV1102" s="139"/>
      <c r="OW1102" s="139"/>
      <c r="OX1102" s="139"/>
      <c r="OY1102" s="139"/>
      <c r="OZ1102" s="139"/>
      <c r="PA1102" s="139"/>
      <c r="PB1102" s="139"/>
      <c r="PC1102" s="139"/>
      <c r="PD1102" s="139"/>
      <c r="PE1102" s="139"/>
      <c r="PF1102" s="139"/>
      <c r="PG1102" s="139"/>
      <c r="PH1102" s="139"/>
      <c r="PI1102" s="139"/>
      <c r="PJ1102" s="139"/>
      <c r="PK1102" s="139"/>
      <c r="PL1102" s="139"/>
      <c r="PM1102" s="139"/>
      <c r="PN1102" s="139"/>
      <c r="PO1102" s="139"/>
      <c r="PP1102" s="139"/>
      <c r="PQ1102" s="139"/>
      <c r="PR1102" s="139"/>
      <c r="PS1102" s="139"/>
      <c r="PT1102" s="139"/>
      <c r="PU1102" s="139"/>
      <c r="PV1102" s="139"/>
      <c r="PW1102" s="139"/>
      <c r="PX1102" s="139"/>
      <c r="PY1102" s="139"/>
      <c r="PZ1102" s="139"/>
      <c r="QA1102" s="139"/>
      <c r="QB1102" s="139"/>
      <c r="QC1102" s="139"/>
      <c r="QD1102" s="139"/>
      <c r="QE1102" s="139"/>
      <c r="QF1102" s="139"/>
      <c r="QG1102" s="139"/>
      <c r="QH1102" s="139"/>
      <c r="QI1102" s="139"/>
      <c r="QJ1102" s="139"/>
      <c r="QK1102" s="139"/>
      <c r="QL1102" s="139"/>
      <c r="QM1102" s="139"/>
      <c r="QN1102" s="139"/>
      <c r="QO1102" s="139"/>
      <c r="QP1102" s="139"/>
      <c r="QQ1102" s="139"/>
      <c r="QR1102" s="139"/>
      <c r="QS1102" s="139"/>
      <c r="QT1102" s="139"/>
      <c r="QU1102" s="139"/>
      <c r="QV1102" s="139"/>
      <c r="QW1102" s="139"/>
      <c r="QX1102" s="139"/>
      <c r="QY1102" s="139"/>
      <c r="QZ1102" s="139"/>
      <c r="RA1102" s="139"/>
      <c r="RB1102" s="139"/>
      <c r="RC1102" s="139"/>
      <c r="RD1102" s="139"/>
      <c r="RE1102" s="139"/>
      <c r="RF1102" s="139"/>
      <c r="RG1102" s="139"/>
      <c r="RH1102" s="139"/>
      <c r="RI1102" s="139"/>
      <c r="RJ1102" s="139"/>
      <c r="RK1102" s="139"/>
      <c r="RL1102" s="139"/>
      <c r="RM1102" s="139"/>
      <c r="RN1102" s="139"/>
      <c r="RO1102" s="139"/>
      <c r="RP1102" s="139"/>
      <c r="RQ1102" s="139"/>
      <c r="RR1102" s="139"/>
      <c r="RS1102" s="139"/>
      <c r="RT1102" s="139"/>
      <c r="RU1102" s="139"/>
      <c r="RV1102" s="139"/>
      <c r="RW1102" s="139"/>
      <c r="RX1102" s="139"/>
      <c r="RY1102" s="139"/>
      <c r="RZ1102" s="139"/>
      <c r="SA1102" s="139"/>
      <c r="SB1102" s="139"/>
      <c r="SC1102" s="139"/>
      <c r="SD1102" s="139"/>
      <c r="SE1102" s="139"/>
      <c r="SF1102" s="139"/>
      <c r="SG1102" s="139"/>
      <c r="SH1102" s="139"/>
      <c r="SI1102" s="139"/>
      <c r="SJ1102" s="139"/>
      <c r="SK1102" s="139"/>
      <c r="SL1102" s="139"/>
      <c r="SM1102" s="139"/>
      <c r="SN1102" s="139"/>
      <c r="SO1102" s="139"/>
      <c r="SP1102" s="139"/>
      <c r="SQ1102" s="139"/>
      <c r="SR1102" s="139"/>
      <c r="SS1102" s="139"/>
      <c r="ST1102" s="139"/>
      <c r="SU1102" s="139"/>
      <c r="SV1102" s="139"/>
      <c r="SW1102" s="139"/>
      <c r="SX1102" s="139"/>
      <c r="SY1102" s="139"/>
      <c r="SZ1102" s="139"/>
      <c r="TA1102" s="139"/>
      <c r="TB1102" s="139"/>
      <c r="TC1102" s="139"/>
      <c r="TD1102" s="139"/>
      <c r="TE1102" s="139"/>
      <c r="TF1102" s="139"/>
      <c r="TG1102" s="139"/>
      <c r="TH1102" s="139"/>
      <c r="TI1102" s="139"/>
      <c r="TJ1102" s="139"/>
      <c r="TK1102" s="139"/>
      <c r="TL1102" s="139"/>
      <c r="TM1102" s="139"/>
      <c r="TN1102" s="139"/>
      <c r="TO1102" s="139"/>
      <c r="TP1102" s="139"/>
      <c r="TQ1102" s="139"/>
      <c r="TR1102" s="139"/>
      <c r="TS1102" s="139"/>
      <c r="TT1102" s="139"/>
      <c r="TU1102" s="139"/>
      <c r="TV1102" s="139"/>
      <c r="TW1102" s="139"/>
      <c r="TX1102" s="139"/>
      <c r="TY1102" s="139"/>
      <c r="TZ1102" s="139"/>
      <c r="UA1102" s="139"/>
      <c r="UB1102" s="139"/>
      <c r="UC1102" s="139"/>
      <c r="UD1102" s="139"/>
      <c r="UE1102" s="139"/>
      <c r="UF1102" s="139"/>
      <c r="UG1102" s="119"/>
    </row>
    <row r="1103" spans="1:553" ht="48" customHeight="1">
      <c r="A1103" s="356" t="s">
        <v>30</v>
      </c>
      <c r="B1103" s="385" t="s">
        <v>634</v>
      </c>
      <c r="C1103" s="1403" t="s">
        <v>1013</v>
      </c>
      <c r="D1103" s="1389"/>
      <c r="E1103" s="1389"/>
      <c r="F1103" s="1390"/>
      <c r="G1103" s="386" t="s">
        <v>33</v>
      </c>
      <c r="H1103" s="370"/>
      <c r="I1103" s="422">
        <f>-((8.8*11.3)+(9.4*2)+(4.2*9.5))</f>
        <v>-158.14000000000001</v>
      </c>
      <c r="J1103" s="477">
        <f>185700-137200</f>
        <v>48500</v>
      </c>
      <c r="K1103" s="388"/>
      <c r="L1103" s="487">
        <f t="shared" si="167"/>
        <v>-7669790.0000000009</v>
      </c>
      <c r="M1103" s="395"/>
      <c r="N1103" s="395"/>
      <c r="O1103" s="366"/>
      <c r="P1103" s="396"/>
      <c r="Q1103" s="473"/>
      <c r="R1103" s="1039"/>
      <c r="S1103" s="308"/>
      <c r="T1103" s="308"/>
      <c r="U1103" s="308"/>
      <c r="V1103" s="308"/>
      <c r="W1103" s="308"/>
      <c r="X1103" s="308"/>
      <c r="Y1103" s="308"/>
      <c r="Z1103" s="604"/>
      <c r="AA1103" s="308"/>
      <c r="AB1103" s="308"/>
      <c r="AC1103" s="449"/>
      <c r="AD1103" s="449"/>
      <c r="AE1103" s="449"/>
      <c r="AF1103" s="449"/>
      <c r="AG1103" s="452"/>
      <c r="AH1103" s="452"/>
      <c r="AI1103" s="452"/>
      <c r="AJ1103" s="452"/>
      <c r="AK1103" s="452"/>
      <c r="AL1103" s="104"/>
      <c r="AM1103" s="32"/>
      <c r="AN1103" s="32"/>
      <c r="AO1103" s="32"/>
      <c r="AP1103" s="32"/>
      <c r="AQ1103" s="31"/>
      <c r="AR1103" s="31"/>
      <c r="AS1103" s="31"/>
      <c r="AT1103" s="31"/>
      <c r="AU1103" s="31"/>
      <c r="AV1103" s="31"/>
      <c r="AW1103" s="31"/>
      <c r="AX1103" s="31"/>
      <c r="AY1103" s="31"/>
      <c r="AZ1103" s="31"/>
      <c r="BA1103" s="31"/>
      <c r="BB1103" s="31"/>
      <c r="BC1103" s="31"/>
      <c r="BD1103" s="31"/>
      <c r="BE1103" s="31"/>
      <c r="BF1103" s="31"/>
      <c r="BG1103" s="31"/>
      <c r="BH1103" s="31"/>
      <c r="BI1103" s="31"/>
      <c r="BJ1103" s="31"/>
      <c r="BK1103" s="31"/>
      <c r="BL1103" s="31"/>
      <c r="BM1103" s="31"/>
      <c r="BN1103" s="31"/>
      <c r="BO1103" s="31"/>
      <c r="BP1103" s="31"/>
      <c r="BQ1103" s="31"/>
      <c r="BR1103" s="31"/>
      <c r="BS1103" s="31"/>
      <c r="BT1103" s="31"/>
      <c r="BU1103" s="31"/>
      <c r="BV1103" s="31"/>
      <c r="BW1103" s="31"/>
      <c r="BX1103" s="31"/>
      <c r="BY1103" s="31"/>
      <c r="BZ1103" s="31"/>
      <c r="CA1103" s="31"/>
      <c r="CB1103" s="31"/>
      <c r="CC1103" s="31"/>
      <c r="CD1103" s="31"/>
      <c r="CE1103" s="31"/>
      <c r="CF1103" s="31"/>
      <c r="CG1103" s="31"/>
      <c r="CH1103" s="31"/>
      <c r="CI1103" s="31"/>
      <c r="CJ1103" s="31"/>
      <c r="CK1103" s="31"/>
      <c r="CL1103" s="31"/>
      <c r="CM1103" s="31"/>
      <c r="CN1103" s="31"/>
      <c r="CO1103" s="31"/>
      <c r="CP1103" s="31"/>
      <c r="CQ1103" s="31"/>
      <c r="CR1103" s="31"/>
      <c r="CS1103" s="31"/>
      <c r="CT1103" s="31"/>
      <c r="CU1103" s="31"/>
      <c r="CV1103" s="31"/>
      <c r="CW1103" s="31"/>
      <c r="CX1103" s="31"/>
      <c r="CY1103" s="31"/>
      <c r="CZ1103" s="31"/>
      <c r="DA1103" s="31"/>
      <c r="DB1103" s="31"/>
      <c r="DC1103" s="31"/>
      <c r="DD1103" s="31"/>
      <c r="DE1103" s="31"/>
      <c r="DF1103" s="31"/>
      <c r="DG1103" s="31"/>
      <c r="DH1103" s="31"/>
      <c r="DI1103" s="31"/>
      <c r="DJ1103" s="31"/>
      <c r="DK1103" s="31"/>
      <c r="DL1103" s="31"/>
      <c r="DM1103" s="31"/>
      <c r="DN1103" s="31"/>
      <c r="DO1103" s="31"/>
      <c r="DP1103" s="31"/>
      <c r="DQ1103" s="31"/>
      <c r="DR1103" s="31"/>
      <c r="DS1103" s="31"/>
      <c r="DT1103" s="31"/>
      <c r="DU1103" s="31"/>
      <c r="DV1103" s="31"/>
      <c r="DW1103" s="31"/>
      <c r="DX1103" s="31"/>
      <c r="DY1103" s="31"/>
      <c r="DZ1103" s="31"/>
      <c r="EA1103" s="31"/>
      <c r="EB1103" s="31"/>
      <c r="EC1103" s="31"/>
      <c r="ED1103" s="31"/>
      <c r="EE1103" s="31"/>
      <c r="EF1103" s="31"/>
      <c r="EG1103" s="31"/>
      <c r="EH1103" s="31"/>
      <c r="EI1103" s="31"/>
      <c r="EJ1103" s="31"/>
      <c r="EK1103" s="31"/>
      <c r="EL1103" s="31"/>
      <c r="EM1103" s="31"/>
      <c r="EN1103" s="31"/>
      <c r="EO1103" s="31"/>
      <c r="EP1103" s="31"/>
      <c r="EQ1103" s="31"/>
      <c r="ER1103" s="31"/>
      <c r="ES1103" s="31"/>
      <c r="ET1103" s="31"/>
      <c r="EU1103" s="31"/>
      <c r="EV1103" s="31"/>
      <c r="EW1103" s="31"/>
      <c r="EX1103" s="31"/>
      <c r="EY1103" s="31"/>
      <c r="EZ1103" s="31"/>
      <c r="FA1103" s="31"/>
      <c r="FB1103" s="31"/>
      <c r="FC1103" s="31"/>
      <c r="FD1103" s="31"/>
      <c r="FE1103" s="31"/>
      <c r="FF1103" s="31"/>
      <c r="FG1103" s="31"/>
      <c r="FH1103" s="31"/>
      <c r="FI1103" s="31"/>
      <c r="FJ1103" s="31"/>
      <c r="FK1103" s="31"/>
      <c r="FL1103" s="31"/>
      <c r="FM1103" s="31"/>
      <c r="FN1103" s="31"/>
      <c r="FO1103" s="31"/>
      <c r="FP1103" s="31"/>
      <c r="FQ1103" s="31"/>
      <c r="FR1103" s="31"/>
      <c r="FS1103" s="31"/>
      <c r="FT1103" s="31"/>
      <c r="FU1103" s="31"/>
      <c r="FV1103" s="31"/>
      <c r="FW1103" s="31"/>
      <c r="FX1103" s="31"/>
      <c r="FY1103" s="31"/>
      <c r="FZ1103" s="31"/>
      <c r="GA1103" s="31"/>
      <c r="GB1103" s="31"/>
      <c r="GC1103" s="31"/>
      <c r="GD1103" s="31"/>
      <c r="GE1103" s="31"/>
      <c r="GF1103" s="31"/>
      <c r="GG1103" s="31"/>
      <c r="GH1103" s="31"/>
      <c r="GI1103" s="31"/>
      <c r="GJ1103" s="31"/>
      <c r="GK1103" s="31"/>
      <c r="GL1103" s="31"/>
      <c r="GM1103" s="31"/>
      <c r="GN1103" s="31"/>
      <c r="GO1103" s="31"/>
      <c r="GP1103" s="31"/>
      <c r="GQ1103" s="31"/>
      <c r="GR1103" s="31"/>
      <c r="GS1103" s="31"/>
      <c r="GT1103" s="31"/>
      <c r="GU1103" s="31"/>
      <c r="GV1103" s="31"/>
      <c r="GW1103" s="31"/>
      <c r="GX1103" s="31"/>
      <c r="GY1103" s="31"/>
      <c r="GZ1103" s="31"/>
      <c r="HA1103" s="31"/>
      <c r="HB1103" s="31"/>
      <c r="HC1103" s="31"/>
      <c r="HD1103" s="31"/>
      <c r="HE1103" s="31"/>
      <c r="HF1103" s="31"/>
      <c r="HG1103" s="31"/>
      <c r="HH1103" s="31"/>
      <c r="HI1103" s="31"/>
      <c r="HJ1103" s="31"/>
      <c r="HK1103" s="31"/>
      <c r="HL1103" s="31"/>
      <c r="HM1103" s="31"/>
      <c r="HN1103" s="31"/>
      <c r="HO1103" s="31"/>
      <c r="HP1103" s="31"/>
      <c r="HQ1103" s="31"/>
      <c r="HR1103" s="31"/>
      <c r="HS1103" s="31"/>
      <c r="HT1103" s="31"/>
      <c r="HU1103" s="31"/>
      <c r="HV1103" s="31"/>
      <c r="HW1103" s="31"/>
      <c r="HX1103" s="31"/>
      <c r="HY1103" s="31"/>
      <c r="HZ1103" s="31"/>
      <c r="IA1103" s="31"/>
      <c r="IB1103" s="31"/>
      <c r="IC1103" s="31"/>
      <c r="ID1103" s="31"/>
      <c r="IE1103" s="31"/>
      <c r="IF1103" s="31"/>
      <c r="IG1103" s="31"/>
      <c r="IH1103" s="31"/>
      <c r="II1103" s="31"/>
      <c r="IJ1103" s="31"/>
      <c r="IK1103" s="31"/>
      <c r="IL1103" s="31"/>
      <c r="IM1103" s="31"/>
      <c r="IN1103" s="31"/>
      <c r="IO1103" s="31"/>
      <c r="IP1103" s="31"/>
      <c r="IQ1103" s="31"/>
      <c r="IR1103" s="31"/>
      <c r="IS1103" s="31"/>
      <c r="IT1103" s="31"/>
      <c r="IU1103" s="31"/>
      <c r="IV1103" s="31"/>
      <c r="IW1103" s="31"/>
      <c r="IX1103" s="31"/>
      <c r="IY1103" s="31"/>
      <c r="IZ1103" s="31"/>
      <c r="JA1103" s="31"/>
      <c r="JB1103" s="31"/>
      <c r="JC1103" s="31"/>
      <c r="JD1103" s="31"/>
      <c r="JE1103" s="31"/>
      <c r="JF1103" s="31"/>
      <c r="JG1103" s="31"/>
      <c r="JH1103" s="31"/>
      <c r="JI1103" s="31"/>
      <c r="JJ1103" s="31"/>
      <c r="JK1103" s="31"/>
      <c r="JL1103" s="31"/>
      <c r="JM1103" s="31"/>
      <c r="JN1103" s="31"/>
      <c r="JO1103" s="31"/>
      <c r="JP1103" s="31"/>
      <c r="JQ1103" s="31"/>
      <c r="JR1103" s="31"/>
      <c r="JS1103" s="31"/>
      <c r="JT1103" s="31"/>
      <c r="JU1103" s="31"/>
      <c r="JV1103" s="31"/>
      <c r="JW1103" s="31"/>
      <c r="JX1103" s="31"/>
      <c r="JY1103" s="31"/>
      <c r="JZ1103" s="31"/>
      <c r="KA1103" s="31"/>
      <c r="KB1103" s="31"/>
      <c r="KC1103" s="31"/>
      <c r="KD1103" s="31"/>
      <c r="KE1103" s="31"/>
      <c r="KF1103" s="31"/>
      <c r="KG1103" s="31"/>
      <c r="KH1103" s="31"/>
      <c r="KI1103" s="31"/>
      <c r="KJ1103" s="31"/>
      <c r="KK1103" s="31"/>
      <c r="KL1103" s="31"/>
      <c r="KM1103" s="31"/>
      <c r="KN1103" s="31"/>
      <c r="KO1103" s="31"/>
      <c r="KP1103" s="31"/>
      <c r="KQ1103" s="31"/>
      <c r="KR1103" s="31"/>
      <c r="KS1103" s="31"/>
      <c r="KT1103" s="31"/>
      <c r="KU1103" s="31"/>
      <c r="KV1103" s="31"/>
      <c r="KW1103" s="31"/>
      <c r="KX1103" s="31"/>
      <c r="KY1103" s="31"/>
      <c r="KZ1103" s="31"/>
      <c r="LA1103" s="31"/>
      <c r="LB1103" s="31"/>
      <c r="LC1103" s="31"/>
      <c r="LD1103" s="31"/>
      <c r="LE1103" s="31"/>
      <c r="LF1103" s="31"/>
      <c r="LG1103" s="31"/>
      <c r="LH1103" s="31"/>
      <c r="LI1103" s="31"/>
      <c r="LJ1103" s="31"/>
      <c r="LK1103" s="31"/>
      <c r="LL1103" s="31"/>
      <c r="LM1103" s="31"/>
      <c r="LN1103" s="31"/>
      <c r="LO1103" s="31"/>
      <c r="LP1103" s="31"/>
      <c r="LQ1103" s="31"/>
      <c r="LR1103" s="31"/>
      <c r="LS1103" s="31"/>
      <c r="LT1103" s="31"/>
      <c r="LU1103" s="31"/>
      <c r="LV1103" s="31"/>
      <c r="LW1103" s="31"/>
      <c r="LX1103" s="31"/>
      <c r="LY1103" s="31"/>
      <c r="LZ1103" s="31"/>
      <c r="MA1103" s="31"/>
      <c r="MB1103" s="31"/>
      <c r="MC1103" s="31"/>
      <c r="MD1103" s="31"/>
      <c r="ME1103" s="31"/>
      <c r="MF1103" s="31"/>
      <c r="MG1103" s="31"/>
      <c r="MH1103" s="31"/>
      <c r="MI1103" s="31"/>
      <c r="MJ1103" s="31"/>
      <c r="MK1103" s="31"/>
      <c r="ML1103" s="31"/>
      <c r="MM1103" s="31"/>
      <c r="MN1103" s="31"/>
      <c r="MO1103" s="31"/>
      <c r="MP1103" s="31"/>
      <c r="MQ1103" s="31"/>
      <c r="MR1103" s="31"/>
      <c r="MS1103" s="31"/>
      <c r="MT1103" s="31"/>
      <c r="MU1103" s="31"/>
      <c r="MV1103" s="31"/>
      <c r="MW1103" s="31"/>
      <c r="MX1103" s="31"/>
      <c r="MY1103" s="31"/>
      <c r="MZ1103" s="31"/>
      <c r="NA1103" s="31"/>
      <c r="NB1103" s="31"/>
      <c r="NC1103" s="31"/>
      <c r="ND1103" s="31"/>
      <c r="NE1103" s="31"/>
      <c r="NF1103" s="31"/>
      <c r="NG1103" s="31"/>
      <c r="NH1103" s="31"/>
      <c r="NI1103" s="31"/>
      <c r="NJ1103" s="31"/>
      <c r="NK1103" s="31"/>
      <c r="NL1103" s="31"/>
      <c r="NM1103" s="31"/>
      <c r="NN1103" s="31"/>
      <c r="NO1103" s="31"/>
      <c r="NP1103" s="31"/>
      <c r="NQ1103" s="31"/>
      <c r="NR1103" s="31"/>
      <c r="NS1103" s="31"/>
      <c r="NT1103" s="31"/>
      <c r="NU1103" s="31"/>
      <c r="NV1103" s="31"/>
      <c r="NW1103" s="31"/>
      <c r="NX1103" s="31"/>
      <c r="NY1103" s="31"/>
      <c r="NZ1103" s="31"/>
      <c r="OA1103" s="31"/>
      <c r="OB1103" s="31"/>
      <c r="OC1103" s="31"/>
      <c r="OD1103" s="31"/>
      <c r="OE1103" s="31"/>
      <c r="OF1103" s="31"/>
      <c r="OG1103" s="31"/>
      <c r="OH1103" s="31"/>
      <c r="OI1103" s="31"/>
      <c r="OJ1103" s="31"/>
      <c r="OK1103" s="31"/>
      <c r="OL1103" s="31"/>
      <c r="OM1103" s="31"/>
      <c r="ON1103" s="31"/>
      <c r="OO1103" s="31"/>
      <c r="OP1103" s="31"/>
      <c r="OQ1103" s="31"/>
      <c r="OR1103" s="31"/>
      <c r="OS1103" s="31"/>
      <c r="OT1103" s="31"/>
      <c r="OU1103" s="31"/>
      <c r="OV1103" s="31"/>
      <c r="OW1103" s="31"/>
      <c r="OX1103" s="31"/>
      <c r="OY1103" s="31"/>
      <c r="OZ1103" s="31"/>
      <c r="PA1103" s="31"/>
      <c r="PB1103" s="31"/>
      <c r="PC1103" s="31"/>
      <c r="PD1103" s="31"/>
      <c r="PE1103" s="31"/>
      <c r="PF1103" s="31"/>
      <c r="PG1103" s="31"/>
      <c r="PH1103" s="31"/>
      <c r="PI1103" s="31"/>
      <c r="PJ1103" s="31"/>
      <c r="PK1103" s="31"/>
      <c r="PL1103" s="31"/>
      <c r="PM1103" s="31"/>
      <c r="PN1103" s="31"/>
      <c r="PO1103" s="31"/>
      <c r="PP1103" s="31"/>
      <c r="PQ1103" s="31"/>
      <c r="PR1103" s="31"/>
      <c r="PS1103" s="31"/>
      <c r="PT1103" s="31"/>
      <c r="PU1103" s="31"/>
      <c r="PV1103" s="31"/>
      <c r="PW1103" s="31"/>
      <c r="PX1103" s="31"/>
      <c r="PY1103" s="31"/>
      <c r="PZ1103" s="31"/>
      <c r="QA1103" s="31"/>
      <c r="QB1103" s="31"/>
      <c r="QC1103" s="31"/>
      <c r="QD1103" s="31"/>
      <c r="QE1103" s="31"/>
      <c r="QF1103" s="31"/>
      <c r="QG1103" s="31"/>
      <c r="QH1103" s="31"/>
      <c r="QI1103" s="31"/>
      <c r="QJ1103" s="31"/>
      <c r="QK1103" s="31"/>
      <c r="QL1103" s="31"/>
      <c r="QM1103" s="31"/>
      <c r="QN1103" s="31"/>
      <c r="QO1103" s="31"/>
      <c r="QP1103" s="31"/>
      <c r="QQ1103" s="31"/>
      <c r="QR1103" s="31"/>
      <c r="QS1103" s="31"/>
      <c r="QT1103" s="31"/>
      <c r="QU1103" s="31"/>
      <c r="QV1103" s="31"/>
      <c r="QW1103" s="31"/>
      <c r="QX1103" s="31"/>
      <c r="QY1103" s="31"/>
      <c r="QZ1103" s="31"/>
      <c r="RA1103" s="31"/>
      <c r="RB1103" s="31"/>
      <c r="RC1103" s="31"/>
      <c r="RD1103" s="31"/>
      <c r="RE1103" s="31"/>
      <c r="RF1103" s="31"/>
      <c r="RG1103" s="31"/>
      <c r="RH1103" s="31"/>
      <c r="RI1103" s="31"/>
      <c r="RJ1103" s="31"/>
      <c r="RK1103" s="31"/>
      <c r="RL1103" s="31"/>
      <c r="RM1103" s="31"/>
      <c r="RN1103" s="31"/>
      <c r="RO1103" s="31"/>
      <c r="RP1103" s="31"/>
      <c r="RQ1103" s="31"/>
      <c r="RR1103" s="31"/>
      <c r="RS1103" s="31"/>
      <c r="RT1103" s="31"/>
      <c r="RU1103" s="31"/>
      <c r="RV1103" s="31"/>
      <c r="RW1103" s="31"/>
      <c r="RX1103" s="31"/>
      <c r="RY1103" s="31"/>
      <c r="RZ1103" s="31"/>
      <c r="SA1103" s="31"/>
      <c r="SB1103" s="31"/>
      <c r="SC1103" s="31"/>
      <c r="SD1103" s="31"/>
      <c r="SE1103" s="31"/>
      <c r="SF1103" s="31"/>
      <c r="SG1103" s="31"/>
      <c r="SH1103" s="31"/>
      <c r="SI1103" s="31"/>
      <c r="SJ1103" s="31"/>
      <c r="SK1103" s="31"/>
      <c r="SL1103" s="31"/>
      <c r="SM1103" s="31"/>
      <c r="SN1103" s="31"/>
      <c r="SO1103" s="31"/>
      <c r="SP1103" s="31"/>
      <c r="SQ1103" s="31"/>
      <c r="SR1103" s="31"/>
      <c r="SS1103" s="31"/>
      <c r="ST1103" s="31"/>
      <c r="SU1103" s="31"/>
      <c r="SV1103" s="31"/>
      <c r="SW1103" s="31"/>
      <c r="SX1103" s="31"/>
      <c r="SY1103" s="31"/>
      <c r="SZ1103" s="31"/>
      <c r="TA1103" s="31"/>
      <c r="TB1103" s="31"/>
      <c r="TC1103" s="31"/>
      <c r="TD1103" s="31"/>
      <c r="TE1103" s="31"/>
      <c r="TF1103" s="31"/>
      <c r="TG1103" s="31"/>
      <c r="TH1103" s="31"/>
      <c r="TI1103" s="31"/>
      <c r="TJ1103" s="31"/>
      <c r="TK1103" s="31"/>
      <c r="TL1103" s="31"/>
      <c r="TM1103" s="31"/>
      <c r="TN1103" s="31"/>
      <c r="TO1103" s="31"/>
      <c r="TP1103" s="31"/>
      <c r="TQ1103" s="31"/>
      <c r="TR1103" s="31"/>
      <c r="TS1103" s="31"/>
      <c r="TT1103" s="31"/>
      <c r="TU1103" s="31"/>
      <c r="TV1103" s="31"/>
      <c r="TW1103" s="31"/>
      <c r="TX1103" s="31"/>
      <c r="TY1103" s="31"/>
      <c r="TZ1103" s="31"/>
      <c r="UA1103" s="31"/>
      <c r="UB1103" s="31"/>
      <c r="UC1103" s="31"/>
      <c r="UD1103" s="31"/>
      <c r="UE1103" s="31"/>
      <c r="UF1103" s="31"/>
      <c r="UG1103" s="33"/>
    </row>
    <row r="1104" spans="1:553" ht="48" customHeight="1">
      <c r="A1104" s="356"/>
      <c r="B1104" s="385"/>
      <c r="C1104" s="1530" t="s">
        <v>1290</v>
      </c>
      <c r="D1104" s="1531"/>
      <c r="E1104" s="1531"/>
      <c r="F1104" s="1532"/>
      <c r="G1104" s="386" t="s">
        <v>33</v>
      </c>
      <c r="H1104" s="370"/>
      <c r="I1104" s="422">
        <f>-I1099</f>
        <v>-158.14000000000001</v>
      </c>
      <c r="J1104" s="477">
        <f>124207-60200</f>
        <v>64007</v>
      </c>
      <c r="K1104" s="388"/>
      <c r="L1104" s="487">
        <f t="shared" si="167"/>
        <v>-10122066.98</v>
      </c>
      <c r="M1104" s="395"/>
      <c r="N1104" s="395"/>
      <c r="O1104" s="366"/>
      <c r="P1104" s="396"/>
      <c r="Q1104" s="473"/>
      <c r="R1104" s="1039"/>
      <c r="S1104" s="308"/>
      <c r="T1104" s="308"/>
      <c r="U1104" s="308"/>
      <c r="V1104" s="308"/>
      <c r="W1104" s="308"/>
      <c r="X1104" s="308"/>
      <c r="Y1104" s="308"/>
      <c r="Z1104" s="604"/>
      <c r="AA1104" s="308"/>
      <c r="AB1104" s="308"/>
      <c r="AC1104" s="449"/>
      <c r="AD1104" s="449"/>
      <c r="AE1104" s="449"/>
      <c r="AF1104" s="449"/>
      <c r="AG1104" s="452"/>
      <c r="AH1104" s="452"/>
      <c r="AI1104" s="452"/>
      <c r="AJ1104" s="452"/>
      <c r="AK1104" s="452"/>
      <c r="AL1104" s="104"/>
      <c r="AM1104" s="104"/>
      <c r="AN1104" s="104"/>
      <c r="AO1104" s="104"/>
      <c r="AP1104" s="104"/>
      <c r="AQ1104" s="106"/>
      <c r="AR1104" s="106"/>
      <c r="AS1104" s="106"/>
      <c r="AT1104" s="106"/>
      <c r="AU1104" s="106"/>
      <c r="AV1104" s="106"/>
      <c r="AW1104" s="106"/>
      <c r="AX1104" s="106"/>
      <c r="AY1104" s="106"/>
      <c r="AZ1104" s="106"/>
      <c r="BA1104" s="106"/>
      <c r="BB1104" s="106"/>
      <c r="BC1104" s="106"/>
      <c r="BD1104" s="106"/>
      <c r="BE1104" s="106"/>
      <c r="BF1104" s="106"/>
      <c r="BG1104" s="106"/>
      <c r="BH1104" s="106"/>
      <c r="BI1104" s="106"/>
      <c r="BJ1104" s="106"/>
      <c r="BK1104" s="106"/>
      <c r="BL1104" s="106"/>
      <c r="BM1104" s="106"/>
      <c r="BN1104" s="106"/>
      <c r="BO1104" s="106"/>
      <c r="BP1104" s="106"/>
      <c r="BQ1104" s="106"/>
      <c r="BR1104" s="106"/>
      <c r="BS1104" s="106"/>
      <c r="BT1104" s="106"/>
      <c r="BU1104" s="106"/>
      <c r="BV1104" s="106"/>
      <c r="BW1104" s="106"/>
      <c r="BX1104" s="106"/>
      <c r="BY1104" s="106"/>
      <c r="BZ1104" s="106"/>
      <c r="CA1104" s="106"/>
      <c r="CB1104" s="106"/>
      <c r="CC1104" s="106"/>
      <c r="CD1104" s="106"/>
      <c r="CE1104" s="106"/>
      <c r="CF1104" s="106"/>
      <c r="CG1104" s="106"/>
      <c r="CH1104" s="106"/>
      <c r="CI1104" s="106"/>
      <c r="CJ1104" s="106"/>
      <c r="CK1104" s="106"/>
      <c r="CL1104" s="106"/>
      <c r="CM1104" s="106"/>
      <c r="CN1104" s="106"/>
      <c r="CO1104" s="106"/>
      <c r="CP1104" s="106"/>
      <c r="CQ1104" s="106"/>
      <c r="CR1104" s="106"/>
      <c r="CS1104" s="106"/>
      <c r="CT1104" s="106"/>
      <c r="CU1104" s="106"/>
      <c r="CV1104" s="106"/>
      <c r="CW1104" s="106"/>
      <c r="CX1104" s="106"/>
      <c r="CY1104" s="106"/>
      <c r="CZ1104" s="106"/>
      <c r="DA1104" s="106"/>
      <c r="DB1104" s="106"/>
      <c r="DC1104" s="106"/>
      <c r="DD1104" s="106"/>
      <c r="DE1104" s="106"/>
      <c r="DF1104" s="106"/>
      <c r="DG1104" s="106"/>
      <c r="DH1104" s="106"/>
      <c r="DI1104" s="106"/>
      <c r="DJ1104" s="106"/>
      <c r="DK1104" s="106"/>
      <c r="DL1104" s="106"/>
      <c r="DM1104" s="106"/>
      <c r="DN1104" s="106"/>
      <c r="DO1104" s="106"/>
      <c r="DP1104" s="106"/>
      <c r="DQ1104" s="106"/>
      <c r="DR1104" s="106"/>
      <c r="DS1104" s="106"/>
      <c r="DT1104" s="106"/>
      <c r="DU1104" s="106"/>
      <c r="DV1104" s="106"/>
      <c r="DW1104" s="106"/>
      <c r="DX1104" s="106"/>
      <c r="DY1104" s="106"/>
      <c r="DZ1104" s="106"/>
      <c r="EA1104" s="106"/>
      <c r="EB1104" s="106"/>
      <c r="EC1104" s="106"/>
      <c r="ED1104" s="106"/>
      <c r="EE1104" s="106"/>
      <c r="EF1104" s="106"/>
      <c r="EG1104" s="106"/>
      <c r="EH1104" s="106"/>
      <c r="EI1104" s="106"/>
      <c r="EJ1104" s="106"/>
      <c r="EK1104" s="106"/>
      <c r="EL1104" s="106"/>
      <c r="EM1104" s="106"/>
      <c r="EN1104" s="106"/>
      <c r="EO1104" s="106"/>
      <c r="EP1104" s="106"/>
      <c r="EQ1104" s="106"/>
      <c r="ER1104" s="106"/>
      <c r="ES1104" s="106"/>
      <c r="ET1104" s="106"/>
      <c r="EU1104" s="106"/>
      <c r="EV1104" s="106"/>
      <c r="EW1104" s="106"/>
      <c r="EX1104" s="106"/>
      <c r="EY1104" s="106"/>
      <c r="EZ1104" s="106"/>
      <c r="FA1104" s="106"/>
      <c r="FB1104" s="106"/>
      <c r="FC1104" s="106"/>
      <c r="FD1104" s="106"/>
      <c r="FE1104" s="106"/>
      <c r="FF1104" s="106"/>
      <c r="FG1104" s="106"/>
      <c r="FH1104" s="106"/>
      <c r="FI1104" s="106"/>
      <c r="FJ1104" s="106"/>
      <c r="FK1104" s="106"/>
      <c r="FL1104" s="106"/>
      <c r="FM1104" s="106"/>
      <c r="FN1104" s="106"/>
      <c r="FO1104" s="106"/>
      <c r="FP1104" s="106"/>
      <c r="FQ1104" s="106"/>
      <c r="FR1104" s="106"/>
      <c r="FS1104" s="106"/>
      <c r="FT1104" s="106"/>
      <c r="FU1104" s="106"/>
      <c r="FV1104" s="106"/>
      <c r="FW1104" s="106"/>
      <c r="FX1104" s="106"/>
      <c r="FY1104" s="106"/>
      <c r="FZ1104" s="106"/>
      <c r="GA1104" s="106"/>
      <c r="GB1104" s="106"/>
      <c r="GC1104" s="106"/>
      <c r="GD1104" s="106"/>
      <c r="GE1104" s="106"/>
      <c r="GF1104" s="106"/>
      <c r="GG1104" s="106"/>
      <c r="GH1104" s="106"/>
      <c r="GI1104" s="106"/>
      <c r="GJ1104" s="106"/>
      <c r="GK1104" s="106"/>
      <c r="GL1104" s="106"/>
      <c r="GM1104" s="106"/>
      <c r="GN1104" s="106"/>
      <c r="GO1104" s="106"/>
      <c r="GP1104" s="106"/>
      <c r="GQ1104" s="106"/>
      <c r="GR1104" s="106"/>
      <c r="GS1104" s="106"/>
      <c r="GT1104" s="106"/>
      <c r="GU1104" s="106"/>
      <c r="GV1104" s="106"/>
      <c r="GW1104" s="106"/>
      <c r="GX1104" s="106"/>
      <c r="GY1104" s="106"/>
      <c r="GZ1104" s="106"/>
      <c r="HA1104" s="106"/>
      <c r="HB1104" s="106"/>
      <c r="HC1104" s="106"/>
      <c r="HD1104" s="106"/>
      <c r="HE1104" s="106"/>
      <c r="HF1104" s="106"/>
      <c r="HG1104" s="106"/>
      <c r="HH1104" s="106"/>
      <c r="HI1104" s="106"/>
      <c r="HJ1104" s="106"/>
      <c r="HK1104" s="106"/>
      <c r="HL1104" s="106"/>
      <c r="HM1104" s="106"/>
      <c r="HN1104" s="106"/>
      <c r="HO1104" s="106"/>
      <c r="HP1104" s="106"/>
      <c r="HQ1104" s="106"/>
      <c r="HR1104" s="106"/>
      <c r="HS1104" s="106"/>
      <c r="HT1104" s="106"/>
      <c r="HU1104" s="106"/>
      <c r="HV1104" s="106"/>
      <c r="HW1104" s="106"/>
      <c r="HX1104" s="106"/>
      <c r="HY1104" s="106"/>
      <c r="HZ1104" s="106"/>
      <c r="IA1104" s="106"/>
      <c r="IB1104" s="106"/>
      <c r="IC1104" s="106"/>
      <c r="ID1104" s="106"/>
      <c r="IE1104" s="106"/>
      <c r="IF1104" s="106"/>
      <c r="IG1104" s="106"/>
      <c r="IH1104" s="106"/>
      <c r="II1104" s="106"/>
      <c r="IJ1104" s="106"/>
      <c r="IK1104" s="106"/>
      <c r="IL1104" s="106"/>
      <c r="IM1104" s="106"/>
      <c r="IN1104" s="106"/>
      <c r="IO1104" s="106"/>
      <c r="IP1104" s="106"/>
      <c r="IQ1104" s="106"/>
      <c r="IR1104" s="106"/>
      <c r="IS1104" s="106"/>
      <c r="IT1104" s="106"/>
      <c r="IU1104" s="106"/>
      <c r="IV1104" s="106"/>
      <c r="IW1104" s="106"/>
      <c r="IX1104" s="106"/>
      <c r="IY1104" s="106"/>
      <c r="IZ1104" s="106"/>
      <c r="JA1104" s="106"/>
      <c r="JB1104" s="106"/>
      <c r="JC1104" s="106"/>
      <c r="JD1104" s="106"/>
      <c r="JE1104" s="106"/>
      <c r="JF1104" s="106"/>
      <c r="JG1104" s="106"/>
      <c r="JH1104" s="106"/>
      <c r="JI1104" s="106"/>
      <c r="JJ1104" s="106"/>
      <c r="JK1104" s="106"/>
      <c r="JL1104" s="106"/>
      <c r="JM1104" s="106"/>
      <c r="JN1104" s="106"/>
      <c r="JO1104" s="106"/>
      <c r="JP1104" s="106"/>
      <c r="JQ1104" s="106"/>
      <c r="JR1104" s="106"/>
      <c r="JS1104" s="106"/>
      <c r="JT1104" s="106"/>
      <c r="JU1104" s="106"/>
      <c r="JV1104" s="106"/>
      <c r="JW1104" s="106"/>
      <c r="JX1104" s="106"/>
      <c r="JY1104" s="106"/>
      <c r="JZ1104" s="106"/>
      <c r="KA1104" s="106"/>
      <c r="KB1104" s="106"/>
      <c r="KC1104" s="106"/>
      <c r="KD1104" s="106"/>
      <c r="KE1104" s="106"/>
      <c r="KF1104" s="106"/>
      <c r="KG1104" s="106"/>
      <c r="KH1104" s="106"/>
      <c r="KI1104" s="106"/>
      <c r="KJ1104" s="106"/>
      <c r="KK1104" s="106"/>
      <c r="KL1104" s="106"/>
      <c r="KM1104" s="106"/>
      <c r="KN1104" s="106"/>
      <c r="KO1104" s="106"/>
      <c r="KP1104" s="106"/>
      <c r="KQ1104" s="106"/>
      <c r="KR1104" s="106"/>
      <c r="KS1104" s="106"/>
      <c r="KT1104" s="106"/>
      <c r="KU1104" s="106"/>
      <c r="KV1104" s="106"/>
      <c r="KW1104" s="106"/>
      <c r="KX1104" s="106"/>
      <c r="KY1104" s="106"/>
      <c r="KZ1104" s="106"/>
      <c r="LA1104" s="106"/>
      <c r="LB1104" s="106"/>
      <c r="LC1104" s="106"/>
      <c r="LD1104" s="106"/>
      <c r="LE1104" s="106"/>
      <c r="LF1104" s="106"/>
      <c r="LG1104" s="106"/>
      <c r="LH1104" s="106"/>
      <c r="LI1104" s="106"/>
      <c r="LJ1104" s="106"/>
      <c r="LK1104" s="106"/>
      <c r="LL1104" s="106"/>
      <c r="LM1104" s="106"/>
      <c r="LN1104" s="106"/>
      <c r="LO1104" s="106"/>
      <c r="LP1104" s="106"/>
      <c r="LQ1104" s="106"/>
      <c r="LR1104" s="106"/>
      <c r="LS1104" s="106"/>
      <c r="LT1104" s="106"/>
      <c r="LU1104" s="106"/>
      <c r="LV1104" s="106"/>
      <c r="LW1104" s="106"/>
      <c r="LX1104" s="106"/>
      <c r="LY1104" s="106"/>
      <c r="LZ1104" s="106"/>
      <c r="MA1104" s="106"/>
      <c r="MB1104" s="106"/>
      <c r="MC1104" s="106"/>
      <c r="MD1104" s="106"/>
      <c r="ME1104" s="106"/>
      <c r="MF1104" s="106"/>
      <c r="MG1104" s="106"/>
      <c r="MH1104" s="106"/>
      <c r="MI1104" s="106"/>
      <c r="MJ1104" s="106"/>
      <c r="MK1104" s="106"/>
      <c r="ML1104" s="106"/>
      <c r="MM1104" s="106"/>
      <c r="MN1104" s="106"/>
      <c r="MO1104" s="106"/>
      <c r="MP1104" s="106"/>
      <c r="MQ1104" s="106"/>
      <c r="MR1104" s="106"/>
      <c r="MS1104" s="106"/>
      <c r="MT1104" s="106"/>
      <c r="MU1104" s="106"/>
      <c r="MV1104" s="106"/>
      <c r="MW1104" s="106"/>
      <c r="MX1104" s="106"/>
      <c r="MY1104" s="106"/>
      <c r="MZ1104" s="106"/>
      <c r="NA1104" s="106"/>
      <c r="NB1104" s="106"/>
      <c r="NC1104" s="106"/>
      <c r="ND1104" s="106"/>
      <c r="NE1104" s="106"/>
      <c r="NF1104" s="106"/>
      <c r="NG1104" s="106"/>
      <c r="NH1104" s="106"/>
      <c r="NI1104" s="106"/>
      <c r="NJ1104" s="106"/>
      <c r="NK1104" s="106"/>
      <c r="NL1104" s="106"/>
      <c r="NM1104" s="106"/>
      <c r="NN1104" s="106"/>
      <c r="NO1104" s="106"/>
      <c r="NP1104" s="106"/>
      <c r="NQ1104" s="106"/>
      <c r="NR1104" s="106"/>
      <c r="NS1104" s="106"/>
      <c r="NT1104" s="106"/>
      <c r="NU1104" s="106"/>
      <c r="NV1104" s="106"/>
      <c r="NW1104" s="106"/>
      <c r="NX1104" s="106"/>
      <c r="NY1104" s="106"/>
      <c r="NZ1104" s="106"/>
      <c r="OA1104" s="106"/>
      <c r="OB1104" s="106"/>
      <c r="OC1104" s="106"/>
      <c r="OD1104" s="106"/>
      <c r="OE1104" s="106"/>
      <c r="OF1104" s="106"/>
      <c r="OG1104" s="106"/>
      <c r="OH1104" s="106"/>
      <c r="OI1104" s="106"/>
      <c r="OJ1104" s="106"/>
      <c r="OK1104" s="106"/>
      <c r="OL1104" s="106"/>
      <c r="OM1104" s="106"/>
      <c r="ON1104" s="106"/>
      <c r="OO1104" s="106"/>
      <c r="OP1104" s="106"/>
      <c r="OQ1104" s="106"/>
      <c r="OR1104" s="106"/>
      <c r="OS1104" s="106"/>
      <c r="OT1104" s="106"/>
      <c r="OU1104" s="106"/>
      <c r="OV1104" s="106"/>
      <c r="OW1104" s="106"/>
      <c r="OX1104" s="106"/>
      <c r="OY1104" s="106"/>
      <c r="OZ1104" s="106"/>
      <c r="PA1104" s="106"/>
      <c r="PB1104" s="106"/>
      <c r="PC1104" s="106"/>
      <c r="PD1104" s="106"/>
      <c r="PE1104" s="106"/>
      <c r="PF1104" s="106"/>
      <c r="PG1104" s="106"/>
      <c r="PH1104" s="106"/>
      <c r="PI1104" s="106"/>
      <c r="PJ1104" s="106"/>
      <c r="PK1104" s="106"/>
      <c r="PL1104" s="106"/>
      <c r="PM1104" s="106"/>
      <c r="PN1104" s="106"/>
      <c r="PO1104" s="106"/>
      <c r="PP1104" s="106"/>
      <c r="PQ1104" s="106"/>
      <c r="PR1104" s="106"/>
      <c r="PS1104" s="106"/>
      <c r="PT1104" s="106"/>
      <c r="PU1104" s="106"/>
      <c r="PV1104" s="106"/>
      <c r="PW1104" s="106"/>
      <c r="PX1104" s="106"/>
      <c r="PY1104" s="106"/>
      <c r="PZ1104" s="106"/>
      <c r="QA1104" s="106"/>
      <c r="QB1104" s="106"/>
      <c r="QC1104" s="106"/>
      <c r="QD1104" s="106"/>
      <c r="QE1104" s="106"/>
      <c r="QF1104" s="106"/>
      <c r="QG1104" s="106"/>
      <c r="QH1104" s="106"/>
      <c r="QI1104" s="106"/>
      <c r="QJ1104" s="106"/>
      <c r="QK1104" s="106"/>
      <c r="QL1104" s="106"/>
      <c r="QM1104" s="106"/>
      <c r="QN1104" s="106"/>
      <c r="QO1104" s="106"/>
      <c r="QP1104" s="106"/>
      <c r="QQ1104" s="106"/>
      <c r="QR1104" s="106"/>
      <c r="QS1104" s="106"/>
      <c r="QT1104" s="106"/>
      <c r="QU1104" s="106"/>
      <c r="QV1104" s="106"/>
      <c r="QW1104" s="106"/>
      <c r="QX1104" s="106"/>
      <c r="QY1104" s="106"/>
      <c r="QZ1104" s="106"/>
      <c r="RA1104" s="106"/>
      <c r="RB1104" s="106"/>
      <c r="RC1104" s="106"/>
      <c r="RD1104" s="106"/>
      <c r="RE1104" s="106"/>
      <c r="RF1104" s="106"/>
      <c r="RG1104" s="106"/>
      <c r="RH1104" s="106"/>
      <c r="RI1104" s="106"/>
      <c r="RJ1104" s="106"/>
      <c r="RK1104" s="106"/>
      <c r="RL1104" s="106"/>
      <c r="RM1104" s="106"/>
      <c r="RN1104" s="106"/>
      <c r="RO1104" s="106"/>
      <c r="RP1104" s="106"/>
      <c r="RQ1104" s="106"/>
      <c r="RR1104" s="106"/>
      <c r="RS1104" s="106"/>
      <c r="RT1104" s="106"/>
      <c r="RU1104" s="106"/>
      <c r="RV1104" s="106"/>
      <c r="RW1104" s="106"/>
      <c r="RX1104" s="106"/>
      <c r="RY1104" s="106"/>
      <c r="RZ1104" s="106"/>
      <c r="SA1104" s="106"/>
      <c r="SB1104" s="106"/>
      <c r="SC1104" s="106"/>
      <c r="SD1104" s="106"/>
      <c r="SE1104" s="106"/>
      <c r="SF1104" s="106"/>
      <c r="SG1104" s="106"/>
      <c r="SH1104" s="106"/>
      <c r="SI1104" s="106"/>
      <c r="SJ1104" s="106"/>
      <c r="SK1104" s="106"/>
      <c r="SL1104" s="106"/>
      <c r="SM1104" s="106"/>
      <c r="SN1104" s="106"/>
      <c r="SO1104" s="106"/>
      <c r="SP1104" s="106"/>
      <c r="SQ1104" s="106"/>
      <c r="SR1104" s="106"/>
      <c r="SS1104" s="106"/>
      <c r="ST1104" s="106"/>
      <c r="SU1104" s="106"/>
      <c r="SV1104" s="106"/>
      <c r="SW1104" s="106"/>
      <c r="SX1104" s="106"/>
      <c r="SY1104" s="106"/>
      <c r="SZ1104" s="106"/>
      <c r="TA1104" s="106"/>
      <c r="TB1104" s="106"/>
      <c r="TC1104" s="106"/>
      <c r="TD1104" s="106"/>
      <c r="TE1104" s="106"/>
      <c r="TF1104" s="106"/>
      <c r="TG1104" s="106"/>
      <c r="TH1104" s="106"/>
      <c r="TI1104" s="106"/>
      <c r="TJ1104" s="106"/>
      <c r="TK1104" s="106"/>
      <c r="TL1104" s="106"/>
      <c r="TM1104" s="106"/>
      <c r="TN1104" s="106"/>
      <c r="TO1104" s="106"/>
      <c r="TP1104" s="106"/>
      <c r="TQ1104" s="106"/>
      <c r="TR1104" s="106"/>
      <c r="TS1104" s="106"/>
      <c r="TT1104" s="106"/>
      <c r="TU1104" s="106"/>
      <c r="TV1104" s="106"/>
      <c r="TW1104" s="106"/>
      <c r="TX1104" s="106"/>
      <c r="TY1104" s="106"/>
      <c r="TZ1104" s="106"/>
      <c r="UA1104" s="106"/>
      <c r="UB1104" s="106"/>
      <c r="UC1104" s="106"/>
      <c r="UD1104" s="106"/>
      <c r="UE1104" s="106"/>
      <c r="UF1104" s="106"/>
      <c r="UG1104" s="33"/>
    </row>
    <row r="1105" spans="1:553" ht="31.5" customHeight="1">
      <c r="A1105" s="356" t="s">
        <v>15</v>
      </c>
      <c r="B1105" s="385">
        <v>38</v>
      </c>
      <c r="C1105" s="1403" t="s">
        <v>635</v>
      </c>
      <c r="D1105" s="1389"/>
      <c r="E1105" s="1389"/>
      <c r="F1105" s="1390"/>
      <c r="G1105" s="386" t="s">
        <v>33</v>
      </c>
      <c r="H1105" s="370"/>
      <c r="I1105" s="422">
        <f>(7+1.2+7.5)*0.2</f>
        <v>3.14</v>
      </c>
      <c r="J1105" s="477">
        <v>220000</v>
      </c>
      <c r="K1105" s="388"/>
      <c r="L1105" s="487">
        <f t="shared" si="167"/>
        <v>690800</v>
      </c>
      <c r="M1105" s="395"/>
      <c r="N1105" s="395"/>
      <c r="O1105" s="366"/>
      <c r="P1105" s="396"/>
      <c r="Q1105" s="473"/>
      <c r="R1105" s="1039"/>
      <c r="S1105" s="308"/>
      <c r="T1105" s="308"/>
      <c r="U1105" s="308"/>
      <c r="V1105" s="308"/>
      <c r="W1105" s="308"/>
      <c r="X1105" s="308"/>
      <c r="Y1105" s="308"/>
      <c r="Z1105" s="604"/>
      <c r="AA1105" s="308"/>
      <c r="AB1105" s="308"/>
      <c r="AC1105" s="449"/>
      <c r="AD1105" s="449"/>
      <c r="AE1105" s="449"/>
      <c r="AF1105" s="449"/>
      <c r="AG1105" s="452"/>
      <c r="AH1105" s="452"/>
      <c r="AI1105" s="452"/>
      <c r="AJ1105" s="452"/>
      <c r="AK1105" s="452"/>
      <c r="AL1105" s="104"/>
      <c r="AM1105" s="32"/>
      <c r="AN1105" s="32"/>
      <c r="AO1105" s="32"/>
      <c r="AP1105" s="32"/>
      <c r="AQ1105" s="31"/>
      <c r="AR1105" s="31"/>
      <c r="AS1105" s="31"/>
      <c r="AT1105" s="31"/>
      <c r="AU1105" s="31"/>
      <c r="AV1105" s="31"/>
      <c r="AW1105" s="31"/>
      <c r="AX1105" s="31"/>
      <c r="AY1105" s="31"/>
      <c r="AZ1105" s="31"/>
      <c r="BA1105" s="31"/>
      <c r="BB1105" s="31"/>
      <c r="BC1105" s="31"/>
      <c r="BD1105" s="31"/>
      <c r="BE1105" s="31"/>
      <c r="BF1105" s="31"/>
      <c r="BG1105" s="31"/>
      <c r="BH1105" s="31"/>
      <c r="BI1105" s="31"/>
      <c r="BJ1105" s="31"/>
      <c r="BK1105" s="31"/>
      <c r="BL1105" s="31"/>
      <c r="BM1105" s="31"/>
      <c r="BN1105" s="31"/>
      <c r="BO1105" s="31"/>
      <c r="BP1105" s="31"/>
      <c r="BQ1105" s="31"/>
      <c r="BR1105" s="31"/>
      <c r="BS1105" s="31"/>
      <c r="BT1105" s="31"/>
      <c r="BU1105" s="31"/>
      <c r="BV1105" s="31"/>
      <c r="BW1105" s="31"/>
      <c r="BX1105" s="31"/>
      <c r="BY1105" s="31"/>
      <c r="BZ1105" s="31"/>
      <c r="CA1105" s="31"/>
      <c r="CB1105" s="31"/>
      <c r="CC1105" s="31"/>
      <c r="CD1105" s="31"/>
      <c r="CE1105" s="31"/>
      <c r="CF1105" s="31"/>
      <c r="CG1105" s="31"/>
      <c r="CH1105" s="31"/>
      <c r="CI1105" s="31"/>
      <c r="CJ1105" s="31"/>
      <c r="CK1105" s="31"/>
      <c r="CL1105" s="31"/>
      <c r="CM1105" s="31"/>
      <c r="CN1105" s="31"/>
      <c r="CO1105" s="31"/>
      <c r="CP1105" s="31"/>
      <c r="CQ1105" s="31"/>
      <c r="CR1105" s="31"/>
      <c r="CS1105" s="31"/>
      <c r="CT1105" s="31"/>
      <c r="CU1105" s="31"/>
      <c r="CV1105" s="31"/>
      <c r="CW1105" s="31"/>
      <c r="CX1105" s="31"/>
      <c r="CY1105" s="31"/>
      <c r="CZ1105" s="31"/>
      <c r="DA1105" s="31"/>
      <c r="DB1105" s="31"/>
      <c r="DC1105" s="31"/>
      <c r="DD1105" s="31"/>
      <c r="DE1105" s="31"/>
      <c r="DF1105" s="31"/>
      <c r="DG1105" s="31"/>
      <c r="DH1105" s="31"/>
      <c r="DI1105" s="31"/>
      <c r="DJ1105" s="31"/>
      <c r="DK1105" s="31"/>
      <c r="DL1105" s="31"/>
      <c r="DM1105" s="31"/>
      <c r="DN1105" s="31"/>
      <c r="DO1105" s="31"/>
      <c r="DP1105" s="31"/>
      <c r="DQ1105" s="31"/>
      <c r="DR1105" s="31"/>
      <c r="DS1105" s="31"/>
      <c r="DT1105" s="31"/>
      <c r="DU1105" s="31"/>
      <c r="DV1105" s="31"/>
      <c r="DW1105" s="31"/>
      <c r="DX1105" s="31"/>
      <c r="DY1105" s="31"/>
      <c r="DZ1105" s="31"/>
      <c r="EA1105" s="31"/>
      <c r="EB1105" s="31"/>
      <c r="EC1105" s="31"/>
      <c r="ED1105" s="31"/>
      <c r="EE1105" s="31"/>
      <c r="EF1105" s="31"/>
      <c r="EG1105" s="31"/>
      <c r="EH1105" s="31"/>
      <c r="EI1105" s="31"/>
      <c r="EJ1105" s="31"/>
      <c r="EK1105" s="31"/>
      <c r="EL1105" s="31"/>
      <c r="EM1105" s="31"/>
      <c r="EN1105" s="31"/>
      <c r="EO1105" s="31"/>
      <c r="EP1105" s="31"/>
      <c r="EQ1105" s="31"/>
      <c r="ER1105" s="31"/>
      <c r="ES1105" s="31"/>
      <c r="ET1105" s="31"/>
      <c r="EU1105" s="31"/>
      <c r="EV1105" s="31"/>
      <c r="EW1105" s="31"/>
      <c r="EX1105" s="31"/>
      <c r="EY1105" s="31"/>
      <c r="EZ1105" s="31"/>
      <c r="FA1105" s="31"/>
      <c r="FB1105" s="31"/>
      <c r="FC1105" s="31"/>
      <c r="FD1105" s="31"/>
      <c r="FE1105" s="31"/>
      <c r="FF1105" s="31"/>
      <c r="FG1105" s="31"/>
      <c r="FH1105" s="31"/>
      <c r="FI1105" s="31"/>
      <c r="FJ1105" s="31"/>
      <c r="FK1105" s="31"/>
      <c r="FL1105" s="31"/>
      <c r="FM1105" s="31"/>
      <c r="FN1105" s="31"/>
      <c r="FO1105" s="31"/>
      <c r="FP1105" s="31"/>
      <c r="FQ1105" s="31"/>
      <c r="FR1105" s="31"/>
      <c r="FS1105" s="31"/>
      <c r="FT1105" s="31"/>
      <c r="FU1105" s="31"/>
      <c r="FV1105" s="31"/>
      <c r="FW1105" s="31"/>
      <c r="FX1105" s="31"/>
      <c r="FY1105" s="31"/>
      <c r="FZ1105" s="31"/>
      <c r="GA1105" s="31"/>
      <c r="GB1105" s="31"/>
      <c r="GC1105" s="31"/>
      <c r="GD1105" s="31"/>
      <c r="GE1105" s="31"/>
      <c r="GF1105" s="31"/>
      <c r="GG1105" s="31"/>
      <c r="GH1105" s="31"/>
      <c r="GI1105" s="31"/>
      <c r="GJ1105" s="31"/>
      <c r="GK1105" s="31"/>
      <c r="GL1105" s="31"/>
      <c r="GM1105" s="31"/>
      <c r="GN1105" s="31"/>
      <c r="GO1105" s="31"/>
      <c r="GP1105" s="31"/>
      <c r="GQ1105" s="31"/>
      <c r="GR1105" s="31"/>
      <c r="GS1105" s="31"/>
      <c r="GT1105" s="31"/>
      <c r="GU1105" s="31"/>
      <c r="GV1105" s="31"/>
      <c r="GW1105" s="31"/>
      <c r="GX1105" s="31"/>
      <c r="GY1105" s="31"/>
      <c r="GZ1105" s="31"/>
      <c r="HA1105" s="31"/>
      <c r="HB1105" s="31"/>
      <c r="HC1105" s="31"/>
      <c r="HD1105" s="31"/>
      <c r="HE1105" s="31"/>
      <c r="HF1105" s="31"/>
      <c r="HG1105" s="31"/>
      <c r="HH1105" s="31"/>
      <c r="HI1105" s="31"/>
      <c r="HJ1105" s="31"/>
      <c r="HK1105" s="31"/>
      <c r="HL1105" s="31"/>
      <c r="HM1105" s="31"/>
      <c r="HN1105" s="31"/>
      <c r="HO1105" s="31"/>
      <c r="HP1105" s="31"/>
      <c r="HQ1105" s="31"/>
      <c r="HR1105" s="31"/>
      <c r="HS1105" s="31"/>
      <c r="HT1105" s="31"/>
      <c r="HU1105" s="31"/>
      <c r="HV1105" s="31"/>
      <c r="HW1105" s="31"/>
      <c r="HX1105" s="31"/>
      <c r="HY1105" s="31"/>
      <c r="HZ1105" s="31"/>
      <c r="IA1105" s="31"/>
      <c r="IB1105" s="31"/>
      <c r="IC1105" s="31"/>
      <c r="ID1105" s="31"/>
      <c r="IE1105" s="31"/>
      <c r="IF1105" s="31"/>
      <c r="IG1105" s="31"/>
      <c r="IH1105" s="31"/>
      <c r="II1105" s="31"/>
      <c r="IJ1105" s="31"/>
      <c r="IK1105" s="31"/>
      <c r="IL1105" s="31"/>
      <c r="IM1105" s="31"/>
      <c r="IN1105" s="31"/>
      <c r="IO1105" s="31"/>
      <c r="IP1105" s="31"/>
      <c r="IQ1105" s="31"/>
      <c r="IR1105" s="31"/>
      <c r="IS1105" s="31"/>
      <c r="IT1105" s="31"/>
      <c r="IU1105" s="31"/>
      <c r="IV1105" s="31"/>
      <c r="IW1105" s="31"/>
      <c r="IX1105" s="31"/>
      <c r="IY1105" s="31"/>
      <c r="IZ1105" s="31"/>
      <c r="JA1105" s="31"/>
      <c r="JB1105" s="31"/>
      <c r="JC1105" s="31"/>
      <c r="JD1105" s="31"/>
      <c r="JE1105" s="31"/>
      <c r="JF1105" s="31"/>
      <c r="JG1105" s="31"/>
      <c r="JH1105" s="31"/>
      <c r="JI1105" s="31"/>
      <c r="JJ1105" s="31"/>
      <c r="JK1105" s="31"/>
      <c r="JL1105" s="31"/>
      <c r="JM1105" s="31"/>
      <c r="JN1105" s="31"/>
      <c r="JO1105" s="31"/>
      <c r="JP1105" s="31"/>
      <c r="JQ1105" s="31"/>
      <c r="JR1105" s="31"/>
      <c r="JS1105" s="31"/>
      <c r="JT1105" s="31"/>
      <c r="JU1105" s="31"/>
      <c r="JV1105" s="31"/>
      <c r="JW1105" s="31"/>
      <c r="JX1105" s="31"/>
      <c r="JY1105" s="31"/>
      <c r="JZ1105" s="31"/>
      <c r="KA1105" s="31"/>
      <c r="KB1105" s="31"/>
      <c r="KC1105" s="31"/>
      <c r="KD1105" s="31"/>
      <c r="KE1105" s="31"/>
      <c r="KF1105" s="31"/>
      <c r="KG1105" s="31"/>
      <c r="KH1105" s="31"/>
      <c r="KI1105" s="31"/>
      <c r="KJ1105" s="31"/>
      <c r="KK1105" s="31"/>
      <c r="KL1105" s="31"/>
      <c r="KM1105" s="31"/>
      <c r="KN1105" s="31"/>
      <c r="KO1105" s="31"/>
      <c r="KP1105" s="31"/>
      <c r="KQ1105" s="31"/>
      <c r="KR1105" s="31"/>
      <c r="KS1105" s="31"/>
      <c r="KT1105" s="31"/>
      <c r="KU1105" s="31"/>
      <c r="KV1105" s="31"/>
      <c r="KW1105" s="31"/>
      <c r="KX1105" s="31"/>
      <c r="KY1105" s="31"/>
      <c r="KZ1105" s="31"/>
      <c r="LA1105" s="31"/>
      <c r="LB1105" s="31"/>
      <c r="LC1105" s="31"/>
      <c r="LD1105" s="31"/>
      <c r="LE1105" s="31"/>
      <c r="LF1105" s="31"/>
      <c r="LG1105" s="31"/>
      <c r="LH1105" s="31"/>
      <c r="LI1105" s="31"/>
      <c r="LJ1105" s="31"/>
      <c r="LK1105" s="31"/>
      <c r="LL1105" s="31"/>
      <c r="LM1105" s="31"/>
      <c r="LN1105" s="31"/>
      <c r="LO1105" s="31"/>
      <c r="LP1105" s="31"/>
      <c r="LQ1105" s="31"/>
      <c r="LR1105" s="31"/>
      <c r="LS1105" s="31"/>
      <c r="LT1105" s="31"/>
      <c r="LU1105" s="31"/>
      <c r="LV1105" s="31"/>
      <c r="LW1105" s="31"/>
      <c r="LX1105" s="31"/>
      <c r="LY1105" s="31"/>
      <c r="LZ1105" s="31"/>
      <c r="MA1105" s="31"/>
      <c r="MB1105" s="31"/>
      <c r="MC1105" s="31"/>
      <c r="MD1105" s="31"/>
      <c r="ME1105" s="31"/>
      <c r="MF1105" s="31"/>
      <c r="MG1105" s="31"/>
      <c r="MH1105" s="31"/>
      <c r="MI1105" s="31"/>
      <c r="MJ1105" s="31"/>
      <c r="MK1105" s="31"/>
      <c r="ML1105" s="31"/>
      <c r="MM1105" s="31"/>
      <c r="MN1105" s="31"/>
      <c r="MO1105" s="31"/>
      <c r="MP1105" s="31"/>
      <c r="MQ1105" s="31"/>
      <c r="MR1105" s="31"/>
      <c r="MS1105" s="31"/>
      <c r="MT1105" s="31"/>
      <c r="MU1105" s="31"/>
      <c r="MV1105" s="31"/>
      <c r="MW1105" s="31"/>
      <c r="MX1105" s="31"/>
      <c r="MY1105" s="31"/>
      <c r="MZ1105" s="31"/>
      <c r="NA1105" s="31"/>
      <c r="NB1105" s="31"/>
      <c r="NC1105" s="31"/>
      <c r="ND1105" s="31"/>
      <c r="NE1105" s="31"/>
      <c r="NF1105" s="31"/>
      <c r="NG1105" s="31"/>
      <c r="NH1105" s="31"/>
      <c r="NI1105" s="31"/>
      <c r="NJ1105" s="31"/>
      <c r="NK1105" s="31"/>
      <c r="NL1105" s="31"/>
      <c r="NM1105" s="31"/>
      <c r="NN1105" s="31"/>
      <c r="NO1105" s="31"/>
      <c r="NP1105" s="31"/>
      <c r="NQ1105" s="31"/>
      <c r="NR1105" s="31"/>
      <c r="NS1105" s="31"/>
      <c r="NT1105" s="31"/>
      <c r="NU1105" s="31"/>
      <c r="NV1105" s="31"/>
      <c r="NW1105" s="31"/>
      <c r="NX1105" s="31"/>
      <c r="NY1105" s="31"/>
      <c r="NZ1105" s="31"/>
      <c r="OA1105" s="31"/>
      <c r="OB1105" s="31"/>
      <c r="OC1105" s="31"/>
      <c r="OD1105" s="31"/>
      <c r="OE1105" s="31"/>
      <c r="OF1105" s="31"/>
      <c r="OG1105" s="31"/>
      <c r="OH1105" s="31"/>
      <c r="OI1105" s="31"/>
      <c r="OJ1105" s="31"/>
      <c r="OK1105" s="31"/>
      <c r="OL1105" s="31"/>
      <c r="OM1105" s="31"/>
      <c r="ON1105" s="31"/>
      <c r="OO1105" s="31"/>
      <c r="OP1105" s="31"/>
      <c r="OQ1105" s="31"/>
      <c r="OR1105" s="31"/>
      <c r="OS1105" s="31"/>
      <c r="OT1105" s="31"/>
      <c r="OU1105" s="31"/>
      <c r="OV1105" s="31"/>
      <c r="OW1105" s="31"/>
      <c r="OX1105" s="31"/>
      <c r="OY1105" s="31"/>
      <c r="OZ1105" s="31"/>
      <c r="PA1105" s="31"/>
      <c r="PB1105" s="31"/>
      <c r="PC1105" s="31"/>
      <c r="PD1105" s="31"/>
      <c r="PE1105" s="31"/>
      <c r="PF1105" s="31"/>
      <c r="PG1105" s="31"/>
      <c r="PH1105" s="31"/>
      <c r="PI1105" s="31"/>
      <c r="PJ1105" s="31"/>
      <c r="PK1105" s="31"/>
      <c r="PL1105" s="31"/>
      <c r="PM1105" s="31"/>
      <c r="PN1105" s="31"/>
      <c r="PO1105" s="31"/>
      <c r="PP1105" s="31"/>
      <c r="PQ1105" s="31"/>
      <c r="PR1105" s="31"/>
      <c r="PS1105" s="31"/>
      <c r="PT1105" s="31"/>
      <c r="PU1105" s="31"/>
      <c r="PV1105" s="31"/>
      <c r="PW1105" s="31"/>
      <c r="PX1105" s="31"/>
      <c r="PY1105" s="31"/>
      <c r="PZ1105" s="31"/>
      <c r="QA1105" s="31"/>
      <c r="QB1105" s="31"/>
      <c r="QC1105" s="31"/>
      <c r="QD1105" s="31"/>
      <c r="QE1105" s="31"/>
      <c r="QF1105" s="31"/>
      <c r="QG1105" s="31"/>
      <c r="QH1105" s="31"/>
      <c r="QI1105" s="31"/>
      <c r="QJ1105" s="31"/>
      <c r="QK1105" s="31"/>
      <c r="QL1105" s="31"/>
      <c r="QM1105" s="31"/>
      <c r="QN1105" s="31"/>
      <c r="QO1105" s="31"/>
      <c r="QP1105" s="31"/>
      <c r="QQ1105" s="31"/>
      <c r="QR1105" s="31"/>
      <c r="QS1105" s="31"/>
      <c r="QT1105" s="31"/>
      <c r="QU1105" s="31"/>
      <c r="QV1105" s="31"/>
      <c r="QW1105" s="31"/>
      <c r="QX1105" s="31"/>
      <c r="QY1105" s="31"/>
      <c r="QZ1105" s="31"/>
      <c r="RA1105" s="31"/>
      <c r="RB1105" s="31"/>
      <c r="RC1105" s="31"/>
      <c r="RD1105" s="31"/>
      <c r="RE1105" s="31"/>
      <c r="RF1105" s="31"/>
      <c r="RG1105" s="31"/>
      <c r="RH1105" s="31"/>
      <c r="RI1105" s="31"/>
      <c r="RJ1105" s="31"/>
      <c r="RK1105" s="31"/>
      <c r="RL1105" s="31"/>
      <c r="RM1105" s="31"/>
      <c r="RN1105" s="31"/>
      <c r="RO1105" s="31"/>
      <c r="RP1105" s="31"/>
      <c r="RQ1105" s="31"/>
      <c r="RR1105" s="31"/>
      <c r="RS1105" s="31"/>
      <c r="RT1105" s="31"/>
      <c r="RU1105" s="31"/>
      <c r="RV1105" s="31"/>
      <c r="RW1105" s="31"/>
      <c r="RX1105" s="31"/>
      <c r="RY1105" s="31"/>
      <c r="RZ1105" s="31"/>
      <c r="SA1105" s="31"/>
      <c r="SB1105" s="31"/>
      <c r="SC1105" s="31"/>
      <c r="SD1105" s="31"/>
      <c r="SE1105" s="31"/>
      <c r="SF1105" s="31"/>
      <c r="SG1105" s="31"/>
      <c r="SH1105" s="31"/>
      <c r="SI1105" s="31"/>
      <c r="SJ1105" s="31"/>
      <c r="SK1105" s="31"/>
      <c r="SL1105" s="31"/>
      <c r="SM1105" s="31"/>
      <c r="SN1105" s="31"/>
      <c r="SO1105" s="31"/>
      <c r="SP1105" s="31"/>
      <c r="SQ1105" s="31"/>
      <c r="SR1105" s="31"/>
      <c r="SS1105" s="31"/>
      <c r="ST1105" s="31"/>
      <c r="SU1105" s="31"/>
      <c r="SV1105" s="31"/>
      <c r="SW1105" s="31"/>
      <c r="SX1105" s="31"/>
      <c r="SY1105" s="31"/>
      <c r="SZ1105" s="31"/>
      <c r="TA1105" s="31"/>
      <c r="TB1105" s="31"/>
      <c r="TC1105" s="31"/>
      <c r="TD1105" s="31"/>
      <c r="TE1105" s="31"/>
      <c r="TF1105" s="31"/>
      <c r="TG1105" s="31"/>
      <c r="TH1105" s="31"/>
      <c r="TI1105" s="31"/>
      <c r="TJ1105" s="31"/>
      <c r="TK1105" s="31"/>
      <c r="TL1105" s="31"/>
      <c r="TM1105" s="31"/>
      <c r="TN1105" s="31"/>
      <c r="TO1105" s="31"/>
      <c r="TP1105" s="31"/>
      <c r="TQ1105" s="31"/>
      <c r="TR1105" s="31"/>
      <c r="TS1105" s="31"/>
      <c r="TT1105" s="31"/>
      <c r="TU1105" s="31"/>
      <c r="TV1105" s="31"/>
      <c r="TW1105" s="31"/>
      <c r="TX1105" s="31"/>
      <c r="TY1105" s="31"/>
      <c r="TZ1105" s="31"/>
      <c r="UA1105" s="31"/>
      <c r="UB1105" s="31"/>
      <c r="UC1105" s="31"/>
      <c r="UD1105" s="31"/>
      <c r="UE1105" s="31"/>
      <c r="UF1105" s="31"/>
      <c r="UG1105" s="33"/>
    </row>
    <row r="1106" spans="1:553" ht="42" customHeight="1">
      <c r="A1106" s="356"/>
      <c r="B1106" s="385"/>
      <c r="C1106" s="1403" t="s">
        <v>636</v>
      </c>
      <c r="D1106" s="1389"/>
      <c r="E1106" s="1389"/>
      <c r="F1106" s="1390"/>
      <c r="G1106" s="386"/>
      <c r="H1106" s="370"/>
      <c r="I1106" s="422"/>
      <c r="J1106" s="477"/>
      <c r="K1106" s="388"/>
      <c r="L1106" s="487">
        <f t="shared" si="167"/>
        <v>0</v>
      </c>
      <c r="M1106" s="395"/>
      <c r="N1106" s="395"/>
      <c r="O1106" s="366"/>
      <c r="P1106" s="396"/>
      <c r="Q1106" s="473"/>
      <c r="R1106" s="1039"/>
      <c r="S1106" s="308"/>
      <c r="T1106" s="308"/>
      <c r="U1106" s="308"/>
      <c r="V1106" s="308"/>
      <c r="W1106" s="308"/>
      <c r="X1106" s="308"/>
      <c r="Y1106" s="308"/>
      <c r="Z1106" s="604"/>
      <c r="AA1106" s="308"/>
      <c r="AB1106" s="308"/>
      <c r="AC1106" s="449"/>
      <c r="AD1106" s="449"/>
      <c r="AE1106" s="449"/>
      <c r="AF1106" s="449"/>
      <c r="AG1106" s="452"/>
      <c r="AH1106" s="452"/>
      <c r="AI1106" s="452"/>
      <c r="AJ1106" s="452"/>
      <c r="AK1106" s="452"/>
      <c r="AL1106" s="104"/>
      <c r="AM1106" s="32"/>
      <c r="AN1106" s="32"/>
      <c r="AO1106" s="32"/>
      <c r="AP1106" s="32"/>
      <c r="AQ1106" s="31"/>
      <c r="AR1106" s="31"/>
      <c r="AS1106" s="31"/>
      <c r="AT1106" s="31"/>
      <c r="AU1106" s="31"/>
      <c r="AV1106" s="31"/>
      <c r="AW1106" s="31"/>
      <c r="AX1106" s="31"/>
      <c r="AY1106" s="31"/>
      <c r="AZ1106" s="31"/>
      <c r="BA1106" s="31"/>
      <c r="BB1106" s="31"/>
      <c r="BC1106" s="31"/>
      <c r="BD1106" s="31"/>
      <c r="BE1106" s="31"/>
      <c r="BF1106" s="31"/>
      <c r="BG1106" s="31"/>
      <c r="BH1106" s="31"/>
      <c r="BI1106" s="31"/>
      <c r="BJ1106" s="31"/>
      <c r="BK1106" s="31"/>
      <c r="BL1106" s="31"/>
      <c r="BM1106" s="31"/>
      <c r="BN1106" s="31"/>
      <c r="BO1106" s="31"/>
      <c r="BP1106" s="31"/>
      <c r="BQ1106" s="31"/>
      <c r="BR1106" s="31"/>
      <c r="BS1106" s="31"/>
      <c r="BT1106" s="31"/>
      <c r="BU1106" s="31"/>
      <c r="BV1106" s="31"/>
      <c r="BW1106" s="31"/>
      <c r="BX1106" s="31"/>
      <c r="BY1106" s="31"/>
      <c r="BZ1106" s="31"/>
      <c r="CA1106" s="31"/>
      <c r="CB1106" s="31"/>
      <c r="CC1106" s="31"/>
      <c r="CD1106" s="31"/>
      <c r="CE1106" s="31"/>
      <c r="CF1106" s="31"/>
      <c r="CG1106" s="31"/>
      <c r="CH1106" s="31"/>
      <c r="CI1106" s="31"/>
      <c r="CJ1106" s="31"/>
      <c r="CK1106" s="31"/>
      <c r="CL1106" s="31"/>
      <c r="CM1106" s="31"/>
      <c r="CN1106" s="31"/>
      <c r="CO1106" s="31"/>
      <c r="CP1106" s="31"/>
      <c r="CQ1106" s="31"/>
      <c r="CR1106" s="31"/>
      <c r="CS1106" s="31"/>
      <c r="CT1106" s="31"/>
      <c r="CU1106" s="31"/>
      <c r="CV1106" s="31"/>
      <c r="CW1106" s="31"/>
      <c r="CX1106" s="31"/>
      <c r="CY1106" s="31"/>
      <c r="CZ1106" s="31"/>
      <c r="DA1106" s="31"/>
      <c r="DB1106" s="31"/>
      <c r="DC1106" s="31"/>
      <c r="DD1106" s="31"/>
      <c r="DE1106" s="31"/>
      <c r="DF1106" s="31"/>
      <c r="DG1106" s="31"/>
      <c r="DH1106" s="31"/>
      <c r="DI1106" s="31"/>
      <c r="DJ1106" s="31"/>
      <c r="DK1106" s="31"/>
      <c r="DL1106" s="31"/>
      <c r="DM1106" s="31"/>
      <c r="DN1106" s="31"/>
      <c r="DO1106" s="31"/>
      <c r="DP1106" s="31"/>
      <c r="DQ1106" s="31"/>
      <c r="DR1106" s="31"/>
      <c r="DS1106" s="31"/>
      <c r="DT1106" s="31"/>
      <c r="DU1106" s="31"/>
      <c r="DV1106" s="31"/>
      <c r="DW1106" s="31"/>
      <c r="DX1106" s="31"/>
      <c r="DY1106" s="31"/>
      <c r="DZ1106" s="31"/>
      <c r="EA1106" s="31"/>
      <c r="EB1106" s="31"/>
      <c r="EC1106" s="31"/>
      <c r="ED1106" s="31"/>
      <c r="EE1106" s="31"/>
      <c r="EF1106" s="31"/>
      <c r="EG1106" s="31"/>
      <c r="EH1106" s="31"/>
      <c r="EI1106" s="31"/>
      <c r="EJ1106" s="31"/>
      <c r="EK1106" s="31"/>
      <c r="EL1106" s="31"/>
      <c r="EM1106" s="31"/>
      <c r="EN1106" s="31"/>
      <c r="EO1106" s="31"/>
      <c r="EP1106" s="31"/>
      <c r="EQ1106" s="31"/>
      <c r="ER1106" s="31"/>
      <c r="ES1106" s="31"/>
      <c r="ET1106" s="31"/>
      <c r="EU1106" s="31"/>
      <c r="EV1106" s="31"/>
      <c r="EW1106" s="31"/>
      <c r="EX1106" s="31"/>
      <c r="EY1106" s="31"/>
      <c r="EZ1106" s="31"/>
      <c r="FA1106" s="31"/>
      <c r="FB1106" s="31"/>
      <c r="FC1106" s="31"/>
      <c r="FD1106" s="31"/>
      <c r="FE1106" s="31"/>
      <c r="FF1106" s="31"/>
      <c r="FG1106" s="31"/>
      <c r="FH1106" s="31"/>
      <c r="FI1106" s="31"/>
      <c r="FJ1106" s="31"/>
      <c r="FK1106" s="31"/>
      <c r="FL1106" s="31"/>
      <c r="FM1106" s="31"/>
      <c r="FN1106" s="31"/>
      <c r="FO1106" s="31"/>
      <c r="FP1106" s="31"/>
      <c r="FQ1106" s="31"/>
      <c r="FR1106" s="31"/>
      <c r="FS1106" s="31"/>
      <c r="FT1106" s="31"/>
      <c r="FU1106" s="31"/>
      <c r="FV1106" s="31"/>
      <c r="FW1106" s="31"/>
      <c r="FX1106" s="31"/>
      <c r="FY1106" s="31"/>
      <c r="FZ1106" s="31"/>
      <c r="GA1106" s="31"/>
      <c r="GB1106" s="31"/>
      <c r="GC1106" s="31"/>
      <c r="GD1106" s="31"/>
      <c r="GE1106" s="31"/>
      <c r="GF1106" s="31"/>
      <c r="GG1106" s="31"/>
      <c r="GH1106" s="31"/>
      <c r="GI1106" s="31"/>
      <c r="GJ1106" s="31"/>
      <c r="GK1106" s="31"/>
      <c r="GL1106" s="31"/>
      <c r="GM1106" s="31"/>
      <c r="GN1106" s="31"/>
      <c r="GO1106" s="31"/>
      <c r="GP1106" s="31"/>
      <c r="GQ1106" s="31"/>
      <c r="GR1106" s="31"/>
      <c r="GS1106" s="31"/>
      <c r="GT1106" s="31"/>
      <c r="GU1106" s="31"/>
      <c r="GV1106" s="31"/>
      <c r="GW1106" s="31"/>
      <c r="GX1106" s="31"/>
      <c r="GY1106" s="31"/>
      <c r="GZ1106" s="31"/>
      <c r="HA1106" s="31"/>
      <c r="HB1106" s="31"/>
      <c r="HC1106" s="31"/>
      <c r="HD1106" s="31"/>
      <c r="HE1106" s="31"/>
      <c r="HF1106" s="31"/>
      <c r="HG1106" s="31"/>
      <c r="HH1106" s="31"/>
      <c r="HI1106" s="31"/>
      <c r="HJ1106" s="31"/>
      <c r="HK1106" s="31"/>
      <c r="HL1106" s="31"/>
      <c r="HM1106" s="31"/>
      <c r="HN1106" s="31"/>
      <c r="HO1106" s="31"/>
      <c r="HP1106" s="31"/>
      <c r="HQ1106" s="31"/>
      <c r="HR1106" s="31"/>
      <c r="HS1106" s="31"/>
      <c r="HT1106" s="31"/>
      <c r="HU1106" s="31"/>
      <c r="HV1106" s="31"/>
      <c r="HW1106" s="31"/>
      <c r="HX1106" s="31"/>
      <c r="HY1106" s="31"/>
      <c r="HZ1106" s="31"/>
      <c r="IA1106" s="31"/>
      <c r="IB1106" s="31"/>
      <c r="IC1106" s="31"/>
      <c r="ID1106" s="31"/>
      <c r="IE1106" s="31"/>
      <c r="IF1106" s="31"/>
      <c r="IG1106" s="31"/>
      <c r="IH1106" s="31"/>
      <c r="II1106" s="31"/>
      <c r="IJ1106" s="31"/>
      <c r="IK1106" s="31"/>
      <c r="IL1106" s="31"/>
      <c r="IM1106" s="31"/>
      <c r="IN1106" s="31"/>
      <c r="IO1106" s="31"/>
      <c r="IP1106" s="31"/>
      <c r="IQ1106" s="31"/>
      <c r="IR1106" s="31"/>
      <c r="IS1106" s="31"/>
      <c r="IT1106" s="31"/>
      <c r="IU1106" s="31"/>
      <c r="IV1106" s="31"/>
      <c r="IW1106" s="31"/>
      <c r="IX1106" s="31"/>
      <c r="IY1106" s="31"/>
      <c r="IZ1106" s="31"/>
      <c r="JA1106" s="31"/>
      <c r="JB1106" s="31"/>
      <c r="JC1106" s="31"/>
      <c r="JD1106" s="31"/>
      <c r="JE1106" s="31"/>
      <c r="JF1106" s="31"/>
      <c r="JG1106" s="31"/>
      <c r="JH1106" s="31"/>
      <c r="JI1106" s="31"/>
      <c r="JJ1106" s="31"/>
      <c r="JK1106" s="31"/>
      <c r="JL1106" s="31"/>
      <c r="JM1106" s="31"/>
      <c r="JN1106" s="31"/>
      <c r="JO1106" s="31"/>
      <c r="JP1106" s="31"/>
      <c r="JQ1106" s="31"/>
      <c r="JR1106" s="31"/>
      <c r="JS1106" s="31"/>
      <c r="JT1106" s="31"/>
      <c r="JU1106" s="31"/>
      <c r="JV1106" s="31"/>
      <c r="JW1106" s="31"/>
      <c r="JX1106" s="31"/>
      <c r="JY1106" s="31"/>
      <c r="JZ1106" s="31"/>
      <c r="KA1106" s="31"/>
      <c r="KB1106" s="31"/>
      <c r="KC1106" s="31"/>
      <c r="KD1106" s="31"/>
      <c r="KE1106" s="31"/>
      <c r="KF1106" s="31"/>
      <c r="KG1106" s="31"/>
      <c r="KH1106" s="31"/>
      <c r="KI1106" s="31"/>
      <c r="KJ1106" s="31"/>
      <c r="KK1106" s="31"/>
      <c r="KL1106" s="31"/>
      <c r="KM1106" s="31"/>
      <c r="KN1106" s="31"/>
      <c r="KO1106" s="31"/>
      <c r="KP1106" s="31"/>
      <c r="KQ1106" s="31"/>
      <c r="KR1106" s="31"/>
      <c r="KS1106" s="31"/>
      <c r="KT1106" s="31"/>
      <c r="KU1106" s="31"/>
      <c r="KV1106" s="31"/>
      <c r="KW1106" s="31"/>
      <c r="KX1106" s="31"/>
      <c r="KY1106" s="31"/>
      <c r="KZ1106" s="31"/>
      <c r="LA1106" s="31"/>
      <c r="LB1106" s="31"/>
      <c r="LC1106" s="31"/>
      <c r="LD1106" s="31"/>
      <c r="LE1106" s="31"/>
      <c r="LF1106" s="31"/>
      <c r="LG1106" s="31"/>
      <c r="LH1106" s="31"/>
      <c r="LI1106" s="31"/>
      <c r="LJ1106" s="31"/>
      <c r="LK1106" s="31"/>
      <c r="LL1106" s="31"/>
      <c r="LM1106" s="31"/>
      <c r="LN1106" s="31"/>
      <c r="LO1106" s="31"/>
      <c r="LP1106" s="31"/>
      <c r="LQ1106" s="31"/>
      <c r="LR1106" s="31"/>
      <c r="LS1106" s="31"/>
      <c r="LT1106" s="31"/>
      <c r="LU1106" s="31"/>
      <c r="LV1106" s="31"/>
      <c r="LW1106" s="31"/>
      <c r="LX1106" s="31"/>
      <c r="LY1106" s="31"/>
      <c r="LZ1106" s="31"/>
      <c r="MA1106" s="31"/>
      <c r="MB1106" s="31"/>
      <c r="MC1106" s="31"/>
      <c r="MD1106" s="31"/>
      <c r="ME1106" s="31"/>
      <c r="MF1106" s="31"/>
      <c r="MG1106" s="31"/>
      <c r="MH1106" s="31"/>
      <c r="MI1106" s="31"/>
      <c r="MJ1106" s="31"/>
      <c r="MK1106" s="31"/>
      <c r="ML1106" s="31"/>
      <c r="MM1106" s="31"/>
      <c r="MN1106" s="31"/>
      <c r="MO1106" s="31"/>
      <c r="MP1106" s="31"/>
      <c r="MQ1106" s="31"/>
      <c r="MR1106" s="31"/>
      <c r="MS1106" s="31"/>
      <c r="MT1106" s="31"/>
      <c r="MU1106" s="31"/>
      <c r="MV1106" s="31"/>
      <c r="MW1106" s="31"/>
      <c r="MX1106" s="31"/>
      <c r="MY1106" s="31"/>
      <c r="MZ1106" s="31"/>
      <c r="NA1106" s="31"/>
      <c r="NB1106" s="31"/>
      <c r="NC1106" s="31"/>
      <c r="ND1106" s="31"/>
      <c r="NE1106" s="31"/>
      <c r="NF1106" s="31"/>
      <c r="NG1106" s="31"/>
      <c r="NH1106" s="31"/>
      <c r="NI1106" s="31"/>
      <c r="NJ1106" s="31"/>
      <c r="NK1106" s="31"/>
      <c r="NL1106" s="31"/>
      <c r="NM1106" s="31"/>
      <c r="NN1106" s="31"/>
      <c r="NO1106" s="31"/>
      <c r="NP1106" s="31"/>
      <c r="NQ1106" s="31"/>
      <c r="NR1106" s="31"/>
      <c r="NS1106" s="31"/>
      <c r="NT1106" s="31"/>
      <c r="NU1106" s="31"/>
      <c r="NV1106" s="31"/>
      <c r="NW1106" s="31"/>
      <c r="NX1106" s="31"/>
      <c r="NY1106" s="31"/>
      <c r="NZ1106" s="31"/>
      <c r="OA1106" s="31"/>
      <c r="OB1106" s="31"/>
      <c r="OC1106" s="31"/>
      <c r="OD1106" s="31"/>
      <c r="OE1106" s="31"/>
      <c r="OF1106" s="31"/>
      <c r="OG1106" s="31"/>
      <c r="OH1106" s="31"/>
      <c r="OI1106" s="31"/>
      <c r="OJ1106" s="31"/>
      <c r="OK1106" s="31"/>
      <c r="OL1106" s="31"/>
      <c r="OM1106" s="31"/>
      <c r="ON1106" s="31"/>
      <c r="OO1106" s="31"/>
      <c r="OP1106" s="31"/>
      <c r="OQ1106" s="31"/>
      <c r="OR1106" s="31"/>
      <c r="OS1106" s="31"/>
      <c r="OT1106" s="31"/>
      <c r="OU1106" s="31"/>
      <c r="OV1106" s="31"/>
      <c r="OW1106" s="31"/>
      <c r="OX1106" s="31"/>
      <c r="OY1106" s="31"/>
      <c r="OZ1106" s="31"/>
      <c r="PA1106" s="31"/>
      <c r="PB1106" s="31"/>
      <c r="PC1106" s="31"/>
      <c r="PD1106" s="31"/>
      <c r="PE1106" s="31"/>
      <c r="PF1106" s="31"/>
      <c r="PG1106" s="31"/>
      <c r="PH1106" s="31"/>
      <c r="PI1106" s="31"/>
      <c r="PJ1106" s="31"/>
      <c r="PK1106" s="31"/>
      <c r="PL1106" s="31"/>
      <c r="PM1106" s="31"/>
      <c r="PN1106" s="31"/>
      <c r="PO1106" s="31"/>
      <c r="PP1106" s="31"/>
      <c r="PQ1106" s="31"/>
      <c r="PR1106" s="31"/>
      <c r="PS1106" s="31"/>
      <c r="PT1106" s="31"/>
      <c r="PU1106" s="31"/>
      <c r="PV1106" s="31"/>
      <c r="PW1106" s="31"/>
      <c r="PX1106" s="31"/>
      <c r="PY1106" s="31"/>
      <c r="PZ1106" s="31"/>
      <c r="QA1106" s="31"/>
      <c r="QB1106" s="31"/>
      <c r="QC1106" s="31"/>
      <c r="QD1106" s="31"/>
      <c r="QE1106" s="31"/>
      <c r="QF1106" s="31"/>
      <c r="QG1106" s="31"/>
      <c r="QH1106" s="31"/>
      <c r="QI1106" s="31"/>
      <c r="QJ1106" s="31"/>
      <c r="QK1106" s="31"/>
      <c r="QL1106" s="31"/>
      <c r="QM1106" s="31"/>
      <c r="QN1106" s="31"/>
      <c r="QO1106" s="31"/>
      <c r="QP1106" s="31"/>
      <c r="QQ1106" s="31"/>
      <c r="QR1106" s="31"/>
      <c r="QS1106" s="31"/>
      <c r="QT1106" s="31"/>
      <c r="QU1106" s="31"/>
      <c r="QV1106" s="31"/>
      <c r="QW1106" s="31"/>
      <c r="QX1106" s="31"/>
      <c r="QY1106" s="31"/>
      <c r="QZ1106" s="31"/>
      <c r="RA1106" s="31"/>
      <c r="RB1106" s="31"/>
      <c r="RC1106" s="31"/>
      <c r="RD1106" s="31"/>
      <c r="RE1106" s="31"/>
      <c r="RF1106" s="31"/>
      <c r="RG1106" s="31"/>
      <c r="RH1106" s="31"/>
      <c r="RI1106" s="31"/>
      <c r="RJ1106" s="31"/>
      <c r="RK1106" s="31"/>
      <c r="RL1106" s="31"/>
      <c r="RM1106" s="31"/>
      <c r="RN1106" s="31"/>
      <c r="RO1106" s="31"/>
      <c r="RP1106" s="31"/>
      <c r="RQ1106" s="31"/>
      <c r="RR1106" s="31"/>
      <c r="RS1106" s="31"/>
      <c r="RT1106" s="31"/>
      <c r="RU1106" s="31"/>
      <c r="RV1106" s="31"/>
      <c r="RW1106" s="31"/>
      <c r="RX1106" s="31"/>
      <c r="RY1106" s="31"/>
      <c r="RZ1106" s="31"/>
      <c r="SA1106" s="31"/>
      <c r="SB1106" s="31"/>
      <c r="SC1106" s="31"/>
      <c r="SD1106" s="31"/>
      <c r="SE1106" s="31"/>
      <c r="SF1106" s="31"/>
      <c r="SG1106" s="31"/>
      <c r="SH1106" s="31"/>
      <c r="SI1106" s="31"/>
      <c r="SJ1106" s="31"/>
      <c r="SK1106" s="31"/>
      <c r="SL1106" s="31"/>
      <c r="SM1106" s="31"/>
      <c r="SN1106" s="31"/>
      <c r="SO1106" s="31"/>
      <c r="SP1106" s="31"/>
      <c r="SQ1106" s="31"/>
      <c r="SR1106" s="31"/>
      <c r="SS1106" s="31"/>
      <c r="ST1106" s="31"/>
      <c r="SU1106" s="31"/>
      <c r="SV1106" s="31"/>
      <c r="SW1106" s="31"/>
      <c r="SX1106" s="31"/>
      <c r="SY1106" s="31"/>
      <c r="SZ1106" s="31"/>
      <c r="TA1106" s="31"/>
      <c r="TB1106" s="31"/>
      <c r="TC1106" s="31"/>
      <c r="TD1106" s="31"/>
      <c r="TE1106" s="31"/>
      <c r="TF1106" s="31"/>
      <c r="TG1106" s="31"/>
      <c r="TH1106" s="31"/>
      <c r="TI1106" s="31"/>
      <c r="TJ1106" s="31"/>
      <c r="TK1106" s="31"/>
      <c r="TL1106" s="31"/>
      <c r="TM1106" s="31"/>
      <c r="TN1106" s="31"/>
      <c r="TO1106" s="31"/>
      <c r="TP1106" s="31"/>
      <c r="TQ1106" s="31"/>
      <c r="TR1106" s="31"/>
      <c r="TS1106" s="31"/>
      <c r="TT1106" s="31"/>
      <c r="TU1106" s="31"/>
      <c r="TV1106" s="31"/>
      <c r="TW1106" s="31"/>
      <c r="TX1106" s="31"/>
      <c r="TY1106" s="31"/>
      <c r="TZ1106" s="31"/>
      <c r="UA1106" s="31"/>
      <c r="UB1106" s="31"/>
      <c r="UC1106" s="31"/>
      <c r="UD1106" s="31"/>
      <c r="UE1106" s="31"/>
      <c r="UF1106" s="31"/>
      <c r="UG1106" s="33"/>
    </row>
    <row r="1107" spans="1:553" ht="31.5" customHeight="1">
      <c r="A1107" s="356"/>
      <c r="B1107" s="385">
        <v>7</v>
      </c>
      <c r="C1107" s="1403" t="s">
        <v>637</v>
      </c>
      <c r="D1107" s="1389"/>
      <c r="E1107" s="1389"/>
      <c r="F1107" s="1390"/>
      <c r="G1107" s="386" t="s">
        <v>33</v>
      </c>
      <c r="H1107" s="370"/>
      <c r="I1107" s="422">
        <f>(2.3*7.3)+(10*4.8)</f>
        <v>64.789999999999992</v>
      </c>
      <c r="J1107" s="477">
        <v>39000</v>
      </c>
      <c r="K1107" s="388"/>
      <c r="L1107" s="391">
        <f t="shared" si="167"/>
        <v>2526809.9999999995</v>
      </c>
      <c r="M1107" s="395"/>
      <c r="N1107" s="395"/>
      <c r="O1107" s="366"/>
      <c r="P1107" s="396"/>
      <c r="Q1107" s="473"/>
      <c r="R1107" s="1039"/>
      <c r="S1107" s="308"/>
      <c r="T1107" s="308"/>
      <c r="U1107" s="308"/>
      <c r="V1107" s="308"/>
      <c r="W1107" s="308"/>
      <c r="X1107" s="308"/>
      <c r="Y1107" s="308"/>
      <c r="Z1107" s="604"/>
      <c r="AA1107" s="308"/>
      <c r="AB1107" s="308"/>
      <c r="AC1107" s="449"/>
      <c r="AD1107" s="449"/>
      <c r="AE1107" s="449"/>
      <c r="AF1107" s="449"/>
      <c r="AG1107" s="452"/>
      <c r="AH1107" s="452"/>
      <c r="AI1107" s="452"/>
      <c r="AJ1107" s="452"/>
      <c r="AK1107" s="452"/>
      <c r="AL1107" s="104"/>
      <c r="AM1107" s="32"/>
      <c r="AN1107" s="32"/>
      <c r="AO1107" s="32"/>
      <c r="AP1107" s="32"/>
      <c r="AQ1107" s="31"/>
      <c r="AR1107" s="31"/>
      <c r="AS1107" s="31"/>
      <c r="AT1107" s="31"/>
      <c r="AU1107" s="31"/>
      <c r="AV1107" s="31"/>
      <c r="AW1107" s="31"/>
      <c r="AX1107" s="31"/>
      <c r="AY1107" s="31"/>
      <c r="AZ1107" s="31"/>
      <c r="BA1107" s="31"/>
      <c r="BB1107" s="31"/>
      <c r="BC1107" s="31"/>
      <c r="BD1107" s="31"/>
      <c r="BE1107" s="31"/>
      <c r="BF1107" s="31"/>
      <c r="BG1107" s="31"/>
      <c r="BH1107" s="31"/>
      <c r="BI1107" s="31"/>
      <c r="BJ1107" s="31"/>
      <c r="BK1107" s="31"/>
      <c r="BL1107" s="31"/>
      <c r="BM1107" s="31"/>
      <c r="BN1107" s="31"/>
      <c r="BO1107" s="31"/>
      <c r="BP1107" s="31"/>
      <c r="BQ1107" s="31"/>
      <c r="BR1107" s="31"/>
      <c r="BS1107" s="31"/>
      <c r="BT1107" s="31"/>
      <c r="BU1107" s="31"/>
      <c r="BV1107" s="31"/>
      <c r="BW1107" s="31"/>
      <c r="BX1107" s="31"/>
      <c r="BY1107" s="31"/>
      <c r="BZ1107" s="31"/>
      <c r="CA1107" s="31"/>
      <c r="CB1107" s="31"/>
      <c r="CC1107" s="31"/>
      <c r="CD1107" s="31"/>
      <c r="CE1107" s="31"/>
      <c r="CF1107" s="31"/>
      <c r="CG1107" s="31"/>
      <c r="CH1107" s="31"/>
      <c r="CI1107" s="31"/>
      <c r="CJ1107" s="31"/>
      <c r="CK1107" s="31"/>
      <c r="CL1107" s="31"/>
      <c r="CM1107" s="31"/>
      <c r="CN1107" s="31"/>
      <c r="CO1107" s="31"/>
      <c r="CP1107" s="31"/>
      <c r="CQ1107" s="31"/>
      <c r="CR1107" s="31"/>
      <c r="CS1107" s="31"/>
      <c r="CT1107" s="31"/>
      <c r="CU1107" s="31"/>
      <c r="CV1107" s="31"/>
      <c r="CW1107" s="31"/>
      <c r="CX1107" s="31"/>
      <c r="CY1107" s="31"/>
      <c r="CZ1107" s="31"/>
      <c r="DA1107" s="31"/>
      <c r="DB1107" s="31"/>
      <c r="DC1107" s="31"/>
      <c r="DD1107" s="31"/>
      <c r="DE1107" s="31"/>
      <c r="DF1107" s="31"/>
      <c r="DG1107" s="31"/>
      <c r="DH1107" s="31"/>
      <c r="DI1107" s="31"/>
      <c r="DJ1107" s="31"/>
      <c r="DK1107" s="31"/>
      <c r="DL1107" s="31"/>
      <c r="DM1107" s="31"/>
      <c r="DN1107" s="31"/>
      <c r="DO1107" s="31"/>
      <c r="DP1107" s="31"/>
      <c r="DQ1107" s="31"/>
      <c r="DR1107" s="31"/>
      <c r="DS1107" s="31"/>
      <c r="DT1107" s="31"/>
      <c r="DU1107" s="31"/>
      <c r="DV1107" s="31"/>
      <c r="DW1107" s="31"/>
      <c r="DX1107" s="31"/>
      <c r="DY1107" s="31"/>
      <c r="DZ1107" s="31"/>
      <c r="EA1107" s="31"/>
      <c r="EB1107" s="31"/>
      <c r="EC1107" s="31"/>
      <c r="ED1107" s="31"/>
      <c r="EE1107" s="31"/>
      <c r="EF1107" s="31"/>
      <c r="EG1107" s="31"/>
      <c r="EH1107" s="31"/>
      <c r="EI1107" s="31"/>
      <c r="EJ1107" s="31"/>
      <c r="EK1107" s="31"/>
      <c r="EL1107" s="31"/>
      <c r="EM1107" s="31"/>
      <c r="EN1107" s="31"/>
      <c r="EO1107" s="31"/>
      <c r="EP1107" s="31"/>
      <c r="EQ1107" s="31"/>
      <c r="ER1107" s="31"/>
      <c r="ES1107" s="31"/>
      <c r="ET1107" s="31"/>
      <c r="EU1107" s="31"/>
      <c r="EV1107" s="31"/>
      <c r="EW1107" s="31"/>
      <c r="EX1107" s="31"/>
      <c r="EY1107" s="31"/>
      <c r="EZ1107" s="31"/>
      <c r="FA1107" s="31"/>
      <c r="FB1107" s="31"/>
      <c r="FC1107" s="31"/>
      <c r="FD1107" s="31"/>
      <c r="FE1107" s="31"/>
      <c r="FF1107" s="31"/>
      <c r="FG1107" s="31"/>
      <c r="FH1107" s="31"/>
      <c r="FI1107" s="31"/>
      <c r="FJ1107" s="31"/>
      <c r="FK1107" s="31"/>
      <c r="FL1107" s="31"/>
      <c r="FM1107" s="31"/>
      <c r="FN1107" s="31"/>
      <c r="FO1107" s="31"/>
      <c r="FP1107" s="31"/>
      <c r="FQ1107" s="31"/>
      <c r="FR1107" s="31"/>
      <c r="FS1107" s="31"/>
      <c r="FT1107" s="31"/>
      <c r="FU1107" s="31"/>
      <c r="FV1107" s="31"/>
      <c r="FW1107" s="31"/>
      <c r="FX1107" s="31"/>
      <c r="FY1107" s="31"/>
      <c r="FZ1107" s="31"/>
      <c r="GA1107" s="31"/>
      <c r="GB1107" s="31"/>
      <c r="GC1107" s="31"/>
      <c r="GD1107" s="31"/>
      <c r="GE1107" s="31"/>
      <c r="GF1107" s="31"/>
      <c r="GG1107" s="31"/>
      <c r="GH1107" s="31"/>
      <c r="GI1107" s="31"/>
      <c r="GJ1107" s="31"/>
      <c r="GK1107" s="31"/>
      <c r="GL1107" s="31"/>
      <c r="GM1107" s="31"/>
      <c r="GN1107" s="31"/>
      <c r="GO1107" s="31"/>
      <c r="GP1107" s="31"/>
      <c r="GQ1107" s="31"/>
      <c r="GR1107" s="31"/>
      <c r="GS1107" s="31"/>
      <c r="GT1107" s="31"/>
      <c r="GU1107" s="31"/>
      <c r="GV1107" s="31"/>
      <c r="GW1107" s="31"/>
      <c r="GX1107" s="31"/>
      <c r="GY1107" s="31"/>
      <c r="GZ1107" s="31"/>
      <c r="HA1107" s="31"/>
      <c r="HB1107" s="31"/>
      <c r="HC1107" s="31"/>
      <c r="HD1107" s="31"/>
      <c r="HE1107" s="31"/>
      <c r="HF1107" s="31"/>
      <c r="HG1107" s="31"/>
      <c r="HH1107" s="31"/>
      <c r="HI1107" s="31"/>
      <c r="HJ1107" s="31"/>
      <c r="HK1107" s="31"/>
      <c r="HL1107" s="31"/>
      <c r="HM1107" s="31"/>
      <c r="HN1107" s="31"/>
      <c r="HO1107" s="31"/>
      <c r="HP1107" s="31"/>
      <c r="HQ1107" s="31"/>
      <c r="HR1107" s="31"/>
      <c r="HS1107" s="31"/>
      <c r="HT1107" s="31"/>
      <c r="HU1107" s="31"/>
      <c r="HV1107" s="31"/>
      <c r="HW1107" s="31"/>
      <c r="HX1107" s="31"/>
      <c r="HY1107" s="31"/>
      <c r="HZ1107" s="31"/>
      <c r="IA1107" s="31"/>
      <c r="IB1107" s="31"/>
      <c r="IC1107" s="31"/>
      <c r="ID1107" s="31"/>
      <c r="IE1107" s="31"/>
      <c r="IF1107" s="31"/>
      <c r="IG1107" s="31"/>
      <c r="IH1107" s="31"/>
      <c r="II1107" s="31"/>
      <c r="IJ1107" s="31"/>
      <c r="IK1107" s="31"/>
      <c r="IL1107" s="31"/>
      <c r="IM1107" s="31"/>
      <c r="IN1107" s="31"/>
      <c r="IO1107" s="31"/>
      <c r="IP1107" s="31"/>
      <c r="IQ1107" s="31"/>
      <c r="IR1107" s="31"/>
      <c r="IS1107" s="31"/>
      <c r="IT1107" s="31"/>
      <c r="IU1107" s="31"/>
      <c r="IV1107" s="31"/>
      <c r="IW1107" s="31"/>
      <c r="IX1107" s="31"/>
      <c r="IY1107" s="31"/>
      <c r="IZ1107" s="31"/>
      <c r="JA1107" s="31"/>
      <c r="JB1107" s="31"/>
      <c r="JC1107" s="31"/>
      <c r="JD1107" s="31"/>
      <c r="JE1107" s="31"/>
      <c r="JF1107" s="31"/>
      <c r="JG1107" s="31"/>
      <c r="JH1107" s="31"/>
      <c r="JI1107" s="31"/>
      <c r="JJ1107" s="31"/>
      <c r="JK1107" s="31"/>
      <c r="JL1107" s="31"/>
      <c r="JM1107" s="31"/>
      <c r="JN1107" s="31"/>
      <c r="JO1107" s="31"/>
      <c r="JP1107" s="31"/>
      <c r="JQ1107" s="31"/>
      <c r="JR1107" s="31"/>
      <c r="JS1107" s="31"/>
      <c r="JT1107" s="31"/>
      <c r="JU1107" s="31"/>
      <c r="JV1107" s="31"/>
      <c r="JW1107" s="31"/>
      <c r="JX1107" s="31"/>
      <c r="JY1107" s="31"/>
      <c r="JZ1107" s="31"/>
      <c r="KA1107" s="31"/>
      <c r="KB1107" s="31"/>
      <c r="KC1107" s="31"/>
      <c r="KD1107" s="31"/>
      <c r="KE1107" s="31"/>
      <c r="KF1107" s="31"/>
      <c r="KG1107" s="31"/>
      <c r="KH1107" s="31"/>
      <c r="KI1107" s="31"/>
      <c r="KJ1107" s="31"/>
      <c r="KK1107" s="31"/>
      <c r="KL1107" s="31"/>
      <c r="KM1107" s="31"/>
      <c r="KN1107" s="31"/>
      <c r="KO1107" s="31"/>
      <c r="KP1107" s="31"/>
      <c r="KQ1107" s="31"/>
      <c r="KR1107" s="31"/>
      <c r="KS1107" s="31"/>
      <c r="KT1107" s="31"/>
      <c r="KU1107" s="31"/>
      <c r="KV1107" s="31"/>
      <c r="KW1107" s="31"/>
      <c r="KX1107" s="31"/>
      <c r="KY1107" s="31"/>
      <c r="KZ1107" s="31"/>
      <c r="LA1107" s="31"/>
      <c r="LB1107" s="31"/>
      <c r="LC1107" s="31"/>
      <c r="LD1107" s="31"/>
      <c r="LE1107" s="31"/>
      <c r="LF1107" s="31"/>
      <c r="LG1107" s="31"/>
      <c r="LH1107" s="31"/>
      <c r="LI1107" s="31"/>
      <c r="LJ1107" s="31"/>
      <c r="LK1107" s="31"/>
      <c r="LL1107" s="31"/>
      <c r="LM1107" s="31"/>
      <c r="LN1107" s="31"/>
      <c r="LO1107" s="31"/>
      <c r="LP1107" s="31"/>
      <c r="LQ1107" s="31"/>
      <c r="LR1107" s="31"/>
      <c r="LS1107" s="31"/>
      <c r="LT1107" s="31"/>
      <c r="LU1107" s="31"/>
      <c r="LV1107" s="31"/>
      <c r="LW1107" s="31"/>
      <c r="LX1107" s="31"/>
      <c r="LY1107" s="31"/>
      <c r="LZ1107" s="31"/>
      <c r="MA1107" s="31"/>
      <c r="MB1107" s="31"/>
      <c r="MC1107" s="31"/>
      <c r="MD1107" s="31"/>
      <c r="ME1107" s="31"/>
      <c r="MF1107" s="31"/>
      <c r="MG1107" s="31"/>
      <c r="MH1107" s="31"/>
      <c r="MI1107" s="31"/>
      <c r="MJ1107" s="31"/>
      <c r="MK1107" s="31"/>
      <c r="ML1107" s="31"/>
      <c r="MM1107" s="31"/>
      <c r="MN1107" s="31"/>
      <c r="MO1107" s="31"/>
      <c r="MP1107" s="31"/>
      <c r="MQ1107" s="31"/>
      <c r="MR1107" s="31"/>
      <c r="MS1107" s="31"/>
      <c r="MT1107" s="31"/>
      <c r="MU1107" s="31"/>
      <c r="MV1107" s="31"/>
      <c r="MW1107" s="31"/>
      <c r="MX1107" s="31"/>
      <c r="MY1107" s="31"/>
      <c r="MZ1107" s="31"/>
      <c r="NA1107" s="31"/>
      <c r="NB1107" s="31"/>
      <c r="NC1107" s="31"/>
      <c r="ND1107" s="31"/>
      <c r="NE1107" s="31"/>
      <c r="NF1107" s="31"/>
      <c r="NG1107" s="31"/>
      <c r="NH1107" s="31"/>
      <c r="NI1107" s="31"/>
      <c r="NJ1107" s="31"/>
      <c r="NK1107" s="31"/>
      <c r="NL1107" s="31"/>
      <c r="NM1107" s="31"/>
      <c r="NN1107" s="31"/>
      <c r="NO1107" s="31"/>
      <c r="NP1107" s="31"/>
      <c r="NQ1107" s="31"/>
      <c r="NR1107" s="31"/>
      <c r="NS1107" s="31"/>
      <c r="NT1107" s="31"/>
      <c r="NU1107" s="31"/>
      <c r="NV1107" s="31"/>
      <c r="NW1107" s="31"/>
      <c r="NX1107" s="31"/>
      <c r="NY1107" s="31"/>
      <c r="NZ1107" s="31"/>
      <c r="OA1107" s="31"/>
      <c r="OB1107" s="31"/>
      <c r="OC1107" s="31"/>
      <c r="OD1107" s="31"/>
      <c r="OE1107" s="31"/>
      <c r="OF1107" s="31"/>
      <c r="OG1107" s="31"/>
      <c r="OH1107" s="31"/>
      <c r="OI1107" s="31"/>
      <c r="OJ1107" s="31"/>
      <c r="OK1107" s="31"/>
      <c r="OL1107" s="31"/>
      <c r="OM1107" s="31"/>
      <c r="ON1107" s="31"/>
      <c r="OO1107" s="31"/>
      <c r="OP1107" s="31"/>
      <c r="OQ1107" s="31"/>
      <c r="OR1107" s="31"/>
      <c r="OS1107" s="31"/>
      <c r="OT1107" s="31"/>
      <c r="OU1107" s="31"/>
      <c r="OV1107" s="31"/>
      <c r="OW1107" s="31"/>
      <c r="OX1107" s="31"/>
      <c r="OY1107" s="31"/>
      <c r="OZ1107" s="31"/>
      <c r="PA1107" s="31"/>
      <c r="PB1107" s="31"/>
      <c r="PC1107" s="31"/>
      <c r="PD1107" s="31"/>
      <c r="PE1107" s="31"/>
      <c r="PF1107" s="31"/>
      <c r="PG1107" s="31"/>
      <c r="PH1107" s="31"/>
      <c r="PI1107" s="31"/>
      <c r="PJ1107" s="31"/>
      <c r="PK1107" s="31"/>
      <c r="PL1107" s="31"/>
      <c r="PM1107" s="31"/>
      <c r="PN1107" s="31"/>
      <c r="PO1107" s="31"/>
      <c r="PP1107" s="31"/>
      <c r="PQ1107" s="31"/>
      <c r="PR1107" s="31"/>
      <c r="PS1107" s="31"/>
      <c r="PT1107" s="31"/>
      <c r="PU1107" s="31"/>
      <c r="PV1107" s="31"/>
      <c r="PW1107" s="31"/>
      <c r="PX1107" s="31"/>
      <c r="PY1107" s="31"/>
      <c r="PZ1107" s="31"/>
      <c r="QA1107" s="31"/>
      <c r="QB1107" s="31"/>
      <c r="QC1107" s="31"/>
      <c r="QD1107" s="31"/>
      <c r="QE1107" s="31"/>
      <c r="QF1107" s="31"/>
      <c r="QG1107" s="31"/>
      <c r="QH1107" s="31"/>
      <c r="QI1107" s="31"/>
      <c r="QJ1107" s="31"/>
      <c r="QK1107" s="31"/>
      <c r="QL1107" s="31"/>
      <c r="QM1107" s="31"/>
      <c r="QN1107" s="31"/>
      <c r="QO1107" s="31"/>
      <c r="QP1107" s="31"/>
      <c r="QQ1107" s="31"/>
      <c r="QR1107" s="31"/>
      <c r="QS1107" s="31"/>
      <c r="QT1107" s="31"/>
      <c r="QU1107" s="31"/>
      <c r="QV1107" s="31"/>
      <c r="QW1107" s="31"/>
      <c r="QX1107" s="31"/>
      <c r="QY1107" s="31"/>
      <c r="QZ1107" s="31"/>
      <c r="RA1107" s="31"/>
      <c r="RB1107" s="31"/>
      <c r="RC1107" s="31"/>
      <c r="RD1107" s="31"/>
      <c r="RE1107" s="31"/>
      <c r="RF1107" s="31"/>
      <c r="RG1107" s="31"/>
      <c r="RH1107" s="31"/>
      <c r="RI1107" s="31"/>
      <c r="RJ1107" s="31"/>
      <c r="RK1107" s="31"/>
      <c r="RL1107" s="31"/>
      <c r="RM1107" s="31"/>
      <c r="RN1107" s="31"/>
      <c r="RO1107" s="31"/>
      <c r="RP1107" s="31"/>
      <c r="RQ1107" s="31"/>
      <c r="RR1107" s="31"/>
      <c r="RS1107" s="31"/>
      <c r="RT1107" s="31"/>
      <c r="RU1107" s="31"/>
      <c r="RV1107" s="31"/>
      <c r="RW1107" s="31"/>
      <c r="RX1107" s="31"/>
      <c r="RY1107" s="31"/>
      <c r="RZ1107" s="31"/>
      <c r="SA1107" s="31"/>
      <c r="SB1107" s="31"/>
      <c r="SC1107" s="31"/>
      <c r="SD1107" s="31"/>
      <c r="SE1107" s="31"/>
      <c r="SF1107" s="31"/>
      <c r="SG1107" s="31"/>
      <c r="SH1107" s="31"/>
      <c r="SI1107" s="31"/>
      <c r="SJ1107" s="31"/>
      <c r="SK1107" s="31"/>
      <c r="SL1107" s="31"/>
      <c r="SM1107" s="31"/>
      <c r="SN1107" s="31"/>
      <c r="SO1107" s="31"/>
      <c r="SP1107" s="31"/>
      <c r="SQ1107" s="31"/>
      <c r="SR1107" s="31"/>
      <c r="SS1107" s="31"/>
      <c r="ST1107" s="31"/>
      <c r="SU1107" s="31"/>
      <c r="SV1107" s="31"/>
      <c r="SW1107" s="31"/>
      <c r="SX1107" s="31"/>
      <c r="SY1107" s="31"/>
      <c r="SZ1107" s="31"/>
      <c r="TA1107" s="31"/>
      <c r="TB1107" s="31"/>
      <c r="TC1107" s="31"/>
      <c r="TD1107" s="31"/>
      <c r="TE1107" s="31"/>
      <c r="TF1107" s="31"/>
      <c r="TG1107" s="31"/>
      <c r="TH1107" s="31"/>
      <c r="TI1107" s="31"/>
      <c r="TJ1107" s="31"/>
      <c r="TK1107" s="31"/>
      <c r="TL1107" s="31"/>
      <c r="TM1107" s="31"/>
      <c r="TN1107" s="31"/>
      <c r="TO1107" s="31"/>
      <c r="TP1107" s="31"/>
      <c r="TQ1107" s="31"/>
      <c r="TR1107" s="31"/>
      <c r="TS1107" s="31"/>
      <c r="TT1107" s="31"/>
      <c r="TU1107" s="31"/>
      <c r="TV1107" s="31"/>
      <c r="TW1107" s="31"/>
      <c r="TX1107" s="31"/>
      <c r="TY1107" s="31"/>
      <c r="TZ1107" s="31"/>
      <c r="UA1107" s="31"/>
      <c r="UB1107" s="31"/>
      <c r="UC1107" s="31"/>
      <c r="UD1107" s="31"/>
      <c r="UE1107" s="31"/>
      <c r="UF1107" s="31"/>
      <c r="UG1107" s="33"/>
    </row>
    <row r="1108" spans="1:553" ht="31.5" customHeight="1">
      <c r="A1108" s="356"/>
      <c r="B1108" s="385">
        <v>7</v>
      </c>
      <c r="C1108" s="1403" t="s">
        <v>638</v>
      </c>
      <c r="D1108" s="1389"/>
      <c r="E1108" s="1389"/>
      <c r="F1108" s="1390"/>
      <c r="G1108" s="386" t="s">
        <v>33</v>
      </c>
      <c r="H1108" s="370"/>
      <c r="I1108" s="422">
        <f>0.9*4*8</f>
        <v>28.8</v>
      </c>
      <c r="J1108" s="477">
        <v>39000</v>
      </c>
      <c r="K1108" s="388"/>
      <c r="L1108" s="391">
        <f t="shared" si="167"/>
        <v>1123200</v>
      </c>
      <c r="M1108" s="395"/>
      <c r="N1108" s="395"/>
      <c r="O1108" s="366"/>
      <c r="P1108" s="396"/>
      <c r="Q1108" s="473"/>
      <c r="R1108" s="1039"/>
      <c r="S1108" s="308"/>
      <c r="T1108" s="308"/>
      <c r="U1108" s="308"/>
      <c r="V1108" s="308"/>
      <c r="W1108" s="308"/>
      <c r="X1108" s="308"/>
      <c r="Y1108" s="308"/>
      <c r="Z1108" s="604"/>
      <c r="AA1108" s="308"/>
      <c r="AB1108" s="308"/>
      <c r="AC1108" s="449"/>
      <c r="AD1108" s="449"/>
      <c r="AE1108" s="449"/>
      <c r="AF1108" s="449"/>
      <c r="AG1108" s="452"/>
      <c r="AH1108" s="452"/>
      <c r="AI1108" s="452"/>
      <c r="AJ1108" s="452"/>
      <c r="AK1108" s="452"/>
      <c r="AL1108" s="104"/>
      <c r="AM1108" s="32"/>
      <c r="AN1108" s="32"/>
      <c r="AO1108" s="32"/>
      <c r="AP1108" s="32"/>
      <c r="AQ1108" s="31"/>
      <c r="AR1108" s="31"/>
      <c r="AS1108" s="31"/>
      <c r="AT1108" s="31"/>
      <c r="AU1108" s="31"/>
      <c r="AV1108" s="31"/>
      <c r="AW1108" s="31"/>
      <c r="AX1108" s="31"/>
      <c r="AY1108" s="31"/>
      <c r="AZ1108" s="31"/>
      <c r="BA1108" s="31"/>
      <c r="BB1108" s="31"/>
      <c r="BC1108" s="31"/>
      <c r="BD1108" s="31"/>
      <c r="BE1108" s="31"/>
      <c r="BF1108" s="31"/>
      <c r="BG1108" s="31"/>
      <c r="BH1108" s="31"/>
      <c r="BI1108" s="31"/>
      <c r="BJ1108" s="31"/>
      <c r="BK1108" s="31"/>
      <c r="BL1108" s="31"/>
      <c r="BM1108" s="31"/>
      <c r="BN1108" s="31"/>
      <c r="BO1108" s="31"/>
      <c r="BP1108" s="31"/>
      <c r="BQ1108" s="31"/>
      <c r="BR1108" s="31"/>
      <c r="BS1108" s="31"/>
      <c r="BT1108" s="31"/>
      <c r="BU1108" s="31"/>
      <c r="BV1108" s="31"/>
      <c r="BW1108" s="31"/>
      <c r="BX1108" s="31"/>
      <c r="BY1108" s="31"/>
      <c r="BZ1108" s="31"/>
      <c r="CA1108" s="31"/>
      <c r="CB1108" s="31"/>
      <c r="CC1108" s="31"/>
      <c r="CD1108" s="31"/>
      <c r="CE1108" s="31"/>
      <c r="CF1108" s="31"/>
      <c r="CG1108" s="31"/>
      <c r="CH1108" s="31"/>
      <c r="CI1108" s="31"/>
      <c r="CJ1108" s="31"/>
      <c r="CK1108" s="31"/>
      <c r="CL1108" s="31"/>
      <c r="CM1108" s="31"/>
      <c r="CN1108" s="31"/>
      <c r="CO1108" s="31"/>
      <c r="CP1108" s="31"/>
      <c r="CQ1108" s="31"/>
      <c r="CR1108" s="31"/>
      <c r="CS1108" s="31"/>
      <c r="CT1108" s="31"/>
      <c r="CU1108" s="31"/>
      <c r="CV1108" s="31"/>
      <c r="CW1108" s="31"/>
      <c r="CX1108" s="31"/>
      <c r="CY1108" s="31"/>
      <c r="CZ1108" s="31"/>
      <c r="DA1108" s="31"/>
      <c r="DB1108" s="31"/>
      <c r="DC1108" s="31"/>
      <c r="DD1108" s="31"/>
      <c r="DE1108" s="31"/>
      <c r="DF1108" s="31"/>
      <c r="DG1108" s="31"/>
      <c r="DH1108" s="31"/>
      <c r="DI1108" s="31"/>
      <c r="DJ1108" s="31"/>
      <c r="DK1108" s="31"/>
      <c r="DL1108" s="31"/>
      <c r="DM1108" s="31"/>
      <c r="DN1108" s="31"/>
      <c r="DO1108" s="31"/>
      <c r="DP1108" s="31"/>
      <c r="DQ1108" s="31"/>
      <c r="DR1108" s="31"/>
      <c r="DS1108" s="31"/>
      <c r="DT1108" s="31"/>
      <c r="DU1108" s="31"/>
      <c r="DV1108" s="31"/>
      <c r="DW1108" s="31"/>
      <c r="DX1108" s="31"/>
      <c r="DY1108" s="31"/>
      <c r="DZ1108" s="31"/>
      <c r="EA1108" s="31"/>
      <c r="EB1108" s="31"/>
      <c r="EC1108" s="31"/>
      <c r="ED1108" s="31"/>
      <c r="EE1108" s="31"/>
      <c r="EF1108" s="31"/>
      <c r="EG1108" s="31"/>
      <c r="EH1108" s="31"/>
      <c r="EI1108" s="31"/>
      <c r="EJ1108" s="31"/>
      <c r="EK1108" s="31"/>
      <c r="EL1108" s="31"/>
      <c r="EM1108" s="31"/>
      <c r="EN1108" s="31"/>
      <c r="EO1108" s="31"/>
      <c r="EP1108" s="31"/>
      <c r="EQ1108" s="31"/>
      <c r="ER1108" s="31"/>
      <c r="ES1108" s="31"/>
      <c r="ET1108" s="31"/>
      <c r="EU1108" s="31"/>
      <c r="EV1108" s="31"/>
      <c r="EW1108" s="31"/>
      <c r="EX1108" s="31"/>
      <c r="EY1108" s="31"/>
      <c r="EZ1108" s="31"/>
      <c r="FA1108" s="31"/>
      <c r="FB1108" s="31"/>
      <c r="FC1108" s="31"/>
      <c r="FD1108" s="31"/>
      <c r="FE1108" s="31"/>
      <c r="FF1108" s="31"/>
      <c r="FG1108" s="31"/>
      <c r="FH1108" s="31"/>
      <c r="FI1108" s="31"/>
      <c r="FJ1108" s="31"/>
      <c r="FK1108" s="31"/>
      <c r="FL1108" s="31"/>
      <c r="FM1108" s="31"/>
      <c r="FN1108" s="31"/>
      <c r="FO1108" s="31"/>
      <c r="FP1108" s="31"/>
      <c r="FQ1108" s="31"/>
      <c r="FR1108" s="31"/>
      <c r="FS1108" s="31"/>
      <c r="FT1108" s="31"/>
      <c r="FU1108" s="31"/>
      <c r="FV1108" s="31"/>
      <c r="FW1108" s="31"/>
      <c r="FX1108" s="31"/>
      <c r="FY1108" s="31"/>
      <c r="FZ1108" s="31"/>
      <c r="GA1108" s="31"/>
      <c r="GB1108" s="31"/>
      <c r="GC1108" s="31"/>
      <c r="GD1108" s="31"/>
      <c r="GE1108" s="31"/>
      <c r="GF1108" s="31"/>
      <c r="GG1108" s="31"/>
      <c r="GH1108" s="31"/>
      <c r="GI1108" s="31"/>
      <c r="GJ1108" s="31"/>
      <c r="GK1108" s="31"/>
      <c r="GL1108" s="31"/>
      <c r="GM1108" s="31"/>
      <c r="GN1108" s="31"/>
      <c r="GO1108" s="31"/>
      <c r="GP1108" s="31"/>
      <c r="GQ1108" s="31"/>
      <c r="GR1108" s="31"/>
      <c r="GS1108" s="31"/>
      <c r="GT1108" s="31"/>
      <c r="GU1108" s="31"/>
      <c r="GV1108" s="31"/>
      <c r="GW1108" s="31"/>
      <c r="GX1108" s="31"/>
      <c r="GY1108" s="31"/>
      <c r="GZ1108" s="31"/>
      <c r="HA1108" s="31"/>
      <c r="HB1108" s="31"/>
      <c r="HC1108" s="31"/>
      <c r="HD1108" s="31"/>
      <c r="HE1108" s="31"/>
      <c r="HF1108" s="31"/>
      <c r="HG1108" s="31"/>
      <c r="HH1108" s="31"/>
      <c r="HI1108" s="31"/>
      <c r="HJ1108" s="31"/>
      <c r="HK1108" s="31"/>
      <c r="HL1108" s="31"/>
      <c r="HM1108" s="31"/>
      <c r="HN1108" s="31"/>
      <c r="HO1108" s="31"/>
      <c r="HP1108" s="31"/>
      <c r="HQ1108" s="31"/>
      <c r="HR1108" s="31"/>
      <c r="HS1108" s="31"/>
      <c r="HT1108" s="31"/>
      <c r="HU1108" s="31"/>
      <c r="HV1108" s="31"/>
      <c r="HW1108" s="31"/>
      <c r="HX1108" s="31"/>
      <c r="HY1108" s="31"/>
      <c r="HZ1108" s="31"/>
      <c r="IA1108" s="31"/>
      <c r="IB1108" s="31"/>
      <c r="IC1108" s="31"/>
      <c r="ID1108" s="31"/>
      <c r="IE1108" s="31"/>
      <c r="IF1108" s="31"/>
      <c r="IG1108" s="31"/>
      <c r="IH1108" s="31"/>
      <c r="II1108" s="31"/>
      <c r="IJ1108" s="31"/>
      <c r="IK1108" s="31"/>
      <c r="IL1108" s="31"/>
      <c r="IM1108" s="31"/>
      <c r="IN1108" s="31"/>
      <c r="IO1108" s="31"/>
      <c r="IP1108" s="31"/>
      <c r="IQ1108" s="31"/>
      <c r="IR1108" s="31"/>
      <c r="IS1108" s="31"/>
      <c r="IT1108" s="31"/>
      <c r="IU1108" s="31"/>
      <c r="IV1108" s="31"/>
      <c r="IW1108" s="31"/>
      <c r="IX1108" s="31"/>
      <c r="IY1108" s="31"/>
      <c r="IZ1108" s="31"/>
      <c r="JA1108" s="31"/>
      <c r="JB1108" s="31"/>
      <c r="JC1108" s="31"/>
      <c r="JD1108" s="31"/>
      <c r="JE1108" s="31"/>
      <c r="JF1108" s="31"/>
      <c r="JG1108" s="31"/>
      <c r="JH1108" s="31"/>
      <c r="JI1108" s="31"/>
      <c r="JJ1108" s="31"/>
      <c r="JK1108" s="31"/>
      <c r="JL1108" s="31"/>
      <c r="JM1108" s="31"/>
      <c r="JN1108" s="31"/>
      <c r="JO1108" s="31"/>
      <c r="JP1108" s="31"/>
      <c r="JQ1108" s="31"/>
      <c r="JR1108" s="31"/>
      <c r="JS1108" s="31"/>
      <c r="JT1108" s="31"/>
      <c r="JU1108" s="31"/>
      <c r="JV1108" s="31"/>
      <c r="JW1108" s="31"/>
      <c r="JX1108" s="31"/>
      <c r="JY1108" s="31"/>
      <c r="JZ1108" s="31"/>
      <c r="KA1108" s="31"/>
      <c r="KB1108" s="31"/>
      <c r="KC1108" s="31"/>
      <c r="KD1108" s="31"/>
      <c r="KE1108" s="31"/>
      <c r="KF1108" s="31"/>
      <c r="KG1108" s="31"/>
      <c r="KH1108" s="31"/>
      <c r="KI1108" s="31"/>
      <c r="KJ1108" s="31"/>
      <c r="KK1108" s="31"/>
      <c r="KL1108" s="31"/>
      <c r="KM1108" s="31"/>
      <c r="KN1108" s="31"/>
      <c r="KO1108" s="31"/>
      <c r="KP1108" s="31"/>
      <c r="KQ1108" s="31"/>
      <c r="KR1108" s="31"/>
      <c r="KS1108" s="31"/>
      <c r="KT1108" s="31"/>
      <c r="KU1108" s="31"/>
      <c r="KV1108" s="31"/>
      <c r="KW1108" s="31"/>
      <c r="KX1108" s="31"/>
      <c r="KY1108" s="31"/>
      <c r="KZ1108" s="31"/>
      <c r="LA1108" s="31"/>
      <c r="LB1108" s="31"/>
      <c r="LC1108" s="31"/>
      <c r="LD1108" s="31"/>
      <c r="LE1108" s="31"/>
      <c r="LF1108" s="31"/>
      <c r="LG1108" s="31"/>
      <c r="LH1108" s="31"/>
      <c r="LI1108" s="31"/>
      <c r="LJ1108" s="31"/>
      <c r="LK1108" s="31"/>
      <c r="LL1108" s="31"/>
      <c r="LM1108" s="31"/>
      <c r="LN1108" s="31"/>
      <c r="LO1108" s="31"/>
      <c r="LP1108" s="31"/>
      <c r="LQ1108" s="31"/>
      <c r="LR1108" s="31"/>
      <c r="LS1108" s="31"/>
      <c r="LT1108" s="31"/>
      <c r="LU1108" s="31"/>
      <c r="LV1108" s="31"/>
      <c r="LW1108" s="31"/>
      <c r="LX1108" s="31"/>
      <c r="LY1108" s="31"/>
      <c r="LZ1108" s="31"/>
      <c r="MA1108" s="31"/>
      <c r="MB1108" s="31"/>
      <c r="MC1108" s="31"/>
      <c r="MD1108" s="31"/>
      <c r="ME1108" s="31"/>
      <c r="MF1108" s="31"/>
      <c r="MG1108" s="31"/>
      <c r="MH1108" s="31"/>
      <c r="MI1108" s="31"/>
      <c r="MJ1108" s="31"/>
      <c r="MK1108" s="31"/>
      <c r="ML1108" s="31"/>
      <c r="MM1108" s="31"/>
      <c r="MN1108" s="31"/>
      <c r="MO1108" s="31"/>
      <c r="MP1108" s="31"/>
      <c r="MQ1108" s="31"/>
      <c r="MR1108" s="31"/>
      <c r="MS1108" s="31"/>
      <c r="MT1108" s="31"/>
      <c r="MU1108" s="31"/>
      <c r="MV1108" s="31"/>
      <c r="MW1108" s="31"/>
      <c r="MX1108" s="31"/>
      <c r="MY1108" s="31"/>
      <c r="MZ1108" s="31"/>
      <c r="NA1108" s="31"/>
      <c r="NB1108" s="31"/>
      <c r="NC1108" s="31"/>
      <c r="ND1108" s="31"/>
      <c r="NE1108" s="31"/>
      <c r="NF1108" s="31"/>
      <c r="NG1108" s="31"/>
      <c r="NH1108" s="31"/>
      <c r="NI1108" s="31"/>
      <c r="NJ1108" s="31"/>
      <c r="NK1108" s="31"/>
      <c r="NL1108" s="31"/>
      <c r="NM1108" s="31"/>
      <c r="NN1108" s="31"/>
      <c r="NO1108" s="31"/>
      <c r="NP1108" s="31"/>
      <c r="NQ1108" s="31"/>
      <c r="NR1108" s="31"/>
      <c r="NS1108" s="31"/>
      <c r="NT1108" s="31"/>
      <c r="NU1108" s="31"/>
      <c r="NV1108" s="31"/>
      <c r="NW1108" s="31"/>
      <c r="NX1108" s="31"/>
      <c r="NY1108" s="31"/>
      <c r="NZ1108" s="31"/>
      <c r="OA1108" s="31"/>
      <c r="OB1108" s="31"/>
      <c r="OC1108" s="31"/>
      <c r="OD1108" s="31"/>
      <c r="OE1108" s="31"/>
      <c r="OF1108" s="31"/>
      <c r="OG1108" s="31"/>
      <c r="OH1108" s="31"/>
      <c r="OI1108" s="31"/>
      <c r="OJ1108" s="31"/>
      <c r="OK1108" s="31"/>
      <c r="OL1108" s="31"/>
      <c r="OM1108" s="31"/>
      <c r="ON1108" s="31"/>
      <c r="OO1108" s="31"/>
      <c r="OP1108" s="31"/>
      <c r="OQ1108" s="31"/>
      <c r="OR1108" s="31"/>
      <c r="OS1108" s="31"/>
      <c r="OT1108" s="31"/>
      <c r="OU1108" s="31"/>
      <c r="OV1108" s="31"/>
      <c r="OW1108" s="31"/>
      <c r="OX1108" s="31"/>
      <c r="OY1108" s="31"/>
      <c r="OZ1108" s="31"/>
      <c r="PA1108" s="31"/>
      <c r="PB1108" s="31"/>
      <c r="PC1108" s="31"/>
      <c r="PD1108" s="31"/>
      <c r="PE1108" s="31"/>
      <c r="PF1108" s="31"/>
      <c r="PG1108" s="31"/>
      <c r="PH1108" s="31"/>
      <c r="PI1108" s="31"/>
      <c r="PJ1108" s="31"/>
      <c r="PK1108" s="31"/>
      <c r="PL1108" s="31"/>
      <c r="PM1108" s="31"/>
      <c r="PN1108" s="31"/>
      <c r="PO1108" s="31"/>
      <c r="PP1108" s="31"/>
      <c r="PQ1108" s="31"/>
      <c r="PR1108" s="31"/>
      <c r="PS1108" s="31"/>
      <c r="PT1108" s="31"/>
      <c r="PU1108" s="31"/>
      <c r="PV1108" s="31"/>
      <c r="PW1108" s="31"/>
      <c r="PX1108" s="31"/>
      <c r="PY1108" s="31"/>
      <c r="PZ1108" s="31"/>
      <c r="QA1108" s="31"/>
      <c r="QB1108" s="31"/>
      <c r="QC1108" s="31"/>
      <c r="QD1108" s="31"/>
      <c r="QE1108" s="31"/>
      <c r="QF1108" s="31"/>
      <c r="QG1108" s="31"/>
      <c r="QH1108" s="31"/>
      <c r="QI1108" s="31"/>
      <c r="QJ1108" s="31"/>
      <c r="QK1108" s="31"/>
      <c r="QL1108" s="31"/>
      <c r="QM1108" s="31"/>
      <c r="QN1108" s="31"/>
      <c r="QO1108" s="31"/>
      <c r="QP1108" s="31"/>
      <c r="QQ1108" s="31"/>
      <c r="QR1108" s="31"/>
      <c r="QS1108" s="31"/>
      <c r="QT1108" s="31"/>
      <c r="QU1108" s="31"/>
      <c r="QV1108" s="31"/>
      <c r="QW1108" s="31"/>
      <c r="QX1108" s="31"/>
      <c r="QY1108" s="31"/>
      <c r="QZ1108" s="31"/>
      <c r="RA1108" s="31"/>
      <c r="RB1108" s="31"/>
      <c r="RC1108" s="31"/>
      <c r="RD1108" s="31"/>
      <c r="RE1108" s="31"/>
      <c r="RF1108" s="31"/>
      <c r="RG1108" s="31"/>
      <c r="RH1108" s="31"/>
      <c r="RI1108" s="31"/>
      <c r="RJ1108" s="31"/>
      <c r="RK1108" s="31"/>
      <c r="RL1108" s="31"/>
      <c r="RM1108" s="31"/>
      <c r="RN1108" s="31"/>
      <c r="RO1108" s="31"/>
      <c r="RP1108" s="31"/>
      <c r="RQ1108" s="31"/>
      <c r="RR1108" s="31"/>
      <c r="RS1108" s="31"/>
      <c r="RT1108" s="31"/>
      <c r="RU1108" s="31"/>
      <c r="RV1108" s="31"/>
      <c r="RW1108" s="31"/>
      <c r="RX1108" s="31"/>
      <c r="RY1108" s="31"/>
      <c r="RZ1108" s="31"/>
      <c r="SA1108" s="31"/>
      <c r="SB1108" s="31"/>
      <c r="SC1108" s="31"/>
      <c r="SD1108" s="31"/>
      <c r="SE1108" s="31"/>
      <c r="SF1108" s="31"/>
      <c r="SG1108" s="31"/>
      <c r="SH1108" s="31"/>
      <c r="SI1108" s="31"/>
      <c r="SJ1108" s="31"/>
      <c r="SK1108" s="31"/>
      <c r="SL1108" s="31"/>
      <c r="SM1108" s="31"/>
      <c r="SN1108" s="31"/>
      <c r="SO1108" s="31"/>
      <c r="SP1108" s="31"/>
      <c r="SQ1108" s="31"/>
      <c r="SR1108" s="31"/>
      <c r="SS1108" s="31"/>
      <c r="ST1108" s="31"/>
      <c r="SU1108" s="31"/>
      <c r="SV1108" s="31"/>
      <c r="SW1108" s="31"/>
      <c r="SX1108" s="31"/>
      <c r="SY1108" s="31"/>
      <c r="SZ1108" s="31"/>
      <c r="TA1108" s="31"/>
      <c r="TB1108" s="31"/>
      <c r="TC1108" s="31"/>
      <c r="TD1108" s="31"/>
      <c r="TE1108" s="31"/>
      <c r="TF1108" s="31"/>
      <c r="TG1108" s="31"/>
      <c r="TH1108" s="31"/>
      <c r="TI1108" s="31"/>
      <c r="TJ1108" s="31"/>
      <c r="TK1108" s="31"/>
      <c r="TL1108" s="31"/>
      <c r="TM1108" s="31"/>
      <c r="TN1108" s="31"/>
      <c r="TO1108" s="31"/>
      <c r="TP1108" s="31"/>
      <c r="TQ1108" s="31"/>
      <c r="TR1108" s="31"/>
      <c r="TS1108" s="31"/>
      <c r="TT1108" s="31"/>
      <c r="TU1108" s="31"/>
      <c r="TV1108" s="31"/>
      <c r="TW1108" s="31"/>
      <c r="TX1108" s="31"/>
      <c r="TY1108" s="31"/>
      <c r="TZ1108" s="31"/>
      <c r="UA1108" s="31"/>
      <c r="UB1108" s="31"/>
      <c r="UC1108" s="31"/>
      <c r="UD1108" s="31"/>
      <c r="UE1108" s="31"/>
      <c r="UF1108" s="31"/>
      <c r="UG1108" s="33"/>
    </row>
    <row r="1109" spans="1:553" ht="31.5" customHeight="1">
      <c r="A1109" s="356"/>
      <c r="B1109" s="385">
        <v>7</v>
      </c>
      <c r="C1109" s="1403" t="s">
        <v>639</v>
      </c>
      <c r="D1109" s="1389"/>
      <c r="E1109" s="1389"/>
      <c r="F1109" s="1390"/>
      <c r="G1109" s="386" t="s">
        <v>33</v>
      </c>
      <c r="H1109" s="370"/>
      <c r="I1109" s="422">
        <f>0.9*2.5*20</f>
        <v>45</v>
      </c>
      <c r="J1109" s="477">
        <v>39000</v>
      </c>
      <c r="K1109" s="388"/>
      <c r="L1109" s="391">
        <f t="shared" si="167"/>
        <v>1755000</v>
      </c>
      <c r="M1109" s="395"/>
      <c r="N1109" s="395"/>
      <c r="O1109" s="366"/>
      <c r="P1109" s="396"/>
      <c r="Q1109" s="473"/>
      <c r="R1109" s="1039"/>
      <c r="S1109" s="308"/>
      <c r="T1109" s="308"/>
      <c r="U1109" s="308"/>
      <c r="V1109" s="308"/>
      <c r="W1109" s="308"/>
      <c r="X1109" s="308"/>
      <c r="Y1109" s="308"/>
      <c r="Z1109" s="604"/>
      <c r="AA1109" s="308"/>
      <c r="AB1109" s="308"/>
      <c r="AC1109" s="449"/>
      <c r="AD1109" s="449"/>
      <c r="AE1109" s="449"/>
      <c r="AF1109" s="449"/>
      <c r="AG1109" s="452"/>
      <c r="AH1109" s="452"/>
      <c r="AI1109" s="452"/>
      <c r="AJ1109" s="452"/>
      <c r="AK1109" s="452"/>
      <c r="AL1109" s="104"/>
      <c r="AM1109" s="32"/>
      <c r="AN1109" s="32"/>
      <c r="AO1109" s="32"/>
      <c r="AP1109" s="32"/>
      <c r="AQ1109" s="31"/>
      <c r="AR1109" s="31"/>
      <c r="AS1109" s="31"/>
      <c r="AT1109" s="31"/>
      <c r="AU1109" s="31"/>
      <c r="AV1109" s="31"/>
      <c r="AW1109" s="31"/>
      <c r="AX1109" s="31"/>
      <c r="AY1109" s="31"/>
      <c r="AZ1109" s="31"/>
      <c r="BA1109" s="31"/>
      <c r="BB1109" s="31"/>
      <c r="BC1109" s="31"/>
      <c r="BD1109" s="31"/>
      <c r="BE1109" s="31"/>
      <c r="BF1109" s="31"/>
      <c r="BG1109" s="31"/>
      <c r="BH1109" s="31"/>
      <c r="BI1109" s="31"/>
      <c r="BJ1109" s="31"/>
      <c r="BK1109" s="31"/>
      <c r="BL1109" s="31"/>
      <c r="BM1109" s="31"/>
      <c r="BN1109" s="31"/>
      <c r="BO1109" s="31"/>
      <c r="BP1109" s="31"/>
      <c r="BQ1109" s="31"/>
      <c r="BR1109" s="31"/>
      <c r="BS1109" s="31"/>
      <c r="BT1109" s="31"/>
      <c r="BU1109" s="31"/>
      <c r="BV1109" s="31"/>
      <c r="BW1109" s="31"/>
      <c r="BX1109" s="31"/>
      <c r="BY1109" s="31"/>
      <c r="BZ1109" s="31"/>
      <c r="CA1109" s="31"/>
      <c r="CB1109" s="31"/>
      <c r="CC1109" s="31"/>
      <c r="CD1109" s="31"/>
      <c r="CE1109" s="31"/>
      <c r="CF1109" s="31"/>
      <c r="CG1109" s="31"/>
      <c r="CH1109" s="31"/>
      <c r="CI1109" s="31"/>
      <c r="CJ1109" s="31"/>
      <c r="CK1109" s="31"/>
      <c r="CL1109" s="31"/>
      <c r="CM1109" s="31"/>
      <c r="CN1109" s="31"/>
      <c r="CO1109" s="31"/>
      <c r="CP1109" s="31"/>
      <c r="CQ1109" s="31"/>
      <c r="CR1109" s="31"/>
      <c r="CS1109" s="31"/>
      <c r="CT1109" s="31"/>
      <c r="CU1109" s="31"/>
      <c r="CV1109" s="31"/>
      <c r="CW1109" s="31"/>
      <c r="CX1109" s="31"/>
      <c r="CY1109" s="31"/>
      <c r="CZ1109" s="31"/>
      <c r="DA1109" s="31"/>
      <c r="DB1109" s="31"/>
      <c r="DC1109" s="31"/>
      <c r="DD1109" s="31"/>
      <c r="DE1109" s="31"/>
      <c r="DF1109" s="31"/>
      <c r="DG1109" s="31"/>
      <c r="DH1109" s="31"/>
      <c r="DI1109" s="31"/>
      <c r="DJ1109" s="31"/>
      <c r="DK1109" s="31"/>
      <c r="DL1109" s="31"/>
      <c r="DM1109" s="31"/>
      <c r="DN1109" s="31"/>
      <c r="DO1109" s="31"/>
      <c r="DP1109" s="31"/>
      <c r="DQ1109" s="31"/>
      <c r="DR1109" s="31"/>
      <c r="DS1109" s="31"/>
      <c r="DT1109" s="31"/>
      <c r="DU1109" s="31"/>
      <c r="DV1109" s="31"/>
      <c r="DW1109" s="31"/>
      <c r="DX1109" s="31"/>
      <c r="DY1109" s="31"/>
      <c r="DZ1109" s="31"/>
      <c r="EA1109" s="31"/>
      <c r="EB1109" s="31"/>
      <c r="EC1109" s="31"/>
      <c r="ED1109" s="31"/>
      <c r="EE1109" s="31"/>
      <c r="EF1109" s="31"/>
      <c r="EG1109" s="31"/>
      <c r="EH1109" s="31"/>
      <c r="EI1109" s="31"/>
      <c r="EJ1109" s="31"/>
      <c r="EK1109" s="31"/>
      <c r="EL1109" s="31"/>
      <c r="EM1109" s="31"/>
      <c r="EN1109" s="31"/>
      <c r="EO1109" s="31"/>
      <c r="EP1109" s="31"/>
      <c r="EQ1109" s="31"/>
      <c r="ER1109" s="31"/>
      <c r="ES1109" s="31"/>
      <c r="ET1109" s="31"/>
      <c r="EU1109" s="31"/>
      <c r="EV1109" s="31"/>
      <c r="EW1109" s="31"/>
      <c r="EX1109" s="31"/>
      <c r="EY1109" s="31"/>
      <c r="EZ1109" s="31"/>
      <c r="FA1109" s="31"/>
      <c r="FB1109" s="31"/>
      <c r="FC1109" s="31"/>
      <c r="FD1109" s="31"/>
      <c r="FE1109" s="31"/>
      <c r="FF1109" s="31"/>
      <c r="FG1109" s="31"/>
      <c r="FH1109" s="31"/>
      <c r="FI1109" s="31"/>
      <c r="FJ1109" s="31"/>
      <c r="FK1109" s="31"/>
      <c r="FL1109" s="31"/>
      <c r="FM1109" s="31"/>
      <c r="FN1109" s="31"/>
      <c r="FO1109" s="31"/>
      <c r="FP1109" s="31"/>
      <c r="FQ1109" s="31"/>
      <c r="FR1109" s="31"/>
      <c r="FS1109" s="31"/>
      <c r="FT1109" s="31"/>
      <c r="FU1109" s="31"/>
      <c r="FV1109" s="31"/>
      <c r="FW1109" s="31"/>
      <c r="FX1109" s="31"/>
      <c r="FY1109" s="31"/>
      <c r="FZ1109" s="31"/>
      <c r="GA1109" s="31"/>
      <c r="GB1109" s="31"/>
      <c r="GC1109" s="31"/>
      <c r="GD1109" s="31"/>
      <c r="GE1109" s="31"/>
      <c r="GF1109" s="31"/>
      <c r="GG1109" s="31"/>
      <c r="GH1109" s="31"/>
      <c r="GI1109" s="31"/>
      <c r="GJ1109" s="31"/>
      <c r="GK1109" s="31"/>
      <c r="GL1109" s="31"/>
      <c r="GM1109" s="31"/>
      <c r="GN1109" s="31"/>
      <c r="GO1109" s="31"/>
      <c r="GP1109" s="31"/>
      <c r="GQ1109" s="31"/>
      <c r="GR1109" s="31"/>
      <c r="GS1109" s="31"/>
      <c r="GT1109" s="31"/>
      <c r="GU1109" s="31"/>
      <c r="GV1109" s="31"/>
      <c r="GW1109" s="31"/>
      <c r="GX1109" s="31"/>
      <c r="GY1109" s="31"/>
      <c r="GZ1109" s="31"/>
      <c r="HA1109" s="31"/>
      <c r="HB1109" s="31"/>
      <c r="HC1109" s="31"/>
      <c r="HD1109" s="31"/>
      <c r="HE1109" s="31"/>
      <c r="HF1109" s="31"/>
      <c r="HG1109" s="31"/>
      <c r="HH1109" s="31"/>
      <c r="HI1109" s="31"/>
      <c r="HJ1109" s="31"/>
      <c r="HK1109" s="31"/>
      <c r="HL1109" s="31"/>
      <c r="HM1109" s="31"/>
      <c r="HN1109" s="31"/>
      <c r="HO1109" s="31"/>
      <c r="HP1109" s="31"/>
      <c r="HQ1109" s="31"/>
      <c r="HR1109" s="31"/>
      <c r="HS1109" s="31"/>
      <c r="HT1109" s="31"/>
      <c r="HU1109" s="31"/>
      <c r="HV1109" s="31"/>
      <c r="HW1109" s="31"/>
      <c r="HX1109" s="31"/>
      <c r="HY1109" s="31"/>
      <c r="HZ1109" s="31"/>
      <c r="IA1109" s="31"/>
      <c r="IB1109" s="31"/>
      <c r="IC1109" s="31"/>
      <c r="ID1109" s="31"/>
      <c r="IE1109" s="31"/>
      <c r="IF1109" s="31"/>
      <c r="IG1109" s="31"/>
      <c r="IH1109" s="31"/>
      <c r="II1109" s="31"/>
      <c r="IJ1109" s="31"/>
      <c r="IK1109" s="31"/>
      <c r="IL1109" s="31"/>
      <c r="IM1109" s="31"/>
      <c r="IN1109" s="31"/>
      <c r="IO1109" s="31"/>
      <c r="IP1109" s="31"/>
      <c r="IQ1109" s="31"/>
      <c r="IR1109" s="31"/>
      <c r="IS1109" s="31"/>
      <c r="IT1109" s="31"/>
      <c r="IU1109" s="31"/>
      <c r="IV1109" s="31"/>
      <c r="IW1109" s="31"/>
      <c r="IX1109" s="31"/>
      <c r="IY1109" s="31"/>
      <c r="IZ1109" s="31"/>
      <c r="JA1109" s="31"/>
      <c r="JB1109" s="31"/>
      <c r="JC1109" s="31"/>
      <c r="JD1109" s="31"/>
      <c r="JE1109" s="31"/>
      <c r="JF1109" s="31"/>
      <c r="JG1109" s="31"/>
      <c r="JH1109" s="31"/>
      <c r="JI1109" s="31"/>
      <c r="JJ1109" s="31"/>
      <c r="JK1109" s="31"/>
      <c r="JL1109" s="31"/>
      <c r="JM1109" s="31"/>
      <c r="JN1109" s="31"/>
      <c r="JO1109" s="31"/>
      <c r="JP1109" s="31"/>
      <c r="JQ1109" s="31"/>
      <c r="JR1109" s="31"/>
      <c r="JS1109" s="31"/>
      <c r="JT1109" s="31"/>
      <c r="JU1109" s="31"/>
      <c r="JV1109" s="31"/>
      <c r="JW1109" s="31"/>
      <c r="JX1109" s="31"/>
      <c r="JY1109" s="31"/>
      <c r="JZ1109" s="31"/>
      <c r="KA1109" s="31"/>
      <c r="KB1109" s="31"/>
      <c r="KC1109" s="31"/>
      <c r="KD1109" s="31"/>
      <c r="KE1109" s="31"/>
      <c r="KF1109" s="31"/>
      <c r="KG1109" s="31"/>
      <c r="KH1109" s="31"/>
      <c r="KI1109" s="31"/>
      <c r="KJ1109" s="31"/>
      <c r="KK1109" s="31"/>
      <c r="KL1109" s="31"/>
      <c r="KM1109" s="31"/>
      <c r="KN1109" s="31"/>
      <c r="KO1109" s="31"/>
      <c r="KP1109" s="31"/>
      <c r="KQ1109" s="31"/>
      <c r="KR1109" s="31"/>
      <c r="KS1109" s="31"/>
      <c r="KT1109" s="31"/>
      <c r="KU1109" s="31"/>
      <c r="KV1109" s="31"/>
      <c r="KW1109" s="31"/>
      <c r="KX1109" s="31"/>
      <c r="KY1109" s="31"/>
      <c r="KZ1109" s="31"/>
      <c r="LA1109" s="31"/>
      <c r="LB1109" s="31"/>
      <c r="LC1109" s="31"/>
      <c r="LD1109" s="31"/>
      <c r="LE1109" s="31"/>
      <c r="LF1109" s="31"/>
      <c r="LG1109" s="31"/>
      <c r="LH1109" s="31"/>
      <c r="LI1109" s="31"/>
      <c r="LJ1109" s="31"/>
      <c r="LK1109" s="31"/>
      <c r="LL1109" s="31"/>
      <c r="LM1109" s="31"/>
      <c r="LN1109" s="31"/>
      <c r="LO1109" s="31"/>
      <c r="LP1109" s="31"/>
      <c r="LQ1109" s="31"/>
      <c r="LR1109" s="31"/>
      <c r="LS1109" s="31"/>
      <c r="LT1109" s="31"/>
      <c r="LU1109" s="31"/>
      <c r="LV1109" s="31"/>
      <c r="LW1109" s="31"/>
      <c r="LX1109" s="31"/>
      <c r="LY1109" s="31"/>
      <c r="LZ1109" s="31"/>
      <c r="MA1109" s="31"/>
      <c r="MB1109" s="31"/>
      <c r="MC1109" s="31"/>
      <c r="MD1109" s="31"/>
      <c r="ME1109" s="31"/>
      <c r="MF1109" s="31"/>
      <c r="MG1109" s="31"/>
      <c r="MH1109" s="31"/>
      <c r="MI1109" s="31"/>
      <c r="MJ1109" s="31"/>
      <c r="MK1109" s="31"/>
      <c r="ML1109" s="31"/>
      <c r="MM1109" s="31"/>
      <c r="MN1109" s="31"/>
      <c r="MO1109" s="31"/>
      <c r="MP1109" s="31"/>
      <c r="MQ1109" s="31"/>
      <c r="MR1109" s="31"/>
      <c r="MS1109" s="31"/>
      <c r="MT1109" s="31"/>
      <c r="MU1109" s="31"/>
      <c r="MV1109" s="31"/>
      <c r="MW1109" s="31"/>
      <c r="MX1109" s="31"/>
      <c r="MY1109" s="31"/>
      <c r="MZ1109" s="31"/>
      <c r="NA1109" s="31"/>
      <c r="NB1109" s="31"/>
      <c r="NC1109" s="31"/>
      <c r="ND1109" s="31"/>
      <c r="NE1109" s="31"/>
      <c r="NF1109" s="31"/>
      <c r="NG1109" s="31"/>
      <c r="NH1109" s="31"/>
      <c r="NI1109" s="31"/>
      <c r="NJ1109" s="31"/>
      <c r="NK1109" s="31"/>
      <c r="NL1109" s="31"/>
      <c r="NM1109" s="31"/>
      <c r="NN1109" s="31"/>
      <c r="NO1109" s="31"/>
      <c r="NP1109" s="31"/>
      <c r="NQ1109" s="31"/>
      <c r="NR1109" s="31"/>
      <c r="NS1109" s="31"/>
      <c r="NT1109" s="31"/>
      <c r="NU1109" s="31"/>
      <c r="NV1109" s="31"/>
      <c r="NW1109" s="31"/>
      <c r="NX1109" s="31"/>
      <c r="NY1109" s="31"/>
      <c r="NZ1109" s="31"/>
      <c r="OA1109" s="31"/>
      <c r="OB1109" s="31"/>
      <c r="OC1109" s="31"/>
      <c r="OD1109" s="31"/>
      <c r="OE1109" s="31"/>
      <c r="OF1109" s="31"/>
      <c r="OG1109" s="31"/>
      <c r="OH1109" s="31"/>
      <c r="OI1109" s="31"/>
      <c r="OJ1109" s="31"/>
      <c r="OK1109" s="31"/>
      <c r="OL1109" s="31"/>
      <c r="OM1109" s="31"/>
      <c r="ON1109" s="31"/>
      <c r="OO1109" s="31"/>
      <c r="OP1109" s="31"/>
      <c r="OQ1109" s="31"/>
      <c r="OR1109" s="31"/>
      <c r="OS1109" s="31"/>
      <c r="OT1109" s="31"/>
      <c r="OU1109" s="31"/>
      <c r="OV1109" s="31"/>
      <c r="OW1109" s="31"/>
      <c r="OX1109" s="31"/>
      <c r="OY1109" s="31"/>
      <c r="OZ1109" s="31"/>
      <c r="PA1109" s="31"/>
      <c r="PB1109" s="31"/>
      <c r="PC1109" s="31"/>
      <c r="PD1109" s="31"/>
      <c r="PE1109" s="31"/>
      <c r="PF1109" s="31"/>
      <c r="PG1109" s="31"/>
      <c r="PH1109" s="31"/>
      <c r="PI1109" s="31"/>
      <c r="PJ1109" s="31"/>
      <c r="PK1109" s="31"/>
      <c r="PL1109" s="31"/>
      <c r="PM1109" s="31"/>
      <c r="PN1109" s="31"/>
      <c r="PO1109" s="31"/>
      <c r="PP1109" s="31"/>
      <c r="PQ1109" s="31"/>
      <c r="PR1109" s="31"/>
      <c r="PS1109" s="31"/>
      <c r="PT1109" s="31"/>
      <c r="PU1109" s="31"/>
      <c r="PV1109" s="31"/>
      <c r="PW1109" s="31"/>
      <c r="PX1109" s="31"/>
      <c r="PY1109" s="31"/>
      <c r="PZ1109" s="31"/>
      <c r="QA1109" s="31"/>
      <c r="QB1109" s="31"/>
      <c r="QC1109" s="31"/>
      <c r="QD1109" s="31"/>
      <c r="QE1109" s="31"/>
      <c r="QF1109" s="31"/>
      <c r="QG1109" s="31"/>
      <c r="QH1109" s="31"/>
      <c r="QI1109" s="31"/>
      <c r="QJ1109" s="31"/>
      <c r="QK1109" s="31"/>
      <c r="QL1109" s="31"/>
      <c r="QM1109" s="31"/>
      <c r="QN1109" s="31"/>
      <c r="QO1109" s="31"/>
      <c r="QP1109" s="31"/>
      <c r="QQ1109" s="31"/>
      <c r="QR1109" s="31"/>
      <c r="QS1109" s="31"/>
      <c r="QT1109" s="31"/>
      <c r="QU1109" s="31"/>
      <c r="QV1109" s="31"/>
      <c r="QW1109" s="31"/>
      <c r="QX1109" s="31"/>
      <c r="QY1109" s="31"/>
      <c r="QZ1109" s="31"/>
      <c r="RA1109" s="31"/>
      <c r="RB1109" s="31"/>
      <c r="RC1109" s="31"/>
      <c r="RD1109" s="31"/>
      <c r="RE1109" s="31"/>
      <c r="RF1109" s="31"/>
      <c r="RG1109" s="31"/>
      <c r="RH1109" s="31"/>
      <c r="RI1109" s="31"/>
      <c r="RJ1109" s="31"/>
      <c r="RK1109" s="31"/>
      <c r="RL1109" s="31"/>
      <c r="RM1109" s="31"/>
      <c r="RN1109" s="31"/>
      <c r="RO1109" s="31"/>
      <c r="RP1109" s="31"/>
      <c r="RQ1109" s="31"/>
      <c r="RR1109" s="31"/>
      <c r="RS1109" s="31"/>
      <c r="RT1109" s="31"/>
      <c r="RU1109" s="31"/>
      <c r="RV1109" s="31"/>
      <c r="RW1109" s="31"/>
      <c r="RX1109" s="31"/>
      <c r="RY1109" s="31"/>
      <c r="RZ1109" s="31"/>
      <c r="SA1109" s="31"/>
      <c r="SB1109" s="31"/>
      <c r="SC1109" s="31"/>
      <c r="SD1109" s="31"/>
      <c r="SE1109" s="31"/>
      <c r="SF1109" s="31"/>
      <c r="SG1109" s="31"/>
      <c r="SH1109" s="31"/>
      <c r="SI1109" s="31"/>
      <c r="SJ1109" s="31"/>
      <c r="SK1109" s="31"/>
      <c r="SL1109" s="31"/>
      <c r="SM1109" s="31"/>
      <c r="SN1109" s="31"/>
      <c r="SO1109" s="31"/>
      <c r="SP1109" s="31"/>
      <c r="SQ1109" s="31"/>
      <c r="SR1109" s="31"/>
      <c r="SS1109" s="31"/>
      <c r="ST1109" s="31"/>
      <c r="SU1109" s="31"/>
      <c r="SV1109" s="31"/>
      <c r="SW1109" s="31"/>
      <c r="SX1109" s="31"/>
      <c r="SY1109" s="31"/>
      <c r="SZ1109" s="31"/>
      <c r="TA1109" s="31"/>
      <c r="TB1109" s="31"/>
      <c r="TC1109" s="31"/>
      <c r="TD1109" s="31"/>
      <c r="TE1109" s="31"/>
      <c r="TF1109" s="31"/>
      <c r="TG1109" s="31"/>
      <c r="TH1109" s="31"/>
      <c r="TI1109" s="31"/>
      <c r="TJ1109" s="31"/>
      <c r="TK1109" s="31"/>
      <c r="TL1109" s="31"/>
      <c r="TM1109" s="31"/>
      <c r="TN1109" s="31"/>
      <c r="TO1109" s="31"/>
      <c r="TP1109" s="31"/>
      <c r="TQ1109" s="31"/>
      <c r="TR1109" s="31"/>
      <c r="TS1109" s="31"/>
      <c r="TT1109" s="31"/>
      <c r="TU1109" s="31"/>
      <c r="TV1109" s="31"/>
      <c r="TW1109" s="31"/>
      <c r="TX1109" s="31"/>
      <c r="TY1109" s="31"/>
      <c r="TZ1109" s="31"/>
      <c r="UA1109" s="31"/>
      <c r="UB1109" s="31"/>
      <c r="UC1109" s="31"/>
      <c r="UD1109" s="31"/>
      <c r="UE1109" s="31"/>
      <c r="UF1109" s="31"/>
      <c r="UG1109" s="33"/>
    </row>
    <row r="1110" spans="1:553" ht="31.5" customHeight="1">
      <c r="A1110" s="356"/>
      <c r="B1110" s="385">
        <v>7</v>
      </c>
      <c r="C1110" s="1403" t="s">
        <v>640</v>
      </c>
      <c r="D1110" s="1389"/>
      <c r="E1110" s="1389"/>
      <c r="F1110" s="1390"/>
      <c r="G1110" s="386" t="s">
        <v>33</v>
      </c>
      <c r="H1110" s="370"/>
      <c r="I1110" s="422">
        <f>10*0.42*8</f>
        <v>33.6</v>
      </c>
      <c r="J1110" s="477">
        <v>39000</v>
      </c>
      <c r="K1110" s="388"/>
      <c r="L1110" s="391">
        <f t="shared" si="167"/>
        <v>1310400</v>
      </c>
      <c r="M1110" s="395"/>
      <c r="N1110" s="395"/>
      <c r="O1110" s="366"/>
      <c r="P1110" s="396"/>
      <c r="Q1110" s="473"/>
      <c r="R1110" s="1039"/>
      <c r="S1110" s="308"/>
      <c r="T1110" s="308"/>
      <c r="U1110" s="308"/>
      <c r="V1110" s="308"/>
      <c r="W1110" s="308"/>
      <c r="X1110" s="308"/>
      <c r="Y1110" s="308"/>
      <c r="Z1110" s="604"/>
      <c r="AA1110" s="308"/>
      <c r="AB1110" s="308"/>
      <c r="AC1110" s="449"/>
      <c r="AD1110" s="449"/>
      <c r="AE1110" s="449"/>
      <c r="AF1110" s="449"/>
      <c r="AG1110" s="452"/>
      <c r="AH1110" s="452"/>
      <c r="AI1110" s="452"/>
      <c r="AJ1110" s="452"/>
      <c r="AK1110" s="452"/>
      <c r="AL1110" s="104"/>
      <c r="AM1110" s="32"/>
      <c r="AN1110" s="32"/>
      <c r="AO1110" s="32"/>
      <c r="AP1110" s="32"/>
      <c r="AQ1110" s="31"/>
      <c r="AR1110" s="31"/>
      <c r="AS1110" s="31"/>
      <c r="AT1110" s="31"/>
      <c r="AU1110" s="31"/>
      <c r="AV1110" s="31"/>
      <c r="AW1110" s="31"/>
      <c r="AX1110" s="31"/>
      <c r="AY1110" s="31"/>
      <c r="AZ1110" s="31"/>
      <c r="BA1110" s="31"/>
      <c r="BB1110" s="31"/>
      <c r="BC1110" s="31"/>
      <c r="BD1110" s="31"/>
      <c r="BE1110" s="31"/>
      <c r="BF1110" s="31"/>
      <c r="BG1110" s="31"/>
      <c r="BH1110" s="31"/>
      <c r="BI1110" s="31"/>
      <c r="BJ1110" s="31"/>
      <c r="BK1110" s="31"/>
      <c r="BL1110" s="31"/>
      <c r="BM1110" s="31"/>
      <c r="BN1110" s="31"/>
      <c r="BO1110" s="31"/>
      <c r="BP1110" s="31"/>
      <c r="BQ1110" s="31"/>
      <c r="BR1110" s="31"/>
      <c r="BS1110" s="31"/>
      <c r="BT1110" s="31"/>
      <c r="BU1110" s="31"/>
      <c r="BV1110" s="31"/>
      <c r="BW1110" s="31"/>
      <c r="BX1110" s="31"/>
      <c r="BY1110" s="31"/>
      <c r="BZ1110" s="31"/>
      <c r="CA1110" s="31"/>
      <c r="CB1110" s="31"/>
      <c r="CC1110" s="31"/>
      <c r="CD1110" s="31"/>
      <c r="CE1110" s="31"/>
      <c r="CF1110" s="31"/>
      <c r="CG1110" s="31"/>
      <c r="CH1110" s="31"/>
      <c r="CI1110" s="31"/>
      <c r="CJ1110" s="31"/>
      <c r="CK1110" s="31"/>
      <c r="CL1110" s="31"/>
      <c r="CM1110" s="31"/>
      <c r="CN1110" s="31"/>
      <c r="CO1110" s="31"/>
      <c r="CP1110" s="31"/>
      <c r="CQ1110" s="31"/>
      <c r="CR1110" s="31"/>
      <c r="CS1110" s="31"/>
      <c r="CT1110" s="31"/>
      <c r="CU1110" s="31"/>
      <c r="CV1110" s="31"/>
      <c r="CW1110" s="31"/>
      <c r="CX1110" s="31"/>
      <c r="CY1110" s="31"/>
      <c r="CZ1110" s="31"/>
      <c r="DA1110" s="31"/>
      <c r="DB1110" s="31"/>
      <c r="DC1110" s="31"/>
      <c r="DD1110" s="31"/>
      <c r="DE1110" s="31"/>
      <c r="DF1110" s="31"/>
      <c r="DG1110" s="31"/>
      <c r="DH1110" s="31"/>
      <c r="DI1110" s="31"/>
      <c r="DJ1110" s="31"/>
      <c r="DK1110" s="31"/>
      <c r="DL1110" s="31"/>
      <c r="DM1110" s="31"/>
      <c r="DN1110" s="31"/>
      <c r="DO1110" s="31"/>
      <c r="DP1110" s="31"/>
      <c r="DQ1110" s="31"/>
      <c r="DR1110" s="31"/>
      <c r="DS1110" s="31"/>
      <c r="DT1110" s="31"/>
      <c r="DU1110" s="31"/>
      <c r="DV1110" s="31"/>
      <c r="DW1110" s="31"/>
      <c r="DX1110" s="31"/>
      <c r="DY1110" s="31"/>
      <c r="DZ1110" s="31"/>
      <c r="EA1110" s="31"/>
      <c r="EB1110" s="31"/>
      <c r="EC1110" s="31"/>
      <c r="ED1110" s="31"/>
      <c r="EE1110" s="31"/>
      <c r="EF1110" s="31"/>
      <c r="EG1110" s="31"/>
      <c r="EH1110" s="31"/>
      <c r="EI1110" s="31"/>
      <c r="EJ1110" s="31"/>
      <c r="EK1110" s="31"/>
      <c r="EL1110" s="31"/>
      <c r="EM1110" s="31"/>
      <c r="EN1110" s="31"/>
      <c r="EO1110" s="31"/>
      <c r="EP1110" s="31"/>
      <c r="EQ1110" s="31"/>
      <c r="ER1110" s="31"/>
      <c r="ES1110" s="31"/>
      <c r="ET1110" s="31"/>
      <c r="EU1110" s="31"/>
      <c r="EV1110" s="31"/>
      <c r="EW1110" s="31"/>
      <c r="EX1110" s="31"/>
      <c r="EY1110" s="31"/>
      <c r="EZ1110" s="31"/>
      <c r="FA1110" s="31"/>
      <c r="FB1110" s="31"/>
      <c r="FC1110" s="31"/>
      <c r="FD1110" s="31"/>
      <c r="FE1110" s="31"/>
      <c r="FF1110" s="31"/>
      <c r="FG1110" s="31"/>
      <c r="FH1110" s="31"/>
      <c r="FI1110" s="31"/>
      <c r="FJ1110" s="31"/>
      <c r="FK1110" s="31"/>
      <c r="FL1110" s="31"/>
      <c r="FM1110" s="31"/>
      <c r="FN1110" s="31"/>
      <c r="FO1110" s="31"/>
      <c r="FP1110" s="31"/>
      <c r="FQ1110" s="31"/>
      <c r="FR1110" s="31"/>
      <c r="FS1110" s="31"/>
      <c r="FT1110" s="31"/>
      <c r="FU1110" s="31"/>
      <c r="FV1110" s="31"/>
      <c r="FW1110" s="31"/>
      <c r="FX1110" s="31"/>
      <c r="FY1110" s="31"/>
      <c r="FZ1110" s="31"/>
      <c r="GA1110" s="31"/>
      <c r="GB1110" s="31"/>
      <c r="GC1110" s="31"/>
      <c r="GD1110" s="31"/>
      <c r="GE1110" s="31"/>
      <c r="GF1110" s="31"/>
      <c r="GG1110" s="31"/>
      <c r="GH1110" s="31"/>
      <c r="GI1110" s="31"/>
      <c r="GJ1110" s="31"/>
      <c r="GK1110" s="31"/>
      <c r="GL1110" s="31"/>
      <c r="GM1110" s="31"/>
      <c r="GN1110" s="31"/>
      <c r="GO1110" s="31"/>
      <c r="GP1110" s="31"/>
      <c r="GQ1110" s="31"/>
      <c r="GR1110" s="31"/>
      <c r="GS1110" s="31"/>
      <c r="GT1110" s="31"/>
      <c r="GU1110" s="31"/>
      <c r="GV1110" s="31"/>
      <c r="GW1110" s="31"/>
      <c r="GX1110" s="31"/>
      <c r="GY1110" s="31"/>
      <c r="GZ1110" s="31"/>
      <c r="HA1110" s="31"/>
      <c r="HB1110" s="31"/>
      <c r="HC1110" s="31"/>
      <c r="HD1110" s="31"/>
      <c r="HE1110" s="31"/>
      <c r="HF1110" s="31"/>
      <c r="HG1110" s="31"/>
      <c r="HH1110" s="31"/>
      <c r="HI1110" s="31"/>
      <c r="HJ1110" s="31"/>
      <c r="HK1110" s="31"/>
      <c r="HL1110" s="31"/>
      <c r="HM1110" s="31"/>
      <c r="HN1110" s="31"/>
      <c r="HO1110" s="31"/>
      <c r="HP1110" s="31"/>
      <c r="HQ1110" s="31"/>
      <c r="HR1110" s="31"/>
      <c r="HS1110" s="31"/>
      <c r="HT1110" s="31"/>
      <c r="HU1110" s="31"/>
      <c r="HV1110" s="31"/>
      <c r="HW1110" s="31"/>
      <c r="HX1110" s="31"/>
      <c r="HY1110" s="31"/>
      <c r="HZ1110" s="31"/>
      <c r="IA1110" s="31"/>
      <c r="IB1110" s="31"/>
      <c r="IC1110" s="31"/>
      <c r="ID1110" s="31"/>
      <c r="IE1110" s="31"/>
      <c r="IF1110" s="31"/>
      <c r="IG1110" s="31"/>
      <c r="IH1110" s="31"/>
      <c r="II1110" s="31"/>
      <c r="IJ1110" s="31"/>
      <c r="IK1110" s="31"/>
      <c r="IL1110" s="31"/>
      <c r="IM1110" s="31"/>
      <c r="IN1110" s="31"/>
      <c r="IO1110" s="31"/>
      <c r="IP1110" s="31"/>
      <c r="IQ1110" s="31"/>
      <c r="IR1110" s="31"/>
      <c r="IS1110" s="31"/>
      <c r="IT1110" s="31"/>
      <c r="IU1110" s="31"/>
      <c r="IV1110" s="31"/>
      <c r="IW1110" s="31"/>
      <c r="IX1110" s="31"/>
      <c r="IY1110" s="31"/>
      <c r="IZ1110" s="31"/>
      <c r="JA1110" s="31"/>
      <c r="JB1110" s="31"/>
      <c r="JC1110" s="31"/>
      <c r="JD1110" s="31"/>
      <c r="JE1110" s="31"/>
      <c r="JF1110" s="31"/>
      <c r="JG1110" s="31"/>
      <c r="JH1110" s="31"/>
      <c r="JI1110" s="31"/>
      <c r="JJ1110" s="31"/>
      <c r="JK1110" s="31"/>
      <c r="JL1110" s="31"/>
      <c r="JM1110" s="31"/>
      <c r="JN1110" s="31"/>
      <c r="JO1110" s="31"/>
      <c r="JP1110" s="31"/>
      <c r="JQ1110" s="31"/>
      <c r="JR1110" s="31"/>
      <c r="JS1110" s="31"/>
      <c r="JT1110" s="31"/>
      <c r="JU1110" s="31"/>
      <c r="JV1110" s="31"/>
      <c r="JW1110" s="31"/>
      <c r="JX1110" s="31"/>
      <c r="JY1110" s="31"/>
      <c r="JZ1110" s="31"/>
      <c r="KA1110" s="31"/>
      <c r="KB1110" s="31"/>
      <c r="KC1110" s="31"/>
      <c r="KD1110" s="31"/>
      <c r="KE1110" s="31"/>
      <c r="KF1110" s="31"/>
      <c r="KG1110" s="31"/>
      <c r="KH1110" s="31"/>
      <c r="KI1110" s="31"/>
      <c r="KJ1110" s="31"/>
      <c r="KK1110" s="31"/>
      <c r="KL1110" s="31"/>
      <c r="KM1110" s="31"/>
      <c r="KN1110" s="31"/>
      <c r="KO1110" s="31"/>
      <c r="KP1110" s="31"/>
      <c r="KQ1110" s="31"/>
      <c r="KR1110" s="31"/>
      <c r="KS1110" s="31"/>
      <c r="KT1110" s="31"/>
      <c r="KU1110" s="31"/>
      <c r="KV1110" s="31"/>
      <c r="KW1110" s="31"/>
      <c r="KX1110" s="31"/>
      <c r="KY1110" s="31"/>
      <c r="KZ1110" s="31"/>
      <c r="LA1110" s="31"/>
      <c r="LB1110" s="31"/>
      <c r="LC1110" s="31"/>
      <c r="LD1110" s="31"/>
      <c r="LE1110" s="31"/>
      <c r="LF1110" s="31"/>
      <c r="LG1110" s="31"/>
      <c r="LH1110" s="31"/>
      <c r="LI1110" s="31"/>
      <c r="LJ1110" s="31"/>
      <c r="LK1110" s="31"/>
      <c r="LL1110" s="31"/>
      <c r="LM1110" s="31"/>
      <c r="LN1110" s="31"/>
      <c r="LO1110" s="31"/>
      <c r="LP1110" s="31"/>
      <c r="LQ1110" s="31"/>
      <c r="LR1110" s="31"/>
      <c r="LS1110" s="31"/>
      <c r="LT1110" s="31"/>
      <c r="LU1110" s="31"/>
      <c r="LV1110" s="31"/>
      <c r="LW1110" s="31"/>
      <c r="LX1110" s="31"/>
      <c r="LY1110" s="31"/>
      <c r="LZ1110" s="31"/>
      <c r="MA1110" s="31"/>
      <c r="MB1110" s="31"/>
      <c r="MC1110" s="31"/>
      <c r="MD1110" s="31"/>
      <c r="ME1110" s="31"/>
      <c r="MF1110" s="31"/>
      <c r="MG1110" s="31"/>
      <c r="MH1110" s="31"/>
      <c r="MI1110" s="31"/>
      <c r="MJ1110" s="31"/>
      <c r="MK1110" s="31"/>
      <c r="ML1110" s="31"/>
      <c r="MM1110" s="31"/>
      <c r="MN1110" s="31"/>
      <c r="MO1110" s="31"/>
      <c r="MP1110" s="31"/>
      <c r="MQ1110" s="31"/>
      <c r="MR1110" s="31"/>
      <c r="MS1110" s="31"/>
      <c r="MT1110" s="31"/>
      <c r="MU1110" s="31"/>
      <c r="MV1110" s="31"/>
      <c r="MW1110" s="31"/>
      <c r="MX1110" s="31"/>
      <c r="MY1110" s="31"/>
      <c r="MZ1110" s="31"/>
      <c r="NA1110" s="31"/>
      <c r="NB1110" s="31"/>
      <c r="NC1110" s="31"/>
      <c r="ND1110" s="31"/>
      <c r="NE1110" s="31"/>
      <c r="NF1110" s="31"/>
      <c r="NG1110" s="31"/>
      <c r="NH1110" s="31"/>
      <c r="NI1110" s="31"/>
      <c r="NJ1110" s="31"/>
      <c r="NK1110" s="31"/>
      <c r="NL1110" s="31"/>
      <c r="NM1110" s="31"/>
      <c r="NN1110" s="31"/>
      <c r="NO1110" s="31"/>
      <c r="NP1110" s="31"/>
      <c r="NQ1110" s="31"/>
      <c r="NR1110" s="31"/>
      <c r="NS1110" s="31"/>
      <c r="NT1110" s="31"/>
      <c r="NU1110" s="31"/>
      <c r="NV1110" s="31"/>
      <c r="NW1110" s="31"/>
      <c r="NX1110" s="31"/>
      <c r="NY1110" s="31"/>
      <c r="NZ1110" s="31"/>
      <c r="OA1110" s="31"/>
      <c r="OB1110" s="31"/>
      <c r="OC1110" s="31"/>
      <c r="OD1110" s="31"/>
      <c r="OE1110" s="31"/>
      <c r="OF1110" s="31"/>
      <c r="OG1110" s="31"/>
      <c r="OH1110" s="31"/>
      <c r="OI1110" s="31"/>
      <c r="OJ1110" s="31"/>
      <c r="OK1110" s="31"/>
      <c r="OL1110" s="31"/>
      <c r="OM1110" s="31"/>
      <c r="ON1110" s="31"/>
      <c r="OO1110" s="31"/>
      <c r="OP1110" s="31"/>
      <c r="OQ1110" s="31"/>
      <c r="OR1110" s="31"/>
      <c r="OS1110" s="31"/>
      <c r="OT1110" s="31"/>
      <c r="OU1110" s="31"/>
      <c r="OV1110" s="31"/>
      <c r="OW1110" s="31"/>
      <c r="OX1110" s="31"/>
      <c r="OY1110" s="31"/>
      <c r="OZ1110" s="31"/>
      <c r="PA1110" s="31"/>
      <c r="PB1110" s="31"/>
      <c r="PC1110" s="31"/>
      <c r="PD1110" s="31"/>
      <c r="PE1110" s="31"/>
      <c r="PF1110" s="31"/>
      <c r="PG1110" s="31"/>
      <c r="PH1110" s="31"/>
      <c r="PI1110" s="31"/>
      <c r="PJ1110" s="31"/>
      <c r="PK1110" s="31"/>
      <c r="PL1110" s="31"/>
      <c r="PM1110" s="31"/>
      <c r="PN1110" s="31"/>
      <c r="PO1110" s="31"/>
      <c r="PP1110" s="31"/>
      <c r="PQ1110" s="31"/>
      <c r="PR1110" s="31"/>
      <c r="PS1110" s="31"/>
      <c r="PT1110" s="31"/>
      <c r="PU1110" s="31"/>
      <c r="PV1110" s="31"/>
      <c r="PW1110" s="31"/>
      <c r="PX1110" s="31"/>
      <c r="PY1110" s="31"/>
      <c r="PZ1110" s="31"/>
      <c r="QA1110" s="31"/>
      <c r="QB1110" s="31"/>
      <c r="QC1110" s="31"/>
      <c r="QD1110" s="31"/>
      <c r="QE1110" s="31"/>
      <c r="QF1110" s="31"/>
      <c r="QG1110" s="31"/>
      <c r="QH1110" s="31"/>
      <c r="QI1110" s="31"/>
      <c r="QJ1110" s="31"/>
      <c r="QK1110" s="31"/>
      <c r="QL1110" s="31"/>
      <c r="QM1110" s="31"/>
      <c r="QN1110" s="31"/>
      <c r="QO1110" s="31"/>
      <c r="QP1110" s="31"/>
      <c r="QQ1110" s="31"/>
      <c r="QR1110" s="31"/>
      <c r="QS1110" s="31"/>
      <c r="QT1110" s="31"/>
      <c r="QU1110" s="31"/>
      <c r="QV1110" s="31"/>
      <c r="QW1110" s="31"/>
      <c r="QX1110" s="31"/>
      <c r="QY1110" s="31"/>
      <c r="QZ1110" s="31"/>
      <c r="RA1110" s="31"/>
      <c r="RB1110" s="31"/>
      <c r="RC1110" s="31"/>
      <c r="RD1110" s="31"/>
      <c r="RE1110" s="31"/>
      <c r="RF1110" s="31"/>
      <c r="RG1110" s="31"/>
      <c r="RH1110" s="31"/>
      <c r="RI1110" s="31"/>
      <c r="RJ1110" s="31"/>
      <c r="RK1110" s="31"/>
      <c r="RL1110" s="31"/>
      <c r="RM1110" s="31"/>
      <c r="RN1110" s="31"/>
      <c r="RO1110" s="31"/>
      <c r="RP1110" s="31"/>
      <c r="RQ1110" s="31"/>
      <c r="RR1110" s="31"/>
      <c r="RS1110" s="31"/>
      <c r="RT1110" s="31"/>
      <c r="RU1110" s="31"/>
      <c r="RV1110" s="31"/>
      <c r="RW1110" s="31"/>
      <c r="RX1110" s="31"/>
      <c r="RY1110" s="31"/>
      <c r="RZ1110" s="31"/>
      <c r="SA1110" s="31"/>
      <c r="SB1110" s="31"/>
      <c r="SC1110" s="31"/>
      <c r="SD1110" s="31"/>
      <c r="SE1110" s="31"/>
      <c r="SF1110" s="31"/>
      <c r="SG1110" s="31"/>
      <c r="SH1110" s="31"/>
      <c r="SI1110" s="31"/>
      <c r="SJ1110" s="31"/>
      <c r="SK1110" s="31"/>
      <c r="SL1110" s="31"/>
      <c r="SM1110" s="31"/>
      <c r="SN1110" s="31"/>
      <c r="SO1110" s="31"/>
      <c r="SP1110" s="31"/>
      <c r="SQ1110" s="31"/>
      <c r="SR1110" s="31"/>
      <c r="SS1110" s="31"/>
      <c r="ST1110" s="31"/>
      <c r="SU1110" s="31"/>
      <c r="SV1110" s="31"/>
      <c r="SW1110" s="31"/>
      <c r="SX1110" s="31"/>
      <c r="SY1110" s="31"/>
      <c r="SZ1110" s="31"/>
      <c r="TA1110" s="31"/>
      <c r="TB1110" s="31"/>
      <c r="TC1110" s="31"/>
      <c r="TD1110" s="31"/>
      <c r="TE1110" s="31"/>
      <c r="TF1110" s="31"/>
      <c r="TG1110" s="31"/>
      <c r="TH1110" s="31"/>
      <c r="TI1110" s="31"/>
      <c r="TJ1110" s="31"/>
      <c r="TK1110" s="31"/>
      <c r="TL1110" s="31"/>
      <c r="TM1110" s="31"/>
      <c r="TN1110" s="31"/>
      <c r="TO1110" s="31"/>
      <c r="TP1110" s="31"/>
      <c r="TQ1110" s="31"/>
      <c r="TR1110" s="31"/>
      <c r="TS1110" s="31"/>
      <c r="TT1110" s="31"/>
      <c r="TU1110" s="31"/>
      <c r="TV1110" s="31"/>
      <c r="TW1110" s="31"/>
      <c r="TX1110" s="31"/>
      <c r="TY1110" s="31"/>
      <c r="TZ1110" s="31"/>
      <c r="UA1110" s="31"/>
      <c r="UB1110" s="31"/>
      <c r="UC1110" s="31"/>
      <c r="UD1110" s="31"/>
      <c r="UE1110" s="31"/>
      <c r="UF1110" s="31"/>
      <c r="UG1110" s="33"/>
    </row>
    <row r="1111" spans="1:553" ht="31.5" customHeight="1">
      <c r="A1111" s="356"/>
      <c r="B1111" s="385">
        <v>7</v>
      </c>
      <c r="C1111" s="1403" t="s">
        <v>641</v>
      </c>
      <c r="D1111" s="1389"/>
      <c r="E1111" s="1389"/>
      <c r="F1111" s="1390"/>
      <c r="G1111" s="386" t="s">
        <v>33</v>
      </c>
      <c r="H1111" s="370"/>
      <c r="I1111" s="422">
        <f>7.2*0.42*2</f>
        <v>6.048</v>
      </c>
      <c r="J1111" s="477">
        <v>39000</v>
      </c>
      <c r="K1111" s="388"/>
      <c r="L1111" s="391">
        <f t="shared" si="167"/>
        <v>235872</v>
      </c>
      <c r="M1111" s="395"/>
      <c r="N1111" s="395"/>
      <c r="O1111" s="366"/>
      <c r="P1111" s="396"/>
      <c r="Q1111" s="473"/>
      <c r="R1111" s="1039"/>
      <c r="S1111" s="308"/>
      <c r="T1111" s="308"/>
      <c r="U1111" s="308"/>
      <c r="V1111" s="308"/>
      <c r="W1111" s="308"/>
      <c r="X1111" s="308"/>
      <c r="Y1111" s="308"/>
      <c r="Z1111" s="604"/>
      <c r="AA1111" s="308"/>
      <c r="AB1111" s="308"/>
      <c r="AC1111" s="449"/>
      <c r="AD1111" s="449"/>
      <c r="AE1111" s="449"/>
      <c r="AF1111" s="449"/>
      <c r="AG1111" s="452"/>
      <c r="AH1111" s="452"/>
      <c r="AI1111" s="452"/>
      <c r="AJ1111" s="452"/>
      <c r="AK1111" s="452"/>
      <c r="AL1111" s="104"/>
      <c r="AM1111" s="32"/>
      <c r="AN1111" s="32"/>
      <c r="AO1111" s="32"/>
      <c r="AP1111" s="32"/>
      <c r="AQ1111" s="31"/>
      <c r="AR1111" s="31"/>
      <c r="AS1111" s="31"/>
      <c r="AT1111" s="31"/>
      <c r="AU1111" s="31"/>
      <c r="AV1111" s="31"/>
      <c r="AW1111" s="31"/>
      <c r="AX1111" s="31"/>
      <c r="AY1111" s="31"/>
      <c r="AZ1111" s="31"/>
      <c r="BA1111" s="31"/>
      <c r="BB1111" s="31"/>
      <c r="BC1111" s="31"/>
      <c r="BD1111" s="31"/>
      <c r="BE1111" s="31"/>
      <c r="BF1111" s="31"/>
      <c r="BG1111" s="31"/>
      <c r="BH1111" s="31"/>
      <c r="BI1111" s="31"/>
      <c r="BJ1111" s="31"/>
      <c r="BK1111" s="31"/>
      <c r="BL1111" s="31"/>
      <c r="BM1111" s="31"/>
      <c r="BN1111" s="31"/>
      <c r="BO1111" s="31"/>
      <c r="BP1111" s="31"/>
      <c r="BQ1111" s="31"/>
      <c r="BR1111" s="31"/>
      <c r="BS1111" s="31"/>
      <c r="BT1111" s="31"/>
      <c r="BU1111" s="31"/>
      <c r="BV1111" s="31"/>
      <c r="BW1111" s="31"/>
      <c r="BX1111" s="31"/>
      <c r="BY1111" s="31"/>
      <c r="BZ1111" s="31"/>
      <c r="CA1111" s="31"/>
      <c r="CB1111" s="31"/>
      <c r="CC1111" s="31"/>
      <c r="CD1111" s="31"/>
      <c r="CE1111" s="31"/>
      <c r="CF1111" s="31"/>
      <c r="CG1111" s="31"/>
      <c r="CH1111" s="31"/>
      <c r="CI1111" s="31"/>
      <c r="CJ1111" s="31"/>
      <c r="CK1111" s="31"/>
      <c r="CL1111" s="31"/>
      <c r="CM1111" s="31"/>
      <c r="CN1111" s="31"/>
      <c r="CO1111" s="31"/>
      <c r="CP1111" s="31"/>
      <c r="CQ1111" s="31"/>
      <c r="CR1111" s="31"/>
      <c r="CS1111" s="31"/>
      <c r="CT1111" s="31"/>
      <c r="CU1111" s="31"/>
      <c r="CV1111" s="31"/>
      <c r="CW1111" s="31"/>
      <c r="CX1111" s="31"/>
      <c r="CY1111" s="31"/>
      <c r="CZ1111" s="31"/>
      <c r="DA1111" s="31"/>
      <c r="DB1111" s="31"/>
      <c r="DC1111" s="31"/>
      <c r="DD1111" s="31"/>
      <c r="DE1111" s="31"/>
      <c r="DF1111" s="31"/>
      <c r="DG1111" s="31"/>
      <c r="DH1111" s="31"/>
      <c r="DI1111" s="31"/>
      <c r="DJ1111" s="31"/>
      <c r="DK1111" s="31"/>
      <c r="DL1111" s="31"/>
      <c r="DM1111" s="31"/>
      <c r="DN1111" s="31"/>
      <c r="DO1111" s="31"/>
      <c r="DP1111" s="31"/>
      <c r="DQ1111" s="31"/>
      <c r="DR1111" s="31"/>
      <c r="DS1111" s="31"/>
      <c r="DT1111" s="31"/>
      <c r="DU1111" s="31"/>
      <c r="DV1111" s="31"/>
      <c r="DW1111" s="31"/>
      <c r="DX1111" s="31"/>
      <c r="DY1111" s="31"/>
      <c r="DZ1111" s="31"/>
      <c r="EA1111" s="31"/>
      <c r="EB1111" s="31"/>
      <c r="EC1111" s="31"/>
      <c r="ED1111" s="31"/>
      <c r="EE1111" s="31"/>
      <c r="EF1111" s="31"/>
      <c r="EG1111" s="31"/>
      <c r="EH1111" s="31"/>
      <c r="EI1111" s="31"/>
      <c r="EJ1111" s="31"/>
      <c r="EK1111" s="31"/>
      <c r="EL1111" s="31"/>
      <c r="EM1111" s="31"/>
      <c r="EN1111" s="31"/>
      <c r="EO1111" s="31"/>
      <c r="EP1111" s="31"/>
      <c r="EQ1111" s="31"/>
      <c r="ER1111" s="31"/>
      <c r="ES1111" s="31"/>
      <c r="ET1111" s="31"/>
      <c r="EU1111" s="31"/>
      <c r="EV1111" s="31"/>
      <c r="EW1111" s="31"/>
      <c r="EX1111" s="31"/>
      <c r="EY1111" s="31"/>
      <c r="EZ1111" s="31"/>
      <c r="FA1111" s="31"/>
      <c r="FB1111" s="31"/>
      <c r="FC1111" s="31"/>
      <c r="FD1111" s="31"/>
      <c r="FE1111" s="31"/>
      <c r="FF1111" s="31"/>
      <c r="FG1111" s="31"/>
      <c r="FH1111" s="31"/>
      <c r="FI1111" s="31"/>
      <c r="FJ1111" s="31"/>
      <c r="FK1111" s="31"/>
      <c r="FL1111" s="31"/>
      <c r="FM1111" s="31"/>
      <c r="FN1111" s="31"/>
      <c r="FO1111" s="31"/>
      <c r="FP1111" s="31"/>
      <c r="FQ1111" s="31"/>
      <c r="FR1111" s="31"/>
      <c r="FS1111" s="31"/>
      <c r="FT1111" s="31"/>
      <c r="FU1111" s="31"/>
      <c r="FV1111" s="31"/>
      <c r="FW1111" s="31"/>
      <c r="FX1111" s="31"/>
      <c r="FY1111" s="31"/>
      <c r="FZ1111" s="31"/>
      <c r="GA1111" s="31"/>
      <c r="GB1111" s="31"/>
      <c r="GC1111" s="31"/>
      <c r="GD1111" s="31"/>
      <c r="GE1111" s="31"/>
      <c r="GF1111" s="31"/>
      <c r="GG1111" s="31"/>
      <c r="GH1111" s="31"/>
      <c r="GI1111" s="31"/>
      <c r="GJ1111" s="31"/>
      <c r="GK1111" s="31"/>
      <c r="GL1111" s="31"/>
      <c r="GM1111" s="31"/>
      <c r="GN1111" s="31"/>
      <c r="GO1111" s="31"/>
      <c r="GP1111" s="31"/>
      <c r="GQ1111" s="31"/>
      <c r="GR1111" s="31"/>
      <c r="GS1111" s="31"/>
      <c r="GT1111" s="31"/>
      <c r="GU1111" s="31"/>
      <c r="GV1111" s="31"/>
      <c r="GW1111" s="31"/>
      <c r="GX1111" s="31"/>
      <c r="GY1111" s="31"/>
      <c r="GZ1111" s="31"/>
      <c r="HA1111" s="31"/>
      <c r="HB1111" s="31"/>
      <c r="HC1111" s="31"/>
      <c r="HD1111" s="31"/>
      <c r="HE1111" s="31"/>
      <c r="HF1111" s="31"/>
      <c r="HG1111" s="31"/>
      <c r="HH1111" s="31"/>
      <c r="HI1111" s="31"/>
      <c r="HJ1111" s="31"/>
      <c r="HK1111" s="31"/>
      <c r="HL1111" s="31"/>
      <c r="HM1111" s="31"/>
      <c r="HN1111" s="31"/>
      <c r="HO1111" s="31"/>
      <c r="HP1111" s="31"/>
      <c r="HQ1111" s="31"/>
      <c r="HR1111" s="31"/>
      <c r="HS1111" s="31"/>
      <c r="HT1111" s="31"/>
      <c r="HU1111" s="31"/>
      <c r="HV1111" s="31"/>
      <c r="HW1111" s="31"/>
      <c r="HX1111" s="31"/>
      <c r="HY1111" s="31"/>
      <c r="HZ1111" s="31"/>
      <c r="IA1111" s="31"/>
      <c r="IB1111" s="31"/>
      <c r="IC1111" s="31"/>
      <c r="ID1111" s="31"/>
      <c r="IE1111" s="31"/>
      <c r="IF1111" s="31"/>
      <c r="IG1111" s="31"/>
      <c r="IH1111" s="31"/>
      <c r="II1111" s="31"/>
      <c r="IJ1111" s="31"/>
      <c r="IK1111" s="31"/>
      <c r="IL1111" s="31"/>
      <c r="IM1111" s="31"/>
      <c r="IN1111" s="31"/>
      <c r="IO1111" s="31"/>
      <c r="IP1111" s="31"/>
      <c r="IQ1111" s="31"/>
      <c r="IR1111" s="31"/>
      <c r="IS1111" s="31"/>
      <c r="IT1111" s="31"/>
      <c r="IU1111" s="31"/>
      <c r="IV1111" s="31"/>
      <c r="IW1111" s="31"/>
      <c r="IX1111" s="31"/>
      <c r="IY1111" s="31"/>
      <c r="IZ1111" s="31"/>
      <c r="JA1111" s="31"/>
      <c r="JB1111" s="31"/>
      <c r="JC1111" s="31"/>
      <c r="JD1111" s="31"/>
      <c r="JE1111" s="31"/>
      <c r="JF1111" s="31"/>
      <c r="JG1111" s="31"/>
      <c r="JH1111" s="31"/>
      <c r="JI1111" s="31"/>
      <c r="JJ1111" s="31"/>
      <c r="JK1111" s="31"/>
      <c r="JL1111" s="31"/>
      <c r="JM1111" s="31"/>
      <c r="JN1111" s="31"/>
      <c r="JO1111" s="31"/>
      <c r="JP1111" s="31"/>
      <c r="JQ1111" s="31"/>
      <c r="JR1111" s="31"/>
      <c r="JS1111" s="31"/>
      <c r="JT1111" s="31"/>
      <c r="JU1111" s="31"/>
      <c r="JV1111" s="31"/>
      <c r="JW1111" s="31"/>
      <c r="JX1111" s="31"/>
      <c r="JY1111" s="31"/>
      <c r="JZ1111" s="31"/>
      <c r="KA1111" s="31"/>
      <c r="KB1111" s="31"/>
      <c r="KC1111" s="31"/>
      <c r="KD1111" s="31"/>
      <c r="KE1111" s="31"/>
      <c r="KF1111" s="31"/>
      <c r="KG1111" s="31"/>
      <c r="KH1111" s="31"/>
      <c r="KI1111" s="31"/>
      <c r="KJ1111" s="31"/>
      <c r="KK1111" s="31"/>
      <c r="KL1111" s="31"/>
      <c r="KM1111" s="31"/>
      <c r="KN1111" s="31"/>
      <c r="KO1111" s="31"/>
      <c r="KP1111" s="31"/>
      <c r="KQ1111" s="31"/>
      <c r="KR1111" s="31"/>
      <c r="KS1111" s="31"/>
      <c r="KT1111" s="31"/>
      <c r="KU1111" s="31"/>
      <c r="KV1111" s="31"/>
      <c r="KW1111" s="31"/>
      <c r="KX1111" s="31"/>
      <c r="KY1111" s="31"/>
      <c r="KZ1111" s="31"/>
      <c r="LA1111" s="31"/>
      <c r="LB1111" s="31"/>
      <c r="LC1111" s="31"/>
      <c r="LD1111" s="31"/>
      <c r="LE1111" s="31"/>
      <c r="LF1111" s="31"/>
      <c r="LG1111" s="31"/>
      <c r="LH1111" s="31"/>
      <c r="LI1111" s="31"/>
      <c r="LJ1111" s="31"/>
      <c r="LK1111" s="31"/>
      <c r="LL1111" s="31"/>
      <c r="LM1111" s="31"/>
      <c r="LN1111" s="31"/>
      <c r="LO1111" s="31"/>
      <c r="LP1111" s="31"/>
      <c r="LQ1111" s="31"/>
      <c r="LR1111" s="31"/>
      <c r="LS1111" s="31"/>
      <c r="LT1111" s="31"/>
      <c r="LU1111" s="31"/>
      <c r="LV1111" s="31"/>
      <c r="LW1111" s="31"/>
      <c r="LX1111" s="31"/>
      <c r="LY1111" s="31"/>
      <c r="LZ1111" s="31"/>
      <c r="MA1111" s="31"/>
      <c r="MB1111" s="31"/>
      <c r="MC1111" s="31"/>
      <c r="MD1111" s="31"/>
      <c r="ME1111" s="31"/>
      <c r="MF1111" s="31"/>
      <c r="MG1111" s="31"/>
      <c r="MH1111" s="31"/>
      <c r="MI1111" s="31"/>
      <c r="MJ1111" s="31"/>
      <c r="MK1111" s="31"/>
      <c r="ML1111" s="31"/>
      <c r="MM1111" s="31"/>
      <c r="MN1111" s="31"/>
      <c r="MO1111" s="31"/>
      <c r="MP1111" s="31"/>
      <c r="MQ1111" s="31"/>
      <c r="MR1111" s="31"/>
      <c r="MS1111" s="31"/>
      <c r="MT1111" s="31"/>
      <c r="MU1111" s="31"/>
      <c r="MV1111" s="31"/>
      <c r="MW1111" s="31"/>
      <c r="MX1111" s="31"/>
      <c r="MY1111" s="31"/>
      <c r="MZ1111" s="31"/>
      <c r="NA1111" s="31"/>
      <c r="NB1111" s="31"/>
      <c r="NC1111" s="31"/>
      <c r="ND1111" s="31"/>
      <c r="NE1111" s="31"/>
      <c r="NF1111" s="31"/>
      <c r="NG1111" s="31"/>
      <c r="NH1111" s="31"/>
      <c r="NI1111" s="31"/>
      <c r="NJ1111" s="31"/>
      <c r="NK1111" s="31"/>
      <c r="NL1111" s="31"/>
      <c r="NM1111" s="31"/>
      <c r="NN1111" s="31"/>
      <c r="NO1111" s="31"/>
      <c r="NP1111" s="31"/>
      <c r="NQ1111" s="31"/>
      <c r="NR1111" s="31"/>
      <c r="NS1111" s="31"/>
      <c r="NT1111" s="31"/>
      <c r="NU1111" s="31"/>
      <c r="NV1111" s="31"/>
      <c r="NW1111" s="31"/>
      <c r="NX1111" s="31"/>
      <c r="NY1111" s="31"/>
      <c r="NZ1111" s="31"/>
      <c r="OA1111" s="31"/>
      <c r="OB1111" s="31"/>
      <c r="OC1111" s="31"/>
      <c r="OD1111" s="31"/>
      <c r="OE1111" s="31"/>
      <c r="OF1111" s="31"/>
      <c r="OG1111" s="31"/>
      <c r="OH1111" s="31"/>
      <c r="OI1111" s="31"/>
      <c r="OJ1111" s="31"/>
      <c r="OK1111" s="31"/>
      <c r="OL1111" s="31"/>
      <c r="OM1111" s="31"/>
      <c r="ON1111" s="31"/>
      <c r="OO1111" s="31"/>
      <c r="OP1111" s="31"/>
      <c r="OQ1111" s="31"/>
      <c r="OR1111" s="31"/>
      <c r="OS1111" s="31"/>
      <c r="OT1111" s="31"/>
      <c r="OU1111" s="31"/>
      <c r="OV1111" s="31"/>
      <c r="OW1111" s="31"/>
      <c r="OX1111" s="31"/>
      <c r="OY1111" s="31"/>
      <c r="OZ1111" s="31"/>
      <c r="PA1111" s="31"/>
      <c r="PB1111" s="31"/>
      <c r="PC1111" s="31"/>
      <c r="PD1111" s="31"/>
      <c r="PE1111" s="31"/>
      <c r="PF1111" s="31"/>
      <c r="PG1111" s="31"/>
      <c r="PH1111" s="31"/>
      <c r="PI1111" s="31"/>
      <c r="PJ1111" s="31"/>
      <c r="PK1111" s="31"/>
      <c r="PL1111" s="31"/>
      <c r="PM1111" s="31"/>
      <c r="PN1111" s="31"/>
      <c r="PO1111" s="31"/>
      <c r="PP1111" s="31"/>
      <c r="PQ1111" s="31"/>
      <c r="PR1111" s="31"/>
      <c r="PS1111" s="31"/>
      <c r="PT1111" s="31"/>
      <c r="PU1111" s="31"/>
      <c r="PV1111" s="31"/>
      <c r="PW1111" s="31"/>
      <c r="PX1111" s="31"/>
      <c r="PY1111" s="31"/>
      <c r="PZ1111" s="31"/>
      <c r="QA1111" s="31"/>
      <c r="QB1111" s="31"/>
      <c r="QC1111" s="31"/>
      <c r="QD1111" s="31"/>
      <c r="QE1111" s="31"/>
      <c r="QF1111" s="31"/>
      <c r="QG1111" s="31"/>
      <c r="QH1111" s="31"/>
      <c r="QI1111" s="31"/>
      <c r="QJ1111" s="31"/>
      <c r="QK1111" s="31"/>
      <c r="QL1111" s="31"/>
      <c r="QM1111" s="31"/>
      <c r="QN1111" s="31"/>
      <c r="QO1111" s="31"/>
      <c r="QP1111" s="31"/>
      <c r="QQ1111" s="31"/>
      <c r="QR1111" s="31"/>
      <c r="QS1111" s="31"/>
      <c r="QT1111" s="31"/>
      <c r="QU1111" s="31"/>
      <c r="QV1111" s="31"/>
      <c r="QW1111" s="31"/>
      <c r="QX1111" s="31"/>
      <c r="QY1111" s="31"/>
      <c r="QZ1111" s="31"/>
      <c r="RA1111" s="31"/>
      <c r="RB1111" s="31"/>
      <c r="RC1111" s="31"/>
      <c r="RD1111" s="31"/>
      <c r="RE1111" s="31"/>
      <c r="RF1111" s="31"/>
      <c r="RG1111" s="31"/>
      <c r="RH1111" s="31"/>
      <c r="RI1111" s="31"/>
      <c r="RJ1111" s="31"/>
      <c r="RK1111" s="31"/>
      <c r="RL1111" s="31"/>
      <c r="RM1111" s="31"/>
      <c r="RN1111" s="31"/>
      <c r="RO1111" s="31"/>
      <c r="RP1111" s="31"/>
      <c r="RQ1111" s="31"/>
      <c r="RR1111" s="31"/>
      <c r="RS1111" s="31"/>
      <c r="RT1111" s="31"/>
      <c r="RU1111" s="31"/>
      <c r="RV1111" s="31"/>
      <c r="RW1111" s="31"/>
      <c r="RX1111" s="31"/>
      <c r="RY1111" s="31"/>
      <c r="RZ1111" s="31"/>
      <c r="SA1111" s="31"/>
      <c r="SB1111" s="31"/>
      <c r="SC1111" s="31"/>
      <c r="SD1111" s="31"/>
      <c r="SE1111" s="31"/>
      <c r="SF1111" s="31"/>
      <c r="SG1111" s="31"/>
      <c r="SH1111" s="31"/>
      <c r="SI1111" s="31"/>
      <c r="SJ1111" s="31"/>
      <c r="SK1111" s="31"/>
      <c r="SL1111" s="31"/>
      <c r="SM1111" s="31"/>
      <c r="SN1111" s="31"/>
      <c r="SO1111" s="31"/>
      <c r="SP1111" s="31"/>
      <c r="SQ1111" s="31"/>
      <c r="SR1111" s="31"/>
      <c r="SS1111" s="31"/>
      <c r="ST1111" s="31"/>
      <c r="SU1111" s="31"/>
      <c r="SV1111" s="31"/>
      <c r="SW1111" s="31"/>
      <c r="SX1111" s="31"/>
      <c r="SY1111" s="31"/>
      <c r="SZ1111" s="31"/>
      <c r="TA1111" s="31"/>
      <c r="TB1111" s="31"/>
      <c r="TC1111" s="31"/>
      <c r="TD1111" s="31"/>
      <c r="TE1111" s="31"/>
      <c r="TF1111" s="31"/>
      <c r="TG1111" s="31"/>
      <c r="TH1111" s="31"/>
      <c r="TI1111" s="31"/>
      <c r="TJ1111" s="31"/>
      <c r="TK1111" s="31"/>
      <c r="TL1111" s="31"/>
      <c r="TM1111" s="31"/>
      <c r="TN1111" s="31"/>
      <c r="TO1111" s="31"/>
      <c r="TP1111" s="31"/>
      <c r="TQ1111" s="31"/>
      <c r="TR1111" s="31"/>
      <c r="TS1111" s="31"/>
      <c r="TT1111" s="31"/>
      <c r="TU1111" s="31"/>
      <c r="TV1111" s="31"/>
      <c r="TW1111" s="31"/>
      <c r="TX1111" s="31"/>
      <c r="TY1111" s="31"/>
      <c r="TZ1111" s="31"/>
      <c r="UA1111" s="31"/>
      <c r="UB1111" s="31"/>
      <c r="UC1111" s="31"/>
      <c r="UD1111" s="31"/>
      <c r="UE1111" s="31"/>
      <c r="UF1111" s="31"/>
      <c r="UG1111" s="33"/>
    </row>
    <row r="1112" spans="1:553" ht="31.5" customHeight="1">
      <c r="A1112" s="356"/>
      <c r="B1112" s="385">
        <v>7</v>
      </c>
      <c r="C1112" s="1403" t="s">
        <v>642</v>
      </c>
      <c r="D1112" s="1389"/>
      <c r="E1112" s="1389"/>
      <c r="F1112" s="1390"/>
      <c r="G1112" s="386" t="s">
        <v>33</v>
      </c>
      <c r="H1112" s="370"/>
      <c r="I1112" s="422">
        <f>(2.25*0.42*8)+(0.42*2.5*4)</f>
        <v>11.76</v>
      </c>
      <c r="J1112" s="477">
        <v>39000</v>
      </c>
      <c r="K1112" s="388"/>
      <c r="L1112" s="391">
        <f t="shared" si="167"/>
        <v>458640</v>
      </c>
      <c r="M1112" s="395"/>
      <c r="N1112" s="395"/>
      <c r="O1112" s="366"/>
      <c r="P1112" s="396"/>
      <c r="Q1112" s="473"/>
      <c r="R1112" s="1039"/>
      <c r="S1112" s="308"/>
      <c r="T1112" s="308"/>
      <c r="U1112" s="308"/>
      <c r="V1112" s="308"/>
      <c r="W1112" s="308"/>
      <c r="X1112" s="308"/>
      <c r="Y1112" s="308"/>
      <c r="Z1112" s="604"/>
      <c r="AA1112" s="308"/>
      <c r="AB1112" s="308"/>
      <c r="AC1112" s="449"/>
      <c r="AD1112" s="449"/>
      <c r="AE1112" s="449"/>
      <c r="AF1112" s="449"/>
      <c r="AG1112" s="452"/>
      <c r="AH1112" s="452"/>
      <c r="AI1112" s="452"/>
      <c r="AJ1112" s="452"/>
      <c r="AK1112" s="452"/>
      <c r="AL1112" s="104"/>
      <c r="AM1112" s="32"/>
      <c r="AN1112" s="32"/>
      <c r="AO1112" s="32"/>
      <c r="AP1112" s="32"/>
      <c r="AQ1112" s="31"/>
      <c r="AR1112" s="31"/>
      <c r="AS1112" s="31"/>
      <c r="AT1112" s="31"/>
      <c r="AU1112" s="31"/>
      <c r="AV1112" s="31"/>
      <c r="AW1112" s="31"/>
      <c r="AX1112" s="31"/>
      <c r="AY1112" s="31"/>
      <c r="AZ1112" s="31"/>
      <c r="BA1112" s="31"/>
      <c r="BB1112" s="31"/>
      <c r="BC1112" s="31"/>
      <c r="BD1112" s="31"/>
      <c r="BE1112" s="31"/>
      <c r="BF1112" s="31"/>
      <c r="BG1112" s="31"/>
      <c r="BH1112" s="31"/>
      <c r="BI1112" s="31"/>
      <c r="BJ1112" s="31"/>
      <c r="BK1112" s="31"/>
      <c r="BL1112" s="31"/>
      <c r="BM1112" s="31"/>
      <c r="BN1112" s="31"/>
      <c r="BO1112" s="31"/>
      <c r="BP1112" s="31"/>
      <c r="BQ1112" s="31"/>
      <c r="BR1112" s="31"/>
      <c r="BS1112" s="31"/>
      <c r="BT1112" s="31"/>
      <c r="BU1112" s="31"/>
      <c r="BV1112" s="31"/>
      <c r="BW1112" s="31"/>
      <c r="BX1112" s="31"/>
      <c r="BY1112" s="31"/>
      <c r="BZ1112" s="31"/>
      <c r="CA1112" s="31"/>
      <c r="CB1112" s="31"/>
      <c r="CC1112" s="31"/>
      <c r="CD1112" s="31"/>
      <c r="CE1112" s="31"/>
      <c r="CF1112" s="31"/>
      <c r="CG1112" s="31"/>
      <c r="CH1112" s="31"/>
      <c r="CI1112" s="31"/>
      <c r="CJ1112" s="31"/>
      <c r="CK1112" s="31"/>
      <c r="CL1112" s="31"/>
      <c r="CM1112" s="31"/>
      <c r="CN1112" s="31"/>
      <c r="CO1112" s="31"/>
      <c r="CP1112" s="31"/>
      <c r="CQ1112" s="31"/>
      <c r="CR1112" s="31"/>
      <c r="CS1112" s="31"/>
      <c r="CT1112" s="31"/>
      <c r="CU1112" s="31"/>
      <c r="CV1112" s="31"/>
      <c r="CW1112" s="31"/>
      <c r="CX1112" s="31"/>
      <c r="CY1112" s="31"/>
      <c r="CZ1112" s="31"/>
      <c r="DA1112" s="31"/>
      <c r="DB1112" s="31"/>
      <c r="DC1112" s="31"/>
      <c r="DD1112" s="31"/>
      <c r="DE1112" s="31"/>
      <c r="DF1112" s="31"/>
      <c r="DG1112" s="31"/>
      <c r="DH1112" s="31"/>
      <c r="DI1112" s="31"/>
      <c r="DJ1112" s="31"/>
      <c r="DK1112" s="31"/>
      <c r="DL1112" s="31"/>
      <c r="DM1112" s="31"/>
      <c r="DN1112" s="31"/>
      <c r="DO1112" s="31"/>
      <c r="DP1112" s="31"/>
      <c r="DQ1112" s="31"/>
      <c r="DR1112" s="31"/>
      <c r="DS1112" s="31"/>
      <c r="DT1112" s="31"/>
      <c r="DU1112" s="31"/>
      <c r="DV1112" s="31"/>
      <c r="DW1112" s="31"/>
      <c r="DX1112" s="31"/>
      <c r="DY1112" s="31"/>
      <c r="DZ1112" s="31"/>
      <c r="EA1112" s="31"/>
      <c r="EB1112" s="31"/>
      <c r="EC1112" s="31"/>
      <c r="ED1112" s="31"/>
      <c r="EE1112" s="31"/>
      <c r="EF1112" s="31"/>
      <c r="EG1112" s="31"/>
      <c r="EH1112" s="31"/>
      <c r="EI1112" s="31"/>
      <c r="EJ1112" s="31"/>
      <c r="EK1112" s="31"/>
      <c r="EL1112" s="31"/>
      <c r="EM1112" s="31"/>
      <c r="EN1112" s="31"/>
      <c r="EO1112" s="31"/>
      <c r="EP1112" s="31"/>
      <c r="EQ1112" s="31"/>
      <c r="ER1112" s="31"/>
      <c r="ES1112" s="31"/>
      <c r="ET1112" s="31"/>
      <c r="EU1112" s="31"/>
      <c r="EV1112" s="31"/>
      <c r="EW1112" s="31"/>
      <c r="EX1112" s="31"/>
      <c r="EY1112" s="31"/>
      <c r="EZ1112" s="31"/>
      <c r="FA1112" s="31"/>
      <c r="FB1112" s="31"/>
      <c r="FC1112" s="31"/>
      <c r="FD1112" s="31"/>
      <c r="FE1112" s="31"/>
      <c r="FF1112" s="31"/>
      <c r="FG1112" s="31"/>
      <c r="FH1112" s="31"/>
      <c r="FI1112" s="31"/>
      <c r="FJ1112" s="31"/>
      <c r="FK1112" s="31"/>
      <c r="FL1112" s="31"/>
      <c r="FM1112" s="31"/>
      <c r="FN1112" s="31"/>
      <c r="FO1112" s="31"/>
      <c r="FP1112" s="31"/>
      <c r="FQ1112" s="31"/>
      <c r="FR1112" s="31"/>
      <c r="FS1112" s="31"/>
      <c r="FT1112" s="31"/>
      <c r="FU1112" s="31"/>
      <c r="FV1112" s="31"/>
      <c r="FW1112" s="31"/>
      <c r="FX1112" s="31"/>
      <c r="FY1112" s="31"/>
      <c r="FZ1112" s="31"/>
      <c r="GA1112" s="31"/>
      <c r="GB1112" s="31"/>
      <c r="GC1112" s="31"/>
      <c r="GD1112" s="31"/>
      <c r="GE1112" s="31"/>
      <c r="GF1112" s="31"/>
      <c r="GG1112" s="31"/>
      <c r="GH1112" s="31"/>
      <c r="GI1112" s="31"/>
      <c r="GJ1112" s="31"/>
      <c r="GK1112" s="31"/>
      <c r="GL1112" s="31"/>
      <c r="GM1112" s="31"/>
      <c r="GN1112" s="31"/>
      <c r="GO1112" s="31"/>
      <c r="GP1112" s="31"/>
      <c r="GQ1112" s="31"/>
      <c r="GR1112" s="31"/>
      <c r="GS1112" s="31"/>
      <c r="GT1112" s="31"/>
      <c r="GU1112" s="31"/>
      <c r="GV1112" s="31"/>
      <c r="GW1112" s="31"/>
      <c r="GX1112" s="31"/>
      <c r="GY1112" s="31"/>
      <c r="GZ1112" s="31"/>
      <c r="HA1112" s="31"/>
      <c r="HB1112" s="31"/>
      <c r="HC1112" s="31"/>
      <c r="HD1112" s="31"/>
      <c r="HE1112" s="31"/>
      <c r="HF1112" s="31"/>
      <c r="HG1112" s="31"/>
      <c r="HH1112" s="31"/>
      <c r="HI1112" s="31"/>
      <c r="HJ1112" s="31"/>
      <c r="HK1112" s="31"/>
      <c r="HL1112" s="31"/>
      <c r="HM1112" s="31"/>
      <c r="HN1112" s="31"/>
      <c r="HO1112" s="31"/>
      <c r="HP1112" s="31"/>
      <c r="HQ1112" s="31"/>
      <c r="HR1112" s="31"/>
      <c r="HS1112" s="31"/>
      <c r="HT1112" s="31"/>
      <c r="HU1112" s="31"/>
      <c r="HV1112" s="31"/>
      <c r="HW1112" s="31"/>
      <c r="HX1112" s="31"/>
      <c r="HY1112" s="31"/>
      <c r="HZ1112" s="31"/>
      <c r="IA1112" s="31"/>
      <c r="IB1112" s="31"/>
      <c r="IC1112" s="31"/>
      <c r="ID1112" s="31"/>
      <c r="IE1112" s="31"/>
      <c r="IF1112" s="31"/>
      <c r="IG1112" s="31"/>
      <c r="IH1112" s="31"/>
      <c r="II1112" s="31"/>
      <c r="IJ1112" s="31"/>
      <c r="IK1112" s="31"/>
      <c r="IL1112" s="31"/>
      <c r="IM1112" s="31"/>
      <c r="IN1112" s="31"/>
      <c r="IO1112" s="31"/>
      <c r="IP1112" s="31"/>
      <c r="IQ1112" s="31"/>
      <c r="IR1112" s="31"/>
      <c r="IS1112" s="31"/>
      <c r="IT1112" s="31"/>
      <c r="IU1112" s="31"/>
      <c r="IV1112" s="31"/>
      <c r="IW1112" s="31"/>
      <c r="IX1112" s="31"/>
      <c r="IY1112" s="31"/>
      <c r="IZ1112" s="31"/>
      <c r="JA1112" s="31"/>
      <c r="JB1112" s="31"/>
      <c r="JC1112" s="31"/>
      <c r="JD1112" s="31"/>
      <c r="JE1112" s="31"/>
      <c r="JF1112" s="31"/>
      <c r="JG1112" s="31"/>
      <c r="JH1112" s="31"/>
      <c r="JI1112" s="31"/>
      <c r="JJ1112" s="31"/>
      <c r="JK1112" s="31"/>
      <c r="JL1112" s="31"/>
      <c r="JM1112" s="31"/>
      <c r="JN1112" s="31"/>
      <c r="JO1112" s="31"/>
      <c r="JP1112" s="31"/>
      <c r="JQ1112" s="31"/>
      <c r="JR1112" s="31"/>
      <c r="JS1112" s="31"/>
      <c r="JT1112" s="31"/>
      <c r="JU1112" s="31"/>
      <c r="JV1112" s="31"/>
      <c r="JW1112" s="31"/>
      <c r="JX1112" s="31"/>
      <c r="JY1112" s="31"/>
      <c r="JZ1112" s="31"/>
      <c r="KA1112" s="31"/>
      <c r="KB1112" s="31"/>
      <c r="KC1112" s="31"/>
      <c r="KD1112" s="31"/>
      <c r="KE1112" s="31"/>
      <c r="KF1112" s="31"/>
      <c r="KG1112" s="31"/>
      <c r="KH1112" s="31"/>
      <c r="KI1112" s="31"/>
      <c r="KJ1112" s="31"/>
      <c r="KK1112" s="31"/>
      <c r="KL1112" s="31"/>
      <c r="KM1112" s="31"/>
      <c r="KN1112" s="31"/>
      <c r="KO1112" s="31"/>
      <c r="KP1112" s="31"/>
      <c r="KQ1112" s="31"/>
      <c r="KR1112" s="31"/>
      <c r="KS1112" s="31"/>
      <c r="KT1112" s="31"/>
      <c r="KU1112" s="31"/>
      <c r="KV1112" s="31"/>
      <c r="KW1112" s="31"/>
      <c r="KX1112" s="31"/>
      <c r="KY1112" s="31"/>
      <c r="KZ1112" s="31"/>
      <c r="LA1112" s="31"/>
      <c r="LB1112" s="31"/>
      <c r="LC1112" s="31"/>
      <c r="LD1112" s="31"/>
      <c r="LE1112" s="31"/>
      <c r="LF1112" s="31"/>
      <c r="LG1112" s="31"/>
      <c r="LH1112" s="31"/>
      <c r="LI1112" s="31"/>
      <c r="LJ1112" s="31"/>
      <c r="LK1112" s="31"/>
      <c r="LL1112" s="31"/>
      <c r="LM1112" s="31"/>
      <c r="LN1112" s="31"/>
      <c r="LO1112" s="31"/>
      <c r="LP1112" s="31"/>
      <c r="LQ1112" s="31"/>
      <c r="LR1112" s="31"/>
      <c r="LS1112" s="31"/>
      <c r="LT1112" s="31"/>
      <c r="LU1112" s="31"/>
      <c r="LV1112" s="31"/>
      <c r="LW1112" s="31"/>
      <c r="LX1112" s="31"/>
      <c r="LY1112" s="31"/>
      <c r="LZ1112" s="31"/>
      <c r="MA1112" s="31"/>
      <c r="MB1112" s="31"/>
      <c r="MC1112" s="31"/>
      <c r="MD1112" s="31"/>
      <c r="ME1112" s="31"/>
      <c r="MF1112" s="31"/>
      <c r="MG1112" s="31"/>
      <c r="MH1112" s="31"/>
      <c r="MI1112" s="31"/>
      <c r="MJ1112" s="31"/>
      <c r="MK1112" s="31"/>
      <c r="ML1112" s="31"/>
      <c r="MM1112" s="31"/>
      <c r="MN1112" s="31"/>
      <c r="MO1112" s="31"/>
      <c r="MP1112" s="31"/>
      <c r="MQ1112" s="31"/>
      <c r="MR1112" s="31"/>
      <c r="MS1112" s="31"/>
      <c r="MT1112" s="31"/>
      <c r="MU1112" s="31"/>
      <c r="MV1112" s="31"/>
      <c r="MW1112" s="31"/>
      <c r="MX1112" s="31"/>
      <c r="MY1112" s="31"/>
      <c r="MZ1112" s="31"/>
      <c r="NA1112" s="31"/>
      <c r="NB1112" s="31"/>
      <c r="NC1112" s="31"/>
      <c r="ND1112" s="31"/>
      <c r="NE1112" s="31"/>
      <c r="NF1112" s="31"/>
      <c r="NG1112" s="31"/>
      <c r="NH1112" s="31"/>
      <c r="NI1112" s="31"/>
      <c r="NJ1112" s="31"/>
      <c r="NK1112" s="31"/>
      <c r="NL1112" s="31"/>
      <c r="NM1112" s="31"/>
      <c r="NN1112" s="31"/>
      <c r="NO1112" s="31"/>
      <c r="NP1112" s="31"/>
      <c r="NQ1112" s="31"/>
      <c r="NR1112" s="31"/>
      <c r="NS1112" s="31"/>
      <c r="NT1112" s="31"/>
      <c r="NU1112" s="31"/>
      <c r="NV1112" s="31"/>
      <c r="NW1112" s="31"/>
      <c r="NX1112" s="31"/>
      <c r="NY1112" s="31"/>
      <c r="NZ1112" s="31"/>
      <c r="OA1112" s="31"/>
      <c r="OB1112" s="31"/>
      <c r="OC1112" s="31"/>
      <c r="OD1112" s="31"/>
      <c r="OE1112" s="31"/>
      <c r="OF1112" s="31"/>
      <c r="OG1112" s="31"/>
      <c r="OH1112" s="31"/>
      <c r="OI1112" s="31"/>
      <c r="OJ1112" s="31"/>
      <c r="OK1112" s="31"/>
      <c r="OL1112" s="31"/>
      <c r="OM1112" s="31"/>
      <c r="ON1112" s="31"/>
      <c r="OO1112" s="31"/>
      <c r="OP1112" s="31"/>
      <c r="OQ1112" s="31"/>
      <c r="OR1112" s="31"/>
      <c r="OS1112" s="31"/>
      <c r="OT1112" s="31"/>
      <c r="OU1112" s="31"/>
      <c r="OV1112" s="31"/>
      <c r="OW1112" s="31"/>
      <c r="OX1112" s="31"/>
      <c r="OY1112" s="31"/>
      <c r="OZ1112" s="31"/>
      <c r="PA1112" s="31"/>
      <c r="PB1112" s="31"/>
      <c r="PC1112" s="31"/>
      <c r="PD1112" s="31"/>
      <c r="PE1112" s="31"/>
      <c r="PF1112" s="31"/>
      <c r="PG1112" s="31"/>
      <c r="PH1112" s="31"/>
      <c r="PI1112" s="31"/>
      <c r="PJ1112" s="31"/>
      <c r="PK1112" s="31"/>
      <c r="PL1112" s="31"/>
      <c r="PM1112" s="31"/>
      <c r="PN1112" s="31"/>
      <c r="PO1112" s="31"/>
      <c r="PP1112" s="31"/>
      <c r="PQ1112" s="31"/>
      <c r="PR1112" s="31"/>
      <c r="PS1112" s="31"/>
      <c r="PT1112" s="31"/>
      <c r="PU1112" s="31"/>
      <c r="PV1112" s="31"/>
      <c r="PW1112" s="31"/>
      <c r="PX1112" s="31"/>
      <c r="PY1112" s="31"/>
      <c r="PZ1112" s="31"/>
      <c r="QA1112" s="31"/>
      <c r="QB1112" s="31"/>
      <c r="QC1112" s="31"/>
      <c r="QD1112" s="31"/>
      <c r="QE1112" s="31"/>
      <c r="QF1112" s="31"/>
      <c r="QG1112" s="31"/>
      <c r="QH1112" s="31"/>
      <c r="QI1112" s="31"/>
      <c r="QJ1112" s="31"/>
      <c r="QK1112" s="31"/>
      <c r="QL1112" s="31"/>
      <c r="QM1112" s="31"/>
      <c r="QN1112" s="31"/>
      <c r="QO1112" s="31"/>
      <c r="QP1112" s="31"/>
      <c r="QQ1112" s="31"/>
      <c r="QR1112" s="31"/>
      <c r="QS1112" s="31"/>
      <c r="QT1112" s="31"/>
      <c r="QU1112" s="31"/>
      <c r="QV1112" s="31"/>
      <c r="QW1112" s="31"/>
      <c r="QX1112" s="31"/>
      <c r="QY1112" s="31"/>
      <c r="QZ1112" s="31"/>
      <c r="RA1112" s="31"/>
      <c r="RB1112" s="31"/>
      <c r="RC1112" s="31"/>
      <c r="RD1112" s="31"/>
      <c r="RE1112" s="31"/>
      <c r="RF1112" s="31"/>
      <c r="RG1112" s="31"/>
      <c r="RH1112" s="31"/>
      <c r="RI1112" s="31"/>
      <c r="RJ1112" s="31"/>
      <c r="RK1112" s="31"/>
      <c r="RL1112" s="31"/>
      <c r="RM1112" s="31"/>
      <c r="RN1112" s="31"/>
      <c r="RO1112" s="31"/>
      <c r="RP1112" s="31"/>
      <c r="RQ1112" s="31"/>
      <c r="RR1112" s="31"/>
      <c r="RS1112" s="31"/>
      <c r="RT1112" s="31"/>
      <c r="RU1112" s="31"/>
      <c r="RV1112" s="31"/>
      <c r="RW1112" s="31"/>
      <c r="RX1112" s="31"/>
      <c r="RY1112" s="31"/>
      <c r="RZ1112" s="31"/>
      <c r="SA1112" s="31"/>
      <c r="SB1112" s="31"/>
      <c r="SC1112" s="31"/>
      <c r="SD1112" s="31"/>
      <c r="SE1112" s="31"/>
      <c r="SF1112" s="31"/>
      <c r="SG1112" s="31"/>
      <c r="SH1112" s="31"/>
      <c r="SI1112" s="31"/>
      <c r="SJ1112" s="31"/>
      <c r="SK1112" s="31"/>
      <c r="SL1112" s="31"/>
      <c r="SM1112" s="31"/>
      <c r="SN1112" s="31"/>
      <c r="SO1112" s="31"/>
      <c r="SP1112" s="31"/>
      <c r="SQ1112" s="31"/>
      <c r="SR1112" s="31"/>
      <c r="SS1112" s="31"/>
      <c r="ST1112" s="31"/>
      <c r="SU1112" s="31"/>
      <c r="SV1112" s="31"/>
      <c r="SW1112" s="31"/>
      <c r="SX1112" s="31"/>
      <c r="SY1112" s="31"/>
      <c r="SZ1112" s="31"/>
      <c r="TA1112" s="31"/>
      <c r="TB1112" s="31"/>
      <c r="TC1112" s="31"/>
      <c r="TD1112" s="31"/>
      <c r="TE1112" s="31"/>
      <c r="TF1112" s="31"/>
      <c r="TG1112" s="31"/>
      <c r="TH1112" s="31"/>
      <c r="TI1112" s="31"/>
      <c r="TJ1112" s="31"/>
      <c r="TK1112" s="31"/>
      <c r="TL1112" s="31"/>
      <c r="TM1112" s="31"/>
      <c r="TN1112" s="31"/>
      <c r="TO1112" s="31"/>
      <c r="TP1112" s="31"/>
      <c r="TQ1112" s="31"/>
      <c r="TR1112" s="31"/>
      <c r="TS1112" s="31"/>
      <c r="TT1112" s="31"/>
      <c r="TU1112" s="31"/>
      <c r="TV1112" s="31"/>
      <c r="TW1112" s="31"/>
      <c r="TX1112" s="31"/>
      <c r="TY1112" s="31"/>
      <c r="TZ1112" s="31"/>
      <c r="UA1112" s="31"/>
      <c r="UB1112" s="31"/>
      <c r="UC1112" s="31"/>
      <c r="UD1112" s="31"/>
      <c r="UE1112" s="31"/>
      <c r="UF1112" s="31"/>
      <c r="UG1112" s="33"/>
    </row>
    <row r="1113" spans="1:553" ht="31.5" customHeight="1">
      <c r="A1113" s="356"/>
      <c r="B1113" s="385">
        <v>7</v>
      </c>
      <c r="C1113" s="1403" t="s">
        <v>643</v>
      </c>
      <c r="D1113" s="1389"/>
      <c r="E1113" s="1389"/>
      <c r="F1113" s="1390"/>
      <c r="G1113" s="386" t="s">
        <v>33</v>
      </c>
      <c r="H1113" s="370"/>
      <c r="I1113" s="422">
        <f>(5.5*0.52*4)+(0.42*7.2)</f>
        <v>14.464000000000002</v>
      </c>
      <c r="J1113" s="477">
        <v>39000</v>
      </c>
      <c r="K1113" s="388"/>
      <c r="L1113" s="391">
        <f t="shared" si="167"/>
        <v>564096.00000000012</v>
      </c>
      <c r="M1113" s="395"/>
      <c r="N1113" s="395"/>
      <c r="O1113" s="366"/>
      <c r="P1113" s="396"/>
      <c r="Q1113" s="473"/>
      <c r="R1113" s="1039"/>
      <c r="S1113" s="308"/>
      <c r="T1113" s="308"/>
      <c r="U1113" s="308"/>
      <c r="V1113" s="308"/>
      <c r="W1113" s="308"/>
      <c r="X1113" s="308"/>
      <c r="Y1113" s="308"/>
      <c r="Z1113" s="604"/>
      <c r="AA1113" s="308"/>
      <c r="AB1113" s="308"/>
      <c r="AC1113" s="449"/>
      <c r="AD1113" s="449"/>
      <c r="AE1113" s="449"/>
      <c r="AF1113" s="449"/>
      <c r="AG1113" s="452"/>
      <c r="AH1113" s="452"/>
      <c r="AI1113" s="452"/>
      <c r="AJ1113" s="452"/>
      <c r="AK1113" s="452"/>
      <c r="AL1113" s="104"/>
      <c r="AM1113" s="32"/>
      <c r="AN1113" s="32"/>
      <c r="AO1113" s="32"/>
      <c r="AP1113" s="32"/>
      <c r="AQ1113" s="31"/>
      <c r="AR1113" s="31"/>
      <c r="AS1113" s="31"/>
      <c r="AT1113" s="31"/>
      <c r="AU1113" s="31"/>
      <c r="AV1113" s="31"/>
      <c r="AW1113" s="31"/>
      <c r="AX1113" s="31"/>
      <c r="AY1113" s="31"/>
      <c r="AZ1113" s="31"/>
      <c r="BA1113" s="31"/>
      <c r="BB1113" s="31"/>
      <c r="BC1113" s="31"/>
      <c r="BD1113" s="31"/>
      <c r="BE1113" s="31"/>
      <c r="BF1113" s="31"/>
      <c r="BG1113" s="31"/>
      <c r="BH1113" s="31"/>
      <c r="BI1113" s="31"/>
      <c r="BJ1113" s="31"/>
      <c r="BK1113" s="31"/>
      <c r="BL1113" s="31"/>
      <c r="BM1113" s="31"/>
      <c r="BN1113" s="31"/>
      <c r="BO1113" s="31"/>
      <c r="BP1113" s="31"/>
      <c r="BQ1113" s="31"/>
      <c r="BR1113" s="31"/>
      <c r="BS1113" s="31"/>
      <c r="BT1113" s="31"/>
      <c r="BU1113" s="31"/>
      <c r="BV1113" s="31"/>
      <c r="BW1113" s="31"/>
      <c r="BX1113" s="31"/>
      <c r="BY1113" s="31"/>
      <c r="BZ1113" s="31"/>
      <c r="CA1113" s="31"/>
      <c r="CB1113" s="31"/>
      <c r="CC1113" s="31"/>
      <c r="CD1113" s="31"/>
      <c r="CE1113" s="31"/>
      <c r="CF1113" s="31"/>
      <c r="CG1113" s="31"/>
      <c r="CH1113" s="31"/>
      <c r="CI1113" s="31"/>
      <c r="CJ1113" s="31"/>
      <c r="CK1113" s="31"/>
      <c r="CL1113" s="31"/>
      <c r="CM1113" s="31"/>
      <c r="CN1113" s="31"/>
      <c r="CO1113" s="31"/>
      <c r="CP1113" s="31"/>
      <c r="CQ1113" s="31"/>
      <c r="CR1113" s="31"/>
      <c r="CS1113" s="31"/>
      <c r="CT1113" s="31"/>
      <c r="CU1113" s="31"/>
      <c r="CV1113" s="31"/>
      <c r="CW1113" s="31"/>
      <c r="CX1113" s="31"/>
      <c r="CY1113" s="31"/>
      <c r="CZ1113" s="31"/>
      <c r="DA1113" s="31"/>
      <c r="DB1113" s="31"/>
      <c r="DC1113" s="31"/>
      <c r="DD1113" s="31"/>
      <c r="DE1113" s="31"/>
      <c r="DF1113" s="31"/>
      <c r="DG1113" s="31"/>
      <c r="DH1113" s="31"/>
      <c r="DI1113" s="31"/>
      <c r="DJ1113" s="31"/>
      <c r="DK1113" s="31"/>
      <c r="DL1113" s="31"/>
      <c r="DM1113" s="31"/>
      <c r="DN1113" s="31"/>
      <c r="DO1113" s="31"/>
      <c r="DP1113" s="31"/>
      <c r="DQ1113" s="31"/>
      <c r="DR1113" s="31"/>
      <c r="DS1113" s="31"/>
      <c r="DT1113" s="31"/>
      <c r="DU1113" s="31"/>
      <c r="DV1113" s="31"/>
      <c r="DW1113" s="31"/>
      <c r="DX1113" s="31"/>
      <c r="DY1113" s="31"/>
      <c r="DZ1113" s="31"/>
      <c r="EA1113" s="31"/>
      <c r="EB1113" s="31"/>
      <c r="EC1113" s="31"/>
      <c r="ED1113" s="31"/>
      <c r="EE1113" s="31"/>
      <c r="EF1113" s="31"/>
      <c r="EG1113" s="31"/>
      <c r="EH1113" s="31"/>
      <c r="EI1113" s="31"/>
      <c r="EJ1113" s="31"/>
      <c r="EK1113" s="31"/>
      <c r="EL1113" s="31"/>
      <c r="EM1113" s="31"/>
      <c r="EN1113" s="31"/>
      <c r="EO1113" s="31"/>
      <c r="EP1113" s="31"/>
      <c r="EQ1113" s="31"/>
      <c r="ER1113" s="31"/>
      <c r="ES1113" s="31"/>
      <c r="ET1113" s="31"/>
      <c r="EU1113" s="31"/>
      <c r="EV1113" s="31"/>
      <c r="EW1113" s="31"/>
      <c r="EX1113" s="31"/>
      <c r="EY1113" s="31"/>
      <c r="EZ1113" s="31"/>
      <c r="FA1113" s="31"/>
      <c r="FB1113" s="31"/>
      <c r="FC1113" s="31"/>
      <c r="FD1113" s="31"/>
      <c r="FE1113" s="31"/>
      <c r="FF1113" s="31"/>
      <c r="FG1113" s="31"/>
      <c r="FH1113" s="31"/>
      <c r="FI1113" s="31"/>
      <c r="FJ1113" s="31"/>
      <c r="FK1113" s="31"/>
      <c r="FL1113" s="31"/>
      <c r="FM1113" s="31"/>
      <c r="FN1113" s="31"/>
      <c r="FO1113" s="31"/>
      <c r="FP1113" s="31"/>
      <c r="FQ1113" s="31"/>
      <c r="FR1113" s="31"/>
      <c r="FS1113" s="31"/>
      <c r="FT1113" s="31"/>
      <c r="FU1113" s="31"/>
      <c r="FV1113" s="31"/>
      <c r="FW1113" s="31"/>
      <c r="FX1113" s="31"/>
      <c r="FY1113" s="31"/>
      <c r="FZ1113" s="31"/>
      <c r="GA1113" s="31"/>
      <c r="GB1113" s="31"/>
      <c r="GC1113" s="31"/>
      <c r="GD1113" s="31"/>
      <c r="GE1113" s="31"/>
      <c r="GF1113" s="31"/>
      <c r="GG1113" s="31"/>
      <c r="GH1113" s="31"/>
      <c r="GI1113" s="31"/>
      <c r="GJ1113" s="31"/>
      <c r="GK1113" s="31"/>
      <c r="GL1113" s="31"/>
      <c r="GM1113" s="31"/>
      <c r="GN1113" s="31"/>
      <c r="GO1113" s="31"/>
      <c r="GP1113" s="31"/>
      <c r="GQ1113" s="31"/>
      <c r="GR1113" s="31"/>
      <c r="GS1113" s="31"/>
      <c r="GT1113" s="31"/>
      <c r="GU1113" s="31"/>
      <c r="GV1113" s="31"/>
      <c r="GW1113" s="31"/>
      <c r="GX1113" s="31"/>
      <c r="GY1113" s="31"/>
      <c r="GZ1113" s="31"/>
      <c r="HA1113" s="31"/>
      <c r="HB1113" s="31"/>
      <c r="HC1113" s="31"/>
      <c r="HD1113" s="31"/>
      <c r="HE1113" s="31"/>
      <c r="HF1113" s="31"/>
      <c r="HG1113" s="31"/>
      <c r="HH1113" s="31"/>
      <c r="HI1113" s="31"/>
      <c r="HJ1113" s="31"/>
      <c r="HK1113" s="31"/>
      <c r="HL1113" s="31"/>
      <c r="HM1113" s="31"/>
      <c r="HN1113" s="31"/>
      <c r="HO1113" s="31"/>
      <c r="HP1113" s="31"/>
      <c r="HQ1113" s="31"/>
      <c r="HR1113" s="31"/>
      <c r="HS1113" s="31"/>
      <c r="HT1113" s="31"/>
      <c r="HU1113" s="31"/>
      <c r="HV1113" s="31"/>
      <c r="HW1113" s="31"/>
      <c r="HX1113" s="31"/>
      <c r="HY1113" s="31"/>
      <c r="HZ1113" s="31"/>
      <c r="IA1113" s="31"/>
      <c r="IB1113" s="31"/>
      <c r="IC1113" s="31"/>
      <c r="ID1113" s="31"/>
      <c r="IE1113" s="31"/>
      <c r="IF1113" s="31"/>
      <c r="IG1113" s="31"/>
      <c r="IH1113" s="31"/>
      <c r="II1113" s="31"/>
      <c r="IJ1113" s="31"/>
      <c r="IK1113" s="31"/>
      <c r="IL1113" s="31"/>
      <c r="IM1113" s="31"/>
      <c r="IN1113" s="31"/>
      <c r="IO1113" s="31"/>
      <c r="IP1113" s="31"/>
      <c r="IQ1113" s="31"/>
      <c r="IR1113" s="31"/>
      <c r="IS1113" s="31"/>
      <c r="IT1113" s="31"/>
      <c r="IU1113" s="31"/>
      <c r="IV1113" s="31"/>
      <c r="IW1113" s="31"/>
      <c r="IX1113" s="31"/>
      <c r="IY1113" s="31"/>
      <c r="IZ1113" s="31"/>
      <c r="JA1113" s="31"/>
      <c r="JB1113" s="31"/>
      <c r="JC1113" s="31"/>
      <c r="JD1113" s="31"/>
      <c r="JE1113" s="31"/>
      <c r="JF1113" s="31"/>
      <c r="JG1113" s="31"/>
      <c r="JH1113" s="31"/>
      <c r="JI1113" s="31"/>
      <c r="JJ1113" s="31"/>
      <c r="JK1113" s="31"/>
      <c r="JL1113" s="31"/>
      <c r="JM1113" s="31"/>
      <c r="JN1113" s="31"/>
      <c r="JO1113" s="31"/>
      <c r="JP1113" s="31"/>
      <c r="JQ1113" s="31"/>
      <c r="JR1113" s="31"/>
      <c r="JS1113" s="31"/>
      <c r="JT1113" s="31"/>
      <c r="JU1113" s="31"/>
      <c r="JV1113" s="31"/>
      <c r="JW1113" s="31"/>
      <c r="JX1113" s="31"/>
      <c r="JY1113" s="31"/>
      <c r="JZ1113" s="31"/>
      <c r="KA1113" s="31"/>
      <c r="KB1113" s="31"/>
      <c r="KC1113" s="31"/>
      <c r="KD1113" s="31"/>
      <c r="KE1113" s="31"/>
      <c r="KF1113" s="31"/>
      <c r="KG1113" s="31"/>
      <c r="KH1113" s="31"/>
      <c r="KI1113" s="31"/>
      <c r="KJ1113" s="31"/>
      <c r="KK1113" s="31"/>
      <c r="KL1113" s="31"/>
      <c r="KM1113" s="31"/>
      <c r="KN1113" s="31"/>
      <c r="KO1113" s="31"/>
      <c r="KP1113" s="31"/>
      <c r="KQ1113" s="31"/>
      <c r="KR1113" s="31"/>
      <c r="KS1113" s="31"/>
      <c r="KT1113" s="31"/>
      <c r="KU1113" s="31"/>
      <c r="KV1113" s="31"/>
      <c r="KW1113" s="31"/>
      <c r="KX1113" s="31"/>
      <c r="KY1113" s="31"/>
      <c r="KZ1113" s="31"/>
      <c r="LA1113" s="31"/>
      <c r="LB1113" s="31"/>
      <c r="LC1113" s="31"/>
      <c r="LD1113" s="31"/>
      <c r="LE1113" s="31"/>
      <c r="LF1113" s="31"/>
      <c r="LG1113" s="31"/>
      <c r="LH1113" s="31"/>
      <c r="LI1113" s="31"/>
      <c r="LJ1113" s="31"/>
      <c r="LK1113" s="31"/>
      <c r="LL1113" s="31"/>
      <c r="LM1113" s="31"/>
      <c r="LN1113" s="31"/>
      <c r="LO1113" s="31"/>
      <c r="LP1113" s="31"/>
      <c r="LQ1113" s="31"/>
      <c r="LR1113" s="31"/>
      <c r="LS1113" s="31"/>
      <c r="LT1113" s="31"/>
      <c r="LU1113" s="31"/>
      <c r="LV1113" s="31"/>
      <c r="LW1113" s="31"/>
      <c r="LX1113" s="31"/>
      <c r="LY1113" s="31"/>
      <c r="LZ1113" s="31"/>
      <c r="MA1113" s="31"/>
      <c r="MB1113" s="31"/>
      <c r="MC1113" s="31"/>
      <c r="MD1113" s="31"/>
      <c r="ME1113" s="31"/>
      <c r="MF1113" s="31"/>
      <c r="MG1113" s="31"/>
      <c r="MH1113" s="31"/>
      <c r="MI1113" s="31"/>
      <c r="MJ1113" s="31"/>
      <c r="MK1113" s="31"/>
      <c r="ML1113" s="31"/>
      <c r="MM1113" s="31"/>
      <c r="MN1113" s="31"/>
      <c r="MO1113" s="31"/>
      <c r="MP1113" s="31"/>
      <c r="MQ1113" s="31"/>
      <c r="MR1113" s="31"/>
      <c r="MS1113" s="31"/>
      <c r="MT1113" s="31"/>
      <c r="MU1113" s="31"/>
      <c r="MV1113" s="31"/>
      <c r="MW1113" s="31"/>
      <c r="MX1113" s="31"/>
      <c r="MY1113" s="31"/>
      <c r="MZ1113" s="31"/>
      <c r="NA1113" s="31"/>
      <c r="NB1113" s="31"/>
      <c r="NC1113" s="31"/>
      <c r="ND1113" s="31"/>
      <c r="NE1113" s="31"/>
      <c r="NF1113" s="31"/>
      <c r="NG1113" s="31"/>
      <c r="NH1113" s="31"/>
      <c r="NI1113" s="31"/>
      <c r="NJ1113" s="31"/>
      <c r="NK1113" s="31"/>
      <c r="NL1113" s="31"/>
      <c r="NM1113" s="31"/>
      <c r="NN1113" s="31"/>
      <c r="NO1113" s="31"/>
      <c r="NP1113" s="31"/>
      <c r="NQ1113" s="31"/>
      <c r="NR1113" s="31"/>
      <c r="NS1113" s="31"/>
      <c r="NT1113" s="31"/>
      <c r="NU1113" s="31"/>
      <c r="NV1113" s="31"/>
      <c r="NW1113" s="31"/>
      <c r="NX1113" s="31"/>
      <c r="NY1113" s="31"/>
      <c r="NZ1113" s="31"/>
      <c r="OA1113" s="31"/>
      <c r="OB1113" s="31"/>
      <c r="OC1113" s="31"/>
      <c r="OD1113" s="31"/>
      <c r="OE1113" s="31"/>
      <c r="OF1113" s="31"/>
      <c r="OG1113" s="31"/>
      <c r="OH1113" s="31"/>
      <c r="OI1113" s="31"/>
      <c r="OJ1113" s="31"/>
      <c r="OK1113" s="31"/>
      <c r="OL1113" s="31"/>
      <c r="OM1113" s="31"/>
      <c r="ON1113" s="31"/>
      <c r="OO1113" s="31"/>
      <c r="OP1113" s="31"/>
      <c r="OQ1113" s="31"/>
      <c r="OR1113" s="31"/>
      <c r="OS1113" s="31"/>
      <c r="OT1113" s="31"/>
      <c r="OU1113" s="31"/>
      <c r="OV1113" s="31"/>
      <c r="OW1113" s="31"/>
      <c r="OX1113" s="31"/>
      <c r="OY1113" s="31"/>
      <c r="OZ1113" s="31"/>
      <c r="PA1113" s="31"/>
      <c r="PB1113" s="31"/>
      <c r="PC1113" s="31"/>
      <c r="PD1113" s="31"/>
      <c r="PE1113" s="31"/>
      <c r="PF1113" s="31"/>
      <c r="PG1113" s="31"/>
      <c r="PH1113" s="31"/>
      <c r="PI1113" s="31"/>
      <c r="PJ1113" s="31"/>
      <c r="PK1113" s="31"/>
      <c r="PL1113" s="31"/>
      <c r="PM1113" s="31"/>
      <c r="PN1113" s="31"/>
      <c r="PO1113" s="31"/>
      <c r="PP1113" s="31"/>
      <c r="PQ1113" s="31"/>
      <c r="PR1113" s="31"/>
      <c r="PS1113" s="31"/>
      <c r="PT1113" s="31"/>
      <c r="PU1113" s="31"/>
      <c r="PV1113" s="31"/>
      <c r="PW1113" s="31"/>
      <c r="PX1113" s="31"/>
      <c r="PY1113" s="31"/>
      <c r="PZ1113" s="31"/>
      <c r="QA1113" s="31"/>
      <c r="QB1113" s="31"/>
      <c r="QC1113" s="31"/>
      <c r="QD1113" s="31"/>
      <c r="QE1113" s="31"/>
      <c r="QF1113" s="31"/>
      <c r="QG1113" s="31"/>
      <c r="QH1113" s="31"/>
      <c r="QI1113" s="31"/>
      <c r="QJ1113" s="31"/>
      <c r="QK1113" s="31"/>
      <c r="QL1113" s="31"/>
      <c r="QM1113" s="31"/>
      <c r="QN1113" s="31"/>
      <c r="QO1113" s="31"/>
      <c r="QP1113" s="31"/>
      <c r="QQ1113" s="31"/>
      <c r="QR1113" s="31"/>
      <c r="QS1113" s="31"/>
      <c r="QT1113" s="31"/>
      <c r="QU1113" s="31"/>
      <c r="QV1113" s="31"/>
      <c r="QW1113" s="31"/>
      <c r="QX1113" s="31"/>
      <c r="QY1113" s="31"/>
      <c r="QZ1113" s="31"/>
      <c r="RA1113" s="31"/>
      <c r="RB1113" s="31"/>
      <c r="RC1113" s="31"/>
      <c r="RD1113" s="31"/>
      <c r="RE1113" s="31"/>
      <c r="RF1113" s="31"/>
      <c r="RG1113" s="31"/>
      <c r="RH1113" s="31"/>
      <c r="RI1113" s="31"/>
      <c r="RJ1113" s="31"/>
      <c r="RK1113" s="31"/>
      <c r="RL1113" s="31"/>
      <c r="RM1113" s="31"/>
      <c r="RN1113" s="31"/>
      <c r="RO1113" s="31"/>
      <c r="RP1113" s="31"/>
      <c r="RQ1113" s="31"/>
      <c r="RR1113" s="31"/>
      <c r="RS1113" s="31"/>
      <c r="RT1113" s="31"/>
      <c r="RU1113" s="31"/>
      <c r="RV1113" s="31"/>
      <c r="RW1113" s="31"/>
      <c r="RX1113" s="31"/>
      <c r="RY1113" s="31"/>
      <c r="RZ1113" s="31"/>
      <c r="SA1113" s="31"/>
      <c r="SB1113" s="31"/>
      <c r="SC1113" s="31"/>
      <c r="SD1113" s="31"/>
      <c r="SE1113" s="31"/>
      <c r="SF1113" s="31"/>
      <c r="SG1113" s="31"/>
      <c r="SH1113" s="31"/>
      <c r="SI1113" s="31"/>
      <c r="SJ1113" s="31"/>
      <c r="SK1113" s="31"/>
      <c r="SL1113" s="31"/>
      <c r="SM1113" s="31"/>
      <c r="SN1113" s="31"/>
      <c r="SO1113" s="31"/>
      <c r="SP1113" s="31"/>
      <c r="SQ1113" s="31"/>
      <c r="SR1113" s="31"/>
      <c r="SS1113" s="31"/>
      <c r="ST1113" s="31"/>
      <c r="SU1113" s="31"/>
      <c r="SV1113" s="31"/>
      <c r="SW1113" s="31"/>
      <c r="SX1113" s="31"/>
      <c r="SY1113" s="31"/>
      <c r="SZ1113" s="31"/>
      <c r="TA1113" s="31"/>
      <c r="TB1113" s="31"/>
      <c r="TC1113" s="31"/>
      <c r="TD1113" s="31"/>
      <c r="TE1113" s="31"/>
      <c r="TF1113" s="31"/>
      <c r="TG1113" s="31"/>
      <c r="TH1113" s="31"/>
      <c r="TI1113" s="31"/>
      <c r="TJ1113" s="31"/>
      <c r="TK1113" s="31"/>
      <c r="TL1113" s="31"/>
      <c r="TM1113" s="31"/>
      <c r="TN1113" s="31"/>
      <c r="TO1113" s="31"/>
      <c r="TP1113" s="31"/>
      <c r="TQ1113" s="31"/>
      <c r="TR1113" s="31"/>
      <c r="TS1113" s="31"/>
      <c r="TT1113" s="31"/>
      <c r="TU1113" s="31"/>
      <c r="TV1113" s="31"/>
      <c r="TW1113" s="31"/>
      <c r="TX1113" s="31"/>
      <c r="TY1113" s="31"/>
      <c r="TZ1113" s="31"/>
      <c r="UA1113" s="31"/>
      <c r="UB1113" s="31"/>
      <c r="UC1113" s="31"/>
      <c r="UD1113" s="31"/>
      <c r="UE1113" s="31"/>
      <c r="UF1113" s="31"/>
      <c r="UG1113" s="33"/>
    </row>
    <row r="1114" spans="1:553" ht="31.5" customHeight="1">
      <c r="A1114" s="356"/>
      <c r="B1114" s="385">
        <v>7</v>
      </c>
      <c r="C1114" s="1403" t="s">
        <v>644</v>
      </c>
      <c r="D1114" s="1389"/>
      <c r="E1114" s="1389"/>
      <c r="F1114" s="1390"/>
      <c r="G1114" s="386" t="s">
        <v>33</v>
      </c>
      <c r="H1114" s="370"/>
      <c r="I1114" s="422">
        <f>(3*0.64*4)+(0.42*1.5*4)</f>
        <v>10.199999999999999</v>
      </c>
      <c r="J1114" s="477">
        <v>39000</v>
      </c>
      <c r="K1114" s="388"/>
      <c r="L1114" s="391">
        <f t="shared" si="167"/>
        <v>397800</v>
      </c>
      <c r="M1114" s="395"/>
      <c r="N1114" s="395"/>
      <c r="O1114" s="366"/>
      <c r="P1114" s="396"/>
      <c r="Q1114" s="473"/>
      <c r="R1114" s="1039"/>
      <c r="S1114" s="308"/>
      <c r="T1114" s="308"/>
      <c r="U1114" s="308"/>
      <c r="V1114" s="308"/>
      <c r="W1114" s="308"/>
      <c r="X1114" s="308"/>
      <c r="Y1114" s="308"/>
      <c r="Z1114" s="604"/>
      <c r="AA1114" s="308"/>
      <c r="AB1114" s="308"/>
      <c r="AC1114" s="449"/>
      <c r="AD1114" s="449"/>
      <c r="AE1114" s="449"/>
      <c r="AF1114" s="449"/>
      <c r="AG1114" s="452"/>
      <c r="AH1114" s="452"/>
      <c r="AI1114" s="452"/>
      <c r="AJ1114" s="452"/>
      <c r="AK1114" s="452"/>
      <c r="AL1114" s="104"/>
      <c r="AM1114" s="32"/>
      <c r="AN1114" s="32"/>
      <c r="AO1114" s="32"/>
      <c r="AP1114" s="32"/>
      <c r="AQ1114" s="31"/>
      <c r="AR1114" s="31"/>
      <c r="AS1114" s="31"/>
      <c r="AT1114" s="31"/>
      <c r="AU1114" s="31"/>
      <c r="AV1114" s="31"/>
      <c r="AW1114" s="31"/>
      <c r="AX1114" s="31"/>
      <c r="AY1114" s="31"/>
      <c r="AZ1114" s="31"/>
      <c r="BA1114" s="31"/>
      <c r="BB1114" s="31"/>
      <c r="BC1114" s="31"/>
      <c r="BD1114" s="31"/>
      <c r="BE1114" s="31"/>
      <c r="BF1114" s="31"/>
      <c r="BG1114" s="31"/>
      <c r="BH1114" s="31"/>
      <c r="BI1114" s="31"/>
      <c r="BJ1114" s="31"/>
      <c r="BK1114" s="31"/>
      <c r="BL1114" s="31"/>
      <c r="BM1114" s="31"/>
      <c r="BN1114" s="31"/>
      <c r="BO1114" s="31"/>
      <c r="BP1114" s="31"/>
      <c r="BQ1114" s="31"/>
      <c r="BR1114" s="31"/>
      <c r="BS1114" s="31"/>
      <c r="BT1114" s="31"/>
      <c r="BU1114" s="31"/>
      <c r="BV1114" s="31"/>
      <c r="BW1114" s="31"/>
      <c r="BX1114" s="31"/>
      <c r="BY1114" s="31"/>
      <c r="BZ1114" s="31"/>
      <c r="CA1114" s="31"/>
      <c r="CB1114" s="31"/>
      <c r="CC1114" s="31"/>
      <c r="CD1114" s="31"/>
      <c r="CE1114" s="31"/>
      <c r="CF1114" s="31"/>
      <c r="CG1114" s="31"/>
      <c r="CH1114" s="31"/>
      <c r="CI1114" s="31"/>
      <c r="CJ1114" s="31"/>
      <c r="CK1114" s="31"/>
      <c r="CL1114" s="31"/>
      <c r="CM1114" s="31"/>
      <c r="CN1114" s="31"/>
      <c r="CO1114" s="31"/>
      <c r="CP1114" s="31"/>
      <c r="CQ1114" s="31"/>
      <c r="CR1114" s="31"/>
      <c r="CS1114" s="31"/>
      <c r="CT1114" s="31"/>
      <c r="CU1114" s="31"/>
      <c r="CV1114" s="31"/>
      <c r="CW1114" s="31"/>
      <c r="CX1114" s="31"/>
      <c r="CY1114" s="31"/>
      <c r="CZ1114" s="31"/>
      <c r="DA1114" s="31"/>
      <c r="DB1114" s="31"/>
      <c r="DC1114" s="31"/>
      <c r="DD1114" s="31"/>
      <c r="DE1114" s="31"/>
      <c r="DF1114" s="31"/>
      <c r="DG1114" s="31"/>
      <c r="DH1114" s="31"/>
      <c r="DI1114" s="31"/>
      <c r="DJ1114" s="31"/>
      <c r="DK1114" s="31"/>
      <c r="DL1114" s="31"/>
      <c r="DM1114" s="31"/>
      <c r="DN1114" s="31"/>
      <c r="DO1114" s="31"/>
      <c r="DP1114" s="31"/>
      <c r="DQ1114" s="31"/>
      <c r="DR1114" s="31"/>
      <c r="DS1114" s="31"/>
      <c r="DT1114" s="31"/>
      <c r="DU1114" s="31"/>
      <c r="DV1114" s="31"/>
      <c r="DW1114" s="31"/>
      <c r="DX1114" s="31"/>
      <c r="DY1114" s="31"/>
      <c r="DZ1114" s="31"/>
      <c r="EA1114" s="31"/>
      <c r="EB1114" s="31"/>
      <c r="EC1114" s="31"/>
      <c r="ED1114" s="31"/>
      <c r="EE1114" s="31"/>
      <c r="EF1114" s="31"/>
      <c r="EG1114" s="31"/>
      <c r="EH1114" s="31"/>
      <c r="EI1114" s="31"/>
      <c r="EJ1114" s="31"/>
      <c r="EK1114" s="31"/>
      <c r="EL1114" s="31"/>
      <c r="EM1114" s="31"/>
      <c r="EN1114" s="31"/>
      <c r="EO1114" s="31"/>
      <c r="EP1114" s="31"/>
      <c r="EQ1114" s="31"/>
      <c r="ER1114" s="31"/>
      <c r="ES1114" s="31"/>
      <c r="ET1114" s="31"/>
      <c r="EU1114" s="31"/>
      <c r="EV1114" s="31"/>
      <c r="EW1114" s="31"/>
      <c r="EX1114" s="31"/>
      <c r="EY1114" s="31"/>
      <c r="EZ1114" s="31"/>
      <c r="FA1114" s="31"/>
      <c r="FB1114" s="31"/>
      <c r="FC1114" s="31"/>
      <c r="FD1114" s="31"/>
      <c r="FE1114" s="31"/>
      <c r="FF1114" s="31"/>
      <c r="FG1114" s="31"/>
      <c r="FH1114" s="31"/>
      <c r="FI1114" s="31"/>
      <c r="FJ1114" s="31"/>
      <c r="FK1114" s="31"/>
      <c r="FL1114" s="31"/>
      <c r="FM1114" s="31"/>
      <c r="FN1114" s="31"/>
      <c r="FO1114" s="31"/>
      <c r="FP1114" s="31"/>
      <c r="FQ1114" s="31"/>
      <c r="FR1114" s="31"/>
      <c r="FS1114" s="31"/>
      <c r="FT1114" s="31"/>
      <c r="FU1114" s="31"/>
      <c r="FV1114" s="31"/>
      <c r="FW1114" s="31"/>
      <c r="FX1114" s="31"/>
      <c r="FY1114" s="31"/>
      <c r="FZ1114" s="31"/>
      <c r="GA1114" s="31"/>
      <c r="GB1114" s="31"/>
      <c r="GC1114" s="31"/>
      <c r="GD1114" s="31"/>
      <c r="GE1114" s="31"/>
      <c r="GF1114" s="31"/>
      <c r="GG1114" s="31"/>
      <c r="GH1114" s="31"/>
      <c r="GI1114" s="31"/>
      <c r="GJ1114" s="31"/>
      <c r="GK1114" s="31"/>
      <c r="GL1114" s="31"/>
      <c r="GM1114" s="31"/>
      <c r="GN1114" s="31"/>
      <c r="GO1114" s="31"/>
      <c r="GP1114" s="31"/>
      <c r="GQ1114" s="31"/>
      <c r="GR1114" s="31"/>
      <c r="GS1114" s="31"/>
      <c r="GT1114" s="31"/>
      <c r="GU1114" s="31"/>
      <c r="GV1114" s="31"/>
      <c r="GW1114" s="31"/>
      <c r="GX1114" s="31"/>
      <c r="GY1114" s="31"/>
      <c r="GZ1114" s="31"/>
      <c r="HA1114" s="31"/>
      <c r="HB1114" s="31"/>
      <c r="HC1114" s="31"/>
      <c r="HD1114" s="31"/>
      <c r="HE1114" s="31"/>
      <c r="HF1114" s="31"/>
      <c r="HG1114" s="31"/>
      <c r="HH1114" s="31"/>
      <c r="HI1114" s="31"/>
      <c r="HJ1114" s="31"/>
      <c r="HK1114" s="31"/>
      <c r="HL1114" s="31"/>
      <c r="HM1114" s="31"/>
      <c r="HN1114" s="31"/>
      <c r="HO1114" s="31"/>
      <c r="HP1114" s="31"/>
      <c r="HQ1114" s="31"/>
      <c r="HR1114" s="31"/>
      <c r="HS1114" s="31"/>
      <c r="HT1114" s="31"/>
      <c r="HU1114" s="31"/>
      <c r="HV1114" s="31"/>
      <c r="HW1114" s="31"/>
      <c r="HX1114" s="31"/>
      <c r="HY1114" s="31"/>
      <c r="HZ1114" s="31"/>
      <c r="IA1114" s="31"/>
      <c r="IB1114" s="31"/>
      <c r="IC1114" s="31"/>
      <c r="ID1114" s="31"/>
      <c r="IE1114" s="31"/>
      <c r="IF1114" s="31"/>
      <c r="IG1114" s="31"/>
      <c r="IH1114" s="31"/>
      <c r="II1114" s="31"/>
      <c r="IJ1114" s="31"/>
      <c r="IK1114" s="31"/>
      <c r="IL1114" s="31"/>
      <c r="IM1114" s="31"/>
      <c r="IN1114" s="31"/>
      <c r="IO1114" s="31"/>
      <c r="IP1114" s="31"/>
      <c r="IQ1114" s="31"/>
      <c r="IR1114" s="31"/>
      <c r="IS1114" s="31"/>
      <c r="IT1114" s="31"/>
      <c r="IU1114" s="31"/>
      <c r="IV1114" s="31"/>
      <c r="IW1114" s="31"/>
      <c r="IX1114" s="31"/>
      <c r="IY1114" s="31"/>
      <c r="IZ1114" s="31"/>
      <c r="JA1114" s="31"/>
      <c r="JB1114" s="31"/>
      <c r="JC1114" s="31"/>
      <c r="JD1114" s="31"/>
      <c r="JE1114" s="31"/>
      <c r="JF1114" s="31"/>
      <c r="JG1114" s="31"/>
      <c r="JH1114" s="31"/>
      <c r="JI1114" s="31"/>
      <c r="JJ1114" s="31"/>
      <c r="JK1114" s="31"/>
      <c r="JL1114" s="31"/>
      <c r="JM1114" s="31"/>
      <c r="JN1114" s="31"/>
      <c r="JO1114" s="31"/>
      <c r="JP1114" s="31"/>
      <c r="JQ1114" s="31"/>
      <c r="JR1114" s="31"/>
      <c r="JS1114" s="31"/>
      <c r="JT1114" s="31"/>
      <c r="JU1114" s="31"/>
      <c r="JV1114" s="31"/>
      <c r="JW1114" s="31"/>
      <c r="JX1114" s="31"/>
      <c r="JY1114" s="31"/>
      <c r="JZ1114" s="31"/>
      <c r="KA1114" s="31"/>
      <c r="KB1114" s="31"/>
      <c r="KC1114" s="31"/>
      <c r="KD1114" s="31"/>
      <c r="KE1114" s="31"/>
      <c r="KF1114" s="31"/>
      <c r="KG1114" s="31"/>
      <c r="KH1114" s="31"/>
      <c r="KI1114" s="31"/>
      <c r="KJ1114" s="31"/>
      <c r="KK1114" s="31"/>
      <c r="KL1114" s="31"/>
      <c r="KM1114" s="31"/>
      <c r="KN1114" s="31"/>
      <c r="KO1114" s="31"/>
      <c r="KP1114" s="31"/>
      <c r="KQ1114" s="31"/>
      <c r="KR1114" s="31"/>
      <c r="KS1114" s="31"/>
      <c r="KT1114" s="31"/>
      <c r="KU1114" s="31"/>
      <c r="KV1114" s="31"/>
      <c r="KW1114" s="31"/>
      <c r="KX1114" s="31"/>
      <c r="KY1114" s="31"/>
      <c r="KZ1114" s="31"/>
      <c r="LA1114" s="31"/>
      <c r="LB1114" s="31"/>
      <c r="LC1114" s="31"/>
      <c r="LD1114" s="31"/>
      <c r="LE1114" s="31"/>
      <c r="LF1114" s="31"/>
      <c r="LG1114" s="31"/>
      <c r="LH1114" s="31"/>
      <c r="LI1114" s="31"/>
      <c r="LJ1114" s="31"/>
      <c r="LK1114" s="31"/>
      <c r="LL1114" s="31"/>
      <c r="LM1114" s="31"/>
      <c r="LN1114" s="31"/>
      <c r="LO1114" s="31"/>
      <c r="LP1114" s="31"/>
      <c r="LQ1114" s="31"/>
      <c r="LR1114" s="31"/>
      <c r="LS1114" s="31"/>
      <c r="LT1114" s="31"/>
      <c r="LU1114" s="31"/>
      <c r="LV1114" s="31"/>
      <c r="LW1114" s="31"/>
      <c r="LX1114" s="31"/>
      <c r="LY1114" s="31"/>
      <c r="LZ1114" s="31"/>
      <c r="MA1114" s="31"/>
      <c r="MB1114" s="31"/>
      <c r="MC1114" s="31"/>
      <c r="MD1114" s="31"/>
      <c r="ME1114" s="31"/>
      <c r="MF1114" s="31"/>
      <c r="MG1114" s="31"/>
      <c r="MH1114" s="31"/>
      <c r="MI1114" s="31"/>
      <c r="MJ1114" s="31"/>
      <c r="MK1114" s="31"/>
      <c r="ML1114" s="31"/>
      <c r="MM1114" s="31"/>
      <c r="MN1114" s="31"/>
      <c r="MO1114" s="31"/>
      <c r="MP1114" s="31"/>
      <c r="MQ1114" s="31"/>
      <c r="MR1114" s="31"/>
      <c r="MS1114" s="31"/>
      <c r="MT1114" s="31"/>
      <c r="MU1114" s="31"/>
      <c r="MV1114" s="31"/>
      <c r="MW1114" s="31"/>
      <c r="MX1114" s="31"/>
      <c r="MY1114" s="31"/>
      <c r="MZ1114" s="31"/>
      <c r="NA1114" s="31"/>
      <c r="NB1114" s="31"/>
      <c r="NC1114" s="31"/>
      <c r="ND1114" s="31"/>
      <c r="NE1114" s="31"/>
      <c r="NF1114" s="31"/>
      <c r="NG1114" s="31"/>
      <c r="NH1114" s="31"/>
      <c r="NI1114" s="31"/>
      <c r="NJ1114" s="31"/>
      <c r="NK1114" s="31"/>
      <c r="NL1114" s="31"/>
      <c r="NM1114" s="31"/>
      <c r="NN1114" s="31"/>
      <c r="NO1114" s="31"/>
      <c r="NP1114" s="31"/>
      <c r="NQ1114" s="31"/>
      <c r="NR1114" s="31"/>
      <c r="NS1114" s="31"/>
      <c r="NT1114" s="31"/>
      <c r="NU1114" s="31"/>
      <c r="NV1114" s="31"/>
      <c r="NW1114" s="31"/>
      <c r="NX1114" s="31"/>
      <c r="NY1114" s="31"/>
      <c r="NZ1114" s="31"/>
      <c r="OA1114" s="31"/>
      <c r="OB1114" s="31"/>
      <c r="OC1114" s="31"/>
      <c r="OD1114" s="31"/>
      <c r="OE1114" s="31"/>
      <c r="OF1114" s="31"/>
      <c r="OG1114" s="31"/>
      <c r="OH1114" s="31"/>
      <c r="OI1114" s="31"/>
      <c r="OJ1114" s="31"/>
      <c r="OK1114" s="31"/>
      <c r="OL1114" s="31"/>
      <c r="OM1114" s="31"/>
      <c r="ON1114" s="31"/>
      <c r="OO1114" s="31"/>
      <c r="OP1114" s="31"/>
      <c r="OQ1114" s="31"/>
      <c r="OR1114" s="31"/>
      <c r="OS1114" s="31"/>
      <c r="OT1114" s="31"/>
      <c r="OU1114" s="31"/>
      <c r="OV1114" s="31"/>
      <c r="OW1114" s="31"/>
      <c r="OX1114" s="31"/>
      <c r="OY1114" s="31"/>
      <c r="OZ1114" s="31"/>
      <c r="PA1114" s="31"/>
      <c r="PB1114" s="31"/>
      <c r="PC1114" s="31"/>
      <c r="PD1114" s="31"/>
      <c r="PE1114" s="31"/>
      <c r="PF1114" s="31"/>
      <c r="PG1114" s="31"/>
      <c r="PH1114" s="31"/>
      <c r="PI1114" s="31"/>
      <c r="PJ1114" s="31"/>
      <c r="PK1114" s="31"/>
      <c r="PL1114" s="31"/>
      <c r="PM1114" s="31"/>
      <c r="PN1114" s="31"/>
      <c r="PO1114" s="31"/>
      <c r="PP1114" s="31"/>
      <c r="PQ1114" s="31"/>
      <c r="PR1114" s="31"/>
      <c r="PS1114" s="31"/>
      <c r="PT1114" s="31"/>
      <c r="PU1114" s="31"/>
      <c r="PV1114" s="31"/>
      <c r="PW1114" s="31"/>
      <c r="PX1114" s="31"/>
      <c r="PY1114" s="31"/>
      <c r="PZ1114" s="31"/>
      <c r="QA1114" s="31"/>
      <c r="QB1114" s="31"/>
      <c r="QC1114" s="31"/>
      <c r="QD1114" s="31"/>
      <c r="QE1114" s="31"/>
      <c r="QF1114" s="31"/>
      <c r="QG1114" s="31"/>
      <c r="QH1114" s="31"/>
      <c r="QI1114" s="31"/>
      <c r="QJ1114" s="31"/>
      <c r="QK1114" s="31"/>
      <c r="QL1114" s="31"/>
      <c r="QM1114" s="31"/>
      <c r="QN1114" s="31"/>
      <c r="QO1114" s="31"/>
      <c r="QP1114" s="31"/>
      <c r="QQ1114" s="31"/>
      <c r="QR1114" s="31"/>
      <c r="QS1114" s="31"/>
      <c r="QT1114" s="31"/>
      <c r="QU1114" s="31"/>
      <c r="QV1114" s="31"/>
      <c r="QW1114" s="31"/>
      <c r="QX1114" s="31"/>
      <c r="QY1114" s="31"/>
      <c r="QZ1114" s="31"/>
      <c r="RA1114" s="31"/>
      <c r="RB1114" s="31"/>
      <c r="RC1114" s="31"/>
      <c r="RD1114" s="31"/>
      <c r="RE1114" s="31"/>
      <c r="RF1114" s="31"/>
      <c r="RG1114" s="31"/>
      <c r="RH1114" s="31"/>
      <c r="RI1114" s="31"/>
      <c r="RJ1114" s="31"/>
      <c r="RK1114" s="31"/>
      <c r="RL1114" s="31"/>
      <c r="RM1114" s="31"/>
      <c r="RN1114" s="31"/>
      <c r="RO1114" s="31"/>
      <c r="RP1114" s="31"/>
      <c r="RQ1114" s="31"/>
      <c r="RR1114" s="31"/>
      <c r="RS1114" s="31"/>
      <c r="RT1114" s="31"/>
      <c r="RU1114" s="31"/>
      <c r="RV1114" s="31"/>
      <c r="RW1114" s="31"/>
      <c r="RX1114" s="31"/>
      <c r="RY1114" s="31"/>
      <c r="RZ1114" s="31"/>
      <c r="SA1114" s="31"/>
      <c r="SB1114" s="31"/>
      <c r="SC1114" s="31"/>
      <c r="SD1114" s="31"/>
      <c r="SE1114" s="31"/>
      <c r="SF1114" s="31"/>
      <c r="SG1114" s="31"/>
      <c r="SH1114" s="31"/>
      <c r="SI1114" s="31"/>
      <c r="SJ1114" s="31"/>
      <c r="SK1114" s="31"/>
      <c r="SL1114" s="31"/>
      <c r="SM1114" s="31"/>
      <c r="SN1114" s="31"/>
      <c r="SO1114" s="31"/>
      <c r="SP1114" s="31"/>
      <c r="SQ1114" s="31"/>
      <c r="SR1114" s="31"/>
      <c r="SS1114" s="31"/>
      <c r="ST1114" s="31"/>
      <c r="SU1114" s="31"/>
      <c r="SV1114" s="31"/>
      <c r="SW1114" s="31"/>
      <c r="SX1114" s="31"/>
      <c r="SY1114" s="31"/>
      <c r="SZ1114" s="31"/>
      <c r="TA1114" s="31"/>
      <c r="TB1114" s="31"/>
      <c r="TC1114" s="31"/>
      <c r="TD1114" s="31"/>
      <c r="TE1114" s="31"/>
      <c r="TF1114" s="31"/>
      <c r="TG1114" s="31"/>
      <c r="TH1114" s="31"/>
      <c r="TI1114" s="31"/>
      <c r="TJ1114" s="31"/>
      <c r="TK1114" s="31"/>
      <c r="TL1114" s="31"/>
      <c r="TM1114" s="31"/>
      <c r="TN1114" s="31"/>
      <c r="TO1114" s="31"/>
      <c r="TP1114" s="31"/>
      <c r="TQ1114" s="31"/>
      <c r="TR1114" s="31"/>
      <c r="TS1114" s="31"/>
      <c r="TT1114" s="31"/>
      <c r="TU1114" s="31"/>
      <c r="TV1114" s="31"/>
      <c r="TW1114" s="31"/>
      <c r="TX1114" s="31"/>
      <c r="TY1114" s="31"/>
      <c r="TZ1114" s="31"/>
      <c r="UA1114" s="31"/>
      <c r="UB1114" s="31"/>
      <c r="UC1114" s="31"/>
      <c r="UD1114" s="31"/>
      <c r="UE1114" s="31"/>
      <c r="UF1114" s="31"/>
      <c r="UG1114" s="33"/>
    </row>
    <row r="1115" spans="1:553" ht="31.5" customHeight="1">
      <c r="A1115" s="356"/>
      <c r="B1115" s="385">
        <v>7</v>
      </c>
      <c r="C1115" s="1403" t="s">
        <v>645</v>
      </c>
      <c r="D1115" s="1389"/>
      <c r="E1115" s="1389"/>
      <c r="F1115" s="1390"/>
      <c r="G1115" s="386" t="s">
        <v>33</v>
      </c>
      <c r="H1115" s="370"/>
      <c r="I1115" s="422">
        <f>8*0.44</f>
        <v>3.52</v>
      </c>
      <c r="J1115" s="477">
        <v>39000</v>
      </c>
      <c r="K1115" s="388"/>
      <c r="L1115" s="391">
        <f t="shared" si="167"/>
        <v>137280</v>
      </c>
      <c r="M1115" s="395"/>
      <c r="N1115" s="395"/>
      <c r="O1115" s="366"/>
      <c r="P1115" s="396"/>
      <c r="Q1115" s="473"/>
      <c r="R1115" s="1039"/>
      <c r="S1115" s="308"/>
      <c r="T1115" s="308"/>
      <c r="U1115" s="308"/>
      <c r="V1115" s="308"/>
      <c r="W1115" s="308"/>
      <c r="X1115" s="308"/>
      <c r="Y1115" s="308"/>
      <c r="Z1115" s="604"/>
      <c r="AA1115" s="308"/>
      <c r="AB1115" s="308"/>
      <c r="AC1115" s="449"/>
      <c r="AD1115" s="449"/>
      <c r="AE1115" s="449"/>
      <c r="AF1115" s="449"/>
      <c r="AG1115" s="452"/>
      <c r="AH1115" s="452"/>
      <c r="AI1115" s="452"/>
      <c r="AJ1115" s="452"/>
      <c r="AK1115" s="452"/>
      <c r="AL1115" s="104"/>
      <c r="AM1115" s="32"/>
      <c r="AN1115" s="32"/>
      <c r="AO1115" s="32"/>
      <c r="AP1115" s="32"/>
      <c r="AQ1115" s="31"/>
      <c r="AR1115" s="31"/>
      <c r="AS1115" s="31"/>
      <c r="AT1115" s="31"/>
      <c r="AU1115" s="31"/>
      <c r="AV1115" s="31"/>
      <c r="AW1115" s="31"/>
      <c r="AX1115" s="31"/>
      <c r="AY1115" s="31"/>
      <c r="AZ1115" s="31"/>
      <c r="BA1115" s="31"/>
      <c r="BB1115" s="31"/>
      <c r="BC1115" s="31"/>
      <c r="BD1115" s="31"/>
      <c r="BE1115" s="31"/>
      <c r="BF1115" s="31"/>
      <c r="BG1115" s="31"/>
      <c r="BH1115" s="31"/>
      <c r="BI1115" s="31"/>
      <c r="BJ1115" s="31"/>
      <c r="BK1115" s="31"/>
      <c r="BL1115" s="31"/>
      <c r="BM1115" s="31"/>
      <c r="BN1115" s="31"/>
      <c r="BO1115" s="31"/>
      <c r="BP1115" s="31"/>
      <c r="BQ1115" s="31"/>
      <c r="BR1115" s="31"/>
      <c r="BS1115" s="31"/>
      <c r="BT1115" s="31"/>
      <c r="BU1115" s="31"/>
      <c r="BV1115" s="31"/>
      <c r="BW1115" s="31"/>
      <c r="BX1115" s="31"/>
      <c r="BY1115" s="31"/>
      <c r="BZ1115" s="31"/>
      <c r="CA1115" s="31"/>
      <c r="CB1115" s="31"/>
      <c r="CC1115" s="31"/>
      <c r="CD1115" s="31"/>
      <c r="CE1115" s="31"/>
      <c r="CF1115" s="31"/>
      <c r="CG1115" s="31"/>
      <c r="CH1115" s="31"/>
      <c r="CI1115" s="31"/>
      <c r="CJ1115" s="31"/>
      <c r="CK1115" s="31"/>
      <c r="CL1115" s="31"/>
      <c r="CM1115" s="31"/>
      <c r="CN1115" s="31"/>
      <c r="CO1115" s="31"/>
      <c r="CP1115" s="31"/>
      <c r="CQ1115" s="31"/>
      <c r="CR1115" s="31"/>
      <c r="CS1115" s="31"/>
      <c r="CT1115" s="31"/>
      <c r="CU1115" s="31"/>
      <c r="CV1115" s="31"/>
      <c r="CW1115" s="31"/>
      <c r="CX1115" s="31"/>
      <c r="CY1115" s="31"/>
      <c r="CZ1115" s="31"/>
      <c r="DA1115" s="31"/>
      <c r="DB1115" s="31"/>
      <c r="DC1115" s="31"/>
      <c r="DD1115" s="31"/>
      <c r="DE1115" s="31"/>
      <c r="DF1115" s="31"/>
      <c r="DG1115" s="31"/>
      <c r="DH1115" s="31"/>
      <c r="DI1115" s="31"/>
      <c r="DJ1115" s="31"/>
      <c r="DK1115" s="31"/>
      <c r="DL1115" s="31"/>
      <c r="DM1115" s="31"/>
      <c r="DN1115" s="31"/>
      <c r="DO1115" s="31"/>
      <c r="DP1115" s="31"/>
      <c r="DQ1115" s="31"/>
      <c r="DR1115" s="31"/>
      <c r="DS1115" s="31"/>
      <c r="DT1115" s="31"/>
      <c r="DU1115" s="31"/>
      <c r="DV1115" s="31"/>
      <c r="DW1115" s="31"/>
      <c r="DX1115" s="31"/>
      <c r="DY1115" s="31"/>
      <c r="DZ1115" s="31"/>
      <c r="EA1115" s="31"/>
      <c r="EB1115" s="31"/>
      <c r="EC1115" s="31"/>
      <c r="ED1115" s="31"/>
      <c r="EE1115" s="31"/>
      <c r="EF1115" s="31"/>
      <c r="EG1115" s="31"/>
      <c r="EH1115" s="31"/>
      <c r="EI1115" s="31"/>
      <c r="EJ1115" s="31"/>
      <c r="EK1115" s="31"/>
      <c r="EL1115" s="31"/>
      <c r="EM1115" s="31"/>
      <c r="EN1115" s="31"/>
      <c r="EO1115" s="31"/>
      <c r="EP1115" s="31"/>
      <c r="EQ1115" s="31"/>
      <c r="ER1115" s="31"/>
      <c r="ES1115" s="31"/>
      <c r="ET1115" s="31"/>
      <c r="EU1115" s="31"/>
      <c r="EV1115" s="31"/>
      <c r="EW1115" s="31"/>
      <c r="EX1115" s="31"/>
      <c r="EY1115" s="31"/>
      <c r="EZ1115" s="31"/>
      <c r="FA1115" s="31"/>
      <c r="FB1115" s="31"/>
      <c r="FC1115" s="31"/>
      <c r="FD1115" s="31"/>
      <c r="FE1115" s="31"/>
      <c r="FF1115" s="31"/>
      <c r="FG1115" s="31"/>
      <c r="FH1115" s="31"/>
      <c r="FI1115" s="31"/>
      <c r="FJ1115" s="31"/>
      <c r="FK1115" s="31"/>
      <c r="FL1115" s="31"/>
      <c r="FM1115" s="31"/>
      <c r="FN1115" s="31"/>
      <c r="FO1115" s="31"/>
      <c r="FP1115" s="31"/>
      <c r="FQ1115" s="31"/>
      <c r="FR1115" s="31"/>
      <c r="FS1115" s="31"/>
      <c r="FT1115" s="31"/>
      <c r="FU1115" s="31"/>
      <c r="FV1115" s="31"/>
      <c r="FW1115" s="31"/>
      <c r="FX1115" s="31"/>
      <c r="FY1115" s="31"/>
      <c r="FZ1115" s="31"/>
      <c r="GA1115" s="31"/>
      <c r="GB1115" s="31"/>
      <c r="GC1115" s="31"/>
      <c r="GD1115" s="31"/>
      <c r="GE1115" s="31"/>
      <c r="GF1115" s="31"/>
      <c r="GG1115" s="31"/>
      <c r="GH1115" s="31"/>
      <c r="GI1115" s="31"/>
      <c r="GJ1115" s="31"/>
      <c r="GK1115" s="31"/>
      <c r="GL1115" s="31"/>
      <c r="GM1115" s="31"/>
      <c r="GN1115" s="31"/>
      <c r="GO1115" s="31"/>
      <c r="GP1115" s="31"/>
      <c r="GQ1115" s="31"/>
      <c r="GR1115" s="31"/>
      <c r="GS1115" s="31"/>
      <c r="GT1115" s="31"/>
      <c r="GU1115" s="31"/>
      <c r="GV1115" s="31"/>
      <c r="GW1115" s="31"/>
      <c r="GX1115" s="31"/>
      <c r="GY1115" s="31"/>
      <c r="GZ1115" s="31"/>
      <c r="HA1115" s="31"/>
      <c r="HB1115" s="31"/>
      <c r="HC1115" s="31"/>
      <c r="HD1115" s="31"/>
      <c r="HE1115" s="31"/>
      <c r="HF1115" s="31"/>
      <c r="HG1115" s="31"/>
      <c r="HH1115" s="31"/>
      <c r="HI1115" s="31"/>
      <c r="HJ1115" s="31"/>
      <c r="HK1115" s="31"/>
      <c r="HL1115" s="31"/>
      <c r="HM1115" s="31"/>
      <c r="HN1115" s="31"/>
      <c r="HO1115" s="31"/>
      <c r="HP1115" s="31"/>
      <c r="HQ1115" s="31"/>
      <c r="HR1115" s="31"/>
      <c r="HS1115" s="31"/>
      <c r="HT1115" s="31"/>
      <c r="HU1115" s="31"/>
      <c r="HV1115" s="31"/>
      <c r="HW1115" s="31"/>
      <c r="HX1115" s="31"/>
      <c r="HY1115" s="31"/>
      <c r="HZ1115" s="31"/>
      <c r="IA1115" s="31"/>
      <c r="IB1115" s="31"/>
      <c r="IC1115" s="31"/>
      <c r="ID1115" s="31"/>
      <c r="IE1115" s="31"/>
      <c r="IF1115" s="31"/>
      <c r="IG1115" s="31"/>
      <c r="IH1115" s="31"/>
      <c r="II1115" s="31"/>
      <c r="IJ1115" s="31"/>
      <c r="IK1115" s="31"/>
      <c r="IL1115" s="31"/>
      <c r="IM1115" s="31"/>
      <c r="IN1115" s="31"/>
      <c r="IO1115" s="31"/>
      <c r="IP1115" s="31"/>
      <c r="IQ1115" s="31"/>
      <c r="IR1115" s="31"/>
      <c r="IS1115" s="31"/>
      <c r="IT1115" s="31"/>
      <c r="IU1115" s="31"/>
      <c r="IV1115" s="31"/>
      <c r="IW1115" s="31"/>
      <c r="IX1115" s="31"/>
      <c r="IY1115" s="31"/>
      <c r="IZ1115" s="31"/>
      <c r="JA1115" s="31"/>
      <c r="JB1115" s="31"/>
      <c r="JC1115" s="31"/>
      <c r="JD1115" s="31"/>
      <c r="JE1115" s="31"/>
      <c r="JF1115" s="31"/>
      <c r="JG1115" s="31"/>
      <c r="JH1115" s="31"/>
      <c r="JI1115" s="31"/>
      <c r="JJ1115" s="31"/>
      <c r="JK1115" s="31"/>
      <c r="JL1115" s="31"/>
      <c r="JM1115" s="31"/>
      <c r="JN1115" s="31"/>
      <c r="JO1115" s="31"/>
      <c r="JP1115" s="31"/>
      <c r="JQ1115" s="31"/>
      <c r="JR1115" s="31"/>
      <c r="JS1115" s="31"/>
      <c r="JT1115" s="31"/>
      <c r="JU1115" s="31"/>
      <c r="JV1115" s="31"/>
      <c r="JW1115" s="31"/>
      <c r="JX1115" s="31"/>
      <c r="JY1115" s="31"/>
      <c r="JZ1115" s="31"/>
      <c r="KA1115" s="31"/>
      <c r="KB1115" s="31"/>
      <c r="KC1115" s="31"/>
      <c r="KD1115" s="31"/>
      <c r="KE1115" s="31"/>
      <c r="KF1115" s="31"/>
      <c r="KG1115" s="31"/>
      <c r="KH1115" s="31"/>
      <c r="KI1115" s="31"/>
      <c r="KJ1115" s="31"/>
      <c r="KK1115" s="31"/>
      <c r="KL1115" s="31"/>
      <c r="KM1115" s="31"/>
      <c r="KN1115" s="31"/>
      <c r="KO1115" s="31"/>
      <c r="KP1115" s="31"/>
      <c r="KQ1115" s="31"/>
      <c r="KR1115" s="31"/>
      <c r="KS1115" s="31"/>
      <c r="KT1115" s="31"/>
      <c r="KU1115" s="31"/>
      <c r="KV1115" s="31"/>
      <c r="KW1115" s="31"/>
      <c r="KX1115" s="31"/>
      <c r="KY1115" s="31"/>
      <c r="KZ1115" s="31"/>
      <c r="LA1115" s="31"/>
      <c r="LB1115" s="31"/>
      <c r="LC1115" s="31"/>
      <c r="LD1115" s="31"/>
      <c r="LE1115" s="31"/>
      <c r="LF1115" s="31"/>
      <c r="LG1115" s="31"/>
      <c r="LH1115" s="31"/>
      <c r="LI1115" s="31"/>
      <c r="LJ1115" s="31"/>
      <c r="LK1115" s="31"/>
      <c r="LL1115" s="31"/>
      <c r="LM1115" s="31"/>
      <c r="LN1115" s="31"/>
      <c r="LO1115" s="31"/>
      <c r="LP1115" s="31"/>
      <c r="LQ1115" s="31"/>
      <c r="LR1115" s="31"/>
      <c r="LS1115" s="31"/>
      <c r="LT1115" s="31"/>
      <c r="LU1115" s="31"/>
      <c r="LV1115" s="31"/>
      <c r="LW1115" s="31"/>
      <c r="LX1115" s="31"/>
      <c r="LY1115" s="31"/>
      <c r="LZ1115" s="31"/>
      <c r="MA1115" s="31"/>
      <c r="MB1115" s="31"/>
      <c r="MC1115" s="31"/>
      <c r="MD1115" s="31"/>
      <c r="ME1115" s="31"/>
      <c r="MF1115" s="31"/>
      <c r="MG1115" s="31"/>
      <c r="MH1115" s="31"/>
      <c r="MI1115" s="31"/>
      <c r="MJ1115" s="31"/>
      <c r="MK1115" s="31"/>
      <c r="ML1115" s="31"/>
      <c r="MM1115" s="31"/>
      <c r="MN1115" s="31"/>
      <c r="MO1115" s="31"/>
      <c r="MP1115" s="31"/>
      <c r="MQ1115" s="31"/>
      <c r="MR1115" s="31"/>
      <c r="MS1115" s="31"/>
      <c r="MT1115" s="31"/>
      <c r="MU1115" s="31"/>
      <c r="MV1115" s="31"/>
      <c r="MW1115" s="31"/>
      <c r="MX1115" s="31"/>
      <c r="MY1115" s="31"/>
      <c r="MZ1115" s="31"/>
      <c r="NA1115" s="31"/>
      <c r="NB1115" s="31"/>
      <c r="NC1115" s="31"/>
      <c r="ND1115" s="31"/>
      <c r="NE1115" s="31"/>
      <c r="NF1115" s="31"/>
      <c r="NG1115" s="31"/>
      <c r="NH1115" s="31"/>
      <c r="NI1115" s="31"/>
      <c r="NJ1115" s="31"/>
      <c r="NK1115" s="31"/>
      <c r="NL1115" s="31"/>
      <c r="NM1115" s="31"/>
      <c r="NN1115" s="31"/>
      <c r="NO1115" s="31"/>
      <c r="NP1115" s="31"/>
      <c r="NQ1115" s="31"/>
      <c r="NR1115" s="31"/>
      <c r="NS1115" s="31"/>
      <c r="NT1115" s="31"/>
      <c r="NU1115" s="31"/>
      <c r="NV1115" s="31"/>
      <c r="NW1115" s="31"/>
      <c r="NX1115" s="31"/>
      <c r="NY1115" s="31"/>
      <c r="NZ1115" s="31"/>
      <c r="OA1115" s="31"/>
      <c r="OB1115" s="31"/>
      <c r="OC1115" s="31"/>
      <c r="OD1115" s="31"/>
      <c r="OE1115" s="31"/>
      <c r="OF1115" s="31"/>
      <c r="OG1115" s="31"/>
      <c r="OH1115" s="31"/>
      <c r="OI1115" s="31"/>
      <c r="OJ1115" s="31"/>
      <c r="OK1115" s="31"/>
      <c r="OL1115" s="31"/>
      <c r="OM1115" s="31"/>
      <c r="ON1115" s="31"/>
      <c r="OO1115" s="31"/>
      <c r="OP1115" s="31"/>
      <c r="OQ1115" s="31"/>
      <c r="OR1115" s="31"/>
      <c r="OS1115" s="31"/>
      <c r="OT1115" s="31"/>
      <c r="OU1115" s="31"/>
      <c r="OV1115" s="31"/>
      <c r="OW1115" s="31"/>
      <c r="OX1115" s="31"/>
      <c r="OY1115" s="31"/>
      <c r="OZ1115" s="31"/>
      <c r="PA1115" s="31"/>
      <c r="PB1115" s="31"/>
      <c r="PC1115" s="31"/>
      <c r="PD1115" s="31"/>
      <c r="PE1115" s="31"/>
      <c r="PF1115" s="31"/>
      <c r="PG1115" s="31"/>
      <c r="PH1115" s="31"/>
      <c r="PI1115" s="31"/>
      <c r="PJ1115" s="31"/>
      <c r="PK1115" s="31"/>
      <c r="PL1115" s="31"/>
      <c r="PM1115" s="31"/>
      <c r="PN1115" s="31"/>
      <c r="PO1115" s="31"/>
      <c r="PP1115" s="31"/>
      <c r="PQ1115" s="31"/>
      <c r="PR1115" s="31"/>
      <c r="PS1115" s="31"/>
      <c r="PT1115" s="31"/>
      <c r="PU1115" s="31"/>
      <c r="PV1115" s="31"/>
      <c r="PW1115" s="31"/>
      <c r="PX1115" s="31"/>
      <c r="PY1115" s="31"/>
      <c r="PZ1115" s="31"/>
      <c r="QA1115" s="31"/>
      <c r="QB1115" s="31"/>
      <c r="QC1115" s="31"/>
      <c r="QD1115" s="31"/>
      <c r="QE1115" s="31"/>
      <c r="QF1115" s="31"/>
      <c r="QG1115" s="31"/>
      <c r="QH1115" s="31"/>
      <c r="QI1115" s="31"/>
      <c r="QJ1115" s="31"/>
      <c r="QK1115" s="31"/>
      <c r="QL1115" s="31"/>
      <c r="QM1115" s="31"/>
      <c r="QN1115" s="31"/>
      <c r="QO1115" s="31"/>
      <c r="QP1115" s="31"/>
      <c r="QQ1115" s="31"/>
      <c r="QR1115" s="31"/>
      <c r="QS1115" s="31"/>
      <c r="QT1115" s="31"/>
      <c r="QU1115" s="31"/>
      <c r="QV1115" s="31"/>
      <c r="QW1115" s="31"/>
      <c r="QX1115" s="31"/>
      <c r="QY1115" s="31"/>
      <c r="QZ1115" s="31"/>
      <c r="RA1115" s="31"/>
      <c r="RB1115" s="31"/>
      <c r="RC1115" s="31"/>
      <c r="RD1115" s="31"/>
      <c r="RE1115" s="31"/>
      <c r="RF1115" s="31"/>
      <c r="RG1115" s="31"/>
      <c r="RH1115" s="31"/>
      <c r="RI1115" s="31"/>
      <c r="RJ1115" s="31"/>
      <c r="RK1115" s="31"/>
      <c r="RL1115" s="31"/>
      <c r="RM1115" s="31"/>
      <c r="RN1115" s="31"/>
      <c r="RO1115" s="31"/>
      <c r="RP1115" s="31"/>
      <c r="RQ1115" s="31"/>
      <c r="RR1115" s="31"/>
      <c r="RS1115" s="31"/>
      <c r="RT1115" s="31"/>
      <c r="RU1115" s="31"/>
      <c r="RV1115" s="31"/>
      <c r="RW1115" s="31"/>
      <c r="RX1115" s="31"/>
      <c r="RY1115" s="31"/>
      <c r="RZ1115" s="31"/>
      <c r="SA1115" s="31"/>
      <c r="SB1115" s="31"/>
      <c r="SC1115" s="31"/>
      <c r="SD1115" s="31"/>
      <c r="SE1115" s="31"/>
      <c r="SF1115" s="31"/>
      <c r="SG1115" s="31"/>
      <c r="SH1115" s="31"/>
      <c r="SI1115" s="31"/>
      <c r="SJ1115" s="31"/>
      <c r="SK1115" s="31"/>
      <c r="SL1115" s="31"/>
      <c r="SM1115" s="31"/>
      <c r="SN1115" s="31"/>
      <c r="SO1115" s="31"/>
      <c r="SP1115" s="31"/>
      <c r="SQ1115" s="31"/>
      <c r="SR1115" s="31"/>
      <c r="SS1115" s="31"/>
      <c r="ST1115" s="31"/>
      <c r="SU1115" s="31"/>
      <c r="SV1115" s="31"/>
      <c r="SW1115" s="31"/>
      <c r="SX1115" s="31"/>
      <c r="SY1115" s="31"/>
      <c r="SZ1115" s="31"/>
      <c r="TA1115" s="31"/>
      <c r="TB1115" s="31"/>
      <c r="TC1115" s="31"/>
      <c r="TD1115" s="31"/>
      <c r="TE1115" s="31"/>
      <c r="TF1115" s="31"/>
      <c r="TG1115" s="31"/>
      <c r="TH1115" s="31"/>
      <c r="TI1115" s="31"/>
      <c r="TJ1115" s="31"/>
      <c r="TK1115" s="31"/>
      <c r="TL1115" s="31"/>
      <c r="TM1115" s="31"/>
      <c r="TN1115" s="31"/>
      <c r="TO1115" s="31"/>
      <c r="TP1115" s="31"/>
      <c r="TQ1115" s="31"/>
      <c r="TR1115" s="31"/>
      <c r="TS1115" s="31"/>
      <c r="TT1115" s="31"/>
      <c r="TU1115" s="31"/>
      <c r="TV1115" s="31"/>
      <c r="TW1115" s="31"/>
      <c r="TX1115" s="31"/>
      <c r="TY1115" s="31"/>
      <c r="TZ1115" s="31"/>
      <c r="UA1115" s="31"/>
      <c r="UB1115" s="31"/>
      <c r="UC1115" s="31"/>
      <c r="UD1115" s="31"/>
      <c r="UE1115" s="31"/>
      <c r="UF1115" s="31"/>
      <c r="UG1115" s="33"/>
    </row>
    <row r="1116" spans="1:553" ht="31.5" customHeight="1">
      <c r="A1116" s="356"/>
      <c r="B1116" s="385">
        <v>7</v>
      </c>
      <c r="C1116" s="1403" t="s">
        <v>646</v>
      </c>
      <c r="D1116" s="1389"/>
      <c r="E1116" s="1389"/>
      <c r="F1116" s="1390"/>
      <c r="G1116" s="386" t="s">
        <v>33</v>
      </c>
      <c r="H1116" s="370"/>
      <c r="I1116" s="422">
        <f>9*0.6</f>
        <v>5.3999999999999995</v>
      </c>
      <c r="J1116" s="477">
        <v>39000</v>
      </c>
      <c r="K1116" s="388"/>
      <c r="L1116" s="391">
        <f t="shared" si="167"/>
        <v>210599.99999999997</v>
      </c>
      <c r="M1116" s="395"/>
      <c r="N1116" s="395"/>
      <c r="O1116" s="366"/>
      <c r="P1116" s="396"/>
      <c r="Q1116" s="473"/>
      <c r="R1116" s="1039"/>
      <c r="S1116" s="308"/>
      <c r="T1116" s="308"/>
      <c r="U1116" s="308"/>
      <c r="V1116" s="308"/>
      <c r="W1116" s="308"/>
      <c r="X1116" s="308"/>
      <c r="Y1116" s="308"/>
      <c r="Z1116" s="604"/>
      <c r="AA1116" s="308"/>
      <c r="AB1116" s="308"/>
      <c r="AC1116" s="449"/>
      <c r="AD1116" s="449"/>
      <c r="AE1116" s="449"/>
      <c r="AF1116" s="449"/>
      <c r="AG1116" s="452"/>
      <c r="AH1116" s="452"/>
      <c r="AI1116" s="452"/>
      <c r="AJ1116" s="452"/>
      <c r="AK1116" s="452"/>
      <c r="AL1116" s="104"/>
      <c r="AM1116" s="32"/>
      <c r="AN1116" s="32"/>
      <c r="AO1116" s="32"/>
      <c r="AP1116" s="32"/>
      <c r="AQ1116" s="31"/>
      <c r="AR1116" s="31"/>
      <c r="AS1116" s="31"/>
      <c r="AT1116" s="31"/>
      <c r="AU1116" s="31"/>
      <c r="AV1116" s="31"/>
      <c r="AW1116" s="31"/>
      <c r="AX1116" s="31"/>
      <c r="AY1116" s="31"/>
      <c r="AZ1116" s="31"/>
      <c r="BA1116" s="31"/>
      <c r="BB1116" s="31"/>
      <c r="BC1116" s="31"/>
      <c r="BD1116" s="31"/>
      <c r="BE1116" s="31"/>
      <c r="BF1116" s="31"/>
      <c r="BG1116" s="31"/>
      <c r="BH1116" s="31"/>
      <c r="BI1116" s="31"/>
      <c r="BJ1116" s="31"/>
      <c r="BK1116" s="31"/>
      <c r="BL1116" s="31"/>
      <c r="BM1116" s="31"/>
      <c r="BN1116" s="31"/>
      <c r="BO1116" s="31"/>
      <c r="BP1116" s="31"/>
      <c r="BQ1116" s="31"/>
      <c r="BR1116" s="31"/>
      <c r="BS1116" s="31"/>
      <c r="BT1116" s="31"/>
      <c r="BU1116" s="31"/>
      <c r="BV1116" s="31"/>
      <c r="BW1116" s="31"/>
      <c r="BX1116" s="31"/>
      <c r="BY1116" s="31"/>
      <c r="BZ1116" s="31"/>
      <c r="CA1116" s="31"/>
      <c r="CB1116" s="31"/>
      <c r="CC1116" s="31"/>
      <c r="CD1116" s="31"/>
      <c r="CE1116" s="31"/>
      <c r="CF1116" s="31"/>
      <c r="CG1116" s="31"/>
      <c r="CH1116" s="31"/>
      <c r="CI1116" s="31"/>
      <c r="CJ1116" s="31"/>
      <c r="CK1116" s="31"/>
      <c r="CL1116" s="31"/>
      <c r="CM1116" s="31"/>
      <c r="CN1116" s="31"/>
      <c r="CO1116" s="31"/>
      <c r="CP1116" s="31"/>
      <c r="CQ1116" s="31"/>
      <c r="CR1116" s="31"/>
      <c r="CS1116" s="31"/>
      <c r="CT1116" s="31"/>
      <c r="CU1116" s="31"/>
      <c r="CV1116" s="31"/>
      <c r="CW1116" s="31"/>
      <c r="CX1116" s="31"/>
      <c r="CY1116" s="31"/>
      <c r="CZ1116" s="31"/>
      <c r="DA1116" s="31"/>
      <c r="DB1116" s="31"/>
      <c r="DC1116" s="31"/>
      <c r="DD1116" s="31"/>
      <c r="DE1116" s="31"/>
      <c r="DF1116" s="31"/>
      <c r="DG1116" s="31"/>
      <c r="DH1116" s="31"/>
      <c r="DI1116" s="31"/>
      <c r="DJ1116" s="31"/>
      <c r="DK1116" s="31"/>
      <c r="DL1116" s="31"/>
      <c r="DM1116" s="31"/>
      <c r="DN1116" s="31"/>
      <c r="DO1116" s="31"/>
      <c r="DP1116" s="31"/>
      <c r="DQ1116" s="31"/>
      <c r="DR1116" s="31"/>
      <c r="DS1116" s="31"/>
      <c r="DT1116" s="31"/>
      <c r="DU1116" s="31"/>
      <c r="DV1116" s="31"/>
      <c r="DW1116" s="31"/>
      <c r="DX1116" s="31"/>
      <c r="DY1116" s="31"/>
      <c r="DZ1116" s="31"/>
      <c r="EA1116" s="31"/>
      <c r="EB1116" s="31"/>
      <c r="EC1116" s="31"/>
      <c r="ED1116" s="31"/>
      <c r="EE1116" s="31"/>
      <c r="EF1116" s="31"/>
      <c r="EG1116" s="31"/>
      <c r="EH1116" s="31"/>
      <c r="EI1116" s="31"/>
      <c r="EJ1116" s="31"/>
      <c r="EK1116" s="31"/>
      <c r="EL1116" s="31"/>
      <c r="EM1116" s="31"/>
      <c r="EN1116" s="31"/>
      <c r="EO1116" s="31"/>
      <c r="EP1116" s="31"/>
      <c r="EQ1116" s="31"/>
      <c r="ER1116" s="31"/>
      <c r="ES1116" s="31"/>
      <c r="ET1116" s="31"/>
      <c r="EU1116" s="31"/>
      <c r="EV1116" s="31"/>
      <c r="EW1116" s="31"/>
      <c r="EX1116" s="31"/>
      <c r="EY1116" s="31"/>
      <c r="EZ1116" s="31"/>
      <c r="FA1116" s="31"/>
      <c r="FB1116" s="31"/>
      <c r="FC1116" s="31"/>
      <c r="FD1116" s="31"/>
      <c r="FE1116" s="31"/>
      <c r="FF1116" s="31"/>
      <c r="FG1116" s="31"/>
      <c r="FH1116" s="31"/>
      <c r="FI1116" s="31"/>
      <c r="FJ1116" s="31"/>
      <c r="FK1116" s="31"/>
      <c r="FL1116" s="31"/>
      <c r="FM1116" s="31"/>
      <c r="FN1116" s="31"/>
      <c r="FO1116" s="31"/>
      <c r="FP1116" s="31"/>
      <c r="FQ1116" s="31"/>
      <c r="FR1116" s="31"/>
      <c r="FS1116" s="31"/>
      <c r="FT1116" s="31"/>
      <c r="FU1116" s="31"/>
      <c r="FV1116" s="31"/>
      <c r="FW1116" s="31"/>
      <c r="FX1116" s="31"/>
      <c r="FY1116" s="31"/>
      <c r="FZ1116" s="31"/>
      <c r="GA1116" s="31"/>
      <c r="GB1116" s="31"/>
      <c r="GC1116" s="31"/>
      <c r="GD1116" s="31"/>
      <c r="GE1116" s="31"/>
      <c r="GF1116" s="31"/>
      <c r="GG1116" s="31"/>
      <c r="GH1116" s="31"/>
      <c r="GI1116" s="31"/>
      <c r="GJ1116" s="31"/>
      <c r="GK1116" s="31"/>
      <c r="GL1116" s="31"/>
      <c r="GM1116" s="31"/>
      <c r="GN1116" s="31"/>
      <c r="GO1116" s="31"/>
      <c r="GP1116" s="31"/>
      <c r="GQ1116" s="31"/>
      <c r="GR1116" s="31"/>
      <c r="GS1116" s="31"/>
      <c r="GT1116" s="31"/>
      <c r="GU1116" s="31"/>
      <c r="GV1116" s="31"/>
      <c r="GW1116" s="31"/>
      <c r="GX1116" s="31"/>
      <c r="GY1116" s="31"/>
      <c r="GZ1116" s="31"/>
      <c r="HA1116" s="31"/>
      <c r="HB1116" s="31"/>
      <c r="HC1116" s="31"/>
      <c r="HD1116" s="31"/>
      <c r="HE1116" s="31"/>
      <c r="HF1116" s="31"/>
      <c r="HG1116" s="31"/>
      <c r="HH1116" s="31"/>
      <c r="HI1116" s="31"/>
      <c r="HJ1116" s="31"/>
      <c r="HK1116" s="31"/>
      <c r="HL1116" s="31"/>
      <c r="HM1116" s="31"/>
      <c r="HN1116" s="31"/>
      <c r="HO1116" s="31"/>
      <c r="HP1116" s="31"/>
      <c r="HQ1116" s="31"/>
      <c r="HR1116" s="31"/>
      <c r="HS1116" s="31"/>
      <c r="HT1116" s="31"/>
      <c r="HU1116" s="31"/>
      <c r="HV1116" s="31"/>
      <c r="HW1116" s="31"/>
      <c r="HX1116" s="31"/>
      <c r="HY1116" s="31"/>
      <c r="HZ1116" s="31"/>
      <c r="IA1116" s="31"/>
      <c r="IB1116" s="31"/>
      <c r="IC1116" s="31"/>
      <c r="ID1116" s="31"/>
      <c r="IE1116" s="31"/>
      <c r="IF1116" s="31"/>
      <c r="IG1116" s="31"/>
      <c r="IH1116" s="31"/>
      <c r="II1116" s="31"/>
      <c r="IJ1116" s="31"/>
      <c r="IK1116" s="31"/>
      <c r="IL1116" s="31"/>
      <c r="IM1116" s="31"/>
      <c r="IN1116" s="31"/>
      <c r="IO1116" s="31"/>
      <c r="IP1116" s="31"/>
      <c r="IQ1116" s="31"/>
      <c r="IR1116" s="31"/>
      <c r="IS1116" s="31"/>
      <c r="IT1116" s="31"/>
      <c r="IU1116" s="31"/>
      <c r="IV1116" s="31"/>
      <c r="IW1116" s="31"/>
      <c r="IX1116" s="31"/>
      <c r="IY1116" s="31"/>
      <c r="IZ1116" s="31"/>
      <c r="JA1116" s="31"/>
      <c r="JB1116" s="31"/>
      <c r="JC1116" s="31"/>
      <c r="JD1116" s="31"/>
      <c r="JE1116" s="31"/>
      <c r="JF1116" s="31"/>
      <c r="JG1116" s="31"/>
      <c r="JH1116" s="31"/>
      <c r="JI1116" s="31"/>
      <c r="JJ1116" s="31"/>
      <c r="JK1116" s="31"/>
      <c r="JL1116" s="31"/>
      <c r="JM1116" s="31"/>
      <c r="JN1116" s="31"/>
      <c r="JO1116" s="31"/>
      <c r="JP1116" s="31"/>
      <c r="JQ1116" s="31"/>
      <c r="JR1116" s="31"/>
      <c r="JS1116" s="31"/>
      <c r="JT1116" s="31"/>
      <c r="JU1116" s="31"/>
      <c r="JV1116" s="31"/>
      <c r="JW1116" s="31"/>
      <c r="JX1116" s="31"/>
      <c r="JY1116" s="31"/>
      <c r="JZ1116" s="31"/>
      <c r="KA1116" s="31"/>
      <c r="KB1116" s="31"/>
      <c r="KC1116" s="31"/>
      <c r="KD1116" s="31"/>
      <c r="KE1116" s="31"/>
      <c r="KF1116" s="31"/>
      <c r="KG1116" s="31"/>
      <c r="KH1116" s="31"/>
      <c r="KI1116" s="31"/>
      <c r="KJ1116" s="31"/>
      <c r="KK1116" s="31"/>
      <c r="KL1116" s="31"/>
      <c r="KM1116" s="31"/>
      <c r="KN1116" s="31"/>
      <c r="KO1116" s="31"/>
      <c r="KP1116" s="31"/>
      <c r="KQ1116" s="31"/>
      <c r="KR1116" s="31"/>
      <c r="KS1116" s="31"/>
      <c r="KT1116" s="31"/>
      <c r="KU1116" s="31"/>
      <c r="KV1116" s="31"/>
      <c r="KW1116" s="31"/>
      <c r="KX1116" s="31"/>
      <c r="KY1116" s="31"/>
      <c r="KZ1116" s="31"/>
      <c r="LA1116" s="31"/>
      <c r="LB1116" s="31"/>
      <c r="LC1116" s="31"/>
      <c r="LD1116" s="31"/>
      <c r="LE1116" s="31"/>
      <c r="LF1116" s="31"/>
      <c r="LG1116" s="31"/>
      <c r="LH1116" s="31"/>
      <c r="LI1116" s="31"/>
      <c r="LJ1116" s="31"/>
      <c r="LK1116" s="31"/>
      <c r="LL1116" s="31"/>
      <c r="LM1116" s="31"/>
      <c r="LN1116" s="31"/>
      <c r="LO1116" s="31"/>
      <c r="LP1116" s="31"/>
      <c r="LQ1116" s="31"/>
      <c r="LR1116" s="31"/>
      <c r="LS1116" s="31"/>
      <c r="LT1116" s="31"/>
      <c r="LU1116" s="31"/>
      <c r="LV1116" s="31"/>
      <c r="LW1116" s="31"/>
      <c r="LX1116" s="31"/>
      <c r="LY1116" s="31"/>
      <c r="LZ1116" s="31"/>
      <c r="MA1116" s="31"/>
      <c r="MB1116" s="31"/>
      <c r="MC1116" s="31"/>
      <c r="MD1116" s="31"/>
      <c r="ME1116" s="31"/>
      <c r="MF1116" s="31"/>
      <c r="MG1116" s="31"/>
      <c r="MH1116" s="31"/>
      <c r="MI1116" s="31"/>
      <c r="MJ1116" s="31"/>
      <c r="MK1116" s="31"/>
      <c r="ML1116" s="31"/>
      <c r="MM1116" s="31"/>
      <c r="MN1116" s="31"/>
      <c r="MO1116" s="31"/>
      <c r="MP1116" s="31"/>
      <c r="MQ1116" s="31"/>
      <c r="MR1116" s="31"/>
      <c r="MS1116" s="31"/>
      <c r="MT1116" s="31"/>
      <c r="MU1116" s="31"/>
      <c r="MV1116" s="31"/>
      <c r="MW1116" s="31"/>
      <c r="MX1116" s="31"/>
      <c r="MY1116" s="31"/>
      <c r="MZ1116" s="31"/>
      <c r="NA1116" s="31"/>
      <c r="NB1116" s="31"/>
      <c r="NC1116" s="31"/>
      <c r="ND1116" s="31"/>
      <c r="NE1116" s="31"/>
      <c r="NF1116" s="31"/>
      <c r="NG1116" s="31"/>
      <c r="NH1116" s="31"/>
      <c r="NI1116" s="31"/>
      <c r="NJ1116" s="31"/>
      <c r="NK1116" s="31"/>
      <c r="NL1116" s="31"/>
      <c r="NM1116" s="31"/>
      <c r="NN1116" s="31"/>
      <c r="NO1116" s="31"/>
      <c r="NP1116" s="31"/>
      <c r="NQ1116" s="31"/>
      <c r="NR1116" s="31"/>
      <c r="NS1116" s="31"/>
      <c r="NT1116" s="31"/>
      <c r="NU1116" s="31"/>
      <c r="NV1116" s="31"/>
      <c r="NW1116" s="31"/>
      <c r="NX1116" s="31"/>
      <c r="NY1116" s="31"/>
      <c r="NZ1116" s="31"/>
      <c r="OA1116" s="31"/>
      <c r="OB1116" s="31"/>
      <c r="OC1116" s="31"/>
      <c r="OD1116" s="31"/>
      <c r="OE1116" s="31"/>
      <c r="OF1116" s="31"/>
      <c r="OG1116" s="31"/>
      <c r="OH1116" s="31"/>
      <c r="OI1116" s="31"/>
      <c r="OJ1116" s="31"/>
      <c r="OK1116" s="31"/>
      <c r="OL1116" s="31"/>
      <c r="OM1116" s="31"/>
      <c r="ON1116" s="31"/>
      <c r="OO1116" s="31"/>
      <c r="OP1116" s="31"/>
      <c r="OQ1116" s="31"/>
      <c r="OR1116" s="31"/>
      <c r="OS1116" s="31"/>
      <c r="OT1116" s="31"/>
      <c r="OU1116" s="31"/>
      <c r="OV1116" s="31"/>
      <c r="OW1116" s="31"/>
      <c r="OX1116" s="31"/>
      <c r="OY1116" s="31"/>
      <c r="OZ1116" s="31"/>
      <c r="PA1116" s="31"/>
      <c r="PB1116" s="31"/>
      <c r="PC1116" s="31"/>
      <c r="PD1116" s="31"/>
      <c r="PE1116" s="31"/>
      <c r="PF1116" s="31"/>
      <c r="PG1116" s="31"/>
      <c r="PH1116" s="31"/>
      <c r="PI1116" s="31"/>
      <c r="PJ1116" s="31"/>
      <c r="PK1116" s="31"/>
      <c r="PL1116" s="31"/>
      <c r="PM1116" s="31"/>
      <c r="PN1116" s="31"/>
      <c r="PO1116" s="31"/>
      <c r="PP1116" s="31"/>
      <c r="PQ1116" s="31"/>
      <c r="PR1116" s="31"/>
      <c r="PS1116" s="31"/>
      <c r="PT1116" s="31"/>
      <c r="PU1116" s="31"/>
      <c r="PV1116" s="31"/>
      <c r="PW1116" s="31"/>
      <c r="PX1116" s="31"/>
      <c r="PY1116" s="31"/>
      <c r="PZ1116" s="31"/>
      <c r="QA1116" s="31"/>
      <c r="QB1116" s="31"/>
      <c r="QC1116" s="31"/>
      <c r="QD1116" s="31"/>
      <c r="QE1116" s="31"/>
      <c r="QF1116" s="31"/>
      <c r="QG1116" s="31"/>
      <c r="QH1116" s="31"/>
      <c r="QI1116" s="31"/>
      <c r="QJ1116" s="31"/>
      <c r="QK1116" s="31"/>
      <c r="QL1116" s="31"/>
      <c r="QM1116" s="31"/>
      <c r="QN1116" s="31"/>
      <c r="QO1116" s="31"/>
      <c r="QP1116" s="31"/>
      <c r="QQ1116" s="31"/>
      <c r="QR1116" s="31"/>
      <c r="QS1116" s="31"/>
      <c r="QT1116" s="31"/>
      <c r="QU1116" s="31"/>
      <c r="QV1116" s="31"/>
      <c r="QW1116" s="31"/>
      <c r="QX1116" s="31"/>
      <c r="QY1116" s="31"/>
      <c r="QZ1116" s="31"/>
      <c r="RA1116" s="31"/>
      <c r="RB1116" s="31"/>
      <c r="RC1116" s="31"/>
      <c r="RD1116" s="31"/>
      <c r="RE1116" s="31"/>
      <c r="RF1116" s="31"/>
      <c r="RG1116" s="31"/>
      <c r="RH1116" s="31"/>
      <c r="RI1116" s="31"/>
      <c r="RJ1116" s="31"/>
      <c r="RK1116" s="31"/>
      <c r="RL1116" s="31"/>
      <c r="RM1116" s="31"/>
      <c r="RN1116" s="31"/>
      <c r="RO1116" s="31"/>
      <c r="RP1116" s="31"/>
      <c r="RQ1116" s="31"/>
      <c r="RR1116" s="31"/>
      <c r="RS1116" s="31"/>
      <c r="RT1116" s="31"/>
      <c r="RU1116" s="31"/>
      <c r="RV1116" s="31"/>
      <c r="RW1116" s="31"/>
      <c r="RX1116" s="31"/>
      <c r="RY1116" s="31"/>
      <c r="RZ1116" s="31"/>
      <c r="SA1116" s="31"/>
      <c r="SB1116" s="31"/>
      <c r="SC1116" s="31"/>
      <c r="SD1116" s="31"/>
      <c r="SE1116" s="31"/>
      <c r="SF1116" s="31"/>
      <c r="SG1116" s="31"/>
      <c r="SH1116" s="31"/>
      <c r="SI1116" s="31"/>
      <c r="SJ1116" s="31"/>
      <c r="SK1116" s="31"/>
      <c r="SL1116" s="31"/>
      <c r="SM1116" s="31"/>
      <c r="SN1116" s="31"/>
      <c r="SO1116" s="31"/>
      <c r="SP1116" s="31"/>
      <c r="SQ1116" s="31"/>
      <c r="SR1116" s="31"/>
      <c r="SS1116" s="31"/>
      <c r="ST1116" s="31"/>
      <c r="SU1116" s="31"/>
      <c r="SV1116" s="31"/>
      <c r="SW1116" s="31"/>
      <c r="SX1116" s="31"/>
      <c r="SY1116" s="31"/>
      <c r="SZ1116" s="31"/>
      <c r="TA1116" s="31"/>
      <c r="TB1116" s="31"/>
      <c r="TC1116" s="31"/>
      <c r="TD1116" s="31"/>
      <c r="TE1116" s="31"/>
      <c r="TF1116" s="31"/>
      <c r="TG1116" s="31"/>
      <c r="TH1116" s="31"/>
      <c r="TI1116" s="31"/>
      <c r="TJ1116" s="31"/>
      <c r="TK1116" s="31"/>
      <c r="TL1116" s="31"/>
      <c r="TM1116" s="31"/>
      <c r="TN1116" s="31"/>
      <c r="TO1116" s="31"/>
      <c r="TP1116" s="31"/>
      <c r="TQ1116" s="31"/>
      <c r="TR1116" s="31"/>
      <c r="TS1116" s="31"/>
      <c r="TT1116" s="31"/>
      <c r="TU1116" s="31"/>
      <c r="TV1116" s="31"/>
      <c r="TW1116" s="31"/>
      <c r="TX1116" s="31"/>
      <c r="TY1116" s="31"/>
      <c r="TZ1116" s="31"/>
      <c r="UA1116" s="31"/>
      <c r="UB1116" s="31"/>
      <c r="UC1116" s="31"/>
      <c r="UD1116" s="31"/>
      <c r="UE1116" s="31"/>
      <c r="UF1116" s="31"/>
      <c r="UG1116" s="33"/>
    </row>
    <row r="1117" spans="1:553" ht="31.5" customHeight="1">
      <c r="A1117" s="356"/>
      <c r="B1117" s="385">
        <v>7</v>
      </c>
      <c r="C1117" s="1403" t="s">
        <v>647</v>
      </c>
      <c r="D1117" s="1389"/>
      <c r="E1117" s="1389"/>
      <c r="F1117" s="1390"/>
      <c r="G1117" s="386" t="s">
        <v>33</v>
      </c>
      <c r="H1117" s="370"/>
      <c r="I1117" s="422">
        <f>(5.8*0.48*8)+(4*0.48*8)</f>
        <v>37.631999999999998</v>
      </c>
      <c r="J1117" s="477">
        <v>39000</v>
      </c>
      <c r="K1117" s="388"/>
      <c r="L1117" s="391">
        <f t="shared" si="167"/>
        <v>1467648</v>
      </c>
      <c r="M1117" s="395"/>
      <c r="N1117" s="395"/>
      <c r="O1117" s="366"/>
      <c r="P1117" s="396"/>
      <c r="Q1117" s="473"/>
      <c r="R1117" s="1039"/>
      <c r="S1117" s="308"/>
      <c r="T1117" s="308"/>
      <c r="U1117" s="308"/>
      <c r="V1117" s="308"/>
      <c r="W1117" s="308"/>
      <c r="X1117" s="308"/>
      <c r="Y1117" s="308"/>
      <c r="Z1117" s="604"/>
      <c r="AA1117" s="308"/>
      <c r="AB1117" s="308"/>
      <c r="AC1117" s="449"/>
      <c r="AD1117" s="449"/>
      <c r="AE1117" s="449"/>
      <c r="AF1117" s="449"/>
      <c r="AG1117" s="452"/>
      <c r="AH1117" s="452"/>
      <c r="AI1117" s="452"/>
      <c r="AJ1117" s="452"/>
      <c r="AK1117" s="452"/>
      <c r="AL1117" s="104"/>
      <c r="AM1117" s="32"/>
      <c r="AN1117" s="32"/>
      <c r="AO1117" s="32"/>
      <c r="AP1117" s="32"/>
      <c r="AQ1117" s="31"/>
      <c r="AR1117" s="31"/>
      <c r="AS1117" s="31"/>
      <c r="AT1117" s="31"/>
      <c r="AU1117" s="31"/>
      <c r="AV1117" s="31"/>
      <c r="AW1117" s="31"/>
      <c r="AX1117" s="31"/>
      <c r="AY1117" s="31"/>
      <c r="AZ1117" s="31"/>
      <c r="BA1117" s="31"/>
      <c r="BB1117" s="31"/>
      <c r="BC1117" s="31"/>
      <c r="BD1117" s="31"/>
      <c r="BE1117" s="31"/>
      <c r="BF1117" s="31"/>
      <c r="BG1117" s="31"/>
      <c r="BH1117" s="31"/>
      <c r="BI1117" s="31"/>
      <c r="BJ1117" s="31"/>
      <c r="BK1117" s="31"/>
      <c r="BL1117" s="31"/>
      <c r="BM1117" s="31"/>
      <c r="BN1117" s="31"/>
      <c r="BO1117" s="31"/>
      <c r="BP1117" s="31"/>
      <c r="BQ1117" s="31"/>
      <c r="BR1117" s="31"/>
      <c r="BS1117" s="31"/>
      <c r="BT1117" s="31"/>
      <c r="BU1117" s="31"/>
      <c r="BV1117" s="31"/>
      <c r="BW1117" s="31"/>
      <c r="BX1117" s="31"/>
      <c r="BY1117" s="31"/>
      <c r="BZ1117" s="31"/>
      <c r="CA1117" s="31"/>
      <c r="CB1117" s="31"/>
      <c r="CC1117" s="31"/>
      <c r="CD1117" s="31"/>
      <c r="CE1117" s="31"/>
      <c r="CF1117" s="31"/>
      <c r="CG1117" s="31"/>
      <c r="CH1117" s="31"/>
      <c r="CI1117" s="31"/>
      <c r="CJ1117" s="31"/>
      <c r="CK1117" s="31"/>
      <c r="CL1117" s="31"/>
      <c r="CM1117" s="31"/>
      <c r="CN1117" s="31"/>
      <c r="CO1117" s="31"/>
      <c r="CP1117" s="31"/>
      <c r="CQ1117" s="31"/>
      <c r="CR1117" s="31"/>
      <c r="CS1117" s="31"/>
      <c r="CT1117" s="31"/>
      <c r="CU1117" s="31"/>
      <c r="CV1117" s="31"/>
      <c r="CW1117" s="31"/>
      <c r="CX1117" s="31"/>
      <c r="CY1117" s="31"/>
      <c r="CZ1117" s="31"/>
      <c r="DA1117" s="31"/>
      <c r="DB1117" s="31"/>
      <c r="DC1117" s="31"/>
      <c r="DD1117" s="31"/>
      <c r="DE1117" s="31"/>
      <c r="DF1117" s="31"/>
      <c r="DG1117" s="31"/>
      <c r="DH1117" s="31"/>
      <c r="DI1117" s="31"/>
      <c r="DJ1117" s="31"/>
      <c r="DK1117" s="31"/>
      <c r="DL1117" s="31"/>
      <c r="DM1117" s="31"/>
      <c r="DN1117" s="31"/>
      <c r="DO1117" s="31"/>
      <c r="DP1117" s="31"/>
      <c r="DQ1117" s="31"/>
      <c r="DR1117" s="31"/>
      <c r="DS1117" s="31"/>
      <c r="DT1117" s="31"/>
      <c r="DU1117" s="31"/>
      <c r="DV1117" s="31"/>
      <c r="DW1117" s="31"/>
      <c r="DX1117" s="31"/>
      <c r="DY1117" s="31"/>
      <c r="DZ1117" s="31"/>
      <c r="EA1117" s="31"/>
      <c r="EB1117" s="31"/>
      <c r="EC1117" s="31"/>
      <c r="ED1117" s="31"/>
      <c r="EE1117" s="31"/>
      <c r="EF1117" s="31"/>
      <c r="EG1117" s="31"/>
      <c r="EH1117" s="31"/>
      <c r="EI1117" s="31"/>
      <c r="EJ1117" s="31"/>
      <c r="EK1117" s="31"/>
      <c r="EL1117" s="31"/>
      <c r="EM1117" s="31"/>
      <c r="EN1117" s="31"/>
      <c r="EO1117" s="31"/>
      <c r="EP1117" s="31"/>
      <c r="EQ1117" s="31"/>
      <c r="ER1117" s="31"/>
      <c r="ES1117" s="31"/>
      <c r="ET1117" s="31"/>
      <c r="EU1117" s="31"/>
      <c r="EV1117" s="31"/>
      <c r="EW1117" s="31"/>
      <c r="EX1117" s="31"/>
      <c r="EY1117" s="31"/>
      <c r="EZ1117" s="31"/>
      <c r="FA1117" s="31"/>
      <c r="FB1117" s="31"/>
      <c r="FC1117" s="31"/>
      <c r="FD1117" s="31"/>
      <c r="FE1117" s="31"/>
      <c r="FF1117" s="31"/>
      <c r="FG1117" s="31"/>
      <c r="FH1117" s="31"/>
      <c r="FI1117" s="31"/>
      <c r="FJ1117" s="31"/>
      <c r="FK1117" s="31"/>
      <c r="FL1117" s="31"/>
      <c r="FM1117" s="31"/>
      <c r="FN1117" s="31"/>
      <c r="FO1117" s="31"/>
      <c r="FP1117" s="31"/>
      <c r="FQ1117" s="31"/>
      <c r="FR1117" s="31"/>
      <c r="FS1117" s="31"/>
      <c r="FT1117" s="31"/>
      <c r="FU1117" s="31"/>
      <c r="FV1117" s="31"/>
      <c r="FW1117" s="31"/>
      <c r="FX1117" s="31"/>
      <c r="FY1117" s="31"/>
      <c r="FZ1117" s="31"/>
      <c r="GA1117" s="31"/>
      <c r="GB1117" s="31"/>
      <c r="GC1117" s="31"/>
      <c r="GD1117" s="31"/>
      <c r="GE1117" s="31"/>
      <c r="GF1117" s="31"/>
      <c r="GG1117" s="31"/>
      <c r="GH1117" s="31"/>
      <c r="GI1117" s="31"/>
      <c r="GJ1117" s="31"/>
      <c r="GK1117" s="31"/>
      <c r="GL1117" s="31"/>
      <c r="GM1117" s="31"/>
      <c r="GN1117" s="31"/>
      <c r="GO1117" s="31"/>
      <c r="GP1117" s="31"/>
      <c r="GQ1117" s="31"/>
      <c r="GR1117" s="31"/>
      <c r="GS1117" s="31"/>
      <c r="GT1117" s="31"/>
      <c r="GU1117" s="31"/>
      <c r="GV1117" s="31"/>
      <c r="GW1117" s="31"/>
      <c r="GX1117" s="31"/>
      <c r="GY1117" s="31"/>
      <c r="GZ1117" s="31"/>
      <c r="HA1117" s="31"/>
      <c r="HB1117" s="31"/>
      <c r="HC1117" s="31"/>
      <c r="HD1117" s="31"/>
      <c r="HE1117" s="31"/>
      <c r="HF1117" s="31"/>
      <c r="HG1117" s="31"/>
      <c r="HH1117" s="31"/>
      <c r="HI1117" s="31"/>
      <c r="HJ1117" s="31"/>
      <c r="HK1117" s="31"/>
      <c r="HL1117" s="31"/>
      <c r="HM1117" s="31"/>
      <c r="HN1117" s="31"/>
      <c r="HO1117" s="31"/>
      <c r="HP1117" s="31"/>
      <c r="HQ1117" s="31"/>
      <c r="HR1117" s="31"/>
      <c r="HS1117" s="31"/>
      <c r="HT1117" s="31"/>
      <c r="HU1117" s="31"/>
      <c r="HV1117" s="31"/>
      <c r="HW1117" s="31"/>
      <c r="HX1117" s="31"/>
      <c r="HY1117" s="31"/>
      <c r="HZ1117" s="31"/>
      <c r="IA1117" s="31"/>
      <c r="IB1117" s="31"/>
      <c r="IC1117" s="31"/>
      <c r="ID1117" s="31"/>
      <c r="IE1117" s="31"/>
      <c r="IF1117" s="31"/>
      <c r="IG1117" s="31"/>
      <c r="IH1117" s="31"/>
      <c r="II1117" s="31"/>
      <c r="IJ1117" s="31"/>
      <c r="IK1117" s="31"/>
      <c r="IL1117" s="31"/>
      <c r="IM1117" s="31"/>
      <c r="IN1117" s="31"/>
      <c r="IO1117" s="31"/>
      <c r="IP1117" s="31"/>
      <c r="IQ1117" s="31"/>
      <c r="IR1117" s="31"/>
      <c r="IS1117" s="31"/>
      <c r="IT1117" s="31"/>
      <c r="IU1117" s="31"/>
      <c r="IV1117" s="31"/>
      <c r="IW1117" s="31"/>
      <c r="IX1117" s="31"/>
      <c r="IY1117" s="31"/>
      <c r="IZ1117" s="31"/>
      <c r="JA1117" s="31"/>
      <c r="JB1117" s="31"/>
      <c r="JC1117" s="31"/>
      <c r="JD1117" s="31"/>
      <c r="JE1117" s="31"/>
      <c r="JF1117" s="31"/>
      <c r="JG1117" s="31"/>
      <c r="JH1117" s="31"/>
      <c r="JI1117" s="31"/>
      <c r="JJ1117" s="31"/>
      <c r="JK1117" s="31"/>
      <c r="JL1117" s="31"/>
      <c r="JM1117" s="31"/>
      <c r="JN1117" s="31"/>
      <c r="JO1117" s="31"/>
      <c r="JP1117" s="31"/>
      <c r="JQ1117" s="31"/>
      <c r="JR1117" s="31"/>
      <c r="JS1117" s="31"/>
      <c r="JT1117" s="31"/>
      <c r="JU1117" s="31"/>
      <c r="JV1117" s="31"/>
      <c r="JW1117" s="31"/>
      <c r="JX1117" s="31"/>
      <c r="JY1117" s="31"/>
      <c r="JZ1117" s="31"/>
      <c r="KA1117" s="31"/>
      <c r="KB1117" s="31"/>
      <c r="KC1117" s="31"/>
      <c r="KD1117" s="31"/>
      <c r="KE1117" s="31"/>
      <c r="KF1117" s="31"/>
      <c r="KG1117" s="31"/>
      <c r="KH1117" s="31"/>
      <c r="KI1117" s="31"/>
      <c r="KJ1117" s="31"/>
      <c r="KK1117" s="31"/>
      <c r="KL1117" s="31"/>
      <c r="KM1117" s="31"/>
      <c r="KN1117" s="31"/>
      <c r="KO1117" s="31"/>
      <c r="KP1117" s="31"/>
      <c r="KQ1117" s="31"/>
      <c r="KR1117" s="31"/>
      <c r="KS1117" s="31"/>
      <c r="KT1117" s="31"/>
      <c r="KU1117" s="31"/>
      <c r="KV1117" s="31"/>
      <c r="KW1117" s="31"/>
      <c r="KX1117" s="31"/>
      <c r="KY1117" s="31"/>
      <c r="KZ1117" s="31"/>
      <c r="LA1117" s="31"/>
      <c r="LB1117" s="31"/>
      <c r="LC1117" s="31"/>
      <c r="LD1117" s="31"/>
      <c r="LE1117" s="31"/>
      <c r="LF1117" s="31"/>
      <c r="LG1117" s="31"/>
      <c r="LH1117" s="31"/>
      <c r="LI1117" s="31"/>
      <c r="LJ1117" s="31"/>
      <c r="LK1117" s="31"/>
      <c r="LL1117" s="31"/>
      <c r="LM1117" s="31"/>
      <c r="LN1117" s="31"/>
      <c r="LO1117" s="31"/>
      <c r="LP1117" s="31"/>
      <c r="LQ1117" s="31"/>
      <c r="LR1117" s="31"/>
      <c r="LS1117" s="31"/>
      <c r="LT1117" s="31"/>
      <c r="LU1117" s="31"/>
      <c r="LV1117" s="31"/>
      <c r="LW1117" s="31"/>
      <c r="LX1117" s="31"/>
      <c r="LY1117" s="31"/>
      <c r="LZ1117" s="31"/>
      <c r="MA1117" s="31"/>
      <c r="MB1117" s="31"/>
      <c r="MC1117" s="31"/>
      <c r="MD1117" s="31"/>
      <c r="ME1117" s="31"/>
      <c r="MF1117" s="31"/>
      <c r="MG1117" s="31"/>
      <c r="MH1117" s="31"/>
      <c r="MI1117" s="31"/>
      <c r="MJ1117" s="31"/>
      <c r="MK1117" s="31"/>
      <c r="ML1117" s="31"/>
      <c r="MM1117" s="31"/>
      <c r="MN1117" s="31"/>
      <c r="MO1117" s="31"/>
      <c r="MP1117" s="31"/>
      <c r="MQ1117" s="31"/>
      <c r="MR1117" s="31"/>
      <c r="MS1117" s="31"/>
      <c r="MT1117" s="31"/>
      <c r="MU1117" s="31"/>
      <c r="MV1117" s="31"/>
      <c r="MW1117" s="31"/>
      <c r="MX1117" s="31"/>
      <c r="MY1117" s="31"/>
      <c r="MZ1117" s="31"/>
      <c r="NA1117" s="31"/>
      <c r="NB1117" s="31"/>
      <c r="NC1117" s="31"/>
      <c r="ND1117" s="31"/>
      <c r="NE1117" s="31"/>
      <c r="NF1117" s="31"/>
      <c r="NG1117" s="31"/>
      <c r="NH1117" s="31"/>
      <c r="NI1117" s="31"/>
      <c r="NJ1117" s="31"/>
      <c r="NK1117" s="31"/>
      <c r="NL1117" s="31"/>
      <c r="NM1117" s="31"/>
      <c r="NN1117" s="31"/>
      <c r="NO1117" s="31"/>
      <c r="NP1117" s="31"/>
      <c r="NQ1117" s="31"/>
      <c r="NR1117" s="31"/>
      <c r="NS1117" s="31"/>
      <c r="NT1117" s="31"/>
      <c r="NU1117" s="31"/>
      <c r="NV1117" s="31"/>
      <c r="NW1117" s="31"/>
      <c r="NX1117" s="31"/>
      <c r="NY1117" s="31"/>
      <c r="NZ1117" s="31"/>
      <c r="OA1117" s="31"/>
      <c r="OB1117" s="31"/>
      <c r="OC1117" s="31"/>
      <c r="OD1117" s="31"/>
      <c r="OE1117" s="31"/>
      <c r="OF1117" s="31"/>
      <c r="OG1117" s="31"/>
      <c r="OH1117" s="31"/>
      <c r="OI1117" s="31"/>
      <c r="OJ1117" s="31"/>
      <c r="OK1117" s="31"/>
      <c r="OL1117" s="31"/>
      <c r="OM1117" s="31"/>
      <c r="ON1117" s="31"/>
      <c r="OO1117" s="31"/>
      <c r="OP1117" s="31"/>
      <c r="OQ1117" s="31"/>
      <c r="OR1117" s="31"/>
      <c r="OS1117" s="31"/>
      <c r="OT1117" s="31"/>
      <c r="OU1117" s="31"/>
      <c r="OV1117" s="31"/>
      <c r="OW1117" s="31"/>
      <c r="OX1117" s="31"/>
      <c r="OY1117" s="31"/>
      <c r="OZ1117" s="31"/>
      <c r="PA1117" s="31"/>
      <c r="PB1117" s="31"/>
      <c r="PC1117" s="31"/>
      <c r="PD1117" s="31"/>
      <c r="PE1117" s="31"/>
      <c r="PF1117" s="31"/>
      <c r="PG1117" s="31"/>
      <c r="PH1117" s="31"/>
      <c r="PI1117" s="31"/>
      <c r="PJ1117" s="31"/>
      <c r="PK1117" s="31"/>
      <c r="PL1117" s="31"/>
      <c r="PM1117" s="31"/>
      <c r="PN1117" s="31"/>
      <c r="PO1117" s="31"/>
      <c r="PP1117" s="31"/>
      <c r="PQ1117" s="31"/>
      <c r="PR1117" s="31"/>
      <c r="PS1117" s="31"/>
      <c r="PT1117" s="31"/>
      <c r="PU1117" s="31"/>
      <c r="PV1117" s="31"/>
      <c r="PW1117" s="31"/>
      <c r="PX1117" s="31"/>
      <c r="PY1117" s="31"/>
      <c r="PZ1117" s="31"/>
      <c r="QA1117" s="31"/>
      <c r="QB1117" s="31"/>
      <c r="QC1117" s="31"/>
      <c r="QD1117" s="31"/>
      <c r="QE1117" s="31"/>
      <c r="QF1117" s="31"/>
      <c r="QG1117" s="31"/>
      <c r="QH1117" s="31"/>
      <c r="QI1117" s="31"/>
      <c r="QJ1117" s="31"/>
      <c r="QK1117" s="31"/>
      <c r="QL1117" s="31"/>
      <c r="QM1117" s="31"/>
      <c r="QN1117" s="31"/>
      <c r="QO1117" s="31"/>
      <c r="QP1117" s="31"/>
      <c r="QQ1117" s="31"/>
      <c r="QR1117" s="31"/>
      <c r="QS1117" s="31"/>
      <c r="QT1117" s="31"/>
      <c r="QU1117" s="31"/>
      <c r="QV1117" s="31"/>
      <c r="QW1117" s="31"/>
      <c r="QX1117" s="31"/>
      <c r="QY1117" s="31"/>
      <c r="QZ1117" s="31"/>
      <c r="RA1117" s="31"/>
      <c r="RB1117" s="31"/>
      <c r="RC1117" s="31"/>
      <c r="RD1117" s="31"/>
      <c r="RE1117" s="31"/>
      <c r="RF1117" s="31"/>
      <c r="RG1117" s="31"/>
      <c r="RH1117" s="31"/>
      <c r="RI1117" s="31"/>
      <c r="RJ1117" s="31"/>
      <c r="RK1117" s="31"/>
      <c r="RL1117" s="31"/>
      <c r="RM1117" s="31"/>
      <c r="RN1117" s="31"/>
      <c r="RO1117" s="31"/>
      <c r="RP1117" s="31"/>
      <c r="RQ1117" s="31"/>
      <c r="RR1117" s="31"/>
      <c r="RS1117" s="31"/>
      <c r="RT1117" s="31"/>
      <c r="RU1117" s="31"/>
      <c r="RV1117" s="31"/>
      <c r="RW1117" s="31"/>
      <c r="RX1117" s="31"/>
      <c r="RY1117" s="31"/>
      <c r="RZ1117" s="31"/>
      <c r="SA1117" s="31"/>
      <c r="SB1117" s="31"/>
      <c r="SC1117" s="31"/>
      <c r="SD1117" s="31"/>
      <c r="SE1117" s="31"/>
      <c r="SF1117" s="31"/>
      <c r="SG1117" s="31"/>
      <c r="SH1117" s="31"/>
      <c r="SI1117" s="31"/>
      <c r="SJ1117" s="31"/>
      <c r="SK1117" s="31"/>
      <c r="SL1117" s="31"/>
      <c r="SM1117" s="31"/>
      <c r="SN1117" s="31"/>
      <c r="SO1117" s="31"/>
      <c r="SP1117" s="31"/>
      <c r="SQ1117" s="31"/>
      <c r="SR1117" s="31"/>
      <c r="SS1117" s="31"/>
      <c r="ST1117" s="31"/>
      <c r="SU1117" s="31"/>
      <c r="SV1117" s="31"/>
      <c r="SW1117" s="31"/>
      <c r="SX1117" s="31"/>
      <c r="SY1117" s="31"/>
      <c r="SZ1117" s="31"/>
      <c r="TA1117" s="31"/>
      <c r="TB1117" s="31"/>
      <c r="TC1117" s="31"/>
      <c r="TD1117" s="31"/>
      <c r="TE1117" s="31"/>
      <c r="TF1117" s="31"/>
      <c r="TG1117" s="31"/>
      <c r="TH1117" s="31"/>
      <c r="TI1117" s="31"/>
      <c r="TJ1117" s="31"/>
      <c r="TK1117" s="31"/>
      <c r="TL1117" s="31"/>
      <c r="TM1117" s="31"/>
      <c r="TN1117" s="31"/>
      <c r="TO1117" s="31"/>
      <c r="TP1117" s="31"/>
      <c r="TQ1117" s="31"/>
      <c r="TR1117" s="31"/>
      <c r="TS1117" s="31"/>
      <c r="TT1117" s="31"/>
      <c r="TU1117" s="31"/>
      <c r="TV1117" s="31"/>
      <c r="TW1117" s="31"/>
      <c r="TX1117" s="31"/>
      <c r="TY1117" s="31"/>
      <c r="TZ1117" s="31"/>
      <c r="UA1117" s="31"/>
      <c r="UB1117" s="31"/>
      <c r="UC1117" s="31"/>
      <c r="UD1117" s="31"/>
      <c r="UE1117" s="31"/>
      <c r="UF1117" s="31"/>
      <c r="UG1117" s="33"/>
    </row>
    <row r="1118" spans="1:553" ht="31.5" customHeight="1">
      <c r="A1118" s="356"/>
      <c r="B1118" s="385">
        <v>7</v>
      </c>
      <c r="C1118" s="1403" t="s">
        <v>648</v>
      </c>
      <c r="D1118" s="1389"/>
      <c r="E1118" s="1389"/>
      <c r="F1118" s="1390"/>
      <c r="G1118" s="386" t="s">
        <v>33</v>
      </c>
      <c r="H1118" s="370"/>
      <c r="I1118" s="422">
        <f>1*0.9*8</f>
        <v>7.2</v>
      </c>
      <c r="J1118" s="477">
        <v>39000</v>
      </c>
      <c r="K1118" s="388"/>
      <c r="L1118" s="391">
        <f t="shared" si="167"/>
        <v>280800</v>
      </c>
      <c r="M1118" s="395"/>
      <c r="N1118" s="395"/>
      <c r="O1118" s="366"/>
      <c r="P1118" s="396"/>
      <c r="Q1118" s="473"/>
      <c r="R1118" s="1039"/>
      <c r="S1118" s="308"/>
      <c r="T1118" s="308"/>
      <c r="U1118" s="308"/>
      <c r="V1118" s="308"/>
      <c r="W1118" s="308"/>
      <c r="X1118" s="308"/>
      <c r="Y1118" s="308"/>
      <c r="Z1118" s="604"/>
      <c r="AA1118" s="308"/>
      <c r="AB1118" s="308"/>
      <c r="AC1118" s="449"/>
      <c r="AD1118" s="449"/>
      <c r="AE1118" s="449"/>
      <c r="AF1118" s="449"/>
      <c r="AG1118" s="452"/>
      <c r="AH1118" s="452"/>
      <c r="AI1118" s="452"/>
      <c r="AJ1118" s="452"/>
      <c r="AK1118" s="452"/>
      <c r="AL1118" s="104"/>
      <c r="AM1118" s="32"/>
      <c r="AN1118" s="32"/>
      <c r="AO1118" s="32"/>
      <c r="AP1118" s="32"/>
      <c r="AQ1118" s="31"/>
      <c r="AR1118" s="31"/>
      <c r="AS1118" s="31"/>
      <c r="AT1118" s="31"/>
      <c r="AU1118" s="31"/>
      <c r="AV1118" s="31"/>
      <c r="AW1118" s="31"/>
      <c r="AX1118" s="31"/>
      <c r="AY1118" s="31"/>
      <c r="AZ1118" s="31"/>
      <c r="BA1118" s="31"/>
      <c r="BB1118" s="31"/>
      <c r="BC1118" s="31"/>
      <c r="BD1118" s="31"/>
      <c r="BE1118" s="31"/>
      <c r="BF1118" s="31"/>
      <c r="BG1118" s="31"/>
      <c r="BH1118" s="31"/>
      <c r="BI1118" s="31"/>
      <c r="BJ1118" s="31"/>
      <c r="BK1118" s="31"/>
      <c r="BL1118" s="31"/>
      <c r="BM1118" s="31"/>
      <c r="BN1118" s="31"/>
      <c r="BO1118" s="31"/>
      <c r="BP1118" s="31"/>
      <c r="BQ1118" s="31"/>
      <c r="BR1118" s="31"/>
      <c r="BS1118" s="31"/>
      <c r="BT1118" s="31"/>
      <c r="BU1118" s="31"/>
      <c r="BV1118" s="31"/>
      <c r="BW1118" s="31"/>
      <c r="BX1118" s="31"/>
      <c r="BY1118" s="31"/>
      <c r="BZ1118" s="31"/>
      <c r="CA1118" s="31"/>
      <c r="CB1118" s="31"/>
      <c r="CC1118" s="31"/>
      <c r="CD1118" s="31"/>
      <c r="CE1118" s="31"/>
      <c r="CF1118" s="31"/>
      <c r="CG1118" s="31"/>
      <c r="CH1118" s="31"/>
      <c r="CI1118" s="31"/>
      <c r="CJ1118" s="31"/>
      <c r="CK1118" s="31"/>
      <c r="CL1118" s="31"/>
      <c r="CM1118" s="31"/>
      <c r="CN1118" s="31"/>
      <c r="CO1118" s="31"/>
      <c r="CP1118" s="31"/>
      <c r="CQ1118" s="31"/>
      <c r="CR1118" s="31"/>
      <c r="CS1118" s="31"/>
      <c r="CT1118" s="31"/>
      <c r="CU1118" s="31"/>
      <c r="CV1118" s="31"/>
      <c r="CW1118" s="31"/>
      <c r="CX1118" s="31"/>
      <c r="CY1118" s="31"/>
      <c r="CZ1118" s="31"/>
      <c r="DA1118" s="31"/>
      <c r="DB1118" s="31"/>
      <c r="DC1118" s="31"/>
      <c r="DD1118" s="31"/>
      <c r="DE1118" s="31"/>
      <c r="DF1118" s="31"/>
      <c r="DG1118" s="31"/>
      <c r="DH1118" s="31"/>
      <c r="DI1118" s="31"/>
      <c r="DJ1118" s="31"/>
      <c r="DK1118" s="31"/>
      <c r="DL1118" s="31"/>
      <c r="DM1118" s="31"/>
      <c r="DN1118" s="31"/>
      <c r="DO1118" s="31"/>
      <c r="DP1118" s="31"/>
      <c r="DQ1118" s="31"/>
      <c r="DR1118" s="31"/>
      <c r="DS1118" s="31"/>
      <c r="DT1118" s="31"/>
      <c r="DU1118" s="31"/>
      <c r="DV1118" s="31"/>
      <c r="DW1118" s="31"/>
      <c r="DX1118" s="31"/>
      <c r="DY1118" s="31"/>
      <c r="DZ1118" s="31"/>
      <c r="EA1118" s="31"/>
      <c r="EB1118" s="31"/>
      <c r="EC1118" s="31"/>
      <c r="ED1118" s="31"/>
      <c r="EE1118" s="31"/>
      <c r="EF1118" s="31"/>
      <c r="EG1118" s="31"/>
      <c r="EH1118" s="31"/>
      <c r="EI1118" s="31"/>
      <c r="EJ1118" s="31"/>
      <c r="EK1118" s="31"/>
      <c r="EL1118" s="31"/>
      <c r="EM1118" s="31"/>
      <c r="EN1118" s="31"/>
      <c r="EO1118" s="31"/>
      <c r="EP1118" s="31"/>
      <c r="EQ1118" s="31"/>
      <c r="ER1118" s="31"/>
      <c r="ES1118" s="31"/>
      <c r="ET1118" s="31"/>
      <c r="EU1118" s="31"/>
      <c r="EV1118" s="31"/>
      <c r="EW1118" s="31"/>
      <c r="EX1118" s="31"/>
      <c r="EY1118" s="31"/>
      <c r="EZ1118" s="31"/>
      <c r="FA1118" s="31"/>
      <c r="FB1118" s="31"/>
      <c r="FC1118" s="31"/>
      <c r="FD1118" s="31"/>
      <c r="FE1118" s="31"/>
      <c r="FF1118" s="31"/>
      <c r="FG1118" s="31"/>
      <c r="FH1118" s="31"/>
      <c r="FI1118" s="31"/>
      <c r="FJ1118" s="31"/>
      <c r="FK1118" s="31"/>
      <c r="FL1118" s="31"/>
      <c r="FM1118" s="31"/>
      <c r="FN1118" s="31"/>
      <c r="FO1118" s="31"/>
      <c r="FP1118" s="31"/>
      <c r="FQ1118" s="31"/>
      <c r="FR1118" s="31"/>
      <c r="FS1118" s="31"/>
      <c r="FT1118" s="31"/>
      <c r="FU1118" s="31"/>
      <c r="FV1118" s="31"/>
      <c r="FW1118" s="31"/>
      <c r="FX1118" s="31"/>
      <c r="FY1118" s="31"/>
      <c r="FZ1118" s="31"/>
      <c r="GA1118" s="31"/>
      <c r="GB1118" s="31"/>
      <c r="GC1118" s="31"/>
      <c r="GD1118" s="31"/>
      <c r="GE1118" s="31"/>
      <c r="GF1118" s="31"/>
      <c r="GG1118" s="31"/>
      <c r="GH1118" s="31"/>
      <c r="GI1118" s="31"/>
      <c r="GJ1118" s="31"/>
      <c r="GK1118" s="31"/>
      <c r="GL1118" s="31"/>
      <c r="GM1118" s="31"/>
      <c r="GN1118" s="31"/>
      <c r="GO1118" s="31"/>
      <c r="GP1118" s="31"/>
      <c r="GQ1118" s="31"/>
      <c r="GR1118" s="31"/>
      <c r="GS1118" s="31"/>
      <c r="GT1118" s="31"/>
      <c r="GU1118" s="31"/>
      <c r="GV1118" s="31"/>
      <c r="GW1118" s="31"/>
      <c r="GX1118" s="31"/>
      <c r="GY1118" s="31"/>
      <c r="GZ1118" s="31"/>
      <c r="HA1118" s="31"/>
      <c r="HB1118" s="31"/>
      <c r="HC1118" s="31"/>
      <c r="HD1118" s="31"/>
      <c r="HE1118" s="31"/>
      <c r="HF1118" s="31"/>
      <c r="HG1118" s="31"/>
      <c r="HH1118" s="31"/>
      <c r="HI1118" s="31"/>
      <c r="HJ1118" s="31"/>
      <c r="HK1118" s="31"/>
      <c r="HL1118" s="31"/>
      <c r="HM1118" s="31"/>
      <c r="HN1118" s="31"/>
      <c r="HO1118" s="31"/>
      <c r="HP1118" s="31"/>
      <c r="HQ1118" s="31"/>
      <c r="HR1118" s="31"/>
      <c r="HS1118" s="31"/>
      <c r="HT1118" s="31"/>
      <c r="HU1118" s="31"/>
      <c r="HV1118" s="31"/>
      <c r="HW1118" s="31"/>
      <c r="HX1118" s="31"/>
      <c r="HY1118" s="31"/>
      <c r="HZ1118" s="31"/>
      <c r="IA1118" s="31"/>
      <c r="IB1118" s="31"/>
      <c r="IC1118" s="31"/>
      <c r="ID1118" s="31"/>
      <c r="IE1118" s="31"/>
      <c r="IF1118" s="31"/>
      <c r="IG1118" s="31"/>
      <c r="IH1118" s="31"/>
      <c r="II1118" s="31"/>
      <c r="IJ1118" s="31"/>
      <c r="IK1118" s="31"/>
      <c r="IL1118" s="31"/>
      <c r="IM1118" s="31"/>
      <c r="IN1118" s="31"/>
      <c r="IO1118" s="31"/>
      <c r="IP1118" s="31"/>
      <c r="IQ1118" s="31"/>
      <c r="IR1118" s="31"/>
      <c r="IS1118" s="31"/>
      <c r="IT1118" s="31"/>
      <c r="IU1118" s="31"/>
      <c r="IV1118" s="31"/>
      <c r="IW1118" s="31"/>
      <c r="IX1118" s="31"/>
      <c r="IY1118" s="31"/>
      <c r="IZ1118" s="31"/>
      <c r="JA1118" s="31"/>
      <c r="JB1118" s="31"/>
      <c r="JC1118" s="31"/>
      <c r="JD1118" s="31"/>
      <c r="JE1118" s="31"/>
      <c r="JF1118" s="31"/>
      <c r="JG1118" s="31"/>
      <c r="JH1118" s="31"/>
      <c r="JI1118" s="31"/>
      <c r="JJ1118" s="31"/>
      <c r="JK1118" s="31"/>
      <c r="JL1118" s="31"/>
      <c r="JM1118" s="31"/>
      <c r="JN1118" s="31"/>
      <c r="JO1118" s="31"/>
      <c r="JP1118" s="31"/>
      <c r="JQ1118" s="31"/>
      <c r="JR1118" s="31"/>
      <c r="JS1118" s="31"/>
      <c r="JT1118" s="31"/>
      <c r="JU1118" s="31"/>
      <c r="JV1118" s="31"/>
      <c r="JW1118" s="31"/>
      <c r="JX1118" s="31"/>
      <c r="JY1118" s="31"/>
      <c r="JZ1118" s="31"/>
      <c r="KA1118" s="31"/>
      <c r="KB1118" s="31"/>
      <c r="KC1118" s="31"/>
      <c r="KD1118" s="31"/>
      <c r="KE1118" s="31"/>
      <c r="KF1118" s="31"/>
      <c r="KG1118" s="31"/>
      <c r="KH1118" s="31"/>
      <c r="KI1118" s="31"/>
      <c r="KJ1118" s="31"/>
      <c r="KK1118" s="31"/>
      <c r="KL1118" s="31"/>
      <c r="KM1118" s="31"/>
      <c r="KN1118" s="31"/>
      <c r="KO1118" s="31"/>
      <c r="KP1118" s="31"/>
      <c r="KQ1118" s="31"/>
      <c r="KR1118" s="31"/>
      <c r="KS1118" s="31"/>
      <c r="KT1118" s="31"/>
      <c r="KU1118" s="31"/>
      <c r="KV1118" s="31"/>
      <c r="KW1118" s="31"/>
      <c r="KX1118" s="31"/>
      <c r="KY1118" s="31"/>
      <c r="KZ1118" s="31"/>
      <c r="LA1118" s="31"/>
      <c r="LB1118" s="31"/>
      <c r="LC1118" s="31"/>
      <c r="LD1118" s="31"/>
      <c r="LE1118" s="31"/>
      <c r="LF1118" s="31"/>
      <c r="LG1118" s="31"/>
      <c r="LH1118" s="31"/>
      <c r="LI1118" s="31"/>
      <c r="LJ1118" s="31"/>
      <c r="LK1118" s="31"/>
      <c r="LL1118" s="31"/>
      <c r="LM1118" s="31"/>
      <c r="LN1118" s="31"/>
      <c r="LO1118" s="31"/>
      <c r="LP1118" s="31"/>
      <c r="LQ1118" s="31"/>
      <c r="LR1118" s="31"/>
      <c r="LS1118" s="31"/>
      <c r="LT1118" s="31"/>
      <c r="LU1118" s="31"/>
      <c r="LV1118" s="31"/>
      <c r="LW1118" s="31"/>
      <c r="LX1118" s="31"/>
      <c r="LY1118" s="31"/>
      <c r="LZ1118" s="31"/>
      <c r="MA1118" s="31"/>
      <c r="MB1118" s="31"/>
      <c r="MC1118" s="31"/>
      <c r="MD1118" s="31"/>
      <c r="ME1118" s="31"/>
      <c r="MF1118" s="31"/>
      <c r="MG1118" s="31"/>
      <c r="MH1118" s="31"/>
      <c r="MI1118" s="31"/>
      <c r="MJ1118" s="31"/>
      <c r="MK1118" s="31"/>
      <c r="ML1118" s="31"/>
      <c r="MM1118" s="31"/>
      <c r="MN1118" s="31"/>
      <c r="MO1118" s="31"/>
      <c r="MP1118" s="31"/>
      <c r="MQ1118" s="31"/>
      <c r="MR1118" s="31"/>
      <c r="MS1118" s="31"/>
      <c r="MT1118" s="31"/>
      <c r="MU1118" s="31"/>
      <c r="MV1118" s="31"/>
      <c r="MW1118" s="31"/>
      <c r="MX1118" s="31"/>
      <c r="MY1118" s="31"/>
      <c r="MZ1118" s="31"/>
      <c r="NA1118" s="31"/>
      <c r="NB1118" s="31"/>
      <c r="NC1118" s="31"/>
      <c r="ND1118" s="31"/>
      <c r="NE1118" s="31"/>
      <c r="NF1118" s="31"/>
      <c r="NG1118" s="31"/>
      <c r="NH1118" s="31"/>
      <c r="NI1118" s="31"/>
      <c r="NJ1118" s="31"/>
      <c r="NK1118" s="31"/>
      <c r="NL1118" s="31"/>
      <c r="NM1118" s="31"/>
      <c r="NN1118" s="31"/>
      <c r="NO1118" s="31"/>
      <c r="NP1118" s="31"/>
      <c r="NQ1118" s="31"/>
      <c r="NR1118" s="31"/>
      <c r="NS1118" s="31"/>
      <c r="NT1118" s="31"/>
      <c r="NU1118" s="31"/>
      <c r="NV1118" s="31"/>
      <c r="NW1118" s="31"/>
      <c r="NX1118" s="31"/>
      <c r="NY1118" s="31"/>
      <c r="NZ1118" s="31"/>
      <c r="OA1118" s="31"/>
      <c r="OB1118" s="31"/>
      <c r="OC1118" s="31"/>
      <c r="OD1118" s="31"/>
      <c r="OE1118" s="31"/>
      <c r="OF1118" s="31"/>
      <c r="OG1118" s="31"/>
      <c r="OH1118" s="31"/>
      <c r="OI1118" s="31"/>
      <c r="OJ1118" s="31"/>
      <c r="OK1118" s="31"/>
      <c r="OL1118" s="31"/>
      <c r="OM1118" s="31"/>
      <c r="ON1118" s="31"/>
      <c r="OO1118" s="31"/>
      <c r="OP1118" s="31"/>
      <c r="OQ1118" s="31"/>
      <c r="OR1118" s="31"/>
      <c r="OS1118" s="31"/>
      <c r="OT1118" s="31"/>
      <c r="OU1118" s="31"/>
      <c r="OV1118" s="31"/>
      <c r="OW1118" s="31"/>
      <c r="OX1118" s="31"/>
      <c r="OY1118" s="31"/>
      <c r="OZ1118" s="31"/>
      <c r="PA1118" s="31"/>
      <c r="PB1118" s="31"/>
      <c r="PC1118" s="31"/>
      <c r="PD1118" s="31"/>
      <c r="PE1118" s="31"/>
      <c r="PF1118" s="31"/>
      <c r="PG1118" s="31"/>
      <c r="PH1118" s="31"/>
      <c r="PI1118" s="31"/>
      <c r="PJ1118" s="31"/>
      <c r="PK1118" s="31"/>
      <c r="PL1118" s="31"/>
      <c r="PM1118" s="31"/>
      <c r="PN1118" s="31"/>
      <c r="PO1118" s="31"/>
      <c r="PP1118" s="31"/>
      <c r="PQ1118" s="31"/>
      <c r="PR1118" s="31"/>
      <c r="PS1118" s="31"/>
      <c r="PT1118" s="31"/>
      <c r="PU1118" s="31"/>
      <c r="PV1118" s="31"/>
      <c r="PW1118" s="31"/>
      <c r="PX1118" s="31"/>
      <c r="PY1118" s="31"/>
      <c r="PZ1118" s="31"/>
      <c r="QA1118" s="31"/>
      <c r="QB1118" s="31"/>
      <c r="QC1118" s="31"/>
      <c r="QD1118" s="31"/>
      <c r="QE1118" s="31"/>
      <c r="QF1118" s="31"/>
      <c r="QG1118" s="31"/>
      <c r="QH1118" s="31"/>
      <c r="QI1118" s="31"/>
      <c r="QJ1118" s="31"/>
      <c r="QK1118" s="31"/>
      <c r="QL1118" s="31"/>
      <c r="QM1118" s="31"/>
      <c r="QN1118" s="31"/>
      <c r="QO1118" s="31"/>
      <c r="QP1118" s="31"/>
      <c r="QQ1118" s="31"/>
      <c r="QR1118" s="31"/>
      <c r="QS1118" s="31"/>
      <c r="QT1118" s="31"/>
      <c r="QU1118" s="31"/>
      <c r="QV1118" s="31"/>
      <c r="QW1118" s="31"/>
      <c r="QX1118" s="31"/>
      <c r="QY1118" s="31"/>
      <c r="QZ1118" s="31"/>
      <c r="RA1118" s="31"/>
      <c r="RB1118" s="31"/>
      <c r="RC1118" s="31"/>
      <c r="RD1118" s="31"/>
      <c r="RE1118" s="31"/>
      <c r="RF1118" s="31"/>
      <c r="RG1118" s="31"/>
      <c r="RH1118" s="31"/>
      <c r="RI1118" s="31"/>
      <c r="RJ1118" s="31"/>
      <c r="RK1118" s="31"/>
      <c r="RL1118" s="31"/>
      <c r="RM1118" s="31"/>
      <c r="RN1118" s="31"/>
      <c r="RO1118" s="31"/>
      <c r="RP1118" s="31"/>
      <c r="RQ1118" s="31"/>
      <c r="RR1118" s="31"/>
      <c r="RS1118" s="31"/>
      <c r="RT1118" s="31"/>
      <c r="RU1118" s="31"/>
      <c r="RV1118" s="31"/>
      <c r="RW1118" s="31"/>
      <c r="RX1118" s="31"/>
      <c r="RY1118" s="31"/>
      <c r="RZ1118" s="31"/>
      <c r="SA1118" s="31"/>
      <c r="SB1118" s="31"/>
      <c r="SC1118" s="31"/>
      <c r="SD1118" s="31"/>
      <c r="SE1118" s="31"/>
      <c r="SF1118" s="31"/>
      <c r="SG1118" s="31"/>
      <c r="SH1118" s="31"/>
      <c r="SI1118" s="31"/>
      <c r="SJ1118" s="31"/>
      <c r="SK1118" s="31"/>
      <c r="SL1118" s="31"/>
      <c r="SM1118" s="31"/>
      <c r="SN1118" s="31"/>
      <c r="SO1118" s="31"/>
      <c r="SP1118" s="31"/>
      <c r="SQ1118" s="31"/>
      <c r="SR1118" s="31"/>
      <c r="SS1118" s="31"/>
      <c r="ST1118" s="31"/>
      <c r="SU1118" s="31"/>
      <c r="SV1118" s="31"/>
      <c r="SW1118" s="31"/>
      <c r="SX1118" s="31"/>
      <c r="SY1118" s="31"/>
      <c r="SZ1118" s="31"/>
      <c r="TA1118" s="31"/>
      <c r="TB1118" s="31"/>
      <c r="TC1118" s="31"/>
      <c r="TD1118" s="31"/>
      <c r="TE1118" s="31"/>
      <c r="TF1118" s="31"/>
      <c r="TG1118" s="31"/>
      <c r="TH1118" s="31"/>
      <c r="TI1118" s="31"/>
      <c r="TJ1118" s="31"/>
      <c r="TK1118" s="31"/>
      <c r="TL1118" s="31"/>
      <c r="TM1118" s="31"/>
      <c r="TN1118" s="31"/>
      <c r="TO1118" s="31"/>
      <c r="TP1118" s="31"/>
      <c r="TQ1118" s="31"/>
      <c r="TR1118" s="31"/>
      <c r="TS1118" s="31"/>
      <c r="TT1118" s="31"/>
      <c r="TU1118" s="31"/>
      <c r="TV1118" s="31"/>
      <c r="TW1118" s="31"/>
      <c r="TX1118" s="31"/>
      <c r="TY1118" s="31"/>
      <c r="TZ1118" s="31"/>
      <c r="UA1118" s="31"/>
      <c r="UB1118" s="31"/>
      <c r="UC1118" s="31"/>
      <c r="UD1118" s="31"/>
      <c r="UE1118" s="31"/>
      <c r="UF1118" s="31"/>
      <c r="UG1118" s="33"/>
    </row>
    <row r="1119" spans="1:553" ht="31.5" customHeight="1">
      <c r="A1119" s="356"/>
      <c r="B1119" s="385">
        <v>7</v>
      </c>
      <c r="C1119" s="1403" t="s">
        <v>649</v>
      </c>
      <c r="D1119" s="1389"/>
      <c r="E1119" s="1389"/>
      <c r="F1119" s="1390"/>
      <c r="G1119" s="386" t="s">
        <v>33</v>
      </c>
      <c r="H1119" s="370"/>
      <c r="I1119" s="422">
        <f>(15+20)*2*2</f>
        <v>140</v>
      </c>
      <c r="J1119" s="477">
        <v>39000</v>
      </c>
      <c r="K1119" s="388"/>
      <c r="L1119" s="391">
        <f t="shared" si="167"/>
        <v>5460000</v>
      </c>
      <c r="M1119" s="395"/>
      <c r="N1119" s="395"/>
      <c r="O1119" s="366"/>
      <c r="P1119" s="396"/>
      <c r="Q1119" s="473"/>
      <c r="R1119" s="1039"/>
      <c r="S1119" s="308"/>
      <c r="T1119" s="308"/>
      <c r="U1119" s="308"/>
      <c r="V1119" s="308"/>
      <c r="W1119" s="308"/>
      <c r="X1119" s="308"/>
      <c r="Y1119" s="308"/>
      <c r="Z1119" s="604"/>
      <c r="AA1119" s="308"/>
      <c r="AB1119" s="308"/>
      <c r="AC1119" s="449"/>
      <c r="AD1119" s="449"/>
      <c r="AE1119" s="449"/>
      <c r="AF1119" s="449"/>
      <c r="AG1119" s="452"/>
      <c r="AH1119" s="452"/>
      <c r="AI1119" s="452"/>
      <c r="AJ1119" s="452"/>
      <c r="AK1119" s="452"/>
      <c r="AL1119" s="104"/>
      <c r="AM1119" s="32"/>
      <c r="AN1119" s="32"/>
      <c r="AO1119" s="32"/>
      <c r="AP1119" s="32"/>
      <c r="AQ1119" s="31"/>
      <c r="AR1119" s="31"/>
      <c r="AS1119" s="31"/>
      <c r="AT1119" s="31"/>
      <c r="AU1119" s="31"/>
      <c r="AV1119" s="31"/>
      <c r="AW1119" s="31"/>
      <c r="AX1119" s="31"/>
      <c r="AY1119" s="31"/>
      <c r="AZ1119" s="31"/>
      <c r="BA1119" s="31"/>
      <c r="BB1119" s="31"/>
      <c r="BC1119" s="31"/>
      <c r="BD1119" s="31"/>
      <c r="BE1119" s="31"/>
      <c r="BF1119" s="31"/>
      <c r="BG1119" s="31"/>
      <c r="BH1119" s="31"/>
      <c r="BI1119" s="31"/>
      <c r="BJ1119" s="31"/>
      <c r="BK1119" s="31"/>
      <c r="BL1119" s="31"/>
      <c r="BM1119" s="31"/>
      <c r="BN1119" s="31"/>
      <c r="BO1119" s="31"/>
      <c r="BP1119" s="31"/>
      <c r="BQ1119" s="31"/>
      <c r="BR1119" s="31"/>
      <c r="BS1119" s="31"/>
      <c r="BT1119" s="31"/>
      <c r="BU1119" s="31"/>
      <c r="BV1119" s="31"/>
      <c r="BW1119" s="31"/>
      <c r="BX1119" s="31"/>
      <c r="BY1119" s="31"/>
      <c r="BZ1119" s="31"/>
      <c r="CA1119" s="31"/>
      <c r="CB1119" s="31"/>
      <c r="CC1119" s="31"/>
      <c r="CD1119" s="31"/>
      <c r="CE1119" s="31"/>
      <c r="CF1119" s="31"/>
      <c r="CG1119" s="31"/>
      <c r="CH1119" s="31"/>
      <c r="CI1119" s="31"/>
      <c r="CJ1119" s="31"/>
      <c r="CK1119" s="31"/>
      <c r="CL1119" s="31"/>
      <c r="CM1119" s="31"/>
      <c r="CN1119" s="31"/>
      <c r="CO1119" s="31"/>
      <c r="CP1119" s="31"/>
      <c r="CQ1119" s="31"/>
      <c r="CR1119" s="31"/>
      <c r="CS1119" s="31"/>
      <c r="CT1119" s="31"/>
      <c r="CU1119" s="31"/>
      <c r="CV1119" s="31"/>
      <c r="CW1119" s="31"/>
      <c r="CX1119" s="31"/>
      <c r="CY1119" s="31"/>
      <c r="CZ1119" s="31"/>
      <c r="DA1119" s="31"/>
      <c r="DB1119" s="31"/>
      <c r="DC1119" s="31"/>
      <c r="DD1119" s="31"/>
      <c r="DE1119" s="31"/>
      <c r="DF1119" s="31"/>
      <c r="DG1119" s="31"/>
      <c r="DH1119" s="31"/>
      <c r="DI1119" s="31"/>
      <c r="DJ1119" s="31"/>
      <c r="DK1119" s="31"/>
      <c r="DL1119" s="31"/>
      <c r="DM1119" s="31"/>
      <c r="DN1119" s="31"/>
      <c r="DO1119" s="31"/>
      <c r="DP1119" s="31"/>
      <c r="DQ1119" s="31"/>
      <c r="DR1119" s="31"/>
      <c r="DS1119" s="31"/>
      <c r="DT1119" s="31"/>
      <c r="DU1119" s="31"/>
      <c r="DV1119" s="31"/>
      <c r="DW1119" s="31"/>
      <c r="DX1119" s="31"/>
      <c r="DY1119" s="31"/>
      <c r="DZ1119" s="31"/>
      <c r="EA1119" s="31"/>
      <c r="EB1119" s="31"/>
      <c r="EC1119" s="31"/>
      <c r="ED1119" s="31"/>
      <c r="EE1119" s="31"/>
      <c r="EF1119" s="31"/>
      <c r="EG1119" s="31"/>
      <c r="EH1119" s="31"/>
      <c r="EI1119" s="31"/>
      <c r="EJ1119" s="31"/>
      <c r="EK1119" s="31"/>
      <c r="EL1119" s="31"/>
      <c r="EM1119" s="31"/>
      <c r="EN1119" s="31"/>
      <c r="EO1119" s="31"/>
      <c r="EP1119" s="31"/>
      <c r="EQ1119" s="31"/>
      <c r="ER1119" s="31"/>
      <c r="ES1119" s="31"/>
      <c r="ET1119" s="31"/>
      <c r="EU1119" s="31"/>
      <c r="EV1119" s="31"/>
      <c r="EW1119" s="31"/>
      <c r="EX1119" s="31"/>
      <c r="EY1119" s="31"/>
      <c r="EZ1119" s="31"/>
      <c r="FA1119" s="31"/>
      <c r="FB1119" s="31"/>
      <c r="FC1119" s="31"/>
      <c r="FD1119" s="31"/>
      <c r="FE1119" s="31"/>
      <c r="FF1119" s="31"/>
      <c r="FG1119" s="31"/>
      <c r="FH1119" s="31"/>
      <c r="FI1119" s="31"/>
      <c r="FJ1119" s="31"/>
      <c r="FK1119" s="31"/>
      <c r="FL1119" s="31"/>
      <c r="FM1119" s="31"/>
      <c r="FN1119" s="31"/>
      <c r="FO1119" s="31"/>
      <c r="FP1119" s="31"/>
      <c r="FQ1119" s="31"/>
      <c r="FR1119" s="31"/>
      <c r="FS1119" s="31"/>
      <c r="FT1119" s="31"/>
      <c r="FU1119" s="31"/>
      <c r="FV1119" s="31"/>
      <c r="FW1119" s="31"/>
      <c r="FX1119" s="31"/>
      <c r="FY1119" s="31"/>
      <c r="FZ1119" s="31"/>
      <c r="GA1119" s="31"/>
      <c r="GB1119" s="31"/>
      <c r="GC1119" s="31"/>
      <c r="GD1119" s="31"/>
      <c r="GE1119" s="31"/>
      <c r="GF1119" s="31"/>
      <c r="GG1119" s="31"/>
      <c r="GH1119" s="31"/>
      <c r="GI1119" s="31"/>
      <c r="GJ1119" s="31"/>
      <c r="GK1119" s="31"/>
      <c r="GL1119" s="31"/>
      <c r="GM1119" s="31"/>
      <c r="GN1119" s="31"/>
      <c r="GO1119" s="31"/>
      <c r="GP1119" s="31"/>
      <c r="GQ1119" s="31"/>
      <c r="GR1119" s="31"/>
      <c r="GS1119" s="31"/>
      <c r="GT1119" s="31"/>
      <c r="GU1119" s="31"/>
      <c r="GV1119" s="31"/>
      <c r="GW1119" s="31"/>
      <c r="GX1119" s="31"/>
      <c r="GY1119" s="31"/>
      <c r="GZ1119" s="31"/>
      <c r="HA1119" s="31"/>
      <c r="HB1119" s="31"/>
      <c r="HC1119" s="31"/>
      <c r="HD1119" s="31"/>
      <c r="HE1119" s="31"/>
      <c r="HF1119" s="31"/>
      <c r="HG1119" s="31"/>
      <c r="HH1119" s="31"/>
      <c r="HI1119" s="31"/>
      <c r="HJ1119" s="31"/>
      <c r="HK1119" s="31"/>
      <c r="HL1119" s="31"/>
      <c r="HM1119" s="31"/>
      <c r="HN1119" s="31"/>
      <c r="HO1119" s="31"/>
      <c r="HP1119" s="31"/>
      <c r="HQ1119" s="31"/>
      <c r="HR1119" s="31"/>
      <c r="HS1119" s="31"/>
      <c r="HT1119" s="31"/>
      <c r="HU1119" s="31"/>
      <c r="HV1119" s="31"/>
      <c r="HW1119" s="31"/>
      <c r="HX1119" s="31"/>
      <c r="HY1119" s="31"/>
      <c r="HZ1119" s="31"/>
      <c r="IA1119" s="31"/>
      <c r="IB1119" s="31"/>
      <c r="IC1119" s="31"/>
      <c r="ID1119" s="31"/>
      <c r="IE1119" s="31"/>
      <c r="IF1119" s="31"/>
      <c r="IG1119" s="31"/>
      <c r="IH1119" s="31"/>
      <c r="II1119" s="31"/>
      <c r="IJ1119" s="31"/>
      <c r="IK1119" s="31"/>
      <c r="IL1119" s="31"/>
      <c r="IM1119" s="31"/>
      <c r="IN1119" s="31"/>
      <c r="IO1119" s="31"/>
      <c r="IP1119" s="31"/>
      <c r="IQ1119" s="31"/>
      <c r="IR1119" s="31"/>
      <c r="IS1119" s="31"/>
      <c r="IT1119" s="31"/>
      <c r="IU1119" s="31"/>
      <c r="IV1119" s="31"/>
      <c r="IW1119" s="31"/>
      <c r="IX1119" s="31"/>
      <c r="IY1119" s="31"/>
      <c r="IZ1119" s="31"/>
      <c r="JA1119" s="31"/>
      <c r="JB1119" s="31"/>
      <c r="JC1119" s="31"/>
      <c r="JD1119" s="31"/>
      <c r="JE1119" s="31"/>
      <c r="JF1119" s="31"/>
      <c r="JG1119" s="31"/>
      <c r="JH1119" s="31"/>
      <c r="JI1119" s="31"/>
      <c r="JJ1119" s="31"/>
      <c r="JK1119" s="31"/>
      <c r="JL1119" s="31"/>
      <c r="JM1119" s="31"/>
      <c r="JN1119" s="31"/>
      <c r="JO1119" s="31"/>
      <c r="JP1119" s="31"/>
      <c r="JQ1119" s="31"/>
      <c r="JR1119" s="31"/>
      <c r="JS1119" s="31"/>
      <c r="JT1119" s="31"/>
      <c r="JU1119" s="31"/>
      <c r="JV1119" s="31"/>
      <c r="JW1119" s="31"/>
      <c r="JX1119" s="31"/>
      <c r="JY1119" s="31"/>
      <c r="JZ1119" s="31"/>
      <c r="KA1119" s="31"/>
      <c r="KB1119" s="31"/>
      <c r="KC1119" s="31"/>
      <c r="KD1119" s="31"/>
      <c r="KE1119" s="31"/>
      <c r="KF1119" s="31"/>
      <c r="KG1119" s="31"/>
      <c r="KH1119" s="31"/>
      <c r="KI1119" s="31"/>
      <c r="KJ1119" s="31"/>
      <c r="KK1119" s="31"/>
      <c r="KL1119" s="31"/>
      <c r="KM1119" s="31"/>
      <c r="KN1119" s="31"/>
      <c r="KO1119" s="31"/>
      <c r="KP1119" s="31"/>
      <c r="KQ1119" s="31"/>
      <c r="KR1119" s="31"/>
      <c r="KS1119" s="31"/>
      <c r="KT1119" s="31"/>
      <c r="KU1119" s="31"/>
      <c r="KV1119" s="31"/>
      <c r="KW1119" s="31"/>
      <c r="KX1119" s="31"/>
      <c r="KY1119" s="31"/>
      <c r="KZ1119" s="31"/>
      <c r="LA1119" s="31"/>
      <c r="LB1119" s="31"/>
      <c r="LC1119" s="31"/>
      <c r="LD1119" s="31"/>
      <c r="LE1119" s="31"/>
      <c r="LF1119" s="31"/>
      <c r="LG1119" s="31"/>
      <c r="LH1119" s="31"/>
      <c r="LI1119" s="31"/>
      <c r="LJ1119" s="31"/>
      <c r="LK1119" s="31"/>
      <c r="LL1119" s="31"/>
      <c r="LM1119" s="31"/>
      <c r="LN1119" s="31"/>
      <c r="LO1119" s="31"/>
      <c r="LP1119" s="31"/>
      <c r="LQ1119" s="31"/>
      <c r="LR1119" s="31"/>
      <c r="LS1119" s="31"/>
      <c r="LT1119" s="31"/>
      <c r="LU1119" s="31"/>
      <c r="LV1119" s="31"/>
      <c r="LW1119" s="31"/>
      <c r="LX1119" s="31"/>
      <c r="LY1119" s="31"/>
      <c r="LZ1119" s="31"/>
      <c r="MA1119" s="31"/>
      <c r="MB1119" s="31"/>
      <c r="MC1119" s="31"/>
      <c r="MD1119" s="31"/>
      <c r="ME1119" s="31"/>
      <c r="MF1119" s="31"/>
      <c r="MG1119" s="31"/>
      <c r="MH1119" s="31"/>
      <c r="MI1119" s="31"/>
      <c r="MJ1119" s="31"/>
      <c r="MK1119" s="31"/>
      <c r="ML1119" s="31"/>
      <c r="MM1119" s="31"/>
      <c r="MN1119" s="31"/>
      <c r="MO1119" s="31"/>
      <c r="MP1119" s="31"/>
      <c r="MQ1119" s="31"/>
      <c r="MR1119" s="31"/>
      <c r="MS1119" s="31"/>
      <c r="MT1119" s="31"/>
      <c r="MU1119" s="31"/>
      <c r="MV1119" s="31"/>
      <c r="MW1119" s="31"/>
      <c r="MX1119" s="31"/>
      <c r="MY1119" s="31"/>
      <c r="MZ1119" s="31"/>
      <c r="NA1119" s="31"/>
      <c r="NB1119" s="31"/>
      <c r="NC1119" s="31"/>
      <c r="ND1119" s="31"/>
      <c r="NE1119" s="31"/>
      <c r="NF1119" s="31"/>
      <c r="NG1119" s="31"/>
      <c r="NH1119" s="31"/>
      <c r="NI1119" s="31"/>
      <c r="NJ1119" s="31"/>
      <c r="NK1119" s="31"/>
      <c r="NL1119" s="31"/>
      <c r="NM1119" s="31"/>
      <c r="NN1119" s="31"/>
      <c r="NO1119" s="31"/>
      <c r="NP1119" s="31"/>
      <c r="NQ1119" s="31"/>
      <c r="NR1119" s="31"/>
      <c r="NS1119" s="31"/>
      <c r="NT1119" s="31"/>
      <c r="NU1119" s="31"/>
      <c r="NV1119" s="31"/>
      <c r="NW1119" s="31"/>
      <c r="NX1119" s="31"/>
      <c r="NY1119" s="31"/>
      <c r="NZ1119" s="31"/>
      <c r="OA1119" s="31"/>
      <c r="OB1119" s="31"/>
      <c r="OC1119" s="31"/>
      <c r="OD1119" s="31"/>
      <c r="OE1119" s="31"/>
      <c r="OF1119" s="31"/>
      <c r="OG1119" s="31"/>
      <c r="OH1119" s="31"/>
      <c r="OI1119" s="31"/>
      <c r="OJ1119" s="31"/>
      <c r="OK1119" s="31"/>
      <c r="OL1119" s="31"/>
      <c r="OM1119" s="31"/>
      <c r="ON1119" s="31"/>
      <c r="OO1119" s="31"/>
      <c r="OP1119" s="31"/>
      <c r="OQ1119" s="31"/>
      <c r="OR1119" s="31"/>
      <c r="OS1119" s="31"/>
      <c r="OT1119" s="31"/>
      <c r="OU1119" s="31"/>
      <c r="OV1119" s="31"/>
      <c r="OW1119" s="31"/>
      <c r="OX1119" s="31"/>
      <c r="OY1119" s="31"/>
      <c r="OZ1119" s="31"/>
      <c r="PA1119" s="31"/>
      <c r="PB1119" s="31"/>
      <c r="PC1119" s="31"/>
      <c r="PD1119" s="31"/>
      <c r="PE1119" s="31"/>
      <c r="PF1119" s="31"/>
      <c r="PG1119" s="31"/>
      <c r="PH1119" s="31"/>
      <c r="PI1119" s="31"/>
      <c r="PJ1119" s="31"/>
      <c r="PK1119" s="31"/>
      <c r="PL1119" s="31"/>
      <c r="PM1119" s="31"/>
      <c r="PN1119" s="31"/>
      <c r="PO1119" s="31"/>
      <c r="PP1119" s="31"/>
      <c r="PQ1119" s="31"/>
      <c r="PR1119" s="31"/>
      <c r="PS1119" s="31"/>
      <c r="PT1119" s="31"/>
      <c r="PU1119" s="31"/>
      <c r="PV1119" s="31"/>
      <c r="PW1119" s="31"/>
      <c r="PX1119" s="31"/>
      <c r="PY1119" s="31"/>
      <c r="PZ1119" s="31"/>
      <c r="QA1119" s="31"/>
      <c r="QB1119" s="31"/>
      <c r="QC1119" s="31"/>
      <c r="QD1119" s="31"/>
      <c r="QE1119" s="31"/>
      <c r="QF1119" s="31"/>
      <c r="QG1119" s="31"/>
      <c r="QH1119" s="31"/>
      <c r="QI1119" s="31"/>
      <c r="QJ1119" s="31"/>
      <c r="QK1119" s="31"/>
      <c r="QL1119" s="31"/>
      <c r="QM1119" s="31"/>
      <c r="QN1119" s="31"/>
      <c r="QO1119" s="31"/>
      <c r="QP1119" s="31"/>
      <c r="QQ1119" s="31"/>
      <c r="QR1119" s="31"/>
      <c r="QS1119" s="31"/>
      <c r="QT1119" s="31"/>
      <c r="QU1119" s="31"/>
      <c r="QV1119" s="31"/>
      <c r="QW1119" s="31"/>
      <c r="QX1119" s="31"/>
      <c r="QY1119" s="31"/>
      <c r="QZ1119" s="31"/>
      <c r="RA1119" s="31"/>
      <c r="RB1119" s="31"/>
      <c r="RC1119" s="31"/>
      <c r="RD1119" s="31"/>
      <c r="RE1119" s="31"/>
      <c r="RF1119" s="31"/>
      <c r="RG1119" s="31"/>
      <c r="RH1119" s="31"/>
      <c r="RI1119" s="31"/>
      <c r="RJ1119" s="31"/>
      <c r="RK1119" s="31"/>
      <c r="RL1119" s="31"/>
      <c r="RM1119" s="31"/>
      <c r="RN1119" s="31"/>
      <c r="RO1119" s="31"/>
      <c r="RP1119" s="31"/>
      <c r="RQ1119" s="31"/>
      <c r="RR1119" s="31"/>
      <c r="RS1119" s="31"/>
      <c r="RT1119" s="31"/>
      <c r="RU1119" s="31"/>
      <c r="RV1119" s="31"/>
      <c r="RW1119" s="31"/>
      <c r="RX1119" s="31"/>
      <c r="RY1119" s="31"/>
      <c r="RZ1119" s="31"/>
      <c r="SA1119" s="31"/>
      <c r="SB1119" s="31"/>
      <c r="SC1119" s="31"/>
      <c r="SD1119" s="31"/>
      <c r="SE1119" s="31"/>
      <c r="SF1119" s="31"/>
      <c r="SG1119" s="31"/>
      <c r="SH1119" s="31"/>
      <c r="SI1119" s="31"/>
      <c r="SJ1119" s="31"/>
      <c r="SK1119" s="31"/>
      <c r="SL1119" s="31"/>
      <c r="SM1119" s="31"/>
      <c r="SN1119" s="31"/>
      <c r="SO1119" s="31"/>
      <c r="SP1119" s="31"/>
      <c r="SQ1119" s="31"/>
      <c r="SR1119" s="31"/>
      <c r="SS1119" s="31"/>
      <c r="ST1119" s="31"/>
      <c r="SU1119" s="31"/>
      <c r="SV1119" s="31"/>
      <c r="SW1119" s="31"/>
      <c r="SX1119" s="31"/>
      <c r="SY1119" s="31"/>
      <c r="SZ1119" s="31"/>
      <c r="TA1119" s="31"/>
      <c r="TB1119" s="31"/>
      <c r="TC1119" s="31"/>
      <c r="TD1119" s="31"/>
      <c r="TE1119" s="31"/>
      <c r="TF1119" s="31"/>
      <c r="TG1119" s="31"/>
      <c r="TH1119" s="31"/>
      <c r="TI1119" s="31"/>
      <c r="TJ1119" s="31"/>
      <c r="TK1119" s="31"/>
      <c r="TL1119" s="31"/>
      <c r="TM1119" s="31"/>
      <c r="TN1119" s="31"/>
      <c r="TO1119" s="31"/>
      <c r="TP1119" s="31"/>
      <c r="TQ1119" s="31"/>
      <c r="TR1119" s="31"/>
      <c r="TS1119" s="31"/>
      <c r="TT1119" s="31"/>
      <c r="TU1119" s="31"/>
      <c r="TV1119" s="31"/>
      <c r="TW1119" s="31"/>
      <c r="TX1119" s="31"/>
      <c r="TY1119" s="31"/>
      <c r="TZ1119" s="31"/>
      <c r="UA1119" s="31"/>
      <c r="UB1119" s="31"/>
      <c r="UC1119" s="31"/>
      <c r="UD1119" s="31"/>
      <c r="UE1119" s="31"/>
      <c r="UF1119" s="31"/>
      <c r="UG1119" s="33"/>
    </row>
    <row r="1120" spans="1:553" ht="31.5" customHeight="1">
      <c r="A1120" s="356"/>
      <c r="B1120" s="385">
        <v>52</v>
      </c>
      <c r="C1120" s="1403" t="s">
        <v>650</v>
      </c>
      <c r="D1120" s="1389"/>
      <c r="E1120" s="1389"/>
      <c r="F1120" s="1390"/>
      <c r="G1120" s="386" t="s">
        <v>33</v>
      </c>
      <c r="H1120" s="370"/>
      <c r="I1120" s="422">
        <f>(3.2*2.2)+(4.4*3.5)+(2*2.6)</f>
        <v>27.640000000000004</v>
      </c>
      <c r="J1120" s="477">
        <v>60200</v>
      </c>
      <c r="K1120" s="388"/>
      <c r="L1120" s="391">
        <f t="shared" si="167"/>
        <v>1663928.0000000002</v>
      </c>
      <c r="M1120" s="395"/>
      <c r="N1120" s="395"/>
      <c r="O1120" s="366"/>
      <c r="P1120" s="396"/>
      <c r="Q1120" s="473"/>
      <c r="R1120" s="1039"/>
      <c r="S1120" s="308"/>
      <c r="T1120" s="308"/>
      <c r="U1120" s="308"/>
      <c r="V1120" s="308"/>
      <c r="W1120" s="308"/>
      <c r="X1120" s="308"/>
      <c r="Y1120" s="308"/>
      <c r="Z1120" s="604"/>
      <c r="AA1120" s="308"/>
      <c r="AB1120" s="308"/>
      <c r="AC1120" s="449"/>
      <c r="AD1120" s="449"/>
      <c r="AE1120" s="449"/>
      <c r="AF1120" s="449"/>
      <c r="AG1120" s="452"/>
      <c r="AH1120" s="452"/>
      <c r="AI1120" s="452"/>
      <c r="AJ1120" s="452"/>
      <c r="AK1120" s="452"/>
      <c r="AL1120" s="104"/>
      <c r="AM1120" s="32"/>
      <c r="AN1120" s="32"/>
      <c r="AO1120" s="32"/>
      <c r="AP1120" s="32"/>
      <c r="AQ1120" s="31"/>
      <c r="AR1120" s="31"/>
      <c r="AS1120" s="31"/>
      <c r="AT1120" s="31"/>
      <c r="AU1120" s="31"/>
      <c r="AV1120" s="31"/>
      <c r="AW1120" s="31"/>
      <c r="AX1120" s="31"/>
      <c r="AY1120" s="31"/>
      <c r="AZ1120" s="31"/>
      <c r="BA1120" s="31"/>
      <c r="BB1120" s="31"/>
      <c r="BC1120" s="31"/>
      <c r="BD1120" s="31"/>
      <c r="BE1120" s="31"/>
      <c r="BF1120" s="31"/>
      <c r="BG1120" s="31"/>
      <c r="BH1120" s="31"/>
      <c r="BI1120" s="31"/>
      <c r="BJ1120" s="31"/>
      <c r="BK1120" s="31"/>
      <c r="BL1120" s="31"/>
      <c r="BM1120" s="31"/>
      <c r="BN1120" s="31"/>
      <c r="BO1120" s="31"/>
      <c r="BP1120" s="31"/>
      <c r="BQ1120" s="31"/>
      <c r="BR1120" s="31"/>
      <c r="BS1120" s="31"/>
      <c r="BT1120" s="31"/>
      <c r="BU1120" s="31"/>
      <c r="BV1120" s="31"/>
      <c r="BW1120" s="31"/>
      <c r="BX1120" s="31"/>
      <c r="BY1120" s="31"/>
      <c r="BZ1120" s="31"/>
      <c r="CA1120" s="31"/>
      <c r="CB1120" s="31"/>
      <c r="CC1120" s="31"/>
      <c r="CD1120" s="31"/>
      <c r="CE1120" s="31"/>
      <c r="CF1120" s="31"/>
      <c r="CG1120" s="31"/>
      <c r="CH1120" s="31"/>
      <c r="CI1120" s="31"/>
      <c r="CJ1120" s="31"/>
      <c r="CK1120" s="31"/>
      <c r="CL1120" s="31"/>
      <c r="CM1120" s="31"/>
      <c r="CN1120" s="31"/>
      <c r="CO1120" s="31"/>
      <c r="CP1120" s="31"/>
      <c r="CQ1120" s="31"/>
      <c r="CR1120" s="31"/>
      <c r="CS1120" s="31"/>
      <c r="CT1120" s="31"/>
      <c r="CU1120" s="31"/>
      <c r="CV1120" s="31"/>
      <c r="CW1120" s="31"/>
      <c r="CX1120" s="31"/>
      <c r="CY1120" s="31"/>
      <c r="CZ1120" s="31"/>
      <c r="DA1120" s="31"/>
      <c r="DB1120" s="31"/>
      <c r="DC1120" s="31"/>
      <c r="DD1120" s="31"/>
      <c r="DE1120" s="31"/>
      <c r="DF1120" s="31"/>
      <c r="DG1120" s="31"/>
      <c r="DH1120" s="31"/>
      <c r="DI1120" s="31"/>
      <c r="DJ1120" s="31"/>
      <c r="DK1120" s="31"/>
      <c r="DL1120" s="31"/>
      <c r="DM1120" s="31"/>
      <c r="DN1120" s="31"/>
      <c r="DO1120" s="31"/>
      <c r="DP1120" s="31"/>
      <c r="DQ1120" s="31"/>
      <c r="DR1120" s="31"/>
      <c r="DS1120" s="31"/>
      <c r="DT1120" s="31"/>
      <c r="DU1120" s="31"/>
      <c r="DV1120" s="31"/>
      <c r="DW1120" s="31"/>
      <c r="DX1120" s="31"/>
      <c r="DY1120" s="31"/>
      <c r="DZ1120" s="31"/>
      <c r="EA1120" s="31"/>
      <c r="EB1120" s="31"/>
      <c r="EC1120" s="31"/>
      <c r="ED1120" s="31"/>
      <c r="EE1120" s="31"/>
      <c r="EF1120" s="31"/>
      <c r="EG1120" s="31"/>
      <c r="EH1120" s="31"/>
      <c r="EI1120" s="31"/>
      <c r="EJ1120" s="31"/>
      <c r="EK1120" s="31"/>
      <c r="EL1120" s="31"/>
      <c r="EM1120" s="31"/>
      <c r="EN1120" s="31"/>
      <c r="EO1120" s="31"/>
      <c r="EP1120" s="31"/>
      <c r="EQ1120" s="31"/>
      <c r="ER1120" s="31"/>
      <c r="ES1120" s="31"/>
      <c r="ET1120" s="31"/>
      <c r="EU1120" s="31"/>
      <c r="EV1120" s="31"/>
      <c r="EW1120" s="31"/>
      <c r="EX1120" s="31"/>
      <c r="EY1120" s="31"/>
      <c r="EZ1120" s="31"/>
      <c r="FA1120" s="31"/>
      <c r="FB1120" s="31"/>
      <c r="FC1120" s="31"/>
      <c r="FD1120" s="31"/>
      <c r="FE1120" s="31"/>
      <c r="FF1120" s="31"/>
      <c r="FG1120" s="31"/>
      <c r="FH1120" s="31"/>
      <c r="FI1120" s="31"/>
      <c r="FJ1120" s="31"/>
      <c r="FK1120" s="31"/>
      <c r="FL1120" s="31"/>
      <c r="FM1120" s="31"/>
      <c r="FN1120" s="31"/>
      <c r="FO1120" s="31"/>
      <c r="FP1120" s="31"/>
      <c r="FQ1120" s="31"/>
      <c r="FR1120" s="31"/>
      <c r="FS1120" s="31"/>
      <c r="FT1120" s="31"/>
      <c r="FU1120" s="31"/>
      <c r="FV1120" s="31"/>
      <c r="FW1120" s="31"/>
      <c r="FX1120" s="31"/>
      <c r="FY1120" s="31"/>
      <c r="FZ1120" s="31"/>
      <c r="GA1120" s="31"/>
      <c r="GB1120" s="31"/>
      <c r="GC1120" s="31"/>
      <c r="GD1120" s="31"/>
      <c r="GE1120" s="31"/>
      <c r="GF1120" s="31"/>
      <c r="GG1120" s="31"/>
      <c r="GH1120" s="31"/>
      <c r="GI1120" s="31"/>
      <c r="GJ1120" s="31"/>
      <c r="GK1120" s="31"/>
      <c r="GL1120" s="31"/>
      <c r="GM1120" s="31"/>
      <c r="GN1120" s="31"/>
      <c r="GO1120" s="31"/>
      <c r="GP1120" s="31"/>
      <c r="GQ1120" s="31"/>
      <c r="GR1120" s="31"/>
      <c r="GS1120" s="31"/>
      <c r="GT1120" s="31"/>
      <c r="GU1120" s="31"/>
      <c r="GV1120" s="31"/>
      <c r="GW1120" s="31"/>
      <c r="GX1120" s="31"/>
      <c r="GY1120" s="31"/>
      <c r="GZ1120" s="31"/>
      <c r="HA1120" s="31"/>
      <c r="HB1120" s="31"/>
      <c r="HC1120" s="31"/>
      <c r="HD1120" s="31"/>
      <c r="HE1120" s="31"/>
      <c r="HF1120" s="31"/>
      <c r="HG1120" s="31"/>
      <c r="HH1120" s="31"/>
      <c r="HI1120" s="31"/>
      <c r="HJ1120" s="31"/>
      <c r="HK1120" s="31"/>
      <c r="HL1120" s="31"/>
      <c r="HM1120" s="31"/>
      <c r="HN1120" s="31"/>
      <c r="HO1120" s="31"/>
      <c r="HP1120" s="31"/>
      <c r="HQ1120" s="31"/>
      <c r="HR1120" s="31"/>
      <c r="HS1120" s="31"/>
      <c r="HT1120" s="31"/>
      <c r="HU1120" s="31"/>
      <c r="HV1120" s="31"/>
      <c r="HW1120" s="31"/>
      <c r="HX1120" s="31"/>
      <c r="HY1120" s="31"/>
      <c r="HZ1120" s="31"/>
      <c r="IA1120" s="31"/>
      <c r="IB1120" s="31"/>
      <c r="IC1120" s="31"/>
      <c r="ID1120" s="31"/>
      <c r="IE1120" s="31"/>
      <c r="IF1120" s="31"/>
      <c r="IG1120" s="31"/>
      <c r="IH1120" s="31"/>
      <c r="II1120" s="31"/>
      <c r="IJ1120" s="31"/>
      <c r="IK1120" s="31"/>
      <c r="IL1120" s="31"/>
      <c r="IM1120" s="31"/>
      <c r="IN1120" s="31"/>
      <c r="IO1120" s="31"/>
      <c r="IP1120" s="31"/>
      <c r="IQ1120" s="31"/>
      <c r="IR1120" s="31"/>
      <c r="IS1120" s="31"/>
      <c r="IT1120" s="31"/>
      <c r="IU1120" s="31"/>
      <c r="IV1120" s="31"/>
      <c r="IW1120" s="31"/>
      <c r="IX1120" s="31"/>
      <c r="IY1120" s="31"/>
      <c r="IZ1120" s="31"/>
      <c r="JA1120" s="31"/>
      <c r="JB1120" s="31"/>
      <c r="JC1120" s="31"/>
      <c r="JD1120" s="31"/>
      <c r="JE1120" s="31"/>
      <c r="JF1120" s="31"/>
      <c r="JG1120" s="31"/>
      <c r="JH1120" s="31"/>
      <c r="JI1120" s="31"/>
      <c r="JJ1120" s="31"/>
      <c r="JK1120" s="31"/>
      <c r="JL1120" s="31"/>
      <c r="JM1120" s="31"/>
      <c r="JN1120" s="31"/>
      <c r="JO1120" s="31"/>
      <c r="JP1120" s="31"/>
      <c r="JQ1120" s="31"/>
      <c r="JR1120" s="31"/>
      <c r="JS1120" s="31"/>
      <c r="JT1120" s="31"/>
      <c r="JU1120" s="31"/>
      <c r="JV1120" s="31"/>
      <c r="JW1120" s="31"/>
      <c r="JX1120" s="31"/>
      <c r="JY1120" s="31"/>
      <c r="JZ1120" s="31"/>
      <c r="KA1120" s="31"/>
      <c r="KB1120" s="31"/>
      <c r="KC1120" s="31"/>
      <c r="KD1120" s="31"/>
      <c r="KE1120" s="31"/>
      <c r="KF1120" s="31"/>
      <c r="KG1120" s="31"/>
      <c r="KH1120" s="31"/>
      <c r="KI1120" s="31"/>
      <c r="KJ1120" s="31"/>
      <c r="KK1120" s="31"/>
      <c r="KL1120" s="31"/>
      <c r="KM1120" s="31"/>
      <c r="KN1120" s="31"/>
      <c r="KO1120" s="31"/>
      <c r="KP1120" s="31"/>
      <c r="KQ1120" s="31"/>
      <c r="KR1120" s="31"/>
      <c r="KS1120" s="31"/>
      <c r="KT1120" s="31"/>
      <c r="KU1120" s="31"/>
      <c r="KV1120" s="31"/>
      <c r="KW1120" s="31"/>
      <c r="KX1120" s="31"/>
      <c r="KY1120" s="31"/>
      <c r="KZ1120" s="31"/>
      <c r="LA1120" s="31"/>
      <c r="LB1120" s="31"/>
      <c r="LC1120" s="31"/>
      <c r="LD1120" s="31"/>
      <c r="LE1120" s="31"/>
      <c r="LF1120" s="31"/>
      <c r="LG1120" s="31"/>
      <c r="LH1120" s="31"/>
      <c r="LI1120" s="31"/>
      <c r="LJ1120" s="31"/>
      <c r="LK1120" s="31"/>
      <c r="LL1120" s="31"/>
      <c r="LM1120" s="31"/>
      <c r="LN1120" s="31"/>
      <c r="LO1120" s="31"/>
      <c r="LP1120" s="31"/>
      <c r="LQ1120" s="31"/>
      <c r="LR1120" s="31"/>
      <c r="LS1120" s="31"/>
      <c r="LT1120" s="31"/>
      <c r="LU1120" s="31"/>
      <c r="LV1120" s="31"/>
      <c r="LW1120" s="31"/>
      <c r="LX1120" s="31"/>
      <c r="LY1120" s="31"/>
      <c r="LZ1120" s="31"/>
      <c r="MA1120" s="31"/>
      <c r="MB1120" s="31"/>
      <c r="MC1120" s="31"/>
      <c r="MD1120" s="31"/>
      <c r="ME1120" s="31"/>
      <c r="MF1120" s="31"/>
      <c r="MG1120" s="31"/>
      <c r="MH1120" s="31"/>
      <c r="MI1120" s="31"/>
      <c r="MJ1120" s="31"/>
      <c r="MK1120" s="31"/>
      <c r="ML1120" s="31"/>
      <c r="MM1120" s="31"/>
      <c r="MN1120" s="31"/>
      <c r="MO1120" s="31"/>
      <c r="MP1120" s="31"/>
      <c r="MQ1120" s="31"/>
      <c r="MR1120" s="31"/>
      <c r="MS1120" s="31"/>
      <c r="MT1120" s="31"/>
      <c r="MU1120" s="31"/>
      <c r="MV1120" s="31"/>
      <c r="MW1120" s="31"/>
      <c r="MX1120" s="31"/>
      <c r="MY1120" s="31"/>
      <c r="MZ1120" s="31"/>
      <c r="NA1120" s="31"/>
      <c r="NB1120" s="31"/>
      <c r="NC1120" s="31"/>
      <c r="ND1120" s="31"/>
      <c r="NE1120" s="31"/>
      <c r="NF1120" s="31"/>
      <c r="NG1120" s="31"/>
      <c r="NH1120" s="31"/>
      <c r="NI1120" s="31"/>
      <c r="NJ1120" s="31"/>
      <c r="NK1120" s="31"/>
      <c r="NL1120" s="31"/>
      <c r="NM1120" s="31"/>
      <c r="NN1120" s="31"/>
      <c r="NO1120" s="31"/>
      <c r="NP1120" s="31"/>
      <c r="NQ1120" s="31"/>
      <c r="NR1120" s="31"/>
      <c r="NS1120" s="31"/>
      <c r="NT1120" s="31"/>
      <c r="NU1120" s="31"/>
      <c r="NV1120" s="31"/>
      <c r="NW1120" s="31"/>
      <c r="NX1120" s="31"/>
      <c r="NY1120" s="31"/>
      <c r="NZ1120" s="31"/>
      <c r="OA1120" s="31"/>
      <c r="OB1120" s="31"/>
      <c r="OC1120" s="31"/>
      <c r="OD1120" s="31"/>
      <c r="OE1120" s="31"/>
      <c r="OF1120" s="31"/>
      <c r="OG1120" s="31"/>
      <c r="OH1120" s="31"/>
      <c r="OI1120" s="31"/>
      <c r="OJ1120" s="31"/>
      <c r="OK1120" s="31"/>
      <c r="OL1120" s="31"/>
      <c r="OM1120" s="31"/>
      <c r="ON1120" s="31"/>
      <c r="OO1120" s="31"/>
      <c r="OP1120" s="31"/>
      <c r="OQ1120" s="31"/>
      <c r="OR1120" s="31"/>
      <c r="OS1120" s="31"/>
      <c r="OT1120" s="31"/>
      <c r="OU1120" s="31"/>
      <c r="OV1120" s="31"/>
      <c r="OW1120" s="31"/>
      <c r="OX1120" s="31"/>
      <c r="OY1120" s="31"/>
      <c r="OZ1120" s="31"/>
      <c r="PA1120" s="31"/>
      <c r="PB1120" s="31"/>
      <c r="PC1120" s="31"/>
      <c r="PD1120" s="31"/>
      <c r="PE1120" s="31"/>
      <c r="PF1120" s="31"/>
      <c r="PG1120" s="31"/>
      <c r="PH1120" s="31"/>
      <c r="PI1120" s="31"/>
      <c r="PJ1120" s="31"/>
      <c r="PK1120" s="31"/>
      <c r="PL1120" s="31"/>
      <c r="PM1120" s="31"/>
      <c r="PN1120" s="31"/>
      <c r="PO1120" s="31"/>
      <c r="PP1120" s="31"/>
      <c r="PQ1120" s="31"/>
      <c r="PR1120" s="31"/>
      <c r="PS1120" s="31"/>
      <c r="PT1120" s="31"/>
      <c r="PU1120" s="31"/>
      <c r="PV1120" s="31"/>
      <c r="PW1120" s="31"/>
      <c r="PX1120" s="31"/>
      <c r="PY1120" s="31"/>
      <c r="PZ1120" s="31"/>
      <c r="QA1120" s="31"/>
      <c r="QB1120" s="31"/>
      <c r="QC1120" s="31"/>
      <c r="QD1120" s="31"/>
      <c r="QE1120" s="31"/>
      <c r="QF1120" s="31"/>
      <c r="QG1120" s="31"/>
      <c r="QH1120" s="31"/>
      <c r="QI1120" s="31"/>
      <c r="QJ1120" s="31"/>
      <c r="QK1120" s="31"/>
      <c r="QL1120" s="31"/>
      <c r="QM1120" s="31"/>
      <c r="QN1120" s="31"/>
      <c r="QO1120" s="31"/>
      <c r="QP1120" s="31"/>
      <c r="QQ1120" s="31"/>
      <c r="QR1120" s="31"/>
      <c r="QS1120" s="31"/>
      <c r="QT1120" s="31"/>
      <c r="QU1120" s="31"/>
      <c r="QV1120" s="31"/>
      <c r="QW1120" s="31"/>
      <c r="QX1120" s="31"/>
      <c r="QY1120" s="31"/>
      <c r="QZ1120" s="31"/>
      <c r="RA1120" s="31"/>
      <c r="RB1120" s="31"/>
      <c r="RC1120" s="31"/>
      <c r="RD1120" s="31"/>
      <c r="RE1120" s="31"/>
      <c r="RF1120" s="31"/>
      <c r="RG1120" s="31"/>
      <c r="RH1120" s="31"/>
      <c r="RI1120" s="31"/>
      <c r="RJ1120" s="31"/>
      <c r="RK1120" s="31"/>
      <c r="RL1120" s="31"/>
      <c r="RM1120" s="31"/>
      <c r="RN1120" s="31"/>
      <c r="RO1120" s="31"/>
      <c r="RP1120" s="31"/>
      <c r="RQ1120" s="31"/>
      <c r="RR1120" s="31"/>
      <c r="RS1120" s="31"/>
      <c r="RT1120" s="31"/>
      <c r="RU1120" s="31"/>
      <c r="RV1120" s="31"/>
      <c r="RW1120" s="31"/>
      <c r="RX1120" s="31"/>
      <c r="RY1120" s="31"/>
      <c r="RZ1120" s="31"/>
      <c r="SA1120" s="31"/>
      <c r="SB1120" s="31"/>
      <c r="SC1120" s="31"/>
      <c r="SD1120" s="31"/>
      <c r="SE1120" s="31"/>
      <c r="SF1120" s="31"/>
      <c r="SG1120" s="31"/>
      <c r="SH1120" s="31"/>
      <c r="SI1120" s="31"/>
      <c r="SJ1120" s="31"/>
      <c r="SK1120" s="31"/>
      <c r="SL1120" s="31"/>
      <c r="SM1120" s="31"/>
      <c r="SN1120" s="31"/>
      <c r="SO1120" s="31"/>
      <c r="SP1120" s="31"/>
      <c r="SQ1120" s="31"/>
      <c r="SR1120" s="31"/>
      <c r="SS1120" s="31"/>
      <c r="ST1120" s="31"/>
      <c r="SU1120" s="31"/>
      <c r="SV1120" s="31"/>
      <c r="SW1120" s="31"/>
      <c r="SX1120" s="31"/>
      <c r="SY1120" s="31"/>
      <c r="SZ1120" s="31"/>
      <c r="TA1120" s="31"/>
      <c r="TB1120" s="31"/>
      <c r="TC1120" s="31"/>
      <c r="TD1120" s="31"/>
      <c r="TE1120" s="31"/>
      <c r="TF1120" s="31"/>
      <c r="TG1120" s="31"/>
      <c r="TH1120" s="31"/>
      <c r="TI1120" s="31"/>
      <c r="TJ1120" s="31"/>
      <c r="TK1120" s="31"/>
      <c r="TL1120" s="31"/>
      <c r="TM1120" s="31"/>
      <c r="TN1120" s="31"/>
      <c r="TO1120" s="31"/>
      <c r="TP1120" s="31"/>
      <c r="TQ1120" s="31"/>
      <c r="TR1120" s="31"/>
      <c r="TS1120" s="31"/>
      <c r="TT1120" s="31"/>
      <c r="TU1120" s="31"/>
      <c r="TV1120" s="31"/>
      <c r="TW1120" s="31"/>
      <c r="TX1120" s="31"/>
      <c r="TY1120" s="31"/>
      <c r="TZ1120" s="31"/>
      <c r="UA1120" s="31"/>
      <c r="UB1120" s="31"/>
      <c r="UC1120" s="31"/>
      <c r="UD1120" s="31"/>
      <c r="UE1120" s="31"/>
      <c r="UF1120" s="31"/>
      <c r="UG1120" s="33"/>
    </row>
    <row r="1121" spans="1:553" ht="48.65" customHeight="1">
      <c r="A1121" s="356"/>
      <c r="B1121" s="385">
        <v>203</v>
      </c>
      <c r="C1121" s="1403" t="s">
        <v>651</v>
      </c>
      <c r="D1121" s="1389"/>
      <c r="E1121" s="1389"/>
      <c r="F1121" s="1390"/>
      <c r="G1121" s="386" t="s">
        <v>113</v>
      </c>
      <c r="H1121" s="370"/>
      <c r="I1121" s="422">
        <f>3.2+5.6+1.8+3.5+6.3+14+1.3</f>
        <v>35.700000000000003</v>
      </c>
      <c r="J1121" s="477">
        <v>815000</v>
      </c>
      <c r="K1121" s="388"/>
      <c r="L1121" s="391">
        <f t="shared" si="167"/>
        <v>29095500.000000004</v>
      </c>
      <c r="M1121" s="395"/>
      <c r="N1121" s="395"/>
      <c r="O1121" s="366"/>
      <c r="P1121" s="396"/>
      <c r="Q1121" s="473"/>
      <c r="R1121" s="1039"/>
      <c r="S1121" s="308"/>
      <c r="T1121" s="308"/>
      <c r="U1121" s="308"/>
      <c r="V1121" s="308"/>
      <c r="W1121" s="308"/>
      <c r="X1121" s="308"/>
      <c r="Y1121" s="308"/>
      <c r="Z1121" s="604"/>
      <c r="AA1121" s="308"/>
      <c r="AB1121" s="308"/>
      <c r="AC1121" s="449"/>
      <c r="AD1121" s="449"/>
      <c r="AE1121" s="449"/>
      <c r="AF1121" s="449"/>
      <c r="AG1121" s="452"/>
      <c r="AH1121" s="452"/>
      <c r="AI1121" s="452"/>
      <c r="AJ1121" s="452"/>
      <c r="AK1121" s="452"/>
      <c r="AL1121" s="104"/>
      <c r="AM1121" s="32"/>
      <c r="AN1121" s="32"/>
      <c r="AO1121" s="32"/>
      <c r="AP1121" s="32"/>
      <c r="AQ1121" s="31"/>
      <c r="AR1121" s="31"/>
      <c r="AS1121" s="31"/>
      <c r="AT1121" s="31"/>
      <c r="AU1121" s="31"/>
      <c r="AV1121" s="31"/>
      <c r="AW1121" s="31"/>
      <c r="AX1121" s="31"/>
      <c r="AY1121" s="31"/>
      <c r="AZ1121" s="31"/>
      <c r="BA1121" s="31"/>
      <c r="BB1121" s="31"/>
      <c r="BC1121" s="31"/>
      <c r="BD1121" s="31"/>
      <c r="BE1121" s="31"/>
      <c r="BF1121" s="31"/>
      <c r="BG1121" s="31"/>
      <c r="BH1121" s="31"/>
      <c r="BI1121" s="31"/>
      <c r="BJ1121" s="31"/>
      <c r="BK1121" s="31"/>
      <c r="BL1121" s="31"/>
      <c r="BM1121" s="31"/>
      <c r="BN1121" s="31"/>
      <c r="BO1121" s="31"/>
      <c r="BP1121" s="31"/>
      <c r="BQ1121" s="31"/>
      <c r="BR1121" s="31"/>
      <c r="BS1121" s="31"/>
      <c r="BT1121" s="31"/>
      <c r="BU1121" s="31"/>
      <c r="BV1121" s="31"/>
      <c r="BW1121" s="31"/>
      <c r="BX1121" s="31"/>
      <c r="BY1121" s="31"/>
      <c r="BZ1121" s="31"/>
      <c r="CA1121" s="31"/>
      <c r="CB1121" s="31"/>
      <c r="CC1121" s="31"/>
      <c r="CD1121" s="31"/>
      <c r="CE1121" s="31"/>
      <c r="CF1121" s="31"/>
      <c r="CG1121" s="31"/>
      <c r="CH1121" s="31"/>
      <c r="CI1121" s="31"/>
      <c r="CJ1121" s="31"/>
      <c r="CK1121" s="31"/>
      <c r="CL1121" s="31"/>
      <c r="CM1121" s="31"/>
      <c r="CN1121" s="31"/>
      <c r="CO1121" s="31"/>
      <c r="CP1121" s="31"/>
      <c r="CQ1121" s="31"/>
      <c r="CR1121" s="31"/>
      <c r="CS1121" s="31"/>
      <c r="CT1121" s="31"/>
      <c r="CU1121" s="31"/>
      <c r="CV1121" s="31"/>
      <c r="CW1121" s="31"/>
      <c r="CX1121" s="31"/>
      <c r="CY1121" s="31"/>
      <c r="CZ1121" s="31"/>
      <c r="DA1121" s="31"/>
      <c r="DB1121" s="31"/>
      <c r="DC1121" s="31"/>
      <c r="DD1121" s="31"/>
      <c r="DE1121" s="31"/>
      <c r="DF1121" s="31"/>
      <c r="DG1121" s="31"/>
      <c r="DH1121" s="31"/>
      <c r="DI1121" s="31"/>
      <c r="DJ1121" s="31"/>
      <c r="DK1121" s="31"/>
      <c r="DL1121" s="31"/>
      <c r="DM1121" s="31"/>
      <c r="DN1121" s="31"/>
      <c r="DO1121" s="31"/>
      <c r="DP1121" s="31"/>
      <c r="DQ1121" s="31"/>
      <c r="DR1121" s="31"/>
      <c r="DS1121" s="31"/>
      <c r="DT1121" s="31"/>
      <c r="DU1121" s="31"/>
      <c r="DV1121" s="31"/>
      <c r="DW1121" s="31"/>
      <c r="DX1121" s="31"/>
      <c r="DY1121" s="31"/>
      <c r="DZ1121" s="31"/>
      <c r="EA1121" s="31"/>
      <c r="EB1121" s="31"/>
      <c r="EC1121" s="31"/>
      <c r="ED1121" s="31"/>
      <c r="EE1121" s="31"/>
      <c r="EF1121" s="31"/>
      <c r="EG1121" s="31"/>
      <c r="EH1121" s="31"/>
      <c r="EI1121" s="31"/>
      <c r="EJ1121" s="31"/>
      <c r="EK1121" s="31"/>
      <c r="EL1121" s="31"/>
      <c r="EM1121" s="31"/>
      <c r="EN1121" s="31"/>
      <c r="EO1121" s="31"/>
      <c r="EP1121" s="31"/>
      <c r="EQ1121" s="31"/>
      <c r="ER1121" s="31"/>
      <c r="ES1121" s="31"/>
      <c r="ET1121" s="31"/>
      <c r="EU1121" s="31"/>
      <c r="EV1121" s="31"/>
      <c r="EW1121" s="31"/>
      <c r="EX1121" s="31"/>
      <c r="EY1121" s="31"/>
      <c r="EZ1121" s="31"/>
      <c r="FA1121" s="31"/>
      <c r="FB1121" s="31"/>
      <c r="FC1121" s="31"/>
      <c r="FD1121" s="31"/>
      <c r="FE1121" s="31"/>
      <c r="FF1121" s="31"/>
      <c r="FG1121" s="31"/>
      <c r="FH1121" s="31"/>
      <c r="FI1121" s="31"/>
      <c r="FJ1121" s="31"/>
      <c r="FK1121" s="31"/>
      <c r="FL1121" s="31"/>
      <c r="FM1121" s="31"/>
      <c r="FN1121" s="31"/>
      <c r="FO1121" s="31"/>
      <c r="FP1121" s="31"/>
      <c r="FQ1121" s="31"/>
      <c r="FR1121" s="31"/>
      <c r="FS1121" s="31"/>
      <c r="FT1121" s="31"/>
      <c r="FU1121" s="31"/>
      <c r="FV1121" s="31"/>
      <c r="FW1121" s="31"/>
      <c r="FX1121" s="31"/>
      <c r="FY1121" s="31"/>
      <c r="FZ1121" s="31"/>
      <c r="GA1121" s="31"/>
      <c r="GB1121" s="31"/>
      <c r="GC1121" s="31"/>
      <c r="GD1121" s="31"/>
      <c r="GE1121" s="31"/>
      <c r="GF1121" s="31"/>
      <c r="GG1121" s="31"/>
      <c r="GH1121" s="31"/>
      <c r="GI1121" s="31"/>
      <c r="GJ1121" s="31"/>
      <c r="GK1121" s="31"/>
      <c r="GL1121" s="31"/>
      <c r="GM1121" s="31"/>
      <c r="GN1121" s="31"/>
      <c r="GO1121" s="31"/>
      <c r="GP1121" s="31"/>
      <c r="GQ1121" s="31"/>
      <c r="GR1121" s="31"/>
      <c r="GS1121" s="31"/>
      <c r="GT1121" s="31"/>
      <c r="GU1121" s="31"/>
      <c r="GV1121" s="31"/>
      <c r="GW1121" s="31"/>
      <c r="GX1121" s="31"/>
      <c r="GY1121" s="31"/>
      <c r="GZ1121" s="31"/>
      <c r="HA1121" s="31"/>
      <c r="HB1121" s="31"/>
      <c r="HC1121" s="31"/>
      <c r="HD1121" s="31"/>
      <c r="HE1121" s="31"/>
      <c r="HF1121" s="31"/>
      <c r="HG1121" s="31"/>
      <c r="HH1121" s="31"/>
      <c r="HI1121" s="31"/>
      <c r="HJ1121" s="31"/>
      <c r="HK1121" s="31"/>
      <c r="HL1121" s="31"/>
      <c r="HM1121" s="31"/>
      <c r="HN1121" s="31"/>
      <c r="HO1121" s="31"/>
      <c r="HP1121" s="31"/>
      <c r="HQ1121" s="31"/>
      <c r="HR1121" s="31"/>
      <c r="HS1121" s="31"/>
      <c r="HT1121" s="31"/>
      <c r="HU1121" s="31"/>
      <c r="HV1121" s="31"/>
      <c r="HW1121" s="31"/>
      <c r="HX1121" s="31"/>
      <c r="HY1121" s="31"/>
      <c r="HZ1121" s="31"/>
      <c r="IA1121" s="31"/>
      <c r="IB1121" s="31"/>
      <c r="IC1121" s="31"/>
      <c r="ID1121" s="31"/>
      <c r="IE1121" s="31"/>
      <c r="IF1121" s="31"/>
      <c r="IG1121" s="31"/>
      <c r="IH1121" s="31"/>
      <c r="II1121" s="31"/>
      <c r="IJ1121" s="31"/>
      <c r="IK1121" s="31"/>
      <c r="IL1121" s="31"/>
      <c r="IM1121" s="31"/>
      <c r="IN1121" s="31"/>
      <c r="IO1121" s="31"/>
      <c r="IP1121" s="31"/>
      <c r="IQ1121" s="31"/>
      <c r="IR1121" s="31"/>
      <c r="IS1121" s="31"/>
      <c r="IT1121" s="31"/>
      <c r="IU1121" s="31"/>
      <c r="IV1121" s="31"/>
      <c r="IW1121" s="31"/>
      <c r="IX1121" s="31"/>
      <c r="IY1121" s="31"/>
      <c r="IZ1121" s="31"/>
      <c r="JA1121" s="31"/>
      <c r="JB1121" s="31"/>
      <c r="JC1121" s="31"/>
      <c r="JD1121" s="31"/>
      <c r="JE1121" s="31"/>
      <c r="JF1121" s="31"/>
      <c r="JG1121" s="31"/>
      <c r="JH1121" s="31"/>
      <c r="JI1121" s="31"/>
      <c r="JJ1121" s="31"/>
      <c r="JK1121" s="31"/>
      <c r="JL1121" s="31"/>
      <c r="JM1121" s="31"/>
      <c r="JN1121" s="31"/>
      <c r="JO1121" s="31"/>
      <c r="JP1121" s="31"/>
      <c r="JQ1121" s="31"/>
      <c r="JR1121" s="31"/>
      <c r="JS1121" s="31"/>
      <c r="JT1121" s="31"/>
      <c r="JU1121" s="31"/>
      <c r="JV1121" s="31"/>
      <c r="JW1121" s="31"/>
      <c r="JX1121" s="31"/>
      <c r="JY1121" s="31"/>
      <c r="JZ1121" s="31"/>
      <c r="KA1121" s="31"/>
      <c r="KB1121" s="31"/>
      <c r="KC1121" s="31"/>
      <c r="KD1121" s="31"/>
      <c r="KE1121" s="31"/>
      <c r="KF1121" s="31"/>
      <c r="KG1121" s="31"/>
      <c r="KH1121" s="31"/>
      <c r="KI1121" s="31"/>
      <c r="KJ1121" s="31"/>
      <c r="KK1121" s="31"/>
      <c r="KL1121" s="31"/>
      <c r="KM1121" s="31"/>
      <c r="KN1121" s="31"/>
      <c r="KO1121" s="31"/>
      <c r="KP1121" s="31"/>
      <c r="KQ1121" s="31"/>
      <c r="KR1121" s="31"/>
      <c r="KS1121" s="31"/>
      <c r="KT1121" s="31"/>
      <c r="KU1121" s="31"/>
      <c r="KV1121" s="31"/>
      <c r="KW1121" s="31"/>
      <c r="KX1121" s="31"/>
      <c r="KY1121" s="31"/>
      <c r="KZ1121" s="31"/>
      <c r="LA1121" s="31"/>
      <c r="LB1121" s="31"/>
      <c r="LC1121" s="31"/>
      <c r="LD1121" s="31"/>
      <c r="LE1121" s="31"/>
      <c r="LF1121" s="31"/>
      <c r="LG1121" s="31"/>
      <c r="LH1121" s="31"/>
      <c r="LI1121" s="31"/>
      <c r="LJ1121" s="31"/>
      <c r="LK1121" s="31"/>
      <c r="LL1121" s="31"/>
      <c r="LM1121" s="31"/>
      <c r="LN1121" s="31"/>
      <c r="LO1121" s="31"/>
      <c r="LP1121" s="31"/>
      <c r="LQ1121" s="31"/>
      <c r="LR1121" s="31"/>
      <c r="LS1121" s="31"/>
      <c r="LT1121" s="31"/>
      <c r="LU1121" s="31"/>
      <c r="LV1121" s="31"/>
      <c r="LW1121" s="31"/>
      <c r="LX1121" s="31"/>
      <c r="LY1121" s="31"/>
      <c r="LZ1121" s="31"/>
      <c r="MA1121" s="31"/>
      <c r="MB1121" s="31"/>
      <c r="MC1121" s="31"/>
      <c r="MD1121" s="31"/>
      <c r="ME1121" s="31"/>
      <c r="MF1121" s="31"/>
      <c r="MG1121" s="31"/>
      <c r="MH1121" s="31"/>
      <c r="MI1121" s="31"/>
      <c r="MJ1121" s="31"/>
      <c r="MK1121" s="31"/>
      <c r="ML1121" s="31"/>
      <c r="MM1121" s="31"/>
      <c r="MN1121" s="31"/>
      <c r="MO1121" s="31"/>
      <c r="MP1121" s="31"/>
      <c r="MQ1121" s="31"/>
      <c r="MR1121" s="31"/>
      <c r="MS1121" s="31"/>
      <c r="MT1121" s="31"/>
      <c r="MU1121" s="31"/>
      <c r="MV1121" s="31"/>
      <c r="MW1121" s="31"/>
      <c r="MX1121" s="31"/>
      <c r="MY1121" s="31"/>
      <c r="MZ1121" s="31"/>
      <c r="NA1121" s="31"/>
      <c r="NB1121" s="31"/>
      <c r="NC1121" s="31"/>
      <c r="ND1121" s="31"/>
      <c r="NE1121" s="31"/>
      <c r="NF1121" s="31"/>
      <c r="NG1121" s="31"/>
      <c r="NH1121" s="31"/>
      <c r="NI1121" s="31"/>
      <c r="NJ1121" s="31"/>
      <c r="NK1121" s="31"/>
      <c r="NL1121" s="31"/>
      <c r="NM1121" s="31"/>
      <c r="NN1121" s="31"/>
      <c r="NO1121" s="31"/>
      <c r="NP1121" s="31"/>
      <c r="NQ1121" s="31"/>
      <c r="NR1121" s="31"/>
      <c r="NS1121" s="31"/>
      <c r="NT1121" s="31"/>
      <c r="NU1121" s="31"/>
      <c r="NV1121" s="31"/>
      <c r="NW1121" s="31"/>
      <c r="NX1121" s="31"/>
      <c r="NY1121" s="31"/>
      <c r="NZ1121" s="31"/>
      <c r="OA1121" s="31"/>
      <c r="OB1121" s="31"/>
      <c r="OC1121" s="31"/>
      <c r="OD1121" s="31"/>
      <c r="OE1121" s="31"/>
      <c r="OF1121" s="31"/>
      <c r="OG1121" s="31"/>
      <c r="OH1121" s="31"/>
      <c r="OI1121" s="31"/>
      <c r="OJ1121" s="31"/>
      <c r="OK1121" s="31"/>
      <c r="OL1121" s="31"/>
      <c r="OM1121" s="31"/>
      <c r="ON1121" s="31"/>
      <c r="OO1121" s="31"/>
      <c r="OP1121" s="31"/>
      <c r="OQ1121" s="31"/>
      <c r="OR1121" s="31"/>
      <c r="OS1121" s="31"/>
      <c r="OT1121" s="31"/>
      <c r="OU1121" s="31"/>
      <c r="OV1121" s="31"/>
      <c r="OW1121" s="31"/>
      <c r="OX1121" s="31"/>
      <c r="OY1121" s="31"/>
      <c r="OZ1121" s="31"/>
      <c r="PA1121" s="31"/>
      <c r="PB1121" s="31"/>
      <c r="PC1121" s="31"/>
      <c r="PD1121" s="31"/>
      <c r="PE1121" s="31"/>
      <c r="PF1121" s="31"/>
      <c r="PG1121" s="31"/>
      <c r="PH1121" s="31"/>
      <c r="PI1121" s="31"/>
      <c r="PJ1121" s="31"/>
      <c r="PK1121" s="31"/>
      <c r="PL1121" s="31"/>
      <c r="PM1121" s="31"/>
      <c r="PN1121" s="31"/>
      <c r="PO1121" s="31"/>
      <c r="PP1121" s="31"/>
      <c r="PQ1121" s="31"/>
      <c r="PR1121" s="31"/>
      <c r="PS1121" s="31"/>
      <c r="PT1121" s="31"/>
      <c r="PU1121" s="31"/>
      <c r="PV1121" s="31"/>
      <c r="PW1121" s="31"/>
      <c r="PX1121" s="31"/>
      <c r="PY1121" s="31"/>
      <c r="PZ1121" s="31"/>
      <c r="QA1121" s="31"/>
      <c r="QB1121" s="31"/>
      <c r="QC1121" s="31"/>
      <c r="QD1121" s="31"/>
      <c r="QE1121" s="31"/>
      <c r="QF1121" s="31"/>
      <c r="QG1121" s="31"/>
      <c r="QH1121" s="31"/>
      <c r="QI1121" s="31"/>
      <c r="QJ1121" s="31"/>
      <c r="QK1121" s="31"/>
      <c r="QL1121" s="31"/>
      <c r="QM1121" s="31"/>
      <c r="QN1121" s="31"/>
      <c r="QO1121" s="31"/>
      <c r="QP1121" s="31"/>
      <c r="QQ1121" s="31"/>
      <c r="QR1121" s="31"/>
      <c r="QS1121" s="31"/>
      <c r="QT1121" s="31"/>
      <c r="QU1121" s="31"/>
      <c r="QV1121" s="31"/>
      <c r="QW1121" s="31"/>
      <c r="QX1121" s="31"/>
      <c r="QY1121" s="31"/>
      <c r="QZ1121" s="31"/>
      <c r="RA1121" s="31"/>
      <c r="RB1121" s="31"/>
      <c r="RC1121" s="31"/>
      <c r="RD1121" s="31"/>
      <c r="RE1121" s="31"/>
      <c r="RF1121" s="31"/>
      <c r="RG1121" s="31"/>
      <c r="RH1121" s="31"/>
      <c r="RI1121" s="31"/>
      <c r="RJ1121" s="31"/>
      <c r="RK1121" s="31"/>
      <c r="RL1121" s="31"/>
      <c r="RM1121" s="31"/>
      <c r="RN1121" s="31"/>
      <c r="RO1121" s="31"/>
      <c r="RP1121" s="31"/>
      <c r="RQ1121" s="31"/>
      <c r="RR1121" s="31"/>
      <c r="RS1121" s="31"/>
      <c r="RT1121" s="31"/>
      <c r="RU1121" s="31"/>
      <c r="RV1121" s="31"/>
      <c r="RW1121" s="31"/>
      <c r="RX1121" s="31"/>
      <c r="RY1121" s="31"/>
      <c r="RZ1121" s="31"/>
      <c r="SA1121" s="31"/>
      <c r="SB1121" s="31"/>
      <c r="SC1121" s="31"/>
      <c r="SD1121" s="31"/>
      <c r="SE1121" s="31"/>
      <c r="SF1121" s="31"/>
      <c r="SG1121" s="31"/>
      <c r="SH1121" s="31"/>
      <c r="SI1121" s="31"/>
      <c r="SJ1121" s="31"/>
      <c r="SK1121" s="31"/>
      <c r="SL1121" s="31"/>
      <c r="SM1121" s="31"/>
      <c r="SN1121" s="31"/>
      <c r="SO1121" s="31"/>
      <c r="SP1121" s="31"/>
      <c r="SQ1121" s="31"/>
      <c r="SR1121" s="31"/>
      <c r="SS1121" s="31"/>
      <c r="ST1121" s="31"/>
      <c r="SU1121" s="31"/>
      <c r="SV1121" s="31"/>
      <c r="SW1121" s="31"/>
      <c r="SX1121" s="31"/>
      <c r="SY1121" s="31"/>
      <c r="SZ1121" s="31"/>
      <c r="TA1121" s="31"/>
      <c r="TB1121" s="31"/>
      <c r="TC1121" s="31"/>
      <c r="TD1121" s="31"/>
      <c r="TE1121" s="31"/>
      <c r="TF1121" s="31"/>
      <c r="TG1121" s="31"/>
      <c r="TH1121" s="31"/>
      <c r="TI1121" s="31"/>
      <c r="TJ1121" s="31"/>
      <c r="TK1121" s="31"/>
      <c r="TL1121" s="31"/>
      <c r="TM1121" s="31"/>
      <c r="TN1121" s="31"/>
      <c r="TO1121" s="31"/>
      <c r="TP1121" s="31"/>
      <c r="TQ1121" s="31"/>
      <c r="TR1121" s="31"/>
      <c r="TS1121" s="31"/>
      <c r="TT1121" s="31"/>
      <c r="TU1121" s="31"/>
      <c r="TV1121" s="31"/>
      <c r="TW1121" s="31"/>
      <c r="TX1121" s="31"/>
      <c r="TY1121" s="31"/>
      <c r="TZ1121" s="31"/>
      <c r="UA1121" s="31"/>
      <c r="UB1121" s="31"/>
      <c r="UC1121" s="31"/>
      <c r="UD1121" s="31"/>
      <c r="UE1121" s="31"/>
      <c r="UF1121" s="31"/>
      <c r="UG1121" s="33"/>
    </row>
    <row r="1122" spans="1:553" s="120" customFormat="1" ht="34.5" customHeight="1">
      <c r="A1122" s="431" t="s">
        <v>30</v>
      </c>
      <c r="B1122" s="541">
        <v>2</v>
      </c>
      <c r="C1122" s="1382" t="s">
        <v>891</v>
      </c>
      <c r="D1122" s="1383"/>
      <c r="E1122" s="1383"/>
      <c r="F1122" s="1384"/>
      <c r="G1122" s="542" t="s">
        <v>33</v>
      </c>
      <c r="H1122" s="543"/>
      <c r="I1122" s="422">
        <f>-(3.2+5.6+1.8+3.5+6.3+14+1.3)*1.7*2</f>
        <v>-121.38000000000001</v>
      </c>
      <c r="J1122" s="990">
        <v>52000</v>
      </c>
      <c r="K1122" s="644"/>
      <c r="L1122" s="1191">
        <f>J1122*I1122</f>
        <v>-6311760.0000000009</v>
      </c>
      <c r="M1122" s="637"/>
      <c r="N1122" s="637"/>
      <c r="O1122" s="544"/>
      <c r="P1122" s="638"/>
      <c r="Q1122" s="634"/>
      <c r="R1122" s="1164"/>
      <c r="S1122" s="308"/>
      <c r="T1122" s="308"/>
      <c r="U1122" s="308"/>
      <c r="V1122" s="308"/>
      <c r="W1122" s="308"/>
      <c r="X1122" s="308"/>
      <c r="Y1122" s="308"/>
      <c r="Z1122" s="604"/>
      <c r="AA1122" s="308"/>
      <c r="AB1122" s="308"/>
      <c r="AC1122" s="545"/>
      <c r="AD1122" s="545"/>
      <c r="AE1122" s="545"/>
      <c r="AF1122" s="545"/>
      <c r="AG1122" s="546"/>
      <c r="AH1122" s="546"/>
      <c r="AI1122" s="546"/>
      <c r="AJ1122" s="546"/>
      <c r="AK1122" s="546"/>
      <c r="AL1122" s="138"/>
      <c r="AM1122" s="138"/>
      <c r="AN1122" s="138"/>
      <c r="AO1122" s="138"/>
      <c r="AP1122" s="138"/>
      <c r="AQ1122" s="139"/>
      <c r="AR1122" s="139"/>
      <c r="AS1122" s="139"/>
      <c r="AT1122" s="139"/>
      <c r="AU1122" s="139"/>
      <c r="AV1122" s="139"/>
      <c r="AW1122" s="139"/>
      <c r="AX1122" s="139"/>
      <c r="AY1122" s="139"/>
      <c r="AZ1122" s="139"/>
      <c r="BA1122" s="139"/>
      <c r="BB1122" s="139"/>
      <c r="BC1122" s="139"/>
      <c r="BD1122" s="139"/>
      <c r="BE1122" s="139"/>
      <c r="BF1122" s="139"/>
      <c r="BG1122" s="139"/>
      <c r="BH1122" s="139"/>
      <c r="BI1122" s="139"/>
      <c r="BJ1122" s="139"/>
      <c r="BK1122" s="139"/>
      <c r="BL1122" s="139"/>
      <c r="BM1122" s="139"/>
      <c r="BN1122" s="139"/>
      <c r="BO1122" s="139"/>
      <c r="BP1122" s="139"/>
      <c r="BQ1122" s="139"/>
      <c r="BR1122" s="139"/>
      <c r="BS1122" s="139"/>
      <c r="BT1122" s="139"/>
      <c r="BU1122" s="139"/>
      <c r="BV1122" s="139"/>
      <c r="BW1122" s="139"/>
      <c r="BX1122" s="139"/>
      <c r="BY1122" s="139"/>
      <c r="BZ1122" s="139"/>
      <c r="CA1122" s="139"/>
      <c r="CB1122" s="139"/>
      <c r="CC1122" s="139"/>
      <c r="CD1122" s="139"/>
      <c r="CE1122" s="139"/>
      <c r="CF1122" s="139"/>
      <c r="CG1122" s="139"/>
      <c r="CH1122" s="139"/>
      <c r="CI1122" s="139"/>
      <c r="CJ1122" s="139"/>
      <c r="CK1122" s="139"/>
      <c r="CL1122" s="139"/>
      <c r="CM1122" s="139"/>
      <c r="CN1122" s="139"/>
      <c r="CO1122" s="139"/>
      <c r="CP1122" s="139"/>
      <c r="CQ1122" s="139"/>
      <c r="CR1122" s="139"/>
      <c r="CS1122" s="139"/>
      <c r="CT1122" s="139"/>
      <c r="CU1122" s="139"/>
      <c r="CV1122" s="139"/>
      <c r="CW1122" s="139"/>
      <c r="CX1122" s="139"/>
      <c r="CY1122" s="139"/>
      <c r="CZ1122" s="139"/>
      <c r="DA1122" s="139"/>
      <c r="DB1122" s="139"/>
      <c r="DC1122" s="139"/>
      <c r="DD1122" s="139"/>
      <c r="DE1122" s="139"/>
      <c r="DF1122" s="139"/>
      <c r="DG1122" s="139"/>
      <c r="DH1122" s="139"/>
      <c r="DI1122" s="139"/>
      <c r="DJ1122" s="139"/>
      <c r="DK1122" s="139"/>
      <c r="DL1122" s="139"/>
      <c r="DM1122" s="139"/>
      <c r="DN1122" s="139"/>
      <c r="DO1122" s="139"/>
      <c r="DP1122" s="139"/>
      <c r="DQ1122" s="139"/>
      <c r="DR1122" s="139"/>
      <c r="DS1122" s="139"/>
      <c r="DT1122" s="139"/>
      <c r="DU1122" s="139"/>
      <c r="DV1122" s="139"/>
      <c r="DW1122" s="139"/>
      <c r="DX1122" s="139"/>
      <c r="DY1122" s="139"/>
      <c r="DZ1122" s="139"/>
      <c r="EA1122" s="139"/>
      <c r="EB1122" s="139"/>
      <c r="EC1122" s="139"/>
      <c r="ED1122" s="139"/>
      <c r="EE1122" s="139"/>
      <c r="EF1122" s="139"/>
      <c r="EG1122" s="139"/>
      <c r="EH1122" s="139"/>
      <c r="EI1122" s="139"/>
      <c r="EJ1122" s="139"/>
      <c r="EK1122" s="139"/>
      <c r="EL1122" s="139"/>
      <c r="EM1122" s="139"/>
      <c r="EN1122" s="139"/>
      <c r="EO1122" s="139"/>
      <c r="EP1122" s="139"/>
      <c r="EQ1122" s="139"/>
      <c r="ER1122" s="139"/>
      <c r="ES1122" s="139"/>
      <c r="ET1122" s="139"/>
      <c r="EU1122" s="139"/>
      <c r="EV1122" s="139"/>
      <c r="EW1122" s="139"/>
      <c r="EX1122" s="139"/>
      <c r="EY1122" s="139"/>
      <c r="EZ1122" s="139"/>
      <c r="FA1122" s="139"/>
      <c r="FB1122" s="139"/>
      <c r="FC1122" s="139"/>
      <c r="FD1122" s="139"/>
      <c r="FE1122" s="139"/>
      <c r="FF1122" s="139"/>
      <c r="FG1122" s="139"/>
      <c r="FH1122" s="139"/>
      <c r="FI1122" s="139"/>
      <c r="FJ1122" s="139"/>
      <c r="FK1122" s="139"/>
      <c r="FL1122" s="139"/>
      <c r="FM1122" s="139"/>
      <c r="FN1122" s="139"/>
      <c r="FO1122" s="139"/>
      <c r="FP1122" s="139"/>
      <c r="FQ1122" s="139"/>
      <c r="FR1122" s="139"/>
      <c r="FS1122" s="139"/>
      <c r="FT1122" s="139"/>
      <c r="FU1122" s="139"/>
      <c r="FV1122" s="139"/>
      <c r="FW1122" s="139"/>
      <c r="FX1122" s="139"/>
      <c r="FY1122" s="139"/>
      <c r="FZ1122" s="139"/>
      <c r="GA1122" s="139"/>
      <c r="GB1122" s="139"/>
      <c r="GC1122" s="139"/>
      <c r="GD1122" s="139"/>
      <c r="GE1122" s="139"/>
      <c r="GF1122" s="139"/>
      <c r="GG1122" s="139"/>
      <c r="GH1122" s="139"/>
      <c r="GI1122" s="139"/>
      <c r="GJ1122" s="139"/>
      <c r="GK1122" s="139"/>
      <c r="GL1122" s="139"/>
      <c r="GM1122" s="139"/>
      <c r="GN1122" s="139"/>
      <c r="GO1122" s="139"/>
      <c r="GP1122" s="139"/>
      <c r="GQ1122" s="139"/>
      <c r="GR1122" s="139"/>
      <c r="GS1122" s="139"/>
      <c r="GT1122" s="139"/>
      <c r="GU1122" s="139"/>
      <c r="GV1122" s="139"/>
      <c r="GW1122" s="139"/>
      <c r="GX1122" s="139"/>
      <c r="GY1122" s="139"/>
      <c r="GZ1122" s="139"/>
      <c r="HA1122" s="139"/>
      <c r="HB1122" s="139"/>
      <c r="HC1122" s="139"/>
      <c r="HD1122" s="139"/>
      <c r="HE1122" s="139"/>
      <c r="HF1122" s="139"/>
      <c r="HG1122" s="139"/>
      <c r="HH1122" s="139"/>
      <c r="HI1122" s="139"/>
      <c r="HJ1122" s="139"/>
      <c r="HK1122" s="139"/>
      <c r="HL1122" s="139"/>
      <c r="HM1122" s="139"/>
      <c r="HN1122" s="139"/>
      <c r="HO1122" s="139"/>
      <c r="HP1122" s="139"/>
      <c r="HQ1122" s="139"/>
      <c r="HR1122" s="139"/>
      <c r="HS1122" s="139"/>
      <c r="HT1122" s="139"/>
      <c r="HU1122" s="139"/>
      <c r="HV1122" s="139"/>
      <c r="HW1122" s="139"/>
      <c r="HX1122" s="139"/>
      <c r="HY1122" s="139"/>
      <c r="HZ1122" s="139"/>
      <c r="IA1122" s="139"/>
      <c r="IB1122" s="139"/>
      <c r="IC1122" s="139"/>
      <c r="ID1122" s="139"/>
      <c r="IE1122" s="139"/>
      <c r="IF1122" s="139"/>
      <c r="IG1122" s="139"/>
      <c r="IH1122" s="139"/>
      <c r="II1122" s="139"/>
      <c r="IJ1122" s="139"/>
      <c r="IK1122" s="139"/>
      <c r="IL1122" s="139"/>
      <c r="IM1122" s="139"/>
      <c r="IN1122" s="139"/>
      <c r="IO1122" s="139"/>
      <c r="IP1122" s="139"/>
      <c r="IQ1122" s="139"/>
      <c r="IR1122" s="139"/>
      <c r="IS1122" s="139"/>
      <c r="IT1122" s="139"/>
      <c r="IU1122" s="139"/>
      <c r="IV1122" s="139"/>
      <c r="IW1122" s="139"/>
      <c r="IX1122" s="139"/>
      <c r="IY1122" s="139"/>
      <c r="IZ1122" s="139"/>
      <c r="JA1122" s="139"/>
      <c r="JB1122" s="139"/>
      <c r="JC1122" s="139"/>
      <c r="JD1122" s="139"/>
      <c r="JE1122" s="139"/>
      <c r="JF1122" s="139"/>
      <c r="JG1122" s="139"/>
      <c r="JH1122" s="139"/>
      <c r="JI1122" s="139"/>
      <c r="JJ1122" s="139"/>
      <c r="JK1122" s="139"/>
      <c r="JL1122" s="139"/>
      <c r="JM1122" s="139"/>
      <c r="JN1122" s="139"/>
      <c r="JO1122" s="139"/>
      <c r="JP1122" s="139"/>
      <c r="JQ1122" s="139"/>
      <c r="JR1122" s="139"/>
      <c r="JS1122" s="139"/>
      <c r="JT1122" s="139"/>
      <c r="JU1122" s="139"/>
      <c r="JV1122" s="139"/>
      <c r="JW1122" s="139"/>
      <c r="JX1122" s="139"/>
      <c r="JY1122" s="139"/>
      <c r="JZ1122" s="139"/>
      <c r="KA1122" s="139"/>
      <c r="KB1122" s="139"/>
      <c r="KC1122" s="139"/>
      <c r="KD1122" s="139"/>
      <c r="KE1122" s="139"/>
      <c r="KF1122" s="139"/>
      <c r="KG1122" s="139"/>
      <c r="KH1122" s="139"/>
      <c r="KI1122" s="139"/>
      <c r="KJ1122" s="139"/>
      <c r="KK1122" s="139"/>
      <c r="KL1122" s="139"/>
      <c r="KM1122" s="139"/>
      <c r="KN1122" s="139"/>
      <c r="KO1122" s="139"/>
      <c r="KP1122" s="139"/>
      <c r="KQ1122" s="139"/>
      <c r="KR1122" s="139"/>
      <c r="KS1122" s="139"/>
      <c r="KT1122" s="139"/>
      <c r="KU1122" s="139"/>
      <c r="KV1122" s="139"/>
      <c r="KW1122" s="139"/>
      <c r="KX1122" s="139"/>
      <c r="KY1122" s="139"/>
      <c r="KZ1122" s="139"/>
      <c r="LA1122" s="139"/>
      <c r="LB1122" s="139"/>
      <c r="LC1122" s="139"/>
      <c r="LD1122" s="139"/>
      <c r="LE1122" s="139"/>
      <c r="LF1122" s="139"/>
      <c r="LG1122" s="139"/>
      <c r="LH1122" s="139"/>
      <c r="LI1122" s="139"/>
      <c r="LJ1122" s="139"/>
      <c r="LK1122" s="139"/>
      <c r="LL1122" s="139"/>
      <c r="LM1122" s="139"/>
      <c r="LN1122" s="139"/>
      <c r="LO1122" s="139"/>
      <c r="LP1122" s="139"/>
      <c r="LQ1122" s="139"/>
      <c r="LR1122" s="139"/>
      <c r="LS1122" s="139"/>
      <c r="LT1122" s="139"/>
      <c r="LU1122" s="139"/>
      <c r="LV1122" s="139"/>
      <c r="LW1122" s="139"/>
      <c r="LX1122" s="139"/>
      <c r="LY1122" s="139"/>
      <c r="LZ1122" s="139"/>
      <c r="MA1122" s="139"/>
      <c r="MB1122" s="139"/>
      <c r="MC1122" s="139"/>
      <c r="MD1122" s="139"/>
      <c r="ME1122" s="139"/>
      <c r="MF1122" s="139"/>
      <c r="MG1122" s="139"/>
      <c r="MH1122" s="139"/>
      <c r="MI1122" s="139"/>
      <c r="MJ1122" s="139"/>
      <c r="MK1122" s="139"/>
      <c r="ML1122" s="139"/>
      <c r="MM1122" s="139"/>
      <c r="MN1122" s="139"/>
      <c r="MO1122" s="139"/>
      <c r="MP1122" s="139"/>
      <c r="MQ1122" s="139"/>
      <c r="MR1122" s="139"/>
      <c r="MS1122" s="139"/>
      <c r="MT1122" s="139"/>
      <c r="MU1122" s="139"/>
      <c r="MV1122" s="139"/>
      <c r="MW1122" s="139"/>
      <c r="MX1122" s="139"/>
      <c r="MY1122" s="139"/>
      <c r="MZ1122" s="139"/>
      <c r="NA1122" s="139"/>
      <c r="NB1122" s="139"/>
      <c r="NC1122" s="139"/>
      <c r="ND1122" s="139"/>
      <c r="NE1122" s="139"/>
      <c r="NF1122" s="139"/>
      <c r="NG1122" s="139"/>
      <c r="NH1122" s="139"/>
      <c r="NI1122" s="139"/>
      <c r="NJ1122" s="139"/>
      <c r="NK1122" s="139"/>
      <c r="NL1122" s="139"/>
      <c r="NM1122" s="139"/>
      <c r="NN1122" s="139"/>
      <c r="NO1122" s="139"/>
      <c r="NP1122" s="139"/>
      <c r="NQ1122" s="139"/>
      <c r="NR1122" s="139"/>
      <c r="NS1122" s="139"/>
      <c r="NT1122" s="139"/>
      <c r="NU1122" s="139"/>
      <c r="NV1122" s="139"/>
      <c r="NW1122" s="139"/>
      <c r="NX1122" s="139"/>
      <c r="NY1122" s="139"/>
      <c r="NZ1122" s="139"/>
      <c r="OA1122" s="139"/>
      <c r="OB1122" s="139"/>
      <c r="OC1122" s="139"/>
      <c r="OD1122" s="139"/>
      <c r="OE1122" s="139"/>
      <c r="OF1122" s="139"/>
      <c r="OG1122" s="139"/>
      <c r="OH1122" s="139"/>
      <c r="OI1122" s="139"/>
      <c r="OJ1122" s="139"/>
      <c r="OK1122" s="139"/>
      <c r="OL1122" s="139"/>
      <c r="OM1122" s="139"/>
      <c r="ON1122" s="139"/>
      <c r="OO1122" s="139"/>
      <c r="OP1122" s="139"/>
      <c r="OQ1122" s="139"/>
      <c r="OR1122" s="139"/>
      <c r="OS1122" s="139"/>
      <c r="OT1122" s="139"/>
      <c r="OU1122" s="139"/>
      <c r="OV1122" s="139"/>
      <c r="OW1122" s="139"/>
      <c r="OX1122" s="139"/>
      <c r="OY1122" s="139"/>
      <c r="OZ1122" s="139"/>
      <c r="PA1122" s="139"/>
      <c r="PB1122" s="139"/>
      <c r="PC1122" s="139"/>
      <c r="PD1122" s="139"/>
      <c r="PE1122" s="139"/>
      <c r="PF1122" s="139"/>
      <c r="PG1122" s="139"/>
      <c r="PH1122" s="139"/>
      <c r="PI1122" s="139"/>
      <c r="PJ1122" s="139"/>
      <c r="PK1122" s="139"/>
      <c r="PL1122" s="139"/>
      <c r="PM1122" s="139"/>
      <c r="PN1122" s="139"/>
      <c r="PO1122" s="139"/>
      <c r="PP1122" s="139"/>
      <c r="PQ1122" s="139"/>
      <c r="PR1122" s="139"/>
      <c r="PS1122" s="139"/>
      <c r="PT1122" s="139"/>
      <c r="PU1122" s="139"/>
      <c r="PV1122" s="139"/>
      <c r="PW1122" s="139"/>
      <c r="PX1122" s="139"/>
      <c r="PY1122" s="139"/>
      <c r="PZ1122" s="139"/>
      <c r="QA1122" s="139"/>
      <c r="QB1122" s="139"/>
      <c r="QC1122" s="139"/>
      <c r="QD1122" s="139"/>
      <c r="QE1122" s="139"/>
      <c r="QF1122" s="139"/>
      <c r="QG1122" s="139"/>
      <c r="QH1122" s="139"/>
      <c r="QI1122" s="139"/>
      <c r="QJ1122" s="139"/>
      <c r="QK1122" s="139"/>
      <c r="QL1122" s="139"/>
      <c r="QM1122" s="139"/>
      <c r="QN1122" s="139"/>
      <c r="QO1122" s="139"/>
      <c r="QP1122" s="139"/>
      <c r="QQ1122" s="139"/>
      <c r="QR1122" s="139"/>
      <c r="QS1122" s="139"/>
      <c r="QT1122" s="139"/>
      <c r="QU1122" s="139"/>
      <c r="QV1122" s="139"/>
      <c r="QW1122" s="139"/>
      <c r="QX1122" s="139"/>
      <c r="QY1122" s="139"/>
      <c r="QZ1122" s="139"/>
      <c r="RA1122" s="139"/>
      <c r="RB1122" s="139"/>
      <c r="RC1122" s="139"/>
      <c r="RD1122" s="139"/>
      <c r="RE1122" s="139"/>
      <c r="RF1122" s="139"/>
      <c r="RG1122" s="139"/>
      <c r="RH1122" s="139"/>
      <c r="RI1122" s="139"/>
      <c r="RJ1122" s="139"/>
      <c r="RK1122" s="139"/>
      <c r="RL1122" s="139"/>
      <c r="RM1122" s="139"/>
      <c r="RN1122" s="139"/>
      <c r="RO1122" s="139"/>
      <c r="RP1122" s="139"/>
      <c r="RQ1122" s="139"/>
      <c r="RR1122" s="139"/>
      <c r="RS1122" s="139"/>
      <c r="RT1122" s="139"/>
      <c r="RU1122" s="139"/>
      <c r="RV1122" s="139"/>
      <c r="RW1122" s="139"/>
      <c r="RX1122" s="139"/>
      <c r="RY1122" s="139"/>
      <c r="RZ1122" s="139"/>
      <c r="SA1122" s="139"/>
      <c r="SB1122" s="139"/>
      <c r="SC1122" s="139"/>
      <c r="SD1122" s="139"/>
      <c r="SE1122" s="139"/>
      <c r="SF1122" s="139"/>
      <c r="SG1122" s="139"/>
      <c r="SH1122" s="139"/>
      <c r="SI1122" s="139"/>
      <c r="SJ1122" s="139"/>
      <c r="SK1122" s="139"/>
      <c r="SL1122" s="139"/>
      <c r="SM1122" s="139"/>
      <c r="SN1122" s="139"/>
      <c r="SO1122" s="139"/>
      <c r="SP1122" s="139"/>
      <c r="SQ1122" s="139"/>
      <c r="SR1122" s="139"/>
      <c r="SS1122" s="139"/>
      <c r="ST1122" s="139"/>
      <c r="SU1122" s="139"/>
      <c r="SV1122" s="139"/>
      <c r="SW1122" s="139"/>
      <c r="SX1122" s="139"/>
      <c r="SY1122" s="139"/>
      <c r="SZ1122" s="139"/>
      <c r="TA1122" s="139"/>
      <c r="TB1122" s="139"/>
      <c r="TC1122" s="139"/>
      <c r="TD1122" s="139"/>
      <c r="TE1122" s="139"/>
      <c r="TF1122" s="139"/>
      <c r="TG1122" s="139"/>
      <c r="TH1122" s="139"/>
      <c r="TI1122" s="139"/>
      <c r="TJ1122" s="139"/>
      <c r="TK1122" s="139"/>
      <c r="TL1122" s="139"/>
      <c r="TM1122" s="139"/>
      <c r="TN1122" s="139"/>
      <c r="TO1122" s="139"/>
      <c r="TP1122" s="139"/>
      <c r="TQ1122" s="139"/>
      <c r="TR1122" s="139"/>
      <c r="TS1122" s="139"/>
      <c r="TT1122" s="139"/>
      <c r="TU1122" s="139"/>
      <c r="TV1122" s="139"/>
      <c r="TW1122" s="139"/>
      <c r="TX1122" s="139"/>
      <c r="TY1122" s="139"/>
      <c r="TZ1122" s="139"/>
      <c r="UA1122" s="139"/>
      <c r="UB1122" s="139"/>
      <c r="UC1122" s="139"/>
      <c r="UD1122" s="139"/>
      <c r="UE1122" s="139"/>
      <c r="UF1122" s="139"/>
      <c r="UG1122" s="119"/>
    </row>
    <row r="1123" spans="1:553" s="120" customFormat="1" ht="34.5" customHeight="1">
      <c r="A1123" s="431" t="s">
        <v>30</v>
      </c>
      <c r="B1123" s="541">
        <v>5</v>
      </c>
      <c r="C1123" s="1382" t="s">
        <v>892</v>
      </c>
      <c r="D1123" s="1383"/>
      <c r="E1123" s="1383"/>
      <c r="F1123" s="1384"/>
      <c r="G1123" s="542" t="s">
        <v>33</v>
      </c>
      <c r="H1123" s="543"/>
      <c r="I1123" s="422">
        <f>-(3.2+5.6+1.8+3.5+6.3+14+1.3)*1.7*2</f>
        <v>-121.38000000000001</v>
      </c>
      <c r="J1123" s="990">
        <v>41700</v>
      </c>
      <c r="K1123" s="644"/>
      <c r="L1123" s="1191">
        <f>J1123*I1123</f>
        <v>-5061546</v>
      </c>
      <c r="M1123" s="637"/>
      <c r="N1123" s="637"/>
      <c r="O1123" s="544"/>
      <c r="P1123" s="638"/>
      <c r="Q1123" s="634"/>
      <c r="R1123" s="1164"/>
      <c r="S1123" s="308"/>
      <c r="T1123" s="308"/>
      <c r="U1123" s="308"/>
      <c r="V1123" s="308"/>
      <c r="W1123" s="308"/>
      <c r="X1123" s="308"/>
      <c r="Y1123" s="308"/>
      <c r="Z1123" s="604"/>
      <c r="AA1123" s="308"/>
      <c r="AB1123" s="308"/>
      <c r="AC1123" s="545"/>
      <c r="AD1123" s="545"/>
      <c r="AE1123" s="545"/>
      <c r="AF1123" s="545"/>
      <c r="AG1123" s="546"/>
      <c r="AH1123" s="546"/>
      <c r="AI1123" s="546"/>
      <c r="AJ1123" s="546"/>
      <c r="AK1123" s="546"/>
      <c r="AL1123" s="138"/>
      <c r="AM1123" s="138"/>
      <c r="AN1123" s="138"/>
      <c r="AO1123" s="138"/>
      <c r="AP1123" s="138"/>
      <c r="AQ1123" s="139"/>
      <c r="AR1123" s="139"/>
      <c r="AS1123" s="139"/>
      <c r="AT1123" s="139"/>
      <c r="AU1123" s="139"/>
      <c r="AV1123" s="139"/>
      <c r="AW1123" s="139"/>
      <c r="AX1123" s="139"/>
      <c r="AY1123" s="139"/>
      <c r="AZ1123" s="139"/>
      <c r="BA1123" s="139"/>
      <c r="BB1123" s="139"/>
      <c r="BC1123" s="139"/>
      <c r="BD1123" s="139"/>
      <c r="BE1123" s="139"/>
      <c r="BF1123" s="139"/>
      <c r="BG1123" s="139"/>
      <c r="BH1123" s="139"/>
      <c r="BI1123" s="139"/>
      <c r="BJ1123" s="139"/>
      <c r="BK1123" s="139"/>
      <c r="BL1123" s="139"/>
      <c r="BM1123" s="139"/>
      <c r="BN1123" s="139"/>
      <c r="BO1123" s="139"/>
      <c r="BP1123" s="139"/>
      <c r="BQ1123" s="139"/>
      <c r="BR1123" s="139"/>
      <c r="BS1123" s="139"/>
      <c r="BT1123" s="139"/>
      <c r="BU1123" s="139"/>
      <c r="BV1123" s="139"/>
      <c r="BW1123" s="139"/>
      <c r="BX1123" s="139"/>
      <c r="BY1123" s="139"/>
      <c r="BZ1123" s="139"/>
      <c r="CA1123" s="139"/>
      <c r="CB1123" s="139"/>
      <c r="CC1123" s="139"/>
      <c r="CD1123" s="139"/>
      <c r="CE1123" s="139"/>
      <c r="CF1123" s="139"/>
      <c r="CG1123" s="139"/>
      <c r="CH1123" s="139"/>
      <c r="CI1123" s="139"/>
      <c r="CJ1123" s="139"/>
      <c r="CK1123" s="139"/>
      <c r="CL1123" s="139"/>
      <c r="CM1123" s="139"/>
      <c r="CN1123" s="139"/>
      <c r="CO1123" s="139"/>
      <c r="CP1123" s="139"/>
      <c r="CQ1123" s="139"/>
      <c r="CR1123" s="139"/>
      <c r="CS1123" s="139"/>
      <c r="CT1123" s="139"/>
      <c r="CU1123" s="139"/>
      <c r="CV1123" s="139"/>
      <c r="CW1123" s="139"/>
      <c r="CX1123" s="139"/>
      <c r="CY1123" s="139"/>
      <c r="CZ1123" s="139"/>
      <c r="DA1123" s="139"/>
      <c r="DB1123" s="139"/>
      <c r="DC1123" s="139"/>
      <c r="DD1123" s="139"/>
      <c r="DE1123" s="139"/>
      <c r="DF1123" s="139"/>
      <c r="DG1123" s="139"/>
      <c r="DH1123" s="139"/>
      <c r="DI1123" s="139"/>
      <c r="DJ1123" s="139"/>
      <c r="DK1123" s="139"/>
      <c r="DL1123" s="139"/>
      <c r="DM1123" s="139"/>
      <c r="DN1123" s="139"/>
      <c r="DO1123" s="139"/>
      <c r="DP1123" s="139"/>
      <c r="DQ1123" s="139"/>
      <c r="DR1123" s="139"/>
      <c r="DS1123" s="139"/>
      <c r="DT1123" s="139"/>
      <c r="DU1123" s="139"/>
      <c r="DV1123" s="139"/>
      <c r="DW1123" s="139"/>
      <c r="DX1123" s="139"/>
      <c r="DY1123" s="139"/>
      <c r="DZ1123" s="139"/>
      <c r="EA1123" s="139"/>
      <c r="EB1123" s="139"/>
      <c r="EC1123" s="139"/>
      <c r="ED1123" s="139"/>
      <c r="EE1123" s="139"/>
      <c r="EF1123" s="139"/>
      <c r="EG1123" s="139"/>
      <c r="EH1123" s="139"/>
      <c r="EI1123" s="139"/>
      <c r="EJ1123" s="139"/>
      <c r="EK1123" s="139"/>
      <c r="EL1123" s="139"/>
      <c r="EM1123" s="139"/>
      <c r="EN1123" s="139"/>
      <c r="EO1123" s="139"/>
      <c r="EP1123" s="139"/>
      <c r="EQ1123" s="139"/>
      <c r="ER1123" s="139"/>
      <c r="ES1123" s="139"/>
      <c r="ET1123" s="139"/>
      <c r="EU1123" s="139"/>
      <c r="EV1123" s="139"/>
      <c r="EW1123" s="139"/>
      <c r="EX1123" s="139"/>
      <c r="EY1123" s="139"/>
      <c r="EZ1123" s="139"/>
      <c r="FA1123" s="139"/>
      <c r="FB1123" s="139"/>
      <c r="FC1123" s="139"/>
      <c r="FD1123" s="139"/>
      <c r="FE1123" s="139"/>
      <c r="FF1123" s="139"/>
      <c r="FG1123" s="139"/>
      <c r="FH1123" s="139"/>
      <c r="FI1123" s="139"/>
      <c r="FJ1123" s="139"/>
      <c r="FK1123" s="139"/>
      <c r="FL1123" s="139"/>
      <c r="FM1123" s="139"/>
      <c r="FN1123" s="139"/>
      <c r="FO1123" s="139"/>
      <c r="FP1123" s="139"/>
      <c r="FQ1123" s="139"/>
      <c r="FR1123" s="139"/>
      <c r="FS1123" s="139"/>
      <c r="FT1123" s="139"/>
      <c r="FU1123" s="139"/>
      <c r="FV1123" s="139"/>
      <c r="FW1123" s="139"/>
      <c r="FX1123" s="139"/>
      <c r="FY1123" s="139"/>
      <c r="FZ1123" s="139"/>
      <c r="GA1123" s="139"/>
      <c r="GB1123" s="139"/>
      <c r="GC1123" s="139"/>
      <c r="GD1123" s="139"/>
      <c r="GE1123" s="139"/>
      <c r="GF1123" s="139"/>
      <c r="GG1123" s="139"/>
      <c r="GH1123" s="139"/>
      <c r="GI1123" s="139"/>
      <c r="GJ1123" s="139"/>
      <c r="GK1123" s="139"/>
      <c r="GL1123" s="139"/>
      <c r="GM1123" s="139"/>
      <c r="GN1123" s="139"/>
      <c r="GO1123" s="139"/>
      <c r="GP1123" s="139"/>
      <c r="GQ1123" s="139"/>
      <c r="GR1123" s="139"/>
      <c r="GS1123" s="139"/>
      <c r="GT1123" s="139"/>
      <c r="GU1123" s="139"/>
      <c r="GV1123" s="139"/>
      <c r="GW1123" s="139"/>
      <c r="GX1123" s="139"/>
      <c r="GY1123" s="139"/>
      <c r="GZ1123" s="139"/>
      <c r="HA1123" s="139"/>
      <c r="HB1123" s="139"/>
      <c r="HC1123" s="139"/>
      <c r="HD1123" s="139"/>
      <c r="HE1123" s="139"/>
      <c r="HF1123" s="139"/>
      <c r="HG1123" s="139"/>
      <c r="HH1123" s="139"/>
      <c r="HI1123" s="139"/>
      <c r="HJ1123" s="139"/>
      <c r="HK1123" s="139"/>
      <c r="HL1123" s="139"/>
      <c r="HM1123" s="139"/>
      <c r="HN1123" s="139"/>
      <c r="HO1123" s="139"/>
      <c r="HP1123" s="139"/>
      <c r="HQ1123" s="139"/>
      <c r="HR1123" s="139"/>
      <c r="HS1123" s="139"/>
      <c r="HT1123" s="139"/>
      <c r="HU1123" s="139"/>
      <c r="HV1123" s="139"/>
      <c r="HW1123" s="139"/>
      <c r="HX1123" s="139"/>
      <c r="HY1123" s="139"/>
      <c r="HZ1123" s="139"/>
      <c r="IA1123" s="139"/>
      <c r="IB1123" s="139"/>
      <c r="IC1123" s="139"/>
      <c r="ID1123" s="139"/>
      <c r="IE1123" s="139"/>
      <c r="IF1123" s="139"/>
      <c r="IG1123" s="139"/>
      <c r="IH1123" s="139"/>
      <c r="II1123" s="139"/>
      <c r="IJ1123" s="139"/>
      <c r="IK1123" s="139"/>
      <c r="IL1123" s="139"/>
      <c r="IM1123" s="139"/>
      <c r="IN1123" s="139"/>
      <c r="IO1123" s="139"/>
      <c r="IP1123" s="139"/>
      <c r="IQ1123" s="139"/>
      <c r="IR1123" s="139"/>
      <c r="IS1123" s="139"/>
      <c r="IT1123" s="139"/>
      <c r="IU1123" s="139"/>
      <c r="IV1123" s="139"/>
      <c r="IW1123" s="139"/>
      <c r="IX1123" s="139"/>
      <c r="IY1123" s="139"/>
      <c r="IZ1123" s="139"/>
      <c r="JA1123" s="139"/>
      <c r="JB1123" s="139"/>
      <c r="JC1123" s="139"/>
      <c r="JD1123" s="139"/>
      <c r="JE1123" s="139"/>
      <c r="JF1123" s="139"/>
      <c r="JG1123" s="139"/>
      <c r="JH1123" s="139"/>
      <c r="JI1123" s="139"/>
      <c r="JJ1123" s="139"/>
      <c r="JK1123" s="139"/>
      <c r="JL1123" s="139"/>
      <c r="JM1123" s="139"/>
      <c r="JN1123" s="139"/>
      <c r="JO1123" s="139"/>
      <c r="JP1123" s="139"/>
      <c r="JQ1123" s="139"/>
      <c r="JR1123" s="139"/>
      <c r="JS1123" s="139"/>
      <c r="JT1123" s="139"/>
      <c r="JU1123" s="139"/>
      <c r="JV1123" s="139"/>
      <c r="JW1123" s="139"/>
      <c r="JX1123" s="139"/>
      <c r="JY1123" s="139"/>
      <c r="JZ1123" s="139"/>
      <c r="KA1123" s="139"/>
      <c r="KB1123" s="139"/>
      <c r="KC1123" s="139"/>
      <c r="KD1123" s="139"/>
      <c r="KE1123" s="139"/>
      <c r="KF1123" s="139"/>
      <c r="KG1123" s="139"/>
      <c r="KH1123" s="139"/>
      <c r="KI1123" s="139"/>
      <c r="KJ1123" s="139"/>
      <c r="KK1123" s="139"/>
      <c r="KL1123" s="139"/>
      <c r="KM1123" s="139"/>
      <c r="KN1123" s="139"/>
      <c r="KO1123" s="139"/>
      <c r="KP1123" s="139"/>
      <c r="KQ1123" s="139"/>
      <c r="KR1123" s="139"/>
      <c r="KS1123" s="139"/>
      <c r="KT1123" s="139"/>
      <c r="KU1123" s="139"/>
      <c r="KV1123" s="139"/>
      <c r="KW1123" s="139"/>
      <c r="KX1123" s="139"/>
      <c r="KY1123" s="139"/>
      <c r="KZ1123" s="139"/>
      <c r="LA1123" s="139"/>
      <c r="LB1123" s="139"/>
      <c r="LC1123" s="139"/>
      <c r="LD1123" s="139"/>
      <c r="LE1123" s="139"/>
      <c r="LF1123" s="139"/>
      <c r="LG1123" s="139"/>
      <c r="LH1123" s="139"/>
      <c r="LI1123" s="139"/>
      <c r="LJ1123" s="139"/>
      <c r="LK1123" s="139"/>
      <c r="LL1123" s="139"/>
      <c r="LM1123" s="139"/>
      <c r="LN1123" s="139"/>
      <c r="LO1123" s="139"/>
      <c r="LP1123" s="139"/>
      <c r="LQ1123" s="139"/>
      <c r="LR1123" s="139"/>
      <c r="LS1123" s="139"/>
      <c r="LT1123" s="139"/>
      <c r="LU1123" s="139"/>
      <c r="LV1123" s="139"/>
      <c r="LW1123" s="139"/>
      <c r="LX1123" s="139"/>
      <c r="LY1123" s="139"/>
      <c r="LZ1123" s="139"/>
      <c r="MA1123" s="139"/>
      <c r="MB1123" s="139"/>
      <c r="MC1123" s="139"/>
      <c r="MD1123" s="139"/>
      <c r="ME1123" s="139"/>
      <c r="MF1123" s="139"/>
      <c r="MG1123" s="139"/>
      <c r="MH1123" s="139"/>
      <c r="MI1123" s="139"/>
      <c r="MJ1123" s="139"/>
      <c r="MK1123" s="139"/>
      <c r="ML1123" s="139"/>
      <c r="MM1123" s="139"/>
      <c r="MN1123" s="139"/>
      <c r="MO1123" s="139"/>
      <c r="MP1123" s="139"/>
      <c r="MQ1123" s="139"/>
      <c r="MR1123" s="139"/>
      <c r="MS1123" s="139"/>
      <c r="MT1123" s="139"/>
      <c r="MU1123" s="139"/>
      <c r="MV1123" s="139"/>
      <c r="MW1123" s="139"/>
      <c r="MX1123" s="139"/>
      <c r="MY1123" s="139"/>
      <c r="MZ1123" s="139"/>
      <c r="NA1123" s="139"/>
      <c r="NB1123" s="139"/>
      <c r="NC1123" s="139"/>
      <c r="ND1123" s="139"/>
      <c r="NE1123" s="139"/>
      <c r="NF1123" s="139"/>
      <c r="NG1123" s="139"/>
      <c r="NH1123" s="139"/>
      <c r="NI1123" s="139"/>
      <c r="NJ1123" s="139"/>
      <c r="NK1123" s="139"/>
      <c r="NL1123" s="139"/>
      <c r="NM1123" s="139"/>
      <c r="NN1123" s="139"/>
      <c r="NO1123" s="139"/>
      <c r="NP1123" s="139"/>
      <c r="NQ1123" s="139"/>
      <c r="NR1123" s="139"/>
      <c r="NS1123" s="139"/>
      <c r="NT1123" s="139"/>
      <c r="NU1123" s="139"/>
      <c r="NV1123" s="139"/>
      <c r="NW1123" s="139"/>
      <c r="NX1123" s="139"/>
      <c r="NY1123" s="139"/>
      <c r="NZ1123" s="139"/>
      <c r="OA1123" s="139"/>
      <c r="OB1123" s="139"/>
      <c r="OC1123" s="139"/>
      <c r="OD1123" s="139"/>
      <c r="OE1123" s="139"/>
      <c r="OF1123" s="139"/>
      <c r="OG1123" s="139"/>
      <c r="OH1123" s="139"/>
      <c r="OI1123" s="139"/>
      <c r="OJ1123" s="139"/>
      <c r="OK1123" s="139"/>
      <c r="OL1123" s="139"/>
      <c r="OM1123" s="139"/>
      <c r="ON1123" s="139"/>
      <c r="OO1123" s="139"/>
      <c r="OP1123" s="139"/>
      <c r="OQ1123" s="139"/>
      <c r="OR1123" s="139"/>
      <c r="OS1123" s="139"/>
      <c r="OT1123" s="139"/>
      <c r="OU1123" s="139"/>
      <c r="OV1123" s="139"/>
      <c r="OW1123" s="139"/>
      <c r="OX1123" s="139"/>
      <c r="OY1123" s="139"/>
      <c r="OZ1123" s="139"/>
      <c r="PA1123" s="139"/>
      <c r="PB1123" s="139"/>
      <c r="PC1123" s="139"/>
      <c r="PD1123" s="139"/>
      <c r="PE1123" s="139"/>
      <c r="PF1123" s="139"/>
      <c r="PG1123" s="139"/>
      <c r="PH1123" s="139"/>
      <c r="PI1123" s="139"/>
      <c r="PJ1123" s="139"/>
      <c r="PK1123" s="139"/>
      <c r="PL1123" s="139"/>
      <c r="PM1123" s="139"/>
      <c r="PN1123" s="139"/>
      <c r="PO1123" s="139"/>
      <c r="PP1123" s="139"/>
      <c r="PQ1123" s="139"/>
      <c r="PR1123" s="139"/>
      <c r="PS1123" s="139"/>
      <c r="PT1123" s="139"/>
      <c r="PU1123" s="139"/>
      <c r="PV1123" s="139"/>
      <c r="PW1123" s="139"/>
      <c r="PX1123" s="139"/>
      <c r="PY1123" s="139"/>
      <c r="PZ1123" s="139"/>
      <c r="QA1123" s="139"/>
      <c r="QB1123" s="139"/>
      <c r="QC1123" s="139"/>
      <c r="QD1123" s="139"/>
      <c r="QE1123" s="139"/>
      <c r="QF1123" s="139"/>
      <c r="QG1123" s="139"/>
      <c r="QH1123" s="139"/>
      <c r="QI1123" s="139"/>
      <c r="QJ1123" s="139"/>
      <c r="QK1123" s="139"/>
      <c r="QL1123" s="139"/>
      <c r="QM1123" s="139"/>
      <c r="QN1123" s="139"/>
      <c r="QO1123" s="139"/>
      <c r="QP1123" s="139"/>
      <c r="QQ1123" s="139"/>
      <c r="QR1123" s="139"/>
      <c r="QS1123" s="139"/>
      <c r="QT1123" s="139"/>
      <c r="QU1123" s="139"/>
      <c r="QV1123" s="139"/>
      <c r="QW1123" s="139"/>
      <c r="QX1123" s="139"/>
      <c r="QY1123" s="139"/>
      <c r="QZ1123" s="139"/>
      <c r="RA1123" s="139"/>
      <c r="RB1123" s="139"/>
      <c r="RC1123" s="139"/>
      <c r="RD1123" s="139"/>
      <c r="RE1123" s="139"/>
      <c r="RF1123" s="139"/>
      <c r="RG1123" s="139"/>
      <c r="RH1123" s="139"/>
      <c r="RI1123" s="139"/>
      <c r="RJ1123" s="139"/>
      <c r="RK1123" s="139"/>
      <c r="RL1123" s="139"/>
      <c r="RM1123" s="139"/>
      <c r="RN1123" s="139"/>
      <c r="RO1123" s="139"/>
      <c r="RP1123" s="139"/>
      <c r="RQ1123" s="139"/>
      <c r="RR1123" s="139"/>
      <c r="RS1123" s="139"/>
      <c r="RT1123" s="139"/>
      <c r="RU1123" s="139"/>
      <c r="RV1123" s="139"/>
      <c r="RW1123" s="139"/>
      <c r="RX1123" s="139"/>
      <c r="RY1123" s="139"/>
      <c r="RZ1123" s="139"/>
      <c r="SA1123" s="139"/>
      <c r="SB1123" s="139"/>
      <c r="SC1123" s="139"/>
      <c r="SD1123" s="139"/>
      <c r="SE1123" s="139"/>
      <c r="SF1123" s="139"/>
      <c r="SG1123" s="139"/>
      <c r="SH1123" s="139"/>
      <c r="SI1123" s="139"/>
      <c r="SJ1123" s="139"/>
      <c r="SK1123" s="139"/>
      <c r="SL1123" s="139"/>
      <c r="SM1123" s="139"/>
      <c r="SN1123" s="139"/>
      <c r="SO1123" s="139"/>
      <c r="SP1123" s="139"/>
      <c r="SQ1123" s="139"/>
      <c r="SR1123" s="139"/>
      <c r="SS1123" s="139"/>
      <c r="ST1123" s="139"/>
      <c r="SU1123" s="139"/>
      <c r="SV1123" s="139"/>
      <c r="SW1123" s="139"/>
      <c r="SX1123" s="139"/>
      <c r="SY1123" s="139"/>
      <c r="SZ1123" s="139"/>
      <c r="TA1123" s="139"/>
      <c r="TB1123" s="139"/>
      <c r="TC1123" s="139"/>
      <c r="TD1123" s="139"/>
      <c r="TE1123" s="139"/>
      <c r="TF1123" s="139"/>
      <c r="TG1123" s="139"/>
      <c r="TH1123" s="139"/>
      <c r="TI1123" s="139"/>
      <c r="TJ1123" s="139"/>
      <c r="TK1123" s="139"/>
      <c r="TL1123" s="139"/>
      <c r="TM1123" s="139"/>
      <c r="TN1123" s="139"/>
      <c r="TO1123" s="139"/>
      <c r="TP1123" s="139"/>
      <c r="TQ1123" s="139"/>
      <c r="TR1123" s="139"/>
      <c r="TS1123" s="139"/>
      <c r="TT1123" s="139"/>
      <c r="TU1123" s="139"/>
      <c r="TV1123" s="139"/>
      <c r="TW1123" s="139"/>
      <c r="TX1123" s="139"/>
      <c r="TY1123" s="139"/>
      <c r="TZ1123" s="139"/>
      <c r="UA1123" s="139"/>
      <c r="UB1123" s="139"/>
      <c r="UC1123" s="139"/>
      <c r="UD1123" s="139"/>
      <c r="UE1123" s="139"/>
      <c r="UF1123" s="139"/>
      <c r="UG1123" s="119"/>
    </row>
    <row r="1124" spans="1:553" ht="39" customHeight="1">
      <c r="A1124" s="356"/>
      <c r="B1124" s="385">
        <v>201</v>
      </c>
      <c r="C1124" s="1403" t="s">
        <v>652</v>
      </c>
      <c r="D1124" s="1389"/>
      <c r="E1124" s="1389"/>
      <c r="F1124" s="1390"/>
      <c r="G1124" s="386" t="s">
        <v>113</v>
      </c>
      <c r="H1124" s="370"/>
      <c r="I1124" s="422">
        <v>8</v>
      </c>
      <c r="J1124" s="477">
        <v>874100</v>
      </c>
      <c r="K1124" s="388"/>
      <c r="L1124" s="391">
        <f t="shared" si="167"/>
        <v>6992800</v>
      </c>
      <c r="M1124" s="395"/>
      <c r="N1124" s="395"/>
      <c r="O1124" s="366"/>
      <c r="P1124" s="396"/>
      <c r="Q1124" s="473"/>
      <c r="R1124" s="1039"/>
      <c r="S1124" s="308"/>
      <c r="T1124" s="308"/>
      <c r="U1124" s="308"/>
      <c r="V1124" s="308"/>
      <c r="W1124" s="308"/>
      <c r="X1124" s="308"/>
      <c r="Y1124" s="308"/>
      <c r="Z1124" s="604"/>
      <c r="AA1124" s="308"/>
      <c r="AB1124" s="308"/>
      <c r="AC1124" s="449"/>
      <c r="AD1124" s="449"/>
      <c r="AE1124" s="449"/>
      <c r="AF1124" s="449"/>
      <c r="AG1124" s="452"/>
      <c r="AH1124" s="452"/>
      <c r="AI1124" s="452"/>
      <c r="AJ1124" s="452"/>
      <c r="AK1124" s="452"/>
      <c r="AL1124" s="104"/>
      <c r="AM1124" s="32"/>
      <c r="AN1124" s="32"/>
      <c r="AO1124" s="32"/>
      <c r="AP1124" s="32"/>
      <c r="AQ1124" s="31"/>
      <c r="AR1124" s="31"/>
      <c r="AS1124" s="31"/>
      <c r="AT1124" s="31"/>
      <c r="AU1124" s="31"/>
      <c r="AV1124" s="31"/>
      <c r="AW1124" s="31"/>
      <c r="AX1124" s="31"/>
      <c r="AY1124" s="31"/>
      <c r="AZ1124" s="31"/>
      <c r="BA1124" s="31"/>
      <c r="BB1124" s="31"/>
      <c r="BC1124" s="31"/>
      <c r="BD1124" s="31"/>
      <c r="BE1124" s="31"/>
      <c r="BF1124" s="31"/>
      <c r="BG1124" s="31"/>
      <c r="BH1124" s="31"/>
      <c r="BI1124" s="31"/>
      <c r="BJ1124" s="31"/>
      <c r="BK1124" s="31"/>
      <c r="BL1124" s="31"/>
      <c r="BM1124" s="31"/>
      <c r="BN1124" s="31"/>
      <c r="BO1124" s="31"/>
      <c r="BP1124" s="31"/>
      <c r="BQ1124" s="31"/>
      <c r="BR1124" s="31"/>
      <c r="BS1124" s="31"/>
      <c r="BT1124" s="31"/>
      <c r="BU1124" s="31"/>
      <c r="BV1124" s="31"/>
      <c r="BW1124" s="31"/>
      <c r="BX1124" s="31"/>
      <c r="BY1124" s="31"/>
      <c r="BZ1124" s="31"/>
      <c r="CA1124" s="31"/>
      <c r="CB1124" s="31"/>
      <c r="CC1124" s="31"/>
      <c r="CD1124" s="31"/>
      <c r="CE1124" s="31"/>
      <c r="CF1124" s="31"/>
      <c r="CG1124" s="31"/>
      <c r="CH1124" s="31"/>
      <c r="CI1124" s="31"/>
      <c r="CJ1124" s="31"/>
      <c r="CK1124" s="31"/>
      <c r="CL1124" s="31"/>
      <c r="CM1124" s="31"/>
      <c r="CN1124" s="31"/>
      <c r="CO1124" s="31"/>
      <c r="CP1124" s="31"/>
      <c r="CQ1124" s="31"/>
      <c r="CR1124" s="31"/>
      <c r="CS1124" s="31"/>
      <c r="CT1124" s="31"/>
      <c r="CU1124" s="31"/>
      <c r="CV1124" s="31"/>
      <c r="CW1124" s="31"/>
      <c r="CX1124" s="31"/>
      <c r="CY1124" s="31"/>
      <c r="CZ1124" s="31"/>
      <c r="DA1124" s="31"/>
      <c r="DB1124" s="31"/>
      <c r="DC1124" s="31"/>
      <c r="DD1124" s="31"/>
      <c r="DE1124" s="31"/>
      <c r="DF1124" s="31"/>
      <c r="DG1124" s="31"/>
      <c r="DH1124" s="31"/>
      <c r="DI1124" s="31"/>
      <c r="DJ1124" s="31"/>
      <c r="DK1124" s="31"/>
      <c r="DL1124" s="31"/>
      <c r="DM1124" s="31"/>
      <c r="DN1124" s="31"/>
      <c r="DO1124" s="31"/>
      <c r="DP1124" s="31"/>
      <c r="DQ1124" s="31"/>
      <c r="DR1124" s="31"/>
      <c r="DS1124" s="31"/>
      <c r="DT1124" s="31"/>
      <c r="DU1124" s="31"/>
      <c r="DV1124" s="31"/>
      <c r="DW1124" s="31"/>
      <c r="DX1124" s="31"/>
      <c r="DY1124" s="31"/>
      <c r="DZ1124" s="31"/>
      <c r="EA1124" s="31"/>
      <c r="EB1124" s="31"/>
      <c r="EC1124" s="31"/>
      <c r="ED1124" s="31"/>
      <c r="EE1124" s="31"/>
      <c r="EF1124" s="31"/>
      <c r="EG1124" s="31"/>
      <c r="EH1124" s="31"/>
      <c r="EI1124" s="31"/>
      <c r="EJ1124" s="31"/>
      <c r="EK1124" s="31"/>
      <c r="EL1124" s="31"/>
      <c r="EM1124" s="31"/>
      <c r="EN1124" s="31"/>
      <c r="EO1124" s="31"/>
      <c r="EP1124" s="31"/>
      <c r="EQ1124" s="31"/>
      <c r="ER1124" s="31"/>
      <c r="ES1124" s="31"/>
      <c r="ET1124" s="31"/>
      <c r="EU1124" s="31"/>
      <c r="EV1124" s="31"/>
      <c r="EW1124" s="31"/>
      <c r="EX1124" s="31"/>
      <c r="EY1124" s="31"/>
      <c r="EZ1124" s="31"/>
      <c r="FA1124" s="31"/>
      <c r="FB1124" s="31"/>
      <c r="FC1124" s="31"/>
      <c r="FD1124" s="31"/>
      <c r="FE1124" s="31"/>
      <c r="FF1124" s="31"/>
      <c r="FG1124" s="31"/>
      <c r="FH1124" s="31"/>
      <c r="FI1124" s="31"/>
      <c r="FJ1124" s="31"/>
      <c r="FK1124" s="31"/>
      <c r="FL1124" s="31"/>
      <c r="FM1124" s="31"/>
      <c r="FN1124" s="31"/>
      <c r="FO1124" s="31"/>
      <c r="FP1124" s="31"/>
      <c r="FQ1124" s="31"/>
      <c r="FR1124" s="31"/>
      <c r="FS1124" s="31"/>
      <c r="FT1124" s="31"/>
      <c r="FU1124" s="31"/>
      <c r="FV1124" s="31"/>
      <c r="FW1124" s="31"/>
      <c r="FX1124" s="31"/>
      <c r="FY1124" s="31"/>
      <c r="FZ1124" s="31"/>
      <c r="GA1124" s="31"/>
      <c r="GB1124" s="31"/>
      <c r="GC1124" s="31"/>
      <c r="GD1124" s="31"/>
      <c r="GE1124" s="31"/>
      <c r="GF1124" s="31"/>
      <c r="GG1124" s="31"/>
      <c r="GH1124" s="31"/>
      <c r="GI1124" s="31"/>
      <c r="GJ1124" s="31"/>
      <c r="GK1124" s="31"/>
      <c r="GL1124" s="31"/>
      <c r="GM1124" s="31"/>
      <c r="GN1124" s="31"/>
      <c r="GO1124" s="31"/>
      <c r="GP1124" s="31"/>
      <c r="GQ1124" s="31"/>
      <c r="GR1124" s="31"/>
      <c r="GS1124" s="31"/>
      <c r="GT1124" s="31"/>
      <c r="GU1124" s="31"/>
      <c r="GV1124" s="31"/>
      <c r="GW1124" s="31"/>
      <c r="GX1124" s="31"/>
      <c r="GY1124" s="31"/>
      <c r="GZ1124" s="31"/>
      <c r="HA1124" s="31"/>
      <c r="HB1124" s="31"/>
      <c r="HC1124" s="31"/>
      <c r="HD1124" s="31"/>
      <c r="HE1124" s="31"/>
      <c r="HF1124" s="31"/>
      <c r="HG1124" s="31"/>
      <c r="HH1124" s="31"/>
      <c r="HI1124" s="31"/>
      <c r="HJ1124" s="31"/>
      <c r="HK1124" s="31"/>
      <c r="HL1124" s="31"/>
      <c r="HM1124" s="31"/>
      <c r="HN1124" s="31"/>
      <c r="HO1124" s="31"/>
      <c r="HP1124" s="31"/>
      <c r="HQ1124" s="31"/>
      <c r="HR1124" s="31"/>
      <c r="HS1124" s="31"/>
      <c r="HT1124" s="31"/>
      <c r="HU1124" s="31"/>
      <c r="HV1124" s="31"/>
      <c r="HW1124" s="31"/>
      <c r="HX1124" s="31"/>
      <c r="HY1124" s="31"/>
      <c r="HZ1124" s="31"/>
      <c r="IA1124" s="31"/>
      <c r="IB1124" s="31"/>
      <c r="IC1124" s="31"/>
      <c r="ID1124" s="31"/>
      <c r="IE1124" s="31"/>
      <c r="IF1124" s="31"/>
      <c r="IG1124" s="31"/>
      <c r="IH1124" s="31"/>
      <c r="II1124" s="31"/>
      <c r="IJ1124" s="31"/>
      <c r="IK1124" s="31"/>
      <c r="IL1124" s="31"/>
      <c r="IM1124" s="31"/>
      <c r="IN1124" s="31"/>
      <c r="IO1124" s="31"/>
      <c r="IP1124" s="31"/>
      <c r="IQ1124" s="31"/>
      <c r="IR1124" s="31"/>
      <c r="IS1124" s="31"/>
      <c r="IT1124" s="31"/>
      <c r="IU1124" s="31"/>
      <c r="IV1124" s="31"/>
      <c r="IW1124" s="31"/>
      <c r="IX1124" s="31"/>
      <c r="IY1124" s="31"/>
      <c r="IZ1124" s="31"/>
      <c r="JA1124" s="31"/>
      <c r="JB1124" s="31"/>
      <c r="JC1124" s="31"/>
      <c r="JD1124" s="31"/>
      <c r="JE1124" s="31"/>
      <c r="JF1124" s="31"/>
      <c r="JG1124" s="31"/>
      <c r="JH1124" s="31"/>
      <c r="JI1124" s="31"/>
      <c r="JJ1124" s="31"/>
      <c r="JK1124" s="31"/>
      <c r="JL1124" s="31"/>
      <c r="JM1124" s="31"/>
      <c r="JN1124" s="31"/>
      <c r="JO1124" s="31"/>
      <c r="JP1124" s="31"/>
      <c r="JQ1124" s="31"/>
      <c r="JR1124" s="31"/>
      <c r="JS1124" s="31"/>
      <c r="JT1124" s="31"/>
      <c r="JU1124" s="31"/>
      <c r="JV1124" s="31"/>
      <c r="JW1124" s="31"/>
      <c r="JX1124" s="31"/>
      <c r="JY1124" s="31"/>
      <c r="JZ1124" s="31"/>
      <c r="KA1124" s="31"/>
      <c r="KB1124" s="31"/>
      <c r="KC1124" s="31"/>
      <c r="KD1124" s="31"/>
      <c r="KE1124" s="31"/>
      <c r="KF1124" s="31"/>
      <c r="KG1124" s="31"/>
      <c r="KH1124" s="31"/>
      <c r="KI1124" s="31"/>
      <c r="KJ1124" s="31"/>
      <c r="KK1124" s="31"/>
      <c r="KL1124" s="31"/>
      <c r="KM1124" s="31"/>
      <c r="KN1124" s="31"/>
      <c r="KO1124" s="31"/>
      <c r="KP1124" s="31"/>
      <c r="KQ1124" s="31"/>
      <c r="KR1124" s="31"/>
      <c r="KS1124" s="31"/>
      <c r="KT1124" s="31"/>
      <c r="KU1124" s="31"/>
      <c r="KV1124" s="31"/>
      <c r="KW1124" s="31"/>
      <c r="KX1124" s="31"/>
      <c r="KY1124" s="31"/>
      <c r="KZ1124" s="31"/>
      <c r="LA1124" s="31"/>
      <c r="LB1124" s="31"/>
      <c r="LC1124" s="31"/>
      <c r="LD1124" s="31"/>
      <c r="LE1124" s="31"/>
      <c r="LF1124" s="31"/>
      <c r="LG1124" s="31"/>
      <c r="LH1124" s="31"/>
      <c r="LI1124" s="31"/>
      <c r="LJ1124" s="31"/>
      <c r="LK1124" s="31"/>
      <c r="LL1124" s="31"/>
      <c r="LM1124" s="31"/>
      <c r="LN1124" s="31"/>
      <c r="LO1124" s="31"/>
      <c r="LP1124" s="31"/>
      <c r="LQ1124" s="31"/>
      <c r="LR1124" s="31"/>
      <c r="LS1124" s="31"/>
      <c r="LT1124" s="31"/>
      <c r="LU1124" s="31"/>
      <c r="LV1124" s="31"/>
      <c r="LW1124" s="31"/>
      <c r="LX1124" s="31"/>
      <c r="LY1124" s="31"/>
      <c r="LZ1124" s="31"/>
      <c r="MA1124" s="31"/>
      <c r="MB1124" s="31"/>
      <c r="MC1124" s="31"/>
      <c r="MD1124" s="31"/>
      <c r="ME1124" s="31"/>
      <c r="MF1124" s="31"/>
      <c r="MG1124" s="31"/>
      <c r="MH1124" s="31"/>
      <c r="MI1124" s="31"/>
      <c r="MJ1124" s="31"/>
      <c r="MK1124" s="31"/>
      <c r="ML1124" s="31"/>
      <c r="MM1124" s="31"/>
      <c r="MN1124" s="31"/>
      <c r="MO1124" s="31"/>
      <c r="MP1124" s="31"/>
      <c r="MQ1124" s="31"/>
      <c r="MR1124" s="31"/>
      <c r="MS1124" s="31"/>
      <c r="MT1124" s="31"/>
      <c r="MU1124" s="31"/>
      <c r="MV1124" s="31"/>
      <c r="MW1124" s="31"/>
      <c r="MX1124" s="31"/>
      <c r="MY1124" s="31"/>
      <c r="MZ1124" s="31"/>
      <c r="NA1124" s="31"/>
      <c r="NB1124" s="31"/>
      <c r="NC1124" s="31"/>
      <c r="ND1124" s="31"/>
      <c r="NE1124" s="31"/>
      <c r="NF1124" s="31"/>
      <c r="NG1124" s="31"/>
      <c r="NH1124" s="31"/>
      <c r="NI1124" s="31"/>
      <c r="NJ1124" s="31"/>
      <c r="NK1124" s="31"/>
      <c r="NL1124" s="31"/>
      <c r="NM1124" s="31"/>
      <c r="NN1124" s="31"/>
      <c r="NO1124" s="31"/>
      <c r="NP1124" s="31"/>
      <c r="NQ1124" s="31"/>
      <c r="NR1124" s="31"/>
      <c r="NS1124" s="31"/>
      <c r="NT1124" s="31"/>
      <c r="NU1124" s="31"/>
      <c r="NV1124" s="31"/>
      <c r="NW1124" s="31"/>
      <c r="NX1124" s="31"/>
      <c r="NY1124" s="31"/>
      <c r="NZ1124" s="31"/>
      <c r="OA1124" s="31"/>
      <c r="OB1124" s="31"/>
      <c r="OC1124" s="31"/>
      <c r="OD1124" s="31"/>
      <c r="OE1124" s="31"/>
      <c r="OF1124" s="31"/>
      <c r="OG1124" s="31"/>
      <c r="OH1124" s="31"/>
      <c r="OI1124" s="31"/>
      <c r="OJ1124" s="31"/>
      <c r="OK1124" s="31"/>
      <c r="OL1124" s="31"/>
      <c r="OM1124" s="31"/>
      <c r="ON1124" s="31"/>
      <c r="OO1124" s="31"/>
      <c r="OP1124" s="31"/>
      <c r="OQ1124" s="31"/>
      <c r="OR1124" s="31"/>
      <c r="OS1124" s="31"/>
      <c r="OT1124" s="31"/>
      <c r="OU1124" s="31"/>
      <c r="OV1124" s="31"/>
      <c r="OW1124" s="31"/>
      <c r="OX1124" s="31"/>
      <c r="OY1124" s="31"/>
      <c r="OZ1124" s="31"/>
      <c r="PA1124" s="31"/>
      <c r="PB1124" s="31"/>
      <c r="PC1124" s="31"/>
      <c r="PD1124" s="31"/>
      <c r="PE1124" s="31"/>
      <c r="PF1124" s="31"/>
      <c r="PG1124" s="31"/>
      <c r="PH1124" s="31"/>
      <c r="PI1124" s="31"/>
      <c r="PJ1124" s="31"/>
      <c r="PK1124" s="31"/>
      <c r="PL1124" s="31"/>
      <c r="PM1124" s="31"/>
      <c r="PN1124" s="31"/>
      <c r="PO1124" s="31"/>
      <c r="PP1124" s="31"/>
      <c r="PQ1124" s="31"/>
      <c r="PR1124" s="31"/>
      <c r="PS1124" s="31"/>
      <c r="PT1124" s="31"/>
      <c r="PU1124" s="31"/>
      <c r="PV1124" s="31"/>
      <c r="PW1124" s="31"/>
      <c r="PX1124" s="31"/>
      <c r="PY1124" s="31"/>
      <c r="PZ1124" s="31"/>
      <c r="QA1124" s="31"/>
      <c r="QB1124" s="31"/>
      <c r="QC1124" s="31"/>
      <c r="QD1124" s="31"/>
      <c r="QE1124" s="31"/>
      <c r="QF1124" s="31"/>
      <c r="QG1124" s="31"/>
      <c r="QH1124" s="31"/>
      <c r="QI1124" s="31"/>
      <c r="QJ1124" s="31"/>
      <c r="QK1124" s="31"/>
      <c r="QL1124" s="31"/>
      <c r="QM1124" s="31"/>
      <c r="QN1124" s="31"/>
      <c r="QO1124" s="31"/>
      <c r="QP1124" s="31"/>
      <c r="QQ1124" s="31"/>
      <c r="QR1124" s="31"/>
      <c r="QS1124" s="31"/>
      <c r="QT1124" s="31"/>
      <c r="QU1124" s="31"/>
      <c r="QV1124" s="31"/>
      <c r="QW1124" s="31"/>
      <c r="QX1124" s="31"/>
      <c r="QY1124" s="31"/>
      <c r="QZ1124" s="31"/>
      <c r="RA1124" s="31"/>
      <c r="RB1124" s="31"/>
      <c r="RC1124" s="31"/>
      <c r="RD1124" s="31"/>
      <c r="RE1124" s="31"/>
      <c r="RF1124" s="31"/>
      <c r="RG1124" s="31"/>
      <c r="RH1124" s="31"/>
      <c r="RI1124" s="31"/>
      <c r="RJ1124" s="31"/>
      <c r="RK1124" s="31"/>
      <c r="RL1124" s="31"/>
      <c r="RM1124" s="31"/>
      <c r="RN1124" s="31"/>
      <c r="RO1124" s="31"/>
      <c r="RP1124" s="31"/>
      <c r="RQ1124" s="31"/>
      <c r="RR1124" s="31"/>
      <c r="RS1124" s="31"/>
      <c r="RT1124" s="31"/>
      <c r="RU1124" s="31"/>
      <c r="RV1124" s="31"/>
      <c r="RW1124" s="31"/>
      <c r="RX1124" s="31"/>
      <c r="RY1124" s="31"/>
      <c r="RZ1124" s="31"/>
      <c r="SA1124" s="31"/>
      <c r="SB1124" s="31"/>
      <c r="SC1124" s="31"/>
      <c r="SD1124" s="31"/>
      <c r="SE1124" s="31"/>
      <c r="SF1124" s="31"/>
      <c r="SG1124" s="31"/>
      <c r="SH1124" s="31"/>
      <c r="SI1124" s="31"/>
      <c r="SJ1124" s="31"/>
      <c r="SK1124" s="31"/>
      <c r="SL1124" s="31"/>
      <c r="SM1124" s="31"/>
      <c r="SN1124" s="31"/>
      <c r="SO1124" s="31"/>
      <c r="SP1124" s="31"/>
      <c r="SQ1124" s="31"/>
      <c r="SR1124" s="31"/>
      <c r="SS1124" s="31"/>
      <c r="ST1124" s="31"/>
      <c r="SU1124" s="31"/>
      <c r="SV1124" s="31"/>
      <c r="SW1124" s="31"/>
      <c r="SX1124" s="31"/>
      <c r="SY1124" s="31"/>
      <c r="SZ1124" s="31"/>
      <c r="TA1124" s="31"/>
      <c r="TB1124" s="31"/>
      <c r="TC1124" s="31"/>
      <c r="TD1124" s="31"/>
      <c r="TE1124" s="31"/>
      <c r="TF1124" s="31"/>
      <c r="TG1124" s="31"/>
      <c r="TH1124" s="31"/>
      <c r="TI1124" s="31"/>
      <c r="TJ1124" s="31"/>
      <c r="TK1124" s="31"/>
      <c r="TL1124" s="31"/>
      <c r="TM1124" s="31"/>
      <c r="TN1124" s="31"/>
      <c r="TO1124" s="31"/>
      <c r="TP1124" s="31"/>
      <c r="TQ1124" s="31"/>
      <c r="TR1124" s="31"/>
      <c r="TS1124" s="31"/>
      <c r="TT1124" s="31"/>
      <c r="TU1124" s="31"/>
      <c r="TV1124" s="31"/>
      <c r="TW1124" s="31"/>
      <c r="TX1124" s="31"/>
      <c r="TY1124" s="31"/>
      <c r="TZ1124" s="31"/>
      <c r="UA1124" s="31"/>
      <c r="UB1124" s="31"/>
      <c r="UC1124" s="31"/>
      <c r="UD1124" s="31"/>
      <c r="UE1124" s="31"/>
      <c r="UF1124" s="31"/>
      <c r="UG1124" s="33"/>
    </row>
    <row r="1125" spans="1:553" ht="31.5" customHeight="1">
      <c r="A1125" s="356"/>
      <c r="B1125" s="385">
        <v>196</v>
      </c>
      <c r="C1125" s="1403" t="s">
        <v>653</v>
      </c>
      <c r="D1125" s="1389"/>
      <c r="E1125" s="1389"/>
      <c r="F1125" s="1390"/>
      <c r="G1125" s="386" t="s">
        <v>113</v>
      </c>
      <c r="H1125" s="370"/>
      <c r="I1125" s="422">
        <v>3.3</v>
      </c>
      <c r="J1125" s="477">
        <v>389500</v>
      </c>
      <c r="K1125" s="388"/>
      <c r="L1125" s="391">
        <f t="shared" si="167"/>
        <v>1285350</v>
      </c>
      <c r="M1125" s="395"/>
      <c r="N1125" s="395"/>
      <c r="O1125" s="366"/>
      <c r="P1125" s="396"/>
      <c r="Q1125" s="473"/>
      <c r="R1125" s="1039"/>
      <c r="S1125" s="308"/>
      <c r="T1125" s="308"/>
      <c r="U1125" s="308"/>
      <c r="V1125" s="308"/>
      <c r="W1125" s="308"/>
      <c r="X1125" s="308"/>
      <c r="Y1125" s="308"/>
      <c r="Z1125" s="604"/>
      <c r="AA1125" s="308"/>
      <c r="AB1125" s="308"/>
      <c r="AC1125" s="449"/>
      <c r="AD1125" s="449"/>
      <c r="AE1125" s="449"/>
      <c r="AF1125" s="449"/>
      <c r="AG1125" s="452"/>
      <c r="AH1125" s="452"/>
      <c r="AI1125" s="452"/>
      <c r="AJ1125" s="452"/>
      <c r="AK1125" s="452"/>
      <c r="AL1125" s="104"/>
      <c r="AM1125" s="32"/>
      <c r="AN1125" s="32"/>
      <c r="AO1125" s="32"/>
      <c r="AP1125" s="32"/>
      <c r="AQ1125" s="31"/>
      <c r="AR1125" s="31"/>
      <c r="AS1125" s="31"/>
      <c r="AT1125" s="31"/>
      <c r="AU1125" s="31"/>
      <c r="AV1125" s="31"/>
      <c r="AW1125" s="31"/>
      <c r="AX1125" s="31"/>
      <c r="AY1125" s="31"/>
      <c r="AZ1125" s="31"/>
      <c r="BA1125" s="31"/>
      <c r="BB1125" s="31"/>
      <c r="BC1125" s="31"/>
      <c r="BD1125" s="31"/>
      <c r="BE1125" s="31"/>
      <c r="BF1125" s="31"/>
      <c r="BG1125" s="31"/>
      <c r="BH1125" s="31"/>
      <c r="BI1125" s="31"/>
      <c r="BJ1125" s="31"/>
      <c r="BK1125" s="31"/>
      <c r="BL1125" s="31"/>
      <c r="BM1125" s="31"/>
      <c r="BN1125" s="31"/>
      <c r="BO1125" s="31"/>
      <c r="BP1125" s="31"/>
      <c r="BQ1125" s="31"/>
      <c r="BR1125" s="31"/>
      <c r="BS1125" s="31"/>
      <c r="BT1125" s="31"/>
      <c r="BU1125" s="31"/>
      <c r="BV1125" s="31"/>
      <c r="BW1125" s="31"/>
      <c r="BX1125" s="31"/>
      <c r="BY1125" s="31"/>
      <c r="BZ1125" s="31"/>
      <c r="CA1125" s="31"/>
      <c r="CB1125" s="31"/>
      <c r="CC1125" s="31"/>
      <c r="CD1125" s="31"/>
      <c r="CE1125" s="31"/>
      <c r="CF1125" s="31"/>
      <c r="CG1125" s="31"/>
      <c r="CH1125" s="31"/>
      <c r="CI1125" s="31"/>
      <c r="CJ1125" s="31"/>
      <c r="CK1125" s="31"/>
      <c r="CL1125" s="31"/>
      <c r="CM1125" s="31"/>
      <c r="CN1125" s="31"/>
      <c r="CO1125" s="31"/>
      <c r="CP1125" s="31"/>
      <c r="CQ1125" s="31"/>
      <c r="CR1125" s="31"/>
      <c r="CS1125" s="31"/>
      <c r="CT1125" s="31"/>
      <c r="CU1125" s="31"/>
      <c r="CV1125" s="31"/>
      <c r="CW1125" s="31"/>
      <c r="CX1125" s="31"/>
      <c r="CY1125" s="31"/>
      <c r="CZ1125" s="31"/>
      <c r="DA1125" s="31"/>
      <c r="DB1125" s="31"/>
      <c r="DC1125" s="31"/>
      <c r="DD1125" s="31"/>
      <c r="DE1125" s="31"/>
      <c r="DF1125" s="31"/>
      <c r="DG1125" s="31"/>
      <c r="DH1125" s="31"/>
      <c r="DI1125" s="31"/>
      <c r="DJ1125" s="31"/>
      <c r="DK1125" s="31"/>
      <c r="DL1125" s="31"/>
      <c r="DM1125" s="31"/>
      <c r="DN1125" s="31"/>
      <c r="DO1125" s="31"/>
      <c r="DP1125" s="31"/>
      <c r="DQ1125" s="31"/>
      <c r="DR1125" s="31"/>
      <c r="DS1125" s="31"/>
      <c r="DT1125" s="31"/>
      <c r="DU1125" s="31"/>
      <c r="DV1125" s="31"/>
      <c r="DW1125" s="31"/>
      <c r="DX1125" s="31"/>
      <c r="DY1125" s="31"/>
      <c r="DZ1125" s="31"/>
      <c r="EA1125" s="31"/>
      <c r="EB1125" s="31"/>
      <c r="EC1125" s="31"/>
      <c r="ED1125" s="31"/>
      <c r="EE1125" s="31"/>
      <c r="EF1125" s="31"/>
      <c r="EG1125" s="31"/>
      <c r="EH1125" s="31"/>
      <c r="EI1125" s="31"/>
      <c r="EJ1125" s="31"/>
      <c r="EK1125" s="31"/>
      <c r="EL1125" s="31"/>
      <c r="EM1125" s="31"/>
      <c r="EN1125" s="31"/>
      <c r="EO1125" s="31"/>
      <c r="EP1125" s="31"/>
      <c r="EQ1125" s="31"/>
      <c r="ER1125" s="31"/>
      <c r="ES1125" s="31"/>
      <c r="ET1125" s="31"/>
      <c r="EU1125" s="31"/>
      <c r="EV1125" s="31"/>
      <c r="EW1125" s="31"/>
      <c r="EX1125" s="31"/>
      <c r="EY1125" s="31"/>
      <c r="EZ1125" s="31"/>
      <c r="FA1125" s="31"/>
      <c r="FB1125" s="31"/>
      <c r="FC1125" s="31"/>
      <c r="FD1125" s="31"/>
      <c r="FE1125" s="31"/>
      <c r="FF1125" s="31"/>
      <c r="FG1125" s="31"/>
      <c r="FH1125" s="31"/>
      <c r="FI1125" s="31"/>
      <c r="FJ1125" s="31"/>
      <c r="FK1125" s="31"/>
      <c r="FL1125" s="31"/>
      <c r="FM1125" s="31"/>
      <c r="FN1125" s="31"/>
      <c r="FO1125" s="31"/>
      <c r="FP1125" s="31"/>
      <c r="FQ1125" s="31"/>
      <c r="FR1125" s="31"/>
      <c r="FS1125" s="31"/>
      <c r="FT1125" s="31"/>
      <c r="FU1125" s="31"/>
      <c r="FV1125" s="31"/>
      <c r="FW1125" s="31"/>
      <c r="FX1125" s="31"/>
      <c r="FY1125" s="31"/>
      <c r="FZ1125" s="31"/>
      <c r="GA1125" s="31"/>
      <c r="GB1125" s="31"/>
      <c r="GC1125" s="31"/>
      <c r="GD1125" s="31"/>
      <c r="GE1125" s="31"/>
      <c r="GF1125" s="31"/>
      <c r="GG1125" s="31"/>
      <c r="GH1125" s="31"/>
      <c r="GI1125" s="31"/>
      <c r="GJ1125" s="31"/>
      <c r="GK1125" s="31"/>
      <c r="GL1125" s="31"/>
      <c r="GM1125" s="31"/>
      <c r="GN1125" s="31"/>
      <c r="GO1125" s="31"/>
      <c r="GP1125" s="31"/>
      <c r="GQ1125" s="31"/>
      <c r="GR1125" s="31"/>
      <c r="GS1125" s="31"/>
      <c r="GT1125" s="31"/>
      <c r="GU1125" s="31"/>
      <c r="GV1125" s="31"/>
      <c r="GW1125" s="31"/>
      <c r="GX1125" s="31"/>
      <c r="GY1125" s="31"/>
      <c r="GZ1125" s="31"/>
      <c r="HA1125" s="31"/>
      <c r="HB1125" s="31"/>
      <c r="HC1125" s="31"/>
      <c r="HD1125" s="31"/>
      <c r="HE1125" s="31"/>
      <c r="HF1125" s="31"/>
      <c r="HG1125" s="31"/>
      <c r="HH1125" s="31"/>
      <c r="HI1125" s="31"/>
      <c r="HJ1125" s="31"/>
      <c r="HK1125" s="31"/>
      <c r="HL1125" s="31"/>
      <c r="HM1125" s="31"/>
      <c r="HN1125" s="31"/>
      <c r="HO1125" s="31"/>
      <c r="HP1125" s="31"/>
      <c r="HQ1125" s="31"/>
      <c r="HR1125" s="31"/>
      <c r="HS1125" s="31"/>
      <c r="HT1125" s="31"/>
      <c r="HU1125" s="31"/>
      <c r="HV1125" s="31"/>
      <c r="HW1125" s="31"/>
      <c r="HX1125" s="31"/>
      <c r="HY1125" s="31"/>
      <c r="HZ1125" s="31"/>
      <c r="IA1125" s="31"/>
      <c r="IB1125" s="31"/>
      <c r="IC1125" s="31"/>
      <c r="ID1125" s="31"/>
      <c r="IE1125" s="31"/>
      <c r="IF1125" s="31"/>
      <c r="IG1125" s="31"/>
      <c r="IH1125" s="31"/>
      <c r="II1125" s="31"/>
      <c r="IJ1125" s="31"/>
      <c r="IK1125" s="31"/>
      <c r="IL1125" s="31"/>
      <c r="IM1125" s="31"/>
      <c r="IN1125" s="31"/>
      <c r="IO1125" s="31"/>
      <c r="IP1125" s="31"/>
      <c r="IQ1125" s="31"/>
      <c r="IR1125" s="31"/>
      <c r="IS1125" s="31"/>
      <c r="IT1125" s="31"/>
      <c r="IU1125" s="31"/>
      <c r="IV1125" s="31"/>
      <c r="IW1125" s="31"/>
      <c r="IX1125" s="31"/>
      <c r="IY1125" s="31"/>
      <c r="IZ1125" s="31"/>
      <c r="JA1125" s="31"/>
      <c r="JB1125" s="31"/>
      <c r="JC1125" s="31"/>
      <c r="JD1125" s="31"/>
      <c r="JE1125" s="31"/>
      <c r="JF1125" s="31"/>
      <c r="JG1125" s="31"/>
      <c r="JH1125" s="31"/>
      <c r="JI1125" s="31"/>
      <c r="JJ1125" s="31"/>
      <c r="JK1125" s="31"/>
      <c r="JL1125" s="31"/>
      <c r="JM1125" s="31"/>
      <c r="JN1125" s="31"/>
      <c r="JO1125" s="31"/>
      <c r="JP1125" s="31"/>
      <c r="JQ1125" s="31"/>
      <c r="JR1125" s="31"/>
      <c r="JS1125" s="31"/>
      <c r="JT1125" s="31"/>
      <c r="JU1125" s="31"/>
      <c r="JV1125" s="31"/>
      <c r="JW1125" s="31"/>
      <c r="JX1125" s="31"/>
      <c r="JY1125" s="31"/>
      <c r="JZ1125" s="31"/>
      <c r="KA1125" s="31"/>
      <c r="KB1125" s="31"/>
      <c r="KC1125" s="31"/>
      <c r="KD1125" s="31"/>
      <c r="KE1125" s="31"/>
      <c r="KF1125" s="31"/>
      <c r="KG1125" s="31"/>
      <c r="KH1125" s="31"/>
      <c r="KI1125" s="31"/>
      <c r="KJ1125" s="31"/>
      <c r="KK1125" s="31"/>
      <c r="KL1125" s="31"/>
      <c r="KM1125" s="31"/>
      <c r="KN1125" s="31"/>
      <c r="KO1125" s="31"/>
      <c r="KP1125" s="31"/>
      <c r="KQ1125" s="31"/>
      <c r="KR1125" s="31"/>
      <c r="KS1125" s="31"/>
      <c r="KT1125" s="31"/>
      <c r="KU1125" s="31"/>
      <c r="KV1125" s="31"/>
      <c r="KW1125" s="31"/>
      <c r="KX1125" s="31"/>
      <c r="KY1125" s="31"/>
      <c r="KZ1125" s="31"/>
      <c r="LA1125" s="31"/>
      <c r="LB1125" s="31"/>
      <c r="LC1125" s="31"/>
      <c r="LD1125" s="31"/>
      <c r="LE1125" s="31"/>
      <c r="LF1125" s="31"/>
      <c r="LG1125" s="31"/>
      <c r="LH1125" s="31"/>
      <c r="LI1125" s="31"/>
      <c r="LJ1125" s="31"/>
      <c r="LK1125" s="31"/>
      <c r="LL1125" s="31"/>
      <c r="LM1125" s="31"/>
      <c r="LN1125" s="31"/>
      <c r="LO1125" s="31"/>
      <c r="LP1125" s="31"/>
      <c r="LQ1125" s="31"/>
      <c r="LR1125" s="31"/>
      <c r="LS1125" s="31"/>
      <c r="LT1125" s="31"/>
      <c r="LU1125" s="31"/>
      <c r="LV1125" s="31"/>
      <c r="LW1125" s="31"/>
      <c r="LX1125" s="31"/>
      <c r="LY1125" s="31"/>
      <c r="LZ1125" s="31"/>
      <c r="MA1125" s="31"/>
      <c r="MB1125" s="31"/>
      <c r="MC1125" s="31"/>
      <c r="MD1125" s="31"/>
      <c r="ME1125" s="31"/>
      <c r="MF1125" s="31"/>
      <c r="MG1125" s="31"/>
      <c r="MH1125" s="31"/>
      <c r="MI1125" s="31"/>
      <c r="MJ1125" s="31"/>
      <c r="MK1125" s="31"/>
      <c r="ML1125" s="31"/>
      <c r="MM1125" s="31"/>
      <c r="MN1125" s="31"/>
      <c r="MO1125" s="31"/>
      <c r="MP1125" s="31"/>
      <c r="MQ1125" s="31"/>
      <c r="MR1125" s="31"/>
      <c r="MS1125" s="31"/>
      <c r="MT1125" s="31"/>
      <c r="MU1125" s="31"/>
      <c r="MV1125" s="31"/>
      <c r="MW1125" s="31"/>
      <c r="MX1125" s="31"/>
      <c r="MY1125" s="31"/>
      <c r="MZ1125" s="31"/>
      <c r="NA1125" s="31"/>
      <c r="NB1125" s="31"/>
      <c r="NC1125" s="31"/>
      <c r="ND1125" s="31"/>
      <c r="NE1125" s="31"/>
      <c r="NF1125" s="31"/>
      <c r="NG1125" s="31"/>
      <c r="NH1125" s="31"/>
      <c r="NI1125" s="31"/>
      <c r="NJ1125" s="31"/>
      <c r="NK1125" s="31"/>
      <c r="NL1125" s="31"/>
      <c r="NM1125" s="31"/>
      <c r="NN1125" s="31"/>
      <c r="NO1125" s="31"/>
      <c r="NP1125" s="31"/>
      <c r="NQ1125" s="31"/>
      <c r="NR1125" s="31"/>
      <c r="NS1125" s="31"/>
      <c r="NT1125" s="31"/>
      <c r="NU1125" s="31"/>
      <c r="NV1125" s="31"/>
      <c r="NW1125" s="31"/>
      <c r="NX1125" s="31"/>
      <c r="NY1125" s="31"/>
      <c r="NZ1125" s="31"/>
      <c r="OA1125" s="31"/>
      <c r="OB1125" s="31"/>
      <c r="OC1125" s="31"/>
      <c r="OD1125" s="31"/>
      <c r="OE1125" s="31"/>
      <c r="OF1125" s="31"/>
      <c r="OG1125" s="31"/>
      <c r="OH1125" s="31"/>
      <c r="OI1125" s="31"/>
      <c r="OJ1125" s="31"/>
      <c r="OK1125" s="31"/>
      <c r="OL1125" s="31"/>
      <c r="OM1125" s="31"/>
      <c r="ON1125" s="31"/>
      <c r="OO1125" s="31"/>
      <c r="OP1125" s="31"/>
      <c r="OQ1125" s="31"/>
      <c r="OR1125" s="31"/>
      <c r="OS1125" s="31"/>
      <c r="OT1125" s="31"/>
      <c r="OU1125" s="31"/>
      <c r="OV1125" s="31"/>
      <c r="OW1125" s="31"/>
      <c r="OX1125" s="31"/>
      <c r="OY1125" s="31"/>
      <c r="OZ1125" s="31"/>
      <c r="PA1125" s="31"/>
      <c r="PB1125" s="31"/>
      <c r="PC1125" s="31"/>
      <c r="PD1125" s="31"/>
      <c r="PE1125" s="31"/>
      <c r="PF1125" s="31"/>
      <c r="PG1125" s="31"/>
      <c r="PH1125" s="31"/>
      <c r="PI1125" s="31"/>
      <c r="PJ1125" s="31"/>
      <c r="PK1125" s="31"/>
      <c r="PL1125" s="31"/>
      <c r="PM1125" s="31"/>
      <c r="PN1125" s="31"/>
      <c r="PO1125" s="31"/>
      <c r="PP1125" s="31"/>
      <c r="PQ1125" s="31"/>
      <c r="PR1125" s="31"/>
      <c r="PS1125" s="31"/>
      <c r="PT1125" s="31"/>
      <c r="PU1125" s="31"/>
      <c r="PV1125" s="31"/>
      <c r="PW1125" s="31"/>
      <c r="PX1125" s="31"/>
      <c r="PY1125" s="31"/>
      <c r="PZ1125" s="31"/>
      <c r="QA1125" s="31"/>
      <c r="QB1125" s="31"/>
      <c r="QC1125" s="31"/>
      <c r="QD1125" s="31"/>
      <c r="QE1125" s="31"/>
      <c r="QF1125" s="31"/>
      <c r="QG1125" s="31"/>
      <c r="QH1125" s="31"/>
      <c r="QI1125" s="31"/>
      <c r="QJ1125" s="31"/>
      <c r="QK1125" s="31"/>
      <c r="QL1125" s="31"/>
      <c r="QM1125" s="31"/>
      <c r="QN1125" s="31"/>
      <c r="QO1125" s="31"/>
      <c r="QP1125" s="31"/>
      <c r="QQ1125" s="31"/>
      <c r="QR1125" s="31"/>
      <c r="QS1125" s="31"/>
      <c r="QT1125" s="31"/>
      <c r="QU1125" s="31"/>
      <c r="QV1125" s="31"/>
      <c r="QW1125" s="31"/>
      <c r="QX1125" s="31"/>
      <c r="QY1125" s="31"/>
      <c r="QZ1125" s="31"/>
      <c r="RA1125" s="31"/>
      <c r="RB1125" s="31"/>
      <c r="RC1125" s="31"/>
      <c r="RD1125" s="31"/>
      <c r="RE1125" s="31"/>
      <c r="RF1125" s="31"/>
      <c r="RG1125" s="31"/>
      <c r="RH1125" s="31"/>
      <c r="RI1125" s="31"/>
      <c r="RJ1125" s="31"/>
      <c r="RK1125" s="31"/>
      <c r="RL1125" s="31"/>
      <c r="RM1125" s="31"/>
      <c r="RN1125" s="31"/>
      <c r="RO1125" s="31"/>
      <c r="RP1125" s="31"/>
      <c r="RQ1125" s="31"/>
      <c r="RR1125" s="31"/>
      <c r="RS1125" s="31"/>
      <c r="RT1125" s="31"/>
      <c r="RU1125" s="31"/>
      <c r="RV1125" s="31"/>
      <c r="RW1125" s="31"/>
      <c r="RX1125" s="31"/>
      <c r="RY1125" s="31"/>
      <c r="RZ1125" s="31"/>
      <c r="SA1125" s="31"/>
      <c r="SB1125" s="31"/>
      <c r="SC1125" s="31"/>
      <c r="SD1125" s="31"/>
      <c r="SE1125" s="31"/>
      <c r="SF1125" s="31"/>
      <c r="SG1125" s="31"/>
      <c r="SH1125" s="31"/>
      <c r="SI1125" s="31"/>
      <c r="SJ1125" s="31"/>
      <c r="SK1125" s="31"/>
      <c r="SL1125" s="31"/>
      <c r="SM1125" s="31"/>
      <c r="SN1125" s="31"/>
      <c r="SO1125" s="31"/>
      <c r="SP1125" s="31"/>
      <c r="SQ1125" s="31"/>
      <c r="SR1125" s="31"/>
      <c r="SS1125" s="31"/>
      <c r="ST1125" s="31"/>
      <c r="SU1125" s="31"/>
      <c r="SV1125" s="31"/>
      <c r="SW1125" s="31"/>
      <c r="SX1125" s="31"/>
      <c r="SY1125" s="31"/>
      <c r="SZ1125" s="31"/>
      <c r="TA1125" s="31"/>
      <c r="TB1125" s="31"/>
      <c r="TC1125" s="31"/>
      <c r="TD1125" s="31"/>
      <c r="TE1125" s="31"/>
      <c r="TF1125" s="31"/>
      <c r="TG1125" s="31"/>
      <c r="TH1125" s="31"/>
      <c r="TI1125" s="31"/>
      <c r="TJ1125" s="31"/>
      <c r="TK1125" s="31"/>
      <c r="TL1125" s="31"/>
      <c r="TM1125" s="31"/>
      <c r="TN1125" s="31"/>
      <c r="TO1125" s="31"/>
      <c r="TP1125" s="31"/>
      <c r="TQ1125" s="31"/>
      <c r="TR1125" s="31"/>
      <c r="TS1125" s="31"/>
      <c r="TT1125" s="31"/>
      <c r="TU1125" s="31"/>
      <c r="TV1125" s="31"/>
      <c r="TW1125" s="31"/>
      <c r="TX1125" s="31"/>
      <c r="TY1125" s="31"/>
      <c r="TZ1125" s="31"/>
      <c r="UA1125" s="31"/>
      <c r="UB1125" s="31"/>
      <c r="UC1125" s="31"/>
      <c r="UD1125" s="31"/>
      <c r="UE1125" s="31"/>
      <c r="UF1125" s="31"/>
      <c r="UG1125" s="33"/>
    </row>
    <row r="1126" spans="1:553" ht="31.5" customHeight="1">
      <c r="A1126" s="356"/>
      <c r="B1126" s="385">
        <v>223</v>
      </c>
      <c r="C1126" s="1403" t="s">
        <v>1014</v>
      </c>
      <c r="D1126" s="1389"/>
      <c r="E1126" s="1389"/>
      <c r="F1126" s="1390"/>
      <c r="G1126" s="386" t="s">
        <v>33</v>
      </c>
      <c r="H1126" s="370"/>
      <c r="I1126" s="422">
        <f>1.5*1.7</f>
        <v>2.5499999999999998</v>
      </c>
      <c r="J1126" s="477">
        <v>569800</v>
      </c>
      <c r="K1126" s="388"/>
      <c r="L1126" s="391">
        <f t="shared" si="167"/>
        <v>1452990</v>
      </c>
      <c r="M1126" s="395"/>
      <c r="N1126" s="395"/>
      <c r="O1126" s="366"/>
      <c r="P1126" s="396"/>
      <c r="Q1126" s="473"/>
      <c r="R1126" s="1039"/>
      <c r="S1126" s="308"/>
      <c r="T1126" s="308"/>
      <c r="U1126" s="308"/>
      <c r="V1126" s="308"/>
      <c r="W1126" s="308"/>
      <c r="X1126" s="308"/>
      <c r="Y1126" s="308"/>
      <c r="Z1126" s="604"/>
      <c r="AA1126" s="308"/>
      <c r="AB1126" s="308"/>
      <c r="AC1126" s="449"/>
      <c r="AD1126" s="449"/>
      <c r="AE1126" s="449"/>
      <c r="AF1126" s="449"/>
      <c r="AG1126" s="452"/>
      <c r="AH1126" s="452"/>
      <c r="AI1126" s="452"/>
      <c r="AJ1126" s="452"/>
      <c r="AK1126" s="452"/>
      <c r="AL1126" s="104"/>
      <c r="AM1126" s="32"/>
      <c r="AN1126" s="32"/>
      <c r="AO1126" s="32"/>
      <c r="AP1126" s="32"/>
      <c r="AQ1126" s="31"/>
      <c r="AR1126" s="31"/>
      <c r="AS1126" s="31"/>
      <c r="AT1126" s="31"/>
      <c r="AU1126" s="31"/>
      <c r="AV1126" s="31"/>
      <c r="AW1126" s="31"/>
      <c r="AX1126" s="31"/>
      <c r="AY1126" s="31"/>
      <c r="AZ1126" s="31"/>
      <c r="BA1126" s="31"/>
      <c r="BB1126" s="31"/>
      <c r="BC1126" s="31"/>
      <c r="BD1126" s="31"/>
      <c r="BE1126" s="31"/>
      <c r="BF1126" s="31"/>
      <c r="BG1126" s="31"/>
      <c r="BH1126" s="31"/>
      <c r="BI1126" s="31"/>
      <c r="BJ1126" s="31"/>
      <c r="BK1126" s="31"/>
      <c r="BL1126" s="31"/>
      <c r="BM1126" s="31"/>
      <c r="BN1126" s="31"/>
      <c r="BO1126" s="31"/>
      <c r="BP1126" s="31"/>
      <c r="BQ1126" s="31"/>
      <c r="BR1126" s="31"/>
      <c r="BS1126" s="31"/>
      <c r="BT1126" s="31"/>
      <c r="BU1126" s="31"/>
      <c r="BV1126" s="31"/>
      <c r="BW1126" s="31"/>
      <c r="BX1126" s="31"/>
      <c r="BY1126" s="31"/>
      <c r="BZ1126" s="31"/>
      <c r="CA1126" s="31"/>
      <c r="CB1126" s="31"/>
      <c r="CC1126" s="31"/>
      <c r="CD1126" s="31"/>
      <c r="CE1126" s="31"/>
      <c r="CF1126" s="31"/>
      <c r="CG1126" s="31"/>
      <c r="CH1126" s="31"/>
      <c r="CI1126" s="31"/>
      <c r="CJ1126" s="31"/>
      <c r="CK1126" s="31"/>
      <c r="CL1126" s="31"/>
      <c r="CM1126" s="31"/>
      <c r="CN1126" s="31"/>
      <c r="CO1126" s="31"/>
      <c r="CP1126" s="31"/>
      <c r="CQ1126" s="31"/>
      <c r="CR1126" s="31"/>
      <c r="CS1126" s="31"/>
      <c r="CT1126" s="31"/>
      <c r="CU1126" s="31"/>
      <c r="CV1126" s="31"/>
      <c r="CW1126" s="31"/>
      <c r="CX1126" s="31"/>
      <c r="CY1126" s="31"/>
      <c r="CZ1126" s="31"/>
      <c r="DA1126" s="31"/>
      <c r="DB1126" s="31"/>
      <c r="DC1126" s="31"/>
      <c r="DD1126" s="31"/>
      <c r="DE1126" s="31"/>
      <c r="DF1126" s="31"/>
      <c r="DG1126" s="31"/>
      <c r="DH1126" s="31"/>
      <c r="DI1126" s="31"/>
      <c r="DJ1126" s="31"/>
      <c r="DK1126" s="31"/>
      <c r="DL1126" s="31"/>
      <c r="DM1126" s="31"/>
      <c r="DN1126" s="31"/>
      <c r="DO1126" s="31"/>
      <c r="DP1126" s="31"/>
      <c r="DQ1126" s="31"/>
      <c r="DR1126" s="31"/>
      <c r="DS1126" s="31"/>
      <c r="DT1126" s="31"/>
      <c r="DU1126" s="31"/>
      <c r="DV1126" s="31"/>
      <c r="DW1126" s="31"/>
      <c r="DX1126" s="31"/>
      <c r="DY1126" s="31"/>
      <c r="DZ1126" s="31"/>
      <c r="EA1126" s="31"/>
      <c r="EB1126" s="31"/>
      <c r="EC1126" s="31"/>
      <c r="ED1126" s="31"/>
      <c r="EE1126" s="31"/>
      <c r="EF1126" s="31"/>
      <c r="EG1126" s="31"/>
      <c r="EH1126" s="31"/>
      <c r="EI1126" s="31"/>
      <c r="EJ1126" s="31"/>
      <c r="EK1126" s="31"/>
      <c r="EL1126" s="31"/>
      <c r="EM1126" s="31"/>
      <c r="EN1126" s="31"/>
      <c r="EO1126" s="31"/>
      <c r="EP1126" s="31"/>
      <c r="EQ1126" s="31"/>
      <c r="ER1126" s="31"/>
      <c r="ES1126" s="31"/>
      <c r="ET1126" s="31"/>
      <c r="EU1126" s="31"/>
      <c r="EV1126" s="31"/>
      <c r="EW1126" s="31"/>
      <c r="EX1126" s="31"/>
      <c r="EY1126" s="31"/>
      <c r="EZ1126" s="31"/>
      <c r="FA1126" s="31"/>
      <c r="FB1126" s="31"/>
      <c r="FC1126" s="31"/>
      <c r="FD1126" s="31"/>
      <c r="FE1126" s="31"/>
      <c r="FF1126" s="31"/>
      <c r="FG1126" s="31"/>
      <c r="FH1126" s="31"/>
      <c r="FI1126" s="31"/>
      <c r="FJ1126" s="31"/>
      <c r="FK1126" s="31"/>
      <c r="FL1126" s="31"/>
      <c r="FM1126" s="31"/>
      <c r="FN1126" s="31"/>
      <c r="FO1126" s="31"/>
      <c r="FP1126" s="31"/>
      <c r="FQ1126" s="31"/>
      <c r="FR1126" s="31"/>
      <c r="FS1126" s="31"/>
      <c r="FT1126" s="31"/>
      <c r="FU1126" s="31"/>
      <c r="FV1126" s="31"/>
      <c r="FW1126" s="31"/>
      <c r="FX1126" s="31"/>
      <c r="FY1126" s="31"/>
      <c r="FZ1126" s="31"/>
      <c r="GA1126" s="31"/>
      <c r="GB1126" s="31"/>
      <c r="GC1126" s="31"/>
      <c r="GD1126" s="31"/>
      <c r="GE1126" s="31"/>
      <c r="GF1126" s="31"/>
      <c r="GG1126" s="31"/>
      <c r="GH1126" s="31"/>
      <c r="GI1126" s="31"/>
      <c r="GJ1126" s="31"/>
      <c r="GK1126" s="31"/>
      <c r="GL1126" s="31"/>
      <c r="GM1126" s="31"/>
      <c r="GN1126" s="31"/>
      <c r="GO1126" s="31"/>
      <c r="GP1126" s="31"/>
      <c r="GQ1126" s="31"/>
      <c r="GR1126" s="31"/>
      <c r="GS1126" s="31"/>
      <c r="GT1126" s="31"/>
      <c r="GU1126" s="31"/>
      <c r="GV1126" s="31"/>
      <c r="GW1126" s="31"/>
      <c r="GX1126" s="31"/>
      <c r="GY1126" s="31"/>
      <c r="GZ1126" s="31"/>
      <c r="HA1126" s="31"/>
      <c r="HB1126" s="31"/>
      <c r="HC1126" s="31"/>
      <c r="HD1126" s="31"/>
      <c r="HE1126" s="31"/>
      <c r="HF1126" s="31"/>
      <c r="HG1126" s="31"/>
      <c r="HH1126" s="31"/>
      <c r="HI1126" s="31"/>
      <c r="HJ1126" s="31"/>
      <c r="HK1126" s="31"/>
      <c r="HL1126" s="31"/>
      <c r="HM1126" s="31"/>
      <c r="HN1126" s="31"/>
      <c r="HO1126" s="31"/>
      <c r="HP1126" s="31"/>
      <c r="HQ1126" s="31"/>
      <c r="HR1126" s="31"/>
      <c r="HS1126" s="31"/>
      <c r="HT1126" s="31"/>
      <c r="HU1126" s="31"/>
      <c r="HV1126" s="31"/>
      <c r="HW1126" s="31"/>
      <c r="HX1126" s="31"/>
      <c r="HY1126" s="31"/>
      <c r="HZ1126" s="31"/>
      <c r="IA1126" s="31"/>
      <c r="IB1126" s="31"/>
      <c r="IC1126" s="31"/>
      <c r="ID1126" s="31"/>
      <c r="IE1126" s="31"/>
      <c r="IF1126" s="31"/>
      <c r="IG1126" s="31"/>
      <c r="IH1126" s="31"/>
      <c r="II1126" s="31"/>
      <c r="IJ1126" s="31"/>
      <c r="IK1126" s="31"/>
      <c r="IL1126" s="31"/>
      <c r="IM1126" s="31"/>
      <c r="IN1126" s="31"/>
      <c r="IO1126" s="31"/>
      <c r="IP1126" s="31"/>
      <c r="IQ1126" s="31"/>
      <c r="IR1126" s="31"/>
      <c r="IS1126" s="31"/>
      <c r="IT1126" s="31"/>
      <c r="IU1126" s="31"/>
      <c r="IV1126" s="31"/>
      <c r="IW1126" s="31"/>
      <c r="IX1126" s="31"/>
      <c r="IY1126" s="31"/>
      <c r="IZ1126" s="31"/>
      <c r="JA1126" s="31"/>
      <c r="JB1126" s="31"/>
      <c r="JC1126" s="31"/>
      <c r="JD1126" s="31"/>
      <c r="JE1126" s="31"/>
      <c r="JF1126" s="31"/>
      <c r="JG1126" s="31"/>
      <c r="JH1126" s="31"/>
      <c r="JI1126" s="31"/>
      <c r="JJ1126" s="31"/>
      <c r="JK1126" s="31"/>
      <c r="JL1126" s="31"/>
      <c r="JM1126" s="31"/>
      <c r="JN1126" s="31"/>
      <c r="JO1126" s="31"/>
      <c r="JP1126" s="31"/>
      <c r="JQ1126" s="31"/>
      <c r="JR1126" s="31"/>
      <c r="JS1126" s="31"/>
      <c r="JT1126" s="31"/>
      <c r="JU1126" s="31"/>
      <c r="JV1126" s="31"/>
      <c r="JW1126" s="31"/>
      <c r="JX1126" s="31"/>
      <c r="JY1126" s="31"/>
      <c r="JZ1126" s="31"/>
      <c r="KA1126" s="31"/>
      <c r="KB1126" s="31"/>
      <c r="KC1126" s="31"/>
      <c r="KD1126" s="31"/>
      <c r="KE1126" s="31"/>
      <c r="KF1126" s="31"/>
      <c r="KG1126" s="31"/>
      <c r="KH1126" s="31"/>
      <c r="KI1126" s="31"/>
      <c r="KJ1126" s="31"/>
      <c r="KK1126" s="31"/>
      <c r="KL1126" s="31"/>
      <c r="KM1126" s="31"/>
      <c r="KN1126" s="31"/>
      <c r="KO1126" s="31"/>
      <c r="KP1126" s="31"/>
      <c r="KQ1126" s="31"/>
      <c r="KR1126" s="31"/>
      <c r="KS1126" s="31"/>
      <c r="KT1126" s="31"/>
      <c r="KU1126" s="31"/>
      <c r="KV1126" s="31"/>
      <c r="KW1126" s="31"/>
      <c r="KX1126" s="31"/>
      <c r="KY1126" s="31"/>
      <c r="KZ1126" s="31"/>
      <c r="LA1126" s="31"/>
      <c r="LB1126" s="31"/>
      <c r="LC1126" s="31"/>
      <c r="LD1126" s="31"/>
      <c r="LE1126" s="31"/>
      <c r="LF1126" s="31"/>
      <c r="LG1126" s="31"/>
      <c r="LH1126" s="31"/>
      <c r="LI1126" s="31"/>
      <c r="LJ1126" s="31"/>
      <c r="LK1126" s="31"/>
      <c r="LL1126" s="31"/>
      <c r="LM1126" s="31"/>
      <c r="LN1126" s="31"/>
      <c r="LO1126" s="31"/>
      <c r="LP1126" s="31"/>
      <c r="LQ1126" s="31"/>
      <c r="LR1126" s="31"/>
      <c r="LS1126" s="31"/>
      <c r="LT1126" s="31"/>
      <c r="LU1126" s="31"/>
      <c r="LV1126" s="31"/>
      <c r="LW1126" s="31"/>
      <c r="LX1126" s="31"/>
      <c r="LY1126" s="31"/>
      <c r="LZ1126" s="31"/>
      <c r="MA1126" s="31"/>
      <c r="MB1126" s="31"/>
      <c r="MC1126" s="31"/>
      <c r="MD1126" s="31"/>
      <c r="ME1126" s="31"/>
      <c r="MF1126" s="31"/>
      <c r="MG1126" s="31"/>
      <c r="MH1126" s="31"/>
      <c r="MI1126" s="31"/>
      <c r="MJ1126" s="31"/>
      <c r="MK1126" s="31"/>
      <c r="ML1126" s="31"/>
      <c r="MM1126" s="31"/>
      <c r="MN1126" s="31"/>
      <c r="MO1126" s="31"/>
      <c r="MP1126" s="31"/>
      <c r="MQ1126" s="31"/>
      <c r="MR1126" s="31"/>
      <c r="MS1126" s="31"/>
      <c r="MT1126" s="31"/>
      <c r="MU1126" s="31"/>
      <c r="MV1126" s="31"/>
      <c r="MW1126" s="31"/>
      <c r="MX1126" s="31"/>
      <c r="MY1126" s="31"/>
      <c r="MZ1126" s="31"/>
      <c r="NA1126" s="31"/>
      <c r="NB1126" s="31"/>
      <c r="NC1126" s="31"/>
      <c r="ND1126" s="31"/>
      <c r="NE1126" s="31"/>
      <c r="NF1126" s="31"/>
      <c r="NG1126" s="31"/>
      <c r="NH1126" s="31"/>
      <c r="NI1126" s="31"/>
      <c r="NJ1126" s="31"/>
      <c r="NK1126" s="31"/>
      <c r="NL1126" s="31"/>
      <c r="NM1126" s="31"/>
      <c r="NN1126" s="31"/>
      <c r="NO1126" s="31"/>
      <c r="NP1126" s="31"/>
      <c r="NQ1126" s="31"/>
      <c r="NR1126" s="31"/>
      <c r="NS1126" s="31"/>
      <c r="NT1126" s="31"/>
      <c r="NU1126" s="31"/>
      <c r="NV1126" s="31"/>
      <c r="NW1126" s="31"/>
      <c r="NX1126" s="31"/>
      <c r="NY1126" s="31"/>
      <c r="NZ1126" s="31"/>
      <c r="OA1126" s="31"/>
      <c r="OB1126" s="31"/>
      <c r="OC1126" s="31"/>
      <c r="OD1126" s="31"/>
      <c r="OE1126" s="31"/>
      <c r="OF1126" s="31"/>
      <c r="OG1126" s="31"/>
      <c r="OH1126" s="31"/>
      <c r="OI1126" s="31"/>
      <c r="OJ1126" s="31"/>
      <c r="OK1126" s="31"/>
      <c r="OL1126" s="31"/>
      <c r="OM1126" s="31"/>
      <c r="ON1126" s="31"/>
      <c r="OO1126" s="31"/>
      <c r="OP1126" s="31"/>
      <c r="OQ1126" s="31"/>
      <c r="OR1126" s="31"/>
      <c r="OS1126" s="31"/>
      <c r="OT1126" s="31"/>
      <c r="OU1126" s="31"/>
      <c r="OV1126" s="31"/>
      <c r="OW1126" s="31"/>
      <c r="OX1126" s="31"/>
      <c r="OY1126" s="31"/>
      <c r="OZ1126" s="31"/>
      <c r="PA1126" s="31"/>
      <c r="PB1126" s="31"/>
      <c r="PC1126" s="31"/>
      <c r="PD1126" s="31"/>
      <c r="PE1126" s="31"/>
      <c r="PF1126" s="31"/>
      <c r="PG1126" s="31"/>
      <c r="PH1126" s="31"/>
      <c r="PI1126" s="31"/>
      <c r="PJ1126" s="31"/>
      <c r="PK1126" s="31"/>
      <c r="PL1126" s="31"/>
      <c r="PM1126" s="31"/>
      <c r="PN1126" s="31"/>
      <c r="PO1126" s="31"/>
      <c r="PP1126" s="31"/>
      <c r="PQ1126" s="31"/>
      <c r="PR1126" s="31"/>
      <c r="PS1126" s="31"/>
      <c r="PT1126" s="31"/>
      <c r="PU1126" s="31"/>
      <c r="PV1126" s="31"/>
      <c r="PW1126" s="31"/>
      <c r="PX1126" s="31"/>
      <c r="PY1126" s="31"/>
      <c r="PZ1126" s="31"/>
      <c r="QA1126" s="31"/>
      <c r="QB1126" s="31"/>
      <c r="QC1126" s="31"/>
      <c r="QD1126" s="31"/>
      <c r="QE1126" s="31"/>
      <c r="QF1126" s="31"/>
      <c r="QG1126" s="31"/>
      <c r="QH1126" s="31"/>
      <c r="QI1126" s="31"/>
      <c r="QJ1126" s="31"/>
      <c r="QK1126" s="31"/>
      <c r="QL1126" s="31"/>
      <c r="QM1126" s="31"/>
      <c r="QN1126" s="31"/>
      <c r="QO1126" s="31"/>
      <c r="QP1126" s="31"/>
      <c r="QQ1126" s="31"/>
      <c r="QR1126" s="31"/>
      <c r="QS1126" s="31"/>
      <c r="QT1126" s="31"/>
      <c r="QU1126" s="31"/>
      <c r="QV1126" s="31"/>
      <c r="QW1126" s="31"/>
      <c r="QX1126" s="31"/>
      <c r="QY1126" s="31"/>
      <c r="QZ1126" s="31"/>
      <c r="RA1126" s="31"/>
      <c r="RB1126" s="31"/>
      <c r="RC1126" s="31"/>
      <c r="RD1126" s="31"/>
      <c r="RE1126" s="31"/>
      <c r="RF1126" s="31"/>
      <c r="RG1126" s="31"/>
      <c r="RH1126" s="31"/>
      <c r="RI1126" s="31"/>
      <c r="RJ1126" s="31"/>
      <c r="RK1126" s="31"/>
      <c r="RL1126" s="31"/>
      <c r="RM1126" s="31"/>
      <c r="RN1126" s="31"/>
      <c r="RO1126" s="31"/>
      <c r="RP1126" s="31"/>
      <c r="RQ1126" s="31"/>
      <c r="RR1126" s="31"/>
      <c r="RS1126" s="31"/>
      <c r="RT1126" s="31"/>
      <c r="RU1126" s="31"/>
      <c r="RV1126" s="31"/>
      <c r="RW1126" s="31"/>
      <c r="RX1126" s="31"/>
      <c r="RY1126" s="31"/>
      <c r="RZ1126" s="31"/>
      <c r="SA1126" s="31"/>
      <c r="SB1126" s="31"/>
      <c r="SC1126" s="31"/>
      <c r="SD1126" s="31"/>
      <c r="SE1126" s="31"/>
      <c r="SF1126" s="31"/>
      <c r="SG1126" s="31"/>
      <c r="SH1126" s="31"/>
      <c r="SI1126" s="31"/>
      <c r="SJ1126" s="31"/>
      <c r="SK1126" s="31"/>
      <c r="SL1126" s="31"/>
      <c r="SM1126" s="31"/>
      <c r="SN1126" s="31"/>
      <c r="SO1126" s="31"/>
      <c r="SP1126" s="31"/>
      <c r="SQ1126" s="31"/>
      <c r="SR1126" s="31"/>
      <c r="SS1126" s="31"/>
      <c r="ST1126" s="31"/>
      <c r="SU1126" s="31"/>
      <c r="SV1126" s="31"/>
      <c r="SW1126" s="31"/>
      <c r="SX1126" s="31"/>
      <c r="SY1126" s="31"/>
      <c r="SZ1126" s="31"/>
      <c r="TA1126" s="31"/>
      <c r="TB1126" s="31"/>
      <c r="TC1126" s="31"/>
      <c r="TD1126" s="31"/>
      <c r="TE1126" s="31"/>
      <c r="TF1126" s="31"/>
      <c r="TG1126" s="31"/>
      <c r="TH1126" s="31"/>
      <c r="TI1126" s="31"/>
      <c r="TJ1126" s="31"/>
      <c r="TK1126" s="31"/>
      <c r="TL1126" s="31"/>
      <c r="TM1126" s="31"/>
      <c r="TN1126" s="31"/>
      <c r="TO1126" s="31"/>
      <c r="TP1126" s="31"/>
      <c r="TQ1126" s="31"/>
      <c r="TR1126" s="31"/>
      <c r="TS1126" s="31"/>
      <c r="TT1126" s="31"/>
      <c r="TU1126" s="31"/>
      <c r="TV1126" s="31"/>
      <c r="TW1126" s="31"/>
      <c r="TX1126" s="31"/>
      <c r="TY1126" s="31"/>
      <c r="TZ1126" s="31"/>
      <c r="UA1126" s="31"/>
      <c r="UB1126" s="31"/>
      <c r="UC1126" s="31"/>
      <c r="UD1126" s="31"/>
      <c r="UE1126" s="31"/>
      <c r="UF1126" s="31"/>
      <c r="UG1126" s="33"/>
    </row>
    <row r="1127" spans="1:553" ht="45.75" customHeight="1">
      <c r="A1127" s="356"/>
      <c r="B1127" s="385" t="s">
        <v>31</v>
      </c>
      <c r="C1127" s="1403" t="s">
        <v>654</v>
      </c>
      <c r="D1127" s="1389"/>
      <c r="E1127" s="1389"/>
      <c r="F1127" s="1390"/>
      <c r="G1127" s="386" t="s">
        <v>34</v>
      </c>
      <c r="H1127" s="370"/>
      <c r="I1127" s="422">
        <f>(0.33*0.33*2.2)*2</f>
        <v>0.47916000000000009</v>
      </c>
      <c r="J1127" s="477">
        <v>1748702</v>
      </c>
      <c r="K1127" s="388"/>
      <c r="L1127" s="391">
        <f t="shared" si="167"/>
        <v>837908.05032000015</v>
      </c>
      <c r="M1127" s="395"/>
      <c r="N1127" s="395"/>
      <c r="O1127" s="366"/>
      <c r="P1127" s="396"/>
      <c r="Q1127" s="473"/>
      <c r="R1127" s="1039"/>
      <c r="S1127" s="308"/>
      <c r="T1127" s="308"/>
      <c r="U1127" s="308"/>
      <c r="V1127" s="308"/>
      <c r="W1127" s="308"/>
      <c r="X1127" s="308"/>
      <c r="Y1127" s="308"/>
      <c r="Z1127" s="604"/>
      <c r="AA1127" s="308"/>
      <c r="AB1127" s="308"/>
      <c r="AC1127" s="449"/>
      <c r="AD1127" s="449"/>
      <c r="AE1127" s="449"/>
      <c r="AF1127" s="449"/>
      <c r="AG1127" s="452"/>
      <c r="AH1127" s="452"/>
      <c r="AI1127" s="452"/>
      <c r="AJ1127" s="452"/>
      <c r="AK1127" s="452"/>
      <c r="AL1127" s="104"/>
      <c r="AM1127" s="32"/>
      <c r="AN1127" s="32"/>
      <c r="AO1127" s="32"/>
      <c r="AP1127" s="32"/>
      <c r="AQ1127" s="31"/>
      <c r="AR1127" s="31"/>
      <c r="AS1127" s="31"/>
      <c r="AT1127" s="31"/>
      <c r="AU1127" s="31"/>
      <c r="AV1127" s="31"/>
      <c r="AW1127" s="31"/>
      <c r="AX1127" s="31"/>
      <c r="AY1127" s="31"/>
      <c r="AZ1127" s="31"/>
      <c r="BA1127" s="31"/>
      <c r="BB1127" s="31"/>
      <c r="BC1127" s="31"/>
      <c r="BD1127" s="31"/>
      <c r="BE1127" s="31"/>
      <c r="BF1127" s="31"/>
      <c r="BG1127" s="31"/>
      <c r="BH1127" s="31"/>
      <c r="BI1127" s="31"/>
      <c r="BJ1127" s="31"/>
      <c r="BK1127" s="31"/>
      <c r="BL1127" s="31"/>
      <c r="BM1127" s="31"/>
      <c r="BN1127" s="31"/>
      <c r="BO1127" s="31"/>
      <c r="BP1127" s="31"/>
      <c r="BQ1127" s="31"/>
      <c r="BR1127" s="31"/>
      <c r="BS1127" s="31"/>
      <c r="BT1127" s="31"/>
      <c r="BU1127" s="31"/>
      <c r="BV1127" s="31"/>
      <c r="BW1127" s="31"/>
      <c r="BX1127" s="31"/>
      <c r="BY1127" s="31"/>
      <c r="BZ1127" s="31"/>
      <c r="CA1127" s="31"/>
      <c r="CB1127" s="31"/>
      <c r="CC1127" s="31"/>
      <c r="CD1127" s="31"/>
      <c r="CE1127" s="31"/>
      <c r="CF1127" s="31"/>
      <c r="CG1127" s="31"/>
      <c r="CH1127" s="31"/>
      <c r="CI1127" s="31"/>
      <c r="CJ1127" s="31"/>
      <c r="CK1127" s="31"/>
      <c r="CL1127" s="31"/>
      <c r="CM1127" s="31"/>
      <c r="CN1127" s="31"/>
      <c r="CO1127" s="31"/>
      <c r="CP1127" s="31"/>
      <c r="CQ1127" s="31"/>
      <c r="CR1127" s="31"/>
      <c r="CS1127" s="31"/>
      <c r="CT1127" s="31"/>
      <c r="CU1127" s="31"/>
      <c r="CV1127" s="31"/>
      <c r="CW1127" s="31"/>
      <c r="CX1127" s="31"/>
      <c r="CY1127" s="31"/>
      <c r="CZ1127" s="31"/>
      <c r="DA1127" s="31"/>
      <c r="DB1127" s="31"/>
      <c r="DC1127" s="31"/>
      <c r="DD1127" s="31"/>
      <c r="DE1127" s="31"/>
      <c r="DF1127" s="31"/>
      <c r="DG1127" s="31"/>
      <c r="DH1127" s="31"/>
      <c r="DI1127" s="31"/>
      <c r="DJ1127" s="31"/>
      <c r="DK1127" s="31"/>
      <c r="DL1127" s="31"/>
      <c r="DM1127" s="31"/>
      <c r="DN1127" s="31"/>
      <c r="DO1127" s="31"/>
      <c r="DP1127" s="31"/>
      <c r="DQ1127" s="31"/>
      <c r="DR1127" s="31"/>
      <c r="DS1127" s="31"/>
      <c r="DT1127" s="31"/>
      <c r="DU1127" s="31"/>
      <c r="DV1127" s="31"/>
      <c r="DW1127" s="31"/>
      <c r="DX1127" s="31"/>
      <c r="DY1127" s="31"/>
      <c r="DZ1127" s="31"/>
      <c r="EA1127" s="31"/>
      <c r="EB1127" s="31"/>
      <c r="EC1127" s="31"/>
      <c r="ED1127" s="31"/>
      <c r="EE1127" s="31"/>
      <c r="EF1127" s="31"/>
      <c r="EG1127" s="31"/>
      <c r="EH1127" s="31"/>
      <c r="EI1127" s="31"/>
      <c r="EJ1127" s="31"/>
      <c r="EK1127" s="31"/>
      <c r="EL1127" s="31"/>
      <c r="EM1127" s="31"/>
      <c r="EN1127" s="31"/>
      <c r="EO1127" s="31"/>
      <c r="EP1127" s="31"/>
      <c r="EQ1127" s="31"/>
      <c r="ER1127" s="31"/>
      <c r="ES1127" s="31"/>
      <c r="ET1127" s="31"/>
      <c r="EU1127" s="31"/>
      <c r="EV1127" s="31"/>
      <c r="EW1127" s="31"/>
      <c r="EX1127" s="31"/>
      <c r="EY1127" s="31"/>
      <c r="EZ1127" s="31"/>
      <c r="FA1127" s="31"/>
      <c r="FB1127" s="31"/>
      <c r="FC1127" s="31"/>
      <c r="FD1127" s="31"/>
      <c r="FE1127" s="31"/>
      <c r="FF1127" s="31"/>
      <c r="FG1127" s="31"/>
      <c r="FH1127" s="31"/>
      <c r="FI1127" s="31"/>
      <c r="FJ1127" s="31"/>
      <c r="FK1127" s="31"/>
      <c r="FL1127" s="31"/>
      <c r="FM1127" s="31"/>
      <c r="FN1127" s="31"/>
      <c r="FO1127" s="31"/>
      <c r="FP1127" s="31"/>
      <c r="FQ1127" s="31"/>
      <c r="FR1127" s="31"/>
      <c r="FS1127" s="31"/>
      <c r="FT1127" s="31"/>
      <c r="FU1127" s="31"/>
      <c r="FV1127" s="31"/>
      <c r="FW1127" s="31"/>
      <c r="FX1127" s="31"/>
      <c r="FY1127" s="31"/>
      <c r="FZ1127" s="31"/>
      <c r="GA1127" s="31"/>
      <c r="GB1127" s="31"/>
      <c r="GC1127" s="31"/>
      <c r="GD1127" s="31"/>
      <c r="GE1127" s="31"/>
      <c r="GF1127" s="31"/>
      <c r="GG1127" s="31"/>
      <c r="GH1127" s="31"/>
      <c r="GI1127" s="31"/>
      <c r="GJ1127" s="31"/>
      <c r="GK1127" s="31"/>
      <c r="GL1127" s="31"/>
      <c r="GM1127" s="31"/>
      <c r="GN1127" s="31"/>
      <c r="GO1127" s="31"/>
      <c r="GP1127" s="31"/>
      <c r="GQ1127" s="31"/>
      <c r="GR1127" s="31"/>
      <c r="GS1127" s="31"/>
      <c r="GT1127" s="31"/>
      <c r="GU1127" s="31"/>
      <c r="GV1127" s="31"/>
      <c r="GW1127" s="31"/>
      <c r="GX1127" s="31"/>
      <c r="GY1127" s="31"/>
      <c r="GZ1127" s="31"/>
      <c r="HA1127" s="31"/>
      <c r="HB1127" s="31"/>
      <c r="HC1127" s="31"/>
      <c r="HD1127" s="31"/>
      <c r="HE1127" s="31"/>
      <c r="HF1127" s="31"/>
      <c r="HG1127" s="31"/>
      <c r="HH1127" s="31"/>
      <c r="HI1127" s="31"/>
      <c r="HJ1127" s="31"/>
      <c r="HK1127" s="31"/>
      <c r="HL1127" s="31"/>
      <c r="HM1127" s="31"/>
      <c r="HN1127" s="31"/>
      <c r="HO1127" s="31"/>
      <c r="HP1127" s="31"/>
      <c r="HQ1127" s="31"/>
      <c r="HR1127" s="31"/>
      <c r="HS1127" s="31"/>
      <c r="HT1127" s="31"/>
      <c r="HU1127" s="31"/>
      <c r="HV1127" s="31"/>
      <c r="HW1127" s="31"/>
      <c r="HX1127" s="31"/>
      <c r="HY1127" s="31"/>
      <c r="HZ1127" s="31"/>
      <c r="IA1127" s="31"/>
      <c r="IB1127" s="31"/>
      <c r="IC1127" s="31"/>
      <c r="ID1127" s="31"/>
      <c r="IE1127" s="31"/>
      <c r="IF1127" s="31"/>
      <c r="IG1127" s="31"/>
      <c r="IH1127" s="31"/>
      <c r="II1127" s="31"/>
      <c r="IJ1127" s="31"/>
      <c r="IK1127" s="31"/>
      <c r="IL1127" s="31"/>
      <c r="IM1127" s="31"/>
      <c r="IN1127" s="31"/>
      <c r="IO1127" s="31"/>
      <c r="IP1127" s="31"/>
      <c r="IQ1127" s="31"/>
      <c r="IR1127" s="31"/>
      <c r="IS1127" s="31"/>
      <c r="IT1127" s="31"/>
      <c r="IU1127" s="31"/>
      <c r="IV1127" s="31"/>
      <c r="IW1127" s="31"/>
      <c r="IX1127" s="31"/>
      <c r="IY1127" s="31"/>
      <c r="IZ1127" s="31"/>
      <c r="JA1127" s="31"/>
      <c r="JB1127" s="31"/>
      <c r="JC1127" s="31"/>
      <c r="JD1127" s="31"/>
      <c r="JE1127" s="31"/>
      <c r="JF1127" s="31"/>
      <c r="JG1127" s="31"/>
      <c r="JH1127" s="31"/>
      <c r="JI1127" s="31"/>
      <c r="JJ1127" s="31"/>
      <c r="JK1127" s="31"/>
      <c r="JL1127" s="31"/>
      <c r="JM1127" s="31"/>
      <c r="JN1127" s="31"/>
      <c r="JO1127" s="31"/>
      <c r="JP1127" s="31"/>
      <c r="JQ1127" s="31"/>
      <c r="JR1127" s="31"/>
      <c r="JS1127" s="31"/>
      <c r="JT1127" s="31"/>
      <c r="JU1127" s="31"/>
      <c r="JV1127" s="31"/>
      <c r="JW1127" s="31"/>
      <c r="JX1127" s="31"/>
      <c r="JY1127" s="31"/>
      <c r="JZ1127" s="31"/>
      <c r="KA1127" s="31"/>
      <c r="KB1127" s="31"/>
      <c r="KC1127" s="31"/>
      <c r="KD1127" s="31"/>
      <c r="KE1127" s="31"/>
      <c r="KF1127" s="31"/>
      <c r="KG1127" s="31"/>
      <c r="KH1127" s="31"/>
      <c r="KI1127" s="31"/>
      <c r="KJ1127" s="31"/>
      <c r="KK1127" s="31"/>
      <c r="KL1127" s="31"/>
      <c r="KM1127" s="31"/>
      <c r="KN1127" s="31"/>
      <c r="KO1127" s="31"/>
      <c r="KP1127" s="31"/>
      <c r="KQ1127" s="31"/>
      <c r="KR1127" s="31"/>
      <c r="KS1127" s="31"/>
      <c r="KT1127" s="31"/>
      <c r="KU1127" s="31"/>
      <c r="KV1127" s="31"/>
      <c r="KW1127" s="31"/>
      <c r="KX1127" s="31"/>
      <c r="KY1127" s="31"/>
      <c r="KZ1127" s="31"/>
      <c r="LA1127" s="31"/>
      <c r="LB1127" s="31"/>
      <c r="LC1127" s="31"/>
      <c r="LD1127" s="31"/>
      <c r="LE1127" s="31"/>
      <c r="LF1127" s="31"/>
      <c r="LG1127" s="31"/>
      <c r="LH1127" s="31"/>
      <c r="LI1127" s="31"/>
      <c r="LJ1127" s="31"/>
      <c r="LK1127" s="31"/>
      <c r="LL1127" s="31"/>
      <c r="LM1127" s="31"/>
      <c r="LN1127" s="31"/>
      <c r="LO1127" s="31"/>
      <c r="LP1127" s="31"/>
      <c r="LQ1127" s="31"/>
      <c r="LR1127" s="31"/>
      <c r="LS1127" s="31"/>
      <c r="LT1127" s="31"/>
      <c r="LU1127" s="31"/>
      <c r="LV1127" s="31"/>
      <c r="LW1127" s="31"/>
      <c r="LX1127" s="31"/>
      <c r="LY1127" s="31"/>
      <c r="LZ1127" s="31"/>
      <c r="MA1127" s="31"/>
      <c r="MB1127" s="31"/>
      <c r="MC1127" s="31"/>
      <c r="MD1127" s="31"/>
      <c r="ME1127" s="31"/>
      <c r="MF1127" s="31"/>
      <c r="MG1127" s="31"/>
      <c r="MH1127" s="31"/>
      <c r="MI1127" s="31"/>
      <c r="MJ1127" s="31"/>
      <c r="MK1127" s="31"/>
      <c r="ML1127" s="31"/>
      <c r="MM1127" s="31"/>
      <c r="MN1127" s="31"/>
      <c r="MO1127" s="31"/>
      <c r="MP1127" s="31"/>
      <c r="MQ1127" s="31"/>
      <c r="MR1127" s="31"/>
      <c r="MS1127" s="31"/>
      <c r="MT1127" s="31"/>
      <c r="MU1127" s="31"/>
      <c r="MV1127" s="31"/>
      <c r="MW1127" s="31"/>
      <c r="MX1127" s="31"/>
      <c r="MY1127" s="31"/>
      <c r="MZ1127" s="31"/>
      <c r="NA1127" s="31"/>
      <c r="NB1127" s="31"/>
      <c r="NC1127" s="31"/>
      <c r="ND1127" s="31"/>
      <c r="NE1127" s="31"/>
      <c r="NF1127" s="31"/>
      <c r="NG1127" s="31"/>
      <c r="NH1127" s="31"/>
      <c r="NI1127" s="31"/>
      <c r="NJ1127" s="31"/>
      <c r="NK1127" s="31"/>
      <c r="NL1127" s="31"/>
      <c r="NM1127" s="31"/>
      <c r="NN1127" s="31"/>
      <c r="NO1127" s="31"/>
      <c r="NP1127" s="31"/>
      <c r="NQ1127" s="31"/>
      <c r="NR1127" s="31"/>
      <c r="NS1127" s="31"/>
      <c r="NT1127" s="31"/>
      <c r="NU1127" s="31"/>
      <c r="NV1127" s="31"/>
      <c r="NW1127" s="31"/>
      <c r="NX1127" s="31"/>
      <c r="NY1127" s="31"/>
      <c r="NZ1127" s="31"/>
      <c r="OA1127" s="31"/>
      <c r="OB1127" s="31"/>
      <c r="OC1127" s="31"/>
      <c r="OD1127" s="31"/>
      <c r="OE1127" s="31"/>
      <c r="OF1127" s="31"/>
      <c r="OG1127" s="31"/>
      <c r="OH1127" s="31"/>
      <c r="OI1127" s="31"/>
      <c r="OJ1127" s="31"/>
      <c r="OK1127" s="31"/>
      <c r="OL1127" s="31"/>
      <c r="OM1127" s="31"/>
      <c r="ON1127" s="31"/>
      <c r="OO1127" s="31"/>
      <c r="OP1127" s="31"/>
      <c r="OQ1127" s="31"/>
      <c r="OR1127" s="31"/>
      <c r="OS1127" s="31"/>
      <c r="OT1127" s="31"/>
      <c r="OU1127" s="31"/>
      <c r="OV1127" s="31"/>
      <c r="OW1127" s="31"/>
      <c r="OX1127" s="31"/>
      <c r="OY1127" s="31"/>
      <c r="OZ1127" s="31"/>
      <c r="PA1127" s="31"/>
      <c r="PB1127" s="31"/>
      <c r="PC1127" s="31"/>
      <c r="PD1127" s="31"/>
      <c r="PE1127" s="31"/>
      <c r="PF1127" s="31"/>
      <c r="PG1127" s="31"/>
      <c r="PH1127" s="31"/>
      <c r="PI1127" s="31"/>
      <c r="PJ1127" s="31"/>
      <c r="PK1127" s="31"/>
      <c r="PL1127" s="31"/>
      <c r="PM1127" s="31"/>
      <c r="PN1127" s="31"/>
      <c r="PO1127" s="31"/>
      <c r="PP1127" s="31"/>
      <c r="PQ1127" s="31"/>
      <c r="PR1127" s="31"/>
      <c r="PS1127" s="31"/>
      <c r="PT1127" s="31"/>
      <c r="PU1127" s="31"/>
      <c r="PV1127" s="31"/>
      <c r="PW1127" s="31"/>
      <c r="PX1127" s="31"/>
      <c r="PY1127" s="31"/>
      <c r="PZ1127" s="31"/>
      <c r="QA1127" s="31"/>
      <c r="QB1127" s="31"/>
      <c r="QC1127" s="31"/>
      <c r="QD1127" s="31"/>
      <c r="QE1127" s="31"/>
      <c r="QF1127" s="31"/>
      <c r="QG1127" s="31"/>
      <c r="QH1127" s="31"/>
      <c r="QI1127" s="31"/>
      <c r="QJ1127" s="31"/>
      <c r="QK1127" s="31"/>
      <c r="QL1127" s="31"/>
      <c r="QM1127" s="31"/>
      <c r="QN1127" s="31"/>
      <c r="QO1127" s="31"/>
      <c r="QP1127" s="31"/>
      <c r="QQ1127" s="31"/>
      <c r="QR1127" s="31"/>
      <c r="QS1127" s="31"/>
      <c r="QT1127" s="31"/>
      <c r="QU1127" s="31"/>
      <c r="QV1127" s="31"/>
      <c r="QW1127" s="31"/>
      <c r="QX1127" s="31"/>
      <c r="QY1127" s="31"/>
      <c r="QZ1127" s="31"/>
      <c r="RA1127" s="31"/>
      <c r="RB1127" s="31"/>
      <c r="RC1127" s="31"/>
      <c r="RD1127" s="31"/>
      <c r="RE1127" s="31"/>
      <c r="RF1127" s="31"/>
      <c r="RG1127" s="31"/>
      <c r="RH1127" s="31"/>
      <c r="RI1127" s="31"/>
      <c r="RJ1127" s="31"/>
      <c r="RK1127" s="31"/>
      <c r="RL1127" s="31"/>
      <c r="RM1127" s="31"/>
      <c r="RN1127" s="31"/>
      <c r="RO1127" s="31"/>
      <c r="RP1127" s="31"/>
      <c r="RQ1127" s="31"/>
      <c r="RR1127" s="31"/>
      <c r="RS1127" s="31"/>
      <c r="RT1127" s="31"/>
      <c r="RU1127" s="31"/>
      <c r="RV1127" s="31"/>
      <c r="RW1127" s="31"/>
      <c r="RX1127" s="31"/>
      <c r="RY1127" s="31"/>
      <c r="RZ1127" s="31"/>
      <c r="SA1127" s="31"/>
      <c r="SB1127" s="31"/>
      <c r="SC1127" s="31"/>
      <c r="SD1127" s="31"/>
      <c r="SE1127" s="31"/>
      <c r="SF1127" s="31"/>
      <c r="SG1127" s="31"/>
      <c r="SH1127" s="31"/>
      <c r="SI1127" s="31"/>
      <c r="SJ1127" s="31"/>
      <c r="SK1127" s="31"/>
      <c r="SL1127" s="31"/>
      <c r="SM1127" s="31"/>
      <c r="SN1127" s="31"/>
      <c r="SO1127" s="31"/>
      <c r="SP1127" s="31"/>
      <c r="SQ1127" s="31"/>
      <c r="SR1127" s="31"/>
      <c r="SS1127" s="31"/>
      <c r="ST1127" s="31"/>
      <c r="SU1127" s="31"/>
      <c r="SV1127" s="31"/>
      <c r="SW1127" s="31"/>
      <c r="SX1127" s="31"/>
      <c r="SY1127" s="31"/>
      <c r="SZ1127" s="31"/>
      <c r="TA1127" s="31"/>
      <c r="TB1127" s="31"/>
      <c r="TC1127" s="31"/>
      <c r="TD1127" s="31"/>
      <c r="TE1127" s="31"/>
      <c r="TF1127" s="31"/>
      <c r="TG1127" s="31"/>
      <c r="TH1127" s="31"/>
      <c r="TI1127" s="31"/>
      <c r="TJ1127" s="31"/>
      <c r="TK1127" s="31"/>
      <c r="TL1127" s="31"/>
      <c r="TM1127" s="31"/>
      <c r="TN1127" s="31"/>
      <c r="TO1127" s="31"/>
      <c r="TP1127" s="31"/>
      <c r="TQ1127" s="31"/>
      <c r="TR1127" s="31"/>
      <c r="TS1127" s="31"/>
      <c r="TT1127" s="31"/>
      <c r="TU1127" s="31"/>
      <c r="TV1127" s="31"/>
      <c r="TW1127" s="31"/>
      <c r="TX1127" s="31"/>
      <c r="TY1127" s="31"/>
      <c r="TZ1127" s="31"/>
      <c r="UA1127" s="31"/>
      <c r="UB1127" s="31"/>
      <c r="UC1127" s="31"/>
      <c r="UD1127" s="31"/>
      <c r="UE1127" s="31"/>
      <c r="UF1127" s="31"/>
      <c r="UG1127" s="33"/>
    </row>
    <row r="1128" spans="1:553" ht="42" customHeight="1">
      <c r="A1128" s="356"/>
      <c r="B1128" s="385">
        <v>152</v>
      </c>
      <c r="C1128" s="1403" t="s">
        <v>655</v>
      </c>
      <c r="D1128" s="1389"/>
      <c r="E1128" s="1389"/>
      <c r="F1128" s="1390"/>
      <c r="G1128" s="386" t="s">
        <v>33</v>
      </c>
      <c r="H1128" s="370"/>
      <c r="I1128" s="422">
        <f>3.5*2.5</f>
        <v>8.75</v>
      </c>
      <c r="J1128" s="477">
        <v>1000000</v>
      </c>
      <c r="K1128" s="388"/>
      <c r="L1128" s="391">
        <f t="shared" si="167"/>
        <v>8750000</v>
      </c>
      <c r="M1128" s="395"/>
      <c r="N1128" s="395"/>
      <c r="O1128" s="366"/>
      <c r="P1128" s="396"/>
      <c r="Q1128" s="473"/>
      <c r="R1128" s="1039"/>
      <c r="S1128" s="308"/>
      <c r="T1128" s="308"/>
      <c r="U1128" s="308"/>
      <c r="V1128" s="308"/>
      <c r="W1128" s="308"/>
      <c r="X1128" s="308"/>
      <c r="Y1128" s="308"/>
      <c r="Z1128" s="604"/>
      <c r="AA1128" s="308"/>
      <c r="AB1128" s="308"/>
      <c r="AC1128" s="449"/>
      <c r="AD1128" s="449"/>
      <c r="AE1128" s="449"/>
      <c r="AF1128" s="449"/>
      <c r="AG1128" s="452"/>
      <c r="AH1128" s="452"/>
      <c r="AI1128" s="452"/>
      <c r="AJ1128" s="452"/>
      <c r="AK1128" s="452"/>
      <c r="AL1128" s="104"/>
      <c r="AM1128" s="32"/>
      <c r="AN1128" s="32"/>
      <c r="AO1128" s="32"/>
      <c r="AP1128" s="32"/>
      <c r="AQ1128" s="31"/>
      <c r="AR1128" s="31"/>
      <c r="AS1128" s="31"/>
      <c r="AT1128" s="31"/>
      <c r="AU1128" s="31"/>
      <c r="AV1128" s="31"/>
      <c r="AW1128" s="31"/>
      <c r="AX1128" s="31"/>
      <c r="AY1128" s="31"/>
      <c r="AZ1128" s="31"/>
      <c r="BA1128" s="31"/>
      <c r="BB1128" s="31"/>
      <c r="BC1128" s="31"/>
      <c r="BD1128" s="31"/>
      <c r="BE1128" s="31"/>
      <c r="BF1128" s="31"/>
      <c r="BG1128" s="31"/>
      <c r="BH1128" s="31"/>
      <c r="BI1128" s="31"/>
      <c r="BJ1128" s="31"/>
      <c r="BK1128" s="31"/>
      <c r="BL1128" s="31"/>
      <c r="BM1128" s="31"/>
      <c r="BN1128" s="31"/>
      <c r="BO1128" s="31"/>
      <c r="BP1128" s="31"/>
      <c r="BQ1128" s="31"/>
      <c r="BR1128" s="31"/>
      <c r="BS1128" s="31"/>
      <c r="BT1128" s="31"/>
      <c r="BU1128" s="31"/>
      <c r="BV1128" s="31"/>
      <c r="BW1128" s="31"/>
      <c r="BX1128" s="31"/>
      <c r="BY1128" s="31"/>
      <c r="BZ1128" s="31"/>
      <c r="CA1128" s="31"/>
      <c r="CB1128" s="31"/>
      <c r="CC1128" s="31"/>
      <c r="CD1128" s="31"/>
      <c r="CE1128" s="31"/>
      <c r="CF1128" s="31"/>
      <c r="CG1128" s="31"/>
      <c r="CH1128" s="31"/>
      <c r="CI1128" s="31"/>
      <c r="CJ1128" s="31"/>
      <c r="CK1128" s="31"/>
      <c r="CL1128" s="31"/>
      <c r="CM1128" s="31"/>
      <c r="CN1128" s="31"/>
      <c r="CO1128" s="31"/>
      <c r="CP1128" s="31"/>
      <c r="CQ1128" s="31"/>
      <c r="CR1128" s="31"/>
      <c r="CS1128" s="31"/>
      <c r="CT1128" s="31"/>
      <c r="CU1128" s="31"/>
      <c r="CV1128" s="31"/>
      <c r="CW1128" s="31"/>
      <c r="CX1128" s="31"/>
      <c r="CY1128" s="31"/>
      <c r="CZ1128" s="31"/>
      <c r="DA1128" s="31"/>
      <c r="DB1128" s="31"/>
      <c r="DC1128" s="31"/>
      <c r="DD1128" s="31"/>
      <c r="DE1128" s="31"/>
      <c r="DF1128" s="31"/>
      <c r="DG1128" s="31"/>
      <c r="DH1128" s="31"/>
      <c r="DI1128" s="31"/>
      <c r="DJ1128" s="31"/>
      <c r="DK1128" s="31"/>
      <c r="DL1128" s="31"/>
      <c r="DM1128" s="31"/>
      <c r="DN1128" s="31"/>
      <c r="DO1128" s="31"/>
      <c r="DP1128" s="31"/>
      <c r="DQ1128" s="31"/>
      <c r="DR1128" s="31"/>
      <c r="DS1128" s="31"/>
      <c r="DT1128" s="31"/>
      <c r="DU1128" s="31"/>
      <c r="DV1128" s="31"/>
      <c r="DW1128" s="31"/>
      <c r="DX1128" s="31"/>
      <c r="DY1128" s="31"/>
      <c r="DZ1128" s="31"/>
      <c r="EA1128" s="31"/>
      <c r="EB1128" s="31"/>
      <c r="EC1128" s="31"/>
      <c r="ED1128" s="31"/>
      <c r="EE1128" s="31"/>
      <c r="EF1128" s="31"/>
      <c r="EG1128" s="31"/>
      <c r="EH1128" s="31"/>
      <c r="EI1128" s="31"/>
      <c r="EJ1128" s="31"/>
      <c r="EK1128" s="31"/>
      <c r="EL1128" s="31"/>
      <c r="EM1128" s="31"/>
      <c r="EN1128" s="31"/>
      <c r="EO1128" s="31"/>
      <c r="EP1128" s="31"/>
      <c r="EQ1128" s="31"/>
      <c r="ER1128" s="31"/>
      <c r="ES1128" s="31"/>
      <c r="ET1128" s="31"/>
      <c r="EU1128" s="31"/>
      <c r="EV1128" s="31"/>
      <c r="EW1128" s="31"/>
      <c r="EX1128" s="31"/>
      <c r="EY1128" s="31"/>
      <c r="EZ1128" s="31"/>
      <c r="FA1128" s="31"/>
      <c r="FB1128" s="31"/>
      <c r="FC1128" s="31"/>
      <c r="FD1128" s="31"/>
      <c r="FE1128" s="31"/>
      <c r="FF1128" s="31"/>
      <c r="FG1128" s="31"/>
      <c r="FH1128" s="31"/>
      <c r="FI1128" s="31"/>
      <c r="FJ1128" s="31"/>
      <c r="FK1128" s="31"/>
      <c r="FL1128" s="31"/>
      <c r="FM1128" s="31"/>
      <c r="FN1128" s="31"/>
      <c r="FO1128" s="31"/>
      <c r="FP1128" s="31"/>
      <c r="FQ1128" s="31"/>
      <c r="FR1128" s="31"/>
      <c r="FS1128" s="31"/>
      <c r="FT1128" s="31"/>
      <c r="FU1128" s="31"/>
      <c r="FV1128" s="31"/>
      <c r="FW1128" s="31"/>
      <c r="FX1128" s="31"/>
      <c r="FY1128" s="31"/>
      <c r="FZ1128" s="31"/>
      <c r="GA1128" s="31"/>
      <c r="GB1128" s="31"/>
      <c r="GC1128" s="31"/>
      <c r="GD1128" s="31"/>
      <c r="GE1128" s="31"/>
      <c r="GF1128" s="31"/>
      <c r="GG1128" s="31"/>
      <c r="GH1128" s="31"/>
      <c r="GI1128" s="31"/>
      <c r="GJ1128" s="31"/>
      <c r="GK1128" s="31"/>
      <c r="GL1128" s="31"/>
      <c r="GM1128" s="31"/>
      <c r="GN1128" s="31"/>
      <c r="GO1128" s="31"/>
      <c r="GP1128" s="31"/>
      <c r="GQ1128" s="31"/>
      <c r="GR1128" s="31"/>
      <c r="GS1128" s="31"/>
      <c r="GT1128" s="31"/>
      <c r="GU1128" s="31"/>
      <c r="GV1128" s="31"/>
      <c r="GW1128" s="31"/>
      <c r="GX1128" s="31"/>
      <c r="GY1128" s="31"/>
      <c r="GZ1128" s="31"/>
      <c r="HA1128" s="31"/>
      <c r="HB1128" s="31"/>
      <c r="HC1128" s="31"/>
      <c r="HD1128" s="31"/>
      <c r="HE1128" s="31"/>
      <c r="HF1128" s="31"/>
      <c r="HG1128" s="31"/>
      <c r="HH1128" s="31"/>
      <c r="HI1128" s="31"/>
      <c r="HJ1128" s="31"/>
      <c r="HK1128" s="31"/>
      <c r="HL1128" s="31"/>
      <c r="HM1128" s="31"/>
      <c r="HN1128" s="31"/>
      <c r="HO1128" s="31"/>
      <c r="HP1128" s="31"/>
      <c r="HQ1128" s="31"/>
      <c r="HR1128" s="31"/>
      <c r="HS1128" s="31"/>
      <c r="HT1128" s="31"/>
      <c r="HU1128" s="31"/>
      <c r="HV1128" s="31"/>
      <c r="HW1128" s="31"/>
      <c r="HX1128" s="31"/>
      <c r="HY1128" s="31"/>
      <c r="HZ1128" s="31"/>
      <c r="IA1128" s="31"/>
      <c r="IB1128" s="31"/>
      <c r="IC1128" s="31"/>
      <c r="ID1128" s="31"/>
      <c r="IE1128" s="31"/>
      <c r="IF1128" s="31"/>
      <c r="IG1128" s="31"/>
      <c r="IH1128" s="31"/>
      <c r="II1128" s="31"/>
      <c r="IJ1128" s="31"/>
      <c r="IK1128" s="31"/>
      <c r="IL1128" s="31"/>
      <c r="IM1128" s="31"/>
      <c r="IN1128" s="31"/>
      <c r="IO1128" s="31"/>
      <c r="IP1128" s="31"/>
      <c r="IQ1128" s="31"/>
      <c r="IR1128" s="31"/>
      <c r="IS1128" s="31"/>
      <c r="IT1128" s="31"/>
      <c r="IU1128" s="31"/>
      <c r="IV1128" s="31"/>
      <c r="IW1128" s="31"/>
      <c r="IX1128" s="31"/>
      <c r="IY1128" s="31"/>
      <c r="IZ1128" s="31"/>
      <c r="JA1128" s="31"/>
      <c r="JB1128" s="31"/>
      <c r="JC1128" s="31"/>
      <c r="JD1128" s="31"/>
      <c r="JE1128" s="31"/>
      <c r="JF1128" s="31"/>
      <c r="JG1128" s="31"/>
      <c r="JH1128" s="31"/>
      <c r="JI1128" s="31"/>
      <c r="JJ1128" s="31"/>
      <c r="JK1128" s="31"/>
      <c r="JL1128" s="31"/>
      <c r="JM1128" s="31"/>
      <c r="JN1128" s="31"/>
      <c r="JO1128" s="31"/>
      <c r="JP1128" s="31"/>
      <c r="JQ1128" s="31"/>
      <c r="JR1128" s="31"/>
      <c r="JS1128" s="31"/>
      <c r="JT1128" s="31"/>
      <c r="JU1128" s="31"/>
      <c r="JV1128" s="31"/>
      <c r="JW1128" s="31"/>
      <c r="JX1128" s="31"/>
      <c r="JY1128" s="31"/>
      <c r="JZ1128" s="31"/>
      <c r="KA1128" s="31"/>
      <c r="KB1128" s="31"/>
      <c r="KC1128" s="31"/>
      <c r="KD1128" s="31"/>
      <c r="KE1128" s="31"/>
      <c r="KF1128" s="31"/>
      <c r="KG1128" s="31"/>
      <c r="KH1128" s="31"/>
      <c r="KI1128" s="31"/>
      <c r="KJ1128" s="31"/>
      <c r="KK1128" s="31"/>
      <c r="KL1128" s="31"/>
      <c r="KM1128" s="31"/>
      <c r="KN1128" s="31"/>
      <c r="KO1128" s="31"/>
      <c r="KP1128" s="31"/>
      <c r="KQ1128" s="31"/>
      <c r="KR1128" s="31"/>
      <c r="KS1128" s="31"/>
      <c r="KT1128" s="31"/>
      <c r="KU1128" s="31"/>
      <c r="KV1128" s="31"/>
      <c r="KW1128" s="31"/>
      <c r="KX1128" s="31"/>
      <c r="KY1128" s="31"/>
      <c r="KZ1128" s="31"/>
      <c r="LA1128" s="31"/>
      <c r="LB1128" s="31"/>
      <c r="LC1128" s="31"/>
      <c r="LD1128" s="31"/>
      <c r="LE1128" s="31"/>
      <c r="LF1128" s="31"/>
      <c r="LG1128" s="31"/>
      <c r="LH1128" s="31"/>
      <c r="LI1128" s="31"/>
      <c r="LJ1128" s="31"/>
      <c r="LK1128" s="31"/>
      <c r="LL1128" s="31"/>
      <c r="LM1128" s="31"/>
      <c r="LN1128" s="31"/>
      <c r="LO1128" s="31"/>
      <c r="LP1128" s="31"/>
      <c r="LQ1128" s="31"/>
      <c r="LR1128" s="31"/>
      <c r="LS1128" s="31"/>
      <c r="LT1128" s="31"/>
      <c r="LU1128" s="31"/>
      <c r="LV1128" s="31"/>
      <c r="LW1128" s="31"/>
      <c r="LX1128" s="31"/>
      <c r="LY1128" s="31"/>
      <c r="LZ1128" s="31"/>
      <c r="MA1128" s="31"/>
      <c r="MB1128" s="31"/>
      <c r="MC1128" s="31"/>
      <c r="MD1128" s="31"/>
      <c r="ME1128" s="31"/>
      <c r="MF1128" s="31"/>
      <c r="MG1128" s="31"/>
      <c r="MH1128" s="31"/>
      <c r="MI1128" s="31"/>
      <c r="MJ1128" s="31"/>
      <c r="MK1128" s="31"/>
      <c r="ML1128" s="31"/>
      <c r="MM1128" s="31"/>
      <c r="MN1128" s="31"/>
      <c r="MO1128" s="31"/>
      <c r="MP1128" s="31"/>
      <c r="MQ1128" s="31"/>
      <c r="MR1128" s="31"/>
      <c r="MS1128" s="31"/>
      <c r="MT1128" s="31"/>
      <c r="MU1128" s="31"/>
      <c r="MV1128" s="31"/>
      <c r="MW1128" s="31"/>
      <c r="MX1128" s="31"/>
      <c r="MY1128" s="31"/>
      <c r="MZ1128" s="31"/>
      <c r="NA1128" s="31"/>
      <c r="NB1128" s="31"/>
      <c r="NC1128" s="31"/>
      <c r="ND1128" s="31"/>
      <c r="NE1128" s="31"/>
      <c r="NF1128" s="31"/>
      <c r="NG1128" s="31"/>
      <c r="NH1128" s="31"/>
      <c r="NI1128" s="31"/>
      <c r="NJ1128" s="31"/>
      <c r="NK1128" s="31"/>
      <c r="NL1128" s="31"/>
      <c r="NM1128" s="31"/>
      <c r="NN1128" s="31"/>
      <c r="NO1128" s="31"/>
      <c r="NP1128" s="31"/>
      <c r="NQ1128" s="31"/>
      <c r="NR1128" s="31"/>
      <c r="NS1128" s="31"/>
      <c r="NT1128" s="31"/>
      <c r="NU1128" s="31"/>
      <c r="NV1128" s="31"/>
      <c r="NW1128" s="31"/>
      <c r="NX1128" s="31"/>
      <c r="NY1128" s="31"/>
      <c r="NZ1128" s="31"/>
      <c r="OA1128" s="31"/>
      <c r="OB1128" s="31"/>
      <c r="OC1128" s="31"/>
      <c r="OD1128" s="31"/>
      <c r="OE1128" s="31"/>
      <c r="OF1128" s="31"/>
      <c r="OG1128" s="31"/>
      <c r="OH1128" s="31"/>
      <c r="OI1128" s="31"/>
      <c r="OJ1128" s="31"/>
      <c r="OK1128" s="31"/>
      <c r="OL1128" s="31"/>
      <c r="OM1128" s="31"/>
      <c r="ON1128" s="31"/>
      <c r="OO1128" s="31"/>
      <c r="OP1128" s="31"/>
      <c r="OQ1128" s="31"/>
      <c r="OR1128" s="31"/>
      <c r="OS1128" s="31"/>
      <c r="OT1128" s="31"/>
      <c r="OU1128" s="31"/>
      <c r="OV1128" s="31"/>
      <c r="OW1128" s="31"/>
      <c r="OX1128" s="31"/>
      <c r="OY1128" s="31"/>
      <c r="OZ1128" s="31"/>
      <c r="PA1128" s="31"/>
      <c r="PB1128" s="31"/>
      <c r="PC1128" s="31"/>
      <c r="PD1128" s="31"/>
      <c r="PE1128" s="31"/>
      <c r="PF1128" s="31"/>
      <c r="PG1128" s="31"/>
      <c r="PH1128" s="31"/>
      <c r="PI1128" s="31"/>
      <c r="PJ1128" s="31"/>
      <c r="PK1128" s="31"/>
      <c r="PL1128" s="31"/>
      <c r="PM1128" s="31"/>
      <c r="PN1128" s="31"/>
      <c r="PO1128" s="31"/>
      <c r="PP1128" s="31"/>
      <c r="PQ1128" s="31"/>
      <c r="PR1128" s="31"/>
      <c r="PS1128" s="31"/>
      <c r="PT1128" s="31"/>
      <c r="PU1128" s="31"/>
      <c r="PV1128" s="31"/>
      <c r="PW1128" s="31"/>
      <c r="PX1128" s="31"/>
      <c r="PY1128" s="31"/>
      <c r="PZ1128" s="31"/>
      <c r="QA1128" s="31"/>
      <c r="QB1128" s="31"/>
      <c r="QC1128" s="31"/>
      <c r="QD1128" s="31"/>
      <c r="QE1128" s="31"/>
      <c r="QF1128" s="31"/>
      <c r="QG1128" s="31"/>
      <c r="QH1128" s="31"/>
      <c r="QI1128" s="31"/>
      <c r="QJ1128" s="31"/>
      <c r="QK1128" s="31"/>
      <c r="QL1128" s="31"/>
      <c r="QM1128" s="31"/>
      <c r="QN1128" s="31"/>
      <c r="QO1128" s="31"/>
      <c r="QP1128" s="31"/>
      <c r="QQ1128" s="31"/>
      <c r="QR1128" s="31"/>
      <c r="QS1128" s="31"/>
      <c r="QT1128" s="31"/>
      <c r="QU1128" s="31"/>
      <c r="QV1128" s="31"/>
      <c r="QW1128" s="31"/>
      <c r="QX1128" s="31"/>
      <c r="QY1128" s="31"/>
      <c r="QZ1128" s="31"/>
      <c r="RA1128" s="31"/>
      <c r="RB1128" s="31"/>
      <c r="RC1128" s="31"/>
      <c r="RD1128" s="31"/>
      <c r="RE1128" s="31"/>
      <c r="RF1128" s="31"/>
      <c r="RG1128" s="31"/>
      <c r="RH1128" s="31"/>
      <c r="RI1128" s="31"/>
      <c r="RJ1128" s="31"/>
      <c r="RK1128" s="31"/>
      <c r="RL1128" s="31"/>
      <c r="RM1128" s="31"/>
      <c r="RN1128" s="31"/>
      <c r="RO1128" s="31"/>
      <c r="RP1128" s="31"/>
      <c r="RQ1128" s="31"/>
      <c r="RR1128" s="31"/>
      <c r="RS1128" s="31"/>
      <c r="RT1128" s="31"/>
      <c r="RU1128" s="31"/>
      <c r="RV1128" s="31"/>
      <c r="RW1128" s="31"/>
      <c r="RX1128" s="31"/>
      <c r="RY1128" s="31"/>
      <c r="RZ1128" s="31"/>
      <c r="SA1128" s="31"/>
      <c r="SB1128" s="31"/>
      <c r="SC1128" s="31"/>
      <c r="SD1128" s="31"/>
      <c r="SE1128" s="31"/>
      <c r="SF1128" s="31"/>
      <c r="SG1128" s="31"/>
      <c r="SH1128" s="31"/>
      <c r="SI1128" s="31"/>
      <c r="SJ1128" s="31"/>
      <c r="SK1128" s="31"/>
      <c r="SL1128" s="31"/>
      <c r="SM1128" s="31"/>
      <c r="SN1128" s="31"/>
      <c r="SO1128" s="31"/>
      <c r="SP1128" s="31"/>
      <c r="SQ1128" s="31"/>
      <c r="SR1128" s="31"/>
      <c r="SS1128" s="31"/>
      <c r="ST1128" s="31"/>
      <c r="SU1128" s="31"/>
      <c r="SV1128" s="31"/>
      <c r="SW1128" s="31"/>
      <c r="SX1128" s="31"/>
      <c r="SY1128" s="31"/>
      <c r="SZ1128" s="31"/>
      <c r="TA1128" s="31"/>
      <c r="TB1128" s="31"/>
      <c r="TC1128" s="31"/>
      <c r="TD1128" s="31"/>
      <c r="TE1128" s="31"/>
      <c r="TF1128" s="31"/>
      <c r="TG1128" s="31"/>
      <c r="TH1128" s="31"/>
      <c r="TI1128" s="31"/>
      <c r="TJ1128" s="31"/>
      <c r="TK1128" s="31"/>
      <c r="TL1128" s="31"/>
      <c r="TM1128" s="31"/>
      <c r="TN1128" s="31"/>
      <c r="TO1128" s="31"/>
      <c r="TP1128" s="31"/>
      <c r="TQ1128" s="31"/>
      <c r="TR1128" s="31"/>
      <c r="TS1128" s="31"/>
      <c r="TT1128" s="31"/>
      <c r="TU1128" s="31"/>
      <c r="TV1128" s="31"/>
      <c r="TW1128" s="31"/>
      <c r="TX1128" s="31"/>
      <c r="TY1128" s="31"/>
      <c r="TZ1128" s="31"/>
      <c r="UA1128" s="31"/>
      <c r="UB1128" s="31"/>
      <c r="UC1128" s="31"/>
      <c r="UD1128" s="31"/>
      <c r="UE1128" s="31"/>
      <c r="UF1128" s="31"/>
      <c r="UG1128" s="33"/>
    </row>
    <row r="1129" spans="1:553" ht="66.75" customHeight="1">
      <c r="A1129" s="356"/>
      <c r="B1129" s="385">
        <v>153</v>
      </c>
      <c r="C1129" s="1403" t="s">
        <v>1015</v>
      </c>
      <c r="D1129" s="1389"/>
      <c r="E1129" s="1389"/>
      <c r="F1129" s="1390"/>
      <c r="G1129" s="386" t="s">
        <v>34</v>
      </c>
      <c r="H1129" s="370"/>
      <c r="I1129" s="422">
        <f>2*1.2*1.6</f>
        <v>3.84</v>
      </c>
      <c r="J1129" s="477">
        <v>2943200</v>
      </c>
      <c r="K1129" s="388"/>
      <c r="L1129" s="391">
        <f t="shared" si="167"/>
        <v>11301888</v>
      </c>
      <c r="M1129" s="395"/>
      <c r="N1129" s="395"/>
      <c r="O1129" s="366"/>
      <c r="P1129" s="396"/>
      <c r="Q1129" s="473"/>
      <c r="R1129" s="1039"/>
      <c r="S1129" s="308"/>
      <c r="T1129" s="308"/>
      <c r="U1129" s="308"/>
      <c r="V1129" s="308"/>
      <c r="W1129" s="308"/>
      <c r="X1129" s="308"/>
      <c r="Y1129" s="308"/>
      <c r="Z1129" s="604"/>
      <c r="AA1129" s="308"/>
      <c r="AB1129" s="308"/>
      <c r="AC1129" s="449"/>
      <c r="AD1129" s="449"/>
      <c r="AE1129" s="449"/>
      <c r="AF1129" s="449"/>
      <c r="AG1129" s="452"/>
      <c r="AH1129" s="452"/>
      <c r="AI1129" s="452"/>
      <c r="AJ1129" s="452"/>
      <c r="AK1129" s="452"/>
      <c r="AL1129" s="104"/>
      <c r="AM1129" s="32"/>
      <c r="AN1129" s="32"/>
      <c r="AO1129" s="32"/>
      <c r="AP1129" s="32"/>
      <c r="AQ1129" s="31"/>
      <c r="AR1129" s="31"/>
      <c r="AS1129" s="31"/>
      <c r="AT1129" s="31"/>
      <c r="AU1129" s="31"/>
      <c r="AV1129" s="31"/>
      <c r="AW1129" s="31"/>
      <c r="AX1129" s="31"/>
      <c r="AY1129" s="31"/>
      <c r="AZ1129" s="31"/>
      <c r="BA1129" s="31"/>
      <c r="BB1129" s="31"/>
      <c r="BC1129" s="31"/>
      <c r="BD1129" s="31"/>
      <c r="BE1129" s="31"/>
      <c r="BF1129" s="31"/>
      <c r="BG1129" s="31"/>
      <c r="BH1129" s="31"/>
      <c r="BI1129" s="31"/>
      <c r="BJ1129" s="31"/>
      <c r="BK1129" s="31"/>
      <c r="BL1129" s="31"/>
      <c r="BM1129" s="31"/>
      <c r="BN1129" s="31"/>
      <c r="BO1129" s="31"/>
      <c r="BP1129" s="31"/>
      <c r="BQ1129" s="31"/>
      <c r="BR1129" s="31"/>
      <c r="BS1129" s="31"/>
      <c r="BT1129" s="31"/>
      <c r="BU1129" s="31"/>
      <c r="BV1129" s="31"/>
      <c r="BW1129" s="31"/>
      <c r="BX1129" s="31"/>
      <c r="BY1129" s="31"/>
      <c r="BZ1129" s="31"/>
      <c r="CA1129" s="31"/>
      <c r="CB1129" s="31"/>
      <c r="CC1129" s="31"/>
      <c r="CD1129" s="31"/>
      <c r="CE1129" s="31"/>
      <c r="CF1129" s="31"/>
      <c r="CG1129" s="31"/>
      <c r="CH1129" s="31"/>
      <c r="CI1129" s="31"/>
      <c r="CJ1129" s="31"/>
      <c r="CK1129" s="31"/>
      <c r="CL1129" s="31"/>
      <c r="CM1129" s="31"/>
      <c r="CN1129" s="31"/>
      <c r="CO1129" s="31"/>
      <c r="CP1129" s="31"/>
      <c r="CQ1129" s="31"/>
      <c r="CR1129" s="31"/>
      <c r="CS1129" s="31"/>
      <c r="CT1129" s="31"/>
      <c r="CU1129" s="31"/>
      <c r="CV1129" s="31"/>
      <c r="CW1129" s="31"/>
      <c r="CX1129" s="31"/>
      <c r="CY1129" s="31"/>
      <c r="CZ1129" s="31"/>
      <c r="DA1129" s="31"/>
      <c r="DB1129" s="31"/>
      <c r="DC1129" s="31"/>
      <c r="DD1129" s="31"/>
      <c r="DE1129" s="31"/>
      <c r="DF1129" s="31"/>
      <c r="DG1129" s="31"/>
      <c r="DH1129" s="31"/>
      <c r="DI1129" s="31"/>
      <c r="DJ1129" s="31"/>
      <c r="DK1129" s="31"/>
      <c r="DL1129" s="31"/>
      <c r="DM1129" s="31"/>
      <c r="DN1129" s="31"/>
      <c r="DO1129" s="31"/>
      <c r="DP1129" s="31"/>
      <c r="DQ1129" s="31"/>
      <c r="DR1129" s="31"/>
      <c r="DS1129" s="31"/>
      <c r="DT1129" s="31"/>
      <c r="DU1129" s="31"/>
      <c r="DV1129" s="31"/>
      <c r="DW1129" s="31"/>
      <c r="DX1129" s="31"/>
      <c r="DY1129" s="31"/>
      <c r="DZ1129" s="31"/>
      <c r="EA1129" s="31"/>
      <c r="EB1129" s="31"/>
      <c r="EC1129" s="31"/>
      <c r="ED1129" s="31"/>
      <c r="EE1129" s="31"/>
      <c r="EF1129" s="31"/>
      <c r="EG1129" s="31"/>
      <c r="EH1129" s="31"/>
      <c r="EI1129" s="31"/>
      <c r="EJ1129" s="31"/>
      <c r="EK1129" s="31"/>
      <c r="EL1129" s="31"/>
      <c r="EM1129" s="31"/>
      <c r="EN1129" s="31"/>
      <c r="EO1129" s="31"/>
      <c r="EP1129" s="31"/>
      <c r="EQ1129" s="31"/>
      <c r="ER1129" s="31"/>
      <c r="ES1129" s="31"/>
      <c r="ET1129" s="31"/>
      <c r="EU1129" s="31"/>
      <c r="EV1129" s="31"/>
      <c r="EW1129" s="31"/>
      <c r="EX1129" s="31"/>
      <c r="EY1129" s="31"/>
      <c r="EZ1129" s="31"/>
      <c r="FA1129" s="31"/>
      <c r="FB1129" s="31"/>
      <c r="FC1129" s="31"/>
      <c r="FD1129" s="31"/>
      <c r="FE1129" s="31"/>
      <c r="FF1129" s="31"/>
      <c r="FG1129" s="31"/>
      <c r="FH1129" s="31"/>
      <c r="FI1129" s="31"/>
      <c r="FJ1129" s="31"/>
      <c r="FK1129" s="31"/>
      <c r="FL1129" s="31"/>
      <c r="FM1129" s="31"/>
      <c r="FN1129" s="31"/>
      <c r="FO1129" s="31"/>
      <c r="FP1129" s="31"/>
      <c r="FQ1129" s="31"/>
      <c r="FR1129" s="31"/>
      <c r="FS1129" s="31"/>
      <c r="FT1129" s="31"/>
      <c r="FU1129" s="31"/>
      <c r="FV1129" s="31"/>
      <c r="FW1129" s="31"/>
      <c r="FX1129" s="31"/>
      <c r="FY1129" s="31"/>
      <c r="FZ1129" s="31"/>
      <c r="GA1129" s="31"/>
      <c r="GB1129" s="31"/>
      <c r="GC1129" s="31"/>
      <c r="GD1129" s="31"/>
      <c r="GE1129" s="31"/>
      <c r="GF1129" s="31"/>
      <c r="GG1129" s="31"/>
      <c r="GH1129" s="31"/>
      <c r="GI1129" s="31"/>
      <c r="GJ1129" s="31"/>
      <c r="GK1129" s="31"/>
      <c r="GL1129" s="31"/>
      <c r="GM1129" s="31"/>
      <c r="GN1129" s="31"/>
      <c r="GO1129" s="31"/>
      <c r="GP1129" s="31"/>
      <c r="GQ1129" s="31"/>
      <c r="GR1129" s="31"/>
      <c r="GS1129" s="31"/>
      <c r="GT1129" s="31"/>
      <c r="GU1129" s="31"/>
      <c r="GV1129" s="31"/>
      <c r="GW1129" s="31"/>
      <c r="GX1129" s="31"/>
      <c r="GY1129" s="31"/>
      <c r="GZ1129" s="31"/>
      <c r="HA1129" s="31"/>
      <c r="HB1129" s="31"/>
      <c r="HC1129" s="31"/>
      <c r="HD1129" s="31"/>
      <c r="HE1129" s="31"/>
      <c r="HF1129" s="31"/>
      <c r="HG1129" s="31"/>
      <c r="HH1129" s="31"/>
      <c r="HI1129" s="31"/>
      <c r="HJ1129" s="31"/>
      <c r="HK1129" s="31"/>
      <c r="HL1129" s="31"/>
      <c r="HM1129" s="31"/>
      <c r="HN1129" s="31"/>
      <c r="HO1129" s="31"/>
      <c r="HP1129" s="31"/>
      <c r="HQ1129" s="31"/>
      <c r="HR1129" s="31"/>
      <c r="HS1129" s="31"/>
      <c r="HT1129" s="31"/>
      <c r="HU1129" s="31"/>
      <c r="HV1129" s="31"/>
      <c r="HW1129" s="31"/>
      <c r="HX1129" s="31"/>
      <c r="HY1129" s="31"/>
      <c r="HZ1129" s="31"/>
      <c r="IA1129" s="31"/>
      <c r="IB1129" s="31"/>
      <c r="IC1129" s="31"/>
      <c r="ID1129" s="31"/>
      <c r="IE1129" s="31"/>
      <c r="IF1129" s="31"/>
      <c r="IG1129" s="31"/>
      <c r="IH1129" s="31"/>
      <c r="II1129" s="31"/>
      <c r="IJ1129" s="31"/>
      <c r="IK1129" s="31"/>
      <c r="IL1129" s="31"/>
      <c r="IM1129" s="31"/>
      <c r="IN1129" s="31"/>
      <c r="IO1129" s="31"/>
      <c r="IP1129" s="31"/>
      <c r="IQ1129" s="31"/>
      <c r="IR1129" s="31"/>
      <c r="IS1129" s="31"/>
      <c r="IT1129" s="31"/>
      <c r="IU1129" s="31"/>
      <c r="IV1129" s="31"/>
      <c r="IW1129" s="31"/>
      <c r="IX1129" s="31"/>
      <c r="IY1129" s="31"/>
      <c r="IZ1129" s="31"/>
      <c r="JA1129" s="31"/>
      <c r="JB1129" s="31"/>
      <c r="JC1129" s="31"/>
      <c r="JD1129" s="31"/>
      <c r="JE1129" s="31"/>
      <c r="JF1129" s="31"/>
      <c r="JG1129" s="31"/>
      <c r="JH1129" s="31"/>
      <c r="JI1129" s="31"/>
      <c r="JJ1129" s="31"/>
      <c r="JK1129" s="31"/>
      <c r="JL1129" s="31"/>
      <c r="JM1129" s="31"/>
      <c r="JN1129" s="31"/>
      <c r="JO1129" s="31"/>
      <c r="JP1129" s="31"/>
      <c r="JQ1129" s="31"/>
      <c r="JR1129" s="31"/>
      <c r="JS1129" s="31"/>
      <c r="JT1129" s="31"/>
      <c r="JU1129" s="31"/>
      <c r="JV1129" s="31"/>
      <c r="JW1129" s="31"/>
      <c r="JX1129" s="31"/>
      <c r="JY1129" s="31"/>
      <c r="JZ1129" s="31"/>
      <c r="KA1129" s="31"/>
      <c r="KB1129" s="31"/>
      <c r="KC1129" s="31"/>
      <c r="KD1129" s="31"/>
      <c r="KE1129" s="31"/>
      <c r="KF1129" s="31"/>
      <c r="KG1129" s="31"/>
      <c r="KH1129" s="31"/>
      <c r="KI1129" s="31"/>
      <c r="KJ1129" s="31"/>
      <c r="KK1129" s="31"/>
      <c r="KL1129" s="31"/>
      <c r="KM1129" s="31"/>
      <c r="KN1129" s="31"/>
      <c r="KO1129" s="31"/>
      <c r="KP1129" s="31"/>
      <c r="KQ1129" s="31"/>
      <c r="KR1129" s="31"/>
      <c r="KS1129" s="31"/>
      <c r="KT1129" s="31"/>
      <c r="KU1129" s="31"/>
      <c r="KV1129" s="31"/>
      <c r="KW1129" s="31"/>
      <c r="KX1129" s="31"/>
      <c r="KY1129" s="31"/>
      <c r="KZ1129" s="31"/>
      <c r="LA1129" s="31"/>
      <c r="LB1129" s="31"/>
      <c r="LC1129" s="31"/>
      <c r="LD1129" s="31"/>
      <c r="LE1129" s="31"/>
      <c r="LF1129" s="31"/>
      <c r="LG1129" s="31"/>
      <c r="LH1129" s="31"/>
      <c r="LI1129" s="31"/>
      <c r="LJ1129" s="31"/>
      <c r="LK1129" s="31"/>
      <c r="LL1129" s="31"/>
      <c r="LM1129" s="31"/>
      <c r="LN1129" s="31"/>
      <c r="LO1129" s="31"/>
      <c r="LP1129" s="31"/>
      <c r="LQ1129" s="31"/>
      <c r="LR1129" s="31"/>
      <c r="LS1129" s="31"/>
      <c r="LT1129" s="31"/>
      <c r="LU1129" s="31"/>
      <c r="LV1129" s="31"/>
      <c r="LW1129" s="31"/>
      <c r="LX1129" s="31"/>
      <c r="LY1129" s="31"/>
      <c r="LZ1129" s="31"/>
      <c r="MA1129" s="31"/>
      <c r="MB1129" s="31"/>
      <c r="MC1129" s="31"/>
      <c r="MD1129" s="31"/>
      <c r="ME1129" s="31"/>
      <c r="MF1129" s="31"/>
      <c r="MG1129" s="31"/>
      <c r="MH1129" s="31"/>
      <c r="MI1129" s="31"/>
      <c r="MJ1129" s="31"/>
      <c r="MK1129" s="31"/>
      <c r="ML1129" s="31"/>
      <c r="MM1129" s="31"/>
      <c r="MN1129" s="31"/>
      <c r="MO1129" s="31"/>
      <c r="MP1129" s="31"/>
      <c r="MQ1129" s="31"/>
      <c r="MR1129" s="31"/>
      <c r="MS1129" s="31"/>
      <c r="MT1129" s="31"/>
      <c r="MU1129" s="31"/>
      <c r="MV1129" s="31"/>
      <c r="MW1129" s="31"/>
      <c r="MX1129" s="31"/>
      <c r="MY1129" s="31"/>
      <c r="MZ1129" s="31"/>
      <c r="NA1129" s="31"/>
      <c r="NB1129" s="31"/>
      <c r="NC1129" s="31"/>
      <c r="ND1129" s="31"/>
      <c r="NE1129" s="31"/>
      <c r="NF1129" s="31"/>
      <c r="NG1129" s="31"/>
      <c r="NH1129" s="31"/>
      <c r="NI1129" s="31"/>
      <c r="NJ1129" s="31"/>
      <c r="NK1129" s="31"/>
      <c r="NL1129" s="31"/>
      <c r="NM1129" s="31"/>
      <c r="NN1129" s="31"/>
      <c r="NO1129" s="31"/>
      <c r="NP1129" s="31"/>
      <c r="NQ1129" s="31"/>
      <c r="NR1129" s="31"/>
      <c r="NS1129" s="31"/>
      <c r="NT1129" s="31"/>
      <c r="NU1129" s="31"/>
      <c r="NV1129" s="31"/>
      <c r="NW1129" s="31"/>
      <c r="NX1129" s="31"/>
      <c r="NY1129" s="31"/>
      <c r="NZ1129" s="31"/>
      <c r="OA1129" s="31"/>
      <c r="OB1129" s="31"/>
      <c r="OC1129" s="31"/>
      <c r="OD1129" s="31"/>
      <c r="OE1129" s="31"/>
      <c r="OF1129" s="31"/>
      <c r="OG1129" s="31"/>
      <c r="OH1129" s="31"/>
      <c r="OI1129" s="31"/>
      <c r="OJ1129" s="31"/>
      <c r="OK1129" s="31"/>
      <c r="OL1129" s="31"/>
      <c r="OM1129" s="31"/>
      <c r="ON1129" s="31"/>
      <c r="OO1129" s="31"/>
      <c r="OP1129" s="31"/>
      <c r="OQ1129" s="31"/>
      <c r="OR1129" s="31"/>
      <c r="OS1129" s="31"/>
      <c r="OT1129" s="31"/>
      <c r="OU1129" s="31"/>
      <c r="OV1129" s="31"/>
      <c r="OW1129" s="31"/>
      <c r="OX1129" s="31"/>
      <c r="OY1129" s="31"/>
      <c r="OZ1129" s="31"/>
      <c r="PA1129" s="31"/>
      <c r="PB1129" s="31"/>
      <c r="PC1129" s="31"/>
      <c r="PD1129" s="31"/>
      <c r="PE1129" s="31"/>
      <c r="PF1129" s="31"/>
      <c r="PG1129" s="31"/>
      <c r="PH1129" s="31"/>
      <c r="PI1129" s="31"/>
      <c r="PJ1129" s="31"/>
      <c r="PK1129" s="31"/>
      <c r="PL1129" s="31"/>
      <c r="PM1129" s="31"/>
      <c r="PN1129" s="31"/>
      <c r="PO1129" s="31"/>
      <c r="PP1129" s="31"/>
      <c r="PQ1129" s="31"/>
      <c r="PR1129" s="31"/>
      <c r="PS1129" s="31"/>
      <c r="PT1129" s="31"/>
      <c r="PU1129" s="31"/>
      <c r="PV1129" s="31"/>
      <c r="PW1129" s="31"/>
      <c r="PX1129" s="31"/>
      <c r="PY1129" s="31"/>
      <c r="PZ1129" s="31"/>
      <c r="QA1129" s="31"/>
      <c r="QB1129" s="31"/>
      <c r="QC1129" s="31"/>
      <c r="QD1129" s="31"/>
      <c r="QE1129" s="31"/>
      <c r="QF1129" s="31"/>
      <c r="QG1129" s="31"/>
      <c r="QH1129" s="31"/>
      <c r="QI1129" s="31"/>
      <c r="QJ1129" s="31"/>
      <c r="QK1129" s="31"/>
      <c r="QL1129" s="31"/>
      <c r="QM1129" s="31"/>
      <c r="QN1129" s="31"/>
      <c r="QO1129" s="31"/>
      <c r="QP1129" s="31"/>
      <c r="QQ1129" s="31"/>
      <c r="QR1129" s="31"/>
      <c r="QS1129" s="31"/>
      <c r="QT1129" s="31"/>
      <c r="QU1129" s="31"/>
      <c r="QV1129" s="31"/>
      <c r="QW1129" s="31"/>
      <c r="QX1129" s="31"/>
      <c r="QY1129" s="31"/>
      <c r="QZ1129" s="31"/>
      <c r="RA1129" s="31"/>
      <c r="RB1129" s="31"/>
      <c r="RC1129" s="31"/>
      <c r="RD1129" s="31"/>
      <c r="RE1129" s="31"/>
      <c r="RF1129" s="31"/>
      <c r="RG1129" s="31"/>
      <c r="RH1129" s="31"/>
      <c r="RI1129" s="31"/>
      <c r="RJ1129" s="31"/>
      <c r="RK1129" s="31"/>
      <c r="RL1129" s="31"/>
      <c r="RM1129" s="31"/>
      <c r="RN1129" s="31"/>
      <c r="RO1129" s="31"/>
      <c r="RP1129" s="31"/>
      <c r="RQ1129" s="31"/>
      <c r="RR1129" s="31"/>
      <c r="RS1129" s="31"/>
      <c r="RT1129" s="31"/>
      <c r="RU1129" s="31"/>
      <c r="RV1129" s="31"/>
      <c r="RW1129" s="31"/>
      <c r="RX1129" s="31"/>
      <c r="RY1129" s="31"/>
      <c r="RZ1129" s="31"/>
      <c r="SA1129" s="31"/>
      <c r="SB1129" s="31"/>
      <c r="SC1129" s="31"/>
      <c r="SD1129" s="31"/>
      <c r="SE1129" s="31"/>
      <c r="SF1129" s="31"/>
      <c r="SG1129" s="31"/>
      <c r="SH1129" s="31"/>
      <c r="SI1129" s="31"/>
      <c r="SJ1129" s="31"/>
      <c r="SK1129" s="31"/>
      <c r="SL1129" s="31"/>
      <c r="SM1129" s="31"/>
      <c r="SN1129" s="31"/>
      <c r="SO1129" s="31"/>
      <c r="SP1129" s="31"/>
      <c r="SQ1129" s="31"/>
      <c r="SR1129" s="31"/>
      <c r="SS1129" s="31"/>
      <c r="ST1129" s="31"/>
      <c r="SU1129" s="31"/>
      <c r="SV1129" s="31"/>
      <c r="SW1129" s="31"/>
      <c r="SX1129" s="31"/>
      <c r="SY1129" s="31"/>
      <c r="SZ1129" s="31"/>
      <c r="TA1129" s="31"/>
      <c r="TB1129" s="31"/>
      <c r="TC1129" s="31"/>
      <c r="TD1129" s="31"/>
      <c r="TE1129" s="31"/>
      <c r="TF1129" s="31"/>
      <c r="TG1129" s="31"/>
      <c r="TH1129" s="31"/>
      <c r="TI1129" s="31"/>
      <c r="TJ1129" s="31"/>
      <c r="TK1129" s="31"/>
      <c r="TL1129" s="31"/>
      <c r="TM1129" s="31"/>
      <c r="TN1129" s="31"/>
      <c r="TO1129" s="31"/>
      <c r="TP1129" s="31"/>
      <c r="TQ1129" s="31"/>
      <c r="TR1129" s="31"/>
      <c r="TS1129" s="31"/>
      <c r="TT1129" s="31"/>
      <c r="TU1129" s="31"/>
      <c r="TV1129" s="31"/>
      <c r="TW1129" s="31"/>
      <c r="TX1129" s="31"/>
      <c r="TY1129" s="31"/>
      <c r="TZ1129" s="31"/>
      <c r="UA1129" s="31"/>
      <c r="UB1129" s="31"/>
      <c r="UC1129" s="31"/>
      <c r="UD1129" s="31"/>
      <c r="UE1129" s="31"/>
      <c r="UF1129" s="31"/>
      <c r="UG1129" s="33"/>
    </row>
    <row r="1130" spans="1:553" ht="33.65" customHeight="1">
      <c r="A1130" s="356"/>
      <c r="B1130" s="385" t="s">
        <v>31</v>
      </c>
      <c r="C1130" s="1403" t="s">
        <v>656</v>
      </c>
      <c r="D1130" s="1389"/>
      <c r="E1130" s="1389"/>
      <c r="F1130" s="1390"/>
      <c r="G1130" s="386" t="s">
        <v>34</v>
      </c>
      <c r="H1130" s="370"/>
      <c r="I1130" s="422">
        <f>-(2+1.2)*2*1.6*0.11</f>
        <v>-1.1264000000000003</v>
      </c>
      <c r="J1130" s="477">
        <v>1913917</v>
      </c>
      <c r="K1130" s="388"/>
      <c r="L1130" s="391">
        <f t="shared" si="167"/>
        <v>-2155836.1088000005</v>
      </c>
      <c r="M1130" s="395"/>
      <c r="N1130" s="395"/>
      <c r="O1130" s="366"/>
      <c r="P1130" s="396"/>
      <c r="Q1130" s="473"/>
      <c r="R1130" s="1039"/>
      <c r="S1130" s="308"/>
      <c r="T1130" s="308"/>
      <c r="U1130" s="308"/>
      <c r="V1130" s="308"/>
      <c r="W1130" s="308"/>
      <c r="X1130" s="308"/>
      <c r="Y1130" s="308"/>
      <c r="Z1130" s="604"/>
      <c r="AA1130" s="308"/>
      <c r="AB1130" s="308"/>
      <c r="AC1130" s="449"/>
      <c r="AD1130" s="449"/>
      <c r="AE1130" s="449"/>
      <c r="AF1130" s="449"/>
      <c r="AG1130" s="452"/>
      <c r="AH1130" s="452"/>
      <c r="AI1130" s="452"/>
      <c r="AJ1130" s="452"/>
      <c r="AK1130" s="452"/>
      <c r="AL1130" s="104"/>
      <c r="AM1130" s="32"/>
      <c r="AN1130" s="32"/>
      <c r="AO1130" s="32"/>
      <c r="AP1130" s="32"/>
      <c r="AQ1130" s="31"/>
      <c r="AR1130" s="31"/>
      <c r="AS1130" s="31"/>
      <c r="AT1130" s="31"/>
      <c r="AU1130" s="31"/>
      <c r="AV1130" s="31"/>
      <c r="AW1130" s="31"/>
      <c r="AX1130" s="31"/>
      <c r="AY1130" s="31"/>
      <c r="AZ1130" s="31"/>
      <c r="BA1130" s="31"/>
      <c r="BB1130" s="31"/>
      <c r="BC1130" s="31"/>
      <c r="BD1130" s="31"/>
      <c r="BE1130" s="31"/>
      <c r="BF1130" s="31"/>
      <c r="BG1130" s="31"/>
      <c r="BH1130" s="31"/>
      <c r="BI1130" s="31"/>
      <c r="BJ1130" s="31"/>
      <c r="BK1130" s="31"/>
      <c r="BL1130" s="31"/>
      <c r="BM1130" s="31"/>
      <c r="BN1130" s="31"/>
      <c r="BO1130" s="31"/>
      <c r="BP1130" s="31"/>
      <c r="BQ1130" s="31"/>
      <c r="BR1130" s="31"/>
      <c r="BS1130" s="31"/>
      <c r="BT1130" s="31"/>
      <c r="BU1130" s="31"/>
      <c r="BV1130" s="31"/>
      <c r="BW1130" s="31"/>
      <c r="BX1130" s="31"/>
      <c r="BY1130" s="31"/>
      <c r="BZ1130" s="31"/>
      <c r="CA1130" s="31"/>
      <c r="CB1130" s="31"/>
      <c r="CC1130" s="31"/>
      <c r="CD1130" s="31"/>
      <c r="CE1130" s="31"/>
      <c r="CF1130" s="31"/>
      <c r="CG1130" s="31"/>
      <c r="CH1130" s="31"/>
      <c r="CI1130" s="31"/>
      <c r="CJ1130" s="31"/>
      <c r="CK1130" s="31"/>
      <c r="CL1130" s="31"/>
      <c r="CM1130" s="31"/>
      <c r="CN1130" s="31"/>
      <c r="CO1130" s="31"/>
      <c r="CP1130" s="31"/>
      <c r="CQ1130" s="31"/>
      <c r="CR1130" s="31"/>
      <c r="CS1130" s="31"/>
      <c r="CT1130" s="31"/>
      <c r="CU1130" s="31"/>
      <c r="CV1130" s="31"/>
      <c r="CW1130" s="31"/>
      <c r="CX1130" s="31"/>
      <c r="CY1130" s="31"/>
      <c r="CZ1130" s="31"/>
      <c r="DA1130" s="31"/>
      <c r="DB1130" s="31"/>
      <c r="DC1130" s="31"/>
      <c r="DD1130" s="31"/>
      <c r="DE1130" s="31"/>
      <c r="DF1130" s="31"/>
      <c r="DG1130" s="31"/>
      <c r="DH1130" s="31"/>
      <c r="DI1130" s="31"/>
      <c r="DJ1130" s="31"/>
      <c r="DK1130" s="31"/>
      <c r="DL1130" s="31"/>
      <c r="DM1130" s="31"/>
      <c r="DN1130" s="31"/>
      <c r="DO1130" s="31"/>
      <c r="DP1130" s="31"/>
      <c r="DQ1130" s="31"/>
      <c r="DR1130" s="31"/>
      <c r="DS1130" s="31"/>
      <c r="DT1130" s="31"/>
      <c r="DU1130" s="31"/>
      <c r="DV1130" s="31"/>
      <c r="DW1130" s="31"/>
      <c r="DX1130" s="31"/>
      <c r="DY1130" s="31"/>
      <c r="DZ1130" s="31"/>
      <c r="EA1130" s="31"/>
      <c r="EB1130" s="31"/>
      <c r="EC1130" s="31"/>
      <c r="ED1130" s="31"/>
      <c r="EE1130" s="31"/>
      <c r="EF1130" s="31"/>
      <c r="EG1130" s="31"/>
      <c r="EH1130" s="31"/>
      <c r="EI1130" s="31"/>
      <c r="EJ1130" s="31"/>
      <c r="EK1130" s="31"/>
      <c r="EL1130" s="31"/>
      <c r="EM1130" s="31"/>
      <c r="EN1130" s="31"/>
      <c r="EO1130" s="31"/>
      <c r="EP1130" s="31"/>
      <c r="EQ1130" s="31"/>
      <c r="ER1130" s="31"/>
      <c r="ES1130" s="31"/>
      <c r="ET1130" s="31"/>
      <c r="EU1130" s="31"/>
      <c r="EV1130" s="31"/>
      <c r="EW1130" s="31"/>
      <c r="EX1130" s="31"/>
      <c r="EY1130" s="31"/>
      <c r="EZ1130" s="31"/>
      <c r="FA1130" s="31"/>
      <c r="FB1130" s="31"/>
      <c r="FC1130" s="31"/>
      <c r="FD1130" s="31"/>
      <c r="FE1130" s="31"/>
      <c r="FF1130" s="31"/>
      <c r="FG1130" s="31"/>
      <c r="FH1130" s="31"/>
      <c r="FI1130" s="31"/>
      <c r="FJ1130" s="31"/>
      <c r="FK1130" s="31"/>
      <c r="FL1130" s="31"/>
      <c r="FM1130" s="31"/>
      <c r="FN1130" s="31"/>
      <c r="FO1130" s="31"/>
      <c r="FP1130" s="31"/>
      <c r="FQ1130" s="31"/>
      <c r="FR1130" s="31"/>
      <c r="FS1130" s="31"/>
      <c r="FT1130" s="31"/>
      <c r="FU1130" s="31"/>
      <c r="FV1130" s="31"/>
      <c r="FW1130" s="31"/>
      <c r="FX1130" s="31"/>
      <c r="FY1130" s="31"/>
      <c r="FZ1130" s="31"/>
      <c r="GA1130" s="31"/>
      <c r="GB1130" s="31"/>
      <c r="GC1130" s="31"/>
      <c r="GD1130" s="31"/>
      <c r="GE1130" s="31"/>
      <c r="GF1130" s="31"/>
      <c r="GG1130" s="31"/>
      <c r="GH1130" s="31"/>
      <c r="GI1130" s="31"/>
      <c r="GJ1130" s="31"/>
      <c r="GK1130" s="31"/>
      <c r="GL1130" s="31"/>
      <c r="GM1130" s="31"/>
      <c r="GN1130" s="31"/>
      <c r="GO1130" s="31"/>
      <c r="GP1130" s="31"/>
      <c r="GQ1130" s="31"/>
      <c r="GR1130" s="31"/>
      <c r="GS1130" s="31"/>
      <c r="GT1130" s="31"/>
      <c r="GU1130" s="31"/>
      <c r="GV1130" s="31"/>
      <c r="GW1130" s="31"/>
      <c r="GX1130" s="31"/>
      <c r="GY1130" s="31"/>
      <c r="GZ1130" s="31"/>
      <c r="HA1130" s="31"/>
      <c r="HB1130" s="31"/>
      <c r="HC1130" s="31"/>
      <c r="HD1130" s="31"/>
      <c r="HE1130" s="31"/>
      <c r="HF1130" s="31"/>
      <c r="HG1130" s="31"/>
      <c r="HH1130" s="31"/>
      <c r="HI1130" s="31"/>
      <c r="HJ1130" s="31"/>
      <c r="HK1130" s="31"/>
      <c r="HL1130" s="31"/>
      <c r="HM1130" s="31"/>
      <c r="HN1130" s="31"/>
      <c r="HO1130" s="31"/>
      <c r="HP1130" s="31"/>
      <c r="HQ1130" s="31"/>
      <c r="HR1130" s="31"/>
      <c r="HS1130" s="31"/>
      <c r="HT1130" s="31"/>
      <c r="HU1130" s="31"/>
      <c r="HV1130" s="31"/>
      <c r="HW1130" s="31"/>
      <c r="HX1130" s="31"/>
      <c r="HY1130" s="31"/>
      <c r="HZ1130" s="31"/>
      <c r="IA1130" s="31"/>
      <c r="IB1130" s="31"/>
      <c r="IC1130" s="31"/>
      <c r="ID1130" s="31"/>
      <c r="IE1130" s="31"/>
      <c r="IF1130" s="31"/>
      <c r="IG1130" s="31"/>
      <c r="IH1130" s="31"/>
      <c r="II1130" s="31"/>
      <c r="IJ1130" s="31"/>
      <c r="IK1130" s="31"/>
      <c r="IL1130" s="31"/>
      <c r="IM1130" s="31"/>
      <c r="IN1130" s="31"/>
      <c r="IO1130" s="31"/>
      <c r="IP1130" s="31"/>
      <c r="IQ1130" s="31"/>
      <c r="IR1130" s="31"/>
      <c r="IS1130" s="31"/>
      <c r="IT1130" s="31"/>
      <c r="IU1130" s="31"/>
      <c r="IV1130" s="31"/>
      <c r="IW1130" s="31"/>
      <c r="IX1130" s="31"/>
      <c r="IY1130" s="31"/>
      <c r="IZ1130" s="31"/>
      <c r="JA1130" s="31"/>
      <c r="JB1130" s="31"/>
      <c r="JC1130" s="31"/>
      <c r="JD1130" s="31"/>
      <c r="JE1130" s="31"/>
      <c r="JF1130" s="31"/>
      <c r="JG1130" s="31"/>
      <c r="JH1130" s="31"/>
      <c r="JI1130" s="31"/>
      <c r="JJ1130" s="31"/>
      <c r="JK1130" s="31"/>
      <c r="JL1130" s="31"/>
      <c r="JM1130" s="31"/>
      <c r="JN1130" s="31"/>
      <c r="JO1130" s="31"/>
      <c r="JP1130" s="31"/>
      <c r="JQ1130" s="31"/>
      <c r="JR1130" s="31"/>
      <c r="JS1130" s="31"/>
      <c r="JT1130" s="31"/>
      <c r="JU1130" s="31"/>
      <c r="JV1130" s="31"/>
      <c r="JW1130" s="31"/>
      <c r="JX1130" s="31"/>
      <c r="JY1130" s="31"/>
      <c r="JZ1130" s="31"/>
      <c r="KA1130" s="31"/>
      <c r="KB1130" s="31"/>
      <c r="KC1130" s="31"/>
      <c r="KD1130" s="31"/>
      <c r="KE1130" s="31"/>
      <c r="KF1130" s="31"/>
      <c r="KG1130" s="31"/>
      <c r="KH1130" s="31"/>
      <c r="KI1130" s="31"/>
      <c r="KJ1130" s="31"/>
      <c r="KK1130" s="31"/>
      <c r="KL1130" s="31"/>
      <c r="KM1130" s="31"/>
      <c r="KN1130" s="31"/>
      <c r="KO1130" s="31"/>
      <c r="KP1130" s="31"/>
      <c r="KQ1130" s="31"/>
      <c r="KR1130" s="31"/>
      <c r="KS1130" s="31"/>
      <c r="KT1130" s="31"/>
      <c r="KU1130" s="31"/>
      <c r="KV1130" s="31"/>
      <c r="KW1130" s="31"/>
      <c r="KX1130" s="31"/>
      <c r="KY1130" s="31"/>
      <c r="KZ1130" s="31"/>
      <c r="LA1130" s="31"/>
      <c r="LB1130" s="31"/>
      <c r="LC1130" s="31"/>
      <c r="LD1130" s="31"/>
      <c r="LE1130" s="31"/>
      <c r="LF1130" s="31"/>
      <c r="LG1130" s="31"/>
      <c r="LH1130" s="31"/>
      <c r="LI1130" s="31"/>
      <c r="LJ1130" s="31"/>
      <c r="LK1130" s="31"/>
      <c r="LL1130" s="31"/>
      <c r="LM1130" s="31"/>
      <c r="LN1130" s="31"/>
      <c r="LO1130" s="31"/>
      <c r="LP1130" s="31"/>
      <c r="LQ1130" s="31"/>
      <c r="LR1130" s="31"/>
      <c r="LS1130" s="31"/>
      <c r="LT1130" s="31"/>
      <c r="LU1130" s="31"/>
      <c r="LV1130" s="31"/>
      <c r="LW1130" s="31"/>
      <c r="LX1130" s="31"/>
      <c r="LY1130" s="31"/>
      <c r="LZ1130" s="31"/>
      <c r="MA1130" s="31"/>
      <c r="MB1130" s="31"/>
      <c r="MC1130" s="31"/>
      <c r="MD1130" s="31"/>
      <c r="ME1130" s="31"/>
      <c r="MF1130" s="31"/>
      <c r="MG1130" s="31"/>
      <c r="MH1130" s="31"/>
      <c r="MI1130" s="31"/>
      <c r="MJ1130" s="31"/>
      <c r="MK1130" s="31"/>
      <c r="ML1130" s="31"/>
      <c r="MM1130" s="31"/>
      <c r="MN1130" s="31"/>
      <c r="MO1130" s="31"/>
      <c r="MP1130" s="31"/>
      <c r="MQ1130" s="31"/>
      <c r="MR1130" s="31"/>
      <c r="MS1130" s="31"/>
      <c r="MT1130" s="31"/>
      <c r="MU1130" s="31"/>
      <c r="MV1130" s="31"/>
      <c r="MW1130" s="31"/>
      <c r="MX1130" s="31"/>
      <c r="MY1130" s="31"/>
      <c r="MZ1130" s="31"/>
      <c r="NA1130" s="31"/>
      <c r="NB1130" s="31"/>
      <c r="NC1130" s="31"/>
      <c r="ND1130" s="31"/>
      <c r="NE1130" s="31"/>
      <c r="NF1130" s="31"/>
      <c r="NG1130" s="31"/>
      <c r="NH1130" s="31"/>
      <c r="NI1130" s="31"/>
      <c r="NJ1130" s="31"/>
      <c r="NK1130" s="31"/>
      <c r="NL1130" s="31"/>
      <c r="NM1130" s="31"/>
      <c r="NN1130" s="31"/>
      <c r="NO1130" s="31"/>
      <c r="NP1130" s="31"/>
      <c r="NQ1130" s="31"/>
      <c r="NR1130" s="31"/>
      <c r="NS1130" s="31"/>
      <c r="NT1130" s="31"/>
      <c r="NU1130" s="31"/>
      <c r="NV1130" s="31"/>
      <c r="NW1130" s="31"/>
      <c r="NX1130" s="31"/>
      <c r="NY1130" s="31"/>
      <c r="NZ1130" s="31"/>
      <c r="OA1130" s="31"/>
      <c r="OB1130" s="31"/>
      <c r="OC1130" s="31"/>
      <c r="OD1130" s="31"/>
      <c r="OE1130" s="31"/>
      <c r="OF1130" s="31"/>
      <c r="OG1130" s="31"/>
      <c r="OH1130" s="31"/>
      <c r="OI1130" s="31"/>
      <c r="OJ1130" s="31"/>
      <c r="OK1130" s="31"/>
      <c r="OL1130" s="31"/>
      <c r="OM1130" s="31"/>
      <c r="ON1130" s="31"/>
      <c r="OO1130" s="31"/>
      <c r="OP1130" s="31"/>
      <c r="OQ1130" s="31"/>
      <c r="OR1130" s="31"/>
      <c r="OS1130" s="31"/>
      <c r="OT1130" s="31"/>
      <c r="OU1130" s="31"/>
      <c r="OV1130" s="31"/>
      <c r="OW1130" s="31"/>
      <c r="OX1130" s="31"/>
      <c r="OY1130" s="31"/>
      <c r="OZ1130" s="31"/>
      <c r="PA1130" s="31"/>
      <c r="PB1130" s="31"/>
      <c r="PC1130" s="31"/>
      <c r="PD1130" s="31"/>
      <c r="PE1130" s="31"/>
      <c r="PF1130" s="31"/>
      <c r="PG1130" s="31"/>
      <c r="PH1130" s="31"/>
      <c r="PI1130" s="31"/>
      <c r="PJ1130" s="31"/>
      <c r="PK1130" s="31"/>
      <c r="PL1130" s="31"/>
      <c r="PM1130" s="31"/>
      <c r="PN1130" s="31"/>
      <c r="PO1130" s="31"/>
      <c r="PP1130" s="31"/>
      <c r="PQ1130" s="31"/>
      <c r="PR1130" s="31"/>
      <c r="PS1130" s="31"/>
      <c r="PT1130" s="31"/>
      <c r="PU1130" s="31"/>
      <c r="PV1130" s="31"/>
      <c r="PW1130" s="31"/>
      <c r="PX1130" s="31"/>
      <c r="PY1130" s="31"/>
      <c r="PZ1130" s="31"/>
      <c r="QA1130" s="31"/>
      <c r="QB1130" s="31"/>
      <c r="QC1130" s="31"/>
      <c r="QD1130" s="31"/>
      <c r="QE1130" s="31"/>
      <c r="QF1130" s="31"/>
      <c r="QG1130" s="31"/>
      <c r="QH1130" s="31"/>
      <c r="QI1130" s="31"/>
      <c r="QJ1130" s="31"/>
      <c r="QK1130" s="31"/>
      <c r="QL1130" s="31"/>
      <c r="QM1130" s="31"/>
      <c r="QN1130" s="31"/>
      <c r="QO1130" s="31"/>
      <c r="QP1130" s="31"/>
      <c r="QQ1130" s="31"/>
      <c r="QR1130" s="31"/>
      <c r="QS1130" s="31"/>
      <c r="QT1130" s="31"/>
      <c r="QU1130" s="31"/>
      <c r="QV1130" s="31"/>
      <c r="QW1130" s="31"/>
      <c r="QX1130" s="31"/>
      <c r="QY1130" s="31"/>
      <c r="QZ1130" s="31"/>
      <c r="RA1130" s="31"/>
      <c r="RB1130" s="31"/>
      <c r="RC1130" s="31"/>
      <c r="RD1130" s="31"/>
      <c r="RE1130" s="31"/>
      <c r="RF1130" s="31"/>
      <c r="RG1130" s="31"/>
      <c r="RH1130" s="31"/>
      <c r="RI1130" s="31"/>
      <c r="RJ1130" s="31"/>
      <c r="RK1130" s="31"/>
      <c r="RL1130" s="31"/>
      <c r="RM1130" s="31"/>
      <c r="RN1130" s="31"/>
      <c r="RO1130" s="31"/>
      <c r="RP1130" s="31"/>
      <c r="RQ1130" s="31"/>
      <c r="RR1130" s="31"/>
      <c r="RS1130" s="31"/>
      <c r="RT1130" s="31"/>
      <c r="RU1130" s="31"/>
      <c r="RV1130" s="31"/>
      <c r="RW1130" s="31"/>
      <c r="RX1130" s="31"/>
      <c r="RY1130" s="31"/>
      <c r="RZ1130" s="31"/>
      <c r="SA1130" s="31"/>
      <c r="SB1130" s="31"/>
      <c r="SC1130" s="31"/>
      <c r="SD1130" s="31"/>
      <c r="SE1130" s="31"/>
      <c r="SF1130" s="31"/>
      <c r="SG1130" s="31"/>
      <c r="SH1130" s="31"/>
      <c r="SI1130" s="31"/>
      <c r="SJ1130" s="31"/>
      <c r="SK1130" s="31"/>
      <c r="SL1130" s="31"/>
      <c r="SM1130" s="31"/>
      <c r="SN1130" s="31"/>
      <c r="SO1130" s="31"/>
      <c r="SP1130" s="31"/>
      <c r="SQ1130" s="31"/>
      <c r="SR1130" s="31"/>
      <c r="SS1130" s="31"/>
      <c r="ST1130" s="31"/>
      <c r="SU1130" s="31"/>
      <c r="SV1130" s="31"/>
      <c r="SW1130" s="31"/>
      <c r="SX1130" s="31"/>
      <c r="SY1130" s="31"/>
      <c r="SZ1130" s="31"/>
      <c r="TA1130" s="31"/>
      <c r="TB1130" s="31"/>
      <c r="TC1130" s="31"/>
      <c r="TD1130" s="31"/>
      <c r="TE1130" s="31"/>
      <c r="TF1130" s="31"/>
      <c r="TG1130" s="31"/>
      <c r="TH1130" s="31"/>
      <c r="TI1130" s="31"/>
      <c r="TJ1130" s="31"/>
      <c r="TK1130" s="31"/>
      <c r="TL1130" s="31"/>
      <c r="TM1130" s="31"/>
      <c r="TN1130" s="31"/>
      <c r="TO1130" s="31"/>
      <c r="TP1130" s="31"/>
      <c r="TQ1130" s="31"/>
      <c r="TR1130" s="31"/>
      <c r="TS1130" s="31"/>
      <c r="TT1130" s="31"/>
      <c r="TU1130" s="31"/>
      <c r="TV1130" s="31"/>
      <c r="TW1130" s="31"/>
      <c r="TX1130" s="31"/>
      <c r="TY1130" s="31"/>
      <c r="TZ1130" s="31"/>
      <c r="UA1130" s="31"/>
      <c r="UB1130" s="31"/>
      <c r="UC1130" s="31"/>
      <c r="UD1130" s="31"/>
      <c r="UE1130" s="31"/>
      <c r="UF1130" s="31"/>
      <c r="UG1130" s="33"/>
    </row>
    <row r="1131" spans="1:553" ht="52.5" customHeight="1">
      <c r="A1131" s="356"/>
      <c r="B1131" s="385">
        <v>247</v>
      </c>
      <c r="C1131" s="1403" t="s">
        <v>657</v>
      </c>
      <c r="D1131" s="1389"/>
      <c r="E1131" s="1389"/>
      <c r="F1131" s="1390"/>
      <c r="G1131" s="386" t="s">
        <v>33</v>
      </c>
      <c r="H1131" s="370"/>
      <c r="I1131" s="422">
        <f>5.7*4.2</f>
        <v>23.94</v>
      </c>
      <c r="J1131" s="477">
        <v>1088500</v>
      </c>
      <c r="K1131" s="388"/>
      <c r="L1131" s="391">
        <f t="shared" si="167"/>
        <v>26058690</v>
      </c>
      <c r="M1131" s="395"/>
      <c r="N1131" s="395"/>
      <c r="O1131" s="366"/>
      <c r="P1131" s="396"/>
      <c r="Q1131" s="473"/>
      <c r="R1131" s="1039"/>
      <c r="S1131" s="308"/>
      <c r="T1131" s="308"/>
      <c r="U1131" s="308"/>
      <c r="V1131" s="308"/>
      <c r="W1131" s="308"/>
      <c r="X1131" s="308"/>
      <c r="Y1131" s="308"/>
      <c r="Z1131" s="604"/>
      <c r="AA1131" s="308"/>
      <c r="AB1131" s="308"/>
      <c r="AC1131" s="449"/>
      <c r="AD1131" s="449"/>
      <c r="AE1131" s="449"/>
      <c r="AF1131" s="449"/>
      <c r="AG1131" s="452"/>
      <c r="AH1131" s="452"/>
      <c r="AI1131" s="452"/>
      <c r="AJ1131" s="452"/>
      <c r="AK1131" s="452"/>
      <c r="AL1131" s="104"/>
      <c r="AM1131" s="32"/>
      <c r="AN1131" s="32"/>
      <c r="AO1131" s="32"/>
      <c r="AP1131" s="32"/>
      <c r="AQ1131" s="31"/>
      <c r="AR1131" s="31"/>
      <c r="AS1131" s="31"/>
      <c r="AT1131" s="31"/>
      <c r="AU1131" s="31"/>
      <c r="AV1131" s="31"/>
      <c r="AW1131" s="31"/>
      <c r="AX1131" s="31"/>
      <c r="AY1131" s="31"/>
      <c r="AZ1131" s="31"/>
      <c r="BA1131" s="31"/>
      <c r="BB1131" s="31"/>
      <c r="BC1131" s="31"/>
      <c r="BD1131" s="31"/>
      <c r="BE1131" s="31"/>
      <c r="BF1131" s="31"/>
      <c r="BG1131" s="31"/>
      <c r="BH1131" s="31"/>
      <c r="BI1131" s="31"/>
      <c r="BJ1131" s="31"/>
      <c r="BK1131" s="31"/>
      <c r="BL1131" s="31"/>
      <c r="BM1131" s="31"/>
      <c r="BN1131" s="31"/>
      <c r="BO1131" s="31"/>
      <c r="BP1131" s="31"/>
      <c r="BQ1131" s="31"/>
      <c r="BR1131" s="31"/>
      <c r="BS1131" s="31"/>
      <c r="BT1131" s="31"/>
      <c r="BU1131" s="31"/>
      <c r="BV1131" s="31"/>
      <c r="BW1131" s="31"/>
      <c r="BX1131" s="31"/>
      <c r="BY1131" s="31"/>
      <c r="BZ1131" s="31"/>
      <c r="CA1131" s="31"/>
      <c r="CB1131" s="31"/>
      <c r="CC1131" s="31"/>
      <c r="CD1131" s="31"/>
      <c r="CE1131" s="31"/>
      <c r="CF1131" s="31"/>
      <c r="CG1131" s="31"/>
      <c r="CH1131" s="31"/>
      <c r="CI1131" s="31"/>
      <c r="CJ1131" s="31"/>
      <c r="CK1131" s="31"/>
      <c r="CL1131" s="31"/>
      <c r="CM1131" s="31"/>
      <c r="CN1131" s="31"/>
      <c r="CO1131" s="31"/>
      <c r="CP1131" s="31"/>
      <c r="CQ1131" s="31"/>
      <c r="CR1131" s="31"/>
      <c r="CS1131" s="31"/>
      <c r="CT1131" s="31"/>
      <c r="CU1131" s="31"/>
      <c r="CV1131" s="31"/>
      <c r="CW1131" s="31"/>
      <c r="CX1131" s="31"/>
      <c r="CY1131" s="31"/>
      <c r="CZ1131" s="31"/>
      <c r="DA1131" s="31"/>
      <c r="DB1131" s="31"/>
      <c r="DC1131" s="31"/>
      <c r="DD1131" s="31"/>
      <c r="DE1131" s="31"/>
      <c r="DF1131" s="31"/>
      <c r="DG1131" s="31"/>
      <c r="DH1131" s="31"/>
      <c r="DI1131" s="31"/>
      <c r="DJ1131" s="31"/>
      <c r="DK1131" s="31"/>
      <c r="DL1131" s="31"/>
      <c r="DM1131" s="31"/>
      <c r="DN1131" s="31"/>
      <c r="DO1131" s="31"/>
      <c r="DP1131" s="31"/>
      <c r="DQ1131" s="31"/>
      <c r="DR1131" s="31"/>
      <c r="DS1131" s="31"/>
      <c r="DT1131" s="31"/>
      <c r="DU1131" s="31"/>
      <c r="DV1131" s="31"/>
      <c r="DW1131" s="31"/>
      <c r="DX1131" s="31"/>
      <c r="DY1131" s="31"/>
      <c r="DZ1131" s="31"/>
      <c r="EA1131" s="31"/>
      <c r="EB1131" s="31"/>
      <c r="EC1131" s="31"/>
      <c r="ED1131" s="31"/>
      <c r="EE1131" s="31"/>
      <c r="EF1131" s="31"/>
      <c r="EG1131" s="31"/>
      <c r="EH1131" s="31"/>
      <c r="EI1131" s="31"/>
      <c r="EJ1131" s="31"/>
      <c r="EK1131" s="31"/>
      <c r="EL1131" s="31"/>
      <c r="EM1131" s="31"/>
      <c r="EN1131" s="31"/>
      <c r="EO1131" s="31"/>
      <c r="EP1131" s="31"/>
      <c r="EQ1131" s="31"/>
      <c r="ER1131" s="31"/>
      <c r="ES1131" s="31"/>
      <c r="ET1131" s="31"/>
      <c r="EU1131" s="31"/>
      <c r="EV1131" s="31"/>
      <c r="EW1131" s="31"/>
      <c r="EX1131" s="31"/>
      <c r="EY1131" s="31"/>
      <c r="EZ1131" s="31"/>
      <c r="FA1131" s="31"/>
      <c r="FB1131" s="31"/>
      <c r="FC1131" s="31"/>
      <c r="FD1131" s="31"/>
      <c r="FE1131" s="31"/>
      <c r="FF1131" s="31"/>
      <c r="FG1131" s="31"/>
      <c r="FH1131" s="31"/>
      <c r="FI1131" s="31"/>
      <c r="FJ1131" s="31"/>
      <c r="FK1131" s="31"/>
      <c r="FL1131" s="31"/>
      <c r="FM1131" s="31"/>
      <c r="FN1131" s="31"/>
      <c r="FO1131" s="31"/>
      <c r="FP1131" s="31"/>
      <c r="FQ1131" s="31"/>
      <c r="FR1131" s="31"/>
      <c r="FS1131" s="31"/>
      <c r="FT1131" s="31"/>
      <c r="FU1131" s="31"/>
      <c r="FV1131" s="31"/>
      <c r="FW1131" s="31"/>
      <c r="FX1131" s="31"/>
      <c r="FY1131" s="31"/>
      <c r="FZ1131" s="31"/>
      <c r="GA1131" s="31"/>
      <c r="GB1131" s="31"/>
      <c r="GC1131" s="31"/>
      <c r="GD1131" s="31"/>
      <c r="GE1131" s="31"/>
      <c r="GF1131" s="31"/>
      <c r="GG1131" s="31"/>
      <c r="GH1131" s="31"/>
      <c r="GI1131" s="31"/>
      <c r="GJ1131" s="31"/>
      <c r="GK1131" s="31"/>
      <c r="GL1131" s="31"/>
      <c r="GM1131" s="31"/>
      <c r="GN1131" s="31"/>
      <c r="GO1131" s="31"/>
      <c r="GP1131" s="31"/>
      <c r="GQ1131" s="31"/>
      <c r="GR1131" s="31"/>
      <c r="GS1131" s="31"/>
      <c r="GT1131" s="31"/>
      <c r="GU1131" s="31"/>
      <c r="GV1131" s="31"/>
      <c r="GW1131" s="31"/>
      <c r="GX1131" s="31"/>
      <c r="GY1131" s="31"/>
      <c r="GZ1131" s="31"/>
      <c r="HA1131" s="31"/>
      <c r="HB1131" s="31"/>
      <c r="HC1131" s="31"/>
      <c r="HD1131" s="31"/>
      <c r="HE1131" s="31"/>
      <c r="HF1131" s="31"/>
      <c r="HG1131" s="31"/>
      <c r="HH1131" s="31"/>
      <c r="HI1131" s="31"/>
      <c r="HJ1131" s="31"/>
      <c r="HK1131" s="31"/>
      <c r="HL1131" s="31"/>
      <c r="HM1131" s="31"/>
      <c r="HN1131" s="31"/>
      <c r="HO1131" s="31"/>
      <c r="HP1131" s="31"/>
      <c r="HQ1131" s="31"/>
      <c r="HR1131" s="31"/>
      <c r="HS1131" s="31"/>
      <c r="HT1131" s="31"/>
      <c r="HU1131" s="31"/>
      <c r="HV1131" s="31"/>
      <c r="HW1131" s="31"/>
      <c r="HX1131" s="31"/>
      <c r="HY1131" s="31"/>
      <c r="HZ1131" s="31"/>
      <c r="IA1131" s="31"/>
      <c r="IB1131" s="31"/>
      <c r="IC1131" s="31"/>
      <c r="ID1131" s="31"/>
      <c r="IE1131" s="31"/>
      <c r="IF1131" s="31"/>
      <c r="IG1131" s="31"/>
      <c r="IH1131" s="31"/>
      <c r="II1131" s="31"/>
      <c r="IJ1131" s="31"/>
      <c r="IK1131" s="31"/>
      <c r="IL1131" s="31"/>
      <c r="IM1131" s="31"/>
      <c r="IN1131" s="31"/>
      <c r="IO1131" s="31"/>
      <c r="IP1131" s="31"/>
      <c r="IQ1131" s="31"/>
      <c r="IR1131" s="31"/>
      <c r="IS1131" s="31"/>
      <c r="IT1131" s="31"/>
      <c r="IU1131" s="31"/>
      <c r="IV1131" s="31"/>
      <c r="IW1131" s="31"/>
      <c r="IX1131" s="31"/>
      <c r="IY1131" s="31"/>
      <c r="IZ1131" s="31"/>
      <c r="JA1131" s="31"/>
      <c r="JB1131" s="31"/>
      <c r="JC1131" s="31"/>
      <c r="JD1131" s="31"/>
      <c r="JE1131" s="31"/>
      <c r="JF1131" s="31"/>
      <c r="JG1131" s="31"/>
      <c r="JH1131" s="31"/>
      <c r="JI1131" s="31"/>
      <c r="JJ1131" s="31"/>
      <c r="JK1131" s="31"/>
      <c r="JL1131" s="31"/>
      <c r="JM1131" s="31"/>
      <c r="JN1131" s="31"/>
      <c r="JO1131" s="31"/>
      <c r="JP1131" s="31"/>
      <c r="JQ1131" s="31"/>
      <c r="JR1131" s="31"/>
      <c r="JS1131" s="31"/>
      <c r="JT1131" s="31"/>
      <c r="JU1131" s="31"/>
      <c r="JV1131" s="31"/>
      <c r="JW1131" s="31"/>
      <c r="JX1131" s="31"/>
      <c r="JY1131" s="31"/>
      <c r="JZ1131" s="31"/>
      <c r="KA1131" s="31"/>
      <c r="KB1131" s="31"/>
      <c r="KC1131" s="31"/>
      <c r="KD1131" s="31"/>
      <c r="KE1131" s="31"/>
      <c r="KF1131" s="31"/>
      <c r="KG1131" s="31"/>
      <c r="KH1131" s="31"/>
      <c r="KI1131" s="31"/>
      <c r="KJ1131" s="31"/>
      <c r="KK1131" s="31"/>
      <c r="KL1131" s="31"/>
      <c r="KM1131" s="31"/>
      <c r="KN1131" s="31"/>
      <c r="KO1131" s="31"/>
      <c r="KP1131" s="31"/>
      <c r="KQ1131" s="31"/>
      <c r="KR1131" s="31"/>
      <c r="KS1131" s="31"/>
      <c r="KT1131" s="31"/>
      <c r="KU1131" s="31"/>
      <c r="KV1131" s="31"/>
      <c r="KW1131" s="31"/>
      <c r="KX1131" s="31"/>
      <c r="KY1131" s="31"/>
      <c r="KZ1131" s="31"/>
      <c r="LA1131" s="31"/>
      <c r="LB1131" s="31"/>
      <c r="LC1131" s="31"/>
      <c r="LD1131" s="31"/>
      <c r="LE1131" s="31"/>
      <c r="LF1131" s="31"/>
      <c r="LG1131" s="31"/>
      <c r="LH1131" s="31"/>
      <c r="LI1131" s="31"/>
      <c r="LJ1131" s="31"/>
      <c r="LK1131" s="31"/>
      <c r="LL1131" s="31"/>
      <c r="LM1131" s="31"/>
      <c r="LN1131" s="31"/>
      <c r="LO1131" s="31"/>
      <c r="LP1131" s="31"/>
      <c r="LQ1131" s="31"/>
      <c r="LR1131" s="31"/>
      <c r="LS1131" s="31"/>
      <c r="LT1131" s="31"/>
      <c r="LU1131" s="31"/>
      <c r="LV1131" s="31"/>
      <c r="LW1131" s="31"/>
      <c r="LX1131" s="31"/>
      <c r="LY1131" s="31"/>
      <c r="LZ1131" s="31"/>
      <c r="MA1131" s="31"/>
      <c r="MB1131" s="31"/>
      <c r="MC1131" s="31"/>
      <c r="MD1131" s="31"/>
      <c r="ME1131" s="31"/>
      <c r="MF1131" s="31"/>
      <c r="MG1131" s="31"/>
      <c r="MH1131" s="31"/>
      <c r="MI1131" s="31"/>
      <c r="MJ1131" s="31"/>
      <c r="MK1131" s="31"/>
      <c r="ML1131" s="31"/>
      <c r="MM1131" s="31"/>
      <c r="MN1131" s="31"/>
      <c r="MO1131" s="31"/>
      <c r="MP1131" s="31"/>
      <c r="MQ1131" s="31"/>
      <c r="MR1131" s="31"/>
      <c r="MS1131" s="31"/>
      <c r="MT1131" s="31"/>
      <c r="MU1131" s="31"/>
      <c r="MV1131" s="31"/>
      <c r="MW1131" s="31"/>
      <c r="MX1131" s="31"/>
      <c r="MY1131" s="31"/>
      <c r="MZ1131" s="31"/>
      <c r="NA1131" s="31"/>
      <c r="NB1131" s="31"/>
      <c r="NC1131" s="31"/>
      <c r="ND1131" s="31"/>
      <c r="NE1131" s="31"/>
      <c r="NF1131" s="31"/>
      <c r="NG1131" s="31"/>
      <c r="NH1131" s="31"/>
      <c r="NI1131" s="31"/>
      <c r="NJ1131" s="31"/>
      <c r="NK1131" s="31"/>
      <c r="NL1131" s="31"/>
      <c r="NM1131" s="31"/>
      <c r="NN1131" s="31"/>
      <c r="NO1131" s="31"/>
      <c r="NP1131" s="31"/>
      <c r="NQ1131" s="31"/>
      <c r="NR1131" s="31"/>
      <c r="NS1131" s="31"/>
      <c r="NT1131" s="31"/>
      <c r="NU1131" s="31"/>
      <c r="NV1131" s="31"/>
      <c r="NW1131" s="31"/>
      <c r="NX1131" s="31"/>
      <c r="NY1131" s="31"/>
      <c r="NZ1131" s="31"/>
      <c r="OA1131" s="31"/>
      <c r="OB1131" s="31"/>
      <c r="OC1131" s="31"/>
      <c r="OD1131" s="31"/>
      <c r="OE1131" s="31"/>
      <c r="OF1131" s="31"/>
      <c r="OG1131" s="31"/>
      <c r="OH1131" s="31"/>
      <c r="OI1131" s="31"/>
      <c r="OJ1131" s="31"/>
      <c r="OK1131" s="31"/>
      <c r="OL1131" s="31"/>
      <c r="OM1131" s="31"/>
      <c r="ON1131" s="31"/>
      <c r="OO1131" s="31"/>
      <c r="OP1131" s="31"/>
      <c r="OQ1131" s="31"/>
      <c r="OR1131" s="31"/>
      <c r="OS1131" s="31"/>
      <c r="OT1131" s="31"/>
      <c r="OU1131" s="31"/>
      <c r="OV1131" s="31"/>
      <c r="OW1131" s="31"/>
      <c r="OX1131" s="31"/>
      <c r="OY1131" s="31"/>
      <c r="OZ1131" s="31"/>
      <c r="PA1131" s="31"/>
      <c r="PB1131" s="31"/>
      <c r="PC1131" s="31"/>
      <c r="PD1131" s="31"/>
      <c r="PE1131" s="31"/>
      <c r="PF1131" s="31"/>
      <c r="PG1131" s="31"/>
      <c r="PH1131" s="31"/>
      <c r="PI1131" s="31"/>
      <c r="PJ1131" s="31"/>
      <c r="PK1131" s="31"/>
      <c r="PL1131" s="31"/>
      <c r="PM1131" s="31"/>
      <c r="PN1131" s="31"/>
      <c r="PO1131" s="31"/>
      <c r="PP1131" s="31"/>
      <c r="PQ1131" s="31"/>
      <c r="PR1131" s="31"/>
      <c r="PS1131" s="31"/>
      <c r="PT1131" s="31"/>
      <c r="PU1131" s="31"/>
      <c r="PV1131" s="31"/>
      <c r="PW1131" s="31"/>
      <c r="PX1131" s="31"/>
      <c r="PY1131" s="31"/>
      <c r="PZ1131" s="31"/>
      <c r="QA1131" s="31"/>
      <c r="QB1131" s="31"/>
      <c r="QC1131" s="31"/>
      <c r="QD1131" s="31"/>
      <c r="QE1131" s="31"/>
      <c r="QF1131" s="31"/>
      <c r="QG1131" s="31"/>
      <c r="QH1131" s="31"/>
      <c r="QI1131" s="31"/>
      <c r="QJ1131" s="31"/>
      <c r="QK1131" s="31"/>
      <c r="QL1131" s="31"/>
      <c r="QM1131" s="31"/>
      <c r="QN1131" s="31"/>
      <c r="QO1131" s="31"/>
      <c r="QP1131" s="31"/>
      <c r="QQ1131" s="31"/>
      <c r="QR1131" s="31"/>
      <c r="QS1131" s="31"/>
      <c r="QT1131" s="31"/>
      <c r="QU1131" s="31"/>
      <c r="QV1131" s="31"/>
      <c r="QW1131" s="31"/>
      <c r="QX1131" s="31"/>
      <c r="QY1131" s="31"/>
      <c r="QZ1131" s="31"/>
      <c r="RA1131" s="31"/>
      <c r="RB1131" s="31"/>
      <c r="RC1131" s="31"/>
      <c r="RD1131" s="31"/>
      <c r="RE1131" s="31"/>
      <c r="RF1131" s="31"/>
      <c r="RG1131" s="31"/>
      <c r="RH1131" s="31"/>
      <c r="RI1131" s="31"/>
      <c r="RJ1131" s="31"/>
      <c r="RK1131" s="31"/>
      <c r="RL1131" s="31"/>
      <c r="RM1131" s="31"/>
      <c r="RN1131" s="31"/>
      <c r="RO1131" s="31"/>
      <c r="RP1131" s="31"/>
      <c r="RQ1131" s="31"/>
      <c r="RR1131" s="31"/>
      <c r="RS1131" s="31"/>
      <c r="RT1131" s="31"/>
      <c r="RU1131" s="31"/>
      <c r="RV1131" s="31"/>
      <c r="RW1131" s="31"/>
      <c r="RX1131" s="31"/>
      <c r="RY1131" s="31"/>
      <c r="RZ1131" s="31"/>
      <c r="SA1131" s="31"/>
      <c r="SB1131" s="31"/>
      <c r="SC1131" s="31"/>
      <c r="SD1131" s="31"/>
      <c r="SE1131" s="31"/>
      <c r="SF1131" s="31"/>
      <c r="SG1131" s="31"/>
      <c r="SH1131" s="31"/>
      <c r="SI1131" s="31"/>
      <c r="SJ1131" s="31"/>
      <c r="SK1131" s="31"/>
      <c r="SL1131" s="31"/>
      <c r="SM1131" s="31"/>
      <c r="SN1131" s="31"/>
      <c r="SO1131" s="31"/>
      <c r="SP1131" s="31"/>
      <c r="SQ1131" s="31"/>
      <c r="SR1131" s="31"/>
      <c r="SS1131" s="31"/>
      <c r="ST1131" s="31"/>
      <c r="SU1131" s="31"/>
      <c r="SV1131" s="31"/>
      <c r="SW1131" s="31"/>
      <c r="SX1131" s="31"/>
      <c r="SY1131" s="31"/>
      <c r="SZ1131" s="31"/>
      <c r="TA1131" s="31"/>
      <c r="TB1131" s="31"/>
      <c r="TC1131" s="31"/>
      <c r="TD1131" s="31"/>
      <c r="TE1131" s="31"/>
      <c r="TF1131" s="31"/>
      <c r="TG1131" s="31"/>
      <c r="TH1131" s="31"/>
      <c r="TI1131" s="31"/>
      <c r="TJ1131" s="31"/>
      <c r="TK1131" s="31"/>
      <c r="TL1131" s="31"/>
      <c r="TM1131" s="31"/>
      <c r="TN1131" s="31"/>
      <c r="TO1131" s="31"/>
      <c r="TP1131" s="31"/>
      <c r="TQ1131" s="31"/>
      <c r="TR1131" s="31"/>
      <c r="TS1131" s="31"/>
      <c r="TT1131" s="31"/>
      <c r="TU1131" s="31"/>
      <c r="TV1131" s="31"/>
      <c r="TW1131" s="31"/>
      <c r="TX1131" s="31"/>
      <c r="TY1131" s="31"/>
      <c r="TZ1131" s="31"/>
      <c r="UA1131" s="31"/>
      <c r="UB1131" s="31"/>
      <c r="UC1131" s="31"/>
      <c r="UD1131" s="31"/>
      <c r="UE1131" s="31"/>
      <c r="UF1131" s="31"/>
      <c r="UG1131" s="33"/>
    </row>
    <row r="1132" spans="1:553" ht="45" customHeight="1">
      <c r="A1132" s="356"/>
      <c r="B1132" s="385">
        <v>248</v>
      </c>
      <c r="C1132" s="1403" t="s">
        <v>658</v>
      </c>
      <c r="D1132" s="1389"/>
      <c r="E1132" s="1389"/>
      <c r="F1132" s="1390"/>
      <c r="G1132" s="386" t="s">
        <v>33</v>
      </c>
      <c r="H1132" s="370"/>
      <c r="I1132" s="422">
        <f>6.5*5.5</f>
        <v>35.75</v>
      </c>
      <c r="J1132" s="477">
        <v>173400</v>
      </c>
      <c r="K1132" s="388"/>
      <c r="L1132" s="391">
        <f t="shared" si="167"/>
        <v>6199050</v>
      </c>
      <c r="M1132" s="395"/>
      <c r="N1132" s="395"/>
      <c r="O1132" s="366"/>
      <c r="P1132" s="396"/>
      <c r="Q1132" s="473"/>
      <c r="R1132" s="1039"/>
      <c r="S1132" s="308"/>
      <c r="T1132" s="308"/>
      <c r="U1132" s="308"/>
      <c r="V1132" s="308"/>
      <c r="W1132" s="308"/>
      <c r="X1132" s="308"/>
      <c r="Y1132" s="308"/>
      <c r="Z1132" s="604"/>
      <c r="AA1132" s="308"/>
      <c r="AB1132" s="308"/>
      <c r="AC1132" s="449"/>
      <c r="AD1132" s="449"/>
      <c r="AE1132" s="449"/>
      <c r="AF1132" s="449"/>
      <c r="AG1132" s="452"/>
      <c r="AH1132" s="452"/>
      <c r="AI1132" s="452"/>
      <c r="AJ1132" s="452"/>
      <c r="AK1132" s="452"/>
      <c r="AL1132" s="104"/>
      <c r="AM1132" s="32"/>
      <c r="AN1132" s="32"/>
      <c r="AO1132" s="32"/>
      <c r="AP1132" s="32"/>
      <c r="AQ1132" s="31"/>
      <c r="AR1132" s="31"/>
      <c r="AS1132" s="31"/>
      <c r="AT1132" s="31"/>
      <c r="AU1132" s="31"/>
      <c r="AV1132" s="31"/>
      <c r="AW1132" s="31"/>
      <c r="AX1132" s="31"/>
      <c r="AY1132" s="31"/>
      <c r="AZ1132" s="31"/>
      <c r="BA1132" s="31"/>
      <c r="BB1132" s="31"/>
      <c r="BC1132" s="31"/>
      <c r="BD1132" s="31"/>
      <c r="BE1132" s="31"/>
      <c r="BF1132" s="31"/>
      <c r="BG1132" s="31"/>
      <c r="BH1132" s="31"/>
      <c r="BI1132" s="31"/>
      <c r="BJ1132" s="31"/>
      <c r="BK1132" s="31"/>
      <c r="BL1132" s="31"/>
      <c r="BM1132" s="31"/>
      <c r="BN1132" s="31"/>
      <c r="BO1132" s="31"/>
      <c r="BP1132" s="31"/>
      <c r="BQ1132" s="31"/>
      <c r="BR1132" s="31"/>
      <c r="BS1132" s="31"/>
      <c r="BT1132" s="31"/>
      <c r="BU1132" s="31"/>
      <c r="BV1132" s="31"/>
      <c r="BW1132" s="31"/>
      <c r="BX1132" s="31"/>
      <c r="BY1132" s="31"/>
      <c r="BZ1132" s="31"/>
      <c r="CA1132" s="31"/>
      <c r="CB1132" s="31"/>
      <c r="CC1132" s="31"/>
      <c r="CD1132" s="31"/>
      <c r="CE1132" s="31"/>
      <c r="CF1132" s="31"/>
      <c r="CG1132" s="31"/>
      <c r="CH1132" s="31"/>
      <c r="CI1132" s="31"/>
      <c r="CJ1132" s="31"/>
      <c r="CK1132" s="31"/>
      <c r="CL1132" s="31"/>
      <c r="CM1132" s="31"/>
      <c r="CN1132" s="31"/>
      <c r="CO1132" s="31"/>
      <c r="CP1132" s="31"/>
      <c r="CQ1132" s="31"/>
      <c r="CR1132" s="31"/>
      <c r="CS1132" s="31"/>
      <c r="CT1132" s="31"/>
      <c r="CU1132" s="31"/>
      <c r="CV1132" s="31"/>
      <c r="CW1132" s="31"/>
      <c r="CX1132" s="31"/>
      <c r="CY1132" s="31"/>
      <c r="CZ1132" s="31"/>
      <c r="DA1132" s="31"/>
      <c r="DB1132" s="31"/>
      <c r="DC1132" s="31"/>
      <c r="DD1132" s="31"/>
      <c r="DE1132" s="31"/>
      <c r="DF1132" s="31"/>
      <c r="DG1132" s="31"/>
      <c r="DH1132" s="31"/>
      <c r="DI1132" s="31"/>
      <c r="DJ1132" s="31"/>
      <c r="DK1132" s="31"/>
      <c r="DL1132" s="31"/>
      <c r="DM1132" s="31"/>
      <c r="DN1132" s="31"/>
      <c r="DO1132" s="31"/>
      <c r="DP1132" s="31"/>
      <c r="DQ1132" s="31"/>
      <c r="DR1132" s="31"/>
      <c r="DS1132" s="31"/>
      <c r="DT1132" s="31"/>
      <c r="DU1132" s="31"/>
      <c r="DV1132" s="31"/>
      <c r="DW1132" s="31"/>
      <c r="DX1132" s="31"/>
      <c r="DY1132" s="31"/>
      <c r="DZ1132" s="31"/>
      <c r="EA1132" s="31"/>
      <c r="EB1132" s="31"/>
      <c r="EC1132" s="31"/>
      <c r="ED1132" s="31"/>
      <c r="EE1132" s="31"/>
      <c r="EF1132" s="31"/>
      <c r="EG1132" s="31"/>
      <c r="EH1132" s="31"/>
      <c r="EI1132" s="31"/>
      <c r="EJ1132" s="31"/>
      <c r="EK1132" s="31"/>
      <c r="EL1132" s="31"/>
      <c r="EM1132" s="31"/>
      <c r="EN1132" s="31"/>
      <c r="EO1132" s="31"/>
      <c r="EP1132" s="31"/>
      <c r="EQ1132" s="31"/>
      <c r="ER1132" s="31"/>
      <c r="ES1132" s="31"/>
      <c r="ET1132" s="31"/>
      <c r="EU1132" s="31"/>
      <c r="EV1132" s="31"/>
      <c r="EW1132" s="31"/>
      <c r="EX1132" s="31"/>
      <c r="EY1132" s="31"/>
      <c r="EZ1132" s="31"/>
      <c r="FA1132" s="31"/>
      <c r="FB1132" s="31"/>
      <c r="FC1132" s="31"/>
      <c r="FD1132" s="31"/>
      <c r="FE1132" s="31"/>
      <c r="FF1132" s="31"/>
      <c r="FG1132" s="31"/>
      <c r="FH1132" s="31"/>
      <c r="FI1132" s="31"/>
      <c r="FJ1132" s="31"/>
      <c r="FK1132" s="31"/>
      <c r="FL1132" s="31"/>
      <c r="FM1132" s="31"/>
      <c r="FN1132" s="31"/>
      <c r="FO1132" s="31"/>
      <c r="FP1132" s="31"/>
      <c r="FQ1132" s="31"/>
      <c r="FR1132" s="31"/>
      <c r="FS1132" s="31"/>
      <c r="FT1132" s="31"/>
      <c r="FU1132" s="31"/>
      <c r="FV1132" s="31"/>
      <c r="FW1132" s="31"/>
      <c r="FX1132" s="31"/>
      <c r="FY1132" s="31"/>
      <c r="FZ1132" s="31"/>
      <c r="GA1132" s="31"/>
      <c r="GB1132" s="31"/>
      <c r="GC1132" s="31"/>
      <c r="GD1132" s="31"/>
      <c r="GE1132" s="31"/>
      <c r="GF1132" s="31"/>
      <c r="GG1132" s="31"/>
      <c r="GH1132" s="31"/>
      <c r="GI1132" s="31"/>
      <c r="GJ1132" s="31"/>
      <c r="GK1132" s="31"/>
      <c r="GL1132" s="31"/>
      <c r="GM1132" s="31"/>
      <c r="GN1132" s="31"/>
      <c r="GO1132" s="31"/>
      <c r="GP1132" s="31"/>
      <c r="GQ1132" s="31"/>
      <c r="GR1132" s="31"/>
      <c r="GS1132" s="31"/>
      <c r="GT1132" s="31"/>
      <c r="GU1132" s="31"/>
      <c r="GV1132" s="31"/>
      <c r="GW1132" s="31"/>
      <c r="GX1132" s="31"/>
      <c r="GY1132" s="31"/>
      <c r="GZ1132" s="31"/>
      <c r="HA1132" s="31"/>
      <c r="HB1132" s="31"/>
      <c r="HC1132" s="31"/>
      <c r="HD1132" s="31"/>
      <c r="HE1132" s="31"/>
      <c r="HF1132" s="31"/>
      <c r="HG1132" s="31"/>
      <c r="HH1132" s="31"/>
      <c r="HI1132" s="31"/>
      <c r="HJ1132" s="31"/>
      <c r="HK1132" s="31"/>
      <c r="HL1132" s="31"/>
      <c r="HM1132" s="31"/>
      <c r="HN1132" s="31"/>
      <c r="HO1132" s="31"/>
      <c r="HP1132" s="31"/>
      <c r="HQ1132" s="31"/>
      <c r="HR1132" s="31"/>
      <c r="HS1132" s="31"/>
      <c r="HT1132" s="31"/>
      <c r="HU1132" s="31"/>
      <c r="HV1132" s="31"/>
      <c r="HW1132" s="31"/>
      <c r="HX1132" s="31"/>
      <c r="HY1132" s="31"/>
      <c r="HZ1132" s="31"/>
      <c r="IA1132" s="31"/>
      <c r="IB1132" s="31"/>
      <c r="IC1132" s="31"/>
      <c r="ID1132" s="31"/>
      <c r="IE1132" s="31"/>
      <c r="IF1132" s="31"/>
      <c r="IG1132" s="31"/>
      <c r="IH1132" s="31"/>
      <c r="II1132" s="31"/>
      <c r="IJ1132" s="31"/>
      <c r="IK1132" s="31"/>
      <c r="IL1132" s="31"/>
      <c r="IM1132" s="31"/>
      <c r="IN1132" s="31"/>
      <c r="IO1132" s="31"/>
      <c r="IP1132" s="31"/>
      <c r="IQ1132" s="31"/>
      <c r="IR1132" s="31"/>
      <c r="IS1132" s="31"/>
      <c r="IT1132" s="31"/>
      <c r="IU1132" s="31"/>
      <c r="IV1132" s="31"/>
      <c r="IW1132" s="31"/>
      <c r="IX1132" s="31"/>
      <c r="IY1132" s="31"/>
      <c r="IZ1132" s="31"/>
      <c r="JA1132" s="31"/>
      <c r="JB1132" s="31"/>
      <c r="JC1132" s="31"/>
      <c r="JD1132" s="31"/>
      <c r="JE1132" s="31"/>
      <c r="JF1132" s="31"/>
      <c r="JG1132" s="31"/>
      <c r="JH1132" s="31"/>
      <c r="JI1132" s="31"/>
      <c r="JJ1132" s="31"/>
      <c r="JK1132" s="31"/>
      <c r="JL1132" s="31"/>
      <c r="JM1132" s="31"/>
      <c r="JN1132" s="31"/>
      <c r="JO1132" s="31"/>
      <c r="JP1132" s="31"/>
      <c r="JQ1132" s="31"/>
      <c r="JR1132" s="31"/>
      <c r="JS1132" s="31"/>
      <c r="JT1132" s="31"/>
      <c r="JU1132" s="31"/>
      <c r="JV1132" s="31"/>
      <c r="JW1132" s="31"/>
      <c r="JX1132" s="31"/>
      <c r="JY1132" s="31"/>
      <c r="JZ1132" s="31"/>
      <c r="KA1132" s="31"/>
      <c r="KB1132" s="31"/>
      <c r="KC1132" s="31"/>
      <c r="KD1132" s="31"/>
      <c r="KE1132" s="31"/>
      <c r="KF1132" s="31"/>
      <c r="KG1132" s="31"/>
      <c r="KH1132" s="31"/>
      <c r="KI1132" s="31"/>
      <c r="KJ1132" s="31"/>
      <c r="KK1132" s="31"/>
      <c r="KL1132" s="31"/>
      <c r="KM1132" s="31"/>
      <c r="KN1132" s="31"/>
      <c r="KO1132" s="31"/>
      <c r="KP1132" s="31"/>
      <c r="KQ1132" s="31"/>
      <c r="KR1132" s="31"/>
      <c r="KS1132" s="31"/>
      <c r="KT1132" s="31"/>
      <c r="KU1132" s="31"/>
      <c r="KV1132" s="31"/>
      <c r="KW1132" s="31"/>
      <c r="KX1132" s="31"/>
      <c r="KY1132" s="31"/>
      <c r="KZ1132" s="31"/>
      <c r="LA1132" s="31"/>
      <c r="LB1132" s="31"/>
      <c r="LC1132" s="31"/>
      <c r="LD1132" s="31"/>
      <c r="LE1132" s="31"/>
      <c r="LF1132" s="31"/>
      <c r="LG1132" s="31"/>
      <c r="LH1132" s="31"/>
      <c r="LI1132" s="31"/>
      <c r="LJ1132" s="31"/>
      <c r="LK1132" s="31"/>
      <c r="LL1132" s="31"/>
      <c r="LM1132" s="31"/>
      <c r="LN1132" s="31"/>
      <c r="LO1132" s="31"/>
      <c r="LP1132" s="31"/>
      <c r="LQ1132" s="31"/>
      <c r="LR1132" s="31"/>
      <c r="LS1132" s="31"/>
      <c r="LT1132" s="31"/>
      <c r="LU1132" s="31"/>
      <c r="LV1132" s="31"/>
      <c r="LW1132" s="31"/>
      <c r="LX1132" s="31"/>
      <c r="LY1132" s="31"/>
      <c r="LZ1132" s="31"/>
      <c r="MA1132" s="31"/>
      <c r="MB1132" s="31"/>
      <c r="MC1132" s="31"/>
      <c r="MD1132" s="31"/>
      <c r="ME1132" s="31"/>
      <c r="MF1132" s="31"/>
      <c r="MG1132" s="31"/>
      <c r="MH1132" s="31"/>
      <c r="MI1132" s="31"/>
      <c r="MJ1132" s="31"/>
      <c r="MK1132" s="31"/>
      <c r="ML1132" s="31"/>
      <c r="MM1132" s="31"/>
      <c r="MN1132" s="31"/>
      <c r="MO1132" s="31"/>
      <c r="MP1132" s="31"/>
      <c r="MQ1132" s="31"/>
      <c r="MR1132" s="31"/>
      <c r="MS1132" s="31"/>
      <c r="MT1132" s="31"/>
      <c r="MU1132" s="31"/>
      <c r="MV1132" s="31"/>
      <c r="MW1132" s="31"/>
      <c r="MX1132" s="31"/>
      <c r="MY1132" s="31"/>
      <c r="MZ1132" s="31"/>
      <c r="NA1132" s="31"/>
      <c r="NB1132" s="31"/>
      <c r="NC1132" s="31"/>
      <c r="ND1132" s="31"/>
      <c r="NE1132" s="31"/>
      <c r="NF1132" s="31"/>
      <c r="NG1132" s="31"/>
      <c r="NH1132" s="31"/>
      <c r="NI1132" s="31"/>
      <c r="NJ1132" s="31"/>
      <c r="NK1132" s="31"/>
      <c r="NL1132" s="31"/>
      <c r="NM1132" s="31"/>
      <c r="NN1132" s="31"/>
      <c r="NO1132" s="31"/>
      <c r="NP1132" s="31"/>
      <c r="NQ1132" s="31"/>
      <c r="NR1132" s="31"/>
      <c r="NS1132" s="31"/>
      <c r="NT1132" s="31"/>
      <c r="NU1132" s="31"/>
      <c r="NV1132" s="31"/>
      <c r="NW1132" s="31"/>
      <c r="NX1132" s="31"/>
      <c r="NY1132" s="31"/>
      <c r="NZ1132" s="31"/>
      <c r="OA1132" s="31"/>
      <c r="OB1132" s="31"/>
      <c r="OC1132" s="31"/>
      <c r="OD1132" s="31"/>
      <c r="OE1132" s="31"/>
      <c r="OF1132" s="31"/>
      <c r="OG1132" s="31"/>
      <c r="OH1132" s="31"/>
      <c r="OI1132" s="31"/>
      <c r="OJ1132" s="31"/>
      <c r="OK1132" s="31"/>
      <c r="OL1132" s="31"/>
      <c r="OM1132" s="31"/>
      <c r="ON1132" s="31"/>
      <c r="OO1132" s="31"/>
      <c r="OP1132" s="31"/>
      <c r="OQ1132" s="31"/>
      <c r="OR1132" s="31"/>
      <c r="OS1132" s="31"/>
      <c r="OT1132" s="31"/>
      <c r="OU1132" s="31"/>
      <c r="OV1132" s="31"/>
      <c r="OW1132" s="31"/>
      <c r="OX1132" s="31"/>
      <c r="OY1132" s="31"/>
      <c r="OZ1132" s="31"/>
      <c r="PA1132" s="31"/>
      <c r="PB1132" s="31"/>
      <c r="PC1132" s="31"/>
      <c r="PD1132" s="31"/>
      <c r="PE1132" s="31"/>
      <c r="PF1132" s="31"/>
      <c r="PG1132" s="31"/>
      <c r="PH1132" s="31"/>
      <c r="PI1132" s="31"/>
      <c r="PJ1132" s="31"/>
      <c r="PK1132" s="31"/>
      <c r="PL1132" s="31"/>
      <c r="PM1132" s="31"/>
      <c r="PN1132" s="31"/>
      <c r="PO1132" s="31"/>
      <c r="PP1132" s="31"/>
      <c r="PQ1132" s="31"/>
      <c r="PR1132" s="31"/>
      <c r="PS1132" s="31"/>
      <c r="PT1132" s="31"/>
      <c r="PU1132" s="31"/>
      <c r="PV1132" s="31"/>
      <c r="PW1132" s="31"/>
      <c r="PX1132" s="31"/>
      <c r="PY1132" s="31"/>
      <c r="PZ1132" s="31"/>
      <c r="QA1132" s="31"/>
      <c r="QB1132" s="31"/>
      <c r="QC1132" s="31"/>
      <c r="QD1132" s="31"/>
      <c r="QE1132" s="31"/>
      <c r="QF1132" s="31"/>
      <c r="QG1132" s="31"/>
      <c r="QH1132" s="31"/>
      <c r="QI1132" s="31"/>
      <c r="QJ1132" s="31"/>
      <c r="QK1132" s="31"/>
      <c r="QL1132" s="31"/>
      <c r="QM1132" s="31"/>
      <c r="QN1132" s="31"/>
      <c r="QO1132" s="31"/>
      <c r="QP1132" s="31"/>
      <c r="QQ1132" s="31"/>
      <c r="QR1132" s="31"/>
      <c r="QS1132" s="31"/>
      <c r="QT1132" s="31"/>
      <c r="QU1132" s="31"/>
      <c r="QV1132" s="31"/>
      <c r="QW1132" s="31"/>
      <c r="QX1132" s="31"/>
      <c r="QY1132" s="31"/>
      <c r="QZ1132" s="31"/>
      <c r="RA1132" s="31"/>
      <c r="RB1132" s="31"/>
      <c r="RC1132" s="31"/>
      <c r="RD1132" s="31"/>
      <c r="RE1132" s="31"/>
      <c r="RF1132" s="31"/>
      <c r="RG1132" s="31"/>
      <c r="RH1132" s="31"/>
      <c r="RI1132" s="31"/>
      <c r="RJ1132" s="31"/>
      <c r="RK1132" s="31"/>
      <c r="RL1132" s="31"/>
      <c r="RM1132" s="31"/>
      <c r="RN1132" s="31"/>
      <c r="RO1132" s="31"/>
      <c r="RP1132" s="31"/>
      <c r="RQ1132" s="31"/>
      <c r="RR1132" s="31"/>
      <c r="RS1132" s="31"/>
      <c r="RT1132" s="31"/>
      <c r="RU1132" s="31"/>
      <c r="RV1132" s="31"/>
      <c r="RW1132" s="31"/>
      <c r="RX1132" s="31"/>
      <c r="RY1132" s="31"/>
      <c r="RZ1132" s="31"/>
      <c r="SA1132" s="31"/>
      <c r="SB1132" s="31"/>
      <c r="SC1132" s="31"/>
      <c r="SD1132" s="31"/>
      <c r="SE1132" s="31"/>
      <c r="SF1132" s="31"/>
      <c r="SG1132" s="31"/>
      <c r="SH1132" s="31"/>
      <c r="SI1132" s="31"/>
      <c r="SJ1132" s="31"/>
      <c r="SK1132" s="31"/>
      <c r="SL1132" s="31"/>
      <c r="SM1132" s="31"/>
      <c r="SN1132" s="31"/>
      <c r="SO1132" s="31"/>
      <c r="SP1132" s="31"/>
      <c r="SQ1132" s="31"/>
      <c r="SR1132" s="31"/>
      <c r="SS1132" s="31"/>
      <c r="ST1132" s="31"/>
      <c r="SU1132" s="31"/>
      <c r="SV1132" s="31"/>
      <c r="SW1132" s="31"/>
      <c r="SX1132" s="31"/>
      <c r="SY1132" s="31"/>
      <c r="SZ1132" s="31"/>
      <c r="TA1132" s="31"/>
      <c r="TB1132" s="31"/>
      <c r="TC1132" s="31"/>
      <c r="TD1132" s="31"/>
      <c r="TE1132" s="31"/>
      <c r="TF1132" s="31"/>
      <c r="TG1132" s="31"/>
      <c r="TH1132" s="31"/>
      <c r="TI1132" s="31"/>
      <c r="TJ1132" s="31"/>
      <c r="TK1132" s="31"/>
      <c r="TL1132" s="31"/>
      <c r="TM1132" s="31"/>
      <c r="TN1132" s="31"/>
      <c r="TO1132" s="31"/>
      <c r="TP1132" s="31"/>
      <c r="TQ1132" s="31"/>
      <c r="TR1132" s="31"/>
      <c r="TS1132" s="31"/>
      <c r="TT1132" s="31"/>
      <c r="TU1132" s="31"/>
      <c r="TV1132" s="31"/>
      <c r="TW1132" s="31"/>
      <c r="TX1132" s="31"/>
      <c r="TY1132" s="31"/>
      <c r="TZ1132" s="31"/>
      <c r="UA1132" s="31"/>
      <c r="UB1132" s="31"/>
      <c r="UC1132" s="31"/>
      <c r="UD1132" s="31"/>
      <c r="UE1132" s="31"/>
      <c r="UF1132" s="31"/>
      <c r="UG1132" s="33"/>
    </row>
    <row r="1133" spans="1:553" ht="40.5" customHeight="1">
      <c r="A1133" s="356"/>
      <c r="B1133" s="385" t="s">
        <v>31</v>
      </c>
      <c r="C1133" s="1403" t="s">
        <v>1016</v>
      </c>
      <c r="D1133" s="1389"/>
      <c r="E1133" s="1389"/>
      <c r="F1133" s="1390"/>
      <c r="G1133" s="386" t="s">
        <v>34</v>
      </c>
      <c r="H1133" s="370"/>
      <c r="I1133" s="422">
        <f>(3.5+3.5+3.4+3.6)*0.8*0.3</f>
        <v>3.3600000000000003</v>
      </c>
      <c r="J1133" s="477">
        <v>606342</v>
      </c>
      <c r="K1133" s="388"/>
      <c r="L1133" s="391">
        <f t="shared" si="167"/>
        <v>2037309.12</v>
      </c>
      <c r="M1133" s="395"/>
      <c r="N1133" s="395"/>
      <c r="O1133" s="366"/>
      <c r="P1133" s="396"/>
      <c r="Q1133" s="473"/>
      <c r="R1133" s="1039"/>
      <c r="S1133" s="308"/>
      <c r="T1133" s="308"/>
      <c r="U1133" s="308"/>
      <c r="V1133" s="308"/>
      <c r="W1133" s="308"/>
      <c r="X1133" s="308"/>
      <c r="Y1133" s="308"/>
      <c r="Z1133" s="604"/>
      <c r="AA1133" s="308"/>
      <c r="AB1133" s="308"/>
      <c r="AC1133" s="449"/>
      <c r="AD1133" s="449"/>
      <c r="AE1133" s="449"/>
      <c r="AF1133" s="449"/>
      <c r="AG1133" s="452"/>
      <c r="AH1133" s="452"/>
      <c r="AI1133" s="452"/>
      <c r="AJ1133" s="452"/>
      <c r="AK1133" s="452"/>
      <c r="AL1133" s="104"/>
      <c r="AM1133" s="32"/>
      <c r="AN1133" s="32"/>
      <c r="AO1133" s="32"/>
      <c r="AP1133" s="32"/>
      <c r="AQ1133" s="31"/>
      <c r="AR1133" s="31"/>
      <c r="AS1133" s="31"/>
      <c r="AT1133" s="31"/>
      <c r="AU1133" s="31"/>
      <c r="AV1133" s="31"/>
      <c r="AW1133" s="31"/>
      <c r="AX1133" s="31"/>
      <c r="AY1133" s="31"/>
      <c r="AZ1133" s="31"/>
      <c r="BA1133" s="31"/>
      <c r="BB1133" s="31"/>
      <c r="BC1133" s="31"/>
      <c r="BD1133" s="31"/>
      <c r="BE1133" s="31"/>
      <c r="BF1133" s="31"/>
      <c r="BG1133" s="31"/>
      <c r="BH1133" s="31"/>
      <c r="BI1133" s="31"/>
      <c r="BJ1133" s="31"/>
      <c r="BK1133" s="31"/>
      <c r="BL1133" s="31"/>
      <c r="BM1133" s="31"/>
      <c r="BN1133" s="31"/>
      <c r="BO1133" s="31"/>
      <c r="BP1133" s="31"/>
      <c r="BQ1133" s="31"/>
      <c r="BR1133" s="31"/>
      <c r="BS1133" s="31"/>
      <c r="BT1133" s="31"/>
      <c r="BU1133" s="31"/>
      <c r="BV1133" s="31"/>
      <c r="BW1133" s="31"/>
      <c r="BX1133" s="31"/>
      <c r="BY1133" s="31"/>
      <c r="BZ1133" s="31"/>
      <c r="CA1133" s="31"/>
      <c r="CB1133" s="31"/>
      <c r="CC1133" s="31"/>
      <c r="CD1133" s="31"/>
      <c r="CE1133" s="31"/>
      <c r="CF1133" s="31"/>
      <c r="CG1133" s="31"/>
      <c r="CH1133" s="31"/>
      <c r="CI1133" s="31"/>
      <c r="CJ1133" s="31"/>
      <c r="CK1133" s="31"/>
      <c r="CL1133" s="31"/>
      <c r="CM1133" s="31"/>
      <c r="CN1133" s="31"/>
      <c r="CO1133" s="31"/>
      <c r="CP1133" s="31"/>
      <c r="CQ1133" s="31"/>
      <c r="CR1133" s="31"/>
      <c r="CS1133" s="31"/>
      <c r="CT1133" s="31"/>
      <c r="CU1133" s="31"/>
      <c r="CV1133" s="31"/>
      <c r="CW1133" s="31"/>
      <c r="CX1133" s="31"/>
      <c r="CY1133" s="31"/>
      <c r="CZ1133" s="31"/>
      <c r="DA1133" s="31"/>
      <c r="DB1133" s="31"/>
      <c r="DC1133" s="31"/>
      <c r="DD1133" s="31"/>
      <c r="DE1133" s="31"/>
      <c r="DF1133" s="31"/>
      <c r="DG1133" s="31"/>
      <c r="DH1133" s="31"/>
      <c r="DI1133" s="31"/>
      <c r="DJ1133" s="31"/>
      <c r="DK1133" s="31"/>
      <c r="DL1133" s="31"/>
      <c r="DM1133" s="31"/>
      <c r="DN1133" s="31"/>
      <c r="DO1133" s="31"/>
      <c r="DP1133" s="31"/>
      <c r="DQ1133" s="31"/>
      <c r="DR1133" s="31"/>
      <c r="DS1133" s="31"/>
      <c r="DT1133" s="31"/>
      <c r="DU1133" s="31"/>
      <c r="DV1133" s="31"/>
      <c r="DW1133" s="31"/>
      <c r="DX1133" s="31"/>
      <c r="DY1133" s="31"/>
      <c r="DZ1133" s="31"/>
      <c r="EA1133" s="31"/>
      <c r="EB1133" s="31"/>
      <c r="EC1133" s="31"/>
      <c r="ED1133" s="31"/>
      <c r="EE1133" s="31"/>
      <c r="EF1133" s="31"/>
      <c r="EG1133" s="31"/>
      <c r="EH1133" s="31"/>
      <c r="EI1133" s="31"/>
      <c r="EJ1133" s="31"/>
      <c r="EK1133" s="31"/>
      <c r="EL1133" s="31"/>
      <c r="EM1133" s="31"/>
      <c r="EN1133" s="31"/>
      <c r="EO1133" s="31"/>
      <c r="EP1133" s="31"/>
      <c r="EQ1133" s="31"/>
      <c r="ER1133" s="31"/>
      <c r="ES1133" s="31"/>
      <c r="ET1133" s="31"/>
      <c r="EU1133" s="31"/>
      <c r="EV1133" s="31"/>
      <c r="EW1133" s="31"/>
      <c r="EX1133" s="31"/>
      <c r="EY1133" s="31"/>
      <c r="EZ1133" s="31"/>
      <c r="FA1133" s="31"/>
      <c r="FB1133" s="31"/>
      <c r="FC1133" s="31"/>
      <c r="FD1133" s="31"/>
      <c r="FE1133" s="31"/>
      <c r="FF1133" s="31"/>
      <c r="FG1133" s="31"/>
      <c r="FH1133" s="31"/>
      <c r="FI1133" s="31"/>
      <c r="FJ1133" s="31"/>
      <c r="FK1133" s="31"/>
      <c r="FL1133" s="31"/>
      <c r="FM1133" s="31"/>
      <c r="FN1133" s="31"/>
      <c r="FO1133" s="31"/>
      <c r="FP1133" s="31"/>
      <c r="FQ1133" s="31"/>
      <c r="FR1133" s="31"/>
      <c r="FS1133" s="31"/>
      <c r="FT1133" s="31"/>
      <c r="FU1133" s="31"/>
      <c r="FV1133" s="31"/>
      <c r="FW1133" s="31"/>
      <c r="FX1133" s="31"/>
      <c r="FY1133" s="31"/>
      <c r="FZ1133" s="31"/>
      <c r="GA1133" s="31"/>
      <c r="GB1133" s="31"/>
      <c r="GC1133" s="31"/>
      <c r="GD1133" s="31"/>
      <c r="GE1133" s="31"/>
      <c r="GF1133" s="31"/>
      <c r="GG1133" s="31"/>
      <c r="GH1133" s="31"/>
      <c r="GI1133" s="31"/>
      <c r="GJ1133" s="31"/>
      <c r="GK1133" s="31"/>
      <c r="GL1133" s="31"/>
      <c r="GM1133" s="31"/>
      <c r="GN1133" s="31"/>
      <c r="GO1133" s="31"/>
      <c r="GP1133" s="31"/>
      <c r="GQ1133" s="31"/>
      <c r="GR1133" s="31"/>
      <c r="GS1133" s="31"/>
      <c r="GT1133" s="31"/>
      <c r="GU1133" s="31"/>
      <c r="GV1133" s="31"/>
      <c r="GW1133" s="31"/>
      <c r="GX1133" s="31"/>
      <c r="GY1133" s="31"/>
      <c r="GZ1133" s="31"/>
      <c r="HA1133" s="31"/>
      <c r="HB1133" s="31"/>
      <c r="HC1133" s="31"/>
      <c r="HD1133" s="31"/>
      <c r="HE1133" s="31"/>
      <c r="HF1133" s="31"/>
      <c r="HG1133" s="31"/>
      <c r="HH1133" s="31"/>
      <c r="HI1133" s="31"/>
      <c r="HJ1133" s="31"/>
      <c r="HK1133" s="31"/>
      <c r="HL1133" s="31"/>
      <c r="HM1133" s="31"/>
      <c r="HN1133" s="31"/>
      <c r="HO1133" s="31"/>
      <c r="HP1133" s="31"/>
      <c r="HQ1133" s="31"/>
      <c r="HR1133" s="31"/>
      <c r="HS1133" s="31"/>
      <c r="HT1133" s="31"/>
      <c r="HU1133" s="31"/>
      <c r="HV1133" s="31"/>
      <c r="HW1133" s="31"/>
      <c r="HX1133" s="31"/>
      <c r="HY1133" s="31"/>
      <c r="HZ1133" s="31"/>
      <c r="IA1133" s="31"/>
      <c r="IB1133" s="31"/>
      <c r="IC1133" s="31"/>
      <c r="ID1133" s="31"/>
      <c r="IE1133" s="31"/>
      <c r="IF1133" s="31"/>
      <c r="IG1133" s="31"/>
      <c r="IH1133" s="31"/>
      <c r="II1133" s="31"/>
      <c r="IJ1133" s="31"/>
      <c r="IK1133" s="31"/>
      <c r="IL1133" s="31"/>
      <c r="IM1133" s="31"/>
      <c r="IN1133" s="31"/>
      <c r="IO1133" s="31"/>
      <c r="IP1133" s="31"/>
      <c r="IQ1133" s="31"/>
      <c r="IR1133" s="31"/>
      <c r="IS1133" s="31"/>
      <c r="IT1133" s="31"/>
      <c r="IU1133" s="31"/>
      <c r="IV1133" s="31"/>
      <c r="IW1133" s="31"/>
      <c r="IX1133" s="31"/>
      <c r="IY1133" s="31"/>
      <c r="IZ1133" s="31"/>
      <c r="JA1133" s="31"/>
      <c r="JB1133" s="31"/>
      <c r="JC1133" s="31"/>
      <c r="JD1133" s="31"/>
      <c r="JE1133" s="31"/>
      <c r="JF1133" s="31"/>
      <c r="JG1133" s="31"/>
      <c r="JH1133" s="31"/>
      <c r="JI1133" s="31"/>
      <c r="JJ1133" s="31"/>
      <c r="JK1133" s="31"/>
      <c r="JL1133" s="31"/>
      <c r="JM1133" s="31"/>
      <c r="JN1133" s="31"/>
      <c r="JO1133" s="31"/>
      <c r="JP1133" s="31"/>
      <c r="JQ1133" s="31"/>
      <c r="JR1133" s="31"/>
      <c r="JS1133" s="31"/>
      <c r="JT1133" s="31"/>
      <c r="JU1133" s="31"/>
      <c r="JV1133" s="31"/>
      <c r="JW1133" s="31"/>
      <c r="JX1133" s="31"/>
      <c r="JY1133" s="31"/>
      <c r="JZ1133" s="31"/>
      <c r="KA1133" s="31"/>
      <c r="KB1133" s="31"/>
      <c r="KC1133" s="31"/>
      <c r="KD1133" s="31"/>
      <c r="KE1133" s="31"/>
      <c r="KF1133" s="31"/>
      <c r="KG1133" s="31"/>
      <c r="KH1133" s="31"/>
      <c r="KI1133" s="31"/>
      <c r="KJ1133" s="31"/>
      <c r="KK1133" s="31"/>
      <c r="KL1133" s="31"/>
      <c r="KM1133" s="31"/>
      <c r="KN1133" s="31"/>
      <c r="KO1133" s="31"/>
      <c r="KP1133" s="31"/>
      <c r="KQ1133" s="31"/>
      <c r="KR1133" s="31"/>
      <c r="KS1133" s="31"/>
      <c r="KT1133" s="31"/>
      <c r="KU1133" s="31"/>
      <c r="KV1133" s="31"/>
      <c r="KW1133" s="31"/>
      <c r="KX1133" s="31"/>
      <c r="KY1133" s="31"/>
      <c r="KZ1133" s="31"/>
      <c r="LA1133" s="31"/>
      <c r="LB1133" s="31"/>
      <c r="LC1133" s="31"/>
      <c r="LD1133" s="31"/>
      <c r="LE1133" s="31"/>
      <c r="LF1133" s="31"/>
      <c r="LG1133" s="31"/>
      <c r="LH1133" s="31"/>
      <c r="LI1133" s="31"/>
      <c r="LJ1133" s="31"/>
      <c r="LK1133" s="31"/>
      <c r="LL1133" s="31"/>
      <c r="LM1133" s="31"/>
      <c r="LN1133" s="31"/>
      <c r="LO1133" s="31"/>
      <c r="LP1133" s="31"/>
      <c r="LQ1133" s="31"/>
      <c r="LR1133" s="31"/>
      <c r="LS1133" s="31"/>
      <c r="LT1133" s="31"/>
      <c r="LU1133" s="31"/>
      <c r="LV1133" s="31"/>
      <c r="LW1133" s="31"/>
      <c r="LX1133" s="31"/>
      <c r="LY1133" s="31"/>
      <c r="LZ1133" s="31"/>
      <c r="MA1133" s="31"/>
      <c r="MB1133" s="31"/>
      <c r="MC1133" s="31"/>
      <c r="MD1133" s="31"/>
      <c r="ME1133" s="31"/>
      <c r="MF1133" s="31"/>
      <c r="MG1133" s="31"/>
      <c r="MH1133" s="31"/>
      <c r="MI1133" s="31"/>
      <c r="MJ1133" s="31"/>
      <c r="MK1133" s="31"/>
      <c r="ML1133" s="31"/>
      <c r="MM1133" s="31"/>
      <c r="MN1133" s="31"/>
      <c r="MO1133" s="31"/>
      <c r="MP1133" s="31"/>
      <c r="MQ1133" s="31"/>
      <c r="MR1133" s="31"/>
      <c r="MS1133" s="31"/>
      <c r="MT1133" s="31"/>
      <c r="MU1133" s="31"/>
      <c r="MV1133" s="31"/>
      <c r="MW1133" s="31"/>
      <c r="MX1133" s="31"/>
      <c r="MY1133" s="31"/>
      <c r="MZ1133" s="31"/>
      <c r="NA1133" s="31"/>
      <c r="NB1133" s="31"/>
      <c r="NC1133" s="31"/>
      <c r="ND1133" s="31"/>
      <c r="NE1133" s="31"/>
      <c r="NF1133" s="31"/>
      <c r="NG1133" s="31"/>
      <c r="NH1133" s="31"/>
      <c r="NI1133" s="31"/>
      <c r="NJ1133" s="31"/>
      <c r="NK1133" s="31"/>
      <c r="NL1133" s="31"/>
      <c r="NM1133" s="31"/>
      <c r="NN1133" s="31"/>
      <c r="NO1133" s="31"/>
      <c r="NP1133" s="31"/>
      <c r="NQ1133" s="31"/>
      <c r="NR1133" s="31"/>
      <c r="NS1133" s="31"/>
      <c r="NT1133" s="31"/>
      <c r="NU1133" s="31"/>
      <c r="NV1133" s="31"/>
      <c r="NW1133" s="31"/>
      <c r="NX1133" s="31"/>
      <c r="NY1133" s="31"/>
      <c r="NZ1133" s="31"/>
      <c r="OA1133" s="31"/>
      <c r="OB1133" s="31"/>
      <c r="OC1133" s="31"/>
      <c r="OD1133" s="31"/>
      <c r="OE1133" s="31"/>
      <c r="OF1133" s="31"/>
      <c r="OG1133" s="31"/>
      <c r="OH1133" s="31"/>
      <c r="OI1133" s="31"/>
      <c r="OJ1133" s="31"/>
      <c r="OK1133" s="31"/>
      <c r="OL1133" s="31"/>
      <c r="OM1133" s="31"/>
      <c r="ON1133" s="31"/>
      <c r="OO1133" s="31"/>
      <c r="OP1133" s="31"/>
      <c r="OQ1133" s="31"/>
      <c r="OR1133" s="31"/>
      <c r="OS1133" s="31"/>
      <c r="OT1133" s="31"/>
      <c r="OU1133" s="31"/>
      <c r="OV1133" s="31"/>
      <c r="OW1133" s="31"/>
      <c r="OX1133" s="31"/>
      <c r="OY1133" s="31"/>
      <c r="OZ1133" s="31"/>
      <c r="PA1133" s="31"/>
      <c r="PB1133" s="31"/>
      <c r="PC1133" s="31"/>
      <c r="PD1133" s="31"/>
      <c r="PE1133" s="31"/>
      <c r="PF1133" s="31"/>
      <c r="PG1133" s="31"/>
      <c r="PH1133" s="31"/>
      <c r="PI1133" s="31"/>
      <c r="PJ1133" s="31"/>
      <c r="PK1133" s="31"/>
      <c r="PL1133" s="31"/>
      <c r="PM1133" s="31"/>
      <c r="PN1133" s="31"/>
      <c r="PO1133" s="31"/>
      <c r="PP1133" s="31"/>
      <c r="PQ1133" s="31"/>
      <c r="PR1133" s="31"/>
      <c r="PS1133" s="31"/>
      <c r="PT1133" s="31"/>
      <c r="PU1133" s="31"/>
      <c r="PV1133" s="31"/>
      <c r="PW1133" s="31"/>
      <c r="PX1133" s="31"/>
      <c r="PY1133" s="31"/>
      <c r="PZ1133" s="31"/>
      <c r="QA1133" s="31"/>
      <c r="QB1133" s="31"/>
      <c r="QC1133" s="31"/>
      <c r="QD1133" s="31"/>
      <c r="QE1133" s="31"/>
      <c r="QF1133" s="31"/>
      <c r="QG1133" s="31"/>
      <c r="QH1133" s="31"/>
      <c r="QI1133" s="31"/>
      <c r="QJ1133" s="31"/>
      <c r="QK1133" s="31"/>
      <c r="QL1133" s="31"/>
      <c r="QM1133" s="31"/>
      <c r="QN1133" s="31"/>
      <c r="QO1133" s="31"/>
      <c r="QP1133" s="31"/>
      <c r="QQ1133" s="31"/>
      <c r="QR1133" s="31"/>
      <c r="QS1133" s="31"/>
      <c r="QT1133" s="31"/>
      <c r="QU1133" s="31"/>
      <c r="QV1133" s="31"/>
      <c r="QW1133" s="31"/>
      <c r="QX1133" s="31"/>
      <c r="QY1133" s="31"/>
      <c r="QZ1133" s="31"/>
      <c r="RA1133" s="31"/>
      <c r="RB1133" s="31"/>
      <c r="RC1133" s="31"/>
      <c r="RD1133" s="31"/>
      <c r="RE1133" s="31"/>
      <c r="RF1133" s="31"/>
      <c r="RG1133" s="31"/>
      <c r="RH1133" s="31"/>
      <c r="RI1133" s="31"/>
      <c r="RJ1133" s="31"/>
      <c r="RK1133" s="31"/>
      <c r="RL1133" s="31"/>
      <c r="RM1133" s="31"/>
      <c r="RN1133" s="31"/>
      <c r="RO1133" s="31"/>
      <c r="RP1133" s="31"/>
      <c r="RQ1133" s="31"/>
      <c r="RR1133" s="31"/>
      <c r="RS1133" s="31"/>
      <c r="RT1133" s="31"/>
      <c r="RU1133" s="31"/>
      <c r="RV1133" s="31"/>
      <c r="RW1133" s="31"/>
      <c r="RX1133" s="31"/>
      <c r="RY1133" s="31"/>
      <c r="RZ1133" s="31"/>
      <c r="SA1133" s="31"/>
      <c r="SB1133" s="31"/>
      <c r="SC1133" s="31"/>
      <c r="SD1133" s="31"/>
      <c r="SE1133" s="31"/>
      <c r="SF1133" s="31"/>
      <c r="SG1133" s="31"/>
      <c r="SH1133" s="31"/>
      <c r="SI1133" s="31"/>
      <c r="SJ1133" s="31"/>
      <c r="SK1133" s="31"/>
      <c r="SL1133" s="31"/>
      <c r="SM1133" s="31"/>
      <c r="SN1133" s="31"/>
      <c r="SO1133" s="31"/>
      <c r="SP1133" s="31"/>
      <c r="SQ1133" s="31"/>
      <c r="SR1133" s="31"/>
      <c r="SS1133" s="31"/>
      <c r="ST1133" s="31"/>
      <c r="SU1133" s="31"/>
      <c r="SV1133" s="31"/>
      <c r="SW1133" s="31"/>
      <c r="SX1133" s="31"/>
      <c r="SY1133" s="31"/>
      <c r="SZ1133" s="31"/>
      <c r="TA1133" s="31"/>
      <c r="TB1133" s="31"/>
      <c r="TC1133" s="31"/>
      <c r="TD1133" s="31"/>
      <c r="TE1133" s="31"/>
      <c r="TF1133" s="31"/>
      <c r="TG1133" s="31"/>
      <c r="TH1133" s="31"/>
      <c r="TI1133" s="31"/>
      <c r="TJ1133" s="31"/>
      <c r="TK1133" s="31"/>
      <c r="TL1133" s="31"/>
      <c r="TM1133" s="31"/>
      <c r="TN1133" s="31"/>
      <c r="TO1133" s="31"/>
      <c r="TP1133" s="31"/>
      <c r="TQ1133" s="31"/>
      <c r="TR1133" s="31"/>
      <c r="TS1133" s="31"/>
      <c r="TT1133" s="31"/>
      <c r="TU1133" s="31"/>
      <c r="TV1133" s="31"/>
      <c r="TW1133" s="31"/>
      <c r="TX1133" s="31"/>
      <c r="TY1133" s="31"/>
      <c r="TZ1133" s="31"/>
      <c r="UA1133" s="31"/>
      <c r="UB1133" s="31"/>
      <c r="UC1133" s="31"/>
      <c r="UD1133" s="31"/>
      <c r="UE1133" s="31"/>
      <c r="UF1133" s="31"/>
      <c r="UG1133" s="33"/>
    </row>
    <row r="1134" spans="1:553" ht="31.5" customHeight="1">
      <c r="A1134" s="356"/>
      <c r="B1134" s="385">
        <v>217</v>
      </c>
      <c r="C1134" s="1403" t="s">
        <v>659</v>
      </c>
      <c r="D1134" s="1389"/>
      <c r="E1134" s="1389"/>
      <c r="F1134" s="1390"/>
      <c r="G1134" s="386" t="s">
        <v>33</v>
      </c>
      <c r="H1134" s="370"/>
      <c r="I1134" s="422">
        <f>(3.5*3.5)+(2.3*1.7)</f>
        <v>16.16</v>
      </c>
      <c r="J1134" s="477">
        <v>137200</v>
      </c>
      <c r="K1134" s="388"/>
      <c r="L1134" s="391">
        <f t="shared" si="167"/>
        <v>2217152</v>
      </c>
      <c r="M1134" s="395"/>
      <c r="N1134" s="395"/>
      <c r="O1134" s="366"/>
      <c r="P1134" s="396"/>
      <c r="Q1134" s="473"/>
      <c r="R1134" s="1039"/>
      <c r="S1134" s="308"/>
      <c r="T1134" s="308"/>
      <c r="U1134" s="308"/>
      <c r="V1134" s="308"/>
      <c r="W1134" s="308"/>
      <c r="X1134" s="308"/>
      <c r="Y1134" s="308"/>
      <c r="Z1134" s="604"/>
      <c r="AA1134" s="308"/>
      <c r="AB1134" s="308"/>
      <c r="AC1134" s="449"/>
      <c r="AD1134" s="449"/>
      <c r="AE1134" s="449"/>
      <c r="AF1134" s="449"/>
      <c r="AG1134" s="452"/>
      <c r="AH1134" s="452"/>
      <c r="AI1134" s="452"/>
      <c r="AJ1134" s="452"/>
      <c r="AK1134" s="452"/>
      <c r="AL1134" s="104"/>
      <c r="AM1134" s="32"/>
      <c r="AN1134" s="32"/>
      <c r="AO1134" s="32"/>
      <c r="AP1134" s="32"/>
      <c r="AQ1134" s="31"/>
      <c r="AR1134" s="31"/>
      <c r="AS1134" s="31"/>
      <c r="AT1134" s="31"/>
      <c r="AU1134" s="31"/>
      <c r="AV1134" s="31"/>
      <c r="AW1134" s="31"/>
      <c r="AX1134" s="31"/>
      <c r="AY1134" s="31"/>
      <c r="AZ1134" s="31"/>
      <c r="BA1134" s="31"/>
      <c r="BB1134" s="31"/>
      <c r="BC1134" s="31"/>
      <c r="BD1134" s="31"/>
      <c r="BE1134" s="31"/>
      <c r="BF1134" s="31"/>
      <c r="BG1134" s="31"/>
      <c r="BH1134" s="31"/>
      <c r="BI1134" s="31"/>
      <c r="BJ1134" s="31"/>
      <c r="BK1134" s="31"/>
      <c r="BL1134" s="31"/>
      <c r="BM1134" s="31"/>
      <c r="BN1134" s="31"/>
      <c r="BO1134" s="31"/>
      <c r="BP1134" s="31"/>
      <c r="BQ1134" s="31"/>
      <c r="BR1134" s="31"/>
      <c r="BS1134" s="31"/>
      <c r="BT1134" s="31"/>
      <c r="BU1134" s="31"/>
      <c r="BV1134" s="31"/>
      <c r="BW1134" s="31"/>
      <c r="BX1134" s="31"/>
      <c r="BY1134" s="31"/>
      <c r="BZ1134" s="31"/>
      <c r="CA1134" s="31"/>
      <c r="CB1134" s="31"/>
      <c r="CC1134" s="31"/>
      <c r="CD1134" s="31"/>
      <c r="CE1134" s="31"/>
      <c r="CF1134" s="31"/>
      <c r="CG1134" s="31"/>
      <c r="CH1134" s="31"/>
      <c r="CI1134" s="31"/>
      <c r="CJ1134" s="31"/>
      <c r="CK1134" s="31"/>
      <c r="CL1134" s="31"/>
      <c r="CM1134" s="31"/>
      <c r="CN1134" s="31"/>
      <c r="CO1134" s="31"/>
      <c r="CP1134" s="31"/>
      <c r="CQ1134" s="31"/>
      <c r="CR1134" s="31"/>
      <c r="CS1134" s="31"/>
      <c r="CT1134" s="31"/>
      <c r="CU1134" s="31"/>
      <c r="CV1134" s="31"/>
      <c r="CW1134" s="31"/>
      <c r="CX1134" s="31"/>
      <c r="CY1134" s="31"/>
      <c r="CZ1134" s="31"/>
      <c r="DA1134" s="31"/>
      <c r="DB1134" s="31"/>
      <c r="DC1134" s="31"/>
      <c r="DD1134" s="31"/>
      <c r="DE1134" s="31"/>
      <c r="DF1134" s="31"/>
      <c r="DG1134" s="31"/>
      <c r="DH1134" s="31"/>
      <c r="DI1134" s="31"/>
      <c r="DJ1134" s="31"/>
      <c r="DK1134" s="31"/>
      <c r="DL1134" s="31"/>
      <c r="DM1134" s="31"/>
      <c r="DN1134" s="31"/>
      <c r="DO1134" s="31"/>
      <c r="DP1134" s="31"/>
      <c r="DQ1134" s="31"/>
      <c r="DR1134" s="31"/>
      <c r="DS1134" s="31"/>
      <c r="DT1134" s="31"/>
      <c r="DU1134" s="31"/>
      <c r="DV1134" s="31"/>
      <c r="DW1134" s="31"/>
      <c r="DX1134" s="31"/>
      <c r="DY1134" s="31"/>
      <c r="DZ1134" s="31"/>
      <c r="EA1134" s="31"/>
      <c r="EB1134" s="31"/>
      <c r="EC1134" s="31"/>
      <c r="ED1134" s="31"/>
      <c r="EE1134" s="31"/>
      <c r="EF1134" s="31"/>
      <c r="EG1134" s="31"/>
      <c r="EH1134" s="31"/>
      <c r="EI1134" s="31"/>
      <c r="EJ1134" s="31"/>
      <c r="EK1134" s="31"/>
      <c r="EL1134" s="31"/>
      <c r="EM1134" s="31"/>
      <c r="EN1134" s="31"/>
      <c r="EO1134" s="31"/>
      <c r="EP1134" s="31"/>
      <c r="EQ1134" s="31"/>
      <c r="ER1134" s="31"/>
      <c r="ES1134" s="31"/>
      <c r="ET1134" s="31"/>
      <c r="EU1134" s="31"/>
      <c r="EV1134" s="31"/>
      <c r="EW1134" s="31"/>
      <c r="EX1134" s="31"/>
      <c r="EY1134" s="31"/>
      <c r="EZ1134" s="31"/>
      <c r="FA1134" s="31"/>
      <c r="FB1134" s="31"/>
      <c r="FC1134" s="31"/>
      <c r="FD1134" s="31"/>
      <c r="FE1134" s="31"/>
      <c r="FF1134" s="31"/>
      <c r="FG1134" s="31"/>
      <c r="FH1134" s="31"/>
      <c r="FI1134" s="31"/>
      <c r="FJ1134" s="31"/>
      <c r="FK1134" s="31"/>
      <c r="FL1134" s="31"/>
      <c r="FM1134" s="31"/>
      <c r="FN1134" s="31"/>
      <c r="FO1134" s="31"/>
      <c r="FP1134" s="31"/>
      <c r="FQ1134" s="31"/>
      <c r="FR1134" s="31"/>
      <c r="FS1134" s="31"/>
      <c r="FT1134" s="31"/>
      <c r="FU1134" s="31"/>
      <c r="FV1134" s="31"/>
      <c r="FW1134" s="31"/>
      <c r="FX1134" s="31"/>
      <c r="FY1134" s="31"/>
      <c r="FZ1134" s="31"/>
      <c r="GA1134" s="31"/>
      <c r="GB1134" s="31"/>
      <c r="GC1134" s="31"/>
      <c r="GD1134" s="31"/>
      <c r="GE1134" s="31"/>
      <c r="GF1134" s="31"/>
      <c r="GG1134" s="31"/>
      <c r="GH1134" s="31"/>
      <c r="GI1134" s="31"/>
      <c r="GJ1134" s="31"/>
      <c r="GK1134" s="31"/>
      <c r="GL1134" s="31"/>
      <c r="GM1134" s="31"/>
      <c r="GN1134" s="31"/>
      <c r="GO1134" s="31"/>
      <c r="GP1134" s="31"/>
      <c r="GQ1134" s="31"/>
      <c r="GR1134" s="31"/>
      <c r="GS1134" s="31"/>
      <c r="GT1134" s="31"/>
      <c r="GU1134" s="31"/>
      <c r="GV1134" s="31"/>
      <c r="GW1134" s="31"/>
      <c r="GX1134" s="31"/>
      <c r="GY1134" s="31"/>
      <c r="GZ1134" s="31"/>
      <c r="HA1134" s="31"/>
      <c r="HB1134" s="31"/>
      <c r="HC1134" s="31"/>
      <c r="HD1134" s="31"/>
      <c r="HE1134" s="31"/>
      <c r="HF1134" s="31"/>
      <c r="HG1134" s="31"/>
      <c r="HH1134" s="31"/>
      <c r="HI1134" s="31"/>
      <c r="HJ1134" s="31"/>
      <c r="HK1134" s="31"/>
      <c r="HL1134" s="31"/>
      <c r="HM1134" s="31"/>
      <c r="HN1134" s="31"/>
      <c r="HO1134" s="31"/>
      <c r="HP1134" s="31"/>
      <c r="HQ1134" s="31"/>
      <c r="HR1134" s="31"/>
      <c r="HS1134" s="31"/>
      <c r="HT1134" s="31"/>
      <c r="HU1134" s="31"/>
      <c r="HV1134" s="31"/>
      <c r="HW1134" s="31"/>
      <c r="HX1134" s="31"/>
      <c r="HY1134" s="31"/>
      <c r="HZ1134" s="31"/>
      <c r="IA1134" s="31"/>
      <c r="IB1134" s="31"/>
      <c r="IC1134" s="31"/>
      <c r="ID1134" s="31"/>
      <c r="IE1134" s="31"/>
      <c r="IF1134" s="31"/>
      <c r="IG1134" s="31"/>
      <c r="IH1134" s="31"/>
      <c r="II1134" s="31"/>
      <c r="IJ1134" s="31"/>
      <c r="IK1134" s="31"/>
      <c r="IL1134" s="31"/>
      <c r="IM1134" s="31"/>
      <c r="IN1134" s="31"/>
      <c r="IO1134" s="31"/>
      <c r="IP1134" s="31"/>
      <c r="IQ1134" s="31"/>
      <c r="IR1134" s="31"/>
      <c r="IS1134" s="31"/>
      <c r="IT1134" s="31"/>
      <c r="IU1134" s="31"/>
      <c r="IV1134" s="31"/>
      <c r="IW1134" s="31"/>
      <c r="IX1134" s="31"/>
      <c r="IY1134" s="31"/>
      <c r="IZ1134" s="31"/>
      <c r="JA1134" s="31"/>
      <c r="JB1134" s="31"/>
      <c r="JC1134" s="31"/>
      <c r="JD1134" s="31"/>
      <c r="JE1134" s="31"/>
      <c r="JF1134" s="31"/>
      <c r="JG1134" s="31"/>
      <c r="JH1134" s="31"/>
      <c r="JI1134" s="31"/>
      <c r="JJ1134" s="31"/>
      <c r="JK1134" s="31"/>
      <c r="JL1134" s="31"/>
      <c r="JM1134" s="31"/>
      <c r="JN1134" s="31"/>
      <c r="JO1134" s="31"/>
      <c r="JP1134" s="31"/>
      <c r="JQ1134" s="31"/>
      <c r="JR1134" s="31"/>
      <c r="JS1134" s="31"/>
      <c r="JT1134" s="31"/>
      <c r="JU1134" s="31"/>
      <c r="JV1134" s="31"/>
      <c r="JW1134" s="31"/>
      <c r="JX1134" s="31"/>
      <c r="JY1134" s="31"/>
      <c r="JZ1134" s="31"/>
      <c r="KA1134" s="31"/>
      <c r="KB1134" s="31"/>
      <c r="KC1134" s="31"/>
      <c r="KD1134" s="31"/>
      <c r="KE1134" s="31"/>
      <c r="KF1134" s="31"/>
      <c r="KG1134" s="31"/>
      <c r="KH1134" s="31"/>
      <c r="KI1134" s="31"/>
      <c r="KJ1134" s="31"/>
      <c r="KK1134" s="31"/>
      <c r="KL1134" s="31"/>
      <c r="KM1134" s="31"/>
      <c r="KN1134" s="31"/>
      <c r="KO1134" s="31"/>
      <c r="KP1134" s="31"/>
      <c r="KQ1134" s="31"/>
      <c r="KR1134" s="31"/>
      <c r="KS1134" s="31"/>
      <c r="KT1134" s="31"/>
      <c r="KU1134" s="31"/>
      <c r="KV1134" s="31"/>
      <c r="KW1134" s="31"/>
      <c r="KX1134" s="31"/>
      <c r="KY1134" s="31"/>
      <c r="KZ1134" s="31"/>
      <c r="LA1134" s="31"/>
      <c r="LB1134" s="31"/>
      <c r="LC1134" s="31"/>
      <c r="LD1134" s="31"/>
      <c r="LE1134" s="31"/>
      <c r="LF1134" s="31"/>
      <c r="LG1134" s="31"/>
      <c r="LH1134" s="31"/>
      <c r="LI1134" s="31"/>
      <c r="LJ1134" s="31"/>
      <c r="LK1134" s="31"/>
      <c r="LL1134" s="31"/>
      <c r="LM1134" s="31"/>
      <c r="LN1134" s="31"/>
      <c r="LO1134" s="31"/>
      <c r="LP1134" s="31"/>
      <c r="LQ1134" s="31"/>
      <c r="LR1134" s="31"/>
      <c r="LS1134" s="31"/>
      <c r="LT1134" s="31"/>
      <c r="LU1134" s="31"/>
      <c r="LV1134" s="31"/>
      <c r="LW1134" s="31"/>
      <c r="LX1134" s="31"/>
      <c r="LY1134" s="31"/>
      <c r="LZ1134" s="31"/>
      <c r="MA1134" s="31"/>
      <c r="MB1134" s="31"/>
      <c r="MC1134" s="31"/>
      <c r="MD1134" s="31"/>
      <c r="ME1134" s="31"/>
      <c r="MF1134" s="31"/>
      <c r="MG1134" s="31"/>
      <c r="MH1134" s="31"/>
      <c r="MI1134" s="31"/>
      <c r="MJ1134" s="31"/>
      <c r="MK1134" s="31"/>
      <c r="ML1134" s="31"/>
      <c r="MM1134" s="31"/>
      <c r="MN1134" s="31"/>
      <c r="MO1134" s="31"/>
      <c r="MP1134" s="31"/>
      <c r="MQ1134" s="31"/>
      <c r="MR1134" s="31"/>
      <c r="MS1134" s="31"/>
      <c r="MT1134" s="31"/>
      <c r="MU1134" s="31"/>
      <c r="MV1134" s="31"/>
      <c r="MW1134" s="31"/>
      <c r="MX1134" s="31"/>
      <c r="MY1134" s="31"/>
      <c r="MZ1134" s="31"/>
      <c r="NA1134" s="31"/>
      <c r="NB1134" s="31"/>
      <c r="NC1134" s="31"/>
      <c r="ND1134" s="31"/>
      <c r="NE1134" s="31"/>
      <c r="NF1134" s="31"/>
      <c r="NG1134" s="31"/>
      <c r="NH1134" s="31"/>
      <c r="NI1134" s="31"/>
      <c r="NJ1134" s="31"/>
      <c r="NK1134" s="31"/>
      <c r="NL1134" s="31"/>
      <c r="NM1134" s="31"/>
      <c r="NN1134" s="31"/>
      <c r="NO1134" s="31"/>
      <c r="NP1134" s="31"/>
      <c r="NQ1134" s="31"/>
      <c r="NR1134" s="31"/>
      <c r="NS1134" s="31"/>
      <c r="NT1134" s="31"/>
      <c r="NU1134" s="31"/>
      <c r="NV1134" s="31"/>
      <c r="NW1134" s="31"/>
      <c r="NX1134" s="31"/>
      <c r="NY1134" s="31"/>
      <c r="NZ1134" s="31"/>
      <c r="OA1134" s="31"/>
      <c r="OB1134" s="31"/>
      <c r="OC1134" s="31"/>
      <c r="OD1134" s="31"/>
      <c r="OE1134" s="31"/>
      <c r="OF1134" s="31"/>
      <c r="OG1134" s="31"/>
      <c r="OH1134" s="31"/>
      <c r="OI1134" s="31"/>
      <c r="OJ1134" s="31"/>
      <c r="OK1134" s="31"/>
      <c r="OL1134" s="31"/>
      <c r="OM1134" s="31"/>
      <c r="ON1134" s="31"/>
      <c r="OO1134" s="31"/>
      <c r="OP1134" s="31"/>
      <c r="OQ1134" s="31"/>
      <c r="OR1134" s="31"/>
      <c r="OS1134" s="31"/>
      <c r="OT1134" s="31"/>
      <c r="OU1134" s="31"/>
      <c r="OV1134" s="31"/>
      <c r="OW1134" s="31"/>
      <c r="OX1134" s="31"/>
      <c r="OY1134" s="31"/>
      <c r="OZ1134" s="31"/>
      <c r="PA1134" s="31"/>
      <c r="PB1134" s="31"/>
      <c r="PC1134" s="31"/>
      <c r="PD1134" s="31"/>
      <c r="PE1134" s="31"/>
      <c r="PF1134" s="31"/>
      <c r="PG1134" s="31"/>
      <c r="PH1134" s="31"/>
      <c r="PI1134" s="31"/>
      <c r="PJ1134" s="31"/>
      <c r="PK1134" s="31"/>
      <c r="PL1134" s="31"/>
      <c r="PM1134" s="31"/>
      <c r="PN1134" s="31"/>
      <c r="PO1134" s="31"/>
      <c r="PP1134" s="31"/>
      <c r="PQ1134" s="31"/>
      <c r="PR1134" s="31"/>
      <c r="PS1134" s="31"/>
      <c r="PT1134" s="31"/>
      <c r="PU1134" s="31"/>
      <c r="PV1134" s="31"/>
      <c r="PW1134" s="31"/>
      <c r="PX1134" s="31"/>
      <c r="PY1134" s="31"/>
      <c r="PZ1134" s="31"/>
      <c r="QA1134" s="31"/>
      <c r="QB1134" s="31"/>
      <c r="QC1134" s="31"/>
      <c r="QD1134" s="31"/>
      <c r="QE1134" s="31"/>
      <c r="QF1134" s="31"/>
      <c r="QG1134" s="31"/>
      <c r="QH1134" s="31"/>
      <c r="QI1134" s="31"/>
      <c r="QJ1134" s="31"/>
      <c r="QK1134" s="31"/>
      <c r="QL1134" s="31"/>
      <c r="QM1134" s="31"/>
      <c r="QN1134" s="31"/>
      <c r="QO1134" s="31"/>
      <c r="QP1134" s="31"/>
      <c r="QQ1134" s="31"/>
      <c r="QR1134" s="31"/>
      <c r="QS1134" s="31"/>
      <c r="QT1134" s="31"/>
      <c r="QU1134" s="31"/>
      <c r="QV1134" s="31"/>
      <c r="QW1134" s="31"/>
      <c r="QX1134" s="31"/>
      <c r="QY1134" s="31"/>
      <c r="QZ1134" s="31"/>
      <c r="RA1134" s="31"/>
      <c r="RB1134" s="31"/>
      <c r="RC1134" s="31"/>
      <c r="RD1134" s="31"/>
      <c r="RE1134" s="31"/>
      <c r="RF1134" s="31"/>
      <c r="RG1134" s="31"/>
      <c r="RH1134" s="31"/>
      <c r="RI1134" s="31"/>
      <c r="RJ1134" s="31"/>
      <c r="RK1134" s="31"/>
      <c r="RL1134" s="31"/>
      <c r="RM1134" s="31"/>
      <c r="RN1134" s="31"/>
      <c r="RO1134" s="31"/>
      <c r="RP1134" s="31"/>
      <c r="RQ1134" s="31"/>
      <c r="RR1134" s="31"/>
      <c r="RS1134" s="31"/>
      <c r="RT1134" s="31"/>
      <c r="RU1134" s="31"/>
      <c r="RV1134" s="31"/>
      <c r="RW1134" s="31"/>
      <c r="RX1134" s="31"/>
      <c r="RY1134" s="31"/>
      <c r="RZ1134" s="31"/>
      <c r="SA1134" s="31"/>
      <c r="SB1134" s="31"/>
      <c r="SC1134" s="31"/>
      <c r="SD1134" s="31"/>
      <c r="SE1134" s="31"/>
      <c r="SF1134" s="31"/>
      <c r="SG1134" s="31"/>
      <c r="SH1134" s="31"/>
      <c r="SI1134" s="31"/>
      <c r="SJ1134" s="31"/>
      <c r="SK1134" s="31"/>
      <c r="SL1134" s="31"/>
      <c r="SM1134" s="31"/>
      <c r="SN1134" s="31"/>
      <c r="SO1134" s="31"/>
      <c r="SP1134" s="31"/>
      <c r="SQ1134" s="31"/>
      <c r="SR1134" s="31"/>
      <c r="SS1134" s="31"/>
      <c r="ST1134" s="31"/>
      <c r="SU1134" s="31"/>
      <c r="SV1134" s="31"/>
      <c r="SW1134" s="31"/>
      <c r="SX1134" s="31"/>
      <c r="SY1134" s="31"/>
      <c r="SZ1134" s="31"/>
      <c r="TA1134" s="31"/>
      <c r="TB1134" s="31"/>
      <c r="TC1134" s="31"/>
      <c r="TD1134" s="31"/>
      <c r="TE1134" s="31"/>
      <c r="TF1134" s="31"/>
      <c r="TG1134" s="31"/>
      <c r="TH1134" s="31"/>
      <c r="TI1134" s="31"/>
      <c r="TJ1134" s="31"/>
      <c r="TK1134" s="31"/>
      <c r="TL1134" s="31"/>
      <c r="TM1134" s="31"/>
      <c r="TN1134" s="31"/>
      <c r="TO1134" s="31"/>
      <c r="TP1134" s="31"/>
      <c r="TQ1134" s="31"/>
      <c r="TR1134" s="31"/>
      <c r="TS1134" s="31"/>
      <c r="TT1134" s="31"/>
      <c r="TU1134" s="31"/>
      <c r="TV1134" s="31"/>
      <c r="TW1134" s="31"/>
      <c r="TX1134" s="31"/>
      <c r="TY1134" s="31"/>
      <c r="TZ1134" s="31"/>
      <c r="UA1134" s="31"/>
      <c r="UB1134" s="31"/>
      <c r="UC1134" s="31"/>
      <c r="UD1134" s="31"/>
      <c r="UE1134" s="31"/>
      <c r="UF1134" s="31"/>
      <c r="UG1134" s="33"/>
    </row>
    <row r="1135" spans="1:553" ht="39" customHeight="1">
      <c r="A1135" s="356"/>
      <c r="B1135" s="385">
        <v>209</v>
      </c>
      <c r="C1135" s="1403" t="s">
        <v>660</v>
      </c>
      <c r="D1135" s="1389"/>
      <c r="E1135" s="1389"/>
      <c r="F1135" s="1390"/>
      <c r="G1135" s="386" t="s">
        <v>113</v>
      </c>
      <c r="H1135" s="370"/>
      <c r="I1135" s="422">
        <v>25</v>
      </c>
      <c r="J1135" s="477">
        <v>300000</v>
      </c>
      <c r="K1135" s="388"/>
      <c r="L1135" s="391">
        <f t="shared" si="167"/>
        <v>7500000</v>
      </c>
      <c r="M1135" s="395"/>
      <c r="N1135" s="395"/>
      <c r="O1135" s="366"/>
      <c r="P1135" s="396"/>
      <c r="Q1135" s="473"/>
      <c r="R1135" s="1039"/>
      <c r="S1135" s="308"/>
      <c r="T1135" s="308"/>
      <c r="U1135" s="308"/>
      <c r="V1135" s="308"/>
      <c r="W1135" s="308"/>
      <c r="X1135" s="308"/>
      <c r="Y1135" s="308"/>
      <c r="Z1135" s="604"/>
      <c r="AA1135" s="308"/>
      <c r="AB1135" s="308"/>
      <c r="AC1135" s="449"/>
      <c r="AD1135" s="449"/>
      <c r="AE1135" s="449"/>
      <c r="AF1135" s="449"/>
      <c r="AG1135" s="452"/>
      <c r="AH1135" s="452"/>
      <c r="AI1135" s="452"/>
      <c r="AJ1135" s="452"/>
      <c r="AK1135" s="452"/>
      <c r="AL1135" s="104"/>
      <c r="AM1135" s="32"/>
      <c r="AN1135" s="32"/>
      <c r="AO1135" s="32"/>
      <c r="AP1135" s="32"/>
      <c r="AQ1135" s="31"/>
      <c r="AR1135" s="31"/>
      <c r="AS1135" s="31"/>
      <c r="AT1135" s="31"/>
      <c r="AU1135" s="31"/>
      <c r="AV1135" s="31"/>
      <c r="AW1135" s="31"/>
      <c r="AX1135" s="31"/>
      <c r="AY1135" s="31"/>
      <c r="AZ1135" s="31"/>
      <c r="BA1135" s="31"/>
      <c r="BB1135" s="31"/>
      <c r="BC1135" s="31"/>
      <c r="BD1135" s="31"/>
      <c r="BE1135" s="31"/>
      <c r="BF1135" s="31"/>
      <c r="BG1135" s="31"/>
      <c r="BH1135" s="31"/>
      <c r="BI1135" s="31"/>
      <c r="BJ1135" s="31"/>
      <c r="BK1135" s="31"/>
      <c r="BL1135" s="31"/>
      <c r="BM1135" s="31"/>
      <c r="BN1135" s="31"/>
      <c r="BO1135" s="31"/>
      <c r="BP1135" s="31"/>
      <c r="BQ1135" s="31"/>
      <c r="BR1135" s="31"/>
      <c r="BS1135" s="31"/>
      <c r="BT1135" s="31"/>
      <c r="BU1135" s="31"/>
      <c r="BV1135" s="31"/>
      <c r="BW1135" s="31"/>
      <c r="BX1135" s="31"/>
      <c r="BY1135" s="31"/>
      <c r="BZ1135" s="31"/>
      <c r="CA1135" s="31"/>
      <c r="CB1135" s="31"/>
      <c r="CC1135" s="31"/>
      <c r="CD1135" s="31"/>
      <c r="CE1135" s="31"/>
      <c r="CF1135" s="31"/>
      <c r="CG1135" s="31"/>
      <c r="CH1135" s="31"/>
      <c r="CI1135" s="31"/>
      <c r="CJ1135" s="31"/>
      <c r="CK1135" s="31"/>
      <c r="CL1135" s="31"/>
      <c r="CM1135" s="31"/>
      <c r="CN1135" s="31"/>
      <c r="CO1135" s="31"/>
      <c r="CP1135" s="31"/>
      <c r="CQ1135" s="31"/>
      <c r="CR1135" s="31"/>
      <c r="CS1135" s="31"/>
      <c r="CT1135" s="31"/>
      <c r="CU1135" s="31"/>
      <c r="CV1135" s="31"/>
      <c r="CW1135" s="31"/>
      <c r="CX1135" s="31"/>
      <c r="CY1135" s="31"/>
      <c r="CZ1135" s="31"/>
      <c r="DA1135" s="31"/>
      <c r="DB1135" s="31"/>
      <c r="DC1135" s="31"/>
      <c r="DD1135" s="31"/>
      <c r="DE1135" s="31"/>
      <c r="DF1135" s="31"/>
      <c r="DG1135" s="31"/>
      <c r="DH1135" s="31"/>
      <c r="DI1135" s="31"/>
      <c r="DJ1135" s="31"/>
      <c r="DK1135" s="31"/>
      <c r="DL1135" s="31"/>
      <c r="DM1135" s="31"/>
      <c r="DN1135" s="31"/>
      <c r="DO1135" s="31"/>
      <c r="DP1135" s="31"/>
      <c r="DQ1135" s="31"/>
      <c r="DR1135" s="31"/>
      <c r="DS1135" s="31"/>
      <c r="DT1135" s="31"/>
      <c r="DU1135" s="31"/>
      <c r="DV1135" s="31"/>
      <c r="DW1135" s="31"/>
      <c r="DX1135" s="31"/>
      <c r="DY1135" s="31"/>
      <c r="DZ1135" s="31"/>
      <c r="EA1135" s="31"/>
      <c r="EB1135" s="31"/>
      <c r="EC1135" s="31"/>
      <c r="ED1135" s="31"/>
      <c r="EE1135" s="31"/>
      <c r="EF1135" s="31"/>
      <c r="EG1135" s="31"/>
      <c r="EH1135" s="31"/>
      <c r="EI1135" s="31"/>
      <c r="EJ1135" s="31"/>
      <c r="EK1135" s="31"/>
      <c r="EL1135" s="31"/>
      <c r="EM1135" s="31"/>
      <c r="EN1135" s="31"/>
      <c r="EO1135" s="31"/>
      <c r="EP1135" s="31"/>
      <c r="EQ1135" s="31"/>
      <c r="ER1135" s="31"/>
      <c r="ES1135" s="31"/>
      <c r="ET1135" s="31"/>
      <c r="EU1135" s="31"/>
      <c r="EV1135" s="31"/>
      <c r="EW1135" s="31"/>
      <c r="EX1135" s="31"/>
      <c r="EY1135" s="31"/>
      <c r="EZ1135" s="31"/>
      <c r="FA1135" s="31"/>
      <c r="FB1135" s="31"/>
      <c r="FC1135" s="31"/>
      <c r="FD1135" s="31"/>
      <c r="FE1135" s="31"/>
      <c r="FF1135" s="31"/>
      <c r="FG1135" s="31"/>
      <c r="FH1135" s="31"/>
      <c r="FI1135" s="31"/>
      <c r="FJ1135" s="31"/>
      <c r="FK1135" s="31"/>
      <c r="FL1135" s="31"/>
      <c r="FM1135" s="31"/>
      <c r="FN1135" s="31"/>
      <c r="FO1135" s="31"/>
      <c r="FP1135" s="31"/>
      <c r="FQ1135" s="31"/>
      <c r="FR1135" s="31"/>
      <c r="FS1135" s="31"/>
      <c r="FT1135" s="31"/>
      <c r="FU1135" s="31"/>
      <c r="FV1135" s="31"/>
      <c r="FW1135" s="31"/>
      <c r="FX1135" s="31"/>
      <c r="FY1135" s="31"/>
      <c r="FZ1135" s="31"/>
      <c r="GA1135" s="31"/>
      <c r="GB1135" s="31"/>
      <c r="GC1135" s="31"/>
      <c r="GD1135" s="31"/>
      <c r="GE1135" s="31"/>
      <c r="GF1135" s="31"/>
      <c r="GG1135" s="31"/>
      <c r="GH1135" s="31"/>
      <c r="GI1135" s="31"/>
      <c r="GJ1135" s="31"/>
      <c r="GK1135" s="31"/>
      <c r="GL1135" s="31"/>
      <c r="GM1135" s="31"/>
      <c r="GN1135" s="31"/>
      <c r="GO1135" s="31"/>
      <c r="GP1135" s="31"/>
      <c r="GQ1135" s="31"/>
      <c r="GR1135" s="31"/>
      <c r="GS1135" s="31"/>
      <c r="GT1135" s="31"/>
      <c r="GU1135" s="31"/>
      <c r="GV1135" s="31"/>
      <c r="GW1135" s="31"/>
      <c r="GX1135" s="31"/>
      <c r="GY1135" s="31"/>
      <c r="GZ1135" s="31"/>
      <c r="HA1135" s="31"/>
      <c r="HB1135" s="31"/>
      <c r="HC1135" s="31"/>
      <c r="HD1135" s="31"/>
      <c r="HE1135" s="31"/>
      <c r="HF1135" s="31"/>
      <c r="HG1135" s="31"/>
      <c r="HH1135" s="31"/>
      <c r="HI1135" s="31"/>
      <c r="HJ1135" s="31"/>
      <c r="HK1135" s="31"/>
      <c r="HL1135" s="31"/>
      <c r="HM1135" s="31"/>
      <c r="HN1135" s="31"/>
      <c r="HO1135" s="31"/>
      <c r="HP1135" s="31"/>
      <c r="HQ1135" s="31"/>
      <c r="HR1135" s="31"/>
      <c r="HS1135" s="31"/>
      <c r="HT1135" s="31"/>
      <c r="HU1135" s="31"/>
      <c r="HV1135" s="31"/>
      <c r="HW1135" s="31"/>
      <c r="HX1135" s="31"/>
      <c r="HY1135" s="31"/>
      <c r="HZ1135" s="31"/>
      <c r="IA1135" s="31"/>
      <c r="IB1135" s="31"/>
      <c r="IC1135" s="31"/>
      <c r="ID1135" s="31"/>
      <c r="IE1135" s="31"/>
      <c r="IF1135" s="31"/>
      <c r="IG1135" s="31"/>
      <c r="IH1135" s="31"/>
      <c r="II1135" s="31"/>
      <c r="IJ1135" s="31"/>
      <c r="IK1135" s="31"/>
      <c r="IL1135" s="31"/>
      <c r="IM1135" s="31"/>
      <c r="IN1135" s="31"/>
      <c r="IO1135" s="31"/>
      <c r="IP1135" s="31"/>
      <c r="IQ1135" s="31"/>
      <c r="IR1135" s="31"/>
      <c r="IS1135" s="31"/>
      <c r="IT1135" s="31"/>
      <c r="IU1135" s="31"/>
      <c r="IV1135" s="31"/>
      <c r="IW1135" s="31"/>
      <c r="IX1135" s="31"/>
      <c r="IY1135" s="31"/>
      <c r="IZ1135" s="31"/>
      <c r="JA1135" s="31"/>
      <c r="JB1135" s="31"/>
      <c r="JC1135" s="31"/>
      <c r="JD1135" s="31"/>
      <c r="JE1135" s="31"/>
      <c r="JF1135" s="31"/>
      <c r="JG1135" s="31"/>
      <c r="JH1135" s="31"/>
      <c r="JI1135" s="31"/>
      <c r="JJ1135" s="31"/>
      <c r="JK1135" s="31"/>
      <c r="JL1135" s="31"/>
      <c r="JM1135" s="31"/>
      <c r="JN1135" s="31"/>
      <c r="JO1135" s="31"/>
      <c r="JP1135" s="31"/>
      <c r="JQ1135" s="31"/>
      <c r="JR1135" s="31"/>
      <c r="JS1135" s="31"/>
      <c r="JT1135" s="31"/>
      <c r="JU1135" s="31"/>
      <c r="JV1135" s="31"/>
      <c r="JW1135" s="31"/>
      <c r="JX1135" s="31"/>
      <c r="JY1135" s="31"/>
      <c r="JZ1135" s="31"/>
      <c r="KA1135" s="31"/>
      <c r="KB1135" s="31"/>
      <c r="KC1135" s="31"/>
      <c r="KD1135" s="31"/>
      <c r="KE1135" s="31"/>
      <c r="KF1135" s="31"/>
      <c r="KG1135" s="31"/>
      <c r="KH1135" s="31"/>
      <c r="KI1135" s="31"/>
      <c r="KJ1135" s="31"/>
      <c r="KK1135" s="31"/>
      <c r="KL1135" s="31"/>
      <c r="KM1135" s="31"/>
      <c r="KN1135" s="31"/>
      <c r="KO1135" s="31"/>
      <c r="KP1135" s="31"/>
      <c r="KQ1135" s="31"/>
      <c r="KR1135" s="31"/>
      <c r="KS1135" s="31"/>
      <c r="KT1135" s="31"/>
      <c r="KU1135" s="31"/>
      <c r="KV1135" s="31"/>
      <c r="KW1135" s="31"/>
      <c r="KX1135" s="31"/>
      <c r="KY1135" s="31"/>
      <c r="KZ1135" s="31"/>
      <c r="LA1135" s="31"/>
      <c r="LB1135" s="31"/>
      <c r="LC1135" s="31"/>
      <c r="LD1135" s="31"/>
      <c r="LE1135" s="31"/>
      <c r="LF1135" s="31"/>
      <c r="LG1135" s="31"/>
      <c r="LH1135" s="31"/>
      <c r="LI1135" s="31"/>
      <c r="LJ1135" s="31"/>
      <c r="LK1135" s="31"/>
      <c r="LL1135" s="31"/>
      <c r="LM1135" s="31"/>
      <c r="LN1135" s="31"/>
      <c r="LO1135" s="31"/>
      <c r="LP1135" s="31"/>
      <c r="LQ1135" s="31"/>
      <c r="LR1135" s="31"/>
      <c r="LS1135" s="31"/>
      <c r="LT1135" s="31"/>
      <c r="LU1135" s="31"/>
      <c r="LV1135" s="31"/>
      <c r="LW1135" s="31"/>
      <c r="LX1135" s="31"/>
      <c r="LY1135" s="31"/>
      <c r="LZ1135" s="31"/>
      <c r="MA1135" s="31"/>
      <c r="MB1135" s="31"/>
      <c r="MC1135" s="31"/>
      <c r="MD1135" s="31"/>
      <c r="ME1135" s="31"/>
      <c r="MF1135" s="31"/>
      <c r="MG1135" s="31"/>
      <c r="MH1135" s="31"/>
      <c r="MI1135" s="31"/>
      <c r="MJ1135" s="31"/>
      <c r="MK1135" s="31"/>
      <c r="ML1135" s="31"/>
      <c r="MM1135" s="31"/>
      <c r="MN1135" s="31"/>
      <c r="MO1135" s="31"/>
      <c r="MP1135" s="31"/>
      <c r="MQ1135" s="31"/>
      <c r="MR1135" s="31"/>
      <c r="MS1135" s="31"/>
      <c r="MT1135" s="31"/>
      <c r="MU1135" s="31"/>
      <c r="MV1135" s="31"/>
      <c r="MW1135" s="31"/>
      <c r="MX1135" s="31"/>
      <c r="MY1135" s="31"/>
      <c r="MZ1135" s="31"/>
      <c r="NA1135" s="31"/>
      <c r="NB1135" s="31"/>
      <c r="NC1135" s="31"/>
      <c r="ND1135" s="31"/>
      <c r="NE1135" s="31"/>
      <c r="NF1135" s="31"/>
      <c r="NG1135" s="31"/>
      <c r="NH1135" s="31"/>
      <c r="NI1135" s="31"/>
      <c r="NJ1135" s="31"/>
      <c r="NK1135" s="31"/>
      <c r="NL1135" s="31"/>
      <c r="NM1135" s="31"/>
      <c r="NN1135" s="31"/>
      <c r="NO1135" s="31"/>
      <c r="NP1135" s="31"/>
      <c r="NQ1135" s="31"/>
      <c r="NR1135" s="31"/>
      <c r="NS1135" s="31"/>
      <c r="NT1135" s="31"/>
      <c r="NU1135" s="31"/>
      <c r="NV1135" s="31"/>
      <c r="NW1135" s="31"/>
      <c r="NX1135" s="31"/>
      <c r="NY1135" s="31"/>
      <c r="NZ1135" s="31"/>
      <c r="OA1135" s="31"/>
      <c r="OB1135" s="31"/>
      <c r="OC1135" s="31"/>
      <c r="OD1135" s="31"/>
      <c r="OE1135" s="31"/>
      <c r="OF1135" s="31"/>
      <c r="OG1135" s="31"/>
      <c r="OH1135" s="31"/>
      <c r="OI1135" s="31"/>
      <c r="OJ1135" s="31"/>
      <c r="OK1135" s="31"/>
      <c r="OL1135" s="31"/>
      <c r="OM1135" s="31"/>
      <c r="ON1135" s="31"/>
      <c r="OO1135" s="31"/>
      <c r="OP1135" s="31"/>
      <c r="OQ1135" s="31"/>
      <c r="OR1135" s="31"/>
      <c r="OS1135" s="31"/>
      <c r="OT1135" s="31"/>
      <c r="OU1135" s="31"/>
      <c r="OV1135" s="31"/>
      <c r="OW1135" s="31"/>
      <c r="OX1135" s="31"/>
      <c r="OY1135" s="31"/>
      <c r="OZ1135" s="31"/>
      <c r="PA1135" s="31"/>
      <c r="PB1135" s="31"/>
      <c r="PC1135" s="31"/>
      <c r="PD1135" s="31"/>
      <c r="PE1135" s="31"/>
      <c r="PF1135" s="31"/>
      <c r="PG1135" s="31"/>
      <c r="PH1135" s="31"/>
      <c r="PI1135" s="31"/>
      <c r="PJ1135" s="31"/>
      <c r="PK1135" s="31"/>
      <c r="PL1135" s="31"/>
      <c r="PM1135" s="31"/>
      <c r="PN1135" s="31"/>
      <c r="PO1135" s="31"/>
      <c r="PP1135" s="31"/>
      <c r="PQ1135" s="31"/>
      <c r="PR1135" s="31"/>
      <c r="PS1135" s="31"/>
      <c r="PT1135" s="31"/>
      <c r="PU1135" s="31"/>
      <c r="PV1135" s="31"/>
      <c r="PW1135" s="31"/>
      <c r="PX1135" s="31"/>
      <c r="PY1135" s="31"/>
      <c r="PZ1135" s="31"/>
      <c r="QA1135" s="31"/>
      <c r="QB1135" s="31"/>
      <c r="QC1135" s="31"/>
      <c r="QD1135" s="31"/>
      <c r="QE1135" s="31"/>
      <c r="QF1135" s="31"/>
      <c r="QG1135" s="31"/>
      <c r="QH1135" s="31"/>
      <c r="QI1135" s="31"/>
      <c r="QJ1135" s="31"/>
      <c r="QK1135" s="31"/>
      <c r="QL1135" s="31"/>
      <c r="QM1135" s="31"/>
      <c r="QN1135" s="31"/>
      <c r="QO1135" s="31"/>
      <c r="QP1135" s="31"/>
      <c r="QQ1135" s="31"/>
      <c r="QR1135" s="31"/>
      <c r="QS1135" s="31"/>
      <c r="QT1135" s="31"/>
      <c r="QU1135" s="31"/>
      <c r="QV1135" s="31"/>
      <c r="QW1135" s="31"/>
      <c r="QX1135" s="31"/>
      <c r="QY1135" s="31"/>
      <c r="QZ1135" s="31"/>
      <c r="RA1135" s="31"/>
      <c r="RB1135" s="31"/>
      <c r="RC1135" s="31"/>
      <c r="RD1135" s="31"/>
      <c r="RE1135" s="31"/>
      <c r="RF1135" s="31"/>
      <c r="RG1135" s="31"/>
      <c r="RH1135" s="31"/>
      <c r="RI1135" s="31"/>
      <c r="RJ1135" s="31"/>
      <c r="RK1135" s="31"/>
      <c r="RL1135" s="31"/>
      <c r="RM1135" s="31"/>
      <c r="RN1135" s="31"/>
      <c r="RO1135" s="31"/>
      <c r="RP1135" s="31"/>
      <c r="RQ1135" s="31"/>
      <c r="RR1135" s="31"/>
      <c r="RS1135" s="31"/>
      <c r="RT1135" s="31"/>
      <c r="RU1135" s="31"/>
      <c r="RV1135" s="31"/>
      <c r="RW1135" s="31"/>
      <c r="RX1135" s="31"/>
      <c r="RY1135" s="31"/>
      <c r="RZ1135" s="31"/>
      <c r="SA1135" s="31"/>
      <c r="SB1135" s="31"/>
      <c r="SC1135" s="31"/>
      <c r="SD1135" s="31"/>
      <c r="SE1135" s="31"/>
      <c r="SF1135" s="31"/>
      <c r="SG1135" s="31"/>
      <c r="SH1135" s="31"/>
      <c r="SI1135" s="31"/>
      <c r="SJ1135" s="31"/>
      <c r="SK1135" s="31"/>
      <c r="SL1135" s="31"/>
      <c r="SM1135" s="31"/>
      <c r="SN1135" s="31"/>
      <c r="SO1135" s="31"/>
      <c r="SP1135" s="31"/>
      <c r="SQ1135" s="31"/>
      <c r="SR1135" s="31"/>
      <c r="SS1135" s="31"/>
      <c r="ST1135" s="31"/>
      <c r="SU1135" s="31"/>
      <c r="SV1135" s="31"/>
      <c r="SW1135" s="31"/>
      <c r="SX1135" s="31"/>
      <c r="SY1135" s="31"/>
      <c r="SZ1135" s="31"/>
      <c r="TA1135" s="31"/>
      <c r="TB1135" s="31"/>
      <c r="TC1135" s="31"/>
      <c r="TD1135" s="31"/>
      <c r="TE1135" s="31"/>
      <c r="TF1135" s="31"/>
      <c r="TG1135" s="31"/>
      <c r="TH1135" s="31"/>
      <c r="TI1135" s="31"/>
      <c r="TJ1135" s="31"/>
      <c r="TK1135" s="31"/>
      <c r="TL1135" s="31"/>
      <c r="TM1135" s="31"/>
      <c r="TN1135" s="31"/>
      <c r="TO1135" s="31"/>
      <c r="TP1135" s="31"/>
      <c r="TQ1135" s="31"/>
      <c r="TR1135" s="31"/>
      <c r="TS1135" s="31"/>
      <c r="TT1135" s="31"/>
      <c r="TU1135" s="31"/>
      <c r="TV1135" s="31"/>
      <c r="TW1135" s="31"/>
      <c r="TX1135" s="31"/>
      <c r="TY1135" s="31"/>
      <c r="TZ1135" s="31"/>
      <c r="UA1135" s="31"/>
      <c r="UB1135" s="31"/>
      <c r="UC1135" s="31"/>
      <c r="UD1135" s="31"/>
      <c r="UE1135" s="31"/>
      <c r="UF1135" s="31"/>
      <c r="UG1135" s="33"/>
    </row>
    <row r="1136" spans="1:553" ht="31.5" customHeight="1">
      <c r="A1136" s="356"/>
      <c r="B1136" s="385">
        <v>219</v>
      </c>
      <c r="C1136" s="1403" t="s">
        <v>661</v>
      </c>
      <c r="D1136" s="1389"/>
      <c r="E1136" s="1389"/>
      <c r="F1136" s="1390"/>
      <c r="G1136" s="386" t="s">
        <v>33</v>
      </c>
      <c r="H1136" s="370"/>
      <c r="I1136" s="422">
        <f>1.8*2.5</f>
        <v>4.5</v>
      </c>
      <c r="J1136" s="477">
        <v>267200</v>
      </c>
      <c r="K1136" s="388"/>
      <c r="L1136" s="391">
        <f t="shared" si="167"/>
        <v>1202400</v>
      </c>
      <c r="M1136" s="395"/>
      <c r="N1136" s="395"/>
      <c r="O1136" s="366"/>
      <c r="P1136" s="396"/>
      <c r="Q1136" s="473"/>
      <c r="R1136" s="1039"/>
      <c r="S1136" s="308"/>
      <c r="T1136" s="308"/>
      <c r="U1136" s="308"/>
      <c r="V1136" s="308"/>
      <c r="W1136" s="308"/>
      <c r="X1136" s="308"/>
      <c r="Y1136" s="308"/>
      <c r="Z1136" s="604"/>
      <c r="AA1136" s="308"/>
      <c r="AB1136" s="308"/>
      <c r="AC1136" s="449"/>
      <c r="AD1136" s="449"/>
      <c r="AE1136" s="449"/>
      <c r="AF1136" s="449"/>
      <c r="AG1136" s="452"/>
      <c r="AH1136" s="452"/>
      <c r="AI1136" s="452"/>
      <c r="AJ1136" s="452"/>
      <c r="AK1136" s="452"/>
      <c r="AL1136" s="104"/>
      <c r="AM1136" s="32"/>
      <c r="AN1136" s="32"/>
      <c r="AO1136" s="32"/>
      <c r="AP1136" s="32"/>
      <c r="AQ1136" s="31"/>
      <c r="AR1136" s="31"/>
      <c r="AS1136" s="31"/>
      <c r="AT1136" s="31"/>
      <c r="AU1136" s="31"/>
      <c r="AV1136" s="31"/>
      <c r="AW1136" s="31"/>
      <c r="AX1136" s="31"/>
      <c r="AY1136" s="31"/>
      <c r="AZ1136" s="31"/>
      <c r="BA1136" s="31"/>
      <c r="BB1136" s="31"/>
      <c r="BC1136" s="31"/>
      <c r="BD1136" s="31"/>
      <c r="BE1136" s="31"/>
      <c r="BF1136" s="31"/>
      <c r="BG1136" s="31"/>
      <c r="BH1136" s="31"/>
      <c r="BI1136" s="31"/>
      <c r="BJ1136" s="31"/>
      <c r="BK1136" s="31"/>
      <c r="BL1136" s="31"/>
      <c r="BM1136" s="31"/>
      <c r="BN1136" s="31"/>
      <c r="BO1136" s="31"/>
      <c r="BP1136" s="31"/>
      <c r="BQ1136" s="31"/>
      <c r="BR1136" s="31"/>
      <c r="BS1136" s="31"/>
      <c r="BT1136" s="31"/>
      <c r="BU1136" s="31"/>
      <c r="BV1136" s="31"/>
      <c r="BW1136" s="31"/>
      <c r="BX1136" s="31"/>
      <c r="BY1136" s="31"/>
      <c r="BZ1136" s="31"/>
      <c r="CA1136" s="31"/>
      <c r="CB1136" s="31"/>
      <c r="CC1136" s="31"/>
      <c r="CD1136" s="31"/>
      <c r="CE1136" s="31"/>
      <c r="CF1136" s="31"/>
      <c r="CG1136" s="31"/>
      <c r="CH1136" s="31"/>
      <c r="CI1136" s="31"/>
      <c r="CJ1136" s="31"/>
      <c r="CK1136" s="31"/>
      <c r="CL1136" s="31"/>
      <c r="CM1136" s="31"/>
      <c r="CN1136" s="31"/>
      <c r="CO1136" s="31"/>
      <c r="CP1136" s="31"/>
      <c r="CQ1136" s="31"/>
      <c r="CR1136" s="31"/>
      <c r="CS1136" s="31"/>
      <c r="CT1136" s="31"/>
      <c r="CU1136" s="31"/>
      <c r="CV1136" s="31"/>
      <c r="CW1136" s="31"/>
      <c r="CX1136" s="31"/>
      <c r="CY1136" s="31"/>
      <c r="CZ1136" s="31"/>
      <c r="DA1136" s="31"/>
      <c r="DB1136" s="31"/>
      <c r="DC1136" s="31"/>
      <c r="DD1136" s="31"/>
      <c r="DE1136" s="31"/>
      <c r="DF1136" s="31"/>
      <c r="DG1136" s="31"/>
      <c r="DH1136" s="31"/>
      <c r="DI1136" s="31"/>
      <c r="DJ1136" s="31"/>
      <c r="DK1136" s="31"/>
      <c r="DL1136" s="31"/>
      <c r="DM1136" s="31"/>
      <c r="DN1136" s="31"/>
      <c r="DO1136" s="31"/>
      <c r="DP1136" s="31"/>
      <c r="DQ1136" s="31"/>
      <c r="DR1136" s="31"/>
      <c r="DS1136" s="31"/>
      <c r="DT1136" s="31"/>
      <c r="DU1136" s="31"/>
      <c r="DV1136" s="31"/>
      <c r="DW1136" s="31"/>
      <c r="DX1136" s="31"/>
      <c r="DY1136" s="31"/>
      <c r="DZ1136" s="31"/>
      <c r="EA1136" s="31"/>
      <c r="EB1136" s="31"/>
      <c r="EC1136" s="31"/>
      <c r="ED1136" s="31"/>
      <c r="EE1136" s="31"/>
      <c r="EF1136" s="31"/>
      <c r="EG1136" s="31"/>
      <c r="EH1136" s="31"/>
      <c r="EI1136" s="31"/>
      <c r="EJ1136" s="31"/>
      <c r="EK1136" s="31"/>
      <c r="EL1136" s="31"/>
      <c r="EM1136" s="31"/>
      <c r="EN1136" s="31"/>
      <c r="EO1136" s="31"/>
      <c r="EP1136" s="31"/>
      <c r="EQ1136" s="31"/>
      <c r="ER1136" s="31"/>
      <c r="ES1136" s="31"/>
      <c r="ET1136" s="31"/>
      <c r="EU1136" s="31"/>
      <c r="EV1136" s="31"/>
      <c r="EW1136" s="31"/>
      <c r="EX1136" s="31"/>
      <c r="EY1136" s="31"/>
      <c r="EZ1136" s="31"/>
      <c r="FA1136" s="31"/>
      <c r="FB1136" s="31"/>
      <c r="FC1136" s="31"/>
      <c r="FD1136" s="31"/>
      <c r="FE1136" s="31"/>
      <c r="FF1136" s="31"/>
      <c r="FG1136" s="31"/>
      <c r="FH1136" s="31"/>
      <c r="FI1136" s="31"/>
      <c r="FJ1136" s="31"/>
      <c r="FK1136" s="31"/>
      <c r="FL1136" s="31"/>
      <c r="FM1136" s="31"/>
      <c r="FN1136" s="31"/>
      <c r="FO1136" s="31"/>
      <c r="FP1136" s="31"/>
      <c r="FQ1136" s="31"/>
      <c r="FR1136" s="31"/>
      <c r="FS1136" s="31"/>
      <c r="FT1136" s="31"/>
      <c r="FU1136" s="31"/>
      <c r="FV1136" s="31"/>
      <c r="FW1136" s="31"/>
      <c r="FX1136" s="31"/>
      <c r="FY1136" s="31"/>
      <c r="FZ1136" s="31"/>
      <c r="GA1136" s="31"/>
      <c r="GB1136" s="31"/>
      <c r="GC1136" s="31"/>
      <c r="GD1136" s="31"/>
      <c r="GE1136" s="31"/>
      <c r="GF1136" s="31"/>
      <c r="GG1136" s="31"/>
      <c r="GH1136" s="31"/>
      <c r="GI1136" s="31"/>
      <c r="GJ1136" s="31"/>
      <c r="GK1136" s="31"/>
      <c r="GL1136" s="31"/>
      <c r="GM1136" s="31"/>
      <c r="GN1136" s="31"/>
      <c r="GO1136" s="31"/>
      <c r="GP1136" s="31"/>
      <c r="GQ1136" s="31"/>
      <c r="GR1136" s="31"/>
      <c r="GS1136" s="31"/>
      <c r="GT1136" s="31"/>
      <c r="GU1136" s="31"/>
      <c r="GV1136" s="31"/>
      <c r="GW1136" s="31"/>
      <c r="GX1136" s="31"/>
      <c r="GY1136" s="31"/>
      <c r="GZ1136" s="31"/>
      <c r="HA1136" s="31"/>
      <c r="HB1136" s="31"/>
      <c r="HC1136" s="31"/>
      <c r="HD1136" s="31"/>
      <c r="HE1136" s="31"/>
      <c r="HF1136" s="31"/>
      <c r="HG1136" s="31"/>
      <c r="HH1136" s="31"/>
      <c r="HI1136" s="31"/>
      <c r="HJ1136" s="31"/>
      <c r="HK1136" s="31"/>
      <c r="HL1136" s="31"/>
      <c r="HM1136" s="31"/>
      <c r="HN1136" s="31"/>
      <c r="HO1136" s="31"/>
      <c r="HP1136" s="31"/>
      <c r="HQ1136" s="31"/>
      <c r="HR1136" s="31"/>
      <c r="HS1136" s="31"/>
      <c r="HT1136" s="31"/>
      <c r="HU1136" s="31"/>
      <c r="HV1136" s="31"/>
      <c r="HW1136" s="31"/>
      <c r="HX1136" s="31"/>
      <c r="HY1136" s="31"/>
      <c r="HZ1136" s="31"/>
      <c r="IA1136" s="31"/>
      <c r="IB1136" s="31"/>
      <c r="IC1136" s="31"/>
      <c r="ID1136" s="31"/>
      <c r="IE1136" s="31"/>
      <c r="IF1136" s="31"/>
      <c r="IG1136" s="31"/>
      <c r="IH1136" s="31"/>
      <c r="II1136" s="31"/>
      <c r="IJ1136" s="31"/>
      <c r="IK1136" s="31"/>
      <c r="IL1136" s="31"/>
      <c r="IM1136" s="31"/>
      <c r="IN1136" s="31"/>
      <c r="IO1136" s="31"/>
      <c r="IP1136" s="31"/>
      <c r="IQ1136" s="31"/>
      <c r="IR1136" s="31"/>
      <c r="IS1136" s="31"/>
      <c r="IT1136" s="31"/>
      <c r="IU1136" s="31"/>
      <c r="IV1136" s="31"/>
      <c r="IW1136" s="31"/>
      <c r="IX1136" s="31"/>
      <c r="IY1136" s="31"/>
      <c r="IZ1136" s="31"/>
      <c r="JA1136" s="31"/>
      <c r="JB1136" s="31"/>
      <c r="JC1136" s="31"/>
      <c r="JD1136" s="31"/>
      <c r="JE1136" s="31"/>
      <c r="JF1136" s="31"/>
      <c r="JG1136" s="31"/>
      <c r="JH1136" s="31"/>
      <c r="JI1136" s="31"/>
      <c r="JJ1136" s="31"/>
      <c r="JK1136" s="31"/>
      <c r="JL1136" s="31"/>
      <c r="JM1136" s="31"/>
      <c r="JN1136" s="31"/>
      <c r="JO1136" s="31"/>
      <c r="JP1136" s="31"/>
      <c r="JQ1136" s="31"/>
      <c r="JR1136" s="31"/>
      <c r="JS1136" s="31"/>
      <c r="JT1136" s="31"/>
      <c r="JU1136" s="31"/>
      <c r="JV1136" s="31"/>
      <c r="JW1136" s="31"/>
      <c r="JX1136" s="31"/>
      <c r="JY1136" s="31"/>
      <c r="JZ1136" s="31"/>
      <c r="KA1136" s="31"/>
      <c r="KB1136" s="31"/>
      <c r="KC1136" s="31"/>
      <c r="KD1136" s="31"/>
      <c r="KE1136" s="31"/>
      <c r="KF1136" s="31"/>
      <c r="KG1136" s="31"/>
      <c r="KH1136" s="31"/>
      <c r="KI1136" s="31"/>
      <c r="KJ1136" s="31"/>
      <c r="KK1136" s="31"/>
      <c r="KL1136" s="31"/>
      <c r="KM1136" s="31"/>
      <c r="KN1136" s="31"/>
      <c r="KO1136" s="31"/>
      <c r="KP1136" s="31"/>
      <c r="KQ1136" s="31"/>
      <c r="KR1136" s="31"/>
      <c r="KS1136" s="31"/>
      <c r="KT1136" s="31"/>
      <c r="KU1136" s="31"/>
      <c r="KV1136" s="31"/>
      <c r="KW1136" s="31"/>
      <c r="KX1136" s="31"/>
      <c r="KY1136" s="31"/>
      <c r="KZ1136" s="31"/>
      <c r="LA1136" s="31"/>
      <c r="LB1136" s="31"/>
      <c r="LC1136" s="31"/>
      <c r="LD1136" s="31"/>
      <c r="LE1136" s="31"/>
      <c r="LF1136" s="31"/>
      <c r="LG1136" s="31"/>
      <c r="LH1136" s="31"/>
      <c r="LI1136" s="31"/>
      <c r="LJ1136" s="31"/>
      <c r="LK1136" s="31"/>
      <c r="LL1136" s="31"/>
      <c r="LM1136" s="31"/>
      <c r="LN1136" s="31"/>
      <c r="LO1136" s="31"/>
      <c r="LP1136" s="31"/>
      <c r="LQ1136" s="31"/>
      <c r="LR1136" s="31"/>
      <c r="LS1136" s="31"/>
      <c r="LT1136" s="31"/>
      <c r="LU1136" s="31"/>
      <c r="LV1136" s="31"/>
      <c r="LW1136" s="31"/>
      <c r="LX1136" s="31"/>
      <c r="LY1136" s="31"/>
      <c r="LZ1136" s="31"/>
      <c r="MA1136" s="31"/>
      <c r="MB1136" s="31"/>
      <c r="MC1136" s="31"/>
      <c r="MD1136" s="31"/>
      <c r="ME1136" s="31"/>
      <c r="MF1136" s="31"/>
      <c r="MG1136" s="31"/>
      <c r="MH1136" s="31"/>
      <c r="MI1136" s="31"/>
      <c r="MJ1136" s="31"/>
      <c r="MK1136" s="31"/>
      <c r="ML1136" s="31"/>
      <c r="MM1136" s="31"/>
      <c r="MN1136" s="31"/>
      <c r="MO1136" s="31"/>
      <c r="MP1136" s="31"/>
      <c r="MQ1136" s="31"/>
      <c r="MR1136" s="31"/>
      <c r="MS1136" s="31"/>
      <c r="MT1136" s="31"/>
      <c r="MU1136" s="31"/>
      <c r="MV1136" s="31"/>
      <c r="MW1136" s="31"/>
      <c r="MX1136" s="31"/>
      <c r="MY1136" s="31"/>
      <c r="MZ1136" s="31"/>
      <c r="NA1136" s="31"/>
      <c r="NB1136" s="31"/>
      <c r="NC1136" s="31"/>
      <c r="ND1136" s="31"/>
      <c r="NE1136" s="31"/>
      <c r="NF1136" s="31"/>
      <c r="NG1136" s="31"/>
      <c r="NH1136" s="31"/>
      <c r="NI1136" s="31"/>
      <c r="NJ1136" s="31"/>
      <c r="NK1136" s="31"/>
      <c r="NL1136" s="31"/>
      <c r="NM1136" s="31"/>
      <c r="NN1136" s="31"/>
      <c r="NO1136" s="31"/>
      <c r="NP1136" s="31"/>
      <c r="NQ1136" s="31"/>
      <c r="NR1136" s="31"/>
      <c r="NS1136" s="31"/>
      <c r="NT1136" s="31"/>
      <c r="NU1136" s="31"/>
      <c r="NV1136" s="31"/>
      <c r="NW1136" s="31"/>
      <c r="NX1136" s="31"/>
      <c r="NY1136" s="31"/>
      <c r="NZ1136" s="31"/>
      <c r="OA1136" s="31"/>
      <c r="OB1136" s="31"/>
      <c r="OC1136" s="31"/>
      <c r="OD1136" s="31"/>
      <c r="OE1136" s="31"/>
      <c r="OF1136" s="31"/>
      <c r="OG1136" s="31"/>
      <c r="OH1136" s="31"/>
      <c r="OI1136" s="31"/>
      <c r="OJ1136" s="31"/>
      <c r="OK1136" s="31"/>
      <c r="OL1136" s="31"/>
      <c r="OM1136" s="31"/>
      <c r="ON1136" s="31"/>
      <c r="OO1136" s="31"/>
      <c r="OP1136" s="31"/>
      <c r="OQ1136" s="31"/>
      <c r="OR1136" s="31"/>
      <c r="OS1136" s="31"/>
      <c r="OT1136" s="31"/>
      <c r="OU1136" s="31"/>
      <c r="OV1136" s="31"/>
      <c r="OW1136" s="31"/>
      <c r="OX1136" s="31"/>
      <c r="OY1136" s="31"/>
      <c r="OZ1136" s="31"/>
      <c r="PA1136" s="31"/>
      <c r="PB1136" s="31"/>
      <c r="PC1136" s="31"/>
      <c r="PD1136" s="31"/>
      <c r="PE1136" s="31"/>
      <c r="PF1136" s="31"/>
      <c r="PG1136" s="31"/>
      <c r="PH1136" s="31"/>
      <c r="PI1136" s="31"/>
      <c r="PJ1136" s="31"/>
      <c r="PK1136" s="31"/>
      <c r="PL1136" s="31"/>
      <c r="PM1136" s="31"/>
      <c r="PN1136" s="31"/>
      <c r="PO1136" s="31"/>
      <c r="PP1136" s="31"/>
      <c r="PQ1136" s="31"/>
      <c r="PR1136" s="31"/>
      <c r="PS1136" s="31"/>
      <c r="PT1136" s="31"/>
      <c r="PU1136" s="31"/>
      <c r="PV1136" s="31"/>
      <c r="PW1136" s="31"/>
      <c r="PX1136" s="31"/>
      <c r="PY1136" s="31"/>
      <c r="PZ1136" s="31"/>
      <c r="QA1136" s="31"/>
      <c r="QB1136" s="31"/>
      <c r="QC1136" s="31"/>
      <c r="QD1136" s="31"/>
      <c r="QE1136" s="31"/>
      <c r="QF1136" s="31"/>
      <c r="QG1136" s="31"/>
      <c r="QH1136" s="31"/>
      <c r="QI1136" s="31"/>
      <c r="QJ1136" s="31"/>
      <c r="QK1136" s="31"/>
      <c r="QL1136" s="31"/>
      <c r="QM1136" s="31"/>
      <c r="QN1136" s="31"/>
      <c r="QO1136" s="31"/>
      <c r="QP1136" s="31"/>
      <c r="QQ1136" s="31"/>
      <c r="QR1136" s="31"/>
      <c r="QS1136" s="31"/>
      <c r="QT1136" s="31"/>
      <c r="QU1136" s="31"/>
      <c r="QV1136" s="31"/>
      <c r="QW1136" s="31"/>
      <c r="QX1136" s="31"/>
      <c r="QY1136" s="31"/>
      <c r="QZ1136" s="31"/>
      <c r="RA1136" s="31"/>
      <c r="RB1136" s="31"/>
      <c r="RC1136" s="31"/>
      <c r="RD1136" s="31"/>
      <c r="RE1136" s="31"/>
      <c r="RF1136" s="31"/>
      <c r="RG1136" s="31"/>
      <c r="RH1136" s="31"/>
      <c r="RI1136" s="31"/>
      <c r="RJ1136" s="31"/>
      <c r="RK1136" s="31"/>
      <c r="RL1136" s="31"/>
      <c r="RM1136" s="31"/>
      <c r="RN1136" s="31"/>
      <c r="RO1136" s="31"/>
      <c r="RP1136" s="31"/>
      <c r="RQ1136" s="31"/>
      <c r="RR1136" s="31"/>
      <c r="RS1136" s="31"/>
      <c r="RT1136" s="31"/>
      <c r="RU1136" s="31"/>
      <c r="RV1136" s="31"/>
      <c r="RW1136" s="31"/>
      <c r="RX1136" s="31"/>
      <c r="RY1136" s="31"/>
      <c r="RZ1136" s="31"/>
      <c r="SA1136" s="31"/>
      <c r="SB1136" s="31"/>
      <c r="SC1136" s="31"/>
      <c r="SD1136" s="31"/>
      <c r="SE1136" s="31"/>
      <c r="SF1136" s="31"/>
      <c r="SG1136" s="31"/>
      <c r="SH1136" s="31"/>
      <c r="SI1136" s="31"/>
      <c r="SJ1136" s="31"/>
      <c r="SK1136" s="31"/>
      <c r="SL1136" s="31"/>
      <c r="SM1136" s="31"/>
      <c r="SN1136" s="31"/>
      <c r="SO1136" s="31"/>
      <c r="SP1136" s="31"/>
      <c r="SQ1136" s="31"/>
      <c r="SR1136" s="31"/>
      <c r="SS1136" s="31"/>
      <c r="ST1136" s="31"/>
      <c r="SU1136" s="31"/>
      <c r="SV1136" s="31"/>
      <c r="SW1136" s="31"/>
      <c r="SX1136" s="31"/>
      <c r="SY1136" s="31"/>
      <c r="SZ1136" s="31"/>
      <c r="TA1136" s="31"/>
      <c r="TB1136" s="31"/>
      <c r="TC1136" s="31"/>
      <c r="TD1136" s="31"/>
      <c r="TE1136" s="31"/>
      <c r="TF1136" s="31"/>
      <c r="TG1136" s="31"/>
      <c r="TH1136" s="31"/>
      <c r="TI1136" s="31"/>
      <c r="TJ1136" s="31"/>
      <c r="TK1136" s="31"/>
      <c r="TL1136" s="31"/>
      <c r="TM1136" s="31"/>
      <c r="TN1136" s="31"/>
      <c r="TO1136" s="31"/>
      <c r="TP1136" s="31"/>
      <c r="TQ1136" s="31"/>
      <c r="TR1136" s="31"/>
      <c r="TS1136" s="31"/>
      <c r="TT1136" s="31"/>
      <c r="TU1136" s="31"/>
      <c r="TV1136" s="31"/>
      <c r="TW1136" s="31"/>
      <c r="TX1136" s="31"/>
      <c r="TY1136" s="31"/>
      <c r="TZ1136" s="31"/>
      <c r="UA1136" s="31"/>
      <c r="UB1136" s="31"/>
      <c r="UC1136" s="31"/>
      <c r="UD1136" s="31"/>
      <c r="UE1136" s="31"/>
      <c r="UF1136" s="31"/>
      <c r="UG1136" s="33"/>
    </row>
    <row r="1137" spans="1:553" s="178" customFormat="1" ht="28.5" customHeight="1">
      <c r="A1137" s="739" t="s">
        <v>15</v>
      </c>
      <c r="B1137" s="740">
        <v>51</v>
      </c>
      <c r="C1137" s="1575" t="s">
        <v>662</v>
      </c>
      <c r="D1137" s="1522"/>
      <c r="E1137" s="1522"/>
      <c r="F1137" s="1576"/>
      <c r="G1137" s="741" t="s">
        <v>33</v>
      </c>
      <c r="H1137" s="742"/>
      <c r="I1137" s="743">
        <f>17*0.2</f>
        <v>3.4000000000000004</v>
      </c>
      <c r="J1137" s="998">
        <v>153000</v>
      </c>
      <c r="K1137" s="744"/>
      <c r="L1137" s="745">
        <f t="shared" si="167"/>
        <v>520200.00000000006</v>
      </c>
      <c r="M1137" s="744"/>
      <c r="N1137" s="744"/>
      <c r="O1137" s="744"/>
      <c r="P1137" s="746"/>
      <c r="Q1137" s="1233"/>
      <c r="R1137" s="749"/>
      <c r="S1137" s="308"/>
      <c r="T1137" s="308"/>
      <c r="U1137" s="308"/>
      <c r="V1137" s="308"/>
      <c r="W1137" s="308"/>
      <c r="X1137" s="308"/>
      <c r="Y1137" s="308"/>
      <c r="Z1137" s="604"/>
      <c r="AA1137" s="308"/>
      <c r="AB1137" s="308"/>
      <c r="AC1137" s="748"/>
      <c r="AD1137" s="748"/>
      <c r="AE1137" s="748"/>
      <c r="AF1137" s="748"/>
      <c r="AG1137" s="748"/>
      <c r="AH1137" s="748"/>
      <c r="AI1137" s="749"/>
      <c r="AJ1137" s="749"/>
      <c r="AK1137" s="749"/>
      <c r="AL1137" s="355"/>
      <c r="AM1137" s="53"/>
      <c r="AN1137" s="53"/>
      <c r="AO1137" s="53"/>
      <c r="AP1137" s="53"/>
      <c r="AQ1137" s="53"/>
      <c r="AR1137" s="51"/>
      <c r="AS1137" s="51"/>
      <c r="AT1137" s="51"/>
      <c r="AU1137" s="51"/>
      <c r="AV1137" s="51"/>
      <c r="AW1137" s="51"/>
      <c r="AX1137" s="51"/>
      <c r="AY1137" s="51"/>
      <c r="AZ1137" s="51"/>
      <c r="BA1137" s="51"/>
      <c r="BB1137" s="51"/>
      <c r="BC1137" s="51"/>
      <c r="BD1137" s="51"/>
      <c r="BE1137" s="51"/>
      <c r="BF1137" s="51"/>
      <c r="BG1137" s="51"/>
      <c r="BH1137" s="51"/>
      <c r="BI1137" s="51"/>
      <c r="BJ1137" s="51"/>
      <c r="BK1137" s="51"/>
      <c r="BL1137" s="51"/>
      <c r="BM1137" s="51"/>
      <c r="BN1137" s="51"/>
      <c r="BO1137" s="176"/>
      <c r="BP1137" s="176"/>
      <c r="BQ1137" s="176"/>
      <c r="BR1137" s="176"/>
      <c r="BS1137" s="176"/>
      <c r="BT1137" s="176"/>
      <c r="BU1137" s="176"/>
      <c r="BV1137" s="176"/>
      <c r="BW1137" s="176"/>
      <c r="BX1137" s="176"/>
      <c r="BY1137" s="176"/>
      <c r="BZ1137" s="176"/>
      <c r="CA1137" s="176"/>
      <c r="CB1137" s="176"/>
      <c r="CC1137" s="176"/>
      <c r="CD1137" s="176"/>
      <c r="CE1137" s="176"/>
      <c r="CF1137" s="176"/>
      <c r="CG1137" s="176"/>
      <c r="CH1137" s="176"/>
      <c r="CI1137" s="176"/>
      <c r="CJ1137" s="176"/>
      <c r="CK1137" s="176"/>
      <c r="CL1137" s="176"/>
      <c r="CM1137" s="176"/>
      <c r="CN1137" s="176"/>
      <c r="CO1137" s="176"/>
      <c r="CP1137" s="176"/>
      <c r="CQ1137" s="176"/>
      <c r="CR1137" s="176"/>
      <c r="CS1137" s="176"/>
      <c r="CT1137" s="176"/>
      <c r="CU1137" s="176"/>
      <c r="CV1137" s="176"/>
      <c r="CW1137" s="176"/>
      <c r="CX1137" s="176"/>
      <c r="CY1137" s="176"/>
      <c r="CZ1137" s="176"/>
      <c r="DA1137" s="176"/>
      <c r="DB1137" s="176"/>
      <c r="DC1137" s="176"/>
      <c r="DD1137" s="176"/>
      <c r="DE1137" s="176"/>
      <c r="DF1137" s="176"/>
      <c r="DG1137" s="176"/>
      <c r="DH1137" s="176"/>
      <c r="DI1137" s="176"/>
      <c r="DJ1137" s="176"/>
      <c r="DK1137" s="176"/>
      <c r="DL1137" s="176"/>
      <c r="DM1137" s="176"/>
      <c r="DN1137" s="176"/>
      <c r="DO1137" s="176"/>
      <c r="DP1137" s="176"/>
      <c r="DQ1137" s="176"/>
      <c r="DR1137" s="176"/>
      <c r="DS1137" s="176"/>
      <c r="DT1137" s="176"/>
      <c r="DU1137" s="176"/>
      <c r="DV1137" s="176"/>
      <c r="DW1137" s="176"/>
      <c r="DX1137" s="176"/>
      <c r="DY1137" s="176"/>
      <c r="DZ1137" s="176"/>
      <c r="EA1137" s="176"/>
      <c r="EB1137" s="176"/>
      <c r="EC1137" s="176"/>
      <c r="ED1137" s="176"/>
      <c r="EE1137" s="176"/>
      <c r="EF1137" s="176"/>
      <c r="EG1137" s="176"/>
      <c r="EH1137" s="176"/>
      <c r="EI1137" s="176"/>
      <c r="EJ1137" s="176"/>
      <c r="EK1137" s="176"/>
      <c r="EL1137" s="176"/>
      <c r="EM1137" s="176"/>
      <c r="EN1137" s="176"/>
      <c r="EO1137" s="176"/>
      <c r="EP1137" s="176"/>
      <c r="EQ1137" s="176"/>
      <c r="ER1137" s="176"/>
      <c r="ES1137" s="176"/>
      <c r="ET1137" s="176"/>
      <c r="EU1137" s="176"/>
      <c r="EV1137" s="176"/>
      <c r="EW1137" s="176"/>
      <c r="EX1137" s="176"/>
      <c r="EY1137" s="176"/>
      <c r="EZ1137" s="176"/>
      <c r="FA1137" s="176"/>
      <c r="FB1137" s="176"/>
      <c r="FC1137" s="176"/>
      <c r="FD1137" s="176"/>
      <c r="FE1137" s="176"/>
      <c r="FF1137" s="176"/>
      <c r="FG1137" s="176"/>
      <c r="FH1137" s="176"/>
      <c r="FI1137" s="176"/>
      <c r="FJ1137" s="176"/>
      <c r="FK1137" s="176"/>
      <c r="FL1137" s="176"/>
      <c r="FM1137" s="176"/>
      <c r="FN1137" s="176"/>
      <c r="FO1137" s="176"/>
      <c r="FP1137" s="176"/>
      <c r="FQ1137" s="176"/>
      <c r="FR1137" s="176"/>
      <c r="FS1137" s="176"/>
      <c r="FT1137" s="176"/>
      <c r="FU1137" s="176"/>
      <c r="FV1137" s="176"/>
      <c r="FW1137" s="176"/>
      <c r="FX1137" s="176"/>
      <c r="FY1137" s="176"/>
      <c r="FZ1137" s="176"/>
      <c r="GA1137" s="176"/>
      <c r="GB1137" s="176"/>
      <c r="GC1137" s="176"/>
      <c r="GD1137" s="176"/>
      <c r="GE1137" s="176"/>
      <c r="GF1137" s="176"/>
      <c r="GG1137" s="176"/>
      <c r="GH1137" s="176"/>
      <c r="GI1137" s="176"/>
      <c r="GJ1137" s="176"/>
      <c r="GK1137" s="176"/>
      <c r="GL1137" s="176"/>
      <c r="GM1137" s="176"/>
      <c r="GN1137" s="176"/>
      <c r="GO1137" s="176"/>
      <c r="GP1137" s="176"/>
      <c r="GQ1137" s="176"/>
      <c r="GR1137" s="176"/>
      <c r="GS1137" s="176"/>
      <c r="GT1137" s="176"/>
      <c r="GU1137" s="176"/>
      <c r="GV1137" s="176"/>
      <c r="GW1137" s="176"/>
      <c r="GX1137" s="176"/>
      <c r="GY1137" s="176"/>
      <c r="GZ1137" s="176"/>
      <c r="HA1137" s="176"/>
      <c r="HB1137" s="176"/>
      <c r="HC1137" s="176"/>
      <c r="HD1137" s="176"/>
      <c r="HE1137" s="176"/>
      <c r="HF1137" s="176"/>
      <c r="HG1137" s="176"/>
      <c r="HH1137" s="176"/>
      <c r="HI1137" s="176"/>
      <c r="HJ1137" s="176"/>
      <c r="HK1137" s="176"/>
      <c r="HL1137" s="176"/>
      <c r="HM1137" s="176"/>
      <c r="HN1137" s="176"/>
      <c r="HO1137" s="176"/>
      <c r="HP1137" s="176"/>
      <c r="HQ1137" s="176"/>
      <c r="HR1137" s="176"/>
      <c r="HS1137" s="176"/>
      <c r="HT1137" s="176"/>
      <c r="HU1137" s="176"/>
      <c r="HV1137" s="176"/>
      <c r="HW1137" s="176"/>
      <c r="HX1137" s="176"/>
      <c r="HY1137" s="176"/>
      <c r="HZ1137" s="176"/>
      <c r="IA1137" s="176"/>
      <c r="IB1137" s="176"/>
      <c r="IC1137" s="176"/>
      <c r="ID1137" s="176"/>
      <c r="IE1137" s="176"/>
      <c r="IF1137" s="176"/>
      <c r="IG1137" s="176"/>
      <c r="IH1137" s="176"/>
      <c r="II1137" s="176"/>
      <c r="IJ1137" s="176"/>
      <c r="IK1137" s="176"/>
      <c r="IL1137" s="176"/>
      <c r="IM1137" s="176"/>
      <c r="IN1137" s="176"/>
      <c r="IO1137" s="176"/>
      <c r="IP1137" s="176"/>
      <c r="IQ1137" s="176"/>
      <c r="IR1137" s="176"/>
      <c r="IS1137" s="176"/>
      <c r="IT1137" s="176"/>
      <c r="IU1137" s="176"/>
      <c r="IV1137" s="176"/>
      <c r="IW1137" s="176"/>
      <c r="IX1137" s="176"/>
      <c r="IY1137" s="176"/>
      <c r="IZ1137" s="176"/>
      <c r="JA1137" s="176"/>
      <c r="JB1137" s="176"/>
      <c r="JC1137" s="176"/>
      <c r="JD1137" s="176"/>
      <c r="JE1137" s="176"/>
      <c r="JF1137" s="176"/>
      <c r="JG1137" s="176"/>
      <c r="JH1137" s="176"/>
      <c r="JI1137" s="176"/>
      <c r="JJ1137" s="176"/>
      <c r="JK1137" s="176"/>
      <c r="JL1137" s="176"/>
      <c r="JM1137" s="176"/>
      <c r="JN1137" s="176"/>
      <c r="JO1137" s="176"/>
      <c r="JP1137" s="176"/>
      <c r="JQ1137" s="176"/>
      <c r="JR1137" s="176"/>
      <c r="JS1137" s="176"/>
      <c r="JT1137" s="176"/>
      <c r="JU1137" s="176"/>
      <c r="JV1137" s="176"/>
      <c r="JW1137" s="176"/>
      <c r="JX1137" s="176"/>
      <c r="JY1137" s="176"/>
      <c r="JZ1137" s="176"/>
      <c r="KA1137" s="176"/>
      <c r="KB1137" s="176"/>
      <c r="KC1137" s="176"/>
      <c r="KD1137" s="176"/>
      <c r="KE1137" s="176"/>
      <c r="KF1137" s="176"/>
      <c r="KG1137" s="176"/>
      <c r="KH1137" s="176"/>
      <c r="KI1137" s="176"/>
      <c r="KJ1137" s="176"/>
      <c r="KK1137" s="176"/>
      <c r="KL1137" s="176"/>
      <c r="KM1137" s="176"/>
      <c r="KN1137" s="176"/>
      <c r="KO1137" s="176"/>
      <c r="KP1137" s="176"/>
      <c r="KQ1137" s="176"/>
      <c r="KR1137" s="176"/>
      <c r="KS1137" s="176"/>
      <c r="KT1137" s="176"/>
      <c r="KU1137" s="176"/>
      <c r="KV1137" s="176"/>
      <c r="KW1137" s="176"/>
      <c r="KX1137" s="176"/>
      <c r="KY1137" s="176"/>
      <c r="KZ1137" s="176"/>
      <c r="LA1137" s="176"/>
      <c r="LB1137" s="176"/>
      <c r="LC1137" s="176"/>
      <c r="LD1137" s="176"/>
      <c r="LE1137" s="176"/>
      <c r="LF1137" s="176"/>
      <c r="LG1137" s="176"/>
      <c r="LH1137" s="176"/>
      <c r="LI1137" s="176"/>
      <c r="LJ1137" s="176"/>
      <c r="LK1137" s="176"/>
      <c r="LL1137" s="176"/>
      <c r="LM1137" s="176"/>
      <c r="LN1137" s="176"/>
      <c r="LO1137" s="176"/>
      <c r="LP1137" s="176"/>
      <c r="LQ1137" s="176"/>
      <c r="LR1137" s="176"/>
      <c r="LS1137" s="176"/>
      <c r="LT1137" s="176"/>
      <c r="LU1137" s="176"/>
      <c r="LV1137" s="176"/>
      <c r="LW1137" s="176"/>
      <c r="LX1137" s="176"/>
      <c r="LY1137" s="176"/>
      <c r="LZ1137" s="176"/>
      <c r="MA1137" s="176"/>
      <c r="MB1137" s="176"/>
      <c r="MC1137" s="176"/>
      <c r="MD1137" s="176"/>
      <c r="ME1137" s="176"/>
      <c r="MF1137" s="176"/>
      <c r="MG1137" s="176"/>
      <c r="MH1137" s="176"/>
      <c r="MI1137" s="176"/>
      <c r="MJ1137" s="176"/>
      <c r="MK1137" s="176"/>
      <c r="ML1137" s="176"/>
      <c r="MM1137" s="176"/>
      <c r="MN1137" s="176"/>
      <c r="MO1137" s="176"/>
      <c r="MP1137" s="176"/>
      <c r="MQ1137" s="176"/>
      <c r="MR1137" s="176"/>
      <c r="MS1137" s="176"/>
      <c r="MT1137" s="176"/>
      <c r="MU1137" s="176"/>
      <c r="MV1137" s="176"/>
      <c r="MW1137" s="176"/>
      <c r="MX1137" s="176"/>
      <c r="MY1137" s="176"/>
      <c r="MZ1137" s="176"/>
      <c r="NA1137" s="176"/>
      <c r="NB1137" s="176"/>
      <c r="NC1137" s="176"/>
      <c r="ND1137" s="176"/>
      <c r="NE1137" s="176"/>
      <c r="NF1137" s="176"/>
      <c r="NG1137" s="176"/>
      <c r="NH1137" s="176"/>
      <c r="NI1137" s="176"/>
      <c r="NJ1137" s="176"/>
      <c r="NK1137" s="176"/>
      <c r="NL1137" s="176"/>
      <c r="NM1137" s="176"/>
      <c r="NN1137" s="176"/>
      <c r="NO1137" s="176"/>
      <c r="NP1137" s="176"/>
      <c r="NQ1137" s="176"/>
      <c r="NR1137" s="176"/>
      <c r="NS1137" s="176"/>
      <c r="NT1137" s="176"/>
      <c r="NU1137" s="176"/>
      <c r="NV1137" s="176"/>
      <c r="NW1137" s="176"/>
      <c r="NX1137" s="176"/>
      <c r="NY1137" s="176"/>
      <c r="NZ1137" s="176"/>
      <c r="OA1137" s="176"/>
      <c r="OB1137" s="176"/>
      <c r="OC1137" s="176"/>
      <c r="OD1137" s="176"/>
      <c r="OE1137" s="176"/>
      <c r="OF1137" s="176"/>
      <c r="OG1137" s="176"/>
      <c r="OH1137" s="176"/>
      <c r="OI1137" s="176"/>
      <c r="OJ1137" s="176"/>
      <c r="OK1137" s="176"/>
      <c r="OL1137" s="176"/>
      <c r="OM1137" s="176"/>
      <c r="ON1137" s="176"/>
      <c r="OO1137" s="176"/>
      <c r="OP1137" s="176"/>
      <c r="OQ1137" s="176"/>
      <c r="OR1137" s="176"/>
      <c r="OS1137" s="176"/>
      <c r="OT1137" s="176"/>
      <c r="OU1137" s="176"/>
      <c r="OV1137" s="176"/>
      <c r="OW1137" s="176"/>
      <c r="OX1137" s="176"/>
      <c r="OY1137" s="176"/>
      <c r="OZ1137" s="176"/>
      <c r="PA1137" s="176"/>
      <c r="PB1137" s="176"/>
      <c r="PC1137" s="176"/>
      <c r="PD1137" s="176"/>
      <c r="PE1137" s="176"/>
      <c r="PF1137" s="176"/>
      <c r="PG1137" s="176"/>
      <c r="PH1137" s="176"/>
      <c r="PI1137" s="176"/>
      <c r="PJ1137" s="176"/>
      <c r="PK1137" s="176"/>
      <c r="PL1137" s="176"/>
      <c r="PM1137" s="176"/>
      <c r="PN1137" s="176"/>
      <c r="PO1137" s="176"/>
      <c r="PP1137" s="176"/>
      <c r="PQ1137" s="176"/>
      <c r="PR1137" s="176"/>
      <c r="PS1137" s="176"/>
      <c r="PT1137" s="176"/>
      <c r="PU1137" s="176"/>
      <c r="PV1137" s="176"/>
      <c r="PW1137" s="176"/>
      <c r="PX1137" s="176"/>
      <c r="PY1137" s="176"/>
      <c r="PZ1137" s="176"/>
      <c r="QA1137" s="176"/>
      <c r="QB1137" s="176"/>
      <c r="QC1137" s="176"/>
      <c r="QD1137" s="176"/>
      <c r="QE1137" s="176"/>
      <c r="QF1137" s="176"/>
      <c r="QG1137" s="176"/>
      <c r="QH1137" s="176"/>
      <c r="QI1137" s="176"/>
      <c r="QJ1137" s="176"/>
      <c r="QK1137" s="176"/>
      <c r="QL1137" s="176"/>
      <c r="QM1137" s="176"/>
      <c r="QN1137" s="176"/>
      <c r="QO1137" s="176"/>
      <c r="QP1137" s="176"/>
      <c r="QQ1137" s="176"/>
      <c r="QR1137" s="176"/>
      <c r="QS1137" s="176"/>
      <c r="QT1137" s="176"/>
      <c r="QU1137" s="176"/>
      <c r="QV1137" s="176"/>
      <c r="QW1137" s="176"/>
      <c r="QX1137" s="176"/>
      <c r="QY1137" s="176"/>
      <c r="QZ1137" s="176"/>
      <c r="RA1137" s="176"/>
      <c r="RB1137" s="176"/>
      <c r="RC1137" s="176"/>
      <c r="RD1137" s="176"/>
      <c r="RE1137" s="176"/>
      <c r="RF1137" s="176"/>
      <c r="RG1137" s="176"/>
      <c r="RH1137" s="176"/>
      <c r="RI1137" s="176"/>
      <c r="RJ1137" s="176"/>
      <c r="RK1137" s="176"/>
      <c r="RL1137" s="176"/>
      <c r="RM1137" s="176"/>
      <c r="RN1137" s="176"/>
      <c r="RO1137" s="176"/>
      <c r="RP1137" s="176"/>
      <c r="RQ1137" s="176"/>
      <c r="RR1137" s="176"/>
      <c r="RS1137" s="176"/>
      <c r="RT1137" s="176"/>
      <c r="RU1137" s="176"/>
      <c r="RV1137" s="176"/>
      <c r="RW1137" s="176"/>
      <c r="RX1137" s="176"/>
      <c r="RY1137" s="176"/>
      <c r="RZ1137" s="176"/>
      <c r="SA1137" s="176"/>
      <c r="SB1137" s="176"/>
      <c r="SC1137" s="176"/>
      <c r="SD1137" s="176"/>
      <c r="SE1137" s="176"/>
      <c r="SF1137" s="176"/>
      <c r="SG1137" s="176"/>
      <c r="SH1137" s="176"/>
      <c r="SI1137" s="176"/>
      <c r="SJ1137" s="176"/>
      <c r="SK1137" s="176"/>
      <c r="SL1137" s="176"/>
      <c r="SM1137" s="176"/>
      <c r="SN1137" s="176"/>
      <c r="SO1137" s="176"/>
      <c r="SP1137" s="176"/>
      <c r="SQ1137" s="176"/>
      <c r="SR1137" s="176"/>
      <c r="SS1137" s="176"/>
      <c r="ST1137" s="176"/>
      <c r="SU1137" s="176"/>
      <c r="SV1137" s="176"/>
      <c r="SW1137" s="176"/>
      <c r="SX1137" s="176"/>
      <c r="SY1137" s="176"/>
      <c r="SZ1137" s="176"/>
      <c r="TA1137" s="176"/>
      <c r="TB1137" s="176"/>
      <c r="TC1137" s="176"/>
      <c r="TD1137" s="176"/>
      <c r="TE1137" s="176"/>
      <c r="TF1137" s="176"/>
      <c r="TG1137" s="176"/>
      <c r="TH1137" s="176"/>
      <c r="TI1137" s="176"/>
      <c r="TJ1137" s="176"/>
      <c r="TK1137" s="176"/>
      <c r="TL1137" s="176"/>
      <c r="TM1137" s="176"/>
      <c r="TN1137" s="176"/>
      <c r="TO1137" s="176"/>
      <c r="TP1137" s="176"/>
      <c r="TQ1137" s="176"/>
      <c r="TR1137" s="176"/>
      <c r="TS1137" s="176"/>
      <c r="TT1137" s="176"/>
      <c r="TU1137" s="176"/>
      <c r="TV1137" s="176"/>
      <c r="TW1137" s="176"/>
      <c r="TX1137" s="176"/>
      <c r="TY1137" s="176"/>
      <c r="TZ1137" s="176"/>
      <c r="UA1137" s="176"/>
      <c r="UB1137" s="176"/>
      <c r="UC1137" s="176"/>
      <c r="UD1137" s="176"/>
      <c r="UE1137" s="176"/>
      <c r="UF1137" s="176"/>
      <c r="UG1137" s="177"/>
    </row>
    <row r="1138" spans="1:553" s="178" customFormat="1" ht="28.5" customHeight="1">
      <c r="A1138" s="356"/>
      <c r="B1138" s="385"/>
      <c r="C1138" s="1388" t="s">
        <v>254</v>
      </c>
      <c r="D1138" s="1389"/>
      <c r="E1138" s="1389"/>
      <c r="F1138" s="1390"/>
      <c r="G1138" s="386" t="s">
        <v>113</v>
      </c>
      <c r="H1138" s="370"/>
      <c r="I1138" s="422">
        <v>131</v>
      </c>
      <c r="J1138" s="477">
        <v>114600</v>
      </c>
      <c r="K1138" s="388"/>
      <c r="L1138" s="391">
        <f t="shared" si="167"/>
        <v>15012600</v>
      </c>
      <c r="M1138" s="744"/>
      <c r="N1138" s="744"/>
      <c r="O1138" s="744"/>
      <c r="P1138" s="746"/>
      <c r="Q1138" s="1233"/>
      <c r="R1138" s="749"/>
      <c r="S1138" s="308"/>
      <c r="T1138" s="308"/>
      <c r="U1138" s="308"/>
      <c r="V1138" s="308"/>
      <c r="W1138" s="308"/>
      <c r="X1138" s="308"/>
      <c r="Y1138" s="308"/>
      <c r="Z1138" s="604"/>
      <c r="AA1138" s="308"/>
      <c r="AB1138" s="308"/>
      <c r="AC1138" s="748"/>
      <c r="AD1138" s="748"/>
      <c r="AE1138" s="748"/>
      <c r="AF1138" s="748"/>
      <c r="AG1138" s="748"/>
      <c r="AH1138" s="748"/>
      <c r="AI1138" s="749"/>
      <c r="AJ1138" s="749"/>
      <c r="AK1138" s="749"/>
      <c r="AL1138" s="179"/>
      <c r="AM1138" s="179"/>
      <c r="AN1138" s="179"/>
      <c r="AO1138" s="179"/>
      <c r="AP1138" s="179"/>
      <c r="AQ1138" s="179"/>
      <c r="AR1138" s="180"/>
      <c r="AS1138" s="180"/>
      <c r="AT1138" s="180"/>
      <c r="AU1138" s="180"/>
      <c r="AV1138" s="180"/>
      <c r="AW1138" s="180"/>
      <c r="AX1138" s="180"/>
      <c r="AY1138" s="180"/>
      <c r="AZ1138" s="180"/>
      <c r="BA1138" s="180"/>
      <c r="BB1138" s="180"/>
      <c r="BC1138" s="180"/>
      <c r="BD1138" s="180"/>
      <c r="BE1138" s="180"/>
      <c r="BF1138" s="180"/>
      <c r="BG1138" s="180"/>
      <c r="BH1138" s="180"/>
      <c r="BI1138" s="180"/>
      <c r="BJ1138" s="180"/>
      <c r="BK1138" s="180"/>
      <c r="BL1138" s="180"/>
      <c r="BM1138" s="180"/>
      <c r="BN1138" s="180"/>
      <c r="BO1138" s="181"/>
      <c r="BP1138" s="181"/>
      <c r="BQ1138" s="181"/>
      <c r="BR1138" s="181"/>
      <c r="BS1138" s="181"/>
      <c r="BT1138" s="181"/>
      <c r="BU1138" s="181"/>
      <c r="BV1138" s="181"/>
      <c r="BW1138" s="181"/>
      <c r="BX1138" s="181"/>
      <c r="BY1138" s="181"/>
      <c r="BZ1138" s="181"/>
      <c r="CA1138" s="181"/>
      <c r="CB1138" s="181"/>
      <c r="CC1138" s="181"/>
      <c r="CD1138" s="181"/>
      <c r="CE1138" s="181"/>
      <c r="CF1138" s="181"/>
      <c r="CG1138" s="181"/>
      <c r="CH1138" s="181"/>
      <c r="CI1138" s="181"/>
      <c r="CJ1138" s="181"/>
      <c r="CK1138" s="181"/>
      <c r="CL1138" s="181"/>
      <c r="CM1138" s="181"/>
      <c r="CN1138" s="181"/>
      <c r="CO1138" s="181"/>
      <c r="CP1138" s="181"/>
      <c r="CQ1138" s="181"/>
      <c r="CR1138" s="181"/>
      <c r="CS1138" s="181"/>
      <c r="CT1138" s="181"/>
      <c r="CU1138" s="181"/>
      <c r="CV1138" s="181"/>
      <c r="CW1138" s="181"/>
      <c r="CX1138" s="181"/>
      <c r="CY1138" s="181"/>
      <c r="CZ1138" s="181"/>
      <c r="DA1138" s="181"/>
      <c r="DB1138" s="181"/>
      <c r="DC1138" s="181"/>
      <c r="DD1138" s="181"/>
      <c r="DE1138" s="181"/>
      <c r="DF1138" s="181"/>
      <c r="DG1138" s="181"/>
      <c r="DH1138" s="181"/>
      <c r="DI1138" s="181"/>
      <c r="DJ1138" s="181"/>
      <c r="DK1138" s="181"/>
      <c r="DL1138" s="181"/>
      <c r="DM1138" s="181"/>
      <c r="DN1138" s="181"/>
      <c r="DO1138" s="181"/>
      <c r="DP1138" s="181"/>
      <c r="DQ1138" s="181"/>
      <c r="DR1138" s="181"/>
      <c r="DS1138" s="181"/>
      <c r="DT1138" s="181"/>
      <c r="DU1138" s="181"/>
      <c r="DV1138" s="181"/>
      <c r="DW1138" s="181"/>
      <c r="DX1138" s="181"/>
      <c r="DY1138" s="181"/>
      <c r="DZ1138" s="181"/>
      <c r="EA1138" s="181"/>
      <c r="EB1138" s="181"/>
      <c r="EC1138" s="181"/>
      <c r="ED1138" s="181"/>
      <c r="EE1138" s="181"/>
      <c r="EF1138" s="181"/>
      <c r="EG1138" s="181"/>
      <c r="EH1138" s="181"/>
      <c r="EI1138" s="181"/>
      <c r="EJ1138" s="181"/>
      <c r="EK1138" s="181"/>
      <c r="EL1138" s="181"/>
      <c r="EM1138" s="181"/>
      <c r="EN1138" s="181"/>
      <c r="EO1138" s="181"/>
      <c r="EP1138" s="181"/>
      <c r="EQ1138" s="181"/>
      <c r="ER1138" s="181"/>
      <c r="ES1138" s="181"/>
      <c r="ET1138" s="181"/>
      <c r="EU1138" s="181"/>
      <c r="EV1138" s="181"/>
      <c r="EW1138" s="181"/>
      <c r="EX1138" s="181"/>
      <c r="EY1138" s="181"/>
      <c r="EZ1138" s="181"/>
      <c r="FA1138" s="181"/>
      <c r="FB1138" s="181"/>
      <c r="FC1138" s="181"/>
      <c r="FD1138" s="181"/>
      <c r="FE1138" s="181"/>
      <c r="FF1138" s="181"/>
      <c r="FG1138" s="181"/>
      <c r="FH1138" s="181"/>
      <c r="FI1138" s="181"/>
      <c r="FJ1138" s="181"/>
      <c r="FK1138" s="181"/>
      <c r="FL1138" s="181"/>
      <c r="FM1138" s="181"/>
      <c r="FN1138" s="181"/>
      <c r="FO1138" s="181"/>
      <c r="FP1138" s="181"/>
      <c r="FQ1138" s="181"/>
      <c r="FR1138" s="181"/>
      <c r="FS1138" s="181"/>
      <c r="FT1138" s="181"/>
      <c r="FU1138" s="181"/>
      <c r="FV1138" s="181"/>
      <c r="FW1138" s="181"/>
      <c r="FX1138" s="181"/>
      <c r="FY1138" s="181"/>
      <c r="FZ1138" s="181"/>
      <c r="GA1138" s="181"/>
      <c r="GB1138" s="181"/>
      <c r="GC1138" s="181"/>
      <c r="GD1138" s="181"/>
      <c r="GE1138" s="181"/>
      <c r="GF1138" s="181"/>
      <c r="GG1138" s="181"/>
      <c r="GH1138" s="181"/>
      <c r="GI1138" s="181"/>
      <c r="GJ1138" s="181"/>
      <c r="GK1138" s="181"/>
      <c r="GL1138" s="181"/>
      <c r="GM1138" s="181"/>
      <c r="GN1138" s="181"/>
      <c r="GO1138" s="181"/>
      <c r="GP1138" s="181"/>
      <c r="GQ1138" s="181"/>
      <c r="GR1138" s="181"/>
      <c r="GS1138" s="181"/>
      <c r="GT1138" s="181"/>
      <c r="GU1138" s="181"/>
      <c r="GV1138" s="181"/>
      <c r="GW1138" s="181"/>
      <c r="GX1138" s="181"/>
      <c r="GY1138" s="181"/>
      <c r="GZ1138" s="181"/>
      <c r="HA1138" s="181"/>
      <c r="HB1138" s="181"/>
      <c r="HC1138" s="181"/>
      <c r="HD1138" s="181"/>
      <c r="HE1138" s="181"/>
      <c r="HF1138" s="181"/>
      <c r="HG1138" s="181"/>
      <c r="HH1138" s="181"/>
      <c r="HI1138" s="181"/>
      <c r="HJ1138" s="181"/>
      <c r="HK1138" s="181"/>
      <c r="HL1138" s="181"/>
      <c r="HM1138" s="181"/>
      <c r="HN1138" s="181"/>
      <c r="HO1138" s="181"/>
      <c r="HP1138" s="181"/>
      <c r="HQ1138" s="181"/>
      <c r="HR1138" s="181"/>
      <c r="HS1138" s="181"/>
      <c r="HT1138" s="181"/>
      <c r="HU1138" s="181"/>
      <c r="HV1138" s="181"/>
      <c r="HW1138" s="181"/>
      <c r="HX1138" s="181"/>
      <c r="HY1138" s="181"/>
      <c r="HZ1138" s="181"/>
      <c r="IA1138" s="181"/>
      <c r="IB1138" s="181"/>
      <c r="IC1138" s="181"/>
      <c r="ID1138" s="181"/>
      <c r="IE1138" s="181"/>
      <c r="IF1138" s="181"/>
      <c r="IG1138" s="181"/>
      <c r="IH1138" s="181"/>
      <c r="II1138" s="181"/>
      <c r="IJ1138" s="181"/>
      <c r="IK1138" s="181"/>
      <c r="IL1138" s="181"/>
      <c r="IM1138" s="181"/>
      <c r="IN1138" s="181"/>
      <c r="IO1138" s="181"/>
      <c r="IP1138" s="181"/>
      <c r="IQ1138" s="181"/>
      <c r="IR1138" s="181"/>
      <c r="IS1138" s="181"/>
      <c r="IT1138" s="181"/>
      <c r="IU1138" s="181"/>
      <c r="IV1138" s="181"/>
      <c r="IW1138" s="181"/>
      <c r="IX1138" s="181"/>
      <c r="IY1138" s="181"/>
      <c r="IZ1138" s="181"/>
      <c r="JA1138" s="181"/>
      <c r="JB1138" s="181"/>
      <c r="JC1138" s="181"/>
      <c r="JD1138" s="181"/>
      <c r="JE1138" s="181"/>
      <c r="JF1138" s="181"/>
      <c r="JG1138" s="181"/>
      <c r="JH1138" s="181"/>
      <c r="JI1138" s="181"/>
      <c r="JJ1138" s="181"/>
      <c r="JK1138" s="181"/>
      <c r="JL1138" s="181"/>
      <c r="JM1138" s="181"/>
      <c r="JN1138" s="181"/>
      <c r="JO1138" s="181"/>
      <c r="JP1138" s="181"/>
      <c r="JQ1138" s="181"/>
      <c r="JR1138" s="181"/>
      <c r="JS1138" s="181"/>
      <c r="JT1138" s="181"/>
      <c r="JU1138" s="181"/>
      <c r="JV1138" s="181"/>
      <c r="JW1138" s="181"/>
      <c r="JX1138" s="181"/>
      <c r="JY1138" s="181"/>
      <c r="JZ1138" s="181"/>
      <c r="KA1138" s="181"/>
      <c r="KB1138" s="181"/>
      <c r="KC1138" s="181"/>
      <c r="KD1138" s="181"/>
      <c r="KE1138" s="181"/>
      <c r="KF1138" s="181"/>
      <c r="KG1138" s="181"/>
      <c r="KH1138" s="181"/>
      <c r="KI1138" s="181"/>
      <c r="KJ1138" s="181"/>
      <c r="KK1138" s="181"/>
      <c r="KL1138" s="181"/>
      <c r="KM1138" s="181"/>
      <c r="KN1138" s="181"/>
      <c r="KO1138" s="181"/>
      <c r="KP1138" s="181"/>
      <c r="KQ1138" s="181"/>
      <c r="KR1138" s="181"/>
      <c r="KS1138" s="181"/>
      <c r="KT1138" s="181"/>
      <c r="KU1138" s="181"/>
      <c r="KV1138" s="181"/>
      <c r="KW1138" s="181"/>
      <c r="KX1138" s="181"/>
      <c r="KY1138" s="181"/>
      <c r="KZ1138" s="181"/>
      <c r="LA1138" s="181"/>
      <c r="LB1138" s="181"/>
      <c r="LC1138" s="181"/>
      <c r="LD1138" s="181"/>
      <c r="LE1138" s="181"/>
      <c r="LF1138" s="181"/>
      <c r="LG1138" s="181"/>
      <c r="LH1138" s="181"/>
      <c r="LI1138" s="181"/>
      <c r="LJ1138" s="181"/>
      <c r="LK1138" s="181"/>
      <c r="LL1138" s="181"/>
      <c r="LM1138" s="181"/>
      <c r="LN1138" s="181"/>
      <c r="LO1138" s="181"/>
      <c r="LP1138" s="181"/>
      <c r="LQ1138" s="181"/>
      <c r="LR1138" s="181"/>
      <c r="LS1138" s="181"/>
      <c r="LT1138" s="181"/>
      <c r="LU1138" s="181"/>
      <c r="LV1138" s="181"/>
      <c r="LW1138" s="181"/>
      <c r="LX1138" s="181"/>
      <c r="LY1138" s="181"/>
      <c r="LZ1138" s="181"/>
      <c r="MA1138" s="181"/>
      <c r="MB1138" s="181"/>
      <c r="MC1138" s="181"/>
      <c r="MD1138" s="181"/>
      <c r="ME1138" s="181"/>
      <c r="MF1138" s="181"/>
      <c r="MG1138" s="181"/>
      <c r="MH1138" s="181"/>
      <c r="MI1138" s="181"/>
      <c r="MJ1138" s="181"/>
      <c r="MK1138" s="181"/>
      <c r="ML1138" s="181"/>
      <c r="MM1138" s="181"/>
      <c r="MN1138" s="181"/>
      <c r="MO1138" s="181"/>
      <c r="MP1138" s="181"/>
      <c r="MQ1138" s="181"/>
      <c r="MR1138" s="181"/>
      <c r="MS1138" s="181"/>
      <c r="MT1138" s="181"/>
      <c r="MU1138" s="181"/>
      <c r="MV1138" s="181"/>
      <c r="MW1138" s="181"/>
      <c r="MX1138" s="181"/>
      <c r="MY1138" s="181"/>
      <c r="MZ1138" s="181"/>
      <c r="NA1138" s="181"/>
      <c r="NB1138" s="181"/>
      <c r="NC1138" s="181"/>
      <c r="ND1138" s="181"/>
      <c r="NE1138" s="181"/>
      <c r="NF1138" s="181"/>
      <c r="NG1138" s="181"/>
      <c r="NH1138" s="181"/>
      <c r="NI1138" s="181"/>
      <c r="NJ1138" s="181"/>
      <c r="NK1138" s="181"/>
      <c r="NL1138" s="181"/>
      <c r="NM1138" s="181"/>
      <c r="NN1138" s="181"/>
      <c r="NO1138" s="181"/>
      <c r="NP1138" s="181"/>
      <c r="NQ1138" s="181"/>
      <c r="NR1138" s="181"/>
      <c r="NS1138" s="181"/>
      <c r="NT1138" s="181"/>
      <c r="NU1138" s="181"/>
      <c r="NV1138" s="181"/>
      <c r="NW1138" s="181"/>
      <c r="NX1138" s="181"/>
      <c r="NY1138" s="181"/>
      <c r="NZ1138" s="181"/>
      <c r="OA1138" s="181"/>
      <c r="OB1138" s="181"/>
      <c r="OC1138" s="181"/>
      <c r="OD1138" s="181"/>
      <c r="OE1138" s="181"/>
      <c r="OF1138" s="181"/>
      <c r="OG1138" s="181"/>
      <c r="OH1138" s="181"/>
      <c r="OI1138" s="181"/>
      <c r="OJ1138" s="181"/>
      <c r="OK1138" s="181"/>
      <c r="OL1138" s="181"/>
      <c r="OM1138" s="181"/>
      <c r="ON1138" s="181"/>
      <c r="OO1138" s="181"/>
      <c r="OP1138" s="181"/>
      <c r="OQ1138" s="181"/>
      <c r="OR1138" s="181"/>
      <c r="OS1138" s="181"/>
      <c r="OT1138" s="181"/>
      <c r="OU1138" s="181"/>
      <c r="OV1138" s="181"/>
      <c r="OW1138" s="181"/>
      <c r="OX1138" s="181"/>
      <c r="OY1138" s="181"/>
      <c r="OZ1138" s="181"/>
      <c r="PA1138" s="181"/>
      <c r="PB1138" s="181"/>
      <c r="PC1138" s="181"/>
      <c r="PD1138" s="181"/>
      <c r="PE1138" s="181"/>
      <c r="PF1138" s="181"/>
      <c r="PG1138" s="181"/>
      <c r="PH1138" s="181"/>
      <c r="PI1138" s="181"/>
      <c r="PJ1138" s="181"/>
      <c r="PK1138" s="181"/>
      <c r="PL1138" s="181"/>
      <c r="PM1138" s="181"/>
      <c r="PN1138" s="181"/>
      <c r="PO1138" s="181"/>
      <c r="PP1138" s="181"/>
      <c r="PQ1138" s="181"/>
      <c r="PR1138" s="181"/>
      <c r="PS1138" s="181"/>
      <c r="PT1138" s="181"/>
      <c r="PU1138" s="181"/>
      <c r="PV1138" s="181"/>
      <c r="PW1138" s="181"/>
      <c r="PX1138" s="181"/>
      <c r="PY1138" s="181"/>
      <c r="PZ1138" s="181"/>
      <c r="QA1138" s="181"/>
      <c r="QB1138" s="181"/>
      <c r="QC1138" s="181"/>
      <c r="QD1138" s="181"/>
      <c r="QE1138" s="181"/>
      <c r="QF1138" s="181"/>
      <c r="QG1138" s="181"/>
      <c r="QH1138" s="181"/>
      <c r="QI1138" s="181"/>
      <c r="QJ1138" s="181"/>
      <c r="QK1138" s="181"/>
      <c r="QL1138" s="181"/>
      <c r="QM1138" s="181"/>
      <c r="QN1138" s="181"/>
      <c r="QO1138" s="181"/>
      <c r="QP1138" s="181"/>
      <c r="QQ1138" s="181"/>
      <c r="QR1138" s="181"/>
      <c r="QS1138" s="181"/>
      <c r="QT1138" s="181"/>
      <c r="QU1138" s="181"/>
      <c r="QV1138" s="181"/>
      <c r="QW1138" s="181"/>
      <c r="QX1138" s="181"/>
      <c r="QY1138" s="181"/>
      <c r="QZ1138" s="181"/>
      <c r="RA1138" s="181"/>
      <c r="RB1138" s="181"/>
      <c r="RC1138" s="181"/>
      <c r="RD1138" s="181"/>
      <c r="RE1138" s="181"/>
      <c r="RF1138" s="181"/>
      <c r="RG1138" s="181"/>
      <c r="RH1138" s="181"/>
      <c r="RI1138" s="181"/>
      <c r="RJ1138" s="181"/>
      <c r="RK1138" s="181"/>
      <c r="RL1138" s="181"/>
      <c r="RM1138" s="181"/>
      <c r="RN1138" s="181"/>
      <c r="RO1138" s="181"/>
      <c r="RP1138" s="181"/>
      <c r="RQ1138" s="181"/>
      <c r="RR1138" s="181"/>
      <c r="RS1138" s="181"/>
      <c r="RT1138" s="181"/>
      <c r="RU1138" s="181"/>
      <c r="RV1138" s="181"/>
      <c r="RW1138" s="181"/>
      <c r="RX1138" s="181"/>
      <c r="RY1138" s="181"/>
      <c r="RZ1138" s="181"/>
      <c r="SA1138" s="181"/>
      <c r="SB1138" s="181"/>
      <c r="SC1138" s="181"/>
      <c r="SD1138" s="181"/>
      <c r="SE1138" s="181"/>
      <c r="SF1138" s="181"/>
      <c r="SG1138" s="181"/>
      <c r="SH1138" s="181"/>
      <c r="SI1138" s="181"/>
      <c r="SJ1138" s="181"/>
      <c r="SK1138" s="181"/>
      <c r="SL1138" s="181"/>
      <c r="SM1138" s="181"/>
      <c r="SN1138" s="181"/>
      <c r="SO1138" s="181"/>
      <c r="SP1138" s="181"/>
      <c r="SQ1138" s="181"/>
      <c r="SR1138" s="181"/>
      <c r="SS1138" s="181"/>
      <c r="ST1138" s="181"/>
      <c r="SU1138" s="181"/>
      <c r="SV1138" s="181"/>
      <c r="SW1138" s="181"/>
      <c r="SX1138" s="181"/>
      <c r="SY1138" s="181"/>
      <c r="SZ1138" s="181"/>
      <c r="TA1138" s="181"/>
      <c r="TB1138" s="181"/>
      <c r="TC1138" s="181"/>
      <c r="TD1138" s="181"/>
      <c r="TE1138" s="181"/>
      <c r="TF1138" s="181"/>
      <c r="TG1138" s="181"/>
      <c r="TH1138" s="181"/>
      <c r="TI1138" s="181"/>
      <c r="TJ1138" s="181"/>
      <c r="TK1138" s="181"/>
      <c r="TL1138" s="181"/>
      <c r="TM1138" s="181"/>
      <c r="TN1138" s="181"/>
      <c r="TO1138" s="181"/>
      <c r="TP1138" s="181"/>
      <c r="TQ1138" s="181"/>
      <c r="TR1138" s="181"/>
      <c r="TS1138" s="181"/>
      <c r="TT1138" s="181"/>
      <c r="TU1138" s="181"/>
      <c r="TV1138" s="181"/>
      <c r="TW1138" s="181"/>
      <c r="TX1138" s="181"/>
      <c r="TY1138" s="181"/>
      <c r="TZ1138" s="181"/>
      <c r="UA1138" s="181"/>
      <c r="UB1138" s="181"/>
      <c r="UC1138" s="181"/>
      <c r="UD1138" s="181"/>
      <c r="UE1138" s="181"/>
      <c r="UF1138" s="181"/>
      <c r="UG1138" s="177"/>
    </row>
    <row r="1139" spans="1:553" ht="31.5" customHeight="1">
      <c r="A1139" s="356"/>
      <c r="B1139" s="428"/>
      <c r="C1139" s="1385" t="s">
        <v>814</v>
      </c>
      <c r="D1139" s="1386"/>
      <c r="E1139" s="1386"/>
      <c r="F1139" s="1387"/>
      <c r="G1139" s="429"/>
      <c r="H1139" s="359"/>
      <c r="I1139" s="788"/>
      <c r="J1139" s="1076"/>
      <c r="K1139" s="491"/>
      <c r="L1139" s="734"/>
      <c r="M1139" s="395"/>
      <c r="N1139" s="395"/>
      <c r="O1139" s="356"/>
      <c r="P1139" s="750"/>
      <c r="Q1139" s="1157"/>
      <c r="R1139" s="1167"/>
      <c r="S1139" s="308"/>
      <c r="T1139" s="308"/>
      <c r="U1139" s="308"/>
      <c r="V1139" s="308"/>
      <c r="W1139" s="308"/>
      <c r="X1139" s="308"/>
      <c r="Y1139" s="308"/>
      <c r="Z1139" s="604"/>
      <c r="AA1139" s="308"/>
      <c r="AB1139" s="308"/>
      <c r="AC1139" s="454"/>
      <c r="AD1139" s="454"/>
      <c r="AE1139" s="454"/>
      <c r="AF1139" s="454"/>
      <c r="AG1139" s="455"/>
      <c r="AH1139" s="455"/>
      <c r="AI1139" s="455"/>
      <c r="AJ1139" s="455"/>
      <c r="AK1139" s="455"/>
      <c r="AL1139" s="110"/>
      <c r="AM1139" s="34"/>
      <c r="AN1139" s="34"/>
      <c r="AO1139" s="34"/>
      <c r="AP1139" s="34"/>
      <c r="AQ1139" s="35"/>
      <c r="AR1139" s="35"/>
      <c r="AS1139" s="35"/>
      <c r="AT1139" s="35"/>
      <c r="AU1139" s="35"/>
      <c r="AV1139" s="35"/>
      <c r="AW1139" s="35"/>
      <c r="AX1139" s="35"/>
      <c r="AY1139" s="35"/>
      <c r="AZ1139" s="35"/>
      <c r="BA1139" s="35"/>
      <c r="BB1139" s="35"/>
      <c r="BC1139" s="35"/>
      <c r="BD1139" s="35"/>
      <c r="BE1139" s="35"/>
      <c r="BF1139" s="35"/>
      <c r="BG1139" s="35"/>
      <c r="BH1139" s="35"/>
      <c r="BI1139" s="35"/>
      <c r="BJ1139" s="35"/>
      <c r="BK1139" s="35"/>
      <c r="BL1139" s="35"/>
      <c r="BM1139" s="35"/>
      <c r="BN1139" s="35"/>
      <c r="BO1139" s="35"/>
      <c r="BP1139" s="35"/>
      <c r="BQ1139" s="35"/>
      <c r="BR1139" s="35"/>
      <c r="BS1139" s="35"/>
      <c r="BT1139" s="35"/>
      <c r="BU1139" s="35"/>
      <c r="BV1139" s="35"/>
      <c r="BW1139" s="35"/>
      <c r="BX1139" s="35"/>
      <c r="BY1139" s="35"/>
      <c r="BZ1139" s="35"/>
      <c r="CA1139" s="35"/>
      <c r="CB1139" s="35"/>
      <c r="CC1139" s="35"/>
      <c r="CD1139" s="35"/>
      <c r="CE1139" s="35"/>
      <c r="CF1139" s="35"/>
      <c r="CG1139" s="35"/>
      <c r="CH1139" s="35"/>
      <c r="CI1139" s="35"/>
      <c r="CJ1139" s="35"/>
      <c r="CK1139" s="35"/>
      <c r="CL1139" s="35"/>
      <c r="CM1139" s="35"/>
      <c r="CN1139" s="35"/>
      <c r="CO1139" s="35"/>
      <c r="CP1139" s="35"/>
      <c r="CQ1139" s="35"/>
      <c r="CR1139" s="35"/>
      <c r="CS1139" s="35"/>
      <c r="CT1139" s="35"/>
      <c r="CU1139" s="35"/>
      <c r="CV1139" s="35"/>
      <c r="CW1139" s="35"/>
      <c r="CX1139" s="35"/>
      <c r="CY1139" s="35"/>
      <c r="CZ1139" s="35"/>
      <c r="DA1139" s="35"/>
      <c r="DB1139" s="35"/>
      <c r="DC1139" s="35"/>
      <c r="DD1139" s="35"/>
      <c r="DE1139" s="35"/>
      <c r="DF1139" s="35"/>
      <c r="DG1139" s="35"/>
      <c r="DH1139" s="35"/>
      <c r="DI1139" s="35"/>
      <c r="DJ1139" s="35"/>
      <c r="DK1139" s="35"/>
      <c r="DL1139" s="35"/>
      <c r="DM1139" s="35"/>
      <c r="DN1139" s="35"/>
      <c r="DO1139" s="35"/>
      <c r="DP1139" s="35"/>
      <c r="DQ1139" s="35"/>
      <c r="DR1139" s="35"/>
      <c r="DS1139" s="35"/>
      <c r="DT1139" s="35"/>
      <c r="DU1139" s="35"/>
      <c r="DV1139" s="35"/>
      <c r="DW1139" s="35"/>
      <c r="DX1139" s="35"/>
      <c r="DY1139" s="35"/>
      <c r="DZ1139" s="35"/>
      <c r="EA1139" s="35"/>
      <c r="EB1139" s="35"/>
      <c r="EC1139" s="35"/>
      <c r="ED1139" s="35"/>
      <c r="EE1139" s="35"/>
      <c r="EF1139" s="35"/>
      <c r="EG1139" s="35"/>
      <c r="EH1139" s="35"/>
      <c r="EI1139" s="35"/>
      <c r="EJ1139" s="35"/>
      <c r="EK1139" s="35"/>
      <c r="EL1139" s="35"/>
      <c r="EM1139" s="35"/>
      <c r="EN1139" s="35"/>
      <c r="EO1139" s="35"/>
      <c r="EP1139" s="35"/>
      <c r="EQ1139" s="35"/>
      <c r="ER1139" s="35"/>
      <c r="ES1139" s="35"/>
      <c r="ET1139" s="35"/>
      <c r="EU1139" s="35"/>
      <c r="EV1139" s="35"/>
      <c r="EW1139" s="35"/>
      <c r="EX1139" s="35"/>
      <c r="EY1139" s="35"/>
      <c r="EZ1139" s="35"/>
      <c r="FA1139" s="35"/>
      <c r="FB1139" s="35"/>
      <c r="FC1139" s="35"/>
      <c r="FD1139" s="35"/>
      <c r="FE1139" s="35"/>
      <c r="FF1139" s="35"/>
      <c r="FG1139" s="35"/>
      <c r="FH1139" s="35"/>
      <c r="FI1139" s="35"/>
      <c r="FJ1139" s="35"/>
      <c r="FK1139" s="35"/>
      <c r="FL1139" s="35"/>
      <c r="FM1139" s="35"/>
      <c r="FN1139" s="35"/>
      <c r="FO1139" s="35"/>
      <c r="FP1139" s="35"/>
      <c r="FQ1139" s="35"/>
      <c r="FR1139" s="35"/>
      <c r="FS1139" s="35"/>
      <c r="FT1139" s="35"/>
      <c r="FU1139" s="35"/>
      <c r="FV1139" s="35"/>
      <c r="FW1139" s="35"/>
      <c r="FX1139" s="35"/>
      <c r="FY1139" s="35"/>
      <c r="FZ1139" s="35"/>
      <c r="GA1139" s="35"/>
      <c r="GB1139" s="35"/>
      <c r="GC1139" s="35"/>
      <c r="GD1139" s="35"/>
      <c r="GE1139" s="35"/>
      <c r="GF1139" s="35"/>
      <c r="GG1139" s="35"/>
      <c r="GH1139" s="35"/>
      <c r="GI1139" s="35"/>
      <c r="GJ1139" s="35"/>
      <c r="GK1139" s="35"/>
      <c r="GL1139" s="35"/>
      <c r="GM1139" s="35"/>
      <c r="GN1139" s="35"/>
      <c r="GO1139" s="35"/>
      <c r="GP1139" s="35"/>
      <c r="GQ1139" s="35"/>
      <c r="GR1139" s="35"/>
      <c r="GS1139" s="35"/>
      <c r="GT1139" s="35"/>
      <c r="GU1139" s="35"/>
      <c r="GV1139" s="35"/>
      <c r="GW1139" s="35"/>
      <c r="GX1139" s="35"/>
      <c r="GY1139" s="35"/>
      <c r="GZ1139" s="35"/>
      <c r="HA1139" s="35"/>
      <c r="HB1139" s="35"/>
      <c r="HC1139" s="35"/>
      <c r="HD1139" s="35"/>
      <c r="HE1139" s="35"/>
      <c r="HF1139" s="35"/>
      <c r="HG1139" s="35"/>
      <c r="HH1139" s="35"/>
      <c r="HI1139" s="35"/>
      <c r="HJ1139" s="35"/>
      <c r="HK1139" s="35"/>
      <c r="HL1139" s="35"/>
      <c r="HM1139" s="35"/>
      <c r="HN1139" s="35"/>
      <c r="HO1139" s="35"/>
      <c r="HP1139" s="35"/>
      <c r="HQ1139" s="35"/>
      <c r="HR1139" s="35"/>
      <c r="HS1139" s="35"/>
      <c r="HT1139" s="35"/>
      <c r="HU1139" s="35"/>
      <c r="HV1139" s="35"/>
      <c r="HW1139" s="35"/>
      <c r="HX1139" s="35"/>
      <c r="HY1139" s="35"/>
      <c r="HZ1139" s="35"/>
      <c r="IA1139" s="35"/>
      <c r="IB1139" s="35"/>
      <c r="IC1139" s="35"/>
      <c r="ID1139" s="35"/>
      <c r="IE1139" s="35"/>
      <c r="IF1139" s="35"/>
      <c r="IG1139" s="35"/>
      <c r="IH1139" s="35"/>
      <c r="II1139" s="35"/>
      <c r="IJ1139" s="35"/>
      <c r="IK1139" s="35"/>
      <c r="IL1139" s="35"/>
      <c r="IM1139" s="35"/>
      <c r="IN1139" s="35"/>
      <c r="IO1139" s="35"/>
      <c r="IP1139" s="35"/>
      <c r="IQ1139" s="35"/>
      <c r="IR1139" s="35"/>
      <c r="IS1139" s="35"/>
      <c r="IT1139" s="35"/>
      <c r="IU1139" s="35"/>
      <c r="IV1139" s="35"/>
      <c r="IW1139" s="35"/>
      <c r="IX1139" s="35"/>
      <c r="IY1139" s="35"/>
      <c r="IZ1139" s="35"/>
      <c r="JA1139" s="35"/>
      <c r="JB1139" s="35"/>
      <c r="JC1139" s="35"/>
      <c r="JD1139" s="35"/>
      <c r="JE1139" s="35"/>
      <c r="JF1139" s="35"/>
      <c r="JG1139" s="35"/>
      <c r="JH1139" s="35"/>
      <c r="JI1139" s="35"/>
      <c r="JJ1139" s="35"/>
      <c r="JK1139" s="35"/>
      <c r="JL1139" s="35"/>
      <c r="JM1139" s="35"/>
      <c r="JN1139" s="35"/>
      <c r="JO1139" s="35"/>
      <c r="JP1139" s="35"/>
      <c r="JQ1139" s="35"/>
      <c r="JR1139" s="35"/>
      <c r="JS1139" s="35"/>
      <c r="JT1139" s="35"/>
      <c r="JU1139" s="35"/>
      <c r="JV1139" s="35"/>
      <c r="JW1139" s="35"/>
      <c r="JX1139" s="35"/>
      <c r="JY1139" s="35"/>
      <c r="JZ1139" s="35"/>
      <c r="KA1139" s="35"/>
      <c r="KB1139" s="35"/>
      <c r="KC1139" s="35"/>
      <c r="KD1139" s="35"/>
      <c r="KE1139" s="35"/>
      <c r="KF1139" s="35"/>
      <c r="KG1139" s="35"/>
      <c r="KH1139" s="35"/>
      <c r="KI1139" s="35"/>
      <c r="KJ1139" s="35"/>
      <c r="KK1139" s="35"/>
      <c r="KL1139" s="35"/>
      <c r="KM1139" s="35"/>
      <c r="KN1139" s="35"/>
      <c r="KO1139" s="35"/>
      <c r="KP1139" s="35"/>
      <c r="KQ1139" s="35"/>
      <c r="KR1139" s="35"/>
      <c r="KS1139" s="35"/>
      <c r="KT1139" s="35"/>
      <c r="KU1139" s="35"/>
      <c r="KV1139" s="35"/>
      <c r="KW1139" s="35"/>
      <c r="KX1139" s="35"/>
      <c r="KY1139" s="35"/>
      <c r="KZ1139" s="35"/>
      <c r="LA1139" s="35"/>
      <c r="LB1139" s="35"/>
      <c r="LC1139" s="35"/>
      <c r="LD1139" s="35"/>
      <c r="LE1139" s="35"/>
      <c r="LF1139" s="35"/>
      <c r="LG1139" s="35"/>
      <c r="LH1139" s="35"/>
      <c r="LI1139" s="35"/>
      <c r="LJ1139" s="35"/>
      <c r="LK1139" s="35"/>
      <c r="LL1139" s="35"/>
      <c r="LM1139" s="35"/>
      <c r="LN1139" s="35"/>
      <c r="LO1139" s="35"/>
      <c r="LP1139" s="35"/>
      <c r="LQ1139" s="35"/>
      <c r="LR1139" s="35"/>
      <c r="LS1139" s="35"/>
      <c r="LT1139" s="35"/>
      <c r="LU1139" s="35"/>
      <c r="LV1139" s="35"/>
      <c r="LW1139" s="35"/>
      <c r="LX1139" s="35"/>
      <c r="LY1139" s="35"/>
      <c r="LZ1139" s="35"/>
      <c r="MA1139" s="35"/>
      <c r="MB1139" s="35"/>
      <c r="MC1139" s="35"/>
      <c r="MD1139" s="35"/>
      <c r="ME1139" s="35"/>
      <c r="MF1139" s="35"/>
      <c r="MG1139" s="35"/>
      <c r="MH1139" s="35"/>
      <c r="MI1139" s="35"/>
      <c r="MJ1139" s="35"/>
      <c r="MK1139" s="35"/>
      <c r="ML1139" s="35"/>
      <c r="MM1139" s="35"/>
      <c r="MN1139" s="35"/>
      <c r="MO1139" s="35"/>
      <c r="MP1139" s="35"/>
      <c r="MQ1139" s="35"/>
      <c r="MR1139" s="35"/>
      <c r="MS1139" s="35"/>
      <c r="MT1139" s="35"/>
      <c r="MU1139" s="35"/>
      <c r="MV1139" s="35"/>
      <c r="MW1139" s="35"/>
      <c r="MX1139" s="35"/>
      <c r="MY1139" s="35"/>
      <c r="MZ1139" s="35"/>
      <c r="NA1139" s="35"/>
      <c r="NB1139" s="35"/>
      <c r="NC1139" s="35"/>
      <c r="ND1139" s="35"/>
      <c r="NE1139" s="35"/>
      <c r="NF1139" s="35"/>
      <c r="NG1139" s="35"/>
      <c r="NH1139" s="35"/>
      <c r="NI1139" s="35"/>
      <c r="NJ1139" s="35"/>
      <c r="NK1139" s="35"/>
      <c r="NL1139" s="35"/>
      <c r="NM1139" s="35"/>
      <c r="NN1139" s="35"/>
      <c r="NO1139" s="35"/>
      <c r="NP1139" s="35"/>
      <c r="NQ1139" s="35"/>
      <c r="NR1139" s="35"/>
      <c r="NS1139" s="35"/>
      <c r="NT1139" s="35"/>
      <c r="NU1139" s="35"/>
      <c r="NV1139" s="35"/>
      <c r="NW1139" s="35"/>
      <c r="NX1139" s="35"/>
      <c r="NY1139" s="35"/>
      <c r="NZ1139" s="35"/>
      <c r="OA1139" s="35"/>
      <c r="OB1139" s="35"/>
      <c r="OC1139" s="35"/>
      <c r="OD1139" s="35"/>
      <c r="OE1139" s="35"/>
      <c r="OF1139" s="35"/>
      <c r="OG1139" s="35"/>
      <c r="OH1139" s="35"/>
      <c r="OI1139" s="35"/>
      <c r="OJ1139" s="35"/>
      <c r="OK1139" s="35"/>
      <c r="OL1139" s="35"/>
      <c r="OM1139" s="35"/>
      <c r="ON1139" s="35"/>
      <c r="OO1139" s="35"/>
      <c r="OP1139" s="35"/>
      <c r="OQ1139" s="35"/>
      <c r="OR1139" s="35"/>
      <c r="OS1139" s="35"/>
      <c r="OT1139" s="35"/>
      <c r="OU1139" s="35"/>
      <c r="OV1139" s="35"/>
      <c r="OW1139" s="35"/>
      <c r="OX1139" s="35"/>
      <c r="OY1139" s="35"/>
      <c r="OZ1139" s="35"/>
      <c r="PA1139" s="35"/>
      <c r="PB1139" s="35"/>
      <c r="PC1139" s="35"/>
      <c r="PD1139" s="35"/>
      <c r="PE1139" s="35"/>
      <c r="PF1139" s="35"/>
      <c r="PG1139" s="35"/>
      <c r="PH1139" s="35"/>
      <c r="PI1139" s="35"/>
      <c r="PJ1139" s="35"/>
      <c r="PK1139" s="35"/>
      <c r="PL1139" s="35"/>
      <c r="PM1139" s="35"/>
      <c r="PN1139" s="35"/>
      <c r="PO1139" s="35"/>
      <c r="PP1139" s="35"/>
      <c r="PQ1139" s="35"/>
      <c r="PR1139" s="35"/>
      <c r="PS1139" s="35"/>
      <c r="PT1139" s="35"/>
      <c r="PU1139" s="35"/>
      <c r="PV1139" s="35"/>
      <c r="PW1139" s="35"/>
      <c r="PX1139" s="35"/>
      <c r="PY1139" s="35"/>
      <c r="PZ1139" s="35"/>
      <c r="QA1139" s="35"/>
      <c r="QB1139" s="35"/>
      <c r="QC1139" s="35"/>
      <c r="QD1139" s="35"/>
      <c r="QE1139" s="35"/>
      <c r="QF1139" s="35"/>
      <c r="QG1139" s="35"/>
      <c r="QH1139" s="35"/>
      <c r="QI1139" s="35"/>
      <c r="QJ1139" s="35"/>
      <c r="QK1139" s="35"/>
      <c r="QL1139" s="35"/>
      <c r="QM1139" s="35"/>
      <c r="QN1139" s="35"/>
      <c r="QO1139" s="35"/>
      <c r="QP1139" s="35"/>
      <c r="QQ1139" s="35"/>
      <c r="QR1139" s="35"/>
      <c r="QS1139" s="35"/>
      <c r="QT1139" s="35"/>
      <c r="QU1139" s="35"/>
      <c r="QV1139" s="35"/>
      <c r="QW1139" s="35"/>
      <c r="QX1139" s="35"/>
      <c r="QY1139" s="35"/>
      <c r="QZ1139" s="35"/>
      <c r="RA1139" s="35"/>
      <c r="RB1139" s="35"/>
      <c r="RC1139" s="35"/>
      <c r="RD1139" s="35"/>
      <c r="RE1139" s="35"/>
      <c r="RF1139" s="35"/>
      <c r="RG1139" s="35"/>
      <c r="RH1139" s="35"/>
      <c r="RI1139" s="35"/>
      <c r="RJ1139" s="35"/>
      <c r="RK1139" s="35"/>
      <c r="RL1139" s="35"/>
      <c r="RM1139" s="35"/>
      <c r="RN1139" s="35"/>
      <c r="RO1139" s="35"/>
      <c r="RP1139" s="35"/>
      <c r="RQ1139" s="35"/>
      <c r="RR1139" s="35"/>
      <c r="RS1139" s="35"/>
      <c r="RT1139" s="35"/>
      <c r="RU1139" s="35"/>
      <c r="RV1139" s="35"/>
      <c r="RW1139" s="35"/>
      <c r="RX1139" s="35"/>
      <c r="RY1139" s="35"/>
      <c r="RZ1139" s="35"/>
      <c r="SA1139" s="35"/>
      <c r="SB1139" s="35"/>
      <c r="SC1139" s="35"/>
      <c r="SD1139" s="35"/>
      <c r="SE1139" s="35"/>
      <c r="SF1139" s="35"/>
      <c r="SG1139" s="35"/>
      <c r="SH1139" s="35"/>
      <c r="SI1139" s="35"/>
      <c r="SJ1139" s="35"/>
      <c r="SK1139" s="35"/>
      <c r="SL1139" s="35"/>
      <c r="SM1139" s="35"/>
      <c r="SN1139" s="35"/>
      <c r="SO1139" s="35"/>
      <c r="SP1139" s="35"/>
      <c r="SQ1139" s="35"/>
      <c r="SR1139" s="35"/>
      <c r="SS1139" s="35"/>
      <c r="ST1139" s="35"/>
      <c r="SU1139" s="35"/>
      <c r="SV1139" s="35"/>
      <c r="SW1139" s="35"/>
      <c r="SX1139" s="35"/>
      <c r="SY1139" s="35"/>
      <c r="SZ1139" s="35"/>
      <c r="TA1139" s="35"/>
      <c r="TB1139" s="35"/>
      <c r="TC1139" s="35"/>
      <c r="TD1139" s="35"/>
      <c r="TE1139" s="35"/>
      <c r="TF1139" s="35"/>
      <c r="TG1139" s="35"/>
      <c r="TH1139" s="35"/>
      <c r="TI1139" s="35"/>
      <c r="TJ1139" s="35"/>
      <c r="TK1139" s="35"/>
      <c r="TL1139" s="35"/>
      <c r="TM1139" s="35"/>
      <c r="TN1139" s="35"/>
      <c r="TO1139" s="35"/>
      <c r="TP1139" s="35"/>
      <c r="TQ1139" s="35"/>
      <c r="TR1139" s="35"/>
      <c r="TS1139" s="35"/>
      <c r="TT1139" s="35"/>
      <c r="TU1139" s="35"/>
      <c r="TV1139" s="35"/>
      <c r="TW1139" s="35"/>
      <c r="TX1139" s="35"/>
      <c r="TY1139" s="35"/>
      <c r="TZ1139" s="35"/>
      <c r="UA1139" s="35"/>
      <c r="UB1139" s="35"/>
      <c r="UC1139" s="35"/>
      <c r="UD1139" s="35"/>
      <c r="UE1139" s="35"/>
      <c r="UF1139" s="35"/>
      <c r="UG1139" s="44"/>
    </row>
    <row r="1140" spans="1:553" ht="31.5" customHeight="1">
      <c r="A1140" s="356"/>
      <c r="B1140" s="385"/>
      <c r="C1140" s="1388" t="s">
        <v>254</v>
      </c>
      <c r="D1140" s="1389"/>
      <c r="E1140" s="1389"/>
      <c r="F1140" s="1390"/>
      <c r="G1140" s="386" t="s">
        <v>113</v>
      </c>
      <c r="H1140" s="370"/>
      <c r="I1140" s="422">
        <v>117</v>
      </c>
      <c r="J1140" s="477">
        <v>114600</v>
      </c>
      <c r="K1140" s="388"/>
      <c r="L1140" s="391">
        <f t="shared" ref="L1140" si="168">I1140*J1140</f>
        <v>13408200</v>
      </c>
      <c r="M1140" s="395"/>
      <c r="N1140" s="395"/>
      <c r="O1140" s="366"/>
      <c r="P1140" s="396"/>
      <c r="Q1140" s="473"/>
      <c r="R1140" s="1039"/>
      <c r="S1140" s="308"/>
      <c r="T1140" s="308"/>
      <c r="U1140" s="308"/>
      <c r="V1140" s="308"/>
      <c r="W1140" s="308"/>
      <c r="X1140" s="308"/>
      <c r="Y1140" s="308"/>
      <c r="Z1140" s="604"/>
      <c r="AA1140" s="308"/>
      <c r="AB1140" s="308"/>
      <c r="AC1140" s="449"/>
      <c r="AD1140" s="449"/>
      <c r="AE1140" s="449"/>
      <c r="AF1140" s="449"/>
      <c r="AG1140" s="452"/>
      <c r="AH1140" s="452"/>
      <c r="AI1140" s="452"/>
      <c r="AJ1140" s="452"/>
      <c r="AK1140" s="452"/>
      <c r="AL1140" s="104"/>
      <c r="AM1140" s="32"/>
      <c r="AN1140" s="32"/>
      <c r="AO1140" s="32"/>
      <c r="AP1140" s="32"/>
      <c r="AQ1140" s="31"/>
      <c r="AR1140" s="31"/>
      <c r="AS1140" s="31"/>
      <c r="AT1140" s="31"/>
      <c r="AU1140" s="31"/>
      <c r="AV1140" s="31"/>
      <c r="AW1140" s="31"/>
      <c r="AX1140" s="31"/>
      <c r="AY1140" s="31"/>
      <c r="AZ1140" s="31"/>
      <c r="BA1140" s="31"/>
      <c r="BB1140" s="31"/>
      <c r="BC1140" s="31"/>
      <c r="BD1140" s="31"/>
      <c r="BE1140" s="31"/>
      <c r="BF1140" s="31"/>
      <c r="BG1140" s="31"/>
      <c r="BH1140" s="31"/>
      <c r="BI1140" s="31"/>
      <c r="BJ1140" s="31"/>
      <c r="BK1140" s="31"/>
      <c r="BL1140" s="31"/>
      <c r="BM1140" s="31"/>
      <c r="BN1140" s="31"/>
      <c r="BO1140" s="31"/>
      <c r="BP1140" s="31"/>
      <c r="BQ1140" s="31"/>
      <c r="BR1140" s="31"/>
      <c r="BS1140" s="31"/>
      <c r="BT1140" s="31"/>
      <c r="BU1140" s="31"/>
      <c r="BV1140" s="31"/>
      <c r="BW1140" s="31"/>
      <c r="BX1140" s="31"/>
      <c r="BY1140" s="31"/>
      <c r="BZ1140" s="31"/>
      <c r="CA1140" s="31"/>
      <c r="CB1140" s="31"/>
      <c r="CC1140" s="31"/>
      <c r="CD1140" s="31"/>
      <c r="CE1140" s="31"/>
      <c r="CF1140" s="31"/>
      <c r="CG1140" s="31"/>
      <c r="CH1140" s="31"/>
      <c r="CI1140" s="31"/>
      <c r="CJ1140" s="31"/>
      <c r="CK1140" s="31"/>
      <c r="CL1140" s="31"/>
      <c r="CM1140" s="31"/>
      <c r="CN1140" s="31"/>
      <c r="CO1140" s="31"/>
      <c r="CP1140" s="31"/>
      <c r="CQ1140" s="31"/>
      <c r="CR1140" s="31"/>
      <c r="CS1140" s="31"/>
      <c r="CT1140" s="31"/>
      <c r="CU1140" s="31"/>
      <c r="CV1140" s="31"/>
      <c r="CW1140" s="31"/>
      <c r="CX1140" s="31"/>
      <c r="CY1140" s="31"/>
      <c r="CZ1140" s="31"/>
      <c r="DA1140" s="31"/>
      <c r="DB1140" s="31"/>
      <c r="DC1140" s="31"/>
      <c r="DD1140" s="31"/>
      <c r="DE1140" s="31"/>
      <c r="DF1140" s="31"/>
      <c r="DG1140" s="31"/>
      <c r="DH1140" s="31"/>
      <c r="DI1140" s="31"/>
      <c r="DJ1140" s="31"/>
      <c r="DK1140" s="31"/>
      <c r="DL1140" s="31"/>
      <c r="DM1140" s="31"/>
      <c r="DN1140" s="31"/>
      <c r="DO1140" s="31"/>
      <c r="DP1140" s="31"/>
      <c r="DQ1140" s="31"/>
      <c r="DR1140" s="31"/>
      <c r="DS1140" s="31"/>
      <c r="DT1140" s="31"/>
      <c r="DU1140" s="31"/>
      <c r="DV1140" s="31"/>
      <c r="DW1140" s="31"/>
      <c r="DX1140" s="31"/>
      <c r="DY1140" s="31"/>
      <c r="DZ1140" s="31"/>
      <c r="EA1140" s="31"/>
      <c r="EB1140" s="31"/>
      <c r="EC1140" s="31"/>
      <c r="ED1140" s="31"/>
      <c r="EE1140" s="31"/>
      <c r="EF1140" s="31"/>
      <c r="EG1140" s="31"/>
      <c r="EH1140" s="31"/>
      <c r="EI1140" s="31"/>
      <c r="EJ1140" s="31"/>
      <c r="EK1140" s="31"/>
      <c r="EL1140" s="31"/>
      <c r="EM1140" s="31"/>
      <c r="EN1140" s="31"/>
      <c r="EO1140" s="31"/>
      <c r="EP1140" s="31"/>
      <c r="EQ1140" s="31"/>
      <c r="ER1140" s="31"/>
      <c r="ES1140" s="31"/>
      <c r="ET1140" s="31"/>
      <c r="EU1140" s="31"/>
      <c r="EV1140" s="31"/>
      <c r="EW1140" s="31"/>
      <c r="EX1140" s="31"/>
      <c r="EY1140" s="31"/>
      <c r="EZ1140" s="31"/>
      <c r="FA1140" s="31"/>
      <c r="FB1140" s="31"/>
      <c r="FC1140" s="31"/>
      <c r="FD1140" s="31"/>
      <c r="FE1140" s="31"/>
      <c r="FF1140" s="31"/>
      <c r="FG1140" s="31"/>
      <c r="FH1140" s="31"/>
      <c r="FI1140" s="31"/>
      <c r="FJ1140" s="31"/>
      <c r="FK1140" s="31"/>
      <c r="FL1140" s="31"/>
      <c r="FM1140" s="31"/>
      <c r="FN1140" s="31"/>
      <c r="FO1140" s="31"/>
      <c r="FP1140" s="31"/>
      <c r="FQ1140" s="31"/>
      <c r="FR1140" s="31"/>
      <c r="FS1140" s="31"/>
      <c r="FT1140" s="31"/>
      <c r="FU1140" s="31"/>
      <c r="FV1140" s="31"/>
      <c r="FW1140" s="31"/>
      <c r="FX1140" s="31"/>
      <c r="FY1140" s="31"/>
      <c r="FZ1140" s="31"/>
      <c r="GA1140" s="31"/>
      <c r="GB1140" s="31"/>
      <c r="GC1140" s="31"/>
      <c r="GD1140" s="31"/>
      <c r="GE1140" s="31"/>
      <c r="GF1140" s="31"/>
      <c r="GG1140" s="31"/>
      <c r="GH1140" s="31"/>
      <c r="GI1140" s="31"/>
      <c r="GJ1140" s="31"/>
      <c r="GK1140" s="31"/>
      <c r="GL1140" s="31"/>
      <c r="GM1140" s="31"/>
      <c r="GN1140" s="31"/>
      <c r="GO1140" s="31"/>
      <c r="GP1140" s="31"/>
      <c r="GQ1140" s="31"/>
      <c r="GR1140" s="31"/>
      <c r="GS1140" s="31"/>
      <c r="GT1140" s="31"/>
      <c r="GU1140" s="31"/>
      <c r="GV1140" s="31"/>
      <c r="GW1140" s="31"/>
      <c r="GX1140" s="31"/>
      <c r="GY1140" s="31"/>
      <c r="GZ1140" s="31"/>
      <c r="HA1140" s="31"/>
      <c r="HB1140" s="31"/>
      <c r="HC1140" s="31"/>
      <c r="HD1140" s="31"/>
      <c r="HE1140" s="31"/>
      <c r="HF1140" s="31"/>
      <c r="HG1140" s="31"/>
      <c r="HH1140" s="31"/>
      <c r="HI1140" s="31"/>
      <c r="HJ1140" s="31"/>
      <c r="HK1140" s="31"/>
      <c r="HL1140" s="31"/>
      <c r="HM1140" s="31"/>
      <c r="HN1140" s="31"/>
      <c r="HO1140" s="31"/>
      <c r="HP1140" s="31"/>
      <c r="HQ1140" s="31"/>
      <c r="HR1140" s="31"/>
      <c r="HS1140" s="31"/>
      <c r="HT1140" s="31"/>
      <c r="HU1140" s="31"/>
      <c r="HV1140" s="31"/>
      <c r="HW1140" s="31"/>
      <c r="HX1140" s="31"/>
      <c r="HY1140" s="31"/>
      <c r="HZ1140" s="31"/>
      <c r="IA1140" s="31"/>
      <c r="IB1140" s="31"/>
      <c r="IC1140" s="31"/>
      <c r="ID1140" s="31"/>
      <c r="IE1140" s="31"/>
      <c r="IF1140" s="31"/>
      <c r="IG1140" s="31"/>
      <c r="IH1140" s="31"/>
      <c r="II1140" s="31"/>
      <c r="IJ1140" s="31"/>
      <c r="IK1140" s="31"/>
      <c r="IL1140" s="31"/>
      <c r="IM1140" s="31"/>
      <c r="IN1140" s="31"/>
      <c r="IO1140" s="31"/>
      <c r="IP1140" s="31"/>
      <c r="IQ1140" s="31"/>
      <c r="IR1140" s="31"/>
      <c r="IS1140" s="31"/>
      <c r="IT1140" s="31"/>
      <c r="IU1140" s="31"/>
      <c r="IV1140" s="31"/>
      <c r="IW1140" s="31"/>
      <c r="IX1140" s="31"/>
      <c r="IY1140" s="31"/>
      <c r="IZ1140" s="31"/>
      <c r="JA1140" s="31"/>
      <c r="JB1140" s="31"/>
      <c r="JC1140" s="31"/>
      <c r="JD1140" s="31"/>
      <c r="JE1140" s="31"/>
      <c r="JF1140" s="31"/>
      <c r="JG1140" s="31"/>
      <c r="JH1140" s="31"/>
      <c r="JI1140" s="31"/>
      <c r="JJ1140" s="31"/>
      <c r="JK1140" s="31"/>
      <c r="JL1140" s="31"/>
      <c r="JM1140" s="31"/>
      <c r="JN1140" s="31"/>
      <c r="JO1140" s="31"/>
      <c r="JP1140" s="31"/>
      <c r="JQ1140" s="31"/>
      <c r="JR1140" s="31"/>
      <c r="JS1140" s="31"/>
      <c r="JT1140" s="31"/>
      <c r="JU1140" s="31"/>
      <c r="JV1140" s="31"/>
      <c r="JW1140" s="31"/>
      <c r="JX1140" s="31"/>
      <c r="JY1140" s="31"/>
      <c r="JZ1140" s="31"/>
      <c r="KA1140" s="31"/>
      <c r="KB1140" s="31"/>
      <c r="KC1140" s="31"/>
      <c r="KD1140" s="31"/>
      <c r="KE1140" s="31"/>
      <c r="KF1140" s="31"/>
      <c r="KG1140" s="31"/>
      <c r="KH1140" s="31"/>
      <c r="KI1140" s="31"/>
      <c r="KJ1140" s="31"/>
      <c r="KK1140" s="31"/>
      <c r="KL1140" s="31"/>
      <c r="KM1140" s="31"/>
      <c r="KN1140" s="31"/>
      <c r="KO1140" s="31"/>
      <c r="KP1140" s="31"/>
      <c r="KQ1140" s="31"/>
      <c r="KR1140" s="31"/>
      <c r="KS1140" s="31"/>
      <c r="KT1140" s="31"/>
      <c r="KU1140" s="31"/>
      <c r="KV1140" s="31"/>
      <c r="KW1140" s="31"/>
      <c r="KX1140" s="31"/>
      <c r="KY1140" s="31"/>
      <c r="KZ1140" s="31"/>
      <c r="LA1140" s="31"/>
      <c r="LB1140" s="31"/>
      <c r="LC1140" s="31"/>
      <c r="LD1140" s="31"/>
      <c r="LE1140" s="31"/>
      <c r="LF1140" s="31"/>
      <c r="LG1140" s="31"/>
      <c r="LH1140" s="31"/>
      <c r="LI1140" s="31"/>
      <c r="LJ1140" s="31"/>
      <c r="LK1140" s="31"/>
      <c r="LL1140" s="31"/>
      <c r="LM1140" s="31"/>
      <c r="LN1140" s="31"/>
      <c r="LO1140" s="31"/>
      <c r="LP1140" s="31"/>
      <c r="LQ1140" s="31"/>
      <c r="LR1140" s="31"/>
      <c r="LS1140" s="31"/>
      <c r="LT1140" s="31"/>
      <c r="LU1140" s="31"/>
      <c r="LV1140" s="31"/>
      <c r="LW1140" s="31"/>
      <c r="LX1140" s="31"/>
      <c r="LY1140" s="31"/>
      <c r="LZ1140" s="31"/>
      <c r="MA1140" s="31"/>
      <c r="MB1140" s="31"/>
      <c r="MC1140" s="31"/>
      <c r="MD1140" s="31"/>
      <c r="ME1140" s="31"/>
      <c r="MF1140" s="31"/>
      <c r="MG1140" s="31"/>
      <c r="MH1140" s="31"/>
      <c r="MI1140" s="31"/>
      <c r="MJ1140" s="31"/>
      <c r="MK1140" s="31"/>
      <c r="ML1140" s="31"/>
      <c r="MM1140" s="31"/>
      <c r="MN1140" s="31"/>
      <c r="MO1140" s="31"/>
      <c r="MP1140" s="31"/>
      <c r="MQ1140" s="31"/>
      <c r="MR1140" s="31"/>
      <c r="MS1140" s="31"/>
      <c r="MT1140" s="31"/>
      <c r="MU1140" s="31"/>
      <c r="MV1140" s="31"/>
      <c r="MW1140" s="31"/>
      <c r="MX1140" s="31"/>
      <c r="MY1140" s="31"/>
      <c r="MZ1140" s="31"/>
      <c r="NA1140" s="31"/>
      <c r="NB1140" s="31"/>
      <c r="NC1140" s="31"/>
      <c r="ND1140" s="31"/>
      <c r="NE1140" s="31"/>
      <c r="NF1140" s="31"/>
      <c r="NG1140" s="31"/>
      <c r="NH1140" s="31"/>
      <c r="NI1140" s="31"/>
      <c r="NJ1140" s="31"/>
      <c r="NK1140" s="31"/>
      <c r="NL1140" s="31"/>
      <c r="NM1140" s="31"/>
      <c r="NN1140" s="31"/>
      <c r="NO1140" s="31"/>
      <c r="NP1140" s="31"/>
      <c r="NQ1140" s="31"/>
      <c r="NR1140" s="31"/>
      <c r="NS1140" s="31"/>
      <c r="NT1140" s="31"/>
      <c r="NU1140" s="31"/>
      <c r="NV1140" s="31"/>
      <c r="NW1140" s="31"/>
      <c r="NX1140" s="31"/>
      <c r="NY1140" s="31"/>
      <c r="NZ1140" s="31"/>
      <c r="OA1140" s="31"/>
      <c r="OB1140" s="31"/>
      <c r="OC1140" s="31"/>
      <c r="OD1140" s="31"/>
      <c r="OE1140" s="31"/>
      <c r="OF1140" s="31"/>
      <c r="OG1140" s="31"/>
      <c r="OH1140" s="31"/>
      <c r="OI1140" s="31"/>
      <c r="OJ1140" s="31"/>
      <c r="OK1140" s="31"/>
      <c r="OL1140" s="31"/>
      <c r="OM1140" s="31"/>
      <c r="ON1140" s="31"/>
      <c r="OO1140" s="31"/>
      <c r="OP1140" s="31"/>
      <c r="OQ1140" s="31"/>
      <c r="OR1140" s="31"/>
      <c r="OS1140" s="31"/>
      <c r="OT1140" s="31"/>
      <c r="OU1140" s="31"/>
      <c r="OV1140" s="31"/>
      <c r="OW1140" s="31"/>
      <c r="OX1140" s="31"/>
      <c r="OY1140" s="31"/>
      <c r="OZ1140" s="31"/>
      <c r="PA1140" s="31"/>
      <c r="PB1140" s="31"/>
      <c r="PC1140" s="31"/>
      <c r="PD1140" s="31"/>
      <c r="PE1140" s="31"/>
      <c r="PF1140" s="31"/>
      <c r="PG1140" s="31"/>
      <c r="PH1140" s="31"/>
      <c r="PI1140" s="31"/>
      <c r="PJ1140" s="31"/>
      <c r="PK1140" s="31"/>
      <c r="PL1140" s="31"/>
      <c r="PM1140" s="31"/>
      <c r="PN1140" s="31"/>
      <c r="PO1140" s="31"/>
      <c r="PP1140" s="31"/>
      <c r="PQ1140" s="31"/>
      <c r="PR1140" s="31"/>
      <c r="PS1140" s="31"/>
      <c r="PT1140" s="31"/>
      <c r="PU1140" s="31"/>
      <c r="PV1140" s="31"/>
      <c r="PW1140" s="31"/>
      <c r="PX1140" s="31"/>
      <c r="PY1140" s="31"/>
      <c r="PZ1140" s="31"/>
      <c r="QA1140" s="31"/>
      <c r="QB1140" s="31"/>
      <c r="QC1140" s="31"/>
      <c r="QD1140" s="31"/>
      <c r="QE1140" s="31"/>
      <c r="QF1140" s="31"/>
      <c r="QG1140" s="31"/>
      <c r="QH1140" s="31"/>
      <c r="QI1140" s="31"/>
      <c r="QJ1140" s="31"/>
      <c r="QK1140" s="31"/>
      <c r="QL1140" s="31"/>
      <c r="QM1140" s="31"/>
      <c r="QN1140" s="31"/>
      <c r="QO1140" s="31"/>
      <c r="QP1140" s="31"/>
      <c r="QQ1140" s="31"/>
      <c r="QR1140" s="31"/>
      <c r="QS1140" s="31"/>
      <c r="QT1140" s="31"/>
      <c r="QU1140" s="31"/>
      <c r="QV1140" s="31"/>
      <c r="QW1140" s="31"/>
      <c r="QX1140" s="31"/>
      <c r="QY1140" s="31"/>
      <c r="QZ1140" s="31"/>
      <c r="RA1140" s="31"/>
      <c r="RB1140" s="31"/>
      <c r="RC1140" s="31"/>
      <c r="RD1140" s="31"/>
      <c r="RE1140" s="31"/>
      <c r="RF1140" s="31"/>
      <c r="RG1140" s="31"/>
      <c r="RH1140" s="31"/>
      <c r="RI1140" s="31"/>
      <c r="RJ1140" s="31"/>
      <c r="RK1140" s="31"/>
      <c r="RL1140" s="31"/>
      <c r="RM1140" s="31"/>
      <c r="RN1140" s="31"/>
      <c r="RO1140" s="31"/>
      <c r="RP1140" s="31"/>
      <c r="RQ1140" s="31"/>
      <c r="RR1140" s="31"/>
      <c r="RS1140" s="31"/>
      <c r="RT1140" s="31"/>
      <c r="RU1140" s="31"/>
      <c r="RV1140" s="31"/>
      <c r="RW1140" s="31"/>
      <c r="RX1140" s="31"/>
      <c r="RY1140" s="31"/>
      <c r="RZ1140" s="31"/>
      <c r="SA1140" s="31"/>
      <c r="SB1140" s="31"/>
      <c r="SC1140" s="31"/>
      <c r="SD1140" s="31"/>
      <c r="SE1140" s="31"/>
      <c r="SF1140" s="31"/>
      <c r="SG1140" s="31"/>
      <c r="SH1140" s="31"/>
      <c r="SI1140" s="31"/>
      <c r="SJ1140" s="31"/>
      <c r="SK1140" s="31"/>
      <c r="SL1140" s="31"/>
      <c r="SM1140" s="31"/>
      <c r="SN1140" s="31"/>
      <c r="SO1140" s="31"/>
      <c r="SP1140" s="31"/>
      <c r="SQ1140" s="31"/>
      <c r="SR1140" s="31"/>
      <c r="SS1140" s="31"/>
      <c r="ST1140" s="31"/>
      <c r="SU1140" s="31"/>
      <c r="SV1140" s="31"/>
      <c r="SW1140" s="31"/>
      <c r="SX1140" s="31"/>
      <c r="SY1140" s="31"/>
      <c r="SZ1140" s="31"/>
      <c r="TA1140" s="31"/>
      <c r="TB1140" s="31"/>
      <c r="TC1140" s="31"/>
      <c r="TD1140" s="31"/>
      <c r="TE1140" s="31"/>
      <c r="TF1140" s="31"/>
      <c r="TG1140" s="31"/>
      <c r="TH1140" s="31"/>
      <c r="TI1140" s="31"/>
      <c r="TJ1140" s="31"/>
      <c r="TK1140" s="31"/>
      <c r="TL1140" s="31"/>
      <c r="TM1140" s="31"/>
      <c r="TN1140" s="31"/>
      <c r="TO1140" s="31"/>
      <c r="TP1140" s="31"/>
      <c r="TQ1140" s="31"/>
      <c r="TR1140" s="31"/>
      <c r="TS1140" s="31"/>
      <c r="TT1140" s="31"/>
      <c r="TU1140" s="31"/>
      <c r="TV1140" s="31"/>
      <c r="TW1140" s="31"/>
      <c r="TX1140" s="31"/>
      <c r="TY1140" s="31"/>
      <c r="TZ1140" s="31"/>
      <c r="UA1140" s="31"/>
      <c r="UB1140" s="31"/>
      <c r="UC1140" s="31"/>
      <c r="UD1140" s="31"/>
      <c r="UE1140" s="31"/>
      <c r="UF1140" s="31"/>
      <c r="UG1140" s="33"/>
    </row>
    <row r="1141" spans="1:553" ht="31.5" customHeight="1">
      <c r="A1141" s="356"/>
      <c r="B1141" s="428"/>
      <c r="C1141" s="1385" t="s">
        <v>663</v>
      </c>
      <c r="D1141" s="1386"/>
      <c r="E1141" s="1386"/>
      <c r="F1141" s="1387"/>
      <c r="G1141" s="429"/>
      <c r="H1141" s="359"/>
      <c r="I1141" s="788"/>
      <c r="J1141" s="1076"/>
      <c r="K1141" s="491"/>
      <c r="L1141" s="734"/>
      <c r="M1141" s="395"/>
      <c r="N1141" s="395"/>
      <c r="O1141" s="356"/>
      <c r="P1141" s="750"/>
      <c r="Q1141" s="1157"/>
      <c r="R1141" s="1167"/>
      <c r="S1141" s="308"/>
      <c r="T1141" s="308"/>
      <c r="U1141" s="308"/>
      <c r="V1141" s="308"/>
      <c r="W1141" s="308"/>
      <c r="X1141" s="308"/>
      <c r="Y1141" s="308"/>
      <c r="Z1141" s="604"/>
      <c r="AA1141" s="308"/>
      <c r="AB1141" s="308"/>
      <c r="AC1141" s="454"/>
      <c r="AD1141" s="454"/>
      <c r="AE1141" s="454"/>
      <c r="AF1141" s="454"/>
      <c r="AG1141" s="455"/>
      <c r="AH1141" s="455"/>
      <c r="AI1141" s="455"/>
      <c r="AJ1141" s="455"/>
      <c r="AK1141" s="455"/>
      <c r="AL1141" s="110"/>
      <c r="AM1141" s="34"/>
      <c r="AN1141" s="34"/>
      <c r="AO1141" s="34"/>
      <c r="AP1141" s="34"/>
      <c r="AQ1141" s="35"/>
      <c r="AR1141" s="35"/>
      <c r="AS1141" s="35"/>
      <c r="AT1141" s="35"/>
      <c r="AU1141" s="35"/>
      <c r="AV1141" s="35"/>
      <c r="AW1141" s="35"/>
      <c r="AX1141" s="35"/>
      <c r="AY1141" s="35"/>
      <c r="AZ1141" s="35"/>
      <c r="BA1141" s="35"/>
      <c r="BB1141" s="35"/>
      <c r="BC1141" s="35"/>
      <c r="BD1141" s="35"/>
      <c r="BE1141" s="35"/>
      <c r="BF1141" s="35"/>
      <c r="BG1141" s="35"/>
      <c r="BH1141" s="35"/>
      <c r="BI1141" s="35"/>
      <c r="BJ1141" s="35"/>
      <c r="BK1141" s="35"/>
      <c r="BL1141" s="35"/>
      <c r="BM1141" s="35"/>
      <c r="BN1141" s="35"/>
      <c r="BO1141" s="35"/>
      <c r="BP1141" s="35"/>
      <c r="BQ1141" s="35"/>
      <c r="BR1141" s="35"/>
      <c r="BS1141" s="35"/>
      <c r="BT1141" s="35"/>
      <c r="BU1141" s="35"/>
      <c r="BV1141" s="35"/>
      <c r="BW1141" s="35"/>
      <c r="BX1141" s="35"/>
      <c r="BY1141" s="35"/>
      <c r="BZ1141" s="35"/>
      <c r="CA1141" s="35"/>
      <c r="CB1141" s="35"/>
      <c r="CC1141" s="35"/>
      <c r="CD1141" s="35"/>
      <c r="CE1141" s="35"/>
      <c r="CF1141" s="35"/>
      <c r="CG1141" s="35"/>
      <c r="CH1141" s="35"/>
      <c r="CI1141" s="35"/>
      <c r="CJ1141" s="35"/>
      <c r="CK1141" s="35"/>
      <c r="CL1141" s="35"/>
      <c r="CM1141" s="35"/>
      <c r="CN1141" s="35"/>
      <c r="CO1141" s="35"/>
      <c r="CP1141" s="35"/>
      <c r="CQ1141" s="35"/>
      <c r="CR1141" s="35"/>
      <c r="CS1141" s="35"/>
      <c r="CT1141" s="35"/>
      <c r="CU1141" s="35"/>
      <c r="CV1141" s="35"/>
      <c r="CW1141" s="35"/>
      <c r="CX1141" s="35"/>
      <c r="CY1141" s="35"/>
      <c r="CZ1141" s="35"/>
      <c r="DA1141" s="35"/>
      <c r="DB1141" s="35"/>
      <c r="DC1141" s="35"/>
      <c r="DD1141" s="35"/>
      <c r="DE1141" s="35"/>
      <c r="DF1141" s="35"/>
      <c r="DG1141" s="35"/>
      <c r="DH1141" s="35"/>
      <c r="DI1141" s="35"/>
      <c r="DJ1141" s="35"/>
      <c r="DK1141" s="35"/>
      <c r="DL1141" s="35"/>
      <c r="DM1141" s="35"/>
      <c r="DN1141" s="35"/>
      <c r="DO1141" s="35"/>
      <c r="DP1141" s="35"/>
      <c r="DQ1141" s="35"/>
      <c r="DR1141" s="35"/>
      <c r="DS1141" s="35"/>
      <c r="DT1141" s="35"/>
      <c r="DU1141" s="35"/>
      <c r="DV1141" s="35"/>
      <c r="DW1141" s="35"/>
      <c r="DX1141" s="35"/>
      <c r="DY1141" s="35"/>
      <c r="DZ1141" s="35"/>
      <c r="EA1141" s="35"/>
      <c r="EB1141" s="35"/>
      <c r="EC1141" s="35"/>
      <c r="ED1141" s="35"/>
      <c r="EE1141" s="35"/>
      <c r="EF1141" s="35"/>
      <c r="EG1141" s="35"/>
      <c r="EH1141" s="35"/>
      <c r="EI1141" s="35"/>
      <c r="EJ1141" s="35"/>
      <c r="EK1141" s="35"/>
      <c r="EL1141" s="35"/>
      <c r="EM1141" s="35"/>
      <c r="EN1141" s="35"/>
      <c r="EO1141" s="35"/>
      <c r="EP1141" s="35"/>
      <c r="EQ1141" s="35"/>
      <c r="ER1141" s="35"/>
      <c r="ES1141" s="35"/>
      <c r="ET1141" s="35"/>
      <c r="EU1141" s="35"/>
      <c r="EV1141" s="35"/>
      <c r="EW1141" s="35"/>
      <c r="EX1141" s="35"/>
      <c r="EY1141" s="35"/>
      <c r="EZ1141" s="35"/>
      <c r="FA1141" s="35"/>
      <c r="FB1141" s="35"/>
      <c r="FC1141" s="35"/>
      <c r="FD1141" s="35"/>
      <c r="FE1141" s="35"/>
      <c r="FF1141" s="35"/>
      <c r="FG1141" s="35"/>
      <c r="FH1141" s="35"/>
      <c r="FI1141" s="35"/>
      <c r="FJ1141" s="35"/>
      <c r="FK1141" s="35"/>
      <c r="FL1141" s="35"/>
      <c r="FM1141" s="35"/>
      <c r="FN1141" s="35"/>
      <c r="FO1141" s="35"/>
      <c r="FP1141" s="35"/>
      <c r="FQ1141" s="35"/>
      <c r="FR1141" s="35"/>
      <c r="FS1141" s="35"/>
      <c r="FT1141" s="35"/>
      <c r="FU1141" s="35"/>
      <c r="FV1141" s="35"/>
      <c r="FW1141" s="35"/>
      <c r="FX1141" s="35"/>
      <c r="FY1141" s="35"/>
      <c r="FZ1141" s="35"/>
      <c r="GA1141" s="35"/>
      <c r="GB1141" s="35"/>
      <c r="GC1141" s="35"/>
      <c r="GD1141" s="35"/>
      <c r="GE1141" s="35"/>
      <c r="GF1141" s="35"/>
      <c r="GG1141" s="35"/>
      <c r="GH1141" s="35"/>
      <c r="GI1141" s="35"/>
      <c r="GJ1141" s="35"/>
      <c r="GK1141" s="35"/>
      <c r="GL1141" s="35"/>
      <c r="GM1141" s="35"/>
      <c r="GN1141" s="35"/>
      <c r="GO1141" s="35"/>
      <c r="GP1141" s="35"/>
      <c r="GQ1141" s="35"/>
      <c r="GR1141" s="35"/>
      <c r="GS1141" s="35"/>
      <c r="GT1141" s="35"/>
      <c r="GU1141" s="35"/>
      <c r="GV1141" s="35"/>
      <c r="GW1141" s="35"/>
      <c r="GX1141" s="35"/>
      <c r="GY1141" s="35"/>
      <c r="GZ1141" s="35"/>
      <c r="HA1141" s="35"/>
      <c r="HB1141" s="35"/>
      <c r="HC1141" s="35"/>
      <c r="HD1141" s="35"/>
      <c r="HE1141" s="35"/>
      <c r="HF1141" s="35"/>
      <c r="HG1141" s="35"/>
      <c r="HH1141" s="35"/>
      <c r="HI1141" s="35"/>
      <c r="HJ1141" s="35"/>
      <c r="HK1141" s="35"/>
      <c r="HL1141" s="35"/>
      <c r="HM1141" s="35"/>
      <c r="HN1141" s="35"/>
      <c r="HO1141" s="35"/>
      <c r="HP1141" s="35"/>
      <c r="HQ1141" s="35"/>
      <c r="HR1141" s="35"/>
      <c r="HS1141" s="35"/>
      <c r="HT1141" s="35"/>
      <c r="HU1141" s="35"/>
      <c r="HV1141" s="35"/>
      <c r="HW1141" s="35"/>
      <c r="HX1141" s="35"/>
      <c r="HY1141" s="35"/>
      <c r="HZ1141" s="35"/>
      <c r="IA1141" s="35"/>
      <c r="IB1141" s="35"/>
      <c r="IC1141" s="35"/>
      <c r="ID1141" s="35"/>
      <c r="IE1141" s="35"/>
      <c r="IF1141" s="35"/>
      <c r="IG1141" s="35"/>
      <c r="IH1141" s="35"/>
      <c r="II1141" s="35"/>
      <c r="IJ1141" s="35"/>
      <c r="IK1141" s="35"/>
      <c r="IL1141" s="35"/>
      <c r="IM1141" s="35"/>
      <c r="IN1141" s="35"/>
      <c r="IO1141" s="35"/>
      <c r="IP1141" s="35"/>
      <c r="IQ1141" s="35"/>
      <c r="IR1141" s="35"/>
      <c r="IS1141" s="35"/>
      <c r="IT1141" s="35"/>
      <c r="IU1141" s="35"/>
      <c r="IV1141" s="35"/>
      <c r="IW1141" s="35"/>
      <c r="IX1141" s="35"/>
      <c r="IY1141" s="35"/>
      <c r="IZ1141" s="35"/>
      <c r="JA1141" s="35"/>
      <c r="JB1141" s="35"/>
      <c r="JC1141" s="35"/>
      <c r="JD1141" s="35"/>
      <c r="JE1141" s="35"/>
      <c r="JF1141" s="35"/>
      <c r="JG1141" s="35"/>
      <c r="JH1141" s="35"/>
      <c r="JI1141" s="35"/>
      <c r="JJ1141" s="35"/>
      <c r="JK1141" s="35"/>
      <c r="JL1141" s="35"/>
      <c r="JM1141" s="35"/>
      <c r="JN1141" s="35"/>
      <c r="JO1141" s="35"/>
      <c r="JP1141" s="35"/>
      <c r="JQ1141" s="35"/>
      <c r="JR1141" s="35"/>
      <c r="JS1141" s="35"/>
      <c r="JT1141" s="35"/>
      <c r="JU1141" s="35"/>
      <c r="JV1141" s="35"/>
      <c r="JW1141" s="35"/>
      <c r="JX1141" s="35"/>
      <c r="JY1141" s="35"/>
      <c r="JZ1141" s="35"/>
      <c r="KA1141" s="35"/>
      <c r="KB1141" s="35"/>
      <c r="KC1141" s="35"/>
      <c r="KD1141" s="35"/>
      <c r="KE1141" s="35"/>
      <c r="KF1141" s="35"/>
      <c r="KG1141" s="35"/>
      <c r="KH1141" s="35"/>
      <c r="KI1141" s="35"/>
      <c r="KJ1141" s="35"/>
      <c r="KK1141" s="35"/>
      <c r="KL1141" s="35"/>
      <c r="KM1141" s="35"/>
      <c r="KN1141" s="35"/>
      <c r="KO1141" s="35"/>
      <c r="KP1141" s="35"/>
      <c r="KQ1141" s="35"/>
      <c r="KR1141" s="35"/>
      <c r="KS1141" s="35"/>
      <c r="KT1141" s="35"/>
      <c r="KU1141" s="35"/>
      <c r="KV1141" s="35"/>
      <c r="KW1141" s="35"/>
      <c r="KX1141" s="35"/>
      <c r="KY1141" s="35"/>
      <c r="KZ1141" s="35"/>
      <c r="LA1141" s="35"/>
      <c r="LB1141" s="35"/>
      <c r="LC1141" s="35"/>
      <c r="LD1141" s="35"/>
      <c r="LE1141" s="35"/>
      <c r="LF1141" s="35"/>
      <c r="LG1141" s="35"/>
      <c r="LH1141" s="35"/>
      <c r="LI1141" s="35"/>
      <c r="LJ1141" s="35"/>
      <c r="LK1141" s="35"/>
      <c r="LL1141" s="35"/>
      <c r="LM1141" s="35"/>
      <c r="LN1141" s="35"/>
      <c r="LO1141" s="35"/>
      <c r="LP1141" s="35"/>
      <c r="LQ1141" s="35"/>
      <c r="LR1141" s="35"/>
      <c r="LS1141" s="35"/>
      <c r="LT1141" s="35"/>
      <c r="LU1141" s="35"/>
      <c r="LV1141" s="35"/>
      <c r="LW1141" s="35"/>
      <c r="LX1141" s="35"/>
      <c r="LY1141" s="35"/>
      <c r="LZ1141" s="35"/>
      <c r="MA1141" s="35"/>
      <c r="MB1141" s="35"/>
      <c r="MC1141" s="35"/>
      <c r="MD1141" s="35"/>
      <c r="ME1141" s="35"/>
      <c r="MF1141" s="35"/>
      <c r="MG1141" s="35"/>
      <c r="MH1141" s="35"/>
      <c r="MI1141" s="35"/>
      <c r="MJ1141" s="35"/>
      <c r="MK1141" s="35"/>
      <c r="ML1141" s="35"/>
      <c r="MM1141" s="35"/>
      <c r="MN1141" s="35"/>
      <c r="MO1141" s="35"/>
      <c r="MP1141" s="35"/>
      <c r="MQ1141" s="35"/>
      <c r="MR1141" s="35"/>
      <c r="MS1141" s="35"/>
      <c r="MT1141" s="35"/>
      <c r="MU1141" s="35"/>
      <c r="MV1141" s="35"/>
      <c r="MW1141" s="35"/>
      <c r="MX1141" s="35"/>
      <c r="MY1141" s="35"/>
      <c r="MZ1141" s="35"/>
      <c r="NA1141" s="35"/>
      <c r="NB1141" s="35"/>
      <c r="NC1141" s="35"/>
      <c r="ND1141" s="35"/>
      <c r="NE1141" s="35"/>
      <c r="NF1141" s="35"/>
      <c r="NG1141" s="35"/>
      <c r="NH1141" s="35"/>
      <c r="NI1141" s="35"/>
      <c r="NJ1141" s="35"/>
      <c r="NK1141" s="35"/>
      <c r="NL1141" s="35"/>
      <c r="NM1141" s="35"/>
      <c r="NN1141" s="35"/>
      <c r="NO1141" s="35"/>
      <c r="NP1141" s="35"/>
      <c r="NQ1141" s="35"/>
      <c r="NR1141" s="35"/>
      <c r="NS1141" s="35"/>
      <c r="NT1141" s="35"/>
      <c r="NU1141" s="35"/>
      <c r="NV1141" s="35"/>
      <c r="NW1141" s="35"/>
      <c r="NX1141" s="35"/>
      <c r="NY1141" s="35"/>
      <c r="NZ1141" s="35"/>
      <c r="OA1141" s="35"/>
      <c r="OB1141" s="35"/>
      <c r="OC1141" s="35"/>
      <c r="OD1141" s="35"/>
      <c r="OE1141" s="35"/>
      <c r="OF1141" s="35"/>
      <c r="OG1141" s="35"/>
      <c r="OH1141" s="35"/>
      <c r="OI1141" s="35"/>
      <c r="OJ1141" s="35"/>
      <c r="OK1141" s="35"/>
      <c r="OL1141" s="35"/>
      <c r="OM1141" s="35"/>
      <c r="ON1141" s="35"/>
      <c r="OO1141" s="35"/>
      <c r="OP1141" s="35"/>
      <c r="OQ1141" s="35"/>
      <c r="OR1141" s="35"/>
      <c r="OS1141" s="35"/>
      <c r="OT1141" s="35"/>
      <c r="OU1141" s="35"/>
      <c r="OV1141" s="35"/>
      <c r="OW1141" s="35"/>
      <c r="OX1141" s="35"/>
      <c r="OY1141" s="35"/>
      <c r="OZ1141" s="35"/>
      <c r="PA1141" s="35"/>
      <c r="PB1141" s="35"/>
      <c r="PC1141" s="35"/>
      <c r="PD1141" s="35"/>
      <c r="PE1141" s="35"/>
      <c r="PF1141" s="35"/>
      <c r="PG1141" s="35"/>
      <c r="PH1141" s="35"/>
      <c r="PI1141" s="35"/>
      <c r="PJ1141" s="35"/>
      <c r="PK1141" s="35"/>
      <c r="PL1141" s="35"/>
      <c r="PM1141" s="35"/>
      <c r="PN1141" s="35"/>
      <c r="PO1141" s="35"/>
      <c r="PP1141" s="35"/>
      <c r="PQ1141" s="35"/>
      <c r="PR1141" s="35"/>
      <c r="PS1141" s="35"/>
      <c r="PT1141" s="35"/>
      <c r="PU1141" s="35"/>
      <c r="PV1141" s="35"/>
      <c r="PW1141" s="35"/>
      <c r="PX1141" s="35"/>
      <c r="PY1141" s="35"/>
      <c r="PZ1141" s="35"/>
      <c r="QA1141" s="35"/>
      <c r="QB1141" s="35"/>
      <c r="QC1141" s="35"/>
      <c r="QD1141" s="35"/>
      <c r="QE1141" s="35"/>
      <c r="QF1141" s="35"/>
      <c r="QG1141" s="35"/>
      <c r="QH1141" s="35"/>
      <c r="QI1141" s="35"/>
      <c r="QJ1141" s="35"/>
      <c r="QK1141" s="35"/>
      <c r="QL1141" s="35"/>
      <c r="QM1141" s="35"/>
      <c r="QN1141" s="35"/>
      <c r="QO1141" s="35"/>
      <c r="QP1141" s="35"/>
      <c r="QQ1141" s="35"/>
      <c r="QR1141" s="35"/>
      <c r="QS1141" s="35"/>
      <c r="QT1141" s="35"/>
      <c r="QU1141" s="35"/>
      <c r="QV1141" s="35"/>
      <c r="QW1141" s="35"/>
      <c r="QX1141" s="35"/>
      <c r="QY1141" s="35"/>
      <c r="QZ1141" s="35"/>
      <c r="RA1141" s="35"/>
      <c r="RB1141" s="35"/>
      <c r="RC1141" s="35"/>
      <c r="RD1141" s="35"/>
      <c r="RE1141" s="35"/>
      <c r="RF1141" s="35"/>
      <c r="RG1141" s="35"/>
      <c r="RH1141" s="35"/>
      <c r="RI1141" s="35"/>
      <c r="RJ1141" s="35"/>
      <c r="RK1141" s="35"/>
      <c r="RL1141" s="35"/>
      <c r="RM1141" s="35"/>
      <c r="RN1141" s="35"/>
      <c r="RO1141" s="35"/>
      <c r="RP1141" s="35"/>
      <c r="RQ1141" s="35"/>
      <c r="RR1141" s="35"/>
      <c r="RS1141" s="35"/>
      <c r="RT1141" s="35"/>
      <c r="RU1141" s="35"/>
      <c r="RV1141" s="35"/>
      <c r="RW1141" s="35"/>
      <c r="RX1141" s="35"/>
      <c r="RY1141" s="35"/>
      <c r="RZ1141" s="35"/>
      <c r="SA1141" s="35"/>
      <c r="SB1141" s="35"/>
      <c r="SC1141" s="35"/>
      <c r="SD1141" s="35"/>
      <c r="SE1141" s="35"/>
      <c r="SF1141" s="35"/>
      <c r="SG1141" s="35"/>
      <c r="SH1141" s="35"/>
      <c r="SI1141" s="35"/>
      <c r="SJ1141" s="35"/>
      <c r="SK1141" s="35"/>
      <c r="SL1141" s="35"/>
      <c r="SM1141" s="35"/>
      <c r="SN1141" s="35"/>
      <c r="SO1141" s="35"/>
      <c r="SP1141" s="35"/>
      <c r="SQ1141" s="35"/>
      <c r="SR1141" s="35"/>
      <c r="SS1141" s="35"/>
      <c r="ST1141" s="35"/>
      <c r="SU1141" s="35"/>
      <c r="SV1141" s="35"/>
      <c r="SW1141" s="35"/>
      <c r="SX1141" s="35"/>
      <c r="SY1141" s="35"/>
      <c r="SZ1141" s="35"/>
      <c r="TA1141" s="35"/>
      <c r="TB1141" s="35"/>
      <c r="TC1141" s="35"/>
      <c r="TD1141" s="35"/>
      <c r="TE1141" s="35"/>
      <c r="TF1141" s="35"/>
      <c r="TG1141" s="35"/>
      <c r="TH1141" s="35"/>
      <c r="TI1141" s="35"/>
      <c r="TJ1141" s="35"/>
      <c r="TK1141" s="35"/>
      <c r="TL1141" s="35"/>
      <c r="TM1141" s="35"/>
      <c r="TN1141" s="35"/>
      <c r="TO1141" s="35"/>
      <c r="TP1141" s="35"/>
      <c r="TQ1141" s="35"/>
      <c r="TR1141" s="35"/>
      <c r="TS1141" s="35"/>
      <c r="TT1141" s="35"/>
      <c r="TU1141" s="35"/>
      <c r="TV1141" s="35"/>
      <c r="TW1141" s="35"/>
      <c r="TX1141" s="35"/>
      <c r="TY1141" s="35"/>
      <c r="TZ1141" s="35"/>
      <c r="UA1141" s="35"/>
      <c r="UB1141" s="35"/>
      <c r="UC1141" s="35"/>
      <c r="UD1141" s="35"/>
      <c r="UE1141" s="35"/>
      <c r="UF1141" s="35"/>
      <c r="UG1141" s="44"/>
    </row>
    <row r="1142" spans="1:553" ht="31.5" customHeight="1">
      <c r="A1142" s="356"/>
      <c r="B1142" s="385"/>
      <c r="C1142" s="1388" t="s">
        <v>254</v>
      </c>
      <c r="D1142" s="1389"/>
      <c r="E1142" s="1389"/>
      <c r="F1142" s="1390"/>
      <c r="G1142" s="386" t="s">
        <v>113</v>
      </c>
      <c r="H1142" s="370"/>
      <c r="I1142" s="422">
        <v>20</v>
      </c>
      <c r="J1142" s="477">
        <v>114600</v>
      </c>
      <c r="K1142" s="388"/>
      <c r="L1142" s="391">
        <f t="shared" si="167"/>
        <v>2292000</v>
      </c>
      <c r="M1142" s="395"/>
      <c r="N1142" s="395"/>
      <c r="O1142" s="366"/>
      <c r="P1142" s="396"/>
      <c r="Q1142" s="473"/>
      <c r="R1142" s="1039"/>
      <c r="S1142" s="308"/>
      <c r="T1142" s="308"/>
      <c r="U1142" s="308"/>
      <c r="V1142" s="308"/>
      <c r="W1142" s="308"/>
      <c r="X1142" s="308"/>
      <c r="Y1142" s="308"/>
      <c r="Z1142" s="604"/>
      <c r="AA1142" s="308"/>
      <c r="AB1142" s="308"/>
      <c r="AC1142" s="449"/>
      <c r="AD1142" s="449"/>
      <c r="AE1142" s="449"/>
      <c r="AF1142" s="449"/>
      <c r="AG1142" s="452"/>
      <c r="AH1142" s="452"/>
      <c r="AI1142" s="452"/>
      <c r="AJ1142" s="452"/>
      <c r="AK1142" s="452"/>
      <c r="AL1142" s="104"/>
      <c r="AM1142" s="32"/>
      <c r="AN1142" s="32"/>
      <c r="AO1142" s="32"/>
      <c r="AP1142" s="32"/>
      <c r="AQ1142" s="31"/>
      <c r="AR1142" s="31"/>
      <c r="AS1142" s="31"/>
      <c r="AT1142" s="31"/>
      <c r="AU1142" s="31"/>
      <c r="AV1142" s="31"/>
      <c r="AW1142" s="31"/>
      <c r="AX1142" s="31"/>
      <c r="AY1142" s="31"/>
      <c r="AZ1142" s="31"/>
      <c r="BA1142" s="31"/>
      <c r="BB1142" s="31"/>
      <c r="BC1142" s="31"/>
      <c r="BD1142" s="31"/>
      <c r="BE1142" s="31"/>
      <c r="BF1142" s="31"/>
      <c r="BG1142" s="31"/>
      <c r="BH1142" s="31"/>
      <c r="BI1142" s="31"/>
      <c r="BJ1142" s="31"/>
      <c r="BK1142" s="31"/>
      <c r="BL1142" s="31"/>
      <c r="BM1142" s="31"/>
      <c r="BN1142" s="31"/>
      <c r="BO1142" s="31"/>
      <c r="BP1142" s="31"/>
      <c r="BQ1142" s="31"/>
      <c r="BR1142" s="31"/>
      <c r="BS1142" s="31"/>
      <c r="BT1142" s="31"/>
      <c r="BU1142" s="31"/>
      <c r="BV1142" s="31"/>
      <c r="BW1142" s="31"/>
      <c r="BX1142" s="31"/>
      <c r="BY1142" s="31"/>
      <c r="BZ1142" s="31"/>
      <c r="CA1142" s="31"/>
      <c r="CB1142" s="31"/>
      <c r="CC1142" s="31"/>
      <c r="CD1142" s="31"/>
      <c r="CE1142" s="31"/>
      <c r="CF1142" s="31"/>
      <c r="CG1142" s="31"/>
      <c r="CH1142" s="31"/>
      <c r="CI1142" s="31"/>
      <c r="CJ1142" s="31"/>
      <c r="CK1142" s="31"/>
      <c r="CL1142" s="31"/>
      <c r="CM1142" s="31"/>
      <c r="CN1142" s="31"/>
      <c r="CO1142" s="31"/>
      <c r="CP1142" s="31"/>
      <c r="CQ1142" s="31"/>
      <c r="CR1142" s="31"/>
      <c r="CS1142" s="31"/>
      <c r="CT1142" s="31"/>
      <c r="CU1142" s="31"/>
      <c r="CV1142" s="31"/>
      <c r="CW1142" s="31"/>
      <c r="CX1142" s="31"/>
      <c r="CY1142" s="31"/>
      <c r="CZ1142" s="31"/>
      <c r="DA1142" s="31"/>
      <c r="DB1142" s="31"/>
      <c r="DC1142" s="31"/>
      <c r="DD1142" s="31"/>
      <c r="DE1142" s="31"/>
      <c r="DF1142" s="31"/>
      <c r="DG1142" s="31"/>
      <c r="DH1142" s="31"/>
      <c r="DI1142" s="31"/>
      <c r="DJ1142" s="31"/>
      <c r="DK1142" s="31"/>
      <c r="DL1142" s="31"/>
      <c r="DM1142" s="31"/>
      <c r="DN1142" s="31"/>
      <c r="DO1142" s="31"/>
      <c r="DP1142" s="31"/>
      <c r="DQ1142" s="31"/>
      <c r="DR1142" s="31"/>
      <c r="DS1142" s="31"/>
      <c r="DT1142" s="31"/>
      <c r="DU1142" s="31"/>
      <c r="DV1142" s="31"/>
      <c r="DW1142" s="31"/>
      <c r="DX1142" s="31"/>
      <c r="DY1142" s="31"/>
      <c r="DZ1142" s="31"/>
      <c r="EA1142" s="31"/>
      <c r="EB1142" s="31"/>
      <c r="EC1142" s="31"/>
      <c r="ED1142" s="31"/>
      <c r="EE1142" s="31"/>
      <c r="EF1142" s="31"/>
      <c r="EG1142" s="31"/>
      <c r="EH1142" s="31"/>
      <c r="EI1142" s="31"/>
      <c r="EJ1142" s="31"/>
      <c r="EK1142" s="31"/>
      <c r="EL1142" s="31"/>
      <c r="EM1142" s="31"/>
      <c r="EN1142" s="31"/>
      <c r="EO1142" s="31"/>
      <c r="EP1142" s="31"/>
      <c r="EQ1142" s="31"/>
      <c r="ER1142" s="31"/>
      <c r="ES1142" s="31"/>
      <c r="ET1142" s="31"/>
      <c r="EU1142" s="31"/>
      <c r="EV1142" s="31"/>
      <c r="EW1142" s="31"/>
      <c r="EX1142" s="31"/>
      <c r="EY1142" s="31"/>
      <c r="EZ1142" s="31"/>
      <c r="FA1142" s="31"/>
      <c r="FB1142" s="31"/>
      <c r="FC1142" s="31"/>
      <c r="FD1142" s="31"/>
      <c r="FE1142" s="31"/>
      <c r="FF1142" s="31"/>
      <c r="FG1142" s="31"/>
      <c r="FH1142" s="31"/>
      <c r="FI1142" s="31"/>
      <c r="FJ1142" s="31"/>
      <c r="FK1142" s="31"/>
      <c r="FL1142" s="31"/>
      <c r="FM1142" s="31"/>
      <c r="FN1142" s="31"/>
      <c r="FO1142" s="31"/>
      <c r="FP1142" s="31"/>
      <c r="FQ1142" s="31"/>
      <c r="FR1142" s="31"/>
      <c r="FS1142" s="31"/>
      <c r="FT1142" s="31"/>
      <c r="FU1142" s="31"/>
      <c r="FV1142" s="31"/>
      <c r="FW1142" s="31"/>
      <c r="FX1142" s="31"/>
      <c r="FY1142" s="31"/>
      <c r="FZ1142" s="31"/>
      <c r="GA1142" s="31"/>
      <c r="GB1142" s="31"/>
      <c r="GC1142" s="31"/>
      <c r="GD1142" s="31"/>
      <c r="GE1142" s="31"/>
      <c r="GF1142" s="31"/>
      <c r="GG1142" s="31"/>
      <c r="GH1142" s="31"/>
      <c r="GI1142" s="31"/>
      <c r="GJ1142" s="31"/>
      <c r="GK1142" s="31"/>
      <c r="GL1142" s="31"/>
      <c r="GM1142" s="31"/>
      <c r="GN1142" s="31"/>
      <c r="GO1142" s="31"/>
      <c r="GP1142" s="31"/>
      <c r="GQ1142" s="31"/>
      <c r="GR1142" s="31"/>
      <c r="GS1142" s="31"/>
      <c r="GT1142" s="31"/>
      <c r="GU1142" s="31"/>
      <c r="GV1142" s="31"/>
      <c r="GW1142" s="31"/>
      <c r="GX1142" s="31"/>
      <c r="GY1142" s="31"/>
      <c r="GZ1142" s="31"/>
      <c r="HA1142" s="31"/>
      <c r="HB1142" s="31"/>
      <c r="HC1142" s="31"/>
      <c r="HD1142" s="31"/>
      <c r="HE1142" s="31"/>
      <c r="HF1142" s="31"/>
      <c r="HG1142" s="31"/>
      <c r="HH1142" s="31"/>
      <c r="HI1142" s="31"/>
      <c r="HJ1142" s="31"/>
      <c r="HK1142" s="31"/>
      <c r="HL1142" s="31"/>
      <c r="HM1142" s="31"/>
      <c r="HN1142" s="31"/>
      <c r="HO1142" s="31"/>
      <c r="HP1142" s="31"/>
      <c r="HQ1142" s="31"/>
      <c r="HR1142" s="31"/>
      <c r="HS1142" s="31"/>
      <c r="HT1142" s="31"/>
      <c r="HU1142" s="31"/>
      <c r="HV1142" s="31"/>
      <c r="HW1142" s="31"/>
      <c r="HX1142" s="31"/>
      <c r="HY1142" s="31"/>
      <c r="HZ1142" s="31"/>
      <c r="IA1142" s="31"/>
      <c r="IB1142" s="31"/>
      <c r="IC1142" s="31"/>
      <c r="ID1142" s="31"/>
      <c r="IE1142" s="31"/>
      <c r="IF1142" s="31"/>
      <c r="IG1142" s="31"/>
      <c r="IH1142" s="31"/>
      <c r="II1142" s="31"/>
      <c r="IJ1142" s="31"/>
      <c r="IK1142" s="31"/>
      <c r="IL1142" s="31"/>
      <c r="IM1142" s="31"/>
      <c r="IN1142" s="31"/>
      <c r="IO1142" s="31"/>
      <c r="IP1142" s="31"/>
      <c r="IQ1142" s="31"/>
      <c r="IR1142" s="31"/>
      <c r="IS1142" s="31"/>
      <c r="IT1142" s="31"/>
      <c r="IU1142" s="31"/>
      <c r="IV1142" s="31"/>
      <c r="IW1142" s="31"/>
      <c r="IX1142" s="31"/>
      <c r="IY1142" s="31"/>
      <c r="IZ1142" s="31"/>
      <c r="JA1142" s="31"/>
      <c r="JB1142" s="31"/>
      <c r="JC1142" s="31"/>
      <c r="JD1142" s="31"/>
      <c r="JE1142" s="31"/>
      <c r="JF1142" s="31"/>
      <c r="JG1142" s="31"/>
      <c r="JH1142" s="31"/>
      <c r="JI1142" s="31"/>
      <c r="JJ1142" s="31"/>
      <c r="JK1142" s="31"/>
      <c r="JL1142" s="31"/>
      <c r="JM1142" s="31"/>
      <c r="JN1142" s="31"/>
      <c r="JO1142" s="31"/>
      <c r="JP1142" s="31"/>
      <c r="JQ1142" s="31"/>
      <c r="JR1142" s="31"/>
      <c r="JS1142" s="31"/>
      <c r="JT1142" s="31"/>
      <c r="JU1142" s="31"/>
      <c r="JV1142" s="31"/>
      <c r="JW1142" s="31"/>
      <c r="JX1142" s="31"/>
      <c r="JY1142" s="31"/>
      <c r="JZ1142" s="31"/>
      <c r="KA1142" s="31"/>
      <c r="KB1142" s="31"/>
      <c r="KC1142" s="31"/>
      <c r="KD1142" s="31"/>
      <c r="KE1142" s="31"/>
      <c r="KF1142" s="31"/>
      <c r="KG1142" s="31"/>
      <c r="KH1142" s="31"/>
      <c r="KI1142" s="31"/>
      <c r="KJ1142" s="31"/>
      <c r="KK1142" s="31"/>
      <c r="KL1142" s="31"/>
      <c r="KM1142" s="31"/>
      <c r="KN1142" s="31"/>
      <c r="KO1142" s="31"/>
      <c r="KP1142" s="31"/>
      <c r="KQ1142" s="31"/>
      <c r="KR1142" s="31"/>
      <c r="KS1142" s="31"/>
      <c r="KT1142" s="31"/>
      <c r="KU1142" s="31"/>
      <c r="KV1142" s="31"/>
      <c r="KW1142" s="31"/>
      <c r="KX1142" s="31"/>
      <c r="KY1142" s="31"/>
      <c r="KZ1142" s="31"/>
      <c r="LA1142" s="31"/>
      <c r="LB1142" s="31"/>
      <c r="LC1142" s="31"/>
      <c r="LD1142" s="31"/>
      <c r="LE1142" s="31"/>
      <c r="LF1142" s="31"/>
      <c r="LG1142" s="31"/>
      <c r="LH1142" s="31"/>
      <c r="LI1142" s="31"/>
      <c r="LJ1142" s="31"/>
      <c r="LK1142" s="31"/>
      <c r="LL1142" s="31"/>
      <c r="LM1142" s="31"/>
      <c r="LN1142" s="31"/>
      <c r="LO1142" s="31"/>
      <c r="LP1142" s="31"/>
      <c r="LQ1142" s="31"/>
      <c r="LR1142" s="31"/>
      <c r="LS1142" s="31"/>
      <c r="LT1142" s="31"/>
      <c r="LU1142" s="31"/>
      <c r="LV1142" s="31"/>
      <c r="LW1142" s="31"/>
      <c r="LX1142" s="31"/>
      <c r="LY1142" s="31"/>
      <c r="LZ1142" s="31"/>
      <c r="MA1142" s="31"/>
      <c r="MB1142" s="31"/>
      <c r="MC1142" s="31"/>
      <c r="MD1142" s="31"/>
      <c r="ME1142" s="31"/>
      <c r="MF1142" s="31"/>
      <c r="MG1142" s="31"/>
      <c r="MH1142" s="31"/>
      <c r="MI1142" s="31"/>
      <c r="MJ1142" s="31"/>
      <c r="MK1142" s="31"/>
      <c r="ML1142" s="31"/>
      <c r="MM1142" s="31"/>
      <c r="MN1142" s="31"/>
      <c r="MO1142" s="31"/>
      <c r="MP1142" s="31"/>
      <c r="MQ1142" s="31"/>
      <c r="MR1142" s="31"/>
      <c r="MS1142" s="31"/>
      <c r="MT1142" s="31"/>
      <c r="MU1142" s="31"/>
      <c r="MV1142" s="31"/>
      <c r="MW1142" s="31"/>
      <c r="MX1142" s="31"/>
      <c r="MY1142" s="31"/>
      <c r="MZ1142" s="31"/>
      <c r="NA1142" s="31"/>
      <c r="NB1142" s="31"/>
      <c r="NC1142" s="31"/>
      <c r="ND1142" s="31"/>
      <c r="NE1142" s="31"/>
      <c r="NF1142" s="31"/>
      <c r="NG1142" s="31"/>
      <c r="NH1142" s="31"/>
      <c r="NI1142" s="31"/>
      <c r="NJ1142" s="31"/>
      <c r="NK1142" s="31"/>
      <c r="NL1142" s="31"/>
      <c r="NM1142" s="31"/>
      <c r="NN1142" s="31"/>
      <c r="NO1142" s="31"/>
      <c r="NP1142" s="31"/>
      <c r="NQ1142" s="31"/>
      <c r="NR1142" s="31"/>
      <c r="NS1142" s="31"/>
      <c r="NT1142" s="31"/>
      <c r="NU1142" s="31"/>
      <c r="NV1142" s="31"/>
      <c r="NW1142" s="31"/>
      <c r="NX1142" s="31"/>
      <c r="NY1142" s="31"/>
      <c r="NZ1142" s="31"/>
      <c r="OA1142" s="31"/>
      <c r="OB1142" s="31"/>
      <c r="OC1142" s="31"/>
      <c r="OD1142" s="31"/>
      <c r="OE1142" s="31"/>
      <c r="OF1142" s="31"/>
      <c r="OG1142" s="31"/>
      <c r="OH1142" s="31"/>
      <c r="OI1142" s="31"/>
      <c r="OJ1142" s="31"/>
      <c r="OK1142" s="31"/>
      <c r="OL1142" s="31"/>
      <c r="OM1142" s="31"/>
      <c r="ON1142" s="31"/>
      <c r="OO1142" s="31"/>
      <c r="OP1142" s="31"/>
      <c r="OQ1142" s="31"/>
      <c r="OR1142" s="31"/>
      <c r="OS1142" s="31"/>
      <c r="OT1142" s="31"/>
      <c r="OU1142" s="31"/>
      <c r="OV1142" s="31"/>
      <c r="OW1142" s="31"/>
      <c r="OX1142" s="31"/>
      <c r="OY1142" s="31"/>
      <c r="OZ1142" s="31"/>
      <c r="PA1142" s="31"/>
      <c r="PB1142" s="31"/>
      <c r="PC1142" s="31"/>
      <c r="PD1142" s="31"/>
      <c r="PE1142" s="31"/>
      <c r="PF1142" s="31"/>
      <c r="PG1142" s="31"/>
      <c r="PH1142" s="31"/>
      <c r="PI1142" s="31"/>
      <c r="PJ1142" s="31"/>
      <c r="PK1142" s="31"/>
      <c r="PL1142" s="31"/>
      <c r="PM1142" s="31"/>
      <c r="PN1142" s="31"/>
      <c r="PO1142" s="31"/>
      <c r="PP1142" s="31"/>
      <c r="PQ1142" s="31"/>
      <c r="PR1142" s="31"/>
      <c r="PS1142" s="31"/>
      <c r="PT1142" s="31"/>
      <c r="PU1142" s="31"/>
      <c r="PV1142" s="31"/>
      <c r="PW1142" s="31"/>
      <c r="PX1142" s="31"/>
      <c r="PY1142" s="31"/>
      <c r="PZ1142" s="31"/>
      <c r="QA1142" s="31"/>
      <c r="QB1142" s="31"/>
      <c r="QC1142" s="31"/>
      <c r="QD1142" s="31"/>
      <c r="QE1142" s="31"/>
      <c r="QF1142" s="31"/>
      <c r="QG1142" s="31"/>
      <c r="QH1142" s="31"/>
      <c r="QI1142" s="31"/>
      <c r="QJ1142" s="31"/>
      <c r="QK1142" s="31"/>
      <c r="QL1142" s="31"/>
      <c r="QM1142" s="31"/>
      <c r="QN1142" s="31"/>
      <c r="QO1142" s="31"/>
      <c r="QP1142" s="31"/>
      <c r="QQ1142" s="31"/>
      <c r="QR1142" s="31"/>
      <c r="QS1142" s="31"/>
      <c r="QT1142" s="31"/>
      <c r="QU1142" s="31"/>
      <c r="QV1142" s="31"/>
      <c r="QW1142" s="31"/>
      <c r="QX1142" s="31"/>
      <c r="QY1142" s="31"/>
      <c r="QZ1142" s="31"/>
      <c r="RA1142" s="31"/>
      <c r="RB1142" s="31"/>
      <c r="RC1142" s="31"/>
      <c r="RD1142" s="31"/>
      <c r="RE1142" s="31"/>
      <c r="RF1142" s="31"/>
      <c r="RG1142" s="31"/>
      <c r="RH1142" s="31"/>
      <c r="RI1142" s="31"/>
      <c r="RJ1142" s="31"/>
      <c r="RK1142" s="31"/>
      <c r="RL1142" s="31"/>
      <c r="RM1142" s="31"/>
      <c r="RN1142" s="31"/>
      <c r="RO1142" s="31"/>
      <c r="RP1142" s="31"/>
      <c r="RQ1142" s="31"/>
      <c r="RR1142" s="31"/>
      <c r="RS1142" s="31"/>
      <c r="RT1142" s="31"/>
      <c r="RU1142" s="31"/>
      <c r="RV1142" s="31"/>
      <c r="RW1142" s="31"/>
      <c r="RX1142" s="31"/>
      <c r="RY1142" s="31"/>
      <c r="RZ1142" s="31"/>
      <c r="SA1142" s="31"/>
      <c r="SB1142" s="31"/>
      <c r="SC1142" s="31"/>
      <c r="SD1142" s="31"/>
      <c r="SE1142" s="31"/>
      <c r="SF1142" s="31"/>
      <c r="SG1142" s="31"/>
      <c r="SH1142" s="31"/>
      <c r="SI1142" s="31"/>
      <c r="SJ1142" s="31"/>
      <c r="SK1142" s="31"/>
      <c r="SL1142" s="31"/>
      <c r="SM1142" s="31"/>
      <c r="SN1142" s="31"/>
      <c r="SO1142" s="31"/>
      <c r="SP1142" s="31"/>
      <c r="SQ1142" s="31"/>
      <c r="SR1142" s="31"/>
      <c r="SS1142" s="31"/>
      <c r="ST1142" s="31"/>
      <c r="SU1142" s="31"/>
      <c r="SV1142" s="31"/>
      <c r="SW1142" s="31"/>
      <c r="SX1142" s="31"/>
      <c r="SY1142" s="31"/>
      <c r="SZ1142" s="31"/>
      <c r="TA1142" s="31"/>
      <c r="TB1142" s="31"/>
      <c r="TC1142" s="31"/>
      <c r="TD1142" s="31"/>
      <c r="TE1142" s="31"/>
      <c r="TF1142" s="31"/>
      <c r="TG1142" s="31"/>
      <c r="TH1142" s="31"/>
      <c r="TI1142" s="31"/>
      <c r="TJ1142" s="31"/>
      <c r="TK1142" s="31"/>
      <c r="TL1142" s="31"/>
      <c r="TM1142" s="31"/>
      <c r="TN1142" s="31"/>
      <c r="TO1142" s="31"/>
      <c r="TP1142" s="31"/>
      <c r="TQ1142" s="31"/>
      <c r="TR1142" s="31"/>
      <c r="TS1142" s="31"/>
      <c r="TT1142" s="31"/>
      <c r="TU1142" s="31"/>
      <c r="TV1142" s="31"/>
      <c r="TW1142" s="31"/>
      <c r="TX1142" s="31"/>
      <c r="TY1142" s="31"/>
      <c r="TZ1142" s="31"/>
      <c r="UA1142" s="31"/>
      <c r="UB1142" s="31"/>
      <c r="UC1142" s="31"/>
      <c r="UD1142" s="31"/>
      <c r="UE1142" s="31"/>
      <c r="UF1142" s="31"/>
      <c r="UG1142" s="33"/>
    </row>
    <row r="1143" spans="1:553" ht="31.5" customHeight="1">
      <c r="A1143" s="356"/>
      <c r="B1143" s="428"/>
      <c r="C1143" s="1385" t="s">
        <v>664</v>
      </c>
      <c r="D1143" s="1386"/>
      <c r="E1143" s="1386"/>
      <c r="F1143" s="1387"/>
      <c r="G1143" s="429"/>
      <c r="H1143" s="359"/>
      <c r="I1143" s="788"/>
      <c r="J1143" s="1076"/>
      <c r="K1143" s="491"/>
      <c r="L1143" s="734"/>
      <c r="M1143" s="395"/>
      <c r="N1143" s="395"/>
      <c r="O1143" s="356"/>
      <c r="P1143" s="750"/>
      <c r="Q1143" s="1157"/>
      <c r="R1143" s="1167"/>
      <c r="S1143" s="308"/>
      <c r="T1143" s="308"/>
      <c r="U1143" s="308"/>
      <c r="V1143" s="308"/>
      <c r="W1143" s="308"/>
      <c r="X1143" s="308"/>
      <c r="Y1143" s="308"/>
      <c r="Z1143" s="604"/>
      <c r="AA1143" s="308"/>
      <c r="AB1143" s="308"/>
      <c r="AC1143" s="454"/>
      <c r="AD1143" s="454"/>
      <c r="AE1143" s="454"/>
      <c r="AF1143" s="454"/>
      <c r="AG1143" s="455"/>
      <c r="AH1143" s="455"/>
      <c r="AI1143" s="455"/>
      <c r="AJ1143" s="455"/>
      <c r="AK1143" s="455"/>
      <c r="AL1143" s="110"/>
      <c r="AM1143" s="34"/>
      <c r="AN1143" s="34"/>
      <c r="AO1143" s="34"/>
      <c r="AP1143" s="34"/>
      <c r="AQ1143" s="35"/>
      <c r="AR1143" s="35"/>
      <c r="AS1143" s="35"/>
      <c r="AT1143" s="35"/>
      <c r="AU1143" s="35"/>
      <c r="AV1143" s="35"/>
      <c r="AW1143" s="35"/>
      <c r="AX1143" s="35"/>
      <c r="AY1143" s="35"/>
      <c r="AZ1143" s="35"/>
      <c r="BA1143" s="35"/>
      <c r="BB1143" s="35"/>
      <c r="BC1143" s="35"/>
      <c r="BD1143" s="35"/>
      <c r="BE1143" s="35"/>
      <c r="BF1143" s="35"/>
      <c r="BG1143" s="35"/>
      <c r="BH1143" s="35"/>
      <c r="BI1143" s="35"/>
      <c r="BJ1143" s="35"/>
      <c r="BK1143" s="35"/>
      <c r="BL1143" s="35"/>
      <c r="BM1143" s="35"/>
      <c r="BN1143" s="35"/>
      <c r="BO1143" s="35"/>
      <c r="BP1143" s="35"/>
      <c r="BQ1143" s="35"/>
      <c r="BR1143" s="35"/>
      <c r="BS1143" s="35"/>
      <c r="BT1143" s="35"/>
      <c r="BU1143" s="35"/>
      <c r="BV1143" s="35"/>
      <c r="BW1143" s="35"/>
      <c r="BX1143" s="35"/>
      <c r="BY1143" s="35"/>
      <c r="BZ1143" s="35"/>
      <c r="CA1143" s="35"/>
      <c r="CB1143" s="35"/>
      <c r="CC1143" s="35"/>
      <c r="CD1143" s="35"/>
      <c r="CE1143" s="35"/>
      <c r="CF1143" s="35"/>
      <c r="CG1143" s="35"/>
      <c r="CH1143" s="35"/>
      <c r="CI1143" s="35"/>
      <c r="CJ1143" s="35"/>
      <c r="CK1143" s="35"/>
      <c r="CL1143" s="35"/>
      <c r="CM1143" s="35"/>
      <c r="CN1143" s="35"/>
      <c r="CO1143" s="35"/>
      <c r="CP1143" s="35"/>
      <c r="CQ1143" s="35"/>
      <c r="CR1143" s="35"/>
      <c r="CS1143" s="35"/>
      <c r="CT1143" s="35"/>
      <c r="CU1143" s="35"/>
      <c r="CV1143" s="35"/>
      <c r="CW1143" s="35"/>
      <c r="CX1143" s="35"/>
      <c r="CY1143" s="35"/>
      <c r="CZ1143" s="35"/>
      <c r="DA1143" s="35"/>
      <c r="DB1143" s="35"/>
      <c r="DC1143" s="35"/>
      <c r="DD1143" s="35"/>
      <c r="DE1143" s="35"/>
      <c r="DF1143" s="35"/>
      <c r="DG1143" s="35"/>
      <c r="DH1143" s="35"/>
      <c r="DI1143" s="35"/>
      <c r="DJ1143" s="35"/>
      <c r="DK1143" s="35"/>
      <c r="DL1143" s="35"/>
      <c r="DM1143" s="35"/>
      <c r="DN1143" s="35"/>
      <c r="DO1143" s="35"/>
      <c r="DP1143" s="35"/>
      <c r="DQ1143" s="35"/>
      <c r="DR1143" s="35"/>
      <c r="DS1143" s="35"/>
      <c r="DT1143" s="35"/>
      <c r="DU1143" s="35"/>
      <c r="DV1143" s="35"/>
      <c r="DW1143" s="35"/>
      <c r="DX1143" s="35"/>
      <c r="DY1143" s="35"/>
      <c r="DZ1143" s="35"/>
      <c r="EA1143" s="35"/>
      <c r="EB1143" s="35"/>
      <c r="EC1143" s="35"/>
      <c r="ED1143" s="35"/>
      <c r="EE1143" s="35"/>
      <c r="EF1143" s="35"/>
      <c r="EG1143" s="35"/>
      <c r="EH1143" s="35"/>
      <c r="EI1143" s="35"/>
      <c r="EJ1143" s="35"/>
      <c r="EK1143" s="35"/>
      <c r="EL1143" s="35"/>
      <c r="EM1143" s="35"/>
      <c r="EN1143" s="35"/>
      <c r="EO1143" s="35"/>
      <c r="EP1143" s="35"/>
      <c r="EQ1143" s="35"/>
      <c r="ER1143" s="35"/>
      <c r="ES1143" s="35"/>
      <c r="ET1143" s="35"/>
      <c r="EU1143" s="35"/>
      <c r="EV1143" s="35"/>
      <c r="EW1143" s="35"/>
      <c r="EX1143" s="35"/>
      <c r="EY1143" s="35"/>
      <c r="EZ1143" s="35"/>
      <c r="FA1143" s="35"/>
      <c r="FB1143" s="35"/>
      <c r="FC1143" s="35"/>
      <c r="FD1143" s="35"/>
      <c r="FE1143" s="35"/>
      <c r="FF1143" s="35"/>
      <c r="FG1143" s="35"/>
      <c r="FH1143" s="35"/>
      <c r="FI1143" s="35"/>
      <c r="FJ1143" s="35"/>
      <c r="FK1143" s="35"/>
      <c r="FL1143" s="35"/>
      <c r="FM1143" s="35"/>
      <c r="FN1143" s="35"/>
      <c r="FO1143" s="35"/>
      <c r="FP1143" s="35"/>
      <c r="FQ1143" s="35"/>
      <c r="FR1143" s="35"/>
      <c r="FS1143" s="35"/>
      <c r="FT1143" s="35"/>
      <c r="FU1143" s="35"/>
      <c r="FV1143" s="35"/>
      <c r="FW1143" s="35"/>
      <c r="FX1143" s="35"/>
      <c r="FY1143" s="35"/>
      <c r="FZ1143" s="35"/>
      <c r="GA1143" s="35"/>
      <c r="GB1143" s="35"/>
      <c r="GC1143" s="35"/>
      <c r="GD1143" s="35"/>
      <c r="GE1143" s="35"/>
      <c r="GF1143" s="35"/>
      <c r="GG1143" s="35"/>
      <c r="GH1143" s="35"/>
      <c r="GI1143" s="35"/>
      <c r="GJ1143" s="35"/>
      <c r="GK1143" s="35"/>
      <c r="GL1143" s="35"/>
      <c r="GM1143" s="35"/>
      <c r="GN1143" s="35"/>
      <c r="GO1143" s="35"/>
      <c r="GP1143" s="35"/>
      <c r="GQ1143" s="35"/>
      <c r="GR1143" s="35"/>
      <c r="GS1143" s="35"/>
      <c r="GT1143" s="35"/>
      <c r="GU1143" s="35"/>
      <c r="GV1143" s="35"/>
      <c r="GW1143" s="35"/>
      <c r="GX1143" s="35"/>
      <c r="GY1143" s="35"/>
      <c r="GZ1143" s="35"/>
      <c r="HA1143" s="35"/>
      <c r="HB1143" s="35"/>
      <c r="HC1143" s="35"/>
      <c r="HD1143" s="35"/>
      <c r="HE1143" s="35"/>
      <c r="HF1143" s="35"/>
      <c r="HG1143" s="35"/>
      <c r="HH1143" s="35"/>
      <c r="HI1143" s="35"/>
      <c r="HJ1143" s="35"/>
      <c r="HK1143" s="35"/>
      <c r="HL1143" s="35"/>
      <c r="HM1143" s="35"/>
      <c r="HN1143" s="35"/>
      <c r="HO1143" s="35"/>
      <c r="HP1143" s="35"/>
      <c r="HQ1143" s="35"/>
      <c r="HR1143" s="35"/>
      <c r="HS1143" s="35"/>
      <c r="HT1143" s="35"/>
      <c r="HU1143" s="35"/>
      <c r="HV1143" s="35"/>
      <c r="HW1143" s="35"/>
      <c r="HX1143" s="35"/>
      <c r="HY1143" s="35"/>
      <c r="HZ1143" s="35"/>
      <c r="IA1143" s="35"/>
      <c r="IB1143" s="35"/>
      <c r="IC1143" s="35"/>
      <c r="ID1143" s="35"/>
      <c r="IE1143" s="35"/>
      <c r="IF1143" s="35"/>
      <c r="IG1143" s="35"/>
      <c r="IH1143" s="35"/>
      <c r="II1143" s="35"/>
      <c r="IJ1143" s="35"/>
      <c r="IK1143" s="35"/>
      <c r="IL1143" s="35"/>
      <c r="IM1143" s="35"/>
      <c r="IN1143" s="35"/>
      <c r="IO1143" s="35"/>
      <c r="IP1143" s="35"/>
      <c r="IQ1143" s="35"/>
      <c r="IR1143" s="35"/>
      <c r="IS1143" s="35"/>
      <c r="IT1143" s="35"/>
      <c r="IU1143" s="35"/>
      <c r="IV1143" s="35"/>
      <c r="IW1143" s="35"/>
      <c r="IX1143" s="35"/>
      <c r="IY1143" s="35"/>
      <c r="IZ1143" s="35"/>
      <c r="JA1143" s="35"/>
      <c r="JB1143" s="35"/>
      <c r="JC1143" s="35"/>
      <c r="JD1143" s="35"/>
      <c r="JE1143" s="35"/>
      <c r="JF1143" s="35"/>
      <c r="JG1143" s="35"/>
      <c r="JH1143" s="35"/>
      <c r="JI1143" s="35"/>
      <c r="JJ1143" s="35"/>
      <c r="JK1143" s="35"/>
      <c r="JL1143" s="35"/>
      <c r="JM1143" s="35"/>
      <c r="JN1143" s="35"/>
      <c r="JO1143" s="35"/>
      <c r="JP1143" s="35"/>
      <c r="JQ1143" s="35"/>
      <c r="JR1143" s="35"/>
      <c r="JS1143" s="35"/>
      <c r="JT1143" s="35"/>
      <c r="JU1143" s="35"/>
      <c r="JV1143" s="35"/>
      <c r="JW1143" s="35"/>
      <c r="JX1143" s="35"/>
      <c r="JY1143" s="35"/>
      <c r="JZ1143" s="35"/>
      <c r="KA1143" s="35"/>
      <c r="KB1143" s="35"/>
      <c r="KC1143" s="35"/>
      <c r="KD1143" s="35"/>
      <c r="KE1143" s="35"/>
      <c r="KF1143" s="35"/>
      <c r="KG1143" s="35"/>
      <c r="KH1143" s="35"/>
      <c r="KI1143" s="35"/>
      <c r="KJ1143" s="35"/>
      <c r="KK1143" s="35"/>
      <c r="KL1143" s="35"/>
      <c r="KM1143" s="35"/>
      <c r="KN1143" s="35"/>
      <c r="KO1143" s="35"/>
      <c r="KP1143" s="35"/>
      <c r="KQ1143" s="35"/>
      <c r="KR1143" s="35"/>
      <c r="KS1143" s="35"/>
      <c r="KT1143" s="35"/>
      <c r="KU1143" s="35"/>
      <c r="KV1143" s="35"/>
      <c r="KW1143" s="35"/>
      <c r="KX1143" s="35"/>
      <c r="KY1143" s="35"/>
      <c r="KZ1143" s="35"/>
      <c r="LA1143" s="35"/>
      <c r="LB1143" s="35"/>
      <c r="LC1143" s="35"/>
      <c r="LD1143" s="35"/>
      <c r="LE1143" s="35"/>
      <c r="LF1143" s="35"/>
      <c r="LG1143" s="35"/>
      <c r="LH1143" s="35"/>
      <c r="LI1143" s="35"/>
      <c r="LJ1143" s="35"/>
      <c r="LK1143" s="35"/>
      <c r="LL1143" s="35"/>
      <c r="LM1143" s="35"/>
      <c r="LN1143" s="35"/>
      <c r="LO1143" s="35"/>
      <c r="LP1143" s="35"/>
      <c r="LQ1143" s="35"/>
      <c r="LR1143" s="35"/>
      <c r="LS1143" s="35"/>
      <c r="LT1143" s="35"/>
      <c r="LU1143" s="35"/>
      <c r="LV1143" s="35"/>
      <c r="LW1143" s="35"/>
      <c r="LX1143" s="35"/>
      <c r="LY1143" s="35"/>
      <c r="LZ1143" s="35"/>
      <c r="MA1143" s="35"/>
      <c r="MB1143" s="35"/>
      <c r="MC1143" s="35"/>
      <c r="MD1143" s="35"/>
      <c r="ME1143" s="35"/>
      <c r="MF1143" s="35"/>
      <c r="MG1143" s="35"/>
      <c r="MH1143" s="35"/>
      <c r="MI1143" s="35"/>
      <c r="MJ1143" s="35"/>
      <c r="MK1143" s="35"/>
      <c r="ML1143" s="35"/>
      <c r="MM1143" s="35"/>
      <c r="MN1143" s="35"/>
      <c r="MO1143" s="35"/>
      <c r="MP1143" s="35"/>
      <c r="MQ1143" s="35"/>
      <c r="MR1143" s="35"/>
      <c r="MS1143" s="35"/>
      <c r="MT1143" s="35"/>
      <c r="MU1143" s="35"/>
      <c r="MV1143" s="35"/>
      <c r="MW1143" s="35"/>
      <c r="MX1143" s="35"/>
      <c r="MY1143" s="35"/>
      <c r="MZ1143" s="35"/>
      <c r="NA1143" s="35"/>
      <c r="NB1143" s="35"/>
      <c r="NC1143" s="35"/>
      <c r="ND1143" s="35"/>
      <c r="NE1143" s="35"/>
      <c r="NF1143" s="35"/>
      <c r="NG1143" s="35"/>
      <c r="NH1143" s="35"/>
      <c r="NI1143" s="35"/>
      <c r="NJ1143" s="35"/>
      <c r="NK1143" s="35"/>
      <c r="NL1143" s="35"/>
      <c r="NM1143" s="35"/>
      <c r="NN1143" s="35"/>
      <c r="NO1143" s="35"/>
      <c r="NP1143" s="35"/>
      <c r="NQ1143" s="35"/>
      <c r="NR1143" s="35"/>
      <c r="NS1143" s="35"/>
      <c r="NT1143" s="35"/>
      <c r="NU1143" s="35"/>
      <c r="NV1143" s="35"/>
      <c r="NW1143" s="35"/>
      <c r="NX1143" s="35"/>
      <c r="NY1143" s="35"/>
      <c r="NZ1143" s="35"/>
      <c r="OA1143" s="35"/>
      <c r="OB1143" s="35"/>
      <c r="OC1143" s="35"/>
      <c r="OD1143" s="35"/>
      <c r="OE1143" s="35"/>
      <c r="OF1143" s="35"/>
      <c r="OG1143" s="35"/>
      <c r="OH1143" s="35"/>
      <c r="OI1143" s="35"/>
      <c r="OJ1143" s="35"/>
      <c r="OK1143" s="35"/>
      <c r="OL1143" s="35"/>
      <c r="OM1143" s="35"/>
      <c r="ON1143" s="35"/>
      <c r="OO1143" s="35"/>
      <c r="OP1143" s="35"/>
      <c r="OQ1143" s="35"/>
      <c r="OR1143" s="35"/>
      <c r="OS1143" s="35"/>
      <c r="OT1143" s="35"/>
      <c r="OU1143" s="35"/>
      <c r="OV1143" s="35"/>
      <c r="OW1143" s="35"/>
      <c r="OX1143" s="35"/>
      <c r="OY1143" s="35"/>
      <c r="OZ1143" s="35"/>
      <c r="PA1143" s="35"/>
      <c r="PB1143" s="35"/>
      <c r="PC1143" s="35"/>
      <c r="PD1143" s="35"/>
      <c r="PE1143" s="35"/>
      <c r="PF1143" s="35"/>
      <c r="PG1143" s="35"/>
      <c r="PH1143" s="35"/>
      <c r="PI1143" s="35"/>
      <c r="PJ1143" s="35"/>
      <c r="PK1143" s="35"/>
      <c r="PL1143" s="35"/>
      <c r="PM1143" s="35"/>
      <c r="PN1143" s="35"/>
      <c r="PO1143" s="35"/>
      <c r="PP1143" s="35"/>
      <c r="PQ1143" s="35"/>
      <c r="PR1143" s="35"/>
      <c r="PS1143" s="35"/>
      <c r="PT1143" s="35"/>
      <c r="PU1143" s="35"/>
      <c r="PV1143" s="35"/>
      <c r="PW1143" s="35"/>
      <c r="PX1143" s="35"/>
      <c r="PY1143" s="35"/>
      <c r="PZ1143" s="35"/>
      <c r="QA1143" s="35"/>
      <c r="QB1143" s="35"/>
      <c r="QC1143" s="35"/>
      <c r="QD1143" s="35"/>
      <c r="QE1143" s="35"/>
      <c r="QF1143" s="35"/>
      <c r="QG1143" s="35"/>
      <c r="QH1143" s="35"/>
      <c r="QI1143" s="35"/>
      <c r="QJ1143" s="35"/>
      <c r="QK1143" s="35"/>
      <c r="QL1143" s="35"/>
      <c r="QM1143" s="35"/>
      <c r="QN1143" s="35"/>
      <c r="QO1143" s="35"/>
      <c r="QP1143" s="35"/>
      <c r="QQ1143" s="35"/>
      <c r="QR1143" s="35"/>
      <c r="QS1143" s="35"/>
      <c r="QT1143" s="35"/>
      <c r="QU1143" s="35"/>
      <c r="QV1143" s="35"/>
      <c r="QW1143" s="35"/>
      <c r="QX1143" s="35"/>
      <c r="QY1143" s="35"/>
      <c r="QZ1143" s="35"/>
      <c r="RA1143" s="35"/>
      <c r="RB1143" s="35"/>
      <c r="RC1143" s="35"/>
      <c r="RD1143" s="35"/>
      <c r="RE1143" s="35"/>
      <c r="RF1143" s="35"/>
      <c r="RG1143" s="35"/>
      <c r="RH1143" s="35"/>
      <c r="RI1143" s="35"/>
      <c r="RJ1143" s="35"/>
      <c r="RK1143" s="35"/>
      <c r="RL1143" s="35"/>
      <c r="RM1143" s="35"/>
      <c r="RN1143" s="35"/>
      <c r="RO1143" s="35"/>
      <c r="RP1143" s="35"/>
      <c r="RQ1143" s="35"/>
      <c r="RR1143" s="35"/>
      <c r="RS1143" s="35"/>
      <c r="RT1143" s="35"/>
      <c r="RU1143" s="35"/>
      <c r="RV1143" s="35"/>
      <c r="RW1143" s="35"/>
      <c r="RX1143" s="35"/>
      <c r="RY1143" s="35"/>
      <c r="RZ1143" s="35"/>
      <c r="SA1143" s="35"/>
      <c r="SB1143" s="35"/>
      <c r="SC1143" s="35"/>
      <c r="SD1143" s="35"/>
      <c r="SE1143" s="35"/>
      <c r="SF1143" s="35"/>
      <c r="SG1143" s="35"/>
      <c r="SH1143" s="35"/>
      <c r="SI1143" s="35"/>
      <c r="SJ1143" s="35"/>
      <c r="SK1143" s="35"/>
      <c r="SL1143" s="35"/>
      <c r="SM1143" s="35"/>
      <c r="SN1143" s="35"/>
      <c r="SO1143" s="35"/>
      <c r="SP1143" s="35"/>
      <c r="SQ1143" s="35"/>
      <c r="SR1143" s="35"/>
      <c r="SS1143" s="35"/>
      <c r="ST1143" s="35"/>
      <c r="SU1143" s="35"/>
      <c r="SV1143" s="35"/>
      <c r="SW1143" s="35"/>
      <c r="SX1143" s="35"/>
      <c r="SY1143" s="35"/>
      <c r="SZ1143" s="35"/>
      <c r="TA1143" s="35"/>
      <c r="TB1143" s="35"/>
      <c r="TC1143" s="35"/>
      <c r="TD1143" s="35"/>
      <c r="TE1143" s="35"/>
      <c r="TF1143" s="35"/>
      <c r="TG1143" s="35"/>
      <c r="TH1143" s="35"/>
      <c r="TI1143" s="35"/>
      <c r="TJ1143" s="35"/>
      <c r="TK1143" s="35"/>
      <c r="TL1143" s="35"/>
      <c r="TM1143" s="35"/>
      <c r="TN1143" s="35"/>
      <c r="TO1143" s="35"/>
      <c r="TP1143" s="35"/>
      <c r="TQ1143" s="35"/>
      <c r="TR1143" s="35"/>
      <c r="TS1143" s="35"/>
      <c r="TT1143" s="35"/>
      <c r="TU1143" s="35"/>
      <c r="TV1143" s="35"/>
      <c r="TW1143" s="35"/>
      <c r="TX1143" s="35"/>
      <c r="TY1143" s="35"/>
      <c r="TZ1143" s="35"/>
      <c r="UA1143" s="35"/>
      <c r="UB1143" s="35"/>
      <c r="UC1143" s="35"/>
      <c r="UD1143" s="35"/>
      <c r="UE1143" s="35"/>
      <c r="UF1143" s="35"/>
      <c r="UG1143" s="44"/>
    </row>
    <row r="1144" spans="1:553" ht="31.5" customHeight="1">
      <c r="A1144" s="356"/>
      <c r="B1144" s="385"/>
      <c r="C1144" s="1388" t="s">
        <v>254</v>
      </c>
      <c r="D1144" s="1389"/>
      <c r="E1144" s="1389"/>
      <c r="F1144" s="1390"/>
      <c r="G1144" s="386" t="s">
        <v>113</v>
      </c>
      <c r="H1144" s="370"/>
      <c r="I1144" s="422">
        <v>10</v>
      </c>
      <c r="J1144" s="477">
        <v>114600</v>
      </c>
      <c r="K1144" s="388"/>
      <c r="L1144" s="487">
        <f t="shared" si="167"/>
        <v>1146000</v>
      </c>
      <c r="M1144" s="395"/>
      <c r="N1144" s="395"/>
      <c r="O1144" s="366"/>
      <c r="P1144" s="396"/>
      <c r="Q1144" s="473"/>
      <c r="R1144" s="1039"/>
      <c r="S1144" s="308"/>
      <c r="T1144" s="308"/>
      <c r="U1144" s="308"/>
      <c r="V1144" s="308"/>
      <c r="W1144" s="308"/>
      <c r="X1144" s="308"/>
      <c r="Y1144" s="308"/>
      <c r="Z1144" s="604"/>
      <c r="AA1144" s="308"/>
      <c r="AB1144" s="308"/>
      <c r="AC1144" s="449"/>
      <c r="AD1144" s="449"/>
      <c r="AE1144" s="449"/>
      <c r="AF1144" s="449"/>
      <c r="AG1144" s="452"/>
      <c r="AH1144" s="452"/>
      <c r="AI1144" s="452"/>
      <c r="AJ1144" s="452"/>
      <c r="AK1144" s="452"/>
      <c r="AL1144" s="104"/>
      <c r="AM1144" s="32"/>
      <c r="AN1144" s="32"/>
      <c r="AO1144" s="32"/>
      <c r="AP1144" s="32"/>
      <c r="AQ1144" s="31"/>
      <c r="AR1144" s="31"/>
      <c r="AS1144" s="31"/>
      <c r="AT1144" s="31"/>
      <c r="AU1144" s="31"/>
      <c r="AV1144" s="31"/>
      <c r="AW1144" s="31"/>
      <c r="AX1144" s="31"/>
      <c r="AY1144" s="31"/>
      <c r="AZ1144" s="31"/>
      <c r="BA1144" s="31"/>
      <c r="BB1144" s="31"/>
      <c r="BC1144" s="31"/>
      <c r="BD1144" s="31"/>
      <c r="BE1144" s="31"/>
      <c r="BF1144" s="31"/>
      <c r="BG1144" s="31"/>
      <c r="BH1144" s="31"/>
      <c r="BI1144" s="31"/>
      <c r="BJ1144" s="31"/>
      <c r="BK1144" s="31"/>
      <c r="BL1144" s="31"/>
      <c r="BM1144" s="31"/>
      <c r="BN1144" s="31"/>
      <c r="BO1144" s="31"/>
      <c r="BP1144" s="31"/>
      <c r="BQ1144" s="31"/>
      <c r="BR1144" s="31"/>
      <c r="BS1144" s="31"/>
      <c r="BT1144" s="31"/>
      <c r="BU1144" s="31"/>
      <c r="BV1144" s="31"/>
      <c r="BW1144" s="31"/>
      <c r="BX1144" s="31"/>
      <c r="BY1144" s="31"/>
      <c r="BZ1144" s="31"/>
      <c r="CA1144" s="31"/>
      <c r="CB1144" s="31"/>
      <c r="CC1144" s="31"/>
      <c r="CD1144" s="31"/>
      <c r="CE1144" s="31"/>
      <c r="CF1144" s="31"/>
      <c r="CG1144" s="31"/>
      <c r="CH1144" s="31"/>
      <c r="CI1144" s="31"/>
      <c r="CJ1144" s="31"/>
      <c r="CK1144" s="31"/>
      <c r="CL1144" s="31"/>
      <c r="CM1144" s="31"/>
      <c r="CN1144" s="31"/>
      <c r="CO1144" s="31"/>
      <c r="CP1144" s="31"/>
      <c r="CQ1144" s="31"/>
      <c r="CR1144" s="31"/>
      <c r="CS1144" s="31"/>
      <c r="CT1144" s="31"/>
      <c r="CU1144" s="31"/>
      <c r="CV1144" s="31"/>
      <c r="CW1144" s="31"/>
      <c r="CX1144" s="31"/>
      <c r="CY1144" s="31"/>
      <c r="CZ1144" s="31"/>
      <c r="DA1144" s="31"/>
      <c r="DB1144" s="31"/>
      <c r="DC1144" s="31"/>
      <c r="DD1144" s="31"/>
      <c r="DE1144" s="31"/>
      <c r="DF1144" s="31"/>
      <c r="DG1144" s="31"/>
      <c r="DH1144" s="31"/>
      <c r="DI1144" s="31"/>
      <c r="DJ1144" s="31"/>
      <c r="DK1144" s="31"/>
      <c r="DL1144" s="31"/>
      <c r="DM1144" s="31"/>
      <c r="DN1144" s="31"/>
      <c r="DO1144" s="31"/>
      <c r="DP1144" s="31"/>
      <c r="DQ1144" s="31"/>
      <c r="DR1144" s="31"/>
      <c r="DS1144" s="31"/>
      <c r="DT1144" s="31"/>
      <c r="DU1144" s="31"/>
      <c r="DV1144" s="31"/>
      <c r="DW1144" s="31"/>
      <c r="DX1144" s="31"/>
      <c r="DY1144" s="31"/>
      <c r="DZ1144" s="31"/>
      <c r="EA1144" s="31"/>
      <c r="EB1144" s="31"/>
      <c r="EC1144" s="31"/>
      <c r="ED1144" s="31"/>
      <c r="EE1144" s="31"/>
      <c r="EF1144" s="31"/>
      <c r="EG1144" s="31"/>
      <c r="EH1144" s="31"/>
      <c r="EI1144" s="31"/>
      <c r="EJ1144" s="31"/>
      <c r="EK1144" s="31"/>
      <c r="EL1144" s="31"/>
      <c r="EM1144" s="31"/>
      <c r="EN1144" s="31"/>
      <c r="EO1144" s="31"/>
      <c r="EP1144" s="31"/>
      <c r="EQ1144" s="31"/>
      <c r="ER1144" s="31"/>
      <c r="ES1144" s="31"/>
      <c r="ET1144" s="31"/>
      <c r="EU1144" s="31"/>
      <c r="EV1144" s="31"/>
      <c r="EW1144" s="31"/>
      <c r="EX1144" s="31"/>
      <c r="EY1144" s="31"/>
      <c r="EZ1144" s="31"/>
      <c r="FA1144" s="31"/>
      <c r="FB1144" s="31"/>
      <c r="FC1144" s="31"/>
      <c r="FD1144" s="31"/>
      <c r="FE1144" s="31"/>
      <c r="FF1144" s="31"/>
      <c r="FG1144" s="31"/>
      <c r="FH1144" s="31"/>
      <c r="FI1144" s="31"/>
      <c r="FJ1144" s="31"/>
      <c r="FK1144" s="31"/>
      <c r="FL1144" s="31"/>
      <c r="FM1144" s="31"/>
      <c r="FN1144" s="31"/>
      <c r="FO1144" s="31"/>
      <c r="FP1144" s="31"/>
      <c r="FQ1144" s="31"/>
      <c r="FR1144" s="31"/>
      <c r="FS1144" s="31"/>
      <c r="FT1144" s="31"/>
      <c r="FU1144" s="31"/>
      <c r="FV1144" s="31"/>
      <c r="FW1144" s="31"/>
      <c r="FX1144" s="31"/>
      <c r="FY1144" s="31"/>
      <c r="FZ1144" s="31"/>
      <c r="GA1144" s="31"/>
      <c r="GB1144" s="31"/>
      <c r="GC1144" s="31"/>
      <c r="GD1144" s="31"/>
      <c r="GE1144" s="31"/>
      <c r="GF1144" s="31"/>
      <c r="GG1144" s="31"/>
      <c r="GH1144" s="31"/>
      <c r="GI1144" s="31"/>
      <c r="GJ1144" s="31"/>
      <c r="GK1144" s="31"/>
      <c r="GL1144" s="31"/>
      <c r="GM1144" s="31"/>
      <c r="GN1144" s="31"/>
      <c r="GO1144" s="31"/>
      <c r="GP1144" s="31"/>
      <c r="GQ1144" s="31"/>
      <c r="GR1144" s="31"/>
      <c r="GS1144" s="31"/>
      <c r="GT1144" s="31"/>
      <c r="GU1144" s="31"/>
      <c r="GV1144" s="31"/>
      <c r="GW1144" s="31"/>
      <c r="GX1144" s="31"/>
      <c r="GY1144" s="31"/>
      <c r="GZ1144" s="31"/>
      <c r="HA1144" s="31"/>
      <c r="HB1144" s="31"/>
      <c r="HC1144" s="31"/>
      <c r="HD1144" s="31"/>
      <c r="HE1144" s="31"/>
      <c r="HF1144" s="31"/>
      <c r="HG1144" s="31"/>
      <c r="HH1144" s="31"/>
      <c r="HI1144" s="31"/>
      <c r="HJ1144" s="31"/>
      <c r="HK1144" s="31"/>
      <c r="HL1144" s="31"/>
      <c r="HM1144" s="31"/>
      <c r="HN1144" s="31"/>
      <c r="HO1144" s="31"/>
      <c r="HP1144" s="31"/>
      <c r="HQ1144" s="31"/>
      <c r="HR1144" s="31"/>
      <c r="HS1144" s="31"/>
      <c r="HT1144" s="31"/>
      <c r="HU1144" s="31"/>
      <c r="HV1144" s="31"/>
      <c r="HW1144" s="31"/>
      <c r="HX1144" s="31"/>
      <c r="HY1144" s="31"/>
      <c r="HZ1144" s="31"/>
      <c r="IA1144" s="31"/>
      <c r="IB1144" s="31"/>
      <c r="IC1144" s="31"/>
      <c r="ID1144" s="31"/>
      <c r="IE1144" s="31"/>
      <c r="IF1144" s="31"/>
      <c r="IG1144" s="31"/>
      <c r="IH1144" s="31"/>
      <c r="II1144" s="31"/>
      <c r="IJ1144" s="31"/>
      <c r="IK1144" s="31"/>
      <c r="IL1144" s="31"/>
      <c r="IM1144" s="31"/>
      <c r="IN1144" s="31"/>
      <c r="IO1144" s="31"/>
      <c r="IP1144" s="31"/>
      <c r="IQ1144" s="31"/>
      <c r="IR1144" s="31"/>
      <c r="IS1144" s="31"/>
      <c r="IT1144" s="31"/>
      <c r="IU1144" s="31"/>
      <c r="IV1144" s="31"/>
      <c r="IW1144" s="31"/>
      <c r="IX1144" s="31"/>
      <c r="IY1144" s="31"/>
      <c r="IZ1144" s="31"/>
      <c r="JA1144" s="31"/>
      <c r="JB1144" s="31"/>
      <c r="JC1144" s="31"/>
      <c r="JD1144" s="31"/>
      <c r="JE1144" s="31"/>
      <c r="JF1144" s="31"/>
      <c r="JG1144" s="31"/>
      <c r="JH1144" s="31"/>
      <c r="JI1144" s="31"/>
      <c r="JJ1144" s="31"/>
      <c r="JK1144" s="31"/>
      <c r="JL1144" s="31"/>
      <c r="JM1144" s="31"/>
      <c r="JN1144" s="31"/>
      <c r="JO1144" s="31"/>
      <c r="JP1144" s="31"/>
      <c r="JQ1144" s="31"/>
      <c r="JR1144" s="31"/>
      <c r="JS1144" s="31"/>
      <c r="JT1144" s="31"/>
      <c r="JU1144" s="31"/>
      <c r="JV1144" s="31"/>
      <c r="JW1144" s="31"/>
      <c r="JX1144" s="31"/>
      <c r="JY1144" s="31"/>
      <c r="JZ1144" s="31"/>
      <c r="KA1144" s="31"/>
      <c r="KB1144" s="31"/>
      <c r="KC1144" s="31"/>
      <c r="KD1144" s="31"/>
      <c r="KE1144" s="31"/>
      <c r="KF1144" s="31"/>
      <c r="KG1144" s="31"/>
      <c r="KH1144" s="31"/>
      <c r="KI1144" s="31"/>
      <c r="KJ1144" s="31"/>
      <c r="KK1144" s="31"/>
      <c r="KL1144" s="31"/>
      <c r="KM1144" s="31"/>
      <c r="KN1144" s="31"/>
      <c r="KO1144" s="31"/>
      <c r="KP1144" s="31"/>
      <c r="KQ1144" s="31"/>
      <c r="KR1144" s="31"/>
      <c r="KS1144" s="31"/>
      <c r="KT1144" s="31"/>
      <c r="KU1144" s="31"/>
      <c r="KV1144" s="31"/>
      <c r="KW1144" s="31"/>
      <c r="KX1144" s="31"/>
      <c r="KY1144" s="31"/>
      <c r="KZ1144" s="31"/>
      <c r="LA1144" s="31"/>
      <c r="LB1144" s="31"/>
      <c r="LC1144" s="31"/>
      <c r="LD1144" s="31"/>
      <c r="LE1144" s="31"/>
      <c r="LF1144" s="31"/>
      <c r="LG1144" s="31"/>
      <c r="LH1144" s="31"/>
      <c r="LI1144" s="31"/>
      <c r="LJ1144" s="31"/>
      <c r="LK1144" s="31"/>
      <c r="LL1144" s="31"/>
      <c r="LM1144" s="31"/>
      <c r="LN1144" s="31"/>
      <c r="LO1144" s="31"/>
      <c r="LP1144" s="31"/>
      <c r="LQ1144" s="31"/>
      <c r="LR1144" s="31"/>
      <c r="LS1144" s="31"/>
      <c r="LT1144" s="31"/>
      <c r="LU1144" s="31"/>
      <c r="LV1144" s="31"/>
      <c r="LW1144" s="31"/>
      <c r="LX1144" s="31"/>
      <c r="LY1144" s="31"/>
      <c r="LZ1144" s="31"/>
      <c r="MA1144" s="31"/>
      <c r="MB1144" s="31"/>
      <c r="MC1144" s="31"/>
      <c r="MD1144" s="31"/>
      <c r="ME1144" s="31"/>
      <c r="MF1144" s="31"/>
      <c r="MG1144" s="31"/>
      <c r="MH1144" s="31"/>
      <c r="MI1144" s="31"/>
      <c r="MJ1144" s="31"/>
      <c r="MK1144" s="31"/>
      <c r="ML1144" s="31"/>
      <c r="MM1144" s="31"/>
      <c r="MN1144" s="31"/>
      <c r="MO1144" s="31"/>
      <c r="MP1144" s="31"/>
      <c r="MQ1144" s="31"/>
      <c r="MR1144" s="31"/>
      <c r="MS1144" s="31"/>
      <c r="MT1144" s="31"/>
      <c r="MU1144" s="31"/>
      <c r="MV1144" s="31"/>
      <c r="MW1144" s="31"/>
      <c r="MX1144" s="31"/>
      <c r="MY1144" s="31"/>
      <c r="MZ1144" s="31"/>
      <c r="NA1144" s="31"/>
      <c r="NB1144" s="31"/>
      <c r="NC1144" s="31"/>
      <c r="ND1144" s="31"/>
      <c r="NE1144" s="31"/>
      <c r="NF1144" s="31"/>
      <c r="NG1144" s="31"/>
      <c r="NH1144" s="31"/>
      <c r="NI1144" s="31"/>
      <c r="NJ1144" s="31"/>
      <c r="NK1144" s="31"/>
      <c r="NL1144" s="31"/>
      <c r="NM1144" s="31"/>
      <c r="NN1144" s="31"/>
      <c r="NO1144" s="31"/>
      <c r="NP1144" s="31"/>
      <c r="NQ1144" s="31"/>
      <c r="NR1144" s="31"/>
      <c r="NS1144" s="31"/>
      <c r="NT1144" s="31"/>
      <c r="NU1144" s="31"/>
      <c r="NV1144" s="31"/>
      <c r="NW1144" s="31"/>
      <c r="NX1144" s="31"/>
      <c r="NY1144" s="31"/>
      <c r="NZ1144" s="31"/>
      <c r="OA1144" s="31"/>
      <c r="OB1144" s="31"/>
      <c r="OC1144" s="31"/>
      <c r="OD1144" s="31"/>
      <c r="OE1144" s="31"/>
      <c r="OF1144" s="31"/>
      <c r="OG1144" s="31"/>
      <c r="OH1144" s="31"/>
      <c r="OI1144" s="31"/>
      <c r="OJ1144" s="31"/>
      <c r="OK1144" s="31"/>
      <c r="OL1144" s="31"/>
      <c r="OM1144" s="31"/>
      <c r="ON1144" s="31"/>
      <c r="OO1144" s="31"/>
      <c r="OP1144" s="31"/>
      <c r="OQ1144" s="31"/>
      <c r="OR1144" s="31"/>
      <c r="OS1144" s="31"/>
      <c r="OT1144" s="31"/>
      <c r="OU1144" s="31"/>
      <c r="OV1144" s="31"/>
      <c r="OW1144" s="31"/>
      <c r="OX1144" s="31"/>
      <c r="OY1144" s="31"/>
      <c r="OZ1144" s="31"/>
      <c r="PA1144" s="31"/>
      <c r="PB1144" s="31"/>
      <c r="PC1144" s="31"/>
      <c r="PD1144" s="31"/>
      <c r="PE1144" s="31"/>
      <c r="PF1144" s="31"/>
      <c r="PG1144" s="31"/>
      <c r="PH1144" s="31"/>
      <c r="PI1144" s="31"/>
      <c r="PJ1144" s="31"/>
      <c r="PK1144" s="31"/>
      <c r="PL1144" s="31"/>
      <c r="PM1144" s="31"/>
      <c r="PN1144" s="31"/>
      <c r="PO1144" s="31"/>
      <c r="PP1144" s="31"/>
      <c r="PQ1144" s="31"/>
      <c r="PR1144" s="31"/>
      <c r="PS1144" s="31"/>
      <c r="PT1144" s="31"/>
      <c r="PU1144" s="31"/>
      <c r="PV1144" s="31"/>
      <c r="PW1144" s="31"/>
      <c r="PX1144" s="31"/>
      <c r="PY1144" s="31"/>
      <c r="PZ1144" s="31"/>
      <c r="QA1144" s="31"/>
      <c r="QB1144" s="31"/>
      <c r="QC1144" s="31"/>
      <c r="QD1144" s="31"/>
      <c r="QE1144" s="31"/>
      <c r="QF1144" s="31"/>
      <c r="QG1144" s="31"/>
      <c r="QH1144" s="31"/>
      <c r="QI1144" s="31"/>
      <c r="QJ1144" s="31"/>
      <c r="QK1144" s="31"/>
      <c r="QL1144" s="31"/>
      <c r="QM1144" s="31"/>
      <c r="QN1144" s="31"/>
      <c r="QO1144" s="31"/>
      <c r="QP1144" s="31"/>
      <c r="QQ1144" s="31"/>
      <c r="QR1144" s="31"/>
      <c r="QS1144" s="31"/>
      <c r="QT1144" s="31"/>
      <c r="QU1144" s="31"/>
      <c r="QV1144" s="31"/>
      <c r="QW1144" s="31"/>
      <c r="QX1144" s="31"/>
      <c r="QY1144" s="31"/>
      <c r="QZ1144" s="31"/>
      <c r="RA1144" s="31"/>
      <c r="RB1144" s="31"/>
      <c r="RC1144" s="31"/>
      <c r="RD1144" s="31"/>
      <c r="RE1144" s="31"/>
      <c r="RF1144" s="31"/>
      <c r="RG1144" s="31"/>
      <c r="RH1144" s="31"/>
      <c r="RI1144" s="31"/>
      <c r="RJ1144" s="31"/>
      <c r="RK1144" s="31"/>
      <c r="RL1144" s="31"/>
      <c r="RM1144" s="31"/>
      <c r="RN1144" s="31"/>
      <c r="RO1144" s="31"/>
      <c r="RP1144" s="31"/>
      <c r="RQ1144" s="31"/>
      <c r="RR1144" s="31"/>
      <c r="RS1144" s="31"/>
      <c r="RT1144" s="31"/>
      <c r="RU1144" s="31"/>
      <c r="RV1144" s="31"/>
      <c r="RW1144" s="31"/>
      <c r="RX1144" s="31"/>
      <c r="RY1144" s="31"/>
      <c r="RZ1144" s="31"/>
      <c r="SA1144" s="31"/>
      <c r="SB1144" s="31"/>
      <c r="SC1144" s="31"/>
      <c r="SD1144" s="31"/>
      <c r="SE1144" s="31"/>
      <c r="SF1144" s="31"/>
      <c r="SG1144" s="31"/>
      <c r="SH1144" s="31"/>
      <c r="SI1144" s="31"/>
      <c r="SJ1144" s="31"/>
      <c r="SK1144" s="31"/>
      <c r="SL1144" s="31"/>
      <c r="SM1144" s="31"/>
      <c r="SN1144" s="31"/>
      <c r="SO1144" s="31"/>
      <c r="SP1144" s="31"/>
      <c r="SQ1144" s="31"/>
      <c r="SR1144" s="31"/>
      <c r="SS1144" s="31"/>
      <c r="ST1144" s="31"/>
      <c r="SU1144" s="31"/>
      <c r="SV1144" s="31"/>
      <c r="SW1144" s="31"/>
      <c r="SX1144" s="31"/>
      <c r="SY1144" s="31"/>
      <c r="SZ1144" s="31"/>
      <c r="TA1144" s="31"/>
      <c r="TB1144" s="31"/>
      <c r="TC1144" s="31"/>
      <c r="TD1144" s="31"/>
      <c r="TE1144" s="31"/>
      <c r="TF1144" s="31"/>
      <c r="TG1144" s="31"/>
      <c r="TH1144" s="31"/>
      <c r="TI1144" s="31"/>
      <c r="TJ1144" s="31"/>
      <c r="TK1144" s="31"/>
      <c r="TL1144" s="31"/>
      <c r="TM1144" s="31"/>
      <c r="TN1144" s="31"/>
      <c r="TO1144" s="31"/>
      <c r="TP1144" s="31"/>
      <c r="TQ1144" s="31"/>
      <c r="TR1144" s="31"/>
      <c r="TS1144" s="31"/>
      <c r="TT1144" s="31"/>
      <c r="TU1144" s="31"/>
      <c r="TV1144" s="31"/>
      <c r="TW1144" s="31"/>
      <c r="TX1144" s="31"/>
      <c r="TY1144" s="31"/>
      <c r="TZ1144" s="31"/>
      <c r="UA1144" s="31"/>
      <c r="UB1144" s="31"/>
      <c r="UC1144" s="31"/>
      <c r="UD1144" s="31"/>
      <c r="UE1144" s="31"/>
      <c r="UF1144" s="31"/>
      <c r="UG1144" s="33"/>
    </row>
    <row r="1145" spans="1:553" ht="79.5" customHeight="1">
      <c r="A1145" s="356" t="s">
        <v>43</v>
      </c>
      <c r="B1145" s="356"/>
      <c r="C1145" s="1431" t="s">
        <v>44</v>
      </c>
      <c r="D1145" s="1389"/>
      <c r="E1145" s="1389"/>
      <c r="F1145" s="1390"/>
      <c r="G1145" s="366"/>
      <c r="H1145" s="370"/>
      <c r="I1145" s="370"/>
      <c r="J1145" s="368"/>
      <c r="K1145" s="371"/>
      <c r="L1145" s="645">
        <f>SUM(L1146:L1172)</f>
        <v>93089949.605999991</v>
      </c>
      <c r="M1145" s="356"/>
      <c r="N1145" s="356"/>
      <c r="O1145" s="356"/>
      <c r="P1145" s="356">
        <f>L1145</f>
        <v>93089949.605999991</v>
      </c>
      <c r="Q1145" s="610"/>
      <c r="R1145" s="1226" t="s">
        <v>45</v>
      </c>
      <c r="S1145" s="308"/>
      <c r="T1145" s="308"/>
      <c r="U1145" s="308"/>
      <c r="V1145" s="308"/>
      <c r="W1145" s="308"/>
      <c r="X1145" s="308"/>
      <c r="Y1145" s="308"/>
      <c r="Z1145" s="604"/>
      <c r="AA1145" s="308"/>
      <c r="AB1145" s="308"/>
      <c r="AC1145" s="373"/>
      <c r="AD1145" s="373"/>
      <c r="AE1145" s="373"/>
      <c r="AF1145" s="373"/>
      <c r="AG1145" s="373"/>
      <c r="AH1145" s="373"/>
      <c r="AI1145" s="373"/>
      <c r="AJ1145" s="373"/>
      <c r="AK1145" s="389"/>
      <c r="AL1145" s="100"/>
      <c r="AM1145" s="27"/>
      <c r="AN1145" s="27"/>
      <c r="AO1145" s="27"/>
      <c r="AP1145" s="27"/>
      <c r="AQ1145" s="27"/>
      <c r="AR1145" s="27"/>
      <c r="AS1145" s="22"/>
      <c r="AT1145" s="22"/>
      <c r="AU1145" s="22"/>
      <c r="AV1145" s="22"/>
      <c r="AW1145" s="22"/>
      <c r="AX1145" s="22"/>
      <c r="AY1145" s="22"/>
      <c r="AZ1145" s="22"/>
      <c r="BA1145" s="22"/>
      <c r="BB1145" s="22"/>
      <c r="BC1145" s="22"/>
      <c r="BD1145" s="22"/>
      <c r="BE1145" s="22"/>
      <c r="BF1145" s="22"/>
      <c r="BG1145" s="22"/>
      <c r="BH1145" s="22"/>
      <c r="BI1145" s="22"/>
      <c r="BJ1145" s="22"/>
      <c r="BK1145" s="22"/>
      <c r="BL1145" s="22"/>
      <c r="BM1145" s="22"/>
      <c r="BN1145" s="22"/>
      <c r="BO1145" s="22"/>
      <c r="BP1145" s="22"/>
      <c r="BQ1145" s="22"/>
      <c r="BR1145" s="22"/>
      <c r="BS1145" s="22"/>
      <c r="BT1145" s="22"/>
      <c r="BU1145" s="22"/>
      <c r="BV1145" s="22"/>
      <c r="BW1145" s="22"/>
      <c r="BX1145" s="22"/>
      <c r="BY1145" s="22"/>
      <c r="BZ1145" s="22"/>
      <c r="CA1145" s="22"/>
      <c r="CB1145" s="22"/>
      <c r="CC1145" s="22"/>
      <c r="CD1145" s="22"/>
      <c r="CE1145" s="22"/>
      <c r="CF1145" s="22"/>
      <c r="CG1145" s="22"/>
      <c r="CH1145" s="22"/>
      <c r="CI1145" s="22"/>
      <c r="CJ1145" s="22"/>
      <c r="CK1145" s="22"/>
      <c r="CL1145" s="22"/>
      <c r="CM1145" s="22"/>
      <c r="CN1145" s="22"/>
      <c r="CO1145" s="22"/>
      <c r="CP1145" s="22"/>
      <c r="CQ1145" s="22"/>
      <c r="CR1145" s="22"/>
      <c r="CS1145" s="22"/>
      <c r="CT1145" s="22"/>
      <c r="CU1145" s="22"/>
      <c r="CV1145" s="22"/>
      <c r="CW1145" s="22"/>
      <c r="CX1145" s="22"/>
      <c r="CY1145" s="22"/>
      <c r="CZ1145" s="22"/>
      <c r="DA1145" s="22"/>
      <c r="DB1145" s="22"/>
      <c r="DC1145" s="22"/>
      <c r="DD1145" s="22"/>
      <c r="DE1145" s="22"/>
      <c r="DF1145" s="22"/>
      <c r="DG1145" s="22"/>
      <c r="DH1145" s="22"/>
      <c r="DI1145" s="22"/>
      <c r="DJ1145" s="22"/>
      <c r="DK1145" s="22"/>
      <c r="DL1145" s="22"/>
      <c r="DM1145" s="22"/>
      <c r="DN1145" s="22"/>
      <c r="DO1145" s="22"/>
      <c r="DP1145" s="22"/>
      <c r="DQ1145" s="22"/>
      <c r="DR1145" s="22"/>
      <c r="DS1145" s="22"/>
      <c r="DT1145" s="22"/>
      <c r="DU1145" s="22"/>
      <c r="DV1145" s="22"/>
      <c r="DW1145" s="22"/>
      <c r="DX1145" s="22"/>
      <c r="DY1145" s="22"/>
      <c r="DZ1145" s="22"/>
      <c r="EA1145" s="22"/>
      <c r="EB1145" s="22"/>
      <c r="EC1145" s="22"/>
      <c r="ED1145" s="22"/>
      <c r="EE1145" s="22"/>
      <c r="EF1145" s="22"/>
      <c r="EG1145" s="22"/>
      <c r="EH1145" s="22"/>
      <c r="EI1145" s="22"/>
      <c r="EJ1145" s="22"/>
      <c r="EK1145" s="22"/>
      <c r="EL1145" s="22"/>
      <c r="EM1145" s="22"/>
      <c r="EN1145" s="22"/>
      <c r="EO1145" s="22"/>
      <c r="EP1145" s="22"/>
      <c r="EQ1145" s="22"/>
      <c r="ER1145" s="22"/>
      <c r="ES1145" s="22"/>
      <c r="ET1145" s="22"/>
      <c r="EU1145" s="22"/>
      <c r="EV1145" s="22"/>
      <c r="EW1145" s="22"/>
      <c r="EX1145" s="22"/>
      <c r="EY1145" s="22"/>
      <c r="EZ1145" s="22"/>
      <c r="FA1145" s="22"/>
      <c r="FB1145" s="22"/>
      <c r="FC1145" s="22"/>
      <c r="FD1145" s="22"/>
      <c r="FE1145" s="22"/>
      <c r="FF1145" s="22"/>
      <c r="FG1145" s="22"/>
      <c r="FH1145" s="22"/>
      <c r="FI1145" s="22"/>
      <c r="FJ1145" s="22"/>
      <c r="FK1145" s="22"/>
      <c r="FL1145" s="22"/>
      <c r="FM1145" s="22"/>
      <c r="FN1145" s="22"/>
      <c r="FO1145" s="22"/>
      <c r="FP1145" s="22"/>
      <c r="FQ1145" s="22"/>
      <c r="FR1145" s="22"/>
      <c r="FS1145" s="22"/>
      <c r="FT1145" s="22"/>
      <c r="FU1145" s="22"/>
      <c r="FV1145" s="22"/>
      <c r="FW1145" s="22"/>
      <c r="FX1145" s="22"/>
      <c r="FY1145" s="22"/>
      <c r="FZ1145" s="22"/>
      <c r="GA1145" s="22"/>
      <c r="GB1145" s="22"/>
      <c r="GC1145" s="22"/>
      <c r="GD1145" s="22"/>
      <c r="GE1145" s="22"/>
      <c r="GF1145" s="22"/>
      <c r="GG1145" s="22"/>
      <c r="GH1145" s="22"/>
      <c r="GI1145" s="22"/>
      <c r="GJ1145" s="22"/>
      <c r="GK1145" s="22"/>
      <c r="GL1145" s="22"/>
      <c r="GM1145" s="22"/>
      <c r="GN1145" s="22"/>
      <c r="GO1145" s="22"/>
      <c r="GP1145" s="22"/>
      <c r="GQ1145" s="22"/>
      <c r="GR1145" s="22"/>
      <c r="GS1145" s="22"/>
      <c r="GT1145" s="22"/>
      <c r="GU1145" s="22"/>
      <c r="GV1145" s="22"/>
      <c r="GW1145" s="22"/>
      <c r="GX1145" s="22"/>
      <c r="GY1145" s="22"/>
      <c r="GZ1145" s="22"/>
      <c r="HA1145" s="22"/>
      <c r="HB1145" s="22"/>
      <c r="HC1145" s="22"/>
      <c r="HD1145" s="22"/>
      <c r="HE1145" s="22"/>
      <c r="HF1145" s="22"/>
      <c r="HG1145" s="22"/>
      <c r="HH1145" s="22"/>
      <c r="HI1145" s="22"/>
      <c r="HJ1145" s="22"/>
      <c r="HK1145" s="22"/>
      <c r="HL1145" s="22"/>
      <c r="HM1145" s="22"/>
      <c r="HN1145" s="22"/>
      <c r="HO1145" s="22"/>
      <c r="HP1145" s="22"/>
      <c r="HQ1145" s="22"/>
      <c r="HR1145" s="22"/>
      <c r="HS1145" s="22"/>
      <c r="HT1145" s="22"/>
      <c r="HU1145" s="22"/>
      <c r="HV1145" s="22"/>
      <c r="HW1145" s="22"/>
      <c r="HX1145" s="22"/>
      <c r="HY1145" s="22"/>
      <c r="HZ1145" s="22"/>
      <c r="IA1145" s="22"/>
      <c r="IB1145" s="22"/>
      <c r="IC1145" s="22"/>
      <c r="ID1145" s="22"/>
      <c r="IE1145" s="22"/>
      <c r="IF1145" s="22"/>
      <c r="IG1145" s="22"/>
      <c r="IH1145" s="22"/>
      <c r="II1145" s="22"/>
      <c r="IJ1145" s="22"/>
      <c r="IK1145" s="22"/>
      <c r="IL1145" s="22"/>
      <c r="IM1145" s="22"/>
      <c r="IN1145" s="22"/>
      <c r="IO1145" s="22"/>
      <c r="IP1145" s="22"/>
      <c r="IQ1145" s="22"/>
      <c r="IR1145" s="22"/>
      <c r="IS1145" s="22"/>
      <c r="IT1145" s="22"/>
      <c r="IU1145" s="22"/>
      <c r="IV1145" s="22"/>
      <c r="IW1145" s="22"/>
      <c r="IX1145" s="22"/>
      <c r="IY1145" s="22"/>
      <c r="IZ1145" s="22"/>
      <c r="JA1145" s="22"/>
      <c r="JB1145" s="22"/>
      <c r="JC1145" s="22"/>
      <c r="JD1145" s="22"/>
      <c r="JE1145" s="22"/>
      <c r="JF1145" s="22"/>
      <c r="JG1145" s="22"/>
      <c r="JH1145" s="22"/>
      <c r="JI1145" s="22"/>
      <c r="JJ1145" s="22"/>
      <c r="JK1145" s="22"/>
      <c r="JL1145" s="22"/>
      <c r="JM1145" s="22"/>
      <c r="JN1145" s="22"/>
      <c r="JO1145" s="22"/>
      <c r="JP1145" s="22"/>
      <c r="JQ1145" s="22"/>
      <c r="JR1145" s="22"/>
      <c r="JS1145" s="22"/>
      <c r="JT1145" s="22"/>
      <c r="JU1145" s="22"/>
      <c r="JV1145" s="22"/>
      <c r="JW1145" s="22"/>
      <c r="JX1145" s="22"/>
      <c r="JY1145" s="22"/>
      <c r="JZ1145" s="22"/>
      <c r="KA1145" s="22"/>
      <c r="KB1145" s="22"/>
      <c r="KC1145" s="22"/>
      <c r="KD1145" s="22"/>
      <c r="KE1145" s="22"/>
      <c r="KF1145" s="22"/>
      <c r="KG1145" s="22"/>
      <c r="KH1145" s="22"/>
      <c r="KI1145" s="22"/>
      <c r="KJ1145" s="22"/>
      <c r="KK1145" s="22"/>
      <c r="KL1145" s="22"/>
      <c r="KM1145" s="22"/>
      <c r="KN1145" s="22"/>
      <c r="KO1145" s="22"/>
      <c r="KP1145" s="22"/>
      <c r="KQ1145" s="22"/>
      <c r="KR1145" s="22"/>
      <c r="KS1145" s="22"/>
      <c r="KT1145" s="22"/>
      <c r="KU1145" s="22"/>
      <c r="KV1145" s="22"/>
      <c r="KW1145" s="22"/>
      <c r="KX1145" s="22"/>
      <c r="KY1145" s="22"/>
      <c r="KZ1145" s="22"/>
      <c r="LA1145" s="22"/>
      <c r="LB1145" s="22"/>
      <c r="LC1145" s="22"/>
      <c r="LD1145" s="22"/>
      <c r="LE1145" s="22"/>
      <c r="LF1145" s="22"/>
      <c r="LG1145" s="22"/>
      <c r="LH1145" s="22"/>
      <c r="LI1145" s="22"/>
      <c r="LJ1145" s="22"/>
      <c r="LK1145" s="22"/>
      <c r="LL1145" s="22"/>
      <c r="LM1145" s="22"/>
      <c r="LN1145" s="22"/>
      <c r="LO1145" s="22"/>
      <c r="LP1145" s="22"/>
      <c r="LQ1145" s="22"/>
      <c r="LR1145" s="22"/>
      <c r="LS1145" s="22"/>
      <c r="LT1145" s="22"/>
      <c r="LU1145" s="22"/>
      <c r="LV1145" s="22"/>
      <c r="LW1145" s="22"/>
      <c r="LX1145" s="22"/>
      <c r="LY1145" s="22"/>
      <c r="LZ1145" s="22"/>
      <c r="MA1145" s="22"/>
      <c r="MB1145" s="22"/>
      <c r="MC1145" s="22"/>
      <c r="MD1145" s="22"/>
      <c r="ME1145" s="22"/>
      <c r="MF1145" s="22"/>
      <c r="MG1145" s="22"/>
      <c r="MH1145" s="22"/>
      <c r="MI1145" s="22"/>
      <c r="MJ1145" s="22"/>
      <c r="MK1145" s="22"/>
      <c r="ML1145" s="22"/>
      <c r="MM1145" s="22"/>
      <c r="MN1145" s="22"/>
      <c r="MO1145" s="22"/>
      <c r="MP1145" s="22"/>
      <c r="MQ1145" s="22"/>
      <c r="MR1145" s="22"/>
      <c r="MS1145" s="22"/>
      <c r="MT1145" s="22"/>
      <c r="MU1145" s="22"/>
      <c r="MV1145" s="22"/>
      <c r="MW1145" s="22"/>
      <c r="MX1145" s="22"/>
      <c r="MY1145" s="22"/>
      <c r="MZ1145" s="22"/>
      <c r="NA1145" s="22"/>
      <c r="NB1145" s="22"/>
      <c r="NC1145" s="22"/>
      <c r="ND1145" s="22"/>
      <c r="NE1145" s="22"/>
      <c r="NF1145" s="22"/>
      <c r="NG1145" s="22"/>
      <c r="NH1145" s="22"/>
      <c r="NI1145" s="22"/>
      <c r="NJ1145" s="22"/>
      <c r="NK1145" s="22"/>
      <c r="NL1145" s="22"/>
      <c r="NM1145" s="22"/>
      <c r="NN1145" s="22"/>
      <c r="NO1145" s="22"/>
      <c r="NP1145" s="22"/>
      <c r="NQ1145" s="22"/>
      <c r="NR1145" s="22"/>
      <c r="NS1145" s="22"/>
      <c r="NT1145" s="22"/>
      <c r="NU1145" s="22"/>
      <c r="NV1145" s="22"/>
      <c r="NW1145" s="22"/>
      <c r="NX1145" s="22"/>
      <c r="NY1145" s="22"/>
      <c r="NZ1145" s="22"/>
      <c r="OA1145" s="22"/>
      <c r="OB1145" s="22"/>
      <c r="OC1145" s="22"/>
      <c r="OD1145" s="22"/>
      <c r="OE1145" s="22"/>
      <c r="OF1145" s="22"/>
      <c r="OG1145" s="22"/>
      <c r="OH1145" s="22"/>
      <c r="OI1145" s="22"/>
      <c r="OJ1145" s="22"/>
      <c r="OK1145" s="22"/>
      <c r="OL1145" s="22"/>
      <c r="OM1145" s="22"/>
      <c r="ON1145" s="22"/>
      <c r="OO1145" s="22"/>
      <c r="OP1145" s="22"/>
      <c r="OQ1145" s="22"/>
      <c r="OR1145" s="22"/>
      <c r="OS1145" s="22"/>
      <c r="OT1145" s="22"/>
      <c r="OU1145" s="22"/>
      <c r="OV1145" s="22"/>
      <c r="OW1145" s="22"/>
      <c r="OX1145" s="22"/>
      <c r="OY1145" s="22"/>
      <c r="OZ1145" s="22"/>
      <c r="PA1145" s="22"/>
      <c r="PB1145" s="22"/>
      <c r="PC1145" s="22"/>
      <c r="PD1145" s="22"/>
      <c r="PE1145" s="22"/>
      <c r="PF1145" s="22"/>
      <c r="PG1145" s="22"/>
      <c r="PH1145" s="22"/>
      <c r="PI1145" s="22"/>
      <c r="PJ1145" s="22"/>
      <c r="PK1145" s="22"/>
      <c r="PL1145" s="22"/>
      <c r="PM1145" s="22"/>
      <c r="PN1145" s="22"/>
      <c r="PO1145" s="22"/>
      <c r="PP1145" s="22"/>
      <c r="PQ1145" s="22"/>
      <c r="PR1145" s="22"/>
      <c r="PS1145" s="22"/>
      <c r="PT1145" s="22"/>
      <c r="PU1145" s="22"/>
      <c r="PV1145" s="22"/>
      <c r="PW1145" s="22"/>
      <c r="PX1145" s="22"/>
      <c r="PY1145" s="22"/>
      <c r="PZ1145" s="22"/>
      <c r="QA1145" s="22"/>
      <c r="QB1145" s="22"/>
      <c r="QC1145" s="22"/>
      <c r="QD1145" s="22"/>
      <c r="QE1145" s="22"/>
      <c r="QF1145" s="22"/>
      <c r="QG1145" s="22"/>
      <c r="QH1145" s="22"/>
      <c r="QI1145" s="22"/>
      <c r="QJ1145" s="22"/>
      <c r="QK1145" s="22"/>
      <c r="QL1145" s="22"/>
      <c r="QM1145" s="22"/>
      <c r="QN1145" s="22"/>
      <c r="QO1145" s="22"/>
      <c r="QP1145" s="22"/>
      <c r="QQ1145" s="22"/>
      <c r="QR1145" s="22"/>
      <c r="QS1145" s="22"/>
      <c r="QT1145" s="22"/>
      <c r="QU1145" s="22"/>
      <c r="QV1145" s="22"/>
      <c r="QW1145" s="22"/>
      <c r="QX1145" s="22"/>
      <c r="QY1145" s="22"/>
      <c r="QZ1145" s="22"/>
      <c r="RA1145" s="22"/>
      <c r="RB1145" s="22"/>
      <c r="RC1145" s="22"/>
      <c r="RD1145" s="22"/>
      <c r="RE1145" s="22"/>
      <c r="RF1145" s="22"/>
      <c r="RG1145" s="22"/>
      <c r="RH1145" s="22"/>
      <c r="RI1145" s="22"/>
      <c r="RJ1145" s="22"/>
      <c r="RK1145" s="22"/>
      <c r="RL1145" s="22"/>
      <c r="RM1145" s="22"/>
      <c r="RN1145" s="22"/>
      <c r="RO1145" s="22"/>
      <c r="RP1145" s="22"/>
      <c r="RQ1145" s="22"/>
      <c r="RR1145" s="22"/>
      <c r="RS1145" s="22"/>
      <c r="RT1145" s="22"/>
      <c r="RU1145" s="22"/>
      <c r="RV1145" s="22"/>
      <c r="RW1145" s="22"/>
      <c r="RX1145" s="22"/>
      <c r="RY1145" s="22"/>
      <c r="RZ1145" s="22"/>
      <c r="SA1145" s="22"/>
      <c r="SB1145" s="22"/>
      <c r="SC1145" s="22"/>
      <c r="SD1145" s="22"/>
      <c r="SE1145" s="22"/>
      <c r="SF1145" s="22"/>
      <c r="SG1145" s="22"/>
      <c r="SH1145" s="22"/>
      <c r="SI1145" s="22"/>
      <c r="SJ1145" s="22"/>
      <c r="SK1145" s="22"/>
      <c r="SL1145" s="22"/>
      <c r="SM1145" s="22"/>
      <c r="SN1145" s="22"/>
      <c r="SO1145" s="22"/>
      <c r="SP1145" s="22"/>
      <c r="SQ1145" s="22"/>
      <c r="SR1145" s="22"/>
      <c r="SS1145" s="22"/>
      <c r="ST1145" s="22"/>
      <c r="SU1145" s="22"/>
      <c r="SV1145" s="22"/>
      <c r="SW1145" s="22"/>
      <c r="SX1145" s="22"/>
      <c r="SY1145" s="22"/>
      <c r="SZ1145" s="22"/>
      <c r="TA1145" s="22"/>
      <c r="TB1145" s="22"/>
      <c r="TC1145" s="22"/>
      <c r="TD1145" s="22"/>
      <c r="TE1145" s="22"/>
      <c r="TF1145" s="22"/>
      <c r="TG1145" s="22"/>
      <c r="TH1145" s="22"/>
      <c r="TI1145" s="22"/>
      <c r="TJ1145" s="22"/>
      <c r="TK1145" s="22"/>
      <c r="TL1145" s="22"/>
      <c r="TM1145" s="22"/>
      <c r="TN1145" s="22"/>
      <c r="TO1145" s="22"/>
      <c r="TP1145" s="22"/>
      <c r="TQ1145" s="22"/>
      <c r="TR1145" s="22"/>
      <c r="TS1145" s="22"/>
      <c r="TT1145" s="22"/>
      <c r="TU1145" s="22"/>
      <c r="TV1145" s="22"/>
      <c r="TW1145" s="22"/>
      <c r="TX1145" s="22"/>
      <c r="TY1145" s="22"/>
      <c r="TZ1145" s="22"/>
      <c r="UA1145" s="22"/>
      <c r="UB1145" s="22"/>
      <c r="UC1145" s="22"/>
      <c r="UD1145" s="22"/>
      <c r="UE1145" s="22"/>
      <c r="UF1145" s="22"/>
      <c r="UG1145" s="23"/>
    </row>
    <row r="1146" spans="1:553" ht="29.25" customHeight="1">
      <c r="A1146" s="356"/>
      <c r="B1146" s="356"/>
      <c r="C1146" s="375" t="s">
        <v>52</v>
      </c>
      <c r="D1146" s="418" t="str">
        <f>D1199</f>
        <v>2</v>
      </c>
      <c r="E1146" s="418" t="str">
        <f>E1199</f>
        <v>342</v>
      </c>
      <c r="F1146" s="427"/>
      <c r="G1146" s="386" t="s">
        <v>935</v>
      </c>
      <c r="H1146" s="370"/>
      <c r="I1146" s="370">
        <f>I1199</f>
        <v>112.1</v>
      </c>
      <c r="J1146" s="368">
        <v>16000</v>
      </c>
      <c r="K1146" s="371"/>
      <c r="L1146" s="480">
        <f>I1146*J1146</f>
        <v>1793600</v>
      </c>
      <c r="M1146" s="356"/>
      <c r="N1146" s="356"/>
      <c r="O1146" s="356"/>
      <c r="P1146" s="356"/>
      <c r="Q1146" s="610"/>
      <c r="R1146" s="1226"/>
      <c r="S1146" s="308"/>
      <c r="T1146" s="308"/>
      <c r="U1146" s="308"/>
      <c r="V1146" s="308"/>
      <c r="W1146" s="308"/>
      <c r="X1146" s="308"/>
      <c r="Y1146" s="308"/>
      <c r="Z1146" s="604"/>
      <c r="AA1146" s="308"/>
      <c r="AB1146" s="308"/>
      <c r="AC1146" s="373"/>
      <c r="AD1146" s="373"/>
      <c r="AE1146" s="373"/>
      <c r="AF1146" s="373"/>
      <c r="AG1146" s="373"/>
      <c r="AH1146" s="373"/>
      <c r="AI1146" s="373"/>
      <c r="AJ1146" s="373"/>
      <c r="AK1146" s="389"/>
      <c r="AL1146" s="100"/>
      <c r="AM1146" s="27"/>
      <c r="AN1146" s="27"/>
      <c r="AO1146" s="27"/>
      <c r="AP1146" s="27"/>
      <c r="AQ1146" s="27"/>
      <c r="AR1146" s="27"/>
      <c r="AS1146" s="22"/>
      <c r="AT1146" s="22"/>
      <c r="AU1146" s="22"/>
      <c r="AV1146" s="22"/>
      <c r="AW1146" s="22"/>
      <c r="AX1146" s="22"/>
      <c r="AY1146" s="22"/>
      <c r="AZ1146" s="22"/>
      <c r="BA1146" s="22"/>
      <c r="BB1146" s="22"/>
      <c r="BC1146" s="22"/>
      <c r="BD1146" s="22"/>
      <c r="BE1146" s="22"/>
      <c r="BF1146" s="22"/>
      <c r="BG1146" s="22"/>
      <c r="BH1146" s="22"/>
      <c r="BI1146" s="22"/>
      <c r="BJ1146" s="22"/>
      <c r="BK1146" s="22"/>
      <c r="BL1146" s="22"/>
      <c r="BM1146" s="22"/>
      <c r="BN1146" s="22"/>
      <c r="BO1146" s="22"/>
      <c r="BP1146" s="22"/>
      <c r="BQ1146" s="22"/>
      <c r="BR1146" s="22"/>
      <c r="BS1146" s="22"/>
      <c r="BT1146" s="22"/>
      <c r="BU1146" s="22"/>
      <c r="BV1146" s="22"/>
      <c r="BW1146" s="22"/>
      <c r="BX1146" s="22"/>
      <c r="BY1146" s="22"/>
      <c r="BZ1146" s="22"/>
      <c r="CA1146" s="22"/>
      <c r="CB1146" s="22"/>
      <c r="CC1146" s="22"/>
      <c r="CD1146" s="22"/>
      <c r="CE1146" s="22"/>
      <c r="CF1146" s="22"/>
      <c r="CG1146" s="22"/>
      <c r="CH1146" s="22"/>
      <c r="CI1146" s="22"/>
      <c r="CJ1146" s="22"/>
      <c r="CK1146" s="22"/>
      <c r="CL1146" s="22"/>
      <c r="CM1146" s="22"/>
      <c r="CN1146" s="22"/>
      <c r="CO1146" s="22"/>
      <c r="CP1146" s="22"/>
      <c r="CQ1146" s="22"/>
      <c r="CR1146" s="22"/>
      <c r="CS1146" s="22"/>
      <c r="CT1146" s="22"/>
      <c r="CU1146" s="22"/>
      <c r="CV1146" s="22"/>
      <c r="CW1146" s="22"/>
      <c r="CX1146" s="22"/>
      <c r="CY1146" s="22"/>
      <c r="CZ1146" s="22"/>
      <c r="DA1146" s="22"/>
      <c r="DB1146" s="22"/>
      <c r="DC1146" s="22"/>
      <c r="DD1146" s="22"/>
      <c r="DE1146" s="22"/>
      <c r="DF1146" s="22"/>
      <c r="DG1146" s="22"/>
      <c r="DH1146" s="22"/>
      <c r="DI1146" s="22"/>
      <c r="DJ1146" s="22"/>
      <c r="DK1146" s="22"/>
      <c r="DL1146" s="22"/>
      <c r="DM1146" s="22"/>
      <c r="DN1146" s="22"/>
      <c r="DO1146" s="22"/>
      <c r="DP1146" s="22"/>
      <c r="DQ1146" s="22"/>
      <c r="DR1146" s="22"/>
      <c r="DS1146" s="22"/>
      <c r="DT1146" s="22"/>
      <c r="DU1146" s="22"/>
      <c r="DV1146" s="22"/>
      <c r="DW1146" s="22"/>
      <c r="DX1146" s="22"/>
      <c r="DY1146" s="22"/>
      <c r="DZ1146" s="22"/>
      <c r="EA1146" s="22"/>
      <c r="EB1146" s="22"/>
      <c r="EC1146" s="22"/>
      <c r="ED1146" s="22"/>
      <c r="EE1146" s="22"/>
      <c r="EF1146" s="22"/>
      <c r="EG1146" s="22"/>
      <c r="EH1146" s="22"/>
      <c r="EI1146" s="22"/>
      <c r="EJ1146" s="22"/>
      <c r="EK1146" s="22"/>
      <c r="EL1146" s="22"/>
      <c r="EM1146" s="22"/>
      <c r="EN1146" s="22"/>
      <c r="EO1146" s="22"/>
      <c r="EP1146" s="22"/>
      <c r="EQ1146" s="22"/>
      <c r="ER1146" s="22"/>
      <c r="ES1146" s="22"/>
      <c r="ET1146" s="22"/>
      <c r="EU1146" s="22"/>
      <c r="EV1146" s="22"/>
      <c r="EW1146" s="22"/>
      <c r="EX1146" s="22"/>
      <c r="EY1146" s="22"/>
      <c r="EZ1146" s="22"/>
      <c r="FA1146" s="22"/>
      <c r="FB1146" s="22"/>
      <c r="FC1146" s="22"/>
      <c r="FD1146" s="22"/>
      <c r="FE1146" s="22"/>
      <c r="FF1146" s="22"/>
      <c r="FG1146" s="22"/>
      <c r="FH1146" s="22"/>
      <c r="FI1146" s="22"/>
      <c r="FJ1146" s="22"/>
      <c r="FK1146" s="22"/>
      <c r="FL1146" s="22"/>
      <c r="FM1146" s="22"/>
      <c r="FN1146" s="22"/>
      <c r="FO1146" s="22"/>
      <c r="FP1146" s="22"/>
      <c r="FQ1146" s="22"/>
      <c r="FR1146" s="22"/>
      <c r="FS1146" s="22"/>
      <c r="FT1146" s="22"/>
      <c r="FU1146" s="22"/>
      <c r="FV1146" s="22"/>
      <c r="FW1146" s="22"/>
      <c r="FX1146" s="22"/>
      <c r="FY1146" s="22"/>
      <c r="FZ1146" s="22"/>
      <c r="GA1146" s="22"/>
      <c r="GB1146" s="22"/>
      <c r="GC1146" s="22"/>
      <c r="GD1146" s="22"/>
      <c r="GE1146" s="22"/>
      <c r="GF1146" s="22"/>
      <c r="GG1146" s="22"/>
      <c r="GH1146" s="22"/>
      <c r="GI1146" s="22"/>
      <c r="GJ1146" s="22"/>
      <c r="GK1146" s="22"/>
      <c r="GL1146" s="22"/>
      <c r="GM1146" s="22"/>
      <c r="GN1146" s="22"/>
      <c r="GO1146" s="22"/>
      <c r="GP1146" s="22"/>
      <c r="GQ1146" s="22"/>
      <c r="GR1146" s="22"/>
      <c r="GS1146" s="22"/>
      <c r="GT1146" s="22"/>
      <c r="GU1146" s="22"/>
      <c r="GV1146" s="22"/>
      <c r="GW1146" s="22"/>
      <c r="GX1146" s="22"/>
      <c r="GY1146" s="22"/>
      <c r="GZ1146" s="22"/>
      <c r="HA1146" s="22"/>
      <c r="HB1146" s="22"/>
      <c r="HC1146" s="22"/>
      <c r="HD1146" s="22"/>
      <c r="HE1146" s="22"/>
      <c r="HF1146" s="22"/>
      <c r="HG1146" s="22"/>
      <c r="HH1146" s="22"/>
      <c r="HI1146" s="22"/>
      <c r="HJ1146" s="22"/>
      <c r="HK1146" s="22"/>
      <c r="HL1146" s="22"/>
      <c r="HM1146" s="22"/>
      <c r="HN1146" s="22"/>
      <c r="HO1146" s="22"/>
      <c r="HP1146" s="22"/>
      <c r="HQ1146" s="22"/>
      <c r="HR1146" s="22"/>
      <c r="HS1146" s="22"/>
      <c r="HT1146" s="22"/>
      <c r="HU1146" s="22"/>
      <c r="HV1146" s="22"/>
      <c r="HW1146" s="22"/>
      <c r="HX1146" s="22"/>
      <c r="HY1146" s="22"/>
      <c r="HZ1146" s="22"/>
      <c r="IA1146" s="22"/>
      <c r="IB1146" s="22"/>
      <c r="IC1146" s="22"/>
      <c r="ID1146" s="22"/>
      <c r="IE1146" s="22"/>
      <c r="IF1146" s="22"/>
      <c r="IG1146" s="22"/>
      <c r="IH1146" s="22"/>
      <c r="II1146" s="22"/>
      <c r="IJ1146" s="22"/>
      <c r="IK1146" s="22"/>
      <c r="IL1146" s="22"/>
      <c r="IM1146" s="22"/>
      <c r="IN1146" s="22"/>
      <c r="IO1146" s="22"/>
      <c r="IP1146" s="22"/>
      <c r="IQ1146" s="22"/>
      <c r="IR1146" s="22"/>
      <c r="IS1146" s="22"/>
      <c r="IT1146" s="22"/>
      <c r="IU1146" s="22"/>
      <c r="IV1146" s="22"/>
      <c r="IW1146" s="22"/>
      <c r="IX1146" s="22"/>
      <c r="IY1146" s="22"/>
      <c r="IZ1146" s="22"/>
      <c r="JA1146" s="22"/>
      <c r="JB1146" s="22"/>
      <c r="JC1146" s="22"/>
      <c r="JD1146" s="22"/>
      <c r="JE1146" s="22"/>
      <c r="JF1146" s="22"/>
      <c r="JG1146" s="22"/>
      <c r="JH1146" s="22"/>
      <c r="JI1146" s="22"/>
      <c r="JJ1146" s="22"/>
      <c r="JK1146" s="22"/>
      <c r="JL1146" s="22"/>
      <c r="JM1146" s="22"/>
      <c r="JN1146" s="22"/>
      <c r="JO1146" s="22"/>
      <c r="JP1146" s="22"/>
      <c r="JQ1146" s="22"/>
      <c r="JR1146" s="22"/>
      <c r="JS1146" s="22"/>
      <c r="JT1146" s="22"/>
      <c r="JU1146" s="22"/>
      <c r="JV1146" s="22"/>
      <c r="JW1146" s="22"/>
      <c r="JX1146" s="22"/>
      <c r="JY1146" s="22"/>
      <c r="JZ1146" s="22"/>
      <c r="KA1146" s="22"/>
      <c r="KB1146" s="22"/>
      <c r="KC1146" s="22"/>
      <c r="KD1146" s="22"/>
      <c r="KE1146" s="22"/>
      <c r="KF1146" s="22"/>
      <c r="KG1146" s="22"/>
      <c r="KH1146" s="22"/>
      <c r="KI1146" s="22"/>
      <c r="KJ1146" s="22"/>
      <c r="KK1146" s="22"/>
      <c r="KL1146" s="22"/>
      <c r="KM1146" s="22"/>
      <c r="KN1146" s="22"/>
      <c r="KO1146" s="22"/>
      <c r="KP1146" s="22"/>
      <c r="KQ1146" s="22"/>
      <c r="KR1146" s="22"/>
      <c r="KS1146" s="22"/>
      <c r="KT1146" s="22"/>
      <c r="KU1146" s="22"/>
      <c r="KV1146" s="22"/>
      <c r="KW1146" s="22"/>
      <c r="KX1146" s="22"/>
      <c r="KY1146" s="22"/>
      <c r="KZ1146" s="22"/>
      <c r="LA1146" s="22"/>
      <c r="LB1146" s="22"/>
      <c r="LC1146" s="22"/>
      <c r="LD1146" s="22"/>
      <c r="LE1146" s="22"/>
      <c r="LF1146" s="22"/>
      <c r="LG1146" s="22"/>
      <c r="LH1146" s="22"/>
      <c r="LI1146" s="22"/>
      <c r="LJ1146" s="22"/>
      <c r="LK1146" s="22"/>
      <c r="LL1146" s="22"/>
      <c r="LM1146" s="22"/>
      <c r="LN1146" s="22"/>
      <c r="LO1146" s="22"/>
      <c r="LP1146" s="22"/>
      <c r="LQ1146" s="22"/>
      <c r="LR1146" s="22"/>
      <c r="LS1146" s="22"/>
      <c r="LT1146" s="22"/>
      <c r="LU1146" s="22"/>
      <c r="LV1146" s="22"/>
      <c r="LW1146" s="22"/>
      <c r="LX1146" s="22"/>
      <c r="LY1146" s="22"/>
      <c r="LZ1146" s="22"/>
      <c r="MA1146" s="22"/>
      <c r="MB1146" s="22"/>
      <c r="MC1146" s="22"/>
      <c r="MD1146" s="22"/>
      <c r="ME1146" s="22"/>
      <c r="MF1146" s="22"/>
      <c r="MG1146" s="22"/>
      <c r="MH1146" s="22"/>
      <c r="MI1146" s="22"/>
      <c r="MJ1146" s="22"/>
      <c r="MK1146" s="22"/>
      <c r="ML1146" s="22"/>
      <c r="MM1146" s="22"/>
      <c r="MN1146" s="22"/>
      <c r="MO1146" s="22"/>
      <c r="MP1146" s="22"/>
      <c r="MQ1146" s="22"/>
      <c r="MR1146" s="22"/>
      <c r="MS1146" s="22"/>
      <c r="MT1146" s="22"/>
      <c r="MU1146" s="22"/>
      <c r="MV1146" s="22"/>
      <c r="MW1146" s="22"/>
      <c r="MX1146" s="22"/>
      <c r="MY1146" s="22"/>
      <c r="MZ1146" s="22"/>
      <c r="NA1146" s="22"/>
      <c r="NB1146" s="22"/>
      <c r="NC1146" s="22"/>
      <c r="ND1146" s="22"/>
      <c r="NE1146" s="22"/>
      <c r="NF1146" s="22"/>
      <c r="NG1146" s="22"/>
      <c r="NH1146" s="22"/>
      <c r="NI1146" s="22"/>
      <c r="NJ1146" s="22"/>
      <c r="NK1146" s="22"/>
      <c r="NL1146" s="22"/>
      <c r="NM1146" s="22"/>
      <c r="NN1146" s="22"/>
      <c r="NO1146" s="22"/>
      <c r="NP1146" s="22"/>
      <c r="NQ1146" s="22"/>
      <c r="NR1146" s="22"/>
      <c r="NS1146" s="22"/>
      <c r="NT1146" s="22"/>
      <c r="NU1146" s="22"/>
      <c r="NV1146" s="22"/>
      <c r="NW1146" s="22"/>
      <c r="NX1146" s="22"/>
      <c r="NY1146" s="22"/>
      <c r="NZ1146" s="22"/>
      <c r="OA1146" s="22"/>
      <c r="OB1146" s="22"/>
      <c r="OC1146" s="22"/>
      <c r="OD1146" s="22"/>
      <c r="OE1146" s="22"/>
      <c r="OF1146" s="22"/>
      <c r="OG1146" s="22"/>
      <c r="OH1146" s="22"/>
      <c r="OI1146" s="22"/>
      <c r="OJ1146" s="22"/>
      <c r="OK1146" s="22"/>
      <c r="OL1146" s="22"/>
      <c r="OM1146" s="22"/>
      <c r="ON1146" s="22"/>
      <c r="OO1146" s="22"/>
      <c r="OP1146" s="22"/>
      <c r="OQ1146" s="22"/>
      <c r="OR1146" s="22"/>
      <c r="OS1146" s="22"/>
      <c r="OT1146" s="22"/>
      <c r="OU1146" s="22"/>
      <c r="OV1146" s="22"/>
      <c r="OW1146" s="22"/>
      <c r="OX1146" s="22"/>
      <c r="OY1146" s="22"/>
      <c r="OZ1146" s="22"/>
      <c r="PA1146" s="22"/>
      <c r="PB1146" s="22"/>
      <c r="PC1146" s="22"/>
      <c r="PD1146" s="22"/>
      <c r="PE1146" s="22"/>
      <c r="PF1146" s="22"/>
      <c r="PG1146" s="22"/>
      <c r="PH1146" s="22"/>
      <c r="PI1146" s="22"/>
      <c r="PJ1146" s="22"/>
      <c r="PK1146" s="22"/>
      <c r="PL1146" s="22"/>
      <c r="PM1146" s="22"/>
      <c r="PN1146" s="22"/>
      <c r="PO1146" s="22"/>
      <c r="PP1146" s="22"/>
      <c r="PQ1146" s="22"/>
      <c r="PR1146" s="22"/>
      <c r="PS1146" s="22"/>
      <c r="PT1146" s="22"/>
      <c r="PU1146" s="22"/>
      <c r="PV1146" s="22"/>
      <c r="PW1146" s="22"/>
      <c r="PX1146" s="22"/>
      <c r="PY1146" s="22"/>
      <c r="PZ1146" s="22"/>
      <c r="QA1146" s="22"/>
      <c r="QB1146" s="22"/>
      <c r="QC1146" s="22"/>
      <c r="QD1146" s="22"/>
      <c r="QE1146" s="22"/>
      <c r="QF1146" s="22"/>
      <c r="QG1146" s="22"/>
      <c r="QH1146" s="22"/>
      <c r="QI1146" s="22"/>
      <c r="QJ1146" s="22"/>
      <c r="QK1146" s="22"/>
      <c r="QL1146" s="22"/>
      <c r="QM1146" s="22"/>
      <c r="QN1146" s="22"/>
      <c r="QO1146" s="22"/>
      <c r="QP1146" s="22"/>
      <c r="QQ1146" s="22"/>
      <c r="QR1146" s="22"/>
      <c r="QS1146" s="22"/>
      <c r="QT1146" s="22"/>
      <c r="QU1146" s="22"/>
      <c r="QV1146" s="22"/>
      <c r="QW1146" s="22"/>
      <c r="QX1146" s="22"/>
      <c r="QY1146" s="22"/>
      <c r="QZ1146" s="22"/>
      <c r="RA1146" s="22"/>
      <c r="RB1146" s="22"/>
      <c r="RC1146" s="22"/>
      <c r="RD1146" s="22"/>
      <c r="RE1146" s="22"/>
      <c r="RF1146" s="22"/>
      <c r="RG1146" s="22"/>
      <c r="RH1146" s="22"/>
      <c r="RI1146" s="22"/>
      <c r="RJ1146" s="22"/>
      <c r="RK1146" s="22"/>
      <c r="RL1146" s="22"/>
      <c r="RM1146" s="22"/>
      <c r="RN1146" s="22"/>
      <c r="RO1146" s="22"/>
      <c r="RP1146" s="22"/>
      <c r="RQ1146" s="22"/>
      <c r="RR1146" s="22"/>
      <c r="RS1146" s="22"/>
      <c r="RT1146" s="22"/>
      <c r="RU1146" s="22"/>
      <c r="RV1146" s="22"/>
      <c r="RW1146" s="22"/>
      <c r="RX1146" s="22"/>
      <c r="RY1146" s="22"/>
      <c r="RZ1146" s="22"/>
      <c r="SA1146" s="22"/>
      <c r="SB1146" s="22"/>
      <c r="SC1146" s="22"/>
      <c r="SD1146" s="22"/>
      <c r="SE1146" s="22"/>
      <c r="SF1146" s="22"/>
      <c r="SG1146" s="22"/>
      <c r="SH1146" s="22"/>
      <c r="SI1146" s="22"/>
      <c r="SJ1146" s="22"/>
      <c r="SK1146" s="22"/>
      <c r="SL1146" s="22"/>
      <c r="SM1146" s="22"/>
      <c r="SN1146" s="22"/>
      <c r="SO1146" s="22"/>
      <c r="SP1146" s="22"/>
      <c r="SQ1146" s="22"/>
      <c r="SR1146" s="22"/>
      <c r="SS1146" s="22"/>
      <c r="ST1146" s="22"/>
      <c r="SU1146" s="22"/>
      <c r="SV1146" s="22"/>
      <c r="SW1146" s="22"/>
      <c r="SX1146" s="22"/>
      <c r="SY1146" s="22"/>
      <c r="SZ1146" s="22"/>
      <c r="TA1146" s="22"/>
      <c r="TB1146" s="22"/>
      <c r="TC1146" s="22"/>
      <c r="TD1146" s="22"/>
      <c r="TE1146" s="22"/>
      <c r="TF1146" s="22"/>
      <c r="TG1146" s="22"/>
      <c r="TH1146" s="22"/>
      <c r="TI1146" s="22"/>
      <c r="TJ1146" s="22"/>
      <c r="TK1146" s="22"/>
      <c r="TL1146" s="22"/>
      <c r="TM1146" s="22"/>
      <c r="TN1146" s="22"/>
      <c r="TO1146" s="22"/>
      <c r="TP1146" s="22"/>
      <c r="TQ1146" s="22"/>
      <c r="TR1146" s="22"/>
      <c r="TS1146" s="22"/>
      <c r="TT1146" s="22"/>
      <c r="TU1146" s="22"/>
      <c r="TV1146" s="22"/>
      <c r="TW1146" s="22"/>
      <c r="TX1146" s="22"/>
      <c r="TY1146" s="22"/>
      <c r="TZ1146" s="22"/>
      <c r="UA1146" s="22"/>
      <c r="UB1146" s="22"/>
      <c r="UC1146" s="22"/>
      <c r="UD1146" s="22"/>
      <c r="UE1146" s="22"/>
      <c r="UF1146" s="22"/>
      <c r="UG1146" s="23"/>
    </row>
    <row r="1147" spans="1:553" ht="29.25" customHeight="1">
      <c r="A1147" s="356"/>
      <c r="B1147" s="356"/>
      <c r="C1147" s="375" t="s">
        <v>52</v>
      </c>
      <c r="D1147" s="418" t="str">
        <f>D1201</f>
        <v>2</v>
      </c>
      <c r="E1147" s="418" t="str">
        <f>E1202</f>
        <v>382</v>
      </c>
      <c r="F1147" s="427"/>
      <c r="G1147" s="386" t="s">
        <v>935</v>
      </c>
      <c r="H1147" s="370"/>
      <c r="I1147" s="370">
        <f>I1201</f>
        <v>605.1</v>
      </c>
      <c r="J1147" s="368">
        <v>16000</v>
      </c>
      <c r="K1147" s="371"/>
      <c r="L1147" s="480">
        <f>I1147*J1147</f>
        <v>9681600</v>
      </c>
      <c r="M1147" s="356"/>
      <c r="N1147" s="356"/>
      <c r="O1147" s="356"/>
      <c r="P1147" s="356"/>
      <c r="Q1147" s="610"/>
      <c r="R1147" s="1226"/>
      <c r="S1147" s="308"/>
      <c r="T1147" s="308"/>
      <c r="U1147" s="308"/>
      <c r="V1147" s="308"/>
      <c r="W1147" s="308"/>
      <c r="X1147" s="308"/>
      <c r="Y1147" s="308"/>
      <c r="Z1147" s="604"/>
      <c r="AA1147" s="308"/>
      <c r="AB1147" s="308"/>
      <c r="AC1147" s="373"/>
      <c r="AD1147" s="373"/>
      <c r="AE1147" s="373"/>
      <c r="AF1147" s="373"/>
      <c r="AG1147" s="373"/>
      <c r="AH1147" s="373"/>
      <c r="AI1147" s="373"/>
      <c r="AJ1147" s="373"/>
      <c r="AK1147" s="389"/>
      <c r="AL1147" s="100"/>
      <c r="AM1147" s="27"/>
      <c r="AN1147" s="27"/>
      <c r="AO1147" s="27"/>
      <c r="AP1147" s="27"/>
      <c r="AQ1147" s="27"/>
      <c r="AR1147" s="27"/>
      <c r="AS1147" s="22"/>
      <c r="AT1147" s="22"/>
      <c r="AU1147" s="22"/>
      <c r="AV1147" s="22"/>
      <c r="AW1147" s="22"/>
      <c r="AX1147" s="22"/>
      <c r="AY1147" s="22"/>
      <c r="AZ1147" s="22"/>
      <c r="BA1147" s="22"/>
      <c r="BB1147" s="22"/>
      <c r="BC1147" s="22"/>
      <c r="BD1147" s="22"/>
      <c r="BE1147" s="22"/>
      <c r="BF1147" s="22"/>
      <c r="BG1147" s="22"/>
      <c r="BH1147" s="22"/>
      <c r="BI1147" s="22"/>
      <c r="BJ1147" s="22"/>
      <c r="BK1147" s="22"/>
      <c r="BL1147" s="22"/>
      <c r="BM1147" s="22"/>
      <c r="BN1147" s="22"/>
      <c r="BO1147" s="22"/>
      <c r="BP1147" s="22"/>
      <c r="BQ1147" s="22"/>
      <c r="BR1147" s="22"/>
      <c r="BS1147" s="22"/>
      <c r="BT1147" s="22"/>
      <c r="BU1147" s="22"/>
      <c r="BV1147" s="22"/>
      <c r="BW1147" s="22"/>
      <c r="BX1147" s="22"/>
      <c r="BY1147" s="22"/>
      <c r="BZ1147" s="22"/>
      <c r="CA1147" s="22"/>
      <c r="CB1147" s="22"/>
      <c r="CC1147" s="22"/>
      <c r="CD1147" s="22"/>
      <c r="CE1147" s="22"/>
      <c r="CF1147" s="22"/>
      <c r="CG1147" s="22"/>
      <c r="CH1147" s="22"/>
      <c r="CI1147" s="22"/>
      <c r="CJ1147" s="22"/>
      <c r="CK1147" s="22"/>
      <c r="CL1147" s="22"/>
      <c r="CM1147" s="22"/>
      <c r="CN1147" s="22"/>
      <c r="CO1147" s="22"/>
      <c r="CP1147" s="22"/>
      <c r="CQ1147" s="22"/>
      <c r="CR1147" s="22"/>
      <c r="CS1147" s="22"/>
      <c r="CT1147" s="22"/>
      <c r="CU1147" s="22"/>
      <c r="CV1147" s="22"/>
      <c r="CW1147" s="22"/>
      <c r="CX1147" s="22"/>
      <c r="CY1147" s="22"/>
      <c r="CZ1147" s="22"/>
      <c r="DA1147" s="22"/>
      <c r="DB1147" s="22"/>
      <c r="DC1147" s="22"/>
      <c r="DD1147" s="22"/>
      <c r="DE1147" s="22"/>
      <c r="DF1147" s="22"/>
      <c r="DG1147" s="22"/>
      <c r="DH1147" s="22"/>
      <c r="DI1147" s="22"/>
      <c r="DJ1147" s="22"/>
      <c r="DK1147" s="22"/>
      <c r="DL1147" s="22"/>
      <c r="DM1147" s="22"/>
      <c r="DN1147" s="22"/>
      <c r="DO1147" s="22"/>
      <c r="DP1147" s="22"/>
      <c r="DQ1147" s="22"/>
      <c r="DR1147" s="22"/>
      <c r="DS1147" s="22"/>
      <c r="DT1147" s="22"/>
      <c r="DU1147" s="22"/>
      <c r="DV1147" s="22"/>
      <c r="DW1147" s="22"/>
      <c r="DX1147" s="22"/>
      <c r="DY1147" s="22"/>
      <c r="DZ1147" s="22"/>
      <c r="EA1147" s="22"/>
      <c r="EB1147" s="22"/>
      <c r="EC1147" s="22"/>
      <c r="ED1147" s="22"/>
      <c r="EE1147" s="22"/>
      <c r="EF1147" s="22"/>
      <c r="EG1147" s="22"/>
      <c r="EH1147" s="22"/>
      <c r="EI1147" s="22"/>
      <c r="EJ1147" s="22"/>
      <c r="EK1147" s="22"/>
      <c r="EL1147" s="22"/>
      <c r="EM1147" s="22"/>
      <c r="EN1147" s="22"/>
      <c r="EO1147" s="22"/>
      <c r="EP1147" s="22"/>
      <c r="EQ1147" s="22"/>
      <c r="ER1147" s="22"/>
      <c r="ES1147" s="22"/>
      <c r="ET1147" s="22"/>
      <c r="EU1147" s="22"/>
      <c r="EV1147" s="22"/>
      <c r="EW1147" s="22"/>
      <c r="EX1147" s="22"/>
      <c r="EY1147" s="22"/>
      <c r="EZ1147" s="22"/>
      <c r="FA1147" s="22"/>
      <c r="FB1147" s="22"/>
      <c r="FC1147" s="22"/>
      <c r="FD1147" s="22"/>
      <c r="FE1147" s="22"/>
      <c r="FF1147" s="22"/>
      <c r="FG1147" s="22"/>
      <c r="FH1147" s="22"/>
      <c r="FI1147" s="22"/>
      <c r="FJ1147" s="22"/>
      <c r="FK1147" s="22"/>
      <c r="FL1147" s="22"/>
      <c r="FM1147" s="22"/>
      <c r="FN1147" s="22"/>
      <c r="FO1147" s="22"/>
      <c r="FP1147" s="22"/>
      <c r="FQ1147" s="22"/>
      <c r="FR1147" s="22"/>
      <c r="FS1147" s="22"/>
      <c r="FT1147" s="22"/>
      <c r="FU1147" s="22"/>
      <c r="FV1147" s="22"/>
      <c r="FW1147" s="22"/>
      <c r="FX1147" s="22"/>
      <c r="FY1147" s="22"/>
      <c r="FZ1147" s="22"/>
      <c r="GA1147" s="22"/>
      <c r="GB1147" s="22"/>
      <c r="GC1147" s="22"/>
      <c r="GD1147" s="22"/>
      <c r="GE1147" s="22"/>
      <c r="GF1147" s="22"/>
      <c r="GG1147" s="22"/>
      <c r="GH1147" s="22"/>
      <c r="GI1147" s="22"/>
      <c r="GJ1147" s="22"/>
      <c r="GK1147" s="22"/>
      <c r="GL1147" s="22"/>
      <c r="GM1147" s="22"/>
      <c r="GN1147" s="22"/>
      <c r="GO1147" s="22"/>
      <c r="GP1147" s="22"/>
      <c r="GQ1147" s="22"/>
      <c r="GR1147" s="22"/>
      <c r="GS1147" s="22"/>
      <c r="GT1147" s="22"/>
      <c r="GU1147" s="22"/>
      <c r="GV1147" s="22"/>
      <c r="GW1147" s="22"/>
      <c r="GX1147" s="22"/>
      <c r="GY1147" s="22"/>
      <c r="GZ1147" s="22"/>
      <c r="HA1147" s="22"/>
      <c r="HB1147" s="22"/>
      <c r="HC1147" s="22"/>
      <c r="HD1147" s="22"/>
      <c r="HE1147" s="22"/>
      <c r="HF1147" s="22"/>
      <c r="HG1147" s="22"/>
      <c r="HH1147" s="22"/>
      <c r="HI1147" s="22"/>
      <c r="HJ1147" s="22"/>
      <c r="HK1147" s="22"/>
      <c r="HL1147" s="22"/>
      <c r="HM1147" s="22"/>
      <c r="HN1147" s="22"/>
      <c r="HO1147" s="22"/>
      <c r="HP1147" s="22"/>
      <c r="HQ1147" s="22"/>
      <c r="HR1147" s="22"/>
      <c r="HS1147" s="22"/>
      <c r="HT1147" s="22"/>
      <c r="HU1147" s="22"/>
      <c r="HV1147" s="22"/>
      <c r="HW1147" s="22"/>
      <c r="HX1147" s="22"/>
      <c r="HY1147" s="22"/>
      <c r="HZ1147" s="22"/>
      <c r="IA1147" s="22"/>
      <c r="IB1147" s="22"/>
      <c r="IC1147" s="22"/>
      <c r="ID1147" s="22"/>
      <c r="IE1147" s="22"/>
      <c r="IF1147" s="22"/>
      <c r="IG1147" s="22"/>
      <c r="IH1147" s="22"/>
      <c r="II1147" s="22"/>
      <c r="IJ1147" s="22"/>
      <c r="IK1147" s="22"/>
      <c r="IL1147" s="22"/>
      <c r="IM1147" s="22"/>
      <c r="IN1147" s="22"/>
      <c r="IO1147" s="22"/>
      <c r="IP1147" s="22"/>
      <c r="IQ1147" s="22"/>
      <c r="IR1147" s="22"/>
      <c r="IS1147" s="22"/>
      <c r="IT1147" s="22"/>
      <c r="IU1147" s="22"/>
      <c r="IV1147" s="22"/>
      <c r="IW1147" s="22"/>
      <c r="IX1147" s="22"/>
      <c r="IY1147" s="22"/>
      <c r="IZ1147" s="22"/>
      <c r="JA1147" s="22"/>
      <c r="JB1147" s="22"/>
      <c r="JC1147" s="22"/>
      <c r="JD1147" s="22"/>
      <c r="JE1147" s="22"/>
      <c r="JF1147" s="22"/>
      <c r="JG1147" s="22"/>
      <c r="JH1147" s="22"/>
      <c r="JI1147" s="22"/>
      <c r="JJ1147" s="22"/>
      <c r="JK1147" s="22"/>
      <c r="JL1147" s="22"/>
      <c r="JM1147" s="22"/>
      <c r="JN1147" s="22"/>
      <c r="JO1147" s="22"/>
      <c r="JP1147" s="22"/>
      <c r="JQ1147" s="22"/>
      <c r="JR1147" s="22"/>
      <c r="JS1147" s="22"/>
      <c r="JT1147" s="22"/>
      <c r="JU1147" s="22"/>
      <c r="JV1147" s="22"/>
      <c r="JW1147" s="22"/>
      <c r="JX1147" s="22"/>
      <c r="JY1147" s="22"/>
      <c r="JZ1147" s="22"/>
      <c r="KA1147" s="22"/>
      <c r="KB1147" s="22"/>
      <c r="KC1147" s="22"/>
      <c r="KD1147" s="22"/>
      <c r="KE1147" s="22"/>
      <c r="KF1147" s="22"/>
      <c r="KG1147" s="22"/>
      <c r="KH1147" s="22"/>
      <c r="KI1147" s="22"/>
      <c r="KJ1147" s="22"/>
      <c r="KK1147" s="22"/>
      <c r="KL1147" s="22"/>
      <c r="KM1147" s="22"/>
      <c r="KN1147" s="22"/>
      <c r="KO1147" s="22"/>
      <c r="KP1147" s="22"/>
      <c r="KQ1147" s="22"/>
      <c r="KR1147" s="22"/>
      <c r="KS1147" s="22"/>
      <c r="KT1147" s="22"/>
      <c r="KU1147" s="22"/>
      <c r="KV1147" s="22"/>
      <c r="KW1147" s="22"/>
      <c r="KX1147" s="22"/>
      <c r="KY1147" s="22"/>
      <c r="KZ1147" s="22"/>
      <c r="LA1147" s="22"/>
      <c r="LB1147" s="22"/>
      <c r="LC1147" s="22"/>
      <c r="LD1147" s="22"/>
      <c r="LE1147" s="22"/>
      <c r="LF1147" s="22"/>
      <c r="LG1147" s="22"/>
      <c r="LH1147" s="22"/>
      <c r="LI1147" s="22"/>
      <c r="LJ1147" s="22"/>
      <c r="LK1147" s="22"/>
      <c r="LL1147" s="22"/>
      <c r="LM1147" s="22"/>
      <c r="LN1147" s="22"/>
      <c r="LO1147" s="22"/>
      <c r="LP1147" s="22"/>
      <c r="LQ1147" s="22"/>
      <c r="LR1147" s="22"/>
      <c r="LS1147" s="22"/>
      <c r="LT1147" s="22"/>
      <c r="LU1147" s="22"/>
      <c r="LV1147" s="22"/>
      <c r="LW1147" s="22"/>
      <c r="LX1147" s="22"/>
      <c r="LY1147" s="22"/>
      <c r="LZ1147" s="22"/>
      <c r="MA1147" s="22"/>
      <c r="MB1147" s="22"/>
      <c r="MC1147" s="22"/>
      <c r="MD1147" s="22"/>
      <c r="ME1147" s="22"/>
      <c r="MF1147" s="22"/>
      <c r="MG1147" s="22"/>
      <c r="MH1147" s="22"/>
      <c r="MI1147" s="22"/>
      <c r="MJ1147" s="22"/>
      <c r="MK1147" s="22"/>
      <c r="ML1147" s="22"/>
      <c r="MM1147" s="22"/>
      <c r="MN1147" s="22"/>
      <c r="MO1147" s="22"/>
      <c r="MP1147" s="22"/>
      <c r="MQ1147" s="22"/>
      <c r="MR1147" s="22"/>
      <c r="MS1147" s="22"/>
      <c r="MT1147" s="22"/>
      <c r="MU1147" s="22"/>
      <c r="MV1147" s="22"/>
      <c r="MW1147" s="22"/>
      <c r="MX1147" s="22"/>
      <c r="MY1147" s="22"/>
      <c r="MZ1147" s="22"/>
      <c r="NA1147" s="22"/>
      <c r="NB1147" s="22"/>
      <c r="NC1147" s="22"/>
      <c r="ND1147" s="22"/>
      <c r="NE1147" s="22"/>
      <c r="NF1147" s="22"/>
      <c r="NG1147" s="22"/>
      <c r="NH1147" s="22"/>
      <c r="NI1147" s="22"/>
      <c r="NJ1147" s="22"/>
      <c r="NK1147" s="22"/>
      <c r="NL1147" s="22"/>
      <c r="NM1147" s="22"/>
      <c r="NN1147" s="22"/>
      <c r="NO1147" s="22"/>
      <c r="NP1147" s="22"/>
      <c r="NQ1147" s="22"/>
      <c r="NR1147" s="22"/>
      <c r="NS1147" s="22"/>
      <c r="NT1147" s="22"/>
      <c r="NU1147" s="22"/>
      <c r="NV1147" s="22"/>
      <c r="NW1147" s="22"/>
      <c r="NX1147" s="22"/>
      <c r="NY1147" s="22"/>
      <c r="NZ1147" s="22"/>
      <c r="OA1147" s="22"/>
      <c r="OB1147" s="22"/>
      <c r="OC1147" s="22"/>
      <c r="OD1147" s="22"/>
      <c r="OE1147" s="22"/>
      <c r="OF1147" s="22"/>
      <c r="OG1147" s="22"/>
      <c r="OH1147" s="22"/>
      <c r="OI1147" s="22"/>
      <c r="OJ1147" s="22"/>
      <c r="OK1147" s="22"/>
      <c r="OL1147" s="22"/>
      <c r="OM1147" s="22"/>
      <c r="ON1147" s="22"/>
      <c r="OO1147" s="22"/>
      <c r="OP1147" s="22"/>
      <c r="OQ1147" s="22"/>
      <c r="OR1147" s="22"/>
      <c r="OS1147" s="22"/>
      <c r="OT1147" s="22"/>
      <c r="OU1147" s="22"/>
      <c r="OV1147" s="22"/>
      <c r="OW1147" s="22"/>
      <c r="OX1147" s="22"/>
      <c r="OY1147" s="22"/>
      <c r="OZ1147" s="22"/>
      <c r="PA1147" s="22"/>
      <c r="PB1147" s="22"/>
      <c r="PC1147" s="22"/>
      <c r="PD1147" s="22"/>
      <c r="PE1147" s="22"/>
      <c r="PF1147" s="22"/>
      <c r="PG1147" s="22"/>
      <c r="PH1147" s="22"/>
      <c r="PI1147" s="22"/>
      <c r="PJ1147" s="22"/>
      <c r="PK1147" s="22"/>
      <c r="PL1147" s="22"/>
      <c r="PM1147" s="22"/>
      <c r="PN1147" s="22"/>
      <c r="PO1147" s="22"/>
      <c r="PP1147" s="22"/>
      <c r="PQ1147" s="22"/>
      <c r="PR1147" s="22"/>
      <c r="PS1147" s="22"/>
      <c r="PT1147" s="22"/>
      <c r="PU1147" s="22"/>
      <c r="PV1147" s="22"/>
      <c r="PW1147" s="22"/>
      <c r="PX1147" s="22"/>
      <c r="PY1147" s="22"/>
      <c r="PZ1147" s="22"/>
      <c r="QA1147" s="22"/>
      <c r="QB1147" s="22"/>
      <c r="QC1147" s="22"/>
      <c r="QD1147" s="22"/>
      <c r="QE1147" s="22"/>
      <c r="QF1147" s="22"/>
      <c r="QG1147" s="22"/>
      <c r="QH1147" s="22"/>
      <c r="QI1147" s="22"/>
      <c r="QJ1147" s="22"/>
      <c r="QK1147" s="22"/>
      <c r="QL1147" s="22"/>
      <c r="QM1147" s="22"/>
      <c r="QN1147" s="22"/>
      <c r="QO1147" s="22"/>
      <c r="QP1147" s="22"/>
      <c r="QQ1147" s="22"/>
      <c r="QR1147" s="22"/>
      <c r="QS1147" s="22"/>
      <c r="QT1147" s="22"/>
      <c r="QU1147" s="22"/>
      <c r="QV1147" s="22"/>
      <c r="QW1147" s="22"/>
      <c r="QX1147" s="22"/>
      <c r="QY1147" s="22"/>
      <c r="QZ1147" s="22"/>
      <c r="RA1147" s="22"/>
      <c r="RB1147" s="22"/>
      <c r="RC1147" s="22"/>
      <c r="RD1147" s="22"/>
      <c r="RE1147" s="22"/>
      <c r="RF1147" s="22"/>
      <c r="RG1147" s="22"/>
      <c r="RH1147" s="22"/>
      <c r="RI1147" s="22"/>
      <c r="RJ1147" s="22"/>
      <c r="RK1147" s="22"/>
      <c r="RL1147" s="22"/>
      <c r="RM1147" s="22"/>
      <c r="RN1147" s="22"/>
      <c r="RO1147" s="22"/>
      <c r="RP1147" s="22"/>
      <c r="RQ1147" s="22"/>
      <c r="RR1147" s="22"/>
      <c r="RS1147" s="22"/>
      <c r="RT1147" s="22"/>
      <c r="RU1147" s="22"/>
      <c r="RV1147" s="22"/>
      <c r="RW1147" s="22"/>
      <c r="RX1147" s="22"/>
      <c r="RY1147" s="22"/>
      <c r="RZ1147" s="22"/>
      <c r="SA1147" s="22"/>
      <c r="SB1147" s="22"/>
      <c r="SC1147" s="22"/>
      <c r="SD1147" s="22"/>
      <c r="SE1147" s="22"/>
      <c r="SF1147" s="22"/>
      <c r="SG1147" s="22"/>
      <c r="SH1147" s="22"/>
      <c r="SI1147" s="22"/>
      <c r="SJ1147" s="22"/>
      <c r="SK1147" s="22"/>
      <c r="SL1147" s="22"/>
      <c r="SM1147" s="22"/>
      <c r="SN1147" s="22"/>
      <c r="SO1147" s="22"/>
      <c r="SP1147" s="22"/>
      <c r="SQ1147" s="22"/>
      <c r="SR1147" s="22"/>
      <c r="SS1147" s="22"/>
      <c r="ST1147" s="22"/>
      <c r="SU1147" s="22"/>
      <c r="SV1147" s="22"/>
      <c r="SW1147" s="22"/>
      <c r="SX1147" s="22"/>
      <c r="SY1147" s="22"/>
      <c r="SZ1147" s="22"/>
      <c r="TA1147" s="22"/>
      <c r="TB1147" s="22"/>
      <c r="TC1147" s="22"/>
      <c r="TD1147" s="22"/>
      <c r="TE1147" s="22"/>
      <c r="TF1147" s="22"/>
      <c r="TG1147" s="22"/>
      <c r="TH1147" s="22"/>
      <c r="TI1147" s="22"/>
      <c r="TJ1147" s="22"/>
      <c r="TK1147" s="22"/>
      <c r="TL1147" s="22"/>
      <c r="TM1147" s="22"/>
      <c r="TN1147" s="22"/>
      <c r="TO1147" s="22"/>
      <c r="TP1147" s="22"/>
      <c r="TQ1147" s="22"/>
      <c r="TR1147" s="22"/>
      <c r="TS1147" s="22"/>
      <c r="TT1147" s="22"/>
      <c r="TU1147" s="22"/>
      <c r="TV1147" s="22"/>
      <c r="TW1147" s="22"/>
      <c r="TX1147" s="22"/>
      <c r="TY1147" s="22"/>
      <c r="TZ1147" s="22"/>
      <c r="UA1147" s="22"/>
      <c r="UB1147" s="22"/>
      <c r="UC1147" s="22"/>
      <c r="UD1147" s="22"/>
      <c r="UE1147" s="22"/>
      <c r="UF1147" s="22"/>
      <c r="UG1147" s="23"/>
    </row>
    <row r="1148" spans="1:553" ht="29.25" customHeight="1">
      <c r="A1148" s="356"/>
      <c r="B1148" s="356"/>
      <c r="C1148" s="1539" t="s">
        <v>665</v>
      </c>
      <c r="D1148" s="1540"/>
      <c r="E1148" s="1540"/>
      <c r="F1148" s="1541"/>
      <c r="G1148" s="366"/>
      <c r="H1148" s="370"/>
      <c r="I1148" s="370"/>
      <c r="J1148" s="368"/>
      <c r="K1148" s="371"/>
      <c r="L1148" s="645"/>
      <c r="M1148" s="356"/>
      <c r="N1148" s="356"/>
      <c r="O1148" s="356"/>
      <c r="P1148" s="356"/>
      <c r="Q1148" s="610"/>
      <c r="R1148" s="1226"/>
      <c r="S1148" s="308"/>
      <c r="T1148" s="308"/>
      <c r="U1148" s="308"/>
      <c r="V1148" s="308"/>
      <c r="W1148" s="308"/>
      <c r="X1148" s="308"/>
      <c r="Y1148" s="308"/>
      <c r="Z1148" s="604"/>
      <c r="AA1148" s="308"/>
      <c r="AB1148" s="308"/>
      <c r="AC1148" s="373"/>
      <c r="AD1148" s="373"/>
      <c r="AE1148" s="373"/>
      <c r="AF1148" s="373"/>
      <c r="AG1148" s="373"/>
      <c r="AH1148" s="373"/>
      <c r="AI1148" s="373"/>
      <c r="AJ1148" s="373"/>
      <c r="AK1148" s="389"/>
      <c r="AL1148" s="100"/>
      <c r="AM1148" s="100"/>
      <c r="AN1148" s="100"/>
      <c r="AO1148" s="100"/>
      <c r="AP1148" s="100"/>
      <c r="AQ1148" s="100"/>
      <c r="AR1148" s="100"/>
      <c r="AS1148" s="101"/>
      <c r="AT1148" s="101"/>
      <c r="AU1148" s="101"/>
      <c r="AV1148" s="101"/>
      <c r="AW1148" s="101"/>
      <c r="AX1148" s="101"/>
      <c r="AY1148" s="101"/>
      <c r="AZ1148" s="101"/>
      <c r="BA1148" s="101"/>
      <c r="BB1148" s="101"/>
      <c r="BC1148" s="101"/>
      <c r="BD1148" s="101"/>
      <c r="BE1148" s="101"/>
      <c r="BF1148" s="101"/>
      <c r="BG1148" s="101"/>
      <c r="BH1148" s="101"/>
      <c r="BI1148" s="101"/>
      <c r="BJ1148" s="101"/>
      <c r="BK1148" s="101"/>
      <c r="BL1148" s="101"/>
      <c r="BM1148" s="101"/>
      <c r="BN1148" s="101"/>
      <c r="BO1148" s="101"/>
      <c r="BP1148" s="101"/>
      <c r="BQ1148" s="101"/>
      <c r="BR1148" s="101"/>
      <c r="BS1148" s="101"/>
      <c r="BT1148" s="101"/>
      <c r="BU1148" s="101"/>
      <c r="BV1148" s="101"/>
      <c r="BW1148" s="101"/>
      <c r="BX1148" s="101"/>
      <c r="BY1148" s="101"/>
      <c r="BZ1148" s="101"/>
      <c r="CA1148" s="101"/>
      <c r="CB1148" s="101"/>
      <c r="CC1148" s="101"/>
      <c r="CD1148" s="101"/>
      <c r="CE1148" s="101"/>
      <c r="CF1148" s="101"/>
      <c r="CG1148" s="101"/>
      <c r="CH1148" s="101"/>
      <c r="CI1148" s="101"/>
      <c r="CJ1148" s="101"/>
      <c r="CK1148" s="101"/>
      <c r="CL1148" s="101"/>
      <c r="CM1148" s="101"/>
      <c r="CN1148" s="101"/>
      <c r="CO1148" s="101"/>
      <c r="CP1148" s="101"/>
      <c r="CQ1148" s="101"/>
      <c r="CR1148" s="101"/>
      <c r="CS1148" s="101"/>
      <c r="CT1148" s="101"/>
      <c r="CU1148" s="101"/>
      <c r="CV1148" s="101"/>
      <c r="CW1148" s="101"/>
      <c r="CX1148" s="101"/>
      <c r="CY1148" s="101"/>
      <c r="CZ1148" s="101"/>
      <c r="DA1148" s="101"/>
      <c r="DB1148" s="101"/>
      <c r="DC1148" s="101"/>
      <c r="DD1148" s="101"/>
      <c r="DE1148" s="101"/>
      <c r="DF1148" s="101"/>
      <c r="DG1148" s="101"/>
      <c r="DH1148" s="101"/>
      <c r="DI1148" s="101"/>
      <c r="DJ1148" s="101"/>
      <c r="DK1148" s="101"/>
      <c r="DL1148" s="101"/>
      <c r="DM1148" s="101"/>
      <c r="DN1148" s="101"/>
      <c r="DO1148" s="101"/>
      <c r="DP1148" s="101"/>
      <c r="DQ1148" s="101"/>
      <c r="DR1148" s="101"/>
      <c r="DS1148" s="101"/>
      <c r="DT1148" s="101"/>
      <c r="DU1148" s="101"/>
      <c r="DV1148" s="101"/>
      <c r="DW1148" s="101"/>
      <c r="DX1148" s="101"/>
      <c r="DY1148" s="101"/>
      <c r="DZ1148" s="101"/>
      <c r="EA1148" s="101"/>
      <c r="EB1148" s="101"/>
      <c r="EC1148" s="101"/>
      <c r="ED1148" s="101"/>
      <c r="EE1148" s="101"/>
      <c r="EF1148" s="101"/>
      <c r="EG1148" s="101"/>
      <c r="EH1148" s="101"/>
      <c r="EI1148" s="101"/>
      <c r="EJ1148" s="101"/>
      <c r="EK1148" s="101"/>
      <c r="EL1148" s="101"/>
      <c r="EM1148" s="101"/>
      <c r="EN1148" s="101"/>
      <c r="EO1148" s="101"/>
      <c r="EP1148" s="101"/>
      <c r="EQ1148" s="101"/>
      <c r="ER1148" s="101"/>
      <c r="ES1148" s="101"/>
      <c r="ET1148" s="101"/>
      <c r="EU1148" s="101"/>
      <c r="EV1148" s="101"/>
      <c r="EW1148" s="101"/>
      <c r="EX1148" s="101"/>
      <c r="EY1148" s="101"/>
      <c r="EZ1148" s="101"/>
      <c r="FA1148" s="101"/>
      <c r="FB1148" s="101"/>
      <c r="FC1148" s="101"/>
      <c r="FD1148" s="101"/>
      <c r="FE1148" s="101"/>
      <c r="FF1148" s="101"/>
      <c r="FG1148" s="101"/>
      <c r="FH1148" s="101"/>
      <c r="FI1148" s="101"/>
      <c r="FJ1148" s="101"/>
      <c r="FK1148" s="101"/>
      <c r="FL1148" s="101"/>
      <c r="FM1148" s="101"/>
      <c r="FN1148" s="101"/>
      <c r="FO1148" s="101"/>
      <c r="FP1148" s="101"/>
      <c r="FQ1148" s="101"/>
      <c r="FR1148" s="101"/>
      <c r="FS1148" s="101"/>
      <c r="FT1148" s="101"/>
      <c r="FU1148" s="101"/>
      <c r="FV1148" s="101"/>
      <c r="FW1148" s="101"/>
      <c r="FX1148" s="101"/>
      <c r="FY1148" s="101"/>
      <c r="FZ1148" s="101"/>
      <c r="GA1148" s="101"/>
      <c r="GB1148" s="101"/>
      <c r="GC1148" s="101"/>
      <c r="GD1148" s="101"/>
      <c r="GE1148" s="101"/>
      <c r="GF1148" s="101"/>
      <c r="GG1148" s="101"/>
      <c r="GH1148" s="101"/>
      <c r="GI1148" s="101"/>
      <c r="GJ1148" s="101"/>
      <c r="GK1148" s="101"/>
      <c r="GL1148" s="101"/>
      <c r="GM1148" s="101"/>
      <c r="GN1148" s="101"/>
      <c r="GO1148" s="101"/>
      <c r="GP1148" s="101"/>
      <c r="GQ1148" s="101"/>
      <c r="GR1148" s="101"/>
      <c r="GS1148" s="101"/>
      <c r="GT1148" s="101"/>
      <c r="GU1148" s="101"/>
      <c r="GV1148" s="101"/>
      <c r="GW1148" s="101"/>
      <c r="GX1148" s="101"/>
      <c r="GY1148" s="101"/>
      <c r="GZ1148" s="101"/>
      <c r="HA1148" s="101"/>
      <c r="HB1148" s="101"/>
      <c r="HC1148" s="101"/>
      <c r="HD1148" s="101"/>
      <c r="HE1148" s="101"/>
      <c r="HF1148" s="101"/>
      <c r="HG1148" s="101"/>
      <c r="HH1148" s="101"/>
      <c r="HI1148" s="101"/>
      <c r="HJ1148" s="101"/>
      <c r="HK1148" s="101"/>
      <c r="HL1148" s="101"/>
      <c r="HM1148" s="101"/>
      <c r="HN1148" s="101"/>
      <c r="HO1148" s="101"/>
      <c r="HP1148" s="101"/>
      <c r="HQ1148" s="101"/>
      <c r="HR1148" s="101"/>
      <c r="HS1148" s="101"/>
      <c r="HT1148" s="101"/>
      <c r="HU1148" s="101"/>
      <c r="HV1148" s="101"/>
      <c r="HW1148" s="101"/>
      <c r="HX1148" s="101"/>
      <c r="HY1148" s="101"/>
      <c r="HZ1148" s="101"/>
      <c r="IA1148" s="101"/>
      <c r="IB1148" s="101"/>
      <c r="IC1148" s="101"/>
      <c r="ID1148" s="101"/>
      <c r="IE1148" s="101"/>
      <c r="IF1148" s="101"/>
      <c r="IG1148" s="101"/>
      <c r="IH1148" s="101"/>
      <c r="II1148" s="101"/>
      <c r="IJ1148" s="101"/>
      <c r="IK1148" s="101"/>
      <c r="IL1148" s="101"/>
      <c r="IM1148" s="101"/>
      <c r="IN1148" s="101"/>
      <c r="IO1148" s="101"/>
      <c r="IP1148" s="101"/>
      <c r="IQ1148" s="101"/>
      <c r="IR1148" s="101"/>
      <c r="IS1148" s="101"/>
      <c r="IT1148" s="101"/>
      <c r="IU1148" s="101"/>
      <c r="IV1148" s="101"/>
      <c r="IW1148" s="101"/>
      <c r="IX1148" s="101"/>
      <c r="IY1148" s="101"/>
      <c r="IZ1148" s="101"/>
      <c r="JA1148" s="101"/>
      <c r="JB1148" s="101"/>
      <c r="JC1148" s="101"/>
      <c r="JD1148" s="101"/>
      <c r="JE1148" s="101"/>
      <c r="JF1148" s="101"/>
      <c r="JG1148" s="101"/>
      <c r="JH1148" s="101"/>
      <c r="JI1148" s="101"/>
      <c r="JJ1148" s="101"/>
      <c r="JK1148" s="101"/>
      <c r="JL1148" s="101"/>
      <c r="JM1148" s="101"/>
      <c r="JN1148" s="101"/>
      <c r="JO1148" s="101"/>
      <c r="JP1148" s="101"/>
      <c r="JQ1148" s="101"/>
      <c r="JR1148" s="101"/>
      <c r="JS1148" s="101"/>
      <c r="JT1148" s="101"/>
      <c r="JU1148" s="101"/>
      <c r="JV1148" s="101"/>
      <c r="JW1148" s="101"/>
      <c r="JX1148" s="101"/>
      <c r="JY1148" s="101"/>
      <c r="JZ1148" s="101"/>
      <c r="KA1148" s="101"/>
      <c r="KB1148" s="101"/>
      <c r="KC1148" s="101"/>
      <c r="KD1148" s="101"/>
      <c r="KE1148" s="101"/>
      <c r="KF1148" s="101"/>
      <c r="KG1148" s="101"/>
      <c r="KH1148" s="101"/>
      <c r="KI1148" s="101"/>
      <c r="KJ1148" s="101"/>
      <c r="KK1148" s="101"/>
      <c r="KL1148" s="101"/>
      <c r="KM1148" s="101"/>
      <c r="KN1148" s="101"/>
      <c r="KO1148" s="101"/>
      <c r="KP1148" s="101"/>
      <c r="KQ1148" s="101"/>
      <c r="KR1148" s="101"/>
      <c r="KS1148" s="101"/>
      <c r="KT1148" s="101"/>
      <c r="KU1148" s="101"/>
      <c r="KV1148" s="101"/>
      <c r="KW1148" s="101"/>
      <c r="KX1148" s="101"/>
      <c r="KY1148" s="101"/>
      <c r="KZ1148" s="101"/>
      <c r="LA1148" s="101"/>
      <c r="LB1148" s="101"/>
      <c r="LC1148" s="101"/>
      <c r="LD1148" s="101"/>
      <c r="LE1148" s="101"/>
      <c r="LF1148" s="101"/>
      <c r="LG1148" s="101"/>
      <c r="LH1148" s="101"/>
      <c r="LI1148" s="101"/>
      <c r="LJ1148" s="101"/>
      <c r="LK1148" s="101"/>
      <c r="LL1148" s="101"/>
      <c r="LM1148" s="101"/>
      <c r="LN1148" s="101"/>
      <c r="LO1148" s="101"/>
      <c r="LP1148" s="101"/>
      <c r="LQ1148" s="101"/>
      <c r="LR1148" s="101"/>
      <c r="LS1148" s="101"/>
      <c r="LT1148" s="101"/>
      <c r="LU1148" s="101"/>
      <c r="LV1148" s="101"/>
      <c r="LW1148" s="101"/>
      <c r="LX1148" s="101"/>
      <c r="LY1148" s="101"/>
      <c r="LZ1148" s="101"/>
      <c r="MA1148" s="101"/>
      <c r="MB1148" s="101"/>
      <c r="MC1148" s="101"/>
      <c r="MD1148" s="101"/>
      <c r="ME1148" s="101"/>
      <c r="MF1148" s="101"/>
      <c r="MG1148" s="101"/>
      <c r="MH1148" s="101"/>
      <c r="MI1148" s="101"/>
      <c r="MJ1148" s="101"/>
      <c r="MK1148" s="101"/>
      <c r="ML1148" s="101"/>
      <c r="MM1148" s="101"/>
      <c r="MN1148" s="101"/>
      <c r="MO1148" s="101"/>
      <c r="MP1148" s="101"/>
      <c r="MQ1148" s="101"/>
      <c r="MR1148" s="101"/>
      <c r="MS1148" s="101"/>
      <c r="MT1148" s="101"/>
      <c r="MU1148" s="101"/>
      <c r="MV1148" s="101"/>
      <c r="MW1148" s="101"/>
      <c r="MX1148" s="101"/>
      <c r="MY1148" s="101"/>
      <c r="MZ1148" s="101"/>
      <c r="NA1148" s="101"/>
      <c r="NB1148" s="101"/>
      <c r="NC1148" s="101"/>
      <c r="ND1148" s="101"/>
      <c r="NE1148" s="101"/>
      <c r="NF1148" s="101"/>
      <c r="NG1148" s="101"/>
      <c r="NH1148" s="101"/>
      <c r="NI1148" s="101"/>
      <c r="NJ1148" s="101"/>
      <c r="NK1148" s="101"/>
      <c r="NL1148" s="101"/>
      <c r="NM1148" s="101"/>
      <c r="NN1148" s="101"/>
      <c r="NO1148" s="101"/>
      <c r="NP1148" s="101"/>
      <c r="NQ1148" s="101"/>
      <c r="NR1148" s="101"/>
      <c r="NS1148" s="101"/>
      <c r="NT1148" s="101"/>
      <c r="NU1148" s="101"/>
      <c r="NV1148" s="101"/>
      <c r="NW1148" s="101"/>
      <c r="NX1148" s="101"/>
      <c r="NY1148" s="101"/>
      <c r="NZ1148" s="101"/>
      <c r="OA1148" s="101"/>
      <c r="OB1148" s="101"/>
      <c r="OC1148" s="101"/>
      <c r="OD1148" s="101"/>
      <c r="OE1148" s="101"/>
      <c r="OF1148" s="101"/>
      <c r="OG1148" s="101"/>
      <c r="OH1148" s="101"/>
      <c r="OI1148" s="101"/>
      <c r="OJ1148" s="101"/>
      <c r="OK1148" s="101"/>
      <c r="OL1148" s="101"/>
      <c r="OM1148" s="101"/>
      <c r="ON1148" s="101"/>
      <c r="OO1148" s="101"/>
      <c r="OP1148" s="101"/>
      <c r="OQ1148" s="101"/>
      <c r="OR1148" s="101"/>
      <c r="OS1148" s="101"/>
      <c r="OT1148" s="101"/>
      <c r="OU1148" s="101"/>
      <c r="OV1148" s="101"/>
      <c r="OW1148" s="101"/>
      <c r="OX1148" s="101"/>
      <c r="OY1148" s="101"/>
      <c r="OZ1148" s="101"/>
      <c r="PA1148" s="101"/>
      <c r="PB1148" s="101"/>
      <c r="PC1148" s="101"/>
      <c r="PD1148" s="101"/>
      <c r="PE1148" s="101"/>
      <c r="PF1148" s="101"/>
      <c r="PG1148" s="101"/>
      <c r="PH1148" s="101"/>
      <c r="PI1148" s="101"/>
      <c r="PJ1148" s="101"/>
      <c r="PK1148" s="101"/>
      <c r="PL1148" s="101"/>
      <c r="PM1148" s="101"/>
      <c r="PN1148" s="101"/>
      <c r="PO1148" s="101"/>
      <c r="PP1148" s="101"/>
      <c r="PQ1148" s="101"/>
      <c r="PR1148" s="101"/>
      <c r="PS1148" s="101"/>
      <c r="PT1148" s="101"/>
      <c r="PU1148" s="101"/>
      <c r="PV1148" s="101"/>
      <c r="PW1148" s="101"/>
      <c r="PX1148" s="101"/>
      <c r="PY1148" s="101"/>
      <c r="PZ1148" s="101"/>
      <c r="QA1148" s="101"/>
      <c r="QB1148" s="101"/>
      <c r="QC1148" s="101"/>
      <c r="QD1148" s="101"/>
      <c r="QE1148" s="101"/>
      <c r="QF1148" s="101"/>
      <c r="QG1148" s="101"/>
      <c r="QH1148" s="101"/>
      <c r="QI1148" s="101"/>
      <c r="QJ1148" s="101"/>
      <c r="QK1148" s="101"/>
      <c r="QL1148" s="101"/>
      <c r="QM1148" s="101"/>
      <c r="QN1148" s="101"/>
      <c r="QO1148" s="101"/>
      <c r="QP1148" s="101"/>
      <c r="QQ1148" s="101"/>
      <c r="QR1148" s="101"/>
      <c r="QS1148" s="101"/>
      <c r="QT1148" s="101"/>
      <c r="QU1148" s="101"/>
      <c r="QV1148" s="101"/>
      <c r="QW1148" s="101"/>
      <c r="QX1148" s="101"/>
      <c r="QY1148" s="101"/>
      <c r="QZ1148" s="101"/>
      <c r="RA1148" s="101"/>
      <c r="RB1148" s="101"/>
      <c r="RC1148" s="101"/>
      <c r="RD1148" s="101"/>
      <c r="RE1148" s="101"/>
      <c r="RF1148" s="101"/>
      <c r="RG1148" s="101"/>
      <c r="RH1148" s="101"/>
      <c r="RI1148" s="101"/>
      <c r="RJ1148" s="101"/>
      <c r="RK1148" s="101"/>
      <c r="RL1148" s="101"/>
      <c r="RM1148" s="101"/>
      <c r="RN1148" s="101"/>
      <c r="RO1148" s="101"/>
      <c r="RP1148" s="101"/>
      <c r="RQ1148" s="101"/>
      <c r="RR1148" s="101"/>
      <c r="RS1148" s="101"/>
      <c r="RT1148" s="101"/>
      <c r="RU1148" s="101"/>
      <c r="RV1148" s="101"/>
      <c r="RW1148" s="101"/>
      <c r="RX1148" s="101"/>
      <c r="RY1148" s="101"/>
      <c r="RZ1148" s="101"/>
      <c r="SA1148" s="101"/>
      <c r="SB1148" s="101"/>
      <c r="SC1148" s="101"/>
      <c r="SD1148" s="101"/>
      <c r="SE1148" s="101"/>
      <c r="SF1148" s="101"/>
      <c r="SG1148" s="101"/>
      <c r="SH1148" s="101"/>
      <c r="SI1148" s="101"/>
      <c r="SJ1148" s="101"/>
      <c r="SK1148" s="101"/>
      <c r="SL1148" s="101"/>
      <c r="SM1148" s="101"/>
      <c r="SN1148" s="101"/>
      <c r="SO1148" s="101"/>
      <c r="SP1148" s="101"/>
      <c r="SQ1148" s="101"/>
      <c r="SR1148" s="101"/>
      <c r="SS1148" s="101"/>
      <c r="ST1148" s="101"/>
      <c r="SU1148" s="101"/>
      <c r="SV1148" s="101"/>
      <c r="SW1148" s="101"/>
      <c r="SX1148" s="101"/>
      <c r="SY1148" s="101"/>
      <c r="SZ1148" s="101"/>
      <c r="TA1148" s="101"/>
      <c r="TB1148" s="101"/>
      <c r="TC1148" s="101"/>
      <c r="TD1148" s="101"/>
      <c r="TE1148" s="101"/>
      <c r="TF1148" s="101"/>
      <c r="TG1148" s="101"/>
      <c r="TH1148" s="101"/>
      <c r="TI1148" s="101"/>
      <c r="TJ1148" s="101"/>
      <c r="TK1148" s="101"/>
      <c r="TL1148" s="101"/>
      <c r="TM1148" s="101"/>
      <c r="TN1148" s="101"/>
      <c r="TO1148" s="101"/>
      <c r="TP1148" s="101"/>
      <c r="TQ1148" s="101"/>
      <c r="TR1148" s="101"/>
      <c r="TS1148" s="101"/>
      <c r="TT1148" s="101"/>
      <c r="TU1148" s="101"/>
      <c r="TV1148" s="101"/>
      <c r="TW1148" s="101"/>
      <c r="TX1148" s="101"/>
      <c r="TY1148" s="101"/>
      <c r="TZ1148" s="101"/>
      <c r="UA1148" s="101"/>
      <c r="UB1148" s="101"/>
      <c r="UC1148" s="101"/>
      <c r="UD1148" s="101"/>
      <c r="UE1148" s="101"/>
      <c r="UF1148" s="101"/>
      <c r="UG1148" s="23"/>
    </row>
    <row r="1149" spans="1:553" s="1262" customFormat="1" ht="29.25" customHeight="1">
      <c r="A1149" s="445"/>
      <c r="B1149" s="619"/>
      <c r="C1149" s="1405" t="s">
        <v>666</v>
      </c>
      <c r="D1149" s="1389"/>
      <c r="E1149" s="1389"/>
      <c r="F1149" s="1390"/>
      <c r="G1149" s="418" t="s">
        <v>196</v>
      </c>
      <c r="H1149" s="646"/>
      <c r="I1149" s="422">
        <f>(54.93*100/500)*(17-(5-3))*1</f>
        <v>164.79000000000002</v>
      </c>
      <c r="J1149" s="368">
        <v>10800</v>
      </c>
      <c r="K1149" s="647">
        <v>0.7</v>
      </c>
      <c r="L1149" s="571">
        <f>ROUND(PRODUCT(I1149:K1149),0)</f>
        <v>1245812</v>
      </c>
      <c r="M1149" s="356"/>
      <c r="N1149" s="356"/>
      <c r="O1149" s="356"/>
      <c r="P1149" s="356"/>
      <c r="Q1149" s="610"/>
      <c r="R1149" s="1226"/>
      <c r="S1149" s="308"/>
      <c r="T1149" s="308"/>
      <c r="U1149" s="308"/>
      <c r="V1149" s="308"/>
      <c r="W1149" s="308"/>
      <c r="X1149" s="308"/>
      <c r="Y1149" s="308"/>
      <c r="Z1149" s="604"/>
      <c r="AA1149" s="308"/>
      <c r="AB1149" s="308"/>
      <c r="AC1149" s="373"/>
      <c r="AD1149" s="373"/>
      <c r="AE1149" s="373"/>
      <c r="AF1149" s="373"/>
      <c r="AG1149" s="373"/>
      <c r="AH1149" s="373"/>
      <c r="AI1149" s="373"/>
      <c r="AJ1149" s="373"/>
      <c r="AK1149" s="389"/>
      <c r="AL1149" s="1276"/>
      <c r="AM1149" s="1276"/>
      <c r="AN1149" s="1276"/>
      <c r="AO1149" s="1276"/>
      <c r="AP1149" s="1276"/>
      <c r="AQ1149" s="1276"/>
      <c r="AR1149" s="1276"/>
      <c r="AS1149" s="1280"/>
      <c r="AT1149" s="1280"/>
      <c r="AU1149" s="1280"/>
      <c r="AV1149" s="1280"/>
      <c r="AW1149" s="1280"/>
      <c r="AX1149" s="1280"/>
      <c r="AY1149" s="1280"/>
      <c r="AZ1149" s="1280"/>
      <c r="BA1149" s="1280"/>
      <c r="BB1149" s="1280"/>
      <c r="BC1149" s="1280"/>
      <c r="BD1149" s="1280"/>
      <c r="BE1149" s="1280"/>
      <c r="BF1149" s="1280"/>
      <c r="BG1149" s="1280"/>
      <c r="BH1149" s="1280"/>
      <c r="BI1149" s="1280"/>
      <c r="BJ1149" s="1280"/>
      <c r="BK1149" s="1280"/>
      <c r="BL1149" s="1280"/>
      <c r="BM1149" s="1280"/>
      <c r="BN1149" s="1280"/>
      <c r="BO1149" s="1280"/>
      <c r="BP1149" s="1280"/>
      <c r="BQ1149" s="1280"/>
      <c r="BR1149" s="1280"/>
      <c r="BS1149" s="1280"/>
      <c r="BT1149" s="1280"/>
      <c r="BU1149" s="1280"/>
      <c r="BV1149" s="1280"/>
      <c r="BW1149" s="1280"/>
      <c r="BX1149" s="1280"/>
      <c r="BY1149" s="1280"/>
      <c r="BZ1149" s="1280"/>
      <c r="CA1149" s="1280"/>
      <c r="CB1149" s="1280"/>
      <c r="CC1149" s="1280"/>
      <c r="CD1149" s="1280"/>
      <c r="CE1149" s="1280"/>
      <c r="CF1149" s="1280"/>
      <c r="CG1149" s="1280"/>
      <c r="CH1149" s="1280"/>
      <c r="CI1149" s="1280"/>
      <c r="CJ1149" s="1280"/>
      <c r="CK1149" s="1280"/>
      <c r="CL1149" s="1280"/>
      <c r="CM1149" s="1280"/>
      <c r="CN1149" s="1280"/>
      <c r="CO1149" s="1280"/>
      <c r="CP1149" s="1280"/>
      <c r="CQ1149" s="1280"/>
      <c r="CR1149" s="1280"/>
      <c r="CS1149" s="1280"/>
      <c r="CT1149" s="1280"/>
      <c r="CU1149" s="1280"/>
      <c r="CV1149" s="1280"/>
      <c r="CW1149" s="1280"/>
      <c r="CX1149" s="1280"/>
      <c r="CY1149" s="1280"/>
      <c r="CZ1149" s="1280"/>
      <c r="DA1149" s="1280"/>
      <c r="DB1149" s="1280"/>
      <c r="DC1149" s="1280"/>
      <c r="DD1149" s="1280"/>
      <c r="DE1149" s="1280"/>
      <c r="DF1149" s="1280"/>
      <c r="DG1149" s="1280"/>
      <c r="DH1149" s="1280"/>
      <c r="DI1149" s="1280"/>
      <c r="DJ1149" s="1280"/>
      <c r="DK1149" s="1280"/>
      <c r="DL1149" s="1280"/>
      <c r="DM1149" s="1280"/>
      <c r="DN1149" s="1280"/>
      <c r="DO1149" s="1280"/>
      <c r="DP1149" s="1280"/>
      <c r="DQ1149" s="1280"/>
      <c r="DR1149" s="1280"/>
      <c r="DS1149" s="1280"/>
      <c r="DT1149" s="1280"/>
      <c r="DU1149" s="1280"/>
      <c r="DV1149" s="1280"/>
      <c r="DW1149" s="1280"/>
      <c r="DX1149" s="1280"/>
      <c r="DY1149" s="1280"/>
      <c r="DZ1149" s="1280"/>
      <c r="EA1149" s="1280"/>
      <c r="EB1149" s="1280"/>
      <c r="EC1149" s="1280"/>
      <c r="ED1149" s="1280"/>
      <c r="EE1149" s="1280"/>
      <c r="EF1149" s="1280"/>
      <c r="EG1149" s="1280"/>
      <c r="EH1149" s="1280"/>
      <c r="EI1149" s="1280"/>
      <c r="EJ1149" s="1280"/>
      <c r="EK1149" s="1280"/>
      <c r="EL1149" s="1280"/>
      <c r="EM1149" s="1280"/>
      <c r="EN1149" s="1280"/>
      <c r="EO1149" s="1280"/>
      <c r="EP1149" s="1280"/>
      <c r="EQ1149" s="1280"/>
      <c r="ER1149" s="1280"/>
      <c r="ES1149" s="1280"/>
      <c r="ET1149" s="1280"/>
      <c r="EU1149" s="1280"/>
      <c r="EV1149" s="1280"/>
      <c r="EW1149" s="1280"/>
      <c r="EX1149" s="1280"/>
      <c r="EY1149" s="1280"/>
      <c r="EZ1149" s="1280"/>
      <c r="FA1149" s="1280"/>
      <c r="FB1149" s="1280"/>
      <c r="FC1149" s="1280"/>
      <c r="FD1149" s="1280"/>
      <c r="FE1149" s="1280"/>
      <c r="FF1149" s="1280"/>
      <c r="FG1149" s="1280"/>
      <c r="FH1149" s="1280"/>
      <c r="FI1149" s="1280"/>
      <c r="FJ1149" s="1280"/>
      <c r="FK1149" s="1280"/>
      <c r="FL1149" s="1280"/>
      <c r="FM1149" s="1280"/>
      <c r="FN1149" s="1280"/>
      <c r="FO1149" s="1280"/>
      <c r="FP1149" s="1280"/>
      <c r="FQ1149" s="1280"/>
      <c r="FR1149" s="1280"/>
      <c r="FS1149" s="1280"/>
      <c r="FT1149" s="1280"/>
      <c r="FU1149" s="1280"/>
      <c r="FV1149" s="1280"/>
      <c r="FW1149" s="1280"/>
      <c r="FX1149" s="1280"/>
      <c r="FY1149" s="1280"/>
      <c r="FZ1149" s="1280"/>
      <c r="GA1149" s="1280"/>
      <c r="GB1149" s="1280"/>
      <c r="GC1149" s="1280"/>
      <c r="GD1149" s="1280"/>
      <c r="GE1149" s="1280"/>
      <c r="GF1149" s="1280"/>
      <c r="GG1149" s="1280"/>
      <c r="GH1149" s="1280"/>
      <c r="GI1149" s="1280"/>
      <c r="GJ1149" s="1280"/>
      <c r="GK1149" s="1280"/>
      <c r="GL1149" s="1280"/>
      <c r="GM1149" s="1280"/>
      <c r="GN1149" s="1280"/>
      <c r="GO1149" s="1280"/>
      <c r="GP1149" s="1280"/>
      <c r="GQ1149" s="1280"/>
      <c r="GR1149" s="1280"/>
      <c r="GS1149" s="1280"/>
      <c r="GT1149" s="1280"/>
      <c r="GU1149" s="1280"/>
      <c r="GV1149" s="1280"/>
      <c r="GW1149" s="1280"/>
      <c r="GX1149" s="1280"/>
      <c r="GY1149" s="1280"/>
      <c r="GZ1149" s="1280"/>
      <c r="HA1149" s="1280"/>
      <c r="HB1149" s="1280"/>
      <c r="HC1149" s="1280"/>
      <c r="HD1149" s="1280"/>
      <c r="HE1149" s="1280"/>
      <c r="HF1149" s="1280"/>
      <c r="HG1149" s="1280"/>
      <c r="HH1149" s="1280"/>
      <c r="HI1149" s="1280"/>
      <c r="HJ1149" s="1280"/>
      <c r="HK1149" s="1280"/>
      <c r="HL1149" s="1280"/>
      <c r="HM1149" s="1280"/>
      <c r="HN1149" s="1280"/>
      <c r="HO1149" s="1280"/>
      <c r="HP1149" s="1280"/>
      <c r="HQ1149" s="1280"/>
      <c r="HR1149" s="1280"/>
      <c r="HS1149" s="1280"/>
      <c r="HT1149" s="1280"/>
      <c r="HU1149" s="1280"/>
      <c r="HV1149" s="1280"/>
      <c r="HW1149" s="1280"/>
      <c r="HX1149" s="1280"/>
      <c r="HY1149" s="1280"/>
      <c r="HZ1149" s="1280"/>
      <c r="IA1149" s="1280"/>
      <c r="IB1149" s="1280"/>
      <c r="IC1149" s="1280"/>
      <c r="ID1149" s="1280"/>
      <c r="IE1149" s="1280"/>
      <c r="IF1149" s="1280"/>
      <c r="IG1149" s="1280"/>
      <c r="IH1149" s="1280"/>
      <c r="II1149" s="1280"/>
      <c r="IJ1149" s="1280"/>
      <c r="IK1149" s="1280"/>
      <c r="IL1149" s="1280"/>
      <c r="IM1149" s="1280"/>
      <c r="IN1149" s="1280"/>
      <c r="IO1149" s="1280"/>
      <c r="IP1149" s="1280"/>
      <c r="IQ1149" s="1280"/>
      <c r="IR1149" s="1280"/>
      <c r="IS1149" s="1280"/>
      <c r="IT1149" s="1280"/>
      <c r="IU1149" s="1280"/>
      <c r="IV1149" s="1280"/>
      <c r="IW1149" s="1280"/>
      <c r="IX1149" s="1280"/>
      <c r="IY1149" s="1280"/>
      <c r="IZ1149" s="1280"/>
      <c r="JA1149" s="1280"/>
      <c r="JB1149" s="1280"/>
      <c r="JC1149" s="1280"/>
      <c r="JD1149" s="1280"/>
      <c r="JE1149" s="1280"/>
      <c r="JF1149" s="1280"/>
      <c r="JG1149" s="1280"/>
      <c r="JH1149" s="1280"/>
      <c r="JI1149" s="1280"/>
      <c r="JJ1149" s="1280"/>
      <c r="JK1149" s="1280"/>
      <c r="JL1149" s="1280"/>
      <c r="JM1149" s="1280"/>
      <c r="JN1149" s="1280"/>
      <c r="JO1149" s="1280"/>
      <c r="JP1149" s="1280"/>
      <c r="JQ1149" s="1280"/>
      <c r="JR1149" s="1280"/>
      <c r="JS1149" s="1280"/>
      <c r="JT1149" s="1280"/>
      <c r="JU1149" s="1280"/>
      <c r="JV1149" s="1280"/>
      <c r="JW1149" s="1280"/>
      <c r="JX1149" s="1280"/>
      <c r="JY1149" s="1280"/>
      <c r="JZ1149" s="1280"/>
      <c r="KA1149" s="1280"/>
      <c r="KB1149" s="1280"/>
      <c r="KC1149" s="1280"/>
      <c r="KD1149" s="1280"/>
      <c r="KE1149" s="1280"/>
      <c r="KF1149" s="1280"/>
      <c r="KG1149" s="1280"/>
      <c r="KH1149" s="1280"/>
      <c r="KI1149" s="1280"/>
      <c r="KJ1149" s="1280"/>
      <c r="KK1149" s="1280"/>
      <c r="KL1149" s="1280"/>
      <c r="KM1149" s="1280"/>
      <c r="KN1149" s="1280"/>
      <c r="KO1149" s="1280"/>
      <c r="KP1149" s="1280"/>
      <c r="KQ1149" s="1280"/>
      <c r="KR1149" s="1280"/>
      <c r="KS1149" s="1280"/>
      <c r="KT1149" s="1280"/>
      <c r="KU1149" s="1280"/>
      <c r="KV1149" s="1280"/>
      <c r="KW1149" s="1280"/>
      <c r="KX1149" s="1280"/>
      <c r="KY1149" s="1280"/>
      <c r="KZ1149" s="1280"/>
      <c r="LA1149" s="1280"/>
      <c r="LB1149" s="1280"/>
      <c r="LC1149" s="1280"/>
      <c r="LD1149" s="1280"/>
      <c r="LE1149" s="1280"/>
      <c r="LF1149" s="1280"/>
      <c r="LG1149" s="1280"/>
      <c r="LH1149" s="1280"/>
      <c r="LI1149" s="1280"/>
      <c r="LJ1149" s="1280"/>
      <c r="LK1149" s="1280"/>
      <c r="LL1149" s="1280"/>
      <c r="LM1149" s="1280"/>
      <c r="LN1149" s="1280"/>
      <c r="LO1149" s="1280"/>
      <c r="LP1149" s="1280"/>
      <c r="LQ1149" s="1280"/>
      <c r="LR1149" s="1280"/>
      <c r="LS1149" s="1280"/>
      <c r="LT1149" s="1280"/>
      <c r="LU1149" s="1280"/>
      <c r="LV1149" s="1280"/>
      <c r="LW1149" s="1280"/>
      <c r="LX1149" s="1280"/>
      <c r="LY1149" s="1280"/>
      <c r="LZ1149" s="1280"/>
      <c r="MA1149" s="1280"/>
      <c r="MB1149" s="1280"/>
      <c r="MC1149" s="1280"/>
      <c r="MD1149" s="1280"/>
      <c r="ME1149" s="1280"/>
      <c r="MF1149" s="1280"/>
      <c r="MG1149" s="1280"/>
      <c r="MH1149" s="1280"/>
      <c r="MI1149" s="1280"/>
      <c r="MJ1149" s="1280"/>
      <c r="MK1149" s="1280"/>
      <c r="ML1149" s="1280"/>
      <c r="MM1149" s="1280"/>
      <c r="MN1149" s="1280"/>
      <c r="MO1149" s="1280"/>
      <c r="MP1149" s="1280"/>
      <c r="MQ1149" s="1280"/>
      <c r="MR1149" s="1280"/>
      <c r="MS1149" s="1280"/>
      <c r="MT1149" s="1280"/>
      <c r="MU1149" s="1280"/>
      <c r="MV1149" s="1280"/>
      <c r="MW1149" s="1280"/>
      <c r="MX1149" s="1280"/>
      <c r="MY1149" s="1280"/>
      <c r="MZ1149" s="1280"/>
      <c r="NA1149" s="1280"/>
      <c r="NB1149" s="1280"/>
      <c r="NC1149" s="1280"/>
      <c r="ND1149" s="1280"/>
      <c r="NE1149" s="1280"/>
      <c r="NF1149" s="1280"/>
      <c r="NG1149" s="1280"/>
      <c r="NH1149" s="1280"/>
      <c r="NI1149" s="1280"/>
      <c r="NJ1149" s="1280"/>
      <c r="NK1149" s="1280"/>
      <c r="NL1149" s="1280"/>
      <c r="NM1149" s="1280"/>
      <c r="NN1149" s="1280"/>
      <c r="NO1149" s="1280"/>
      <c r="NP1149" s="1280"/>
      <c r="NQ1149" s="1280"/>
      <c r="NR1149" s="1280"/>
      <c r="NS1149" s="1280"/>
      <c r="NT1149" s="1280"/>
      <c r="NU1149" s="1280"/>
      <c r="NV1149" s="1280"/>
      <c r="NW1149" s="1280"/>
      <c r="NX1149" s="1280"/>
      <c r="NY1149" s="1280"/>
      <c r="NZ1149" s="1280"/>
      <c r="OA1149" s="1280"/>
      <c r="OB1149" s="1280"/>
      <c r="OC1149" s="1280"/>
      <c r="OD1149" s="1280"/>
      <c r="OE1149" s="1280"/>
      <c r="OF1149" s="1280"/>
      <c r="OG1149" s="1280"/>
      <c r="OH1149" s="1280"/>
      <c r="OI1149" s="1280"/>
      <c r="OJ1149" s="1280"/>
      <c r="OK1149" s="1280"/>
      <c r="OL1149" s="1280"/>
      <c r="OM1149" s="1280"/>
      <c r="ON1149" s="1280"/>
      <c r="OO1149" s="1280"/>
      <c r="OP1149" s="1280"/>
      <c r="OQ1149" s="1280"/>
      <c r="OR1149" s="1280"/>
      <c r="OS1149" s="1280"/>
      <c r="OT1149" s="1280"/>
      <c r="OU1149" s="1280"/>
      <c r="OV1149" s="1280"/>
      <c r="OW1149" s="1280"/>
      <c r="OX1149" s="1280"/>
      <c r="OY1149" s="1280"/>
      <c r="OZ1149" s="1280"/>
      <c r="PA1149" s="1280"/>
      <c r="PB1149" s="1280"/>
      <c r="PC1149" s="1280"/>
      <c r="PD1149" s="1280"/>
      <c r="PE1149" s="1280"/>
      <c r="PF1149" s="1280"/>
      <c r="PG1149" s="1280"/>
      <c r="PH1149" s="1280"/>
      <c r="PI1149" s="1280"/>
      <c r="PJ1149" s="1280"/>
      <c r="PK1149" s="1280"/>
      <c r="PL1149" s="1280"/>
      <c r="PM1149" s="1280"/>
      <c r="PN1149" s="1280"/>
      <c r="PO1149" s="1280"/>
      <c r="PP1149" s="1280"/>
      <c r="PQ1149" s="1280"/>
      <c r="PR1149" s="1280"/>
      <c r="PS1149" s="1280"/>
      <c r="PT1149" s="1280"/>
      <c r="PU1149" s="1280"/>
      <c r="PV1149" s="1280"/>
      <c r="PW1149" s="1280"/>
      <c r="PX1149" s="1280"/>
      <c r="PY1149" s="1280"/>
      <c r="PZ1149" s="1280"/>
      <c r="QA1149" s="1280"/>
      <c r="QB1149" s="1280"/>
      <c r="QC1149" s="1280"/>
      <c r="QD1149" s="1280"/>
      <c r="QE1149" s="1280"/>
      <c r="QF1149" s="1280"/>
      <c r="QG1149" s="1280"/>
      <c r="QH1149" s="1280"/>
      <c r="QI1149" s="1280"/>
      <c r="QJ1149" s="1280"/>
      <c r="QK1149" s="1280"/>
      <c r="QL1149" s="1280"/>
      <c r="QM1149" s="1280"/>
      <c r="QN1149" s="1280"/>
      <c r="QO1149" s="1280"/>
      <c r="QP1149" s="1280"/>
      <c r="QQ1149" s="1280"/>
      <c r="QR1149" s="1280"/>
      <c r="QS1149" s="1280"/>
      <c r="QT1149" s="1280"/>
      <c r="QU1149" s="1280"/>
      <c r="QV1149" s="1280"/>
      <c r="QW1149" s="1280"/>
      <c r="QX1149" s="1280"/>
      <c r="QY1149" s="1280"/>
      <c r="QZ1149" s="1280"/>
      <c r="RA1149" s="1280"/>
      <c r="RB1149" s="1280"/>
      <c r="RC1149" s="1280"/>
      <c r="RD1149" s="1280"/>
      <c r="RE1149" s="1280"/>
      <c r="RF1149" s="1280"/>
      <c r="RG1149" s="1280"/>
      <c r="RH1149" s="1280"/>
      <c r="RI1149" s="1280"/>
      <c r="RJ1149" s="1280"/>
      <c r="RK1149" s="1280"/>
      <c r="RL1149" s="1280"/>
      <c r="RM1149" s="1280"/>
      <c r="RN1149" s="1280"/>
      <c r="RO1149" s="1280"/>
      <c r="RP1149" s="1280"/>
      <c r="RQ1149" s="1280"/>
      <c r="RR1149" s="1280"/>
      <c r="RS1149" s="1280"/>
      <c r="RT1149" s="1280"/>
      <c r="RU1149" s="1280"/>
      <c r="RV1149" s="1280"/>
      <c r="RW1149" s="1280"/>
      <c r="RX1149" s="1280"/>
      <c r="RY1149" s="1280"/>
      <c r="RZ1149" s="1280"/>
      <c r="SA1149" s="1280"/>
      <c r="SB1149" s="1280"/>
      <c r="SC1149" s="1280"/>
      <c r="SD1149" s="1280"/>
      <c r="SE1149" s="1280"/>
      <c r="SF1149" s="1280"/>
      <c r="SG1149" s="1280"/>
      <c r="SH1149" s="1280"/>
      <c r="SI1149" s="1280"/>
      <c r="SJ1149" s="1280"/>
      <c r="SK1149" s="1280"/>
      <c r="SL1149" s="1280"/>
      <c r="SM1149" s="1280"/>
      <c r="SN1149" s="1280"/>
      <c r="SO1149" s="1280"/>
      <c r="SP1149" s="1280"/>
      <c r="SQ1149" s="1280"/>
      <c r="SR1149" s="1280"/>
      <c r="SS1149" s="1280"/>
      <c r="ST1149" s="1280"/>
      <c r="SU1149" s="1280"/>
      <c r="SV1149" s="1280"/>
      <c r="SW1149" s="1280"/>
      <c r="SX1149" s="1280"/>
      <c r="SY1149" s="1280"/>
      <c r="SZ1149" s="1280"/>
      <c r="TA1149" s="1280"/>
      <c r="TB1149" s="1280"/>
      <c r="TC1149" s="1280"/>
      <c r="TD1149" s="1280"/>
      <c r="TE1149" s="1280"/>
      <c r="TF1149" s="1280"/>
      <c r="TG1149" s="1280"/>
      <c r="TH1149" s="1280"/>
      <c r="TI1149" s="1280"/>
      <c r="TJ1149" s="1280"/>
      <c r="TK1149" s="1280"/>
      <c r="TL1149" s="1280"/>
      <c r="TM1149" s="1280"/>
      <c r="TN1149" s="1280"/>
      <c r="TO1149" s="1280"/>
      <c r="TP1149" s="1280"/>
      <c r="TQ1149" s="1280"/>
      <c r="TR1149" s="1280"/>
      <c r="TS1149" s="1280"/>
      <c r="TT1149" s="1280"/>
      <c r="TU1149" s="1280"/>
      <c r="TV1149" s="1280"/>
      <c r="TW1149" s="1280"/>
      <c r="TX1149" s="1280"/>
      <c r="TY1149" s="1280"/>
      <c r="TZ1149" s="1280"/>
      <c r="UA1149" s="1280"/>
      <c r="UB1149" s="1280"/>
      <c r="UC1149" s="1280"/>
      <c r="UD1149" s="1280"/>
      <c r="UE1149" s="1280"/>
      <c r="UF1149" s="1280"/>
      <c r="UG1149" s="1279"/>
    </row>
    <row r="1150" spans="1:553" s="1262" customFormat="1" ht="29.25" customHeight="1">
      <c r="A1150" s="1231"/>
      <c r="B1150" s="621"/>
      <c r="C1150" s="1408" t="s">
        <v>386</v>
      </c>
      <c r="D1150" s="1409"/>
      <c r="E1150" s="1409"/>
      <c r="F1150" s="1410"/>
      <c r="G1150" s="1007" t="s">
        <v>196</v>
      </c>
      <c r="H1150" s="751"/>
      <c r="I1150" s="420">
        <f>(54.93*100/500)*(17-(6-3))*1</f>
        <v>153.804</v>
      </c>
      <c r="J1150" s="985">
        <v>10800</v>
      </c>
      <c r="K1150" s="752">
        <v>0.7</v>
      </c>
      <c r="L1150" s="589">
        <f>ROUND(PRODUCT(I1150:K1150),0)</f>
        <v>1162758</v>
      </c>
      <c r="M1150" s="356"/>
      <c r="N1150" s="356"/>
      <c r="O1150" s="356"/>
      <c r="P1150" s="356"/>
      <c r="Q1150" s="610"/>
      <c r="R1150" s="1226"/>
      <c r="S1150" s="308"/>
      <c r="T1150" s="308"/>
      <c r="U1150" s="308"/>
      <c r="V1150" s="308"/>
      <c r="W1150" s="308"/>
      <c r="X1150" s="308"/>
      <c r="Y1150" s="308"/>
      <c r="Z1150" s="604"/>
      <c r="AA1150" s="308"/>
      <c r="AB1150" s="308"/>
      <c r="AC1150" s="373"/>
      <c r="AD1150" s="373"/>
      <c r="AE1150" s="373"/>
      <c r="AF1150" s="373"/>
      <c r="AG1150" s="373"/>
      <c r="AH1150" s="373"/>
      <c r="AI1150" s="373"/>
      <c r="AJ1150" s="373"/>
      <c r="AK1150" s="389"/>
      <c r="AL1150" s="1276"/>
      <c r="AM1150" s="1276"/>
      <c r="AN1150" s="1276"/>
      <c r="AO1150" s="1276"/>
      <c r="AP1150" s="1276"/>
      <c r="AQ1150" s="1276"/>
      <c r="AR1150" s="1276"/>
      <c r="AS1150" s="1280"/>
      <c r="AT1150" s="1280"/>
      <c r="AU1150" s="1280"/>
      <c r="AV1150" s="1280"/>
      <c r="AW1150" s="1280"/>
      <c r="AX1150" s="1280"/>
      <c r="AY1150" s="1280"/>
      <c r="AZ1150" s="1280"/>
      <c r="BA1150" s="1280"/>
      <c r="BB1150" s="1280"/>
      <c r="BC1150" s="1280"/>
      <c r="BD1150" s="1280"/>
      <c r="BE1150" s="1280"/>
      <c r="BF1150" s="1280"/>
      <c r="BG1150" s="1280"/>
      <c r="BH1150" s="1280"/>
      <c r="BI1150" s="1280"/>
      <c r="BJ1150" s="1280"/>
      <c r="BK1150" s="1280"/>
      <c r="BL1150" s="1280"/>
      <c r="BM1150" s="1280"/>
      <c r="BN1150" s="1280"/>
      <c r="BO1150" s="1280"/>
      <c r="BP1150" s="1280"/>
      <c r="BQ1150" s="1280"/>
      <c r="BR1150" s="1280"/>
      <c r="BS1150" s="1280"/>
      <c r="BT1150" s="1280"/>
      <c r="BU1150" s="1280"/>
      <c r="BV1150" s="1280"/>
      <c r="BW1150" s="1280"/>
      <c r="BX1150" s="1280"/>
      <c r="BY1150" s="1280"/>
      <c r="BZ1150" s="1280"/>
      <c r="CA1150" s="1280"/>
      <c r="CB1150" s="1280"/>
      <c r="CC1150" s="1280"/>
      <c r="CD1150" s="1280"/>
      <c r="CE1150" s="1280"/>
      <c r="CF1150" s="1280"/>
      <c r="CG1150" s="1280"/>
      <c r="CH1150" s="1280"/>
      <c r="CI1150" s="1280"/>
      <c r="CJ1150" s="1280"/>
      <c r="CK1150" s="1280"/>
      <c r="CL1150" s="1280"/>
      <c r="CM1150" s="1280"/>
      <c r="CN1150" s="1280"/>
      <c r="CO1150" s="1280"/>
      <c r="CP1150" s="1280"/>
      <c r="CQ1150" s="1280"/>
      <c r="CR1150" s="1280"/>
      <c r="CS1150" s="1280"/>
      <c r="CT1150" s="1280"/>
      <c r="CU1150" s="1280"/>
      <c r="CV1150" s="1280"/>
      <c r="CW1150" s="1280"/>
      <c r="CX1150" s="1280"/>
      <c r="CY1150" s="1280"/>
      <c r="CZ1150" s="1280"/>
      <c r="DA1150" s="1280"/>
      <c r="DB1150" s="1280"/>
      <c r="DC1150" s="1280"/>
      <c r="DD1150" s="1280"/>
      <c r="DE1150" s="1280"/>
      <c r="DF1150" s="1280"/>
      <c r="DG1150" s="1280"/>
      <c r="DH1150" s="1280"/>
      <c r="DI1150" s="1280"/>
      <c r="DJ1150" s="1280"/>
      <c r="DK1150" s="1280"/>
      <c r="DL1150" s="1280"/>
      <c r="DM1150" s="1280"/>
      <c r="DN1150" s="1280"/>
      <c r="DO1150" s="1280"/>
      <c r="DP1150" s="1280"/>
      <c r="DQ1150" s="1280"/>
      <c r="DR1150" s="1280"/>
      <c r="DS1150" s="1280"/>
      <c r="DT1150" s="1280"/>
      <c r="DU1150" s="1280"/>
      <c r="DV1150" s="1280"/>
      <c r="DW1150" s="1280"/>
      <c r="DX1150" s="1280"/>
      <c r="DY1150" s="1280"/>
      <c r="DZ1150" s="1280"/>
      <c r="EA1150" s="1280"/>
      <c r="EB1150" s="1280"/>
      <c r="EC1150" s="1280"/>
      <c r="ED1150" s="1280"/>
      <c r="EE1150" s="1280"/>
      <c r="EF1150" s="1280"/>
      <c r="EG1150" s="1280"/>
      <c r="EH1150" s="1280"/>
      <c r="EI1150" s="1280"/>
      <c r="EJ1150" s="1280"/>
      <c r="EK1150" s="1280"/>
      <c r="EL1150" s="1280"/>
      <c r="EM1150" s="1280"/>
      <c r="EN1150" s="1280"/>
      <c r="EO1150" s="1280"/>
      <c r="EP1150" s="1280"/>
      <c r="EQ1150" s="1280"/>
      <c r="ER1150" s="1280"/>
      <c r="ES1150" s="1280"/>
      <c r="ET1150" s="1280"/>
      <c r="EU1150" s="1280"/>
      <c r="EV1150" s="1280"/>
      <c r="EW1150" s="1280"/>
      <c r="EX1150" s="1280"/>
      <c r="EY1150" s="1280"/>
      <c r="EZ1150" s="1280"/>
      <c r="FA1150" s="1280"/>
      <c r="FB1150" s="1280"/>
      <c r="FC1150" s="1280"/>
      <c r="FD1150" s="1280"/>
      <c r="FE1150" s="1280"/>
      <c r="FF1150" s="1280"/>
      <c r="FG1150" s="1280"/>
      <c r="FH1150" s="1280"/>
      <c r="FI1150" s="1280"/>
      <c r="FJ1150" s="1280"/>
      <c r="FK1150" s="1280"/>
      <c r="FL1150" s="1280"/>
      <c r="FM1150" s="1280"/>
      <c r="FN1150" s="1280"/>
      <c r="FO1150" s="1280"/>
      <c r="FP1150" s="1280"/>
      <c r="FQ1150" s="1280"/>
      <c r="FR1150" s="1280"/>
      <c r="FS1150" s="1280"/>
      <c r="FT1150" s="1280"/>
      <c r="FU1150" s="1280"/>
      <c r="FV1150" s="1280"/>
      <c r="FW1150" s="1280"/>
      <c r="FX1150" s="1280"/>
      <c r="FY1150" s="1280"/>
      <c r="FZ1150" s="1280"/>
      <c r="GA1150" s="1280"/>
      <c r="GB1150" s="1280"/>
      <c r="GC1150" s="1280"/>
      <c r="GD1150" s="1280"/>
      <c r="GE1150" s="1280"/>
      <c r="GF1150" s="1280"/>
      <c r="GG1150" s="1280"/>
      <c r="GH1150" s="1280"/>
      <c r="GI1150" s="1280"/>
      <c r="GJ1150" s="1280"/>
      <c r="GK1150" s="1280"/>
      <c r="GL1150" s="1280"/>
      <c r="GM1150" s="1280"/>
      <c r="GN1150" s="1280"/>
      <c r="GO1150" s="1280"/>
      <c r="GP1150" s="1280"/>
      <c r="GQ1150" s="1280"/>
      <c r="GR1150" s="1280"/>
      <c r="GS1150" s="1280"/>
      <c r="GT1150" s="1280"/>
      <c r="GU1150" s="1280"/>
      <c r="GV1150" s="1280"/>
      <c r="GW1150" s="1280"/>
      <c r="GX1150" s="1280"/>
      <c r="GY1150" s="1280"/>
      <c r="GZ1150" s="1280"/>
      <c r="HA1150" s="1280"/>
      <c r="HB1150" s="1280"/>
      <c r="HC1150" s="1280"/>
      <c r="HD1150" s="1280"/>
      <c r="HE1150" s="1280"/>
      <c r="HF1150" s="1280"/>
      <c r="HG1150" s="1280"/>
      <c r="HH1150" s="1280"/>
      <c r="HI1150" s="1280"/>
      <c r="HJ1150" s="1280"/>
      <c r="HK1150" s="1280"/>
      <c r="HL1150" s="1280"/>
      <c r="HM1150" s="1280"/>
      <c r="HN1150" s="1280"/>
      <c r="HO1150" s="1280"/>
      <c r="HP1150" s="1280"/>
      <c r="HQ1150" s="1280"/>
      <c r="HR1150" s="1280"/>
      <c r="HS1150" s="1280"/>
      <c r="HT1150" s="1280"/>
      <c r="HU1150" s="1280"/>
      <c r="HV1150" s="1280"/>
      <c r="HW1150" s="1280"/>
      <c r="HX1150" s="1280"/>
      <c r="HY1150" s="1280"/>
      <c r="HZ1150" s="1280"/>
      <c r="IA1150" s="1280"/>
      <c r="IB1150" s="1280"/>
      <c r="IC1150" s="1280"/>
      <c r="ID1150" s="1280"/>
      <c r="IE1150" s="1280"/>
      <c r="IF1150" s="1280"/>
      <c r="IG1150" s="1280"/>
      <c r="IH1150" s="1280"/>
      <c r="II1150" s="1280"/>
      <c r="IJ1150" s="1280"/>
      <c r="IK1150" s="1280"/>
      <c r="IL1150" s="1280"/>
      <c r="IM1150" s="1280"/>
      <c r="IN1150" s="1280"/>
      <c r="IO1150" s="1280"/>
      <c r="IP1150" s="1280"/>
      <c r="IQ1150" s="1280"/>
      <c r="IR1150" s="1280"/>
      <c r="IS1150" s="1280"/>
      <c r="IT1150" s="1280"/>
      <c r="IU1150" s="1280"/>
      <c r="IV1150" s="1280"/>
      <c r="IW1150" s="1280"/>
      <c r="IX1150" s="1280"/>
      <c r="IY1150" s="1280"/>
      <c r="IZ1150" s="1280"/>
      <c r="JA1150" s="1280"/>
      <c r="JB1150" s="1280"/>
      <c r="JC1150" s="1280"/>
      <c r="JD1150" s="1280"/>
      <c r="JE1150" s="1280"/>
      <c r="JF1150" s="1280"/>
      <c r="JG1150" s="1280"/>
      <c r="JH1150" s="1280"/>
      <c r="JI1150" s="1280"/>
      <c r="JJ1150" s="1280"/>
      <c r="JK1150" s="1280"/>
      <c r="JL1150" s="1280"/>
      <c r="JM1150" s="1280"/>
      <c r="JN1150" s="1280"/>
      <c r="JO1150" s="1280"/>
      <c r="JP1150" s="1280"/>
      <c r="JQ1150" s="1280"/>
      <c r="JR1150" s="1280"/>
      <c r="JS1150" s="1280"/>
      <c r="JT1150" s="1280"/>
      <c r="JU1150" s="1280"/>
      <c r="JV1150" s="1280"/>
      <c r="JW1150" s="1280"/>
      <c r="JX1150" s="1280"/>
      <c r="JY1150" s="1280"/>
      <c r="JZ1150" s="1280"/>
      <c r="KA1150" s="1280"/>
      <c r="KB1150" s="1280"/>
      <c r="KC1150" s="1280"/>
      <c r="KD1150" s="1280"/>
      <c r="KE1150" s="1280"/>
      <c r="KF1150" s="1280"/>
      <c r="KG1150" s="1280"/>
      <c r="KH1150" s="1280"/>
      <c r="KI1150" s="1280"/>
      <c r="KJ1150" s="1280"/>
      <c r="KK1150" s="1280"/>
      <c r="KL1150" s="1280"/>
      <c r="KM1150" s="1280"/>
      <c r="KN1150" s="1280"/>
      <c r="KO1150" s="1280"/>
      <c r="KP1150" s="1280"/>
      <c r="KQ1150" s="1280"/>
      <c r="KR1150" s="1280"/>
      <c r="KS1150" s="1280"/>
      <c r="KT1150" s="1280"/>
      <c r="KU1150" s="1280"/>
      <c r="KV1150" s="1280"/>
      <c r="KW1150" s="1280"/>
      <c r="KX1150" s="1280"/>
      <c r="KY1150" s="1280"/>
      <c r="KZ1150" s="1280"/>
      <c r="LA1150" s="1280"/>
      <c r="LB1150" s="1280"/>
      <c r="LC1150" s="1280"/>
      <c r="LD1150" s="1280"/>
      <c r="LE1150" s="1280"/>
      <c r="LF1150" s="1280"/>
      <c r="LG1150" s="1280"/>
      <c r="LH1150" s="1280"/>
      <c r="LI1150" s="1280"/>
      <c r="LJ1150" s="1280"/>
      <c r="LK1150" s="1280"/>
      <c r="LL1150" s="1280"/>
      <c r="LM1150" s="1280"/>
      <c r="LN1150" s="1280"/>
      <c r="LO1150" s="1280"/>
      <c r="LP1150" s="1280"/>
      <c r="LQ1150" s="1280"/>
      <c r="LR1150" s="1280"/>
      <c r="LS1150" s="1280"/>
      <c r="LT1150" s="1280"/>
      <c r="LU1150" s="1280"/>
      <c r="LV1150" s="1280"/>
      <c r="LW1150" s="1280"/>
      <c r="LX1150" s="1280"/>
      <c r="LY1150" s="1280"/>
      <c r="LZ1150" s="1280"/>
      <c r="MA1150" s="1280"/>
      <c r="MB1150" s="1280"/>
      <c r="MC1150" s="1280"/>
      <c r="MD1150" s="1280"/>
      <c r="ME1150" s="1280"/>
      <c r="MF1150" s="1280"/>
      <c r="MG1150" s="1280"/>
      <c r="MH1150" s="1280"/>
      <c r="MI1150" s="1280"/>
      <c r="MJ1150" s="1280"/>
      <c r="MK1150" s="1280"/>
      <c r="ML1150" s="1280"/>
      <c r="MM1150" s="1280"/>
      <c r="MN1150" s="1280"/>
      <c r="MO1150" s="1280"/>
      <c r="MP1150" s="1280"/>
      <c r="MQ1150" s="1280"/>
      <c r="MR1150" s="1280"/>
      <c r="MS1150" s="1280"/>
      <c r="MT1150" s="1280"/>
      <c r="MU1150" s="1280"/>
      <c r="MV1150" s="1280"/>
      <c r="MW1150" s="1280"/>
      <c r="MX1150" s="1280"/>
      <c r="MY1150" s="1280"/>
      <c r="MZ1150" s="1280"/>
      <c r="NA1150" s="1280"/>
      <c r="NB1150" s="1280"/>
      <c r="NC1150" s="1280"/>
      <c r="ND1150" s="1280"/>
      <c r="NE1150" s="1280"/>
      <c r="NF1150" s="1280"/>
      <c r="NG1150" s="1280"/>
      <c r="NH1150" s="1280"/>
      <c r="NI1150" s="1280"/>
      <c r="NJ1150" s="1280"/>
      <c r="NK1150" s="1280"/>
      <c r="NL1150" s="1280"/>
      <c r="NM1150" s="1280"/>
      <c r="NN1150" s="1280"/>
      <c r="NO1150" s="1280"/>
      <c r="NP1150" s="1280"/>
      <c r="NQ1150" s="1280"/>
      <c r="NR1150" s="1280"/>
      <c r="NS1150" s="1280"/>
      <c r="NT1150" s="1280"/>
      <c r="NU1150" s="1280"/>
      <c r="NV1150" s="1280"/>
      <c r="NW1150" s="1280"/>
      <c r="NX1150" s="1280"/>
      <c r="NY1150" s="1280"/>
      <c r="NZ1150" s="1280"/>
      <c r="OA1150" s="1280"/>
      <c r="OB1150" s="1280"/>
      <c r="OC1150" s="1280"/>
      <c r="OD1150" s="1280"/>
      <c r="OE1150" s="1280"/>
      <c r="OF1150" s="1280"/>
      <c r="OG1150" s="1280"/>
      <c r="OH1150" s="1280"/>
      <c r="OI1150" s="1280"/>
      <c r="OJ1150" s="1280"/>
      <c r="OK1150" s="1280"/>
      <c r="OL1150" s="1280"/>
      <c r="OM1150" s="1280"/>
      <c r="ON1150" s="1280"/>
      <c r="OO1150" s="1280"/>
      <c r="OP1150" s="1280"/>
      <c r="OQ1150" s="1280"/>
      <c r="OR1150" s="1280"/>
      <c r="OS1150" s="1280"/>
      <c r="OT1150" s="1280"/>
      <c r="OU1150" s="1280"/>
      <c r="OV1150" s="1280"/>
      <c r="OW1150" s="1280"/>
      <c r="OX1150" s="1280"/>
      <c r="OY1150" s="1280"/>
      <c r="OZ1150" s="1280"/>
      <c r="PA1150" s="1280"/>
      <c r="PB1150" s="1280"/>
      <c r="PC1150" s="1280"/>
      <c r="PD1150" s="1280"/>
      <c r="PE1150" s="1280"/>
      <c r="PF1150" s="1280"/>
      <c r="PG1150" s="1280"/>
      <c r="PH1150" s="1280"/>
      <c r="PI1150" s="1280"/>
      <c r="PJ1150" s="1280"/>
      <c r="PK1150" s="1280"/>
      <c r="PL1150" s="1280"/>
      <c r="PM1150" s="1280"/>
      <c r="PN1150" s="1280"/>
      <c r="PO1150" s="1280"/>
      <c r="PP1150" s="1280"/>
      <c r="PQ1150" s="1280"/>
      <c r="PR1150" s="1280"/>
      <c r="PS1150" s="1280"/>
      <c r="PT1150" s="1280"/>
      <c r="PU1150" s="1280"/>
      <c r="PV1150" s="1280"/>
      <c r="PW1150" s="1280"/>
      <c r="PX1150" s="1280"/>
      <c r="PY1150" s="1280"/>
      <c r="PZ1150" s="1280"/>
      <c r="QA1150" s="1280"/>
      <c r="QB1150" s="1280"/>
      <c r="QC1150" s="1280"/>
      <c r="QD1150" s="1280"/>
      <c r="QE1150" s="1280"/>
      <c r="QF1150" s="1280"/>
      <c r="QG1150" s="1280"/>
      <c r="QH1150" s="1280"/>
      <c r="QI1150" s="1280"/>
      <c r="QJ1150" s="1280"/>
      <c r="QK1150" s="1280"/>
      <c r="QL1150" s="1280"/>
      <c r="QM1150" s="1280"/>
      <c r="QN1150" s="1280"/>
      <c r="QO1150" s="1280"/>
      <c r="QP1150" s="1280"/>
      <c r="QQ1150" s="1280"/>
      <c r="QR1150" s="1280"/>
      <c r="QS1150" s="1280"/>
      <c r="QT1150" s="1280"/>
      <c r="QU1150" s="1280"/>
      <c r="QV1150" s="1280"/>
      <c r="QW1150" s="1280"/>
      <c r="QX1150" s="1280"/>
      <c r="QY1150" s="1280"/>
      <c r="QZ1150" s="1280"/>
      <c r="RA1150" s="1280"/>
      <c r="RB1150" s="1280"/>
      <c r="RC1150" s="1280"/>
      <c r="RD1150" s="1280"/>
      <c r="RE1150" s="1280"/>
      <c r="RF1150" s="1280"/>
      <c r="RG1150" s="1280"/>
      <c r="RH1150" s="1280"/>
      <c r="RI1150" s="1280"/>
      <c r="RJ1150" s="1280"/>
      <c r="RK1150" s="1280"/>
      <c r="RL1150" s="1280"/>
      <c r="RM1150" s="1280"/>
      <c r="RN1150" s="1280"/>
      <c r="RO1150" s="1280"/>
      <c r="RP1150" s="1280"/>
      <c r="RQ1150" s="1280"/>
      <c r="RR1150" s="1280"/>
      <c r="RS1150" s="1280"/>
      <c r="RT1150" s="1280"/>
      <c r="RU1150" s="1280"/>
      <c r="RV1150" s="1280"/>
      <c r="RW1150" s="1280"/>
      <c r="RX1150" s="1280"/>
      <c r="RY1150" s="1280"/>
      <c r="RZ1150" s="1280"/>
      <c r="SA1150" s="1280"/>
      <c r="SB1150" s="1280"/>
      <c r="SC1150" s="1280"/>
      <c r="SD1150" s="1280"/>
      <c r="SE1150" s="1280"/>
      <c r="SF1150" s="1280"/>
      <c r="SG1150" s="1280"/>
      <c r="SH1150" s="1280"/>
      <c r="SI1150" s="1280"/>
      <c r="SJ1150" s="1280"/>
      <c r="SK1150" s="1280"/>
      <c r="SL1150" s="1280"/>
      <c r="SM1150" s="1280"/>
      <c r="SN1150" s="1280"/>
      <c r="SO1150" s="1280"/>
      <c r="SP1150" s="1280"/>
      <c r="SQ1150" s="1280"/>
      <c r="SR1150" s="1280"/>
      <c r="SS1150" s="1280"/>
      <c r="ST1150" s="1280"/>
      <c r="SU1150" s="1280"/>
      <c r="SV1150" s="1280"/>
      <c r="SW1150" s="1280"/>
      <c r="SX1150" s="1280"/>
      <c r="SY1150" s="1280"/>
      <c r="SZ1150" s="1280"/>
      <c r="TA1150" s="1280"/>
      <c r="TB1150" s="1280"/>
      <c r="TC1150" s="1280"/>
      <c r="TD1150" s="1280"/>
      <c r="TE1150" s="1280"/>
      <c r="TF1150" s="1280"/>
      <c r="TG1150" s="1280"/>
      <c r="TH1150" s="1280"/>
      <c r="TI1150" s="1280"/>
      <c r="TJ1150" s="1280"/>
      <c r="TK1150" s="1280"/>
      <c r="TL1150" s="1280"/>
      <c r="TM1150" s="1280"/>
      <c r="TN1150" s="1280"/>
      <c r="TO1150" s="1280"/>
      <c r="TP1150" s="1280"/>
      <c r="TQ1150" s="1280"/>
      <c r="TR1150" s="1280"/>
      <c r="TS1150" s="1280"/>
      <c r="TT1150" s="1280"/>
      <c r="TU1150" s="1280"/>
      <c r="TV1150" s="1280"/>
      <c r="TW1150" s="1280"/>
      <c r="TX1150" s="1280"/>
      <c r="TY1150" s="1280"/>
      <c r="TZ1150" s="1280"/>
      <c r="UA1150" s="1280"/>
      <c r="UB1150" s="1280"/>
      <c r="UC1150" s="1280"/>
      <c r="UD1150" s="1280"/>
      <c r="UE1150" s="1280"/>
      <c r="UF1150" s="1280"/>
      <c r="UG1150" s="1279"/>
    </row>
    <row r="1151" spans="1:553" s="1262" customFormat="1" ht="29.25" customHeight="1">
      <c r="A1151" s="303"/>
      <c r="B1151" s="1240"/>
      <c r="C1151" s="1411" t="s">
        <v>460</v>
      </c>
      <c r="D1151" s="1452"/>
      <c r="E1151" s="1452"/>
      <c r="F1151" s="1452"/>
      <c r="G1151" s="1226" t="s">
        <v>46</v>
      </c>
      <c r="H1151" s="753"/>
      <c r="I1151" s="1293">
        <f>(157.21*100/1100)*(12-(4-2))*2</f>
        <v>285.83636363636361</v>
      </c>
      <c r="J1151" s="1243">
        <v>15400</v>
      </c>
      <c r="K1151" s="1286">
        <v>0.7</v>
      </c>
      <c r="L1151" s="573">
        <f>ROUND(PRODUCT(I1151:K1151),0)</f>
        <v>3081316</v>
      </c>
      <c r="M1151" s="356"/>
      <c r="N1151" s="356"/>
      <c r="O1151" s="356"/>
      <c r="P1151" s="356"/>
      <c r="Q1151" s="610"/>
      <c r="R1151" s="1226"/>
      <c r="S1151" s="308"/>
      <c r="T1151" s="308"/>
      <c r="U1151" s="308"/>
      <c r="V1151" s="308"/>
      <c r="W1151" s="308"/>
      <c r="X1151" s="308"/>
      <c r="Y1151" s="308"/>
      <c r="Z1151" s="604"/>
      <c r="AA1151" s="308"/>
      <c r="AB1151" s="308"/>
      <c r="AC1151" s="373"/>
      <c r="AD1151" s="373"/>
      <c r="AE1151" s="373"/>
      <c r="AF1151" s="373"/>
      <c r="AG1151" s="373"/>
      <c r="AH1151" s="373"/>
      <c r="AI1151" s="373"/>
      <c r="AJ1151" s="373"/>
      <c r="AK1151" s="389"/>
      <c r="AL1151" s="1276"/>
      <c r="AM1151" s="1276"/>
      <c r="AN1151" s="1276"/>
      <c r="AO1151" s="1276"/>
      <c r="AP1151" s="1276"/>
      <c r="AQ1151" s="1276"/>
      <c r="AR1151" s="1276"/>
      <c r="AS1151" s="1280"/>
      <c r="AT1151" s="1280"/>
      <c r="AU1151" s="1280"/>
      <c r="AV1151" s="1280"/>
      <c r="AW1151" s="1280"/>
      <c r="AX1151" s="1280"/>
      <c r="AY1151" s="1280"/>
      <c r="AZ1151" s="1280"/>
      <c r="BA1151" s="1280"/>
      <c r="BB1151" s="1280"/>
      <c r="BC1151" s="1280"/>
      <c r="BD1151" s="1280"/>
      <c r="BE1151" s="1280"/>
      <c r="BF1151" s="1280"/>
      <c r="BG1151" s="1280"/>
      <c r="BH1151" s="1280"/>
      <c r="BI1151" s="1280"/>
      <c r="BJ1151" s="1280"/>
      <c r="BK1151" s="1280"/>
      <c r="BL1151" s="1280"/>
      <c r="BM1151" s="1280"/>
      <c r="BN1151" s="1280"/>
      <c r="BO1151" s="1280"/>
      <c r="BP1151" s="1280"/>
      <c r="BQ1151" s="1280"/>
      <c r="BR1151" s="1280"/>
      <c r="BS1151" s="1280"/>
      <c r="BT1151" s="1280"/>
      <c r="BU1151" s="1280"/>
      <c r="BV1151" s="1280"/>
      <c r="BW1151" s="1280"/>
      <c r="BX1151" s="1280"/>
      <c r="BY1151" s="1280"/>
      <c r="BZ1151" s="1280"/>
      <c r="CA1151" s="1280"/>
      <c r="CB1151" s="1280"/>
      <c r="CC1151" s="1280"/>
      <c r="CD1151" s="1280"/>
      <c r="CE1151" s="1280"/>
      <c r="CF1151" s="1280"/>
      <c r="CG1151" s="1280"/>
      <c r="CH1151" s="1280"/>
      <c r="CI1151" s="1280"/>
      <c r="CJ1151" s="1280"/>
      <c r="CK1151" s="1280"/>
      <c r="CL1151" s="1280"/>
      <c r="CM1151" s="1280"/>
      <c r="CN1151" s="1280"/>
      <c r="CO1151" s="1280"/>
      <c r="CP1151" s="1280"/>
      <c r="CQ1151" s="1280"/>
      <c r="CR1151" s="1280"/>
      <c r="CS1151" s="1280"/>
      <c r="CT1151" s="1280"/>
      <c r="CU1151" s="1280"/>
      <c r="CV1151" s="1280"/>
      <c r="CW1151" s="1280"/>
      <c r="CX1151" s="1280"/>
      <c r="CY1151" s="1280"/>
      <c r="CZ1151" s="1280"/>
      <c r="DA1151" s="1280"/>
      <c r="DB1151" s="1280"/>
      <c r="DC1151" s="1280"/>
      <c r="DD1151" s="1280"/>
      <c r="DE1151" s="1280"/>
      <c r="DF1151" s="1280"/>
      <c r="DG1151" s="1280"/>
      <c r="DH1151" s="1280"/>
      <c r="DI1151" s="1280"/>
      <c r="DJ1151" s="1280"/>
      <c r="DK1151" s="1280"/>
      <c r="DL1151" s="1280"/>
      <c r="DM1151" s="1280"/>
      <c r="DN1151" s="1280"/>
      <c r="DO1151" s="1280"/>
      <c r="DP1151" s="1280"/>
      <c r="DQ1151" s="1280"/>
      <c r="DR1151" s="1280"/>
      <c r="DS1151" s="1280"/>
      <c r="DT1151" s="1280"/>
      <c r="DU1151" s="1280"/>
      <c r="DV1151" s="1280"/>
      <c r="DW1151" s="1280"/>
      <c r="DX1151" s="1280"/>
      <c r="DY1151" s="1280"/>
      <c r="DZ1151" s="1280"/>
      <c r="EA1151" s="1280"/>
      <c r="EB1151" s="1280"/>
      <c r="EC1151" s="1280"/>
      <c r="ED1151" s="1280"/>
      <c r="EE1151" s="1280"/>
      <c r="EF1151" s="1280"/>
      <c r="EG1151" s="1280"/>
      <c r="EH1151" s="1280"/>
      <c r="EI1151" s="1280"/>
      <c r="EJ1151" s="1280"/>
      <c r="EK1151" s="1280"/>
      <c r="EL1151" s="1280"/>
      <c r="EM1151" s="1280"/>
      <c r="EN1151" s="1280"/>
      <c r="EO1151" s="1280"/>
      <c r="EP1151" s="1280"/>
      <c r="EQ1151" s="1280"/>
      <c r="ER1151" s="1280"/>
      <c r="ES1151" s="1280"/>
      <c r="ET1151" s="1280"/>
      <c r="EU1151" s="1280"/>
      <c r="EV1151" s="1280"/>
      <c r="EW1151" s="1280"/>
      <c r="EX1151" s="1280"/>
      <c r="EY1151" s="1280"/>
      <c r="EZ1151" s="1280"/>
      <c r="FA1151" s="1280"/>
      <c r="FB1151" s="1280"/>
      <c r="FC1151" s="1280"/>
      <c r="FD1151" s="1280"/>
      <c r="FE1151" s="1280"/>
      <c r="FF1151" s="1280"/>
      <c r="FG1151" s="1280"/>
      <c r="FH1151" s="1280"/>
      <c r="FI1151" s="1280"/>
      <c r="FJ1151" s="1280"/>
      <c r="FK1151" s="1280"/>
      <c r="FL1151" s="1280"/>
      <c r="FM1151" s="1280"/>
      <c r="FN1151" s="1280"/>
      <c r="FO1151" s="1280"/>
      <c r="FP1151" s="1280"/>
      <c r="FQ1151" s="1280"/>
      <c r="FR1151" s="1280"/>
      <c r="FS1151" s="1280"/>
      <c r="FT1151" s="1280"/>
      <c r="FU1151" s="1280"/>
      <c r="FV1151" s="1280"/>
      <c r="FW1151" s="1280"/>
      <c r="FX1151" s="1280"/>
      <c r="FY1151" s="1280"/>
      <c r="FZ1151" s="1280"/>
      <c r="GA1151" s="1280"/>
      <c r="GB1151" s="1280"/>
      <c r="GC1151" s="1280"/>
      <c r="GD1151" s="1280"/>
      <c r="GE1151" s="1280"/>
      <c r="GF1151" s="1280"/>
      <c r="GG1151" s="1280"/>
      <c r="GH1151" s="1280"/>
      <c r="GI1151" s="1280"/>
      <c r="GJ1151" s="1280"/>
      <c r="GK1151" s="1280"/>
      <c r="GL1151" s="1280"/>
      <c r="GM1151" s="1280"/>
      <c r="GN1151" s="1280"/>
      <c r="GO1151" s="1280"/>
      <c r="GP1151" s="1280"/>
      <c r="GQ1151" s="1280"/>
      <c r="GR1151" s="1280"/>
      <c r="GS1151" s="1280"/>
      <c r="GT1151" s="1280"/>
      <c r="GU1151" s="1280"/>
      <c r="GV1151" s="1280"/>
      <c r="GW1151" s="1280"/>
      <c r="GX1151" s="1280"/>
      <c r="GY1151" s="1280"/>
      <c r="GZ1151" s="1280"/>
      <c r="HA1151" s="1280"/>
      <c r="HB1151" s="1280"/>
      <c r="HC1151" s="1280"/>
      <c r="HD1151" s="1280"/>
      <c r="HE1151" s="1280"/>
      <c r="HF1151" s="1280"/>
      <c r="HG1151" s="1280"/>
      <c r="HH1151" s="1280"/>
      <c r="HI1151" s="1280"/>
      <c r="HJ1151" s="1280"/>
      <c r="HK1151" s="1280"/>
      <c r="HL1151" s="1280"/>
      <c r="HM1151" s="1280"/>
      <c r="HN1151" s="1280"/>
      <c r="HO1151" s="1280"/>
      <c r="HP1151" s="1280"/>
      <c r="HQ1151" s="1280"/>
      <c r="HR1151" s="1280"/>
      <c r="HS1151" s="1280"/>
      <c r="HT1151" s="1280"/>
      <c r="HU1151" s="1280"/>
      <c r="HV1151" s="1280"/>
      <c r="HW1151" s="1280"/>
      <c r="HX1151" s="1280"/>
      <c r="HY1151" s="1280"/>
      <c r="HZ1151" s="1280"/>
      <c r="IA1151" s="1280"/>
      <c r="IB1151" s="1280"/>
      <c r="IC1151" s="1280"/>
      <c r="ID1151" s="1280"/>
      <c r="IE1151" s="1280"/>
      <c r="IF1151" s="1280"/>
      <c r="IG1151" s="1280"/>
      <c r="IH1151" s="1280"/>
      <c r="II1151" s="1280"/>
      <c r="IJ1151" s="1280"/>
      <c r="IK1151" s="1280"/>
      <c r="IL1151" s="1280"/>
      <c r="IM1151" s="1280"/>
      <c r="IN1151" s="1280"/>
      <c r="IO1151" s="1280"/>
      <c r="IP1151" s="1280"/>
      <c r="IQ1151" s="1280"/>
      <c r="IR1151" s="1280"/>
      <c r="IS1151" s="1280"/>
      <c r="IT1151" s="1280"/>
      <c r="IU1151" s="1280"/>
      <c r="IV1151" s="1280"/>
      <c r="IW1151" s="1280"/>
      <c r="IX1151" s="1280"/>
      <c r="IY1151" s="1280"/>
      <c r="IZ1151" s="1280"/>
      <c r="JA1151" s="1280"/>
      <c r="JB1151" s="1280"/>
      <c r="JC1151" s="1280"/>
      <c r="JD1151" s="1280"/>
      <c r="JE1151" s="1280"/>
      <c r="JF1151" s="1280"/>
      <c r="JG1151" s="1280"/>
      <c r="JH1151" s="1280"/>
      <c r="JI1151" s="1280"/>
      <c r="JJ1151" s="1280"/>
      <c r="JK1151" s="1280"/>
      <c r="JL1151" s="1280"/>
      <c r="JM1151" s="1280"/>
      <c r="JN1151" s="1280"/>
      <c r="JO1151" s="1280"/>
      <c r="JP1151" s="1280"/>
      <c r="JQ1151" s="1280"/>
      <c r="JR1151" s="1280"/>
      <c r="JS1151" s="1280"/>
      <c r="JT1151" s="1280"/>
      <c r="JU1151" s="1280"/>
      <c r="JV1151" s="1280"/>
      <c r="JW1151" s="1280"/>
      <c r="JX1151" s="1280"/>
      <c r="JY1151" s="1280"/>
      <c r="JZ1151" s="1280"/>
      <c r="KA1151" s="1280"/>
      <c r="KB1151" s="1280"/>
      <c r="KC1151" s="1280"/>
      <c r="KD1151" s="1280"/>
      <c r="KE1151" s="1280"/>
      <c r="KF1151" s="1280"/>
      <c r="KG1151" s="1280"/>
      <c r="KH1151" s="1280"/>
      <c r="KI1151" s="1280"/>
      <c r="KJ1151" s="1280"/>
      <c r="KK1151" s="1280"/>
      <c r="KL1151" s="1280"/>
      <c r="KM1151" s="1280"/>
      <c r="KN1151" s="1280"/>
      <c r="KO1151" s="1280"/>
      <c r="KP1151" s="1280"/>
      <c r="KQ1151" s="1280"/>
      <c r="KR1151" s="1280"/>
      <c r="KS1151" s="1280"/>
      <c r="KT1151" s="1280"/>
      <c r="KU1151" s="1280"/>
      <c r="KV1151" s="1280"/>
      <c r="KW1151" s="1280"/>
      <c r="KX1151" s="1280"/>
      <c r="KY1151" s="1280"/>
      <c r="KZ1151" s="1280"/>
      <c r="LA1151" s="1280"/>
      <c r="LB1151" s="1280"/>
      <c r="LC1151" s="1280"/>
      <c r="LD1151" s="1280"/>
      <c r="LE1151" s="1280"/>
      <c r="LF1151" s="1280"/>
      <c r="LG1151" s="1280"/>
      <c r="LH1151" s="1280"/>
      <c r="LI1151" s="1280"/>
      <c r="LJ1151" s="1280"/>
      <c r="LK1151" s="1280"/>
      <c r="LL1151" s="1280"/>
      <c r="LM1151" s="1280"/>
      <c r="LN1151" s="1280"/>
      <c r="LO1151" s="1280"/>
      <c r="LP1151" s="1280"/>
      <c r="LQ1151" s="1280"/>
      <c r="LR1151" s="1280"/>
      <c r="LS1151" s="1280"/>
      <c r="LT1151" s="1280"/>
      <c r="LU1151" s="1280"/>
      <c r="LV1151" s="1280"/>
      <c r="LW1151" s="1280"/>
      <c r="LX1151" s="1280"/>
      <c r="LY1151" s="1280"/>
      <c r="LZ1151" s="1280"/>
      <c r="MA1151" s="1280"/>
      <c r="MB1151" s="1280"/>
      <c r="MC1151" s="1280"/>
      <c r="MD1151" s="1280"/>
      <c r="ME1151" s="1280"/>
      <c r="MF1151" s="1280"/>
      <c r="MG1151" s="1280"/>
      <c r="MH1151" s="1280"/>
      <c r="MI1151" s="1280"/>
      <c r="MJ1151" s="1280"/>
      <c r="MK1151" s="1280"/>
      <c r="ML1151" s="1280"/>
      <c r="MM1151" s="1280"/>
      <c r="MN1151" s="1280"/>
      <c r="MO1151" s="1280"/>
      <c r="MP1151" s="1280"/>
      <c r="MQ1151" s="1280"/>
      <c r="MR1151" s="1280"/>
      <c r="MS1151" s="1280"/>
      <c r="MT1151" s="1280"/>
      <c r="MU1151" s="1280"/>
      <c r="MV1151" s="1280"/>
      <c r="MW1151" s="1280"/>
      <c r="MX1151" s="1280"/>
      <c r="MY1151" s="1280"/>
      <c r="MZ1151" s="1280"/>
      <c r="NA1151" s="1280"/>
      <c r="NB1151" s="1280"/>
      <c r="NC1151" s="1280"/>
      <c r="ND1151" s="1280"/>
      <c r="NE1151" s="1280"/>
      <c r="NF1151" s="1280"/>
      <c r="NG1151" s="1280"/>
      <c r="NH1151" s="1280"/>
      <c r="NI1151" s="1280"/>
      <c r="NJ1151" s="1280"/>
      <c r="NK1151" s="1280"/>
      <c r="NL1151" s="1280"/>
      <c r="NM1151" s="1280"/>
      <c r="NN1151" s="1280"/>
      <c r="NO1151" s="1280"/>
      <c r="NP1151" s="1280"/>
      <c r="NQ1151" s="1280"/>
      <c r="NR1151" s="1280"/>
      <c r="NS1151" s="1280"/>
      <c r="NT1151" s="1280"/>
      <c r="NU1151" s="1280"/>
      <c r="NV1151" s="1280"/>
      <c r="NW1151" s="1280"/>
      <c r="NX1151" s="1280"/>
      <c r="NY1151" s="1280"/>
      <c r="NZ1151" s="1280"/>
      <c r="OA1151" s="1280"/>
      <c r="OB1151" s="1280"/>
      <c r="OC1151" s="1280"/>
      <c r="OD1151" s="1280"/>
      <c r="OE1151" s="1280"/>
      <c r="OF1151" s="1280"/>
      <c r="OG1151" s="1280"/>
      <c r="OH1151" s="1280"/>
      <c r="OI1151" s="1280"/>
      <c r="OJ1151" s="1280"/>
      <c r="OK1151" s="1280"/>
      <c r="OL1151" s="1280"/>
      <c r="OM1151" s="1280"/>
      <c r="ON1151" s="1280"/>
      <c r="OO1151" s="1280"/>
      <c r="OP1151" s="1280"/>
      <c r="OQ1151" s="1280"/>
      <c r="OR1151" s="1280"/>
      <c r="OS1151" s="1280"/>
      <c r="OT1151" s="1280"/>
      <c r="OU1151" s="1280"/>
      <c r="OV1151" s="1280"/>
      <c r="OW1151" s="1280"/>
      <c r="OX1151" s="1280"/>
      <c r="OY1151" s="1280"/>
      <c r="OZ1151" s="1280"/>
      <c r="PA1151" s="1280"/>
      <c r="PB1151" s="1280"/>
      <c r="PC1151" s="1280"/>
      <c r="PD1151" s="1280"/>
      <c r="PE1151" s="1280"/>
      <c r="PF1151" s="1280"/>
      <c r="PG1151" s="1280"/>
      <c r="PH1151" s="1280"/>
      <c r="PI1151" s="1280"/>
      <c r="PJ1151" s="1280"/>
      <c r="PK1151" s="1280"/>
      <c r="PL1151" s="1280"/>
      <c r="PM1151" s="1280"/>
      <c r="PN1151" s="1280"/>
      <c r="PO1151" s="1280"/>
      <c r="PP1151" s="1280"/>
      <c r="PQ1151" s="1280"/>
      <c r="PR1151" s="1280"/>
      <c r="PS1151" s="1280"/>
      <c r="PT1151" s="1280"/>
      <c r="PU1151" s="1280"/>
      <c r="PV1151" s="1280"/>
      <c r="PW1151" s="1280"/>
      <c r="PX1151" s="1280"/>
      <c r="PY1151" s="1280"/>
      <c r="PZ1151" s="1280"/>
      <c r="QA1151" s="1280"/>
      <c r="QB1151" s="1280"/>
      <c r="QC1151" s="1280"/>
      <c r="QD1151" s="1280"/>
      <c r="QE1151" s="1280"/>
      <c r="QF1151" s="1280"/>
      <c r="QG1151" s="1280"/>
      <c r="QH1151" s="1280"/>
      <c r="QI1151" s="1280"/>
      <c r="QJ1151" s="1280"/>
      <c r="QK1151" s="1280"/>
      <c r="QL1151" s="1280"/>
      <c r="QM1151" s="1280"/>
      <c r="QN1151" s="1280"/>
      <c r="QO1151" s="1280"/>
      <c r="QP1151" s="1280"/>
      <c r="QQ1151" s="1280"/>
      <c r="QR1151" s="1280"/>
      <c r="QS1151" s="1280"/>
      <c r="QT1151" s="1280"/>
      <c r="QU1151" s="1280"/>
      <c r="QV1151" s="1280"/>
      <c r="QW1151" s="1280"/>
      <c r="QX1151" s="1280"/>
      <c r="QY1151" s="1280"/>
      <c r="QZ1151" s="1280"/>
      <c r="RA1151" s="1280"/>
      <c r="RB1151" s="1280"/>
      <c r="RC1151" s="1280"/>
      <c r="RD1151" s="1280"/>
      <c r="RE1151" s="1280"/>
      <c r="RF1151" s="1280"/>
      <c r="RG1151" s="1280"/>
      <c r="RH1151" s="1280"/>
      <c r="RI1151" s="1280"/>
      <c r="RJ1151" s="1280"/>
      <c r="RK1151" s="1280"/>
      <c r="RL1151" s="1280"/>
      <c r="RM1151" s="1280"/>
      <c r="RN1151" s="1280"/>
      <c r="RO1151" s="1280"/>
      <c r="RP1151" s="1280"/>
      <c r="RQ1151" s="1280"/>
      <c r="RR1151" s="1280"/>
      <c r="RS1151" s="1280"/>
      <c r="RT1151" s="1280"/>
      <c r="RU1151" s="1280"/>
      <c r="RV1151" s="1280"/>
      <c r="RW1151" s="1280"/>
      <c r="RX1151" s="1280"/>
      <c r="RY1151" s="1280"/>
      <c r="RZ1151" s="1280"/>
      <c r="SA1151" s="1280"/>
      <c r="SB1151" s="1280"/>
      <c r="SC1151" s="1280"/>
      <c r="SD1151" s="1280"/>
      <c r="SE1151" s="1280"/>
      <c r="SF1151" s="1280"/>
      <c r="SG1151" s="1280"/>
      <c r="SH1151" s="1280"/>
      <c r="SI1151" s="1280"/>
      <c r="SJ1151" s="1280"/>
      <c r="SK1151" s="1280"/>
      <c r="SL1151" s="1280"/>
      <c r="SM1151" s="1280"/>
      <c r="SN1151" s="1280"/>
      <c r="SO1151" s="1280"/>
      <c r="SP1151" s="1280"/>
      <c r="SQ1151" s="1280"/>
      <c r="SR1151" s="1280"/>
      <c r="SS1151" s="1280"/>
      <c r="ST1151" s="1280"/>
      <c r="SU1151" s="1280"/>
      <c r="SV1151" s="1280"/>
      <c r="SW1151" s="1280"/>
      <c r="SX1151" s="1280"/>
      <c r="SY1151" s="1280"/>
      <c r="SZ1151" s="1280"/>
      <c r="TA1151" s="1280"/>
      <c r="TB1151" s="1280"/>
      <c r="TC1151" s="1280"/>
      <c r="TD1151" s="1280"/>
      <c r="TE1151" s="1280"/>
      <c r="TF1151" s="1280"/>
      <c r="TG1151" s="1280"/>
      <c r="TH1151" s="1280"/>
      <c r="TI1151" s="1280"/>
      <c r="TJ1151" s="1280"/>
      <c r="TK1151" s="1280"/>
      <c r="TL1151" s="1280"/>
      <c r="TM1151" s="1280"/>
      <c r="TN1151" s="1280"/>
      <c r="TO1151" s="1280"/>
      <c r="TP1151" s="1280"/>
      <c r="TQ1151" s="1280"/>
      <c r="TR1151" s="1280"/>
      <c r="TS1151" s="1280"/>
      <c r="TT1151" s="1280"/>
      <c r="TU1151" s="1280"/>
      <c r="TV1151" s="1280"/>
      <c r="TW1151" s="1280"/>
      <c r="TX1151" s="1280"/>
      <c r="TY1151" s="1280"/>
      <c r="TZ1151" s="1280"/>
      <c r="UA1151" s="1280"/>
      <c r="UB1151" s="1280"/>
      <c r="UC1151" s="1280"/>
      <c r="UD1151" s="1280"/>
      <c r="UE1151" s="1280"/>
      <c r="UF1151" s="1280"/>
      <c r="UG1151" s="1279"/>
    </row>
    <row r="1152" spans="1:553" s="1262" customFormat="1" ht="29.25" customHeight="1">
      <c r="A1152" s="657"/>
      <c r="B1152" s="754"/>
      <c r="C1152" s="1436" t="s">
        <v>258</v>
      </c>
      <c r="D1152" s="1509"/>
      <c r="E1152" s="1509"/>
      <c r="F1152" s="1616"/>
      <c r="G1152" s="554" t="s">
        <v>46</v>
      </c>
      <c r="H1152" s="755"/>
      <c r="I1152" s="1020">
        <f>(95.03*100/500)*(23-(5-3))*1</f>
        <v>399.12599999999998</v>
      </c>
      <c r="J1152" s="989">
        <v>11000</v>
      </c>
      <c r="K1152" s="1022">
        <v>0.7</v>
      </c>
      <c r="L1152" s="1023">
        <f t="shared" ref="L1152" si="169">ROUND(PRODUCT(I1152:K1152),0)</f>
        <v>3073270</v>
      </c>
      <c r="M1152" s="356"/>
      <c r="N1152" s="356"/>
      <c r="O1152" s="356"/>
      <c r="P1152" s="356"/>
      <c r="Q1152" s="610"/>
      <c r="R1152" s="1226"/>
      <c r="S1152" s="308"/>
      <c r="T1152" s="308"/>
      <c r="U1152" s="308"/>
      <c r="V1152" s="308"/>
      <c r="W1152" s="308"/>
      <c r="X1152" s="308"/>
      <c r="Y1152" s="308"/>
      <c r="Z1152" s="604"/>
      <c r="AA1152" s="308"/>
      <c r="AB1152" s="308"/>
      <c r="AC1152" s="373"/>
      <c r="AD1152" s="373"/>
      <c r="AE1152" s="373"/>
      <c r="AF1152" s="373"/>
      <c r="AG1152" s="373"/>
      <c r="AH1152" s="373"/>
      <c r="AI1152" s="373"/>
      <c r="AJ1152" s="373"/>
      <c r="AK1152" s="389"/>
      <c r="AL1152" s="1276"/>
      <c r="AM1152" s="1276"/>
      <c r="AN1152" s="1276"/>
      <c r="AO1152" s="1276"/>
      <c r="AP1152" s="1276"/>
      <c r="AQ1152" s="1276"/>
      <c r="AR1152" s="1276"/>
      <c r="AS1152" s="1280"/>
      <c r="AT1152" s="1280"/>
      <c r="AU1152" s="1280"/>
      <c r="AV1152" s="1280"/>
      <c r="AW1152" s="1280"/>
      <c r="AX1152" s="1280"/>
      <c r="AY1152" s="1280"/>
      <c r="AZ1152" s="1280"/>
      <c r="BA1152" s="1280"/>
      <c r="BB1152" s="1280"/>
      <c r="BC1152" s="1280"/>
      <c r="BD1152" s="1280"/>
      <c r="BE1152" s="1280"/>
      <c r="BF1152" s="1280"/>
      <c r="BG1152" s="1280"/>
      <c r="BH1152" s="1280"/>
      <c r="BI1152" s="1280"/>
      <c r="BJ1152" s="1280"/>
      <c r="BK1152" s="1280"/>
      <c r="BL1152" s="1280"/>
      <c r="BM1152" s="1280"/>
      <c r="BN1152" s="1280"/>
      <c r="BO1152" s="1280"/>
      <c r="BP1152" s="1280"/>
      <c r="BQ1152" s="1280"/>
      <c r="BR1152" s="1280"/>
      <c r="BS1152" s="1280"/>
      <c r="BT1152" s="1280"/>
      <c r="BU1152" s="1280"/>
      <c r="BV1152" s="1280"/>
      <c r="BW1152" s="1280"/>
      <c r="BX1152" s="1280"/>
      <c r="BY1152" s="1280"/>
      <c r="BZ1152" s="1280"/>
      <c r="CA1152" s="1280"/>
      <c r="CB1152" s="1280"/>
      <c r="CC1152" s="1280"/>
      <c r="CD1152" s="1280"/>
      <c r="CE1152" s="1280"/>
      <c r="CF1152" s="1280"/>
      <c r="CG1152" s="1280"/>
      <c r="CH1152" s="1280"/>
      <c r="CI1152" s="1280"/>
      <c r="CJ1152" s="1280"/>
      <c r="CK1152" s="1280"/>
      <c r="CL1152" s="1280"/>
      <c r="CM1152" s="1280"/>
      <c r="CN1152" s="1280"/>
      <c r="CO1152" s="1280"/>
      <c r="CP1152" s="1280"/>
      <c r="CQ1152" s="1280"/>
      <c r="CR1152" s="1280"/>
      <c r="CS1152" s="1280"/>
      <c r="CT1152" s="1280"/>
      <c r="CU1152" s="1280"/>
      <c r="CV1152" s="1280"/>
      <c r="CW1152" s="1280"/>
      <c r="CX1152" s="1280"/>
      <c r="CY1152" s="1280"/>
      <c r="CZ1152" s="1280"/>
      <c r="DA1152" s="1280"/>
      <c r="DB1152" s="1280"/>
      <c r="DC1152" s="1280"/>
      <c r="DD1152" s="1280"/>
      <c r="DE1152" s="1280"/>
      <c r="DF1152" s="1280"/>
      <c r="DG1152" s="1280"/>
      <c r="DH1152" s="1280"/>
      <c r="DI1152" s="1280"/>
      <c r="DJ1152" s="1280"/>
      <c r="DK1152" s="1280"/>
      <c r="DL1152" s="1280"/>
      <c r="DM1152" s="1280"/>
      <c r="DN1152" s="1280"/>
      <c r="DO1152" s="1280"/>
      <c r="DP1152" s="1280"/>
      <c r="DQ1152" s="1280"/>
      <c r="DR1152" s="1280"/>
      <c r="DS1152" s="1280"/>
      <c r="DT1152" s="1280"/>
      <c r="DU1152" s="1280"/>
      <c r="DV1152" s="1280"/>
      <c r="DW1152" s="1280"/>
      <c r="DX1152" s="1280"/>
      <c r="DY1152" s="1280"/>
      <c r="DZ1152" s="1280"/>
      <c r="EA1152" s="1280"/>
      <c r="EB1152" s="1280"/>
      <c r="EC1152" s="1280"/>
      <c r="ED1152" s="1280"/>
      <c r="EE1152" s="1280"/>
      <c r="EF1152" s="1280"/>
      <c r="EG1152" s="1280"/>
      <c r="EH1152" s="1280"/>
      <c r="EI1152" s="1280"/>
      <c r="EJ1152" s="1280"/>
      <c r="EK1152" s="1280"/>
      <c r="EL1152" s="1280"/>
      <c r="EM1152" s="1280"/>
      <c r="EN1152" s="1280"/>
      <c r="EO1152" s="1280"/>
      <c r="EP1152" s="1280"/>
      <c r="EQ1152" s="1280"/>
      <c r="ER1152" s="1280"/>
      <c r="ES1152" s="1280"/>
      <c r="ET1152" s="1280"/>
      <c r="EU1152" s="1280"/>
      <c r="EV1152" s="1280"/>
      <c r="EW1152" s="1280"/>
      <c r="EX1152" s="1280"/>
      <c r="EY1152" s="1280"/>
      <c r="EZ1152" s="1280"/>
      <c r="FA1152" s="1280"/>
      <c r="FB1152" s="1280"/>
      <c r="FC1152" s="1280"/>
      <c r="FD1152" s="1280"/>
      <c r="FE1152" s="1280"/>
      <c r="FF1152" s="1280"/>
      <c r="FG1152" s="1280"/>
      <c r="FH1152" s="1280"/>
      <c r="FI1152" s="1280"/>
      <c r="FJ1152" s="1280"/>
      <c r="FK1152" s="1280"/>
      <c r="FL1152" s="1280"/>
      <c r="FM1152" s="1280"/>
      <c r="FN1152" s="1280"/>
      <c r="FO1152" s="1280"/>
      <c r="FP1152" s="1280"/>
      <c r="FQ1152" s="1280"/>
      <c r="FR1152" s="1280"/>
      <c r="FS1152" s="1280"/>
      <c r="FT1152" s="1280"/>
      <c r="FU1152" s="1280"/>
      <c r="FV1152" s="1280"/>
      <c r="FW1152" s="1280"/>
      <c r="FX1152" s="1280"/>
      <c r="FY1152" s="1280"/>
      <c r="FZ1152" s="1280"/>
      <c r="GA1152" s="1280"/>
      <c r="GB1152" s="1280"/>
      <c r="GC1152" s="1280"/>
      <c r="GD1152" s="1280"/>
      <c r="GE1152" s="1280"/>
      <c r="GF1152" s="1280"/>
      <c r="GG1152" s="1280"/>
      <c r="GH1152" s="1280"/>
      <c r="GI1152" s="1280"/>
      <c r="GJ1152" s="1280"/>
      <c r="GK1152" s="1280"/>
      <c r="GL1152" s="1280"/>
      <c r="GM1152" s="1280"/>
      <c r="GN1152" s="1280"/>
      <c r="GO1152" s="1280"/>
      <c r="GP1152" s="1280"/>
      <c r="GQ1152" s="1280"/>
      <c r="GR1152" s="1280"/>
      <c r="GS1152" s="1280"/>
      <c r="GT1152" s="1280"/>
      <c r="GU1152" s="1280"/>
      <c r="GV1152" s="1280"/>
      <c r="GW1152" s="1280"/>
      <c r="GX1152" s="1280"/>
      <c r="GY1152" s="1280"/>
      <c r="GZ1152" s="1280"/>
      <c r="HA1152" s="1280"/>
      <c r="HB1152" s="1280"/>
      <c r="HC1152" s="1280"/>
      <c r="HD1152" s="1280"/>
      <c r="HE1152" s="1280"/>
      <c r="HF1152" s="1280"/>
      <c r="HG1152" s="1280"/>
      <c r="HH1152" s="1280"/>
      <c r="HI1152" s="1280"/>
      <c r="HJ1152" s="1280"/>
      <c r="HK1152" s="1280"/>
      <c r="HL1152" s="1280"/>
      <c r="HM1152" s="1280"/>
      <c r="HN1152" s="1280"/>
      <c r="HO1152" s="1280"/>
      <c r="HP1152" s="1280"/>
      <c r="HQ1152" s="1280"/>
      <c r="HR1152" s="1280"/>
      <c r="HS1152" s="1280"/>
      <c r="HT1152" s="1280"/>
      <c r="HU1152" s="1280"/>
      <c r="HV1152" s="1280"/>
      <c r="HW1152" s="1280"/>
      <c r="HX1152" s="1280"/>
      <c r="HY1152" s="1280"/>
      <c r="HZ1152" s="1280"/>
      <c r="IA1152" s="1280"/>
      <c r="IB1152" s="1280"/>
      <c r="IC1152" s="1280"/>
      <c r="ID1152" s="1280"/>
      <c r="IE1152" s="1280"/>
      <c r="IF1152" s="1280"/>
      <c r="IG1152" s="1280"/>
      <c r="IH1152" s="1280"/>
      <c r="II1152" s="1280"/>
      <c r="IJ1152" s="1280"/>
      <c r="IK1152" s="1280"/>
      <c r="IL1152" s="1280"/>
      <c r="IM1152" s="1280"/>
      <c r="IN1152" s="1280"/>
      <c r="IO1152" s="1280"/>
      <c r="IP1152" s="1280"/>
      <c r="IQ1152" s="1280"/>
      <c r="IR1152" s="1280"/>
      <c r="IS1152" s="1280"/>
      <c r="IT1152" s="1280"/>
      <c r="IU1152" s="1280"/>
      <c r="IV1152" s="1280"/>
      <c r="IW1152" s="1280"/>
      <c r="IX1152" s="1280"/>
      <c r="IY1152" s="1280"/>
      <c r="IZ1152" s="1280"/>
      <c r="JA1152" s="1280"/>
      <c r="JB1152" s="1280"/>
      <c r="JC1152" s="1280"/>
      <c r="JD1152" s="1280"/>
      <c r="JE1152" s="1280"/>
      <c r="JF1152" s="1280"/>
      <c r="JG1152" s="1280"/>
      <c r="JH1152" s="1280"/>
      <c r="JI1152" s="1280"/>
      <c r="JJ1152" s="1280"/>
      <c r="JK1152" s="1280"/>
      <c r="JL1152" s="1280"/>
      <c r="JM1152" s="1280"/>
      <c r="JN1152" s="1280"/>
      <c r="JO1152" s="1280"/>
      <c r="JP1152" s="1280"/>
      <c r="JQ1152" s="1280"/>
      <c r="JR1152" s="1280"/>
      <c r="JS1152" s="1280"/>
      <c r="JT1152" s="1280"/>
      <c r="JU1152" s="1280"/>
      <c r="JV1152" s="1280"/>
      <c r="JW1152" s="1280"/>
      <c r="JX1152" s="1280"/>
      <c r="JY1152" s="1280"/>
      <c r="JZ1152" s="1280"/>
      <c r="KA1152" s="1280"/>
      <c r="KB1152" s="1280"/>
      <c r="KC1152" s="1280"/>
      <c r="KD1152" s="1280"/>
      <c r="KE1152" s="1280"/>
      <c r="KF1152" s="1280"/>
      <c r="KG1152" s="1280"/>
      <c r="KH1152" s="1280"/>
      <c r="KI1152" s="1280"/>
      <c r="KJ1152" s="1280"/>
      <c r="KK1152" s="1280"/>
      <c r="KL1152" s="1280"/>
      <c r="KM1152" s="1280"/>
      <c r="KN1152" s="1280"/>
      <c r="KO1152" s="1280"/>
      <c r="KP1152" s="1280"/>
      <c r="KQ1152" s="1280"/>
      <c r="KR1152" s="1280"/>
      <c r="KS1152" s="1280"/>
      <c r="KT1152" s="1280"/>
      <c r="KU1152" s="1280"/>
      <c r="KV1152" s="1280"/>
      <c r="KW1152" s="1280"/>
      <c r="KX1152" s="1280"/>
      <c r="KY1152" s="1280"/>
      <c r="KZ1152" s="1280"/>
      <c r="LA1152" s="1280"/>
      <c r="LB1152" s="1280"/>
      <c r="LC1152" s="1280"/>
      <c r="LD1152" s="1280"/>
      <c r="LE1152" s="1280"/>
      <c r="LF1152" s="1280"/>
      <c r="LG1152" s="1280"/>
      <c r="LH1152" s="1280"/>
      <c r="LI1152" s="1280"/>
      <c r="LJ1152" s="1280"/>
      <c r="LK1152" s="1280"/>
      <c r="LL1152" s="1280"/>
      <c r="LM1152" s="1280"/>
      <c r="LN1152" s="1280"/>
      <c r="LO1152" s="1280"/>
      <c r="LP1152" s="1280"/>
      <c r="LQ1152" s="1280"/>
      <c r="LR1152" s="1280"/>
      <c r="LS1152" s="1280"/>
      <c r="LT1152" s="1280"/>
      <c r="LU1152" s="1280"/>
      <c r="LV1152" s="1280"/>
      <c r="LW1152" s="1280"/>
      <c r="LX1152" s="1280"/>
      <c r="LY1152" s="1280"/>
      <c r="LZ1152" s="1280"/>
      <c r="MA1152" s="1280"/>
      <c r="MB1152" s="1280"/>
      <c r="MC1152" s="1280"/>
      <c r="MD1152" s="1280"/>
      <c r="ME1152" s="1280"/>
      <c r="MF1152" s="1280"/>
      <c r="MG1152" s="1280"/>
      <c r="MH1152" s="1280"/>
      <c r="MI1152" s="1280"/>
      <c r="MJ1152" s="1280"/>
      <c r="MK1152" s="1280"/>
      <c r="ML1152" s="1280"/>
      <c r="MM1152" s="1280"/>
      <c r="MN1152" s="1280"/>
      <c r="MO1152" s="1280"/>
      <c r="MP1152" s="1280"/>
      <c r="MQ1152" s="1280"/>
      <c r="MR1152" s="1280"/>
      <c r="MS1152" s="1280"/>
      <c r="MT1152" s="1280"/>
      <c r="MU1152" s="1280"/>
      <c r="MV1152" s="1280"/>
      <c r="MW1152" s="1280"/>
      <c r="MX1152" s="1280"/>
      <c r="MY1152" s="1280"/>
      <c r="MZ1152" s="1280"/>
      <c r="NA1152" s="1280"/>
      <c r="NB1152" s="1280"/>
      <c r="NC1152" s="1280"/>
      <c r="ND1152" s="1280"/>
      <c r="NE1152" s="1280"/>
      <c r="NF1152" s="1280"/>
      <c r="NG1152" s="1280"/>
      <c r="NH1152" s="1280"/>
      <c r="NI1152" s="1280"/>
      <c r="NJ1152" s="1280"/>
      <c r="NK1152" s="1280"/>
      <c r="NL1152" s="1280"/>
      <c r="NM1152" s="1280"/>
      <c r="NN1152" s="1280"/>
      <c r="NO1152" s="1280"/>
      <c r="NP1152" s="1280"/>
      <c r="NQ1152" s="1280"/>
      <c r="NR1152" s="1280"/>
      <c r="NS1152" s="1280"/>
      <c r="NT1152" s="1280"/>
      <c r="NU1152" s="1280"/>
      <c r="NV1152" s="1280"/>
      <c r="NW1152" s="1280"/>
      <c r="NX1152" s="1280"/>
      <c r="NY1152" s="1280"/>
      <c r="NZ1152" s="1280"/>
      <c r="OA1152" s="1280"/>
      <c r="OB1152" s="1280"/>
      <c r="OC1152" s="1280"/>
      <c r="OD1152" s="1280"/>
      <c r="OE1152" s="1280"/>
      <c r="OF1152" s="1280"/>
      <c r="OG1152" s="1280"/>
      <c r="OH1152" s="1280"/>
      <c r="OI1152" s="1280"/>
      <c r="OJ1152" s="1280"/>
      <c r="OK1152" s="1280"/>
      <c r="OL1152" s="1280"/>
      <c r="OM1152" s="1280"/>
      <c r="ON1152" s="1280"/>
      <c r="OO1152" s="1280"/>
      <c r="OP1152" s="1280"/>
      <c r="OQ1152" s="1280"/>
      <c r="OR1152" s="1280"/>
      <c r="OS1152" s="1280"/>
      <c r="OT1152" s="1280"/>
      <c r="OU1152" s="1280"/>
      <c r="OV1152" s="1280"/>
      <c r="OW1152" s="1280"/>
      <c r="OX1152" s="1280"/>
      <c r="OY1152" s="1280"/>
      <c r="OZ1152" s="1280"/>
      <c r="PA1152" s="1280"/>
      <c r="PB1152" s="1280"/>
      <c r="PC1152" s="1280"/>
      <c r="PD1152" s="1280"/>
      <c r="PE1152" s="1280"/>
      <c r="PF1152" s="1280"/>
      <c r="PG1152" s="1280"/>
      <c r="PH1152" s="1280"/>
      <c r="PI1152" s="1280"/>
      <c r="PJ1152" s="1280"/>
      <c r="PK1152" s="1280"/>
      <c r="PL1152" s="1280"/>
      <c r="PM1152" s="1280"/>
      <c r="PN1152" s="1280"/>
      <c r="PO1152" s="1280"/>
      <c r="PP1152" s="1280"/>
      <c r="PQ1152" s="1280"/>
      <c r="PR1152" s="1280"/>
      <c r="PS1152" s="1280"/>
      <c r="PT1152" s="1280"/>
      <c r="PU1152" s="1280"/>
      <c r="PV1152" s="1280"/>
      <c r="PW1152" s="1280"/>
      <c r="PX1152" s="1280"/>
      <c r="PY1152" s="1280"/>
      <c r="PZ1152" s="1280"/>
      <c r="QA1152" s="1280"/>
      <c r="QB1152" s="1280"/>
      <c r="QC1152" s="1280"/>
      <c r="QD1152" s="1280"/>
      <c r="QE1152" s="1280"/>
      <c r="QF1152" s="1280"/>
      <c r="QG1152" s="1280"/>
      <c r="QH1152" s="1280"/>
      <c r="QI1152" s="1280"/>
      <c r="QJ1152" s="1280"/>
      <c r="QK1152" s="1280"/>
      <c r="QL1152" s="1280"/>
      <c r="QM1152" s="1280"/>
      <c r="QN1152" s="1280"/>
      <c r="QO1152" s="1280"/>
      <c r="QP1152" s="1280"/>
      <c r="QQ1152" s="1280"/>
      <c r="QR1152" s="1280"/>
      <c r="QS1152" s="1280"/>
      <c r="QT1152" s="1280"/>
      <c r="QU1152" s="1280"/>
      <c r="QV1152" s="1280"/>
      <c r="QW1152" s="1280"/>
      <c r="QX1152" s="1280"/>
      <c r="QY1152" s="1280"/>
      <c r="QZ1152" s="1280"/>
      <c r="RA1152" s="1280"/>
      <c r="RB1152" s="1280"/>
      <c r="RC1152" s="1280"/>
      <c r="RD1152" s="1280"/>
      <c r="RE1152" s="1280"/>
      <c r="RF1152" s="1280"/>
      <c r="RG1152" s="1280"/>
      <c r="RH1152" s="1280"/>
      <c r="RI1152" s="1280"/>
      <c r="RJ1152" s="1280"/>
      <c r="RK1152" s="1280"/>
      <c r="RL1152" s="1280"/>
      <c r="RM1152" s="1280"/>
      <c r="RN1152" s="1280"/>
      <c r="RO1152" s="1280"/>
      <c r="RP1152" s="1280"/>
      <c r="RQ1152" s="1280"/>
      <c r="RR1152" s="1280"/>
      <c r="RS1152" s="1280"/>
      <c r="RT1152" s="1280"/>
      <c r="RU1152" s="1280"/>
      <c r="RV1152" s="1280"/>
      <c r="RW1152" s="1280"/>
      <c r="RX1152" s="1280"/>
      <c r="RY1152" s="1280"/>
      <c r="RZ1152" s="1280"/>
      <c r="SA1152" s="1280"/>
      <c r="SB1152" s="1280"/>
      <c r="SC1152" s="1280"/>
      <c r="SD1152" s="1280"/>
      <c r="SE1152" s="1280"/>
      <c r="SF1152" s="1280"/>
      <c r="SG1152" s="1280"/>
      <c r="SH1152" s="1280"/>
      <c r="SI1152" s="1280"/>
      <c r="SJ1152" s="1280"/>
      <c r="SK1152" s="1280"/>
      <c r="SL1152" s="1280"/>
      <c r="SM1152" s="1280"/>
      <c r="SN1152" s="1280"/>
      <c r="SO1152" s="1280"/>
      <c r="SP1152" s="1280"/>
      <c r="SQ1152" s="1280"/>
      <c r="SR1152" s="1280"/>
      <c r="SS1152" s="1280"/>
      <c r="ST1152" s="1280"/>
      <c r="SU1152" s="1280"/>
      <c r="SV1152" s="1280"/>
      <c r="SW1152" s="1280"/>
      <c r="SX1152" s="1280"/>
      <c r="SY1152" s="1280"/>
      <c r="SZ1152" s="1280"/>
      <c r="TA1152" s="1280"/>
      <c r="TB1152" s="1280"/>
      <c r="TC1152" s="1280"/>
      <c r="TD1152" s="1280"/>
      <c r="TE1152" s="1280"/>
      <c r="TF1152" s="1280"/>
      <c r="TG1152" s="1280"/>
      <c r="TH1152" s="1280"/>
      <c r="TI1152" s="1280"/>
      <c r="TJ1152" s="1280"/>
      <c r="TK1152" s="1280"/>
      <c r="TL1152" s="1280"/>
      <c r="TM1152" s="1280"/>
      <c r="TN1152" s="1280"/>
      <c r="TO1152" s="1280"/>
      <c r="TP1152" s="1280"/>
      <c r="TQ1152" s="1280"/>
      <c r="TR1152" s="1280"/>
      <c r="TS1152" s="1280"/>
      <c r="TT1152" s="1280"/>
      <c r="TU1152" s="1280"/>
      <c r="TV1152" s="1280"/>
      <c r="TW1152" s="1280"/>
      <c r="TX1152" s="1280"/>
      <c r="TY1152" s="1280"/>
      <c r="TZ1152" s="1280"/>
      <c r="UA1152" s="1280"/>
      <c r="UB1152" s="1280"/>
      <c r="UC1152" s="1280"/>
      <c r="UD1152" s="1280"/>
      <c r="UE1152" s="1280"/>
      <c r="UF1152" s="1280"/>
      <c r="UG1152" s="1279"/>
    </row>
    <row r="1153" spans="1:553" s="1262" customFormat="1" ht="29.25" customHeight="1">
      <c r="A1153" s="436"/>
      <c r="B1153" s="1240"/>
      <c r="C1153" s="1411" t="s">
        <v>1212</v>
      </c>
      <c r="D1153" s="1411"/>
      <c r="E1153" s="1411"/>
      <c r="F1153" s="1411"/>
      <c r="G1153" s="412" t="s">
        <v>196</v>
      </c>
      <c r="H1153" s="753"/>
      <c r="I1153" s="1107">
        <f>(55.03*100/400)*(32-(4-3))*5</f>
        <v>2132.4124999999999</v>
      </c>
      <c r="J1153" s="1243">
        <v>7300</v>
      </c>
      <c r="K1153" s="578">
        <v>0.7</v>
      </c>
      <c r="L1153" s="1243">
        <f>ROUND(PRODUCT(I1153:K1153),0)</f>
        <v>10896628</v>
      </c>
      <c r="M1153" s="356"/>
      <c r="N1153" s="356"/>
      <c r="O1153" s="356"/>
      <c r="P1153" s="356"/>
      <c r="Q1153" s="610"/>
      <c r="R1153" s="1226"/>
      <c r="S1153" s="308"/>
      <c r="T1153" s="308"/>
      <c r="U1153" s="308"/>
      <c r="V1153" s="308"/>
      <c r="W1153" s="308"/>
      <c r="X1153" s="308"/>
      <c r="Y1153" s="308"/>
      <c r="Z1153" s="604"/>
      <c r="AA1153" s="308"/>
      <c r="AB1153" s="308"/>
      <c r="AC1153" s="373"/>
      <c r="AD1153" s="373"/>
      <c r="AE1153" s="373"/>
      <c r="AF1153" s="373"/>
      <c r="AG1153" s="373"/>
      <c r="AH1153" s="373"/>
      <c r="AI1153" s="373"/>
      <c r="AJ1153" s="373"/>
      <c r="AK1153" s="389"/>
      <c r="AL1153" s="1276"/>
      <c r="AM1153" s="1276"/>
      <c r="AN1153" s="1276"/>
      <c r="AO1153" s="1276"/>
      <c r="AP1153" s="1276"/>
      <c r="AQ1153" s="1276"/>
      <c r="AR1153" s="1276"/>
      <c r="AS1153" s="1280"/>
      <c r="AT1153" s="1280"/>
      <c r="AU1153" s="1280"/>
      <c r="AV1153" s="1280"/>
      <c r="AW1153" s="1280"/>
      <c r="AX1153" s="1280"/>
      <c r="AY1153" s="1280"/>
      <c r="AZ1153" s="1280"/>
      <c r="BA1153" s="1280"/>
      <c r="BB1153" s="1280"/>
      <c r="BC1153" s="1280"/>
      <c r="BD1153" s="1280"/>
      <c r="BE1153" s="1280"/>
      <c r="BF1153" s="1280"/>
      <c r="BG1153" s="1280"/>
      <c r="BH1153" s="1280"/>
      <c r="BI1153" s="1280"/>
      <c r="BJ1153" s="1280"/>
      <c r="BK1153" s="1280"/>
      <c r="BL1153" s="1280"/>
      <c r="BM1153" s="1280"/>
      <c r="BN1153" s="1280"/>
      <c r="BO1153" s="1280"/>
      <c r="BP1153" s="1280"/>
      <c r="BQ1153" s="1280"/>
      <c r="BR1153" s="1280"/>
      <c r="BS1153" s="1280"/>
      <c r="BT1153" s="1280"/>
      <c r="BU1153" s="1280"/>
      <c r="BV1153" s="1280"/>
      <c r="BW1153" s="1280"/>
      <c r="BX1153" s="1280"/>
      <c r="BY1153" s="1280"/>
      <c r="BZ1153" s="1280"/>
      <c r="CA1153" s="1280"/>
      <c r="CB1153" s="1280"/>
      <c r="CC1153" s="1280"/>
      <c r="CD1153" s="1280"/>
      <c r="CE1153" s="1280"/>
      <c r="CF1153" s="1280"/>
      <c r="CG1153" s="1280"/>
      <c r="CH1153" s="1280"/>
      <c r="CI1153" s="1280"/>
      <c r="CJ1153" s="1280"/>
      <c r="CK1153" s="1280"/>
      <c r="CL1153" s="1280"/>
      <c r="CM1153" s="1280"/>
      <c r="CN1153" s="1280"/>
      <c r="CO1153" s="1280"/>
      <c r="CP1153" s="1280"/>
      <c r="CQ1153" s="1280"/>
      <c r="CR1153" s="1280"/>
      <c r="CS1153" s="1280"/>
      <c r="CT1153" s="1280"/>
      <c r="CU1153" s="1280"/>
      <c r="CV1153" s="1280"/>
      <c r="CW1153" s="1280"/>
      <c r="CX1153" s="1280"/>
      <c r="CY1153" s="1280"/>
      <c r="CZ1153" s="1280"/>
      <c r="DA1153" s="1280"/>
      <c r="DB1153" s="1280"/>
      <c r="DC1153" s="1280"/>
      <c r="DD1153" s="1280"/>
      <c r="DE1153" s="1280"/>
      <c r="DF1153" s="1280"/>
      <c r="DG1153" s="1280"/>
      <c r="DH1153" s="1280"/>
      <c r="DI1153" s="1280"/>
      <c r="DJ1153" s="1280"/>
      <c r="DK1153" s="1280"/>
      <c r="DL1153" s="1280"/>
      <c r="DM1153" s="1280"/>
      <c r="DN1153" s="1280"/>
      <c r="DO1153" s="1280"/>
      <c r="DP1153" s="1280"/>
      <c r="DQ1153" s="1280"/>
      <c r="DR1153" s="1280"/>
      <c r="DS1153" s="1280"/>
      <c r="DT1153" s="1280"/>
      <c r="DU1153" s="1280"/>
      <c r="DV1153" s="1280"/>
      <c r="DW1153" s="1280"/>
      <c r="DX1153" s="1280"/>
      <c r="DY1153" s="1280"/>
      <c r="DZ1153" s="1280"/>
      <c r="EA1153" s="1280"/>
      <c r="EB1153" s="1280"/>
      <c r="EC1153" s="1280"/>
      <c r="ED1153" s="1280"/>
      <c r="EE1153" s="1280"/>
      <c r="EF1153" s="1280"/>
      <c r="EG1153" s="1280"/>
      <c r="EH1153" s="1280"/>
      <c r="EI1153" s="1280"/>
      <c r="EJ1153" s="1280"/>
      <c r="EK1153" s="1280"/>
      <c r="EL1153" s="1280"/>
      <c r="EM1153" s="1280"/>
      <c r="EN1153" s="1280"/>
      <c r="EO1153" s="1280"/>
      <c r="EP1153" s="1280"/>
      <c r="EQ1153" s="1280"/>
      <c r="ER1153" s="1280"/>
      <c r="ES1153" s="1280"/>
      <c r="ET1153" s="1280"/>
      <c r="EU1153" s="1280"/>
      <c r="EV1153" s="1280"/>
      <c r="EW1153" s="1280"/>
      <c r="EX1153" s="1280"/>
      <c r="EY1153" s="1280"/>
      <c r="EZ1153" s="1280"/>
      <c r="FA1153" s="1280"/>
      <c r="FB1153" s="1280"/>
      <c r="FC1153" s="1280"/>
      <c r="FD1153" s="1280"/>
      <c r="FE1153" s="1280"/>
      <c r="FF1153" s="1280"/>
      <c r="FG1153" s="1280"/>
      <c r="FH1153" s="1280"/>
      <c r="FI1153" s="1280"/>
      <c r="FJ1153" s="1280"/>
      <c r="FK1153" s="1280"/>
      <c r="FL1153" s="1280"/>
      <c r="FM1153" s="1280"/>
      <c r="FN1153" s="1280"/>
      <c r="FO1153" s="1280"/>
      <c r="FP1153" s="1280"/>
      <c r="FQ1153" s="1280"/>
      <c r="FR1153" s="1280"/>
      <c r="FS1153" s="1280"/>
      <c r="FT1153" s="1280"/>
      <c r="FU1153" s="1280"/>
      <c r="FV1153" s="1280"/>
      <c r="FW1153" s="1280"/>
      <c r="FX1153" s="1280"/>
      <c r="FY1153" s="1280"/>
      <c r="FZ1153" s="1280"/>
      <c r="GA1153" s="1280"/>
      <c r="GB1153" s="1280"/>
      <c r="GC1153" s="1280"/>
      <c r="GD1153" s="1280"/>
      <c r="GE1153" s="1280"/>
      <c r="GF1153" s="1280"/>
      <c r="GG1153" s="1280"/>
      <c r="GH1153" s="1280"/>
      <c r="GI1153" s="1280"/>
      <c r="GJ1153" s="1280"/>
      <c r="GK1153" s="1280"/>
      <c r="GL1153" s="1280"/>
      <c r="GM1153" s="1280"/>
      <c r="GN1153" s="1280"/>
      <c r="GO1153" s="1280"/>
      <c r="GP1153" s="1280"/>
      <c r="GQ1153" s="1280"/>
      <c r="GR1153" s="1280"/>
      <c r="GS1153" s="1280"/>
      <c r="GT1153" s="1280"/>
      <c r="GU1153" s="1280"/>
      <c r="GV1153" s="1280"/>
      <c r="GW1153" s="1280"/>
      <c r="GX1153" s="1280"/>
      <c r="GY1153" s="1280"/>
      <c r="GZ1153" s="1280"/>
      <c r="HA1153" s="1280"/>
      <c r="HB1153" s="1280"/>
      <c r="HC1153" s="1280"/>
      <c r="HD1153" s="1280"/>
      <c r="HE1153" s="1280"/>
      <c r="HF1153" s="1280"/>
      <c r="HG1153" s="1280"/>
      <c r="HH1153" s="1280"/>
      <c r="HI1153" s="1280"/>
      <c r="HJ1153" s="1280"/>
      <c r="HK1153" s="1280"/>
      <c r="HL1153" s="1280"/>
      <c r="HM1153" s="1280"/>
      <c r="HN1153" s="1280"/>
      <c r="HO1153" s="1280"/>
      <c r="HP1153" s="1280"/>
      <c r="HQ1153" s="1280"/>
      <c r="HR1153" s="1280"/>
      <c r="HS1153" s="1280"/>
      <c r="HT1153" s="1280"/>
      <c r="HU1153" s="1280"/>
      <c r="HV1153" s="1280"/>
      <c r="HW1153" s="1280"/>
      <c r="HX1153" s="1280"/>
      <c r="HY1153" s="1280"/>
      <c r="HZ1153" s="1280"/>
      <c r="IA1153" s="1280"/>
      <c r="IB1153" s="1280"/>
      <c r="IC1153" s="1280"/>
      <c r="ID1153" s="1280"/>
      <c r="IE1153" s="1280"/>
      <c r="IF1153" s="1280"/>
      <c r="IG1153" s="1280"/>
      <c r="IH1153" s="1280"/>
      <c r="II1153" s="1280"/>
      <c r="IJ1153" s="1280"/>
      <c r="IK1153" s="1280"/>
      <c r="IL1153" s="1280"/>
      <c r="IM1153" s="1280"/>
      <c r="IN1153" s="1280"/>
      <c r="IO1153" s="1280"/>
      <c r="IP1153" s="1280"/>
      <c r="IQ1153" s="1280"/>
      <c r="IR1153" s="1280"/>
      <c r="IS1153" s="1280"/>
      <c r="IT1153" s="1280"/>
      <c r="IU1153" s="1280"/>
      <c r="IV1153" s="1280"/>
      <c r="IW1153" s="1280"/>
      <c r="IX1153" s="1280"/>
      <c r="IY1153" s="1280"/>
      <c r="IZ1153" s="1280"/>
      <c r="JA1153" s="1280"/>
      <c r="JB1153" s="1280"/>
      <c r="JC1153" s="1280"/>
      <c r="JD1153" s="1280"/>
      <c r="JE1153" s="1280"/>
      <c r="JF1153" s="1280"/>
      <c r="JG1153" s="1280"/>
      <c r="JH1153" s="1280"/>
      <c r="JI1153" s="1280"/>
      <c r="JJ1153" s="1280"/>
      <c r="JK1153" s="1280"/>
      <c r="JL1153" s="1280"/>
      <c r="JM1153" s="1280"/>
      <c r="JN1153" s="1280"/>
      <c r="JO1153" s="1280"/>
      <c r="JP1153" s="1280"/>
      <c r="JQ1153" s="1280"/>
      <c r="JR1153" s="1280"/>
      <c r="JS1153" s="1280"/>
      <c r="JT1153" s="1280"/>
      <c r="JU1153" s="1280"/>
      <c r="JV1153" s="1280"/>
      <c r="JW1153" s="1280"/>
      <c r="JX1153" s="1280"/>
      <c r="JY1153" s="1280"/>
      <c r="JZ1153" s="1280"/>
      <c r="KA1153" s="1280"/>
      <c r="KB1153" s="1280"/>
      <c r="KC1153" s="1280"/>
      <c r="KD1153" s="1280"/>
      <c r="KE1153" s="1280"/>
      <c r="KF1153" s="1280"/>
      <c r="KG1153" s="1280"/>
      <c r="KH1153" s="1280"/>
      <c r="KI1153" s="1280"/>
      <c r="KJ1153" s="1280"/>
      <c r="KK1153" s="1280"/>
      <c r="KL1153" s="1280"/>
      <c r="KM1153" s="1280"/>
      <c r="KN1153" s="1280"/>
      <c r="KO1153" s="1280"/>
      <c r="KP1153" s="1280"/>
      <c r="KQ1153" s="1280"/>
      <c r="KR1153" s="1280"/>
      <c r="KS1153" s="1280"/>
      <c r="KT1153" s="1280"/>
      <c r="KU1153" s="1280"/>
      <c r="KV1153" s="1280"/>
      <c r="KW1153" s="1280"/>
      <c r="KX1153" s="1280"/>
      <c r="KY1153" s="1280"/>
      <c r="KZ1153" s="1280"/>
      <c r="LA1153" s="1280"/>
      <c r="LB1153" s="1280"/>
      <c r="LC1153" s="1280"/>
      <c r="LD1153" s="1280"/>
      <c r="LE1153" s="1280"/>
      <c r="LF1153" s="1280"/>
      <c r="LG1153" s="1280"/>
      <c r="LH1153" s="1280"/>
      <c r="LI1153" s="1280"/>
      <c r="LJ1153" s="1280"/>
      <c r="LK1153" s="1280"/>
      <c r="LL1153" s="1280"/>
      <c r="LM1153" s="1280"/>
      <c r="LN1153" s="1280"/>
      <c r="LO1153" s="1280"/>
      <c r="LP1153" s="1280"/>
      <c r="LQ1153" s="1280"/>
      <c r="LR1153" s="1280"/>
      <c r="LS1153" s="1280"/>
      <c r="LT1153" s="1280"/>
      <c r="LU1153" s="1280"/>
      <c r="LV1153" s="1280"/>
      <c r="LW1153" s="1280"/>
      <c r="LX1153" s="1280"/>
      <c r="LY1153" s="1280"/>
      <c r="LZ1153" s="1280"/>
      <c r="MA1153" s="1280"/>
      <c r="MB1153" s="1280"/>
      <c r="MC1153" s="1280"/>
      <c r="MD1153" s="1280"/>
      <c r="ME1153" s="1280"/>
      <c r="MF1153" s="1280"/>
      <c r="MG1153" s="1280"/>
      <c r="MH1153" s="1280"/>
      <c r="MI1153" s="1280"/>
      <c r="MJ1153" s="1280"/>
      <c r="MK1153" s="1280"/>
      <c r="ML1153" s="1280"/>
      <c r="MM1153" s="1280"/>
      <c r="MN1153" s="1280"/>
      <c r="MO1153" s="1280"/>
      <c r="MP1153" s="1280"/>
      <c r="MQ1153" s="1280"/>
      <c r="MR1153" s="1280"/>
      <c r="MS1153" s="1280"/>
      <c r="MT1153" s="1280"/>
      <c r="MU1153" s="1280"/>
      <c r="MV1153" s="1280"/>
      <c r="MW1153" s="1280"/>
      <c r="MX1153" s="1280"/>
      <c r="MY1153" s="1280"/>
      <c r="MZ1153" s="1280"/>
      <c r="NA1153" s="1280"/>
      <c r="NB1153" s="1280"/>
      <c r="NC1153" s="1280"/>
      <c r="ND1153" s="1280"/>
      <c r="NE1153" s="1280"/>
      <c r="NF1153" s="1280"/>
      <c r="NG1153" s="1280"/>
      <c r="NH1153" s="1280"/>
      <c r="NI1153" s="1280"/>
      <c r="NJ1153" s="1280"/>
      <c r="NK1153" s="1280"/>
      <c r="NL1153" s="1280"/>
      <c r="NM1153" s="1280"/>
      <c r="NN1153" s="1280"/>
      <c r="NO1153" s="1280"/>
      <c r="NP1153" s="1280"/>
      <c r="NQ1153" s="1280"/>
      <c r="NR1153" s="1280"/>
      <c r="NS1153" s="1280"/>
      <c r="NT1153" s="1280"/>
      <c r="NU1153" s="1280"/>
      <c r="NV1153" s="1280"/>
      <c r="NW1153" s="1280"/>
      <c r="NX1153" s="1280"/>
      <c r="NY1153" s="1280"/>
      <c r="NZ1153" s="1280"/>
      <c r="OA1153" s="1280"/>
      <c r="OB1153" s="1280"/>
      <c r="OC1153" s="1280"/>
      <c r="OD1153" s="1280"/>
      <c r="OE1153" s="1280"/>
      <c r="OF1153" s="1280"/>
      <c r="OG1153" s="1280"/>
      <c r="OH1153" s="1280"/>
      <c r="OI1153" s="1280"/>
      <c r="OJ1153" s="1280"/>
      <c r="OK1153" s="1280"/>
      <c r="OL1153" s="1280"/>
      <c r="OM1153" s="1280"/>
      <c r="ON1153" s="1280"/>
      <c r="OO1153" s="1280"/>
      <c r="OP1153" s="1280"/>
      <c r="OQ1153" s="1280"/>
      <c r="OR1153" s="1280"/>
      <c r="OS1153" s="1280"/>
      <c r="OT1153" s="1280"/>
      <c r="OU1153" s="1280"/>
      <c r="OV1153" s="1280"/>
      <c r="OW1153" s="1280"/>
      <c r="OX1153" s="1280"/>
      <c r="OY1153" s="1280"/>
      <c r="OZ1153" s="1280"/>
      <c r="PA1153" s="1280"/>
      <c r="PB1153" s="1280"/>
      <c r="PC1153" s="1280"/>
      <c r="PD1153" s="1280"/>
      <c r="PE1153" s="1280"/>
      <c r="PF1153" s="1280"/>
      <c r="PG1153" s="1280"/>
      <c r="PH1153" s="1280"/>
      <c r="PI1153" s="1280"/>
      <c r="PJ1153" s="1280"/>
      <c r="PK1153" s="1280"/>
      <c r="PL1153" s="1280"/>
      <c r="PM1153" s="1280"/>
      <c r="PN1153" s="1280"/>
      <c r="PO1153" s="1280"/>
      <c r="PP1153" s="1280"/>
      <c r="PQ1153" s="1280"/>
      <c r="PR1153" s="1280"/>
      <c r="PS1153" s="1280"/>
      <c r="PT1153" s="1280"/>
      <c r="PU1153" s="1280"/>
      <c r="PV1153" s="1280"/>
      <c r="PW1153" s="1280"/>
      <c r="PX1153" s="1280"/>
      <c r="PY1153" s="1280"/>
      <c r="PZ1153" s="1280"/>
      <c r="QA1153" s="1280"/>
      <c r="QB1153" s="1280"/>
      <c r="QC1153" s="1280"/>
      <c r="QD1153" s="1280"/>
      <c r="QE1153" s="1280"/>
      <c r="QF1153" s="1280"/>
      <c r="QG1153" s="1280"/>
      <c r="QH1153" s="1280"/>
      <c r="QI1153" s="1280"/>
      <c r="QJ1153" s="1280"/>
      <c r="QK1153" s="1280"/>
      <c r="QL1153" s="1280"/>
      <c r="QM1153" s="1280"/>
      <c r="QN1153" s="1280"/>
      <c r="QO1153" s="1280"/>
      <c r="QP1153" s="1280"/>
      <c r="QQ1153" s="1280"/>
      <c r="QR1153" s="1280"/>
      <c r="QS1153" s="1280"/>
      <c r="QT1153" s="1280"/>
      <c r="QU1153" s="1280"/>
      <c r="QV1153" s="1280"/>
      <c r="QW1153" s="1280"/>
      <c r="QX1153" s="1280"/>
      <c r="QY1153" s="1280"/>
      <c r="QZ1153" s="1280"/>
      <c r="RA1153" s="1280"/>
      <c r="RB1153" s="1280"/>
      <c r="RC1153" s="1280"/>
      <c r="RD1153" s="1280"/>
      <c r="RE1153" s="1280"/>
      <c r="RF1153" s="1280"/>
      <c r="RG1153" s="1280"/>
      <c r="RH1153" s="1280"/>
      <c r="RI1153" s="1280"/>
      <c r="RJ1153" s="1280"/>
      <c r="RK1153" s="1280"/>
      <c r="RL1153" s="1280"/>
      <c r="RM1153" s="1280"/>
      <c r="RN1153" s="1280"/>
      <c r="RO1153" s="1280"/>
      <c r="RP1153" s="1280"/>
      <c r="RQ1153" s="1280"/>
      <c r="RR1153" s="1280"/>
      <c r="RS1153" s="1280"/>
      <c r="RT1153" s="1280"/>
      <c r="RU1153" s="1280"/>
      <c r="RV1153" s="1280"/>
      <c r="RW1153" s="1280"/>
      <c r="RX1153" s="1280"/>
      <c r="RY1153" s="1280"/>
      <c r="RZ1153" s="1280"/>
      <c r="SA1153" s="1280"/>
      <c r="SB1153" s="1280"/>
      <c r="SC1153" s="1280"/>
      <c r="SD1153" s="1280"/>
      <c r="SE1153" s="1280"/>
      <c r="SF1153" s="1280"/>
      <c r="SG1153" s="1280"/>
      <c r="SH1153" s="1280"/>
      <c r="SI1153" s="1280"/>
      <c r="SJ1153" s="1280"/>
      <c r="SK1153" s="1280"/>
      <c r="SL1153" s="1280"/>
      <c r="SM1153" s="1280"/>
      <c r="SN1153" s="1280"/>
      <c r="SO1153" s="1280"/>
      <c r="SP1153" s="1280"/>
      <c r="SQ1153" s="1280"/>
      <c r="SR1153" s="1280"/>
      <c r="SS1153" s="1280"/>
      <c r="ST1153" s="1280"/>
      <c r="SU1153" s="1280"/>
      <c r="SV1153" s="1280"/>
      <c r="SW1153" s="1280"/>
      <c r="SX1153" s="1280"/>
      <c r="SY1153" s="1280"/>
      <c r="SZ1153" s="1280"/>
      <c r="TA1153" s="1280"/>
      <c r="TB1153" s="1280"/>
      <c r="TC1153" s="1280"/>
      <c r="TD1153" s="1280"/>
      <c r="TE1153" s="1280"/>
      <c r="TF1153" s="1280"/>
      <c r="TG1153" s="1280"/>
      <c r="TH1153" s="1280"/>
      <c r="TI1153" s="1280"/>
      <c r="TJ1153" s="1280"/>
      <c r="TK1153" s="1280"/>
      <c r="TL1153" s="1280"/>
      <c r="TM1153" s="1280"/>
      <c r="TN1153" s="1280"/>
      <c r="TO1153" s="1280"/>
      <c r="TP1153" s="1280"/>
      <c r="TQ1153" s="1280"/>
      <c r="TR1153" s="1280"/>
      <c r="TS1153" s="1280"/>
      <c r="TT1153" s="1280"/>
      <c r="TU1153" s="1280"/>
      <c r="TV1153" s="1280"/>
      <c r="TW1153" s="1280"/>
      <c r="TX1153" s="1280"/>
      <c r="TY1153" s="1280"/>
      <c r="TZ1153" s="1280"/>
      <c r="UA1153" s="1280"/>
      <c r="UB1153" s="1280"/>
      <c r="UC1153" s="1280"/>
      <c r="UD1153" s="1280"/>
      <c r="UE1153" s="1280"/>
      <c r="UF1153" s="1280"/>
      <c r="UG1153" s="1279"/>
    </row>
    <row r="1154" spans="1:553" s="1262" customFormat="1" ht="29.25" customHeight="1">
      <c r="A1154" s="436"/>
      <c r="B1154" s="1240"/>
      <c r="C1154" s="1411" t="s">
        <v>868</v>
      </c>
      <c r="D1154" s="1411"/>
      <c r="E1154" s="1411"/>
      <c r="F1154" s="1411"/>
      <c r="G1154" s="412" t="s">
        <v>196</v>
      </c>
      <c r="H1154" s="753"/>
      <c r="I1154" s="1107">
        <f>(55.03*100/400)*(32-(4-3))*1</f>
        <v>426.48250000000002</v>
      </c>
      <c r="J1154" s="1243">
        <v>7300</v>
      </c>
      <c r="K1154" s="578">
        <v>0.7</v>
      </c>
      <c r="L1154" s="1243">
        <f>ROUND(PRODUCT(I1154:K1154),0)</f>
        <v>2179326</v>
      </c>
      <c r="M1154" s="356"/>
      <c r="N1154" s="356"/>
      <c r="O1154" s="356"/>
      <c r="P1154" s="356"/>
      <c r="Q1154" s="610"/>
      <c r="R1154" s="1226"/>
      <c r="S1154" s="308"/>
      <c r="T1154" s="308"/>
      <c r="U1154" s="308"/>
      <c r="V1154" s="308"/>
      <c r="W1154" s="308"/>
      <c r="X1154" s="308"/>
      <c r="Y1154" s="308"/>
      <c r="Z1154" s="604"/>
      <c r="AA1154" s="308"/>
      <c r="AB1154" s="308"/>
      <c r="AC1154" s="373"/>
      <c r="AD1154" s="373"/>
      <c r="AE1154" s="373"/>
      <c r="AF1154" s="373"/>
      <c r="AG1154" s="373"/>
      <c r="AH1154" s="373"/>
      <c r="AI1154" s="373"/>
      <c r="AJ1154" s="373"/>
      <c r="AK1154" s="389"/>
      <c r="AL1154" s="1276"/>
      <c r="AM1154" s="1276"/>
      <c r="AN1154" s="1276"/>
      <c r="AO1154" s="1276"/>
      <c r="AP1154" s="1276"/>
      <c r="AQ1154" s="1276"/>
      <c r="AR1154" s="1276"/>
      <c r="AS1154" s="1280"/>
      <c r="AT1154" s="1280"/>
      <c r="AU1154" s="1280"/>
      <c r="AV1154" s="1280"/>
      <c r="AW1154" s="1280"/>
      <c r="AX1154" s="1280"/>
      <c r="AY1154" s="1280"/>
      <c r="AZ1154" s="1280"/>
      <c r="BA1154" s="1280"/>
      <c r="BB1154" s="1280"/>
      <c r="BC1154" s="1280"/>
      <c r="BD1154" s="1280"/>
      <c r="BE1154" s="1280"/>
      <c r="BF1154" s="1280"/>
      <c r="BG1154" s="1280"/>
      <c r="BH1154" s="1280"/>
      <c r="BI1154" s="1280"/>
      <c r="BJ1154" s="1280"/>
      <c r="BK1154" s="1280"/>
      <c r="BL1154" s="1280"/>
      <c r="BM1154" s="1280"/>
      <c r="BN1154" s="1280"/>
      <c r="BO1154" s="1280"/>
      <c r="BP1154" s="1280"/>
      <c r="BQ1154" s="1280"/>
      <c r="BR1154" s="1280"/>
      <c r="BS1154" s="1280"/>
      <c r="BT1154" s="1280"/>
      <c r="BU1154" s="1280"/>
      <c r="BV1154" s="1280"/>
      <c r="BW1154" s="1280"/>
      <c r="BX1154" s="1280"/>
      <c r="BY1154" s="1280"/>
      <c r="BZ1154" s="1280"/>
      <c r="CA1154" s="1280"/>
      <c r="CB1154" s="1280"/>
      <c r="CC1154" s="1280"/>
      <c r="CD1154" s="1280"/>
      <c r="CE1154" s="1280"/>
      <c r="CF1154" s="1280"/>
      <c r="CG1154" s="1280"/>
      <c r="CH1154" s="1280"/>
      <c r="CI1154" s="1280"/>
      <c r="CJ1154" s="1280"/>
      <c r="CK1154" s="1280"/>
      <c r="CL1154" s="1280"/>
      <c r="CM1154" s="1280"/>
      <c r="CN1154" s="1280"/>
      <c r="CO1154" s="1280"/>
      <c r="CP1154" s="1280"/>
      <c r="CQ1154" s="1280"/>
      <c r="CR1154" s="1280"/>
      <c r="CS1154" s="1280"/>
      <c r="CT1154" s="1280"/>
      <c r="CU1154" s="1280"/>
      <c r="CV1154" s="1280"/>
      <c r="CW1154" s="1280"/>
      <c r="CX1154" s="1280"/>
      <c r="CY1154" s="1280"/>
      <c r="CZ1154" s="1280"/>
      <c r="DA1154" s="1280"/>
      <c r="DB1154" s="1280"/>
      <c r="DC1154" s="1280"/>
      <c r="DD1154" s="1280"/>
      <c r="DE1154" s="1280"/>
      <c r="DF1154" s="1280"/>
      <c r="DG1154" s="1280"/>
      <c r="DH1154" s="1280"/>
      <c r="DI1154" s="1280"/>
      <c r="DJ1154" s="1280"/>
      <c r="DK1154" s="1280"/>
      <c r="DL1154" s="1280"/>
      <c r="DM1154" s="1280"/>
      <c r="DN1154" s="1280"/>
      <c r="DO1154" s="1280"/>
      <c r="DP1154" s="1280"/>
      <c r="DQ1154" s="1280"/>
      <c r="DR1154" s="1280"/>
      <c r="DS1154" s="1280"/>
      <c r="DT1154" s="1280"/>
      <c r="DU1154" s="1280"/>
      <c r="DV1154" s="1280"/>
      <c r="DW1154" s="1280"/>
      <c r="DX1154" s="1280"/>
      <c r="DY1154" s="1280"/>
      <c r="DZ1154" s="1280"/>
      <c r="EA1154" s="1280"/>
      <c r="EB1154" s="1280"/>
      <c r="EC1154" s="1280"/>
      <c r="ED1154" s="1280"/>
      <c r="EE1154" s="1280"/>
      <c r="EF1154" s="1280"/>
      <c r="EG1154" s="1280"/>
      <c r="EH1154" s="1280"/>
      <c r="EI1154" s="1280"/>
      <c r="EJ1154" s="1280"/>
      <c r="EK1154" s="1280"/>
      <c r="EL1154" s="1280"/>
      <c r="EM1154" s="1280"/>
      <c r="EN1154" s="1280"/>
      <c r="EO1154" s="1280"/>
      <c r="EP1154" s="1280"/>
      <c r="EQ1154" s="1280"/>
      <c r="ER1154" s="1280"/>
      <c r="ES1154" s="1280"/>
      <c r="ET1154" s="1280"/>
      <c r="EU1154" s="1280"/>
      <c r="EV1154" s="1280"/>
      <c r="EW1154" s="1280"/>
      <c r="EX1154" s="1280"/>
      <c r="EY1154" s="1280"/>
      <c r="EZ1154" s="1280"/>
      <c r="FA1154" s="1280"/>
      <c r="FB1154" s="1280"/>
      <c r="FC1154" s="1280"/>
      <c r="FD1154" s="1280"/>
      <c r="FE1154" s="1280"/>
      <c r="FF1154" s="1280"/>
      <c r="FG1154" s="1280"/>
      <c r="FH1154" s="1280"/>
      <c r="FI1154" s="1280"/>
      <c r="FJ1154" s="1280"/>
      <c r="FK1154" s="1280"/>
      <c r="FL1154" s="1280"/>
      <c r="FM1154" s="1280"/>
      <c r="FN1154" s="1280"/>
      <c r="FO1154" s="1280"/>
      <c r="FP1154" s="1280"/>
      <c r="FQ1154" s="1280"/>
      <c r="FR1154" s="1280"/>
      <c r="FS1154" s="1280"/>
      <c r="FT1154" s="1280"/>
      <c r="FU1154" s="1280"/>
      <c r="FV1154" s="1280"/>
      <c r="FW1154" s="1280"/>
      <c r="FX1154" s="1280"/>
      <c r="FY1154" s="1280"/>
      <c r="FZ1154" s="1280"/>
      <c r="GA1154" s="1280"/>
      <c r="GB1154" s="1280"/>
      <c r="GC1154" s="1280"/>
      <c r="GD1154" s="1280"/>
      <c r="GE1154" s="1280"/>
      <c r="GF1154" s="1280"/>
      <c r="GG1154" s="1280"/>
      <c r="GH1154" s="1280"/>
      <c r="GI1154" s="1280"/>
      <c r="GJ1154" s="1280"/>
      <c r="GK1154" s="1280"/>
      <c r="GL1154" s="1280"/>
      <c r="GM1154" s="1280"/>
      <c r="GN1154" s="1280"/>
      <c r="GO1154" s="1280"/>
      <c r="GP1154" s="1280"/>
      <c r="GQ1154" s="1280"/>
      <c r="GR1154" s="1280"/>
      <c r="GS1154" s="1280"/>
      <c r="GT1154" s="1280"/>
      <c r="GU1154" s="1280"/>
      <c r="GV1154" s="1280"/>
      <c r="GW1154" s="1280"/>
      <c r="GX1154" s="1280"/>
      <c r="GY1154" s="1280"/>
      <c r="GZ1154" s="1280"/>
      <c r="HA1154" s="1280"/>
      <c r="HB1154" s="1280"/>
      <c r="HC1154" s="1280"/>
      <c r="HD1154" s="1280"/>
      <c r="HE1154" s="1280"/>
      <c r="HF1154" s="1280"/>
      <c r="HG1154" s="1280"/>
      <c r="HH1154" s="1280"/>
      <c r="HI1154" s="1280"/>
      <c r="HJ1154" s="1280"/>
      <c r="HK1154" s="1280"/>
      <c r="HL1154" s="1280"/>
      <c r="HM1154" s="1280"/>
      <c r="HN1154" s="1280"/>
      <c r="HO1154" s="1280"/>
      <c r="HP1154" s="1280"/>
      <c r="HQ1154" s="1280"/>
      <c r="HR1154" s="1280"/>
      <c r="HS1154" s="1280"/>
      <c r="HT1154" s="1280"/>
      <c r="HU1154" s="1280"/>
      <c r="HV1154" s="1280"/>
      <c r="HW1154" s="1280"/>
      <c r="HX1154" s="1280"/>
      <c r="HY1154" s="1280"/>
      <c r="HZ1154" s="1280"/>
      <c r="IA1154" s="1280"/>
      <c r="IB1154" s="1280"/>
      <c r="IC1154" s="1280"/>
      <c r="ID1154" s="1280"/>
      <c r="IE1154" s="1280"/>
      <c r="IF1154" s="1280"/>
      <c r="IG1154" s="1280"/>
      <c r="IH1154" s="1280"/>
      <c r="II1154" s="1280"/>
      <c r="IJ1154" s="1280"/>
      <c r="IK1154" s="1280"/>
      <c r="IL1154" s="1280"/>
      <c r="IM1154" s="1280"/>
      <c r="IN1154" s="1280"/>
      <c r="IO1154" s="1280"/>
      <c r="IP1154" s="1280"/>
      <c r="IQ1154" s="1280"/>
      <c r="IR1154" s="1280"/>
      <c r="IS1154" s="1280"/>
      <c r="IT1154" s="1280"/>
      <c r="IU1154" s="1280"/>
      <c r="IV1154" s="1280"/>
      <c r="IW1154" s="1280"/>
      <c r="IX1154" s="1280"/>
      <c r="IY1154" s="1280"/>
      <c r="IZ1154" s="1280"/>
      <c r="JA1154" s="1280"/>
      <c r="JB1154" s="1280"/>
      <c r="JC1154" s="1280"/>
      <c r="JD1154" s="1280"/>
      <c r="JE1154" s="1280"/>
      <c r="JF1154" s="1280"/>
      <c r="JG1154" s="1280"/>
      <c r="JH1154" s="1280"/>
      <c r="JI1154" s="1280"/>
      <c r="JJ1154" s="1280"/>
      <c r="JK1154" s="1280"/>
      <c r="JL1154" s="1280"/>
      <c r="JM1154" s="1280"/>
      <c r="JN1154" s="1280"/>
      <c r="JO1154" s="1280"/>
      <c r="JP1154" s="1280"/>
      <c r="JQ1154" s="1280"/>
      <c r="JR1154" s="1280"/>
      <c r="JS1154" s="1280"/>
      <c r="JT1154" s="1280"/>
      <c r="JU1154" s="1280"/>
      <c r="JV1154" s="1280"/>
      <c r="JW1154" s="1280"/>
      <c r="JX1154" s="1280"/>
      <c r="JY1154" s="1280"/>
      <c r="JZ1154" s="1280"/>
      <c r="KA1154" s="1280"/>
      <c r="KB1154" s="1280"/>
      <c r="KC1154" s="1280"/>
      <c r="KD1154" s="1280"/>
      <c r="KE1154" s="1280"/>
      <c r="KF1154" s="1280"/>
      <c r="KG1154" s="1280"/>
      <c r="KH1154" s="1280"/>
      <c r="KI1154" s="1280"/>
      <c r="KJ1154" s="1280"/>
      <c r="KK1154" s="1280"/>
      <c r="KL1154" s="1280"/>
      <c r="KM1154" s="1280"/>
      <c r="KN1154" s="1280"/>
      <c r="KO1154" s="1280"/>
      <c r="KP1154" s="1280"/>
      <c r="KQ1154" s="1280"/>
      <c r="KR1154" s="1280"/>
      <c r="KS1154" s="1280"/>
      <c r="KT1154" s="1280"/>
      <c r="KU1154" s="1280"/>
      <c r="KV1154" s="1280"/>
      <c r="KW1154" s="1280"/>
      <c r="KX1154" s="1280"/>
      <c r="KY1154" s="1280"/>
      <c r="KZ1154" s="1280"/>
      <c r="LA1154" s="1280"/>
      <c r="LB1154" s="1280"/>
      <c r="LC1154" s="1280"/>
      <c r="LD1154" s="1280"/>
      <c r="LE1154" s="1280"/>
      <c r="LF1154" s="1280"/>
      <c r="LG1154" s="1280"/>
      <c r="LH1154" s="1280"/>
      <c r="LI1154" s="1280"/>
      <c r="LJ1154" s="1280"/>
      <c r="LK1154" s="1280"/>
      <c r="LL1154" s="1280"/>
      <c r="LM1154" s="1280"/>
      <c r="LN1154" s="1280"/>
      <c r="LO1154" s="1280"/>
      <c r="LP1154" s="1280"/>
      <c r="LQ1154" s="1280"/>
      <c r="LR1154" s="1280"/>
      <c r="LS1154" s="1280"/>
      <c r="LT1154" s="1280"/>
      <c r="LU1154" s="1280"/>
      <c r="LV1154" s="1280"/>
      <c r="LW1154" s="1280"/>
      <c r="LX1154" s="1280"/>
      <c r="LY1154" s="1280"/>
      <c r="LZ1154" s="1280"/>
      <c r="MA1154" s="1280"/>
      <c r="MB1154" s="1280"/>
      <c r="MC1154" s="1280"/>
      <c r="MD1154" s="1280"/>
      <c r="ME1154" s="1280"/>
      <c r="MF1154" s="1280"/>
      <c r="MG1154" s="1280"/>
      <c r="MH1154" s="1280"/>
      <c r="MI1154" s="1280"/>
      <c r="MJ1154" s="1280"/>
      <c r="MK1154" s="1280"/>
      <c r="ML1154" s="1280"/>
      <c r="MM1154" s="1280"/>
      <c r="MN1154" s="1280"/>
      <c r="MO1154" s="1280"/>
      <c r="MP1154" s="1280"/>
      <c r="MQ1154" s="1280"/>
      <c r="MR1154" s="1280"/>
      <c r="MS1154" s="1280"/>
      <c r="MT1154" s="1280"/>
      <c r="MU1154" s="1280"/>
      <c r="MV1154" s="1280"/>
      <c r="MW1154" s="1280"/>
      <c r="MX1154" s="1280"/>
      <c r="MY1154" s="1280"/>
      <c r="MZ1154" s="1280"/>
      <c r="NA1154" s="1280"/>
      <c r="NB1154" s="1280"/>
      <c r="NC1154" s="1280"/>
      <c r="ND1154" s="1280"/>
      <c r="NE1154" s="1280"/>
      <c r="NF1154" s="1280"/>
      <c r="NG1154" s="1280"/>
      <c r="NH1154" s="1280"/>
      <c r="NI1154" s="1280"/>
      <c r="NJ1154" s="1280"/>
      <c r="NK1154" s="1280"/>
      <c r="NL1154" s="1280"/>
      <c r="NM1154" s="1280"/>
      <c r="NN1154" s="1280"/>
      <c r="NO1154" s="1280"/>
      <c r="NP1154" s="1280"/>
      <c r="NQ1154" s="1280"/>
      <c r="NR1154" s="1280"/>
      <c r="NS1154" s="1280"/>
      <c r="NT1154" s="1280"/>
      <c r="NU1154" s="1280"/>
      <c r="NV1154" s="1280"/>
      <c r="NW1154" s="1280"/>
      <c r="NX1154" s="1280"/>
      <c r="NY1154" s="1280"/>
      <c r="NZ1154" s="1280"/>
      <c r="OA1154" s="1280"/>
      <c r="OB1154" s="1280"/>
      <c r="OC1154" s="1280"/>
      <c r="OD1154" s="1280"/>
      <c r="OE1154" s="1280"/>
      <c r="OF1154" s="1280"/>
      <c r="OG1154" s="1280"/>
      <c r="OH1154" s="1280"/>
      <c r="OI1154" s="1280"/>
      <c r="OJ1154" s="1280"/>
      <c r="OK1154" s="1280"/>
      <c r="OL1154" s="1280"/>
      <c r="OM1154" s="1280"/>
      <c r="ON1154" s="1280"/>
      <c r="OO1154" s="1280"/>
      <c r="OP1154" s="1280"/>
      <c r="OQ1154" s="1280"/>
      <c r="OR1154" s="1280"/>
      <c r="OS1154" s="1280"/>
      <c r="OT1154" s="1280"/>
      <c r="OU1154" s="1280"/>
      <c r="OV1154" s="1280"/>
      <c r="OW1154" s="1280"/>
      <c r="OX1154" s="1280"/>
      <c r="OY1154" s="1280"/>
      <c r="OZ1154" s="1280"/>
      <c r="PA1154" s="1280"/>
      <c r="PB1154" s="1280"/>
      <c r="PC1154" s="1280"/>
      <c r="PD1154" s="1280"/>
      <c r="PE1154" s="1280"/>
      <c r="PF1154" s="1280"/>
      <c r="PG1154" s="1280"/>
      <c r="PH1154" s="1280"/>
      <c r="PI1154" s="1280"/>
      <c r="PJ1154" s="1280"/>
      <c r="PK1154" s="1280"/>
      <c r="PL1154" s="1280"/>
      <c r="PM1154" s="1280"/>
      <c r="PN1154" s="1280"/>
      <c r="PO1154" s="1280"/>
      <c r="PP1154" s="1280"/>
      <c r="PQ1154" s="1280"/>
      <c r="PR1154" s="1280"/>
      <c r="PS1154" s="1280"/>
      <c r="PT1154" s="1280"/>
      <c r="PU1154" s="1280"/>
      <c r="PV1154" s="1280"/>
      <c r="PW1154" s="1280"/>
      <c r="PX1154" s="1280"/>
      <c r="PY1154" s="1280"/>
      <c r="PZ1154" s="1280"/>
      <c r="QA1154" s="1280"/>
      <c r="QB1154" s="1280"/>
      <c r="QC1154" s="1280"/>
      <c r="QD1154" s="1280"/>
      <c r="QE1154" s="1280"/>
      <c r="QF1154" s="1280"/>
      <c r="QG1154" s="1280"/>
      <c r="QH1154" s="1280"/>
      <c r="QI1154" s="1280"/>
      <c r="QJ1154" s="1280"/>
      <c r="QK1154" s="1280"/>
      <c r="QL1154" s="1280"/>
      <c r="QM1154" s="1280"/>
      <c r="QN1154" s="1280"/>
      <c r="QO1154" s="1280"/>
      <c r="QP1154" s="1280"/>
      <c r="QQ1154" s="1280"/>
      <c r="QR1154" s="1280"/>
      <c r="QS1154" s="1280"/>
      <c r="QT1154" s="1280"/>
      <c r="QU1154" s="1280"/>
      <c r="QV1154" s="1280"/>
      <c r="QW1154" s="1280"/>
      <c r="QX1154" s="1280"/>
      <c r="QY1154" s="1280"/>
      <c r="QZ1154" s="1280"/>
      <c r="RA1154" s="1280"/>
      <c r="RB1154" s="1280"/>
      <c r="RC1154" s="1280"/>
      <c r="RD1154" s="1280"/>
      <c r="RE1154" s="1280"/>
      <c r="RF1154" s="1280"/>
      <c r="RG1154" s="1280"/>
      <c r="RH1154" s="1280"/>
      <c r="RI1154" s="1280"/>
      <c r="RJ1154" s="1280"/>
      <c r="RK1154" s="1280"/>
      <c r="RL1154" s="1280"/>
      <c r="RM1154" s="1280"/>
      <c r="RN1154" s="1280"/>
      <c r="RO1154" s="1280"/>
      <c r="RP1154" s="1280"/>
      <c r="RQ1154" s="1280"/>
      <c r="RR1154" s="1280"/>
      <c r="RS1154" s="1280"/>
      <c r="RT1154" s="1280"/>
      <c r="RU1154" s="1280"/>
      <c r="RV1154" s="1280"/>
      <c r="RW1154" s="1280"/>
      <c r="RX1154" s="1280"/>
      <c r="RY1154" s="1280"/>
      <c r="RZ1154" s="1280"/>
      <c r="SA1154" s="1280"/>
      <c r="SB1154" s="1280"/>
      <c r="SC1154" s="1280"/>
      <c r="SD1154" s="1280"/>
      <c r="SE1154" s="1280"/>
      <c r="SF1154" s="1280"/>
      <c r="SG1154" s="1280"/>
      <c r="SH1154" s="1280"/>
      <c r="SI1154" s="1280"/>
      <c r="SJ1154" s="1280"/>
      <c r="SK1154" s="1280"/>
      <c r="SL1154" s="1280"/>
      <c r="SM1154" s="1280"/>
      <c r="SN1154" s="1280"/>
      <c r="SO1154" s="1280"/>
      <c r="SP1154" s="1280"/>
      <c r="SQ1154" s="1280"/>
      <c r="SR1154" s="1280"/>
      <c r="SS1154" s="1280"/>
      <c r="ST1154" s="1280"/>
      <c r="SU1154" s="1280"/>
      <c r="SV1154" s="1280"/>
      <c r="SW1154" s="1280"/>
      <c r="SX1154" s="1280"/>
      <c r="SY1154" s="1280"/>
      <c r="SZ1154" s="1280"/>
      <c r="TA1154" s="1280"/>
      <c r="TB1154" s="1280"/>
      <c r="TC1154" s="1280"/>
      <c r="TD1154" s="1280"/>
      <c r="TE1154" s="1280"/>
      <c r="TF1154" s="1280"/>
      <c r="TG1154" s="1280"/>
      <c r="TH1154" s="1280"/>
      <c r="TI1154" s="1280"/>
      <c r="TJ1154" s="1280"/>
      <c r="TK1154" s="1280"/>
      <c r="TL1154" s="1280"/>
      <c r="TM1154" s="1280"/>
      <c r="TN1154" s="1280"/>
      <c r="TO1154" s="1280"/>
      <c r="TP1154" s="1280"/>
      <c r="TQ1154" s="1280"/>
      <c r="TR1154" s="1280"/>
      <c r="TS1154" s="1280"/>
      <c r="TT1154" s="1280"/>
      <c r="TU1154" s="1280"/>
      <c r="TV1154" s="1280"/>
      <c r="TW1154" s="1280"/>
      <c r="TX1154" s="1280"/>
      <c r="TY1154" s="1280"/>
      <c r="TZ1154" s="1280"/>
      <c r="UA1154" s="1280"/>
      <c r="UB1154" s="1280"/>
      <c r="UC1154" s="1280"/>
      <c r="UD1154" s="1280"/>
      <c r="UE1154" s="1280"/>
      <c r="UF1154" s="1280"/>
      <c r="UG1154" s="1279"/>
    </row>
    <row r="1155" spans="1:553" s="109" customFormat="1" ht="29.25" customHeight="1">
      <c r="A1155" s="756"/>
      <c r="B1155" s="757"/>
      <c r="C1155" s="1633" t="s">
        <v>1213</v>
      </c>
      <c r="D1155" s="1634"/>
      <c r="E1155" s="1634"/>
      <c r="F1155" s="1635"/>
      <c r="G1155" s="416"/>
      <c r="H1155" s="758"/>
      <c r="I1155" s="1108"/>
      <c r="J1155" s="512"/>
      <c r="K1155" s="513"/>
      <c r="L1155" s="1195"/>
      <c r="M1155" s="356"/>
      <c r="N1155" s="356"/>
      <c r="O1155" s="356"/>
      <c r="P1155" s="356"/>
      <c r="Q1155" s="610"/>
      <c r="R1155" s="1226"/>
      <c r="S1155" s="308"/>
      <c r="T1155" s="308"/>
      <c r="U1155" s="308"/>
      <c r="V1155" s="308"/>
      <c r="W1155" s="308"/>
      <c r="X1155" s="308"/>
      <c r="Y1155" s="308"/>
      <c r="Z1155" s="604"/>
      <c r="AA1155" s="308"/>
      <c r="AB1155" s="308"/>
      <c r="AC1155" s="373"/>
      <c r="AD1155" s="373"/>
      <c r="AE1155" s="373"/>
      <c r="AF1155" s="373"/>
      <c r="AG1155" s="373"/>
      <c r="AH1155" s="373"/>
      <c r="AI1155" s="373"/>
      <c r="AJ1155" s="373"/>
      <c r="AK1155" s="389"/>
      <c r="AL1155" s="127"/>
      <c r="AM1155" s="127"/>
      <c r="AN1155" s="127"/>
      <c r="AO1155" s="127"/>
      <c r="AP1155" s="127"/>
      <c r="AQ1155" s="127"/>
      <c r="AR1155" s="127"/>
      <c r="AS1155" s="128"/>
      <c r="AT1155" s="128"/>
      <c r="AU1155" s="128"/>
      <c r="AV1155" s="128"/>
      <c r="AW1155" s="128"/>
      <c r="AX1155" s="128"/>
      <c r="AY1155" s="128"/>
      <c r="AZ1155" s="128"/>
      <c r="BA1155" s="128"/>
      <c r="BB1155" s="128"/>
      <c r="BC1155" s="128"/>
      <c r="BD1155" s="128"/>
      <c r="BE1155" s="128"/>
      <c r="BF1155" s="128"/>
      <c r="BG1155" s="128"/>
      <c r="BH1155" s="128"/>
      <c r="BI1155" s="128"/>
      <c r="BJ1155" s="128"/>
      <c r="BK1155" s="128"/>
      <c r="BL1155" s="128"/>
      <c r="BM1155" s="128"/>
      <c r="BN1155" s="128"/>
      <c r="BO1155" s="128"/>
      <c r="BP1155" s="128"/>
      <c r="BQ1155" s="128"/>
      <c r="BR1155" s="128"/>
      <c r="BS1155" s="128"/>
      <c r="BT1155" s="128"/>
      <c r="BU1155" s="128"/>
      <c r="BV1155" s="128"/>
      <c r="BW1155" s="128"/>
      <c r="BX1155" s="128"/>
      <c r="BY1155" s="128"/>
      <c r="BZ1155" s="128"/>
      <c r="CA1155" s="128"/>
      <c r="CB1155" s="128"/>
      <c r="CC1155" s="128"/>
      <c r="CD1155" s="128"/>
      <c r="CE1155" s="128"/>
      <c r="CF1155" s="128"/>
      <c r="CG1155" s="128"/>
      <c r="CH1155" s="128"/>
      <c r="CI1155" s="128"/>
      <c r="CJ1155" s="128"/>
      <c r="CK1155" s="128"/>
      <c r="CL1155" s="128"/>
      <c r="CM1155" s="128"/>
      <c r="CN1155" s="128"/>
      <c r="CO1155" s="128"/>
      <c r="CP1155" s="128"/>
      <c r="CQ1155" s="128"/>
      <c r="CR1155" s="128"/>
      <c r="CS1155" s="128"/>
      <c r="CT1155" s="128"/>
      <c r="CU1155" s="128"/>
      <c r="CV1155" s="128"/>
      <c r="CW1155" s="128"/>
      <c r="CX1155" s="128"/>
      <c r="CY1155" s="128"/>
      <c r="CZ1155" s="128"/>
      <c r="DA1155" s="128"/>
      <c r="DB1155" s="128"/>
      <c r="DC1155" s="128"/>
      <c r="DD1155" s="128"/>
      <c r="DE1155" s="128"/>
      <c r="DF1155" s="128"/>
      <c r="DG1155" s="128"/>
      <c r="DH1155" s="128"/>
      <c r="DI1155" s="128"/>
      <c r="DJ1155" s="128"/>
      <c r="DK1155" s="128"/>
      <c r="DL1155" s="128"/>
      <c r="DM1155" s="128"/>
      <c r="DN1155" s="128"/>
      <c r="DO1155" s="128"/>
      <c r="DP1155" s="128"/>
      <c r="DQ1155" s="128"/>
      <c r="DR1155" s="128"/>
      <c r="DS1155" s="128"/>
      <c r="DT1155" s="128"/>
      <c r="DU1155" s="128"/>
      <c r="DV1155" s="128"/>
      <c r="DW1155" s="128"/>
      <c r="DX1155" s="128"/>
      <c r="DY1155" s="128"/>
      <c r="DZ1155" s="128"/>
      <c r="EA1155" s="128"/>
      <c r="EB1155" s="128"/>
      <c r="EC1155" s="128"/>
      <c r="ED1155" s="128"/>
      <c r="EE1155" s="128"/>
      <c r="EF1155" s="128"/>
      <c r="EG1155" s="128"/>
      <c r="EH1155" s="128"/>
      <c r="EI1155" s="128"/>
      <c r="EJ1155" s="128"/>
      <c r="EK1155" s="128"/>
      <c r="EL1155" s="128"/>
      <c r="EM1155" s="128"/>
      <c r="EN1155" s="128"/>
      <c r="EO1155" s="128"/>
      <c r="EP1155" s="128"/>
      <c r="EQ1155" s="128"/>
      <c r="ER1155" s="128"/>
      <c r="ES1155" s="128"/>
      <c r="ET1155" s="128"/>
      <c r="EU1155" s="128"/>
      <c r="EV1155" s="128"/>
      <c r="EW1155" s="128"/>
      <c r="EX1155" s="128"/>
      <c r="EY1155" s="128"/>
      <c r="EZ1155" s="128"/>
      <c r="FA1155" s="128"/>
      <c r="FB1155" s="128"/>
      <c r="FC1155" s="128"/>
      <c r="FD1155" s="128"/>
      <c r="FE1155" s="128"/>
      <c r="FF1155" s="128"/>
      <c r="FG1155" s="128"/>
      <c r="FH1155" s="128"/>
      <c r="FI1155" s="128"/>
      <c r="FJ1155" s="128"/>
      <c r="FK1155" s="128"/>
      <c r="FL1155" s="128"/>
      <c r="FM1155" s="128"/>
      <c r="FN1155" s="128"/>
      <c r="FO1155" s="128"/>
      <c r="FP1155" s="128"/>
      <c r="FQ1155" s="128"/>
      <c r="FR1155" s="128"/>
      <c r="FS1155" s="128"/>
      <c r="FT1155" s="128"/>
      <c r="FU1155" s="128"/>
      <c r="FV1155" s="128"/>
      <c r="FW1155" s="128"/>
      <c r="FX1155" s="128"/>
      <c r="FY1155" s="128"/>
      <c r="FZ1155" s="128"/>
      <c r="GA1155" s="128"/>
      <c r="GB1155" s="128"/>
      <c r="GC1155" s="128"/>
      <c r="GD1155" s="128"/>
      <c r="GE1155" s="128"/>
      <c r="GF1155" s="128"/>
      <c r="GG1155" s="128"/>
      <c r="GH1155" s="128"/>
      <c r="GI1155" s="128"/>
      <c r="GJ1155" s="128"/>
      <c r="GK1155" s="128"/>
      <c r="GL1155" s="128"/>
      <c r="GM1155" s="128"/>
      <c r="GN1155" s="128"/>
      <c r="GO1155" s="128"/>
      <c r="GP1155" s="128"/>
      <c r="GQ1155" s="128"/>
      <c r="GR1155" s="128"/>
      <c r="GS1155" s="128"/>
      <c r="GT1155" s="128"/>
      <c r="GU1155" s="128"/>
      <c r="GV1155" s="128"/>
      <c r="GW1155" s="128"/>
      <c r="GX1155" s="128"/>
      <c r="GY1155" s="128"/>
      <c r="GZ1155" s="128"/>
      <c r="HA1155" s="128"/>
      <c r="HB1155" s="128"/>
      <c r="HC1155" s="128"/>
      <c r="HD1155" s="128"/>
      <c r="HE1155" s="128"/>
      <c r="HF1155" s="128"/>
      <c r="HG1155" s="128"/>
      <c r="HH1155" s="128"/>
      <c r="HI1155" s="128"/>
      <c r="HJ1155" s="128"/>
      <c r="HK1155" s="128"/>
      <c r="HL1155" s="128"/>
      <c r="HM1155" s="128"/>
      <c r="HN1155" s="128"/>
      <c r="HO1155" s="128"/>
      <c r="HP1155" s="128"/>
      <c r="HQ1155" s="128"/>
      <c r="HR1155" s="128"/>
      <c r="HS1155" s="128"/>
      <c r="HT1155" s="128"/>
      <c r="HU1155" s="128"/>
      <c r="HV1155" s="128"/>
      <c r="HW1155" s="128"/>
      <c r="HX1155" s="128"/>
      <c r="HY1155" s="128"/>
      <c r="HZ1155" s="128"/>
      <c r="IA1155" s="128"/>
      <c r="IB1155" s="128"/>
      <c r="IC1155" s="128"/>
      <c r="ID1155" s="128"/>
      <c r="IE1155" s="128"/>
      <c r="IF1155" s="128"/>
      <c r="IG1155" s="128"/>
      <c r="IH1155" s="128"/>
      <c r="II1155" s="128"/>
      <c r="IJ1155" s="128"/>
      <c r="IK1155" s="128"/>
      <c r="IL1155" s="128"/>
      <c r="IM1155" s="128"/>
      <c r="IN1155" s="128"/>
      <c r="IO1155" s="128"/>
      <c r="IP1155" s="128"/>
      <c r="IQ1155" s="128"/>
      <c r="IR1155" s="128"/>
      <c r="IS1155" s="128"/>
      <c r="IT1155" s="128"/>
      <c r="IU1155" s="128"/>
      <c r="IV1155" s="128"/>
      <c r="IW1155" s="128"/>
      <c r="IX1155" s="128"/>
      <c r="IY1155" s="128"/>
      <c r="IZ1155" s="128"/>
      <c r="JA1155" s="128"/>
      <c r="JB1155" s="128"/>
      <c r="JC1155" s="128"/>
      <c r="JD1155" s="128"/>
      <c r="JE1155" s="128"/>
      <c r="JF1155" s="128"/>
      <c r="JG1155" s="128"/>
      <c r="JH1155" s="128"/>
      <c r="JI1155" s="128"/>
      <c r="JJ1155" s="128"/>
      <c r="JK1155" s="128"/>
      <c r="JL1155" s="128"/>
      <c r="JM1155" s="128"/>
      <c r="JN1155" s="128"/>
      <c r="JO1155" s="128"/>
      <c r="JP1155" s="128"/>
      <c r="JQ1155" s="128"/>
      <c r="JR1155" s="128"/>
      <c r="JS1155" s="128"/>
      <c r="JT1155" s="128"/>
      <c r="JU1155" s="128"/>
      <c r="JV1155" s="128"/>
      <c r="JW1155" s="128"/>
      <c r="JX1155" s="128"/>
      <c r="JY1155" s="128"/>
      <c r="JZ1155" s="128"/>
      <c r="KA1155" s="128"/>
      <c r="KB1155" s="128"/>
      <c r="KC1155" s="128"/>
      <c r="KD1155" s="128"/>
      <c r="KE1155" s="128"/>
      <c r="KF1155" s="128"/>
      <c r="KG1155" s="128"/>
      <c r="KH1155" s="128"/>
      <c r="KI1155" s="128"/>
      <c r="KJ1155" s="128"/>
      <c r="KK1155" s="128"/>
      <c r="KL1155" s="128"/>
      <c r="KM1155" s="128"/>
      <c r="KN1155" s="128"/>
      <c r="KO1155" s="128"/>
      <c r="KP1155" s="128"/>
      <c r="KQ1155" s="128"/>
      <c r="KR1155" s="128"/>
      <c r="KS1155" s="128"/>
      <c r="KT1155" s="128"/>
      <c r="KU1155" s="128"/>
      <c r="KV1155" s="128"/>
      <c r="KW1155" s="128"/>
      <c r="KX1155" s="128"/>
      <c r="KY1155" s="128"/>
      <c r="KZ1155" s="128"/>
      <c r="LA1155" s="128"/>
      <c r="LB1155" s="128"/>
      <c r="LC1155" s="128"/>
      <c r="LD1155" s="128"/>
      <c r="LE1155" s="128"/>
      <c r="LF1155" s="128"/>
      <c r="LG1155" s="128"/>
      <c r="LH1155" s="128"/>
      <c r="LI1155" s="128"/>
      <c r="LJ1155" s="128"/>
      <c r="LK1155" s="128"/>
      <c r="LL1155" s="128"/>
      <c r="LM1155" s="128"/>
      <c r="LN1155" s="128"/>
      <c r="LO1155" s="128"/>
      <c r="LP1155" s="128"/>
      <c r="LQ1155" s="128"/>
      <c r="LR1155" s="128"/>
      <c r="LS1155" s="128"/>
      <c r="LT1155" s="128"/>
      <c r="LU1155" s="128"/>
      <c r="LV1155" s="128"/>
      <c r="LW1155" s="128"/>
      <c r="LX1155" s="128"/>
      <c r="LY1155" s="128"/>
      <c r="LZ1155" s="128"/>
      <c r="MA1155" s="128"/>
      <c r="MB1155" s="128"/>
      <c r="MC1155" s="128"/>
      <c r="MD1155" s="128"/>
      <c r="ME1155" s="128"/>
      <c r="MF1155" s="128"/>
      <c r="MG1155" s="128"/>
      <c r="MH1155" s="128"/>
      <c r="MI1155" s="128"/>
      <c r="MJ1155" s="128"/>
      <c r="MK1155" s="128"/>
      <c r="ML1155" s="128"/>
      <c r="MM1155" s="128"/>
      <c r="MN1155" s="128"/>
      <c r="MO1155" s="128"/>
      <c r="MP1155" s="128"/>
      <c r="MQ1155" s="128"/>
      <c r="MR1155" s="128"/>
      <c r="MS1155" s="128"/>
      <c r="MT1155" s="128"/>
      <c r="MU1155" s="128"/>
      <c r="MV1155" s="128"/>
      <c r="MW1155" s="128"/>
      <c r="MX1155" s="128"/>
      <c r="MY1155" s="128"/>
      <c r="MZ1155" s="128"/>
      <c r="NA1155" s="128"/>
      <c r="NB1155" s="128"/>
      <c r="NC1155" s="128"/>
      <c r="ND1155" s="128"/>
      <c r="NE1155" s="128"/>
      <c r="NF1155" s="128"/>
      <c r="NG1155" s="128"/>
      <c r="NH1155" s="128"/>
      <c r="NI1155" s="128"/>
      <c r="NJ1155" s="128"/>
      <c r="NK1155" s="128"/>
      <c r="NL1155" s="128"/>
      <c r="NM1155" s="128"/>
      <c r="NN1155" s="128"/>
      <c r="NO1155" s="128"/>
      <c r="NP1155" s="128"/>
      <c r="NQ1155" s="128"/>
      <c r="NR1155" s="128"/>
      <c r="NS1155" s="128"/>
      <c r="NT1155" s="128"/>
      <c r="NU1155" s="128"/>
      <c r="NV1155" s="128"/>
      <c r="NW1155" s="128"/>
      <c r="NX1155" s="128"/>
      <c r="NY1155" s="128"/>
      <c r="NZ1155" s="128"/>
      <c r="OA1155" s="128"/>
      <c r="OB1155" s="128"/>
      <c r="OC1155" s="128"/>
      <c r="OD1155" s="128"/>
      <c r="OE1155" s="128"/>
      <c r="OF1155" s="128"/>
      <c r="OG1155" s="128"/>
      <c r="OH1155" s="128"/>
      <c r="OI1155" s="128"/>
      <c r="OJ1155" s="128"/>
      <c r="OK1155" s="128"/>
      <c r="OL1155" s="128"/>
      <c r="OM1155" s="128"/>
      <c r="ON1155" s="128"/>
      <c r="OO1155" s="128"/>
      <c r="OP1155" s="128"/>
      <c r="OQ1155" s="128"/>
      <c r="OR1155" s="128"/>
      <c r="OS1155" s="128"/>
      <c r="OT1155" s="128"/>
      <c r="OU1155" s="128"/>
      <c r="OV1155" s="128"/>
      <c r="OW1155" s="128"/>
      <c r="OX1155" s="128"/>
      <c r="OY1155" s="128"/>
      <c r="OZ1155" s="128"/>
      <c r="PA1155" s="128"/>
      <c r="PB1155" s="128"/>
      <c r="PC1155" s="128"/>
      <c r="PD1155" s="128"/>
      <c r="PE1155" s="128"/>
      <c r="PF1155" s="128"/>
      <c r="PG1155" s="128"/>
      <c r="PH1155" s="128"/>
      <c r="PI1155" s="128"/>
      <c r="PJ1155" s="128"/>
      <c r="PK1155" s="128"/>
      <c r="PL1155" s="128"/>
      <c r="PM1155" s="128"/>
      <c r="PN1155" s="128"/>
      <c r="PO1155" s="128"/>
      <c r="PP1155" s="128"/>
      <c r="PQ1155" s="128"/>
      <c r="PR1155" s="128"/>
      <c r="PS1155" s="128"/>
      <c r="PT1155" s="128"/>
      <c r="PU1155" s="128"/>
      <c r="PV1155" s="128"/>
      <c r="PW1155" s="128"/>
      <c r="PX1155" s="128"/>
      <c r="PY1155" s="128"/>
      <c r="PZ1155" s="128"/>
      <c r="QA1155" s="128"/>
      <c r="QB1155" s="128"/>
      <c r="QC1155" s="128"/>
      <c r="QD1155" s="128"/>
      <c r="QE1155" s="128"/>
      <c r="QF1155" s="128"/>
      <c r="QG1155" s="128"/>
      <c r="QH1155" s="128"/>
      <c r="QI1155" s="128"/>
      <c r="QJ1155" s="128"/>
      <c r="QK1155" s="128"/>
      <c r="QL1155" s="128"/>
      <c r="QM1155" s="128"/>
      <c r="QN1155" s="128"/>
      <c r="QO1155" s="128"/>
      <c r="QP1155" s="128"/>
      <c r="QQ1155" s="128"/>
      <c r="QR1155" s="128"/>
      <c r="QS1155" s="128"/>
      <c r="QT1155" s="128"/>
      <c r="QU1155" s="128"/>
      <c r="QV1155" s="128"/>
      <c r="QW1155" s="128"/>
      <c r="QX1155" s="128"/>
      <c r="QY1155" s="128"/>
      <c r="QZ1155" s="128"/>
      <c r="RA1155" s="128"/>
      <c r="RB1155" s="128"/>
      <c r="RC1155" s="128"/>
      <c r="RD1155" s="128"/>
      <c r="RE1155" s="128"/>
      <c r="RF1155" s="128"/>
      <c r="RG1155" s="128"/>
      <c r="RH1155" s="128"/>
      <c r="RI1155" s="128"/>
      <c r="RJ1155" s="128"/>
      <c r="RK1155" s="128"/>
      <c r="RL1155" s="128"/>
      <c r="RM1155" s="128"/>
      <c r="RN1155" s="128"/>
      <c r="RO1155" s="128"/>
      <c r="RP1155" s="128"/>
      <c r="RQ1155" s="128"/>
      <c r="RR1155" s="128"/>
      <c r="RS1155" s="128"/>
      <c r="RT1155" s="128"/>
      <c r="RU1155" s="128"/>
      <c r="RV1155" s="128"/>
      <c r="RW1155" s="128"/>
      <c r="RX1155" s="128"/>
      <c r="RY1155" s="128"/>
      <c r="RZ1155" s="128"/>
      <c r="SA1155" s="128"/>
      <c r="SB1155" s="128"/>
      <c r="SC1155" s="128"/>
      <c r="SD1155" s="128"/>
      <c r="SE1155" s="128"/>
      <c r="SF1155" s="128"/>
      <c r="SG1155" s="128"/>
      <c r="SH1155" s="128"/>
      <c r="SI1155" s="128"/>
      <c r="SJ1155" s="128"/>
      <c r="SK1155" s="128"/>
      <c r="SL1155" s="128"/>
      <c r="SM1155" s="128"/>
      <c r="SN1155" s="128"/>
      <c r="SO1155" s="128"/>
      <c r="SP1155" s="128"/>
      <c r="SQ1155" s="128"/>
      <c r="SR1155" s="128"/>
      <c r="SS1155" s="128"/>
      <c r="ST1155" s="128"/>
      <c r="SU1155" s="128"/>
      <c r="SV1155" s="128"/>
      <c r="SW1155" s="128"/>
      <c r="SX1155" s="128"/>
      <c r="SY1155" s="128"/>
      <c r="SZ1155" s="128"/>
      <c r="TA1155" s="128"/>
      <c r="TB1155" s="128"/>
      <c r="TC1155" s="128"/>
      <c r="TD1155" s="128"/>
      <c r="TE1155" s="128"/>
      <c r="TF1155" s="128"/>
      <c r="TG1155" s="128"/>
      <c r="TH1155" s="128"/>
      <c r="TI1155" s="128"/>
      <c r="TJ1155" s="128"/>
      <c r="TK1155" s="128"/>
      <c r="TL1155" s="128"/>
      <c r="TM1155" s="128"/>
      <c r="TN1155" s="128"/>
      <c r="TO1155" s="128"/>
      <c r="TP1155" s="128"/>
      <c r="TQ1155" s="128"/>
      <c r="TR1155" s="128"/>
      <c r="TS1155" s="128"/>
      <c r="TT1155" s="128"/>
      <c r="TU1155" s="128"/>
      <c r="TV1155" s="128"/>
      <c r="TW1155" s="128"/>
      <c r="TX1155" s="128"/>
      <c r="TY1155" s="128"/>
      <c r="TZ1155" s="128"/>
      <c r="UA1155" s="128"/>
      <c r="UB1155" s="128"/>
      <c r="UC1155" s="128"/>
      <c r="UD1155" s="128"/>
      <c r="UE1155" s="128"/>
      <c r="UF1155" s="128"/>
      <c r="UG1155" s="129"/>
    </row>
    <row r="1156" spans="1:553" s="1262" customFormat="1" ht="29.25" customHeight="1">
      <c r="A1156" s="445"/>
      <c r="B1156" s="759"/>
      <c r="C1156" s="1411" t="s">
        <v>595</v>
      </c>
      <c r="D1156" s="1452"/>
      <c r="E1156" s="1452"/>
      <c r="F1156" s="1452"/>
      <c r="G1156" s="760" t="s">
        <v>46</v>
      </c>
      <c r="H1156" s="646"/>
      <c r="I1156" s="1298">
        <f>(42.76*100/400)*(32-(4-3))*1</f>
        <v>331.39</v>
      </c>
      <c r="J1156" s="368">
        <v>7300</v>
      </c>
      <c r="K1156" s="565">
        <v>0.7</v>
      </c>
      <c r="L1156" s="571">
        <f>I1156*J1156*K1156</f>
        <v>1693402.9</v>
      </c>
      <c r="M1156" s="356"/>
      <c r="N1156" s="356"/>
      <c r="O1156" s="356"/>
      <c r="P1156" s="356"/>
      <c r="Q1156" s="610"/>
      <c r="R1156" s="1226"/>
      <c r="S1156" s="308"/>
      <c r="T1156" s="308"/>
      <c r="U1156" s="308"/>
      <c r="V1156" s="308"/>
      <c r="W1156" s="308"/>
      <c r="X1156" s="308"/>
      <c r="Y1156" s="308"/>
      <c r="Z1156" s="604"/>
      <c r="AA1156" s="308"/>
      <c r="AB1156" s="308"/>
      <c r="AC1156" s="373"/>
      <c r="AD1156" s="373"/>
      <c r="AE1156" s="373"/>
      <c r="AF1156" s="373"/>
      <c r="AG1156" s="373"/>
      <c r="AH1156" s="373"/>
      <c r="AI1156" s="373"/>
      <c r="AJ1156" s="373"/>
      <c r="AK1156" s="389"/>
      <c r="AL1156" s="1276"/>
      <c r="AM1156" s="1276"/>
      <c r="AN1156" s="1276"/>
      <c r="AO1156" s="1276"/>
      <c r="AP1156" s="1276"/>
      <c r="AQ1156" s="1276"/>
      <c r="AR1156" s="1276"/>
      <c r="AS1156" s="1280"/>
      <c r="AT1156" s="1280"/>
      <c r="AU1156" s="1280"/>
      <c r="AV1156" s="1280"/>
      <c r="AW1156" s="1280"/>
      <c r="AX1156" s="1280"/>
      <c r="AY1156" s="1280"/>
      <c r="AZ1156" s="1280"/>
      <c r="BA1156" s="1280"/>
      <c r="BB1156" s="1280"/>
      <c r="BC1156" s="1280"/>
      <c r="BD1156" s="1280"/>
      <c r="BE1156" s="1280"/>
      <c r="BF1156" s="1280"/>
      <c r="BG1156" s="1280"/>
      <c r="BH1156" s="1280"/>
      <c r="BI1156" s="1280"/>
      <c r="BJ1156" s="1280"/>
      <c r="BK1156" s="1280"/>
      <c r="BL1156" s="1280"/>
      <c r="BM1156" s="1280"/>
      <c r="BN1156" s="1280"/>
      <c r="BO1156" s="1280"/>
      <c r="BP1156" s="1280"/>
      <c r="BQ1156" s="1280"/>
      <c r="BR1156" s="1280"/>
      <c r="BS1156" s="1280"/>
      <c r="BT1156" s="1280"/>
      <c r="BU1156" s="1280"/>
      <c r="BV1156" s="1280"/>
      <c r="BW1156" s="1280"/>
      <c r="BX1156" s="1280"/>
      <c r="BY1156" s="1280"/>
      <c r="BZ1156" s="1280"/>
      <c r="CA1156" s="1280"/>
      <c r="CB1156" s="1280"/>
      <c r="CC1156" s="1280"/>
      <c r="CD1156" s="1280"/>
      <c r="CE1156" s="1280"/>
      <c r="CF1156" s="1280"/>
      <c r="CG1156" s="1280"/>
      <c r="CH1156" s="1280"/>
      <c r="CI1156" s="1280"/>
      <c r="CJ1156" s="1280"/>
      <c r="CK1156" s="1280"/>
      <c r="CL1156" s="1280"/>
      <c r="CM1156" s="1280"/>
      <c r="CN1156" s="1280"/>
      <c r="CO1156" s="1280"/>
      <c r="CP1156" s="1280"/>
      <c r="CQ1156" s="1280"/>
      <c r="CR1156" s="1280"/>
      <c r="CS1156" s="1280"/>
      <c r="CT1156" s="1280"/>
      <c r="CU1156" s="1280"/>
      <c r="CV1156" s="1280"/>
      <c r="CW1156" s="1280"/>
      <c r="CX1156" s="1280"/>
      <c r="CY1156" s="1280"/>
      <c r="CZ1156" s="1280"/>
      <c r="DA1156" s="1280"/>
      <c r="DB1156" s="1280"/>
      <c r="DC1156" s="1280"/>
      <c r="DD1156" s="1280"/>
      <c r="DE1156" s="1280"/>
      <c r="DF1156" s="1280"/>
      <c r="DG1156" s="1280"/>
      <c r="DH1156" s="1280"/>
      <c r="DI1156" s="1280"/>
      <c r="DJ1156" s="1280"/>
      <c r="DK1156" s="1280"/>
      <c r="DL1156" s="1280"/>
      <c r="DM1156" s="1280"/>
      <c r="DN1156" s="1280"/>
      <c r="DO1156" s="1280"/>
      <c r="DP1156" s="1280"/>
      <c r="DQ1156" s="1280"/>
      <c r="DR1156" s="1280"/>
      <c r="DS1156" s="1280"/>
      <c r="DT1156" s="1280"/>
      <c r="DU1156" s="1280"/>
      <c r="DV1156" s="1280"/>
      <c r="DW1156" s="1280"/>
      <c r="DX1156" s="1280"/>
      <c r="DY1156" s="1280"/>
      <c r="DZ1156" s="1280"/>
      <c r="EA1156" s="1280"/>
      <c r="EB1156" s="1280"/>
      <c r="EC1156" s="1280"/>
      <c r="ED1156" s="1280"/>
      <c r="EE1156" s="1280"/>
      <c r="EF1156" s="1280"/>
      <c r="EG1156" s="1280"/>
      <c r="EH1156" s="1280"/>
      <c r="EI1156" s="1280"/>
      <c r="EJ1156" s="1280"/>
      <c r="EK1156" s="1280"/>
      <c r="EL1156" s="1280"/>
      <c r="EM1156" s="1280"/>
      <c r="EN1156" s="1280"/>
      <c r="EO1156" s="1280"/>
      <c r="EP1156" s="1280"/>
      <c r="EQ1156" s="1280"/>
      <c r="ER1156" s="1280"/>
      <c r="ES1156" s="1280"/>
      <c r="ET1156" s="1280"/>
      <c r="EU1156" s="1280"/>
      <c r="EV1156" s="1280"/>
      <c r="EW1156" s="1280"/>
      <c r="EX1156" s="1280"/>
      <c r="EY1156" s="1280"/>
      <c r="EZ1156" s="1280"/>
      <c r="FA1156" s="1280"/>
      <c r="FB1156" s="1280"/>
      <c r="FC1156" s="1280"/>
      <c r="FD1156" s="1280"/>
      <c r="FE1156" s="1280"/>
      <c r="FF1156" s="1280"/>
      <c r="FG1156" s="1280"/>
      <c r="FH1156" s="1280"/>
      <c r="FI1156" s="1280"/>
      <c r="FJ1156" s="1280"/>
      <c r="FK1156" s="1280"/>
      <c r="FL1156" s="1280"/>
      <c r="FM1156" s="1280"/>
      <c r="FN1156" s="1280"/>
      <c r="FO1156" s="1280"/>
      <c r="FP1156" s="1280"/>
      <c r="FQ1156" s="1280"/>
      <c r="FR1156" s="1280"/>
      <c r="FS1156" s="1280"/>
      <c r="FT1156" s="1280"/>
      <c r="FU1156" s="1280"/>
      <c r="FV1156" s="1280"/>
      <c r="FW1156" s="1280"/>
      <c r="FX1156" s="1280"/>
      <c r="FY1156" s="1280"/>
      <c r="FZ1156" s="1280"/>
      <c r="GA1156" s="1280"/>
      <c r="GB1156" s="1280"/>
      <c r="GC1156" s="1280"/>
      <c r="GD1156" s="1280"/>
      <c r="GE1156" s="1280"/>
      <c r="GF1156" s="1280"/>
      <c r="GG1156" s="1280"/>
      <c r="GH1156" s="1280"/>
      <c r="GI1156" s="1280"/>
      <c r="GJ1156" s="1280"/>
      <c r="GK1156" s="1280"/>
      <c r="GL1156" s="1280"/>
      <c r="GM1156" s="1280"/>
      <c r="GN1156" s="1280"/>
      <c r="GO1156" s="1280"/>
      <c r="GP1156" s="1280"/>
      <c r="GQ1156" s="1280"/>
      <c r="GR1156" s="1280"/>
      <c r="GS1156" s="1280"/>
      <c r="GT1156" s="1280"/>
      <c r="GU1156" s="1280"/>
      <c r="GV1156" s="1280"/>
      <c r="GW1156" s="1280"/>
      <c r="GX1156" s="1280"/>
      <c r="GY1156" s="1280"/>
      <c r="GZ1156" s="1280"/>
      <c r="HA1156" s="1280"/>
      <c r="HB1156" s="1280"/>
      <c r="HC1156" s="1280"/>
      <c r="HD1156" s="1280"/>
      <c r="HE1156" s="1280"/>
      <c r="HF1156" s="1280"/>
      <c r="HG1156" s="1280"/>
      <c r="HH1156" s="1280"/>
      <c r="HI1156" s="1280"/>
      <c r="HJ1156" s="1280"/>
      <c r="HK1156" s="1280"/>
      <c r="HL1156" s="1280"/>
      <c r="HM1156" s="1280"/>
      <c r="HN1156" s="1280"/>
      <c r="HO1156" s="1280"/>
      <c r="HP1156" s="1280"/>
      <c r="HQ1156" s="1280"/>
      <c r="HR1156" s="1280"/>
      <c r="HS1156" s="1280"/>
      <c r="HT1156" s="1280"/>
      <c r="HU1156" s="1280"/>
      <c r="HV1156" s="1280"/>
      <c r="HW1156" s="1280"/>
      <c r="HX1156" s="1280"/>
      <c r="HY1156" s="1280"/>
      <c r="HZ1156" s="1280"/>
      <c r="IA1156" s="1280"/>
      <c r="IB1156" s="1280"/>
      <c r="IC1156" s="1280"/>
      <c r="ID1156" s="1280"/>
      <c r="IE1156" s="1280"/>
      <c r="IF1156" s="1280"/>
      <c r="IG1156" s="1280"/>
      <c r="IH1156" s="1280"/>
      <c r="II1156" s="1280"/>
      <c r="IJ1156" s="1280"/>
      <c r="IK1156" s="1280"/>
      <c r="IL1156" s="1280"/>
      <c r="IM1156" s="1280"/>
      <c r="IN1156" s="1280"/>
      <c r="IO1156" s="1280"/>
      <c r="IP1156" s="1280"/>
      <c r="IQ1156" s="1280"/>
      <c r="IR1156" s="1280"/>
      <c r="IS1156" s="1280"/>
      <c r="IT1156" s="1280"/>
      <c r="IU1156" s="1280"/>
      <c r="IV1156" s="1280"/>
      <c r="IW1156" s="1280"/>
      <c r="IX1156" s="1280"/>
      <c r="IY1156" s="1280"/>
      <c r="IZ1156" s="1280"/>
      <c r="JA1156" s="1280"/>
      <c r="JB1156" s="1280"/>
      <c r="JC1156" s="1280"/>
      <c r="JD1156" s="1280"/>
      <c r="JE1156" s="1280"/>
      <c r="JF1156" s="1280"/>
      <c r="JG1156" s="1280"/>
      <c r="JH1156" s="1280"/>
      <c r="JI1156" s="1280"/>
      <c r="JJ1156" s="1280"/>
      <c r="JK1156" s="1280"/>
      <c r="JL1156" s="1280"/>
      <c r="JM1156" s="1280"/>
      <c r="JN1156" s="1280"/>
      <c r="JO1156" s="1280"/>
      <c r="JP1156" s="1280"/>
      <c r="JQ1156" s="1280"/>
      <c r="JR1156" s="1280"/>
      <c r="JS1156" s="1280"/>
      <c r="JT1156" s="1280"/>
      <c r="JU1156" s="1280"/>
      <c r="JV1156" s="1280"/>
      <c r="JW1156" s="1280"/>
      <c r="JX1156" s="1280"/>
      <c r="JY1156" s="1280"/>
      <c r="JZ1156" s="1280"/>
      <c r="KA1156" s="1280"/>
      <c r="KB1156" s="1280"/>
      <c r="KC1156" s="1280"/>
      <c r="KD1156" s="1280"/>
      <c r="KE1156" s="1280"/>
      <c r="KF1156" s="1280"/>
      <c r="KG1156" s="1280"/>
      <c r="KH1156" s="1280"/>
      <c r="KI1156" s="1280"/>
      <c r="KJ1156" s="1280"/>
      <c r="KK1156" s="1280"/>
      <c r="KL1156" s="1280"/>
      <c r="KM1156" s="1280"/>
      <c r="KN1156" s="1280"/>
      <c r="KO1156" s="1280"/>
      <c r="KP1156" s="1280"/>
      <c r="KQ1156" s="1280"/>
      <c r="KR1156" s="1280"/>
      <c r="KS1156" s="1280"/>
      <c r="KT1156" s="1280"/>
      <c r="KU1156" s="1280"/>
      <c r="KV1156" s="1280"/>
      <c r="KW1156" s="1280"/>
      <c r="KX1156" s="1280"/>
      <c r="KY1156" s="1280"/>
      <c r="KZ1156" s="1280"/>
      <c r="LA1156" s="1280"/>
      <c r="LB1156" s="1280"/>
      <c r="LC1156" s="1280"/>
      <c r="LD1156" s="1280"/>
      <c r="LE1156" s="1280"/>
      <c r="LF1156" s="1280"/>
      <c r="LG1156" s="1280"/>
      <c r="LH1156" s="1280"/>
      <c r="LI1156" s="1280"/>
      <c r="LJ1156" s="1280"/>
      <c r="LK1156" s="1280"/>
      <c r="LL1156" s="1280"/>
      <c r="LM1156" s="1280"/>
      <c r="LN1156" s="1280"/>
      <c r="LO1156" s="1280"/>
      <c r="LP1156" s="1280"/>
      <c r="LQ1156" s="1280"/>
      <c r="LR1156" s="1280"/>
      <c r="LS1156" s="1280"/>
      <c r="LT1156" s="1280"/>
      <c r="LU1156" s="1280"/>
      <c r="LV1156" s="1280"/>
      <c r="LW1156" s="1280"/>
      <c r="LX1156" s="1280"/>
      <c r="LY1156" s="1280"/>
      <c r="LZ1156" s="1280"/>
      <c r="MA1156" s="1280"/>
      <c r="MB1156" s="1280"/>
      <c r="MC1156" s="1280"/>
      <c r="MD1156" s="1280"/>
      <c r="ME1156" s="1280"/>
      <c r="MF1156" s="1280"/>
      <c r="MG1156" s="1280"/>
      <c r="MH1156" s="1280"/>
      <c r="MI1156" s="1280"/>
      <c r="MJ1156" s="1280"/>
      <c r="MK1156" s="1280"/>
      <c r="ML1156" s="1280"/>
      <c r="MM1156" s="1280"/>
      <c r="MN1156" s="1280"/>
      <c r="MO1156" s="1280"/>
      <c r="MP1156" s="1280"/>
      <c r="MQ1156" s="1280"/>
      <c r="MR1156" s="1280"/>
      <c r="MS1156" s="1280"/>
      <c r="MT1156" s="1280"/>
      <c r="MU1156" s="1280"/>
      <c r="MV1156" s="1280"/>
      <c r="MW1156" s="1280"/>
      <c r="MX1156" s="1280"/>
      <c r="MY1156" s="1280"/>
      <c r="MZ1156" s="1280"/>
      <c r="NA1156" s="1280"/>
      <c r="NB1156" s="1280"/>
      <c r="NC1156" s="1280"/>
      <c r="ND1156" s="1280"/>
      <c r="NE1156" s="1280"/>
      <c r="NF1156" s="1280"/>
      <c r="NG1156" s="1280"/>
      <c r="NH1156" s="1280"/>
      <c r="NI1156" s="1280"/>
      <c r="NJ1156" s="1280"/>
      <c r="NK1156" s="1280"/>
      <c r="NL1156" s="1280"/>
      <c r="NM1156" s="1280"/>
      <c r="NN1156" s="1280"/>
      <c r="NO1156" s="1280"/>
      <c r="NP1156" s="1280"/>
      <c r="NQ1156" s="1280"/>
      <c r="NR1156" s="1280"/>
      <c r="NS1156" s="1280"/>
      <c r="NT1156" s="1280"/>
      <c r="NU1156" s="1280"/>
      <c r="NV1156" s="1280"/>
      <c r="NW1156" s="1280"/>
      <c r="NX1156" s="1280"/>
      <c r="NY1156" s="1280"/>
      <c r="NZ1156" s="1280"/>
      <c r="OA1156" s="1280"/>
      <c r="OB1156" s="1280"/>
      <c r="OC1156" s="1280"/>
      <c r="OD1156" s="1280"/>
      <c r="OE1156" s="1280"/>
      <c r="OF1156" s="1280"/>
      <c r="OG1156" s="1280"/>
      <c r="OH1156" s="1280"/>
      <c r="OI1156" s="1280"/>
      <c r="OJ1156" s="1280"/>
      <c r="OK1156" s="1280"/>
      <c r="OL1156" s="1280"/>
      <c r="OM1156" s="1280"/>
      <c r="ON1156" s="1280"/>
      <c r="OO1156" s="1280"/>
      <c r="OP1156" s="1280"/>
      <c r="OQ1156" s="1280"/>
      <c r="OR1156" s="1280"/>
      <c r="OS1156" s="1280"/>
      <c r="OT1156" s="1280"/>
      <c r="OU1156" s="1280"/>
      <c r="OV1156" s="1280"/>
      <c r="OW1156" s="1280"/>
      <c r="OX1156" s="1280"/>
      <c r="OY1156" s="1280"/>
      <c r="OZ1156" s="1280"/>
      <c r="PA1156" s="1280"/>
      <c r="PB1156" s="1280"/>
      <c r="PC1156" s="1280"/>
      <c r="PD1156" s="1280"/>
      <c r="PE1156" s="1280"/>
      <c r="PF1156" s="1280"/>
      <c r="PG1156" s="1280"/>
      <c r="PH1156" s="1280"/>
      <c r="PI1156" s="1280"/>
      <c r="PJ1156" s="1280"/>
      <c r="PK1156" s="1280"/>
      <c r="PL1156" s="1280"/>
      <c r="PM1156" s="1280"/>
      <c r="PN1156" s="1280"/>
      <c r="PO1156" s="1280"/>
      <c r="PP1156" s="1280"/>
      <c r="PQ1156" s="1280"/>
      <c r="PR1156" s="1280"/>
      <c r="PS1156" s="1280"/>
      <c r="PT1156" s="1280"/>
      <c r="PU1156" s="1280"/>
      <c r="PV1156" s="1280"/>
      <c r="PW1156" s="1280"/>
      <c r="PX1156" s="1280"/>
      <c r="PY1156" s="1280"/>
      <c r="PZ1156" s="1280"/>
      <c r="QA1156" s="1280"/>
      <c r="QB1156" s="1280"/>
      <c r="QC1156" s="1280"/>
      <c r="QD1156" s="1280"/>
      <c r="QE1156" s="1280"/>
      <c r="QF1156" s="1280"/>
      <c r="QG1156" s="1280"/>
      <c r="QH1156" s="1280"/>
      <c r="QI1156" s="1280"/>
      <c r="QJ1156" s="1280"/>
      <c r="QK1156" s="1280"/>
      <c r="QL1156" s="1280"/>
      <c r="QM1156" s="1280"/>
      <c r="QN1156" s="1280"/>
      <c r="QO1156" s="1280"/>
      <c r="QP1156" s="1280"/>
      <c r="QQ1156" s="1280"/>
      <c r="QR1156" s="1280"/>
      <c r="QS1156" s="1280"/>
      <c r="QT1156" s="1280"/>
      <c r="QU1156" s="1280"/>
      <c r="QV1156" s="1280"/>
      <c r="QW1156" s="1280"/>
      <c r="QX1156" s="1280"/>
      <c r="QY1156" s="1280"/>
      <c r="QZ1156" s="1280"/>
      <c r="RA1156" s="1280"/>
      <c r="RB1156" s="1280"/>
      <c r="RC1156" s="1280"/>
      <c r="RD1156" s="1280"/>
      <c r="RE1156" s="1280"/>
      <c r="RF1156" s="1280"/>
      <c r="RG1156" s="1280"/>
      <c r="RH1156" s="1280"/>
      <c r="RI1156" s="1280"/>
      <c r="RJ1156" s="1280"/>
      <c r="RK1156" s="1280"/>
      <c r="RL1156" s="1280"/>
      <c r="RM1156" s="1280"/>
      <c r="RN1156" s="1280"/>
      <c r="RO1156" s="1280"/>
      <c r="RP1156" s="1280"/>
      <c r="RQ1156" s="1280"/>
      <c r="RR1156" s="1280"/>
      <c r="RS1156" s="1280"/>
      <c r="RT1156" s="1280"/>
      <c r="RU1156" s="1280"/>
      <c r="RV1156" s="1280"/>
      <c r="RW1156" s="1280"/>
      <c r="RX1156" s="1280"/>
      <c r="RY1156" s="1280"/>
      <c r="RZ1156" s="1280"/>
      <c r="SA1156" s="1280"/>
      <c r="SB1156" s="1280"/>
      <c r="SC1156" s="1280"/>
      <c r="SD1156" s="1280"/>
      <c r="SE1156" s="1280"/>
      <c r="SF1156" s="1280"/>
      <c r="SG1156" s="1280"/>
      <c r="SH1156" s="1280"/>
      <c r="SI1156" s="1280"/>
      <c r="SJ1156" s="1280"/>
      <c r="SK1156" s="1280"/>
      <c r="SL1156" s="1280"/>
      <c r="SM1156" s="1280"/>
      <c r="SN1156" s="1280"/>
      <c r="SO1156" s="1280"/>
      <c r="SP1156" s="1280"/>
      <c r="SQ1156" s="1280"/>
      <c r="SR1156" s="1280"/>
      <c r="SS1156" s="1280"/>
      <c r="ST1156" s="1280"/>
      <c r="SU1156" s="1280"/>
      <c r="SV1156" s="1280"/>
      <c r="SW1156" s="1280"/>
      <c r="SX1156" s="1280"/>
      <c r="SY1156" s="1280"/>
      <c r="SZ1156" s="1280"/>
      <c r="TA1156" s="1280"/>
      <c r="TB1156" s="1280"/>
      <c r="TC1156" s="1280"/>
      <c r="TD1156" s="1280"/>
      <c r="TE1156" s="1280"/>
      <c r="TF1156" s="1280"/>
      <c r="TG1156" s="1280"/>
      <c r="TH1156" s="1280"/>
      <c r="TI1156" s="1280"/>
      <c r="TJ1156" s="1280"/>
      <c r="TK1156" s="1280"/>
      <c r="TL1156" s="1280"/>
      <c r="TM1156" s="1280"/>
      <c r="TN1156" s="1280"/>
      <c r="TO1156" s="1280"/>
      <c r="TP1156" s="1280"/>
      <c r="TQ1156" s="1280"/>
      <c r="TR1156" s="1280"/>
      <c r="TS1156" s="1280"/>
      <c r="TT1156" s="1280"/>
      <c r="TU1156" s="1280"/>
      <c r="TV1156" s="1280"/>
      <c r="TW1156" s="1280"/>
      <c r="TX1156" s="1280"/>
      <c r="TY1156" s="1280"/>
      <c r="TZ1156" s="1280"/>
      <c r="UA1156" s="1280"/>
      <c r="UB1156" s="1280"/>
      <c r="UC1156" s="1280"/>
      <c r="UD1156" s="1280"/>
      <c r="UE1156" s="1280"/>
      <c r="UF1156" s="1280"/>
      <c r="UG1156" s="1279"/>
    </row>
    <row r="1157" spans="1:553" s="1262" customFormat="1" ht="29.25" customHeight="1">
      <c r="A1157" s="445"/>
      <c r="B1157" s="761"/>
      <c r="C1157" s="1411" t="s">
        <v>1214</v>
      </c>
      <c r="D1157" s="1411"/>
      <c r="E1157" s="1411"/>
      <c r="F1157" s="1411"/>
      <c r="G1157" s="762" t="s">
        <v>193</v>
      </c>
      <c r="H1157" s="646"/>
      <c r="I1157" s="422">
        <v>5</v>
      </c>
      <c r="J1157" s="368">
        <v>265200</v>
      </c>
      <c r="K1157" s="565">
        <v>0.7</v>
      </c>
      <c r="L1157" s="571">
        <f>ROUND(PRODUCT(I1157:K1157),0)</f>
        <v>928200</v>
      </c>
      <c r="M1157" s="356"/>
      <c r="N1157" s="356"/>
      <c r="O1157" s="356"/>
      <c r="P1157" s="356"/>
      <c r="Q1157" s="610"/>
      <c r="R1157" s="1226"/>
      <c r="S1157" s="308"/>
      <c r="T1157" s="308"/>
      <c r="U1157" s="308"/>
      <c r="V1157" s="308"/>
      <c r="W1157" s="308"/>
      <c r="X1157" s="308"/>
      <c r="Y1157" s="308"/>
      <c r="Z1157" s="604"/>
      <c r="AA1157" s="308"/>
      <c r="AB1157" s="308"/>
      <c r="AC1157" s="373"/>
      <c r="AD1157" s="373"/>
      <c r="AE1157" s="373"/>
      <c r="AF1157" s="373"/>
      <c r="AG1157" s="373"/>
      <c r="AH1157" s="373"/>
      <c r="AI1157" s="373"/>
      <c r="AJ1157" s="373"/>
      <c r="AK1157" s="389"/>
      <c r="AL1157" s="1276"/>
      <c r="AM1157" s="1276"/>
      <c r="AN1157" s="1276"/>
      <c r="AO1157" s="1276"/>
      <c r="AP1157" s="1276"/>
      <c r="AQ1157" s="1276"/>
      <c r="AR1157" s="1276"/>
      <c r="AS1157" s="1280"/>
      <c r="AT1157" s="1280"/>
      <c r="AU1157" s="1280"/>
      <c r="AV1157" s="1280"/>
      <c r="AW1157" s="1280"/>
      <c r="AX1157" s="1280"/>
      <c r="AY1157" s="1280"/>
      <c r="AZ1157" s="1280"/>
      <c r="BA1157" s="1280"/>
      <c r="BB1157" s="1280"/>
      <c r="BC1157" s="1280"/>
      <c r="BD1157" s="1280"/>
      <c r="BE1157" s="1280"/>
      <c r="BF1157" s="1280"/>
      <c r="BG1157" s="1280"/>
      <c r="BH1157" s="1280"/>
      <c r="BI1157" s="1280"/>
      <c r="BJ1157" s="1280"/>
      <c r="BK1157" s="1280"/>
      <c r="BL1157" s="1280"/>
      <c r="BM1157" s="1280"/>
      <c r="BN1157" s="1280"/>
      <c r="BO1157" s="1280"/>
      <c r="BP1157" s="1280"/>
      <c r="BQ1157" s="1280"/>
      <c r="BR1157" s="1280"/>
      <c r="BS1157" s="1280"/>
      <c r="BT1157" s="1280"/>
      <c r="BU1157" s="1280"/>
      <c r="BV1157" s="1280"/>
      <c r="BW1157" s="1280"/>
      <c r="BX1157" s="1280"/>
      <c r="BY1157" s="1280"/>
      <c r="BZ1157" s="1280"/>
      <c r="CA1157" s="1280"/>
      <c r="CB1157" s="1280"/>
      <c r="CC1157" s="1280"/>
      <c r="CD1157" s="1280"/>
      <c r="CE1157" s="1280"/>
      <c r="CF1157" s="1280"/>
      <c r="CG1157" s="1280"/>
      <c r="CH1157" s="1280"/>
      <c r="CI1157" s="1280"/>
      <c r="CJ1157" s="1280"/>
      <c r="CK1157" s="1280"/>
      <c r="CL1157" s="1280"/>
      <c r="CM1157" s="1280"/>
      <c r="CN1157" s="1280"/>
      <c r="CO1157" s="1280"/>
      <c r="CP1157" s="1280"/>
      <c r="CQ1157" s="1280"/>
      <c r="CR1157" s="1280"/>
      <c r="CS1157" s="1280"/>
      <c r="CT1157" s="1280"/>
      <c r="CU1157" s="1280"/>
      <c r="CV1157" s="1280"/>
      <c r="CW1157" s="1280"/>
      <c r="CX1157" s="1280"/>
      <c r="CY1157" s="1280"/>
      <c r="CZ1157" s="1280"/>
      <c r="DA1157" s="1280"/>
      <c r="DB1157" s="1280"/>
      <c r="DC1157" s="1280"/>
      <c r="DD1157" s="1280"/>
      <c r="DE1157" s="1280"/>
      <c r="DF1157" s="1280"/>
      <c r="DG1157" s="1280"/>
      <c r="DH1157" s="1280"/>
      <c r="DI1157" s="1280"/>
      <c r="DJ1157" s="1280"/>
      <c r="DK1157" s="1280"/>
      <c r="DL1157" s="1280"/>
      <c r="DM1157" s="1280"/>
      <c r="DN1157" s="1280"/>
      <c r="DO1157" s="1280"/>
      <c r="DP1157" s="1280"/>
      <c r="DQ1157" s="1280"/>
      <c r="DR1157" s="1280"/>
      <c r="DS1157" s="1280"/>
      <c r="DT1157" s="1280"/>
      <c r="DU1157" s="1280"/>
      <c r="DV1157" s="1280"/>
      <c r="DW1157" s="1280"/>
      <c r="DX1157" s="1280"/>
      <c r="DY1157" s="1280"/>
      <c r="DZ1157" s="1280"/>
      <c r="EA1157" s="1280"/>
      <c r="EB1157" s="1280"/>
      <c r="EC1157" s="1280"/>
      <c r="ED1157" s="1280"/>
      <c r="EE1157" s="1280"/>
      <c r="EF1157" s="1280"/>
      <c r="EG1157" s="1280"/>
      <c r="EH1157" s="1280"/>
      <c r="EI1157" s="1280"/>
      <c r="EJ1157" s="1280"/>
      <c r="EK1157" s="1280"/>
      <c r="EL1157" s="1280"/>
      <c r="EM1157" s="1280"/>
      <c r="EN1157" s="1280"/>
      <c r="EO1157" s="1280"/>
      <c r="EP1157" s="1280"/>
      <c r="EQ1157" s="1280"/>
      <c r="ER1157" s="1280"/>
      <c r="ES1157" s="1280"/>
      <c r="ET1157" s="1280"/>
      <c r="EU1157" s="1280"/>
      <c r="EV1157" s="1280"/>
      <c r="EW1157" s="1280"/>
      <c r="EX1157" s="1280"/>
      <c r="EY1157" s="1280"/>
      <c r="EZ1157" s="1280"/>
      <c r="FA1157" s="1280"/>
      <c r="FB1157" s="1280"/>
      <c r="FC1157" s="1280"/>
      <c r="FD1157" s="1280"/>
      <c r="FE1157" s="1280"/>
      <c r="FF1157" s="1280"/>
      <c r="FG1157" s="1280"/>
      <c r="FH1157" s="1280"/>
      <c r="FI1157" s="1280"/>
      <c r="FJ1157" s="1280"/>
      <c r="FK1157" s="1280"/>
      <c r="FL1157" s="1280"/>
      <c r="FM1157" s="1280"/>
      <c r="FN1157" s="1280"/>
      <c r="FO1157" s="1280"/>
      <c r="FP1157" s="1280"/>
      <c r="FQ1157" s="1280"/>
      <c r="FR1157" s="1280"/>
      <c r="FS1157" s="1280"/>
      <c r="FT1157" s="1280"/>
      <c r="FU1157" s="1280"/>
      <c r="FV1157" s="1280"/>
      <c r="FW1157" s="1280"/>
      <c r="FX1157" s="1280"/>
      <c r="FY1157" s="1280"/>
      <c r="FZ1157" s="1280"/>
      <c r="GA1157" s="1280"/>
      <c r="GB1157" s="1280"/>
      <c r="GC1157" s="1280"/>
      <c r="GD1157" s="1280"/>
      <c r="GE1157" s="1280"/>
      <c r="GF1157" s="1280"/>
      <c r="GG1157" s="1280"/>
      <c r="GH1157" s="1280"/>
      <c r="GI1157" s="1280"/>
      <c r="GJ1157" s="1280"/>
      <c r="GK1157" s="1280"/>
      <c r="GL1157" s="1280"/>
      <c r="GM1157" s="1280"/>
      <c r="GN1157" s="1280"/>
      <c r="GO1157" s="1280"/>
      <c r="GP1157" s="1280"/>
      <c r="GQ1157" s="1280"/>
      <c r="GR1157" s="1280"/>
      <c r="GS1157" s="1280"/>
      <c r="GT1157" s="1280"/>
      <c r="GU1157" s="1280"/>
      <c r="GV1157" s="1280"/>
      <c r="GW1157" s="1280"/>
      <c r="GX1157" s="1280"/>
      <c r="GY1157" s="1280"/>
      <c r="GZ1157" s="1280"/>
      <c r="HA1157" s="1280"/>
      <c r="HB1157" s="1280"/>
      <c r="HC1157" s="1280"/>
      <c r="HD1157" s="1280"/>
      <c r="HE1157" s="1280"/>
      <c r="HF1157" s="1280"/>
      <c r="HG1157" s="1280"/>
      <c r="HH1157" s="1280"/>
      <c r="HI1157" s="1280"/>
      <c r="HJ1157" s="1280"/>
      <c r="HK1157" s="1280"/>
      <c r="HL1157" s="1280"/>
      <c r="HM1157" s="1280"/>
      <c r="HN1157" s="1280"/>
      <c r="HO1157" s="1280"/>
      <c r="HP1157" s="1280"/>
      <c r="HQ1157" s="1280"/>
      <c r="HR1157" s="1280"/>
      <c r="HS1157" s="1280"/>
      <c r="HT1157" s="1280"/>
      <c r="HU1157" s="1280"/>
      <c r="HV1157" s="1280"/>
      <c r="HW1157" s="1280"/>
      <c r="HX1157" s="1280"/>
      <c r="HY1157" s="1280"/>
      <c r="HZ1157" s="1280"/>
      <c r="IA1157" s="1280"/>
      <c r="IB1157" s="1280"/>
      <c r="IC1157" s="1280"/>
      <c r="ID1157" s="1280"/>
      <c r="IE1157" s="1280"/>
      <c r="IF1157" s="1280"/>
      <c r="IG1157" s="1280"/>
      <c r="IH1157" s="1280"/>
      <c r="II1157" s="1280"/>
      <c r="IJ1157" s="1280"/>
      <c r="IK1157" s="1280"/>
      <c r="IL1157" s="1280"/>
      <c r="IM1157" s="1280"/>
      <c r="IN1157" s="1280"/>
      <c r="IO1157" s="1280"/>
      <c r="IP1157" s="1280"/>
      <c r="IQ1157" s="1280"/>
      <c r="IR1157" s="1280"/>
      <c r="IS1157" s="1280"/>
      <c r="IT1157" s="1280"/>
      <c r="IU1157" s="1280"/>
      <c r="IV1157" s="1280"/>
      <c r="IW1157" s="1280"/>
      <c r="IX1157" s="1280"/>
      <c r="IY1157" s="1280"/>
      <c r="IZ1157" s="1280"/>
      <c r="JA1157" s="1280"/>
      <c r="JB1157" s="1280"/>
      <c r="JC1157" s="1280"/>
      <c r="JD1157" s="1280"/>
      <c r="JE1157" s="1280"/>
      <c r="JF1157" s="1280"/>
      <c r="JG1157" s="1280"/>
      <c r="JH1157" s="1280"/>
      <c r="JI1157" s="1280"/>
      <c r="JJ1157" s="1280"/>
      <c r="JK1157" s="1280"/>
      <c r="JL1157" s="1280"/>
      <c r="JM1157" s="1280"/>
      <c r="JN1157" s="1280"/>
      <c r="JO1157" s="1280"/>
      <c r="JP1157" s="1280"/>
      <c r="JQ1157" s="1280"/>
      <c r="JR1157" s="1280"/>
      <c r="JS1157" s="1280"/>
      <c r="JT1157" s="1280"/>
      <c r="JU1157" s="1280"/>
      <c r="JV1157" s="1280"/>
      <c r="JW1157" s="1280"/>
      <c r="JX1157" s="1280"/>
      <c r="JY1157" s="1280"/>
      <c r="JZ1157" s="1280"/>
      <c r="KA1157" s="1280"/>
      <c r="KB1157" s="1280"/>
      <c r="KC1157" s="1280"/>
      <c r="KD1157" s="1280"/>
      <c r="KE1157" s="1280"/>
      <c r="KF1157" s="1280"/>
      <c r="KG1157" s="1280"/>
      <c r="KH1157" s="1280"/>
      <c r="KI1157" s="1280"/>
      <c r="KJ1157" s="1280"/>
      <c r="KK1157" s="1280"/>
      <c r="KL1157" s="1280"/>
      <c r="KM1157" s="1280"/>
      <c r="KN1157" s="1280"/>
      <c r="KO1157" s="1280"/>
      <c r="KP1157" s="1280"/>
      <c r="KQ1157" s="1280"/>
      <c r="KR1157" s="1280"/>
      <c r="KS1157" s="1280"/>
      <c r="KT1157" s="1280"/>
      <c r="KU1157" s="1280"/>
      <c r="KV1157" s="1280"/>
      <c r="KW1157" s="1280"/>
      <c r="KX1157" s="1280"/>
      <c r="KY1157" s="1280"/>
      <c r="KZ1157" s="1280"/>
      <c r="LA1157" s="1280"/>
      <c r="LB1157" s="1280"/>
      <c r="LC1157" s="1280"/>
      <c r="LD1157" s="1280"/>
      <c r="LE1157" s="1280"/>
      <c r="LF1157" s="1280"/>
      <c r="LG1157" s="1280"/>
      <c r="LH1157" s="1280"/>
      <c r="LI1157" s="1280"/>
      <c r="LJ1157" s="1280"/>
      <c r="LK1157" s="1280"/>
      <c r="LL1157" s="1280"/>
      <c r="LM1157" s="1280"/>
      <c r="LN1157" s="1280"/>
      <c r="LO1157" s="1280"/>
      <c r="LP1157" s="1280"/>
      <c r="LQ1157" s="1280"/>
      <c r="LR1157" s="1280"/>
      <c r="LS1157" s="1280"/>
      <c r="LT1157" s="1280"/>
      <c r="LU1157" s="1280"/>
      <c r="LV1157" s="1280"/>
      <c r="LW1157" s="1280"/>
      <c r="LX1157" s="1280"/>
      <c r="LY1157" s="1280"/>
      <c r="LZ1157" s="1280"/>
      <c r="MA1157" s="1280"/>
      <c r="MB1157" s="1280"/>
      <c r="MC1157" s="1280"/>
      <c r="MD1157" s="1280"/>
      <c r="ME1157" s="1280"/>
      <c r="MF1157" s="1280"/>
      <c r="MG1157" s="1280"/>
      <c r="MH1157" s="1280"/>
      <c r="MI1157" s="1280"/>
      <c r="MJ1157" s="1280"/>
      <c r="MK1157" s="1280"/>
      <c r="ML1157" s="1280"/>
      <c r="MM1157" s="1280"/>
      <c r="MN1157" s="1280"/>
      <c r="MO1157" s="1280"/>
      <c r="MP1157" s="1280"/>
      <c r="MQ1157" s="1280"/>
      <c r="MR1157" s="1280"/>
      <c r="MS1157" s="1280"/>
      <c r="MT1157" s="1280"/>
      <c r="MU1157" s="1280"/>
      <c r="MV1157" s="1280"/>
      <c r="MW1157" s="1280"/>
      <c r="MX1157" s="1280"/>
      <c r="MY1157" s="1280"/>
      <c r="MZ1157" s="1280"/>
      <c r="NA1157" s="1280"/>
      <c r="NB1157" s="1280"/>
      <c r="NC1157" s="1280"/>
      <c r="ND1157" s="1280"/>
      <c r="NE1157" s="1280"/>
      <c r="NF1157" s="1280"/>
      <c r="NG1157" s="1280"/>
      <c r="NH1157" s="1280"/>
      <c r="NI1157" s="1280"/>
      <c r="NJ1157" s="1280"/>
      <c r="NK1157" s="1280"/>
      <c r="NL1157" s="1280"/>
      <c r="NM1157" s="1280"/>
      <c r="NN1157" s="1280"/>
      <c r="NO1157" s="1280"/>
      <c r="NP1157" s="1280"/>
      <c r="NQ1157" s="1280"/>
      <c r="NR1157" s="1280"/>
      <c r="NS1157" s="1280"/>
      <c r="NT1157" s="1280"/>
      <c r="NU1157" s="1280"/>
      <c r="NV1157" s="1280"/>
      <c r="NW1157" s="1280"/>
      <c r="NX1157" s="1280"/>
      <c r="NY1157" s="1280"/>
      <c r="NZ1157" s="1280"/>
      <c r="OA1157" s="1280"/>
      <c r="OB1157" s="1280"/>
      <c r="OC1157" s="1280"/>
      <c r="OD1157" s="1280"/>
      <c r="OE1157" s="1280"/>
      <c r="OF1157" s="1280"/>
      <c r="OG1157" s="1280"/>
      <c r="OH1157" s="1280"/>
      <c r="OI1157" s="1280"/>
      <c r="OJ1157" s="1280"/>
      <c r="OK1157" s="1280"/>
      <c r="OL1157" s="1280"/>
      <c r="OM1157" s="1280"/>
      <c r="ON1157" s="1280"/>
      <c r="OO1157" s="1280"/>
      <c r="OP1157" s="1280"/>
      <c r="OQ1157" s="1280"/>
      <c r="OR1157" s="1280"/>
      <c r="OS1157" s="1280"/>
      <c r="OT1157" s="1280"/>
      <c r="OU1157" s="1280"/>
      <c r="OV1157" s="1280"/>
      <c r="OW1157" s="1280"/>
      <c r="OX1157" s="1280"/>
      <c r="OY1157" s="1280"/>
      <c r="OZ1157" s="1280"/>
      <c r="PA1157" s="1280"/>
      <c r="PB1157" s="1280"/>
      <c r="PC1157" s="1280"/>
      <c r="PD1157" s="1280"/>
      <c r="PE1157" s="1280"/>
      <c r="PF1157" s="1280"/>
      <c r="PG1157" s="1280"/>
      <c r="PH1157" s="1280"/>
      <c r="PI1157" s="1280"/>
      <c r="PJ1157" s="1280"/>
      <c r="PK1157" s="1280"/>
      <c r="PL1157" s="1280"/>
      <c r="PM1157" s="1280"/>
      <c r="PN1157" s="1280"/>
      <c r="PO1157" s="1280"/>
      <c r="PP1157" s="1280"/>
      <c r="PQ1157" s="1280"/>
      <c r="PR1157" s="1280"/>
      <c r="PS1157" s="1280"/>
      <c r="PT1157" s="1280"/>
      <c r="PU1157" s="1280"/>
      <c r="PV1157" s="1280"/>
      <c r="PW1157" s="1280"/>
      <c r="PX1157" s="1280"/>
      <c r="PY1157" s="1280"/>
      <c r="PZ1157" s="1280"/>
      <c r="QA1157" s="1280"/>
      <c r="QB1157" s="1280"/>
      <c r="QC1157" s="1280"/>
      <c r="QD1157" s="1280"/>
      <c r="QE1157" s="1280"/>
      <c r="QF1157" s="1280"/>
      <c r="QG1157" s="1280"/>
      <c r="QH1157" s="1280"/>
      <c r="QI1157" s="1280"/>
      <c r="QJ1157" s="1280"/>
      <c r="QK1157" s="1280"/>
      <c r="QL1157" s="1280"/>
      <c r="QM1157" s="1280"/>
      <c r="QN1157" s="1280"/>
      <c r="QO1157" s="1280"/>
      <c r="QP1157" s="1280"/>
      <c r="QQ1157" s="1280"/>
      <c r="QR1157" s="1280"/>
      <c r="QS1157" s="1280"/>
      <c r="QT1157" s="1280"/>
      <c r="QU1157" s="1280"/>
      <c r="QV1157" s="1280"/>
      <c r="QW1157" s="1280"/>
      <c r="QX1157" s="1280"/>
      <c r="QY1157" s="1280"/>
      <c r="QZ1157" s="1280"/>
      <c r="RA1157" s="1280"/>
      <c r="RB1157" s="1280"/>
      <c r="RC1157" s="1280"/>
      <c r="RD1157" s="1280"/>
      <c r="RE1157" s="1280"/>
      <c r="RF1157" s="1280"/>
      <c r="RG1157" s="1280"/>
      <c r="RH1157" s="1280"/>
      <c r="RI1157" s="1280"/>
      <c r="RJ1157" s="1280"/>
      <c r="RK1157" s="1280"/>
      <c r="RL1157" s="1280"/>
      <c r="RM1157" s="1280"/>
      <c r="RN1157" s="1280"/>
      <c r="RO1157" s="1280"/>
      <c r="RP1157" s="1280"/>
      <c r="RQ1157" s="1280"/>
      <c r="RR1157" s="1280"/>
      <c r="RS1157" s="1280"/>
      <c r="RT1157" s="1280"/>
      <c r="RU1157" s="1280"/>
      <c r="RV1157" s="1280"/>
      <c r="RW1157" s="1280"/>
      <c r="RX1157" s="1280"/>
      <c r="RY1157" s="1280"/>
      <c r="RZ1157" s="1280"/>
      <c r="SA1157" s="1280"/>
      <c r="SB1157" s="1280"/>
      <c r="SC1157" s="1280"/>
      <c r="SD1157" s="1280"/>
      <c r="SE1157" s="1280"/>
      <c r="SF1157" s="1280"/>
      <c r="SG1157" s="1280"/>
      <c r="SH1157" s="1280"/>
      <c r="SI1157" s="1280"/>
      <c r="SJ1157" s="1280"/>
      <c r="SK1157" s="1280"/>
      <c r="SL1157" s="1280"/>
      <c r="SM1157" s="1280"/>
      <c r="SN1157" s="1280"/>
      <c r="SO1157" s="1280"/>
      <c r="SP1157" s="1280"/>
      <c r="SQ1157" s="1280"/>
      <c r="SR1157" s="1280"/>
      <c r="SS1157" s="1280"/>
      <c r="ST1157" s="1280"/>
      <c r="SU1157" s="1280"/>
      <c r="SV1157" s="1280"/>
      <c r="SW1157" s="1280"/>
      <c r="SX1157" s="1280"/>
      <c r="SY1157" s="1280"/>
      <c r="SZ1157" s="1280"/>
      <c r="TA1157" s="1280"/>
      <c r="TB1157" s="1280"/>
      <c r="TC1157" s="1280"/>
      <c r="TD1157" s="1280"/>
      <c r="TE1157" s="1280"/>
      <c r="TF1157" s="1280"/>
      <c r="TG1157" s="1280"/>
      <c r="TH1157" s="1280"/>
      <c r="TI1157" s="1280"/>
      <c r="TJ1157" s="1280"/>
      <c r="TK1157" s="1280"/>
      <c r="TL1157" s="1280"/>
      <c r="TM1157" s="1280"/>
      <c r="TN1157" s="1280"/>
      <c r="TO1157" s="1280"/>
      <c r="TP1157" s="1280"/>
      <c r="TQ1157" s="1280"/>
      <c r="TR1157" s="1280"/>
      <c r="TS1157" s="1280"/>
      <c r="TT1157" s="1280"/>
      <c r="TU1157" s="1280"/>
      <c r="TV1157" s="1280"/>
      <c r="TW1157" s="1280"/>
      <c r="TX1157" s="1280"/>
      <c r="TY1157" s="1280"/>
      <c r="TZ1157" s="1280"/>
      <c r="UA1157" s="1280"/>
      <c r="UB1157" s="1280"/>
      <c r="UC1157" s="1280"/>
      <c r="UD1157" s="1280"/>
      <c r="UE1157" s="1280"/>
      <c r="UF1157" s="1280"/>
      <c r="UG1157" s="1279"/>
    </row>
    <row r="1158" spans="1:553" s="1262" customFormat="1" ht="29.25" customHeight="1">
      <c r="A1158" s="1231"/>
      <c r="B1158" s="763"/>
      <c r="C1158" s="1411" t="s">
        <v>1215</v>
      </c>
      <c r="D1158" s="1411"/>
      <c r="E1158" s="1411"/>
      <c r="F1158" s="1411"/>
      <c r="G1158" s="764" t="s">
        <v>46</v>
      </c>
      <c r="H1158" s="751"/>
      <c r="I1158" s="499">
        <f>(31.98*100/400)*(17-(4-3))*10</f>
        <v>1279.2</v>
      </c>
      <c r="J1158" s="985">
        <v>5800</v>
      </c>
      <c r="K1158" s="655">
        <v>0.7</v>
      </c>
      <c r="L1158" s="985">
        <f>I1158*J1158*K1158</f>
        <v>5193552</v>
      </c>
      <c r="M1158" s="356"/>
      <c r="N1158" s="356"/>
      <c r="O1158" s="356"/>
      <c r="P1158" s="356"/>
      <c r="Q1158" s="610"/>
      <c r="R1158" s="1226"/>
      <c r="S1158" s="308"/>
      <c r="T1158" s="308"/>
      <c r="U1158" s="308"/>
      <c r="V1158" s="308"/>
      <c r="W1158" s="308"/>
      <c r="X1158" s="308"/>
      <c r="Y1158" s="308"/>
      <c r="Z1158" s="604"/>
      <c r="AA1158" s="308"/>
      <c r="AB1158" s="308"/>
      <c r="AC1158" s="373"/>
      <c r="AD1158" s="373"/>
      <c r="AE1158" s="373"/>
      <c r="AF1158" s="373"/>
      <c r="AG1158" s="373"/>
      <c r="AH1158" s="373"/>
      <c r="AI1158" s="373"/>
      <c r="AJ1158" s="373"/>
      <c r="AK1158" s="389"/>
      <c r="AL1158" s="1276"/>
      <c r="AM1158" s="1276"/>
      <c r="AN1158" s="1276"/>
      <c r="AO1158" s="1276"/>
      <c r="AP1158" s="1276"/>
      <c r="AQ1158" s="1276"/>
      <c r="AR1158" s="1276"/>
      <c r="AS1158" s="1280"/>
      <c r="AT1158" s="1280"/>
      <c r="AU1158" s="1280"/>
      <c r="AV1158" s="1280"/>
      <c r="AW1158" s="1280"/>
      <c r="AX1158" s="1280"/>
      <c r="AY1158" s="1280"/>
      <c r="AZ1158" s="1280"/>
      <c r="BA1158" s="1280"/>
      <c r="BB1158" s="1280"/>
      <c r="BC1158" s="1280"/>
      <c r="BD1158" s="1280"/>
      <c r="BE1158" s="1280"/>
      <c r="BF1158" s="1280"/>
      <c r="BG1158" s="1280"/>
      <c r="BH1158" s="1280"/>
      <c r="BI1158" s="1280"/>
      <c r="BJ1158" s="1280"/>
      <c r="BK1158" s="1280"/>
      <c r="BL1158" s="1280"/>
      <c r="BM1158" s="1280"/>
      <c r="BN1158" s="1280"/>
      <c r="BO1158" s="1280"/>
      <c r="BP1158" s="1280"/>
      <c r="BQ1158" s="1280"/>
      <c r="BR1158" s="1280"/>
      <c r="BS1158" s="1280"/>
      <c r="BT1158" s="1280"/>
      <c r="BU1158" s="1280"/>
      <c r="BV1158" s="1280"/>
      <c r="BW1158" s="1280"/>
      <c r="BX1158" s="1280"/>
      <c r="BY1158" s="1280"/>
      <c r="BZ1158" s="1280"/>
      <c r="CA1158" s="1280"/>
      <c r="CB1158" s="1280"/>
      <c r="CC1158" s="1280"/>
      <c r="CD1158" s="1280"/>
      <c r="CE1158" s="1280"/>
      <c r="CF1158" s="1280"/>
      <c r="CG1158" s="1280"/>
      <c r="CH1158" s="1280"/>
      <c r="CI1158" s="1280"/>
      <c r="CJ1158" s="1280"/>
      <c r="CK1158" s="1280"/>
      <c r="CL1158" s="1280"/>
      <c r="CM1158" s="1280"/>
      <c r="CN1158" s="1280"/>
      <c r="CO1158" s="1280"/>
      <c r="CP1158" s="1280"/>
      <c r="CQ1158" s="1280"/>
      <c r="CR1158" s="1280"/>
      <c r="CS1158" s="1280"/>
      <c r="CT1158" s="1280"/>
      <c r="CU1158" s="1280"/>
      <c r="CV1158" s="1280"/>
      <c r="CW1158" s="1280"/>
      <c r="CX1158" s="1280"/>
      <c r="CY1158" s="1280"/>
      <c r="CZ1158" s="1280"/>
      <c r="DA1158" s="1280"/>
      <c r="DB1158" s="1280"/>
      <c r="DC1158" s="1280"/>
      <c r="DD1158" s="1280"/>
      <c r="DE1158" s="1280"/>
      <c r="DF1158" s="1280"/>
      <c r="DG1158" s="1280"/>
      <c r="DH1158" s="1280"/>
      <c r="DI1158" s="1280"/>
      <c r="DJ1158" s="1280"/>
      <c r="DK1158" s="1280"/>
      <c r="DL1158" s="1280"/>
      <c r="DM1158" s="1280"/>
      <c r="DN1158" s="1280"/>
      <c r="DO1158" s="1280"/>
      <c r="DP1158" s="1280"/>
      <c r="DQ1158" s="1280"/>
      <c r="DR1158" s="1280"/>
      <c r="DS1158" s="1280"/>
      <c r="DT1158" s="1280"/>
      <c r="DU1158" s="1280"/>
      <c r="DV1158" s="1280"/>
      <c r="DW1158" s="1280"/>
      <c r="DX1158" s="1280"/>
      <c r="DY1158" s="1280"/>
      <c r="DZ1158" s="1280"/>
      <c r="EA1158" s="1280"/>
      <c r="EB1158" s="1280"/>
      <c r="EC1158" s="1280"/>
      <c r="ED1158" s="1280"/>
      <c r="EE1158" s="1280"/>
      <c r="EF1158" s="1280"/>
      <c r="EG1158" s="1280"/>
      <c r="EH1158" s="1280"/>
      <c r="EI1158" s="1280"/>
      <c r="EJ1158" s="1280"/>
      <c r="EK1158" s="1280"/>
      <c r="EL1158" s="1280"/>
      <c r="EM1158" s="1280"/>
      <c r="EN1158" s="1280"/>
      <c r="EO1158" s="1280"/>
      <c r="EP1158" s="1280"/>
      <c r="EQ1158" s="1280"/>
      <c r="ER1158" s="1280"/>
      <c r="ES1158" s="1280"/>
      <c r="ET1158" s="1280"/>
      <c r="EU1158" s="1280"/>
      <c r="EV1158" s="1280"/>
      <c r="EW1158" s="1280"/>
      <c r="EX1158" s="1280"/>
      <c r="EY1158" s="1280"/>
      <c r="EZ1158" s="1280"/>
      <c r="FA1158" s="1280"/>
      <c r="FB1158" s="1280"/>
      <c r="FC1158" s="1280"/>
      <c r="FD1158" s="1280"/>
      <c r="FE1158" s="1280"/>
      <c r="FF1158" s="1280"/>
      <c r="FG1158" s="1280"/>
      <c r="FH1158" s="1280"/>
      <c r="FI1158" s="1280"/>
      <c r="FJ1158" s="1280"/>
      <c r="FK1158" s="1280"/>
      <c r="FL1158" s="1280"/>
      <c r="FM1158" s="1280"/>
      <c r="FN1158" s="1280"/>
      <c r="FO1158" s="1280"/>
      <c r="FP1158" s="1280"/>
      <c r="FQ1158" s="1280"/>
      <c r="FR1158" s="1280"/>
      <c r="FS1158" s="1280"/>
      <c r="FT1158" s="1280"/>
      <c r="FU1158" s="1280"/>
      <c r="FV1158" s="1280"/>
      <c r="FW1158" s="1280"/>
      <c r="FX1158" s="1280"/>
      <c r="FY1158" s="1280"/>
      <c r="FZ1158" s="1280"/>
      <c r="GA1158" s="1280"/>
      <c r="GB1158" s="1280"/>
      <c r="GC1158" s="1280"/>
      <c r="GD1158" s="1280"/>
      <c r="GE1158" s="1280"/>
      <c r="GF1158" s="1280"/>
      <c r="GG1158" s="1280"/>
      <c r="GH1158" s="1280"/>
      <c r="GI1158" s="1280"/>
      <c r="GJ1158" s="1280"/>
      <c r="GK1158" s="1280"/>
      <c r="GL1158" s="1280"/>
      <c r="GM1158" s="1280"/>
      <c r="GN1158" s="1280"/>
      <c r="GO1158" s="1280"/>
      <c r="GP1158" s="1280"/>
      <c r="GQ1158" s="1280"/>
      <c r="GR1158" s="1280"/>
      <c r="GS1158" s="1280"/>
      <c r="GT1158" s="1280"/>
      <c r="GU1158" s="1280"/>
      <c r="GV1158" s="1280"/>
      <c r="GW1158" s="1280"/>
      <c r="GX1158" s="1280"/>
      <c r="GY1158" s="1280"/>
      <c r="GZ1158" s="1280"/>
      <c r="HA1158" s="1280"/>
      <c r="HB1158" s="1280"/>
      <c r="HC1158" s="1280"/>
      <c r="HD1158" s="1280"/>
      <c r="HE1158" s="1280"/>
      <c r="HF1158" s="1280"/>
      <c r="HG1158" s="1280"/>
      <c r="HH1158" s="1280"/>
      <c r="HI1158" s="1280"/>
      <c r="HJ1158" s="1280"/>
      <c r="HK1158" s="1280"/>
      <c r="HL1158" s="1280"/>
      <c r="HM1158" s="1280"/>
      <c r="HN1158" s="1280"/>
      <c r="HO1158" s="1280"/>
      <c r="HP1158" s="1280"/>
      <c r="HQ1158" s="1280"/>
      <c r="HR1158" s="1280"/>
      <c r="HS1158" s="1280"/>
      <c r="HT1158" s="1280"/>
      <c r="HU1158" s="1280"/>
      <c r="HV1158" s="1280"/>
      <c r="HW1158" s="1280"/>
      <c r="HX1158" s="1280"/>
      <c r="HY1158" s="1280"/>
      <c r="HZ1158" s="1280"/>
      <c r="IA1158" s="1280"/>
      <c r="IB1158" s="1280"/>
      <c r="IC1158" s="1280"/>
      <c r="ID1158" s="1280"/>
      <c r="IE1158" s="1280"/>
      <c r="IF1158" s="1280"/>
      <c r="IG1158" s="1280"/>
      <c r="IH1158" s="1280"/>
      <c r="II1158" s="1280"/>
      <c r="IJ1158" s="1280"/>
      <c r="IK1158" s="1280"/>
      <c r="IL1158" s="1280"/>
      <c r="IM1158" s="1280"/>
      <c r="IN1158" s="1280"/>
      <c r="IO1158" s="1280"/>
      <c r="IP1158" s="1280"/>
      <c r="IQ1158" s="1280"/>
      <c r="IR1158" s="1280"/>
      <c r="IS1158" s="1280"/>
      <c r="IT1158" s="1280"/>
      <c r="IU1158" s="1280"/>
      <c r="IV1158" s="1280"/>
      <c r="IW1158" s="1280"/>
      <c r="IX1158" s="1280"/>
      <c r="IY1158" s="1280"/>
      <c r="IZ1158" s="1280"/>
      <c r="JA1158" s="1280"/>
      <c r="JB1158" s="1280"/>
      <c r="JC1158" s="1280"/>
      <c r="JD1158" s="1280"/>
      <c r="JE1158" s="1280"/>
      <c r="JF1158" s="1280"/>
      <c r="JG1158" s="1280"/>
      <c r="JH1158" s="1280"/>
      <c r="JI1158" s="1280"/>
      <c r="JJ1158" s="1280"/>
      <c r="JK1158" s="1280"/>
      <c r="JL1158" s="1280"/>
      <c r="JM1158" s="1280"/>
      <c r="JN1158" s="1280"/>
      <c r="JO1158" s="1280"/>
      <c r="JP1158" s="1280"/>
      <c r="JQ1158" s="1280"/>
      <c r="JR1158" s="1280"/>
      <c r="JS1158" s="1280"/>
      <c r="JT1158" s="1280"/>
      <c r="JU1158" s="1280"/>
      <c r="JV1158" s="1280"/>
      <c r="JW1158" s="1280"/>
      <c r="JX1158" s="1280"/>
      <c r="JY1158" s="1280"/>
      <c r="JZ1158" s="1280"/>
      <c r="KA1158" s="1280"/>
      <c r="KB1158" s="1280"/>
      <c r="KC1158" s="1280"/>
      <c r="KD1158" s="1280"/>
      <c r="KE1158" s="1280"/>
      <c r="KF1158" s="1280"/>
      <c r="KG1158" s="1280"/>
      <c r="KH1158" s="1280"/>
      <c r="KI1158" s="1280"/>
      <c r="KJ1158" s="1280"/>
      <c r="KK1158" s="1280"/>
      <c r="KL1158" s="1280"/>
      <c r="KM1158" s="1280"/>
      <c r="KN1158" s="1280"/>
      <c r="KO1158" s="1280"/>
      <c r="KP1158" s="1280"/>
      <c r="KQ1158" s="1280"/>
      <c r="KR1158" s="1280"/>
      <c r="KS1158" s="1280"/>
      <c r="KT1158" s="1280"/>
      <c r="KU1158" s="1280"/>
      <c r="KV1158" s="1280"/>
      <c r="KW1158" s="1280"/>
      <c r="KX1158" s="1280"/>
      <c r="KY1158" s="1280"/>
      <c r="KZ1158" s="1280"/>
      <c r="LA1158" s="1280"/>
      <c r="LB1158" s="1280"/>
      <c r="LC1158" s="1280"/>
      <c r="LD1158" s="1280"/>
      <c r="LE1158" s="1280"/>
      <c r="LF1158" s="1280"/>
      <c r="LG1158" s="1280"/>
      <c r="LH1158" s="1280"/>
      <c r="LI1158" s="1280"/>
      <c r="LJ1158" s="1280"/>
      <c r="LK1158" s="1280"/>
      <c r="LL1158" s="1280"/>
      <c r="LM1158" s="1280"/>
      <c r="LN1158" s="1280"/>
      <c r="LO1158" s="1280"/>
      <c r="LP1158" s="1280"/>
      <c r="LQ1158" s="1280"/>
      <c r="LR1158" s="1280"/>
      <c r="LS1158" s="1280"/>
      <c r="LT1158" s="1280"/>
      <c r="LU1158" s="1280"/>
      <c r="LV1158" s="1280"/>
      <c r="LW1158" s="1280"/>
      <c r="LX1158" s="1280"/>
      <c r="LY1158" s="1280"/>
      <c r="LZ1158" s="1280"/>
      <c r="MA1158" s="1280"/>
      <c r="MB1158" s="1280"/>
      <c r="MC1158" s="1280"/>
      <c r="MD1158" s="1280"/>
      <c r="ME1158" s="1280"/>
      <c r="MF1158" s="1280"/>
      <c r="MG1158" s="1280"/>
      <c r="MH1158" s="1280"/>
      <c r="MI1158" s="1280"/>
      <c r="MJ1158" s="1280"/>
      <c r="MK1158" s="1280"/>
      <c r="ML1158" s="1280"/>
      <c r="MM1158" s="1280"/>
      <c r="MN1158" s="1280"/>
      <c r="MO1158" s="1280"/>
      <c r="MP1158" s="1280"/>
      <c r="MQ1158" s="1280"/>
      <c r="MR1158" s="1280"/>
      <c r="MS1158" s="1280"/>
      <c r="MT1158" s="1280"/>
      <c r="MU1158" s="1280"/>
      <c r="MV1158" s="1280"/>
      <c r="MW1158" s="1280"/>
      <c r="MX1158" s="1280"/>
      <c r="MY1158" s="1280"/>
      <c r="MZ1158" s="1280"/>
      <c r="NA1158" s="1280"/>
      <c r="NB1158" s="1280"/>
      <c r="NC1158" s="1280"/>
      <c r="ND1158" s="1280"/>
      <c r="NE1158" s="1280"/>
      <c r="NF1158" s="1280"/>
      <c r="NG1158" s="1280"/>
      <c r="NH1158" s="1280"/>
      <c r="NI1158" s="1280"/>
      <c r="NJ1158" s="1280"/>
      <c r="NK1158" s="1280"/>
      <c r="NL1158" s="1280"/>
      <c r="NM1158" s="1280"/>
      <c r="NN1158" s="1280"/>
      <c r="NO1158" s="1280"/>
      <c r="NP1158" s="1280"/>
      <c r="NQ1158" s="1280"/>
      <c r="NR1158" s="1280"/>
      <c r="NS1158" s="1280"/>
      <c r="NT1158" s="1280"/>
      <c r="NU1158" s="1280"/>
      <c r="NV1158" s="1280"/>
      <c r="NW1158" s="1280"/>
      <c r="NX1158" s="1280"/>
      <c r="NY1158" s="1280"/>
      <c r="NZ1158" s="1280"/>
      <c r="OA1158" s="1280"/>
      <c r="OB1158" s="1280"/>
      <c r="OC1158" s="1280"/>
      <c r="OD1158" s="1280"/>
      <c r="OE1158" s="1280"/>
      <c r="OF1158" s="1280"/>
      <c r="OG1158" s="1280"/>
      <c r="OH1158" s="1280"/>
      <c r="OI1158" s="1280"/>
      <c r="OJ1158" s="1280"/>
      <c r="OK1158" s="1280"/>
      <c r="OL1158" s="1280"/>
      <c r="OM1158" s="1280"/>
      <c r="ON1158" s="1280"/>
      <c r="OO1158" s="1280"/>
      <c r="OP1158" s="1280"/>
      <c r="OQ1158" s="1280"/>
      <c r="OR1158" s="1280"/>
      <c r="OS1158" s="1280"/>
      <c r="OT1158" s="1280"/>
      <c r="OU1158" s="1280"/>
      <c r="OV1158" s="1280"/>
      <c r="OW1158" s="1280"/>
      <c r="OX1158" s="1280"/>
      <c r="OY1158" s="1280"/>
      <c r="OZ1158" s="1280"/>
      <c r="PA1158" s="1280"/>
      <c r="PB1158" s="1280"/>
      <c r="PC1158" s="1280"/>
      <c r="PD1158" s="1280"/>
      <c r="PE1158" s="1280"/>
      <c r="PF1158" s="1280"/>
      <c r="PG1158" s="1280"/>
      <c r="PH1158" s="1280"/>
      <c r="PI1158" s="1280"/>
      <c r="PJ1158" s="1280"/>
      <c r="PK1158" s="1280"/>
      <c r="PL1158" s="1280"/>
      <c r="PM1158" s="1280"/>
      <c r="PN1158" s="1280"/>
      <c r="PO1158" s="1280"/>
      <c r="PP1158" s="1280"/>
      <c r="PQ1158" s="1280"/>
      <c r="PR1158" s="1280"/>
      <c r="PS1158" s="1280"/>
      <c r="PT1158" s="1280"/>
      <c r="PU1158" s="1280"/>
      <c r="PV1158" s="1280"/>
      <c r="PW1158" s="1280"/>
      <c r="PX1158" s="1280"/>
      <c r="PY1158" s="1280"/>
      <c r="PZ1158" s="1280"/>
      <c r="QA1158" s="1280"/>
      <c r="QB1158" s="1280"/>
      <c r="QC1158" s="1280"/>
      <c r="QD1158" s="1280"/>
      <c r="QE1158" s="1280"/>
      <c r="QF1158" s="1280"/>
      <c r="QG1158" s="1280"/>
      <c r="QH1158" s="1280"/>
      <c r="QI1158" s="1280"/>
      <c r="QJ1158" s="1280"/>
      <c r="QK1158" s="1280"/>
      <c r="QL1158" s="1280"/>
      <c r="QM1158" s="1280"/>
      <c r="QN1158" s="1280"/>
      <c r="QO1158" s="1280"/>
      <c r="QP1158" s="1280"/>
      <c r="QQ1158" s="1280"/>
      <c r="QR1158" s="1280"/>
      <c r="QS1158" s="1280"/>
      <c r="QT1158" s="1280"/>
      <c r="QU1158" s="1280"/>
      <c r="QV1158" s="1280"/>
      <c r="QW1158" s="1280"/>
      <c r="QX1158" s="1280"/>
      <c r="QY1158" s="1280"/>
      <c r="QZ1158" s="1280"/>
      <c r="RA1158" s="1280"/>
      <c r="RB1158" s="1280"/>
      <c r="RC1158" s="1280"/>
      <c r="RD1158" s="1280"/>
      <c r="RE1158" s="1280"/>
      <c r="RF1158" s="1280"/>
      <c r="RG1158" s="1280"/>
      <c r="RH1158" s="1280"/>
      <c r="RI1158" s="1280"/>
      <c r="RJ1158" s="1280"/>
      <c r="RK1158" s="1280"/>
      <c r="RL1158" s="1280"/>
      <c r="RM1158" s="1280"/>
      <c r="RN1158" s="1280"/>
      <c r="RO1158" s="1280"/>
      <c r="RP1158" s="1280"/>
      <c r="RQ1158" s="1280"/>
      <c r="RR1158" s="1280"/>
      <c r="RS1158" s="1280"/>
      <c r="RT1158" s="1280"/>
      <c r="RU1158" s="1280"/>
      <c r="RV1158" s="1280"/>
      <c r="RW1158" s="1280"/>
      <c r="RX1158" s="1280"/>
      <c r="RY1158" s="1280"/>
      <c r="RZ1158" s="1280"/>
      <c r="SA1158" s="1280"/>
      <c r="SB1158" s="1280"/>
      <c r="SC1158" s="1280"/>
      <c r="SD1158" s="1280"/>
      <c r="SE1158" s="1280"/>
      <c r="SF1158" s="1280"/>
      <c r="SG1158" s="1280"/>
      <c r="SH1158" s="1280"/>
      <c r="SI1158" s="1280"/>
      <c r="SJ1158" s="1280"/>
      <c r="SK1158" s="1280"/>
      <c r="SL1158" s="1280"/>
      <c r="SM1158" s="1280"/>
      <c r="SN1158" s="1280"/>
      <c r="SO1158" s="1280"/>
      <c r="SP1158" s="1280"/>
      <c r="SQ1158" s="1280"/>
      <c r="SR1158" s="1280"/>
      <c r="SS1158" s="1280"/>
      <c r="ST1158" s="1280"/>
      <c r="SU1158" s="1280"/>
      <c r="SV1158" s="1280"/>
      <c r="SW1158" s="1280"/>
      <c r="SX1158" s="1280"/>
      <c r="SY1158" s="1280"/>
      <c r="SZ1158" s="1280"/>
      <c r="TA1158" s="1280"/>
      <c r="TB1158" s="1280"/>
      <c r="TC1158" s="1280"/>
      <c r="TD1158" s="1280"/>
      <c r="TE1158" s="1280"/>
      <c r="TF1158" s="1280"/>
      <c r="TG1158" s="1280"/>
      <c r="TH1158" s="1280"/>
      <c r="TI1158" s="1280"/>
      <c r="TJ1158" s="1280"/>
      <c r="TK1158" s="1280"/>
      <c r="TL1158" s="1280"/>
      <c r="TM1158" s="1280"/>
      <c r="TN1158" s="1280"/>
      <c r="TO1158" s="1280"/>
      <c r="TP1158" s="1280"/>
      <c r="TQ1158" s="1280"/>
      <c r="TR1158" s="1280"/>
      <c r="TS1158" s="1280"/>
      <c r="TT1158" s="1280"/>
      <c r="TU1158" s="1280"/>
      <c r="TV1158" s="1280"/>
      <c r="TW1158" s="1280"/>
      <c r="TX1158" s="1280"/>
      <c r="TY1158" s="1280"/>
      <c r="TZ1158" s="1280"/>
      <c r="UA1158" s="1280"/>
      <c r="UB1158" s="1280"/>
      <c r="UC1158" s="1280"/>
      <c r="UD1158" s="1280"/>
      <c r="UE1158" s="1280"/>
      <c r="UF1158" s="1280"/>
      <c r="UG1158" s="1279"/>
    </row>
    <row r="1159" spans="1:553" s="1262" customFormat="1" ht="29.25" customHeight="1">
      <c r="A1159" s="436"/>
      <c r="B1159" s="765"/>
      <c r="C1159" s="1411" t="s">
        <v>1216</v>
      </c>
      <c r="D1159" s="1411" t="s">
        <v>1217</v>
      </c>
      <c r="E1159" s="1411" t="s">
        <v>1217</v>
      </c>
      <c r="F1159" s="1411" t="s">
        <v>1217</v>
      </c>
      <c r="G1159" s="766" t="s">
        <v>46</v>
      </c>
      <c r="H1159" s="753"/>
      <c r="I1159" s="502">
        <f>(20.51*100/400)*(12-(5-3))*3</f>
        <v>153.82500000000002</v>
      </c>
      <c r="J1159" s="1243">
        <v>3100</v>
      </c>
      <c r="K1159" s="578">
        <v>0.7</v>
      </c>
      <c r="L1159" s="573">
        <f t="shared" ref="L1159" si="170">I1159*J1159*K1159</f>
        <v>333800.25</v>
      </c>
      <c r="M1159" s="356"/>
      <c r="N1159" s="356"/>
      <c r="O1159" s="356"/>
      <c r="P1159" s="356"/>
      <c r="Q1159" s="610"/>
      <c r="R1159" s="1226"/>
      <c r="S1159" s="308"/>
      <c r="T1159" s="308"/>
      <c r="U1159" s="308"/>
      <c r="V1159" s="308"/>
      <c r="W1159" s="308"/>
      <c r="X1159" s="308"/>
      <c r="Y1159" s="308"/>
      <c r="Z1159" s="604"/>
      <c r="AA1159" s="308"/>
      <c r="AB1159" s="308"/>
      <c r="AC1159" s="373"/>
      <c r="AD1159" s="373"/>
      <c r="AE1159" s="373"/>
      <c r="AF1159" s="373"/>
      <c r="AG1159" s="373"/>
      <c r="AH1159" s="373"/>
      <c r="AI1159" s="373"/>
      <c r="AJ1159" s="373"/>
      <c r="AK1159" s="389"/>
      <c r="AL1159" s="1276"/>
      <c r="AM1159" s="1276"/>
      <c r="AN1159" s="1276"/>
      <c r="AO1159" s="1276"/>
      <c r="AP1159" s="1276"/>
      <c r="AQ1159" s="1276"/>
      <c r="AR1159" s="1276"/>
      <c r="AS1159" s="1280"/>
      <c r="AT1159" s="1280"/>
      <c r="AU1159" s="1280"/>
      <c r="AV1159" s="1280"/>
      <c r="AW1159" s="1280"/>
      <c r="AX1159" s="1280"/>
      <c r="AY1159" s="1280"/>
      <c r="AZ1159" s="1280"/>
      <c r="BA1159" s="1280"/>
      <c r="BB1159" s="1280"/>
      <c r="BC1159" s="1280"/>
      <c r="BD1159" s="1280"/>
      <c r="BE1159" s="1280"/>
      <c r="BF1159" s="1280"/>
      <c r="BG1159" s="1280"/>
      <c r="BH1159" s="1280"/>
      <c r="BI1159" s="1280"/>
      <c r="BJ1159" s="1280"/>
      <c r="BK1159" s="1280"/>
      <c r="BL1159" s="1280"/>
      <c r="BM1159" s="1280"/>
      <c r="BN1159" s="1280"/>
      <c r="BO1159" s="1280"/>
      <c r="BP1159" s="1280"/>
      <c r="BQ1159" s="1280"/>
      <c r="BR1159" s="1280"/>
      <c r="BS1159" s="1280"/>
      <c r="BT1159" s="1280"/>
      <c r="BU1159" s="1280"/>
      <c r="BV1159" s="1280"/>
      <c r="BW1159" s="1280"/>
      <c r="BX1159" s="1280"/>
      <c r="BY1159" s="1280"/>
      <c r="BZ1159" s="1280"/>
      <c r="CA1159" s="1280"/>
      <c r="CB1159" s="1280"/>
      <c r="CC1159" s="1280"/>
      <c r="CD1159" s="1280"/>
      <c r="CE1159" s="1280"/>
      <c r="CF1159" s="1280"/>
      <c r="CG1159" s="1280"/>
      <c r="CH1159" s="1280"/>
      <c r="CI1159" s="1280"/>
      <c r="CJ1159" s="1280"/>
      <c r="CK1159" s="1280"/>
      <c r="CL1159" s="1280"/>
      <c r="CM1159" s="1280"/>
      <c r="CN1159" s="1280"/>
      <c r="CO1159" s="1280"/>
      <c r="CP1159" s="1280"/>
      <c r="CQ1159" s="1280"/>
      <c r="CR1159" s="1280"/>
      <c r="CS1159" s="1280"/>
      <c r="CT1159" s="1280"/>
      <c r="CU1159" s="1280"/>
      <c r="CV1159" s="1280"/>
      <c r="CW1159" s="1280"/>
      <c r="CX1159" s="1280"/>
      <c r="CY1159" s="1280"/>
      <c r="CZ1159" s="1280"/>
      <c r="DA1159" s="1280"/>
      <c r="DB1159" s="1280"/>
      <c r="DC1159" s="1280"/>
      <c r="DD1159" s="1280"/>
      <c r="DE1159" s="1280"/>
      <c r="DF1159" s="1280"/>
      <c r="DG1159" s="1280"/>
      <c r="DH1159" s="1280"/>
      <c r="DI1159" s="1280"/>
      <c r="DJ1159" s="1280"/>
      <c r="DK1159" s="1280"/>
      <c r="DL1159" s="1280"/>
      <c r="DM1159" s="1280"/>
      <c r="DN1159" s="1280"/>
      <c r="DO1159" s="1280"/>
      <c r="DP1159" s="1280"/>
      <c r="DQ1159" s="1280"/>
      <c r="DR1159" s="1280"/>
      <c r="DS1159" s="1280"/>
      <c r="DT1159" s="1280"/>
      <c r="DU1159" s="1280"/>
      <c r="DV1159" s="1280"/>
      <c r="DW1159" s="1280"/>
      <c r="DX1159" s="1280"/>
      <c r="DY1159" s="1280"/>
      <c r="DZ1159" s="1280"/>
      <c r="EA1159" s="1280"/>
      <c r="EB1159" s="1280"/>
      <c r="EC1159" s="1280"/>
      <c r="ED1159" s="1280"/>
      <c r="EE1159" s="1280"/>
      <c r="EF1159" s="1280"/>
      <c r="EG1159" s="1280"/>
      <c r="EH1159" s="1280"/>
      <c r="EI1159" s="1280"/>
      <c r="EJ1159" s="1280"/>
      <c r="EK1159" s="1280"/>
      <c r="EL1159" s="1280"/>
      <c r="EM1159" s="1280"/>
      <c r="EN1159" s="1280"/>
      <c r="EO1159" s="1280"/>
      <c r="EP1159" s="1280"/>
      <c r="EQ1159" s="1280"/>
      <c r="ER1159" s="1280"/>
      <c r="ES1159" s="1280"/>
      <c r="ET1159" s="1280"/>
      <c r="EU1159" s="1280"/>
      <c r="EV1159" s="1280"/>
      <c r="EW1159" s="1280"/>
      <c r="EX1159" s="1280"/>
      <c r="EY1159" s="1280"/>
      <c r="EZ1159" s="1280"/>
      <c r="FA1159" s="1280"/>
      <c r="FB1159" s="1280"/>
      <c r="FC1159" s="1280"/>
      <c r="FD1159" s="1280"/>
      <c r="FE1159" s="1280"/>
      <c r="FF1159" s="1280"/>
      <c r="FG1159" s="1280"/>
      <c r="FH1159" s="1280"/>
      <c r="FI1159" s="1280"/>
      <c r="FJ1159" s="1280"/>
      <c r="FK1159" s="1280"/>
      <c r="FL1159" s="1280"/>
      <c r="FM1159" s="1280"/>
      <c r="FN1159" s="1280"/>
      <c r="FO1159" s="1280"/>
      <c r="FP1159" s="1280"/>
      <c r="FQ1159" s="1280"/>
      <c r="FR1159" s="1280"/>
      <c r="FS1159" s="1280"/>
      <c r="FT1159" s="1280"/>
      <c r="FU1159" s="1280"/>
      <c r="FV1159" s="1280"/>
      <c r="FW1159" s="1280"/>
      <c r="FX1159" s="1280"/>
      <c r="FY1159" s="1280"/>
      <c r="FZ1159" s="1280"/>
      <c r="GA1159" s="1280"/>
      <c r="GB1159" s="1280"/>
      <c r="GC1159" s="1280"/>
      <c r="GD1159" s="1280"/>
      <c r="GE1159" s="1280"/>
      <c r="GF1159" s="1280"/>
      <c r="GG1159" s="1280"/>
      <c r="GH1159" s="1280"/>
      <c r="GI1159" s="1280"/>
      <c r="GJ1159" s="1280"/>
      <c r="GK1159" s="1280"/>
      <c r="GL1159" s="1280"/>
      <c r="GM1159" s="1280"/>
      <c r="GN1159" s="1280"/>
      <c r="GO1159" s="1280"/>
      <c r="GP1159" s="1280"/>
      <c r="GQ1159" s="1280"/>
      <c r="GR1159" s="1280"/>
      <c r="GS1159" s="1280"/>
      <c r="GT1159" s="1280"/>
      <c r="GU1159" s="1280"/>
      <c r="GV1159" s="1280"/>
      <c r="GW1159" s="1280"/>
      <c r="GX1159" s="1280"/>
      <c r="GY1159" s="1280"/>
      <c r="GZ1159" s="1280"/>
      <c r="HA1159" s="1280"/>
      <c r="HB1159" s="1280"/>
      <c r="HC1159" s="1280"/>
      <c r="HD1159" s="1280"/>
      <c r="HE1159" s="1280"/>
      <c r="HF1159" s="1280"/>
      <c r="HG1159" s="1280"/>
      <c r="HH1159" s="1280"/>
      <c r="HI1159" s="1280"/>
      <c r="HJ1159" s="1280"/>
      <c r="HK1159" s="1280"/>
      <c r="HL1159" s="1280"/>
      <c r="HM1159" s="1280"/>
      <c r="HN1159" s="1280"/>
      <c r="HO1159" s="1280"/>
      <c r="HP1159" s="1280"/>
      <c r="HQ1159" s="1280"/>
      <c r="HR1159" s="1280"/>
      <c r="HS1159" s="1280"/>
      <c r="HT1159" s="1280"/>
      <c r="HU1159" s="1280"/>
      <c r="HV1159" s="1280"/>
      <c r="HW1159" s="1280"/>
      <c r="HX1159" s="1280"/>
      <c r="HY1159" s="1280"/>
      <c r="HZ1159" s="1280"/>
      <c r="IA1159" s="1280"/>
      <c r="IB1159" s="1280"/>
      <c r="IC1159" s="1280"/>
      <c r="ID1159" s="1280"/>
      <c r="IE1159" s="1280"/>
      <c r="IF1159" s="1280"/>
      <c r="IG1159" s="1280"/>
      <c r="IH1159" s="1280"/>
      <c r="II1159" s="1280"/>
      <c r="IJ1159" s="1280"/>
      <c r="IK1159" s="1280"/>
      <c r="IL1159" s="1280"/>
      <c r="IM1159" s="1280"/>
      <c r="IN1159" s="1280"/>
      <c r="IO1159" s="1280"/>
      <c r="IP1159" s="1280"/>
      <c r="IQ1159" s="1280"/>
      <c r="IR1159" s="1280"/>
      <c r="IS1159" s="1280"/>
      <c r="IT1159" s="1280"/>
      <c r="IU1159" s="1280"/>
      <c r="IV1159" s="1280"/>
      <c r="IW1159" s="1280"/>
      <c r="IX1159" s="1280"/>
      <c r="IY1159" s="1280"/>
      <c r="IZ1159" s="1280"/>
      <c r="JA1159" s="1280"/>
      <c r="JB1159" s="1280"/>
      <c r="JC1159" s="1280"/>
      <c r="JD1159" s="1280"/>
      <c r="JE1159" s="1280"/>
      <c r="JF1159" s="1280"/>
      <c r="JG1159" s="1280"/>
      <c r="JH1159" s="1280"/>
      <c r="JI1159" s="1280"/>
      <c r="JJ1159" s="1280"/>
      <c r="JK1159" s="1280"/>
      <c r="JL1159" s="1280"/>
      <c r="JM1159" s="1280"/>
      <c r="JN1159" s="1280"/>
      <c r="JO1159" s="1280"/>
      <c r="JP1159" s="1280"/>
      <c r="JQ1159" s="1280"/>
      <c r="JR1159" s="1280"/>
      <c r="JS1159" s="1280"/>
      <c r="JT1159" s="1280"/>
      <c r="JU1159" s="1280"/>
      <c r="JV1159" s="1280"/>
      <c r="JW1159" s="1280"/>
      <c r="JX1159" s="1280"/>
      <c r="JY1159" s="1280"/>
      <c r="JZ1159" s="1280"/>
      <c r="KA1159" s="1280"/>
      <c r="KB1159" s="1280"/>
      <c r="KC1159" s="1280"/>
      <c r="KD1159" s="1280"/>
      <c r="KE1159" s="1280"/>
      <c r="KF1159" s="1280"/>
      <c r="KG1159" s="1280"/>
      <c r="KH1159" s="1280"/>
      <c r="KI1159" s="1280"/>
      <c r="KJ1159" s="1280"/>
      <c r="KK1159" s="1280"/>
      <c r="KL1159" s="1280"/>
      <c r="KM1159" s="1280"/>
      <c r="KN1159" s="1280"/>
      <c r="KO1159" s="1280"/>
      <c r="KP1159" s="1280"/>
      <c r="KQ1159" s="1280"/>
      <c r="KR1159" s="1280"/>
      <c r="KS1159" s="1280"/>
      <c r="KT1159" s="1280"/>
      <c r="KU1159" s="1280"/>
      <c r="KV1159" s="1280"/>
      <c r="KW1159" s="1280"/>
      <c r="KX1159" s="1280"/>
      <c r="KY1159" s="1280"/>
      <c r="KZ1159" s="1280"/>
      <c r="LA1159" s="1280"/>
      <c r="LB1159" s="1280"/>
      <c r="LC1159" s="1280"/>
      <c r="LD1159" s="1280"/>
      <c r="LE1159" s="1280"/>
      <c r="LF1159" s="1280"/>
      <c r="LG1159" s="1280"/>
      <c r="LH1159" s="1280"/>
      <c r="LI1159" s="1280"/>
      <c r="LJ1159" s="1280"/>
      <c r="LK1159" s="1280"/>
      <c r="LL1159" s="1280"/>
      <c r="LM1159" s="1280"/>
      <c r="LN1159" s="1280"/>
      <c r="LO1159" s="1280"/>
      <c r="LP1159" s="1280"/>
      <c r="LQ1159" s="1280"/>
      <c r="LR1159" s="1280"/>
      <c r="LS1159" s="1280"/>
      <c r="LT1159" s="1280"/>
      <c r="LU1159" s="1280"/>
      <c r="LV1159" s="1280"/>
      <c r="LW1159" s="1280"/>
      <c r="LX1159" s="1280"/>
      <c r="LY1159" s="1280"/>
      <c r="LZ1159" s="1280"/>
      <c r="MA1159" s="1280"/>
      <c r="MB1159" s="1280"/>
      <c r="MC1159" s="1280"/>
      <c r="MD1159" s="1280"/>
      <c r="ME1159" s="1280"/>
      <c r="MF1159" s="1280"/>
      <c r="MG1159" s="1280"/>
      <c r="MH1159" s="1280"/>
      <c r="MI1159" s="1280"/>
      <c r="MJ1159" s="1280"/>
      <c r="MK1159" s="1280"/>
      <c r="ML1159" s="1280"/>
      <c r="MM1159" s="1280"/>
      <c r="MN1159" s="1280"/>
      <c r="MO1159" s="1280"/>
      <c r="MP1159" s="1280"/>
      <c r="MQ1159" s="1280"/>
      <c r="MR1159" s="1280"/>
      <c r="MS1159" s="1280"/>
      <c r="MT1159" s="1280"/>
      <c r="MU1159" s="1280"/>
      <c r="MV1159" s="1280"/>
      <c r="MW1159" s="1280"/>
      <c r="MX1159" s="1280"/>
      <c r="MY1159" s="1280"/>
      <c r="MZ1159" s="1280"/>
      <c r="NA1159" s="1280"/>
      <c r="NB1159" s="1280"/>
      <c r="NC1159" s="1280"/>
      <c r="ND1159" s="1280"/>
      <c r="NE1159" s="1280"/>
      <c r="NF1159" s="1280"/>
      <c r="NG1159" s="1280"/>
      <c r="NH1159" s="1280"/>
      <c r="NI1159" s="1280"/>
      <c r="NJ1159" s="1280"/>
      <c r="NK1159" s="1280"/>
      <c r="NL1159" s="1280"/>
      <c r="NM1159" s="1280"/>
      <c r="NN1159" s="1280"/>
      <c r="NO1159" s="1280"/>
      <c r="NP1159" s="1280"/>
      <c r="NQ1159" s="1280"/>
      <c r="NR1159" s="1280"/>
      <c r="NS1159" s="1280"/>
      <c r="NT1159" s="1280"/>
      <c r="NU1159" s="1280"/>
      <c r="NV1159" s="1280"/>
      <c r="NW1159" s="1280"/>
      <c r="NX1159" s="1280"/>
      <c r="NY1159" s="1280"/>
      <c r="NZ1159" s="1280"/>
      <c r="OA1159" s="1280"/>
      <c r="OB1159" s="1280"/>
      <c r="OC1159" s="1280"/>
      <c r="OD1159" s="1280"/>
      <c r="OE1159" s="1280"/>
      <c r="OF1159" s="1280"/>
      <c r="OG1159" s="1280"/>
      <c r="OH1159" s="1280"/>
      <c r="OI1159" s="1280"/>
      <c r="OJ1159" s="1280"/>
      <c r="OK1159" s="1280"/>
      <c r="OL1159" s="1280"/>
      <c r="OM1159" s="1280"/>
      <c r="ON1159" s="1280"/>
      <c r="OO1159" s="1280"/>
      <c r="OP1159" s="1280"/>
      <c r="OQ1159" s="1280"/>
      <c r="OR1159" s="1280"/>
      <c r="OS1159" s="1280"/>
      <c r="OT1159" s="1280"/>
      <c r="OU1159" s="1280"/>
      <c r="OV1159" s="1280"/>
      <c r="OW1159" s="1280"/>
      <c r="OX1159" s="1280"/>
      <c r="OY1159" s="1280"/>
      <c r="OZ1159" s="1280"/>
      <c r="PA1159" s="1280"/>
      <c r="PB1159" s="1280"/>
      <c r="PC1159" s="1280"/>
      <c r="PD1159" s="1280"/>
      <c r="PE1159" s="1280"/>
      <c r="PF1159" s="1280"/>
      <c r="PG1159" s="1280"/>
      <c r="PH1159" s="1280"/>
      <c r="PI1159" s="1280"/>
      <c r="PJ1159" s="1280"/>
      <c r="PK1159" s="1280"/>
      <c r="PL1159" s="1280"/>
      <c r="PM1159" s="1280"/>
      <c r="PN1159" s="1280"/>
      <c r="PO1159" s="1280"/>
      <c r="PP1159" s="1280"/>
      <c r="PQ1159" s="1280"/>
      <c r="PR1159" s="1280"/>
      <c r="PS1159" s="1280"/>
      <c r="PT1159" s="1280"/>
      <c r="PU1159" s="1280"/>
      <c r="PV1159" s="1280"/>
      <c r="PW1159" s="1280"/>
      <c r="PX1159" s="1280"/>
      <c r="PY1159" s="1280"/>
      <c r="PZ1159" s="1280"/>
      <c r="QA1159" s="1280"/>
      <c r="QB1159" s="1280"/>
      <c r="QC1159" s="1280"/>
      <c r="QD1159" s="1280"/>
      <c r="QE1159" s="1280"/>
      <c r="QF1159" s="1280"/>
      <c r="QG1159" s="1280"/>
      <c r="QH1159" s="1280"/>
      <c r="QI1159" s="1280"/>
      <c r="QJ1159" s="1280"/>
      <c r="QK1159" s="1280"/>
      <c r="QL1159" s="1280"/>
      <c r="QM1159" s="1280"/>
      <c r="QN1159" s="1280"/>
      <c r="QO1159" s="1280"/>
      <c r="QP1159" s="1280"/>
      <c r="QQ1159" s="1280"/>
      <c r="QR1159" s="1280"/>
      <c r="QS1159" s="1280"/>
      <c r="QT1159" s="1280"/>
      <c r="QU1159" s="1280"/>
      <c r="QV1159" s="1280"/>
      <c r="QW1159" s="1280"/>
      <c r="QX1159" s="1280"/>
      <c r="QY1159" s="1280"/>
      <c r="QZ1159" s="1280"/>
      <c r="RA1159" s="1280"/>
      <c r="RB1159" s="1280"/>
      <c r="RC1159" s="1280"/>
      <c r="RD1159" s="1280"/>
      <c r="RE1159" s="1280"/>
      <c r="RF1159" s="1280"/>
      <c r="RG1159" s="1280"/>
      <c r="RH1159" s="1280"/>
      <c r="RI1159" s="1280"/>
      <c r="RJ1159" s="1280"/>
      <c r="RK1159" s="1280"/>
      <c r="RL1159" s="1280"/>
      <c r="RM1159" s="1280"/>
      <c r="RN1159" s="1280"/>
      <c r="RO1159" s="1280"/>
      <c r="RP1159" s="1280"/>
      <c r="RQ1159" s="1280"/>
      <c r="RR1159" s="1280"/>
      <c r="RS1159" s="1280"/>
      <c r="RT1159" s="1280"/>
      <c r="RU1159" s="1280"/>
      <c r="RV1159" s="1280"/>
      <c r="RW1159" s="1280"/>
      <c r="RX1159" s="1280"/>
      <c r="RY1159" s="1280"/>
      <c r="RZ1159" s="1280"/>
      <c r="SA1159" s="1280"/>
      <c r="SB1159" s="1280"/>
      <c r="SC1159" s="1280"/>
      <c r="SD1159" s="1280"/>
      <c r="SE1159" s="1280"/>
      <c r="SF1159" s="1280"/>
      <c r="SG1159" s="1280"/>
      <c r="SH1159" s="1280"/>
      <c r="SI1159" s="1280"/>
      <c r="SJ1159" s="1280"/>
      <c r="SK1159" s="1280"/>
      <c r="SL1159" s="1280"/>
      <c r="SM1159" s="1280"/>
      <c r="SN1159" s="1280"/>
      <c r="SO1159" s="1280"/>
      <c r="SP1159" s="1280"/>
      <c r="SQ1159" s="1280"/>
      <c r="SR1159" s="1280"/>
      <c r="SS1159" s="1280"/>
      <c r="ST1159" s="1280"/>
      <c r="SU1159" s="1280"/>
      <c r="SV1159" s="1280"/>
      <c r="SW1159" s="1280"/>
      <c r="SX1159" s="1280"/>
      <c r="SY1159" s="1280"/>
      <c r="SZ1159" s="1280"/>
      <c r="TA1159" s="1280"/>
      <c r="TB1159" s="1280"/>
      <c r="TC1159" s="1280"/>
      <c r="TD1159" s="1280"/>
      <c r="TE1159" s="1280"/>
      <c r="TF1159" s="1280"/>
      <c r="TG1159" s="1280"/>
      <c r="TH1159" s="1280"/>
      <c r="TI1159" s="1280"/>
      <c r="TJ1159" s="1280"/>
      <c r="TK1159" s="1280"/>
      <c r="TL1159" s="1280"/>
      <c r="TM1159" s="1280"/>
      <c r="TN1159" s="1280"/>
      <c r="TO1159" s="1280"/>
      <c r="TP1159" s="1280"/>
      <c r="TQ1159" s="1280"/>
      <c r="TR1159" s="1280"/>
      <c r="TS1159" s="1280"/>
      <c r="TT1159" s="1280"/>
      <c r="TU1159" s="1280"/>
      <c r="TV1159" s="1280"/>
      <c r="TW1159" s="1280"/>
      <c r="TX1159" s="1280"/>
      <c r="TY1159" s="1280"/>
      <c r="TZ1159" s="1280"/>
      <c r="UA1159" s="1280"/>
      <c r="UB1159" s="1280"/>
      <c r="UC1159" s="1280"/>
      <c r="UD1159" s="1280"/>
      <c r="UE1159" s="1280"/>
      <c r="UF1159" s="1280"/>
      <c r="UG1159" s="1279"/>
    </row>
    <row r="1160" spans="1:553" s="1262" customFormat="1" ht="29.25" customHeight="1">
      <c r="A1160" s="661"/>
      <c r="B1160" s="767"/>
      <c r="C1160" s="1411" t="s">
        <v>1218</v>
      </c>
      <c r="D1160" s="1411" t="s">
        <v>1218</v>
      </c>
      <c r="E1160" s="1411" t="s">
        <v>1218</v>
      </c>
      <c r="F1160" s="1411" t="s">
        <v>1218</v>
      </c>
      <c r="G1160" s="768" t="s">
        <v>193</v>
      </c>
      <c r="H1160" s="769"/>
      <c r="I1160" s="529">
        <v>3</v>
      </c>
      <c r="J1160" s="1248">
        <v>32000</v>
      </c>
      <c r="K1160" s="596"/>
      <c r="L1160" s="562">
        <f>ROUND(PRODUCT(I1160:K1160),0)</f>
        <v>96000</v>
      </c>
      <c r="M1160" s="356"/>
      <c r="N1160" s="356"/>
      <c r="O1160" s="356"/>
      <c r="P1160" s="356"/>
      <c r="Q1160" s="610"/>
      <c r="R1160" s="1226"/>
      <c r="S1160" s="308"/>
      <c r="T1160" s="308"/>
      <c r="U1160" s="308"/>
      <c r="V1160" s="308"/>
      <c r="W1160" s="308"/>
      <c r="X1160" s="308"/>
      <c r="Y1160" s="308"/>
      <c r="Z1160" s="604"/>
      <c r="AA1160" s="308"/>
      <c r="AB1160" s="308"/>
      <c r="AC1160" s="373"/>
      <c r="AD1160" s="373"/>
      <c r="AE1160" s="373"/>
      <c r="AF1160" s="373"/>
      <c r="AG1160" s="373"/>
      <c r="AH1160" s="373"/>
      <c r="AI1160" s="373"/>
      <c r="AJ1160" s="373"/>
      <c r="AK1160" s="389"/>
      <c r="AL1160" s="1276"/>
      <c r="AM1160" s="1276"/>
      <c r="AN1160" s="1276"/>
      <c r="AO1160" s="1276"/>
      <c r="AP1160" s="1276"/>
      <c r="AQ1160" s="1276"/>
      <c r="AR1160" s="1276"/>
      <c r="AS1160" s="1280"/>
      <c r="AT1160" s="1280"/>
      <c r="AU1160" s="1280"/>
      <c r="AV1160" s="1280"/>
      <c r="AW1160" s="1280"/>
      <c r="AX1160" s="1280"/>
      <c r="AY1160" s="1280"/>
      <c r="AZ1160" s="1280"/>
      <c r="BA1160" s="1280"/>
      <c r="BB1160" s="1280"/>
      <c r="BC1160" s="1280"/>
      <c r="BD1160" s="1280"/>
      <c r="BE1160" s="1280"/>
      <c r="BF1160" s="1280"/>
      <c r="BG1160" s="1280"/>
      <c r="BH1160" s="1280"/>
      <c r="BI1160" s="1280"/>
      <c r="BJ1160" s="1280"/>
      <c r="BK1160" s="1280"/>
      <c r="BL1160" s="1280"/>
      <c r="BM1160" s="1280"/>
      <c r="BN1160" s="1280"/>
      <c r="BO1160" s="1280"/>
      <c r="BP1160" s="1280"/>
      <c r="BQ1160" s="1280"/>
      <c r="BR1160" s="1280"/>
      <c r="BS1160" s="1280"/>
      <c r="BT1160" s="1280"/>
      <c r="BU1160" s="1280"/>
      <c r="BV1160" s="1280"/>
      <c r="BW1160" s="1280"/>
      <c r="BX1160" s="1280"/>
      <c r="BY1160" s="1280"/>
      <c r="BZ1160" s="1280"/>
      <c r="CA1160" s="1280"/>
      <c r="CB1160" s="1280"/>
      <c r="CC1160" s="1280"/>
      <c r="CD1160" s="1280"/>
      <c r="CE1160" s="1280"/>
      <c r="CF1160" s="1280"/>
      <c r="CG1160" s="1280"/>
      <c r="CH1160" s="1280"/>
      <c r="CI1160" s="1280"/>
      <c r="CJ1160" s="1280"/>
      <c r="CK1160" s="1280"/>
      <c r="CL1160" s="1280"/>
      <c r="CM1160" s="1280"/>
      <c r="CN1160" s="1280"/>
      <c r="CO1160" s="1280"/>
      <c r="CP1160" s="1280"/>
      <c r="CQ1160" s="1280"/>
      <c r="CR1160" s="1280"/>
      <c r="CS1160" s="1280"/>
      <c r="CT1160" s="1280"/>
      <c r="CU1160" s="1280"/>
      <c r="CV1160" s="1280"/>
      <c r="CW1160" s="1280"/>
      <c r="CX1160" s="1280"/>
      <c r="CY1160" s="1280"/>
      <c r="CZ1160" s="1280"/>
      <c r="DA1160" s="1280"/>
      <c r="DB1160" s="1280"/>
      <c r="DC1160" s="1280"/>
      <c r="DD1160" s="1280"/>
      <c r="DE1160" s="1280"/>
      <c r="DF1160" s="1280"/>
      <c r="DG1160" s="1280"/>
      <c r="DH1160" s="1280"/>
      <c r="DI1160" s="1280"/>
      <c r="DJ1160" s="1280"/>
      <c r="DK1160" s="1280"/>
      <c r="DL1160" s="1280"/>
      <c r="DM1160" s="1280"/>
      <c r="DN1160" s="1280"/>
      <c r="DO1160" s="1280"/>
      <c r="DP1160" s="1280"/>
      <c r="DQ1160" s="1280"/>
      <c r="DR1160" s="1280"/>
      <c r="DS1160" s="1280"/>
      <c r="DT1160" s="1280"/>
      <c r="DU1160" s="1280"/>
      <c r="DV1160" s="1280"/>
      <c r="DW1160" s="1280"/>
      <c r="DX1160" s="1280"/>
      <c r="DY1160" s="1280"/>
      <c r="DZ1160" s="1280"/>
      <c r="EA1160" s="1280"/>
      <c r="EB1160" s="1280"/>
      <c r="EC1160" s="1280"/>
      <c r="ED1160" s="1280"/>
      <c r="EE1160" s="1280"/>
      <c r="EF1160" s="1280"/>
      <c r="EG1160" s="1280"/>
      <c r="EH1160" s="1280"/>
      <c r="EI1160" s="1280"/>
      <c r="EJ1160" s="1280"/>
      <c r="EK1160" s="1280"/>
      <c r="EL1160" s="1280"/>
      <c r="EM1160" s="1280"/>
      <c r="EN1160" s="1280"/>
      <c r="EO1160" s="1280"/>
      <c r="EP1160" s="1280"/>
      <c r="EQ1160" s="1280"/>
      <c r="ER1160" s="1280"/>
      <c r="ES1160" s="1280"/>
      <c r="ET1160" s="1280"/>
      <c r="EU1160" s="1280"/>
      <c r="EV1160" s="1280"/>
      <c r="EW1160" s="1280"/>
      <c r="EX1160" s="1280"/>
      <c r="EY1160" s="1280"/>
      <c r="EZ1160" s="1280"/>
      <c r="FA1160" s="1280"/>
      <c r="FB1160" s="1280"/>
      <c r="FC1160" s="1280"/>
      <c r="FD1160" s="1280"/>
      <c r="FE1160" s="1280"/>
      <c r="FF1160" s="1280"/>
      <c r="FG1160" s="1280"/>
      <c r="FH1160" s="1280"/>
      <c r="FI1160" s="1280"/>
      <c r="FJ1160" s="1280"/>
      <c r="FK1160" s="1280"/>
      <c r="FL1160" s="1280"/>
      <c r="FM1160" s="1280"/>
      <c r="FN1160" s="1280"/>
      <c r="FO1160" s="1280"/>
      <c r="FP1160" s="1280"/>
      <c r="FQ1160" s="1280"/>
      <c r="FR1160" s="1280"/>
      <c r="FS1160" s="1280"/>
      <c r="FT1160" s="1280"/>
      <c r="FU1160" s="1280"/>
      <c r="FV1160" s="1280"/>
      <c r="FW1160" s="1280"/>
      <c r="FX1160" s="1280"/>
      <c r="FY1160" s="1280"/>
      <c r="FZ1160" s="1280"/>
      <c r="GA1160" s="1280"/>
      <c r="GB1160" s="1280"/>
      <c r="GC1160" s="1280"/>
      <c r="GD1160" s="1280"/>
      <c r="GE1160" s="1280"/>
      <c r="GF1160" s="1280"/>
      <c r="GG1160" s="1280"/>
      <c r="GH1160" s="1280"/>
      <c r="GI1160" s="1280"/>
      <c r="GJ1160" s="1280"/>
      <c r="GK1160" s="1280"/>
      <c r="GL1160" s="1280"/>
      <c r="GM1160" s="1280"/>
      <c r="GN1160" s="1280"/>
      <c r="GO1160" s="1280"/>
      <c r="GP1160" s="1280"/>
      <c r="GQ1160" s="1280"/>
      <c r="GR1160" s="1280"/>
      <c r="GS1160" s="1280"/>
      <c r="GT1160" s="1280"/>
      <c r="GU1160" s="1280"/>
      <c r="GV1160" s="1280"/>
      <c r="GW1160" s="1280"/>
      <c r="GX1160" s="1280"/>
      <c r="GY1160" s="1280"/>
      <c r="GZ1160" s="1280"/>
      <c r="HA1160" s="1280"/>
      <c r="HB1160" s="1280"/>
      <c r="HC1160" s="1280"/>
      <c r="HD1160" s="1280"/>
      <c r="HE1160" s="1280"/>
      <c r="HF1160" s="1280"/>
      <c r="HG1160" s="1280"/>
      <c r="HH1160" s="1280"/>
      <c r="HI1160" s="1280"/>
      <c r="HJ1160" s="1280"/>
      <c r="HK1160" s="1280"/>
      <c r="HL1160" s="1280"/>
      <c r="HM1160" s="1280"/>
      <c r="HN1160" s="1280"/>
      <c r="HO1160" s="1280"/>
      <c r="HP1160" s="1280"/>
      <c r="HQ1160" s="1280"/>
      <c r="HR1160" s="1280"/>
      <c r="HS1160" s="1280"/>
      <c r="HT1160" s="1280"/>
      <c r="HU1160" s="1280"/>
      <c r="HV1160" s="1280"/>
      <c r="HW1160" s="1280"/>
      <c r="HX1160" s="1280"/>
      <c r="HY1160" s="1280"/>
      <c r="HZ1160" s="1280"/>
      <c r="IA1160" s="1280"/>
      <c r="IB1160" s="1280"/>
      <c r="IC1160" s="1280"/>
      <c r="ID1160" s="1280"/>
      <c r="IE1160" s="1280"/>
      <c r="IF1160" s="1280"/>
      <c r="IG1160" s="1280"/>
      <c r="IH1160" s="1280"/>
      <c r="II1160" s="1280"/>
      <c r="IJ1160" s="1280"/>
      <c r="IK1160" s="1280"/>
      <c r="IL1160" s="1280"/>
      <c r="IM1160" s="1280"/>
      <c r="IN1160" s="1280"/>
      <c r="IO1160" s="1280"/>
      <c r="IP1160" s="1280"/>
      <c r="IQ1160" s="1280"/>
      <c r="IR1160" s="1280"/>
      <c r="IS1160" s="1280"/>
      <c r="IT1160" s="1280"/>
      <c r="IU1160" s="1280"/>
      <c r="IV1160" s="1280"/>
      <c r="IW1160" s="1280"/>
      <c r="IX1160" s="1280"/>
      <c r="IY1160" s="1280"/>
      <c r="IZ1160" s="1280"/>
      <c r="JA1160" s="1280"/>
      <c r="JB1160" s="1280"/>
      <c r="JC1160" s="1280"/>
      <c r="JD1160" s="1280"/>
      <c r="JE1160" s="1280"/>
      <c r="JF1160" s="1280"/>
      <c r="JG1160" s="1280"/>
      <c r="JH1160" s="1280"/>
      <c r="JI1160" s="1280"/>
      <c r="JJ1160" s="1280"/>
      <c r="JK1160" s="1280"/>
      <c r="JL1160" s="1280"/>
      <c r="JM1160" s="1280"/>
      <c r="JN1160" s="1280"/>
      <c r="JO1160" s="1280"/>
      <c r="JP1160" s="1280"/>
      <c r="JQ1160" s="1280"/>
      <c r="JR1160" s="1280"/>
      <c r="JS1160" s="1280"/>
      <c r="JT1160" s="1280"/>
      <c r="JU1160" s="1280"/>
      <c r="JV1160" s="1280"/>
      <c r="JW1160" s="1280"/>
      <c r="JX1160" s="1280"/>
      <c r="JY1160" s="1280"/>
      <c r="JZ1160" s="1280"/>
      <c r="KA1160" s="1280"/>
      <c r="KB1160" s="1280"/>
      <c r="KC1160" s="1280"/>
      <c r="KD1160" s="1280"/>
      <c r="KE1160" s="1280"/>
      <c r="KF1160" s="1280"/>
      <c r="KG1160" s="1280"/>
      <c r="KH1160" s="1280"/>
      <c r="KI1160" s="1280"/>
      <c r="KJ1160" s="1280"/>
      <c r="KK1160" s="1280"/>
      <c r="KL1160" s="1280"/>
      <c r="KM1160" s="1280"/>
      <c r="KN1160" s="1280"/>
      <c r="KO1160" s="1280"/>
      <c r="KP1160" s="1280"/>
      <c r="KQ1160" s="1280"/>
      <c r="KR1160" s="1280"/>
      <c r="KS1160" s="1280"/>
      <c r="KT1160" s="1280"/>
      <c r="KU1160" s="1280"/>
      <c r="KV1160" s="1280"/>
      <c r="KW1160" s="1280"/>
      <c r="KX1160" s="1280"/>
      <c r="KY1160" s="1280"/>
      <c r="KZ1160" s="1280"/>
      <c r="LA1160" s="1280"/>
      <c r="LB1160" s="1280"/>
      <c r="LC1160" s="1280"/>
      <c r="LD1160" s="1280"/>
      <c r="LE1160" s="1280"/>
      <c r="LF1160" s="1280"/>
      <c r="LG1160" s="1280"/>
      <c r="LH1160" s="1280"/>
      <c r="LI1160" s="1280"/>
      <c r="LJ1160" s="1280"/>
      <c r="LK1160" s="1280"/>
      <c r="LL1160" s="1280"/>
      <c r="LM1160" s="1280"/>
      <c r="LN1160" s="1280"/>
      <c r="LO1160" s="1280"/>
      <c r="LP1160" s="1280"/>
      <c r="LQ1160" s="1280"/>
      <c r="LR1160" s="1280"/>
      <c r="LS1160" s="1280"/>
      <c r="LT1160" s="1280"/>
      <c r="LU1160" s="1280"/>
      <c r="LV1160" s="1280"/>
      <c r="LW1160" s="1280"/>
      <c r="LX1160" s="1280"/>
      <c r="LY1160" s="1280"/>
      <c r="LZ1160" s="1280"/>
      <c r="MA1160" s="1280"/>
      <c r="MB1160" s="1280"/>
      <c r="MC1160" s="1280"/>
      <c r="MD1160" s="1280"/>
      <c r="ME1160" s="1280"/>
      <c r="MF1160" s="1280"/>
      <c r="MG1160" s="1280"/>
      <c r="MH1160" s="1280"/>
      <c r="MI1160" s="1280"/>
      <c r="MJ1160" s="1280"/>
      <c r="MK1160" s="1280"/>
      <c r="ML1160" s="1280"/>
      <c r="MM1160" s="1280"/>
      <c r="MN1160" s="1280"/>
      <c r="MO1160" s="1280"/>
      <c r="MP1160" s="1280"/>
      <c r="MQ1160" s="1280"/>
      <c r="MR1160" s="1280"/>
      <c r="MS1160" s="1280"/>
      <c r="MT1160" s="1280"/>
      <c r="MU1160" s="1280"/>
      <c r="MV1160" s="1280"/>
      <c r="MW1160" s="1280"/>
      <c r="MX1160" s="1280"/>
      <c r="MY1160" s="1280"/>
      <c r="MZ1160" s="1280"/>
      <c r="NA1160" s="1280"/>
      <c r="NB1160" s="1280"/>
      <c r="NC1160" s="1280"/>
      <c r="ND1160" s="1280"/>
      <c r="NE1160" s="1280"/>
      <c r="NF1160" s="1280"/>
      <c r="NG1160" s="1280"/>
      <c r="NH1160" s="1280"/>
      <c r="NI1160" s="1280"/>
      <c r="NJ1160" s="1280"/>
      <c r="NK1160" s="1280"/>
      <c r="NL1160" s="1280"/>
      <c r="NM1160" s="1280"/>
      <c r="NN1160" s="1280"/>
      <c r="NO1160" s="1280"/>
      <c r="NP1160" s="1280"/>
      <c r="NQ1160" s="1280"/>
      <c r="NR1160" s="1280"/>
      <c r="NS1160" s="1280"/>
      <c r="NT1160" s="1280"/>
      <c r="NU1160" s="1280"/>
      <c r="NV1160" s="1280"/>
      <c r="NW1160" s="1280"/>
      <c r="NX1160" s="1280"/>
      <c r="NY1160" s="1280"/>
      <c r="NZ1160" s="1280"/>
      <c r="OA1160" s="1280"/>
      <c r="OB1160" s="1280"/>
      <c r="OC1160" s="1280"/>
      <c r="OD1160" s="1280"/>
      <c r="OE1160" s="1280"/>
      <c r="OF1160" s="1280"/>
      <c r="OG1160" s="1280"/>
      <c r="OH1160" s="1280"/>
      <c r="OI1160" s="1280"/>
      <c r="OJ1160" s="1280"/>
      <c r="OK1160" s="1280"/>
      <c r="OL1160" s="1280"/>
      <c r="OM1160" s="1280"/>
      <c r="ON1160" s="1280"/>
      <c r="OO1160" s="1280"/>
      <c r="OP1160" s="1280"/>
      <c r="OQ1160" s="1280"/>
      <c r="OR1160" s="1280"/>
      <c r="OS1160" s="1280"/>
      <c r="OT1160" s="1280"/>
      <c r="OU1160" s="1280"/>
      <c r="OV1160" s="1280"/>
      <c r="OW1160" s="1280"/>
      <c r="OX1160" s="1280"/>
      <c r="OY1160" s="1280"/>
      <c r="OZ1160" s="1280"/>
      <c r="PA1160" s="1280"/>
      <c r="PB1160" s="1280"/>
      <c r="PC1160" s="1280"/>
      <c r="PD1160" s="1280"/>
      <c r="PE1160" s="1280"/>
      <c r="PF1160" s="1280"/>
      <c r="PG1160" s="1280"/>
      <c r="PH1160" s="1280"/>
      <c r="PI1160" s="1280"/>
      <c r="PJ1160" s="1280"/>
      <c r="PK1160" s="1280"/>
      <c r="PL1160" s="1280"/>
      <c r="PM1160" s="1280"/>
      <c r="PN1160" s="1280"/>
      <c r="PO1160" s="1280"/>
      <c r="PP1160" s="1280"/>
      <c r="PQ1160" s="1280"/>
      <c r="PR1160" s="1280"/>
      <c r="PS1160" s="1280"/>
      <c r="PT1160" s="1280"/>
      <c r="PU1160" s="1280"/>
      <c r="PV1160" s="1280"/>
      <c r="PW1160" s="1280"/>
      <c r="PX1160" s="1280"/>
      <c r="PY1160" s="1280"/>
      <c r="PZ1160" s="1280"/>
      <c r="QA1160" s="1280"/>
      <c r="QB1160" s="1280"/>
      <c r="QC1160" s="1280"/>
      <c r="QD1160" s="1280"/>
      <c r="QE1160" s="1280"/>
      <c r="QF1160" s="1280"/>
      <c r="QG1160" s="1280"/>
      <c r="QH1160" s="1280"/>
      <c r="QI1160" s="1280"/>
      <c r="QJ1160" s="1280"/>
      <c r="QK1160" s="1280"/>
      <c r="QL1160" s="1280"/>
      <c r="QM1160" s="1280"/>
      <c r="QN1160" s="1280"/>
      <c r="QO1160" s="1280"/>
      <c r="QP1160" s="1280"/>
      <c r="QQ1160" s="1280"/>
      <c r="QR1160" s="1280"/>
      <c r="QS1160" s="1280"/>
      <c r="QT1160" s="1280"/>
      <c r="QU1160" s="1280"/>
      <c r="QV1160" s="1280"/>
      <c r="QW1160" s="1280"/>
      <c r="QX1160" s="1280"/>
      <c r="QY1160" s="1280"/>
      <c r="QZ1160" s="1280"/>
      <c r="RA1160" s="1280"/>
      <c r="RB1160" s="1280"/>
      <c r="RC1160" s="1280"/>
      <c r="RD1160" s="1280"/>
      <c r="RE1160" s="1280"/>
      <c r="RF1160" s="1280"/>
      <c r="RG1160" s="1280"/>
      <c r="RH1160" s="1280"/>
      <c r="RI1160" s="1280"/>
      <c r="RJ1160" s="1280"/>
      <c r="RK1160" s="1280"/>
      <c r="RL1160" s="1280"/>
      <c r="RM1160" s="1280"/>
      <c r="RN1160" s="1280"/>
      <c r="RO1160" s="1280"/>
      <c r="RP1160" s="1280"/>
      <c r="RQ1160" s="1280"/>
      <c r="RR1160" s="1280"/>
      <c r="RS1160" s="1280"/>
      <c r="RT1160" s="1280"/>
      <c r="RU1160" s="1280"/>
      <c r="RV1160" s="1280"/>
      <c r="RW1160" s="1280"/>
      <c r="RX1160" s="1280"/>
      <c r="RY1160" s="1280"/>
      <c r="RZ1160" s="1280"/>
      <c r="SA1160" s="1280"/>
      <c r="SB1160" s="1280"/>
      <c r="SC1160" s="1280"/>
      <c r="SD1160" s="1280"/>
      <c r="SE1160" s="1280"/>
      <c r="SF1160" s="1280"/>
      <c r="SG1160" s="1280"/>
      <c r="SH1160" s="1280"/>
      <c r="SI1160" s="1280"/>
      <c r="SJ1160" s="1280"/>
      <c r="SK1160" s="1280"/>
      <c r="SL1160" s="1280"/>
      <c r="SM1160" s="1280"/>
      <c r="SN1160" s="1280"/>
      <c r="SO1160" s="1280"/>
      <c r="SP1160" s="1280"/>
      <c r="SQ1160" s="1280"/>
      <c r="SR1160" s="1280"/>
      <c r="SS1160" s="1280"/>
      <c r="ST1160" s="1280"/>
      <c r="SU1160" s="1280"/>
      <c r="SV1160" s="1280"/>
      <c r="SW1160" s="1280"/>
      <c r="SX1160" s="1280"/>
      <c r="SY1160" s="1280"/>
      <c r="SZ1160" s="1280"/>
      <c r="TA1160" s="1280"/>
      <c r="TB1160" s="1280"/>
      <c r="TC1160" s="1280"/>
      <c r="TD1160" s="1280"/>
      <c r="TE1160" s="1280"/>
      <c r="TF1160" s="1280"/>
      <c r="TG1160" s="1280"/>
      <c r="TH1160" s="1280"/>
      <c r="TI1160" s="1280"/>
      <c r="TJ1160" s="1280"/>
      <c r="TK1160" s="1280"/>
      <c r="TL1160" s="1280"/>
      <c r="TM1160" s="1280"/>
      <c r="TN1160" s="1280"/>
      <c r="TO1160" s="1280"/>
      <c r="TP1160" s="1280"/>
      <c r="TQ1160" s="1280"/>
      <c r="TR1160" s="1280"/>
      <c r="TS1160" s="1280"/>
      <c r="TT1160" s="1280"/>
      <c r="TU1160" s="1280"/>
      <c r="TV1160" s="1280"/>
      <c r="TW1160" s="1280"/>
      <c r="TX1160" s="1280"/>
      <c r="TY1160" s="1280"/>
      <c r="TZ1160" s="1280"/>
      <c r="UA1160" s="1280"/>
      <c r="UB1160" s="1280"/>
      <c r="UC1160" s="1280"/>
      <c r="UD1160" s="1280"/>
      <c r="UE1160" s="1280"/>
      <c r="UF1160" s="1280"/>
      <c r="UG1160" s="1279"/>
    </row>
    <row r="1161" spans="1:553" s="1262" customFormat="1" ht="29.25" customHeight="1">
      <c r="A1161" s="653"/>
      <c r="B1161" s="759"/>
      <c r="C1161" s="1411" t="s">
        <v>197</v>
      </c>
      <c r="D1161" s="1411" t="s">
        <v>762</v>
      </c>
      <c r="E1161" s="1411" t="s">
        <v>762</v>
      </c>
      <c r="F1161" s="1411" t="s">
        <v>762</v>
      </c>
      <c r="G1161" s="770" t="s">
        <v>196</v>
      </c>
      <c r="H1161" s="758"/>
      <c r="I1161" s="1109">
        <f>(45.69*100/625)*(12-(4-3))*1</f>
        <v>80.414400000000001</v>
      </c>
      <c r="J1161" s="512">
        <v>10700</v>
      </c>
      <c r="K1161" s="663">
        <v>0.7</v>
      </c>
      <c r="L1161" s="1195">
        <f t="shared" ref="L1161" si="171">I1161*J1161*K1161</f>
        <v>602303.85599999991</v>
      </c>
      <c r="M1161" s="356"/>
      <c r="N1161" s="356"/>
      <c r="O1161" s="356"/>
      <c r="P1161" s="356"/>
      <c r="Q1161" s="610"/>
      <c r="R1161" s="1226"/>
      <c r="S1161" s="308"/>
      <c r="T1161" s="308"/>
      <c r="U1161" s="308"/>
      <c r="V1161" s="308"/>
      <c r="W1161" s="308"/>
      <c r="X1161" s="308"/>
      <c r="Y1161" s="308"/>
      <c r="Z1161" s="604"/>
      <c r="AA1161" s="308"/>
      <c r="AB1161" s="308"/>
      <c r="AC1161" s="373"/>
      <c r="AD1161" s="373"/>
      <c r="AE1161" s="373"/>
      <c r="AF1161" s="373"/>
      <c r="AG1161" s="373"/>
      <c r="AH1161" s="373"/>
      <c r="AI1161" s="373"/>
      <c r="AJ1161" s="373"/>
      <c r="AK1161" s="389"/>
      <c r="AL1161" s="1276"/>
      <c r="AM1161" s="1276"/>
      <c r="AN1161" s="1276"/>
      <c r="AO1161" s="1276"/>
      <c r="AP1161" s="1276"/>
      <c r="AQ1161" s="1276"/>
      <c r="AR1161" s="1276"/>
      <c r="AS1161" s="1280"/>
      <c r="AT1161" s="1280"/>
      <c r="AU1161" s="1280"/>
      <c r="AV1161" s="1280"/>
      <c r="AW1161" s="1280"/>
      <c r="AX1161" s="1280"/>
      <c r="AY1161" s="1280"/>
      <c r="AZ1161" s="1280"/>
      <c r="BA1161" s="1280"/>
      <c r="BB1161" s="1280"/>
      <c r="BC1161" s="1280"/>
      <c r="BD1161" s="1280"/>
      <c r="BE1161" s="1280"/>
      <c r="BF1161" s="1280"/>
      <c r="BG1161" s="1280"/>
      <c r="BH1161" s="1280"/>
      <c r="BI1161" s="1280"/>
      <c r="BJ1161" s="1280"/>
      <c r="BK1161" s="1280"/>
      <c r="BL1161" s="1280"/>
      <c r="BM1161" s="1280"/>
      <c r="BN1161" s="1280"/>
      <c r="BO1161" s="1280"/>
      <c r="BP1161" s="1280"/>
      <c r="BQ1161" s="1280"/>
      <c r="BR1161" s="1280"/>
      <c r="BS1161" s="1280"/>
      <c r="BT1161" s="1280"/>
      <c r="BU1161" s="1280"/>
      <c r="BV1161" s="1280"/>
      <c r="BW1161" s="1280"/>
      <c r="BX1161" s="1280"/>
      <c r="BY1161" s="1280"/>
      <c r="BZ1161" s="1280"/>
      <c r="CA1161" s="1280"/>
      <c r="CB1161" s="1280"/>
      <c r="CC1161" s="1280"/>
      <c r="CD1161" s="1280"/>
      <c r="CE1161" s="1280"/>
      <c r="CF1161" s="1280"/>
      <c r="CG1161" s="1280"/>
      <c r="CH1161" s="1280"/>
      <c r="CI1161" s="1280"/>
      <c r="CJ1161" s="1280"/>
      <c r="CK1161" s="1280"/>
      <c r="CL1161" s="1280"/>
      <c r="CM1161" s="1280"/>
      <c r="CN1161" s="1280"/>
      <c r="CO1161" s="1280"/>
      <c r="CP1161" s="1280"/>
      <c r="CQ1161" s="1280"/>
      <c r="CR1161" s="1280"/>
      <c r="CS1161" s="1280"/>
      <c r="CT1161" s="1280"/>
      <c r="CU1161" s="1280"/>
      <c r="CV1161" s="1280"/>
      <c r="CW1161" s="1280"/>
      <c r="CX1161" s="1280"/>
      <c r="CY1161" s="1280"/>
      <c r="CZ1161" s="1280"/>
      <c r="DA1161" s="1280"/>
      <c r="DB1161" s="1280"/>
      <c r="DC1161" s="1280"/>
      <c r="DD1161" s="1280"/>
      <c r="DE1161" s="1280"/>
      <c r="DF1161" s="1280"/>
      <c r="DG1161" s="1280"/>
      <c r="DH1161" s="1280"/>
      <c r="DI1161" s="1280"/>
      <c r="DJ1161" s="1280"/>
      <c r="DK1161" s="1280"/>
      <c r="DL1161" s="1280"/>
      <c r="DM1161" s="1280"/>
      <c r="DN1161" s="1280"/>
      <c r="DO1161" s="1280"/>
      <c r="DP1161" s="1280"/>
      <c r="DQ1161" s="1280"/>
      <c r="DR1161" s="1280"/>
      <c r="DS1161" s="1280"/>
      <c r="DT1161" s="1280"/>
      <c r="DU1161" s="1280"/>
      <c r="DV1161" s="1280"/>
      <c r="DW1161" s="1280"/>
      <c r="DX1161" s="1280"/>
      <c r="DY1161" s="1280"/>
      <c r="DZ1161" s="1280"/>
      <c r="EA1161" s="1280"/>
      <c r="EB1161" s="1280"/>
      <c r="EC1161" s="1280"/>
      <c r="ED1161" s="1280"/>
      <c r="EE1161" s="1280"/>
      <c r="EF1161" s="1280"/>
      <c r="EG1161" s="1280"/>
      <c r="EH1161" s="1280"/>
      <c r="EI1161" s="1280"/>
      <c r="EJ1161" s="1280"/>
      <c r="EK1161" s="1280"/>
      <c r="EL1161" s="1280"/>
      <c r="EM1161" s="1280"/>
      <c r="EN1161" s="1280"/>
      <c r="EO1161" s="1280"/>
      <c r="EP1161" s="1280"/>
      <c r="EQ1161" s="1280"/>
      <c r="ER1161" s="1280"/>
      <c r="ES1161" s="1280"/>
      <c r="ET1161" s="1280"/>
      <c r="EU1161" s="1280"/>
      <c r="EV1161" s="1280"/>
      <c r="EW1161" s="1280"/>
      <c r="EX1161" s="1280"/>
      <c r="EY1161" s="1280"/>
      <c r="EZ1161" s="1280"/>
      <c r="FA1161" s="1280"/>
      <c r="FB1161" s="1280"/>
      <c r="FC1161" s="1280"/>
      <c r="FD1161" s="1280"/>
      <c r="FE1161" s="1280"/>
      <c r="FF1161" s="1280"/>
      <c r="FG1161" s="1280"/>
      <c r="FH1161" s="1280"/>
      <c r="FI1161" s="1280"/>
      <c r="FJ1161" s="1280"/>
      <c r="FK1161" s="1280"/>
      <c r="FL1161" s="1280"/>
      <c r="FM1161" s="1280"/>
      <c r="FN1161" s="1280"/>
      <c r="FO1161" s="1280"/>
      <c r="FP1161" s="1280"/>
      <c r="FQ1161" s="1280"/>
      <c r="FR1161" s="1280"/>
      <c r="FS1161" s="1280"/>
      <c r="FT1161" s="1280"/>
      <c r="FU1161" s="1280"/>
      <c r="FV1161" s="1280"/>
      <c r="FW1161" s="1280"/>
      <c r="FX1161" s="1280"/>
      <c r="FY1161" s="1280"/>
      <c r="FZ1161" s="1280"/>
      <c r="GA1161" s="1280"/>
      <c r="GB1161" s="1280"/>
      <c r="GC1161" s="1280"/>
      <c r="GD1161" s="1280"/>
      <c r="GE1161" s="1280"/>
      <c r="GF1161" s="1280"/>
      <c r="GG1161" s="1280"/>
      <c r="GH1161" s="1280"/>
      <c r="GI1161" s="1280"/>
      <c r="GJ1161" s="1280"/>
      <c r="GK1161" s="1280"/>
      <c r="GL1161" s="1280"/>
      <c r="GM1161" s="1280"/>
      <c r="GN1161" s="1280"/>
      <c r="GO1161" s="1280"/>
      <c r="GP1161" s="1280"/>
      <c r="GQ1161" s="1280"/>
      <c r="GR1161" s="1280"/>
      <c r="GS1161" s="1280"/>
      <c r="GT1161" s="1280"/>
      <c r="GU1161" s="1280"/>
      <c r="GV1161" s="1280"/>
      <c r="GW1161" s="1280"/>
      <c r="GX1161" s="1280"/>
      <c r="GY1161" s="1280"/>
      <c r="GZ1161" s="1280"/>
      <c r="HA1161" s="1280"/>
      <c r="HB1161" s="1280"/>
      <c r="HC1161" s="1280"/>
      <c r="HD1161" s="1280"/>
      <c r="HE1161" s="1280"/>
      <c r="HF1161" s="1280"/>
      <c r="HG1161" s="1280"/>
      <c r="HH1161" s="1280"/>
      <c r="HI1161" s="1280"/>
      <c r="HJ1161" s="1280"/>
      <c r="HK1161" s="1280"/>
      <c r="HL1161" s="1280"/>
      <c r="HM1161" s="1280"/>
      <c r="HN1161" s="1280"/>
      <c r="HO1161" s="1280"/>
      <c r="HP1161" s="1280"/>
      <c r="HQ1161" s="1280"/>
      <c r="HR1161" s="1280"/>
      <c r="HS1161" s="1280"/>
      <c r="HT1161" s="1280"/>
      <c r="HU1161" s="1280"/>
      <c r="HV1161" s="1280"/>
      <c r="HW1161" s="1280"/>
      <c r="HX1161" s="1280"/>
      <c r="HY1161" s="1280"/>
      <c r="HZ1161" s="1280"/>
      <c r="IA1161" s="1280"/>
      <c r="IB1161" s="1280"/>
      <c r="IC1161" s="1280"/>
      <c r="ID1161" s="1280"/>
      <c r="IE1161" s="1280"/>
      <c r="IF1161" s="1280"/>
      <c r="IG1161" s="1280"/>
      <c r="IH1161" s="1280"/>
      <c r="II1161" s="1280"/>
      <c r="IJ1161" s="1280"/>
      <c r="IK1161" s="1280"/>
      <c r="IL1161" s="1280"/>
      <c r="IM1161" s="1280"/>
      <c r="IN1161" s="1280"/>
      <c r="IO1161" s="1280"/>
      <c r="IP1161" s="1280"/>
      <c r="IQ1161" s="1280"/>
      <c r="IR1161" s="1280"/>
      <c r="IS1161" s="1280"/>
      <c r="IT1161" s="1280"/>
      <c r="IU1161" s="1280"/>
      <c r="IV1161" s="1280"/>
      <c r="IW1161" s="1280"/>
      <c r="IX1161" s="1280"/>
      <c r="IY1161" s="1280"/>
      <c r="IZ1161" s="1280"/>
      <c r="JA1161" s="1280"/>
      <c r="JB1161" s="1280"/>
      <c r="JC1161" s="1280"/>
      <c r="JD1161" s="1280"/>
      <c r="JE1161" s="1280"/>
      <c r="JF1161" s="1280"/>
      <c r="JG1161" s="1280"/>
      <c r="JH1161" s="1280"/>
      <c r="JI1161" s="1280"/>
      <c r="JJ1161" s="1280"/>
      <c r="JK1161" s="1280"/>
      <c r="JL1161" s="1280"/>
      <c r="JM1161" s="1280"/>
      <c r="JN1161" s="1280"/>
      <c r="JO1161" s="1280"/>
      <c r="JP1161" s="1280"/>
      <c r="JQ1161" s="1280"/>
      <c r="JR1161" s="1280"/>
      <c r="JS1161" s="1280"/>
      <c r="JT1161" s="1280"/>
      <c r="JU1161" s="1280"/>
      <c r="JV1161" s="1280"/>
      <c r="JW1161" s="1280"/>
      <c r="JX1161" s="1280"/>
      <c r="JY1161" s="1280"/>
      <c r="JZ1161" s="1280"/>
      <c r="KA1161" s="1280"/>
      <c r="KB1161" s="1280"/>
      <c r="KC1161" s="1280"/>
      <c r="KD1161" s="1280"/>
      <c r="KE1161" s="1280"/>
      <c r="KF1161" s="1280"/>
      <c r="KG1161" s="1280"/>
      <c r="KH1161" s="1280"/>
      <c r="KI1161" s="1280"/>
      <c r="KJ1161" s="1280"/>
      <c r="KK1161" s="1280"/>
      <c r="KL1161" s="1280"/>
      <c r="KM1161" s="1280"/>
      <c r="KN1161" s="1280"/>
      <c r="KO1161" s="1280"/>
      <c r="KP1161" s="1280"/>
      <c r="KQ1161" s="1280"/>
      <c r="KR1161" s="1280"/>
      <c r="KS1161" s="1280"/>
      <c r="KT1161" s="1280"/>
      <c r="KU1161" s="1280"/>
      <c r="KV1161" s="1280"/>
      <c r="KW1161" s="1280"/>
      <c r="KX1161" s="1280"/>
      <c r="KY1161" s="1280"/>
      <c r="KZ1161" s="1280"/>
      <c r="LA1161" s="1280"/>
      <c r="LB1161" s="1280"/>
      <c r="LC1161" s="1280"/>
      <c r="LD1161" s="1280"/>
      <c r="LE1161" s="1280"/>
      <c r="LF1161" s="1280"/>
      <c r="LG1161" s="1280"/>
      <c r="LH1161" s="1280"/>
      <c r="LI1161" s="1280"/>
      <c r="LJ1161" s="1280"/>
      <c r="LK1161" s="1280"/>
      <c r="LL1161" s="1280"/>
      <c r="LM1161" s="1280"/>
      <c r="LN1161" s="1280"/>
      <c r="LO1161" s="1280"/>
      <c r="LP1161" s="1280"/>
      <c r="LQ1161" s="1280"/>
      <c r="LR1161" s="1280"/>
      <c r="LS1161" s="1280"/>
      <c r="LT1161" s="1280"/>
      <c r="LU1161" s="1280"/>
      <c r="LV1161" s="1280"/>
      <c r="LW1161" s="1280"/>
      <c r="LX1161" s="1280"/>
      <c r="LY1161" s="1280"/>
      <c r="LZ1161" s="1280"/>
      <c r="MA1161" s="1280"/>
      <c r="MB1161" s="1280"/>
      <c r="MC1161" s="1280"/>
      <c r="MD1161" s="1280"/>
      <c r="ME1161" s="1280"/>
      <c r="MF1161" s="1280"/>
      <c r="MG1161" s="1280"/>
      <c r="MH1161" s="1280"/>
      <c r="MI1161" s="1280"/>
      <c r="MJ1161" s="1280"/>
      <c r="MK1161" s="1280"/>
      <c r="ML1161" s="1280"/>
      <c r="MM1161" s="1280"/>
      <c r="MN1161" s="1280"/>
      <c r="MO1161" s="1280"/>
      <c r="MP1161" s="1280"/>
      <c r="MQ1161" s="1280"/>
      <c r="MR1161" s="1280"/>
      <c r="MS1161" s="1280"/>
      <c r="MT1161" s="1280"/>
      <c r="MU1161" s="1280"/>
      <c r="MV1161" s="1280"/>
      <c r="MW1161" s="1280"/>
      <c r="MX1161" s="1280"/>
      <c r="MY1161" s="1280"/>
      <c r="MZ1161" s="1280"/>
      <c r="NA1161" s="1280"/>
      <c r="NB1161" s="1280"/>
      <c r="NC1161" s="1280"/>
      <c r="ND1161" s="1280"/>
      <c r="NE1161" s="1280"/>
      <c r="NF1161" s="1280"/>
      <c r="NG1161" s="1280"/>
      <c r="NH1161" s="1280"/>
      <c r="NI1161" s="1280"/>
      <c r="NJ1161" s="1280"/>
      <c r="NK1161" s="1280"/>
      <c r="NL1161" s="1280"/>
      <c r="NM1161" s="1280"/>
      <c r="NN1161" s="1280"/>
      <c r="NO1161" s="1280"/>
      <c r="NP1161" s="1280"/>
      <c r="NQ1161" s="1280"/>
      <c r="NR1161" s="1280"/>
      <c r="NS1161" s="1280"/>
      <c r="NT1161" s="1280"/>
      <c r="NU1161" s="1280"/>
      <c r="NV1161" s="1280"/>
      <c r="NW1161" s="1280"/>
      <c r="NX1161" s="1280"/>
      <c r="NY1161" s="1280"/>
      <c r="NZ1161" s="1280"/>
      <c r="OA1161" s="1280"/>
      <c r="OB1161" s="1280"/>
      <c r="OC1161" s="1280"/>
      <c r="OD1161" s="1280"/>
      <c r="OE1161" s="1280"/>
      <c r="OF1161" s="1280"/>
      <c r="OG1161" s="1280"/>
      <c r="OH1161" s="1280"/>
      <c r="OI1161" s="1280"/>
      <c r="OJ1161" s="1280"/>
      <c r="OK1161" s="1280"/>
      <c r="OL1161" s="1280"/>
      <c r="OM1161" s="1280"/>
      <c r="ON1161" s="1280"/>
      <c r="OO1161" s="1280"/>
      <c r="OP1161" s="1280"/>
      <c r="OQ1161" s="1280"/>
      <c r="OR1161" s="1280"/>
      <c r="OS1161" s="1280"/>
      <c r="OT1161" s="1280"/>
      <c r="OU1161" s="1280"/>
      <c r="OV1161" s="1280"/>
      <c r="OW1161" s="1280"/>
      <c r="OX1161" s="1280"/>
      <c r="OY1161" s="1280"/>
      <c r="OZ1161" s="1280"/>
      <c r="PA1161" s="1280"/>
      <c r="PB1161" s="1280"/>
      <c r="PC1161" s="1280"/>
      <c r="PD1161" s="1280"/>
      <c r="PE1161" s="1280"/>
      <c r="PF1161" s="1280"/>
      <c r="PG1161" s="1280"/>
      <c r="PH1161" s="1280"/>
      <c r="PI1161" s="1280"/>
      <c r="PJ1161" s="1280"/>
      <c r="PK1161" s="1280"/>
      <c r="PL1161" s="1280"/>
      <c r="PM1161" s="1280"/>
      <c r="PN1161" s="1280"/>
      <c r="PO1161" s="1280"/>
      <c r="PP1161" s="1280"/>
      <c r="PQ1161" s="1280"/>
      <c r="PR1161" s="1280"/>
      <c r="PS1161" s="1280"/>
      <c r="PT1161" s="1280"/>
      <c r="PU1161" s="1280"/>
      <c r="PV1161" s="1280"/>
      <c r="PW1161" s="1280"/>
      <c r="PX1161" s="1280"/>
      <c r="PY1161" s="1280"/>
      <c r="PZ1161" s="1280"/>
      <c r="QA1161" s="1280"/>
      <c r="QB1161" s="1280"/>
      <c r="QC1161" s="1280"/>
      <c r="QD1161" s="1280"/>
      <c r="QE1161" s="1280"/>
      <c r="QF1161" s="1280"/>
      <c r="QG1161" s="1280"/>
      <c r="QH1161" s="1280"/>
      <c r="QI1161" s="1280"/>
      <c r="QJ1161" s="1280"/>
      <c r="QK1161" s="1280"/>
      <c r="QL1161" s="1280"/>
      <c r="QM1161" s="1280"/>
      <c r="QN1161" s="1280"/>
      <c r="QO1161" s="1280"/>
      <c r="QP1161" s="1280"/>
      <c r="QQ1161" s="1280"/>
      <c r="QR1161" s="1280"/>
      <c r="QS1161" s="1280"/>
      <c r="QT1161" s="1280"/>
      <c r="QU1161" s="1280"/>
      <c r="QV1161" s="1280"/>
      <c r="QW1161" s="1280"/>
      <c r="QX1161" s="1280"/>
      <c r="QY1161" s="1280"/>
      <c r="QZ1161" s="1280"/>
      <c r="RA1161" s="1280"/>
      <c r="RB1161" s="1280"/>
      <c r="RC1161" s="1280"/>
      <c r="RD1161" s="1280"/>
      <c r="RE1161" s="1280"/>
      <c r="RF1161" s="1280"/>
      <c r="RG1161" s="1280"/>
      <c r="RH1161" s="1280"/>
      <c r="RI1161" s="1280"/>
      <c r="RJ1161" s="1280"/>
      <c r="RK1161" s="1280"/>
      <c r="RL1161" s="1280"/>
      <c r="RM1161" s="1280"/>
      <c r="RN1161" s="1280"/>
      <c r="RO1161" s="1280"/>
      <c r="RP1161" s="1280"/>
      <c r="RQ1161" s="1280"/>
      <c r="RR1161" s="1280"/>
      <c r="RS1161" s="1280"/>
      <c r="RT1161" s="1280"/>
      <c r="RU1161" s="1280"/>
      <c r="RV1161" s="1280"/>
      <c r="RW1161" s="1280"/>
      <c r="RX1161" s="1280"/>
      <c r="RY1161" s="1280"/>
      <c r="RZ1161" s="1280"/>
      <c r="SA1161" s="1280"/>
      <c r="SB1161" s="1280"/>
      <c r="SC1161" s="1280"/>
      <c r="SD1161" s="1280"/>
      <c r="SE1161" s="1280"/>
      <c r="SF1161" s="1280"/>
      <c r="SG1161" s="1280"/>
      <c r="SH1161" s="1280"/>
      <c r="SI1161" s="1280"/>
      <c r="SJ1161" s="1280"/>
      <c r="SK1161" s="1280"/>
      <c r="SL1161" s="1280"/>
      <c r="SM1161" s="1280"/>
      <c r="SN1161" s="1280"/>
      <c r="SO1161" s="1280"/>
      <c r="SP1161" s="1280"/>
      <c r="SQ1161" s="1280"/>
      <c r="SR1161" s="1280"/>
      <c r="SS1161" s="1280"/>
      <c r="ST1161" s="1280"/>
      <c r="SU1161" s="1280"/>
      <c r="SV1161" s="1280"/>
      <c r="SW1161" s="1280"/>
      <c r="SX1161" s="1280"/>
      <c r="SY1161" s="1280"/>
      <c r="SZ1161" s="1280"/>
      <c r="TA1161" s="1280"/>
      <c r="TB1161" s="1280"/>
      <c r="TC1161" s="1280"/>
      <c r="TD1161" s="1280"/>
      <c r="TE1161" s="1280"/>
      <c r="TF1161" s="1280"/>
      <c r="TG1161" s="1280"/>
      <c r="TH1161" s="1280"/>
      <c r="TI1161" s="1280"/>
      <c r="TJ1161" s="1280"/>
      <c r="TK1161" s="1280"/>
      <c r="TL1161" s="1280"/>
      <c r="TM1161" s="1280"/>
      <c r="TN1161" s="1280"/>
      <c r="TO1161" s="1280"/>
      <c r="TP1161" s="1280"/>
      <c r="TQ1161" s="1280"/>
      <c r="TR1161" s="1280"/>
      <c r="TS1161" s="1280"/>
      <c r="TT1161" s="1280"/>
      <c r="TU1161" s="1280"/>
      <c r="TV1161" s="1280"/>
      <c r="TW1161" s="1280"/>
      <c r="TX1161" s="1280"/>
      <c r="TY1161" s="1280"/>
      <c r="TZ1161" s="1280"/>
      <c r="UA1161" s="1280"/>
      <c r="UB1161" s="1280"/>
      <c r="UC1161" s="1280"/>
      <c r="UD1161" s="1280"/>
      <c r="UE1161" s="1280"/>
      <c r="UF1161" s="1280"/>
      <c r="UG1161" s="1279"/>
    </row>
    <row r="1162" spans="1:553" s="1262" customFormat="1" ht="29.25" customHeight="1">
      <c r="A1162" s="1231"/>
      <c r="B1162" s="763"/>
      <c r="C1162" s="1411" t="s">
        <v>1219</v>
      </c>
      <c r="D1162" s="1411" t="s">
        <v>1220</v>
      </c>
      <c r="E1162" s="1411" t="s">
        <v>1220</v>
      </c>
      <c r="F1162" s="1411" t="s">
        <v>1220</v>
      </c>
      <c r="G1162" s="471" t="s">
        <v>193</v>
      </c>
      <c r="H1162" s="751"/>
      <c r="I1162" s="1015">
        <v>4</v>
      </c>
      <c r="J1162" s="368">
        <v>102700</v>
      </c>
      <c r="K1162" s="650">
        <v>0.7</v>
      </c>
      <c r="L1162" s="571">
        <f>I1162*J1162*K1162</f>
        <v>287560</v>
      </c>
      <c r="M1162" s="356"/>
      <c r="N1162" s="356"/>
      <c r="O1162" s="356"/>
      <c r="P1162" s="356"/>
      <c r="Q1162" s="610"/>
      <c r="R1162" s="1226"/>
      <c r="S1162" s="308"/>
      <c r="T1162" s="308"/>
      <c r="U1162" s="308"/>
      <c r="V1162" s="308"/>
      <c r="W1162" s="308"/>
      <c r="X1162" s="308"/>
      <c r="Y1162" s="308"/>
      <c r="Z1162" s="604"/>
      <c r="AA1162" s="308"/>
      <c r="AB1162" s="308"/>
      <c r="AC1162" s="373"/>
      <c r="AD1162" s="373"/>
      <c r="AE1162" s="373"/>
      <c r="AF1162" s="373"/>
      <c r="AG1162" s="373"/>
      <c r="AH1162" s="373"/>
      <c r="AI1162" s="373"/>
      <c r="AJ1162" s="373"/>
      <c r="AK1162" s="389"/>
      <c r="AL1162" s="1276"/>
      <c r="AM1162" s="1276"/>
      <c r="AN1162" s="1276"/>
      <c r="AO1162" s="1276"/>
      <c r="AP1162" s="1276"/>
      <c r="AQ1162" s="1276"/>
      <c r="AR1162" s="1276"/>
      <c r="AS1162" s="1280"/>
      <c r="AT1162" s="1280"/>
      <c r="AU1162" s="1280"/>
      <c r="AV1162" s="1280"/>
      <c r="AW1162" s="1280"/>
      <c r="AX1162" s="1280"/>
      <c r="AY1162" s="1280"/>
      <c r="AZ1162" s="1280"/>
      <c r="BA1162" s="1280"/>
      <c r="BB1162" s="1280"/>
      <c r="BC1162" s="1280"/>
      <c r="BD1162" s="1280"/>
      <c r="BE1162" s="1280"/>
      <c r="BF1162" s="1280"/>
      <c r="BG1162" s="1280"/>
      <c r="BH1162" s="1280"/>
      <c r="BI1162" s="1280"/>
      <c r="BJ1162" s="1280"/>
      <c r="BK1162" s="1280"/>
      <c r="BL1162" s="1280"/>
      <c r="BM1162" s="1280"/>
      <c r="BN1162" s="1280"/>
      <c r="BO1162" s="1280"/>
      <c r="BP1162" s="1280"/>
      <c r="BQ1162" s="1280"/>
      <c r="BR1162" s="1280"/>
      <c r="BS1162" s="1280"/>
      <c r="BT1162" s="1280"/>
      <c r="BU1162" s="1280"/>
      <c r="BV1162" s="1280"/>
      <c r="BW1162" s="1280"/>
      <c r="BX1162" s="1280"/>
      <c r="BY1162" s="1280"/>
      <c r="BZ1162" s="1280"/>
      <c r="CA1162" s="1280"/>
      <c r="CB1162" s="1280"/>
      <c r="CC1162" s="1280"/>
      <c r="CD1162" s="1280"/>
      <c r="CE1162" s="1280"/>
      <c r="CF1162" s="1280"/>
      <c r="CG1162" s="1280"/>
      <c r="CH1162" s="1280"/>
      <c r="CI1162" s="1280"/>
      <c r="CJ1162" s="1280"/>
      <c r="CK1162" s="1280"/>
      <c r="CL1162" s="1280"/>
      <c r="CM1162" s="1280"/>
      <c r="CN1162" s="1280"/>
      <c r="CO1162" s="1280"/>
      <c r="CP1162" s="1280"/>
      <c r="CQ1162" s="1280"/>
      <c r="CR1162" s="1280"/>
      <c r="CS1162" s="1280"/>
      <c r="CT1162" s="1280"/>
      <c r="CU1162" s="1280"/>
      <c r="CV1162" s="1280"/>
      <c r="CW1162" s="1280"/>
      <c r="CX1162" s="1280"/>
      <c r="CY1162" s="1280"/>
      <c r="CZ1162" s="1280"/>
      <c r="DA1162" s="1280"/>
      <c r="DB1162" s="1280"/>
      <c r="DC1162" s="1280"/>
      <c r="DD1162" s="1280"/>
      <c r="DE1162" s="1280"/>
      <c r="DF1162" s="1280"/>
      <c r="DG1162" s="1280"/>
      <c r="DH1162" s="1280"/>
      <c r="DI1162" s="1280"/>
      <c r="DJ1162" s="1280"/>
      <c r="DK1162" s="1280"/>
      <c r="DL1162" s="1280"/>
      <c r="DM1162" s="1280"/>
      <c r="DN1162" s="1280"/>
      <c r="DO1162" s="1280"/>
      <c r="DP1162" s="1280"/>
      <c r="DQ1162" s="1280"/>
      <c r="DR1162" s="1280"/>
      <c r="DS1162" s="1280"/>
      <c r="DT1162" s="1280"/>
      <c r="DU1162" s="1280"/>
      <c r="DV1162" s="1280"/>
      <c r="DW1162" s="1280"/>
      <c r="DX1162" s="1280"/>
      <c r="DY1162" s="1280"/>
      <c r="DZ1162" s="1280"/>
      <c r="EA1162" s="1280"/>
      <c r="EB1162" s="1280"/>
      <c r="EC1162" s="1280"/>
      <c r="ED1162" s="1280"/>
      <c r="EE1162" s="1280"/>
      <c r="EF1162" s="1280"/>
      <c r="EG1162" s="1280"/>
      <c r="EH1162" s="1280"/>
      <c r="EI1162" s="1280"/>
      <c r="EJ1162" s="1280"/>
      <c r="EK1162" s="1280"/>
      <c r="EL1162" s="1280"/>
      <c r="EM1162" s="1280"/>
      <c r="EN1162" s="1280"/>
      <c r="EO1162" s="1280"/>
      <c r="EP1162" s="1280"/>
      <c r="EQ1162" s="1280"/>
      <c r="ER1162" s="1280"/>
      <c r="ES1162" s="1280"/>
      <c r="ET1162" s="1280"/>
      <c r="EU1162" s="1280"/>
      <c r="EV1162" s="1280"/>
      <c r="EW1162" s="1280"/>
      <c r="EX1162" s="1280"/>
      <c r="EY1162" s="1280"/>
      <c r="EZ1162" s="1280"/>
      <c r="FA1162" s="1280"/>
      <c r="FB1162" s="1280"/>
      <c r="FC1162" s="1280"/>
      <c r="FD1162" s="1280"/>
      <c r="FE1162" s="1280"/>
      <c r="FF1162" s="1280"/>
      <c r="FG1162" s="1280"/>
      <c r="FH1162" s="1280"/>
      <c r="FI1162" s="1280"/>
      <c r="FJ1162" s="1280"/>
      <c r="FK1162" s="1280"/>
      <c r="FL1162" s="1280"/>
      <c r="FM1162" s="1280"/>
      <c r="FN1162" s="1280"/>
      <c r="FO1162" s="1280"/>
      <c r="FP1162" s="1280"/>
      <c r="FQ1162" s="1280"/>
      <c r="FR1162" s="1280"/>
      <c r="FS1162" s="1280"/>
      <c r="FT1162" s="1280"/>
      <c r="FU1162" s="1280"/>
      <c r="FV1162" s="1280"/>
      <c r="FW1162" s="1280"/>
      <c r="FX1162" s="1280"/>
      <c r="FY1162" s="1280"/>
      <c r="FZ1162" s="1280"/>
      <c r="GA1162" s="1280"/>
      <c r="GB1162" s="1280"/>
      <c r="GC1162" s="1280"/>
      <c r="GD1162" s="1280"/>
      <c r="GE1162" s="1280"/>
      <c r="GF1162" s="1280"/>
      <c r="GG1162" s="1280"/>
      <c r="GH1162" s="1280"/>
      <c r="GI1162" s="1280"/>
      <c r="GJ1162" s="1280"/>
      <c r="GK1162" s="1280"/>
      <c r="GL1162" s="1280"/>
      <c r="GM1162" s="1280"/>
      <c r="GN1162" s="1280"/>
      <c r="GO1162" s="1280"/>
      <c r="GP1162" s="1280"/>
      <c r="GQ1162" s="1280"/>
      <c r="GR1162" s="1280"/>
      <c r="GS1162" s="1280"/>
      <c r="GT1162" s="1280"/>
      <c r="GU1162" s="1280"/>
      <c r="GV1162" s="1280"/>
      <c r="GW1162" s="1280"/>
      <c r="GX1162" s="1280"/>
      <c r="GY1162" s="1280"/>
      <c r="GZ1162" s="1280"/>
      <c r="HA1162" s="1280"/>
      <c r="HB1162" s="1280"/>
      <c r="HC1162" s="1280"/>
      <c r="HD1162" s="1280"/>
      <c r="HE1162" s="1280"/>
      <c r="HF1162" s="1280"/>
      <c r="HG1162" s="1280"/>
      <c r="HH1162" s="1280"/>
      <c r="HI1162" s="1280"/>
      <c r="HJ1162" s="1280"/>
      <c r="HK1162" s="1280"/>
      <c r="HL1162" s="1280"/>
      <c r="HM1162" s="1280"/>
      <c r="HN1162" s="1280"/>
      <c r="HO1162" s="1280"/>
      <c r="HP1162" s="1280"/>
      <c r="HQ1162" s="1280"/>
      <c r="HR1162" s="1280"/>
      <c r="HS1162" s="1280"/>
      <c r="HT1162" s="1280"/>
      <c r="HU1162" s="1280"/>
      <c r="HV1162" s="1280"/>
      <c r="HW1162" s="1280"/>
      <c r="HX1162" s="1280"/>
      <c r="HY1162" s="1280"/>
      <c r="HZ1162" s="1280"/>
      <c r="IA1162" s="1280"/>
      <c r="IB1162" s="1280"/>
      <c r="IC1162" s="1280"/>
      <c r="ID1162" s="1280"/>
      <c r="IE1162" s="1280"/>
      <c r="IF1162" s="1280"/>
      <c r="IG1162" s="1280"/>
      <c r="IH1162" s="1280"/>
      <c r="II1162" s="1280"/>
      <c r="IJ1162" s="1280"/>
      <c r="IK1162" s="1280"/>
      <c r="IL1162" s="1280"/>
      <c r="IM1162" s="1280"/>
      <c r="IN1162" s="1280"/>
      <c r="IO1162" s="1280"/>
      <c r="IP1162" s="1280"/>
      <c r="IQ1162" s="1280"/>
      <c r="IR1162" s="1280"/>
      <c r="IS1162" s="1280"/>
      <c r="IT1162" s="1280"/>
      <c r="IU1162" s="1280"/>
      <c r="IV1162" s="1280"/>
      <c r="IW1162" s="1280"/>
      <c r="IX1162" s="1280"/>
      <c r="IY1162" s="1280"/>
      <c r="IZ1162" s="1280"/>
      <c r="JA1162" s="1280"/>
      <c r="JB1162" s="1280"/>
      <c r="JC1162" s="1280"/>
      <c r="JD1162" s="1280"/>
      <c r="JE1162" s="1280"/>
      <c r="JF1162" s="1280"/>
      <c r="JG1162" s="1280"/>
      <c r="JH1162" s="1280"/>
      <c r="JI1162" s="1280"/>
      <c r="JJ1162" s="1280"/>
      <c r="JK1162" s="1280"/>
      <c r="JL1162" s="1280"/>
      <c r="JM1162" s="1280"/>
      <c r="JN1162" s="1280"/>
      <c r="JO1162" s="1280"/>
      <c r="JP1162" s="1280"/>
      <c r="JQ1162" s="1280"/>
      <c r="JR1162" s="1280"/>
      <c r="JS1162" s="1280"/>
      <c r="JT1162" s="1280"/>
      <c r="JU1162" s="1280"/>
      <c r="JV1162" s="1280"/>
      <c r="JW1162" s="1280"/>
      <c r="JX1162" s="1280"/>
      <c r="JY1162" s="1280"/>
      <c r="JZ1162" s="1280"/>
      <c r="KA1162" s="1280"/>
      <c r="KB1162" s="1280"/>
      <c r="KC1162" s="1280"/>
      <c r="KD1162" s="1280"/>
      <c r="KE1162" s="1280"/>
      <c r="KF1162" s="1280"/>
      <c r="KG1162" s="1280"/>
      <c r="KH1162" s="1280"/>
      <c r="KI1162" s="1280"/>
      <c r="KJ1162" s="1280"/>
      <c r="KK1162" s="1280"/>
      <c r="KL1162" s="1280"/>
      <c r="KM1162" s="1280"/>
      <c r="KN1162" s="1280"/>
      <c r="KO1162" s="1280"/>
      <c r="KP1162" s="1280"/>
      <c r="KQ1162" s="1280"/>
      <c r="KR1162" s="1280"/>
      <c r="KS1162" s="1280"/>
      <c r="KT1162" s="1280"/>
      <c r="KU1162" s="1280"/>
      <c r="KV1162" s="1280"/>
      <c r="KW1162" s="1280"/>
      <c r="KX1162" s="1280"/>
      <c r="KY1162" s="1280"/>
      <c r="KZ1162" s="1280"/>
      <c r="LA1162" s="1280"/>
      <c r="LB1162" s="1280"/>
      <c r="LC1162" s="1280"/>
      <c r="LD1162" s="1280"/>
      <c r="LE1162" s="1280"/>
      <c r="LF1162" s="1280"/>
      <c r="LG1162" s="1280"/>
      <c r="LH1162" s="1280"/>
      <c r="LI1162" s="1280"/>
      <c r="LJ1162" s="1280"/>
      <c r="LK1162" s="1280"/>
      <c r="LL1162" s="1280"/>
      <c r="LM1162" s="1280"/>
      <c r="LN1162" s="1280"/>
      <c r="LO1162" s="1280"/>
      <c r="LP1162" s="1280"/>
      <c r="LQ1162" s="1280"/>
      <c r="LR1162" s="1280"/>
      <c r="LS1162" s="1280"/>
      <c r="LT1162" s="1280"/>
      <c r="LU1162" s="1280"/>
      <c r="LV1162" s="1280"/>
      <c r="LW1162" s="1280"/>
      <c r="LX1162" s="1280"/>
      <c r="LY1162" s="1280"/>
      <c r="LZ1162" s="1280"/>
      <c r="MA1162" s="1280"/>
      <c r="MB1162" s="1280"/>
      <c r="MC1162" s="1280"/>
      <c r="MD1162" s="1280"/>
      <c r="ME1162" s="1280"/>
      <c r="MF1162" s="1280"/>
      <c r="MG1162" s="1280"/>
      <c r="MH1162" s="1280"/>
      <c r="MI1162" s="1280"/>
      <c r="MJ1162" s="1280"/>
      <c r="MK1162" s="1280"/>
      <c r="ML1162" s="1280"/>
      <c r="MM1162" s="1280"/>
      <c r="MN1162" s="1280"/>
      <c r="MO1162" s="1280"/>
      <c r="MP1162" s="1280"/>
      <c r="MQ1162" s="1280"/>
      <c r="MR1162" s="1280"/>
      <c r="MS1162" s="1280"/>
      <c r="MT1162" s="1280"/>
      <c r="MU1162" s="1280"/>
      <c r="MV1162" s="1280"/>
      <c r="MW1162" s="1280"/>
      <c r="MX1162" s="1280"/>
      <c r="MY1162" s="1280"/>
      <c r="MZ1162" s="1280"/>
      <c r="NA1162" s="1280"/>
      <c r="NB1162" s="1280"/>
      <c r="NC1162" s="1280"/>
      <c r="ND1162" s="1280"/>
      <c r="NE1162" s="1280"/>
      <c r="NF1162" s="1280"/>
      <c r="NG1162" s="1280"/>
      <c r="NH1162" s="1280"/>
      <c r="NI1162" s="1280"/>
      <c r="NJ1162" s="1280"/>
      <c r="NK1162" s="1280"/>
      <c r="NL1162" s="1280"/>
      <c r="NM1162" s="1280"/>
      <c r="NN1162" s="1280"/>
      <c r="NO1162" s="1280"/>
      <c r="NP1162" s="1280"/>
      <c r="NQ1162" s="1280"/>
      <c r="NR1162" s="1280"/>
      <c r="NS1162" s="1280"/>
      <c r="NT1162" s="1280"/>
      <c r="NU1162" s="1280"/>
      <c r="NV1162" s="1280"/>
      <c r="NW1162" s="1280"/>
      <c r="NX1162" s="1280"/>
      <c r="NY1162" s="1280"/>
      <c r="NZ1162" s="1280"/>
      <c r="OA1162" s="1280"/>
      <c r="OB1162" s="1280"/>
      <c r="OC1162" s="1280"/>
      <c r="OD1162" s="1280"/>
      <c r="OE1162" s="1280"/>
      <c r="OF1162" s="1280"/>
      <c r="OG1162" s="1280"/>
      <c r="OH1162" s="1280"/>
      <c r="OI1162" s="1280"/>
      <c r="OJ1162" s="1280"/>
      <c r="OK1162" s="1280"/>
      <c r="OL1162" s="1280"/>
      <c r="OM1162" s="1280"/>
      <c r="ON1162" s="1280"/>
      <c r="OO1162" s="1280"/>
      <c r="OP1162" s="1280"/>
      <c r="OQ1162" s="1280"/>
      <c r="OR1162" s="1280"/>
      <c r="OS1162" s="1280"/>
      <c r="OT1162" s="1280"/>
      <c r="OU1162" s="1280"/>
      <c r="OV1162" s="1280"/>
      <c r="OW1162" s="1280"/>
      <c r="OX1162" s="1280"/>
      <c r="OY1162" s="1280"/>
      <c r="OZ1162" s="1280"/>
      <c r="PA1162" s="1280"/>
      <c r="PB1162" s="1280"/>
      <c r="PC1162" s="1280"/>
      <c r="PD1162" s="1280"/>
      <c r="PE1162" s="1280"/>
      <c r="PF1162" s="1280"/>
      <c r="PG1162" s="1280"/>
      <c r="PH1162" s="1280"/>
      <c r="PI1162" s="1280"/>
      <c r="PJ1162" s="1280"/>
      <c r="PK1162" s="1280"/>
      <c r="PL1162" s="1280"/>
      <c r="PM1162" s="1280"/>
      <c r="PN1162" s="1280"/>
      <c r="PO1162" s="1280"/>
      <c r="PP1162" s="1280"/>
      <c r="PQ1162" s="1280"/>
      <c r="PR1162" s="1280"/>
      <c r="PS1162" s="1280"/>
      <c r="PT1162" s="1280"/>
      <c r="PU1162" s="1280"/>
      <c r="PV1162" s="1280"/>
      <c r="PW1162" s="1280"/>
      <c r="PX1162" s="1280"/>
      <c r="PY1162" s="1280"/>
      <c r="PZ1162" s="1280"/>
      <c r="QA1162" s="1280"/>
      <c r="QB1162" s="1280"/>
      <c r="QC1162" s="1280"/>
      <c r="QD1162" s="1280"/>
      <c r="QE1162" s="1280"/>
      <c r="QF1162" s="1280"/>
      <c r="QG1162" s="1280"/>
      <c r="QH1162" s="1280"/>
      <c r="QI1162" s="1280"/>
      <c r="QJ1162" s="1280"/>
      <c r="QK1162" s="1280"/>
      <c r="QL1162" s="1280"/>
      <c r="QM1162" s="1280"/>
      <c r="QN1162" s="1280"/>
      <c r="QO1162" s="1280"/>
      <c r="QP1162" s="1280"/>
      <c r="QQ1162" s="1280"/>
      <c r="QR1162" s="1280"/>
      <c r="QS1162" s="1280"/>
      <c r="QT1162" s="1280"/>
      <c r="QU1162" s="1280"/>
      <c r="QV1162" s="1280"/>
      <c r="QW1162" s="1280"/>
      <c r="QX1162" s="1280"/>
      <c r="QY1162" s="1280"/>
      <c r="QZ1162" s="1280"/>
      <c r="RA1162" s="1280"/>
      <c r="RB1162" s="1280"/>
      <c r="RC1162" s="1280"/>
      <c r="RD1162" s="1280"/>
      <c r="RE1162" s="1280"/>
      <c r="RF1162" s="1280"/>
      <c r="RG1162" s="1280"/>
      <c r="RH1162" s="1280"/>
      <c r="RI1162" s="1280"/>
      <c r="RJ1162" s="1280"/>
      <c r="RK1162" s="1280"/>
      <c r="RL1162" s="1280"/>
      <c r="RM1162" s="1280"/>
      <c r="RN1162" s="1280"/>
      <c r="RO1162" s="1280"/>
      <c r="RP1162" s="1280"/>
      <c r="RQ1162" s="1280"/>
      <c r="RR1162" s="1280"/>
      <c r="RS1162" s="1280"/>
      <c r="RT1162" s="1280"/>
      <c r="RU1162" s="1280"/>
      <c r="RV1162" s="1280"/>
      <c r="RW1162" s="1280"/>
      <c r="RX1162" s="1280"/>
      <c r="RY1162" s="1280"/>
      <c r="RZ1162" s="1280"/>
      <c r="SA1162" s="1280"/>
      <c r="SB1162" s="1280"/>
      <c r="SC1162" s="1280"/>
      <c r="SD1162" s="1280"/>
      <c r="SE1162" s="1280"/>
      <c r="SF1162" s="1280"/>
      <c r="SG1162" s="1280"/>
      <c r="SH1162" s="1280"/>
      <c r="SI1162" s="1280"/>
      <c r="SJ1162" s="1280"/>
      <c r="SK1162" s="1280"/>
      <c r="SL1162" s="1280"/>
      <c r="SM1162" s="1280"/>
      <c r="SN1162" s="1280"/>
      <c r="SO1162" s="1280"/>
      <c r="SP1162" s="1280"/>
      <c r="SQ1162" s="1280"/>
      <c r="SR1162" s="1280"/>
      <c r="SS1162" s="1280"/>
      <c r="ST1162" s="1280"/>
      <c r="SU1162" s="1280"/>
      <c r="SV1162" s="1280"/>
      <c r="SW1162" s="1280"/>
      <c r="SX1162" s="1280"/>
      <c r="SY1162" s="1280"/>
      <c r="SZ1162" s="1280"/>
      <c r="TA1162" s="1280"/>
      <c r="TB1162" s="1280"/>
      <c r="TC1162" s="1280"/>
      <c r="TD1162" s="1280"/>
      <c r="TE1162" s="1280"/>
      <c r="TF1162" s="1280"/>
      <c r="TG1162" s="1280"/>
      <c r="TH1162" s="1280"/>
      <c r="TI1162" s="1280"/>
      <c r="TJ1162" s="1280"/>
      <c r="TK1162" s="1280"/>
      <c r="TL1162" s="1280"/>
      <c r="TM1162" s="1280"/>
      <c r="TN1162" s="1280"/>
      <c r="TO1162" s="1280"/>
      <c r="TP1162" s="1280"/>
      <c r="TQ1162" s="1280"/>
      <c r="TR1162" s="1280"/>
      <c r="TS1162" s="1280"/>
      <c r="TT1162" s="1280"/>
      <c r="TU1162" s="1280"/>
      <c r="TV1162" s="1280"/>
      <c r="TW1162" s="1280"/>
      <c r="TX1162" s="1280"/>
      <c r="TY1162" s="1280"/>
      <c r="TZ1162" s="1280"/>
      <c r="UA1162" s="1280"/>
      <c r="UB1162" s="1280"/>
      <c r="UC1162" s="1280"/>
      <c r="UD1162" s="1280"/>
      <c r="UE1162" s="1280"/>
      <c r="UF1162" s="1280"/>
      <c r="UG1162" s="1279"/>
    </row>
    <row r="1163" spans="1:553" s="1262" customFormat="1" ht="29.25" customHeight="1">
      <c r="A1163" s="771"/>
      <c r="B1163" s="772"/>
      <c r="C1163" s="1411" t="s">
        <v>1221</v>
      </c>
      <c r="D1163" s="1411" t="s">
        <v>1222</v>
      </c>
      <c r="E1163" s="1411" t="s">
        <v>1222</v>
      </c>
      <c r="F1163" s="1411" t="s">
        <v>1222</v>
      </c>
      <c r="G1163" s="773" t="s">
        <v>46</v>
      </c>
      <c r="H1163" s="408"/>
      <c r="I1163" s="1297">
        <f>(157.21*100/1100)*(12-(4-2))*3</f>
        <v>428.75454545454545</v>
      </c>
      <c r="J1163" s="521">
        <v>15400</v>
      </c>
      <c r="K1163" s="1077">
        <v>0.7</v>
      </c>
      <c r="L1163" s="594">
        <f>ROUND(PRODUCT(I1163:K1163),0)</f>
        <v>4621974</v>
      </c>
      <c r="M1163" s="356"/>
      <c r="N1163" s="356"/>
      <c r="O1163" s="356"/>
      <c r="P1163" s="356"/>
      <c r="Q1163" s="610"/>
      <c r="R1163" s="1226"/>
      <c r="S1163" s="308"/>
      <c r="T1163" s="308"/>
      <c r="U1163" s="308"/>
      <c r="V1163" s="308"/>
      <c r="W1163" s="308"/>
      <c r="X1163" s="308"/>
      <c r="Y1163" s="308"/>
      <c r="Z1163" s="604"/>
      <c r="AA1163" s="308"/>
      <c r="AB1163" s="308"/>
      <c r="AC1163" s="373"/>
      <c r="AD1163" s="373"/>
      <c r="AE1163" s="373"/>
      <c r="AF1163" s="373"/>
      <c r="AG1163" s="373"/>
      <c r="AH1163" s="373"/>
      <c r="AI1163" s="373"/>
      <c r="AJ1163" s="373"/>
      <c r="AK1163" s="389"/>
      <c r="AL1163" s="1276"/>
      <c r="AM1163" s="1276"/>
      <c r="AN1163" s="1276"/>
      <c r="AO1163" s="1276"/>
      <c r="AP1163" s="1276"/>
      <c r="AQ1163" s="1276"/>
      <c r="AR1163" s="1276"/>
      <c r="AS1163" s="1280"/>
      <c r="AT1163" s="1280"/>
      <c r="AU1163" s="1280"/>
      <c r="AV1163" s="1280"/>
      <c r="AW1163" s="1280"/>
      <c r="AX1163" s="1280"/>
      <c r="AY1163" s="1280"/>
      <c r="AZ1163" s="1280"/>
      <c r="BA1163" s="1280"/>
      <c r="BB1163" s="1280"/>
      <c r="BC1163" s="1280"/>
      <c r="BD1163" s="1280"/>
      <c r="BE1163" s="1280"/>
      <c r="BF1163" s="1280"/>
      <c r="BG1163" s="1280"/>
      <c r="BH1163" s="1280"/>
      <c r="BI1163" s="1280"/>
      <c r="BJ1163" s="1280"/>
      <c r="BK1163" s="1280"/>
      <c r="BL1163" s="1280"/>
      <c r="BM1163" s="1280"/>
      <c r="BN1163" s="1280"/>
      <c r="BO1163" s="1280"/>
      <c r="BP1163" s="1280"/>
      <c r="BQ1163" s="1280"/>
      <c r="BR1163" s="1280"/>
      <c r="BS1163" s="1280"/>
      <c r="BT1163" s="1280"/>
      <c r="BU1163" s="1280"/>
      <c r="BV1163" s="1280"/>
      <c r="BW1163" s="1280"/>
      <c r="BX1163" s="1280"/>
      <c r="BY1163" s="1280"/>
      <c r="BZ1163" s="1280"/>
      <c r="CA1163" s="1280"/>
      <c r="CB1163" s="1280"/>
      <c r="CC1163" s="1280"/>
      <c r="CD1163" s="1280"/>
      <c r="CE1163" s="1280"/>
      <c r="CF1163" s="1280"/>
      <c r="CG1163" s="1280"/>
      <c r="CH1163" s="1280"/>
      <c r="CI1163" s="1280"/>
      <c r="CJ1163" s="1280"/>
      <c r="CK1163" s="1280"/>
      <c r="CL1163" s="1280"/>
      <c r="CM1163" s="1280"/>
      <c r="CN1163" s="1280"/>
      <c r="CO1163" s="1280"/>
      <c r="CP1163" s="1280"/>
      <c r="CQ1163" s="1280"/>
      <c r="CR1163" s="1280"/>
      <c r="CS1163" s="1280"/>
      <c r="CT1163" s="1280"/>
      <c r="CU1163" s="1280"/>
      <c r="CV1163" s="1280"/>
      <c r="CW1163" s="1280"/>
      <c r="CX1163" s="1280"/>
      <c r="CY1163" s="1280"/>
      <c r="CZ1163" s="1280"/>
      <c r="DA1163" s="1280"/>
      <c r="DB1163" s="1280"/>
      <c r="DC1163" s="1280"/>
      <c r="DD1163" s="1280"/>
      <c r="DE1163" s="1280"/>
      <c r="DF1163" s="1280"/>
      <c r="DG1163" s="1280"/>
      <c r="DH1163" s="1280"/>
      <c r="DI1163" s="1280"/>
      <c r="DJ1163" s="1280"/>
      <c r="DK1163" s="1280"/>
      <c r="DL1163" s="1280"/>
      <c r="DM1163" s="1280"/>
      <c r="DN1163" s="1280"/>
      <c r="DO1163" s="1280"/>
      <c r="DP1163" s="1280"/>
      <c r="DQ1163" s="1280"/>
      <c r="DR1163" s="1280"/>
      <c r="DS1163" s="1280"/>
      <c r="DT1163" s="1280"/>
      <c r="DU1163" s="1280"/>
      <c r="DV1163" s="1280"/>
      <c r="DW1163" s="1280"/>
      <c r="DX1163" s="1280"/>
      <c r="DY1163" s="1280"/>
      <c r="DZ1163" s="1280"/>
      <c r="EA1163" s="1280"/>
      <c r="EB1163" s="1280"/>
      <c r="EC1163" s="1280"/>
      <c r="ED1163" s="1280"/>
      <c r="EE1163" s="1280"/>
      <c r="EF1163" s="1280"/>
      <c r="EG1163" s="1280"/>
      <c r="EH1163" s="1280"/>
      <c r="EI1163" s="1280"/>
      <c r="EJ1163" s="1280"/>
      <c r="EK1163" s="1280"/>
      <c r="EL1163" s="1280"/>
      <c r="EM1163" s="1280"/>
      <c r="EN1163" s="1280"/>
      <c r="EO1163" s="1280"/>
      <c r="EP1163" s="1280"/>
      <c r="EQ1163" s="1280"/>
      <c r="ER1163" s="1280"/>
      <c r="ES1163" s="1280"/>
      <c r="ET1163" s="1280"/>
      <c r="EU1163" s="1280"/>
      <c r="EV1163" s="1280"/>
      <c r="EW1163" s="1280"/>
      <c r="EX1163" s="1280"/>
      <c r="EY1163" s="1280"/>
      <c r="EZ1163" s="1280"/>
      <c r="FA1163" s="1280"/>
      <c r="FB1163" s="1280"/>
      <c r="FC1163" s="1280"/>
      <c r="FD1163" s="1280"/>
      <c r="FE1163" s="1280"/>
      <c r="FF1163" s="1280"/>
      <c r="FG1163" s="1280"/>
      <c r="FH1163" s="1280"/>
      <c r="FI1163" s="1280"/>
      <c r="FJ1163" s="1280"/>
      <c r="FK1163" s="1280"/>
      <c r="FL1163" s="1280"/>
      <c r="FM1163" s="1280"/>
      <c r="FN1163" s="1280"/>
      <c r="FO1163" s="1280"/>
      <c r="FP1163" s="1280"/>
      <c r="FQ1163" s="1280"/>
      <c r="FR1163" s="1280"/>
      <c r="FS1163" s="1280"/>
      <c r="FT1163" s="1280"/>
      <c r="FU1163" s="1280"/>
      <c r="FV1163" s="1280"/>
      <c r="FW1163" s="1280"/>
      <c r="FX1163" s="1280"/>
      <c r="FY1163" s="1280"/>
      <c r="FZ1163" s="1280"/>
      <c r="GA1163" s="1280"/>
      <c r="GB1163" s="1280"/>
      <c r="GC1163" s="1280"/>
      <c r="GD1163" s="1280"/>
      <c r="GE1163" s="1280"/>
      <c r="GF1163" s="1280"/>
      <c r="GG1163" s="1280"/>
      <c r="GH1163" s="1280"/>
      <c r="GI1163" s="1280"/>
      <c r="GJ1163" s="1280"/>
      <c r="GK1163" s="1280"/>
      <c r="GL1163" s="1280"/>
      <c r="GM1163" s="1280"/>
      <c r="GN1163" s="1280"/>
      <c r="GO1163" s="1280"/>
      <c r="GP1163" s="1280"/>
      <c r="GQ1163" s="1280"/>
      <c r="GR1163" s="1280"/>
      <c r="GS1163" s="1280"/>
      <c r="GT1163" s="1280"/>
      <c r="GU1163" s="1280"/>
      <c r="GV1163" s="1280"/>
      <c r="GW1163" s="1280"/>
      <c r="GX1163" s="1280"/>
      <c r="GY1163" s="1280"/>
      <c r="GZ1163" s="1280"/>
      <c r="HA1163" s="1280"/>
      <c r="HB1163" s="1280"/>
      <c r="HC1163" s="1280"/>
      <c r="HD1163" s="1280"/>
      <c r="HE1163" s="1280"/>
      <c r="HF1163" s="1280"/>
      <c r="HG1163" s="1280"/>
      <c r="HH1163" s="1280"/>
      <c r="HI1163" s="1280"/>
      <c r="HJ1163" s="1280"/>
      <c r="HK1163" s="1280"/>
      <c r="HL1163" s="1280"/>
      <c r="HM1163" s="1280"/>
      <c r="HN1163" s="1280"/>
      <c r="HO1163" s="1280"/>
      <c r="HP1163" s="1280"/>
      <c r="HQ1163" s="1280"/>
      <c r="HR1163" s="1280"/>
      <c r="HS1163" s="1280"/>
      <c r="HT1163" s="1280"/>
      <c r="HU1163" s="1280"/>
      <c r="HV1163" s="1280"/>
      <c r="HW1163" s="1280"/>
      <c r="HX1163" s="1280"/>
      <c r="HY1163" s="1280"/>
      <c r="HZ1163" s="1280"/>
      <c r="IA1163" s="1280"/>
      <c r="IB1163" s="1280"/>
      <c r="IC1163" s="1280"/>
      <c r="ID1163" s="1280"/>
      <c r="IE1163" s="1280"/>
      <c r="IF1163" s="1280"/>
      <c r="IG1163" s="1280"/>
      <c r="IH1163" s="1280"/>
      <c r="II1163" s="1280"/>
      <c r="IJ1163" s="1280"/>
      <c r="IK1163" s="1280"/>
      <c r="IL1163" s="1280"/>
      <c r="IM1163" s="1280"/>
      <c r="IN1163" s="1280"/>
      <c r="IO1163" s="1280"/>
      <c r="IP1163" s="1280"/>
      <c r="IQ1163" s="1280"/>
      <c r="IR1163" s="1280"/>
      <c r="IS1163" s="1280"/>
      <c r="IT1163" s="1280"/>
      <c r="IU1163" s="1280"/>
      <c r="IV1163" s="1280"/>
      <c r="IW1163" s="1280"/>
      <c r="IX1163" s="1280"/>
      <c r="IY1163" s="1280"/>
      <c r="IZ1163" s="1280"/>
      <c r="JA1163" s="1280"/>
      <c r="JB1163" s="1280"/>
      <c r="JC1163" s="1280"/>
      <c r="JD1163" s="1280"/>
      <c r="JE1163" s="1280"/>
      <c r="JF1163" s="1280"/>
      <c r="JG1163" s="1280"/>
      <c r="JH1163" s="1280"/>
      <c r="JI1163" s="1280"/>
      <c r="JJ1163" s="1280"/>
      <c r="JK1163" s="1280"/>
      <c r="JL1163" s="1280"/>
      <c r="JM1163" s="1280"/>
      <c r="JN1163" s="1280"/>
      <c r="JO1163" s="1280"/>
      <c r="JP1163" s="1280"/>
      <c r="JQ1163" s="1280"/>
      <c r="JR1163" s="1280"/>
      <c r="JS1163" s="1280"/>
      <c r="JT1163" s="1280"/>
      <c r="JU1163" s="1280"/>
      <c r="JV1163" s="1280"/>
      <c r="JW1163" s="1280"/>
      <c r="JX1163" s="1280"/>
      <c r="JY1163" s="1280"/>
      <c r="JZ1163" s="1280"/>
      <c r="KA1163" s="1280"/>
      <c r="KB1163" s="1280"/>
      <c r="KC1163" s="1280"/>
      <c r="KD1163" s="1280"/>
      <c r="KE1163" s="1280"/>
      <c r="KF1163" s="1280"/>
      <c r="KG1163" s="1280"/>
      <c r="KH1163" s="1280"/>
      <c r="KI1163" s="1280"/>
      <c r="KJ1163" s="1280"/>
      <c r="KK1163" s="1280"/>
      <c r="KL1163" s="1280"/>
      <c r="KM1163" s="1280"/>
      <c r="KN1163" s="1280"/>
      <c r="KO1163" s="1280"/>
      <c r="KP1163" s="1280"/>
      <c r="KQ1163" s="1280"/>
      <c r="KR1163" s="1280"/>
      <c r="KS1163" s="1280"/>
      <c r="KT1163" s="1280"/>
      <c r="KU1163" s="1280"/>
      <c r="KV1163" s="1280"/>
      <c r="KW1163" s="1280"/>
      <c r="KX1163" s="1280"/>
      <c r="KY1163" s="1280"/>
      <c r="KZ1163" s="1280"/>
      <c r="LA1163" s="1280"/>
      <c r="LB1163" s="1280"/>
      <c r="LC1163" s="1280"/>
      <c r="LD1163" s="1280"/>
      <c r="LE1163" s="1280"/>
      <c r="LF1163" s="1280"/>
      <c r="LG1163" s="1280"/>
      <c r="LH1163" s="1280"/>
      <c r="LI1163" s="1280"/>
      <c r="LJ1163" s="1280"/>
      <c r="LK1163" s="1280"/>
      <c r="LL1163" s="1280"/>
      <c r="LM1163" s="1280"/>
      <c r="LN1163" s="1280"/>
      <c r="LO1163" s="1280"/>
      <c r="LP1163" s="1280"/>
      <c r="LQ1163" s="1280"/>
      <c r="LR1163" s="1280"/>
      <c r="LS1163" s="1280"/>
      <c r="LT1163" s="1280"/>
      <c r="LU1163" s="1280"/>
      <c r="LV1163" s="1280"/>
      <c r="LW1163" s="1280"/>
      <c r="LX1163" s="1280"/>
      <c r="LY1163" s="1280"/>
      <c r="LZ1163" s="1280"/>
      <c r="MA1163" s="1280"/>
      <c r="MB1163" s="1280"/>
      <c r="MC1163" s="1280"/>
      <c r="MD1163" s="1280"/>
      <c r="ME1163" s="1280"/>
      <c r="MF1163" s="1280"/>
      <c r="MG1163" s="1280"/>
      <c r="MH1163" s="1280"/>
      <c r="MI1163" s="1280"/>
      <c r="MJ1163" s="1280"/>
      <c r="MK1163" s="1280"/>
      <c r="ML1163" s="1280"/>
      <c r="MM1163" s="1280"/>
      <c r="MN1163" s="1280"/>
      <c r="MO1163" s="1280"/>
      <c r="MP1163" s="1280"/>
      <c r="MQ1163" s="1280"/>
      <c r="MR1163" s="1280"/>
      <c r="MS1163" s="1280"/>
      <c r="MT1163" s="1280"/>
      <c r="MU1163" s="1280"/>
      <c r="MV1163" s="1280"/>
      <c r="MW1163" s="1280"/>
      <c r="MX1163" s="1280"/>
      <c r="MY1163" s="1280"/>
      <c r="MZ1163" s="1280"/>
      <c r="NA1163" s="1280"/>
      <c r="NB1163" s="1280"/>
      <c r="NC1163" s="1280"/>
      <c r="ND1163" s="1280"/>
      <c r="NE1163" s="1280"/>
      <c r="NF1163" s="1280"/>
      <c r="NG1163" s="1280"/>
      <c r="NH1163" s="1280"/>
      <c r="NI1163" s="1280"/>
      <c r="NJ1163" s="1280"/>
      <c r="NK1163" s="1280"/>
      <c r="NL1163" s="1280"/>
      <c r="NM1163" s="1280"/>
      <c r="NN1163" s="1280"/>
      <c r="NO1163" s="1280"/>
      <c r="NP1163" s="1280"/>
      <c r="NQ1163" s="1280"/>
      <c r="NR1163" s="1280"/>
      <c r="NS1163" s="1280"/>
      <c r="NT1163" s="1280"/>
      <c r="NU1163" s="1280"/>
      <c r="NV1163" s="1280"/>
      <c r="NW1163" s="1280"/>
      <c r="NX1163" s="1280"/>
      <c r="NY1163" s="1280"/>
      <c r="NZ1163" s="1280"/>
      <c r="OA1163" s="1280"/>
      <c r="OB1163" s="1280"/>
      <c r="OC1163" s="1280"/>
      <c r="OD1163" s="1280"/>
      <c r="OE1163" s="1280"/>
      <c r="OF1163" s="1280"/>
      <c r="OG1163" s="1280"/>
      <c r="OH1163" s="1280"/>
      <c r="OI1163" s="1280"/>
      <c r="OJ1163" s="1280"/>
      <c r="OK1163" s="1280"/>
      <c r="OL1163" s="1280"/>
      <c r="OM1163" s="1280"/>
      <c r="ON1163" s="1280"/>
      <c r="OO1163" s="1280"/>
      <c r="OP1163" s="1280"/>
      <c r="OQ1163" s="1280"/>
      <c r="OR1163" s="1280"/>
      <c r="OS1163" s="1280"/>
      <c r="OT1163" s="1280"/>
      <c r="OU1163" s="1280"/>
      <c r="OV1163" s="1280"/>
      <c r="OW1163" s="1280"/>
      <c r="OX1163" s="1280"/>
      <c r="OY1163" s="1280"/>
      <c r="OZ1163" s="1280"/>
      <c r="PA1163" s="1280"/>
      <c r="PB1163" s="1280"/>
      <c r="PC1163" s="1280"/>
      <c r="PD1163" s="1280"/>
      <c r="PE1163" s="1280"/>
      <c r="PF1163" s="1280"/>
      <c r="PG1163" s="1280"/>
      <c r="PH1163" s="1280"/>
      <c r="PI1163" s="1280"/>
      <c r="PJ1163" s="1280"/>
      <c r="PK1163" s="1280"/>
      <c r="PL1163" s="1280"/>
      <c r="PM1163" s="1280"/>
      <c r="PN1163" s="1280"/>
      <c r="PO1163" s="1280"/>
      <c r="PP1163" s="1280"/>
      <c r="PQ1163" s="1280"/>
      <c r="PR1163" s="1280"/>
      <c r="PS1163" s="1280"/>
      <c r="PT1163" s="1280"/>
      <c r="PU1163" s="1280"/>
      <c r="PV1163" s="1280"/>
      <c r="PW1163" s="1280"/>
      <c r="PX1163" s="1280"/>
      <c r="PY1163" s="1280"/>
      <c r="PZ1163" s="1280"/>
      <c r="QA1163" s="1280"/>
      <c r="QB1163" s="1280"/>
      <c r="QC1163" s="1280"/>
      <c r="QD1163" s="1280"/>
      <c r="QE1163" s="1280"/>
      <c r="QF1163" s="1280"/>
      <c r="QG1163" s="1280"/>
      <c r="QH1163" s="1280"/>
      <c r="QI1163" s="1280"/>
      <c r="QJ1163" s="1280"/>
      <c r="QK1163" s="1280"/>
      <c r="QL1163" s="1280"/>
      <c r="QM1163" s="1280"/>
      <c r="QN1163" s="1280"/>
      <c r="QO1163" s="1280"/>
      <c r="QP1163" s="1280"/>
      <c r="QQ1163" s="1280"/>
      <c r="QR1163" s="1280"/>
      <c r="QS1163" s="1280"/>
      <c r="QT1163" s="1280"/>
      <c r="QU1163" s="1280"/>
      <c r="QV1163" s="1280"/>
      <c r="QW1163" s="1280"/>
      <c r="QX1163" s="1280"/>
      <c r="QY1163" s="1280"/>
      <c r="QZ1163" s="1280"/>
      <c r="RA1163" s="1280"/>
      <c r="RB1163" s="1280"/>
      <c r="RC1163" s="1280"/>
      <c r="RD1163" s="1280"/>
      <c r="RE1163" s="1280"/>
      <c r="RF1163" s="1280"/>
      <c r="RG1163" s="1280"/>
      <c r="RH1163" s="1280"/>
      <c r="RI1163" s="1280"/>
      <c r="RJ1163" s="1280"/>
      <c r="RK1163" s="1280"/>
      <c r="RL1163" s="1280"/>
      <c r="RM1163" s="1280"/>
      <c r="RN1163" s="1280"/>
      <c r="RO1163" s="1280"/>
      <c r="RP1163" s="1280"/>
      <c r="RQ1163" s="1280"/>
      <c r="RR1163" s="1280"/>
      <c r="RS1163" s="1280"/>
      <c r="RT1163" s="1280"/>
      <c r="RU1163" s="1280"/>
      <c r="RV1163" s="1280"/>
      <c r="RW1163" s="1280"/>
      <c r="RX1163" s="1280"/>
      <c r="RY1163" s="1280"/>
      <c r="RZ1163" s="1280"/>
      <c r="SA1163" s="1280"/>
      <c r="SB1163" s="1280"/>
      <c r="SC1163" s="1280"/>
      <c r="SD1163" s="1280"/>
      <c r="SE1163" s="1280"/>
      <c r="SF1163" s="1280"/>
      <c r="SG1163" s="1280"/>
      <c r="SH1163" s="1280"/>
      <c r="SI1163" s="1280"/>
      <c r="SJ1163" s="1280"/>
      <c r="SK1163" s="1280"/>
      <c r="SL1163" s="1280"/>
      <c r="SM1163" s="1280"/>
      <c r="SN1163" s="1280"/>
      <c r="SO1163" s="1280"/>
      <c r="SP1163" s="1280"/>
      <c r="SQ1163" s="1280"/>
      <c r="SR1163" s="1280"/>
      <c r="SS1163" s="1280"/>
      <c r="ST1163" s="1280"/>
      <c r="SU1163" s="1280"/>
      <c r="SV1163" s="1280"/>
      <c r="SW1163" s="1280"/>
      <c r="SX1163" s="1280"/>
      <c r="SY1163" s="1280"/>
      <c r="SZ1163" s="1280"/>
      <c r="TA1163" s="1280"/>
      <c r="TB1163" s="1280"/>
      <c r="TC1163" s="1280"/>
      <c r="TD1163" s="1280"/>
      <c r="TE1163" s="1280"/>
      <c r="TF1163" s="1280"/>
      <c r="TG1163" s="1280"/>
      <c r="TH1163" s="1280"/>
      <c r="TI1163" s="1280"/>
      <c r="TJ1163" s="1280"/>
      <c r="TK1163" s="1280"/>
      <c r="TL1163" s="1280"/>
      <c r="TM1163" s="1280"/>
      <c r="TN1163" s="1280"/>
      <c r="TO1163" s="1280"/>
      <c r="TP1163" s="1280"/>
      <c r="TQ1163" s="1280"/>
      <c r="TR1163" s="1280"/>
      <c r="TS1163" s="1280"/>
      <c r="TT1163" s="1280"/>
      <c r="TU1163" s="1280"/>
      <c r="TV1163" s="1280"/>
      <c r="TW1163" s="1280"/>
      <c r="TX1163" s="1280"/>
      <c r="TY1163" s="1280"/>
      <c r="TZ1163" s="1280"/>
      <c r="UA1163" s="1280"/>
      <c r="UB1163" s="1280"/>
      <c r="UC1163" s="1280"/>
      <c r="UD1163" s="1280"/>
      <c r="UE1163" s="1280"/>
      <c r="UF1163" s="1280"/>
      <c r="UG1163" s="1279"/>
    </row>
    <row r="1164" spans="1:553" s="1262" customFormat="1" ht="29.25" customHeight="1">
      <c r="A1164" s="436"/>
      <c r="B1164" s="765"/>
      <c r="C1164" s="1411" t="s">
        <v>1223</v>
      </c>
      <c r="D1164" s="1411" t="s">
        <v>1223</v>
      </c>
      <c r="E1164" s="1411" t="s">
        <v>1223</v>
      </c>
      <c r="F1164" s="1411" t="s">
        <v>1223</v>
      </c>
      <c r="G1164" s="774" t="s">
        <v>196</v>
      </c>
      <c r="H1164" s="753"/>
      <c r="I1164" s="423">
        <f>(206.62*100/2000)*80</f>
        <v>826.48</v>
      </c>
      <c r="J1164" s="1243">
        <v>6200</v>
      </c>
      <c r="K1164" s="578"/>
      <c r="L1164" s="679">
        <f>ROUND(PRODUCT(I1164:K1164),0)</f>
        <v>5124176</v>
      </c>
      <c r="M1164" s="356"/>
      <c r="N1164" s="356"/>
      <c r="O1164" s="356"/>
      <c r="P1164" s="356"/>
      <c r="Q1164" s="610"/>
      <c r="R1164" s="1226"/>
      <c r="S1164" s="308"/>
      <c r="T1164" s="308"/>
      <c r="U1164" s="308"/>
      <c r="V1164" s="308"/>
      <c r="W1164" s="308"/>
      <c r="X1164" s="308"/>
      <c r="Y1164" s="308"/>
      <c r="Z1164" s="604"/>
      <c r="AA1164" s="308"/>
      <c r="AB1164" s="308"/>
      <c r="AC1164" s="373"/>
      <c r="AD1164" s="373"/>
      <c r="AE1164" s="373"/>
      <c r="AF1164" s="373"/>
      <c r="AG1164" s="373"/>
      <c r="AH1164" s="373"/>
      <c r="AI1164" s="373"/>
      <c r="AJ1164" s="373"/>
      <c r="AK1164" s="389"/>
      <c r="AL1164" s="1276"/>
      <c r="AM1164" s="1276"/>
      <c r="AN1164" s="1276"/>
      <c r="AO1164" s="1276"/>
      <c r="AP1164" s="1276"/>
      <c r="AQ1164" s="1276"/>
      <c r="AR1164" s="1276"/>
      <c r="AS1164" s="1280"/>
      <c r="AT1164" s="1280"/>
      <c r="AU1164" s="1280"/>
      <c r="AV1164" s="1280"/>
      <c r="AW1164" s="1280"/>
      <c r="AX1164" s="1280"/>
      <c r="AY1164" s="1280"/>
      <c r="AZ1164" s="1280"/>
      <c r="BA1164" s="1280"/>
      <c r="BB1164" s="1280"/>
      <c r="BC1164" s="1280"/>
      <c r="BD1164" s="1280"/>
      <c r="BE1164" s="1280"/>
      <c r="BF1164" s="1280"/>
      <c r="BG1164" s="1280"/>
      <c r="BH1164" s="1280"/>
      <c r="BI1164" s="1280"/>
      <c r="BJ1164" s="1280"/>
      <c r="BK1164" s="1280"/>
      <c r="BL1164" s="1280"/>
      <c r="BM1164" s="1280"/>
      <c r="BN1164" s="1280"/>
      <c r="BO1164" s="1280"/>
      <c r="BP1164" s="1280"/>
      <c r="BQ1164" s="1280"/>
      <c r="BR1164" s="1280"/>
      <c r="BS1164" s="1280"/>
      <c r="BT1164" s="1280"/>
      <c r="BU1164" s="1280"/>
      <c r="BV1164" s="1280"/>
      <c r="BW1164" s="1280"/>
      <c r="BX1164" s="1280"/>
      <c r="BY1164" s="1280"/>
      <c r="BZ1164" s="1280"/>
      <c r="CA1164" s="1280"/>
      <c r="CB1164" s="1280"/>
      <c r="CC1164" s="1280"/>
      <c r="CD1164" s="1280"/>
      <c r="CE1164" s="1280"/>
      <c r="CF1164" s="1280"/>
      <c r="CG1164" s="1280"/>
      <c r="CH1164" s="1280"/>
      <c r="CI1164" s="1280"/>
      <c r="CJ1164" s="1280"/>
      <c r="CK1164" s="1280"/>
      <c r="CL1164" s="1280"/>
      <c r="CM1164" s="1280"/>
      <c r="CN1164" s="1280"/>
      <c r="CO1164" s="1280"/>
      <c r="CP1164" s="1280"/>
      <c r="CQ1164" s="1280"/>
      <c r="CR1164" s="1280"/>
      <c r="CS1164" s="1280"/>
      <c r="CT1164" s="1280"/>
      <c r="CU1164" s="1280"/>
      <c r="CV1164" s="1280"/>
      <c r="CW1164" s="1280"/>
      <c r="CX1164" s="1280"/>
      <c r="CY1164" s="1280"/>
      <c r="CZ1164" s="1280"/>
      <c r="DA1164" s="1280"/>
      <c r="DB1164" s="1280"/>
      <c r="DC1164" s="1280"/>
      <c r="DD1164" s="1280"/>
      <c r="DE1164" s="1280"/>
      <c r="DF1164" s="1280"/>
      <c r="DG1164" s="1280"/>
      <c r="DH1164" s="1280"/>
      <c r="DI1164" s="1280"/>
      <c r="DJ1164" s="1280"/>
      <c r="DK1164" s="1280"/>
      <c r="DL1164" s="1280"/>
      <c r="DM1164" s="1280"/>
      <c r="DN1164" s="1280"/>
      <c r="DO1164" s="1280"/>
      <c r="DP1164" s="1280"/>
      <c r="DQ1164" s="1280"/>
      <c r="DR1164" s="1280"/>
      <c r="DS1164" s="1280"/>
      <c r="DT1164" s="1280"/>
      <c r="DU1164" s="1280"/>
      <c r="DV1164" s="1280"/>
      <c r="DW1164" s="1280"/>
      <c r="DX1164" s="1280"/>
      <c r="DY1164" s="1280"/>
      <c r="DZ1164" s="1280"/>
      <c r="EA1164" s="1280"/>
      <c r="EB1164" s="1280"/>
      <c r="EC1164" s="1280"/>
      <c r="ED1164" s="1280"/>
      <c r="EE1164" s="1280"/>
      <c r="EF1164" s="1280"/>
      <c r="EG1164" s="1280"/>
      <c r="EH1164" s="1280"/>
      <c r="EI1164" s="1280"/>
      <c r="EJ1164" s="1280"/>
      <c r="EK1164" s="1280"/>
      <c r="EL1164" s="1280"/>
      <c r="EM1164" s="1280"/>
      <c r="EN1164" s="1280"/>
      <c r="EO1164" s="1280"/>
      <c r="EP1164" s="1280"/>
      <c r="EQ1164" s="1280"/>
      <c r="ER1164" s="1280"/>
      <c r="ES1164" s="1280"/>
      <c r="ET1164" s="1280"/>
      <c r="EU1164" s="1280"/>
      <c r="EV1164" s="1280"/>
      <c r="EW1164" s="1280"/>
      <c r="EX1164" s="1280"/>
      <c r="EY1164" s="1280"/>
      <c r="EZ1164" s="1280"/>
      <c r="FA1164" s="1280"/>
      <c r="FB1164" s="1280"/>
      <c r="FC1164" s="1280"/>
      <c r="FD1164" s="1280"/>
      <c r="FE1164" s="1280"/>
      <c r="FF1164" s="1280"/>
      <c r="FG1164" s="1280"/>
      <c r="FH1164" s="1280"/>
      <c r="FI1164" s="1280"/>
      <c r="FJ1164" s="1280"/>
      <c r="FK1164" s="1280"/>
      <c r="FL1164" s="1280"/>
      <c r="FM1164" s="1280"/>
      <c r="FN1164" s="1280"/>
      <c r="FO1164" s="1280"/>
      <c r="FP1164" s="1280"/>
      <c r="FQ1164" s="1280"/>
      <c r="FR1164" s="1280"/>
      <c r="FS1164" s="1280"/>
      <c r="FT1164" s="1280"/>
      <c r="FU1164" s="1280"/>
      <c r="FV1164" s="1280"/>
      <c r="FW1164" s="1280"/>
      <c r="FX1164" s="1280"/>
      <c r="FY1164" s="1280"/>
      <c r="FZ1164" s="1280"/>
      <c r="GA1164" s="1280"/>
      <c r="GB1164" s="1280"/>
      <c r="GC1164" s="1280"/>
      <c r="GD1164" s="1280"/>
      <c r="GE1164" s="1280"/>
      <c r="GF1164" s="1280"/>
      <c r="GG1164" s="1280"/>
      <c r="GH1164" s="1280"/>
      <c r="GI1164" s="1280"/>
      <c r="GJ1164" s="1280"/>
      <c r="GK1164" s="1280"/>
      <c r="GL1164" s="1280"/>
      <c r="GM1164" s="1280"/>
      <c r="GN1164" s="1280"/>
      <c r="GO1164" s="1280"/>
      <c r="GP1164" s="1280"/>
      <c r="GQ1164" s="1280"/>
      <c r="GR1164" s="1280"/>
      <c r="GS1164" s="1280"/>
      <c r="GT1164" s="1280"/>
      <c r="GU1164" s="1280"/>
      <c r="GV1164" s="1280"/>
      <c r="GW1164" s="1280"/>
      <c r="GX1164" s="1280"/>
      <c r="GY1164" s="1280"/>
      <c r="GZ1164" s="1280"/>
      <c r="HA1164" s="1280"/>
      <c r="HB1164" s="1280"/>
      <c r="HC1164" s="1280"/>
      <c r="HD1164" s="1280"/>
      <c r="HE1164" s="1280"/>
      <c r="HF1164" s="1280"/>
      <c r="HG1164" s="1280"/>
      <c r="HH1164" s="1280"/>
      <c r="HI1164" s="1280"/>
      <c r="HJ1164" s="1280"/>
      <c r="HK1164" s="1280"/>
      <c r="HL1164" s="1280"/>
      <c r="HM1164" s="1280"/>
      <c r="HN1164" s="1280"/>
      <c r="HO1164" s="1280"/>
      <c r="HP1164" s="1280"/>
      <c r="HQ1164" s="1280"/>
      <c r="HR1164" s="1280"/>
      <c r="HS1164" s="1280"/>
      <c r="HT1164" s="1280"/>
      <c r="HU1164" s="1280"/>
      <c r="HV1164" s="1280"/>
      <c r="HW1164" s="1280"/>
      <c r="HX1164" s="1280"/>
      <c r="HY1164" s="1280"/>
      <c r="HZ1164" s="1280"/>
      <c r="IA1164" s="1280"/>
      <c r="IB1164" s="1280"/>
      <c r="IC1164" s="1280"/>
      <c r="ID1164" s="1280"/>
      <c r="IE1164" s="1280"/>
      <c r="IF1164" s="1280"/>
      <c r="IG1164" s="1280"/>
      <c r="IH1164" s="1280"/>
      <c r="II1164" s="1280"/>
      <c r="IJ1164" s="1280"/>
      <c r="IK1164" s="1280"/>
      <c r="IL1164" s="1280"/>
      <c r="IM1164" s="1280"/>
      <c r="IN1164" s="1280"/>
      <c r="IO1164" s="1280"/>
      <c r="IP1164" s="1280"/>
      <c r="IQ1164" s="1280"/>
      <c r="IR1164" s="1280"/>
      <c r="IS1164" s="1280"/>
      <c r="IT1164" s="1280"/>
      <c r="IU1164" s="1280"/>
      <c r="IV1164" s="1280"/>
      <c r="IW1164" s="1280"/>
      <c r="IX1164" s="1280"/>
      <c r="IY1164" s="1280"/>
      <c r="IZ1164" s="1280"/>
      <c r="JA1164" s="1280"/>
      <c r="JB1164" s="1280"/>
      <c r="JC1164" s="1280"/>
      <c r="JD1164" s="1280"/>
      <c r="JE1164" s="1280"/>
      <c r="JF1164" s="1280"/>
      <c r="JG1164" s="1280"/>
      <c r="JH1164" s="1280"/>
      <c r="JI1164" s="1280"/>
      <c r="JJ1164" s="1280"/>
      <c r="JK1164" s="1280"/>
      <c r="JL1164" s="1280"/>
      <c r="JM1164" s="1280"/>
      <c r="JN1164" s="1280"/>
      <c r="JO1164" s="1280"/>
      <c r="JP1164" s="1280"/>
      <c r="JQ1164" s="1280"/>
      <c r="JR1164" s="1280"/>
      <c r="JS1164" s="1280"/>
      <c r="JT1164" s="1280"/>
      <c r="JU1164" s="1280"/>
      <c r="JV1164" s="1280"/>
      <c r="JW1164" s="1280"/>
      <c r="JX1164" s="1280"/>
      <c r="JY1164" s="1280"/>
      <c r="JZ1164" s="1280"/>
      <c r="KA1164" s="1280"/>
      <c r="KB1164" s="1280"/>
      <c r="KC1164" s="1280"/>
      <c r="KD1164" s="1280"/>
      <c r="KE1164" s="1280"/>
      <c r="KF1164" s="1280"/>
      <c r="KG1164" s="1280"/>
      <c r="KH1164" s="1280"/>
      <c r="KI1164" s="1280"/>
      <c r="KJ1164" s="1280"/>
      <c r="KK1164" s="1280"/>
      <c r="KL1164" s="1280"/>
      <c r="KM1164" s="1280"/>
      <c r="KN1164" s="1280"/>
      <c r="KO1164" s="1280"/>
      <c r="KP1164" s="1280"/>
      <c r="KQ1164" s="1280"/>
      <c r="KR1164" s="1280"/>
      <c r="KS1164" s="1280"/>
      <c r="KT1164" s="1280"/>
      <c r="KU1164" s="1280"/>
      <c r="KV1164" s="1280"/>
      <c r="KW1164" s="1280"/>
      <c r="KX1164" s="1280"/>
      <c r="KY1164" s="1280"/>
      <c r="KZ1164" s="1280"/>
      <c r="LA1164" s="1280"/>
      <c r="LB1164" s="1280"/>
      <c r="LC1164" s="1280"/>
      <c r="LD1164" s="1280"/>
      <c r="LE1164" s="1280"/>
      <c r="LF1164" s="1280"/>
      <c r="LG1164" s="1280"/>
      <c r="LH1164" s="1280"/>
      <c r="LI1164" s="1280"/>
      <c r="LJ1164" s="1280"/>
      <c r="LK1164" s="1280"/>
      <c r="LL1164" s="1280"/>
      <c r="LM1164" s="1280"/>
      <c r="LN1164" s="1280"/>
      <c r="LO1164" s="1280"/>
      <c r="LP1164" s="1280"/>
      <c r="LQ1164" s="1280"/>
      <c r="LR1164" s="1280"/>
      <c r="LS1164" s="1280"/>
      <c r="LT1164" s="1280"/>
      <c r="LU1164" s="1280"/>
      <c r="LV1164" s="1280"/>
      <c r="LW1164" s="1280"/>
      <c r="LX1164" s="1280"/>
      <c r="LY1164" s="1280"/>
      <c r="LZ1164" s="1280"/>
      <c r="MA1164" s="1280"/>
      <c r="MB1164" s="1280"/>
      <c r="MC1164" s="1280"/>
      <c r="MD1164" s="1280"/>
      <c r="ME1164" s="1280"/>
      <c r="MF1164" s="1280"/>
      <c r="MG1164" s="1280"/>
      <c r="MH1164" s="1280"/>
      <c r="MI1164" s="1280"/>
      <c r="MJ1164" s="1280"/>
      <c r="MK1164" s="1280"/>
      <c r="ML1164" s="1280"/>
      <c r="MM1164" s="1280"/>
      <c r="MN1164" s="1280"/>
      <c r="MO1164" s="1280"/>
      <c r="MP1164" s="1280"/>
      <c r="MQ1164" s="1280"/>
      <c r="MR1164" s="1280"/>
      <c r="MS1164" s="1280"/>
      <c r="MT1164" s="1280"/>
      <c r="MU1164" s="1280"/>
      <c r="MV1164" s="1280"/>
      <c r="MW1164" s="1280"/>
      <c r="MX1164" s="1280"/>
      <c r="MY1164" s="1280"/>
      <c r="MZ1164" s="1280"/>
      <c r="NA1164" s="1280"/>
      <c r="NB1164" s="1280"/>
      <c r="NC1164" s="1280"/>
      <c r="ND1164" s="1280"/>
      <c r="NE1164" s="1280"/>
      <c r="NF1164" s="1280"/>
      <c r="NG1164" s="1280"/>
      <c r="NH1164" s="1280"/>
      <c r="NI1164" s="1280"/>
      <c r="NJ1164" s="1280"/>
      <c r="NK1164" s="1280"/>
      <c r="NL1164" s="1280"/>
      <c r="NM1164" s="1280"/>
      <c r="NN1164" s="1280"/>
      <c r="NO1164" s="1280"/>
      <c r="NP1164" s="1280"/>
      <c r="NQ1164" s="1280"/>
      <c r="NR1164" s="1280"/>
      <c r="NS1164" s="1280"/>
      <c r="NT1164" s="1280"/>
      <c r="NU1164" s="1280"/>
      <c r="NV1164" s="1280"/>
      <c r="NW1164" s="1280"/>
      <c r="NX1164" s="1280"/>
      <c r="NY1164" s="1280"/>
      <c r="NZ1164" s="1280"/>
      <c r="OA1164" s="1280"/>
      <c r="OB1164" s="1280"/>
      <c r="OC1164" s="1280"/>
      <c r="OD1164" s="1280"/>
      <c r="OE1164" s="1280"/>
      <c r="OF1164" s="1280"/>
      <c r="OG1164" s="1280"/>
      <c r="OH1164" s="1280"/>
      <c r="OI1164" s="1280"/>
      <c r="OJ1164" s="1280"/>
      <c r="OK1164" s="1280"/>
      <c r="OL1164" s="1280"/>
      <c r="OM1164" s="1280"/>
      <c r="ON1164" s="1280"/>
      <c r="OO1164" s="1280"/>
      <c r="OP1164" s="1280"/>
      <c r="OQ1164" s="1280"/>
      <c r="OR1164" s="1280"/>
      <c r="OS1164" s="1280"/>
      <c r="OT1164" s="1280"/>
      <c r="OU1164" s="1280"/>
      <c r="OV1164" s="1280"/>
      <c r="OW1164" s="1280"/>
      <c r="OX1164" s="1280"/>
      <c r="OY1164" s="1280"/>
      <c r="OZ1164" s="1280"/>
      <c r="PA1164" s="1280"/>
      <c r="PB1164" s="1280"/>
      <c r="PC1164" s="1280"/>
      <c r="PD1164" s="1280"/>
      <c r="PE1164" s="1280"/>
      <c r="PF1164" s="1280"/>
      <c r="PG1164" s="1280"/>
      <c r="PH1164" s="1280"/>
      <c r="PI1164" s="1280"/>
      <c r="PJ1164" s="1280"/>
      <c r="PK1164" s="1280"/>
      <c r="PL1164" s="1280"/>
      <c r="PM1164" s="1280"/>
      <c r="PN1164" s="1280"/>
      <c r="PO1164" s="1280"/>
      <c r="PP1164" s="1280"/>
      <c r="PQ1164" s="1280"/>
      <c r="PR1164" s="1280"/>
      <c r="PS1164" s="1280"/>
      <c r="PT1164" s="1280"/>
      <c r="PU1164" s="1280"/>
      <c r="PV1164" s="1280"/>
      <c r="PW1164" s="1280"/>
      <c r="PX1164" s="1280"/>
      <c r="PY1164" s="1280"/>
      <c r="PZ1164" s="1280"/>
      <c r="QA1164" s="1280"/>
      <c r="QB1164" s="1280"/>
      <c r="QC1164" s="1280"/>
      <c r="QD1164" s="1280"/>
      <c r="QE1164" s="1280"/>
      <c r="QF1164" s="1280"/>
      <c r="QG1164" s="1280"/>
      <c r="QH1164" s="1280"/>
      <c r="QI1164" s="1280"/>
      <c r="QJ1164" s="1280"/>
      <c r="QK1164" s="1280"/>
      <c r="QL1164" s="1280"/>
      <c r="QM1164" s="1280"/>
      <c r="QN1164" s="1280"/>
      <c r="QO1164" s="1280"/>
      <c r="QP1164" s="1280"/>
      <c r="QQ1164" s="1280"/>
      <c r="QR1164" s="1280"/>
      <c r="QS1164" s="1280"/>
      <c r="QT1164" s="1280"/>
      <c r="QU1164" s="1280"/>
      <c r="QV1164" s="1280"/>
      <c r="QW1164" s="1280"/>
      <c r="QX1164" s="1280"/>
      <c r="QY1164" s="1280"/>
      <c r="QZ1164" s="1280"/>
      <c r="RA1164" s="1280"/>
      <c r="RB1164" s="1280"/>
      <c r="RC1164" s="1280"/>
      <c r="RD1164" s="1280"/>
      <c r="RE1164" s="1280"/>
      <c r="RF1164" s="1280"/>
      <c r="RG1164" s="1280"/>
      <c r="RH1164" s="1280"/>
      <c r="RI1164" s="1280"/>
      <c r="RJ1164" s="1280"/>
      <c r="RK1164" s="1280"/>
      <c r="RL1164" s="1280"/>
      <c r="RM1164" s="1280"/>
      <c r="RN1164" s="1280"/>
      <c r="RO1164" s="1280"/>
      <c r="RP1164" s="1280"/>
      <c r="RQ1164" s="1280"/>
      <c r="RR1164" s="1280"/>
      <c r="RS1164" s="1280"/>
      <c r="RT1164" s="1280"/>
      <c r="RU1164" s="1280"/>
      <c r="RV1164" s="1280"/>
      <c r="RW1164" s="1280"/>
      <c r="RX1164" s="1280"/>
      <c r="RY1164" s="1280"/>
      <c r="RZ1164" s="1280"/>
      <c r="SA1164" s="1280"/>
      <c r="SB1164" s="1280"/>
      <c r="SC1164" s="1280"/>
      <c r="SD1164" s="1280"/>
      <c r="SE1164" s="1280"/>
      <c r="SF1164" s="1280"/>
      <c r="SG1164" s="1280"/>
      <c r="SH1164" s="1280"/>
      <c r="SI1164" s="1280"/>
      <c r="SJ1164" s="1280"/>
      <c r="SK1164" s="1280"/>
      <c r="SL1164" s="1280"/>
      <c r="SM1164" s="1280"/>
      <c r="SN1164" s="1280"/>
      <c r="SO1164" s="1280"/>
      <c r="SP1164" s="1280"/>
      <c r="SQ1164" s="1280"/>
      <c r="SR1164" s="1280"/>
      <c r="SS1164" s="1280"/>
      <c r="ST1164" s="1280"/>
      <c r="SU1164" s="1280"/>
      <c r="SV1164" s="1280"/>
      <c r="SW1164" s="1280"/>
      <c r="SX1164" s="1280"/>
      <c r="SY1164" s="1280"/>
      <c r="SZ1164" s="1280"/>
      <c r="TA1164" s="1280"/>
      <c r="TB1164" s="1280"/>
      <c r="TC1164" s="1280"/>
      <c r="TD1164" s="1280"/>
      <c r="TE1164" s="1280"/>
      <c r="TF1164" s="1280"/>
      <c r="TG1164" s="1280"/>
      <c r="TH1164" s="1280"/>
      <c r="TI1164" s="1280"/>
      <c r="TJ1164" s="1280"/>
      <c r="TK1164" s="1280"/>
      <c r="TL1164" s="1280"/>
      <c r="TM1164" s="1280"/>
      <c r="TN1164" s="1280"/>
      <c r="TO1164" s="1280"/>
      <c r="TP1164" s="1280"/>
      <c r="TQ1164" s="1280"/>
      <c r="TR1164" s="1280"/>
      <c r="TS1164" s="1280"/>
      <c r="TT1164" s="1280"/>
      <c r="TU1164" s="1280"/>
      <c r="TV1164" s="1280"/>
      <c r="TW1164" s="1280"/>
      <c r="TX1164" s="1280"/>
      <c r="TY1164" s="1280"/>
      <c r="TZ1164" s="1280"/>
      <c r="UA1164" s="1280"/>
      <c r="UB1164" s="1280"/>
      <c r="UC1164" s="1280"/>
      <c r="UD1164" s="1280"/>
      <c r="UE1164" s="1280"/>
      <c r="UF1164" s="1280"/>
      <c r="UG1164" s="1279"/>
    </row>
    <row r="1165" spans="1:553" s="1262" customFormat="1" ht="29.25" customHeight="1">
      <c r="A1165" s="653"/>
      <c r="B1165" s="759"/>
      <c r="C1165" s="1411" t="s">
        <v>1224</v>
      </c>
      <c r="D1165" s="1411" t="s">
        <v>1225</v>
      </c>
      <c r="E1165" s="1411" t="s">
        <v>1225</v>
      </c>
      <c r="F1165" s="1411" t="s">
        <v>1225</v>
      </c>
      <c r="G1165" s="762" t="s">
        <v>46</v>
      </c>
      <c r="H1165" s="758"/>
      <c r="I1165" s="1078">
        <f>(161.02*100/400)*(12-(4-3))*6</f>
        <v>2656.83</v>
      </c>
      <c r="J1165" s="368">
        <v>10600</v>
      </c>
      <c r="K1165" s="565">
        <v>0.7</v>
      </c>
      <c r="L1165" s="571">
        <f>I1165*J1165*K1165</f>
        <v>19713678.599999998</v>
      </c>
      <c r="M1165" s="356"/>
      <c r="N1165" s="356"/>
      <c r="O1165" s="356"/>
      <c r="P1165" s="356"/>
      <c r="Q1165" s="610"/>
      <c r="R1165" s="1226"/>
      <c r="S1165" s="308"/>
      <c r="T1165" s="308"/>
      <c r="U1165" s="308"/>
      <c r="V1165" s="308"/>
      <c r="W1165" s="308"/>
      <c r="X1165" s="308"/>
      <c r="Y1165" s="308"/>
      <c r="Z1165" s="604"/>
      <c r="AA1165" s="308"/>
      <c r="AB1165" s="308"/>
      <c r="AC1165" s="373"/>
      <c r="AD1165" s="373"/>
      <c r="AE1165" s="373"/>
      <c r="AF1165" s="373"/>
      <c r="AG1165" s="373"/>
      <c r="AH1165" s="373"/>
      <c r="AI1165" s="373"/>
      <c r="AJ1165" s="373"/>
      <c r="AK1165" s="389"/>
      <c r="AL1165" s="1276"/>
      <c r="AM1165" s="1276"/>
      <c r="AN1165" s="1276"/>
      <c r="AO1165" s="1276"/>
      <c r="AP1165" s="1276"/>
      <c r="AQ1165" s="1276"/>
      <c r="AR1165" s="1276"/>
      <c r="AS1165" s="1280"/>
      <c r="AT1165" s="1280"/>
      <c r="AU1165" s="1280"/>
      <c r="AV1165" s="1280"/>
      <c r="AW1165" s="1280"/>
      <c r="AX1165" s="1280"/>
      <c r="AY1165" s="1280"/>
      <c r="AZ1165" s="1280"/>
      <c r="BA1165" s="1280"/>
      <c r="BB1165" s="1280"/>
      <c r="BC1165" s="1280"/>
      <c r="BD1165" s="1280"/>
      <c r="BE1165" s="1280"/>
      <c r="BF1165" s="1280"/>
      <c r="BG1165" s="1280"/>
      <c r="BH1165" s="1280"/>
      <c r="BI1165" s="1280"/>
      <c r="BJ1165" s="1280"/>
      <c r="BK1165" s="1280"/>
      <c r="BL1165" s="1280"/>
      <c r="BM1165" s="1280"/>
      <c r="BN1165" s="1280"/>
      <c r="BO1165" s="1280"/>
      <c r="BP1165" s="1280"/>
      <c r="BQ1165" s="1280"/>
      <c r="BR1165" s="1280"/>
      <c r="BS1165" s="1280"/>
      <c r="BT1165" s="1280"/>
      <c r="BU1165" s="1280"/>
      <c r="BV1165" s="1280"/>
      <c r="BW1165" s="1280"/>
      <c r="BX1165" s="1280"/>
      <c r="BY1165" s="1280"/>
      <c r="BZ1165" s="1280"/>
      <c r="CA1165" s="1280"/>
      <c r="CB1165" s="1280"/>
      <c r="CC1165" s="1280"/>
      <c r="CD1165" s="1280"/>
      <c r="CE1165" s="1280"/>
      <c r="CF1165" s="1280"/>
      <c r="CG1165" s="1280"/>
      <c r="CH1165" s="1280"/>
      <c r="CI1165" s="1280"/>
      <c r="CJ1165" s="1280"/>
      <c r="CK1165" s="1280"/>
      <c r="CL1165" s="1280"/>
      <c r="CM1165" s="1280"/>
      <c r="CN1165" s="1280"/>
      <c r="CO1165" s="1280"/>
      <c r="CP1165" s="1280"/>
      <c r="CQ1165" s="1280"/>
      <c r="CR1165" s="1280"/>
      <c r="CS1165" s="1280"/>
      <c r="CT1165" s="1280"/>
      <c r="CU1165" s="1280"/>
      <c r="CV1165" s="1280"/>
      <c r="CW1165" s="1280"/>
      <c r="CX1165" s="1280"/>
      <c r="CY1165" s="1280"/>
      <c r="CZ1165" s="1280"/>
      <c r="DA1165" s="1280"/>
      <c r="DB1165" s="1280"/>
      <c r="DC1165" s="1280"/>
      <c r="DD1165" s="1280"/>
      <c r="DE1165" s="1280"/>
      <c r="DF1165" s="1280"/>
      <c r="DG1165" s="1280"/>
      <c r="DH1165" s="1280"/>
      <c r="DI1165" s="1280"/>
      <c r="DJ1165" s="1280"/>
      <c r="DK1165" s="1280"/>
      <c r="DL1165" s="1280"/>
      <c r="DM1165" s="1280"/>
      <c r="DN1165" s="1280"/>
      <c r="DO1165" s="1280"/>
      <c r="DP1165" s="1280"/>
      <c r="DQ1165" s="1280"/>
      <c r="DR1165" s="1280"/>
      <c r="DS1165" s="1280"/>
      <c r="DT1165" s="1280"/>
      <c r="DU1165" s="1280"/>
      <c r="DV1165" s="1280"/>
      <c r="DW1165" s="1280"/>
      <c r="DX1165" s="1280"/>
      <c r="DY1165" s="1280"/>
      <c r="DZ1165" s="1280"/>
      <c r="EA1165" s="1280"/>
      <c r="EB1165" s="1280"/>
      <c r="EC1165" s="1280"/>
      <c r="ED1165" s="1280"/>
      <c r="EE1165" s="1280"/>
      <c r="EF1165" s="1280"/>
      <c r="EG1165" s="1280"/>
      <c r="EH1165" s="1280"/>
      <c r="EI1165" s="1280"/>
      <c r="EJ1165" s="1280"/>
      <c r="EK1165" s="1280"/>
      <c r="EL1165" s="1280"/>
      <c r="EM1165" s="1280"/>
      <c r="EN1165" s="1280"/>
      <c r="EO1165" s="1280"/>
      <c r="EP1165" s="1280"/>
      <c r="EQ1165" s="1280"/>
      <c r="ER1165" s="1280"/>
      <c r="ES1165" s="1280"/>
      <c r="ET1165" s="1280"/>
      <c r="EU1165" s="1280"/>
      <c r="EV1165" s="1280"/>
      <c r="EW1165" s="1280"/>
      <c r="EX1165" s="1280"/>
      <c r="EY1165" s="1280"/>
      <c r="EZ1165" s="1280"/>
      <c r="FA1165" s="1280"/>
      <c r="FB1165" s="1280"/>
      <c r="FC1165" s="1280"/>
      <c r="FD1165" s="1280"/>
      <c r="FE1165" s="1280"/>
      <c r="FF1165" s="1280"/>
      <c r="FG1165" s="1280"/>
      <c r="FH1165" s="1280"/>
      <c r="FI1165" s="1280"/>
      <c r="FJ1165" s="1280"/>
      <c r="FK1165" s="1280"/>
      <c r="FL1165" s="1280"/>
      <c r="FM1165" s="1280"/>
      <c r="FN1165" s="1280"/>
      <c r="FO1165" s="1280"/>
      <c r="FP1165" s="1280"/>
      <c r="FQ1165" s="1280"/>
      <c r="FR1165" s="1280"/>
      <c r="FS1165" s="1280"/>
      <c r="FT1165" s="1280"/>
      <c r="FU1165" s="1280"/>
      <c r="FV1165" s="1280"/>
      <c r="FW1165" s="1280"/>
      <c r="FX1165" s="1280"/>
      <c r="FY1165" s="1280"/>
      <c r="FZ1165" s="1280"/>
      <c r="GA1165" s="1280"/>
      <c r="GB1165" s="1280"/>
      <c r="GC1165" s="1280"/>
      <c r="GD1165" s="1280"/>
      <c r="GE1165" s="1280"/>
      <c r="GF1165" s="1280"/>
      <c r="GG1165" s="1280"/>
      <c r="GH1165" s="1280"/>
      <c r="GI1165" s="1280"/>
      <c r="GJ1165" s="1280"/>
      <c r="GK1165" s="1280"/>
      <c r="GL1165" s="1280"/>
      <c r="GM1165" s="1280"/>
      <c r="GN1165" s="1280"/>
      <c r="GO1165" s="1280"/>
      <c r="GP1165" s="1280"/>
      <c r="GQ1165" s="1280"/>
      <c r="GR1165" s="1280"/>
      <c r="GS1165" s="1280"/>
      <c r="GT1165" s="1280"/>
      <c r="GU1165" s="1280"/>
      <c r="GV1165" s="1280"/>
      <c r="GW1165" s="1280"/>
      <c r="GX1165" s="1280"/>
      <c r="GY1165" s="1280"/>
      <c r="GZ1165" s="1280"/>
      <c r="HA1165" s="1280"/>
      <c r="HB1165" s="1280"/>
      <c r="HC1165" s="1280"/>
      <c r="HD1165" s="1280"/>
      <c r="HE1165" s="1280"/>
      <c r="HF1165" s="1280"/>
      <c r="HG1165" s="1280"/>
      <c r="HH1165" s="1280"/>
      <c r="HI1165" s="1280"/>
      <c r="HJ1165" s="1280"/>
      <c r="HK1165" s="1280"/>
      <c r="HL1165" s="1280"/>
      <c r="HM1165" s="1280"/>
      <c r="HN1165" s="1280"/>
      <c r="HO1165" s="1280"/>
      <c r="HP1165" s="1280"/>
      <c r="HQ1165" s="1280"/>
      <c r="HR1165" s="1280"/>
      <c r="HS1165" s="1280"/>
      <c r="HT1165" s="1280"/>
      <c r="HU1165" s="1280"/>
      <c r="HV1165" s="1280"/>
      <c r="HW1165" s="1280"/>
      <c r="HX1165" s="1280"/>
      <c r="HY1165" s="1280"/>
      <c r="HZ1165" s="1280"/>
      <c r="IA1165" s="1280"/>
      <c r="IB1165" s="1280"/>
      <c r="IC1165" s="1280"/>
      <c r="ID1165" s="1280"/>
      <c r="IE1165" s="1280"/>
      <c r="IF1165" s="1280"/>
      <c r="IG1165" s="1280"/>
      <c r="IH1165" s="1280"/>
      <c r="II1165" s="1280"/>
      <c r="IJ1165" s="1280"/>
      <c r="IK1165" s="1280"/>
      <c r="IL1165" s="1280"/>
      <c r="IM1165" s="1280"/>
      <c r="IN1165" s="1280"/>
      <c r="IO1165" s="1280"/>
      <c r="IP1165" s="1280"/>
      <c r="IQ1165" s="1280"/>
      <c r="IR1165" s="1280"/>
      <c r="IS1165" s="1280"/>
      <c r="IT1165" s="1280"/>
      <c r="IU1165" s="1280"/>
      <c r="IV1165" s="1280"/>
      <c r="IW1165" s="1280"/>
      <c r="IX1165" s="1280"/>
      <c r="IY1165" s="1280"/>
      <c r="IZ1165" s="1280"/>
      <c r="JA1165" s="1280"/>
      <c r="JB1165" s="1280"/>
      <c r="JC1165" s="1280"/>
      <c r="JD1165" s="1280"/>
      <c r="JE1165" s="1280"/>
      <c r="JF1165" s="1280"/>
      <c r="JG1165" s="1280"/>
      <c r="JH1165" s="1280"/>
      <c r="JI1165" s="1280"/>
      <c r="JJ1165" s="1280"/>
      <c r="JK1165" s="1280"/>
      <c r="JL1165" s="1280"/>
      <c r="JM1165" s="1280"/>
      <c r="JN1165" s="1280"/>
      <c r="JO1165" s="1280"/>
      <c r="JP1165" s="1280"/>
      <c r="JQ1165" s="1280"/>
      <c r="JR1165" s="1280"/>
      <c r="JS1165" s="1280"/>
      <c r="JT1165" s="1280"/>
      <c r="JU1165" s="1280"/>
      <c r="JV1165" s="1280"/>
      <c r="JW1165" s="1280"/>
      <c r="JX1165" s="1280"/>
      <c r="JY1165" s="1280"/>
      <c r="JZ1165" s="1280"/>
      <c r="KA1165" s="1280"/>
      <c r="KB1165" s="1280"/>
      <c r="KC1165" s="1280"/>
      <c r="KD1165" s="1280"/>
      <c r="KE1165" s="1280"/>
      <c r="KF1165" s="1280"/>
      <c r="KG1165" s="1280"/>
      <c r="KH1165" s="1280"/>
      <c r="KI1165" s="1280"/>
      <c r="KJ1165" s="1280"/>
      <c r="KK1165" s="1280"/>
      <c r="KL1165" s="1280"/>
      <c r="KM1165" s="1280"/>
      <c r="KN1165" s="1280"/>
      <c r="KO1165" s="1280"/>
      <c r="KP1165" s="1280"/>
      <c r="KQ1165" s="1280"/>
      <c r="KR1165" s="1280"/>
      <c r="KS1165" s="1280"/>
      <c r="KT1165" s="1280"/>
      <c r="KU1165" s="1280"/>
      <c r="KV1165" s="1280"/>
      <c r="KW1165" s="1280"/>
      <c r="KX1165" s="1280"/>
      <c r="KY1165" s="1280"/>
      <c r="KZ1165" s="1280"/>
      <c r="LA1165" s="1280"/>
      <c r="LB1165" s="1280"/>
      <c r="LC1165" s="1280"/>
      <c r="LD1165" s="1280"/>
      <c r="LE1165" s="1280"/>
      <c r="LF1165" s="1280"/>
      <c r="LG1165" s="1280"/>
      <c r="LH1165" s="1280"/>
      <c r="LI1165" s="1280"/>
      <c r="LJ1165" s="1280"/>
      <c r="LK1165" s="1280"/>
      <c r="LL1165" s="1280"/>
      <c r="LM1165" s="1280"/>
      <c r="LN1165" s="1280"/>
      <c r="LO1165" s="1280"/>
      <c r="LP1165" s="1280"/>
      <c r="LQ1165" s="1280"/>
      <c r="LR1165" s="1280"/>
      <c r="LS1165" s="1280"/>
      <c r="LT1165" s="1280"/>
      <c r="LU1165" s="1280"/>
      <c r="LV1165" s="1280"/>
      <c r="LW1165" s="1280"/>
      <c r="LX1165" s="1280"/>
      <c r="LY1165" s="1280"/>
      <c r="LZ1165" s="1280"/>
      <c r="MA1165" s="1280"/>
      <c r="MB1165" s="1280"/>
      <c r="MC1165" s="1280"/>
      <c r="MD1165" s="1280"/>
      <c r="ME1165" s="1280"/>
      <c r="MF1165" s="1280"/>
      <c r="MG1165" s="1280"/>
      <c r="MH1165" s="1280"/>
      <c r="MI1165" s="1280"/>
      <c r="MJ1165" s="1280"/>
      <c r="MK1165" s="1280"/>
      <c r="ML1165" s="1280"/>
      <c r="MM1165" s="1280"/>
      <c r="MN1165" s="1280"/>
      <c r="MO1165" s="1280"/>
      <c r="MP1165" s="1280"/>
      <c r="MQ1165" s="1280"/>
      <c r="MR1165" s="1280"/>
      <c r="MS1165" s="1280"/>
      <c r="MT1165" s="1280"/>
      <c r="MU1165" s="1280"/>
      <c r="MV1165" s="1280"/>
      <c r="MW1165" s="1280"/>
      <c r="MX1165" s="1280"/>
      <c r="MY1165" s="1280"/>
      <c r="MZ1165" s="1280"/>
      <c r="NA1165" s="1280"/>
      <c r="NB1165" s="1280"/>
      <c r="NC1165" s="1280"/>
      <c r="ND1165" s="1280"/>
      <c r="NE1165" s="1280"/>
      <c r="NF1165" s="1280"/>
      <c r="NG1165" s="1280"/>
      <c r="NH1165" s="1280"/>
      <c r="NI1165" s="1280"/>
      <c r="NJ1165" s="1280"/>
      <c r="NK1165" s="1280"/>
      <c r="NL1165" s="1280"/>
      <c r="NM1165" s="1280"/>
      <c r="NN1165" s="1280"/>
      <c r="NO1165" s="1280"/>
      <c r="NP1165" s="1280"/>
      <c r="NQ1165" s="1280"/>
      <c r="NR1165" s="1280"/>
      <c r="NS1165" s="1280"/>
      <c r="NT1165" s="1280"/>
      <c r="NU1165" s="1280"/>
      <c r="NV1165" s="1280"/>
      <c r="NW1165" s="1280"/>
      <c r="NX1165" s="1280"/>
      <c r="NY1165" s="1280"/>
      <c r="NZ1165" s="1280"/>
      <c r="OA1165" s="1280"/>
      <c r="OB1165" s="1280"/>
      <c r="OC1165" s="1280"/>
      <c r="OD1165" s="1280"/>
      <c r="OE1165" s="1280"/>
      <c r="OF1165" s="1280"/>
      <c r="OG1165" s="1280"/>
      <c r="OH1165" s="1280"/>
      <c r="OI1165" s="1280"/>
      <c r="OJ1165" s="1280"/>
      <c r="OK1165" s="1280"/>
      <c r="OL1165" s="1280"/>
      <c r="OM1165" s="1280"/>
      <c r="ON1165" s="1280"/>
      <c r="OO1165" s="1280"/>
      <c r="OP1165" s="1280"/>
      <c r="OQ1165" s="1280"/>
      <c r="OR1165" s="1280"/>
      <c r="OS1165" s="1280"/>
      <c r="OT1165" s="1280"/>
      <c r="OU1165" s="1280"/>
      <c r="OV1165" s="1280"/>
      <c r="OW1165" s="1280"/>
      <c r="OX1165" s="1280"/>
      <c r="OY1165" s="1280"/>
      <c r="OZ1165" s="1280"/>
      <c r="PA1165" s="1280"/>
      <c r="PB1165" s="1280"/>
      <c r="PC1165" s="1280"/>
      <c r="PD1165" s="1280"/>
      <c r="PE1165" s="1280"/>
      <c r="PF1165" s="1280"/>
      <c r="PG1165" s="1280"/>
      <c r="PH1165" s="1280"/>
      <c r="PI1165" s="1280"/>
      <c r="PJ1165" s="1280"/>
      <c r="PK1165" s="1280"/>
      <c r="PL1165" s="1280"/>
      <c r="PM1165" s="1280"/>
      <c r="PN1165" s="1280"/>
      <c r="PO1165" s="1280"/>
      <c r="PP1165" s="1280"/>
      <c r="PQ1165" s="1280"/>
      <c r="PR1165" s="1280"/>
      <c r="PS1165" s="1280"/>
      <c r="PT1165" s="1280"/>
      <c r="PU1165" s="1280"/>
      <c r="PV1165" s="1280"/>
      <c r="PW1165" s="1280"/>
      <c r="PX1165" s="1280"/>
      <c r="PY1165" s="1280"/>
      <c r="PZ1165" s="1280"/>
      <c r="QA1165" s="1280"/>
      <c r="QB1165" s="1280"/>
      <c r="QC1165" s="1280"/>
      <c r="QD1165" s="1280"/>
      <c r="QE1165" s="1280"/>
      <c r="QF1165" s="1280"/>
      <c r="QG1165" s="1280"/>
      <c r="QH1165" s="1280"/>
      <c r="QI1165" s="1280"/>
      <c r="QJ1165" s="1280"/>
      <c r="QK1165" s="1280"/>
      <c r="QL1165" s="1280"/>
      <c r="QM1165" s="1280"/>
      <c r="QN1165" s="1280"/>
      <c r="QO1165" s="1280"/>
      <c r="QP1165" s="1280"/>
      <c r="QQ1165" s="1280"/>
      <c r="QR1165" s="1280"/>
      <c r="QS1165" s="1280"/>
      <c r="QT1165" s="1280"/>
      <c r="QU1165" s="1280"/>
      <c r="QV1165" s="1280"/>
      <c r="QW1165" s="1280"/>
      <c r="QX1165" s="1280"/>
      <c r="QY1165" s="1280"/>
      <c r="QZ1165" s="1280"/>
      <c r="RA1165" s="1280"/>
      <c r="RB1165" s="1280"/>
      <c r="RC1165" s="1280"/>
      <c r="RD1165" s="1280"/>
      <c r="RE1165" s="1280"/>
      <c r="RF1165" s="1280"/>
      <c r="RG1165" s="1280"/>
      <c r="RH1165" s="1280"/>
      <c r="RI1165" s="1280"/>
      <c r="RJ1165" s="1280"/>
      <c r="RK1165" s="1280"/>
      <c r="RL1165" s="1280"/>
      <c r="RM1165" s="1280"/>
      <c r="RN1165" s="1280"/>
      <c r="RO1165" s="1280"/>
      <c r="RP1165" s="1280"/>
      <c r="RQ1165" s="1280"/>
      <c r="RR1165" s="1280"/>
      <c r="RS1165" s="1280"/>
      <c r="RT1165" s="1280"/>
      <c r="RU1165" s="1280"/>
      <c r="RV1165" s="1280"/>
      <c r="RW1165" s="1280"/>
      <c r="RX1165" s="1280"/>
      <c r="RY1165" s="1280"/>
      <c r="RZ1165" s="1280"/>
      <c r="SA1165" s="1280"/>
      <c r="SB1165" s="1280"/>
      <c r="SC1165" s="1280"/>
      <c r="SD1165" s="1280"/>
      <c r="SE1165" s="1280"/>
      <c r="SF1165" s="1280"/>
      <c r="SG1165" s="1280"/>
      <c r="SH1165" s="1280"/>
      <c r="SI1165" s="1280"/>
      <c r="SJ1165" s="1280"/>
      <c r="SK1165" s="1280"/>
      <c r="SL1165" s="1280"/>
      <c r="SM1165" s="1280"/>
      <c r="SN1165" s="1280"/>
      <c r="SO1165" s="1280"/>
      <c r="SP1165" s="1280"/>
      <c r="SQ1165" s="1280"/>
      <c r="SR1165" s="1280"/>
      <c r="SS1165" s="1280"/>
      <c r="ST1165" s="1280"/>
      <c r="SU1165" s="1280"/>
      <c r="SV1165" s="1280"/>
      <c r="SW1165" s="1280"/>
      <c r="SX1165" s="1280"/>
      <c r="SY1165" s="1280"/>
      <c r="SZ1165" s="1280"/>
      <c r="TA1165" s="1280"/>
      <c r="TB1165" s="1280"/>
      <c r="TC1165" s="1280"/>
      <c r="TD1165" s="1280"/>
      <c r="TE1165" s="1280"/>
      <c r="TF1165" s="1280"/>
      <c r="TG1165" s="1280"/>
      <c r="TH1165" s="1280"/>
      <c r="TI1165" s="1280"/>
      <c r="TJ1165" s="1280"/>
      <c r="TK1165" s="1280"/>
      <c r="TL1165" s="1280"/>
      <c r="TM1165" s="1280"/>
      <c r="TN1165" s="1280"/>
      <c r="TO1165" s="1280"/>
      <c r="TP1165" s="1280"/>
      <c r="TQ1165" s="1280"/>
      <c r="TR1165" s="1280"/>
      <c r="TS1165" s="1280"/>
      <c r="TT1165" s="1280"/>
      <c r="TU1165" s="1280"/>
      <c r="TV1165" s="1280"/>
      <c r="TW1165" s="1280"/>
      <c r="TX1165" s="1280"/>
      <c r="TY1165" s="1280"/>
      <c r="TZ1165" s="1280"/>
      <c r="UA1165" s="1280"/>
      <c r="UB1165" s="1280"/>
      <c r="UC1165" s="1280"/>
      <c r="UD1165" s="1280"/>
      <c r="UE1165" s="1280"/>
      <c r="UF1165" s="1280"/>
      <c r="UG1165" s="1279"/>
    </row>
    <row r="1166" spans="1:553" s="1262" customFormat="1" ht="29.25" customHeight="1">
      <c r="A1166" s="445"/>
      <c r="B1166" s="761"/>
      <c r="C1166" s="1411" t="s">
        <v>1226</v>
      </c>
      <c r="D1166" s="1411" t="s">
        <v>1226</v>
      </c>
      <c r="E1166" s="1411" t="s">
        <v>1226</v>
      </c>
      <c r="F1166" s="1411" t="s">
        <v>1226</v>
      </c>
      <c r="G1166" s="417" t="s">
        <v>196</v>
      </c>
      <c r="H1166" s="646"/>
      <c r="I1166" s="422">
        <f>187.14*100/10000*80</f>
        <v>149.71199999999999</v>
      </c>
      <c r="J1166" s="368">
        <v>3500</v>
      </c>
      <c r="K1166" s="565"/>
      <c r="L1166" s="646">
        <f t="shared" ref="L1166" si="172">ROUND(PRODUCT(I1166:K1166),0)</f>
        <v>523992</v>
      </c>
      <c r="M1166" s="356"/>
      <c r="N1166" s="356"/>
      <c r="O1166" s="356"/>
      <c r="P1166" s="356"/>
      <c r="Q1166" s="610"/>
      <c r="R1166" s="1226"/>
      <c r="S1166" s="308"/>
      <c r="T1166" s="308"/>
      <c r="U1166" s="308"/>
      <c r="V1166" s="308"/>
      <c r="W1166" s="308"/>
      <c r="X1166" s="308"/>
      <c r="Y1166" s="308"/>
      <c r="Z1166" s="604"/>
      <c r="AA1166" s="308"/>
      <c r="AB1166" s="308"/>
      <c r="AC1166" s="373"/>
      <c r="AD1166" s="373"/>
      <c r="AE1166" s="373"/>
      <c r="AF1166" s="373"/>
      <c r="AG1166" s="373"/>
      <c r="AH1166" s="373"/>
      <c r="AI1166" s="373"/>
      <c r="AJ1166" s="373"/>
      <c r="AK1166" s="389"/>
      <c r="AL1166" s="1276"/>
      <c r="AM1166" s="1276"/>
      <c r="AN1166" s="1276"/>
      <c r="AO1166" s="1276"/>
      <c r="AP1166" s="1276"/>
      <c r="AQ1166" s="1276"/>
      <c r="AR1166" s="1276"/>
      <c r="AS1166" s="1280"/>
      <c r="AT1166" s="1280"/>
      <c r="AU1166" s="1280"/>
      <c r="AV1166" s="1280"/>
      <c r="AW1166" s="1280"/>
      <c r="AX1166" s="1280"/>
      <c r="AY1166" s="1280"/>
      <c r="AZ1166" s="1280"/>
      <c r="BA1166" s="1280"/>
      <c r="BB1166" s="1280"/>
      <c r="BC1166" s="1280"/>
      <c r="BD1166" s="1280"/>
      <c r="BE1166" s="1280"/>
      <c r="BF1166" s="1280"/>
      <c r="BG1166" s="1280"/>
      <c r="BH1166" s="1280"/>
      <c r="BI1166" s="1280"/>
      <c r="BJ1166" s="1280"/>
      <c r="BK1166" s="1280"/>
      <c r="BL1166" s="1280"/>
      <c r="BM1166" s="1280"/>
      <c r="BN1166" s="1280"/>
      <c r="BO1166" s="1280"/>
      <c r="BP1166" s="1280"/>
      <c r="BQ1166" s="1280"/>
      <c r="BR1166" s="1280"/>
      <c r="BS1166" s="1280"/>
      <c r="BT1166" s="1280"/>
      <c r="BU1166" s="1280"/>
      <c r="BV1166" s="1280"/>
      <c r="BW1166" s="1280"/>
      <c r="BX1166" s="1280"/>
      <c r="BY1166" s="1280"/>
      <c r="BZ1166" s="1280"/>
      <c r="CA1166" s="1280"/>
      <c r="CB1166" s="1280"/>
      <c r="CC1166" s="1280"/>
      <c r="CD1166" s="1280"/>
      <c r="CE1166" s="1280"/>
      <c r="CF1166" s="1280"/>
      <c r="CG1166" s="1280"/>
      <c r="CH1166" s="1280"/>
      <c r="CI1166" s="1280"/>
      <c r="CJ1166" s="1280"/>
      <c r="CK1166" s="1280"/>
      <c r="CL1166" s="1280"/>
      <c r="CM1166" s="1280"/>
      <c r="CN1166" s="1280"/>
      <c r="CO1166" s="1280"/>
      <c r="CP1166" s="1280"/>
      <c r="CQ1166" s="1280"/>
      <c r="CR1166" s="1280"/>
      <c r="CS1166" s="1280"/>
      <c r="CT1166" s="1280"/>
      <c r="CU1166" s="1280"/>
      <c r="CV1166" s="1280"/>
      <c r="CW1166" s="1280"/>
      <c r="CX1166" s="1280"/>
      <c r="CY1166" s="1280"/>
      <c r="CZ1166" s="1280"/>
      <c r="DA1166" s="1280"/>
      <c r="DB1166" s="1280"/>
      <c r="DC1166" s="1280"/>
      <c r="DD1166" s="1280"/>
      <c r="DE1166" s="1280"/>
      <c r="DF1166" s="1280"/>
      <c r="DG1166" s="1280"/>
      <c r="DH1166" s="1280"/>
      <c r="DI1166" s="1280"/>
      <c r="DJ1166" s="1280"/>
      <c r="DK1166" s="1280"/>
      <c r="DL1166" s="1280"/>
      <c r="DM1166" s="1280"/>
      <c r="DN1166" s="1280"/>
      <c r="DO1166" s="1280"/>
      <c r="DP1166" s="1280"/>
      <c r="DQ1166" s="1280"/>
      <c r="DR1166" s="1280"/>
      <c r="DS1166" s="1280"/>
      <c r="DT1166" s="1280"/>
      <c r="DU1166" s="1280"/>
      <c r="DV1166" s="1280"/>
      <c r="DW1166" s="1280"/>
      <c r="DX1166" s="1280"/>
      <c r="DY1166" s="1280"/>
      <c r="DZ1166" s="1280"/>
      <c r="EA1166" s="1280"/>
      <c r="EB1166" s="1280"/>
      <c r="EC1166" s="1280"/>
      <c r="ED1166" s="1280"/>
      <c r="EE1166" s="1280"/>
      <c r="EF1166" s="1280"/>
      <c r="EG1166" s="1280"/>
      <c r="EH1166" s="1280"/>
      <c r="EI1166" s="1280"/>
      <c r="EJ1166" s="1280"/>
      <c r="EK1166" s="1280"/>
      <c r="EL1166" s="1280"/>
      <c r="EM1166" s="1280"/>
      <c r="EN1166" s="1280"/>
      <c r="EO1166" s="1280"/>
      <c r="EP1166" s="1280"/>
      <c r="EQ1166" s="1280"/>
      <c r="ER1166" s="1280"/>
      <c r="ES1166" s="1280"/>
      <c r="ET1166" s="1280"/>
      <c r="EU1166" s="1280"/>
      <c r="EV1166" s="1280"/>
      <c r="EW1166" s="1280"/>
      <c r="EX1166" s="1280"/>
      <c r="EY1166" s="1280"/>
      <c r="EZ1166" s="1280"/>
      <c r="FA1166" s="1280"/>
      <c r="FB1166" s="1280"/>
      <c r="FC1166" s="1280"/>
      <c r="FD1166" s="1280"/>
      <c r="FE1166" s="1280"/>
      <c r="FF1166" s="1280"/>
      <c r="FG1166" s="1280"/>
      <c r="FH1166" s="1280"/>
      <c r="FI1166" s="1280"/>
      <c r="FJ1166" s="1280"/>
      <c r="FK1166" s="1280"/>
      <c r="FL1166" s="1280"/>
      <c r="FM1166" s="1280"/>
      <c r="FN1166" s="1280"/>
      <c r="FO1166" s="1280"/>
      <c r="FP1166" s="1280"/>
      <c r="FQ1166" s="1280"/>
      <c r="FR1166" s="1280"/>
      <c r="FS1166" s="1280"/>
      <c r="FT1166" s="1280"/>
      <c r="FU1166" s="1280"/>
      <c r="FV1166" s="1280"/>
      <c r="FW1166" s="1280"/>
      <c r="FX1166" s="1280"/>
      <c r="FY1166" s="1280"/>
      <c r="FZ1166" s="1280"/>
      <c r="GA1166" s="1280"/>
      <c r="GB1166" s="1280"/>
      <c r="GC1166" s="1280"/>
      <c r="GD1166" s="1280"/>
      <c r="GE1166" s="1280"/>
      <c r="GF1166" s="1280"/>
      <c r="GG1166" s="1280"/>
      <c r="GH1166" s="1280"/>
      <c r="GI1166" s="1280"/>
      <c r="GJ1166" s="1280"/>
      <c r="GK1166" s="1280"/>
      <c r="GL1166" s="1280"/>
      <c r="GM1166" s="1280"/>
      <c r="GN1166" s="1280"/>
      <c r="GO1166" s="1280"/>
      <c r="GP1166" s="1280"/>
      <c r="GQ1166" s="1280"/>
      <c r="GR1166" s="1280"/>
      <c r="GS1166" s="1280"/>
      <c r="GT1166" s="1280"/>
      <c r="GU1166" s="1280"/>
      <c r="GV1166" s="1280"/>
      <c r="GW1166" s="1280"/>
      <c r="GX1166" s="1280"/>
      <c r="GY1166" s="1280"/>
      <c r="GZ1166" s="1280"/>
      <c r="HA1166" s="1280"/>
      <c r="HB1166" s="1280"/>
      <c r="HC1166" s="1280"/>
      <c r="HD1166" s="1280"/>
      <c r="HE1166" s="1280"/>
      <c r="HF1166" s="1280"/>
      <c r="HG1166" s="1280"/>
      <c r="HH1166" s="1280"/>
      <c r="HI1166" s="1280"/>
      <c r="HJ1166" s="1280"/>
      <c r="HK1166" s="1280"/>
      <c r="HL1166" s="1280"/>
      <c r="HM1166" s="1280"/>
      <c r="HN1166" s="1280"/>
      <c r="HO1166" s="1280"/>
      <c r="HP1166" s="1280"/>
      <c r="HQ1166" s="1280"/>
      <c r="HR1166" s="1280"/>
      <c r="HS1166" s="1280"/>
      <c r="HT1166" s="1280"/>
      <c r="HU1166" s="1280"/>
      <c r="HV1166" s="1280"/>
      <c r="HW1166" s="1280"/>
      <c r="HX1166" s="1280"/>
      <c r="HY1166" s="1280"/>
      <c r="HZ1166" s="1280"/>
      <c r="IA1166" s="1280"/>
      <c r="IB1166" s="1280"/>
      <c r="IC1166" s="1280"/>
      <c r="ID1166" s="1280"/>
      <c r="IE1166" s="1280"/>
      <c r="IF1166" s="1280"/>
      <c r="IG1166" s="1280"/>
      <c r="IH1166" s="1280"/>
      <c r="II1166" s="1280"/>
      <c r="IJ1166" s="1280"/>
      <c r="IK1166" s="1280"/>
      <c r="IL1166" s="1280"/>
      <c r="IM1166" s="1280"/>
      <c r="IN1166" s="1280"/>
      <c r="IO1166" s="1280"/>
      <c r="IP1166" s="1280"/>
      <c r="IQ1166" s="1280"/>
      <c r="IR1166" s="1280"/>
      <c r="IS1166" s="1280"/>
      <c r="IT1166" s="1280"/>
      <c r="IU1166" s="1280"/>
      <c r="IV1166" s="1280"/>
      <c r="IW1166" s="1280"/>
      <c r="IX1166" s="1280"/>
      <c r="IY1166" s="1280"/>
      <c r="IZ1166" s="1280"/>
      <c r="JA1166" s="1280"/>
      <c r="JB1166" s="1280"/>
      <c r="JC1166" s="1280"/>
      <c r="JD1166" s="1280"/>
      <c r="JE1166" s="1280"/>
      <c r="JF1166" s="1280"/>
      <c r="JG1166" s="1280"/>
      <c r="JH1166" s="1280"/>
      <c r="JI1166" s="1280"/>
      <c r="JJ1166" s="1280"/>
      <c r="JK1166" s="1280"/>
      <c r="JL1166" s="1280"/>
      <c r="JM1166" s="1280"/>
      <c r="JN1166" s="1280"/>
      <c r="JO1166" s="1280"/>
      <c r="JP1166" s="1280"/>
      <c r="JQ1166" s="1280"/>
      <c r="JR1166" s="1280"/>
      <c r="JS1166" s="1280"/>
      <c r="JT1166" s="1280"/>
      <c r="JU1166" s="1280"/>
      <c r="JV1166" s="1280"/>
      <c r="JW1166" s="1280"/>
      <c r="JX1166" s="1280"/>
      <c r="JY1166" s="1280"/>
      <c r="JZ1166" s="1280"/>
      <c r="KA1166" s="1280"/>
      <c r="KB1166" s="1280"/>
      <c r="KC1166" s="1280"/>
      <c r="KD1166" s="1280"/>
      <c r="KE1166" s="1280"/>
      <c r="KF1166" s="1280"/>
      <c r="KG1166" s="1280"/>
      <c r="KH1166" s="1280"/>
      <c r="KI1166" s="1280"/>
      <c r="KJ1166" s="1280"/>
      <c r="KK1166" s="1280"/>
      <c r="KL1166" s="1280"/>
      <c r="KM1166" s="1280"/>
      <c r="KN1166" s="1280"/>
      <c r="KO1166" s="1280"/>
      <c r="KP1166" s="1280"/>
      <c r="KQ1166" s="1280"/>
      <c r="KR1166" s="1280"/>
      <c r="KS1166" s="1280"/>
      <c r="KT1166" s="1280"/>
      <c r="KU1166" s="1280"/>
      <c r="KV1166" s="1280"/>
      <c r="KW1166" s="1280"/>
      <c r="KX1166" s="1280"/>
      <c r="KY1166" s="1280"/>
      <c r="KZ1166" s="1280"/>
      <c r="LA1166" s="1280"/>
      <c r="LB1166" s="1280"/>
      <c r="LC1166" s="1280"/>
      <c r="LD1166" s="1280"/>
      <c r="LE1166" s="1280"/>
      <c r="LF1166" s="1280"/>
      <c r="LG1166" s="1280"/>
      <c r="LH1166" s="1280"/>
      <c r="LI1166" s="1280"/>
      <c r="LJ1166" s="1280"/>
      <c r="LK1166" s="1280"/>
      <c r="LL1166" s="1280"/>
      <c r="LM1166" s="1280"/>
      <c r="LN1166" s="1280"/>
      <c r="LO1166" s="1280"/>
      <c r="LP1166" s="1280"/>
      <c r="LQ1166" s="1280"/>
      <c r="LR1166" s="1280"/>
      <c r="LS1166" s="1280"/>
      <c r="LT1166" s="1280"/>
      <c r="LU1166" s="1280"/>
      <c r="LV1166" s="1280"/>
      <c r="LW1166" s="1280"/>
      <c r="LX1166" s="1280"/>
      <c r="LY1166" s="1280"/>
      <c r="LZ1166" s="1280"/>
      <c r="MA1166" s="1280"/>
      <c r="MB1166" s="1280"/>
      <c r="MC1166" s="1280"/>
      <c r="MD1166" s="1280"/>
      <c r="ME1166" s="1280"/>
      <c r="MF1166" s="1280"/>
      <c r="MG1166" s="1280"/>
      <c r="MH1166" s="1280"/>
      <c r="MI1166" s="1280"/>
      <c r="MJ1166" s="1280"/>
      <c r="MK1166" s="1280"/>
      <c r="ML1166" s="1280"/>
      <c r="MM1166" s="1280"/>
      <c r="MN1166" s="1280"/>
      <c r="MO1166" s="1280"/>
      <c r="MP1166" s="1280"/>
      <c r="MQ1166" s="1280"/>
      <c r="MR1166" s="1280"/>
      <c r="MS1166" s="1280"/>
      <c r="MT1166" s="1280"/>
      <c r="MU1166" s="1280"/>
      <c r="MV1166" s="1280"/>
      <c r="MW1166" s="1280"/>
      <c r="MX1166" s="1280"/>
      <c r="MY1166" s="1280"/>
      <c r="MZ1166" s="1280"/>
      <c r="NA1166" s="1280"/>
      <c r="NB1166" s="1280"/>
      <c r="NC1166" s="1280"/>
      <c r="ND1166" s="1280"/>
      <c r="NE1166" s="1280"/>
      <c r="NF1166" s="1280"/>
      <c r="NG1166" s="1280"/>
      <c r="NH1166" s="1280"/>
      <c r="NI1166" s="1280"/>
      <c r="NJ1166" s="1280"/>
      <c r="NK1166" s="1280"/>
      <c r="NL1166" s="1280"/>
      <c r="NM1166" s="1280"/>
      <c r="NN1166" s="1280"/>
      <c r="NO1166" s="1280"/>
      <c r="NP1166" s="1280"/>
      <c r="NQ1166" s="1280"/>
      <c r="NR1166" s="1280"/>
      <c r="NS1166" s="1280"/>
      <c r="NT1166" s="1280"/>
      <c r="NU1166" s="1280"/>
      <c r="NV1166" s="1280"/>
      <c r="NW1166" s="1280"/>
      <c r="NX1166" s="1280"/>
      <c r="NY1166" s="1280"/>
      <c r="NZ1166" s="1280"/>
      <c r="OA1166" s="1280"/>
      <c r="OB1166" s="1280"/>
      <c r="OC1166" s="1280"/>
      <c r="OD1166" s="1280"/>
      <c r="OE1166" s="1280"/>
      <c r="OF1166" s="1280"/>
      <c r="OG1166" s="1280"/>
      <c r="OH1166" s="1280"/>
      <c r="OI1166" s="1280"/>
      <c r="OJ1166" s="1280"/>
      <c r="OK1166" s="1280"/>
      <c r="OL1166" s="1280"/>
      <c r="OM1166" s="1280"/>
      <c r="ON1166" s="1280"/>
      <c r="OO1166" s="1280"/>
      <c r="OP1166" s="1280"/>
      <c r="OQ1166" s="1280"/>
      <c r="OR1166" s="1280"/>
      <c r="OS1166" s="1280"/>
      <c r="OT1166" s="1280"/>
      <c r="OU1166" s="1280"/>
      <c r="OV1166" s="1280"/>
      <c r="OW1166" s="1280"/>
      <c r="OX1166" s="1280"/>
      <c r="OY1166" s="1280"/>
      <c r="OZ1166" s="1280"/>
      <c r="PA1166" s="1280"/>
      <c r="PB1166" s="1280"/>
      <c r="PC1166" s="1280"/>
      <c r="PD1166" s="1280"/>
      <c r="PE1166" s="1280"/>
      <c r="PF1166" s="1280"/>
      <c r="PG1166" s="1280"/>
      <c r="PH1166" s="1280"/>
      <c r="PI1166" s="1280"/>
      <c r="PJ1166" s="1280"/>
      <c r="PK1166" s="1280"/>
      <c r="PL1166" s="1280"/>
      <c r="PM1166" s="1280"/>
      <c r="PN1166" s="1280"/>
      <c r="PO1166" s="1280"/>
      <c r="PP1166" s="1280"/>
      <c r="PQ1166" s="1280"/>
      <c r="PR1166" s="1280"/>
      <c r="PS1166" s="1280"/>
      <c r="PT1166" s="1280"/>
      <c r="PU1166" s="1280"/>
      <c r="PV1166" s="1280"/>
      <c r="PW1166" s="1280"/>
      <c r="PX1166" s="1280"/>
      <c r="PY1166" s="1280"/>
      <c r="PZ1166" s="1280"/>
      <c r="QA1166" s="1280"/>
      <c r="QB1166" s="1280"/>
      <c r="QC1166" s="1280"/>
      <c r="QD1166" s="1280"/>
      <c r="QE1166" s="1280"/>
      <c r="QF1166" s="1280"/>
      <c r="QG1166" s="1280"/>
      <c r="QH1166" s="1280"/>
      <c r="QI1166" s="1280"/>
      <c r="QJ1166" s="1280"/>
      <c r="QK1166" s="1280"/>
      <c r="QL1166" s="1280"/>
      <c r="QM1166" s="1280"/>
      <c r="QN1166" s="1280"/>
      <c r="QO1166" s="1280"/>
      <c r="QP1166" s="1280"/>
      <c r="QQ1166" s="1280"/>
      <c r="QR1166" s="1280"/>
      <c r="QS1166" s="1280"/>
      <c r="QT1166" s="1280"/>
      <c r="QU1166" s="1280"/>
      <c r="QV1166" s="1280"/>
      <c r="QW1166" s="1280"/>
      <c r="QX1166" s="1280"/>
      <c r="QY1166" s="1280"/>
      <c r="QZ1166" s="1280"/>
      <c r="RA1166" s="1280"/>
      <c r="RB1166" s="1280"/>
      <c r="RC1166" s="1280"/>
      <c r="RD1166" s="1280"/>
      <c r="RE1166" s="1280"/>
      <c r="RF1166" s="1280"/>
      <c r="RG1166" s="1280"/>
      <c r="RH1166" s="1280"/>
      <c r="RI1166" s="1280"/>
      <c r="RJ1166" s="1280"/>
      <c r="RK1166" s="1280"/>
      <c r="RL1166" s="1280"/>
      <c r="RM1166" s="1280"/>
      <c r="RN1166" s="1280"/>
      <c r="RO1166" s="1280"/>
      <c r="RP1166" s="1280"/>
      <c r="RQ1166" s="1280"/>
      <c r="RR1166" s="1280"/>
      <c r="RS1166" s="1280"/>
      <c r="RT1166" s="1280"/>
      <c r="RU1166" s="1280"/>
      <c r="RV1166" s="1280"/>
      <c r="RW1166" s="1280"/>
      <c r="RX1166" s="1280"/>
      <c r="RY1166" s="1280"/>
      <c r="RZ1166" s="1280"/>
      <c r="SA1166" s="1280"/>
      <c r="SB1166" s="1280"/>
      <c r="SC1166" s="1280"/>
      <c r="SD1166" s="1280"/>
      <c r="SE1166" s="1280"/>
      <c r="SF1166" s="1280"/>
      <c r="SG1166" s="1280"/>
      <c r="SH1166" s="1280"/>
      <c r="SI1166" s="1280"/>
      <c r="SJ1166" s="1280"/>
      <c r="SK1166" s="1280"/>
      <c r="SL1166" s="1280"/>
      <c r="SM1166" s="1280"/>
      <c r="SN1166" s="1280"/>
      <c r="SO1166" s="1280"/>
      <c r="SP1166" s="1280"/>
      <c r="SQ1166" s="1280"/>
      <c r="SR1166" s="1280"/>
      <c r="SS1166" s="1280"/>
      <c r="ST1166" s="1280"/>
      <c r="SU1166" s="1280"/>
      <c r="SV1166" s="1280"/>
      <c r="SW1166" s="1280"/>
      <c r="SX1166" s="1280"/>
      <c r="SY1166" s="1280"/>
      <c r="SZ1166" s="1280"/>
      <c r="TA1166" s="1280"/>
      <c r="TB1166" s="1280"/>
      <c r="TC1166" s="1280"/>
      <c r="TD1166" s="1280"/>
      <c r="TE1166" s="1280"/>
      <c r="TF1166" s="1280"/>
      <c r="TG1166" s="1280"/>
      <c r="TH1166" s="1280"/>
      <c r="TI1166" s="1280"/>
      <c r="TJ1166" s="1280"/>
      <c r="TK1166" s="1280"/>
      <c r="TL1166" s="1280"/>
      <c r="TM1166" s="1280"/>
      <c r="TN1166" s="1280"/>
      <c r="TO1166" s="1280"/>
      <c r="TP1166" s="1280"/>
      <c r="TQ1166" s="1280"/>
      <c r="TR1166" s="1280"/>
      <c r="TS1166" s="1280"/>
      <c r="TT1166" s="1280"/>
      <c r="TU1166" s="1280"/>
      <c r="TV1166" s="1280"/>
      <c r="TW1166" s="1280"/>
      <c r="TX1166" s="1280"/>
      <c r="TY1166" s="1280"/>
      <c r="TZ1166" s="1280"/>
      <c r="UA1166" s="1280"/>
      <c r="UB1166" s="1280"/>
      <c r="UC1166" s="1280"/>
      <c r="UD1166" s="1280"/>
      <c r="UE1166" s="1280"/>
      <c r="UF1166" s="1280"/>
      <c r="UG1166" s="1279"/>
    </row>
    <row r="1167" spans="1:553" s="1262" customFormat="1" ht="29.25" customHeight="1">
      <c r="A1167" s="445"/>
      <c r="B1167" s="761"/>
      <c r="C1167" s="1411" t="s">
        <v>1227</v>
      </c>
      <c r="D1167" s="1411" t="s">
        <v>1228</v>
      </c>
      <c r="E1167" s="1411" t="s">
        <v>1228</v>
      </c>
      <c r="F1167" s="1411" t="s">
        <v>1228</v>
      </c>
      <c r="G1167" s="775" t="s">
        <v>193</v>
      </c>
      <c r="H1167" s="646"/>
      <c r="I1167" s="422">
        <v>11</v>
      </c>
      <c r="J1167" s="368">
        <v>472000</v>
      </c>
      <c r="K1167" s="565"/>
      <c r="L1167" s="571">
        <f>I1167*J1167</f>
        <v>5192000</v>
      </c>
      <c r="M1167" s="356"/>
      <c r="N1167" s="356"/>
      <c r="O1167" s="356"/>
      <c r="P1167" s="356"/>
      <c r="Q1167" s="610"/>
      <c r="R1167" s="1226"/>
      <c r="S1167" s="308"/>
      <c r="T1167" s="308"/>
      <c r="U1167" s="308"/>
      <c r="V1167" s="308"/>
      <c r="W1167" s="308"/>
      <c r="X1167" s="308"/>
      <c r="Y1167" s="308"/>
      <c r="Z1167" s="604"/>
      <c r="AA1167" s="308"/>
      <c r="AB1167" s="308"/>
      <c r="AC1167" s="373"/>
      <c r="AD1167" s="373"/>
      <c r="AE1167" s="373"/>
      <c r="AF1167" s="373"/>
      <c r="AG1167" s="373"/>
      <c r="AH1167" s="373"/>
      <c r="AI1167" s="373"/>
      <c r="AJ1167" s="373"/>
      <c r="AK1167" s="389"/>
      <c r="AL1167" s="1276"/>
      <c r="AM1167" s="1276"/>
      <c r="AN1167" s="1276"/>
      <c r="AO1167" s="1276"/>
      <c r="AP1167" s="1276"/>
      <c r="AQ1167" s="1276"/>
      <c r="AR1167" s="1276"/>
      <c r="AS1167" s="1280"/>
      <c r="AT1167" s="1280"/>
      <c r="AU1167" s="1280"/>
      <c r="AV1167" s="1280"/>
      <c r="AW1167" s="1280"/>
      <c r="AX1167" s="1280"/>
      <c r="AY1167" s="1280"/>
      <c r="AZ1167" s="1280"/>
      <c r="BA1167" s="1280"/>
      <c r="BB1167" s="1280"/>
      <c r="BC1167" s="1280"/>
      <c r="BD1167" s="1280"/>
      <c r="BE1167" s="1280"/>
      <c r="BF1167" s="1280"/>
      <c r="BG1167" s="1280"/>
      <c r="BH1167" s="1280"/>
      <c r="BI1167" s="1280"/>
      <c r="BJ1167" s="1280"/>
      <c r="BK1167" s="1280"/>
      <c r="BL1167" s="1280"/>
      <c r="BM1167" s="1280"/>
      <c r="BN1167" s="1280"/>
      <c r="BO1167" s="1280"/>
      <c r="BP1167" s="1280"/>
      <c r="BQ1167" s="1280"/>
      <c r="BR1167" s="1280"/>
      <c r="BS1167" s="1280"/>
      <c r="BT1167" s="1280"/>
      <c r="BU1167" s="1280"/>
      <c r="BV1167" s="1280"/>
      <c r="BW1167" s="1280"/>
      <c r="BX1167" s="1280"/>
      <c r="BY1167" s="1280"/>
      <c r="BZ1167" s="1280"/>
      <c r="CA1167" s="1280"/>
      <c r="CB1167" s="1280"/>
      <c r="CC1167" s="1280"/>
      <c r="CD1167" s="1280"/>
      <c r="CE1167" s="1280"/>
      <c r="CF1167" s="1280"/>
      <c r="CG1167" s="1280"/>
      <c r="CH1167" s="1280"/>
      <c r="CI1167" s="1280"/>
      <c r="CJ1167" s="1280"/>
      <c r="CK1167" s="1280"/>
      <c r="CL1167" s="1280"/>
      <c r="CM1167" s="1280"/>
      <c r="CN1167" s="1280"/>
      <c r="CO1167" s="1280"/>
      <c r="CP1167" s="1280"/>
      <c r="CQ1167" s="1280"/>
      <c r="CR1167" s="1280"/>
      <c r="CS1167" s="1280"/>
      <c r="CT1167" s="1280"/>
      <c r="CU1167" s="1280"/>
      <c r="CV1167" s="1280"/>
      <c r="CW1167" s="1280"/>
      <c r="CX1167" s="1280"/>
      <c r="CY1167" s="1280"/>
      <c r="CZ1167" s="1280"/>
      <c r="DA1167" s="1280"/>
      <c r="DB1167" s="1280"/>
      <c r="DC1167" s="1280"/>
      <c r="DD1167" s="1280"/>
      <c r="DE1167" s="1280"/>
      <c r="DF1167" s="1280"/>
      <c r="DG1167" s="1280"/>
      <c r="DH1167" s="1280"/>
      <c r="DI1167" s="1280"/>
      <c r="DJ1167" s="1280"/>
      <c r="DK1167" s="1280"/>
      <c r="DL1167" s="1280"/>
      <c r="DM1167" s="1280"/>
      <c r="DN1167" s="1280"/>
      <c r="DO1167" s="1280"/>
      <c r="DP1167" s="1280"/>
      <c r="DQ1167" s="1280"/>
      <c r="DR1167" s="1280"/>
      <c r="DS1167" s="1280"/>
      <c r="DT1167" s="1280"/>
      <c r="DU1167" s="1280"/>
      <c r="DV1167" s="1280"/>
      <c r="DW1167" s="1280"/>
      <c r="DX1167" s="1280"/>
      <c r="DY1167" s="1280"/>
      <c r="DZ1167" s="1280"/>
      <c r="EA1167" s="1280"/>
      <c r="EB1167" s="1280"/>
      <c r="EC1167" s="1280"/>
      <c r="ED1167" s="1280"/>
      <c r="EE1167" s="1280"/>
      <c r="EF1167" s="1280"/>
      <c r="EG1167" s="1280"/>
      <c r="EH1167" s="1280"/>
      <c r="EI1167" s="1280"/>
      <c r="EJ1167" s="1280"/>
      <c r="EK1167" s="1280"/>
      <c r="EL1167" s="1280"/>
      <c r="EM1167" s="1280"/>
      <c r="EN1167" s="1280"/>
      <c r="EO1167" s="1280"/>
      <c r="EP1167" s="1280"/>
      <c r="EQ1167" s="1280"/>
      <c r="ER1167" s="1280"/>
      <c r="ES1167" s="1280"/>
      <c r="ET1167" s="1280"/>
      <c r="EU1167" s="1280"/>
      <c r="EV1167" s="1280"/>
      <c r="EW1167" s="1280"/>
      <c r="EX1167" s="1280"/>
      <c r="EY1167" s="1280"/>
      <c r="EZ1167" s="1280"/>
      <c r="FA1167" s="1280"/>
      <c r="FB1167" s="1280"/>
      <c r="FC1167" s="1280"/>
      <c r="FD1167" s="1280"/>
      <c r="FE1167" s="1280"/>
      <c r="FF1167" s="1280"/>
      <c r="FG1167" s="1280"/>
      <c r="FH1167" s="1280"/>
      <c r="FI1167" s="1280"/>
      <c r="FJ1167" s="1280"/>
      <c r="FK1167" s="1280"/>
      <c r="FL1167" s="1280"/>
      <c r="FM1167" s="1280"/>
      <c r="FN1167" s="1280"/>
      <c r="FO1167" s="1280"/>
      <c r="FP1167" s="1280"/>
      <c r="FQ1167" s="1280"/>
      <c r="FR1167" s="1280"/>
      <c r="FS1167" s="1280"/>
      <c r="FT1167" s="1280"/>
      <c r="FU1167" s="1280"/>
      <c r="FV1167" s="1280"/>
      <c r="FW1167" s="1280"/>
      <c r="FX1167" s="1280"/>
      <c r="FY1167" s="1280"/>
      <c r="FZ1167" s="1280"/>
      <c r="GA1167" s="1280"/>
      <c r="GB1167" s="1280"/>
      <c r="GC1167" s="1280"/>
      <c r="GD1167" s="1280"/>
      <c r="GE1167" s="1280"/>
      <c r="GF1167" s="1280"/>
      <c r="GG1167" s="1280"/>
      <c r="GH1167" s="1280"/>
      <c r="GI1167" s="1280"/>
      <c r="GJ1167" s="1280"/>
      <c r="GK1167" s="1280"/>
      <c r="GL1167" s="1280"/>
      <c r="GM1167" s="1280"/>
      <c r="GN1167" s="1280"/>
      <c r="GO1167" s="1280"/>
      <c r="GP1167" s="1280"/>
      <c r="GQ1167" s="1280"/>
      <c r="GR1167" s="1280"/>
      <c r="GS1167" s="1280"/>
      <c r="GT1167" s="1280"/>
      <c r="GU1167" s="1280"/>
      <c r="GV1167" s="1280"/>
      <c r="GW1167" s="1280"/>
      <c r="GX1167" s="1280"/>
      <c r="GY1167" s="1280"/>
      <c r="GZ1167" s="1280"/>
      <c r="HA1167" s="1280"/>
      <c r="HB1167" s="1280"/>
      <c r="HC1167" s="1280"/>
      <c r="HD1167" s="1280"/>
      <c r="HE1167" s="1280"/>
      <c r="HF1167" s="1280"/>
      <c r="HG1167" s="1280"/>
      <c r="HH1167" s="1280"/>
      <c r="HI1167" s="1280"/>
      <c r="HJ1167" s="1280"/>
      <c r="HK1167" s="1280"/>
      <c r="HL1167" s="1280"/>
      <c r="HM1167" s="1280"/>
      <c r="HN1167" s="1280"/>
      <c r="HO1167" s="1280"/>
      <c r="HP1167" s="1280"/>
      <c r="HQ1167" s="1280"/>
      <c r="HR1167" s="1280"/>
      <c r="HS1167" s="1280"/>
      <c r="HT1167" s="1280"/>
      <c r="HU1167" s="1280"/>
      <c r="HV1167" s="1280"/>
      <c r="HW1167" s="1280"/>
      <c r="HX1167" s="1280"/>
      <c r="HY1167" s="1280"/>
      <c r="HZ1167" s="1280"/>
      <c r="IA1167" s="1280"/>
      <c r="IB1167" s="1280"/>
      <c r="IC1167" s="1280"/>
      <c r="ID1167" s="1280"/>
      <c r="IE1167" s="1280"/>
      <c r="IF1167" s="1280"/>
      <c r="IG1167" s="1280"/>
      <c r="IH1167" s="1280"/>
      <c r="II1167" s="1280"/>
      <c r="IJ1167" s="1280"/>
      <c r="IK1167" s="1280"/>
      <c r="IL1167" s="1280"/>
      <c r="IM1167" s="1280"/>
      <c r="IN1167" s="1280"/>
      <c r="IO1167" s="1280"/>
      <c r="IP1167" s="1280"/>
      <c r="IQ1167" s="1280"/>
      <c r="IR1167" s="1280"/>
      <c r="IS1167" s="1280"/>
      <c r="IT1167" s="1280"/>
      <c r="IU1167" s="1280"/>
      <c r="IV1167" s="1280"/>
      <c r="IW1167" s="1280"/>
      <c r="IX1167" s="1280"/>
      <c r="IY1167" s="1280"/>
      <c r="IZ1167" s="1280"/>
      <c r="JA1167" s="1280"/>
      <c r="JB1167" s="1280"/>
      <c r="JC1167" s="1280"/>
      <c r="JD1167" s="1280"/>
      <c r="JE1167" s="1280"/>
      <c r="JF1167" s="1280"/>
      <c r="JG1167" s="1280"/>
      <c r="JH1167" s="1280"/>
      <c r="JI1167" s="1280"/>
      <c r="JJ1167" s="1280"/>
      <c r="JK1167" s="1280"/>
      <c r="JL1167" s="1280"/>
      <c r="JM1167" s="1280"/>
      <c r="JN1167" s="1280"/>
      <c r="JO1167" s="1280"/>
      <c r="JP1167" s="1280"/>
      <c r="JQ1167" s="1280"/>
      <c r="JR1167" s="1280"/>
      <c r="JS1167" s="1280"/>
      <c r="JT1167" s="1280"/>
      <c r="JU1167" s="1280"/>
      <c r="JV1167" s="1280"/>
      <c r="JW1167" s="1280"/>
      <c r="JX1167" s="1280"/>
      <c r="JY1167" s="1280"/>
      <c r="JZ1167" s="1280"/>
      <c r="KA1167" s="1280"/>
      <c r="KB1167" s="1280"/>
      <c r="KC1167" s="1280"/>
      <c r="KD1167" s="1280"/>
      <c r="KE1167" s="1280"/>
      <c r="KF1167" s="1280"/>
      <c r="KG1167" s="1280"/>
      <c r="KH1167" s="1280"/>
      <c r="KI1167" s="1280"/>
      <c r="KJ1167" s="1280"/>
      <c r="KK1167" s="1280"/>
      <c r="KL1167" s="1280"/>
      <c r="KM1167" s="1280"/>
      <c r="KN1167" s="1280"/>
      <c r="KO1167" s="1280"/>
      <c r="KP1167" s="1280"/>
      <c r="KQ1167" s="1280"/>
      <c r="KR1167" s="1280"/>
      <c r="KS1167" s="1280"/>
      <c r="KT1167" s="1280"/>
      <c r="KU1167" s="1280"/>
      <c r="KV1167" s="1280"/>
      <c r="KW1167" s="1280"/>
      <c r="KX1167" s="1280"/>
      <c r="KY1167" s="1280"/>
      <c r="KZ1167" s="1280"/>
      <c r="LA1167" s="1280"/>
      <c r="LB1167" s="1280"/>
      <c r="LC1167" s="1280"/>
      <c r="LD1167" s="1280"/>
      <c r="LE1167" s="1280"/>
      <c r="LF1167" s="1280"/>
      <c r="LG1167" s="1280"/>
      <c r="LH1167" s="1280"/>
      <c r="LI1167" s="1280"/>
      <c r="LJ1167" s="1280"/>
      <c r="LK1167" s="1280"/>
      <c r="LL1167" s="1280"/>
      <c r="LM1167" s="1280"/>
      <c r="LN1167" s="1280"/>
      <c r="LO1167" s="1280"/>
      <c r="LP1167" s="1280"/>
      <c r="LQ1167" s="1280"/>
      <c r="LR1167" s="1280"/>
      <c r="LS1167" s="1280"/>
      <c r="LT1167" s="1280"/>
      <c r="LU1167" s="1280"/>
      <c r="LV1167" s="1280"/>
      <c r="LW1167" s="1280"/>
      <c r="LX1167" s="1280"/>
      <c r="LY1167" s="1280"/>
      <c r="LZ1167" s="1280"/>
      <c r="MA1167" s="1280"/>
      <c r="MB1167" s="1280"/>
      <c r="MC1167" s="1280"/>
      <c r="MD1167" s="1280"/>
      <c r="ME1167" s="1280"/>
      <c r="MF1167" s="1280"/>
      <c r="MG1167" s="1280"/>
      <c r="MH1167" s="1280"/>
      <c r="MI1167" s="1280"/>
      <c r="MJ1167" s="1280"/>
      <c r="MK1167" s="1280"/>
      <c r="ML1167" s="1280"/>
      <c r="MM1167" s="1280"/>
      <c r="MN1167" s="1280"/>
      <c r="MO1167" s="1280"/>
      <c r="MP1167" s="1280"/>
      <c r="MQ1167" s="1280"/>
      <c r="MR1167" s="1280"/>
      <c r="MS1167" s="1280"/>
      <c r="MT1167" s="1280"/>
      <c r="MU1167" s="1280"/>
      <c r="MV1167" s="1280"/>
      <c r="MW1167" s="1280"/>
      <c r="MX1167" s="1280"/>
      <c r="MY1167" s="1280"/>
      <c r="MZ1167" s="1280"/>
      <c r="NA1167" s="1280"/>
      <c r="NB1167" s="1280"/>
      <c r="NC1167" s="1280"/>
      <c r="ND1167" s="1280"/>
      <c r="NE1167" s="1280"/>
      <c r="NF1167" s="1280"/>
      <c r="NG1167" s="1280"/>
      <c r="NH1167" s="1280"/>
      <c r="NI1167" s="1280"/>
      <c r="NJ1167" s="1280"/>
      <c r="NK1167" s="1280"/>
      <c r="NL1167" s="1280"/>
      <c r="NM1167" s="1280"/>
      <c r="NN1167" s="1280"/>
      <c r="NO1167" s="1280"/>
      <c r="NP1167" s="1280"/>
      <c r="NQ1167" s="1280"/>
      <c r="NR1167" s="1280"/>
      <c r="NS1167" s="1280"/>
      <c r="NT1167" s="1280"/>
      <c r="NU1167" s="1280"/>
      <c r="NV1167" s="1280"/>
      <c r="NW1167" s="1280"/>
      <c r="NX1167" s="1280"/>
      <c r="NY1167" s="1280"/>
      <c r="NZ1167" s="1280"/>
      <c r="OA1167" s="1280"/>
      <c r="OB1167" s="1280"/>
      <c r="OC1167" s="1280"/>
      <c r="OD1167" s="1280"/>
      <c r="OE1167" s="1280"/>
      <c r="OF1167" s="1280"/>
      <c r="OG1167" s="1280"/>
      <c r="OH1167" s="1280"/>
      <c r="OI1167" s="1280"/>
      <c r="OJ1167" s="1280"/>
      <c r="OK1167" s="1280"/>
      <c r="OL1167" s="1280"/>
      <c r="OM1167" s="1280"/>
      <c r="ON1167" s="1280"/>
      <c r="OO1167" s="1280"/>
      <c r="OP1167" s="1280"/>
      <c r="OQ1167" s="1280"/>
      <c r="OR1167" s="1280"/>
      <c r="OS1167" s="1280"/>
      <c r="OT1167" s="1280"/>
      <c r="OU1167" s="1280"/>
      <c r="OV1167" s="1280"/>
      <c r="OW1167" s="1280"/>
      <c r="OX1167" s="1280"/>
      <c r="OY1167" s="1280"/>
      <c r="OZ1167" s="1280"/>
      <c r="PA1167" s="1280"/>
      <c r="PB1167" s="1280"/>
      <c r="PC1167" s="1280"/>
      <c r="PD1167" s="1280"/>
      <c r="PE1167" s="1280"/>
      <c r="PF1167" s="1280"/>
      <c r="PG1167" s="1280"/>
      <c r="PH1167" s="1280"/>
      <c r="PI1167" s="1280"/>
      <c r="PJ1167" s="1280"/>
      <c r="PK1167" s="1280"/>
      <c r="PL1167" s="1280"/>
      <c r="PM1167" s="1280"/>
      <c r="PN1167" s="1280"/>
      <c r="PO1167" s="1280"/>
      <c r="PP1167" s="1280"/>
      <c r="PQ1167" s="1280"/>
      <c r="PR1167" s="1280"/>
      <c r="PS1167" s="1280"/>
      <c r="PT1167" s="1280"/>
      <c r="PU1167" s="1280"/>
      <c r="PV1167" s="1280"/>
      <c r="PW1167" s="1280"/>
      <c r="PX1167" s="1280"/>
      <c r="PY1167" s="1280"/>
      <c r="PZ1167" s="1280"/>
      <c r="QA1167" s="1280"/>
      <c r="QB1167" s="1280"/>
      <c r="QC1167" s="1280"/>
      <c r="QD1167" s="1280"/>
      <c r="QE1167" s="1280"/>
      <c r="QF1167" s="1280"/>
      <c r="QG1167" s="1280"/>
      <c r="QH1167" s="1280"/>
      <c r="QI1167" s="1280"/>
      <c r="QJ1167" s="1280"/>
      <c r="QK1167" s="1280"/>
      <c r="QL1167" s="1280"/>
      <c r="QM1167" s="1280"/>
      <c r="QN1167" s="1280"/>
      <c r="QO1167" s="1280"/>
      <c r="QP1167" s="1280"/>
      <c r="QQ1167" s="1280"/>
      <c r="QR1167" s="1280"/>
      <c r="QS1167" s="1280"/>
      <c r="QT1167" s="1280"/>
      <c r="QU1167" s="1280"/>
      <c r="QV1167" s="1280"/>
      <c r="QW1167" s="1280"/>
      <c r="QX1167" s="1280"/>
      <c r="QY1167" s="1280"/>
      <c r="QZ1167" s="1280"/>
      <c r="RA1167" s="1280"/>
      <c r="RB1167" s="1280"/>
      <c r="RC1167" s="1280"/>
      <c r="RD1167" s="1280"/>
      <c r="RE1167" s="1280"/>
      <c r="RF1167" s="1280"/>
      <c r="RG1167" s="1280"/>
      <c r="RH1167" s="1280"/>
      <c r="RI1167" s="1280"/>
      <c r="RJ1167" s="1280"/>
      <c r="RK1167" s="1280"/>
      <c r="RL1167" s="1280"/>
      <c r="RM1167" s="1280"/>
      <c r="RN1167" s="1280"/>
      <c r="RO1167" s="1280"/>
      <c r="RP1167" s="1280"/>
      <c r="RQ1167" s="1280"/>
      <c r="RR1167" s="1280"/>
      <c r="RS1167" s="1280"/>
      <c r="RT1167" s="1280"/>
      <c r="RU1167" s="1280"/>
      <c r="RV1167" s="1280"/>
      <c r="RW1167" s="1280"/>
      <c r="RX1167" s="1280"/>
      <c r="RY1167" s="1280"/>
      <c r="RZ1167" s="1280"/>
      <c r="SA1167" s="1280"/>
      <c r="SB1167" s="1280"/>
      <c r="SC1167" s="1280"/>
      <c r="SD1167" s="1280"/>
      <c r="SE1167" s="1280"/>
      <c r="SF1167" s="1280"/>
      <c r="SG1167" s="1280"/>
      <c r="SH1167" s="1280"/>
      <c r="SI1167" s="1280"/>
      <c r="SJ1167" s="1280"/>
      <c r="SK1167" s="1280"/>
      <c r="SL1167" s="1280"/>
      <c r="SM1167" s="1280"/>
      <c r="SN1167" s="1280"/>
      <c r="SO1167" s="1280"/>
      <c r="SP1167" s="1280"/>
      <c r="SQ1167" s="1280"/>
      <c r="SR1167" s="1280"/>
      <c r="SS1167" s="1280"/>
      <c r="ST1167" s="1280"/>
      <c r="SU1167" s="1280"/>
      <c r="SV1167" s="1280"/>
      <c r="SW1167" s="1280"/>
      <c r="SX1167" s="1280"/>
      <c r="SY1167" s="1280"/>
      <c r="SZ1167" s="1280"/>
      <c r="TA1167" s="1280"/>
      <c r="TB1167" s="1280"/>
      <c r="TC1167" s="1280"/>
      <c r="TD1167" s="1280"/>
      <c r="TE1167" s="1280"/>
      <c r="TF1167" s="1280"/>
      <c r="TG1167" s="1280"/>
      <c r="TH1167" s="1280"/>
      <c r="TI1167" s="1280"/>
      <c r="TJ1167" s="1280"/>
      <c r="TK1167" s="1280"/>
      <c r="TL1167" s="1280"/>
      <c r="TM1167" s="1280"/>
      <c r="TN1167" s="1280"/>
      <c r="TO1167" s="1280"/>
      <c r="TP1167" s="1280"/>
      <c r="TQ1167" s="1280"/>
      <c r="TR1167" s="1280"/>
      <c r="TS1167" s="1280"/>
      <c r="TT1167" s="1280"/>
      <c r="TU1167" s="1280"/>
      <c r="TV1167" s="1280"/>
      <c r="TW1167" s="1280"/>
      <c r="TX1167" s="1280"/>
      <c r="TY1167" s="1280"/>
      <c r="TZ1167" s="1280"/>
      <c r="UA1167" s="1280"/>
      <c r="UB1167" s="1280"/>
      <c r="UC1167" s="1280"/>
      <c r="UD1167" s="1280"/>
      <c r="UE1167" s="1280"/>
      <c r="UF1167" s="1280"/>
      <c r="UG1167" s="1279"/>
    </row>
    <row r="1168" spans="1:553" s="1262" customFormat="1" ht="29.25" customHeight="1">
      <c r="A1168" s="445"/>
      <c r="B1168" s="761"/>
      <c r="C1168" s="1411" t="s">
        <v>1229</v>
      </c>
      <c r="D1168" s="1411" t="s">
        <v>1229</v>
      </c>
      <c r="E1168" s="1411" t="s">
        <v>1229</v>
      </c>
      <c r="F1168" s="1411" t="s">
        <v>1229</v>
      </c>
      <c r="G1168" s="762" t="s">
        <v>48</v>
      </c>
      <c r="H1168" s="646"/>
      <c r="I1168" s="422">
        <v>252</v>
      </c>
      <c r="J1168" s="996">
        <v>30000</v>
      </c>
      <c r="K1168" s="565"/>
      <c r="L1168" s="1074">
        <f>ROUND(PRODUCT(I1168:K1168),0)</f>
        <v>7560000</v>
      </c>
      <c r="M1168" s="356"/>
      <c r="N1168" s="356"/>
      <c r="O1168" s="356"/>
      <c r="P1168" s="356"/>
      <c r="Q1168" s="610"/>
      <c r="R1168" s="1226"/>
      <c r="S1168" s="308"/>
      <c r="T1168" s="308"/>
      <c r="U1168" s="308"/>
      <c r="V1168" s="308"/>
      <c r="W1168" s="308"/>
      <c r="X1168" s="308"/>
      <c r="Y1168" s="308"/>
      <c r="Z1168" s="604"/>
      <c r="AA1168" s="308"/>
      <c r="AB1168" s="308"/>
      <c r="AC1168" s="373"/>
      <c r="AD1168" s="373"/>
      <c r="AE1168" s="373"/>
      <c r="AF1168" s="373"/>
      <c r="AG1168" s="373"/>
      <c r="AH1168" s="373"/>
      <c r="AI1168" s="373"/>
      <c r="AJ1168" s="373"/>
      <c r="AK1168" s="389"/>
      <c r="AL1168" s="1276"/>
      <c r="AM1168" s="1276"/>
      <c r="AN1168" s="1276"/>
      <c r="AO1168" s="1276"/>
      <c r="AP1168" s="1276"/>
      <c r="AQ1168" s="1276"/>
      <c r="AR1168" s="1276"/>
      <c r="AS1168" s="1280"/>
      <c r="AT1168" s="1280"/>
      <c r="AU1168" s="1280"/>
      <c r="AV1168" s="1280"/>
      <c r="AW1168" s="1280"/>
      <c r="AX1168" s="1280"/>
      <c r="AY1168" s="1280"/>
      <c r="AZ1168" s="1280"/>
      <c r="BA1168" s="1280"/>
      <c r="BB1168" s="1280"/>
      <c r="BC1168" s="1280"/>
      <c r="BD1168" s="1280"/>
      <c r="BE1168" s="1280"/>
      <c r="BF1168" s="1280"/>
      <c r="BG1168" s="1280"/>
      <c r="BH1168" s="1280"/>
      <c r="BI1168" s="1280"/>
      <c r="BJ1168" s="1280"/>
      <c r="BK1168" s="1280"/>
      <c r="BL1168" s="1280"/>
      <c r="BM1168" s="1280"/>
      <c r="BN1168" s="1280"/>
      <c r="BO1168" s="1280"/>
      <c r="BP1168" s="1280"/>
      <c r="BQ1168" s="1280"/>
      <c r="BR1168" s="1280"/>
      <c r="BS1168" s="1280"/>
      <c r="BT1168" s="1280"/>
      <c r="BU1168" s="1280"/>
      <c r="BV1168" s="1280"/>
      <c r="BW1168" s="1280"/>
      <c r="BX1168" s="1280"/>
      <c r="BY1168" s="1280"/>
      <c r="BZ1168" s="1280"/>
      <c r="CA1168" s="1280"/>
      <c r="CB1168" s="1280"/>
      <c r="CC1168" s="1280"/>
      <c r="CD1168" s="1280"/>
      <c r="CE1168" s="1280"/>
      <c r="CF1168" s="1280"/>
      <c r="CG1168" s="1280"/>
      <c r="CH1168" s="1280"/>
      <c r="CI1168" s="1280"/>
      <c r="CJ1168" s="1280"/>
      <c r="CK1168" s="1280"/>
      <c r="CL1168" s="1280"/>
      <c r="CM1168" s="1280"/>
      <c r="CN1168" s="1280"/>
      <c r="CO1168" s="1280"/>
      <c r="CP1168" s="1280"/>
      <c r="CQ1168" s="1280"/>
      <c r="CR1168" s="1280"/>
      <c r="CS1168" s="1280"/>
      <c r="CT1168" s="1280"/>
      <c r="CU1168" s="1280"/>
      <c r="CV1168" s="1280"/>
      <c r="CW1168" s="1280"/>
      <c r="CX1168" s="1280"/>
      <c r="CY1168" s="1280"/>
      <c r="CZ1168" s="1280"/>
      <c r="DA1168" s="1280"/>
      <c r="DB1168" s="1280"/>
      <c r="DC1168" s="1280"/>
      <c r="DD1168" s="1280"/>
      <c r="DE1168" s="1280"/>
      <c r="DF1168" s="1280"/>
      <c r="DG1168" s="1280"/>
      <c r="DH1168" s="1280"/>
      <c r="DI1168" s="1280"/>
      <c r="DJ1168" s="1280"/>
      <c r="DK1168" s="1280"/>
      <c r="DL1168" s="1280"/>
      <c r="DM1168" s="1280"/>
      <c r="DN1168" s="1280"/>
      <c r="DO1168" s="1280"/>
      <c r="DP1168" s="1280"/>
      <c r="DQ1168" s="1280"/>
      <c r="DR1168" s="1280"/>
      <c r="DS1168" s="1280"/>
      <c r="DT1168" s="1280"/>
      <c r="DU1168" s="1280"/>
      <c r="DV1168" s="1280"/>
      <c r="DW1168" s="1280"/>
      <c r="DX1168" s="1280"/>
      <c r="DY1168" s="1280"/>
      <c r="DZ1168" s="1280"/>
      <c r="EA1168" s="1280"/>
      <c r="EB1168" s="1280"/>
      <c r="EC1168" s="1280"/>
      <c r="ED1168" s="1280"/>
      <c r="EE1168" s="1280"/>
      <c r="EF1168" s="1280"/>
      <c r="EG1168" s="1280"/>
      <c r="EH1168" s="1280"/>
      <c r="EI1168" s="1280"/>
      <c r="EJ1168" s="1280"/>
      <c r="EK1168" s="1280"/>
      <c r="EL1168" s="1280"/>
      <c r="EM1168" s="1280"/>
      <c r="EN1168" s="1280"/>
      <c r="EO1168" s="1280"/>
      <c r="EP1168" s="1280"/>
      <c r="EQ1168" s="1280"/>
      <c r="ER1168" s="1280"/>
      <c r="ES1168" s="1280"/>
      <c r="ET1168" s="1280"/>
      <c r="EU1168" s="1280"/>
      <c r="EV1168" s="1280"/>
      <c r="EW1168" s="1280"/>
      <c r="EX1168" s="1280"/>
      <c r="EY1168" s="1280"/>
      <c r="EZ1168" s="1280"/>
      <c r="FA1168" s="1280"/>
      <c r="FB1168" s="1280"/>
      <c r="FC1168" s="1280"/>
      <c r="FD1168" s="1280"/>
      <c r="FE1168" s="1280"/>
      <c r="FF1168" s="1280"/>
      <c r="FG1168" s="1280"/>
      <c r="FH1168" s="1280"/>
      <c r="FI1168" s="1280"/>
      <c r="FJ1168" s="1280"/>
      <c r="FK1168" s="1280"/>
      <c r="FL1168" s="1280"/>
      <c r="FM1168" s="1280"/>
      <c r="FN1168" s="1280"/>
      <c r="FO1168" s="1280"/>
      <c r="FP1168" s="1280"/>
      <c r="FQ1168" s="1280"/>
      <c r="FR1168" s="1280"/>
      <c r="FS1168" s="1280"/>
      <c r="FT1168" s="1280"/>
      <c r="FU1168" s="1280"/>
      <c r="FV1168" s="1280"/>
      <c r="FW1168" s="1280"/>
      <c r="FX1168" s="1280"/>
      <c r="FY1168" s="1280"/>
      <c r="FZ1168" s="1280"/>
      <c r="GA1168" s="1280"/>
      <c r="GB1168" s="1280"/>
      <c r="GC1168" s="1280"/>
      <c r="GD1168" s="1280"/>
      <c r="GE1168" s="1280"/>
      <c r="GF1168" s="1280"/>
      <c r="GG1168" s="1280"/>
      <c r="GH1168" s="1280"/>
      <c r="GI1168" s="1280"/>
      <c r="GJ1168" s="1280"/>
      <c r="GK1168" s="1280"/>
      <c r="GL1168" s="1280"/>
      <c r="GM1168" s="1280"/>
      <c r="GN1168" s="1280"/>
      <c r="GO1168" s="1280"/>
      <c r="GP1168" s="1280"/>
      <c r="GQ1168" s="1280"/>
      <c r="GR1168" s="1280"/>
      <c r="GS1168" s="1280"/>
      <c r="GT1168" s="1280"/>
      <c r="GU1168" s="1280"/>
      <c r="GV1168" s="1280"/>
      <c r="GW1168" s="1280"/>
      <c r="GX1168" s="1280"/>
      <c r="GY1168" s="1280"/>
      <c r="GZ1168" s="1280"/>
      <c r="HA1168" s="1280"/>
      <c r="HB1168" s="1280"/>
      <c r="HC1168" s="1280"/>
      <c r="HD1168" s="1280"/>
      <c r="HE1168" s="1280"/>
      <c r="HF1168" s="1280"/>
      <c r="HG1168" s="1280"/>
      <c r="HH1168" s="1280"/>
      <c r="HI1168" s="1280"/>
      <c r="HJ1168" s="1280"/>
      <c r="HK1168" s="1280"/>
      <c r="HL1168" s="1280"/>
      <c r="HM1168" s="1280"/>
      <c r="HN1168" s="1280"/>
      <c r="HO1168" s="1280"/>
      <c r="HP1168" s="1280"/>
      <c r="HQ1168" s="1280"/>
      <c r="HR1168" s="1280"/>
      <c r="HS1168" s="1280"/>
      <c r="HT1168" s="1280"/>
      <c r="HU1168" s="1280"/>
      <c r="HV1168" s="1280"/>
      <c r="HW1168" s="1280"/>
      <c r="HX1168" s="1280"/>
      <c r="HY1168" s="1280"/>
      <c r="HZ1168" s="1280"/>
      <c r="IA1168" s="1280"/>
      <c r="IB1168" s="1280"/>
      <c r="IC1168" s="1280"/>
      <c r="ID1168" s="1280"/>
      <c r="IE1168" s="1280"/>
      <c r="IF1168" s="1280"/>
      <c r="IG1168" s="1280"/>
      <c r="IH1168" s="1280"/>
      <c r="II1168" s="1280"/>
      <c r="IJ1168" s="1280"/>
      <c r="IK1168" s="1280"/>
      <c r="IL1168" s="1280"/>
      <c r="IM1168" s="1280"/>
      <c r="IN1168" s="1280"/>
      <c r="IO1168" s="1280"/>
      <c r="IP1168" s="1280"/>
      <c r="IQ1168" s="1280"/>
      <c r="IR1168" s="1280"/>
      <c r="IS1168" s="1280"/>
      <c r="IT1168" s="1280"/>
      <c r="IU1168" s="1280"/>
      <c r="IV1168" s="1280"/>
      <c r="IW1168" s="1280"/>
      <c r="IX1168" s="1280"/>
      <c r="IY1168" s="1280"/>
      <c r="IZ1168" s="1280"/>
      <c r="JA1168" s="1280"/>
      <c r="JB1168" s="1280"/>
      <c r="JC1168" s="1280"/>
      <c r="JD1168" s="1280"/>
      <c r="JE1168" s="1280"/>
      <c r="JF1168" s="1280"/>
      <c r="JG1168" s="1280"/>
      <c r="JH1168" s="1280"/>
      <c r="JI1168" s="1280"/>
      <c r="JJ1168" s="1280"/>
      <c r="JK1168" s="1280"/>
      <c r="JL1168" s="1280"/>
      <c r="JM1168" s="1280"/>
      <c r="JN1168" s="1280"/>
      <c r="JO1168" s="1280"/>
      <c r="JP1168" s="1280"/>
      <c r="JQ1168" s="1280"/>
      <c r="JR1168" s="1280"/>
      <c r="JS1168" s="1280"/>
      <c r="JT1168" s="1280"/>
      <c r="JU1168" s="1280"/>
      <c r="JV1168" s="1280"/>
      <c r="JW1168" s="1280"/>
      <c r="JX1168" s="1280"/>
      <c r="JY1168" s="1280"/>
      <c r="JZ1168" s="1280"/>
      <c r="KA1168" s="1280"/>
      <c r="KB1168" s="1280"/>
      <c r="KC1168" s="1280"/>
      <c r="KD1168" s="1280"/>
      <c r="KE1168" s="1280"/>
      <c r="KF1168" s="1280"/>
      <c r="KG1168" s="1280"/>
      <c r="KH1168" s="1280"/>
      <c r="KI1168" s="1280"/>
      <c r="KJ1168" s="1280"/>
      <c r="KK1168" s="1280"/>
      <c r="KL1168" s="1280"/>
      <c r="KM1168" s="1280"/>
      <c r="KN1168" s="1280"/>
      <c r="KO1168" s="1280"/>
      <c r="KP1168" s="1280"/>
      <c r="KQ1168" s="1280"/>
      <c r="KR1168" s="1280"/>
      <c r="KS1168" s="1280"/>
      <c r="KT1168" s="1280"/>
      <c r="KU1168" s="1280"/>
      <c r="KV1168" s="1280"/>
      <c r="KW1168" s="1280"/>
      <c r="KX1168" s="1280"/>
      <c r="KY1168" s="1280"/>
      <c r="KZ1168" s="1280"/>
      <c r="LA1168" s="1280"/>
      <c r="LB1168" s="1280"/>
      <c r="LC1168" s="1280"/>
      <c r="LD1168" s="1280"/>
      <c r="LE1168" s="1280"/>
      <c r="LF1168" s="1280"/>
      <c r="LG1168" s="1280"/>
      <c r="LH1168" s="1280"/>
      <c r="LI1168" s="1280"/>
      <c r="LJ1168" s="1280"/>
      <c r="LK1168" s="1280"/>
      <c r="LL1168" s="1280"/>
      <c r="LM1168" s="1280"/>
      <c r="LN1168" s="1280"/>
      <c r="LO1168" s="1280"/>
      <c r="LP1168" s="1280"/>
      <c r="LQ1168" s="1280"/>
      <c r="LR1168" s="1280"/>
      <c r="LS1168" s="1280"/>
      <c r="LT1168" s="1280"/>
      <c r="LU1168" s="1280"/>
      <c r="LV1168" s="1280"/>
      <c r="LW1168" s="1280"/>
      <c r="LX1168" s="1280"/>
      <c r="LY1168" s="1280"/>
      <c r="LZ1168" s="1280"/>
      <c r="MA1168" s="1280"/>
      <c r="MB1168" s="1280"/>
      <c r="MC1168" s="1280"/>
      <c r="MD1168" s="1280"/>
      <c r="ME1168" s="1280"/>
      <c r="MF1168" s="1280"/>
      <c r="MG1168" s="1280"/>
      <c r="MH1168" s="1280"/>
      <c r="MI1168" s="1280"/>
      <c r="MJ1168" s="1280"/>
      <c r="MK1168" s="1280"/>
      <c r="ML1168" s="1280"/>
      <c r="MM1168" s="1280"/>
      <c r="MN1168" s="1280"/>
      <c r="MO1168" s="1280"/>
      <c r="MP1168" s="1280"/>
      <c r="MQ1168" s="1280"/>
      <c r="MR1168" s="1280"/>
      <c r="MS1168" s="1280"/>
      <c r="MT1168" s="1280"/>
      <c r="MU1168" s="1280"/>
      <c r="MV1168" s="1280"/>
      <c r="MW1168" s="1280"/>
      <c r="MX1168" s="1280"/>
      <c r="MY1168" s="1280"/>
      <c r="MZ1168" s="1280"/>
      <c r="NA1168" s="1280"/>
      <c r="NB1168" s="1280"/>
      <c r="NC1168" s="1280"/>
      <c r="ND1168" s="1280"/>
      <c r="NE1168" s="1280"/>
      <c r="NF1168" s="1280"/>
      <c r="NG1168" s="1280"/>
      <c r="NH1168" s="1280"/>
      <c r="NI1168" s="1280"/>
      <c r="NJ1168" s="1280"/>
      <c r="NK1168" s="1280"/>
      <c r="NL1168" s="1280"/>
      <c r="NM1168" s="1280"/>
      <c r="NN1168" s="1280"/>
      <c r="NO1168" s="1280"/>
      <c r="NP1168" s="1280"/>
      <c r="NQ1168" s="1280"/>
      <c r="NR1168" s="1280"/>
      <c r="NS1168" s="1280"/>
      <c r="NT1168" s="1280"/>
      <c r="NU1168" s="1280"/>
      <c r="NV1168" s="1280"/>
      <c r="NW1168" s="1280"/>
      <c r="NX1168" s="1280"/>
      <c r="NY1168" s="1280"/>
      <c r="NZ1168" s="1280"/>
      <c r="OA1168" s="1280"/>
      <c r="OB1168" s="1280"/>
      <c r="OC1168" s="1280"/>
      <c r="OD1168" s="1280"/>
      <c r="OE1168" s="1280"/>
      <c r="OF1168" s="1280"/>
      <c r="OG1168" s="1280"/>
      <c r="OH1168" s="1280"/>
      <c r="OI1168" s="1280"/>
      <c r="OJ1168" s="1280"/>
      <c r="OK1168" s="1280"/>
      <c r="OL1168" s="1280"/>
      <c r="OM1168" s="1280"/>
      <c r="ON1168" s="1280"/>
      <c r="OO1168" s="1280"/>
      <c r="OP1168" s="1280"/>
      <c r="OQ1168" s="1280"/>
      <c r="OR1168" s="1280"/>
      <c r="OS1168" s="1280"/>
      <c r="OT1168" s="1280"/>
      <c r="OU1168" s="1280"/>
      <c r="OV1168" s="1280"/>
      <c r="OW1168" s="1280"/>
      <c r="OX1168" s="1280"/>
      <c r="OY1168" s="1280"/>
      <c r="OZ1168" s="1280"/>
      <c r="PA1168" s="1280"/>
      <c r="PB1168" s="1280"/>
      <c r="PC1168" s="1280"/>
      <c r="PD1168" s="1280"/>
      <c r="PE1168" s="1280"/>
      <c r="PF1168" s="1280"/>
      <c r="PG1168" s="1280"/>
      <c r="PH1168" s="1280"/>
      <c r="PI1168" s="1280"/>
      <c r="PJ1168" s="1280"/>
      <c r="PK1168" s="1280"/>
      <c r="PL1168" s="1280"/>
      <c r="PM1168" s="1280"/>
      <c r="PN1168" s="1280"/>
      <c r="PO1168" s="1280"/>
      <c r="PP1168" s="1280"/>
      <c r="PQ1168" s="1280"/>
      <c r="PR1168" s="1280"/>
      <c r="PS1168" s="1280"/>
      <c r="PT1168" s="1280"/>
      <c r="PU1168" s="1280"/>
      <c r="PV1168" s="1280"/>
      <c r="PW1168" s="1280"/>
      <c r="PX1168" s="1280"/>
      <c r="PY1168" s="1280"/>
      <c r="PZ1168" s="1280"/>
      <c r="QA1168" s="1280"/>
      <c r="QB1168" s="1280"/>
      <c r="QC1168" s="1280"/>
      <c r="QD1168" s="1280"/>
      <c r="QE1168" s="1280"/>
      <c r="QF1168" s="1280"/>
      <c r="QG1168" s="1280"/>
      <c r="QH1168" s="1280"/>
      <c r="QI1168" s="1280"/>
      <c r="QJ1168" s="1280"/>
      <c r="QK1168" s="1280"/>
      <c r="QL1168" s="1280"/>
      <c r="QM1168" s="1280"/>
      <c r="QN1168" s="1280"/>
      <c r="QO1168" s="1280"/>
      <c r="QP1168" s="1280"/>
      <c r="QQ1168" s="1280"/>
      <c r="QR1168" s="1280"/>
      <c r="QS1168" s="1280"/>
      <c r="QT1168" s="1280"/>
      <c r="QU1168" s="1280"/>
      <c r="QV1168" s="1280"/>
      <c r="QW1168" s="1280"/>
      <c r="QX1168" s="1280"/>
      <c r="QY1168" s="1280"/>
      <c r="QZ1168" s="1280"/>
      <c r="RA1168" s="1280"/>
      <c r="RB1168" s="1280"/>
      <c r="RC1168" s="1280"/>
      <c r="RD1168" s="1280"/>
      <c r="RE1168" s="1280"/>
      <c r="RF1168" s="1280"/>
      <c r="RG1168" s="1280"/>
      <c r="RH1168" s="1280"/>
      <c r="RI1168" s="1280"/>
      <c r="RJ1168" s="1280"/>
      <c r="RK1168" s="1280"/>
      <c r="RL1168" s="1280"/>
      <c r="RM1168" s="1280"/>
      <c r="RN1168" s="1280"/>
      <c r="RO1168" s="1280"/>
      <c r="RP1168" s="1280"/>
      <c r="RQ1168" s="1280"/>
      <c r="RR1168" s="1280"/>
      <c r="RS1168" s="1280"/>
      <c r="RT1168" s="1280"/>
      <c r="RU1168" s="1280"/>
      <c r="RV1168" s="1280"/>
      <c r="RW1168" s="1280"/>
      <c r="RX1168" s="1280"/>
      <c r="RY1168" s="1280"/>
      <c r="RZ1168" s="1280"/>
      <c r="SA1168" s="1280"/>
      <c r="SB1168" s="1280"/>
      <c r="SC1168" s="1280"/>
      <c r="SD1168" s="1280"/>
      <c r="SE1168" s="1280"/>
      <c r="SF1168" s="1280"/>
      <c r="SG1168" s="1280"/>
      <c r="SH1168" s="1280"/>
      <c r="SI1168" s="1280"/>
      <c r="SJ1168" s="1280"/>
      <c r="SK1168" s="1280"/>
      <c r="SL1168" s="1280"/>
      <c r="SM1168" s="1280"/>
      <c r="SN1168" s="1280"/>
      <c r="SO1168" s="1280"/>
      <c r="SP1168" s="1280"/>
      <c r="SQ1168" s="1280"/>
      <c r="SR1168" s="1280"/>
      <c r="SS1168" s="1280"/>
      <c r="ST1168" s="1280"/>
      <c r="SU1168" s="1280"/>
      <c r="SV1168" s="1280"/>
      <c r="SW1168" s="1280"/>
      <c r="SX1168" s="1280"/>
      <c r="SY1168" s="1280"/>
      <c r="SZ1168" s="1280"/>
      <c r="TA1168" s="1280"/>
      <c r="TB1168" s="1280"/>
      <c r="TC1168" s="1280"/>
      <c r="TD1168" s="1280"/>
      <c r="TE1168" s="1280"/>
      <c r="TF1168" s="1280"/>
      <c r="TG1168" s="1280"/>
      <c r="TH1168" s="1280"/>
      <c r="TI1168" s="1280"/>
      <c r="TJ1168" s="1280"/>
      <c r="TK1168" s="1280"/>
      <c r="TL1168" s="1280"/>
      <c r="TM1168" s="1280"/>
      <c r="TN1168" s="1280"/>
      <c r="TO1168" s="1280"/>
      <c r="TP1168" s="1280"/>
      <c r="TQ1168" s="1280"/>
      <c r="TR1168" s="1280"/>
      <c r="TS1168" s="1280"/>
      <c r="TT1168" s="1280"/>
      <c r="TU1168" s="1280"/>
      <c r="TV1168" s="1280"/>
      <c r="TW1168" s="1280"/>
      <c r="TX1168" s="1280"/>
      <c r="TY1168" s="1280"/>
      <c r="TZ1168" s="1280"/>
      <c r="UA1168" s="1280"/>
      <c r="UB1168" s="1280"/>
      <c r="UC1168" s="1280"/>
      <c r="UD1168" s="1280"/>
      <c r="UE1168" s="1280"/>
      <c r="UF1168" s="1280"/>
      <c r="UG1168" s="1279"/>
    </row>
    <row r="1169" spans="1:553" s="1262" customFormat="1" ht="39.75" customHeight="1">
      <c r="A1169" s="445"/>
      <c r="B1169" s="761"/>
      <c r="C1169" s="1411" t="s">
        <v>1230</v>
      </c>
      <c r="D1169" s="1411" t="s">
        <v>1230</v>
      </c>
      <c r="E1169" s="1411" t="s">
        <v>1230</v>
      </c>
      <c r="F1169" s="1411" t="s">
        <v>1230</v>
      </c>
      <c r="G1169" s="776" t="s">
        <v>50</v>
      </c>
      <c r="H1169" s="646"/>
      <c r="I1169" s="422">
        <v>5</v>
      </c>
      <c r="J1169" s="368">
        <v>230000</v>
      </c>
      <c r="K1169" s="565"/>
      <c r="L1169" s="1074">
        <f>ROUND(PRODUCT(I1169:K1169),0)</f>
        <v>1150000</v>
      </c>
      <c r="M1169" s="356"/>
      <c r="N1169" s="356"/>
      <c r="O1169" s="356"/>
      <c r="P1169" s="356"/>
      <c r="Q1169" s="610"/>
      <c r="R1169" s="1226"/>
      <c r="S1169" s="308"/>
      <c r="T1169" s="308"/>
      <c r="U1169" s="308"/>
      <c r="V1169" s="308"/>
      <c r="W1169" s="308"/>
      <c r="X1169" s="308"/>
      <c r="Y1169" s="308"/>
      <c r="Z1169" s="604"/>
      <c r="AA1169" s="308"/>
      <c r="AB1169" s="308"/>
      <c r="AC1169" s="373"/>
      <c r="AD1169" s="373"/>
      <c r="AE1169" s="373"/>
      <c r="AF1169" s="373"/>
      <c r="AG1169" s="373"/>
      <c r="AH1169" s="373"/>
      <c r="AI1169" s="373"/>
      <c r="AJ1169" s="373"/>
      <c r="AK1169" s="389"/>
      <c r="AL1169" s="1276"/>
      <c r="AM1169" s="1276"/>
      <c r="AN1169" s="1276"/>
      <c r="AO1169" s="1276"/>
      <c r="AP1169" s="1276"/>
      <c r="AQ1169" s="1276"/>
      <c r="AR1169" s="1276"/>
      <c r="AS1169" s="1280"/>
      <c r="AT1169" s="1280"/>
      <c r="AU1169" s="1280"/>
      <c r="AV1169" s="1280"/>
      <c r="AW1169" s="1280"/>
      <c r="AX1169" s="1280"/>
      <c r="AY1169" s="1280"/>
      <c r="AZ1169" s="1280"/>
      <c r="BA1169" s="1280"/>
      <c r="BB1169" s="1280"/>
      <c r="BC1169" s="1280"/>
      <c r="BD1169" s="1280"/>
      <c r="BE1169" s="1280"/>
      <c r="BF1169" s="1280"/>
      <c r="BG1169" s="1280"/>
      <c r="BH1169" s="1280"/>
      <c r="BI1169" s="1280"/>
      <c r="BJ1169" s="1280"/>
      <c r="BK1169" s="1280"/>
      <c r="BL1169" s="1280"/>
      <c r="BM1169" s="1280"/>
      <c r="BN1169" s="1280"/>
      <c r="BO1169" s="1280"/>
      <c r="BP1169" s="1280"/>
      <c r="BQ1169" s="1280"/>
      <c r="BR1169" s="1280"/>
      <c r="BS1169" s="1280"/>
      <c r="BT1169" s="1280"/>
      <c r="BU1169" s="1280"/>
      <c r="BV1169" s="1280"/>
      <c r="BW1169" s="1280"/>
      <c r="BX1169" s="1280"/>
      <c r="BY1169" s="1280"/>
      <c r="BZ1169" s="1280"/>
      <c r="CA1169" s="1280"/>
      <c r="CB1169" s="1280"/>
      <c r="CC1169" s="1280"/>
      <c r="CD1169" s="1280"/>
      <c r="CE1169" s="1280"/>
      <c r="CF1169" s="1280"/>
      <c r="CG1169" s="1280"/>
      <c r="CH1169" s="1280"/>
      <c r="CI1169" s="1280"/>
      <c r="CJ1169" s="1280"/>
      <c r="CK1169" s="1280"/>
      <c r="CL1169" s="1280"/>
      <c r="CM1169" s="1280"/>
      <c r="CN1169" s="1280"/>
      <c r="CO1169" s="1280"/>
      <c r="CP1169" s="1280"/>
      <c r="CQ1169" s="1280"/>
      <c r="CR1169" s="1280"/>
      <c r="CS1169" s="1280"/>
      <c r="CT1169" s="1280"/>
      <c r="CU1169" s="1280"/>
      <c r="CV1169" s="1280"/>
      <c r="CW1169" s="1280"/>
      <c r="CX1169" s="1280"/>
      <c r="CY1169" s="1280"/>
      <c r="CZ1169" s="1280"/>
      <c r="DA1169" s="1280"/>
      <c r="DB1169" s="1280"/>
      <c r="DC1169" s="1280"/>
      <c r="DD1169" s="1280"/>
      <c r="DE1169" s="1280"/>
      <c r="DF1169" s="1280"/>
      <c r="DG1169" s="1280"/>
      <c r="DH1169" s="1280"/>
      <c r="DI1169" s="1280"/>
      <c r="DJ1169" s="1280"/>
      <c r="DK1169" s="1280"/>
      <c r="DL1169" s="1280"/>
      <c r="DM1169" s="1280"/>
      <c r="DN1169" s="1280"/>
      <c r="DO1169" s="1280"/>
      <c r="DP1169" s="1280"/>
      <c r="DQ1169" s="1280"/>
      <c r="DR1169" s="1280"/>
      <c r="DS1169" s="1280"/>
      <c r="DT1169" s="1280"/>
      <c r="DU1169" s="1280"/>
      <c r="DV1169" s="1280"/>
      <c r="DW1169" s="1280"/>
      <c r="DX1169" s="1280"/>
      <c r="DY1169" s="1280"/>
      <c r="DZ1169" s="1280"/>
      <c r="EA1169" s="1280"/>
      <c r="EB1169" s="1280"/>
      <c r="EC1169" s="1280"/>
      <c r="ED1169" s="1280"/>
      <c r="EE1169" s="1280"/>
      <c r="EF1169" s="1280"/>
      <c r="EG1169" s="1280"/>
      <c r="EH1169" s="1280"/>
      <c r="EI1169" s="1280"/>
      <c r="EJ1169" s="1280"/>
      <c r="EK1169" s="1280"/>
      <c r="EL1169" s="1280"/>
      <c r="EM1169" s="1280"/>
      <c r="EN1169" s="1280"/>
      <c r="EO1169" s="1280"/>
      <c r="EP1169" s="1280"/>
      <c r="EQ1169" s="1280"/>
      <c r="ER1169" s="1280"/>
      <c r="ES1169" s="1280"/>
      <c r="ET1169" s="1280"/>
      <c r="EU1169" s="1280"/>
      <c r="EV1169" s="1280"/>
      <c r="EW1169" s="1280"/>
      <c r="EX1169" s="1280"/>
      <c r="EY1169" s="1280"/>
      <c r="EZ1169" s="1280"/>
      <c r="FA1169" s="1280"/>
      <c r="FB1169" s="1280"/>
      <c r="FC1169" s="1280"/>
      <c r="FD1169" s="1280"/>
      <c r="FE1169" s="1280"/>
      <c r="FF1169" s="1280"/>
      <c r="FG1169" s="1280"/>
      <c r="FH1169" s="1280"/>
      <c r="FI1169" s="1280"/>
      <c r="FJ1169" s="1280"/>
      <c r="FK1169" s="1280"/>
      <c r="FL1169" s="1280"/>
      <c r="FM1169" s="1280"/>
      <c r="FN1169" s="1280"/>
      <c r="FO1169" s="1280"/>
      <c r="FP1169" s="1280"/>
      <c r="FQ1169" s="1280"/>
      <c r="FR1169" s="1280"/>
      <c r="FS1169" s="1280"/>
      <c r="FT1169" s="1280"/>
      <c r="FU1169" s="1280"/>
      <c r="FV1169" s="1280"/>
      <c r="FW1169" s="1280"/>
      <c r="FX1169" s="1280"/>
      <c r="FY1169" s="1280"/>
      <c r="FZ1169" s="1280"/>
      <c r="GA1169" s="1280"/>
      <c r="GB1169" s="1280"/>
      <c r="GC1169" s="1280"/>
      <c r="GD1169" s="1280"/>
      <c r="GE1169" s="1280"/>
      <c r="GF1169" s="1280"/>
      <c r="GG1169" s="1280"/>
      <c r="GH1169" s="1280"/>
      <c r="GI1169" s="1280"/>
      <c r="GJ1169" s="1280"/>
      <c r="GK1169" s="1280"/>
      <c r="GL1169" s="1280"/>
      <c r="GM1169" s="1280"/>
      <c r="GN1169" s="1280"/>
      <c r="GO1169" s="1280"/>
      <c r="GP1169" s="1280"/>
      <c r="GQ1169" s="1280"/>
      <c r="GR1169" s="1280"/>
      <c r="GS1169" s="1280"/>
      <c r="GT1169" s="1280"/>
      <c r="GU1169" s="1280"/>
      <c r="GV1169" s="1280"/>
      <c r="GW1169" s="1280"/>
      <c r="GX1169" s="1280"/>
      <c r="GY1169" s="1280"/>
      <c r="GZ1169" s="1280"/>
      <c r="HA1169" s="1280"/>
      <c r="HB1169" s="1280"/>
      <c r="HC1169" s="1280"/>
      <c r="HD1169" s="1280"/>
      <c r="HE1169" s="1280"/>
      <c r="HF1169" s="1280"/>
      <c r="HG1169" s="1280"/>
      <c r="HH1169" s="1280"/>
      <c r="HI1169" s="1280"/>
      <c r="HJ1169" s="1280"/>
      <c r="HK1169" s="1280"/>
      <c r="HL1169" s="1280"/>
      <c r="HM1169" s="1280"/>
      <c r="HN1169" s="1280"/>
      <c r="HO1169" s="1280"/>
      <c r="HP1169" s="1280"/>
      <c r="HQ1169" s="1280"/>
      <c r="HR1169" s="1280"/>
      <c r="HS1169" s="1280"/>
      <c r="HT1169" s="1280"/>
      <c r="HU1169" s="1280"/>
      <c r="HV1169" s="1280"/>
      <c r="HW1169" s="1280"/>
      <c r="HX1169" s="1280"/>
      <c r="HY1169" s="1280"/>
      <c r="HZ1169" s="1280"/>
      <c r="IA1169" s="1280"/>
      <c r="IB1169" s="1280"/>
      <c r="IC1169" s="1280"/>
      <c r="ID1169" s="1280"/>
      <c r="IE1169" s="1280"/>
      <c r="IF1169" s="1280"/>
      <c r="IG1169" s="1280"/>
      <c r="IH1169" s="1280"/>
      <c r="II1169" s="1280"/>
      <c r="IJ1169" s="1280"/>
      <c r="IK1169" s="1280"/>
      <c r="IL1169" s="1280"/>
      <c r="IM1169" s="1280"/>
      <c r="IN1169" s="1280"/>
      <c r="IO1169" s="1280"/>
      <c r="IP1169" s="1280"/>
      <c r="IQ1169" s="1280"/>
      <c r="IR1169" s="1280"/>
      <c r="IS1169" s="1280"/>
      <c r="IT1169" s="1280"/>
      <c r="IU1169" s="1280"/>
      <c r="IV1169" s="1280"/>
      <c r="IW1169" s="1280"/>
      <c r="IX1169" s="1280"/>
      <c r="IY1169" s="1280"/>
      <c r="IZ1169" s="1280"/>
      <c r="JA1169" s="1280"/>
      <c r="JB1169" s="1280"/>
      <c r="JC1169" s="1280"/>
      <c r="JD1169" s="1280"/>
      <c r="JE1169" s="1280"/>
      <c r="JF1169" s="1280"/>
      <c r="JG1169" s="1280"/>
      <c r="JH1169" s="1280"/>
      <c r="JI1169" s="1280"/>
      <c r="JJ1169" s="1280"/>
      <c r="JK1169" s="1280"/>
      <c r="JL1169" s="1280"/>
      <c r="JM1169" s="1280"/>
      <c r="JN1169" s="1280"/>
      <c r="JO1169" s="1280"/>
      <c r="JP1169" s="1280"/>
      <c r="JQ1169" s="1280"/>
      <c r="JR1169" s="1280"/>
      <c r="JS1169" s="1280"/>
      <c r="JT1169" s="1280"/>
      <c r="JU1169" s="1280"/>
      <c r="JV1169" s="1280"/>
      <c r="JW1169" s="1280"/>
      <c r="JX1169" s="1280"/>
      <c r="JY1169" s="1280"/>
      <c r="JZ1169" s="1280"/>
      <c r="KA1169" s="1280"/>
      <c r="KB1169" s="1280"/>
      <c r="KC1169" s="1280"/>
      <c r="KD1169" s="1280"/>
      <c r="KE1169" s="1280"/>
      <c r="KF1169" s="1280"/>
      <c r="KG1169" s="1280"/>
      <c r="KH1169" s="1280"/>
      <c r="KI1169" s="1280"/>
      <c r="KJ1169" s="1280"/>
      <c r="KK1169" s="1280"/>
      <c r="KL1169" s="1280"/>
      <c r="KM1169" s="1280"/>
      <c r="KN1169" s="1280"/>
      <c r="KO1169" s="1280"/>
      <c r="KP1169" s="1280"/>
      <c r="KQ1169" s="1280"/>
      <c r="KR1169" s="1280"/>
      <c r="KS1169" s="1280"/>
      <c r="KT1169" s="1280"/>
      <c r="KU1169" s="1280"/>
      <c r="KV1169" s="1280"/>
      <c r="KW1169" s="1280"/>
      <c r="KX1169" s="1280"/>
      <c r="KY1169" s="1280"/>
      <c r="KZ1169" s="1280"/>
      <c r="LA1169" s="1280"/>
      <c r="LB1169" s="1280"/>
      <c r="LC1169" s="1280"/>
      <c r="LD1169" s="1280"/>
      <c r="LE1169" s="1280"/>
      <c r="LF1169" s="1280"/>
      <c r="LG1169" s="1280"/>
      <c r="LH1169" s="1280"/>
      <c r="LI1169" s="1280"/>
      <c r="LJ1169" s="1280"/>
      <c r="LK1169" s="1280"/>
      <c r="LL1169" s="1280"/>
      <c r="LM1169" s="1280"/>
      <c r="LN1169" s="1280"/>
      <c r="LO1169" s="1280"/>
      <c r="LP1169" s="1280"/>
      <c r="LQ1169" s="1280"/>
      <c r="LR1169" s="1280"/>
      <c r="LS1169" s="1280"/>
      <c r="LT1169" s="1280"/>
      <c r="LU1169" s="1280"/>
      <c r="LV1169" s="1280"/>
      <c r="LW1169" s="1280"/>
      <c r="LX1169" s="1280"/>
      <c r="LY1169" s="1280"/>
      <c r="LZ1169" s="1280"/>
      <c r="MA1169" s="1280"/>
      <c r="MB1169" s="1280"/>
      <c r="MC1169" s="1280"/>
      <c r="MD1169" s="1280"/>
      <c r="ME1169" s="1280"/>
      <c r="MF1169" s="1280"/>
      <c r="MG1169" s="1280"/>
      <c r="MH1169" s="1280"/>
      <c r="MI1169" s="1280"/>
      <c r="MJ1169" s="1280"/>
      <c r="MK1169" s="1280"/>
      <c r="ML1169" s="1280"/>
      <c r="MM1169" s="1280"/>
      <c r="MN1169" s="1280"/>
      <c r="MO1169" s="1280"/>
      <c r="MP1169" s="1280"/>
      <c r="MQ1169" s="1280"/>
      <c r="MR1169" s="1280"/>
      <c r="MS1169" s="1280"/>
      <c r="MT1169" s="1280"/>
      <c r="MU1169" s="1280"/>
      <c r="MV1169" s="1280"/>
      <c r="MW1169" s="1280"/>
      <c r="MX1169" s="1280"/>
      <c r="MY1169" s="1280"/>
      <c r="MZ1169" s="1280"/>
      <c r="NA1169" s="1280"/>
      <c r="NB1169" s="1280"/>
      <c r="NC1169" s="1280"/>
      <c r="ND1169" s="1280"/>
      <c r="NE1169" s="1280"/>
      <c r="NF1169" s="1280"/>
      <c r="NG1169" s="1280"/>
      <c r="NH1169" s="1280"/>
      <c r="NI1169" s="1280"/>
      <c r="NJ1169" s="1280"/>
      <c r="NK1169" s="1280"/>
      <c r="NL1169" s="1280"/>
      <c r="NM1169" s="1280"/>
      <c r="NN1169" s="1280"/>
      <c r="NO1169" s="1280"/>
      <c r="NP1169" s="1280"/>
      <c r="NQ1169" s="1280"/>
      <c r="NR1169" s="1280"/>
      <c r="NS1169" s="1280"/>
      <c r="NT1169" s="1280"/>
      <c r="NU1169" s="1280"/>
      <c r="NV1169" s="1280"/>
      <c r="NW1169" s="1280"/>
      <c r="NX1169" s="1280"/>
      <c r="NY1169" s="1280"/>
      <c r="NZ1169" s="1280"/>
      <c r="OA1169" s="1280"/>
      <c r="OB1169" s="1280"/>
      <c r="OC1169" s="1280"/>
      <c r="OD1169" s="1280"/>
      <c r="OE1169" s="1280"/>
      <c r="OF1169" s="1280"/>
      <c r="OG1169" s="1280"/>
      <c r="OH1169" s="1280"/>
      <c r="OI1169" s="1280"/>
      <c r="OJ1169" s="1280"/>
      <c r="OK1169" s="1280"/>
      <c r="OL1169" s="1280"/>
      <c r="OM1169" s="1280"/>
      <c r="ON1169" s="1280"/>
      <c r="OO1169" s="1280"/>
      <c r="OP1169" s="1280"/>
      <c r="OQ1169" s="1280"/>
      <c r="OR1169" s="1280"/>
      <c r="OS1169" s="1280"/>
      <c r="OT1169" s="1280"/>
      <c r="OU1169" s="1280"/>
      <c r="OV1169" s="1280"/>
      <c r="OW1169" s="1280"/>
      <c r="OX1169" s="1280"/>
      <c r="OY1169" s="1280"/>
      <c r="OZ1169" s="1280"/>
      <c r="PA1169" s="1280"/>
      <c r="PB1169" s="1280"/>
      <c r="PC1169" s="1280"/>
      <c r="PD1169" s="1280"/>
      <c r="PE1169" s="1280"/>
      <c r="PF1169" s="1280"/>
      <c r="PG1169" s="1280"/>
      <c r="PH1169" s="1280"/>
      <c r="PI1169" s="1280"/>
      <c r="PJ1169" s="1280"/>
      <c r="PK1169" s="1280"/>
      <c r="PL1169" s="1280"/>
      <c r="PM1169" s="1280"/>
      <c r="PN1169" s="1280"/>
      <c r="PO1169" s="1280"/>
      <c r="PP1169" s="1280"/>
      <c r="PQ1169" s="1280"/>
      <c r="PR1169" s="1280"/>
      <c r="PS1169" s="1280"/>
      <c r="PT1169" s="1280"/>
      <c r="PU1169" s="1280"/>
      <c r="PV1169" s="1280"/>
      <c r="PW1169" s="1280"/>
      <c r="PX1169" s="1280"/>
      <c r="PY1169" s="1280"/>
      <c r="PZ1169" s="1280"/>
      <c r="QA1169" s="1280"/>
      <c r="QB1169" s="1280"/>
      <c r="QC1169" s="1280"/>
      <c r="QD1169" s="1280"/>
      <c r="QE1169" s="1280"/>
      <c r="QF1169" s="1280"/>
      <c r="QG1169" s="1280"/>
      <c r="QH1169" s="1280"/>
      <c r="QI1169" s="1280"/>
      <c r="QJ1169" s="1280"/>
      <c r="QK1169" s="1280"/>
      <c r="QL1169" s="1280"/>
      <c r="QM1169" s="1280"/>
      <c r="QN1169" s="1280"/>
      <c r="QO1169" s="1280"/>
      <c r="QP1169" s="1280"/>
      <c r="QQ1169" s="1280"/>
      <c r="QR1169" s="1280"/>
      <c r="QS1169" s="1280"/>
      <c r="QT1169" s="1280"/>
      <c r="QU1169" s="1280"/>
      <c r="QV1169" s="1280"/>
      <c r="QW1169" s="1280"/>
      <c r="QX1169" s="1280"/>
      <c r="QY1169" s="1280"/>
      <c r="QZ1169" s="1280"/>
      <c r="RA1169" s="1280"/>
      <c r="RB1169" s="1280"/>
      <c r="RC1169" s="1280"/>
      <c r="RD1169" s="1280"/>
      <c r="RE1169" s="1280"/>
      <c r="RF1169" s="1280"/>
      <c r="RG1169" s="1280"/>
      <c r="RH1169" s="1280"/>
      <c r="RI1169" s="1280"/>
      <c r="RJ1169" s="1280"/>
      <c r="RK1169" s="1280"/>
      <c r="RL1169" s="1280"/>
      <c r="RM1169" s="1280"/>
      <c r="RN1169" s="1280"/>
      <c r="RO1169" s="1280"/>
      <c r="RP1169" s="1280"/>
      <c r="RQ1169" s="1280"/>
      <c r="RR1169" s="1280"/>
      <c r="RS1169" s="1280"/>
      <c r="RT1169" s="1280"/>
      <c r="RU1169" s="1280"/>
      <c r="RV1169" s="1280"/>
      <c r="RW1169" s="1280"/>
      <c r="RX1169" s="1280"/>
      <c r="RY1169" s="1280"/>
      <c r="RZ1169" s="1280"/>
      <c r="SA1169" s="1280"/>
      <c r="SB1169" s="1280"/>
      <c r="SC1169" s="1280"/>
      <c r="SD1169" s="1280"/>
      <c r="SE1169" s="1280"/>
      <c r="SF1169" s="1280"/>
      <c r="SG1169" s="1280"/>
      <c r="SH1169" s="1280"/>
      <c r="SI1169" s="1280"/>
      <c r="SJ1169" s="1280"/>
      <c r="SK1169" s="1280"/>
      <c r="SL1169" s="1280"/>
      <c r="SM1169" s="1280"/>
      <c r="SN1169" s="1280"/>
      <c r="SO1169" s="1280"/>
      <c r="SP1169" s="1280"/>
      <c r="SQ1169" s="1280"/>
      <c r="SR1169" s="1280"/>
      <c r="SS1169" s="1280"/>
      <c r="ST1169" s="1280"/>
      <c r="SU1169" s="1280"/>
      <c r="SV1169" s="1280"/>
      <c r="SW1169" s="1280"/>
      <c r="SX1169" s="1280"/>
      <c r="SY1169" s="1280"/>
      <c r="SZ1169" s="1280"/>
      <c r="TA1169" s="1280"/>
      <c r="TB1169" s="1280"/>
      <c r="TC1169" s="1280"/>
      <c r="TD1169" s="1280"/>
      <c r="TE1169" s="1280"/>
      <c r="TF1169" s="1280"/>
      <c r="TG1169" s="1280"/>
      <c r="TH1169" s="1280"/>
      <c r="TI1169" s="1280"/>
      <c r="TJ1169" s="1280"/>
      <c r="TK1169" s="1280"/>
      <c r="TL1169" s="1280"/>
      <c r="TM1169" s="1280"/>
      <c r="TN1169" s="1280"/>
      <c r="TO1169" s="1280"/>
      <c r="TP1169" s="1280"/>
      <c r="TQ1169" s="1280"/>
      <c r="TR1169" s="1280"/>
      <c r="TS1169" s="1280"/>
      <c r="TT1169" s="1280"/>
      <c r="TU1169" s="1280"/>
      <c r="TV1169" s="1280"/>
      <c r="TW1169" s="1280"/>
      <c r="TX1169" s="1280"/>
      <c r="TY1169" s="1280"/>
      <c r="TZ1169" s="1280"/>
      <c r="UA1169" s="1280"/>
      <c r="UB1169" s="1280"/>
      <c r="UC1169" s="1280"/>
      <c r="UD1169" s="1280"/>
      <c r="UE1169" s="1280"/>
      <c r="UF1169" s="1280"/>
      <c r="UG1169" s="1279"/>
    </row>
    <row r="1170" spans="1:553" s="1262" customFormat="1" ht="39.75" customHeight="1">
      <c r="A1170" s="445"/>
      <c r="B1170" s="761"/>
      <c r="C1170" s="1411" t="s">
        <v>1231</v>
      </c>
      <c r="D1170" s="1411" t="s">
        <v>1231</v>
      </c>
      <c r="E1170" s="1411" t="s">
        <v>1231</v>
      </c>
      <c r="F1170" s="1411" t="s">
        <v>1231</v>
      </c>
      <c r="G1170" s="776" t="s">
        <v>48</v>
      </c>
      <c r="H1170" s="646"/>
      <c r="I1170" s="422">
        <v>22</v>
      </c>
      <c r="J1170" s="368">
        <v>65000</v>
      </c>
      <c r="K1170" s="565"/>
      <c r="L1170" s="1079">
        <f>ROUND(PRODUCT(I1170:K1170),0)</f>
        <v>1430000</v>
      </c>
      <c r="M1170" s="356"/>
      <c r="N1170" s="356"/>
      <c r="O1170" s="356"/>
      <c r="P1170" s="356"/>
      <c r="Q1170" s="610"/>
      <c r="R1170" s="1226"/>
      <c r="S1170" s="308"/>
      <c r="T1170" s="308"/>
      <c r="U1170" s="308"/>
      <c r="V1170" s="308"/>
      <c r="W1170" s="308"/>
      <c r="X1170" s="308"/>
      <c r="Y1170" s="308"/>
      <c r="Z1170" s="604"/>
      <c r="AA1170" s="308"/>
      <c r="AB1170" s="308"/>
      <c r="AC1170" s="373"/>
      <c r="AD1170" s="373"/>
      <c r="AE1170" s="373"/>
      <c r="AF1170" s="373"/>
      <c r="AG1170" s="373"/>
      <c r="AH1170" s="373"/>
      <c r="AI1170" s="373"/>
      <c r="AJ1170" s="373"/>
      <c r="AK1170" s="389"/>
      <c r="AL1170" s="1276"/>
      <c r="AM1170" s="1276"/>
      <c r="AN1170" s="1276"/>
      <c r="AO1170" s="1276"/>
      <c r="AP1170" s="1276"/>
      <c r="AQ1170" s="1276"/>
      <c r="AR1170" s="1276"/>
      <c r="AS1170" s="1280"/>
      <c r="AT1170" s="1280"/>
      <c r="AU1170" s="1280"/>
      <c r="AV1170" s="1280"/>
      <c r="AW1170" s="1280"/>
      <c r="AX1170" s="1280"/>
      <c r="AY1170" s="1280"/>
      <c r="AZ1170" s="1280"/>
      <c r="BA1170" s="1280"/>
      <c r="BB1170" s="1280"/>
      <c r="BC1170" s="1280"/>
      <c r="BD1170" s="1280"/>
      <c r="BE1170" s="1280"/>
      <c r="BF1170" s="1280"/>
      <c r="BG1170" s="1280"/>
      <c r="BH1170" s="1280"/>
      <c r="BI1170" s="1280"/>
      <c r="BJ1170" s="1280"/>
      <c r="BK1170" s="1280"/>
      <c r="BL1170" s="1280"/>
      <c r="BM1170" s="1280"/>
      <c r="BN1170" s="1280"/>
      <c r="BO1170" s="1280"/>
      <c r="BP1170" s="1280"/>
      <c r="BQ1170" s="1280"/>
      <c r="BR1170" s="1280"/>
      <c r="BS1170" s="1280"/>
      <c r="BT1170" s="1280"/>
      <c r="BU1170" s="1280"/>
      <c r="BV1170" s="1280"/>
      <c r="BW1170" s="1280"/>
      <c r="BX1170" s="1280"/>
      <c r="BY1170" s="1280"/>
      <c r="BZ1170" s="1280"/>
      <c r="CA1170" s="1280"/>
      <c r="CB1170" s="1280"/>
      <c r="CC1170" s="1280"/>
      <c r="CD1170" s="1280"/>
      <c r="CE1170" s="1280"/>
      <c r="CF1170" s="1280"/>
      <c r="CG1170" s="1280"/>
      <c r="CH1170" s="1280"/>
      <c r="CI1170" s="1280"/>
      <c r="CJ1170" s="1280"/>
      <c r="CK1170" s="1280"/>
      <c r="CL1170" s="1280"/>
      <c r="CM1170" s="1280"/>
      <c r="CN1170" s="1280"/>
      <c r="CO1170" s="1280"/>
      <c r="CP1170" s="1280"/>
      <c r="CQ1170" s="1280"/>
      <c r="CR1170" s="1280"/>
      <c r="CS1170" s="1280"/>
      <c r="CT1170" s="1280"/>
      <c r="CU1170" s="1280"/>
      <c r="CV1170" s="1280"/>
      <c r="CW1170" s="1280"/>
      <c r="CX1170" s="1280"/>
      <c r="CY1170" s="1280"/>
      <c r="CZ1170" s="1280"/>
      <c r="DA1170" s="1280"/>
      <c r="DB1170" s="1280"/>
      <c r="DC1170" s="1280"/>
      <c r="DD1170" s="1280"/>
      <c r="DE1170" s="1280"/>
      <c r="DF1170" s="1280"/>
      <c r="DG1170" s="1280"/>
      <c r="DH1170" s="1280"/>
      <c r="DI1170" s="1280"/>
      <c r="DJ1170" s="1280"/>
      <c r="DK1170" s="1280"/>
      <c r="DL1170" s="1280"/>
      <c r="DM1170" s="1280"/>
      <c r="DN1170" s="1280"/>
      <c r="DO1170" s="1280"/>
      <c r="DP1170" s="1280"/>
      <c r="DQ1170" s="1280"/>
      <c r="DR1170" s="1280"/>
      <c r="DS1170" s="1280"/>
      <c r="DT1170" s="1280"/>
      <c r="DU1170" s="1280"/>
      <c r="DV1170" s="1280"/>
      <c r="DW1170" s="1280"/>
      <c r="DX1170" s="1280"/>
      <c r="DY1170" s="1280"/>
      <c r="DZ1170" s="1280"/>
      <c r="EA1170" s="1280"/>
      <c r="EB1170" s="1280"/>
      <c r="EC1170" s="1280"/>
      <c r="ED1170" s="1280"/>
      <c r="EE1170" s="1280"/>
      <c r="EF1170" s="1280"/>
      <c r="EG1170" s="1280"/>
      <c r="EH1170" s="1280"/>
      <c r="EI1170" s="1280"/>
      <c r="EJ1170" s="1280"/>
      <c r="EK1170" s="1280"/>
      <c r="EL1170" s="1280"/>
      <c r="EM1170" s="1280"/>
      <c r="EN1170" s="1280"/>
      <c r="EO1170" s="1280"/>
      <c r="EP1170" s="1280"/>
      <c r="EQ1170" s="1280"/>
      <c r="ER1170" s="1280"/>
      <c r="ES1170" s="1280"/>
      <c r="ET1170" s="1280"/>
      <c r="EU1170" s="1280"/>
      <c r="EV1170" s="1280"/>
      <c r="EW1170" s="1280"/>
      <c r="EX1170" s="1280"/>
      <c r="EY1170" s="1280"/>
      <c r="EZ1170" s="1280"/>
      <c r="FA1170" s="1280"/>
      <c r="FB1170" s="1280"/>
      <c r="FC1170" s="1280"/>
      <c r="FD1170" s="1280"/>
      <c r="FE1170" s="1280"/>
      <c r="FF1170" s="1280"/>
      <c r="FG1170" s="1280"/>
      <c r="FH1170" s="1280"/>
      <c r="FI1170" s="1280"/>
      <c r="FJ1170" s="1280"/>
      <c r="FK1170" s="1280"/>
      <c r="FL1170" s="1280"/>
      <c r="FM1170" s="1280"/>
      <c r="FN1170" s="1280"/>
      <c r="FO1170" s="1280"/>
      <c r="FP1170" s="1280"/>
      <c r="FQ1170" s="1280"/>
      <c r="FR1170" s="1280"/>
      <c r="FS1170" s="1280"/>
      <c r="FT1170" s="1280"/>
      <c r="FU1170" s="1280"/>
      <c r="FV1170" s="1280"/>
      <c r="FW1170" s="1280"/>
      <c r="FX1170" s="1280"/>
      <c r="FY1170" s="1280"/>
      <c r="FZ1170" s="1280"/>
      <c r="GA1170" s="1280"/>
      <c r="GB1170" s="1280"/>
      <c r="GC1170" s="1280"/>
      <c r="GD1170" s="1280"/>
      <c r="GE1170" s="1280"/>
      <c r="GF1170" s="1280"/>
      <c r="GG1170" s="1280"/>
      <c r="GH1170" s="1280"/>
      <c r="GI1170" s="1280"/>
      <c r="GJ1170" s="1280"/>
      <c r="GK1170" s="1280"/>
      <c r="GL1170" s="1280"/>
      <c r="GM1170" s="1280"/>
      <c r="GN1170" s="1280"/>
      <c r="GO1170" s="1280"/>
      <c r="GP1170" s="1280"/>
      <c r="GQ1170" s="1280"/>
      <c r="GR1170" s="1280"/>
      <c r="GS1170" s="1280"/>
      <c r="GT1170" s="1280"/>
      <c r="GU1170" s="1280"/>
      <c r="GV1170" s="1280"/>
      <c r="GW1170" s="1280"/>
      <c r="GX1170" s="1280"/>
      <c r="GY1170" s="1280"/>
      <c r="GZ1170" s="1280"/>
      <c r="HA1170" s="1280"/>
      <c r="HB1170" s="1280"/>
      <c r="HC1170" s="1280"/>
      <c r="HD1170" s="1280"/>
      <c r="HE1170" s="1280"/>
      <c r="HF1170" s="1280"/>
      <c r="HG1170" s="1280"/>
      <c r="HH1170" s="1280"/>
      <c r="HI1170" s="1280"/>
      <c r="HJ1170" s="1280"/>
      <c r="HK1170" s="1280"/>
      <c r="HL1170" s="1280"/>
      <c r="HM1170" s="1280"/>
      <c r="HN1170" s="1280"/>
      <c r="HO1170" s="1280"/>
      <c r="HP1170" s="1280"/>
      <c r="HQ1170" s="1280"/>
      <c r="HR1170" s="1280"/>
      <c r="HS1170" s="1280"/>
      <c r="HT1170" s="1280"/>
      <c r="HU1170" s="1280"/>
      <c r="HV1170" s="1280"/>
      <c r="HW1170" s="1280"/>
      <c r="HX1170" s="1280"/>
      <c r="HY1170" s="1280"/>
      <c r="HZ1170" s="1280"/>
      <c r="IA1170" s="1280"/>
      <c r="IB1170" s="1280"/>
      <c r="IC1170" s="1280"/>
      <c r="ID1170" s="1280"/>
      <c r="IE1170" s="1280"/>
      <c r="IF1170" s="1280"/>
      <c r="IG1170" s="1280"/>
      <c r="IH1170" s="1280"/>
      <c r="II1170" s="1280"/>
      <c r="IJ1170" s="1280"/>
      <c r="IK1170" s="1280"/>
      <c r="IL1170" s="1280"/>
      <c r="IM1170" s="1280"/>
      <c r="IN1170" s="1280"/>
      <c r="IO1170" s="1280"/>
      <c r="IP1170" s="1280"/>
      <c r="IQ1170" s="1280"/>
      <c r="IR1170" s="1280"/>
      <c r="IS1170" s="1280"/>
      <c r="IT1170" s="1280"/>
      <c r="IU1170" s="1280"/>
      <c r="IV1170" s="1280"/>
      <c r="IW1170" s="1280"/>
      <c r="IX1170" s="1280"/>
      <c r="IY1170" s="1280"/>
      <c r="IZ1170" s="1280"/>
      <c r="JA1170" s="1280"/>
      <c r="JB1170" s="1280"/>
      <c r="JC1170" s="1280"/>
      <c r="JD1170" s="1280"/>
      <c r="JE1170" s="1280"/>
      <c r="JF1170" s="1280"/>
      <c r="JG1170" s="1280"/>
      <c r="JH1170" s="1280"/>
      <c r="JI1170" s="1280"/>
      <c r="JJ1170" s="1280"/>
      <c r="JK1170" s="1280"/>
      <c r="JL1170" s="1280"/>
      <c r="JM1170" s="1280"/>
      <c r="JN1170" s="1280"/>
      <c r="JO1170" s="1280"/>
      <c r="JP1170" s="1280"/>
      <c r="JQ1170" s="1280"/>
      <c r="JR1170" s="1280"/>
      <c r="JS1170" s="1280"/>
      <c r="JT1170" s="1280"/>
      <c r="JU1170" s="1280"/>
      <c r="JV1170" s="1280"/>
      <c r="JW1170" s="1280"/>
      <c r="JX1170" s="1280"/>
      <c r="JY1170" s="1280"/>
      <c r="JZ1170" s="1280"/>
      <c r="KA1170" s="1280"/>
      <c r="KB1170" s="1280"/>
      <c r="KC1170" s="1280"/>
      <c r="KD1170" s="1280"/>
      <c r="KE1170" s="1280"/>
      <c r="KF1170" s="1280"/>
      <c r="KG1170" s="1280"/>
      <c r="KH1170" s="1280"/>
      <c r="KI1170" s="1280"/>
      <c r="KJ1170" s="1280"/>
      <c r="KK1170" s="1280"/>
      <c r="KL1170" s="1280"/>
      <c r="KM1170" s="1280"/>
      <c r="KN1170" s="1280"/>
      <c r="KO1170" s="1280"/>
      <c r="KP1170" s="1280"/>
      <c r="KQ1170" s="1280"/>
      <c r="KR1170" s="1280"/>
      <c r="KS1170" s="1280"/>
      <c r="KT1170" s="1280"/>
      <c r="KU1170" s="1280"/>
      <c r="KV1170" s="1280"/>
      <c r="KW1170" s="1280"/>
      <c r="KX1170" s="1280"/>
      <c r="KY1170" s="1280"/>
      <c r="KZ1170" s="1280"/>
      <c r="LA1170" s="1280"/>
      <c r="LB1170" s="1280"/>
      <c r="LC1170" s="1280"/>
      <c r="LD1170" s="1280"/>
      <c r="LE1170" s="1280"/>
      <c r="LF1170" s="1280"/>
      <c r="LG1170" s="1280"/>
      <c r="LH1170" s="1280"/>
      <c r="LI1170" s="1280"/>
      <c r="LJ1170" s="1280"/>
      <c r="LK1170" s="1280"/>
      <c r="LL1170" s="1280"/>
      <c r="LM1170" s="1280"/>
      <c r="LN1170" s="1280"/>
      <c r="LO1170" s="1280"/>
      <c r="LP1170" s="1280"/>
      <c r="LQ1170" s="1280"/>
      <c r="LR1170" s="1280"/>
      <c r="LS1170" s="1280"/>
      <c r="LT1170" s="1280"/>
      <c r="LU1170" s="1280"/>
      <c r="LV1170" s="1280"/>
      <c r="LW1170" s="1280"/>
      <c r="LX1170" s="1280"/>
      <c r="LY1170" s="1280"/>
      <c r="LZ1170" s="1280"/>
      <c r="MA1170" s="1280"/>
      <c r="MB1170" s="1280"/>
      <c r="MC1170" s="1280"/>
      <c r="MD1170" s="1280"/>
      <c r="ME1170" s="1280"/>
      <c r="MF1170" s="1280"/>
      <c r="MG1170" s="1280"/>
      <c r="MH1170" s="1280"/>
      <c r="MI1170" s="1280"/>
      <c r="MJ1170" s="1280"/>
      <c r="MK1170" s="1280"/>
      <c r="ML1170" s="1280"/>
      <c r="MM1170" s="1280"/>
      <c r="MN1170" s="1280"/>
      <c r="MO1170" s="1280"/>
      <c r="MP1170" s="1280"/>
      <c r="MQ1170" s="1280"/>
      <c r="MR1170" s="1280"/>
      <c r="MS1170" s="1280"/>
      <c r="MT1170" s="1280"/>
      <c r="MU1170" s="1280"/>
      <c r="MV1170" s="1280"/>
      <c r="MW1170" s="1280"/>
      <c r="MX1170" s="1280"/>
      <c r="MY1170" s="1280"/>
      <c r="MZ1170" s="1280"/>
      <c r="NA1170" s="1280"/>
      <c r="NB1170" s="1280"/>
      <c r="NC1170" s="1280"/>
      <c r="ND1170" s="1280"/>
      <c r="NE1170" s="1280"/>
      <c r="NF1170" s="1280"/>
      <c r="NG1170" s="1280"/>
      <c r="NH1170" s="1280"/>
      <c r="NI1170" s="1280"/>
      <c r="NJ1170" s="1280"/>
      <c r="NK1170" s="1280"/>
      <c r="NL1170" s="1280"/>
      <c r="NM1170" s="1280"/>
      <c r="NN1170" s="1280"/>
      <c r="NO1170" s="1280"/>
      <c r="NP1170" s="1280"/>
      <c r="NQ1170" s="1280"/>
      <c r="NR1170" s="1280"/>
      <c r="NS1170" s="1280"/>
      <c r="NT1170" s="1280"/>
      <c r="NU1170" s="1280"/>
      <c r="NV1170" s="1280"/>
      <c r="NW1170" s="1280"/>
      <c r="NX1170" s="1280"/>
      <c r="NY1170" s="1280"/>
      <c r="NZ1170" s="1280"/>
      <c r="OA1170" s="1280"/>
      <c r="OB1170" s="1280"/>
      <c r="OC1170" s="1280"/>
      <c r="OD1170" s="1280"/>
      <c r="OE1170" s="1280"/>
      <c r="OF1170" s="1280"/>
      <c r="OG1170" s="1280"/>
      <c r="OH1170" s="1280"/>
      <c r="OI1170" s="1280"/>
      <c r="OJ1170" s="1280"/>
      <c r="OK1170" s="1280"/>
      <c r="OL1170" s="1280"/>
      <c r="OM1170" s="1280"/>
      <c r="ON1170" s="1280"/>
      <c r="OO1170" s="1280"/>
      <c r="OP1170" s="1280"/>
      <c r="OQ1170" s="1280"/>
      <c r="OR1170" s="1280"/>
      <c r="OS1170" s="1280"/>
      <c r="OT1170" s="1280"/>
      <c r="OU1170" s="1280"/>
      <c r="OV1170" s="1280"/>
      <c r="OW1170" s="1280"/>
      <c r="OX1170" s="1280"/>
      <c r="OY1170" s="1280"/>
      <c r="OZ1170" s="1280"/>
      <c r="PA1170" s="1280"/>
      <c r="PB1170" s="1280"/>
      <c r="PC1170" s="1280"/>
      <c r="PD1170" s="1280"/>
      <c r="PE1170" s="1280"/>
      <c r="PF1170" s="1280"/>
      <c r="PG1170" s="1280"/>
      <c r="PH1170" s="1280"/>
      <c r="PI1170" s="1280"/>
      <c r="PJ1170" s="1280"/>
      <c r="PK1170" s="1280"/>
      <c r="PL1170" s="1280"/>
      <c r="PM1170" s="1280"/>
      <c r="PN1170" s="1280"/>
      <c r="PO1170" s="1280"/>
      <c r="PP1170" s="1280"/>
      <c r="PQ1170" s="1280"/>
      <c r="PR1170" s="1280"/>
      <c r="PS1170" s="1280"/>
      <c r="PT1170" s="1280"/>
      <c r="PU1170" s="1280"/>
      <c r="PV1170" s="1280"/>
      <c r="PW1170" s="1280"/>
      <c r="PX1170" s="1280"/>
      <c r="PY1170" s="1280"/>
      <c r="PZ1170" s="1280"/>
      <c r="QA1170" s="1280"/>
      <c r="QB1170" s="1280"/>
      <c r="QC1170" s="1280"/>
      <c r="QD1170" s="1280"/>
      <c r="QE1170" s="1280"/>
      <c r="QF1170" s="1280"/>
      <c r="QG1170" s="1280"/>
      <c r="QH1170" s="1280"/>
      <c r="QI1170" s="1280"/>
      <c r="QJ1170" s="1280"/>
      <c r="QK1170" s="1280"/>
      <c r="QL1170" s="1280"/>
      <c r="QM1170" s="1280"/>
      <c r="QN1170" s="1280"/>
      <c r="QO1170" s="1280"/>
      <c r="QP1170" s="1280"/>
      <c r="QQ1170" s="1280"/>
      <c r="QR1170" s="1280"/>
      <c r="QS1170" s="1280"/>
      <c r="QT1170" s="1280"/>
      <c r="QU1170" s="1280"/>
      <c r="QV1170" s="1280"/>
      <c r="QW1170" s="1280"/>
      <c r="QX1170" s="1280"/>
      <c r="QY1170" s="1280"/>
      <c r="QZ1170" s="1280"/>
      <c r="RA1170" s="1280"/>
      <c r="RB1170" s="1280"/>
      <c r="RC1170" s="1280"/>
      <c r="RD1170" s="1280"/>
      <c r="RE1170" s="1280"/>
      <c r="RF1170" s="1280"/>
      <c r="RG1170" s="1280"/>
      <c r="RH1170" s="1280"/>
      <c r="RI1170" s="1280"/>
      <c r="RJ1170" s="1280"/>
      <c r="RK1170" s="1280"/>
      <c r="RL1170" s="1280"/>
      <c r="RM1170" s="1280"/>
      <c r="RN1170" s="1280"/>
      <c r="RO1170" s="1280"/>
      <c r="RP1170" s="1280"/>
      <c r="RQ1170" s="1280"/>
      <c r="RR1170" s="1280"/>
      <c r="RS1170" s="1280"/>
      <c r="RT1170" s="1280"/>
      <c r="RU1170" s="1280"/>
      <c r="RV1170" s="1280"/>
      <c r="RW1170" s="1280"/>
      <c r="RX1170" s="1280"/>
      <c r="RY1170" s="1280"/>
      <c r="RZ1170" s="1280"/>
      <c r="SA1170" s="1280"/>
      <c r="SB1170" s="1280"/>
      <c r="SC1170" s="1280"/>
      <c r="SD1170" s="1280"/>
      <c r="SE1170" s="1280"/>
      <c r="SF1170" s="1280"/>
      <c r="SG1170" s="1280"/>
      <c r="SH1170" s="1280"/>
      <c r="SI1170" s="1280"/>
      <c r="SJ1170" s="1280"/>
      <c r="SK1170" s="1280"/>
      <c r="SL1170" s="1280"/>
      <c r="SM1170" s="1280"/>
      <c r="SN1170" s="1280"/>
      <c r="SO1170" s="1280"/>
      <c r="SP1170" s="1280"/>
      <c r="SQ1170" s="1280"/>
      <c r="SR1170" s="1280"/>
      <c r="SS1170" s="1280"/>
      <c r="ST1170" s="1280"/>
      <c r="SU1170" s="1280"/>
      <c r="SV1170" s="1280"/>
      <c r="SW1170" s="1280"/>
      <c r="SX1170" s="1280"/>
      <c r="SY1170" s="1280"/>
      <c r="SZ1170" s="1280"/>
      <c r="TA1170" s="1280"/>
      <c r="TB1170" s="1280"/>
      <c r="TC1170" s="1280"/>
      <c r="TD1170" s="1280"/>
      <c r="TE1170" s="1280"/>
      <c r="TF1170" s="1280"/>
      <c r="TG1170" s="1280"/>
      <c r="TH1170" s="1280"/>
      <c r="TI1170" s="1280"/>
      <c r="TJ1170" s="1280"/>
      <c r="TK1170" s="1280"/>
      <c r="TL1170" s="1280"/>
      <c r="TM1170" s="1280"/>
      <c r="TN1170" s="1280"/>
      <c r="TO1170" s="1280"/>
      <c r="TP1170" s="1280"/>
      <c r="TQ1170" s="1280"/>
      <c r="TR1170" s="1280"/>
      <c r="TS1170" s="1280"/>
      <c r="TT1170" s="1280"/>
      <c r="TU1170" s="1280"/>
      <c r="TV1170" s="1280"/>
      <c r="TW1170" s="1280"/>
      <c r="TX1170" s="1280"/>
      <c r="TY1170" s="1280"/>
      <c r="TZ1170" s="1280"/>
      <c r="UA1170" s="1280"/>
      <c r="UB1170" s="1280"/>
      <c r="UC1170" s="1280"/>
      <c r="UD1170" s="1280"/>
      <c r="UE1170" s="1280"/>
      <c r="UF1170" s="1280"/>
      <c r="UG1170" s="1279"/>
    </row>
    <row r="1171" spans="1:553" s="1262" customFormat="1" ht="39.75" customHeight="1">
      <c r="A1171" s="445"/>
      <c r="B1171" s="761"/>
      <c r="C1171" s="1411" t="s">
        <v>1232</v>
      </c>
      <c r="D1171" s="1411" t="s">
        <v>1232</v>
      </c>
      <c r="E1171" s="1411" t="s">
        <v>1232</v>
      </c>
      <c r="F1171" s="1411" t="s">
        <v>1232</v>
      </c>
      <c r="G1171" s="776" t="s">
        <v>48</v>
      </c>
      <c r="H1171" s="646"/>
      <c r="I1171" s="422">
        <v>25</v>
      </c>
      <c r="J1171" s="368">
        <v>125000</v>
      </c>
      <c r="K1171" s="565"/>
      <c r="L1171" s="1079">
        <f>ROUND(PRODUCT(I1171:K1171),0)</f>
        <v>3125000</v>
      </c>
      <c r="M1171" s="356"/>
      <c r="N1171" s="356"/>
      <c r="O1171" s="356"/>
      <c r="P1171" s="356"/>
      <c r="Q1171" s="610"/>
      <c r="R1171" s="1226"/>
      <c r="S1171" s="308"/>
      <c r="T1171" s="308"/>
      <c r="U1171" s="308"/>
      <c r="V1171" s="308"/>
      <c r="W1171" s="308"/>
      <c r="X1171" s="308"/>
      <c r="Y1171" s="308"/>
      <c r="Z1171" s="604"/>
      <c r="AA1171" s="308"/>
      <c r="AB1171" s="308"/>
      <c r="AC1171" s="373"/>
      <c r="AD1171" s="373"/>
      <c r="AE1171" s="373"/>
      <c r="AF1171" s="373"/>
      <c r="AG1171" s="373"/>
      <c r="AH1171" s="373"/>
      <c r="AI1171" s="373"/>
      <c r="AJ1171" s="373"/>
      <c r="AK1171" s="389"/>
      <c r="AL1171" s="1276"/>
      <c r="AM1171" s="1276"/>
      <c r="AN1171" s="1276"/>
      <c r="AO1171" s="1276"/>
      <c r="AP1171" s="1276"/>
      <c r="AQ1171" s="1276"/>
      <c r="AR1171" s="1276"/>
      <c r="AS1171" s="1280"/>
      <c r="AT1171" s="1280"/>
      <c r="AU1171" s="1280"/>
      <c r="AV1171" s="1280"/>
      <c r="AW1171" s="1280"/>
      <c r="AX1171" s="1280"/>
      <c r="AY1171" s="1280"/>
      <c r="AZ1171" s="1280"/>
      <c r="BA1171" s="1280"/>
      <c r="BB1171" s="1280"/>
      <c r="BC1171" s="1280"/>
      <c r="BD1171" s="1280"/>
      <c r="BE1171" s="1280"/>
      <c r="BF1171" s="1280"/>
      <c r="BG1171" s="1280"/>
      <c r="BH1171" s="1280"/>
      <c r="BI1171" s="1280"/>
      <c r="BJ1171" s="1280"/>
      <c r="BK1171" s="1280"/>
      <c r="BL1171" s="1280"/>
      <c r="BM1171" s="1280"/>
      <c r="BN1171" s="1280"/>
      <c r="BO1171" s="1280"/>
      <c r="BP1171" s="1280"/>
      <c r="BQ1171" s="1280"/>
      <c r="BR1171" s="1280"/>
      <c r="BS1171" s="1280"/>
      <c r="BT1171" s="1280"/>
      <c r="BU1171" s="1280"/>
      <c r="BV1171" s="1280"/>
      <c r="BW1171" s="1280"/>
      <c r="BX1171" s="1280"/>
      <c r="BY1171" s="1280"/>
      <c r="BZ1171" s="1280"/>
      <c r="CA1171" s="1280"/>
      <c r="CB1171" s="1280"/>
      <c r="CC1171" s="1280"/>
      <c r="CD1171" s="1280"/>
      <c r="CE1171" s="1280"/>
      <c r="CF1171" s="1280"/>
      <c r="CG1171" s="1280"/>
      <c r="CH1171" s="1280"/>
      <c r="CI1171" s="1280"/>
      <c r="CJ1171" s="1280"/>
      <c r="CK1171" s="1280"/>
      <c r="CL1171" s="1280"/>
      <c r="CM1171" s="1280"/>
      <c r="CN1171" s="1280"/>
      <c r="CO1171" s="1280"/>
      <c r="CP1171" s="1280"/>
      <c r="CQ1171" s="1280"/>
      <c r="CR1171" s="1280"/>
      <c r="CS1171" s="1280"/>
      <c r="CT1171" s="1280"/>
      <c r="CU1171" s="1280"/>
      <c r="CV1171" s="1280"/>
      <c r="CW1171" s="1280"/>
      <c r="CX1171" s="1280"/>
      <c r="CY1171" s="1280"/>
      <c r="CZ1171" s="1280"/>
      <c r="DA1171" s="1280"/>
      <c r="DB1171" s="1280"/>
      <c r="DC1171" s="1280"/>
      <c r="DD1171" s="1280"/>
      <c r="DE1171" s="1280"/>
      <c r="DF1171" s="1280"/>
      <c r="DG1171" s="1280"/>
      <c r="DH1171" s="1280"/>
      <c r="DI1171" s="1280"/>
      <c r="DJ1171" s="1280"/>
      <c r="DK1171" s="1280"/>
      <c r="DL1171" s="1280"/>
      <c r="DM1171" s="1280"/>
      <c r="DN1171" s="1280"/>
      <c r="DO1171" s="1280"/>
      <c r="DP1171" s="1280"/>
      <c r="DQ1171" s="1280"/>
      <c r="DR1171" s="1280"/>
      <c r="DS1171" s="1280"/>
      <c r="DT1171" s="1280"/>
      <c r="DU1171" s="1280"/>
      <c r="DV1171" s="1280"/>
      <c r="DW1171" s="1280"/>
      <c r="DX1171" s="1280"/>
      <c r="DY1171" s="1280"/>
      <c r="DZ1171" s="1280"/>
      <c r="EA1171" s="1280"/>
      <c r="EB1171" s="1280"/>
      <c r="EC1171" s="1280"/>
      <c r="ED1171" s="1280"/>
      <c r="EE1171" s="1280"/>
      <c r="EF1171" s="1280"/>
      <c r="EG1171" s="1280"/>
      <c r="EH1171" s="1280"/>
      <c r="EI1171" s="1280"/>
      <c r="EJ1171" s="1280"/>
      <c r="EK1171" s="1280"/>
      <c r="EL1171" s="1280"/>
      <c r="EM1171" s="1280"/>
      <c r="EN1171" s="1280"/>
      <c r="EO1171" s="1280"/>
      <c r="EP1171" s="1280"/>
      <c r="EQ1171" s="1280"/>
      <c r="ER1171" s="1280"/>
      <c r="ES1171" s="1280"/>
      <c r="ET1171" s="1280"/>
      <c r="EU1171" s="1280"/>
      <c r="EV1171" s="1280"/>
      <c r="EW1171" s="1280"/>
      <c r="EX1171" s="1280"/>
      <c r="EY1171" s="1280"/>
      <c r="EZ1171" s="1280"/>
      <c r="FA1171" s="1280"/>
      <c r="FB1171" s="1280"/>
      <c r="FC1171" s="1280"/>
      <c r="FD1171" s="1280"/>
      <c r="FE1171" s="1280"/>
      <c r="FF1171" s="1280"/>
      <c r="FG1171" s="1280"/>
      <c r="FH1171" s="1280"/>
      <c r="FI1171" s="1280"/>
      <c r="FJ1171" s="1280"/>
      <c r="FK1171" s="1280"/>
      <c r="FL1171" s="1280"/>
      <c r="FM1171" s="1280"/>
      <c r="FN1171" s="1280"/>
      <c r="FO1171" s="1280"/>
      <c r="FP1171" s="1280"/>
      <c r="FQ1171" s="1280"/>
      <c r="FR1171" s="1280"/>
      <c r="FS1171" s="1280"/>
      <c r="FT1171" s="1280"/>
      <c r="FU1171" s="1280"/>
      <c r="FV1171" s="1280"/>
      <c r="FW1171" s="1280"/>
      <c r="FX1171" s="1280"/>
      <c r="FY1171" s="1280"/>
      <c r="FZ1171" s="1280"/>
      <c r="GA1171" s="1280"/>
      <c r="GB1171" s="1280"/>
      <c r="GC1171" s="1280"/>
      <c r="GD1171" s="1280"/>
      <c r="GE1171" s="1280"/>
      <c r="GF1171" s="1280"/>
      <c r="GG1171" s="1280"/>
      <c r="GH1171" s="1280"/>
      <c r="GI1171" s="1280"/>
      <c r="GJ1171" s="1280"/>
      <c r="GK1171" s="1280"/>
      <c r="GL1171" s="1280"/>
      <c r="GM1171" s="1280"/>
      <c r="GN1171" s="1280"/>
      <c r="GO1171" s="1280"/>
      <c r="GP1171" s="1280"/>
      <c r="GQ1171" s="1280"/>
      <c r="GR1171" s="1280"/>
      <c r="GS1171" s="1280"/>
      <c r="GT1171" s="1280"/>
      <c r="GU1171" s="1280"/>
      <c r="GV1171" s="1280"/>
      <c r="GW1171" s="1280"/>
      <c r="GX1171" s="1280"/>
      <c r="GY1171" s="1280"/>
      <c r="GZ1171" s="1280"/>
      <c r="HA1171" s="1280"/>
      <c r="HB1171" s="1280"/>
      <c r="HC1171" s="1280"/>
      <c r="HD1171" s="1280"/>
      <c r="HE1171" s="1280"/>
      <c r="HF1171" s="1280"/>
      <c r="HG1171" s="1280"/>
      <c r="HH1171" s="1280"/>
      <c r="HI1171" s="1280"/>
      <c r="HJ1171" s="1280"/>
      <c r="HK1171" s="1280"/>
      <c r="HL1171" s="1280"/>
      <c r="HM1171" s="1280"/>
      <c r="HN1171" s="1280"/>
      <c r="HO1171" s="1280"/>
      <c r="HP1171" s="1280"/>
      <c r="HQ1171" s="1280"/>
      <c r="HR1171" s="1280"/>
      <c r="HS1171" s="1280"/>
      <c r="HT1171" s="1280"/>
      <c r="HU1171" s="1280"/>
      <c r="HV1171" s="1280"/>
      <c r="HW1171" s="1280"/>
      <c r="HX1171" s="1280"/>
      <c r="HY1171" s="1280"/>
      <c r="HZ1171" s="1280"/>
      <c r="IA1171" s="1280"/>
      <c r="IB1171" s="1280"/>
      <c r="IC1171" s="1280"/>
      <c r="ID1171" s="1280"/>
      <c r="IE1171" s="1280"/>
      <c r="IF1171" s="1280"/>
      <c r="IG1171" s="1280"/>
      <c r="IH1171" s="1280"/>
      <c r="II1171" s="1280"/>
      <c r="IJ1171" s="1280"/>
      <c r="IK1171" s="1280"/>
      <c r="IL1171" s="1280"/>
      <c r="IM1171" s="1280"/>
      <c r="IN1171" s="1280"/>
      <c r="IO1171" s="1280"/>
      <c r="IP1171" s="1280"/>
      <c r="IQ1171" s="1280"/>
      <c r="IR1171" s="1280"/>
      <c r="IS1171" s="1280"/>
      <c r="IT1171" s="1280"/>
      <c r="IU1171" s="1280"/>
      <c r="IV1171" s="1280"/>
      <c r="IW1171" s="1280"/>
      <c r="IX1171" s="1280"/>
      <c r="IY1171" s="1280"/>
      <c r="IZ1171" s="1280"/>
      <c r="JA1171" s="1280"/>
      <c r="JB1171" s="1280"/>
      <c r="JC1171" s="1280"/>
      <c r="JD1171" s="1280"/>
      <c r="JE1171" s="1280"/>
      <c r="JF1171" s="1280"/>
      <c r="JG1171" s="1280"/>
      <c r="JH1171" s="1280"/>
      <c r="JI1171" s="1280"/>
      <c r="JJ1171" s="1280"/>
      <c r="JK1171" s="1280"/>
      <c r="JL1171" s="1280"/>
      <c r="JM1171" s="1280"/>
      <c r="JN1171" s="1280"/>
      <c r="JO1171" s="1280"/>
      <c r="JP1171" s="1280"/>
      <c r="JQ1171" s="1280"/>
      <c r="JR1171" s="1280"/>
      <c r="JS1171" s="1280"/>
      <c r="JT1171" s="1280"/>
      <c r="JU1171" s="1280"/>
      <c r="JV1171" s="1280"/>
      <c r="JW1171" s="1280"/>
      <c r="JX1171" s="1280"/>
      <c r="JY1171" s="1280"/>
      <c r="JZ1171" s="1280"/>
      <c r="KA1171" s="1280"/>
      <c r="KB1171" s="1280"/>
      <c r="KC1171" s="1280"/>
      <c r="KD1171" s="1280"/>
      <c r="KE1171" s="1280"/>
      <c r="KF1171" s="1280"/>
      <c r="KG1171" s="1280"/>
      <c r="KH1171" s="1280"/>
      <c r="KI1171" s="1280"/>
      <c r="KJ1171" s="1280"/>
      <c r="KK1171" s="1280"/>
      <c r="KL1171" s="1280"/>
      <c r="KM1171" s="1280"/>
      <c r="KN1171" s="1280"/>
      <c r="KO1171" s="1280"/>
      <c r="KP1171" s="1280"/>
      <c r="KQ1171" s="1280"/>
      <c r="KR1171" s="1280"/>
      <c r="KS1171" s="1280"/>
      <c r="KT1171" s="1280"/>
      <c r="KU1171" s="1280"/>
      <c r="KV1171" s="1280"/>
      <c r="KW1171" s="1280"/>
      <c r="KX1171" s="1280"/>
      <c r="KY1171" s="1280"/>
      <c r="KZ1171" s="1280"/>
      <c r="LA1171" s="1280"/>
      <c r="LB1171" s="1280"/>
      <c r="LC1171" s="1280"/>
      <c r="LD1171" s="1280"/>
      <c r="LE1171" s="1280"/>
      <c r="LF1171" s="1280"/>
      <c r="LG1171" s="1280"/>
      <c r="LH1171" s="1280"/>
      <c r="LI1171" s="1280"/>
      <c r="LJ1171" s="1280"/>
      <c r="LK1171" s="1280"/>
      <c r="LL1171" s="1280"/>
      <c r="LM1171" s="1280"/>
      <c r="LN1171" s="1280"/>
      <c r="LO1171" s="1280"/>
      <c r="LP1171" s="1280"/>
      <c r="LQ1171" s="1280"/>
      <c r="LR1171" s="1280"/>
      <c r="LS1171" s="1280"/>
      <c r="LT1171" s="1280"/>
      <c r="LU1171" s="1280"/>
      <c r="LV1171" s="1280"/>
      <c r="LW1171" s="1280"/>
      <c r="LX1171" s="1280"/>
      <c r="LY1171" s="1280"/>
      <c r="LZ1171" s="1280"/>
      <c r="MA1171" s="1280"/>
      <c r="MB1171" s="1280"/>
      <c r="MC1171" s="1280"/>
      <c r="MD1171" s="1280"/>
      <c r="ME1171" s="1280"/>
      <c r="MF1171" s="1280"/>
      <c r="MG1171" s="1280"/>
      <c r="MH1171" s="1280"/>
      <c r="MI1171" s="1280"/>
      <c r="MJ1171" s="1280"/>
      <c r="MK1171" s="1280"/>
      <c r="ML1171" s="1280"/>
      <c r="MM1171" s="1280"/>
      <c r="MN1171" s="1280"/>
      <c r="MO1171" s="1280"/>
      <c r="MP1171" s="1280"/>
      <c r="MQ1171" s="1280"/>
      <c r="MR1171" s="1280"/>
      <c r="MS1171" s="1280"/>
      <c r="MT1171" s="1280"/>
      <c r="MU1171" s="1280"/>
      <c r="MV1171" s="1280"/>
      <c r="MW1171" s="1280"/>
      <c r="MX1171" s="1280"/>
      <c r="MY1171" s="1280"/>
      <c r="MZ1171" s="1280"/>
      <c r="NA1171" s="1280"/>
      <c r="NB1171" s="1280"/>
      <c r="NC1171" s="1280"/>
      <c r="ND1171" s="1280"/>
      <c r="NE1171" s="1280"/>
      <c r="NF1171" s="1280"/>
      <c r="NG1171" s="1280"/>
      <c r="NH1171" s="1280"/>
      <c r="NI1171" s="1280"/>
      <c r="NJ1171" s="1280"/>
      <c r="NK1171" s="1280"/>
      <c r="NL1171" s="1280"/>
      <c r="NM1171" s="1280"/>
      <c r="NN1171" s="1280"/>
      <c r="NO1171" s="1280"/>
      <c r="NP1171" s="1280"/>
      <c r="NQ1171" s="1280"/>
      <c r="NR1171" s="1280"/>
      <c r="NS1171" s="1280"/>
      <c r="NT1171" s="1280"/>
      <c r="NU1171" s="1280"/>
      <c r="NV1171" s="1280"/>
      <c r="NW1171" s="1280"/>
      <c r="NX1171" s="1280"/>
      <c r="NY1171" s="1280"/>
      <c r="NZ1171" s="1280"/>
      <c r="OA1171" s="1280"/>
      <c r="OB1171" s="1280"/>
      <c r="OC1171" s="1280"/>
      <c r="OD1171" s="1280"/>
      <c r="OE1171" s="1280"/>
      <c r="OF1171" s="1280"/>
      <c r="OG1171" s="1280"/>
      <c r="OH1171" s="1280"/>
      <c r="OI1171" s="1280"/>
      <c r="OJ1171" s="1280"/>
      <c r="OK1171" s="1280"/>
      <c r="OL1171" s="1280"/>
      <c r="OM1171" s="1280"/>
      <c r="ON1171" s="1280"/>
      <c r="OO1171" s="1280"/>
      <c r="OP1171" s="1280"/>
      <c r="OQ1171" s="1280"/>
      <c r="OR1171" s="1280"/>
      <c r="OS1171" s="1280"/>
      <c r="OT1171" s="1280"/>
      <c r="OU1171" s="1280"/>
      <c r="OV1171" s="1280"/>
      <c r="OW1171" s="1280"/>
      <c r="OX1171" s="1280"/>
      <c r="OY1171" s="1280"/>
      <c r="OZ1171" s="1280"/>
      <c r="PA1171" s="1280"/>
      <c r="PB1171" s="1280"/>
      <c r="PC1171" s="1280"/>
      <c r="PD1171" s="1280"/>
      <c r="PE1171" s="1280"/>
      <c r="PF1171" s="1280"/>
      <c r="PG1171" s="1280"/>
      <c r="PH1171" s="1280"/>
      <c r="PI1171" s="1280"/>
      <c r="PJ1171" s="1280"/>
      <c r="PK1171" s="1280"/>
      <c r="PL1171" s="1280"/>
      <c r="PM1171" s="1280"/>
      <c r="PN1171" s="1280"/>
      <c r="PO1171" s="1280"/>
      <c r="PP1171" s="1280"/>
      <c r="PQ1171" s="1280"/>
      <c r="PR1171" s="1280"/>
      <c r="PS1171" s="1280"/>
      <c r="PT1171" s="1280"/>
      <c r="PU1171" s="1280"/>
      <c r="PV1171" s="1280"/>
      <c r="PW1171" s="1280"/>
      <c r="PX1171" s="1280"/>
      <c r="PY1171" s="1280"/>
      <c r="PZ1171" s="1280"/>
      <c r="QA1171" s="1280"/>
      <c r="QB1171" s="1280"/>
      <c r="QC1171" s="1280"/>
      <c r="QD1171" s="1280"/>
      <c r="QE1171" s="1280"/>
      <c r="QF1171" s="1280"/>
      <c r="QG1171" s="1280"/>
      <c r="QH1171" s="1280"/>
      <c r="QI1171" s="1280"/>
      <c r="QJ1171" s="1280"/>
      <c r="QK1171" s="1280"/>
      <c r="QL1171" s="1280"/>
      <c r="QM1171" s="1280"/>
      <c r="QN1171" s="1280"/>
      <c r="QO1171" s="1280"/>
      <c r="QP1171" s="1280"/>
      <c r="QQ1171" s="1280"/>
      <c r="QR1171" s="1280"/>
      <c r="QS1171" s="1280"/>
      <c r="QT1171" s="1280"/>
      <c r="QU1171" s="1280"/>
      <c r="QV1171" s="1280"/>
      <c r="QW1171" s="1280"/>
      <c r="QX1171" s="1280"/>
      <c r="QY1171" s="1280"/>
      <c r="QZ1171" s="1280"/>
      <c r="RA1171" s="1280"/>
      <c r="RB1171" s="1280"/>
      <c r="RC1171" s="1280"/>
      <c r="RD1171" s="1280"/>
      <c r="RE1171" s="1280"/>
      <c r="RF1171" s="1280"/>
      <c r="RG1171" s="1280"/>
      <c r="RH1171" s="1280"/>
      <c r="RI1171" s="1280"/>
      <c r="RJ1171" s="1280"/>
      <c r="RK1171" s="1280"/>
      <c r="RL1171" s="1280"/>
      <c r="RM1171" s="1280"/>
      <c r="RN1171" s="1280"/>
      <c r="RO1171" s="1280"/>
      <c r="RP1171" s="1280"/>
      <c r="RQ1171" s="1280"/>
      <c r="RR1171" s="1280"/>
      <c r="RS1171" s="1280"/>
      <c r="RT1171" s="1280"/>
      <c r="RU1171" s="1280"/>
      <c r="RV1171" s="1280"/>
      <c r="RW1171" s="1280"/>
      <c r="RX1171" s="1280"/>
      <c r="RY1171" s="1280"/>
      <c r="RZ1171" s="1280"/>
      <c r="SA1171" s="1280"/>
      <c r="SB1171" s="1280"/>
      <c r="SC1171" s="1280"/>
      <c r="SD1171" s="1280"/>
      <c r="SE1171" s="1280"/>
      <c r="SF1171" s="1280"/>
      <c r="SG1171" s="1280"/>
      <c r="SH1171" s="1280"/>
      <c r="SI1171" s="1280"/>
      <c r="SJ1171" s="1280"/>
      <c r="SK1171" s="1280"/>
      <c r="SL1171" s="1280"/>
      <c r="SM1171" s="1280"/>
      <c r="SN1171" s="1280"/>
      <c r="SO1171" s="1280"/>
      <c r="SP1171" s="1280"/>
      <c r="SQ1171" s="1280"/>
      <c r="SR1171" s="1280"/>
      <c r="SS1171" s="1280"/>
      <c r="ST1171" s="1280"/>
      <c r="SU1171" s="1280"/>
      <c r="SV1171" s="1280"/>
      <c r="SW1171" s="1280"/>
      <c r="SX1171" s="1280"/>
      <c r="SY1171" s="1280"/>
      <c r="SZ1171" s="1280"/>
      <c r="TA1171" s="1280"/>
      <c r="TB1171" s="1280"/>
      <c r="TC1171" s="1280"/>
      <c r="TD1171" s="1280"/>
      <c r="TE1171" s="1280"/>
      <c r="TF1171" s="1280"/>
      <c r="TG1171" s="1280"/>
      <c r="TH1171" s="1280"/>
      <c r="TI1171" s="1280"/>
      <c r="TJ1171" s="1280"/>
      <c r="TK1171" s="1280"/>
      <c r="TL1171" s="1280"/>
      <c r="TM1171" s="1280"/>
      <c r="TN1171" s="1280"/>
      <c r="TO1171" s="1280"/>
      <c r="TP1171" s="1280"/>
      <c r="TQ1171" s="1280"/>
      <c r="TR1171" s="1280"/>
      <c r="TS1171" s="1280"/>
      <c r="TT1171" s="1280"/>
      <c r="TU1171" s="1280"/>
      <c r="TV1171" s="1280"/>
      <c r="TW1171" s="1280"/>
      <c r="TX1171" s="1280"/>
      <c r="TY1171" s="1280"/>
      <c r="TZ1171" s="1280"/>
      <c r="UA1171" s="1280"/>
      <c r="UB1171" s="1280"/>
      <c r="UC1171" s="1280"/>
      <c r="UD1171" s="1280"/>
      <c r="UE1171" s="1280"/>
      <c r="UF1171" s="1280"/>
      <c r="UG1171" s="1279"/>
    </row>
    <row r="1172" spans="1:553" s="1262" customFormat="1" ht="39.75" customHeight="1">
      <c r="A1172" s="445"/>
      <c r="B1172" s="761"/>
      <c r="C1172" s="1411" t="s">
        <v>1391</v>
      </c>
      <c r="D1172" s="1411" t="s">
        <v>1233</v>
      </c>
      <c r="E1172" s="1411" t="s">
        <v>1233</v>
      </c>
      <c r="F1172" s="1411" t="s">
        <v>1233</v>
      </c>
      <c r="G1172" s="776" t="s">
        <v>48</v>
      </c>
      <c r="H1172" s="646"/>
      <c r="I1172" s="422">
        <v>15</v>
      </c>
      <c r="J1172" s="368">
        <v>160000</v>
      </c>
      <c r="K1172" s="565"/>
      <c r="L1172" s="1079">
        <f>ROUND(PRODUCT(I1172:K1172),0)</f>
        <v>2400000</v>
      </c>
      <c r="M1172" s="356"/>
      <c r="N1172" s="356"/>
      <c r="O1172" s="356"/>
      <c r="P1172" s="356"/>
      <c r="Q1172" s="610"/>
      <c r="R1172" s="1226"/>
      <c r="S1172" s="308"/>
      <c r="T1172" s="308"/>
      <c r="U1172" s="308"/>
      <c r="V1172" s="308"/>
      <c r="W1172" s="308"/>
      <c r="X1172" s="308"/>
      <c r="Y1172" s="308"/>
      <c r="Z1172" s="604"/>
      <c r="AA1172" s="308"/>
      <c r="AB1172" s="308"/>
      <c r="AC1172" s="373"/>
      <c r="AD1172" s="373"/>
      <c r="AE1172" s="373"/>
      <c r="AF1172" s="373"/>
      <c r="AG1172" s="373"/>
      <c r="AH1172" s="373"/>
      <c r="AI1172" s="373"/>
      <c r="AJ1172" s="373"/>
      <c r="AK1172" s="389"/>
      <c r="AL1172" s="1276"/>
      <c r="AM1172" s="1276"/>
      <c r="AN1172" s="1276"/>
      <c r="AO1172" s="1276"/>
      <c r="AP1172" s="1276"/>
      <c r="AQ1172" s="1276"/>
      <c r="AR1172" s="1276"/>
      <c r="AS1172" s="1280"/>
      <c r="AT1172" s="1280"/>
      <c r="AU1172" s="1280"/>
      <c r="AV1172" s="1280"/>
      <c r="AW1172" s="1280"/>
      <c r="AX1172" s="1280"/>
      <c r="AY1172" s="1280"/>
      <c r="AZ1172" s="1280"/>
      <c r="BA1172" s="1280"/>
      <c r="BB1172" s="1280"/>
      <c r="BC1172" s="1280"/>
      <c r="BD1172" s="1280"/>
      <c r="BE1172" s="1280"/>
      <c r="BF1172" s="1280"/>
      <c r="BG1172" s="1280"/>
      <c r="BH1172" s="1280"/>
      <c r="BI1172" s="1280"/>
      <c r="BJ1172" s="1280"/>
      <c r="BK1172" s="1280"/>
      <c r="BL1172" s="1280"/>
      <c r="BM1172" s="1280"/>
      <c r="BN1172" s="1280"/>
      <c r="BO1172" s="1280"/>
      <c r="BP1172" s="1280"/>
      <c r="BQ1172" s="1280"/>
      <c r="BR1172" s="1280"/>
      <c r="BS1172" s="1280"/>
      <c r="BT1172" s="1280"/>
      <c r="BU1172" s="1280"/>
      <c r="BV1172" s="1280"/>
      <c r="BW1172" s="1280"/>
      <c r="BX1172" s="1280"/>
      <c r="BY1172" s="1280"/>
      <c r="BZ1172" s="1280"/>
      <c r="CA1172" s="1280"/>
      <c r="CB1172" s="1280"/>
      <c r="CC1172" s="1280"/>
      <c r="CD1172" s="1280"/>
      <c r="CE1172" s="1280"/>
      <c r="CF1172" s="1280"/>
      <c r="CG1172" s="1280"/>
      <c r="CH1172" s="1280"/>
      <c r="CI1172" s="1280"/>
      <c r="CJ1172" s="1280"/>
      <c r="CK1172" s="1280"/>
      <c r="CL1172" s="1280"/>
      <c r="CM1172" s="1280"/>
      <c r="CN1172" s="1280"/>
      <c r="CO1172" s="1280"/>
      <c r="CP1172" s="1280"/>
      <c r="CQ1172" s="1280"/>
      <c r="CR1172" s="1280"/>
      <c r="CS1172" s="1280"/>
      <c r="CT1172" s="1280"/>
      <c r="CU1172" s="1280"/>
      <c r="CV1172" s="1280"/>
      <c r="CW1172" s="1280"/>
      <c r="CX1172" s="1280"/>
      <c r="CY1172" s="1280"/>
      <c r="CZ1172" s="1280"/>
      <c r="DA1172" s="1280"/>
      <c r="DB1172" s="1280"/>
      <c r="DC1172" s="1280"/>
      <c r="DD1172" s="1280"/>
      <c r="DE1172" s="1280"/>
      <c r="DF1172" s="1280"/>
      <c r="DG1172" s="1280"/>
      <c r="DH1172" s="1280"/>
      <c r="DI1172" s="1280"/>
      <c r="DJ1172" s="1280"/>
      <c r="DK1172" s="1280"/>
      <c r="DL1172" s="1280"/>
      <c r="DM1172" s="1280"/>
      <c r="DN1172" s="1280"/>
      <c r="DO1172" s="1280"/>
      <c r="DP1172" s="1280"/>
      <c r="DQ1172" s="1280"/>
      <c r="DR1172" s="1280"/>
      <c r="DS1172" s="1280"/>
      <c r="DT1172" s="1280"/>
      <c r="DU1172" s="1280"/>
      <c r="DV1172" s="1280"/>
      <c r="DW1172" s="1280"/>
      <c r="DX1172" s="1280"/>
      <c r="DY1172" s="1280"/>
      <c r="DZ1172" s="1280"/>
      <c r="EA1172" s="1280"/>
      <c r="EB1172" s="1280"/>
      <c r="EC1172" s="1280"/>
      <c r="ED1172" s="1280"/>
      <c r="EE1172" s="1280"/>
      <c r="EF1172" s="1280"/>
      <c r="EG1172" s="1280"/>
      <c r="EH1172" s="1280"/>
      <c r="EI1172" s="1280"/>
      <c r="EJ1172" s="1280"/>
      <c r="EK1172" s="1280"/>
      <c r="EL1172" s="1280"/>
      <c r="EM1172" s="1280"/>
      <c r="EN1172" s="1280"/>
      <c r="EO1172" s="1280"/>
      <c r="EP1172" s="1280"/>
      <c r="EQ1172" s="1280"/>
      <c r="ER1172" s="1280"/>
      <c r="ES1172" s="1280"/>
      <c r="ET1172" s="1280"/>
      <c r="EU1172" s="1280"/>
      <c r="EV1172" s="1280"/>
      <c r="EW1172" s="1280"/>
      <c r="EX1172" s="1280"/>
      <c r="EY1172" s="1280"/>
      <c r="EZ1172" s="1280"/>
      <c r="FA1172" s="1280"/>
      <c r="FB1172" s="1280"/>
      <c r="FC1172" s="1280"/>
      <c r="FD1172" s="1280"/>
      <c r="FE1172" s="1280"/>
      <c r="FF1172" s="1280"/>
      <c r="FG1172" s="1280"/>
      <c r="FH1172" s="1280"/>
      <c r="FI1172" s="1280"/>
      <c r="FJ1172" s="1280"/>
      <c r="FK1172" s="1280"/>
      <c r="FL1172" s="1280"/>
      <c r="FM1172" s="1280"/>
      <c r="FN1172" s="1280"/>
      <c r="FO1172" s="1280"/>
      <c r="FP1172" s="1280"/>
      <c r="FQ1172" s="1280"/>
      <c r="FR1172" s="1280"/>
      <c r="FS1172" s="1280"/>
      <c r="FT1172" s="1280"/>
      <c r="FU1172" s="1280"/>
      <c r="FV1172" s="1280"/>
      <c r="FW1172" s="1280"/>
      <c r="FX1172" s="1280"/>
      <c r="FY1172" s="1280"/>
      <c r="FZ1172" s="1280"/>
      <c r="GA1172" s="1280"/>
      <c r="GB1172" s="1280"/>
      <c r="GC1172" s="1280"/>
      <c r="GD1172" s="1280"/>
      <c r="GE1172" s="1280"/>
      <c r="GF1172" s="1280"/>
      <c r="GG1172" s="1280"/>
      <c r="GH1172" s="1280"/>
      <c r="GI1172" s="1280"/>
      <c r="GJ1172" s="1280"/>
      <c r="GK1172" s="1280"/>
      <c r="GL1172" s="1280"/>
      <c r="GM1172" s="1280"/>
      <c r="GN1172" s="1280"/>
      <c r="GO1172" s="1280"/>
      <c r="GP1172" s="1280"/>
      <c r="GQ1172" s="1280"/>
      <c r="GR1172" s="1280"/>
      <c r="GS1172" s="1280"/>
      <c r="GT1172" s="1280"/>
      <c r="GU1172" s="1280"/>
      <c r="GV1172" s="1280"/>
      <c r="GW1172" s="1280"/>
      <c r="GX1172" s="1280"/>
      <c r="GY1172" s="1280"/>
      <c r="GZ1172" s="1280"/>
      <c r="HA1172" s="1280"/>
      <c r="HB1172" s="1280"/>
      <c r="HC1172" s="1280"/>
      <c r="HD1172" s="1280"/>
      <c r="HE1172" s="1280"/>
      <c r="HF1172" s="1280"/>
      <c r="HG1172" s="1280"/>
      <c r="HH1172" s="1280"/>
      <c r="HI1172" s="1280"/>
      <c r="HJ1172" s="1280"/>
      <c r="HK1172" s="1280"/>
      <c r="HL1172" s="1280"/>
      <c r="HM1172" s="1280"/>
      <c r="HN1172" s="1280"/>
      <c r="HO1172" s="1280"/>
      <c r="HP1172" s="1280"/>
      <c r="HQ1172" s="1280"/>
      <c r="HR1172" s="1280"/>
      <c r="HS1172" s="1280"/>
      <c r="HT1172" s="1280"/>
      <c r="HU1172" s="1280"/>
      <c r="HV1172" s="1280"/>
      <c r="HW1172" s="1280"/>
      <c r="HX1172" s="1280"/>
      <c r="HY1172" s="1280"/>
      <c r="HZ1172" s="1280"/>
      <c r="IA1172" s="1280"/>
      <c r="IB1172" s="1280"/>
      <c r="IC1172" s="1280"/>
      <c r="ID1172" s="1280"/>
      <c r="IE1172" s="1280"/>
      <c r="IF1172" s="1280"/>
      <c r="IG1172" s="1280"/>
      <c r="IH1172" s="1280"/>
      <c r="II1172" s="1280"/>
      <c r="IJ1172" s="1280"/>
      <c r="IK1172" s="1280"/>
      <c r="IL1172" s="1280"/>
      <c r="IM1172" s="1280"/>
      <c r="IN1172" s="1280"/>
      <c r="IO1172" s="1280"/>
      <c r="IP1172" s="1280"/>
      <c r="IQ1172" s="1280"/>
      <c r="IR1172" s="1280"/>
      <c r="IS1172" s="1280"/>
      <c r="IT1172" s="1280"/>
      <c r="IU1172" s="1280"/>
      <c r="IV1172" s="1280"/>
      <c r="IW1172" s="1280"/>
      <c r="IX1172" s="1280"/>
      <c r="IY1172" s="1280"/>
      <c r="IZ1172" s="1280"/>
      <c r="JA1172" s="1280"/>
      <c r="JB1172" s="1280"/>
      <c r="JC1172" s="1280"/>
      <c r="JD1172" s="1280"/>
      <c r="JE1172" s="1280"/>
      <c r="JF1172" s="1280"/>
      <c r="JG1172" s="1280"/>
      <c r="JH1172" s="1280"/>
      <c r="JI1172" s="1280"/>
      <c r="JJ1172" s="1280"/>
      <c r="JK1172" s="1280"/>
      <c r="JL1172" s="1280"/>
      <c r="JM1172" s="1280"/>
      <c r="JN1172" s="1280"/>
      <c r="JO1172" s="1280"/>
      <c r="JP1172" s="1280"/>
      <c r="JQ1172" s="1280"/>
      <c r="JR1172" s="1280"/>
      <c r="JS1172" s="1280"/>
      <c r="JT1172" s="1280"/>
      <c r="JU1172" s="1280"/>
      <c r="JV1172" s="1280"/>
      <c r="JW1172" s="1280"/>
      <c r="JX1172" s="1280"/>
      <c r="JY1172" s="1280"/>
      <c r="JZ1172" s="1280"/>
      <c r="KA1172" s="1280"/>
      <c r="KB1172" s="1280"/>
      <c r="KC1172" s="1280"/>
      <c r="KD1172" s="1280"/>
      <c r="KE1172" s="1280"/>
      <c r="KF1172" s="1280"/>
      <c r="KG1172" s="1280"/>
      <c r="KH1172" s="1280"/>
      <c r="KI1172" s="1280"/>
      <c r="KJ1172" s="1280"/>
      <c r="KK1172" s="1280"/>
      <c r="KL1172" s="1280"/>
      <c r="KM1172" s="1280"/>
      <c r="KN1172" s="1280"/>
      <c r="KO1172" s="1280"/>
      <c r="KP1172" s="1280"/>
      <c r="KQ1172" s="1280"/>
      <c r="KR1172" s="1280"/>
      <c r="KS1172" s="1280"/>
      <c r="KT1172" s="1280"/>
      <c r="KU1172" s="1280"/>
      <c r="KV1172" s="1280"/>
      <c r="KW1172" s="1280"/>
      <c r="KX1172" s="1280"/>
      <c r="KY1172" s="1280"/>
      <c r="KZ1172" s="1280"/>
      <c r="LA1172" s="1280"/>
      <c r="LB1172" s="1280"/>
      <c r="LC1172" s="1280"/>
      <c r="LD1172" s="1280"/>
      <c r="LE1172" s="1280"/>
      <c r="LF1172" s="1280"/>
      <c r="LG1172" s="1280"/>
      <c r="LH1172" s="1280"/>
      <c r="LI1172" s="1280"/>
      <c r="LJ1172" s="1280"/>
      <c r="LK1172" s="1280"/>
      <c r="LL1172" s="1280"/>
      <c r="LM1172" s="1280"/>
      <c r="LN1172" s="1280"/>
      <c r="LO1172" s="1280"/>
      <c r="LP1172" s="1280"/>
      <c r="LQ1172" s="1280"/>
      <c r="LR1172" s="1280"/>
      <c r="LS1172" s="1280"/>
      <c r="LT1172" s="1280"/>
      <c r="LU1172" s="1280"/>
      <c r="LV1172" s="1280"/>
      <c r="LW1172" s="1280"/>
      <c r="LX1172" s="1280"/>
      <c r="LY1172" s="1280"/>
      <c r="LZ1172" s="1280"/>
      <c r="MA1172" s="1280"/>
      <c r="MB1172" s="1280"/>
      <c r="MC1172" s="1280"/>
      <c r="MD1172" s="1280"/>
      <c r="ME1172" s="1280"/>
      <c r="MF1172" s="1280"/>
      <c r="MG1172" s="1280"/>
      <c r="MH1172" s="1280"/>
      <c r="MI1172" s="1280"/>
      <c r="MJ1172" s="1280"/>
      <c r="MK1172" s="1280"/>
      <c r="ML1172" s="1280"/>
      <c r="MM1172" s="1280"/>
      <c r="MN1172" s="1280"/>
      <c r="MO1172" s="1280"/>
      <c r="MP1172" s="1280"/>
      <c r="MQ1172" s="1280"/>
      <c r="MR1172" s="1280"/>
      <c r="MS1172" s="1280"/>
      <c r="MT1172" s="1280"/>
      <c r="MU1172" s="1280"/>
      <c r="MV1172" s="1280"/>
      <c r="MW1172" s="1280"/>
      <c r="MX1172" s="1280"/>
      <c r="MY1172" s="1280"/>
      <c r="MZ1172" s="1280"/>
      <c r="NA1172" s="1280"/>
      <c r="NB1172" s="1280"/>
      <c r="NC1172" s="1280"/>
      <c r="ND1172" s="1280"/>
      <c r="NE1172" s="1280"/>
      <c r="NF1172" s="1280"/>
      <c r="NG1172" s="1280"/>
      <c r="NH1172" s="1280"/>
      <c r="NI1172" s="1280"/>
      <c r="NJ1172" s="1280"/>
      <c r="NK1172" s="1280"/>
      <c r="NL1172" s="1280"/>
      <c r="NM1172" s="1280"/>
      <c r="NN1172" s="1280"/>
      <c r="NO1172" s="1280"/>
      <c r="NP1172" s="1280"/>
      <c r="NQ1172" s="1280"/>
      <c r="NR1172" s="1280"/>
      <c r="NS1172" s="1280"/>
      <c r="NT1172" s="1280"/>
      <c r="NU1172" s="1280"/>
      <c r="NV1172" s="1280"/>
      <c r="NW1172" s="1280"/>
      <c r="NX1172" s="1280"/>
      <c r="NY1172" s="1280"/>
      <c r="NZ1172" s="1280"/>
      <c r="OA1172" s="1280"/>
      <c r="OB1172" s="1280"/>
      <c r="OC1172" s="1280"/>
      <c r="OD1172" s="1280"/>
      <c r="OE1172" s="1280"/>
      <c r="OF1172" s="1280"/>
      <c r="OG1172" s="1280"/>
      <c r="OH1172" s="1280"/>
      <c r="OI1172" s="1280"/>
      <c r="OJ1172" s="1280"/>
      <c r="OK1172" s="1280"/>
      <c r="OL1172" s="1280"/>
      <c r="OM1172" s="1280"/>
      <c r="ON1172" s="1280"/>
      <c r="OO1172" s="1280"/>
      <c r="OP1172" s="1280"/>
      <c r="OQ1172" s="1280"/>
      <c r="OR1172" s="1280"/>
      <c r="OS1172" s="1280"/>
      <c r="OT1172" s="1280"/>
      <c r="OU1172" s="1280"/>
      <c r="OV1172" s="1280"/>
      <c r="OW1172" s="1280"/>
      <c r="OX1172" s="1280"/>
      <c r="OY1172" s="1280"/>
      <c r="OZ1172" s="1280"/>
      <c r="PA1172" s="1280"/>
      <c r="PB1172" s="1280"/>
      <c r="PC1172" s="1280"/>
      <c r="PD1172" s="1280"/>
      <c r="PE1172" s="1280"/>
      <c r="PF1172" s="1280"/>
      <c r="PG1172" s="1280"/>
      <c r="PH1172" s="1280"/>
      <c r="PI1172" s="1280"/>
      <c r="PJ1172" s="1280"/>
      <c r="PK1172" s="1280"/>
      <c r="PL1172" s="1280"/>
      <c r="PM1172" s="1280"/>
      <c r="PN1172" s="1280"/>
      <c r="PO1172" s="1280"/>
      <c r="PP1172" s="1280"/>
      <c r="PQ1172" s="1280"/>
      <c r="PR1172" s="1280"/>
      <c r="PS1172" s="1280"/>
      <c r="PT1172" s="1280"/>
      <c r="PU1172" s="1280"/>
      <c r="PV1172" s="1280"/>
      <c r="PW1172" s="1280"/>
      <c r="PX1172" s="1280"/>
      <c r="PY1172" s="1280"/>
      <c r="PZ1172" s="1280"/>
      <c r="QA1172" s="1280"/>
      <c r="QB1172" s="1280"/>
      <c r="QC1172" s="1280"/>
      <c r="QD1172" s="1280"/>
      <c r="QE1172" s="1280"/>
      <c r="QF1172" s="1280"/>
      <c r="QG1172" s="1280"/>
      <c r="QH1172" s="1280"/>
      <c r="QI1172" s="1280"/>
      <c r="QJ1172" s="1280"/>
      <c r="QK1172" s="1280"/>
      <c r="QL1172" s="1280"/>
      <c r="QM1172" s="1280"/>
      <c r="QN1172" s="1280"/>
      <c r="QO1172" s="1280"/>
      <c r="QP1172" s="1280"/>
      <c r="QQ1172" s="1280"/>
      <c r="QR1172" s="1280"/>
      <c r="QS1172" s="1280"/>
      <c r="QT1172" s="1280"/>
      <c r="QU1172" s="1280"/>
      <c r="QV1172" s="1280"/>
      <c r="QW1172" s="1280"/>
      <c r="QX1172" s="1280"/>
      <c r="QY1172" s="1280"/>
      <c r="QZ1172" s="1280"/>
      <c r="RA1172" s="1280"/>
      <c r="RB1172" s="1280"/>
      <c r="RC1172" s="1280"/>
      <c r="RD1172" s="1280"/>
      <c r="RE1172" s="1280"/>
      <c r="RF1172" s="1280"/>
      <c r="RG1172" s="1280"/>
      <c r="RH1172" s="1280"/>
      <c r="RI1172" s="1280"/>
      <c r="RJ1172" s="1280"/>
      <c r="RK1172" s="1280"/>
      <c r="RL1172" s="1280"/>
      <c r="RM1172" s="1280"/>
      <c r="RN1172" s="1280"/>
      <c r="RO1172" s="1280"/>
      <c r="RP1172" s="1280"/>
      <c r="RQ1172" s="1280"/>
      <c r="RR1172" s="1280"/>
      <c r="RS1172" s="1280"/>
      <c r="RT1172" s="1280"/>
      <c r="RU1172" s="1280"/>
      <c r="RV1172" s="1280"/>
      <c r="RW1172" s="1280"/>
      <c r="RX1172" s="1280"/>
      <c r="RY1172" s="1280"/>
      <c r="RZ1172" s="1280"/>
      <c r="SA1172" s="1280"/>
      <c r="SB1172" s="1280"/>
      <c r="SC1172" s="1280"/>
      <c r="SD1172" s="1280"/>
      <c r="SE1172" s="1280"/>
      <c r="SF1172" s="1280"/>
      <c r="SG1172" s="1280"/>
      <c r="SH1172" s="1280"/>
      <c r="SI1172" s="1280"/>
      <c r="SJ1172" s="1280"/>
      <c r="SK1172" s="1280"/>
      <c r="SL1172" s="1280"/>
      <c r="SM1172" s="1280"/>
      <c r="SN1172" s="1280"/>
      <c r="SO1172" s="1280"/>
      <c r="SP1172" s="1280"/>
      <c r="SQ1172" s="1280"/>
      <c r="SR1172" s="1280"/>
      <c r="SS1172" s="1280"/>
      <c r="ST1172" s="1280"/>
      <c r="SU1172" s="1280"/>
      <c r="SV1172" s="1280"/>
      <c r="SW1172" s="1280"/>
      <c r="SX1172" s="1280"/>
      <c r="SY1172" s="1280"/>
      <c r="SZ1172" s="1280"/>
      <c r="TA1172" s="1280"/>
      <c r="TB1172" s="1280"/>
      <c r="TC1172" s="1280"/>
      <c r="TD1172" s="1280"/>
      <c r="TE1172" s="1280"/>
      <c r="TF1172" s="1280"/>
      <c r="TG1172" s="1280"/>
      <c r="TH1172" s="1280"/>
      <c r="TI1172" s="1280"/>
      <c r="TJ1172" s="1280"/>
      <c r="TK1172" s="1280"/>
      <c r="TL1172" s="1280"/>
      <c r="TM1172" s="1280"/>
      <c r="TN1172" s="1280"/>
      <c r="TO1172" s="1280"/>
      <c r="TP1172" s="1280"/>
      <c r="TQ1172" s="1280"/>
      <c r="TR1172" s="1280"/>
      <c r="TS1172" s="1280"/>
      <c r="TT1172" s="1280"/>
      <c r="TU1172" s="1280"/>
      <c r="TV1172" s="1280"/>
      <c r="TW1172" s="1280"/>
      <c r="TX1172" s="1280"/>
      <c r="TY1172" s="1280"/>
      <c r="TZ1172" s="1280"/>
      <c r="UA1172" s="1280"/>
      <c r="UB1172" s="1280"/>
      <c r="UC1172" s="1280"/>
      <c r="UD1172" s="1280"/>
      <c r="UE1172" s="1280"/>
      <c r="UF1172" s="1280"/>
      <c r="UG1172" s="1279"/>
    </row>
    <row r="1173" spans="1:553" s="109" customFormat="1" ht="40.9" customHeight="1">
      <c r="A1173" s="356" t="s">
        <v>53</v>
      </c>
      <c r="B1173" s="356"/>
      <c r="C1173" s="1577" t="s">
        <v>667</v>
      </c>
      <c r="D1173" s="1578"/>
      <c r="E1173" s="1578"/>
      <c r="F1173" s="1579"/>
      <c r="G1173" s="356"/>
      <c r="H1173" s="424"/>
      <c r="I1173" s="424"/>
      <c r="J1173" s="357"/>
      <c r="K1173" s="358"/>
      <c r="L1173" s="356">
        <f>L1174+L1175</f>
        <v>7500000</v>
      </c>
      <c r="M1173" s="356"/>
      <c r="N1173" s="356"/>
      <c r="O1173" s="356"/>
      <c r="P1173" s="356">
        <f>L1173</f>
        <v>7500000</v>
      </c>
      <c r="Q1173" s="610"/>
      <c r="R1173" s="1447" t="s">
        <v>55</v>
      </c>
      <c r="S1173" s="308"/>
      <c r="T1173" s="308"/>
      <c r="U1173" s="308"/>
      <c r="V1173" s="308"/>
      <c r="W1173" s="308"/>
      <c r="X1173" s="308"/>
      <c r="Y1173" s="308"/>
      <c r="Z1173" s="604"/>
      <c r="AA1173" s="308"/>
      <c r="AB1173" s="308"/>
      <c r="AC1173" s="404"/>
      <c r="AD1173" s="404"/>
      <c r="AE1173" s="404"/>
      <c r="AF1173" s="404"/>
      <c r="AG1173" s="404"/>
      <c r="AH1173" s="404"/>
      <c r="AI1173" s="404"/>
      <c r="AJ1173" s="404"/>
      <c r="AK1173" s="404"/>
      <c r="AL1173" s="294"/>
      <c r="AM1173" s="197"/>
      <c r="AN1173" s="197"/>
      <c r="AO1173" s="197"/>
      <c r="AP1173" s="197"/>
      <c r="AQ1173" s="197"/>
      <c r="AR1173" s="197"/>
      <c r="AS1173" s="197"/>
      <c r="AT1173" s="198"/>
      <c r="AU1173" s="198"/>
      <c r="AV1173" s="198"/>
      <c r="AW1173" s="198"/>
      <c r="AX1173" s="198"/>
      <c r="AY1173" s="198"/>
      <c r="AZ1173" s="198"/>
      <c r="BA1173" s="198"/>
      <c r="BB1173" s="198"/>
      <c r="BC1173" s="198"/>
      <c r="BD1173" s="198"/>
      <c r="BE1173" s="198"/>
      <c r="BF1173" s="198"/>
      <c r="BG1173" s="198"/>
      <c r="BH1173" s="198"/>
      <c r="BI1173" s="198"/>
      <c r="BJ1173" s="198"/>
      <c r="BK1173" s="198"/>
      <c r="BL1173" s="198"/>
      <c r="BM1173" s="198"/>
      <c r="BN1173" s="198"/>
      <c r="BO1173" s="198"/>
      <c r="BP1173" s="198"/>
      <c r="BQ1173" s="198"/>
      <c r="BR1173" s="198"/>
      <c r="BS1173" s="198"/>
      <c r="BT1173" s="198"/>
      <c r="BU1173" s="198"/>
      <c r="BV1173" s="198"/>
      <c r="BW1173" s="198"/>
      <c r="BX1173" s="198"/>
      <c r="BY1173" s="198"/>
      <c r="BZ1173" s="198"/>
      <c r="CA1173" s="198"/>
      <c r="CB1173" s="198"/>
      <c r="CC1173" s="198"/>
      <c r="CD1173" s="198"/>
      <c r="CE1173" s="198"/>
      <c r="CF1173" s="198"/>
      <c r="CG1173" s="198"/>
      <c r="CH1173" s="198"/>
      <c r="CI1173" s="198"/>
      <c r="CJ1173" s="198"/>
      <c r="CK1173" s="198"/>
      <c r="CL1173" s="198"/>
      <c r="CM1173" s="198"/>
      <c r="CN1173" s="198"/>
      <c r="CO1173" s="198"/>
      <c r="CP1173" s="198"/>
      <c r="CQ1173" s="198"/>
      <c r="CR1173" s="198"/>
      <c r="CS1173" s="198"/>
      <c r="CT1173" s="198"/>
      <c r="CU1173" s="198"/>
      <c r="CV1173" s="198"/>
      <c r="CW1173" s="198"/>
      <c r="CX1173" s="198"/>
      <c r="CY1173" s="198"/>
      <c r="CZ1173" s="198"/>
      <c r="DA1173" s="198"/>
      <c r="DB1173" s="198"/>
      <c r="DC1173" s="198"/>
      <c r="DD1173" s="198"/>
      <c r="DE1173" s="198"/>
      <c r="DF1173" s="198"/>
      <c r="DG1173" s="198"/>
      <c r="DH1173" s="198"/>
      <c r="DI1173" s="198"/>
      <c r="DJ1173" s="198"/>
      <c r="DK1173" s="198"/>
      <c r="DL1173" s="198"/>
      <c r="DM1173" s="198"/>
      <c r="DN1173" s="198"/>
      <c r="DO1173" s="198"/>
      <c r="DP1173" s="198"/>
      <c r="DQ1173" s="198"/>
      <c r="DR1173" s="198"/>
      <c r="DS1173" s="198"/>
      <c r="DT1173" s="198"/>
      <c r="DU1173" s="198"/>
      <c r="DV1173" s="198"/>
      <c r="DW1173" s="198"/>
      <c r="DX1173" s="198"/>
      <c r="DY1173" s="198"/>
      <c r="DZ1173" s="198"/>
      <c r="EA1173" s="198"/>
      <c r="EB1173" s="198"/>
      <c r="EC1173" s="198"/>
      <c r="ED1173" s="198"/>
      <c r="EE1173" s="198"/>
      <c r="EF1173" s="198"/>
      <c r="EG1173" s="198"/>
      <c r="EH1173" s="198"/>
      <c r="EI1173" s="198"/>
      <c r="EJ1173" s="198"/>
      <c r="EK1173" s="198"/>
      <c r="EL1173" s="198"/>
      <c r="EM1173" s="198"/>
      <c r="EN1173" s="198"/>
      <c r="EO1173" s="198"/>
      <c r="EP1173" s="198"/>
      <c r="EQ1173" s="198"/>
      <c r="ER1173" s="198"/>
      <c r="ES1173" s="198"/>
      <c r="ET1173" s="198"/>
      <c r="EU1173" s="198"/>
      <c r="EV1173" s="198"/>
      <c r="EW1173" s="198"/>
      <c r="EX1173" s="198"/>
      <c r="EY1173" s="198"/>
      <c r="EZ1173" s="198"/>
      <c r="FA1173" s="198"/>
      <c r="FB1173" s="198"/>
      <c r="FC1173" s="198"/>
      <c r="FD1173" s="198"/>
      <c r="FE1173" s="198"/>
      <c r="FF1173" s="198"/>
      <c r="FG1173" s="198"/>
      <c r="FH1173" s="198"/>
      <c r="FI1173" s="198"/>
      <c r="FJ1173" s="198"/>
      <c r="FK1173" s="198"/>
      <c r="FL1173" s="198"/>
      <c r="FM1173" s="198"/>
      <c r="FN1173" s="198"/>
      <c r="FO1173" s="198"/>
      <c r="FP1173" s="198"/>
      <c r="FQ1173" s="198"/>
      <c r="FR1173" s="198"/>
      <c r="FS1173" s="198"/>
      <c r="FT1173" s="198"/>
      <c r="FU1173" s="198"/>
      <c r="FV1173" s="198"/>
      <c r="FW1173" s="198"/>
      <c r="FX1173" s="198"/>
      <c r="FY1173" s="198"/>
      <c r="FZ1173" s="198"/>
      <c r="GA1173" s="198"/>
      <c r="GB1173" s="198"/>
      <c r="GC1173" s="198"/>
      <c r="GD1173" s="198"/>
      <c r="GE1173" s="198"/>
      <c r="GF1173" s="198"/>
      <c r="GG1173" s="198"/>
      <c r="GH1173" s="198"/>
      <c r="GI1173" s="198"/>
      <c r="GJ1173" s="198"/>
      <c r="GK1173" s="198"/>
      <c r="GL1173" s="198"/>
      <c r="GM1173" s="198"/>
      <c r="GN1173" s="198"/>
      <c r="GO1173" s="198"/>
      <c r="GP1173" s="198"/>
      <c r="GQ1173" s="198"/>
      <c r="GR1173" s="198"/>
      <c r="GS1173" s="198"/>
      <c r="GT1173" s="198"/>
      <c r="GU1173" s="198"/>
      <c r="GV1173" s="198"/>
      <c r="GW1173" s="198"/>
      <c r="GX1173" s="198"/>
      <c r="GY1173" s="198"/>
      <c r="GZ1173" s="198"/>
      <c r="HA1173" s="198"/>
      <c r="HB1173" s="198"/>
      <c r="HC1173" s="198"/>
      <c r="HD1173" s="198"/>
      <c r="HE1173" s="198"/>
      <c r="HF1173" s="198"/>
      <c r="HG1173" s="198"/>
      <c r="HH1173" s="198"/>
      <c r="HI1173" s="198"/>
      <c r="HJ1173" s="198"/>
      <c r="HK1173" s="198"/>
      <c r="HL1173" s="198"/>
      <c r="HM1173" s="198"/>
      <c r="HN1173" s="198"/>
      <c r="HO1173" s="198"/>
      <c r="HP1173" s="198"/>
      <c r="HQ1173" s="198"/>
      <c r="HR1173" s="198"/>
      <c r="HS1173" s="198"/>
      <c r="HT1173" s="198"/>
      <c r="HU1173" s="198"/>
      <c r="HV1173" s="198"/>
      <c r="HW1173" s="198"/>
      <c r="HX1173" s="198"/>
      <c r="HY1173" s="198"/>
      <c r="HZ1173" s="198"/>
      <c r="IA1173" s="198"/>
      <c r="IB1173" s="198"/>
      <c r="IC1173" s="198"/>
      <c r="ID1173" s="198"/>
      <c r="IE1173" s="198"/>
      <c r="IF1173" s="198"/>
      <c r="IG1173" s="198"/>
      <c r="IH1173" s="198"/>
      <c r="II1173" s="198"/>
      <c r="IJ1173" s="198"/>
      <c r="IK1173" s="198"/>
      <c r="IL1173" s="198"/>
      <c r="IM1173" s="198"/>
      <c r="IN1173" s="198"/>
      <c r="IO1173" s="198"/>
      <c r="IP1173" s="198"/>
      <c r="IQ1173" s="198"/>
      <c r="IR1173" s="198"/>
      <c r="IS1173" s="198"/>
      <c r="IT1173" s="198"/>
      <c r="IU1173" s="198"/>
      <c r="IV1173" s="198"/>
      <c r="IW1173" s="198"/>
      <c r="IX1173" s="198"/>
      <c r="IY1173" s="198"/>
      <c r="IZ1173" s="198"/>
      <c r="JA1173" s="198"/>
      <c r="JB1173" s="198"/>
      <c r="JC1173" s="198"/>
      <c r="JD1173" s="198"/>
      <c r="JE1173" s="198"/>
      <c r="JF1173" s="198"/>
      <c r="JG1173" s="198"/>
      <c r="JH1173" s="198"/>
      <c r="JI1173" s="198"/>
      <c r="JJ1173" s="198"/>
      <c r="JK1173" s="198"/>
      <c r="JL1173" s="198"/>
      <c r="JM1173" s="198"/>
      <c r="JN1173" s="198"/>
      <c r="JO1173" s="198"/>
      <c r="JP1173" s="198"/>
      <c r="JQ1173" s="198"/>
      <c r="JR1173" s="198"/>
      <c r="JS1173" s="198"/>
      <c r="JT1173" s="198"/>
      <c r="JU1173" s="198"/>
      <c r="JV1173" s="198"/>
      <c r="JW1173" s="198"/>
      <c r="JX1173" s="198"/>
      <c r="JY1173" s="198"/>
      <c r="JZ1173" s="198"/>
      <c r="KA1173" s="198"/>
      <c r="KB1173" s="198"/>
      <c r="KC1173" s="198"/>
      <c r="KD1173" s="198"/>
      <c r="KE1173" s="198"/>
      <c r="KF1173" s="198"/>
      <c r="KG1173" s="198"/>
      <c r="KH1173" s="198"/>
      <c r="KI1173" s="198"/>
      <c r="KJ1173" s="198"/>
      <c r="KK1173" s="198"/>
      <c r="KL1173" s="198"/>
      <c r="KM1173" s="198"/>
      <c r="KN1173" s="198"/>
      <c r="KO1173" s="198"/>
      <c r="KP1173" s="198"/>
      <c r="KQ1173" s="198"/>
      <c r="KR1173" s="198"/>
      <c r="KS1173" s="198"/>
      <c r="KT1173" s="198"/>
      <c r="KU1173" s="198"/>
      <c r="KV1173" s="198"/>
      <c r="KW1173" s="198"/>
      <c r="KX1173" s="198"/>
      <c r="KY1173" s="198"/>
      <c r="KZ1173" s="198"/>
      <c r="LA1173" s="198"/>
      <c r="LB1173" s="198"/>
      <c r="LC1173" s="198"/>
      <c r="LD1173" s="198"/>
      <c r="LE1173" s="198"/>
      <c r="LF1173" s="198"/>
      <c r="LG1173" s="198"/>
      <c r="LH1173" s="198"/>
      <c r="LI1173" s="198"/>
      <c r="LJ1173" s="198"/>
      <c r="LK1173" s="198"/>
      <c r="LL1173" s="198"/>
      <c r="LM1173" s="198"/>
      <c r="LN1173" s="198"/>
      <c r="LO1173" s="198"/>
      <c r="LP1173" s="198"/>
      <c r="LQ1173" s="198"/>
      <c r="LR1173" s="198"/>
      <c r="LS1173" s="198"/>
      <c r="LT1173" s="198"/>
      <c r="LU1173" s="198"/>
      <c r="LV1173" s="198"/>
      <c r="LW1173" s="198"/>
      <c r="LX1173" s="198"/>
      <c r="LY1173" s="198"/>
      <c r="LZ1173" s="198"/>
      <c r="MA1173" s="198"/>
      <c r="MB1173" s="198"/>
      <c r="MC1173" s="198"/>
      <c r="MD1173" s="198"/>
      <c r="ME1173" s="198"/>
      <c r="MF1173" s="198"/>
      <c r="MG1173" s="198"/>
      <c r="MH1173" s="198"/>
      <c r="MI1173" s="198"/>
      <c r="MJ1173" s="198"/>
      <c r="MK1173" s="198"/>
      <c r="ML1173" s="198"/>
      <c r="MM1173" s="198"/>
      <c r="MN1173" s="198"/>
      <c r="MO1173" s="198"/>
      <c r="MP1173" s="198"/>
      <c r="MQ1173" s="198"/>
      <c r="MR1173" s="198"/>
      <c r="MS1173" s="198"/>
      <c r="MT1173" s="198"/>
      <c r="MU1173" s="198"/>
      <c r="MV1173" s="198"/>
      <c r="MW1173" s="198"/>
      <c r="MX1173" s="198"/>
      <c r="MY1173" s="198"/>
      <c r="MZ1173" s="198"/>
      <c r="NA1173" s="198"/>
      <c r="NB1173" s="198"/>
      <c r="NC1173" s="198"/>
      <c r="ND1173" s="198"/>
      <c r="NE1173" s="198"/>
      <c r="NF1173" s="198"/>
      <c r="NG1173" s="198"/>
      <c r="NH1173" s="198"/>
      <c r="NI1173" s="198"/>
      <c r="NJ1173" s="198"/>
      <c r="NK1173" s="198"/>
      <c r="NL1173" s="198"/>
      <c r="NM1173" s="198"/>
      <c r="NN1173" s="198"/>
      <c r="NO1173" s="198"/>
      <c r="NP1173" s="198"/>
      <c r="NQ1173" s="198"/>
      <c r="NR1173" s="198"/>
      <c r="NS1173" s="198"/>
      <c r="NT1173" s="198"/>
      <c r="NU1173" s="198"/>
      <c r="NV1173" s="198"/>
      <c r="NW1173" s="198"/>
      <c r="NX1173" s="198"/>
      <c r="NY1173" s="198"/>
      <c r="NZ1173" s="198"/>
      <c r="OA1173" s="198"/>
      <c r="OB1173" s="198"/>
      <c r="OC1173" s="198"/>
      <c r="OD1173" s="198"/>
      <c r="OE1173" s="198"/>
      <c r="OF1173" s="198"/>
      <c r="OG1173" s="198"/>
      <c r="OH1173" s="198"/>
      <c r="OI1173" s="198"/>
      <c r="OJ1173" s="198"/>
      <c r="OK1173" s="198"/>
      <c r="OL1173" s="198"/>
      <c r="OM1173" s="198"/>
      <c r="ON1173" s="198"/>
      <c r="OO1173" s="198"/>
      <c r="OP1173" s="198"/>
      <c r="OQ1173" s="198"/>
      <c r="OR1173" s="198"/>
      <c r="OS1173" s="198"/>
      <c r="OT1173" s="198"/>
      <c r="OU1173" s="198"/>
      <c r="OV1173" s="198"/>
      <c r="OW1173" s="198"/>
      <c r="OX1173" s="198"/>
      <c r="OY1173" s="198"/>
      <c r="OZ1173" s="198"/>
      <c r="PA1173" s="198"/>
      <c r="PB1173" s="198"/>
      <c r="PC1173" s="198"/>
      <c r="PD1173" s="198"/>
      <c r="PE1173" s="198"/>
      <c r="PF1173" s="198"/>
      <c r="PG1173" s="198"/>
      <c r="PH1173" s="198"/>
      <c r="PI1173" s="198"/>
      <c r="PJ1173" s="198"/>
      <c r="PK1173" s="198"/>
      <c r="PL1173" s="198"/>
      <c r="PM1173" s="198"/>
      <c r="PN1173" s="198"/>
      <c r="PO1173" s="198"/>
      <c r="PP1173" s="198"/>
      <c r="PQ1173" s="198"/>
      <c r="PR1173" s="198"/>
      <c r="PS1173" s="198"/>
      <c r="PT1173" s="198"/>
      <c r="PU1173" s="198"/>
      <c r="PV1173" s="198"/>
      <c r="PW1173" s="198"/>
      <c r="PX1173" s="198"/>
      <c r="PY1173" s="198"/>
      <c r="PZ1173" s="198"/>
      <c r="QA1173" s="198"/>
      <c r="QB1173" s="198"/>
      <c r="QC1173" s="198"/>
      <c r="QD1173" s="198"/>
      <c r="QE1173" s="198"/>
      <c r="QF1173" s="198"/>
      <c r="QG1173" s="198"/>
      <c r="QH1173" s="198"/>
      <c r="QI1173" s="198"/>
      <c r="QJ1173" s="198"/>
      <c r="QK1173" s="198"/>
      <c r="QL1173" s="198"/>
      <c r="QM1173" s="198"/>
      <c r="QN1173" s="198"/>
      <c r="QO1173" s="198"/>
      <c r="QP1173" s="198"/>
      <c r="QQ1173" s="198"/>
      <c r="QR1173" s="198"/>
      <c r="QS1173" s="198"/>
      <c r="QT1173" s="198"/>
      <c r="QU1173" s="198"/>
      <c r="QV1173" s="198"/>
      <c r="QW1173" s="198"/>
      <c r="QX1173" s="198"/>
      <c r="QY1173" s="198"/>
      <c r="QZ1173" s="198"/>
      <c r="RA1173" s="198"/>
      <c r="RB1173" s="198"/>
      <c r="RC1173" s="198"/>
      <c r="RD1173" s="198"/>
      <c r="RE1173" s="198"/>
      <c r="RF1173" s="198"/>
      <c r="RG1173" s="198"/>
      <c r="RH1173" s="198"/>
      <c r="RI1173" s="198"/>
      <c r="RJ1173" s="198"/>
      <c r="RK1173" s="198"/>
      <c r="RL1173" s="198"/>
      <c r="RM1173" s="198"/>
      <c r="RN1173" s="198"/>
      <c r="RO1173" s="198"/>
      <c r="RP1173" s="198"/>
      <c r="RQ1173" s="198"/>
      <c r="RR1173" s="198"/>
      <c r="RS1173" s="198"/>
      <c r="RT1173" s="198"/>
      <c r="RU1173" s="198"/>
      <c r="RV1173" s="198"/>
      <c r="RW1173" s="198"/>
      <c r="RX1173" s="198"/>
      <c r="RY1173" s="198"/>
      <c r="RZ1173" s="198"/>
      <c r="SA1173" s="198"/>
      <c r="SB1173" s="198"/>
      <c r="SC1173" s="198"/>
      <c r="SD1173" s="198"/>
      <c r="SE1173" s="198"/>
      <c r="SF1173" s="198"/>
      <c r="SG1173" s="198"/>
      <c r="SH1173" s="198"/>
      <c r="SI1173" s="198"/>
      <c r="SJ1173" s="198"/>
      <c r="SK1173" s="198"/>
      <c r="SL1173" s="198"/>
      <c r="SM1173" s="198"/>
      <c r="SN1173" s="198"/>
      <c r="SO1173" s="198"/>
      <c r="SP1173" s="198"/>
      <c r="SQ1173" s="198"/>
      <c r="SR1173" s="198"/>
      <c r="SS1173" s="198"/>
      <c r="ST1173" s="198"/>
      <c r="SU1173" s="198"/>
      <c r="SV1173" s="198"/>
      <c r="SW1173" s="198"/>
      <c r="SX1173" s="198"/>
      <c r="SY1173" s="198"/>
      <c r="SZ1173" s="198"/>
      <c r="TA1173" s="198"/>
      <c r="TB1173" s="198"/>
      <c r="TC1173" s="198"/>
      <c r="TD1173" s="198"/>
      <c r="TE1173" s="198"/>
      <c r="TF1173" s="198"/>
      <c r="TG1173" s="198"/>
      <c r="TH1173" s="198"/>
      <c r="TI1173" s="198"/>
      <c r="TJ1173" s="198"/>
      <c r="TK1173" s="198"/>
      <c r="TL1173" s="198"/>
      <c r="TM1173" s="198"/>
      <c r="TN1173" s="198"/>
      <c r="TO1173" s="198"/>
      <c r="TP1173" s="198"/>
      <c r="TQ1173" s="198"/>
      <c r="TR1173" s="198"/>
      <c r="TS1173" s="198"/>
      <c r="TT1173" s="198"/>
      <c r="TU1173" s="198"/>
      <c r="TV1173" s="198"/>
      <c r="TW1173" s="198"/>
      <c r="TX1173" s="198"/>
      <c r="TY1173" s="198"/>
      <c r="TZ1173" s="198"/>
      <c r="UA1173" s="198"/>
      <c r="UB1173" s="198"/>
      <c r="UC1173" s="198"/>
      <c r="UD1173" s="198"/>
      <c r="UE1173" s="198"/>
      <c r="UF1173" s="198"/>
      <c r="UG1173" s="108"/>
    </row>
    <row r="1174" spans="1:553" s="109" customFormat="1" ht="34.5" customHeight="1">
      <c r="A1174" s="356"/>
      <c r="B1174" s="356"/>
      <c r="C1174" s="1472" t="s">
        <v>56</v>
      </c>
      <c r="D1174" s="1473"/>
      <c r="E1174" s="1473"/>
      <c r="F1174" s="1474"/>
      <c r="G1174" s="366" t="s">
        <v>57</v>
      </c>
      <c r="H1174" s="417"/>
      <c r="I1174" s="417">
        <v>1</v>
      </c>
      <c r="J1174" s="368">
        <v>5000000</v>
      </c>
      <c r="K1174" s="369"/>
      <c r="L1174" s="366">
        <f t="shared" ref="L1174:L1175" si="173">I1174*J1174</f>
        <v>5000000</v>
      </c>
      <c r="M1174" s="356"/>
      <c r="N1174" s="356"/>
      <c r="O1174" s="356"/>
      <c r="P1174" s="356"/>
      <c r="Q1174" s="610"/>
      <c r="R1174" s="1452"/>
      <c r="S1174" s="308"/>
      <c r="T1174" s="308"/>
      <c r="U1174" s="308"/>
      <c r="V1174" s="308"/>
      <c r="W1174" s="308"/>
      <c r="X1174" s="308"/>
      <c r="Y1174" s="308"/>
      <c r="Z1174" s="604"/>
      <c r="AA1174" s="308"/>
      <c r="AB1174" s="308"/>
      <c r="AC1174" s="456"/>
      <c r="AD1174" s="456"/>
      <c r="AE1174" s="456"/>
      <c r="AF1174" s="456"/>
      <c r="AG1174" s="456"/>
      <c r="AH1174" s="456"/>
      <c r="AI1174" s="456"/>
      <c r="AJ1174" s="456"/>
      <c r="AK1174" s="456"/>
      <c r="AL1174" s="187"/>
      <c r="AM1174" s="188"/>
      <c r="AN1174" s="188"/>
      <c r="AO1174" s="188"/>
      <c r="AP1174" s="188"/>
      <c r="AQ1174" s="188"/>
      <c r="AR1174" s="188"/>
      <c r="AS1174" s="188"/>
      <c r="AT1174" s="189"/>
      <c r="AU1174" s="189"/>
      <c r="AV1174" s="189"/>
      <c r="AW1174" s="189"/>
      <c r="AX1174" s="189"/>
      <c r="AY1174" s="189"/>
      <c r="AZ1174" s="189"/>
      <c r="BA1174" s="189"/>
      <c r="BB1174" s="189"/>
      <c r="BC1174" s="189"/>
      <c r="BD1174" s="189"/>
      <c r="BE1174" s="189"/>
      <c r="BF1174" s="189"/>
      <c r="BG1174" s="189"/>
      <c r="BH1174" s="189"/>
      <c r="BI1174" s="189"/>
      <c r="BJ1174" s="189"/>
      <c r="BK1174" s="189"/>
      <c r="BL1174" s="189"/>
      <c r="BM1174" s="189"/>
      <c r="BN1174" s="189"/>
      <c r="BO1174" s="189"/>
      <c r="BP1174" s="190"/>
      <c r="BQ1174" s="190"/>
      <c r="BR1174" s="190"/>
      <c r="BS1174" s="190"/>
      <c r="BT1174" s="190"/>
      <c r="BU1174" s="190"/>
      <c r="BV1174" s="190"/>
      <c r="BW1174" s="190"/>
      <c r="BX1174" s="190"/>
      <c r="BY1174" s="190"/>
      <c r="BZ1174" s="190"/>
      <c r="CA1174" s="190"/>
      <c r="CB1174" s="190"/>
      <c r="CC1174" s="190"/>
      <c r="CD1174" s="190"/>
      <c r="CE1174" s="190"/>
      <c r="CF1174" s="190"/>
      <c r="CG1174" s="190"/>
      <c r="CH1174" s="190"/>
      <c r="CI1174" s="190"/>
      <c r="CJ1174" s="190"/>
      <c r="CK1174" s="190"/>
      <c r="CL1174" s="190"/>
      <c r="CM1174" s="190"/>
      <c r="CN1174" s="190"/>
      <c r="CO1174" s="190"/>
      <c r="CP1174" s="190"/>
      <c r="CQ1174" s="190"/>
      <c r="CR1174" s="190"/>
      <c r="CS1174" s="190"/>
      <c r="CT1174" s="190"/>
      <c r="CU1174" s="190"/>
      <c r="CV1174" s="190"/>
      <c r="CW1174" s="190"/>
      <c r="CX1174" s="190"/>
      <c r="CY1174" s="190"/>
      <c r="CZ1174" s="190"/>
      <c r="DA1174" s="190"/>
      <c r="DB1174" s="190"/>
      <c r="DC1174" s="190"/>
      <c r="DD1174" s="190"/>
      <c r="DE1174" s="190"/>
      <c r="DF1174" s="190"/>
      <c r="DG1174" s="190"/>
      <c r="DH1174" s="190"/>
      <c r="DI1174" s="190"/>
      <c r="DJ1174" s="190"/>
      <c r="DK1174" s="190"/>
      <c r="DL1174" s="190"/>
      <c r="DM1174" s="190"/>
      <c r="DN1174" s="190"/>
      <c r="DO1174" s="190"/>
      <c r="DP1174" s="190"/>
      <c r="DQ1174" s="190"/>
      <c r="DR1174" s="190"/>
      <c r="DS1174" s="190"/>
      <c r="DT1174" s="190"/>
      <c r="DU1174" s="190"/>
      <c r="DV1174" s="190"/>
      <c r="DW1174" s="190"/>
      <c r="DX1174" s="190"/>
      <c r="DY1174" s="190"/>
      <c r="DZ1174" s="190"/>
      <c r="EA1174" s="190"/>
      <c r="EB1174" s="190"/>
      <c r="EC1174" s="190"/>
      <c r="ED1174" s="190"/>
      <c r="EE1174" s="190"/>
      <c r="EF1174" s="190"/>
      <c r="EG1174" s="190"/>
      <c r="EH1174" s="190"/>
      <c r="EI1174" s="190"/>
      <c r="EJ1174" s="190"/>
      <c r="EK1174" s="190"/>
      <c r="EL1174" s="190"/>
      <c r="EM1174" s="190"/>
      <c r="EN1174" s="190"/>
      <c r="EO1174" s="190"/>
      <c r="EP1174" s="190"/>
      <c r="EQ1174" s="190"/>
      <c r="ER1174" s="190"/>
      <c r="ES1174" s="190"/>
      <c r="ET1174" s="190"/>
      <c r="EU1174" s="190"/>
      <c r="EV1174" s="190"/>
      <c r="EW1174" s="190"/>
      <c r="EX1174" s="190"/>
      <c r="EY1174" s="190"/>
      <c r="EZ1174" s="190"/>
      <c r="FA1174" s="190"/>
      <c r="FB1174" s="190"/>
      <c r="FC1174" s="190"/>
      <c r="FD1174" s="190"/>
      <c r="FE1174" s="190"/>
      <c r="FF1174" s="190"/>
      <c r="FG1174" s="190"/>
      <c r="FH1174" s="190"/>
      <c r="FI1174" s="190"/>
      <c r="FJ1174" s="190"/>
      <c r="FK1174" s="190"/>
      <c r="FL1174" s="190"/>
      <c r="FM1174" s="190"/>
      <c r="FN1174" s="190"/>
      <c r="FO1174" s="190"/>
      <c r="FP1174" s="190"/>
      <c r="FQ1174" s="190"/>
      <c r="FR1174" s="190"/>
      <c r="FS1174" s="190"/>
      <c r="FT1174" s="190"/>
      <c r="FU1174" s="190"/>
      <c r="FV1174" s="190"/>
      <c r="FW1174" s="190"/>
      <c r="FX1174" s="190"/>
      <c r="FY1174" s="190"/>
      <c r="FZ1174" s="190"/>
      <c r="GA1174" s="190"/>
      <c r="GB1174" s="190"/>
      <c r="GC1174" s="190"/>
      <c r="GD1174" s="190"/>
      <c r="GE1174" s="190"/>
      <c r="GF1174" s="190"/>
      <c r="GG1174" s="190"/>
      <c r="GH1174" s="190"/>
      <c r="GI1174" s="190"/>
      <c r="GJ1174" s="190"/>
      <c r="GK1174" s="190"/>
      <c r="GL1174" s="190"/>
      <c r="GM1174" s="190"/>
      <c r="GN1174" s="190"/>
      <c r="GO1174" s="190"/>
      <c r="GP1174" s="190"/>
      <c r="GQ1174" s="190"/>
      <c r="GR1174" s="190"/>
      <c r="GS1174" s="190"/>
      <c r="GT1174" s="190"/>
      <c r="GU1174" s="190"/>
      <c r="GV1174" s="190"/>
      <c r="GW1174" s="190"/>
      <c r="GX1174" s="190"/>
      <c r="GY1174" s="190"/>
      <c r="GZ1174" s="190"/>
      <c r="HA1174" s="190"/>
      <c r="HB1174" s="190"/>
      <c r="HC1174" s="190"/>
      <c r="HD1174" s="190"/>
      <c r="HE1174" s="190"/>
      <c r="HF1174" s="190"/>
      <c r="HG1174" s="190"/>
      <c r="HH1174" s="190"/>
      <c r="HI1174" s="190"/>
      <c r="HJ1174" s="190"/>
      <c r="HK1174" s="190"/>
      <c r="HL1174" s="190"/>
      <c r="HM1174" s="190"/>
      <c r="HN1174" s="190"/>
      <c r="HO1174" s="190"/>
      <c r="HP1174" s="190"/>
      <c r="HQ1174" s="190"/>
      <c r="HR1174" s="190"/>
      <c r="HS1174" s="190"/>
      <c r="HT1174" s="190"/>
      <c r="HU1174" s="190"/>
      <c r="HV1174" s="190"/>
      <c r="HW1174" s="190"/>
      <c r="HX1174" s="190"/>
      <c r="HY1174" s="190"/>
      <c r="HZ1174" s="190"/>
      <c r="IA1174" s="190"/>
      <c r="IB1174" s="190"/>
      <c r="IC1174" s="190"/>
      <c r="ID1174" s="190"/>
      <c r="IE1174" s="190"/>
      <c r="IF1174" s="190"/>
      <c r="IG1174" s="190"/>
      <c r="IH1174" s="190"/>
      <c r="II1174" s="190"/>
      <c r="IJ1174" s="190"/>
      <c r="IK1174" s="190"/>
      <c r="IL1174" s="190"/>
      <c r="IM1174" s="190"/>
      <c r="IN1174" s="190"/>
      <c r="IO1174" s="190"/>
      <c r="IP1174" s="190"/>
      <c r="IQ1174" s="190"/>
      <c r="IR1174" s="190"/>
      <c r="IS1174" s="190"/>
      <c r="IT1174" s="190"/>
      <c r="IU1174" s="190"/>
      <c r="IV1174" s="190"/>
      <c r="IW1174" s="190"/>
      <c r="IX1174" s="190"/>
      <c r="IY1174" s="190"/>
      <c r="IZ1174" s="190"/>
      <c r="JA1174" s="190"/>
      <c r="JB1174" s="190"/>
      <c r="JC1174" s="190"/>
      <c r="JD1174" s="190"/>
      <c r="JE1174" s="190"/>
      <c r="JF1174" s="190"/>
      <c r="JG1174" s="190"/>
      <c r="JH1174" s="190"/>
      <c r="JI1174" s="190"/>
      <c r="JJ1174" s="190"/>
      <c r="JK1174" s="190"/>
      <c r="JL1174" s="190"/>
      <c r="JM1174" s="190"/>
      <c r="JN1174" s="190"/>
      <c r="JO1174" s="190"/>
      <c r="JP1174" s="190"/>
      <c r="JQ1174" s="190"/>
      <c r="JR1174" s="190"/>
      <c r="JS1174" s="190"/>
      <c r="JT1174" s="190"/>
      <c r="JU1174" s="190"/>
      <c r="JV1174" s="190"/>
      <c r="JW1174" s="190"/>
      <c r="JX1174" s="190"/>
      <c r="JY1174" s="190"/>
      <c r="JZ1174" s="190"/>
      <c r="KA1174" s="190"/>
      <c r="KB1174" s="190"/>
      <c r="KC1174" s="190"/>
      <c r="KD1174" s="190"/>
      <c r="KE1174" s="190"/>
      <c r="KF1174" s="190"/>
      <c r="KG1174" s="190"/>
      <c r="KH1174" s="190"/>
      <c r="KI1174" s="190"/>
      <c r="KJ1174" s="190"/>
      <c r="KK1174" s="190"/>
      <c r="KL1174" s="190"/>
      <c r="KM1174" s="190"/>
      <c r="KN1174" s="190"/>
      <c r="KO1174" s="190"/>
      <c r="KP1174" s="190"/>
      <c r="KQ1174" s="190"/>
      <c r="KR1174" s="190"/>
      <c r="KS1174" s="190"/>
      <c r="KT1174" s="190"/>
      <c r="KU1174" s="190"/>
      <c r="KV1174" s="190"/>
      <c r="KW1174" s="190"/>
      <c r="KX1174" s="190"/>
      <c r="KY1174" s="190"/>
      <c r="KZ1174" s="190"/>
      <c r="LA1174" s="190"/>
      <c r="LB1174" s="190"/>
      <c r="LC1174" s="190"/>
      <c r="LD1174" s="190"/>
      <c r="LE1174" s="190"/>
      <c r="LF1174" s="190"/>
      <c r="LG1174" s="190"/>
      <c r="LH1174" s="190"/>
      <c r="LI1174" s="190"/>
      <c r="LJ1174" s="190"/>
      <c r="LK1174" s="190"/>
      <c r="LL1174" s="190"/>
      <c r="LM1174" s="190"/>
      <c r="LN1174" s="190"/>
      <c r="LO1174" s="190"/>
      <c r="LP1174" s="190"/>
      <c r="LQ1174" s="190"/>
      <c r="LR1174" s="190"/>
      <c r="LS1174" s="190"/>
      <c r="LT1174" s="190"/>
      <c r="LU1174" s="190"/>
      <c r="LV1174" s="190"/>
      <c r="LW1174" s="190"/>
      <c r="LX1174" s="190"/>
      <c r="LY1174" s="190"/>
      <c r="LZ1174" s="190"/>
      <c r="MA1174" s="190"/>
      <c r="MB1174" s="190"/>
      <c r="MC1174" s="190"/>
      <c r="MD1174" s="190"/>
      <c r="ME1174" s="190"/>
      <c r="MF1174" s="190"/>
      <c r="MG1174" s="190"/>
      <c r="MH1174" s="190"/>
      <c r="MI1174" s="190"/>
      <c r="MJ1174" s="190"/>
      <c r="MK1174" s="190"/>
      <c r="ML1174" s="190"/>
      <c r="MM1174" s="190"/>
      <c r="MN1174" s="190"/>
      <c r="MO1174" s="190"/>
      <c r="MP1174" s="190"/>
      <c r="MQ1174" s="190"/>
      <c r="MR1174" s="190"/>
      <c r="MS1174" s="190"/>
      <c r="MT1174" s="190"/>
      <c r="MU1174" s="190"/>
      <c r="MV1174" s="190"/>
      <c r="MW1174" s="190"/>
      <c r="MX1174" s="190"/>
      <c r="MY1174" s="190"/>
      <c r="MZ1174" s="190"/>
      <c r="NA1174" s="190"/>
      <c r="NB1174" s="190"/>
      <c r="NC1174" s="190"/>
      <c r="ND1174" s="190"/>
      <c r="NE1174" s="190"/>
      <c r="NF1174" s="190"/>
      <c r="NG1174" s="190"/>
      <c r="NH1174" s="190"/>
      <c r="NI1174" s="190"/>
      <c r="NJ1174" s="190"/>
      <c r="NK1174" s="190"/>
      <c r="NL1174" s="190"/>
      <c r="NM1174" s="190"/>
      <c r="NN1174" s="190"/>
      <c r="NO1174" s="190"/>
      <c r="NP1174" s="190"/>
      <c r="NQ1174" s="190"/>
      <c r="NR1174" s="190"/>
      <c r="NS1174" s="190"/>
      <c r="NT1174" s="190"/>
      <c r="NU1174" s="190"/>
      <c r="NV1174" s="190"/>
      <c r="NW1174" s="190"/>
      <c r="NX1174" s="190"/>
      <c r="NY1174" s="190"/>
      <c r="NZ1174" s="190"/>
      <c r="OA1174" s="190"/>
      <c r="OB1174" s="190"/>
      <c r="OC1174" s="190"/>
      <c r="OD1174" s="190"/>
      <c r="OE1174" s="190"/>
      <c r="OF1174" s="190"/>
      <c r="OG1174" s="190"/>
      <c r="OH1174" s="190"/>
      <c r="OI1174" s="190"/>
      <c r="OJ1174" s="190"/>
      <c r="OK1174" s="190"/>
      <c r="OL1174" s="190"/>
      <c r="OM1174" s="190"/>
      <c r="ON1174" s="190"/>
      <c r="OO1174" s="190"/>
      <c r="OP1174" s="190"/>
      <c r="OQ1174" s="190"/>
      <c r="OR1174" s="190"/>
      <c r="OS1174" s="190"/>
      <c r="OT1174" s="190"/>
      <c r="OU1174" s="190"/>
      <c r="OV1174" s="190"/>
      <c r="OW1174" s="190"/>
      <c r="OX1174" s="190"/>
      <c r="OY1174" s="190"/>
      <c r="OZ1174" s="190"/>
      <c r="PA1174" s="190"/>
      <c r="PB1174" s="190"/>
      <c r="PC1174" s="190"/>
      <c r="PD1174" s="190"/>
      <c r="PE1174" s="190"/>
      <c r="PF1174" s="190"/>
      <c r="PG1174" s="190"/>
      <c r="PH1174" s="190"/>
      <c r="PI1174" s="190"/>
      <c r="PJ1174" s="190"/>
      <c r="PK1174" s="190"/>
      <c r="PL1174" s="190"/>
      <c r="PM1174" s="190"/>
      <c r="PN1174" s="190"/>
      <c r="PO1174" s="190"/>
      <c r="PP1174" s="190"/>
      <c r="PQ1174" s="190"/>
      <c r="PR1174" s="190"/>
      <c r="PS1174" s="190"/>
      <c r="PT1174" s="190"/>
      <c r="PU1174" s="190"/>
      <c r="PV1174" s="190"/>
      <c r="PW1174" s="190"/>
      <c r="PX1174" s="190"/>
      <c r="PY1174" s="190"/>
      <c r="PZ1174" s="190"/>
      <c r="QA1174" s="190"/>
      <c r="QB1174" s="190"/>
      <c r="QC1174" s="190"/>
      <c r="QD1174" s="190"/>
      <c r="QE1174" s="190"/>
      <c r="QF1174" s="190"/>
      <c r="QG1174" s="190"/>
      <c r="QH1174" s="190"/>
      <c r="QI1174" s="190"/>
      <c r="QJ1174" s="190"/>
      <c r="QK1174" s="190"/>
      <c r="QL1174" s="190"/>
      <c r="QM1174" s="190"/>
      <c r="QN1174" s="190"/>
      <c r="QO1174" s="190"/>
      <c r="QP1174" s="190"/>
      <c r="QQ1174" s="190"/>
      <c r="QR1174" s="190"/>
      <c r="QS1174" s="190"/>
      <c r="QT1174" s="190"/>
      <c r="QU1174" s="190"/>
      <c r="QV1174" s="190"/>
      <c r="QW1174" s="190"/>
      <c r="QX1174" s="190"/>
      <c r="QY1174" s="190"/>
      <c r="QZ1174" s="190"/>
      <c r="RA1174" s="190"/>
      <c r="RB1174" s="190"/>
      <c r="RC1174" s="190"/>
      <c r="RD1174" s="190"/>
      <c r="RE1174" s="190"/>
      <c r="RF1174" s="190"/>
      <c r="RG1174" s="190"/>
      <c r="RH1174" s="190"/>
      <c r="RI1174" s="190"/>
      <c r="RJ1174" s="190"/>
      <c r="RK1174" s="190"/>
      <c r="RL1174" s="190"/>
      <c r="RM1174" s="190"/>
      <c r="RN1174" s="190"/>
      <c r="RO1174" s="190"/>
      <c r="RP1174" s="190"/>
      <c r="RQ1174" s="190"/>
      <c r="RR1174" s="190"/>
      <c r="RS1174" s="190"/>
      <c r="RT1174" s="190"/>
      <c r="RU1174" s="190"/>
      <c r="RV1174" s="190"/>
      <c r="RW1174" s="190"/>
      <c r="RX1174" s="190"/>
      <c r="RY1174" s="190"/>
      <c r="RZ1174" s="190"/>
      <c r="SA1174" s="190"/>
      <c r="SB1174" s="190"/>
      <c r="SC1174" s="190"/>
      <c r="SD1174" s="190"/>
      <c r="SE1174" s="190"/>
      <c r="SF1174" s="190"/>
      <c r="SG1174" s="190"/>
      <c r="SH1174" s="190"/>
      <c r="SI1174" s="190"/>
      <c r="SJ1174" s="190"/>
      <c r="SK1174" s="190"/>
      <c r="SL1174" s="190"/>
      <c r="SM1174" s="190"/>
      <c r="SN1174" s="190"/>
      <c r="SO1174" s="190"/>
      <c r="SP1174" s="190"/>
      <c r="SQ1174" s="190"/>
      <c r="SR1174" s="190"/>
      <c r="SS1174" s="190"/>
      <c r="ST1174" s="190"/>
      <c r="SU1174" s="190"/>
      <c r="SV1174" s="190"/>
      <c r="SW1174" s="190"/>
      <c r="SX1174" s="190"/>
      <c r="SY1174" s="190"/>
      <c r="SZ1174" s="190"/>
      <c r="TA1174" s="190"/>
      <c r="TB1174" s="190"/>
      <c r="TC1174" s="190"/>
      <c r="TD1174" s="190"/>
      <c r="TE1174" s="190"/>
      <c r="TF1174" s="190"/>
      <c r="TG1174" s="190"/>
      <c r="TH1174" s="190"/>
      <c r="TI1174" s="190"/>
      <c r="TJ1174" s="190"/>
      <c r="TK1174" s="190"/>
      <c r="TL1174" s="190"/>
      <c r="TM1174" s="190"/>
      <c r="TN1174" s="190"/>
      <c r="TO1174" s="190"/>
      <c r="TP1174" s="190"/>
      <c r="TQ1174" s="190"/>
      <c r="TR1174" s="190"/>
      <c r="TS1174" s="190"/>
      <c r="TT1174" s="190"/>
      <c r="TU1174" s="190"/>
      <c r="TV1174" s="190"/>
      <c r="TW1174" s="190"/>
      <c r="TX1174" s="190"/>
      <c r="TY1174" s="190"/>
      <c r="TZ1174" s="190"/>
      <c r="UA1174" s="190"/>
      <c r="UB1174" s="190"/>
      <c r="UC1174" s="190"/>
      <c r="UD1174" s="190"/>
      <c r="UE1174" s="190"/>
      <c r="UF1174" s="190"/>
      <c r="UG1174" s="191"/>
    </row>
    <row r="1175" spans="1:553" s="109" customFormat="1" ht="34.5" customHeight="1">
      <c r="A1175" s="356"/>
      <c r="B1175" s="356"/>
      <c r="C1175" s="1472" t="s">
        <v>204</v>
      </c>
      <c r="D1175" s="1473"/>
      <c r="E1175" s="1473"/>
      <c r="F1175" s="1474"/>
      <c r="G1175" s="366" t="s">
        <v>205</v>
      </c>
      <c r="H1175" s="417"/>
      <c r="I1175" s="417">
        <v>5</v>
      </c>
      <c r="J1175" s="368">
        <v>500000</v>
      </c>
      <c r="K1175" s="369"/>
      <c r="L1175" s="366">
        <f t="shared" si="173"/>
        <v>2500000</v>
      </c>
      <c r="M1175" s="356"/>
      <c r="N1175" s="356"/>
      <c r="O1175" s="356"/>
      <c r="P1175" s="356"/>
      <c r="Q1175" s="610"/>
      <c r="R1175" s="1226"/>
      <c r="S1175" s="308"/>
      <c r="T1175" s="308"/>
      <c r="U1175" s="308"/>
      <c r="V1175" s="308"/>
      <c r="W1175" s="308"/>
      <c r="X1175" s="308"/>
      <c r="Y1175" s="308"/>
      <c r="Z1175" s="604"/>
      <c r="AA1175" s="308"/>
      <c r="AB1175" s="308"/>
      <c r="AC1175" s="456"/>
      <c r="AD1175" s="456"/>
      <c r="AE1175" s="456"/>
      <c r="AF1175" s="456"/>
      <c r="AG1175" s="456"/>
      <c r="AH1175" s="456"/>
      <c r="AI1175" s="456"/>
      <c r="AJ1175" s="456"/>
      <c r="AK1175" s="456"/>
      <c r="AL1175" s="187"/>
      <c r="AM1175" s="188"/>
      <c r="AN1175" s="188"/>
      <c r="AO1175" s="188"/>
      <c r="AP1175" s="188"/>
      <c r="AQ1175" s="188"/>
      <c r="AR1175" s="188"/>
      <c r="AS1175" s="188"/>
      <c r="AT1175" s="189"/>
      <c r="AU1175" s="189"/>
      <c r="AV1175" s="189"/>
      <c r="AW1175" s="189"/>
      <c r="AX1175" s="189"/>
      <c r="AY1175" s="189"/>
      <c r="AZ1175" s="189"/>
      <c r="BA1175" s="189"/>
      <c r="BB1175" s="189"/>
      <c r="BC1175" s="189"/>
      <c r="BD1175" s="189"/>
      <c r="BE1175" s="189"/>
      <c r="BF1175" s="189"/>
      <c r="BG1175" s="189"/>
      <c r="BH1175" s="189"/>
      <c r="BI1175" s="189"/>
      <c r="BJ1175" s="189"/>
      <c r="BK1175" s="189"/>
      <c r="BL1175" s="189"/>
      <c r="BM1175" s="189"/>
      <c r="BN1175" s="189"/>
      <c r="BO1175" s="189"/>
      <c r="BP1175" s="190"/>
      <c r="BQ1175" s="190"/>
      <c r="BR1175" s="190"/>
      <c r="BS1175" s="190"/>
      <c r="BT1175" s="190"/>
      <c r="BU1175" s="190"/>
      <c r="BV1175" s="190"/>
      <c r="BW1175" s="190"/>
      <c r="BX1175" s="190"/>
      <c r="BY1175" s="190"/>
      <c r="BZ1175" s="190"/>
      <c r="CA1175" s="190"/>
      <c r="CB1175" s="190"/>
      <c r="CC1175" s="190"/>
      <c r="CD1175" s="190"/>
      <c r="CE1175" s="190"/>
      <c r="CF1175" s="190"/>
      <c r="CG1175" s="190"/>
      <c r="CH1175" s="190"/>
      <c r="CI1175" s="190"/>
      <c r="CJ1175" s="190"/>
      <c r="CK1175" s="190"/>
      <c r="CL1175" s="190"/>
      <c r="CM1175" s="190"/>
      <c r="CN1175" s="190"/>
      <c r="CO1175" s="190"/>
      <c r="CP1175" s="190"/>
      <c r="CQ1175" s="190"/>
      <c r="CR1175" s="190"/>
      <c r="CS1175" s="190"/>
      <c r="CT1175" s="190"/>
      <c r="CU1175" s="190"/>
      <c r="CV1175" s="190"/>
      <c r="CW1175" s="190"/>
      <c r="CX1175" s="190"/>
      <c r="CY1175" s="190"/>
      <c r="CZ1175" s="190"/>
      <c r="DA1175" s="190"/>
      <c r="DB1175" s="190"/>
      <c r="DC1175" s="190"/>
      <c r="DD1175" s="190"/>
      <c r="DE1175" s="190"/>
      <c r="DF1175" s="190"/>
      <c r="DG1175" s="190"/>
      <c r="DH1175" s="190"/>
      <c r="DI1175" s="190"/>
      <c r="DJ1175" s="190"/>
      <c r="DK1175" s="190"/>
      <c r="DL1175" s="190"/>
      <c r="DM1175" s="190"/>
      <c r="DN1175" s="190"/>
      <c r="DO1175" s="190"/>
      <c r="DP1175" s="190"/>
      <c r="DQ1175" s="190"/>
      <c r="DR1175" s="190"/>
      <c r="DS1175" s="190"/>
      <c r="DT1175" s="190"/>
      <c r="DU1175" s="190"/>
      <c r="DV1175" s="190"/>
      <c r="DW1175" s="190"/>
      <c r="DX1175" s="190"/>
      <c r="DY1175" s="190"/>
      <c r="DZ1175" s="190"/>
      <c r="EA1175" s="190"/>
      <c r="EB1175" s="190"/>
      <c r="EC1175" s="190"/>
      <c r="ED1175" s="190"/>
      <c r="EE1175" s="190"/>
      <c r="EF1175" s="190"/>
      <c r="EG1175" s="190"/>
      <c r="EH1175" s="190"/>
      <c r="EI1175" s="190"/>
      <c r="EJ1175" s="190"/>
      <c r="EK1175" s="190"/>
      <c r="EL1175" s="190"/>
      <c r="EM1175" s="190"/>
      <c r="EN1175" s="190"/>
      <c r="EO1175" s="190"/>
      <c r="EP1175" s="190"/>
      <c r="EQ1175" s="190"/>
      <c r="ER1175" s="190"/>
      <c r="ES1175" s="190"/>
      <c r="ET1175" s="190"/>
      <c r="EU1175" s="190"/>
      <c r="EV1175" s="190"/>
      <c r="EW1175" s="190"/>
      <c r="EX1175" s="190"/>
      <c r="EY1175" s="190"/>
      <c r="EZ1175" s="190"/>
      <c r="FA1175" s="190"/>
      <c r="FB1175" s="190"/>
      <c r="FC1175" s="190"/>
      <c r="FD1175" s="190"/>
      <c r="FE1175" s="190"/>
      <c r="FF1175" s="190"/>
      <c r="FG1175" s="190"/>
      <c r="FH1175" s="190"/>
      <c r="FI1175" s="190"/>
      <c r="FJ1175" s="190"/>
      <c r="FK1175" s="190"/>
      <c r="FL1175" s="190"/>
      <c r="FM1175" s="190"/>
      <c r="FN1175" s="190"/>
      <c r="FO1175" s="190"/>
      <c r="FP1175" s="190"/>
      <c r="FQ1175" s="190"/>
      <c r="FR1175" s="190"/>
      <c r="FS1175" s="190"/>
      <c r="FT1175" s="190"/>
      <c r="FU1175" s="190"/>
      <c r="FV1175" s="190"/>
      <c r="FW1175" s="190"/>
      <c r="FX1175" s="190"/>
      <c r="FY1175" s="190"/>
      <c r="FZ1175" s="190"/>
      <c r="GA1175" s="190"/>
      <c r="GB1175" s="190"/>
      <c r="GC1175" s="190"/>
      <c r="GD1175" s="190"/>
      <c r="GE1175" s="190"/>
      <c r="GF1175" s="190"/>
      <c r="GG1175" s="190"/>
      <c r="GH1175" s="190"/>
      <c r="GI1175" s="190"/>
      <c r="GJ1175" s="190"/>
      <c r="GK1175" s="190"/>
      <c r="GL1175" s="190"/>
      <c r="GM1175" s="190"/>
      <c r="GN1175" s="190"/>
      <c r="GO1175" s="190"/>
      <c r="GP1175" s="190"/>
      <c r="GQ1175" s="190"/>
      <c r="GR1175" s="190"/>
      <c r="GS1175" s="190"/>
      <c r="GT1175" s="190"/>
      <c r="GU1175" s="190"/>
      <c r="GV1175" s="190"/>
      <c r="GW1175" s="190"/>
      <c r="GX1175" s="190"/>
      <c r="GY1175" s="190"/>
      <c r="GZ1175" s="190"/>
      <c r="HA1175" s="190"/>
      <c r="HB1175" s="190"/>
      <c r="HC1175" s="190"/>
      <c r="HD1175" s="190"/>
      <c r="HE1175" s="190"/>
      <c r="HF1175" s="190"/>
      <c r="HG1175" s="190"/>
      <c r="HH1175" s="190"/>
      <c r="HI1175" s="190"/>
      <c r="HJ1175" s="190"/>
      <c r="HK1175" s="190"/>
      <c r="HL1175" s="190"/>
      <c r="HM1175" s="190"/>
      <c r="HN1175" s="190"/>
      <c r="HO1175" s="190"/>
      <c r="HP1175" s="190"/>
      <c r="HQ1175" s="190"/>
      <c r="HR1175" s="190"/>
      <c r="HS1175" s="190"/>
      <c r="HT1175" s="190"/>
      <c r="HU1175" s="190"/>
      <c r="HV1175" s="190"/>
      <c r="HW1175" s="190"/>
      <c r="HX1175" s="190"/>
      <c r="HY1175" s="190"/>
      <c r="HZ1175" s="190"/>
      <c r="IA1175" s="190"/>
      <c r="IB1175" s="190"/>
      <c r="IC1175" s="190"/>
      <c r="ID1175" s="190"/>
      <c r="IE1175" s="190"/>
      <c r="IF1175" s="190"/>
      <c r="IG1175" s="190"/>
      <c r="IH1175" s="190"/>
      <c r="II1175" s="190"/>
      <c r="IJ1175" s="190"/>
      <c r="IK1175" s="190"/>
      <c r="IL1175" s="190"/>
      <c r="IM1175" s="190"/>
      <c r="IN1175" s="190"/>
      <c r="IO1175" s="190"/>
      <c r="IP1175" s="190"/>
      <c r="IQ1175" s="190"/>
      <c r="IR1175" s="190"/>
      <c r="IS1175" s="190"/>
      <c r="IT1175" s="190"/>
      <c r="IU1175" s="190"/>
      <c r="IV1175" s="190"/>
      <c r="IW1175" s="190"/>
      <c r="IX1175" s="190"/>
      <c r="IY1175" s="190"/>
      <c r="IZ1175" s="190"/>
      <c r="JA1175" s="190"/>
      <c r="JB1175" s="190"/>
      <c r="JC1175" s="190"/>
      <c r="JD1175" s="190"/>
      <c r="JE1175" s="190"/>
      <c r="JF1175" s="190"/>
      <c r="JG1175" s="190"/>
      <c r="JH1175" s="190"/>
      <c r="JI1175" s="190"/>
      <c r="JJ1175" s="190"/>
      <c r="JK1175" s="190"/>
      <c r="JL1175" s="190"/>
      <c r="JM1175" s="190"/>
      <c r="JN1175" s="190"/>
      <c r="JO1175" s="190"/>
      <c r="JP1175" s="190"/>
      <c r="JQ1175" s="190"/>
      <c r="JR1175" s="190"/>
      <c r="JS1175" s="190"/>
      <c r="JT1175" s="190"/>
      <c r="JU1175" s="190"/>
      <c r="JV1175" s="190"/>
      <c r="JW1175" s="190"/>
      <c r="JX1175" s="190"/>
      <c r="JY1175" s="190"/>
      <c r="JZ1175" s="190"/>
      <c r="KA1175" s="190"/>
      <c r="KB1175" s="190"/>
      <c r="KC1175" s="190"/>
      <c r="KD1175" s="190"/>
      <c r="KE1175" s="190"/>
      <c r="KF1175" s="190"/>
      <c r="KG1175" s="190"/>
      <c r="KH1175" s="190"/>
      <c r="KI1175" s="190"/>
      <c r="KJ1175" s="190"/>
      <c r="KK1175" s="190"/>
      <c r="KL1175" s="190"/>
      <c r="KM1175" s="190"/>
      <c r="KN1175" s="190"/>
      <c r="KO1175" s="190"/>
      <c r="KP1175" s="190"/>
      <c r="KQ1175" s="190"/>
      <c r="KR1175" s="190"/>
      <c r="KS1175" s="190"/>
      <c r="KT1175" s="190"/>
      <c r="KU1175" s="190"/>
      <c r="KV1175" s="190"/>
      <c r="KW1175" s="190"/>
      <c r="KX1175" s="190"/>
      <c r="KY1175" s="190"/>
      <c r="KZ1175" s="190"/>
      <c r="LA1175" s="190"/>
      <c r="LB1175" s="190"/>
      <c r="LC1175" s="190"/>
      <c r="LD1175" s="190"/>
      <c r="LE1175" s="190"/>
      <c r="LF1175" s="190"/>
      <c r="LG1175" s="190"/>
      <c r="LH1175" s="190"/>
      <c r="LI1175" s="190"/>
      <c r="LJ1175" s="190"/>
      <c r="LK1175" s="190"/>
      <c r="LL1175" s="190"/>
      <c r="LM1175" s="190"/>
      <c r="LN1175" s="190"/>
      <c r="LO1175" s="190"/>
      <c r="LP1175" s="190"/>
      <c r="LQ1175" s="190"/>
      <c r="LR1175" s="190"/>
      <c r="LS1175" s="190"/>
      <c r="LT1175" s="190"/>
      <c r="LU1175" s="190"/>
      <c r="LV1175" s="190"/>
      <c r="LW1175" s="190"/>
      <c r="LX1175" s="190"/>
      <c r="LY1175" s="190"/>
      <c r="LZ1175" s="190"/>
      <c r="MA1175" s="190"/>
      <c r="MB1175" s="190"/>
      <c r="MC1175" s="190"/>
      <c r="MD1175" s="190"/>
      <c r="ME1175" s="190"/>
      <c r="MF1175" s="190"/>
      <c r="MG1175" s="190"/>
      <c r="MH1175" s="190"/>
      <c r="MI1175" s="190"/>
      <c r="MJ1175" s="190"/>
      <c r="MK1175" s="190"/>
      <c r="ML1175" s="190"/>
      <c r="MM1175" s="190"/>
      <c r="MN1175" s="190"/>
      <c r="MO1175" s="190"/>
      <c r="MP1175" s="190"/>
      <c r="MQ1175" s="190"/>
      <c r="MR1175" s="190"/>
      <c r="MS1175" s="190"/>
      <c r="MT1175" s="190"/>
      <c r="MU1175" s="190"/>
      <c r="MV1175" s="190"/>
      <c r="MW1175" s="190"/>
      <c r="MX1175" s="190"/>
      <c r="MY1175" s="190"/>
      <c r="MZ1175" s="190"/>
      <c r="NA1175" s="190"/>
      <c r="NB1175" s="190"/>
      <c r="NC1175" s="190"/>
      <c r="ND1175" s="190"/>
      <c r="NE1175" s="190"/>
      <c r="NF1175" s="190"/>
      <c r="NG1175" s="190"/>
      <c r="NH1175" s="190"/>
      <c r="NI1175" s="190"/>
      <c r="NJ1175" s="190"/>
      <c r="NK1175" s="190"/>
      <c r="NL1175" s="190"/>
      <c r="NM1175" s="190"/>
      <c r="NN1175" s="190"/>
      <c r="NO1175" s="190"/>
      <c r="NP1175" s="190"/>
      <c r="NQ1175" s="190"/>
      <c r="NR1175" s="190"/>
      <c r="NS1175" s="190"/>
      <c r="NT1175" s="190"/>
      <c r="NU1175" s="190"/>
      <c r="NV1175" s="190"/>
      <c r="NW1175" s="190"/>
      <c r="NX1175" s="190"/>
      <c r="NY1175" s="190"/>
      <c r="NZ1175" s="190"/>
      <c r="OA1175" s="190"/>
      <c r="OB1175" s="190"/>
      <c r="OC1175" s="190"/>
      <c r="OD1175" s="190"/>
      <c r="OE1175" s="190"/>
      <c r="OF1175" s="190"/>
      <c r="OG1175" s="190"/>
      <c r="OH1175" s="190"/>
      <c r="OI1175" s="190"/>
      <c r="OJ1175" s="190"/>
      <c r="OK1175" s="190"/>
      <c r="OL1175" s="190"/>
      <c r="OM1175" s="190"/>
      <c r="ON1175" s="190"/>
      <c r="OO1175" s="190"/>
      <c r="OP1175" s="190"/>
      <c r="OQ1175" s="190"/>
      <c r="OR1175" s="190"/>
      <c r="OS1175" s="190"/>
      <c r="OT1175" s="190"/>
      <c r="OU1175" s="190"/>
      <c r="OV1175" s="190"/>
      <c r="OW1175" s="190"/>
      <c r="OX1175" s="190"/>
      <c r="OY1175" s="190"/>
      <c r="OZ1175" s="190"/>
      <c r="PA1175" s="190"/>
      <c r="PB1175" s="190"/>
      <c r="PC1175" s="190"/>
      <c r="PD1175" s="190"/>
      <c r="PE1175" s="190"/>
      <c r="PF1175" s="190"/>
      <c r="PG1175" s="190"/>
      <c r="PH1175" s="190"/>
      <c r="PI1175" s="190"/>
      <c r="PJ1175" s="190"/>
      <c r="PK1175" s="190"/>
      <c r="PL1175" s="190"/>
      <c r="PM1175" s="190"/>
      <c r="PN1175" s="190"/>
      <c r="PO1175" s="190"/>
      <c r="PP1175" s="190"/>
      <c r="PQ1175" s="190"/>
      <c r="PR1175" s="190"/>
      <c r="PS1175" s="190"/>
      <c r="PT1175" s="190"/>
      <c r="PU1175" s="190"/>
      <c r="PV1175" s="190"/>
      <c r="PW1175" s="190"/>
      <c r="PX1175" s="190"/>
      <c r="PY1175" s="190"/>
      <c r="PZ1175" s="190"/>
      <c r="QA1175" s="190"/>
      <c r="QB1175" s="190"/>
      <c r="QC1175" s="190"/>
      <c r="QD1175" s="190"/>
      <c r="QE1175" s="190"/>
      <c r="QF1175" s="190"/>
      <c r="QG1175" s="190"/>
      <c r="QH1175" s="190"/>
      <c r="QI1175" s="190"/>
      <c r="QJ1175" s="190"/>
      <c r="QK1175" s="190"/>
      <c r="QL1175" s="190"/>
      <c r="QM1175" s="190"/>
      <c r="QN1175" s="190"/>
      <c r="QO1175" s="190"/>
      <c r="QP1175" s="190"/>
      <c r="QQ1175" s="190"/>
      <c r="QR1175" s="190"/>
      <c r="QS1175" s="190"/>
      <c r="QT1175" s="190"/>
      <c r="QU1175" s="190"/>
      <c r="QV1175" s="190"/>
      <c r="QW1175" s="190"/>
      <c r="QX1175" s="190"/>
      <c r="QY1175" s="190"/>
      <c r="QZ1175" s="190"/>
      <c r="RA1175" s="190"/>
      <c r="RB1175" s="190"/>
      <c r="RC1175" s="190"/>
      <c r="RD1175" s="190"/>
      <c r="RE1175" s="190"/>
      <c r="RF1175" s="190"/>
      <c r="RG1175" s="190"/>
      <c r="RH1175" s="190"/>
      <c r="RI1175" s="190"/>
      <c r="RJ1175" s="190"/>
      <c r="RK1175" s="190"/>
      <c r="RL1175" s="190"/>
      <c r="RM1175" s="190"/>
      <c r="RN1175" s="190"/>
      <c r="RO1175" s="190"/>
      <c r="RP1175" s="190"/>
      <c r="RQ1175" s="190"/>
      <c r="RR1175" s="190"/>
      <c r="RS1175" s="190"/>
      <c r="RT1175" s="190"/>
      <c r="RU1175" s="190"/>
      <c r="RV1175" s="190"/>
      <c r="RW1175" s="190"/>
      <c r="RX1175" s="190"/>
      <c r="RY1175" s="190"/>
      <c r="RZ1175" s="190"/>
      <c r="SA1175" s="190"/>
      <c r="SB1175" s="190"/>
      <c r="SC1175" s="190"/>
      <c r="SD1175" s="190"/>
      <c r="SE1175" s="190"/>
      <c r="SF1175" s="190"/>
      <c r="SG1175" s="190"/>
      <c r="SH1175" s="190"/>
      <c r="SI1175" s="190"/>
      <c r="SJ1175" s="190"/>
      <c r="SK1175" s="190"/>
      <c r="SL1175" s="190"/>
      <c r="SM1175" s="190"/>
      <c r="SN1175" s="190"/>
      <c r="SO1175" s="190"/>
      <c r="SP1175" s="190"/>
      <c r="SQ1175" s="190"/>
      <c r="SR1175" s="190"/>
      <c r="SS1175" s="190"/>
      <c r="ST1175" s="190"/>
      <c r="SU1175" s="190"/>
      <c r="SV1175" s="190"/>
      <c r="SW1175" s="190"/>
      <c r="SX1175" s="190"/>
      <c r="SY1175" s="190"/>
      <c r="SZ1175" s="190"/>
      <c r="TA1175" s="190"/>
      <c r="TB1175" s="190"/>
      <c r="TC1175" s="190"/>
      <c r="TD1175" s="190"/>
      <c r="TE1175" s="190"/>
      <c r="TF1175" s="190"/>
      <c r="TG1175" s="190"/>
      <c r="TH1175" s="190"/>
      <c r="TI1175" s="190"/>
      <c r="TJ1175" s="190"/>
      <c r="TK1175" s="190"/>
      <c r="TL1175" s="190"/>
      <c r="TM1175" s="190"/>
      <c r="TN1175" s="190"/>
      <c r="TO1175" s="190"/>
      <c r="TP1175" s="190"/>
      <c r="TQ1175" s="190"/>
      <c r="TR1175" s="190"/>
      <c r="TS1175" s="190"/>
      <c r="TT1175" s="190"/>
      <c r="TU1175" s="190"/>
      <c r="TV1175" s="190"/>
      <c r="TW1175" s="190"/>
      <c r="TX1175" s="190"/>
      <c r="TY1175" s="190"/>
      <c r="TZ1175" s="190"/>
      <c r="UA1175" s="190"/>
      <c r="UB1175" s="190"/>
      <c r="UC1175" s="190"/>
      <c r="UD1175" s="190"/>
      <c r="UE1175" s="190"/>
      <c r="UF1175" s="190"/>
      <c r="UG1175" s="191"/>
    </row>
    <row r="1176" spans="1:553" s="109" customFormat="1" ht="29.25" customHeight="1">
      <c r="A1176" s="356" t="s">
        <v>58</v>
      </c>
      <c r="B1176" s="356"/>
      <c r="C1176" s="1539" t="s">
        <v>59</v>
      </c>
      <c r="D1176" s="1540"/>
      <c r="E1176" s="1540"/>
      <c r="F1176" s="1541"/>
      <c r="G1176" s="356"/>
      <c r="H1176" s="359"/>
      <c r="I1176" s="359"/>
      <c r="J1176" s="357"/>
      <c r="K1176" s="364"/>
      <c r="L1176" s="356">
        <f>SUM(L1177:L1197)</f>
        <v>866204300</v>
      </c>
      <c r="M1176" s="356"/>
      <c r="N1176" s="356"/>
      <c r="O1176" s="356"/>
      <c r="P1176" s="356">
        <f>L1176</f>
        <v>866204300</v>
      </c>
      <c r="Q1176" s="610"/>
      <c r="R1176" s="1447" t="s">
        <v>206</v>
      </c>
      <c r="S1176" s="308"/>
      <c r="T1176" s="308"/>
      <c r="U1176" s="308"/>
      <c r="V1176" s="308"/>
      <c r="W1176" s="308"/>
      <c r="X1176" s="308"/>
      <c r="Y1176" s="308"/>
      <c r="Z1176" s="604"/>
      <c r="AA1176" s="308"/>
      <c r="AB1176" s="308"/>
      <c r="AC1176" s="365"/>
      <c r="AD1176" s="365"/>
      <c r="AE1176" s="365"/>
      <c r="AF1176" s="365"/>
      <c r="AG1176" s="365"/>
      <c r="AH1176" s="365"/>
      <c r="AI1176" s="365"/>
      <c r="AJ1176" s="365"/>
      <c r="AK1176" s="377"/>
      <c r="AL1176" s="344"/>
      <c r="AM1176" s="197"/>
      <c r="AN1176" s="197"/>
      <c r="AO1176" s="197"/>
      <c r="AP1176" s="197"/>
      <c r="AQ1176" s="197"/>
      <c r="AR1176" s="197"/>
      <c r="AS1176" s="198"/>
      <c r="AT1176" s="198"/>
      <c r="AU1176" s="198"/>
      <c r="AV1176" s="198"/>
      <c r="AW1176" s="198"/>
      <c r="AX1176" s="198"/>
      <c r="AY1176" s="198"/>
      <c r="AZ1176" s="198"/>
      <c r="BA1176" s="198"/>
      <c r="BB1176" s="198"/>
      <c r="BC1176" s="198"/>
      <c r="BD1176" s="198"/>
      <c r="BE1176" s="198"/>
      <c r="BF1176" s="198"/>
      <c r="BG1176" s="198"/>
      <c r="BH1176" s="198"/>
      <c r="BI1176" s="198"/>
      <c r="BJ1176" s="198"/>
      <c r="BK1176" s="198"/>
      <c r="BL1176" s="198"/>
      <c r="BM1176" s="198"/>
      <c r="BN1176" s="198"/>
      <c r="BO1176" s="198"/>
      <c r="BP1176" s="198"/>
      <c r="BQ1176" s="198"/>
      <c r="BR1176" s="198"/>
      <c r="BS1176" s="198"/>
      <c r="BT1176" s="198"/>
      <c r="BU1176" s="198"/>
      <c r="BV1176" s="198"/>
      <c r="BW1176" s="198"/>
      <c r="BX1176" s="198"/>
      <c r="BY1176" s="198"/>
      <c r="BZ1176" s="198"/>
      <c r="CA1176" s="198"/>
      <c r="CB1176" s="198"/>
      <c r="CC1176" s="198"/>
      <c r="CD1176" s="198"/>
      <c r="CE1176" s="198"/>
      <c r="CF1176" s="198"/>
      <c r="CG1176" s="198"/>
      <c r="CH1176" s="198"/>
      <c r="CI1176" s="198"/>
      <c r="CJ1176" s="198"/>
      <c r="CK1176" s="198"/>
      <c r="CL1176" s="198"/>
      <c r="CM1176" s="198"/>
      <c r="CN1176" s="198"/>
      <c r="CO1176" s="198"/>
      <c r="CP1176" s="198"/>
      <c r="CQ1176" s="198"/>
      <c r="CR1176" s="198"/>
      <c r="CS1176" s="198"/>
      <c r="CT1176" s="198"/>
      <c r="CU1176" s="198"/>
      <c r="CV1176" s="198"/>
      <c r="CW1176" s="198"/>
      <c r="CX1176" s="198"/>
      <c r="CY1176" s="198"/>
      <c r="CZ1176" s="198"/>
      <c r="DA1176" s="198"/>
      <c r="DB1176" s="198"/>
      <c r="DC1176" s="198"/>
      <c r="DD1176" s="198"/>
      <c r="DE1176" s="198"/>
      <c r="DF1176" s="198"/>
      <c r="DG1176" s="198"/>
      <c r="DH1176" s="198"/>
      <c r="DI1176" s="198"/>
      <c r="DJ1176" s="198"/>
      <c r="DK1176" s="198"/>
      <c r="DL1176" s="198"/>
      <c r="DM1176" s="198"/>
      <c r="DN1176" s="198"/>
      <c r="DO1176" s="198"/>
      <c r="DP1176" s="198"/>
      <c r="DQ1176" s="198"/>
      <c r="DR1176" s="198"/>
      <c r="DS1176" s="198"/>
      <c r="DT1176" s="198"/>
      <c r="DU1176" s="198"/>
      <c r="DV1176" s="198"/>
      <c r="DW1176" s="198"/>
      <c r="DX1176" s="198"/>
      <c r="DY1176" s="198"/>
      <c r="DZ1176" s="198"/>
      <c r="EA1176" s="198"/>
      <c r="EB1176" s="198"/>
      <c r="EC1176" s="198"/>
      <c r="ED1176" s="198"/>
      <c r="EE1176" s="198"/>
      <c r="EF1176" s="198"/>
      <c r="EG1176" s="198"/>
      <c r="EH1176" s="198"/>
      <c r="EI1176" s="198"/>
      <c r="EJ1176" s="198"/>
      <c r="EK1176" s="198"/>
      <c r="EL1176" s="198"/>
      <c r="EM1176" s="198"/>
      <c r="EN1176" s="198"/>
      <c r="EO1176" s="198"/>
      <c r="EP1176" s="198"/>
      <c r="EQ1176" s="198"/>
      <c r="ER1176" s="198"/>
      <c r="ES1176" s="198"/>
      <c r="ET1176" s="198"/>
      <c r="EU1176" s="198"/>
      <c r="EV1176" s="198"/>
      <c r="EW1176" s="198"/>
      <c r="EX1176" s="198"/>
      <c r="EY1176" s="198"/>
      <c r="EZ1176" s="198"/>
      <c r="FA1176" s="198"/>
      <c r="FB1176" s="198"/>
      <c r="FC1176" s="198"/>
      <c r="FD1176" s="198"/>
      <c r="FE1176" s="198"/>
      <c r="FF1176" s="198"/>
      <c r="FG1176" s="198"/>
      <c r="FH1176" s="198"/>
      <c r="FI1176" s="198"/>
      <c r="FJ1176" s="198"/>
      <c r="FK1176" s="198"/>
      <c r="FL1176" s="198"/>
      <c r="FM1176" s="198"/>
      <c r="FN1176" s="198"/>
      <c r="FO1176" s="198"/>
      <c r="FP1176" s="198"/>
      <c r="FQ1176" s="198"/>
      <c r="FR1176" s="198"/>
      <c r="FS1176" s="198"/>
      <c r="FT1176" s="198"/>
      <c r="FU1176" s="198"/>
      <c r="FV1176" s="198"/>
      <c r="FW1176" s="198"/>
      <c r="FX1176" s="198"/>
      <c r="FY1176" s="198"/>
      <c r="FZ1176" s="198"/>
      <c r="GA1176" s="198"/>
      <c r="GB1176" s="198"/>
      <c r="GC1176" s="198"/>
      <c r="GD1176" s="198"/>
      <c r="GE1176" s="198"/>
      <c r="GF1176" s="198"/>
      <c r="GG1176" s="198"/>
      <c r="GH1176" s="198"/>
      <c r="GI1176" s="198"/>
      <c r="GJ1176" s="198"/>
      <c r="GK1176" s="198"/>
      <c r="GL1176" s="198"/>
      <c r="GM1176" s="198"/>
      <c r="GN1176" s="198"/>
      <c r="GO1176" s="198"/>
      <c r="GP1176" s="198"/>
      <c r="GQ1176" s="198"/>
      <c r="GR1176" s="198"/>
      <c r="GS1176" s="198"/>
      <c r="GT1176" s="198"/>
      <c r="GU1176" s="198"/>
      <c r="GV1176" s="198"/>
      <c r="GW1176" s="198"/>
      <c r="GX1176" s="198"/>
      <c r="GY1176" s="198"/>
      <c r="GZ1176" s="198"/>
      <c r="HA1176" s="198"/>
      <c r="HB1176" s="198"/>
      <c r="HC1176" s="198"/>
      <c r="HD1176" s="198"/>
      <c r="HE1176" s="198"/>
      <c r="HF1176" s="198"/>
      <c r="HG1176" s="198"/>
      <c r="HH1176" s="198"/>
      <c r="HI1176" s="198"/>
      <c r="HJ1176" s="198"/>
      <c r="HK1176" s="198"/>
      <c r="HL1176" s="198"/>
      <c r="HM1176" s="198"/>
      <c r="HN1176" s="198"/>
      <c r="HO1176" s="198"/>
      <c r="HP1176" s="198"/>
      <c r="HQ1176" s="198"/>
      <c r="HR1176" s="198"/>
      <c r="HS1176" s="198"/>
      <c r="HT1176" s="198"/>
      <c r="HU1176" s="198"/>
      <c r="HV1176" s="198"/>
      <c r="HW1176" s="198"/>
      <c r="HX1176" s="198"/>
      <c r="HY1176" s="198"/>
      <c r="HZ1176" s="198"/>
      <c r="IA1176" s="198"/>
      <c r="IB1176" s="198"/>
      <c r="IC1176" s="198"/>
      <c r="ID1176" s="198"/>
      <c r="IE1176" s="198"/>
      <c r="IF1176" s="198"/>
      <c r="IG1176" s="198"/>
      <c r="IH1176" s="198"/>
      <c r="II1176" s="198"/>
      <c r="IJ1176" s="198"/>
      <c r="IK1176" s="198"/>
      <c r="IL1176" s="198"/>
      <c r="IM1176" s="198"/>
      <c r="IN1176" s="198"/>
      <c r="IO1176" s="198"/>
      <c r="IP1176" s="198"/>
      <c r="IQ1176" s="198"/>
      <c r="IR1176" s="198"/>
      <c r="IS1176" s="198"/>
      <c r="IT1176" s="198"/>
      <c r="IU1176" s="198"/>
      <c r="IV1176" s="198"/>
      <c r="IW1176" s="198"/>
      <c r="IX1176" s="198"/>
      <c r="IY1176" s="198"/>
      <c r="IZ1176" s="198"/>
      <c r="JA1176" s="198"/>
      <c r="JB1176" s="198"/>
      <c r="JC1176" s="198"/>
      <c r="JD1176" s="198"/>
      <c r="JE1176" s="198"/>
      <c r="JF1176" s="198"/>
      <c r="JG1176" s="198"/>
      <c r="JH1176" s="198"/>
      <c r="JI1176" s="198"/>
      <c r="JJ1176" s="198"/>
      <c r="JK1176" s="198"/>
      <c r="JL1176" s="198"/>
      <c r="JM1176" s="198"/>
      <c r="JN1176" s="198"/>
      <c r="JO1176" s="198"/>
      <c r="JP1176" s="198"/>
      <c r="JQ1176" s="198"/>
      <c r="JR1176" s="198"/>
      <c r="JS1176" s="198"/>
      <c r="JT1176" s="198"/>
      <c r="JU1176" s="198"/>
      <c r="JV1176" s="198"/>
      <c r="JW1176" s="198"/>
      <c r="JX1176" s="198"/>
      <c r="JY1176" s="198"/>
      <c r="JZ1176" s="198"/>
      <c r="KA1176" s="198"/>
      <c r="KB1176" s="198"/>
      <c r="KC1176" s="198"/>
      <c r="KD1176" s="198"/>
      <c r="KE1176" s="198"/>
      <c r="KF1176" s="198"/>
      <c r="KG1176" s="198"/>
      <c r="KH1176" s="198"/>
      <c r="KI1176" s="198"/>
      <c r="KJ1176" s="198"/>
      <c r="KK1176" s="198"/>
      <c r="KL1176" s="198"/>
      <c r="KM1176" s="198"/>
      <c r="KN1176" s="198"/>
      <c r="KO1176" s="198"/>
      <c r="KP1176" s="198"/>
      <c r="KQ1176" s="198"/>
      <c r="KR1176" s="198"/>
      <c r="KS1176" s="198"/>
      <c r="KT1176" s="198"/>
      <c r="KU1176" s="198"/>
      <c r="KV1176" s="198"/>
      <c r="KW1176" s="198"/>
      <c r="KX1176" s="198"/>
      <c r="KY1176" s="198"/>
      <c r="KZ1176" s="198"/>
      <c r="LA1176" s="198"/>
      <c r="LB1176" s="198"/>
      <c r="LC1176" s="198"/>
      <c r="LD1176" s="198"/>
      <c r="LE1176" s="198"/>
      <c r="LF1176" s="198"/>
      <c r="LG1176" s="198"/>
      <c r="LH1176" s="198"/>
      <c r="LI1176" s="198"/>
      <c r="LJ1176" s="198"/>
      <c r="LK1176" s="198"/>
      <c r="LL1176" s="198"/>
      <c r="LM1176" s="198"/>
      <c r="LN1176" s="198"/>
      <c r="LO1176" s="198"/>
      <c r="LP1176" s="198"/>
      <c r="LQ1176" s="198"/>
      <c r="LR1176" s="198"/>
      <c r="LS1176" s="198"/>
      <c r="LT1176" s="198"/>
      <c r="LU1176" s="198"/>
      <c r="LV1176" s="198"/>
      <c r="LW1176" s="198"/>
      <c r="LX1176" s="198"/>
      <c r="LY1176" s="198"/>
      <c r="LZ1176" s="198"/>
      <c r="MA1176" s="198"/>
      <c r="MB1176" s="198"/>
      <c r="MC1176" s="198"/>
      <c r="MD1176" s="198"/>
      <c r="ME1176" s="198"/>
      <c r="MF1176" s="198"/>
      <c r="MG1176" s="198"/>
      <c r="MH1176" s="198"/>
      <c r="MI1176" s="198"/>
      <c r="MJ1176" s="198"/>
      <c r="MK1176" s="198"/>
      <c r="ML1176" s="198"/>
      <c r="MM1176" s="198"/>
      <c r="MN1176" s="198"/>
      <c r="MO1176" s="198"/>
      <c r="MP1176" s="198"/>
      <c r="MQ1176" s="198"/>
      <c r="MR1176" s="198"/>
      <c r="MS1176" s="198"/>
      <c r="MT1176" s="198"/>
      <c r="MU1176" s="198"/>
      <c r="MV1176" s="198"/>
      <c r="MW1176" s="198"/>
      <c r="MX1176" s="198"/>
      <c r="MY1176" s="198"/>
      <c r="MZ1176" s="198"/>
      <c r="NA1176" s="198"/>
      <c r="NB1176" s="198"/>
      <c r="NC1176" s="198"/>
      <c r="ND1176" s="198"/>
      <c r="NE1176" s="198"/>
      <c r="NF1176" s="198"/>
      <c r="NG1176" s="198"/>
      <c r="NH1176" s="198"/>
      <c r="NI1176" s="198"/>
      <c r="NJ1176" s="198"/>
      <c r="NK1176" s="198"/>
      <c r="NL1176" s="198"/>
      <c r="NM1176" s="198"/>
      <c r="NN1176" s="198"/>
      <c r="NO1176" s="198"/>
      <c r="NP1176" s="198"/>
      <c r="NQ1176" s="198"/>
      <c r="NR1176" s="198"/>
      <c r="NS1176" s="198"/>
      <c r="NT1176" s="198"/>
      <c r="NU1176" s="198"/>
      <c r="NV1176" s="198"/>
      <c r="NW1176" s="198"/>
      <c r="NX1176" s="198"/>
      <c r="NY1176" s="198"/>
      <c r="NZ1176" s="198"/>
      <c r="OA1176" s="198"/>
      <c r="OB1176" s="198"/>
      <c r="OC1176" s="198"/>
      <c r="OD1176" s="198"/>
      <c r="OE1176" s="198"/>
      <c r="OF1176" s="198"/>
      <c r="OG1176" s="198"/>
      <c r="OH1176" s="198"/>
      <c r="OI1176" s="198"/>
      <c r="OJ1176" s="198"/>
      <c r="OK1176" s="198"/>
      <c r="OL1176" s="198"/>
      <c r="OM1176" s="198"/>
      <c r="ON1176" s="198"/>
      <c r="OO1176" s="198"/>
      <c r="OP1176" s="198"/>
      <c r="OQ1176" s="198"/>
      <c r="OR1176" s="198"/>
      <c r="OS1176" s="198"/>
      <c r="OT1176" s="198"/>
      <c r="OU1176" s="198"/>
      <c r="OV1176" s="198"/>
      <c r="OW1176" s="198"/>
      <c r="OX1176" s="198"/>
      <c r="OY1176" s="198"/>
      <c r="OZ1176" s="198"/>
      <c r="PA1176" s="198"/>
      <c r="PB1176" s="198"/>
      <c r="PC1176" s="198"/>
      <c r="PD1176" s="198"/>
      <c r="PE1176" s="198"/>
      <c r="PF1176" s="198"/>
      <c r="PG1176" s="198"/>
      <c r="PH1176" s="198"/>
      <c r="PI1176" s="198"/>
      <c r="PJ1176" s="198"/>
      <c r="PK1176" s="198"/>
      <c r="PL1176" s="198"/>
      <c r="PM1176" s="198"/>
      <c r="PN1176" s="198"/>
      <c r="PO1176" s="198"/>
      <c r="PP1176" s="198"/>
      <c r="PQ1176" s="198"/>
      <c r="PR1176" s="198"/>
      <c r="PS1176" s="198"/>
      <c r="PT1176" s="198"/>
      <c r="PU1176" s="198"/>
      <c r="PV1176" s="198"/>
      <c r="PW1176" s="198"/>
      <c r="PX1176" s="198"/>
      <c r="PY1176" s="198"/>
      <c r="PZ1176" s="198"/>
      <c r="QA1176" s="198"/>
      <c r="QB1176" s="198"/>
      <c r="QC1176" s="198"/>
      <c r="QD1176" s="198"/>
      <c r="QE1176" s="198"/>
      <c r="QF1176" s="198"/>
      <c r="QG1176" s="198"/>
      <c r="QH1176" s="198"/>
      <c r="QI1176" s="198"/>
      <c r="QJ1176" s="198"/>
      <c r="QK1176" s="198"/>
      <c r="QL1176" s="198"/>
      <c r="QM1176" s="198"/>
      <c r="QN1176" s="198"/>
      <c r="QO1176" s="198"/>
      <c r="QP1176" s="198"/>
      <c r="QQ1176" s="198"/>
      <c r="QR1176" s="198"/>
      <c r="QS1176" s="198"/>
      <c r="QT1176" s="198"/>
      <c r="QU1176" s="198"/>
      <c r="QV1176" s="198"/>
      <c r="QW1176" s="198"/>
      <c r="QX1176" s="198"/>
      <c r="QY1176" s="198"/>
      <c r="QZ1176" s="198"/>
      <c r="RA1176" s="198"/>
      <c r="RB1176" s="198"/>
      <c r="RC1176" s="198"/>
      <c r="RD1176" s="198"/>
      <c r="RE1176" s="198"/>
      <c r="RF1176" s="198"/>
      <c r="RG1176" s="198"/>
      <c r="RH1176" s="198"/>
      <c r="RI1176" s="198"/>
      <c r="RJ1176" s="198"/>
      <c r="RK1176" s="198"/>
      <c r="RL1176" s="198"/>
      <c r="RM1176" s="198"/>
      <c r="RN1176" s="198"/>
      <c r="RO1176" s="198"/>
      <c r="RP1176" s="198"/>
      <c r="RQ1176" s="198"/>
      <c r="RR1176" s="198"/>
      <c r="RS1176" s="198"/>
      <c r="RT1176" s="198"/>
      <c r="RU1176" s="198"/>
      <c r="RV1176" s="198"/>
      <c r="RW1176" s="198"/>
      <c r="RX1176" s="198"/>
      <c r="RY1176" s="198"/>
      <c r="RZ1176" s="198"/>
      <c r="SA1176" s="198"/>
      <c r="SB1176" s="198"/>
      <c r="SC1176" s="198"/>
      <c r="SD1176" s="198"/>
      <c r="SE1176" s="198"/>
      <c r="SF1176" s="198"/>
      <c r="SG1176" s="198"/>
      <c r="SH1176" s="198"/>
      <c r="SI1176" s="198"/>
      <c r="SJ1176" s="198"/>
      <c r="SK1176" s="198"/>
      <c r="SL1176" s="198"/>
      <c r="SM1176" s="198"/>
      <c r="SN1176" s="198"/>
      <c r="SO1176" s="198"/>
      <c r="SP1176" s="198"/>
      <c r="SQ1176" s="198"/>
      <c r="SR1176" s="198"/>
      <c r="SS1176" s="198"/>
      <c r="ST1176" s="198"/>
      <c r="SU1176" s="198"/>
      <c r="SV1176" s="198"/>
      <c r="SW1176" s="198"/>
      <c r="SX1176" s="198"/>
      <c r="SY1176" s="198"/>
      <c r="SZ1176" s="198"/>
      <c r="TA1176" s="198"/>
      <c r="TB1176" s="198"/>
      <c r="TC1176" s="198"/>
      <c r="TD1176" s="198"/>
      <c r="TE1176" s="198"/>
      <c r="TF1176" s="198"/>
      <c r="TG1176" s="198"/>
      <c r="TH1176" s="198"/>
      <c r="TI1176" s="198"/>
      <c r="TJ1176" s="198"/>
      <c r="TK1176" s="198"/>
      <c r="TL1176" s="198"/>
      <c r="TM1176" s="198"/>
      <c r="TN1176" s="198"/>
      <c r="TO1176" s="198"/>
      <c r="TP1176" s="198"/>
      <c r="TQ1176" s="198"/>
      <c r="TR1176" s="198"/>
      <c r="TS1176" s="198"/>
      <c r="TT1176" s="198"/>
      <c r="TU1176" s="198"/>
      <c r="TV1176" s="198"/>
      <c r="TW1176" s="198"/>
      <c r="TX1176" s="198"/>
      <c r="TY1176" s="198"/>
      <c r="TZ1176" s="198"/>
      <c r="UA1176" s="198"/>
      <c r="UB1176" s="198"/>
      <c r="UC1176" s="198"/>
      <c r="UD1176" s="198"/>
      <c r="UE1176" s="198"/>
      <c r="UF1176" s="198"/>
      <c r="UG1176" s="108"/>
    </row>
    <row r="1177" spans="1:553" s="109" customFormat="1" ht="29.25" customHeight="1">
      <c r="A1177" s="366"/>
      <c r="B1177" s="366"/>
      <c r="C1177" s="367" t="s">
        <v>22</v>
      </c>
      <c r="D1177" s="418">
        <v>2</v>
      </c>
      <c r="E1177" s="418">
        <v>442</v>
      </c>
      <c r="F1177" s="427"/>
      <c r="G1177" s="366" t="s">
        <v>33</v>
      </c>
      <c r="H1177" s="370"/>
      <c r="I1177" s="370">
        <f>I1076</f>
        <v>1215.8</v>
      </c>
      <c r="J1177" s="368">
        <v>62000</v>
      </c>
      <c r="K1177" s="848">
        <v>1</v>
      </c>
      <c r="L1177" s="366">
        <f>I1177*J1177*K1177</f>
        <v>75379600</v>
      </c>
      <c r="M1177" s="366"/>
      <c r="N1177" s="366"/>
      <c r="O1177" s="366"/>
      <c r="P1177" s="366"/>
      <c r="Q1177" s="812"/>
      <c r="R1177" s="1452"/>
      <c r="S1177" s="308"/>
      <c r="T1177" s="308"/>
      <c r="U1177" s="308"/>
      <c r="V1177" s="308"/>
      <c r="W1177" s="308"/>
      <c r="X1177" s="308"/>
      <c r="Y1177" s="308"/>
      <c r="Z1177" s="604"/>
      <c r="AA1177" s="308"/>
      <c r="AB1177" s="308"/>
      <c r="AC1177" s="373"/>
      <c r="AD1177" s="373"/>
      <c r="AE1177" s="373"/>
      <c r="AF1177" s="373"/>
      <c r="AG1177" s="373"/>
      <c r="AH1177" s="373"/>
      <c r="AI1177" s="373"/>
      <c r="AJ1177" s="373"/>
      <c r="AK1177" s="389"/>
      <c r="AL1177" s="127"/>
      <c r="AM1177" s="153"/>
      <c r="AN1177" s="153"/>
      <c r="AO1177" s="153"/>
      <c r="AP1177" s="153"/>
      <c r="AQ1177" s="153"/>
      <c r="AR1177" s="153"/>
      <c r="AS1177" s="121"/>
      <c r="AT1177" s="121"/>
      <c r="AU1177" s="121"/>
      <c r="AV1177" s="121"/>
      <c r="AW1177" s="121"/>
      <c r="AX1177" s="121"/>
      <c r="AY1177" s="121"/>
      <c r="AZ1177" s="121"/>
      <c r="BA1177" s="121"/>
      <c r="BB1177" s="121"/>
      <c r="BC1177" s="121"/>
      <c r="BD1177" s="121"/>
      <c r="BE1177" s="121"/>
      <c r="BF1177" s="121"/>
      <c r="BG1177" s="121"/>
      <c r="BH1177" s="121"/>
      <c r="BI1177" s="121"/>
      <c r="BJ1177" s="121"/>
      <c r="BK1177" s="121"/>
      <c r="BL1177" s="121"/>
      <c r="BM1177" s="121"/>
      <c r="BN1177" s="121"/>
      <c r="BO1177" s="121"/>
      <c r="BP1177" s="121"/>
      <c r="BQ1177" s="121"/>
      <c r="BR1177" s="121"/>
      <c r="BS1177" s="121"/>
      <c r="BT1177" s="121"/>
      <c r="BU1177" s="121"/>
      <c r="BV1177" s="121"/>
      <c r="BW1177" s="121"/>
      <c r="BX1177" s="121"/>
      <c r="BY1177" s="121"/>
      <c r="BZ1177" s="121"/>
      <c r="CA1177" s="121"/>
      <c r="CB1177" s="121"/>
      <c r="CC1177" s="121"/>
      <c r="CD1177" s="121"/>
      <c r="CE1177" s="121"/>
      <c r="CF1177" s="121"/>
      <c r="CG1177" s="121"/>
      <c r="CH1177" s="121"/>
      <c r="CI1177" s="121"/>
      <c r="CJ1177" s="121"/>
      <c r="CK1177" s="121"/>
      <c r="CL1177" s="121"/>
      <c r="CM1177" s="121"/>
      <c r="CN1177" s="121"/>
      <c r="CO1177" s="121"/>
      <c r="CP1177" s="121"/>
      <c r="CQ1177" s="121"/>
      <c r="CR1177" s="121"/>
      <c r="CS1177" s="121"/>
      <c r="CT1177" s="121"/>
      <c r="CU1177" s="121"/>
      <c r="CV1177" s="121"/>
      <c r="CW1177" s="121"/>
      <c r="CX1177" s="121"/>
      <c r="CY1177" s="121"/>
      <c r="CZ1177" s="121"/>
      <c r="DA1177" s="121"/>
      <c r="DB1177" s="121"/>
      <c r="DC1177" s="121"/>
      <c r="DD1177" s="121"/>
      <c r="DE1177" s="121"/>
      <c r="DF1177" s="121"/>
      <c r="DG1177" s="121"/>
      <c r="DH1177" s="121"/>
      <c r="DI1177" s="121"/>
      <c r="DJ1177" s="121"/>
      <c r="DK1177" s="121"/>
      <c r="DL1177" s="121"/>
      <c r="DM1177" s="121"/>
      <c r="DN1177" s="121"/>
      <c r="DO1177" s="121"/>
      <c r="DP1177" s="121"/>
      <c r="DQ1177" s="121"/>
      <c r="DR1177" s="121"/>
      <c r="DS1177" s="121"/>
      <c r="DT1177" s="121"/>
      <c r="DU1177" s="121"/>
      <c r="DV1177" s="121"/>
      <c r="DW1177" s="121"/>
      <c r="DX1177" s="121"/>
      <c r="DY1177" s="121"/>
      <c r="DZ1177" s="121"/>
      <c r="EA1177" s="121"/>
      <c r="EB1177" s="121"/>
      <c r="EC1177" s="121"/>
      <c r="ED1177" s="121"/>
      <c r="EE1177" s="121"/>
      <c r="EF1177" s="121"/>
      <c r="EG1177" s="121"/>
      <c r="EH1177" s="121"/>
      <c r="EI1177" s="121"/>
      <c r="EJ1177" s="121"/>
      <c r="EK1177" s="121"/>
      <c r="EL1177" s="121"/>
      <c r="EM1177" s="121"/>
      <c r="EN1177" s="121"/>
      <c r="EO1177" s="121"/>
      <c r="EP1177" s="121"/>
      <c r="EQ1177" s="121"/>
      <c r="ER1177" s="121"/>
      <c r="ES1177" s="121"/>
      <c r="ET1177" s="121"/>
      <c r="EU1177" s="121"/>
      <c r="EV1177" s="121"/>
      <c r="EW1177" s="121"/>
      <c r="EX1177" s="121"/>
      <c r="EY1177" s="121"/>
      <c r="EZ1177" s="121"/>
      <c r="FA1177" s="121"/>
      <c r="FB1177" s="121"/>
      <c r="FC1177" s="121"/>
      <c r="FD1177" s="121"/>
      <c r="FE1177" s="121"/>
      <c r="FF1177" s="121"/>
      <c r="FG1177" s="121"/>
      <c r="FH1177" s="121"/>
      <c r="FI1177" s="121"/>
      <c r="FJ1177" s="121"/>
      <c r="FK1177" s="121"/>
      <c r="FL1177" s="121"/>
      <c r="FM1177" s="121"/>
      <c r="FN1177" s="121"/>
      <c r="FO1177" s="121"/>
      <c r="FP1177" s="121"/>
      <c r="FQ1177" s="121"/>
      <c r="FR1177" s="121"/>
      <c r="FS1177" s="121"/>
      <c r="FT1177" s="121"/>
      <c r="FU1177" s="121"/>
      <c r="FV1177" s="121"/>
      <c r="FW1177" s="121"/>
      <c r="FX1177" s="121"/>
      <c r="FY1177" s="121"/>
      <c r="FZ1177" s="121"/>
      <c r="GA1177" s="121"/>
      <c r="GB1177" s="121"/>
      <c r="GC1177" s="121"/>
      <c r="GD1177" s="121"/>
      <c r="GE1177" s="121"/>
      <c r="GF1177" s="121"/>
      <c r="GG1177" s="121"/>
      <c r="GH1177" s="121"/>
      <c r="GI1177" s="121"/>
      <c r="GJ1177" s="121"/>
      <c r="GK1177" s="121"/>
      <c r="GL1177" s="121"/>
      <c r="GM1177" s="121"/>
      <c r="GN1177" s="121"/>
      <c r="GO1177" s="121"/>
      <c r="GP1177" s="121"/>
      <c r="GQ1177" s="121"/>
      <c r="GR1177" s="121"/>
      <c r="GS1177" s="121"/>
      <c r="GT1177" s="121"/>
      <c r="GU1177" s="121"/>
      <c r="GV1177" s="121"/>
      <c r="GW1177" s="121"/>
      <c r="GX1177" s="121"/>
      <c r="GY1177" s="121"/>
      <c r="GZ1177" s="121"/>
      <c r="HA1177" s="121"/>
      <c r="HB1177" s="121"/>
      <c r="HC1177" s="121"/>
      <c r="HD1177" s="121"/>
      <c r="HE1177" s="121"/>
      <c r="HF1177" s="121"/>
      <c r="HG1177" s="121"/>
      <c r="HH1177" s="121"/>
      <c r="HI1177" s="121"/>
      <c r="HJ1177" s="121"/>
      <c r="HK1177" s="121"/>
      <c r="HL1177" s="121"/>
      <c r="HM1177" s="121"/>
      <c r="HN1177" s="121"/>
      <c r="HO1177" s="121"/>
      <c r="HP1177" s="121"/>
      <c r="HQ1177" s="121"/>
      <c r="HR1177" s="121"/>
      <c r="HS1177" s="121"/>
      <c r="HT1177" s="121"/>
      <c r="HU1177" s="121"/>
      <c r="HV1177" s="121"/>
      <c r="HW1177" s="121"/>
      <c r="HX1177" s="121"/>
      <c r="HY1177" s="121"/>
      <c r="HZ1177" s="121"/>
      <c r="IA1177" s="121"/>
      <c r="IB1177" s="121"/>
      <c r="IC1177" s="121"/>
      <c r="ID1177" s="121"/>
      <c r="IE1177" s="121"/>
      <c r="IF1177" s="121"/>
      <c r="IG1177" s="121"/>
      <c r="IH1177" s="121"/>
      <c r="II1177" s="121"/>
      <c r="IJ1177" s="121"/>
      <c r="IK1177" s="121"/>
      <c r="IL1177" s="121"/>
      <c r="IM1177" s="121"/>
      <c r="IN1177" s="121"/>
      <c r="IO1177" s="121"/>
      <c r="IP1177" s="121"/>
      <c r="IQ1177" s="121"/>
      <c r="IR1177" s="121"/>
      <c r="IS1177" s="121"/>
      <c r="IT1177" s="121"/>
      <c r="IU1177" s="121"/>
      <c r="IV1177" s="121"/>
      <c r="IW1177" s="121"/>
      <c r="IX1177" s="121"/>
      <c r="IY1177" s="121"/>
      <c r="IZ1177" s="121"/>
      <c r="JA1177" s="121"/>
      <c r="JB1177" s="121"/>
      <c r="JC1177" s="121"/>
      <c r="JD1177" s="121"/>
      <c r="JE1177" s="121"/>
      <c r="JF1177" s="121"/>
      <c r="JG1177" s="121"/>
      <c r="JH1177" s="121"/>
      <c r="JI1177" s="121"/>
      <c r="JJ1177" s="121"/>
      <c r="JK1177" s="121"/>
      <c r="JL1177" s="121"/>
      <c r="JM1177" s="121"/>
      <c r="JN1177" s="121"/>
      <c r="JO1177" s="121"/>
      <c r="JP1177" s="121"/>
      <c r="JQ1177" s="121"/>
      <c r="JR1177" s="121"/>
      <c r="JS1177" s="121"/>
      <c r="JT1177" s="121"/>
      <c r="JU1177" s="121"/>
      <c r="JV1177" s="121"/>
      <c r="JW1177" s="121"/>
      <c r="JX1177" s="121"/>
      <c r="JY1177" s="121"/>
      <c r="JZ1177" s="121"/>
      <c r="KA1177" s="121"/>
      <c r="KB1177" s="121"/>
      <c r="KC1177" s="121"/>
      <c r="KD1177" s="121"/>
      <c r="KE1177" s="121"/>
      <c r="KF1177" s="121"/>
      <c r="KG1177" s="121"/>
      <c r="KH1177" s="121"/>
      <c r="KI1177" s="121"/>
      <c r="KJ1177" s="121"/>
      <c r="KK1177" s="121"/>
      <c r="KL1177" s="121"/>
      <c r="KM1177" s="121"/>
      <c r="KN1177" s="121"/>
      <c r="KO1177" s="121"/>
      <c r="KP1177" s="121"/>
      <c r="KQ1177" s="121"/>
      <c r="KR1177" s="121"/>
      <c r="KS1177" s="121"/>
      <c r="KT1177" s="121"/>
      <c r="KU1177" s="121"/>
      <c r="KV1177" s="121"/>
      <c r="KW1177" s="121"/>
      <c r="KX1177" s="121"/>
      <c r="KY1177" s="121"/>
      <c r="KZ1177" s="121"/>
      <c r="LA1177" s="121"/>
      <c r="LB1177" s="121"/>
      <c r="LC1177" s="121"/>
      <c r="LD1177" s="121"/>
      <c r="LE1177" s="121"/>
      <c r="LF1177" s="121"/>
      <c r="LG1177" s="121"/>
      <c r="LH1177" s="121"/>
      <c r="LI1177" s="121"/>
      <c r="LJ1177" s="121"/>
      <c r="LK1177" s="121"/>
      <c r="LL1177" s="121"/>
      <c r="LM1177" s="121"/>
      <c r="LN1177" s="121"/>
      <c r="LO1177" s="121"/>
      <c r="LP1177" s="121"/>
      <c r="LQ1177" s="121"/>
      <c r="LR1177" s="121"/>
      <c r="LS1177" s="121"/>
      <c r="LT1177" s="121"/>
      <c r="LU1177" s="121"/>
      <c r="LV1177" s="121"/>
      <c r="LW1177" s="121"/>
      <c r="LX1177" s="121"/>
      <c r="LY1177" s="121"/>
      <c r="LZ1177" s="121"/>
      <c r="MA1177" s="121"/>
      <c r="MB1177" s="121"/>
      <c r="MC1177" s="121"/>
      <c r="MD1177" s="121"/>
      <c r="ME1177" s="121"/>
      <c r="MF1177" s="121"/>
      <c r="MG1177" s="121"/>
      <c r="MH1177" s="121"/>
      <c r="MI1177" s="121"/>
      <c r="MJ1177" s="121"/>
      <c r="MK1177" s="121"/>
      <c r="ML1177" s="121"/>
      <c r="MM1177" s="121"/>
      <c r="MN1177" s="121"/>
      <c r="MO1177" s="121"/>
      <c r="MP1177" s="121"/>
      <c r="MQ1177" s="121"/>
      <c r="MR1177" s="121"/>
      <c r="MS1177" s="121"/>
      <c r="MT1177" s="121"/>
      <c r="MU1177" s="121"/>
      <c r="MV1177" s="121"/>
      <c r="MW1177" s="121"/>
      <c r="MX1177" s="121"/>
      <c r="MY1177" s="121"/>
      <c r="MZ1177" s="121"/>
      <c r="NA1177" s="121"/>
      <c r="NB1177" s="121"/>
      <c r="NC1177" s="121"/>
      <c r="ND1177" s="121"/>
      <c r="NE1177" s="121"/>
      <c r="NF1177" s="121"/>
      <c r="NG1177" s="121"/>
      <c r="NH1177" s="121"/>
      <c r="NI1177" s="121"/>
      <c r="NJ1177" s="121"/>
      <c r="NK1177" s="121"/>
      <c r="NL1177" s="121"/>
      <c r="NM1177" s="121"/>
      <c r="NN1177" s="121"/>
      <c r="NO1177" s="121"/>
      <c r="NP1177" s="121"/>
      <c r="NQ1177" s="121"/>
      <c r="NR1177" s="121"/>
      <c r="NS1177" s="121"/>
      <c r="NT1177" s="121"/>
      <c r="NU1177" s="121"/>
      <c r="NV1177" s="121"/>
      <c r="NW1177" s="121"/>
      <c r="NX1177" s="121"/>
      <c r="NY1177" s="121"/>
      <c r="NZ1177" s="121"/>
      <c r="OA1177" s="121"/>
      <c r="OB1177" s="121"/>
      <c r="OC1177" s="121"/>
      <c r="OD1177" s="121"/>
      <c r="OE1177" s="121"/>
      <c r="OF1177" s="121"/>
      <c r="OG1177" s="121"/>
      <c r="OH1177" s="121"/>
      <c r="OI1177" s="121"/>
      <c r="OJ1177" s="121"/>
      <c r="OK1177" s="121"/>
      <c r="OL1177" s="121"/>
      <c r="OM1177" s="121"/>
      <c r="ON1177" s="121"/>
      <c r="OO1177" s="121"/>
      <c r="OP1177" s="121"/>
      <c r="OQ1177" s="121"/>
      <c r="OR1177" s="121"/>
      <c r="OS1177" s="121"/>
      <c r="OT1177" s="121"/>
      <c r="OU1177" s="121"/>
      <c r="OV1177" s="121"/>
      <c r="OW1177" s="121"/>
      <c r="OX1177" s="121"/>
      <c r="OY1177" s="121"/>
      <c r="OZ1177" s="121"/>
      <c r="PA1177" s="121"/>
      <c r="PB1177" s="121"/>
      <c r="PC1177" s="121"/>
      <c r="PD1177" s="121"/>
      <c r="PE1177" s="121"/>
      <c r="PF1177" s="121"/>
      <c r="PG1177" s="121"/>
      <c r="PH1177" s="121"/>
      <c r="PI1177" s="121"/>
      <c r="PJ1177" s="121"/>
      <c r="PK1177" s="121"/>
      <c r="PL1177" s="121"/>
      <c r="PM1177" s="121"/>
      <c r="PN1177" s="121"/>
      <c r="PO1177" s="121"/>
      <c r="PP1177" s="121"/>
      <c r="PQ1177" s="121"/>
      <c r="PR1177" s="121"/>
      <c r="PS1177" s="121"/>
      <c r="PT1177" s="121"/>
      <c r="PU1177" s="121"/>
      <c r="PV1177" s="121"/>
      <c r="PW1177" s="121"/>
      <c r="PX1177" s="121"/>
      <c r="PY1177" s="121"/>
      <c r="PZ1177" s="121"/>
      <c r="QA1177" s="121"/>
      <c r="QB1177" s="121"/>
      <c r="QC1177" s="121"/>
      <c r="QD1177" s="121"/>
      <c r="QE1177" s="121"/>
      <c r="QF1177" s="121"/>
      <c r="QG1177" s="121"/>
      <c r="QH1177" s="121"/>
      <c r="QI1177" s="121"/>
      <c r="QJ1177" s="121"/>
      <c r="QK1177" s="121"/>
      <c r="QL1177" s="121"/>
      <c r="QM1177" s="121"/>
      <c r="QN1177" s="121"/>
      <c r="QO1177" s="121"/>
      <c r="QP1177" s="121"/>
      <c r="QQ1177" s="121"/>
      <c r="QR1177" s="121"/>
      <c r="QS1177" s="121"/>
      <c r="QT1177" s="121"/>
      <c r="QU1177" s="121"/>
      <c r="QV1177" s="121"/>
      <c r="QW1177" s="121"/>
      <c r="QX1177" s="121"/>
      <c r="QY1177" s="121"/>
      <c r="QZ1177" s="121"/>
      <c r="RA1177" s="121"/>
      <c r="RB1177" s="121"/>
      <c r="RC1177" s="121"/>
      <c r="RD1177" s="121"/>
      <c r="RE1177" s="121"/>
      <c r="RF1177" s="121"/>
      <c r="RG1177" s="121"/>
      <c r="RH1177" s="121"/>
      <c r="RI1177" s="121"/>
      <c r="RJ1177" s="121"/>
      <c r="RK1177" s="121"/>
      <c r="RL1177" s="121"/>
      <c r="RM1177" s="121"/>
      <c r="RN1177" s="121"/>
      <c r="RO1177" s="121"/>
      <c r="RP1177" s="121"/>
      <c r="RQ1177" s="121"/>
      <c r="RR1177" s="121"/>
      <c r="RS1177" s="121"/>
      <c r="RT1177" s="121"/>
      <c r="RU1177" s="121"/>
      <c r="RV1177" s="121"/>
      <c r="RW1177" s="121"/>
      <c r="RX1177" s="121"/>
      <c r="RY1177" s="121"/>
      <c r="RZ1177" s="121"/>
      <c r="SA1177" s="121"/>
      <c r="SB1177" s="121"/>
      <c r="SC1177" s="121"/>
      <c r="SD1177" s="121"/>
      <c r="SE1177" s="121"/>
      <c r="SF1177" s="121"/>
      <c r="SG1177" s="121"/>
      <c r="SH1177" s="121"/>
      <c r="SI1177" s="121"/>
      <c r="SJ1177" s="121"/>
      <c r="SK1177" s="121"/>
      <c r="SL1177" s="121"/>
      <c r="SM1177" s="121"/>
      <c r="SN1177" s="121"/>
      <c r="SO1177" s="121"/>
      <c r="SP1177" s="121"/>
      <c r="SQ1177" s="121"/>
      <c r="SR1177" s="121"/>
      <c r="SS1177" s="121"/>
      <c r="ST1177" s="121"/>
      <c r="SU1177" s="121"/>
      <c r="SV1177" s="121"/>
      <c r="SW1177" s="121"/>
      <c r="SX1177" s="121"/>
      <c r="SY1177" s="121"/>
      <c r="SZ1177" s="121"/>
      <c r="TA1177" s="121"/>
      <c r="TB1177" s="121"/>
      <c r="TC1177" s="121"/>
      <c r="TD1177" s="121"/>
      <c r="TE1177" s="121"/>
      <c r="TF1177" s="121"/>
      <c r="TG1177" s="121"/>
      <c r="TH1177" s="121"/>
      <c r="TI1177" s="121"/>
      <c r="TJ1177" s="121"/>
      <c r="TK1177" s="121"/>
      <c r="TL1177" s="121"/>
      <c r="TM1177" s="121"/>
      <c r="TN1177" s="121"/>
      <c r="TO1177" s="121"/>
      <c r="TP1177" s="121"/>
      <c r="TQ1177" s="121"/>
      <c r="TR1177" s="121"/>
      <c r="TS1177" s="121"/>
      <c r="TT1177" s="121"/>
      <c r="TU1177" s="121"/>
      <c r="TV1177" s="121"/>
      <c r="TW1177" s="121"/>
      <c r="TX1177" s="121"/>
      <c r="TY1177" s="121"/>
      <c r="TZ1177" s="121"/>
      <c r="UA1177" s="121"/>
      <c r="UB1177" s="121"/>
      <c r="UC1177" s="121"/>
      <c r="UD1177" s="121"/>
      <c r="UE1177" s="121"/>
      <c r="UF1177" s="121"/>
      <c r="UG1177" s="129"/>
    </row>
    <row r="1178" spans="1:553" ht="34.5" customHeight="1">
      <c r="A1178" s="356"/>
      <c r="B1178" s="385"/>
      <c r="C1178" s="384" t="str">
        <f>'Phương án chi tiết'!C1077</f>
        <v>Đất chuyên trồng lúa nước (LUC)</v>
      </c>
      <c r="D1178" s="376" t="str">
        <f>'Phương án chi tiết'!D1077</f>
        <v>1</v>
      </c>
      <c r="E1178" s="376">
        <f>'Phương án chi tiết'!E1077</f>
        <v>270</v>
      </c>
      <c r="F1178" s="385"/>
      <c r="G1178" s="386" t="s">
        <v>935</v>
      </c>
      <c r="H1178" s="370"/>
      <c r="I1178" s="422">
        <f>'Phương án chi tiết'!I1077</f>
        <v>141.1</v>
      </c>
      <c r="J1178" s="368">
        <v>72000</v>
      </c>
      <c r="K1178" s="848">
        <v>3</v>
      </c>
      <c r="L1178" s="480">
        <f t="shared" ref="L1178:L1192" si="174">PRODUCT(I1178:K1178)</f>
        <v>30477600</v>
      </c>
      <c r="M1178" s="366"/>
      <c r="N1178" s="366"/>
      <c r="O1178" s="366"/>
      <c r="P1178" s="366"/>
      <c r="Q1178" s="812"/>
      <c r="R1178" s="1452"/>
      <c r="S1178" s="308"/>
      <c r="T1178" s="308"/>
      <c r="U1178" s="308"/>
      <c r="V1178" s="308"/>
      <c r="W1178" s="308"/>
      <c r="X1178" s="308"/>
      <c r="Y1178" s="308"/>
      <c r="Z1178" s="604"/>
      <c r="AA1178" s="308"/>
      <c r="AB1178" s="308"/>
      <c r="AC1178" s="373"/>
      <c r="AD1178" s="373"/>
      <c r="AE1178" s="373"/>
      <c r="AF1178" s="373"/>
      <c r="AG1178" s="373"/>
      <c r="AH1178" s="373"/>
      <c r="AI1178" s="373"/>
      <c r="AJ1178" s="373"/>
      <c r="AK1178" s="389"/>
      <c r="AL1178" s="100"/>
      <c r="AM1178" s="27"/>
      <c r="AN1178" s="27"/>
      <c r="AO1178" s="27"/>
      <c r="AP1178" s="27"/>
      <c r="AQ1178" s="27"/>
      <c r="AR1178" s="27"/>
      <c r="AS1178" s="22"/>
      <c r="AT1178" s="22"/>
      <c r="AU1178" s="22"/>
      <c r="AV1178" s="22"/>
      <c r="AW1178" s="22"/>
      <c r="AX1178" s="22"/>
      <c r="AY1178" s="22"/>
      <c r="AZ1178" s="22"/>
      <c r="BA1178" s="22"/>
      <c r="BB1178" s="22"/>
      <c r="BC1178" s="22"/>
      <c r="BD1178" s="22"/>
      <c r="BE1178" s="22"/>
      <c r="BF1178" s="22"/>
      <c r="BG1178" s="22"/>
      <c r="BH1178" s="22"/>
      <c r="BI1178" s="22"/>
      <c r="BJ1178" s="22"/>
      <c r="BK1178" s="22"/>
      <c r="BL1178" s="22"/>
      <c r="BM1178" s="22"/>
      <c r="BN1178" s="22"/>
      <c r="BO1178" s="22"/>
      <c r="BP1178" s="22"/>
      <c r="BQ1178" s="22"/>
      <c r="BR1178" s="22"/>
      <c r="BS1178" s="22"/>
      <c r="BT1178" s="22"/>
      <c r="BU1178" s="22"/>
      <c r="BV1178" s="22"/>
      <c r="BW1178" s="22"/>
      <c r="BX1178" s="22"/>
      <c r="BY1178" s="22"/>
      <c r="BZ1178" s="22"/>
      <c r="CA1178" s="22"/>
      <c r="CB1178" s="22"/>
      <c r="CC1178" s="22"/>
      <c r="CD1178" s="22"/>
      <c r="CE1178" s="22"/>
      <c r="CF1178" s="22"/>
      <c r="CG1178" s="22"/>
      <c r="CH1178" s="22"/>
      <c r="CI1178" s="22"/>
      <c r="CJ1178" s="22"/>
      <c r="CK1178" s="22"/>
      <c r="CL1178" s="22"/>
      <c r="CM1178" s="22"/>
      <c r="CN1178" s="22"/>
      <c r="CO1178" s="22"/>
      <c r="CP1178" s="22"/>
      <c r="CQ1178" s="22"/>
      <c r="CR1178" s="22"/>
      <c r="CS1178" s="22"/>
      <c r="CT1178" s="22"/>
      <c r="CU1178" s="22"/>
      <c r="CV1178" s="22"/>
      <c r="CW1178" s="22"/>
      <c r="CX1178" s="22"/>
      <c r="CY1178" s="22"/>
      <c r="CZ1178" s="22"/>
      <c r="DA1178" s="22"/>
      <c r="DB1178" s="22"/>
      <c r="DC1178" s="22"/>
      <c r="DD1178" s="22"/>
      <c r="DE1178" s="22"/>
      <c r="DF1178" s="22"/>
      <c r="DG1178" s="22"/>
      <c r="DH1178" s="22"/>
      <c r="DI1178" s="22"/>
      <c r="DJ1178" s="22"/>
      <c r="DK1178" s="22"/>
      <c r="DL1178" s="22"/>
      <c r="DM1178" s="22"/>
      <c r="DN1178" s="22"/>
      <c r="DO1178" s="22"/>
      <c r="DP1178" s="22"/>
      <c r="DQ1178" s="22"/>
      <c r="DR1178" s="22"/>
      <c r="DS1178" s="22"/>
      <c r="DT1178" s="22"/>
      <c r="DU1178" s="22"/>
      <c r="DV1178" s="22"/>
      <c r="DW1178" s="22"/>
      <c r="DX1178" s="22"/>
      <c r="DY1178" s="22"/>
      <c r="DZ1178" s="22"/>
      <c r="EA1178" s="22"/>
      <c r="EB1178" s="22"/>
      <c r="EC1178" s="22"/>
      <c r="ED1178" s="22"/>
      <c r="EE1178" s="22"/>
      <c r="EF1178" s="22"/>
      <c r="EG1178" s="22"/>
      <c r="EH1178" s="22"/>
      <c r="EI1178" s="22"/>
      <c r="EJ1178" s="22"/>
      <c r="EK1178" s="22"/>
      <c r="EL1178" s="22"/>
      <c r="EM1178" s="22"/>
      <c r="EN1178" s="22"/>
      <c r="EO1178" s="22"/>
      <c r="EP1178" s="22"/>
      <c r="EQ1178" s="22"/>
      <c r="ER1178" s="22"/>
      <c r="ES1178" s="22"/>
      <c r="ET1178" s="22"/>
      <c r="EU1178" s="22"/>
      <c r="EV1178" s="22"/>
      <c r="EW1178" s="22"/>
      <c r="EX1178" s="22"/>
      <c r="EY1178" s="22"/>
      <c r="EZ1178" s="22"/>
      <c r="FA1178" s="22"/>
      <c r="FB1178" s="22"/>
      <c r="FC1178" s="22"/>
      <c r="FD1178" s="22"/>
      <c r="FE1178" s="22"/>
      <c r="FF1178" s="22"/>
      <c r="FG1178" s="22"/>
      <c r="FH1178" s="22"/>
      <c r="FI1178" s="22"/>
      <c r="FJ1178" s="22"/>
      <c r="FK1178" s="22"/>
      <c r="FL1178" s="22"/>
      <c r="FM1178" s="22"/>
      <c r="FN1178" s="22"/>
      <c r="FO1178" s="22"/>
      <c r="FP1178" s="22"/>
      <c r="FQ1178" s="22"/>
      <c r="FR1178" s="22"/>
      <c r="FS1178" s="22"/>
      <c r="FT1178" s="22"/>
      <c r="FU1178" s="22"/>
      <c r="FV1178" s="22"/>
      <c r="FW1178" s="22"/>
      <c r="FX1178" s="22"/>
      <c r="FY1178" s="22"/>
      <c r="FZ1178" s="22"/>
      <c r="GA1178" s="22"/>
      <c r="GB1178" s="22"/>
      <c r="GC1178" s="22"/>
      <c r="GD1178" s="22"/>
      <c r="GE1178" s="22"/>
      <c r="GF1178" s="22"/>
      <c r="GG1178" s="22"/>
      <c r="GH1178" s="22"/>
      <c r="GI1178" s="22"/>
      <c r="GJ1178" s="22"/>
      <c r="GK1178" s="22"/>
      <c r="GL1178" s="22"/>
      <c r="GM1178" s="22"/>
      <c r="GN1178" s="22"/>
      <c r="GO1178" s="22"/>
      <c r="GP1178" s="22"/>
      <c r="GQ1178" s="22"/>
      <c r="GR1178" s="22"/>
      <c r="GS1178" s="22"/>
      <c r="GT1178" s="22"/>
      <c r="GU1178" s="22"/>
      <c r="GV1178" s="22"/>
      <c r="GW1178" s="22"/>
      <c r="GX1178" s="22"/>
      <c r="GY1178" s="22"/>
      <c r="GZ1178" s="22"/>
      <c r="HA1178" s="22"/>
      <c r="HB1178" s="22"/>
      <c r="HC1178" s="22"/>
      <c r="HD1178" s="22"/>
      <c r="HE1178" s="22"/>
      <c r="HF1178" s="22"/>
      <c r="HG1178" s="22"/>
      <c r="HH1178" s="22"/>
      <c r="HI1178" s="22"/>
      <c r="HJ1178" s="22"/>
      <c r="HK1178" s="22"/>
      <c r="HL1178" s="22"/>
      <c r="HM1178" s="22"/>
      <c r="HN1178" s="22"/>
      <c r="HO1178" s="22"/>
      <c r="HP1178" s="22"/>
      <c r="HQ1178" s="22"/>
      <c r="HR1178" s="22"/>
      <c r="HS1178" s="22"/>
      <c r="HT1178" s="22"/>
      <c r="HU1178" s="22"/>
      <c r="HV1178" s="22"/>
      <c r="HW1178" s="22"/>
      <c r="HX1178" s="22"/>
      <c r="HY1178" s="22"/>
      <c r="HZ1178" s="22"/>
      <c r="IA1178" s="22"/>
      <c r="IB1178" s="22"/>
      <c r="IC1178" s="22"/>
      <c r="ID1178" s="22"/>
      <c r="IE1178" s="22"/>
      <c r="IF1178" s="22"/>
      <c r="IG1178" s="22"/>
      <c r="IH1178" s="22"/>
      <c r="II1178" s="22"/>
      <c r="IJ1178" s="22"/>
      <c r="IK1178" s="22"/>
      <c r="IL1178" s="22"/>
      <c r="IM1178" s="22"/>
      <c r="IN1178" s="22"/>
      <c r="IO1178" s="22"/>
      <c r="IP1178" s="22"/>
      <c r="IQ1178" s="22"/>
      <c r="IR1178" s="22"/>
      <c r="IS1178" s="22"/>
      <c r="IT1178" s="22"/>
      <c r="IU1178" s="22"/>
      <c r="IV1178" s="22"/>
      <c r="IW1178" s="22"/>
      <c r="IX1178" s="22"/>
      <c r="IY1178" s="22"/>
      <c r="IZ1178" s="22"/>
      <c r="JA1178" s="22"/>
      <c r="JB1178" s="22"/>
      <c r="JC1178" s="22"/>
      <c r="JD1178" s="22"/>
      <c r="JE1178" s="22"/>
      <c r="JF1178" s="22"/>
      <c r="JG1178" s="22"/>
      <c r="JH1178" s="22"/>
      <c r="JI1178" s="22"/>
      <c r="JJ1178" s="22"/>
      <c r="JK1178" s="22"/>
      <c r="JL1178" s="22"/>
      <c r="JM1178" s="22"/>
      <c r="JN1178" s="22"/>
      <c r="JO1178" s="22"/>
      <c r="JP1178" s="22"/>
      <c r="JQ1178" s="22"/>
      <c r="JR1178" s="22"/>
      <c r="JS1178" s="22"/>
      <c r="JT1178" s="22"/>
      <c r="JU1178" s="22"/>
      <c r="JV1178" s="22"/>
      <c r="JW1178" s="22"/>
      <c r="JX1178" s="22"/>
      <c r="JY1178" s="22"/>
      <c r="JZ1178" s="22"/>
      <c r="KA1178" s="22"/>
      <c r="KB1178" s="22"/>
      <c r="KC1178" s="22"/>
      <c r="KD1178" s="22"/>
      <c r="KE1178" s="22"/>
      <c r="KF1178" s="22"/>
      <c r="KG1178" s="22"/>
      <c r="KH1178" s="22"/>
      <c r="KI1178" s="22"/>
      <c r="KJ1178" s="22"/>
      <c r="KK1178" s="22"/>
      <c r="KL1178" s="22"/>
      <c r="KM1178" s="22"/>
      <c r="KN1178" s="22"/>
      <c r="KO1178" s="22"/>
      <c r="KP1178" s="22"/>
      <c r="KQ1178" s="22"/>
      <c r="KR1178" s="22"/>
      <c r="KS1178" s="22"/>
      <c r="KT1178" s="22"/>
      <c r="KU1178" s="22"/>
      <c r="KV1178" s="22"/>
      <c r="KW1178" s="22"/>
      <c r="KX1178" s="22"/>
      <c r="KY1178" s="22"/>
      <c r="KZ1178" s="22"/>
      <c r="LA1178" s="22"/>
      <c r="LB1178" s="22"/>
      <c r="LC1178" s="22"/>
      <c r="LD1178" s="22"/>
      <c r="LE1178" s="22"/>
      <c r="LF1178" s="22"/>
      <c r="LG1178" s="22"/>
      <c r="LH1178" s="22"/>
      <c r="LI1178" s="22"/>
      <c r="LJ1178" s="22"/>
      <c r="LK1178" s="22"/>
      <c r="LL1178" s="22"/>
      <c r="LM1178" s="22"/>
      <c r="LN1178" s="22"/>
      <c r="LO1178" s="22"/>
      <c r="LP1178" s="22"/>
      <c r="LQ1178" s="22"/>
      <c r="LR1178" s="22"/>
      <c r="LS1178" s="22"/>
      <c r="LT1178" s="22"/>
      <c r="LU1178" s="22"/>
      <c r="LV1178" s="22"/>
      <c r="LW1178" s="22"/>
      <c r="LX1178" s="22"/>
      <c r="LY1178" s="22"/>
      <c r="LZ1178" s="22"/>
      <c r="MA1178" s="22"/>
      <c r="MB1178" s="22"/>
      <c r="MC1178" s="22"/>
      <c r="MD1178" s="22"/>
      <c r="ME1178" s="22"/>
      <c r="MF1178" s="22"/>
      <c r="MG1178" s="22"/>
      <c r="MH1178" s="22"/>
      <c r="MI1178" s="22"/>
      <c r="MJ1178" s="22"/>
      <c r="MK1178" s="22"/>
      <c r="ML1178" s="22"/>
      <c r="MM1178" s="22"/>
      <c r="MN1178" s="22"/>
      <c r="MO1178" s="22"/>
      <c r="MP1178" s="22"/>
      <c r="MQ1178" s="22"/>
      <c r="MR1178" s="22"/>
      <c r="MS1178" s="22"/>
      <c r="MT1178" s="22"/>
      <c r="MU1178" s="22"/>
      <c r="MV1178" s="22"/>
      <c r="MW1178" s="22"/>
      <c r="MX1178" s="22"/>
      <c r="MY1178" s="22"/>
      <c r="MZ1178" s="22"/>
      <c r="NA1178" s="22"/>
      <c r="NB1178" s="22"/>
      <c r="NC1178" s="22"/>
      <c r="ND1178" s="22"/>
      <c r="NE1178" s="22"/>
      <c r="NF1178" s="22"/>
      <c r="NG1178" s="22"/>
      <c r="NH1178" s="22"/>
      <c r="NI1178" s="22"/>
      <c r="NJ1178" s="22"/>
      <c r="NK1178" s="22"/>
      <c r="NL1178" s="22"/>
      <c r="NM1178" s="22"/>
      <c r="NN1178" s="22"/>
      <c r="NO1178" s="22"/>
      <c r="NP1178" s="22"/>
      <c r="NQ1178" s="22"/>
      <c r="NR1178" s="22"/>
      <c r="NS1178" s="22"/>
      <c r="NT1178" s="22"/>
      <c r="NU1178" s="22"/>
      <c r="NV1178" s="22"/>
      <c r="NW1178" s="22"/>
      <c r="NX1178" s="22"/>
      <c r="NY1178" s="22"/>
      <c r="NZ1178" s="22"/>
      <c r="OA1178" s="22"/>
      <c r="OB1178" s="22"/>
      <c r="OC1178" s="22"/>
      <c r="OD1178" s="22"/>
      <c r="OE1178" s="22"/>
      <c r="OF1178" s="22"/>
      <c r="OG1178" s="22"/>
      <c r="OH1178" s="22"/>
      <c r="OI1178" s="22"/>
      <c r="OJ1178" s="22"/>
      <c r="OK1178" s="22"/>
      <c r="OL1178" s="22"/>
      <c r="OM1178" s="22"/>
      <c r="ON1178" s="22"/>
      <c r="OO1178" s="22"/>
      <c r="OP1178" s="22"/>
      <c r="OQ1178" s="22"/>
      <c r="OR1178" s="22"/>
      <c r="OS1178" s="22"/>
      <c r="OT1178" s="22"/>
      <c r="OU1178" s="22"/>
      <c r="OV1178" s="22"/>
      <c r="OW1178" s="22"/>
      <c r="OX1178" s="22"/>
      <c r="OY1178" s="22"/>
      <c r="OZ1178" s="22"/>
      <c r="PA1178" s="22"/>
      <c r="PB1178" s="22"/>
      <c r="PC1178" s="22"/>
      <c r="PD1178" s="22"/>
      <c r="PE1178" s="22"/>
      <c r="PF1178" s="22"/>
      <c r="PG1178" s="22"/>
      <c r="PH1178" s="22"/>
      <c r="PI1178" s="22"/>
      <c r="PJ1178" s="22"/>
      <c r="PK1178" s="22"/>
      <c r="PL1178" s="22"/>
      <c r="PM1178" s="22"/>
      <c r="PN1178" s="22"/>
      <c r="PO1178" s="22"/>
      <c r="PP1178" s="22"/>
      <c r="PQ1178" s="22"/>
      <c r="PR1178" s="22"/>
      <c r="PS1178" s="22"/>
      <c r="PT1178" s="22"/>
      <c r="PU1178" s="22"/>
      <c r="PV1178" s="22"/>
      <c r="PW1178" s="22"/>
      <c r="PX1178" s="22"/>
      <c r="PY1178" s="22"/>
      <c r="PZ1178" s="22"/>
      <c r="QA1178" s="22"/>
      <c r="QB1178" s="22"/>
      <c r="QC1178" s="22"/>
      <c r="QD1178" s="22"/>
      <c r="QE1178" s="22"/>
      <c r="QF1178" s="22"/>
      <c r="QG1178" s="22"/>
      <c r="QH1178" s="22"/>
      <c r="QI1178" s="22"/>
      <c r="QJ1178" s="22"/>
      <c r="QK1178" s="22"/>
      <c r="QL1178" s="22"/>
      <c r="QM1178" s="22"/>
      <c r="QN1178" s="22"/>
      <c r="QO1178" s="22"/>
      <c r="QP1178" s="22"/>
      <c r="QQ1178" s="22"/>
      <c r="QR1178" s="22"/>
      <c r="QS1178" s="22"/>
      <c r="QT1178" s="22"/>
      <c r="QU1178" s="22"/>
      <c r="QV1178" s="22"/>
      <c r="QW1178" s="22"/>
      <c r="QX1178" s="22"/>
      <c r="QY1178" s="22"/>
      <c r="QZ1178" s="22"/>
      <c r="RA1178" s="22"/>
      <c r="RB1178" s="22"/>
      <c r="RC1178" s="22"/>
      <c r="RD1178" s="22"/>
      <c r="RE1178" s="22"/>
      <c r="RF1178" s="22"/>
      <c r="RG1178" s="22"/>
      <c r="RH1178" s="22"/>
      <c r="RI1178" s="22"/>
      <c r="RJ1178" s="22"/>
      <c r="RK1178" s="22"/>
      <c r="RL1178" s="22"/>
      <c r="RM1178" s="22"/>
      <c r="RN1178" s="22"/>
      <c r="RO1178" s="22"/>
      <c r="RP1178" s="22"/>
      <c r="RQ1178" s="22"/>
      <c r="RR1178" s="22"/>
      <c r="RS1178" s="22"/>
      <c r="RT1178" s="22"/>
      <c r="RU1178" s="22"/>
      <c r="RV1178" s="22"/>
      <c r="RW1178" s="22"/>
      <c r="RX1178" s="22"/>
      <c r="RY1178" s="22"/>
      <c r="RZ1178" s="22"/>
      <c r="SA1178" s="22"/>
      <c r="SB1178" s="22"/>
      <c r="SC1178" s="22"/>
      <c r="SD1178" s="22"/>
      <c r="SE1178" s="22"/>
      <c r="SF1178" s="22"/>
      <c r="SG1178" s="22"/>
      <c r="SH1178" s="22"/>
      <c r="SI1178" s="22"/>
      <c r="SJ1178" s="22"/>
      <c r="SK1178" s="22"/>
      <c r="SL1178" s="22"/>
      <c r="SM1178" s="22"/>
      <c r="SN1178" s="22"/>
      <c r="SO1178" s="22"/>
      <c r="SP1178" s="22"/>
      <c r="SQ1178" s="22"/>
      <c r="SR1178" s="22"/>
      <c r="SS1178" s="22"/>
      <c r="ST1178" s="22"/>
      <c r="SU1178" s="22"/>
      <c r="SV1178" s="22"/>
      <c r="SW1178" s="22"/>
      <c r="SX1178" s="22"/>
      <c r="SY1178" s="22"/>
      <c r="SZ1178" s="22"/>
      <c r="TA1178" s="22"/>
      <c r="TB1178" s="22"/>
      <c r="TC1178" s="22"/>
      <c r="TD1178" s="22"/>
      <c r="TE1178" s="22"/>
      <c r="TF1178" s="22"/>
      <c r="TG1178" s="22"/>
      <c r="TH1178" s="22"/>
      <c r="TI1178" s="22"/>
      <c r="TJ1178" s="22"/>
      <c r="TK1178" s="22"/>
      <c r="TL1178" s="22"/>
      <c r="TM1178" s="22"/>
      <c r="TN1178" s="22"/>
      <c r="TO1178" s="22"/>
      <c r="TP1178" s="22"/>
      <c r="TQ1178" s="22"/>
      <c r="TR1178" s="22"/>
      <c r="TS1178" s="22"/>
      <c r="TT1178" s="22"/>
      <c r="TU1178" s="22"/>
      <c r="TV1178" s="22"/>
      <c r="TW1178" s="22"/>
      <c r="TX1178" s="22"/>
      <c r="TY1178" s="22"/>
      <c r="TZ1178" s="22"/>
      <c r="UA1178" s="22"/>
      <c r="UB1178" s="22"/>
      <c r="UC1178" s="22"/>
      <c r="UD1178" s="22"/>
      <c r="UE1178" s="22"/>
      <c r="UF1178" s="22"/>
      <c r="UG1178" s="23"/>
    </row>
    <row r="1179" spans="1:553" ht="34.5" customHeight="1">
      <c r="A1179" s="356"/>
      <c r="B1179" s="385"/>
      <c r="C1179" s="384" t="str">
        <f>'Phương án chi tiết'!C1078</f>
        <v>Đất chuyên trồng lúa nước (LUC)</v>
      </c>
      <c r="D1179" s="376">
        <f>'Phương án chi tiết'!D1078</f>
        <v>2</v>
      </c>
      <c r="E1179" s="376">
        <f>'Phương án chi tiết'!E1078</f>
        <v>180</v>
      </c>
      <c r="F1179" s="385"/>
      <c r="G1179" s="386" t="s">
        <v>935</v>
      </c>
      <c r="H1179" s="370"/>
      <c r="I1179" s="422">
        <f>'Phương án chi tiết'!I1078</f>
        <v>69.099999999999994</v>
      </c>
      <c r="J1179" s="368">
        <v>72000</v>
      </c>
      <c r="K1179" s="848">
        <v>3</v>
      </c>
      <c r="L1179" s="480">
        <f t="shared" si="174"/>
        <v>14925600</v>
      </c>
      <c r="M1179" s="366"/>
      <c r="N1179" s="366"/>
      <c r="O1179" s="366"/>
      <c r="P1179" s="366"/>
      <c r="Q1179" s="812"/>
      <c r="R1179" s="1452"/>
      <c r="S1179" s="308"/>
      <c r="T1179" s="308"/>
      <c r="U1179" s="308"/>
      <c r="V1179" s="308"/>
      <c r="W1179" s="308"/>
      <c r="X1179" s="308"/>
      <c r="Y1179" s="308"/>
      <c r="Z1179" s="604"/>
      <c r="AA1179" s="308"/>
      <c r="AB1179" s="308"/>
      <c r="AC1179" s="373"/>
      <c r="AD1179" s="373"/>
      <c r="AE1179" s="373"/>
      <c r="AF1179" s="373"/>
      <c r="AG1179" s="373"/>
      <c r="AH1179" s="373"/>
      <c r="AI1179" s="373"/>
      <c r="AJ1179" s="373"/>
      <c r="AK1179" s="389"/>
      <c r="AL1179" s="45"/>
      <c r="AM1179" s="46"/>
      <c r="AN1179" s="46"/>
      <c r="AO1179" s="46"/>
      <c r="AP1179" s="46"/>
      <c r="AQ1179" s="46"/>
      <c r="AR1179" s="46"/>
      <c r="AS1179" s="47"/>
      <c r="AT1179" s="47"/>
      <c r="AU1179" s="47"/>
      <c r="AV1179" s="47"/>
      <c r="AW1179" s="47"/>
      <c r="AX1179" s="47"/>
      <c r="AY1179" s="47"/>
      <c r="AZ1179" s="47"/>
      <c r="BA1179" s="47"/>
      <c r="BB1179" s="47"/>
      <c r="BC1179" s="47"/>
      <c r="BD1179" s="47"/>
      <c r="BE1179" s="47"/>
      <c r="BF1179" s="47"/>
      <c r="BG1179" s="47"/>
      <c r="BH1179" s="47"/>
      <c r="BI1179" s="47"/>
      <c r="BJ1179" s="47"/>
      <c r="BK1179" s="47"/>
      <c r="BL1179" s="47"/>
      <c r="BM1179" s="47"/>
      <c r="BN1179" s="47"/>
      <c r="BO1179" s="47"/>
      <c r="BP1179" s="47"/>
      <c r="BQ1179" s="47"/>
      <c r="BR1179" s="47"/>
      <c r="BS1179" s="47"/>
      <c r="BT1179" s="47"/>
      <c r="BU1179" s="47"/>
      <c r="BV1179" s="47"/>
      <c r="BW1179" s="47"/>
      <c r="BX1179" s="47"/>
      <c r="BY1179" s="47"/>
      <c r="BZ1179" s="47"/>
      <c r="CA1179" s="47"/>
      <c r="CB1179" s="47"/>
      <c r="CC1179" s="47"/>
      <c r="CD1179" s="47"/>
      <c r="CE1179" s="47"/>
      <c r="CF1179" s="47"/>
      <c r="CG1179" s="47"/>
      <c r="CH1179" s="47"/>
      <c r="CI1179" s="47"/>
      <c r="CJ1179" s="47"/>
      <c r="CK1179" s="47"/>
      <c r="CL1179" s="47"/>
      <c r="CM1179" s="47"/>
      <c r="CN1179" s="47"/>
      <c r="CO1179" s="47"/>
      <c r="CP1179" s="47"/>
      <c r="CQ1179" s="47"/>
      <c r="CR1179" s="47"/>
      <c r="CS1179" s="47"/>
      <c r="CT1179" s="47"/>
      <c r="CU1179" s="47"/>
      <c r="CV1179" s="47"/>
      <c r="CW1179" s="47"/>
      <c r="CX1179" s="47"/>
      <c r="CY1179" s="47"/>
      <c r="CZ1179" s="47"/>
      <c r="DA1179" s="47"/>
      <c r="DB1179" s="47"/>
      <c r="DC1179" s="47"/>
      <c r="DD1179" s="47"/>
      <c r="DE1179" s="47"/>
      <c r="DF1179" s="47"/>
      <c r="DG1179" s="47"/>
      <c r="DH1179" s="47"/>
      <c r="DI1179" s="47"/>
      <c r="DJ1179" s="47"/>
      <c r="DK1179" s="47"/>
      <c r="DL1179" s="47"/>
      <c r="DM1179" s="47"/>
      <c r="DN1179" s="47"/>
      <c r="DO1179" s="47"/>
      <c r="DP1179" s="47"/>
      <c r="DQ1179" s="47"/>
      <c r="DR1179" s="47"/>
      <c r="DS1179" s="47"/>
      <c r="DT1179" s="47"/>
      <c r="DU1179" s="47"/>
      <c r="DV1179" s="47"/>
      <c r="DW1179" s="47"/>
      <c r="DX1179" s="47"/>
      <c r="DY1179" s="47"/>
      <c r="DZ1179" s="47"/>
      <c r="EA1179" s="47"/>
      <c r="EB1179" s="47"/>
      <c r="EC1179" s="47"/>
      <c r="ED1179" s="47"/>
      <c r="EE1179" s="47"/>
      <c r="EF1179" s="47"/>
      <c r="EG1179" s="47"/>
      <c r="EH1179" s="47"/>
      <c r="EI1179" s="47"/>
      <c r="EJ1179" s="47"/>
      <c r="EK1179" s="47"/>
      <c r="EL1179" s="47"/>
      <c r="EM1179" s="47"/>
      <c r="EN1179" s="47"/>
      <c r="EO1179" s="47"/>
      <c r="EP1179" s="47"/>
      <c r="EQ1179" s="47"/>
      <c r="ER1179" s="47"/>
      <c r="ES1179" s="47"/>
      <c r="ET1179" s="47"/>
      <c r="EU1179" s="47"/>
      <c r="EV1179" s="47"/>
      <c r="EW1179" s="47"/>
      <c r="EX1179" s="47"/>
      <c r="EY1179" s="47"/>
      <c r="EZ1179" s="47"/>
      <c r="FA1179" s="47"/>
      <c r="FB1179" s="47"/>
      <c r="FC1179" s="47"/>
      <c r="FD1179" s="47"/>
      <c r="FE1179" s="47"/>
      <c r="FF1179" s="47"/>
      <c r="FG1179" s="47"/>
      <c r="FH1179" s="47"/>
      <c r="FI1179" s="47"/>
      <c r="FJ1179" s="47"/>
      <c r="FK1179" s="47"/>
      <c r="FL1179" s="47"/>
      <c r="FM1179" s="47"/>
      <c r="FN1179" s="47"/>
      <c r="FO1179" s="47"/>
      <c r="FP1179" s="47"/>
      <c r="FQ1179" s="47"/>
      <c r="FR1179" s="47"/>
      <c r="FS1179" s="47"/>
      <c r="FT1179" s="47"/>
      <c r="FU1179" s="47"/>
      <c r="FV1179" s="47"/>
      <c r="FW1179" s="47"/>
      <c r="FX1179" s="47"/>
      <c r="FY1179" s="47"/>
      <c r="FZ1179" s="47"/>
      <c r="GA1179" s="47"/>
      <c r="GB1179" s="47"/>
      <c r="GC1179" s="47"/>
      <c r="GD1179" s="47"/>
      <c r="GE1179" s="47"/>
      <c r="GF1179" s="47"/>
      <c r="GG1179" s="47"/>
      <c r="GH1179" s="47"/>
      <c r="GI1179" s="47"/>
      <c r="GJ1179" s="47"/>
      <c r="GK1179" s="47"/>
      <c r="GL1179" s="47"/>
      <c r="GM1179" s="47"/>
      <c r="GN1179" s="47"/>
      <c r="GO1179" s="47"/>
      <c r="GP1179" s="47"/>
      <c r="GQ1179" s="47"/>
      <c r="GR1179" s="47"/>
      <c r="GS1179" s="47"/>
      <c r="GT1179" s="47"/>
      <c r="GU1179" s="47"/>
      <c r="GV1179" s="47"/>
      <c r="GW1179" s="47"/>
      <c r="GX1179" s="47"/>
      <c r="GY1179" s="47"/>
      <c r="GZ1179" s="47"/>
      <c r="HA1179" s="47"/>
      <c r="HB1179" s="47"/>
      <c r="HC1179" s="47"/>
      <c r="HD1179" s="47"/>
      <c r="HE1179" s="47"/>
      <c r="HF1179" s="47"/>
      <c r="HG1179" s="47"/>
      <c r="HH1179" s="47"/>
      <c r="HI1179" s="47"/>
      <c r="HJ1179" s="47"/>
      <c r="HK1179" s="47"/>
      <c r="HL1179" s="47"/>
      <c r="HM1179" s="47"/>
      <c r="HN1179" s="47"/>
      <c r="HO1179" s="47"/>
      <c r="HP1179" s="47"/>
      <c r="HQ1179" s="47"/>
      <c r="HR1179" s="47"/>
      <c r="HS1179" s="47"/>
      <c r="HT1179" s="47"/>
      <c r="HU1179" s="47"/>
      <c r="HV1179" s="47"/>
      <c r="HW1179" s="47"/>
      <c r="HX1179" s="47"/>
      <c r="HY1179" s="47"/>
      <c r="HZ1179" s="47"/>
      <c r="IA1179" s="47"/>
      <c r="IB1179" s="47"/>
      <c r="IC1179" s="47"/>
      <c r="ID1179" s="47"/>
      <c r="IE1179" s="47"/>
      <c r="IF1179" s="47"/>
      <c r="IG1179" s="47"/>
      <c r="IH1179" s="47"/>
      <c r="II1179" s="47"/>
      <c r="IJ1179" s="47"/>
      <c r="IK1179" s="47"/>
      <c r="IL1179" s="47"/>
      <c r="IM1179" s="47"/>
      <c r="IN1179" s="47"/>
      <c r="IO1179" s="47"/>
      <c r="IP1179" s="47"/>
      <c r="IQ1179" s="47"/>
      <c r="IR1179" s="47"/>
      <c r="IS1179" s="47"/>
      <c r="IT1179" s="47"/>
      <c r="IU1179" s="47"/>
      <c r="IV1179" s="47"/>
      <c r="IW1179" s="47"/>
      <c r="IX1179" s="47"/>
      <c r="IY1179" s="47"/>
      <c r="IZ1179" s="47"/>
      <c r="JA1179" s="47"/>
      <c r="JB1179" s="47"/>
      <c r="JC1179" s="47"/>
      <c r="JD1179" s="47"/>
      <c r="JE1179" s="47"/>
      <c r="JF1179" s="47"/>
      <c r="JG1179" s="47"/>
      <c r="JH1179" s="47"/>
      <c r="JI1179" s="47"/>
      <c r="JJ1179" s="47"/>
      <c r="JK1179" s="47"/>
      <c r="JL1179" s="47"/>
      <c r="JM1179" s="47"/>
      <c r="JN1179" s="47"/>
      <c r="JO1179" s="47"/>
      <c r="JP1179" s="47"/>
      <c r="JQ1179" s="47"/>
      <c r="JR1179" s="47"/>
      <c r="JS1179" s="47"/>
      <c r="JT1179" s="47"/>
      <c r="JU1179" s="47"/>
      <c r="JV1179" s="47"/>
      <c r="JW1179" s="47"/>
      <c r="JX1179" s="47"/>
      <c r="JY1179" s="47"/>
      <c r="JZ1179" s="47"/>
      <c r="KA1179" s="47"/>
      <c r="KB1179" s="47"/>
      <c r="KC1179" s="47"/>
      <c r="KD1179" s="47"/>
      <c r="KE1179" s="47"/>
      <c r="KF1179" s="47"/>
      <c r="KG1179" s="47"/>
      <c r="KH1179" s="47"/>
      <c r="KI1179" s="47"/>
      <c r="KJ1179" s="47"/>
      <c r="KK1179" s="47"/>
      <c r="KL1179" s="47"/>
      <c r="KM1179" s="47"/>
      <c r="KN1179" s="47"/>
      <c r="KO1179" s="47"/>
      <c r="KP1179" s="47"/>
      <c r="KQ1179" s="47"/>
      <c r="KR1179" s="47"/>
      <c r="KS1179" s="47"/>
      <c r="KT1179" s="47"/>
      <c r="KU1179" s="47"/>
      <c r="KV1179" s="47"/>
      <c r="KW1179" s="47"/>
      <c r="KX1179" s="47"/>
      <c r="KY1179" s="47"/>
      <c r="KZ1179" s="47"/>
      <c r="LA1179" s="47"/>
      <c r="LB1179" s="47"/>
      <c r="LC1179" s="47"/>
      <c r="LD1179" s="47"/>
      <c r="LE1179" s="47"/>
      <c r="LF1179" s="47"/>
      <c r="LG1179" s="47"/>
      <c r="LH1179" s="47"/>
      <c r="LI1179" s="47"/>
      <c r="LJ1179" s="47"/>
      <c r="LK1179" s="47"/>
      <c r="LL1179" s="47"/>
      <c r="LM1179" s="47"/>
      <c r="LN1179" s="47"/>
      <c r="LO1179" s="47"/>
      <c r="LP1179" s="47"/>
      <c r="LQ1179" s="47"/>
      <c r="LR1179" s="47"/>
      <c r="LS1179" s="47"/>
      <c r="LT1179" s="47"/>
      <c r="LU1179" s="47"/>
      <c r="LV1179" s="47"/>
      <c r="LW1179" s="47"/>
      <c r="LX1179" s="47"/>
      <c r="LY1179" s="47"/>
      <c r="LZ1179" s="47"/>
      <c r="MA1179" s="47"/>
      <c r="MB1179" s="47"/>
      <c r="MC1179" s="47"/>
      <c r="MD1179" s="47"/>
      <c r="ME1179" s="47"/>
      <c r="MF1179" s="47"/>
      <c r="MG1179" s="47"/>
      <c r="MH1179" s="47"/>
      <c r="MI1179" s="47"/>
      <c r="MJ1179" s="47"/>
      <c r="MK1179" s="47"/>
      <c r="ML1179" s="47"/>
      <c r="MM1179" s="47"/>
      <c r="MN1179" s="47"/>
      <c r="MO1179" s="47"/>
      <c r="MP1179" s="47"/>
      <c r="MQ1179" s="47"/>
      <c r="MR1179" s="47"/>
      <c r="MS1179" s="47"/>
      <c r="MT1179" s="47"/>
      <c r="MU1179" s="47"/>
      <c r="MV1179" s="47"/>
      <c r="MW1179" s="47"/>
      <c r="MX1179" s="47"/>
      <c r="MY1179" s="47"/>
      <c r="MZ1179" s="47"/>
      <c r="NA1179" s="47"/>
      <c r="NB1179" s="47"/>
      <c r="NC1179" s="47"/>
      <c r="ND1179" s="47"/>
      <c r="NE1179" s="47"/>
      <c r="NF1179" s="47"/>
      <c r="NG1179" s="47"/>
      <c r="NH1179" s="47"/>
      <c r="NI1179" s="47"/>
      <c r="NJ1179" s="47"/>
      <c r="NK1179" s="47"/>
      <c r="NL1179" s="47"/>
      <c r="NM1179" s="47"/>
      <c r="NN1179" s="47"/>
      <c r="NO1179" s="47"/>
      <c r="NP1179" s="47"/>
      <c r="NQ1179" s="47"/>
      <c r="NR1179" s="47"/>
      <c r="NS1179" s="47"/>
      <c r="NT1179" s="47"/>
      <c r="NU1179" s="47"/>
      <c r="NV1179" s="47"/>
      <c r="NW1179" s="47"/>
      <c r="NX1179" s="47"/>
      <c r="NY1179" s="47"/>
      <c r="NZ1179" s="47"/>
      <c r="OA1179" s="47"/>
      <c r="OB1179" s="47"/>
      <c r="OC1179" s="47"/>
      <c r="OD1179" s="47"/>
      <c r="OE1179" s="47"/>
      <c r="OF1179" s="47"/>
      <c r="OG1179" s="47"/>
      <c r="OH1179" s="47"/>
      <c r="OI1179" s="47"/>
      <c r="OJ1179" s="47"/>
      <c r="OK1179" s="47"/>
      <c r="OL1179" s="47"/>
      <c r="OM1179" s="47"/>
      <c r="ON1179" s="47"/>
      <c r="OO1179" s="47"/>
      <c r="OP1179" s="47"/>
      <c r="OQ1179" s="47"/>
      <c r="OR1179" s="47"/>
      <c r="OS1179" s="47"/>
      <c r="OT1179" s="47"/>
      <c r="OU1179" s="47"/>
      <c r="OV1179" s="47"/>
      <c r="OW1179" s="47"/>
      <c r="OX1179" s="47"/>
      <c r="OY1179" s="47"/>
      <c r="OZ1179" s="47"/>
      <c r="PA1179" s="47"/>
      <c r="PB1179" s="47"/>
      <c r="PC1179" s="47"/>
      <c r="PD1179" s="47"/>
      <c r="PE1179" s="47"/>
      <c r="PF1179" s="47"/>
      <c r="PG1179" s="47"/>
      <c r="PH1179" s="47"/>
      <c r="PI1179" s="47"/>
      <c r="PJ1179" s="47"/>
      <c r="PK1179" s="47"/>
      <c r="PL1179" s="47"/>
      <c r="PM1179" s="47"/>
      <c r="PN1179" s="47"/>
      <c r="PO1179" s="47"/>
      <c r="PP1179" s="47"/>
      <c r="PQ1179" s="47"/>
      <c r="PR1179" s="47"/>
      <c r="PS1179" s="47"/>
      <c r="PT1179" s="47"/>
      <c r="PU1179" s="47"/>
      <c r="PV1179" s="47"/>
      <c r="PW1179" s="47"/>
      <c r="PX1179" s="47"/>
      <c r="PY1179" s="47"/>
      <c r="PZ1179" s="47"/>
      <c r="QA1179" s="47"/>
      <c r="QB1179" s="47"/>
      <c r="QC1179" s="47"/>
      <c r="QD1179" s="47"/>
      <c r="QE1179" s="47"/>
      <c r="QF1179" s="47"/>
      <c r="QG1179" s="47"/>
      <c r="QH1179" s="47"/>
      <c r="QI1179" s="47"/>
      <c r="QJ1179" s="47"/>
      <c r="QK1179" s="47"/>
      <c r="QL1179" s="47"/>
      <c r="QM1179" s="47"/>
      <c r="QN1179" s="47"/>
      <c r="QO1179" s="47"/>
      <c r="QP1179" s="47"/>
      <c r="QQ1179" s="47"/>
      <c r="QR1179" s="47"/>
      <c r="QS1179" s="47"/>
      <c r="QT1179" s="47"/>
      <c r="QU1179" s="47"/>
      <c r="QV1179" s="47"/>
      <c r="QW1179" s="47"/>
      <c r="QX1179" s="47"/>
      <c r="QY1179" s="47"/>
      <c r="QZ1179" s="47"/>
      <c r="RA1179" s="47"/>
      <c r="RB1179" s="47"/>
      <c r="RC1179" s="47"/>
      <c r="RD1179" s="47"/>
      <c r="RE1179" s="47"/>
      <c r="RF1179" s="47"/>
      <c r="RG1179" s="47"/>
      <c r="RH1179" s="47"/>
      <c r="RI1179" s="47"/>
      <c r="RJ1179" s="47"/>
      <c r="RK1179" s="47"/>
      <c r="RL1179" s="47"/>
      <c r="RM1179" s="47"/>
      <c r="RN1179" s="47"/>
      <c r="RO1179" s="47"/>
      <c r="RP1179" s="47"/>
      <c r="RQ1179" s="47"/>
      <c r="RR1179" s="47"/>
      <c r="RS1179" s="47"/>
      <c r="RT1179" s="47"/>
      <c r="RU1179" s="47"/>
      <c r="RV1179" s="47"/>
      <c r="RW1179" s="47"/>
      <c r="RX1179" s="47"/>
      <c r="RY1179" s="47"/>
      <c r="RZ1179" s="47"/>
      <c r="SA1179" s="47"/>
      <c r="SB1179" s="47"/>
      <c r="SC1179" s="47"/>
      <c r="SD1179" s="47"/>
      <c r="SE1179" s="47"/>
      <c r="SF1179" s="47"/>
      <c r="SG1179" s="47"/>
      <c r="SH1179" s="47"/>
      <c r="SI1179" s="47"/>
      <c r="SJ1179" s="47"/>
      <c r="SK1179" s="47"/>
      <c r="SL1179" s="47"/>
      <c r="SM1179" s="47"/>
      <c r="SN1179" s="47"/>
      <c r="SO1179" s="47"/>
      <c r="SP1179" s="47"/>
      <c r="SQ1179" s="47"/>
      <c r="SR1179" s="47"/>
      <c r="SS1179" s="47"/>
      <c r="ST1179" s="47"/>
      <c r="SU1179" s="47"/>
      <c r="SV1179" s="47"/>
      <c r="SW1179" s="47"/>
      <c r="SX1179" s="47"/>
      <c r="SY1179" s="47"/>
      <c r="SZ1179" s="47"/>
      <c r="TA1179" s="47"/>
      <c r="TB1179" s="47"/>
      <c r="TC1179" s="47"/>
      <c r="TD1179" s="47"/>
      <c r="TE1179" s="47"/>
      <c r="TF1179" s="47"/>
      <c r="TG1179" s="47"/>
      <c r="TH1179" s="47"/>
      <c r="TI1179" s="47"/>
      <c r="TJ1179" s="47"/>
      <c r="TK1179" s="47"/>
      <c r="TL1179" s="47"/>
      <c r="TM1179" s="47"/>
      <c r="TN1179" s="47"/>
      <c r="TO1179" s="47"/>
      <c r="TP1179" s="47"/>
      <c r="TQ1179" s="47"/>
      <c r="TR1179" s="47"/>
      <c r="TS1179" s="47"/>
      <c r="TT1179" s="47"/>
      <c r="TU1179" s="47"/>
      <c r="TV1179" s="47"/>
      <c r="TW1179" s="47"/>
      <c r="TX1179" s="47"/>
      <c r="TY1179" s="47"/>
      <c r="TZ1179" s="47"/>
      <c r="UA1179" s="47"/>
      <c r="UB1179" s="47"/>
      <c r="UC1179" s="47"/>
      <c r="UD1179" s="47"/>
      <c r="UE1179" s="47"/>
      <c r="UF1179" s="47"/>
      <c r="UG1179" s="23"/>
    </row>
    <row r="1180" spans="1:553" ht="34.5" customHeight="1">
      <c r="A1180" s="356"/>
      <c r="B1180" s="385"/>
      <c r="C1180" s="384" t="str">
        <f>'Phương án chi tiết'!C1079</f>
        <v>Đất chuyên trồng lúa nước (LUC)</v>
      </c>
      <c r="D1180" s="376">
        <f>'Phương án chi tiết'!D1079</f>
        <v>2</v>
      </c>
      <c r="E1180" s="376">
        <f>'Phương án chi tiết'!E1079</f>
        <v>228</v>
      </c>
      <c r="F1180" s="385"/>
      <c r="G1180" s="386" t="s">
        <v>935</v>
      </c>
      <c r="H1180" s="370"/>
      <c r="I1180" s="422">
        <f>'Phương án chi tiết'!I1079</f>
        <v>364.1</v>
      </c>
      <c r="J1180" s="368">
        <v>72000</v>
      </c>
      <c r="K1180" s="848">
        <v>3</v>
      </c>
      <c r="L1180" s="480">
        <f t="shared" si="174"/>
        <v>78645600</v>
      </c>
      <c r="M1180" s="366"/>
      <c r="N1180" s="366"/>
      <c r="O1180" s="366"/>
      <c r="P1180" s="366"/>
      <c r="Q1180" s="812"/>
      <c r="R1180" s="1452"/>
      <c r="S1180" s="308"/>
      <c r="T1180" s="308"/>
      <c r="U1180" s="308"/>
      <c r="V1180" s="308"/>
      <c r="W1180" s="308"/>
      <c r="X1180" s="308"/>
      <c r="Y1180" s="308"/>
      <c r="Z1180" s="604"/>
      <c r="AA1180" s="308"/>
      <c r="AB1180" s="308"/>
      <c r="AC1180" s="373"/>
      <c r="AD1180" s="373"/>
      <c r="AE1180" s="373"/>
      <c r="AF1180" s="373"/>
      <c r="AG1180" s="373"/>
      <c r="AH1180" s="373"/>
      <c r="AI1180" s="373"/>
      <c r="AJ1180" s="373"/>
      <c r="AK1180" s="389"/>
      <c r="AL1180" s="45"/>
      <c r="AM1180" s="46"/>
      <c r="AN1180" s="46"/>
      <c r="AO1180" s="46"/>
      <c r="AP1180" s="46"/>
      <c r="AQ1180" s="46"/>
      <c r="AR1180" s="46"/>
      <c r="AS1180" s="47"/>
      <c r="AT1180" s="47"/>
      <c r="AU1180" s="47"/>
      <c r="AV1180" s="47"/>
      <c r="AW1180" s="47"/>
      <c r="AX1180" s="47"/>
      <c r="AY1180" s="47"/>
      <c r="AZ1180" s="47"/>
      <c r="BA1180" s="47"/>
      <c r="BB1180" s="47"/>
      <c r="BC1180" s="47"/>
      <c r="BD1180" s="47"/>
      <c r="BE1180" s="47"/>
      <c r="BF1180" s="47"/>
      <c r="BG1180" s="47"/>
      <c r="BH1180" s="47"/>
      <c r="BI1180" s="47"/>
      <c r="BJ1180" s="47"/>
      <c r="BK1180" s="47"/>
      <c r="BL1180" s="47"/>
      <c r="BM1180" s="47"/>
      <c r="BN1180" s="47"/>
      <c r="BO1180" s="47"/>
      <c r="BP1180" s="47"/>
      <c r="BQ1180" s="47"/>
      <c r="BR1180" s="47"/>
      <c r="BS1180" s="47"/>
      <c r="BT1180" s="47"/>
      <c r="BU1180" s="47"/>
      <c r="BV1180" s="47"/>
      <c r="BW1180" s="47"/>
      <c r="BX1180" s="47"/>
      <c r="BY1180" s="47"/>
      <c r="BZ1180" s="47"/>
      <c r="CA1180" s="47"/>
      <c r="CB1180" s="47"/>
      <c r="CC1180" s="47"/>
      <c r="CD1180" s="47"/>
      <c r="CE1180" s="47"/>
      <c r="CF1180" s="47"/>
      <c r="CG1180" s="47"/>
      <c r="CH1180" s="47"/>
      <c r="CI1180" s="47"/>
      <c r="CJ1180" s="47"/>
      <c r="CK1180" s="47"/>
      <c r="CL1180" s="47"/>
      <c r="CM1180" s="47"/>
      <c r="CN1180" s="47"/>
      <c r="CO1180" s="47"/>
      <c r="CP1180" s="47"/>
      <c r="CQ1180" s="47"/>
      <c r="CR1180" s="47"/>
      <c r="CS1180" s="47"/>
      <c r="CT1180" s="47"/>
      <c r="CU1180" s="47"/>
      <c r="CV1180" s="47"/>
      <c r="CW1180" s="47"/>
      <c r="CX1180" s="47"/>
      <c r="CY1180" s="47"/>
      <c r="CZ1180" s="47"/>
      <c r="DA1180" s="47"/>
      <c r="DB1180" s="47"/>
      <c r="DC1180" s="47"/>
      <c r="DD1180" s="47"/>
      <c r="DE1180" s="47"/>
      <c r="DF1180" s="47"/>
      <c r="DG1180" s="47"/>
      <c r="DH1180" s="47"/>
      <c r="DI1180" s="47"/>
      <c r="DJ1180" s="47"/>
      <c r="DK1180" s="47"/>
      <c r="DL1180" s="47"/>
      <c r="DM1180" s="47"/>
      <c r="DN1180" s="47"/>
      <c r="DO1180" s="47"/>
      <c r="DP1180" s="47"/>
      <c r="DQ1180" s="47"/>
      <c r="DR1180" s="47"/>
      <c r="DS1180" s="47"/>
      <c r="DT1180" s="47"/>
      <c r="DU1180" s="47"/>
      <c r="DV1180" s="47"/>
      <c r="DW1180" s="47"/>
      <c r="DX1180" s="47"/>
      <c r="DY1180" s="47"/>
      <c r="DZ1180" s="47"/>
      <c r="EA1180" s="47"/>
      <c r="EB1180" s="47"/>
      <c r="EC1180" s="47"/>
      <c r="ED1180" s="47"/>
      <c r="EE1180" s="47"/>
      <c r="EF1180" s="47"/>
      <c r="EG1180" s="47"/>
      <c r="EH1180" s="47"/>
      <c r="EI1180" s="47"/>
      <c r="EJ1180" s="47"/>
      <c r="EK1180" s="47"/>
      <c r="EL1180" s="47"/>
      <c r="EM1180" s="47"/>
      <c r="EN1180" s="47"/>
      <c r="EO1180" s="47"/>
      <c r="EP1180" s="47"/>
      <c r="EQ1180" s="47"/>
      <c r="ER1180" s="47"/>
      <c r="ES1180" s="47"/>
      <c r="ET1180" s="47"/>
      <c r="EU1180" s="47"/>
      <c r="EV1180" s="47"/>
      <c r="EW1180" s="47"/>
      <c r="EX1180" s="47"/>
      <c r="EY1180" s="47"/>
      <c r="EZ1180" s="47"/>
      <c r="FA1180" s="47"/>
      <c r="FB1180" s="47"/>
      <c r="FC1180" s="47"/>
      <c r="FD1180" s="47"/>
      <c r="FE1180" s="47"/>
      <c r="FF1180" s="47"/>
      <c r="FG1180" s="47"/>
      <c r="FH1180" s="47"/>
      <c r="FI1180" s="47"/>
      <c r="FJ1180" s="47"/>
      <c r="FK1180" s="47"/>
      <c r="FL1180" s="47"/>
      <c r="FM1180" s="47"/>
      <c r="FN1180" s="47"/>
      <c r="FO1180" s="47"/>
      <c r="FP1180" s="47"/>
      <c r="FQ1180" s="47"/>
      <c r="FR1180" s="47"/>
      <c r="FS1180" s="47"/>
      <c r="FT1180" s="47"/>
      <c r="FU1180" s="47"/>
      <c r="FV1180" s="47"/>
      <c r="FW1180" s="47"/>
      <c r="FX1180" s="47"/>
      <c r="FY1180" s="47"/>
      <c r="FZ1180" s="47"/>
      <c r="GA1180" s="47"/>
      <c r="GB1180" s="47"/>
      <c r="GC1180" s="47"/>
      <c r="GD1180" s="47"/>
      <c r="GE1180" s="47"/>
      <c r="GF1180" s="47"/>
      <c r="GG1180" s="47"/>
      <c r="GH1180" s="47"/>
      <c r="GI1180" s="47"/>
      <c r="GJ1180" s="47"/>
      <c r="GK1180" s="47"/>
      <c r="GL1180" s="47"/>
      <c r="GM1180" s="47"/>
      <c r="GN1180" s="47"/>
      <c r="GO1180" s="47"/>
      <c r="GP1180" s="47"/>
      <c r="GQ1180" s="47"/>
      <c r="GR1180" s="47"/>
      <c r="GS1180" s="47"/>
      <c r="GT1180" s="47"/>
      <c r="GU1180" s="47"/>
      <c r="GV1180" s="47"/>
      <c r="GW1180" s="47"/>
      <c r="GX1180" s="47"/>
      <c r="GY1180" s="47"/>
      <c r="GZ1180" s="47"/>
      <c r="HA1180" s="47"/>
      <c r="HB1180" s="47"/>
      <c r="HC1180" s="47"/>
      <c r="HD1180" s="47"/>
      <c r="HE1180" s="47"/>
      <c r="HF1180" s="47"/>
      <c r="HG1180" s="47"/>
      <c r="HH1180" s="47"/>
      <c r="HI1180" s="47"/>
      <c r="HJ1180" s="47"/>
      <c r="HK1180" s="47"/>
      <c r="HL1180" s="47"/>
      <c r="HM1180" s="47"/>
      <c r="HN1180" s="47"/>
      <c r="HO1180" s="47"/>
      <c r="HP1180" s="47"/>
      <c r="HQ1180" s="47"/>
      <c r="HR1180" s="47"/>
      <c r="HS1180" s="47"/>
      <c r="HT1180" s="47"/>
      <c r="HU1180" s="47"/>
      <c r="HV1180" s="47"/>
      <c r="HW1180" s="47"/>
      <c r="HX1180" s="47"/>
      <c r="HY1180" s="47"/>
      <c r="HZ1180" s="47"/>
      <c r="IA1180" s="47"/>
      <c r="IB1180" s="47"/>
      <c r="IC1180" s="47"/>
      <c r="ID1180" s="47"/>
      <c r="IE1180" s="47"/>
      <c r="IF1180" s="47"/>
      <c r="IG1180" s="47"/>
      <c r="IH1180" s="47"/>
      <c r="II1180" s="47"/>
      <c r="IJ1180" s="47"/>
      <c r="IK1180" s="47"/>
      <c r="IL1180" s="47"/>
      <c r="IM1180" s="47"/>
      <c r="IN1180" s="47"/>
      <c r="IO1180" s="47"/>
      <c r="IP1180" s="47"/>
      <c r="IQ1180" s="47"/>
      <c r="IR1180" s="47"/>
      <c r="IS1180" s="47"/>
      <c r="IT1180" s="47"/>
      <c r="IU1180" s="47"/>
      <c r="IV1180" s="47"/>
      <c r="IW1180" s="47"/>
      <c r="IX1180" s="47"/>
      <c r="IY1180" s="47"/>
      <c r="IZ1180" s="47"/>
      <c r="JA1180" s="47"/>
      <c r="JB1180" s="47"/>
      <c r="JC1180" s="47"/>
      <c r="JD1180" s="47"/>
      <c r="JE1180" s="47"/>
      <c r="JF1180" s="47"/>
      <c r="JG1180" s="47"/>
      <c r="JH1180" s="47"/>
      <c r="JI1180" s="47"/>
      <c r="JJ1180" s="47"/>
      <c r="JK1180" s="47"/>
      <c r="JL1180" s="47"/>
      <c r="JM1180" s="47"/>
      <c r="JN1180" s="47"/>
      <c r="JO1180" s="47"/>
      <c r="JP1180" s="47"/>
      <c r="JQ1180" s="47"/>
      <c r="JR1180" s="47"/>
      <c r="JS1180" s="47"/>
      <c r="JT1180" s="47"/>
      <c r="JU1180" s="47"/>
      <c r="JV1180" s="47"/>
      <c r="JW1180" s="47"/>
      <c r="JX1180" s="47"/>
      <c r="JY1180" s="47"/>
      <c r="JZ1180" s="47"/>
      <c r="KA1180" s="47"/>
      <c r="KB1180" s="47"/>
      <c r="KC1180" s="47"/>
      <c r="KD1180" s="47"/>
      <c r="KE1180" s="47"/>
      <c r="KF1180" s="47"/>
      <c r="KG1180" s="47"/>
      <c r="KH1180" s="47"/>
      <c r="KI1180" s="47"/>
      <c r="KJ1180" s="47"/>
      <c r="KK1180" s="47"/>
      <c r="KL1180" s="47"/>
      <c r="KM1180" s="47"/>
      <c r="KN1180" s="47"/>
      <c r="KO1180" s="47"/>
      <c r="KP1180" s="47"/>
      <c r="KQ1180" s="47"/>
      <c r="KR1180" s="47"/>
      <c r="KS1180" s="47"/>
      <c r="KT1180" s="47"/>
      <c r="KU1180" s="47"/>
      <c r="KV1180" s="47"/>
      <c r="KW1180" s="47"/>
      <c r="KX1180" s="47"/>
      <c r="KY1180" s="47"/>
      <c r="KZ1180" s="47"/>
      <c r="LA1180" s="47"/>
      <c r="LB1180" s="47"/>
      <c r="LC1180" s="47"/>
      <c r="LD1180" s="47"/>
      <c r="LE1180" s="47"/>
      <c r="LF1180" s="47"/>
      <c r="LG1180" s="47"/>
      <c r="LH1180" s="47"/>
      <c r="LI1180" s="47"/>
      <c r="LJ1180" s="47"/>
      <c r="LK1180" s="47"/>
      <c r="LL1180" s="47"/>
      <c r="LM1180" s="47"/>
      <c r="LN1180" s="47"/>
      <c r="LO1180" s="47"/>
      <c r="LP1180" s="47"/>
      <c r="LQ1180" s="47"/>
      <c r="LR1180" s="47"/>
      <c r="LS1180" s="47"/>
      <c r="LT1180" s="47"/>
      <c r="LU1180" s="47"/>
      <c r="LV1180" s="47"/>
      <c r="LW1180" s="47"/>
      <c r="LX1180" s="47"/>
      <c r="LY1180" s="47"/>
      <c r="LZ1180" s="47"/>
      <c r="MA1180" s="47"/>
      <c r="MB1180" s="47"/>
      <c r="MC1180" s="47"/>
      <c r="MD1180" s="47"/>
      <c r="ME1180" s="47"/>
      <c r="MF1180" s="47"/>
      <c r="MG1180" s="47"/>
      <c r="MH1180" s="47"/>
      <c r="MI1180" s="47"/>
      <c r="MJ1180" s="47"/>
      <c r="MK1180" s="47"/>
      <c r="ML1180" s="47"/>
      <c r="MM1180" s="47"/>
      <c r="MN1180" s="47"/>
      <c r="MO1180" s="47"/>
      <c r="MP1180" s="47"/>
      <c r="MQ1180" s="47"/>
      <c r="MR1180" s="47"/>
      <c r="MS1180" s="47"/>
      <c r="MT1180" s="47"/>
      <c r="MU1180" s="47"/>
      <c r="MV1180" s="47"/>
      <c r="MW1180" s="47"/>
      <c r="MX1180" s="47"/>
      <c r="MY1180" s="47"/>
      <c r="MZ1180" s="47"/>
      <c r="NA1180" s="47"/>
      <c r="NB1180" s="47"/>
      <c r="NC1180" s="47"/>
      <c r="ND1180" s="47"/>
      <c r="NE1180" s="47"/>
      <c r="NF1180" s="47"/>
      <c r="NG1180" s="47"/>
      <c r="NH1180" s="47"/>
      <c r="NI1180" s="47"/>
      <c r="NJ1180" s="47"/>
      <c r="NK1180" s="47"/>
      <c r="NL1180" s="47"/>
      <c r="NM1180" s="47"/>
      <c r="NN1180" s="47"/>
      <c r="NO1180" s="47"/>
      <c r="NP1180" s="47"/>
      <c r="NQ1180" s="47"/>
      <c r="NR1180" s="47"/>
      <c r="NS1180" s="47"/>
      <c r="NT1180" s="47"/>
      <c r="NU1180" s="47"/>
      <c r="NV1180" s="47"/>
      <c r="NW1180" s="47"/>
      <c r="NX1180" s="47"/>
      <c r="NY1180" s="47"/>
      <c r="NZ1180" s="47"/>
      <c r="OA1180" s="47"/>
      <c r="OB1180" s="47"/>
      <c r="OC1180" s="47"/>
      <c r="OD1180" s="47"/>
      <c r="OE1180" s="47"/>
      <c r="OF1180" s="47"/>
      <c r="OG1180" s="47"/>
      <c r="OH1180" s="47"/>
      <c r="OI1180" s="47"/>
      <c r="OJ1180" s="47"/>
      <c r="OK1180" s="47"/>
      <c r="OL1180" s="47"/>
      <c r="OM1180" s="47"/>
      <c r="ON1180" s="47"/>
      <c r="OO1180" s="47"/>
      <c r="OP1180" s="47"/>
      <c r="OQ1180" s="47"/>
      <c r="OR1180" s="47"/>
      <c r="OS1180" s="47"/>
      <c r="OT1180" s="47"/>
      <c r="OU1180" s="47"/>
      <c r="OV1180" s="47"/>
      <c r="OW1180" s="47"/>
      <c r="OX1180" s="47"/>
      <c r="OY1180" s="47"/>
      <c r="OZ1180" s="47"/>
      <c r="PA1180" s="47"/>
      <c r="PB1180" s="47"/>
      <c r="PC1180" s="47"/>
      <c r="PD1180" s="47"/>
      <c r="PE1180" s="47"/>
      <c r="PF1180" s="47"/>
      <c r="PG1180" s="47"/>
      <c r="PH1180" s="47"/>
      <c r="PI1180" s="47"/>
      <c r="PJ1180" s="47"/>
      <c r="PK1180" s="47"/>
      <c r="PL1180" s="47"/>
      <c r="PM1180" s="47"/>
      <c r="PN1180" s="47"/>
      <c r="PO1180" s="47"/>
      <c r="PP1180" s="47"/>
      <c r="PQ1180" s="47"/>
      <c r="PR1180" s="47"/>
      <c r="PS1180" s="47"/>
      <c r="PT1180" s="47"/>
      <c r="PU1180" s="47"/>
      <c r="PV1180" s="47"/>
      <c r="PW1180" s="47"/>
      <c r="PX1180" s="47"/>
      <c r="PY1180" s="47"/>
      <c r="PZ1180" s="47"/>
      <c r="QA1180" s="47"/>
      <c r="QB1180" s="47"/>
      <c r="QC1180" s="47"/>
      <c r="QD1180" s="47"/>
      <c r="QE1180" s="47"/>
      <c r="QF1180" s="47"/>
      <c r="QG1180" s="47"/>
      <c r="QH1180" s="47"/>
      <c r="QI1180" s="47"/>
      <c r="QJ1180" s="47"/>
      <c r="QK1180" s="47"/>
      <c r="QL1180" s="47"/>
      <c r="QM1180" s="47"/>
      <c r="QN1180" s="47"/>
      <c r="QO1180" s="47"/>
      <c r="QP1180" s="47"/>
      <c r="QQ1180" s="47"/>
      <c r="QR1180" s="47"/>
      <c r="QS1180" s="47"/>
      <c r="QT1180" s="47"/>
      <c r="QU1180" s="47"/>
      <c r="QV1180" s="47"/>
      <c r="QW1180" s="47"/>
      <c r="QX1180" s="47"/>
      <c r="QY1180" s="47"/>
      <c r="QZ1180" s="47"/>
      <c r="RA1180" s="47"/>
      <c r="RB1180" s="47"/>
      <c r="RC1180" s="47"/>
      <c r="RD1180" s="47"/>
      <c r="RE1180" s="47"/>
      <c r="RF1180" s="47"/>
      <c r="RG1180" s="47"/>
      <c r="RH1180" s="47"/>
      <c r="RI1180" s="47"/>
      <c r="RJ1180" s="47"/>
      <c r="RK1180" s="47"/>
      <c r="RL1180" s="47"/>
      <c r="RM1180" s="47"/>
      <c r="RN1180" s="47"/>
      <c r="RO1180" s="47"/>
      <c r="RP1180" s="47"/>
      <c r="RQ1180" s="47"/>
      <c r="RR1180" s="47"/>
      <c r="RS1180" s="47"/>
      <c r="RT1180" s="47"/>
      <c r="RU1180" s="47"/>
      <c r="RV1180" s="47"/>
      <c r="RW1180" s="47"/>
      <c r="RX1180" s="47"/>
      <c r="RY1180" s="47"/>
      <c r="RZ1180" s="47"/>
      <c r="SA1180" s="47"/>
      <c r="SB1180" s="47"/>
      <c r="SC1180" s="47"/>
      <c r="SD1180" s="47"/>
      <c r="SE1180" s="47"/>
      <c r="SF1180" s="47"/>
      <c r="SG1180" s="47"/>
      <c r="SH1180" s="47"/>
      <c r="SI1180" s="47"/>
      <c r="SJ1180" s="47"/>
      <c r="SK1180" s="47"/>
      <c r="SL1180" s="47"/>
      <c r="SM1180" s="47"/>
      <c r="SN1180" s="47"/>
      <c r="SO1180" s="47"/>
      <c r="SP1180" s="47"/>
      <c r="SQ1180" s="47"/>
      <c r="SR1180" s="47"/>
      <c r="SS1180" s="47"/>
      <c r="ST1180" s="47"/>
      <c r="SU1180" s="47"/>
      <c r="SV1180" s="47"/>
      <c r="SW1180" s="47"/>
      <c r="SX1180" s="47"/>
      <c r="SY1180" s="47"/>
      <c r="SZ1180" s="47"/>
      <c r="TA1180" s="47"/>
      <c r="TB1180" s="47"/>
      <c r="TC1180" s="47"/>
      <c r="TD1180" s="47"/>
      <c r="TE1180" s="47"/>
      <c r="TF1180" s="47"/>
      <c r="TG1180" s="47"/>
      <c r="TH1180" s="47"/>
      <c r="TI1180" s="47"/>
      <c r="TJ1180" s="47"/>
      <c r="TK1180" s="47"/>
      <c r="TL1180" s="47"/>
      <c r="TM1180" s="47"/>
      <c r="TN1180" s="47"/>
      <c r="TO1180" s="47"/>
      <c r="TP1180" s="47"/>
      <c r="TQ1180" s="47"/>
      <c r="TR1180" s="47"/>
      <c r="TS1180" s="47"/>
      <c r="TT1180" s="47"/>
      <c r="TU1180" s="47"/>
      <c r="TV1180" s="47"/>
      <c r="TW1180" s="47"/>
      <c r="TX1180" s="47"/>
      <c r="TY1180" s="47"/>
      <c r="TZ1180" s="47"/>
      <c r="UA1180" s="47"/>
      <c r="UB1180" s="47"/>
      <c r="UC1180" s="47"/>
      <c r="UD1180" s="47"/>
      <c r="UE1180" s="47"/>
      <c r="UF1180" s="47"/>
      <c r="UG1180" s="23"/>
    </row>
    <row r="1181" spans="1:553" ht="34.5" customHeight="1">
      <c r="A1181" s="356"/>
      <c r="B1181" s="385"/>
      <c r="C1181" s="384" t="s">
        <v>69</v>
      </c>
      <c r="D1181" s="376" t="str">
        <f>'Phương án chi tiết'!D1080</f>
        <v>2</v>
      </c>
      <c r="E1181" s="376" t="str">
        <f>'Phương án chi tiết'!E1080</f>
        <v>342</v>
      </c>
      <c r="F1181" s="385"/>
      <c r="G1181" s="386" t="s">
        <v>935</v>
      </c>
      <c r="H1181" s="370"/>
      <c r="I1181" s="422">
        <f>'Phương án chi tiết'!I1080</f>
        <v>112.1</v>
      </c>
      <c r="J1181" s="368">
        <v>62000</v>
      </c>
      <c r="K1181" s="848">
        <v>2.5</v>
      </c>
      <c r="L1181" s="480">
        <f t="shared" si="174"/>
        <v>17375500</v>
      </c>
      <c r="M1181" s="366"/>
      <c r="N1181" s="366"/>
      <c r="O1181" s="366"/>
      <c r="P1181" s="366"/>
      <c r="Q1181" s="812"/>
      <c r="R1181" s="1452"/>
      <c r="S1181" s="308"/>
      <c r="T1181" s="308"/>
      <c r="U1181" s="308"/>
      <c r="V1181" s="308"/>
      <c r="W1181" s="308"/>
      <c r="X1181" s="308"/>
      <c r="Y1181" s="308"/>
      <c r="Z1181" s="604"/>
      <c r="AA1181" s="308"/>
      <c r="AB1181" s="308"/>
      <c r="AC1181" s="373"/>
      <c r="AD1181" s="373"/>
      <c r="AE1181" s="373"/>
      <c r="AF1181" s="373"/>
      <c r="AG1181" s="373"/>
      <c r="AH1181" s="373"/>
      <c r="AI1181" s="373"/>
      <c r="AJ1181" s="373"/>
      <c r="AK1181" s="389"/>
      <c r="AL1181" s="45"/>
      <c r="AM1181" s="46"/>
      <c r="AN1181" s="46"/>
      <c r="AO1181" s="46"/>
      <c r="AP1181" s="46"/>
      <c r="AQ1181" s="46"/>
      <c r="AR1181" s="46"/>
      <c r="AS1181" s="47"/>
      <c r="AT1181" s="47"/>
      <c r="AU1181" s="47"/>
      <c r="AV1181" s="47"/>
      <c r="AW1181" s="47"/>
      <c r="AX1181" s="47"/>
      <c r="AY1181" s="47"/>
      <c r="AZ1181" s="47"/>
      <c r="BA1181" s="47"/>
      <c r="BB1181" s="47"/>
      <c r="BC1181" s="47"/>
      <c r="BD1181" s="47"/>
      <c r="BE1181" s="47"/>
      <c r="BF1181" s="47"/>
      <c r="BG1181" s="47"/>
      <c r="BH1181" s="47"/>
      <c r="BI1181" s="47"/>
      <c r="BJ1181" s="47"/>
      <c r="BK1181" s="47"/>
      <c r="BL1181" s="47"/>
      <c r="BM1181" s="47"/>
      <c r="BN1181" s="47"/>
      <c r="BO1181" s="47"/>
      <c r="BP1181" s="47"/>
      <c r="BQ1181" s="47"/>
      <c r="BR1181" s="47"/>
      <c r="BS1181" s="47"/>
      <c r="BT1181" s="47"/>
      <c r="BU1181" s="47"/>
      <c r="BV1181" s="47"/>
      <c r="BW1181" s="47"/>
      <c r="BX1181" s="47"/>
      <c r="BY1181" s="47"/>
      <c r="BZ1181" s="47"/>
      <c r="CA1181" s="47"/>
      <c r="CB1181" s="47"/>
      <c r="CC1181" s="47"/>
      <c r="CD1181" s="47"/>
      <c r="CE1181" s="47"/>
      <c r="CF1181" s="47"/>
      <c r="CG1181" s="47"/>
      <c r="CH1181" s="47"/>
      <c r="CI1181" s="47"/>
      <c r="CJ1181" s="47"/>
      <c r="CK1181" s="47"/>
      <c r="CL1181" s="47"/>
      <c r="CM1181" s="47"/>
      <c r="CN1181" s="47"/>
      <c r="CO1181" s="47"/>
      <c r="CP1181" s="47"/>
      <c r="CQ1181" s="47"/>
      <c r="CR1181" s="47"/>
      <c r="CS1181" s="47"/>
      <c r="CT1181" s="47"/>
      <c r="CU1181" s="47"/>
      <c r="CV1181" s="47"/>
      <c r="CW1181" s="47"/>
      <c r="CX1181" s="47"/>
      <c r="CY1181" s="47"/>
      <c r="CZ1181" s="47"/>
      <c r="DA1181" s="47"/>
      <c r="DB1181" s="47"/>
      <c r="DC1181" s="47"/>
      <c r="DD1181" s="47"/>
      <c r="DE1181" s="47"/>
      <c r="DF1181" s="47"/>
      <c r="DG1181" s="47"/>
      <c r="DH1181" s="47"/>
      <c r="DI1181" s="47"/>
      <c r="DJ1181" s="47"/>
      <c r="DK1181" s="47"/>
      <c r="DL1181" s="47"/>
      <c r="DM1181" s="47"/>
      <c r="DN1181" s="47"/>
      <c r="DO1181" s="47"/>
      <c r="DP1181" s="47"/>
      <c r="DQ1181" s="47"/>
      <c r="DR1181" s="47"/>
      <c r="DS1181" s="47"/>
      <c r="DT1181" s="47"/>
      <c r="DU1181" s="47"/>
      <c r="DV1181" s="47"/>
      <c r="DW1181" s="47"/>
      <c r="DX1181" s="47"/>
      <c r="DY1181" s="47"/>
      <c r="DZ1181" s="47"/>
      <c r="EA1181" s="47"/>
      <c r="EB1181" s="47"/>
      <c r="EC1181" s="47"/>
      <c r="ED1181" s="47"/>
      <c r="EE1181" s="47"/>
      <c r="EF1181" s="47"/>
      <c r="EG1181" s="47"/>
      <c r="EH1181" s="47"/>
      <c r="EI1181" s="47"/>
      <c r="EJ1181" s="47"/>
      <c r="EK1181" s="47"/>
      <c r="EL1181" s="47"/>
      <c r="EM1181" s="47"/>
      <c r="EN1181" s="47"/>
      <c r="EO1181" s="47"/>
      <c r="EP1181" s="47"/>
      <c r="EQ1181" s="47"/>
      <c r="ER1181" s="47"/>
      <c r="ES1181" s="47"/>
      <c r="ET1181" s="47"/>
      <c r="EU1181" s="47"/>
      <c r="EV1181" s="47"/>
      <c r="EW1181" s="47"/>
      <c r="EX1181" s="47"/>
      <c r="EY1181" s="47"/>
      <c r="EZ1181" s="47"/>
      <c r="FA1181" s="47"/>
      <c r="FB1181" s="47"/>
      <c r="FC1181" s="47"/>
      <c r="FD1181" s="47"/>
      <c r="FE1181" s="47"/>
      <c r="FF1181" s="47"/>
      <c r="FG1181" s="47"/>
      <c r="FH1181" s="47"/>
      <c r="FI1181" s="47"/>
      <c r="FJ1181" s="47"/>
      <c r="FK1181" s="47"/>
      <c r="FL1181" s="47"/>
      <c r="FM1181" s="47"/>
      <c r="FN1181" s="47"/>
      <c r="FO1181" s="47"/>
      <c r="FP1181" s="47"/>
      <c r="FQ1181" s="47"/>
      <c r="FR1181" s="47"/>
      <c r="FS1181" s="47"/>
      <c r="FT1181" s="47"/>
      <c r="FU1181" s="47"/>
      <c r="FV1181" s="47"/>
      <c r="FW1181" s="47"/>
      <c r="FX1181" s="47"/>
      <c r="FY1181" s="47"/>
      <c r="FZ1181" s="47"/>
      <c r="GA1181" s="47"/>
      <c r="GB1181" s="47"/>
      <c r="GC1181" s="47"/>
      <c r="GD1181" s="47"/>
      <c r="GE1181" s="47"/>
      <c r="GF1181" s="47"/>
      <c r="GG1181" s="47"/>
      <c r="GH1181" s="47"/>
      <c r="GI1181" s="47"/>
      <c r="GJ1181" s="47"/>
      <c r="GK1181" s="47"/>
      <c r="GL1181" s="47"/>
      <c r="GM1181" s="47"/>
      <c r="GN1181" s="47"/>
      <c r="GO1181" s="47"/>
      <c r="GP1181" s="47"/>
      <c r="GQ1181" s="47"/>
      <c r="GR1181" s="47"/>
      <c r="GS1181" s="47"/>
      <c r="GT1181" s="47"/>
      <c r="GU1181" s="47"/>
      <c r="GV1181" s="47"/>
      <c r="GW1181" s="47"/>
      <c r="GX1181" s="47"/>
      <c r="GY1181" s="47"/>
      <c r="GZ1181" s="47"/>
      <c r="HA1181" s="47"/>
      <c r="HB1181" s="47"/>
      <c r="HC1181" s="47"/>
      <c r="HD1181" s="47"/>
      <c r="HE1181" s="47"/>
      <c r="HF1181" s="47"/>
      <c r="HG1181" s="47"/>
      <c r="HH1181" s="47"/>
      <c r="HI1181" s="47"/>
      <c r="HJ1181" s="47"/>
      <c r="HK1181" s="47"/>
      <c r="HL1181" s="47"/>
      <c r="HM1181" s="47"/>
      <c r="HN1181" s="47"/>
      <c r="HO1181" s="47"/>
      <c r="HP1181" s="47"/>
      <c r="HQ1181" s="47"/>
      <c r="HR1181" s="47"/>
      <c r="HS1181" s="47"/>
      <c r="HT1181" s="47"/>
      <c r="HU1181" s="47"/>
      <c r="HV1181" s="47"/>
      <c r="HW1181" s="47"/>
      <c r="HX1181" s="47"/>
      <c r="HY1181" s="47"/>
      <c r="HZ1181" s="47"/>
      <c r="IA1181" s="47"/>
      <c r="IB1181" s="47"/>
      <c r="IC1181" s="47"/>
      <c r="ID1181" s="47"/>
      <c r="IE1181" s="47"/>
      <c r="IF1181" s="47"/>
      <c r="IG1181" s="47"/>
      <c r="IH1181" s="47"/>
      <c r="II1181" s="47"/>
      <c r="IJ1181" s="47"/>
      <c r="IK1181" s="47"/>
      <c r="IL1181" s="47"/>
      <c r="IM1181" s="47"/>
      <c r="IN1181" s="47"/>
      <c r="IO1181" s="47"/>
      <c r="IP1181" s="47"/>
      <c r="IQ1181" s="47"/>
      <c r="IR1181" s="47"/>
      <c r="IS1181" s="47"/>
      <c r="IT1181" s="47"/>
      <c r="IU1181" s="47"/>
      <c r="IV1181" s="47"/>
      <c r="IW1181" s="47"/>
      <c r="IX1181" s="47"/>
      <c r="IY1181" s="47"/>
      <c r="IZ1181" s="47"/>
      <c r="JA1181" s="47"/>
      <c r="JB1181" s="47"/>
      <c r="JC1181" s="47"/>
      <c r="JD1181" s="47"/>
      <c r="JE1181" s="47"/>
      <c r="JF1181" s="47"/>
      <c r="JG1181" s="47"/>
      <c r="JH1181" s="47"/>
      <c r="JI1181" s="47"/>
      <c r="JJ1181" s="47"/>
      <c r="JK1181" s="47"/>
      <c r="JL1181" s="47"/>
      <c r="JM1181" s="47"/>
      <c r="JN1181" s="47"/>
      <c r="JO1181" s="47"/>
      <c r="JP1181" s="47"/>
      <c r="JQ1181" s="47"/>
      <c r="JR1181" s="47"/>
      <c r="JS1181" s="47"/>
      <c r="JT1181" s="47"/>
      <c r="JU1181" s="47"/>
      <c r="JV1181" s="47"/>
      <c r="JW1181" s="47"/>
      <c r="JX1181" s="47"/>
      <c r="JY1181" s="47"/>
      <c r="JZ1181" s="47"/>
      <c r="KA1181" s="47"/>
      <c r="KB1181" s="47"/>
      <c r="KC1181" s="47"/>
      <c r="KD1181" s="47"/>
      <c r="KE1181" s="47"/>
      <c r="KF1181" s="47"/>
      <c r="KG1181" s="47"/>
      <c r="KH1181" s="47"/>
      <c r="KI1181" s="47"/>
      <c r="KJ1181" s="47"/>
      <c r="KK1181" s="47"/>
      <c r="KL1181" s="47"/>
      <c r="KM1181" s="47"/>
      <c r="KN1181" s="47"/>
      <c r="KO1181" s="47"/>
      <c r="KP1181" s="47"/>
      <c r="KQ1181" s="47"/>
      <c r="KR1181" s="47"/>
      <c r="KS1181" s="47"/>
      <c r="KT1181" s="47"/>
      <c r="KU1181" s="47"/>
      <c r="KV1181" s="47"/>
      <c r="KW1181" s="47"/>
      <c r="KX1181" s="47"/>
      <c r="KY1181" s="47"/>
      <c r="KZ1181" s="47"/>
      <c r="LA1181" s="47"/>
      <c r="LB1181" s="47"/>
      <c r="LC1181" s="47"/>
      <c r="LD1181" s="47"/>
      <c r="LE1181" s="47"/>
      <c r="LF1181" s="47"/>
      <c r="LG1181" s="47"/>
      <c r="LH1181" s="47"/>
      <c r="LI1181" s="47"/>
      <c r="LJ1181" s="47"/>
      <c r="LK1181" s="47"/>
      <c r="LL1181" s="47"/>
      <c r="LM1181" s="47"/>
      <c r="LN1181" s="47"/>
      <c r="LO1181" s="47"/>
      <c r="LP1181" s="47"/>
      <c r="LQ1181" s="47"/>
      <c r="LR1181" s="47"/>
      <c r="LS1181" s="47"/>
      <c r="LT1181" s="47"/>
      <c r="LU1181" s="47"/>
      <c r="LV1181" s="47"/>
      <c r="LW1181" s="47"/>
      <c r="LX1181" s="47"/>
      <c r="LY1181" s="47"/>
      <c r="LZ1181" s="47"/>
      <c r="MA1181" s="47"/>
      <c r="MB1181" s="47"/>
      <c r="MC1181" s="47"/>
      <c r="MD1181" s="47"/>
      <c r="ME1181" s="47"/>
      <c r="MF1181" s="47"/>
      <c r="MG1181" s="47"/>
      <c r="MH1181" s="47"/>
      <c r="MI1181" s="47"/>
      <c r="MJ1181" s="47"/>
      <c r="MK1181" s="47"/>
      <c r="ML1181" s="47"/>
      <c r="MM1181" s="47"/>
      <c r="MN1181" s="47"/>
      <c r="MO1181" s="47"/>
      <c r="MP1181" s="47"/>
      <c r="MQ1181" s="47"/>
      <c r="MR1181" s="47"/>
      <c r="MS1181" s="47"/>
      <c r="MT1181" s="47"/>
      <c r="MU1181" s="47"/>
      <c r="MV1181" s="47"/>
      <c r="MW1181" s="47"/>
      <c r="MX1181" s="47"/>
      <c r="MY1181" s="47"/>
      <c r="MZ1181" s="47"/>
      <c r="NA1181" s="47"/>
      <c r="NB1181" s="47"/>
      <c r="NC1181" s="47"/>
      <c r="ND1181" s="47"/>
      <c r="NE1181" s="47"/>
      <c r="NF1181" s="47"/>
      <c r="NG1181" s="47"/>
      <c r="NH1181" s="47"/>
      <c r="NI1181" s="47"/>
      <c r="NJ1181" s="47"/>
      <c r="NK1181" s="47"/>
      <c r="NL1181" s="47"/>
      <c r="NM1181" s="47"/>
      <c r="NN1181" s="47"/>
      <c r="NO1181" s="47"/>
      <c r="NP1181" s="47"/>
      <c r="NQ1181" s="47"/>
      <c r="NR1181" s="47"/>
      <c r="NS1181" s="47"/>
      <c r="NT1181" s="47"/>
      <c r="NU1181" s="47"/>
      <c r="NV1181" s="47"/>
      <c r="NW1181" s="47"/>
      <c r="NX1181" s="47"/>
      <c r="NY1181" s="47"/>
      <c r="NZ1181" s="47"/>
      <c r="OA1181" s="47"/>
      <c r="OB1181" s="47"/>
      <c r="OC1181" s="47"/>
      <c r="OD1181" s="47"/>
      <c r="OE1181" s="47"/>
      <c r="OF1181" s="47"/>
      <c r="OG1181" s="47"/>
      <c r="OH1181" s="47"/>
      <c r="OI1181" s="47"/>
      <c r="OJ1181" s="47"/>
      <c r="OK1181" s="47"/>
      <c r="OL1181" s="47"/>
      <c r="OM1181" s="47"/>
      <c r="ON1181" s="47"/>
      <c r="OO1181" s="47"/>
      <c r="OP1181" s="47"/>
      <c r="OQ1181" s="47"/>
      <c r="OR1181" s="47"/>
      <c r="OS1181" s="47"/>
      <c r="OT1181" s="47"/>
      <c r="OU1181" s="47"/>
      <c r="OV1181" s="47"/>
      <c r="OW1181" s="47"/>
      <c r="OX1181" s="47"/>
      <c r="OY1181" s="47"/>
      <c r="OZ1181" s="47"/>
      <c r="PA1181" s="47"/>
      <c r="PB1181" s="47"/>
      <c r="PC1181" s="47"/>
      <c r="PD1181" s="47"/>
      <c r="PE1181" s="47"/>
      <c r="PF1181" s="47"/>
      <c r="PG1181" s="47"/>
      <c r="PH1181" s="47"/>
      <c r="PI1181" s="47"/>
      <c r="PJ1181" s="47"/>
      <c r="PK1181" s="47"/>
      <c r="PL1181" s="47"/>
      <c r="PM1181" s="47"/>
      <c r="PN1181" s="47"/>
      <c r="PO1181" s="47"/>
      <c r="PP1181" s="47"/>
      <c r="PQ1181" s="47"/>
      <c r="PR1181" s="47"/>
      <c r="PS1181" s="47"/>
      <c r="PT1181" s="47"/>
      <c r="PU1181" s="47"/>
      <c r="PV1181" s="47"/>
      <c r="PW1181" s="47"/>
      <c r="PX1181" s="47"/>
      <c r="PY1181" s="47"/>
      <c r="PZ1181" s="47"/>
      <c r="QA1181" s="47"/>
      <c r="QB1181" s="47"/>
      <c r="QC1181" s="47"/>
      <c r="QD1181" s="47"/>
      <c r="QE1181" s="47"/>
      <c r="QF1181" s="47"/>
      <c r="QG1181" s="47"/>
      <c r="QH1181" s="47"/>
      <c r="QI1181" s="47"/>
      <c r="QJ1181" s="47"/>
      <c r="QK1181" s="47"/>
      <c r="QL1181" s="47"/>
      <c r="QM1181" s="47"/>
      <c r="QN1181" s="47"/>
      <c r="QO1181" s="47"/>
      <c r="QP1181" s="47"/>
      <c r="QQ1181" s="47"/>
      <c r="QR1181" s="47"/>
      <c r="QS1181" s="47"/>
      <c r="QT1181" s="47"/>
      <c r="QU1181" s="47"/>
      <c r="QV1181" s="47"/>
      <c r="QW1181" s="47"/>
      <c r="QX1181" s="47"/>
      <c r="QY1181" s="47"/>
      <c r="QZ1181" s="47"/>
      <c r="RA1181" s="47"/>
      <c r="RB1181" s="47"/>
      <c r="RC1181" s="47"/>
      <c r="RD1181" s="47"/>
      <c r="RE1181" s="47"/>
      <c r="RF1181" s="47"/>
      <c r="RG1181" s="47"/>
      <c r="RH1181" s="47"/>
      <c r="RI1181" s="47"/>
      <c r="RJ1181" s="47"/>
      <c r="RK1181" s="47"/>
      <c r="RL1181" s="47"/>
      <c r="RM1181" s="47"/>
      <c r="RN1181" s="47"/>
      <c r="RO1181" s="47"/>
      <c r="RP1181" s="47"/>
      <c r="RQ1181" s="47"/>
      <c r="RR1181" s="47"/>
      <c r="RS1181" s="47"/>
      <c r="RT1181" s="47"/>
      <c r="RU1181" s="47"/>
      <c r="RV1181" s="47"/>
      <c r="RW1181" s="47"/>
      <c r="RX1181" s="47"/>
      <c r="RY1181" s="47"/>
      <c r="RZ1181" s="47"/>
      <c r="SA1181" s="47"/>
      <c r="SB1181" s="47"/>
      <c r="SC1181" s="47"/>
      <c r="SD1181" s="47"/>
      <c r="SE1181" s="47"/>
      <c r="SF1181" s="47"/>
      <c r="SG1181" s="47"/>
      <c r="SH1181" s="47"/>
      <c r="SI1181" s="47"/>
      <c r="SJ1181" s="47"/>
      <c r="SK1181" s="47"/>
      <c r="SL1181" s="47"/>
      <c r="SM1181" s="47"/>
      <c r="SN1181" s="47"/>
      <c r="SO1181" s="47"/>
      <c r="SP1181" s="47"/>
      <c r="SQ1181" s="47"/>
      <c r="SR1181" s="47"/>
      <c r="SS1181" s="47"/>
      <c r="ST1181" s="47"/>
      <c r="SU1181" s="47"/>
      <c r="SV1181" s="47"/>
      <c r="SW1181" s="47"/>
      <c r="SX1181" s="47"/>
      <c r="SY1181" s="47"/>
      <c r="SZ1181" s="47"/>
      <c r="TA1181" s="47"/>
      <c r="TB1181" s="47"/>
      <c r="TC1181" s="47"/>
      <c r="TD1181" s="47"/>
      <c r="TE1181" s="47"/>
      <c r="TF1181" s="47"/>
      <c r="TG1181" s="47"/>
      <c r="TH1181" s="47"/>
      <c r="TI1181" s="47"/>
      <c r="TJ1181" s="47"/>
      <c r="TK1181" s="47"/>
      <c r="TL1181" s="47"/>
      <c r="TM1181" s="47"/>
      <c r="TN1181" s="47"/>
      <c r="TO1181" s="47"/>
      <c r="TP1181" s="47"/>
      <c r="TQ1181" s="47"/>
      <c r="TR1181" s="47"/>
      <c r="TS1181" s="47"/>
      <c r="TT1181" s="47"/>
      <c r="TU1181" s="47"/>
      <c r="TV1181" s="47"/>
      <c r="TW1181" s="47"/>
      <c r="TX1181" s="47"/>
      <c r="TY1181" s="47"/>
      <c r="TZ1181" s="47"/>
      <c r="UA1181" s="47"/>
      <c r="UB1181" s="47"/>
      <c r="UC1181" s="47"/>
      <c r="UD1181" s="47"/>
      <c r="UE1181" s="47"/>
      <c r="UF1181" s="47"/>
      <c r="UG1181" s="23"/>
    </row>
    <row r="1182" spans="1:553" ht="34.5" customHeight="1">
      <c r="A1182" s="356"/>
      <c r="B1182" s="385"/>
      <c r="C1182" s="384" t="str">
        <f>'Phương án chi tiết'!C1081</f>
        <v>Đất chuyên trồng lúa nước (LUC)</v>
      </c>
      <c r="D1182" s="376" t="str">
        <f>'Phương án chi tiết'!D1081</f>
        <v>1</v>
      </c>
      <c r="E1182" s="376" t="str">
        <f>'Phương án chi tiết'!E1081</f>
        <v>83</v>
      </c>
      <c r="F1182" s="385"/>
      <c r="G1182" s="386" t="s">
        <v>935</v>
      </c>
      <c r="H1182" s="370"/>
      <c r="I1182" s="422">
        <f>'Phương án chi tiết'!I1081</f>
        <v>393.7</v>
      </c>
      <c r="J1182" s="368">
        <v>72000</v>
      </c>
      <c r="K1182" s="848">
        <v>3</v>
      </c>
      <c r="L1182" s="480">
        <f t="shared" si="174"/>
        <v>85039200</v>
      </c>
      <c r="M1182" s="366"/>
      <c r="N1182" s="366"/>
      <c r="O1182" s="366"/>
      <c r="P1182" s="366"/>
      <c r="Q1182" s="812"/>
      <c r="R1182" s="1452"/>
      <c r="S1182" s="308"/>
      <c r="T1182" s="308"/>
      <c r="U1182" s="308"/>
      <c r="V1182" s="308"/>
      <c r="W1182" s="308"/>
      <c r="X1182" s="308"/>
      <c r="Y1182" s="308"/>
      <c r="Z1182" s="604"/>
      <c r="AA1182" s="308"/>
      <c r="AB1182" s="308"/>
      <c r="AC1182" s="373"/>
      <c r="AD1182" s="373"/>
      <c r="AE1182" s="373"/>
      <c r="AF1182" s="373"/>
      <c r="AG1182" s="373"/>
      <c r="AH1182" s="373"/>
      <c r="AI1182" s="373"/>
      <c r="AJ1182" s="373"/>
      <c r="AK1182" s="389"/>
      <c r="AL1182" s="45"/>
      <c r="AM1182" s="46"/>
      <c r="AN1182" s="46"/>
      <c r="AO1182" s="46"/>
      <c r="AP1182" s="46"/>
      <c r="AQ1182" s="46"/>
      <c r="AR1182" s="46"/>
      <c r="AS1182" s="47"/>
      <c r="AT1182" s="47"/>
      <c r="AU1182" s="47"/>
      <c r="AV1182" s="47"/>
      <c r="AW1182" s="47"/>
      <c r="AX1182" s="47"/>
      <c r="AY1182" s="47"/>
      <c r="AZ1182" s="47"/>
      <c r="BA1182" s="47"/>
      <c r="BB1182" s="47"/>
      <c r="BC1182" s="47"/>
      <c r="BD1182" s="47"/>
      <c r="BE1182" s="47"/>
      <c r="BF1182" s="47"/>
      <c r="BG1182" s="47"/>
      <c r="BH1182" s="47"/>
      <c r="BI1182" s="47"/>
      <c r="BJ1182" s="47"/>
      <c r="BK1182" s="47"/>
      <c r="BL1182" s="47"/>
      <c r="BM1182" s="47"/>
      <c r="BN1182" s="47"/>
      <c r="BO1182" s="47"/>
      <c r="BP1182" s="47"/>
      <c r="BQ1182" s="47"/>
      <c r="BR1182" s="47"/>
      <c r="BS1182" s="47"/>
      <c r="BT1182" s="47"/>
      <c r="BU1182" s="47"/>
      <c r="BV1182" s="47"/>
      <c r="BW1182" s="47"/>
      <c r="BX1182" s="47"/>
      <c r="BY1182" s="47"/>
      <c r="BZ1182" s="47"/>
      <c r="CA1182" s="47"/>
      <c r="CB1182" s="47"/>
      <c r="CC1182" s="47"/>
      <c r="CD1182" s="47"/>
      <c r="CE1182" s="47"/>
      <c r="CF1182" s="47"/>
      <c r="CG1182" s="47"/>
      <c r="CH1182" s="47"/>
      <c r="CI1182" s="47"/>
      <c r="CJ1182" s="47"/>
      <c r="CK1182" s="47"/>
      <c r="CL1182" s="47"/>
      <c r="CM1182" s="47"/>
      <c r="CN1182" s="47"/>
      <c r="CO1182" s="47"/>
      <c r="CP1182" s="47"/>
      <c r="CQ1182" s="47"/>
      <c r="CR1182" s="47"/>
      <c r="CS1182" s="47"/>
      <c r="CT1182" s="47"/>
      <c r="CU1182" s="47"/>
      <c r="CV1182" s="47"/>
      <c r="CW1182" s="47"/>
      <c r="CX1182" s="47"/>
      <c r="CY1182" s="47"/>
      <c r="CZ1182" s="47"/>
      <c r="DA1182" s="47"/>
      <c r="DB1182" s="47"/>
      <c r="DC1182" s="47"/>
      <c r="DD1182" s="47"/>
      <c r="DE1182" s="47"/>
      <c r="DF1182" s="47"/>
      <c r="DG1182" s="47"/>
      <c r="DH1182" s="47"/>
      <c r="DI1182" s="47"/>
      <c r="DJ1182" s="47"/>
      <c r="DK1182" s="47"/>
      <c r="DL1182" s="47"/>
      <c r="DM1182" s="47"/>
      <c r="DN1182" s="47"/>
      <c r="DO1182" s="47"/>
      <c r="DP1182" s="47"/>
      <c r="DQ1182" s="47"/>
      <c r="DR1182" s="47"/>
      <c r="DS1182" s="47"/>
      <c r="DT1182" s="47"/>
      <c r="DU1182" s="47"/>
      <c r="DV1182" s="47"/>
      <c r="DW1182" s="47"/>
      <c r="DX1182" s="47"/>
      <c r="DY1182" s="47"/>
      <c r="DZ1182" s="47"/>
      <c r="EA1182" s="47"/>
      <c r="EB1182" s="47"/>
      <c r="EC1182" s="47"/>
      <c r="ED1182" s="47"/>
      <c r="EE1182" s="47"/>
      <c r="EF1182" s="47"/>
      <c r="EG1182" s="47"/>
      <c r="EH1182" s="47"/>
      <c r="EI1182" s="47"/>
      <c r="EJ1182" s="47"/>
      <c r="EK1182" s="47"/>
      <c r="EL1182" s="47"/>
      <c r="EM1182" s="47"/>
      <c r="EN1182" s="47"/>
      <c r="EO1182" s="47"/>
      <c r="EP1182" s="47"/>
      <c r="EQ1182" s="47"/>
      <c r="ER1182" s="47"/>
      <c r="ES1182" s="47"/>
      <c r="ET1182" s="47"/>
      <c r="EU1182" s="47"/>
      <c r="EV1182" s="47"/>
      <c r="EW1182" s="47"/>
      <c r="EX1182" s="47"/>
      <c r="EY1182" s="47"/>
      <c r="EZ1182" s="47"/>
      <c r="FA1182" s="47"/>
      <c r="FB1182" s="47"/>
      <c r="FC1182" s="47"/>
      <c r="FD1182" s="47"/>
      <c r="FE1182" s="47"/>
      <c r="FF1182" s="47"/>
      <c r="FG1182" s="47"/>
      <c r="FH1182" s="47"/>
      <c r="FI1182" s="47"/>
      <c r="FJ1182" s="47"/>
      <c r="FK1182" s="47"/>
      <c r="FL1182" s="47"/>
      <c r="FM1182" s="47"/>
      <c r="FN1182" s="47"/>
      <c r="FO1182" s="47"/>
      <c r="FP1182" s="47"/>
      <c r="FQ1182" s="47"/>
      <c r="FR1182" s="47"/>
      <c r="FS1182" s="47"/>
      <c r="FT1182" s="47"/>
      <c r="FU1182" s="47"/>
      <c r="FV1182" s="47"/>
      <c r="FW1182" s="47"/>
      <c r="FX1182" s="47"/>
      <c r="FY1182" s="47"/>
      <c r="FZ1182" s="47"/>
      <c r="GA1182" s="47"/>
      <c r="GB1182" s="47"/>
      <c r="GC1182" s="47"/>
      <c r="GD1182" s="47"/>
      <c r="GE1182" s="47"/>
      <c r="GF1182" s="47"/>
      <c r="GG1182" s="47"/>
      <c r="GH1182" s="47"/>
      <c r="GI1182" s="47"/>
      <c r="GJ1182" s="47"/>
      <c r="GK1182" s="47"/>
      <c r="GL1182" s="47"/>
      <c r="GM1182" s="47"/>
      <c r="GN1182" s="47"/>
      <c r="GO1182" s="47"/>
      <c r="GP1182" s="47"/>
      <c r="GQ1182" s="47"/>
      <c r="GR1182" s="47"/>
      <c r="GS1182" s="47"/>
      <c r="GT1182" s="47"/>
      <c r="GU1182" s="47"/>
      <c r="GV1182" s="47"/>
      <c r="GW1182" s="47"/>
      <c r="GX1182" s="47"/>
      <c r="GY1182" s="47"/>
      <c r="GZ1182" s="47"/>
      <c r="HA1182" s="47"/>
      <c r="HB1182" s="47"/>
      <c r="HC1182" s="47"/>
      <c r="HD1182" s="47"/>
      <c r="HE1182" s="47"/>
      <c r="HF1182" s="47"/>
      <c r="HG1182" s="47"/>
      <c r="HH1182" s="47"/>
      <c r="HI1182" s="47"/>
      <c r="HJ1182" s="47"/>
      <c r="HK1182" s="47"/>
      <c r="HL1182" s="47"/>
      <c r="HM1182" s="47"/>
      <c r="HN1182" s="47"/>
      <c r="HO1182" s="47"/>
      <c r="HP1182" s="47"/>
      <c r="HQ1182" s="47"/>
      <c r="HR1182" s="47"/>
      <c r="HS1182" s="47"/>
      <c r="HT1182" s="47"/>
      <c r="HU1182" s="47"/>
      <c r="HV1182" s="47"/>
      <c r="HW1182" s="47"/>
      <c r="HX1182" s="47"/>
      <c r="HY1182" s="47"/>
      <c r="HZ1182" s="47"/>
      <c r="IA1182" s="47"/>
      <c r="IB1182" s="47"/>
      <c r="IC1182" s="47"/>
      <c r="ID1182" s="47"/>
      <c r="IE1182" s="47"/>
      <c r="IF1182" s="47"/>
      <c r="IG1182" s="47"/>
      <c r="IH1182" s="47"/>
      <c r="II1182" s="47"/>
      <c r="IJ1182" s="47"/>
      <c r="IK1182" s="47"/>
      <c r="IL1182" s="47"/>
      <c r="IM1182" s="47"/>
      <c r="IN1182" s="47"/>
      <c r="IO1182" s="47"/>
      <c r="IP1182" s="47"/>
      <c r="IQ1182" s="47"/>
      <c r="IR1182" s="47"/>
      <c r="IS1182" s="47"/>
      <c r="IT1182" s="47"/>
      <c r="IU1182" s="47"/>
      <c r="IV1182" s="47"/>
      <c r="IW1182" s="47"/>
      <c r="IX1182" s="47"/>
      <c r="IY1182" s="47"/>
      <c r="IZ1182" s="47"/>
      <c r="JA1182" s="47"/>
      <c r="JB1182" s="47"/>
      <c r="JC1182" s="47"/>
      <c r="JD1182" s="47"/>
      <c r="JE1182" s="47"/>
      <c r="JF1182" s="47"/>
      <c r="JG1182" s="47"/>
      <c r="JH1182" s="47"/>
      <c r="JI1182" s="47"/>
      <c r="JJ1182" s="47"/>
      <c r="JK1182" s="47"/>
      <c r="JL1182" s="47"/>
      <c r="JM1182" s="47"/>
      <c r="JN1182" s="47"/>
      <c r="JO1182" s="47"/>
      <c r="JP1182" s="47"/>
      <c r="JQ1182" s="47"/>
      <c r="JR1182" s="47"/>
      <c r="JS1182" s="47"/>
      <c r="JT1182" s="47"/>
      <c r="JU1182" s="47"/>
      <c r="JV1182" s="47"/>
      <c r="JW1182" s="47"/>
      <c r="JX1182" s="47"/>
      <c r="JY1182" s="47"/>
      <c r="JZ1182" s="47"/>
      <c r="KA1182" s="47"/>
      <c r="KB1182" s="47"/>
      <c r="KC1182" s="47"/>
      <c r="KD1182" s="47"/>
      <c r="KE1182" s="47"/>
      <c r="KF1182" s="47"/>
      <c r="KG1182" s="47"/>
      <c r="KH1182" s="47"/>
      <c r="KI1182" s="47"/>
      <c r="KJ1182" s="47"/>
      <c r="KK1182" s="47"/>
      <c r="KL1182" s="47"/>
      <c r="KM1182" s="47"/>
      <c r="KN1182" s="47"/>
      <c r="KO1182" s="47"/>
      <c r="KP1182" s="47"/>
      <c r="KQ1182" s="47"/>
      <c r="KR1182" s="47"/>
      <c r="KS1182" s="47"/>
      <c r="KT1182" s="47"/>
      <c r="KU1182" s="47"/>
      <c r="KV1182" s="47"/>
      <c r="KW1182" s="47"/>
      <c r="KX1182" s="47"/>
      <c r="KY1182" s="47"/>
      <c r="KZ1182" s="47"/>
      <c r="LA1182" s="47"/>
      <c r="LB1182" s="47"/>
      <c r="LC1182" s="47"/>
      <c r="LD1182" s="47"/>
      <c r="LE1182" s="47"/>
      <c r="LF1182" s="47"/>
      <c r="LG1182" s="47"/>
      <c r="LH1182" s="47"/>
      <c r="LI1182" s="47"/>
      <c r="LJ1182" s="47"/>
      <c r="LK1182" s="47"/>
      <c r="LL1182" s="47"/>
      <c r="LM1182" s="47"/>
      <c r="LN1182" s="47"/>
      <c r="LO1182" s="47"/>
      <c r="LP1182" s="47"/>
      <c r="LQ1182" s="47"/>
      <c r="LR1182" s="47"/>
      <c r="LS1182" s="47"/>
      <c r="LT1182" s="47"/>
      <c r="LU1182" s="47"/>
      <c r="LV1182" s="47"/>
      <c r="LW1182" s="47"/>
      <c r="LX1182" s="47"/>
      <c r="LY1182" s="47"/>
      <c r="LZ1182" s="47"/>
      <c r="MA1182" s="47"/>
      <c r="MB1182" s="47"/>
      <c r="MC1182" s="47"/>
      <c r="MD1182" s="47"/>
      <c r="ME1182" s="47"/>
      <c r="MF1182" s="47"/>
      <c r="MG1182" s="47"/>
      <c r="MH1182" s="47"/>
      <c r="MI1182" s="47"/>
      <c r="MJ1182" s="47"/>
      <c r="MK1182" s="47"/>
      <c r="ML1182" s="47"/>
      <c r="MM1182" s="47"/>
      <c r="MN1182" s="47"/>
      <c r="MO1182" s="47"/>
      <c r="MP1182" s="47"/>
      <c r="MQ1182" s="47"/>
      <c r="MR1182" s="47"/>
      <c r="MS1182" s="47"/>
      <c r="MT1182" s="47"/>
      <c r="MU1182" s="47"/>
      <c r="MV1182" s="47"/>
      <c r="MW1182" s="47"/>
      <c r="MX1182" s="47"/>
      <c r="MY1182" s="47"/>
      <c r="MZ1182" s="47"/>
      <c r="NA1182" s="47"/>
      <c r="NB1182" s="47"/>
      <c r="NC1182" s="47"/>
      <c r="ND1182" s="47"/>
      <c r="NE1182" s="47"/>
      <c r="NF1182" s="47"/>
      <c r="NG1182" s="47"/>
      <c r="NH1182" s="47"/>
      <c r="NI1182" s="47"/>
      <c r="NJ1182" s="47"/>
      <c r="NK1182" s="47"/>
      <c r="NL1182" s="47"/>
      <c r="NM1182" s="47"/>
      <c r="NN1182" s="47"/>
      <c r="NO1182" s="47"/>
      <c r="NP1182" s="47"/>
      <c r="NQ1182" s="47"/>
      <c r="NR1182" s="47"/>
      <c r="NS1182" s="47"/>
      <c r="NT1182" s="47"/>
      <c r="NU1182" s="47"/>
      <c r="NV1182" s="47"/>
      <c r="NW1182" s="47"/>
      <c r="NX1182" s="47"/>
      <c r="NY1182" s="47"/>
      <c r="NZ1182" s="47"/>
      <c r="OA1182" s="47"/>
      <c r="OB1182" s="47"/>
      <c r="OC1182" s="47"/>
      <c r="OD1182" s="47"/>
      <c r="OE1182" s="47"/>
      <c r="OF1182" s="47"/>
      <c r="OG1182" s="47"/>
      <c r="OH1182" s="47"/>
      <c r="OI1182" s="47"/>
      <c r="OJ1182" s="47"/>
      <c r="OK1182" s="47"/>
      <c r="OL1182" s="47"/>
      <c r="OM1182" s="47"/>
      <c r="ON1182" s="47"/>
      <c r="OO1182" s="47"/>
      <c r="OP1182" s="47"/>
      <c r="OQ1182" s="47"/>
      <c r="OR1182" s="47"/>
      <c r="OS1182" s="47"/>
      <c r="OT1182" s="47"/>
      <c r="OU1182" s="47"/>
      <c r="OV1182" s="47"/>
      <c r="OW1182" s="47"/>
      <c r="OX1182" s="47"/>
      <c r="OY1182" s="47"/>
      <c r="OZ1182" s="47"/>
      <c r="PA1182" s="47"/>
      <c r="PB1182" s="47"/>
      <c r="PC1182" s="47"/>
      <c r="PD1182" s="47"/>
      <c r="PE1182" s="47"/>
      <c r="PF1182" s="47"/>
      <c r="PG1182" s="47"/>
      <c r="PH1182" s="47"/>
      <c r="PI1182" s="47"/>
      <c r="PJ1182" s="47"/>
      <c r="PK1182" s="47"/>
      <c r="PL1182" s="47"/>
      <c r="PM1182" s="47"/>
      <c r="PN1182" s="47"/>
      <c r="PO1182" s="47"/>
      <c r="PP1182" s="47"/>
      <c r="PQ1182" s="47"/>
      <c r="PR1182" s="47"/>
      <c r="PS1182" s="47"/>
      <c r="PT1182" s="47"/>
      <c r="PU1182" s="47"/>
      <c r="PV1182" s="47"/>
      <c r="PW1182" s="47"/>
      <c r="PX1182" s="47"/>
      <c r="PY1182" s="47"/>
      <c r="PZ1182" s="47"/>
      <c r="QA1182" s="47"/>
      <c r="QB1182" s="47"/>
      <c r="QC1182" s="47"/>
      <c r="QD1182" s="47"/>
      <c r="QE1182" s="47"/>
      <c r="QF1182" s="47"/>
      <c r="QG1182" s="47"/>
      <c r="QH1182" s="47"/>
      <c r="QI1182" s="47"/>
      <c r="QJ1182" s="47"/>
      <c r="QK1182" s="47"/>
      <c r="QL1182" s="47"/>
      <c r="QM1182" s="47"/>
      <c r="QN1182" s="47"/>
      <c r="QO1182" s="47"/>
      <c r="QP1182" s="47"/>
      <c r="QQ1182" s="47"/>
      <c r="QR1182" s="47"/>
      <c r="QS1182" s="47"/>
      <c r="QT1182" s="47"/>
      <c r="QU1182" s="47"/>
      <c r="QV1182" s="47"/>
      <c r="QW1182" s="47"/>
      <c r="QX1182" s="47"/>
      <c r="QY1182" s="47"/>
      <c r="QZ1182" s="47"/>
      <c r="RA1182" s="47"/>
      <c r="RB1182" s="47"/>
      <c r="RC1182" s="47"/>
      <c r="RD1182" s="47"/>
      <c r="RE1182" s="47"/>
      <c r="RF1182" s="47"/>
      <c r="RG1182" s="47"/>
      <c r="RH1182" s="47"/>
      <c r="RI1182" s="47"/>
      <c r="RJ1182" s="47"/>
      <c r="RK1182" s="47"/>
      <c r="RL1182" s="47"/>
      <c r="RM1182" s="47"/>
      <c r="RN1182" s="47"/>
      <c r="RO1182" s="47"/>
      <c r="RP1182" s="47"/>
      <c r="RQ1182" s="47"/>
      <c r="RR1182" s="47"/>
      <c r="RS1182" s="47"/>
      <c r="RT1182" s="47"/>
      <c r="RU1182" s="47"/>
      <c r="RV1182" s="47"/>
      <c r="RW1182" s="47"/>
      <c r="RX1182" s="47"/>
      <c r="RY1182" s="47"/>
      <c r="RZ1182" s="47"/>
      <c r="SA1182" s="47"/>
      <c r="SB1182" s="47"/>
      <c r="SC1182" s="47"/>
      <c r="SD1182" s="47"/>
      <c r="SE1182" s="47"/>
      <c r="SF1182" s="47"/>
      <c r="SG1182" s="47"/>
      <c r="SH1182" s="47"/>
      <c r="SI1182" s="47"/>
      <c r="SJ1182" s="47"/>
      <c r="SK1182" s="47"/>
      <c r="SL1182" s="47"/>
      <c r="SM1182" s="47"/>
      <c r="SN1182" s="47"/>
      <c r="SO1182" s="47"/>
      <c r="SP1182" s="47"/>
      <c r="SQ1182" s="47"/>
      <c r="SR1182" s="47"/>
      <c r="SS1182" s="47"/>
      <c r="ST1182" s="47"/>
      <c r="SU1182" s="47"/>
      <c r="SV1182" s="47"/>
      <c r="SW1182" s="47"/>
      <c r="SX1182" s="47"/>
      <c r="SY1182" s="47"/>
      <c r="SZ1182" s="47"/>
      <c r="TA1182" s="47"/>
      <c r="TB1182" s="47"/>
      <c r="TC1182" s="47"/>
      <c r="TD1182" s="47"/>
      <c r="TE1182" s="47"/>
      <c r="TF1182" s="47"/>
      <c r="TG1182" s="47"/>
      <c r="TH1182" s="47"/>
      <c r="TI1182" s="47"/>
      <c r="TJ1182" s="47"/>
      <c r="TK1182" s="47"/>
      <c r="TL1182" s="47"/>
      <c r="TM1182" s="47"/>
      <c r="TN1182" s="47"/>
      <c r="TO1182" s="47"/>
      <c r="TP1182" s="47"/>
      <c r="TQ1182" s="47"/>
      <c r="TR1182" s="47"/>
      <c r="TS1182" s="47"/>
      <c r="TT1182" s="47"/>
      <c r="TU1182" s="47"/>
      <c r="TV1182" s="47"/>
      <c r="TW1182" s="47"/>
      <c r="TX1182" s="47"/>
      <c r="TY1182" s="47"/>
      <c r="TZ1182" s="47"/>
      <c r="UA1182" s="47"/>
      <c r="UB1182" s="47"/>
      <c r="UC1182" s="47"/>
      <c r="UD1182" s="47"/>
      <c r="UE1182" s="47"/>
      <c r="UF1182" s="47"/>
      <c r="UG1182" s="23"/>
    </row>
    <row r="1183" spans="1:553" ht="34.5" customHeight="1">
      <c r="A1183" s="356"/>
      <c r="B1183" s="385"/>
      <c r="C1183" s="384" t="str">
        <f>'Phương án chi tiết'!C1082</f>
        <v>Đất chuyên trồng lúa nước (LUC)</v>
      </c>
      <c r="D1183" s="376" t="str">
        <f>'Phương án chi tiết'!D1085</f>
        <v>1</v>
      </c>
      <c r="E1183" s="376" t="str">
        <f>'Phương án chi tiết'!E1082</f>
        <v>326</v>
      </c>
      <c r="F1183" s="385"/>
      <c r="G1183" s="386" t="s">
        <v>935</v>
      </c>
      <c r="H1183" s="370"/>
      <c r="I1183" s="422">
        <f>'Phương án chi tiết'!I1082</f>
        <v>590.20000000000005</v>
      </c>
      <c r="J1183" s="368">
        <v>72000</v>
      </c>
      <c r="K1183" s="848">
        <v>3</v>
      </c>
      <c r="L1183" s="480">
        <f t="shared" si="174"/>
        <v>127483200</v>
      </c>
      <c r="M1183" s="366"/>
      <c r="N1183" s="366"/>
      <c r="O1183" s="366"/>
      <c r="P1183" s="366"/>
      <c r="Q1183" s="812"/>
      <c r="R1183" s="1452"/>
      <c r="S1183" s="308"/>
      <c r="T1183" s="308"/>
      <c r="U1183" s="308"/>
      <c r="V1183" s="308"/>
      <c r="W1183" s="308"/>
      <c r="X1183" s="308"/>
      <c r="Y1183" s="308"/>
      <c r="Z1183" s="604"/>
      <c r="AA1183" s="308"/>
      <c r="AB1183" s="308"/>
      <c r="AC1183" s="373"/>
      <c r="AD1183" s="373"/>
      <c r="AE1183" s="373"/>
      <c r="AF1183" s="373"/>
      <c r="AG1183" s="373"/>
      <c r="AH1183" s="373"/>
      <c r="AI1183" s="373"/>
      <c r="AJ1183" s="373"/>
      <c r="AK1183" s="389"/>
      <c r="AL1183" s="45"/>
      <c r="AM1183" s="46"/>
      <c r="AN1183" s="46"/>
      <c r="AO1183" s="46"/>
      <c r="AP1183" s="46"/>
      <c r="AQ1183" s="46"/>
      <c r="AR1183" s="46"/>
      <c r="AS1183" s="47"/>
      <c r="AT1183" s="47"/>
      <c r="AU1183" s="47"/>
      <c r="AV1183" s="47"/>
      <c r="AW1183" s="47"/>
      <c r="AX1183" s="47"/>
      <c r="AY1183" s="47"/>
      <c r="AZ1183" s="47"/>
      <c r="BA1183" s="47"/>
      <c r="BB1183" s="47"/>
      <c r="BC1183" s="47"/>
      <c r="BD1183" s="47"/>
      <c r="BE1183" s="47"/>
      <c r="BF1183" s="47"/>
      <c r="BG1183" s="47"/>
      <c r="BH1183" s="47"/>
      <c r="BI1183" s="47"/>
      <c r="BJ1183" s="47"/>
      <c r="BK1183" s="47"/>
      <c r="BL1183" s="47"/>
      <c r="BM1183" s="47"/>
      <c r="BN1183" s="47"/>
      <c r="BO1183" s="47"/>
      <c r="BP1183" s="47"/>
      <c r="BQ1183" s="47"/>
      <c r="BR1183" s="47"/>
      <c r="BS1183" s="47"/>
      <c r="BT1183" s="47"/>
      <c r="BU1183" s="47"/>
      <c r="BV1183" s="47"/>
      <c r="BW1183" s="47"/>
      <c r="BX1183" s="47"/>
      <c r="BY1183" s="47"/>
      <c r="BZ1183" s="47"/>
      <c r="CA1183" s="47"/>
      <c r="CB1183" s="47"/>
      <c r="CC1183" s="47"/>
      <c r="CD1183" s="47"/>
      <c r="CE1183" s="47"/>
      <c r="CF1183" s="47"/>
      <c r="CG1183" s="47"/>
      <c r="CH1183" s="47"/>
      <c r="CI1183" s="47"/>
      <c r="CJ1183" s="47"/>
      <c r="CK1183" s="47"/>
      <c r="CL1183" s="47"/>
      <c r="CM1183" s="47"/>
      <c r="CN1183" s="47"/>
      <c r="CO1183" s="47"/>
      <c r="CP1183" s="47"/>
      <c r="CQ1183" s="47"/>
      <c r="CR1183" s="47"/>
      <c r="CS1183" s="47"/>
      <c r="CT1183" s="47"/>
      <c r="CU1183" s="47"/>
      <c r="CV1183" s="47"/>
      <c r="CW1183" s="47"/>
      <c r="CX1183" s="47"/>
      <c r="CY1183" s="47"/>
      <c r="CZ1183" s="47"/>
      <c r="DA1183" s="47"/>
      <c r="DB1183" s="47"/>
      <c r="DC1183" s="47"/>
      <c r="DD1183" s="47"/>
      <c r="DE1183" s="47"/>
      <c r="DF1183" s="47"/>
      <c r="DG1183" s="47"/>
      <c r="DH1183" s="47"/>
      <c r="DI1183" s="47"/>
      <c r="DJ1183" s="47"/>
      <c r="DK1183" s="47"/>
      <c r="DL1183" s="47"/>
      <c r="DM1183" s="47"/>
      <c r="DN1183" s="47"/>
      <c r="DO1183" s="47"/>
      <c r="DP1183" s="47"/>
      <c r="DQ1183" s="47"/>
      <c r="DR1183" s="47"/>
      <c r="DS1183" s="47"/>
      <c r="DT1183" s="47"/>
      <c r="DU1183" s="47"/>
      <c r="DV1183" s="47"/>
      <c r="DW1183" s="47"/>
      <c r="DX1183" s="47"/>
      <c r="DY1183" s="47"/>
      <c r="DZ1183" s="47"/>
      <c r="EA1183" s="47"/>
      <c r="EB1183" s="47"/>
      <c r="EC1183" s="47"/>
      <c r="ED1183" s="47"/>
      <c r="EE1183" s="47"/>
      <c r="EF1183" s="47"/>
      <c r="EG1183" s="47"/>
      <c r="EH1183" s="47"/>
      <c r="EI1183" s="47"/>
      <c r="EJ1183" s="47"/>
      <c r="EK1183" s="47"/>
      <c r="EL1183" s="47"/>
      <c r="EM1183" s="47"/>
      <c r="EN1183" s="47"/>
      <c r="EO1183" s="47"/>
      <c r="EP1183" s="47"/>
      <c r="EQ1183" s="47"/>
      <c r="ER1183" s="47"/>
      <c r="ES1183" s="47"/>
      <c r="ET1183" s="47"/>
      <c r="EU1183" s="47"/>
      <c r="EV1183" s="47"/>
      <c r="EW1183" s="47"/>
      <c r="EX1183" s="47"/>
      <c r="EY1183" s="47"/>
      <c r="EZ1183" s="47"/>
      <c r="FA1183" s="47"/>
      <c r="FB1183" s="47"/>
      <c r="FC1183" s="47"/>
      <c r="FD1183" s="47"/>
      <c r="FE1183" s="47"/>
      <c r="FF1183" s="47"/>
      <c r="FG1183" s="47"/>
      <c r="FH1183" s="47"/>
      <c r="FI1183" s="47"/>
      <c r="FJ1183" s="47"/>
      <c r="FK1183" s="47"/>
      <c r="FL1183" s="47"/>
      <c r="FM1183" s="47"/>
      <c r="FN1183" s="47"/>
      <c r="FO1183" s="47"/>
      <c r="FP1183" s="47"/>
      <c r="FQ1183" s="47"/>
      <c r="FR1183" s="47"/>
      <c r="FS1183" s="47"/>
      <c r="FT1183" s="47"/>
      <c r="FU1183" s="47"/>
      <c r="FV1183" s="47"/>
      <c r="FW1183" s="47"/>
      <c r="FX1183" s="47"/>
      <c r="FY1183" s="47"/>
      <c r="FZ1183" s="47"/>
      <c r="GA1183" s="47"/>
      <c r="GB1183" s="47"/>
      <c r="GC1183" s="47"/>
      <c r="GD1183" s="47"/>
      <c r="GE1183" s="47"/>
      <c r="GF1183" s="47"/>
      <c r="GG1183" s="47"/>
      <c r="GH1183" s="47"/>
      <c r="GI1183" s="47"/>
      <c r="GJ1183" s="47"/>
      <c r="GK1183" s="47"/>
      <c r="GL1183" s="47"/>
      <c r="GM1183" s="47"/>
      <c r="GN1183" s="47"/>
      <c r="GO1183" s="47"/>
      <c r="GP1183" s="47"/>
      <c r="GQ1183" s="47"/>
      <c r="GR1183" s="47"/>
      <c r="GS1183" s="47"/>
      <c r="GT1183" s="47"/>
      <c r="GU1183" s="47"/>
      <c r="GV1183" s="47"/>
      <c r="GW1183" s="47"/>
      <c r="GX1183" s="47"/>
      <c r="GY1183" s="47"/>
      <c r="GZ1183" s="47"/>
      <c r="HA1183" s="47"/>
      <c r="HB1183" s="47"/>
      <c r="HC1183" s="47"/>
      <c r="HD1183" s="47"/>
      <c r="HE1183" s="47"/>
      <c r="HF1183" s="47"/>
      <c r="HG1183" s="47"/>
      <c r="HH1183" s="47"/>
      <c r="HI1183" s="47"/>
      <c r="HJ1183" s="47"/>
      <c r="HK1183" s="47"/>
      <c r="HL1183" s="47"/>
      <c r="HM1183" s="47"/>
      <c r="HN1183" s="47"/>
      <c r="HO1183" s="47"/>
      <c r="HP1183" s="47"/>
      <c r="HQ1183" s="47"/>
      <c r="HR1183" s="47"/>
      <c r="HS1183" s="47"/>
      <c r="HT1183" s="47"/>
      <c r="HU1183" s="47"/>
      <c r="HV1183" s="47"/>
      <c r="HW1183" s="47"/>
      <c r="HX1183" s="47"/>
      <c r="HY1183" s="47"/>
      <c r="HZ1183" s="47"/>
      <c r="IA1183" s="47"/>
      <c r="IB1183" s="47"/>
      <c r="IC1183" s="47"/>
      <c r="ID1183" s="47"/>
      <c r="IE1183" s="47"/>
      <c r="IF1183" s="47"/>
      <c r="IG1183" s="47"/>
      <c r="IH1183" s="47"/>
      <c r="II1183" s="47"/>
      <c r="IJ1183" s="47"/>
      <c r="IK1183" s="47"/>
      <c r="IL1183" s="47"/>
      <c r="IM1183" s="47"/>
      <c r="IN1183" s="47"/>
      <c r="IO1183" s="47"/>
      <c r="IP1183" s="47"/>
      <c r="IQ1183" s="47"/>
      <c r="IR1183" s="47"/>
      <c r="IS1183" s="47"/>
      <c r="IT1183" s="47"/>
      <c r="IU1183" s="47"/>
      <c r="IV1183" s="47"/>
      <c r="IW1183" s="47"/>
      <c r="IX1183" s="47"/>
      <c r="IY1183" s="47"/>
      <c r="IZ1183" s="47"/>
      <c r="JA1183" s="47"/>
      <c r="JB1183" s="47"/>
      <c r="JC1183" s="47"/>
      <c r="JD1183" s="47"/>
      <c r="JE1183" s="47"/>
      <c r="JF1183" s="47"/>
      <c r="JG1183" s="47"/>
      <c r="JH1183" s="47"/>
      <c r="JI1183" s="47"/>
      <c r="JJ1183" s="47"/>
      <c r="JK1183" s="47"/>
      <c r="JL1183" s="47"/>
      <c r="JM1183" s="47"/>
      <c r="JN1183" s="47"/>
      <c r="JO1183" s="47"/>
      <c r="JP1183" s="47"/>
      <c r="JQ1183" s="47"/>
      <c r="JR1183" s="47"/>
      <c r="JS1183" s="47"/>
      <c r="JT1183" s="47"/>
      <c r="JU1183" s="47"/>
      <c r="JV1183" s="47"/>
      <c r="JW1183" s="47"/>
      <c r="JX1183" s="47"/>
      <c r="JY1183" s="47"/>
      <c r="JZ1183" s="47"/>
      <c r="KA1183" s="47"/>
      <c r="KB1183" s="47"/>
      <c r="KC1183" s="47"/>
      <c r="KD1183" s="47"/>
      <c r="KE1183" s="47"/>
      <c r="KF1183" s="47"/>
      <c r="KG1183" s="47"/>
      <c r="KH1183" s="47"/>
      <c r="KI1183" s="47"/>
      <c r="KJ1183" s="47"/>
      <c r="KK1183" s="47"/>
      <c r="KL1183" s="47"/>
      <c r="KM1183" s="47"/>
      <c r="KN1183" s="47"/>
      <c r="KO1183" s="47"/>
      <c r="KP1183" s="47"/>
      <c r="KQ1183" s="47"/>
      <c r="KR1183" s="47"/>
      <c r="KS1183" s="47"/>
      <c r="KT1183" s="47"/>
      <c r="KU1183" s="47"/>
      <c r="KV1183" s="47"/>
      <c r="KW1183" s="47"/>
      <c r="KX1183" s="47"/>
      <c r="KY1183" s="47"/>
      <c r="KZ1183" s="47"/>
      <c r="LA1183" s="47"/>
      <c r="LB1183" s="47"/>
      <c r="LC1183" s="47"/>
      <c r="LD1183" s="47"/>
      <c r="LE1183" s="47"/>
      <c r="LF1183" s="47"/>
      <c r="LG1183" s="47"/>
      <c r="LH1183" s="47"/>
      <c r="LI1183" s="47"/>
      <c r="LJ1183" s="47"/>
      <c r="LK1183" s="47"/>
      <c r="LL1183" s="47"/>
      <c r="LM1183" s="47"/>
      <c r="LN1183" s="47"/>
      <c r="LO1183" s="47"/>
      <c r="LP1183" s="47"/>
      <c r="LQ1183" s="47"/>
      <c r="LR1183" s="47"/>
      <c r="LS1183" s="47"/>
      <c r="LT1183" s="47"/>
      <c r="LU1183" s="47"/>
      <c r="LV1183" s="47"/>
      <c r="LW1183" s="47"/>
      <c r="LX1183" s="47"/>
      <c r="LY1183" s="47"/>
      <c r="LZ1183" s="47"/>
      <c r="MA1183" s="47"/>
      <c r="MB1183" s="47"/>
      <c r="MC1183" s="47"/>
      <c r="MD1183" s="47"/>
      <c r="ME1183" s="47"/>
      <c r="MF1183" s="47"/>
      <c r="MG1183" s="47"/>
      <c r="MH1183" s="47"/>
      <c r="MI1183" s="47"/>
      <c r="MJ1183" s="47"/>
      <c r="MK1183" s="47"/>
      <c r="ML1183" s="47"/>
      <c r="MM1183" s="47"/>
      <c r="MN1183" s="47"/>
      <c r="MO1183" s="47"/>
      <c r="MP1183" s="47"/>
      <c r="MQ1183" s="47"/>
      <c r="MR1183" s="47"/>
      <c r="MS1183" s="47"/>
      <c r="MT1183" s="47"/>
      <c r="MU1183" s="47"/>
      <c r="MV1183" s="47"/>
      <c r="MW1183" s="47"/>
      <c r="MX1183" s="47"/>
      <c r="MY1183" s="47"/>
      <c r="MZ1183" s="47"/>
      <c r="NA1183" s="47"/>
      <c r="NB1183" s="47"/>
      <c r="NC1183" s="47"/>
      <c r="ND1183" s="47"/>
      <c r="NE1183" s="47"/>
      <c r="NF1183" s="47"/>
      <c r="NG1183" s="47"/>
      <c r="NH1183" s="47"/>
      <c r="NI1183" s="47"/>
      <c r="NJ1183" s="47"/>
      <c r="NK1183" s="47"/>
      <c r="NL1183" s="47"/>
      <c r="NM1183" s="47"/>
      <c r="NN1183" s="47"/>
      <c r="NO1183" s="47"/>
      <c r="NP1183" s="47"/>
      <c r="NQ1183" s="47"/>
      <c r="NR1183" s="47"/>
      <c r="NS1183" s="47"/>
      <c r="NT1183" s="47"/>
      <c r="NU1183" s="47"/>
      <c r="NV1183" s="47"/>
      <c r="NW1183" s="47"/>
      <c r="NX1183" s="47"/>
      <c r="NY1183" s="47"/>
      <c r="NZ1183" s="47"/>
      <c r="OA1183" s="47"/>
      <c r="OB1183" s="47"/>
      <c r="OC1183" s="47"/>
      <c r="OD1183" s="47"/>
      <c r="OE1183" s="47"/>
      <c r="OF1183" s="47"/>
      <c r="OG1183" s="47"/>
      <c r="OH1183" s="47"/>
      <c r="OI1183" s="47"/>
      <c r="OJ1183" s="47"/>
      <c r="OK1183" s="47"/>
      <c r="OL1183" s="47"/>
      <c r="OM1183" s="47"/>
      <c r="ON1183" s="47"/>
      <c r="OO1183" s="47"/>
      <c r="OP1183" s="47"/>
      <c r="OQ1183" s="47"/>
      <c r="OR1183" s="47"/>
      <c r="OS1183" s="47"/>
      <c r="OT1183" s="47"/>
      <c r="OU1183" s="47"/>
      <c r="OV1183" s="47"/>
      <c r="OW1183" s="47"/>
      <c r="OX1183" s="47"/>
      <c r="OY1183" s="47"/>
      <c r="OZ1183" s="47"/>
      <c r="PA1183" s="47"/>
      <c r="PB1183" s="47"/>
      <c r="PC1183" s="47"/>
      <c r="PD1183" s="47"/>
      <c r="PE1183" s="47"/>
      <c r="PF1183" s="47"/>
      <c r="PG1183" s="47"/>
      <c r="PH1183" s="47"/>
      <c r="PI1183" s="47"/>
      <c r="PJ1183" s="47"/>
      <c r="PK1183" s="47"/>
      <c r="PL1183" s="47"/>
      <c r="PM1183" s="47"/>
      <c r="PN1183" s="47"/>
      <c r="PO1183" s="47"/>
      <c r="PP1183" s="47"/>
      <c r="PQ1183" s="47"/>
      <c r="PR1183" s="47"/>
      <c r="PS1183" s="47"/>
      <c r="PT1183" s="47"/>
      <c r="PU1183" s="47"/>
      <c r="PV1183" s="47"/>
      <c r="PW1183" s="47"/>
      <c r="PX1183" s="47"/>
      <c r="PY1183" s="47"/>
      <c r="PZ1183" s="47"/>
      <c r="QA1183" s="47"/>
      <c r="QB1183" s="47"/>
      <c r="QC1183" s="47"/>
      <c r="QD1183" s="47"/>
      <c r="QE1183" s="47"/>
      <c r="QF1183" s="47"/>
      <c r="QG1183" s="47"/>
      <c r="QH1183" s="47"/>
      <c r="QI1183" s="47"/>
      <c r="QJ1183" s="47"/>
      <c r="QK1183" s="47"/>
      <c r="QL1183" s="47"/>
      <c r="QM1183" s="47"/>
      <c r="QN1183" s="47"/>
      <c r="QO1183" s="47"/>
      <c r="QP1183" s="47"/>
      <c r="QQ1183" s="47"/>
      <c r="QR1183" s="47"/>
      <c r="QS1183" s="47"/>
      <c r="QT1183" s="47"/>
      <c r="QU1183" s="47"/>
      <c r="QV1183" s="47"/>
      <c r="QW1183" s="47"/>
      <c r="QX1183" s="47"/>
      <c r="QY1183" s="47"/>
      <c r="QZ1183" s="47"/>
      <c r="RA1183" s="47"/>
      <c r="RB1183" s="47"/>
      <c r="RC1183" s="47"/>
      <c r="RD1183" s="47"/>
      <c r="RE1183" s="47"/>
      <c r="RF1183" s="47"/>
      <c r="RG1183" s="47"/>
      <c r="RH1183" s="47"/>
      <c r="RI1183" s="47"/>
      <c r="RJ1183" s="47"/>
      <c r="RK1183" s="47"/>
      <c r="RL1183" s="47"/>
      <c r="RM1183" s="47"/>
      <c r="RN1183" s="47"/>
      <c r="RO1183" s="47"/>
      <c r="RP1183" s="47"/>
      <c r="RQ1183" s="47"/>
      <c r="RR1183" s="47"/>
      <c r="RS1183" s="47"/>
      <c r="RT1183" s="47"/>
      <c r="RU1183" s="47"/>
      <c r="RV1183" s="47"/>
      <c r="RW1183" s="47"/>
      <c r="RX1183" s="47"/>
      <c r="RY1183" s="47"/>
      <c r="RZ1183" s="47"/>
      <c r="SA1183" s="47"/>
      <c r="SB1183" s="47"/>
      <c r="SC1183" s="47"/>
      <c r="SD1183" s="47"/>
      <c r="SE1183" s="47"/>
      <c r="SF1183" s="47"/>
      <c r="SG1183" s="47"/>
      <c r="SH1183" s="47"/>
      <c r="SI1183" s="47"/>
      <c r="SJ1183" s="47"/>
      <c r="SK1183" s="47"/>
      <c r="SL1183" s="47"/>
      <c r="SM1183" s="47"/>
      <c r="SN1183" s="47"/>
      <c r="SO1183" s="47"/>
      <c r="SP1183" s="47"/>
      <c r="SQ1183" s="47"/>
      <c r="SR1183" s="47"/>
      <c r="SS1183" s="47"/>
      <c r="ST1183" s="47"/>
      <c r="SU1183" s="47"/>
      <c r="SV1183" s="47"/>
      <c r="SW1183" s="47"/>
      <c r="SX1183" s="47"/>
      <c r="SY1183" s="47"/>
      <c r="SZ1183" s="47"/>
      <c r="TA1183" s="47"/>
      <c r="TB1183" s="47"/>
      <c r="TC1183" s="47"/>
      <c r="TD1183" s="47"/>
      <c r="TE1183" s="47"/>
      <c r="TF1183" s="47"/>
      <c r="TG1183" s="47"/>
      <c r="TH1183" s="47"/>
      <c r="TI1183" s="47"/>
      <c r="TJ1183" s="47"/>
      <c r="TK1183" s="47"/>
      <c r="TL1183" s="47"/>
      <c r="TM1183" s="47"/>
      <c r="TN1183" s="47"/>
      <c r="TO1183" s="47"/>
      <c r="TP1183" s="47"/>
      <c r="TQ1183" s="47"/>
      <c r="TR1183" s="47"/>
      <c r="TS1183" s="47"/>
      <c r="TT1183" s="47"/>
      <c r="TU1183" s="47"/>
      <c r="TV1183" s="47"/>
      <c r="TW1183" s="47"/>
      <c r="TX1183" s="47"/>
      <c r="TY1183" s="47"/>
      <c r="TZ1183" s="47"/>
      <c r="UA1183" s="47"/>
      <c r="UB1183" s="47"/>
      <c r="UC1183" s="47"/>
      <c r="UD1183" s="47"/>
      <c r="UE1183" s="47"/>
      <c r="UF1183" s="47"/>
      <c r="UG1183" s="23"/>
    </row>
    <row r="1184" spans="1:553" ht="34.5" customHeight="1">
      <c r="A1184" s="356"/>
      <c r="B1184" s="385"/>
      <c r="C1184" s="384" t="str">
        <f>'Phương án chi tiết'!C1083</f>
        <v>Đất chuyên trồng lúa nước (LUC)</v>
      </c>
      <c r="D1184" s="376" t="str">
        <f>'Phương án chi tiết'!D1086</f>
        <v>1</v>
      </c>
      <c r="E1184" s="376" t="str">
        <f>'Phương án chi tiết'!E1083</f>
        <v>235</v>
      </c>
      <c r="F1184" s="385"/>
      <c r="G1184" s="386" t="s">
        <v>935</v>
      </c>
      <c r="H1184" s="370"/>
      <c r="I1184" s="422">
        <f>'Phương án chi tiết'!I1083</f>
        <v>483.8</v>
      </c>
      <c r="J1184" s="368">
        <v>72000</v>
      </c>
      <c r="K1184" s="848">
        <v>3</v>
      </c>
      <c r="L1184" s="480">
        <f t="shared" si="174"/>
        <v>104500800</v>
      </c>
      <c r="M1184" s="366"/>
      <c r="N1184" s="366"/>
      <c r="O1184" s="366"/>
      <c r="P1184" s="366"/>
      <c r="Q1184" s="812"/>
      <c r="R1184" s="1452"/>
      <c r="S1184" s="308"/>
      <c r="T1184" s="308"/>
      <c r="U1184" s="308"/>
      <c r="V1184" s="308"/>
      <c r="W1184" s="308"/>
      <c r="X1184" s="308"/>
      <c r="Y1184" s="308"/>
      <c r="Z1184" s="604"/>
      <c r="AA1184" s="308"/>
      <c r="AB1184" s="308"/>
      <c r="AC1184" s="373"/>
      <c r="AD1184" s="373"/>
      <c r="AE1184" s="373"/>
      <c r="AF1184" s="373"/>
      <c r="AG1184" s="373"/>
      <c r="AH1184" s="373"/>
      <c r="AI1184" s="373"/>
      <c r="AJ1184" s="373"/>
      <c r="AK1184" s="389"/>
      <c r="AL1184" s="45"/>
      <c r="AM1184" s="46"/>
      <c r="AN1184" s="46"/>
      <c r="AO1184" s="46"/>
      <c r="AP1184" s="46"/>
      <c r="AQ1184" s="46"/>
      <c r="AR1184" s="46"/>
      <c r="AS1184" s="47"/>
      <c r="AT1184" s="47"/>
      <c r="AU1184" s="47"/>
      <c r="AV1184" s="47"/>
      <c r="AW1184" s="47"/>
      <c r="AX1184" s="47"/>
      <c r="AY1184" s="47"/>
      <c r="AZ1184" s="47"/>
      <c r="BA1184" s="47"/>
      <c r="BB1184" s="47"/>
      <c r="BC1184" s="47"/>
      <c r="BD1184" s="47"/>
      <c r="BE1184" s="47"/>
      <c r="BF1184" s="47"/>
      <c r="BG1184" s="47"/>
      <c r="BH1184" s="47"/>
      <c r="BI1184" s="47"/>
      <c r="BJ1184" s="47"/>
      <c r="BK1184" s="47"/>
      <c r="BL1184" s="47"/>
      <c r="BM1184" s="47"/>
      <c r="BN1184" s="47"/>
      <c r="BO1184" s="47"/>
      <c r="BP1184" s="47"/>
      <c r="BQ1184" s="47"/>
      <c r="BR1184" s="47"/>
      <c r="BS1184" s="47"/>
      <c r="BT1184" s="47"/>
      <c r="BU1184" s="47"/>
      <c r="BV1184" s="47"/>
      <c r="BW1184" s="47"/>
      <c r="BX1184" s="47"/>
      <c r="BY1184" s="47"/>
      <c r="BZ1184" s="47"/>
      <c r="CA1184" s="47"/>
      <c r="CB1184" s="47"/>
      <c r="CC1184" s="47"/>
      <c r="CD1184" s="47"/>
      <c r="CE1184" s="47"/>
      <c r="CF1184" s="47"/>
      <c r="CG1184" s="47"/>
      <c r="CH1184" s="47"/>
      <c r="CI1184" s="47"/>
      <c r="CJ1184" s="47"/>
      <c r="CK1184" s="47"/>
      <c r="CL1184" s="47"/>
      <c r="CM1184" s="47"/>
      <c r="CN1184" s="47"/>
      <c r="CO1184" s="47"/>
      <c r="CP1184" s="47"/>
      <c r="CQ1184" s="47"/>
      <c r="CR1184" s="47"/>
      <c r="CS1184" s="47"/>
      <c r="CT1184" s="47"/>
      <c r="CU1184" s="47"/>
      <c r="CV1184" s="47"/>
      <c r="CW1184" s="47"/>
      <c r="CX1184" s="47"/>
      <c r="CY1184" s="47"/>
      <c r="CZ1184" s="47"/>
      <c r="DA1184" s="47"/>
      <c r="DB1184" s="47"/>
      <c r="DC1184" s="47"/>
      <c r="DD1184" s="47"/>
      <c r="DE1184" s="47"/>
      <c r="DF1184" s="47"/>
      <c r="DG1184" s="47"/>
      <c r="DH1184" s="47"/>
      <c r="DI1184" s="47"/>
      <c r="DJ1184" s="47"/>
      <c r="DK1184" s="47"/>
      <c r="DL1184" s="47"/>
      <c r="DM1184" s="47"/>
      <c r="DN1184" s="47"/>
      <c r="DO1184" s="47"/>
      <c r="DP1184" s="47"/>
      <c r="DQ1184" s="47"/>
      <c r="DR1184" s="47"/>
      <c r="DS1184" s="47"/>
      <c r="DT1184" s="47"/>
      <c r="DU1184" s="47"/>
      <c r="DV1184" s="47"/>
      <c r="DW1184" s="47"/>
      <c r="DX1184" s="47"/>
      <c r="DY1184" s="47"/>
      <c r="DZ1184" s="47"/>
      <c r="EA1184" s="47"/>
      <c r="EB1184" s="47"/>
      <c r="EC1184" s="47"/>
      <c r="ED1184" s="47"/>
      <c r="EE1184" s="47"/>
      <c r="EF1184" s="47"/>
      <c r="EG1184" s="47"/>
      <c r="EH1184" s="47"/>
      <c r="EI1184" s="47"/>
      <c r="EJ1184" s="47"/>
      <c r="EK1184" s="47"/>
      <c r="EL1184" s="47"/>
      <c r="EM1184" s="47"/>
      <c r="EN1184" s="47"/>
      <c r="EO1184" s="47"/>
      <c r="EP1184" s="47"/>
      <c r="EQ1184" s="47"/>
      <c r="ER1184" s="47"/>
      <c r="ES1184" s="47"/>
      <c r="ET1184" s="47"/>
      <c r="EU1184" s="47"/>
      <c r="EV1184" s="47"/>
      <c r="EW1184" s="47"/>
      <c r="EX1184" s="47"/>
      <c r="EY1184" s="47"/>
      <c r="EZ1184" s="47"/>
      <c r="FA1184" s="47"/>
      <c r="FB1184" s="47"/>
      <c r="FC1184" s="47"/>
      <c r="FD1184" s="47"/>
      <c r="FE1184" s="47"/>
      <c r="FF1184" s="47"/>
      <c r="FG1184" s="47"/>
      <c r="FH1184" s="47"/>
      <c r="FI1184" s="47"/>
      <c r="FJ1184" s="47"/>
      <c r="FK1184" s="47"/>
      <c r="FL1184" s="47"/>
      <c r="FM1184" s="47"/>
      <c r="FN1184" s="47"/>
      <c r="FO1184" s="47"/>
      <c r="FP1184" s="47"/>
      <c r="FQ1184" s="47"/>
      <c r="FR1184" s="47"/>
      <c r="FS1184" s="47"/>
      <c r="FT1184" s="47"/>
      <c r="FU1184" s="47"/>
      <c r="FV1184" s="47"/>
      <c r="FW1184" s="47"/>
      <c r="FX1184" s="47"/>
      <c r="FY1184" s="47"/>
      <c r="FZ1184" s="47"/>
      <c r="GA1184" s="47"/>
      <c r="GB1184" s="47"/>
      <c r="GC1184" s="47"/>
      <c r="GD1184" s="47"/>
      <c r="GE1184" s="47"/>
      <c r="GF1184" s="47"/>
      <c r="GG1184" s="47"/>
      <c r="GH1184" s="47"/>
      <c r="GI1184" s="47"/>
      <c r="GJ1184" s="47"/>
      <c r="GK1184" s="47"/>
      <c r="GL1184" s="47"/>
      <c r="GM1184" s="47"/>
      <c r="GN1184" s="47"/>
      <c r="GO1184" s="47"/>
      <c r="GP1184" s="47"/>
      <c r="GQ1184" s="47"/>
      <c r="GR1184" s="47"/>
      <c r="GS1184" s="47"/>
      <c r="GT1184" s="47"/>
      <c r="GU1184" s="47"/>
      <c r="GV1184" s="47"/>
      <c r="GW1184" s="47"/>
      <c r="GX1184" s="47"/>
      <c r="GY1184" s="47"/>
      <c r="GZ1184" s="47"/>
      <c r="HA1184" s="47"/>
      <c r="HB1184" s="47"/>
      <c r="HC1184" s="47"/>
      <c r="HD1184" s="47"/>
      <c r="HE1184" s="47"/>
      <c r="HF1184" s="47"/>
      <c r="HG1184" s="47"/>
      <c r="HH1184" s="47"/>
      <c r="HI1184" s="47"/>
      <c r="HJ1184" s="47"/>
      <c r="HK1184" s="47"/>
      <c r="HL1184" s="47"/>
      <c r="HM1184" s="47"/>
      <c r="HN1184" s="47"/>
      <c r="HO1184" s="47"/>
      <c r="HP1184" s="47"/>
      <c r="HQ1184" s="47"/>
      <c r="HR1184" s="47"/>
      <c r="HS1184" s="47"/>
      <c r="HT1184" s="47"/>
      <c r="HU1184" s="47"/>
      <c r="HV1184" s="47"/>
      <c r="HW1184" s="47"/>
      <c r="HX1184" s="47"/>
      <c r="HY1184" s="47"/>
      <c r="HZ1184" s="47"/>
      <c r="IA1184" s="47"/>
      <c r="IB1184" s="47"/>
      <c r="IC1184" s="47"/>
      <c r="ID1184" s="47"/>
      <c r="IE1184" s="47"/>
      <c r="IF1184" s="47"/>
      <c r="IG1184" s="47"/>
      <c r="IH1184" s="47"/>
      <c r="II1184" s="47"/>
      <c r="IJ1184" s="47"/>
      <c r="IK1184" s="47"/>
      <c r="IL1184" s="47"/>
      <c r="IM1184" s="47"/>
      <c r="IN1184" s="47"/>
      <c r="IO1184" s="47"/>
      <c r="IP1184" s="47"/>
      <c r="IQ1184" s="47"/>
      <c r="IR1184" s="47"/>
      <c r="IS1184" s="47"/>
      <c r="IT1184" s="47"/>
      <c r="IU1184" s="47"/>
      <c r="IV1184" s="47"/>
      <c r="IW1184" s="47"/>
      <c r="IX1184" s="47"/>
      <c r="IY1184" s="47"/>
      <c r="IZ1184" s="47"/>
      <c r="JA1184" s="47"/>
      <c r="JB1184" s="47"/>
      <c r="JC1184" s="47"/>
      <c r="JD1184" s="47"/>
      <c r="JE1184" s="47"/>
      <c r="JF1184" s="47"/>
      <c r="JG1184" s="47"/>
      <c r="JH1184" s="47"/>
      <c r="JI1184" s="47"/>
      <c r="JJ1184" s="47"/>
      <c r="JK1184" s="47"/>
      <c r="JL1184" s="47"/>
      <c r="JM1184" s="47"/>
      <c r="JN1184" s="47"/>
      <c r="JO1184" s="47"/>
      <c r="JP1184" s="47"/>
      <c r="JQ1184" s="47"/>
      <c r="JR1184" s="47"/>
      <c r="JS1184" s="47"/>
      <c r="JT1184" s="47"/>
      <c r="JU1184" s="47"/>
      <c r="JV1184" s="47"/>
      <c r="JW1184" s="47"/>
      <c r="JX1184" s="47"/>
      <c r="JY1184" s="47"/>
      <c r="JZ1184" s="47"/>
      <c r="KA1184" s="47"/>
      <c r="KB1184" s="47"/>
      <c r="KC1184" s="47"/>
      <c r="KD1184" s="47"/>
      <c r="KE1184" s="47"/>
      <c r="KF1184" s="47"/>
      <c r="KG1184" s="47"/>
      <c r="KH1184" s="47"/>
      <c r="KI1184" s="47"/>
      <c r="KJ1184" s="47"/>
      <c r="KK1184" s="47"/>
      <c r="KL1184" s="47"/>
      <c r="KM1184" s="47"/>
      <c r="KN1184" s="47"/>
      <c r="KO1184" s="47"/>
      <c r="KP1184" s="47"/>
      <c r="KQ1184" s="47"/>
      <c r="KR1184" s="47"/>
      <c r="KS1184" s="47"/>
      <c r="KT1184" s="47"/>
      <c r="KU1184" s="47"/>
      <c r="KV1184" s="47"/>
      <c r="KW1184" s="47"/>
      <c r="KX1184" s="47"/>
      <c r="KY1184" s="47"/>
      <c r="KZ1184" s="47"/>
      <c r="LA1184" s="47"/>
      <c r="LB1184" s="47"/>
      <c r="LC1184" s="47"/>
      <c r="LD1184" s="47"/>
      <c r="LE1184" s="47"/>
      <c r="LF1184" s="47"/>
      <c r="LG1184" s="47"/>
      <c r="LH1184" s="47"/>
      <c r="LI1184" s="47"/>
      <c r="LJ1184" s="47"/>
      <c r="LK1184" s="47"/>
      <c r="LL1184" s="47"/>
      <c r="LM1184" s="47"/>
      <c r="LN1184" s="47"/>
      <c r="LO1184" s="47"/>
      <c r="LP1184" s="47"/>
      <c r="LQ1184" s="47"/>
      <c r="LR1184" s="47"/>
      <c r="LS1184" s="47"/>
      <c r="LT1184" s="47"/>
      <c r="LU1184" s="47"/>
      <c r="LV1184" s="47"/>
      <c r="LW1184" s="47"/>
      <c r="LX1184" s="47"/>
      <c r="LY1184" s="47"/>
      <c r="LZ1184" s="47"/>
      <c r="MA1184" s="47"/>
      <c r="MB1184" s="47"/>
      <c r="MC1184" s="47"/>
      <c r="MD1184" s="47"/>
      <c r="ME1184" s="47"/>
      <c r="MF1184" s="47"/>
      <c r="MG1184" s="47"/>
      <c r="MH1184" s="47"/>
      <c r="MI1184" s="47"/>
      <c r="MJ1184" s="47"/>
      <c r="MK1184" s="47"/>
      <c r="ML1184" s="47"/>
      <c r="MM1184" s="47"/>
      <c r="MN1184" s="47"/>
      <c r="MO1184" s="47"/>
      <c r="MP1184" s="47"/>
      <c r="MQ1184" s="47"/>
      <c r="MR1184" s="47"/>
      <c r="MS1184" s="47"/>
      <c r="MT1184" s="47"/>
      <c r="MU1184" s="47"/>
      <c r="MV1184" s="47"/>
      <c r="MW1184" s="47"/>
      <c r="MX1184" s="47"/>
      <c r="MY1184" s="47"/>
      <c r="MZ1184" s="47"/>
      <c r="NA1184" s="47"/>
      <c r="NB1184" s="47"/>
      <c r="NC1184" s="47"/>
      <c r="ND1184" s="47"/>
      <c r="NE1184" s="47"/>
      <c r="NF1184" s="47"/>
      <c r="NG1184" s="47"/>
      <c r="NH1184" s="47"/>
      <c r="NI1184" s="47"/>
      <c r="NJ1184" s="47"/>
      <c r="NK1184" s="47"/>
      <c r="NL1184" s="47"/>
      <c r="NM1184" s="47"/>
      <c r="NN1184" s="47"/>
      <c r="NO1184" s="47"/>
      <c r="NP1184" s="47"/>
      <c r="NQ1184" s="47"/>
      <c r="NR1184" s="47"/>
      <c r="NS1184" s="47"/>
      <c r="NT1184" s="47"/>
      <c r="NU1184" s="47"/>
      <c r="NV1184" s="47"/>
      <c r="NW1184" s="47"/>
      <c r="NX1184" s="47"/>
      <c r="NY1184" s="47"/>
      <c r="NZ1184" s="47"/>
      <c r="OA1184" s="47"/>
      <c r="OB1184" s="47"/>
      <c r="OC1184" s="47"/>
      <c r="OD1184" s="47"/>
      <c r="OE1184" s="47"/>
      <c r="OF1184" s="47"/>
      <c r="OG1184" s="47"/>
      <c r="OH1184" s="47"/>
      <c r="OI1184" s="47"/>
      <c r="OJ1184" s="47"/>
      <c r="OK1184" s="47"/>
      <c r="OL1184" s="47"/>
      <c r="OM1184" s="47"/>
      <c r="ON1184" s="47"/>
      <c r="OO1184" s="47"/>
      <c r="OP1184" s="47"/>
      <c r="OQ1184" s="47"/>
      <c r="OR1184" s="47"/>
      <c r="OS1184" s="47"/>
      <c r="OT1184" s="47"/>
      <c r="OU1184" s="47"/>
      <c r="OV1184" s="47"/>
      <c r="OW1184" s="47"/>
      <c r="OX1184" s="47"/>
      <c r="OY1184" s="47"/>
      <c r="OZ1184" s="47"/>
      <c r="PA1184" s="47"/>
      <c r="PB1184" s="47"/>
      <c r="PC1184" s="47"/>
      <c r="PD1184" s="47"/>
      <c r="PE1184" s="47"/>
      <c r="PF1184" s="47"/>
      <c r="PG1184" s="47"/>
      <c r="PH1184" s="47"/>
      <c r="PI1184" s="47"/>
      <c r="PJ1184" s="47"/>
      <c r="PK1184" s="47"/>
      <c r="PL1184" s="47"/>
      <c r="PM1184" s="47"/>
      <c r="PN1184" s="47"/>
      <c r="PO1184" s="47"/>
      <c r="PP1184" s="47"/>
      <c r="PQ1184" s="47"/>
      <c r="PR1184" s="47"/>
      <c r="PS1184" s="47"/>
      <c r="PT1184" s="47"/>
      <c r="PU1184" s="47"/>
      <c r="PV1184" s="47"/>
      <c r="PW1184" s="47"/>
      <c r="PX1184" s="47"/>
      <c r="PY1184" s="47"/>
      <c r="PZ1184" s="47"/>
      <c r="QA1184" s="47"/>
      <c r="QB1184" s="47"/>
      <c r="QC1184" s="47"/>
      <c r="QD1184" s="47"/>
      <c r="QE1184" s="47"/>
      <c r="QF1184" s="47"/>
      <c r="QG1184" s="47"/>
      <c r="QH1184" s="47"/>
      <c r="QI1184" s="47"/>
      <c r="QJ1184" s="47"/>
      <c r="QK1184" s="47"/>
      <c r="QL1184" s="47"/>
      <c r="QM1184" s="47"/>
      <c r="QN1184" s="47"/>
      <c r="QO1184" s="47"/>
      <c r="QP1184" s="47"/>
      <c r="QQ1184" s="47"/>
      <c r="QR1184" s="47"/>
      <c r="QS1184" s="47"/>
      <c r="QT1184" s="47"/>
      <c r="QU1184" s="47"/>
      <c r="QV1184" s="47"/>
      <c r="QW1184" s="47"/>
      <c r="QX1184" s="47"/>
      <c r="QY1184" s="47"/>
      <c r="QZ1184" s="47"/>
      <c r="RA1184" s="47"/>
      <c r="RB1184" s="47"/>
      <c r="RC1184" s="47"/>
      <c r="RD1184" s="47"/>
      <c r="RE1184" s="47"/>
      <c r="RF1184" s="47"/>
      <c r="RG1184" s="47"/>
      <c r="RH1184" s="47"/>
      <c r="RI1184" s="47"/>
      <c r="RJ1184" s="47"/>
      <c r="RK1184" s="47"/>
      <c r="RL1184" s="47"/>
      <c r="RM1184" s="47"/>
      <c r="RN1184" s="47"/>
      <c r="RO1184" s="47"/>
      <c r="RP1184" s="47"/>
      <c r="RQ1184" s="47"/>
      <c r="RR1184" s="47"/>
      <c r="RS1184" s="47"/>
      <c r="RT1184" s="47"/>
      <c r="RU1184" s="47"/>
      <c r="RV1184" s="47"/>
      <c r="RW1184" s="47"/>
      <c r="RX1184" s="47"/>
      <c r="RY1184" s="47"/>
      <c r="RZ1184" s="47"/>
      <c r="SA1184" s="47"/>
      <c r="SB1184" s="47"/>
      <c r="SC1184" s="47"/>
      <c r="SD1184" s="47"/>
      <c r="SE1184" s="47"/>
      <c r="SF1184" s="47"/>
      <c r="SG1184" s="47"/>
      <c r="SH1184" s="47"/>
      <c r="SI1184" s="47"/>
      <c r="SJ1184" s="47"/>
      <c r="SK1184" s="47"/>
      <c r="SL1184" s="47"/>
      <c r="SM1184" s="47"/>
      <c r="SN1184" s="47"/>
      <c r="SO1184" s="47"/>
      <c r="SP1184" s="47"/>
      <c r="SQ1184" s="47"/>
      <c r="SR1184" s="47"/>
      <c r="SS1184" s="47"/>
      <c r="ST1184" s="47"/>
      <c r="SU1184" s="47"/>
      <c r="SV1184" s="47"/>
      <c r="SW1184" s="47"/>
      <c r="SX1184" s="47"/>
      <c r="SY1184" s="47"/>
      <c r="SZ1184" s="47"/>
      <c r="TA1184" s="47"/>
      <c r="TB1184" s="47"/>
      <c r="TC1184" s="47"/>
      <c r="TD1184" s="47"/>
      <c r="TE1184" s="47"/>
      <c r="TF1184" s="47"/>
      <c r="TG1184" s="47"/>
      <c r="TH1184" s="47"/>
      <c r="TI1184" s="47"/>
      <c r="TJ1184" s="47"/>
      <c r="TK1184" s="47"/>
      <c r="TL1184" s="47"/>
      <c r="TM1184" s="47"/>
      <c r="TN1184" s="47"/>
      <c r="TO1184" s="47"/>
      <c r="TP1184" s="47"/>
      <c r="TQ1184" s="47"/>
      <c r="TR1184" s="47"/>
      <c r="TS1184" s="47"/>
      <c r="TT1184" s="47"/>
      <c r="TU1184" s="47"/>
      <c r="TV1184" s="47"/>
      <c r="TW1184" s="47"/>
      <c r="TX1184" s="47"/>
      <c r="TY1184" s="47"/>
      <c r="TZ1184" s="47"/>
      <c r="UA1184" s="47"/>
      <c r="UB1184" s="47"/>
      <c r="UC1184" s="47"/>
      <c r="UD1184" s="47"/>
      <c r="UE1184" s="47"/>
      <c r="UF1184" s="47"/>
      <c r="UG1184" s="23"/>
    </row>
    <row r="1185" spans="1:553" ht="34.5" customHeight="1">
      <c r="A1185" s="356"/>
      <c r="B1185" s="385"/>
      <c r="C1185" s="384" t="s">
        <v>69</v>
      </c>
      <c r="D1185" s="376" t="str">
        <f>'Phương án chi tiết'!D1084</f>
        <v>2</v>
      </c>
      <c r="E1185" s="376" t="str">
        <f>'Phương án chi tiết'!E1084</f>
        <v>382</v>
      </c>
      <c r="F1185" s="385"/>
      <c r="G1185" s="386" t="s">
        <v>935</v>
      </c>
      <c r="H1185" s="370"/>
      <c r="I1185" s="422">
        <v>605.1</v>
      </c>
      <c r="J1185" s="368">
        <v>62000</v>
      </c>
      <c r="K1185" s="848">
        <v>2.5</v>
      </c>
      <c r="L1185" s="480">
        <f t="shared" si="174"/>
        <v>93790500</v>
      </c>
      <c r="M1185" s="366"/>
      <c r="N1185" s="366"/>
      <c r="O1185" s="366"/>
      <c r="P1185" s="366"/>
      <c r="Q1185" s="812"/>
      <c r="R1185" s="1452"/>
      <c r="S1185" s="308"/>
      <c r="T1185" s="308"/>
      <c r="U1185" s="308"/>
      <c r="V1185" s="308"/>
      <c r="W1185" s="308"/>
      <c r="X1185" s="308"/>
      <c r="Y1185" s="308"/>
      <c r="Z1185" s="604"/>
      <c r="AA1185" s="308"/>
      <c r="AB1185" s="308"/>
      <c r="AC1185" s="373"/>
      <c r="AD1185" s="373"/>
      <c r="AE1185" s="373"/>
      <c r="AF1185" s="373"/>
      <c r="AG1185" s="373"/>
      <c r="AH1185" s="373"/>
      <c r="AI1185" s="373"/>
      <c r="AJ1185" s="373"/>
      <c r="AK1185" s="389"/>
      <c r="AL1185" s="45"/>
      <c r="AM1185" s="46"/>
      <c r="AN1185" s="46"/>
      <c r="AO1185" s="46"/>
      <c r="AP1185" s="46"/>
      <c r="AQ1185" s="46"/>
      <c r="AR1185" s="46"/>
      <c r="AS1185" s="47"/>
      <c r="AT1185" s="47"/>
      <c r="AU1185" s="47"/>
      <c r="AV1185" s="47"/>
      <c r="AW1185" s="47"/>
      <c r="AX1185" s="47"/>
      <c r="AY1185" s="47"/>
      <c r="AZ1185" s="47"/>
      <c r="BA1185" s="47"/>
      <c r="BB1185" s="47"/>
      <c r="BC1185" s="47"/>
      <c r="BD1185" s="47"/>
      <c r="BE1185" s="47"/>
      <c r="BF1185" s="47"/>
      <c r="BG1185" s="47"/>
      <c r="BH1185" s="47"/>
      <c r="BI1185" s="47"/>
      <c r="BJ1185" s="47"/>
      <c r="BK1185" s="47"/>
      <c r="BL1185" s="47"/>
      <c r="BM1185" s="47"/>
      <c r="BN1185" s="47"/>
      <c r="BO1185" s="47"/>
      <c r="BP1185" s="47"/>
      <c r="BQ1185" s="47"/>
      <c r="BR1185" s="47"/>
      <c r="BS1185" s="47"/>
      <c r="BT1185" s="47"/>
      <c r="BU1185" s="47"/>
      <c r="BV1185" s="47"/>
      <c r="BW1185" s="47"/>
      <c r="BX1185" s="47"/>
      <c r="BY1185" s="47"/>
      <c r="BZ1185" s="47"/>
      <c r="CA1185" s="47"/>
      <c r="CB1185" s="47"/>
      <c r="CC1185" s="47"/>
      <c r="CD1185" s="47"/>
      <c r="CE1185" s="47"/>
      <c r="CF1185" s="47"/>
      <c r="CG1185" s="47"/>
      <c r="CH1185" s="47"/>
      <c r="CI1185" s="47"/>
      <c r="CJ1185" s="47"/>
      <c r="CK1185" s="47"/>
      <c r="CL1185" s="47"/>
      <c r="CM1185" s="47"/>
      <c r="CN1185" s="47"/>
      <c r="CO1185" s="47"/>
      <c r="CP1185" s="47"/>
      <c r="CQ1185" s="47"/>
      <c r="CR1185" s="47"/>
      <c r="CS1185" s="47"/>
      <c r="CT1185" s="47"/>
      <c r="CU1185" s="47"/>
      <c r="CV1185" s="47"/>
      <c r="CW1185" s="47"/>
      <c r="CX1185" s="47"/>
      <c r="CY1185" s="47"/>
      <c r="CZ1185" s="47"/>
      <c r="DA1185" s="47"/>
      <c r="DB1185" s="47"/>
      <c r="DC1185" s="47"/>
      <c r="DD1185" s="47"/>
      <c r="DE1185" s="47"/>
      <c r="DF1185" s="47"/>
      <c r="DG1185" s="47"/>
      <c r="DH1185" s="47"/>
      <c r="DI1185" s="47"/>
      <c r="DJ1185" s="47"/>
      <c r="DK1185" s="47"/>
      <c r="DL1185" s="47"/>
      <c r="DM1185" s="47"/>
      <c r="DN1185" s="47"/>
      <c r="DO1185" s="47"/>
      <c r="DP1185" s="47"/>
      <c r="DQ1185" s="47"/>
      <c r="DR1185" s="47"/>
      <c r="DS1185" s="47"/>
      <c r="DT1185" s="47"/>
      <c r="DU1185" s="47"/>
      <c r="DV1185" s="47"/>
      <c r="DW1185" s="47"/>
      <c r="DX1185" s="47"/>
      <c r="DY1185" s="47"/>
      <c r="DZ1185" s="47"/>
      <c r="EA1185" s="47"/>
      <c r="EB1185" s="47"/>
      <c r="EC1185" s="47"/>
      <c r="ED1185" s="47"/>
      <c r="EE1185" s="47"/>
      <c r="EF1185" s="47"/>
      <c r="EG1185" s="47"/>
      <c r="EH1185" s="47"/>
      <c r="EI1185" s="47"/>
      <c r="EJ1185" s="47"/>
      <c r="EK1185" s="47"/>
      <c r="EL1185" s="47"/>
      <c r="EM1185" s="47"/>
      <c r="EN1185" s="47"/>
      <c r="EO1185" s="47"/>
      <c r="EP1185" s="47"/>
      <c r="EQ1185" s="47"/>
      <c r="ER1185" s="47"/>
      <c r="ES1185" s="47"/>
      <c r="ET1185" s="47"/>
      <c r="EU1185" s="47"/>
      <c r="EV1185" s="47"/>
      <c r="EW1185" s="47"/>
      <c r="EX1185" s="47"/>
      <c r="EY1185" s="47"/>
      <c r="EZ1185" s="47"/>
      <c r="FA1185" s="47"/>
      <c r="FB1185" s="47"/>
      <c r="FC1185" s="47"/>
      <c r="FD1185" s="47"/>
      <c r="FE1185" s="47"/>
      <c r="FF1185" s="47"/>
      <c r="FG1185" s="47"/>
      <c r="FH1185" s="47"/>
      <c r="FI1185" s="47"/>
      <c r="FJ1185" s="47"/>
      <c r="FK1185" s="47"/>
      <c r="FL1185" s="47"/>
      <c r="FM1185" s="47"/>
      <c r="FN1185" s="47"/>
      <c r="FO1185" s="47"/>
      <c r="FP1185" s="47"/>
      <c r="FQ1185" s="47"/>
      <c r="FR1185" s="47"/>
      <c r="FS1185" s="47"/>
      <c r="FT1185" s="47"/>
      <c r="FU1185" s="47"/>
      <c r="FV1185" s="47"/>
      <c r="FW1185" s="47"/>
      <c r="FX1185" s="47"/>
      <c r="FY1185" s="47"/>
      <c r="FZ1185" s="47"/>
      <c r="GA1185" s="47"/>
      <c r="GB1185" s="47"/>
      <c r="GC1185" s="47"/>
      <c r="GD1185" s="47"/>
      <c r="GE1185" s="47"/>
      <c r="GF1185" s="47"/>
      <c r="GG1185" s="47"/>
      <c r="GH1185" s="47"/>
      <c r="GI1185" s="47"/>
      <c r="GJ1185" s="47"/>
      <c r="GK1185" s="47"/>
      <c r="GL1185" s="47"/>
      <c r="GM1185" s="47"/>
      <c r="GN1185" s="47"/>
      <c r="GO1185" s="47"/>
      <c r="GP1185" s="47"/>
      <c r="GQ1185" s="47"/>
      <c r="GR1185" s="47"/>
      <c r="GS1185" s="47"/>
      <c r="GT1185" s="47"/>
      <c r="GU1185" s="47"/>
      <c r="GV1185" s="47"/>
      <c r="GW1185" s="47"/>
      <c r="GX1185" s="47"/>
      <c r="GY1185" s="47"/>
      <c r="GZ1185" s="47"/>
      <c r="HA1185" s="47"/>
      <c r="HB1185" s="47"/>
      <c r="HC1185" s="47"/>
      <c r="HD1185" s="47"/>
      <c r="HE1185" s="47"/>
      <c r="HF1185" s="47"/>
      <c r="HG1185" s="47"/>
      <c r="HH1185" s="47"/>
      <c r="HI1185" s="47"/>
      <c r="HJ1185" s="47"/>
      <c r="HK1185" s="47"/>
      <c r="HL1185" s="47"/>
      <c r="HM1185" s="47"/>
      <c r="HN1185" s="47"/>
      <c r="HO1185" s="47"/>
      <c r="HP1185" s="47"/>
      <c r="HQ1185" s="47"/>
      <c r="HR1185" s="47"/>
      <c r="HS1185" s="47"/>
      <c r="HT1185" s="47"/>
      <c r="HU1185" s="47"/>
      <c r="HV1185" s="47"/>
      <c r="HW1185" s="47"/>
      <c r="HX1185" s="47"/>
      <c r="HY1185" s="47"/>
      <c r="HZ1185" s="47"/>
      <c r="IA1185" s="47"/>
      <c r="IB1185" s="47"/>
      <c r="IC1185" s="47"/>
      <c r="ID1185" s="47"/>
      <c r="IE1185" s="47"/>
      <c r="IF1185" s="47"/>
      <c r="IG1185" s="47"/>
      <c r="IH1185" s="47"/>
      <c r="II1185" s="47"/>
      <c r="IJ1185" s="47"/>
      <c r="IK1185" s="47"/>
      <c r="IL1185" s="47"/>
      <c r="IM1185" s="47"/>
      <c r="IN1185" s="47"/>
      <c r="IO1185" s="47"/>
      <c r="IP1185" s="47"/>
      <c r="IQ1185" s="47"/>
      <c r="IR1185" s="47"/>
      <c r="IS1185" s="47"/>
      <c r="IT1185" s="47"/>
      <c r="IU1185" s="47"/>
      <c r="IV1185" s="47"/>
      <c r="IW1185" s="47"/>
      <c r="IX1185" s="47"/>
      <c r="IY1185" s="47"/>
      <c r="IZ1185" s="47"/>
      <c r="JA1185" s="47"/>
      <c r="JB1185" s="47"/>
      <c r="JC1185" s="47"/>
      <c r="JD1185" s="47"/>
      <c r="JE1185" s="47"/>
      <c r="JF1185" s="47"/>
      <c r="JG1185" s="47"/>
      <c r="JH1185" s="47"/>
      <c r="JI1185" s="47"/>
      <c r="JJ1185" s="47"/>
      <c r="JK1185" s="47"/>
      <c r="JL1185" s="47"/>
      <c r="JM1185" s="47"/>
      <c r="JN1185" s="47"/>
      <c r="JO1185" s="47"/>
      <c r="JP1185" s="47"/>
      <c r="JQ1185" s="47"/>
      <c r="JR1185" s="47"/>
      <c r="JS1185" s="47"/>
      <c r="JT1185" s="47"/>
      <c r="JU1185" s="47"/>
      <c r="JV1185" s="47"/>
      <c r="JW1185" s="47"/>
      <c r="JX1185" s="47"/>
      <c r="JY1185" s="47"/>
      <c r="JZ1185" s="47"/>
      <c r="KA1185" s="47"/>
      <c r="KB1185" s="47"/>
      <c r="KC1185" s="47"/>
      <c r="KD1185" s="47"/>
      <c r="KE1185" s="47"/>
      <c r="KF1185" s="47"/>
      <c r="KG1185" s="47"/>
      <c r="KH1185" s="47"/>
      <c r="KI1185" s="47"/>
      <c r="KJ1185" s="47"/>
      <c r="KK1185" s="47"/>
      <c r="KL1185" s="47"/>
      <c r="KM1185" s="47"/>
      <c r="KN1185" s="47"/>
      <c r="KO1185" s="47"/>
      <c r="KP1185" s="47"/>
      <c r="KQ1185" s="47"/>
      <c r="KR1185" s="47"/>
      <c r="KS1185" s="47"/>
      <c r="KT1185" s="47"/>
      <c r="KU1185" s="47"/>
      <c r="KV1185" s="47"/>
      <c r="KW1185" s="47"/>
      <c r="KX1185" s="47"/>
      <c r="KY1185" s="47"/>
      <c r="KZ1185" s="47"/>
      <c r="LA1185" s="47"/>
      <c r="LB1185" s="47"/>
      <c r="LC1185" s="47"/>
      <c r="LD1185" s="47"/>
      <c r="LE1185" s="47"/>
      <c r="LF1185" s="47"/>
      <c r="LG1185" s="47"/>
      <c r="LH1185" s="47"/>
      <c r="LI1185" s="47"/>
      <c r="LJ1185" s="47"/>
      <c r="LK1185" s="47"/>
      <c r="LL1185" s="47"/>
      <c r="LM1185" s="47"/>
      <c r="LN1185" s="47"/>
      <c r="LO1185" s="47"/>
      <c r="LP1185" s="47"/>
      <c r="LQ1185" s="47"/>
      <c r="LR1185" s="47"/>
      <c r="LS1185" s="47"/>
      <c r="LT1185" s="47"/>
      <c r="LU1185" s="47"/>
      <c r="LV1185" s="47"/>
      <c r="LW1185" s="47"/>
      <c r="LX1185" s="47"/>
      <c r="LY1185" s="47"/>
      <c r="LZ1185" s="47"/>
      <c r="MA1185" s="47"/>
      <c r="MB1185" s="47"/>
      <c r="MC1185" s="47"/>
      <c r="MD1185" s="47"/>
      <c r="ME1185" s="47"/>
      <c r="MF1185" s="47"/>
      <c r="MG1185" s="47"/>
      <c r="MH1185" s="47"/>
      <c r="MI1185" s="47"/>
      <c r="MJ1185" s="47"/>
      <c r="MK1185" s="47"/>
      <c r="ML1185" s="47"/>
      <c r="MM1185" s="47"/>
      <c r="MN1185" s="47"/>
      <c r="MO1185" s="47"/>
      <c r="MP1185" s="47"/>
      <c r="MQ1185" s="47"/>
      <c r="MR1185" s="47"/>
      <c r="MS1185" s="47"/>
      <c r="MT1185" s="47"/>
      <c r="MU1185" s="47"/>
      <c r="MV1185" s="47"/>
      <c r="MW1185" s="47"/>
      <c r="MX1185" s="47"/>
      <c r="MY1185" s="47"/>
      <c r="MZ1185" s="47"/>
      <c r="NA1185" s="47"/>
      <c r="NB1185" s="47"/>
      <c r="NC1185" s="47"/>
      <c r="ND1185" s="47"/>
      <c r="NE1185" s="47"/>
      <c r="NF1185" s="47"/>
      <c r="NG1185" s="47"/>
      <c r="NH1185" s="47"/>
      <c r="NI1185" s="47"/>
      <c r="NJ1185" s="47"/>
      <c r="NK1185" s="47"/>
      <c r="NL1185" s="47"/>
      <c r="NM1185" s="47"/>
      <c r="NN1185" s="47"/>
      <c r="NO1185" s="47"/>
      <c r="NP1185" s="47"/>
      <c r="NQ1185" s="47"/>
      <c r="NR1185" s="47"/>
      <c r="NS1185" s="47"/>
      <c r="NT1185" s="47"/>
      <c r="NU1185" s="47"/>
      <c r="NV1185" s="47"/>
      <c r="NW1185" s="47"/>
      <c r="NX1185" s="47"/>
      <c r="NY1185" s="47"/>
      <c r="NZ1185" s="47"/>
      <c r="OA1185" s="47"/>
      <c r="OB1185" s="47"/>
      <c r="OC1185" s="47"/>
      <c r="OD1185" s="47"/>
      <c r="OE1185" s="47"/>
      <c r="OF1185" s="47"/>
      <c r="OG1185" s="47"/>
      <c r="OH1185" s="47"/>
      <c r="OI1185" s="47"/>
      <c r="OJ1185" s="47"/>
      <c r="OK1185" s="47"/>
      <c r="OL1185" s="47"/>
      <c r="OM1185" s="47"/>
      <c r="ON1185" s="47"/>
      <c r="OO1185" s="47"/>
      <c r="OP1185" s="47"/>
      <c r="OQ1185" s="47"/>
      <c r="OR1185" s="47"/>
      <c r="OS1185" s="47"/>
      <c r="OT1185" s="47"/>
      <c r="OU1185" s="47"/>
      <c r="OV1185" s="47"/>
      <c r="OW1185" s="47"/>
      <c r="OX1185" s="47"/>
      <c r="OY1185" s="47"/>
      <c r="OZ1185" s="47"/>
      <c r="PA1185" s="47"/>
      <c r="PB1185" s="47"/>
      <c r="PC1185" s="47"/>
      <c r="PD1185" s="47"/>
      <c r="PE1185" s="47"/>
      <c r="PF1185" s="47"/>
      <c r="PG1185" s="47"/>
      <c r="PH1185" s="47"/>
      <c r="PI1185" s="47"/>
      <c r="PJ1185" s="47"/>
      <c r="PK1185" s="47"/>
      <c r="PL1185" s="47"/>
      <c r="PM1185" s="47"/>
      <c r="PN1185" s="47"/>
      <c r="PO1185" s="47"/>
      <c r="PP1185" s="47"/>
      <c r="PQ1185" s="47"/>
      <c r="PR1185" s="47"/>
      <c r="PS1185" s="47"/>
      <c r="PT1185" s="47"/>
      <c r="PU1185" s="47"/>
      <c r="PV1185" s="47"/>
      <c r="PW1185" s="47"/>
      <c r="PX1185" s="47"/>
      <c r="PY1185" s="47"/>
      <c r="PZ1185" s="47"/>
      <c r="QA1185" s="47"/>
      <c r="QB1185" s="47"/>
      <c r="QC1185" s="47"/>
      <c r="QD1185" s="47"/>
      <c r="QE1185" s="47"/>
      <c r="QF1185" s="47"/>
      <c r="QG1185" s="47"/>
      <c r="QH1185" s="47"/>
      <c r="QI1185" s="47"/>
      <c r="QJ1185" s="47"/>
      <c r="QK1185" s="47"/>
      <c r="QL1185" s="47"/>
      <c r="QM1185" s="47"/>
      <c r="QN1185" s="47"/>
      <c r="QO1185" s="47"/>
      <c r="QP1185" s="47"/>
      <c r="QQ1185" s="47"/>
      <c r="QR1185" s="47"/>
      <c r="QS1185" s="47"/>
      <c r="QT1185" s="47"/>
      <c r="QU1185" s="47"/>
      <c r="QV1185" s="47"/>
      <c r="QW1185" s="47"/>
      <c r="QX1185" s="47"/>
      <c r="QY1185" s="47"/>
      <c r="QZ1185" s="47"/>
      <c r="RA1185" s="47"/>
      <c r="RB1185" s="47"/>
      <c r="RC1185" s="47"/>
      <c r="RD1185" s="47"/>
      <c r="RE1185" s="47"/>
      <c r="RF1185" s="47"/>
      <c r="RG1185" s="47"/>
      <c r="RH1185" s="47"/>
      <c r="RI1185" s="47"/>
      <c r="RJ1185" s="47"/>
      <c r="RK1185" s="47"/>
      <c r="RL1185" s="47"/>
      <c r="RM1185" s="47"/>
      <c r="RN1185" s="47"/>
      <c r="RO1185" s="47"/>
      <c r="RP1185" s="47"/>
      <c r="RQ1185" s="47"/>
      <c r="RR1185" s="47"/>
      <c r="RS1185" s="47"/>
      <c r="RT1185" s="47"/>
      <c r="RU1185" s="47"/>
      <c r="RV1185" s="47"/>
      <c r="RW1185" s="47"/>
      <c r="RX1185" s="47"/>
      <c r="RY1185" s="47"/>
      <c r="RZ1185" s="47"/>
      <c r="SA1185" s="47"/>
      <c r="SB1185" s="47"/>
      <c r="SC1185" s="47"/>
      <c r="SD1185" s="47"/>
      <c r="SE1185" s="47"/>
      <c r="SF1185" s="47"/>
      <c r="SG1185" s="47"/>
      <c r="SH1185" s="47"/>
      <c r="SI1185" s="47"/>
      <c r="SJ1185" s="47"/>
      <c r="SK1185" s="47"/>
      <c r="SL1185" s="47"/>
      <c r="SM1185" s="47"/>
      <c r="SN1185" s="47"/>
      <c r="SO1185" s="47"/>
      <c r="SP1185" s="47"/>
      <c r="SQ1185" s="47"/>
      <c r="SR1185" s="47"/>
      <c r="SS1185" s="47"/>
      <c r="ST1185" s="47"/>
      <c r="SU1185" s="47"/>
      <c r="SV1185" s="47"/>
      <c r="SW1185" s="47"/>
      <c r="SX1185" s="47"/>
      <c r="SY1185" s="47"/>
      <c r="SZ1185" s="47"/>
      <c r="TA1185" s="47"/>
      <c r="TB1185" s="47"/>
      <c r="TC1185" s="47"/>
      <c r="TD1185" s="47"/>
      <c r="TE1185" s="47"/>
      <c r="TF1185" s="47"/>
      <c r="TG1185" s="47"/>
      <c r="TH1185" s="47"/>
      <c r="TI1185" s="47"/>
      <c r="TJ1185" s="47"/>
      <c r="TK1185" s="47"/>
      <c r="TL1185" s="47"/>
      <c r="TM1185" s="47"/>
      <c r="TN1185" s="47"/>
      <c r="TO1185" s="47"/>
      <c r="TP1185" s="47"/>
      <c r="TQ1185" s="47"/>
      <c r="TR1185" s="47"/>
      <c r="TS1185" s="47"/>
      <c r="TT1185" s="47"/>
      <c r="TU1185" s="47"/>
      <c r="TV1185" s="47"/>
      <c r="TW1185" s="47"/>
      <c r="TX1185" s="47"/>
      <c r="TY1185" s="47"/>
      <c r="TZ1185" s="47"/>
      <c r="UA1185" s="47"/>
      <c r="UB1185" s="47"/>
      <c r="UC1185" s="47"/>
      <c r="UD1185" s="47"/>
      <c r="UE1185" s="47"/>
      <c r="UF1185" s="47"/>
      <c r="UG1185" s="23"/>
    </row>
    <row r="1186" spans="1:553" ht="34.5" customHeight="1">
      <c r="A1186" s="356"/>
      <c r="B1186" s="385"/>
      <c r="C1186" s="384" t="str">
        <f>'Phương án chi tiết'!C1085</f>
        <v>Đất chuyên trồng lúa nước (LUC)</v>
      </c>
      <c r="D1186" s="376" t="str">
        <f>'Phương án chi tiết'!D1087</f>
        <v>1</v>
      </c>
      <c r="E1186" s="376" t="str">
        <f>'Phương án chi tiết'!E1085</f>
        <v>139</v>
      </c>
      <c r="F1186" s="385"/>
      <c r="G1186" s="386" t="s">
        <v>935</v>
      </c>
      <c r="H1186" s="370"/>
      <c r="I1186" s="422">
        <f>'Phương án chi tiết'!I1085</f>
        <v>127.3</v>
      </c>
      <c r="J1186" s="368">
        <v>72000</v>
      </c>
      <c r="K1186" s="848">
        <v>3</v>
      </c>
      <c r="L1186" s="480">
        <f t="shared" si="174"/>
        <v>27496800</v>
      </c>
      <c r="M1186" s="366"/>
      <c r="N1186" s="366"/>
      <c r="O1186" s="366"/>
      <c r="P1186" s="366"/>
      <c r="Q1186" s="812"/>
      <c r="R1186" s="1452"/>
      <c r="S1186" s="308"/>
      <c r="T1186" s="308"/>
      <c r="U1186" s="308"/>
      <c r="V1186" s="308"/>
      <c r="W1186" s="308"/>
      <c r="X1186" s="308"/>
      <c r="Y1186" s="308"/>
      <c r="Z1186" s="604"/>
      <c r="AA1186" s="308"/>
      <c r="AB1186" s="308"/>
      <c r="AC1186" s="373"/>
      <c r="AD1186" s="373"/>
      <c r="AE1186" s="373"/>
      <c r="AF1186" s="373"/>
      <c r="AG1186" s="373"/>
      <c r="AH1186" s="373"/>
      <c r="AI1186" s="373"/>
      <c r="AJ1186" s="373"/>
      <c r="AK1186" s="389"/>
      <c r="AL1186" s="45"/>
      <c r="AM1186" s="46"/>
      <c r="AN1186" s="46"/>
      <c r="AO1186" s="46"/>
      <c r="AP1186" s="46"/>
      <c r="AQ1186" s="46"/>
      <c r="AR1186" s="46"/>
      <c r="AS1186" s="47"/>
      <c r="AT1186" s="47"/>
      <c r="AU1186" s="47"/>
      <c r="AV1186" s="47"/>
      <c r="AW1186" s="47"/>
      <c r="AX1186" s="47"/>
      <c r="AY1186" s="47"/>
      <c r="AZ1186" s="47"/>
      <c r="BA1186" s="47"/>
      <c r="BB1186" s="47"/>
      <c r="BC1186" s="47"/>
      <c r="BD1186" s="47"/>
      <c r="BE1186" s="47"/>
      <c r="BF1186" s="47"/>
      <c r="BG1186" s="47"/>
      <c r="BH1186" s="47"/>
      <c r="BI1186" s="47"/>
      <c r="BJ1186" s="47"/>
      <c r="BK1186" s="47"/>
      <c r="BL1186" s="47"/>
      <c r="BM1186" s="47"/>
      <c r="BN1186" s="47"/>
      <c r="BO1186" s="47"/>
      <c r="BP1186" s="47"/>
      <c r="BQ1186" s="47"/>
      <c r="BR1186" s="47"/>
      <c r="BS1186" s="47"/>
      <c r="BT1186" s="47"/>
      <c r="BU1186" s="47"/>
      <c r="BV1186" s="47"/>
      <c r="BW1186" s="47"/>
      <c r="BX1186" s="47"/>
      <c r="BY1186" s="47"/>
      <c r="BZ1186" s="47"/>
      <c r="CA1186" s="47"/>
      <c r="CB1186" s="47"/>
      <c r="CC1186" s="47"/>
      <c r="CD1186" s="47"/>
      <c r="CE1186" s="47"/>
      <c r="CF1186" s="47"/>
      <c r="CG1186" s="47"/>
      <c r="CH1186" s="47"/>
      <c r="CI1186" s="47"/>
      <c r="CJ1186" s="47"/>
      <c r="CK1186" s="47"/>
      <c r="CL1186" s="47"/>
      <c r="CM1186" s="47"/>
      <c r="CN1186" s="47"/>
      <c r="CO1186" s="47"/>
      <c r="CP1186" s="47"/>
      <c r="CQ1186" s="47"/>
      <c r="CR1186" s="47"/>
      <c r="CS1186" s="47"/>
      <c r="CT1186" s="47"/>
      <c r="CU1186" s="47"/>
      <c r="CV1186" s="47"/>
      <c r="CW1186" s="47"/>
      <c r="CX1186" s="47"/>
      <c r="CY1186" s="47"/>
      <c r="CZ1186" s="47"/>
      <c r="DA1186" s="47"/>
      <c r="DB1186" s="47"/>
      <c r="DC1186" s="47"/>
      <c r="DD1186" s="47"/>
      <c r="DE1186" s="47"/>
      <c r="DF1186" s="47"/>
      <c r="DG1186" s="47"/>
      <c r="DH1186" s="47"/>
      <c r="DI1186" s="47"/>
      <c r="DJ1186" s="47"/>
      <c r="DK1186" s="47"/>
      <c r="DL1186" s="47"/>
      <c r="DM1186" s="47"/>
      <c r="DN1186" s="47"/>
      <c r="DO1186" s="47"/>
      <c r="DP1186" s="47"/>
      <c r="DQ1186" s="47"/>
      <c r="DR1186" s="47"/>
      <c r="DS1186" s="47"/>
      <c r="DT1186" s="47"/>
      <c r="DU1186" s="47"/>
      <c r="DV1186" s="47"/>
      <c r="DW1186" s="47"/>
      <c r="DX1186" s="47"/>
      <c r="DY1186" s="47"/>
      <c r="DZ1186" s="47"/>
      <c r="EA1186" s="47"/>
      <c r="EB1186" s="47"/>
      <c r="EC1186" s="47"/>
      <c r="ED1186" s="47"/>
      <c r="EE1186" s="47"/>
      <c r="EF1186" s="47"/>
      <c r="EG1186" s="47"/>
      <c r="EH1186" s="47"/>
      <c r="EI1186" s="47"/>
      <c r="EJ1186" s="47"/>
      <c r="EK1186" s="47"/>
      <c r="EL1186" s="47"/>
      <c r="EM1186" s="47"/>
      <c r="EN1186" s="47"/>
      <c r="EO1186" s="47"/>
      <c r="EP1186" s="47"/>
      <c r="EQ1186" s="47"/>
      <c r="ER1186" s="47"/>
      <c r="ES1186" s="47"/>
      <c r="ET1186" s="47"/>
      <c r="EU1186" s="47"/>
      <c r="EV1186" s="47"/>
      <c r="EW1186" s="47"/>
      <c r="EX1186" s="47"/>
      <c r="EY1186" s="47"/>
      <c r="EZ1186" s="47"/>
      <c r="FA1186" s="47"/>
      <c r="FB1186" s="47"/>
      <c r="FC1186" s="47"/>
      <c r="FD1186" s="47"/>
      <c r="FE1186" s="47"/>
      <c r="FF1186" s="47"/>
      <c r="FG1186" s="47"/>
      <c r="FH1186" s="47"/>
      <c r="FI1186" s="47"/>
      <c r="FJ1186" s="47"/>
      <c r="FK1186" s="47"/>
      <c r="FL1186" s="47"/>
      <c r="FM1186" s="47"/>
      <c r="FN1186" s="47"/>
      <c r="FO1186" s="47"/>
      <c r="FP1186" s="47"/>
      <c r="FQ1186" s="47"/>
      <c r="FR1186" s="47"/>
      <c r="FS1186" s="47"/>
      <c r="FT1186" s="47"/>
      <c r="FU1186" s="47"/>
      <c r="FV1186" s="47"/>
      <c r="FW1186" s="47"/>
      <c r="FX1186" s="47"/>
      <c r="FY1186" s="47"/>
      <c r="FZ1186" s="47"/>
      <c r="GA1186" s="47"/>
      <c r="GB1186" s="47"/>
      <c r="GC1186" s="47"/>
      <c r="GD1186" s="47"/>
      <c r="GE1186" s="47"/>
      <c r="GF1186" s="47"/>
      <c r="GG1186" s="47"/>
      <c r="GH1186" s="47"/>
      <c r="GI1186" s="47"/>
      <c r="GJ1186" s="47"/>
      <c r="GK1186" s="47"/>
      <c r="GL1186" s="47"/>
      <c r="GM1186" s="47"/>
      <c r="GN1186" s="47"/>
      <c r="GO1186" s="47"/>
      <c r="GP1186" s="47"/>
      <c r="GQ1186" s="47"/>
      <c r="GR1186" s="47"/>
      <c r="GS1186" s="47"/>
      <c r="GT1186" s="47"/>
      <c r="GU1186" s="47"/>
      <c r="GV1186" s="47"/>
      <c r="GW1186" s="47"/>
      <c r="GX1186" s="47"/>
      <c r="GY1186" s="47"/>
      <c r="GZ1186" s="47"/>
      <c r="HA1186" s="47"/>
      <c r="HB1186" s="47"/>
      <c r="HC1186" s="47"/>
      <c r="HD1186" s="47"/>
      <c r="HE1186" s="47"/>
      <c r="HF1186" s="47"/>
      <c r="HG1186" s="47"/>
      <c r="HH1186" s="47"/>
      <c r="HI1186" s="47"/>
      <c r="HJ1186" s="47"/>
      <c r="HK1186" s="47"/>
      <c r="HL1186" s="47"/>
      <c r="HM1186" s="47"/>
      <c r="HN1186" s="47"/>
      <c r="HO1186" s="47"/>
      <c r="HP1186" s="47"/>
      <c r="HQ1186" s="47"/>
      <c r="HR1186" s="47"/>
      <c r="HS1186" s="47"/>
      <c r="HT1186" s="47"/>
      <c r="HU1186" s="47"/>
      <c r="HV1186" s="47"/>
      <c r="HW1186" s="47"/>
      <c r="HX1186" s="47"/>
      <c r="HY1186" s="47"/>
      <c r="HZ1186" s="47"/>
      <c r="IA1186" s="47"/>
      <c r="IB1186" s="47"/>
      <c r="IC1186" s="47"/>
      <c r="ID1186" s="47"/>
      <c r="IE1186" s="47"/>
      <c r="IF1186" s="47"/>
      <c r="IG1186" s="47"/>
      <c r="IH1186" s="47"/>
      <c r="II1186" s="47"/>
      <c r="IJ1186" s="47"/>
      <c r="IK1186" s="47"/>
      <c r="IL1186" s="47"/>
      <c r="IM1186" s="47"/>
      <c r="IN1186" s="47"/>
      <c r="IO1186" s="47"/>
      <c r="IP1186" s="47"/>
      <c r="IQ1186" s="47"/>
      <c r="IR1186" s="47"/>
      <c r="IS1186" s="47"/>
      <c r="IT1186" s="47"/>
      <c r="IU1186" s="47"/>
      <c r="IV1186" s="47"/>
      <c r="IW1186" s="47"/>
      <c r="IX1186" s="47"/>
      <c r="IY1186" s="47"/>
      <c r="IZ1186" s="47"/>
      <c r="JA1186" s="47"/>
      <c r="JB1186" s="47"/>
      <c r="JC1186" s="47"/>
      <c r="JD1186" s="47"/>
      <c r="JE1186" s="47"/>
      <c r="JF1186" s="47"/>
      <c r="JG1186" s="47"/>
      <c r="JH1186" s="47"/>
      <c r="JI1186" s="47"/>
      <c r="JJ1186" s="47"/>
      <c r="JK1186" s="47"/>
      <c r="JL1186" s="47"/>
      <c r="JM1186" s="47"/>
      <c r="JN1186" s="47"/>
      <c r="JO1186" s="47"/>
      <c r="JP1186" s="47"/>
      <c r="JQ1186" s="47"/>
      <c r="JR1186" s="47"/>
      <c r="JS1186" s="47"/>
      <c r="JT1186" s="47"/>
      <c r="JU1186" s="47"/>
      <c r="JV1186" s="47"/>
      <c r="JW1186" s="47"/>
      <c r="JX1186" s="47"/>
      <c r="JY1186" s="47"/>
      <c r="JZ1186" s="47"/>
      <c r="KA1186" s="47"/>
      <c r="KB1186" s="47"/>
      <c r="KC1186" s="47"/>
      <c r="KD1186" s="47"/>
      <c r="KE1186" s="47"/>
      <c r="KF1186" s="47"/>
      <c r="KG1186" s="47"/>
      <c r="KH1186" s="47"/>
      <c r="KI1186" s="47"/>
      <c r="KJ1186" s="47"/>
      <c r="KK1186" s="47"/>
      <c r="KL1186" s="47"/>
      <c r="KM1186" s="47"/>
      <c r="KN1186" s="47"/>
      <c r="KO1186" s="47"/>
      <c r="KP1186" s="47"/>
      <c r="KQ1186" s="47"/>
      <c r="KR1186" s="47"/>
      <c r="KS1186" s="47"/>
      <c r="KT1186" s="47"/>
      <c r="KU1186" s="47"/>
      <c r="KV1186" s="47"/>
      <c r="KW1186" s="47"/>
      <c r="KX1186" s="47"/>
      <c r="KY1186" s="47"/>
      <c r="KZ1186" s="47"/>
      <c r="LA1186" s="47"/>
      <c r="LB1186" s="47"/>
      <c r="LC1186" s="47"/>
      <c r="LD1186" s="47"/>
      <c r="LE1186" s="47"/>
      <c r="LF1186" s="47"/>
      <c r="LG1186" s="47"/>
      <c r="LH1186" s="47"/>
      <c r="LI1186" s="47"/>
      <c r="LJ1186" s="47"/>
      <c r="LK1186" s="47"/>
      <c r="LL1186" s="47"/>
      <c r="LM1186" s="47"/>
      <c r="LN1186" s="47"/>
      <c r="LO1186" s="47"/>
      <c r="LP1186" s="47"/>
      <c r="LQ1186" s="47"/>
      <c r="LR1186" s="47"/>
      <c r="LS1186" s="47"/>
      <c r="LT1186" s="47"/>
      <c r="LU1186" s="47"/>
      <c r="LV1186" s="47"/>
      <c r="LW1186" s="47"/>
      <c r="LX1186" s="47"/>
      <c r="LY1186" s="47"/>
      <c r="LZ1186" s="47"/>
      <c r="MA1186" s="47"/>
      <c r="MB1186" s="47"/>
      <c r="MC1186" s="47"/>
      <c r="MD1186" s="47"/>
      <c r="ME1186" s="47"/>
      <c r="MF1186" s="47"/>
      <c r="MG1186" s="47"/>
      <c r="MH1186" s="47"/>
      <c r="MI1186" s="47"/>
      <c r="MJ1186" s="47"/>
      <c r="MK1186" s="47"/>
      <c r="ML1186" s="47"/>
      <c r="MM1186" s="47"/>
      <c r="MN1186" s="47"/>
      <c r="MO1186" s="47"/>
      <c r="MP1186" s="47"/>
      <c r="MQ1186" s="47"/>
      <c r="MR1186" s="47"/>
      <c r="MS1186" s="47"/>
      <c r="MT1186" s="47"/>
      <c r="MU1186" s="47"/>
      <c r="MV1186" s="47"/>
      <c r="MW1186" s="47"/>
      <c r="MX1186" s="47"/>
      <c r="MY1186" s="47"/>
      <c r="MZ1186" s="47"/>
      <c r="NA1186" s="47"/>
      <c r="NB1186" s="47"/>
      <c r="NC1186" s="47"/>
      <c r="ND1186" s="47"/>
      <c r="NE1186" s="47"/>
      <c r="NF1186" s="47"/>
      <c r="NG1186" s="47"/>
      <c r="NH1186" s="47"/>
      <c r="NI1186" s="47"/>
      <c r="NJ1186" s="47"/>
      <c r="NK1186" s="47"/>
      <c r="NL1186" s="47"/>
      <c r="NM1186" s="47"/>
      <c r="NN1186" s="47"/>
      <c r="NO1186" s="47"/>
      <c r="NP1186" s="47"/>
      <c r="NQ1186" s="47"/>
      <c r="NR1186" s="47"/>
      <c r="NS1186" s="47"/>
      <c r="NT1186" s="47"/>
      <c r="NU1186" s="47"/>
      <c r="NV1186" s="47"/>
      <c r="NW1186" s="47"/>
      <c r="NX1186" s="47"/>
      <c r="NY1186" s="47"/>
      <c r="NZ1186" s="47"/>
      <c r="OA1186" s="47"/>
      <c r="OB1186" s="47"/>
      <c r="OC1186" s="47"/>
      <c r="OD1186" s="47"/>
      <c r="OE1186" s="47"/>
      <c r="OF1186" s="47"/>
      <c r="OG1186" s="47"/>
      <c r="OH1186" s="47"/>
      <c r="OI1186" s="47"/>
      <c r="OJ1186" s="47"/>
      <c r="OK1186" s="47"/>
      <c r="OL1186" s="47"/>
      <c r="OM1186" s="47"/>
      <c r="ON1186" s="47"/>
      <c r="OO1186" s="47"/>
      <c r="OP1186" s="47"/>
      <c r="OQ1186" s="47"/>
      <c r="OR1186" s="47"/>
      <c r="OS1186" s="47"/>
      <c r="OT1186" s="47"/>
      <c r="OU1186" s="47"/>
      <c r="OV1186" s="47"/>
      <c r="OW1186" s="47"/>
      <c r="OX1186" s="47"/>
      <c r="OY1186" s="47"/>
      <c r="OZ1186" s="47"/>
      <c r="PA1186" s="47"/>
      <c r="PB1186" s="47"/>
      <c r="PC1186" s="47"/>
      <c r="PD1186" s="47"/>
      <c r="PE1186" s="47"/>
      <c r="PF1186" s="47"/>
      <c r="PG1186" s="47"/>
      <c r="PH1186" s="47"/>
      <c r="PI1186" s="47"/>
      <c r="PJ1186" s="47"/>
      <c r="PK1186" s="47"/>
      <c r="PL1186" s="47"/>
      <c r="PM1186" s="47"/>
      <c r="PN1186" s="47"/>
      <c r="PO1186" s="47"/>
      <c r="PP1186" s="47"/>
      <c r="PQ1186" s="47"/>
      <c r="PR1186" s="47"/>
      <c r="PS1186" s="47"/>
      <c r="PT1186" s="47"/>
      <c r="PU1186" s="47"/>
      <c r="PV1186" s="47"/>
      <c r="PW1186" s="47"/>
      <c r="PX1186" s="47"/>
      <c r="PY1186" s="47"/>
      <c r="PZ1186" s="47"/>
      <c r="QA1186" s="47"/>
      <c r="QB1186" s="47"/>
      <c r="QC1186" s="47"/>
      <c r="QD1186" s="47"/>
      <c r="QE1186" s="47"/>
      <c r="QF1186" s="47"/>
      <c r="QG1186" s="47"/>
      <c r="QH1186" s="47"/>
      <c r="QI1186" s="47"/>
      <c r="QJ1186" s="47"/>
      <c r="QK1186" s="47"/>
      <c r="QL1186" s="47"/>
      <c r="QM1186" s="47"/>
      <c r="QN1186" s="47"/>
      <c r="QO1186" s="47"/>
      <c r="QP1186" s="47"/>
      <c r="QQ1186" s="47"/>
      <c r="QR1186" s="47"/>
      <c r="QS1186" s="47"/>
      <c r="QT1186" s="47"/>
      <c r="QU1186" s="47"/>
      <c r="QV1186" s="47"/>
      <c r="QW1186" s="47"/>
      <c r="QX1186" s="47"/>
      <c r="QY1186" s="47"/>
      <c r="QZ1186" s="47"/>
      <c r="RA1186" s="47"/>
      <c r="RB1186" s="47"/>
      <c r="RC1186" s="47"/>
      <c r="RD1186" s="47"/>
      <c r="RE1186" s="47"/>
      <c r="RF1186" s="47"/>
      <c r="RG1186" s="47"/>
      <c r="RH1186" s="47"/>
      <c r="RI1186" s="47"/>
      <c r="RJ1186" s="47"/>
      <c r="RK1186" s="47"/>
      <c r="RL1186" s="47"/>
      <c r="RM1186" s="47"/>
      <c r="RN1186" s="47"/>
      <c r="RO1186" s="47"/>
      <c r="RP1186" s="47"/>
      <c r="RQ1186" s="47"/>
      <c r="RR1186" s="47"/>
      <c r="RS1186" s="47"/>
      <c r="RT1186" s="47"/>
      <c r="RU1186" s="47"/>
      <c r="RV1186" s="47"/>
      <c r="RW1186" s="47"/>
      <c r="RX1186" s="47"/>
      <c r="RY1186" s="47"/>
      <c r="RZ1186" s="47"/>
      <c r="SA1186" s="47"/>
      <c r="SB1186" s="47"/>
      <c r="SC1186" s="47"/>
      <c r="SD1186" s="47"/>
      <c r="SE1186" s="47"/>
      <c r="SF1186" s="47"/>
      <c r="SG1186" s="47"/>
      <c r="SH1186" s="47"/>
      <c r="SI1186" s="47"/>
      <c r="SJ1186" s="47"/>
      <c r="SK1186" s="47"/>
      <c r="SL1186" s="47"/>
      <c r="SM1186" s="47"/>
      <c r="SN1186" s="47"/>
      <c r="SO1186" s="47"/>
      <c r="SP1186" s="47"/>
      <c r="SQ1186" s="47"/>
      <c r="SR1186" s="47"/>
      <c r="SS1186" s="47"/>
      <c r="ST1186" s="47"/>
      <c r="SU1186" s="47"/>
      <c r="SV1186" s="47"/>
      <c r="SW1186" s="47"/>
      <c r="SX1186" s="47"/>
      <c r="SY1186" s="47"/>
      <c r="SZ1186" s="47"/>
      <c r="TA1186" s="47"/>
      <c r="TB1186" s="47"/>
      <c r="TC1186" s="47"/>
      <c r="TD1186" s="47"/>
      <c r="TE1186" s="47"/>
      <c r="TF1186" s="47"/>
      <c r="TG1186" s="47"/>
      <c r="TH1186" s="47"/>
      <c r="TI1186" s="47"/>
      <c r="TJ1186" s="47"/>
      <c r="TK1186" s="47"/>
      <c r="TL1186" s="47"/>
      <c r="TM1186" s="47"/>
      <c r="TN1186" s="47"/>
      <c r="TO1186" s="47"/>
      <c r="TP1186" s="47"/>
      <c r="TQ1186" s="47"/>
      <c r="TR1186" s="47"/>
      <c r="TS1186" s="47"/>
      <c r="TT1186" s="47"/>
      <c r="TU1186" s="47"/>
      <c r="TV1186" s="47"/>
      <c r="TW1186" s="47"/>
      <c r="TX1186" s="47"/>
      <c r="TY1186" s="47"/>
      <c r="TZ1186" s="47"/>
      <c r="UA1186" s="47"/>
      <c r="UB1186" s="47"/>
      <c r="UC1186" s="47"/>
      <c r="UD1186" s="47"/>
      <c r="UE1186" s="47"/>
      <c r="UF1186" s="47"/>
      <c r="UG1186" s="23"/>
    </row>
    <row r="1187" spans="1:553" ht="34.5" customHeight="1">
      <c r="A1187" s="356"/>
      <c r="B1187" s="385"/>
      <c r="C1187" s="384" t="str">
        <f>'Phương án chi tiết'!C1086</f>
        <v>Đất chuyên trồng lúa nước (LUC)</v>
      </c>
      <c r="D1187" s="376" t="str">
        <f>'Phương án chi tiết'!D1088</f>
        <v>1</v>
      </c>
      <c r="E1187" s="376" t="str">
        <f>'Phương án chi tiết'!E1086</f>
        <v>151</v>
      </c>
      <c r="F1187" s="385"/>
      <c r="G1187" s="386" t="s">
        <v>935</v>
      </c>
      <c r="H1187" s="370"/>
      <c r="I1187" s="422">
        <f>'Phương án chi tiết'!I1086</f>
        <v>28.1</v>
      </c>
      <c r="J1187" s="368">
        <v>72000</v>
      </c>
      <c r="K1187" s="848">
        <v>3</v>
      </c>
      <c r="L1187" s="480">
        <f t="shared" si="174"/>
        <v>6069600</v>
      </c>
      <c r="M1187" s="366"/>
      <c r="N1187" s="366"/>
      <c r="O1187" s="366"/>
      <c r="P1187" s="366"/>
      <c r="Q1187" s="812"/>
      <c r="R1187" s="1452"/>
      <c r="S1187" s="308"/>
      <c r="T1187" s="308"/>
      <c r="U1187" s="308"/>
      <c r="V1187" s="308"/>
      <c r="W1187" s="308"/>
      <c r="X1187" s="308"/>
      <c r="Y1187" s="308"/>
      <c r="Z1187" s="604"/>
      <c r="AA1187" s="308"/>
      <c r="AB1187" s="308"/>
      <c r="AC1187" s="373"/>
      <c r="AD1187" s="373"/>
      <c r="AE1187" s="373"/>
      <c r="AF1187" s="373"/>
      <c r="AG1187" s="373"/>
      <c r="AH1187" s="373"/>
      <c r="AI1187" s="373"/>
      <c r="AJ1187" s="373"/>
      <c r="AK1187" s="389"/>
      <c r="AL1187" s="45"/>
      <c r="AM1187" s="46"/>
      <c r="AN1187" s="46"/>
      <c r="AO1187" s="46"/>
      <c r="AP1187" s="46"/>
      <c r="AQ1187" s="46"/>
      <c r="AR1187" s="46"/>
      <c r="AS1187" s="47"/>
      <c r="AT1187" s="47"/>
      <c r="AU1187" s="47"/>
      <c r="AV1187" s="47"/>
      <c r="AW1187" s="47"/>
      <c r="AX1187" s="47"/>
      <c r="AY1187" s="47"/>
      <c r="AZ1187" s="47"/>
      <c r="BA1187" s="47"/>
      <c r="BB1187" s="47"/>
      <c r="BC1187" s="47"/>
      <c r="BD1187" s="47"/>
      <c r="BE1187" s="47"/>
      <c r="BF1187" s="47"/>
      <c r="BG1187" s="47"/>
      <c r="BH1187" s="47"/>
      <c r="BI1187" s="47"/>
      <c r="BJ1187" s="47"/>
      <c r="BK1187" s="47"/>
      <c r="BL1187" s="47"/>
      <c r="BM1187" s="47"/>
      <c r="BN1187" s="47"/>
      <c r="BO1187" s="47"/>
      <c r="BP1187" s="47"/>
      <c r="BQ1187" s="47"/>
      <c r="BR1187" s="47"/>
      <c r="BS1187" s="47"/>
      <c r="BT1187" s="47"/>
      <c r="BU1187" s="47"/>
      <c r="BV1187" s="47"/>
      <c r="BW1187" s="47"/>
      <c r="BX1187" s="47"/>
      <c r="BY1187" s="47"/>
      <c r="BZ1187" s="47"/>
      <c r="CA1187" s="47"/>
      <c r="CB1187" s="47"/>
      <c r="CC1187" s="47"/>
      <c r="CD1187" s="47"/>
      <c r="CE1187" s="47"/>
      <c r="CF1187" s="47"/>
      <c r="CG1187" s="47"/>
      <c r="CH1187" s="47"/>
      <c r="CI1187" s="47"/>
      <c r="CJ1187" s="47"/>
      <c r="CK1187" s="47"/>
      <c r="CL1187" s="47"/>
      <c r="CM1187" s="47"/>
      <c r="CN1187" s="47"/>
      <c r="CO1187" s="47"/>
      <c r="CP1187" s="47"/>
      <c r="CQ1187" s="47"/>
      <c r="CR1187" s="47"/>
      <c r="CS1187" s="47"/>
      <c r="CT1187" s="47"/>
      <c r="CU1187" s="47"/>
      <c r="CV1187" s="47"/>
      <c r="CW1187" s="47"/>
      <c r="CX1187" s="47"/>
      <c r="CY1187" s="47"/>
      <c r="CZ1187" s="47"/>
      <c r="DA1187" s="47"/>
      <c r="DB1187" s="47"/>
      <c r="DC1187" s="47"/>
      <c r="DD1187" s="47"/>
      <c r="DE1187" s="47"/>
      <c r="DF1187" s="47"/>
      <c r="DG1187" s="47"/>
      <c r="DH1187" s="47"/>
      <c r="DI1187" s="47"/>
      <c r="DJ1187" s="47"/>
      <c r="DK1187" s="47"/>
      <c r="DL1187" s="47"/>
      <c r="DM1187" s="47"/>
      <c r="DN1187" s="47"/>
      <c r="DO1187" s="47"/>
      <c r="DP1187" s="47"/>
      <c r="DQ1187" s="47"/>
      <c r="DR1187" s="47"/>
      <c r="DS1187" s="47"/>
      <c r="DT1187" s="47"/>
      <c r="DU1187" s="47"/>
      <c r="DV1187" s="47"/>
      <c r="DW1187" s="47"/>
      <c r="DX1187" s="47"/>
      <c r="DY1187" s="47"/>
      <c r="DZ1187" s="47"/>
      <c r="EA1187" s="47"/>
      <c r="EB1187" s="47"/>
      <c r="EC1187" s="47"/>
      <c r="ED1187" s="47"/>
      <c r="EE1187" s="47"/>
      <c r="EF1187" s="47"/>
      <c r="EG1187" s="47"/>
      <c r="EH1187" s="47"/>
      <c r="EI1187" s="47"/>
      <c r="EJ1187" s="47"/>
      <c r="EK1187" s="47"/>
      <c r="EL1187" s="47"/>
      <c r="EM1187" s="47"/>
      <c r="EN1187" s="47"/>
      <c r="EO1187" s="47"/>
      <c r="EP1187" s="47"/>
      <c r="EQ1187" s="47"/>
      <c r="ER1187" s="47"/>
      <c r="ES1187" s="47"/>
      <c r="ET1187" s="47"/>
      <c r="EU1187" s="47"/>
      <c r="EV1187" s="47"/>
      <c r="EW1187" s="47"/>
      <c r="EX1187" s="47"/>
      <c r="EY1187" s="47"/>
      <c r="EZ1187" s="47"/>
      <c r="FA1187" s="47"/>
      <c r="FB1187" s="47"/>
      <c r="FC1187" s="47"/>
      <c r="FD1187" s="47"/>
      <c r="FE1187" s="47"/>
      <c r="FF1187" s="47"/>
      <c r="FG1187" s="47"/>
      <c r="FH1187" s="47"/>
      <c r="FI1187" s="47"/>
      <c r="FJ1187" s="47"/>
      <c r="FK1187" s="47"/>
      <c r="FL1187" s="47"/>
      <c r="FM1187" s="47"/>
      <c r="FN1187" s="47"/>
      <c r="FO1187" s="47"/>
      <c r="FP1187" s="47"/>
      <c r="FQ1187" s="47"/>
      <c r="FR1187" s="47"/>
      <c r="FS1187" s="47"/>
      <c r="FT1187" s="47"/>
      <c r="FU1187" s="47"/>
      <c r="FV1187" s="47"/>
      <c r="FW1187" s="47"/>
      <c r="FX1187" s="47"/>
      <c r="FY1187" s="47"/>
      <c r="FZ1187" s="47"/>
      <c r="GA1187" s="47"/>
      <c r="GB1187" s="47"/>
      <c r="GC1187" s="47"/>
      <c r="GD1187" s="47"/>
      <c r="GE1187" s="47"/>
      <c r="GF1187" s="47"/>
      <c r="GG1187" s="47"/>
      <c r="GH1187" s="47"/>
      <c r="GI1187" s="47"/>
      <c r="GJ1187" s="47"/>
      <c r="GK1187" s="47"/>
      <c r="GL1187" s="47"/>
      <c r="GM1187" s="47"/>
      <c r="GN1187" s="47"/>
      <c r="GO1187" s="47"/>
      <c r="GP1187" s="47"/>
      <c r="GQ1187" s="47"/>
      <c r="GR1187" s="47"/>
      <c r="GS1187" s="47"/>
      <c r="GT1187" s="47"/>
      <c r="GU1187" s="47"/>
      <c r="GV1187" s="47"/>
      <c r="GW1187" s="47"/>
      <c r="GX1187" s="47"/>
      <c r="GY1187" s="47"/>
      <c r="GZ1187" s="47"/>
      <c r="HA1187" s="47"/>
      <c r="HB1187" s="47"/>
      <c r="HC1187" s="47"/>
      <c r="HD1187" s="47"/>
      <c r="HE1187" s="47"/>
      <c r="HF1187" s="47"/>
      <c r="HG1187" s="47"/>
      <c r="HH1187" s="47"/>
      <c r="HI1187" s="47"/>
      <c r="HJ1187" s="47"/>
      <c r="HK1187" s="47"/>
      <c r="HL1187" s="47"/>
      <c r="HM1187" s="47"/>
      <c r="HN1187" s="47"/>
      <c r="HO1187" s="47"/>
      <c r="HP1187" s="47"/>
      <c r="HQ1187" s="47"/>
      <c r="HR1187" s="47"/>
      <c r="HS1187" s="47"/>
      <c r="HT1187" s="47"/>
      <c r="HU1187" s="47"/>
      <c r="HV1187" s="47"/>
      <c r="HW1187" s="47"/>
      <c r="HX1187" s="47"/>
      <c r="HY1187" s="47"/>
      <c r="HZ1187" s="47"/>
      <c r="IA1187" s="47"/>
      <c r="IB1187" s="47"/>
      <c r="IC1187" s="47"/>
      <c r="ID1187" s="47"/>
      <c r="IE1187" s="47"/>
      <c r="IF1187" s="47"/>
      <c r="IG1187" s="47"/>
      <c r="IH1187" s="47"/>
      <c r="II1187" s="47"/>
      <c r="IJ1187" s="47"/>
      <c r="IK1187" s="47"/>
      <c r="IL1187" s="47"/>
      <c r="IM1187" s="47"/>
      <c r="IN1187" s="47"/>
      <c r="IO1187" s="47"/>
      <c r="IP1187" s="47"/>
      <c r="IQ1187" s="47"/>
      <c r="IR1187" s="47"/>
      <c r="IS1187" s="47"/>
      <c r="IT1187" s="47"/>
      <c r="IU1187" s="47"/>
      <c r="IV1187" s="47"/>
      <c r="IW1187" s="47"/>
      <c r="IX1187" s="47"/>
      <c r="IY1187" s="47"/>
      <c r="IZ1187" s="47"/>
      <c r="JA1187" s="47"/>
      <c r="JB1187" s="47"/>
      <c r="JC1187" s="47"/>
      <c r="JD1187" s="47"/>
      <c r="JE1187" s="47"/>
      <c r="JF1187" s="47"/>
      <c r="JG1187" s="47"/>
      <c r="JH1187" s="47"/>
      <c r="JI1187" s="47"/>
      <c r="JJ1187" s="47"/>
      <c r="JK1187" s="47"/>
      <c r="JL1187" s="47"/>
      <c r="JM1187" s="47"/>
      <c r="JN1187" s="47"/>
      <c r="JO1187" s="47"/>
      <c r="JP1187" s="47"/>
      <c r="JQ1187" s="47"/>
      <c r="JR1187" s="47"/>
      <c r="JS1187" s="47"/>
      <c r="JT1187" s="47"/>
      <c r="JU1187" s="47"/>
      <c r="JV1187" s="47"/>
      <c r="JW1187" s="47"/>
      <c r="JX1187" s="47"/>
      <c r="JY1187" s="47"/>
      <c r="JZ1187" s="47"/>
      <c r="KA1187" s="47"/>
      <c r="KB1187" s="47"/>
      <c r="KC1187" s="47"/>
      <c r="KD1187" s="47"/>
      <c r="KE1187" s="47"/>
      <c r="KF1187" s="47"/>
      <c r="KG1187" s="47"/>
      <c r="KH1187" s="47"/>
      <c r="KI1187" s="47"/>
      <c r="KJ1187" s="47"/>
      <c r="KK1187" s="47"/>
      <c r="KL1187" s="47"/>
      <c r="KM1187" s="47"/>
      <c r="KN1187" s="47"/>
      <c r="KO1187" s="47"/>
      <c r="KP1187" s="47"/>
      <c r="KQ1187" s="47"/>
      <c r="KR1187" s="47"/>
      <c r="KS1187" s="47"/>
      <c r="KT1187" s="47"/>
      <c r="KU1187" s="47"/>
      <c r="KV1187" s="47"/>
      <c r="KW1187" s="47"/>
      <c r="KX1187" s="47"/>
      <c r="KY1187" s="47"/>
      <c r="KZ1187" s="47"/>
      <c r="LA1187" s="47"/>
      <c r="LB1187" s="47"/>
      <c r="LC1187" s="47"/>
      <c r="LD1187" s="47"/>
      <c r="LE1187" s="47"/>
      <c r="LF1187" s="47"/>
      <c r="LG1187" s="47"/>
      <c r="LH1187" s="47"/>
      <c r="LI1187" s="47"/>
      <c r="LJ1187" s="47"/>
      <c r="LK1187" s="47"/>
      <c r="LL1187" s="47"/>
      <c r="LM1187" s="47"/>
      <c r="LN1187" s="47"/>
      <c r="LO1187" s="47"/>
      <c r="LP1187" s="47"/>
      <c r="LQ1187" s="47"/>
      <c r="LR1187" s="47"/>
      <c r="LS1187" s="47"/>
      <c r="LT1187" s="47"/>
      <c r="LU1187" s="47"/>
      <c r="LV1187" s="47"/>
      <c r="LW1187" s="47"/>
      <c r="LX1187" s="47"/>
      <c r="LY1187" s="47"/>
      <c r="LZ1187" s="47"/>
      <c r="MA1187" s="47"/>
      <c r="MB1187" s="47"/>
      <c r="MC1187" s="47"/>
      <c r="MD1187" s="47"/>
      <c r="ME1187" s="47"/>
      <c r="MF1187" s="47"/>
      <c r="MG1187" s="47"/>
      <c r="MH1187" s="47"/>
      <c r="MI1187" s="47"/>
      <c r="MJ1187" s="47"/>
      <c r="MK1187" s="47"/>
      <c r="ML1187" s="47"/>
      <c r="MM1187" s="47"/>
      <c r="MN1187" s="47"/>
      <c r="MO1187" s="47"/>
      <c r="MP1187" s="47"/>
      <c r="MQ1187" s="47"/>
      <c r="MR1187" s="47"/>
      <c r="MS1187" s="47"/>
      <c r="MT1187" s="47"/>
      <c r="MU1187" s="47"/>
      <c r="MV1187" s="47"/>
      <c r="MW1187" s="47"/>
      <c r="MX1187" s="47"/>
      <c r="MY1187" s="47"/>
      <c r="MZ1187" s="47"/>
      <c r="NA1187" s="47"/>
      <c r="NB1187" s="47"/>
      <c r="NC1187" s="47"/>
      <c r="ND1187" s="47"/>
      <c r="NE1187" s="47"/>
      <c r="NF1187" s="47"/>
      <c r="NG1187" s="47"/>
      <c r="NH1187" s="47"/>
      <c r="NI1187" s="47"/>
      <c r="NJ1187" s="47"/>
      <c r="NK1187" s="47"/>
      <c r="NL1187" s="47"/>
      <c r="NM1187" s="47"/>
      <c r="NN1187" s="47"/>
      <c r="NO1187" s="47"/>
      <c r="NP1187" s="47"/>
      <c r="NQ1187" s="47"/>
      <c r="NR1187" s="47"/>
      <c r="NS1187" s="47"/>
      <c r="NT1187" s="47"/>
      <c r="NU1187" s="47"/>
      <c r="NV1187" s="47"/>
      <c r="NW1187" s="47"/>
      <c r="NX1187" s="47"/>
      <c r="NY1187" s="47"/>
      <c r="NZ1187" s="47"/>
      <c r="OA1187" s="47"/>
      <c r="OB1187" s="47"/>
      <c r="OC1187" s="47"/>
      <c r="OD1187" s="47"/>
      <c r="OE1187" s="47"/>
      <c r="OF1187" s="47"/>
      <c r="OG1187" s="47"/>
      <c r="OH1187" s="47"/>
      <c r="OI1187" s="47"/>
      <c r="OJ1187" s="47"/>
      <c r="OK1187" s="47"/>
      <c r="OL1187" s="47"/>
      <c r="OM1187" s="47"/>
      <c r="ON1187" s="47"/>
      <c r="OO1187" s="47"/>
      <c r="OP1187" s="47"/>
      <c r="OQ1187" s="47"/>
      <c r="OR1187" s="47"/>
      <c r="OS1187" s="47"/>
      <c r="OT1187" s="47"/>
      <c r="OU1187" s="47"/>
      <c r="OV1187" s="47"/>
      <c r="OW1187" s="47"/>
      <c r="OX1187" s="47"/>
      <c r="OY1187" s="47"/>
      <c r="OZ1187" s="47"/>
      <c r="PA1187" s="47"/>
      <c r="PB1187" s="47"/>
      <c r="PC1187" s="47"/>
      <c r="PD1187" s="47"/>
      <c r="PE1187" s="47"/>
      <c r="PF1187" s="47"/>
      <c r="PG1187" s="47"/>
      <c r="PH1187" s="47"/>
      <c r="PI1187" s="47"/>
      <c r="PJ1187" s="47"/>
      <c r="PK1187" s="47"/>
      <c r="PL1187" s="47"/>
      <c r="PM1187" s="47"/>
      <c r="PN1187" s="47"/>
      <c r="PO1187" s="47"/>
      <c r="PP1187" s="47"/>
      <c r="PQ1187" s="47"/>
      <c r="PR1187" s="47"/>
      <c r="PS1187" s="47"/>
      <c r="PT1187" s="47"/>
      <c r="PU1187" s="47"/>
      <c r="PV1187" s="47"/>
      <c r="PW1187" s="47"/>
      <c r="PX1187" s="47"/>
      <c r="PY1187" s="47"/>
      <c r="PZ1187" s="47"/>
      <c r="QA1187" s="47"/>
      <c r="QB1187" s="47"/>
      <c r="QC1187" s="47"/>
      <c r="QD1187" s="47"/>
      <c r="QE1187" s="47"/>
      <c r="QF1187" s="47"/>
      <c r="QG1187" s="47"/>
      <c r="QH1187" s="47"/>
      <c r="QI1187" s="47"/>
      <c r="QJ1187" s="47"/>
      <c r="QK1187" s="47"/>
      <c r="QL1187" s="47"/>
      <c r="QM1187" s="47"/>
      <c r="QN1187" s="47"/>
      <c r="QO1187" s="47"/>
      <c r="QP1187" s="47"/>
      <c r="QQ1187" s="47"/>
      <c r="QR1187" s="47"/>
      <c r="QS1187" s="47"/>
      <c r="QT1187" s="47"/>
      <c r="QU1187" s="47"/>
      <c r="QV1187" s="47"/>
      <c r="QW1187" s="47"/>
      <c r="QX1187" s="47"/>
      <c r="QY1187" s="47"/>
      <c r="QZ1187" s="47"/>
      <c r="RA1187" s="47"/>
      <c r="RB1187" s="47"/>
      <c r="RC1187" s="47"/>
      <c r="RD1187" s="47"/>
      <c r="RE1187" s="47"/>
      <c r="RF1187" s="47"/>
      <c r="RG1187" s="47"/>
      <c r="RH1187" s="47"/>
      <c r="RI1187" s="47"/>
      <c r="RJ1187" s="47"/>
      <c r="RK1187" s="47"/>
      <c r="RL1187" s="47"/>
      <c r="RM1187" s="47"/>
      <c r="RN1187" s="47"/>
      <c r="RO1187" s="47"/>
      <c r="RP1187" s="47"/>
      <c r="RQ1187" s="47"/>
      <c r="RR1187" s="47"/>
      <c r="RS1187" s="47"/>
      <c r="RT1187" s="47"/>
      <c r="RU1187" s="47"/>
      <c r="RV1187" s="47"/>
      <c r="RW1187" s="47"/>
      <c r="RX1187" s="47"/>
      <c r="RY1187" s="47"/>
      <c r="RZ1187" s="47"/>
      <c r="SA1187" s="47"/>
      <c r="SB1187" s="47"/>
      <c r="SC1187" s="47"/>
      <c r="SD1187" s="47"/>
      <c r="SE1187" s="47"/>
      <c r="SF1187" s="47"/>
      <c r="SG1187" s="47"/>
      <c r="SH1187" s="47"/>
      <c r="SI1187" s="47"/>
      <c r="SJ1187" s="47"/>
      <c r="SK1187" s="47"/>
      <c r="SL1187" s="47"/>
      <c r="SM1187" s="47"/>
      <c r="SN1187" s="47"/>
      <c r="SO1187" s="47"/>
      <c r="SP1187" s="47"/>
      <c r="SQ1187" s="47"/>
      <c r="SR1187" s="47"/>
      <c r="SS1187" s="47"/>
      <c r="ST1187" s="47"/>
      <c r="SU1187" s="47"/>
      <c r="SV1187" s="47"/>
      <c r="SW1187" s="47"/>
      <c r="SX1187" s="47"/>
      <c r="SY1187" s="47"/>
      <c r="SZ1187" s="47"/>
      <c r="TA1187" s="47"/>
      <c r="TB1187" s="47"/>
      <c r="TC1187" s="47"/>
      <c r="TD1187" s="47"/>
      <c r="TE1187" s="47"/>
      <c r="TF1187" s="47"/>
      <c r="TG1187" s="47"/>
      <c r="TH1187" s="47"/>
      <c r="TI1187" s="47"/>
      <c r="TJ1187" s="47"/>
      <c r="TK1187" s="47"/>
      <c r="TL1187" s="47"/>
      <c r="TM1187" s="47"/>
      <c r="TN1187" s="47"/>
      <c r="TO1187" s="47"/>
      <c r="TP1187" s="47"/>
      <c r="TQ1187" s="47"/>
      <c r="TR1187" s="47"/>
      <c r="TS1187" s="47"/>
      <c r="TT1187" s="47"/>
      <c r="TU1187" s="47"/>
      <c r="TV1187" s="47"/>
      <c r="TW1187" s="47"/>
      <c r="TX1187" s="47"/>
      <c r="TY1187" s="47"/>
      <c r="TZ1187" s="47"/>
      <c r="UA1187" s="47"/>
      <c r="UB1187" s="47"/>
      <c r="UC1187" s="47"/>
      <c r="UD1187" s="47"/>
      <c r="UE1187" s="47"/>
      <c r="UF1187" s="47"/>
      <c r="UG1187" s="23"/>
    </row>
    <row r="1188" spans="1:553" ht="34.5" customHeight="1">
      <c r="A1188" s="356"/>
      <c r="B1188" s="385"/>
      <c r="C1188" s="384" t="str">
        <f>'Phương án chi tiết'!C1087</f>
        <v>Đất chuyên trồng lúa nước (LUC)</v>
      </c>
      <c r="D1188" s="376" t="str">
        <f>'Phương án chi tiết'!D1089</f>
        <v>1</v>
      </c>
      <c r="E1188" s="376" t="str">
        <f>'Phương án chi tiết'!E1087</f>
        <v>160</v>
      </c>
      <c r="F1188" s="385"/>
      <c r="G1188" s="386" t="s">
        <v>935</v>
      </c>
      <c r="H1188" s="370"/>
      <c r="I1188" s="422">
        <f>'Phương án chi tiết'!I1087</f>
        <v>51.5</v>
      </c>
      <c r="J1188" s="368">
        <v>72000</v>
      </c>
      <c r="K1188" s="848">
        <v>3</v>
      </c>
      <c r="L1188" s="480">
        <f t="shared" si="174"/>
        <v>11124000</v>
      </c>
      <c r="M1188" s="366"/>
      <c r="N1188" s="366"/>
      <c r="O1188" s="366"/>
      <c r="P1188" s="366"/>
      <c r="Q1188" s="812"/>
      <c r="R1188" s="1452"/>
      <c r="S1188" s="308"/>
      <c r="T1188" s="308"/>
      <c r="U1188" s="308"/>
      <c r="V1188" s="308"/>
      <c r="W1188" s="308"/>
      <c r="X1188" s="308"/>
      <c r="Y1188" s="308"/>
      <c r="Z1188" s="604"/>
      <c r="AA1188" s="308"/>
      <c r="AB1188" s="308"/>
      <c r="AC1188" s="373"/>
      <c r="AD1188" s="373"/>
      <c r="AE1188" s="373"/>
      <c r="AF1188" s="373"/>
      <c r="AG1188" s="373"/>
      <c r="AH1188" s="373"/>
      <c r="AI1188" s="373"/>
      <c r="AJ1188" s="373"/>
      <c r="AK1188" s="389"/>
      <c r="AL1188" s="45"/>
      <c r="AM1188" s="46"/>
      <c r="AN1188" s="46"/>
      <c r="AO1188" s="46"/>
      <c r="AP1188" s="46"/>
      <c r="AQ1188" s="46"/>
      <c r="AR1188" s="46"/>
      <c r="AS1188" s="47"/>
      <c r="AT1188" s="47"/>
      <c r="AU1188" s="47"/>
      <c r="AV1188" s="47"/>
      <c r="AW1188" s="47"/>
      <c r="AX1188" s="47"/>
      <c r="AY1188" s="47"/>
      <c r="AZ1188" s="47"/>
      <c r="BA1188" s="47"/>
      <c r="BB1188" s="47"/>
      <c r="BC1188" s="47"/>
      <c r="BD1188" s="47"/>
      <c r="BE1188" s="47"/>
      <c r="BF1188" s="47"/>
      <c r="BG1188" s="47"/>
      <c r="BH1188" s="47"/>
      <c r="BI1188" s="47"/>
      <c r="BJ1188" s="47"/>
      <c r="BK1188" s="47"/>
      <c r="BL1188" s="47"/>
      <c r="BM1188" s="47"/>
      <c r="BN1188" s="47"/>
      <c r="BO1188" s="47"/>
      <c r="BP1188" s="47"/>
      <c r="BQ1188" s="47"/>
      <c r="BR1188" s="47"/>
      <c r="BS1188" s="47"/>
      <c r="BT1188" s="47"/>
      <c r="BU1188" s="47"/>
      <c r="BV1188" s="47"/>
      <c r="BW1188" s="47"/>
      <c r="BX1188" s="47"/>
      <c r="BY1188" s="47"/>
      <c r="BZ1188" s="47"/>
      <c r="CA1188" s="47"/>
      <c r="CB1188" s="47"/>
      <c r="CC1188" s="47"/>
      <c r="CD1188" s="47"/>
      <c r="CE1188" s="47"/>
      <c r="CF1188" s="47"/>
      <c r="CG1188" s="47"/>
      <c r="CH1188" s="47"/>
      <c r="CI1188" s="47"/>
      <c r="CJ1188" s="47"/>
      <c r="CK1188" s="47"/>
      <c r="CL1188" s="47"/>
      <c r="CM1188" s="47"/>
      <c r="CN1188" s="47"/>
      <c r="CO1188" s="47"/>
      <c r="CP1188" s="47"/>
      <c r="CQ1188" s="47"/>
      <c r="CR1188" s="47"/>
      <c r="CS1188" s="47"/>
      <c r="CT1188" s="47"/>
      <c r="CU1188" s="47"/>
      <c r="CV1188" s="47"/>
      <c r="CW1188" s="47"/>
      <c r="CX1188" s="47"/>
      <c r="CY1188" s="47"/>
      <c r="CZ1188" s="47"/>
      <c r="DA1188" s="47"/>
      <c r="DB1188" s="47"/>
      <c r="DC1188" s="47"/>
      <c r="DD1188" s="47"/>
      <c r="DE1188" s="47"/>
      <c r="DF1188" s="47"/>
      <c r="DG1188" s="47"/>
      <c r="DH1188" s="47"/>
      <c r="DI1188" s="47"/>
      <c r="DJ1188" s="47"/>
      <c r="DK1188" s="47"/>
      <c r="DL1188" s="47"/>
      <c r="DM1188" s="47"/>
      <c r="DN1188" s="47"/>
      <c r="DO1188" s="47"/>
      <c r="DP1188" s="47"/>
      <c r="DQ1188" s="47"/>
      <c r="DR1188" s="47"/>
      <c r="DS1188" s="47"/>
      <c r="DT1188" s="47"/>
      <c r="DU1188" s="47"/>
      <c r="DV1188" s="47"/>
      <c r="DW1188" s="47"/>
      <c r="DX1188" s="47"/>
      <c r="DY1188" s="47"/>
      <c r="DZ1188" s="47"/>
      <c r="EA1188" s="47"/>
      <c r="EB1188" s="47"/>
      <c r="EC1188" s="47"/>
      <c r="ED1188" s="47"/>
      <c r="EE1188" s="47"/>
      <c r="EF1188" s="47"/>
      <c r="EG1188" s="47"/>
      <c r="EH1188" s="47"/>
      <c r="EI1188" s="47"/>
      <c r="EJ1188" s="47"/>
      <c r="EK1188" s="47"/>
      <c r="EL1188" s="47"/>
      <c r="EM1188" s="47"/>
      <c r="EN1188" s="47"/>
      <c r="EO1188" s="47"/>
      <c r="EP1188" s="47"/>
      <c r="EQ1188" s="47"/>
      <c r="ER1188" s="47"/>
      <c r="ES1188" s="47"/>
      <c r="ET1188" s="47"/>
      <c r="EU1188" s="47"/>
      <c r="EV1188" s="47"/>
      <c r="EW1188" s="47"/>
      <c r="EX1188" s="47"/>
      <c r="EY1188" s="47"/>
      <c r="EZ1188" s="47"/>
      <c r="FA1188" s="47"/>
      <c r="FB1188" s="47"/>
      <c r="FC1188" s="47"/>
      <c r="FD1188" s="47"/>
      <c r="FE1188" s="47"/>
      <c r="FF1188" s="47"/>
      <c r="FG1188" s="47"/>
      <c r="FH1188" s="47"/>
      <c r="FI1188" s="47"/>
      <c r="FJ1188" s="47"/>
      <c r="FK1188" s="47"/>
      <c r="FL1188" s="47"/>
      <c r="FM1188" s="47"/>
      <c r="FN1188" s="47"/>
      <c r="FO1188" s="47"/>
      <c r="FP1188" s="47"/>
      <c r="FQ1188" s="47"/>
      <c r="FR1188" s="47"/>
      <c r="FS1188" s="47"/>
      <c r="FT1188" s="47"/>
      <c r="FU1188" s="47"/>
      <c r="FV1188" s="47"/>
      <c r="FW1188" s="47"/>
      <c r="FX1188" s="47"/>
      <c r="FY1188" s="47"/>
      <c r="FZ1188" s="47"/>
      <c r="GA1188" s="47"/>
      <c r="GB1188" s="47"/>
      <c r="GC1188" s="47"/>
      <c r="GD1188" s="47"/>
      <c r="GE1188" s="47"/>
      <c r="GF1188" s="47"/>
      <c r="GG1188" s="47"/>
      <c r="GH1188" s="47"/>
      <c r="GI1188" s="47"/>
      <c r="GJ1188" s="47"/>
      <c r="GK1188" s="47"/>
      <c r="GL1188" s="47"/>
      <c r="GM1188" s="47"/>
      <c r="GN1188" s="47"/>
      <c r="GO1188" s="47"/>
      <c r="GP1188" s="47"/>
      <c r="GQ1188" s="47"/>
      <c r="GR1188" s="47"/>
      <c r="GS1188" s="47"/>
      <c r="GT1188" s="47"/>
      <c r="GU1188" s="47"/>
      <c r="GV1188" s="47"/>
      <c r="GW1188" s="47"/>
      <c r="GX1188" s="47"/>
      <c r="GY1188" s="47"/>
      <c r="GZ1188" s="47"/>
      <c r="HA1188" s="47"/>
      <c r="HB1188" s="47"/>
      <c r="HC1188" s="47"/>
      <c r="HD1188" s="47"/>
      <c r="HE1188" s="47"/>
      <c r="HF1188" s="47"/>
      <c r="HG1188" s="47"/>
      <c r="HH1188" s="47"/>
      <c r="HI1188" s="47"/>
      <c r="HJ1188" s="47"/>
      <c r="HK1188" s="47"/>
      <c r="HL1188" s="47"/>
      <c r="HM1188" s="47"/>
      <c r="HN1188" s="47"/>
      <c r="HO1188" s="47"/>
      <c r="HP1188" s="47"/>
      <c r="HQ1188" s="47"/>
      <c r="HR1188" s="47"/>
      <c r="HS1188" s="47"/>
      <c r="HT1188" s="47"/>
      <c r="HU1188" s="47"/>
      <c r="HV1188" s="47"/>
      <c r="HW1188" s="47"/>
      <c r="HX1188" s="47"/>
      <c r="HY1188" s="47"/>
      <c r="HZ1188" s="47"/>
      <c r="IA1188" s="47"/>
      <c r="IB1188" s="47"/>
      <c r="IC1188" s="47"/>
      <c r="ID1188" s="47"/>
      <c r="IE1188" s="47"/>
      <c r="IF1188" s="47"/>
      <c r="IG1188" s="47"/>
      <c r="IH1188" s="47"/>
      <c r="II1188" s="47"/>
      <c r="IJ1188" s="47"/>
      <c r="IK1188" s="47"/>
      <c r="IL1188" s="47"/>
      <c r="IM1188" s="47"/>
      <c r="IN1188" s="47"/>
      <c r="IO1188" s="47"/>
      <c r="IP1188" s="47"/>
      <c r="IQ1188" s="47"/>
      <c r="IR1188" s="47"/>
      <c r="IS1188" s="47"/>
      <c r="IT1188" s="47"/>
      <c r="IU1188" s="47"/>
      <c r="IV1188" s="47"/>
      <c r="IW1188" s="47"/>
      <c r="IX1188" s="47"/>
      <c r="IY1188" s="47"/>
      <c r="IZ1188" s="47"/>
      <c r="JA1188" s="47"/>
      <c r="JB1188" s="47"/>
      <c r="JC1188" s="47"/>
      <c r="JD1188" s="47"/>
      <c r="JE1188" s="47"/>
      <c r="JF1188" s="47"/>
      <c r="JG1188" s="47"/>
      <c r="JH1188" s="47"/>
      <c r="JI1188" s="47"/>
      <c r="JJ1188" s="47"/>
      <c r="JK1188" s="47"/>
      <c r="JL1188" s="47"/>
      <c r="JM1188" s="47"/>
      <c r="JN1188" s="47"/>
      <c r="JO1188" s="47"/>
      <c r="JP1188" s="47"/>
      <c r="JQ1188" s="47"/>
      <c r="JR1188" s="47"/>
      <c r="JS1188" s="47"/>
      <c r="JT1188" s="47"/>
      <c r="JU1188" s="47"/>
      <c r="JV1188" s="47"/>
      <c r="JW1188" s="47"/>
      <c r="JX1188" s="47"/>
      <c r="JY1188" s="47"/>
      <c r="JZ1188" s="47"/>
      <c r="KA1188" s="47"/>
      <c r="KB1188" s="47"/>
      <c r="KC1188" s="47"/>
      <c r="KD1188" s="47"/>
      <c r="KE1188" s="47"/>
      <c r="KF1188" s="47"/>
      <c r="KG1188" s="47"/>
      <c r="KH1188" s="47"/>
      <c r="KI1188" s="47"/>
      <c r="KJ1188" s="47"/>
      <c r="KK1188" s="47"/>
      <c r="KL1188" s="47"/>
      <c r="KM1188" s="47"/>
      <c r="KN1188" s="47"/>
      <c r="KO1188" s="47"/>
      <c r="KP1188" s="47"/>
      <c r="KQ1188" s="47"/>
      <c r="KR1188" s="47"/>
      <c r="KS1188" s="47"/>
      <c r="KT1188" s="47"/>
      <c r="KU1188" s="47"/>
      <c r="KV1188" s="47"/>
      <c r="KW1188" s="47"/>
      <c r="KX1188" s="47"/>
      <c r="KY1188" s="47"/>
      <c r="KZ1188" s="47"/>
      <c r="LA1188" s="47"/>
      <c r="LB1188" s="47"/>
      <c r="LC1188" s="47"/>
      <c r="LD1188" s="47"/>
      <c r="LE1188" s="47"/>
      <c r="LF1188" s="47"/>
      <c r="LG1188" s="47"/>
      <c r="LH1188" s="47"/>
      <c r="LI1188" s="47"/>
      <c r="LJ1188" s="47"/>
      <c r="LK1188" s="47"/>
      <c r="LL1188" s="47"/>
      <c r="LM1188" s="47"/>
      <c r="LN1188" s="47"/>
      <c r="LO1188" s="47"/>
      <c r="LP1188" s="47"/>
      <c r="LQ1188" s="47"/>
      <c r="LR1188" s="47"/>
      <c r="LS1188" s="47"/>
      <c r="LT1188" s="47"/>
      <c r="LU1188" s="47"/>
      <c r="LV1188" s="47"/>
      <c r="LW1188" s="47"/>
      <c r="LX1188" s="47"/>
      <c r="LY1188" s="47"/>
      <c r="LZ1188" s="47"/>
      <c r="MA1188" s="47"/>
      <c r="MB1188" s="47"/>
      <c r="MC1188" s="47"/>
      <c r="MD1188" s="47"/>
      <c r="ME1188" s="47"/>
      <c r="MF1188" s="47"/>
      <c r="MG1188" s="47"/>
      <c r="MH1188" s="47"/>
      <c r="MI1188" s="47"/>
      <c r="MJ1188" s="47"/>
      <c r="MK1188" s="47"/>
      <c r="ML1188" s="47"/>
      <c r="MM1188" s="47"/>
      <c r="MN1188" s="47"/>
      <c r="MO1188" s="47"/>
      <c r="MP1188" s="47"/>
      <c r="MQ1188" s="47"/>
      <c r="MR1188" s="47"/>
      <c r="MS1188" s="47"/>
      <c r="MT1188" s="47"/>
      <c r="MU1188" s="47"/>
      <c r="MV1188" s="47"/>
      <c r="MW1188" s="47"/>
      <c r="MX1188" s="47"/>
      <c r="MY1188" s="47"/>
      <c r="MZ1188" s="47"/>
      <c r="NA1188" s="47"/>
      <c r="NB1188" s="47"/>
      <c r="NC1188" s="47"/>
      <c r="ND1188" s="47"/>
      <c r="NE1188" s="47"/>
      <c r="NF1188" s="47"/>
      <c r="NG1188" s="47"/>
      <c r="NH1188" s="47"/>
      <c r="NI1188" s="47"/>
      <c r="NJ1188" s="47"/>
      <c r="NK1188" s="47"/>
      <c r="NL1188" s="47"/>
      <c r="NM1188" s="47"/>
      <c r="NN1188" s="47"/>
      <c r="NO1188" s="47"/>
      <c r="NP1188" s="47"/>
      <c r="NQ1188" s="47"/>
      <c r="NR1188" s="47"/>
      <c r="NS1188" s="47"/>
      <c r="NT1188" s="47"/>
      <c r="NU1188" s="47"/>
      <c r="NV1188" s="47"/>
      <c r="NW1188" s="47"/>
      <c r="NX1188" s="47"/>
      <c r="NY1188" s="47"/>
      <c r="NZ1188" s="47"/>
      <c r="OA1188" s="47"/>
      <c r="OB1188" s="47"/>
      <c r="OC1188" s="47"/>
      <c r="OD1188" s="47"/>
      <c r="OE1188" s="47"/>
      <c r="OF1188" s="47"/>
      <c r="OG1188" s="47"/>
      <c r="OH1188" s="47"/>
      <c r="OI1188" s="47"/>
      <c r="OJ1188" s="47"/>
      <c r="OK1188" s="47"/>
      <c r="OL1188" s="47"/>
      <c r="OM1188" s="47"/>
      <c r="ON1188" s="47"/>
      <c r="OO1188" s="47"/>
      <c r="OP1188" s="47"/>
      <c r="OQ1188" s="47"/>
      <c r="OR1188" s="47"/>
      <c r="OS1188" s="47"/>
      <c r="OT1188" s="47"/>
      <c r="OU1188" s="47"/>
      <c r="OV1188" s="47"/>
      <c r="OW1188" s="47"/>
      <c r="OX1188" s="47"/>
      <c r="OY1188" s="47"/>
      <c r="OZ1188" s="47"/>
      <c r="PA1188" s="47"/>
      <c r="PB1188" s="47"/>
      <c r="PC1188" s="47"/>
      <c r="PD1188" s="47"/>
      <c r="PE1188" s="47"/>
      <c r="PF1188" s="47"/>
      <c r="PG1188" s="47"/>
      <c r="PH1188" s="47"/>
      <c r="PI1188" s="47"/>
      <c r="PJ1188" s="47"/>
      <c r="PK1188" s="47"/>
      <c r="PL1188" s="47"/>
      <c r="PM1188" s="47"/>
      <c r="PN1188" s="47"/>
      <c r="PO1188" s="47"/>
      <c r="PP1188" s="47"/>
      <c r="PQ1188" s="47"/>
      <c r="PR1188" s="47"/>
      <c r="PS1188" s="47"/>
      <c r="PT1188" s="47"/>
      <c r="PU1188" s="47"/>
      <c r="PV1188" s="47"/>
      <c r="PW1188" s="47"/>
      <c r="PX1188" s="47"/>
      <c r="PY1188" s="47"/>
      <c r="PZ1188" s="47"/>
      <c r="QA1188" s="47"/>
      <c r="QB1188" s="47"/>
      <c r="QC1188" s="47"/>
      <c r="QD1188" s="47"/>
      <c r="QE1188" s="47"/>
      <c r="QF1188" s="47"/>
      <c r="QG1188" s="47"/>
      <c r="QH1188" s="47"/>
      <c r="QI1188" s="47"/>
      <c r="QJ1188" s="47"/>
      <c r="QK1188" s="47"/>
      <c r="QL1188" s="47"/>
      <c r="QM1188" s="47"/>
      <c r="QN1188" s="47"/>
      <c r="QO1188" s="47"/>
      <c r="QP1188" s="47"/>
      <c r="QQ1188" s="47"/>
      <c r="QR1188" s="47"/>
      <c r="QS1188" s="47"/>
      <c r="QT1188" s="47"/>
      <c r="QU1188" s="47"/>
      <c r="QV1188" s="47"/>
      <c r="QW1188" s="47"/>
      <c r="QX1188" s="47"/>
      <c r="QY1188" s="47"/>
      <c r="QZ1188" s="47"/>
      <c r="RA1188" s="47"/>
      <c r="RB1188" s="47"/>
      <c r="RC1188" s="47"/>
      <c r="RD1188" s="47"/>
      <c r="RE1188" s="47"/>
      <c r="RF1188" s="47"/>
      <c r="RG1188" s="47"/>
      <c r="RH1188" s="47"/>
      <c r="RI1188" s="47"/>
      <c r="RJ1188" s="47"/>
      <c r="RK1188" s="47"/>
      <c r="RL1188" s="47"/>
      <c r="RM1188" s="47"/>
      <c r="RN1188" s="47"/>
      <c r="RO1188" s="47"/>
      <c r="RP1188" s="47"/>
      <c r="RQ1188" s="47"/>
      <c r="RR1188" s="47"/>
      <c r="RS1188" s="47"/>
      <c r="RT1188" s="47"/>
      <c r="RU1188" s="47"/>
      <c r="RV1188" s="47"/>
      <c r="RW1188" s="47"/>
      <c r="RX1188" s="47"/>
      <c r="RY1188" s="47"/>
      <c r="RZ1188" s="47"/>
      <c r="SA1188" s="47"/>
      <c r="SB1188" s="47"/>
      <c r="SC1188" s="47"/>
      <c r="SD1188" s="47"/>
      <c r="SE1188" s="47"/>
      <c r="SF1188" s="47"/>
      <c r="SG1188" s="47"/>
      <c r="SH1188" s="47"/>
      <c r="SI1188" s="47"/>
      <c r="SJ1188" s="47"/>
      <c r="SK1188" s="47"/>
      <c r="SL1188" s="47"/>
      <c r="SM1188" s="47"/>
      <c r="SN1188" s="47"/>
      <c r="SO1188" s="47"/>
      <c r="SP1188" s="47"/>
      <c r="SQ1188" s="47"/>
      <c r="SR1188" s="47"/>
      <c r="SS1188" s="47"/>
      <c r="ST1188" s="47"/>
      <c r="SU1188" s="47"/>
      <c r="SV1188" s="47"/>
      <c r="SW1188" s="47"/>
      <c r="SX1188" s="47"/>
      <c r="SY1188" s="47"/>
      <c r="SZ1188" s="47"/>
      <c r="TA1188" s="47"/>
      <c r="TB1188" s="47"/>
      <c r="TC1188" s="47"/>
      <c r="TD1188" s="47"/>
      <c r="TE1188" s="47"/>
      <c r="TF1188" s="47"/>
      <c r="TG1188" s="47"/>
      <c r="TH1188" s="47"/>
      <c r="TI1188" s="47"/>
      <c r="TJ1188" s="47"/>
      <c r="TK1188" s="47"/>
      <c r="TL1188" s="47"/>
      <c r="TM1188" s="47"/>
      <c r="TN1188" s="47"/>
      <c r="TO1188" s="47"/>
      <c r="TP1188" s="47"/>
      <c r="TQ1188" s="47"/>
      <c r="TR1188" s="47"/>
      <c r="TS1188" s="47"/>
      <c r="TT1188" s="47"/>
      <c r="TU1188" s="47"/>
      <c r="TV1188" s="47"/>
      <c r="TW1188" s="47"/>
      <c r="TX1188" s="47"/>
      <c r="TY1188" s="47"/>
      <c r="TZ1188" s="47"/>
      <c r="UA1188" s="47"/>
      <c r="UB1188" s="47"/>
      <c r="UC1188" s="47"/>
      <c r="UD1188" s="47"/>
      <c r="UE1188" s="47"/>
      <c r="UF1188" s="47"/>
      <c r="UG1188" s="23"/>
    </row>
    <row r="1189" spans="1:553" ht="34.5" customHeight="1">
      <c r="A1189" s="356"/>
      <c r="B1189" s="385"/>
      <c r="C1189" s="384" t="str">
        <f>'Phương án chi tiết'!C1088</f>
        <v>Đất chuyên trồng lúa nước (LUC)</v>
      </c>
      <c r="D1189" s="376" t="str">
        <f>'Phương án chi tiết'!D1090</f>
        <v>1</v>
      </c>
      <c r="E1189" s="376" t="str">
        <f>'Phương án chi tiết'!E1088</f>
        <v>161</v>
      </c>
      <c r="F1189" s="385"/>
      <c r="G1189" s="386" t="s">
        <v>935</v>
      </c>
      <c r="H1189" s="370"/>
      <c r="I1189" s="422">
        <f>'Phương án chi tiết'!I1088</f>
        <v>81.5</v>
      </c>
      <c r="J1189" s="368">
        <v>72000</v>
      </c>
      <c r="K1189" s="848">
        <v>3</v>
      </c>
      <c r="L1189" s="480">
        <f t="shared" si="174"/>
        <v>17604000</v>
      </c>
      <c r="M1189" s="366"/>
      <c r="N1189" s="366"/>
      <c r="O1189" s="366"/>
      <c r="P1189" s="366"/>
      <c r="Q1189" s="812"/>
      <c r="R1189" s="1452"/>
      <c r="S1189" s="308"/>
      <c r="T1189" s="308"/>
      <c r="U1189" s="308"/>
      <c r="V1189" s="308"/>
      <c r="W1189" s="308"/>
      <c r="X1189" s="308"/>
      <c r="Y1189" s="308"/>
      <c r="Z1189" s="604"/>
      <c r="AA1189" s="308"/>
      <c r="AB1189" s="308"/>
      <c r="AC1189" s="373"/>
      <c r="AD1189" s="373"/>
      <c r="AE1189" s="373"/>
      <c r="AF1189" s="373"/>
      <c r="AG1189" s="373"/>
      <c r="AH1189" s="373"/>
      <c r="AI1189" s="373"/>
      <c r="AJ1189" s="373"/>
      <c r="AK1189" s="389"/>
      <c r="AL1189" s="45"/>
      <c r="AM1189" s="46"/>
      <c r="AN1189" s="46"/>
      <c r="AO1189" s="46"/>
      <c r="AP1189" s="46"/>
      <c r="AQ1189" s="46"/>
      <c r="AR1189" s="46"/>
      <c r="AS1189" s="47"/>
      <c r="AT1189" s="47"/>
      <c r="AU1189" s="47"/>
      <c r="AV1189" s="47"/>
      <c r="AW1189" s="47"/>
      <c r="AX1189" s="47"/>
      <c r="AY1189" s="47"/>
      <c r="AZ1189" s="47"/>
      <c r="BA1189" s="47"/>
      <c r="BB1189" s="47"/>
      <c r="BC1189" s="47"/>
      <c r="BD1189" s="47"/>
      <c r="BE1189" s="47"/>
      <c r="BF1189" s="47"/>
      <c r="BG1189" s="47"/>
      <c r="BH1189" s="47"/>
      <c r="BI1189" s="47"/>
      <c r="BJ1189" s="47"/>
      <c r="BK1189" s="47"/>
      <c r="BL1189" s="47"/>
      <c r="BM1189" s="47"/>
      <c r="BN1189" s="47"/>
      <c r="BO1189" s="47"/>
      <c r="BP1189" s="47"/>
      <c r="BQ1189" s="47"/>
      <c r="BR1189" s="47"/>
      <c r="BS1189" s="47"/>
      <c r="BT1189" s="47"/>
      <c r="BU1189" s="47"/>
      <c r="BV1189" s="47"/>
      <c r="BW1189" s="47"/>
      <c r="BX1189" s="47"/>
      <c r="BY1189" s="47"/>
      <c r="BZ1189" s="47"/>
      <c r="CA1189" s="47"/>
      <c r="CB1189" s="47"/>
      <c r="CC1189" s="47"/>
      <c r="CD1189" s="47"/>
      <c r="CE1189" s="47"/>
      <c r="CF1189" s="47"/>
      <c r="CG1189" s="47"/>
      <c r="CH1189" s="47"/>
      <c r="CI1189" s="47"/>
      <c r="CJ1189" s="47"/>
      <c r="CK1189" s="47"/>
      <c r="CL1189" s="47"/>
      <c r="CM1189" s="47"/>
      <c r="CN1189" s="47"/>
      <c r="CO1189" s="47"/>
      <c r="CP1189" s="47"/>
      <c r="CQ1189" s="47"/>
      <c r="CR1189" s="47"/>
      <c r="CS1189" s="47"/>
      <c r="CT1189" s="47"/>
      <c r="CU1189" s="47"/>
      <c r="CV1189" s="47"/>
      <c r="CW1189" s="47"/>
      <c r="CX1189" s="47"/>
      <c r="CY1189" s="47"/>
      <c r="CZ1189" s="47"/>
      <c r="DA1189" s="47"/>
      <c r="DB1189" s="47"/>
      <c r="DC1189" s="47"/>
      <c r="DD1189" s="47"/>
      <c r="DE1189" s="47"/>
      <c r="DF1189" s="47"/>
      <c r="DG1189" s="47"/>
      <c r="DH1189" s="47"/>
      <c r="DI1189" s="47"/>
      <c r="DJ1189" s="47"/>
      <c r="DK1189" s="47"/>
      <c r="DL1189" s="47"/>
      <c r="DM1189" s="47"/>
      <c r="DN1189" s="47"/>
      <c r="DO1189" s="47"/>
      <c r="DP1189" s="47"/>
      <c r="DQ1189" s="47"/>
      <c r="DR1189" s="47"/>
      <c r="DS1189" s="47"/>
      <c r="DT1189" s="47"/>
      <c r="DU1189" s="47"/>
      <c r="DV1189" s="47"/>
      <c r="DW1189" s="47"/>
      <c r="DX1189" s="47"/>
      <c r="DY1189" s="47"/>
      <c r="DZ1189" s="47"/>
      <c r="EA1189" s="47"/>
      <c r="EB1189" s="47"/>
      <c r="EC1189" s="47"/>
      <c r="ED1189" s="47"/>
      <c r="EE1189" s="47"/>
      <c r="EF1189" s="47"/>
      <c r="EG1189" s="47"/>
      <c r="EH1189" s="47"/>
      <c r="EI1189" s="47"/>
      <c r="EJ1189" s="47"/>
      <c r="EK1189" s="47"/>
      <c r="EL1189" s="47"/>
      <c r="EM1189" s="47"/>
      <c r="EN1189" s="47"/>
      <c r="EO1189" s="47"/>
      <c r="EP1189" s="47"/>
      <c r="EQ1189" s="47"/>
      <c r="ER1189" s="47"/>
      <c r="ES1189" s="47"/>
      <c r="ET1189" s="47"/>
      <c r="EU1189" s="47"/>
      <c r="EV1189" s="47"/>
      <c r="EW1189" s="47"/>
      <c r="EX1189" s="47"/>
      <c r="EY1189" s="47"/>
      <c r="EZ1189" s="47"/>
      <c r="FA1189" s="47"/>
      <c r="FB1189" s="47"/>
      <c r="FC1189" s="47"/>
      <c r="FD1189" s="47"/>
      <c r="FE1189" s="47"/>
      <c r="FF1189" s="47"/>
      <c r="FG1189" s="47"/>
      <c r="FH1189" s="47"/>
      <c r="FI1189" s="47"/>
      <c r="FJ1189" s="47"/>
      <c r="FK1189" s="47"/>
      <c r="FL1189" s="47"/>
      <c r="FM1189" s="47"/>
      <c r="FN1189" s="47"/>
      <c r="FO1189" s="47"/>
      <c r="FP1189" s="47"/>
      <c r="FQ1189" s="47"/>
      <c r="FR1189" s="47"/>
      <c r="FS1189" s="47"/>
      <c r="FT1189" s="47"/>
      <c r="FU1189" s="47"/>
      <c r="FV1189" s="47"/>
      <c r="FW1189" s="47"/>
      <c r="FX1189" s="47"/>
      <c r="FY1189" s="47"/>
      <c r="FZ1189" s="47"/>
      <c r="GA1189" s="47"/>
      <c r="GB1189" s="47"/>
      <c r="GC1189" s="47"/>
      <c r="GD1189" s="47"/>
      <c r="GE1189" s="47"/>
      <c r="GF1189" s="47"/>
      <c r="GG1189" s="47"/>
      <c r="GH1189" s="47"/>
      <c r="GI1189" s="47"/>
      <c r="GJ1189" s="47"/>
      <c r="GK1189" s="47"/>
      <c r="GL1189" s="47"/>
      <c r="GM1189" s="47"/>
      <c r="GN1189" s="47"/>
      <c r="GO1189" s="47"/>
      <c r="GP1189" s="47"/>
      <c r="GQ1189" s="47"/>
      <c r="GR1189" s="47"/>
      <c r="GS1189" s="47"/>
      <c r="GT1189" s="47"/>
      <c r="GU1189" s="47"/>
      <c r="GV1189" s="47"/>
      <c r="GW1189" s="47"/>
      <c r="GX1189" s="47"/>
      <c r="GY1189" s="47"/>
      <c r="GZ1189" s="47"/>
      <c r="HA1189" s="47"/>
      <c r="HB1189" s="47"/>
      <c r="HC1189" s="47"/>
      <c r="HD1189" s="47"/>
      <c r="HE1189" s="47"/>
      <c r="HF1189" s="47"/>
      <c r="HG1189" s="47"/>
      <c r="HH1189" s="47"/>
      <c r="HI1189" s="47"/>
      <c r="HJ1189" s="47"/>
      <c r="HK1189" s="47"/>
      <c r="HL1189" s="47"/>
      <c r="HM1189" s="47"/>
      <c r="HN1189" s="47"/>
      <c r="HO1189" s="47"/>
      <c r="HP1189" s="47"/>
      <c r="HQ1189" s="47"/>
      <c r="HR1189" s="47"/>
      <c r="HS1189" s="47"/>
      <c r="HT1189" s="47"/>
      <c r="HU1189" s="47"/>
      <c r="HV1189" s="47"/>
      <c r="HW1189" s="47"/>
      <c r="HX1189" s="47"/>
      <c r="HY1189" s="47"/>
      <c r="HZ1189" s="47"/>
      <c r="IA1189" s="47"/>
      <c r="IB1189" s="47"/>
      <c r="IC1189" s="47"/>
      <c r="ID1189" s="47"/>
      <c r="IE1189" s="47"/>
      <c r="IF1189" s="47"/>
      <c r="IG1189" s="47"/>
      <c r="IH1189" s="47"/>
      <c r="II1189" s="47"/>
      <c r="IJ1189" s="47"/>
      <c r="IK1189" s="47"/>
      <c r="IL1189" s="47"/>
      <c r="IM1189" s="47"/>
      <c r="IN1189" s="47"/>
      <c r="IO1189" s="47"/>
      <c r="IP1189" s="47"/>
      <c r="IQ1189" s="47"/>
      <c r="IR1189" s="47"/>
      <c r="IS1189" s="47"/>
      <c r="IT1189" s="47"/>
      <c r="IU1189" s="47"/>
      <c r="IV1189" s="47"/>
      <c r="IW1189" s="47"/>
      <c r="IX1189" s="47"/>
      <c r="IY1189" s="47"/>
      <c r="IZ1189" s="47"/>
      <c r="JA1189" s="47"/>
      <c r="JB1189" s="47"/>
      <c r="JC1189" s="47"/>
      <c r="JD1189" s="47"/>
      <c r="JE1189" s="47"/>
      <c r="JF1189" s="47"/>
      <c r="JG1189" s="47"/>
      <c r="JH1189" s="47"/>
      <c r="JI1189" s="47"/>
      <c r="JJ1189" s="47"/>
      <c r="JK1189" s="47"/>
      <c r="JL1189" s="47"/>
      <c r="JM1189" s="47"/>
      <c r="JN1189" s="47"/>
      <c r="JO1189" s="47"/>
      <c r="JP1189" s="47"/>
      <c r="JQ1189" s="47"/>
      <c r="JR1189" s="47"/>
      <c r="JS1189" s="47"/>
      <c r="JT1189" s="47"/>
      <c r="JU1189" s="47"/>
      <c r="JV1189" s="47"/>
      <c r="JW1189" s="47"/>
      <c r="JX1189" s="47"/>
      <c r="JY1189" s="47"/>
      <c r="JZ1189" s="47"/>
      <c r="KA1189" s="47"/>
      <c r="KB1189" s="47"/>
      <c r="KC1189" s="47"/>
      <c r="KD1189" s="47"/>
      <c r="KE1189" s="47"/>
      <c r="KF1189" s="47"/>
      <c r="KG1189" s="47"/>
      <c r="KH1189" s="47"/>
      <c r="KI1189" s="47"/>
      <c r="KJ1189" s="47"/>
      <c r="KK1189" s="47"/>
      <c r="KL1189" s="47"/>
      <c r="KM1189" s="47"/>
      <c r="KN1189" s="47"/>
      <c r="KO1189" s="47"/>
      <c r="KP1189" s="47"/>
      <c r="KQ1189" s="47"/>
      <c r="KR1189" s="47"/>
      <c r="KS1189" s="47"/>
      <c r="KT1189" s="47"/>
      <c r="KU1189" s="47"/>
      <c r="KV1189" s="47"/>
      <c r="KW1189" s="47"/>
      <c r="KX1189" s="47"/>
      <c r="KY1189" s="47"/>
      <c r="KZ1189" s="47"/>
      <c r="LA1189" s="47"/>
      <c r="LB1189" s="47"/>
      <c r="LC1189" s="47"/>
      <c r="LD1189" s="47"/>
      <c r="LE1189" s="47"/>
      <c r="LF1189" s="47"/>
      <c r="LG1189" s="47"/>
      <c r="LH1189" s="47"/>
      <c r="LI1189" s="47"/>
      <c r="LJ1189" s="47"/>
      <c r="LK1189" s="47"/>
      <c r="LL1189" s="47"/>
      <c r="LM1189" s="47"/>
      <c r="LN1189" s="47"/>
      <c r="LO1189" s="47"/>
      <c r="LP1189" s="47"/>
      <c r="LQ1189" s="47"/>
      <c r="LR1189" s="47"/>
      <c r="LS1189" s="47"/>
      <c r="LT1189" s="47"/>
      <c r="LU1189" s="47"/>
      <c r="LV1189" s="47"/>
      <c r="LW1189" s="47"/>
      <c r="LX1189" s="47"/>
      <c r="LY1189" s="47"/>
      <c r="LZ1189" s="47"/>
      <c r="MA1189" s="47"/>
      <c r="MB1189" s="47"/>
      <c r="MC1189" s="47"/>
      <c r="MD1189" s="47"/>
      <c r="ME1189" s="47"/>
      <c r="MF1189" s="47"/>
      <c r="MG1189" s="47"/>
      <c r="MH1189" s="47"/>
      <c r="MI1189" s="47"/>
      <c r="MJ1189" s="47"/>
      <c r="MK1189" s="47"/>
      <c r="ML1189" s="47"/>
      <c r="MM1189" s="47"/>
      <c r="MN1189" s="47"/>
      <c r="MO1189" s="47"/>
      <c r="MP1189" s="47"/>
      <c r="MQ1189" s="47"/>
      <c r="MR1189" s="47"/>
      <c r="MS1189" s="47"/>
      <c r="MT1189" s="47"/>
      <c r="MU1189" s="47"/>
      <c r="MV1189" s="47"/>
      <c r="MW1189" s="47"/>
      <c r="MX1189" s="47"/>
      <c r="MY1189" s="47"/>
      <c r="MZ1189" s="47"/>
      <c r="NA1189" s="47"/>
      <c r="NB1189" s="47"/>
      <c r="NC1189" s="47"/>
      <c r="ND1189" s="47"/>
      <c r="NE1189" s="47"/>
      <c r="NF1189" s="47"/>
      <c r="NG1189" s="47"/>
      <c r="NH1189" s="47"/>
      <c r="NI1189" s="47"/>
      <c r="NJ1189" s="47"/>
      <c r="NK1189" s="47"/>
      <c r="NL1189" s="47"/>
      <c r="NM1189" s="47"/>
      <c r="NN1189" s="47"/>
      <c r="NO1189" s="47"/>
      <c r="NP1189" s="47"/>
      <c r="NQ1189" s="47"/>
      <c r="NR1189" s="47"/>
      <c r="NS1189" s="47"/>
      <c r="NT1189" s="47"/>
      <c r="NU1189" s="47"/>
      <c r="NV1189" s="47"/>
      <c r="NW1189" s="47"/>
      <c r="NX1189" s="47"/>
      <c r="NY1189" s="47"/>
      <c r="NZ1189" s="47"/>
      <c r="OA1189" s="47"/>
      <c r="OB1189" s="47"/>
      <c r="OC1189" s="47"/>
      <c r="OD1189" s="47"/>
      <c r="OE1189" s="47"/>
      <c r="OF1189" s="47"/>
      <c r="OG1189" s="47"/>
      <c r="OH1189" s="47"/>
      <c r="OI1189" s="47"/>
      <c r="OJ1189" s="47"/>
      <c r="OK1189" s="47"/>
      <c r="OL1189" s="47"/>
      <c r="OM1189" s="47"/>
      <c r="ON1189" s="47"/>
      <c r="OO1189" s="47"/>
      <c r="OP1189" s="47"/>
      <c r="OQ1189" s="47"/>
      <c r="OR1189" s="47"/>
      <c r="OS1189" s="47"/>
      <c r="OT1189" s="47"/>
      <c r="OU1189" s="47"/>
      <c r="OV1189" s="47"/>
      <c r="OW1189" s="47"/>
      <c r="OX1189" s="47"/>
      <c r="OY1189" s="47"/>
      <c r="OZ1189" s="47"/>
      <c r="PA1189" s="47"/>
      <c r="PB1189" s="47"/>
      <c r="PC1189" s="47"/>
      <c r="PD1189" s="47"/>
      <c r="PE1189" s="47"/>
      <c r="PF1189" s="47"/>
      <c r="PG1189" s="47"/>
      <c r="PH1189" s="47"/>
      <c r="PI1189" s="47"/>
      <c r="PJ1189" s="47"/>
      <c r="PK1189" s="47"/>
      <c r="PL1189" s="47"/>
      <c r="PM1189" s="47"/>
      <c r="PN1189" s="47"/>
      <c r="PO1189" s="47"/>
      <c r="PP1189" s="47"/>
      <c r="PQ1189" s="47"/>
      <c r="PR1189" s="47"/>
      <c r="PS1189" s="47"/>
      <c r="PT1189" s="47"/>
      <c r="PU1189" s="47"/>
      <c r="PV1189" s="47"/>
      <c r="PW1189" s="47"/>
      <c r="PX1189" s="47"/>
      <c r="PY1189" s="47"/>
      <c r="PZ1189" s="47"/>
      <c r="QA1189" s="47"/>
      <c r="QB1189" s="47"/>
      <c r="QC1189" s="47"/>
      <c r="QD1189" s="47"/>
      <c r="QE1189" s="47"/>
      <c r="QF1189" s="47"/>
      <c r="QG1189" s="47"/>
      <c r="QH1189" s="47"/>
      <c r="QI1189" s="47"/>
      <c r="QJ1189" s="47"/>
      <c r="QK1189" s="47"/>
      <c r="QL1189" s="47"/>
      <c r="QM1189" s="47"/>
      <c r="QN1189" s="47"/>
      <c r="QO1189" s="47"/>
      <c r="QP1189" s="47"/>
      <c r="QQ1189" s="47"/>
      <c r="QR1189" s="47"/>
      <c r="QS1189" s="47"/>
      <c r="QT1189" s="47"/>
      <c r="QU1189" s="47"/>
      <c r="QV1189" s="47"/>
      <c r="QW1189" s="47"/>
      <c r="QX1189" s="47"/>
      <c r="QY1189" s="47"/>
      <c r="QZ1189" s="47"/>
      <c r="RA1189" s="47"/>
      <c r="RB1189" s="47"/>
      <c r="RC1189" s="47"/>
      <c r="RD1189" s="47"/>
      <c r="RE1189" s="47"/>
      <c r="RF1189" s="47"/>
      <c r="RG1189" s="47"/>
      <c r="RH1189" s="47"/>
      <c r="RI1189" s="47"/>
      <c r="RJ1189" s="47"/>
      <c r="RK1189" s="47"/>
      <c r="RL1189" s="47"/>
      <c r="RM1189" s="47"/>
      <c r="RN1189" s="47"/>
      <c r="RO1189" s="47"/>
      <c r="RP1189" s="47"/>
      <c r="RQ1189" s="47"/>
      <c r="RR1189" s="47"/>
      <c r="RS1189" s="47"/>
      <c r="RT1189" s="47"/>
      <c r="RU1189" s="47"/>
      <c r="RV1189" s="47"/>
      <c r="RW1189" s="47"/>
      <c r="RX1189" s="47"/>
      <c r="RY1189" s="47"/>
      <c r="RZ1189" s="47"/>
      <c r="SA1189" s="47"/>
      <c r="SB1189" s="47"/>
      <c r="SC1189" s="47"/>
      <c r="SD1189" s="47"/>
      <c r="SE1189" s="47"/>
      <c r="SF1189" s="47"/>
      <c r="SG1189" s="47"/>
      <c r="SH1189" s="47"/>
      <c r="SI1189" s="47"/>
      <c r="SJ1189" s="47"/>
      <c r="SK1189" s="47"/>
      <c r="SL1189" s="47"/>
      <c r="SM1189" s="47"/>
      <c r="SN1189" s="47"/>
      <c r="SO1189" s="47"/>
      <c r="SP1189" s="47"/>
      <c r="SQ1189" s="47"/>
      <c r="SR1189" s="47"/>
      <c r="SS1189" s="47"/>
      <c r="ST1189" s="47"/>
      <c r="SU1189" s="47"/>
      <c r="SV1189" s="47"/>
      <c r="SW1189" s="47"/>
      <c r="SX1189" s="47"/>
      <c r="SY1189" s="47"/>
      <c r="SZ1189" s="47"/>
      <c r="TA1189" s="47"/>
      <c r="TB1189" s="47"/>
      <c r="TC1189" s="47"/>
      <c r="TD1189" s="47"/>
      <c r="TE1189" s="47"/>
      <c r="TF1189" s="47"/>
      <c r="TG1189" s="47"/>
      <c r="TH1189" s="47"/>
      <c r="TI1189" s="47"/>
      <c r="TJ1189" s="47"/>
      <c r="TK1189" s="47"/>
      <c r="TL1189" s="47"/>
      <c r="TM1189" s="47"/>
      <c r="TN1189" s="47"/>
      <c r="TO1189" s="47"/>
      <c r="TP1189" s="47"/>
      <c r="TQ1189" s="47"/>
      <c r="TR1189" s="47"/>
      <c r="TS1189" s="47"/>
      <c r="TT1189" s="47"/>
      <c r="TU1189" s="47"/>
      <c r="TV1189" s="47"/>
      <c r="TW1189" s="47"/>
      <c r="TX1189" s="47"/>
      <c r="TY1189" s="47"/>
      <c r="TZ1189" s="47"/>
      <c r="UA1189" s="47"/>
      <c r="UB1189" s="47"/>
      <c r="UC1189" s="47"/>
      <c r="UD1189" s="47"/>
      <c r="UE1189" s="47"/>
      <c r="UF1189" s="47"/>
      <c r="UG1189" s="23"/>
    </row>
    <row r="1190" spans="1:553" ht="34.5" customHeight="1">
      <c r="A1190" s="356"/>
      <c r="B1190" s="385"/>
      <c r="C1190" s="384" t="str">
        <f>'Phương án chi tiết'!C1089</f>
        <v>Đất chuyên trồng lúa nước (LUC)</v>
      </c>
      <c r="D1190" s="376" t="str">
        <f>'Phương án chi tiết'!D1082</f>
        <v>1</v>
      </c>
      <c r="E1190" s="376" t="str">
        <f>'Phương án chi tiết'!E1089</f>
        <v>265</v>
      </c>
      <c r="F1190" s="385"/>
      <c r="G1190" s="386" t="s">
        <v>935</v>
      </c>
      <c r="H1190" s="370"/>
      <c r="I1190" s="422">
        <f>'Phương án chi tiết'!I1089</f>
        <v>138.80000000000001</v>
      </c>
      <c r="J1190" s="368">
        <v>72000</v>
      </c>
      <c r="K1190" s="848">
        <v>3</v>
      </c>
      <c r="L1190" s="480">
        <f t="shared" si="174"/>
        <v>29980800</v>
      </c>
      <c r="M1190" s="366"/>
      <c r="N1190" s="366"/>
      <c r="O1190" s="366"/>
      <c r="P1190" s="366"/>
      <c r="Q1190" s="812"/>
      <c r="R1190" s="1452"/>
      <c r="S1190" s="308"/>
      <c r="T1190" s="308"/>
      <c r="U1190" s="308"/>
      <c r="V1190" s="308"/>
      <c r="W1190" s="308"/>
      <c r="X1190" s="308"/>
      <c r="Y1190" s="308"/>
      <c r="Z1190" s="604"/>
      <c r="AA1190" s="308"/>
      <c r="AB1190" s="308"/>
      <c r="AC1190" s="373"/>
      <c r="AD1190" s="373"/>
      <c r="AE1190" s="373"/>
      <c r="AF1190" s="373"/>
      <c r="AG1190" s="373"/>
      <c r="AH1190" s="373"/>
      <c r="AI1190" s="373"/>
      <c r="AJ1190" s="373"/>
      <c r="AK1190" s="389"/>
      <c r="AL1190" s="45"/>
      <c r="AM1190" s="46"/>
      <c r="AN1190" s="46"/>
      <c r="AO1190" s="46"/>
      <c r="AP1190" s="46"/>
      <c r="AQ1190" s="46"/>
      <c r="AR1190" s="46"/>
      <c r="AS1190" s="47"/>
      <c r="AT1190" s="47"/>
      <c r="AU1190" s="47"/>
      <c r="AV1190" s="47"/>
      <c r="AW1190" s="47"/>
      <c r="AX1190" s="47"/>
      <c r="AY1190" s="47"/>
      <c r="AZ1190" s="47"/>
      <c r="BA1190" s="47"/>
      <c r="BB1190" s="47"/>
      <c r="BC1190" s="47"/>
      <c r="BD1190" s="47"/>
      <c r="BE1190" s="47"/>
      <c r="BF1190" s="47"/>
      <c r="BG1190" s="47"/>
      <c r="BH1190" s="47"/>
      <c r="BI1190" s="47"/>
      <c r="BJ1190" s="47"/>
      <c r="BK1190" s="47"/>
      <c r="BL1190" s="47"/>
      <c r="BM1190" s="47"/>
      <c r="BN1190" s="47"/>
      <c r="BO1190" s="47"/>
      <c r="BP1190" s="47"/>
      <c r="BQ1190" s="47"/>
      <c r="BR1190" s="47"/>
      <c r="BS1190" s="47"/>
      <c r="BT1190" s="47"/>
      <c r="BU1190" s="47"/>
      <c r="BV1190" s="47"/>
      <c r="BW1190" s="47"/>
      <c r="BX1190" s="47"/>
      <c r="BY1190" s="47"/>
      <c r="BZ1190" s="47"/>
      <c r="CA1190" s="47"/>
      <c r="CB1190" s="47"/>
      <c r="CC1190" s="47"/>
      <c r="CD1190" s="47"/>
      <c r="CE1190" s="47"/>
      <c r="CF1190" s="47"/>
      <c r="CG1190" s="47"/>
      <c r="CH1190" s="47"/>
      <c r="CI1190" s="47"/>
      <c r="CJ1190" s="47"/>
      <c r="CK1190" s="47"/>
      <c r="CL1190" s="47"/>
      <c r="CM1190" s="47"/>
      <c r="CN1190" s="47"/>
      <c r="CO1190" s="47"/>
      <c r="CP1190" s="47"/>
      <c r="CQ1190" s="47"/>
      <c r="CR1190" s="47"/>
      <c r="CS1190" s="47"/>
      <c r="CT1190" s="47"/>
      <c r="CU1190" s="47"/>
      <c r="CV1190" s="47"/>
      <c r="CW1190" s="47"/>
      <c r="CX1190" s="47"/>
      <c r="CY1190" s="47"/>
      <c r="CZ1190" s="47"/>
      <c r="DA1190" s="47"/>
      <c r="DB1190" s="47"/>
      <c r="DC1190" s="47"/>
      <c r="DD1190" s="47"/>
      <c r="DE1190" s="47"/>
      <c r="DF1190" s="47"/>
      <c r="DG1190" s="47"/>
      <c r="DH1190" s="47"/>
      <c r="DI1190" s="47"/>
      <c r="DJ1190" s="47"/>
      <c r="DK1190" s="47"/>
      <c r="DL1190" s="47"/>
      <c r="DM1190" s="47"/>
      <c r="DN1190" s="47"/>
      <c r="DO1190" s="47"/>
      <c r="DP1190" s="47"/>
      <c r="DQ1190" s="47"/>
      <c r="DR1190" s="47"/>
      <c r="DS1190" s="47"/>
      <c r="DT1190" s="47"/>
      <c r="DU1190" s="47"/>
      <c r="DV1190" s="47"/>
      <c r="DW1190" s="47"/>
      <c r="DX1190" s="47"/>
      <c r="DY1190" s="47"/>
      <c r="DZ1190" s="47"/>
      <c r="EA1190" s="47"/>
      <c r="EB1190" s="47"/>
      <c r="EC1190" s="47"/>
      <c r="ED1190" s="47"/>
      <c r="EE1190" s="47"/>
      <c r="EF1190" s="47"/>
      <c r="EG1190" s="47"/>
      <c r="EH1190" s="47"/>
      <c r="EI1190" s="47"/>
      <c r="EJ1190" s="47"/>
      <c r="EK1190" s="47"/>
      <c r="EL1190" s="47"/>
      <c r="EM1190" s="47"/>
      <c r="EN1190" s="47"/>
      <c r="EO1190" s="47"/>
      <c r="EP1190" s="47"/>
      <c r="EQ1190" s="47"/>
      <c r="ER1190" s="47"/>
      <c r="ES1190" s="47"/>
      <c r="ET1190" s="47"/>
      <c r="EU1190" s="47"/>
      <c r="EV1190" s="47"/>
      <c r="EW1190" s="47"/>
      <c r="EX1190" s="47"/>
      <c r="EY1190" s="47"/>
      <c r="EZ1190" s="47"/>
      <c r="FA1190" s="47"/>
      <c r="FB1190" s="47"/>
      <c r="FC1190" s="47"/>
      <c r="FD1190" s="47"/>
      <c r="FE1190" s="47"/>
      <c r="FF1190" s="47"/>
      <c r="FG1190" s="47"/>
      <c r="FH1190" s="47"/>
      <c r="FI1190" s="47"/>
      <c r="FJ1190" s="47"/>
      <c r="FK1190" s="47"/>
      <c r="FL1190" s="47"/>
      <c r="FM1190" s="47"/>
      <c r="FN1190" s="47"/>
      <c r="FO1190" s="47"/>
      <c r="FP1190" s="47"/>
      <c r="FQ1190" s="47"/>
      <c r="FR1190" s="47"/>
      <c r="FS1190" s="47"/>
      <c r="FT1190" s="47"/>
      <c r="FU1190" s="47"/>
      <c r="FV1190" s="47"/>
      <c r="FW1190" s="47"/>
      <c r="FX1190" s="47"/>
      <c r="FY1190" s="47"/>
      <c r="FZ1190" s="47"/>
      <c r="GA1190" s="47"/>
      <c r="GB1190" s="47"/>
      <c r="GC1190" s="47"/>
      <c r="GD1190" s="47"/>
      <c r="GE1190" s="47"/>
      <c r="GF1190" s="47"/>
      <c r="GG1190" s="47"/>
      <c r="GH1190" s="47"/>
      <c r="GI1190" s="47"/>
      <c r="GJ1190" s="47"/>
      <c r="GK1190" s="47"/>
      <c r="GL1190" s="47"/>
      <c r="GM1190" s="47"/>
      <c r="GN1190" s="47"/>
      <c r="GO1190" s="47"/>
      <c r="GP1190" s="47"/>
      <c r="GQ1190" s="47"/>
      <c r="GR1190" s="47"/>
      <c r="GS1190" s="47"/>
      <c r="GT1190" s="47"/>
      <c r="GU1190" s="47"/>
      <c r="GV1190" s="47"/>
      <c r="GW1190" s="47"/>
      <c r="GX1190" s="47"/>
      <c r="GY1190" s="47"/>
      <c r="GZ1190" s="47"/>
      <c r="HA1190" s="47"/>
      <c r="HB1190" s="47"/>
      <c r="HC1190" s="47"/>
      <c r="HD1190" s="47"/>
      <c r="HE1190" s="47"/>
      <c r="HF1190" s="47"/>
      <c r="HG1190" s="47"/>
      <c r="HH1190" s="47"/>
      <c r="HI1190" s="47"/>
      <c r="HJ1190" s="47"/>
      <c r="HK1190" s="47"/>
      <c r="HL1190" s="47"/>
      <c r="HM1190" s="47"/>
      <c r="HN1190" s="47"/>
      <c r="HO1190" s="47"/>
      <c r="HP1190" s="47"/>
      <c r="HQ1190" s="47"/>
      <c r="HR1190" s="47"/>
      <c r="HS1190" s="47"/>
      <c r="HT1190" s="47"/>
      <c r="HU1190" s="47"/>
      <c r="HV1190" s="47"/>
      <c r="HW1190" s="47"/>
      <c r="HX1190" s="47"/>
      <c r="HY1190" s="47"/>
      <c r="HZ1190" s="47"/>
      <c r="IA1190" s="47"/>
      <c r="IB1190" s="47"/>
      <c r="IC1190" s="47"/>
      <c r="ID1190" s="47"/>
      <c r="IE1190" s="47"/>
      <c r="IF1190" s="47"/>
      <c r="IG1190" s="47"/>
      <c r="IH1190" s="47"/>
      <c r="II1190" s="47"/>
      <c r="IJ1190" s="47"/>
      <c r="IK1190" s="47"/>
      <c r="IL1190" s="47"/>
      <c r="IM1190" s="47"/>
      <c r="IN1190" s="47"/>
      <c r="IO1190" s="47"/>
      <c r="IP1190" s="47"/>
      <c r="IQ1190" s="47"/>
      <c r="IR1190" s="47"/>
      <c r="IS1190" s="47"/>
      <c r="IT1190" s="47"/>
      <c r="IU1190" s="47"/>
      <c r="IV1190" s="47"/>
      <c r="IW1190" s="47"/>
      <c r="IX1190" s="47"/>
      <c r="IY1190" s="47"/>
      <c r="IZ1190" s="47"/>
      <c r="JA1190" s="47"/>
      <c r="JB1190" s="47"/>
      <c r="JC1190" s="47"/>
      <c r="JD1190" s="47"/>
      <c r="JE1190" s="47"/>
      <c r="JF1190" s="47"/>
      <c r="JG1190" s="47"/>
      <c r="JH1190" s="47"/>
      <c r="JI1190" s="47"/>
      <c r="JJ1190" s="47"/>
      <c r="JK1190" s="47"/>
      <c r="JL1190" s="47"/>
      <c r="JM1190" s="47"/>
      <c r="JN1190" s="47"/>
      <c r="JO1190" s="47"/>
      <c r="JP1190" s="47"/>
      <c r="JQ1190" s="47"/>
      <c r="JR1190" s="47"/>
      <c r="JS1190" s="47"/>
      <c r="JT1190" s="47"/>
      <c r="JU1190" s="47"/>
      <c r="JV1190" s="47"/>
      <c r="JW1190" s="47"/>
      <c r="JX1190" s="47"/>
      <c r="JY1190" s="47"/>
      <c r="JZ1190" s="47"/>
      <c r="KA1190" s="47"/>
      <c r="KB1190" s="47"/>
      <c r="KC1190" s="47"/>
      <c r="KD1190" s="47"/>
      <c r="KE1190" s="47"/>
      <c r="KF1190" s="47"/>
      <c r="KG1190" s="47"/>
      <c r="KH1190" s="47"/>
      <c r="KI1190" s="47"/>
      <c r="KJ1190" s="47"/>
      <c r="KK1190" s="47"/>
      <c r="KL1190" s="47"/>
      <c r="KM1190" s="47"/>
      <c r="KN1190" s="47"/>
      <c r="KO1190" s="47"/>
      <c r="KP1190" s="47"/>
      <c r="KQ1190" s="47"/>
      <c r="KR1190" s="47"/>
      <c r="KS1190" s="47"/>
      <c r="KT1190" s="47"/>
      <c r="KU1190" s="47"/>
      <c r="KV1190" s="47"/>
      <c r="KW1190" s="47"/>
      <c r="KX1190" s="47"/>
      <c r="KY1190" s="47"/>
      <c r="KZ1190" s="47"/>
      <c r="LA1190" s="47"/>
      <c r="LB1190" s="47"/>
      <c r="LC1190" s="47"/>
      <c r="LD1190" s="47"/>
      <c r="LE1190" s="47"/>
      <c r="LF1190" s="47"/>
      <c r="LG1190" s="47"/>
      <c r="LH1190" s="47"/>
      <c r="LI1190" s="47"/>
      <c r="LJ1190" s="47"/>
      <c r="LK1190" s="47"/>
      <c r="LL1190" s="47"/>
      <c r="LM1190" s="47"/>
      <c r="LN1190" s="47"/>
      <c r="LO1190" s="47"/>
      <c r="LP1190" s="47"/>
      <c r="LQ1190" s="47"/>
      <c r="LR1190" s="47"/>
      <c r="LS1190" s="47"/>
      <c r="LT1190" s="47"/>
      <c r="LU1190" s="47"/>
      <c r="LV1190" s="47"/>
      <c r="LW1190" s="47"/>
      <c r="LX1190" s="47"/>
      <c r="LY1190" s="47"/>
      <c r="LZ1190" s="47"/>
      <c r="MA1190" s="47"/>
      <c r="MB1190" s="47"/>
      <c r="MC1190" s="47"/>
      <c r="MD1190" s="47"/>
      <c r="ME1190" s="47"/>
      <c r="MF1190" s="47"/>
      <c r="MG1190" s="47"/>
      <c r="MH1190" s="47"/>
      <c r="MI1190" s="47"/>
      <c r="MJ1190" s="47"/>
      <c r="MK1190" s="47"/>
      <c r="ML1190" s="47"/>
      <c r="MM1190" s="47"/>
      <c r="MN1190" s="47"/>
      <c r="MO1190" s="47"/>
      <c r="MP1190" s="47"/>
      <c r="MQ1190" s="47"/>
      <c r="MR1190" s="47"/>
      <c r="MS1190" s="47"/>
      <c r="MT1190" s="47"/>
      <c r="MU1190" s="47"/>
      <c r="MV1190" s="47"/>
      <c r="MW1190" s="47"/>
      <c r="MX1190" s="47"/>
      <c r="MY1190" s="47"/>
      <c r="MZ1190" s="47"/>
      <c r="NA1190" s="47"/>
      <c r="NB1190" s="47"/>
      <c r="NC1190" s="47"/>
      <c r="ND1190" s="47"/>
      <c r="NE1190" s="47"/>
      <c r="NF1190" s="47"/>
      <c r="NG1190" s="47"/>
      <c r="NH1190" s="47"/>
      <c r="NI1190" s="47"/>
      <c r="NJ1190" s="47"/>
      <c r="NK1190" s="47"/>
      <c r="NL1190" s="47"/>
      <c r="NM1190" s="47"/>
      <c r="NN1190" s="47"/>
      <c r="NO1190" s="47"/>
      <c r="NP1190" s="47"/>
      <c r="NQ1190" s="47"/>
      <c r="NR1190" s="47"/>
      <c r="NS1190" s="47"/>
      <c r="NT1190" s="47"/>
      <c r="NU1190" s="47"/>
      <c r="NV1190" s="47"/>
      <c r="NW1190" s="47"/>
      <c r="NX1190" s="47"/>
      <c r="NY1190" s="47"/>
      <c r="NZ1190" s="47"/>
      <c r="OA1190" s="47"/>
      <c r="OB1190" s="47"/>
      <c r="OC1190" s="47"/>
      <c r="OD1190" s="47"/>
      <c r="OE1190" s="47"/>
      <c r="OF1190" s="47"/>
      <c r="OG1190" s="47"/>
      <c r="OH1190" s="47"/>
      <c r="OI1190" s="47"/>
      <c r="OJ1190" s="47"/>
      <c r="OK1190" s="47"/>
      <c r="OL1190" s="47"/>
      <c r="OM1190" s="47"/>
      <c r="ON1190" s="47"/>
      <c r="OO1190" s="47"/>
      <c r="OP1190" s="47"/>
      <c r="OQ1190" s="47"/>
      <c r="OR1190" s="47"/>
      <c r="OS1190" s="47"/>
      <c r="OT1190" s="47"/>
      <c r="OU1190" s="47"/>
      <c r="OV1190" s="47"/>
      <c r="OW1190" s="47"/>
      <c r="OX1190" s="47"/>
      <c r="OY1190" s="47"/>
      <c r="OZ1190" s="47"/>
      <c r="PA1190" s="47"/>
      <c r="PB1190" s="47"/>
      <c r="PC1190" s="47"/>
      <c r="PD1190" s="47"/>
      <c r="PE1190" s="47"/>
      <c r="PF1190" s="47"/>
      <c r="PG1190" s="47"/>
      <c r="PH1190" s="47"/>
      <c r="PI1190" s="47"/>
      <c r="PJ1190" s="47"/>
      <c r="PK1190" s="47"/>
      <c r="PL1190" s="47"/>
      <c r="PM1190" s="47"/>
      <c r="PN1190" s="47"/>
      <c r="PO1190" s="47"/>
      <c r="PP1190" s="47"/>
      <c r="PQ1190" s="47"/>
      <c r="PR1190" s="47"/>
      <c r="PS1190" s="47"/>
      <c r="PT1190" s="47"/>
      <c r="PU1190" s="47"/>
      <c r="PV1190" s="47"/>
      <c r="PW1190" s="47"/>
      <c r="PX1190" s="47"/>
      <c r="PY1190" s="47"/>
      <c r="PZ1190" s="47"/>
      <c r="QA1190" s="47"/>
      <c r="QB1190" s="47"/>
      <c r="QC1190" s="47"/>
      <c r="QD1190" s="47"/>
      <c r="QE1190" s="47"/>
      <c r="QF1190" s="47"/>
      <c r="QG1190" s="47"/>
      <c r="QH1190" s="47"/>
      <c r="QI1190" s="47"/>
      <c r="QJ1190" s="47"/>
      <c r="QK1190" s="47"/>
      <c r="QL1190" s="47"/>
      <c r="QM1190" s="47"/>
      <c r="QN1190" s="47"/>
      <c r="QO1190" s="47"/>
      <c r="QP1190" s="47"/>
      <c r="QQ1190" s="47"/>
      <c r="QR1190" s="47"/>
      <c r="QS1190" s="47"/>
      <c r="QT1190" s="47"/>
      <c r="QU1190" s="47"/>
      <c r="QV1190" s="47"/>
      <c r="QW1190" s="47"/>
      <c r="QX1190" s="47"/>
      <c r="QY1190" s="47"/>
      <c r="QZ1190" s="47"/>
      <c r="RA1190" s="47"/>
      <c r="RB1190" s="47"/>
      <c r="RC1190" s="47"/>
      <c r="RD1190" s="47"/>
      <c r="RE1190" s="47"/>
      <c r="RF1190" s="47"/>
      <c r="RG1190" s="47"/>
      <c r="RH1190" s="47"/>
      <c r="RI1190" s="47"/>
      <c r="RJ1190" s="47"/>
      <c r="RK1190" s="47"/>
      <c r="RL1190" s="47"/>
      <c r="RM1190" s="47"/>
      <c r="RN1190" s="47"/>
      <c r="RO1190" s="47"/>
      <c r="RP1190" s="47"/>
      <c r="RQ1190" s="47"/>
      <c r="RR1190" s="47"/>
      <c r="RS1190" s="47"/>
      <c r="RT1190" s="47"/>
      <c r="RU1190" s="47"/>
      <c r="RV1190" s="47"/>
      <c r="RW1190" s="47"/>
      <c r="RX1190" s="47"/>
      <c r="RY1190" s="47"/>
      <c r="RZ1190" s="47"/>
      <c r="SA1190" s="47"/>
      <c r="SB1190" s="47"/>
      <c r="SC1190" s="47"/>
      <c r="SD1190" s="47"/>
      <c r="SE1190" s="47"/>
      <c r="SF1190" s="47"/>
      <c r="SG1190" s="47"/>
      <c r="SH1190" s="47"/>
      <c r="SI1190" s="47"/>
      <c r="SJ1190" s="47"/>
      <c r="SK1190" s="47"/>
      <c r="SL1190" s="47"/>
      <c r="SM1190" s="47"/>
      <c r="SN1190" s="47"/>
      <c r="SO1190" s="47"/>
      <c r="SP1190" s="47"/>
      <c r="SQ1190" s="47"/>
      <c r="SR1190" s="47"/>
      <c r="SS1190" s="47"/>
      <c r="ST1190" s="47"/>
      <c r="SU1190" s="47"/>
      <c r="SV1190" s="47"/>
      <c r="SW1190" s="47"/>
      <c r="SX1190" s="47"/>
      <c r="SY1190" s="47"/>
      <c r="SZ1190" s="47"/>
      <c r="TA1190" s="47"/>
      <c r="TB1190" s="47"/>
      <c r="TC1190" s="47"/>
      <c r="TD1190" s="47"/>
      <c r="TE1190" s="47"/>
      <c r="TF1190" s="47"/>
      <c r="TG1190" s="47"/>
      <c r="TH1190" s="47"/>
      <c r="TI1190" s="47"/>
      <c r="TJ1190" s="47"/>
      <c r="TK1190" s="47"/>
      <c r="TL1190" s="47"/>
      <c r="TM1190" s="47"/>
      <c r="TN1190" s="47"/>
      <c r="TO1190" s="47"/>
      <c r="TP1190" s="47"/>
      <c r="TQ1190" s="47"/>
      <c r="TR1190" s="47"/>
      <c r="TS1190" s="47"/>
      <c r="TT1190" s="47"/>
      <c r="TU1190" s="47"/>
      <c r="TV1190" s="47"/>
      <c r="TW1190" s="47"/>
      <c r="TX1190" s="47"/>
      <c r="TY1190" s="47"/>
      <c r="TZ1190" s="47"/>
      <c r="UA1190" s="47"/>
      <c r="UB1190" s="47"/>
      <c r="UC1190" s="47"/>
      <c r="UD1190" s="47"/>
      <c r="UE1190" s="47"/>
      <c r="UF1190" s="47"/>
      <c r="UG1190" s="23"/>
    </row>
    <row r="1191" spans="1:553" ht="34.5" customHeight="1">
      <c r="A1191" s="356"/>
      <c r="B1191" s="385"/>
      <c r="C1191" s="384" t="str">
        <f>'Phương án chi tiết'!C1090</f>
        <v>Đất chuyên trồng lúa nước (LUC)</v>
      </c>
      <c r="D1191" s="376" t="str">
        <f>'Phương án chi tiết'!D1091</f>
        <v>1</v>
      </c>
      <c r="E1191" s="376" t="str">
        <f>'Phương án chi tiết'!E1090</f>
        <v>271</v>
      </c>
      <c r="F1191" s="385"/>
      <c r="G1191" s="386" t="s">
        <v>935</v>
      </c>
      <c r="H1191" s="370"/>
      <c r="I1191" s="422">
        <f>'Phương án chi tiết'!I1090</f>
        <v>48.6</v>
      </c>
      <c r="J1191" s="368">
        <v>72000</v>
      </c>
      <c r="K1191" s="848">
        <v>3</v>
      </c>
      <c r="L1191" s="480">
        <f t="shared" si="174"/>
        <v>10497600</v>
      </c>
      <c r="M1191" s="366"/>
      <c r="N1191" s="366"/>
      <c r="O1191" s="366"/>
      <c r="P1191" s="366"/>
      <c r="Q1191" s="812"/>
      <c r="R1191" s="1452"/>
      <c r="S1191" s="308"/>
      <c r="T1191" s="308"/>
      <c r="U1191" s="308"/>
      <c r="V1191" s="308"/>
      <c r="W1191" s="308"/>
      <c r="X1191" s="308"/>
      <c r="Y1191" s="308"/>
      <c r="Z1191" s="604"/>
      <c r="AA1191" s="308"/>
      <c r="AB1191" s="308"/>
      <c r="AC1191" s="373"/>
      <c r="AD1191" s="373"/>
      <c r="AE1191" s="373"/>
      <c r="AF1191" s="373"/>
      <c r="AG1191" s="373"/>
      <c r="AH1191" s="373"/>
      <c r="AI1191" s="373"/>
      <c r="AJ1191" s="373"/>
      <c r="AK1191" s="389"/>
      <c r="AL1191" s="45"/>
      <c r="AM1191" s="46"/>
      <c r="AN1191" s="46"/>
      <c r="AO1191" s="46"/>
      <c r="AP1191" s="46"/>
      <c r="AQ1191" s="46"/>
      <c r="AR1191" s="46"/>
      <c r="AS1191" s="47"/>
      <c r="AT1191" s="47"/>
      <c r="AU1191" s="47"/>
      <c r="AV1191" s="47"/>
      <c r="AW1191" s="47"/>
      <c r="AX1191" s="47"/>
      <c r="AY1191" s="47"/>
      <c r="AZ1191" s="47"/>
      <c r="BA1191" s="47"/>
      <c r="BB1191" s="47"/>
      <c r="BC1191" s="47"/>
      <c r="BD1191" s="47"/>
      <c r="BE1191" s="47"/>
      <c r="BF1191" s="47"/>
      <c r="BG1191" s="47"/>
      <c r="BH1191" s="47"/>
      <c r="BI1191" s="47"/>
      <c r="BJ1191" s="47"/>
      <c r="BK1191" s="47"/>
      <c r="BL1191" s="47"/>
      <c r="BM1191" s="47"/>
      <c r="BN1191" s="47"/>
      <c r="BO1191" s="47"/>
      <c r="BP1191" s="47"/>
      <c r="BQ1191" s="47"/>
      <c r="BR1191" s="47"/>
      <c r="BS1191" s="47"/>
      <c r="BT1191" s="47"/>
      <c r="BU1191" s="47"/>
      <c r="BV1191" s="47"/>
      <c r="BW1191" s="47"/>
      <c r="BX1191" s="47"/>
      <c r="BY1191" s="47"/>
      <c r="BZ1191" s="47"/>
      <c r="CA1191" s="47"/>
      <c r="CB1191" s="47"/>
      <c r="CC1191" s="47"/>
      <c r="CD1191" s="47"/>
      <c r="CE1191" s="47"/>
      <c r="CF1191" s="47"/>
      <c r="CG1191" s="47"/>
      <c r="CH1191" s="47"/>
      <c r="CI1191" s="47"/>
      <c r="CJ1191" s="47"/>
      <c r="CK1191" s="47"/>
      <c r="CL1191" s="47"/>
      <c r="CM1191" s="47"/>
      <c r="CN1191" s="47"/>
      <c r="CO1191" s="47"/>
      <c r="CP1191" s="47"/>
      <c r="CQ1191" s="47"/>
      <c r="CR1191" s="47"/>
      <c r="CS1191" s="47"/>
      <c r="CT1191" s="47"/>
      <c r="CU1191" s="47"/>
      <c r="CV1191" s="47"/>
      <c r="CW1191" s="47"/>
      <c r="CX1191" s="47"/>
      <c r="CY1191" s="47"/>
      <c r="CZ1191" s="47"/>
      <c r="DA1191" s="47"/>
      <c r="DB1191" s="47"/>
      <c r="DC1191" s="47"/>
      <c r="DD1191" s="47"/>
      <c r="DE1191" s="47"/>
      <c r="DF1191" s="47"/>
      <c r="DG1191" s="47"/>
      <c r="DH1191" s="47"/>
      <c r="DI1191" s="47"/>
      <c r="DJ1191" s="47"/>
      <c r="DK1191" s="47"/>
      <c r="DL1191" s="47"/>
      <c r="DM1191" s="47"/>
      <c r="DN1191" s="47"/>
      <c r="DO1191" s="47"/>
      <c r="DP1191" s="47"/>
      <c r="DQ1191" s="47"/>
      <c r="DR1191" s="47"/>
      <c r="DS1191" s="47"/>
      <c r="DT1191" s="47"/>
      <c r="DU1191" s="47"/>
      <c r="DV1191" s="47"/>
      <c r="DW1191" s="47"/>
      <c r="DX1191" s="47"/>
      <c r="DY1191" s="47"/>
      <c r="DZ1191" s="47"/>
      <c r="EA1191" s="47"/>
      <c r="EB1191" s="47"/>
      <c r="EC1191" s="47"/>
      <c r="ED1191" s="47"/>
      <c r="EE1191" s="47"/>
      <c r="EF1191" s="47"/>
      <c r="EG1191" s="47"/>
      <c r="EH1191" s="47"/>
      <c r="EI1191" s="47"/>
      <c r="EJ1191" s="47"/>
      <c r="EK1191" s="47"/>
      <c r="EL1191" s="47"/>
      <c r="EM1191" s="47"/>
      <c r="EN1191" s="47"/>
      <c r="EO1191" s="47"/>
      <c r="EP1191" s="47"/>
      <c r="EQ1191" s="47"/>
      <c r="ER1191" s="47"/>
      <c r="ES1191" s="47"/>
      <c r="ET1191" s="47"/>
      <c r="EU1191" s="47"/>
      <c r="EV1191" s="47"/>
      <c r="EW1191" s="47"/>
      <c r="EX1191" s="47"/>
      <c r="EY1191" s="47"/>
      <c r="EZ1191" s="47"/>
      <c r="FA1191" s="47"/>
      <c r="FB1191" s="47"/>
      <c r="FC1191" s="47"/>
      <c r="FD1191" s="47"/>
      <c r="FE1191" s="47"/>
      <c r="FF1191" s="47"/>
      <c r="FG1191" s="47"/>
      <c r="FH1191" s="47"/>
      <c r="FI1191" s="47"/>
      <c r="FJ1191" s="47"/>
      <c r="FK1191" s="47"/>
      <c r="FL1191" s="47"/>
      <c r="FM1191" s="47"/>
      <c r="FN1191" s="47"/>
      <c r="FO1191" s="47"/>
      <c r="FP1191" s="47"/>
      <c r="FQ1191" s="47"/>
      <c r="FR1191" s="47"/>
      <c r="FS1191" s="47"/>
      <c r="FT1191" s="47"/>
      <c r="FU1191" s="47"/>
      <c r="FV1191" s="47"/>
      <c r="FW1191" s="47"/>
      <c r="FX1191" s="47"/>
      <c r="FY1191" s="47"/>
      <c r="FZ1191" s="47"/>
      <c r="GA1191" s="47"/>
      <c r="GB1191" s="47"/>
      <c r="GC1191" s="47"/>
      <c r="GD1191" s="47"/>
      <c r="GE1191" s="47"/>
      <c r="GF1191" s="47"/>
      <c r="GG1191" s="47"/>
      <c r="GH1191" s="47"/>
      <c r="GI1191" s="47"/>
      <c r="GJ1191" s="47"/>
      <c r="GK1191" s="47"/>
      <c r="GL1191" s="47"/>
      <c r="GM1191" s="47"/>
      <c r="GN1191" s="47"/>
      <c r="GO1191" s="47"/>
      <c r="GP1191" s="47"/>
      <c r="GQ1191" s="47"/>
      <c r="GR1191" s="47"/>
      <c r="GS1191" s="47"/>
      <c r="GT1191" s="47"/>
      <c r="GU1191" s="47"/>
      <c r="GV1191" s="47"/>
      <c r="GW1191" s="47"/>
      <c r="GX1191" s="47"/>
      <c r="GY1191" s="47"/>
      <c r="GZ1191" s="47"/>
      <c r="HA1191" s="47"/>
      <c r="HB1191" s="47"/>
      <c r="HC1191" s="47"/>
      <c r="HD1191" s="47"/>
      <c r="HE1191" s="47"/>
      <c r="HF1191" s="47"/>
      <c r="HG1191" s="47"/>
      <c r="HH1191" s="47"/>
      <c r="HI1191" s="47"/>
      <c r="HJ1191" s="47"/>
      <c r="HK1191" s="47"/>
      <c r="HL1191" s="47"/>
      <c r="HM1191" s="47"/>
      <c r="HN1191" s="47"/>
      <c r="HO1191" s="47"/>
      <c r="HP1191" s="47"/>
      <c r="HQ1191" s="47"/>
      <c r="HR1191" s="47"/>
      <c r="HS1191" s="47"/>
      <c r="HT1191" s="47"/>
      <c r="HU1191" s="47"/>
      <c r="HV1191" s="47"/>
      <c r="HW1191" s="47"/>
      <c r="HX1191" s="47"/>
      <c r="HY1191" s="47"/>
      <c r="HZ1191" s="47"/>
      <c r="IA1191" s="47"/>
      <c r="IB1191" s="47"/>
      <c r="IC1191" s="47"/>
      <c r="ID1191" s="47"/>
      <c r="IE1191" s="47"/>
      <c r="IF1191" s="47"/>
      <c r="IG1191" s="47"/>
      <c r="IH1191" s="47"/>
      <c r="II1191" s="47"/>
      <c r="IJ1191" s="47"/>
      <c r="IK1191" s="47"/>
      <c r="IL1191" s="47"/>
      <c r="IM1191" s="47"/>
      <c r="IN1191" s="47"/>
      <c r="IO1191" s="47"/>
      <c r="IP1191" s="47"/>
      <c r="IQ1191" s="47"/>
      <c r="IR1191" s="47"/>
      <c r="IS1191" s="47"/>
      <c r="IT1191" s="47"/>
      <c r="IU1191" s="47"/>
      <c r="IV1191" s="47"/>
      <c r="IW1191" s="47"/>
      <c r="IX1191" s="47"/>
      <c r="IY1191" s="47"/>
      <c r="IZ1191" s="47"/>
      <c r="JA1191" s="47"/>
      <c r="JB1191" s="47"/>
      <c r="JC1191" s="47"/>
      <c r="JD1191" s="47"/>
      <c r="JE1191" s="47"/>
      <c r="JF1191" s="47"/>
      <c r="JG1191" s="47"/>
      <c r="JH1191" s="47"/>
      <c r="JI1191" s="47"/>
      <c r="JJ1191" s="47"/>
      <c r="JK1191" s="47"/>
      <c r="JL1191" s="47"/>
      <c r="JM1191" s="47"/>
      <c r="JN1191" s="47"/>
      <c r="JO1191" s="47"/>
      <c r="JP1191" s="47"/>
      <c r="JQ1191" s="47"/>
      <c r="JR1191" s="47"/>
      <c r="JS1191" s="47"/>
      <c r="JT1191" s="47"/>
      <c r="JU1191" s="47"/>
      <c r="JV1191" s="47"/>
      <c r="JW1191" s="47"/>
      <c r="JX1191" s="47"/>
      <c r="JY1191" s="47"/>
      <c r="JZ1191" s="47"/>
      <c r="KA1191" s="47"/>
      <c r="KB1191" s="47"/>
      <c r="KC1191" s="47"/>
      <c r="KD1191" s="47"/>
      <c r="KE1191" s="47"/>
      <c r="KF1191" s="47"/>
      <c r="KG1191" s="47"/>
      <c r="KH1191" s="47"/>
      <c r="KI1191" s="47"/>
      <c r="KJ1191" s="47"/>
      <c r="KK1191" s="47"/>
      <c r="KL1191" s="47"/>
      <c r="KM1191" s="47"/>
      <c r="KN1191" s="47"/>
      <c r="KO1191" s="47"/>
      <c r="KP1191" s="47"/>
      <c r="KQ1191" s="47"/>
      <c r="KR1191" s="47"/>
      <c r="KS1191" s="47"/>
      <c r="KT1191" s="47"/>
      <c r="KU1191" s="47"/>
      <c r="KV1191" s="47"/>
      <c r="KW1191" s="47"/>
      <c r="KX1191" s="47"/>
      <c r="KY1191" s="47"/>
      <c r="KZ1191" s="47"/>
      <c r="LA1191" s="47"/>
      <c r="LB1191" s="47"/>
      <c r="LC1191" s="47"/>
      <c r="LD1191" s="47"/>
      <c r="LE1191" s="47"/>
      <c r="LF1191" s="47"/>
      <c r="LG1191" s="47"/>
      <c r="LH1191" s="47"/>
      <c r="LI1191" s="47"/>
      <c r="LJ1191" s="47"/>
      <c r="LK1191" s="47"/>
      <c r="LL1191" s="47"/>
      <c r="LM1191" s="47"/>
      <c r="LN1191" s="47"/>
      <c r="LO1191" s="47"/>
      <c r="LP1191" s="47"/>
      <c r="LQ1191" s="47"/>
      <c r="LR1191" s="47"/>
      <c r="LS1191" s="47"/>
      <c r="LT1191" s="47"/>
      <c r="LU1191" s="47"/>
      <c r="LV1191" s="47"/>
      <c r="LW1191" s="47"/>
      <c r="LX1191" s="47"/>
      <c r="LY1191" s="47"/>
      <c r="LZ1191" s="47"/>
      <c r="MA1191" s="47"/>
      <c r="MB1191" s="47"/>
      <c r="MC1191" s="47"/>
      <c r="MD1191" s="47"/>
      <c r="ME1191" s="47"/>
      <c r="MF1191" s="47"/>
      <c r="MG1191" s="47"/>
      <c r="MH1191" s="47"/>
      <c r="MI1191" s="47"/>
      <c r="MJ1191" s="47"/>
      <c r="MK1191" s="47"/>
      <c r="ML1191" s="47"/>
      <c r="MM1191" s="47"/>
      <c r="MN1191" s="47"/>
      <c r="MO1191" s="47"/>
      <c r="MP1191" s="47"/>
      <c r="MQ1191" s="47"/>
      <c r="MR1191" s="47"/>
      <c r="MS1191" s="47"/>
      <c r="MT1191" s="47"/>
      <c r="MU1191" s="47"/>
      <c r="MV1191" s="47"/>
      <c r="MW1191" s="47"/>
      <c r="MX1191" s="47"/>
      <c r="MY1191" s="47"/>
      <c r="MZ1191" s="47"/>
      <c r="NA1191" s="47"/>
      <c r="NB1191" s="47"/>
      <c r="NC1191" s="47"/>
      <c r="ND1191" s="47"/>
      <c r="NE1191" s="47"/>
      <c r="NF1191" s="47"/>
      <c r="NG1191" s="47"/>
      <c r="NH1191" s="47"/>
      <c r="NI1191" s="47"/>
      <c r="NJ1191" s="47"/>
      <c r="NK1191" s="47"/>
      <c r="NL1191" s="47"/>
      <c r="NM1191" s="47"/>
      <c r="NN1191" s="47"/>
      <c r="NO1191" s="47"/>
      <c r="NP1191" s="47"/>
      <c r="NQ1191" s="47"/>
      <c r="NR1191" s="47"/>
      <c r="NS1191" s="47"/>
      <c r="NT1191" s="47"/>
      <c r="NU1191" s="47"/>
      <c r="NV1191" s="47"/>
      <c r="NW1191" s="47"/>
      <c r="NX1191" s="47"/>
      <c r="NY1191" s="47"/>
      <c r="NZ1191" s="47"/>
      <c r="OA1191" s="47"/>
      <c r="OB1191" s="47"/>
      <c r="OC1191" s="47"/>
      <c r="OD1191" s="47"/>
      <c r="OE1191" s="47"/>
      <c r="OF1191" s="47"/>
      <c r="OG1191" s="47"/>
      <c r="OH1191" s="47"/>
      <c r="OI1191" s="47"/>
      <c r="OJ1191" s="47"/>
      <c r="OK1191" s="47"/>
      <c r="OL1191" s="47"/>
      <c r="OM1191" s="47"/>
      <c r="ON1191" s="47"/>
      <c r="OO1191" s="47"/>
      <c r="OP1191" s="47"/>
      <c r="OQ1191" s="47"/>
      <c r="OR1191" s="47"/>
      <c r="OS1191" s="47"/>
      <c r="OT1191" s="47"/>
      <c r="OU1191" s="47"/>
      <c r="OV1191" s="47"/>
      <c r="OW1191" s="47"/>
      <c r="OX1191" s="47"/>
      <c r="OY1191" s="47"/>
      <c r="OZ1191" s="47"/>
      <c r="PA1191" s="47"/>
      <c r="PB1191" s="47"/>
      <c r="PC1191" s="47"/>
      <c r="PD1191" s="47"/>
      <c r="PE1191" s="47"/>
      <c r="PF1191" s="47"/>
      <c r="PG1191" s="47"/>
      <c r="PH1191" s="47"/>
      <c r="PI1191" s="47"/>
      <c r="PJ1191" s="47"/>
      <c r="PK1191" s="47"/>
      <c r="PL1191" s="47"/>
      <c r="PM1191" s="47"/>
      <c r="PN1191" s="47"/>
      <c r="PO1191" s="47"/>
      <c r="PP1191" s="47"/>
      <c r="PQ1191" s="47"/>
      <c r="PR1191" s="47"/>
      <c r="PS1191" s="47"/>
      <c r="PT1191" s="47"/>
      <c r="PU1191" s="47"/>
      <c r="PV1191" s="47"/>
      <c r="PW1191" s="47"/>
      <c r="PX1191" s="47"/>
      <c r="PY1191" s="47"/>
      <c r="PZ1191" s="47"/>
      <c r="QA1191" s="47"/>
      <c r="QB1191" s="47"/>
      <c r="QC1191" s="47"/>
      <c r="QD1191" s="47"/>
      <c r="QE1191" s="47"/>
      <c r="QF1191" s="47"/>
      <c r="QG1191" s="47"/>
      <c r="QH1191" s="47"/>
      <c r="QI1191" s="47"/>
      <c r="QJ1191" s="47"/>
      <c r="QK1191" s="47"/>
      <c r="QL1191" s="47"/>
      <c r="QM1191" s="47"/>
      <c r="QN1191" s="47"/>
      <c r="QO1191" s="47"/>
      <c r="QP1191" s="47"/>
      <c r="QQ1191" s="47"/>
      <c r="QR1191" s="47"/>
      <c r="QS1191" s="47"/>
      <c r="QT1191" s="47"/>
      <c r="QU1191" s="47"/>
      <c r="QV1191" s="47"/>
      <c r="QW1191" s="47"/>
      <c r="QX1191" s="47"/>
      <c r="QY1191" s="47"/>
      <c r="QZ1191" s="47"/>
      <c r="RA1191" s="47"/>
      <c r="RB1191" s="47"/>
      <c r="RC1191" s="47"/>
      <c r="RD1191" s="47"/>
      <c r="RE1191" s="47"/>
      <c r="RF1191" s="47"/>
      <c r="RG1191" s="47"/>
      <c r="RH1191" s="47"/>
      <c r="RI1191" s="47"/>
      <c r="RJ1191" s="47"/>
      <c r="RK1191" s="47"/>
      <c r="RL1191" s="47"/>
      <c r="RM1191" s="47"/>
      <c r="RN1191" s="47"/>
      <c r="RO1191" s="47"/>
      <c r="RP1191" s="47"/>
      <c r="RQ1191" s="47"/>
      <c r="RR1191" s="47"/>
      <c r="RS1191" s="47"/>
      <c r="RT1191" s="47"/>
      <c r="RU1191" s="47"/>
      <c r="RV1191" s="47"/>
      <c r="RW1191" s="47"/>
      <c r="RX1191" s="47"/>
      <c r="RY1191" s="47"/>
      <c r="RZ1191" s="47"/>
      <c r="SA1191" s="47"/>
      <c r="SB1191" s="47"/>
      <c r="SC1191" s="47"/>
      <c r="SD1191" s="47"/>
      <c r="SE1191" s="47"/>
      <c r="SF1191" s="47"/>
      <c r="SG1191" s="47"/>
      <c r="SH1191" s="47"/>
      <c r="SI1191" s="47"/>
      <c r="SJ1191" s="47"/>
      <c r="SK1191" s="47"/>
      <c r="SL1191" s="47"/>
      <c r="SM1191" s="47"/>
      <c r="SN1191" s="47"/>
      <c r="SO1191" s="47"/>
      <c r="SP1191" s="47"/>
      <c r="SQ1191" s="47"/>
      <c r="SR1191" s="47"/>
      <c r="SS1191" s="47"/>
      <c r="ST1191" s="47"/>
      <c r="SU1191" s="47"/>
      <c r="SV1191" s="47"/>
      <c r="SW1191" s="47"/>
      <c r="SX1191" s="47"/>
      <c r="SY1191" s="47"/>
      <c r="SZ1191" s="47"/>
      <c r="TA1191" s="47"/>
      <c r="TB1191" s="47"/>
      <c r="TC1191" s="47"/>
      <c r="TD1191" s="47"/>
      <c r="TE1191" s="47"/>
      <c r="TF1191" s="47"/>
      <c r="TG1191" s="47"/>
      <c r="TH1191" s="47"/>
      <c r="TI1191" s="47"/>
      <c r="TJ1191" s="47"/>
      <c r="TK1191" s="47"/>
      <c r="TL1191" s="47"/>
      <c r="TM1191" s="47"/>
      <c r="TN1191" s="47"/>
      <c r="TO1191" s="47"/>
      <c r="TP1191" s="47"/>
      <c r="TQ1191" s="47"/>
      <c r="TR1191" s="47"/>
      <c r="TS1191" s="47"/>
      <c r="TT1191" s="47"/>
      <c r="TU1191" s="47"/>
      <c r="TV1191" s="47"/>
      <c r="TW1191" s="47"/>
      <c r="TX1191" s="47"/>
      <c r="TY1191" s="47"/>
      <c r="TZ1191" s="47"/>
      <c r="UA1191" s="47"/>
      <c r="UB1191" s="47"/>
      <c r="UC1191" s="47"/>
      <c r="UD1191" s="47"/>
      <c r="UE1191" s="47"/>
      <c r="UF1191" s="47"/>
      <c r="UG1191" s="23"/>
    </row>
    <row r="1192" spans="1:553" ht="34.5" customHeight="1">
      <c r="A1192" s="356"/>
      <c r="B1192" s="385"/>
      <c r="C1192" s="384" t="str">
        <f>'Phương án chi tiết'!C1091</f>
        <v>Đất trồng lúa còn lại (LUK)</v>
      </c>
      <c r="D1192" s="376" t="str">
        <f>'Phương án chi tiết'!D1093</f>
        <v>2</v>
      </c>
      <c r="E1192" s="376" t="str">
        <f>'Phương án chi tiết'!E1091</f>
        <v>484</v>
      </c>
      <c r="F1192" s="385"/>
      <c r="G1192" s="386" t="s">
        <v>935</v>
      </c>
      <c r="H1192" s="370"/>
      <c r="I1192" s="422">
        <f>'Phương án chi tiết'!I1091</f>
        <v>525.5</v>
      </c>
      <c r="J1192" s="368">
        <v>62000</v>
      </c>
      <c r="K1192" s="848">
        <v>2.5</v>
      </c>
      <c r="L1192" s="480">
        <f t="shared" si="174"/>
        <v>81452500</v>
      </c>
      <c r="M1192" s="366"/>
      <c r="N1192" s="366"/>
      <c r="O1192" s="366"/>
      <c r="P1192" s="366"/>
      <c r="Q1192" s="812"/>
      <c r="R1192" s="1452"/>
      <c r="S1192" s="308"/>
      <c r="T1192" s="308"/>
      <c r="U1192" s="308"/>
      <c r="V1192" s="308"/>
      <c r="W1192" s="308"/>
      <c r="X1192" s="308"/>
      <c r="Y1192" s="308"/>
      <c r="Z1192" s="604"/>
      <c r="AA1192" s="308"/>
      <c r="AB1192" s="308"/>
      <c r="AC1192" s="373"/>
      <c r="AD1192" s="373"/>
      <c r="AE1192" s="373"/>
      <c r="AF1192" s="373"/>
      <c r="AG1192" s="373"/>
      <c r="AH1192" s="373"/>
      <c r="AI1192" s="373"/>
      <c r="AJ1192" s="373"/>
      <c r="AK1192" s="389"/>
      <c r="AL1192" s="45"/>
      <c r="AM1192" s="46"/>
      <c r="AN1192" s="46"/>
      <c r="AO1192" s="46"/>
      <c r="AP1192" s="46"/>
      <c r="AQ1192" s="46"/>
      <c r="AR1192" s="46"/>
      <c r="AS1192" s="47"/>
      <c r="AT1192" s="47"/>
      <c r="AU1192" s="47"/>
      <c r="AV1192" s="47"/>
      <c r="AW1192" s="47"/>
      <c r="AX1192" s="47"/>
      <c r="AY1192" s="47"/>
      <c r="AZ1192" s="47"/>
      <c r="BA1192" s="47"/>
      <c r="BB1192" s="47"/>
      <c r="BC1192" s="47"/>
      <c r="BD1192" s="47"/>
      <c r="BE1192" s="47"/>
      <c r="BF1192" s="47"/>
      <c r="BG1192" s="47"/>
      <c r="BH1192" s="47"/>
      <c r="BI1192" s="47"/>
      <c r="BJ1192" s="47"/>
      <c r="BK1192" s="47"/>
      <c r="BL1192" s="47"/>
      <c r="BM1192" s="47"/>
      <c r="BN1192" s="47"/>
      <c r="BO1192" s="47"/>
      <c r="BP1192" s="47"/>
      <c r="BQ1192" s="47"/>
      <c r="BR1192" s="47"/>
      <c r="BS1192" s="47"/>
      <c r="BT1192" s="47"/>
      <c r="BU1192" s="47"/>
      <c r="BV1192" s="47"/>
      <c r="BW1192" s="47"/>
      <c r="BX1192" s="47"/>
      <c r="BY1192" s="47"/>
      <c r="BZ1192" s="47"/>
      <c r="CA1192" s="47"/>
      <c r="CB1192" s="47"/>
      <c r="CC1192" s="47"/>
      <c r="CD1192" s="47"/>
      <c r="CE1192" s="47"/>
      <c r="CF1192" s="47"/>
      <c r="CG1192" s="47"/>
      <c r="CH1192" s="47"/>
      <c r="CI1192" s="47"/>
      <c r="CJ1192" s="47"/>
      <c r="CK1192" s="47"/>
      <c r="CL1192" s="47"/>
      <c r="CM1192" s="47"/>
      <c r="CN1192" s="47"/>
      <c r="CO1192" s="47"/>
      <c r="CP1192" s="47"/>
      <c r="CQ1192" s="47"/>
      <c r="CR1192" s="47"/>
      <c r="CS1192" s="47"/>
      <c r="CT1192" s="47"/>
      <c r="CU1192" s="47"/>
      <c r="CV1192" s="47"/>
      <c r="CW1192" s="47"/>
      <c r="CX1192" s="47"/>
      <c r="CY1192" s="47"/>
      <c r="CZ1192" s="47"/>
      <c r="DA1192" s="47"/>
      <c r="DB1192" s="47"/>
      <c r="DC1192" s="47"/>
      <c r="DD1192" s="47"/>
      <c r="DE1192" s="47"/>
      <c r="DF1192" s="47"/>
      <c r="DG1192" s="47"/>
      <c r="DH1192" s="47"/>
      <c r="DI1192" s="47"/>
      <c r="DJ1192" s="47"/>
      <c r="DK1192" s="47"/>
      <c r="DL1192" s="47"/>
      <c r="DM1192" s="47"/>
      <c r="DN1192" s="47"/>
      <c r="DO1192" s="47"/>
      <c r="DP1192" s="47"/>
      <c r="DQ1192" s="47"/>
      <c r="DR1192" s="47"/>
      <c r="DS1192" s="47"/>
      <c r="DT1192" s="47"/>
      <c r="DU1192" s="47"/>
      <c r="DV1192" s="47"/>
      <c r="DW1192" s="47"/>
      <c r="DX1192" s="47"/>
      <c r="DY1192" s="47"/>
      <c r="DZ1192" s="47"/>
      <c r="EA1192" s="47"/>
      <c r="EB1192" s="47"/>
      <c r="EC1192" s="47"/>
      <c r="ED1192" s="47"/>
      <c r="EE1192" s="47"/>
      <c r="EF1192" s="47"/>
      <c r="EG1192" s="47"/>
      <c r="EH1192" s="47"/>
      <c r="EI1192" s="47"/>
      <c r="EJ1192" s="47"/>
      <c r="EK1192" s="47"/>
      <c r="EL1192" s="47"/>
      <c r="EM1192" s="47"/>
      <c r="EN1192" s="47"/>
      <c r="EO1192" s="47"/>
      <c r="EP1192" s="47"/>
      <c r="EQ1192" s="47"/>
      <c r="ER1192" s="47"/>
      <c r="ES1192" s="47"/>
      <c r="ET1192" s="47"/>
      <c r="EU1192" s="47"/>
      <c r="EV1192" s="47"/>
      <c r="EW1192" s="47"/>
      <c r="EX1192" s="47"/>
      <c r="EY1192" s="47"/>
      <c r="EZ1192" s="47"/>
      <c r="FA1192" s="47"/>
      <c r="FB1192" s="47"/>
      <c r="FC1192" s="47"/>
      <c r="FD1192" s="47"/>
      <c r="FE1192" s="47"/>
      <c r="FF1192" s="47"/>
      <c r="FG1192" s="47"/>
      <c r="FH1192" s="47"/>
      <c r="FI1192" s="47"/>
      <c r="FJ1192" s="47"/>
      <c r="FK1192" s="47"/>
      <c r="FL1192" s="47"/>
      <c r="FM1192" s="47"/>
      <c r="FN1192" s="47"/>
      <c r="FO1192" s="47"/>
      <c r="FP1192" s="47"/>
      <c r="FQ1192" s="47"/>
      <c r="FR1192" s="47"/>
      <c r="FS1192" s="47"/>
      <c r="FT1192" s="47"/>
      <c r="FU1192" s="47"/>
      <c r="FV1192" s="47"/>
      <c r="FW1192" s="47"/>
      <c r="FX1192" s="47"/>
      <c r="FY1192" s="47"/>
      <c r="FZ1192" s="47"/>
      <c r="GA1192" s="47"/>
      <c r="GB1192" s="47"/>
      <c r="GC1192" s="47"/>
      <c r="GD1192" s="47"/>
      <c r="GE1192" s="47"/>
      <c r="GF1192" s="47"/>
      <c r="GG1192" s="47"/>
      <c r="GH1192" s="47"/>
      <c r="GI1192" s="47"/>
      <c r="GJ1192" s="47"/>
      <c r="GK1192" s="47"/>
      <c r="GL1192" s="47"/>
      <c r="GM1192" s="47"/>
      <c r="GN1192" s="47"/>
      <c r="GO1192" s="47"/>
      <c r="GP1192" s="47"/>
      <c r="GQ1192" s="47"/>
      <c r="GR1192" s="47"/>
      <c r="GS1192" s="47"/>
      <c r="GT1192" s="47"/>
      <c r="GU1192" s="47"/>
      <c r="GV1192" s="47"/>
      <c r="GW1192" s="47"/>
      <c r="GX1192" s="47"/>
      <c r="GY1192" s="47"/>
      <c r="GZ1192" s="47"/>
      <c r="HA1192" s="47"/>
      <c r="HB1192" s="47"/>
      <c r="HC1192" s="47"/>
      <c r="HD1192" s="47"/>
      <c r="HE1192" s="47"/>
      <c r="HF1192" s="47"/>
      <c r="HG1192" s="47"/>
      <c r="HH1192" s="47"/>
      <c r="HI1192" s="47"/>
      <c r="HJ1192" s="47"/>
      <c r="HK1192" s="47"/>
      <c r="HL1192" s="47"/>
      <c r="HM1192" s="47"/>
      <c r="HN1192" s="47"/>
      <c r="HO1192" s="47"/>
      <c r="HP1192" s="47"/>
      <c r="HQ1192" s="47"/>
      <c r="HR1192" s="47"/>
      <c r="HS1192" s="47"/>
      <c r="HT1192" s="47"/>
      <c r="HU1192" s="47"/>
      <c r="HV1192" s="47"/>
      <c r="HW1192" s="47"/>
      <c r="HX1192" s="47"/>
      <c r="HY1192" s="47"/>
      <c r="HZ1192" s="47"/>
      <c r="IA1192" s="47"/>
      <c r="IB1192" s="47"/>
      <c r="IC1192" s="47"/>
      <c r="ID1192" s="47"/>
      <c r="IE1192" s="47"/>
      <c r="IF1192" s="47"/>
      <c r="IG1192" s="47"/>
      <c r="IH1192" s="47"/>
      <c r="II1192" s="47"/>
      <c r="IJ1192" s="47"/>
      <c r="IK1192" s="47"/>
      <c r="IL1192" s="47"/>
      <c r="IM1192" s="47"/>
      <c r="IN1192" s="47"/>
      <c r="IO1192" s="47"/>
      <c r="IP1192" s="47"/>
      <c r="IQ1192" s="47"/>
      <c r="IR1192" s="47"/>
      <c r="IS1192" s="47"/>
      <c r="IT1192" s="47"/>
      <c r="IU1192" s="47"/>
      <c r="IV1192" s="47"/>
      <c r="IW1192" s="47"/>
      <c r="IX1192" s="47"/>
      <c r="IY1192" s="47"/>
      <c r="IZ1192" s="47"/>
      <c r="JA1192" s="47"/>
      <c r="JB1192" s="47"/>
      <c r="JC1192" s="47"/>
      <c r="JD1192" s="47"/>
      <c r="JE1192" s="47"/>
      <c r="JF1192" s="47"/>
      <c r="JG1192" s="47"/>
      <c r="JH1192" s="47"/>
      <c r="JI1192" s="47"/>
      <c r="JJ1192" s="47"/>
      <c r="JK1192" s="47"/>
      <c r="JL1192" s="47"/>
      <c r="JM1192" s="47"/>
      <c r="JN1192" s="47"/>
      <c r="JO1192" s="47"/>
      <c r="JP1192" s="47"/>
      <c r="JQ1192" s="47"/>
      <c r="JR1192" s="47"/>
      <c r="JS1192" s="47"/>
      <c r="JT1192" s="47"/>
      <c r="JU1192" s="47"/>
      <c r="JV1192" s="47"/>
      <c r="JW1192" s="47"/>
      <c r="JX1192" s="47"/>
      <c r="JY1192" s="47"/>
      <c r="JZ1192" s="47"/>
      <c r="KA1192" s="47"/>
      <c r="KB1192" s="47"/>
      <c r="KC1192" s="47"/>
      <c r="KD1192" s="47"/>
      <c r="KE1192" s="47"/>
      <c r="KF1192" s="47"/>
      <c r="KG1192" s="47"/>
      <c r="KH1192" s="47"/>
      <c r="KI1192" s="47"/>
      <c r="KJ1192" s="47"/>
      <c r="KK1192" s="47"/>
      <c r="KL1192" s="47"/>
      <c r="KM1192" s="47"/>
      <c r="KN1192" s="47"/>
      <c r="KO1192" s="47"/>
      <c r="KP1192" s="47"/>
      <c r="KQ1192" s="47"/>
      <c r="KR1192" s="47"/>
      <c r="KS1192" s="47"/>
      <c r="KT1192" s="47"/>
      <c r="KU1192" s="47"/>
      <c r="KV1192" s="47"/>
      <c r="KW1192" s="47"/>
      <c r="KX1192" s="47"/>
      <c r="KY1192" s="47"/>
      <c r="KZ1192" s="47"/>
      <c r="LA1192" s="47"/>
      <c r="LB1192" s="47"/>
      <c r="LC1192" s="47"/>
      <c r="LD1192" s="47"/>
      <c r="LE1192" s="47"/>
      <c r="LF1192" s="47"/>
      <c r="LG1192" s="47"/>
      <c r="LH1192" s="47"/>
      <c r="LI1192" s="47"/>
      <c r="LJ1192" s="47"/>
      <c r="LK1192" s="47"/>
      <c r="LL1192" s="47"/>
      <c r="LM1192" s="47"/>
      <c r="LN1192" s="47"/>
      <c r="LO1192" s="47"/>
      <c r="LP1192" s="47"/>
      <c r="LQ1192" s="47"/>
      <c r="LR1192" s="47"/>
      <c r="LS1192" s="47"/>
      <c r="LT1192" s="47"/>
      <c r="LU1192" s="47"/>
      <c r="LV1192" s="47"/>
      <c r="LW1192" s="47"/>
      <c r="LX1192" s="47"/>
      <c r="LY1192" s="47"/>
      <c r="LZ1192" s="47"/>
      <c r="MA1192" s="47"/>
      <c r="MB1192" s="47"/>
      <c r="MC1192" s="47"/>
      <c r="MD1192" s="47"/>
      <c r="ME1192" s="47"/>
      <c r="MF1192" s="47"/>
      <c r="MG1192" s="47"/>
      <c r="MH1192" s="47"/>
      <c r="MI1192" s="47"/>
      <c r="MJ1192" s="47"/>
      <c r="MK1192" s="47"/>
      <c r="ML1192" s="47"/>
      <c r="MM1192" s="47"/>
      <c r="MN1192" s="47"/>
      <c r="MO1192" s="47"/>
      <c r="MP1192" s="47"/>
      <c r="MQ1192" s="47"/>
      <c r="MR1192" s="47"/>
      <c r="MS1192" s="47"/>
      <c r="MT1192" s="47"/>
      <c r="MU1192" s="47"/>
      <c r="MV1192" s="47"/>
      <c r="MW1192" s="47"/>
      <c r="MX1192" s="47"/>
      <c r="MY1192" s="47"/>
      <c r="MZ1192" s="47"/>
      <c r="NA1192" s="47"/>
      <c r="NB1192" s="47"/>
      <c r="NC1192" s="47"/>
      <c r="ND1192" s="47"/>
      <c r="NE1192" s="47"/>
      <c r="NF1192" s="47"/>
      <c r="NG1192" s="47"/>
      <c r="NH1192" s="47"/>
      <c r="NI1192" s="47"/>
      <c r="NJ1192" s="47"/>
      <c r="NK1192" s="47"/>
      <c r="NL1192" s="47"/>
      <c r="NM1192" s="47"/>
      <c r="NN1192" s="47"/>
      <c r="NO1192" s="47"/>
      <c r="NP1192" s="47"/>
      <c r="NQ1192" s="47"/>
      <c r="NR1192" s="47"/>
      <c r="NS1192" s="47"/>
      <c r="NT1192" s="47"/>
      <c r="NU1192" s="47"/>
      <c r="NV1192" s="47"/>
      <c r="NW1192" s="47"/>
      <c r="NX1192" s="47"/>
      <c r="NY1192" s="47"/>
      <c r="NZ1192" s="47"/>
      <c r="OA1192" s="47"/>
      <c r="OB1192" s="47"/>
      <c r="OC1192" s="47"/>
      <c r="OD1192" s="47"/>
      <c r="OE1192" s="47"/>
      <c r="OF1192" s="47"/>
      <c r="OG1192" s="47"/>
      <c r="OH1192" s="47"/>
      <c r="OI1192" s="47"/>
      <c r="OJ1192" s="47"/>
      <c r="OK1192" s="47"/>
      <c r="OL1192" s="47"/>
      <c r="OM1192" s="47"/>
      <c r="ON1192" s="47"/>
      <c r="OO1192" s="47"/>
      <c r="OP1192" s="47"/>
      <c r="OQ1192" s="47"/>
      <c r="OR1192" s="47"/>
      <c r="OS1192" s="47"/>
      <c r="OT1192" s="47"/>
      <c r="OU1192" s="47"/>
      <c r="OV1192" s="47"/>
      <c r="OW1192" s="47"/>
      <c r="OX1192" s="47"/>
      <c r="OY1192" s="47"/>
      <c r="OZ1192" s="47"/>
      <c r="PA1192" s="47"/>
      <c r="PB1192" s="47"/>
      <c r="PC1192" s="47"/>
      <c r="PD1192" s="47"/>
      <c r="PE1192" s="47"/>
      <c r="PF1192" s="47"/>
      <c r="PG1192" s="47"/>
      <c r="PH1192" s="47"/>
      <c r="PI1192" s="47"/>
      <c r="PJ1192" s="47"/>
      <c r="PK1192" s="47"/>
      <c r="PL1192" s="47"/>
      <c r="PM1192" s="47"/>
      <c r="PN1192" s="47"/>
      <c r="PO1192" s="47"/>
      <c r="PP1192" s="47"/>
      <c r="PQ1192" s="47"/>
      <c r="PR1192" s="47"/>
      <c r="PS1192" s="47"/>
      <c r="PT1192" s="47"/>
      <c r="PU1192" s="47"/>
      <c r="PV1192" s="47"/>
      <c r="PW1192" s="47"/>
      <c r="PX1192" s="47"/>
      <c r="PY1192" s="47"/>
      <c r="PZ1192" s="47"/>
      <c r="QA1192" s="47"/>
      <c r="QB1192" s="47"/>
      <c r="QC1192" s="47"/>
      <c r="QD1192" s="47"/>
      <c r="QE1192" s="47"/>
      <c r="QF1192" s="47"/>
      <c r="QG1192" s="47"/>
      <c r="QH1192" s="47"/>
      <c r="QI1192" s="47"/>
      <c r="QJ1192" s="47"/>
      <c r="QK1192" s="47"/>
      <c r="QL1192" s="47"/>
      <c r="QM1192" s="47"/>
      <c r="QN1192" s="47"/>
      <c r="QO1192" s="47"/>
      <c r="QP1192" s="47"/>
      <c r="QQ1192" s="47"/>
      <c r="QR1192" s="47"/>
      <c r="QS1192" s="47"/>
      <c r="QT1192" s="47"/>
      <c r="QU1192" s="47"/>
      <c r="QV1192" s="47"/>
      <c r="QW1192" s="47"/>
      <c r="QX1192" s="47"/>
      <c r="QY1192" s="47"/>
      <c r="QZ1192" s="47"/>
      <c r="RA1192" s="47"/>
      <c r="RB1192" s="47"/>
      <c r="RC1192" s="47"/>
      <c r="RD1192" s="47"/>
      <c r="RE1192" s="47"/>
      <c r="RF1192" s="47"/>
      <c r="RG1192" s="47"/>
      <c r="RH1192" s="47"/>
      <c r="RI1192" s="47"/>
      <c r="RJ1192" s="47"/>
      <c r="RK1192" s="47"/>
      <c r="RL1192" s="47"/>
      <c r="RM1192" s="47"/>
      <c r="RN1192" s="47"/>
      <c r="RO1192" s="47"/>
      <c r="RP1192" s="47"/>
      <c r="RQ1192" s="47"/>
      <c r="RR1192" s="47"/>
      <c r="RS1192" s="47"/>
      <c r="RT1192" s="47"/>
      <c r="RU1192" s="47"/>
      <c r="RV1192" s="47"/>
      <c r="RW1192" s="47"/>
      <c r="RX1192" s="47"/>
      <c r="RY1192" s="47"/>
      <c r="RZ1192" s="47"/>
      <c r="SA1192" s="47"/>
      <c r="SB1192" s="47"/>
      <c r="SC1192" s="47"/>
      <c r="SD1192" s="47"/>
      <c r="SE1192" s="47"/>
      <c r="SF1192" s="47"/>
      <c r="SG1192" s="47"/>
      <c r="SH1192" s="47"/>
      <c r="SI1192" s="47"/>
      <c r="SJ1192" s="47"/>
      <c r="SK1192" s="47"/>
      <c r="SL1192" s="47"/>
      <c r="SM1192" s="47"/>
      <c r="SN1192" s="47"/>
      <c r="SO1192" s="47"/>
      <c r="SP1192" s="47"/>
      <c r="SQ1192" s="47"/>
      <c r="SR1192" s="47"/>
      <c r="SS1192" s="47"/>
      <c r="ST1192" s="47"/>
      <c r="SU1192" s="47"/>
      <c r="SV1192" s="47"/>
      <c r="SW1192" s="47"/>
      <c r="SX1192" s="47"/>
      <c r="SY1192" s="47"/>
      <c r="SZ1192" s="47"/>
      <c r="TA1192" s="47"/>
      <c r="TB1192" s="47"/>
      <c r="TC1192" s="47"/>
      <c r="TD1192" s="47"/>
      <c r="TE1192" s="47"/>
      <c r="TF1192" s="47"/>
      <c r="TG1192" s="47"/>
      <c r="TH1192" s="47"/>
      <c r="TI1192" s="47"/>
      <c r="TJ1192" s="47"/>
      <c r="TK1192" s="47"/>
      <c r="TL1192" s="47"/>
      <c r="TM1192" s="47"/>
      <c r="TN1192" s="47"/>
      <c r="TO1192" s="47"/>
      <c r="TP1192" s="47"/>
      <c r="TQ1192" s="47"/>
      <c r="TR1192" s="47"/>
      <c r="TS1192" s="47"/>
      <c r="TT1192" s="47"/>
      <c r="TU1192" s="47"/>
      <c r="TV1192" s="47"/>
      <c r="TW1192" s="47"/>
      <c r="TX1192" s="47"/>
      <c r="TY1192" s="47"/>
      <c r="TZ1192" s="47"/>
      <c r="UA1192" s="47"/>
      <c r="UB1192" s="47"/>
      <c r="UC1192" s="47"/>
      <c r="UD1192" s="47"/>
      <c r="UE1192" s="47"/>
      <c r="UF1192" s="47"/>
      <c r="UG1192" s="23"/>
    </row>
    <row r="1193" spans="1:553" ht="34.5" customHeight="1">
      <c r="A1193" s="356"/>
      <c r="B1193" s="385"/>
      <c r="C1193" s="390" t="s">
        <v>72</v>
      </c>
      <c r="D1193" s="376">
        <v>1</v>
      </c>
      <c r="E1193" s="376">
        <v>511</v>
      </c>
      <c r="F1193" s="376"/>
      <c r="G1193" s="417" t="s">
        <v>1303</v>
      </c>
      <c r="H1193" s="284"/>
      <c r="I1193" s="1075">
        <v>83.6</v>
      </c>
      <c r="J1193" s="368">
        <v>10000</v>
      </c>
      <c r="K1193" s="848">
        <v>1</v>
      </c>
      <c r="L1193" s="480">
        <f>I1193*J1193*K1193</f>
        <v>836000</v>
      </c>
      <c r="M1193" s="366"/>
      <c r="N1193" s="366"/>
      <c r="O1193" s="366"/>
      <c r="P1193" s="366"/>
      <c r="Q1193" s="812"/>
      <c r="R1193" s="1452"/>
      <c r="S1193" s="308"/>
      <c r="T1193" s="308"/>
      <c r="U1193" s="308"/>
      <c r="V1193" s="308"/>
      <c r="W1193" s="308"/>
      <c r="X1193" s="308"/>
      <c r="Y1193" s="308"/>
      <c r="Z1193" s="604"/>
      <c r="AA1193" s="308"/>
      <c r="AB1193" s="308"/>
      <c r="AC1193" s="373"/>
      <c r="AD1193" s="373"/>
      <c r="AE1193" s="373"/>
      <c r="AF1193" s="373"/>
      <c r="AG1193" s="373"/>
      <c r="AH1193" s="373"/>
      <c r="AI1193" s="373"/>
      <c r="AJ1193" s="373"/>
      <c r="AK1193" s="389"/>
      <c r="AL1193" s="45"/>
      <c r="AM1193" s="46"/>
      <c r="AN1193" s="46"/>
      <c r="AO1193" s="46"/>
      <c r="AP1193" s="46"/>
      <c r="AQ1193" s="46"/>
      <c r="AR1193" s="46"/>
      <c r="AS1193" s="47"/>
      <c r="AT1193" s="47"/>
      <c r="AU1193" s="47"/>
      <c r="AV1193" s="47"/>
      <c r="AW1193" s="47"/>
      <c r="AX1193" s="47"/>
      <c r="AY1193" s="47"/>
      <c r="AZ1193" s="47"/>
      <c r="BA1193" s="47"/>
      <c r="BB1193" s="47"/>
      <c r="BC1193" s="47"/>
      <c r="BD1193" s="47"/>
      <c r="BE1193" s="47"/>
      <c r="BF1193" s="47"/>
      <c r="BG1193" s="47"/>
      <c r="BH1193" s="47"/>
      <c r="BI1193" s="47"/>
      <c r="BJ1193" s="47"/>
      <c r="BK1193" s="47"/>
      <c r="BL1193" s="47"/>
      <c r="BM1193" s="47"/>
      <c r="BN1193" s="47"/>
      <c r="BO1193" s="47"/>
      <c r="BP1193" s="47"/>
      <c r="BQ1193" s="47"/>
      <c r="BR1193" s="47"/>
      <c r="BS1193" s="47"/>
      <c r="BT1193" s="47"/>
      <c r="BU1193" s="47"/>
      <c r="BV1193" s="47"/>
      <c r="BW1193" s="47"/>
      <c r="BX1193" s="47"/>
      <c r="BY1193" s="47"/>
      <c r="BZ1193" s="47"/>
      <c r="CA1193" s="47"/>
      <c r="CB1193" s="47"/>
      <c r="CC1193" s="47"/>
      <c r="CD1193" s="47"/>
      <c r="CE1193" s="47"/>
      <c r="CF1193" s="47"/>
      <c r="CG1193" s="47"/>
      <c r="CH1193" s="47"/>
      <c r="CI1193" s="47"/>
      <c r="CJ1193" s="47"/>
      <c r="CK1193" s="47"/>
      <c r="CL1193" s="47"/>
      <c r="CM1193" s="47"/>
      <c r="CN1193" s="47"/>
      <c r="CO1193" s="47"/>
      <c r="CP1193" s="47"/>
      <c r="CQ1193" s="47"/>
      <c r="CR1193" s="47"/>
      <c r="CS1193" s="47"/>
      <c r="CT1193" s="47"/>
      <c r="CU1193" s="47"/>
      <c r="CV1193" s="47"/>
      <c r="CW1193" s="47"/>
      <c r="CX1193" s="47"/>
      <c r="CY1193" s="47"/>
      <c r="CZ1193" s="47"/>
      <c r="DA1193" s="47"/>
      <c r="DB1193" s="47"/>
      <c r="DC1193" s="47"/>
      <c r="DD1193" s="47"/>
      <c r="DE1193" s="47"/>
      <c r="DF1193" s="47"/>
      <c r="DG1193" s="47"/>
      <c r="DH1193" s="47"/>
      <c r="DI1193" s="47"/>
      <c r="DJ1193" s="47"/>
      <c r="DK1193" s="47"/>
      <c r="DL1193" s="47"/>
      <c r="DM1193" s="47"/>
      <c r="DN1193" s="47"/>
      <c r="DO1193" s="47"/>
      <c r="DP1193" s="47"/>
      <c r="DQ1193" s="47"/>
      <c r="DR1193" s="47"/>
      <c r="DS1193" s="47"/>
      <c r="DT1193" s="47"/>
      <c r="DU1193" s="47"/>
      <c r="DV1193" s="47"/>
      <c r="DW1193" s="47"/>
      <c r="DX1193" s="47"/>
      <c r="DY1193" s="47"/>
      <c r="DZ1193" s="47"/>
      <c r="EA1193" s="47"/>
      <c r="EB1193" s="47"/>
      <c r="EC1193" s="47"/>
      <c r="ED1193" s="47"/>
      <c r="EE1193" s="47"/>
      <c r="EF1193" s="47"/>
      <c r="EG1193" s="47"/>
      <c r="EH1193" s="47"/>
      <c r="EI1193" s="47"/>
      <c r="EJ1193" s="47"/>
      <c r="EK1193" s="47"/>
      <c r="EL1193" s="47"/>
      <c r="EM1193" s="47"/>
      <c r="EN1193" s="47"/>
      <c r="EO1193" s="47"/>
      <c r="EP1193" s="47"/>
      <c r="EQ1193" s="47"/>
      <c r="ER1193" s="47"/>
      <c r="ES1193" s="47"/>
      <c r="ET1193" s="47"/>
      <c r="EU1193" s="47"/>
      <c r="EV1193" s="47"/>
      <c r="EW1193" s="47"/>
      <c r="EX1193" s="47"/>
      <c r="EY1193" s="47"/>
      <c r="EZ1193" s="47"/>
      <c r="FA1193" s="47"/>
      <c r="FB1193" s="47"/>
      <c r="FC1193" s="47"/>
      <c r="FD1193" s="47"/>
      <c r="FE1193" s="47"/>
      <c r="FF1193" s="47"/>
      <c r="FG1193" s="47"/>
      <c r="FH1193" s="47"/>
      <c r="FI1193" s="47"/>
      <c r="FJ1193" s="47"/>
      <c r="FK1193" s="47"/>
      <c r="FL1193" s="47"/>
      <c r="FM1193" s="47"/>
      <c r="FN1193" s="47"/>
      <c r="FO1193" s="47"/>
      <c r="FP1193" s="47"/>
      <c r="FQ1193" s="47"/>
      <c r="FR1193" s="47"/>
      <c r="FS1193" s="47"/>
      <c r="FT1193" s="47"/>
      <c r="FU1193" s="47"/>
      <c r="FV1193" s="47"/>
      <c r="FW1193" s="47"/>
      <c r="FX1193" s="47"/>
      <c r="FY1193" s="47"/>
      <c r="FZ1193" s="47"/>
      <c r="GA1193" s="47"/>
      <c r="GB1193" s="47"/>
      <c r="GC1193" s="47"/>
      <c r="GD1193" s="47"/>
      <c r="GE1193" s="47"/>
      <c r="GF1193" s="47"/>
      <c r="GG1193" s="47"/>
      <c r="GH1193" s="47"/>
      <c r="GI1193" s="47"/>
      <c r="GJ1193" s="47"/>
      <c r="GK1193" s="47"/>
      <c r="GL1193" s="47"/>
      <c r="GM1193" s="47"/>
      <c r="GN1193" s="47"/>
      <c r="GO1193" s="47"/>
      <c r="GP1193" s="47"/>
      <c r="GQ1193" s="47"/>
      <c r="GR1193" s="47"/>
      <c r="GS1193" s="47"/>
      <c r="GT1193" s="47"/>
      <c r="GU1193" s="47"/>
      <c r="GV1193" s="47"/>
      <c r="GW1193" s="47"/>
      <c r="GX1193" s="47"/>
      <c r="GY1193" s="47"/>
      <c r="GZ1193" s="47"/>
      <c r="HA1193" s="47"/>
      <c r="HB1193" s="47"/>
      <c r="HC1193" s="47"/>
      <c r="HD1193" s="47"/>
      <c r="HE1193" s="47"/>
      <c r="HF1193" s="47"/>
      <c r="HG1193" s="47"/>
      <c r="HH1193" s="47"/>
      <c r="HI1193" s="47"/>
      <c r="HJ1193" s="47"/>
      <c r="HK1193" s="47"/>
      <c r="HL1193" s="47"/>
      <c r="HM1193" s="47"/>
      <c r="HN1193" s="47"/>
      <c r="HO1193" s="47"/>
      <c r="HP1193" s="47"/>
      <c r="HQ1193" s="47"/>
      <c r="HR1193" s="47"/>
      <c r="HS1193" s="47"/>
      <c r="HT1193" s="47"/>
      <c r="HU1193" s="47"/>
      <c r="HV1193" s="47"/>
      <c r="HW1193" s="47"/>
      <c r="HX1193" s="47"/>
      <c r="HY1193" s="47"/>
      <c r="HZ1193" s="47"/>
      <c r="IA1193" s="47"/>
      <c r="IB1193" s="47"/>
      <c r="IC1193" s="47"/>
      <c r="ID1193" s="47"/>
      <c r="IE1193" s="47"/>
      <c r="IF1193" s="47"/>
      <c r="IG1193" s="47"/>
      <c r="IH1193" s="47"/>
      <c r="II1193" s="47"/>
      <c r="IJ1193" s="47"/>
      <c r="IK1193" s="47"/>
      <c r="IL1193" s="47"/>
      <c r="IM1193" s="47"/>
      <c r="IN1193" s="47"/>
      <c r="IO1193" s="47"/>
      <c r="IP1193" s="47"/>
      <c r="IQ1193" s="47"/>
      <c r="IR1193" s="47"/>
      <c r="IS1193" s="47"/>
      <c r="IT1193" s="47"/>
      <c r="IU1193" s="47"/>
      <c r="IV1193" s="47"/>
      <c r="IW1193" s="47"/>
      <c r="IX1193" s="47"/>
      <c r="IY1193" s="47"/>
      <c r="IZ1193" s="47"/>
      <c r="JA1193" s="47"/>
      <c r="JB1193" s="47"/>
      <c r="JC1193" s="47"/>
      <c r="JD1193" s="47"/>
      <c r="JE1193" s="47"/>
      <c r="JF1193" s="47"/>
      <c r="JG1193" s="47"/>
      <c r="JH1193" s="47"/>
      <c r="JI1193" s="47"/>
      <c r="JJ1193" s="47"/>
      <c r="JK1193" s="47"/>
      <c r="JL1193" s="47"/>
      <c r="JM1193" s="47"/>
      <c r="JN1193" s="47"/>
      <c r="JO1193" s="47"/>
      <c r="JP1193" s="47"/>
      <c r="JQ1193" s="47"/>
      <c r="JR1193" s="47"/>
      <c r="JS1193" s="47"/>
      <c r="JT1193" s="47"/>
      <c r="JU1193" s="47"/>
      <c r="JV1193" s="47"/>
      <c r="JW1193" s="47"/>
      <c r="JX1193" s="47"/>
      <c r="JY1193" s="47"/>
      <c r="JZ1193" s="47"/>
      <c r="KA1193" s="47"/>
      <c r="KB1193" s="47"/>
      <c r="KC1193" s="47"/>
      <c r="KD1193" s="47"/>
      <c r="KE1193" s="47"/>
      <c r="KF1193" s="47"/>
      <c r="KG1193" s="47"/>
      <c r="KH1193" s="47"/>
      <c r="KI1193" s="47"/>
      <c r="KJ1193" s="47"/>
      <c r="KK1193" s="47"/>
      <c r="KL1193" s="47"/>
      <c r="KM1193" s="47"/>
      <c r="KN1193" s="47"/>
      <c r="KO1193" s="47"/>
      <c r="KP1193" s="47"/>
      <c r="KQ1193" s="47"/>
      <c r="KR1193" s="47"/>
      <c r="KS1193" s="47"/>
      <c r="KT1193" s="47"/>
      <c r="KU1193" s="47"/>
      <c r="KV1193" s="47"/>
      <c r="KW1193" s="47"/>
      <c r="KX1193" s="47"/>
      <c r="KY1193" s="47"/>
      <c r="KZ1193" s="47"/>
      <c r="LA1193" s="47"/>
      <c r="LB1193" s="47"/>
      <c r="LC1193" s="47"/>
      <c r="LD1193" s="47"/>
      <c r="LE1193" s="47"/>
      <c r="LF1193" s="47"/>
      <c r="LG1193" s="47"/>
      <c r="LH1193" s="47"/>
      <c r="LI1193" s="47"/>
      <c r="LJ1193" s="47"/>
      <c r="LK1193" s="47"/>
      <c r="LL1193" s="47"/>
      <c r="LM1193" s="47"/>
      <c r="LN1193" s="47"/>
      <c r="LO1193" s="47"/>
      <c r="LP1193" s="47"/>
      <c r="LQ1193" s="47"/>
      <c r="LR1193" s="47"/>
      <c r="LS1193" s="47"/>
      <c r="LT1193" s="47"/>
      <c r="LU1193" s="47"/>
      <c r="LV1193" s="47"/>
      <c r="LW1193" s="47"/>
      <c r="LX1193" s="47"/>
      <c r="LY1193" s="47"/>
      <c r="LZ1193" s="47"/>
      <c r="MA1193" s="47"/>
      <c r="MB1193" s="47"/>
      <c r="MC1193" s="47"/>
      <c r="MD1193" s="47"/>
      <c r="ME1193" s="47"/>
      <c r="MF1193" s="47"/>
      <c r="MG1193" s="47"/>
      <c r="MH1193" s="47"/>
      <c r="MI1193" s="47"/>
      <c r="MJ1193" s="47"/>
      <c r="MK1193" s="47"/>
      <c r="ML1193" s="47"/>
      <c r="MM1193" s="47"/>
      <c r="MN1193" s="47"/>
      <c r="MO1193" s="47"/>
      <c r="MP1193" s="47"/>
      <c r="MQ1193" s="47"/>
      <c r="MR1193" s="47"/>
      <c r="MS1193" s="47"/>
      <c r="MT1193" s="47"/>
      <c r="MU1193" s="47"/>
      <c r="MV1193" s="47"/>
      <c r="MW1193" s="47"/>
      <c r="MX1193" s="47"/>
      <c r="MY1193" s="47"/>
      <c r="MZ1193" s="47"/>
      <c r="NA1193" s="47"/>
      <c r="NB1193" s="47"/>
      <c r="NC1193" s="47"/>
      <c r="ND1193" s="47"/>
      <c r="NE1193" s="47"/>
      <c r="NF1193" s="47"/>
      <c r="NG1193" s="47"/>
      <c r="NH1193" s="47"/>
      <c r="NI1193" s="47"/>
      <c r="NJ1193" s="47"/>
      <c r="NK1193" s="47"/>
      <c r="NL1193" s="47"/>
      <c r="NM1193" s="47"/>
      <c r="NN1193" s="47"/>
      <c r="NO1193" s="47"/>
      <c r="NP1193" s="47"/>
      <c r="NQ1193" s="47"/>
      <c r="NR1193" s="47"/>
      <c r="NS1193" s="47"/>
      <c r="NT1193" s="47"/>
      <c r="NU1193" s="47"/>
      <c r="NV1193" s="47"/>
      <c r="NW1193" s="47"/>
      <c r="NX1193" s="47"/>
      <c r="NY1193" s="47"/>
      <c r="NZ1193" s="47"/>
      <c r="OA1193" s="47"/>
      <c r="OB1193" s="47"/>
      <c r="OC1193" s="47"/>
      <c r="OD1193" s="47"/>
      <c r="OE1193" s="47"/>
      <c r="OF1193" s="47"/>
      <c r="OG1193" s="47"/>
      <c r="OH1193" s="47"/>
      <c r="OI1193" s="47"/>
      <c r="OJ1193" s="47"/>
      <c r="OK1193" s="47"/>
      <c r="OL1193" s="47"/>
      <c r="OM1193" s="47"/>
      <c r="ON1193" s="47"/>
      <c r="OO1193" s="47"/>
      <c r="OP1193" s="47"/>
      <c r="OQ1193" s="47"/>
      <c r="OR1193" s="47"/>
      <c r="OS1193" s="47"/>
      <c r="OT1193" s="47"/>
      <c r="OU1193" s="47"/>
      <c r="OV1193" s="47"/>
      <c r="OW1193" s="47"/>
      <c r="OX1193" s="47"/>
      <c r="OY1193" s="47"/>
      <c r="OZ1193" s="47"/>
      <c r="PA1193" s="47"/>
      <c r="PB1193" s="47"/>
      <c r="PC1193" s="47"/>
      <c r="PD1193" s="47"/>
      <c r="PE1193" s="47"/>
      <c r="PF1193" s="47"/>
      <c r="PG1193" s="47"/>
      <c r="PH1193" s="47"/>
      <c r="PI1193" s="47"/>
      <c r="PJ1193" s="47"/>
      <c r="PK1193" s="47"/>
      <c r="PL1193" s="47"/>
      <c r="PM1193" s="47"/>
      <c r="PN1193" s="47"/>
      <c r="PO1193" s="47"/>
      <c r="PP1193" s="47"/>
      <c r="PQ1193" s="47"/>
      <c r="PR1193" s="47"/>
      <c r="PS1193" s="47"/>
      <c r="PT1193" s="47"/>
      <c r="PU1193" s="47"/>
      <c r="PV1193" s="47"/>
      <c r="PW1193" s="47"/>
      <c r="PX1193" s="47"/>
      <c r="PY1193" s="47"/>
      <c r="PZ1193" s="47"/>
      <c r="QA1193" s="47"/>
      <c r="QB1193" s="47"/>
      <c r="QC1193" s="47"/>
      <c r="QD1193" s="47"/>
      <c r="QE1193" s="47"/>
      <c r="QF1193" s="47"/>
      <c r="QG1193" s="47"/>
      <c r="QH1193" s="47"/>
      <c r="QI1193" s="47"/>
      <c r="QJ1193" s="47"/>
      <c r="QK1193" s="47"/>
      <c r="QL1193" s="47"/>
      <c r="QM1193" s="47"/>
      <c r="QN1193" s="47"/>
      <c r="QO1193" s="47"/>
      <c r="QP1193" s="47"/>
      <c r="QQ1193" s="47"/>
      <c r="QR1193" s="47"/>
      <c r="QS1193" s="47"/>
      <c r="QT1193" s="47"/>
      <c r="QU1193" s="47"/>
      <c r="QV1193" s="47"/>
      <c r="QW1193" s="47"/>
      <c r="QX1193" s="47"/>
      <c r="QY1193" s="47"/>
      <c r="QZ1193" s="47"/>
      <c r="RA1193" s="47"/>
      <c r="RB1193" s="47"/>
      <c r="RC1193" s="47"/>
      <c r="RD1193" s="47"/>
      <c r="RE1193" s="47"/>
      <c r="RF1193" s="47"/>
      <c r="RG1193" s="47"/>
      <c r="RH1193" s="47"/>
      <c r="RI1193" s="47"/>
      <c r="RJ1193" s="47"/>
      <c r="RK1193" s="47"/>
      <c r="RL1193" s="47"/>
      <c r="RM1193" s="47"/>
      <c r="RN1193" s="47"/>
      <c r="RO1193" s="47"/>
      <c r="RP1193" s="47"/>
      <c r="RQ1193" s="47"/>
      <c r="RR1193" s="47"/>
      <c r="RS1193" s="47"/>
      <c r="RT1193" s="47"/>
      <c r="RU1193" s="47"/>
      <c r="RV1193" s="47"/>
      <c r="RW1193" s="47"/>
      <c r="RX1193" s="47"/>
      <c r="RY1193" s="47"/>
      <c r="RZ1193" s="47"/>
      <c r="SA1193" s="47"/>
      <c r="SB1193" s="47"/>
      <c r="SC1193" s="47"/>
      <c r="SD1193" s="47"/>
      <c r="SE1193" s="47"/>
      <c r="SF1193" s="47"/>
      <c r="SG1193" s="47"/>
      <c r="SH1193" s="47"/>
      <c r="SI1193" s="47"/>
      <c r="SJ1193" s="47"/>
      <c r="SK1193" s="47"/>
      <c r="SL1193" s="47"/>
      <c r="SM1193" s="47"/>
      <c r="SN1193" s="47"/>
      <c r="SO1193" s="47"/>
      <c r="SP1193" s="47"/>
      <c r="SQ1193" s="47"/>
      <c r="SR1193" s="47"/>
      <c r="SS1193" s="47"/>
      <c r="ST1193" s="47"/>
      <c r="SU1193" s="47"/>
      <c r="SV1193" s="47"/>
      <c r="SW1193" s="47"/>
      <c r="SX1193" s="47"/>
      <c r="SY1193" s="47"/>
      <c r="SZ1193" s="47"/>
      <c r="TA1193" s="47"/>
      <c r="TB1193" s="47"/>
      <c r="TC1193" s="47"/>
      <c r="TD1193" s="47"/>
      <c r="TE1193" s="47"/>
      <c r="TF1193" s="47"/>
      <c r="TG1193" s="47"/>
      <c r="TH1193" s="47"/>
      <c r="TI1193" s="47"/>
      <c r="TJ1193" s="47"/>
      <c r="TK1193" s="47"/>
      <c r="TL1193" s="47"/>
      <c r="TM1193" s="47"/>
      <c r="TN1193" s="47"/>
      <c r="TO1193" s="47"/>
      <c r="TP1193" s="47"/>
      <c r="TQ1193" s="47"/>
      <c r="TR1193" s="47"/>
      <c r="TS1193" s="47"/>
      <c r="TT1193" s="47"/>
      <c r="TU1193" s="47"/>
      <c r="TV1193" s="47"/>
      <c r="TW1193" s="47"/>
      <c r="TX1193" s="47"/>
      <c r="TY1193" s="47"/>
      <c r="TZ1193" s="47"/>
      <c r="UA1193" s="47"/>
      <c r="UB1193" s="47"/>
      <c r="UC1193" s="47"/>
      <c r="UD1193" s="47"/>
      <c r="UE1193" s="47"/>
      <c r="UF1193" s="47"/>
      <c r="UG1193" s="23"/>
    </row>
    <row r="1194" spans="1:553" ht="34.5" customHeight="1">
      <c r="A1194" s="356"/>
      <c r="B1194" s="385"/>
      <c r="C1194" s="384" t="str">
        <f>'Phương án chi tiết'!C1093</f>
        <v>Đất chuyên trồng lúa nước (LUC)</v>
      </c>
      <c r="D1194" s="376" t="str">
        <f>'Phương án chi tiết'!D1094</f>
        <v>2</v>
      </c>
      <c r="E1194" s="376" t="str">
        <f>'Phương án chi tiết'!E1093</f>
        <v>110</v>
      </c>
      <c r="F1194" s="385"/>
      <c r="G1194" s="386" t="s">
        <v>935</v>
      </c>
      <c r="H1194" s="370"/>
      <c r="I1194" s="422">
        <f>'Phương án chi tiết'!I1093</f>
        <v>62.8</v>
      </c>
      <c r="J1194" s="368">
        <v>72000</v>
      </c>
      <c r="K1194" s="848">
        <v>3</v>
      </c>
      <c r="L1194" s="480">
        <f t="shared" ref="L1194:L1197" si="175">PRODUCT(I1194:K1194)</f>
        <v>13564800</v>
      </c>
      <c r="M1194" s="366"/>
      <c r="N1194" s="366"/>
      <c r="O1194" s="366"/>
      <c r="P1194" s="366"/>
      <c r="Q1194" s="812"/>
      <c r="R1194" s="1452"/>
      <c r="S1194" s="308"/>
      <c r="T1194" s="308"/>
      <c r="U1194" s="308"/>
      <c r="V1194" s="308"/>
      <c r="W1194" s="308"/>
      <c r="X1194" s="308"/>
      <c r="Y1194" s="308"/>
      <c r="Z1194" s="604"/>
      <c r="AA1194" s="308"/>
      <c r="AB1194" s="308"/>
      <c r="AC1194" s="373"/>
      <c r="AD1194" s="373"/>
      <c r="AE1194" s="373"/>
      <c r="AF1194" s="373"/>
      <c r="AG1194" s="373"/>
      <c r="AH1194" s="373"/>
      <c r="AI1194" s="373"/>
      <c r="AJ1194" s="373"/>
      <c r="AK1194" s="389"/>
      <c r="AL1194" s="45"/>
      <c r="AM1194" s="46"/>
      <c r="AN1194" s="46"/>
      <c r="AO1194" s="46"/>
      <c r="AP1194" s="46"/>
      <c r="AQ1194" s="46"/>
      <c r="AR1194" s="46"/>
      <c r="AS1194" s="47"/>
      <c r="AT1194" s="47"/>
      <c r="AU1194" s="47"/>
      <c r="AV1194" s="47"/>
      <c r="AW1194" s="47"/>
      <c r="AX1194" s="47"/>
      <c r="AY1194" s="47"/>
      <c r="AZ1194" s="47"/>
      <c r="BA1194" s="47"/>
      <c r="BB1194" s="47"/>
      <c r="BC1194" s="47"/>
      <c r="BD1194" s="47"/>
      <c r="BE1194" s="47"/>
      <c r="BF1194" s="47"/>
      <c r="BG1194" s="47"/>
      <c r="BH1194" s="47"/>
      <c r="BI1194" s="47"/>
      <c r="BJ1194" s="47"/>
      <c r="BK1194" s="47"/>
      <c r="BL1194" s="47"/>
      <c r="BM1194" s="47"/>
      <c r="BN1194" s="47"/>
      <c r="BO1194" s="47"/>
      <c r="BP1194" s="47"/>
      <c r="BQ1194" s="47"/>
      <c r="BR1194" s="47"/>
      <c r="BS1194" s="47"/>
      <c r="BT1194" s="47"/>
      <c r="BU1194" s="47"/>
      <c r="BV1194" s="47"/>
      <c r="BW1194" s="47"/>
      <c r="BX1194" s="47"/>
      <c r="BY1194" s="47"/>
      <c r="BZ1194" s="47"/>
      <c r="CA1194" s="47"/>
      <c r="CB1194" s="47"/>
      <c r="CC1194" s="47"/>
      <c r="CD1194" s="47"/>
      <c r="CE1194" s="47"/>
      <c r="CF1194" s="47"/>
      <c r="CG1194" s="47"/>
      <c r="CH1194" s="47"/>
      <c r="CI1194" s="47"/>
      <c r="CJ1194" s="47"/>
      <c r="CK1194" s="47"/>
      <c r="CL1194" s="47"/>
      <c r="CM1194" s="47"/>
      <c r="CN1194" s="47"/>
      <c r="CO1194" s="47"/>
      <c r="CP1194" s="47"/>
      <c r="CQ1194" s="47"/>
      <c r="CR1194" s="47"/>
      <c r="CS1194" s="47"/>
      <c r="CT1194" s="47"/>
      <c r="CU1194" s="47"/>
      <c r="CV1194" s="47"/>
      <c r="CW1194" s="47"/>
      <c r="CX1194" s="47"/>
      <c r="CY1194" s="47"/>
      <c r="CZ1194" s="47"/>
      <c r="DA1194" s="47"/>
      <c r="DB1194" s="47"/>
      <c r="DC1194" s="47"/>
      <c r="DD1194" s="47"/>
      <c r="DE1194" s="47"/>
      <c r="DF1194" s="47"/>
      <c r="DG1194" s="47"/>
      <c r="DH1194" s="47"/>
      <c r="DI1194" s="47"/>
      <c r="DJ1194" s="47"/>
      <c r="DK1194" s="47"/>
      <c r="DL1194" s="47"/>
      <c r="DM1194" s="47"/>
      <c r="DN1194" s="47"/>
      <c r="DO1194" s="47"/>
      <c r="DP1194" s="47"/>
      <c r="DQ1194" s="47"/>
      <c r="DR1194" s="47"/>
      <c r="DS1194" s="47"/>
      <c r="DT1194" s="47"/>
      <c r="DU1194" s="47"/>
      <c r="DV1194" s="47"/>
      <c r="DW1194" s="47"/>
      <c r="DX1194" s="47"/>
      <c r="DY1194" s="47"/>
      <c r="DZ1194" s="47"/>
      <c r="EA1194" s="47"/>
      <c r="EB1194" s="47"/>
      <c r="EC1194" s="47"/>
      <c r="ED1194" s="47"/>
      <c r="EE1194" s="47"/>
      <c r="EF1194" s="47"/>
      <c r="EG1194" s="47"/>
      <c r="EH1194" s="47"/>
      <c r="EI1194" s="47"/>
      <c r="EJ1194" s="47"/>
      <c r="EK1194" s="47"/>
      <c r="EL1194" s="47"/>
      <c r="EM1194" s="47"/>
      <c r="EN1194" s="47"/>
      <c r="EO1194" s="47"/>
      <c r="EP1194" s="47"/>
      <c r="EQ1194" s="47"/>
      <c r="ER1194" s="47"/>
      <c r="ES1194" s="47"/>
      <c r="ET1194" s="47"/>
      <c r="EU1194" s="47"/>
      <c r="EV1194" s="47"/>
      <c r="EW1194" s="47"/>
      <c r="EX1194" s="47"/>
      <c r="EY1194" s="47"/>
      <c r="EZ1194" s="47"/>
      <c r="FA1194" s="47"/>
      <c r="FB1194" s="47"/>
      <c r="FC1194" s="47"/>
      <c r="FD1194" s="47"/>
      <c r="FE1194" s="47"/>
      <c r="FF1194" s="47"/>
      <c r="FG1194" s="47"/>
      <c r="FH1194" s="47"/>
      <c r="FI1194" s="47"/>
      <c r="FJ1194" s="47"/>
      <c r="FK1194" s="47"/>
      <c r="FL1194" s="47"/>
      <c r="FM1194" s="47"/>
      <c r="FN1194" s="47"/>
      <c r="FO1194" s="47"/>
      <c r="FP1194" s="47"/>
      <c r="FQ1194" s="47"/>
      <c r="FR1194" s="47"/>
      <c r="FS1194" s="47"/>
      <c r="FT1194" s="47"/>
      <c r="FU1194" s="47"/>
      <c r="FV1194" s="47"/>
      <c r="FW1194" s="47"/>
      <c r="FX1194" s="47"/>
      <c r="FY1194" s="47"/>
      <c r="FZ1194" s="47"/>
      <c r="GA1194" s="47"/>
      <c r="GB1194" s="47"/>
      <c r="GC1194" s="47"/>
      <c r="GD1194" s="47"/>
      <c r="GE1194" s="47"/>
      <c r="GF1194" s="47"/>
      <c r="GG1194" s="47"/>
      <c r="GH1194" s="47"/>
      <c r="GI1194" s="47"/>
      <c r="GJ1194" s="47"/>
      <c r="GK1194" s="47"/>
      <c r="GL1194" s="47"/>
      <c r="GM1194" s="47"/>
      <c r="GN1194" s="47"/>
      <c r="GO1194" s="47"/>
      <c r="GP1194" s="47"/>
      <c r="GQ1194" s="47"/>
      <c r="GR1194" s="47"/>
      <c r="GS1194" s="47"/>
      <c r="GT1194" s="47"/>
      <c r="GU1194" s="47"/>
      <c r="GV1194" s="47"/>
      <c r="GW1194" s="47"/>
      <c r="GX1194" s="47"/>
      <c r="GY1194" s="47"/>
      <c r="GZ1194" s="47"/>
      <c r="HA1194" s="47"/>
      <c r="HB1194" s="47"/>
      <c r="HC1194" s="47"/>
      <c r="HD1194" s="47"/>
      <c r="HE1194" s="47"/>
      <c r="HF1194" s="47"/>
      <c r="HG1194" s="47"/>
      <c r="HH1194" s="47"/>
      <c r="HI1194" s="47"/>
      <c r="HJ1194" s="47"/>
      <c r="HK1194" s="47"/>
      <c r="HL1194" s="47"/>
      <c r="HM1194" s="47"/>
      <c r="HN1194" s="47"/>
      <c r="HO1194" s="47"/>
      <c r="HP1194" s="47"/>
      <c r="HQ1194" s="47"/>
      <c r="HR1194" s="47"/>
      <c r="HS1194" s="47"/>
      <c r="HT1194" s="47"/>
      <c r="HU1194" s="47"/>
      <c r="HV1194" s="47"/>
      <c r="HW1194" s="47"/>
      <c r="HX1194" s="47"/>
      <c r="HY1194" s="47"/>
      <c r="HZ1194" s="47"/>
      <c r="IA1194" s="47"/>
      <c r="IB1194" s="47"/>
      <c r="IC1194" s="47"/>
      <c r="ID1194" s="47"/>
      <c r="IE1194" s="47"/>
      <c r="IF1194" s="47"/>
      <c r="IG1194" s="47"/>
      <c r="IH1194" s="47"/>
      <c r="II1194" s="47"/>
      <c r="IJ1194" s="47"/>
      <c r="IK1194" s="47"/>
      <c r="IL1194" s="47"/>
      <c r="IM1194" s="47"/>
      <c r="IN1194" s="47"/>
      <c r="IO1194" s="47"/>
      <c r="IP1194" s="47"/>
      <c r="IQ1194" s="47"/>
      <c r="IR1194" s="47"/>
      <c r="IS1194" s="47"/>
      <c r="IT1194" s="47"/>
      <c r="IU1194" s="47"/>
      <c r="IV1194" s="47"/>
      <c r="IW1194" s="47"/>
      <c r="IX1194" s="47"/>
      <c r="IY1194" s="47"/>
      <c r="IZ1194" s="47"/>
      <c r="JA1194" s="47"/>
      <c r="JB1194" s="47"/>
      <c r="JC1194" s="47"/>
      <c r="JD1194" s="47"/>
      <c r="JE1194" s="47"/>
      <c r="JF1194" s="47"/>
      <c r="JG1194" s="47"/>
      <c r="JH1194" s="47"/>
      <c r="JI1194" s="47"/>
      <c r="JJ1194" s="47"/>
      <c r="JK1194" s="47"/>
      <c r="JL1194" s="47"/>
      <c r="JM1194" s="47"/>
      <c r="JN1194" s="47"/>
      <c r="JO1194" s="47"/>
      <c r="JP1194" s="47"/>
      <c r="JQ1194" s="47"/>
      <c r="JR1194" s="47"/>
      <c r="JS1194" s="47"/>
      <c r="JT1194" s="47"/>
      <c r="JU1194" s="47"/>
      <c r="JV1194" s="47"/>
      <c r="JW1194" s="47"/>
      <c r="JX1194" s="47"/>
      <c r="JY1194" s="47"/>
      <c r="JZ1194" s="47"/>
      <c r="KA1194" s="47"/>
      <c r="KB1194" s="47"/>
      <c r="KC1194" s="47"/>
      <c r="KD1194" s="47"/>
      <c r="KE1194" s="47"/>
      <c r="KF1194" s="47"/>
      <c r="KG1194" s="47"/>
      <c r="KH1194" s="47"/>
      <c r="KI1194" s="47"/>
      <c r="KJ1194" s="47"/>
      <c r="KK1194" s="47"/>
      <c r="KL1194" s="47"/>
      <c r="KM1194" s="47"/>
      <c r="KN1194" s="47"/>
      <c r="KO1194" s="47"/>
      <c r="KP1194" s="47"/>
      <c r="KQ1194" s="47"/>
      <c r="KR1194" s="47"/>
      <c r="KS1194" s="47"/>
      <c r="KT1194" s="47"/>
      <c r="KU1194" s="47"/>
      <c r="KV1194" s="47"/>
      <c r="KW1194" s="47"/>
      <c r="KX1194" s="47"/>
      <c r="KY1194" s="47"/>
      <c r="KZ1194" s="47"/>
      <c r="LA1194" s="47"/>
      <c r="LB1194" s="47"/>
      <c r="LC1194" s="47"/>
      <c r="LD1194" s="47"/>
      <c r="LE1194" s="47"/>
      <c r="LF1194" s="47"/>
      <c r="LG1194" s="47"/>
      <c r="LH1194" s="47"/>
      <c r="LI1194" s="47"/>
      <c r="LJ1194" s="47"/>
      <c r="LK1194" s="47"/>
      <c r="LL1194" s="47"/>
      <c r="LM1194" s="47"/>
      <c r="LN1194" s="47"/>
      <c r="LO1194" s="47"/>
      <c r="LP1194" s="47"/>
      <c r="LQ1194" s="47"/>
      <c r="LR1194" s="47"/>
      <c r="LS1194" s="47"/>
      <c r="LT1194" s="47"/>
      <c r="LU1194" s="47"/>
      <c r="LV1194" s="47"/>
      <c r="LW1194" s="47"/>
      <c r="LX1194" s="47"/>
      <c r="LY1194" s="47"/>
      <c r="LZ1194" s="47"/>
      <c r="MA1194" s="47"/>
      <c r="MB1194" s="47"/>
      <c r="MC1194" s="47"/>
      <c r="MD1194" s="47"/>
      <c r="ME1194" s="47"/>
      <c r="MF1194" s="47"/>
      <c r="MG1194" s="47"/>
      <c r="MH1194" s="47"/>
      <c r="MI1194" s="47"/>
      <c r="MJ1194" s="47"/>
      <c r="MK1194" s="47"/>
      <c r="ML1194" s="47"/>
      <c r="MM1194" s="47"/>
      <c r="MN1194" s="47"/>
      <c r="MO1194" s="47"/>
      <c r="MP1194" s="47"/>
      <c r="MQ1194" s="47"/>
      <c r="MR1194" s="47"/>
      <c r="MS1194" s="47"/>
      <c r="MT1194" s="47"/>
      <c r="MU1194" s="47"/>
      <c r="MV1194" s="47"/>
      <c r="MW1194" s="47"/>
      <c r="MX1194" s="47"/>
      <c r="MY1194" s="47"/>
      <c r="MZ1194" s="47"/>
      <c r="NA1194" s="47"/>
      <c r="NB1194" s="47"/>
      <c r="NC1194" s="47"/>
      <c r="ND1194" s="47"/>
      <c r="NE1194" s="47"/>
      <c r="NF1194" s="47"/>
      <c r="NG1194" s="47"/>
      <c r="NH1194" s="47"/>
      <c r="NI1194" s="47"/>
      <c r="NJ1194" s="47"/>
      <c r="NK1194" s="47"/>
      <c r="NL1194" s="47"/>
      <c r="NM1194" s="47"/>
      <c r="NN1194" s="47"/>
      <c r="NO1194" s="47"/>
      <c r="NP1194" s="47"/>
      <c r="NQ1194" s="47"/>
      <c r="NR1194" s="47"/>
      <c r="NS1194" s="47"/>
      <c r="NT1194" s="47"/>
      <c r="NU1194" s="47"/>
      <c r="NV1194" s="47"/>
      <c r="NW1194" s="47"/>
      <c r="NX1194" s="47"/>
      <c r="NY1194" s="47"/>
      <c r="NZ1194" s="47"/>
      <c r="OA1194" s="47"/>
      <c r="OB1194" s="47"/>
      <c r="OC1194" s="47"/>
      <c r="OD1194" s="47"/>
      <c r="OE1194" s="47"/>
      <c r="OF1194" s="47"/>
      <c r="OG1194" s="47"/>
      <c r="OH1194" s="47"/>
      <c r="OI1194" s="47"/>
      <c r="OJ1194" s="47"/>
      <c r="OK1194" s="47"/>
      <c r="OL1194" s="47"/>
      <c r="OM1194" s="47"/>
      <c r="ON1194" s="47"/>
      <c r="OO1194" s="47"/>
      <c r="OP1194" s="47"/>
      <c r="OQ1194" s="47"/>
      <c r="OR1194" s="47"/>
      <c r="OS1194" s="47"/>
      <c r="OT1194" s="47"/>
      <c r="OU1194" s="47"/>
      <c r="OV1194" s="47"/>
      <c r="OW1194" s="47"/>
      <c r="OX1194" s="47"/>
      <c r="OY1194" s="47"/>
      <c r="OZ1194" s="47"/>
      <c r="PA1194" s="47"/>
      <c r="PB1194" s="47"/>
      <c r="PC1194" s="47"/>
      <c r="PD1194" s="47"/>
      <c r="PE1194" s="47"/>
      <c r="PF1194" s="47"/>
      <c r="PG1194" s="47"/>
      <c r="PH1194" s="47"/>
      <c r="PI1194" s="47"/>
      <c r="PJ1194" s="47"/>
      <c r="PK1194" s="47"/>
      <c r="PL1194" s="47"/>
      <c r="PM1194" s="47"/>
      <c r="PN1194" s="47"/>
      <c r="PO1194" s="47"/>
      <c r="PP1194" s="47"/>
      <c r="PQ1194" s="47"/>
      <c r="PR1194" s="47"/>
      <c r="PS1194" s="47"/>
      <c r="PT1194" s="47"/>
      <c r="PU1194" s="47"/>
      <c r="PV1194" s="47"/>
      <c r="PW1194" s="47"/>
      <c r="PX1194" s="47"/>
      <c r="PY1194" s="47"/>
      <c r="PZ1194" s="47"/>
      <c r="QA1194" s="47"/>
      <c r="QB1194" s="47"/>
      <c r="QC1194" s="47"/>
      <c r="QD1194" s="47"/>
      <c r="QE1194" s="47"/>
      <c r="QF1194" s="47"/>
      <c r="QG1194" s="47"/>
      <c r="QH1194" s="47"/>
      <c r="QI1194" s="47"/>
      <c r="QJ1194" s="47"/>
      <c r="QK1194" s="47"/>
      <c r="QL1194" s="47"/>
      <c r="QM1194" s="47"/>
      <c r="QN1194" s="47"/>
      <c r="QO1194" s="47"/>
      <c r="QP1194" s="47"/>
      <c r="QQ1194" s="47"/>
      <c r="QR1194" s="47"/>
      <c r="QS1194" s="47"/>
      <c r="QT1194" s="47"/>
      <c r="QU1194" s="47"/>
      <c r="QV1194" s="47"/>
      <c r="QW1194" s="47"/>
      <c r="QX1194" s="47"/>
      <c r="QY1194" s="47"/>
      <c r="QZ1194" s="47"/>
      <c r="RA1194" s="47"/>
      <c r="RB1194" s="47"/>
      <c r="RC1194" s="47"/>
      <c r="RD1194" s="47"/>
      <c r="RE1194" s="47"/>
      <c r="RF1194" s="47"/>
      <c r="RG1194" s="47"/>
      <c r="RH1194" s="47"/>
      <c r="RI1194" s="47"/>
      <c r="RJ1194" s="47"/>
      <c r="RK1194" s="47"/>
      <c r="RL1194" s="47"/>
      <c r="RM1194" s="47"/>
      <c r="RN1194" s="47"/>
      <c r="RO1194" s="47"/>
      <c r="RP1194" s="47"/>
      <c r="RQ1194" s="47"/>
      <c r="RR1194" s="47"/>
      <c r="RS1194" s="47"/>
      <c r="RT1194" s="47"/>
      <c r="RU1194" s="47"/>
      <c r="RV1194" s="47"/>
      <c r="RW1194" s="47"/>
      <c r="RX1194" s="47"/>
      <c r="RY1194" s="47"/>
      <c r="RZ1194" s="47"/>
      <c r="SA1194" s="47"/>
      <c r="SB1194" s="47"/>
      <c r="SC1194" s="47"/>
      <c r="SD1194" s="47"/>
      <c r="SE1194" s="47"/>
      <c r="SF1194" s="47"/>
      <c r="SG1194" s="47"/>
      <c r="SH1194" s="47"/>
      <c r="SI1194" s="47"/>
      <c r="SJ1194" s="47"/>
      <c r="SK1194" s="47"/>
      <c r="SL1194" s="47"/>
      <c r="SM1194" s="47"/>
      <c r="SN1194" s="47"/>
      <c r="SO1194" s="47"/>
      <c r="SP1194" s="47"/>
      <c r="SQ1194" s="47"/>
      <c r="SR1194" s="47"/>
      <c r="SS1194" s="47"/>
      <c r="ST1194" s="47"/>
      <c r="SU1194" s="47"/>
      <c r="SV1194" s="47"/>
      <c r="SW1194" s="47"/>
      <c r="SX1194" s="47"/>
      <c r="SY1194" s="47"/>
      <c r="SZ1194" s="47"/>
      <c r="TA1194" s="47"/>
      <c r="TB1194" s="47"/>
      <c r="TC1194" s="47"/>
      <c r="TD1194" s="47"/>
      <c r="TE1194" s="47"/>
      <c r="TF1194" s="47"/>
      <c r="TG1194" s="47"/>
      <c r="TH1194" s="47"/>
      <c r="TI1194" s="47"/>
      <c r="TJ1194" s="47"/>
      <c r="TK1194" s="47"/>
      <c r="TL1194" s="47"/>
      <c r="TM1194" s="47"/>
      <c r="TN1194" s="47"/>
      <c r="TO1194" s="47"/>
      <c r="TP1194" s="47"/>
      <c r="TQ1194" s="47"/>
      <c r="TR1194" s="47"/>
      <c r="TS1194" s="47"/>
      <c r="TT1194" s="47"/>
      <c r="TU1194" s="47"/>
      <c r="TV1194" s="47"/>
      <c r="TW1194" s="47"/>
      <c r="TX1194" s="47"/>
      <c r="TY1194" s="47"/>
      <c r="TZ1194" s="47"/>
      <c r="UA1194" s="47"/>
      <c r="UB1194" s="47"/>
      <c r="UC1194" s="47"/>
      <c r="UD1194" s="47"/>
      <c r="UE1194" s="47"/>
      <c r="UF1194" s="47"/>
      <c r="UG1194" s="23"/>
    </row>
    <row r="1195" spans="1:553" ht="34.5" customHeight="1">
      <c r="A1195" s="356"/>
      <c r="B1195" s="385"/>
      <c r="C1195" s="384" t="str">
        <f>'Phương án chi tiết'!C1094</f>
        <v>Đất chuyên trồng lúa nước (LUC)</v>
      </c>
      <c r="D1195" s="376" t="str">
        <f>'Phương án chi tiết'!D1095</f>
        <v>2</v>
      </c>
      <c r="E1195" s="376" t="str">
        <f>'Phương án chi tiết'!E1094</f>
        <v>132</v>
      </c>
      <c r="F1195" s="385"/>
      <c r="G1195" s="386" t="s">
        <v>935</v>
      </c>
      <c r="H1195" s="370"/>
      <c r="I1195" s="422">
        <f>'Phương án chi tiết'!I1094</f>
        <v>98.2</v>
      </c>
      <c r="J1195" s="368">
        <v>72000</v>
      </c>
      <c r="K1195" s="848">
        <v>3</v>
      </c>
      <c r="L1195" s="480">
        <f t="shared" si="175"/>
        <v>21211200</v>
      </c>
      <c r="M1195" s="366"/>
      <c r="N1195" s="366"/>
      <c r="O1195" s="366"/>
      <c r="P1195" s="366"/>
      <c r="Q1195" s="812"/>
      <c r="R1195" s="1452"/>
      <c r="S1195" s="308"/>
      <c r="T1195" s="308"/>
      <c r="U1195" s="308"/>
      <c r="V1195" s="308"/>
      <c r="W1195" s="308"/>
      <c r="X1195" s="308"/>
      <c r="Y1195" s="308"/>
      <c r="Z1195" s="604"/>
      <c r="AA1195" s="308"/>
      <c r="AB1195" s="308"/>
      <c r="AC1195" s="373"/>
      <c r="AD1195" s="373"/>
      <c r="AE1195" s="373"/>
      <c r="AF1195" s="373"/>
      <c r="AG1195" s="373"/>
      <c r="AH1195" s="373"/>
      <c r="AI1195" s="373"/>
      <c r="AJ1195" s="373"/>
      <c r="AK1195" s="389"/>
      <c r="AL1195" s="45"/>
      <c r="AM1195" s="46"/>
      <c r="AN1195" s="46"/>
      <c r="AO1195" s="46"/>
      <c r="AP1195" s="46"/>
      <c r="AQ1195" s="46"/>
      <c r="AR1195" s="46"/>
      <c r="AS1195" s="47"/>
      <c r="AT1195" s="47"/>
      <c r="AU1195" s="47"/>
      <c r="AV1195" s="47"/>
      <c r="AW1195" s="47"/>
      <c r="AX1195" s="47"/>
      <c r="AY1195" s="47"/>
      <c r="AZ1195" s="47"/>
      <c r="BA1195" s="47"/>
      <c r="BB1195" s="47"/>
      <c r="BC1195" s="47"/>
      <c r="BD1195" s="47"/>
      <c r="BE1195" s="47"/>
      <c r="BF1195" s="47"/>
      <c r="BG1195" s="47"/>
      <c r="BH1195" s="47"/>
      <c r="BI1195" s="47"/>
      <c r="BJ1195" s="47"/>
      <c r="BK1195" s="47"/>
      <c r="BL1195" s="47"/>
      <c r="BM1195" s="47"/>
      <c r="BN1195" s="47"/>
      <c r="BO1195" s="47"/>
      <c r="BP1195" s="47"/>
      <c r="BQ1195" s="47"/>
      <c r="BR1195" s="47"/>
      <c r="BS1195" s="47"/>
      <c r="BT1195" s="47"/>
      <c r="BU1195" s="47"/>
      <c r="BV1195" s="47"/>
      <c r="BW1195" s="47"/>
      <c r="BX1195" s="47"/>
      <c r="BY1195" s="47"/>
      <c r="BZ1195" s="47"/>
      <c r="CA1195" s="47"/>
      <c r="CB1195" s="47"/>
      <c r="CC1195" s="47"/>
      <c r="CD1195" s="47"/>
      <c r="CE1195" s="47"/>
      <c r="CF1195" s="47"/>
      <c r="CG1195" s="47"/>
      <c r="CH1195" s="47"/>
      <c r="CI1195" s="47"/>
      <c r="CJ1195" s="47"/>
      <c r="CK1195" s="47"/>
      <c r="CL1195" s="47"/>
      <c r="CM1195" s="47"/>
      <c r="CN1195" s="47"/>
      <c r="CO1195" s="47"/>
      <c r="CP1195" s="47"/>
      <c r="CQ1195" s="47"/>
      <c r="CR1195" s="47"/>
      <c r="CS1195" s="47"/>
      <c r="CT1195" s="47"/>
      <c r="CU1195" s="47"/>
      <c r="CV1195" s="47"/>
      <c r="CW1195" s="47"/>
      <c r="CX1195" s="47"/>
      <c r="CY1195" s="47"/>
      <c r="CZ1195" s="47"/>
      <c r="DA1195" s="47"/>
      <c r="DB1195" s="47"/>
      <c r="DC1195" s="47"/>
      <c r="DD1195" s="47"/>
      <c r="DE1195" s="47"/>
      <c r="DF1195" s="47"/>
      <c r="DG1195" s="47"/>
      <c r="DH1195" s="47"/>
      <c r="DI1195" s="47"/>
      <c r="DJ1195" s="47"/>
      <c r="DK1195" s="47"/>
      <c r="DL1195" s="47"/>
      <c r="DM1195" s="47"/>
      <c r="DN1195" s="47"/>
      <c r="DO1195" s="47"/>
      <c r="DP1195" s="47"/>
      <c r="DQ1195" s="47"/>
      <c r="DR1195" s="47"/>
      <c r="DS1195" s="47"/>
      <c r="DT1195" s="47"/>
      <c r="DU1195" s="47"/>
      <c r="DV1195" s="47"/>
      <c r="DW1195" s="47"/>
      <c r="DX1195" s="47"/>
      <c r="DY1195" s="47"/>
      <c r="DZ1195" s="47"/>
      <c r="EA1195" s="47"/>
      <c r="EB1195" s="47"/>
      <c r="EC1195" s="47"/>
      <c r="ED1195" s="47"/>
      <c r="EE1195" s="47"/>
      <c r="EF1195" s="47"/>
      <c r="EG1195" s="47"/>
      <c r="EH1195" s="47"/>
      <c r="EI1195" s="47"/>
      <c r="EJ1195" s="47"/>
      <c r="EK1195" s="47"/>
      <c r="EL1195" s="47"/>
      <c r="EM1195" s="47"/>
      <c r="EN1195" s="47"/>
      <c r="EO1195" s="47"/>
      <c r="EP1195" s="47"/>
      <c r="EQ1195" s="47"/>
      <c r="ER1195" s="47"/>
      <c r="ES1195" s="47"/>
      <c r="ET1195" s="47"/>
      <c r="EU1195" s="47"/>
      <c r="EV1195" s="47"/>
      <c r="EW1195" s="47"/>
      <c r="EX1195" s="47"/>
      <c r="EY1195" s="47"/>
      <c r="EZ1195" s="47"/>
      <c r="FA1195" s="47"/>
      <c r="FB1195" s="47"/>
      <c r="FC1195" s="47"/>
      <c r="FD1195" s="47"/>
      <c r="FE1195" s="47"/>
      <c r="FF1195" s="47"/>
      <c r="FG1195" s="47"/>
      <c r="FH1195" s="47"/>
      <c r="FI1195" s="47"/>
      <c r="FJ1195" s="47"/>
      <c r="FK1195" s="47"/>
      <c r="FL1195" s="47"/>
      <c r="FM1195" s="47"/>
      <c r="FN1195" s="47"/>
      <c r="FO1195" s="47"/>
      <c r="FP1195" s="47"/>
      <c r="FQ1195" s="47"/>
      <c r="FR1195" s="47"/>
      <c r="FS1195" s="47"/>
      <c r="FT1195" s="47"/>
      <c r="FU1195" s="47"/>
      <c r="FV1195" s="47"/>
      <c r="FW1195" s="47"/>
      <c r="FX1195" s="47"/>
      <c r="FY1195" s="47"/>
      <c r="FZ1195" s="47"/>
      <c r="GA1195" s="47"/>
      <c r="GB1195" s="47"/>
      <c r="GC1195" s="47"/>
      <c r="GD1195" s="47"/>
      <c r="GE1195" s="47"/>
      <c r="GF1195" s="47"/>
      <c r="GG1195" s="47"/>
      <c r="GH1195" s="47"/>
      <c r="GI1195" s="47"/>
      <c r="GJ1195" s="47"/>
      <c r="GK1195" s="47"/>
      <c r="GL1195" s="47"/>
      <c r="GM1195" s="47"/>
      <c r="GN1195" s="47"/>
      <c r="GO1195" s="47"/>
      <c r="GP1195" s="47"/>
      <c r="GQ1195" s="47"/>
      <c r="GR1195" s="47"/>
      <c r="GS1195" s="47"/>
      <c r="GT1195" s="47"/>
      <c r="GU1195" s="47"/>
      <c r="GV1195" s="47"/>
      <c r="GW1195" s="47"/>
      <c r="GX1195" s="47"/>
      <c r="GY1195" s="47"/>
      <c r="GZ1195" s="47"/>
      <c r="HA1195" s="47"/>
      <c r="HB1195" s="47"/>
      <c r="HC1195" s="47"/>
      <c r="HD1195" s="47"/>
      <c r="HE1195" s="47"/>
      <c r="HF1195" s="47"/>
      <c r="HG1195" s="47"/>
      <c r="HH1195" s="47"/>
      <c r="HI1195" s="47"/>
      <c r="HJ1195" s="47"/>
      <c r="HK1195" s="47"/>
      <c r="HL1195" s="47"/>
      <c r="HM1195" s="47"/>
      <c r="HN1195" s="47"/>
      <c r="HO1195" s="47"/>
      <c r="HP1195" s="47"/>
      <c r="HQ1195" s="47"/>
      <c r="HR1195" s="47"/>
      <c r="HS1195" s="47"/>
      <c r="HT1195" s="47"/>
      <c r="HU1195" s="47"/>
      <c r="HV1195" s="47"/>
      <c r="HW1195" s="47"/>
      <c r="HX1195" s="47"/>
      <c r="HY1195" s="47"/>
      <c r="HZ1195" s="47"/>
      <c r="IA1195" s="47"/>
      <c r="IB1195" s="47"/>
      <c r="IC1195" s="47"/>
      <c r="ID1195" s="47"/>
      <c r="IE1195" s="47"/>
      <c r="IF1195" s="47"/>
      <c r="IG1195" s="47"/>
      <c r="IH1195" s="47"/>
      <c r="II1195" s="47"/>
      <c r="IJ1195" s="47"/>
      <c r="IK1195" s="47"/>
      <c r="IL1195" s="47"/>
      <c r="IM1195" s="47"/>
      <c r="IN1195" s="47"/>
      <c r="IO1195" s="47"/>
      <c r="IP1195" s="47"/>
      <c r="IQ1195" s="47"/>
      <c r="IR1195" s="47"/>
      <c r="IS1195" s="47"/>
      <c r="IT1195" s="47"/>
      <c r="IU1195" s="47"/>
      <c r="IV1195" s="47"/>
      <c r="IW1195" s="47"/>
      <c r="IX1195" s="47"/>
      <c r="IY1195" s="47"/>
      <c r="IZ1195" s="47"/>
      <c r="JA1195" s="47"/>
      <c r="JB1195" s="47"/>
      <c r="JC1195" s="47"/>
      <c r="JD1195" s="47"/>
      <c r="JE1195" s="47"/>
      <c r="JF1195" s="47"/>
      <c r="JG1195" s="47"/>
      <c r="JH1195" s="47"/>
      <c r="JI1195" s="47"/>
      <c r="JJ1195" s="47"/>
      <c r="JK1195" s="47"/>
      <c r="JL1195" s="47"/>
      <c r="JM1195" s="47"/>
      <c r="JN1195" s="47"/>
      <c r="JO1195" s="47"/>
      <c r="JP1195" s="47"/>
      <c r="JQ1195" s="47"/>
      <c r="JR1195" s="47"/>
      <c r="JS1195" s="47"/>
      <c r="JT1195" s="47"/>
      <c r="JU1195" s="47"/>
      <c r="JV1195" s="47"/>
      <c r="JW1195" s="47"/>
      <c r="JX1195" s="47"/>
      <c r="JY1195" s="47"/>
      <c r="JZ1195" s="47"/>
      <c r="KA1195" s="47"/>
      <c r="KB1195" s="47"/>
      <c r="KC1195" s="47"/>
      <c r="KD1195" s="47"/>
      <c r="KE1195" s="47"/>
      <c r="KF1195" s="47"/>
      <c r="KG1195" s="47"/>
      <c r="KH1195" s="47"/>
      <c r="KI1195" s="47"/>
      <c r="KJ1195" s="47"/>
      <c r="KK1195" s="47"/>
      <c r="KL1195" s="47"/>
      <c r="KM1195" s="47"/>
      <c r="KN1195" s="47"/>
      <c r="KO1195" s="47"/>
      <c r="KP1195" s="47"/>
      <c r="KQ1195" s="47"/>
      <c r="KR1195" s="47"/>
      <c r="KS1195" s="47"/>
      <c r="KT1195" s="47"/>
      <c r="KU1195" s="47"/>
      <c r="KV1195" s="47"/>
      <c r="KW1195" s="47"/>
      <c r="KX1195" s="47"/>
      <c r="KY1195" s="47"/>
      <c r="KZ1195" s="47"/>
      <c r="LA1195" s="47"/>
      <c r="LB1195" s="47"/>
      <c r="LC1195" s="47"/>
      <c r="LD1195" s="47"/>
      <c r="LE1195" s="47"/>
      <c r="LF1195" s="47"/>
      <c r="LG1195" s="47"/>
      <c r="LH1195" s="47"/>
      <c r="LI1195" s="47"/>
      <c r="LJ1195" s="47"/>
      <c r="LK1195" s="47"/>
      <c r="LL1195" s="47"/>
      <c r="LM1195" s="47"/>
      <c r="LN1195" s="47"/>
      <c r="LO1195" s="47"/>
      <c r="LP1195" s="47"/>
      <c r="LQ1195" s="47"/>
      <c r="LR1195" s="47"/>
      <c r="LS1195" s="47"/>
      <c r="LT1195" s="47"/>
      <c r="LU1195" s="47"/>
      <c r="LV1195" s="47"/>
      <c r="LW1195" s="47"/>
      <c r="LX1195" s="47"/>
      <c r="LY1195" s="47"/>
      <c r="LZ1195" s="47"/>
      <c r="MA1195" s="47"/>
      <c r="MB1195" s="47"/>
      <c r="MC1195" s="47"/>
      <c r="MD1195" s="47"/>
      <c r="ME1195" s="47"/>
      <c r="MF1195" s="47"/>
      <c r="MG1195" s="47"/>
      <c r="MH1195" s="47"/>
      <c r="MI1195" s="47"/>
      <c r="MJ1195" s="47"/>
      <c r="MK1195" s="47"/>
      <c r="ML1195" s="47"/>
      <c r="MM1195" s="47"/>
      <c r="MN1195" s="47"/>
      <c r="MO1195" s="47"/>
      <c r="MP1195" s="47"/>
      <c r="MQ1195" s="47"/>
      <c r="MR1195" s="47"/>
      <c r="MS1195" s="47"/>
      <c r="MT1195" s="47"/>
      <c r="MU1195" s="47"/>
      <c r="MV1195" s="47"/>
      <c r="MW1195" s="47"/>
      <c r="MX1195" s="47"/>
      <c r="MY1195" s="47"/>
      <c r="MZ1195" s="47"/>
      <c r="NA1195" s="47"/>
      <c r="NB1195" s="47"/>
      <c r="NC1195" s="47"/>
      <c r="ND1195" s="47"/>
      <c r="NE1195" s="47"/>
      <c r="NF1195" s="47"/>
      <c r="NG1195" s="47"/>
      <c r="NH1195" s="47"/>
      <c r="NI1195" s="47"/>
      <c r="NJ1195" s="47"/>
      <c r="NK1195" s="47"/>
      <c r="NL1195" s="47"/>
      <c r="NM1195" s="47"/>
      <c r="NN1195" s="47"/>
      <c r="NO1195" s="47"/>
      <c r="NP1195" s="47"/>
      <c r="NQ1195" s="47"/>
      <c r="NR1195" s="47"/>
      <c r="NS1195" s="47"/>
      <c r="NT1195" s="47"/>
      <c r="NU1195" s="47"/>
      <c r="NV1195" s="47"/>
      <c r="NW1195" s="47"/>
      <c r="NX1195" s="47"/>
      <c r="NY1195" s="47"/>
      <c r="NZ1195" s="47"/>
      <c r="OA1195" s="47"/>
      <c r="OB1195" s="47"/>
      <c r="OC1195" s="47"/>
      <c r="OD1195" s="47"/>
      <c r="OE1195" s="47"/>
      <c r="OF1195" s="47"/>
      <c r="OG1195" s="47"/>
      <c r="OH1195" s="47"/>
      <c r="OI1195" s="47"/>
      <c r="OJ1195" s="47"/>
      <c r="OK1195" s="47"/>
      <c r="OL1195" s="47"/>
      <c r="OM1195" s="47"/>
      <c r="ON1195" s="47"/>
      <c r="OO1195" s="47"/>
      <c r="OP1195" s="47"/>
      <c r="OQ1195" s="47"/>
      <c r="OR1195" s="47"/>
      <c r="OS1195" s="47"/>
      <c r="OT1195" s="47"/>
      <c r="OU1195" s="47"/>
      <c r="OV1195" s="47"/>
      <c r="OW1195" s="47"/>
      <c r="OX1195" s="47"/>
      <c r="OY1195" s="47"/>
      <c r="OZ1195" s="47"/>
      <c r="PA1195" s="47"/>
      <c r="PB1195" s="47"/>
      <c r="PC1195" s="47"/>
      <c r="PD1195" s="47"/>
      <c r="PE1195" s="47"/>
      <c r="PF1195" s="47"/>
      <c r="PG1195" s="47"/>
      <c r="PH1195" s="47"/>
      <c r="PI1195" s="47"/>
      <c r="PJ1195" s="47"/>
      <c r="PK1195" s="47"/>
      <c r="PL1195" s="47"/>
      <c r="PM1195" s="47"/>
      <c r="PN1195" s="47"/>
      <c r="PO1195" s="47"/>
      <c r="PP1195" s="47"/>
      <c r="PQ1195" s="47"/>
      <c r="PR1195" s="47"/>
      <c r="PS1195" s="47"/>
      <c r="PT1195" s="47"/>
      <c r="PU1195" s="47"/>
      <c r="PV1195" s="47"/>
      <c r="PW1195" s="47"/>
      <c r="PX1195" s="47"/>
      <c r="PY1195" s="47"/>
      <c r="PZ1195" s="47"/>
      <c r="QA1195" s="47"/>
      <c r="QB1195" s="47"/>
      <c r="QC1195" s="47"/>
      <c r="QD1195" s="47"/>
      <c r="QE1195" s="47"/>
      <c r="QF1195" s="47"/>
      <c r="QG1195" s="47"/>
      <c r="QH1195" s="47"/>
      <c r="QI1195" s="47"/>
      <c r="QJ1195" s="47"/>
      <c r="QK1195" s="47"/>
      <c r="QL1195" s="47"/>
      <c r="QM1195" s="47"/>
      <c r="QN1195" s="47"/>
      <c r="QO1195" s="47"/>
      <c r="QP1195" s="47"/>
      <c r="QQ1195" s="47"/>
      <c r="QR1195" s="47"/>
      <c r="QS1195" s="47"/>
      <c r="QT1195" s="47"/>
      <c r="QU1195" s="47"/>
      <c r="QV1195" s="47"/>
      <c r="QW1195" s="47"/>
      <c r="QX1195" s="47"/>
      <c r="QY1195" s="47"/>
      <c r="QZ1195" s="47"/>
      <c r="RA1195" s="47"/>
      <c r="RB1195" s="47"/>
      <c r="RC1195" s="47"/>
      <c r="RD1195" s="47"/>
      <c r="RE1195" s="47"/>
      <c r="RF1195" s="47"/>
      <c r="RG1195" s="47"/>
      <c r="RH1195" s="47"/>
      <c r="RI1195" s="47"/>
      <c r="RJ1195" s="47"/>
      <c r="RK1195" s="47"/>
      <c r="RL1195" s="47"/>
      <c r="RM1195" s="47"/>
      <c r="RN1195" s="47"/>
      <c r="RO1195" s="47"/>
      <c r="RP1195" s="47"/>
      <c r="RQ1195" s="47"/>
      <c r="RR1195" s="47"/>
      <c r="RS1195" s="47"/>
      <c r="RT1195" s="47"/>
      <c r="RU1195" s="47"/>
      <c r="RV1195" s="47"/>
      <c r="RW1195" s="47"/>
      <c r="RX1195" s="47"/>
      <c r="RY1195" s="47"/>
      <c r="RZ1195" s="47"/>
      <c r="SA1195" s="47"/>
      <c r="SB1195" s="47"/>
      <c r="SC1195" s="47"/>
      <c r="SD1195" s="47"/>
      <c r="SE1195" s="47"/>
      <c r="SF1195" s="47"/>
      <c r="SG1195" s="47"/>
      <c r="SH1195" s="47"/>
      <c r="SI1195" s="47"/>
      <c r="SJ1195" s="47"/>
      <c r="SK1195" s="47"/>
      <c r="SL1195" s="47"/>
      <c r="SM1195" s="47"/>
      <c r="SN1195" s="47"/>
      <c r="SO1195" s="47"/>
      <c r="SP1195" s="47"/>
      <c r="SQ1195" s="47"/>
      <c r="SR1195" s="47"/>
      <c r="SS1195" s="47"/>
      <c r="ST1195" s="47"/>
      <c r="SU1195" s="47"/>
      <c r="SV1195" s="47"/>
      <c r="SW1195" s="47"/>
      <c r="SX1195" s="47"/>
      <c r="SY1195" s="47"/>
      <c r="SZ1195" s="47"/>
      <c r="TA1195" s="47"/>
      <c r="TB1195" s="47"/>
      <c r="TC1195" s="47"/>
      <c r="TD1195" s="47"/>
      <c r="TE1195" s="47"/>
      <c r="TF1195" s="47"/>
      <c r="TG1195" s="47"/>
      <c r="TH1195" s="47"/>
      <c r="TI1195" s="47"/>
      <c r="TJ1195" s="47"/>
      <c r="TK1195" s="47"/>
      <c r="TL1195" s="47"/>
      <c r="TM1195" s="47"/>
      <c r="TN1195" s="47"/>
      <c r="TO1195" s="47"/>
      <c r="TP1195" s="47"/>
      <c r="TQ1195" s="47"/>
      <c r="TR1195" s="47"/>
      <c r="TS1195" s="47"/>
      <c r="TT1195" s="47"/>
      <c r="TU1195" s="47"/>
      <c r="TV1195" s="47"/>
      <c r="TW1195" s="47"/>
      <c r="TX1195" s="47"/>
      <c r="TY1195" s="47"/>
      <c r="TZ1195" s="47"/>
      <c r="UA1195" s="47"/>
      <c r="UB1195" s="47"/>
      <c r="UC1195" s="47"/>
      <c r="UD1195" s="47"/>
      <c r="UE1195" s="47"/>
      <c r="UF1195" s="47"/>
      <c r="UG1195" s="23"/>
    </row>
    <row r="1196" spans="1:553" ht="34.5" customHeight="1">
      <c r="A1196" s="356"/>
      <c r="B1196" s="385"/>
      <c r="C1196" s="384" t="str">
        <f>'Phương án chi tiết'!C1095</f>
        <v>Đất chuyên trồng lúa nước (LUC)</v>
      </c>
      <c r="D1196" s="376" t="str">
        <f>'Phương án chi tiết'!D1083</f>
        <v>2</v>
      </c>
      <c r="E1196" s="376" t="str">
        <f>'Phương án chi tiết'!E1095</f>
        <v>147</v>
      </c>
      <c r="F1196" s="385"/>
      <c r="G1196" s="386" t="s">
        <v>935</v>
      </c>
      <c r="H1196" s="370"/>
      <c r="I1196" s="422">
        <f>'Phương án chi tiết'!I1095</f>
        <v>61.4</v>
      </c>
      <c r="J1196" s="368">
        <v>72000</v>
      </c>
      <c r="K1196" s="848">
        <v>3</v>
      </c>
      <c r="L1196" s="480">
        <f t="shared" si="175"/>
        <v>13262400</v>
      </c>
      <c r="M1196" s="366"/>
      <c r="N1196" s="366"/>
      <c r="O1196" s="366"/>
      <c r="P1196" s="366"/>
      <c r="Q1196" s="812"/>
      <c r="R1196" s="1452"/>
      <c r="S1196" s="308"/>
      <c r="T1196" s="308"/>
      <c r="U1196" s="308"/>
      <c r="V1196" s="308"/>
      <c r="W1196" s="308"/>
      <c r="X1196" s="308"/>
      <c r="Y1196" s="308"/>
      <c r="Z1196" s="604"/>
      <c r="AA1196" s="308"/>
      <c r="AB1196" s="308"/>
      <c r="AC1196" s="373"/>
      <c r="AD1196" s="373"/>
      <c r="AE1196" s="373"/>
      <c r="AF1196" s="373"/>
      <c r="AG1196" s="373"/>
      <c r="AH1196" s="373"/>
      <c r="AI1196" s="373"/>
      <c r="AJ1196" s="373"/>
      <c r="AK1196" s="389"/>
      <c r="AL1196" s="45"/>
      <c r="AM1196" s="46"/>
      <c r="AN1196" s="46"/>
      <c r="AO1196" s="46"/>
      <c r="AP1196" s="46"/>
      <c r="AQ1196" s="46"/>
      <c r="AR1196" s="46"/>
      <c r="AS1196" s="47"/>
      <c r="AT1196" s="47"/>
      <c r="AU1196" s="47"/>
      <c r="AV1196" s="47"/>
      <c r="AW1196" s="47"/>
      <c r="AX1196" s="47"/>
      <c r="AY1196" s="47"/>
      <c r="AZ1196" s="47"/>
      <c r="BA1196" s="47"/>
      <c r="BB1196" s="47"/>
      <c r="BC1196" s="47"/>
      <c r="BD1196" s="47"/>
      <c r="BE1196" s="47"/>
      <c r="BF1196" s="47"/>
      <c r="BG1196" s="47"/>
      <c r="BH1196" s="47"/>
      <c r="BI1196" s="47"/>
      <c r="BJ1196" s="47"/>
      <c r="BK1196" s="47"/>
      <c r="BL1196" s="47"/>
      <c r="BM1196" s="47"/>
      <c r="BN1196" s="47"/>
      <c r="BO1196" s="47"/>
      <c r="BP1196" s="47"/>
      <c r="BQ1196" s="47"/>
      <c r="BR1196" s="47"/>
      <c r="BS1196" s="47"/>
      <c r="BT1196" s="47"/>
      <c r="BU1196" s="47"/>
      <c r="BV1196" s="47"/>
      <c r="BW1196" s="47"/>
      <c r="BX1196" s="47"/>
      <c r="BY1196" s="47"/>
      <c r="BZ1196" s="47"/>
      <c r="CA1196" s="47"/>
      <c r="CB1196" s="47"/>
      <c r="CC1196" s="47"/>
      <c r="CD1196" s="47"/>
      <c r="CE1196" s="47"/>
      <c r="CF1196" s="47"/>
      <c r="CG1196" s="47"/>
      <c r="CH1196" s="47"/>
      <c r="CI1196" s="47"/>
      <c r="CJ1196" s="47"/>
      <c r="CK1196" s="47"/>
      <c r="CL1196" s="47"/>
      <c r="CM1196" s="47"/>
      <c r="CN1196" s="47"/>
      <c r="CO1196" s="47"/>
      <c r="CP1196" s="47"/>
      <c r="CQ1196" s="47"/>
      <c r="CR1196" s="47"/>
      <c r="CS1196" s="47"/>
      <c r="CT1196" s="47"/>
      <c r="CU1196" s="47"/>
      <c r="CV1196" s="47"/>
      <c r="CW1196" s="47"/>
      <c r="CX1196" s="47"/>
      <c r="CY1196" s="47"/>
      <c r="CZ1196" s="47"/>
      <c r="DA1196" s="47"/>
      <c r="DB1196" s="47"/>
      <c r="DC1196" s="47"/>
      <c r="DD1196" s="47"/>
      <c r="DE1196" s="47"/>
      <c r="DF1196" s="47"/>
      <c r="DG1196" s="47"/>
      <c r="DH1196" s="47"/>
      <c r="DI1196" s="47"/>
      <c r="DJ1196" s="47"/>
      <c r="DK1196" s="47"/>
      <c r="DL1196" s="47"/>
      <c r="DM1196" s="47"/>
      <c r="DN1196" s="47"/>
      <c r="DO1196" s="47"/>
      <c r="DP1196" s="47"/>
      <c r="DQ1196" s="47"/>
      <c r="DR1196" s="47"/>
      <c r="DS1196" s="47"/>
      <c r="DT1196" s="47"/>
      <c r="DU1196" s="47"/>
      <c r="DV1196" s="47"/>
      <c r="DW1196" s="47"/>
      <c r="DX1196" s="47"/>
      <c r="DY1196" s="47"/>
      <c r="DZ1196" s="47"/>
      <c r="EA1196" s="47"/>
      <c r="EB1196" s="47"/>
      <c r="EC1196" s="47"/>
      <c r="ED1196" s="47"/>
      <c r="EE1196" s="47"/>
      <c r="EF1196" s="47"/>
      <c r="EG1196" s="47"/>
      <c r="EH1196" s="47"/>
      <c r="EI1196" s="47"/>
      <c r="EJ1196" s="47"/>
      <c r="EK1196" s="47"/>
      <c r="EL1196" s="47"/>
      <c r="EM1196" s="47"/>
      <c r="EN1196" s="47"/>
      <c r="EO1196" s="47"/>
      <c r="EP1196" s="47"/>
      <c r="EQ1196" s="47"/>
      <c r="ER1196" s="47"/>
      <c r="ES1196" s="47"/>
      <c r="ET1196" s="47"/>
      <c r="EU1196" s="47"/>
      <c r="EV1196" s="47"/>
      <c r="EW1196" s="47"/>
      <c r="EX1196" s="47"/>
      <c r="EY1196" s="47"/>
      <c r="EZ1196" s="47"/>
      <c r="FA1196" s="47"/>
      <c r="FB1196" s="47"/>
      <c r="FC1196" s="47"/>
      <c r="FD1196" s="47"/>
      <c r="FE1196" s="47"/>
      <c r="FF1196" s="47"/>
      <c r="FG1196" s="47"/>
      <c r="FH1196" s="47"/>
      <c r="FI1196" s="47"/>
      <c r="FJ1196" s="47"/>
      <c r="FK1196" s="47"/>
      <c r="FL1196" s="47"/>
      <c r="FM1196" s="47"/>
      <c r="FN1196" s="47"/>
      <c r="FO1196" s="47"/>
      <c r="FP1196" s="47"/>
      <c r="FQ1196" s="47"/>
      <c r="FR1196" s="47"/>
      <c r="FS1196" s="47"/>
      <c r="FT1196" s="47"/>
      <c r="FU1196" s="47"/>
      <c r="FV1196" s="47"/>
      <c r="FW1196" s="47"/>
      <c r="FX1196" s="47"/>
      <c r="FY1196" s="47"/>
      <c r="FZ1196" s="47"/>
      <c r="GA1196" s="47"/>
      <c r="GB1196" s="47"/>
      <c r="GC1196" s="47"/>
      <c r="GD1196" s="47"/>
      <c r="GE1196" s="47"/>
      <c r="GF1196" s="47"/>
      <c r="GG1196" s="47"/>
      <c r="GH1196" s="47"/>
      <c r="GI1196" s="47"/>
      <c r="GJ1196" s="47"/>
      <c r="GK1196" s="47"/>
      <c r="GL1196" s="47"/>
      <c r="GM1196" s="47"/>
      <c r="GN1196" s="47"/>
      <c r="GO1196" s="47"/>
      <c r="GP1196" s="47"/>
      <c r="GQ1196" s="47"/>
      <c r="GR1196" s="47"/>
      <c r="GS1196" s="47"/>
      <c r="GT1196" s="47"/>
      <c r="GU1196" s="47"/>
      <c r="GV1196" s="47"/>
      <c r="GW1196" s="47"/>
      <c r="GX1196" s="47"/>
      <c r="GY1196" s="47"/>
      <c r="GZ1196" s="47"/>
      <c r="HA1196" s="47"/>
      <c r="HB1196" s="47"/>
      <c r="HC1196" s="47"/>
      <c r="HD1196" s="47"/>
      <c r="HE1196" s="47"/>
      <c r="HF1196" s="47"/>
      <c r="HG1196" s="47"/>
      <c r="HH1196" s="47"/>
      <c r="HI1196" s="47"/>
      <c r="HJ1196" s="47"/>
      <c r="HK1196" s="47"/>
      <c r="HL1196" s="47"/>
      <c r="HM1196" s="47"/>
      <c r="HN1196" s="47"/>
      <c r="HO1196" s="47"/>
      <c r="HP1196" s="47"/>
      <c r="HQ1196" s="47"/>
      <c r="HR1196" s="47"/>
      <c r="HS1196" s="47"/>
      <c r="HT1196" s="47"/>
      <c r="HU1196" s="47"/>
      <c r="HV1196" s="47"/>
      <c r="HW1196" s="47"/>
      <c r="HX1196" s="47"/>
      <c r="HY1196" s="47"/>
      <c r="HZ1196" s="47"/>
      <c r="IA1196" s="47"/>
      <c r="IB1196" s="47"/>
      <c r="IC1196" s="47"/>
      <c r="ID1196" s="47"/>
      <c r="IE1196" s="47"/>
      <c r="IF1196" s="47"/>
      <c r="IG1196" s="47"/>
      <c r="IH1196" s="47"/>
      <c r="II1196" s="47"/>
      <c r="IJ1196" s="47"/>
      <c r="IK1196" s="47"/>
      <c r="IL1196" s="47"/>
      <c r="IM1196" s="47"/>
      <c r="IN1196" s="47"/>
      <c r="IO1196" s="47"/>
      <c r="IP1196" s="47"/>
      <c r="IQ1196" s="47"/>
      <c r="IR1196" s="47"/>
      <c r="IS1196" s="47"/>
      <c r="IT1196" s="47"/>
      <c r="IU1196" s="47"/>
      <c r="IV1196" s="47"/>
      <c r="IW1196" s="47"/>
      <c r="IX1196" s="47"/>
      <c r="IY1196" s="47"/>
      <c r="IZ1196" s="47"/>
      <c r="JA1196" s="47"/>
      <c r="JB1196" s="47"/>
      <c r="JC1196" s="47"/>
      <c r="JD1196" s="47"/>
      <c r="JE1196" s="47"/>
      <c r="JF1196" s="47"/>
      <c r="JG1196" s="47"/>
      <c r="JH1196" s="47"/>
      <c r="JI1196" s="47"/>
      <c r="JJ1196" s="47"/>
      <c r="JK1196" s="47"/>
      <c r="JL1196" s="47"/>
      <c r="JM1196" s="47"/>
      <c r="JN1196" s="47"/>
      <c r="JO1196" s="47"/>
      <c r="JP1196" s="47"/>
      <c r="JQ1196" s="47"/>
      <c r="JR1196" s="47"/>
      <c r="JS1196" s="47"/>
      <c r="JT1196" s="47"/>
      <c r="JU1196" s="47"/>
      <c r="JV1196" s="47"/>
      <c r="JW1196" s="47"/>
      <c r="JX1196" s="47"/>
      <c r="JY1196" s="47"/>
      <c r="JZ1196" s="47"/>
      <c r="KA1196" s="47"/>
      <c r="KB1196" s="47"/>
      <c r="KC1196" s="47"/>
      <c r="KD1196" s="47"/>
      <c r="KE1196" s="47"/>
      <c r="KF1196" s="47"/>
      <c r="KG1196" s="47"/>
      <c r="KH1196" s="47"/>
      <c r="KI1196" s="47"/>
      <c r="KJ1196" s="47"/>
      <c r="KK1196" s="47"/>
      <c r="KL1196" s="47"/>
      <c r="KM1196" s="47"/>
      <c r="KN1196" s="47"/>
      <c r="KO1196" s="47"/>
      <c r="KP1196" s="47"/>
      <c r="KQ1196" s="47"/>
      <c r="KR1196" s="47"/>
      <c r="KS1196" s="47"/>
      <c r="KT1196" s="47"/>
      <c r="KU1196" s="47"/>
      <c r="KV1196" s="47"/>
      <c r="KW1196" s="47"/>
      <c r="KX1196" s="47"/>
      <c r="KY1196" s="47"/>
      <c r="KZ1196" s="47"/>
      <c r="LA1196" s="47"/>
      <c r="LB1196" s="47"/>
      <c r="LC1196" s="47"/>
      <c r="LD1196" s="47"/>
      <c r="LE1196" s="47"/>
      <c r="LF1196" s="47"/>
      <c r="LG1196" s="47"/>
      <c r="LH1196" s="47"/>
      <c r="LI1196" s="47"/>
      <c r="LJ1196" s="47"/>
      <c r="LK1196" s="47"/>
      <c r="LL1196" s="47"/>
      <c r="LM1196" s="47"/>
      <c r="LN1196" s="47"/>
      <c r="LO1196" s="47"/>
      <c r="LP1196" s="47"/>
      <c r="LQ1196" s="47"/>
      <c r="LR1196" s="47"/>
      <c r="LS1196" s="47"/>
      <c r="LT1196" s="47"/>
      <c r="LU1196" s="47"/>
      <c r="LV1196" s="47"/>
      <c r="LW1196" s="47"/>
      <c r="LX1196" s="47"/>
      <c r="LY1196" s="47"/>
      <c r="LZ1196" s="47"/>
      <c r="MA1196" s="47"/>
      <c r="MB1196" s="47"/>
      <c r="MC1196" s="47"/>
      <c r="MD1196" s="47"/>
      <c r="ME1196" s="47"/>
      <c r="MF1196" s="47"/>
      <c r="MG1196" s="47"/>
      <c r="MH1196" s="47"/>
      <c r="MI1196" s="47"/>
      <c r="MJ1196" s="47"/>
      <c r="MK1196" s="47"/>
      <c r="ML1196" s="47"/>
      <c r="MM1196" s="47"/>
      <c r="MN1196" s="47"/>
      <c r="MO1196" s="47"/>
      <c r="MP1196" s="47"/>
      <c r="MQ1196" s="47"/>
      <c r="MR1196" s="47"/>
      <c r="MS1196" s="47"/>
      <c r="MT1196" s="47"/>
      <c r="MU1196" s="47"/>
      <c r="MV1196" s="47"/>
      <c r="MW1196" s="47"/>
      <c r="MX1196" s="47"/>
      <c r="MY1196" s="47"/>
      <c r="MZ1196" s="47"/>
      <c r="NA1196" s="47"/>
      <c r="NB1196" s="47"/>
      <c r="NC1196" s="47"/>
      <c r="ND1196" s="47"/>
      <c r="NE1196" s="47"/>
      <c r="NF1196" s="47"/>
      <c r="NG1196" s="47"/>
      <c r="NH1196" s="47"/>
      <c r="NI1196" s="47"/>
      <c r="NJ1196" s="47"/>
      <c r="NK1196" s="47"/>
      <c r="NL1196" s="47"/>
      <c r="NM1196" s="47"/>
      <c r="NN1196" s="47"/>
      <c r="NO1196" s="47"/>
      <c r="NP1196" s="47"/>
      <c r="NQ1196" s="47"/>
      <c r="NR1196" s="47"/>
      <c r="NS1196" s="47"/>
      <c r="NT1196" s="47"/>
      <c r="NU1196" s="47"/>
      <c r="NV1196" s="47"/>
      <c r="NW1196" s="47"/>
      <c r="NX1196" s="47"/>
      <c r="NY1196" s="47"/>
      <c r="NZ1196" s="47"/>
      <c r="OA1196" s="47"/>
      <c r="OB1196" s="47"/>
      <c r="OC1196" s="47"/>
      <c r="OD1196" s="47"/>
      <c r="OE1196" s="47"/>
      <c r="OF1196" s="47"/>
      <c r="OG1196" s="47"/>
      <c r="OH1196" s="47"/>
      <c r="OI1196" s="47"/>
      <c r="OJ1196" s="47"/>
      <c r="OK1196" s="47"/>
      <c r="OL1196" s="47"/>
      <c r="OM1196" s="47"/>
      <c r="ON1196" s="47"/>
      <c r="OO1196" s="47"/>
      <c r="OP1196" s="47"/>
      <c r="OQ1196" s="47"/>
      <c r="OR1196" s="47"/>
      <c r="OS1196" s="47"/>
      <c r="OT1196" s="47"/>
      <c r="OU1196" s="47"/>
      <c r="OV1196" s="47"/>
      <c r="OW1196" s="47"/>
      <c r="OX1196" s="47"/>
      <c r="OY1196" s="47"/>
      <c r="OZ1196" s="47"/>
      <c r="PA1196" s="47"/>
      <c r="PB1196" s="47"/>
      <c r="PC1196" s="47"/>
      <c r="PD1196" s="47"/>
      <c r="PE1196" s="47"/>
      <c r="PF1196" s="47"/>
      <c r="PG1196" s="47"/>
      <c r="PH1196" s="47"/>
      <c r="PI1196" s="47"/>
      <c r="PJ1196" s="47"/>
      <c r="PK1196" s="47"/>
      <c r="PL1196" s="47"/>
      <c r="PM1196" s="47"/>
      <c r="PN1196" s="47"/>
      <c r="PO1196" s="47"/>
      <c r="PP1196" s="47"/>
      <c r="PQ1196" s="47"/>
      <c r="PR1196" s="47"/>
      <c r="PS1196" s="47"/>
      <c r="PT1196" s="47"/>
      <c r="PU1196" s="47"/>
      <c r="PV1196" s="47"/>
      <c r="PW1196" s="47"/>
      <c r="PX1196" s="47"/>
      <c r="PY1196" s="47"/>
      <c r="PZ1196" s="47"/>
      <c r="QA1196" s="47"/>
      <c r="QB1196" s="47"/>
      <c r="QC1196" s="47"/>
      <c r="QD1196" s="47"/>
      <c r="QE1196" s="47"/>
      <c r="QF1196" s="47"/>
      <c r="QG1196" s="47"/>
      <c r="QH1196" s="47"/>
      <c r="QI1196" s="47"/>
      <c r="QJ1196" s="47"/>
      <c r="QK1196" s="47"/>
      <c r="QL1196" s="47"/>
      <c r="QM1196" s="47"/>
      <c r="QN1196" s="47"/>
      <c r="QO1196" s="47"/>
      <c r="QP1196" s="47"/>
      <c r="QQ1196" s="47"/>
      <c r="QR1196" s="47"/>
      <c r="QS1196" s="47"/>
      <c r="QT1196" s="47"/>
      <c r="QU1196" s="47"/>
      <c r="QV1196" s="47"/>
      <c r="QW1196" s="47"/>
      <c r="QX1196" s="47"/>
      <c r="QY1196" s="47"/>
      <c r="QZ1196" s="47"/>
      <c r="RA1196" s="47"/>
      <c r="RB1196" s="47"/>
      <c r="RC1196" s="47"/>
      <c r="RD1196" s="47"/>
      <c r="RE1196" s="47"/>
      <c r="RF1196" s="47"/>
      <c r="RG1196" s="47"/>
      <c r="RH1196" s="47"/>
      <c r="RI1196" s="47"/>
      <c r="RJ1196" s="47"/>
      <c r="RK1196" s="47"/>
      <c r="RL1196" s="47"/>
      <c r="RM1196" s="47"/>
      <c r="RN1196" s="47"/>
      <c r="RO1196" s="47"/>
      <c r="RP1196" s="47"/>
      <c r="RQ1196" s="47"/>
      <c r="RR1196" s="47"/>
      <c r="RS1196" s="47"/>
      <c r="RT1196" s="47"/>
      <c r="RU1196" s="47"/>
      <c r="RV1196" s="47"/>
      <c r="RW1196" s="47"/>
      <c r="RX1196" s="47"/>
      <c r="RY1196" s="47"/>
      <c r="RZ1196" s="47"/>
      <c r="SA1196" s="47"/>
      <c r="SB1196" s="47"/>
      <c r="SC1196" s="47"/>
      <c r="SD1196" s="47"/>
      <c r="SE1196" s="47"/>
      <c r="SF1196" s="47"/>
      <c r="SG1196" s="47"/>
      <c r="SH1196" s="47"/>
      <c r="SI1196" s="47"/>
      <c r="SJ1196" s="47"/>
      <c r="SK1196" s="47"/>
      <c r="SL1196" s="47"/>
      <c r="SM1196" s="47"/>
      <c r="SN1196" s="47"/>
      <c r="SO1196" s="47"/>
      <c r="SP1196" s="47"/>
      <c r="SQ1196" s="47"/>
      <c r="SR1196" s="47"/>
      <c r="SS1196" s="47"/>
      <c r="ST1196" s="47"/>
      <c r="SU1196" s="47"/>
      <c r="SV1196" s="47"/>
      <c r="SW1196" s="47"/>
      <c r="SX1196" s="47"/>
      <c r="SY1196" s="47"/>
      <c r="SZ1196" s="47"/>
      <c r="TA1196" s="47"/>
      <c r="TB1196" s="47"/>
      <c r="TC1196" s="47"/>
      <c r="TD1196" s="47"/>
      <c r="TE1196" s="47"/>
      <c r="TF1196" s="47"/>
      <c r="TG1196" s="47"/>
      <c r="TH1196" s="47"/>
      <c r="TI1196" s="47"/>
      <c r="TJ1196" s="47"/>
      <c r="TK1196" s="47"/>
      <c r="TL1196" s="47"/>
      <c r="TM1196" s="47"/>
      <c r="TN1196" s="47"/>
      <c r="TO1196" s="47"/>
      <c r="TP1196" s="47"/>
      <c r="TQ1196" s="47"/>
      <c r="TR1196" s="47"/>
      <c r="TS1196" s="47"/>
      <c r="TT1196" s="47"/>
      <c r="TU1196" s="47"/>
      <c r="TV1196" s="47"/>
      <c r="TW1196" s="47"/>
      <c r="TX1196" s="47"/>
      <c r="TY1196" s="47"/>
      <c r="TZ1196" s="47"/>
      <c r="UA1196" s="47"/>
      <c r="UB1196" s="47"/>
      <c r="UC1196" s="47"/>
      <c r="UD1196" s="47"/>
      <c r="UE1196" s="47"/>
      <c r="UF1196" s="47"/>
      <c r="UG1196" s="23"/>
    </row>
    <row r="1197" spans="1:553" ht="34.5" customHeight="1">
      <c r="A1197" s="356"/>
      <c r="B1197" s="385"/>
      <c r="C1197" s="384" t="str">
        <f>'Phương án chi tiết'!C1096</f>
        <v>Đất trồng cây lâu năm (CLN)</v>
      </c>
      <c r="D1197" s="376">
        <f>'Phương án chi tiết'!D1096</f>
        <v>2</v>
      </c>
      <c r="E1197" s="376">
        <f>'Phương án chi tiết'!E1096</f>
        <v>435</v>
      </c>
      <c r="F1197" s="385"/>
      <c r="G1197" s="386" t="s">
        <v>935</v>
      </c>
      <c r="H1197" s="370"/>
      <c r="I1197" s="422">
        <f>'Phương án chi tiết'!I1096</f>
        <v>88.5</v>
      </c>
      <c r="J1197" s="368">
        <v>62000</v>
      </c>
      <c r="K1197" s="848">
        <v>1</v>
      </c>
      <c r="L1197" s="480">
        <f t="shared" si="175"/>
        <v>5487000</v>
      </c>
      <c r="M1197" s="366"/>
      <c r="N1197" s="366"/>
      <c r="O1197" s="366"/>
      <c r="P1197" s="366"/>
      <c r="Q1197" s="812"/>
      <c r="R1197" s="1452"/>
      <c r="S1197" s="308"/>
      <c r="T1197" s="308"/>
      <c r="U1197" s="308"/>
      <c r="V1197" s="308"/>
      <c r="W1197" s="308"/>
      <c r="X1197" s="308"/>
      <c r="Y1197" s="308"/>
      <c r="Z1197" s="604"/>
      <c r="AA1197" s="308"/>
      <c r="AB1197" s="308"/>
      <c r="AC1197" s="373"/>
      <c r="AD1197" s="373"/>
      <c r="AE1197" s="373"/>
      <c r="AF1197" s="373"/>
      <c r="AG1197" s="373"/>
      <c r="AH1197" s="373"/>
      <c r="AI1197" s="373"/>
      <c r="AJ1197" s="373"/>
      <c r="AK1197" s="389"/>
      <c r="AL1197" s="45"/>
      <c r="AM1197" s="46"/>
      <c r="AN1197" s="46"/>
      <c r="AO1197" s="46"/>
      <c r="AP1197" s="46"/>
      <c r="AQ1197" s="46"/>
      <c r="AR1197" s="46"/>
      <c r="AS1197" s="47"/>
      <c r="AT1197" s="47"/>
      <c r="AU1197" s="47"/>
      <c r="AV1197" s="47"/>
      <c r="AW1197" s="47"/>
      <c r="AX1197" s="47"/>
      <c r="AY1197" s="47"/>
      <c r="AZ1197" s="47"/>
      <c r="BA1197" s="47"/>
      <c r="BB1197" s="47"/>
      <c r="BC1197" s="47"/>
      <c r="BD1197" s="47"/>
      <c r="BE1197" s="47"/>
      <c r="BF1197" s="47"/>
      <c r="BG1197" s="47"/>
      <c r="BH1197" s="47"/>
      <c r="BI1197" s="47"/>
      <c r="BJ1197" s="47"/>
      <c r="BK1197" s="47"/>
      <c r="BL1197" s="47"/>
      <c r="BM1197" s="47"/>
      <c r="BN1197" s="47"/>
      <c r="BO1197" s="47"/>
      <c r="BP1197" s="47"/>
      <c r="BQ1197" s="47"/>
      <c r="BR1197" s="47"/>
      <c r="BS1197" s="47"/>
      <c r="BT1197" s="47"/>
      <c r="BU1197" s="47"/>
      <c r="BV1197" s="47"/>
      <c r="BW1197" s="47"/>
      <c r="BX1197" s="47"/>
      <c r="BY1197" s="47"/>
      <c r="BZ1197" s="47"/>
      <c r="CA1197" s="47"/>
      <c r="CB1197" s="47"/>
      <c r="CC1197" s="47"/>
      <c r="CD1197" s="47"/>
      <c r="CE1197" s="47"/>
      <c r="CF1197" s="47"/>
      <c r="CG1197" s="47"/>
      <c r="CH1197" s="47"/>
      <c r="CI1197" s="47"/>
      <c r="CJ1197" s="47"/>
      <c r="CK1197" s="47"/>
      <c r="CL1197" s="47"/>
      <c r="CM1197" s="47"/>
      <c r="CN1197" s="47"/>
      <c r="CO1197" s="47"/>
      <c r="CP1197" s="47"/>
      <c r="CQ1197" s="47"/>
      <c r="CR1197" s="47"/>
      <c r="CS1197" s="47"/>
      <c r="CT1197" s="47"/>
      <c r="CU1197" s="47"/>
      <c r="CV1197" s="47"/>
      <c r="CW1197" s="47"/>
      <c r="CX1197" s="47"/>
      <c r="CY1197" s="47"/>
      <c r="CZ1197" s="47"/>
      <c r="DA1197" s="47"/>
      <c r="DB1197" s="47"/>
      <c r="DC1197" s="47"/>
      <c r="DD1197" s="47"/>
      <c r="DE1197" s="47"/>
      <c r="DF1197" s="47"/>
      <c r="DG1197" s="47"/>
      <c r="DH1197" s="47"/>
      <c r="DI1197" s="47"/>
      <c r="DJ1197" s="47"/>
      <c r="DK1197" s="47"/>
      <c r="DL1197" s="47"/>
      <c r="DM1197" s="47"/>
      <c r="DN1197" s="47"/>
      <c r="DO1197" s="47"/>
      <c r="DP1197" s="47"/>
      <c r="DQ1197" s="47"/>
      <c r="DR1197" s="47"/>
      <c r="DS1197" s="47"/>
      <c r="DT1197" s="47"/>
      <c r="DU1197" s="47"/>
      <c r="DV1197" s="47"/>
      <c r="DW1197" s="47"/>
      <c r="DX1197" s="47"/>
      <c r="DY1197" s="47"/>
      <c r="DZ1197" s="47"/>
      <c r="EA1197" s="47"/>
      <c r="EB1197" s="47"/>
      <c r="EC1197" s="47"/>
      <c r="ED1197" s="47"/>
      <c r="EE1197" s="47"/>
      <c r="EF1197" s="47"/>
      <c r="EG1197" s="47"/>
      <c r="EH1197" s="47"/>
      <c r="EI1197" s="47"/>
      <c r="EJ1197" s="47"/>
      <c r="EK1197" s="47"/>
      <c r="EL1197" s="47"/>
      <c r="EM1197" s="47"/>
      <c r="EN1197" s="47"/>
      <c r="EO1197" s="47"/>
      <c r="EP1197" s="47"/>
      <c r="EQ1197" s="47"/>
      <c r="ER1197" s="47"/>
      <c r="ES1197" s="47"/>
      <c r="ET1197" s="47"/>
      <c r="EU1197" s="47"/>
      <c r="EV1197" s="47"/>
      <c r="EW1197" s="47"/>
      <c r="EX1197" s="47"/>
      <c r="EY1197" s="47"/>
      <c r="EZ1197" s="47"/>
      <c r="FA1197" s="47"/>
      <c r="FB1197" s="47"/>
      <c r="FC1197" s="47"/>
      <c r="FD1197" s="47"/>
      <c r="FE1197" s="47"/>
      <c r="FF1197" s="47"/>
      <c r="FG1197" s="47"/>
      <c r="FH1197" s="47"/>
      <c r="FI1197" s="47"/>
      <c r="FJ1197" s="47"/>
      <c r="FK1197" s="47"/>
      <c r="FL1197" s="47"/>
      <c r="FM1197" s="47"/>
      <c r="FN1197" s="47"/>
      <c r="FO1197" s="47"/>
      <c r="FP1197" s="47"/>
      <c r="FQ1197" s="47"/>
      <c r="FR1197" s="47"/>
      <c r="FS1197" s="47"/>
      <c r="FT1197" s="47"/>
      <c r="FU1197" s="47"/>
      <c r="FV1197" s="47"/>
      <c r="FW1197" s="47"/>
      <c r="FX1197" s="47"/>
      <c r="FY1197" s="47"/>
      <c r="FZ1197" s="47"/>
      <c r="GA1197" s="47"/>
      <c r="GB1197" s="47"/>
      <c r="GC1197" s="47"/>
      <c r="GD1197" s="47"/>
      <c r="GE1197" s="47"/>
      <c r="GF1197" s="47"/>
      <c r="GG1197" s="47"/>
      <c r="GH1197" s="47"/>
      <c r="GI1197" s="47"/>
      <c r="GJ1197" s="47"/>
      <c r="GK1197" s="47"/>
      <c r="GL1197" s="47"/>
      <c r="GM1197" s="47"/>
      <c r="GN1197" s="47"/>
      <c r="GO1197" s="47"/>
      <c r="GP1197" s="47"/>
      <c r="GQ1197" s="47"/>
      <c r="GR1197" s="47"/>
      <c r="GS1197" s="47"/>
      <c r="GT1197" s="47"/>
      <c r="GU1197" s="47"/>
      <c r="GV1197" s="47"/>
      <c r="GW1197" s="47"/>
      <c r="GX1197" s="47"/>
      <c r="GY1197" s="47"/>
      <c r="GZ1197" s="47"/>
      <c r="HA1197" s="47"/>
      <c r="HB1197" s="47"/>
      <c r="HC1197" s="47"/>
      <c r="HD1197" s="47"/>
      <c r="HE1197" s="47"/>
      <c r="HF1197" s="47"/>
      <c r="HG1197" s="47"/>
      <c r="HH1197" s="47"/>
      <c r="HI1197" s="47"/>
      <c r="HJ1197" s="47"/>
      <c r="HK1197" s="47"/>
      <c r="HL1197" s="47"/>
      <c r="HM1197" s="47"/>
      <c r="HN1197" s="47"/>
      <c r="HO1197" s="47"/>
      <c r="HP1197" s="47"/>
      <c r="HQ1197" s="47"/>
      <c r="HR1197" s="47"/>
      <c r="HS1197" s="47"/>
      <c r="HT1197" s="47"/>
      <c r="HU1197" s="47"/>
      <c r="HV1197" s="47"/>
      <c r="HW1197" s="47"/>
      <c r="HX1197" s="47"/>
      <c r="HY1197" s="47"/>
      <c r="HZ1197" s="47"/>
      <c r="IA1197" s="47"/>
      <c r="IB1197" s="47"/>
      <c r="IC1197" s="47"/>
      <c r="ID1197" s="47"/>
      <c r="IE1197" s="47"/>
      <c r="IF1197" s="47"/>
      <c r="IG1197" s="47"/>
      <c r="IH1197" s="47"/>
      <c r="II1197" s="47"/>
      <c r="IJ1197" s="47"/>
      <c r="IK1197" s="47"/>
      <c r="IL1197" s="47"/>
      <c r="IM1197" s="47"/>
      <c r="IN1197" s="47"/>
      <c r="IO1197" s="47"/>
      <c r="IP1197" s="47"/>
      <c r="IQ1197" s="47"/>
      <c r="IR1197" s="47"/>
      <c r="IS1197" s="47"/>
      <c r="IT1197" s="47"/>
      <c r="IU1197" s="47"/>
      <c r="IV1197" s="47"/>
      <c r="IW1197" s="47"/>
      <c r="IX1197" s="47"/>
      <c r="IY1197" s="47"/>
      <c r="IZ1197" s="47"/>
      <c r="JA1197" s="47"/>
      <c r="JB1197" s="47"/>
      <c r="JC1197" s="47"/>
      <c r="JD1197" s="47"/>
      <c r="JE1197" s="47"/>
      <c r="JF1197" s="47"/>
      <c r="JG1197" s="47"/>
      <c r="JH1197" s="47"/>
      <c r="JI1197" s="47"/>
      <c r="JJ1197" s="47"/>
      <c r="JK1197" s="47"/>
      <c r="JL1197" s="47"/>
      <c r="JM1197" s="47"/>
      <c r="JN1197" s="47"/>
      <c r="JO1197" s="47"/>
      <c r="JP1197" s="47"/>
      <c r="JQ1197" s="47"/>
      <c r="JR1197" s="47"/>
      <c r="JS1197" s="47"/>
      <c r="JT1197" s="47"/>
      <c r="JU1197" s="47"/>
      <c r="JV1197" s="47"/>
      <c r="JW1197" s="47"/>
      <c r="JX1197" s="47"/>
      <c r="JY1197" s="47"/>
      <c r="JZ1197" s="47"/>
      <c r="KA1197" s="47"/>
      <c r="KB1197" s="47"/>
      <c r="KC1197" s="47"/>
      <c r="KD1197" s="47"/>
      <c r="KE1197" s="47"/>
      <c r="KF1197" s="47"/>
      <c r="KG1197" s="47"/>
      <c r="KH1197" s="47"/>
      <c r="KI1197" s="47"/>
      <c r="KJ1197" s="47"/>
      <c r="KK1197" s="47"/>
      <c r="KL1197" s="47"/>
      <c r="KM1197" s="47"/>
      <c r="KN1197" s="47"/>
      <c r="KO1197" s="47"/>
      <c r="KP1197" s="47"/>
      <c r="KQ1197" s="47"/>
      <c r="KR1197" s="47"/>
      <c r="KS1197" s="47"/>
      <c r="KT1197" s="47"/>
      <c r="KU1197" s="47"/>
      <c r="KV1197" s="47"/>
      <c r="KW1197" s="47"/>
      <c r="KX1197" s="47"/>
      <c r="KY1197" s="47"/>
      <c r="KZ1197" s="47"/>
      <c r="LA1197" s="47"/>
      <c r="LB1197" s="47"/>
      <c r="LC1197" s="47"/>
      <c r="LD1197" s="47"/>
      <c r="LE1197" s="47"/>
      <c r="LF1197" s="47"/>
      <c r="LG1197" s="47"/>
      <c r="LH1197" s="47"/>
      <c r="LI1197" s="47"/>
      <c r="LJ1197" s="47"/>
      <c r="LK1197" s="47"/>
      <c r="LL1197" s="47"/>
      <c r="LM1197" s="47"/>
      <c r="LN1197" s="47"/>
      <c r="LO1197" s="47"/>
      <c r="LP1197" s="47"/>
      <c r="LQ1197" s="47"/>
      <c r="LR1197" s="47"/>
      <c r="LS1197" s="47"/>
      <c r="LT1197" s="47"/>
      <c r="LU1197" s="47"/>
      <c r="LV1197" s="47"/>
      <c r="LW1197" s="47"/>
      <c r="LX1197" s="47"/>
      <c r="LY1197" s="47"/>
      <c r="LZ1197" s="47"/>
      <c r="MA1197" s="47"/>
      <c r="MB1197" s="47"/>
      <c r="MC1197" s="47"/>
      <c r="MD1197" s="47"/>
      <c r="ME1197" s="47"/>
      <c r="MF1197" s="47"/>
      <c r="MG1197" s="47"/>
      <c r="MH1197" s="47"/>
      <c r="MI1197" s="47"/>
      <c r="MJ1197" s="47"/>
      <c r="MK1197" s="47"/>
      <c r="ML1197" s="47"/>
      <c r="MM1197" s="47"/>
      <c r="MN1197" s="47"/>
      <c r="MO1197" s="47"/>
      <c r="MP1197" s="47"/>
      <c r="MQ1197" s="47"/>
      <c r="MR1197" s="47"/>
      <c r="MS1197" s="47"/>
      <c r="MT1197" s="47"/>
      <c r="MU1197" s="47"/>
      <c r="MV1197" s="47"/>
      <c r="MW1197" s="47"/>
      <c r="MX1197" s="47"/>
      <c r="MY1197" s="47"/>
      <c r="MZ1197" s="47"/>
      <c r="NA1197" s="47"/>
      <c r="NB1197" s="47"/>
      <c r="NC1197" s="47"/>
      <c r="ND1197" s="47"/>
      <c r="NE1197" s="47"/>
      <c r="NF1197" s="47"/>
      <c r="NG1197" s="47"/>
      <c r="NH1197" s="47"/>
      <c r="NI1197" s="47"/>
      <c r="NJ1197" s="47"/>
      <c r="NK1197" s="47"/>
      <c r="NL1197" s="47"/>
      <c r="NM1197" s="47"/>
      <c r="NN1197" s="47"/>
      <c r="NO1197" s="47"/>
      <c r="NP1197" s="47"/>
      <c r="NQ1197" s="47"/>
      <c r="NR1197" s="47"/>
      <c r="NS1197" s="47"/>
      <c r="NT1197" s="47"/>
      <c r="NU1197" s="47"/>
      <c r="NV1197" s="47"/>
      <c r="NW1197" s="47"/>
      <c r="NX1197" s="47"/>
      <c r="NY1197" s="47"/>
      <c r="NZ1197" s="47"/>
      <c r="OA1197" s="47"/>
      <c r="OB1197" s="47"/>
      <c r="OC1197" s="47"/>
      <c r="OD1197" s="47"/>
      <c r="OE1197" s="47"/>
      <c r="OF1197" s="47"/>
      <c r="OG1197" s="47"/>
      <c r="OH1197" s="47"/>
      <c r="OI1197" s="47"/>
      <c r="OJ1197" s="47"/>
      <c r="OK1197" s="47"/>
      <c r="OL1197" s="47"/>
      <c r="OM1197" s="47"/>
      <c r="ON1197" s="47"/>
      <c r="OO1197" s="47"/>
      <c r="OP1197" s="47"/>
      <c r="OQ1197" s="47"/>
      <c r="OR1197" s="47"/>
      <c r="OS1197" s="47"/>
      <c r="OT1197" s="47"/>
      <c r="OU1197" s="47"/>
      <c r="OV1197" s="47"/>
      <c r="OW1197" s="47"/>
      <c r="OX1197" s="47"/>
      <c r="OY1197" s="47"/>
      <c r="OZ1197" s="47"/>
      <c r="PA1197" s="47"/>
      <c r="PB1197" s="47"/>
      <c r="PC1197" s="47"/>
      <c r="PD1197" s="47"/>
      <c r="PE1197" s="47"/>
      <c r="PF1197" s="47"/>
      <c r="PG1197" s="47"/>
      <c r="PH1197" s="47"/>
      <c r="PI1197" s="47"/>
      <c r="PJ1197" s="47"/>
      <c r="PK1197" s="47"/>
      <c r="PL1197" s="47"/>
      <c r="PM1197" s="47"/>
      <c r="PN1197" s="47"/>
      <c r="PO1197" s="47"/>
      <c r="PP1197" s="47"/>
      <c r="PQ1197" s="47"/>
      <c r="PR1197" s="47"/>
      <c r="PS1197" s="47"/>
      <c r="PT1197" s="47"/>
      <c r="PU1197" s="47"/>
      <c r="PV1197" s="47"/>
      <c r="PW1197" s="47"/>
      <c r="PX1197" s="47"/>
      <c r="PY1197" s="47"/>
      <c r="PZ1197" s="47"/>
      <c r="QA1197" s="47"/>
      <c r="QB1197" s="47"/>
      <c r="QC1197" s="47"/>
      <c r="QD1197" s="47"/>
      <c r="QE1197" s="47"/>
      <c r="QF1197" s="47"/>
      <c r="QG1197" s="47"/>
      <c r="QH1197" s="47"/>
      <c r="QI1197" s="47"/>
      <c r="QJ1197" s="47"/>
      <c r="QK1197" s="47"/>
      <c r="QL1197" s="47"/>
      <c r="QM1197" s="47"/>
      <c r="QN1197" s="47"/>
      <c r="QO1197" s="47"/>
      <c r="QP1197" s="47"/>
      <c r="QQ1197" s="47"/>
      <c r="QR1197" s="47"/>
      <c r="QS1197" s="47"/>
      <c r="QT1197" s="47"/>
      <c r="QU1197" s="47"/>
      <c r="QV1197" s="47"/>
      <c r="QW1197" s="47"/>
      <c r="QX1197" s="47"/>
      <c r="QY1197" s="47"/>
      <c r="QZ1197" s="47"/>
      <c r="RA1197" s="47"/>
      <c r="RB1197" s="47"/>
      <c r="RC1197" s="47"/>
      <c r="RD1197" s="47"/>
      <c r="RE1197" s="47"/>
      <c r="RF1197" s="47"/>
      <c r="RG1197" s="47"/>
      <c r="RH1197" s="47"/>
      <c r="RI1197" s="47"/>
      <c r="RJ1197" s="47"/>
      <c r="RK1197" s="47"/>
      <c r="RL1197" s="47"/>
      <c r="RM1197" s="47"/>
      <c r="RN1197" s="47"/>
      <c r="RO1197" s="47"/>
      <c r="RP1197" s="47"/>
      <c r="RQ1197" s="47"/>
      <c r="RR1197" s="47"/>
      <c r="RS1197" s="47"/>
      <c r="RT1197" s="47"/>
      <c r="RU1197" s="47"/>
      <c r="RV1197" s="47"/>
      <c r="RW1197" s="47"/>
      <c r="RX1197" s="47"/>
      <c r="RY1197" s="47"/>
      <c r="RZ1197" s="47"/>
      <c r="SA1197" s="47"/>
      <c r="SB1197" s="47"/>
      <c r="SC1197" s="47"/>
      <c r="SD1197" s="47"/>
      <c r="SE1197" s="47"/>
      <c r="SF1197" s="47"/>
      <c r="SG1197" s="47"/>
      <c r="SH1197" s="47"/>
      <c r="SI1197" s="47"/>
      <c r="SJ1197" s="47"/>
      <c r="SK1197" s="47"/>
      <c r="SL1197" s="47"/>
      <c r="SM1197" s="47"/>
      <c r="SN1197" s="47"/>
      <c r="SO1197" s="47"/>
      <c r="SP1197" s="47"/>
      <c r="SQ1197" s="47"/>
      <c r="SR1197" s="47"/>
      <c r="SS1197" s="47"/>
      <c r="ST1197" s="47"/>
      <c r="SU1197" s="47"/>
      <c r="SV1197" s="47"/>
      <c r="SW1197" s="47"/>
      <c r="SX1197" s="47"/>
      <c r="SY1197" s="47"/>
      <c r="SZ1197" s="47"/>
      <c r="TA1197" s="47"/>
      <c r="TB1197" s="47"/>
      <c r="TC1197" s="47"/>
      <c r="TD1197" s="47"/>
      <c r="TE1197" s="47"/>
      <c r="TF1197" s="47"/>
      <c r="TG1197" s="47"/>
      <c r="TH1197" s="47"/>
      <c r="TI1197" s="47"/>
      <c r="TJ1197" s="47"/>
      <c r="TK1197" s="47"/>
      <c r="TL1197" s="47"/>
      <c r="TM1197" s="47"/>
      <c r="TN1197" s="47"/>
      <c r="TO1197" s="47"/>
      <c r="TP1197" s="47"/>
      <c r="TQ1197" s="47"/>
      <c r="TR1197" s="47"/>
      <c r="TS1197" s="47"/>
      <c r="TT1197" s="47"/>
      <c r="TU1197" s="47"/>
      <c r="TV1197" s="47"/>
      <c r="TW1197" s="47"/>
      <c r="TX1197" s="47"/>
      <c r="TY1197" s="47"/>
      <c r="TZ1197" s="47"/>
      <c r="UA1197" s="47"/>
      <c r="UB1197" s="47"/>
      <c r="UC1197" s="47"/>
      <c r="UD1197" s="47"/>
      <c r="UE1197" s="47"/>
      <c r="UF1197" s="47"/>
      <c r="UG1197" s="23"/>
    </row>
    <row r="1198" spans="1:553" ht="34.5" customHeight="1">
      <c r="A1198" s="356" t="s">
        <v>61</v>
      </c>
      <c r="B1198" s="777"/>
      <c r="C1198" s="536" t="s">
        <v>899</v>
      </c>
      <c r="D1198" s="1011"/>
      <c r="E1198" s="1011"/>
      <c r="F1198" s="469"/>
      <c r="G1198" s="566"/>
      <c r="H1198" s="499"/>
      <c r="I1198" s="420"/>
      <c r="J1198" s="985"/>
      <c r="K1198" s="778"/>
      <c r="L1198" s="779">
        <f>SUM(L1199:L1202)</f>
        <v>12192400</v>
      </c>
      <c r="M1198" s="402"/>
      <c r="N1198" s="366"/>
      <c r="O1198" s="366"/>
      <c r="P1198" s="356">
        <f>L1198</f>
        <v>12192400</v>
      </c>
      <c r="Q1198" s="812"/>
      <c r="R1198" s="1226"/>
      <c r="S1198" s="308"/>
      <c r="T1198" s="308"/>
      <c r="U1198" s="308"/>
      <c r="V1198" s="308"/>
      <c r="W1198" s="308"/>
      <c r="X1198" s="308"/>
      <c r="Y1198" s="308"/>
      <c r="Z1198" s="604"/>
      <c r="AA1198" s="308"/>
      <c r="AB1198" s="308"/>
      <c r="AC1198" s="449"/>
      <c r="AD1198" s="449"/>
      <c r="AE1198" s="449"/>
      <c r="AF1198" s="449"/>
      <c r="AG1198" s="449"/>
      <c r="AH1198" s="449"/>
      <c r="AI1198" s="449"/>
      <c r="AJ1198" s="449"/>
      <c r="AK1198" s="452"/>
      <c r="AL1198" s="104"/>
      <c r="AM1198" s="32"/>
      <c r="AN1198" s="32"/>
      <c r="AO1198" s="32"/>
      <c r="AP1198" s="32"/>
      <c r="AQ1198" s="32"/>
      <c r="AR1198" s="32"/>
      <c r="AS1198" s="31"/>
      <c r="AT1198" s="31"/>
      <c r="AU1198" s="31"/>
      <c r="AV1198" s="31"/>
      <c r="AW1198" s="31"/>
      <c r="AX1198" s="31"/>
      <c r="AY1198" s="31"/>
      <c r="AZ1198" s="31"/>
      <c r="BA1198" s="31"/>
      <c r="BB1198" s="31"/>
      <c r="BC1198" s="31"/>
      <c r="BD1198" s="31"/>
      <c r="BE1198" s="31"/>
      <c r="BF1198" s="31"/>
      <c r="BG1198" s="31"/>
      <c r="BH1198" s="31"/>
      <c r="BI1198" s="31"/>
      <c r="BJ1198" s="31"/>
      <c r="BK1198" s="31"/>
      <c r="BL1198" s="31"/>
      <c r="BM1198" s="31"/>
      <c r="BN1198" s="31"/>
      <c r="BO1198" s="31"/>
      <c r="BP1198" s="31"/>
      <c r="BQ1198" s="31"/>
      <c r="BR1198" s="31"/>
      <c r="BS1198" s="31"/>
      <c r="BT1198" s="31"/>
      <c r="BU1198" s="31"/>
      <c r="BV1198" s="31"/>
      <c r="BW1198" s="31"/>
      <c r="BX1198" s="31"/>
      <c r="BY1198" s="31"/>
      <c r="BZ1198" s="31"/>
      <c r="CA1198" s="31"/>
      <c r="CB1198" s="31"/>
      <c r="CC1198" s="31"/>
      <c r="CD1198" s="31"/>
      <c r="CE1198" s="31"/>
      <c r="CF1198" s="31"/>
      <c r="CG1198" s="31"/>
      <c r="CH1198" s="31"/>
      <c r="CI1198" s="31"/>
      <c r="CJ1198" s="31"/>
      <c r="CK1198" s="31"/>
      <c r="CL1198" s="31"/>
      <c r="CM1198" s="31"/>
      <c r="CN1198" s="31"/>
      <c r="CO1198" s="31"/>
      <c r="CP1198" s="31"/>
      <c r="CQ1198" s="31"/>
      <c r="CR1198" s="31"/>
      <c r="CS1198" s="31"/>
      <c r="CT1198" s="31"/>
      <c r="CU1198" s="31"/>
      <c r="CV1198" s="31"/>
      <c r="CW1198" s="31"/>
      <c r="CX1198" s="31"/>
      <c r="CY1198" s="31"/>
      <c r="CZ1198" s="31"/>
      <c r="DA1198" s="31"/>
      <c r="DB1198" s="31"/>
      <c r="DC1198" s="31"/>
      <c r="DD1198" s="31"/>
      <c r="DE1198" s="31"/>
      <c r="DF1198" s="31"/>
      <c r="DG1198" s="31"/>
      <c r="DH1198" s="31"/>
      <c r="DI1198" s="31"/>
      <c r="DJ1198" s="31"/>
      <c r="DK1198" s="31"/>
      <c r="DL1198" s="31"/>
      <c r="DM1198" s="31"/>
      <c r="DN1198" s="31"/>
      <c r="DO1198" s="31"/>
      <c r="DP1198" s="31"/>
      <c r="DQ1198" s="31"/>
      <c r="DR1198" s="31"/>
      <c r="DS1198" s="31"/>
      <c r="DT1198" s="31"/>
      <c r="DU1198" s="31"/>
      <c r="DV1198" s="31"/>
      <c r="DW1198" s="31"/>
      <c r="DX1198" s="31"/>
      <c r="DY1198" s="31"/>
      <c r="DZ1198" s="31"/>
      <c r="EA1198" s="31"/>
      <c r="EB1198" s="31"/>
      <c r="EC1198" s="31"/>
      <c r="ED1198" s="31"/>
      <c r="EE1198" s="31"/>
      <c r="EF1198" s="31"/>
      <c r="EG1198" s="31"/>
      <c r="EH1198" s="31"/>
      <c r="EI1198" s="31"/>
      <c r="EJ1198" s="31"/>
      <c r="EK1198" s="31"/>
      <c r="EL1198" s="31"/>
      <c r="EM1198" s="31"/>
      <c r="EN1198" s="31"/>
      <c r="EO1198" s="31"/>
      <c r="EP1198" s="31"/>
      <c r="EQ1198" s="31"/>
      <c r="ER1198" s="31"/>
      <c r="ES1198" s="31"/>
      <c r="ET1198" s="31"/>
      <c r="EU1198" s="31"/>
      <c r="EV1198" s="31"/>
      <c r="EW1198" s="31"/>
      <c r="EX1198" s="31"/>
      <c r="EY1198" s="31"/>
      <c r="EZ1198" s="31"/>
      <c r="FA1198" s="31"/>
      <c r="FB1198" s="31"/>
      <c r="FC1198" s="31"/>
      <c r="FD1198" s="31"/>
      <c r="FE1198" s="31"/>
      <c r="FF1198" s="31"/>
      <c r="FG1198" s="31"/>
      <c r="FH1198" s="31"/>
      <c r="FI1198" s="31"/>
      <c r="FJ1198" s="31"/>
      <c r="FK1198" s="31"/>
      <c r="FL1198" s="31"/>
      <c r="FM1198" s="31"/>
      <c r="FN1198" s="31"/>
      <c r="FO1198" s="31"/>
      <c r="FP1198" s="31"/>
      <c r="FQ1198" s="31"/>
      <c r="FR1198" s="31"/>
      <c r="FS1198" s="31"/>
      <c r="FT1198" s="31"/>
      <c r="FU1198" s="31"/>
      <c r="FV1198" s="31"/>
      <c r="FW1198" s="31"/>
      <c r="FX1198" s="31"/>
      <c r="FY1198" s="31"/>
      <c r="FZ1198" s="31"/>
      <c r="GA1198" s="31"/>
      <c r="GB1198" s="31"/>
      <c r="GC1198" s="31"/>
      <c r="GD1198" s="31"/>
      <c r="GE1198" s="31"/>
      <c r="GF1198" s="31"/>
      <c r="GG1198" s="31"/>
      <c r="GH1198" s="31"/>
      <c r="GI1198" s="31"/>
      <c r="GJ1198" s="31"/>
      <c r="GK1198" s="31"/>
      <c r="GL1198" s="31"/>
      <c r="GM1198" s="31"/>
      <c r="GN1198" s="31"/>
      <c r="GO1198" s="31"/>
      <c r="GP1198" s="31"/>
      <c r="GQ1198" s="31"/>
      <c r="GR1198" s="31"/>
      <c r="GS1198" s="31"/>
      <c r="GT1198" s="31"/>
      <c r="GU1198" s="31"/>
      <c r="GV1198" s="31"/>
      <c r="GW1198" s="31"/>
      <c r="GX1198" s="31"/>
      <c r="GY1198" s="31"/>
      <c r="GZ1198" s="31"/>
      <c r="HA1198" s="31"/>
      <c r="HB1198" s="31"/>
      <c r="HC1198" s="31"/>
      <c r="HD1198" s="31"/>
      <c r="HE1198" s="31"/>
      <c r="HF1198" s="31"/>
      <c r="HG1198" s="31"/>
      <c r="HH1198" s="31"/>
      <c r="HI1198" s="31"/>
      <c r="HJ1198" s="31"/>
      <c r="HK1198" s="31"/>
      <c r="HL1198" s="31"/>
      <c r="HM1198" s="31"/>
      <c r="HN1198" s="31"/>
      <c r="HO1198" s="31"/>
      <c r="HP1198" s="31"/>
      <c r="HQ1198" s="31"/>
      <c r="HR1198" s="31"/>
      <c r="HS1198" s="31"/>
      <c r="HT1198" s="31"/>
      <c r="HU1198" s="31"/>
      <c r="HV1198" s="31"/>
      <c r="HW1198" s="31"/>
      <c r="HX1198" s="31"/>
      <c r="HY1198" s="31"/>
      <c r="HZ1198" s="31"/>
      <c r="IA1198" s="31"/>
      <c r="IB1198" s="31"/>
      <c r="IC1198" s="31"/>
      <c r="ID1198" s="31"/>
      <c r="IE1198" s="31"/>
      <c r="IF1198" s="31"/>
      <c r="IG1198" s="31"/>
      <c r="IH1198" s="31"/>
      <c r="II1198" s="31"/>
      <c r="IJ1198" s="31"/>
      <c r="IK1198" s="31"/>
      <c r="IL1198" s="31"/>
      <c r="IM1198" s="31"/>
      <c r="IN1198" s="31"/>
      <c r="IO1198" s="31"/>
      <c r="IP1198" s="31"/>
      <c r="IQ1198" s="31"/>
      <c r="IR1198" s="31"/>
      <c r="IS1198" s="31"/>
      <c r="IT1198" s="31"/>
      <c r="IU1198" s="31"/>
      <c r="IV1198" s="31"/>
      <c r="IW1198" s="31"/>
      <c r="IX1198" s="31"/>
      <c r="IY1198" s="31"/>
      <c r="IZ1198" s="31"/>
      <c r="JA1198" s="31"/>
      <c r="JB1198" s="31"/>
      <c r="JC1198" s="31"/>
      <c r="JD1198" s="31"/>
      <c r="JE1198" s="31"/>
      <c r="JF1198" s="31"/>
      <c r="JG1198" s="31"/>
      <c r="JH1198" s="31"/>
      <c r="JI1198" s="31"/>
      <c r="JJ1198" s="31"/>
      <c r="JK1198" s="31"/>
      <c r="JL1198" s="31"/>
      <c r="JM1198" s="31"/>
      <c r="JN1198" s="31"/>
      <c r="JO1198" s="31"/>
      <c r="JP1198" s="31"/>
      <c r="JQ1198" s="31"/>
      <c r="JR1198" s="31"/>
      <c r="JS1198" s="31"/>
      <c r="JT1198" s="31"/>
      <c r="JU1198" s="31"/>
      <c r="JV1198" s="31"/>
      <c r="JW1198" s="31"/>
      <c r="JX1198" s="31"/>
      <c r="JY1198" s="31"/>
      <c r="JZ1198" s="31"/>
      <c r="KA1198" s="31"/>
      <c r="KB1198" s="31"/>
      <c r="KC1198" s="31"/>
      <c r="KD1198" s="31"/>
      <c r="KE1198" s="31"/>
      <c r="KF1198" s="31"/>
      <c r="KG1198" s="31"/>
      <c r="KH1198" s="31"/>
      <c r="KI1198" s="31"/>
      <c r="KJ1198" s="31"/>
      <c r="KK1198" s="31"/>
      <c r="KL1198" s="31"/>
      <c r="KM1198" s="31"/>
      <c r="KN1198" s="31"/>
      <c r="KO1198" s="31"/>
      <c r="KP1198" s="31"/>
      <c r="KQ1198" s="31"/>
      <c r="KR1198" s="31"/>
      <c r="KS1198" s="31"/>
      <c r="KT1198" s="31"/>
      <c r="KU1198" s="31"/>
      <c r="KV1198" s="31"/>
      <c r="KW1198" s="31"/>
      <c r="KX1198" s="31"/>
      <c r="KY1198" s="31"/>
      <c r="KZ1198" s="31"/>
      <c r="LA1198" s="31"/>
      <c r="LB1198" s="31"/>
      <c r="LC1198" s="31"/>
      <c r="LD1198" s="31"/>
      <c r="LE1198" s="31"/>
      <c r="LF1198" s="31"/>
      <c r="LG1198" s="31"/>
      <c r="LH1198" s="31"/>
      <c r="LI1198" s="31"/>
      <c r="LJ1198" s="31"/>
      <c r="LK1198" s="31"/>
      <c r="LL1198" s="31"/>
      <c r="LM1198" s="31"/>
      <c r="LN1198" s="31"/>
      <c r="LO1198" s="31"/>
      <c r="LP1198" s="31"/>
      <c r="LQ1198" s="31"/>
      <c r="LR1198" s="31"/>
      <c r="LS1198" s="31"/>
      <c r="LT1198" s="31"/>
      <c r="LU1198" s="31"/>
      <c r="LV1198" s="31"/>
      <c r="LW1198" s="31"/>
      <c r="LX1198" s="31"/>
      <c r="LY1198" s="31"/>
      <c r="LZ1198" s="31"/>
      <c r="MA1198" s="31"/>
      <c r="MB1198" s="31"/>
      <c r="MC1198" s="31"/>
      <c r="MD1198" s="31"/>
      <c r="ME1198" s="31"/>
      <c r="MF1198" s="31"/>
      <c r="MG1198" s="31"/>
      <c r="MH1198" s="31"/>
      <c r="MI1198" s="31"/>
      <c r="MJ1198" s="31"/>
      <c r="MK1198" s="31"/>
      <c r="ML1198" s="31"/>
      <c r="MM1198" s="31"/>
      <c r="MN1198" s="31"/>
      <c r="MO1198" s="31"/>
      <c r="MP1198" s="31"/>
      <c r="MQ1198" s="31"/>
      <c r="MR1198" s="31"/>
      <c r="MS1198" s="31"/>
      <c r="MT1198" s="31"/>
      <c r="MU1198" s="31"/>
      <c r="MV1198" s="31"/>
      <c r="MW1198" s="31"/>
      <c r="MX1198" s="31"/>
      <c r="MY1198" s="31"/>
      <c r="MZ1198" s="31"/>
      <c r="NA1198" s="31"/>
      <c r="NB1198" s="31"/>
      <c r="NC1198" s="31"/>
      <c r="ND1198" s="31"/>
      <c r="NE1198" s="31"/>
      <c r="NF1198" s="31"/>
      <c r="NG1198" s="31"/>
      <c r="NH1198" s="31"/>
      <c r="NI1198" s="31"/>
      <c r="NJ1198" s="31"/>
      <c r="NK1198" s="31"/>
      <c r="NL1198" s="31"/>
      <c r="NM1198" s="31"/>
      <c r="NN1198" s="31"/>
      <c r="NO1198" s="31"/>
      <c r="NP1198" s="31"/>
      <c r="NQ1198" s="31"/>
      <c r="NR1198" s="31"/>
      <c r="NS1198" s="31"/>
      <c r="NT1198" s="31"/>
      <c r="NU1198" s="31"/>
      <c r="NV1198" s="31"/>
      <c r="NW1198" s="31"/>
      <c r="NX1198" s="31"/>
      <c r="NY1198" s="31"/>
      <c r="NZ1198" s="31"/>
      <c r="OA1198" s="31"/>
      <c r="OB1198" s="31"/>
      <c r="OC1198" s="31"/>
      <c r="OD1198" s="31"/>
      <c r="OE1198" s="31"/>
      <c r="OF1198" s="31"/>
      <c r="OG1198" s="31"/>
      <c r="OH1198" s="31"/>
      <c r="OI1198" s="31"/>
      <c r="OJ1198" s="31"/>
      <c r="OK1198" s="31"/>
      <c r="OL1198" s="31"/>
      <c r="OM1198" s="31"/>
      <c r="ON1198" s="31"/>
      <c r="OO1198" s="31"/>
      <c r="OP1198" s="31"/>
      <c r="OQ1198" s="31"/>
      <c r="OR1198" s="31"/>
      <c r="OS1198" s="31"/>
      <c r="OT1198" s="31"/>
      <c r="OU1198" s="31"/>
      <c r="OV1198" s="31"/>
      <c r="OW1198" s="31"/>
      <c r="OX1198" s="31"/>
      <c r="OY1198" s="31"/>
      <c r="OZ1198" s="31"/>
      <c r="PA1198" s="31"/>
      <c r="PB1198" s="31"/>
      <c r="PC1198" s="31"/>
      <c r="PD1198" s="31"/>
      <c r="PE1198" s="31"/>
      <c r="PF1198" s="31"/>
      <c r="PG1198" s="31"/>
      <c r="PH1198" s="31"/>
      <c r="PI1198" s="31"/>
      <c r="PJ1198" s="31"/>
      <c r="PK1198" s="31"/>
      <c r="PL1198" s="31"/>
      <c r="PM1198" s="31"/>
      <c r="PN1198" s="31"/>
      <c r="PO1198" s="31"/>
      <c r="PP1198" s="31"/>
      <c r="PQ1198" s="31"/>
      <c r="PR1198" s="31"/>
      <c r="PS1198" s="31"/>
      <c r="PT1198" s="31"/>
      <c r="PU1198" s="31"/>
      <c r="PV1198" s="31"/>
      <c r="PW1198" s="31"/>
      <c r="PX1198" s="31"/>
      <c r="PY1198" s="31"/>
      <c r="PZ1198" s="31"/>
      <c r="QA1198" s="31"/>
      <c r="QB1198" s="31"/>
      <c r="QC1198" s="31"/>
      <c r="QD1198" s="31"/>
      <c r="QE1198" s="31"/>
      <c r="QF1198" s="31"/>
      <c r="QG1198" s="31"/>
      <c r="QH1198" s="31"/>
      <c r="QI1198" s="31"/>
      <c r="QJ1198" s="31"/>
      <c r="QK1198" s="31"/>
      <c r="QL1198" s="31"/>
      <c r="QM1198" s="31"/>
      <c r="QN1198" s="31"/>
      <c r="QO1198" s="31"/>
      <c r="QP1198" s="31"/>
      <c r="QQ1198" s="31"/>
      <c r="QR1198" s="31"/>
      <c r="QS1198" s="31"/>
      <c r="QT1198" s="31"/>
      <c r="QU1198" s="31"/>
      <c r="QV1198" s="31"/>
      <c r="QW1198" s="31"/>
      <c r="QX1198" s="31"/>
      <c r="QY1198" s="31"/>
      <c r="QZ1198" s="31"/>
      <c r="RA1198" s="31"/>
      <c r="RB1198" s="31"/>
      <c r="RC1198" s="31"/>
      <c r="RD1198" s="31"/>
      <c r="RE1198" s="31"/>
      <c r="RF1198" s="31"/>
      <c r="RG1198" s="31"/>
      <c r="RH1198" s="31"/>
      <c r="RI1198" s="31"/>
      <c r="RJ1198" s="31"/>
      <c r="RK1198" s="31"/>
      <c r="RL1198" s="31"/>
      <c r="RM1198" s="31"/>
      <c r="RN1198" s="31"/>
      <c r="RO1198" s="31"/>
      <c r="RP1198" s="31"/>
      <c r="RQ1198" s="31"/>
      <c r="RR1198" s="31"/>
      <c r="RS1198" s="31"/>
      <c r="RT1198" s="31"/>
      <c r="RU1198" s="31"/>
      <c r="RV1198" s="31"/>
      <c r="RW1198" s="31"/>
      <c r="RX1198" s="31"/>
      <c r="RY1198" s="31"/>
      <c r="RZ1198" s="31"/>
      <c r="SA1198" s="31"/>
      <c r="SB1198" s="31"/>
      <c r="SC1198" s="31"/>
      <c r="SD1198" s="31"/>
      <c r="SE1198" s="31"/>
      <c r="SF1198" s="31"/>
      <c r="SG1198" s="31"/>
      <c r="SH1198" s="31"/>
      <c r="SI1198" s="31"/>
      <c r="SJ1198" s="31"/>
      <c r="SK1198" s="31"/>
      <c r="SL1198" s="31"/>
      <c r="SM1198" s="31"/>
      <c r="SN1198" s="31"/>
      <c r="SO1198" s="31"/>
      <c r="SP1198" s="31"/>
      <c r="SQ1198" s="31"/>
      <c r="SR1198" s="31"/>
      <c r="SS1198" s="31"/>
      <c r="ST1198" s="31"/>
      <c r="SU1198" s="31"/>
      <c r="SV1198" s="31"/>
      <c r="SW1198" s="31"/>
      <c r="SX1198" s="31"/>
      <c r="SY1198" s="31"/>
      <c r="SZ1198" s="31"/>
      <c r="TA1198" s="31"/>
      <c r="TB1198" s="31"/>
      <c r="TC1198" s="31"/>
      <c r="TD1198" s="31"/>
      <c r="TE1198" s="31"/>
      <c r="TF1198" s="31"/>
      <c r="TG1198" s="31"/>
      <c r="TH1198" s="31"/>
      <c r="TI1198" s="31"/>
      <c r="TJ1198" s="31"/>
      <c r="TK1198" s="31"/>
      <c r="TL1198" s="31"/>
      <c r="TM1198" s="31"/>
      <c r="TN1198" s="31"/>
      <c r="TO1198" s="31"/>
      <c r="TP1198" s="31"/>
      <c r="TQ1198" s="31"/>
      <c r="TR1198" s="31"/>
      <c r="TS1198" s="31"/>
      <c r="TT1198" s="31"/>
      <c r="TU1198" s="31"/>
      <c r="TV1198" s="31"/>
      <c r="TW1198" s="31"/>
      <c r="TX1198" s="31"/>
      <c r="TY1198" s="31"/>
      <c r="TZ1198" s="31"/>
      <c r="UA1198" s="31"/>
      <c r="UB1198" s="31"/>
      <c r="UC1198" s="31"/>
      <c r="UD1198" s="31"/>
      <c r="UE1198" s="31"/>
      <c r="UF1198" s="31"/>
      <c r="UG1198" s="33"/>
    </row>
    <row r="1199" spans="1:553" ht="102.75" customHeight="1">
      <c r="A1199" s="835"/>
      <c r="B1199" s="1230"/>
      <c r="C1199" s="1227" t="s">
        <v>1020</v>
      </c>
      <c r="D1199" s="470" t="str">
        <f t="shared" ref="D1199:E1199" si="176">D1181</f>
        <v>2</v>
      </c>
      <c r="E1199" s="470" t="str">
        <f t="shared" si="176"/>
        <v>342</v>
      </c>
      <c r="F1199" s="1230"/>
      <c r="G1199" s="501" t="s">
        <v>935</v>
      </c>
      <c r="H1199" s="502"/>
      <c r="I1199" s="423">
        <f>I1181</f>
        <v>112.1</v>
      </c>
      <c r="J1199" s="993">
        <f>62000-55000</f>
        <v>7000</v>
      </c>
      <c r="K1199" s="435"/>
      <c r="L1199" s="679">
        <f t="shared" ref="L1199:L1201" si="177">I1199*J1199</f>
        <v>784700</v>
      </c>
      <c r="M1199" s="1226"/>
      <c r="N1199" s="762"/>
      <c r="O1199" s="366"/>
      <c r="P1199" s="366"/>
      <c r="Q1199" s="812"/>
      <c r="R1199" s="1226"/>
      <c r="S1199" s="308"/>
      <c r="T1199" s="308"/>
      <c r="U1199" s="308"/>
      <c r="V1199" s="308"/>
      <c r="W1199" s="308"/>
      <c r="X1199" s="308"/>
      <c r="Y1199" s="308"/>
      <c r="Z1199" s="604"/>
      <c r="AA1199" s="308"/>
      <c r="AB1199" s="308"/>
      <c r="AC1199" s="449"/>
      <c r="AD1199" s="449"/>
      <c r="AE1199" s="449"/>
      <c r="AF1199" s="449"/>
      <c r="AG1199" s="449"/>
      <c r="AH1199" s="449"/>
      <c r="AI1199" s="449"/>
      <c r="AJ1199" s="449"/>
      <c r="AK1199" s="452"/>
      <c r="AL1199" s="104"/>
      <c r="AM1199" s="32"/>
      <c r="AN1199" s="32"/>
      <c r="AO1199" s="32"/>
      <c r="AP1199" s="32"/>
      <c r="AQ1199" s="32"/>
      <c r="AR1199" s="32"/>
      <c r="AS1199" s="31"/>
      <c r="AT1199" s="31"/>
      <c r="AU1199" s="31"/>
      <c r="AV1199" s="31"/>
      <c r="AW1199" s="31"/>
      <c r="AX1199" s="31"/>
      <c r="AY1199" s="31"/>
      <c r="AZ1199" s="31"/>
      <c r="BA1199" s="31"/>
      <c r="BB1199" s="31"/>
      <c r="BC1199" s="31"/>
      <c r="BD1199" s="31"/>
      <c r="BE1199" s="31"/>
      <c r="BF1199" s="31"/>
      <c r="BG1199" s="31"/>
      <c r="BH1199" s="31"/>
      <c r="BI1199" s="31"/>
      <c r="BJ1199" s="31"/>
      <c r="BK1199" s="31"/>
      <c r="BL1199" s="31"/>
      <c r="BM1199" s="31"/>
      <c r="BN1199" s="31"/>
      <c r="BO1199" s="31"/>
      <c r="BP1199" s="31"/>
      <c r="BQ1199" s="31"/>
      <c r="BR1199" s="31"/>
      <c r="BS1199" s="31"/>
      <c r="BT1199" s="31"/>
      <c r="BU1199" s="31"/>
      <c r="BV1199" s="31"/>
      <c r="BW1199" s="31"/>
      <c r="BX1199" s="31"/>
      <c r="BY1199" s="31"/>
      <c r="BZ1199" s="31"/>
      <c r="CA1199" s="31"/>
      <c r="CB1199" s="31"/>
      <c r="CC1199" s="31"/>
      <c r="CD1199" s="31"/>
      <c r="CE1199" s="31"/>
      <c r="CF1199" s="31"/>
      <c r="CG1199" s="31"/>
      <c r="CH1199" s="31"/>
      <c r="CI1199" s="31"/>
      <c r="CJ1199" s="31"/>
      <c r="CK1199" s="31"/>
      <c r="CL1199" s="31"/>
      <c r="CM1199" s="31"/>
      <c r="CN1199" s="31"/>
      <c r="CO1199" s="31"/>
      <c r="CP1199" s="31"/>
      <c r="CQ1199" s="31"/>
      <c r="CR1199" s="31"/>
      <c r="CS1199" s="31"/>
      <c r="CT1199" s="31"/>
      <c r="CU1199" s="31"/>
      <c r="CV1199" s="31"/>
      <c r="CW1199" s="31"/>
      <c r="CX1199" s="31"/>
      <c r="CY1199" s="31"/>
      <c r="CZ1199" s="31"/>
      <c r="DA1199" s="31"/>
      <c r="DB1199" s="31"/>
      <c r="DC1199" s="31"/>
      <c r="DD1199" s="31"/>
      <c r="DE1199" s="31"/>
      <c r="DF1199" s="31"/>
      <c r="DG1199" s="31"/>
      <c r="DH1199" s="31"/>
      <c r="DI1199" s="31"/>
      <c r="DJ1199" s="31"/>
      <c r="DK1199" s="31"/>
      <c r="DL1199" s="31"/>
      <c r="DM1199" s="31"/>
      <c r="DN1199" s="31"/>
      <c r="DO1199" s="31"/>
      <c r="DP1199" s="31"/>
      <c r="DQ1199" s="31"/>
      <c r="DR1199" s="31"/>
      <c r="DS1199" s="31"/>
      <c r="DT1199" s="31"/>
      <c r="DU1199" s="31"/>
      <c r="DV1199" s="31"/>
      <c r="DW1199" s="31"/>
      <c r="DX1199" s="31"/>
      <c r="DY1199" s="31"/>
      <c r="DZ1199" s="31"/>
      <c r="EA1199" s="31"/>
      <c r="EB1199" s="31"/>
      <c r="EC1199" s="31"/>
      <c r="ED1199" s="31"/>
      <c r="EE1199" s="31"/>
      <c r="EF1199" s="31"/>
      <c r="EG1199" s="31"/>
      <c r="EH1199" s="31"/>
      <c r="EI1199" s="31"/>
      <c r="EJ1199" s="31"/>
      <c r="EK1199" s="31"/>
      <c r="EL1199" s="31"/>
      <c r="EM1199" s="31"/>
      <c r="EN1199" s="31"/>
      <c r="EO1199" s="31"/>
      <c r="EP1199" s="31"/>
      <c r="EQ1199" s="31"/>
      <c r="ER1199" s="31"/>
      <c r="ES1199" s="31"/>
      <c r="ET1199" s="31"/>
      <c r="EU1199" s="31"/>
      <c r="EV1199" s="31"/>
      <c r="EW1199" s="31"/>
      <c r="EX1199" s="31"/>
      <c r="EY1199" s="31"/>
      <c r="EZ1199" s="31"/>
      <c r="FA1199" s="31"/>
      <c r="FB1199" s="31"/>
      <c r="FC1199" s="31"/>
      <c r="FD1199" s="31"/>
      <c r="FE1199" s="31"/>
      <c r="FF1199" s="31"/>
      <c r="FG1199" s="31"/>
      <c r="FH1199" s="31"/>
      <c r="FI1199" s="31"/>
      <c r="FJ1199" s="31"/>
      <c r="FK1199" s="31"/>
      <c r="FL1199" s="31"/>
      <c r="FM1199" s="31"/>
      <c r="FN1199" s="31"/>
      <c r="FO1199" s="31"/>
      <c r="FP1199" s="31"/>
      <c r="FQ1199" s="31"/>
      <c r="FR1199" s="31"/>
      <c r="FS1199" s="31"/>
      <c r="FT1199" s="31"/>
      <c r="FU1199" s="31"/>
      <c r="FV1199" s="31"/>
      <c r="FW1199" s="31"/>
      <c r="FX1199" s="31"/>
      <c r="FY1199" s="31"/>
      <c r="FZ1199" s="31"/>
      <c r="GA1199" s="31"/>
      <c r="GB1199" s="31"/>
      <c r="GC1199" s="31"/>
      <c r="GD1199" s="31"/>
      <c r="GE1199" s="31"/>
      <c r="GF1199" s="31"/>
      <c r="GG1199" s="31"/>
      <c r="GH1199" s="31"/>
      <c r="GI1199" s="31"/>
      <c r="GJ1199" s="31"/>
      <c r="GK1199" s="31"/>
      <c r="GL1199" s="31"/>
      <c r="GM1199" s="31"/>
      <c r="GN1199" s="31"/>
      <c r="GO1199" s="31"/>
      <c r="GP1199" s="31"/>
      <c r="GQ1199" s="31"/>
      <c r="GR1199" s="31"/>
      <c r="GS1199" s="31"/>
      <c r="GT1199" s="31"/>
      <c r="GU1199" s="31"/>
      <c r="GV1199" s="31"/>
      <c r="GW1199" s="31"/>
      <c r="GX1199" s="31"/>
      <c r="GY1199" s="31"/>
      <c r="GZ1199" s="31"/>
      <c r="HA1199" s="31"/>
      <c r="HB1199" s="31"/>
      <c r="HC1199" s="31"/>
      <c r="HD1199" s="31"/>
      <c r="HE1199" s="31"/>
      <c r="HF1199" s="31"/>
      <c r="HG1199" s="31"/>
      <c r="HH1199" s="31"/>
      <c r="HI1199" s="31"/>
      <c r="HJ1199" s="31"/>
      <c r="HK1199" s="31"/>
      <c r="HL1199" s="31"/>
      <c r="HM1199" s="31"/>
      <c r="HN1199" s="31"/>
      <c r="HO1199" s="31"/>
      <c r="HP1199" s="31"/>
      <c r="HQ1199" s="31"/>
      <c r="HR1199" s="31"/>
      <c r="HS1199" s="31"/>
      <c r="HT1199" s="31"/>
      <c r="HU1199" s="31"/>
      <c r="HV1199" s="31"/>
      <c r="HW1199" s="31"/>
      <c r="HX1199" s="31"/>
      <c r="HY1199" s="31"/>
      <c r="HZ1199" s="31"/>
      <c r="IA1199" s="31"/>
      <c r="IB1199" s="31"/>
      <c r="IC1199" s="31"/>
      <c r="ID1199" s="31"/>
      <c r="IE1199" s="31"/>
      <c r="IF1199" s="31"/>
      <c r="IG1199" s="31"/>
      <c r="IH1199" s="31"/>
      <c r="II1199" s="31"/>
      <c r="IJ1199" s="31"/>
      <c r="IK1199" s="31"/>
      <c r="IL1199" s="31"/>
      <c r="IM1199" s="31"/>
      <c r="IN1199" s="31"/>
      <c r="IO1199" s="31"/>
      <c r="IP1199" s="31"/>
      <c r="IQ1199" s="31"/>
      <c r="IR1199" s="31"/>
      <c r="IS1199" s="31"/>
      <c r="IT1199" s="31"/>
      <c r="IU1199" s="31"/>
      <c r="IV1199" s="31"/>
      <c r="IW1199" s="31"/>
      <c r="IX1199" s="31"/>
      <c r="IY1199" s="31"/>
      <c r="IZ1199" s="31"/>
      <c r="JA1199" s="31"/>
      <c r="JB1199" s="31"/>
      <c r="JC1199" s="31"/>
      <c r="JD1199" s="31"/>
      <c r="JE1199" s="31"/>
      <c r="JF1199" s="31"/>
      <c r="JG1199" s="31"/>
      <c r="JH1199" s="31"/>
      <c r="JI1199" s="31"/>
      <c r="JJ1199" s="31"/>
      <c r="JK1199" s="31"/>
      <c r="JL1199" s="31"/>
      <c r="JM1199" s="31"/>
      <c r="JN1199" s="31"/>
      <c r="JO1199" s="31"/>
      <c r="JP1199" s="31"/>
      <c r="JQ1199" s="31"/>
      <c r="JR1199" s="31"/>
      <c r="JS1199" s="31"/>
      <c r="JT1199" s="31"/>
      <c r="JU1199" s="31"/>
      <c r="JV1199" s="31"/>
      <c r="JW1199" s="31"/>
      <c r="JX1199" s="31"/>
      <c r="JY1199" s="31"/>
      <c r="JZ1199" s="31"/>
      <c r="KA1199" s="31"/>
      <c r="KB1199" s="31"/>
      <c r="KC1199" s="31"/>
      <c r="KD1199" s="31"/>
      <c r="KE1199" s="31"/>
      <c r="KF1199" s="31"/>
      <c r="KG1199" s="31"/>
      <c r="KH1199" s="31"/>
      <c r="KI1199" s="31"/>
      <c r="KJ1199" s="31"/>
      <c r="KK1199" s="31"/>
      <c r="KL1199" s="31"/>
      <c r="KM1199" s="31"/>
      <c r="KN1199" s="31"/>
      <c r="KO1199" s="31"/>
      <c r="KP1199" s="31"/>
      <c r="KQ1199" s="31"/>
      <c r="KR1199" s="31"/>
      <c r="KS1199" s="31"/>
      <c r="KT1199" s="31"/>
      <c r="KU1199" s="31"/>
      <c r="KV1199" s="31"/>
      <c r="KW1199" s="31"/>
      <c r="KX1199" s="31"/>
      <c r="KY1199" s="31"/>
      <c r="KZ1199" s="31"/>
      <c r="LA1199" s="31"/>
      <c r="LB1199" s="31"/>
      <c r="LC1199" s="31"/>
      <c r="LD1199" s="31"/>
      <c r="LE1199" s="31"/>
      <c r="LF1199" s="31"/>
      <c r="LG1199" s="31"/>
      <c r="LH1199" s="31"/>
      <c r="LI1199" s="31"/>
      <c r="LJ1199" s="31"/>
      <c r="LK1199" s="31"/>
      <c r="LL1199" s="31"/>
      <c r="LM1199" s="31"/>
      <c r="LN1199" s="31"/>
      <c r="LO1199" s="31"/>
      <c r="LP1199" s="31"/>
      <c r="LQ1199" s="31"/>
      <c r="LR1199" s="31"/>
      <c r="LS1199" s="31"/>
      <c r="LT1199" s="31"/>
      <c r="LU1199" s="31"/>
      <c r="LV1199" s="31"/>
      <c r="LW1199" s="31"/>
      <c r="LX1199" s="31"/>
      <c r="LY1199" s="31"/>
      <c r="LZ1199" s="31"/>
      <c r="MA1199" s="31"/>
      <c r="MB1199" s="31"/>
      <c r="MC1199" s="31"/>
      <c r="MD1199" s="31"/>
      <c r="ME1199" s="31"/>
      <c r="MF1199" s="31"/>
      <c r="MG1199" s="31"/>
      <c r="MH1199" s="31"/>
      <c r="MI1199" s="31"/>
      <c r="MJ1199" s="31"/>
      <c r="MK1199" s="31"/>
      <c r="ML1199" s="31"/>
      <c r="MM1199" s="31"/>
      <c r="MN1199" s="31"/>
      <c r="MO1199" s="31"/>
      <c r="MP1199" s="31"/>
      <c r="MQ1199" s="31"/>
      <c r="MR1199" s="31"/>
      <c r="MS1199" s="31"/>
      <c r="MT1199" s="31"/>
      <c r="MU1199" s="31"/>
      <c r="MV1199" s="31"/>
      <c r="MW1199" s="31"/>
      <c r="MX1199" s="31"/>
      <c r="MY1199" s="31"/>
      <c r="MZ1199" s="31"/>
      <c r="NA1199" s="31"/>
      <c r="NB1199" s="31"/>
      <c r="NC1199" s="31"/>
      <c r="ND1199" s="31"/>
      <c r="NE1199" s="31"/>
      <c r="NF1199" s="31"/>
      <c r="NG1199" s="31"/>
      <c r="NH1199" s="31"/>
      <c r="NI1199" s="31"/>
      <c r="NJ1199" s="31"/>
      <c r="NK1199" s="31"/>
      <c r="NL1199" s="31"/>
      <c r="NM1199" s="31"/>
      <c r="NN1199" s="31"/>
      <c r="NO1199" s="31"/>
      <c r="NP1199" s="31"/>
      <c r="NQ1199" s="31"/>
      <c r="NR1199" s="31"/>
      <c r="NS1199" s="31"/>
      <c r="NT1199" s="31"/>
      <c r="NU1199" s="31"/>
      <c r="NV1199" s="31"/>
      <c r="NW1199" s="31"/>
      <c r="NX1199" s="31"/>
      <c r="NY1199" s="31"/>
      <c r="NZ1199" s="31"/>
      <c r="OA1199" s="31"/>
      <c r="OB1199" s="31"/>
      <c r="OC1199" s="31"/>
      <c r="OD1199" s="31"/>
      <c r="OE1199" s="31"/>
      <c r="OF1199" s="31"/>
      <c r="OG1199" s="31"/>
      <c r="OH1199" s="31"/>
      <c r="OI1199" s="31"/>
      <c r="OJ1199" s="31"/>
      <c r="OK1199" s="31"/>
      <c r="OL1199" s="31"/>
      <c r="OM1199" s="31"/>
      <c r="ON1199" s="31"/>
      <c r="OO1199" s="31"/>
      <c r="OP1199" s="31"/>
      <c r="OQ1199" s="31"/>
      <c r="OR1199" s="31"/>
      <c r="OS1199" s="31"/>
      <c r="OT1199" s="31"/>
      <c r="OU1199" s="31"/>
      <c r="OV1199" s="31"/>
      <c r="OW1199" s="31"/>
      <c r="OX1199" s="31"/>
      <c r="OY1199" s="31"/>
      <c r="OZ1199" s="31"/>
      <c r="PA1199" s="31"/>
      <c r="PB1199" s="31"/>
      <c r="PC1199" s="31"/>
      <c r="PD1199" s="31"/>
      <c r="PE1199" s="31"/>
      <c r="PF1199" s="31"/>
      <c r="PG1199" s="31"/>
      <c r="PH1199" s="31"/>
      <c r="PI1199" s="31"/>
      <c r="PJ1199" s="31"/>
      <c r="PK1199" s="31"/>
      <c r="PL1199" s="31"/>
      <c r="PM1199" s="31"/>
      <c r="PN1199" s="31"/>
      <c r="PO1199" s="31"/>
      <c r="PP1199" s="31"/>
      <c r="PQ1199" s="31"/>
      <c r="PR1199" s="31"/>
      <c r="PS1199" s="31"/>
      <c r="PT1199" s="31"/>
      <c r="PU1199" s="31"/>
      <c r="PV1199" s="31"/>
      <c r="PW1199" s="31"/>
      <c r="PX1199" s="31"/>
      <c r="PY1199" s="31"/>
      <c r="PZ1199" s="31"/>
      <c r="QA1199" s="31"/>
      <c r="QB1199" s="31"/>
      <c r="QC1199" s="31"/>
      <c r="QD1199" s="31"/>
      <c r="QE1199" s="31"/>
      <c r="QF1199" s="31"/>
      <c r="QG1199" s="31"/>
      <c r="QH1199" s="31"/>
      <c r="QI1199" s="31"/>
      <c r="QJ1199" s="31"/>
      <c r="QK1199" s="31"/>
      <c r="QL1199" s="31"/>
      <c r="QM1199" s="31"/>
      <c r="QN1199" s="31"/>
      <c r="QO1199" s="31"/>
      <c r="QP1199" s="31"/>
      <c r="QQ1199" s="31"/>
      <c r="QR1199" s="31"/>
      <c r="QS1199" s="31"/>
      <c r="QT1199" s="31"/>
      <c r="QU1199" s="31"/>
      <c r="QV1199" s="31"/>
      <c r="QW1199" s="31"/>
      <c r="QX1199" s="31"/>
      <c r="QY1199" s="31"/>
      <c r="QZ1199" s="31"/>
      <c r="RA1199" s="31"/>
      <c r="RB1199" s="31"/>
      <c r="RC1199" s="31"/>
      <c r="RD1199" s="31"/>
      <c r="RE1199" s="31"/>
      <c r="RF1199" s="31"/>
      <c r="RG1199" s="31"/>
      <c r="RH1199" s="31"/>
      <c r="RI1199" s="31"/>
      <c r="RJ1199" s="31"/>
      <c r="RK1199" s="31"/>
      <c r="RL1199" s="31"/>
      <c r="RM1199" s="31"/>
      <c r="RN1199" s="31"/>
      <c r="RO1199" s="31"/>
      <c r="RP1199" s="31"/>
      <c r="RQ1199" s="31"/>
      <c r="RR1199" s="31"/>
      <c r="RS1199" s="31"/>
      <c r="RT1199" s="31"/>
      <c r="RU1199" s="31"/>
      <c r="RV1199" s="31"/>
      <c r="RW1199" s="31"/>
      <c r="RX1199" s="31"/>
      <c r="RY1199" s="31"/>
      <c r="RZ1199" s="31"/>
      <c r="SA1199" s="31"/>
      <c r="SB1199" s="31"/>
      <c r="SC1199" s="31"/>
      <c r="SD1199" s="31"/>
      <c r="SE1199" s="31"/>
      <c r="SF1199" s="31"/>
      <c r="SG1199" s="31"/>
      <c r="SH1199" s="31"/>
      <c r="SI1199" s="31"/>
      <c r="SJ1199" s="31"/>
      <c r="SK1199" s="31"/>
      <c r="SL1199" s="31"/>
      <c r="SM1199" s="31"/>
      <c r="SN1199" s="31"/>
      <c r="SO1199" s="31"/>
      <c r="SP1199" s="31"/>
      <c r="SQ1199" s="31"/>
      <c r="SR1199" s="31"/>
      <c r="SS1199" s="31"/>
      <c r="ST1199" s="31"/>
      <c r="SU1199" s="31"/>
      <c r="SV1199" s="31"/>
      <c r="SW1199" s="31"/>
      <c r="SX1199" s="31"/>
      <c r="SY1199" s="31"/>
      <c r="SZ1199" s="31"/>
      <c r="TA1199" s="31"/>
      <c r="TB1199" s="31"/>
      <c r="TC1199" s="31"/>
      <c r="TD1199" s="31"/>
      <c r="TE1199" s="31"/>
      <c r="TF1199" s="31"/>
      <c r="TG1199" s="31"/>
      <c r="TH1199" s="31"/>
      <c r="TI1199" s="31"/>
      <c r="TJ1199" s="31"/>
      <c r="TK1199" s="31"/>
      <c r="TL1199" s="31"/>
      <c r="TM1199" s="31"/>
      <c r="TN1199" s="31"/>
      <c r="TO1199" s="31"/>
      <c r="TP1199" s="31"/>
      <c r="TQ1199" s="31"/>
      <c r="TR1199" s="31"/>
      <c r="TS1199" s="31"/>
      <c r="TT1199" s="31"/>
      <c r="TU1199" s="31"/>
      <c r="TV1199" s="31"/>
      <c r="TW1199" s="31"/>
      <c r="TX1199" s="31"/>
      <c r="TY1199" s="31"/>
      <c r="TZ1199" s="31"/>
      <c r="UA1199" s="31"/>
      <c r="UB1199" s="31"/>
      <c r="UC1199" s="31"/>
      <c r="UD1199" s="31"/>
      <c r="UE1199" s="31"/>
      <c r="UF1199" s="31"/>
      <c r="UG1199" s="33"/>
    </row>
    <row r="1200" spans="1:553" ht="102.75" customHeight="1">
      <c r="A1200" s="835"/>
      <c r="B1200" s="1230"/>
      <c r="C1200" s="1227" t="s">
        <v>1017</v>
      </c>
      <c r="D1200" s="470" t="str">
        <f t="shared" ref="D1200:E1200" si="178">D1199</f>
        <v>2</v>
      </c>
      <c r="E1200" s="470" t="str">
        <f t="shared" si="178"/>
        <v>342</v>
      </c>
      <c r="F1200" s="1230"/>
      <c r="G1200" s="501" t="s">
        <v>935</v>
      </c>
      <c r="H1200" s="502"/>
      <c r="I1200" s="423">
        <f>I1199</f>
        <v>112.1</v>
      </c>
      <c r="J1200" s="993">
        <f>(66000*2.5)-(62000*2.5)</f>
        <v>10000</v>
      </c>
      <c r="K1200" s="435"/>
      <c r="L1200" s="679">
        <f t="shared" si="177"/>
        <v>1121000</v>
      </c>
      <c r="M1200" s="1226"/>
      <c r="N1200" s="762"/>
      <c r="O1200" s="366"/>
      <c r="P1200" s="366"/>
      <c r="Q1200" s="812"/>
      <c r="R1200" s="1226"/>
      <c r="S1200" s="308"/>
      <c r="T1200" s="308"/>
      <c r="U1200" s="308"/>
      <c r="V1200" s="308"/>
      <c r="W1200" s="308"/>
      <c r="X1200" s="308"/>
      <c r="Y1200" s="308"/>
      <c r="Z1200" s="604"/>
      <c r="AA1200" s="308"/>
      <c r="AB1200" s="308"/>
      <c r="AC1200" s="449"/>
      <c r="AD1200" s="449"/>
      <c r="AE1200" s="449"/>
      <c r="AF1200" s="449"/>
      <c r="AG1200" s="449"/>
      <c r="AH1200" s="449"/>
      <c r="AI1200" s="449"/>
      <c r="AJ1200" s="449"/>
      <c r="AK1200" s="452"/>
      <c r="AL1200" s="104"/>
      <c r="AM1200" s="32"/>
      <c r="AN1200" s="32"/>
      <c r="AO1200" s="32"/>
      <c r="AP1200" s="32"/>
      <c r="AQ1200" s="32"/>
      <c r="AR1200" s="32"/>
      <c r="AS1200" s="31"/>
      <c r="AT1200" s="31"/>
      <c r="AU1200" s="31"/>
      <c r="AV1200" s="31"/>
      <c r="AW1200" s="31"/>
      <c r="AX1200" s="31"/>
      <c r="AY1200" s="31"/>
      <c r="AZ1200" s="31"/>
      <c r="BA1200" s="31"/>
      <c r="BB1200" s="31"/>
      <c r="BC1200" s="31"/>
      <c r="BD1200" s="31"/>
      <c r="BE1200" s="31"/>
      <c r="BF1200" s="31"/>
      <c r="BG1200" s="31"/>
      <c r="BH1200" s="31"/>
      <c r="BI1200" s="31"/>
      <c r="BJ1200" s="31"/>
      <c r="BK1200" s="31"/>
      <c r="BL1200" s="31"/>
      <c r="BM1200" s="31"/>
      <c r="BN1200" s="31"/>
      <c r="BO1200" s="31"/>
      <c r="BP1200" s="31"/>
      <c r="BQ1200" s="31"/>
      <c r="BR1200" s="31"/>
      <c r="BS1200" s="31"/>
      <c r="BT1200" s="31"/>
      <c r="BU1200" s="31"/>
      <c r="BV1200" s="31"/>
      <c r="BW1200" s="31"/>
      <c r="BX1200" s="31"/>
      <c r="BY1200" s="31"/>
      <c r="BZ1200" s="31"/>
      <c r="CA1200" s="31"/>
      <c r="CB1200" s="31"/>
      <c r="CC1200" s="31"/>
      <c r="CD1200" s="31"/>
      <c r="CE1200" s="31"/>
      <c r="CF1200" s="31"/>
      <c r="CG1200" s="31"/>
      <c r="CH1200" s="31"/>
      <c r="CI1200" s="31"/>
      <c r="CJ1200" s="31"/>
      <c r="CK1200" s="31"/>
      <c r="CL1200" s="31"/>
      <c r="CM1200" s="31"/>
      <c r="CN1200" s="31"/>
      <c r="CO1200" s="31"/>
      <c r="CP1200" s="31"/>
      <c r="CQ1200" s="31"/>
      <c r="CR1200" s="31"/>
      <c r="CS1200" s="31"/>
      <c r="CT1200" s="31"/>
      <c r="CU1200" s="31"/>
      <c r="CV1200" s="31"/>
      <c r="CW1200" s="31"/>
      <c r="CX1200" s="31"/>
      <c r="CY1200" s="31"/>
      <c r="CZ1200" s="31"/>
      <c r="DA1200" s="31"/>
      <c r="DB1200" s="31"/>
      <c r="DC1200" s="31"/>
      <c r="DD1200" s="31"/>
      <c r="DE1200" s="31"/>
      <c r="DF1200" s="31"/>
      <c r="DG1200" s="31"/>
      <c r="DH1200" s="31"/>
      <c r="DI1200" s="31"/>
      <c r="DJ1200" s="31"/>
      <c r="DK1200" s="31"/>
      <c r="DL1200" s="31"/>
      <c r="DM1200" s="31"/>
      <c r="DN1200" s="31"/>
      <c r="DO1200" s="31"/>
      <c r="DP1200" s="31"/>
      <c r="DQ1200" s="31"/>
      <c r="DR1200" s="31"/>
      <c r="DS1200" s="31"/>
      <c r="DT1200" s="31"/>
      <c r="DU1200" s="31"/>
      <c r="DV1200" s="31"/>
      <c r="DW1200" s="31"/>
      <c r="DX1200" s="31"/>
      <c r="DY1200" s="31"/>
      <c r="DZ1200" s="31"/>
      <c r="EA1200" s="31"/>
      <c r="EB1200" s="31"/>
      <c r="EC1200" s="31"/>
      <c r="ED1200" s="31"/>
      <c r="EE1200" s="31"/>
      <c r="EF1200" s="31"/>
      <c r="EG1200" s="31"/>
      <c r="EH1200" s="31"/>
      <c r="EI1200" s="31"/>
      <c r="EJ1200" s="31"/>
      <c r="EK1200" s="31"/>
      <c r="EL1200" s="31"/>
      <c r="EM1200" s="31"/>
      <c r="EN1200" s="31"/>
      <c r="EO1200" s="31"/>
      <c r="EP1200" s="31"/>
      <c r="EQ1200" s="31"/>
      <c r="ER1200" s="31"/>
      <c r="ES1200" s="31"/>
      <c r="ET1200" s="31"/>
      <c r="EU1200" s="31"/>
      <c r="EV1200" s="31"/>
      <c r="EW1200" s="31"/>
      <c r="EX1200" s="31"/>
      <c r="EY1200" s="31"/>
      <c r="EZ1200" s="31"/>
      <c r="FA1200" s="31"/>
      <c r="FB1200" s="31"/>
      <c r="FC1200" s="31"/>
      <c r="FD1200" s="31"/>
      <c r="FE1200" s="31"/>
      <c r="FF1200" s="31"/>
      <c r="FG1200" s="31"/>
      <c r="FH1200" s="31"/>
      <c r="FI1200" s="31"/>
      <c r="FJ1200" s="31"/>
      <c r="FK1200" s="31"/>
      <c r="FL1200" s="31"/>
      <c r="FM1200" s="31"/>
      <c r="FN1200" s="31"/>
      <c r="FO1200" s="31"/>
      <c r="FP1200" s="31"/>
      <c r="FQ1200" s="31"/>
      <c r="FR1200" s="31"/>
      <c r="FS1200" s="31"/>
      <c r="FT1200" s="31"/>
      <c r="FU1200" s="31"/>
      <c r="FV1200" s="31"/>
      <c r="FW1200" s="31"/>
      <c r="FX1200" s="31"/>
      <c r="FY1200" s="31"/>
      <c r="FZ1200" s="31"/>
      <c r="GA1200" s="31"/>
      <c r="GB1200" s="31"/>
      <c r="GC1200" s="31"/>
      <c r="GD1200" s="31"/>
      <c r="GE1200" s="31"/>
      <c r="GF1200" s="31"/>
      <c r="GG1200" s="31"/>
      <c r="GH1200" s="31"/>
      <c r="GI1200" s="31"/>
      <c r="GJ1200" s="31"/>
      <c r="GK1200" s="31"/>
      <c r="GL1200" s="31"/>
      <c r="GM1200" s="31"/>
      <c r="GN1200" s="31"/>
      <c r="GO1200" s="31"/>
      <c r="GP1200" s="31"/>
      <c r="GQ1200" s="31"/>
      <c r="GR1200" s="31"/>
      <c r="GS1200" s="31"/>
      <c r="GT1200" s="31"/>
      <c r="GU1200" s="31"/>
      <c r="GV1200" s="31"/>
      <c r="GW1200" s="31"/>
      <c r="GX1200" s="31"/>
      <c r="GY1200" s="31"/>
      <c r="GZ1200" s="31"/>
      <c r="HA1200" s="31"/>
      <c r="HB1200" s="31"/>
      <c r="HC1200" s="31"/>
      <c r="HD1200" s="31"/>
      <c r="HE1200" s="31"/>
      <c r="HF1200" s="31"/>
      <c r="HG1200" s="31"/>
      <c r="HH1200" s="31"/>
      <c r="HI1200" s="31"/>
      <c r="HJ1200" s="31"/>
      <c r="HK1200" s="31"/>
      <c r="HL1200" s="31"/>
      <c r="HM1200" s="31"/>
      <c r="HN1200" s="31"/>
      <c r="HO1200" s="31"/>
      <c r="HP1200" s="31"/>
      <c r="HQ1200" s="31"/>
      <c r="HR1200" s="31"/>
      <c r="HS1200" s="31"/>
      <c r="HT1200" s="31"/>
      <c r="HU1200" s="31"/>
      <c r="HV1200" s="31"/>
      <c r="HW1200" s="31"/>
      <c r="HX1200" s="31"/>
      <c r="HY1200" s="31"/>
      <c r="HZ1200" s="31"/>
      <c r="IA1200" s="31"/>
      <c r="IB1200" s="31"/>
      <c r="IC1200" s="31"/>
      <c r="ID1200" s="31"/>
      <c r="IE1200" s="31"/>
      <c r="IF1200" s="31"/>
      <c r="IG1200" s="31"/>
      <c r="IH1200" s="31"/>
      <c r="II1200" s="31"/>
      <c r="IJ1200" s="31"/>
      <c r="IK1200" s="31"/>
      <c r="IL1200" s="31"/>
      <c r="IM1200" s="31"/>
      <c r="IN1200" s="31"/>
      <c r="IO1200" s="31"/>
      <c r="IP1200" s="31"/>
      <c r="IQ1200" s="31"/>
      <c r="IR1200" s="31"/>
      <c r="IS1200" s="31"/>
      <c r="IT1200" s="31"/>
      <c r="IU1200" s="31"/>
      <c r="IV1200" s="31"/>
      <c r="IW1200" s="31"/>
      <c r="IX1200" s="31"/>
      <c r="IY1200" s="31"/>
      <c r="IZ1200" s="31"/>
      <c r="JA1200" s="31"/>
      <c r="JB1200" s="31"/>
      <c r="JC1200" s="31"/>
      <c r="JD1200" s="31"/>
      <c r="JE1200" s="31"/>
      <c r="JF1200" s="31"/>
      <c r="JG1200" s="31"/>
      <c r="JH1200" s="31"/>
      <c r="JI1200" s="31"/>
      <c r="JJ1200" s="31"/>
      <c r="JK1200" s="31"/>
      <c r="JL1200" s="31"/>
      <c r="JM1200" s="31"/>
      <c r="JN1200" s="31"/>
      <c r="JO1200" s="31"/>
      <c r="JP1200" s="31"/>
      <c r="JQ1200" s="31"/>
      <c r="JR1200" s="31"/>
      <c r="JS1200" s="31"/>
      <c r="JT1200" s="31"/>
      <c r="JU1200" s="31"/>
      <c r="JV1200" s="31"/>
      <c r="JW1200" s="31"/>
      <c r="JX1200" s="31"/>
      <c r="JY1200" s="31"/>
      <c r="JZ1200" s="31"/>
      <c r="KA1200" s="31"/>
      <c r="KB1200" s="31"/>
      <c r="KC1200" s="31"/>
      <c r="KD1200" s="31"/>
      <c r="KE1200" s="31"/>
      <c r="KF1200" s="31"/>
      <c r="KG1200" s="31"/>
      <c r="KH1200" s="31"/>
      <c r="KI1200" s="31"/>
      <c r="KJ1200" s="31"/>
      <c r="KK1200" s="31"/>
      <c r="KL1200" s="31"/>
      <c r="KM1200" s="31"/>
      <c r="KN1200" s="31"/>
      <c r="KO1200" s="31"/>
      <c r="KP1200" s="31"/>
      <c r="KQ1200" s="31"/>
      <c r="KR1200" s="31"/>
      <c r="KS1200" s="31"/>
      <c r="KT1200" s="31"/>
      <c r="KU1200" s="31"/>
      <c r="KV1200" s="31"/>
      <c r="KW1200" s="31"/>
      <c r="KX1200" s="31"/>
      <c r="KY1200" s="31"/>
      <c r="KZ1200" s="31"/>
      <c r="LA1200" s="31"/>
      <c r="LB1200" s="31"/>
      <c r="LC1200" s="31"/>
      <c r="LD1200" s="31"/>
      <c r="LE1200" s="31"/>
      <c r="LF1200" s="31"/>
      <c r="LG1200" s="31"/>
      <c r="LH1200" s="31"/>
      <c r="LI1200" s="31"/>
      <c r="LJ1200" s="31"/>
      <c r="LK1200" s="31"/>
      <c r="LL1200" s="31"/>
      <c r="LM1200" s="31"/>
      <c r="LN1200" s="31"/>
      <c r="LO1200" s="31"/>
      <c r="LP1200" s="31"/>
      <c r="LQ1200" s="31"/>
      <c r="LR1200" s="31"/>
      <c r="LS1200" s="31"/>
      <c r="LT1200" s="31"/>
      <c r="LU1200" s="31"/>
      <c r="LV1200" s="31"/>
      <c r="LW1200" s="31"/>
      <c r="LX1200" s="31"/>
      <c r="LY1200" s="31"/>
      <c r="LZ1200" s="31"/>
      <c r="MA1200" s="31"/>
      <c r="MB1200" s="31"/>
      <c r="MC1200" s="31"/>
      <c r="MD1200" s="31"/>
      <c r="ME1200" s="31"/>
      <c r="MF1200" s="31"/>
      <c r="MG1200" s="31"/>
      <c r="MH1200" s="31"/>
      <c r="MI1200" s="31"/>
      <c r="MJ1200" s="31"/>
      <c r="MK1200" s="31"/>
      <c r="ML1200" s="31"/>
      <c r="MM1200" s="31"/>
      <c r="MN1200" s="31"/>
      <c r="MO1200" s="31"/>
      <c r="MP1200" s="31"/>
      <c r="MQ1200" s="31"/>
      <c r="MR1200" s="31"/>
      <c r="MS1200" s="31"/>
      <c r="MT1200" s="31"/>
      <c r="MU1200" s="31"/>
      <c r="MV1200" s="31"/>
      <c r="MW1200" s="31"/>
      <c r="MX1200" s="31"/>
      <c r="MY1200" s="31"/>
      <c r="MZ1200" s="31"/>
      <c r="NA1200" s="31"/>
      <c r="NB1200" s="31"/>
      <c r="NC1200" s="31"/>
      <c r="ND1200" s="31"/>
      <c r="NE1200" s="31"/>
      <c r="NF1200" s="31"/>
      <c r="NG1200" s="31"/>
      <c r="NH1200" s="31"/>
      <c r="NI1200" s="31"/>
      <c r="NJ1200" s="31"/>
      <c r="NK1200" s="31"/>
      <c r="NL1200" s="31"/>
      <c r="NM1200" s="31"/>
      <c r="NN1200" s="31"/>
      <c r="NO1200" s="31"/>
      <c r="NP1200" s="31"/>
      <c r="NQ1200" s="31"/>
      <c r="NR1200" s="31"/>
      <c r="NS1200" s="31"/>
      <c r="NT1200" s="31"/>
      <c r="NU1200" s="31"/>
      <c r="NV1200" s="31"/>
      <c r="NW1200" s="31"/>
      <c r="NX1200" s="31"/>
      <c r="NY1200" s="31"/>
      <c r="NZ1200" s="31"/>
      <c r="OA1200" s="31"/>
      <c r="OB1200" s="31"/>
      <c r="OC1200" s="31"/>
      <c r="OD1200" s="31"/>
      <c r="OE1200" s="31"/>
      <c r="OF1200" s="31"/>
      <c r="OG1200" s="31"/>
      <c r="OH1200" s="31"/>
      <c r="OI1200" s="31"/>
      <c r="OJ1200" s="31"/>
      <c r="OK1200" s="31"/>
      <c r="OL1200" s="31"/>
      <c r="OM1200" s="31"/>
      <c r="ON1200" s="31"/>
      <c r="OO1200" s="31"/>
      <c r="OP1200" s="31"/>
      <c r="OQ1200" s="31"/>
      <c r="OR1200" s="31"/>
      <c r="OS1200" s="31"/>
      <c r="OT1200" s="31"/>
      <c r="OU1200" s="31"/>
      <c r="OV1200" s="31"/>
      <c r="OW1200" s="31"/>
      <c r="OX1200" s="31"/>
      <c r="OY1200" s="31"/>
      <c r="OZ1200" s="31"/>
      <c r="PA1200" s="31"/>
      <c r="PB1200" s="31"/>
      <c r="PC1200" s="31"/>
      <c r="PD1200" s="31"/>
      <c r="PE1200" s="31"/>
      <c r="PF1200" s="31"/>
      <c r="PG1200" s="31"/>
      <c r="PH1200" s="31"/>
      <c r="PI1200" s="31"/>
      <c r="PJ1200" s="31"/>
      <c r="PK1200" s="31"/>
      <c r="PL1200" s="31"/>
      <c r="PM1200" s="31"/>
      <c r="PN1200" s="31"/>
      <c r="PO1200" s="31"/>
      <c r="PP1200" s="31"/>
      <c r="PQ1200" s="31"/>
      <c r="PR1200" s="31"/>
      <c r="PS1200" s="31"/>
      <c r="PT1200" s="31"/>
      <c r="PU1200" s="31"/>
      <c r="PV1200" s="31"/>
      <c r="PW1200" s="31"/>
      <c r="PX1200" s="31"/>
      <c r="PY1200" s="31"/>
      <c r="PZ1200" s="31"/>
      <c r="QA1200" s="31"/>
      <c r="QB1200" s="31"/>
      <c r="QC1200" s="31"/>
      <c r="QD1200" s="31"/>
      <c r="QE1200" s="31"/>
      <c r="QF1200" s="31"/>
      <c r="QG1200" s="31"/>
      <c r="QH1200" s="31"/>
      <c r="QI1200" s="31"/>
      <c r="QJ1200" s="31"/>
      <c r="QK1200" s="31"/>
      <c r="QL1200" s="31"/>
      <c r="QM1200" s="31"/>
      <c r="QN1200" s="31"/>
      <c r="QO1200" s="31"/>
      <c r="QP1200" s="31"/>
      <c r="QQ1200" s="31"/>
      <c r="QR1200" s="31"/>
      <c r="QS1200" s="31"/>
      <c r="QT1200" s="31"/>
      <c r="QU1200" s="31"/>
      <c r="QV1200" s="31"/>
      <c r="QW1200" s="31"/>
      <c r="QX1200" s="31"/>
      <c r="QY1200" s="31"/>
      <c r="QZ1200" s="31"/>
      <c r="RA1200" s="31"/>
      <c r="RB1200" s="31"/>
      <c r="RC1200" s="31"/>
      <c r="RD1200" s="31"/>
      <c r="RE1200" s="31"/>
      <c r="RF1200" s="31"/>
      <c r="RG1200" s="31"/>
      <c r="RH1200" s="31"/>
      <c r="RI1200" s="31"/>
      <c r="RJ1200" s="31"/>
      <c r="RK1200" s="31"/>
      <c r="RL1200" s="31"/>
      <c r="RM1200" s="31"/>
      <c r="RN1200" s="31"/>
      <c r="RO1200" s="31"/>
      <c r="RP1200" s="31"/>
      <c r="RQ1200" s="31"/>
      <c r="RR1200" s="31"/>
      <c r="RS1200" s="31"/>
      <c r="RT1200" s="31"/>
      <c r="RU1200" s="31"/>
      <c r="RV1200" s="31"/>
      <c r="RW1200" s="31"/>
      <c r="RX1200" s="31"/>
      <c r="RY1200" s="31"/>
      <c r="RZ1200" s="31"/>
      <c r="SA1200" s="31"/>
      <c r="SB1200" s="31"/>
      <c r="SC1200" s="31"/>
      <c r="SD1200" s="31"/>
      <c r="SE1200" s="31"/>
      <c r="SF1200" s="31"/>
      <c r="SG1200" s="31"/>
      <c r="SH1200" s="31"/>
      <c r="SI1200" s="31"/>
      <c r="SJ1200" s="31"/>
      <c r="SK1200" s="31"/>
      <c r="SL1200" s="31"/>
      <c r="SM1200" s="31"/>
      <c r="SN1200" s="31"/>
      <c r="SO1200" s="31"/>
      <c r="SP1200" s="31"/>
      <c r="SQ1200" s="31"/>
      <c r="SR1200" s="31"/>
      <c r="SS1200" s="31"/>
      <c r="ST1200" s="31"/>
      <c r="SU1200" s="31"/>
      <c r="SV1200" s="31"/>
      <c r="SW1200" s="31"/>
      <c r="SX1200" s="31"/>
      <c r="SY1200" s="31"/>
      <c r="SZ1200" s="31"/>
      <c r="TA1200" s="31"/>
      <c r="TB1200" s="31"/>
      <c r="TC1200" s="31"/>
      <c r="TD1200" s="31"/>
      <c r="TE1200" s="31"/>
      <c r="TF1200" s="31"/>
      <c r="TG1200" s="31"/>
      <c r="TH1200" s="31"/>
      <c r="TI1200" s="31"/>
      <c r="TJ1200" s="31"/>
      <c r="TK1200" s="31"/>
      <c r="TL1200" s="31"/>
      <c r="TM1200" s="31"/>
      <c r="TN1200" s="31"/>
      <c r="TO1200" s="31"/>
      <c r="TP1200" s="31"/>
      <c r="TQ1200" s="31"/>
      <c r="TR1200" s="31"/>
      <c r="TS1200" s="31"/>
      <c r="TT1200" s="31"/>
      <c r="TU1200" s="31"/>
      <c r="TV1200" s="31"/>
      <c r="TW1200" s="31"/>
      <c r="TX1200" s="31"/>
      <c r="TY1200" s="31"/>
      <c r="TZ1200" s="31"/>
      <c r="UA1200" s="31"/>
      <c r="UB1200" s="31"/>
      <c r="UC1200" s="31"/>
      <c r="UD1200" s="31"/>
      <c r="UE1200" s="31"/>
      <c r="UF1200" s="31"/>
      <c r="UG1200" s="33"/>
    </row>
    <row r="1201" spans="1:553" ht="102.75" customHeight="1">
      <c r="A1201" s="835"/>
      <c r="B1201" s="1230"/>
      <c r="C1201" s="1227" t="s">
        <v>1018</v>
      </c>
      <c r="D1201" s="470" t="str">
        <f t="shared" ref="D1201:E1201" si="179">D1185</f>
        <v>2</v>
      </c>
      <c r="E1201" s="470" t="str">
        <f t="shared" si="179"/>
        <v>382</v>
      </c>
      <c r="F1201" s="1230"/>
      <c r="G1201" s="501" t="s">
        <v>935</v>
      </c>
      <c r="H1201" s="502"/>
      <c r="I1201" s="423">
        <f>I1185</f>
        <v>605.1</v>
      </c>
      <c r="J1201" s="993">
        <f>62000-55000</f>
        <v>7000</v>
      </c>
      <c r="K1201" s="435"/>
      <c r="L1201" s="679">
        <f t="shared" si="177"/>
        <v>4235700</v>
      </c>
      <c r="M1201" s="1226"/>
      <c r="N1201" s="762"/>
      <c r="O1201" s="366"/>
      <c r="P1201" s="366"/>
      <c r="Q1201" s="812"/>
      <c r="R1201" s="1226"/>
      <c r="S1201" s="308"/>
      <c r="T1201" s="308"/>
      <c r="U1201" s="308"/>
      <c r="V1201" s="308"/>
      <c r="W1201" s="308"/>
      <c r="X1201" s="308"/>
      <c r="Y1201" s="308"/>
      <c r="Z1201" s="604"/>
      <c r="AA1201" s="308"/>
      <c r="AB1201" s="308"/>
      <c r="AC1201" s="449"/>
      <c r="AD1201" s="449"/>
      <c r="AE1201" s="449"/>
      <c r="AF1201" s="449"/>
      <c r="AG1201" s="449"/>
      <c r="AH1201" s="449"/>
      <c r="AI1201" s="449"/>
      <c r="AJ1201" s="449"/>
      <c r="AK1201" s="452"/>
      <c r="AL1201" s="104"/>
      <c r="AM1201" s="32"/>
      <c r="AN1201" s="32"/>
      <c r="AO1201" s="32"/>
      <c r="AP1201" s="32"/>
      <c r="AQ1201" s="32"/>
      <c r="AR1201" s="32"/>
      <c r="AS1201" s="31"/>
      <c r="AT1201" s="31"/>
      <c r="AU1201" s="31"/>
      <c r="AV1201" s="31"/>
      <c r="AW1201" s="31"/>
      <c r="AX1201" s="31"/>
      <c r="AY1201" s="31"/>
      <c r="AZ1201" s="31"/>
      <c r="BA1201" s="31"/>
      <c r="BB1201" s="31"/>
      <c r="BC1201" s="31"/>
      <c r="BD1201" s="31"/>
      <c r="BE1201" s="31"/>
      <c r="BF1201" s="31"/>
      <c r="BG1201" s="31"/>
      <c r="BH1201" s="31"/>
      <c r="BI1201" s="31"/>
      <c r="BJ1201" s="31"/>
      <c r="BK1201" s="31"/>
      <c r="BL1201" s="31"/>
      <c r="BM1201" s="31"/>
      <c r="BN1201" s="31"/>
      <c r="BO1201" s="31"/>
      <c r="BP1201" s="31"/>
      <c r="BQ1201" s="31"/>
      <c r="BR1201" s="31"/>
      <c r="BS1201" s="31"/>
      <c r="BT1201" s="31"/>
      <c r="BU1201" s="31"/>
      <c r="BV1201" s="31"/>
      <c r="BW1201" s="31"/>
      <c r="BX1201" s="31"/>
      <c r="BY1201" s="31"/>
      <c r="BZ1201" s="31"/>
      <c r="CA1201" s="31"/>
      <c r="CB1201" s="31"/>
      <c r="CC1201" s="31"/>
      <c r="CD1201" s="31"/>
      <c r="CE1201" s="31"/>
      <c r="CF1201" s="31"/>
      <c r="CG1201" s="31"/>
      <c r="CH1201" s="31"/>
      <c r="CI1201" s="31"/>
      <c r="CJ1201" s="31"/>
      <c r="CK1201" s="31"/>
      <c r="CL1201" s="31"/>
      <c r="CM1201" s="31"/>
      <c r="CN1201" s="31"/>
      <c r="CO1201" s="31"/>
      <c r="CP1201" s="31"/>
      <c r="CQ1201" s="31"/>
      <c r="CR1201" s="31"/>
      <c r="CS1201" s="31"/>
      <c r="CT1201" s="31"/>
      <c r="CU1201" s="31"/>
      <c r="CV1201" s="31"/>
      <c r="CW1201" s="31"/>
      <c r="CX1201" s="31"/>
      <c r="CY1201" s="31"/>
      <c r="CZ1201" s="31"/>
      <c r="DA1201" s="31"/>
      <c r="DB1201" s="31"/>
      <c r="DC1201" s="31"/>
      <c r="DD1201" s="31"/>
      <c r="DE1201" s="31"/>
      <c r="DF1201" s="31"/>
      <c r="DG1201" s="31"/>
      <c r="DH1201" s="31"/>
      <c r="DI1201" s="31"/>
      <c r="DJ1201" s="31"/>
      <c r="DK1201" s="31"/>
      <c r="DL1201" s="31"/>
      <c r="DM1201" s="31"/>
      <c r="DN1201" s="31"/>
      <c r="DO1201" s="31"/>
      <c r="DP1201" s="31"/>
      <c r="DQ1201" s="31"/>
      <c r="DR1201" s="31"/>
      <c r="DS1201" s="31"/>
      <c r="DT1201" s="31"/>
      <c r="DU1201" s="31"/>
      <c r="DV1201" s="31"/>
      <c r="DW1201" s="31"/>
      <c r="DX1201" s="31"/>
      <c r="DY1201" s="31"/>
      <c r="DZ1201" s="31"/>
      <c r="EA1201" s="31"/>
      <c r="EB1201" s="31"/>
      <c r="EC1201" s="31"/>
      <c r="ED1201" s="31"/>
      <c r="EE1201" s="31"/>
      <c r="EF1201" s="31"/>
      <c r="EG1201" s="31"/>
      <c r="EH1201" s="31"/>
      <c r="EI1201" s="31"/>
      <c r="EJ1201" s="31"/>
      <c r="EK1201" s="31"/>
      <c r="EL1201" s="31"/>
      <c r="EM1201" s="31"/>
      <c r="EN1201" s="31"/>
      <c r="EO1201" s="31"/>
      <c r="EP1201" s="31"/>
      <c r="EQ1201" s="31"/>
      <c r="ER1201" s="31"/>
      <c r="ES1201" s="31"/>
      <c r="ET1201" s="31"/>
      <c r="EU1201" s="31"/>
      <c r="EV1201" s="31"/>
      <c r="EW1201" s="31"/>
      <c r="EX1201" s="31"/>
      <c r="EY1201" s="31"/>
      <c r="EZ1201" s="31"/>
      <c r="FA1201" s="31"/>
      <c r="FB1201" s="31"/>
      <c r="FC1201" s="31"/>
      <c r="FD1201" s="31"/>
      <c r="FE1201" s="31"/>
      <c r="FF1201" s="31"/>
      <c r="FG1201" s="31"/>
      <c r="FH1201" s="31"/>
      <c r="FI1201" s="31"/>
      <c r="FJ1201" s="31"/>
      <c r="FK1201" s="31"/>
      <c r="FL1201" s="31"/>
      <c r="FM1201" s="31"/>
      <c r="FN1201" s="31"/>
      <c r="FO1201" s="31"/>
      <c r="FP1201" s="31"/>
      <c r="FQ1201" s="31"/>
      <c r="FR1201" s="31"/>
      <c r="FS1201" s="31"/>
      <c r="FT1201" s="31"/>
      <c r="FU1201" s="31"/>
      <c r="FV1201" s="31"/>
      <c r="FW1201" s="31"/>
      <c r="FX1201" s="31"/>
      <c r="FY1201" s="31"/>
      <c r="FZ1201" s="31"/>
      <c r="GA1201" s="31"/>
      <c r="GB1201" s="31"/>
      <c r="GC1201" s="31"/>
      <c r="GD1201" s="31"/>
      <c r="GE1201" s="31"/>
      <c r="GF1201" s="31"/>
      <c r="GG1201" s="31"/>
      <c r="GH1201" s="31"/>
      <c r="GI1201" s="31"/>
      <c r="GJ1201" s="31"/>
      <c r="GK1201" s="31"/>
      <c r="GL1201" s="31"/>
      <c r="GM1201" s="31"/>
      <c r="GN1201" s="31"/>
      <c r="GO1201" s="31"/>
      <c r="GP1201" s="31"/>
      <c r="GQ1201" s="31"/>
      <c r="GR1201" s="31"/>
      <c r="GS1201" s="31"/>
      <c r="GT1201" s="31"/>
      <c r="GU1201" s="31"/>
      <c r="GV1201" s="31"/>
      <c r="GW1201" s="31"/>
      <c r="GX1201" s="31"/>
      <c r="GY1201" s="31"/>
      <c r="GZ1201" s="31"/>
      <c r="HA1201" s="31"/>
      <c r="HB1201" s="31"/>
      <c r="HC1201" s="31"/>
      <c r="HD1201" s="31"/>
      <c r="HE1201" s="31"/>
      <c r="HF1201" s="31"/>
      <c r="HG1201" s="31"/>
      <c r="HH1201" s="31"/>
      <c r="HI1201" s="31"/>
      <c r="HJ1201" s="31"/>
      <c r="HK1201" s="31"/>
      <c r="HL1201" s="31"/>
      <c r="HM1201" s="31"/>
      <c r="HN1201" s="31"/>
      <c r="HO1201" s="31"/>
      <c r="HP1201" s="31"/>
      <c r="HQ1201" s="31"/>
      <c r="HR1201" s="31"/>
      <c r="HS1201" s="31"/>
      <c r="HT1201" s="31"/>
      <c r="HU1201" s="31"/>
      <c r="HV1201" s="31"/>
      <c r="HW1201" s="31"/>
      <c r="HX1201" s="31"/>
      <c r="HY1201" s="31"/>
      <c r="HZ1201" s="31"/>
      <c r="IA1201" s="31"/>
      <c r="IB1201" s="31"/>
      <c r="IC1201" s="31"/>
      <c r="ID1201" s="31"/>
      <c r="IE1201" s="31"/>
      <c r="IF1201" s="31"/>
      <c r="IG1201" s="31"/>
      <c r="IH1201" s="31"/>
      <c r="II1201" s="31"/>
      <c r="IJ1201" s="31"/>
      <c r="IK1201" s="31"/>
      <c r="IL1201" s="31"/>
      <c r="IM1201" s="31"/>
      <c r="IN1201" s="31"/>
      <c r="IO1201" s="31"/>
      <c r="IP1201" s="31"/>
      <c r="IQ1201" s="31"/>
      <c r="IR1201" s="31"/>
      <c r="IS1201" s="31"/>
      <c r="IT1201" s="31"/>
      <c r="IU1201" s="31"/>
      <c r="IV1201" s="31"/>
      <c r="IW1201" s="31"/>
      <c r="IX1201" s="31"/>
      <c r="IY1201" s="31"/>
      <c r="IZ1201" s="31"/>
      <c r="JA1201" s="31"/>
      <c r="JB1201" s="31"/>
      <c r="JC1201" s="31"/>
      <c r="JD1201" s="31"/>
      <c r="JE1201" s="31"/>
      <c r="JF1201" s="31"/>
      <c r="JG1201" s="31"/>
      <c r="JH1201" s="31"/>
      <c r="JI1201" s="31"/>
      <c r="JJ1201" s="31"/>
      <c r="JK1201" s="31"/>
      <c r="JL1201" s="31"/>
      <c r="JM1201" s="31"/>
      <c r="JN1201" s="31"/>
      <c r="JO1201" s="31"/>
      <c r="JP1201" s="31"/>
      <c r="JQ1201" s="31"/>
      <c r="JR1201" s="31"/>
      <c r="JS1201" s="31"/>
      <c r="JT1201" s="31"/>
      <c r="JU1201" s="31"/>
      <c r="JV1201" s="31"/>
      <c r="JW1201" s="31"/>
      <c r="JX1201" s="31"/>
      <c r="JY1201" s="31"/>
      <c r="JZ1201" s="31"/>
      <c r="KA1201" s="31"/>
      <c r="KB1201" s="31"/>
      <c r="KC1201" s="31"/>
      <c r="KD1201" s="31"/>
      <c r="KE1201" s="31"/>
      <c r="KF1201" s="31"/>
      <c r="KG1201" s="31"/>
      <c r="KH1201" s="31"/>
      <c r="KI1201" s="31"/>
      <c r="KJ1201" s="31"/>
      <c r="KK1201" s="31"/>
      <c r="KL1201" s="31"/>
      <c r="KM1201" s="31"/>
      <c r="KN1201" s="31"/>
      <c r="KO1201" s="31"/>
      <c r="KP1201" s="31"/>
      <c r="KQ1201" s="31"/>
      <c r="KR1201" s="31"/>
      <c r="KS1201" s="31"/>
      <c r="KT1201" s="31"/>
      <c r="KU1201" s="31"/>
      <c r="KV1201" s="31"/>
      <c r="KW1201" s="31"/>
      <c r="KX1201" s="31"/>
      <c r="KY1201" s="31"/>
      <c r="KZ1201" s="31"/>
      <c r="LA1201" s="31"/>
      <c r="LB1201" s="31"/>
      <c r="LC1201" s="31"/>
      <c r="LD1201" s="31"/>
      <c r="LE1201" s="31"/>
      <c r="LF1201" s="31"/>
      <c r="LG1201" s="31"/>
      <c r="LH1201" s="31"/>
      <c r="LI1201" s="31"/>
      <c r="LJ1201" s="31"/>
      <c r="LK1201" s="31"/>
      <c r="LL1201" s="31"/>
      <c r="LM1201" s="31"/>
      <c r="LN1201" s="31"/>
      <c r="LO1201" s="31"/>
      <c r="LP1201" s="31"/>
      <c r="LQ1201" s="31"/>
      <c r="LR1201" s="31"/>
      <c r="LS1201" s="31"/>
      <c r="LT1201" s="31"/>
      <c r="LU1201" s="31"/>
      <c r="LV1201" s="31"/>
      <c r="LW1201" s="31"/>
      <c r="LX1201" s="31"/>
      <c r="LY1201" s="31"/>
      <c r="LZ1201" s="31"/>
      <c r="MA1201" s="31"/>
      <c r="MB1201" s="31"/>
      <c r="MC1201" s="31"/>
      <c r="MD1201" s="31"/>
      <c r="ME1201" s="31"/>
      <c r="MF1201" s="31"/>
      <c r="MG1201" s="31"/>
      <c r="MH1201" s="31"/>
      <c r="MI1201" s="31"/>
      <c r="MJ1201" s="31"/>
      <c r="MK1201" s="31"/>
      <c r="ML1201" s="31"/>
      <c r="MM1201" s="31"/>
      <c r="MN1201" s="31"/>
      <c r="MO1201" s="31"/>
      <c r="MP1201" s="31"/>
      <c r="MQ1201" s="31"/>
      <c r="MR1201" s="31"/>
      <c r="MS1201" s="31"/>
      <c r="MT1201" s="31"/>
      <c r="MU1201" s="31"/>
      <c r="MV1201" s="31"/>
      <c r="MW1201" s="31"/>
      <c r="MX1201" s="31"/>
      <c r="MY1201" s="31"/>
      <c r="MZ1201" s="31"/>
      <c r="NA1201" s="31"/>
      <c r="NB1201" s="31"/>
      <c r="NC1201" s="31"/>
      <c r="ND1201" s="31"/>
      <c r="NE1201" s="31"/>
      <c r="NF1201" s="31"/>
      <c r="NG1201" s="31"/>
      <c r="NH1201" s="31"/>
      <c r="NI1201" s="31"/>
      <c r="NJ1201" s="31"/>
      <c r="NK1201" s="31"/>
      <c r="NL1201" s="31"/>
      <c r="NM1201" s="31"/>
      <c r="NN1201" s="31"/>
      <c r="NO1201" s="31"/>
      <c r="NP1201" s="31"/>
      <c r="NQ1201" s="31"/>
      <c r="NR1201" s="31"/>
      <c r="NS1201" s="31"/>
      <c r="NT1201" s="31"/>
      <c r="NU1201" s="31"/>
      <c r="NV1201" s="31"/>
      <c r="NW1201" s="31"/>
      <c r="NX1201" s="31"/>
      <c r="NY1201" s="31"/>
      <c r="NZ1201" s="31"/>
      <c r="OA1201" s="31"/>
      <c r="OB1201" s="31"/>
      <c r="OC1201" s="31"/>
      <c r="OD1201" s="31"/>
      <c r="OE1201" s="31"/>
      <c r="OF1201" s="31"/>
      <c r="OG1201" s="31"/>
      <c r="OH1201" s="31"/>
      <c r="OI1201" s="31"/>
      <c r="OJ1201" s="31"/>
      <c r="OK1201" s="31"/>
      <c r="OL1201" s="31"/>
      <c r="OM1201" s="31"/>
      <c r="ON1201" s="31"/>
      <c r="OO1201" s="31"/>
      <c r="OP1201" s="31"/>
      <c r="OQ1201" s="31"/>
      <c r="OR1201" s="31"/>
      <c r="OS1201" s="31"/>
      <c r="OT1201" s="31"/>
      <c r="OU1201" s="31"/>
      <c r="OV1201" s="31"/>
      <c r="OW1201" s="31"/>
      <c r="OX1201" s="31"/>
      <c r="OY1201" s="31"/>
      <c r="OZ1201" s="31"/>
      <c r="PA1201" s="31"/>
      <c r="PB1201" s="31"/>
      <c r="PC1201" s="31"/>
      <c r="PD1201" s="31"/>
      <c r="PE1201" s="31"/>
      <c r="PF1201" s="31"/>
      <c r="PG1201" s="31"/>
      <c r="PH1201" s="31"/>
      <c r="PI1201" s="31"/>
      <c r="PJ1201" s="31"/>
      <c r="PK1201" s="31"/>
      <c r="PL1201" s="31"/>
      <c r="PM1201" s="31"/>
      <c r="PN1201" s="31"/>
      <c r="PO1201" s="31"/>
      <c r="PP1201" s="31"/>
      <c r="PQ1201" s="31"/>
      <c r="PR1201" s="31"/>
      <c r="PS1201" s="31"/>
      <c r="PT1201" s="31"/>
      <c r="PU1201" s="31"/>
      <c r="PV1201" s="31"/>
      <c r="PW1201" s="31"/>
      <c r="PX1201" s="31"/>
      <c r="PY1201" s="31"/>
      <c r="PZ1201" s="31"/>
      <c r="QA1201" s="31"/>
      <c r="QB1201" s="31"/>
      <c r="QC1201" s="31"/>
      <c r="QD1201" s="31"/>
      <c r="QE1201" s="31"/>
      <c r="QF1201" s="31"/>
      <c r="QG1201" s="31"/>
      <c r="QH1201" s="31"/>
      <c r="QI1201" s="31"/>
      <c r="QJ1201" s="31"/>
      <c r="QK1201" s="31"/>
      <c r="QL1201" s="31"/>
      <c r="QM1201" s="31"/>
      <c r="QN1201" s="31"/>
      <c r="QO1201" s="31"/>
      <c r="QP1201" s="31"/>
      <c r="QQ1201" s="31"/>
      <c r="QR1201" s="31"/>
      <c r="QS1201" s="31"/>
      <c r="QT1201" s="31"/>
      <c r="QU1201" s="31"/>
      <c r="QV1201" s="31"/>
      <c r="QW1201" s="31"/>
      <c r="QX1201" s="31"/>
      <c r="QY1201" s="31"/>
      <c r="QZ1201" s="31"/>
      <c r="RA1201" s="31"/>
      <c r="RB1201" s="31"/>
      <c r="RC1201" s="31"/>
      <c r="RD1201" s="31"/>
      <c r="RE1201" s="31"/>
      <c r="RF1201" s="31"/>
      <c r="RG1201" s="31"/>
      <c r="RH1201" s="31"/>
      <c r="RI1201" s="31"/>
      <c r="RJ1201" s="31"/>
      <c r="RK1201" s="31"/>
      <c r="RL1201" s="31"/>
      <c r="RM1201" s="31"/>
      <c r="RN1201" s="31"/>
      <c r="RO1201" s="31"/>
      <c r="RP1201" s="31"/>
      <c r="RQ1201" s="31"/>
      <c r="RR1201" s="31"/>
      <c r="RS1201" s="31"/>
      <c r="RT1201" s="31"/>
      <c r="RU1201" s="31"/>
      <c r="RV1201" s="31"/>
      <c r="RW1201" s="31"/>
      <c r="RX1201" s="31"/>
      <c r="RY1201" s="31"/>
      <c r="RZ1201" s="31"/>
      <c r="SA1201" s="31"/>
      <c r="SB1201" s="31"/>
      <c r="SC1201" s="31"/>
      <c r="SD1201" s="31"/>
      <c r="SE1201" s="31"/>
      <c r="SF1201" s="31"/>
      <c r="SG1201" s="31"/>
      <c r="SH1201" s="31"/>
      <c r="SI1201" s="31"/>
      <c r="SJ1201" s="31"/>
      <c r="SK1201" s="31"/>
      <c r="SL1201" s="31"/>
      <c r="SM1201" s="31"/>
      <c r="SN1201" s="31"/>
      <c r="SO1201" s="31"/>
      <c r="SP1201" s="31"/>
      <c r="SQ1201" s="31"/>
      <c r="SR1201" s="31"/>
      <c r="SS1201" s="31"/>
      <c r="ST1201" s="31"/>
      <c r="SU1201" s="31"/>
      <c r="SV1201" s="31"/>
      <c r="SW1201" s="31"/>
      <c r="SX1201" s="31"/>
      <c r="SY1201" s="31"/>
      <c r="SZ1201" s="31"/>
      <c r="TA1201" s="31"/>
      <c r="TB1201" s="31"/>
      <c r="TC1201" s="31"/>
      <c r="TD1201" s="31"/>
      <c r="TE1201" s="31"/>
      <c r="TF1201" s="31"/>
      <c r="TG1201" s="31"/>
      <c r="TH1201" s="31"/>
      <c r="TI1201" s="31"/>
      <c r="TJ1201" s="31"/>
      <c r="TK1201" s="31"/>
      <c r="TL1201" s="31"/>
      <c r="TM1201" s="31"/>
      <c r="TN1201" s="31"/>
      <c r="TO1201" s="31"/>
      <c r="TP1201" s="31"/>
      <c r="TQ1201" s="31"/>
      <c r="TR1201" s="31"/>
      <c r="TS1201" s="31"/>
      <c r="TT1201" s="31"/>
      <c r="TU1201" s="31"/>
      <c r="TV1201" s="31"/>
      <c r="TW1201" s="31"/>
      <c r="TX1201" s="31"/>
      <c r="TY1201" s="31"/>
      <c r="TZ1201" s="31"/>
      <c r="UA1201" s="31"/>
      <c r="UB1201" s="31"/>
      <c r="UC1201" s="31"/>
      <c r="UD1201" s="31"/>
      <c r="UE1201" s="31"/>
      <c r="UF1201" s="31"/>
      <c r="UG1201" s="33"/>
    </row>
    <row r="1202" spans="1:553" ht="102.75" customHeight="1">
      <c r="A1202" s="835"/>
      <c r="B1202" s="1230"/>
      <c r="C1202" s="1227" t="s">
        <v>1019</v>
      </c>
      <c r="D1202" s="470" t="str">
        <f t="shared" ref="D1202:E1202" si="180">D1201</f>
        <v>2</v>
      </c>
      <c r="E1202" s="470" t="str">
        <f t="shared" si="180"/>
        <v>382</v>
      </c>
      <c r="F1202" s="1230"/>
      <c r="G1202" s="501" t="s">
        <v>935</v>
      </c>
      <c r="H1202" s="502"/>
      <c r="I1202" s="423">
        <f>I1201</f>
        <v>605.1</v>
      </c>
      <c r="J1202" s="993">
        <f>(66000*2.5)-(62000*2.5)</f>
        <v>10000</v>
      </c>
      <c r="K1202" s="435"/>
      <c r="L1202" s="679">
        <f>I1202*J1202</f>
        <v>6051000</v>
      </c>
      <c r="M1202" s="1226"/>
      <c r="N1202" s="762"/>
      <c r="O1202" s="366"/>
      <c r="P1202" s="366"/>
      <c r="Q1202" s="812"/>
      <c r="R1202" s="1226"/>
      <c r="S1202" s="308"/>
      <c r="T1202" s="308"/>
      <c r="U1202" s="308"/>
      <c r="V1202" s="308"/>
      <c r="W1202" s="308"/>
      <c r="X1202" s="308"/>
      <c r="Y1202" s="308"/>
      <c r="Z1202" s="604"/>
      <c r="AA1202" s="308"/>
      <c r="AB1202" s="308"/>
      <c r="AC1202" s="449"/>
      <c r="AD1202" s="449"/>
      <c r="AE1202" s="449"/>
      <c r="AF1202" s="449"/>
      <c r="AG1202" s="449"/>
      <c r="AH1202" s="449"/>
      <c r="AI1202" s="449"/>
      <c r="AJ1202" s="449"/>
      <c r="AK1202" s="452"/>
      <c r="AL1202" s="104"/>
      <c r="AM1202" s="32"/>
      <c r="AN1202" s="32"/>
      <c r="AO1202" s="32"/>
      <c r="AP1202" s="32"/>
      <c r="AQ1202" s="32"/>
      <c r="AR1202" s="32"/>
      <c r="AS1202" s="31"/>
      <c r="AT1202" s="31"/>
      <c r="AU1202" s="31"/>
      <c r="AV1202" s="31"/>
      <c r="AW1202" s="31"/>
      <c r="AX1202" s="31"/>
      <c r="AY1202" s="31"/>
      <c r="AZ1202" s="31"/>
      <c r="BA1202" s="31"/>
      <c r="BB1202" s="31"/>
      <c r="BC1202" s="31"/>
      <c r="BD1202" s="31"/>
      <c r="BE1202" s="31"/>
      <c r="BF1202" s="31"/>
      <c r="BG1202" s="31"/>
      <c r="BH1202" s="31"/>
      <c r="BI1202" s="31"/>
      <c r="BJ1202" s="31"/>
      <c r="BK1202" s="31"/>
      <c r="BL1202" s="31"/>
      <c r="BM1202" s="31"/>
      <c r="BN1202" s="31"/>
      <c r="BO1202" s="31"/>
      <c r="BP1202" s="31"/>
      <c r="BQ1202" s="31"/>
      <c r="BR1202" s="31"/>
      <c r="BS1202" s="31"/>
      <c r="BT1202" s="31"/>
      <c r="BU1202" s="31"/>
      <c r="BV1202" s="31"/>
      <c r="BW1202" s="31"/>
      <c r="BX1202" s="31"/>
      <c r="BY1202" s="31"/>
      <c r="BZ1202" s="31"/>
      <c r="CA1202" s="31"/>
      <c r="CB1202" s="31"/>
      <c r="CC1202" s="31"/>
      <c r="CD1202" s="31"/>
      <c r="CE1202" s="31"/>
      <c r="CF1202" s="31"/>
      <c r="CG1202" s="31"/>
      <c r="CH1202" s="31"/>
      <c r="CI1202" s="31"/>
      <c r="CJ1202" s="31"/>
      <c r="CK1202" s="31"/>
      <c r="CL1202" s="31"/>
      <c r="CM1202" s="31"/>
      <c r="CN1202" s="31"/>
      <c r="CO1202" s="31"/>
      <c r="CP1202" s="31"/>
      <c r="CQ1202" s="31"/>
      <c r="CR1202" s="31"/>
      <c r="CS1202" s="31"/>
      <c r="CT1202" s="31"/>
      <c r="CU1202" s="31"/>
      <c r="CV1202" s="31"/>
      <c r="CW1202" s="31"/>
      <c r="CX1202" s="31"/>
      <c r="CY1202" s="31"/>
      <c r="CZ1202" s="31"/>
      <c r="DA1202" s="31"/>
      <c r="DB1202" s="31"/>
      <c r="DC1202" s="31"/>
      <c r="DD1202" s="31"/>
      <c r="DE1202" s="31"/>
      <c r="DF1202" s="31"/>
      <c r="DG1202" s="31"/>
      <c r="DH1202" s="31"/>
      <c r="DI1202" s="31"/>
      <c r="DJ1202" s="31"/>
      <c r="DK1202" s="31"/>
      <c r="DL1202" s="31"/>
      <c r="DM1202" s="31"/>
      <c r="DN1202" s="31"/>
      <c r="DO1202" s="31"/>
      <c r="DP1202" s="31"/>
      <c r="DQ1202" s="31"/>
      <c r="DR1202" s="31"/>
      <c r="DS1202" s="31"/>
      <c r="DT1202" s="31"/>
      <c r="DU1202" s="31"/>
      <c r="DV1202" s="31"/>
      <c r="DW1202" s="31"/>
      <c r="DX1202" s="31"/>
      <c r="DY1202" s="31"/>
      <c r="DZ1202" s="31"/>
      <c r="EA1202" s="31"/>
      <c r="EB1202" s="31"/>
      <c r="EC1202" s="31"/>
      <c r="ED1202" s="31"/>
      <c r="EE1202" s="31"/>
      <c r="EF1202" s="31"/>
      <c r="EG1202" s="31"/>
      <c r="EH1202" s="31"/>
      <c r="EI1202" s="31"/>
      <c r="EJ1202" s="31"/>
      <c r="EK1202" s="31"/>
      <c r="EL1202" s="31"/>
      <c r="EM1202" s="31"/>
      <c r="EN1202" s="31"/>
      <c r="EO1202" s="31"/>
      <c r="EP1202" s="31"/>
      <c r="EQ1202" s="31"/>
      <c r="ER1202" s="31"/>
      <c r="ES1202" s="31"/>
      <c r="ET1202" s="31"/>
      <c r="EU1202" s="31"/>
      <c r="EV1202" s="31"/>
      <c r="EW1202" s="31"/>
      <c r="EX1202" s="31"/>
      <c r="EY1202" s="31"/>
      <c r="EZ1202" s="31"/>
      <c r="FA1202" s="31"/>
      <c r="FB1202" s="31"/>
      <c r="FC1202" s="31"/>
      <c r="FD1202" s="31"/>
      <c r="FE1202" s="31"/>
      <c r="FF1202" s="31"/>
      <c r="FG1202" s="31"/>
      <c r="FH1202" s="31"/>
      <c r="FI1202" s="31"/>
      <c r="FJ1202" s="31"/>
      <c r="FK1202" s="31"/>
      <c r="FL1202" s="31"/>
      <c r="FM1202" s="31"/>
      <c r="FN1202" s="31"/>
      <c r="FO1202" s="31"/>
      <c r="FP1202" s="31"/>
      <c r="FQ1202" s="31"/>
      <c r="FR1202" s="31"/>
      <c r="FS1202" s="31"/>
      <c r="FT1202" s="31"/>
      <c r="FU1202" s="31"/>
      <c r="FV1202" s="31"/>
      <c r="FW1202" s="31"/>
      <c r="FX1202" s="31"/>
      <c r="FY1202" s="31"/>
      <c r="FZ1202" s="31"/>
      <c r="GA1202" s="31"/>
      <c r="GB1202" s="31"/>
      <c r="GC1202" s="31"/>
      <c r="GD1202" s="31"/>
      <c r="GE1202" s="31"/>
      <c r="GF1202" s="31"/>
      <c r="GG1202" s="31"/>
      <c r="GH1202" s="31"/>
      <c r="GI1202" s="31"/>
      <c r="GJ1202" s="31"/>
      <c r="GK1202" s="31"/>
      <c r="GL1202" s="31"/>
      <c r="GM1202" s="31"/>
      <c r="GN1202" s="31"/>
      <c r="GO1202" s="31"/>
      <c r="GP1202" s="31"/>
      <c r="GQ1202" s="31"/>
      <c r="GR1202" s="31"/>
      <c r="GS1202" s="31"/>
      <c r="GT1202" s="31"/>
      <c r="GU1202" s="31"/>
      <c r="GV1202" s="31"/>
      <c r="GW1202" s="31"/>
      <c r="GX1202" s="31"/>
      <c r="GY1202" s="31"/>
      <c r="GZ1202" s="31"/>
      <c r="HA1202" s="31"/>
      <c r="HB1202" s="31"/>
      <c r="HC1202" s="31"/>
      <c r="HD1202" s="31"/>
      <c r="HE1202" s="31"/>
      <c r="HF1202" s="31"/>
      <c r="HG1202" s="31"/>
      <c r="HH1202" s="31"/>
      <c r="HI1202" s="31"/>
      <c r="HJ1202" s="31"/>
      <c r="HK1202" s="31"/>
      <c r="HL1202" s="31"/>
      <c r="HM1202" s="31"/>
      <c r="HN1202" s="31"/>
      <c r="HO1202" s="31"/>
      <c r="HP1202" s="31"/>
      <c r="HQ1202" s="31"/>
      <c r="HR1202" s="31"/>
      <c r="HS1202" s="31"/>
      <c r="HT1202" s="31"/>
      <c r="HU1202" s="31"/>
      <c r="HV1202" s="31"/>
      <c r="HW1202" s="31"/>
      <c r="HX1202" s="31"/>
      <c r="HY1202" s="31"/>
      <c r="HZ1202" s="31"/>
      <c r="IA1202" s="31"/>
      <c r="IB1202" s="31"/>
      <c r="IC1202" s="31"/>
      <c r="ID1202" s="31"/>
      <c r="IE1202" s="31"/>
      <c r="IF1202" s="31"/>
      <c r="IG1202" s="31"/>
      <c r="IH1202" s="31"/>
      <c r="II1202" s="31"/>
      <c r="IJ1202" s="31"/>
      <c r="IK1202" s="31"/>
      <c r="IL1202" s="31"/>
      <c r="IM1202" s="31"/>
      <c r="IN1202" s="31"/>
      <c r="IO1202" s="31"/>
      <c r="IP1202" s="31"/>
      <c r="IQ1202" s="31"/>
      <c r="IR1202" s="31"/>
      <c r="IS1202" s="31"/>
      <c r="IT1202" s="31"/>
      <c r="IU1202" s="31"/>
      <c r="IV1202" s="31"/>
      <c r="IW1202" s="31"/>
      <c r="IX1202" s="31"/>
      <c r="IY1202" s="31"/>
      <c r="IZ1202" s="31"/>
      <c r="JA1202" s="31"/>
      <c r="JB1202" s="31"/>
      <c r="JC1202" s="31"/>
      <c r="JD1202" s="31"/>
      <c r="JE1202" s="31"/>
      <c r="JF1202" s="31"/>
      <c r="JG1202" s="31"/>
      <c r="JH1202" s="31"/>
      <c r="JI1202" s="31"/>
      <c r="JJ1202" s="31"/>
      <c r="JK1202" s="31"/>
      <c r="JL1202" s="31"/>
      <c r="JM1202" s="31"/>
      <c r="JN1202" s="31"/>
      <c r="JO1202" s="31"/>
      <c r="JP1202" s="31"/>
      <c r="JQ1202" s="31"/>
      <c r="JR1202" s="31"/>
      <c r="JS1202" s="31"/>
      <c r="JT1202" s="31"/>
      <c r="JU1202" s="31"/>
      <c r="JV1202" s="31"/>
      <c r="JW1202" s="31"/>
      <c r="JX1202" s="31"/>
      <c r="JY1202" s="31"/>
      <c r="JZ1202" s="31"/>
      <c r="KA1202" s="31"/>
      <c r="KB1202" s="31"/>
      <c r="KC1202" s="31"/>
      <c r="KD1202" s="31"/>
      <c r="KE1202" s="31"/>
      <c r="KF1202" s="31"/>
      <c r="KG1202" s="31"/>
      <c r="KH1202" s="31"/>
      <c r="KI1202" s="31"/>
      <c r="KJ1202" s="31"/>
      <c r="KK1202" s="31"/>
      <c r="KL1202" s="31"/>
      <c r="KM1202" s="31"/>
      <c r="KN1202" s="31"/>
      <c r="KO1202" s="31"/>
      <c r="KP1202" s="31"/>
      <c r="KQ1202" s="31"/>
      <c r="KR1202" s="31"/>
      <c r="KS1202" s="31"/>
      <c r="KT1202" s="31"/>
      <c r="KU1202" s="31"/>
      <c r="KV1202" s="31"/>
      <c r="KW1202" s="31"/>
      <c r="KX1202" s="31"/>
      <c r="KY1202" s="31"/>
      <c r="KZ1202" s="31"/>
      <c r="LA1202" s="31"/>
      <c r="LB1202" s="31"/>
      <c r="LC1202" s="31"/>
      <c r="LD1202" s="31"/>
      <c r="LE1202" s="31"/>
      <c r="LF1202" s="31"/>
      <c r="LG1202" s="31"/>
      <c r="LH1202" s="31"/>
      <c r="LI1202" s="31"/>
      <c r="LJ1202" s="31"/>
      <c r="LK1202" s="31"/>
      <c r="LL1202" s="31"/>
      <c r="LM1202" s="31"/>
      <c r="LN1202" s="31"/>
      <c r="LO1202" s="31"/>
      <c r="LP1202" s="31"/>
      <c r="LQ1202" s="31"/>
      <c r="LR1202" s="31"/>
      <c r="LS1202" s="31"/>
      <c r="LT1202" s="31"/>
      <c r="LU1202" s="31"/>
      <c r="LV1202" s="31"/>
      <c r="LW1202" s="31"/>
      <c r="LX1202" s="31"/>
      <c r="LY1202" s="31"/>
      <c r="LZ1202" s="31"/>
      <c r="MA1202" s="31"/>
      <c r="MB1202" s="31"/>
      <c r="MC1202" s="31"/>
      <c r="MD1202" s="31"/>
      <c r="ME1202" s="31"/>
      <c r="MF1202" s="31"/>
      <c r="MG1202" s="31"/>
      <c r="MH1202" s="31"/>
      <c r="MI1202" s="31"/>
      <c r="MJ1202" s="31"/>
      <c r="MK1202" s="31"/>
      <c r="ML1202" s="31"/>
      <c r="MM1202" s="31"/>
      <c r="MN1202" s="31"/>
      <c r="MO1202" s="31"/>
      <c r="MP1202" s="31"/>
      <c r="MQ1202" s="31"/>
      <c r="MR1202" s="31"/>
      <c r="MS1202" s="31"/>
      <c r="MT1202" s="31"/>
      <c r="MU1202" s="31"/>
      <c r="MV1202" s="31"/>
      <c r="MW1202" s="31"/>
      <c r="MX1202" s="31"/>
      <c r="MY1202" s="31"/>
      <c r="MZ1202" s="31"/>
      <c r="NA1202" s="31"/>
      <c r="NB1202" s="31"/>
      <c r="NC1202" s="31"/>
      <c r="ND1202" s="31"/>
      <c r="NE1202" s="31"/>
      <c r="NF1202" s="31"/>
      <c r="NG1202" s="31"/>
      <c r="NH1202" s="31"/>
      <c r="NI1202" s="31"/>
      <c r="NJ1202" s="31"/>
      <c r="NK1202" s="31"/>
      <c r="NL1202" s="31"/>
      <c r="NM1202" s="31"/>
      <c r="NN1202" s="31"/>
      <c r="NO1202" s="31"/>
      <c r="NP1202" s="31"/>
      <c r="NQ1202" s="31"/>
      <c r="NR1202" s="31"/>
      <c r="NS1202" s="31"/>
      <c r="NT1202" s="31"/>
      <c r="NU1202" s="31"/>
      <c r="NV1202" s="31"/>
      <c r="NW1202" s="31"/>
      <c r="NX1202" s="31"/>
      <c r="NY1202" s="31"/>
      <c r="NZ1202" s="31"/>
      <c r="OA1202" s="31"/>
      <c r="OB1202" s="31"/>
      <c r="OC1202" s="31"/>
      <c r="OD1202" s="31"/>
      <c r="OE1202" s="31"/>
      <c r="OF1202" s="31"/>
      <c r="OG1202" s="31"/>
      <c r="OH1202" s="31"/>
      <c r="OI1202" s="31"/>
      <c r="OJ1202" s="31"/>
      <c r="OK1202" s="31"/>
      <c r="OL1202" s="31"/>
      <c r="OM1202" s="31"/>
      <c r="ON1202" s="31"/>
      <c r="OO1202" s="31"/>
      <c r="OP1202" s="31"/>
      <c r="OQ1202" s="31"/>
      <c r="OR1202" s="31"/>
      <c r="OS1202" s="31"/>
      <c r="OT1202" s="31"/>
      <c r="OU1202" s="31"/>
      <c r="OV1202" s="31"/>
      <c r="OW1202" s="31"/>
      <c r="OX1202" s="31"/>
      <c r="OY1202" s="31"/>
      <c r="OZ1202" s="31"/>
      <c r="PA1202" s="31"/>
      <c r="PB1202" s="31"/>
      <c r="PC1202" s="31"/>
      <c r="PD1202" s="31"/>
      <c r="PE1202" s="31"/>
      <c r="PF1202" s="31"/>
      <c r="PG1202" s="31"/>
      <c r="PH1202" s="31"/>
      <c r="PI1202" s="31"/>
      <c r="PJ1202" s="31"/>
      <c r="PK1202" s="31"/>
      <c r="PL1202" s="31"/>
      <c r="PM1202" s="31"/>
      <c r="PN1202" s="31"/>
      <c r="PO1202" s="31"/>
      <c r="PP1202" s="31"/>
      <c r="PQ1202" s="31"/>
      <c r="PR1202" s="31"/>
      <c r="PS1202" s="31"/>
      <c r="PT1202" s="31"/>
      <c r="PU1202" s="31"/>
      <c r="PV1202" s="31"/>
      <c r="PW1202" s="31"/>
      <c r="PX1202" s="31"/>
      <c r="PY1202" s="31"/>
      <c r="PZ1202" s="31"/>
      <c r="QA1202" s="31"/>
      <c r="QB1202" s="31"/>
      <c r="QC1202" s="31"/>
      <c r="QD1202" s="31"/>
      <c r="QE1202" s="31"/>
      <c r="QF1202" s="31"/>
      <c r="QG1202" s="31"/>
      <c r="QH1202" s="31"/>
      <c r="QI1202" s="31"/>
      <c r="QJ1202" s="31"/>
      <c r="QK1202" s="31"/>
      <c r="QL1202" s="31"/>
      <c r="QM1202" s="31"/>
      <c r="QN1202" s="31"/>
      <c r="QO1202" s="31"/>
      <c r="QP1202" s="31"/>
      <c r="QQ1202" s="31"/>
      <c r="QR1202" s="31"/>
      <c r="QS1202" s="31"/>
      <c r="QT1202" s="31"/>
      <c r="QU1202" s="31"/>
      <c r="QV1202" s="31"/>
      <c r="QW1202" s="31"/>
      <c r="QX1202" s="31"/>
      <c r="QY1202" s="31"/>
      <c r="QZ1202" s="31"/>
      <c r="RA1202" s="31"/>
      <c r="RB1202" s="31"/>
      <c r="RC1202" s="31"/>
      <c r="RD1202" s="31"/>
      <c r="RE1202" s="31"/>
      <c r="RF1202" s="31"/>
      <c r="RG1202" s="31"/>
      <c r="RH1202" s="31"/>
      <c r="RI1202" s="31"/>
      <c r="RJ1202" s="31"/>
      <c r="RK1202" s="31"/>
      <c r="RL1202" s="31"/>
      <c r="RM1202" s="31"/>
      <c r="RN1202" s="31"/>
      <c r="RO1202" s="31"/>
      <c r="RP1202" s="31"/>
      <c r="RQ1202" s="31"/>
      <c r="RR1202" s="31"/>
      <c r="RS1202" s="31"/>
      <c r="RT1202" s="31"/>
      <c r="RU1202" s="31"/>
      <c r="RV1202" s="31"/>
      <c r="RW1202" s="31"/>
      <c r="RX1202" s="31"/>
      <c r="RY1202" s="31"/>
      <c r="RZ1202" s="31"/>
      <c r="SA1202" s="31"/>
      <c r="SB1202" s="31"/>
      <c r="SC1202" s="31"/>
      <c r="SD1202" s="31"/>
      <c r="SE1202" s="31"/>
      <c r="SF1202" s="31"/>
      <c r="SG1202" s="31"/>
      <c r="SH1202" s="31"/>
      <c r="SI1202" s="31"/>
      <c r="SJ1202" s="31"/>
      <c r="SK1202" s="31"/>
      <c r="SL1202" s="31"/>
      <c r="SM1202" s="31"/>
      <c r="SN1202" s="31"/>
      <c r="SO1202" s="31"/>
      <c r="SP1202" s="31"/>
      <c r="SQ1202" s="31"/>
      <c r="SR1202" s="31"/>
      <c r="SS1202" s="31"/>
      <c r="ST1202" s="31"/>
      <c r="SU1202" s="31"/>
      <c r="SV1202" s="31"/>
      <c r="SW1202" s="31"/>
      <c r="SX1202" s="31"/>
      <c r="SY1202" s="31"/>
      <c r="SZ1202" s="31"/>
      <c r="TA1202" s="31"/>
      <c r="TB1202" s="31"/>
      <c r="TC1202" s="31"/>
      <c r="TD1202" s="31"/>
      <c r="TE1202" s="31"/>
      <c r="TF1202" s="31"/>
      <c r="TG1202" s="31"/>
      <c r="TH1202" s="31"/>
      <c r="TI1202" s="31"/>
      <c r="TJ1202" s="31"/>
      <c r="TK1202" s="31"/>
      <c r="TL1202" s="31"/>
      <c r="TM1202" s="31"/>
      <c r="TN1202" s="31"/>
      <c r="TO1202" s="31"/>
      <c r="TP1202" s="31"/>
      <c r="TQ1202" s="31"/>
      <c r="TR1202" s="31"/>
      <c r="TS1202" s="31"/>
      <c r="TT1202" s="31"/>
      <c r="TU1202" s="31"/>
      <c r="TV1202" s="31"/>
      <c r="TW1202" s="31"/>
      <c r="TX1202" s="31"/>
      <c r="TY1202" s="31"/>
      <c r="TZ1202" s="31"/>
      <c r="UA1202" s="31"/>
      <c r="UB1202" s="31"/>
      <c r="UC1202" s="31"/>
      <c r="UD1202" s="31"/>
      <c r="UE1202" s="31"/>
      <c r="UF1202" s="31"/>
      <c r="UG1202" s="33"/>
    </row>
    <row r="1203" spans="1:553" ht="29.25" customHeight="1">
      <c r="A1203" s="356" t="s">
        <v>80</v>
      </c>
      <c r="B1203" s="780"/>
      <c r="C1203" s="1580" t="s">
        <v>62</v>
      </c>
      <c r="D1203" s="1461"/>
      <c r="E1203" s="1461"/>
      <c r="F1203" s="1462"/>
      <c r="G1203" s="680"/>
      <c r="H1203" s="654"/>
      <c r="I1203" s="654"/>
      <c r="J1203" s="1067"/>
      <c r="K1203" s="681"/>
      <c r="L1203" s="414"/>
      <c r="M1203" s="414"/>
      <c r="N1203" s="356"/>
      <c r="O1203" s="356"/>
      <c r="P1203" s="358">
        <f>L1203</f>
        <v>0</v>
      </c>
      <c r="Q1203" s="610"/>
      <c r="R1203" s="1447" t="s">
        <v>63</v>
      </c>
      <c r="S1203" s="308"/>
      <c r="T1203" s="308"/>
      <c r="U1203" s="308"/>
      <c r="V1203" s="308"/>
      <c r="W1203" s="308"/>
      <c r="X1203" s="308"/>
      <c r="Y1203" s="308"/>
      <c r="Z1203" s="604"/>
      <c r="AA1203" s="308"/>
      <c r="AB1203" s="308"/>
      <c r="AC1203" s="365"/>
      <c r="AD1203" s="365"/>
      <c r="AE1203" s="365"/>
      <c r="AF1203" s="365"/>
      <c r="AG1203" s="365"/>
      <c r="AH1203" s="365"/>
      <c r="AI1203" s="365"/>
      <c r="AJ1203" s="365"/>
      <c r="AK1203" s="377"/>
      <c r="AL1203" s="343"/>
      <c r="AM1203" s="24"/>
      <c r="AN1203" s="24"/>
      <c r="AO1203" s="24"/>
      <c r="AP1203" s="24"/>
      <c r="AQ1203" s="24"/>
      <c r="AR1203" s="24"/>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c r="BM1203" s="18"/>
      <c r="BN1203" s="18"/>
      <c r="BO1203" s="18"/>
      <c r="BP1203" s="18"/>
      <c r="BQ1203" s="18"/>
      <c r="BR1203" s="18"/>
      <c r="BS1203" s="18"/>
      <c r="BT1203" s="18"/>
      <c r="BU1203" s="18"/>
      <c r="BV1203" s="18"/>
      <c r="BW1203" s="18"/>
      <c r="BX1203" s="18"/>
      <c r="BY1203" s="18"/>
      <c r="BZ1203" s="18"/>
      <c r="CA1203" s="18"/>
      <c r="CB1203" s="18"/>
      <c r="CC1203" s="18"/>
      <c r="CD1203" s="18"/>
      <c r="CE1203" s="18"/>
      <c r="CF1203" s="18"/>
      <c r="CG1203" s="18"/>
      <c r="CH1203" s="18"/>
      <c r="CI1203" s="18"/>
      <c r="CJ1203" s="18"/>
      <c r="CK1203" s="18"/>
      <c r="CL1203" s="18"/>
      <c r="CM1203" s="18"/>
      <c r="CN1203" s="18"/>
      <c r="CO1203" s="18"/>
      <c r="CP1203" s="18"/>
      <c r="CQ1203" s="18"/>
      <c r="CR1203" s="18"/>
      <c r="CS1203" s="18"/>
      <c r="CT1203" s="18"/>
      <c r="CU1203" s="18"/>
      <c r="CV1203" s="18"/>
      <c r="CW1203" s="18"/>
      <c r="CX1203" s="18"/>
      <c r="CY1203" s="18"/>
      <c r="CZ1203" s="18"/>
      <c r="DA1203" s="18"/>
      <c r="DB1203" s="18"/>
      <c r="DC1203" s="18"/>
      <c r="DD1203" s="18"/>
      <c r="DE1203" s="18"/>
      <c r="DF1203" s="18"/>
      <c r="DG1203" s="18"/>
      <c r="DH1203" s="18"/>
      <c r="DI1203" s="18"/>
      <c r="DJ1203" s="18"/>
      <c r="DK1203" s="18"/>
      <c r="DL1203" s="18"/>
      <c r="DM1203" s="18"/>
      <c r="DN1203" s="18"/>
      <c r="DO1203" s="18"/>
      <c r="DP1203" s="18"/>
      <c r="DQ1203" s="18"/>
      <c r="DR1203" s="18"/>
      <c r="DS1203" s="18"/>
      <c r="DT1203" s="18"/>
      <c r="DU1203" s="18"/>
      <c r="DV1203" s="18"/>
      <c r="DW1203" s="18"/>
      <c r="DX1203" s="18"/>
      <c r="DY1203" s="18"/>
      <c r="DZ1203" s="18"/>
      <c r="EA1203" s="18"/>
      <c r="EB1203" s="18"/>
      <c r="EC1203" s="18"/>
      <c r="ED1203" s="18"/>
      <c r="EE1203" s="18"/>
      <c r="EF1203" s="18"/>
      <c r="EG1203" s="18"/>
      <c r="EH1203" s="18"/>
      <c r="EI1203" s="18"/>
      <c r="EJ1203" s="18"/>
      <c r="EK1203" s="18"/>
      <c r="EL1203" s="18"/>
      <c r="EM1203" s="18"/>
      <c r="EN1203" s="18"/>
      <c r="EO1203" s="18"/>
      <c r="EP1203" s="18"/>
      <c r="EQ1203" s="18"/>
      <c r="ER1203" s="18"/>
      <c r="ES1203" s="18"/>
      <c r="ET1203" s="18"/>
      <c r="EU1203" s="18"/>
      <c r="EV1203" s="18"/>
      <c r="EW1203" s="18"/>
      <c r="EX1203" s="18"/>
      <c r="EY1203" s="18"/>
      <c r="EZ1203" s="18"/>
      <c r="FA1203" s="18"/>
      <c r="FB1203" s="18"/>
      <c r="FC1203" s="18"/>
      <c r="FD1203" s="18"/>
      <c r="FE1203" s="18"/>
      <c r="FF1203" s="18"/>
      <c r="FG1203" s="18"/>
      <c r="FH1203" s="18"/>
      <c r="FI1203" s="18"/>
      <c r="FJ1203" s="18"/>
      <c r="FK1203" s="18"/>
      <c r="FL1203" s="18"/>
      <c r="FM1203" s="18"/>
      <c r="FN1203" s="18"/>
      <c r="FO1203" s="18"/>
      <c r="FP1203" s="18"/>
      <c r="FQ1203" s="18"/>
      <c r="FR1203" s="18"/>
      <c r="FS1203" s="18"/>
      <c r="FT1203" s="18"/>
      <c r="FU1203" s="18"/>
      <c r="FV1203" s="18"/>
      <c r="FW1203" s="18"/>
      <c r="FX1203" s="18"/>
      <c r="FY1203" s="18"/>
      <c r="FZ1203" s="18"/>
      <c r="GA1203" s="18"/>
      <c r="GB1203" s="18"/>
      <c r="GC1203" s="18"/>
      <c r="GD1203" s="18"/>
      <c r="GE1203" s="18"/>
      <c r="GF1203" s="18"/>
      <c r="GG1203" s="18"/>
      <c r="GH1203" s="18"/>
      <c r="GI1203" s="18"/>
      <c r="GJ1203" s="18"/>
      <c r="GK1203" s="18"/>
      <c r="GL1203" s="18"/>
      <c r="GM1203" s="18"/>
      <c r="GN1203" s="18"/>
      <c r="GO1203" s="18"/>
      <c r="GP1203" s="18"/>
      <c r="GQ1203" s="18"/>
      <c r="GR1203" s="18"/>
      <c r="GS1203" s="18"/>
      <c r="GT1203" s="18"/>
      <c r="GU1203" s="18"/>
      <c r="GV1203" s="18"/>
      <c r="GW1203" s="18"/>
      <c r="GX1203" s="18"/>
      <c r="GY1203" s="18"/>
      <c r="GZ1203" s="18"/>
      <c r="HA1203" s="18"/>
      <c r="HB1203" s="18"/>
      <c r="HC1203" s="18"/>
      <c r="HD1203" s="18"/>
      <c r="HE1203" s="18"/>
      <c r="HF1203" s="18"/>
      <c r="HG1203" s="18"/>
      <c r="HH1203" s="18"/>
      <c r="HI1203" s="18"/>
      <c r="HJ1203" s="18"/>
      <c r="HK1203" s="18"/>
      <c r="HL1203" s="18"/>
      <c r="HM1203" s="18"/>
      <c r="HN1203" s="18"/>
      <c r="HO1203" s="18"/>
      <c r="HP1203" s="18"/>
      <c r="HQ1203" s="18"/>
      <c r="HR1203" s="18"/>
      <c r="HS1203" s="18"/>
      <c r="HT1203" s="18"/>
      <c r="HU1203" s="18"/>
      <c r="HV1203" s="18"/>
      <c r="HW1203" s="18"/>
      <c r="HX1203" s="18"/>
      <c r="HY1203" s="18"/>
      <c r="HZ1203" s="18"/>
      <c r="IA1203" s="18"/>
      <c r="IB1203" s="18"/>
      <c r="IC1203" s="18"/>
      <c r="ID1203" s="18"/>
      <c r="IE1203" s="18"/>
      <c r="IF1203" s="18"/>
      <c r="IG1203" s="18"/>
      <c r="IH1203" s="18"/>
      <c r="II1203" s="18"/>
      <c r="IJ1203" s="18"/>
      <c r="IK1203" s="18"/>
      <c r="IL1203" s="18"/>
      <c r="IM1203" s="18"/>
      <c r="IN1203" s="18"/>
      <c r="IO1203" s="18"/>
      <c r="IP1203" s="18"/>
      <c r="IQ1203" s="18"/>
      <c r="IR1203" s="18"/>
      <c r="IS1203" s="18"/>
      <c r="IT1203" s="18"/>
      <c r="IU1203" s="18"/>
      <c r="IV1203" s="18"/>
      <c r="IW1203" s="18"/>
      <c r="IX1203" s="18"/>
      <c r="IY1203" s="18"/>
      <c r="IZ1203" s="18"/>
      <c r="JA1203" s="18"/>
      <c r="JB1203" s="18"/>
      <c r="JC1203" s="18"/>
      <c r="JD1203" s="18"/>
      <c r="JE1203" s="18"/>
      <c r="JF1203" s="18"/>
      <c r="JG1203" s="18"/>
      <c r="JH1203" s="18"/>
      <c r="JI1203" s="18"/>
      <c r="JJ1203" s="18"/>
      <c r="JK1203" s="18"/>
      <c r="JL1203" s="18"/>
      <c r="JM1203" s="18"/>
      <c r="JN1203" s="18"/>
      <c r="JO1203" s="18"/>
      <c r="JP1203" s="18"/>
      <c r="JQ1203" s="18"/>
      <c r="JR1203" s="18"/>
      <c r="JS1203" s="18"/>
      <c r="JT1203" s="18"/>
      <c r="JU1203" s="18"/>
      <c r="JV1203" s="18"/>
      <c r="JW1203" s="18"/>
      <c r="JX1203" s="18"/>
      <c r="JY1203" s="18"/>
      <c r="JZ1203" s="18"/>
      <c r="KA1203" s="18"/>
      <c r="KB1203" s="18"/>
      <c r="KC1203" s="18"/>
      <c r="KD1203" s="18"/>
      <c r="KE1203" s="18"/>
      <c r="KF1203" s="18"/>
      <c r="KG1203" s="18"/>
      <c r="KH1203" s="18"/>
      <c r="KI1203" s="18"/>
      <c r="KJ1203" s="18"/>
      <c r="KK1203" s="18"/>
      <c r="KL1203" s="18"/>
      <c r="KM1203" s="18"/>
      <c r="KN1203" s="18"/>
      <c r="KO1203" s="18"/>
      <c r="KP1203" s="18"/>
      <c r="KQ1203" s="18"/>
      <c r="KR1203" s="18"/>
      <c r="KS1203" s="18"/>
      <c r="KT1203" s="18"/>
      <c r="KU1203" s="18"/>
      <c r="KV1203" s="18"/>
      <c r="KW1203" s="18"/>
      <c r="KX1203" s="18"/>
      <c r="KY1203" s="18"/>
      <c r="KZ1203" s="18"/>
      <c r="LA1203" s="18"/>
      <c r="LB1203" s="18"/>
      <c r="LC1203" s="18"/>
      <c r="LD1203" s="18"/>
      <c r="LE1203" s="18"/>
      <c r="LF1203" s="18"/>
      <c r="LG1203" s="18"/>
      <c r="LH1203" s="18"/>
      <c r="LI1203" s="18"/>
      <c r="LJ1203" s="18"/>
      <c r="LK1203" s="18"/>
      <c r="LL1203" s="18"/>
      <c r="LM1203" s="18"/>
      <c r="LN1203" s="18"/>
      <c r="LO1203" s="18"/>
      <c r="LP1203" s="18"/>
      <c r="LQ1203" s="18"/>
      <c r="LR1203" s="18"/>
      <c r="LS1203" s="18"/>
      <c r="LT1203" s="18"/>
      <c r="LU1203" s="18"/>
      <c r="LV1203" s="18"/>
      <c r="LW1203" s="18"/>
      <c r="LX1203" s="18"/>
      <c r="LY1203" s="18"/>
      <c r="LZ1203" s="18"/>
      <c r="MA1203" s="18"/>
      <c r="MB1203" s="18"/>
      <c r="MC1203" s="18"/>
      <c r="MD1203" s="18"/>
      <c r="ME1203" s="18"/>
      <c r="MF1203" s="18"/>
      <c r="MG1203" s="18"/>
      <c r="MH1203" s="18"/>
      <c r="MI1203" s="18"/>
      <c r="MJ1203" s="18"/>
      <c r="MK1203" s="18"/>
      <c r="ML1203" s="18"/>
      <c r="MM1203" s="18"/>
      <c r="MN1203" s="18"/>
      <c r="MO1203" s="18"/>
      <c r="MP1203" s="18"/>
      <c r="MQ1203" s="18"/>
      <c r="MR1203" s="18"/>
      <c r="MS1203" s="18"/>
      <c r="MT1203" s="18"/>
      <c r="MU1203" s="18"/>
      <c r="MV1203" s="18"/>
      <c r="MW1203" s="18"/>
      <c r="MX1203" s="18"/>
      <c r="MY1203" s="18"/>
      <c r="MZ1203" s="18"/>
      <c r="NA1203" s="18"/>
      <c r="NB1203" s="18"/>
      <c r="NC1203" s="18"/>
      <c r="ND1203" s="18"/>
      <c r="NE1203" s="18"/>
      <c r="NF1203" s="18"/>
      <c r="NG1203" s="18"/>
      <c r="NH1203" s="18"/>
      <c r="NI1203" s="18"/>
      <c r="NJ1203" s="18"/>
      <c r="NK1203" s="18"/>
      <c r="NL1203" s="18"/>
      <c r="NM1203" s="18"/>
      <c r="NN1203" s="18"/>
      <c r="NO1203" s="18"/>
      <c r="NP1203" s="18"/>
      <c r="NQ1203" s="18"/>
      <c r="NR1203" s="18"/>
      <c r="NS1203" s="18"/>
      <c r="NT1203" s="18"/>
      <c r="NU1203" s="18"/>
      <c r="NV1203" s="18"/>
      <c r="NW1203" s="18"/>
      <c r="NX1203" s="18"/>
      <c r="NY1203" s="18"/>
      <c r="NZ1203" s="18"/>
      <c r="OA1203" s="18"/>
      <c r="OB1203" s="18"/>
      <c r="OC1203" s="18"/>
      <c r="OD1203" s="18"/>
      <c r="OE1203" s="18"/>
      <c r="OF1203" s="18"/>
      <c r="OG1203" s="18"/>
      <c r="OH1203" s="18"/>
      <c r="OI1203" s="18"/>
      <c r="OJ1203" s="18"/>
      <c r="OK1203" s="18"/>
      <c r="OL1203" s="18"/>
      <c r="OM1203" s="18"/>
      <c r="ON1203" s="18"/>
      <c r="OO1203" s="18"/>
      <c r="OP1203" s="18"/>
      <c r="OQ1203" s="18"/>
      <c r="OR1203" s="18"/>
      <c r="OS1203" s="18"/>
      <c r="OT1203" s="18"/>
      <c r="OU1203" s="18"/>
      <c r="OV1203" s="18"/>
      <c r="OW1203" s="18"/>
      <c r="OX1203" s="18"/>
      <c r="OY1203" s="18"/>
      <c r="OZ1203" s="18"/>
      <c r="PA1203" s="18"/>
      <c r="PB1203" s="18"/>
      <c r="PC1203" s="18"/>
      <c r="PD1203" s="18"/>
      <c r="PE1203" s="18"/>
      <c r="PF1203" s="18"/>
      <c r="PG1203" s="18"/>
      <c r="PH1203" s="18"/>
      <c r="PI1203" s="18"/>
      <c r="PJ1203" s="18"/>
      <c r="PK1203" s="18"/>
      <c r="PL1203" s="18"/>
      <c r="PM1203" s="18"/>
      <c r="PN1203" s="18"/>
      <c r="PO1203" s="18"/>
      <c r="PP1203" s="18"/>
      <c r="PQ1203" s="18"/>
      <c r="PR1203" s="18"/>
      <c r="PS1203" s="18"/>
      <c r="PT1203" s="18"/>
      <c r="PU1203" s="18"/>
      <c r="PV1203" s="18"/>
      <c r="PW1203" s="18"/>
      <c r="PX1203" s="18"/>
      <c r="PY1203" s="18"/>
      <c r="PZ1203" s="18"/>
      <c r="QA1203" s="18"/>
      <c r="QB1203" s="18"/>
      <c r="QC1203" s="18"/>
      <c r="QD1203" s="18"/>
      <c r="QE1203" s="18"/>
      <c r="QF1203" s="18"/>
      <c r="QG1203" s="18"/>
      <c r="QH1203" s="18"/>
      <c r="QI1203" s="18"/>
      <c r="QJ1203" s="18"/>
      <c r="QK1203" s="18"/>
      <c r="QL1203" s="18"/>
      <c r="QM1203" s="18"/>
      <c r="QN1203" s="18"/>
      <c r="QO1203" s="18"/>
      <c r="QP1203" s="18"/>
      <c r="QQ1203" s="18"/>
      <c r="QR1203" s="18"/>
      <c r="QS1203" s="18"/>
      <c r="QT1203" s="18"/>
      <c r="QU1203" s="18"/>
      <c r="QV1203" s="18"/>
      <c r="QW1203" s="18"/>
      <c r="QX1203" s="18"/>
      <c r="QY1203" s="18"/>
      <c r="QZ1203" s="18"/>
      <c r="RA1203" s="18"/>
      <c r="RB1203" s="18"/>
      <c r="RC1203" s="18"/>
      <c r="RD1203" s="18"/>
      <c r="RE1203" s="18"/>
      <c r="RF1203" s="18"/>
      <c r="RG1203" s="18"/>
      <c r="RH1203" s="18"/>
      <c r="RI1203" s="18"/>
      <c r="RJ1203" s="18"/>
      <c r="RK1203" s="18"/>
      <c r="RL1203" s="18"/>
      <c r="RM1203" s="18"/>
      <c r="RN1203" s="18"/>
      <c r="RO1203" s="18"/>
      <c r="RP1203" s="18"/>
      <c r="RQ1203" s="18"/>
      <c r="RR1203" s="18"/>
      <c r="RS1203" s="18"/>
      <c r="RT1203" s="18"/>
      <c r="RU1203" s="18"/>
      <c r="RV1203" s="18"/>
      <c r="RW1203" s="18"/>
      <c r="RX1203" s="18"/>
      <c r="RY1203" s="18"/>
      <c r="RZ1203" s="18"/>
      <c r="SA1203" s="18"/>
      <c r="SB1203" s="18"/>
      <c r="SC1203" s="18"/>
      <c r="SD1203" s="18"/>
      <c r="SE1203" s="18"/>
      <c r="SF1203" s="18"/>
      <c r="SG1203" s="18"/>
      <c r="SH1203" s="18"/>
      <c r="SI1203" s="18"/>
      <c r="SJ1203" s="18"/>
      <c r="SK1203" s="18"/>
      <c r="SL1203" s="18"/>
      <c r="SM1203" s="18"/>
      <c r="SN1203" s="18"/>
      <c r="SO1203" s="18"/>
      <c r="SP1203" s="18"/>
      <c r="SQ1203" s="18"/>
      <c r="SR1203" s="18"/>
      <c r="SS1203" s="18"/>
      <c r="ST1203" s="18"/>
      <c r="SU1203" s="18"/>
      <c r="SV1203" s="18"/>
      <c r="SW1203" s="18"/>
      <c r="SX1203" s="18"/>
      <c r="SY1203" s="18"/>
      <c r="SZ1203" s="18"/>
      <c r="TA1203" s="18"/>
      <c r="TB1203" s="18"/>
      <c r="TC1203" s="18"/>
      <c r="TD1203" s="18"/>
      <c r="TE1203" s="18"/>
      <c r="TF1203" s="18"/>
      <c r="TG1203" s="18"/>
      <c r="TH1203" s="18"/>
      <c r="TI1203" s="18"/>
      <c r="TJ1203" s="18"/>
      <c r="TK1203" s="18"/>
      <c r="TL1203" s="18"/>
      <c r="TM1203" s="18"/>
      <c r="TN1203" s="18"/>
      <c r="TO1203" s="18"/>
      <c r="TP1203" s="18"/>
      <c r="TQ1203" s="18"/>
      <c r="TR1203" s="18"/>
      <c r="TS1203" s="18"/>
      <c r="TT1203" s="18"/>
      <c r="TU1203" s="18"/>
      <c r="TV1203" s="18"/>
      <c r="TW1203" s="18"/>
      <c r="TX1203" s="18"/>
      <c r="TY1203" s="18"/>
      <c r="TZ1203" s="18"/>
      <c r="UA1203" s="18"/>
      <c r="UB1203" s="18"/>
      <c r="UC1203" s="18"/>
      <c r="UD1203" s="18"/>
      <c r="UE1203" s="18"/>
      <c r="UF1203" s="18"/>
      <c r="UG1203" s="19"/>
    </row>
    <row r="1204" spans="1:553" ht="30" customHeight="1">
      <c r="A1204" s="356"/>
      <c r="B1204" s="428"/>
      <c r="C1204" s="1451" t="s">
        <v>531</v>
      </c>
      <c r="D1204" s="1389"/>
      <c r="E1204" s="1389"/>
      <c r="F1204" s="1390"/>
      <c r="G1204" s="386" t="s">
        <v>65</v>
      </c>
      <c r="H1204" s="370"/>
      <c r="I1204" s="1056"/>
      <c r="J1204" s="368"/>
      <c r="K1204" s="371"/>
      <c r="L1204" s="366"/>
      <c r="M1204" s="356"/>
      <c r="N1204" s="356"/>
      <c r="O1204" s="356"/>
      <c r="P1204" s="356"/>
      <c r="Q1204" s="610"/>
      <c r="R1204" s="1452"/>
      <c r="S1204" s="308"/>
      <c r="T1204" s="308"/>
      <c r="U1204" s="308"/>
      <c r="V1204" s="308"/>
      <c r="W1204" s="308"/>
      <c r="X1204" s="308"/>
      <c r="Y1204" s="308"/>
      <c r="Z1204" s="604"/>
      <c r="AA1204" s="308"/>
      <c r="AB1204" s="308"/>
      <c r="AC1204" s="454"/>
      <c r="AD1204" s="454"/>
      <c r="AE1204" s="454"/>
      <c r="AF1204" s="454"/>
      <c r="AG1204" s="454"/>
      <c r="AH1204" s="454"/>
      <c r="AI1204" s="454"/>
      <c r="AJ1204" s="454"/>
      <c r="AK1204" s="455"/>
      <c r="AL1204" s="110"/>
      <c r="AM1204" s="34"/>
      <c r="AN1204" s="34"/>
      <c r="AO1204" s="34"/>
      <c r="AP1204" s="34"/>
      <c r="AQ1204" s="34"/>
      <c r="AR1204" s="34"/>
      <c r="AS1204" s="35"/>
      <c r="AT1204" s="35"/>
      <c r="AU1204" s="35"/>
      <c r="AV1204" s="35"/>
      <c r="AW1204" s="35"/>
      <c r="AX1204" s="35"/>
      <c r="AY1204" s="35"/>
      <c r="AZ1204" s="35"/>
      <c r="BA1204" s="35"/>
      <c r="BB1204" s="35"/>
      <c r="BC1204" s="35"/>
      <c r="BD1204" s="35"/>
      <c r="BE1204" s="35"/>
      <c r="BF1204" s="35"/>
      <c r="BG1204" s="35"/>
      <c r="BH1204" s="35"/>
      <c r="BI1204" s="35"/>
      <c r="BJ1204" s="35"/>
      <c r="BK1204" s="35"/>
      <c r="BL1204" s="35"/>
      <c r="BM1204" s="35"/>
      <c r="BN1204" s="35"/>
      <c r="BO1204" s="35"/>
      <c r="BP1204" s="36"/>
      <c r="BQ1204" s="36"/>
      <c r="BR1204" s="36"/>
      <c r="BS1204" s="36"/>
      <c r="BT1204" s="36"/>
      <c r="BU1204" s="36"/>
      <c r="BV1204" s="36"/>
      <c r="BW1204" s="36"/>
      <c r="BX1204" s="36"/>
      <c r="BY1204" s="36"/>
      <c r="BZ1204" s="36"/>
      <c r="CA1204" s="36"/>
      <c r="CB1204" s="36"/>
      <c r="CC1204" s="36"/>
      <c r="CD1204" s="36"/>
      <c r="CE1204" s="36"/>
      <c r="CF1204" s="36"/>
      <c r="CG1204" s="36"/>
      <c r="CH1204" s="36"/>
      <c r="CI1204" s="36"/>
      <c r="CJ1204" s="36"/>
      <c r="CK1204" s="36"/>
      <c r="CL1204" s="36"/>
      <c r="CM1204" s="36"/>
      <c r="CN1204" s="36"/>
      <c r="CO1204" s="36"/>
      <c r="CP1204" s="36"/>
      <c r="CQ1204" s="36"/>
      <c r="CR1204" s="36"/>
      <c r="CS1204" s="36"/>
      <c r="CT1204" s="36"/>
      <c r="CU1204" s="36"/>
      <c r="CV1204" s="36"/>
      <c r="CW1204" s="36"/>
      <c r="CX1204" s="36"/>
      <c r="CY1204" s="36"/>
      <c r="CZ1204" s="36"/>
      <c r="DA1204" s="36"/>
      <c r="DB1204" s="36"/>
      <c r="DC1204" s="36"/>
      <c r="DD1204" s="36"/>
      <c r="DE1204" s="36"/>
      <c r="DF1204" s="36"/>
      <c r="DG1204" s="36"/>
      <c r="DH1204" s="36"/>
      <c r="DI1204" s="36"/>
      <c r="DJ1204" s="36"/>
      <c r="DK1204" s="36"/>
      <c r="DL1204" s="36"/>
      <c r="DM1204" s="36"/>
      <c r="DN1204" s="36"/>
      <c r="DO1204" s="36"/>
      <c r="DP1204" s="36"/>
      <c r="DQ1204" s="36"/>
      <c r="DR1204" s="36"/>
      <c r="DS1204" s="36"/>
      <c r="DT1204" s="36"/>
      <c r="DU1204" s="36"/>
      <c r="DV1204" s="36"/>
      <c r="DW1204" s="36"/>
      <c r="DX1204" s="36"/>
      <c r="DY1204" s="36"/>
      <c r="DZ1204" s="36"/>
      <c r="EA1204" s="36"/>
      <c r="EB1204" s="36"/>
      <c r="EC1204" s="36"/>
      <c r="ED1204" s="36"/>
      <c r="EE1204" s="36"/>
      <c r="EF1204" s="36"/>
      <c r="EG1204" s="36"/>
      <c r="EH1204" s="36"/>
      <c r="EI1204" s="36"/>
      <c r="EJ1204" s="36"/>
      <c r="EK1204" s="36"/>
      <c r="EL1204" s="36"/>
      <c r="EM1204" s="36"/>
      <c r="EN1204" s="36"/>
      <c r="EO1204" s="36"/>
      <c r="EP1204" s="36"/>
      <c r="EQ1204" s="36"/>
      <c r="ER1204" s="36"/>
      <c r="ES1204" s="36"/>
      <c r="ET1204" s="36"/>
      <c r="EU1204" s="36"/>
      <c r="EV1204" s="36"/>
      <c r="EW1204" s="36"/>
      <c r="EX1204" s="36"/>
      <c r="EY1204" s="36"/>
      <c r="EZ1204" s="36"/>
      <c r="FA1204" s="36"/>
      <c r="FB1204" s="36"/>
      <c r="FC1204" s="36"/>
      <c r="FD1204" s="36"/>
      <c r="FE1204" s="36"/>
      <c r="FF1204" s="36"/>
      <c r="FG1204" s="36"/>
      <c r="FH1204" s="36"/>
      <c r="FI1204" s="36"/>
      <c r="FJ1204" s="36"/>
      <c r="FK1204" s="36"/>
      <c r="FL1204" s="36"/>
      <c r="FM1204" s="36"/>
      <c r="FN1204" s="36"/>
      <c r="FO1204" s="36"/>
      <c r="FP1204" s="36"/>
      <c r="FQ1204" s="36"/>
      <c r="FR1204" s="36"/>
      <c r="FS1204" s="36"/>
      <c r="FT1204" s="36"/>
      <c r="FU1204" s="36"/>
      <c r="FV1204" s="36"/>
      <c r="FW1204" s="36"/>
      <c r="FX1204" s="36"/>
      <c r="FY1204" s="36"/>
      <c r="FZ1204" s="36"/>
      <c r="GA1204" s="36"/>
      <c r="GB1204" s="36"/>
      <c r="GC1204" s="36"/>
      <c r="GD1204" s="36"/>
      <c r="GE1204" s="36"/>
      <c r="GF1204" s="36"/>
      <c r="GG1204" s="36"/>
      <c r="GH1204" s="36"/>
      <c r="GI1204" s="36"/>
      <c r="GJ1204" s="36"/>
      <c r="GK1204" s="36"/>
      <c r="GL1204" s="36"/>
      <c r="GM1204" s="36"/>
      <c r="GN1204" s="36"/>
      <c r="GO1204" s="36"/>
      <c r="GP1204" s="36"/>
      <c r="GQ1204" s="36"/>
      <c r="GR1204" s="36"/>
      <c r="GS1204" s="36"/>
      <c r="GT1204" s="36"/>
      <c r="GU1204" s="36"/>
      <c r="GV1204" s="36"/>
      <c r="GW1204" s="36"/>
      <c r="GX1204" s="36"/>
      <c r="GY1204" s="36"/>
      <c r="GZ1204" s="36"/>
      <c r="HA1204" s="36"/>
      <c r="HB1204" s="36"/>
      <c r="HC1204" s="36"/>
      <c r="HD1204" s="36"/>
      <c r="HE1204" s="36"/>
      <c r="HF1204" s="36"/>
      <c r="HG1204" s="36"/>
      <c r="HH1204" s="36"/>
      <c r="HI1204" s="36"/>
      <c r="HJ1204" s="36"/>
      <c r="HK1204" s="36"/>
      <c r="HL1204" s="36"/>
      <c r="HM1204" s="36"/>
      <c r="HN1204" s="36"/>
      <c r="HO1204" s="36"/>
      <c r="HP1204" s="36"/>
      <c r="HQ1204" s="36"/>
      <c r="HR1204" s="36"/>
      <c r="HS1204" s="36"/>
      <c r="HT1204" s="36"/>
      <c r="HU1204" s="36"/>
      <c r="HV1204" s="36"/>
      <c r="HW1204" s="36"/>
      <c r="HX1204" s="36"/>
      <c r="HY1204" s="36"/>
      <c r="HZ1204" s="36"/>
      <c r="IA1204" s="36"/>
      <c r="IB1204" s="36"/>
      <c r="IC1204" s="36"/>
      <c r="ID1204" s="36"/>
      <c r="IE1204" s="36"/>
      <c r="IF1204" s="36"/>
      <c r="IG1204" s="36"/>
      <c r="IH1204" s="36"/>
      <c r="II1204" s="36"/>
      <c r="IJ1204" s="36"/>
      <c r="IK1204" s="36"/>
      <c r="IL1204" s="36"/>
      <c r="IM1204" s="36"/>
      <c r="IN1204" s="36"/>
      <c r="IO1204" s="36"/>
      <c r="IP1204" s="36"/>
      <c r="IQ1204" s="36"/>
      <c r="IR1204" s="36"/>
      <c r="IS1204" s="36"/>
      <c r="IT1204" s="36"/>
      <c r="IU1204" s="36"/>
      <c r="IV1204" s="36"/>
      <c r="IW1204" s="36"/>
      <c r="IX1204" s="36"/>
      <c r="IY1204" s="36"/>
      <c r="IZ1204" s="36"/>
      <c r="JA1204" s="36"/>
      <c r="JB1204" s="36"/>
      <c r="JC1204" s="36"/>
      <c r="JD1204" s="36"/>
      <c r="JE1204" s="36"/>
      <c r="JF1204" s="36"/>
      <c r="JG1204" s="36"/>
      <c r="JH1204" s="36"/>
      <c r="JI1204" s="36"/>
      <c r="JJ1204" s="36"/>
      <c r="JK1204" s="36"/>
      <c r="JL1204" s="36"/>
      <c r="JM1204" s="36"/>
      <c r="JN1204" s="36"/>
      <c r="JO1204" s="36"/>
      <c r="JP1204" s="36"/>
      <c r="JQ1204" s="36"/>
      <c r="JR1204" s="36"/>
      <c r="JS1204" s="36"/>
      <c r="JT1204" s="36"/>
      <c r="JU1204" s="36"/>
      <c r="JV1204" s="36"/>
      <c r="JW1204" s="36"/>
      <c r="JX1204" s="36"/>
      <c r="JY1204" s="36"/>
      <c r="JZ1204" s="36"/>
      <c r="KA1204" s="36"/>
      <c r="KB1204" s="36"/>
      <c r="KC1204" s="36"/>
      <c r="KD1204" s="36"/>
      <c r="KE1204" s="36"/>
      <c r="KF1204" s="36"/>
      <c r="KG1204" s="36"/>
      <c r="KH1204" s="36"/>
      <c r="KI1204" s="36"/>
      <c r="KJ1204" s="36"/>
      <c r="KK1204" s="36"/>
      <c r="KL1204" s="36"/>
      <c r="KM1204" s="36"/>
      <c r="KN1204" s="36"/>
      <c r="KO1204" s="36"/>
      <c r="KP1204" s="36"/>
      <c r="KQ1204" s="36"/>
      <c r="KR1204" s="36"/>
      <c r="KS1204" s="36"/>
      <c r="KT1204" s="36"/>
      <c r="KU1204" s="36"/>
      <c r="KV1204" s="36"/>
      <c r="KW1204" s="36"/>
      <c r="KX1204" s="36"/>
      <c r="KY1204" s="36"/>
      <c r="KZ1204" s="36"/>
      <c r="LA1204" s="36"/>
      <c r="LB1204" s="36"/>
      <c r="LC1204" s="36"/>
      <c r="LD1204" s="36"/>
      <c r="LE1204" s="36"/>
      <c r="LF1204" s="36"/>
      <c r="LG1204" s="36"/>
      <c r="LH1204" s="36"/>
      <c r="LI1204" s="36"/>
      <c r="LJ1204" s="36"/>
      <c r="LK1204" s="36"/>
      <c r="LL1204" s="36"/>
      <c r="LM1204" s="36"/>
      <c r="LN1204" s="36"/>
      <c r="LO1204" s="36"/>
      <c r="LP1204" s="36"/>
      <c r="LQ1204" s="36"/>
      <c r="LR1204" s="36"/>
      <c r="LS1204" s="36"/>
      <c r="LT1204" s="36"/>
      <c r="LU1204" s="36"/>
      <c r="LV1204" s="36"/>
      <c r="LW1204" s="36"/>
      <c r="LX1204" s="36"/>
      <c r="LY1204" s="36"/>
      <c r="LZ1204" s="36"/>
      <c r="MA1204" s="36"/>
      <c r="MB1204" s="36"/>
      <c r="MC1204" s="36"/>
      <c r="MD1204" s="36"/>
      <c r="ME1204" s="36"/>
      <c r="MF1204" s="36"/>
      <c r="MG1204" s="36"/>
      <c r="MH1204" s="36"/>
      <c r="MI1204" s="36"/>
      <c r="MJ1204" s="36"/>
      <c r="MK1204" s="36"/>
      <c r="ML1204" s="36"/>
      <c r="MM1204" s="36"/>
      <c r="MN1204" s="36"/>
      <c r="MO1204" s="36"/>
      <c r="MP1204" s="36"/>
      <c r="MQ1204" s="36"/>
      <c r="MR1204" s="36"/>
      <c r="MS1204" s="36"/>
      <c r="MT1204" s="36"/>
      <c r="MU1204" s="36"/>
      <c r="MV1204" s="36"/>
      <c r="MW1204" s="36"/>
      <c r="MX1204" s="36"/>
      <c r="MY1204" s="36"/>
      <c r="MZ1204" s="36"/>
      <c r="NA1204" s="36"/>
      <c r="NB1204" s="36"/>
      <c r="NC1204" s="36"/>
      <c r="ND1204" s="36"/>
      <c r="NE1204" s="36"/>
      <c r="NF1204" s="36"/>
      <c r="NG1204" s="36"/>
      <c r="NH1204" s="36"/>
      <c r="NI1204" s="36"/>
      <c r="NJ1204" s="36"/>
      <c r="NK1204" s="36"/>
      <c r="NL1204" s="36"/>
      <c r="NM1204" s="36"/>
      <c r="NN1204" s="36"/>
      <c r="NO1204" s="36"/>
      <c r="NP1204" s="36"/>
      <c r="NQ1204" s="36"/>
      <c r="NR1204" s="36"/>
      <c r="NS1204" s="36"/>
      <c r="NT1204" s="36"/>
      <c r="NU1204" s="36"/>
      <c r="NV1204" s="36"/>
      <c r="NW1204" s="36"/>
      <c r="NX1204" s="36"/>
      <c r="NY1204" s="36"/>
      <c r="NZ1204" s="36"/>
      <c r="OA1204" s="36"/>
      <c r="OB1204" s="36"/>
      <c r="OC1204" s="36"/>
      <c r="OD1204" s="36"/>
      <c r="OE1204" s="36"/>
      <c r="OF1204" s="36"/>
      <c r="OG1204" s="36"/>
      <c r="OH1204" s="36"/>
      <c r="OI1204" s="36"/>
      <c r="OJ1204" s="36"/>
      <c r="OK1204" s="36"/>
      <c r="OL1204" s="36"/>
      <c r="OM1204" s="36"/>
      <c r="ON1204" s="36"/>
      <c r="OO1204" s="36"/>
      <c r="OP1204" s="36"/>
      <c r="OQ1204" s="36"/>
      <c r="OR1204" s="36"/>
      <c r="OS1204" s="36"/>
      <c r="OT1204" s="36"/>
      <c r="OU1204" s="36"/>
      <c r="OV1204" s="36"/>
      <c r="OW1204" s="36"/>
      <c r="OX1204" s="36"/>
      <c r="OY1204" s="36"/>
      <c r="OZ1204" s="36"/>
      <c r="PA1204" s="36"/>
      <c r="PB1204" s="36"/>
      <c r="PC1204" s="36"/>
      <c r="PD1204" s="36"/>
      <c r="PE1204" s="36"/>
      <c r="PF1204" s="36"/>
      <c r="PG1204" s="36"/>
      <c r="PH1204" s="36"/>
      <c r="PI1204" s="36"/>
      <c r="PJ1204" s="36"/>
      <c r="PK1204" s="36"/>
      <c r="PL1204" s="36"/>
      <c r="PM1204" s="36"/>
      <c r="PN1204" s="36"/>
      <c r="PO1204" s="36"/>
      <c r="PP1204" s="36"/>
      <c r="PQ1204" s="36"/>
      <c r="PR1204" s="36"/>
      <c r="PS1204" s="36"/>
      <c r="PT1204" s="36"/>
      <c r="PU1204" s="36"/>
      <c r="PV1204" s="36"/>
      <c r="PW1204" s="36"/>
      <c r="PX1204" s="36"/>
      <c r="PY1204" s="36"/>
      <c r="PZ1204" s="36"/>
      <c r="QA1204" s="36"/>
      <c r="QB1204" s="36"/>
      <c r="QC1204" s="36"/>
      <c r="QD1204" s="36"/>
      <c r="QE1204" s="36"/>
      <c r="QF1204" s="36"/>
      <c r="QG1204" s="36"/>
      <c r="QH1204" s="36"/>
      <c r="QI1204" s="36"/>
      <c r="QJ1204" s="36"/>
      <c r="QK1204" s="36"/>
      <c r="QL1204" s="36"/>
      <c r="QM1204" s="36"/>
      <c r="QN1204" s="36"/>
      <c r="QO1204" s="36"/>
      <c r="QP1204" s="36"/>
      <c r="QQ1204" s="36"/>
      <c r="QR1204" s="36"/>
      <c r="QS1204" s="36"/>
      <c r="QT1204" s="36"/>
      <c r="QU1204" s="36"/>
      <c r="QV1204" s="36"/>
      <c r="QW1204" s="36"/>
      <c r="QX1204" s="36"/>
      <c r="QY1204" s="36"/>
      <c r="QZ1204" s="36"/>
      <c r="RA1204" s="36"/>
      <c r="RB1204" s="36"/>
      <c r="RC1204" s="36"/>
      <c r="RD1204" s="36"/>
      <c r="RE1204" s="36"/>
      <c r="RF1204" s="36"/>
      <c r="RG1204" s="36"/>
      <c r="RH1204" s="36"/>
      <c r="RI1204" s="36"/>
      <c r="RJ1204" s="36"/>
      <c r="RK1204" s="36"/>
      <c r="RL1204" s="36"/>
      <c r="RM1204" s="36"/>
      <c r="RN1204" s="36"/>
      <c r="RO1204" s="36"/>
      <c r="RP1204" s="36"/>
      <c r="RQ1204" s="36"/>
      <c r="RR1204" s="36"/>
      <c r="RS1204" s="36"/>
      <c r="RT1204" s="36"/>
      <c r="RU1204" s="36"/>
      <c r="RV1204" s="36"/>
      <c r="RW1204" s="36"/>
      <c r="RX1204" s="36"/>
      <c r="RY1204" s="36"/>
      <c r="RZ1204" s="36"/>
      <c r="SA1204" s="36"/>
      <c r="SB1204" s="36"/>
      <c r="SC1204" s="36"/>
      <c r="SD1204" s="36"/>
      <c r="SE1204" s="36"/>
      <c r="SF1204" s="36"/>
      <c r="SG1204" s="36"/>
      <c r="SH1204" s="36"/>
      <c r="SI1204" s="36"/>
      <c r="SJ1204" s="36"/>
      <c r="SK1204" s="36"/>
      <c r="SL1204" s="36"/>
      <c r="SM1204" s="36"/>
      <c r="SN1204" s="36"/>
      <c r="SO1204" s="36"/>
      <c r="SP1204" s="36"/>
      <c r="SQ1204" s="36"/>
      <c r="SR1204" s="36"/>
      <c r="SS1204" s="36"/>
      <c r="ST1204" s="36"/>
      <c r="SU1204" s="36"/>
      <c r="SV1204" s="36"/>
      <c r="SW1204" s="36"/>
      <c r="SX1204" s="36"/>
      <c r="SY1204" s="36"/>
      <c r="SZ1204" s="36"/>
      <c r="TA1204" s="36"/>
      <c r="TB1204" s="36"/>
      <c r="TC1204" s="36"/>
      <c r="TD1204" s="36"/>
      <c r="TE1204" s="36"/>
      <c r="TF1204" s="36"/>
      <c r="TG1204" s="36"/>
      <c r="TH1204" s="36"/>
      <c r="TI1204" s="36"/>
      <c r="TJ1204" s="36"/>
      <c r="TK1204" s="36"/>
      <c r="TL1204" s="36"/>
      <c r="TM1204" s="36"/>
      <c r="TN1204" s="36"/>
      <c r="TO1204" s="36"/>
      <c r="TP1204" s="36"/>
      <c r="TQ1204" s="36"/>
      <c r="TR1204" s="36"/>
      <c r="TS1204" s="36"/>
      <c r="TT1204" s="36"/>
      <c r="TU1204" s="36"/>
      <c r="TV1204" s="36"/>
      <c r="TW1204" s="36"/>
      <c r="TX1204" s="36"/>
      <c r="TY1204" s="36"/>
      <c r="TZ1204" s="36"/>
      <c r="UA1204" s="36"/>
      <c r="UB1204" s="36"/>
      <c r="UC1204" s="36"/>
      <c r="UD1204" s="36"/>
      <c r="UE1204" s="36"/>
      <c r="UF1204" s="36"/>
      <c r="UG1204" s="37"/>
    </row>
    <row r="1205" spans="1:553" ht="30" customHeight="1">
      <c r="A1205" s="356"/>
      <c r="B1205" s="428"/>
      <c r="C1205" s="1404" t="s">
        <v>668</v>
      </c>
      <c r="D1205" s="1389"/>
      <c r="E1205" s="1389"/>
      <c r="F1205" s="1390"/>
      <c r="G1205" s="366" t="s">
        <v>205</v>
      </c>
      <c r="H1205" s="417"/>
      <c r="I1205" s="417"/>
      <c r="J1205" s="368"/>
      <c r="K1205" s="369"/>
      <c r="L1205" s="366"/>
      <c r="M1205" s="356"/>
      <c r="N1205" s="356"/>
      <c r="O1205" s="356"/>
      <c r="P1205" s="356"/>
      <c r="Q1205" s="610"/>
      <c r="R1205" s="1452"/>
      <c r="S1205" s="308"/>
      <c r="T1205" s="308"/>
      <c r="U1205" s="308"/>
      <c r="V1205" s="308"/>
      <c r="W1205" s="308"/>
      <c r="X1205" s="308"/>
      <c r="Y1205" s="308"/>
      <c r="Z1205" s="604"/>
      <c r="AA1205" s="308"/>
      <c r="AB1205" s="308"/>
      <c r="AC1205" s="454"/>
      <c r="AD1205" s="454"/>
      <c r="AE1205" s="454"/>
      <c r="AF1205" s="454"/>
      <c r="AG1205" s="454"/>
      <c r="AH1205" s="454"/>
      <c r="AI1205" s="454"/>
      <c r="AJ1205" s="454"/>
      <c r="AK1205" s="455"/>
      <c r="AL1205" s="110"/>
      <c r="AM1205" s="34"/>
      <c r="AN1205" s="34"/>
      <c r="AO1205" s="34"/>
      <c r="AP1205" s="34"/>
      <c r="AQ1205" s="34"/>
      <c r="AR1205" s="34"/>
      <c r="AS1205" s="35"/>
      <c r="AT1205" s="35"/>
      <c r="AU1205" s="35"/>
      <c r="AV1205" s="35"/>
      <c r="AW1205" s="35"/>
      <c r="AX1205" s="35"/>
      <c r="AY1205" s="35"/>
      <c r="AZ1205" s="35"/>
      <c r="BA1205" s="35"/>
      <c r="BB1205" s="35"/>
      <c r="BC1205" s="35"/>
      <c r="BD1205" s="35"/>
      <c r="BE1205" s="35"/>
      <c r="BF1205" s="35"/>
      <c r="BG1205" s="35"/>
      <c r="BH1205" s="35"/>
      <c r="BI1205" s="35"/>
      <c r="BJ1205" s="35"/>
      <c r="BK1205" s="35"/>
      <c r="BL1205" s="35"/>
      <c r="BM1205" s="35"/>
      <c r="BN1205" s="35"/>
      <c r="BO1205" s="35"/>
      <c r="BP1205" s="36"/>
      <c r="BQ1205" s="36"/>
      <c r="BR1205" s="36"/>
      <c r="BS1205" s="36"/>
      <c r="BT1205" s="36"/>
      <c r="BU1205" s="36"/>
      <c r="BV1205" s="36"/>
      <c r="BW1205" s="36"/>
      <c r="BX1205" s="36"/>
      <c r="BY1205" s="36"/>
      <c r="BZ1205" s="36"/>
      <c r="CA1205" s="36"/>
      <c r="CB1205" s="36"/>
      <c r="CC1205" s="36"/>
      <c r="CD1205" s="36"/>
      <c r="CE1205" s="36"/>
      <c r="CF1205" s="36"/>
      <c r="CG1205" s="36"/>
      <c r="CH1205" s="36"/>
      <c r="CI1205" s="36"/>
      <c r="CJ1205" s="36"/>
      <c r="CK1205" s="36"/>
      <c r="CL1205" s="36"/>
      <c r="CM1205" s="36"/>
      <c r="CN1205" s="36"/>
      <c r="CO1205" s="36"/>
      <c r="CP1205" s="36"/>
      <c r="CQ1205" s="36"/>
      <c r="CR1205" s="36"/>
      <c r="CS1205" s="36"/>
      <c r="CT1205" s="36"/>
      <c r="CU1205" s="36"/>
      <c r="CV1205" s="36"/>
      <c r="CW1205" s="36"/>
      <c r="CX1205" s="36"/>
      <c r="CY1205" s="36"/>
      <c r="CZ1205" s="36"/>
      <c r="DA1205" s="36"/>
      <c r="DB1205" s="36"/>
      <c r="DC1205" s="36"/>
      <c r="DD1205" s="36"/>
      <c r="DE1205" s="36"/>
      <c r="DF1205" s="36"/>
      <c r="DG1205" s="36"/>
      <c r="DH1205" s="36"/>
      <c r="DI1205" s="36"/>
      <c r="DJ1205" s="36"/>
      <c r="DK1205" s="36"/>
      <c r="DL1205" s="36"/>
      <c r="DM1205" s="36"/>
      <c r="DN1205" s="36"/>
      <c r="DO1205" s="36"/>
      <c r="DP1205" s="36"/>
      <c r="DQ1205" s="36"/>
      <c r="DR1205" s="36"/>
      <c r="DS1205" s="36"/>
      <c r="DT1205" s="36"/>
      <c r="DU1205" s="36"/>
      <c r="DV1205" s="36"/>
      <c r="DW1205" s="36"/>
      <c r="DX1205" s="36"/>
      <c r="DY1205" s="36"/>
      <c r="DZ1205" s="36"/>
      <c r="EA1205" s="36"/>
      <c r="EB1205" s="36"/>
      <c r="EC1205" s="36"/>
      <c r="ED1205" s="36"/>
      <c r="EE1205" s="36"/>
      <c r="EF1205" s="36"/>
      <c r="EG1205" s="36"/>
      <c r="EH1205" s="36"/>
      <c r="EI1205" s="36"/>
      <c r="EJ1205" s="36"/>
      <c r="EK1205" s="36"/>
      <c r="EL1205" s="36"/>
      <c r="EM1205" s="36"/>
      <c r="EN1205" s="36"/>
      <c r="EO1205" s="36"/>
      <c r="EP1205" s="36"/>
      <c r="EQ1205" s="36"/>
      <c r="ER1205" s="36"/>
      <c r="ES1205" s="36"/>
      <c r="ET1205" s="36"/>
      <c r="EU1205" s="36"/>
      <c r="EV1205" s="36"/>
      <c r="EW1205" s="36"/>
      <c r="EX1205" s="36"/>
      <c r="EY1205" s="36"/>
      <c r="EZ1205" s="36"/>
      <c r="FA1205" s="36"/>
      <c r="FB1205" s="36"/>
      <c r="FC1205" s="36"/>
      <c r="FD1205" s="36"/>
      <c r="FE1205" s="36"/>
      <c r="FF1205" s="36"/>
      <c r="FG1205" s="36"/>
      <c r="FH1205" s="36"/>
      <c r="FI1205" s="36"/>
      <c r="FJ1205" s="36"/>
      <c r="FK1205" s="36"/>
      <c r="FL1205" s="36"/>
      <c r="FM1205" s="36"/>
      <c r="FN1205" s="36"/>
      <c r="FO1205" s="36"/>
      <c r="FP1205" s="36"/>
      <c r="FQ1205" s="36"/>
      <c r="FR1205" s="36"/>
      <c r="FS1205" s="36"/>
      <c r="FT1205" s="36"/>
      <c r="FU1205" s="36"/>
      <c r="FV1205" s="36"/>
      <c r="FW1205" s="36"/>
      <c r="FX1205" s="36"/>
      <c r="FY1205" s="36"/>
      <c r="FZ1205" s="36"/>
      <c r="GA1205" s="36"/>
      <c r="GB1205" s="36"/>
      <c r="GC1205" s="36"/>
      <c r="GD1205" s="36"/>
      <c r="GE1205" s="36"/>
      <c r="GF1205" s="36"/>
      <c r="GG1205" s="36"/>
      <c r="GH1205" s="36"/>
      <c r="GI1205" s="36"/>
      <c r="GJ1205" s="36"/>
      <c r="GK1205" s="36"/>
      <c r="GL1205" s="36"/>
      <c r="GM1205" s="36"/>
      <c r="GN1205" s="36"/>
      <c r="GO1205" s="36"/>
      <c r="GP1205" s="36"/>
      <c r="GQ1205" s="36"/>
      <c r="GR1205" s="36"/>
      <c r="GS1205" s="36"/>
      <c r="GT1205" s="36"/>
      <c r="GU1205" s="36"/>
      <c r="GV1205" s="36"/>
      <c r="GW1205" s="36"/>
      <c r="GX1205" s="36"/>
      <c r="GY1205" s="36"/>
      <c r="GZ1205" s="36"/>
      <c r="HA1205" s="36"/>
      <c r="HB1205" s="36"/>
      <c r="HC1205" s="36"/>
      <c r="HD1205" s="36"/>
      <c r="HE1205" s="36"/>
      <c r="HF1205" s="36"/>
      <c r="HG1205" s="36"/>
      <c r="HH1205" s="36"/>
      <c r="HI1205" s="36"/>
      <c r="HJ1205" s="36"/>
      <c r="HK1205" s="36"/>
      <c r="HL1205" s="36"/>
      <c r="HM1205" s="36"/>
      <c r="HN1205" s="36"/>
      <c r="HO1205" s="36"/>
      <c r="HP1205" s="36"/>
      <c r="HQ1205" s="36"/>
      <c r="HR1205" s="36"/>
      <c r="HS1205" s="36"/>
      <c r="HT1205" s="36"/>
      <c r="HU1205" s="36"/>
      <c r="HV1205" s="36"/>
      <c r="HW1205" s="36"/>
      <c r="HX1205" s="36"/>
      <c r="HY1205" s="36"/>
      <c r="HZ1205" s="36"/>
      <c r="IA1205" s="36"/>
      <c r="IB1205" s="36"/>
      <c r="IC1205" s="36"/>
      <c r="ID1205" s="36"/>
      <c r="IE1205" s="36"/>
      <c r="IF1205" s="36"/>
      <c r="IG1205" s="36"/>
      <c r="IH1205" s="36"/>
      <c r="II1205" s="36"/>
      <c r="IJ1205" s="36"/>
      <c r="IK1205" s="36"/>
      <c r="IL1205" s="36"/>
      <c r="IM1205" s="36"/>
      <c r="IN1205" s="36"/>
      <c r="IO1205" s="36"/>
      <c r="IP1205" s="36"/>
      <c r="IQ1205" s="36"/>
      <c r="IR1205" s="36"/>
      <c r="IS1205" s="36"/>
      <c r="IT1205" s="36"/>
      <c r="IU1205" s="36"/>
      <c r="IV1205" s="36"/>
      <c r="IW1205" s="36"/>
      <c r="IX1205" s="36"/>
      <c r="IY1205" s="36"/>
      <c r="IZ1205" s="36"/>
      <c r="JA1205" s="36"/>
      <c r="JB1205" s="36"/>
      <c r="JC1205" s="36"/>
      <c r="JD1205" s="36"/>
      <c r="JE1205" s="36"/>
      <c r="JF1205" s="36"/>
      <c r="JG1205" s="36"/>
      <c r="JH1205" s="36"/>
      <c r="JI1205" s="36"/>
      <c r="JJ1205" s="36"/>
      <c r="JK1205" s="36"/>
      <c r="JL1205" s="36"/>
      <c r="JM1205" s="36"/>
      <c r="JN1205" s="36"/>
      <c r="JO1205" s="36"/>
      <c r="JP1205" s="36"/>
      <c r="JQ1205" s="36"/>
      <c r="JR1205" s="36"/>
      <c r="JS1205" s="36"/>
      <c r="JT1205" s="36"/>
      <c r="JU1205" s="36"/>
      <c r="JV1205" s="36"/>
      <c r="JW1205" s="36"/>
      <c r="JX1205" s="36"/>
      <c r="JY1205" s="36"/>
      <c r="JZ1205" s="36"/>
      <c r="KA1205" s="36"/>
      <c r="KB1205" s="36"/>
      <c r="KC1205" s="36"/>
      <c r="KD1205" s="36"/>
      <c r="KE1205" s="36"/>
      <c r="KF1205" s="36"/>
      <c r="KG1205" s="36"/>
      <c r="KH1205" s="36"/>
      <c r="KI1205" s="36"/>
      <c r="KJ1205" s="36"/>
      <c r="KK1205" s="36"/>
      <c r="KL1205" s="36"/>
      <c r="KM1205" s="36"/>
      <c r="KN1205" s="36"/>
      <c r="KO1205" s="36"/>
      <c r="KP1205" s="36"/>
      <c r="KQ1205" s="36"/>
      <c r="KR1205" s="36"/>
      <c r="KS1205" s="36"/>
      <c r="KT1205" s="36"/>
      <c r="KU1205" s="36"/>
      <c r="KV1205" s="36"/>
      <c r="KW1205" s="36"/>
      <c r="KX1205" s="36"/>
      <c r="KY1205" s="36"/>
      <c r="KZ1205" s="36"/>
      <c r="LA1205" s="36"/>
      <c r="LB1205" s="36"/>
      <c r="LC1205" s="36"/>
      <c r="LD1205" s="36"/>
      <c r="LE1205" s="36"/>
      <c r="LF1205" s="36"/>
      <c r="LG1205" s="36"/>
      <c r="LH1205" s="36"/>
      <c r="LI1205" s="36"/>
      <c r="LJ1205" s="36"/>
      <c r="LK1205" s="36"/>
      <c r="LL1205" s="36"/>
      <c r="LM1205" s="36"/>
      <c r="LN1205" s="36"/>
      <c r="LO1205" s="36"/>
      <c r="LP1205" s="36"/>
      <c r="LQ1205" s="36"/>
      <c r="LR1205" s="36"/>
      <c r="LS1205" s="36"/>
      <c r="LT1205" s="36"/>
      <c r="LU1205" s="36"/>
      <c r="LV1205" s="36"/>
      <c r="LW1205" s="36"/>
      <c r="LX1205" s="36"/>
      <c r="LY1205" s="36"/>
      <c r="LZ1205" s="36"/>
      <c r="MA1205" s="36"/>
      <c r="MB1205" s="36"/>
      <c r="MC1205" s="36"/>
      <c r="MD1205" s="36"/>
      <c r="ME1205" s="36"/>
      <c r="MF1205" s="36"/>
      <c r="MG1205" s="36"/>
      <c r="MH1205" s="36"/>
      <c r="MI1205" s="36"/>
      <c r="MJ1205" s="36"/>
      <c r="MK1205" s="36"/>
      <c r="ML1205" s="36"/>
      <c r="MM1205" s="36"/>
      <c r="MN1205" s="36"/>
      <c r="MO1205" s="36"/>
      <c r="MP1205" s="36"/>
      <c r="MQ1205" s="36"/>
      <c r="MR1205" s="36"/>
      <c r="MS1205" s="36"/>
      <c r="MT1205" s="36"/>
      <c r="MU1205" s="36"/>
      <c r="MV1205" s="36"/>
      <c r="MW1205" s="36"/>
      <c r="MX1205" s="36"/>
      <c r="MY1205" s="36"/>
      <c r="MZ1205" s="36"/>
      <c r="NA1205" s="36"/>
      <c r="NB1205" s="36"/>
      <c r="NC1205" s="36"/>
      <c r="ND1205" s="36"/>
      <c r="NE1205" s="36"/>
      <c r="NF1205" s="36"/>
      <c r="NG1205" s="36"/>
      <c r="NH1205" s="36"/>
      <c r="NI1205" s="36"/>
      <c r="NJ1205" s="36"/>
      <c r="NK1205" s="36"/>
      <c r="NL1205" s="36"/>
      <c r="NM1205" s="36"/>
      <c r="NN1205" s="36"/>
      <c r="NO1205" s="36"/>
      <c r="NP1205" s="36"/>
      <c r="NQ1205" s="36"/>
      <c r="NR1205" s="36"/>
      <c r="NS1205" s="36"/>
      <c r="NT1205" s="36"/>
      <c r="NU1205" s="36"/>
      <c r="NV1205" s="36"/>
      <c r="NW1205" s="36"/>
      <c r="NX1205" s="36"/>
      <c r="NY1205" s="36"/>
      <c r="NZ1205" s="36"/>
      <c r="OA1205" s="36"/>
      <c r="OB1205" s="36"/>
      <c r="OC1205" s="36"/>
      <c r="OD1205" s="36"/>
      <c r="OE1205" s="36"/>
      <c r="OF1205" s="36"/>
      <c r="OG1205" s="36"/>
      <c r="OH1205" s="36"/>
      <c r="OI1205" s="36"/>
      <c r="OJ1205" s="36"/>
      <c r="OK1205" s="36"/>
      <c r="OL1205" s="36"/>
      <c r="OM1205" s="36"/>
      <c r="ON1205" s="36"/>
      <c r="OO1205" s="36"/>
      <c r="OP1205" s="36"/>
      <c r="OQ1205" s="36"/>
      <c r="OR1205" s="36"/>
      <c r="OS1205" s="36"/>
      <c r="OT1205" s="36"/>
      <c r="OU1205" s="36"/>
      <c r="OV1205" s="36"/>
      <c r="OW1205" s="36"/>
      <c r="OX1205" s="36"/>
      <c r="OY1205" s="36"/>
      <c r="OZ1205" s="36"/>
      <c r="PA1205" s="36"/>
      <c r="PB1205" s="36"/>
      <c r="PC1205" s="36"/>
      <c r="PD1205" s="36"/>
      <c r="PE1205" s="36"/>
      <c r="PF1205" s="36"/>
      <c r="PG1205" s="36"/>
      <c r="PH1205" s="36"/>
      <c r="PI1205" s="36"/>
      <c r="PJ1205" s="36"/>
      <c r="PK1205" s="36"/>
      <c r="PL1205" s="36"/>
      <c r="PM1205" s="36"/>
      <c r="PN1205" s="36"/>
      <c r="PO1205" s="36"/>
      <c r="PP1205" s="36"/>
      <c r="PQ1205" s="36"/>
      <c r="PR1205" s="36"/>
      <c r="PS1205" s="36"/>
      <c r="PT1205" s="36"/>
      <c r="PU1205" s="36"/>
      <c r="PV1205" s="36"/>
      <c r="PW1205" s="36"/>
      <c r="PX1205" s="36"/>
      <c r="PY1205" s="36"/>
      <c r="PZ1205" s="36"/>
      <c r="QA1205" s="36"/>
      <c r="QB1205" s="36"/>
      <c r="QC1205" s="36"/>
      <c r="QD1205" s="36"/>
      <c r="QE1205" s="36"/>
      <c r="QF1205" s="36"/>
      <c r="QG1205" s="36"/>
      <c r="QH1205" s="36"/>
      <c r="QI1205" s="36"/>
      <c r="QJ1205" s="36"/>
      <c r="QK1205" s="36"/>
      <c r="QL1205" s="36"/>
      <c r="QM1205" s="36"/>
      <c r="QN1205" s="36"/>
      <c r="QO1205" s="36"/>
      <c r="QP1205" s="36"/>
      <c r="QQ1205" s="36"/>
      <c r="QR1205" s="36"/>
      <c r="QS1205" s="36"/>
      <c r="QT1205" s="36"/>
      <c r="QU1205" s="36"/>
      <c r="QV1205" s="36"/>
      <c r="QW1205" s="36"/>
      <c r="QX1205" s="36"/>
      <c r="QY1205" s="36"/>
      <c r="QZ1205" s="36"/>
      <c r="RA1205" s="36"/>
      <c r="RB1205" s="36"/>
      <c r="RC1205" s="36"/>
      <c r="RD1205" s="36"/>
      <c r="RE1205" s="36"/>
      <c r="RF1205" s="36"/>
      <c r="RG1205" s="36"/>
      <c r="RH1205" s="36"/>
      <c r="RI1205" s="36"/>
      <c r="RJ1205" s="36"/>
      <c r="RK1205" s="36"/>
      <c r="RL1205" s="36"/>
      <c r="RM1205" s="36"/>
      <c r="RN1205" s="36"/>
      <c r="RO1205" s="36"/>
      <c r="RP1205" s="36"/>
      <c r="RQ1205" s="36"/>
      <c r="RR1205" s="36"/>
      <c r="RS1205" s="36"/>
      <c r="RT1205" s="36"/>
      <c r="RU1205" s="36"/>
      <c r="RV1205" s="36"/>
      <c r="RW1205" s="36"/>
      <c r="RX1205" s="36"/>
      <c r="RY1205" s="36"/>
      <c r="RZ1205" s="36"/>
      <c r="SA1205" s="36"/>
      <c r="SB1205" s="36"/>
      <c r="SC1205" s="36"/>
      <c r="SD1205" s="36"/>
      <c r="SE1205" s="36"/>
      <c r="SF1205" s="36"/>
      <c r="SG1205" s="36"/>
      <c r="SH1205" s="36"/>
      <c r="SI1205" s="36"/>
      <c r="SJ1205" s="36"/>
      <c r="SK1205" s="36"/>
      <c r="SL1205" s="36"/>
      <c r="SM1205" s="36"/>
      <c r="SN1205" s="36"/>
      <c r="SO1205" s="36"/>
      <c r="SP1205" s="36"/>
      <c r="SQ1205" s="36"/>
      <c r="SR1205" s="36"/>
      <c r="SS1205" s="36"/>
      <c r="ST1205" s="36"/>
      <c r="SU1205" s="36"/>
      <c r="SV1205" s="36"/>
      <c r="SW1205" s="36"/>
      <c r="SX1205" s="36"/>
      <c r="SY1205" s="36"/>
      <c r="SZ1205" s="36"/>
      <c r="TA1205" s="36"/>
      <c r="TB1205" s="36"/>
      <c r="TC1205" s="36"/>
      <c r="TD1205" s="36"/>
      <c r="TE1205" s="36"/>
      <c r="TF1205" s="36"/>
      <c r="TG1205" s="36"/>
      <c r="TH1205" s="36"/>
      <c r="TI1205" s="36"/>
      <c r="TJ1205" s="36"/>
      <c r="TK1205" s="36"/>
      <c r="TL1205" s="36"/>
      <c r="TM1205" s="36"/>
      <c r="TN1205" s="36"/>
      <c r="TO1205" s="36"/>
      <c r="TP1205" s="36"/>
      <c r="TQ1205" s="36"/>
      <c r="TR1205" s="36"/>
      <c r="TS1205" s="36"/>
      <c r="TT1205" s="36"/>
      <c r="TU1205" s="36"/>
      <c r="TV1205" s="36"/>
      <c r="TW1205" s="36"/>
      <c r="TX1205" s="36"/>
      <c r="TY1205" s="36"/>
      <c r="TZ1205" s="36"/>
      <c r="UA1205" s="36"/>
      <c r="UB1205" s="36"/>
      <c r="UC1205" s="36"/>
      <c r="UD1205" s="36"/>
      <c r="UE1205" s="36"/>
      <c r="UF1205" s="36"/>
      <c r="UG1205" s="37"/>
    </row>
    <row r="1206" spans="1:553" ht="29.25" customHeight="1">
      <c r="A1206" s="356" t="s">
        <v>66</v>
      </c>
      <c r="B1206" s="356"/>
      <c r="C1206" s="1431" t="s">
        <v>67</v>
      </c>
      <c r="D1206" s="1389"/>
      <c r="E1206" s="1389"/>
      <c r="F1206" s="1390"/>
      <c r="G1206" s="356"/>
      <c r="H1206" s="359"/>
      <c r="I1206" s="359"/>
      <c r="J1206" s="357"/>
      <c r="K1206" s="364"/>
      <c r="L1206" s="356"/>
      <c r="M1206" s="356"/>
      <c r="N1206" s="356"/>
      <c r="O1206" s="356"/>
      <c r="P1206" s="356"/>
      <c r="Q1206" s="610"/>
      <c r="R1206" s="421"/>
      <c r="S1206" s="308"/>
      <c r="T1206" s="308"/>
      <c r="U1206" s="308"/>
      <c r="V1206" s="308"/>
      <c r="W1206" s="308"/>
      <c r="X1206" s="308"/>
      <c r="Y1206" s="308"/>
      <c r="Z1206" s="604"/>
      <c r="AA1206" s="308"/>
      <c r="AB1206" s="308"/>
      <c r="AC1206" s="365"/>
      <c r="AD1206" s="365"/>
      <c r="AE1206" s="365"/>
      <c r="AF1206" s="365"/>
      <c r="AG1206" s="365"/>
      <c r="AH1206" s="365"/>
      <c r="AI1206" s="365"/>
      <c r="AJ1206" s="365"/>
      <c r="AK1206" s="377"/>
      <c r="AL1206" s="343"/>
      <c r="AM1206" s="24"/>
      <c r="AN1206" s="24"/>
      <c r="AO1206" s="24"/>
      <c r="AP1206" s="24"/>
      <c r="AQ1206" s="24"/>
      <c r="AR1206" s="24"/>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c r="BM1206" s="18"/>
      <c r="BN1206" s="18"/>
      <c r="BO1206" s="18"/>
      <c r="BP1206" s="18"/>
      <c r="BQ1206" s="18"/>
      <c r="BR1206" s="18"/>
      <c r="BS1206" s="18"/>
      <c r="BT1206" s="18"/>
      <c r="BU1206" s="18"/>
      <c r="BV1206" s="18"/>
      <c r="BW1206" s="18"/>
      <c r="BX1206" s="18"/>
      <c r="BY1206" s="18"/>
      <c r="BZ1206" s="18"/>
      <c r="CA1206" s="18"/>
      <c r="CB1206" s="18"/>
      <c r="CC1206" s="18"/>
      <c r="CD1206" s="18"/>
      <c r="CE1206" s="18"/>
      <c r="CF1206" s="18"/>
      <c r="CG1206" s="18"/>
      <c r="CH1206" s="18"/>
      <c r="CI1206" s="18"/>
      <c r="CJ1206" s="18"/>
      <c r="CK1206" s="18"/>
      <c r="CL1206" s="18"/>
      <c r="CM1206" s="18"/>
      <c r="CN1206" s="18"/>
      <c r="CO1206" s="18"/>
      <c r="CP1206" s="18"/>
      <c r="CQ1206" s="18"/>
      <c r="CR1206" s="18"/>
      <c r="CS1206" s="18"/>
      <c r="CT1206" s="18"/>
      <c r="CU1206" s="18"/>
      <c r="CV1206" s="18"/>
      <c r="CW1206" s="18"/>
      <c r="CX1206" s="18"/>
      <c r="CY1206" s="18"/>
      <c r="CZ1206" s="18"/>
      <c r="DA1206" s="18"/>
      <c r="DB1206" s="18"/>
      <c r="DC1206" s="18"/>
      <c r="DD1206" s="18"/>
      <c r="DE1206" s="18"/>
      <c r="DF1206" s="18"/>
      <c r="DG1206" s="18"/>
      <c r="DH1206" s="18"/>
      <c r="DI1206" s="18"/>
      <c r="DJ1206" s="18"/>
      <c r="DK1206" s="18"/>
      <c r="DL1206" s="18"/>
      <c r="DM1206" s="18"/>
      <c r="DN1206" s="18"/>
      <c r="DO1206" s="18"/>
      <c r="DP1206" s="18"/>
      <c r="DQ1206" s="18"/>
      <c r="DR1206" s="18"/>
      <c r="DS1206" s="18"/>
      <c r="DT1206" s="18"/>
      <c r="DU1206" s="18"/>
      <c r="DV1206" s="18"/>
      <c r="DW1206" s="18"/>
      <c r="DX1206" s="18"/>
      <c r="DY1206" s="18"/>
      <c r="DZ1206" s="18"/>
      <c r="EA1206" s="18"/>
      <c r="EB1206" s="18"/>
      <c r="EC1206" s="18"/>
      <c r="ED1206" s="18"/>
      <c r="EE1206" s="18"/>
      <c r="EF1206" s="18"/>
      <c r="EG1206" s="18"/>
      <c r="EH1206" s="18"/>
      <c r="EI1206" s="18"/>
      <c r="EJ1206" s="18"/>
      <c r="EK1206" s="18"/>
      <c r="EL1206" s="18"/>
      <c r="EM1206" s="18"/>
      <c r="EN1206" s="18"/>
      <c r="EO1206" s="18"/>
      <c r="EP1206" s="18"/>
      <c r="EQ1206" s="18"/>
      <c r="ER1206" s="18"/>
      <c r="ES1206" s="18"/>
      <c r="ET1206" s="18"/>
      <c r="EU1206" s="18"/>
      <c r="EV1206" s="18"/>
      <c r="EW1206" s="18"/>
      <c r="EX1206" s="18"/>
      <c r="EY1206" s="18"/>
      <c r="EZ1206" s="18"/>
      <c r="FA1206" s="18"/>
      <c r="FB1206" s="18"/>
      <c r="FC1206" s="18"/>
      <c r="FD1206" s="18"/>
      <c r="FE1206" s="18"/>
      <c r="FF1206" s="18"/>
      <c r="FG1206" s="18"/>
      <c r="FH1206" s="18"/>
      <c r="FI1206" s="18"/>
      <c r="FJ1206" s="18"/>
      <c r="FK1206" s="18"/>
      <c r="FL1206" s="18"/>
      <c r="FM1206" s="18"/>
      <c r="FN1206" s="18"/>
      <c r="FO1206" s="18"/>
      <c r="FP1206" s="18"/>
      <c r="FQ1206" s="18"/>
      <c r="FR1206" s="18"/>
      <c r="FS1206" s="18"/>
      <c r="FT1206" s="18"/>
      <c r="FU1206" s="18"/>
      <c r="FV1206" s="18"/>
      <c r="FW1206" s="18"/>
      <c r="FX1206" s="18"/>
      <c r="FY1206" s="18"/>
      <c r="FZ1206" s="18"/>
      <c r="GA1206" s="18"/>
      <c r="GB1206" s="18"/>
      <c r="GC1206" s="18"/>
      <c r="GD1206" s="18"/>
      <c r="GE1206" s="18"/>
      <c r="GF1206" s="18"/>
      <c r="GG1206" s="18"/>
      <c r="GH1206" s="18"/>
      <c r="GI1206" s="18"/>
      <c r="GJ1206" s="18"/>
      <c r="GK1206" s="18"/>
      <c r="GL1206" s="18"/>
      <c r="GM1206" s="18"/>
      <c r="GN1206" s="18"/>
      <c r="GO1206" s="18"/>
      <c r="GP1206" s="18"/>
      <c r="GQ1206" s="18"/>
      <c r="GR1206" s="18"/>
      <c r="GS1206" s="18"/>
      <c r="GT1206" s="18"/>
      <c r="GU1206" s="18"/>
      <c r="GV1206" s="18"/>
      <c r="GW1206" s="18"/>
      <c r="GX1206" s="18"/>
      <c r="GY1206" s="18"/>
      <c r="GZ1206" s="18"/>
      <c r="HA1206" s="18"/>
      <c r="HB1206" s="18"/>
      <c r="HC1206" s="18"/>
      <c r="HD1206" s="18"/>
      <c r="HE1206" s="18"/>
      <c r="HF1206" s="18"/>
      <c r="HG1206" s="18"/>
      <c r="HH1206" s="18"/>
      <c r="HI1206" s="18"/>
      <c r="HJ1206" s="18"/>
      <c r="HK1206" s="18"/>
      <c r="HL1206" s="18"/>
      <c r="HM1206" s="18"/>
      <c r="HN1206" s="18"/>
      <c r="HO1206" s="18"/>
      <c r="HP1206" s="18"/>
      <c r="HQ1206" s="18"/>
      <c r="HR1206" s="18"/>
      <c r="HS1206" s="18"/>
      <c r="HT1206" s="18"/>
      <c r="HU1206" s="18"/>
      <c r="HV1206" s="18"/>
      <c r="HW1206" s="18"/>
      <c r="HX1206" s="18"/>
      <c r="HY1206" s="18"/>
      <c r="HZ1206" s="18"/>
      <c r="IA1206" s="18"/>
      <c r="IB1206" s="18"/>
      <c r="IC1206" s="18"/>
      <c r="ID1206" s="18"/>
      <c r="IE1206" s="18"/>
      <c r="IF1206" s="18"/>
      <c r="IG1206" s="18"/>
      <c r="IH1206" s="18"/>
      <c r="II1206" s="18"/>
      <c r="IJ1206" s="18"/>
      <c r="IK1206" s="18"/>
      <c r="IL1206" s="18"/>
      <c r="IM1206" s="18"/>
      <c r="IN1206" s="18"/>
      <c r="IO1206" s="18"/>
      <c r="IP1206" s="18"/>
      <c r="IQ1206" s="18"/>
      <c r="IR1206" s="18"/>
      <c r="IS1206" s="18"/>
      <c r="IT1206" s="18"/>
      <c r="IU1206" s="18"/>
      <c r="IV1206" s="18"/>
      <c r="IW1206" s="18"/>
      <c r="IX1206" s="18"/>
      <c r="IY1206" s="18"/>
      <c r="IZ1206" s="18"/>
      <c r="JA1206" s="18"/>
      <c r="JB1206" s="18"/>
      <c r="JC1206" s="18"/>
      <c r="JD1206" s="18"/>
      <c r="JE1206" s="18"/>
      <c r="JF1206" s="18"/>
      <c r="JG1206" s="18"/>
      <c r="JH1206" s="18"/>
      <c r="JI1206" s="18"/>
      <c r="JJ1206" s="18"/>
      <c r="JK1206" s="18"/>
      <c r="JL1206" s="18"/>
      <c r="JM1206" s="18"/>
      <c r="JN1206" s="18"/>
      <c r="JO1206" s="18"/>
      <c r="JP1206" s="18"/>
      <c r="JQ1206" s="18"/>
      <c r="JR1206" s="18"/>
      <c r="JS1206" s="18"/>
      <c r="JT1206" s="18"/>
      <c r="JU1206" s="18"/>
      <c r="JV1206" s="18"/>
      <c r="JW1206" s="18"/>
      <c r="JX1206" s="18"/>
      <c r="JY1206" s="18"/>
      <c r="JZ1206" s="18"/>
      <c r="KA1206" s="18"/>
      <c r="KB1206" s="18"/>
      <c r="KC1206" s="18"/>
      <c r="KD1206" s="18"/>
      <c r="KE1206" s="18"/>
      <c r="KF1206" s="18"/>
      <c r="KG1206" s="18"/>
      <c r="KH1206" s="18"/>
      <c r="KI1206" s="18"/>
      <c r="KJ1206" s="18"/>
      <c r="KK1206" s="18"/>
      <c r="KL1206" s="18"/>
      <c r="KM1206" s="18"/>
      <c r="KN1206" s="18"/>
      <c r="KO1206" s="18"/>
      <c r="KP1206" s="18"/>
      <c r="KQ1206" s="18"/>
      <c r="KR1206" s="18"/>
      <c r="KS1206" s="18"/>
      <c r="KT1206" s="18"/>
      <c r="KU1206" s="18"/>
      <c r="KV1206" s="18"/>
      <c r="KW1206" s="18"/>
      <c r="KX1206" s="18"/>
      <c r="KY1206" s="18"/>
      <c r="KZ1206" s="18"/>
      <c r="LA1206" s="18"/>
      <c r="LB1206" s="18"/>
      <c r="LC1206" s="18"/>
      <c r="LD1206" s="18"/>
      <c r="LE1206" s="18"/>
      <c r="LF1206" s="18"/>
      <c r="LG1206" s="18"/>
      <c r="LH1206" s="18"/>
      <c r="LI1206" s="18"/>
      <c r="LJ1206" s="18"/>
      <c r="LK1206" s="18"/>
      <c r="LL1206" s="18"/>
      <c r="LM1206" s="18"/>
      <c r="LN1206" s="18"/>
      <c r="LO1206" s="18"/>
      <c r="LP1206" s="18"/>
      <c r="LQ1206" s="18"/>
      <c r="LR1206" s="18"/>
      <c r="LS1206" s="18"/>
      <c r="LT1206" s="18"/>
      <c r="LU1206" s="18"/>
      <c r="LV1206" s="18"/>
      <c r="LW1206" s="18"/>
      <c r="LX1206" s="18"/>
      <c r="LY1206" s="18"/>
      <c r="LZ1206" s="18"/>
      <c r="MA1206" s="18"/>
      <c r="MB1206" s="18"/>
      <c r="MC1206" s="18"/>
      <c r="MD1206" s="18"/>
      <c r="ME1206" s="18"/>
      <c r="MF1206" s="18"/>
      <c r="MG1206" s="18"/>
      <c r="MH1206" s="18"/>
      <c r="MI1206" s="18"/>
      <c r="MJ1206" s="18"/>
      <c r="MK1206" s="18"/>
      <c r="ML1206" s="18"/>
      <c r="MM1206" s="18"/>
      <c r="MN1206" s="18"/>
      <c r="MO1206" s="18"/>
      <c r="MP1206" s="18"/>
      <c r="MQ1206" s="18"/>
      <c r="MR1206" s="18"/>
      <c r="MS1206" s="18"/>
      <c r="MT1206" s="18"/>
      <c r="MU1206" s="18"/>
      <c r="MV1206" s="18"/>
      <c r="MW1206" s="18"/>
      <c r="MX1206" s="18"/>
      <c r="MY1206" s="18"/>
      <c r="MZ1206" s="18"/>
      <c r="NA1206" s="18"/>
      <c r="NB1206" s="18"/>
      <c r="NC1206" s="18"/>
      <c r="ND1206" s="18"/>
      <c r="NE1206" s="18"/>
      <c r="NF1206" s="18"/>
      <c r="NG1206" s="18"/>
      <c r="NH1206" s="18"/>
      <c r="NI1206" s="18"/>
      <c r="NJ1206" s="18"/>
      <c r="NK1206" s="18"/>
      <c r="NL1206" s="18"/>
      <c r="NM1206" s="18"/>
      <c r="NN1206" s="18"/>
      <c r="NO1206" s="18"/>
      <c r="NP1206" s="18"/>
      <c r="NQ1206" s="18"/>
      <c r="NR1206" s="18"/>
      <c r="NS1206" s="18"/>
      <c r="NT1206" s="18"/>
      <c r="NU1206" s="18"/>
      <c r="NV1206" s="18"/>
      <c r="NW1206" s="18"/>
      <c r="NX1206" s="18"/>
      <c r="NY1206" s="18"/>
      <c r="NZ1206" s="18"/>
      <c r="OA1206" s="18"/>
      <c r="OB1206" s="18"/>
      <c r="OC1206" s="18"/>
      <c r="OD1206" s="18"/>
      <c r="OE1206" s="18"/>
      <c r="OF1206" s="18"/>
      <c r="OG1206" s="18"/>
      <c r="OH1206" s="18"/>
      <c r="OI1206" s="18"/>
      <c r="OJ1206" s="18"/>
      <c r="OK1206" s="18"/>
      <c r="OL1206" s="18"/>
      <c r="OM1206" s="18"/>
      <c r="ON1206" s="18"/>
      <c r="OO1206" s="18"/>
      <c r="OP1206" s="18"/>
      <c r="OQ1206" s="18"/>
      <c r="OR1206" s="18"/>
      <c r="OS1206" s="18"/>
      <c r="OT1206" s="18"/>
      <c r="OU1206" s="18"/>
      <c r="OV1206" s="18"/>
      <c r="OW1206" s="18"/>
      <c r="OX1206" s="18"/>
      <c r="OY1206" s="18"/>
      <c r="OZ1206" s="18"/>
      <c r="PA1206" s="18"/>
      <c r="PB1206" s="18"/>
      <c r="PC1206" s="18"/>
      <c r="PD1206" s="18"/>
      <c r="PE1206" s="18"/>
      <c r="PF1206" s="18"/>
      <c r="PG1206" s="18"/>
      <c r="PH1206" s="18"/>
      <c r="PI1206" s="18"/>
      <c r="PJ1206" s="18"/>
      <c r="PK1206" s="18"/>
      <c r="PL1206" s="18"/>
      <c r="PM1206" s="18"/>
      <c r="PN1206" s="18"/>
      <c r="PO1206" s="18"/>
      <c r="PP1206" s="18"/>
      <c r="PQ1206" s="18"/>
      <c r="PR1206" s="18"/>
      <c r="PS1206" s="18"/>
      <c r="PT1206" s="18"/>
      <c r="PU1206" s="18"/>
      <c r="PV1206" s="18"/>
      <c r="PW1206" s="18"/>
      <c r="PX1206" s="18"/>
      <c r="PY1206" s="18"/>
      <c r="PZ1206" s="18"/>
      <c r="QA1206" s="18"/>
      <c r="QB1206" s="18"/>
      <c r="QC1206" s="18"/>
      <c r="QD1206" s="18"/>
      <c r="QE1206" s="18"/>
      <c r="QF1206" s="18"/>
      <c r="QG1206" s="18"/>
      <c r="QH1206" s="18"/>
      <c r="QI1206" s="18"/>
      <c r="QJ1206" s="18"/>
      <c r="QK1206" s="18"/>
      <c r="QL1206" s="18"/>
      <c r="QM1206" s="18"/>
      <c r="QN1206" s="18"/>
      <c r="QO1206" s="18"/>
      <c r="QP1206" s="18"/>
      <c r="QQ1206" s="18"/>
      <c r="QR1206" s="18"/>
      <c r="QS1206" s="18"/>
      <c r="QT1206" s="18"/>
      <c r="QU1206" s="18"/>
      <c r="QV1206" s="18"/>
      <c r="QW1206" s="18"/>
      <c r="QX1206" s="18"/>
      <c r="QY1206" s="18"/>
      <c r="QZ1206" s="18"/>
      <c r="RA1206" s="18"/>
      <c r="RB1206" s="18"/>
      <c r="RC1206" s="18"/>
      <c r="RD1206" s="18"/>
      <c r="RE1206" s="18"/>
      <c r="RF1206" s="18"/>
      <c r="RG1206" s="18"/>
      <c r="RH1206" s="18"/>
      <c r="RI1206" s="18"/>
      <c r="RJ1206" s="18"/>
      <c r="RK1206" s="18"/>
      <c r="RL1206" s="18"/>
      <c r="RM1206" s="18"/>
      <c r="RN1206" s="18"/>
      <c r="RO1206" s="18"/>
      <c r="RP1206" s="18"/>
      <c r="RQ1206" s="18"/>
      <c r="RR1206" s="18"/>
      <c r="RS1206" s="18"/>
      <c r="RT1206" s="18"/>
      <c r="RU1206" s="18"/>
      <c r="RV1206" s="18"/>
      <c r="RW1206" s="18"/>
      <c r="RX1206" s="18"/>
      <c r="RY1206" s="18"/>
      <c r="RZ1206" s="18"/>
      <c r="SA1206" s="18"/>
      <c r="SB1206" s="18"/>
      <c r="SC1206" s="18"/>
      <c r="SD1206" s="18"/>
      <c r="SE1206" s="18"/>
      <c r="SF1206" s="18"/>
      <c r="SG1206" s="18"/>
      <c r="SH1206" s="18"/>
      <c r="SI1206" s="18"/>
      <c r="SJ1206" s="18"/>
      <c r="SK1206" s="18"/>
      <c r="SL1206" s="18"/>
      <c r="SM1206" s="18"/>
      <c r="SN1206" s="18"/>
      <c r="SO1206" s="18"/>
      <c r="SP1206" s="18"/>
      <c r="SQ1206" s="18"/>
      <c r="SR1206" s="18"/>
      <c r="SS1206" s="18"/>
      <c r="ST1206" s="18"/>
      <c r="SU1206" s="18"/>
      <c r="SV1206" s="18"/>
      <c r="SW1206" s="18"/>
      <c r="SX1206" s="18"/>
      <c r="SY1206" s="18"/>
      <c r="SZ1206" s="18"/>
      <c r="TA1206" s="18"/>
      <c r="TB1206" s="18"/>
      <c r="TC1206" s="18"/>
      <c r="TD1206" s="18"/>
      <c r="TE1206" s="18"/>
      <c r="TF1206" s="18"/>
      <c r="TG1206" s="18"/>
      <c r="TH1206" s="18"/>
      <c r="TI1206" s="18"/>
      <c r="TJ1206" s="18"/>
      <c r="TK1206" s="18"/>
      <c r="TL1206" s="18"/>
      <c r="TM1206" s="18"/>
      <c r="TN1206" s="18"/>
      <c r="TO1206" s="18"/>
      <c r="TP1206" s="18"/>
      <c r="TQ1206" s="18"/>
      <c r="TR1206" s="18"/>
      <c r="TS1206" s="18"/>
      <c r="TT1206" s="18"/>
      <c r="TU1206" s="18"/>
      <c r="TV1206" s="18"/>
      <c r="TW1206" s="18"/>
      <c r="TX1206" s="18"/>
      <c r="TY1206" s="18"/>
      <c r="TZ1206" s="18"/>
      <c r="UA1206" s="18"/>
      <c r="UB1206" s="18"/>
      <c r="UC1206" s="18"/>
      <c r="UD1206" s="18"/>
      <c r="UE1206" s="18"/>
      <c r="UF1206" s="18"/>
      <c r="UG1206" s="19"/>
    </row>
    <row r="1207" spans="1:553" ht="107.5" customHeight="1">
      <c r="A1207" s="356" t="s">
        <v>15</v>
      </c>
      <c r="B1207" s="366"/>
      <c r="C1207" s="1414" t="s">
        <v>818</v>
      </c>
      <c r="D1207" s="1389"/>
      <c r="E1207" s="1389"/>
      <c r="F1207" s="1390"/>
      <c r="G1207" s="366" t="s">
        <v>68</v>
      </c>
      <c r="H1207" s="370"/>
      <c r="I1207" s="370">
        <v>1</v>
      </c>
      <c r="J1207" s="368"/>
      <c r="K1207" s="371"/>
      <c r="L1207" s="366"/>
      <c r="M1207" s="366"/>
      <c r="N1207" s="366"/>
      <c r="O1207" s="366"/>
      <c r="P1207" s="366"/>
      <c r="Q1207" s="812"/>
      <c r="R1207" s="421" t="s">
        <v>1042</v>
      </c>
      <c r="S1207" s="308"/>
      <c r="T1207" s="308"/>
      <c r="U1207" s="308"/>
      <c r="V1207" s="308"/>
      <c r="W1207" s="308"/>
      <c r="X1207" s="308"/>
      <c r="Y1207" s="308"/>
      <c r="Z1207" s="604"/>
      <c r="AA1207" s="308"/>
      <c r="AB1207" s="308"/>
      <c r="AC1207" s="449"/>
      <c r="AD1207" s="449"/>
      <c r="AE1207" s="449"/>
      <c r="AF1207" s="449"/>
      <c r="AG1207" s="449"/>
      <c r="AH1207" s="449"/>
      <c r="AI1207" s="449"/>
      <c r="AJ1207" s="449"/>
      <c r="AK1207" s="452"/>
      <c r="AL1207" s="104"/>
      <c r="AM1207" s="32"/>
      <c r="AN1207" s="32"/>
      <c r="AO1207" s="32"/>
      <c r="AP1207" s="32"/>
      <c r="AQ1207" s="32"/>
      <c r="AR1207" s="32"/>
      <c r="AS1207" s="31"/>
      <c r="AT1207" s="31"/>
      <c r="AU1207" s="31"/>
      <c r="AV1207" s="31"/>
      <c r="AW1207" s="31"/>
      <c r="AX1207" s="31"/>
      <c r="AY1207" s="31"/>
      <c r="AZ1207" s="31"/>
      <c r="BA1207" s="31"/>
      <c r="BB1207" s="31"/>
      <c r="BC1207" s="31"/>
      <c r="BD1207" s="31"/>
      <c r="BE1207" s="31"/>
      <c r="BF1207" s="31"/>
      <c r="BG1207" s="31"/>
      <c r="BH1207" s="31"/>
      <c r="BI1207" s="31"/>
      <c r="BJ1207" s="31"/>
      <c r="BK1207" s="31"/>
      <c r="BL1207" s="31"/>
      <c r="BM1207" s="31"/>
      <c r="BN1207" s="31"/>
      <c r="BO1207" s="31"/>
      <c r="BP1207" s="25"/>
      <c r="BQ1207" s="25"/>
      <c r="BR1207" s="25"/>
      <c r="BS1207" s="25"/>
      <c r="BT1207" s="25"/>
      <c r="BU1207" s="25"/>
      <c r="BV1207" s="25"/>
      <c r="BW1207" s="25"/>
      <c r="BX1207" s="25"/>
      <c r="BY1207" s="25"/>
      <c r="BZ1207" s="25"/>
      <c r="CA1207" s="25"/>
      <c r="CB1207" s="25"/>
      <c r="CC1207" s="25"/>
      <c r="CD1207" s="25"/>
      <c r="CE1207" s="25"/>
      <c r="CF1207" s="25"/>
      <c r="CG1207" s="25"/>
      <c r="CH1207" s="25"/>
      <c r="CI1207" s="25"/>
      <c r="CJ1207" s="25"/>
      <c r="CK1207" s="25"/>
      <c r="CL1207" s="25"/>
      <c r="CM1207" s="25"/>
      <c r="CN1207" s="25"/>
      <c r="CO1207" s="25"/>
      <c r="CP1207" s="25"/>
      <c r="CQ1207" s="25"/>
      <c r="CR1207" s="25"/>
      <c r="CS1207" s="25"/>
      <c r="CT1207" s="25"/>
      <c r="CU1207" s="25"/>
      <c r="CV1207" s="25"/>
      <c r="CW1207" s="25"/>
      <c r="CX1207" s="25"/>
      <c r="CY1207" s="25"/>
      <c r="CZ1207" s="25"/>
      <c r="DA1207" s="25"/>
      <c r="DB1207" s="25"/>
      <c r="DC1207" s="25"/>
      <c r="DD1207" s="25"/>
      <c r="DE1207" s="25"/>
      <c r="DF1207" s="25"/>
      <c r="DG1207" s="25"/>
      <c r="DH1207" s="25"/>
      <c r="DI1207" s="25"/>
      <c r="DJ1207" s="25"/>
      <c r="DK1207" s="25"/>
      <c r="DL1207" s="25"/>
      <c r="DM1207" s="25"/>
      <c r="DN1207" s="25"/>
      <c r="DO1207" s="25"/>
      <c r="DP1207" s="25"/>
      <c r="DQ1207" s="25"/>
      <c r="DR1207" s="25"/>
      <c r="DS1207" s="25"/>
      <c r="DT1207" s="25"/>
      <c r="DU1207" s="25"/>
      <c r="DV1207" s="25"/>
      <c r="DW1207" s="25"/>
      <c r="DX1207" s="25"/>
      <c r="DY1207" s="25"/>
      <c r="DZ1207" s="25"/>
      <c r="EA1207" s="25"/>
      <c r="EB1207" s="25"/>
      <c r="EC1207" s="25"/>
      <c r="ED1207" s="25"/>
      <c r="EE1207" s="25"/>
      <c r="EF1207" s="25"/>
      <c r="EG1207" s="25"/>
      <c r="EH1207" s="25"/>
      <c r="EI1207" s="25"/>
      <c r="EJ1207" s="25"/>
      <c r="EK1207" s="25"/>
      <c r="EL1207" s="25"/>
      <c r="EM1207" s="25"/>
      <c r="EN1207" s="25"/>
      <c r="EO1207" s="25"/>
      <c r="EP1207" s="25"/>
      <c r="EQ1207" s="25"/>
      <c r="ER1207" s="25"/>
      <c r="ES1207" s="25"/>
      <c r="ET1207" s="25"/>
      <c r="EU1207" s="25"/>
      <c r="EV1207" s="25"/>
      <c r="EW1207" s="25"/>
      <c r="EX1207" s="25"/>
      <c r="EY1207" s="25"/>
      <c r="EZ1207" s="25"/>
      <c r="FA1207" s="25"/>
      <c r="FB1207" s="25"/>
      <c r="FC1207" s="25"/>
      <c r="FD1207" s="25"/>
      <c r="FE1207" s="25"/>
      <c r="FF1207" s="25"/>
      <c r="FG1207" s="25"/>
      <c r="FH1207" s="25"/>
      <c r="FI1207" s="25"/>
      <c r="FJ1207" s="25"/>
      <c r="FK1207" s="25"/>
      <c r="FL1207" s="25"/>
      <c r="FM1207" s="25"/>
      <c r="FN1207" s="25"/>
      <c r="FO1207" s="25"/>
      <c r="FP1207" s="25"/>
      <c r="FQ1207" s="25"/>
      <c r="FR1207" s="25"/>
      <c r="FS1207" s="25"/>
      <c r="FT1207" s="25"/>
      <c r="FU1207" s="25"/>
      <c r="FV1207" s="25"/>
      <c r="FW1207" s="25"/>
      <c r="FX1207" s="25"/>
      <c r="FY1207" s="25"/>
      <c r="FZ1207" s="25"/>
      <c r="GA1207" s="25"/>
      <c r="GB1207" s="25"/>
      <c r="GC1207" s="25"/>
      <c r="GD1207" s="25"/>
      <c r="GE1207" s="25"/>
      <c r="GF1207" s="25"/>
      <c r="GG1207" s="25"/>
      <c r="GH1207" s="25"/>
      <c r="GI1207" s="25"/>
      <c r="GJ1207" s="25"/>
      <c r="GK1207" s="25"/>
      <c r="GL1207" s="25"/>
      <c r="GM1207" s="25"/>
      <c r="GN1207" s="25"/>
      <c r="GO1207" s="25"/>
      <c r="GP1207" s="25"/>
      <c r="GQ1207" s="25"/>
      <c r="GR1207" s="25"/>
      <c r="GS1207" s="25"/>
      <c r="GT1207" s="25"/>
      <c r="GU1207" s="25"/>
      <c r="GV1207" s="25"/>
      <c r="GW1207" s="25"/>
      <c r="GX1207" s="25"/>
      <c r="GY1207" s="25"/>
      <c r="GZ1207" s="25"/>
      <c r="HA1207" s="25"/>
      <c r="HB1207" s="25"/>
      <c r="HC1207" s="25"/>
      <c r="HD1207" s="25"/>
      <c r="HE1207" s="25"/>
      <c r="HF1207" s="25"/>
      <c r="HG1207" s="25"/>
      <c r="HH1207" s="25"/>
      <c r="HI1207" s="25"/>
      <c r="HJ1207" s="25"/>
      <c r="HK1207" s="25"/>
      <c r="HL1207" s="25"/>
      <c r="HM1207" s="25"/>
      <c r="HN1207" s="25"/>
      <c r="HO1207" s="25"/>
      <c r="HP1207" s="25"/>
      <c r="HQ1207" s="25"/>
      <c r="HR1207" s="25"/>
      <c r="HS1207" s="25"/>
      <c r="HT1207" s="25"/>
      <c r="HU1207" s="25"/>
      <c r="HV1207" s="25"/>
      <c r="HW1207" s="25"/>
      <c r="HX1207" s="25"/>
      <c r="HY1207" s="25"/>
      <c r="HZ1207" s="25"/>
      <c r="IA1207" s="25"/>
      <c r="IB1207" s="25"/>
      <c r="IC1207" s="25"/>
      <c r="ID1207" s="25"/>
      <c r="IE1207" s="25"/>
      <c r="IF1207" s="25"/>
      <c r="IG1207" s="25"/>
      <c r="IH1207" s="25"/>
      <c r="II1207" s="25"/>
      <c r="IJ1207" s="25"/>
      <c r="IK1207" s="25"/>
      <c r="IL1207" s="25"/>
      <c r="IM1207" s="25"/>
      <c r="IN1207" s="25"/>
      <c r="IO1207" s="25"/>
      <c r="IP1207" s="25"/>
      <c r="IQ1207" s="25"/>
      <c r="IR1207" s="25"/>
      <c r="IS1207" s="25"/>
      <c r="IT1207" s="25"/>
      <c r="IU1207" s="25"/>
      <c r="IV1207" s="25"/>
      <c r="IW1207" s="25"/>
      <c r="IX1207" s="25"/>
      <c r="IY1207" s="25"/>
      <c r="IZ1207" s="25"/>
      <c r="JA1207" s="25"/>
      <c r="JB1207" s="25"/>
      <c r="JC1207" s="25"/>
      <c r="JD1207" s="25"/>
      <c r="JE1207" s="25"/>
      <c r="JF1207" s="25"/>
      <c r="JG1207" s="25"/>
      <c r="JH1207" s="25"/>
      <c r="JI1207" s="25"/>
      <c r="JJ1207" s="25"/>
      <c r="JK1207" s="25"/>
      <c r="JL1207" s="25"/>
      <c r="JM1207" s="25"/>
      <c r="JN1207" s="25"/>
      <c r="JO1207" s="25"/>
      <c r="JP1207" s="25"/>
      <c r="JQ1207" s="25"/>
      <c r="JR1207" s="25"/>
      <c r="JS1207" s="25"/>
      <c r="JT1207" s="25"/>
      <c r="JU1207" s="25"/>
      <c r="JV1207" s="25"/>
      <c r="JW1207" s="25"/>
      <c r="JX1207" s="25"/>
      <c r="JY1207" s="25"/>
      <c r="JZ1207" s="25"/>
      <c r="KA1207" s="25"/>
      <c r="KB1207" s="25"/>
      <c r="KC1207" s="25"/>
      <c r="KD1207" s="25"/>
      <c r="KE1207" s="25"/>
      <c r="KF1207" s="25"/>
      <c r="KG1207" s="25"/>
      <c r="KH1207" s="25"/>
      <c r="KI1207" s="25"/>
      <c r="KJ1207" s="25"/>
      <c r="KK1207" s="25"/>
      <c r="KL1207" s="25"/>
      <c r="KM1207" s="25"/>
      <c r="KN1207" s="25"/>
      <c r="KO1207" s="25"/>
      <c r="KP1207" s="25"/>
      <c r="KQ1207" s="25"/>
      <c r="KR1207" s="25"/>
      <c r="KS1207" s="25"/>
      <c r="KT1207" s="25"/>
      <c r="KU1207" s="25"/>
      <c r="KV1207" s="25"/>
      <c r="KW1207" s="25"/>
      <c r="KX1207" s="25"/>
      <c r="KY1207" s="25"/>
      <c r="KZ1207" s="25"/>
      <c r="LA1207" s="25"/>
      <c r="LB1207" s="25"/>
      <c r="LC1207" s="25"/>
      <c r="LD1207" s="25"/>
      <c r="LE1207" s="25"/>
      <c r="LF1207" s="25"/>
      <c r="LG1207" s="25"/>
      <c r="LH1207" s="25"/>
      <c r="LI1207" s="25"/>
      <c r="LJ1207" s="25"/>
      <c r="LK1207" s="25"/>
      <c r="LL1207" s="25"/>
      <c r="LM1207" s="25"/>
      <c r="LN1207" s="25"/>
      <c r="LO1207" s="25"/>
      <c r="LP1207" s="25"/>
      <c r="LQ1207" s="25"/>
      <c r="LR1207" s="25"/>
      <c r="LS1207" s="25"/>
      <c r="LT1207" s="25"/>
      <c r="LU1207" s="25"/>
      <c r="LV1207" s="25"/>
      <c r="LW1207" s="25"/>
      <c r="LX1207" s="25"/>
      <c r="LY1207" s="25"/>
      <c r="LZ1207" s="25"/>
      <c r="MA1207" s="25"/>
      <c r="MB1207" s="25"/>
      <c r="MC1207" s="25"/>
      <c r="MD1207" s="25"/>
      <c r="ME1207" s="25"/>
      <c r="MF1207" s="25"/>
      <c r="MG1207" s="25"/>
      <c r="MH1207" s="25"/>
      <c r="MI1207" s="25"/>
      <c r="MJ1207" s="25"/>
      <c r="MK1207" s="25"/>
      <c r="ML1207" s="25"/>
      <c r="MM1207" s="25"/>
      <c r="MN1207" s="25"/>
      <c r="MO1207" s="25"/>
      <c r="MP1207" s="25"/>
      <c r="MQ1207" s="25"/>
      <c r="MR1207" s="25"/>
      <c r="MS1207" s="25"/>
      <c r="MT1207" s="25"/>
      <c r="MU1207" s="25"/>
      <c r="MV1207" s="25"/>
      <c r="MW1207" s="25"/>
      <c r="MX1207" s="25"/>
      <c r="MY1207" s="25"/>
      <c r="MZ1207" s="25"/>
      <c r="NA1207" s="25"/>
      <c r="NB1207" s="25"/>
      <c r="NC1207" s="25"/>
      <c r="ND1207" s="25"/>
      <c r="NE1207" s="25"/>
      <c r="NF1207" s="25"/>
      <c r="NG1207" s="25"/>
      <c r="NH1207" s="25"/>
      <c r="NI1207" s="25"/>
      <c r="NJ1207" s="25"/>
      <c r="NK1207" s="25"/>
      <c r="NL1207" s="25"/>
      <c r="NM1207" s="25"/>
      <c r="NN1207" s="25"/>
      <c r="NO1207" s="25"/>
      <c r="NP1207" s="25"/>
      <c r="NQ1207" s="25"/>
      <c r="NR1207" s="25"/>
      <c r="NS1207" s="25"/>
      <c r="NT1207" s="25"/>
      <c r="NU1207" s="25"/>
      <c r="NV1207" s="25"/>
      <c r="NW1207" s="25"/>
      <c r="NX1207" s="25"/>
      <c r="NY1207" s="25"/>
      <c r="NZ1207" s="25"/>
      <c r="OA1207" s="25"/>
      <c r="OB1207" s="25"/>
      <c r="OC1207" s="25"/>
      <c r="OD1207" s="25"/>
      <c r="OE1207" s="25"/>
      <c r="OF1207" s="25"/>
      <c r="OG1207" s="25"/>
      <c r="OH1207" s="25"/>
      <c r="OI1207" s="25"/>
      <c r="OJ1207" s="25"/>
      <c r="OK1207" s="25"/>
      <c r="OL1207" s="25"/>
      <c r="OM1207" s="25"/>
      <c r="ON1207" s="25"/>
      <c r="OO1207" s="25"/>
      <c r="OP1207" s="25"/>
      <c r="OQ1207" s="25"/>
      <c r="OR1207" s="25"/>
      <c r="OS1207" s="25"/>
      <c r="OT1207" s="25"/>
      <c r="OU1207" s="25"/>
      <c r="OV1207" s="25"/>
      <c r="OW1207" s="25"/>
      <c r="OX1207" s="25"/>
      <c r="OY1207" s="25"/>
      <c r="OZ1207" s="25"/>
      <c r="PA1207" s="25"/>
      <c r="PB1207" s="25"/>
      <c r="PC1207" s="25"/>
      <c r="PD1207" s="25"/>
      <c r="PE1207" s="25"/>
      <c r="PF1207" s="25"/>
      <c r="PG1207" s="25"/>
      <c r="PH1207" s="25"/>
      <c r="PI1207" s="25"/>
      <c r="PJ1207" s="25"/>
      <c r="PK1207" s="25"/>
      <c r="PL1207" s="25"/>
      <c r="PM1207" s="25"/>
      <c r="PN1207" s="25"/>
      <c r="PO1207" s="25"/>
      <c r="PP1207" s="25"/>
      <c r="PQ1207" s="25"/>
      <c r="PR1207" s="25"/>
      <c r="PS1207" s="25"/>
      <c r="PT1207" s="25"/>
      <c r="PU1207" s="25"/>
      <c r="PV1207" s="25"/>
      <c r="PW1207" s="25"/>
      <c r="PX1207" s="25"/>
      <c r="PY1207" s="25"/>
      <c r="PZ1207" s="25"/>
      <c r="QA1207" s="25"/>
      <c r="QB1207" s="25"/>
      <c r="QC1207" s="25"/>
      <c r="QD1207" s="25"/>
      <c r="QE1207" s="25"/>
      <c r="QF1207" s="25"/>
      <c r="QG1207" s="25"/>
      <c r="QH1207" s="25"/>
      <c r="QI1207" s="25"/>
      <c r="QJ1207" s="25"/>
      <c r="QK1207" s="25"/>
      <c r="QL1207" s="25"/>
      <c r="QM1207" s="25"/>
      <c r="QN1207" s="25"/>
      <c r="QO1207" s="25"/>
      <c r="QP1207" s="25"/>
      <c r="QQ1207" s="25"/>
      <c r="QR1207" s="25"/>
      <c r="QS1207" s="25"/>
      <c r="QT1207" s="25"/>
      <c r="QU1207" s="25"/>
      <c r="QV1207" s="25"/>
      <c r="QW1207" s="25"/>
      <c r="QX1207" s="25"/>
      <c r="QY1207" s="25"/>
      <c r="QZ1207" s="25"/>
      <c r="RA1207" s="25"/>
      <c r="RB1207" s="25"/>
      <c r="RC1207" s="25"/>
      <c r="RD1207" s="25"/>
      <c r="RE1207" s="25"/>
      <c r="RF1207" s="25"/>
      <c r="RG1207" s="25"/>
      <c r="RH1207" s="25"/>
      <c r="RI1207" s="25"/>
      <c r="RJ1207" s="25"/>
      <c r="RK1207" s="25"/>
      <c r="RL1207" s="25"/>
      <c r="RM1207" s="25"/>
      <c r="RN1207" s="25"/>
      <c r="RO1207" s="25"/>
      <c r="RP1207" s="25"/>
      <c r="RQ1207" s="25"/>
      <c r="RR1207" s="25"/>
      <c r="RS1207" s="25"/>
      <c r="RT1207" s="25"/>
      <c r="RU1207" s="25"/>
      <c r="RV1207" s="25"/>
      <c r="RW1207" s="25"/>
      <c r="RX1207" s="25"/>
      <c r="RY1207" s="25"/>
      <c r="RZ1207" s="25"/>
      <c r="SA1207" s="25"/>
      <c r="SB1207" s="25"/>
      <c r="SC1207" s="25"/>
      <c r="SD1207" s="25"/>
      <c r="SE1207" s="25"/>
      <c r="SF1207" s="25"/>
      <c r="SG1207" s="25"/>
      <c r="SH1207" s="25"/>
      <c r="SI1207" s="25"/>
      <c r="SJ1207" s="25"/>
      <c r="SK1207" s="25"/>
      <c r="SL1207" s="25"/>
      <c r="SM1207" s="25"/>
      <c r="SN1207" s="25"/>
      <c r="SO1207" s="25"/>
      <c r="SP1207" s="25"/>
      <c r="SQ1207" s="25"/>
      <c r="SR1207" s="25"/>
      <c r="SS1207" s="25"/>
      <c r="ST1207" s="25"/>
      <c r="SU1207" s="25"/>
      <c r="SV1207" s="25"/>
      <c r="SW1207" s="25"/>
      <c r="SX1207" s="25"/>
      <c r="SY1207" s="25"/>
      <c r="SZ1207" s="25"/>
      <c r="TA1207" s="25"/>
      <c r="TB1207" s="25"/>
      <c r="TC1207" s="25"/>
      <c r="TD1207" s="25"/>
      <c r="TE1207" s="25"/>
      <c r="TF1207" s="25"/>
      <c r="TG1207" s="25"/>
      <c r="TH1207" s="25"/>
      <c r="TI1207" s="25"/>
      <c r="TJ1207" s="25"/>
      <c r="TK1207" s="25"/>
      <c r="TL1207" s="25"/>
      <c r="TM1207" s="25"/>
      <c r="TN1207" s="25"/>
      <c r="TO1207" s="25"/>
      <c r="TP1207" s="25"/>
      <c r="TQ1207" s="25"/>
      <c r="TR1207" s="25"/>
      <c r="TS1207" s="25"/>
      <c r="TT1207" s="25"/>
      <c r="TU1207" s="25"/>
      <c r="TV1207" s="25"/>
      <c r="TW1207" s="25"/>
      <c r="TX1207" s="25"/>
      <c r="TY1207" s="25"/>
      <c r="TZ1207" s="25"/>
      <c r="UA1207" s="25"/>
      <c r="UB1207" s="25"/>
      <c r="UC1207" s="25"/>
      <c r="UD1207" s="25"/>
      <c r="UE1207" s="25"/>
      <c r="UF1207" s="25"/>
      <c r="UG1207" s="26"/>
    </row>
    <row r="1208" spans="1:553" s="169" customFormat="1" ht="72.75" customHeight="1">
      <c r="A1208" s="356">
        <v>11</v>
      </c>
      <c r="B1208" s="356"/>
      <c r="C1208" s="1209" t="s">
        <v>669</v>
      </c>
      <c r="D1208" s="1211"/>
      <c r="E1208" s="1211"/>
      <c r="F1208" s="1212"/>
      <c r="G1208" s="356"/>
      <c r="H1208" s="359"/>
      <c r="I1208" s="359"/>
      <c r="J1208" s="357"/>
      <c r="K1208" s="364"/>
      <c r="L1208" s="356">
        <f>SUM(L1212:L1242)/2</f>
        <v>352186053.32572269</v>
      </c>
      <c r="M1208" s="356"/>
      <c r="N1208" s="356"/>
      <c r="O1208" s="356"/>
      <c r="P1208" s="356">
        <f>SUM(P1212:P1242)</f>
        <v>352186053.32572269</v>
      </c>
      <c r="Q1208" s="610"/>
      <c r="R1208" s="411"/>
      <c r="S1208" s="435">
        <v>2</v>
      </c>
      <c r="T1208" s="435">
        <v>405</v>
      </c>
      <c r="U1208" s="616">
        <f>H1212</f>
        <v>95.7</v>
      </c>
      <c r="V1208" s="616">
        <f>I1212</f>
        <v>95.7</v>
      </c>
      <c r="W1208" s="435"/>
      <c r="X1208" s="435"/>
      <c r="Y1208" s="435"/>
      <c r="Z1208" s="784"/>
      <c r="AA1208" s="435"/>
      <c r="AB1208" s="435"/>
      <c r="AC1208" s="365">
        <f>I1213</f>
        <v>95.7</v>
      </c>
      <c r="AD1208" s="365">
        <f>L1212</f>
        <v>37323000</v>
      </c>
      <c r="AE1208" s="365">
        <f>L1214</f>
        <v>309772653.32572269</v>
      </c>
      <c r="AF1208" s="365">
        <f>L1232</f>
        <v>90400</v>
      </c>
      <c r="AG1208" s="365">
        <f>L1236</f>
        <v>5000000</v>
      </c>
      <c r="AH1208" s="365">
        <f>L1238</f>
        <v>0</v>
      </c>
      <c r="AI1208" s="365">
        <f>L1239</f>
        <v>0</v>
      </c>
      <c r="AJ1208" s="365"/>
      <c r="AK1208" s="365">
        <f>SUM(AD1208:AJ1208)</f>
        <v>352186053.32572269</v>
      </c>
      <c r="AL1208" s="327"/>
      <c r="AM1208" s="172"/>
      <c r="AN1208" s="172"/>
      <c r="AO1208" s="173"/>
      <c r="AP1208" s="173"/>
      <c r="AQ1208" s="173"/>
      <c r="AR1208" s="173"/>
      <c r="AS1208" s="174"/>
      <c r="AT1208" s="174"/>
      <c r="AU1208" s="174"/>
      <c r="AV1208" s="174"/>
      <c r="AW1208" s="174"/>
      <c r="AX1208" s="174"/>
      <c r="AY1208" s="174"/>
      <c r="AZ1208" s="174"/>
      <c r="BA1208" s="174"/>
      <c r="BB1208" s="174"/>
      <c r="BC1208" s="174"/>
      <c r="BD1208" s="174"/>
      <c r="BE1208" s="174"/>
      <c r="BF1208" s="174"/>
      <c r="BG1208" s="174"/>
      <c r="BH1208" s="174"/>
      <c r="BI1208" s="174"/>
      <c r="BJ1208" s="174"/>
      <c r="BK1208" s="174"/>
      <c r="BL1208" s="174"/>
      <c r="BM1208" s="174"/>
      <c r="BN1208" s="174"/>
      <c r="BO1208" s="174"/>
      <c r="BP1208" s="174"/>
      <c r="BQ1208" s="174"/>
      <c r="BR1208" s="174"/>
      <c r="BS1208" s="174"/>
      <c r="BT1208" s="174"/>
      <c r="BU1208" s="174"/>
      <c r="BV1208" s="174"/>
      <c r="BW1208" s="174"/>
      <c r="BX1208" s="174"/>
      <c r="BY1208" s="174"/>
      <c r="BZ1208" s="174"/>
      <c r="CA1208" s="174"/>
      <c r="CB1208" s="174"/>
      <c r="CC1208" s="174"/>
      <c r="CD1208" s="174"/>
      <c r="CE1208" s="174"/>
      <c r="CF1208" s="174"/>
      <c r="CG1208" s="174"/>
      <c r="CH1208" s="174"/>
      <c r="CI1208" s="174"/>
      <c r="CJ1208" s="174"/>
      <c r="CK1208" s="174"/>
      <c r="CL1208" s="174"/>
      <c r="CM1208" s="174"/>
      <c r="CN1208" s="174"/>
      <c r="CO1208" s="174"/>
      <c r="CP1208" s="174"/>
      <c r="CQ1208" s="174"/>
      <c r="CR1208" s="174"/>
      <c r="CS1208" s="174"/>
      <c r="CT1208" s="174"/>
      <c r="CU1208" s="174"/>
      <c r="CV1208" s="174"/>
      <c r="CW1208" s="174"/>
      <c r="CX1208" s="174"/>
      <c r="CY1208" s="174"/>
      <c r="CZ1208" s="174"/>
      <c r="DA1208" s="174"/>
      <c r="DB1208" s="174"/>
      <c r="DC1208" s="174"/>
      <c r="DD1208" s="174"/>
      <c r="DE1208" s="174"/>
      <c r="DF1208" s="174"/>
      <c r="DG1208" s="174"/>
      <c r="DH1208" s="174"/>
      <c r="DI1208" s="174"/>
      <c r="DJ1208" s="174"/>
      <c r="DK1208" s="174"/>
      <c r="DL1208" s="174"/>
      <c r="DM1208" s="174"/>
      <c r="DN1208" s="174"/>
      <c r="DO1208" s="174"/>
      <c r="DP1208" s="174"/>
      <c r="DQ1208" s="174"/>
      <c r="DR1208" s="174"/>
      <c r="DS1208" s="174"/>
      <c r="DT1208" s="174"/>
      <c r="DU1208" s="174"/>
      <c r="DV1208" s="174"/>
      <c r="DW1208" s="174"/>
      <c r="DX1208" s="174"/>
      <c r="DY1208" s="174"/>
      <c r="DZ1208" s="174"/>
      <c r="EA1208" s="174"/>
      <c r="EB1208" s="174"/>
      <c r="EC1208" s="174"/>
      <c r="ED1208" s="174"/>
      <c r="EE1208" s="174"/>
      <c r="EF1208" s="174"/>
      <c r="EG1208" s="174"/>
      <c r="EH1208" s="174"/>
      <c r="EI1208" s="174"/>
      <c r="EJ1208" s="174"/>
      <c r="EK1208" s="174"/>
      <c r="EL1208" s="174"/>
      <c r="EM1208" s="174"/>
      <c r="EN1208" s="174"/>
      <c r="EO1208" s="174"/>
      <c r="EP1208" s="174"/>
      <c r="EQ1208" s="174"/>
      <c r="ER1208" s="174"/>
      <c r="ES1208" s="174"/>
      <c r="ET1208" s="174"/>
      <c r="EU1208" s="174"/>
      <c r="EV1208" s="174"/>
      <c r="EW1208" s="174"/>
      <c r="EX1208" s="174"/>
      <c r="EY1208" s="174"/>
      <c r="EZ1208" s="174"/>
      <c r="FA1208" s="174"/>
      <c r="FB1208" s="174"/>
      <c r="FC1208" s="174"/>
      <c r="FD1208" s="174"/>
      <c r="FE1208" s="174"/>
      <c r="FF1208" s="174"/>
      <c r="FG1208" s="174"/>
      <c r="FH1208" s="174"/>
      <c r="FI1208" s="174"/>
      <c r="FJ1208" s="174"/>
      <c r="FK1208" s="174"/>
      <c r="FL1208" s="174"/>
      <c r="FM1208" s="174"/>
      <c r="FN1208" s="174"/>
      <c r="FO1208" s="174"/>
      <c r="FP1208" s="174"/>
      <c r="FQ1208" s="174"/>
      <c r="FR1208" s="174"/>
      <c r="FS1208" s="174"/>
      <c r="FT1208" s="174"/>
      <c r="FU1208" s="174"/>
      <c r="FV1208" s="174"/>
      <c r="FW1208" s="174"/>
      <c r="FX1208" s="174"/>
      <c r="FY1208" s="174"/>
      <c r="FZ1208" s="174"/>
      <c r="GA1208" s="174"/>
      <c r="GB1208" s="174"/>
      <c r="GC1208" s="174"/>
      <c r="GD1208" s="174"/>
      <c r="GE1208" s="174"/>
      <c r="GF1208" s="174"/>
      <c r="GG1208" s="174"/>
      <c r="GH1208" s="174"/>
      <c r="GI1208" s="174"/>
      <c r="GJ1208" s="174"/>
      <c r="GK1208" s="174"/>
      <c r="GL1208" s="174"/>
      <c r="GM1208" s="174"/>
      <c r="GN1208" s="174"/>
      <c r="GO1208" s="174"/>
      <c r="GP1208" s="174"/>
      <c r="GQ1208" s="174"/>
      <c r="GR1208" s="174"/>
      <c r="GS1208" s="174"/>
      <c r="GT1208" s="174"/>
      <c r="GU1208" s="174"/>
      <c r="GV1208" s="174"/>
      <c r="GW1208" s="174"/>
      <c r="GX1208" s="174"/>
      <c r="GY1208" s="174"/>
      <c r="GZ1208" s="174"/>
      <c r="HA1208" s="174"/>
      <c r="HB1208" s="174"/>
      <c r="HC1208" s="174"/>
      <c r="HD1208" s="174"/>
      <c r="HE1208" s="174"/>
      <c r="HF1208" s="174"/>
      <c r="HG1208" s="174"/>
      <c r="HH1208" s="174"/>
      <c r="HI1208" s="174"/>
      <c r="HJ1208" s="174"/>
      <c r="HK1208" s="174"/>
      <c r="HL1208" s="174"/>
      <c r="HM1208" s="174"/>
      <c r="HN1208" s="174"/>
      <c r="HO1208" s="174"/>
      <c r="HP1208" s="174"/>
      <c r="HQ1208" s="174"/>
      <c r="HR1208" s="174"/>
      <c r="HS1208" s="174"/>
      <c r="HT1208" s="174"/>
      <c r="HU1208" s="174"/>
      <c r="HV1208" s="174"/>
      <c r="HW1208" s="174"/>
      <c r="HX1208" s="174"/>
      <c r="HY1208" s="174"/>
      <c r="HZ1208" s="174"/>
      <c r="IA1208" s="174"/>
      <c r="IB1208" s="174"/>
      <c r="IC1208" s="174"/>
      <c r="ID1208" s="174"/>
      <c r="IE1208" s="174"/>
      <c r="IF1208" s="174"/>
      <c r="IG1208" s="174"/>
      <c r="IH1208" s="174"/>
      <c r="II1208" s="174"/>
      <c r="IJ1208" s="174"/>
      <c r="IK1208" s="174"/>
      <c r="IL1208" s="174"/>
      <c r="IM1208" s="174"/>
      <c r="IN1208" s="174"/>
      <c r="IO1208" s="174"/>
      <c r="IP1208" s="174"/>
      <c r="IQ1208" s="174"/>
      <c r="IR1208" s="174"/>
      <c r="IS1208" s="174"/>
      <c r="IT1208" s="174"/>
      <c r="IU1208" s="174"/>
      <c r="IV1208" s="174"/>
      <c r="IW1208" s="174"/>
      <c r="IX1208" s="174"/>
      <c r="IY1208" s="174"/>
      <c r="IZ1208" s="174"/>
      <c r="JA1208" s="174"/>
      <c r="JB1208" s="174"/>
      <c r="JC1208" s="174"/>
      <c r="JD1208" s="174"/>
      <c r="JE1208" s="174"/>
      <c r="JF1208" s="174"/>
      <c r="JG1208" s="174"/>
      <c r="JH1208" s="174"/>
      <c r="JI1208" s="174"/>
      <c r="JJ1208" s="174"/>
      <c r="JK1208" s="174"/>
      <c r="JL1208" s="174"/>
      <c r="JM1208" s="174"/>
      <c r="JN1208" s="174"/>
      <c r="JO1208" s="174"/>
      <c r="JP1208" s="174"/>
      <c r="JQ1208" s="174"/>
      <c r="JR1208" s="174"/>
      <c r="JS1208" s="174"/>
      <c r="JT1208" s="174"/>
      <c r="JU1208" s="174"/>
      <c r="JV1208" s="174"/>
      <c r="JW1208" s="174"/>
      <c r="JX1208" s="174"/>
      <c r="JY1208" s="174"/>
      <c r="JZ1208" s="174"/>
      <c r="KA1208" s="174"/>
      <c r="KB1208" s="174"/>
      <c r="KC1208" s="174"/>
      <c r="KD1208" s="174"/>
      <c r="KE1208" s="174"/>
      <c r="KF1208" s="174"/>
      <c r="KG1208" s="174"/>
      <c r="KH1208" s="174"/>
      <c r="KI1208" s="174"/>
      <c r="KJ1208" s="174"/>
      <c r="KK1208" s="174"/>
      <c r="KL1208" s="174"/>
      <c r="KM1208" s="174"/>
      <c r="KN1208" s="174"/>
      <c r="KO1208" s="174"/>
      <c r="KP1208" s="174"/>
      <c r="KQ1208" s="174"/>
      <c r="KR1208" s="174"/>
      <c r="KS1208" s="174"/>
      <c r="KT1208" s="174"/>
      <c r="KU1208" s="174"/>
      <c r="KV1208" s="174"/>
      <c r="KW1208" s="174"/>
      <c r="KX1208" s="174"/>
      <c r="KY1208" s="174"/>
      <c r="KZ1208" s="174"/>
      <c r="LA1208" s="174"/>
      <c r="LB1208" s="174"/>
      <c r="LC1208" s="174"/>
      <c r="LD1208" s="174"/>
      <c r="LE1208" s="174"/>
      <c r="LF1208" s="174"/>
      <c r="LG1208" s="174"/>
      <c r="LH1208" s="174"/>
      <c r="LI1208" s="174"/>
      <c r="LJ1208" s="174"/>
      <c r="LK1208" s="174"/>
      <c r="LL1208" s="174"/>
      <c r="LM1208" s="174"/>
      <c r="LN1208" s="174"/>
      <c r="LO1208" s="174"/>
      <c r="LP1208" s="174"/>
      <c r="LQ1208" s="174"/>
      <c r="LR1208" s="174"/>
      <c r="LS1208" s="174"/>
      <c r="LT1208" s="174"/>
      <c r="LU1208" s="174"/>
      <c r="LV1208" s="174"/>
      <c r="LW1208" s="174"/>
      <c r="LX1208" s="174"/>
      <c r="LY1208" s="174"/>
      <c r="LZ1208" s="174"/>
      <c r="MA1208" s="174"/>
      <c r="MB1208" s="174"/>
      <c r="MC1208" s="174"/>
      <c r="MD1208" s="174"/>
      <c r="ME1208" s="174"/>
      <c r="MF1208" s="174"/>
      <c r="MG1208" s="174"/>
      <c r="MH1208" s="174"/>
      <c r="MI1208" s="174"/>
      <c r="MJ1208" s="174"/>
      <c r="MK1208" s="174"/>
      <c r="ML1208" s="174"/>
      <c r="MM1208" s="174"/>
      <c r="MN1208" s="174"/>
      <c r="MO1208" s="174"/>
      <c r="MP1208" s="174"/>
      <c r="MQ1208" s="174"/>
      <c r="MR1208" s="174"/>
      <c r="MS1208" s="174"/>
      <c r="MT1208" s="174"/>
      <c r="MU1208" s="174"/>
      <c r="MV1208" s="174"/>
      <c r="MW1208" s="174"/>
      <c r="MX1208" s="174"/>
      <c r="MY1208" s="174"/>
      <c r="MZ1208" s="174"/>
      <c r="NA1208" s="174"/>
      <c r="NB1208" s="174"/>
      <c r="NC1208" s="174"/>
      <c r="ND1208" s="174"/>
      <c r="NE1208" s="174"/>
      <c r="NF1208" s="174"/>
      <c r="NG1208" s="174"/>
      <c r="NH1208" s="174"/>
      <c r="NI1208" s="174"/>
      <c r="NJ1208" s="174"/>
      <c r="NK1208" s="174"/>
      <c r="NL1208" s="174"/>
      <c r="NM1208" s="174"/>
      <c r="NN1208" s="174"/>
      <c r="NO1208" s="174"/>
      <c r="NP1208" s="174"/>
      <c r="NQ1208" s="174"/>
      <c r="NR1208" s="174"/>
      <c r="NS1208" s="174"/>
      <c r="NT1208" s="174"/>
      <c r="NU1208" s="174"/>
      <c r="NV1208" s="174"/>
      <c r="NW1208" s="174"/>
      <c r="NX1208" s="174"/>
      <c r="NY1208" s="174"/>
      <c r="NZ1208" s="174"/>
      <c r="OA1208" s="174"/>
      <c r="OB1208" s="174"/>
      <c r="OC1208" s="174"/>
      <c r="OD1208" s="174"/>
      <c r="OE1208" s="174"/>
      <c r="OF1208" s="174"/>
      <c r="OG1208" s="174"/>
      <c r="OH1208" s="174"/>
      <c r="OI1208" s="174"/>
      <c r="OJ1208" s="174"/>
      <c r="OK1208" s="174"/>
      <c r="OL1208" s="174"/>
      <c r="OM1208" s="174"/>
      <c r="ON1208" s="174"/>
      <c r="OO1208" s="174"/>
      <c r="OP1208" s="174"/>
      <c r="OQ1208" s="174"/>
      <c r="OR1208" s="174"/>
      <c r="OS1208" s="174"/>
      <c r="OT1208" s="174"/>
      <c r="OU1208" s="174"/>
      <c r="OV1208" s="174"/>
      <c r="OW1208" s="174"/>
      <c r="OX1208" s="174"/>
      <c r="OY1208" s="174"/>
      <c r="OZ1208" s="174"/>
      <c r="PA1208" s="174"/>
      <c r="PB1208" s="174"/>
      <c r="PC1208" s="174"/>
      <c r="PD1208" s="174"/>
      <c r="PE1208" s="174"/>
      <c r="PF1208" s="174"/>
      <c r="PG1208" s="174"/>
      <c r="PH1208" s="174"/>
      <c r="PI1208" s="174"/>
      <c r="PJ1208" s="174"/>
      <c r="PK1208" s="174"/>
      <c r="PL1208" s="174"/>
      <c r="PM1208" s="174"/>
      <c r="PN1208" s="174"/>
      <c r="PO1208" s="174"/>
      <c r="PP1208" s="174"/>
      <c r="PQ1208" s="174"/>
      <c r="PR1208" s="174"/>
      <c r="PS1208" s="174"/>
      <c r="PT1208" s="174"/>
      <c r="PU1208" s="174"/>
      <c r="PV1208" s="174"/>
      <c r="PW1208" s="174"/>
      <c r="PX1208" s="174"/>
      <c r="PY1208" s="174"/>
      <c r="PZ1208" s="174"/>
      <c r="QA1208" s="174"/>
      <c r="QB1208" s="174"/>
      <c r="QC1208" s="174"/>
      <c r="QD1208" s="174"/>
      <c r="QE1208" s="174"/>
      <c r="QF1208" s="174"/>
      <c r="QG1208" s="174"/>
      <c r="QH1208" s="174"/>
      <c r="QI1208" s="174"/>
      <c r="QJ1208" s="174"/>
      <c r="QK1208" s="174"/>
      <c r="QL1208" s="174"/>
      <c r="QM1208" s="174"/>
      <c r="QN1208" s="174"/>
      <c r="QO1208" s="174"/>
      <c r="QP1208" s="174"/>
      <c r="QQ1208" s="174"/>
      <c r="QR1208" s="174"/>
      <c r="QS1208" s="174"/>
      <c r="QT1208" s="174"/>
      <c r="QU1208" s="174"/>
      <c r="QV1208" s="174"/>
      <c r="QW1208" s="174"/>
      <c r="QX1208" s="174"/>
      <c r="QY1208" s="174"/>
      <c r="QZ1208" s="174"/>
      <c r="RA1208" s="174"/>
      <c r="RB1208" s="174"/>
      <c r="RC1208" s="174"/>
      <c r="RD1208" s="174"/>
      <c r="RE1208" s="174"/>
      <c r="RF1208" s="174"/>
      <c r="RG1208" s="174"/>
      <c r="RH1208" s="174"/>
      <c r="RI1208" s="174"/>
      <c r="RJ1208" s="174"/>
      <c r="RK1208" s="174"/>
      <c r="RL1208" s="174"/>
      <c r="RM1208" s="174"/>
      <c r="RN1208" s="174"/>
      <c r="RO1208" s="174"/>
      <c r="RP1208" s="174"/>
      <c r="RQ1208" s="174"/>
      <c r="RR1208" s="174"/>
      <c r="RS1208" s="174"/>
      <c r="RT1208" s="174"/>
      <c r="RU1208" s="174"/>
      <c r="RV1208" s="174"/>
      <c r="RW1208" s="174"/>
      <c r="RX1208" s="174"/>
      <c r="RY1208" s="174"/>
      <c r="RZ1208" s="174"/>
      <c r="SA1208" s="174"/>
      <c r="SB1208" s="174"/>
      <c r="SC1208" s="174"/>
      <c r="SD1208" s="174"/>
      <c r="SE1208" s="174"/>
      <c r="SF1208" s="174"/>
      <c r="SG1208" s="174"/>
      <c r="SH1208" s="174"/>
      <c r="SI1208" s="174"/>
      <c r="SJ1208" s="174"/>
      <c r="SK1208" s="174"/>
      <c r="SL1208" s="174"/>
      <c r="SM1208" s="174"/>
      <c r="SN1208" s="174"/>
      <c r="SO1208" s="174"/>
      <c r="SP1208" s="174"/>
      <c r="SQ1208" s="174"/>
      <c r="SR1208" s="174"/>
      <c r="SS1208" s="174"/>
      <c r="ST1208" s="174"/>
      <c r="SU1208" s="174"/>
      <c r="SV1208" s="174"/>
      <c r="SW1208" s="174"/>
      <c r="SX1208" s="174"/>
      <c r="SY1208" s="174"/>
      <c r="SZ1208" s="174"/>
      <c r="TA1208" s="174"/>
      <c r="TB1208" s="174"/>
      <c r="TC1208" s="174"/>
      <c r="TD1208" s="174"/>
      <c r="TE1208" s="174"/>
      <c r="TF1208" s="174"/>
      <c r="TG1208" s="174"/>
      <c r="TH1208" s="174"/>
      <c r="TI1208" s="174"/>
      <c r="TJ1208" s="174"/>
      <c r="TK1208" s="174"/>
      <c r="TL1208" s="174"/>
      <c r="TM1208" s="174"/>
      <c r="TN1208" s="174"/>
      <c r="TO1208" s="174"/>
      <c r="TP1208" s="174"/>
      <c r="TQ1208" s="174"/>
      <c r="TR1208" s="174"/>
      <c r="TS1208" s="174"/>
      <c r="TT1208" s="174"/>
      <c r="TU1208" s="174"/>
      <c r="TV1208" s="174"/>
      <c r="TW1208" s="174"/>
      <c r="TX1208" s="174"/>
      <c r="TY1208" s="174"/>
      <c r="TZ1208" s="174"/>
      <c r="UA1208" s="174"/>
      <c r="UB1208" s="174"/>
      <c r="UC1208" s="174"/>
      <c r="UD1208" s="174"/>
      <c r="UE1208" s="174"/>
      <c r="UF1208" s="174"/>
      <c r="UG1208" s="175"/>
    </row>
    <row r="1209" spans="1:553" ht="30.75" customHeight="1">
      <c r="A1209" s="356" t="s">
        <v>15</v>
      </c>
      <c r="B1209" s="366"/>
      <c r="C1209" s="1443" t="s">
        <v>670</v>
      </c>
      <c r="D1209" s="1389"/>
      <c r="E1209" s="1389"/>
      <c r="F1209" s="1390"/>
      <c r="G1209" s="366"/>
      <c r="H1209" s="370"/>
      <c r="I1209" s="370"/>
      <c r="J1209" s="368"/>
      <c r="K1209" s="371"/>
      <c r="L1209" s="366"/>
      <c r="M1209" s="366"/>
      <c r="N1209" s="366"/>
      <c r="O1209" s="366"/>
      <c r="P1209" s="366"/>
      <c r="Q1209" s="812"/>
      <c r="R1209" s="1226"/>
      <c r="S1209" s="308"/>
      <c r="T1209" s="308"/>
      <c r="U1209" s="308"/>
      <c r="V1209" s="308"/>
      <c r="W1209" s="308"/>
      <c r="X1209" s="308"/>
      <c r="Y1209" s="308"/>
      <c r="Z1209" s="604"/>
      <c r="AA1209" s="308"/>
      <c r="AB1209" s="308"/>
      <c r="AC1209" s="373"/>
      <c r="AD1209" s="373"/>
      <c r="AE1209" s="373"/>
      <c r="AF1209" s="373"/>
      <c r="AG1209" s="373"/>
      <c r="AH1209" s="373"/>
      <c r="AI1209" s="373"/>
      <c r="AJ1209" s="373"/>
      <c r="AK1209" s="374"/>
      <c r="AL1209" s="323"/>
      <c r="AM1209" s="21"/>
      <c r="AN1209" s="21"/>
      <c r="AO1209" s="21"/>
      <c r="AP1209" s="21"/>
      <c r="AQ1209" s="21"/>
      <c r="AR1209" s="21"/>
      <c r="AS1209" s="22"/>
      <c r="AT1209" s="22"/>
      <c r="AU1209" s="22"/>
      <c r="AV1209" s="22"/>
      <c r="AW1209" s="22"/>
      <c r="AX1209" s="22"/>
      <c r="AY1209" s="22"/>
      <c r="AZ1209" s="22"/>
      <c r="BA1209" s="22"/>
      <c r="BB1209" s="22"/>
      <c r="BC1209" s="22"/>
      <c r="BD1209" s="22"/>
      <c r="BE1209" s="22"/>
      <c r="BF1209" s="22"/>
      <c r="BG1209" s="22"/>
      <c r="BH1209" s="22"/>
      <c r="BI1209" s="22"/>
      <c r="BJ1209" s="22"/>
      <c r="BK1209" s="22"/>
      <c r="BL1209" s="22"/>
      <c r="BM1209" s="22"/>
      <c r="BN1209" s="22"/>
      <c r="BO1209" s="22"/>
      <c r="BP1209" s="22"/>
      <c r="BQ1209" s="22"/>
      <c r="BR1209" s="22"/>
      <c r="BS1209" s="22"/>
      <c r="BT1209" s="22"/>
      <c r="BU1209" s="22"/>
      <c r="BV1209" s="22"/>
      <c r="BW1209" s="22"/>
      <c r="BX1209" s="22"/>
      <c r="BY1209" s="22"/>
      <c r="BZ1209" s="22"/>
      <c r="CA1209" s="22"/>
      <c r="CB1209" s="22"/>
      <c r="CC1209" s="22"/>
      <c r="CD1209" s="22"/>
      <c r="CE1209" s="22"/>
      <c r="CF1209" s="22"/>
      <c r="CG1209" s="22"/>
      <c r="CH1209" s="22"/>
      <c r="CI1209" s="22"/>
      <c r="CJ1209" s="22"/>
      <c r="CK1209" s="22"/>
      <c r="CL1209" s="22"/>
      <c r="CM1209" s="22"/>
      <c r="CN1209" s="22"/>
      <c r="CO1209" s="22"/>
      <c r="CP1209" s="22"/>
      <c r="CQ1209" s="22"/>
      <c r="CR1209" s="22"/>
      <c r="CS1209" s="22"/>
      <c r="CT1209" s="22"/>
      <c r="CU1209" s="22"/>
      <c r="CV1209" s="22"/>
      <c r="CW1209" s="22"/>
      <c r="CX1209" s="22"/>
      <c r="CY1209" s="22"/>
      <c r="CZ1209" s="22"/>
      <c r="DA1209" s="22"/>
      <c r="DB1209" s="22"/>
      <c r="DC1209" s="22"/>
      <c r="DD1209" s="22"/>
      <c r="DE1209" s="22"/>
      <c r="DF1209" s="22"/>
      <c r="DG1209" s="22"/>
      <c r="DH1209" s="22"/>
      <c r="DI1209" s="22"/>
      <c r="DJ1209" s="22"/>
      <c r="DK1209" s="22"/>
      <c r="DL1209" s="22"/>
      <c r="DM1209" s="22"/>
      <c r="DN1209" s="22"/>
      <c r="DO1209" s="22"/>
      <c r="DP1209" s="22"/>
      <c r="DQ1209" s="22"/>
      <c r="DR1209" s="22"/>
      <c r="DS1209" s="22"/>
      <c r="DT1209" s="22"/>
      <c r="DU1209" s="22"/>
      <c r="DV1209" s="22"/>
      <c r="DW1209" s="22"/>
      <c r="DX1209" s="22"/>
      <c r="DY1209" s="22"/>
      <c r="DZ1209" s="22"/>
      <c r="EA1209" s="22"/>
      <c r="EB1209" s="22"/>
      <c r="EC1209" s="22"/>
      <c r="ED1209" s="22"/>
      <c r="EE1209" s="22"/>
      <c r="EF1209" s="22"/>
      <c r="EG1209" s="22"/>
      <c r="EH1209" s="22"/>
      <c r="EI1209" s="22"/>
      <c r="EJ1209" s="22"/>
      <c r="EK1209" s="22"/>
      <c r="EL1209" s="22"/>
      <c r="EM1209" s="22"/>
      <c r="EN1209" s="22"/>
      <c r="EO1209" s="22"/>
      <c r="EP1209" s="22"/>
      <c r="EQ1209" s="22"/>
      <c r="ER1209" s="22"/>
      <c r="ES1209" s="22"/>
      <c r="ET1209" s="22"/>
      <c r="EU1209" s="22"/>
      <c r="EV1209" s="22"/>
      <c r="EW1209" s="22"/>
      <c r="EX1209" s="22"/>
      <c r="EY1209" s="22"/>
      <c r="EZ1209" s="22"/>
      <c r="FA1209" s="22"/>
      <c r="FB1209" s="22"/>
      <c r="FC1209" s="22"/>
      <c r="FD1209" s="22"/>
      <c r="FE1209" s="22"/>
      <c r="FF1209" s="22"/>
      <c r="FG1209" s="22"/>
      <c r="FH1209" s="22"/>
      <c r="FI1209" s="22"/>
      <c r="FJ1209" s="22"/>
      <c r="FK1209" s="22"/>
      <c r="FL1209" s="22"/>
      <c r="FM1209" s="22"/>
      <c r="FN1209" s="22"/>
      <c r="FO1209" s="22"/>
      <c r="FP1209" s="22"/>
      <c r="FQ1209" s="22"/>
      <c r="FR1209" s="22"/>
      <c r="FS1209" s="22"/>
      <c r="FT1209" s="22"/>
      <c r="FU1209" s="22"/>
      <c r="FV1209" s="22"/>
      <c r="FW1209" s="22"/>
      <c r="FX1209" s="22"/>
      <c r="FY1209" s="22"/>
      <c r="FZ1209" s="22"/>
      <c r="GA1209" s="22"/>
      <c r="GB1209" s="22"/>
      <c r="GC1209" s="22"/>
      <c r="GD1209" s="22"/>
      <c r="GE1209" s="22"/>
      <c r="GF1209" s="22"/>
      <c r="GG1209" s="22"/>
      <c r="GH1209" s="22"/>
      <c r="GI1209" s="22"/>
      <c r="GJ1209" s="22"/>
      <c r="GK1209" s="22"/>
      <c r="GL1209" s="22"/>
      <c r="GM1209" s="22"/>
      <c r="GN1209" s="22"/>
      <c r="GO1209" s="22"/>
      <c r="GP1209" s="22"/>
      <c r="GQ1209" s="22"/>
      <c r="GR1209" s="22"/>
      <c r="GS1209" s="22"/>
      <c r="GT1209" s="22"/>
      <c r="GU1209" s="22"/>
      <c r="GV1209" s="22"/>
      <c r="GW1209" s="22"/>
      <c r="GX1209" s="22"/>
      <c r="GY1209" s="22"/>
      <c r="GZ1209" s="22"/>
      <c r="HA1209" s="22"/>
      <c r="HB1209" s="22"/>
      <c r="HC1209" s="22"/>
      <c r="HD1209" s="22"/>
      <c r="HE1209" s="22"/>
      <c r="HF1209" s="22"/>
      <c r="HG1209" s="22"/>
      <c r="HH1209" s="22"/>
      <c r="HI1209" s="22"/>
      <c r="HJ1209" s="22"/>
      <c r="HK1209" s="22"/>
      <c r="HL1209" s="22"/>
      <c r="HM1209" s="22"/>
      <c r="HN1209" s="22"/>
      <c r="HO1209" s="22"/>
      <c r="HP1209" s="22"/>
      <c r="HQ1209" s="22"/>
      <c r="HR1209" s="22"/>
      <c r="HS1209" s="22"/>
      <c r="HT1209" s="22"/>
      <c r="HU1209" s="22"/>
      <c r="HV1209" s="22"/>
      <c r="HW1209" s="22"/>
      <c r="HX1209" s="22"/>
      <c r="HY1209" s="22"/>
      <c r="HZ1209" s="22"/>
      <c r="IA1209" s="22"/>
      <c r="IB1209" s="22"/>
      <c r="IC1209" s="22"/>
      <c r="ID1209" s="22"/>
      <c r="IE1209" s="22"/>
      <c r="IF1209" s="22"/>
      <c r="IG1209" s="22"/>
      <c r="IH1209" s="22"/>
      <c r="II1209" s="22"/>
      <c r="IJ1209" s="22"/>
      <c r="IK1209" s="22"/>
      <c r="IL1209" s="22"/>
      <c r="IM1209" s="22"/>
      <c r="IN1209" s="22"/>
      <c r="IO1209" s="22"/>
      <c r="IP1209" s="22"/>
      <c r="IQ1209" s="22"/>
      <c r="IR1209" s="22"/>
      <c r="IS1209" s="22"/>
      <c r="IT1209" s="22"/>
      <c r="IU1209" s="22"/>
      <c r="IV1209" s="22"/>
      <c r="IW1209" s="22"/>
      <c r="IX1209" s="22"/>
      <c r="IY1209" s="22"/>
      <c r="IZ1209" s="22"/>
      <c r="JA1209" s="22"/>
      <c r="JB1209" s="22"/>
      <c r="JC1209" s="22"/>
      <c r="JD1209" s="22"/>
      <c r="JE1209" s="22"/>
      <c r="JF1209" s="22"/>
      <c r="JG1209" s="22"/>
      <c r="JH1209" s="22"/>
      <c r="JI1209" s="22"/>
      <c r="JJ1209" s="22"/>
      <c r="JK1209" s="22"/>
      <c r="JL1209" s="22"/>
      <c r="JM1209" s="22"/>
      <c r="JN1209" s="22"/>
      <c r="JO1209" s="22"/>
      <c r="JP1209" s="22"/>
      <c r="JQ1209" s="22"/>
      <c r="JR1209" s="22"/>
      <c r="JS1209" s="22"/>
      <c r="JT1209" s="22"/>
      <c r="JU1209" s="22"/>
      <c r="JV1209" s="22"/>
      <c r="JW1209" s="22"/>
      <c r="JX1209" s="22"/>
      <c r="JY1209" s="22"/>
      <c r="JZ1209" s="22"/>
      <c r="KA1209" s="22"/>
      <c r="KB1209" s="22"/>
      <c r="KC1209" s="22"/>
      <c r="KD1209" s="22"/>
      <c r="KE1209" s="22"/>
      <c r="KF1209" s="22"/>
      <c r="KG1209" s="22"/>
      <c r="KH1209" s="22"/>
      <c r="KI1209" s="22"/>
      <c r="KJ1209" s="22"/>
      <c r="KK1209" s="22"/>
      <c r="KL1209" s="22"/>
      <c r="KM1209" s="22"/>
      <c r="KN1209" s="22"/>
      <c r="KO1209" s="22"/>
      <c r="KP1209" s="22"/>
      <c r="KQ1209" s="22"/>
      <c r="KR1209" s="22"/>
      <c r="KS1209" s="22"/>
      <c r="KT1209" s="22"/>
      <c r="KU1209" s="22"/>
      <c r="KV1209" s="22"/>
      <c r="KW1209" s="22"/>
      <c r="KX1209" s="22"/>
      <c r="KY1209" s="22"/>
      <c r="KZ1209" s="22"/>
      <c r="LA1209" s="22"/>
      <c r="LB1209" s="22"/>
      <c r="LC1209" s="22"/>
      <c r="LD1209" s="22"/>
      <c r="LE1209" s="22"/>
      <c r="LF1209" s="22"/>
      <c r="LG1209" s="22"/>
      <c r="LH1209" s="22"/>
      <c r="LI1209" s="22"/>
      <c r="LJ1209" s="22"/>
      <c r="LK1209" s="22"/>
      <c r="LL1209" s="22"/>
      <c r="LM1209" s="22"/>
      <c r="LN1209" s="22"/>
      <c r="LO1209" s="22"/>
      <c r="LP1209" s="22"/>
      <c r="LQ1209" s="22"/>
      <c r="LR1209" s="22"/>
      <c r="LS1209" s="22"/>
      <c r="LT1209" s="22"/>
      <c r="LU1209" s="22"/>
      <c r="LV1209" s="22"/>
      <c r="LW1209" s="22"/>
      <c r="LX1209" s="22"/>
      <c r="LY1209" s="22"/>
      <c r="LZ1209" s="22"/>
      <c r="MA1209" s="22"/>
      <c r="MB1209" s="22"/>
      <c r="MC1209" s="22"/>
      <c r="MD1209" s="22"/>
      <c r="ME1209" s="22"/>
      <c r="MF1209" s="22"/>
      <c r="MG1209" s="22"/>
      <c r="MH1209" s="22"/>
      <c r="MI1209" s="22"/>
      <c r="MJ1209" s="22"/>
      <c r="MK1209" s="22"/>
      <c r="ML1209" s="22"/>
      <c r="MM1209" s="22"/>
      <c r="MN1209" s="22"/>
      <c r="MO1209" s="22"/>
      <c r="MP1209" s="22"/>
      <c r="MQ1209" s="22"/>
      <c r="MR1209" s="22"/>
      <c r="MS1209" s="22"/>
      <c r="MT1209" s="22"/>
      <c r="MU1209" s="22"/>
      <c r="MV1209" s="22"/>
      <c r="MW1209" s="22"/>
      <c r="MX1209" s="22"/>
      <c r="MY1209" s="22"/>
      <c r="MZ1209" s="22"/>
      <c r="NA1209" s="22"/>
      <c r="NB1209" s="22"/>
      <c r="NC1209" s="22"/>
      <c r="ND1209" s="22"/>
      <c r="NE1209" s="22"/>
      <c r="NF1209" s="22"/>
      <c r="NG1209" s="22"/>
      <c r="NH1209" s="22"/>
      <c r="NI1209" s="22"/>
      <c r="NJ1209" s="22"/>
      <c r="NK1209" s="22"/>
      <c r="NL1209" s="22"/>
      <c r="NM1209" s="22"/>
      <c r="NN1209" s="22"/>
      <c r="NO1209" s="22"/>
      <c r="NP1209" s="22"/>
      <c r="NQ1209" s="22"/>
      <c r="NR1209" s="22"/>
      <c r="NS1209" s="22"/>
      <c r="NT1209" s="22"/>
      <c r="NU1209" s="22"/>
      <c r="NV1209" s="22"/>
      <c r="NW1209" s="22"/>
      <c r="NX1209" s="22"/>
      <c r="NY1209" s="22"/>
      <c r="NZ1209" s="22"/>
      <c r="OA1209" s="22"/>
      <c r="OB1209" s="22"/>
      <c r="OC1209" s="22"/>
      <c r="OD1209" s="22"/>
      <c r="OE1209" s="22"/>
      <c r="OF1209" s="22"/>
      <c r="OG1209" s="22"/>
      <c r="OH1209" s="22"/>
      <c r="OI1209" s="22"/>
      <c r="OJ1209" s="22"/>
      <c r="OK1209" s="22"/>
      <c r="OL1209" s="22"/>
      <c r="OM1209" s="22"/>
      <c r="ON1209" s="22"/>
      <c r="OO1209" s="22"/>
      <c r="OP1209" s="22"/>
      <c r="OQ1209" s="22"/>
      <c r="OR1209" s="22"/>
      <c r="OS1209" s="22"/>
      <c r="OT1209" s="22"/>
      <c r="OU1209" s="22"/>
      <c r="OV1209" s="22"/>
      <c r="OW1209" s="22"/>
      <c r="OX1209" s="22"/>
      <c r="OY1209" s="22"/>
      <c r="OZ1209" s="22"/>
      <c r="PA1209" s="22"/>
      <c r="PB1209" s="22"/>
      <c r="PC1209" s="22"/>
      <c r="PD1209" s="22"/>
      <c r="PE1209" s="22"/>
      <c r="PF1209" s="22"/>
      <c r="PG1209" s="22"/>
      <c r="PH1209" s="22"/>
      <c r="PI1209" s="22"/>
      <c r="PJ1209" s="22"/>
      <c r="PK1209" s="22"/>
      <c r="PL1209" s="22"/>
      <c r="PM1209" s="22"/>
      <c r="PN1209" s="22"/>
      <c r="PO1209" s="22"/>
      <c r="PP1209" s="22"/>
      <c r="PQ1209" s="22"/>
      <c r="PR1209" s="22"/>
      <c r="PS1209" s="22"/>
      <c r="PT1209" s="22"/>
      <c r="PU1209" s="22"/>
      <c r="PV1209" s="22"/>
      <c r="PW1209" s="22"/>
      <c r="PX1209" s="22"/>
      <c r="PY1209" s="22"/>
      <c r="PZ1209" s="22"/>
      <c r="QA1209" s="22"/>
      <c r="QB1209" s="22"/>
      <c r="QC1209" s="22"/>
      <c r="QD1209" s="22"/>
      <c r="QE1209" s="22"/>
      <c r="QF1209" s="22"/>
      <c r="QG1209" s="22"/>
      <c r="QH1209" s="22"/>
      <c r="QI1209" s="22"/>
      <c r="QJ1209" s="22"/>
      <c r="QK1209" s="22"/>
      <c r="QL1209" s="22"/>
      <c r="QM1209" s="22"/>
      <c r="QN1209" s="22"/>
      <c r="QO1209" s="22"/>
      <c r="QP1209" s="22"/>
      <c r="QQ1209" s="22"/>
      <c r="QR1209" s="22"/>
      <c r="QS1209" s="22"/>
      <c r="QT1209" s="22"/>
      <c r="QU1209" s="22"/>
      <c r="QV1209" s="22"/>
      <c r="QW1209" s="22"/>
      <c r="QX1209" s="22"/>
      <c r="QY1209" s="22"/>
      <c r="QZ1209" s="22"/>
      <c r="RA1209" s="22"/>
      <c r="RB1209" s="22"/>
      <c r="RC1209" s="22"/>
      <c r="RD1209" s="22"/>
      <c r="RE1209" s="22"/>
      <c r="RF1209" s="22"/>
      <c r="RG1209" s="22"/>
      <c r="RH1209" s="22"/>
      <c r="RI1209" s="22"/>
      <c r="RJ1209" s="22"/>
      <c r="RK1209" s="22"/>
      <c r="RL1209" s="22"/>
      <c r="RM1209" s="22"/>
      <c r="RN1209" s="22"/>
      <c r="RO1209" s="22"/>
      <c r="RP1209" s="22"/>
      <c r="RQ1209" s="22"/>
      <c r="RR1209" s="22"/>
      <c r="RS1209" s="22"/>
      <c r="RT1209" s="22"/>
      <c r="RU1209" s="22"/>
      <c r="RV1209" s="22"/>
      <c r="RW1209" s="22"/>
      <c r="RX1209" s="22"/>
      <c r="RY1209" s="22"/>
      <c r="RZ1209" s="22"/>
      <c r="SA1209" s="22"/>
      <c r="SB1209" s="22"/>
      <c r="SC1209" s="22"/>
      <c r="SD1209" s="22"/>
      <c r="SE1209" s="22"/>
      <c r="SF1209" s="22"/>
      <c r="SG1209" s="22"/>
      <c r="SH1209" s="22"/>
      <c r="SI1209" s="22"/>
      <c r="SJ1209" s="22"/>
      <c r="SK1209" s="22"/>
      <c r="SL1209" s="22"/>
      <c r="SM1209" s="22"/>
      <c r="SN1209" s="22"/>
      <c r="SO1209" s="22"/>
      <c r="SP1209" s="22"/>
      <c r="SQ1209" s="22"/>
      <c r="SR1209" s="22"/>
      <c r="SS1209" s="22"/>
      <c r="ST1209" s="22"/>
      <c r="SU1209" s="22"/>
      <c r="SV1209" s="22"/>
      <c r="SW1209" s="22"/>
      <c r="SX1209" s="22"/>
      <c r="SY1209" s="22"/>
      <c r="SZ1209" s="22"/>
      <c r="TA1209" s="22"/>
      <c r="TB1209" s="22"/>
      <c r="TC1209" s="22"/>
      <c r="TD1209" s="22"/>
      <c r="TE1209" s="22"/>
      <c r="TF1209" s="22"/>
      <c r="TG1209" s="22"/>
      <c r="TH1209" s="22"/>
      <c r="TI1209" s="22"/>
      <c r="TJ1209" s="22"/>
      <c r="TK1209" s="22"/>
      <c r="TL1209" s="22"/>
      <c r="TM1209" s="22"/>
      <c r="TN1209" s="22"/>
      <c r="TO1209" s="22"/>
      <c r="TP1209" s="22"/>
      <c r="TQ1209" s="22"/>
      <c r="TR1209" s="22"/>
      <c r="TS1209" s="22"/>
      <c r="TT1209" s="22"/>
      <c r="TU1209" s="22"/>
      <c r="TV1209" s="22"/>
      <c r="TW1209" s="22"/>
      <c r="TX1209" s="22"/>
      <c r="TY1209" s="22"/>
      <c r="TZ1209" s="22"/>
      <c r="UA1209" s="22"/>
      <c r="UB1209" s="22"/>
      <c r="UC1209" s="22"/>
      <c r="UD1209" s="22"/>
      <c r="UE1209" s="22"/>
      <c r="UF1209" s="22"/>
      <c r="UG1209" s="23"/>
    </row>
    <row r="1210" spans="1:553" ht="30.75" customHeight="1">
      <c r="A1210" s="356" t="s">
        <v>15</v>
      </c>
      <c r="B1210" s="366"/>
      <c r="C1210" s="1414" t="s">
        <v>16</v>
      </c>
      <c r="D1210" s="1389"/>
      <c r="E1210" s="1389"/>
      <c r="F1210" s="1390"/>
      <c r="G1210" s="366"/>
      <c r="H1210" s="370"/>
      <c r="I1210" s="370"/>
      <c r="J1210" s="368"/>
      <c r="K1210" s="371"/>
      <c r="L1210" s="366"/>
      <c r="M1210" s="366"/>
      <c r="N1210" s="366"/>
      <c r="O1210" s="366"/>
      <c r="P1210" s="366"/>
      <c r="Q1210" s="1036"/>
      <c r="R1210" s="1226"/>
      <c r="S1210" s="308"/>
      <c r="T1210" s="308"/>
      <c r="U1210" s="308"/>
      <c r="V1210" s="308"/>
      <c r="W1210" s="308"/>
      <c r="X1210" s="308"/>
      <c r="Y1210" s="308"/>
      <c r="Z1210" s="604"/>
      <c r="AA1210" s="308"/>
      <c r="AB1210" s="308"/>
      <c r="AC1210" s="373"/>
      <c r="AD1210" s="373"/>
      <c r="AE1210" s="373"/>
      <c r="AF1210" s="373"/>
      <c r="AG1210" s="373"/>
      <c r="AH1210" s="373"/>
      <c r="AI1210" s="373"/>
      <c r="AJ1210" s="373"/>
      <c r="AK1210" s="374"/>
      <c r="AL1210" s="323"/>
      <c r="AM1210" s="21"/>
      <c r="AN1210" s="21"/>
      <c r="AO1210" s="21"/>
      <c r="AP1210" s="21"/>
      <c r="AQ1210" s="21"/>
      <c r="AR1210" s="21"/>
      <c r="AS1210" s="22"/>
      <c r="AT1210" s="22"/>
      <c r="AU1210" s="22"/>
      <c r="AV1210" s="22"/>
      <c r="AW1210" s="22"/>
      <c r="AX1210" s="22"/>
      <c r="AY1210" s="22"/>
      <c r="AZ1210" s="22"/>
      <c r="BA1210" s="22"/>
      <c r="BB1210" s="22"/>
      <c r="BC1210" s="22"/>
      <c r="BD1210" s="22"/>
      <c r="BE1210" s="22"/>
      <c r="BF1210" s="22"/>
      <c r="BG1210" s="22"/>
      <c r="BH1210" s="22"/>
      <c r="BI1210" s="22"/>
      <c r="BJ1210" s="22"/>
      <c r="BK1210" s="22"/>
      <c r="BL1210" s="22"/>
      <c r="BM1210" s="22"/>
      <c r="BN1210" s="22"/>
      <c r="BO1210" s="22"/>
      <c r="BP1210" s="22"/>
      <c r="BQ1210" s="22"/>
      <c r="BR1210" s="22"/>
      <c r="BS1210" s="22"/>
      <c r="BT1210" s="22"/>
      <c r="BU1210" s="22"/>
      <c r="BV1210" s="22"/>
      <c r="BW1210" s="22"/>
      <c r="BX1210" s="22"/>
      <c r="BY1210" s="22"/>
      <c r="BZ1210" s="22"/>
      <c r="CA1210" s="22"/>
      <c r="CB1210" s="22"/>
      <c r="CC1210" s="22"/>
      <c r="CD1210" s="22"/>
      <c r="CE1210" s="22"/>
      <c r="CF1210" s="22"/>
      <c r="CG1210" s="22"/>
      <c r="CH1210" s="22"/>
      <c r="CI1210" s="22"/>
      <c r="CJ1210" s="22"/>
      <c r="CK1210" s="22"/>
      <c r="CL1210" s="22"/>
      <c r="CM1210" s="22"/>
      <c r="CN1210" s="22"/>
      <c r="CO1210" s="22"/>
      <c r="CP1210" s="22"/>
      <c r="CQ1210" s="22"/>
      <c r="CR1210" s="22"/>
      <c r="CS1210" s="22"/>
      <c r="CT1210" s="22"/>
      <c r="CU1210" s="22"/>
      <c r="CV1210" s="22"/>
      <c r="CW1210" s="22"/>
      <c r="CX1210" s="22"/>
      <c r="CY1210" s="22"/>
      <c r="CZ1210" s="22"/>
      <c r="DA1210" s="22"/>
      <c r="DB1210" s="22"/>
      <c r="DC1210" s="22"/>
      <c r="DD1210" s="22"/>
      <c r="DE1210" s="22"/>
      <c r="DF1210" s="22"/>
      <c r="DG1210" s="22"/>
      <c r="DH1210" s="22"/>
      <c r="DI1210" s="22"/>
      <c r="DJ1210" s="22"/>
      <c r="DK1210" s="22"/>
      <c r="DL1210" s="22"/>
      <c r="DM1210" s="22"/>
      <c r="DN1210" s="22"/>
      <c r="DO1210" s="22"/>
      <c r="DP1210" s="22"/>
      <c r="DQ1210" s="22"/>
      <c r="DR1210" s="22"/>
      <c r="DS1210" s="22"/>
      <c r="DT1210" s="22"/>
      <c r="DU1210" s="22"/>
      <c r="DV1210" s="22"/>
      <c r="DW1210" s="22"/>
      <c r="DX1210" s="22"/>
      <c r="DY1210" s="22"/>
      <c r="DZ1210" s="22"/>
      <c r="EA1210" s="22"/>
      <c r="EB1210" s="22"/>
      <c r="EC1210" s="22"/>
      <c r="ED1210" s="22"/>
      <c r="EE1210" s="22"/>
      <c r="EF1210" s="22"/>
      <c r="EG1210" s="22"/>
      <c r="EH1210" s="22"/>
      <c r="EI1210" s="22"/>
      <c r="EJ1210" s="22"/>
      <c r="EK1210" s="22"/>
      <c r="EL1210" s="22"/>
      <c r="EM1210" s="22"/>
      <c r="EN1210" s="22"/>
      <c r="EO1210" s="22"/>
      <c r="EP1210" s="22"/>
      <c r="EQ1210" s="22"/>
      <c r="ER1210" s="22"/>
      <c r="ES1210" s="22"/>
      <c r="ET1210" s="22"/>
      <c r="EU1210" s="22"/>
      <c r="EV1210" s="22"/>
      <c r="EW1210" s="22"/>
      <c r="EX1210" s="22"/>
      <c r="EY1210" s="22"/>
      <c r="EZ1210" s="22"/>
      <c r="FA1210" s="22"/>
      <c r="FB1210" s="22"/>
      <c r="FC1210" s="22"/>
      <c r="FD1210" s="22"/>
      <c r="FE1210" s="22"/>
      <c r="FF1210" s="22"/>
      <c r="FG1210" s="22"/>
      <c r="FH1210" s="22"/>
      <c r="FI1210" s="22"/>
      <c r="FJ1210" s="22"/>
      <c r="FK1210" s="22"/>
      <c r="FL1210" s="22"/>
      <c r="FM1210" s="22"/>
      <c r="FN1210" s="22"/>
      <c r="FO1210" s="22"/>
      <c r="FP1210" s="22"/>
      <c r="FQ1210" s="22"/>
      <c r="FR1210" s="22"/>
      <c r="FS1210" s="22"/>
      <c r="FT1210" s="22"/>
      <c r="FU1210" s="22"/>
      <c r="FV1210" s="22"/>
      <c r="FW1210" s="22"/>
      <c r="FX1210" s="22"/>
      <c r="FY1210" s="22"/>
      <c r="FZ1210" s="22"/>
      <c r="GA1210" s="22"/>
      <c r="GB1210" s="22"/>
      <c r="GC1210" s="22"/>
      <c r="GD1210" s="22"/>
      <c r="GE1210" s="22"/>
      <c r="GF1210" s="22"/>
      <c r="GG1210" s="22"/>
      <c r="GH1210" s="22"/>
      <c r="GI1210" s="22"/>
      <c r="GJ1210" s="22"/>
      <c r="GK1210" s="22"/>
      <c r="GL1210" s="22"/>
      <c r="GM1210" s="22"/>
      <c r="GN1210" s="22"/>
      <c r="GO1210" s="22"/>
      <c r="GP1210" s="22"/>
      <c r="GQ1210" s="22"/>
      <c r="GR1210" s="22"/>
      <c r="GS1210" s="22"/>
      <c r="GT1210" s="22"/>
      <c r="GU1210" s="22"/>
      <c r="GV1210" s="22"/>
      <c r="GW1210" s="22"/>
      <c r="GX1210" s="22"/>
      <c r="GY1210" s="22"/>
      <c r="GZ1210" s="22"/>
      <c r="HA1210" s="22"/>
      <c r="HB1210" s="22"/>
      <c r="HC1210" s="22"/>
      <c r="HD1210" s="22"/>
      <c r="HE1210" s="22"/>
      <c r="HF1210" s="22"/>
      <c r="HG1210" s="22"/>
      <c r="HH1210" s="22"/>
      <c r="HI1210" s="22"/>
      <c r="HJ1210" s="22"/>
      <c r="HK1210" s="22"/>
      <c r="HL1210" s="22"/>
      <c r="HM1210" s="22"/>
      <c r="HN1210" s="22"/>
      <c r="HO1210" s="22"/>
      <c r="HP1210" s="22"/>
      <c r="HQ1210" s="22"/>
      <c r="HR1210" s="22"/>
      <c r="HS1210" s="22"/>
      <c r="HT1210" s="22"/>
      <c r="HU1210" s="22"/>
      <c r="HV1210" s="22"/>
      <c r="HW1210" s="22"/>
      <c r="HX1210" s="22"/>
      <c r="HY1210" s="22"/>
      <c r="HZ1210" s="22"/>
      <c r="IA1210" s="22"/>
      <c r="IB1210" s="22"/>
      <c r="IC1210" s="22"/>
      <c r="ID1210" s="22"/>
      <c r="IE1210" s="22"/>
      <c r="IF1210" s="22"/>
      <c r="IG1210" s="22"/>
      <c r="IH1210" s="22"/>
      <c r="II1210" s="22"/>
      <c r="IJ1210" s="22"/>
      <c r="IK1210" s="22"/>
      <c r="IL1210" s="22"/>
      <c r="IM1210" s="22"/>
      <c r="IN1210" s="22"/>
      <c r="IO1210" s="22"/>
      <c r="IP1210" s="22"/>
      <c r="IQ1210" s="22"/>
      <c r="IR1210" s="22"/>
      <c r="IS1210" s="22"/>
      <c r="IT1210" s="22"/>
      <c r="IU1210" s="22"/>
      <c r="IV1210" s="22"/>
      <c r="IW1210" s="22"/>
      <c r="IX1210" s="22"/>
      <c r="IY1210" s="22"/>
      <c r="IZ1210" s="22"/>
      <c r="JA1210" s="22"/>
      <c r="JB1210" s="22"/>
      <c r="JC1210" s="22"/>
      <c r="JD1210" s="22"/>
      <c r="JE1210" s="22"/>
      <c r="JF1210" s="22"/>
      <c r="JG1210" s="22"/>
      <c r="JH1210" s="22"/>
      <c r="JI1210" s="22"/>
      <c r="JJ1210" s="22"/>
      <c r="JK1210" s="22"/>
      <c r="JL1210" s="22"/>
      <c r="JM1210" s="22"/>
      <c r="JN1210" s="22"/>
      <c r="JO1210" s="22"/>
      <c r="JP1210" s="22"/>
      <c r="JQ1210" s="22"/>
      <c r="JR1210" s="22"/>
      <c r="JS1210" s="22"/>
      <c r="JT1210" s="22"/>
      <c r="JU1210" s="22"/>
      <c r="JV1210" s="22"/>
      <c r="JW1210" s="22"/>
      <c r="JX1210" s="22"/>
      <c r="JY1210" s="22"/>
      <c r="JZ1210" s="22"/>
      <c r="KA1210" s="22"/>
      <c r="KB1210" s="22"/>
      <c r="KC1210" s="22"/>
      <c r="KD1210" s="22"/>
      <c r="KE1210" s="22"/>
      <c r="KF1210" s="22"/>
      <c r="KG1210" s="22"/>
      <c r="KH1210" s="22"/>
      <c r="KI1210" s="22"/>
      <c r="KJ1210" s="22"/>
      <c r="KK1210" s="22"/>
      <c r="KL1210" s="22"/>
      <c r="KM1210" s="22"/>
      <c r="KN1210" s="22"/>
      <c r="KO1210" s="22"/>
      <c r="KP1210" s="22"/>
      <c r="KQ1210" s="22"/>
      <c r="KR1210" s="22"/>
      <c r="KS1210" s="22"/>
      <c r="KT1210" s="22"/>
      <c r="KU1210" s="22"/>
      <c r="KV1210" s="22"/>
      <c r="KW1210" s="22"/>
      <c r="KX1210" s="22"/>
      <c r="KY1210" s="22"/>
      <c r="KZ1210" s="22"/>
      <c r="LA1210" s="22"/>
      <c r="LB1210" s="22"/>
      <c r="LC1210" s="22"/>
      <c r="LD1210" s="22"/>
      <c r="LE1210" s="22"/>
      <c r="LF1210" s="22"/>
      <c r="LG1210" s="22"/>
      <c r="LH1210" s="22"/>
      <c r="LI1210" s="22"/>
      <c r="LJ1210" s="22"/>
      <c r="LK1210" s="22"/>
      <c r="LL1210" s="22"/>
      <c r="LM1210" s="22"/>
      <c r="LN1210" s="22"/>
      <c r="LO1210" s="22"/>
      <c r="LP1210" s="22"/>
      <c r="LQ1210" s="22"/>
      <c r="LR1210" s="22"/>
      <c r="LS1210" s="22"/>
      <c r="LT1210" s="22"/>
      <c r="LU1210" s="22"/>
      <c r="LV1210" s="22"/>
      <c r="LW1210" s="22"/>
      <c r="LX1210" s="22"/>
      <c r="LY1210" s="22"/>
      <c r="LZ1210" s="22"/>
      <c r="MA1210" s="22"/>
      <c r="MB1210" s="22"/>
      <c r="MC1210" s="22"/>
      <c r="MD1210" s="22"/>
      <c r="ME1210" s="22"/>
      <c r="MF1210" s="22"/>
      <c r="MG1210" s="22"/>
      <c r="MH1210" s="22"/>
      <c r="MI1210" s="22"/>
      <c r="MJ1210" s="22"/>
      <c r="MK1210" s="22"/>
      <c r="ML1210" s="22"/>
      <c r="MM1210" s="22"/>
      <c r="MN1210" s="22"/>
      <c r="MO1210" s="22"/>
      <c r="MP1210" s="22"/>
      <c r="MQ1210" s="22"/>
      <c r="MR1210" s="22"/>
      <c r="MS1210" s="22"/>
      <c r="MT1210" s="22"/>
      <c r="MU1210" s="22"/>
      <c r="MV1210" s="22"/>
      <c r="MW1210" s="22"/>
      <c r="MX1210" s="22"/>
      <c r="MY1210" s="22"/>
      <c r="MZ1210" s="22"/>
      <c r="NA1210" s="22"/>
      <c r="NB1210" s="22"/>
      <c r="NC1210" s="22"/>
      <c r="ND1210" s="22"/>
      <c r="NE1210" s="22"/>
      <c r="NF1210" s="22"/>
      <c r="NG1210" s="22"/>
      <c r="NH1210" s="22"/>
      <c r="NI1210" s="22"/>
      <c r="NJ1210" s="22"/>
      <c r="NK1210" s="22"/>
      <c r="NL1210" s="22"/>
      <c r="NM1210" s="22"/>
      <c r="NN1210" s="22"/>
      <c r="NO1210" s="22"/>
      <c r="NP1210" s="22"/>
      <c r="NQ1210" s="22"/>
      <c r="NR1210" s="22"/>
      <c r="NS1210" s="22"/>
      <c r="NT1210" s="22"/>
      <c r="NU1210" s="22"/>
      <c r="NV1210" s="22"/>
      <c r="NW1210" s="22"/>
      <c r="NX1210" s="22"/>
      <c r="NY1210" s="22"/>
      <c r="NZ1210" s="22"/>
      <c r="OA1210" s="22"/>
      <c r="OB1210" s="22"/>
      <c r="OC1210" s="22"/>
      <c r="OD1210" s="22"/>
      <c r="OE1210" s="22"/>
      <c r="OF1210" s="22"/>
      <c r="OG1210" s="22"/>
      <c r="OH1210" s="22"/>
      <c r="OI1210" s="22"/>
      <c r="OJ1210" s="22"/>
      <c r="OK1210" s="22"/>
      <c r="OL1210" s="22"/>
      <c r="OM1210" s="22"/>
      <c r="ON1210" s="22"/>
      <c r="OO1210" s="22"/>
      <c r="OP1210" s="22"/>
      <c r="OQ1210" s="22"/>
      <c r="OR1210" s="22"/>
      <c r="OS1210" s="22"/>
      <c r="OT1210" s="22"/>
      <c r="OU1210" s="22"/>
      <c r="OV1210" s="22"/>
      <c r="OW1210" s="22"/>
      <c r="OX1210" s="22"/>
      <c r="OY1210" s="22"/>
      <c r="OZ1210" s="22"/>
      <c r="PA1210" s="22"/>
      <c r="PB1210" s="22"/>
      <c r="PC1210" s="22"/>
      <c r="PD1210" s="22"/>
      <c r="PE1210" s="22"/>
      <c r="PF1210" s="22"/>
      <c r="PG1210" s="22"/>
      <c r="PH1210" s="22"/>
      <c r="PI1210" s="22"/>
      <c r="PJ1210" s="22"/>
      <c r="PK1210" s="22"/>
      <c r="PL1210" s="22"/>
      <c r="PM1210" s="22"/>
      <c r="PN1210" s="22"/>
      <c r="PO1210" s="22"/>
      <c r="PP1210" s="22"/>
      <c r="PQ1210" s="22"/>
      <c r="PR1210" s="22"/>
      <c r="PS1210" s="22"/>
      <c r="PT1210" s="22"/>
      <c r="PU1210" s="22"/>
      <c r="PV1210" s="22"/>
      <c r="PW1210" s="22"/>
      <c r="PX1210" s="22"/>
      <c r="PY1210" s="22"/>
      <c r="PZ1210" s="22"/>
      <c r="QA1210" s="22"/>
      <c r="QB1210" s="22"/>
      <c r="QC1210" s="22"/>
      <c r="QD1210" s="22"/>
      <c r="QE1210" s="22"/>
      <c r="QF1210" s="22"/>
      <c r="QG1210" s="22"/>
      <c r="QH1210" s="22"/>
      <c r="QI1210" s="22"/>
      <c r="QJ1210" s="22"/>
      <c r="QK1210" s="22"/>
      <c r="QL1210" s="22"/>
      <c r="QM1210" s="22"/>
      <c r="QN1210" s="22"/>
      <c r="QO1210" s="22"/>
      <c r="QP1210" s="22"/>
      <c r="QQ1210" s="22"/>
      <c r="QR1210" s="22"/>
      <c r="QS1210" s="22"/>
      <c r="QT1210" s="22"/>
      <c r="QU1210" s="22"/>
      <c r="QV1210" s="22"/>
      <c r="QW1210" s="22"/>
      <c r="QX1210" s="22"/>
      <c r="QY1210" s="22"/>
      <c r="QZ1210" s="22"/>
      <c r="RA1210" s="22"/>
      <c r="RB1210" s="22"/>
      <c r="RC1210" s="22"/>
      <c r="RD1210" s="22"/>
      <c r="RE1210" s="22"/>
      <c r="RF1210" s="22"/>
      <c r="RG1210" s="22"/>
      <c r="RH1210" s="22"/>
      <c r="RI1210" s="22"/>
      <c r="RJ1210" s="22"/>
      <c r="RK1210" s="22"/>
      <c r="RL1210" s="22"/>
      <c r="RM1210" s="22"/>
      <c r="RN1210" s="22"/>
      <c r="RO1210" s="22"/>
      <c r="RP1210" s="22"/>
      <c r="RQ1210" s="22"/>
      <c r="RR1210" s="22"/>
      <c r="RS1210" s="22"/>
      <c r="RT1210" s="22"/>
      <c r="RU1210" s="22"/>
      <c r="RV1210" s="22"/>
      <c r="RW1210" s="22"/>
      <c r="RX1210" s="22"/>
      <c r="RY1210" s="22"/>
      <c r="RZ1210" s="22"/>
      <c r="SA1210" s="22"/>
      <c r="SB1210" s="22"/>
      <c r="SC1210" s="22"/>
      <c r="SD1210" s="22"/>
      <c r="SE1210" s="22"/>
      <c r="SF1210" s="22"/>
      <c r="SG1210" s="22"/>
      <c r="SH1210" s="22"/>
      <c r="SI1210" s="22"/>
      <c r="SJ1210" s="22"/>
      <c r="SK1210" s="22"/>
      <c r="SL1210" s="22"/>
      <c r="SM1210" s="22"/>
      <c r="SN1210" s="22"/>
      <c r="SO1210" s="22"/>
      <c r="SP1210" s="22"/>
      <c r="SQ1210" s="22"/>
      <c r="SR1210" s="22"/>
      <c r="SS1210" s="22"/>
      <c r="ST1210" s="22"/>
      <c r="SU1210" s="22"/>
      <c r="SV1210" s="22"/>
      <c r="SW1210" s="22"/>
      <c r="SX1210" s="22"/>
      <c r="SY1210" s="22"/>
      <c r="SZ1210" s="22"/>
      <c r="TA1210" s="22"/>
      <c r="TB1210" s="22"/>
      <c r="TC1210" s="22"/>
      <c r="TD1210" s="22"/>
      <c r="TE1210" s="22"/>
      <c r="TF1210" s="22"/>
      <c r="TG1210" s="22"/>
      <c r="TH1210" s="22"/>
      <c r="TI1210" s="22"/>
      <c r="TJ1210" s="22"/>
      <c r="TK1210" s="22"/>
      <c r="TL1210" s="22"/>
      <c r="TM1210" s="22"/>
      <c r="TN1210" s="22"/>
      <c r="TO1210" s="22"/>
      <c r="TP1210" s="22"/>
      <c r="TQ1210" s="22"/>
      <c r="TR1210" s="22"/>
      <c r="TS1210" s="22"/>
      <c r="TT1210" s="22"/>
      <c r="TU1210" s="22"/>
      <c r="TV1210" s="22"/>
      <c r="TW1210" s="22"/>
      <c r="TX1210" s="22"/>
      <c r="TY1210" s="22"/>
      <c r="TZ1210" s="22"/>
      <c r="UA1210" s="22"/>
      <c r="UB1210" s="22"/>
      <c r="UC1210" s="22"/>
      <c r="UD1210" s="22"/>
      <c r="UE1210" s="22"/>
      <c r="UF1210" s="22"/>
      <c r="UG1210" s="23"/>
    </row>
    <row r="1211" spans="1:553" ht="30.75" customHeight="1">
      <c r="A1211" s="356" t="s">
        <v>15</v>
      </c>
      <c r="B1211" s="366"/>
      <c r="C1211" s="1443" t="s">
        <v>394</v>
      </c>
      <c r="D1211" s="1389"/>
      <c r="E1211" s="1389"/>
      <c r="F1211" s="1390"/>
      <c r="G1211" s="366"/>
      <c r="H1211" s="370"/>
      <c r="I1211" s="370"/>
      <c r="J1211" s="368"/>
      <c r="K1211" s="371"/>
      <c r="L1211" s="366"/>
      <c r="M1211" s="366"/>
      <c r="N1211" s="366"/>
      <c r="O1211" s="366"/>
      <c r="P1211" s="366"/>
      <c r="Q1211" s="1036"/>
      <c r="R1211" s="1226"/>
      <c r="S1211" s="308"/>
      <c r="T1211" s="308"/>
      <c r="U1211" s="308"/>
      <c r="V1211" s="308"/>
      <c r="W1211" s="308"/>
      <c r="X1211" s="308"/>
      <c r="Y1211" s="308"/>
      <c r="Z1211" s="604"/>
      <c r="AA1211" s="308"/>
      <c r="AB1211" s="308"/>
      <c r="AC1211" s="373"/>
      <c r="AD1211" s="373"/>
      <c r="AE1211" s="373"/>
      <c r="AF1211" s="373"/>
      <c r="AG1211" s="373"/>
      <c r="AH1211" s="373"/>
      <c r="AI1211" s="373"/>
      <c r="AJ1211" s="373"/>
      <c r="AK1211" s="374"/>
      <c r="AL1211" s="323"/>
      <c r="AM1211" s="21"/>
      <c r="AN1211" s="21"/>
      <c r="AO1211" s="21"/>
      <c r="AP1211" s="21"/>
      <c r="AQ1211" s="21"/>
      <c r="AR1211" s="21"/>
      <c r="AS1211" s="22"/>
      <c r="AT1211" s="22"/>
      <c r="AU1211" s="22"/>
      <c r="AV1211" s="22"/>
      <c r="AW1211" s="22"/>
      <c r="AX1211" s="22"/>
      <c r="AY1211" s="22"/>
      <c r="AZ1211" s="22"/>
      <c r="BA1211" s="22"/>
      <c r="BB1211" s="22"/>
      <c r="BC1211" s="22"/>
      <c r="BD1211" s="22"/>
      <c r="BE1211" s="22"/>
      <c r="BF1211" s="22"/>
      <c r="BG1211" s="22"/>
      <c r="BH1211" s="22"/>
      <c r="BI1211" s="22"/>
      <c r="BJ1211" s="22"/>
      <c r="BK1211" s="22"/>
      <c r="BL1211" s="22"/>
      <c r="BM1211" s="22"/>
      <c r="BN1211" s="22"/>
      <c r="BO1211" s="22"/>
      <c r="BP1211" s="22"/>
      <c r="BQ1211" s="22"/>
      <c r="BR1211" s="22"/>
      <c r="BS1211" s="22"/>
      <c r="BT1211" s="22"/>
      <c r="BU1211" s="22"/>
      <c r="BV1211" s="22"/>
      <c r="BW1211" s="22"/>
      <c r="BX1211" s="22"/>
      <c r="BY1211" s="22"/>
      <c r="BZ1211" s="22"/>
      <c r="CA1211" s="22"/>
      <c r="CB1211" s="22"/>
      <c r="CC1211" s="22"/>
      <c r="CD1211" s="22"/>
      <c r="CE1211" s="22"/>
      <c r="CF1211" s="22"/>
      <c r="CG1211" s="22"/>
      <c r="CH1211" s="22"/>
      <c r="CI1211" s="22"/>
      <c r="CJ1211" s="22"/>
      <c r="CK1211" s="22"/>
      <c r="CL1211" s="22"/>
      <c r="CM1211" s="22"/>
      <c r="CN1211" s="22"/>
      <c r="CO1211" s="22"/>
      <c r="CP1211" s="22"/>
      <c r="CQ1211" s="22"/>
      <c r="CR1211" s="22"/>
      <c r="CS1211" s="22"/>
      <c r="CT1211" s="22"/>
      <c r="CU1211" s="22"/>
      <c r="CV1211" s="22"/>
      <c r="CW1211" s="22"/>
      <c r="CX1211" s="22"/>
      <c r="CY1211" s="22"/>
      <c r="CZ1211" s="22"/>
      <c r="DA1211" s="22"/>
      <c r="DB1211" s="22"/>
      <c r="DC1211" s="22"/>
      <c r="DD1211" s="22"/>
      <c r="DE1211" s="22"/>
      <c r="DF1211" s="22"/>
      <c r="DG1211" s="22"/>
      <c r="DH1211" s="22"/>
      <c r="DI1211" s="22"/>
      <c r="DJ1211" s="22"/>
      <c r="DK1211" s="22"/>
      <c r="DL1211" s="22"/>
      <c r="DM1211" s="22"/>
      <c r="DN1211" s="22"/>
      <c r="DO1211" s="22"/>
      <c r="DP1211" s="22"/>
      <c r="DQ1211" s="22"/>
      <c r="DR1211" s="22"/>
      <c r="DS1211" s="22"/>
      <c r="DT1211" s="22"/>
      <c r="DU1211" s="22"/>
      <c r="DV1211" s="22"/>
      <c r="DW1211" s="22"/>
      <c r="DX1211" s="22"/>
      <c r="DY1211" s="22"/>
      <c r="DZ1211" s="22"/>
      <c r="EA1211" s="22"/>
      <c r="EB1211" s="22"/>
      <c r="EC1211" s="22"/>
      <c r="ED1211" s="22"/>
      <c r="EE1211" s="22"/>
      <c r="EF1211" s="22"/>
      <c r="EG1211" s="22"/>
      <c r="EH1211" s="22"/>
      <c r="EI1211" s="22"/>
      <c r="EJ1211" s="22"/>
      <c r="EK1211" s="22"/>
      <c r="EL1211" s="22"/>
      <c r="EM1211" s="22"/>
      <c r="EN1211" s="22"/>
      <c r="EO1211" s="22"/>
      <c r="EP1211" s="22"/>
      <c r="EQ1211" s="22"/>
      <c r="ER1211" s="22"/>
      <c r="ES1211" s="22"/>
      <c r="ET1211" s="22"/>
      <c r="EU1211" s="22"/>
      <c r="EV1211" s="22"/>
      <c r="EW1211" s="22"/>
      <c r="EX1211" s="22"/>
      <c r="EY1211" s="22"/>
      <c r="EZ1211" s="22"/>
      <c r="FA1211" s="22"/>
      <c r="FB1211" s="22"/>
      <c r="FC1211" s="22"/>
      <c r="FD1211" s="22"/>
      <c r="FE1211" s="22"/>
      <c r="FF1211" s="22"/>
      <c r="FG1211" s="22"/>
      <c r="FH1211" s="22"/>
      <c r="FI1211" s="22"/>
      <c r="FJ1211" s="22"/>
      <c r="FK1211" s="22"/>
      <c r="FL1211" s="22"/>
      <c r="FM1211" s="22"/>
      <c r="FN1211" s="22"/>
      <c r="FO1211" s="22"/>
      <c r="FP1211" s="22"/>
      <c r="FQ1211" s="22"/>
      <c r="FR1211" s="22"/>
      <c r="FS1211" s="22"/>
      <c r="FT1211" s="22"/>
      <c r="FU1211" s="22"/>
      <c r="FV1211" s="22"/>
      <c r="FW1211" s="22"/>
      <c r="FX1211" s="22"/>
      <c r="FY1211" s="22"/>
      <c r="FZ1211" s="22"/>
      <c r="GA1211" s="22"/>
      <c r="GB1211" s="22"/>
      <c r="GC1211" s="22"/>
      <c r="GD1211" s="22"/>
      <c r="GE1211" s="22"/>
      <c r="GF1211" s="22"/>
      <c r="GG1211" s="22"/>
      <c r="GH1211" s="22"/>
      <c r="GI1211" s="22"/>
      <c r="GJ1211" s="22"/>
      <c r="GK1211" s="22"/>
      <c r="GL1211" s="22"/>
      <c r="GM1211" s="22"/>
      <c r="GN1211" s="22"/>
      <c r="GO1211" s="22"/>
      <c r="GP1211" s="22"/>
      <c r="GQ1211" s="22"/>
      <c r="GR1211" s="22"/>
      <c r="GS1211" s="22"/>
      <c r="GT1211" s="22"/>
      <c r="GU1211" s="22"/>
      <c r="GV1211" s="22"/>
      <c r="GW1211" s="22"/>
      <c r="GX1211" s="22"/>
      <c r="GY1211" s="22"/>
      <c r="GZ1211" s="22"/>
      <c r="HA1211" s="22"/>
      <c r="HB1211" s="22"/>
      <c r="HC1211" s="22"/>
      <c r="HD1211" s="22"/>
      <c r="HE1211" s="22"/>
      <c r="HF1211" s="22"/>
      <c r="HG1211" s="22"/>
      <c r="HH1211" s="22"/>
      <c r="HI1211" s="22"/>
      <c r="HJ1211" s="22"/>
      <c r="HK1211" s="22"/>
      <c r="HL1211" s="22"/>
      <c r="HM1211" s="22"/>
      <c r="HN1211" s="22"/>
      <c r="HO1211" s="22"/>
      <c r="HP1211" s="22"/>
      <c r="HQ1211" s="22"/>
      <c r="HR1211" s="22"/>
      <c r="HS1211" s="22"/>
      <c r="HT1211" s="22"/>
      <c r="HU1211" s="22"/>
      <c r="HV1211" s="22"/>
      <c r="HW1211" s="22"/>
      <c r="HX1211" s="22"/>
      <c r="HY1211" s="22"/>
      <c r="HZ1211" s="22"/>
      <c r="IA1211" s="22"/>
      <c r="IB1211" s="22"/>
      <c r="IC1211" s="22"/>
      <c r="ID1211" s="22"/>
      <c r="IE1211" s="22"/>
      <c r="IF1211" s="22"/>
      <c r="IG1211" s="22"/>
      <c r="IH1211" s="22"/>
      <c r="II1211" s="22"/>
      <c r="IJ1211" s="22"/>
      <c r="IK1211" s="22"/>
      <c r="IL1211" s="22"/>
      <c r="IM1211" s="22"/>
      <c r="IN1211" s="22"/>
      <c r="IO1211" s="22"/>
      <c r="IP1211" s="22"/>
      <c r="IQ1211" s="22"/>
      <c r="IR1211" s="22"/>
      <c r="IS1211" s="22"/>
      <c r="IT1211" s="22"/>
      <c r="IU1211" s="22"/>
      <c r="IV1211" s="22"/>
      <c r="IW1211" s="22"/>
      <c r="IX1211" s="22"/>
      <c r="IY1211" s="22"/>
      <c r="IZ1211" s="22"/>
      <c r="JA1211" s="22"/>
      <c r="JB1211" s="22"/>
      <c r="JC1211" s="22"/>
      <c r="JD1211" s="22"/>
      <c r="JE1211" s="22"/>
      <c r="JF1211" s="22"/>
      <c r="JG1211" s="22"/>
      <c r="JH1211" s="22"/>
      <c r="JI1211" s="22"/>
      <c r="JJ1211" s="22"/>
      <c r="JK1211" s="22"/>
      <c r="JL1211" s="22"/>
      <c r="JM1211" s="22"/>
      <c r="JN1211" s="22"/>
      <c r="JO1211" s="22"/>
      <c r="JP1211" s="22"/>
      <c r="JQ1211" s="22"/>
      <c r="JR1211" s="22"/>
      <c r="JS1211" s="22"/>
      <c r="JT1211" s="22"/>
      <c r="JU1211" s="22"/>
      <c r="JV1211" s="22"/>
      <c r="JW1211" s="22"/>
      <c r="JX1211" s="22"/>
      <c r="JY1211" s="22"/>
      <c r="JZ1211" s="22"/>
      <c r="KA1211" s="22"/>
      <c r="KB1211" s="22"/>
      <c r="KC1211" s="22"/>
      <c r="KD1211" s="22"/>
      <c r="KE1211" s="22"/>
      <c r="KF1211" s="22"/>
      <c r="KG1211" s="22"/>
      <c r="KH1211" s="22"/>
      <c r="KI1211" s="22"/>
      <c r="KJ1211" s="22"/>
      <c r="KK1211" s="22"/>
      <c r="KL1211" s="22"/>
      <c r="KM1211" s="22"/>
      <c r="KN1211" s="22"/>
      <c r="KO1211" s="22"/>
      <c r="KP1211" s="22"/>
      <c r="KQ1211" s="22"/>
      <c r="KR1211" s="22"/>
      <c r="KS1211" s="22"/>
      <c r="KT1211" s="22"/>
      <c r="KU1211" s="22"/>
      <c r="KV1211" s="22"/>
      <c r="KW1211" s="22"/>
      <c r="KX1211" s="22"/>
      <c r="KY1211" s="22"/>
      <c r="KZ1211" s="22"/>
      <c r="LA1211" s="22"/>
      <c r="LB1211" s="22"/>
      <c r="LC1211" s="22"/>
      <c r="LD1211" s="22"/>
      <c r="LE1211" s="22"/>
      <c r="LF1211" s="22"/>
      <c r="LG1211" s="22"/>
      <c r="LH1211" s="22"/>
      <c r="LI1211" s="22"/>
      <c r="LJ1211" s="22"/>
      <c r="LK1211" s="22"/>
      <c r="LL1211" s="22"/>
      <c r="LM1211" s="22"/>
      <c r="LN1211" s="22"/>
      <c r="LO1211" s="22"/>
      <c r="LP1211" s="22"/>
      <c r="LQ1211" s="22"/>
      <c r="LR1211" s="22"/>
      <c r="LS1211" s="22"/>
      <c r="LT1211" s="22"/>
      <c r="LU1211" s="22"/>
      <c r="LV1211" s="22"/>
      <c r="LW1211" s="22"/>
      <c r="LX1211" s="22"/>
      <c r="LY1211" s="22"/>
      <c r="LZ1211" s="22"/>
      <c r="MA1211" s="22"/>
      <c r="MB1211" s="22"/>
      <c r="MC1211" s="22"/>
      <c r="MD1211" s="22"/>
      <c r="ME1211" s="22"/>
      <c r="MF1211" s="22"/>
      <c r="MG1211" s="22"/>
      <c r="MH1211" s="22"/>
      <c r="MI1211" s="22"/>
      <c r="MJ1211" s="22"/>
      <c r="MK1211" s="22"/>
      <c r="ML1211" s="22"/>
      <c r="MM1211" s="22"/>
      <c r="MN1211" s="22"/>
      <c r="MO1211" s="22"/>
      <c r="MP1211" s="22"/>
      <c r="MQ1211" s="22"/>
      <c r="MR1211" s="22"/>
      <c r="MS1211" s="22"/>
      <c r="MT1211" s="22"/>
      <c r="MU1211" s="22"/>
      <c r="MV1211" s="22"/>
      <c r="MW1211" s="22"/>
      <c r="MX1211" s="22"/>
      <c r="MY1211" s="22"/>
      <c r="MZ1211" s="22"/>
      <c r="NA1211" s="22"/>
      <c r="NB1211" s="22"/>
      <c r="NC1211" s="22"/>
      <c r="ND1211" s="22"/>
      <c r="NE1211" s="22"/>
      <c r="NF1211" s="22"/>
      <c r="NG1211" s="22"/>
      <c r="NH1211" s="22"/>
      <c r="NI1211" s="22"/>
      <c r="NJ1211" s="22"/>
      <c r="NK1211" s="22"/>
      <c r="NL1211" s="22"/>
      <c r="NM1211" s="22"/>
      <c r="NN1211" s="22"/>
      <c r="NO1211" s="22"/>
      <c r="NP1211" s="22"/>
      <c r="NQ1211" s="22"/>
      <c r="NR1211" s="22"/>
      <c r="NS1211" s="22"/>
      <c r="NT1211" s="22"/>
      <c r="NU1211" s="22"/>
      <c r="NV1211" s="22"/>
      <c r="NW1211" s="22"/>
      <c r="NX1211" s="22"/>
      <c r="NY1211" s="22"/>
      <c r="NZ1211" s="22"/>
      <c r="OA1211" s="22"/>
      <c r="OB1211" s="22"/>
      <c r="OC1211" s="22"/>
      <c r="OD1211" s="22"/>
      <c r="OE1211" s="22"/>
      <c r="OF1211" s="22"/>
      <c r="OG1211" s="22"/>
      <c r="OH1211" s="22"/>
      <c r="OI1211" s="22"/>
      <c r="OJ1211" s="22"/>
      <c r="OK1211" s="22"/>
      <c r="OL1211" s="22"/>
      <c r="OM1211" s="22"/>
      <c r="ON1211" s="22"/>
      <c r="OO1211" s="22"/>
      <c r="OP1211" s="22"/>
      <c r="OQ1211" s="22"/>
      <c r="OR1211" s="22"/>
      <c r="OS1211" s="22"/>
      <c r="OT1211" s="22"/>
      <c r="OU1211" s="22"/>
      <c r="OV1211" s="22"/>
      <c r="OW1211" s="22"/>
      <c r="OX1211" s="22"/>
      <c r="OY1211" s="22"/>
      <c r="OZ1211" s="22"/>
      <c r="PA1211" s="22"/>
      <c r="PB1211" s="22"/>
      <c r="PC1211" s="22"/>
      <c r="PD1211" s="22"/>
      <c r="PE1211" s="22"/>
      <c r="PF1211" s="22"/>
      <c r="PG1211" s="22"/>
      <c r="PH1211" s="22"/>
      <c r="PI1211" s="22"/>
      <c r="PJ1211" s="22"/>
      <c r="PK1211" s="22"/>
      <c r="PL1211" s="22"/>
      <c r="PM1211" s="22"/>
      <c r="PN1211" s="22"/>
      <c r="PO1211" s="22"/>
      <c r="PP1211" s="22"/>
      <c r="PQ1211" s="22"/>
      <c r="PR1211" s="22"/>
      <c r="PS1211" s="22"/>
      <c r="PT1211" s="22"/>
      <c r="PU1211" s="22"/>
      <c r="PV1211" s="22"/>
      <c r="PW1211" s="22"/>
      <c r="PX1211" s="22"/>
      <c r="PY1211" s="22"/>
      <c r="PZ1211" s="22"/>
      <c r="QA1211" s="22"/>
      <c r="QB1211" s="22"/>
      <c r="QC1211" s="22"/>
      <c r="QD1211" s="22"/>
      <c r="QE1211" s="22"/>
      <c r="QF1211" s="22"/>
      <c r="QG1211" s="22"/>
      <c r="QH1211" s="22"/>
      <c r="QI1211" s="22"/>
      <c r="QJ1211" s="22"/>
      <c r="QK1211" s="22"/>
      <c r="QL1211" s="22"/>
      <c r="QM1211" s="22"/>
      <c r="QN1211" s="22"/>
      <c r="QO1211" s="22"/>
      <c r="QP1211" s="22"/>
      <c r="QQ1211" s="22"/>
      <c r="QR1211" s="22"/>
      <c r="QS1211" s="22"/>
      <c r="QT1211" s="22"/>
      <c r="QU1211" s="22"/>
      <c r="QV1211" s="22"/>
      <c r="QW1211" s="22"/>
      <c r="QX1211" s="22"/>
      <c r="QY1211" s="22"/>
      <c r="QZ1211" s="22"/>
      <c r="RA1211" s="22"/>
      <c r="RB1211" s="22"/>
      <c r="RC1211" s="22"/>
      <c r="RD1211" s="22"/>
      <c r="RE1211" s="22"/>
      <c r="RF1211" s="22"/>
      <c r="RG1211" s="22"/>
      <c r="RH1211" s="22"/>
      <c r="RI1211" s="22"/>
      <c r="RJ1211" s="22"/>
      <c r="RK1211" s="22"/>
      <c r="RL1211" s="22"/>
      <c r="RM1211" s="22"/>
      <c r="RN1211" s="22"/>
      <c r="RO1211" s="22"/>
      <c r="RP1211" s="22"/>
      <c r="RQ1211" s="22"/>
      <c r="RR1211" s="22"/>
      <c r="RS1211" s="22"/>
      <c r="RT1211" s="22"/>
      <c r="RU1211" s="22"/>
      <c r="RV1211" s="22"/>
      <c r="RW1211" s="22"/>
      <c r="RX1211" s="22"/>
      <c r="RY1211" s="22"/>
      <c r="RZ1211" s="22"/>
      <c r="SA1211" s="22"/>
      <c r="SB1211" s="22"/>
      <c r="SC1211" s="22"/>
      <c r="SD1211" s="22"/>
      <c r="SE1211" s="22"/>
      <c r="SF1211" s="22"/>
      <c r="SG1211" s="22"/>
      <c r="SH1211" s="22"/>
      <c r="SI1211" s="22"/>
      <c r="SJ1211" s="22"/>
      <c r="SK1211" s="22"/>
      <c r="SL1211" s="22"/>
      <c r="SM1211" s="22"/>
      <c r="SN1211" s="22"/>
      <c r="SO1211" s="22"/>
      <c r="SP1211" s="22"/>
      <c r="SQ1211" s="22"/>
      <c r="SR1211" s="22"/>
      <c r="SS1211" s="22"/>
      <c r="ST1211" s="22"/>
      <c r="SU1211" s="22"/>
      <c r="SV1211" s="22"/>
      <c r="SW1211" s="22"/>
      <c r="SX1211" s="22"/>
      <c r="SY1211" s="22"/>
      <c r="SZ1211" s="22"/>
      <c r="TA1211" s="22"/>
      <c r="TB1211" s="22"/>
      <c r="TC1211" s="22"/>
      <c r="TD1211" s="22"/>
      <c r="TE1211" s="22"/>
      <c r="TF1211" s="22"/>
      <c r="TG1211" s="22"/>
      <c r="TH1211" s="22"/>
      <c r="TI1211" s="22"/>
      <c r="TJ1211" s="22"/>
      <c r="TK1211" s="22"/>
      <c r="TL1211" s="22"/>
      <c r="TM1211" s="22"/>
      <c r="TN1211" s="22"/>
      <c r="TO1211" s="22"/>
      <c r="TP1211" s="22"/>
      <c r="TQ1211" s="22"/>
      <c r="TR1211" s="22"/>
      <c r="TS1211" s="22"/>
      <c r="TT1211" s="22"/>
      <c r="TU1211" s="22"/>
      <c r="TV1211" s="22"/>
      <c r="TW1211" s="22"/>
      <c r="TX1211" s="22"/>
      <c r="TY1211" s="22"/>
      <c r="TZ1211" s="22"/>
      <c r="UA1211" s="22"/>
      <c r="UB1211" s="22"/>
      <c r="UC1211" s="22"/>
      <c r="UD1211" s="22"/>
      <c r="UE1211" s="22"/>
      <c r="UF1211" s="22"/>
      <c r="UG1211" s="23"/>
    </row>
    <row r="1212" spans="1:553" ht="84" customHeight="1">
      <c r="A1212" s="356" t="s">
        <v>17</v>
      </c>
      <c r="B1212" s="356"/>
      <c r="C1212" s="1431" t="s">
        <v>18</v>
      </c>
      <c r="D1212" s="1389"/>
      <c r="E1212" s="1389"/>
      <c r="F1212" s="1390"/>
      <c r="G1212" s="356" t="s">
        <v>1393</v>
      </c>
      <c r="H1212" s="359">
        <f t="shared" ref="H1212:I1212" si="181">SUM(H1213)</f>
        <v>95.7</v>
      </c>
      <c r="I1212" s="359">
        <f t="shared" si="181"/>
        <v>95.7</v>
      </c>
      <c r="J1212" s="357"/>
      <c r="K1212" s="364"/>
      <c r="L1212" s="356">
        <f>SUM(L1213)</f>
        <v>37323000</v>
      </c>
      <c r="M1212" s="356"/>
      <c r="N1212" s="356"/>
      <c r="O1212" s="356"/>
      <c r="P1212" s="356">
        <f>L1212</f>
        <v>37323000</v>
      </c>
      <c r="Q1212" s="1084"/>
      <c r="R1212" s="1447" t="s">
        <v>1021</v>
      </c>
      <c r="S1212" s="308"/>
      <c r="T1212" s="308"/>
      <c r="U1212" s="308"/>
      <c r="V1212" s="308"/>
      <c r="W1212" s="308"/>
      <c r="X1212" s="308"/>
      <c r="Y1212" s="308"/>
      <c r="Z1212" s="604"/>
      <c r="AA1212" s="308"/>
      <c r="AB1212" s="308"/>
      <c r="AC1212" s="365"/>
      <c r="AD1212" s="365"/>
      <c r="AE1212" s="365"/>
      <c r="AF1212" s="365"/>
      <c r="AG1212" s="365"/>
      <c r="AH1212" s="365"/>
      <c r="AI1212" s="365"/>
      <c r="AJ1212" s="365"/>
      <c r="AK1212" s="377"/>
      <c r="AL1212" s="343"/>
      <c r="AM1212" s="24"/>
      <c r="AN1212" s="24"/>
      <c r="AO1212" s="16"/>
      <c r="AP1212" s="24"/>
      <c r="AQ1212" s="24"/>
      <c r="AR1212" s="24"/>
      <c r="AS1212" s="18"/>
      <c r="AT1212" s="18"/>
      <c r="AU1212" s="18"/>
      <c r="AV1212" s="18"/>
      <c r="AW1212" s="18"/>
      <c r="AX1212" s="18"/>
      <c r="AY1212" s="18"/>
      <c r="AZ1212" s="18"/>
      <c r="BA1212" s="18"/>
      <c r="BB1212" s="18"/>
      <c r="BC1212" s="18"/>
      <c r="BD1212" s="18"/>
      <c r="BE1212" s="18"/>
      <c r="BF1212" s="18"/>
      <c r="BG1212" s="18"/>
      <c r="BH1212" s="18"/>
      <c r="BI1212" s="18"/>
      <c r="BJ1212" s="18"/>
      <c r="BK1212" s="18"/>
      <c r="BL1212" s="18"/>
      <c r="BM1212" s="18"/>
      <c r="BN1212" s="18"/>
      <c r="BO1212" s="18"/>
      <c r="BP1212" s="18"/>
      <c r="BQ1212" s="18"/>
      <c r="BR1212" s="18"/>
      <c r="BS1212" s="18"/>
      <c r="BT1212" s="18"/>
      <c r="BU1212" s="18"/>
      <c r="BV1212" s="18"/>
      <c r="BW1212" s="18"/>
      <c r="BX1212" s="18"/>
      <c r="BY1212" s="18"/>
      <c r="BZ1212" s="18"/>
      <c r="CA1212" s="18"/>
      <c r="CB1212" s="18"/>
      <c r="CC1212" s="18"/>
      <c r="CD1212" s="18"/>
      <c r="CE1212" s="18"/>
      <c r="CF1212" s="18"/>
      <c r="CG1212" s="18"/>
      <c r="CH1212" s="18"/>
      <c r="CI1212" s="18"/>
      <c r="CJ1212" s="18"/>
      <c r="CK1212" s="18"/>
      <c r="CL1212" s="18"/>
      <c r="CM1212" s="18"/>
      <c r="CN1212" s="18"/>
      <c r="CO1212" s="18"/>
      <c r="CP1212" s="18"/>
      <c r="CQ1212" s="18"/>
      <c r="CR1212" s="18"/>
      <c r="CS1212" s="18"/>
      <c r="CT1212" s="18"/>
      <c r="CU1212" s="18"/>
      <c r="CV1212" s="18"/>
      <c r="CW1212" s="18"/>
      <c r="CX1212" s="18"/>
      <c r="CY1212" s="18"/>
      <c r="CZ1212" s="18"/>
      <c r="DA1212" s="18"/>
      <c r="DB1212" s="18"/>
      <c r="DC1212" s="18"/>
      <c r="DD1212" s="18"/>
      <c r="DE1212" s="18"/>
      <c r="DF1212" s="18"/>
      <c r="DG1212" s="18"/>
      <c r="DH1212" s="18"/>
      <c r="DI1212" s="18"/>
      <c r="DJ1212" s="18"/>
      <c r="DK1212" s="18"/>
      <c r="DL1212" s="18"/>
      <c r="DM1212" s="18"/>
      <c r="DN1212" s="18"/>
      <c r="DO1212" s="18"/>
      <c r="DP1212" s="18"/>
      <c r="DQ1212" s="18"/>
      <c r="DR1212" s="18"/>
      <c r="DS1212" s="18"/>
      <c r="DT1212" s="18"/>
      <c r="DU1212" s="18"/>
      <c r="DV1212" s="18"/>
      <c r="DW1212" s="18"/>
      <c r="DX1212" s="18"/>
      <c r="DY1212" s="18"/>
      <c r="DZ1212" s="18"/>
      <c r="EA1212" s="18"/>
      <c r="EB1212" s="18"/>
      <c r="EC1212" s="18"/>
      <c r="ED1212" s="18"/>
      <c r="EE1212" s="18"/>
      <c r="EF1212" s="18"/>
      <c r="EG1212" s="18"/>
      <c r="EH1212" s="18"/>
      <c r="EI1212" s="18"/>
      <c r="EJ1212" s="18"/>
      <c r="EK1212" s="18"/>
      <c r="EL1212" s="18"/>
      <c r="EM1212" s="18"/>
      <c r="EN1212" s="18"/>
      <c r="EO1212" s="18"/>
      <c r="EP1212" s="18"/>
      <c r="EQ1212" s="18"/>
      <c r="ER1212" s="18"/>
      <c r="ES1212" s="18"/>
      <c r="ET1212" s="18"/>
      <c r="EU1212" s="18"/>
      <c r="EV1212" s="18"/>
      <c r="EW1212" s="18"/>
      <c r="EX1212" s="18"/>
      <c r="EY1212" s="18"/>
      <c r="EZ1212" s="18"/>
      <c r="FA1212" s="18"/>
      <c r="FB1212" s="18"/>
      <c r="FC1212" s="18"/>
      <c r="FD1212" s="18"/>
      <c r="FE1212" s="18"/>
      <c r="FF1212" s="18"/>
      <c r="FG1212" s="18"/>
      <c r="FH1212" s="18"/>
      <c r="FI1212" s="18"/>
      <c r="FJ1212" s="18"/>
      <c r="FK1212" s="18"/>
      <c r="FL1212" s="18"/>
      <c r="FM1212" s="18"/>
      <c r="FN1212" s="18"/>
      <c r="FO1212" s="18"/>
      <c r="FP1212" s="18"/>
      <c r="FQ1212" s="18"/>
      <c r="FR1212" s="18"/>
      <c r="FS1212" s="18"/>
      <c r="FT1212" s="18"/>
      <c r="FU1212" s="18"/>
      <c r="FV1212" s="18"/>
      <c r="FW1212" s="18"/>
      <c r="FX1212" s="18"/>
      <c r="FY1212" s="18"/>
      <c r="FZ1212" s="18"/>
      <c r="GA1212" s="18"/>
      <c r="GB1212" s="18"/>
      <c r="GC1212" s="18"/>
      <c r="GD1212" s="18"/>
      <c r="GE1212" s="18"/>
      <c r="GF1212" s="18"/>
      <c r="GG1212" s="18"/>
      <c r="GH1212" s="18"/>
      <c r="GI1212" s="18"/>
      <c r="GJ1212" s="18"/>
      <c r="GK1212" s="18"/>
      <c r="GL1212" s="18"/>
      <c r="GM1212" s="18"/>
      <c r="GN1212" s="18"/>
      <c r="GO1212" s="18"/>
      <c r="GP1212" s="18"/>
      <c r="GQ1212" s="18"/>
      <c r="GR1212" s="18"/>
      <c r="GS1212" s="18"/>
      <c r="GT1212" s="18"/>
      <c r="GU1212" s="18"/>
      <c r="GV1212" s="18"/>
      <c r="GW1212" s="18"/>
      <c r="GX1212" s="18"/>
      <c r="GY1212" s="18"/>
      <c r="GZ1212" s="18"/>
      <c r="HA1212" s="18"/>
      <c r="HB1212" s="18"/>
      <c r="HC1212" s="18"/>
      <c r="HD1212" s="18"/>
      <c r="HE1212" s="18"/>
      <c r="HF1212" s="18"/>
      <c r="HG1212" s="18"/>
      <c r="HH1212" s="18"/>
      <c r="HI1212" s="18"/>
      <c r="HJ1212" s="18"/>
      <c r="HK1212" s="18"/>
      <c r="HL1212" s="18"/>
      <c r="HM1212" s="18"/>
      <c r="HN1212" s="18"/>
      <c r="HO1212" s="18"/>
      <c r="HP1212" s="18"/>
      <c r="HQ1212" s="18"/>
      <c r="HR1212" s="18"/>
      <c r="HS1212" s="18"/>
      <c r="HT1212" s="18"/>
      <c r="HU1212" s="18"/>
      <c r="HV1212" s="18"/>
      <c r="HW1212" s="18"/>
      <c r="HX1212" s="18"/>
      <c r="HY1212" s="18"/>
      <c r="HZ1212" s="18"/>
      <c r="IA1212" s="18"/>
      <c r="IB1212" s="18"/>
      <c r="IC1212" s="18"/>
      <c r="ID1212" s="18"/>
      <c r="IE1212" s="18"/>
      <c r="IF1212" s="18"/>
      <c r="IG1212" s="18"/>
      <c r="IH1212" s="18"/>
      <c r="II1212" s="18"/>
      <c r="IJ1212" s="18"/>
      <c r="IK1212" s="18"/>
      <c r="IL1212" s="18"/>
      <c r="IM1212" s="18"/>
      <c r="IN1212" s="18"/>
      <c r="IO1212" s="18"/>
      <c r="IP1212" s="18"/>
      <c r="IQ1212" s="18"/>
      <c r="IR1212" s="18"/>
      <c r="IS1212" s="18"/>
      <c r="IT1212" s="18"/>
      <c r="IU1212" s="18"/>
      <c r="IV1212" s="18"/>
      <c r="IW1212" s="18"/>
      <c r="IX1212" s="18"/>
      <c r="IY1212" s="18"/>
      <c r="IZ1212" s="18"/>
      <c r="JA1212" s="18"/>
      <c r="JB1212" s="18"/>
      <c r="JC1212" s="18"/>
      <c r="JD1212" s="18"/>
      <c r="JE1212" s="18"/>
      <c r="JF1212" s="18"/>
      <c r="JG1212" s="18"/>
      <c r="JH1212" s="18"/>
      <c r="JI1212" s="18"/>
      <c r="JJ1212" s="18"/>
      <c r="JK1212" s="18"/>
      <c r="JL1212" s="18"/>
      <c r="JM1212" s="18"/>
      <c r="JN1212" s="18"/>
      <c r="JO1212" s="18"/>
      <c r="JP1212" s="18"/>
      <c r="JQ1212" s="18"/>
      <c r="JR1212" s="18"/>
      <c r="JS1212" s="18"/>
      <c r="JT1212" s="18"/>
      <c r="JU1212" s="18"/>
      <c r="JV1212" s="18"/>
      <c r="JW1212" s="18"/>
      <c r="JX1212" s="18"/>
      <c r="JY1212" s="18"/>
      <c r="JZ1212" s="18"/>
      <c r="KA1212" s="18"/>
      <c r="KB1212" s="18"/>
      <c r="KC1212" s="18"/>
      <c r="KD1212" s="18"/>
      <c r="KE1212" s="18"/>
      <c r="KF1212" s="18"/>
      <c r="KG1212" s="18"/>
      <c r="KH1212" s="18"/>
      <c r="KI1212" s="18"/>
      <c r="KJ1212" s="18"/>
      <c r="KK1212" s="18"/>
      <c r="KL1212" s="18"/>
      <c r="KM1212" s="18"/>
      <c r="KN1212" s="18"/>
      <c r="KO1212" s="18"/>
      <c r="KP1212" s="18"/>
      <c r="KQ1212" s="18"/>
      <c r="KR1212" s="18"/>
      <c r="KS1212" s="18"/>
      <c r="KT1212" s="18"/>
      <c r="KU1212" s="18"/>
      <c r="KV1212" s="18"/>
      <c r="KW1212" s="18"/>
      <c r="KX1212" s="18"/>
      <c r="KY1212" s="18"/>
      <c r="KZ1212" s="18"/>
      <c r="LA1212" s="18"/>
      <c r="LB1212" s="18"/>
      <c r="LC1212" s="18"/>
      <c r="LD1212" s="18"/>
      <c r="LE1212" s="18"/>
      <c r="LF1212" s="18"/>
      <c r="LG1212" s="18"/>
      <c r="LH1212" s="18"/>
      <c r="LI1212" s="18"/>
      <c r="LJ1212" s="18"/>
      <c r="LK1212" s="18"/>
      <c r="LL1212" s="18"/>
      <c r="LM1212" s="18"/>
      <c r="LN1212" s="18"/>
      <c r="LO1212" s="18"/>
      <c r="LP1212" s="18"/>
      <c r="LQ1212" s="18"/>
      <c r="LR1212" s="18"/>
      <c r="LS1212" s="18"/>
      <c r="LT1212" s="18"/>
      <c r="LU1212" s="18"/>
      <c r="LV1212" s="18"/>
      <c r="LW1212" s="18"/>
      <c r="LX1212" s="18"/>
      <c r="LY1212" s="18"/>
      <c r="LZ1212" s="18"/>
      <c r="MA1212" s="18"/>
      <c r="MB1212" s="18"/>
      <c r="MC1212" s="18"/>
      <c r="MD1212" s="18"/>
      <c r="ME1212" s="18"/>
      <c r="MF1212" s="18"/>
      <c r="MG1212" s="18"/>
      <c r="MH1212" s="18"/>
      <c r="MI1212" s="18"/>
      <c r="MJ1212" s="18"/>
      <c r="MK1212" s="18"/>
      <c r="ML1212" s="18"/>
      <c r="MM1212" s="18"/>
      <c r="MN1212" s="18"/>
      <c r="MO1212" s="18"/>
      <c r="MP1212" s="18"/>
      <c r="MQ1212" s="18"/>
      <c r="MR1212" s="18"/>
      <c r="MS1212" s="18"/>
      <c r="MT1212" s="18"/>
      <c r="MU1212" s="18"/>
      <c r="MV1212" s="18"/>
      <c r="MW1212" s="18"/>
      <c r="MX1212" s="18"/>
      <c r="MY1212" s="18"/>
      <c r="MZ1212" s="18"/>
      <c r="NA1212" s="18"/>
      <c r="NB1212" s="18"/>
      <c r="NC1212" s="18"/>
      <c r="ND1212" s="18"/>
      <c r="NE1212" s="18"/>
      <c r="NF1212" s="18"/>
      <c r="NG1212" s="18"/>
      <c r="NH1212" s="18"/>
      <c r="NI1212" s="18"/>
      <c r="NJ1212" s="18"/>
      <c r="NK1212" s="18"/>
      <c r="NL1212" s="18"/>
      <c r="NM1212" s="18"/>
      <c r="NN1212" s="18"/>
      <c r="NO1212" s="18"/>
      <c r="NP1212" s="18"/>
      <c r="NQ1212" s="18"/>
      <c r="NR1212" s="18"/>
      <c r="NS1212" s="18"/>
      <c r="NT1212" s="18"/>
      <c r="NU1212" s="18"/>
      <c r="NV1212" s="18"/>
      <c r="NW1212" s="18"/>
      <c r="NX1212" s="18"/>
      <c r="NY1212" s="18"/>
      <c r="NZ1212" s="18"/>
      <c r="OA1212" s="18"/>
      <c r="OB1212" s="18"/>
      <c r="OC1212" s="18"/>
      <c r="OD1212" s="18"/>
      <c r="OE1212" s="18"/>
      <c r="OF1212" s="18"/>
      <c r="OG1212" s="18"/>
      <c r="OH1212" s="18"/>
      <c r="OI1212" s="18"/>
      <c r="OJ1212" s="18"/>
      <c r="OK1212" s="18"/>
      <c r="OL1212" s="18"/>
      <c r="OM1212" s="18"/>
      <c r="ON1212" s="18"/>
      <c r="OO1212" s="18"/>
      <c r="OP1212" s="18"/>
      <c r="OQ1212" s="18"/>
      <c r="OR1212" s="18"/>
      <c r="OS1212" s="18"/>
      <c r="OT1212" s="18"/>
      <c r="OU1212" s="18"/>
      <c r="OV1212" s="18"/>
      <c r="OW1212" s="18"/>
      <c r="OX1212" s="18"/>
      <c r="OY1212" s="18"/>
      <c r="OZ1212" s="18"/>
      <c r="PA1212" s="18"/>
      <c r="PB1212" s="18"/>
      <c r="PC1212" s="18"/>
      <c r="PD1212" s="18"/>
      <c r="PE1212" s="18"/>
      <c r="PF1212" s="18"/>
      <c r="PG1212" s="18"/>
      <c r="PH1212" s="18"/>
      <c r="PI1212" s="18"/>
      <c r="PJ1212" s="18"/>
      <c r="PK1212" s="18"/>
      <c r="PL1212" s="18"/>
      <c r="PM1212" s="18"/>
      <c r="PN1212" s="18"/>
      <c r="PO1212" s="18"/>
      <c r="PP1212" s="18"/>
      <c r="PQ1212" s="18"/>
      <c r="PR1212" s="18"/>
      <c r="PS1212" s="18"/>
      <c r="PT1212" s="18"/>
      <c r="PU1212" s="18"/>
      <c r="PV1212" s="18"/>
      <c r="PW1212" s="18"/>
      <c r="PX1212" s="18"/>
      <c r="PY1212" s="18"/>
      <c r="PZ1212" s="18"/>
      <c r="QA1212" s="18"/>
      <c r="QB1212" s="18"/>
      <c r="QC1212" s="18"/>
      <c r="QD1212" s="18"/>
      <c r="QE1212" s="18"/>
      <c r="QF1212" s="18"/>
      <c r="QG1212" s="18"/>
      <c r="QH1212" s="18"/>
      <c r="QI1212" s="18"/>
      <c r="QJ1212" s="18"/>
      <c r="QK1212" s="18"/>
      <c r="QL1212" s="18"/>
      <c r="QM1212" s="18"/>
      <c r="QN1212" s="18"/>
      <c r="QO1212" s="18"/>
      <c r="QP1212" s="18"/>
      <c r="QQ1212" s="18"/>
      <c r="QR1212" s="18"/>
      <c r="QS1212" s="18"/>
      <c r="QT1212" s="18"/>
      <c r="QU1212" s="18"/>
      <c r="QV1212" s="18"/>
      <c r="QW1212" s="18"/>
      <c r="QX1212" s="18"/>
      <c r="QY1212" s="18"/>
      <c r="QZ1212" s="18"/>
      <c r="RA1212" s="18"/>
      <c r="RB1212" s="18"/>
      <c r="RC1212" s="18"/>
      <c r="RD1212" s="18"/>
      <c r="RE1212" s="18"/>
      <c r="RF1212" s="18"/>
      <c r="RG1212" s="18"/>
      <c r="RH1212" s="18"/>
      <c r="RI1212" s="18"/>
      <c r="RJ1212" s="18"/>
      <c r="RK1212" s="18"/>
      <c r="RL1212" s="18"/>
      <c r="RM1212" s="18"/>
      <c r="RN1212" s="18"/>
      <c r="RO1212" s="18"/>
      <c r="RP1212" s="18"/>
      <c r="RQ1212" s="18"/>
      <c r="RR1212" s="18"/>
      <c r="RS1212" s="18"/>
      <c r="RT1212" s="18"/>
      <c r="RU1212" s="18"/>
      <c r="RV1212" s="18"/>
      <c r="RW1212" s="18"/>
      <c r="RX1212" s="18"/>
      <c r="RY1212" s="18"/>
      <c r="RZ1212" s="18"/>
      <c r="SA1212" s="18"/>
      <c r="SB1212" s="18"/>
      <c r="SC1212" s="18"/>
      <c r="SD1212" s="18"/>
      <c r="SE1212" s="18"/>
      <c r="SF1212" s="18"/>
      <c r="SG1212" s="18"/>
      <c r="SH1212" s="18"/>
      <c r="SI1212" s="18"/>
      <c r="SJ1212" s="18"/>
      <c r="SK1212" s="18"/>
      <c r="SL1212" s="18"/>
      <c r="SM1212" s="18"/>
      <c r="SN1212" s="18"/>
      <c r="SO1212" s="18"/>
      <c r="SP1212" s="18"/>
      <c r="SQ1212" s="18"/>
      <c r="SR1212" s="18"/>
      <c r="SS1212" s="18"/>
      <c r="ST1212" s="18"/>
      <c r="SU1212" s="18"/>
      <c r="SV1212" s="18"/>
      <c r="SW1212" s="18"/>
      <c r="SX1212" s="18"/>
      <c r="SY1212" s="18"/>
      <c r="SZ1212" s="18"/>
      <c r="TA1212" s="18"/>
      <c r="TB1212" s="18"/>
      <c r="TC1212" s="18"/>
      <c r="TD1212" s="18"/>
      <c r="TE1212" s="18"/>
      <c r="TF1212" s="18"/>
      <c r="TG1212" s="18"/>
      <c r="TH1212" s="18"/>
      <c r="TI1212" s="18"/>
      <c r="TJ1212" s="18"/>
      <c r="TK1212" s="18"/>
      <c r="TL1212" s="18"/>
      <c r="TM1212" s="18"/>
      <c r="TN1212" s="18"/>
      <c r="TO1212" s="18"/>
      <c r="TP1212" s="18"/>
      <c r="TQ1212" s="18"/>
      <c r="TR1212" s="18"/>
      <c r="TS1212" s="18"/>
      <c r="TT1212" s="18"/>
      <c r="TU1212" s="18"/>
      <c r="TV1212" s="18"/>
      <c r="TW1212" s="18"/>
      <c r="TX1212" s="18"/>
      <c r="TY1212" s="18"/>
      <c r="TZ1212" s="18"/>
      <c r="UA1212" s="18"/>
      <c r="UB1212" s="18"/>
      <c r="UC1212" s="18"/>
      <c r="UD1212" s="18"/>
      <c r="UE1212" s="18"/>
      <c r="UF1212" s="18"/>
      <c r="UG1212" s="19"/>
    </row>
    <row r="1213" spans="1:553" ht="174" customHeight="1">
      <c r="A1213" s="356" t="s">
        <v>15</v>
      </c>
      <c r="B1213" s="385"/>
      <c r="C1213" s="384" t="s">
        <v>19</v>
      </c>
      <c r="D1213" s="376" t="s">
        <v>20</v>
      </c>
      <c r="E1213" s="376">
        <v>405</v>
      </c>
      <c r="F1213" s="385">
        <v>1</v>
      </c>
      <c r="G1213" s="386" t="s">
        <v>935</v>
      </c>
      <c r="H1213" s="441">
        <v>95.7</v>
      </c>
      <c r="I1213" s="1070">
        <f>H1213</f>
        <v>95.7</v>
      </c>
      <c r="J1213" s="368">
        <v>390000</v>
      </c>
      <c r="K1213" s="684"/>
      <c r="L1213" s="366">
        <f>PRODUCT(I1213:K1213)</f>
        <v>37323000</v>
      </c>
      <c r="M1213" s="451" t="s">
        <v>88</v>
      </c>
      <c r="N1213" s="392">
        <v>198000</v>
      </c>
      <c r="O1213" s="366">
        <f>I1213*M1213*N1213</f>
        <v>7579440</v>
      </c>
      <c r="P1213" s="366"/>
      <c r="Q1213" s="1057" t="s">
        <v>671</v>
      </c>
      <c r="R1213" s="1452"/>
      <c r="S1213" s="308"/>
      <c r="T1213" s="308"/>
      <c r="U1213" s="308"/>
      <c r="V1213" s="308"/>
      <c r="W1213" s="308"/>
      <c r="X1213" s="308"/>
      <c r="Y1213" s="308"/>
      <c r="Z1213" s="604"/>
      <c r="AA1213" s="308"/>
      <c r="AB1213" s="308"/>
      <c r="AC1213" s="373"/>
      <c r="AD1213" s="373"/>
      <c r="AE1213" s="373"/>
      <c r="AF1213" s="373"/>
      <c r="AG1213" s="373"/>
      <c r="AH1213" s="373"/>
      <c r="AI1213" s="373"/>
      <c r="AJ1213" s="373"/>
      <c r="AK1213" s="389"/>
      <c r="AL1213" s="100"/>
      <c r="AM1213" s="27"/>
      <c r="AN1213" s="27"/>
      <c r="AO1213" s="27"/>
      <c r="AP1213" s="27"/>
      <c r="AQ1213" s="27"/>
      <c r="AR1213" s="27"/>
      <c r="AS1213" s="22"/>
      <c r="AT1213" s="22"/>
      <c r="AU1213" s="22"/>
      <c r="AV1213" s="22"/>
      <c r="AW1213" s="22"/>
      <c r="AX1213" s="22"/>
      <c r="AY1213" s="22"/>
      <c r="AZ1213" s="22"/>
      <c r="BA1213" s="22"/>
      <c r="BB1213" s="22"/>
      <c r="BC1213" s="22"/>
      <c r="BD1213" s="22"/>
      <c r="BE1213" s="22"/>
      <c r="BF1213" s="22"/>
      <c r="BG1213" s="22"/>
      <c r="BH1213" s="22"/>
      <c r="BI1213" s="22"/>
      <c r="BJ1213" s="22"/>
      <c r="BK1213" s="22"/>
      <c r="BL1213" s="22"/>
      <c r="BM1213" s="22"/>
      <c r="BN1213" s="22"/>
      <c r="BO1213" s="22"/>
      <c r="BP1213" s="22"/>
      <c r="BQ1213" s="22"/>
      <c r="BR1213" s="22"/>
      <c r="BS1213" s="22"/>
      <c r="BT1213" s="22"/>
      <c r="BU1213" s="22"/>
      <c r="BV1213" s="22"/>
      <c r="BW1213" s="22"/>
      <c r="BX1213" s="22"/>
      <c r="BY1213" s="22"/>
      <c r="BZ1213" s="22"/>
      <c r="CA1213" s="22"/>
      <c r="CB1213" s="22"/>
      <c r="CC1213" s="22"/>
      <c r="CD1213" s="22"/>
      <c r="CE1213" s="22"/>
      <c r="CF1213" s="22"/>
      <c r="CG1213" s="22"/>
      <c r="CH1213" s="22"/>
      <c r="CI1213" s="22"/>
      <c r="CJ1213" s="22"/>
      <c r="CK1213" s="22"/>
      <c r="CL1213" s="22"/>
      <c r="CM1213" s="22"/>
      <c r="CN1213" s="22"/>
      <c r="CO1213" s="22"/>
      <c r="CP1213" s="22"/>
      <c r="CQ1213" s="22"/>
      <c r="CR1213" s="22"/>
      <c r="CS1213" s="22"/>
      <c r="CT1213" s="22"/>
      <c r="CU1213" s="22"/>
      <c r="CV1213" s="22"/>
      <c r="CW1213" s="22"/>
      <c r="CX1213" s="22"/>
      <c r="CY1213" s="22"/>
      <c r="CZ1213" s="22"/>
      <c r="DA1213" s="22"/>
      <c r="DB1213" s="22"/>
      <c r="DC1213" s="22"/>
      <c r="DD1213" s="22"/>
      <c r="DE1213" s="22"/>
      <c r="DF1213" s="22"/>
      <c r="DG1213" s="22"/>
      <c r="DH1213" s="22"/>
      <c r="DI1213" s="22"/>
      <c r="DJ1213" s="22"/>
      <c r="DK1213" s="22"/>
      <c r="DL1213" s="22"/>
      <c r="DM1213" s="22"/>
      <c r="DN1213" s="22"/>
      <c r="DO1213" s="22"/>
      <c r="DP1213" s="22"/>
      <c r="DQ1213" s="22"/>
      <c r="DR1213" s="22"/>
      <c r="DS1213" s="22"/>
      <c r="DT1213" s="22"/>
      <c r="DU1213" s="22"/>
      <c r="DV1213" s="22"/>
      <c r="DW1213" s="22"/>
      <c r="DX1213" s="22"/>
      <c r="DY1213" s="22"/>
      <c r="DZ1213" s="22"/>
      <c r="EA1213" s="22"/>
      <c r="EB1213" s="22"/>
      <c r="EC1213" s="22"/>
      <c r="ED1213" s="22"/>
      <c r="EE1213" s="22"/>
      <c r="EF1213" s="22"/>
      <c r="EG1213" s="22"/>
      <c r="EH1213" s="22"/>
      <c r="EI1213" s="22"/>
      <c r="EJ1213" s="22"/>
      <c r="EK1213" s="22"/>
      <c r="EL1213" s="22"/>
      <c r="EM1213" s="22"/>
      <c r="EN1213" s="22"/>
      <c r="EO1213" s="22"/>
      <c r="EP1213" s="22"/>
      <c r="EQ1213" s="22"/>
      <c r="ER1213" s="22"/>
      <c r="ES1213" s="22"/>
      <c r="ET1213" s="22"/>
      <c r="EU1213" s="22"/>
      <c r="EV1213" s="22"/>
      <c r="EW1213" s="22"/>
      <c r="EX1213" s="22"/>
      <c r="EY1213" s="22"/>
      <c r="EZ1213" s="22"/>
      <c r="FA1213" s="22"/>
      <c r="FB1213" s="22"/>
      <c r="FC1213" s="22"/>
      <c r="FD1213" s="22"/>
      <c r="FE1213" s="22"/>
      <c r="FF1213" s="22"/>
      <c r="FG1213" s="22"/>
      <c r="FH1213" s="22"/>
      <c r="FI1213" s="22"/>
      <c r="FJ1213" s="22"/>
      <c r="FK1213" s="22"/>
      <c r="FL1213" s="22"/>
      <c r="FM1213" s="22"/>
      <c r="FN1213" s="22"/>
      <c r="FO1213" s="22"/>
      <c r="FP1213" s="22"/>
      <c r="FQ1213" s="22"/>
      <c r="FR1213" s="22"/>
      <c r="FS1213" s="22"/>
      <c r="FT1213" s="22"/>
      <c r="FU1213" s="22"/>
      <c r="FV1213" s="22"/>
      <c r="FW1213" s="22"/>
      <c r="FX1213" s="22"/>
      <c r="FY1213" s="22"/>
      <c r="FZ1213" s="22"/>
      <c r="GA1213" s="22"/>
      <c r="GB1213" s="22"/>
      <c r="GC1213" s="22"/>
      <c r="GD1213" s="22"/>
      <c r="GE1213" s="22"/>
      <c r="GF1213" s="22"/>
      <c r="GG1213" s="22"/>
      <c r="GH1213" s="22"/>
      <c r="GI1213" s="22"/>
      <c r="GJ1213" s="22"/>
      <c r="GK1213" s="22"/>
      <c r="GL1213" s="22"/>
      <c r="GM1213" s="22"/>
      <c r="GN1213" s="22"/>
      <c r="GO1213" s="22"/>
      <c r="GP1213" s="22"/>
      <c r="GQ1213" s="22"/>
      <c r="GR1213" s="22"/>
      <c r="GS1213" s="22"/>
      <c r="GT1213" s="22"/>
      <c r="GU1213" s="22"/>
      <c r="GV1213" s="22"/>
      <c r="GW1213" s="22"/>
      <c r="GX1213" s="22"/>
      <c r="GY1213" s="22"/>
      <c r="GZ1213" s="22"/>
      <c r="HA1213" s="22"/>
      <c r="HB1213" s="22"/>
      <c r="HC1213" s="22"/>
      <c r="HD1213" s="22"/>
      <c r="HE1213" s="22"/>
      <c r="HF1213" s="22"/>
      <c r="HG1213" s="22"/>
      <c r="HH1213" s="22"/>
      <c r="HI1213" s="22"/>
      <c r="HJ1213" s="22"/>
      <c r="HK1213" s="22"/>
      <c r="HL1213" s="22"/>
      <c r="HM1213" s="22"/>
      <c r="HN1213" s="22"/>
      <c r="HO1213" s="22"/>
      <c r="HP1213" s="22"/>
      <c r="HQ1213" s="22"/>
      <c r="HR1213" s="22"/>
      <c r="HS1213" s="22"/>
      <c r="HT1213" s="22"/>
      <c r="HU1213" s="22"/>
      <c r="HV1213" s="22"/>
      <c r="HW1213" s="22"/>
      <c r="HX1213" s="22"/>
      <c r="HY1213" s="22"/>
      <c r="HZ1213" s="22"/>
      <c r="IA1213" s="22"/>
      <c r="IB1213" s="22"/>
      <c r="IC1213" s="22"/>
      <c r="ID1213" s="22"/>
      <c r="IE1213" s="22"/>
      <c r="IF1213" s="22"/>
      <c r="IG1213" s="22"/>
      <c r="IH1213" s="22"/>
      <c r="II1213" s="22"/>
      <c r="IJ1213" s="22"/>
      <c r="IK1213" s="22"/>
      <c r="IL1213" s="22"/>
      <c r="IM1213" s="22"/>
      <c r="IN1213" s="22"/>
      <c r="IO1213" s="22"/>
      <c r="IP1213" s="22"/>
      <c r="IQ1213" s="22"/>
      <c r="IR1213" s="22"/>
      <c r="IS1213" s="22"/>
      <c r="IT1213" s="22"/>
      <c r="IU1213" s="22"/>
      <c r="IV1213" s="22"/>
      <c r="IW1213" s="22"/>
      <c r="IX1213" s="22"/>
      <c r="IY1213" s="22"/>
      <c r="IZ1213" s="22"/>
      <c r="JA1213" s="22"/>
      <c r="JB1213" s="22"/>
      <c r="JC1213" s="22"/>
      <c r="JD1213" s="22"/>
      <c r="JE1213" s="22"/>
      <c r="JF1213" s="22"/>
      <c r="JG1213" s="22"/>
      <c r="JH1213" s="22"/>
      <c r="JI1213" s="22"/>
      <c r="JJ1213" s="22"/>
      <c r="JK1213" s="22"/>
      <c r="JL1213" s="22"/>
      <c r="JM1213" s="22"/>
      <c r="JN1213" s="22"/>
      <c r="JO1213" s="22"/>
      <c r="JP1213" s="22"/>
      <c r="JQ1213" s="22"/>
      <c r="JR1213" s="22"/>
      <c r="JS1213" s="22"/>
      <c r="JT1213" s="22"/>
      <c r="JU1213" s="22"/>
      <c r="JV1213" s="22"/>
      <c r="JW1213" s="22"/>
      <c r="JX1213" s="22"/>
      <c r="JY1213" s="22"/>
      <c r="JZ1213" s="22"/>
      <c r="KA1213" s="22"/>
      <c r="KB1213" s="22"/>
      <c r="KC1213" s="22"/>
      <c r="KD1213" s="22"/>
      <c r="KE1213" s="22"/>
      <c r="KF1213" s="22"/>
      <c r="KG1213" s="22"/>
      <c r="KH1213" s="22"/>
      <c r="KI1213" s="22"/>
      <c r="KJ1213" s="22"/>
      <c r="KK1213" s="22"/>
      <c r="KL1213" s="22"/>
      <c r="KM1213" s="22"/>
      <c r="KN1213" s="22"/>
      <c r="KO1213" s="22"/>
      <c r="KP1213" s="22"/>
      <c r="KQ1213" s="22"/>
      <c r="KR1213" s="22"/>
      <c r="KS1213" s="22"/>
      <c r="KT1213" s="22"/>
      <c r="KU1213" s="22"/>
      <c r="KV1213" s="22"/>
      <c r="KW1213" s="22"/>
      <c r="KX1213" s="22"/>
      <c r="KY1213" s="22"/>
      <c r="KZ1213" s="22"/>
      <c r="LA1213" s="22"/>
      <c r="LB1213" s="22"/>
      <c r="LC1213" s="22"/>
      <c r="LD1213" s="22"/>
      <c r="LE1213" s="22"/>
      <c r="LF1213" s="22"/>
      <c r="LG1213" s="22"/>
      <c r="LH1213" s="22"/>
      <c r="LI1213" s="22"/>
      <c r="LJ1213" s="22"/>
      <c r="LK1213" s="22"/>
      <c r="LL1213" s="22"/>
      <c r="LM1213" s="22"/>
      <c r="LN1213" s="22"/>
      <c r="LO1213" s="22"/>
      <c r="LP1213" s="22"/>
      <c r="LQ1213" s="22"/>
      <c r="LR1213" s="22"/>
      <c r="LS1213" s="22"/>
      <c r="LT1213" s="22"/>
      <c r="LU1213" s="22"/>
      <c r="LV1213" s="22"/>
      <c r="LW1213" s="22"/>
      <c r="LX1213" s="22"/>
      <c r="LY1213" s="22"/>
      <c r="LZ1213" s="22"/>
      <c r="MA1213" s="22"/>
      <c r="MB1213" s="22"/>
      <c r="MC1213" s="22"/>
      <c r="MD1213" s="22"/>
      <c r="ME1213" s="22"/>
      <c r="MF1213" s="22"/>
      <c r="MG1213" s="22"/>
      <c r="MH1213" s="22"/>
      <c r="MI1213" s="22"/>
      <c r="MJ1213" s="22"/>
      <c r="MK1213" s="22"/>
      <c r="ML1213" s="22"/>
      <c r="MM1213" s="22"/>
      <c r="MN1213" s="22"/>
      <c r="MO1213" s="22"/>
      <c r="MP1213" s="22"/>
      <c r="MQ1213" s="22"/>
      <c r="MR1213" s="22"/>
      <c r="MS1213" s="22"/>
      <c r="MT1213" s="22"/>
      <c r="MU1213" s="22"/>
      <c r="MV1213" s="22"/>
      <c r="MW1213" s="22"/>
      <c r="MX1213" s="22"/>
      <c r="MY1213" s="22"/>
      <c r="MZ1213" s="22"/>
      <c r="NA1213" s="22"/>
      <c r="NB1213" s="22"/>
      <c r="NC1213" s="22"/>
      <c r="ND1213" s="22"/>
      <c r="NE1213" s="22"/>
      <c r="NF1213" s="22"/>
      <c r="NG1213" s="22"/>
      <c r="NH1213" s="22"/>
      <c r="NI1213" s="22"/>
      <c r="NJ1213" s="22"/>
      <c r="NK1213" s="22"/>
      <c r="NL1213" s="22"/>
      <c r="NM1213" s="22"/>
      <c r="NN1213" s="22"/>
      <c r="NO1213" s="22"/>
      <c r="NP1213" s="22"/>
      <c r="NQ1213" s="22"/>
      <c r="NR1213" s="22"/>
      <c r="NS1213" s="22"/>
      <c r="NT1213" s="22"/>
      <c r="NU1213" s="22"/>
      <c r="NV1213" s="22"/>
      <c r="NW1213" s="22"/>
      <c r="NX1213" s="22"/>
      <c r="NY1213" s="22"/>
      <c r="NZ1213" s="22"/>
      <c r="OA1213" s="22"/>
      <c r="OB1213" s="22"/>
      <c r="OC1213" s="22"/>
      <c r="OD1213" s="22"/>
      <c r="OE1213" s="22"/>
      <c r="OF1213" s="22"/>
      <c r="OG1213" s="22"/>
      <c r="OH1213" s="22"/>
      <c r="OI1213" s="22"/>
      <c r="OJ1213" s="22"/>
      <c r="OK1213" s="22"/>
      <c r="OL1213" s="22"/>
      <c r="OM1213" s="22"/>
      <c r="ON1213" s="22"/>
      <c r="OO1213" s="22"/>
      <c r="OP1213" s="22"/>
      <c r="OQ1213" s="22"/>
      <c r="OR1213" s="22"/>
      <c r="OS1213" s="22"/>
      <c r="OT1213" s="22"/>
      <c r="OU1213" s="22"/>
      <c r="OV1213" s="22"/>
      <c r="OW1213" s="22"/>
      <c r="OX1213" s="22"/>
      <c r="OY1213" s="22"/>
      <c r="OZ1213" s="22"/>
      <c r="PA1213" s="22"/>
      <c r="PB1213" s="22"/>
      <c r="PC1213" s="22"/>
      <c r="PD1213" s="22"/>
      <c r="PE1213" s="22"/>
      <c r="PF1213" s="22"/>
      <c r="PG1213" s="22"/>
      <c r="PH1213" s="22"/>
      <c r="PI1213" s="22"/>
      <c r="PJ1213" s="22"/>
      <c r="PK1213" s="22"/>
      <c r="PL1213" s="22"/>
      <c r="PM1213" s="22"/>
      <c r="PN1213" s="22"/>
      <c r="PO1213" s="22"/>
      <c r="PP1213" s="22"/>
      <c r="PQ1213" s="22"/>
      <c r="PR1213" s="22"/>
      <c r="PS1213" s="22"/>
      <c r="PT1213" s="22"/>
      <c r="PU1213" s="22"/>
      <c r="PV1213" s="22"/>
      <c r="PW1213" s="22"/>
      <c r="PX1213" s="22"/>
      <c r="PY1213" s="22"/>
      <c r="PZ1213" s="22"/>
      <c r="QA1213" s="22"/>
      <c r="QB1213" s="22"/>
      <c r="QC1213" s="22"/>
      <c r="QD1213" s="22"/>
      <c r="QE1213" s="22"/>
      <c r="QF1213" s="22"/>
      <c r="QG1213" s="22"/>
      <c r="QH1213" s="22"/>
      <c r="QI1213" s="22"/>
      <c r="QJ1213" s="22"/>
      <c r="QK1213" s="22"/>
      <c r="QL1213" s="22"/>
      <c r="QM1213" s="22"/>
      <c r="QN1213" s="22"/>
      <c r="QO1213" s="22"/>
      <c r="QP1213" s="22"/>
      <c r="QQ1213" s="22"/>
      <c r="QR1213" s="22"/>
      <c r="QS1213" s="22"/>
      <c r="QT1213" s="22"/>
      <c r="QU1213" s="22"/>
      <c r="QV1213" s="22"/>
      <c r="QW1213" s="22"/>
      <c r="QX1213" s="22"/>
      <c r="QY1213" s="22"/>
      <c r="QZ1213" s="22"/>
      <c r="RA1213" s="22"/>
      <c r="RB1213" s="22"/>
      <c r="RC1213" s="22"/>
      <c r="RD1213" s="22"/>
      <c r="RE1213" s="22"/>
      <c r="RF1213" s="22"/>
      <c r="RG1213" s="22"/>
      <c r="RH1213" s="22"/>
      <c r="RI1213" s="22"/>
      <c r="RJ1213" s="22"/>
      <c r="RK1213" s="22"/>
      <c r="RL1213" s="22"/>
      <c r="RM1213" s="22"/>
      <c r="RN1213" s="22"/>
      <c r="RO1213" s="22"/>
      <c r="RP1213" s="22"/>
      <c r="RQ1213" s="22"/>
      <c r="RR1213" s="22"/>
      <c r="RS1213" s="22"/>
      <c r="RT1213" s="22"/>
      <c r="RU1213" s="22"/>
      <c r="RV1213" s="22"/>
      <c r="RW1213" s="22"/>
      <c r="RX1213" s="22"/>
      <c r="RY1213" s="22"/>
      <c r="RZ1213" s="22"/>
      <c r="SA1213" s="22"/>
      <c r="SB1213" s="22"/>
      <c r="SC1213" s="22"/>
      <c r="SD1213" s="22"/>
      <c r="SE1213" s="22"/>
      <c r="SF1213" s="22"/>
      <c r="SG1213" s="22"/>
      <c r="SH1213" s="22"/>
      <c r="SI1213" s="22"/>
      <c r="SJ1213" s="22"/>
      <c r="SK1213" s="22"/>
      <c r="SL1213" s="22"/>
      <c r="SM1213" s="22"/>
      <c r="SN1213" s="22"/>
      <c r="SO1213" s="22"/>
      <c r="SP1213" s="22"/>
      <c r="SQ1213" s="22"/>
      <c r="SR1213" s="22"/>
      <c r="SS1213" s="22"/>
      <c r="ST1213" s="22"/>
      <c r="SU1213" s="22"/>
      <c r="SV1213" s="22"/>
      <c r="SW1213" s="22"/>
      <c r="SX1213" s="22"/>
      <c r="SY1213" s="22"/>
      <c r="SZ1213" s="22"/>
      <c r="TA1213" s="22"/>
      <c r="TB1213" s="22"/>
      <c r="TC1213" s="22"/>
      <c r="TD1213" s="22"/>
      <c r="TE1213" s="22"/>
      <c r="TF1213" s="22"/>
      <c r="TG1213" s="22"/>
      <c r="TH1213" s="22"/>
      <c r="TI1213" s="22"/>
      <c r="TJ1213" s="22"/>
      <c r="TK1213" s="22"/>
      <c r="TL1213" s="22"/>
      <c r="TM1213" s="22"/>
      <c r="TN1213" s="22"/>
      <c r="TO1213" s="22"/>
      <c r="TP1213" s="22"/>
      <c r="TQ1213" s="22"/>
      <c r="TR1213" s="22"/>
      <c r="TS1213" s="22"/>
      <c r="TT1213" s="22"/>
      <c r="TU1213" s="22"/>
      <c r="TV1213" s="22"/>
      <c r="TW1213" s="22"/>
      <c r="TX1213" s="22"/>
      <c r="TY1213" s="22"/>
      <c r="TZ1213" s="22"/>
      <c r="UA1213" s="22"/>
      <c r="UB1213" s="22"/>
      <c r="UC1213" s="22"/>
      <c r="UD1213" s="22"/>
      <c r="UE1213" s="22"/>
      <c r="UF1213" s="22"/>
      <c r="UG1213" s="23"/>
    </row>
    <row r="1214" spans="1:553" ht="30.75" customHeight="1">
      <c r="A1214" s="356" t="s">
        <v>27</v>
      </c>
      <c r="B1214" s="356"/>
      <c r="C1214" s="1431" t="s">
        <v>28</v>
      </c>
      <c r="D1214" s="1389"/>
      <c r="E1214" s="1389"/>
      <c r="F1214" s="1390"/>
      <c r="G1214" s="356"/>
      <c r="H1214" s="359"/>
      <c r="I1214" s="359"/>
      <c r="J1214" s="357"/>
      <c r="K1214" s="364"/>
      <c r="L1214" s="356">
        <f>SUM(L1216:L1231)</f>
        <v>309772653.32572269</v>
      </c>
      <c r="M1214" s="356"/>
      <c r="N1214" s="356"/>
      <c r="O1214" s="356"/>
      <c r="P1214" s="356">
        <f>L1214</f>
        <v>309772653.32572269</v>
      </c>
      <c r="Q1214" s="610"/>
      <c r="R1214" s="411"/>
      <c r="S1214" s="308"/>
      <c r="T1214" s="308"/>
      <c r="U1214" s="308"/>
      <c r="V1214" s="308"/>
      <c r="W1214" s="308"/>
      <c r="X1214" s="308"/>
      <c r="Y1214" s="308"/>
      <c r="Z1214" s="604"/>
      <c r="AA1214" s="308"/>
      <c r="AB1214" s="308"/>
      <c r="AC1214" s="365"/>
      <c r="AD1214" s="365"/>
      <c r="AE1214" s="365"/>
      <c r="AF1214" s="365"/>
      <c r="AG1214" s="365"/>
      <c r="AH1214" s="365"/>
      <c r="AI1214" s="365"/>
      <c r="AJ1214" s="365"/>
      <c r="AK1214" s="377"/>
      <c r="AL1214" s="343"/>
      <c r="AM1214" s="24"/>
      <c r="AN1214" s="24"/>
      <c r="AO1214" s="24"/>
      <c r="AP1214" s="24"/>
      <c r="AQ1214" s="24"/>
      <c r="AR1214" s="24"/>
      <c r="AS1214" s="18"/>
      <c r="AT1214" s="18"/>
      <c r="AU1214" s="18"/>
      <c r="AV1214" s="18"/>
      <c r="AW1214" s="18"/>
      <c r="AX1214" s="18"/>
      <c r="AY1214" s="18"/>
      <c r="AZ1214" s="18"/>
      <c r="BA1214" s="18"/>
      <c r="BB1214" s="18"/>
      <c r="BC1214" s="18"/>
      <c r="BD1214" s="18"/>
      <c r="BE1214" s="18"/>
      <c r="BF1214" s="18"/>
      <c r="BG1214" s="18"/>
      <c r="BH1214" s="18"/>
      <c r="BI1214" s="18"/>
      <c r="BJ1214" s="18"/>
      <c r="BK1214" s="18"/>
      <c r="BL1214" s="18"/>
      <c r="BM1214" s="18"/>
      <c r="BN1214" s="18"/>
      <c r="BO1214" s="18"/>
      <c r="BP1214" s="18"/>
      <c r="BQ1214" s="18"/>
      <c r="BR1214" s="18"/>
      <c r="BS1214" s="18"/>
      <c r="BT1214" s="18"/>
      <c r="BU1214" s="18"/>
      <c r="BV1214" s="18"/>
      <c r="BW1214" s="18"/>
      <c r="BX1214" s="18"/>
      <c r="BY1214" s="18"/>
      <c r="BZ1214" s="18"/>
      <c r="CA1214" s="18"/>
      <c r="CB1214" s="18"/>
      <c r="CC1214" s="18"/>
      <c r="CD1214" s="18"/>
      <c r="CE1214" s="18"/>
      <c r="CF1214" s="18"/>
      <c r="CG1214" s="18"/>
      <c r="CH1214" s="18"/>
      <c r="CI1214" s="18"/>
      <c r="CJ1214" s="18"/>
      <c r="CK1214" s="18"/>
      <c r="CL1214" s="18"/>
      <c r="CM1214" s="18"/>
      <c r="CN1214" s="18"/>
      <c r="CO1214" s="18"/>
      <c r="CP1214" s="18"/>
      <c r="CQ1214" s="18"/>
      <c r="CR1214" s="18"/>
      <c r="CS1214" s="18"/>
      <c r="CT1214" s="18"/>
      <c r="CU1214" s="18"/>
      <c r="CV1214" s="18"/>
      <c r="CW1214" s="18"/>
      <c r="CX1214" s="18"/>
      <c r="CY1214" s="18"/>
      <c r="CZ1214" s="18"/>
      <c r="DA1214" s="18"/>
      <c r="DB1214" s="18"/>
      <c r="DC1214" s="18"/>
      <c r="DD1214" s="18"/>
      <c r="DE1214" s="18"/>
      <c r="DF1214" s="18"/>
      <c r="DG1214" s="18"/>
      <c r="DH1214" s="18"/>
      <c r="DI1214" s="18"/>
      <c r="DJ1214" s="18"/>
      <c r="DK1214" s="18"/>
      <c r="DL1214" s="18"/>
      <c r="DM1214" s="18"/>
      <c r="DN1214" s="18"/>
      <c r="DO1214" s="18"/>
      <c r="DP1214" s="18"/>
      <c r="DQ1214" s="18"/>
      <c r="DR1214" s="18"/>
      <c r="DS1214" s="18"/>
      <c r="DT1214" s="18"/>
      <c r="DU1214" s="18"/>
      <c r="DV1214" s="18"/>
      <c r="DW1214" s="18"/>
      <c r="DX1214" s="18"/>
      <c r="DY1214" s="18"/>
      <c r="DZ1214" s="18"/>
      <c r="EA1214" s="18"/>
      <c r="EB1214" s="18"/>
      <c r="EC1214" s="18"/>
      <c r="ED1214" s="18"/>
      <c r="EE1214" s="18"/>
      <c r="EF1214" s="18"/>
      <c r="EG1214" s="18"/>
      <c r="EH1214" s="18"/>
      <c r="EI1214" s="18"/>
      <c r="EJ1214" s="18"/>
      <c r="EK1214" s="18"/>
      <c r="EL1214" s="18"/>
      <c r="EM1214" s="18"/>
      <c r="EN1214" s="18"/>
      <c r="EO1214" s="18"/>
      <c r="EP1214" s="18"/>
      <c r="EQ1214" s="18"/>
      <c r="ER1214" s="18"/>
      <c r="ES1214" s="18"/>
      <c r="ET1214" s="18"/>
      <c r="EU1214" s="18"/>
      <c r="EV1214" s="18"/>
      <c r="EW1214" s="18"/>
      <c r="EX1214" s="18"/>
      <c r="EY1214" s="18"/>
      <c r="EZ1214" s="18"/>
      <c r="FA1214" s="18"/>
      <c r="FB1214" s="18"/>
      <c r="FC1214" s="18"/>
      <c r="FD1214" s="18"/>
      <c r="FE1214" s="18"/>
      <c r="FF1214" s="18"/>
      <c r="FG1214" s="18"/>
      <c r="FH1214" s="18"/>
      <c r="FI1214" s="18"/>
      <c r="FJ1214" s="18"/>
      <c r="FK1214" s="18"/>
      <c r="FL1214" s="18"/>
      <c r="FM1214" s="18"/>
      <c r="FN1214" s="18"/>
      <c r="FO1214" s="18"/>
      <c r="FP1214" s="18"/>
      <c r="FQ1214" s="18"/>
      <c r="FR1214" s="18"/>
      <c r="FS1214" s="18"/>
      <c r="FT1214" s="18"/>
      <c r="FU1214" s="18"/>
      <c r="FV1214" s="18"/>
      <c r="FW1214" s="18"/>
      <c r="FX1214" s="18"/>
      <c r="FY1214" s="18"/>
      <c r="FZ1214" s="18"/>
      <c r="GA1214" s="18"/>
      <c r="GB1214" s="18"/>
      <c r="GC1214" s="18"/>
      <c r="GD1214" s="18"/>
      <c r="GE1214" s="18"/>
      <c r="GF1214" s="18"/>
      <c r="GG1214" s="18"/>
      <c r="GH1214" s="18"/>
      <c r="GI1214" s="18"/>
      <c r="GJ1214" s="18"/>
      <c r="GK1214" s="18"/>
      <c r="GL1214" s="18"/>
      <c r="GM1214" s="18"/>
      <c r="GN1214" s="18"/>
      <c r="GO1214" s="18"/>
      <c r="GP1214" s="18"/>
      <c r="GQ1214" s="18"/>
      <c r="GR1214" s="18"/>
      <c r="GS1214" s="18"/>
      <c r="GT1214" s="18"/>
      <c r="GU1214" s="18"/>
      <c r="GV1214" s="18"/>
      <c r="GW1214" s="18"/>
      <c r="GX1214" s="18"/>
      <c r="GY1214" s="18"/>
      <c r="GZ1214" s="18"/>
      <c r="HA1214" s="18"/>
      <c r="HB1214" s="18"/>
      <c r="HC1214" s="18"/>
      <c r="HD1214" s="18"/>
      <c r="HE1214" s="18"/>
      <c r="HF1214" s="18"/>
      <c r="HG1214" s="18"/>
      <c r="HH1214" s="18"/>
      <c r="HI1214" s="18"/>
      <c r="HJ1214" s="18"/>
      <c r="HK1214" s="18"/>
      <c r="HL1214" s="18"/>
      <c r="HM1214" s="18"/>
      <c r="HN1214" s="18"/>
      <c r="HO1214" s="18"/>
      <c r="HP1214" s="18"/>
      <c r="HQ1214" s="18"/>
      <c r="HR1214" s="18"/>
      <c r="HS1214" s="18"/>
      <c r="HT1214" s="18"/>
      <c r="HU1214" s="18"/>
      <c r="HV1214" s="18"/>
      <c r="HW1214" s="18"/>
      <c r="HX1214" s="18"/>
      <c r="HY1214" s="18"/>
      <c r="HZ1214" s="18"/>
      <c r="IA1214" s="18"/>
      <c r="IB1214" s="18"/>
      <c r="IC1214" s="18"/>
      <c r="ID1214" s="18"/>
      <c r="IE1214" s="18"/>
      <c r="IF1214" s="18"/>
      <c r="IG1214" s="18"/>
      <c r="IH1214" s="18"/>
      <c r="II1214" s="18"/>
      <c r="IJ1214" s="18"/>
      <c r="IK1214" s="18"/>
      <c r="IL1214" s="18"/>
      <c r="IM1214" s="18"/>
      <c r="IN1214" s="18"/>
      <c r="IO1214" s="18"/>
      <c r="IP1214" s="18"/>
      <c r="IQ1214" s="18"/>
      <c r="IR1214" s="18"/>
      <c r="IS1214" s="18"/>
      <c r="IT1214" s="18"/>
      <c r="IU1214" s="18"/>
      <c r="IV1214" s="18"/>
      <c r="IW1214" s="18"/>
      <c r="IX1214" s="18"/>
      <c r="IY1214" s="18"/>
      <c r="IZ1214" s="18"/>
      <c r="JA1214" s="18"/>
      <c r="JB1214" s="18"/>
      <c r="JC1214" s="18"/>
      <c r="JD1214" s="18"/>
      <c r="JE1214" s="18"/>
      <c r="JF1214" s="18"/>
      <c r="JG1214" s="18"/>
      <c r="JH1214" s="18"/>
      <c r="JI1214" s="18"/>
      <c r="JJ1214" s="18"/>
      <c r="JK1214" s="18"/>
      <c r="JL1214" s="18"/>
      <c r="JM1214" s="18"/>
      <c r="JN1214" s="18"/>
      <c r="JO1214" s="18"/>
      <c r="JP1214" s="18"/>
      <c r="JQ1214" s="18"/>
      <c r="JR1214" s="18"/>
      <c r="JS1214" s="18"/>
      <c r="JT1214" s="18"/>
      <c r="JU1214" s="18"/>
      <c r="JV1214" s="18"/>
      <c r="JW1214" s="18"/>
      <c r="JX1214" s="18"/>
      <c r="JY1214" s="18"/>
      <c r="JZ1214" s="18"/>
      <c r="KA1214" s="18"/>
      <c r="KB1214" s="18"/>
      <c r="KC1214" s="18"/>
      <c r="KD1214" s="18"/>
      <c r="KE1214" s="18"/>
      <c r="KF1214" s="18"/>
      <c r="KG1214" s="18"/>
      <c r="KH1214" s="18"/>
      <c r="KI1214" s="18"/>
      <c r="KJ1214" s="18"/>
      <c r="KK1214" s="18"/>
      <c r="KL1214" s="18"/>
      <c r="KM1214" s="18"/>
      <c r="KN1214" s="18"/>
      <c r="KO1214" s="18"/>
      <c r="KP1214" s="18"/>
      <c r="KQ1214" s="18"/>
      <c r="KR1214" s="18"/>
      <c r="KS1214" s="18"/>
      <c r="KT1214" s="18"/>
      <c r="KU1214" s="18"/>
      <c r="KV1214" s="18"/>
      <c r="KW1214" s="18"/>
      <c r="KX1214" s="18"/>
      <c r="KY1214" s="18"/>
      <c r="KZ1214" s="18"/>
      <c r="LA1214" s="18"/>
      <c r="LB1214" s="18"/>
      <c r="LC1214" s="18"/>
      <c r="LD1214" s="18"/>
      <c r="LE1214" s="18"/>
      <c r="LF1214" s="18"/>
      <c r="LG1214" s="18"/>
      <c r="LH1214" s="18"/>
      <c r="LI1214" s="18"/>
      <c r="LJ1214" s="18"/>
      <c r="LK1214" s="18"/>
      <c r="LL1214" s="18"/>
      <c r="LM1214" s="18"/>
      <c r="LN1214" s="18"/>
      <c r="LO1214" s="18"/>
      <c r="LP1214" s="18"/>
      <c r="LQ1214" s="18"/>
      <c r="LR1214" s="18"/>
      <c r="LS1214" s="18"/>
      <c r="LT1214" s="18"/>
      <c r="LU1214" s="18"/>
      <c r="LV1214" s="18"/>
      <c r="LW1214" s="18"/>
      <c r="LX1214" s="18"/>
      <c r="LY1214" s="18"/>
      <c r="LZ1214" s="18"/>
      <c r="MA1214" s="18"/>
      <c r="MB1214" s="18"/>
      <c r="MC1214" s="18"/>
      <c r="MD1214" s="18"/>
      <c r="ME1214" s="18"/>
      <c r="MF1214" s="18"/>
      <c r="MG1214" s="18"/>
      <c r="MH1214" s="18"/>
      <c r="MI1214" s="18"/>
      <c r="MJ1214" s="18"/>
      <c r="MK1214" s="18"/>
      <c r="ML1214" s="18"/>
      <c r="MM1214" s="18"/>
      <c r="MN1214" s="18"/>
      <c r="MO1214" s="18"/>
      <c r="MP1214" s="18"/>
      <c r="MQ1214" s="18"/>
      <c r="MR1214" s="18"/>
      <c r="MS1214" s="18"/>
      <c r="MT1214" s="18"/>
      <c r="MU1214" s="18"/>
      <c r="MV1214" s="18"/>
      <c r="MW1214" s="18"/>
      <c r="MX1214" s="18"/>
      <c r="MY1214" s="18"/>
      <c r="MZ1214" s="18"/>
      <c r="NA1214" s="18"/>
      <c r="NB1214" s="18"/>
      <c r="NC1214" s="18"/>
      <c r="ND1214" s="18"/>
      <c r="NE1214" s="18"/>
      <c r="NF1214" s="18"/>
      <c r="NG1214" s="18"/>
      <c r="NH1214" s="18"/>
      <c r="NI1214" s="18"/>
      <c r="NJ1214" s="18"/>
      <c r="NK1214" s="18"/>
      <c r="NL1214" s="18"/>
      <c r="NM1214" s="18"/>
      <c r="NN1214" s="18"/>
      <c r="NO1214" s="18"/>
      <c r="NP1214" s="18"/>
      <c r="NQ1214" s="18"/>
      <c r="NR1214" s="18"/>
      <c r="NS1214" s="18"/>
      <c r="NT1214" s="18"/>
      <c r="NU1214" s="18"/>
      <c r="NV1214" s="18"/>
      <c r="NW1214" s="18"/>
      <c r="NX1214" s="18"/>
      <c r="NY1214" s="18"/>
      <c r="NZ1214" s="18"/>
      <c r="OA1214" s="18"/>
      <c r="OB1214" s="18"/>
      <c r="OC1214" s="18"/>
      <c r="OD1214" s="18"/>
      <c r="OE1214" s="18"/>
      <c r="OF1214" s="18"/>
      <c r="OG1214" s="18"/>
      <c r="OH1214" s="18"/>
      <c r="OI1214" s="18"/>
      <c r="OJ1214" s="18"/>
      <c r="OK1214" s="18"/>
      <c r="OL1214" s="18"/>
      <c r="OM1214" s="18"/>
      <c r="ON1214" s="18"/>
      <c r="OO1214" s="18"/>
      <c r="OP1214" s="18"/>
      <c r="OQ1214" s="18"/>
      <c r="OR1214" s="18"/>
      <c r="OS1214" s="18"/>
      <c r="OT1214" s="18"/>
      <c r="OU1214" s="18"/>
      <c r="OV1214" s="18"/>
      <c r="OW1214" s="18"/>
      <c r="OX1214" s="18"/>
      <c r="OY1214" s="18"/>
      <c r="OZ1214" s="18"/>
      <c r="PA1214" s="18"/>
      <c r="PB1214" s="18"/>
      <c r="PC1214" s="18"/>
      <c r="PD1214" s="18"/>
      <c r="PE1214" s="18"/>
      <c r="PF1214" s="18"/>
      <c r="PG1214" s="18"/>
      <c r="PH1214" s="18"/>
      <c r="PI1214" s="18"/>
      <c r="PJ1214" s="18"/>
      <c r="PK1214" s="18"/>
      <c r="PL1214" s="18"/>
      <c r="PM1214" s="18"/>
      <c r="PN1214" s="18"/>
      <c r="PO1214" s="18"/>
      <c r="PP1214" s="18"/>
      <c r="PQ1214" s="18"/>
      <c r="PR1214" s="18"/>
      <c r="PS1214" s="18"/>
      <c r="PT1214" s="18"/>
      <c r="PU1214" s="18"/>
      <c r="PV1214" s="18"/>
      <c r="PW1214" s="18"/>
      <c r="PX1214" s="18"/>
      <c r="PY1214" s="18"/>
      <c r="PZ1214" s="18"/>
      <c r="QA1214" s="18"/>
      <c r="QB1214" s="18"/>
      <c r="QC1214" s="18"/>
      <c r="QD1214" s="18"/>
      <c r="QE1214" s="18"/>
      <c r="QF1214" s="18"/>
      <c r="QG1214" s="18"/>
      <c r="QH1214" s="18"/>
      <c r="QI1214" s="18"/>
      <c r="QJ1214" s="18"/>
      <c r="QK1214" s="18"/>
      <c r="QL1214" s="18"/>
      <c r="QM1214" s="18"/>
      <c r="QN1214" s="18"/>
      <c r="QO1214" s="18"/>
      <c r="QP1214" s="18"/>
      <c r="QQ1214" s="18"/>
      <c r="QR1214" s="18"/>
      <c r="QS1214" s="18"/>
      <c r="QT1214" s="18"/>
      <c r="QU1214" s="18"/>
      <c r="QV1214" s="18"/>
      <c r="QW1214" s="18"/>
      <c r="QX1214" s="18"/>
      <c r="QY1214" s="18"/>
      <c r="QZ1214" s="18"/>
      <c r="RA1214" s="18"/>
      <c r="RB1214" s="18"/>
      <c r="RC1214" s="18"/>
      <c r="RD1214" s="18"/>
      <c r="RE1214" s="18"/>
      <c r="RF1214" s="18"/>
      <c r="RG1214" s="18"/>
      <c r="RH1214" s="18"/>
      <c r="RI1214" s="18"/>
      <c r="RJ1214" s="18"/>
      <c r="RK1214" s="18"/>
      <c r="RL1214" s="18"/>
      <c r="RM1214" s="18"/>
      <c r="RN1214" s="18"/>
      <c r="RO1214" s="18"/>
      <c r="RP1214" s="18"/>
      <c r="RQ1214" s="18"/>
      <c r="RR1214" s="18"/>
      <c r="RS1214" s="18"/>
      <c r="RT1214" s="18"/>
      <c r="RU1214" s="18"/>
      <c r="RV1214" s="18"/>
      <c r="RW1214" s="18"/>
      <c r="RX1214" s="18"/>
      <c r="RY1214" s="18"/>
      <c r="RZ1214" s="18"/>
      <c r="SA1214" s="18"/>
      <c r="SB1214" s="18"/>
      <c r="SC1214" s="18"/>
      <c r="SD1214" s="18"/>
      <c r="SE1214" s="18"/>
      <c r="SF1214" s="18"/>
      <c r="SG1214" s="18"/>
      <c r="SH1214" s="18"/>
      <c r="SI1214" s="18"/>
      <c r="SJ1214" s="18"/>
      <c r="SK1214" s="18"/>
      <c r="SL1214" s="18"/>
      <c r="SM1214" s="18"/>
      <c r="SN1214" s="18"/>
      <c r="SO1214" s="18"/>
      <c r="SP1214" s="18"/>
      <c r="SQ1214" s="18"/>
      <c r="SR1214" s="18"/>
      <c r="SS1214" s="18"/>
      <c r="ST1214" s="18"/>
      <c r="SU1214" s="18"/>
      <c r="SV1214" s="18"/>
      <c r="SW1214" s="18"/>
      <c r="SX1214" s="18"/>
      <c r="SY1214" s="18"/>
      <c r="SZ1214" s="18"/>
      <c r="TA1214" s="18"/>
      <c r="TB1214" s="18"/>
      <c r="TC1214" s="18"/>
      <c r="TD1214" s="18"/>
      <c r="TE1214" s="18"/>
      <c r="TF1214" s="18"/>
      <c r="TG1214" s="18"/>
      <c r="TH1214" s="18"/>
      <c r="TI1214" s="18"/>
      <c r="TJ1214" s="18"/>
      <c r="TK1214" s="18"/>
      <c r="TL1214" s="18"/>
      <c r="TM1214" s="18"/>
      <c r="TN1214" s="18"/>
      <c r="TO1214" s="18"/>
      <c r="TP1214" s="18"/>
      <c r="TQ1214" s="18"/>
      <c r="TR1214" s="18"/>
      <c r="TS1214" s="18"/>
      <c r="TT1214" s="18"/>
      <c r="TU1214" s="18"/>
      <c r="TV1214" s="18"/>
      <c r="TW1214" s="18"/>
      <c r="TX1214" s="18"/>
      <c r="TY1214" s="18"/>
      <c r="TZ1214" s="18"/>
      <c r="UA1214" s="18"/>
      <c r="UB1214" s="18"/>
      <c r="UC1214" s="18"/>
      <c r="UD1214" s="18"/>
      <c r="UE1214" s="18"/>
      <c r="UF1214" s="18"/>
      <c r="UG1214" s="19"/>
    </row>
    <row r="1215" spans="1:553" ht="30.75" customHeight="1">
      <c r="A1215" s="356"/>
      <c r="B1215" s="356"/>
      <c r="C1215" s="548" t="s">
        <v>672</v>
      </c>
      <c r="D1215" s="400"/>
      <c r="E1215" s="360"/>
      <c r="F1215" s="737"/>
      <c r="G1215" s="366"/>
      <c r="H1215" s="370"/>
      <c r="I1215" s="359"/>
      <c r="J1215" s="368"/>
      <c r="K1215" s="371"/>
      <c r="L1215" s="356"/>
      <c r="M1215" s="356"/>
      <c r="N1215" s="356"/>
      <c r="O1215" s="356"/>
      <c r="P1215" s="356"/>
      <c r="Q1215" s="610"/>
      <c r="R1215" s="1226"/>
      <c r="S1215" s="308"/>
      <c r="T1215" s="308"/>
      <c r="U1215" s="308"/>
      <c r="V1215" s="308"/>
      <c r="W1215" s="308"/>
      <c r="X1215" s="308"/>
      <c r="Y1215" s="308"/>
      <c r="Z1215" s="604"/>
      <c r="AA1215" s="308"/>
      <c r="AB1215" s="308"/>
      <c r="AC1215" s="373"/>
      <c r="AD1215" s="373"/>
      <c r="AE1215" s="373"/>
      <c r="AF1215" s="373"/>
      <c r="AG1215" s="373"/>
      <c r="AH1215" s="373"/>
      <c r="AI1215" s="373"/>
      <c r="AJ1215" s="373"/>
      <c r="AK1215" s="389"/>
      <c r="AL1215" s="100"/>
      <c r="AM1215" s="27"/>
      <c r="AN1215" s="27"/>
      <c r="AO1215" s="27"/>
      <c r="AP1215" s="27"/>
      <c r="AQ1215" s="27"/>
      <c r="AR1215" s="27"/>
      <c r="AS1215" s="22"/>
      <c r="AT1215" s="22"/>
      <c r="AU1215" s="22"/>
      <c r="AV1215" s="22"/>
      <c r="AW1215" s="22"/>
      <c r="AX1215" s="22"/>
      <c r="AY1215" s="22"/>
      <c r="AZ1215" s="22"/>
      <c r="BA1215" s="22"/>
      <c r="BB1215" s="22"/>
      <c r="BC1215" s="22"/>
      <c r="BD1215" s="22"/>
      <c r="BE1215" s="22"/>
      <c r="BF1215" s="22"/>
      <c r="BG1215" s="22"/>
      <c r="BH1215" s="22"/>
      <c r="BI1215" s="22"/>
      <c r="BJ1215" s="22"/>
      <c r="BK1215" s="22"/>
      <c r="BL1215" s="22"/>
      <c r="BM1215" s="22"/>
      <c r="BN1215" s="22"/>
      <c r="BO1215" s="22"/>
      <c r="BP1215" s="22"/>
      <c r="BQ1215" s="22"/>
      <c r="BR1215" s="22"/>
      <c r="BS1215" s="22"/>
      <c r="BT1215" s="22"/>
      <c r="BU1215" s="22"/>
      <c r="BV1215" s="22"/>
      <c r="BW1215" s="22"/>
      <c r="BX1215" s="22"/>
      <c r="BY1215" s="22"/>
      <c r="BZ1215" s="22"/>
      <c r="CA1215" s="22"/>
      <c r="CB1215" s="22"/>
      <c r="CC1215" s="22"/>
      <c r="CD1215" s="22"/>
      <c r="CE1215" s="22"/>
      <c r="CF1215" s="22"/>
      <c r="CG1215" s="22"/>
      <c r="CH1215" s="22"/>
      <c r="CI1215" s="22"/>
      <c r="CJ1215" s="22"/>
      <c r="CK1215" s="22"/>
      <c r="CL1215" s="22"/>
      <c r="CM1215" s="22"/>
      <c r="CN1215" s="22"/>
      <c r="CO1215" s="22"/>
      <c r="CP1215" s="22"/>
      <c r="CQ1215" s="22"/>
      <c r="CR1215" s="22"/>
      <c r="CS1215" s="22"/>
      <c r="CT1215" s="22"/>
      <c r="CU1215" s="22"/>
      <c r="CV1215" s="22"/>
      <c r="CW1215" s="22"/>
      <c r="CX1215" s="22"/>
      <c r="CY1215" s="22"/>
      <c r="CZ1215" s="22"/>
      <c r="DA1215" s="22"/>
      <c r="DB1215" s="22"/>
      <c r="DC1215" s="22"/>
      <c r="DD1215" s="22"/>
      <c r="DE1215" s="22"/>
      <c r="DF1215" s="22"/>
      <c r="DG1215" s="22"/>
      <c r="DH1215" s="22"/>
      <c r="DI1215" s="22"/>
      <c r="DJ1215" s="22"/>
      <c r="DK1215" s="22"/>
      <c r="DL1215" s="22"/>
      <c r="DM1215" s="22"/>
      <c r="DN1215" s="22"/>
      <c r="DO1215" s="22"/>
      <c r="DP1215" s="22"/>
      <c r="DQ1215" s="22"/>
      <c r="DR1215" s="22"/>
      <c r="DS1215" s="22"/>
      <c r="DT1215" s="22"/>
      <c r="DU1215" s="22"/>
      <c r="DV1215" s="22"/>
      <c r="DW1215" s="22"/>
      <c r="DX1215" s="22"/>
      <c r="DY1215" s="22"/>
      <c r="DZ1215" s="22"/>
      <c r="EA1215" s="22"/>
      <c r="EB1215" s="22"/>
      <c r="EC1215" s="22"/>
      <c r="ED1215" s="22"/>
      <c r="EE1215" s="22"/>
      <c r="EF1215" s="22"/>
      <c r="EG1215" s="22"/>
      <c r="EH1215" s="22"/>
      <c r="EI1215" s="22"/>
      <c r="EJ1215" s="22"/>
      <c r="EK1215" s="22"/>
      <c r="EL1215" s="22"/>
      <c r="EM1215" s="22"/>
      <c r="EN1215" s="22"/>
      <c r="EO1215" s="22"/>
      <c r="EP1215" s="22"/>
      <c r="EQ1215" s="22"/>
      <c r="ER1215" s="22"/>
      <c r="ES1215" s="22"/>
      <c r="ET1215" s="22"/>
      <c r="EU1215" s="22"/>
      <c r="EV1215" s="22"/>
      <c r="EW1215" s="22"/>
      <c r="EX1215" s="22"/>
      <c r="EY1215" s="22"/>
      <c r="EZ1215" s="22"/>
      <c r="FA1215" s="22"/>
      <c r="FB1215" s="22"/>
      <c r="FC1215" s="22"/>
      <c r="FD1215" s="22"/>
      <c r="FE1215" s="22"/>
      <c r="FF1215" s="22"/>
      <c r="FG1215" s="22"/>
      <c r="FH1215" s="22"/>
      <c r="FI1215" s="22"/>
      <c r="FJ1215" s="22"/>
      <c r="FK1215" s="22"/>
      <c r="FL1215" s="22"/>
      <c r="FM1215" s="22"/>
      <c r="FN1215" s="22"/>
      <c r="FO1215" s="22"/>
      <c r="FP1215" s="22"/>
      <c r="FQ1215" s="22"/>
      <c r="FR1215" s="22"/>
      <c r="FS1215" s="22"/>
      <c r="FT1215" s="22"/>
      <c r="FU1215" s="22"/>
      <c r="FV1215" s="22"/>
      <c r="FW1215" s="22"/>
      <c r="FX1215" s="22"/>
      <c r="FY1215" s="22"/>
      <c r="FZ1215" s="22"/>
      <c r="GA1215" s="22"/>
      <c r="GB1215" s="22"/>
      <c r="GC1215" s="22"/>
      <c r="GD1215" s="22"/>
      <c r="GE1215" s="22"/>
      <c r="GF1215" s="22"/>
      <c r="GG1215" s="22"/>
      <c r="GH1215" s="22"/>
      <c r="GI1215" s="22"/>
      <c r="GJ1215" s="22"/>
      <c r="GK1215" s="22"/>
      <c r="GL1215" s="22"/>
      <c r="GM1215" s="22"/>
      <c r="GN1215" s="22"/>
      <c r="GO1215" s="22"/>
      <c r="GP1215" s="22"/>
      <c r="GQ1215" s="22"/>
      <c r="GR1215" s="22"/>
      <c r="GS1215" s="22"/>
      <c r="GT1215" s="22"/>
      <c r="GU1215" s="22"/>
      <c r="GV1215" s="22"/>
      <c r="GW1215" s="22"/>
      <c r="GX1215" s="22"/>
      <c r="GY1215" s="22"/>
      <c r="GZ1215" s="22"/>
      <c r="HA1215" s="22"/>
      <c r="HB1215" s="22"/>
      <c r="HC1215" s="22"/>
      <c r="HD1215" s="22"/>
      <c r="HE1215" s="22"/>
      <c r="HF1215" s="22"/>
      <c r="HG1215" s="22"/>
      <c r="HH1215" s="22"/>
      <c r="HI1215" s="22"/>
      <c r="HJ1215" s="22"/>
      <c r="HK1215" s="22"/>
      <c r="HL1215" s="22"/>
      <c r="HM1215" s="22"/>
      <c r="HN1215" s="22"/>
      <c r="HO1215" s="22"/>
      <c r="HP1215" s="22"/>
      <c r="HQ1215" s="22"/>
      <c r="HR1215" s="22"/>
      <c r="HS1215" s="22"/>
      <c r="HT1215" s="22"/>
      <c r="HU1215" s="22"/>
      <c r="HV1215" s="22"/>
      <c r="HW1215" s="22"/>
      <c r="HX1215" s="22"/>
      <c r="HY1215" s="22"/>
      <c r="HZ1215" s="22"/>
      <c r="IA1215" s="22"/>
      <c r="IB1215" s="22"/>
      <c r="IC1215" s="22"/>
      <c r="ID1215" s="22"/>
      <c r="IE1215" s="22"/>
      <c r="IF1215" s="22"/>
      <c r="IG1215" s="22"/>
      <c r="IH1215" s="22"/>
      <c r="II1215" s="22"/>
      <c r="IJ1215" s="22"/>
      <c r="IK1215" s="22"/>
      <c r="IL1215" s="22"/>
      <c r="IM1215" s="22"/>
      <c r="IN1215" s="22"/>
      <c r="IO1215" s="22"/>
      <c r="IP1215" s="22"/>
      <c r="IQ1215" s="22"/>
      <c r="IR1215" s="22"/>
      <c r="IS1215" s="22"/>
      <c r="IT1215" s="22"/>
      <c r="IU1215" s="22"/>
      <c r="IV1215" s="22"/>
      <c r="IW1215" s="22"/>
      <c r="IX1215" s="22"/>
      <c r="IY1215" s="22"/>
      <c r="IZ1215" s="22"/>
      <c r="JA1215" s="22"/>
      <c r="JB1215" s="22"/>
      <c r="JC1215" s="22"/>
      <c r="JD1215" s="22"/>
      <c r="JE1215" s="22"/>
      <c r="JF1215" s="22"/>
      <c r="JG1215" s="22"/>
      <c r="JH1215" s="22"/>
      <c r="JI1215" s="22"/>
      <c r="JJ1215" s="22"/>
      <c r="JK1215" s="22"/>
      <c r="JL1215" s="22"/>
      <c r="JM1215" s="22"/>
      <c r="JN1215" s="22"/>
      <c r="JO1215" s="22"/>
      <c r="JP1215" s="22"/>
      <c r="JQ1215" s="22"/>
      <c r="JR1215" s="22"/>
      <c r="JS1215" s="22"/>
      <c r="JT1215" s="22"/>
      <c r="JU1215" s="22"/>
      <c r="JV1215" s="22"/>
      <c r="JW1215" s="22"/>
      <c r="JX1215" s="22"/>
      <c r="JY1215" s="22"/>
      <c r="JZ1215" s="22"/>
      <c r="KA1215" s="22"/>
      <c r="KB1215" s="22"/>
      <c r="KC1215" s="22"/>
      <c r="KD1215" s="22"/>
      <c r="KE1215" s="22"/>
      <c r="KF1215" s="22"/>
      <c r="KG1215" s="22"/>
      <c r="KH1215" s="22"/>
      <c r="KI1215" s="22"/>
      <c r="KJ1215" s="22"/>
      <c r="KK1215" s="22"/>
      <c r="KL1215" s="22"/>
      <c r="KM1215" s="22"/>
      <c r="KN1215" s="22"/>
      <c r="KO1215" s="22"/>
      <c r="KP1215" s="22"/>
      <c r="KQ1215" s="22"/>
      <c r="KR1215" s="22"/>
      <c r="KS1215" s="22"/>
      <c r="KT1215" s="22"/>
      <c r="KU1215" s="22"/>
      <c r="KV1215" s="22"/>
      <c r="KW1215" s="22"/>
      <c r="KX1215" s="22"/>
      <c r="KY1215" s="22"/>
      <c r="KZ1215" s="22"/>
      <c r="LA1215" s="22"/>
      <c r="LB1215" s="22"/>
      <c r="LC1215" s="22"/>
      <c r="LD1215" s="22"/>
      <c r="LE1215" s="22"/>
      <c r="LF1215" s="22"/>
      <c r="LG1215" s="22"/>
      <c r="LH1215" s="22"/>
      <c r="LI1215" s="22"/>
      <c r="LJ1215" s="22"/>
      <c r="LK1215" s="22"/>
      <c r="LL1215" s="22"/>
      <c r="LM1215" s="22"/>
      <c r="LN1215" s="22"/>
      <c r="LO1215" s="22"/>
      <c r="LP1215" s="22"/>
      <c r="LQ1215" s="22"/>
      <c r="LR1215" s="22"/>
      <c r="LS1215" s="22"/>
      <c r="LT1215" s="22"/>
      <c r="LU1215" s="22"/>
      <c r="LV1215" s="22"/>
      <c r="LW1215" s="22"/>
      <c r="LX1215" s="22"/>
      <c r="LY1215" s="22"/>
      <c r="LZ1215" s="22"/>
      <c r="MA1215" s="22"/>
      <c r="MB1215" s="22"/>
      <c r="MC1215" s="22"/>
      <c r="MD1215" s="22"/>
      <c r="ME1215" s="22"/>
      <c r="MF1215" s="22"/>
      <c r="MG1215" s="22"/>
      <c r="MH1215" s="22"/>
      <c r="MI1215" s="22"/>
      <c r="MJ1215" s="22"/>
      <c r="MK1215" s="22"/>
      <c r="ML1215" s="22"/>
      <c r="MM1215" s="22"/>
      <c r="MN1215" s="22"/>
      <c r="MO1215" s="22"/>
      <c r="MP1215" s="22"/>
      <c r="MQ1215" s="22"/>
      <c r="MR1215" s="22"/>
      <c r="MS1215" s="22"/>
      <c r="MT1215" s="22"/>
      <c r="MU1215" s="22"/>
      <c r="MV1215" s="22"/>
      <c r="MW1215" s="22"/>
      <c r="MX1215" s="22"/>
      <c r="MY1215" s="22"/>
      <c r="MZ1215" s="22"/>
      <c r="NA1215" s="22"/>
      <c r="NB1215" s="22"/>
      <c r="NC1215" s="22"/>
      <c r="ND1215" s="22"/>
      <c r="NE1215" s="22"/>
      <c r="NF1215" s="22"/>
      <c r="NG1215" s="22"/>
      <c r="NH1215" s="22"/>
      <c r="NI1215" s="22"/>
      <c r="NJ1215" s="22"/>
      <c r="NK1215" s="22"/>
      <c r="NL1215" s="22"/>
      <c r="NM1215" s="22"/>
      <c r="NN1215" s="22"/>
      <c r="NO1215" s="22"/>
      <c r="NP1215" s="22"/>
      <c r="NQ1215" s="22"/>
      <c r="NR1215" s="22"/>
      <c r="NS1215" s="22"/>
      <c r="NT1215" s="22"/>
      <c r="NU1215" s="22"/>
      <c r="NV1215" s="22"/>
      <c r="NW1215" s="22"/>
      <c r="NX1215" s="22"/>
      <c r="NY1215" s="22"/>
      <c r="NZ1215" s="22"/>
      <c r="OA1215" s="22"/>
      <c r="OB1215" s="22"/>
      <c r="OC1215" s="22"/>
      <c r="OD1215" s="22"/>
      <c r="OE1215" s="22"/>
      <c r="OF1215" s="22"/>
      <c r="OG1215" s="22"/>
      <c r="OH1215" s="22"/>
      <c r="OI1215" s="22"/>
      <c r="OJ1215" s="22"/>
      <c r="OK1215" s="22"/>
      <c r="OL1215" s="22"/>
      <c r="OM1215" s="22"/>
      <c r="ON1215" s="22"/>
      <c r="OO1215" s="22"/>
      <c r="OP1215" s="22"/>
      <c r="OQ1215" s="22"/>
      <c r="OR1215" s="22"/>
      <c r="OS1215" s="22"/>
      <c r="OT1215" s="22"/>
      <c r="OU1215" s="22"/>
      <c r="OV1215" s="22"/>
      <c r="OW1215" s="22"/>
      <c r="OX1215" s="22"/>
      <c r="OY1215" s="22"/>
      <c r="OZ1215" s="22"/>
      <c r="PA1215" s="22"/>
      <c r="PB1215" s="22"/>
      <c r="PC1215" s="22"/>
      <c r="PD1215" s="22"/>
      <c r="PE1215" s="22"/>
      <c r="PF1215" s="22"/>
      <c r="PG1215" s="22"/>
      <c r="PH1215" s="22"/>
      <c r="PI1215" s="22"/>
      <c r="PJ1215" s="22"/>
      <c r="PK1215" s="22"/>
      <c r="PL1215" s="22"/>
      <c r="PM1215" s="22"/>
      <c r="PN1215" s="22"/>
      <c r="PO1215" s="22"/>
      <c r="PP1215" s="22"/>
      <c r="PQ1215" s="22"/>
      <c r="PR1215" s="22"/>
      <c r="PS1215" s="22"/>
      <c r="PT1215" s="22"/>
      <c r="PU1215" s="22"/>
      <c r="PV1215" s="22"/>
      <c r="PW1215" s="22"/>
      <c r="PX1215" s="22"/>
      <c r="PY1215" s="22"/>
      <c r="PZ1215" s="22"/>
      <c r="QA1215" s="22"/>
      <c r="QB1215" s="22"/>
      <c r="QC1215" s="22"/>
      <c r="QD1215" s="22"/>
      <c r="QE1215" s="22"/>
      <c r="QF1215" s="22"/>
      <c r="QG1215" s="22"/>
      <c r="QH1215" s="22"/>
      <c r="QI1215" s="22"/>
      <c r="QJ1215" s="22"/>
      <c r="QK1215" s="22"/>
      <c r="QL1215" s="22"/>
      <c r="QM1215" s="22"/>
      <c r="QN1215" s="22"/>
      <c r="QO1215" s="22"/>
      <c r="QP1215" s="22"/>
      <c r="QQ1215" s="22"/>
      <c r="QR1215" s="22"/>
      <c r="QS1215" s="22"/>
      <c r="QT1215" s="22"/>
      <c r="QU1215" s="22"/>
      <c r="QV1215" s="22"/>
      <c r="QW1215" s="22"/>
      <c r="QX1215" s="22"/>
      <c r="QY1215" s="22"/>
      <c r="QZ1215" s="22"/>
      <c r="RA1215" s="22"/>
      <c r="RB1215" s="22"/>
      <c r="RC1215" s="22"/>
      <c r="RD1215" s="22"/>
      <c r="RE1215" s="22"/>
      <c r="RF1215" s="22"/>
      <c r="RG1215" s="22"/>
      <c r="RH1215" s="22"/>
      <c r="RI1215" s="22"/>
      <c r="RJ1215" s="22"/>
      <c r="RK1215" s="22"/>
      <c r="RL1215" s="22"/>
      <c r="RM1215" s="22"/>
      <c r="RN1215" s="22"/>
      <c r="RO1215" s="22"/>
      <c r="RP1215" s="22"/>
      <c r="RQ1215" s="22"/>
      <c r="RR1215" s="22"/>
      <c r="RS1215" s="22"/>
      <c r="RT1215" s="22"/>
      <c r="RU1215" s="22"/>
      <c r="RV1215" s="22"/>
      <c r="RW1215" s="22"/>
      <c r="RX1215" s="22"/>
      <c r="RY1215" s="22"/>
      <c r="RZ1215" s="22"/>
      <c r="SA1215" s="22"/>
      <c r="SB1215" s="22"/>
      <c r="SC1215" s="22"/>
      <c r="SD1215" s="22"/>
      <c r="SE1215" s="22"/>
      <c r="SF1215" s="22"/>
      <c r="SG1215" s="22"/>
      <c r="SH1215" s="22"/>
      <c r="SI1215" s="22"/>
      <c r="SJ1215" s="22"/>
      <c r="SK1215" s="22"/>
      <c r="SL1215" s="22"/>
      <c r="SM1215" s="22"/>
      <c r="SN1215" s="22"/>
      <c r="SO1215" s="22"/>
      <c r="SP1215" s="22"/>
      <c r="SQ1215" s="22"/>
      <c r="SR1215" s="22"/>
      <c r="SS1215" s="22"/>
      <c r="ST1215" s="22"/>
      <c r="SU1215" s="22"/>
      <c r="SV1215" s="22"/>
      <c r="SW1215" s="22"/>
      <c r="SX1215" s="22"/>
      <c r="SY1215" s="22"/>
      <c r="SZ1215" s="22"/>
      <c r="TA1215" s="22"/>
      <c r="TB1215" s="22"/>
      <c r="TC1215" s="22"/>
      <c r="TD1215" s="22"/>
      <c r="TE1215" s="22"/>
      <c r="TF1215" s="22"/>
      <c r="TG1215" s="22"/>
      <c r="TH1215" s="22"/>
      <c r="TI1215" s="22"/>
      <c r="TJ1215" s="22"/>
      <c r="TK1215" s="22"/>
      <c r="TL1215" s="22"/>
      <c r="TM1215" s="22"/>
      <c r="TN1215" s="22"/>
      <c r="TO1215" s="22"/>
      <c r="TP1215" s="22"/>
      <c r="TQ1215" s="22"/>
      <c r="TR1215" s="22"/>
      <c r="TS1215" s="22"/>
      <c r="TT1215" s="22"/>
      <c r="TU1215" s="22"/>
      <c r="TV1215" s="22"/>
      <c r="TW1215" s="22"/>
      <c r="TX1215" s="22"/>
      <c r="TY1215" s="22"/>
      <c r="TZ1215" s="22"/>
      <c r="UA1215" s="22"/>
      <c r="UB1215" s="22"/>
      <c r="UC1215" s="22"/>
      <c r="UD1215" s="22"/>
      <c r="UE1215" s="22"/>
      <c r="UF1215" s="22"/>
      <c r="UG1215" s="23"/>
    </row>
    <row r="1216" spans="1:553" ht="108.65" customHeight="1">
      <c r="A1216" s="356"/>
      <c r="B1216" s="366" t="s">
        <v>673</v>
      </c>
      <c r="C1216" s="1535" t="s">
        <v>1030</v>
      </c>
      <c r="D1216" s="1389"/>
      <c r="E1216" s="1389"/>
      <c r="F1216" s="1390"/>
      <c r="G1216" s="366" t="s">
        <v>33</v>
      </c>
      <c r="H1216" s="370"/>
      <c r="I1216" s="370">
        <f t="shared" ref="I1216:I1217" si="182">(10.9*5)+(7*1.9)</f>
        <v>67.8</v>
      </c>
      <c r="J1216" s="368">
        <v>4300000</v>
      </c>
      <c r="K1216" s="371"/>
      <c r="L1216" s="480">
        <f t="shared" ref="L1216:L1228" si="183">I1216*J1216</f>
        <v>291540000</v>
      </c>
      <c r="M1216" s="356"/>
      <c r="N1216" s="356"/>
      <c r="O1216" s="356"/>
      <c r="P1216" s="356"/>
      <c r="Q1216" s="610"/>
      <c r="R1216" s="1226"/>
      <c r="S1216" s="308"/>
      <c r="T1216" s="308"/>
      <c r="U1216" s="308"/>
      <c r="V1216" s="308"/>
      <c r="W1216" s="308"/>
      <c r="X1216" s="308"/>
      <c r="Y1216" s="308"/>
      <c r="Z1216" s="604"/>
      <c r="AA1216" s="308"/>
      <c r="AB1216" s="308"/>
      <c r="AC1216" s="373"/>
      <c r="AD1216" s="373"/>
      <c r="AE1216" s="373"/>
      <c r="AF1216" s="373"/>
      <c r="AG1216" s="373"/>
      <c r="AH1216" s="373"/>
      <c r="AI1216" s="373"/>
      <c r="AJ1216" s="373"/>
      <c r="AK1216" s="389"/>
      <c r="AL1216" s="100"/>
      <c r="AM1216" s="27"/>
      <c r="AN1216" s="27"/>
      <c r="AO1216" s="27"/>
      <c r="AP1216" s="27"/>
      <c r="AQ1216" s="27"/>
      <c r="AR1216" s="27"/>
      <c r="AS1216" s="22"/>
      <c r="AT1216" s="22"/>
      <c r="AU1216" s="22"/>
      <c r="AV1216" s="22"/>
      <c r="AW1216" s="22"/>
      <c r="AX1216" s="22"/>
      <c r="AY1216" s="22"/>
      <c r="AZ1216" s="22"/>
      <c r="BA1216" s="22"/>
      <c r="BB1216" s="22"/>
      <c r="BC1216" s="22"/>
      <c r="BD1216" s="22"/>
      <c r="BE1216" s="22"/>
      <c r="BF1216" s="22"/>
      <c r="BG1216" s="22"/>
      <c r="BH1216" s="22"/>
      <c r="BI1216" s="22"/>
      <c r="BJ1216" s="22"/>
      <c r="BK1216" s="22"/>
      <c r="BL1216" s="22"/>
      <c r="BM1216" s="22"/>
      <c r="BN1216" s="22"/>
      <c r="BO1216" s="22"/>
      <c r="BP1216" s="22"/>
      <c r="BQ1216" s="22"/>
      <c r="BR1216" s="22"/>
      <c r="BS1216" s="22"/>
      <c r="BT1216" s="22"/>
      <c r="BU1216" s="22"/>
      <c r="BV1216" s="22"/>
      <c r="BW1216" s="22"/>
      <c r="BX1216" s="22"/>
      <c r="BY1216" s="22"/>
      <c r="BZ1216" s="22"/>
      <c r="CA1216" s="22"/>
      <c r="CB1216" s="22"/>
      <c r="CC1216" s="22"/>
      <c r="CD1216" s="22"/>
      <c r="CE1216" s="22"/>
      <c r="CF1216" s="22"/>
      <c r="CG1216" s="22"/>
      <c r="CH1216" s="22"/>
      <c r="CI1216" s="22"/>
      <c r="CJ1216" s="22"/>
      <c r="CK1216" s="22"/>
      <c r="CL1216" s="22"/>
      <c r="CM1216" s="22"/>
      <c r="CN1216" s="22"/>
      <c r="CO1216" s="22"/>
      <c r="CP1216" s="22"/>
      <c r="CQ1216" s="22"/>
      <c r="CR1216" s="22"/>
      <c r="CS1216" s="22"/>
      <c r="CT1216" s="22"/>
      <c r="CU1216" s="22"/>
      <c r="CV1216" s="22"/>
      <c r="CW1216" s="22"/>
      <c r="CX1216" s="22"/>
      <c r="CY1216" s="22"/>
      <c r="CZ1216" s="22"/>
      <c r="DA1216" s="22"/>
      <c r="DB1216" s="22"/>
      <c r="DC1216" s="22"/>
      <c r="DD1216" s="22"/>
      <c r="DE1216" s="22"/>
      <c r="DF1216" s="22"/>
      <c r="DG1216" s="22"/>
      <c r="DH1216" s="22"/>
      <c r="DI1216" s="22"/>
      <c r="DJ1216" s="22"/>
      <c r="DK1216" s="22"/>
      <c r="DL1216" s="22"/>
      <c r="DM1216" s="22"/>
      <c r="DN1216" s="22"/>
      <c r="DO1216" s="22"/>
      <c r="DP1216" s="22"/>
      <c r="DQ1216" s="22"/>
      <c r="DR1216" s="22"/>
      <c r="DS1216" s="22"/>
      <c r="DT1216" s="22"/>
      <c r="DU1216" s="22"/>
      <c r="DV1216" s="22"/>
      <c r="DW1216" s="22"/>
      <c r="DX1216" s="22"/>
      <c r="DY1216" s="22"/>
      <c r="DZ1216" s="22"/>
      <c r="EA1216" s="22"/>
      <c r="EB1216" s="22"/>
      <c r="EC1216" s="22"/>
      <c r="ED1216" s="22"/>
      <c r="EE1216" s="22"/>
      <c r="EF1216" s="22"/>
      <c r="EG1216" s="22"/>
      <c r="EH1216" s="22"/>
      <c r="EI1216" s="22"/>
      <c r="EJ1216" s="22"/>
      <c r="EK1216" s="22"/>
      <c r="EL1216" s="22"/>
      <c r="EM1216" s="22"/>
      <c r="EN1216" s="22"/>
      <c r="EO1216" s="22"/>
      <c r="EP1216" s="22"/>
      <c r="EQ1216" s="22"/>
      <c r="ER1216" s="22"/>
      <c r="ES1216" s="22"/>
      <c r="ET1216" s="22"/>
      <c r="EU1216" s="22"/>
      <c r="EV1216" s="22"/>
      <c r="EW1216" s="22"/>
      <c r="EX1216" s="22"/>
      <c r="EY1216" s="22"/>
      <c r="EZ1216" s="22"/>
      <c r="FA1216" s="22"/>
      <c r="FB1216" s="22"/>
      <c r="FC1216" s="22"/>
      <c r="FD1216" s="22"/>
      <c r="FE1216" s="22"/>
      <c r="FF1216" s="22"/>
      <c r="FG1216" s="22"/>
      <c r="FH1216" s="22"/>
      <c r="FI1216" s="22"/>
      <c r="FJ1216" s="22"/>
      <c r="FK1216" s="22"/>
      <c r="FL1216" s="22"/>
      <c r="FM1216" s="22"/>
      <c r="FN1216" s="22"/>
      <c r="FO1216" s="22"/>
      <c r="FP1216" s="22"/>
      <c r="FQ1216" s="22"/>
      <c r="FR1216" s="22"/>
      <c r="FS1216" s="22"/>
      <c r="FT1216" s="22"/>
      <c r="FU1216" s="22"/>
      <c r="FV1216" s="22"/>
      <c r="FW1216" s="22"/>
      <c r="FX1216" s="22"/>
      <c r="FY1216" s="22"/>
      <c r="FZ1216" s="22"/>
      <c r="GA1216" s="22"/>
      <c r="GB1216" s="22"/>
      <c r="GC1216" s="22"/>
      <c r="GD1216" s="22"/>
      <c r="GE1216" s="22"/>
      <c r="GF1216" s="22"/>
      <c r="GG1216" s="22"/>
      <c r="GH1216" s="22"/>
      <c r="GI1216" s="22"/>
      <c r="GJ1216" s="22"/>
      <c r="GK1216" s="22"/>
      <c r="GL1216" s="22"/>
      <c r="GM1216" s="22"/>
      <c r="GN1216" s="22"/>
      <c r="GO1216" s="22"/>
      <c r="GP1216" s="22"/>
      <c r="GQ1216" s="22"/>
      <c r="GR1216" s="22"/>
      <c r="GS1216" s="22"/>
      <c r="GT1216" s="22"/>
      <c r="GU1216" s="22"/>
      <c r="GV1216" s="22"/>
      <c r="GW1216" s="22"/>
      <c r="GX1216" s="22"/>
      <c r="GY1216" s="22"/>
      <c r="GZ1216" s="22"/>
      <c r="HA1216" s="22"/>
      <c r="HB1216" s="22"/>
      <c r="HC1216" s="22"/>
      <c r="HD1216" s="22"/>
      <c r="HE1216" s="22"/>
      <c r="HF1216" s="22"/>
      <c r="HG1216" s="22"/>
      <c r="HH1216" s="22"/>
      <c r="HI1216" s="22"/>
      <c r="HJ1216" s="22"/>
      <c r="HK1216" s="22"/>
      <c r="HL1216" s="22"/>
      <c r="HM1216" s="22"/>
      <c r="HN1216" s="22"/>
      <c r="HO1216" s="22"/>
      <c r="HP1216" s="22"/>
      <c r="HQ1216" s="22"/>
      <c r="HR1216" s="22"/>
      <c r="HS1216" s="22"/>
      <c r="HT1216" s="22"/>
      <c r="HU1216" s="22"/>
      <c r="HV1216" s="22"/>
      <c r="HW1216" s="22"/>
      <c r="HX1216" s="22"/>
      <c r="HY1216" s="22"/>
      <c r="HZ1216" s="22"/>
      <c r="IA1216" s="22"/>
      <c r="IB1216" s="22"/>
      <c r="IC1216" s="22"/>
      <c r="ID1216" s="22"/>
      <c r="IE1216" s="22"/>
      <c r="IF1216" s="22"/>
      <c r="IG1216" s="22"/>
      <c r="IH1216" s="22"/>
      <c r="II1216" s="22"/>
      <c r="IJ1216" s="22"/>
      <c r="IK1216" s="22"/>
      <c r="IL1216" s="22"/>
      <c r="IM1216" s="22"/>
      <c r="IN1216" s="22"/>
      <c r="IO1216" s="22"/>
      <c r="IP1216" s="22"/>
      <c r="IQ1216" s="22"/>
      <c r="IR1216" s="22"/>
      <c r="IS1216" s="22"/>
      <c r="IT1216" s="22"/>
      <c r="IU1216" s="22"/>
      <c r="IV1216" s="22"/>
      <c r="IW1216" s="22"/>
      <c r="IX1216" s="22"/>
      <c r="IY1216" s="22"/>
      <c r="IZ1216" s="22"/>
      <c r="JA1216" s="22"/>
      <c r="JB1216" s="22"/>
      <c r="JC1216" s="22"/>
      <c r="JD1216" s="22"/>
      <c r="JE1216" s="22"/>
      <c r="JF1216" s="22"/>
      <c r="JG1216" s="22"/>
      <c r="JH1216" s="22"/>
      <c r="JI1216" s="22"/>
      <c r="JJ1216" s="22"/>
      <c r="JK1216" s="22"/>
      <c r="JL1216" s="22"/>
      <c r="JM1216" s="22"/>
      <c r="JN1216" s="22"/>
      <c r="JO1216" s="22"/>
      <c r="JP1216" s="22"/>
      <c r="JQ1216" s="22"/>
      <c r="JR1216" s="22"/>
      <c r="JS1216" s="22"/>
      <c r="JT1216" s="22"/>
      <c r="JU1216" s="22"/>
      <c r="JV1216" s="22"/>
      <c r="JW1216" s="22"/>
      <c r="JX1216" s="22"/>
      <c r="JY1216" s="22"/>
      <c r="JZ1216" s="22"/>
      <c r="KA1216" s="22"/>
      <c r="KB1216" s="22"/>
      <c r="KC1216" s="22"/>
      <c r="KD1216" s="22"/>
      <c r="KE1216" s="22"/>
      <c r="KF1216" s="22"/>
      <c r="KG1216" s="22"/>
      <c r="KH1216" s="22"/>
      <c r="KI1216" s="22"/>
      <c r="KJ1216" s="22"/>
      <c r="KK1216" s="22"/>
      <c r="KL1216" s="22"/>
      <c r="KM1216" s="22"/>
      <c r="KN1216" s="22"/>
      <c r="KO1216" s="22"/>
      <c r="KP1216" s="22"/>
      <c r="KQ1216" s="22"/>
      <c r="KR1216" s="22"/>
      <c r="KS1216" s="22"/>
      <c r="KT1216" s="22"/>
      <c r="KU1216" s="22"/>
      <c r="KV1216" s="22"/>
      <c r="KW1216" s="22"/>
      <c r="KX1216" s="22"/>
      <c r="KY1216" s="22"/>
      <c r="KZ1216" s="22"/>
      <c r="LA1216" s="22"/>
      <c r="LB1216" s="22"/>
      <c r="LC1216" s="22"/>
      <c r="LD1216" s="22"/>
      <c r="LE1216" s="22"/>
      <c r="LF1216" s="22"/>
      <c r="LG1216" s="22"/>
      <c r="LH1216" s="22"/>
      <c r="LI1216" s="22"/>
      <c r="LJ1216" s="22"/>
      <c r="LK1216" s="22"/>
      <c r="LL1216" s="22"/>
      <c r="LM1216" s="22"/>
      <c r="LN1216" s="22"/>
      <c r="LO1216" s="22"/>
      <c r="LP1216" s="22"/>
      <c r="LQ1216" s="22"/>
      <c r="LR1216" s="22"/>
      <c r="LS1216" s="22"/>
      <c r="LT1216" s="22"/>
      <c r="LU1216" s="22"/>
      <c r="LV1216" s="22"/>
      <c r="LW1216" s="22"/>
      <c r="LX1216" s="22"/>
      <c r="LY1216" s="22"/>
      <c r="LZ1216" s="22"/>
      <c r="MA1216" s="22"/>
      <c r="MB1216" s="22"/>
      <c r="MC1216" s="22"/>
      <c r="MD1216" s="22"/>
      <c r="ME1216" s="22"/>
      <c r="MF1216" s="22"/>
      <c r="MG1216" s="22"/>
      <c r="MH1216" s="22"/>
      <c r="MI1216" s="22"/>
      <c r="MJ1216" s="22"/>
      <c r="MK1216" s="22"/>
      <c r="ML1216" s="22"/>
      <c r="MM1216" s="22"/>
      <c r="MN1216" s="22"/>
      <c r="MO1216" s="22"/>
      <c r="MP1216" s="22"/>
      <c r="MQ1216" s="22"/>
      <c r="MR1216" s="22"/>
      <c r="MS1216" s="22"/>
      <c r="MT1216" s="22"/>
      <c r="MU1216" s="22"/>
      <c r="MV1216" s="22"/>
      <c r="MW1216" s="22"/>
      <c r="MX1216" s="22"/>
      <c r="MY1216" s="22"/>
      <c r="MZ1216" s="22"/>
      <c r="NA1216" s="22"/>
      <c r="NB1216" s="22"/>
      <c r="NC1216" s="22"/>
      <c r="ND1216" s="22"/>
      <c r="NE1216" s="22"/>
      <c r="NF1216" s="22"/>
      <c r="NG1216" s="22"/>
      <c r="NH1216" s="22"/>
      <c r="NI1216" s="22"/>
      <c r="NJ1216" s="22"/>
      <c r="NK1216" s="22"/>
      <c r="NL1216" s="22"/>
      <c r="NM1216" s="22"/>
      <c r="NN1216" s="22"/>
      <c r="NO1216" s="22"/>
      <c r="NP1216" s="22"/>
      <c r="NQ1216" s="22"/>
      <c r="NR1216" s="22"/>
      <c r="NS1216" s="22"/>
      <c r="NT1216" s="22"/>
      <c r="NU1216" s="22"/>
      <c r="NV1216" s="22"/>
      <c r="NW1216" s="22"/>
      <c r="NX1216" s="22"/>
      <c r="NY1216" s="22"/>
      <c r="NZ1216" s="22"/>
      <c r="OA1216" s="22"/>
      <c r="OB1216" s="22"/>
      <c r="OC1216" s="22"/>
      <c r="OD1216" s="22"/>
      <c r="OE1216" s="22"/>
      <c r="OF1216" s="22"/>
      <c r="OG1216" s="22"/>
      <c r="OH1216" s="22"/>
      <c r="OI1216" s="22"/>
      <c r="OJ1216" s="22"/>
      <c r="OK1216" s="22"/>
      <c r="OL1216" s="22"/>
      <c r="OM1216" s="22"/>
      <c r="ON1216" s="22"/>
      <c r="OO1216" s="22"/>
      <c r="OP1216" s="22"/>
      <c r="OQ1216" s="22"/>
      <c r="OR1216" s="22"/>
      <c r="OS1216" s="22"/>
      <c r="OT1216" s="22"/>
      <c r="OU1216" s="22"/>
      <c r="OV1216" s="22"/>
      <c r="OW1216" s="22"/>
      <c r="OX1216" s="22"/>
      <c r="OY1216" s="22"/>
      <c r="OZ1216" s="22"/>
      <c r="PA1216" s="22"/>
      <c r="PB1216" s="22"/>
      <c r="PC1216" s="22"/>
      <c r="PD1216" s="22"/>
      <c r="PE1216" s="22"/>
      <c r="PF1216" s="22"/>
      <c r="PG1216" s="22"/>
      <c r="PH1216" s="22"/>
      <c r="PI1216" s="22"/>
      <c r="PJ1216" s="22"/>
      <c r="PK1216" s="22"/>
      <c r="PL1216" s="22"/>
      <c r="PM1216" s="22"/>
      <c r="PN1216" s="22"/>
      <c r="PO1216" s="22"/>
      <c r="PP1216" s="22"/>
      <c r="PQ1216" s="22"/>
      <c r="PR1216" s="22"/>
      <c r="PS1216" s="22"/>
      <c r="PT1216" s="22"/>
      <c r="PU1216" s="22"/>
      <c r="PV1216" s="22"/>
      <c r="PW1216" s="22"/>
      <c r="PX1216" s="22"/>
      <c r="PY1216" s="22"/>
      <c r="PZ1216" s="22"/>
      <c r="QA1216" s="22"/>
      <c r="QB1216" s="22"/>
      <c r="QC1216" s="22"/>
      <c r="QD1216" s="22"/>
      <c r="QE1216" s="22"/>
      <c r="QF1216" s="22"/>
      <c r="QG1216" s="22"/>
      <c r="QH1216" s="22"/>
      <c r="QI1216" s="22"/>
      <c r="QJ1216" s="22"/>
      <c r="QK1216" s="22"/>
      <c r="QL1216" s="22"/>
      <c r="QM1216" s="22"/>
      <c r="QN1216" s="22"/>
      <c r="QO1216" s="22"/>
      <c r="QP1216" s="22"/>
      <c r="QQ1216" s="22"/>
      <c r="QR1216" s="22"/>
      <c r="QS1216" s="22"/>
      <c r="QT1216" s="22"/>
      <c r="QU1216" s="22"/>
      <c r="QV1216" s="22"/>
      <c r="QW1216" s="22"/>
      <c r="QX1216" s="22"/>
      <c r="QY1216" s="22"/>
      <c r="QZ1216" s="22"/>
      <c r="RA1216" s="22"/>
      <c r="RB1216" s="22"/>
      <c r="RC1216" s="22"/>
      <c r="RD1216" s="22"/>
      <c r="RE1216" s="22"/>
      <c r="RF1216" s="22"/>
      <c r="RG1216" s="22"/>
      <c r="RH1216" s="22"/>
      <c r="RI1216" s="22"/>
      <c r="RJ1216" s="22"/>
      <c r="RK1216" s="22"/>
      <c r="RL1216" s="22"/>
      <c r="RM1216" s="22"/>
      <c r="RN1216" s="22"/>
      <c r="RO1216" s="22"/>
      <c r="RP1216" s="22"/>
      <c r="RQ1216" s="22"/>
      <c r="RR1216" s="22"/>
      <c r="RS1216" s="22"/>
      <c r="RT1216" s="22"/>
      <c r="RU1216" s="22"/>
      <c r="RV1216" s="22"/>
      <c r="RW1216" s="22"/>
      <c r="RX1216" s="22"/>
      <c r="RY1216" s="22"/>
      <c r="RZ1216" s="22"/>
      <c r="SA1216" s="22"/>
      <c r="SB1216" s="22"/>
      <c r="SC1216" s="22"/>
      <c r="SD1216" s="22"/>
      <c r="SE1216" s="22"/>
      <c r="SF1216" s="22"/>
      <c r="SG1216" s="22"/>
      <c r="SH1216" s="22"/>
      <c r="SI1216" s="22"/>
      <c r="SJ1216" s="22"/>
      <c r="SK1216" s="22"/>
      <c r="SL1216" s="22"/>
      <c r="SM1216" s="22"/>
      <c r="SN1216" s="22"/>
      <c r="SO1216" s="22"/>
      <c r="SP1216" s="22"/>
      <c r="SQ1216" s="22"/>
      <c r="SR1216" s="22"/>
      <c r="SS1216" s="22"/>
      <c r="ST1216" s="22"/>
      <c r="SU1216" s="22"/>
      <c r="SV1216" s="22"/>
      <c r="SW1216" s="22"/>
      <c r="SX1216" s="22"/>
      <c r="SY1216" s="22"/>
      <c r="SZ1216" s="22"/>
      <c r="TA1216" s="22"/>
      <c r="TB1216" s="22"/>
      <c r="TC1216" s="22"/>
      <c r="TD1216" s="22"/>
      <c r="TE1216" s="22"/>
      <c r="TF1216" s="22"/>
      <c r="TG1216" s="22"/>
      <c r="TH1216" s="22"/>
      <c r="TI1216" s="22"/>
      <c r="TJ1216" s="22"/>
      <c r="TK1216" s="22"/>
      <c r="TL1216" s="22"/>
      <c r="TM1216" s="22"/>
      <c r="TN1216" s="22"/>
      <c r="TO1216" s="22"/>
      <c r="TP1216" s="22"/>
      <c r="TQ1216" s="22"/>
      <c r="TR1216" s="22"/>
      <c r="TS1216" s="22"/>
      <c r="TT1216" s="22"/>
      <c r="TU1216" s="22"/>
      <c r="TV1216" s="22"/>
      <c r="TW1216" s="22"/>
      <c r="TX1216" s="22"/>
      <c r="TY1216" s="22"/>
      <c r="TZ1216" s="22"/>
      <c r="UA1216" s="22"/>
      <c r="UB1216" s="22"/>
      <c r="UC1216" s="22"/>
      <c r="UD1216" s="22"/>
      <c r="UE1216" s="22"/>
      <c r="UF1216" s="22"/>
      <c r="UG1216" s="23"/>
    </row>
    <row r="1217" spans="1:553" ht="51.75" customHeight="1">
      <c r="A1217" s="356"/>
      <c r="B1217" s="366" t="s">
        <v>674</v>
      </c>
      <c r="C1217" s="1535" t="s">
        <v>675</v>
      </c>
      <c r="D1217" s="1389"/>
      <c r="E1217" s="1389"/>
      <c r="F1217" s="1390"/>
      <c r="G1217" s="366" t="s">
        <v>33</v>
      </c>
      <c r="H1217" s="370"/>
      <c r="I1217" s="370">
        <f t="shared" si="182"/>
        <v>67.8</v>
      </c>
      <c r="J1217" s="368">
        <f>200600-153000</f>
        <v>47600</v>
      </c>
      <c r="K1217" s="371"/>
      <c r="L1217" s="480">
        <f t="shared" si="183"/>
        <v>3227280</v>
      </c>
      <c r="M1217" s="356"/>
      <c r="N1217" s="356"/>
      <c r="O1217" s="356"/>
      <c r="P1217" s="356"/>
      <c r="Q1217" s="610"/>
      <c r="R1217" s="1226"/>
      <c r="S1217" s="308"/>
      <c r="T1217" s="308"/>
      <c r="U1217" s="308"/>
      <c r="V1217" s="308"/>
      <c r="W1217" s="308"/>
      <c r="X1217" s="308"/>
      <c r="Y1217" s="308"/>
      <c r="Z1217" s="604"/>
      <c r="AA1217" s="308"/>
      <c r="AB1217" s="308"/>
      <c r="AC1217" s="373"/>
      <c r="AD1217" s="373"/>
      <c r="AE1217" s="373"/>
      <c r="AF1217" s="373"/>
      <c r="AG1217" s="373"/>
      <c r="AH1217" s="373"/>
      <c r="AI1217" s="373"/>
      <c r="AJ1217" s="373"/>
      <c r="AK1217" s="389"/>
      <c r="AL1217" s="100"/>
      <c r="AM1217" s="27"/>
      <c r="AN1217" s="27"/>
      <c r="AO1217" s="27"/>
      <c r="AP1217" s="27"/>
      <c r="AQ1217" s="27"/>
      <c r="AR1217" s="27"/>
      <c r="AS1217" s="22"/>
      <c r="AT1217" s="22"/>
      <c r="AU1217" s="22"/>
      <c r="AV1217" s="22"/>
      <c r="AW1217" s="22"/>
      <c r="AX1217" s="22"/>
      <c r="AY1217" s="22"/>
      <c r="AZ1217" s="22"/>
      <c r="BA1217" s="22"/>
      <c r="BB1217" s="22"/>
      <c r="BC1217" s="22"/>
      <c r="BD1217" s="22"/>
      <c r="BE1217" s="22"/>
      <c r="BF1217" s="22"/>
      <c r="BG1217" s="22"/>
      <c r="BH1217" s="22"/>
      <c r="BI1217" s="22"/>
      <c r="BJ1217" s="22"/>
      <c r="BK1217" s="22"/>
      <c r="BL1217" s="22"/>
      <c r="BM1217" s="22"/>
      <c r="BN1217" s="22"/>
      <c r="BO1217" s="22"/>
      <c r="BP1217" s="22"/>
      <c r="BQ1217" s="22"/>
      <c r="BR1217" s="22"/>
      <c r="BS1217" s="22"/>
      <c r="BT1217" s="22"/>
      <c r="BU1217" s="22"/>
      <c r="BV1217" s="22"/>
      <c r="BW1217" s="22"/>
      <c r="BX1217" s="22"/>
      <c r="BY1217" s="22"/>
      <c r="BZ1217" s="22"/>
      <c r="CA1217" s="22"/>
      <c r="CB1217" s="22"/>
      <c r="CC1217" s="22"/>
      <c r="CD1217" s="22"/>
      <c r="CE1217" s="22"/>
      <c r="CF1217" s="22"/>
      <c r="CG1217" s="22"/>
      <c r="CH1217" s="22"/>
      <c r="CI1217" s="22"/>
      <c r="CJ1217" s="22"/>
      <c r="CK1217" s="22"/>
      <c r="CL1217" s="22"/>
      <c r="CM1217" s="22"/>
      <c r="CN1217" s="22"/>
      <c r="CO1217" s="22"/>
      <c r="CP1217" s="22"/>
      <c r="CQ1217" s="22"/>
      <c r="CR1217" s="22"/>
      <c r="CS1217" s="22"/>
      <c r="CT1217" s="22"/>
      <c r="CU1217" s="22"/>
      <c r="CV1217" s="22"/>
      <c r="CW1217" s="22"/>
      <c r="CX1217" s="22"/>
      <c r="CY1217" s="22"/>
      <c r="CZ1217" s="22"/>
      <c r="DA1217" s="22"/>
      <c r="DB1217" s="22"/>
      <c r="DC1217" s="22"/>
      <c r="DD1217" s="22"/>
      <c r="DE1217" s="22"/>
      <c r="DF1217" s="22"/>
      <c r="DG1217" s="22"/>
      <c r="DH1217" s="22"/>
      <c r="DI1217" s="22"/>
      <c r="DJ1217" s="22"/>
      <c r="DK1217" s="22"/>
      <c r="DL1217" s="22"/>
      <c r="DM1217" s="22"/>
      <c r="DN1217" s="22"/>
      <c r="DO1217" s="22"/>
      <c r="DP1217" s="22"/>
      <c r="DQ1217" s="22"/>
      <c r="DR1217" s="22"/>
      <c r="DS1217" s="22"/>
      <c r="DT1217" s="22"/>
      <c r="DU1217" s="22"/>
      <c r="DV1217" s="22"/>
      <c r="DW1217" s="22"/>
      <c r="DX1217" s="22"/>
      <c r="DY1217" s="22"/>
      <c r="DZ1217" s="22"/>
      <c r="EA1217" s="22"/>
      <c r="EB1217" s="22"/>
      <c r="EC1217" s="22"/>
      <c r="ED1217" s="22"/>
      <c r="EE1217" s="22"/>
      <c r="EF1217" s="22"/>
      <c r="EG1217" s="22"/>
      <c r="EH1217" s="22"/>
      <c r="EI1217" s="22"/>
      <c r="EJ1217" s="22"/>
      <c r="EK1217" s="22"/>
      <c r="EL1217" s="22"/>
      <c r="EM1217" s="22"/>
      <c r="EN1217" s="22"/>
      <c r="EO1217" s="22"/>
      <c r="EP1217" s="22"/>
      <c r="EQ1217" s="22"/>
      <c r="ER1217" s="22"/>
      <c r="ES1217" s="22"/>
      <c r="ET1217" s="22"/>
      <c r="EU1217" s="22"/>
      <c r="EV1217" s="22"/>
      <c r="EW1217" s="22"/>
      <c r="EX1217" s="22"/>
      <c r="EY1217" s="22"/>
      <c r="EZ1217" s="22"/>
      <c r="FA1217" s="22"/>
      <c r="FB1217" s="22"/>
      <c r="FC1217" s="22"/>
      <c r="FD1217" s="22"/>
      <c r="FE1217" s="22"/>
      <c r="FF1217" s="22"/>
      <c r="FG1217" s="22"/>
      <c r="FH1217" s="22"/>
      <c r="FI1217" s="22"/>
      <c r="FJ1217" s="22"/>
      <c r="FK1217" s="22"/>
      <c r="FL1217" s="22"/>
      <c r="FM1217" s="22"/>
      <c r="FN1217" s="22"/>
      <c r="FO1217" s="22"/>
      <c r="FP1217" s="22"/>
      <c r="FQ1217" s="22"/>
      <c r="FR1217" s="22"/>
      <c r="FS1217" s="22"/>
      <c r="FT1217" s="22"/>
      <c r="FU1217" s="22"/>
      <c r="FV1217" s="22"/>
      <c r="FW1217" s="22"/>
      <c r="FX1217" s="22"/>
      <c r="FY1217" s="22"/>
      <c r="FZ1217" s="22"/>
      <c r="GA1217" s="22"/>
      <c r="GB1217" s="22"/>
      <c r="GC1217" s="22"/>
      <c r="GD1217" s="22"/>
      <c r="GE1217" s="22"/>
      <c r="GF1217" s="22"/>
      <c r="GG1217" s="22"/>
      <c r="GH1217" s="22"/>
      <c r="GI1217" s="22"/>
      <c r="GJ1217" s="22"/>
      <c r="GK1217" s="22"/>
      <c r="GL1217" s="22"/>
      <c r="GM1217" s="22"/>
      <c r="GN1217" s="22"/>
      <c r="GO1217" s="22"/>
      <c r="GP1217" s="22"/>
      <c r="GQ1217" s="22"/>
      <c r="GR1217" s="22"/>
      <c r="GS1217" s="22"/>
      <c r="GT1217" s="22"/>
      <c r="GU1217" s="22"/>
      <c r="GV1217" s="22"/>
      <c r="GW1217" s="22"/>
      <c r="GX1217" s="22"/>
      <c r="GY1217" s="22"/>
      <c r="GZ1217" s="22"/>
      <c r="HA1217" s="22"/>
      <c r="HB1217" s="22"/>
      <c r="HC1217" s="22"/>
      <c r="HD1217" s="22"/>
      <c r="HE1217" s="22"/>
      <c r="HF1217" s="22"/>
      <c r="HG1217" s="22"/>
      <c r="HH1217" s="22"/>
      <c r="HI1217" s="22"/>
      <c r="HJ1217" s="22"/>
      <c r="HK1217" s="22"/>
      <c r="HL1217" s="22"/>
      <c r="HM1217" s="22"/>
      <c r="HN1217" s="22"/>
      <c r="HO1217" s="22"/>
      <c r="HP1217" s="22"/>
      <c r="HQ1217" s="22"/>
      <c r="HR1217" s="22"/>
      <c r="HS1217" s="22"/>
      <c r="HT1217" s="22"/>
      <c r="HU1217" s="22"/>
      <c r="HV1217" s="22"/>
      <c r="HW1217" s="22"/>
      <c r="HX1217" s="22"/>
      <c r="HY1217" s="22"/>
      <c r="HZ1217" s="22"/>
      <c r="IA1217" s="22"/>
      <c r="IB1217" s="22"/>
      <c r="IC1217" s="22"/>
      <c r="ID1217" s="22"/>
      <c r="IE1217" s="22"/>
      <c r="IF1217" s="22"/>
      <c r="IG1217" s="22"/>
      <c r="IH1217" s="22"/>
      <c r="II1217" s="22"/>
      <c r="IJ1217" s="22"/>
      <c r="IK1217" s="22"/>
      <c r="IL1217" s="22"/>
      <c r="IM1217" s="22"/>
      <c r="IN1217" s="22"/>
      <c r="IO1217" s="22"/>
      <c r="IP1217" s="22"/>
      <c r="IQ1217" s="22"/>
      <c r="IR1217" s="22"/>
      <c r="IS1217" s="22"/>
      <c r="IT1217" s="22"/>
      <c r="IU1217" s="22"/>
      <c r="IV1217" s="22"/>
      <c r="IW1217" s="22"/>
      <c r="IX1217" s="22"/>
      <c r="IY1217" s="22"/>
      <c r="IZ1217" s="22"/>
      <c r="JA1217" s="22"/>
      <c r="JB1217" s="22"/>
      <c r="JC1217" s="22"/>
      <c r="JD1217" s="22"/>
      <c r="JE1217" s="22"/>
      <c r="JF1217" s="22"/>
      <c r="JG1217" s="22"/>
      <c r="JH1217" s="22"/>
      <c r="JI1217" s="22"/>
      <c r="JJ1217" s="22"/>
      <c r="JK1217" s="22"/>
      <c r="JL1217" s="22"/>
      <c r="JM1217" s="22"/>
      <c r="JN1217" s="22"/>
      <c r="JO1217" s="22"/>
      <c r="JP1217" s="22"/>
      <c r="JQ1217" s="22"/>
      <c r="JR1217" s="22"/>
      <c r="JS1217" s="22"/>
      <c r="JT1217" s="22"/>
      <c r="JU1217" s="22"/>
      <c r="JV1217" s="22"/>
      <c r="JW1217" s="22"/>
      <c r="JX1217" s="22"/>
      <c r="JY1217" s="22"/>
      <c r="JZ1217" s="22"/>
      <c r="KA1217" s="22"/>
      <c r="KB1217" s="22"/>
      <c r="KC1217" s="22"/>
      <c r="KD1217" s="22"/>
      <c r="KE1217" s="22"/>
      <c r="KF1217" s="22"/>
      <c r="KG1217" s="22"/>
      <c r="KH1217" s="22"/>
      <c r="KI1217" s="22"/>
      <c r="KJ1217" s="22"/>
      <c r="KK1217" s="22"/>
      <c r="KL1217" s="22"/>
      <c r="KM1217" s="22"/>
      <c r="KN1217" s="22"/>
      <c r="KO1217" s="22"/>
      <c r="KP1217" s="22"/>
      <c r="KQ1217" s="22"/>
      <c r="KR1217" s="22"/>
      <c r="KS1217" s="22"/>
      <c r="KT1217" s="22"/>
      <c r="KU1217" s="22"/>
      <c r="KV1217" s="22"/>
      <c r="KW1217" s="22"/>
      <c r="KX1217" s="22"/>
      <c r="KY1217" s="22"/>
      <c r="KZ1217" s="22"/>
      <c r="LA1217" s="22"/>
      <c r="LB1217" s="22"/>
      <c r="LC1217" s="22"/>
      <c r="LD1217" s="22"/>
      <c r="LE1217" s="22"/>
      <c r="LF1217" s="22"/>
      <c r="LG1217" s="22"/>
      <c r="LH1217" s="22"/>
      <c r="LI1217" s="22"/>
      <c r="LJ1217" s="22"/>
      <c r="LK1217" s="22"/>
      <c r="LL1217" s="22"/>
      <c r="LM1217" s="22"/>
      <c r="LN1217" s="22"/>
      <c r="LO1217" s="22"/>
      <c r="LP1217" s="22"/>
      <c r="LQ1217" s="22"/>
      <c r="LR1217" s="22"/>
      <c r="LS1217" s="22"/>
      <c r="LT1217" s="22"/>
      <c r="LU1217" s="22"/>
      <c r="LV1217" s="22"/>
      <c r="LW1217" s="22"/>
      <c r="LX1217" s="22"/>
      <c r="LY1217" s="22"/>
      <c r="LZ1217" s="22"/>
      <c r="MA1217" s="22"/>
      <c r="MB1217" s="22"/>
      <c r="MC1217" s="22"/>
      <c r="MD1217" s="22"/>
      <c r="ME1217" s="22"/>
      <c r="MF1217" s="22"/>
      <c r="MG1217" s="22"/>
      <c r="MH1217" s="22"/>
      <c r="MI1217" s="22"/>
      <c r="MJ1217" s="22"/>
      <c r="MK1217" s="22"/>
      <c r="ML1217" s="22"/>
      <c r="MM1217" s="22"/>
      <c r="MN1217" s="22"/>
      <c r="MO1217" s="22"/>
      <c r="MP1217" s="22"/>
      <c r="MQ1217" s="22"/>
      <c r="MR1217" s="22"/>
      <c r="MS1217" s="22"/>
      <c r="MT1217" s="22"/>
      <c r="MU1217" s="22"/>
      <c r="MV1217" s="22"/>
      <c r="MW1217" s="22"/>
      <c r="MX1217" s="22"/>
      <c r="MY1217" s="22"/>
      <c r="MZ1217" s="22"/>
      <c r="NA1217" s="22"/>
      <c r="NB1217" s="22"/>
      <c r="NC1217" s="22"/>
      <c r="ND1217" s="22"/>
      <c r="NE1217" s="22"/>
      <c r="NF1217" s="22"/>
      <c r="NG1217" s="22"/>
      <c r="NH1217" s="22"/>
      <c r="NI1217" s="22"/>
      <c r="NJ1217" s="22"/>
      <c r="NK1217" s="22"/>
      <c r="NL1217" s="22"/>
      <c r="NM1217" s="22"/>
      <c r="NN1217" s="22"/>
      <c r="NO1217" s="22"/>
      <c r="NP1217" s="22"/>
      <c r="NQ1217" s="22"/>
      <c r="NR1217" s="22"/>
      <c r="NS1217" s="22"/>
      <c r="NT1217" s="22"/>
      <c r="NU1217" s="22"/>
      <c r="NV1217" s="22"/>
      <c r="NW1217" s="22"/>
      <c r="NX1217" s="22"/>
      <c r="NY1217" s="22"/>
      <c r="NZ1217" s="22"/>
      <c r="OA1217" s="22"/>
      <c r="OB1217" s="22"/>
      <c r="OC1217" s="22"/>
      <c r="OD1217" s="22"/>
      <c r="OE1217" s="22"/>
      <c r="OF1217" s="22"/>
      <c r="OG1217" s="22"/>
      <c r="OH1217" s="22"/>
      <c r="OI1217" s="22"/>
      <c r="OJ1217" s="22"/>
      <c r="OK1217" s="22"/>
      <c r="OL1217" s="22"/>
      <c r="OM1217" s="22"/>
      <c r="ON1217" s="22"/>
      <c r="OO1217" s="22"/>
      <c r="OP1217" s="22"/>
      <c r="OQ1217" s="22"/>
      <c r="OR1217" s="22"/>
      <c r="OS1217" s="22"/>
      <c r="OT1217" s="22"/>
      <c r="OU1217" s="22"/>
      <c r="OV1217" s="22"/>
      <c r="OW1217" s="22"/>
      <c r="OX1217" s="22"/>
      <c r="OY1217" s="22"/>
      <c r="OZ1217" s="22"/>
      <c r="PA1217" s="22"/>
      <c r="PB1217" s="22"/>
      <c r="PC1217" s="22"/>
      <c r="PD1217" s="22"/>
      <c r="PE1217" s="22"/>
      <c r="PF1217" s="22"/>
      <c r="PG1217" s="22"/>
      <c r="PH1217" s="22"/>
      <c r="PI1217" s="22"/>
      <c r="PJ1217" s="22"/>
      <c r="PK1217" s="22"/>
      <c r="PL1217" s="22"/>
      <c r="PM1217" s="22"/>
      <c r="PN1217" s="22"/>
      <c r="PO1217" s="22"/>
      <c r="PP1217" s="22"/>
      <c r="PQ1217" s="22"/>
      <c r="PR1217" s="22"/>
      <c r="PS1217" s="22"/>
      <c r="PT1217" s="22"/>
      <c r="PU1217" s="22"/>
      <c r="PV1217" s="22"/>
      <c r="PW1217" s="22"/>
      <c r="PX1217" s="22"/>
      <c r="PY1217" s="22"/>
      <c r="PZ1217" s="22"/>
      <c r="QA1217" s="22"/>
      <c r="QB1217" s="22"/>
      <c r="QC1217" s="22"/>
      <c r="QD1217" s="22"/>
      <c r="QE1217" s="22"/>
      <c r="QF1217" s="22"/>
      <c r="QG1217" s="22"/>
      <c r="QH1217" s="22"/>
      <c r="QI1217" s="22"/>
      <c r="QJ1217" s="22"/>
      <c r="QK1217" s="22"/>
      <c r="QL1217" s="22"/>
      <c r="QM1217" s="22"/>
      <c r="QN1217" s="22"/>
      <c r="QO1217" s="22"/>
      <c r="QP1217" s="22"/>
      <c r="QQ1217" s="22"/>
      <c r="QR1217" s="22"/>
      <c r="QS1217" s="22"/>
      <c r="QT1217" s="22"/>
      <c r="QU1217" s="22"/>
      <c r="QV1217" s="22"/>
      <c r="QW1217" s="22"/>
      <c r="QX1217" s="22"/>
      <c r="QY1217" s="22"/>
      <c r="QZ1217" s="22"/>
      <c r="RA1217" s="22"/>
      <c r="RB1217" s="22"/>
      <c r="RC1217" s="22"/>
      <c r="RD1217" s="22"/>
      <c r="RE1217" s="22"/>
      <c r="RF1217" s="22"/>
      <c r="RG1217" s="22"/>
      <c r="RH1217" s="22"/>
      <c r="RI1217" s="22"/>
      <c r="RJ1217" s="22"/>
      <c r="RK1217" s="22"/>
      <c r="RL1217" s="22"/>
      <c r="RM1217" s="22"/>
      <c r="RN1217" s="22"/>
      <c r="RO1217" s="22"/>
      <c r="RP1217" s="22"/>
      <c r="RQ1217" s="22"/>
      <c r="RR1217" s="22"/>
      <c r="RS1217" s="22"/>
      <c r="RT1217" s="22"/>
      <c r="RU1217" s="22"/>
      <c r="RV1217" s="22"/>
      <c r="RW1217" s="22"/>
      <c r="RX1217" s="22"/>
      <c r="RY1217" s="22"/>
      <c r="RZ1217" s="22"/>
      <c r="SA1217" s="22"/>
      <c r="SB1217" s="22"/>
      <c r="SC1217" s="22"/>
      <c r="SD1217" s="22"/>
      <c r="SE1217" s="22"/>
      <c r="SF1217" s="22"/>
      <c r="SG1217" s="22"/>
      <c r="SH1217" s="22"/>
      <c r="SI1217" s="22"/>
      <c r="SJ1217" s="22"/>
      <c r="SK1217" s="22"/>
      <c r="SL1217" s="22"/>
      <c r="SM1217" s="22"/>
      <c r="SN1217" s="22"/>
      <c r="SO1217" s="22"/>
      <c r="SP1217" s="22"/>
      <c r="SQ1217" s="22"/>
      <c r="SR1217" s="22"/>
      <c r="SS1217" s="22"/>
      <c r="ST1217" s="22"/>
      <c r="SU1217" s="22"/>
      <c r="SV1217" s="22"/>
      <c r="SW1217" s="22"/>
      <c r="SX1217" s="22"/>
      <c r="SY1217" s="22"/>
      <c r="SZ1217" s="22"/>
      <c r="TA1217" s="22"/>
      <c r="TB1217" s="22"/>
      <c r="TC1217" s="22"/>
      <c r="TD1217" s="22"/>
      <c r="TE1217" s="22"/>
      <c r="TF1217" s="22"/>
      <c r="TG1217" s="22"/>
      <c r="TH1217" s="22"/>
      <c r="TI1217" s="22"/>
      <c r="TJ1217" s="22"/>
      <c r="TK1217" s="22"/>
      <c r="TL1217" s="22"/>
      <c r="TM1217" s="22"/>
      <c r="TN1217" s="22"/>
      <c r="TO1217" s="22"/>
      <c r="TP1217" s="22"/>
      <c r="TQ1217" s="22"/>
      <c r="TR1217" s="22"/>
      <c r="TS1217" s="22"/>
      <c r="TT1217" s="22"/>
      <c r="TU1217" s="22"/>
      <c r="TV1217" s="22"/>
      <c r="TW1217" s="22"/>
      <c r="TX1217" s="22"/>
      <c r="TY1217" s="22"/>
      <c r="TZ1217" s="22"/>
      <c r="UA1217" s="22"/>
      <c r="UB1217" s="22"/>
      <c r="UC1217" s="22"/>
      <c r="UD1217" s="22"/>
      <c r="UE1217" s="22"/>
      <c r="UF1217" s="22"/>
      <c r="UG1217" s="23"/>
    </row>
    <row r="1218" spans="1:553" ht="27.65" customHeight="1">
      <c r="A1218" s="356"/>
      <c r="B1218" s="366">
        <v>5</v>
      </c>
      <c r="C1218" s="1397" t="s">
        <v>882</v>
      </c>
      <c r="D1218" s="1398"/>
      <c r="E1218" s="1398"/>
      <c r="F1218" s="1399"/>
      <c r="G1218" s="366" t="s">
        <v>33</v>
      </c>
      <c r="H1218" s="370"/>
      <c r="I1218" s="370">
        <f>((10.9+5)*2)+((7+1.9)*2)*3.9*2</f>
        <v>170.64000000000001</v>
      </c>
      <c r="J1218" s="368">
        <v>41700</v>
      </c>
      <c r="K1218" s="371"/>
      <c r="L1218" s="480">
        <f t="shared" si="183"/>
        <v>7115688.0000000009</v>
      </c>
      <c r="M1218" s="356"/>
      <c r="N1218" s="356"/>
      <c r="O1218" s="356"/>
      <c r="P1218" s="356"/>
      <c r="Q1218" s="610"/>
      <c r="R1218" s="1226"/>
      <c r="S1218" s="308"/>
      <c r="T1218" s="308"/>
      <c r="U1218" s="308"/>
      <c r="V1218" s="308"/>
      <c r="W1218" s="308"/>
      <c r="X1218" s="308"/>
      <c r="Y1218" s="308"/>
      <c r="Z1218" s="604"/>
      <c r="AA1218" s="308"/>
      <c r="AB1218" s="308"/>
      <c r="AC1218" s="373"/>
      <c r="AD1218" s="373"/>
      <c r="AE1218" s="373"/>
      <c r="AF1218" s="373"/>
      <c r="AG1218" s="373"/>
      <c r="AH1218" s="373"/>
      <c r="AI1218" s="373"/>
      <c r="AJ1218" s="373"/>
      <c r="AK1218" s="389"/>
      <c r="AL1218" s="100"/>
      <c r="AM1218" s="100"/>
      <c r="AN1218" s="100"/>
      <c r="AO1218" s="100"/>
      <c r="AP1218" s="100"/>
      <c r="AQ1218" s="100"/>
      <c r="AR1218" s="100"/>
      <c r="AS1218" s="101"/>
      <c r="AT1218" s="101"/>
      <c r="AU1218" s="101"/>
      <c r="AV1218" s="101"/>
      <c r="AW1218" s="101"/>
      <c r="AX1218" s="101"/>
      <c r="AY1218" s="101"/>
      <c r="AZ1218" s="101"/>
      <c r="BA1218" s="101"/>
      <c r="BB1218" s="101"/>
      <c r="BC1218" s="101"/>
      <c r="BD1218" s="101"/>
      <c r="BE1218" s="101"/>
      <c r="BF1218" s="101"/>
      <c r="BG1218" s="101"/>
      <c r="BH1218" s="101"/>
      <c r="BI1218" s="101"/>
      <c r="BJ1218" s="101"/>
      <c r="BK1218" s="101"/>
      <c r="BL1218" s="101"/>
      <c r="BM1218" s="101"/>
      <c r="BN1218" s="101"/>
      <c r="BO1218" s="101"/>
      <c r="BP1218" s="101"/>
      <c r="BQ1218" s="101"/>
      <c r="BR1218" s="101"/>
      <c r="BS1218" s="101"/>
      <c r="BT1218" s="101"/>
      <c r="BU1218" s="101"/>
      <c r="BV1218" s="101"/>
      <c r="BW1218" s="101"/>
      <c r="BX1218" s="101"/>
      <c r="BY1218" s="101"/>
      <c r="BZ1218" s="101"/>
      <c r="CA1218" s="101"/>
      <c r="CB1218" s="101"/>
      <c r="CC1218" s="101"/>
      <c r="CD1218" s="101"/>
      <c r="CE1218" s="101"/>
      <c r="CF1218" s="101"/>
      <c r="CG1218" s="101"/>
      <c r="CH1218" s="101"/>
      <c r="CI1218" s="101"/>
      <c r="CJ1218" s="101"/>
      <c r="CK1218" s="101"/>
      <c r="CL1218" s="101"/>
      <c r="CM1218" s="101"/>
      <c r="CN1218" s="101"/>
      <c r="CO1218" s="101"/>
      <c r="CP1218" s="101"/>
      <c r="CQ1218" s="101"/>
      <c r="CR1218" s="101"/>
      <c r="CS1218" s="101"/>
      <c r="CT1218" s="101"/>
      <c r="CU1218" s="101"/>
      <c r="CV1218" s="101"/>
      <c r="CW1218" s="101"/>
      <c r="CX1218" s="101"/>
      <c r="CY1218" s="101"/>
      <c r="CZ1218" s="101"/>
      <c r="DA1218" s="101"/>
      <c r="DB1218" s="101"/>
      <c r="DC1218" s="101"/>
      <c r="DD1218" s="101"/>
      <c r="DE1218" s="101"/>
      <c r="DF1218" s="101"/>
      <c r="DG1218" s="101"/>
      <c r="DH1218" s="101"/>
      <c r="DI1218" s="101"/>
      <c r="DJ1218" s="101"/>
      <c r="DK1218" s="101"/>
      <c r="DL1218" s="101"/>
      <c r="DM1218" s="101"/>
      <c r="DN1218" s="101"/>
      <c r="DO1218" s="101"/>
      <c r="DP1218" s="101"/>
      <c r="DQ1218" s="101"/>
      <c r="DR1218" s="101"/>
      <c r="DS1218" s="101"/>
      <c r="DT1218" s="101"/>
      <c r="DU1218" s="101"/>
      <c r="DV1218" s="101"/>
      <c r="DW1218" s="101"/>
      <c r="DX1218" s="101"/>
      <c r="DY1218" s="101"/>
      <c r="DZ1218" s="101"/>
      <c r="EA1218" s="101"/>
      <c r="EB1218" s="101"/>
      <c r="EC1218" s="101"/>
      <c r="ED1218" s="101"/>
      <c r="EE1218" s="101"/>
      <c r="EF1218" s="101"/>
      <c r="EG1218" s="101"/>
      <c r="EH1218" s="101"/>
      <c r="EI1218" s="101"/>
      <c r="EJ1218" s="101"/>
      <c r="EK1218" s="101"/>
      <c r="EL1218" s="101"/>
      <c r="EM1218" s="101"/>
      <c r="EN1218" s="101"/>
      <c r="EO1218" s="101"/>
      <c r="EP1218" s="101"/>
      <c r="EQ1218" s="101"/>
      <c r="ER1218" s="101"/>
      <c r="ES1218" s="101"/>
      <c r="ET1218" s="101"/>
      <c r="EU1218" s="101"/>
      <c r="EV1218" s="101"/>
      <c r="EW1218" s="101"/>
      <c r="EX1218" s="101"/>
      <c r="EY1218" s="101"/>
      <c r="EZ1218" s="101"/>
      <c r="FA1218" s="101"/>
      <c r="FB1218" s="101"/>
      <c r="FC1218" s="101"/>
      <c r="FD1218" s="101"/>
      <c r="FE1218" s="101"/>
      <c r="FF1218" s="101"/>
      <c r="FG1218" s="101"/>
      <c r="FH1218" s="101"/>
      <c r="FI1218" s="101"/>
      <c r="FJ1218" s="101"/>
      <c r="FK1218" s="101"/>
      <c r="FL1218" s="101"/>
      <c r="FM1218" s="101"/>
      <c r="FN1218" s="101"/>
      <c r="FO1218" s="101"/>
      <c r="FP1218" s="101"/>
      <c r="FQ1218" s="101"/>
      <c r="FR1218" s="101"/>
      <c r="FS1218" s="101"/>
      <c r="FT1218" s="101"/>
      <c r="FU1218" s="101"/>
      <c r="FV1218" s="101"/>
      <c r="FW1218" s="101"/>
      <c r="FX1218" s="101"/>
      <c r="FY1218" s="101"/>
      <c r="FZ1218" s="101"/>
      <c r="GA1218" s="101"/>
      <c r="GB1218" s="101"/>
      <c r="GC1218" s="101"/>
      <c r="GD1218" s="101"/>
      <c r="GE1218" s="101"/>
      <c r="GF1218" s="101"/>
      <c r="GG1218" s="101"/>
      <c r="GH1218" s="101"/>
      <c r="GI1218" s="101"/>
      <c r="GJ1218" s="101"/>
      <c r="GK1218" s="101"/>
      <c r="GL1218" s="101"/>
      <c r="GM1218" s="101"/>
      <c r="GN1218" s="101"/>
      <c r="GO1218" s="101"/>
      <c r="GP1218" s="101"/>
      <c r="GQ1218" s="101"/>
      <c r="GR1218" s="101"/>
      <c r="GS1218" s="101"/>
      <c r="GT1218" s="101"/>
      <c r="GU1218" s="101"/>
      <c r="GV1218" s="101"/>
      <c r="GW1218" s="101"/>
      <c r="GX1218" s="101"/>
      <c r="GY1218" s="101"/>
      <c r="GZ1218" s="101"/>
      <c r="HA1218" s="101"/>
      <c r="HB1218" s="101"/>
      <c r="HC1218" s="101"/>
      <c r="HD1218" s="101"/>
      <c r="HE1218" s="101"/>
      <c r="HF1218" s="101"/>
      <c r="HG1218" s="101"/>
      <c r="HH1218" s="101"/>
      <c r="HI1218" s="101"/>
      <c r="HJ1218" s="101"/>
      <c r="HK1218" s="101"/>
      <c r="HL1218" s="101"/>
      <c r="HM1218" s="101"/>
      <c r="HN1218" s="101"/>
      <c r="HO1218" s="101"/>
      <c r="HP1218" s="101"/>
      <c r="HQ1218" s="101"/>
      <c r="HR1218" s="101"/>
      <c r="HS1218" s="101"/>
      <c r="HT1218" s="101"/>
      <c r="HU1218" s="101"/>
      <c r="HV1218" s="101"/>
      <c r="HW1218" s="101"/>
      <c r="HX1218" s="101"/>
      <c r="HY1218" s="101"/>
      <c r="HZ1218" s="101"/>
      <c r="IA1218" s="101"/>
      <c r="IB1218" s="101"/>
      <c r="IC1218" s="101"/>
      <c r="ID1218" s="101"/>
      <c r="IE1218" s="101"/>
      <c r="IF1218" s="101"/>
      <c r="IG1218" s="101"/>
      <c r="IH1218" s="101"/>
      <c r="II1218" s="101"/>
      <c r="IJ1218" s="101"/>
      <c r="IK1218" s="101"/>
      <c r="IL1218" s="101"/>
      <c r="IM1218" s="101"/>
      <c r="IN1218" s="101"/>
      <c r="IO1218" s="101"/>
      <c r="IP1218" s="101"/>
      <c r="IQ1218" s="101"/>
      <c r="IR1218" s="101"/>
      <c r="IS1218" s="101"/>
      <c r="IT1218" s="101"/>
      <c r="IU1218" s="101"/>
      <c r="IV1218" s="101"/>
      <c r="IW1218" s="101"/>
      <c r="IX1218" s="101"/>
      <c r="IY1218" s="101"/>
      <c r="IZ1218" s="101"/>
      <c r="JA1218" s="101"/>
      <c r="JB1218" s="101"/>
      <c r="JC1218" s="101"/>
      <c r="JD1218" s="101"/>
      <c r="JE1218" s="101"/>
      <c r="JF1218" s="101"/>
      <c r="JG1218" s="101"/>
      <c r="JH1218" s="101"/>
      <c r="JI1218" s="101"/>
      <c r="JJ1218" s="101"/>
      <c r="JK1218" s="101"/>
      <c r="JL1218" s="101"/>
      <c r="JM1218" s="101"/>
      <c r="JN1218" s="101"/>
      <c r="JO1218" s="101"/>
      <c r="JP1218" s="101"/>
      <c r="JQ1218" s="101"/>
      <c r="JR1218" s="101"/>
      <c r="JS1218" s="101"/>
      <c r="JT1218" s="101"/>
      <c r="JU1218" s="101"/>
      <c r="JV1218" s="101"/>
      <c r="JW1218" s="101"/>
      <c r="JX1218" s="101"/>
      <c r="JY1218" s="101"/>
      <c r="JZ1218" s="101"/>
      <c r="KA1218" s="101"/>
      <c r="KB1218" s="101"/>
      <c r="KC1218" s="101"/>
      <c r="KD1218" s="101"/>
      <c r="KE1218" s="101"/>
      <c r="KF1218" s="101"/>
      <c r="KG1218" s="101"/>
      <c r="KH1218" s="101"/>
      <c r="KI1218" s="101"/>
      <c r="KJ1218" s="101"/>
      <c r="KK1218" s="101"/>
      <c r="KL1218" s="101"/>
      <c r="KM1218" s="101"/>
      <c r="KN1218" s="101"/>
      <c r="KO1218" s="101"/>
      <c r="KP1218" s="101"/>
      <c r="KQ1218" s="101"/>
      <c r="KR1218" s="101"/>
      <c r="KS1218" s="101"/>
      <c r="KT1218" s="101"/>
      <c r="KU1218" s="101"/>
      <c r="KV1218" s="101"/>
      <c r="KW1218" s="101"/>
      <c r="KX1218" s="101"/>
      <c r="KY1218" s="101"/>
      <c r="KZ1218" s="101"/>
      <c r="LA1218" s="101"/>
      <c r="LB1218" s="101"/>
      <c r="LC1218" s="101"/>
      <c r="LD1218" s="101"/>
      <c r="LE1218" s="101"/>
      <c r="LF1218" s="101"/>
      <c r="LG1218" s="101"/>
      <c r="LH1218" s="101"/>
      <c r="LI1218" s="101"/>
      <c r="LJ1218" s="101"/>
      <c r="LK1218" s="101"/>
      <c r="LL1218" s="101"/>
      <c r="LM1218" s="101"/>
      <c r="LN1218" s="101"/>
      <c r="LO1218" s="101"/>
      <c r="LP1218" s="101"/>
      <c r="LQ1218" s="101"/>
      <c r="LR1218" s="101"/>
      <c r="LS1218" s="101"/>
      <c r="LT1218" s="101"/>
      <c r="LU1218" s="101"/>
      <c r="LV1218" s="101"/>
      <c r="LW1218" s="101"/>
      <c r="LX1218" s="101"/>
      <c r="LY1218" s="101"/>
      <c r="LZ1218" s="101"/>
      <c r="MA1218" s="101"/>
      <c r="MB1218" s="101"/>
      <c r="MC1218" s="101"/>
      <c r="MD1218" s="101"/>
      <c r="ME1218" s="101"/>
      <c r="MF1218" s="101"/>
      <c r="MG1218" s="101"/>
      <c r="MH1218" s="101"/>
      <c r="MI1218" s="101"/>
      <c r="MJ1218" s="101"/>
      <c r="MK1218" s="101"/>
      <c r="ML1218" s="101"/>
      <c r="MM1218" s="101"/>
      <c r="MN1218" s="101"/>
      <c r="MO1218" s="101"/>
      <c r="MP1218" s="101"/>
      <c r="MQ1218" s="101"/>
      <c r="MR1218" s="101"/>
      <c r="MS1218" s="101"/>
      <c r="MT1218" s="101"/>
      <c r="MU1218" s="101"/>
      <c r="MV1218" s="101"/>
      <c r="MW1218" s="101"/>
      <c r="MX1218" s="101"/>
      <c r="MY1218" s="101"/>
      <c r="MZ1218" s="101"/>
      <c r="NA1218" s="101"/>
      <c r="NB1218" s="101"/>
      <c r="NC1218" s="101"/>
      <c r="ND1218" s="101"/>
      <c r="NE1218" s="101"/>
      <c r="NF1218" s="101"/>
      <c r="NG1218" s="101"/>
      <c r="NH1218" s="101"/>
      <c r="NI1218" s="101"/>
      <c r="NJ1218" s="101"/>
      <c r="NK1218" s="101"/>
      <c r="NL1218" s="101"/>
      <c r="NM1218" s="101"/>
      <c r="NN1218" s="101"/>
      <c r="NO1218" s="101"/>
      <c r="NP1218" s="101"/>
      <c r="NQ1218" s="101"/>
      <c r="NR1218" s="101"/>
      <c r="NS1218" s="101"/>
      <c r="NT1218" s="101"/>
      <c r="NU1218" s="101"/>
      <c r="NV1218" s="101"/>
      <c r="NW1218" s="101"/>
      <c r="NX1218" s="101"/>
      <c r="NY1218" s="101"/>
      <c r="NZ1218" s="101"/>
      <c r="OA1218" s="101"/>
      <c r="OB1218" s="101"/>
      <c r="OC1218" s="101"/>
      <c r="OD1218" s="101"/>
      <c r="OE1218" s="101"/>
      <c r="OF1218" s="101"/>
      <c r="OG1218" s="101"/>
      <c r="OH1218" s="101"/>
      <c r="OI1218" s="101"/>
      <c r="OJ1218" s="101"/>
      <c r="OK1218" s="101"/>
      <c r="OL1218" s="101"/>
      <c r="OM1218" s="101"/>
      <c r="ON1218" s="101"/>
      <c r="OO1218" s="101"/>
      <c r="OP1218" s="101"/>
      <c r="OQ1218" s="101"/>
      <c r="OR1218" s="101"/>
      <c r="OS1218" s="101"/>
      <c r="OT1218" s="101"/>
      <c r="OU1218" s="101"/>
      <c r="OV1218" s="101"/>
      <c r="OW1218" s="101"/>
      <c r="OX1218" s="101"/>
      <c r="OY1218" s="101"/>
      <c r="OZ1218" s="101"/>
      <c r="PA1218" s="101"/>
      <c r="PB1218" s="101"/>
      <c r="PC1218" s="101"/>
      <c r="PD1218" s="101"/>
      <c r="PE1218" s="101"/>
      <c r="PF1218" s="101"/>
      <c r="PG1218" s="101"/>
      <c r="PH1218" s="101"/>
      <c r="PI1218" s="101"/>
      <c r="PJ1218" s="101"/>
      <c r="PK1218" s="101"/>
      <c r="PL1218" s="101"/>
      <c r="PM1218" s="101"/>
      <c r="PN1218" s="101"/>
      <c r="PO1218" s="101"/>
      <c r="PP1218" s="101"/>
      <c r="PQ1218" s="101"/>
      <c r="PR1218" s="101"/>
      <c r="PS1218" s="101"/>
      <c r="PT1218" s="101"/>
      <c r="PU1218" s="101"/>
      <c r="PV1218" s="101"/>
      <c r="PW1218" s="101"/>
      <c r="PX1218" s="101"/>
      <c r="PY1218" s="101"/>
      <c r="PZ1218" s="101"/>
      <c r="QA1218" s="101"/>
      <c r="QB1218" s="101"/>
      <c r="QC1218" s="101"/>
      <c r="QD1218" s="101"/>
      <c r="QE1218" s="101"/>
      <c r="QF1218" s="101"/>
      <c r="QG1218" s="101"/>
      <c r="QH1218" s="101"/>
      <c r="QI1218" s="101"/>
      <c r="QJ1218" s="101"/>
      <c r="QK1218" s="101"/>
      <c r="QL1218" s="101"/>
      <c r="QM1218" s="101"/>
      <c r="QN1218" s="101"/>
      <c r="QO1218" s="101"/>
      <c r="QP1218" s="101"/>
      <c r="QQ1218" s="101"/>
      <c r="QR1218" s="101"/>
      <c r="QS1218" s="101"/>
      <c r="QT1218" s="101"/>
      <c r="QU1218" s="101"/>
      <c r="QV1218" s="101"/>
      <c r="QW1218" s="101"/>
      <c r="QX1218" s="101"/>
      <c r="QY1218" s="101"/>
      <c r="QZ1218" s="101"/>
      <c r="RA1218" s="101"/>
      <c r="RB1218" s="101"/>
      <c r="RC1218" s="101"/>
      <c r="RD1218" s="101"/>
      <c r="RE1218" s="101"/>
      <c r="RF1218" s="101"/>
      <c r="RG1218" s="101"/>
      <c r="RH1218" s="101"/>
      <c r="RI1218" s="101"/>
      <c r="RJ1218" s="101"/>
      <c r="RK1218" s="101"/>
      <c r="RL1218" s="101"/>
      <c r="RM1218" s="101"/>
      <c r="RN1218" s="101"/>
      <c r="RO1218" s="101"/>
      <c r="RP1218" s="101"/>
      <c r="RQ1218" s="101"/>
      <c r="RR1218" s="101"/>
      <c r="RS1218" s="101"/>
      <c r="RT1218" s="101"/>
      <c r="RU1218" s="101"/>
      <c r="RV1218" s="101"/>
      <c r="RW1218" s="101"/>
      <c r="RX1218" s="101"/>
      <c r="RY1218" s="101"/>
      <c r="RZ1218" s="101"/>
      <c r="SA1218" s="101"/>
      <c r="SB1218" s="101"/>
      <c r="SC1218" s="101"/>
      <c r="SD1218" s="101"/>
      <c r="SE1218" s="101"/>
      <c r="SF1218" s="101"/>
      <c r="SG1218" s="101"/>
      <c r="SH1218" s="101"/>
      <c r="SI1218" s="101"/>
      <c r="SJ1218" s="101"/>
      <c r="SK1218" s="101"/>
      <c r="SL1218" s="101"/>
      <c r="SM1218" s="101"/>
      <c r="SN1218" s="101"/>
      <c r="SO1218" s="101"/>
      <c r="SP1218" s="101"/>
      <c r="SQ1218" s="101"/>
      <c r="SR1218" s="101"/>
      <c r="SS1218" s="101"/>
      <c r="ST1218" s="101"/>
      <c r="SU1218" s="101"/>
      <c r="SV1218" s="101"/>
      <c r="SW1218" s="101"/>
      <c r="SX1218" s="101"/>
      <c r="SY1218" s="101"/>
      <c r="SZ1218" s="101"/>
      <c r="TA1218" s="101"/>
      <c r="TB1218" s="101"/>
      <c r="TC1218" s="101"/>
      <c r="TD1218" s="101"/>
      <c r="TE1218" s="101"/>
      <c r="TF1218" s="101"/>
      <c r="TG1218" s="101"/>
      <c r="TH1218" s="101"/>
      <c r="TI1218" s="101"/>
      <c r="TJ1218" s="101"/>
      <c r="TK1218" s="101"/>
      <c r="TL1218" s="101"/>
      <c r="TM1218" s="101"/>
      <c r="TN1218" s="101"/>
      <c r="TO1218" s="101"/>
      <c r="TP1218" s="101"/>
      <c r="TQ1218" s="101"/>
      <c r="TR1218" s="101"/>
      <c r="TS1218" s="101"/>
      <c r="TT1218" s="101"/>
      <c r="TU1218" s="101"/>
      <c r="TV1218" s="101"/>
      <c r="TW1218" s="101"/>
      <c r="TX1218" s="101"/>
      <c r="TY1218" s="101"/>
      <c r="TZ1218" s="101"/>
      <c r="UA1218" s="101"/>
      <c r="UB1218" s="101"/>
      <c r="UC1218" s="101"/>
      <c r="UD1218" s="101"/>
      <c r="UE1218" s="101"/>
      <c r="UF1218" s="101"/>
      <c r="UG1218" s="23"/>
    </row>
    <row r="1219" spans="1:553" ht="42.75" customHeight="1">
      <c r="A1219" s="356"/>
      <c r="B1219" s="366" t="s">
        <v>31</v>
      </c>
      <c r="C1219" s="1388" t="s">
        <v>1028</v>
      </c>
      <c r="D1219" s="1389"/>
      <c r="E1219" s="1389"/>
      <c r="F1219" s="1390"/>
      <c r="G1219" s="366" t="s">
        <v>34</v>
      </c>
      <c r="H1219" s="370"/>
      <c r="I1219" s="834">
        <f>-(5*3.9)*2*0.11</f>
        <v>-4.29</v>
      </c>
      <c r="J1219" s="368">
        <v>1913917</v>
      </c>
      <c r="K1219" s="371"/>
      <c r="L1219" s="487">
        <f t="shared" si="183"/>
        <v>-8210703.9299999997</v>
      </c>
      <c r="M1219" s="356"/>
      <c r="N1219" s="356"/>
      <c r="O1219" s="356"/>
      <c r="P1219" s="356"/>
      <c r="Q1219" s="610"/>
      <c r="R1219" s="1226"/>
      <c r="S1219" s="308"/>
      <c r="T1219" s="308"/>
      <c r="U1219" s="308"/>
      <c r="V1219" s="308"/>
      <c r="W1219" s="308"/>
      <c r="X1219" s="308"/>
      <c r="Y1219" s="308"/>
      <c r="Z1219" s="604"/>
      <c r="AA1219" s="308"/>
      <c r="AB1219" s="308"/>
      <c r="AC1219" s="373"/>
      <c r="AD1219" s="373"/>
      <c r="AE1219" s="373"/>
      <c r="AF1219" s="373"/>
      <c r="AG1219" s="373"/>
      <c r="AH1219" s="373"/>
      <c r="AI1219" s="373"/>
      <c r="AJ1219" s="373"/>
      <c r="AK1219" s="389"/>
      <c r="AL1219" s="100"/>
      <c r="AM1219" s="27"/>
      <c r="AN1219" s="27"/>
      <c r="AO1219" s="27"/>
      <c r="AP1219" s="27"/>
      <c r="AQ1219" s="27"/>
      <c r="AR1219" s="27"/>
      <c r="AS1219" s="22"/>
      <c r="AT1219" s="22"/>
      <c r="AU1219" s="22"/>
      <c r="AV1219" s="22"/>
      <c r="AW1219" s="22"/>
      <c r="AX1219" s="22"/>
      <c r="AY1219" s="22"/>
      <c r="AZ1219" s="22"/>
      <c r="BA1219" s="22"/>
      <c r="BB1219" s="22"/>
      <c r="BC1219" s="22"/>
      <c r="BD1219" s="22"/>
      <c r="BE1219" s="22"/>
      <c r="BF1219" s="22"/>
      <c r="BG1219" s="22"/>
      <c r="BH1219" s="22"/>
      <c r="BI1219" s="22"/>
      <c r="BJ1219" s="22"/>
      <c r="BK1219" s="22"/>
      <c r="BL1219" s="22"/>
      <c r="BM1219" s="22"/>
      <c r="BN1219" s="22"/>
      <c r="BO1219" s="22"/>
      <c r="BP1219" s="22"/>
      <c r="BQ1219" s="22"/>
      <c r="BR1219" s="22"/>
      <c r="BS1219" s="22"/>
      <c r="BT1219" s="22"/>
      <c r="BU1219" s="22"/>
      <c r="BV1219" s="22"/>
      <c r="BW1219" s="22"/>
      <c r="BX1219" s="22"/>
      <c r="BY1219" s="22"/>
      <c r="BZ1219" s="22"/>
      <c r="CA1219" s="22"/>
      <c r="CB1219" s="22"/>
      <c r="CC1219" s="22"/>
      <c r="CD1219" s="22"/>
      <c r="CE1219" s="22"/>
      <c r="CF1219" s="22"/>
      <c r="CG1219" s="22"/>
      <c r="CH1219" s="22"/>
      <c r="CI1219" s="22"/>
      <c r="CJ1219" s="22"/>
      <c r="CK1219" s="22"/>
      <c r="CL1219" s="22"/>
      <c r="CM1219" s="22"/>
      <c r="CN1219" s="22"/>
      <c r="CO1219" s="22"/>
      <c r="CP1219" s="22"/>
      <c r="CQ1219" s="22"/>
      <c r="CR1219" s="22"/>
      <c r="CS1219" s="22"/>
      <c r="CT1219" s="22"/>
      <c r="CU1219" s="22"/>
      <c r="CV1219" s="22"/>
      <c r="CW1219" s="22"/>
      <c r="CX1219" s="22"/>
      <c r="CY1219" s="22"/>
      <c r="CZ1219" s="22"/>
      <c r="DA1219" s="22"/>
      <c r="DB1219" s="22"/>
      <c r="DC1219" s="22"/>
      <c r="DD1219" s="22"/>
      <c r="DE1219" s="22"/>
      <c r="DF1219" s="22"/>
      <c r="DG1219" s="22"/>
      <c r="DH1219" s="22"/>
      <c r="DI1219" s="22"/>
      <c r="DJ1219" s="22"/>
      <c r="DK1219" s="22"/>
      <c r="DL1219" s="22"/>
      <c r="DM1219" s="22"/>
      <c r="DN1219" s="22"/>
      <c r="DO1219" s="22"/>
      <c r="DP1219" s="22"/>
      <c r="DQ1219" s="22"/>
      <c r="DR1219" s="22"/>
      <c r="DS1219" s="22"/>
      <c r="DT1219" s="22"/>
      <c r="DU1219" s="22"/>
      <c r="DV1219" s="22"/>
      <c r="DW1219" s="22"/>
      <c r="DX1219" s="22"/>
      <c r="DY1219" s="22"/>
      <c r="DZ1219" s="22"/>
      <c r="EA1219" s="22"/>
      <c r="EB1219" s="22"/>
      <c r="EC1219" s="22"/>
      <c r="ED1219" s="22"/>
      <c r="EE1219" s="22"/>
      <c r="EF1219" s="22"/>
      <c r="EG1219" s="22"/>
      <c r="EH1219" s="22"/>
      <c r="EI1219" s="22"/>
      <c r="EJ1219" s="22"/>
      <c r="EK1219" s="22"/>
      <c r="EL1219" s="22"/>
      <c r="EM1219" s="22"/>
      <c r="EN1219" s="22"/>
      <c r="EO1219" s="22"/>
      <c r="EP1219" s="22"/>
      <c r="EQ1219" s="22"/>
      <c r="ER1219" s="22"/>
      <c r="ES1219" s="22"/>
      <c r="ET1219" s="22"/>
      <c r="EU1219" s="22"/>
      <c r="EV1219" s="22"/>
      <c r="EW1219" s="22"/>
      <c r="EX1219" s="22"/>
      <c r="EY1219" s="22"/>
      <c r="EZ1219" s="22"/>
      <c r="FA1219" s="22"/>
      <c r="FB1219" s="22"/>
      <c r="FC1219" s="22"/>
      <c r="FD1219" s="22"/>
      <c r="FE1219" s="22"/>
      <c r="FF1219" s="22"/>
      <c r="FG1219" s="22"/>
      <c r="FH1219" s="22"/>
      <c r="FI1219" s="22"/>
      <c r="FJ1219" s="22"/>
      <c r="FK1219" s="22"/>
      <c r="FL1219" s="22"/>
      <c r="FM1219" s="22"/>
      <c r="FN1219" s="22"/>
      <c r="FO1219" s="22"/>
      <c r="FP1219" s="22"/>
      <c r="FQ1219" s="22"/>
      <c r="FR1219" s="22"/>
      <c r="FS1219" s="22"/>
      <c r="FT1219" s="22"/>
      <c r="FU1219" s="22"/>
      <c r="FV1219" s="22"/>
      <c r="FW1219" s="22"/>
      <c r="FX1219" s="22"/>
      <c r="FY1219" s="22"/>
      <c r="FZ1219" s="22"/>
      <c r="GA1219" s="22"/>
      <c r="GB1219" s="22"/>
      <c r="GC1219" s="22"/>
      <c r="GD1219" s="22"/>
      <c r="GE1219" s="22"/>
      <c r="GF1219" s="22"/>
      <c r="GG1219" s="22"/>
      <c r="GH1219" s="22"/>
      <c r="GI1219" s="22"/>
      <c r="GJ1219" s="22"/>
      <c r="GK1219" s="22"/>
      <c r="GL1219" s="22"/>
      <c r="GM1219" s="22"/>
      <c r="GN1219" s="22"/>
      <c r="GO1219" s="22"/>
      <c r="GP1219" s="22"/>
      <c r="GQ1219" s="22"/>
      <c r="GR1219" s="22"/>
      <c r="GS1219" s="22"/>
      <c r="GT1219" s="22"/>
      <c r="GU1219" s="22"/>
      <c r="GV1219" s="22"/>
      <c r="GW1219" s="22"/>
      <c r="GX1219" s="22"/>
      <c r="GY1219" s="22"/>
      <c r="GZ1219" s="22"/>
      <c r="HA1219" s="22"/>
      <c r="HB1219" s="22"/>
      <c r="HC1219" s="22"/>
      <c r="HD1219" s="22"/>
      <c r="HE1219" s="22"/>
      <c r="HF1219" s="22"/>
      <c r="HG1219" s="22"/>
      <c r="HH1219" s="22"/>
      <c r="HI1219" s="22"/>
      <c r="HJ1219" s="22"/>
      <c r="HK1219" s="22"/>
      <c r="HL1219" s="22"/>
      <c r="HM1219" s="22"/>
      <c r="HN1219" s="22"/>
      <c r="HO1219" s="22"/>
      <c r="HP1219" s="22"/>
      <c r="HQ1219" s="22"/>
      <c r="HR1219" s="22"/>
      <c r="HS1219" s="22"/>
      <c r="HT1219" s="22"/>
      <c r="HU1219" s="22"/>
      <c r="HV1219" s="22"/>
      <c r="HW1219" s="22"/>
      <c r="HX1219" s="22"/>
      <c r="HY1219" s="22"/>
      <c r="HZ1219" s="22"/>
      <c r="IA1219" s="22"/>
      <c r="IB1219" s="22"/>
      <c r="IC1219" s="22"/>
      <c r="ID1219" s="22"/>
      <c r="IE1219" s="22"/>
      <c r="IF1219" s="22"/>
      <c r="IG1219" s="22"/>
      <c r="IH1219" s="22"/>
      <c r="II1219" s="22"/>
      <c r="IJ1219" s="22"/>
      <c r="IK1219" s="22"/>
      <c r="IL1219" s="22"/>
      <c r="IM1219" s="22"/>
      <c r="IN1219" s="22"/>
      <c r="IO1219" s="22"/>
      <c r="IP1219" s="22"/>
      <c r="IQ1219" s="22"/>
      <c r="IR1219" s="22"/>
      <c r="IS1219" s="22"/>
      <c r="IT1219" s="22"/>
      <c r="IU1219" s="22"/>
      <c r="IV1219" s="22"/>
      <c r="IW1219" s="22"/>
      <c r="IX1219" s="22"/>
      <c r="IY1219" s="22"/>
      <c r="IZ1219" s="22"/>
      <c r="JA1219" s="22"/>
      <c r="JB1219" s="22"/>
      <c r="JC1219" s="22"/>
      <c r="JD1219" s="22"/>
      <c r="JE1219" s="22"/>
      <c r="JF1219" s="22"/>
      <c r="JG1219" s="22"/>
      <c r="JH1219" s="22"/>
      <c r="JI1219" s="22"/>
      <c r="JJ1219" s="22"/>
      <c r="JK1219" s="22"/>
      <c r="JL1219" s="22"/>
      <c r="JM1219" s="22"/>
      <c r="JN1219" s="22"/>
      <c r="JO1219" s="22"/>
      <c r="JP1219" s="22"/>
      <c r="JQ1219" s="22"/>
      <c r="JR1219" s="22"/>
      <c r="JS1219" s="22"/>
      <c r="JT1219" s="22"/>
      <c r="JU1219" s="22"/>
      <c r="JV1219" s="22"/>
      <c r="JW1219" s="22"/>
      <c r="JX1219" s="22"/>
      <c r="JY1219" s="22"/>
      <c r="JZ1219" s="22"/>
      <c r="KA1219" s="22"/>
      <c r="KB1219" s="22"/>
      <c r="KC1219" s="22"/>
      <c r="KD1219" s="22"/>
      <c r="KE1219" s="22"/>
      <c r="KF1219" s="22"/>
      <c r="KG1219" s="22"/>
      <c r="KH1219" s="22"/>
      <c r="KI1219" s="22"/>
      <c r="KJ1219" s="22"/>
      <c r="KK1219" s="22"/>
      <c r="KL1219" s="22"/>
      <c r="KM1219" s="22"/>
      <c r="KN1219" s="22"/>
      <c r="KO1219" s="22"/>
      <c r="KP1219" s="22"/>
      <c r="KQ1219" s="22"/>
      <c r="KR1219" s="22"/>
      <c r="KS1219" s="22"/>
      <c r="KT1219" s="22"/>
      <c r="KU1219" s="22"/>
      <c r="KV1219" s="22"/>
      <c r="KW1219" s="22"/>
      <c r="KX1219" s="22"/>
      <c r="KY1219" s="22"/>
      <c r="KZ1219" s="22"/>
      <c r="LA1219" s="22"/>
      <c r="LB1219" s="22"/>
      <c r="LC1219" s="22"/>
      <c r="LD1219" s="22"/>
      <c r="LE1219" s="22"/>
      <c r="LF1219" s="22"/>
      <c r="LG1219" s="22"/>
      <c r="LH1219" s="22"/>
      <c r="LI1219" s="22"/>
      <c r="LJ1219" s="22"/>
      <c r="LK1219" s="22"/>
      <c r="LL1219" s="22"/>
      <c r="LM1219" s="22"/>
      <c r="LN1219" s="22"/>
      <c r="LO1219" s="22"/>
      <c r="LP1219" s="22"/>
      <c r="LQ1219" s="22"/>
      <c r="LR1219" s="22"/>
      <c r="LS1219" s="22"/>
      <c r="LT1219" s="22"/>
      <c r="LU1219" s="22"/>
      <c r="LV1219" s="22"/>
      <c r="LW1219" s="22"/>
      <c r="LX1219" s="22"/>
      <c r="LY1219" s="22"/>
      <c r="LZ1219" s="22"/>
      <c r="MA1219" s="22"/>
      <c r="MB1219" s="22"/>
      <c r="MC1219" s="22"/>
      <c r="MD1219" s="22"/>
      <c r="ME1219" s="22"/>
      <c r="MF1219" s="22"/>
      <c r="MG1219" s="22"/>
      <c r="MH1219" s="22"/>
      <c r="MI1219" s="22"/>
      <c r="MJ1219" s="22"/>
      <c r="MK1219" s="22"/>
      <c r="ML1219" s="22"/>
      <c r="MM1219" s="22"/>
      <c r="MN1219" s="22"/>
      <c r="MO1219" s="22"/>
      <c r="MP1219" s="22"/>
      <c r="MQ1219" s="22"/>
      <c r="MR1219" s="22"/>
      <c r="MS1219" s="22"/>
      <c r="MT1219" s="22"/>
      <c r="MU1219" s="22"/>
      <c r="MV1219" s="22"/>
      <c r="MW1219" s="22"/>
      <c r="MX1219" s="22"/>
      <c r="MY1219" s="22"/>
      <c r="MZ1219" s="22"/>
      <c r="NA1219" s="22"/>
      <c r="NB1219" s="22"/>
      <c r="NC1219" s="22"/>
      <c r="ND1219" s="22"/>
      <c r="NE1219" s="22"/>
      <c r="NF1219" s="22"/>
      <c r="NG1219" s="22"/>
      <c r="NH1219" s="22"/>
      <c r="NI1219" s="22"/>
      <c r="NJ1219" s="22"/>
      <c r="NK1219" s="22"/>
      <c r="NL1219" s="22"/>
      <c r="NM1219" s="22"/>
      <c r="NN1219" s="22"/>
      <c r="NO1219" s="22"/>
      <c r="NP1219" s="22"/>
      <c r="NQ1219" s="22"/>
      <c r="NR1219" s="22"/>
      <c r="NS1219" s="22"/>
      <c r="NT1219" s="22"/>
      <c r="NU1219" s="22"/>
      <c r="NV1219" s="22"/>
      <c r="NW1219" s="22"/>
      <c r="NX1219" s="22"/>
      <c r="NY1219" s="22"/>
      <c r="NZ1219" s="22"/>
      <c r="OA1219" s="22"/>
      <c r="OB1219" s="22"/>
      <c r="OC1219" s="22"/>
      <c r="OD1219" s="22"/>
      <c r="OE1219" s="22"/>
      <c r="OF1219" s="22"/>
      <c r="OG1219" s="22"/>
      <c r="OH1219" s="22"/>
      <c r="OI1219" s="22"/>
      <c r="OJ1219" s="22"/>
      <c r="OK1219" s="22"/>
      <c r="OL1219" s="22"/>
      <c r="OM1219" s="22"/>
      <c r="ON1219" s="22"/>
      <c r="OO1219" s="22"/>
      <c r="OP1219" s="22"/>
      <c r="OQ1219" s="22"/>
      <c r="OR1219" s="22"/>
      <c r="OS1219" s="22"/>
      <c r="OT1219" s="22"/>
      <c r="OU1219" s="22"/>
      <c r="OV1219" s="22"/>
      <c r="OW1219" s="22"/>
      <c r="OX1219" s="22"/>
      <c r="OY1219" s="22"/>
      <c r="OZ1219" s="22"/>
      <c r="PA1219" s="22"/>
      <c r="PB1219" s="22"/>
      <c r="PC1219" s="22"/>
      <c r="PD1219" s="22"/>
      <c r="PE1219" s="22"/>
      <c r="PF1219" s="22"/>
      <c r="PG1219" s="22"/>
      <c r="PH1219" s="22"/>
      <c r="PI1219" s="22"/>
      <c r="PJ1219" s="22"/>
      <c r="PK1219" s="22"/>
      <c r="PL1219" s="22"/>
      <c r="PM1219" s="22"/>
      <c r="PN1219" s="22"/>
      <c r="PO1219" s="22"/>
      <c r="PP1219" s="22"/>
      <c r="PQ1219" s="22"/>
      <c r="PR1219" s="22"/>
      <c r="PS1219" s="22"/>
      <c r="PT1219" s="22"/>
      <c r="PU1219" s="22"/>
      <c r="PV1219" s="22"/>
      <c r="PW1219" s="22"/>
      <c r="PX1219" s="22"/>
      <c r="PY1219" s="22"/>
      <c r="PZ1219" s="22"/>
      <c r="QA1219" s="22"/>
      <c r="QB1219" s="22"/>
      <c r="QC1219" s="22"/>
      <c r="QD1219" s="22"/>
      <c r="QE1219" s="22"/>
      <c r="QF1219" s="22"/>
      <c r="QG1219" s="22"/>
      <c r="QH1219" s="22"/>
      <c r="QI1219" s="22"/>
      <c r="QJ1219" s="22"/>
      <c r="QK1219" s="22"/>
      <c r="QL1219" s="22"/>
      <c r="QM1219" s="22"/>
      <c r="QN1219" s="22"/>
      <c r="QO1219" s="22"/>
      <c r="QP1219" s="22"/>
      <c r="QQ1219" s="22"/>
      <c r="QR1219" s="22"/>
      <c r="QS1219" s="22"/>
      <c r="QT1219" s="22"/>
      <c r="QU1219" s="22"/>
      <c r="QV1219" s="22"/>
      <c r="QW1219" s="22"/>
      <c r="QX1219" s="22"/>
      <c r="QY1219" s="22"/>
      <c r="QZ1219" s="22"/>
      <c r="RA1219" s="22"/>
      <c r="RB1219" s="22"/>
      <c r="RC1219" s="22"/>
      <c r="RD1219" s="22"/>
      <c r="RE1219" s="22"/>
      <c r="RF1219" s="22"/>
      <c r="RG1219" s="22"/>
      <c r="RH1219" s="22"/>
      <c r="RI1219" s="22"/>
      <c r="RJ1219" s="22"/>
      <c r="RK1219" s="22"/>
      <c r="RL1219" s="22"/>
      <c r="RM1219" s="22"/>
      <c r="RN1219" s="22"/>
      <c r="RO1219" s="22"/>
      <c r="RP1219" s="22"/>
      <c r="RQ1219" s="22"/>
      <c r="RR1219" s="22"/>
      <c r="RS1219" s="22"/>
      <c r="RT1219" s="22"/>
      <c r="RU1219" s="22"/>
      <c r="RV1219" s="22"/>
      <c r="RW1219" s="22"/>
      <c r="RX1219" s="22"/>
      <c r="RY1219" s="22"/>
      <c r="RZ1219" s="22"/>
      <c r="SA1219" s="22"/>
      <c r="SB1219" s="22"/>
      <c r="SC1219" s="22"/>
      <c r="SD1219" s="22"/>
      <c r="SE1219" s="22"/>
      <c r="SF1219" s="22"/>
      <c r="SG1219" s="22"/>
      <c r="SH1219" s="22"/>
      <c r="SI1219" s="22"/>
      <c r="SJ1219" s="22"/>
      <c r="SK1219" s="22"/>
      <c r="SL1219" s="22"/>
      <c r="SM1219" s="22"/>
      <c r="SN1219" s="22"/>
      <c r="SO1219" s="22"/>
      <c r="SP1219" s="22"/>
      <c r="SQ1219" s="22"/>
      <c r="SR1219" s="22"/>
      <c r="SS1219" s="22"/>
      <c r="ST1219" s="22"/>
      <c r="SU1219" s="22"/>
      <c r="SV1219" s="22"/>
      <c r="SW1219" s="22"/>
      <c r="SX1219" s="22"/>
      <c r="SY1219" s="22"/>
      <c r="SZ1219" s="22"/>
      <c r="TA1219" s="22"/>
      <c r="TB1219" s="22"/>
      <c r="TC1219" s="22"/>
      <c r="TD1219" s="22"/>
      <c r="TE1219" s="22"/>
      <c r="TF1219" s="22"/>
      <c r="TG1219" s="22"/>
      <c r="TH1219" s="22"/>
      <c r="TI1219" s="22"/>
      <c r="TJ1219" s="22"/>
      <c r="TK1219" s="22"/>
      <c r="TL1219" s="22"/>
      <c r="TM1219" s="22"/>
      <c r="TN1219" s="22"/>
      <c r="TO1219" s="22"/>
      <c r="TP1219" s="22"/>
      <c r="TQ1219" s="22"/>
      <c r="TR1219" s="22"/>
      <c r="TS1219" s="22"/>
      <c r="TT1219" s="22"/>
      <c r="TU1219" s="22"/>
      <c r="TV1219" s="22"/>
      <c r="TW1219" s="22"/>
      <c r="TX1219" s="22"/>
      <c r="TY1219" s="22"/>
      <c r="TZ1219" s="22"/>
      <c r="UA1219" s="22"/>
      <c r="UB1219" s="22"/>
      <c r="UC1219" s="22"/>
      <c r="UD1219" s="22"/>
      <c r="UE1219" s="22"/>
      <c r="UF1219" s="22"/>
      <c r="UG1219" s="23"/>
    </row>
    <row r="1220" spans="1:553" ht="26.5" customHeight="1">
      <c r="A1220" s="356"/>
      <c r="B1220" s="366">
        <v>39</v>
      </c>
      <c r="C1220" s="1535" t="s">
        <v>1029</v>
      </c>
      <c r="D1220" s="1389"/>
      <c r="E1220" s="1389"/>
      <c r="F1220" s="1390"/>
      <c r="G1220" s="366" t="s">
        <v>33</v>
      </c>
      <c r="H1220" s="370"/>
      <c r="I1220" s="834">
        <f>-((10.9*5)+(7*1.9))</f>
        <v>-67.8</v>
      </c>
      <c r="J1220" s="368">
        <v>90900</v>
      </c>
      <c r="K1220" s="371"/>
      <c r="L1220" s="487">
        <f t="shared" si="183"/>
        <v>-6163020</v>
      </c>
      <c r="M1220" s="356"/>
      <c r="N1220" s="356"/>
      <c r="O1220" s="356"/>
      <c r="P1220" s="356"/>
      <c r="Q1220" s="610"/>
      <c r="R1220" s="1226"/>
      <c r="S1220" s="308"/>
      <c r="T1220" s="308"/>
      <c r="U1220" s="308"/>
      <c r="V1220" s="308"/>
      <c r="W1220" s="308"/>
      <c r="X1220" s="308"/>
      <c r="Y1220" s="308"/>
      <c r="Z1220" s="604"/>
      <c r="AA1220" s="308"/>
      <c r="AB1220" s="308"/>
      <c r="AC1220" s="373"/>
      <c r="AD1220" s="373"/>
      <c r="AE1220" s="373"/>
      <c r="AF1220" s="373"/>
      <c r="AG1220" s="373"/>
      <c r="AH1220" s="373"/>
      <c r="AI1220" s="373"/>
      <c r="AJ1220" s="373"/>
      <c r="AK1220" s="389"/>
      <c r="AL1220" s="100"/>
      <c r="AM1220" s="27"/>
      <c r="AN1220" s="27"/>
      <c r="AO1220" s="27"/>
      <c r="AP1220" s="27"/>
      <c r="AQ1220" s="27"/>
      <c r="AR1220" s="27"/>
      <c r="AS1220" s="22"/>
      <c r="AT1220" s="22"/>
      <c r="AU1220" s="22"/>
      <c r="AV1220" s="22"/>
      <c r="AW1220" s="22"/>
      <c r="AX1220" s="22"/>
      <c r="AY1220" s="22"/>
      <c r="AZ1220" s="22"/>
      <c r="BA1220" s="22"/>
      <c r="BB1220" s="22"/>
      <c r="BC1220" s="22"/>
      <c r="BD1220" s="22"/>
      <c r="BE1220" s="22"/>
      <c r="BF1220" s="22"/>
      <c r="BG1220" s="22"/>
      <c r="BH1220" s="22"/>
      <c r="BI1220" s="22"/>
      <c r="BJ1220" s="22"/>
      <c r="BK1220" s="22"/>
      <c r="BL1220" s="22"/>
      <c r="BM1220" s="22"/>
      <c r="BN1220" s="22"/>
      <c r="BO1220" s="22"/>
      <c r="BP1220" s="22"/>
      <c r="BQ1220" s="22"/>
      <c r="BR1220" s="22"/>
      <c r="BS1220" s="22"/>
      <c r="BT1220" s="22"/>
      <c r="BU1220" s="22"/>
      <c r="BV1220" s="22"/>
      <c r="BW1220" s="22"/>
      <c r="BX1220" s="22"/>
      <c r="BY1220" s="22"/>
      <c r="BZ1220" s="22"/>
      <c r="CA1220" s="22"/>
      <c r="CB1220" s="22"/>
      <c r="CC1220" s="22"/>
      <c r="CD1220" s="22"/>
      <c r="CE1220" s="22"/>
      <c r="CF1220" s="22"/>
      <c r="CG1220" s="22"/>
      <c r="CH1220" s="22"/>
      <c r="CI1220" s="22"/>
      <c r="CJ1220" s="22"/>
      <c r="CK1220" s="22"/>
      <c r="CL1220" s="22"/>
      <c r="CM1220" s="22"/>
      <c r="CN1220" s="22"/>
      <c r="CO1220" s="22"/>
      <c r="CP1220" s="22"/>
      <c r="CQ1220" s="22"/>
      <c r="CR1220" s="22"/>
      <c r="CS1220" s="22"/>
      <c r="CT1220" s="22"/>
      <c r="CU1220" s="22"/>
      <c r="CV1220" s="22"/>
      <c r="CW1220" s="22"/>
      <c r="CX1220" s="22"/>
      <c r="CY1220" s="22"/>
      <c r="CZ1220" s="22"/>
      <c r="DA1220" s="22"/>
      <c r="DB1220" s="22"/>
      <c r="DC1220" s="22"/>
      <c r="DD1220" s="22"/>
      <c r="DE1220" s="22"/>
      <c r="DF1220" s="22"/>
      <c r="DG1220" s="22"/>
      <c r="DH1220" s="22"/>
      <c r="DI1220" s="22"/>
      <c r="DJ1220" s="22"/>
      <c r="DK1220" s="22"/>
      <c r="DL1220" s="22"/>
      <c r="DM1220" s="22"/>
      <c r="DN1220" s="22"/>
      <c r="DO1220" s="22"/>
      <c r="DP1220" s="22"/>
      <c r="DQ1220" s="22"/>
      <c r="DR1220" s="22"/>
      <c r="DS1220" s="22"/>
      <c r="DT1220" s="22"/>
      <c r="DU1220" s="22"/>
      <c r="DV1220" s="22"/>
      <c r="DW1220" s="22"/>
      <c r="DX1220" s="22"/>
      <c r="DY1220" s="22"/>
      <c r="DZ1220" s="22"/>
      <c r="EA1220" s="22"/>
      <c r="EB1220" s="22"/>
      <c r="EC1220" s="22"/>
      <c r="ED1220" s="22"/>
      <c r="EE1220" s="22"/>
      <c r="EF1220" s="22"/>
      <c r="EG1220" s="22"/>
      <c r="EH1220" s="22"/>
      <c r="EI1220" s="22"/>
      <c r="EJ1220" s="22"/>
      <c r="EK1220" s="22"/>
      <c r="EL1220" s="22"/>
      <c r="EM1220" s="22"/>
      <c r="EN1220" s="22"/>
      <c r="EO1220" s="22"/>
      <c r="EP1220" s="22"/>
      <c r="EQ1220" s="22"/>
      <c r="ER1220" s="22"/>
      <c r="ES1220" s="22"/>
      <c r="ET1220" s="22"/>
      <c r="EU1220" s="22"/>
      <c r="EV1220" s="22"/>
      <c r="EW1220" s="22"/>
      <c r="EX1220" s="22"/>
      <c r="EY1220" s="22"/>
      <c r="EZ1220" s="22"/>
      <c r="FA1220" s="22"/>
      <c r="FB1220" s="22"/>
      <c r="FC1220" s="22"/>
      <c r="FD1220" s="22"/>
      <c r="FE1220" s="22"/>
      <c r="FF1220" s="22"/>
      <c r="FG1220" s="22"/>
      <c r="FH1220" s="22"/>
      <c r="FI1220" s="22"/>
      <c r="FJ1220" s="22"/>
      <c r="FK1220" s="22"/>
      <c r="FL1220" s="22"/>
      <c r="FM1220" s="22"/>
      <c r="FN1220" s="22"/>
      <c r="FO1220" s="22"/>
      <c r="FP1220" s="22"/>
      <c r="FQ1220" s="22"/>
      <c r="FR1220" s="22"/>
      <c r="FS1220" s="22"/>
      <c r="FT1220" s="22"/>
      <c r="FU1220" s="22"/>
      <c r="FV1220" s="22"/>
      <c r="FW1220" s="22"/>
      <c r="FX1220" s="22"/>
      <c r="FY1220" s="22"/>
      <c r="FZ1220" s="22"/>
      <c r="GA1220" s="22"/>
      <c r="GB1220" s="22"/>
      <c r="GC1220" s="22"/>
      <c r="GD1220" s="22"/>
      <c r="GE1220" s="22"/>
      <c r="GF1220" s="22"/>
      <c r="GG1220" s="22"/>
      <c r="GH1220" s="22"/>
      <c r="GI1220" s="22"/>
      <c r="GJ1220" s="22"/>
      <c r="GK1220" s="22"/>
      <c r="GL1220" s="22"/>
      <c r="GM1220" s="22"/>
      <c r="GN1220" s="22"/>
      <c r="GO1220" s="22"/>
      <c r="GP1220" s="22"/>
      <c r="GQ1220" s="22"/>
      <c r="GR1220" s="22"/>
      <c r="GS1220" s="22"/>
      <c r="GT1220" s="22"/>
      <c r="GU1220" s="22"/>
      <c r="GV1220" s="22"/>
      <c r="GW1220" s="22"/>
      <c r="GX1220" s="22"/>
      <c r="GY1220" s="22"/>
      <c r="GZ1220" s="22"/>
      <c r="HA1220" s="22"/>
      <c r="HB1220" s="22"/>
      <c r="HC1220" s="22"/>
      <c r="HD1220" s="22"/>
      <c r="HE1220" s="22"/>
      <c r="HF1220" s="22"/>
      <c r="HG1220" s="22"/>
      <c r="HH1220" s="22"/>
      <c r="HI1220" s="22"/>
      <c r="HJ1220" s="22"/>
      <c r="HK1220" s="22"/>
      <c r="HL1220" s="22"/>
      <c r="HM1220" s="22"/>
      <c r="HN1220" s="22"/>
      <c r="HO1220" s="22"/>
      <c r="HP1220" s="22"/>
      <c r="HQ1220" s="22"/>
      <c r="HR1220" s="22"/>
      <c r="HS1220" s="22"/>
      <c r="HT1220" s="22"/>
      <c r="HU1220" s="22"/>
      <c r="HV1220" s="22"/>
      <c r="HW1220" s="22"/>
      <c r="HX1220" s="22"/>
      <c r="HY1220" s="22"/>
      <c r="HZ1220" s="22"/>
      <c r="IA1220" s="22"/>
      <c r="IB1220" s="22"/>
      <c r="IC1220" s="22"/>
      <c r="ID1220" s="22"/>
      <c r="IE1220" s="22"/>
      <c r="IF1220" s="22"/>
      <c r="IG1220" s="22"/>
      <c r="IH1220" s="22"/>
      <c r="II1220" s="22"/>
      <c r="IJ1220" s="22"/>
      <c r="IK1220" s="22"/>
      <c r="IL1220" s="22"/>
      <c r="IM1220" s="22"/>
      <c r="IN1220" s="22"/>
      <c r="IO1220" s="22"/>
      <c r="IP1220" s="22"/>
      <c r="IQ1220" s="22"/>
      <c r="IR1220" s="22"/>
      <c r="IS1220" s="22"/>
      <c r="IT1220" s="22"/>
      <c r="IU1220" s="22"/>
      <c r="IV1220" s="22"/>
      <c r="IW1220" s="22"/>
      <c r="IX1220" s="22"/>
      <c r="IY1220" s="22"/>
      <c r="IZ1220" s="22"/>
      <c r="JA1220" s="22"/>
      <c r="JB1220" s="22"/>
      <c r="JC1220" s="22"/>
      <c r="JD1220" s="22"/>
      <c r="JE1220" s="22"/>
      <c r="JF1220" s="22"/>
      <c r="JG1220" s="22"/>
      <c r="JH1220" s="22"/>
      <c r="JI1220" s="22"/>
      <c r="JJ1220" s="22"/>
      <c r="JK1220" s="22"/>
      <c r="JL1220" s="22"/>
      <c r="JM1220" s="22"/>
      <c r="JN1220" s="22"/>
      <c r="JO1220" s="22"/>
      <c r="JP1220" s="22"/>
      <c r="JQ1220" s="22"/>
      <c r="JR1220" s="22"/>
      <c r="JS1220" s="22"/>
      <c r="JT1220" s="22"/>
      <c r="JU1220" s="22"/>
      <c r="JV1220" s="22"/>
      <c r="JW1220" s="22"/>
      <c r="JX1220" s="22"/>
      <c r="JY1220" s="22"/>
      <c r="JZ1220" s="22"/>
      <c r="KA1220" s="22"/>
      <c r="KB1220" s="22"/>
      <c r="KC1220" s="22"/>
      <c r="KD1220" s="22"/>
      <c r="KE1220" s="22"/>
      <c r="KF1220" s="22"/>
      <c r="KG1220" s="22"/>
      <c r="KH1220" s="22"/>
      <c r="KI1220" s="22"/>
      <c r="KJ1220" s="22"/>
      <c r="KK1220" s="22"/>
      <c r="KL1220" s="22"/>
      <c r="KM1220" s="22"/>
      <c r="KN1220" s="22"/>
      <c r="KO1220" s="22"/>
      <c r="KP1220" s="22"/>
      <c r="KQ1220" s="22"/>
      <c r="KR1220" s="22"/>
      <c r="KS1220" s="22"/>
      <c r="KT1220" s="22"/>
      <c r="KU1220" s="22"/>
      <c r="KV1220" s="22"/>
      <c r="KW1220" s="22"/>
      <c r="KX1220" s="22"/>
      <c r="KY1220" s="22"/>
      <c r="KZ1220" s="22"/>
      <c r="LA1220" s="22"/>
      <c r="LB1220" s="22"/>
      <c r="LC1220" s="22"/>
      <c r="LD1220" s="22"/>
      <c r="LE1220" s="22"/>
      <c r="LF1220" s="22"/>
      <c r="LG1220" s="22"/>
      <c r="LH1220" s="22"/>
      <c r="LI1220" s="22"/>
      <c r="LJ1220" s="22"/>
      <c r="LK1220" s="22"/>
      <c r="LL1220" s="22"/>
      <c r="LM1220" s="22"/>
      <c r="LN1220" s="22"/>
      <c r="LO1220" s="22"/>
      <c r="LP1220" s="22"/>
      <c r="LQ1220" s="22"/>
      <c r="LR1220" s="22"/>
      <c r="LS1220" s="22"/>
      <c r="LT1220" s="22"/>
      <c r="LU1220" s="22"/>
      <c r="LV1220" s="22"/>
      <c r="LW1220" s="22"/>
      <c r="LX1220" s="22"/>
      <c r="LY1220" s="22"/>
      <c r="LZ1220" s="22"/>
      <c r="MA1220" s="22"/>
      <c r="MB1220" s="22"/>
      <c r="MC1220" s="22"/>
      <c r="MD1220" s="22"/>
      <c r="ME1220" s="22"/>
      <c r="MF1220" s="22"/>
      <c r="MG1220" s="22"/>
      <c r="MH1220" s="22"/>
      <c r="MI1220" s="22"/>
      <c r="MJ1220" s="22"/>
      <c r="MK1220" s="22"/>
      <c r="ML1220" s="22"/>
      <c r="MM1220" s="22"/>
      <c r="MN1220" s="22"/>
      <c r="MO1220" s="22"/>
      <c r="MP1220" s="22"/>
      <c r="MQ1220" s="22"/>
      <c r="MR1220" s="22"/>
      <c r="MS1220" s="22"/>
      <c r="MT1220" s="22"/>
      <c r="MU1220" s="22"/>
      <c r="MV1220" s="22"/>
      <c r="MW1220" s="22"/>
      <c r="MX1220" s="22"/>
      <c r="MY1220" s="22"/>
      <c r="MZ1220" s="22"/>
      <c r="NA1220" s="22"/>
      <c r="NB1220" s="22"/>
      <c r="NC1220" s="22"/>
      <c r="ND1220" s="22"/>
      <c r="NE1220" s="22"/>
      <c r="NF1220" s="22"/>
      <c r="NG1220" s="22"/>
      <c r="NH1220" s="22"/>
      <c r="NI1220" s="22"/>
      <c r="NJ1220" s="22"/>
      <c r="NK1220" s="22"/>
      <c r="NL1220" s="22"/>
      <c r="NM1220" s="22"/>
      <c r="NN1220" s="22"/>
      <c r="NO1220" s="22"/>
      <c r="NP1220" s="22"/>
      <c r="NQ1220" s="22"/>
      <c r="NR1220" s="22"/>
      <c r="NS1220" s="22"/>
      <c r="NT1220" s="22"/>
      <c r="NU1220" s="22"/>
      <c r="NV1220" s="22"/>
      <c r="NW1220" s="22"/>
      <c r="NX1220" s="22"/>
      <c r="NY1220" s="22"/>
      <c r="NZ1220" s="22"/>
      <c r="OA1220" s="22"/>
      <c r="OB1220" s="22"/>
      <c r="OC1220" s="22"/>
      <c r="OD1220" s="22"/>
      <c r="OE1220" s="22"/>
      <c r="OF1220" s="22"/>
      <c r="OG1220" s="22"/>
      <c r="OH1220" s="22"/>
      <c r="OI1220" s="22"/>
      <c r="OJ1220" s="22"/>
      <c r="OK1220" s="22"/>
      <c r="OL1220" s="22"/>
      <c r="OM1220" s="22"/>
      <c r="ON1220" s="22"/>
      <c r="OO1220" s="22"/>
      <c r="OP1220" s="22"/>
      <c r="OQ1220" s="22"/>
      <c r="OR1220" s="22"/>
      <c r="OS1220" s="22"/>
      <c r="OT1220" s="22"/>
      <c r="OU1220" s="22"/>
      <c r="OV1220" s="22"/>
      <c r="OW1220" s="22"/>
      <c r="OX1220" s="22"/>
      <c r="OY1220" s="22"/>
      <c r="OZ1220" s="22"/>
      <c r="PA1220" s="22"/>
      <c r="PB1220" s="22"/>
      <c r="PC1220" s="22"/>
      <c r="PD1220" s="22"/>
      <c r="PE1220" s="22"/>
      <c r="PF1220" s="22"/>
      <c r="PG1220" s="22"/>
      <c r="PH1220" s="22"/>
      <c r="PI1220" s="22"/>
      <c r="PJ1220" s="22"/>
      <c r="PK1220" s="22"/>
      <c r="PL1220" s="22"/>
      <c r="PM1220" s="22"/>
      <c r="PN1220" s="22"/>
      <c r="PO1220" s="22"/>
      <c r="PP1220" s="22"/>
      <c r="PQ1220" s="22"/>
      <c r="PR1220" s="22"/>
      <c r="PS1220" s="22"/>
      <c r="PT1220" s="22"/>
      <c r="PU1220" s="22"/>
      <c r="PV1220" s="22"/>
      <c r="PW1220" s="22"/>
      <c r="PX1220" s="22"/>
      <c r="PY1220" s="22"/>
      <c r="PZ1220" s="22"/>
      <c r="QA1220" s="22"/>
      <c r="QB1220" s="22"/>
      <c r="QC1220" s="22"/>
      <c r="QD1220" s="22"/>
      <c r="QE1220" s="22"/>
      <c r="QF1220" s="22"/>
      <c r="QG1220" s="22"/>
      <c r="QH1220" s="22"/>
      <c r="QI1220" s="22"/>
      <c r="QJ1220" s="22"/>
      <c r="QK1220" s="22"/>
      <c r="QL1220" s="22"/>
      <c r="QM1220" s="22"/>
      <c r="QN1220" s="22"/>
      <c r="QO1220" s="22"/>
      <c r="QP1220" s="22"/>
      <c r="QQ1220" s="22"/>
      <c r="QR1220" s="22"/>
      <c r="QS1220" s="22"/>
      <c r="QT1220" s="22"/>
      <c r="QU1220" s="22"/>
      <c r="QV1220" s="22"/>
      <c r="QW1220" s="22"/>
      <c r="QX1220" s="22"/>
      <c r="QY1220" s="22"/>
      <c r="QZ1220" s="22"/>
      <c r="RA1220" s="22"/>
      <c r="RB1220" s="22"/>
      <c r="RC1220" s="22"/>
      <c r="RD1220" s="22"/>
      <c r="RE1220" s="22"/>
      <c r="RF1220" s="22"/>
      <c r="RG1220" s="22"/>
      <c r="RH1220" s="22"/>
      <c r="RI1220" s="22"/>
      <c r="RJ1220" s="22"/>
      <c r="RK1220" s="22"/>
      <c r="RL1220" s="22"/>
      <c r="RM1220" s="22"/>
      <c r="RN1220" s="22"/>
      <c r="RO1220" s="22"/>
      <c r="RP1220" s="22"/>
      <c r="RQ1220" s="22"/>
      <c r="RR1220" s="22"/>
      <c r="RS1220" s="22"/>
      <c r="RT1220" s="22"/>
      <c r="RU1220" s="22"/>
      <c r="RV1220" s="22"/>
      <c r="RW1220" s="22"/>
      <c r="RX1220" s="22"/>
      <c r="RY1220" s="22"/>
      <c r="RZ1220" s="22"/>
      <c r="SA1220" s="22"/>
      <c r="SB1220" s="22"/>
      <c r="SC1220" s="22"/>
      <c r="SD1220" s="22"/>
      <c r="SE1220" s="22"/>
      <c r="SF1220" s="22"/>
      <c r="SG1220" s="22"/>
      <c r="SH1220" s="22"/>
      <c r="SI1220" s="22"/>
      <c r="SJ1220" s="22"/>
      <c r="SK1220" s="22"/>
      <c r="SL1220" s="22"/>
      <c r="SM1220" s="22"/>
      <c r="SN1220" s="22"/>
      <c r="SO1220" s="22"/>
      <c r="SP1220" s="22"/>
      <c r="SQ1220" s="22"/>
      <c r="SR1220" s="22"/>
      <c r="SS1220" s="22"/>
      <c r="ST1220" s="22"/>
      <c r="SU1220" s="22"/>
      <c r="SV1220" s="22"/>
      <c r="SW1220" s="22"/>
      <c r="SX1220" s="22"/>
      <c r="SY1220" s="22"/>
      <c r="SZ1220" s="22"/>
      <c r="TA1220" s="22"/>
      <c r="TB1220" s="22"/>
      <c r="TC1220" s="22"/>
      <c r="TD1220" s="22"/>
      <c r="TE1220" s="22"/>
      <c r="TF1220" s="22"/>
      <c r="TG1220" s="22"/>
      <c r="TH1220" s="22"/>
      <c r="TI1220" s="22"/>
      <c r="TJ1220" s="22"/>
      <c r="TK1220" s="22"/>
      <c r="TL1220" s="22"/>
      <c r="TM1220" s="22"/>
      <c r="TN1220" s="22"/>
      <c r="TO1220" s="22"/>
      <c r="TP1220" s="22"/>
      <c r="TQ1220" s="22"/>
      <c r="TR1220" s="22"/>
      <c r="TS1220" s="22"/>
      <c r="TT1220" s="22"/>
      <c r="TU1220" s="22"/>
      <c r="TV1220" s="22"/>
      <c r="TW1220" s="22"/>
      <c r="TX1220" s="22"/>
      <c r="TY1220" s="22"/>
      <c r="TZ1220" s="22"/>
      <c r="UA1220" s="22"/>
      <c r="UB1220" s="22"/>
      <c r="UC1220" s="22"/>
      <c r="UD1220" s="22"/>
      <c r="UE1220" s="22"/>
      <c r="UF1220" s="22"/>
      <c r="UG1220" s="23"/>
    </row>
    <row r="1221" spans="1:553" ht="77.25" customHeight="1">
      <c r="A1221" s="356"/>
      <c r="B1221" s="366">
        <v>106</v>
      </c>
      <c r="C1221" s="1535" t="s">
        <v>1023</v>
      </c>
      <c r="D1221" s="1389"/>
      <c r="E1221" s="1389"/>
      <c r="F1221" s="1390"/>
      <c r="G1221" s="366" t="s">
        <v>33</v>
      </c>
      <c r="H1221" s="370"/>
      <c r="I1221" s="741">
        <f>4.9*2.2</f>
        <v>10.780000000000001</v>
      </c>
      <c r="J1221" s="747">
        <v>1239600</v>
      </c>
      <c r="K1221" s="781"/>
      <c r="L1221" s="744">
        <f t="shared" si="183"/>
        <v>13362888.000000002</v>
      </c>
      <c r="M1221" s="356"/>
      <c r="N1221" s="356"/>
      <c r="O1221" s="356"/>
      <c r="P1221" s="356"/>
      <c r="Q1221" s="610"/>
      <c r="R1221" s="1226"/>
      <c r="S1221" s="308"/>
      <c r="T1221" s="308"/>
      <c r="U1221" s="308"/>
      <c r="V1221" s="308"/>
      <c r="W1221" s="308"/>
      <c r="X1221" s="308"/>
      <c r="Y1221" s="308"/>
      <c r="Z1221" s="604"/>
      <c r="AA1221" s="308"/>
      <c r="AB1221" s="308"/>
      <c r="AC1221" s="373"/>
      <c r="AD1221" s="373"/>
      <c r="AE1221" s="373"/>
      <c r="AF1221" s="373"/>
      <c r="AG1221" s="373"/>
      <c r="AH1221" s="373"/>
      <c r="AI1221" s="373"/>
      <c r="AJ1221" s="373"/>
      <c r="AK1221" s="389"/>
      <c r="AL1221" s="100"/>
      <c r="AM1221" s="27"/>
      <c r="AN1221" s="27"/>
      <c r="AO1221" s="27"/>
      <c r="AP1221" s="27"/>
      <c r="AQ1221" s="27"/>
      <c r="AR1221" s="27"/>
      <c r="AS1221" s="22"/>
      <c r="AT1221" s="22"/>
      <c r="AU1221" s="22"/>
      <c r="AV1221" s="22"/>
      <c r="AW1221" s="22"/>
      <c r="AX1221" s="22"/>
      <c r="AY1221" s="22"/>
      <c r="AZ1221" s="22"/>
      <c r="BA1221" s="22"/>
      <c r="BB1221" s="22"/>
      <c r="BC1221" s="22"/>
      <c r="BD1221" s="22"/>
      <c r="BE1221" s="22"/>
      <c r="BF1221" s="22"/>
      <c r="BG1221" s="22"/>
      <c r="BH1221" s="22"/>
      <c r="BI1221" s="22"/>
      <c r="BJ1221" s="22"/>
      <c r="BK1221" s="22"/>
      <c r="BL1221" s="22"/>
      <c r="BM1221" s="22"/>
      <c r="BN1221" s="22"/>
      <c r="BO1221" s="22"/>
      <c r="BP1221" s="22"/>
      <c r="BQ1221" s="22"/>
      <c r="BR1221" s="22"/>
      <c r="BS1221" s="22"/>
      <c r="BT1221" s="22"/>
      <c r="BU1221" s="22"/>
      <c r="BV1221" s="22"/>
      <c r="BW1221" s="22"/>
      <c r="BX1221" s="22"/>
      <c r="BY1221" s="22"/>
      <c r="BZ1221" s="22"/>
      <c r="CA1221" s="22"/>
      <c r="CB1221" s="22"/>
      <c r="CC1221" s="22"/>
      <c r="CD1221" s="22"/>
      <c r="CE1221" s="22"/>
      <c r="CF1221" s="22"/>
      <c r="CG1221" s="22"/>
      <c r="CH1221" s="22"/>
      <c r="CI1221" s="22"/>
      <c r="CJ1221" s="22"/>
      <c r="CK1221" s="22"/>
      <c r="CL1221" s="22"/>
      <c r="CM1221" s="22"/>
      <c r="CN1221" s="22"/>
      <c r="CO1221" s="22"/>
      <c r="CP1221" s="22"/>
      <c r="CQ1221" s="22"/>
      <c r="CR1221" s="22"/>
      <c r="CS1221" s="22"/>
      <c r="CT1221" s="22"/>
      <c r="CU1221" s="22"/>
      <c r="CV1221" s="22"/>
      <c r="CW1221" s="22"/>
      <c r="CX1221" s="22"/>
      <c r="CY1221" s="22"/>
      <c r="CZ1221" s="22"/>
      <c r="DA1221" s="22"/>
      <c r="DB1221" s="22"/>
      <c r="DC1221" s="22"/>
      <c r="DD1221" s="22"/>
      <c r="DE1221" s="22"/>
      <c r="DF1221" s="22"/>
      <c r="DG1221" s="22"/>
      <c r="DH1221" s="22"/>
      <c r="DI1221" s="22"/>
      <c r="DJ1221" s="22"/>
      <c r="DK1221" s="22"/>
      <c r="DL1221" s="22"/>
      <c r="DM1221" s="22"/>
      <c r="DN1221" s="22"/>
      <c r="DO1221" s="22"/>
      <c r="DP1221" s="22"/>
      <c r="DQ1221" s="22"/>
      <c r="DR1221" s="22"/>
      <c r="DS1221" s="22"/>
      <c r="DT1221" s="22"/>
      <c r="DU1221" s="22"/>
      <c r="DV1221" s="22"/>
      <c r="DW1221" s="22"/>
      <c r="DX1221" s="22"/>
      <c r="DY1221" s="22"/>
      <c r="DZ1221" s="22"/>
      <c r="EA1221" s="22"/>
      <c r="EB1221" s="22"/>
      <c r="EC1221" s="22"/>
      <c r="ED1221" s="22"/>
      <c r="EE1221" s="22"/>
      <c r="EF1221" s="22"/>
      <c r="EG1221" s="22"/>
      <c r="EH1221" s="22"/>
      <c r="EI1221" s="22"/>
      <c r="EJ1221" s="22"/>
      <c r="EK1221" s="22"/>
      <c r="EL1221" s="22"/>
      <c r="EM1221" s="22"/>
      <c r="EN1221" s="22"/>
      <c r="EO1221" s="22"/>
      <c r="EP1221" s="22"/>
      <c r="EQ1221" s="22"/>
      <c r="ER1221" s="22"/>
      <c r="ES1221" s="22"/>
      <c r="ET1221" s="22"/>
      <c r="EU1221" s="22"/>
      <c r="EV1221" s="22"/>
      <c r="EW1221" s="22"/>
      <c r="EX1221" s="22"/>
      <c r="EY1221" s="22"/>
      <c r="EZ1221" s="22"/>
      <c r="FA1221" s="22"/>
      <c r="FB1221" s="22"/>
      <c r="FC1221" s="22"/>
      <c r="FD1221" s="22"/>
      <c r="FE1221" s="22"/>
      <c r="FF1221" s="22"/>
      <c r="FG1221" s="22"/>
      <c r="FH1221" s="22"/>
      <c r="FI1221" s="22"/>
      <c r="FJ1221" s="22"/>
      <c r="FK1221" s="22"/>
      <c r="FL1221" s="22"/>
      <c r="FM1221" s="22"/>
      <c r="FN1221" s="22"/>
      <c r="FO1221" s="22"/>
      <c r="FP1221" s="22"/>
      <c r="FQ1221" s="22"/>
      <c r="FR1221" s="22"/>
      <c r="FS1221" s="22"/>
      <c r="FT1221" s="22"/>
      <c r="FU1221" s="22"/>
      <c r="FV1221" s="22"/>
      <c r="FW1221" s="22"/>
      <c r="FX1221" s="22"/>
      <c r="FY1221" s="22"/>
      <c r="FZ1221" s="22"/>
      <c r="GA1221" s="22"/>
      <c r="GB1221" s="22"/>
      <c r="GC1221" s="22"/>
      <c r="GD1221" s="22"/>
      <c r="GE1221" s="22"/>
      <c r="GF1221" s="22"/>
      <c r="GG1221" s="22"/>
      <c r="GH1221" s="22"/>
      <c r="GI1221" s="22"/>
      <c r="GJ1221" s="22"/>
      <c r="GK1221" s="22"/>
      <c r="GL1221" s="22"/>
      <c r="GM1221" s="22"/>
      <c r="GN1221" s="22"/>
      <c r="GO1221" s="22"/>
      <c r="GP1221" s="22"/>
      <c r="GQ1221" s="22"/>
      <c r="GR1221" s="22"/>
      <c r="GS1221" s="22"/>
      <c r="GT1221" s="22"/>
      <c r="GU1221" s="22"/>
      <c r="GV1221" s="22"/>
      <c r="GW1221" s="22"/>
      <c r="GX1221" s="22"/>
      <c r="GY1221" s="22"/>
      <c r="GZ1221" s="22"/>
      <c r="HA1221" s="22"/>
      <c r="HB1221" s="22"/>
      <c r="HC1221" s="22"/>
      <c r="HD1221" s="22"/>
      <c r="HE1221" s="22"/>
      <c r="HF1221" s="22"/>
      <c r="HG1221" s="22"/>
      <c r="HH1221" s="22"/>
      <c r="HI1221" s="22"/>
      <c r="HJ1221" s="22"/>
      <c r="HK1221" s="22"/>
      <c r="HL1221" s="22"/>
      <c r="HM1221" s="22"/>
      <c r="HN1221" s="22"/>
      <c r="HO1221" s="22"/>
      <c r="HP1221" s="22"/>
      <c r="HQ1221" s="22"/>
      <c r="HR1221" s="22"/>
      <c r="HS1221" s="22"/>
      <c r="HT1221" s="22"/>
      <c r="HU1221" s="22"/>
      <c r="HV1221" s="22"/>
      <c r="HW1221" s="22"/>
      <c r="HX1221" s="22"/>
      <c r="HY1221" s="22"/>
      <c r="HZ1221" s="22"/>
      <c r="IA1221" s="22"/>
      <c r="IB1221" s="22"/>
      <c r="IC1221" s="22"/>
      <c r="ID1221" s="22"/>
      <c r="IE1221" s="22"/>
      <c r="IF1221" s="22"/>
      <c r="IG1221" s="22"/>
      <c r="IH1221" s="22"/>
      <c r="II1221" s="22"/>
      <c r="IJ1221" s="22"/>
      <c r="IK1221" s="22"/>
      <c r="IL1221" s="22"/>
      <c r="IM1221" s="22"/>
      <c r="IN1221" s="22"/>
      <c r="IO1221" s="22"/>
      <c r="IP1221" s="22"/>
      <c r="IQ1221" s="22"/>
      <c r="IR1221" s="22"/>
      <c r="IS1221" s="22"/>
      <c r="IT1221" s="22"/>
      <c r="IU1221" s="22"/>
      <c r="IV1221" s="22"/>
      <c r="IW1221" s="22"/>
      <c r="IX1221" s="22"/>
      <c r="IY1221" s="22"/>
      <c r="IZ1221" s="22"/>
      <c r="JA1221" s="22"/>
      <c r="JB1221" s="22"/>
      <c r="JC1221" s="22"/>
      <c r="JD1221" s="22"/>
      <c r="JE1221" s="22"/>
      <c r="JF1221" s="22"/>
      <c r="JG1221" s="22"/>
      <c r="JH1221" s="22"/>
      <c r="JI1221" s="22"/>
      <c r="JJ1221" s="22"/>
      <c r="JK1221" s="22"/>
      <c r="JL1221" s="22"/>
      <c r="JM1221" s="22"/>
      <c r="JN1221" s="22"/>
      <c r="JO1221" s="22"/>
      <c r="JP1221" s="22"/>
      <c r="JQ1221" s="22"/>
      <c r="JR1221" s="22"/>
      <c r="JS1221" s="22"/>
      <c r="JT1221" s="22"/>
      <c r="JU1221" s="22"/>
      <c r="JV1221" s="22"/>
      <c r="JW1221" s="22"/>
      <c r="JX1221" s="22"/>
      <c r="JY1221" s="22"/>
      <c r="JZ1221" s="22"/>
      <c r="KA1221" s="22"/>
      <c r="KB1221" s="22"/>
      <c r="KC1221" s="22"/>
      <c r="KD1221" s="22"/>
      <c r="KE1221" s="22"/>
      <c r="KF1221" s="22"/>
      <c r="KG1221" s="22"/>
      <c r="KH1221" s="22"/>
      <c r="KI1221" s="22"/>
      <c r="KJ1221" s="22"/>
      <c r="KK1221" s="22"/>
      <c r="KL1221" s="22"/>
      <c r="KM1221" s="22"/>
      <c r="KN1221" s="22"/>
      <c r="KO1221" s="22"/>
      <c r="KP1221" s="22"/>
      <c r="KQ1221" s="22"/>
      <c r="KR1221" s="22"/>
      <c r="KS1221" s="22"/>
      <c r="KT1221" s="22"/>
      <c r="KU1221" s="22"/>
      <c r="KV1221" s="22"/>
      <c r="KW1221" s="22"/>
      <c r="KX1221" s="22"/>
      <c r="KY1221" s="22"/>
      <c r="KZ1221" s="22"/>
      <c r="LA1221" s="22"/>
      <c r="LB1221" s="22"/>
      <c r="LC1221" s="22"/>
      <c r="LD1221" s="22"/>
      <c r="LE1221" s="22"/>
      <c r="LF1221" s="22"/>
      <c r="LG1221" s="22"/>
      <c r="LH1221" s="22"/>
      <c r="LI1221" s="22"/>
      <c r="LJ1221" s="22"/>
      <c r="LK1221" s="22"/>
      <c r="LL1221" s="22"/>
      <c r="LM1221" s="22"/>
      <c r="LN1221" s="22"/>
      <c r="LO1221" s="22"/>
      <c r="LP1221" s="22"/>
      <c r="LQ1221" s="22"/>
      <c r="LR1221" s="22"/>
      <c r="LS1221" s="22"/>
      <c r="LT1221" s="22"/>
      <c r="LU1221" s="22"/>
      <c r="LV1221" s="22"/>
      <c r="LW1221" s="22"/>
      <c r="LX1221" s="22"/>
      <c r="LY1221" s="22"/>
      <c r="LZ1221" s="22"/>
      <c r="MA1221" s="22"/>
      <c r="MB1221" s="22"/>
      <c r="MC1221" s="22"/>
      <c r="MD1221" s="22"/>
      <c r="ME1221" s="22"/>
      <c r="MF1221" s="22"/>
      <c r="MG1221" s="22"/>
      <c r="MH1221" s="22"/>
      <c r="MI1221" s="22"/>
      <c r="MJ1221" s="22"/>
      <c r="MK1221" s="22"/>
      <c r="ML1221" s="22"/>
      <c r="MM1221" s="22"/>
      <c r="MN1221" s="22"/>
      <c r="MO1221" s="22"/>
      <c r="MP1221" s="22"/>
      <c r="MQ1221" s="22"/>
      <c r="MR1221" s="22"/>
      <c r="MS1221" s="22"/>
      <c r="MT1221" s="22"/>
      <c r="MU1221" s="22"/>
      <c r="MV1221" s="22"/>
      <c r="MW1221" s="22"/>
      <c r="MX1221" s="22"/>
      <c r="MY1221" s="22"/>
      <c r="MZ1221" s="22"/>
      <c r="NA1221" s="22"/>
      <c r="NB1221" s="22"/>
      <c r="NC1221" s="22"/>
      <c r="ND1221" s="22"/>
      <c r="NE1221" s="22"/>
      <c r="NF1221" s="22"/>
      <c r="NG1221" s="22"/>
      <c r="NH1221" s="22"/>
      <c r="NI1221" s="22"/>
      <c r="NJ1221" s="22"/>
      <c r="NK1221" s="22"/>
      <c r="NL1221" s="22"/>
      <c r="NM1221" s="22"/>
      <c r="NN1221" s="22"/>
      <c r="NO1221" s="22"/>
      <c r="NP1221" s="22"/>
      <c r="NQ1221" s="22"/>
      <c r="NR1221" s="22"/>
      <c r="NS1221" s="22"/>
      <c r="NT1221" s="22"/>
      <c r="NU1221" s="22"/>
      <c r="NV1221" s="22"/>
      <c r="NW1221" s="22"/>
      <c r="NX1221" s="22"/>
      <c r="NY1221" s="22"/>
      <c r="NZ1221" s="22"/>
      <c r="OA1221" s="22"/>
      <c r="OB1221" s="22"/>
      <c r="OC1221" s="22"/>
      <c r="OD1221" s="22"/>
      <c r="OE1221" s="22"/>
      <c r="OF1221" s="22"/>
      <c r="OG1221" s="22"/>
      <c r="OH1221" s="22"/>
      <c r="OI1221" s="22"/>
      <c r="OJ1221" s="22"/>
      <c r="OK1221" s="22"/>
      <c r="OL1221" s="22"/>
      <c r="OM1221" s="22"/>
      <c r="ON1221" s="22"/>
      <c r="OO1221" s="22"/>
      <c r="OP1221" s="22"/>
      <c r="OQ1221" s="22"/>
      <c r="OR1221" s="22"/>
      <c r="OS1221" s="22"/>
      <c r="OT1221" s="22"/>
      <c r="OU1221" s="22"/>
      <c r="OV1221" s="22"/>
      <c r="OW1221" s="22"/>
      <c r="OX1221" s="22"/>
      <c r="OY1221" s="22"/>
      <c r="OZ1221" s="22"/>
      <c r="PA1221" s="22"/>
      <c r="PB1221" s="22"/>
      <c r="PC1221" s="22"/>
      <c r="PD1221" s="22"/>
      <c r="PE1221" s="22"/>
      <c r="PF1221" s="22"/>
      <c r="PG1221" s="22"/>
      <c r="PH1221" s="22"/>
      <c r="PI1221" s="22"/>
      <c r="PJ1221" s="22"/>
      <c r="PK1221" s="22"/>
      <c r="PL1221" s="22"/>
      <c r="PM1221" s="22"/>
      <c r="PN1221" s="22"/>
      <c r="PO1221" s="22"/>
      <c r="PP1221" s="22"/>
      <c r="PQ1221" s="22"/>
      <c r="PR1221" s="22"/>
      <c r="PS1221" s="22"/>
      <c r="PT1221" s="22"/>
      <c r="PU1221" s="22"/>
      <c r="PV1221" s="22"/>
      <c r="PW1221" s="22"/>
      <c r="PX1221" s="22"/>
      <c r="PY1221" s="22"/>
      <c r="PZ1221" s="22"/>
      <c r="QA1221" s="22"/>
      <c r="QB1221" s="22"/>
      <c r="QC1221" s="22"/>
      <c r="QD1221" s="22"/>
      <c r="QE1221" s="22"/>
      <c r="QF1221" s="22"/>
      <c r="QG1221" s="22"/>
      <c r="QH1221" s="22"/>
      <c r="QI1221" s="22"/>
      <c r="QJ1221" s="22"/>
      <c r="QK1221" s="22"/>
      <c r="QL1221" s="22"/>
      <c r="QM1221" s="22"/>
      <c r="QN1221" s="22"/>
      <c r="QO1221" s="22"/>
      <c r="QP1221" s="22"/>
      <c r="QQ1221" s="22"/>
      <c r="QR1221" s="22"/>
      <c r="QS1221" s="22"/>
      <c r="QT1221" s="22"/>
      <c r="QU1221" s="22"/>
      <c r="QV1221" s="22"/>
      <c r="QW1221" s="22"/>
      <c r="QX1221" s="22"/>
      <c r="QY1221" s="22"/>
      <c r="QZ1221" s="22"/>
      <c r="RA1221" s="22"/>
      <c r="RB1221" s="22"/>
      <c r="RC1221" s="22"/>
      <c r="RD1221" s="22"/>
      <c r="RE1221" s="22"/>
      <c r="RF1221" s="22"/>
      <c r="RG1221" s="22"/>
      <c r="RH1221" s="22"/>
      <c r="RI1221" s="22"/>
      <c r="RJ1221" s="22"/>
      <c r="RK1221" s="22"/>
      <c r="RL1221" s="22"/>
      <c r="RM1221" s="22"/>
      <c r="RN1221" s="22"/>
      <c r="RO1221" s="22"/>
      <c r="RP1221" s="22"/>
      <c r="RQ1221" s="22"/>
      <c r="RR1221" s="22"/>
      <c r="RS1221" s="22"/>
      <c r="RT1221" s="22"/>
      <c r="RU1221" s="22"/>
      <c r="RV1221" s="22"/>
      <c r="RW1221" s="22"/>
      <c r="RX1221" s="22"/>
      <c r="RY1221" s="22"/>
      <c r="RZ1221" s="22"/>
      <c r="SA1221" s="22"/>
      <c r="SB1221" s="22"/>
      <c r="SC1221" s="22"/>
      <c r="SD1221" s="22"/>
      <c r="SE1221" s="22"/>
      <c r="SF1221" s="22"/>
      <c r="SG1221" s="22"/>
      <c r="SH1221" s="22"/>
      <c r="SI1221" s="22"/>
      <c r="SJ1221" s="22"/>
      <c r="SK1221" s="22"/>
      <c r="SL1221" s="22"/>
      <c r="SM1221" s="22"/>
      <c r="SN1221" s="22"/>
      <c r="SO1221" s="22"/>
      <c r="SP1221" s="22"/>
      <c r="SQ1221" s="22"/>
      <c r="SR1221" s="22"/>
      <c r="SS1221" s="22"/>
      <c r="ST1221" s="22"/>
      <c r="SU1221" s="22"/>
      <c r="SV1221" s="22"/>
      <c r="SW1221" s="22"/>
      <c r="SX1221" s="22"/>
      <c r="SY1221" s="22"/>
      <c r="SZ1221" s="22"/>
      <c r="TA1221" s="22"/>
      <c r="TB1221" s="22"/>
      <c r="TC1221" s="22"/>
      <c r="TD1221" s="22"/>
      <c r="TE1221" s="22"/>
      <c r="TF1221" s="22"/>
      <c r="TG1221" s="22"/>
      <c r="TH1221" s="22"/>
      <c r="TI1221" s="22"/>
      <c r="TJ1221" s="22"/>
      <c r="TK1221" s="22"/>
      <c r="TL1221" s="22"/>
      <c r="TM1221" s="22"/>
      <c r="TN1221" s="22"/>
      <c r="TO1221" s="22"/>
      <c r="TP1221" s="22"/>
      <c r="TQ1221" s="22"/>
      <c r="TR1221" s="22"/>
      <c r="TS1221" s="22"/>
      <c r="TT1221" s="22"/>
      <c r="TU1221" s="22"/>
      <c r="TV1221" s="22"/>
      <c r="TW1221" s="22"/>
      <c r="TX1221" s="22"/>
      <c r="TY1221" s="22"/>
      <c r="TZ1221" s="22"/>
      <c r="UA1221" s="22"/>
      <c r="UB1221" s="22"/>
      <c r="UC1221" s="22"/>
      <c r="UD1221" s="22"/>
      <c r="UE1221" s="22"/>
      <c r="UF1221" s="22"/>
      <c r="UG1221" s="23"/>
    </row>
    <row r="1222" spans="1:553" ht="16.5">
      <c r="A1222" s="356"/>
      <c r="B1222" s="366">
        <v>60</v>
      </c>
      <c r="C1222" s="1397" t="s">
        <v>1022</v>
      </c>
      <c r="D1222" s="1398"/>
      <c r="E1222" s="1398"/>
      <c r="F1222" s="1399"/>
      <c r="G1222" s="366"/>
      <c r="H1222" s="370"/>
      <c r="I1222" s="834">
        <f>-3*2.9</f>
        <v>-8.6999999999999993</v>
      </c>
      <c r="J1222" s="368">
        <v>450000</v>
      </c>
      <c r="K1222" s="371"/>
      <c r="L1222" s="614">
        <f t="shared" si="183"/>
        <v>-3914999.9999999995</v>
      </c>
      <c r="M1222" s="356"/>
      <c r="N1222" s="356"/>
      <c r="O1222" s="356"/>
      <c r="P1222" s="356"/>
      <c r="Q1222" s="610"/>
      <c r="R1222" s="1226"/>
      <c r="S1222" s="308"/>
      <c r="T1222" s="308"/>
      <c r="U1222" s="308"/>
      <c r="V1222" s="308"/>
      <c r="W1222" s="308"/>
      <c r="X1222" s="308"/>
      <c r="Y1222" s="308"/>
      <c r="Z1222" s="604"/>
      <c r="AA1222" s="308"/>
      <c r="AB1222" s="308"/>
      <c r="AC1222" s="373"/>
      <c r="AD1222" s="373"/>
      <c r="AE1222" s="373"/>
      <c r="AF1222" s="373"/>
      <c r="AG1222" s="373"/>
      <c r="AH1222" s="373"/>
      <c r="AI1222" s="373"/>
      <c r="AJ1222" s="373"/>
      <c r="AK1222" s="389"/>
      <c r="AL1222" s="100"/>
      <c r="AM1222" s="100"/>
      <c r="AN1222" s="100"/>
      <c r="AO1222" s="100"/>
      <c r="AP1222" s="100"/>
      <c r="AQ1222" s="100"/>
      <c r="AR1222" s="100"/>
      <c r="AS1222" s="101"/>
      <c r="AT1222" s="101"/>
      <c r="AU1222" s="101"/>
      <c r="AV1222" s="101"/>
      <c r="AW1222" s="101"/>
      <c r="AX1222" s="101"/>
      <c r="AY1222" s="101"/>
      <c r="AZ1222" s="101"/>
      <c r="BA1222" s="101"/>
      <c r="BB1222" s="101"/>
      <c r="BC1222" s="101"/>
      <c r="BD1222" s="101"/>
      <c r="BE1222" s="101"/>
      <c r="BF1222" s="101"/>
      <c r="BG1222" s="101"/>
      <c r="BH1222" s="101"/>
      <c r="BI1222" s="101"/>
      <c r="BJ1222" s="101"/>
      <c r="BK1222" s="101"/>
      <c r="BL1222" s="101"/>
      <c r="BM1222" s="101"/>
      <c r="BN1222" s="101"/>
      <c r="BO1222" s="101"/>
      <c r="BP1222" s="101"/>
      <c r="BQ1222" s="101"/>
      <c r="BR1222" s="101"/>
      <c r="BS1222" s="101"/>
      <c r="BT1222" s="101"/>
      <c r="BU1222" s="101"/>
      <c r="BV1222" s="101"/>
      <c r="BW1222" s="101"/>
      <c r="BX1222" s="101"/>
      <c r="BY1222" s="101"/>
      <c r="BZ1222" s="101"/>
      <c r="CA1222" s="101"/>
      <c r="CB1222" s="101"/>
      <c r="CC1222" s="101"/>
      <c r="CD1222" s="101"/>
      <c r="CE1222" s="101"/>
      <c r="CF1222" s="101"/>
      <c r="CG1222" s="101"/>
      <c r="CH1222" s="101"/>
      <c r="CI1222" s="101"/>
      <c r="CJ1222" s="101"/>
      <c r="CK1222" s="101"/>
      <c r="CL1222" s="101"/>
      <c r="CM1222" s="101"/>
      <c r="CN1222" s="101"/>
      <c r="CO1222" s="101"/>
      <c r="CP1222" s="101"/>
      <c r="CQ1222" s="101"/>
      <c r="CR1222" s="101"/>
      <c r="CS1222" s="101"/>
      <c r="CT1222" s="101"/>
      <c r="CU1222" s="101"/>
      <c r="CV1222" s="101"/>
      <c r="CW1222" s="101"/>
      <c r="CX1222" s="101"/>
      <c r="CY1222" s="101"/>
      <c r="CZ1222" s="101"/>
      <c r="DA1222" s="101"/>
      <c r="DB1222" s="101"/>
      <c r="DC1222" s="101"/>
      <c r="DD1222" s="101"/>
      <c r="DE1222" s="101"/>
      <c r="DF1222" s="101"/>
      <c r="DG1222" s="101"/>
      <c r="DH1222" s="101"/>
      <c r="DI1222" s="101"/>
      <c r="DJ1222" s="101"/>
      <c r="DK1222" s="101"/>
      <c r="DL1222" s="101"/>
      <c r="DM1222" s="101"/>
      <c r="DN1222" s="101"/>
      <c r="DO1222" s="101"/>
      <c r="DP1222" s="101"/>
      <c r="DQ1222" s="101"/>
      <c r="DR1222" s="101"/>
      <c r="DS1222" s="101"/>
      <c r="DT1222" s="101"/>
      <c r="DU1222" s="101"/>
      <c r="DV1222" s="101"/>
      <c r="DW1222" s="101"/>
      <c r="DX1222" s="101"/>
      <c r="DY1222" s="101"/>
      <c r="DZ1222" s="101"/>
      <c r="EA1222" s="101"/>
      <c r="EB1222" s="101"/>
      <c r="EC1222" s="101"/>
      <c r="ED1222" s="101"/>
      <c r="EE1222" s="101"/>
      <c r="EF1222" s="101"/>
      <c r="EG1222" s="101"/>
      <c r="EH1222" s="101"/>
      <c r="EI1222" s="101"/>
      <c r="EJ1222" s="101"/>
      <c r="EK1222" s="101"/>
      <c r="EL1222" s="101"/>
      <c r="EM1222" s="101"/>
      <c r="EN1222" s="101"/>
      <c r="EO1222" s="101"/>
      <c r="EP1222" s="101"/>
      <c r="EQ1222" s="101"/>
      <c r="ER1222" s="101"/>
      <c r="ES1222" s="101"/>
      <c r="ET1222" s="101"/>
      <c r="EU1222" s="101"/>
      <c r="EV1222" s="101"/>
      <c r="EW1222" s="101"/>
      <c r="EX1222" s="101"/>
      <c r="EY1222" s="101"/>
      <c r="EZ1222" s="101"/>
      <c r="FA1222" s="101"/>
      <c r="FB1222" s="101"/>
      <c r="FC1222" s="101"/>
      <c r="FD1222" s="101"/>
      <c r="FE1222" s="101"/>
      <c r="FF1222" s="101"/>
      <c r="FG1222" s="101"/>
      <c r="FH1222" s="101"/>
      <c r="FI1222" s="101"/>
      <c r="FJ1222" s="101"/>
      <c r="FK1222" s="101"/>
      <c r="FL1222" s="101"/>
      <c r="FM1222" s="101"/>
      <c r="FN1222" s="101"/>
      <c r="FO1222" s="101"/>
      <c r="FP1222" s="101"/>
      <c r="FQ1222" s="101"/>
      <c r="FR1222" s="101"/>
      <c r="FS1222" s="101"/>
      <c r="FT1222" s="101"/>
      <c r="FU1222" s="101"/>
      <c r="FV1222" s="101"/>
      <c r="FW1222" s="101"/>
      <c r="FX1222" s="101"/>
      <c r="FY1222" s="101"/>
      <c r="FZ1222" s="101"/>
      <c r="GA1222" s="101"/>
      <c r="GB1222" s="101"/>
      <c r="GC1222" s="101"/>
      <c r="GD1222" s="101"/>
      <c r="GE1222" s="101"/>
      <c r="GF1222" s="101"/>
      <c r="GG1222" s="101"/>
      <c r="GH1222" s="101"/>
      <c r="GI1222" s="101"/>
      <c r="GJ1222" s="101"/>
      <c r="GK1222" s="101"/>
      <c r="GL1222" s="101"/>
      <c r="GM1222" s="101"/>
      <c r="GN1222" s="101"/>
      <c r="GO1222" s="101"/>
      <c r="GP1222" s="101"/>
      <c r="GQ1222" s="101"/>
      <c r="GR1222" s="101"/>
      <c r="GS1222" s="101"/>
      <c r="GT1222" s="101"/>
      <c r="GU1222" s="101"/>
      <c r="GV1222" s="101"/>
      <c r="GW1222" s="101"/>
      <c r="GX1222" s="101"/>
      <c r="GY1222" s="101"/>
      <c r="GZ1222" s="101"/>
      <c r="HA1222" s="101"/>
      <c r="HB1222" s="101"/>
      <c r="HC1222" s="101"/>
      <c r="HD1222" s="101"/>
      <c r="HE1222" s="101"/>
      <c r="HF1222" s="101"/>
      <c r="HG1222" s="101"/>
      <c r="HH1222" s="101"/>
      <c r="HI1222" s="101"/>
      <c r="HJ1222" s="101"/>
      <c r="HK1222" s="101"/>
      <c r="HL1222" s="101"/>
      <c r="HM1222" s="101"/>
      <c r="HN1222" s="101"/>
      <c r="HO1222" s="101"/>
      <c r="HP1222" s="101"/>
      <c r="HQ1222" s="101"/>
      <c r="HR1222" s="101"/>
      <c r="HS1222" s="101"/>
      <c r="HT1222" s="101"/>
      <c r="HU1222" s="101"/>
      <c r="HV1222" s="101"/>
      <c r="HW1222" s="101"/>
      <c r="HX1222" s="101"/>
      <c r="HY1222" s="101"/>
      <c r="HZ1222" s="101"/>
      <c r="IA1222" s="101"/>
      <c r="IB1222" s="101"/>
      <c r="IC1222" s="101"/>
      <c r="ID1222" s="101"/>
      <c r="IE1222" s="101"/>
      <c r="IF1222" s="101"/>
      <c r="IG1222" s="101"/>
      <c r="IH1222" s="101"/>
      <c r="II1222" s="101"/>
      <c r="IJ1222" s="101"/>
      <c r="IK1222" s="101"/>
      <c r="IL1222" s="101"/>
      <c r="IM1222" s="101"/>
      <c r="IN1222" s="101"/>
      <c r="IO1222" s="101"/>
      <c r="IP1222" s="101"/>
      <c r="IQ1222" s="101"/>
      <c r="IR1222" s="101"/>
      <c r="IS1222" s="101"/>
      <c r="IT1222" s="101"/>
      <c r="IU1222" s="101"/>
      <c r="IV1222" s="101"/>
      <c r="IW1222" s="101"/>
      <c r="IX1222" s="101"/>
      <c r="IY1222" s="101"/>
      <c r="IZ1222" s="101"/>
      <c r="JA1222" s="101"/>
      <c r="JB1222" s="101"/>
      <c r="JC1222" s="101"/>
      <c r="JD1222" s="101"/>
      <c r="JE1222" s="101"/>
      <c r="JF1222" s="101"/>
      <c r="JG1222" s="101"/>
      <c r="JH1222" s="101"/>
      <c r="JI1222" s="101"/>
      <c r="JJ1222" s="101"/>
      <c r="JK1222" s="101"/>
      <c r="JL1222" s="101"/>
      <c r="JM1222" s="101"/>
      <c r="JN1222" s="101"/>
      <c r="JO1222" s="101"/>
      <c r="JP1222" s="101"/>
      <c r="JQ1222" s="101"/>
      <c r="JR1222" s="101"/>
      <c r="JS1222" s="101"/>
      <c r="JT1222" s="101"/>
      <c r="JU1222" s="101"/>
      <c r="JV1222" s="101"/>
      <c r="JW1222" s="101"/>
      <c r="JX1222" s="101"/>
      <c r="JY1222" s="101"/>
      <c r="JZ1222" s="101"/>
      <c r="KA1222" s="101"/>
      <c r="KB1222" s="101"/>
      <c r="KC1222" s="101"/>
      <c r="KD1222" s="101"/>
      <c r="KE1222" s="101"/>
      <c r="KF1222" s="101"/>
      <c r="KG1222" s="101"/>
      <c r="KH1222" s="101"/>
      <c r="KI1222" s="101"/>
      <c r="KJ1222" s="101"/>
      <c r="KK1222" s="101"/>
      <c r="KL1222" s="101"/>
      <c r="KM1222" s="101"/>
      <c r="KN1222" s="101"/>
      <c r="KO1222" s="101"/>
      <c r="KP1222" s="101"/>
      <c r="KQ1222" s="101"/>
      <c r="KR1222" s="101"/>
      <c r="KS1222" s="101"/>
      <c r="KT1222" s="101"/>
      <c r="KU1222" s="101"/>
      <c r="KV1222" s="101"/>
      <c r="KW1222" s="101"/>
      <c r="KX1222" s="101"/>
      <c r="KY1222" s="101"/>
      <c r="KZ1222" s="101"/>
      <c r="LA1222" s="101"/>
      <c r="LB1222" s="101"/>
      <c r="LC1222" s="101"/>
      <c r="LD1222" s="101"/>
      <c r="LE1222" s="101"/>
      <c r="LF1222" s="101"/>
      <c r="LG1222" s="101"/>
      <c r="LH1222" s="101"/>
      <c r="LI1222" s="101"/>
      <c r="LJ1222" s="101"/>
      <c r="LK1222" s="101"/>
      <c r="LL1222" s="101"/>
      <c r="LM1222" s="101"/>
      <c r="LN1222" s="101"/>
      <c r="LO1222" s="101"/>
      <c r="LP1222" s="101"/>
      <c r="LQ1222" s="101"/>
      <c r="LR1222" s="101"/>
      <c r="LS1222" s="101"/>
      <c r="LT1222" s="101"/>
      <c r="LU1222" s="101"/>
      <c r="LV1222" s="101"/>
      <c r="LW1222" s="101"/>
      <c r="LX1222" s="101"/>
      <c r="LY1222" s="101"/>
      <c r="LZ1222" s="101"/>
      <c r="MA1222" s="101"/>
      <c r="MB1222" s="101"/>
      <c r="MC1222" s="101"/>
      <c r="MD1222" s="101"/>
      <c r="ME1222" s="101"/>
      <c r="MF1222" s="101"/>
      <c r="MG1222" s="101"/>
      <c r="MH1222" s="101"/>
      <c r="MI1222" s="101"/>
      <c r="MJ1222" s="101"/>
      <c r="MK1222" s="101"/>
      <c r="ML1222" s="101"/>
      <c r="MM1222" s="101"/>
      <c r="MN1222" s="101"/>
      <c r="MO1222" s="101"/>
      <c r="MP1222" s="101"/>
      <c r="MQ1222" s="101"/>
      <c r="MR1222" s="101"/>
      <c r="MS1222" s="101"/>
      <c r="MT1222" s="101"/>
      <c r="MU1222" s="101"/>
      <c r="MV1222" s="101"/>
      <c r="MW1222" s="101"/>
      <c r="MX1222" s="101"/>
      <c r="MY1222" s="101"/>
      <c r="MZ1222" s="101"/>
      <c r="NA1222" s="101"/>
      <c r="NB1222" s="101"/>
      <c r="NC1222" s="101"/>
      <c r="ND1222" s="101"/>
      <c r="NE1222" s="101"/>
      <c r="NF1222" s="101"/>
      <c r="NG1222" s="101"/>
      <c r="NH1222" s="101"/>
      <c r="NI1222" s="101"/>
      <c r="NJ1222" s="101"/>
      <c r="NK1222" s="101"/>
      <c r="NL1222" s="101"/>
      <c r="NM1222" s="101"/>
      <c r="NN1222" s="101"/>
      <c r="NO1222" s="101"/>
      <c r="NP1222" s="101"/>
      <c r="NQ1222" s="101"/>
      <c r="NR1222" s="101"/>
      <c r="NS1222" s="101"/>
      <c r="NT1222" s="101"/>
      <c r="NU1222" s="101"/>
      <c r="NV1222" s="101"/>
      <c r="NW1222" s="101"/>
      <c r="NX1222" s="101"/>
      <c r="NY1222" s="101"/>
      <c r="NZ1222" s="101"/>
      <c r="OA1222" s="101"/>
      <c r="OB1222" s="101"/>
      <c r="OC1222" s="101"/>
      <c r="OD1222" s="101"/>
      <c r="OE1222" s="101"/>
      <c r="OF1222" s="101"/>
      <c r="OG1222" s="101"/>
      <c r="OH1222" s="101"/>
      <c r="OI1222" s="101"/>
      <c r="OJ1222" s="101"/>
      <c r="OK1222" s="101"/>
      <c r="OL1222" s="101"/>
      <c r="OM1222" s="101"/>
      <c r="ON1222" s="101"/>
      <c r="OO1222" s="101"/>
      <c r="OP1222" s="101"/>
      <c r="OQ1222" s="101"/>
      <c r="OR1222" s="101"/>
      <c r="OS1222" s="101"/>
      <c r="OT1222" s="101"/>
      <c r="OU1222" s="101"/>
      <c r="OV1222" s="101"/>
      <c r="OW1222" s="101"/>
      <c r="OX1222" s="101"/>
      <c r="OY1222" s="101"/>
      <c r="OZ1222" s="101"/>
      <c r="PA1222" s="101"/>
      <c r="PB1222" s="101"/>
      <c r="PC1222" s="101"/>
      <c r="PD1222" s="101"/>
      <c r="PE1222" s="101"/>
      <c r="PF1222" s="101"/>
      <c r="PG1222" s="101"/>
      <c r="PH1222" s="101"/>
      <c r="PI1222" s="101"/>
      <c r="PJ1222" s="101"/>
      <c r="PK1222" s="101"/>
      <c r="PL1222" s="101"/>
      <c r="PM1222" s="101"/>
      <c r="PN1222" s="101"/>
      <c r="PO1222" s="101"/>
      <c r="PP1222" s="101"/>
      <c r="PQ1222" s="101"/>
      <c r="PR1222" s="101"/>
      <c r="PS1222" s="101"/>
      <c r="PT1222" s="101"/>
      <c r="PU1222" s="101"/>
      <c r="PV1222" s="101"/>
      <c r="PW1222" s="101"/>
      <c r="PX1222" s="101"/>
      <c r="PY1222" s="101"/>
      <c r="PZ1222" s="101"/>
      <c r="QA1222" s="101"/>
      <c r="QB1222" s="101"/>
      <c r="QC1222" s="101"/>
      <c r="QD1222" s="101"/>
      <c r="QE1222" s="101"/>
      <c r="QF1222" s="101"/>
      <c r="QG1222" s="101"/>
      <c r="QH1222" s="101"/>
      <c r="QI1222" s="101"/>
      <c r="QJ1222" s="101"/>
      <c r="QK1222" s="101"/>
      <c r="QL1222" s="101"/>
      <c r="QM1222" s="101"/>
      <c r="QN1222" s="101"/>
      <c r="QO1222" s="101"/>
      <c r="QP1222" s="101"/>
      <c r="QQ1222" s="101"/>
      <c r="QR1222" s="101"/>
      <c r="QS1222" s="101"/>
      <c r="QT1222" s="101"/>
      <c r="QU1222" s="101"/>
      <c r="QV1222" s="101"/>
      <c r="QW1222" s="101"/>
      <c r="QX1222" s="101"/>
      <c r="QY1222" s="101"/>
      <c r="QZ1222" s="101"/>
      <c r="RA1222" s="101"/>
      <c r="RB1222" s="101"/>
      <c r="RC1222" s="101"/>
      <c r="RD1222" s="101"/>
      <c r="RE1222" s="101"/>
      <c r="RF1222" s="101"/>
      <c r="RG1222" s="101"/>
      <c r="RH1222" s="101"/>
      <c r="RI1222" s="101"/>
      <c r="RJ1222" s="101"/>
      <c r="RK1222" s="101"/>
      <c r="RL1222" s="101"/>
      <c r="RM1222" s="101"/>
      <c r="RN1222" s="101"/>
      <c r="RO1222" s="101"/>
      <c r="RP1222" s="101"/>
      <c r="RQ1222" s="101"/>
      <c r="RR1222" s="101"/>
      <c r="RS1222" s="101"/>
      <c r="RT1222" s="101"/>
      <c r="RU1222" s="101"/>
      <c r="RV1222" s="101"/>
      <c r="RW1222" s="101"/>
      <c r="RX1222" s="101"/>
      <c r="RY1222" s="101"/>
      <c r="RZ1222" s="101"/>
      <c r="SA1222" s="101"/>
      <c r="SB1222" s="101"/>
      <c r="SC1222" s="101"/>
      <c r="SD1222" s="101"/>
      <c r="SE1222" s="101"/>
      <c r="SF1222" s="101"/>
      <c r="SG1222" s="101"/>
      <c r="SH1222" s="101"/>
      <c r="SI1222" s="101"/>
      <c r="SJ1222" s="101"/>
      <c r="SK1222" s="101"/>
      <c r="SL1222" s="101"/>
      <c r="SM1222" s="101"/>
      <c r="SN1222" s="101"/>
      <c r="SO1222" s="101"/>
      <c r="SP1222" s="101"/>
      <c r="SQ1222" s="101"/>
      <c r="SR1222" s="101"/>
      <c r="SS1222" s="101"/>
      <c r="ST1222" s="101"/>
      <c r="SU1222" s="101"/>
      <c r="SV1222" s="101"/>
      <c r="SW1222" s="101"/>
      <c r="SX1222" s="101"/>
      <c r="SY1222" s="101"/>
      <c r="SZ1222" s="101"/>
      <c r="TA1222" s="101"/>
      <c r="TB1222" s="101"/>
      <c r="TC1222" s="101"/>
      <c r="TD1222" s="101"/>
      <c r="TE1222" s="101"/>
      <c r="TF1222" s="101"/>
      <c r="TG1222" s="101"/>
      <c r="TH1222" s="101"/>
      <c r="TI1222" s="101"/>
      <c r="TJ1222" s="101"/>
      <c r="TK1222" s="101"/>
      <c r="TL1222" s="101"/>
      <c r="TM1222" s="101"/>
      <c r="TN1222" s="101"/>
      <c r="TO1222" s="101"/>
      <c r="TP1222" s="101"/>
      <c r="TQ1222" s="101"/>
      <c r="TR1222" s="101"/>
      <c r="TS1222" s="101"/>
      <c r="TT1222" s="101"/>
      <c r="TU1222" s="101"/>
      <c r="TV1222" s="101"/>
      <c r="TW1222" s="101"/>
      <c r="TX1222" s="101"/>
      <c r="TY1222" s="101"/>
      <c r="TZ1222" s="101"/>
      <c r="UA1222" s="101"/>
      <c r="UB1222" s="101"/>
      <c r="UC1222" s="101"/>
      <c r="UD1222" s="101"/>
      <c r="UE1222" s="101"/>
      <c r="UF1222" s="101"/>
      <c r="UG1222" s="23"/>
    </row>
    <row r="1223" spans="1:553" ht="27" customHeight="1">
      <c r="A1223" s="366"/>
      <c r="B1223" s="366">
        <v>223</v>
      </c>
      <c r="C1223" s="1535" t="s">
        <v>1025</v>
      </c>
      <c r="D1223" s="1389"/>
      <c r="E1223" s="1389"/>
      <c r="F1223" s="1390"/>
      <c r="G1223" s="366" t="s">
        <v>33</v>
      </c>
      <c r="H1223" s="370"/>
      <c r="I1223" s="422">
        <f>1.9*2.3</f>
        <v>4.3699999999999992</v>
      </c>
      <c r="J1223" s="368">
        <v>569800</v>
      </c>
      <c r="K1223" s="371"/>
      <c r="L1223" s="487">
        <f t="shared" si="183"/>
        <v>2490025.9999999995</v>
      </c>
      <c r="M1223" s="366"/>
      <c r="N1223" s="366"/>
      <c r="O1223" s="366"/>
      <c r="P1223" s="366"/>
      <c r="Q1223" s="812"/>
      <c r="R1223" s="1226"/>
      <c r="S1223" s="308"/>
      <c r="T1223" s="308"/>
      <c r="U1223" s="308"/>
      <c r="V1223" s="308"/>
      <c r="W1223" s="308"/>
      <c r="X1223" s="308"/>
      <c r="Y1223" s="308"/>
      <c r="Z1223" s="604"/>
      <c r="AA1223" s="308"/>
      <c r="AB1223" s="308"/>
      <c r="AC1223" s="449"/>
      <c r="AD1223" s="449"/>
      <c r="AE1223" s="449"/>
      <c r="AF1223" s="449"/>
      <c r="AG1223" s="449"/>
      <c r="AH1223" s="449"/>
      <c r="AI1223" s="449"/>
      <c r="AJ1223" s="449"/>
      <c r="AK1223" s="452"/>
      <c r="AL1223" s="104"/>
      <c r="AM1223" s="32"/>
      <c r="AN1223" s="32"/>
      <c r="AO1223" s="32"/>
      <c r="AP1223" s="32"/>
      <c r="AQ1223" s="32"/>
      <c r="AR1223" s="32"/>
      <c r="AS1223" s="31"/>
      <c r="AT1223" s="31"/>
      <c r="AU1223" s="31"/>
      <c r="AV1223" s="31"/>
      <c r="AW1223" s="31"/>
      <c r="AX1223" s="31"/>
      <c r="AY1223" s="31"/>
      <c r="AZ1223" s="31"/>
      <c r="BA1223" s="31"/>
      <c r="BB1223" s="31"/>
      <c r="BC1223" s="31"/>
      <c r="BD1223" s="31"/>
      <c r="BE1223" s="31"/>
      <c r="BF1223" s="31"/>
      <c r="BG1223" s="31"/>
      <c r="BH1223" s="31"/>
      <c r="BI1223" s="31"/>
      <c r="BJ1223" s="31"/>
      <c r="BK1223" s="31"/>
      <c r="BL1223" s="31"/>
      <c r="BM1223" s="31"/>
      <c r="BN1223" s="31"/>
      <c r="BO1223" s="31"/>
      <c r="BP1223" s="31"/>
      <c r="BQ1223" s="31"/>
      <c r="BR1223" s="31"/>
      <c r="BS1223" s="31"/>
      <c r="BT1223" s="31"/>
      <c r="BU1223" s="31"/>
      <c r="BV1223" s="31"/>
      <c r="BW1223" s="31"/>
      <c r="BX1223" s="31"/>
      <c r="BY1223" s="31"/>
      <c r="BZ1223" s="31"/>
      <c r="CA1223" s="31"/>
      <c r="CB1223" s="31"/>
      <c r="CC1223" s="31"/>
      <c r="CD1223" s="31"/>
      <c r="CE1223" s="31"/>
      <c r="CF1223" s="31"/>
      <c r="CG1223" s="31"/>
      <c r="CH1223" s="31"/>
      <c r="CI1223" s="31"/>
      <c r="CJ1223" s="31"/>
      <c r="CK1223" s="31"/>
      <c r="CL1223" s="31"/>
      <c r="CM1223" s="31"/>
      <c r="CN1223" s="31"/>
      <c r="CO1223" s="31"/>
      <c r="CP1223" s="31"/>
      <c r="CQ1223" s="31"/>
      <c r="CR1223" s="31"/>
      <c r="CS1223" s="31"/>
      <c r="CT1223" s="31"/>
      <c r="CU1223" s="31"/>
      <c r="CV1223" s="31"/>
      <c r="CW1223" s="31"/>
      <c r="CX1223" s="31"/>
      <c r="CY1223" s="31"/>
      <c r="CZ1223" s="31"/>
      <c r="DA1223" s="31"/>
      <c r="DB1223" s="31"/>
      <c r="DC1223" s="31"/>
      <c r="DD1223" s="31"/>
      <c r="DE1223" s="31"/>
      <c r="DF1223" s="31"/>
      <c r="DG1223" s="31"/>
      <c r="DH1223" s="31"/>
      <c r="DI1223" s="31"/>
      <c r="DJ1223" s="31"/>
      <c r="DK1223" s="31"/>
      <c r="DL1223" s="31"/>
      <c r="DM1223" s="31"/>
      <c r="DN1223" s="31"/>
      <c r="DO1223" s="31"/>
      <c r="DP1223" s="31"/>
      <c r="DQ1223" s="31"/>
      <c r="DR1223" s="31"/>
      <c r="DS1223" s="31"/>
      <c r="DT1223" s="31"/>
      <c r="DU1223" s="31"/>
      <c r="DV1223" s="31"/>
      <c r="DW1223" s="31"/>
      <c r="DX1223" s="31"/>
      <c r="DY1223" s="31"/>
      <c r="DZ1223" s="31"/>
      <c r="EA1223" s="31"/>
      <c r="EB1223" s="31"/>
      <c r="EC1223" s="31"/>
      <c r="ED1223" s="31"/>
      <c r="EE1223" s="31"/>
      <c r="EF1223" s="31"/>
      <c r="EG1223" s="31"/>
      <c r="EH1223" s="31"/>
      <c r="EI1223" s="31"/>
      <c r="EJ1223" s="31"/>
      <c r="EK1223" s="31"/>
      <c r="EL1223" s="31"/>
      <c r="EM1223" s="31"/>
      <c r="EN1223" s="31"/>
      <c r="EO1223" s="31"/>
      <c r="EP1223" s="31"/>
      <c r="EQ1223" s="31"/>
      <c r="ER1223" s="31"/>
      <c r="ES1223" s="31"/>
      <c r="ET1223" s="31"/>
      <c r="EU1223" s="31"/>
      <c r="EV1223" s="31"/>
      <c r="EW1223" s="31"/>
      <c r="EX1223" s="31"/>
      <c r="EY1223" s="31"/>
      <c r="EZ1223" s="31"/>
      <c r="FA1223" s="31"/>
      <c r="FB1223" s="31"/>
      <c r="FC1223" s="31"/>
      <c r="FD1223" s="31"/>
      <c r="FE1223" s="31"/>
      <c r="FF1223" s="31"/>
      <c r="FG1223" s="31"/>
      <c r="FH1223" s="31"/>
      <c r="FI1223" s="31"/>
      <c r="FJ1223" s="31"/>
      <c r="FK1223" s="31"/>
      <c r="FL1223" s="31"/>
      <c r="FM1223" s="31"/>
      <c r="FN1223" s="31"/>
      <c r="FO1223" s="31"/>
      <c r="FP1223" s="31"/>
      <c r="FQ1223" s="31"/>
      <c r="FR1223" s="31"/>
      <c r="FS1223" s="31"/>
      <c r="FT1223" s="31"/>
      <c r="FU1223" s="31"/>
      <c r="FV1223" s="31"/>
      <c r="FW1223" s="31"/>
      <c r="FX1223" s="31"/>
      <c r="FY1223" s="31"/>
      <c r="FZ1223" s="31"/>
      <c r="GA1223" s="31"/>
      <c r="GB1223" s="31"/>
      <c r="GC1223" s="31"/>
      <c r="GD1223" s="31"/>
      <c r="GE1223" s="31"/>
      <c r="GF1223" s="31"/>
      <c r="GG1223" s="31"/>
      <c r="GH1223" s="31"/>
      <c r="GI1223" s="31"/>
      <c r="GJ1223" s="31"/>
      <c r="GK1223" s="31"/>
      <c r="GL1223" s="31"/>
      <c r="GM1223" s="31"/>
      <c r="GN1223" s="31"/>
      <c r="GO1223" s="31"/>
      <c r="GP1223" s="31"/>
      <c r="GQ1223" s="31"/>
      <c r="GR1223" s="31"/>
      <c r="GS1223" s="31"/>
      <c r="GT1223" s="31"/>
      <c r="GU1223" s="31"/>
      <c r="GV1223" s="31"/>
      <c r="GW1223" s="31"/>
      <c r="GX1223" s="31"/>
      <c r="GY1223" s="31"/>
      <c r="GZ1223" s="31"/>
      <c r="HA1223" s="31"/>
      <c r="HB1223" s="31"/>
      <c r="HC1223" s="31"/>
      <c r="HD1223" s="31"/>
      <c r="HE1223" s="31"/>
      <c r="HF1223" s="31"/>
      <c r="HG1223" s="31"/>
      <c r="HH1223" s="31"/>
      <c r="HI1223" s="31"/>
      <c r="HJ1223" s="31"/>
      <c r="HK1223" s="31"/>
      <c r="HL1223" s="31"/>
      <c r="HM1223" s="31"/>
      <c r="HN1223" s="31"/>
      <c r="HO1223" s="31"/>
      <c r="HP1223" s="31"/>
      <c r="HQ1223" s="31"/>
      <c r="HR1223" s="31"/>
      <c r="HS1223" s="31"/>
      <c r="HT1223" s="31"/>
      <c r="HU1223" s="31"/>
      <c r="HV1223" s="31"/>
      <c r="HW1223" s="31"/>
      <c r="HX1223" s="31"/>
      <c r="HY1223" s="31"/>
      <c r="HZ1223" s="31"/>
      <c r="IA1223" s="31"/>
      <c r="IB1223" s="31"/>
      <c r="IC1223" s="31"/>
      <c r="ID1223" s="31"/>
      <c r="IE1223" s="31"/>
      <c r="IF1223" s="31"/>
      <c r="IG1223" s="31"/>
      <c r="IH1223" s="31"/>
      <c r="II1223" s="31"/>
      <c r="IJ1223" s="31"/>
      <c r="IK1223" s="31"/>
      <c r="IL1223" s="31"/>
      <c r="IM1223" s="31"/>
      <c r="IN1223" s="31"/>
      <c r="IO1223" s="31"/>
      <c r="IP1223" s="31"/>
      <c r="IQ1223" s="31"/>
      <c r="IR1223" s="31"/>
      <c r="IS1223" s="31"/>
      <c r="IT1223" s="31"/>
      <c r="IU1223" s="31"/>
      <c r="IV1223" s="31"/>
      <c r="IW1223" s="31"/>
      <c r="IX1223" s="31"/>
      <c r="IY1223" s="31"/>
      <c r="IZ1223" s="31"/>
      <c r="JA1223" s="31"/>
      <c r="JB1223" s="31"/>
      <c r="JC1223" s="31"/>
      <c r="JD1223" s="31"/>
      <c r="JE1223" s="31"/>
      <c r="JF1223" s="31"/>
      <c r="JG1223" s="31"/>
      <c r="JH1223" s="31"/>
      <c r="JI1223" s="31"/>
      <c r="JJ1223" s="31"/>
      <c r="JK1223" s="31"/>
      <c r="JL1223" s="31"/>
      <c r="JM1223" s="31"/>
      <c r="JN1223" s="31"/>
      <c r="JO1223" s="31"/>
      <c r="JP1223" s="31"/>
      <c r="JQ1223" s="31"/>
      <c r="JR1223" s="31"/>
      <c r="JS1223" s="31"/>
      <c r="JT1223" s="31"/>
      <c r="JU1223" s="31"/>
      <c r="JV1223" s="31"/>
      <c r="JW1223" s="31"/>
      <c r="JX1223" s="31"/>
      <c r="JY1223" s="31"/>
      <c r="JZ1223" s="31"/>
      <c r="KA1223" s="31"/>
      <c r="KB1223" s="31"/>
      <c r="KC1223" s="31"/>
      <c r="KD1223" s="31"/>
      <c r="KE1223" s="31"/>
      <c r="KF1223" s="31"/>
      <c r="KG1223" s="31"/>
      <c r="KH1223" s="31"/>
      <c r="KI1223" s="31"/>
      <c r="KJ1223" s="31"/>
      <c r="KK1223" s="31"/>
      <c r="KL1223" s="31"/>
      <c r="KM1223" s="31"/>
      <c r="KN1223" s="31"/>
      <c r="KO1223" s="31"/>
      <c r="KP1223" s="31"/>
      <c r="KQ1223" s="31"/>
      <c r="KR1223" s="31"/>
      <c r="KS1223" s="31"/>
      <c r="KT1223" s="31"/>
      <c r="KU1223" s="31"/>
      <c r="KV1223" s="31"/>
      <c r="KW1223" s="31"/>
      <c r="KX1223" s="31"/>
      <c r="KY1223" s="31"/>
      <c r="KZ1223" s="31"/>
      <c r="LA1223" s="31"/>
      <c r="LB1223" s="31"/>
      <c r="LC1223" s="31"/>
      <c r="LD1223" s="31"/>
      <c r="LE1223" s="31"/>
      <c r="LF1223" s="31"/>
      <c r="LG1223" s="31"/>
      <c r="LH1223" s="31"/>
      <c r="LI1223" s="31"/>
      <c r="LJ1223" s="31"/>
      <c r="LK1223" s="31"/>
      <c r="LL1223" s="31"/>
      <c r="LM1223" s="31"/>
      <c r="LN1223" s="31"/>
      <c r="LO1223" s="31"/>
      <c r="LP1223" s="31"/>
      <c r="LQ1223" s="31"/>
      <c r="LR1223" s="31"/>
      <c r="LS1223" s="31"/>
      <c r="LT1223" s="31"/>
      <c r="LU1223" s="31"/>
      <c r="LV1223" s="31"/>
      <c r="LW1223" s="31"/>
      <c r="LX1223" s="31"/>
      <c r="LY1223" s="31"/>
      <c r="LZ1223" s="31"/>
      <c r="MA1223" s="31"/>
      <c r="MB1223" s="31"/>
      <c r="MC1223" s="31"/>
      <c r="MD1223" s="31"/>
      <c r="ME1223" s="31"/>
      <c r="MF1223" s="31"/>
      <c r="MG1223" s="31"/>
      <c r="MH1223" s="31"/>
      <c r="MI1223" s="31"/>
      <c r="MJ1223" s="31"/>
      <c r="MK1223" s="31"/>
      <c r="ML1223" s="31"/>
      <c r="MM1223" s="31"/>
      <c r="MN1223" s="31"/>
      <c r="MO1223" s="31"/>
      <c r="MP1223" s="31"/>
      <c r="MQ1223" s="31"/>
      <c r="MR1223" s="31"/>
      <c r="MS1223" s="31"/>
      <c r="MT1223" s="31"/>
      <c r="MU1223" s="31"/>
      <c r="MV1223" s="31"/>
      <c r="MW1223" s="31"/>
      <c r="MX1223" s="31"/>
      <c r="MY1223" s="31"/>
      <c r="MZ1223" s="31"/>
      <c r="NA1223" s="31"/>
      <c r="NB1223" s="31"/>
      <c r="NC1223" s="31"/>
      <c r="ND1223" s="31"/>
      <c r="NE1223" s="31"/>
      <c r="NF1223" s="31"/>
      <c r="NG1223" s="31"/>
      <c r="NH1223" s="31"/>
      <c r="NI1223" s="31"/>
      <c r="NJ1223" s="31"/>
      <c r="NK1223" s="31"/>
      <c r="NL1223" s="31"/>
      <c r="NM1223" s="31"/>
      <c r="NN1223" s="31"/>
      <c r="NO1223" s="31"/>
      <c r="NP1223" s="31"/>
      <c r="NQ1223" s="31"/>
      <c r="NR1223" s="31"/>
      <c r="NS1223" s="31"/>
      <c r="NT1223" s="31"/>
      <c r="NU1223" s="31"/>
      <c r="NV1223" s="31"/>
      <c r="NW1223" s="31"/>
      <c r="NX1223" s="31"/>
      <c r="NY1223" s="31"/>
      <c r="NZ1223" s="31"/>
      <c r="OA1223" s="31"/>
      <c r="OB1223" s="31"/>
      <c r="OC1223" s="31"/>
      <c r="OD1223" s="31"/>
      <c r="OE1223" s="31"/>
      <c r="OF1223" s="31"/>
      <c r="OG1223" s="31"/>
      <c r="OH1223" s="31"/>
      <c r="OI1223" s="31"/>
      <c r="OJ1223" s="31"/>
      <c r="OK1223" s="31"/>
      <c r="OL1223" s="31"/>
      <c r="OM1223" s="31"/>
      <c r="ON1223" s="31"/>
      <c r="OO1223" s="31"/>
      <c r="OP1223" s="31"/>
      <c r="OQ1223" s="31"/>
      <c r="OR1223" s="31"/>
      <c r="OS1223" s="31"/>
      <c r="OT1223" s="31"/>
      <c r="OU1223" s="31"/>
      <c r="OV1223" s="31"/>
      <c r="OW1223" s="31"/>
      <c r="OX1223" s="31"/>
      <c r="OY1223" s="31"/>
      <c r="OZ1223" s="31"/>
      <c r="PA1223" s="31"/>
      <c r="PB1223" s="31"/>
      <c r="PC1223" s="31"/>
      <c r="PD1223" s="31"/>
      <c r="PE1223" s="31"/>
      <c r="PF1223" s="31"/>
      <c r="PG1223" s="31"/>
      <c r="PH1223" s="31"/>
      <c r="PI1223" s="31"/>
      <c r="PJ1223" s="31"/>
      <c r="PK1223" s="31"/>
      <c r="PL1223" s="31"/>
      <c r="PM1223" s="31"/>
      <c r="PN1223" s="31"/>
      <c r="PO1223" s="31"/>
      <c r="PP1223" s="31"/>
      <c r="PQ1223" s="31"/>
      <c r="PR1223" s="31"/>
      <c r="PS1223" s="31"/>
      <c r="PT1223" s="31"/>
      <c r="PU1223" s="31"/>
      <c r="PV1223" s="31"/>
      <c r="PW1223" s="31"/>
      <c r="PX1223" s="31"/>
      <c r="PY1223" s="31"/>
      <c r="PZ1223" s="31"/>
      <c r="QA1223" s="31"/>
      <c r="QB1223" s="31"/>
      <c r="QC1223" s="31"/>
      <c r="QD1223" s="31"/>
      <c r="QE1223" s="31"/>
      <c r="QF1223" s="31"/>
      <c r="QG1223" s="31"/>
      <c r="QH1223" s="31"/>
      <c r="QI1223" s="31"/>
      <c r="QJ1223" s="31"/>
      <c r="QK1223" s="31"/>
      <c r="QL1223" s="31"/>
      <c r="QM1223" s="31"/>
      <c r="QN1223" s="31"/>
      <c r="QO1223" s="31"/>
      <c r="QP1223" s="31"/>
      <c r="QQ1223" s="31"/>
      <c r="QR1223" s="31"/>
      <c r="QS1223" s="31"/>
      <c r="QT1223" s="31"/>
      <c r="QU1223" s="31"/>
      <c r="QV1223" s="31"/>
      <c r="QW1223" s="31"/>
      <c r="QX1223" s="31"/>
      <c r="QY1223" s="31"/>
      <c r="QZ1223" s="31"/>
      <c r="RA1223" s="31"/>
      <c r="RB1223" s="31"/>
      <c r="RC1223" s="31"/>
      <c r="RD1223" s="31"/>
      <c r="RE1223" s="31"/>
      <c r="RF1223" s="31"/>
      <c r="RG1223" s="31"/>
      <c r="RH1223" s="31"/>
      <c r="RI1223" s="31"/>
      <c r="RJ1223" s="31"/>
      <c r="RK1223" s="31"/>
      <c r="RL1223" s="31"/>
      <c r="RM1223" s="31"/>
      <c r="RN1223" s="31"/>
      <c r="RO1223" s="31"/>
      <c r="RP1223" s="31"/>
      <c r="RQ1223" s="31"/>
      <c r="RR1223" s="31"/>
      <c r="RS1223" s="31"/>
      <c r="RT1223" s="31"/>
      <c r="RU1223" s="31"/>
      <c r="RV1223" s="31"/>
      <c r="RW1223" s="31"/>
      <c r="RX1223" s="31"/>
      <c r="RY1223" s="31"/>
      <c r="RZ1223" s="31"/>
      <c r="SA1223" s="31"/>
      <c r="SB1223" s="31"/>
      <c r="SC1223" s="31"/>
      <c r="SD1223" s="31"/>
      <c r="SE1223" s="31"/>
      <c r="SF1223" s="31"/>
      <c r="SG1223" s="31"/>
      <c r="SH1223" s="31"/>
      <c r="SI1223" s="31"/>
      <c r="SJ1223" s="31"/>
      <c r="SK1223" s="31"/>
      <c r="SL1223" s="31"/>
      <c r="SM1223" s="31"/>
      <c r="SN1223" s="31"/>
      <c r="SO1223" s="31"/>
      <c r="SP1223" s="31"/>
      <c r="SQ1223" s="31"/>
      <c r="SR1223" s="31"/>
      <c r="SS1223" s="31"/>
      <c r="ST1223" s="31"/>
      <c r="SU1223" s="31"/>
      <c r="SV1223" s="31"/>
      <c r="SW1223" s="31"/>
      <c r="SX1223" s="31"/>
      <c r="SY1223" s="31"/>
      <c r="SZ1223" s="31"/>
      <c r="TA1223" s="31"/>
      <c r="TB1223" s="31"/>
      <c r="TC1223" s="31"/>
      <c r="TD1223" s="31"/>
      <c r="TE1223" s="31"/>
      <c r="TF1223" s="31"/>
      <c r="TG1223" s="31"/>
      <c r="TH1223" s="31"/>
      <c r="TI1223" s="31"/>
      <c r="TJ1223" s="31"/>
      <c r="TK1223" s="31"/>
      <c r="TL1223" s="31"/>
      <c r="TM1223" s="31"/>
      <c r="TN1223" s="31"/>
      <c r="TO1223" s="31"/>
      <c r="TP1223" s="31"/>
      <c r="TQ1223" s="31"/>
      <c r="TR1223" s="31"/>
      <c r="TS1223" s="31"/>
      <c r="TT1223" s="31"/>
      <c r="TU1223" s="31"/>
      <c r="TV1223" s="31"/>
      <c r="TW1223" s="31"/>
      <c r="TX1223" s="31"/>
      <c r="TY1223" s="31"/>
      <c r="TZ1223" s="31"/>
      <c r="UA1223" s="31"/>
      <c r="UB1223" s="31"/>
      <c r="UC1223" s="31"/>
      <c r="UD1223" s="31"/>
      <c r="UE1223" s="31"/>
      <c r="UF1223" s="31"/>
      <c r="UG1223" s="33"/>
    </row>
    <row r="1224" spans="1:553" ht="27" customHeight="1">
      <c r="A1224" s="366"/>
      <c r="B1224" s="385">
        <v>194</v>
      </c>
      <c r="C1224" s="1535" t="s">
        <v>676</v>
      </c>
      <c r="D1224" s="1389"/>
      <c r="E1224" s="1389"/>
      <c r="F1224" s="1390"/>
      <c r="G1224" s="386" t="s">
        <v>113</v>
      </c>
      <c r="H1224" s="370"/>
      <c r="I1224" s="422">
        <f>4.6*(0.8/1.4)</f>
        <v>2.6285714285714286</v>
      </c>
      <c r="J1224" s="368">
        <v>358700</v>
      </c>
      <c r="K1224" s="371"/>
      <c r="L1224" s="487">
        <f t="shared" si="183"/>
        <v>942868.57142857148</v>
      </c>
      <c r="M1224" s="782"/>
      <c r="N1224" s="782"/>
      <c r="O1224" s="366"/>
      <c r="P1224" s="396"/>
      <c r="Q1224" s="473"/>
      <c r="R1224" s="1039"/>
      <c r="S1224" s="308"/>
      <c r="T1224" s="308"/>
      <c r="U1224" s="308"/>
      <c r="V1224" s="308"/>
      <c r="W1224" s="308"/>
      <c r="X1224" s="308"/>
      <c r="Y1224" s="308"/>
      <c r="Z1224" s="604"/>
      <c r="AA1224" s="308"/>
      <c r="AB1224" s="308"/>
      <c r="AC1224" s="449"/>
      <c r="AD1224" s="449"/>
      <c r="AE1224" s="449"/>
      <c r="AF1224" s="449"/>
      <c r="AG1224" s="452"/>
      <c r="AH1224" s="452"/>
      <c r="AI1224" s="452"/>
      <c r="AJ1224" s="452"/>
      <c r="AK1224" s="452"/>
      <c r="AL1224" s="104"/>
      <c r="AM1224" s="32"/>
      <c r="AN1224" s="32"/>
      <c r="AO1224" s="32"/>
      <c r="AP1224" s="32"/>
      <c r="AQ1224" s="31"/>
      <c r="AR1224" s="31"/>
      <c r="AS1224" s="31"/>
      <c r="AT1224" s="31"/>
      <c r="AU1224" s="31"/>
      <c r="AV1224" s="31"/>
      <c r="AW1224" s="31"/>
      <c r="AX1224" s="31"/>
      <c r="AY1224" s="31"/>
      <c r="AZ1224" s="31"/>
      <c r="BA1224" s="31"/>
      <c r="BB1224" s="31"/>
      <c r="BC1224" s="31"/>
      <c r="BD1224" s="31"/>
      <c r="BE1224" s="31"/>
      <c r="BF1224" s="31"/>
      <c r="BG1224" s="31"/>
      <c r="BH1224" s="31"/>
      <c r="BI1224" s="31"/>
      <c r="BJ1224" s="31"/>
      <c r="BK1224" s="31"/>
      <c r="BL1224" s="31"/>
      <c r="BM1224" s="31"/>
      <c r="BN1224" s="31"/>
      <c r="BO1224" s="31"/>
      <c r="BP1224" s="31"/>
      <c r="BQ1224" s="31"/>
      <c r="BR1224" s="31"/>
      <c r="BS1224" s="31"/>
      <c r="BT1224" s="31"/>
      <c r="BU1224" s="31"/>
      <c r="BV1224" s="31"/>
      <c r="BW1224" s="31"/>
      <c r="BX1224" s="31"/>
      <c r="BY1224" s="31"/>
      <c r="BZ1224" s="31"/>
      <c r="CA1224" s="31"/>
      <c r="CB1224" s="31"/>
      <c r="CC1224" s="31"/>
      <c r="CD1224" s="31"/>
      <c r="CE1224" s="31"/>
      <c r="CF1224" s="31"/>
      <c r="CG1224" s="31"/>
      <c r="CH1224" s="31"/>
      <c r="CI1224" s="31"/>
      <c r="CJ1224" s="31"/>
      <c r="CK1224" s="31"/>
      <c r="CL1224" s="31"/>
      <c r="CM1224" s="31"/>
      <c r="CN1224" s="31"/>
      <c r="CO1224" s="31"/>
      <c r="CP1224" s="31"/>
      <c r="CQ1224" s="31"/>
      <c r="CR1224" s="31"/>
      <c r="CS1224" s="31"/>
      <c r="CT1224" s="31"/>
      <c r="CU1224" s="31"/>
      <c r="CV1224" s="31"/>
      <c r="CW1224" s="31"/>
      <c r="CX1224" s="31"/>
      <c r="CY1224" s="31"/>
      <c r="CZ1224" s="31"/>
      <c r="DA1224" s="31"/>
      <c r="DB1224" s="31"/>
      <c r="DC1224" s="31"/>
      <c r="DD1224" s="31"/>
      <c r="DE1224" s="31"/>
      <c r="DF1224" s="31"/>
      <c r="DG1224" s="31"/>
      <c r="DH1224" s="31"/>
      <c r="DI1224" s="31"/>
      <c r="DJ1224" s="31"/>
      <c r="DK1224" s="31"/>
      <c r="DL1224" s="31"/>
      <c r="DM1224" s="31"/>
      <c r="DN1224" s="31"/>
      <c r="DO1224" s="31"/>
      <c r="DP1224" s="31"/>
      <c r="DQ1224" s="31"/>
      <c r="DR1224" s="31"/>
      <c r="DS1224" s="31"/>
      <c r="DT1224" s="31"/>
      <c r="DU1224" s="31"/>
      <c r="DV1224" s="31"/>
      <c r="DW1224" s="31"/>
      <c r="DX1224" s="31"/>
      <c r="DY1224" s="31"/>
      <c r="DZ1224" s="31"/>
      <c r="EA1224" s="31"/>
      <c r="EB1224" s="31"/>
      <c r="EC1224" s="31"/>
      <c r="ED1224" s="31"/>
      <c r="EE1224" s="31"/>
      <c r="EF1224" s="31"/>
      <c r="EG1224" s="31"/>
      <c r="EH1224" s="31"/>
      <c r="EI1224" s="31"/>
      <c r="EJ1224" s="31"/>
      <c r="EK1224" s="31"/>
      <c r="EL1224" s="31"/>
      <c r="EM1224" s="31"/>
      <c r="EN1224" s="31"/>
      <c r="EO1224" s="31"/>
      <c r="EP1224" s="31"/>
      <c r="EQ1224" s="31"/>
      <c r="ER1224" s="31"/>
      <c r="ES1224" s="31"/>
      <c r="ET1224" s="31"/>
      <c r="EU1224" s="31"/>
      <c r="EV1224" s="31"/>
      <c r="EW1224" s="31"/>
      <c r="EX1224" s="31"/>
      <c r="EY1224" s="31"/>
      <c r="EZ1224" s="31"/>
      <c r="FA1224" s="31"/>
      <c r="FB1224" s="31"/>
      <c r="FC1224" s="31"/>
      <c r="FD1224" s="31"/>
      <c r="FE1224" s="31"/>
      <c r="FF1224" s="31"/>
      <c r="FG1224" s="31"/>
      <c r="FH1224" s="31"/>
      <c r="FI1224" s="31"/>
      <c r="FJ1224" s="31"/>
      <c r="FK1224" s="31"/>
      <c r="FL1224" s="31"/>
      <c r="FM1224" s="31"/>
      <c r="FN1224" s="31"/>
      <c r="FO1224" s="31"/>
      <c r="FP1224" s="31"/>
      <c r="FQ1224" s="31"/>
      <c r="FR1224" s="31"/>
      <c r="FS1224" s="31"/>
      <c r="FT1224" s="31"/>
      <c r="FU1224" s="31"/>
      <c r="FV1224" s="31"/>
      <c r="FW1224" s="31"/>
      <c r="FX1224" s="31"/>
      <c r="FY1224" s="31"/>
      <c r="FZ1224" s="31"/>
      <c r="GA1224" s="31"/>
      <c r="GB1224" s="31"/>
      <c r="GC1224" s="31"/>
      <c r="GD1224" s="31"/>
      <c r="GE1224" s="31"/>
      <c r="GF1224" s="31"/>
      <c r="GG1224" s="31"/>
      <c r="GH1224" s="31"/>
      <c r="GI1224" s="31"/>
      <c r="GJ1224" s="31"/>
      <c r="GK1224" s="31"/>
      <c r="GL1224" s="31"/>
      <c r="GM1224" s="31"/>
      <c r="GN1224" s="31"/>
      <c r="GO1224" s="31"/>
      <c r="GP1224" s="31"/>
      <c r="GQ1224" s="31"/>
      <c r="GR1224" s="31"/>
      <c r="GS1224" s="31"/>
      <c r="GT1224" s="31"/>
      <c r="GU1224" s="31"/>
      <c r="GV1224" s="31"/>
      <c r="GW1224" s="31"/>
      <c r="GX1224" s="31"/>
      <c r="GY1224" s="31"/>
      <c r="GZ1224" s="31"/>
      <c r="HA1224" s="31"/>
      <c r="HB1224" s="31"/>
      <c r="HC1224" s="31"/>
      <c r="HD1224" s="31"/>
      <c r="HE1224" s="31"/>
      <c r="HF1224" s="31"/>
      <c r="HG1224" s="31"/>
      <c r="HH1224" s="31"/>
      <c r="HI1224" s="31"/>
      <c r="HJ1224" s="31"/>
      <c r="HK1224" s="31"/>
      <c r="HL1224" s="31"/>
      <c r="HM1224" s="31"/>
      <c r="HN1224" s="31"/>
      <c r="HO1224" s="31"/>
      <c r="HP1224" s="31"/>
      <c r="HQ1224" s="31"/>
      <c r="HR1224" s="31"/>
      <c r="HS1224" s="31"/>
      <c r="HT1224" s="31"/>
      <c r="HU1224" s="31"/>
      <c r="HV1224" s="31"/>
      <c r="HW1224" s="31"/>
      <c r="HX1224" s="31"/>
      <c r="HY1224" s="31"/>
      <c r="HZ1224" s="31"/>
      <c r="IA1224" s="31"/>
      <c r="IB1224" s="31"/>
      <c r="IC1224" s="31"/>
      <c r="ID1224" s="31"/>
      <c r="IE1224" s="31"/>
      <c r="IF1224" s="31"/>
      <c r="IG1224" s="31"/>
      <c r="IH1224" s="31"/>
      <c r="II1224" s="31"/>
      <c r="IJ1224" s="31"/>
      <c r="IK1224" s="31"/>
      <c r="IL1224" s="31"/>
      <c r="IM1224" s="31"/>
      <c r="IN1224" s="31"/>
      <c r="IO1224" s="31"/>
      <c r="IP1224" s="31"/>
      <c r="IQ1224" s="31"/>
      <c r="IR1224" s="31"/>
      <c r="IS1224" s="31"/>
      <c r="IT1224" s="31"/>
      <c r="IU1224" s="31"/>
      <c r="IV1224" s="31"/>
      <c r="IW1224" s="31"/>
      <c r="IX1224" s="31"/>
      <c r="IY1224" s="31"/>
      <c r="IZ1224" s="31"/>
      <c r="JA1224" s="31"/>
      <c r="JB1224" s="31"/>
      <c r="JC1224" s="31"/>
      <c r="JD1224" s="31"/>
      <c r="JE1224" s="31"/>
      <c r="JF1224" s="31"/>
      <c r="JG1224" s="31"/>
      <c r="JH1224" s="31"/>
      <c r="JI1224" s="31"/>
      <c r="JJ1224" s="31"/>
      <c r="JK1224" s="31"/>
      <c r="JL1224" s="31"/>
      <c r="JM1224" s="31"/>
      <c r="JN1224" s="31"/>
      <c r="JO1224" s="31"/>
      <c r="JP1224" s="31"/>
      <c r="JQ1224" s="31"/>
      <c r="JR1224" s="31"/>
      <c r="JS1224" s="31"/>
      <c r="JT1224" s="31"/>
      <c r="JU1224" s="31"/>
      <c r="JV1224" s="31"/>
      <c r="JW1224" s="31"/>
      <c r="JX1224" s="31"/>
      <c r="JY1224" s="31"/>
      <c r="JZ1224" s="31"/>
      <c r="KA1224" s="31"/>
      <c r="KB1224" s="31"/>
      <c r="KC1224" s="31"/>
      <c r="KD1224" s="31"/>
      <c r="KE1224" s="31"/>
      <c r="KF1224" s="31"/>
      <c r="KG1224" s="31"/>
      <c r="KH1224" s="31"/>
      <c r="KI1224" s="31"/>
      <c r="KJ1224" s="31"/>
      <c r="KK1224" s="31"/>
      <c r="KL1224" s="31"/>
      <c r="KM1224" s="31"/>
      <c r="KN1224" s="31"/>
      <c r="KO1224" s="31"/>
      <c r="KP1224" s="31"/>
      <c r="KQ1224" s="31"/>
      <c r="KR1224" s="31"/>
      <c r="KS1224" s="31"/>
      <c r="KT1224" s="31"/>
      <c r="KU1224" s="31"/>
      <c r="KV1224" s="31"/>
      <c r="KW1224" s="31"/>
      <c r="KX1224" s="31"/>
      <c r="KY1224" s="31"/>
      <c r="KZ1224" s="31"/>
      <c r="LA1224" s="31"/>
      <c r="LB1224" s="31"/>
      <c r="LC1224" s="31"/>
      <c r="LD1224" s="31"/>
      <c r="LE1224" s="31"/>
      <c r="LF1224" s="31"/>
      <c r="LG1224" s="31"/>
      <c r="LH1224" s="31"/>
      <c r="LI1224" s="31"/>
      <c r="LJ1224" s="31"/>
      <c r="LK1224" s="31"/>
      <c r="LL1224" s="31"/>
      <c r="LM1224" s="31"/>
      <c r="LN1224" s="31"/>
      <c r="LO1224" s="31"/>
      <c r="LP1224" s="31"/>
      <c r="LQ1224" s="31"/>
      <c r="LR1224" s="31"/>
      <c r="LS1224" s="31"/>
      <c r="LT1224" s="31"/>
      <c r="LU1224" s="31"/>
      <c r="LV1224" s="31"/>
      <c r="LW1224" s="31"/>
      <c r="LX1224" s="31"/>
      <c r="LY1224" s="31"/>
      <c r="LZ1224" s="31"/>
      <c r="MA1224" s="31"/>
      <c r="MB1224" s="31"/>
      <c r="MC1224" s="31"/>
      <c r="MD1224" s="31"/>
      <c r="ME1224" s="31"/>
      <c r="MF1224" s="31"/>
      <c r="MG1224" s="31"/>
      <c r="MH1224" s="31"/>
      <c r="MI1224" s="31"/>
      <c r="MJ1224" s="31"/>
      <c r="MK1224" s="31"/>
      <c r="ML1224" s="31"/>
      <c r="MM1224" s="31"/>
      <c r="MN1224" s="31"/>
      <c r="MO1224" s="31"/>
      <c r="MP1224" s="31"/>
      <c r="MQ1224" s="31"/>
      <c r="MR1224" s="31"/>
      <c r="MS1224" s="31"/>
      <c r="MT1224" s="31"/>
      <c r="MU1224" s="31"/>
      <c r="MV1224" s="31"/>
      <c r="MW1224" s="31"/>
      <c r="MX1224" s="31"/>
      <c r="MY1224" s="31"/>
      <c r="MZ1224" s="31"/>
      <c r="NA1224" s="31"/>
      <c r="NB1224" s="31"/>
      <c r="NC1224" s="31"/>
      <c r="ND1224" s="31"/>
      <c r="NE1224" s="31"/>
      <c r="NF1224" s="31"/>
      <c r="NG1224" s="31"/>
      <c r="NH1224" s="31"/>
      <c r="NI1224" s="31"/>
      <c r="NJ1224" s="31"/>
      <c r="NK1224" s="31"/>
      <c r="NL1224" s="31"/>
      <c r="NM1224" s="31"/>
      <c r="NN1224" s="31"/>
      <c r="NO1224" s="31"/>
      <c r="NP1224" s="31"/>
      <c r="NQ1224" s="31"/>
      <c r="NR1224" s="31"/>
      <c r="NS1224" s="31"/>
      <c r="NT1224" s="31"/>
      <c r="NU1224" s="31"/>
      <c r="NV1224" s="31"/>
      <c r="NW1224" s="31"/>
      <c r="NX1224" s="31"/>
      <c r="NY1224" s="31"/>
      <c r="NZ1224" s="31"/>
      <c r="OA1224" s="31"/>
      <c r="OB1224" s="31"/>
      <c r="OC1224" s="31"/>
      <c r="OD1224" s="31"/>
      <c r="OE1224" s="31"/>
      <c r="OF1224" s="31"/>
      <c r="OG1224" s="31"/>
      <c r="OH1224" s="31"/>
      <c r="OI1224" s="31"/>
      <c r="OJ1224" s="31"/>
      <c r="OK1224" s="31"/>
      <c r="OL1224" s="31"/>
      <c r="OM1224" s="31"/>
      <c r="ON1224" s="31"/>
      <c r="OO1224" s="31"/>
      <c r="OP1224" s="31"/>
      <c r="OQ1224" s="31"/>
      <c r="OR1224" s="31"/>
      <c r="OS1224" s="31"/>
      <c r="OT1224" s="31"/>
      <c r="OU1224" s="31"/>
      <c r="OV1224" s="31"/>
      <c r="OW1224" s="31"/>
      <c r="OX1224" s="31"/>
      <c r="OY1224" s="31"/>
      <c r="OZ1224" s="31"/>
      <c r="PA1224" s="31"/>
      <c r="PB1224" s="31"/>
      <c r="PC1224" s="31"/>
      <c r="PD1224" s="31"/>
      <c r="PE1224" s="31"/>
      <c r="PF1224" s="31"/>
      <c r="PG1224" s="31"/>
      <c r="PH1224" s="31"/>
      <c r="PI1224" s="31"/>
      <c r="PJ1224" s="31"/>
      <c r="PK1224" s="31"/>
      <c r="PL1224" s="31"/>
      <c r="PM1224" s="31"/>
      <c r="PN1224" s="31"/>
      <c r="PO1224" s="31"/>
      <c r="PP1224" s="31"/>
      <c r="PQ1224" s="31"/>
      <c r="PR1224" s="31"/>
      <c r="PS1224" s="31"/>
      <c r="PT1224" s="31"/>
      <c r="PU1224" s="31"/>
      <c r="PV1224" s="31"/>
      <c r="PW1224" s="31"/>
      <c r="PX1224" s="31"/>
      <c r="PY1224" s="31"/>
      <c r="PZ1224" s="31"/>
      <c r="QA1224" s="31"/>
      <c r="QB1224" s="31"/>
      <c r="QC1224" s="31"/>
      <c r="QD1224" s="31"/>
      <c r="QE1224" s="31"/>
      <c r="QF1224" s="31"/>
      <c r="QG1224" s="31"/>
      <c r="QH1224" s="31"/>
      <c r="QI1224" s="31"/>
      <c r="QJ1224" s="31"/>
      <c r="QK1224" s="31"/>
      <c r="QL1224" s="31"/>
      <c r="QM1224" s="31"/>
      <c r="QN1224" s="31"/>
      <c r="QO1224" s="31"/>
      <c r="QP1224" s="31"/>
      <c r="QQ1224" s="31"/>
      <c r="QR1224" s="31"/>
      <c r="QS1224" s="31"/>
      <c r="QT1224" s="31"/>
      <c r="QU1224" s="31"/>
      <c r="QV1224" s="31"/>
      <c r="QW1224" s="31"/>
      <c r="QX1224" s="31"/>
      <c r="QY1224" s="31"/>
      <c r="QZ1224" s="31"/>
      <c r="RA1224" s="31"/>
      <c r="RB1224" s="31"/>
      <c r="RC1224" s="31"/>
      <c r="RD1224" s="31"/>
      <c r="RE1224" s="31"/>
      <c r="RF1224" s="31"/>
      <c r="RG1224" s="31"/>
      <c r="RH1224" s="31"/>
      <c r="RI1224" s="31"/>
      <c r="RJ1224" s="31"/>
      <c r="RK1224" s="31"/>
      <c r="RL1224" s="31"/>
      <c r="RM1224" s="31"/>
      <c r="RN1224" s="31"/>
      <c r="RO1224" s="31"/>
      <c r="RP1224" s="31"/>
      <c r="RQ1224" s="31"/>
      <c r="RR1224" s="31"/>
      <c r="RS1224" s="31"/>
      <c r="RT1224" s="31"/>
      <c r="RU1224" s="31"/>
      <c r="RV1224" s="31"/>
      <c r="RW1224" s="31"/>
      <c r="RX1224" s="31"/>
      <c r="RY1224" s="31"/>
      <c r="RZ1224" s="31"/>
      <c r="SA1224" s="31"/>
      <c r="SB1224" s="31"/>
      <c r="SC1224" s="31"/>
      <c r="SD1224" s="31"/>
      <c r="SE1224" s="31"/>
      <c r="SF1224" s="31"/>
      <c r="SG1224" s="31"/>
      <c r="SH1224" s="31"/>
      <c r="SI1224" s="31"/>
      <c r="SJ1224" s="31"/>
      <c r="SK1224" s="31"/>
      <c r="SL1224" s="31"/>
      <c r="SM1224" s="31"/>
      <c r="SN1224" s="31"/>
      <c r="SO1224" s="31"/>
      <c r="SP1224" s="31"/>
      <c r="SQ1224" s="31"/>
      <c r="SR1224" s="31"/>
      <c r="SS1224" s="31"/>
      <c r="ST1224" s="31"/>
      <c r="SU1224" s="31"/>
      <c r="SV1224" s="31"/>
      <c r="SW1224" s="31"/>
      <c r="SX1224" s="31"/>
      <c r="SY1224" s="31"/>
      <c r="SZ1224" s="31"/>
      <c r="TA1224" s="31"/>
      <c r="TB1224" s="31"/>
      <c r="TC1224" s="31"/>
      <c r="TD1224" s="31"/>
      <c r="TE1224" s="31"/>
      <c r="TF1224" s="31"/>
      <c r="TG1224" s="31"/>
      <c r="TH1224" s="31"/>
      <c r="TI1224" s="31"/>
      <c r="TJ1224" s="31"/>
      <c r="TK1224" s="31"/>
      <c r="TL1224" s="31"/>
      <c r="TM1224" s="31"/>
      <c r="TN1224" s="31"/>
      <c r="TO1224" s="31"/>
      <c r="TP1224" s="31"/>
      <c r="TQ1224" s="31"/>
      <c r="TR1224" s="31"/>
      <c r="TS1224" s="31"/>
      <c r="TT1224" s="31"/>
      <c r="TU1224" s="31"/>
      <c r="TV1224" s="31"/>
      <c r="TW1224" s="31"/>
      <c r="TX1224" s="31"/>
      <c r="TY1224" s="31"/>
      <c r="TZ1224" s="31"/>
      <c r="UA1224" s="31"/>
      <c r="UB1224" s="31"/>
      <c r="UC1224" s="31"/>
      <c r="UD1224" s="31"/>
      <c r="UE1224" s="31"/>
      <c r="UF1224" s="31"/>
      <c r="UG1224" s="33"/>
    </row>
    <row r="1225" spans="1:553" ht="24" customHeight="1">
      <c r="A1225" s="366"/>
      <c r="B1225" s="366">
        <v>219</v>
      </c>
      <c r="C1225" s="1388" t="s">
        <v>677</v>
      </c>
      <c r="D1225" s="1389"/>
      <c r="E1225" s="1389"/>
      <c r="F1225" s="1390"/>
      <c r="G1225" s="366" t="s">
        <v>33</v>
      </c>
      <c r="H1225" s="370"/>
      <c r="I1225" s="370">
        <f>1.5*2.9</f>
        <v>4.3499999999999996</v>
      </c>
      <c r="J1225" s="368">
        <v>267200</v>
      </c>
      <c r="K1225" s="371"/>
      <c r="L1225" s="480">
        <f t="shared" si="183"/>
        <v>1162320</v>
      </c>
      <c r="M1225" s="366"/>
      <c r="N1225" s="366"/>
      <c r="O1225" s="366"/>
      <c r="P1225" s="366"/>
      <c r="Q1225" s="812"/>
      <c r="R1225" s="1226"/>
      <c r="S1225" s="308"/>
      <c r="T1225" s="308"/>
      <c r="U1225" s="308"/>
      <c r="V1225" s="308"/>
      <c r="W1225" s="308"/>
      <c r="X1225" s="308"/>
      <c r="Y1225" s="308"/>
      <c r="Z1225" s="604"/>
      <c r="AA1225" s="308"/>
      <c r="AB1225" s="308"/>
      <c r="AC1225" s="449"/>
      <c r="AD1225" s="449"/>
      <c r="AE1225" s="449"/>
      <c r="AF1225" s="449"/>
      <c r="AG1225" s="449"/>
      <c r="AH1225" s="449"/>
      <c r="AI1225" s="449"/>
      <c r="AJ1225" s="449"/>
      <c r="AK1225" s="452"/>
      <c r="AL1225" s="104"/>
      <c r="AM1225" s="32"/>
      <c r="AN1225" s="32"/>
      <c r="AO1225" s="32"/>
      <c r="AP1225" s="32"/>
      <c r="AQ1225" s="32"/>
      <c r="AR1225" s="32"/>
      <c r="AS1225" s="31"/>
      <c r="AT1225" s="31"/>
      <c r="AU1225" s="31"/>
      <c r="AV1225" s="31"/>
      <c r="AW1225" s="31"/>
      <c r="AX1225" s="31"/>
      <c r="AY1225" s="31"/>
      <c r="AZ1225" s="31"/>
      <c r="BA1225" s="31"/>
      <c r="BB1225" s="31"/>
      <c r="BC1225" s="31"/>
      <c r="BD1225" s="31"/>
      <c r="BE1225" s="31"/>
      <c r="BF1225" s="31"/>
      <c r="BG1225" s="31"/>
      <c r="BH1225" s="31"/>
      <c r="BI1225" s="31"/>
      <c r="BJ1225" s="31"/>
      <c r="BK1225" s="31"/>
      <c r="BL1225" s="31"/>
      <c r="BM1225" s="31"/>
      <c r="BN1225" s="31"/>
      <c r="BO1225" s="31"/>
      <c r="BP1225" s="31"/>
      <c r="BQ1225" s="31"/>
      <c r="BR1225" s="31"/>
      <c r="BS1225" s="31"/>
      <c r="BT1225" s="31"/>
      <c r="BU1225" s="31"/>
      <c r="BV1225" s="31"/>
      <c r="BW1225" s="31"/>
      <c r="BX1225" s="31"/>
      <c r="BY1225" s="31"/>
      <c r="BZ1225" s="31"/>
      <c r="CA1225" s="31"/>
      <c r="CB1225" s="31"/>
      <c r="CC1225" s="31"/>
      <c r="CD1225" s="31"/>
      <c r="CE1225" s="31"/>
      <c r="CF1225" s="31"/>
      <c r="CG1225" s="31"/>
      <c r="CH1225" s="31"/>
      <c r="CI1225" s="31"/>
      <c r="CJ1225" s="31"/>
      <c r="CK1225" s="31"/>
      <c r="CL1225" s="31"/>
      <c r="CM1225" s="31"/>
      <c r="CN1225" s="31"/>
      <c r="CO1225" s="31"/>
      <c r="CP1225" s="31"/>
      <c r="CQ1225" s="31"/>
      <c r="CR1225" s="31"/>
      <c r="CS1225" s="31"/>
      <c r="CT1225" s="31"/>
      <c r="CU1225" s="31"/>
      <c r="CV1225" s="31"/>
      <c r="CW1225" s="31"/>
      <c r="CX1225" s="31"/>
      <c r="CY1225" s="31"/>
      <c r="CZ1225" s="31"/>
      <c r="DA1225" s="31"/>
      <c r="DB1225" s="31"/>
      <c r="DC1225" s="31"/>
      <c r="DD1225" s="31"/>
      <c r="DE1225" s="31"/>
      <c r="DF1225" s="31"/>
      <c r="DG1225" s="31"/>
      <c r="DH1225" s="31"/>
      <c r="DI1225" s="31"/>
      <c r="DJ1225" s="31"/>
      <c r="DK1225" s="31"/>
      <c r="DL1225" s="31"/>
      <c r="DM1225" s="31"/>
      <c r="DN1225" s="31"/>
      <c r="DO1225" s="31"/>
      <c r="DP1225" s="31"/>
      <c r="DQ1225" s="31"/>
      <c r="DR1225" s="31"/>
      <c r="DS1225" s="31"/>
      <c r="DT1225" s="31"/>
      <c r="DU1225" s="31"/>
      <c r="DV1225" s="31"/>
      <c r="DW1225" s="31"/>
      <c r="DX1225" s="31"/>
      <c r="DY1225" s="31"/>
      <c r="DZ1225" s="31"/>
      <c r="EA1225" s="31"/>
      <c r="EB1225" s="31"/>
      <c r="EC1225" s="31"/>
      <c r="ED1225" s="31"/>
      <c r="EE1225" s="31"/>
      <c r="EF1225" s="31"/>
      <c r="EG1225" s="31"/>
      <c r="EH1225" s="31"/>
      <c r="EI1225" s="31"/>
      <c r="EJ1225" s="31"/>
      <c r="EK1225" s="31"/>
      <c r="EL1225" s="31"/>
      <c r="EM1225" s="31"/>
      <c r="EN1225" s="31"/>
      <c r="EO1225" s="31"/>
      <c r="EP1225" s="31"/>
      <c r="EQ1225" s="31"/>
      <c r="ER1225" s="31"/>
      <c r="ES1225" s="31"/>
      <c r="ET1225" s="31"/>
      <c r="EU1225" s="31"/>
      <c r="EV1225" s="31"/>
      <c r="EW1225" s="31"/>
      <c r="EX1225" s="31"/>
      <c r="EY1225" s="31"/>
      <c r="EZ1225" s="31"/>
      <c r="FA1225" s="31"/>
      <c r="FB1225" s="31"/>
      <c r="FC1225" s="31"/>
      <c r="FD1225" s="31"/>
      <c r="FE1225" s="31"/>
      <c r="FF1225" s="31"/>
      <c r="FG1225" s="31"/>
      <c r="FH1225" s="31"/>
      <c r="FI1225" s="31"/>
      <c r="FJ1225" s="31"/>
      <c r="FK1225" s="31"/>
      <c r="FL1225" s="31"/>
      <c r="FM1225" s="31"/>
      <c r="FN1225" s="31"/>
      <c r="FO1225" s="31"/>
      <c r="FP1225" s="31"/>
      <c r="FQ1225" s="31"/>
      <c r="FR1225" s="31"/>
      <c r="FS1225" s="31"/>
      <c r="FT1225" s="31"/>
      <c r="FU1225" s="31"/>
      <c r="FV1225" s="31"/>
      <c r="FW1225" s="31"/>
      <c r="FX1225" s="31"/>
      <c r="FY1225" s="31"/>
      <c r="FZ1225" s="31"/>
      <c r="GA1225" s="31"/>
      <c r="GB1225" s="31"/>
      <c r="GC1225" s="31"/>
      <c r="GD1225" s="31"/>
      <c r="GE1225" s="31"/>
      <c r="GF1225" s="31"/>
      <c r="GG1225" s="31"/>
      <c r="GH1225" s="31"/>
      <c r="GI1225" s="31"/>
      <c r="GJ1225" s="31"/>
      <c r="GK1225" s="31"/>
      <c r="GL1225" s="31"/>
      <c r="GM1225" s="31"/>
      <c r="GN1225" s="31"/>
      <c r="GO1225" s="31"/>
      <c r="GP1225" s="31"/>
      <c r="GQ1225" s="31"/>
      <c r="GR1225" s="31"/>
      <c r="GS1225" s="31"/>
      <c r="GT1225" s="31"/>
      <c r="GU1225" s="31"/>
      <c r="GV1225" s="31"/>
      <c r="GW1225" s="31"/>
      <c r="GX1225" s="31"/>
      <c r="GY1225" s="31"/>
      <c r="GZ1225" s="31"/>
      <c r="HA1225" s="31"/>
      <c r="HB1225" s="31"/>
      <c r="HC1225" s="31"/>
      <c r="HD1225" s="31"/>
      <c r="HE1225" s="31"/>
      <c r="HF1225" s="31"/>
      <c r="HG1225" s="31"/>
      <c r="HH1225" s="31"/>
      <c r="HI1225" s="31"/>
      <c r="HJ1225" s="31"/>
      <c r="HK1225" s="31"/>
      <c r="HL1225" s="31"/>
      <c r="HM1225" s="31"/>
      <c r="HN1225" s="31"/>
      <c r="HO1225" s="31"/>
      <c r="HP1225" s="31"/>
      <c r="HQ1225" s="31"/>
      <c r="HR1225" s="31"/>
      <c r="HS1225" s="31"/>
      <c r="HT1225" s="31"/>
      <c r="HU1225" s="31"/>
      <c r="HV1225" s="31"/>
      <c r="HW1225" s="31"/>
      <c r="HX1225" s="31"/>
      <c r="HY1225" s="31"/>
      <c r="HZ1225" s="31"/>
      <c r="IA1225" s="31"/>
      <c r="IB1225" s="31"/>
      <c r="IC1225" s="31"/>
      <c r="ID1225" s="31"/>
      <c r="IE1225" s="31"/>
      <c r="IF1225" s="31"/>
      <c r="IG1225" s="31"/>
      <c r="IH1225" s="31"/>
      <c r="II1225" s="31"/>
      <c r="IJ1225" s="31"/>
      <c r="IK1225" s="31"/>
      <c r="IL1225" s="31"/>
      <c r="IM1225" s="31"/>
      <c r="IN1225" s="31"/>
      <c r="IO1225" s="31"/>
      <c r="IP1225" s="31"/>
      <c r="IQ1225" s="31"/>
      <c r="IR1225" s="31"/>
      <c r="IS1225" s="31"/>
      <c r="IT1225" s="31"/>
      <c r="IU1225" s="31"/>
      <c r="IV1225" s="31"/>
      <c r="IW1225" s="31"/>
      <c r="IX1225" s="31"/>
      <c r="IY1225" s="31"/>
      <c r="IZ1225" s="31"/>
      <c r="JA1225" s="31"/>
      <c r="JB1225" s="31"/>
      <c r="JC1225" s="31"/>
      <c r="JD1225" s="31"/>
      <c r="JE1225" s="31"/>
      <c r="JF1225" s="31"/>
      <c r="JG1225" s="31"/>
      <c r="JH1225" s="31"/>
      <c r="JI1225" s="31"/>
      <c r="JJ1225" s="31"/>
      <c r="JK1225" s="31"/>
      <c r="JL1225" s="31"/>
      <c r="JM1225" s="31"/>
      <c r="JN1225" s="31"/>
      <c r="JO1225" s="31"/>
      <c r="JP1225" s="31"/>
      <c r="JQ1225" s="31"/>
      <c r="JR1225" s="31"/>
      <c r="JS1225" s="31"/>
      <c r="JT1225" s="31"/>
      <c r="JU1225" s="31"/>
      <c r="JV1225" s="31"/>
      <c r="JW1225" s="31"/>
      <c r="JX1225" s="31"/>
      <c r="JY1225" s="31"/>
      <c r="JZ1225" s="31"/>
      <c r="KA1225" s="31"/>
      <c r="KB1225" s="31"/>
      <c r="KC1225" s="31"/>
      <c r="KD1225" s="31"/>
      <c r="KE1225" s="31"/>
      <c r="KF1225" s="31"/>
      <c r="KG1225" s="31"/>
      <c r="KH1225" s="31"/>
      <c r="KI1225" s="31"/>
      <c r="KJ1225" s="31"/>
      <c r="KK1225" s="31"/>
      <c r="KL1225" s="31"/>
      <c r="KM1225" s="31"/>
      <c r="KN1225" s="31"/>
      <c r="KO1225" s="31"/>
      <c r="KP1225" s="31"/>
      <c r="KQ1225" s="31"/>
      <c r="KR1225" s="31"/>
      <c r="KS1225" s="31"/>
      <c r="KT1225" s="31"/>
      <c r="KU1225" s="31"/>
      <c r="KV1225" s="31"/>
      <c r="KW1225" s="31"/>
      <c r="KX1225" s="31"/>
      <c r="KY1225" s="31"/>
      <c r="KZ1225" s="31"/>
      <c r="LA1225" s="31"/>
      <c r="LB1225" s="31"/>
      <c r="LC1225" s="31"/>
      <c r="LD1225" s="31"/>
      <c r="LE1225" s="31"/>
      <c r="LF1225" s="31"/>
      <c r="LG1225" s="31"/>
      <c r="LH1225" s="31"/>
      <c r="LI1225" s="31"/>
      <c r="LJ1225" s="31"/>
      <c r="LK1225" s="31"/>
      <c r="LL1225" s="31"/>
      <c r="LM1225" s="31"/>
      <c r="LN1225" s="31"/>
      <c r="LO1225" s="31"/>
      <c r="LP1225" s="31"/>
      <c r="LQ1225" s="31"/>
      <c r="LR1225" s="31"/>
      <c r="LS1225" s="31"/>
      <c r="LT1225" s="31"/>
      <c r="LU1225" s="31"/>
      <c r="LV1225" s="31"/>
      <c r="LW1225" s="31"/>
      <c r="LX1225" s="31"/>
      <c r="LY1225" s="31"/>
      <c r="LZ1225" s="31"/>
      <c r="MA1225" s="31"/>
      <c r="MB1225" s="31"/>
      <c r="MC1225" s="31"/>
      <c r="MD1225" s="31"/>
      <c r="ME1225" s="31"/>
      <c r="MF1225" s="31"/>
      <c r="MG1225" s="31"/>
      <c r="MH1225" s="31"/>
      <c r="MI1225" s="31"/>
      <c r="MJ1225" s="31"/>
      <c r="MK1225" s="31"/>
      <c r="ML1225" s="31"/>
      <c r="MM1225" s="31"/>
      <c r="MN1225" s="31"/>
      <c r="MO1225" s="31"/>
      <c r="MP1225" s="31"/>
      <c r="MQ1225" s="31"/>
      <c r="MR1225" s="31"/>
      <c r="MS1225" s="31"/>
      <c r="MT1225" s="31"/>
      <c r="MU1225" s="31"/>
      <c r="MV1225" s="31"/>
      <c r="MW1225" s="31"/>
      <c r="MX1225" s="31"/>
      <c r="MY1225" s="31"/>
      <c r="MZ1225" s="31"/>
      <c r="NA1225" s="31"/>
      <c r="NB1225" s="31"/>
      <c r="NC1225" s="31"/>
      <c r="ND1225" s="31"/>
      <c r="NE1225" s="31"/>
      <c r="NF1225" s="31"/>
      <c r="NG1225" s="31"/>
      <c r="NH1225" s="31"/>
      <c r="NI1225" s="31"/>
      <c r="NJ1225" s="31"/>
      <c r="NK1225" s="31"/>
      <c r="NL1225" s="31"/>
      <c r="NM1225" s="31"/>
      <c r="NN1225" s="31"/>
      <c r="NO1225" s="31"/>
      <c r="NP1225" s="31"/>
      <c r="NQ1225" s="31"/>
      <c r="NR1225" s="31"/>
      <c r="NS1225" s="31"/>
      <c r="NT1225" s="31"/>
      <c r="NU1225" s="31"/>
      <c r="NV1225" s="31"/>
      <c r="NW1225" s="31"/>
      <c r="NX1225" s="31"/>
      <c r="NY1225" s="31"/>
      <c r="NZ1225" s="31"/>
      <c r="OA1225" s="31"/>
      <c r="OB1225" s="31"/>
      <c r="OC1225" s="31"/>
      <c r="OD1225" s="31"/>
      <c r="OE1225" s="31"/>
      <c r="OF1225" s="31"/>
      <c r="OG1225" s="31"/>
      <c r="OH1225" s="31"/>
      <c r="OI1225" s="31"/>
      <c r="OJ1225" s="31"/>
      <c r="OK1225" s="31"/>
      <c r="OL1225" s="31"/>
      <c r="OM1225" s="31"/>
      <c r="ON1225" s="31"/>
      <c r="OO1225" s="31"/>
      <c r="OP1225" s="31"/>
      <c r="OQ1225" s="31"/>
      <c r="OR1225" s="31"/>
      <c r="OS1225" s="31"/>
      <c r="OT1225" s="31"/>
      <c r="OU1225" s="31"/>
      <c r="OV1225" s="31"/>
      <c r="OW1225" s="31"/>
      <c r="OX1225" s="31"/>
      <c r="OY1225" s="31"/>
      <c r="OZ1225" s="31"/>
      <c r="PA1225" s="31"/>
      <c r="PB1225" s="31"/>
      <c r="PC1225" s="31"/>
      <c r="PD1225" s="31"/>
      <c r="PE1225" s="31"/>
      <c r="PF1225" s="31"/>
      <c r="PG1225" s="31"/>
      <c r="PH1225" s="31"/>
      <c r="PI1225" s="31"/>
      <c r="PJ1225" s="31"/>
      <c r="PK1225" s="31"/>
      <c r="PL1225" s="31"/>
      <c r="PM1225" s="31"/>
      <c r="PN1225" s="31"/>
      <c r="PO1225" s="31"/>
      <c r="PP1225" s="31"/>
      <c r="PQ1225" s="31"/>
      <c r="PR1225" s="31"/>
      <c r="PS1225" s="31"/>
      <c r="PT1225" s="31"/>
      <c r="PU1225" s="31"/>
      <c r="PV1225" s="31"/>
      <c r="PW1225" s="31"/>
      <c r="PX1225" s="31"/>
      <c r="PY1225" s="31"/>
      <c r="PZ1225" s="31"/>
      <c r="QA1225" s="31"/>
      <c r="QB1225" s="31"/>
      <c r="QC1225" s="31"/>
      <c r="QD1225" s="31"/>
      <c r="QE1225" s="31"/>
      <c r="QF1225" s="31"/>
      <c r="QG1225" s="31"/>
      <c r="QH1225" s="31"/>
      <c r="QI1225" s="31"/>
      <c r="QJ1225" s="31"/>
      <c r="QK1225" s="31"/>
      <c r="QL1225" s="31"/>
      <c r="QM1225" s="31"/>
      <c r="QN1225" s="31"/>
      <c r="QO1225" s="31"/>
      <c r="QP1225" s="31"/>
      <c r="QQ1225" s="31"/>
      <c r="QR1225" s="31"/>
      <c r="QS1225" s="31"/>
      <c r="QT1225" s="31"/>
      <c r="QU1225" s="31"/>
      <c r="QV1225" s="31"/>
      <c r="QW1225" s="31"/>
      <c r="QX1225" s="31"/>
      <c r="QY1225" s="31"/>
      <c r="QZ1225" s="31"/>
      <c r="RA1225" s="31"/>
      <c r="RB1225" s="31"/>
      <c r="RC1225" s="31"/>
      <c r="RD1225" s="31"/>
      <c r="RE1225" s="31"/>
      <c r="RF1225" s="31"/>
      <c r="RG1225" s="31"/>
      <c r="RH1225" s="31"/>
      <c r="RI1225" s="31"/>
      <c r="RJ1225" s="31"/>
      <c r="RK1225" s="31"/>
      <c r="RL1225" s="31"/>
      <c r="RM1225" s="31"/>
      <c r="RN1225" s="31"/>
      <c r="RO1225" s="31"/>
      <c r="RP1225" s="31"/>
      <c r="RQ1225" s="31"/>
      <c r="RR1225" s="31"/>
      <c r="RS1225" s="31"/>
      <c r="RT1225" s="31"/>
      <c r="RU1225" s="31"/>
      <c r="RV1225" s="31"/>
      <c r="RW1225" s="31"/>
      <c r="RX1225" s="31"/>
      <c r="RY1225" s="31"/>
      <c r="RZ1225" s="31"/>
      <c r="SA1225" s="31"/>
      <c r="SB1225" s="31"/>
      <c r="SC1225" s="31"/>
      <c r="SD1225" s="31"/>
      <c r="SE1225" s="31"/>
      <c r="SF1225" s="31"/>
      <c r="SG1225" s="31"/>
      <c r="SH1225" s="31"/>
      <c r="SI1225" s="31"/>
      <c r="SJ1225" s="31"/>
      <c r="SK1225" s="31"/>
      <c r="SL1225" s="31"/>
      <c r="SM1225" s="31"/>
      <c r="SN1225" s="31"/>
      <c r="SO1225" s="31"/>
      <c r="SP1225" s="31"/>
      <c r="SQ1225" s="31"/>
      <c r="SR1225" s="31"/>
      <c r="SS1225" s="31"/>
      <c r="ST1225" s="31"/>
      <c r="SU1225" s="31"/>
      <c r="SV1225" s="31"/>
      <c r="SW1225" s="31"/>
      <c r="SX1225" s="31"/>
      <c r="SY1225" s="31"/>
      <c r="SZ1225" s="31"/>
      <c r="TA1225" s="31"/>
      <c r="TB1225" s="31"/>
      <c r="TC1225" s="31"/>
      <c r="TD1225" s="31"/>
      <c r="TE1225" s="31"/>
      <c r="TF1225" s="31"/>
      <c r="TG1225" s="31"/>
      <c r="TH1225" s="31"/>
      <c r="TI1225" s="31"/>
      <c r="TJ1225" s="31"/>
      <c r="TK1225" s="31"/>
      <c r="TL1225" s="31"/>
      <c r="TM1225" s="31"/>
      <c r="TN1225" s="31"/>
      <c r="TO1225" s="31"/>
      <c r="TP1225" s="31"/>
      <c r="TQ1225" s="31"/>
      <c r="TR1225" s="31"/>
      <c r="TS1225" s="31"/>
      <c r="TT1225" s="31"/>
      <c r="TU1225" s="31"/>
      <c r="TV1225" s="31"/>
      <c r="TW1225" s="31"/>
      <c r="TX1225" s="31"/>
      <c r="TY1225" s="31"/>
      <c r="TZ1225" s="31"/>
      <c r="UA1225" s="31"/>
      <c r="UB1225" s="31"/>
      <c r="UC1225" s="31"/>
      <c r="UD1225" s="31"/>
      <c r="UE1225" s="31"/>
      <c r="UF1225" s="31"/>
      <c r="UG1225" s="33"/>
    </row>
    <row r="1226" spans="1:553" ht="27" customHeight="1">
      <c r="A1226" s="366"/>
      <c r="B1226" s="366" t="s">
        <v>31</v>
      </c>
      <c r="C1226" s="1388" t="s">
        <v>678</v>
      </c>
      <c r="D1226" s="1389"/>
      <c r="E1226" s="1389"/>
      <c r="F1226" s="1390"/>
      <c r="G1226" s="366" t="s">
        <v>34</v>
      </c>
      <c r="H1226" s="370"/>
      <c r="I1226" s="422">
        <f>1.8*0.3*0.11</f>
        <v>5.9400000000000001E-2</v>
      </c>
      <c r="J1226" s="368">
        <v>1913917</v>
      </c>
      <c r="K1226" s="371"/>
      <c r="L1226" s="487">
        <f t="shared" si="183"/>
        <v>113686.6698</v>
      </c>
      <c r="M1226" s="366"/>
      <c r="N1226" s="366"/>
      <c r="O1226" s="366"/>
      <c r="P1226" s="366"/>
      <c r="Q1226" s="812"/>
      <c r="R1226" s="1226"/>
      <c r="S1226" s="308"/>
      <c r="T1226" s="308"/>
      <c r="U1226" s="308"/>
      <c r="V1226" s="308"/>
      <c r="W1226" s="308"/>
      <c r="X1226" s="308"/>
      <c r="Y1226" s="308"/>
      <c r="Z1226" s="604"/>
      <c r="AA1226" s="308"/>
      <c r="AB1226" s="308"/>
      <c r="AC1226" s="449"/>
      <c r="AD1226" s="449"/>
      <c r="AE1226" s="449"/>
      <c r="AF1226" s="449"/>
      <c r="AG1226" s="449"/>
      <c r="AH1226" s="449"/>
      <c r="AI1226" s="449"/>
      <c r="AJ1226" s="449"/>
      <c r="AK1226" s="452"/>
      <c r="AL1226" s="104"/>
      <c r="AM1226" s="32"/>
      <c r="AN1226" s="32"/>
      <c r="AO1226" s="32"/>
      <c r="AP1226" s="32"/>
      <c r="AQ1226" s="32"/>
      <c r="AR1226" s="32"/>
      <c r="AS1226" s="31"/>
      <c r="AT1226" s="31"/>
      <c r="AU1226" s="31"/>
      <c r="AV1226" s="31"/>
      <c r="AW1226" s="31"/>
      <c r="AX1226" s="31"/>
      <c r="AY1226" s="31"/>
      <c r="AZ1226" s="31"/>
      <c r="BA1226" s="31"/>
      <c r="BB1226" s="31"/>
      <c r="BC1226" s="31"/>
      <c r="BD1226" s="31"/>
      <c r="BE1226" s="31"/>
      <c r="BF1226" s="31"/>
      <c r="BG1226" s="31"/>
      <c r="BH1226" s="31"/>
      <c r="BI1226" s="31"/>
      <c r="BJ1226" s="31"/>
      <c r="BK1226" s="31"/>
      <c r="BL1226" s="31"/>
      <c r="BM1226" s="31"/>
      <c r="BN1226" s="31"/>
      <c r="BO1226" s="31"/>
      <c r="BP1226" s="31"/>
      <c r="BQ1226" s="31"/>
      <c r="BR1226" s="31"/>
      <c r="BS1226" s="31"/>
      <c r="BT1226" s="31"/>
      <c r="BU1226" s="31"/>
      <c r="BV1226" s="31"/>
      <c r="BW1226" s="31"/>
      <c r="BX1226" s="31"/>
      <c r="BY1226" s="31"/>
      <c r="BZ1226" s="31"/>
      <c r="CA1226" s="31"/>
      <c r="CB1226" s="31"/>
      <c r="CC1226" s="31"/>
      <c r="CD1226" s="31"/>
      <c r="CE1226" s="31"/>
      <c r="CF1226" s="31"/>
      <c r="CG1226" s="31"/>
      <c r="CH1226" s="31"/>
      <c r="CI1226" s="31"/>
      <c r="CJ1226" s="31"/>
      <c r="CK1226" s="31"/>
      <c r="CL1226" s="31"/>
      <c r="CM1226" s="31"/>
      <c r="CN1226" s="31"/>
      <c r="CO1226" s="31"/>
      <c r="CP1226" s="31"/>
      <c r="CQ1226" s="31"/>
      <c r="CR1226" s="31"/>
      <c r="CS1226" s="31"/>
      <c r="CT1226" s="31"/>
      <c r="CU1226" s="31"/>
      <c r="CV1226" s="31"/>
      <c r="CW1226" s="31"/>
      <c r="CX1226" s="31"/>
      <c r="CY1226" s="31"/>
      <c r="CZ1226" s="31"/>
      <c r="DA1226" s="31"/>
      <c r="DB1226" s="31"/>
      <c r="DC1226" s="31"/>
      <c r="DD1226" s="31"/>
      <c r="DE1226" s="31"/>
      <c r="DF1226" s="31"/>
      <c r="DG1226" s="31"/>
      <c r="DH1226" s="31"/>
      <c r="DI1226" s="31"/>
      <c r="DJ1226" s="31"/>
      <c r="DK1226" s="31"/>
      <c r="DL1226" s="31"/>
      <c r="DM1226" s="31"/>
      <c r="DN1226" s="31"/>
      <c r="DO1226" s="31"/>
      <c r="DP1226" s="31"/>
      <c r="DQ1226" s="31"/>
      <c r="DR1226" s="31"/>
      <c r="DS1226" s="31"/>
      <c r="DT1226" s="31"/>
      <c r="DU1226" s="31"/>
      <c r="DV1226" s="31"/>
      <c r="DW1226" s="31"/>
      <c r="DX1226" s="31"/>
      <c r="DY1226" s="31"/>
      <c r="DZ1226" s="31"/>
      <c r="EA1226" s="31"/>
      <c r="EB1226" s="31"/>
      <c r="EC1226" s="31"/>
      <c r="ED1226" s="31"/>
      <c r="EE1226" s="31"/>
      <c r="EF1226" s="31"/>
      <c r="EG1226" s="31"/>
      <c r="EH1226" s="31"/>
      <c r="EI1226" s="31"/>
      <c r="EJ1226" s="31"/>
      <c r="EK1226" s="31"/>
      <c r="EL1226" s="31"/>
      <c r="EM1226" s="31"/>
      <c r="EN1226" s="31"/>
      <c r="EO1226" s="31"/>
      <c r="EP1226" s="31"/>
      <c r="EQ1226" s="31"/>
      <c r="ER1226" s="31"/>
      <c r="ES1226" s="31"/>
      <c r="ET1226" s="31"/>
      <c r="EU1226" s="31"/>
      <c r="EV1226" s="31"/>
      <c r="EW1226" s="31"/>
      <c r="EX1226" s="31"/>
      <c r="EY1226" s="31"/>
      <c r="EZ1226" s="31"/>
      <c r="FA1226" s="31"/>
      <c r="FB1226" s="31"/>
      <c r="FC1226" s="31"/>
      <c r="FD1226" s="31"/>
      <c r="FE1226" s="31"/>
      <c r="FF1226" s="31"/>
      <c r="FG1226" s="31"/>
      <c r="FH1226" s="31"/>
      <c r="FI1226" s="31"/>
      <c r="FJ1226" s="31"/>
      <c r="FK1226" s="31"/>
      <c r="FL1226" s="31"/>
      <c r="FM1226" s="31"/>
      <c r="FN1226" s="31"/>
      <c r="FO1226" s="31"/>
      <c r="FP1226" s="31"/>
      <c r="FQ1226" s="31"/>
      <c r="FR1226" s="31"/>
      <c r="FS1226" s="31"/>
      <c r="FT1226" s="31"/>
      <c r="FU1226" s="31"/>
      <c r="FV1226" s="31"/>
      <c r="FW1226" s="31"/>
      <c r="FX1226" s="31"/>
      <c r="FY1226" s="31"/>
      <c r="FZ1226" s="31"/>
      <c r="GA1226" s="31"/>
      <c r="GB1226" s="31"/>
      <c r="GC1226" s="31"/>
      <c r="GD1226" s="31"/>
      <c r="GE1226" s="31"/>
      <c r="GF1226" s="31"/>
      <c r="GG1226" s="31"/>
      <c r="GH1226" s="31"/>
      <c r="GI1226" s="31"/>
      <c r="GJ1226" s="31"/>
      <c r="GK1226" s="31"/>
      <c r="GL1226" s="31"/>
      <c r="GM1226" s="31"/>
      <c r="GN1226" s="31"/>
      <c r="GO1226" s="31"/>
      <c r="GP1226" s="31"/>
      <c r="GQ1226" s="31"/>
      <c r="GR1226" s="31"/>
      <c r="GS1226" s="31"/>
      <c r="GT1226" s="31"/>
      <c r="GU1226" s="31"/>
      <c r="GV1226" s="31"/>
      <c r="GW1226" s="31"/>
      <c r="GX1226" s="31"/>
      <c r="GY1226" s="31"/>
      <c r="GZ1226" s="31"/>
      <c r="HA1226" s="31"/>
      <c r="HB1226" s="31"/>
      <c r="HC1226" s="31"/>
      <c r="HD1226" s="31"/>
      <c r="HE1226" s="31"/>
      <c r="HF1226" s="31"/>
      <c r="HG1226" s="31"/>
      <c r="HH1226" s="31"/>
      <c r="HI1226" s="31"/>
      <c r="HJ1226" s="31"/>
      <c r="HK1226" s="31"/>
      <c r="HL1226" s="31"/>
      <c r="HM1226" s="31"/>
      <c r="HN1226" s="31"/>
      <c r="HO1226" s="31"/>
      <c r="HP1226" s="31"/>
      <c r="HQ1226" s="31"/>
      <c r="HR1226" s="31"/>
      <c r="HS1226" s="31"/>
      <c r="HT1226" s="31"/>
      <c r="HU1226" s="31"/>
      <c r="HV1226" s="31"/>
      <c r="HW1226" s="31"/>
      <c r="HX1226" s="31"/>
      <c r="HY1226" s="31"/>
      <c r="HZ1226" s="31"/>
      <c r="IA1226" s="31"/>
      <c r="IB1226" s="31"/>
      <c r="IC1226" s="31"/>
      <c r="ID1226" s="31"/>
      <c r="IE1226" s="31"/>
      <c r="IF1226" s="31"/>
      <c r="IG1226" s="31"/>
      <c r="IH1226" s="31"/>
      <c r="II1226" s="31"/>
      <c r="IJ1226" s="31"/>
      <c r="IK1226" s="31"/>
      <c r="IL1226" s="31"/>
      <c r="IM1226" s="31"/>
      <c r="IN1226" s="31"/>
      <c r="IO1226" s="31"/>
      <c r="IP1226" s="31"/>
      <c r="IQ1226" s="31"/>
      <c r="IR1226" s="31"/>
      <c r="IS1226" s="31"/>
      <c r="IT1226" s="31"/>
      <c r="IU1226" s="31"/>
      <c r="IV1226" s="31"/>
      <c r="IW1226" s="31"/>
      <c r="IX1226" s="31"/>
      <c r="IY1226" s="31"/>
      <c r="IZ1226" s="31"/>
      <c r="JA1226" s="31"/>
      <c r="JB1226" s="31"/>
      <c r="JC1226" s="31"/>
      <c r="JD1226" s="31"/>
      <c r="JE1226" s="31"/>
      <c r="JF1226" s="31"/>
      <c r="JG1226" s="31"/>
      <c r="JH1226" s="31"/>
      <c r="JI1226" s="31"/>
      <c r="JJ1226" s="31"/>
      <c r="JK1226" s="31"/>
      <c r="JL1226" s="31"/>
      <c r="JM1226" s="31"/>
      <c r="JN1226" s="31"/>
      <c r="JO1226" s="31"/>
      <c r="JP1226" s="31"/>
      <c r="JQ1226" s="31"/>
      <c r="JR1226" s="31"/>
      <c r="JS1226" s="31"/>
      <c r="JT1226" s="31"/>
      <c r="JU1226" s="31"/>
      <c r="JV1226" s="31"/>
      <c r="JW1226" s="31"/>
      <c r="JX1226" s="31"/>
      <c r="JY1226" s="31"/>
      <c r="JZ1226" s="31"/>
      <c r="KA1226" s="31"/>
      <c r="KB1226" s="31"/>
      <c r="KC1226" s="31"/>
      <c r="KD1226" s="31"/>
      <c r="KE1226" s="31"/>
      <c r="KF1226" s="31"/>
      <c r="KG1226" s="31"/>
      <c r="KH1226" s="31"/>
      <c r="KI1226" s="31"/>
      <c r="KJ1226" s="31"/>
      <c r="KK1226" s="31"/>
      <c r="KL1226" s="31"/>
      <c r="KM1226" s="31"/>
      <c r="KN1226" s="31"/>
      <c r="KO1226" s="31"/>
      <c r="KP1226" s="31"/>
      <c r="KQ1226" s="31"/>
      <c r="KR1226" s="31"/>
      <c r="KS1226" s="31"/>
      <c r="KT1226" s="31"/>
      <c r="KU1226" s="31"/>
      <c r="KV1226" s="31"/>
      <c r="KW1226" s="31"/>
      <c r="KX1226" s="31"/>
      <c r="KY1226" s="31"/>
      <c r="KZ1226" s="31"/>
      <c r="LA1226" s="31"/>
      <c r="LB1226" s="31"/>
      <c r="LC1226" s="31"/>
      <c r="LD1226" s="31"/>
      <c r="LE1226" s="31"/>
      <c r="LF1226" s="31"/>
      <c r="LG1226" s="31"/>
      <c r="LH1226" s="31"/>
      <c r="LI1226" s="31"/>
      <c r="LJ1226" s="31"/>
      <c r="LK1226" s="31"/>
      <c r="LL1226" s="31"/>
      <c r="LM1226" s="31"/>
      <c r="LN1226" s="31"/>
      <c r="LO1226" s="31"/>
      <c r="LP1226" s="31"/>
      <c r="LQ1226" s="31"/>
      <c r="LR1226" s="31"/>
      <c r="LS1226" s="31"/>
      <c r="LT1226" s="31"/>
      <c r="LU1226" s="31"/>
      <c r="LV1226" s="31"/>
      <c r="LW1226" s="31"/>
      <c r="LX1226" s="31"/>
      <c r="LY1226" s="31"/>
      <c r="LZ1226" s="31"/>
      <c r="MA1226" s="31"/>
      <c r="MB1226" s="31"/>
      <c r="MC1226" s="31"/>
      <c r="MD1226" s="31"/>
      <c r="ME1226" s="31"/>
      <c r="MF1226" s="31"/>
      <c r="MG1226" s="31"/>
      <c r="MH1226" s="31"/>
      <c r="MI1226" s="31"/>
      <c r="MJ1226" s="31"/>
      <c r="MK1226" s="31"/>
      <c r="ML1226" s="31"/>
      <c r="MM1226" s="31"/>
      <c r="MN1226" s="31"/>
      <c r="MO1226" s="31"/>
      <c r="MP1226" s="31"/>
      <c r="MQ1226" s="31"/>
      <c r="MR1226" s="31"/>
      <c r="MS1226" s="31"/>
      <c r="MT1226" s="31"/>
      <c r="MU1226" s="31"/>
      <c r="MV1226" s="31"/>
      <c r="MW1226" s="31"/>
      <c r="MX1226" s="31"/>
      <c r="MY1226" s="31"/>
      <c r="MZ1226" s="31"/>
      <c r="NA1226" s="31"/>
      <c r="NB1226" s="31"/>
      <c r="NC1226" s="31"/>
      <c r="ND1226" s="31"/>
      <c r="NE1226" s="31"/>
      <c r="NF1226" s="31"/>
      <c r="NG1226" s="31"/>
      <c r="NH1226" s="31"/>
      <c r="NI1226" s="31"/>
      <c r="NJ1226" s="31"/>
      <c r="NK1226" s="31"/>
      <c r="NL1226" s="31"/>
      <c r="NM1226" s="31"/>
      <c r="NN1226" s="31"/>
      <c r="NO1226" s="31"/>
      <c r="NP1226" s="31"/>
      <c r="NQ1226" s="31"/>
      <c r="NR1226" s="31"/>
      <c r="NS1226" s="31"/>
      <c r="NT1226" s="31"/>
      <c r="NU1226" s="31"/>
      <c r="NV1226" s="31"/>
      <c r="NW1226" s="31"/>
      <c r="NX1226" s="31"/>
      <c r="NY1226" s="31"/>
      <c r="NZ1226" s="31"/>
      <c r="OA1226" s="31"/>
      <c r="OB1226" s="31"/>
      <c r="OC1226" s="31"/>
      <c r="OD1226" s="31"/>
      <c r="OE1226" s="31"/>
      <c r="OF1226" s="31"/>
      <c r="OG1226" s="31"/>
      <c r="OH1226" s="31"/>
      <c r="OI1226" s="31"/>
      <c r="OJ1226" s="31"/>
      <c r="OK1226" s="31"/>
      <c r="OL1226" s="31"/>
      <c r="OM1226" s="31"/>
      <c r="ON1226" s="31"/>
      <c r="OO1226" s="31"/>
      <c r="OP1226" s="31"/>
      <c r="OQ1226" s="31"/>
      <c r="OR1226" s="31"/>
      <c r="OS1226" s="31"/>
      <c r="OT1226" s="31"/>
      <c r="OU1226" s="31"/>
      <c r="OV1226" s="31"/>
      <c r="OW1226" s="31"/>
      <c r="OX1226" s="31"/>
      <c r="OY1226" s="31"/>
      <c r="OZ1226" s="31"/>
      <c r="PA1226" s="31"/>
      <c r="PB1226" s="31"/>
      <c r="PC1226" s="31"/>
      <c r="PD1226" s="31"/>
      <c r="PE1226" s="31"/>
      <c r="PF1226" s="31"/>
      <c r="PG1226" s="31"/>
      <c r="PH1226" s="31"/>
      <c r="PI1226" s="31"/>
      <c r="PJ1226" s="31"/>
      <c r="PK1226" s="31"/>
      <c r="PL1226" s="31"/>
      <c r="PM1226" s="31"/>
      <c r="PN1226" s="31"/>
      <c r="PO1226" s="31"/>
      <c r="PP1226" s="31"/>
      <c r="PQ1226" s="31"/>
      <c r="PR1226" s="31"/>
      <c r="PS1226" s="31"/>
      <c r="PT1226" s="31"/>
      <c r="PU1226" s="31"/>
      <c r="PV1226" s="31"/>
      <c r="PW1226" s="31"/>
      <c r="PX1226" s="31"/>
      <c r="PY1226" s="31"/>
      <c r="PZ1226" s="31"/>
      <c r="QA1226" s="31"/>
      <c r="QB1226" s="31"/>
      <c r="QC1226" s="31"/>
      <c r="QD1226" s="31"/>
      <c r="QE1226" s="31"/>
      <c r="QF1226" s="31"/>
      <c r="QG1226" s="31"/>
      <c r="QH1226" s="31"/>
      <c r="QI1226" s="31"/>
      <c r="QJ1226" s="31"/>
      <c r="QK1226" s="31"/>
      <c r="QL1226" s="31"/>
      <c r="QM1226" s="31"/>
      <c r="QN1226" s="31"/>
      <c r="QO1226" s="31"/>
      <c r="QP1226" s="31"/>
      <c r="QQ1226" s="31"/>
      <c r="QR1226" s="31"/>
      <c r="QS1226" s="31"/>
      <c r="QT1226" s="31"/>
      <c r="QU1226" s="31"/>
      <c r="QV1226" s="31"/>
      <c r="QW1226" s="31"/>
      <c r="QX1226" s="31"/>
      <c r="QY1226" s="31"/>
      <c r="QZ1226" s="31"/>
      <c r="RA1226" s="31"/>
      <c r="RB1226" s="31"/>
      <c r="RC1226" s="31"/>
      <c r="RD1226" s="31"/>
      <c r="RE1226" s="31"/>
      <c r="RF1226" s="31"/>
      <c r="RG1226" s="31"/>
      <c r="RH1226" s="31"/>
      <c r="RI1226" s="31"/>
      <c r="RJ1226" s="31"/>
      <c r="RK1226" s="31"/>
      <c r="RL1226" s="31"/>
      <c r="RM1226" s="31"/>
      <c r="RN1226" s="31"/>
      <c r="RO1226" s="31"/>
      <c r="RP1226" s="31"/>
      <c r="RQ1226" s="31"/>
      <c r="RR1226" s="31"/>
      <c r="RS1226" s="31"/>
      <c r="RT1226" s="31"/>
      <c r="RU1226" s="31"/>
      <c r="RV1226" s="31"/>
      <c r="RW1226" s="31"/>
      <c r="RX1226" s="31"/>
      <c r="RY1226" s="31"/>
      <c r="RZ1226" s="31"/>
      <c r="SA1226" s="31"/>
      <c r="SB1226" s="31"/>
      <c r="SC1226" s="31"/>
      <c r="SD1226" s="31"/>
      <c r="SE1226" s="31"/>
      <c r="SF1226" s="31"/>
      <c r="SG1226" s="31"/>
      <c r="SH1226" s="31"/>
      <c r="SI1226" s="31"/>
      <c r="SJ1226" s="31"/>
      <c r="SK1226" s="31"/>
      <c r="SL1226" s="31"/>
      <c r="SM1226" s="31"/>
      <c r="SN1226" s="31"/>
      <c r="SO1226" s="31"/>
      <c r="SP1226" s="31"/>
      <c r="SQ1226" s="31"/>
      <c r="SR1226" s="31"/>
      <c r="SS1226" s="31"/>
      <c r="ST1226" s="31"/>
      <c r="SU1226" s="31"/>
      <c r="SV1226" s="31"/>
      <c r="SW1226" s="31"/>
      <c r="SX1226" s="31"/>
      <c r="SY1226" s="31"/>
      <c r="SZ1226" s="31"/>
      <c r="TA1226" s="31"/>
      <c r="TB1226" s="31"/>
      <c r="TC1226" s="31"/>
      <c r="TD1226" s="31"/>
      <c r="TE1226" s="31"/>
      <c r="TF1226" s="31"/>
      <c r="TG1226" s="31"/>
      <c r="TH1226" s="31"/>
      <c r="TI1226" s="31"/>
      <c r="TJ1226" s="31"/>
      <c r="TK1226" s="31"/>
      <c r="TL1226" s="31"/>
      <c r="TM1226" s="31"/>
      <c r="TN1226" s="31"/>
      <c r="TO1226" s="31"/>
      <c r="TP1226" s="31"/>
      <c r="TQ1226" s="31"/>
      <c r="TR1226" s="31"/>
      <c r="TS1226" s="31"/>
      <c r="TT1226" s="31"/>
      <c r="TU1226" s="31"/>
      <c r="TV1226" s="31"/>
      <c r="TW1226" s="31"/>
      <c r="TX1226" s="31"/>
      <c r="TY1226" s="31"/>
      <c r="TZ1226" s="31"/>
      <c r="UA1226" s="31"/>
      <c r="UB1226" s="31"/>
      <c r="UC1226" s="31"/>
      <c r="UD1226" s="31"/>
      <c r="UE1226" s="31"/>
      <c r="UF1226" s="31"/>
      <c r="UG1226" s="33"/>
    </row>
    <row r="1227" spans="1:553" ht="27" customHeight="1">
      <c r="A1227" s="366"/>
      <c r="B1227" s="366" t="s">
        <v>31</v>
      </c>
      <c r="C1227" s="1388" t="s">
        <v>679</v>
      </c>
      <c r="D1227" s="1389"/>
      <c r="E1227" s="1389"/>
      <c r="F1227" s="1390"/>
      <c r="G1227" s="366" t="s">
        <v>113</v>
      </c>
      <c r="H1227" s="370"/>
      <c r="I1227" s="422">
        <f>1.6*1.5/1.7</f>
        <v>1.4117647058823533</v>
      </c>
      <c r="J1227" s="368">
        <v>815000</v>
      </c>
      <c r="K1227" s="371"/>
      <c r="L1227" s="487">
        <f t="shared" si="183"/>
        <v>1150588.2352941178</v>
      </c>
      <c r="M1227" s="366"/>
      <c r="N1227" s="366"/>
      <c r="O1227" s="366"/>
      <c r="P1227" s="366"/>
      <c r="Q1227" s="812"/>
      <c r="R1227" s="1226"/>
      <c r="S1227" s="308"/>
      <c r="T1227" s="308"/>
      <c r="U1227" s="308"/>
      <c r="V1227" s="308"/>
      <c r="W1227" s="308"/>
      <c r="X1227" s="308"/>
      <c r="Y1227" s="308"/>
      <c r="Z1227" s="604"/>
      <c r="AA1227" s="308"/>
      <c r="AB1227" s="308"/>
      <c r="AC1227" s="449"/>
      <c r="AD1227" s="449"/>
      <c r="AE1227" s="449"/>
      <c r="AF1227" s="449"/>
      <c r="AG1227" s="449"/>
      <c r="AH1227" s="449"/>
      <c r="AI1227" s="449"/>
      <c r="AJ1227" s="449"/>
      <c r="AK1227" s="452"/>
      <c r="AL1227" s="104"/>
      <c r="AM1227" s="32"/>
      <c r="AN1227" s="32"/>
      <c r="AO1227" s="32"/>
      <c r="AP1227" s="32"/>
      <c r="AQ1227" s="32"/>
      <c r="AR1227" s="32"/>
      <c r="AS1227" s="31"/>
      <c r="AT1227" s="31"/>
      <c r="AU1227" s="31"/>
      <c r="AV1227" s="31"/>
      <c r="AW1227" s="31"/>
      <c r="AX1227" s="31"/>
      <c r="AY1227" s="31"/>
      <c r="AZ1227" s="31"/>
      <c r="BA1227" s="31"/>
      <c r="BB1227" s="31"/>
      <c r="BC1227" s="31"/>
      <c r="BD1227" s="31"/>
      <c r="BE1227" s="31"/>
      <c r="BF1227" s="31"/>
      <c r="BG1227" s="31"/>
      <c r="BH1227" s="31"/>
      <c r="BI1227" s="31"/>
      <c r="BJ1227" s="31"/>
      <c r="BK1227" s="31"/>
      <c r="BL1227" s="31"/>
      <c r="BM1227" s="31"/>
      <c r="BN1227" s="31"/>
      <c r="BO1227" s="31"/>
      <c r="BP1227" s="31"/>
      <c r="BQ1227" s="31"/>
      <c r="BR1227" s="31"/>
      <c r="BS1227" s="31"/>
      <c r="BT1227" s="31"/>
      <c r="BU1227" s="31"/>
      <c r="BV1227" s="31"/>
      <c r="BW1227" s="31"/>
      <c r="BX1227" s="31"/>
      <c r="BY1227" s="31"/>
      <c r="BZ1227" s="31"/>
      <c r="CA1227" s="31"/>
      <c r="CB1227" s="31"/>
      <c r="CC1227" s="31"/>
      <c r="CD1227" s="31"/>
      <c r="CE1227" s="31"/>
      <c r="CF1227" s="31"/>
      <c r="CG1227" s="31"/>
      <c r="CH1227" s="31"/>
      <c r="CI1227" s="31"/>
      <c r="CJ1227" s="31"/>
      <c r="CK1227" s="31"/>
      <c r="CL1227" s="31"/>
      <c r="CM1227" s="31"/>
      <c r="CN1227" s="31"/>
      <c r="CO1227" s="31"/>
      <c r="CP1227" s="31"/>
      <c r="CQ1227" s="31"/>
      <c r="CR1227" s="31"/>
      <c r="CS1227" s="31"/>
      <c r="CT1227" s="31"/>
      <c r="CU1227" s="31"/>
      <c r="CV1227" s="31"/>
      <c r="CW1227" s="31"/>
      <c r="CX1227" s="31"/>
      <c r="CY1227" s="31"/>
      <c r="CZ1227" s="31"/>
      <c r="DA1227" s="31"/>
      <c r="DB1227" s="31"/>
      <c r="DC1227" s="31"/>
      <c r="DD1227" s="31"/>
      <c r="DE1227" s="31"/>
      <c r="DF1227" s="31"/>
      <c r="DG1227" s="31"/>
      <c r="DH1227" s="31"/>
      <c r="DI1227" s="31"/>
      <c r="DJ1227" s="31"/>
      <c r="DK1227" s="31"/>
      <c r="DL1227" s="31"/>
      <c r="DM1227" s="31"/>
      <c r="DN1227" s="31"/>
      <c r="DO1227" s="31"/>
      <c r="DP1227" s="31"/>
      <c r="DQ1227" s="31"/>
      <c r="DR1227" s="31"/>
      <c r="DS1227" s="31"/>
      <c r="DT1227" s="31"/>
      <c r="DU1227" s="31"/>
      <c r="DV1227" s="31"/>
      <c r="DW1227" s="31"/>
      <c r="DX1227" s="31"/>
      <c r="DY1227" s="31"/>
      <c r="DZ1227" s="31"/>
      <c r="EA1227" s="31"/>
      <c r="EB1227" s="31"/>
      <c r="EC1227" s="31"/>
      <c r="ED1227" s="31"/>
      <c r="EE1227" s="31"/>
      <c r="EF1227" s="31"/>
      <c r="EG1227" s="31"/>
      <c r="EH1227" s="31"/>
      <c r="EI1227" s="31"/>
      <c r="EJ1227" s="31"/>
      <c r="EK1227" s="31"/>
      <c r="EL1227" s="31"/>
      <c r="EM1227" s="31"/>
      <c r="EN1227" s="31"/>
      <c r="EO1227" s="31"/>
      <c r="EP1227" s="31"/>
      <c r="EQ1227" s="31"/>
      <c r="ER1227" s="31"/>
      <c r="ES1227" s="31"/>
      <c r="ET1227" s="31"/>
      <c r="EU1227" s="31"/>
      <c r="EV1227" s="31"/>
      <c r="EW1227" s="31"/>
      <c r="EX1227" s="31"/>
      <c r="EY1227" s="31"/>
      <c r="EZ1227" s="31"/>
      <c r="FA1227" s="31"/>
      <c r="FB1227" s="31"/>
      <c r="FC1227" s="31"/>
      <c r="FD1227" s="31"/>
      <c r="FE1227" s="31"/>
      <c r="FF1227" s="31"/>
      <c r="FG1227" s="31"/>
      <c r="FH1227" s="31"/>
      <c r="FI1227" s="31"/>
      <c r="FJ1227" s="31"/>
      <c r="FK1227" s="31"/>
      <c r="FL1227" s="31"/>
      <c r="FM1227" s="31"/>
      <c r="FN1227" s="31"/>
      <c r="FO1227" s="31"/>
      <c r="FP1227" s="31"/>
      <c r="FQ1227" s="31"/>
      <c r="FR1227" s="31"/>
      <c r="FS1227" s="31"/>
      <c r="FT1227" s="31"/>
      <c r="FU1227" s="31"/>
      <c r="FV1227" s="31"/>
      <c r="FW1227" s="31"/>
      <c r="FX1227" s="31"/>
      <c r="FY1227" s="31"/>
      <c r="FZ1227" s="31"/>
      <c r="GA1227" s="31"/>
      <c r="GB1227" s="31"/>
      <c r="GC1227" s="31"/>
      <c r="GD1227" s="31"/>
      <c r="GE1227" s="31"/>
      <c r="GF1227" s="31"/>
      <c r="GG1227" s="31"/>
      <c r="GH1227" s="31"/>
      <c r="GI1227" s="31"/>
      <c r="GJ1227" s="31"/>
      <c r="GK1227" s="31"/>
      <c r="GL1227" s="31"/>
      <c r="GM1227" s="31"/>
      <c r="GN1227" s="31"/>
      <c r="GO1227" s="31"/>
      <c r="GP1227" s="31"/>
      <c r="GQ1227" s="31"/>
      <c r="GR1227" s="31"/>
      <c r="GS1227" s="31"/>
      <c r="GT1227" s="31"/>
      <c r="GU1227" s="31"/>
      <c r="GV1227" s="31"/>
      <c r="GW1227" s="31"/>
      <c r="GX1227" s="31"/>
      <c r="GY1227" s="31"/>
      <c r="GZ1227" s="31"/>
      <c r="HA1227" s="31"/>
      <c r="HB1227" s="31"/>
      <c r="HC1227" s="31"/>
      <c r="HD1227" s="31"/>
      <c r="HE1227" s="31"/>
      <c r="HF1227" s="31"/>
      <c r="HG1227" s="31"/>
      <c r="HH1227" s="31"/>
      <c r="HI1227" s="31"/>
      <c r="HJ1227" s="31"/>
      <c r="HK1227" s="31"/>
      <c r="HL1227" s="31"/>
      <c r="HM1227" s="31"/>
      <c r="HN1227" s="31"/>
      <c r="HO1227" s="31"/>
      <c r="HP1227" s="31"/>
      <c r="HQ1227" s="31"/>
      <c r="HR1227" s="31"/>
      <c r="HS1227" s="31"/>
      <c r="HT1227" s="31"/>
      <c r="HU1227" s="31"/>
      <c r="HV1227" s="31"/>
      <c r="HW1227" s="31"/>
      <c r="HX1227" s="31"/>
      <c r="HY1227" s="31"/>
      <c r="HZ1227" s="31"/>
      <c r="IA1227" s="31"/>
      <c r="IB1227" s="31"/>
      <c r="IC1227" s="31"/>
      <c r="ID1227" s="31"/>
      <c r="IE1227" s="31"/>
      <c r="IF1227" s="31"/>
      <c r="IG1227" s="31"/>
      <c r="IH1227" s="31"/>
      <c r="II1227" s="31"/>
      <c r="IJ1227" s="31"/>
      <c r="IK1227" s="31"/>
      <c r="IL1227" s="31"/>
      <c r="IM1227" s="31"/>
      <c r="IN1227" s="31"/>
      <c r="IO1227" s="31"/>
      <c r="IP1227" s="31"/>
      <c r="IQ1227" s="31"/>
      <c r="IR1227" s="31"/>
      <c r="IS1227" s="31"/>
      <c r="IT1227" s="31"/>
      <c r="IU1227" s="31"/>
      <c r="IV1227" s="31"/>
      <c r="IW1227" s="31"/>
      <c r="IX1227" s="31"/>
      <c r="IY1227" s="31"/>
      <c r="IZ1227" s="31"/>
      <c r="JA1227" s="31"/>
      <c r="JB1227" s="31"/>
      <c r="JC1227" s="31"/>
      <c r="JD1227" s="31"/>
      <c r="JE1227" s="31"/>
      <c r="JF1227" s="31"/>
      <c r="JG1227" s="31"/>
      <c r="JH1227" s="31"/>
      <c r="JI1227" s="31"/>
      <c r="JJ1227" s="31"/>
      <c r="JK1227" s="31"/>
      <c r="JL1227" s="31"/>
      <c r="JM1227" s="31"/>
      <c r="JN1227" s="31"/>
      <c r="JO1227" s="31"/>
      <c r="JP1227" s="31"/>
      <c r="JQ1227" s="31"/>
      <c r="JR1227" s="31"/>
      <c r="JS1227" s="31"/>
      <c r="JT1227" s="31"/>
      <c r="JU1227" s="31"/>
      <c r="JV1227" s="31"/>
      <c r="JW1227" s="31"/>
      <c r="JX1227" s="31"/>
      <c r="JY1227" s="31"/>
      <c r="JZ1227" s="31"/>
      <c r="KA1227" s="31"/>
      <c r="KB1227" s="31"/>
      <c r="KC1227" s="31"/>
      <c r="KD1227" s="31"/>
      <c r="KE1227" s="31"/>
      <c r="KF1227" s="31"/>
      <c r="KG1227" s="31"/>
      <c r="KH1227" s="31"/>
      <c r="KI1227" s="31"/>
      <c r="KJ1227" s="31"/>
      <c r="KK1227" s="31"/>
      <c r="KL1227" s="31"/>
      <c r="KM1227" s="31"/>
      <c r="KN1227" s="31"/>
      <c r="KO1227" s="31"/>
      <c r="KP1227" s="31"/>
      <c r="KQ1227" s="31"/>
      <c r="KR1227" s="31"/>
      <c r="KS1227" s="31"/>
      <c r="KT1227" s="31"/>
      <c r="KU1227" s="31"/>
      <c r="KV1227" s="31"/>
      <c r="KW1227" s="31"/>
      <c r="KX1227" s="31"/>
      <c r="KY1227" s="31"/>
      <c r="KZ1227" s="31"/>
      <c r="LA1227" s="31"/>
      <c r="LB1227" s="31"/>
      <c r="LC1227" s="31"/>
      <c r="LD1227" s="31"/>
      <c r="LE1227" s="31"/>
      <c r="LF1227" s="31"/>
      <c r="LG1227" s="31"/>
      <c r="LH1227" s="31"/>
      <c r="LI1227" s="31"/>
      <c r="LJ1227" s="31"/>
      <c r="LK1227" s="31"/>
      <c r="LL1227" s="31"/>
      <c r="LM1227" s="31"/>
      <c r="LN1227" s="31"/>
      <c r="LO1227" s="31"/>
      <c r="LP1227" s="31"/>
      <c r="LQ1227" s="31"/>
      <c r="LR1227" s="31"/>
      <c r="LS1227" s="31"/>
      <c r="LT1227" s="31"/>
      <c r="LU1227" s="31"/>
      <c r="LV1227" s="31"/>
      <c r="LW1227" s="31"/>
      <c r="LX1227" s="31"/>
      <c r="LY1227" s="31"/>
      <c r="LZ1227" s="31"/>
      <c r="MA1227" s="31"/>
      <c r="MB1227" s="31"/>
      <c r="MC1227" s="31"/>
      <c r="MD1227" s="31"/>
      <c r="ME1227" s="31"/>
      <c r="MF1227" s="31"/>
      <c r="MG1227" s="31"/>
      <c r="MH1227" s="31"/>
      <c r="MI1227" s="31"/>
      <c r="MJ1227" s="31"/>
      <c r="MK1227" s="31"/>
      <c r="ML1227" s="31"/>
      <c r="MM1227" s="31"/>
      <c r="MN1227" s="31"/>
      <c r="MO1227" s="31"/>
      <c r="MP1227" s="31"/>
      <c r="MQ1227" s="31"/>
      <c r="MR1227" s="31"/>
      <c r="MS1227" s="31"/>
      <c r="MT1227" s="31"/>
      <c r="MU1227" s="31"/>
      <c r="MV1227" s="31"/>
      <c r="MW1227" s="31"/>
      <c r="MX1227" s="31"/>
      <c r="MY1227" s="31"/>
      <c r="MZ1227" s="31"/>
      <c r="NA1227" s="31"/>
      <c r="NB1227" s="31"/>
      <c r="NC1227" s="31"/>
      <c r="ND1227" s="31"/>
      <c r="NE1227" s="31"/>
      <c r="NF1227" s="31"/>
      <c r="NG1227" s="31"/>
      <c r="NH1227" s="31"/>
      <c r="NI1227" s="31"/>
      <c r="NJ1227" s="31"/>
      <c r="NK1227" s="31"/>
      <c r="NL1227" s="31"/>
      <c r="NM1227" s="31"/>
      <c r="NN1227" s="31"/>
      <c r="NO1227" s="31"/>
      <c r="NP1227" s="31"/>
      <c r="NQ1227" s="31"/>
      <c r="NR1227" s="31"/>
      <c r="NS1227" s="31"/>
      <c r="NT1227" s="31"/>
      <c r="NU1227" s="31"/>
      <c r="NV1227" s="31"/>
      <c r="NW1227" s="31"/>
      <c r="NX1227" s="31"/>
      <c r="NY1227" s="31"/>
      <c r="NZ1227" s="31"/>
      <c r="OA1227" s="31"/>
      <c r="OB1227" s="31"/>
      <c r="OC1227" s="31"/>
      <c r="OD1227" s="31"/>
      <c r="OE1227" s="31"/>
      <c r="OF1227" s="31"/>
      <c r="OG1227" s="31"/>
      <c r="OH1227" s="31"/>
      <c r="OI1227" s="31"/>
      <c r="OJ1227" s="31"/>
      <c r="OK1227" s="31"/>
      <c r="OL1227" s="31"/>
      <c r="OM1227" s="31"/>
      <c r="ON1227" s="31"/>
      <c r="OO1227" s="31"/>
      <c r="OP1227" s="31"/>
      <c r="OQ1227" s="31"/>
      <c r="OR1227" s="31"/>
      <c r="OS1227" s="31"/>
      <c r="OT1227" s="31"/>
      <c r="OU1227" s="31"/>
      <c r="OV1227" s="31"/>
      <c r="OW1227" s="31"/>
      <c r="OX1227" s="31"/>
      <c r="OY1227" s="31"/>
      <c r="OZ1227" s="31"/>
      <c r="PA1227" s="31"/>
      <c r="PB1227" s="31"/>
      <c r="PC1227" s="31"/>
      <c r="PD1227" s="31"/>
      <c r="PE1227" s="31"/>
      <c r="PF1227" s="31"/>
      <c r="PG1227" s="31"/>
      <c r="PH1227" s="31"/>
      <c r="PI1227" s="31"/>
      <c r="PJ1227" s="31"/>
      <c r="PK1227" s="31"/>
      <c r="PL1227" s="31"/>
      <c r="PM1227" s="31"/>
      <c r="PN1227" s="31"/>
      <c r="PO1227" s="31"/>
      <c r="PP1227" s="31"/>
      <c r="PQ1227" s="31"/>
      <c r="PR1227" s="31"/>
      <c r="PS1227" s="31"/>
      <c r="PT1227" s="31"/>
      <c r="PU1227" s="31"/>
      <c r="PV1227" s="31"/>
      <c r="PW1227" s="31"/>
      <c r="PX1227" s="31"/>
      <c r="PY1227" s="31"/>
      <c r="PZ1227" s="31"/>
      <c r="QA1227" s="31"/>
      <c r="QB1227" s="31"/>
      <c r="QC1227" s="31"/>
      <c r="QD1227" s="31"/>
      <c r="QE1227" s="31"/>
      <c r="QF1227" s="31"/>
      <c r="QG1227" s="31"/>
      <c r="QH1227" s="31"/>
      <c r="QI1227" s="31"/>
      <c r="QJ1227" s="31"/>
      <c r="QK1227" s="31"/>
      <c r="QL1227" s="31"/>
      <c r="QM1227" s="31"/>
      <c r="QN1227" s="31"/>
      <c r="QO1227" s="31"/>
      <c r="QP1227" s="31"/>
      <c r="QQ1227" s="31"/>
      <c r="QR1227" s="31"/>
      <c r="QS1227" s="31"/>
      <c r="QT1227" s="31"/>
      <c r="QU1227" s="31"/>
      <c r="QV1227" s="31"/>
      <c r="QW1227" s="31"/>
      <c r="QX1227" s="31"/>
      <c r="QY1227" s="31"/>
      <c r="QZ1227" s="31"/>
      <c r="RA1227" s="31"/>
      <c r="RB1227" s="31"/>
      <c r="RC1227" s="31"/>
      <c r="RD1227" s="31"/>
      <c r="RE1227" s="31"/>
      <c r="RF1227" s="31"/>
      <c r="RG1227" s="31"/>
      <c r="RH1227" s="31"/>
      <c r="RI1227" s="31"/>
      <c r="RJ1227" s="31"/>
      <c r="RK1227" s="31"/>
      <c r="RL1227" s="31"/>
      <c r="RM1227" s="31"/>
      <c r="RN1227" s="31"/>
      <c r="RO1227" s="31"/>
      <c r="RP1227" s="31"/>
      <c r="RQ1227" s="31"/>
      <c r="RR1227" s="31"/>
      <c r="RS1227" s="31"/>
      <c r="RT1227" s="31"/>
      <c r="RU1227" s="31"/>
      <c r="RV1227" s="31"/>
      <c r="RW1227" s="31"/>
      <c r="RX1227" s="31"/>
      <c r="RY1227" s="31"/>
      <c r="RZ1227" s="31"/>
      <c r="SA1227" s="31"/>
      <c r="SB1227" s="31"/>
      <c r="SC1227" s="31"/>
      <c r="SD1227" s="31"/>
      <c r="SE1227" s="31"/>
      <c r="SF1227" s="31"/>
      <c r="SG1227" s="31"/>
      <c r="SH1227" s="31"/>
      <c r="SI1227" s="31"/>
      <c r="SJ1227" s="31"/>
      <c r="SK1227" s="31"/>
      <c r="SL1227" s="31"/>
      <c r="SM1227" s="31"/>
      <c r="SN1227" s="31"/>
      <c r="SO1227" s="31"/>
      <c r="SP1227" s="31"/>
      <c r="SQ1227" s="31"/>
      <c r="SR1227" s="31"/>
      <c r="SS1227" s="31"/>
      <c r="ST1227" s="31"/>
      <c r="SU1227" s="31"/>
      <c r="SV1227" s="31"/>
      <c r="SW1227" s="31"/>
      <c r="SX1227" s="31"/>
      <c r="SY1227" s="31"/>
      <c r="SZ1227" s="31"/>
      <c r="TA1227" s="31"/>
      <c r="TB1227" s="31"/>
      <c r="TC1227" s="31"/>
      <c r="TD1227" s="31"/>
      <c r="TE1227" s="31"/>
      <c r="TF1227" s="31"/>
      <c r="TG1227" s="31"/>
      <c r="TH1227" s="31"/>
      <c r="TI1227" s="31"/>
      <c r="TJ1227" s="31"/>
      <c r="TK1227" s="31"/>
      <c r="TL1227" s="31"/>
      <c r="TM1227" s="31"/>
      <c r="TN1227" s="31"/>
      <c r="TO1227" s="31"/>
      <c r="TP1227" s="31"/>
      <c r="TQ1227" s="31"/>
      <c r="TR1227" s="31"/>
      <c r="TS1227" s="31"/>
      <c r="TT1227" s="31"/>
      <c r="TU1227" s="31"/>
      <c r="TV1227" s="31"/>
      <c r="TW1227" s="31"/>
      <c r="TX1227" s="31"/>
      <c r="TY1227" s="31"/>
      <c r="TZ1227" s="31"/>
      <c r="UA1227" s="31"/>
      <c r="UB1227" s="31"/>
      <c r="UC1227" s="31"/>
      <c r="UD1227" s="31"/>
      <c r="UE1227" s="31"/>
      <c r="UF1227" s="31"/>
      <c r="UG1227" s="33"/>
    </row>
    <row r="1228" spans="1:553" ht="35.5" customHeight="1">
      <c r="A1228" s="366"/>
      <c r="B1228" s="366">
        <v>143</v>
      </c>
      <c r="C1228" s="1388" t="s">
        <v>680</v>
      </c>
      <c r="D1228" s="1389"/>
      <c r="E1228" s="1389"/>
      <c r="F1228" s="1390"/>
      <c r="G1228" s="366" t="s">
        <v>33</v>
      </c>
      <c r="H1228" s="370"/>
      <c r="I1228" s="370">
        <f>15.5*0.8</f>
        <v>12.4</v>
      </c>
      <c r="J1228" s="368">
        <v>129000</v>
      </c>
      <c r="K1228" s="371"/>
      <c r="L1228" s="487">
        <f t="shared" si="183"/>
        <v>1599600</v>
      </c>
      <c r="M1228" s="366"/>
      <c r="N1228" s="366"/>
      <c r="O1228" s="366"/>
      <c r="P1228" s="366"/>
      <c r="Q1228" s="812"/>
      <c r="R1228" s="1226"/>
      <c r="S1228" s="308"/>
      <c r="T1228" s="308"/>
      <c r="U1228" s="308"/>
      <c r="V1228" s="308"/>
      <c r="W1228" s="308"/>
      <c r="X1228" s="308"/>
      <c r="Y1228" s="308"/>
      <c r="Z1228" s="604"/>
      <c r="AA1228" s="308"/>
      <c r="AB1228" s="308"/>
      <c r="AC1228" s="449"/>
      <c r="AD1228" s="449"/>
      <c r="AE1228" s="449"/>
      <c r="AF1228" s="449"/>
      <c r="AG1228" s="449"/>
      <c r="AH1228" s="449"/>
      <c r="AI1228" s="449"/>
      <c r="AJ1228" s="449"/>
      <c r="AK1228" s="452"/>
      <c r="AL1228" s="104"/>
      <c r="AM1228" s="32"/>
      <c r="AN1228" s="32"/>
      <c r="AO1228" s="32"/>
      <c r="AP1228" s="32"/>
      <c r="AQ1228" s="32"/>
      <c r="AR1228" s="32"/>
      <c r="AS1228" s="31"/>
      <c r="AT1228" s="31"/>
      <c r="AU1228" s="31"/>
      <c r="AV1228" s="31"/>
      <c r="AW1228" s="31"/>
      <c r="AX1228" s="31"/>
      <c r="AY1228" s="31"/>
      <c r="AZ1228" s="31"/>
      <c r="BA1228" s="31"/>
      <c r="BB1228" s="31"/>
      <c r="BC1228" s="31"/>
      <c r="BD1228" s="31"/>
      <c r="BE1228" s="31"/>
      <c r="BF1228" s="31"/>
      <c r="BG1228" s="31"/>
      <c r="BH1228" s="31"/>
      <c r="BI1228" s="31"/>
      <c r="BJ1228" s="31"/>
      <c r="BK1228" s="31"/>
      <c r="BL1228" s="31"/>
      <c r="BM1228" s="31"/>
      <c r="BN1228" s="31"/>
      <c r="BO1228" s="31"/>
      <c r="BP1228" s="31"/>
      <c r="BQ1228" s="31"/>
      <c r="BR1228" s="31"/>
      <c r="BS1228" s="31"/>
      <c r="BT1228" s="31"/>
      <c r="BU1228" s="31"/>
      <c r="BV1228" s="31"/>
      <c r="BW1228" s="31"/>
      <c r="BX1228" s="31"/>
      <c r="BY1228" s="31"/>
      <c r="BZ1228" s="31"/>
      <c r="CA1228" s="31"/>
      <c r="CB1228" s="31"/>
      <c r="CC1228" s="31"/>
      <c r="CD1228" s="31"/>
      <c r="CE1228" s="31"/>
      <c r="CF1228" s="31"/>
      <c r="CG1228" s="31"/>
      <c r="CH1228" s="31"/>
      <c r="CI1228" s="31"/>
      <c r="CJ1228" s="31"/>
      <c r="CK1228" s="31"/>
      <c r="CL1228" s="31"/>
      <c r="CM1228" s="31"/>
      <c r="CN1228" s="31"/>
      <c r="CO1228" s="31"/>
      <c r="CP1228" s="31"/>
      <c r="CQ1228" s="31"/>
      <c r="CR1228" s="31"/>
      <c r="CS1228" s="31"/>
      <c r="CT1228" s="31"/>
      <c r="CU1228" s="31"/>
      <c r="CV1228" s="31"/>
      <c r="CW1228" s="31"/>
      <c r="CX1228" s="31"/>
      <c r="CY1228" s="31"/>
      <c r="CZ1228" s="31"/>
      <c r="DA1228" s="31"/>
      <c r="DB1228" s="31"/>
      <c r="DC1228" s="31"/>
      <c r="DD1228" s="31"/>
      <c r="DE1228" s="31"/>
      <c r="DF1228" s="31"/>
      <c r="DG1228" s="31"/>
      <c r="DH1228" s="31"/>
      <c r="DI1228" s="31"/>
      <c r="DJ1228" s="31"/>
      <c r="DK1228" s="31"/>
      <c r="DL1228" s="31"/>
      <c r="DM1228" s="31"/>
      <c r="DN1228" s="31"/>
      <c r="DO1228" s="31"/>
      <c r="DP1228" s="31"/>
      <c r="DQ1228" s="31"/>
      <c r="DR1228" s="31"/>
      <c r="DS1228" s="31"/>
      <c r="DT1228" s="31"/>
      <c r="DU1228" s="31"/>
      <c r="DV1228" s="31"/>
      <c r="DW1228" s="31"/>
      <c r="DX1228" s="31"/>
      <c r="DY1228" s="31"/>
      <c r="DZ1228" s="31"/>
      <c r="EA1228" s="31"/>
      <c r="EB1228" s="31"/>
      <c r="EC1228" s="31"/>
      <c r="ED1228" s="31"/>
      <c r="EE1228" s="31"/>
      <c r="EF1228" s="31"/>
      <c r="EG1228" s="31"/>
      <c r="EH1228" s="31"/>
      <c r="EI1228" s="31"/>
      <c r="EJ1228" s="31"/>
      <c r="EK1228" s="31"/>
      <c r="EL1228" s="31"/>
      <c r="EM1228" s="31"/>
      <c r="EN1228" s="31"/>
      <c r="EO1228" s="31"/>
      <c r="EP1228" s="31"/>
      <c r="EQ1228" s="31"/>
      <c r="ER1228" s="31"/>
      <c r="ES1228" s="31"/>
      <c r="ET1228" s="31"/>
      <c r="EU1228" s="31"/>
      <c r="EV1228" s="31"/>
      <c r="EW1228" s="31"/>
      <c r="EX1228" s="31"/>
      <c r="EY1228" s="31"/>
      <c r="EZ1228" s="31"/>
      <c r="FA1228" s="31"/>
      <c r="FB1228" s="31"/>
      <c r="FC1228" s="31"/>
      <c r="FD1228" s="31"/>
      <c r="FE1228" s="31"/>
      <c r="FF1228" s="31"/>
      <c r="FG1228" s="31"/>
      <c r="FH1228" s="31"/>
      <c r="FI1228" s="31"/>
      <c r="FJ1228" s="31"/>
      <c r="FK1228" s="31"/>
      <c r="FL1228" s="31"/>
      <c r="FM1228" s="31"/>
      <c r="FN1228" s="31"/>
      <c r="FO1228" s="31"/>
      <c r="FP1228" s="31"/>
      <c r="FQ1228" s="31"/>
      <c r="FR1228" s="31"/>
      <c r="FS1228" s="31"/>
      <c r="FT1228" s="31"/>
      <c r="FU1228" s="31"/>
      <c r="FV1228" s="31"/>
      <c r="FW1228" s="31"/>
      <c r="FX1228" s="31"/>
      <c r="FY1228" s="31"/>
      <c r="FZ1228" s="31"/>
      <c r="GA1228" s="31"/>
      <c r="GB1228" s="31"/>
      <c r="GC1228" s="31"/>
      <c r="GD1228" s="31"/>
      <c r="GE1228" s="31"/>
      <c r="GF1228" s="31"/>
      <c r="GG1228" s="31"/>
      <c r="GH1228" s="31"/>
      <c r="GI1228" s="31"/>
      <c r="GJ1228" s="31"/>
      <c r="GK1228" s="31"/>
      <c r="GL1228" s="31"/>
      <c r="GM1228" s="31"/>
      <c r="GN1228" s="31"/>
      <c r="GO1228" s="31"/>
      <c r="GP1228" s="31"/>
      <c r="GQ1228" s="31"/>
      <c r="GR1228" s="31"/>
      <c r="GS1228" s="31"/>
      <c r="GT1228" s="31"/>
      <c r="GU1228" s="31"/>
      <c r="GV1228" s="31"/>
      <c r="GW1228" s="31"/>
      <c r="GX1228" s="31"/>
      <c r="GY1228" s="31"/>
      <c r="GZ1228" s="31"/>
      <c r="HA1228" s="31"/>
      <c r="HB1228" s="31"/>
      <c r="HC1228" s="31"/>
      <c r="HD1228" s="31"/>
      <c r="HE1228" s="31"/>
      <c r="HF1228" s="31"/>
      <c r="HG1228" s="31"/>
      <c r="HH1228" s="31"/>
      <c r="HI1228" s="31"/>
      <c r="HJ1228" s="31"/>
      <c r="HK1228" s="31"/>
      <c r="HL1228" s="31"/>
      <c r="HM1228" s="31"/>
      <c r="HN1228" s="31"/>
      <c r="HO1228" s="31"/>
      <c r="HP1228" s="31"/>
      <c r="HQ1228" s="31"/>
      <c r="HR1228" s="31"/>
      <c r="HS1228" s="31"/>
      <c r="HT1228" s="31"/>
      <c r="HU1228" s="31"/>
      <c r="HV1228" s="31"/>
      <c r="HW1228" s="31"/>
      <c r="HX1228" s="31"/>
      <c r="HY1228" s="31"/>
      <c r="HZ1228" s="31"/>
      <c r="IA1228" s="31"/>
      <c r="IB1228" s="31"/>
      <c r="IC1228" s="31"/>
      <c r="ID1228" s="31"/>
      <c r="IE1228" s="31"/>
      <c r="IF1228" s="31"/>
      <c r="IG1228" s="31"/>
      <c r="IH1228" s="31"/>
      <c r="II1228" s="31"/>
      <c r="IJ1228" s="31"/>
      <c r="IK1228" s="31"/>
      <c r="IL1228" s="31"/>
      <c r="IM1228" s="31"/>
      <c r="IN1228" s="31"/>
      <c r="IO1228" s="31"/>
      <c r="IP1228" s="31"/>
      <c r="IQ1228" s="31"/>
      <c r="IR1228" s="31"/>
      <c r="IS1228" s="31"/>
      <c r="IT1228" s="31"/>
      <c r="IU1228" s="31"/>
      <c r="IV1228" s="31"/>
      <c r="IW1228" s="31"/>
      <c r="IX1228" s="31"/>
      <c r="IY1228" s="31"/>
      <c r="IZ1228" s="31"/>
      <c r="JA1228" s="31"/>
      <c r="JB1228" s="31"/>
      <c r="JC1228" s="31"/>
      <c r="JD1228" s="31"/>
      <c r="JE1228" s="31"/>
      <c r="JF1228" s="31"/>
      <c r="JG1228" s="31"/>
      <c r="JH1228" s="31"/>
      <c r="JI1228" s="31"/>
      <c r="JJ1228" s="31"/>
      <c r="JK1228" s="31"/>
      <c r="JL1228" s="31"/>
      <c r="JM1228" s="31"/>
      <c r="JN1228" s="31"/>
      <c r="JO1228" s="31"/>
      <c r="JP1228" s="31"/>
      <c r="JQ1228" s="31"/>
      <c r="JR1228" s="31"/>
      <c r="JS1228" s="31"/>
      <c r="JT1228" s="31"/>
      <c r="JU1228" s="31"/>
      <c r="JV1228" s="31"/>
      <c r="JW1228" s="31"/>
      <c r="JX1228" s="31"/>
      <c r="JY1228" s="31"/>
      <c r="JZ1228" s="31"/>
      <c r="KA1228" s="31"/>
      <c r="KB1228" s="31"/>
      <c r="KC1228" s="31"/>
      <c r="KD1228" s="31"/>
      <c r="KE1228" s="31"/>
      <c r="KF1228" s="31"/>
      <c r="KG1228" s="31"/>
      <c r="KH1228" s="31"/>
      <c r="KI1228" s="31"/>
      <c r="KJ1228" s="31"/>
      <c r="KK1228" s="31"/>
      <c r="KL1228" s="31"/>
      <c r="KM1228" s="31"/>
      <c r="KN1228" s="31"/>
      <c r="KO1228" s="31"/>
      <c r="KP1228" s="31"/>
      <c r="KQ1228" s="31"/>
      <c r="KR1228" s="31"/>
      <c r="KS1228" s="31"/>
      <c r="KT1228" s="31"/>
      <c r="KU1228" s="31"/>
      <c r="KV1228" s="31"/>
      <c r="KW1228" s="31"/>
      <c r="KX1228" s="31"/>
      <c r="KY1228" s="31"/>
      <c r="KZ1228" s="31"/>
      <c r="LA1228" s="31"/>
      <c r="LB1228" s="31"/>
      <c r="LC1228" s="31"/>
      <c r="LD1228" s="31"/>
      <c r="LE1228" s="31"/>
      <c r="LF1228" s="31"/>
      <c r="LG1228" s="31"/>
      <c r="LH1228" s="31"/>
      <c r="LI1228" s="31"/>
      <c r="LJ1228" s="31"/>
      <c r="LK1228" s="31"/>
      <c r="LL1228" s="31"/>
      <c r="LM1228" s="31"/>
      <c r="LN1228" s="31"/>
      <c r="LO1228" s="31"/>
      <c r="LP1228" s="31"/>
      <c r="LQ1228" s="31"/>
      <c r="LR1228" s="31"/>
      <c r="LS1228" s="31"/>
      <c r="LT1228" s="31"/>
      <c r="LU1228" s="31"/>
      <c r="LV1228" s="31"/>
      <c r="LW1228" s="31"/>
      <c r="LX1228" s="31"/>
      <c r="LY1228" s="31"/>
      <c r="LZ1228" s="31"/>
      <c r="MA1228" s="31"/>
      <c r="MB1228" s="31"/>
      <c r="MC1228" s="31"/>
      <c r="MD1228" s="31"/>
      <c r="ME1228" s="31"/>
      <c r="MF1228" s="31"/>
      <c r="MG1228" s="31"/>
      <c r="MH1228" s="31"/>
      <c r="MI1228" s="31"/>
      <c r="MJ1228" s="31"/>
      <c r="MK1228" s="31"/>
      <c r="ML1228" s="31"/>
      <c r="MM1228" s="31"/>
      <c r="MN1228" s="31"/>
      <c r="MO1228" s="31"/>
      <c r="MP1228" s="31"/>
      <c r="MQ1228" s="31"/>
      <c r="MR1228" s="31"/>
      <c r="MS1228" s="31"/>
      <c r="MT1228" s="31"/>
      <c r="MU1228" s="31"/>
      <c r="MV1228" s="31"/>
      <c r="MW1228" s="31"/>
      <c r="MX1228" s="31"/>
      <c r="MY1228" s="31"/>
      <c r="MZ1228" s="31"/>
      <c r="NA1228" s="31"/>
      <c r="NB1228" s="31"/>
      <c r="NC1228" s="31"/>
      <c r="ND1228" s="31"/>
      <c r="NE1228" s="31"/>
      <c r="NF1228" s="31"/>
      <c r="NG1228" s="31"/>
      <c r="NH1228" s="31"/>
      <c r="NI1228" s="31"/>
      <c r="NJ1228" s="31"/>
      <c r="NK1228" s="31"/>
      <c r="NL1228" s="31"/>
      <c r="NM1228" s="31"/>
      <c r="NN1228" s="31"/>
      <c r="NO1228" s="31"/>
      <c r="NP1228" s="31"/>
      <c r="NQ1228" s="31"/>
      <c r="NR1228" s="31"/>
      <c r="NS1228" s="31"/>
      <c r="NT1228" s="31"/>
      <c r="NU1228" s="31"/>
      <c r="NV1228" s="31"/>
      <c r="NW1228" s="31"/>
      <c r="NX1228" s="31"/>
      <c r="NY1228" s="31"/>
      <c r="NZ1228" s="31"/>
      <c r="OA1228" s="31"/>
      <c r="OB1228" s="31"/>
      <c r="OC1228" s="31"/>
      <c r="OD1228" s="31"/>
      <c r="OE1228" s="31"/>
      <c r="OF1228" s="31"/>
      <c r="OG1228" s="31"/>
      <c r="OH1228" s="31"/>
      <c r="OI1228" s="31"/>
      <c r="OJ1228" s="31"/>
      <c r="OK1228" s="31"/>
      <c r="OL1228" s="31"/>
      <c r="OM1228" s="31"/>
      <c r="ON1228" s="31"/>
      <c r="OO1228" s="31"/>
      <c r="OP1228" s="31"/>
      <c r="OQ1228" s="31"/>
      <c r="OR1228" s="31"/>
      <c r="OS1228" s="31"/>
      <c r="OT1228" s="31"/>
      <c r="OU1228" s="31"/>
      <c r="OV1228" s="31"/>
      <c r="OW1228" s="31"/>
      <c r="OX1228" s="31"/>
      <c r="OY1228" s="31"/>
      <c r="OZ1228" s="31"/>
      <c r="PA1228" s="31"/>
      <c r="PB1228" s="31"/>
      <c r="PC1228" s="31"/>
      <c r="PD1228" s="31"/>
      <c r="PE1228" s="31"/>
      <c r="PF1228" s="31"/>
      <c r="PG1228" s="31"/>
      <c r="PH1228" s="31"/>
      <c r="PI1228" s="31"/>
      <c r="PJ1228" s="31"/>
      <c r="PK1228" s="31"/>
      <c r="PL1228" s="31"/>
      <c r="PM1228" s="31"/>
      <c r="PN1228" s="31"/>
      <c r="PO1228" s="31"/>
      <c r="PP1228" s="31"/>
      <c r="PQ1228" s="31"/>
      <c r="PR1228" s="31"/>
      <c r="PS1228" s="31"/>
      <c r="PT1228" s="31"/>
      <c r="PU1228" s="31"/>
      <c r="PV1228" s="31"/>
      <c r="PW1228" s="31"/>
      <c r="PX1228" s="31"/>
      <c r="PY1228" s="31"/>
      <c r="PZ1228" s="31"/>
      <c r="QA1228" s="31"/>
      <c r="QB1228" s="31"/>
      <c r="QC1228" s="31"/>
      <c r="QD1228" s="31"/>
      <c r="QE1228" s="31"/>
      <c r="QF1228" s="31"/>
      <c r="QG1228" s="31"/>
      <c r="QH1228" s="31"/>
      <c r="QI1228" s="31"/>
      <c r="QJ1228" s="31"/>
      <c r="QK1228" s="31"/>
      <c r="QL1228" s="31"/>
      <c r="QM1228" s="31"/>
      <c r="QN1228" s="31"/>
      <c r="QO1228" s="31"/>
      <c r="QP1228" s="31"/>
      <c r="QQ1228" s="31"/>
      <c r="QR1228" s="31"/>
      <c r="QS1228" s="31"/>
      <c r="QT1228" s="31"/>
      <c r="QU1228" s="31"/>
      <c r="QV1228" s="31"/>
      <c r="QW1228" s="31"/>
      <c r="QX1228" s="31"/>
      <c r="QY1228" s="31"/>
      <c r="QZ1228" s="31"/>
      <c r="RA1228" s="31"/>
      <c r="RB1228" s="31"/>
      <c r="RC1228" s="31"/>
      <c r="RD1228" s="31"/>
      <c r="RE1228" s="31"/>
      <c r="RF1228" s="31"/>
      <c r="RG1228" s="31"/>
      <c r="RH1228" s="31"/>
      <c r="RI1228" s="31"/>
      <c r="RJ1228" s="31"/>
      <c r="RK1228" s="31"/>
      <c r="RL1228" s="31"/>
      <c r="RM1228" s="31"/>
      <c r="RN1228" s="31"/>
      <c r="RO1228" s="31"/>
      <c r="RP1228" s="31"/>
      <c r="RQ1228" s="31"/>
      <c r="RR1228" s="31"/>
      <c r="RS1228" s="31"/>
      <c r="RT1228" s="31"/>
      <c r="RU1228" s="31"/>
      <c r="RV1228" s="31"/>
      <c r="RW1228" s="31"/>
      <c r="RX1228" s="31"/>
      <c r="RY1228" s="31"/>
      <c r="RZ1228" s="31"/>
      <c r="SA1228" s="31"/>
      <c r="SB1228" s="31"/>
      <c r="SC1228" s="31"/>
      <c r="SD1228" s="31"/>
      <c r="SE1228" s="31"/>
      <c r="SF1228" s="31"/>
      <c r="SG1228" s="31"/>
      <c r="SH1228" s="31"/>
      <c r="SI1228" s="31"/>
      <c r="SJ1228" s="31"/>
      <c r="SK1228" s="31"/>
      <c r="SL1228" s="31"/>
      <c r="SM1228" s="31"/>
      <c r="SN1228" s="31"/>
      <c r="SO1228" s="31"/>
      <c r="SP1228" s="31"/>
      <c r="SQ1228" s="31"/>
      <c r="SR1228" s="31"/>
      <c r="SS1228" s="31"/>
      <c r="ST1228" s="31"/>
      <c r="SU1228" s="31"/>
      <c r="SV1228" s="31"/>
      <c r="SW1228" s="31"/>
      <c r="SX1228" s="31"/>
      <c r="SY1228" s="31"/>
      <c r="SZ1228" s="31"/>
      <c r="TA1228" s="31"/>
      <c r="TB1228" s="31"/>
      <c r="TC1228" s="31"/>
      <c r="TD1228" s="31"/>
      <c r="TE1228" s="31"/>
      <c r="TF1228" s="31"/>
      <c r="TG1228" s="31"/>
      <c r="TH1228" s="31"/>
      <c r="TI1228" s="31"/>
      <c r="TJ1228" s="31"/>
      <c r="TK1228" s="31"/>
      <c r="TL1228" s="31"/>
      <c r="TM1228" s="31"/>
      <c r="TN1228" s="31"/>
      <c r="TO1228" s="31"/>
      <c r="TP1228" s="31"/>
      <c r="TQ1228" s="31"/>
      <c r="TR1228" s="31"/>
      <c r="TS1228" s="31"/>
      <c r="TT1228" s="31"/>
      <c r="TU1228" s="31"/>
      <c r="TV1228" s="31"/>
      <c r="TW1228" s="31"/>
      <c r="TX1228" s="31"/>
      <c r="TY1228" s="31"/>
      <c r="TZ1228" s="31"/>
      <c r="UA1228" s="31"/>
      <c r="UB1228" s="31"/>
      <c r="UC1228" s="31"/>
      <c r="UD1228" s="31"/>
      <c r="UE1228" s="31"/>
      <c r="UF1228" s="31"/>
      <c r="UG1228" s="33"/>
    </row>
    <row r="1229" spans="1:553" ht="35.5" customHeight="1">
      <c r="A1229" s="366" t="s">
        <v>15</v>
      </c>
      <c r="B1229" s="366" t="s">
        <v>31</v>
      </c>
      <c r="C1229" s="1388" t="s">
        <v>681</v>
      </c>
      <c r="D1229" s="1389"/>
      <c r="E1229" s="1389"/>
      <c r="F1229" s="1390"/>
      <c r="G1229" s="366" t="s">
        <v>34</v>
      </c>
      <c r="H1229" s="370"/>
      <c r="I1229" s="422"/>
      <c r="J1229" s="368"/>
      <c r="K1229" s="371"/>
      <c r="L1229" s="487"/>
      <c r="M1229" s="366"/>
      <c r="N1229" s="366"/>
      <c r="O1229" s="366"/>
      <c r="P1229" s="366"/>
      <c r="Q1229" s="812"/>
      <c r="R1229" s="1226"/>
      <c r="S1229" s="308"/>
      <c r="T1229" s="308"/>
      <c r="U1229" s="308"/>
      <c r="V1229" s="308"/>
      <c r="W1229" s="308"/>
      <c r="X1229" s="308"/>
      <c r="Y1229" s="308"/>
      <c r="Z1229" s="604"/>
      <c r="AA1229" s="308"/>
      <c r="AB1229" s="308"/>
      <c r="AC1229" s="449"/>
      <c r="AD1229" s="449"/>
      <c r="AE1229" s="449"/>
      <c r="AF1229" s="449"/>
      <c r="AG1229" s="449"/>
      <c r="AH1229" s="449"/>
      <c r="AI1229" s="449"/>
      <c r="AJ1229" s="449"/>
      <c r="AK1229" s="452"/>
      <c r="AL1229" s="104"/>
      <c r="AM1229" s="32"/>
      <c r="AN1229" s="32"/>
      <c r="AO1229" s="32"/>
      <c r="AP1229" s="32"/>
      <c r="AQ1229" s="32"/>
      <c r="AR1229" s="32"/>
      <c r="AS1229" s="31"/>
      <c r="AT1229" s="31"/>
      <c r="AU1229" s="31"/>
      <c r="AV1229" s="31"/>
      <c r="AW1229" s="31"/>
      <c r="AX1229" s="31"/>
      <c r="AY1229" s="31"/>
      <c r="AZ1229" s="31"/>
      <c r="BA1229" s="31"/>
      <c r="BB1229" s="31"/>
      <c r="BC1229" s="31"/>
      <c r="BD1229" s="31"/>
      <c r="BE1229" s="31"/>
      <c r="BF1229" s="31"/>
      <c r="BG1229" s="31"/>
      <c r="BH1229" s="31"/>
      <c r="BI1229" s="31"/>
      <c r="BJ1229" s="31"/>
      <c r="BK1229" s="31"/>
      <c r="BL1229" s="31"/>
      <c r="BM1229" s="31"/>
      <c r="BN1229" s="31"/>
      <c r="BO1229" s="31"/>
      <c r="BP1229" s="31"/>
      <c r="BQ1229" s="31"/>
      <c r="BR1229" s="31"/>
      <c r="BS1229" s="31"/>
      <c r="BT1229" s="31"/>
      <c r="BU1229" s="31"/>
      <c r="BV1229" s="31"/>
      <c r="BW1229" s="31"/>
      <c r="BX1229" s="31"/>
      <c r="BY1229" s="31"/>
      <c r="BZ1229" s="31"/>
      <c r="CA1229" s="31"/>
      <c r="CB1229" s="31"/>
      <c r="CC1229" s="31"/>
      <c r="CD1229" s="31"/>
      <c r="CE1229" s="31"/>
      <c r="CF1229" s="31"/>
      <c r="CG1229" s="31"/>
      <c r="CH1229" s="31"/>
      <c r="CI1229" s="31"/>
      <c r="CJ1229" s="31"/>
      <c r="CK1229" s="31"/>
      <c r="CL1229" s="31"/>
      <c r="CM1229" s="31"/>
      <c r="CN1229" s="31"/>
      <c r="CO1229" s="31"/>
      <c r="CP1229" s="31"/>
      <c r="CQ1229" s="31"/>
      <c r="CR1229" s="31"/>
      <c r="CS1229" s="31"/>
      <c r="CT1229" s="31"/>
      <c r="CU1229" s="31"/>
      <c r="CV1229" s="31"/>
      <c r="CW1229" s="31"/>
      <c r="CX1229" s="31"/>
      <c r="CY1229" s="31"/>
      <c r="CZ1229" s="31"/>
      <c r="DA1229" s="31"/>
      <c r="DB1229" s="31"/>
      <c r="DC1229" s="31"/>
      <c r="DD1229" s="31"/>
      <c r="DE1229" s="31"/>
      <c r="DF1229" s="31"/>
      <c r="DG1229" s="31"/>
      <c r="DH1229" s="31"/>
      <c r="DI1229" s="31"/>
      <c r="DJ1229" s="31"/>
      <c r="DK1229" s="31"/>
      <c r="DL1229" s="31"/>
      <c r="DM1229" s="31"/>
      <c r="DN1229" s="31"/>
      <c r="DO1229" s="31"/>
      <c r="DP1229" s="31"/>
      <c r="DQ1229" s="31"/>
      <c r="DR1229" s="31"/>
      <c r="DS1229" s="31"/>
      <c r="DT1229" s="31"/>
      <c r="DU1229" s="31"/>
      <c r="DV1229" s="31"/>
      <c r="DW1229" s="31"/>
      <c r="DX1229" s="31"/>
      <c r="DY1229" s="31"/>
      <c r="DZ1229" s="31"/>
      <c r="EA1229" s="31"/>
      <c r="EB1229" s="31"/>
      <c r="EC1229" s="31"/>
      <c r="ED1229" s="31"/>
      <c r="EE1229" s="31"/>
      <c r="EF1229" s="31"/>
      <c r="EG1229" s="31"/>
      <c r="EH1229" s="31"/>
      <c r="EI1229" s="31"/>
      <c r="EJ1229" s="31"/>
      <c r="EK1229" s="31"/>
      <c r="EL1229" s="31"/>
      <c r="EM1229" s="31"/>
      <c r="EN1229" s="31"/>
      <c r="EO1229" s="31"/>
      <c r="EP1229" s="31"/>
      <c r="EQ1229" s="31"/>
      <c r="ER1229" s="31"/>
      <c r="ES1229" s="31"/>
      <c r="ET1229" s="31"/>
      <c r="EU1229" s="31"/>
      <c r="EV1229" s="31"/>
      <c r="EW1229" s="31"/>
      <c r="EX1229" s="31"/>
      <c r="EY1229" s="31"/>
      <c r="EZ1229" s="31"/>
      <c r="FA1229" s="31"/>
      <c r="FB1229" s="31"/>
      <c r="FC1229" s="31"/>
      <c r="FD1229" s="31"/>
      <c r="FE1229" s="31"/>
      <c r="FF1229" s="31"/>
      <c r="FG1229" s="31"/>
      <c r="FH1229" s="31"/>
      <c r="FI1229" s="31"/>
      <c r="FJ1229" s="31"/>
      <c r="FK1229" s="31"/>
      <c r="FL1229" s="31"/>
      <c r="FM1229" s="31"/>
      <c r="FN1229" s="31"/>
      <c r="FO1229" s="31"/>
      <c r="FP1229" s="31"/>
      <c r="FQ1229" s="31"/>
      <c r="FR1229" s="31"/>
      <c r="FS1229" s="31"/>
      <c r="FT1229" s="31"/>
      <c r="FU1229" s="31"/>
      <c r="FV1229" s="31"/>
      <c r="FW1229" s="31"/>
      <c r="FX1229" s="31"/>
      <c r="FY1229" s="31"/>
      <c r="FZ1229" s="31"/>
      <c r="GA1229" s="31"/>
      <c r="GB1229" s="31"/>
      <c r="GC1229" s="31"/>
      <c r="GD1229" s="31"/>
      <c r="GE1229" s="31"/>
      <c r="GF1229" s="31"/>
      <c r="GG1229" s="31"/>
      <c r="GH1229" s="31"/>
      <c r="GI1229" s="31"/>
      <c r="GJ1229" s="31"/>
      <c r="GK1229" s="31"/>
      <c r="GL1229" s="31"/>
      <c r="GM1229" s="31"/>
      <c r="GN1229" s="31"/>
      <c r="GO1229" s="31"/>
      <c r="GP1229" s="31"/>
      <c r="GQ1229" s="31"/>
      <c r="GR1229" s="31"/>
      <c r="GS1229" s="31"/>
      <c r="GT1229" s="31"/>
      <c r="GU1229" s="31"/>
      <c r="GV1229" s="31"/>
      <c r="GW1229" s="31"/>
      <c r="GX1229" s="31"/>
      <c r="GY1229" s="31"/>
      <c r="GZ1229" s="31"/>
      <c r="HA1229" s="31"/>
      <c r="HB1229" s="31"/>
      <c r="HC1229" s="31"/>
      <c r="HD1229" s="31"/>
      <c r="HE1229" s="31"/>
      <c r="HF1229" s="31"/>
      <c r="HG1229" s="31"/>
      <c r="HH1229" s="31"/>
      <c r="HI1229" s="31"/>
      <c r="HJ1229" s="31"/>
      <c r="HK1229" s="31"/>
      <c r="HL1229" s="31"/>
      <c r="HM1229" s="31"/>
      <c r="HN1229" s="31"/>
      <c r="HO1229" s="31"/>
      <c r="HP1229" s="31"/>
      <c r="HQ1229" s="31"/>
      <c r="HR1229" s="31"/>
      <c r="HS1229" s="31"/>
      <c r="HT1229" s="31"/>
      <c r="HU1229" s="31"/>
      <c r="HV1229" s="31"/>
      <c r="HW1229" s="31"/>
      <c r="HX1229" s="31"/>
      <c r="HY1229" s="31"/>
      <c r="HZ1229" s="31"/>
      <c r="IA1229" s="31"/>
      <c r="IB1229" s="31"/>
      <c r="IC1229" s="31"/>
      <c r="ID1229" s="31"/>
      <c r="IE1229" s="31"/>
      <c r="IF1229" s="31"/>
      <c r="IG1229" s="31"/>
      <c r="IH1229" s="31"/>
      <c r="II1229" s="31"/>
      <c r="IJ1229" s="31"/>
      <c r="IK1229" s="31"/>
      <c r="IL1229" s="31"/>
      <c r="IM1229" s="31"/>
      <c r="IN1229" s="31"/>
      <c r="IO1229" s="31"/>
      <c r="IP1229" s="31"/>
      <c r="IQ1229" s="31"/>
      <c r="IR1229" s="31"/>
      <c r="IS1229" s="31"/>
      <c r="IT1229" s="31"/>
      <c r="IU1229" s="31"/>
      <c r="IV1229" s="31"/>
      <c r="IW1229" s="31"/>
      <c r="IX1229" s="31"/>
      <c r="IY1229" s="31"/>
      <c r="IZ1229" s="31"/>
      <c r="JA1229" s="31"/>
      <c r="JB1229" s="31"/>
      <c r="JC1229" s="31"/>
      <c r="JD1229" s="31"/>
      <c r="JE1229" s="31"/>
      <c r="JF1229" s="31"/>
      <c r="JG1229" s="31"/>
      <c r="JH1229" s="31"/>
      <c r="JI1229" s="31"/>
      <c r="JJ1229" s="31"/>
      <c r="JK1229" s="31"/>
      <c r="JL1229" s="31"/>
      <c r="JM1229" s="31"/>
      <c r="JN1229" s="31"/>
      <c r="JO1229" s="31"/>
      <c r="JP1229" s="31"/>
      <c r="JQ1229" s="31"/>
      <c r="JR1229" s="31"/>
      <c r="JS1229" s="31"/>
      <c r="JT1229" s="31"/>
      <c r="JU1229" s="31"/>
      <c r="JV1229" s="31"/>
      <c r="JW1229" s="31"/>
      <c r="JX1229" s="31"/>
      <c r="JY1229" s="31"/>
      <c r="JZ1229" s="31"/>
      <c r="KA1229" s="31"/>
      <c r="KB1229" s="31"/>
      <c r="KC1229" s="31"/>
      <c r="KD1229" s="31"/>
      <c r="KE1229" s="31"/>
      <c r="KF1229" s="31"/>
      <c r="KG1229" s="31"/>
      <c r="KH1229" s="31"/>
      <c r="KI1229" s="31"/>
      <c r="KJ1229" s="31"/>
      <c r="KK1229" s="31"/>
      <c r="KL1229" s="31"/>
      <c r="KM1229" s="31"/>
      <c r="KN1229" s="31"/>
      <c r="KO1229" s="31"/>
      <c r="KP1229" s="31"/>
      <c r="KQ1229" s="31"/>
      <c r="KR1229" s="31"/>
      <c r="KS1229" s="31"/>
      <c r="KT1229" s="31"/>
      <c r="KU1229" s="31"/>
      <c r="KV1229" s="31"/>
      <c r="KW1229" s="31"/>
      <c r="KX1229" s="31"/>
      <c r="KY1229" s="31"/>
      <c r="KZ1229" s="31"/>
      <c r="LA1229" s="31"/>
      <c r="LB1229" s="31"/>
      <c r="LC1229" s="31"/>
      <c r="LD1229" s="31"/>
      <c r="LE1229" s="31"/>
      <c r="LF1229" s="31"/>
      <c r="LG1229" s="31"/>
      <c r="LH1229" s="31"/>
      <c r="LI1229" s="31"/>
      <c r="LJ1229" s="31"/>
      <c r="LK1229" s="31"/>
      <c r="LL1229" s="31"/>
      <c r="LM1229" s="31"/>
      <c r="LN1229" s="31"/>
      <c r="LO1229" s="31"/>
      <c r="LP1229" s="31"/>
      <c r="LQ1229" s="31"/>
      <c r="LR1229" s="31"/>
      <c r="LS1229" s="31"/>
      <c r="LT1229" s="31"/>
      <c r="LU1229" s="31"/>
      <c r="LV1229" s="31"/>
      <c r="LW1229" s="31"/>
      <c r="LX1229" s="31"/>
      <c r="LY1229" s="31"/>
      <c r="LZ1229" s="31"/>
      <c r="MA1229" s="31"/>
      <c r="MB1229" s="31"/>
      <c r="MC1229" s="31"/>
      <c r="MD1229" s="31"/>
      <c r="ME1229" s="31"/>
      <c r="MF1229" s="31"/>
      <c r="MG1229" s="31"/>
      <c r="MH1229" s="31"/>
      <c r="MI1229" s="31"/>
      <c r="MJ1229" s="31"/>
      <c r="MK1229" s="31"/>
      <c r="ML1229" s="31"/>
      <c r="MM1229" s="31"/>
      <c r="MN1229" s="31"/>
      <c r="MO1229" s="31"/>
      <c r="MP1229" s="31"/>
      <c r="MQ1229" s="31"/>
      <c r="MR1229" s="31"/>
      <c r="MS1229" s="31"/>
      <c r="MT1229" s="31"/>
      <c r="MU1229" s="31"/>
      <c r="MV1229" s="31"/>
      <c r="MW1229" s="31"/>
      <c r="MX1229" s="31"/>
      <c r="MY1229" s="31"/>
      <c r="MZ1229" s="31"/>
      <c r="NA1229" s="31"/>
      <c r="NB1229" s="31"/>
      <c r="NC1229" s="31"/>
      <c r="ND1229" s="31"/>
      <c r="NE1229" s="31"/>
      <c r="NF1229" s="31"/>
      <c r="NG1229" s="31"/>
      <c r="NH1229" s="31"/>
      <c r="NI1229" s="31"/>
      <c r="NJ1229" s="31"/>
      <c r="NK1229" s="31"/>
      <c r="NL1229" s="31"/>
      <c r="NM1229" s="31"/>
      <c r="NN1229" s="31"/>
      <c r="NO1229" s="31"/>
      <c r="NP1229" s="31"/>
      <c r="NQ1229" s="31"/>
      <c r="NR1229" s="31"/>
      <c r="NS1229" s="31"/>
      <c r="NT1229" s="31"/>
      <c r="NU1229" s="31"/>
      <c r="NV1229" s="31"/>
      <c r="NW1229" s="31"/>
      <c r="NX1229" s="31"/>
      <c r="NY1229" s="31"/>
      <c r="NZ1229" s="31"/>
      <c r="OA1229" s="31"/>
      <c r="OB1229" s="31"/>
      <c r="OC1229" s="31"/>
      <c r="OD1229" s="31"/>
      <c r="OE1229" s="31"/>
      <c r="OF1229" s="31"/>
      <c r="OG1229" s="31"/>
      <c r="OH1229" s="31"/>
      <c r="OI1229" s="31"/>
      <c r="OJ1229" s="31"/>
      <c r="OK1229" s="31"/>
      <c r="OL1229" s="31"/>
      <c r="OM1229" s="31"/>
      <c r="ON1229" s="31"/>
      <c r="OO1229" s="31"/>
      <c r="OP1229" s="31"/>
      <c r="OQ1229" s="31"/>
      <c r="OR1229" s="31"/>
      <c r="OS1229" s="31"/>
      <c r="OT1229" s="31"/>
      <c r="OU1229" s="31"/>
      <c r="OV1229" s="31"/>
      <c r="OW1229" s="31"/>
      <c r="OX1229" s="31"/>
      <c r="OY1229" s="31"/>
      <c r="OZ1229" s="31"/>
      <c r="PA1229" s="31"/>
      <c r="PB1229" s="31"/>
      <c r="PC1229" s="31"/>
      <c r="PD1229" s="31"/>
      <c r="PE1229" s="31"/>
      <c r="PF1229" s="31"/>
      <c r="PG1229" s="31"/>
      <c r="PH1229" s="31"/>
      <c r="PI1229" s="31"/>
      <c r="PJ1229" s="31"/>
      <c r="PK1229" s="31"/>
      <c r="PL1229" s="31"/>
      <c r="PM1229" s="31"/>
      <c r="PN1229" s="31"/>
      <c r="PO1229" s="31"/>
      <c r="PP1229" s="31"/>
      <c r="PQ1229" s="31"/>
      <c r="PR1229" s="31"/>
      <c r="PS1229" s="31"/>
      <c r="PT1229" s="31"/>
      <c r="PU1229" s="31"/>
      <c r="PV1229" s="31"/>
      <c r="PW1229" s="31"/>
      <c r="PX1229" s="31"/>
      <c r="PY1229" s="31"/>
      <c r="PZ1229" s="31"/>
      <c r="QA1229" s="31"/>
      <c r="QB1229" s="31"/>
      <c r="QC1229" s="31"/>
      <c r="QD1229" s="31"/>
      <c r="QE1229" s="31"/>
      <c r="QF1229" s="31"/>
      <c r="QG1229" s="31"/>
      <c r="QH1229" s="31"/>
      <c r="QI1229" s="31"/>
      <c r="QJ1229" s="31"/>
      <c r="QK1229" s="31"/>
      <c r="QL1229" s="31"/>
      <c r="QM1229" s="31"/>
      <c r="QN1229" s="31"/>
      <c r="QO1229" s="31"/>
      <c r="QP1229" s="31"/>
      <c r="QQ1229" s="31"/>
      <c r="QR1229" s="31"/>
      <c r="QS1229" s="31"/>
      <c r="QT1229" s="31"/>
      <c r="QU1229" s="31"/>
      <c r="QV1229" s="31"/>
      <c r="QW1229" s="31"/>
      <c r="QX1229" s="31"/>
      <c r="QY1229" s="31"/>
      <c r="QZ1229" s="31"/>
      <c r="RA1229" s="31"/>
      <c r="RB1229" s="31"/>
      <c r="RC1229" s="31"/>
      <c r="RD1229" s="31"/>
      <c r="RE1229" s="31"/>
      <c r="RF1229" s="31"/>
      <c r="RG1229" s="31"/>
      <c r="RH1229" s="31"/>
      <c r="RI1229" s="31"/>
      <c r="RJ1229" s="31"/>
      <c r="RK1229" s="31"/>
      <c r="RL1229" s="31"/>
      <c r="RM1229" s="31"/>
      <c r="RN1229" s="31"/>
      <c r="RO1229" s="31"/>
      <c r="RP1229" s="31"/>
      <c r="RQ1229" s="31"/>
      <c r="RR1229" s="31"/>
      <c r="RS1229" s="31"/>
      <c r="RT1229" s="31"/>
      <c r="RU1229" s="31"/>
      <c r="RV1229" s="31"/>
      <c r="RW1229" s="31"/>
      <c r="RX1229" s="31"/>
      <c r="RY1229" s="31"/>
      <c r="RZ1229" s="31"/>
      <c r="SA1229" s="31"/>
      <c r="SB1229" s="31"/>
      <c r="SC1229" s="31"/>
      <c r="SD1229" s="31"/>
      <c r="SE1229" s="31"/>
      <c r="SF1229" s="31"/>
      <c r="SG1229" s="31"/>
      <c r="SH1229" s="31"/>
      <c r="SI1229" s="31"/>
      <c r="SJ1229" s="31"/>
      <c r="SK1229" s="31"/>
      <c r="SL1229" s="31"/>
      <c r="SM1229" s="31"/>
      <c r="SN1229" s="31"/>
      <c r="SO1229" s="31"/>
      <c r="SP1229" s="31"/>
      <c r="SQ1229" s="31"/>
      <c r="SR1229" s="31"/>
      <c r="SS1229" s="31"/>
      <c r="ST1229" s="31"/>
      <c r="SU1229" s="31"/>
      <c r="SV1229" s="31"/>
      <c r="SW1229" s="31"/>
      <c r="SX1229" s="31"/>
      <c r="SY1229" s="31"/>
      <c r="SZ1229" s="31"/>
      <c r="TA1229" s="31"/>
      <c r="TB1229" s="31"/>
      <c r="TC1229" s="31"/>
      <c r="TD1229" s="31"/>
      <c r="TE1229" s="31"/>
      <c r="TF1229" s="31"/>
      <c r="TG1229" s="31"/>
      <c r="TH1229" s="31"/>
      <c r="TI1229" s="31"/>
      <c r="TJ1229" s="31"/>
      <c r="TK1229" s="31"/>
      <c r="TL1229" s="31"/>
      <c r="TM1229" s="31"/>
      <c r="TN1229" s="31"/>
      <c r="TO1229" s="31"/>
      <c r="TP1229" s="31"/>
      <c r="TQ1229" s="31"/>
      <c r="TR1229" s="31"/>
      <c r="TS1229" s="31"/>
      <c r="TT1229" s="31"/>
      <c r="TU1229" s="31"/>
      <c r="TV1229" s="31"/>
      <c r="TW1229" s="31"/>
      <c r="TX1229" s="31"/>
      <c r="TY1229" s="31"/>
      <c r="TZ1229" s="31"/>
      <c r="UA1229" s="31"/>
      <c r="UB1229" s="31"/>
      <c r="UC1229" s="31"/>
      <c r="UD1229" s="31"/>
      <c r="UE1229" s="31"/>
      <c r="UF1229" s="31"/>
      <c r="UG1229" s="33"/>
    </row>
    <row r="1230" spans="1:553" ht="35.5" customHeight="1">
      <c r="A1230" s="366" t="s">
        <v>30</v>
      </c>
      <c r="B1230" s="385">
        <v>222</v>
      </c>
      <c r="C1230" s="1535" t="s">
        <v>1294</v>
      </c>
      <c r="D1230" s="1389"/>
      <c r="E1230" s="1389"/>
      <c r="F1230" s="1390"/>
      <c r="G1230" s="386" t="s">
        <v>682</v>
      </c>
      <c r="H1230" s="370"/>
      <c r="I1230" s="422">
        <v>2</v>
      </c>
      <c r="J1230" s="368">
        <v>2564900</v>
      </c>
      <c r="K1230" s="371"/>
      <c r="L1230" s="487">
        <f t="shared" ref="L1230:L1231" si="184">I1230*J1230</f>
        <v>5129800</v>
      </c>
      <c r="M1230" s="782"/>
      <c r="N1230" s="782"/>
      <c r="O1230" s="366"/>
      <c r="P1230" s="396"/>
      <c r="Q1230" s="473"/>
      <c r="R1230" s="1039"/>
      <c r="S1230" s="308"/>
      <c r="T1230" s="308"/>
      <c r="U1230" s="308"/>
      <c r="V1230" s="308"/>
      <c r="W1230" s="308"/>
      <c r="X1230" s="308"/>
      <c r="Y1230" s="308"/>
      <c r="Z1230" s="604"/>
      <c r="AA1230" s="308"/>
      <c r="AB1230" s="308"/>
      <c r="AC1230" s="449"/>
      <c r="AD1230" s="449"/>
      <c r="AE1230" s="449"/>
      <c r="AF1230" s="449"/>
      <c r="AG1230" s="452"/>
      <c r="AH1230" s="452"/>
      <c r="AI1230" s="452"/>
      <c r="AJ1230" s="452"/>
      <c r="AK1230" s="452"/>
      <c r="AL1230" s="104"/>
      <c r="AM1230" s="32"/>
      <c r="AN1230" s="32"/>
      <c r="AO1230" s="32"/>
      <c r="AP1230" s="32"/>
      <c r="AQ1230" s="31"/>
      <c r="AR1230" s="31"/>
      <c r="AS1230" s="31"/>
      <c r="AT1230" s="31"/>
      <c r="AU1230" s="31"/>
      <c r="AV1230" s="31"/>
      <c r="AW1230" s="31"/>
      <c r="AX1230" s="31"/>
      <c r="AY1230" s="31"/>
      <c r="AZ1230" s="31"/>
      <c r="BA1230" s="31"/>
      <c r="BB1230" s="31"/>
      <c r="BC1230" s="31"/>
      <c r="BD1230" s="31"/>
      <c r="BE1230" s="31"/>
      <c r="BF1230" s="31"/>
      <c r="BG1230" s="31"/>
      <c r="BH1230" s="31"/>
      <c r="BI1230" s="31"/>
      <c r="BJ1230" s="31"/>
      <c r="BK1230" s="31"/>
      <c r="BL1230" s="31"/>
      <c r="BM1230" s="31"/>
      <c r="BN1230" s="31"/>
      <c r="BO1230" s="31"/>
      <c r="BP1230" s="31"/>
      <c r="BQ1230" s="31"/>
      <c r="BR1230" s="31"/>
      <c r="BS1230" s="31"/>
      <c r="BT1230" s="31"/>
      <c r="BU1230" s="31"/>
      <c r="BV1230" s="31"/>
      <c r="BW1230" s="31"/>
      <c r="BX1230" s="31"/>
      <c r="BY1230" s="31"/>
      <c r="BZ1230" s="31"/>
      <c r="CA1230" s="31"/>
      <c r="CB1230" s="31"/>
      <c r="CC1230" s="31"/>
      <c r="CD1230" s="31"/>
      <c r="CE1230" s="31"/>
      <c r="CF1230" s="31"/>
      <c r="CG1230" s="31"/>
      <c r="CH1230" s="31"/>
      <c r="CI1230" s="31"/>
      <c r="CJ1230" s="31"/>
      <c r="CK1230" s="31"/>
      <c r="CL1230" s="31"/>
      <c r="CM1230" s="31"/>
      <c r="CN1230" s="31"/>
      <c r="CO1230" s="31"/>
      <c r="CP1230" s="31"/>
      <c r="CQ1230" s="31"/>
      <c r="CR1230" s="31"/>
      <c r="CS1230" s="31"/>
      <c r="CT1230" s="31"/>
      <c r="CU1230" s="31"/>
      <c r="CV1230" s="31"/>
      <c r="CW1230" s="31"/>
      <c r="CX1230" s="31"/>
      <c r="CY1230" s="31"/>
      <c r="CZ1230" s="31"/>
      <c r="DA1230" s="31"/>
      <c r="DB1230" s="31"/>
      <c r="DC1230" s="31"/>
      <c r="DD1230" s="31"/>
      <c r="DE1230" s="31"/>
      <c r="DF1230" s="31"/>
      <c r="DG1230" s="31"/>
      <c r="DH1230" s="31"/>
      <c r="DI1230" s="31"/>
      <c r="DJ1230" s="31"/>
      <c r="DK1230" s="31"/>
      <c r="DL1230" s="31"/>
      <c r="DM1230" s="31"/>
      <c r="DN1230" s="31"/>
      <c r="DO1230" s="31"/>
      <c r="DP1230" s="31"/>
      <c r="DQ1230" s="31"/>
      <c r="DR1230" s="31"/>
      <c r="DS1230" s="31"/>
      <c r="DT1230" s="31"/>
      <c r="DU1230" s="31"/>
      <c r="DV1230" s="31"/>
      <c r="DW1230" s="31"/>
      <c r="DX1230" s="31"/>
      <c r="DY1230" s="31"/>
      <c r="DZ1230" s="31"/>
      <c r="EA1230" s="31"/>
      <c r="EB1230" s="31"/>
      <c r="EC1230" s="31"/>
      <c r="ED1230" s="31"/>
      <c r="EE1230" s="31"/>
      <c r="EF1230" s="31"/>
      <c r="EG1230" s="31"/>
      <c r="EH1230" s="31"/>
      <c r="EI1230" s="31"/>
      <c r="EJ1230" s="31"/>
      <c r="EK1230" s="31"/>
      <c r="EL1230" s="31"/>
      <c r="EM1230" s="31"/>
      <c r="EN1230" s="31"/>
      <c r="EO1230" s="31"/>
      <c r="EP1230" s="31"/>
      <c r="EQ1230" s="31"/>
      <c r="ER1230" s="31"/>
      <c r="ES1230" s="31"/>
      <c r="ET1230" s="31"/>
      <c r="EU1230" s="31"/>
      <c r="EV1230" s="31"/>
      <c r="EW1230" s="31"/>
      <c r="EX1230" s="31"/>
      <c r="EY1230" s="31"/>
      <c r="EZ1230" s="31"/>
      <c r="FA1230" s="31"/>
      <c r="FB1230" s="31"/>
      <c r="FC1230" s="31"/>
      <c r="FD1230" s="31"/>
      <c r="FE1230" s="31"/>
      <c r="FF1230" s="31"/>
      <c r="FG1230" s="31"/>
      <c r="FH1230" s="31"/>
      <c r="FI1230" s="31"/>
      <c r="FJ1230" s="31"/>
      <c r="FK1230" s="31"/>
      <c r="FL1230" s="31"/>
      <c r="FM1230" s="31"/>
      <c r="FN1230" s="31"/>
      <c r="FO1230" s="31"/>
      <c r="FP1230" s="31"/>
      <c r="FQ1230" s="31"/>
      <c r="FR1230" s="31"/>
      <c r="FS1230" s="31"/>
      <c r="FT1230" s="31"/>
      <c r="FU1230" s="31"/>
      <c r="FV1230" s="31"/>
      <c r="FW1230" s="31"/>
      <c r="FX1230" s="31"/>
      <c r="FY1230" s="31"/>
      <c r="FZ1230" s="31"/>
      <c r="GA1230" s="31"/>
      <c r="GB1230" s="31"/>
      <c r="GC1230" s="31"/>
      <c r="GD1230" s="31"/>
      <c r="GE1230" s="31"/>
      <c r="GF1230" s="31"/>
      <c r="GG1230" s="31"/>
      <c r="GH1230" s="31"/>
      <c r="GI1230" s="31"/>
      <c r="GJ1230" s="31"/>
      <c r="GK1230" s="31"/>
      <c r="GL1230" s="31"/>
      <c r="GM1230" s="31"/>
      <c r="GN1230" s="31"/>
      <c r="GO1230" s="31"/>
      <c r="GP1230" s="31"/>
      <c r="GQ1230" s="31"/>
      <c r="GR1230" s="31"/>
      <c r="GS1230" s="31"/>
      <c r="GT1230" s="31"/>
      <c r="GU1230" s="31"/>
      <c r="GV1230" s="31"/>
      <c r="GW1230" s="31"/>
      <c r="GX1230" s="31"/>
      <c r="GY1230" s="31"/>
      <c r="GZ1230" s="31"/>
      <c r="HA1230" s="31"/>
      <c r="HB1230" s="31"/>
      <c r="HC1230" s="31"/>
      <c r="HD1230" s="31"/>
      <c r="HE1230" s="31"/>
      <c r="HF1230" s="31"/>
      <c r="HG1230" s="31"/>
      <c r="HH1230" s="31"/>
      <c r="HI1230" s="31"/>
      <c r="HJ1230" s="31"/>
      <c r="HK1230" s="31"/>
      <c r="HL1230" s="31"/>
      <c r="HM1230" s="31"/>
      <c r="HN1230" s="31"/>
      <c r="HO1230" s="31"/>
      <c r="HP1230" s="31"/>
      <c r="HQ1230" s="31"/>
      <c r="HR1230" s="31"/>
      <c r="HS1230" s="31"/>
      <c r="HT1230" s="31"/>
      <c r="HU1230" s="31"/>
      <c r="HV1230" s="31"/>
      <c r="HW1230" s="31"/>
      <c r="HX1230" s="31"/>
      <c r="HY1230" s="31"/>
      <c r="HZ1230" s="31"/>
      <c r="IA1230" s="31"/>
      <c r="IB1230" s="31"/>
      <c r="IC1230" s="31"/>
      <c r="ID1230" s="31"/>
      <c r="IE1230" s="31"/>
      <c r="IF1230" s="31"/>
      <c r="IG1230" s="31"/>
      <c r="IH1230" s="31"/>
      <c r="II1230" s="31"/>
      <c r="IJ1230" s="31"/>
      <c r="IK1230" s="31"/>
      <c r="IL1230" s="31"/>
      <c r="IM1230" s="31"/>
      <c r="IN1230" s="31"/>
      <c r="IO1230" s="31"/>
      <c r="IP1230" s="31"/>
      <c r="IQ1230" s="31"/>
      <c r="IR1230" s="31"/>
      <c r="IS1230" s="31"/>
      <c r="IT1230" s="31"/>
      <c r="IU1230" s="31"/>
      <c r="IV1230" s="31"/>
      <c r="IW1230" s="31"/>
      <c r="IX1230" s="31"/>
      <c r="IY1230" s="31"/>
      <c r="IZ1230" s="31"/>
      <c r="JA1230" s="31"/>
      <c r="JB1230" s="31"/>
      <c r="JC1230" s="31"/>
      <c r="JD1230" s="31"/>
      <c r="JE1230" s="31"/>
      <c r="JF1230" s="31"/>
      <c r="JG1230" s="31"/>
      <c r="JH1230" s="31"/>
      <c r="JI1230" s="31"/>
      <c r="JJ1230" s="31"/>
      <c r="JK1230" s="31"/>
      <c r="JL1230" s="31"/>
      <c r="JM1230" s="31"/>
      <c r="JN1230" s="31"/>
      <c r="JO1230" s="31"/>
      <c r="JP1230" s="31"/>
      <c r="JQ1230" s="31"/>
      <c r="JR1230" s="31"/>
      <c r="JS1230" s="31"/>
      <c r="JT1230" s="31"/>
      <c r="JU1230" s="31"/>
      <c r="JV1230" s="31"/>
      <c r="JW1230" s="31"/>
      <c r="JX1230" s="31"/>
      <c r="JY1230" s="31"/>
      <c r="JZ1230" s="31"/>
      <c r="KA1230" s="31"/>
      <c r="KB1230" s="31"/>
      <c r="KC1230" s="31"/>
      <c r="KD1230" s="31"/>
      <c r="KE1230" s="31"/>
      <c r="KF1230" s="31"/>
      <c r="KG1230" s="31"/>
      <c r="KH1230" s="31"/>
      <c r="KI1230" s="31"/>
      <c r="KJ1230" s="31"/>
      <c r="KK1230" s="31"/>
      <c r="KL1230" s="31"/>
      <c r="KM1230" s="31"/>
      <c r="KN1230" s="31"/>
      <c r="KO1230" s="31"/>
      <c r="KP1230" s="31"/>
      <c r="KQ1230" s="31"/>
      <c r="KR1230" s="31"/>
      <c r="KS1230" s="31"/>
      <c r="KT1230" s="31"/>
      <c r="KU1230" s="31"/>
      <c r="KV1230" s="31"/>
      <c r="KW1230" s="31"/>
      <c r="KX1230" s="31"/>
      <c r="KY1230" s="31"/>
      <c r="KZ1230" s="31"/>
      <c r="LA1230" s="31"/>
      <c r="LB1230" s="31"/>
      <c r="LC1230" s="31"/>
      <c r="LD1230" s="31"/>
      <c r="LE1230" s="31"/>
      <c r="LF1230" s="31"/>
      <c r="LG1230" s="31"/>
      <c r="LH1230" s="31"/>
      <c r="LI1230" s="31"/>
      <c r="LJ1230" s="31"/>
      <c r="LK1230" s="31"/>
      <c r="LL1230" s="31"/>
      <c r="LM1230" s="31"/>
      <c r="LN1230" s="31"/>
      <c r="LO1230" s="31"/>
      <c r="LP1230" s="31"/>
      <c r="LQ1230" s="31"/>
      <c r="LR1230" s="31"/>
      <c r="LS1230" s="31"/>
      <c r="LT1230" s="31"/>
      <c r="LU1230" s="31"/>
      <c r="LV1230" s="31"/>
      <c r="LW1230" s="31"/>
      <c r="LX1230" s="31"/>
      <c r="LY1230" s="31"/>
      <c r="LZ1230" s="31"/>
      <c r="MA1230" s="31"/>
      <c r="MB1230" s="31"/>
      <c r="MC1230" s="31"/>
      <c r="MD1230" s="31"/>
      <c r="ME1230" s="31"/>
      <c r="MF1230" s="31"/>
      <c r="MG1230" s="31"/>
      <c r="MH1230" s="31"/>
      <c r="MI1230" s="31"/>
      <c r="MJ1230" s="31"/>
      <c r="MK1230" s="31"/>
      <c r="ML1230" s="31"/>
      <c r="MM1230" s="31"/>
      <c r="MN1230" s="31"/>
      <c r="MO1230" s="31"/>
      <c r="MP1230" s="31"/>
      <c r="MQ1230" s="31"/>
      <c r="MR1230" s="31"/>
      <c r="MS1230" s="31"/>
      <c r="MT1230" s="31"/>
      <c r="MU1230" s="31"/>
      <c r="MV1230" s="31"/>
      <c r="MW1230" s="31"/>
      <c r="MX1230" s="31"/>
      <c r="MY1230" s="31"/>
      <c r="MZ1230" s="31"/>
      <c r="NA1230" s="31"/>
      <c r="NB1230" s="31"/>
      <c r="NC1230" s="31"/>
      <c r="ND1230" s="31"/>
      <c r="NE1230" s="31"/>
      <c r="NF1230" s="31"/>
      <c r="NG1230" s="31"/>
      <c r="NH1230" s="31"/>
      <c r="NI1230" s="31"/>
      <c r="NJ1230" s="31"/>
      <c r="NK1230" s="31"/>
      <c r="NL1230" s="31"/>
      <c r="NM1230" s="31"/>
      <c r="NN1230" s="31"/>
      <c r="NO1230" s="31"/>
      <c r="NP1230" s="31"/>
      <c r="NQ1230" s="31"/>
      <c r="NR1230" s="31"/>
      <c r="NS1230" s="31"/>
      <c r="NT1230" s="31"/>
      <c r="NU1230" s="31"/>
      <c r="NV1230" s="31"/>
      <c r="NW1230" s="31"/>
      <c r="NX1230" s="31"/>
      <c r="NY1230" s="31"/>
      <c r="NZ1230" s="31"/>
      <c r="OA1230" s="31"/>
      <c r="OB1230" s="31"/>
      <c r="OC1230" s="31"/>
      <c r="OD1230" s="31"/>
      <c r="OE1230" s="31"/>
      <c r="OF1230" s="31"/>
      <c r="OG1230" s="31"/>
      <c r="OH1230" s="31"/>
      <c r="OI1230" s="31"/>
      <c r="OJ1230" s="31"/>
      <c r="OK1230" s="31"/>
      <c r="OL1230" s="31"/>
      <c r="OM1230" s="31"/>
      <c r="ON1230" s="31"/>
      <c r="OO1230" s="31"/>
      <c r="OP1230" s="31"/>
      <c r="OQ1230" s="31"/>
      <c r="OR1230" s="31"/>
      <c r="OS1230" s="31"/>
      <c r="OT1230" s="31"/>
      <c r="OU1230" s="31"/>
      <c r="OV1230" s="31"/>
      <c r="OW1230" s="31"/>
      <c r="OX1230" s="31"/>
      <c r="OY1230" s="31"/>
      <c r="OZ1230" s="31"/>
      <c r="PA1230" s="31"/>
      <c r="PB1230" s="31"/>
      <c r="PC1230" s="31"/>
      <c r="PD1230" s="31"/>
      <c r="PE1230" s="31"/>
      <c r="PF1230" s="31"/>
      <c r="PG1230" s="31"/>
      <c r="PH1230" s="31"/>
      <c r="PI1230" s="31"/>
      <c r="PJ1230" s="31"/>
      <c r="PK1230" s="31"/>
      <c r="PL1230" s="31"/>
      <c r="PM1230" s="31"/>
      <c r="PN1230" s="31"/>
      <c r="PO1230" s="31"/>
      <c r="PP1230" s="31"/>
      <c r="PQ1230" s="31"/>
      <c r="PR1230" s="31"/>
      <c r="PS1230" s="31"/>
      <c r="PT1230" s="31"/>
      <c r="PU1230" s="31"/>
      <c r="PV1230" s="31"/>
      <c r="PW1230" s="31"/>
      <c r="PX1230" s="31"/>
      <c r="PY1230" s="31"/>
      <c r="PZ1230" s="31"/>
      <c r="QA1230" s="31"/>
      <c r="QB1230" s="31"/>
      <c r="QC1230" s="31"/>
      <c r="QD1230" s="31"/>
      <c r="QE1230" s="31"/>
      <c r="QF1230" s="31"/>
      <c r="QG1230" s="31"/>
      <c r="QH1230" s="31"/>
      <c r="QI1230" s="31"/>
      <c r="QJ1230" s="31"/>
      <c r="QK1230" s="31"/>
      <c r="QL1230" s="31"/>
      <c r="QM1230" s="31"/>
      <c r="QN1230" s="31"/>
      <c r="QO1230" s="31"/>
      <c r="QP1230" s="31"/>
      <c r="QQ1230" s="31"/>
      <c r="QR1230" s="31"/>
      <c r="QS1230" s="31"/>
      <c r="QT1230" s="31"/>
      <c r="QU1230" s="31"/>
      <c r="QV1230" s="31"/>
      <c r="QW1230" s="31"/>
      <c r="QX1230" s="31"/>
      <c r="QY1230" s="31"/>
      <c r="QZ1230" s="31"/>
      <c r="RA1230" s="31"/>
      <c r="RB1230" s="31"/>
      <c r="RC1230" s="31"/>
      <c r="RD1230" s="31"/>
      <c r="RE1230" s="31"/>
      <c r="RF1230" s="31"/>
      <c r="RG1230" s="31"/>
      <c r="RH1230" s="31"/>
      <c r="RI1230" s="31"/>
      <c r="RJ1230" s="31"/>
      <c r="RK1230" s="31"/>
      <c r="RL1230" s="31"/>
      <c r="RM1230" s="31"/>
      <c r="RN1230" s="31"/>
      <c r="RO1230" s="31"/>
      <c r="RP1230" s="31"/>
      <c r="RQ1230" s="31"/>
      <c r="RR1230" s="31"/>
      <c r="RS1230" s="31"/>
      <c r="RT1230" s="31"/>
      <c r="RU1230" s="31"/>
      <c r="RV1230" s="31"/>
      <c r="RW1230" s="31"/>
      <c r="RX1230" s="31"/>
      <c r="RY1230" s="31"/>
      <c r="RZ1230" s="31"/>
      <c r="SA1230" s="31"/>
      <c r="SB1230" s="31"/>
      <c r="SC1230" s="31"/>
      <c r="SD1230" s="31"/>
      <c r="SE1230" s="31"/>
      <c r="SF1230" s="31"/>
      <c r="SG1230" s="31"/>
      <c r="SH1230" s="31"/>
      <c r="SI1230" s="31"/>
      <c r="SJ1230" s="31"/>
      <c r="SK1230" s="31"/>
      <c r="SL1230" s="31"/>
      <c r="SM1230" s="31"/>
      <c r="SN1230" s="31"/>
      <c r="SO1230" s="31"/>
      <c r="SP1230" s="31"/>
      <c r="SQ1230" s="31"/>
      <c r="SR1230" s="31"/>
      <c r="SS1230" s="31"/>
      <c r="ST1230" s="31"/>
      <c r="SU1230" s="31"/>
      <c r="SV1230" s="31"/>
      <c r="SW1230" s="31"/>
      <c r="SX1230" s="31"/>
      <c r="SY1230" s="31"/>
      <c r="SZ1230" s="31"/>
      <c r="TA1230" s="31"/>
      <c r="TB1230" s="31"/>
      <c r="TC1230" s="31"/>
      <c r="TD1230" s="31"/>
      <c r="TE1230" s="31"/>
      <c r="TF1230" s="31"/>
      <c r="TG1230" s="31"/>
      <c r="TH1230" s="31"/>
      <c r="TI1230" s="31"/>
      <c r="TJ1230" s="31"/>
      <c r="TK1230" s="31"/>
      <c r="TL1230" s="31"/>
      <c r="TM1230" s="31"/>
      <c r="TN1230" s="31"/>
      <c r="TO1230" s="31"/>
      <c r="TP1230" s="31"/>
      <c r="TQ1230" s="31"/>
      <c r="TR1230" s="31"/>
      <c r="TS1230" s="31"/>
      <c r="TT1230" s="31"/>
      <c r="TU1230" s="31"/>
      <c r="TV1230" s="31"/>
      <c r="TW1230" s="31"/>
      <c r="TX1230" s="31"/>
      <c r="TY1230" s="31"/>
      <c r="TZ1230" s="31"/>
      <c r="UA1230" s="31"/>
      <c r="UB1230" s="31"/>
      <c r="UC1230" s="31"/>
      <c r="UD1230" s="31"/>
      <c r="UE1230" s="31"/>
      <c r="UF1230" s="31"/>
      <c r="UG1230" s="33"/>
    </row>
    <row r="1231" spans="1:553" ht="35.5" customHeight="1">
      <c r="A1231" s="366" t="s">
        <v>30</v>
      </c>
      <c r="B1231" s="385" t="s">
        <v>31</v>
      </c>
      <c r="C1231" s="1535" t="s">
        <v>1295</v>
      </c>
      <c r="D1231" s="1389"/>
      <c r="E1231" s="1389"/>
      <c r="F1231" s="1390"/>
      <c r="G1231" s="386" t="s">
        <v>34</v>
      </c>
      <c r="H1231" s="370"/>
      <c r="I1231" s="422">
        <f>0.18*0.18*2*2</f>
        <v>0.12959999999999999</v>
      </c>
      <c r="J1231" s="368">
        <v>1748702</v>
      </c>
      <c r="K1231" s="371"/>
      <c r="L1231" s="487">
        <f t="shared" si="184"/>
        <v>226631.77919999999</v>
      </c>
      <c r="M1231" s="782"/>
      <c r="N1231" s="782"/>
      <c r="O1231" s="783"/>
      <c r="P1231" s="396"/>
      <c r="Q1231" s="473"/>
      <c r="R1231" s="1039"/>
      <c r="S1231" s="308"/>
      <c r="T1231" s="308"/>
      <c r="U1231" s="308"/>
      <c r="V1231" s="308"/>
      <c r="W1231" s="308"/>
      <c r="X1231" s="308"/>
      <c r="Y1231" s="308"/>
      <c r="Z1231" s="604"/>
      <c r="AA1231" s="308"/>
      <c r="AB1231" s="308"/>
      <c r="AC1231" s="449"/>
      <c r="AD1231" s="449"/>
      <c r="AE1231" s="449"/>
      <c r="AF1231" s="449"/>
      <c r="AG1231" s="452"/>
      <c r="AH1231" s="452"/>
      <c r="AI1231" s="452"/>
      <c r="AJ1231" s="452"/>
      <c r="AK1231" s="452"/>
      <c r="AL1231" s="104"/>
      <c r="AM1231" s="32"/>
      <c r="AN1231" s="32"/>
      <c r="AO1231" s="32"/>
      <c r="AP1231" s="32"/>
      <c r="AQ1231" s="31"/>
      <c r="AR1231" s="31"/>
      <c r="AS1231" s="31"/>
      <c r="AT1231" s="31"/>
      <c r="AU1231" s="31"/>
      <c r="AV1231" s="31"/>
      <c r="AW1231" s="31"/>
      <c r="AX1231" s="31"/>
      <c r="AY1231" s="31"/>
      <c r="AZ1231" s="31"/>
      <c r="BA1231" s="31"/>
      <c r="BB1231" s="31"/>
      <c r="BC1231" s="31"/>
      <c r="BD1231" s="31"/>
      <c r="BE1231" s="31"/>
      <c r="BF1231" s="31"/>
      <c r="BG1231" s="31"/>
      <c r="BH1231" s="31"/>
      <c r="BI1231" s="31"/>
      <c r="BJ1231" s="31"/>
      <c r="BK1231" s="31"/>
      <c r="BL1231" s="31"/>
      <c r="BM1231" s="31"/>
      <c r="BN1231" s="31"/>
      <c r="BO1231" s="31"/>
      <c r="BP1231" s="31"/>
      <c r="BQ1231" s="31"/>
      <c r="BR1231" s="31"/>
      <c r="BS1231" s="31"/>
      <c r="BT1231" s="31"/>
      <c r="BU1231" s="31"/>
      <c r="BV1231" s="31"/>
      <c r="BW1231" s="31"/>
      <c r="BX1231" s="31"/>
      <c r="BY1231" s="31"/>
      <c r="BZ1231" s="31"/>
      <c r="CA1231" s="31"/>
      <c r="CB1231" s="31"/>
      <c r="CC1231" s="31"/>
      <c r="CD1231" s="31"/>
      <c r="CE1231" s="31"/>
      <c r="CF1231" s="31"/>
      <c r="CG1231" s="31"/>
      <c r="CH1231" s="31"/>
      <c r="CI1231" s="31"/>
      <c r="CJ1231" s="31"/>
      <c r="CK1231" s="31"/>
      <c r="CL1231" s="31"/>
      <c r="CM1231" s="31"/>
      <c r="CN1231" s="31"/>
      <c r="CO1231" s="31"/>
      <c r="CP1231" s="31"/>
      <c r="CQ1231" s="31"/>
      <c r="CR1231" s="31"/>
      <c r="CS1231" s="31"/>
      <c r="CT1231" s="31"/>
      <c r="CU1231" s="31"/>
      <c r="CV1231" s="31"/>
      <c r="CW1231" s="31"/>
      <c r="CX1231" s="31"/>
      <c r="CY1231" s="31"/>
      <c r="CZ1231" s="31"/>
      <c r="DA1231" s="31"/>
      <c r="DB1231" s="31"/>
      <c r="DC1231" s="31"/>
      <c r="DD1231" s="31"/>
      <c r="DE1231" s="31"/>
      <c r="DF1231" s="31"/>
      <c r="DG1231" s="31"/>
      <c r="DH1231" s="31"/>
      <c r="DI1231" s="31"/>
      <c r="DJ1231" s="31"/>
      <c r="DK1231" s="31"/>
      <c r="DL1231" s="31"/>
      <c r="DM1231" s="31"/>
      <c r="DN1231" s="31"/>
      <c r="DO1231" s="31"/>
      <c r="DP1231" s="31"/>
      <c r="DQ1231" s="31"/>
      <c r="DR1231" s="31"/>
      <c r="DS1231" s="31"/>
      <c r="DT1231" s="31"/>
      <c r="DU1231" s="31"/>
      <c r="DV1231" s="31"/>
      <c r="DW1231" s="31"/>
      <c r="DX1231" s="31"/>
      <c r="DY1231" s="31"/>
      <c r="DZ1231" s="31"/>
      <c r="EA1231" s="31"/>
      <c r="EB1231" s="31"/>
      <c r="EC1231" s="31"/>
      <c r="ED1231" s="31"/>
      <c r="EE1231" s="31"/>
      <c r="EF1231" s="31"/>
      <c r="EG1231" s="31"/>
      <c r="EH1231" s="31"/>
      <c r="EI1231" s="31"/>
      <c r="EJ1231" s="31"/>
      <c r="EK1231" s="31"/>
      <c r="EL1231" s="31"/>
      <c r="EM1231" s="31"/>
      <c r="EN1231" s="31"/>
      <c r="EO1231" s="31"/>
      <c r="EP1231" s="31"/>
      <c r="EQ1231" s="31"/>
      <c r="ER1231" s="31"/>
      <c r="ES1231" s="31"/>
      <c r="ET1231" s="31"/>
      <c r="EU1231" s="31"/>
      <c r="EV1231" s="31"/>
      <c r="EW1231" s="31"/>
      <c r="EX1231" s="31"/>
      <c r="EY1231" s="31"/>
      <c r="EZ1231" s="31"/>
      <c r="FA1231" s="31"/>
      <c r="FB1231" s="31"/>
      <c r="FC1231" s="31"/>
      <c r="FD1231" s="31"/>
      <c r="FE1231" s="31"/>
      <c r="FF1231" s="31"/>
      <c r="FG1231" s="31"/>
      <c r="FH1231" s="31"/>
      <c r="FI1231" s="31"/>
      <c r="FJ1231" s="31"/>
      <c r="FK1231" s="31"/>
      <c r="FL1231" s="31"/>
      <c r="FM1231" s="31"/>
      <c r="FN1231" s="31"/>
      <c r="FO1231" s="31"/>
      <c r="FP1231" s="31"/>
      <c r="FQ1231" s="31"/>
      <c r="FR1231" s="31"/>
      <c r="FS1231" s="31"/>
      <c r="FT1231" s="31"/>
      <c r="FU1231" s="31"/>
      <c r="FV1231" s="31"/>
      <c r="FW1231" s="31"/>
      <c r="FX1231" s="31"/>
      <c r="FY1231" s="31"/>
      <c r="FZ1231" s="31"/>
      <c r="GA1231" s="31"/>
      <c r="GB1231" s="31"/>
      <c r="GC1231" s="31"/>
      <c r="GD1231" s="31"/>
      <c r="GE1231" s="31"/>
      <c r="GF1231" s="31"/>
      <c r="GG1231" s="31"/>
      <c r="GH1231" s="31"/>
      <c r="GI1231" s="31"/>
      <c r="GJ1231" s="31"/>
      <c r="GK1231" s="31"/>
      <c r="GL1231" s="31"/>
      <c r="GM1231" s="31"/>
      <c r="GN1231" s="31"/>
      <c r="GO1231" s="31"/>
      <c r="GP1231" s="31"/>
      <c r="GQ1231" s="31"/>
      <c r="GR1231" s="31"/>
      <c r="GS1231" s="31"/>
      <c r="GT1231" s="31"/>
      <c r="GU1231" s="31"/>
      <c r="GV1231" s="31"/>
      <c r="GW1231" s="31"/>
      <c r="GX1231" s="31"/>
      <c r="GY1231" s="31"/>
      <c r="GZ1231" s="31"/>
      <c r="HA1231" s="31"/>
      <c r="HB1231" s="31"/>
      <c r="HC1231" s="31"/>
      <c r="HD1231" s="31"/>
      <c r="HE1231" s="31"/>
      <c r="HF1231" s="31"/>
      <c r="HG1231" s="31"/>
      <c r="HH1231" s="31"/>
      <c r="HI1231" s="31"/>
      <c r="HJ1231" s="31"/>
      <c r="HK1231" s="31"/>
      <c r="HL1231" s="31"/>
      <c r="HM1231" s="31"/>
      <c r="HN1231" s="31"/>
      <c r="HO1231" s="31"/>
      <c r="HP1231" s="31"/>
      <c r="HQ1231" s="31"/>
      <c r="HR1231" s="31"/>
      <c r="HS1231" s="31"/>
      <c r="HT1231" s="31"/>
      <c r="HU1231" s="31"/>
      <c r="HV1231" s="31"/>
      <c r="HW1231" s="31"/>
      <c r="HX1231" s="31"/>
      <c r="HY1231" s="31"/>
      <c r="HZ1231" s="31"/>
      <c r="IA1231" s="31"/>
      <c r="IB1231" s="31"/>
      <c r="IC1231" s="31"/>
      <c r="ID1231" s="31"/>
      <c r="IE1231" s="31"/>
      <c r="IF1231" s="31"/>
      <c r="IG1231" s="31"/>
      <c r="IH1231" s="31"/>
      <c r="II1231" s="31"/>
      <c r="IJ1231" s="31"/>
      <c r="IK1231" s="31"/>
      <c r="IL1231" s="31"/>
      <c r="IM1231" s="31"/>
      <c r="IN1231" s="31"/>
      <c r="IO1231" s="31"/>
      <c r="IP1231" s="31"/>
      <c r="IQ1231" s="31"/>
      <c r="IR1231" s="31"/>
      <c r="IS1231" s="31"/>
      <c r="IT1231" s="31"/>
      <c r="IU1231" s="31"/>
      <c r="IV1231" s="31"/>
      <c r="IW1231" s="31"/>
      <c r="IX1231" s="31"/>
      <c r="IY1231" s="31"/>
      <c r="IZ1231" s="31"/>
      <c r="JA1231" s="31"/>
      <c r="JB1231" s="31"/>
      <c r="JC1231" s="31"/>
      <c r="JD1231" s="31"/>
      <c r="JE1231" s="31"/>
      <c r="JF1231" s="31"/>
      <c r="JG1231" s="31"/>
      <c r="JH1231" s="31"/>
      <c r="JI1231" s="31"/>
      <c r="JJ1231" s="31"/>
      <c r="JK1231" s="31"/>
      <c r="JL1231" s="31"/>
      <c r="JM1231" s="31"/>
      <c r="JN1231" s="31"/>
      <c r="JO1231" s="31"/>
      <c r="JP1231" s="31"/>
      <c r="JQ1231" s="31"/>
      <c r="JR1231" s="31"/>
      <c r="JS1231" s="31"/>
      <c r="JT1231" s="31"/>
      <c r="JU1231" s="31"/>
      <c r="JV1231" s="31"/>
      <c r="JW1231" s="31"/>
      <c r="JX1231" s="31"/>
      <c r="JY1231" s="31"/>
      <c r="JZ1231" s="31"/>
      <c r="KA1231" s="31"/>
      <c r="KB1231" s="31"/>
      <c r="KC1231" s="31"/>
      <c r="KD1231" s="31"/>
      <c r="KE1231" s="31"/>
      <c r="KF1231" s="31"/>
      <c r="KG1231" s="31"/>
      <c r="KH1231" s="31"/>
      <c r="KI1231" s="31"/>
      <c r="KJ1231" s="31"/>
      <c r="KK1231" s="31"/>
      <c r="KL1231" s="31"/>
      <c r="KM1231" s="31"/>
      <c r="KN1231" s="31"/>
      <c r="KO1231" s="31"/>
      <c r="KP1231" s="31"/>
      <c r="KQ1231" s="31"/>
      <c r="KR1231" s="31"/>
      <c r="KS1231" s="31"/>
      <c r="KT1231" s="31"/>
      <c r="KU1231" s="31"/>
      <c r="KV1231" s="31"/>
      <c r="KW1231" s="31"/>
      <c r="KX1231" s="31"/>
      <c r="KY1231" s="31"/>
      <c r="KZ1231" s="31"/>
      <c r="LA1231" s="31"/>
      <c r="LB1231" s="31"/>
      <c r="LC1231" s="31"/>
      <c r="LD1231" s="31"/>
      <c r="LE1231" s="31"/>
      <c r="LF1231" s="31"/>
      <c r="LG1231" s="31"/>
      <c r="LH1231" s="31"/>
      <c r="LI1231" s="31"/>
      <c r="LJ1231" s="31"/>
      <c r="LK1231" s="31"/>
      <c r="LL1231" s="31"/>
      <c r="LM1231" s="31"/>
      <c r="LN1231" s="31"/>
      <c r="LO1231" s="31"/>
      <c r="LP1231" s="31"/>
      <c r="LQ1231" s="31"/>
      <c r="LR1231" s="31"/>
      <c r="LS1231" s="31"/>
      <c r="LT1231" s="31"/>
      <c r="LU1231" s="31"/>
      <c r="LV1231" s="31"/>
      <c r="LW1231" s="31"/>
      <c r="LX1231" s="31"/>
      <c r="LY1231" s="31"/>
      <c r="LZ1231" s="31"/>
      <c r="MA1231" s="31"/>
      <c r="MB1231" s="31"/>
      <c r="MC1231" s="31"/>
      <c r="MD1231" s="31"/>
      <c r="ME1231" s="31"/>
      <c r="MF1231" s="31"/>
      <c r="MG1231" s="31"/>
      <c r="MH1231" s="31"/>
      <c r="MI1231" s="31"/>
      <c r="MJ1231" s="31"/>
      <c r="MK1231" s="31"/>
      <c r="ML1231" s="31"/>
      <c r="MM1231" s="31"/>
      <c r="MN1231" s="31"/>
      <c r="MO1231" s="31"/>
      <c r="MP1231" s="31"/>
      <c r="MQ1231" s="31"/>
      <c r="MR1231" s="31"/>
      <c r="MS1231" s="31"/>
      <c r="MT1231" s="31"/>
      <c r="MU1231" s="31"/>
      <c r="MV1231" s="31"/>
      <c r="MW1231" s="31"/>
      <c r="MX1231" s="31"/>
      <c r="MY1231" s="31"/>
      <c r="MZ1231" s="31"/>
      <c r="NA1231" s="31"/>
      <c r="NB1231" s="31"/>
      <c r="NC1231" s="31"/>
      <c r="ND1231" s="31"/>
      <c r="NE1231" s="31"/>
      <c r="NF1231" s="31"/>
      <c r="NG1231" s="31"/>
      <c r="NH1231" s="31"/>
      <c r="NI1231" s="31"/>
      <c r="NJ1231" s="31"/>
      <c r="NK1231" s="31"/>
      <c r="NL1231" s="31"/>
      <c r="NM1231" s="31"/>
      <c r="NN1231" s="31"/>
      <c r="NO1231" s="31"/>
      <c r="NP1231" s="31"/>
      <c r="NQ1231" s="31"/>
      <c r="NR1231" s="31"/>
      <c r="NS1231" s="31"/>
      <c r="NT1231" s="31"/>
      <c r="NU1231" s="31"/>
      <c r="NV1231" s="31"/>
      <c r="NW1231" s="31"/>
      <c r="NX1231" s="31"/>
      <c r="NY1231" s="31"/>
      <c r="NZ1231" s="31"/>
      <c r="OA1231" s="31"/>
      <c r="OB1231" s="31"/>
      <c r="OC1231" s="31"/>
      <c r="OD1231" s="31"/>
      <c r="OE1231" s="31"/>
      <c r="OF1231" s="31"/>
      <c r="OG1231" s="31"/>
      <c r="OH1231" s="31"/>
      <c r="OI1231" s="31"/>
      <c r="OJ1231" s="31"/>
      <c r="OK1231" s="31"/>
      <c r="OL1231" s="31"/>
      <c r="OM1231" s="31"/>
      <c r="ON1231" s="31"/>
      <c r="OO1231" s="31"/>
      <c r="OP1231" s="31"/>
      <c r="OQ1231" s="31"/>
      <c r="OR1231" s="31"/>
      <c r="OS1231" s="31"/>
      <c r="OT1231" s="31"/>
      <c r="OU1231" s="31"/>
      <c r="OV1231" s="31"/>
      <c r="OW1231" s="31"/>
      <c r="OX1231" s="31"/>
      <c r="OY1231" s="31"/>
      <c r="OZ1231" s="31"/>
      <c r="PA1231" s="31"/>
      <c r="PB1231" s="31"/>
      <c r="PC1231" s="31"/>
      <c r="PD1231" s="31"/>
      <c r="PE1231" s="31"/>
      <c r="PF1231" s="31"/>
      <c r="PG1231" s="31"/>
      <c r="PH1231" s="31"/>
      <c r="PI1231" s="31"/>
      <c r="PJ1231" s="31"/>
      <c r="PK1231" s="31"/>
      <c r="PL1231" s="31"/>
      <c r="PM1231" s="31"/>
      <c r="PN1231" s="31"/>
      <c r="PO1231" s="31"/>
      <c r="PP1231" s="31"/>
      <c r="PQ1231" s="31"/>
      <c r="PR1231" s="31"/>
      <c r="PS1231" s="31"/>
      <c r="PT1231" s="31"/>
      <c r="PU1231" s="31"/>
      <c r="PV1231" s="31"/>
      <c r="PW1231" s="31"/>
      <c r="PX1231" s="31"/>
      <c r="PY1231" s="31"/>
      <c r="PZ1231" s="31"/>
      <c r="QA1231" s="31"/>
      <c r="QB1231" s="31"/>
      <c r="QC1231" s="31"/>
      <c r="QD1231" s="31"/>
      <c r="QE1231" s="31"/>
      <c r="QF1231" s="31"/>
      <c r="QG1231" s="31"/>
      <c r="QH1231" s="31"/>
      <c r="QI1231" s="31"/>
      <c r="QJ1231" s="31"/>
      <c r="QK1231" s="31"/>
      <c r="QL1231" s="31"/>
      <c r="QM1231" s="31"/>
      <c r="QN1231" s="31"/>
      <c r="QO1231" s="31"/>
      <c r="QP1231" s="31"/>
      <c r="QQ1231" s="31"/>
      <c r="QR1231" s="31"/>
      <c r="QS1231" s="31"/>
      <c r="QT1231" s="31"/>
      <c r="QU1231" s="31"/>
      <c r="QV1231" s="31"/>
      <c r="QW1231" s="31"/>
      <c r="QX1231" s="31"/>
      <c r="QY1231" s="31"/>
      <c r="QZ1231" s="31"/>
      <c r="RA1231" s="31"/>
      <c r="RB1231" s="31"/>
      <c r="RC1231" s="31"/>
      <c r="RD1231" s="31"/>
      <c r="RE1231" s="31"/>
      <c r="RF1231" s="31"/>
      <c r="RG1231" s="31"/>
      <c r="RH1231" s="31"/>
      <c r="RI1231" s="31"/>
      <c r="RJ1231" s="31"/>
      <c r="RK1231" s="31"/>
      <c r="RL1231" s="31"/>
      <c r="RM1231" s="31"/>
      <c r="RN1231" s="31"/>
      <c r="RO1231" s="31"/>
      <c r="RP1231" s="31"/>
      <c r="RQ1231" s="31"/>
      <c r="RR1231" s="31"/>
      <c r="RS1231" s="31"/>
      <c r="RT1231" s="31"/>
      <c r="RU1231" s="31"/>
      <c r="RV1231" s="31"/>
      <c r="RW1231" s="31"/>
      <c r="RX1231" s="31"/>
      <c r="RY1231" s="31"/>
      <c r="RZ1231" s="31"/>
      <c r="SA1231" s="31"/>
      <c r="SB1231" s="31"/>
      <c r="SC1231" s="31"/>
      <c r="SD1231" s="31"/>
      <c r="SE1231" s="31"/>
      <c r="SF1231" s="31"/>
      <c r="SG1231" s="31"/>
      <c r="SH1231" s="31"/>
      <c r="SI1231" s="31"/>
      <c r="SJ1231" s="31"/>
      <c r="SK1231" s="31"/>
      <c r="SL1231" s="31"/>
      <c r="SM1231" s="31"/>
      <c r="SN1231" s="31"/>
      <c r="SO1231" s="31"/>
      <c r="SP1231" s="31"/>
      <c r="SQ1231" s="31"/>
      <c r="SR1231" s="31"/>
      <c r="SS1231" s="31"/>
      <c r="ST1231" s="31"/>
      <c r="SU1231" s="31"/>
      <c r="SV1231" s="31"/>
      <c r="SW1231" s="31"/>
      <c r="SX1231" s="31"/>
      <c r="SY1231" s="31"/>
      <c r="SZ1231" s="31"/>
      <c r="TA1231" s="31"/>
      <c r="TB1231" s="31"/>
      <c r="TC1231" s="31"/>
      <c r="TD1231" s="31"/>
      <c r="TE1231" s="31"/>
      <c r="TF1231" s="31"/>
      <c r="TG1231" s="31"/>
      <c r="TH1231" s="31"/>
      <c r="TI1231" s="31"/>
      <c r="TJ1231" s="31"/>
      <c r="TK1231" s="31"/>
      <c r="TL1231" s="31"/>
      <c r="TM1231" s="31"/>
      <c r="TN1231" s="31"/>
      <c r="TO1231" s="31"/>
      <c r="TP1231" s="31"/>
      <c r="TQ1231" s="31"/>
      <c r="TR1231" s="31"/>
      <c r="TS1231" s="31"/>
      <c r="TT1231" s="31"/>
      <c r="TU1231" s="31"/>
      <c r="TV1231" s="31"/>
      <c r="TW1231" s="31"/>
      <c r="TX1231" s="31"/>
      <c r="TY1231" s="31"/>
      <c r="TZ1231" s="31"/>
      <c r="UA1231" s="31"/>
      <c r="UB1231" s="31"/>
      <c r="UC1231" s="31"/>
      <c r="UD1231" s="31"/>
      <c r="UE1231" s="31"/>
      <c r="UF1231" s="31"/>
      <c r="UG1231" s="33"/>
    </row>
    <row r="1232" spans="1:553" ht="29.25" customHeight="1">
      <c r="A1232" s="356" t="s">
        <v>43</v>
      </c>
      <c r="B1232" s="356"/>
      <c r="C1232" s="1431" t="s">
        <v>44</v>
      </c>
      <c r="D1232" s="1389"/>
      <c r="E1232" s="1389"/>
      <c r="F1232" s="1390"/>
      <c r="G1232" s="366"/>
      <c r="H1232" s="370"/>
      <c r="I1232" s="370"/>
      <c r="J1232" s="368"/>
      <c r="K1232" s="371"/>
      <c r="L1232" s="645">
        <f>L1234+L1235</f>
        <v>90400</v>
      </c>
      <c r="M1232" s="356"/>
      <c r="N1232" s="356"/>
      <c r="O1232" s="356"/>
      <c r="P1232" s="356">
        <f>L1232</f>
        <v>90400</v>
      </c>
      <c r="Q1232" s="610"/>
      <c r="R1232" s="1039"/>
      <c r="S1232" s="308"/>
      <c r="T1232" s="308"/>
      <c r="U1232" s="308"/>
      <c r="V1232" s="308"/>
      <c r="W1232" s="308"/>
      <c r="X1232" s="308"/>
      <c r="Y1232" s="308"/>
      <c r="Z1232" s="604"/>
      <c r="AA1232" s="308"/>
      <c r="AB1232" s="308"/>
      <c r="AC1232" s="373"/>
      <c r="AD1232" s="373"/>
      <c r="AE1232" s="373"/>
      <c r="AF1232" s="373"/>
      <c r="AG1232" s="373"/>
      <c r="AH1232" s="373"/>
      <c r="AI1232" s="373"/>
      <c r="AJ1232" s="373"/>
      <c r="AK1232" s="389"/>
      <c r="AL1232" s="100"/>
      <c r="AM1232" s="27"/>
      <c r="AN1232" s="27"/>
      <c r="AO1232" s="27"/>
      <c r="AP1232" s="27"/>
      <c r="AQ1232" s="27"/>
      <c r="AR1232" s="27"/>
      <c r="AS1232" s="22"/>
      <c r="AT1232" s="22"/>
      <c r="AU1232" s="22"/>
      <c r="AV1232" s="22"/>
      <c r="AW1232" s="22"/>
      <c r="AX1232" s="22"/>
      <c r="AY1232" s="22"/>
      <c r="AZ1232" s="22"/>
      <c r="BA1232" s="22"/>
      <c r="BB1232" s="22"/>
      <c r="BC1232" s="22"/>
      <c r="BD1232" s="22"/>
      <c r="BE1232" s="22"/>
      <c r="BF1232" s="22"/>
      <c r="BG1232" s="22"/>
      <c r="BH1232" s="22"/>
      <c r="BI1232" s="22"/>
      <c r="BJ1232" s="22"/>
      <c r="BK1232" s="22"/>
      <c r="BL1232" s="22"/>
      <c r="BM1232" s="22"/>
      <c r="BN1232" s="22"/>
      <c r="BO1232" s="22"/>
      <c r="BP1232" s="22"/>
      <c r="BQ1232" s="22"/>
      <c r="BR1232" s="22"/>
      <c r="BS1232" s="22"/>
      <c r="BT1232" s="22"/>
      <c r="BU1232" s="22"/>
      <c r="BV1232" s="22"/>
      <c r="BW1232" s="22"/>
      <c r="BX1232" s="22"/>
      <c r="BY1232" s="22"/>
      <c r="BZ1232" s="22"/>
      <c r="CA1232" s="22"/>
      <c r="CB1232" s="22"/>
      <c r="CC1232" s="22"/>
      <c r="CD1232" s="22"/>
      <c r="CE1232" s="22"/>
      <c r="CF1232" s="22"/>
      <c r="CG1232" s="22"/>
      <c r="CH1232" s="22"/>
      <c r="CI1232" s="22"/>
      <c r="CJ1232" s="22"/>
      <c r="CK1232" s="22"/>
      <c r="CL1232" s="22"/>
      <c r="CM1232" s="22"/>
      <c r="CN1232" s="22"/>
      <c r="CO1232" s="22"/>
      <c r="CP1232" s="22"/>
      <c r="CQ1232" s="22"/>
      <c r="CR1232" s="22"/>
      <c r="CS1232" s="22"/>
      <c r="CT1232" s="22"/>
      <c r="CU1232" s="22"/>
      <c r="CV1232" s="22"/>
      <c r="CW1232" s="22"/>
      <c r="CX1232" s="22"/>
      <c r="CY1232" s="22"/>
      <c r="CZ1232" s="22"/>
      <c r="DA1232" s="22"/>
      <c r="DB1232" s="22"/>
      <c r="DC1232" s="22"/>
      <c r="DD1232" s="22"/>
      <c r="DE1232" s="22"/>
      <c r="DF1232" s="22"/>
      <c r="DG1232" s="22"/>
      <c r="DH1232" s="22"/>
      <c r="DI1232" s="22"/>
      <c r="DJ1232" s="22"/>
      <c r="DK1232" s="22"/>
      <c r="DL1232" s="22"/>
      <c r="DM1232" s="22"/>
      <c r="DN1232" s="22"/>
      <c r="DO1232" s="22"/>
      <c r="DP1232" s="22"/>
      <c r="DQ1232" s="22"/>
      <c r="DR1232" s="22"/>
      <c r="DS1232" s="22"/>
      <c r="DT1232" s="22"/>
      <c r="DU1232" s="22"/>
      <c r="DV1232" s="22"/>
      <c r="DW1232" s="22"/>
      <c r="DX1232" s="22"/>
      <c r="DY1232" s="22"/>
      <c r="DZ1232" s="22"/>
      <c r="EA1232" s="22"/>
      <c r="EB1232" s="22"/>
      <c r="EC1232" s="22"/>
      <c r="ED1232" s="22"/>
      <c r="EE1232" s="22"/>
      <c r="EF1232" s="22"/>
      <c r="EG1232" s="22"/>
      <c r="EH1232" s="22"/>
      <c r="EI1232" s="22"/>
      <c r="EJ1232" s="22"/>
      <c r="EK1232" s="22"/>
      <c r="EL1232" s="22"/>
      <c r="EM1232" s="22"/>
      <c r="EN1232" s="22"/>
      <c r="EO1232" s="22"/>
      <c r="EP1232" s="22"/>
      <c r="EQ1232" s="22"/>
      <c r="ER1232" s="22"/>
      <c r="ES1232" s="22"/>
      <c r="ET1232" s="22"/>
      <c r="EU1232" s="22"/>
      <c r="EV1232" s="22"/>
      <c r="EW1232" s="22"/>
      <c r="EX1232" s="22"/>
      <c r="EY1232" s="22"/>
      <c r="EZ1232" s="22"/>
      <c r="FA1232" s="22"/>
      <c r="FB1232" s="22"/>
      <c r="FC1232" s="22"/>
      <c r="FD1232" s="22"/>
      <c r="FE1232" s="22"/>
      <c r="FF1232" s="22"/>
      <c r="FG1232" s="22"/>
      <c r="FH1232" s="22"/>
      <c r="FI1232" s="22"/>
      <c r="FJ1232" s="22"/>
      <c r="FK1232" s="22"/>
      <c r="FL1232" s="22"/>
      <c r="FM1232" s="22"/>
      <c r="FN1232" s="22"/>
      <c r="FO1232" s="22"/>
      <c r="FP1232" s="22"/>
      <c r="FQ1232" s="22"/>
      <c r="FR1232" s="22"/>
      <c r="FS1232" s="22"/>
      <c r="FT1232" s="22"/>
      <c r="FU1232" s="22"/>
      <c r="FV1232" s="22"/>
      <c r="FW1232" s="22"/>
      <c r="FX1232" s="22"/>
      <c r="FY1232" s="22"/>
      <c r="FZ1232" s="22"/>
      <c r="GA1232" s="22"/>
      <c r="GB1232" s="22"/>
      <c r="GC1232" s="22"/>
      <c r="GD1232" s="22"/>
      <c r="GE1232" s="22"/>
      <c r="GF1232" s="22"/>
      <c r="GG1232" s="22"/>
      <c r="GH1232" s="22"/>
      <c r="GI1232" s="22"/>
      <c r="GJ1232" s="22"/>
      <c r="GK1232" s="22"/>
      <c r="GL1232" s="22"/>
      <c r="GM1232" s="22"/>
      <c r="GN1232" s="22"/>
      <c r="GO1232" s="22"/>
      <c r="GP1232" s="22"/>
      <c r="GQ1232" s="22"/>
      <c r="GR1232" s="22"/>
      <c r="GS1232" s="22"/>
      <c r="GT1232" s="22"/>
      <c r="GU1232" s="22"/>
      <c r="GV1232" s="22"/>
      <c r="GW1232" s="22"/>
      <c r="GX1232" s="22"/>
      <c r="GY1232" s="22"/>
      <c r="GZ1232" s="22"/>
      <c r="HA1232" s="22"/>
      <c r="HB1232" s="22"/>
      <c r="HC1232" s="22"/>
      <c r="HD1232" s="22"/>
      <c r="HE1232" s="22"/>
      <c r="HF1232" s="22"/>
      <c r="HG1232" s="22"/>
      <c r="HH1232" s="22"/>
      <c r="HI1232" s="22"/>
      <c r="HJ1232" s="22"/>
      <c r="HK1232" s="22"/>
      <c r="HL1232" s="22"/>
      <c r="HM1232" s="22"/>
      <c r="HN1232" s="22"/>
      <c r="HO1232" s="22"/>
      <c r="HP1232" s="22"/>
      <c r="HQ1232" s="22"/>
      <c r="HR1232" s="22"/>
      <c r="HS1232" s="22"/>
      <c r="HT1232" s="22"/>
      <c r="HU1232" s="22"/>
      <c r="HV1232" s="22"/>
      <c r="HW1232" s="22"/>
      <c r="HX1232" s="22"/>
      <c r="HY1232" s="22"/>
      <c r="HZ1232" s="22"/>
      <c r="IA1232" s="22"/>
      <c r="IB1232" s="22"/>
      <c r="IC1232" s="22"/>
      <c r="ID1232" s="22"/>
      <c r="IE1232" s="22"/>
      <c r="IF1232" s="22"/>
      <c r="IG1232" s="22"/>
      <c r="IH1232" s="22"/>
      <c r="II1232" s="22"/>
      <c r="IJ1232" s="22"/>
      <c r="IK1232" s="22"/>
      <c r="IL1232" s="22"/>
      <c r="IM1232" s="22"/>
      <c r="IN1232" s="22"/>
      <c r="IO1232" s="22"/>
      <c r="IP1232" s="22"/>
      <c r="IQ1232" s="22"/>
      <c r="IR1232" s="22"/>
      <c r="IS1232" s="22"/>
      <c r="IT1232" s="22"/>
      <c r="IU1232" s="22"/>
      <c r="IV1232" s="22"/>
      <c r="IW1232" s="22"/>
      <c r="IX1232" s="22"/>
      <c r="IY1232" s="22"/>
      <c r="IZ1232" s="22"/>
      <c r="JA1232" s="22"/>
      <c r="JB1232" s="22"/>
      <c r="JC1232" s="22"/>
      <c r="JD1232" s="22"/>
      <c r="JE1232" s="22"/>
      <c r="JF1232" s="22"/>
      <c r="JG1232" s="22"/>
      <c r="JH1232" s="22"/>
      <c r="JI1232" s="22"/>
      <c r="JJ1232" s="22"/>
      <c r="JK1232" s="22"/>
      <c r="JL1232" s="22"/>
      <c r="JM1232" s="22"/>
      <c r="JN1232" s="22"/>
      <c r="JO1232" s="22"/>
      <c r="JP1232" s="22"/>
      <c r="JQ1232" s="22"/>
      <c r="JR1232" s="22"/>
      <c r="JS1232" s="22"/>
      <c r="JT1232" s="22"/>
      <c r="JU1232" s="22"/>
      <c r="JV1232" s="22"/>
      <c r="JW1232" s="22"/>
      <c r="JX1232" s="22"/>
      <c r="JY1232" s="22"/>
      <c r="JZ1232" s="22"/>
      <c r="KA1232" s="22"/>
      <c r="KB1232" s="22"/>
      <c r="KC1232" s="22"/>
      <c r="KD1232" s="22"/>
      <c r="KE1232" s="22"/>
      <c r="KF1232" s="22"/>
      <c r="KG1232" s="22"/>
      <c r="KH1232" s="22"/>
      <c r="KI1232" s="22"/>
      <c r="KJ1232" s="22"/>
      <c r="KK1232" s="22"/>
      <c r="KL1232" s="22"/>
      <c r="KM1232" s="22"/>
      <c r="KN1232" s="22"/>
      <c r="KO1232" s="22"/>
      <c r="KP1232" s="22"/>
      <c r="KQ1232" s="22"/>
      <c r="KR1232" s="22"/>
      <c r="KS1232" s="22"/>
      <c r="KT1232" s="22"/>
      <c r="KU1232" s="22"/>
      <c r="KV1232" s="22"/>
      <c r="KW1232" s="22"/>
      <c r="KX1232" s="22"/>
      <c r="KY1232" s="22"/>
      <c r="KZ1232" s="22"/>
      <c r="LA1232" s="22"/>
      <c r="LB1232" s="22"/>
      <c r="LC1232" s="22"/>
      <c r="LD1232" s="22"/>
      <c r="LE1232" s="22"/>
      <c r="LF1232" s="22"/>
      <c r="LG1232" s="22"/>
      <c r="LH1232" s="22"/>
      <c r="LI1232" s="22"/>
      <c r="LJ1232" s="22"/>
      <c r="LK1232" s="22"/>
      <c r="LL1232" s="22"/>
      <c r="LM1232" s="22"/>
      <c r="LN1232" s="22"/>
      <c r="LO1232" s="22"/>
      <c r="LP1232" s="22"/>
      <c r="LQ1232" s="22"/>
      <c r="LR1232" s="22"/>
      <c r="LS1232" s="22"/>
      <c r="LT1232" s="22"/>
      <c r="LU1232" s="22"/>
      <c r="LV1232" s="22"/>
      <c r="LW1232" s="22"/>
      <c r="LX1232" s="22"/>
      <c r="LY1232" s="22"/>
      <c r="LZ1232" s="22"/>
      <c r="MA1232" s="22"/>
      <c r="MB1232" s="22"/>
      <c r="MC1232" s="22"/>
      <c r="MD1232" s="22"/>
      <c r="ME1232" s="22"/>
      <c r="MF1232" s="22"/>
      <c r="MG1232" s="22"/>
      <c r="MH1232" s="22"/>
      <c r="MI1232" s="22"/>
      <c r="MJ1232" s="22"/>
      <c r="MK1232" s="22"/>
      <c r="ML1232" s="22"/>
      <c r="MM1232" s="22"/>
      <c r="MN1232" s="22"/>
      <c r="MO1232" s="22"/>
      <c r="MP1232" s="22"/>
      <c r="MQ1232" s="22"/>
      <c r="MR1232" s="22"/>
      <c r="MS1232" s="22"/>
      <c r="MT1232" s="22"/>
      <c r="MU1232" s="22"/>
      <c r="MV1232" s="22"/>
      <c r="MW1232" s="22"/>
      <c r="MX1232" s="22"/>
      <c r="MY1232" s="22"/>
      <c r="MZ1232" s="22"/>
      <c r="NA1232" s="22"/>
      <c r="NB1232" s="22"/>
      <c r="NC1232" s="22"/>
      <c r="ND1232" s="22"/>
      <c r="NE1232" s="22"/>
      <c r="NF1232" s="22"/>
      <c r="NG1232" s="22"/>
      <c r="NH1232" s="22"/>
      <c r="NI1232" s="22"/>
      <c r="NJ1232" s="22"/>
      <c r="NK1232" s="22"/>
      <c r="NL1232" s="22"/>
      <c r="NM1232" s="22"/>
      <c r="NN1232" s="22"/>
      <c r="NO1232" s="22"/>
      <c r="NP1232" s="22"/>
      <c r="NQ1232" s="22"/>
      <c r="NR1232" s="22"/>
      <c r="NS1232" s="22"/>
      <c r="NT1232" s="22"/>
      <c r="NU1232" s="22"/>
      <c r="NV1232" s="22"/>
      <c r="NW1232" s="22"/>
      <c r="NX1232" s="22"/>
      <c r="NY1232" s="22"/>
      <c r="NZ1232" s="22"/>
      <c r="OA1232" s="22"/>
      <c r="OB1232" s="22"/>
      <c r="OC1232" s="22"/>
      <c r="OD1232" s="22"/>
      <c r="OE1232" s="22"/>
      <c r="OF1232" s="22"/>
      <c r="OG1232" s="22"/>
      <c r="OH1232" s="22"/>
      <c r="OI1232" s="22"/>
      <c r="OJ1232" s="22"/>
      <c r="OK1232" s="22"/>
      <c r="OL1232" s="22"/>
      <c r="OM1232" s="22"/>
      <c r="ON1232" s="22"/>
      <c r="OO1232" s="22"/>
      <c r="OP1232" s="22"/>
      <c r="OQ1232" s="22"/>
      <c r="OR1232" s="22"/>
      <c r="OS1232" s="22"/>
      <c r="OT1232" s="22"/>
      <c r="OU1232" s="22"/>
      <c r="OV1232" s="22"/>
      <c r="OW1232" s="22"/>
      <c r="OX1232" s="22"/>
      <c r="OY1232" s="22"/>
      <c r="OZ1232" s="22"/>
      <c r="PA1232" s="22"/>
      <c r="PB1232" s="22"/>
      <c r="PC1232" s="22"/>
      <c r="PD1232" s="22"/>
      <c r="PE1232" s="22"/>
      <c r="PF1232" s="22"/>
      <c r="PG1232" s="22"/>
      <c r="PH1232" s="22"/>
      <c r="PI1232" s="22"/>
      <c r="PJ1232" s="22"/>
      <c r="PK1232" s="22"/>
      <c r="PL1232" s="22"/>
      <c r="PM1232" s="22"/>
      <c r="PN1232" s="22"/>
      <c r="PO1232" s="22"/>
      <c r="PP1232" s="22"/>
      <c r="PQ1232" s="22"/>
      <c r="PR1232" s="22"/>
      <c r="PS1232" s="22"/>
      <c r="PT1232" s="22"/>
      <c r="PU1232" s="22"/>
      <c r="PV1232" s="22"/>
      <c r="PW1232" s="22"/>
      <c r="PX1232" s="22"/>
      <c r="PY1232" s="22"/>
      <c r="PZ1232" s="22"/>
      <c r="QA1232" s="22"/>
      <c r="QB1232" s="22"/>
      <c r="QC1232" s="22"/>
      <c r="QD1232" s="22"/>
      <c r="QE1232" s="22"/>
      <c r="QF1232" s="22"/>
      <c r="QG1232" s="22"/>
      <c r="QH1232" s="22"/>
      <c r="QI1232" s="22"/>
      <c r="QJ1232" s="22"/>
      <c r="QK1232" s="22"/>
      <c r="QL1232" s="22"/>
      <c r="QM1232" s="22"/>
      <c r="QN1232" s="22"/>
      <c r="QO1232" s="22"/>
      <c r="QP1232" s="22"/>
      <c r="QQ1232" s="22"/>
      <c r="QR1232" s="22"/>
      <c r="QS1232" s="22"/>
      <c r="QT1232" s="22"/>
      <c r="QU1232" s="22"/>
      <c r="QV1232" s="22"/>
      <c r="QW1232" s="22"/>
      <c r="QX1232" s="22"/>
      <c r="QY1232" s="22"/>
      <c r="QZ1232" s="22"/>
      <c r="RA1232" s="22"/>
      <c r="RB1232" s="22"/>
      <c r="RC1232" s="22"/>
      <c r="RD1232" s="22"/>
      <c r="RE1232" s="22"/>
      <c r="RF1232" s="22"/>
      <c r="RG1232" s="22"/>
      <c r="RH1232" s="22"/>
      <c r="RI1232" s="22"/>
      <c r="RJ1232" s="22"/>
      <c r="RK1232" s="22"/>
      <c r="RL1232" s="22"/>
      <c r="RM1232" s="22"/>
      <c r="RN1232" s="22"/>
      <c r="RO1232" s="22"/>
      <c r="RP1232" s="22"/>
      <c r="RQ1232" s="22"/>
      <c r="RR1232" s="22"/>
      <c r="RS1232" s="22"/>
      <c r="RT1232" s="22"/>
      <c r="RU1232" s="22"/>
      <c r="RV1232" s="22"/>
      <c r="RW1232" s="22"/>
      <c r="RX1232" s="22"/>
      <c r="RY1232" s="22"/>
      <c r="RZ1232" s="22"/>
      <c r="SA1232" s="22"/>
      <c r="SB1232" s="22"/>
      <c r="SC1232" s="22"/>
      <c r="SD1232" s="22"/>
      <c r="SE1232" s="22"/>
      <c r="SF1232" s="22"/>
      <c r="SG1232" s="22"/>
      <c r="SH1232" s="22"/>
      <c r="SI1232" s="22"/>
      <c r="SJ1232" s="22"/>
      <c r="SK1232" s="22"/>
      <c r="SL1232" s="22"/>
      <c r="SM1232" s="22"/>
      <c r="SN1232" s="22"/>
      <c r="SO1232" s="22"/>
      <c r="SP1232" s="22"/>
      <c r="SQ1232" s="22"/>
      <c r="SR1232" s="22"/>
      <c r="SS1232" s="22"/>
      <c r="ST1232" s="22"/>
      <c r="SU1232" s="22"/>
      <c r="SV1232" s="22"/>
      <c r="SW1232" s="22"/>
      <c r="SX1232" s="22"/>
      <c r="SY1232" s="22"/>
      <c r="SZ1232" s="22"/>
      <c r="TA1232" s="22"/>
      <c r="TB1232" s="22"/>
      <c r="TC1232" s="22"/>
      <c r="TD1232" s="22"/>
      <c r="TE1232" s="22"/>
      <c r="TF1232" s="22"/>
      <c r="TG1232" s="22"/>
      <c r="TH1232" s="22"/>
      <c r="TI1232" s="22"/>
      <c r="TJ1232" s="22"/>
      <c r="TK1232" s="22"/>
      <c r="TL1232" s="22"/>
      <c r="TM1232" s="22"/>
      <c r="TN1232" s="22"/>
      <c r="TO1232" s="22"/>
      <c r="TP1232" s="22"/>
      <c r="TQ1232" s="22"/>
      <c r="TR1232" s="22"/>
      <c r="TS1232" s="22"/>
      <c r="TT1232" s="22"/>
      <c r="TU1232" s="22"/>
      <c r="TV1232" s="22"/>
      <c r="TW1232" s="22"/>
      <c r="TX1232" s="22"/>
      <c r="TY1232" s="22"/>
      <c r="TZ1232" s="22"/>
      <c r="UA1232" s="22"/>
      <c r="UB1232" s="22"/>
      <c r="UC1232" s="22"/>
      <c r="UD1232" s="22"/>
      <c r="UE1232" s="22"/>
      <c r="UF1232" s="22"/>
      <c r="UG1232" s="23"/>
    </row>
    <row r="1233" spans="1:553" ht="29.25" customHeight="1">
      <c r="A1233" s="356"/>
      <c r="B1233" s="356"/>
      <c r="C1233" s="1391" t="s">
        <v>672</v>
      </c>
      <c r="D1233" s="1392"/>
      <c r="E1233" s="1392"/>
      <c r="F1233" s="1393"/>
      <c r="G1233" s="366"/>
      <c r="H1233" s="370"/>
      <c r="I1233" s="370"/>
      <c r="J1233" s="368"/>
      <c r="K1233" s="371"/>
      <c r="L1233" s="645"/>
      <c r="M1233" s="356"/>
      <c r="N1233" s="356"/>
      <c r="O1233" s="356"/>
      <c r="P1233" s="356"/>
      <c r="Q1233" s="610"/>
      <c r="R1233" s="1039"/>
      <c r="S1233" s="308"/>
      <c r="T1233" s="308"/>
      <c r="U1233" s="308"/>
      <c r="V1233" s="308"/>
      <c r="W1233" s="308"/>
      <c r="X1233" s="308"/>
      <c r="Y1233" s="308"/>
      <c r="Z1233" s="604"/>
      <c r="AA1233" s="308"/>
      <c r="AB1233" s="308"/>
      <c r="AC1233" s="373"/>
      <c r="AD1233" s="373"/>
      <c r="AE1233" s="373"/>
      <c r="AF1233" s="373"/>
      <c r="AG1233" s="373"/>
      <c r="AH1233" s="373"/>
      <c r="AI1233" s="373"/>
      <c r="AJ1233" s="373"/>
      <c r="AK1233" s="389"/>
      <c r="AL1233" s="100"/>
      <c r="AM1233" s="27"/>
      <c r="AN1233" s="27"/>
      <c r="AO1233" s="27"/>
      <c r="AP1233" s="27"/>
      <c r="AQ1233" s="27"/>
      <c r="AR1233" s="27"/>
      <c r="AS1233" s="22"/>
      <c r="AT1233" s="22"/>
      <c r="AU1233" s="22"/>
      <c r="AV1233" s="22"/>
      <c r="AW1233" s="22"/>
      <c r="AX1233" s="22"/>
      <c r="AY1233" s="22"/>
      <c r="AZ1233" s="22"/>
      <c r="BA1233" s="22"/>
      <c r="BB1233" s="22"/>
      <c r="BC1233" s="22"/>
      <c r="BD1233" s="22"/>
      <c r="BE1233" s="22"/>
      <c r="BF1233" s="22"/>
      <c r="BG1233" s="22"/>
      <c r="BH1233" s="22"/>
      <c r="BI1233" s="22"/>
      <c r="BJ1233" s="22"/>
      <c r="BK1233" s="22"/>
      <c r="BL1233" s="22"/>
      <c r="BM1233" s="22"/>
      <c r="BN1233" s="22"/>
      <c r="BO1233" s="22"/>
      <c r="BP1233" s="22"/>
      <c r="BQ1233" s="22"/>
      <c r="BR1233" s="22"/>
      <c r="BS1233" s="22"/>
      <c r="BT1233" s="22"/>
      <c r="BU1233" s="22"/>
      <c r="BV1233" s="22"/>
      <c r="BW1233" s="22"/>
      <c r="BX1233" s="22"/>
      <c r="BY1233" s="22"/>
      <c r="BZ1233" s="22"/>
      <c r="CA1233" s="22"/>
      <c r="CB1233" s="22"/>
      <c r="CC1233" s="22"/>
      <c r="CD1233" s="22"/>
      <c r="CE1233" s="22"/>
      <c r="CF1233" s="22"/>
      <c r="CG1233" s="22"/>
      <c r="CH1233" s="22"/>
      <c r="CI1233" s="22"/>
      <c r="CJ1233" s="22"/>
      <c r="CK1233" s="22"/>
      <c r="CL1233" s="22"/>
      <c r="CM1233" s="22"/>
      <c r="CN1233" s="22"/>
      <c r="CO1233" s="22"/>
      <c r="CP1233" s="22"/>
      <c r="CQ1233" s="22"/>
      <c r="CR1233" s="22"/>
      <c r="CS1233" s="22"/>
      <c r="CT1233" s="22"/>
      <c r="CU1233" s="22"/>
      <c r="CV1233" s="22"/>
      <c r="CW1233" s="22"/>
      <c r="CX1233" s="22"/>
      <c r="CY1233" s="22"/>
      <c r="CZ1233" s="22"/>
      <c r="DA1233" s="22"/>
      <c r="DB1233" s="22"/>
      <c r="DC1233" s="22"/>
      <c r="DD1233" s="22"/>
      <c r="DE1233" s="22"/>
      <c r="DF1233" s="22"/>
      <c r="DG1233" s="22"/>
      <c r="DH1233" s="22"/>
      <c r="DI1233" s="22"/>
      <c r="DJ1233" s="22"/>
      <c r="DK1233" s="22"/>
      <c r="DL1233" s="22"/>
      <c r="DM1233" s="22"/>
      <c r="DN1233" s="22"/>
      <c r="DO1233" s="22"/>
      <c r="DP1233" s="22"/>
      <c r="DQ1233" s="22"/>
      <c r="DR1233" s="22"/>
      <c r="DS1233" s="22"/>
      <c r="DT1233" s="22"/>
      <c r="DU1233" s="22"/>
      <c r="DV1233" s="22"/>
      <c r="DW1233" s="22"/>
      <c r="DX1233" s="22"/>
      <c r="DY1233" s="22"/>
      <c r="DZ1233" s="22"/>
      <c r="EA1233" s="22"/>
      <c r="EB1233" s="22"/>
      <c r="EC1233" s="22"/>
      <c r="ED1233" s="22"/>
      <c r="EE1233" s="22"/>
      <c r="EF1233" s="22"/>
      <c r="EG1233" s="22"/>
      <c r="EH1233" s="22"/>
      <c r="EI1233" s="22"/>
      <c r="EJ1233" s="22"/>
      <c r="EK1233" s="22"/>
      <c r="EL1233" s="22"/>
      <c r="EM1233" s="22"/>
      <c r="EN1233" s="22"/>
      <c r="EO1233" s="22"/>
      <c r="EP1233" s="22"/>
      <c r="EQ1233" s="22"/>
      <c r="ER1233" s="22"/>
      <c r="ES1233" s="22"/>
      <c r="ET1233" s="22"/>
      <c r="EU1233" s="22"/>
      <c r="EV1233" s="22"/>
      <c r="EW1233" s="22"/>
      <c r="EX1233" s="22"/>
      <c r="EY1233" s="22"/>
      <c r="EZ1233" s="22"/>
      <c r="FA1233" s="22"/>
      <c r="FB1233" s="22"/>
      <c r="FC1233" s="22"/>
      <c r="FD1233" s="22"/>
      <c r="FE1233" s="22"/>
      <c r="FF1233" s="22"/>
      <c r="FG1233" s="22"/>
      <c r="FH1233" s="22"/>
      <c r="FI1233" s="22"/>
      <c r="FJ1233" s="22"/>
      <c r="FK1233" s="22"/>
      <c r="FL1233" s="22"/>
      <c r="FM1233" s="22"/>
      <c r="FN1233" s="22"/>
      <c r="FO1233" s="22"/>
      <c r="FP1233" s="22"/>
      <c r="FQ1233" s="22"/>
      <c r="FR1233" s="22"/>
      <c r="FS1233" s="22"/>
      <c r="FT1233" s="22"/>
      <c r="FU1233" s="22"/>
      <c r="FV1233" s="22"/>
      <c r="FW1233" s="22"/>
      <c r="FX1233" s="22"/>
      <c r="FY1233" s="22"/>
      <c r="FZ1233" s="22"/>
      <c r="GA1233" s="22"/>
      <c r="GB1233" s="22"/>
      <c r="GC1233" s="22"/>
      <c r="GD1233" s="22"/>
      <c r="GE1233" s="22"/>
      <c r="GF1233" s="22"/>
      <c r="GG1233" s="22"/>
      <c r="GH1233" s="22"/>
      <c r="GI1233" s="22"/>
      <c r="GJ1233" s="22"/>
      <c r="GK1233" s="22"/>
      <c r="GL1233" s="22"/>
      <c r="GM1233" s="22"/>
      <c r="GN1233" s="22"/>
      <c r="GO1233" s="22"/>
      <c r="GP1233" s="22"/>
      <c r="GQ1233" s="22"/>
      <c r="GR1233" s="22"/>
      <c r="GS1233" s="22"/>
      <c r="GT1233" s="22"/>
      <c r="GU1233" s="22"/>
      <c r="GV1233" s="22"/>
      <c r="GW1233" s="22"/>
      <c r="GX1233" s="22"/>
      <c r="GY1233" s="22"/>
      <c r="GZ1233" s="22"/>
      <c r="HA1233" s="22"/>
      <c r="HB1233" s="22"/>
      <c r="HC1233" s="22"/>
      <c r="HD1233" s="22"/>
      <c r="HE1233" s="22"/>
      <c r="HF1233" s="22"/>
      <c r="HG1233" s="22"/>
      <c r="HH1233" s="22"/>
      <c r="HI1233" s="22"/>
      <c r="HJ1233" s="22"/>
      <c r="HK1233" s="22"/>
      <c r="HL1233" s="22"/>
      <c r="HM1233" s="22"/>
      <c r="HN1233" s="22"/>
      <c r="HO1233" s="22"/>
      <c r="HP1233" s="22"/>
      <c r="HQ1233" s="22"/>
      <c r="HR1233" s="22"/>
      <c r="HS1233" s="22"/>
      <c r="HT1233" s="22"/>
      <c r="HU1233" s="22"/>
      <c r="HV1233" s="22"/>
      <c r="HW1233" s="22"/>
      <c r="HX1233" s="22"/>
      <c r="HY1233" s="22"/>
      <c r="HZ1233" s="22"/>
      <c r="IA1233" s="22"/>
      <c r="IB1233" s="22"/>
      <c r="IC1233" s="22"/>
      <c r="ID1233" s="22"/>
      <c r="IE1233" s="22"/>
      <c r="IF1233" s="22"/>
      <c r="IG1233" s="22"/>
      <c r="IH1233" s="22"/>
      <c r="II1233" s="22"/>
      <c r="IJ1233" s="22"/>
      <c r="IK1233" s="22"/>
      <c r="IL1233" s="22"/>
      <c r="IM1233" s="22"/>
      <c r="IN1233" s="22"/>
      <c r="IO1233" s="22"/>
      <c r="IP1233" s="22"/>
      <c r="IQ1233" s="22"/>
      <c r="IR1233" s="22"/>
      <c r="IS1233" s="22"/>
      <c r="IT1233" s="22"/>
      <c r="IU1233" s="22"/>
      <c r="IV1233" s="22"/>
      <c r="IW1233" s="22"/>
      <c r="IX1233" s="22"/>
      <c r="IY1233" s="22"/>
      <c r="IZ1233" s="22"/>
      <c r="JA1233" s="22"/>
      <c r="JB1233" s="22"/>
      <c r="JC1233" s="22"/>
      <c r="JD1233" s="22"/>
      <c r="JE1233" s="22"/>
      <c r="JF1233" s="22"/>
      <c r="JG1233" s="22"/>
      <c r="JH1233" s="22"/>
      <c r="JI1233" s="22"/>
      <c r="JJ1233" s="22"/>
      <c r="JK1233" s="22"/>
      <c r="JL1233" s="22"/>
      <c r="JM1233" s="22"/>
      <c r="JN1233" s="22"/>
      <c r="JO1233" s="22"/>
      <c r="JP1233" s="22"/>
      <c r="JQ1233" s="22"/>
      <c r="JR1233" s="22"/>
      <c r="JS1233" s="22"/>
      <c r="JT1233" s="22"/>
      <c r="JU1233" s="22"/>
      <c r="JV1233" s="22"/>
      <c r="JW1233" s="22"/>
      <c r="JX1233" s="22"/>
      <c r="JY1233" s="22"/>
      <c r="JZ1233" s="22"/>
      <c r="KA1233" s="22"/>
      <c r="KB1233" s="22"/>
      <c r="KC1233" s="22"/>
      <c r="KD1233" s="22"/>
      <c r="KE1233" s="22"/>
      <c r="KF1233" s="22"/>
      <c r="KG1233" s="22"/>
      <c r="KH1233" s="22"/>
      <c r="KI1233" s="22"/>
      <c r="KJ1233" s="22"/>
      <c r="KK1233" s="22"/>
      <c r="KL1233" s="22"/>
      <c r="KM1233" s="22"/>
      <c r="KN1233" s="22"/>
      <c r="KO1233" s="22"/>
      <c r="KP1233" s="22"/>
      <c r="KQ1233" s="22"/>
      <c r="KR1233" s="22"/>
      <c r="KS1233" s="22"/>
      <c r="KT1233" s="22"/>
      <c r="KU1233" s="22"/>
      <c r="KV1233" s="22"/>
      <c r="KW1233" s="22"/>
      <c r="KX1233" s="22"/>
      <c r="KY1233" s="22"/>
      <c r="KZ1233" s="22"/>
      <c r="LA1233" s="22"/>
      <c r="LB1233" s="22"/>
      <c r="LC1233" s="22"/>
      <c r="LD1233" s="22"/>
      <c r="LE1233" s="22"/>
      <c r="LF1233" s="22"/>
      <c r="LG1233" s="22"/>
      <c r="LH1233" s="22"/>
      <c r="LI1233" s="22"/>
      <c r="LJ1233" s="22"/>
      <c r="LK1233" s="22"/>
      <c r="LL1233" s="22"/>
      <c r="LM1233" s="22"/>
      <c r="LN1233" s="22"/>
      <c r="LO1233" s="22"/>
      <c r="LP1233" s="22"/>
      <c r="LQ1233" s="22"/>
      <c r="LR1233" s="22"/>
      <c r="LS1233" s="22"/>
      <c r="LT1233" s="22"/>
      <c r="LU1233" s="22"/>
      <c r="LV1233" s="22"/>
      <c r="LW1233" s="22"/>
      <c r="LX1233" s="22"/>
      <c r="LY1233" s="22"/>
      <c r="LZ1233" s="22"/>
      <c r="MA1233" s="22"/>
      <c r="MB1233" s="22"/>
      <c r="MC1233" s="22"/>
      <c r="MD1233" s="22"/>
      <c r="ME1233" s="22"/>
      <c r="MF1233" s="22"/>
      <c r="MG1233" s="22"/>
      <c r="MH1233" s="22"/>
      <c r="MI1233" s="22"/>
      <c r="MJ1233" s="22"/>
      <c r="MK1233" s="22"/>
      <c r="ML1233" s="22"/>
      <c r="MM1233" s="22"/>
      <c r="MN1233" s="22"/>
      <c r="MO1233" s="22"/>
      <c r="MP1233" s="22"/>
      <c r="MQ1233" s="22"/>
      <c r="MR1233" s="22"/>
      <c r="MS1233" s="22"/>
      <c r="MT1233" s="22"/>
      <c r="MU1233" s="22"/>
      <c r="MV1233" s="22"/>
      <c r="MW1233" s="22"/>
      <c r="MX1233" s="22"/>
      <c r="MY1233" s="22"/>
      <c r="MZ1233" s="22"/>
      <c r="NA1233" s="22"/>
      <c r="NB1233" s="22"/>
      <c r="NC1233" s="22"/>
      <c r="ND1233" s="22"/>
      <c r="NE1233" s="22"/>
      <c r="NF1233" s="22"/>
      <c r="NG1233" s="22"/>
      <c r="NH1233" s="22"/>
      <c r="NI1233" s="22"/>
      <c r="NJ1233" s="22"/>
      <c r="NK1233" s="22"/>
      <c r="NL1233" s="22"/>
      <c r="NM1233" s="22"/>
      <c r="NN1233" s="22"/>
      <c r="NO1233" s="22"/>
      <c r="NP1233" s="22"/>
      <c r="NQ1233" s="22"/>
      <c r="NR1233" s="22"/>
      <c r="NS1233" s="22"/>
      <c r="NT1233" s="22"/>
      <c r="NU1233" s="22"/>
      <c r="NV1233" s="22"/>
      <c r="NW1233" s="22"/>
      <c r="NX1233" s="22"/>
      <c r="NY1233" s="22"/>
      <c r="NZ1233" s="22"/>
      <c r="OA1233" s="22"/>
      <c r="OB1233" s="22"/>
      <c r="OC1233" s="22"/>
      <c r="OD1233" s="22"/>
      <c r="OE1233" s="22"/>
      <c r="OF1233" s="22"/>
      <c r="OG1233" s="22"/>
      <c r="OH1233" s="22"/>
      <c r="OI1233" s="22"/>
      <c r="OJ1233" s="22"/>
      <c r="OK1233" s="22"/>
      <c r="OL1233" s="22"/>
      <c r="OM1233" s="22"/>
      <c r="ON1233" s="22"/>
      <c r="OO1233" s="22"/>
      <c r="OP1233" s="22"/>
      <c r="OQ1233" s="22"/>
      <c r="OR1233" s="22"/>
      <c r="OS1233" s="22"/>
      <c r="OT1233" s="22"/>
      <c r="OU1233" s="22"/>
      <c r="OV1233" s="22"/>
      <c r="OW1233" s="22"/>
      <c r="OX1233" s="22"/>
      <c r="OY1233" s="22"/>
      <c r="OZ1233" s="22"/>
      <c r="PA1233" s="22"/>
      <c r="PB1233" s="22"/>
      <c r="PC1233" s="22"/>
      <c r="PD1233" s="22"/>
      <c r="PE1233" s="22"/>
      <c r="PF1233" s="22"/>
      <c r="PG1233" s="22"/>
      <c r="PH1233" s="22"/>
      <c r="PI1233" s="22"/>
      <c r="PJ1233" s="22"/>
      <c r="PK1233" s="22"/>
      <c r="PL1233" s="22"/>
      <c r="PM1233" s="22"/>
      <c r="PN1233" s="22"/>
      <c r="PO1233" s="22"/>
      <c r="PP1233" s="22"/>
      <c r="PQ1233" s="22"/>
      <c r="PR1233" s="22"/>
      <c r="PS1233" s="22"/>
      <c r="PT1233" s="22"/>
      <c r="PU1233" s="22"/>
      <c r="PV1233" s="22"/>
      <c r="PW1233" s="22"/>
      <c r="PX1233" s="22"/>
      <c r="PY1233" s="22"/>
      <c r="PZ1233" s="22"/>
      <c r="QA1233" s="22"/>
      <c r="QB1233" s="22"/>
      <c r="QC1233" s="22"/>
      <c r="QD1233" s="22"/>
      <c r="QE1233" s="22"/>
      <c r="QF1233" s="22"/>
      <c r="QG1233" s="22"/>
      <c r="QH1233" s="22"/>
      <c r="QI1233" s="22"/>
      <c r="QJ1233" s="22"/>
      <c r="QK1233" s="22"/>
      <c r="QL1233" s="22"/>
      <c r="QM1233" s="22"/>
      <c r="QN1233" s="22"/>
      <c r="QO1233" s="22"/>
      <c r="QP1233" s="22"/>
      <c r="QQ1233" s="22"/>
      <c r="QR1233" s="22"/>
      <c r="QS1233" s="22"/>
      <c r="QT1233" s="22"/>
      <c r="QU1233" s="22"/>
      <c r="QV1233" s="22"/>
      <c r="QW1233" s="22"/>
      <c r="QX1233" s="22"/>
      <c r="QY1233" s="22"/>
      <c r="QZ1233" s="22"/>
      <c r="RA1233" s="22"/>
      <c r="RB1233" s="22"/>
      <c r="RC1233" s="22"/>
      <c r="RD1233" s="22"/>
      <c r="RE1233" s="22"/>
      <c r="RF1233" s="22"/>
      <c r="RG1233" s="22"/>
      <c r="RH1233" s="22"/>
      <c r="RI1233" s="22"/>
      <c r="RJ1233" s="22"/>
      <c r="RK1233" s="22"/>
      <c r="RL1233" s="22"/>
      <c r="RM1233" s="22"/>
      <c r="RN1233" s="22"/>
      <c r="RO1233" s="22"/>
      <c r="RP1233" s="22"/>
      <c r="RQ1233" s="22"/>
      <c r="RR1233" s="22"/>
      <c r="RS1233" s="22"/>
      <c r="RT1233" s="22"/>
      <c r="RU1233" s="22"/>
      <c r="RV1233" s="22"/>
      <c r="RW1233" s="22"/>
      <c r="RX1233" s="22"/>
      <c r="RY1233" s="22"/>
      <c r="RZ1233" s="22"/>
      <c r="SA1233" s="22"/>
      <c r="SB1233" s="22"/>
      <c r="SC1233" s="22"/>
      <c r="SD1233" s="22"/>
      <c r="SE1233" s="22"/>
      <c r="SF1233" s="22"/>
      <c r="SG1233" s="22"/>
      <c r="SH1233" s="22"/>
      <c r="SI1233" s="22"/>
      <c r="SJ1233" s="22"/>
      <c r="SK1233" s="22"/>
      <c r="SL1233" s="22"/>
      <c r="SM1233" s="22"/>
      <c r="SN1233" s="22"/>
      <c r="SO1233" s="22"/>
      <c r="SP1233" s="22"/>
      <c r="SQ1233" s="22"/>
      <c r="SR1233" s="22"/>
      <c r="SS1233" s="22"/>
      <c r="ST1233" s="22"/>
      <c r="SU1233" s="22"/>
      <c r="SV1233" s="22"/>
      <c r="SW1233" s="22"/>
      <c r="SX1233" s="22"/>
      <c r="SY1233" s="22"/>
      <c r="SZ1233" s="22"/>
      <c r="TA1233" s="22"/>
      <c r="TB1233" s="22"/>
      <c r="TC1233" s="22"/>
      <c r="TD1233" s="22"/>
      <c r="TE1233" s="22"/>
      <c r="TF1233" s="22"/>
      <c r="TG1233" s="22"/>
      <c r="TH1233" s="22"/>
      <c r="TI1233" s="22"/>
      <c r="TJ1233" s="22"/>
      <c r="TK1233" s="22"/>
      <c r="TL1233" s="22"/>
      <c r="TM1233" s="22"/>
      <c r="TN1233" s="22"/>
      <c r="TO1233" s="22"/>
      <c r="TP1233" s="22"/>
      <c r="TQ1233" s="22"/>
      <c r="TR1233" s="22"/>
      <c r="TS1233" s="22"/>
      <c r="TT1233" s="22"/>
      <c r="TU1233" s="22"/>
      <c r="TV1233" s="22"/>
      <c r="TW1233" s="22"/>
      <c r="TX1233" s="22"/>
      <c r="TY1233" s="22"/>
      <c r="TZ1233" s="22"/>
      <c r="UA1233" s="22"/>
      <c r="UB1233" s="22"/>
      <c r="UC1233" s="22"/>
      <c r="UD1233" s="22"/>
      <c r="UE1233" s="22"/>
      <c r="UF1233" s="22"/>
      <c r="UG1233" s="23"/>
    </row>
    <row r="1234" spans="1:553" ht="35.25" customHeight="1">
      <c r="A1234" s="445"/>
      <c r="B1234" s="619"/>
      <c r="C1234" s="1450" t="s">
        <v>683</v>
      </c>
      <c r="D1234" s="1389"/>
      <c r="E1234" s="1389"/>
      <c r="F1234" s="1390"/>
      <c r="G1234" s="418" t="s">
        <v>193</v>
      </c>
      <c r="H1234" s="646"/>
      <c r="I1234" s="422">
        <v>1</v>
      </c>
      <c r="J1234" s="368">
        <v>75000</v>
      </c>
      <c r="K1234" s="647"/>
      <c r="L1234" s="571">
        <f t="shared" ref="L1234:L1235" si="185">I1234*J1234</f>
        <v>75000</v>
      </c>
      <c r="M1234" s="356"/>
      <c r="N1234" s="356"/>
      <c r="O1234" s="356"/>
      <c r="P1234" s="356"/>
      <c r="Q1234" s="610"/>
      <c r="R1234" s="1039"/>
      <c r="S1234" s="308"/>
      <c r="T1234" s="308"/>
      <c r="U1234" s="308"/>
      <c r="V1234" s="308"/>
      <c r="W1234" s="308"/>
      <c r="X1234" s="308"/>
      <c r="Y1234" s="308"/>
      <c r="Z1234" s="604"/>
      <c r="AA1234" s="308"/>
      <c r="AB1234" s="308"/>
      <c r="AC1234" s="373"/>
      <c r="AD1234" s="373"/>
      <c r="AE1234" s="373"/>
      <c r="AF1234" s="373"/>
      <c r="AG1234" s="373"/>
      <c r="AH1234" s="373"/>
      <c r="AI1234" s="373"/>
      <c r="AJ1234" s="373"/>
      <c r="AK1234" s="389"/>
      <c r="AL1234" s="100"/>
      <c r="AM1234" s="27"/>
      <c r="AN1234" s="27"/>
      <c r="AO1234" s="27"/>
      <c r="AP1234" s="27"/>
      <c r="AQ1234" s="27"/>
      <c r="AR1234" s="27"/>
      <c r="AS1234" s="22"/>
      <c r="AT1234" s="22"/>
      <c r="AU1234" s="22"/>
      <c r="AV1234" s="22"/>
      <c r="AW1234" s="22"/>
      <c r="AX1234" s="22"/>
      <c r="AY1234" s="22"/>
      <c r="AZ1234" s="22"/>
      <c r="BA1234" s="22"/>
      <c r="BB1234" s="22"/>
      <c r="BC1234" s="22"/>
      <c r="BD1234" s="22"/>
      <c r="BE1234" s="22"/>
      <c r="BF1234" s="22"/>
      <c r="BG1234" s="22"/>
      <c r="BH1234" s="22"/>
      <c r="BI1234" s="22"/>
      <c r="BJ1234" s="22"/>
      <c r="BK1234" s="22"/>
      <c r="BL1234" s="22"/>
      <c r="BM1234" s="22"/>
      <c r="BN1234" s="22"/>
      <c r="BO1234" s="22"/>
      <c r="BP1234" s="22"/>
      <c r="BQ1234" s="22"/>
      <c r="BR1234" s="22"/>
      <c r="BS1234" s="22"/>
      <c r="BT1234" s="22"/>
      <c r="BU1234" s="22"/>
      <c r="BV1234" s="22"/>
      <c r="BW1234" s="22"/>
      <c r="BX1234" s="22"/>
      <c r="BY1234" s="22"/>
      <c r="BZ1234" s="22"/>
      <c r="CA1234" s="22"/>
      <c r="CB1234" s="22"/>
      <c r="CC1234" s="22"/>
      <c r="CD1234" s="22"/>
      <c r="CE1234" s="22"/>
      <c r="CF1234" s="22"/>
      <c r="CG1234" s="22"/>
      <c r="CH1234" s="22"/>
      <c r="CI1234" s="22"/>
      <c r="CJ1234" s="22"/>
      <c r="CK1234" s="22"/>
      <c r="CL1234" s="22"/>
      <c r="CM1234" s="22"/>
      <c r="CN1234" s="22"/>
      <c r="CO1234" s="22"/>
      <c r="CP1234" s="22"/>
      <c r="CQ1234" s="22"/>
      <c r="CR1234" s="22"/>
      <c r="CS1234" s="22"/>
      <c r="CT1234" s="22"/>
      <c r="CU1234" s="22"/>
      <c r="CV1234" s="22"/>
      <c r="CW1234" s="22"/>
      <c r="CX1234" s="22"/>
      <c r="CY1234" s="22"/>
      <c r="CZ1234" s="22"/>
      <c r="DA1234" s="22"/>
      <c r="DB1234" s="22"/>
      <c r="DC1234" s="22"/>
      <c r="DD1234" s="22"/>
      <c r="DE1234" s="22"/>
      <c r="DF1234" s="22"/>
      <c r="DG1234" s="22"/>
      <c r="DH1234" s="22"/>
      <c r="DI1234" s="22"/>
      <c r="DJ1234" s="22"/>
      <c r="DK1234" s="22"/>
      <c r="DL1234" s="22"/>
      <c r="DM1234" s="22"/>
      <c r="DN1234" s="22"/>
      <c r="DO1234" s="22"/>
      <c r="DP1234" s="22"/>
      <c r="DQ1234" s="22"/>
      <c r="DR1234" s="22"/>
      <c r="DS1234" s="22"/>
      <c r="DT1234" s="22"/>
      <c r="DU1234" s="22"/>
      <c r="DV1234" s="22"/>
      <c r="DW1234" s="22"/>
      <c r="DX1234" s="22"/>
      <c r="DY1234" s="22"/>
      <c r="DZ1234" s="22"/>
      <c r="EA1234" s="22"/>
      <c r="EB1234" s="22"/>
      <c r="EC1234" s="22"/>
      <c r="ED1234" s="22"/>
      <c r="EE1234" s="22"/>
      <c r="EF1234" s="22"/>
      <c r="EG1234" s="22"/>
      <c r="EH1234" s="22"/>
      <c r="EI1234" s="22"/>
      <c r="EJ1234" s="22"/>
      <c r="EK1234" s="22"/>
      <c r="EL1234" s="22"/>
      <c r="EM1234" s="22"/>
      <c r="EN1234" s="22"/>
      <c r="EO1234" s="22"/>
      <c r="EP1234" s="22"/>
      <c r="EQ1234" s="22"/>
      <c r="ER1234" s="22"/>
      <c r="ES1234" s="22"/>
      <c r="ET1234" s="22"/>
      <c r="EU1234" s="22"/>
      <c r="EV1234" s="22"/>
      <c r="EW1234" s="22"/>
      <c r="EX1234" s="22"/>
      <c r="EY1234" s="22"/>
      <c r="EZ1234" s="22"/>
      <c r="FA1234" s="22"/>
      <c r="FB1234" s="22"/>
      <c r="FC1234" s="22"/>
      <c r="FD1234" s="22"/>
      <c r="FE1234" s="22"/>
      <c r="FF1234" s="22"/>
      <c r="FG1234" s="22"/>
      <c r="FH1234" s="22"/>
      <c r="FI1234" s="22"/>
      <c r="FJ1234" s="22"/>
      <c r="FK1234" s="22"/>
      <c r="FL1234" s="22"/>
      <c r="FM1234" s="22"/>
      <c r="FN1234" s="22"/>
      <c r="FO1234" s="22"/>
      <c r="FP1234" s="22"/>
      <c r="FQ1234" s="22"/>
      <c r="FR1234" s="22"/>
      <c r="FS1234" s="22"/>
      <c r="FT1234" s="22"/>
      <c r="FU1234" s="22"/>
      <c r="FV1234" s="22"/>
      <c r="FW1234" s="22"/>
      <c r="FX1234" s="22"/>
      <c r="FY1234" s="22"/>
      <c r="FZ1234" s="22"/>
      <c r="GA1234" s="22"/>
      <c r="GB1234" s="22"/>
      <c r="GC1234" s="22"/>
      <c r="GD1234" s="22"/>
      <c r="GE1234" s="22"/>
      <c r="GF1234" s="22"/>
      <c r="GG1234" s="22"/>
      <c r="GH1234" s="22"/>
      <c r="GI1234" s="22"/>
      <c r="GJ1234" s="22"/>
      <c r="GK1234" s="22"/>
      <c r="GL1234" s="22"/>
      <c r="GM1234" s="22"/>
      <c r="GN1234" s="22"/>
      <c r="GO1234" s="22"/>
      <c r="GP1234" s="22"/>
      <c r="GQ1234" s="22"/>
      <c r="GR1234" s="22"/>
      <c r="GS1234" s="22"/>
      <c r="GT1234" s="22"/>
      <c r="GU1234" s="22"/>
      <c r="GV1234" s="22"/>
      <c r="GW1234" s="22"/>
      <c r="GX1234" s="22"/>
      <c r="GY1234" s="22"/>
      <c r="GZ1234" s="22"/>
      <c r="HA1234" s="22"/>
      <c r="HB1234" s="22"/>
      <c r="HC1234" s="22"/>
      <c r="HD1234" s="22"/>
      <c r="HE1234" s="22"/>
      <c r="HF1234" s="22"/>
      <c r="HG1234" s="22"/>
      <c r="HH1234" s="22"/>
      <c r="HI1234" s="22"/>
      <c r="HJ1234" s="22"/>
      <c r="HK1234" s="22"/>
      <c r="HL1234" s="22"/>
      <c r="HM1234" s="22"/>
      <c r="HN1234" s="22"/>
      <c r="HO1234" s="22"/>
      <c r="HP1234" s="22"/>
      <c r="HQ1234" s="22"/>
      <c r="HR1234" s="22"/>
      <c r="HS1234" s="22"/>
      <c r="HT1234" s="22"/>
      <c r="HU1234" s="22"/>
      <c r="HV1234" s="22"/>
      <c r="HW1234" s="22"/>
      <c r="HX1234" s="22"/>
      <c r="HY1234" s="22"/>
      <c r="HZ1234" s="22"/>
      <c r="IA1234" s="22"/>
      <c r="IB1234" s="22"/>
      <c r="IC1234" s="22"/>
      <c r="ID1234" s="22"/>
      <c r="IE1234" s="22"/>
      <c r="IF1234" s="22"/>
      <c r="IG1234" s="22"/>
      <c r="IH1234" s="22"/>
      <c r="II1234" s="22"/>
      <c r="IJ1234" s="22"/>
      <c r="IK1234" s="22"/>
      <c r="IL1234" s="22"/>
      <c r="IM1234" s="22"/>
      <c r="IN1234" s="22"/>
      <c r="IO1234" s="22"/>
      <c r="IP1234" s="22"/>
      <c r="IQ1234" s="22"/>
      <c r="IR1234" s="22"/>
      <c r="IS1234" s="22"/>
      <c r="IT1234" s="22"/>
      <c r="IU1234" s="22"/>
      <c r="IV1234" s="22"/>
      <c r="IW1234" s="22"/>
      <c r="IX1234" s="22"/>
      <c r="IY1234" s="22"/>
      <c r="IZ1234" s="22"/>
      <c r="JA1234" s="22"/>
      <c r="JB1234" s="22"/>
      <c r="JC1234" s="22"/>
      <c r="JD1234" s="22"/>
      <c r="JE1234" s="22"/>
      <c r="JF1234" s="22"/>
      <c r="JG1234" s="22"/>
      <c r="JH1234" s="22"/>
      <c r="JI1234" s="22"/>
      <c r="JJ1234" s="22"/>
      <c r="JK1234" s="22"/>
      <c r="JL1234" s="22"/>
      <c r="JM1234" s="22"/>
      <c r="JN1234" s="22"/>
      <c r="JO1234" s="22"/>
      <c r="JP1234" s="22"/>
      <c r="JQ1234" s="22"/>
      <c r="JR1234" s="22"/>
      <c r="JS1234" s="22"/>
      <c r="JT1234" s="22"/>
      <c r="JU1234" s="22"/>
      <c r="JV1234" s="22"/>
      <c r="JW1234" s="22"/>
      <c r="JX1234" s="22"/>
      <c r="JY1234" s="22"/>
      <c r="JZ1234" s="22"/>
      <c r="KA1234" s="22"/>
      <c r="KB1234" s="22"/>
      <c r="KC1234" s="22"/>
      <c r="KD1234" s="22"/>
      <c r="KE1234" s="22"/>
      <c r="KF1234" s="22"/>
      <c r="KG1234" s="22"/>
      <c r="KH1234" s="22"/>
      <c r="KI1234" s="22"/>
      <c r="KJ1234" s="22"/>
      <c r="KK1234" s="22"/>
      <c r="KL1234" s="22"/>
      <c r="KM1234" s="22"/>
      <c r="KN1234" s="22"/>
      <c r="KO1234" s="22"/>
      <c r="KP1234" s="22"/>
      <c r="KQ1234" s="22"/>
      <c r="KR1234" s="22"/>
      <c r="KS1234" s="22"/>
      <c r="KT1234" s="22"/>
      <c r="KU1234" s="22"/>
      <c r="KV1234" s="22"/>
      <c r="KW1234" s="22"/>
      <c r="KX1234" s="22"/>
      <c r="KY1234" s="22"/>
      <c r="KZ1234" s="22"/>
      <c r="LA1234" s="22"/>
      <c r="LB1234" s="22"/>
      <c r="LC1234" s="22"/>
      <c r="LD1234" s="22"/>
      <c r="LE1234" s="22"/>
      <c r="LF1234" s="22"/>
      <c r="LG1234" s="22"/>
      <c r="LH1234" s="22"/>
      <c r="LI1234" s="22"/>
      <c r="LJ1234" s="22"/>
      <c r="LK1234" s="22"/>
      <c r="LL1234" s="22"/>
      <c r="LM1234" s="22"/>
      <c r="LN1234" s="22"/>
      <c r="LO1234" s="22"/>
      <c r="LP1234" s="22"/>
      <c r="LQ1234" s="22"/>
      <c r="LR1234" s="22"/>
      <c r="LS1234" s="22"/>
      <c r="LT1234" s="22"/>
      <c r="LU1234" s="22"/>
      <c r="LV1234" s="22"/>
      <c r="LW1234" s="22"/>
      <c r="LX1234" s="22"/>
      <c r="LY1234" s="22"/>
      <c r="LZ1234" s="22"/>
      <c r="MA1234" s="22"/>
      <c r="MB1234" s="22"/>
      <c r="MC1234" s="22"/>
      <c r="MD1234" s="22"/>
      <c r="ME1234" s="22"/>
      <c r="MF1234" s="22"/>
      <c r="MG1234" s="22"/>
      <c r="MH1234" s="22"/>
      <c r="MI1234" s="22"/>
      <c r="MJ1234" s="22"/>
      <c r="MK1234" s="22"/>
      <c r="ML1234" s="22"/>
      <c r="MM1234" s="22"/>
      <c r="MN1234" s="22"/>
      <c r="MO1234" s="22"/>
      <c r="MP1234" s="22"/>
      <c r="MQ1234" s="22"/>
      <c r="MR1234" s="22"/>
      <c r="MS1234" s="22"/>
      <c r="MT1234" s="22"/>
      <c r="MU1234" s="22"/>
      <c r="MV1234" s="22"/>
      <c r="MW1234" s="22"/>
      <c r="MX1234" s="22"/>
      <c r="MY1234" s="22"/>
      <c r="MZ1234" s="22"/>
      <c r="NA1234" s="22"/>
      <c r="NB1234" s="22"/>
      <c r="NC1234" s="22"/>
      <c r="ND1234" s="22"/>
      <c r="NE1234" s="22"/>
      <c r="NF1234" s="22"/>
      <c r="NG1234" s="22"/>
      <c r="NH1234" s="22"/>
      <c r="NI1234" s="22"/>
      <c r="NJ1234" s="22"/>
      <c r="NK1234" s="22"/>
      <c r="NL1234" s="22"/>
      <c r="NM1234" s="22"/>
      <c r="NN1234" s="22"/>
      <c r="NO1234" s="22"/>
      <c r="NP1234" s="22"/>
      <c r="NQ1234" s="22"/>
      <c r="NR1234" s="22"/>
      <c r="NS1234" s="22"/>
      <c r="NT1234" s="22"/>
      <c r="NU1234" s="22"/>
      <c r="NV1234" s="22"/>
      <c r="NW1234" s="22"/>
      <c r="NX1234" s="22"/>
      <c r="NY1234" s="22"/>
      <c r="NZ1234" s="22"/>
      <c r="OA1234" s="22"/>
      <c r="OB1234" s="22"/>
      <c r="OC1234" s="22"/>
      <c r="OD1234" s="22"/>
      <c r="OE1234" s="22"/>
      <c r="OF1234" s="22"/>
      <c r="OG1234" s="22"/>
      <c r="OH1234" s="22"/>
      <c r="OI1234" s="22"/>
      <c r="OJ1234" s="22"/>
      <c r="OK1234" s="22"/>
      <c r="OL1234" s="22"/>
      <c r="OM1234" s="22"/>
      <c r="ON1234" s="22"/>
      <c r="OO1234" s="22"/>
      <c r="OP1234" s="22"/>
      <c r="OQ1234" s="22"/>
      <c r="OR1234" s="22"/>
      <c r="OS1234" s="22"/>
      <c r="OT1234" s="22"/>
      <c r="OU1234" s="22"/>
      <c r="OV1234" s="22"/>
      <c r="OW1234" s="22"/>
      <c r="OX1234" s="22"/>
      <c r="OY1234" s="22"/>
      <c r="OZ1234" s="22"/>
      <c r="PA1234" s="22"/>
      <c r="PB1234" s="22"/>
      <c r="PC1234" s="22"/>
      <c r="PD1234" s="22"/>
      <c r="PE1234" s="22"/>
      <c r="PF1234" s="22"/>
      <c r="PG1234" s="22"/>
      <c r="PH1234" s="22"/>
      <c r="PI1234" s="22"/>
      <c r="PJ1234" s="22"/>
      <c r="PK1234" s="22"/>
      <c r="PL1234" s="22"/>
      <c r="PM1234" s="22"/>
      <c r="PN1234" s="22"/>
      <c r="PO1234" s="22"/>
      <c r="PP1234" s="22"/>
      <c r="PQ1234" s="22"/>
      <c r="PR1234" s="22"/>
      <c r="PS1234" s="22"/>
      <c r="PT1234" s="22"/>
      <c r="PU1234" s="22"/>
      <c r="PV1234" s="22"/>
      <c r="PW1234" s="22"/>
      <c r="PX1234" s="22"/>
      <c r="PY1234" s="22"/>
      <c r="PZ1234" s="22"/>
      <c r="QA1234" s="22"/>
      <c r="QB1234" s="22"/>
      <c r="QC1234" s="22"/>
      <c r="QD1234" s="22"/>
      <c r="QE1234" s="22"/>
      <c r="QF1234" s="22"/>
      <c r="QG1234" s="22"/>
      <c r="QH1234" s="22"/>
      <c r="QI1234" s="22"/>
      <c r="QJ1234" s="22"/>
      <c r="QK1234" s="22"/>
      <c r="QL1234" s="22"/>
      <c r="QM1234" s="22"/>
      <c r="QN1234" s="22"/>
      <c r="QO1234" s="22"/>
      <c r="QP1234" s="22"/>
      <c r="QQ1234" s="22"/>
      <c r="QR1234" s="22"/>
      <c r="QS1234" s="22"/>
      <c r="QT1234" s="22"/>
      <c r="QU1234" s="22"/>
      <c r="QV1234" s="22"/>
      <c r="QW1234" s="22"/>
      <c r="QX1234" s="22"/>
      <c r="QY1234" s="22"/>
      <c r="QZ1234" s="22"/>
      <c r="RA1234" s="22"/>
      <c r="RB1234" s="22"/>
      <c r="RC1234" s="22"/>
      <c r="RD1234" s="22"/>
      <c r="RE1234" s="22"/>
      <c r="RF1234" s="22"/>
      <c r="RG1234" s="22"/>
      <c r="RH1234" s="22"/>
      <c r="RI1234" s="22"/>
      <c r="RJ1234" s="22"/>
      <c r="RK1234" s="22"/>
      <c r="RL1234" s="22"/>
      <c r="RM1234" s="22"/>
      <c r="RN1234" s="22"/>
      <c r="RO1234" s="22"/>
      <c r="RP1234" s="22"/>
      <c r="RQ1234" s="22"/>
      <c r="RR1234" s="22"/>
      <c r="RS1234" s="22"/>
      <c r="RT1234" s="22"/>
      <c r="RU1234" s="22"/>
      <c r="RV1234" s="22"/>
      <c r="RW1234" s="22"/>
      <c r="RX1234" s="22"/>
      <c r="RY1234" s="22"/>
      <c r="RZ1234" s="22"/>
      <c r="SA1234" s="22"/>
      <c r="SB1234" s="22"/>
      <c r="SC1234" s="22"/>
      <c r="SD1234" s="22"/>
      <c r="SE1234" s="22"/>
      <c r="SF1234" s="22"/>
      <c r="SG1234" s="22"/>
      <c r="SH1234" s="22"/>
      <c r="SI1234" s="22"/>
      <c r="SJ1234" s="22"/>
      <c r="SK1234" s="22"/>
      <c r="SL1234" s="22"/>
      <c r="SM1234" s="22"/>
      <c r="SN1234" s="22"/>
      <c r="SO1234" s="22"/>
      <c r="SP1234" s="22"/>
      <c r="SQ1234" s="22"/>
      <c r="SR1234" s="22"/>
      <c r="SS1234" s="22"/>
      <c r="ST1234" s="22"/>
      <c r="SU1234" s="22"/>
      <c r="SV1234" s="22"/>
      <c r="SW1234" s="22"/>
      <c r="SX1234" s="22"/>
      <c r="SY1234" s="22"/>
      <c r="SZ1234" s="22"/>
      <c r="TA1234" s="22"/>
      <c r="TB1234" s="22"/>
      <c r="TC1234" s="22"/>
      <c r="TD1234" s="22"/>
      <c r="TE1234" s="22"/>
      <c r="TF1234" s="22"/>
      <c r="TG1234" s="22"/>
      <c r="TH1234" s="22"/>
      <c r="TI1234" s="22"/>
      <c r="TJ1234" s="22"/>
      <c r="TK1234" s="22"/>
      <c r="TL1234" s="22"/>
      <c r="TM1234" s="22"/>
      <c r="TN1234" s="22"/>
      <c r="TO1234" s="22"/>
      <c r="TP1234" s="22"/>
      <c r="TQ1234" s="22"/>
      <c r="TR1234" s="22"/>
      <c r="TS1234" s="22"/>
      <c r="TT1234" s="22"/>
      <c r="TU1234" s="22"/>
      <c r="TV1234" s="22"/>
      <c r="TW1234" s="22"/>
      <c r="TX1234" s="22"/>
      <c r="TY1234" s="22"/>
      <c r="TZ1234" s="22"/>
      <c r="UA1234" s="22"/>
      <c r="UB1234" s="22"/>
      <c r="UC1234" s="22"/>
      <c r="UD1234" s="22"/>
      <c r="UE1234" s="22"/>
      <c r="UF1234" s="22"/>
      <c r="UG1234" s="23"/>
    </row>
    <row r="1235" spans="1:553" ht="32.5" customHeight="1">
      <c r="A1235" s="418"/>
      <c r="B1235" s="619"/>
      <c r="C1235" s="1450" t="s">
        <v>1024</v>
      </c>
      <c r="D1235" s="1389"/>
      <c r="E1235" s="1389"/>
      <c r="F1235" s="1390"/>
      <c r="G1235" s="418" t="s">
        <v>193</v>
      </c>
      <c r="H1235" s="646"/>
      <c r="I1235" s="422">
        <v>1</v>
      </c>
      <c r="J1235" s="368">
        <v>15400</v>
      </c>
      <c r="K1235" s="647"/>
      <c r="L1235" s="571">
        <f t="shared" si="185"/>
        <v>15400</v>
      </c>
      <c r="M1235" s="356"/>
      <c r="N1235" s="356"/>
      <c r="O1235" s="356"/>
      <c r="P1235" s="356"/>
      <c r="Q1235" s="610"/>
      <c r="R1235" s="1039"/>
      <c r="S1235" s="308"/>
      <c r="T1235" s="308"/>
      <c r="U1235" s="308"/>
      <c r="V1235" s="308"/>
      <c r="W1235" s="308"/>
      <c r="X1235" s="308"/>
      <c r="Y1235" s="308"/>
      <c r="Z1235" s="604"/>
      <c r="AA1235" s="308"/>
      <c r="AB1235" s="308"/>
      <c r="AC1235" s="373"/>
      <c r="AD1235" s="373"/>
      <c r="AE1235" s="373"/>
      <c r="AF1235" s="373"/>
      <c r="AG1235" s="373"/>
      <c r="AH1235" s="373"/>
      <c r="AI1235" s="373"/>
      <c r="AJ1235" s="373"/>
      <c r="AK1235" s="389"/>
      <c r="AL1235" s="100"/>
      <c r="AM1235" s="27"/>
      <c r="AN1235" s="27"/>
      <c r="AO1235" s="27"/>
      <c r="AP1235" s="27"/>
      <c r="AQ1235" s="27"/>
      <c r="AR1235" s="27"/>
      <c r="AS1235" s="22"/>
      <c r="AT1235" s="22"/>
      <c r="AU1235" s="22"/>
      <c r="AV1235" s="22"/>
      <c r="AW1235" s="22"/>
      <c r="AX1235" s="22"/>
      <c r="AY1235" s="22"/>
      <c r="AZ1235" s="22"/>
      <c r="BA1235" s="22"/>
      <c r="BB1235" s="22"/>
      <c r="BC1235" s="22"/>
      <c r="BD1235" s="22"/>
      <c r="BE1235" s="22"/>
      <c r="BF1235" s="22"/>
      <c r="BG1235" s="22"/>
      <c r="BH1235" s="22"/>
      <c r="BI1235" s="22"/>
      <c r="BJ1235" s="22"/>
      <c r="BK1235" s="22"/>
      <c r="BL1235" s="22"/>
      <c r="BM1235" s="22"/>
      <c r="BN1235" s="22"/>
      <c r="BO1235" s="22"/>
      <c r="BP1235" s="22"/>
      <c r="BQ1235" s="22"/>
      <c r="BR1235" s="22"/>
      <c r="BS1235" s="22"/>
      <c r="BT1235" s="22"/>
      <c r="BU1235" s="22"/>
      <c r="BV1235" s="22"/>
      <c r="BW1235" s="22"/>
      <c r="BX1235" s="22"/>
      <c r="BY1235" s="22"/>
      <c r="BZ1235" s="22"/>
      <c r="CA1235" s="22"/>
      <c r="CB1235" s="22"/>
      <c r="CC1235" s="22"/>
      <c r="CD1235" s="22"/>
      <c r="CE1235" s="22"/>
      <c r="CF1235" s="22"/>
      <c r="CG1235" s="22"/>
      <c r="CH1235" s="22"/>
      <c r="CI1235" s="22"/>
      <c r="CJ1235" s="22"/>
      <c r="CK1235" s="22"/>
      <c r="CL1235" s="22"/>
      <c r="CM1235" s="22"/>
      <c r="CN1235" s="22"/>
      <c r="CO1235" s="22"/>
      <c r="CP1235" s="22"/>
      <c r="CQ1235" s="22"/>
      <c r="CR1235" s="22"/>
      <c r="CS1235" s="22"/>
      <c r="CT1235" s="22"/>
      <c r="CU1235" s="22"/>
      <c r="CV1235" s="22"/>
      <c r="CW1235" s="22"/>
      <c r="CX1235" s="22"/>
      <c r="CY1235" s="22"/>
      <c r="CZ1235" s="22"/>
      <c r="DA1235" s="22"/>
      <c r="DB1235" s="22"/>
      <c r="DC1235" s="22"/>
      <c r="DD1235" s="22"/>
      <c r="DE1235" s="22"/>
      <c r="DF1235" s="22"/>
      <c r="DG1235" s="22"/>
      <c r="DH1235" s="22"/>
      <c r="DI1235" s="22"/>
      <c r="DJ1235" s="22"/>
      <c r="DK1235" s="22"/>
      <c r="DL1235" s="22"/>
      <c r="DM1235" s="22"/>
      <c r="DN1235" s="22"/>
      <c r="DO1235" s="22"/>
      <c r="DP1235" s="22"/>
      <c r="DQ1235" s="22"/>
      <c r="DR1235" s="22"/>
      <c r="DS1235" s="22"/>
      <c r="DT1235" s="22"/>
      <c r="DU1235" s="22"/>
      <c r="DV1235" s="22"/>
      <c r="DW1235" s="22"/>
      <c r="DX1235" s="22"/>
      <c r="DY1235" s="22"/>
      <c r="DZ1235" s="22"/>
      <c r="EA1235" s="22"/>
      <c r="EB1235" s="22"/>
      <c r="EC1235" s="22"/>
      <c r="ED1235" s="22"/>
      <c r="EE1235" s="22"/>
      <c r="EF1235" s="22"/>
      <c r="EG1235" s="22"/>
      <c r="EH1235" s="22"/>
      <c r="EI1235" s="22"/>
      <c r="EJ1235" s="22"/>
      <c r="EK1235" s="22"/>
      <c r="EL1235" s="22"/>
      <c r="EM1235" s="22"/>
      <c r="EN1235" s="22"/>
      <c r="EO1235" s="22"/>
      <c r="EP1235" s="22"/>
      <c r="EQ1235" s="22"/>
      <c r="ER1235" s="22"/>
      <c r="ES1235" s="22"/>
      <c r="ET1235" s="22"/>
      <c r="EU1235" s="22"/>
      <c r="EV1235" s="22"/>
      <c r="EW1235" s="22"/>
      <c r="EX1235" s="22"/>
      <c r="EY1235" s="22"/>
      <c r="EZ1235" s="22"/>
      <c r="FA1235" s="22"/>
      <c r="FB1235" s="22"/>
      <c r="FC1235" s="22"/>
      <c r="FD1235" s="22"/>
      <c r="FE1235" s="22"/>
      <c r="FF1235" s="22"/>
      <c r="FG1235" s="22"/>
      <c r="FH1235" s="22"/>
      <c r="FI1235" s="22"/>
      <c r="FJ1235" s="22"/>
      <c r="FK1235" s="22"/>
      <c r="FL1235" s="22"/>
      <c r="FM1235" s="22"/>
      <c r="FN1235" s="22"/>
      <c r="FO1235" s="22"/>
      <c r="FP1235" s="22"/>
      <c r="FQ1235" s="22"/>
      <c r="FR1235" s="22"/>
      <c r="FS1235" s="22"/>
      <c r="FT1235" s="22"/>
      <c r="FU1235" s="22"/>
      <c r="FV1235" s="22"/>
      <c r="FW1235" s="22"/>
      <c r="FX1235" s="22"/>
      <c r="FY1235" s="22"/>
      <c r="FZ1235" s="22"/>
      <c r="GA1235" s="22"/>
      <c r="GB1235" s="22"/>
      <c r="GC1235" s="22"/>
      <c r="GD1235" s="22"/>
      <c r="GE1235" s="22"/>
      <c r="GF1235" s="22"/>
      <c r="GG1235" s="22"/>
      <c r="GH1235" s="22"/>
      <c r="GI1235" s="22"/>
      <c r="GJ1235" s="22"/>
      <c r="GK1235" s="22"/>
      <c r="GL1235" s="22"/>
      <c r="GM1235" s="22"/>
      <c r="GN1235" s="22"/>
      <c r="GO1235" s="22"/>
      <c r="GP1235" s="22"/>
      <c r="GQ1235" s="22"/>
      <c r="GR1235" s="22"/>
      <c r="GS1235" s="22"/>
      <c r="GT1235" s="22"/>
      <c r="GU1235" s="22"/>
      <c r="GV1235" s="22"/>
      <c r="GW1235" s="22"/>
      <c r="GX1235" s="22"/>
      <c r="GY1235" s="22"/>
      <c r="GZ1235" s="22"/>
      <c r="HA1235" s="22"/>
      <c r="HB1235" s="22"/>
      <c r="HC1235" s="22"/>
      <c r="HD1235" s="22"/>
      <c r="HE1235" s="22"/>
      <c r="HF1235" s="22"/>
      <c r="HG1235" s="22"/>
      <c r="HH1235" s="22"/>
      <c r="HI1235" s="22"/>
      <c r="HJ1235" s="22"/>
      <c r="HK1235" s="22"/>
      <c r="HL1235" s="22"/>
      <c r="HM1235" s="22"/>
      <c r="HN1235" s="22"/>
      <c r="HO1235" s="22"/>
      <c r="HP1235" s="22"/>
      <c r="HQ1235" s="22"/>
      <c r="HR1235" s="22"/>
      <c r="HS1235" s="22"/>
      <c r="HT1235" s="22"/>
      <c r="HU1235" s="22"/>
      <c r="HV1235" s="22"/>
      <c r="HW1235" s="22"/>
      <c r="HX1235" s="22"/>
      <c r="HY1235" s="22"/>
      <c r="HZ1235" s="22"/>
      <c r="IA1235" s="22"/>
      <c r="IB1235" s="22"/>
      <c r="IC1235" s="22"/>
      <c r="ID1235" s="22"/>
      <c r="IE1235" s="22"/>
      <c r="IF1235" s="22"/>
      <c r="IG1235" s="22"/>
      <c r="IH1235" s="22"/>
      <c r="II1235" s="22"/>
      <c r="IJ1235" s="22"/>
      <c r="IK1235" s="22"/>
      <c r="IL1235" s="22"/>
      <c r="IM1235" s="22"/>
      <c r="IN1235" s="22"/>
      <c r="IO1235" s="22"/>
      <c r="IP1235" s="22"/>
      <c r="IQ1235" s="22"/>
      <c r="IR1235" s="22"/>
      <c r="IS1235" s="22"/>
      <c r="IT1235" s="22"/>
      <c r="IU1235" s="22"/>
      <c r="IV1235" s="22"/>
      <c r="IW1235" s="22"/>
      <c r="IX1235" s="22"/>
      <c r="IY1235" s="22"/>
      <c r="IZ1235" s="22"/>
      <c r="JA1235" s="22"/>
      <c r="JB1235" s="22"/>
      <c r="JC1235" s="22"/>
      <c r="JD1235" s="22"/>
      <c r="JE1235" s="22"/>
      <c r="JF1235" s="22"/>
      <c r="JG1235" s="22"/>
      <c r="JH1235" s="22"/>
      <c r="JI1235" s="22"/>
      <c r="JJ1235" s="22"/>
      <c r="JK1235" s="22"/>
      <c r="JL1235" s="22"/>
      <c r="JM1235" s="22"/>
      <c r="JN1235" s="22"/>
      <c r="JO1235" s="22"/>
      <c r="JP1235" s="22"/>
      <c r="JQ1235" s="22"/>
      <c r="JR1235" s="22"/>
      <c r="JS1235" s="22"/>
      <c r="JT1235" s="22"/>
      <c r="JU1235" s="22"/>
      <c r="JV1235" s="22"/>
      <c r="JW1235" s="22"/>
      <c r="JX1235" s="22"/>
      <c r="JY1235" s="22"/>
      <c r="JZ1235" s="22"/>
      <c r="KA1235" s="22"/>
      <c r="KB1235" s="22"/>
      <c r="KC1235" s="22"/>
      <c r="KD1235" s="22"/>
      <c r="KE1235" s="22"/>
      <c r="KF1235" s="22"/>
      <c r="KG1235" s="22"/>
      <c r="KH1235" s="22"/>
      <c r="KI1235" s="22"/>
      <c r="KJ1235" s="22"/>
      <c r="KK1235" s="22"/>
      <c r="KL1235" s="22"/>
      <c r="KM1235" s="22"/>
      <c r="KN1235" s="22"/>
      <c r="KO1235" s="22"/>
      <c r="KP1235" s="22"/>
      <c r="KQ1235" s="22"/>
      <c r="KR1235" s="22"/>
      <c r="KS1235" s="22"/>
      <c r="KT1235" s="22"/>
      <c r="KU1235" s="22"/>
      <c r="KV1235" s="22"/>
      <c r="KW1235" s="22"/>
      <c r="KX1235" s="22"/>
      <c r="KY1235" s="22"/>
      <c r="KZ1235" s="22"/>
      <c r="LA1235" s="22"/>
      <c r="LB1235" s="22"/>
      <c r="LC1235" s="22"/>
      <c r="LD1235" s="22"/>
      <c r="LE1235" s="22"/>
      <c r="LF1235" s="22"/>
      <c r="LG1235" s="22"/>
      <c r="LH1235" s="22"/>
      <c r="LI1235" s="22"/>
      <c r="LJ1235" s="22"/>
      <c r="LK1235" s="22"/>
      <c r="LL1235" s="22"/>
      <c r="LM1235" s="22"/>
      <c r="LN1235" s="22"/>
      <c r="LO1235" s="22"/>
      <c r="LP1235" s="22"/>
      <c r="LQ1235" s="22"/>
      <c r="LR1235" s="22"/>
      <c r="LS1235" s="22"/>
      <c r="LT1235" s="22"/>
      <c r="LU1235" s="22"/>
      <c r="LV1235" s="22"/>
      <c r="LW1235" s="22"/>
      <c r="LX1235" s="22"/>
      <c r="LY1235" s="22"/>
      <c r="LZ1235" s="22"/>
      <c r="MA1235" s="22"/>
      <c r="MB1235" s="22"/>
      <c r="MC1235" s="22"/>
      <c r="MD1235" s="22"/>
      <c r="ME1235" s="22"/>
      <c r="MF1235" s="22"/>
      <c r="MG1235" s="22"/>
      <c r="MH1235" s="22"/>
      <c r="MI1235" s="22"/>
      <c r="MJ1235" s="22"/>
      <c r="MK1235" s="22"/>
      <c r="ML1235" s="22"/>
      <c r="MM1235" s="22"/>
      <c r="MN1235" s="22"/>
      <c r="MO1235" s="22"/>
      <c r="MP1235" s="22"/>
      <c r="MQ1235" s="22"/>
      <c r="MR1235" s="22"/>
      <c r="MS1235" s="22"/>
      <c r="MT1235" s="22"/>
      <c r="MU1235" s="22"/>
      <c r="MV1235" s="22"/>
      <c r="MW1235" s="22"/>
      <c r="MX1235" s="22"/>
      <c r="MY1235" s="22"/>
      <c r="MZ1235" s="22"/>
      <c r="NA1235" s="22"/>
      <c r="NB1235" s="22"/>
      <c r="NC1235" s="22"/>
      <c r="ND1235" s="22"/>
      <c r="NE1235" s="22"/>
      <c r="NF1235" s="22"/>
      <c r="NG1235" s="22"/>
      <c r="NH1235" s="22"/>
      <c r="NI1235" s="22"/>
      <c r="NJ1235" s="22"/>
      <c r="NK1235" s="22"/>
      <c r="NL1235" s="22"/>
      <c r="NM1235" s="22"/>
      <c r="NN1235" s="22"/>
      <c r="NO1235" s="22"/>
      <c r="NP1235" s="22"/>
      <c r="NQ1235" s="22"/>
      <c r="NR1235" s="22"/>
      <c r="NS1235" s="22"/>
      <c r="NT1235" s="22"/>
      <c r="NU1235" s="22"/>
      <c r="NV1235" s="22"/>
      <c r="NW1235" s="22"/>
      <c r="NX1235" s="22"/>
      <c r="NY1235" s="22"/>
      <c r="NZ1235" s="22"/>
      <c r="OA1235" s="22"/>
      <c r="OB1235" s="22"/>
      <c r="OC1235" s="22"/>
      <c r="OD1235" s="22"/>
      <c r="OE1235" s="22"/>
      <c r="OF1235" s="22"/>
      <c r="OG1235" s="22"/>
      <c r="OH1235" s="22"/>
      <c r="OI1235" s="22"/>
      <c r="OJ1235" s="22"/>
      <c r="OK1235" s="22"/>
      <c r="OL1235" s="22"/>
      <c r="OM1235" s="22"/>
      <c r="ON1235" s="22"/>
      <c r="OO1235" s="22"/>
      <c r="OP1235" s="22"/>
      <c r="OQ1235" s="22"/>
      <c r="OR1235" s="22"/>
      <c r="OS1235" s="22"/>
      <c r="OT1235" s="22"/>
      <c r="OU1235" s="22"/>
      <c r="OV1235" s="22"/>
      <c r="OW1235" s="22"/>
      <c r="OX1235" s="22"/>
      <c r="OY1235" s="22"/>
      <c r="OZ1235" s="22"/>
      <c r="PA1235" s="22"/>
      <c r="PB1235" s="22"/>
      <c r="PC1235" s="22"/>
      <c r="PD1235" s="22"/>
      <c r="PE1235" s="22"/>
      <c r="PF1235" s="22"/>
      <c r="PG1235" s="22"/>
      <c r="PH1235" s="22"/>
      <c r="PI1235" s="22"/>
      <c r="PJ1235" s="22"/>
      <c r="PK1235" s="22"/>
      <c r="PL1235" s="22"/>
      <c r="PM1235" s="22"/>
      <c r="PN1235" s="22"/>
      <c r="PO1235" s="22"/>
      <c r="PP1235" s="22"/>
      <c r="PQ1235" s="22"/>
      <c r="PR1235" s="22"/>
      <c r="PS1235" s="22"/>
      <c r="PT1235" s="22"/>
      <c r="PU1235" s="22"/>
      <c r="PV1235" s="22"/>
      <c r="PW1235" s="22"/>
      <c r="PX1235" s="22"/>
      <c r="PY1235" s="22"/>
      <c r="PZ1235" s="22"/>
      <c r="QA1235" s="22"/>
      <c r="QB1235" s="22"/>
      <c r="QC1235" s="22"/>
      <c r="QD1235" s="22"/>
      <c r="QE1235" s="22"/>
      <c r="QF1235" s="22"/>
      <c r="QG1235" s="22"/>
      <c r="QH1235" s="22"/>
      <c r="QI1235" s="22"/>
      <c r="QJ1235" s="22"/>
      <c r="QK1235" s="22"/>
      <c r="QL1235" s="22"/>
      <c r="QM1235" s="22"/>
      <c r="QN1235" s="22"/>
      <c r="QO1235" s="22"/>
      <c r="QP1235" s="22"/>
      <c r="QQ1235" s="22"/>
      <c r="QR1235" s="22"/>
      <c r="QS1235" s="22"/>
      <c r="QT1235" s="22"/>
      <c r="QU1235" s="22"/>
      <c r="QV1235" s="22"/>
      <c r="QW1235" s="22"/>
      <c r="QX1235" s="22"/>
      <c r="QY1235" s="22"/>
      <c r="QZ1235" s="22"/>
      <c r="RA1235" s="22"/>
      <c r="RB1235" s="22"/>
      <c r="RC1235" s="22"/>
      <c r="RD1235" s="22"/>
      <c r="RE1235" s="22"/>
      <c r="RF1235" s="22"/>
      <c r="RG1235" s="22"/>
      <c r="RH1235" s="22"/>
      <c r="RI1235" s="22"/>
      <c r="RJ1235" s="22"/>
      <c r="RK1235" s="22"/>
      <c r="RL1235" s="22"/>
      <c r="RM1235" s="22"/>
      <c r="RN1235" s="22"/>
      <c r="RO1235" s="22"/>
      <c r="RP1235" s="22"/>
      <c r="RQ1235" s="22"/>
      <c r="RR1235" s="22"/>
      <c r="RS1235" s="22"/>
      <c r="RT1235" s="22"/>
      <c r="RU1235" s="22"/>
      <c r="RV1235" s="22"/>
      <c r="RW1235" s="22"/>
      <c r="RX1235" s="22"/>
      <c r="RY1235" s="22"/>
      <c r="RZ1235" s="22"/>
      <c r="SA1235" s="22"/>
      <c r="SB1235" s="22"/>
      <c r="SC1235" s="22"/>
      <c r="SD1235" s="22"/>
      <c r="SE1235" s="22"/>
      <c r="SF1235" s="22"/>
      <c r="SG1235" s="22"/>
      <c r="SH1235" s="22"/>
      <c r="SI1235" s="22"/>
      <c r="SJ1235" s="22"/>
      <c r="SK1235" s="22"/>
      <c r="SL1235" s="22"/>
      <c r="SM1235" s="22"/>
      <c r="SN1235" s="22"/>
      <c r="SO1235" s="22"/>
      <c r="SP1235" s="22"/>
      <c r="SQ1235" s="22"/>
      <c r="SR1235" s="22"/>
      <c r="SS1235" s="22"/>
      <c r="ST1235" s="22"/>
      <c r="SU1235" s="22"/>
      <c r="SV1235" s="22"/>
      <c r="SW1235" s="22"/>
      <c r="SX1235" s="22"/>
      <c r="SY1235" s="22"/>
      <c r="SZ1235" s="22"/>
      <c r="TA1235" s="22"/>
      <c r="TB1235" s="22"/>
      <c r="TC1235" s="22"/>
      <c r="TD1235" s="22"/>
      <c r="TE1235" s="22"/>
      <c r="TF1235" s="22"/>
      <c r="TG1235" s="22"/>
      <c r="TH1235" s="22"/>
      <c r="TI1235" s="22"/>
      <c r="TJ1235" s="22"/>
      <c r="TK1235" s="22"/>
      <c r="TL1235" s="22"/>
      <c r="TM1235" s="22"/>
      <c r="TN1235" s="22"/>
      <c r="TO1235" s="22"/>
      <c r="TP1235" s="22"/>
      <c r="TQ1235" s="22"/>
      <c r="TR1235" s="22"/>
      <c r="TS1235" s="22"/>
      <c r="TT1235" s="22"/>
      <c r="TU1235" s="22"/>
      <c r="TV1235" s="22"/>
      <c r="TW1235" s="22"/>
      <c r="TX1235" s="22"/>
      <c r="TY1235" s="22"/>
      <c r="TZ1235" s="22"/>
      <c r="UA1235" s="22"/>
      <c r="UB1235" s="22"/>
      <c r="UC1235" s="22"/>
      <c r="UD1235" s="22"/>
      <c r="UE1235" s="22"/>
      <c r="UF1235" s="22"/>
      <c r="UG1235" s="23"/>
    </row>
    <row r="1236" spans="1:553" ht="74.25" customHeight="1">
      <c r="A1236" s="356" t="s">
        <v>53</v>
      </c>
      <c r="B1236" s="356"/>
      <c r="C1236" s="1573" t="s">
        <v>54</v>
      </c>
      <c r="D1236" s="1389"/>
      <c r="E1236" s="1389"/>
      <c r="F1236" s="1390"/>
      <c r="G1236" s="356"/>
      <c r="H1236" s="424"/>
      <c r="I1236" s="424"/>
      <c r="J1236" s="357"/>
      <c r="K1236" s="358"/>
      <c r="L1236" s="645">
        <f>L1237</f>
        <v>5000000</v>
      </c>
      <c r="M1236" s="356"/>
      <c r="N1236" s="356"/>
      <c r="O1236" s="356"/>
      <c r="P1236" s="356">
        <f>L1236</f>
        <v>5000000</v>
      </c>
      <c r="Q1236" s="610"/>
      <c r="R1236" s="1447" t="s">
        <v>55</v>
      </c>
      <c r="S1236" s="308"/>
      <c r="T1236" s="308"/>
      <c r="U1236" s="308"/>
      <c r="V1236" s="308"/>
      <c r="W1236" s="308"/>
      <c r="X1236" s="308"/>
      <c r="Y1236" s="308"/>
      <c r="Z1236" s="604"/>
      <c r="AA1236" s="308"/>
      <c r="AB1236" s="308"/>
      <c r="AC1236" s="404"/>
      <c r="AD1236" s="404"/>
      <c r="AE1236" s="404"/>
      <c r="AF1236" s="404"/>
      <c r="AG1236" s="404"/>
      <c r="AH1236" s="404"/>
      <c r="AI1236" s="404"/>
      <c r="AJ1236" s="404"/>
      <c r="AK1236" s="404"/>
      <c r="AL1236" s="295"/>
      <c r="AM1236" s="24"/>
      <c r="AN1236" s="24"/>
      <c r="AO1236" s="24"/>
      <c r="AP1236" s="24"/>
      <c r="AQ1236" s="24"/>
      <c r="AR1236" s="24"/>
      <c r="AS1236" s="24"/>
      <c r="AT1236" s="18"/>
      <c r="AU1236" s="18"/>
      <c r="AV1236" s="18"/>
      <c r="AW1236" s="18"/>
      <c r="AX1236" s="18"/>
      <c r="AY1236" s="18"/>
      <c r="AZ1236" s="18"/>
      <c r="BA1236" s="18"/>
      <c r="BB1236" s="18"/>
      <c r="BC1236" s="18"/>
      <c r="BD1236" s="18"/>
      <c r="BE1236" s="18"/>
      <c r="BF1236" s="18"/>
      <c r="BG1236" s="18"/>
      <c r="BH1236" s="18"/>
      <c r="BI1236" s="18"/>
      <c r="BJ1236" s="18"/>
      <c r="BK1236" s="18"/>
      <c r="BL1236" s="18"/>
      <c r="BM1236" s="18"/>
      <c r="BN1236" s="18"/>
      <c r="BO1236" s="18"/>
      <c r="BP1236" s="18"/>
      <c r="BQ1236" s="18"/>
      <c r="BR1236" s="18"/>
      <c r="BS1236" s="18"/>
      <c r="BT1236" s="18"/>
      <c r="BU1236" s="18"/>
      <c r="BV1236" s="18"/>
      <c r="BW1236" s="18"/>
      <c r="BX1236" s="18"/>
      <c r="BY1236" s="18"/>
      <c r="BZ1236" s="18"/>
      <c r="CA1236" s="18"/>
      <c r="CB1236" s="18"/>
      <c r="CC1236" s="18"/>
      <c r="CD1236" s="18"/>
      <c r="CE1236" s="18"/>
      <c r="CF1236" s="18"/>
      <c r="CG1236" s="18"/>
      <c r="CH1236" s="18"/>
      <c r="CI1236" s="18"/>
      <c r="CJ1236" s="18"/>
      <c r="CK1236" s="18"/>
      <c r="CL1236" s="18"/>
      <c r="CM1236" s="18"/>
      <c r="CN1236" s="18"/>
      <c r="CO1236" s="18"/>
      <c r="CP1236" s="18"/>
      <c r="CQ1236" s="18"/>
      <c r="CR1236" s="18"/>
      <c r="CS1236" s="18"/>
      <c r="CT1236" s="18"/>
      <c r="CU1236" s="18"/>
      <c r="CV1236" s="18"/>
      <c r="CW1236" s="18"/>
      <c r="CX1236" s="18"/>
      <c r="CY1236" s="18"/>
      <c r="CZ1236" s="18"/>
      <c r="DA1236" s="18"/>
      <c r="DB1236" s="18"/>
      <c r="DC1236" s="18"/>
      <c r="DD1236" s="18"/>
      <c r="DE1236" s="18"/>
      <c r="DF1236" s="18"/>
      <c r="DG1236" s="18"/>
      <c r="DH1236" s="18"/>
      <c r="DI1236" s="18"/>
      <c r="DJ1236" s="18"/>
      <c r="DK1236" s="18"/>
      <c r="DL1236" s="18"/>
      <c r="DM1236" s="18"/>
      <c r="DN1236" s="18"/>
      <c r="DO1236" s="18"/>
      <c r="DP1236" s="18"/>
      <c r="DQ1236" s="18"/>
      <c r="DR1236" s="18"/>
      <c r="DS1236" s="18"/>
      <c r="DT1236" s="18"/>
      <c r="DU1236" s="18"/>
      <c r="DV1236" s="18"/>
      <c r="DW1236" s="18"/>
      <c r="DX1236" s="18"/>
      <c r="DY1236" s="18"/>
      <c r="DZ1236" s="18"/>
      <c r="EA1236" s="18"/>
      <c r="EB1236" s="18"/>
      <c r="EC1236" s="18"/>
      <c r="ED1236" s="18"/>
      <c r="EE1236" s="18"/>
      <c r="EF1236" s="18"/>
      <c r="EG1236" s="18"/>
      <c r="EH1236" s="18"/>
      <c r="EI1236" s="18"/>
      <c r="EJ1236" s="18"/>
      <c r="EK1236" s="18"/>
      <c r="EL1236" s="18"/>
      <c r="EM1236" s="18"/>
      <c r="EN1236" s="18"/>
      <c r="EO1236" s="18"/>
      <c r="EP1236" s="18"/>
      <c r="EQ1236" s="18"/>
      <c r="ER1236" s="18"/>
      <c r="ES1236" s="18"/>
      <c r="ET1236" s="18"/>
      <c r="EU1236" s="18"/>
      <c r="EV1236" s="18"/>
      <c r="EW1236" s="18"/>
      <c r="EX1236" s="18"/>
      <c r="EY1236" s="18"/>
      <c r="EZ1236" s="18"/>
      <c r="FA1236" s="18"/>
      <c r="FB1236" s="18"/>
      <c r="FC1236" s="18"/>
      <c r="FD1236" s="18"/>
      <c r="FE1236" s="18"/>
      <c r="FF1236" s="18"/>
      <c r="FG1236" s="18"/>
      <c r="FH1236" s="18"/>
      <c r="FI1236" s="18"/>
      <c r="FJ1236" s="18"/>
      <c r="FK1236" s="18"/>
      <c r="FL1236" s="18"/>
      <c r="FM1236" s="18"/>
      <c r="FN1236" s="18"/>
      <c r="FO1236" s="18"/>
      <c r="FP1236" s="18"/>
      <c r="FQ1236" s="18"/>
      <c r="FR1236" s="18"/>
      <c r="FS1236" s="18"/>
      <c r="FT1236" s="18"/>
      <c r="FU1236" s="18"/>
      <c r="FV1236" s="18"/>
      <c r="FW1236" s="18"/>
      <c r="FX1236" s="18"/>
      <c r="FY1236" s="18"/>
      <c r="FZ1236" s="18"/>
      <c r="GA1236" s="18"/>
      <c r="GB1236" s="18"/>
      <c r="GC1236" s="18"/>
      <c r="GD1236" s="18"/>
      <c r="GE1236" s="18"/>
      <c r="GF1236" s="18"/>
      <c r="GG1236" s="18"/>
      <c r="GH1236" s="18"/>
      <c r="GI1236" s="18"/>
      <c r="GJ1236" s="18"/>
      <c r="GK1236" s="18"/>
      <c r="GL1236" s="18"/>
      <c r="GM1236" s="18"/>
      <c r="GN1236" s="18"/>
      <c r="GO1236" s="18"/>
      <c r="GP1236" s="18"/>
      <c r="GQ1236" s="18"/>
      <c r="GR1236" s="18"/>
      <c r="GS1236" s="18"/>
      <c r="GT1236" s="18"/>
      <c r="GU1236" s="18"/>
      <c r="GV1236" s="18"/>
      <c r="GW1236" s="18"/>
      <c r="GX1236" s="18"/>
      <c r="GY1236" s="18"/>
      <c r="GZ1236" s="18"/>
      <c r="HA1236" s="18"/>
      <c r="HB1236" s="18"/>
      <c r="HC1236" s="18"/>
      <c r="HD1236" s="18"/>
      <c r="HE1236" s="18"/>
      <c r="HF1236" s="18"/>
      <c r="HG1236" s="18"/>
      <c r="HH1236" s="18"/>
      <c r="HI1236" s="18"/>
      <c r="HJ1236" s="18"/>
      <c r="HK1236" s="18"/>
      <c r="HL1236" s="18"/>
      <c r="HM1236" s="18"/>
      <c r="HN1236" s="18"/>
      <c r="HO1236" s="18"/>
      <c r="HP1236" s="18"/>
      <c r="HQ1236" s="18"/>
      <c r="HR1236" s="18"/>
      <c r="HS1236" s="18"/>
      <c r="HT1236" s="18"/>
      <c r="HU1236" s="18"/>
      <c r="HV1236" s="18"/>
      <c r="HW1236" s="18"/>
      <c r="HX1236" s="18"/>
      <c r="HY1236" s="18"/>
      <c r="HZ1236" s="18"/>
      <c r="IA1236" s="18"/>
      <c r="IB1236" s="18"/>
      <c r="IC1236" s="18"/>
      <c r="ID1236" s="18"/>
      <c r="IE1236" s="18"/>
      <c r="IF1236" s="18"/>
      <c r="IG1236" s="18"/>
      <c r="IH1236" s="18"/>
      <c r="II1236" s="18"/>
      <c r="IJ1236" s="18"/>
      <c r="IK1236" s="18"/>
      <c r="IL1236" s="18"/>
      <c r="IM1236" s="18"/>
      <c r="IN1236" s="18"/>
      <c r="IO1236" s="18"/>
      <c r="IP1236" s="18"/>
      <c r="IQ1236" s="18"/>
      <c r="IR1236" s="18"/>
      <c r="IS1236" s="18"/>
      <c r="IT1236" s="18"/>
      <c r="IU1236" s="18"/>
      <c r="IV1236" s="18"/>
      <c r="IW1236" s="18"/>
      <c r="IX1236" s="18"/>
      <c r="IY1236" s="18"/>
      <c r="IZ1236" s="18"/>
      <c r="JA1236" s="18"/>
      <c r="JB1236" s="18"/>
      <c r="JC1236" s="18"/>
      <c r="JD1236" s="18"/>
      <c r="JE1236" s="18"/>
      <c r="JF1236" s="18"/>
      <c r="JG1236" s="18"/>
      <c r="JH1236" s="18"/>
      <c r="JI1236" s="18"/>
      <c r="JJ1236" s="18"/>
      <c r="JK1236" s="18"/>
      <c r="JL1236" s="18"/>
      <c r="JM1236" s="18"/>
      <c r="JN1236" s="18"/>
      <c r="JO1236" s="18"/>
      <c r="JP1236" s="18"/>
      <c r="JQ1236" s="18"/>
      <c r="JR1236" s="18"/>
      <c r="JS1236" s="18"/>
      <c r="JT1236" s="18"/>
      <c r="JU1236" s="18"/>
      <c r="JV1236" s="18"/>
      <c r="JW1236" s="18"/>
      <c r="JX1236" s="18"/>
      <c r="JY1236" s="18"/>
      <c r="JZ1236" s="18"/>
      <c r="KA1236" s="18"/>
      <c r="KB1236" s="18"/>
      <c r="KC1236" s="18"/>
      <c r="KD1236" s="18"/>
      <c r="KE1236" s="18"/>
      <c r="KF1236" s="18"/>
      <c r="KG1236" s="18"/>
      <c r="KH1236" s="18"/>
      <c r="KI1236" s="18"/>
      <c r="KJ1236" s="18"/>
      <c r="KK1236" s="18"/>
      <c r="KL1236" s="18"/>
      <c r="KM1236" s="18"/>
      <c r="KN1236" s="18"/>
      <c r="KO1236" s="18"/>
      <c r="KP1236" s="18"/>
      <c r="KQ1236" s="18"/>
      <c r="KR1236" s="18"/>
      <c r="KS1236" s="18"/>
      <c r="KT1236" s="18"/>
      <c r="KU1236" s="18"/>
      <c r="KV1236" s="18"/>
      <c r="KW1236" s="18"/>
      <c r="KX1236" s="18"/>
      <c r="KY1236" s="18"/>
      <c r="KZ1236" s="18"/>
      <c r="LA1236" s="18"/>
      <c r="LB1236" s="18"/>
      <c r="LC1236" s="18"/>
      <c r="LD1236" s="18"/>
      <c r="LE1236" s="18"/>
      <c r="LF1236" s="18"/>
      <c r="LG1236" s="18"/>
      <c r="LH1236" s="18"/>
      <c r="LI1236" s="18"/>
      <c r="LJ1236" s="18"/>
      <c r="LK1236" s="18"/>
      <c r="LL1236" s="18"/>
      <c r="LM1236" s="18"/>
      <c r="LN1236" s="18"/>
      <c r="LO1236" s="18"/>
      <c r="LP1236" s="18"/>
      <c r="LQ1236" s="18"/>
      <c r="LR1236" s="18"/>
      <c r="LS1236" s="18"/>
      <c r="LT1236" s="18"/>
      <c r="LU1236" s="18"/>
      <c r="LV1236" s="18"/>
      <c r="LW1236" s="18"/>
      <c r="LX1236" s="18"/>
      <c r="LY1236" s="18"/>
      <c r="LZ1236" s="18"/>
      <c r="MA1236" s="18"/>
      <c r="MB1236" s="18"/>
      <c r="MC1236" s="18"/>
      <c r="MD1236" s="18"/>
      <c r="ME1236" s="18"/>
      <c r="MF1236" s="18"/>
      <c r="MG1236" s="18"/>
      <c r="MH1236" s="18"/>
      <c r="MI1236" s="18"/>
      <c r="MJ1236" s="18"/>
      <c r="MK1236" s="18"/>
      <c r="ML1236" s="18"/>
      <c r="MM1236" s="18"/>
      <c r="MN1236" s="18"/>
      <c r="MO1236" s="18"/>
      <c r="MP1236" s="18"/>
      <c r="MQ1236" s="18"/>
      <c r="MR1236" s="18"/>
      <c r="MS1236" s="18"/>
      <c r="MT1236" s="18"/>
      <c r="MU1236" s="18"/>
      <c r="MV1236" s="18"/>
      <c r="MW1236" s="18"/>
      <c r="MX1236" s="18"/>
      <c r="MY1236" s="18"/>
      <c r="MZ1236" s="18"/>
      <c r="NA1236" s="18"/>
      <c r="NB1236" s="18"/>
      <c r="NC1236" s="18"/>
      <c r="ND1236" s="18"/>
      <c r="NE1236" s="18"/>
      <c r="NF1236" s="18"/>
      <c r="NG1236" s="18"/>
      <c r="NH1236" s="18"/>
      <c r="NI1236" s="18"/>
      <c r="NJ1236" s="18"/>
      <c r="NK1236" s="18"/>
      <c r="NL1236" s="18"/>
      <c r="NM1236" s="18"/>
      <c r="NN1236" s="18"/>
      <c r="NO1236" s="18"/>
      <c r="NP1236" s="18"/>
      <c r="NQ1236" s="18"/>
      <c r="NR1236" s="18"/>
      <c r="NS1236" s="18"/>
      <c r="NT1236" s="18"/>
      <c r="NU1236" s="18"/>
      <c r="NV1236" s="18"/>
      <c r="NW1236" s="18"/>
      <c r="NX1236" s="18"/>
      <c r="NY1236" s="18"/>
      <c r="NZ1236" s="18"/>
      <c r="OA1236" s="18"/>
      <c r="OB1236" s="18"/>
      <c r="OC1236" s="18"/>
      <c r="OD1236" s="18"/>
      <c r="OE1236" s="18"/>
      <c r="OF1236" s="18"/>
      <c r="OG1236" s="18"/>
      <c r="OH1236" s="18"/>
      <c r="OI1236" s="18"/>
      <c r="OJ1236" s="18"/>
      <c r="OK1236" s="18"/>
      <c r="OL1236" s="18"/>
      <c r="OM1236" s="18"/>
      <c r="ON1236" s="18"/>
      <c r="OO1236" s="18"/>
      <c r="OP1236" s="18"/>
      <c r="OQ1236" s="18"/>
      <c r="OR1236" s="18"/>
      <c r="OS1236" s="18"/>
      <c r="OT1236" s="18"/>
      <c r="OU1236" s="18"/>
      <c r="OV1236" s="18"/>
      <c r="OW1236" s="18"/>
      <c r="OX1236" s="18"/>
      <c r="OY1236" s="18"/>
      <c r="OZ1236" s="18"/>
      <c r="PA1236" s="18"/>
      <c r="PB1236" s="18"/>
      <c r="PC1236" s="18"/>
      <c r="PD1236" s="18"/>
      <c r="PE1236" s="18"/>
      <c r="PF1236" s="18"/>
      <c r="PG1236" s="18"/>
      <c r="PH1236" s="18"/>
      <c r="PI1236" s="18"/>
      <c r="PJ1236" s="18"/>
      <c r="PK1236" s="18"/>
      <c r="PL1236" s="18"/>
      <c r="PM1236" s="18"/>
      <c r="PN1236" s="18"/>
      <c r="PO1236" s="18"/>
      <c r="PP1236" s="18"/>
      <c r="PQ1236" s="18"/>
      <c r="PR1236" s="18"/>
      <c r="PS1236" s="18"/>
      <c r="PT1236" s="18"/>
      <c r="PU1236" s="18"/>
      <c r="PV1236" s="18"/>
      <c r="PW1236" s="18"/>
      <c r="PX1236" s="18"/>
      <c r="PY1236" s="18"/>
      <c r="PZ1236" s="18"/>
      <c r="QA1236" s="18"/>
      <c r="QB1236" s="18"/>
      <c r="QC1236" s="18"/>
      <c r="QD1236" s="18"/>
      <c r="QE1236" s="18"/>
      <c r="QF1236" s="18"/>
      <c r="QG1236" s="18"/>
      <c r="QH1236" s="18"/>
      <c r="QI1236" s="18"/>
      <c r="QJ1236" s="18"/>
      <c r="QK1236" s="18"/>
      <c r="QL1236" s="18"/>
      <c r="QM1236" s="18"/>
      <c r="QN1236" s="18"/>
      <c r="QO1236" s="18"/>
      <c r="QP1236" s="18"/>
      <c r="QQ1236" s="18"/>
      <c r="QR1236" s="18"/>
      <c r="QS1236" s="18"/>
      <c r="QT1236" s="18"/>
      <c r="QU1236" s="18"/>
      <c r="QV1236" s="18"/>
      <c r="QW1236" s="18"/>
      <c r="QX1236" s="18"/>
      <c r="QY1236" s="18"/>
      <c r="QZ1236" s="18"/>
      <c r="RA1236" s="18"/>
      <c r="RB1236" s="18"/>
      <c r="RC1236" s="18"/>
      <c r="RD1236" s="18"/>
      <c r="RE1236" s="18"/>
      <c r="RF1236" s="18"/>
      <c r="RG1236" s="18"/>
      <c r="RH1236" s="18"/>
      <c r="RI1236" s="18"/>
      <c r="RJ1236" s="18"/>
      <c r="RK1236" s="18"/>
      <c r="RL1236" s="18"/>
      <c r="RM1236" s="18"/>
      <c r="RN1236" s="18"/>
      <c r="RO1236" s="18"/>
      <c r="RP1236" s="18"/>
      <c r="RQ1236" s="18"/>
      <c r="RR1236" s="18"/>
      <c r="RS1236" s="18"/>
      <c r="RT1236" s="18"/>
      <c r="RU1236" s="18"/>
      <c r="RV1236" s="18"/>
      <c r="RW1236" s="18"/>
      <c r="RX1236" s="18"/>
      <c r="RY1236" s="18"/>
      <c r="RZ1236" s="18"/>
      <c r="SA1236" s="18"/>
      <c r="SB1236" s="18"/>
      <c r="SC1236" s="18"/>
      <c r="SD1236" s="18"/>
      <c r="SE1236" s="18"/>
      <c r="SF1236" s="18"/>
      <c r="SG1236" s="18"/>
      <c r="SH1236" s="18"/>
      <c r="SI1236" s="18"/>
      <c r="SJ1236" s="18"/>
      <c r="SK1236" s="18"/>
      <c r="SL1236" s="18"/>
      <c r="SM1236" s="18"/>
      <c r="SN1236" s="18"/>
      <c r="SO1236" s="18"/>
      <c r="SP1236" s="18"/>
      <c r="SQ1236" s="18"/>
      <c r="SR1236" s="18"/>
      <c r="SS1236" s="18"/>
      <c r="ST1236" s="18"/>
      <c r="SU1236" s="18"/>
      <c r="SV1236" s="18"/>
      <c r="SW1236" s="18"/>
      <c r="SX1236" s="18"/>
      <c r="SY1236" s="18"/>
      <c r="SZ1236" s="18"/>
      <c r="TA1236" s="18"/>
      <c r="TB1236" s="18"/>
      <c r="TC1236" s="18"/>
      <c r="TD1236" s="18"/>
      <c r="TE1236" s="18"/>
      <c r="TF1236" s="18"/>
      <c r="TG1236" s="18"/>
      <c r="TH1236" s="18"/>
      <c r="TI1236" s="18"/>
      <c r="TJ1236" s="18"/>
      <c r="TK1236" s="18"/>
      <c r="TL1236" s="18"/>
      <c r="TM1236" s="18"/>
      <c r="TN1236" s="18"/>
      <c r="TO1236" s="18"/>
      <c r="TP1236" s="18"/>
      <c r="TQ1236" s="18"/>
      <c r="TR1236" s="18"/>
      <c r="TS1236" s="18"/>
      <c r="TT1236" s="18"/>
      <c r="TU1236" s="18"/>
      <c r="TV1236" s="18"/>
      <c r="TW1236" s="18"/>
      <c r="TX1236" s="18"/>
      <c r="TY1236" s="18"/>
      <c r="TZ1236" s="18"/>
      <c r="UA1236" s="18"/>
      <c r="UB1236" s="18"/>
      <c r="UC1236" s="18"/>
      <c r="UD1236" s="18"/>
      <c r="UE1236" s="18"/>
      <c r="UF1236" s="18"/>
      <c r="UG1236" s="19"/>
    </row>
    <row r="1237" spans="1:553" ht="34.5" customHeight="1">
      <c r="A1237" s="356"/>
      <c r="B1237" s="356"/>
      <c r="C1237" s="1538" t="s">
        <v>56</v>
      </c>
      <c r="D1237" s="1389"/>
      <c r="E1237" s="1389"/>
      <c r="F1237" s="1390"/>
      <c r="G1237" s="366" t="s">
        <v>57</v>
      </c>
      <c r="H1237" s="417"/>
      <c r="I1237" s="417">
        <v>1</v>
      </c>
      <c r="J1237" s="368">
        <v>5000000</v>
      </c>
      <c r="K1237" s="369"/>
      <c r="L1237" s="480">
        <f>I1237*J1237</f>
        <v>5000000</v>
      </c>
      <c r="M1237" s="356"/>
      <c r="N1237" s="356"/>
      <c r="O1237" s="356"/>
      <c r="P1237" s="356"/>
      <c r="Q1237" s="610"/>
      <c r="R1237" s="1452"/>
      <c r="S1237" s="308"/>
      <c r="T1237" s="308"/>
      <c r="U1237" s="308"/>
      <c r="V1237" s="308"/>
      <c r="W1237" s="308"/>
      <c r="X1237" s="308"/>
      <c r="Y1237" s="308"/>
      <c r="Z1237" s="604"/>
      <c r="AA1237" s="308"/>
      <c r="AB1237" s="308"/>
      <c r="AC1237" s="456"/>
      <c r="AD1237" s="456"/>
      <c r="AE1237" s="456"/>
      <c r="AF1237" s="456"/>
      <c r="AG1237" s="456"/>
      <c r="AH1237" s="456"/>
      <c r="AI1237" s="456"/>
      <c r="AJ1237" s="456"/>
      <c r="AK1237" s="456"/>
      <c r="AL1237" s="184"/>
      <c r="AM1237" s="34"/>
      <c r="AN1237" s="34"/>
      <c r="AO1237" s="34"/>
      <c r="AP1237" s="34"/>
      <c r="AQ1237" s="34"/>
      <c r="AR1237" s="34"/>
      <c r="AS1237" s="34"/>
      <c r="AT1237" s="35"/>
      <c r="AU1237" s="35"/>
      <c r="AV1237" s="35"/>
      <c r="AW1237" s="35"/>
      <c r="AX1237" s="35"/>
      <c r="AY1237" s="35"/>
      <c r="AZ1237" s="35"/>
      <c r="BA1237" s="35"/>
      <c r="BB1237" s="35"/>
      <c r="BC1237" s="35"/>
      <c r="BD1237" s="35"/>
      <c r="BE1237" s="35"/>
      <c r="BF1237" s="35"/>
      <c r="BG1237" s="35"/>
      <c r="BH1237" s="35"/>
      <c r="BI1237" s="35"/>
      <c r="BJ1237" s="35"/>
      <c r="BK1237" s="35"/>
      <c r="BL1237" s="35"/>
      <c r="BM1237" s="35"/>
      <c r="BN1237" s="35"/>
      <c r="BO1237" s="35"/>
      <c r="BP1237" s="36"/>
      <c r="BQ1237" s="36"/>
      <c r="BR1237" s="36"/>
      <c r="BS1237" s="36"/>
      <c r="BT1237" s="36"/>
      <c r="BU1237" s="36"/>
      <c r="BV1237" s="36"/>
      <c r="BW1237" s="36"/>
      <c r="BX1237" s="36"/>
      <c r="BY1237" s="36"/>
      <c r="BZ1237" s="36"/>
      <c r="CA1237" s="36"/>
      <c r="CB1237" s="36"/>
      <c r="CC1237" s="36"/>
      <c r="CD1237" s="36"/>
      <c r="CE1237" s="36"/>
      <c r="CF1237" s="36"/>
      <c r="CG1237" s="36"/>
      <c r="CH1237" s="36"/>
      <c r="CI1237" s="36"/>
      <c r="CJ1237" s="36"/>
      <c r="CK1237" s="36"/>
      <c r="CL1237" s="36"/>
      <c r="CM1237" s="36"/>
      <c r="CN1237" s="36"/>
      <c r="CO1237" s="36"/>
      <c r="CP1237" s="36"/>
      <c r="CQ1237" s="36"/>
      <c r="CR1237" s="36"/>
      <c r="CS1237" s="36"/>
      <c r="CT1237" s="36"/>
      <c r="CU1237" s="36"/>
      <c r="CV1237" s="36"/>
      <c r="CW1237" s="36"/>
      <c r="CX1237" s="36"/>
      <c r="CY1237" s="36"/>
      <c r="CZ1237" s="36"/>
      <c r="DA1237" s="36"/>
      <c r="DB1237" s="36"/>
      <c r="DC1237" s="36"/>
      <c r="DD1237" s="36"/>
      <c r="DE1237" s="36"/>
      <c r="DF1237" s="36"/>
      <c r="DG1237" s="36"/>
      <c r="DH1237" s="36"/>
      <c r="DI1237" s="36"/>
      <c r="DJ1237" s="36"/>
      <c r="DK1237" s="36"/>
      <c r="DL1237" s="36"/>
      <c r="DM1237" s="36"/>
      <c r="DN1237" s="36"/>
      <c r="DO1237" s="36"/>
      <c r="DP1237" s="36"/>
      <c r="DQ1237" s="36"/>
      <c r="DR1237" s="36"/>
      <c r="DS1237" s="36"/>
      <c r="DT1237" s="36"/>
      <c r="DU1237" s="36"/>
      <c r="DV1237" s="36"/>
      <c r="DW1237" s="36"/>
      <c r="DX1237" s="36"/>
      <c r="DY1237" s="36"/>
      <c r="DZ1237" s="36"/>
      <c r="EA1237" s="36"/>
      <c r="EB1237" s="36"/>
      <c r="EC1237" s="36"/>
      <c r="ED1237" s="36"/>
      <c r="EE1237" s="36"/>
      <c r="EF1237" s="36"/>
      <c r="EG1237" s="36"/>
      <c r="EH1237" s="36"/>
      <c r="EI1237" s="36"/>
      <c r="EJ1237" s="36"/>
      <c r="EK1237" s="36"/>
      <c r="EL1237" s="36"/>
      <c r="EM1237" s="36"/>
      <c r="EN1237" s="36"/>
      <c r="EO1237" s="36"/>
      <c r="EP1237" s="36"/>
      <c r="EQ1237" s="36"/>
      <c r="ER1237" s="36"/>
      <c r="ES1237" s="36"/>
      <c r="ET1237" s="36"/>
      <c r="EU1237" s="36"/>
      <c r="EV1237" s="36"/>
      <c r="EW1237" s="36"/>
      <c r="EX1237" s="36"/>
      <c r="EY1237" s="36"/>
      <c r="EZ1237" s="36"/>
      <c r="FA1237" s="36"/>
      <c r="FB1237" s="36"/>
      <c r="FC1237" s="36"/>
      <c r="FD1237" s="36"/>
      <c r="FE1237" s="36"/>
      <c r="FF1237" s="36"/>
      <c r="FG1237" s="36"/>
      <c r="FH1237" s="36"/>
      <c r="FI1237" s="36"/>
      <c r="FJ1237" s="36"/>
      <c r="FK1237" s="36"/>
      <c r="FL1237" s="36"/>
      <c r="FM1237" s="36"/>
      <c r="FN1237" s="36"/>
      <c r="FO1237" s="36"/>
      <c r="FP1237" s="36"/>
      <c r="FQ1237" s="36"/>
      <c r="FR1237" s="36"/>
      <c r="FS1237" s="36"/>
      <c r="FT1237" s="36"/>
      <c r="FU1237" s="36"/>
      <c r="FV1237" s="36"/>
      <c r="FW1237" s="36"/>
      <c r="FX1237" s="36"/>
      <c r="FY1237" s="36"/>
      <c r="FZ1237" s="36"/>
      <c r="GA1237" s="36"/>
      <c r="GB1237" s="36"/>
      <c r="GC1237" s="36"/>
      <c r="GD1237" s="36"/>
      <c r="GE1237" s="36"/>
      <c r="GF1237" s="36"/>
      <c r="GG1237" s="36"/>
      <c r="GH1237" s="36"/>
      <c r="GI1237" s="36"/>
      <c r="GJ1237" s="36"/>
      <c r="GK1237" s="36"/>
      <c r="GL1237" s="36"/>
      <c r="GM1237" s="36"/>
      <c r="GN1237" s="36"/>
      <c r="GO1237" s="36"/>
      <c r="GP1237" s="36"/>
      <c r="GQ1237" s="36"/>
      <c r="GR1237" s="36"/>
      <c r="GS1237" s="36"/>
      <c r="GT1237" s="36"/>
      <c r="GU1237" s="36"/>
      <c r="GV1237" s="36"/>
      <c r="GW1237" s="36"/>
      <c r="GX1237" s="36"/>
      <c r="GY1237" s="36"/>
      <c r="GZ1237" s="36"/>
      <c r="HA1237" s="36"/>
      <c r="HB1237" s="36"/>
      <c r="HC1237" s="36"/>
      <c r="HD1237" s="36"/>
      <c r="HE1237" s="36"/>
      <c r="HF1237" s="36"/>
      <c r="HG1237" s="36"/>
      <c r="HH1237" s="36"/>
      <c r="HI1237" s="36"/>
      <c r="HJ1237" s="36"/>
      <c r="HK1237" s="36"/>
      <c r="HL1237" s="36"/>
      <c r="HM1237" s="36"/>
      <c r="HN1237" s="36"/>
      <c r="HO1237" s="36"/>
      <c r="HP1237" s="36"/>
      <c r="HQ1237" s="36"/>
      <c r="HR1237" s="36"/>
      <c r="HS1237" s="36"/>
      <c r="HT1237" s="36"/>
      <c r="HU1237" s="36"/>
      <c r="HV1237" s="36"/>
      <c r="HW1237" s="36"/>
      <c r="HX1237" s="36"/>
      <c r="HY1237" s="36"/>
      <c r="HZ1237" s="36"/>
      <c r="IA1237" s="36"/>
      <c r="IB1237" s="36"/>
      <c r="IC1237" s="36"/>
      <c r="ID1237" s="36"/>
      <c r="IE1237" s="36"/>
      <c r="IF1237" s="36"/>
      <c r="IG1237" s="36"/>
      <c r="IH1237" s="36"/>
      <c r="II1237" s="36"/>
      <c r="IJ1237" s="36"/>
      <c r="IK1237" s="36"/>
      <c r="IL1237" s="36"/>
      <c r="IM1237" s="36"/>
      <c r="IN1237" s="36"/>
      <c r="IO1237" s="36"/>
      <c r="IP1237" s="36"/>
      <c r="IQ1237" s="36"/>
      <c r="IR1237" s="36"/>
      <c r="IS1237" s="36"/>
      <c r="IT1237" s="36"/>
      <c r="IU1237" s="36"/>
      <c r="IV1237" s="36"/>
      <c r="IW1237" s="36"/>
      <c r="IX1237" s="36"/>
      <c r="IY1237" s="36"/>
      <c r="IZ1237" s="36"/>
      <c r="JA1237" s="36"/>
      <c r="JB1237" s="36"/>
      <c r="JC1237" s="36"/>
      <c r="JD1237" s="36"/>
      <c r="JE1237" s="36"/>
      <c r="JF1237" s="36"/>
      <c r="JG1237" s="36"/>
      <c r="JH1237" s="36"/>
      <c r="JI1237" s="36"/>
      <c r="JJ1237" s="36"/>
      <c r="JK1237" s="36"/>
      <c r="JL1237" s="36"/>
      <c r="JM1237" s="36"/>
      <c r="JN1237" s="36"/>
      <c r="JO1237" s="36"/>
      <c r="JP1237" s="36"/>
      <c r="JQ1237" s="36"/>
      <c r="JR1237" s="36"/>
      <c r="JS1237" s="36"/>
      <c r="JT1237" s="36"/>
      <c r="JU1237" s="36"/>
      <c r="JV1237" s="36"/>
      <c r="JW1237" s="36"/>
      <c r="JX1237" s="36"/>
      <c r="JY1237" s="36"/>
      <c r="JZ1237" s="36"/>
      <c r="KA1237" s="36"/>
      <c r="KB1237" s="36"/>
      <c r="KC1237" s="36"/>
      <c r="KD1237" s="36"/>
      <c r="KE1237" s="36"/>
      <c r="KF1237" s="36"/>
      <c r="KG1237" s="36"/>
      <c r="KH1237" s="36"/>
      <c r="KI1237" s="36"/>
      <c r="KJ1237" s="36"/>
      <c r="KK1237" s="36"/>
      <c r="KL1237" s="36"/>
      <c r="KM1237" s="36"/>
      <c r="KN1237" s="36"/>
      <c r="KO1237" s="36"/>
      <c r="KP1237" s="36"/>
      <c r="KQ1237" s="36"/>
      <c r="KR1237" s="36"/>
      <c r="KS1237" s="36"/>
      <c r="KT1237" s="36"/>
      <c r="KU1237" s="36"/>
      <c r="KV1237" s="36"/>
      <c r="KW1237" s="36"/>
      <c r="KX1237" s="36"/>
      <c r="KY1237" s="36"/>
      <c r="KZ1237" s="36"/>
      <c r="LA1237" s="36"/>
      <c r="LB1237" s="36"/>
      <c r="LC1237" s="36"/>
      <c r="LD1237" s="36"/>
      <c r="LE1237" s="36"/>
      <c r="LF1237" s="36"/>
      <c r="LG1237" s="36"/>
      <c r="LH1237" s="36"/>
      <c r="LI1237" s="36"/>
      <c r="LJ1237" s="36"/>
      <c r="LK1237" s="36"/>
      <c r="LL1237" s="36"/>
      <c r="LM1237" s="36"/>
      <c r="LN1237" s="36"/>
      <c r="LO1237" s="36"/>
      <c r="LP1237" s="36"/>
      <c r="LQ1237" s="36"/>
      <c r="LR1237" s="36"/>
      <c r="LS1237" s="36"/>
      <c r="LT1237" s="36"/>
      <c r="LU1237" s="36"/>
      <c r="LV1237" s="36"/>
      <c r="LW1237" s="36"/>
      <c r="LX1237" s="36"/>
      <c r="LY1237" s="36"/>
      <c r="LZ1237" s="36"/>
      <c r="MA1237" s="36"/>
      <c r="MB1237" s="36"/>
      <c r="MC1237" s="36"/>
      <c r="MD1237" s="36"/>
      <c r="ME1237" s="36"/>
      <c r="MF1237" s="36"/>
      <c r="MG1237" s="36"/>
      <c r="MH1237" s="36"/>
      <c r="MI1237" s="36"/>
      <c r="MJ1237" s="36"/>
      <c r="MK1237" s="36"/>
      <c r="ML1237" s="36"/>
      <c r="MM1237" s="36"/>
      <c r="MN1237" s="36"/>
      <c r="MO1237" s="36"/>
      <c r="MP1237" s="36"/>
      <c r="MQ1237" s="36"/>
      <c r="MR1237" s="36"/>
      <c r="MS1237" s="36"/>
      <c r="MT1237" s="36"/>
      <c r="MU1237" s="36"/>
      <c r="MV1237" s="36"/>
      <c r="MW1237" s="36"/>
      <c r="MX1237" s="36"/>
      <c r="MY1237" s="36"/>
      <c r="MZ1237" s="36"/>
      <c r="NA1237" s="36"/>
      <c r="NB1237" s="36"/>
      <c r="NC1237" s="36"/>
      <c r="ND1237" s="36"/>
      <c r="NE1237" s="36"/>
      <c r="NF1237" s="36"/>
      <c r="NG1237" s="36"/>
      <c r="NH1237" s="36"/>
      <c r="NI1237" s="36"/>
      <c r="NJ1237" s="36"/>
      <c r="NK1237" s="36"/>
      <c r="NL1237" s="36"/>
      <c r="NM1237" s="36"/>
      <c r="NN1237" s="36"/>
      <c r="NO1237" s="36"/>
      <c r="NP1237" s="36"/>
      <c r="NQ1237" s="36"/>
      <c r="NR1237" s="36"/>
      <c r="NS1237" s="36"/>
      <c r="NT1237" s="36"/>
      <c r="NU1237" s="36"/>
      <c r="NV1237" s="36"/>
      <c r="NW1237" s="36"/>
      <c r="NX1237" s="36"/>
      <c r="NY1237" s="36"/>
      <c r="NZ1237" s="36"/>
      <c r="OA1237" s="36"/>
      <c r="OB1237" s="36"/>
      <c r="OC1237" s="36"/>
      <c r="OD1237" s="36"/>
      <c r="OE1237" s="36"/>
      <c r="OF1237" s="36"/>
      <c r="OG1237" s="36"/>
      <c r="OH1237" s="36"/>
      <c r="OI1237" s="36"/>
      <c r="OJ1237" s="36"/>
      <c r="OK1237" s="36"/>
      <c r="OL1237" s="36"/>
      <c r="OM1237" s="36"/>
      <c r="ON1237" s="36"/>
      <c r="OO1237" s="36"/>
      <c r="OP1237" s="36"/>
      <c r="OQ1237" s="36"/>
      <c r="OR1237" s="36"/>
      <c r="OS1237" s="36"/>
      <c r="OT1237" s="36"/>
      <c r="OU1237" s="36"/>
      <c r="OV1237" s="36"/>
      <c r="OW1237" s="36"/>
      <c r="OX1237" s="36"/>
      <c r="OY1237" s="36"/>
      <c r="OZ1237" s="36"/>
      <c r="PA1237" s="36"/>
      <c r="PB1237" s="36"/>
      <c r="PC1237" s="36"/>
      <c r="PD1237" s="36"/>
      <c r="PE1237" s="36"/>
      <c r="PF1237" s="36"/>
      <c r="PG1237" s="36"/>
      <c r="PH1237" s="36"/>
      <c r="PI1237" s="36"/>
      <c r="PJ1237" s="36"/>
      <c r="PK1237" s="36"/>
      <c r="PL1237" s="36"/>
      <c r="PM1237" s="36"/>
      <c r="PN1237" s="36"/>
      <c r="PO1237" s="36"/>
      <c r="PP1237" s="36"/>
      <c r="PQ1237" s="36"/>
      <c r="PR1237" s="36"/>
      <c r="PS1237" s="36"/>
      <c r="PT1237" s="36"/>
      <c r="PU1237" s="36"/>
      <c r="PV1237" s="36"/>
      <c r="PW1237" s="36"/>
      <c r="PX1237" s="36"/>
      <c r="PY1237" s="36"/>
      <c r="PZ1237" s="36"/>
      <c r="QA1237" s="36"/>
      <c r="QB1237" s="36"/>
      <c r="QC1237" s="36"/>
      <c r="QD1237" s="36"/>
      <c r="QE1237" s="36"/>
      <c r="QF1237" s="36"/>
      <c r="QG1237" s="36"/>
      <c r="QH1237" s="36"/>
      <c r="QI1237" s="36"/>
      <c r="QJ1237" s="36"/>
      <c r="QK1237" s="36"/>
      <c r="QL1237" s="36"/>
      <c r="QM1237" s="36"/>
      <c r="QN1237" s="36"/>
      <c r="QO1237" s="36"/>
      <c r="QP1237" s="36"/>
      <c r="QQ1237" s="36"/>
      <c r="QR1237" s="36"/>
      <c r="QS1237" s="36"/>
      <c r="QT1237" s="36"/>
      <c r="QU1237" s="36"/>
      <c r="QV1237" s="36"/>
      <c r="QW1237" s="36"/>
      <c r="QX1237" s="36"/>
      <c r="QY1237" s="36"/>
      <c r="QZ1237" s="36"/>
      <c r="RA1237" s="36"/>
      <c r="RB1237" s="36"/>
      <c r="RC1237" s="36"/>
      <c r="RD1237" s="36"/>
      <c r="RE1237" s="36"/>
      <c r="RF1237" s="36"/>
      <c r="RG1237" s="36"/>
      <c r="RH1237" s="36"/>
      <c r="RI1237" s="36"/>
      <c r="RJ1237" s="36"/>
      <c r="RK1237" s="36"/>
      <c r="RL1237" s="36"/>
      <c r="RM1237" s="36"/>
      <c r="RN1237" s="36"/>
      <c r="RO1237" s="36"/>
      <c r="RP1237" s="36"/>
      <c r="RQ1237" s="36"/>
      <c r="RR1237" s="36"/>
      <c r="RS1237" s="36"/>
      <c r="RT1237" s="36"/>
      <c r="RU1237" s="36"/>
      <c r="RV1237" s="36"/>
      <c r="RW1237" s="36"/>
      <c r="RX1237" s="36"/>
      <c r="RY1237" s="36"/>
      <c r="RZ1237" s="36"/>
      <c r="SA1237" s="36"/>
      <c r="SB1237" s="36"/>
      <c r="SC1237" s="36"/>
      <c r="SD1237" s="36"/>
      <c r="SE1237" s="36"/>
      <c r="SF1237" s="36"/>
      <c r="SG1237" s="36"/>
      <c r="SH1237" s="36"/>
      <c r="SI1237" s="36"/>
      <c r="SJ1237" s="36"/>
      <c r="SK1237" s="36"/>
      <c r="SL1237" s="36"/>
      <c r="SM1237" s="36"/>
      <c r="SN1237" s="36"/>
      <c r="SO1237" s="36"/>
      <c r="SP1237" s="36"/>
      <c r="SQ1237" s="36"/>
      <c r="SR1237" s="36"/>
      <c r="SS1237" s="36"/>
      <c r="ST1237" s="36"/>
      <c r="SU1237" s="36"/>
      <c r="SV1237" s="36"/>
      <c r="SW1237" s="36"/>
      <c r="SX1237" s="36"/>
      <c r="SY1237" s="36"/>
      <c r="SZ1237" s="36"/>
      <c r="TA1237" s="36"/>
      <c r="TB1237" s="36"/>
      <c r="TC1237" s="36"/>
      <c r="TD1237" s="36"/>
      <c r="TE1237" s="36"/>
      <c r="TF1237" s="36"/>
      <c r="TG1237" s="36"/>
      <c r="TH1237" s="36"/>
      <c r="TI1237" s="36"/>
      <c r="TJ1237" s="36"/>
      <c r="TK1237" s="36"/>
      <c r="TL1237" s="36"/>
      <c r="TM1237" s="36"/>
      <c r="TN1237" s="36"/>
      <c r="TO1237" s="36"/>
      <c r="TP1237" s="36"/>
      <c r="TQ1237" s="36"/>
      <c r="TR1237" s="36"/>
      <c r="TS1237" s="36"/>
      <c r="TT1237" s="36"/>
      <c r="TU1237" s="36"/>
      <c r="TV1237" s="36"/>
      <c r="TW1237" s="36"/>
      <c r="TX1237" s="36"/>
      <c r="TY1237" s="36"/>
      <c r="TZ1237" s="36"/>
      <c r="UA1237" s="36"/>
      <c r="UB1237" s="36"/>
      <c r="UC1237" s="36"/>
      <c r="UD1237" s="36"/>
      <c r="UE1237" s="36"/>
      <c r="UF1237" s="36"/>
      <c r="UG1237" s="37"/>
    </row>
    <row r="1238" spans="1:553" ht="29.25" customHeight="1">
      <c r="A1238" s="356" t="s">
        <v>58</v>
      </c>
      <c r="B1238" s="356"/>
      <c r="C1238" s="1431" t="s">
        <v>684</v>
      </c>
      <c r="D1238" s="1389"/>
      <c r="E1238" s="1389"/>
      <c r="F1238" s="1390"/>
      <c r="G1238" s="356"/>
      <c r="H1238" s="359"/>
      <c r="I1238" s="359"/>
      <c r="J1238" s="357"/>
      <c r="K1238" s="364"/>
      <c r="L1238" s="645">
        <v>0</v>
      </c>
      <c r="M1238" s="356"/>
      <c r="N1238" s="356"/>
      <c r="O1238" s="356"/>
      <c r="P1238" s="356">
        <f t="shared" ref="P1238:P1239" si="186">L1238</f>
        <v>0</v>
      </c>
      <c r="Q1238" s="610"/>
      <c r="R1238" s="1226"/>
      <c r="S1238" s="308"/>
      <c r="T1238" s="308"/>
      <c r="U1238" s="308"/>
      <c r="V1238" s="308"/>
      <c r="W1238" s="308"/>
      <c r="X1238" s="308"/>
      <c r="Y1238" s="308"/>
      <c r="Z1238" s="604"/>
      <c r="AA1238" s="308"/>
      <c r="AB1238" s="308"/>
      <c r="AC1238" s="365"/>
      <c r="AD1238" s="365"/>
      <c r="AE1238" s="365"/>
      <c r="AF1238" s="365"/>
      <c r="AG1238" s="365"/>
      <c r="AH1238" s="365"/>
      <c r="AI1238" s="365"/>
      <c r="AJ1238" s="365"/>
      <c r="AK1238" s="377"/>
      <c r="AL1238" s="343"/>
      <c r="AM1238" s="24"/>
      <c r="AN1238" s="24"/>
      <c r="AO1238" s="24"/>
      <c r="AP1238" s="24"/>
      <c r="AQ1238" s="24"/>
      <c r="AR1238" s="24"/>
      <c r="AS1238" s="18"/>
      <c r="AT1238" s="18"/>
      <c r="AU1238" s="18"/>
      <c r="AV1238" s="18"/>
      <c r="AW1238" s="18"/>
      <c r="AX1238" s="18"/>
      <c r="AY1238" s="18"/>
      <c r="AZ1238" s="18"/>
      <c r="BA1238" s="18"/>
      <c r="BB1238" s="18"/>
      <c r="BC1238" s="18"/>
      <c r="BD1238" s="18"/>
      <c r="BE1238" s="18"/>
      <c r="BF1238" s="18"/>
      <c r="BG1238" s="18"/>
      <c r="BH1238" s="18"/>
      <c r="BI1238" s="18"/>
      <c r="BJ1238" s="18"/>
      <c r="BK1238" s="18"/>
      <c r="BL1238" s="18"/>
      <c r="BM1238" s="18"/>
      <c r="BN1238" s="18"/>
      <c r="BO1238" s="18"/>
      <c r="BP1238" s="18"/>
      <c r="BQ1238" s="18"/>
      <c r="BR1238" s="18"/>
      <c r="BS1238" s="18"/>
      <c r="BT1238" s="18"/>
      <c r="BU1238" s="18"/>
      <c r="BV1238" s="18"/>
      <c r="BW1238" s="18"/>
      <c r="BX1238" s="18"/>
      <c r="BY1238" s="18"/>
      <c r="BZ1238" s="18"/>
      <c r="CA1238" s="18"/>
      <c r="CB1238" s="18"/>
      <c r="CC1238" s="18"/>
      <c r="CD1238" s="18"/>
      <c r="CE1238" s="18"/>
      <c r="CF1238" s="18"/>
      <c r="CG1238" s="18"/>
      <c r="CH1238" s="18"/>
      <c r="CI1238" s="18"/>
      <c r="CJ1238" s="18"/>
      <c r="CK1238" s="18"/>
      <c r="CL1238" s="18"/>
      <c r="CM1238" s="18"/>
      <c r="CN1238" s="18"/>
      <c r="CO1238" s="18"/>
      <c r="CP1238" s="18"/>
      <c r="CQ1238" s="18"/>
      <c r="CR1238" s="18"/>
      <c r="CS1238" s="18"/>
      <c r="CT1238" s="18"/>
      <c r="CU1238" s="18"/>
      <c r="CV1238" s="18"/>
      <c r="CW1238" s="18"/>
      <c r="CX1238" s="18"/>
      <c r="CY1238" s="18"/>
      <c r="CZ1238" s="18"/>
      <c r="DA1238" s="18"/>
      <c r="DB1238" s="18"/>
      <c r="DC1238" s="18"/>
      <c r="DD1238" s="18"/>
      <c r="DE1238" s="18"/>
      <c r="DF1238" s="18"/>
      <c r="DG1238" s="18"/>
      <c r="DH1238" s="18"/>
      <c r="DI1238" s="18"/>
      <c r="DJ1238" s="18"/>
      <c r="DK1238" s="18"/>
      <c r="DL1238" s="18"/>
      <c r="DM1238" s="18"/>
      <c r="DN1238" s="18"/>
      <c r="DO1238" s="18"/>
      <c r="DP1238" s="18"/>
      <c r="DQ1238" s="18"/>
      <c r="DR1238" s="18"/>
      <c r="DS1238" s="18"/>
      <c r="DT1238" s="18"/>
      <c r="DU1238" s="18"/>
      <c r="DV1238" s="18"/>
      <c r="DW1238" s="18"/>
      <c r="DX1238" s="18"/>
      <c r="DY1238" s="18"/>
      <c r="DZ1238" s="18"/>
      <c r="EA1238" s="18"/>
      <c r="EB1238" s="18"/>
      <c r="EC1238" s="18"/>
      <c r="ED1238" s="18"/>
      <c r="EE1238" s="18"/>
      <c r="EF1238" s="18"/>
      <c r="EG1238" s="18"/>
      <c r="EH1238" s="18"/>
      <c r="EI1238" s="18"/>
      <c r="EJ1238" s="18"/>
      <c r="EK1238" s="18"/>
      <c r="EL1238" s="18"/>
      <c r="EM1238" s="18"/>
      <c r="EN1238" s="18"/>
      <c r="EO1238" s="18"/>
      <c r="EP1238" s="18"/>
      <c r="EQ1238" s="18"/>
      <c r="ER1238" s="18"/>
      <c r="ES1238" s="18"/>
      <c r="ET1238" s="18"/>
      <c r="EU1238" s="18"/>
      <c r="EV1238" s="18"/>
      <c r="EW1238" s="18"/>
      <c r="EX1238" s="18"/>
      <c r="EY1238" s="18"/>
      <c r="EZ1238" s="18"/>
      <c r="FA1238" s="18"/>
      <c r="FB1238" s="18"/>
      <c r="FC1238" s="18"/>
      <c r="FD1238" s="18"/>
      <c r="FE1238" s="18"/>
      <c r="FF1238" s="18"/>
      <c r="FG1238" s="18"/>
      <c r="FH1238" s="18"/>
      <c r="FI1238" s="18"/>
      <c r="FJ1238" s="18"/>
      <c r="FK1238" s="18"/>
      <c r="FL1238" s="18"/>
      <c r="FM1238" s="18"/>
      <c r="FN1238" s="18"/>
      <c r="FO1238" s="18"/>
      <c r="FP1238" s="18"/>
      <c r="FQ1238" s="18"/>
      <c r="FR1238" s="18"/>
      <c r="FS1238" s="18"/>
      <c r="FT1238" s="18"/>
      <c r="FU1238" s="18"/>
      <c r="FV1238" s="18"/>
      <c r="FW1238" s="18"/>
      <c r="FX1238" s="18"/>
      <c r="FY1238" s="18"/>
      <c r="FZ1238" s="18"/>
      <c r="GA1238" s="18"/>
      <c r="GB1238" s="18"/>
      <c r="GC1238" s="18"/>
      <c r="GD1238" s="18"/>
      <c r="GE1238" s="18"/>
      <c r="GF1238" s="18"/>
      <c r="GG1238" s="18"/>
      <c r="GH1238" s="18"/>
      <c r="GI1238" s="18"/>
      <c r="GJ1238" s="18"/>
      <c r="GK1238" s="18"/>
      <c r="GL1238" s="18"/>
      <c r="GM1238" s="18"/>
      <c r="GN1238" s="18"/>
      <c r="GO1238" s="18"/>
      <c r="GP1238" s="18"/>
      <c r="GQ1238" s="18"/>
      <c r="GR1238" s="18"/>
      <c r="GS1238" s="18"/>
      <c r="GT1238" s="18"/>
      <c r="GU1238" s="18"/>
      <c r="GV1238" s="18"/>
      <c r="GW1238" s="18"/>
      <c r="GX1238" s="18"/>
      <c r="GY1238" s="18"/>
      <c r="GZ1238" s="18"/>
      <c r="HA1238" s="18"/>
      <c r="HB1238" s="18"/>
      <c r="HC1238" s="18"/>
      <c r="HD1238" s="18"/>
      <c r="HE1238" s="18"/>
      <c r="HF1238" s="18"/>
      <c r="HG1238" s="18"/>
      <c r="HH1238" s="18"/>
      <c r="HI1238" s="18"/>
      <c r="HJ1238" s="18"/>
      <c r="HK1238" s="18"/>
      <c r="HL1238" s="18"/>
      <c r="HM1238" s="18"/>
      <c r="HN1238" s="18"/>
      <c r="HO1238" s="18"/>
      <c r="HP1238" s="18"/>
      <c r="HQ1238" s="18"/>
      <c r="HR1238" s="18"/>
      <c r="HS1238" s="18"/>
      <c r="HT1238" s="18"/>
      <c r="HU1238" s="18"/>
      <c r="HV1238" s="18"/>
      <c r="HW1238" s="18"/>
      <c r="HX1238" s="18"/>
      <c r="HY1238" s="18"/>
      <c r="HZ1238" s="18"/>
      <c r="IA1238" s="18"/>
      <c r="IB1238" s="18"/>
      <c r="IC1238" s="18"/>
      <c r="ID1238" s="18"/>
      <c r="IE1238" s="18"/>
      <c r="IF1238" s="18"/>
      <c r="IG1238" s="18"/>
      <c r="IH1238" s="18"/>
      <c r="II1238" s="18"/>
      <c r="IJ1238" s="18"/>
      <c r="IK1238" s="18"/>
      <c r="IL1238" s="18"/>
      <c r="IM1238" s="18"/>
      <c r="IN1238" s="18"/>
      <c r="IO1238" s="18"/>
      <c r="IP1238" s="18"/>
      <c r="IQ1238" s="18"/>
      <c r="IR1238" s="18"/>
      <c r="IS1238" s="18"/>
      <c r="IT1238" s="18"/>
      <c r="IU1238" s="18"/>
      <c r="IV1238" s="18"/>
      <c r="IW1238" s="18"/>
      <c r="IX1238" s="18"/>
      <c r="IY1238" s="18"/>
      <c r="IZ1238" s="18"/>
      <c r="JA1238" s="18"/>
      <c r="JB1238" s="18"/>
      <c r="JC1238" s="18"/>
      <c r="JD1238" s="18"/>
      <c r="JE1238" s="18"/>
      <c r="JF1238" s="18"/>
      <c r="JG1238" s="18"/>
      <c r="JH1238" s="18"/>
      <c r="JI1238" s="18"/>
      <c r="JJ1238" s="18"/>
      <c r="JK1238" s="18"/>
      <c r="JL1238" s="18"/>
      <c r="JM1238" s="18"/>
      <c r="JN1238" s="18"/>
      <c r="JO1238" s="18"/>
      <c r="JP1238" s="18"/>
      <c r="JQ1238" s="18"/>
      <c r="JR1238" s="18"/>
      <c r="JS1238" s="18"/>
      <c r="JT1238" s="18"/>
      <c r="JU1238" s="18"/>
      <c r="JV1238" s="18"/>
      <c r="JW1238" s="18"/>
      <c r="JX1238" s="18"/>
      <c r="JY1238" s="18"/>
      <c r="JZ1238" s="18"/>
      <c r="KA1238" s="18"/>
      <c r="KB1238" s="18"/>
      <c r="KC1238" s="18"/>
      <c r="KD1238" s="18"/>
      <c r="KE1238" s="18"/>
      <c r="KF1238" s="18"/>
      <c r="KG1238" s="18"/>
      <c r="KH1238" s="18"/>
      <c r="KI1238" s="18"/>
      <c r="KJ1238" s="18"/>
      <c r="KK1238" s="18"/>
      <c r="KL1238" s="18"/>
      <c r="KM1238" s="18"/>
      <c r="KN1238" s="18"/>
      <c r="KO1238" s="18"/>
      <c r="KP1238" s="18"/>
      <c r="KQ1238" s="18"/>
      <c r="KR1238" s="18"/>
      <c r="KS1238" s="18"/>
      <c r="KT1238" s="18"/>
      <c r="KU1238" s="18"/>
      <c r="KV1238" s="18"/>
      <c r="KW1238" s="18"/>
      <c r="KX1238" s="18"/>
      <c r="KY1238" s="18"/>
      <c r="KZ1238" s="18"/>
      <c r="LA1238" s="18"/>
      <c r="LB1238" s="18"/>
      <c r="LC1238" s="18"/>
      <c r="LD1238" s="18"/>
      <c r="LE1238" s="18"/>
      <c r="LF1238" s="18"/>
      <c r="LG1238" s="18"/>
      <c r="LH1238" s="18"/>
      <c r="LI1238" s="18"/>
      <c r="LJ1238" s="18"/>
      <c r="LK1238" s="18"/>
      <c r="LL1238" s="18"/>
      <c r="LM1238" s="18"/>
      <c r="LN1238" s="18"/>
      <c r="LO1238" s="18"/>
      <c r="LP1238" s="18"/>
      <c r="LQ1238" s="18"/>
      <c r="LR1238" s="18"/>
      <c r="LS1238" s="18"/>
      <c r="LT1238" s="18"/>
      <c r="LU1238" s="18"/>
      <c r="LV1238" s="18"/>
      <c r="LW1238" s="18"/>
      <c r="LX1238" s="18"/>
      <c r="LY1238" s="18"/>
      <c r="LZ1238" s="18"/>
      <c r="MA1238" s="18"/>
      <c r="MB1238" s="18"/>
      <c r="MC1238" s="18"/>
      <c r="MD1238" s="18"/>
      <c r="ME1238" s="18"/>
      <c r="MF1238" s="18"/>
      <c r="MG1238" s="18"/>
      <c r="MH1238" s="18"/>
      <c r="MI1238" s="18"/>
      <c r="MJ1238" s="18"/>
      <c r="MK1238" s="18"/>
      <c r="ML1238" s="18"/>
      <c r="MM1238" s="18"/>
      <c r="MN1238" s="18"/>
      <c r="MO1238" s="18"/>
      <c r="MP1238" s="18"/>
      <c r="MQ1238" s="18"/>
      <c r="MR1238" s="18"/>
      <c r="MS1238" s="18"/>
      <c r="MT1238" s="18"/>
      <c r="MU1238" s="18"/>
      <c r="MV1238" s="18"/>
      <c r="MW1238" s="18"/>
      <c r="MX1238" s="18"/>
      <c r="MY1238" s="18"/>
      <c r="MZ1238" s="18"/>
      <c r="NA1238" s="18"/>
      <c r="NB1238" s="18"/>
      <c r="NC1238" s="18"/>
      <c r="ND1238" s="18"/>
      <c r="NE1238" s="18"/>
      <c r="NF1238" s="18"/>
      <c r="NG1238" s="18"/>
      <c r="NH1238" s="18"/>
      <c r="NI1238" s="18"/>
      <c r="NJ1238" s="18"/>
      <c r="NK1238" s="18"/>
      <c r="NL1238" s="18"/>
      <c r="NM1238" s="18"/>
      <c r="NN1238" s="18"/>
      <c r="NO1238" s="18"/>
      <c r="NP1238" s="18"/>
      <c r="NQ1238" s="18"/>
      <c r="NR1238" s="18"/>
      <c r="NS1238" s="18"/>
      <c r="NT1238" s="18"/>
      <c r="NU1238" s="18"/>
      <c r="NV1238" s="18"/>
      <c r="NW1238" s="18"/>
      <c r="NX1238" s="18"/>
      <c r="NY1238" s="18"/>
      <c r="NZ1238" s="18"/>
      <c r="OA1238" s="18"/>
      <c r="OB1238" s="18"/>
      <c r="OC1238" s="18"/>
      <c r="OD1238" s="18"/>
      <c r="OE1238" s="18"/>
      <c r="OF1238" s="18"/>
      <c r="OG1238" s="18"/>
      <c r="OH1238" s="18"/>
      <c r="OI1238" s="18"/>
      <c r="OJ1238" s="18"/>
      <c r="OK1238" s="18"/>
      <c r="OL1238" s="18"/>
      <c r="OM1238" s="18"/>
      <c r="ON1238" s="18"/>
      <c r="OO1238" s="18"/>
      <c r="OP1238" s="18"/>
      <c r="OQ1238" s="18"/>
      <c r="OR1238" s="18"/>
      <c r="OS1238" s="18"/>
      <c r="OT1238" s="18"/>
      <c r="OU1238" s="18"/>
      <c r="OV1238" s="18"/>
      <c r="OW1238" s="18"/>
      <c r="OX1238" s="18"/>
      <c r="OY1238" s="18"/>
      <c r="OZ1238" s="18"/>
      <c r="PA1238" s="18"/>
      <c r="PB1238" s="18"/>
      <c r="PC1238" s="18"/>
      <c r="PD1238" s="18"/>
      <c r="PE1238" s="18"/>
      <c r="PF1238" s="18"/>
      <c r="PG1238" s="18"/>
      <c r="PH1238" s="18"/>
      <c r="PI1238" s="18"/>
      <c r="PJ1238" s="18"/>
      <c r="PK1238" s="18"/>
      <c r="PL1238" s="18"/>
      <c r="PM1238" s="18"/>
      <c r="PN1238" s="18"/>
      <c r="PO1238" s="18"/>
      <c r="PP1238" s="18"/>
      <c r="PQ1238" s="18"/>
      <c r="PR1238" s="18"/>
      <c r="PS1238" s="18"/>
      <c r="PT1238" s="18"/>
      <c r="PU1238" s="18"/>
      <c r="PV1238" s="18"/>
      <c r="PW1238" s="18"/>
      <c r="PX1238" s="18"/>
      <c r="PY1238" s="18"/>
      <c r="PZ1238" s="18"/>
      <c r="QA1238" s="18"/>
      <c r="QB1238" s="18"/>
      <c r="QC1238" s="18"/>
      <c r="QD1238" s="18"/>
      <c r="QE1238" s="18"/>
      <c r="QF1238" s="18"/>
      <c r="QG1238" s="18"/>
      <c r="QH1238" s="18"/>
      <c r="QI1238" s="18"/>
      <c r="QJ1238" s="18"/>
      <c r="QK1238" s="18"/>
      <c r="QL1238" s="18"/>
      <c r="QM1238" s="18"/>
      <c r="QN1238" s="18"/>
      <c r="QO1238" s="18"/>
      <c r="QP1238" s="18"/>
      <c r="QQ1238" s="18"/>
      <c r="QR1238" s="18"/>
      <c r="QS1238" s="18"/>
      <c r="QT1238" s="18"/>
      <c r="QU1238" s="18"/>
      <c r="QV1238" s="18"/>
      <c r="QW1238" s="18"/>
      <c r="QX1238" s="18"/>
      <c r="QY1238" s="18"/>
      <c r="QZ1238" s="18"/>
      <c r="RA1238" s="18"/>
      <c r="RB1238" s="18"/>
      <c r="RC1238" s="18"/>
      <c r="RD1238" s="18"/>
      <c r="RE1238" s="18"/>
      <c r="RF1238" s="18"/>
      <c r="RG1238" s="18"/>
      <c r="RH1238" s="18"/>
      <c r="RI1238" s="18"/>
      <c r="RJ1238" s="18"/>
      <c r="RK1238" s="18"/>
      <c r="RL1238" s="18"/>
      <c r="RM1238" s="18"/>
      <c r="RN1238" s="18"/>
      <c r="RO1238" s="18"/>
      <c r="RP1238" s="18"/>
      <c r="RQ1238" s="18"/>
      <c r="RR1238" s="18"/>
      <c r="RS1238" s="18"/>
      <c r="RT1238" s="18"/>
      <c r="RU1238" s="18"/>
      <c r="RV1238" s="18"/>
      <c r="RW1238" s="18"/>
      <c r="RX1238" s="18"/>
      <c r="RY1238" s="18"/>
      <c r="RZ1238" s="18"/>
      <c r="SA1238" s="18"/>
      <c r="SB1238" s="18"/>
      <c r="SC1238" s="18"/>
      <c r="SD1238" s="18"/>
      <c r="SE1238" s="18"/>
      <c r="SF1238" s="18"/>
      <c r="SG1238" s="18"/>
      <c r="SH1238" s="18"/>
      <c r="SI1238" s="18"/>
      <c r="SJ1238" s="18"/>
      <c r="SK1238" s="18"/>
      <c r="SL1238" s="18"/>
      <c r="SM1238" s="18"/>
      <c r="SN1238" s="18"/>
      <c r="SO1238" s="18"/>
      <c r="SP1238" s="18"/>
      <c r="SQ1238" s="18"/>
      <c r="SR1238" s="18"/>
      <c r="SS1238" s="18"/>
      <c r="ST1238" s="18"/>
      <c r="SU1238" s="18"/>
      <c r="SV1238" s="18"/>
      <c r="SW1238" s="18"/>
      <c r="SX1238" s="18"/>
      <c r="SY1238" s="18"/>
      <c r="SZ1238" s="18"/>
      <c r="TA1238" s="18"/>
      <c r="TB1238" s="18"/>
      <c r="TC1238" s="18"/>
      <c r="TD1238" s="18"/>
      <c r="TE1238" s="18"/>
      <c r="TF1238" s="18"/>
      <c r="TG1238" s="18"/>
      <c r="TH1238" s="18"/>
      <c r="TI1238" s="18"/>
      <c r="TJ1238" s="18"/>
      <c r="TK1238" s="18"/>
      <c r="TL1238" s="18"/>
      <c r="TM1238" s="18"/>
      <c r="TN1238" s="18"/>
      <c r="TO1238" s="18"/>
      <c r="TP1238" s="18"/>
      <c r="TQ1238" s="18"/>
      <c r="TR1238" s="18"/>
      <c r="TS1238" s="18"/>
      <c r="TT1238" s="18"/>
      <c r="TU1238" s="18"/>
      <c r="TV1238" s="18"/>
      <c r="TW1238" s="18"/>
      <c r="TX1238" s="18"/>
      <c r="TY1238" s="18"/>
      <c r="TZ1238" s="18"/>
      <c r="UA1238" s="18"/>
      <c r="UB1238" s="18"/>
      <c r="UC1238" s="18"/>
      <c r="UD1238" s="18"/>
      <c r="UE1238" s="18"/>
      <c r="UF1238" s="18"/>
      <c r="UG1238" s="19"/>
    </row>
    <row r="1239" spans="1:553" ht="29.25" customHeight="1">
      <c r="A1239" s="356" t="s">
        <v>61</v>
      </c>
      <c r="B1239" s="428"/>
      <c r="C1239" s="1431" t="s">
        <v>62</v>
      </c>
      <c r="D1239" s="1389"/>
      <c r="E1239" s="1389"/>
      <c r="F1239" s="1390"/>
      <c r="G1239" s="429"/>
      <c r="H1239" s="359"/>
      <c r="I1239" s="359"/>
      <c r="J1239" s="357"/>
      <c r="K1239" s="364"/>
      <c r="L1239" s="645"/>
      <c r="M1239" s="356"/>
      <c r="N1239" s="356"/>
      <c r="O1239" s="356"/>
      <c r="P1239" s="358">
        <f t="shared" si="186"/>
        <v>0</v>
      </c>
      <c r="Q1239" s="610"/>
      <c r="R1239" s="1447" t="s">
        <v>63</v>
      </c>
      <c r="S1239" s="308"/>
      <c r="T1239" s="308"/>
      <c r="U1239" s="308"/>
      <c r="V1239" s="308"/>
      <c r="W1239" s="308"/>
      <c r="X1239" s="308"/>
      <c r="Y1239" s="308"/>
      <c r="Z1239" s="604"/>
      <c r="AA1239" s="308"/>
      <c r="AB1239" s="308"/>
      <c r="AC1239" s="365"/>
      <c r="AD1239" s="365"/>
      <c r="AE1239" s="365"/>
      <c r="AF1239" s="365"/>
      <c r="AG1239" s="365"/>
      <c r="AH1239" s="365"/>
      <c r="AI1239" s="365"/>
      <c r="AJ1239" s="365"/>
      <c r="AK1239" s="377"/>
      <c r="AL1239" s="343"/>
      <c r="AM1239" s="24"/>
      <c r="AN1239" s="24"/>
      <c r="AO1239" s="24"/>
      <c r="AP1239" s="24"/>
      <c r="AQ1239" s="24"/>
      <c r="AR1239" s="24"/>
      <c r="AS1239" s="18"/>
      <c r="AT1239" s="18"/>
      <c r="AU1239" s="18"/>
      <c r="AV1239" s="18"/>
      <c r="AW1239" s="18"/>
      <c r="AX1239" s="18"/>
      <c r="AY1239" s="18"/>
      <c r="AZ1239" s="18"/>
      <c r="BA1239" s="18"/>
      <c r="BB1239" s="18"/>
      <c r="BC1239" s="18"/>
      <c r="BD1239" s="18"/>
      <c r="BE1239" s="18"/>
      <c r="BF1239" s="18"/>
      <c r="BG1239" s="18"/>
      <c r="BH1239" s="18"/>
      <c r="BI1239" s="18"/>
      <c r="BJ1239" s="18"/>
      <c r="BK1239" s="18"/>
      <c r="BL1239" s="18"/>
      <c r="BM1239" s="18"/>
      <c r="BN1239" s="18"/>
      <c r="BO1239" s="18"/>
      <c r="BP1239" s="18"/>
      <c r="BQ1239" s="18"/>
      <c r="BR1239" s="18"/>
      <c r="BS1239" s="18"/>
      <c r="BT1239" s="18"/>
      <c r="BU1239" s="18"/>
      <c r="BV1239" s="18"/>
      <c r="BW1239" s="18"/>
      <c r="BX1239" s="18"/>
      <c r="BY1239" s="18"/>
      <c r="BZ1239" s="18"/>
      <c r="CA1239" s="18"/>
      <c r="CB1239" s="18"/>
      <c r="CC1239" s="18"/>
      <c r="CD1239" s="18"/>
      <c r="CE1239" s="18"/>
      <c r="CF1239" s="18"/>
      <c r="CG1239" s="18"/>
      <c r="CH1239" s="18"/>
      <c r="CI1239" s="18"/>
      <c r="CJ1239" s="18"/>
      <c r="CK1239" s="18"/>
      <c r="CL1239" s="18"/>
      <c r="CM1239" s="18"/>
      <c r="CN1239" s="18"/>
      <c r="CO1239" s="18"/>
      <c r="CP1239" s="18"/>
      <c r="CQ1239" s="18"/>
      <c r="CR1239" s="18"/>
      <c r="CS1239" s="18"/>
      <c r="CT1239" s="18"/>
      <c r="CU1239" s="18"/>
      <c r="CV1239" s="18"/>
      <c r="CW1239" s="18"/>
      <c r="CX1239" s="18"/>
      <c r="CY1239" s="18"/>
      <c r="CZ1239" s="18"/>
      <c r="DA1239" s="18"/>
      <c r="DB1239" s="18"/>
      <c r="DC1239" s="18"/>
      <c r="DD1239" s="18"/>
      <c r="DE1239" s="18"/>
      <c r="DF1239" s="18"/>
      <c r="DG1239" s="18"/>
      <c r="DH1239" s="18"/>
      <c r="DI1239" s="18"/>
      <c r="DJ1239" s="18"/>
      <c r="DK1239" s="18"/>
      <c r="DL1239" s="18"/>
      <c r="DM1239" s="18"/>
      <c r="DN1239" s="18"/>
      <c r="DO1239" s="18"/>
      <c r="DP1239" s="18"/>
      <c r="DQ1239" s="18"/>
      <c r="DR1239" s="18"/>
      <c r="DS1239" s="18"/>
      <c r="DT1239" s="18"/>
      <c r="DU1239" s="18"/>
      <c r="DV1239" s="18"/>
      <c r="DW1239" s="18"/>
      <c r="DX1239" s="18"/>
      <c r="DY1239" s="18"/>
      <c r="DZ1239" s="18"/>
      <c r="EA1239" s="18"/>
      <c r="EB1239" s="18"/>
      <c r="EC1239" s="18"/>
      <c r="ED1239" s="18"/>
      <c r="EE1239" s="18"/>
      <c r="EF1239" s="18"/>
      <c r="EG1239" s="18"/>
      <c r="EH1239" s="18"/>
      <c r="EI1239" s="18"/>
      <c r="EJ1239" s="18"/>
      <c r="EK1239" s="18"/>
      <c r="EL1239" s="18"/>
      <c r="EM1239" s="18"/>
      <c r="EN1239" s="18"/>
      <c r="EO1239" s="18"/>
      <c r="EP1239" s="18"/>
      <c r="EQ1239" s="18"/>
      <c r="ER1239" s="18"/>
      <c r="ES1239" s="18"/>
      <c r="ET1239" s="18"/>
      <c r="EU1239" s="18"/>
      <c r="EV1239" s="18"/>
      <c r="EW1239" s="18"/>
      <c r="EX1239" s="18"/>
      <c r="EY1239" s="18"/>
      <c r="EZ1239" s="18"/>
      <c r="FA1239" s="18"/>
      <c r="FB1239" s="18"/>
      <c r="FC1239" s="18"/>
      <c r="FD1239" s="18"/>
      <c r="FE1239" s="18"/>
      <c r="FF1239" s="18"/>
      <c r="FG1239" s="18"/>
      <c r="FH1239" s="18"/>
      <c r="FI1239" s="18"/>
      <c r="FJ1239" s="18"/>
      <c r="FK1239" s="18"/>
      <c r="FL1239" s="18"/>
      <c r="FM1239" s="18"/>
      <c r="FN1239" s="18"/>
      <c r="FO1239" s="18"/>
      <c r="FP1239" s="18"/>
      <c r="FQ1239" s="18"/>
      <c r="FR1239" s="18"/>
      <c r="FS1239" s="18"/>
      <c r="FT1239" s="18"/>
      <c r="FU1239" s="18"/>
      <c r="FV1239" s="18"/>
      <c r="FW1239" s="18"/>
      <c r="FX1239" s="18"/>
      <c r="FY1239" s="18"/>
      <c r="FZ1239" s="18"/>
      <c r="GA1239" s="18"/>
      <c r="GB1239" s="18"/>
      <c r="GC1239" s="18"/>
      <c r="GD1239" s="18"/>
      <c r="GE1239" s="18"/>
      <c r="GF1239" s="18"/>
      <c r="GG1239" s="18"/>
      <c r="GH1239" s="18"/>
      <c r="GI1239" s="18"/>
      <c r="GJ1239" s="18"/>
      <c r="GK1239" s="18"/>
      <c r="GL1239" s="18"/>
      <c r="GM1239" s="18"/>
      <c r="GN1239" s="18"/>
      <c r="GO1239" s="18"/>
      <c r="GP1239" s="18"/>
      <c r="GQ1239" s="18"/>
      <c r="GR1239" s="18"/>
      <c r="GS1239" s="18"/>
      <c r="GT1239" s="18"/>
      <c r="GU1239" s="18"/>
      <c r="GV1239" s="18"/>
      <c r="GW1239" s="18"/>
      <c r="GX1239" s="18"/>
      <c r="GY1239" s="18"/>
      <c r="GZ1239" s="18"/>
      <c r="HA1239" s="18"/>
      <c r="HB1239" s="18"/>
      <c r="HC1239" s="18"/>
      <c r="HD1239" s="18"/>
      <c r="HE1239" s="18"/>
      <c r="HF1239" s="18"/>
      <c r="HG1239" s="18"/>
      <c r="HH1239" s="18"/>
      <c r="HI1239" s="18"/>
      <c r="HJ1239" s="18"/>
      <c r="HK1239" s="18"/>
      <c r="HL1239" s="18"/>
      <c r="HM1239" s="18"/>
      <c r="HN1239" s="18"/>
      <c r="HO1239" s="18"/>
      <c r="HP1239" s="18"/>
      <c r="HQ1239" s="18"/>
      <c r="HR1239" s="18"/>
      <c r="HS1239" s="18"/>
      <c r="HT1239" s="18"/>
      <c r="HU1239" s="18"/>
      <c r="HV1239" s="18"/>
      <c r="HW1239" s="18"/>
      <c r="HX1239" s="18"/>
      <c r="HY1239" s="18"/>
      <c r="HZ1239" s="18"/>
      <c r="IA1239" s="18"/>
      <c r="IB1239" s="18"/>
      <c r="IC1239" s="18"/>
      <c r="ID1239" s="18"/>
      <c r="IE1239" s="18"/>
      <c r="IF1239" s="18"/>
      <c r="IG1239" s="18"/>
      <c r="IH1239" s="18"/>
      <c r="II1239" s="18"/>
      <c r="IJ1239" s="18"/>
      <c r="IK1239" s="18"/>
      <c r="IL1239" s="18"/>
      <c r="IM1239" s="18"/>
      <c r="IN1239" s="18"/>
      <c r="IO1239" s="18"/>
      <c r="IP1239" s="18"/>
      <c r="IQ1239" s="18"/>
      <c r="IR1239" s="18"/>
      <c r="IS1239" s="18"/>
      <c r="IT1239" s="18"/>
      <c r="IU1239" s="18"/>
      <c r="IV1239" s="18"/>
      <c r="IW1239" s="18"/>
      <c r="IX1239" s="18"/>
      <c r="IY1239" s="18"/>
      <c r="IZ1239" s="18"/>
      <c r="JA1239" s="18"/>
      <c r="JB1239" s="18"/>
      <c r="JC1239" s="18"/>
      <c r="JD1239" s="18"/>
      <c r="JE1239" s="18"/>
      <c r="JF1239" s="18"/>
      <c r="JG1239" s="18"/>
      <c r="JH1239" s="18"/>
      <c r="JI1239" s="18"/>
      <c r="JJ1239" s="18"/>
      <c r="JK1239" s="18"/>
      <c r="JL1239" s="18"/>
      <c r="JM1239" s="18"/>
      <c r="JN1239" s="18"/>
      <c r="JO1239" s="18"/>
      <c r="JP1239" s="18"/>
      <c r="JQ1239" s="18"/>
      <c r="JR1239" s="18"/>
      <c r="JS1239" s="18"/>
      <c r="JT1239" s="18"/>
      <c r="JU1239" s="18"/>
      <c r="JV1239" s="18"/>
      <c r="JW1239" s="18"/>
      <c r="JX1239" s="18"/>
      <c r="JY1239" s="18"/>
      <c r="JZ1239" s="18"/>
      <c r="KA1239" s="18"/>
      <c r="KB1239" s="18"/>
      <c r="KC1239" s="18"/>
      <c r="KD1239" s="18"/>
      <c r="KE1239" s="18"/>
      <c r="KF1239" s="18"/>
      <c r="KG1239" s="18"/>
      <c r="KH1239" s="18"/>
      <c r="KI1239" s="18"/>
      <c r="KJ1239" s="18"/>
      <c r="KK1239" s="18"/>
      <c r="KL1239" s="18"/>
      <c r="KM1239" s="18"/>
      <c r="KN1239" s="18"/>
      <c r="KO1239" s="18"/>
      <c r="KP1239" s="18"/>
      <c r="KQ1239" s="18"/>
      <c r="KR1239" s="18"/>
      <c r="KS1239" s="18"/>
      <c r="KT1239" s="18"/>
      <c r="KU1239" s="18"/>
      <c r="KV1239" s="18"/>
      <c r="KW1239" s="18"/>
      <c r="KX1239" s="18"/>
      <c r="KY1239" s="18"/>
      <c r="KZ1239" s="18"/>
      <c r="LA1239" s="18"/>
      <c r="LB1239" s="18"/>
      <c r="LC1239" s="18"/>
      <c r="LD1239" s="18"/>
      <c r="LE1239" s="18"/>
      <c r="LF1239" s="18"/>
      <c r="LG1239" s="18"/>
      <c r="LH1239" s="18"/>
      <c r="LI1239" s="18"/>
      <c r="LJ1239" s="18"/>
      <c r="LK1239" s="18"/>
      <c r="LL1239" s="18"/>
      <c r="LM1239" s="18"/>
      <c r="LN1239" s="18"/>
      <c r="LO1239" s="18"/>
      <c r="LP1239" s="18"/>
      <c r="LQ1239" s="18"/>
      <c r="LR1239" s="18"/>
      <c r="LS1239" s="18"/>
      <c r="LT1239" s="18"/>
      <c r="LU1239" s="18"/>
      <c r="LV1239" s="18"/>
      <c r="LW1239" s="18"/>
      <c r="LX1239" s="18"/>
      <c r="LY1239" s="18"/>
      <c r="LZ1239" s="18"/>
      <c r="MA1239" s="18"/>
      <c r="MB1239" s="18"/>
      <c r="MC1239" s="18"/>
      <c r="MD1239" s="18"/>
      <c r="ME1239" s="18"/>
      <c r="MF1239" s="18"/>
      <c r="MG1239" s="18"/>
      <c r="MH1239" s="18"/>
      <c r="MI1239" s="18"/>
      <c r="MJ1239" s="18"/>
      <c r="MK1239" s="18"/>
      <c r="ML1239" s="18"/>
      <c r="MM1239" s="18"/>
      <c r="MN1239" s="18"/>
      <c r="MO1239" s="18"/>
      <c r="MP1239" s="18"/>
      <c r="MQ1239" s="18"/>
      <c r="MR1239" s="18"/>
      <c r="MS1239" s="18"/>
      <c r="MT1239" s="18"/>
      <c r="MU1239" s="18"/>
      <c r="MV1239" s="18"/>
      <c r="MW1239" s="18"/>
      <c r="MX1239" s="18"/>
      <c r="MY1239" s="18"/>
      <c r="MZ1239" s="18"/>
      <c r="NA1239" s="18"/>
      <c r="NB1239" s="18"/>
      <c r="NC1239" s="18"/>
      <c r="ND1239" s="18"/>
      <c r="NE1239" s="18"/>
      <c r="NF1239" s="18"/>
      <c r="NG1239" s="18"/>
      <c r="NH1239" s="18"/>
      <c r="NI1239" s="18"/>
      <c r="NJ1239" s="18"/>
      <c r="NK1239" s="18"/>
      <c r="NL1239" s="18"/>
      <c r="NM1239" s="18"/>
      <c r="NN1239" s="18"/>
      <c r="NO1239" s="18"/>
      <c r="NP1239" s="18"/>
      <c r="NQ1239" s="18"/>
      <c r="NR1239" s="18"/>
      <c r="NS1239" s="18"/>
      <c r="NT1239" s="18"/>
      <c r="NU1239" s="18"/>
      <c r="NV1239" s="18"/>
      <c r="NW1239" s="18"/>
      <c r="NX1239" s="18"/>
      <c r="NY1239" s="18"/>
      <c r="NZ1239" s="18"/>
      <c r="OA1239" s="18"/>
      <c r="OB1239" s="18"/>
      <c r="OC1239" s="18"/>
      <c r="OD1239" s="18"/>
      <c r="OE1239" s="18"/>
      <c r="OF1239" s="18"/>
      <c r="OG1239" s="18"/>
      <c r="OH1239" s="18"/>
      <c r="OI1239" s="18"/>
      <c r="OJ1239" s="18"/>
      <c r="OK1239" s="18"/>
      <c r="OL1239" s="18"/>
      <c r="OM1239" s="18"/>
      <c r="ON1239" s="18"/>
      <c r="OO1239" s="18"/>
      <c r="OP1239" s="18"/>
      <c r="OQ1239" s="18"/>
      <c r="OR1239" s="18"/>
      <c r="OS1239" s="18"/>
      <c r="OT1239" s="18"/>
      <c r="OU1239" s="18"/>
      <c r="OV1239" s="18"/>
      <c r="OW1239" s="18"/>
      <c r="OX1239" s="18"/>
      <c r="OY1239" s="18"/>
      <c r="OZ1239" s="18"/>
      <c r="PA1239" s="18"/>
      <c r="PB1239" s="18"/>
      <c r="PC1239" s="18"/>
      <c r="PD1239" s="18"/>
      <c r="PE1239" s="18"/>
      <c r="PF1239" s="18"/>
      <c r="PG1239" s="18"/>
      <c r="PH1239" s="18"/>
      <c r="PI1239" s="18"/>
      <c r="PJ1239" s="18"/>
      <c r="PK1239" s="18"/>
      <c r="PL1239" s="18"/>
      <c r="PM1239" s="18"/>
      <c r="PN1239" s="18"/>
      <c r="PO1239" s="18"/>
      <c r="PP1239" s="18"/>
      <c r="PQ1239" s="18"/>
      <c r="PR1239" s="18"/>
      <c r="PS1239" s="18"/>
      <c r="PT1239" s="18"/>
      <c r="PU1239" s="18"/>
      <c r="PV1239" s="18"/>
      <c r="PW1239" s="18"/>
      <c r="PX1239" s="18"/>
      <c r="PY1239" s="18"/>
      <c r="PZ1239" s="18"/>
      <c r="QA1239" s="18"/>
      <c r="QB1239" s="18"/>
      <c r="QC1239" s="18"/>
      <c r="QD1239" s="18"/>
      <c r="QE1239" s="18"/>
      <c r="QF1239" s="18"/>
      <c r="QG1239" s="18"/>
      <c r="QH1239" s="18"/>
      <c r="QI1239" s="18"/>
      <c r="QJ1239" s="18"/>
      <c r="QK1239" s="18"/>
      <c r="QL1239" s="18"/>
      <c r="QM1239" s="18"/>
      <c r="QN1239" s="18"/>
      <c r="QO1239" s="18"/>
      <c r="QP1239" s="18"/>
      <c r="QQ1239" s="18"/>
      <c r="QR1239" s="18"/>
      <c r="QS1239" s="18"/>
      <c r="QT1239" s="18"/>
      <c r="QU1239" s="18"/>
      <c r="QV1239" s="18"/>
      <c r="QW1239" s="18"/>
      <c r="QX1239" s="18"/>
      <c r="QY1239" s="18"/>
      <c r="QZ1239" s="18"/>
      <c r="RA1239" s="18"/>
      <c r="RB1239" s="18"/>
      <c r="RC1239" s="18"/>
      <c r="RD1239" s="18"/>
      <c r="RE1239" s="18"/>
      <c r="RF1239" s="18"/>
      <c r="RG1239" s="18"/>
      <c r="RH1239" s="18"/>
      <c r="RI1239" s="18"/>
      <c r="RJ1239" s="18"/>
      <c r="RK1239" s="18"/>
      <c r="RL1239" s="18"/>
      <c r="RM1239" s="18"/>
      <c r="RN1239" s="18"/>
      <c r="RO1239" s="18"/>
      <c r="RP1239" s="18"/>
      <c r="RQ1239" s="18"/>
      <c r="RR1239" s="18"/>
      <c r="RS1239" s="18"/>
      <c r="RT1239" s="18"/>
      <c r="RU1239" s="18"/>
      <c r="RV1239" s="18"/>
      <c r="RW1239" s="18"/>
      <c r="RX1239" s="18"/>
      <c r="RY1239" s="18"/>
      <c r="RZ1239" s="18"/>
      <c r="SA1239" s="18"/>
      <c r="SB1239" s="18"/>
      <c r="SC1239" s="18"/>
      <c r="SD1239" s="18"/>
      <c r="SE1239" s="18"/>
      <c r="SF1239" s="18"/>
      <c r="SG1239" s="18"/>
      <c r="SH1239" s="18"/>
      <c r="SI1239" s="18"/>
      <c r="SJ1239" s="18"/>
      <c r="SK1239" s="18"/>
      <c r="SL1239" s="18"/>
      <c r="SM1239" s="18"/>
      <c r="SN1239" s="18"/>
      <c r="SO1239" s="18"/>
      <c r="SP1239" s="18"/>
      <c r="SQ1239" s="18"/>
      <c r="SR1239" s="18"/>
      <c r="SS1239" s="18"/>
      <c r="ST1239" s="18"/>
      <c r="SU1239" s="18"/>
      <c r="SV1239" s="18"/>
      <c r="SW1239" s="18"/>
      <c r="SX1239" s="18"/>
      <c r="SY1239" s="18"/>
      <c r="SZ1239" s="18"/>
      <c r="TA1239" s="18"/>
      <c r="TB1239" s="18"/>
      <c r="TC1239" s="18"/>
      <c r="TD1239" s="18"/>
      <c r="TE1239" s="18"/>
      <c r="TF1239" s="18"/>
      <c r="TG1239" s="18"/>
      <c r="TH1239" s="18"/>
      <c r="TI1239" s="18"/>
      <c r="TJ1239" s="18"/>
      <c r="TK1239" s="18"/>
      <c r="TL1239" s="18"/>
      <c r="TM1239" s="18"/>
      <c r="TN1239" s="18"/>
      <c r="TO1239" s="18"/>
      <c r="TP1239" s="18"/>
      <c r="TQ1239" s="18"/>
      <c r="TR1239" s="18"/>
      <c r="TS1239" s="18"/>
      <c r="TT1239" s="18"/>
      <c r="TU1239" s="18"/>
      <c r="TV1239" s="18"/>
      <c r="TW1239" s="18"/>
      <c r="TX1239" s="18"/>
      <c r="TY1239" s="18"/>
      <c r="TZ1239" s="18"/>
      <c r="UA1239" s="18"/>
      <c r="UB1239" s="18"/>
      <c r="UC1239" s="18"/>
      <c r="UD1239" s="18"/>
      <c r="UE1239" s="18"/>
      <c r="UF1239" s="18"/>
      <c r="UG1239" s="19"/>
    </row>
    <row r="1240" spans="1:553" ht="30" customHeight="1">
      <c r="A1240" s="356"/>
      <c r="B1240" s="428"/>
      <c r="C1240" s="1451" t="s">
        <v>64</v>
      </c>
      <c r="D1240" s="1389"/>
      <c r="E1240" s="1389"/>
      <c r="F1240" s="1390"/>
      <c r="G1240" s="386" t="s">
        <v>65</v>
      </c>
      <c r="H1240" s="370"/>
      <c r="I1240" s="1056"/>
      <c r="J1240" s="368"/>
      <c r="K1240" s="371"/>
      <c r="L1240" s="480"/>
      <c r="M1240" s="356"/>
      <c r="N1240" s="356"/>
      <c r="O1240" s="356"/>
      <c r="P1240" s="356"/>
      <c r="Q1240" s="610"/>
      <c r="R1240" s="1452"/>
      <c r="S1240" s="308"/>
      <c r="T1240" s="308"/>
      <c r="U1240" s="308"/>
      <c r="V1240" s="308"/>
      <c r="W1240" s="308"/>
      <c r="X1240" s="308"/>
      <c r="Y1240" s="308"/>
      <c r="Z1240" s="604"/>
      <c r="AA1240" s="308"/>
      <c r="AB1240" s="308"/>
      <c r="AC1240" s="454"/>
      <c r="AD1240" s="454"/>
      <c r="AE1240" s="454"/>
      <c r="AF1240" s="454"/>
      <c r="AG1240" s="454"/>
      <c r="AH1240" s="454"/>
      <c r="AI1240" s="454"/>
      <c r="AJ1240" s="454"/>
      <c r="AK1240" s="455"/>
      <c r="AL1240" s="110"/>
      <c r="AM1240" s="34"/>
      <c r="AN1240" s="34"/>
      <c r="AO1240" s="34"/>
      <c r="AP1240" s="34"/>
      <c r="AQ1240" s="34"/>
      <c r="AR1240" s="34"/>
      <c r="AS1240" s="35"/>
      <c r="AT1240" s="35"/>
      <c r="AU1240" s="35"/>
      <c r="AV1240" s="35"/>
      <c r="AW1240" s="35"/>
      <c r="AX1240" s="35"/>
      <c r="AY1240" s="35"/>
      <c r="AZ1240" s="35"/>
      <c r="BA1240" s="35"/>
      <c r="BB1240" s="35"/>
      <c r="BC1240" s="35"/>
      <c r="BD1240" s="35"/>
      <c r="BE1240" s="35"/>
      <c r="BF1240" s="35"/>
      <c r="BG1240" s="35"/>
      <c r="BH1240" s="35"/>
      <c r="BI1240" s="35"/>
      <c r="BJ1240" s="35"/>
      <c r="BK1240" s="35"/>
      <c r="BL1240" s="35"/>
      <c r="BM1240" s="35"/>
      <c r="BN1240" s="35"/>
      <c r="BO1240" s="35"/>
      <c r="BP1240" s="36"/>
      <c r="BQ1240" s="36"/>
      <c r="BR1240" s="36"/>
      <c r="BS1240" s="36"/>
      <c r="BT1240" s="36"/>
      <c r="BU1240" s="36"/>
      <c r="BV1240" s="36"/>
      <c r="BW1240" s="36"/>
      <c r="BX1240" s="36"/>
      <c r="BY1240" s="36"/>
      <c r="BZ1240" s="36"/>
      <c r="CA1240" s="36"/>
      <c r="CB1240" s="36"/>
      <c r="CC1240" s="36"/>
      <c r="CD1240" s="36"/>
      <c r="CE1240" s="36"/>
      <c r="CF1240" s="36"/>
      <c r="CG1240" s="36"/>
      <c r="CH1240" s="36"/>
      <c r="CI1240" s="36"/>
      <c r="CJ1240" s="36"/>
      <c r="CK1240" s="36"/>
      <c r="CL1240" s="36"/>
      <c r="CM1240" s="36"/>
      <c r="CN1240" s="36"/>
      <c r="CO1240" s="36"/>
      <c r="CP1240" s="36"/>
      <c r="CQ1240" s="36"/>
      <c r="CR1240" s="36"/>
      <c r="CS1240" s="36"/>
      <c r="CT1240" s="36"/>
      <c r="CU1240" s="36"/>
      <c r="CV1240" s="36"/>
      <c r="CW1240" s="36"/>
      <c r="CX1240" s="36"/>
      <c r="CY1240" s="36"/>
      <c r="CZ1240" s="36"/>
      <c r="DA1240" s="36"/>
      <c r="DB1240" s="36"/>
      <c r="DC1240" s="36"/>
      <c r="DD1240" s="36"/>
      <c r="DE1240" s="36"/>
      <c r="DF1240" s="36"/>
      <c r="DG1240" s="36"/>
      <c r="DH1240" s="36"/>
      <c r="DI1240" s="36"/>
      <c r="DJ1240" s="36"/>
      <c r="DK1240" s="36"/>
      <c r="DL1240" s="36"/>
      <c r="DM1240" s="36"/>
      <c r="DN1240" s="36"/>
      <c r="DO1240" s="36"/>
      <c r="DP1240" s="36"/>
      <c r="DQ1240" s="36"/>
      <c r="DR1240" s="36"/>
      <c r="DS1240" s="36"/>
      <c r="DT1240" s="36"/>
      <c r="DU1240" s="36"/>
      <c r="DV1240" s="36"/>
      <c r="DW1240" s="36"/>
      <c r="DX1240" s="36"/>
      <c r="DY1240" s="36"/>
      <c r="DZ1240" s="36"/>
      <c r="EA1240" s="36"/>
      <c r="EB1240" s="36"/>
      <c r="EC1240" s="36"/>
      <c r="ED1240" s="36"/>
      <c r="EE1240" s="36"/>
      <c r="EF1240" s="36"/>
      <c r="EG1240" s="36"/>
      <c r="EH1240" s="36"/>
      <c r="EI1240" s="36"/>
      <c r="EJ1240" s="36"/>
      <c r="EK1240" s="36"/>
      <c r="EL1240" s="36"/>
      <c r="EM1240" s="36"/>
      <c r="EN1240" s="36"/>
      <c r="EO1240" s="36"/>
      <c r="EP1240" s="36"/>
      <c r="EQ1240" s="36"/>
      <c r="ER1240" s="36"/>
      <c r="ES1240" s="36"/>
      <c r="ET1240" s="36"/>
      <c r="EU1240" s="36"/>
      <c r="EV1240" s="36"/>
      <c r="EW1240" s="36"/>
      <c r="EX1240" s="36"/>
      <c r="EY1240" s="36"/>
      <c r="EZ1240" s="36"/>
      <c r="FA1240" s="36"/>
      <c r="FB1240" s="36"/>
      <c r="FC1240" s="36"/>
      <c r="FD1240" s="36"/>
      <c r="FE1240" s="36"/>
      <c r="FF1240" s="36"/>
      <c r="FG1240" s="36"/>
      <c r="FH1240" s="36"/>
      <c r="FI1240" s="36"/>
      <c r="FJ1240" s="36"/>
      <c r="FK1240" s="36"/>
      <c r="FL1240" s="36"/>
      <c r="FM1240" s="36"/>
      <c r="FN1240" s="36"/>
      <c r="FO1240" s="36"/>
      <c r="FP1240" s="36"/>
      <c r="FQ1240" s="36"/>
      <c r="FR1240" s="36"/>
      <c r="FS1240" s="36"/>
      <c r="FT1240" s="36"/>
      <c r="FU1240" s="36"/>
      <c r="FV1240" s="36"/>
      <c r="FW1240" s="36"/>
      <c r="FX1240" s="36"/>
      <c r="FY1240" s="36"/>
      <c r="FZ1240" s="36"/>
      <c r="GA1240" s="36"/>
      <c r="GB1240" s="36"/>
      <c r="GC1240" s="36"/>
      <c r="GD1240" s="36"/>
      <c r="GE1240" s="36"/>
      <c r="GF1240" s="36"/>
      <c r="GG1240" s="36"/>
      <c r="GH1240" s="36"/>
      <c r="GI1240" s="36"/>
      <c r="GJ1240" s="36"/>
      <c r="GK1240" s="36"/>
      <c r="GL1240" s="36"/>
      <c r="GM1240" s="36"/>
      <c r="GN1240" s="36"/>
      <c r="GO1240" s="36"/>
      <c r="GP1240" s="36"/>
      <c r="GQ1240" s="36"/>
      <c r="GR1240" s="36"/>
      <c r="GS1240" s="36"/>
      <c r="GT1240" s="36"/>
      <c r="GU1240" s="36"/>
      <c r="GV1240" s="36"/>
      <c r="GW1240" s="36"/>
      <c r="GX1240" s="36"/>
      <c r="GY1240" s="36"/>
      <c r="GZ1240" s="36"/>
      <c r="HA1240" s="36"/>
      <c r="HB1240" s="36"/>
      <c r="HC1240" s="36"/>
      <c r="HD1240" s="36"/>
      <c r="HE1240" s="36"/>
      <c r="HF1240" s="36"/>
      <c r="HG1240" s="36"/>
      <c r="HH1240" s="36"/>
      <c r="HI1240" s="36"/>
      <c r="HJ1240" s="36"/>
      <c r="HK1240" s="36"/>
      <c r="HL1240" s="36"/>
      <c r="HM1240" s="36"/>
      <c r="HN1240" s="36"/>
      <c r="HO1240" s="36"/>
      <c r="HP1240" s="36"/>
      <c r="HQ1240" s="36"/>
      <c r="HR1240" s="36"/>
      <c r="HS1240" s="36"/>
      <c r="HT1240" s="36"/>
      <c r="HU1240" s="36"/>
      <c r="HV1240" s="36"/>
      <c r="HW1240" s="36"/>
      <c r="HX1240" s="36"/>
      <c r="HY1240" s="36"/>
      <c r="HZ1240" s="36"/>
      <c r="IA1240" s="36"/>
      <c r="IB1240" s="36"/>
      <c r="IC1240" s="36"/>
      <c r="ID1240" s="36"/>
      <c r="IE1240" s="36"/>
      <c r="IF1240" s="36"/>
      <c r="IG1240" s="36"/>
      <c r="IH1240" s="36"/>
      <c r="II1240" s="36"/>
      <c r="IJ1240" s="36"/>
      <c r="IK1240" s="36"/>
      <c r="IL1240" s="36"/>
      <c r="IM1240" s="36"/>
      <c r="IN1240" s="36"/>
      <c r="IO1240" s="36"/>
      <c r="IP1240" s="36"/>
      <c r="IQ1240" s="36"/>
      <c r="IR1240" s="36"/>
      <c r="IS1240" s="36"/>
      <c r="IT1240" s="36"/>
      <c r="IU1240" s="36"/>
      <c r="IV1240" s="36"/>
      <c r="IW1240" s="36"/>
      <c r="IX1240" s="36"/>
      <c r="IY1240" s="36"/>
      <c r="IZ1240" s="36"/>
      <c r="JA1240" s="36"/>
      <c r="JB1240" s="36"/>
      <c r="JC1240" s="36"/>
      <c r="JD1240" s="36"/>
      <c r="JE1240" s="36"/>
      <c r="JF1240" s="36"/>
      <c r="JG1240" s="36"/>
      <c r="JH1240" s="36"/>
      <c r="JI1240" s="36"/>
      <c r="JJ1240" s="36"/>
      <c r="JK1240" s="36"/>
      <c r="JL1240" s="36"/>
      <c r="JM1240" s="36"/>
      <c r="JN1240" s="36"/>
      <c r="JO1240" s="36"/>
      <c r="JP1240" s="36"/>
      <c r="JQ1240" s="36"/>
      <c r="JR1240" s="36"/>
      <c r="JS1240" s="36"/>
      <c r="JT1240" s="36"/>
      <c r="JU1240" s="36"/>
      <c r="JV1240" s="36"/>
      <c r="JW1240" s="36"/>
      <c r="JX1240" s="36"/>
      <c r="JY1240" s="36"/>
      <c r="JZ1240" s="36"/>
      <c r="KA1240" s="36"/>
      <c r="KB1240" s="36"/>
      <c r="KC1240" s="36"/>
      <c r="KD1240" s="36"/>
      <c r="KE1240" s="36"/>
      <c r="KF1240" s="36"/>
      <c r="KG1240" s="36"/>
      <c r="KH1240" s="36"/>
      <c r="KI1240" s="36"/>
      <c r="KJ1240" s="36"/>
      <c r="KK1240" s="36"/>
      <c r="KL1240" s="36"/>
      <c r="KM1240" s="36"/>
      <c r="KN1240" s="36"/>
      <c r="KO1240" s="36"/>
      <c r="KP1240" s="36"/>
      <c r="KQ1240" s="36"/>
      <c r="KR1240" s="36"/>
      <c r="KS1240" s="36"/>
      <c r="KT1240" s="36"/>
      <c r="KU1240" s="36"/>
      <c r="KV1240" s="36"/>
      <c r="KW1240" s="36"/>
      <c r="KX1240" s="36"/>
      <c r="KY1240" s="36"/>
      <c r="KZ1240" s="36"/>
      <c r="LA1240" s="36"/>
      <c r="LB1240" s="36"/>
      <c r="LC1240" s="36"/>
      <c r="LD1240" s="36"/>
      <c r="LE1240" s="36"/>
      <c r="LF1240" s="36"/>
      <c r="LG1240" s="36"/>
      <c r="LH1240" s="36"/>
      <c r="LI1240" s="36"/>
      <c r="LJ1240" s="36"/>
      <c r="LK1240" s="36"/>
      <c r="LL1240" s="36"/>
      <c r="LM1240" s="36"/>
      <c r="LN1240" s="36"/>
      <c r="LO1240" s="36"/>
      <c r="LP1240" s="36"/>
      <c r="LQ1240" s="36"/>
      <c r="LR1240" s="36"/>
      <c r="LS1240" s="36"/>
      <c r="LT1240" s="36"/>
      <c r="LU1240" s="36"/>
      <c r="LV1240" s="36"/>
      <c r="LW1240" s="36"/>
      <c r="LX1240" s="36"/>
      <c r="LY1240" s="36"/>
      <c r="LZ1240" s="36"/>
      <c r="MA1240" s="36"/>
      <c r="MB1240" s="36"/>
      <c r="MC1240" s="36"/>
      <c r="MD1240" s="36"/>
      <c r="ME1240" s="36"/>
      <c r="MF1240" s="36"/>
      <c r="MG1240" s="36"/>
      <c r="MH1240" s="36"/>
      <c r="MI1240" s="36"/>
      <c r="MJ1240" s="36"/>
      <c r="MK1240" s="36"/>
      <c r="ML1240" s="36"/>
      <c r="MM1240" s="36"/>
      <c r="MN1240" s="36"/>
      <c r="MO1240" s="36"/>
      <c r="MP1240" s="36"/>
      <c r="MQ1240" s="36"/>
      <c r="MR1240" s="36"/>
      <c r="MS1240" s="36"/>
      <c r="MT1240" s="36"/>
      <c r="MU1240" s="36"/>
      <c r="MV1240" s="36"/>
      <c r="MW1240" s="36"/>
      <c r="MX1240" s="36"/>
      <c r="MY1240" s="36"/>
      <c r="MZ1240" s="36"/>
      <c r="NA1240" s="36"/>
      <c r="NB1240" s="36"/>
      <c r="NC1240" s="36"/>
      <c r="ND1240" s="36"/>
      <c r="NE1240" s="36"/>
      <c r="NF1240" s="36"/>
      <c r="NG1240" s="36"/>
      <c r="NH1240" s="36"/>
      <c r="NI1240" s="36"/>
      <c r="NJ1240" s="36"/>
      <c r="NK1240" s="36"/>
      <c r="NL1240" s="36"/>
      <c r="NM1240" s="36"/>
      <c r="NN1240" s="36"/>
      <c r="NO1240" s="36"/>
      <c r="NP1240" s="36"/>
      <c r="NQ1240" s="36"/>
      <c r="NR1240" s="36"/>
      <c r="NS1240" s="36"/>
      <c r="NT1240" s="36"/>
      <c r="NU1240" s="36"/>
      <c r="NV1240" s="36"/>
      <c r="NW1240" s="36"/>
      <c r="NX1240" s="36"/>
      <c r="NY1240" s="36"/>
      <c r="NZ1240" s="36"/>
      <c r="OA1240" s="36"/>
      <c r="OB1240" s="36"/>
      <c r="OC1240" s="36"/>
      <c r="OD1240" s="36"/>
      <c r="OE1240" s="36"/>
      <c r="OF1240" s="36"/>
      <c r="OG1240" s="36"/>
      <c r="OH1240" s="36"/>
      <c r="OI1240" s="36"/>
      <c r="OJ1240" s="36"/>
      <c r="OK1240" s="36"/>
      <c r="OL1240" s="36"/>
      <c r="OM1240" s="36"/>
      <c r="ON1240" s="36"/>
      <c r="OO1240" s="36"/>
      <c r="OP1240" s="36"/>
      <c r="OQ1240" s="36"/>
      <c r="OR1240" s="36"/>
      <c r="OS1240" s="36"/>
      <c r="OT1240" s="36"/>
      <c r="OU1240" s="36"/>
      <c r="OV1240" s="36"/>
      <c r="OW1240" s="36"/>
      <c r="OX1240" s="36"/>
      <c r="OY1240" s="36"/>
      <c r="OZ1240" s="36"/>
      <c r="PA1240" s="36"/>
      <c r="PB1240" s="36"/>
      <c r="PC1240" s="36"/>
      <c r="PD1240" s="36"/>
      <c r="PE1240" s="36"/>
      <c r="PF1240" s="36"/>
      <c r="PG1240" s="36"/>
      <c r="PH1240" s="36"/>
      <c r="PI1240" s="36"/>
      <c r="PJ1240" s="36"/>
      <c r="PK1240" s="36"/>
      <c r="PL1240" s="36"/>
      <c r="PM1240" s="36"/>
      <c r="PN1240" s="36"/>
      <c r="PO1240" s="36"/>
      <c r="PP1240" s="36"/>
      <c r="PQ1240" s="36"/>
      <c r="PR1240" s="36"/>
      <c r="PS1240" s="36"/>
      <c r="PT1240" s="36"/>
      <c r="PU1240" s="36"/>
      <c r="PV1240" s="36"/>
      <c r="PW1240" s="36"/>
      <c r="PX1240" s="36"/>
      <c r="PY1240" s="36"/>
      <c r="PZ1240" s="36"/>
      <c r="QA1240" s="36"/>
      <c r="QB1240" s="36"/>
      <c r="QC1240" s="36"/>
      <c r="QD1240" s="36"/>
      <c r="QE1240" s="36"/>
      <c r="QF1240" s="36"/>
      <c r="QG1240" s="36"/>
      <c r="QH1240" s="36"/>
      <c r="QI1240" s="36"/>
      <c r="QJ1240" s="36"/>
      <c r="QK1240" s="36"/>
      <c r="QL1240" s="36"/>
      <c r="QM1240" s="36"/>
      <c r="QN1240" s="36"/>
      <c r="QO1240" s="36"/>
      <c r="QP1240" s="36"/>
      <c r="QQ1240" s="36"/>
      <c r="QR1240" s="36"/>
      <c r="QS1240" s="36"/>
      <c r="QT1240" s="36"/>
      <c r="QU1240" s="36"/>
      <c r="QV1240" s="36"/>
      <c r="QW1240" s="36"/>
      <c r="QX1240" s="36"/>
      <c r="QY1240" s="36"/>
      <c r="QZ1240" s="36"/>
      <c r="RA1240" s="36"/>
      <c r="RB1240" s="36"/>
      <c r="RC1240" s="36"/>
      <c r="RD1240" s="36"/>
      <c r="RE1240" s="36"/>
      <c r="RF1240" s="36"/>
      <c r="RG1240" s="36"/>
      <c r="RH1240" s="36"/>
      <c r="RI1240" s="36"/>
      <c r="RJ1240" s="36"/>
      <c r="RK1240" s="36"/>
      <c r="RL1240" s="36"/>
      <c r="RM1240" s="36"/>
      <c r="RN1240" s="36"/>
      <c r="RO1240" s="36"/>
      <c r="RP1240" s="36"/>
      <c r="RQ1240" s="36"/>
      <c r="RR1240" s="36"/>
      <c r="RS1240" s="36"/>
      <c r="RT1240" s="36"/>
      <c r="RU1240" s="36"/>
      <c r="RV1240" s="36"/>
      <c r="RW1240" s="36"/>
      <c r="RX1240" s="36"/>
      <c r="RY1240" s="36"/>
      <c r="RZ1240" s="36"/>
      <c r="SA1240" s="36"/>
      <c r="SB1240" s="36"/>
      <c r="SC1240" s="36"/>
      <c r="SD1240" s="36"/>
      <c r="SE1240" s="36"/>
      <c r="SF1240" s="36"/>
      <c r="SG1240" s="36"/>
      <c r="SH1240" s="36"/>
      <c r="SI1240" s="36"/>
      <c r="SJ1240" s="36"/>
      <c r="SK1240" s="36"/>
      <c r="SL1240" s="36"/>
      <c r="SM1240" s="36"/>
      <c r="SN1240" s="36"/>
      <c r="SO1240" s="36"/>
      <c r="SP1240" s="36"/>
      <c r="SQ1240" s="36"/>
      <c r="SR1240" s="36"/>
      <c r="SS1240" s="36"/>
      <c r="ST1240" s="36"/>
      <c r="SU1240" s="36"/>
      <c r="SV1240" s="36"/>
      <c r="SW1240" s="36"/>
      <c r="SX1240" s="36"/>
      <c r="SY1240" s="36"/>
      <c r="SZ1240" s="36"/>
      <c r="TA1240" s="36"/>
      <c r="TB1240" s="36"/>
      <c r="TC1240" s="36"/>
      <c r="TD1240" s="36"/>
      <c r="TE1240" s="36"/>
      <c r="TF1240" s="36"/>
      <c r="TG1240" s="36"/>
      <c r="TH1240" s="36"/>
      <c r="TI1240" s="36"/>
      <c r="TJ1240" s="36"/>
      <c r="TK1240" s="36"/>
      <c r="TL1240" s="36"/>
      <c r="TM1240" s="36"/>
      <c r="TN1240" s="36"/>
      <c r="TO1240" s="36"/>
      <c r="TP1240" s="36"/>
      <c r="TQ1240" s="36"/>
      <c r="TR1240" s="36"/>
      <c r="TS1240" s="36"/>
      <c r="TT1240" s="36"/>
      <c r="TU1240" s="36"/>
      <c r="TV1240" s="36"/>
      <c r="TW1240" s="36"/>
      <c r="TX1240" s="36"/>
      <c r="TY1240" s="36"/>
      <c r="TZ1240" s="36"/>
      <c r="UA1240" s="36"/>
      <c r="UB1240" s="36"/>
      <c r="UC1240" s="36"/>
      <c r="UD1240" s="36"/>
      <c r="UE1240" s="36"/>
      <c r="UF1240" s="36"/>
      <c r="UG1240" s="37"/>
    </row>
    <row r="1241" spans="1:553" ht="29.25" customHeight="1">
      <c r="A1241" s="356" t="s">
        <v>66</v>
      </c>
      <c r="B1241" s="356"/>
      <c r="C1241" s="1431" t="s">
        <v>67</v>
      </c>
      <c r="D1241" s="1389"/>
      <c r="E1241" s="1389"/>
      <c r="F1241" s="1390"/>
      <c r="G1241" s="356"/>
      <c r="H1241" s="359"/>
      <c r="I1241" s="359"/>
      <c r="J1241" s="357"/>
      <c r="K1241" s="364"/>
      <c r="L1241" s="645"/>
      <c r="M1241" s="356"/>
      <c r="N1241" s="356"/>
      <c r="O1241" s="356"/>
      <c r="P1241" s="356"/>
      <c r="Q1241" s="610"/>
      <c r="R1241" s="421"/>
      <c r="S1241" s="308"/>
      <c r="T1241" s="308"/>
      <c r="U1241" s="308"/>
      <c r="V1241" s="308"/>
      <c r="W1241" s="308"/>
      <c r="X1241" s="308"/>
      <c r="Y1241" s="308"/>
      <c r="Z1241" s="604"/>
      <c r="AA1241" s="308"/>
      <c r="AB1241" s="308"/>
      <c r="AC1241" s="365"/>
      <c r="AD1241" s="365"/>
      <c r="AE1241" s="365"/>
      <c r="AF1241" s="365"/>
      <c r="AG1241" s="365"/>
      <c r="AH1241" s="365"/>
      <c r="AI1241" s="365"/>
      <c r="AJ1241" s="365"/>
      <c r="AK1241" s="377"/>
      <c r="AL1241" s="343"/>
      <c r="AM1241" s="24"/>
      <c r="AN1241" s="24"/>
      <c r="AO1241" s="24"/>
      <c r="AP1241" s="24"/>
      <c r="AQ1241" s="24"/>
      <c r="AR1241" s="24"/>
      <c r="AS1241" s="18"/>
      <c r="AT1241" s="18"/>
      <c r="AU1241" s="18"/>
      <c r="AV1241" s="18"/>
      <c r="AW1241" s="18"/>
      <c r="AX1241" s="18"/>
      <c r="AY1241" s="18"/>
      <c r="AZ1241" s="18"/>
      <c r="BA1241" s="18"/>
      <c r="BB1241" s="18"/>
      <c r="BC1241" s="18"/>
      <c r="BD1241" s="18"/>
      <c r="BE1241" s="18"/>
      <c r="BF1241" s="18"/>
      <c r="BG1241" s="18"/>
      <c r="BH1241" s="18"/>
      <c r="BI1241" s="18"/>
      <c r="BJ1241" s="18"/>
      <c r="BK1241" s="18"/>
      <c r="BL1241" s="18"/>
      <c r="BM1241" s="18"/>
      <c r="BN1241" s="18"/>
      <c r="BO1241" s="18"/>
      <c r="BP1241" s="18"/>
      <c r="BQ1241" s="18"/>
      <c r="BR1241" s="18"/>
      <c r="BS1241" s="18"/>
      <c r="BT1241" s="18"/>
      <c r="BU1241" s="18"/>
      <c r="BV1241" s="18"/>
      <c r="BW1241" s="18"/>
      <c r="BX1241" s="18"/>
      <c r="BY1241" s="18"/>
      <c r="BZ1241" s="18"/>
      <c r="CA1241" s="18"/>
      <c r="CB1241" s="18"/>
      <c r="CC1241" s="18"/>
      <c r="CD1241" s="18"/>
      <c r="CE1241" s="18"/>
      <c r="CF1241" s="18"/>
      <c r="CG1241" s="18"/>
      <c r="CH1241" s="18"/>
      <c r="CI1241" s="18"/>
      <c r="CJ1241" s="18"/>
      <c r="CK1241" s="18"/>
      <c r="CL1241" s="18"/>
      <c r="CM1241" s="18"/>
      <c r="CN1241" s="18"/>
      <c r="CO1241" s="18"/>
      <c r="CP1241" s="18"/>
      <c r="CQ1241" s="18"/>
      <c r="CR1241" s="18"/>
      <c r="CS1241" s="18"/>
      <c r="CT1241" s="18"/>
      <c r="CU1241" s="18"/>
      <c r="CV1241" s="18"/>
      <c r="CW1241" s="18"/>
      <c r="CX1241" s="18"/>
      <c r="CY1241" s="18"/>
      <c r="CZ1241" s="18"/>
      <c r="DA1241" s="18"/>
      <c r="DB1241" s="18"/>
      <c r="DC1241" s="18"/>
      <c r="DD1241" s="18"/>
      <c r="DE1241" s="18"/>
      <c r="DF1241" s="18"/>
      <c r="DG1241" s="18"/>
      <c r="DH1241" s="18"/>
      <c r="DI1241" s="18"/>
      <c r="DJ1241" s="18"/>
      <c r="DK1241" s="18"/>
      <c r="DL1241" s="18"/>
      <c r="DM1241" s="18"/>
      <c r="DN1241" s="18"/>
      <c r="DO1241" s="18"/>
      <c r="DP1241" s="18"/>
      <c r="DQ1241" s="18"/>
      <c r="DR1241" s="18"/>
      <c r="DS1241" s="18"/>
      <c r="DT1241" s="18"/>
      <c r="DU1241" s="18"/>
      <c r="DV1241" s="18"/>
      <c r="DW1241" s="18"/>
      <c r="DX1241" s="18"/>
      <c r="DY1241" s="18"/>
      <c r="DZ1241" s="18"/>
      <c r="EA1241" s="18"/>
      <c r="EB1241" s="18"/>
      <c r="EC1241" s="18"/>
      <c r="ED1241" s="18"/>
      <c r="EE1241" s="18"/>
      <c r="EF1241" s="18"/>
      <c r="EG1241" s="18"/>
      <c r="EH1241" s="18"/>
      <c r="EI1241" s="18"/>
      <c r="EJ1241" s="18"/>
      <c r="EK1241" s="18"/>
      <c r="EL1241" s="18"/>
      <c r="EM1241" s="18"/>
      <c r="EN1241" s="18"/>
      <c r="EO1241" s="18"/>
      <c r="EP1241" s="18"/>
      <c r="EQ1241" s="18"/>
      <c r="ER1241" s="18"/>
      <c r="ES1241" s="18"/>
      <c r="ET1241" s="18"/>
      <c r="EU1241" s="18"/>
      <c r="EV1241" s="18"/>
      <c r="EW1241" s="18"/>
      <c r="EX1241" s="18"/>
      <c r="EY1241" s="18"/>
      <c r="EZ1241" s="18"/>
      <c r="FA1241" s="18"/>
      <c r="FB1241" s="18"/>
      <c r="FC1241" s="18"/>
      <c r="FD1241" s="18"/>
      <c r="FE1241" s="18"/>
      <c r="FF1241" s="18"/>
      <c r="FG1241" s="18"/>
      <c r="FH1241" s="18"/>
      <c r="FI1241" s="18"/>
      <c r="FJ1241" s="18"/>
      <c r="FK1241" s="18"/>
      <c r="FL1241" s="18"/>
      <c r="FM1241" s="18"/>
      <c r="FN1241" s="18"/>
      <c r="FO1241" s="18"/>
      <c r="FP1241" s="18"/>
      <c r="FQ1241" s="18"/>
      <c r="FR1241" s="18"/>
      <c r="FS1241" s="18"/>
      <c r="FT1241" s="18"/>
      <c r="FU1241" s="18"/>
      <c r="FV1241" s="18"/>
      <c r="FW1241" s="18"/>
      <c r="FX1241" s="18"/>
      <c r="FY1241" s="18"/>
      <c r="FZ1241" s="18"/>
      <c r="GA1241" s="18"/>
      <c r="GB1241" s="18"/>
      <c r="GC1241" s="18"/>
      <c r="GD1241" s="18"/>
      <c r="GE1241" s="18"/>
      <c r="GF1241" s="18"/>
      <c r="GG1241" s="18"/>
      <c r="GH1241" s="18"/>
      <c r="GI1241" s="18"/>
      <c r="GJ1241" s="18"/>
      <c r="GK1241" s="18"/>
      <c r="GL1241" s="18"/>
      <c r="GM1241" s="18"/>
      <c r="GN1241" s="18"/>
      <c r="GO1241" s="18"/>
      <c r="GP1241" s="18"/>
      <c r="GQ1241" s="18"/>
      <c r="GR1241" s="18"/>
      <c r="GS1241" s="18"/>
      <c r="GT1241" s="18"/>
      <c r="GU1241" s="18"/>
      <c r="GV1241" s="18"/>
      <c r="GW1241" s="18"/>
      <c r="GX1241" s="18"/>
      <c r="GY1241" s="18"/>
      <c r="GZ1241" s="18"/>
      <c r="HA1241" s="18"/>
      <c r="HB1241" s="18"/>
      <c r="HC1241" s="18"/>
      <c r="HD1241" s="18"/>
      <c r="HE1241" s="18"/>
      <c r="HF1241" s="18"/>
      <c r="HG1241" s="18"/>
      <c r="HH1241" s="18"/>
      <c r="HI1241" s="18"/>
      <c r="HJ1241" s="18"/>
      <c r="HK1241" s="18"/>
      <c r="HL1241" s="18"/>
      <c r="HM1241" s="18"/>
      <c r="HN1241" s="18"/>
      <c r="HO1241" s="18"/>
      <c r="HP1241" s="18"/>
      <c r="HQ1241" s="18"/>
      <c r="HR1241" s="18"/>
      <c r="HS1241" s="18"/>
      <c r="HT1241" s="18"/>
      <c r="HU1241" s="18"/>
      <c r="HV1241" s="18"/>
      <c r="HW1241" s="18"/>
      <c r="HX1241" s="18"/>
      <c r="HY1241" s="18"/>
      <c r="HZ1241" s="18"/>
      <c r="IA1241" s="18"/>
      <c r="IB1241" s="18"/>
      <c r="IC1241" s="18"/>
      <c r="ID1241" s="18"/>
      <c r="IE1241" s="18"/>
      <c r="IF1241" s="18"/>
      <c r="IG1241" s="18"/>
      <c r="IH1241" s="18"/>
      <c r="II1241" s="18"/>
      <c r="IJ1241" s="18"/>
      <c r="IK1241" s="18"/>
      <c r="IL1241" s="18"/>
      <c r="IM1241" s="18"/>
      <c r="IN1241" s="18"/>
      <c r="IO1241" s="18"/>
      <c r="IP1241" s="18"/>
      <c r="IQ1241" s="18"/>
      <c r="IR1241" s="18"/>
      <c r="IS1241" s="18"/>
      <c r="IT1241" s="18"/>
      <c r="IU1241" s="18"/>
      <c r="IV1241" s="18"/>
      <c r="IW1241" s="18"/>
      <c r="IX1241" s="18"/>
      <c r="IY1241" s="18"/>
      <c r="IZ1241" s="18"/>
      <c r="JA1241" s="18"/>
      <c r="JB1241" s="18"/>
      <c r="JC1241" s="18"/>
      <c r="JD1241" s="18"/>
      <c r="JE1241" s="18"/>
      <c r="JF1241" s="18"/>
      <c r="JG1241" s="18"/>
      <c r="JH1241" s="18"/>
      <c r="JI1241" s="18"/>
      <c r="JJ1241" s="18"/>
      <c r="JK1241" s="18"/>
      <c r="JL1241" s="18"/>
      <c r="JM1241" s="18"/>
      <c r="JN1241" s="18"/>
      <c r="JO1241" s="18"/>
      <c r="JP1241" s="18"/>
      <c r="JQ1241" s="18"/>
      <c r="JR1241" s="18"/>
      <c r="JS1241" s="18"/>
      <c r="JT1241" s="18"/>
      <c r="JU1241" s="18"/>
      <c r="JV1241" s="18"/>
      <c r="JW1241" s="18"/>
      <c r="JX1241" s="18"/>
      <c r="JY1241" s="18"/>
      <c r="JZ1241" s="18"/>
      <c r="KA1241" s="18"/>
      <c r="KB1241" s="18"/>
      <c r="KC1241" s="18"/>
      <c r="KD1241" s="18"/>
      <c r="KE1241" s="18"/>
      <c r="KF1241" s="18"/>
      <c r="KG1241" s="18"/>
      <c r="KH1241" s="18"/>
      <c r="KI1241" s="18"/>
      <c r="KJ1241" s="18"/>
      <c r="KK1241" s="18"/>
      <c r="KL1241" s="18"/>
      <c r="KM1241" s="18"/>
      <c r="KN1241" s="18"/>
      <c r="KO1241" s="18"/>
      <c r="KP1241" s="18"/>
      <c r="KQ1241" s="18"/>
      <c r="KR1241" s="18"/>
      <c r="KS1241" s="18"/>
      <c r="KT1241" s="18"/>
      <c r="KU1241" s="18"/>
      <c r="KV1241" s="18"/>
      <c r="KW1241" s="18"/>
      <c r="KX1241" s="18"/>
      <c r="KY1241" s="18"/>
      <c r="KZ1241" s="18"/>
      <c r="LA1241" s="18"/>
      <c r="LB1241" s="18"/>
      <c r="LC1241" s="18"/>
      <c r="LD1241" s="18"/>
      <c r="LE1241" s="18"/>
      <c r="LF1241" s="18"/>
      <c r="LG1241" s="18"/>
      <c r="LH1241" s="18"/>
      <c r="LI1241" s="18"/>
      <c r="LJ1241" s="18"/>
      <c r="LK1241" s="18"/>
      <c r="LL1241" s="18"/>
      <c r="LM1241" s="18"/>
      <c r="LN1241" s="18"/>
      <c r="LO1241" s="18"/>
      <c r="LP1241" s="18"/>
      <c r="LQ1241" s="18"/>
      <c r="LR1241" s="18"/>
      <c r="LS1241" s="18"/>
      <c r="LT1241" s="18"/>
      <c r="LU1241" s="18"/>
      <c r="LV1241" s="18"/>
      <c r="LW1241" s="18"/>
      <c r="LX1241" s="18"/>
      <c r="LY1241" s="18"/>
      <c r="LZ1241" s="18"/>
      <c r="MA1241" s="18"/>
      <c r="MB1241" s="18"/>
      <c r="MC1241" s="18"/>
      <c r="MD1241" s="18"/>
      <c r="ME1241" s="18"/>
      <c r="MF1241" s="18"/>
      <c r="MG1241" s="18"/>
      <c r="MH1241" s="18"/>
      <c r="MI1241" s="18"/>
      <c r="MJ1241" s="18"/>
      <c r="MK1241" s="18"/>
      <c r="ML1241" s="18"/>
      <c r="MM1241" s="18"/>
      <c r="MN1241" s="18"/>
      <c r="MO1241" s="18"/>
      <c r="MP1241" s="18"/>
      <c r="MQ1241" s="18"/>
      <c r="MR1241" s="18"/>
      <c r="MS1241" s="18"/>
      <c r="MT1241" s="18"/>
      <c r="MU1241" s="18"/>
      <c r="MV1241" s="18"/>
      <c r="MW1241" s="18"/>
      <c r="MX1241" s="18"/>
      <c r="MY1241" s="18"/>
      <c r="MZ1241" s="18"/>
      <c r="NA1241" s="18"/>
      <c r="NB1241" s="18"/>
      <c r="NC1241" s="18"/>
      <c r="ND1241" s="18"/>
      <c r="NE1241" s="18"/>
      <c r="NF1241" s="18"/>
      <c r="NG1241" s="18"/>
      <c r="NH1241" s="18"/>
      <c r="NI1241" s="18"/>
      <c r="NJ1241" s="18"/>
      <c r="NK1241" s="18"/>
      <c r="NL1241" s="18"/>
      <c r="NM1241" s="18"/>
      <c r="NN1241" s="18"/>
      <c r="NO1241" s="18"/>
      <c r="NP1241" s="18"/>
      <c r="NQ1241" s="18"/>
      <c r="NR1241" s="18"/>
      <c r="NS1241" s="18"/>
      <c r="NT1241" s="18"/>
      <c r="NU1241" s="18"/>
      <c r="NV1241" s="18"/>
      <c r="NW1241" s="18"/>
      <c r="NX1241" s="18"/>
      <c r="NY1241" s="18"/>
      <c r="NZ1241" s="18"/>
      <c r="OA1241" s="18"/>
      <c r="OB1241" s="18"/>
      <c r="OC1241" s="18"/>
      <c r="OD1241" s="18"/>
      <c r="OE1241" s="18"/>
      <c r="OF1241" s="18"/>
      <c r="OG1241" s="18"/>
      <c r="OH1241" s="18"/>
      <c r="OI1241" s="18"/>
      <c r="OJ1241" s="18"/>
      <c r="OK1241" s="18"/>
      <c r="OL1241" s="18"/>
      <c r="OM1241" s="18"/>
      <c r="ON1241" s="18"/>
      <c r="OO1241" s="18"/>
      <c r="OP1241" s="18"/>
      <c r="OQ1241" s="18"/>
      <c r="OR1241" s="18"/>
      <c r="OS1241" s="18"/>
      <c r="OT1241" s="18"/>
      <c r="OU1241" s="18"/>
      <c r="OV1241" s="18"/>
      <c r="OW1241" s="18"/>
      <c r="OX1241" s="18"/>
      <c r="OY1241" s="18"/>
      <c r="OZ1241" s="18"/>
      <c r="PA1241" s="18"/>
      <c r="PB1241" s="18"/>
      <c r="PC1241" s="18"/>
      <c r="PD1241" s="18"/>
      <c r="PE1241" s="18"/>
      <c r="PF1241" s="18"/>
      <c r="PG1241" s="18"/>
      <c r="PH1241" s="18"/>
      <c r="PI1241" s="18"/>
      <c r="PJ1241" s="18"/>
      <c r="PK1241" s="18"/>
      <c r="PL1241" s="18"/>
      <c r="PM1241" s="18"/>
      <c r="PN1241" s="18"/>
      <c r="PO1241" s="18"/>
      <c r="PP1241" s="18"/>
      <c r="PQ1241" s="18"/>
      <c r="PR1241" s="18"/>
      <c r="PS1241" s="18"/>
      <c r="PT1241" s="18"/>
      <c r="PU1241" s="18"/>
      <c r="PV1241" s="18"/>
      <c r="PW1241" s="18"/>
      <c r="PX1241" s="18"/>
      <c r="PY1241" s="18"/>
      <c r="PZ1241" s="18"/>
      <c r="QA1241" s="18"/>
      <c r="QB1241" s="18"/>
      <c r="QC1241" s="18"/>
      <c r="QD1241" s="18"/>
      <c r="QE1241" s="18"/>
      <c r="QF1241" s="18"/>
      <c r="QG1241" s="18"/>
      <c r="QH1241" s="18"/>
      <c r="QI1241" s="18"/>
      <c r="QJ1241" s="18"/>
      <c r="QK1241" s="18"/>
      <c r="QL1241" s="18"/>
      <c r="QM1241" s="18"/>
      <c r="QN1241" s="18"/>
      <c r="QO1241" s="18"/>
      <c r="QP1241" s="18"/>
      <c r="QQ1241" s="18"/>
      <c r="QR1241" s="18"/>
      <c r="QS1241" s="18"/>
      <c r="QT1241" s="18"/>
      <c r="QU1241" s="18"/>
      <c r="QV1241" s="18"/>
      <c r="QW1241" s="18"/>
      <c r="QX1241" s="18"/>
      <c r="QY1241" s="18"/>
      <c r="QZ1241" s="18"/>
      <c r="RA1241" s="18"/>
      <c r="RB1241" s="18"/>
      <c r="RC1241" s="18"/>
      <c r="RD1241" s="18"/>
      <c r="RE1241" s="18"/>
      <c r="RF1241" s="18"/>
      <c r="RG1241" s="18"/>
      <c r="RH1241" s="18"/>
      <c r="RI1241" s="18"/>
      <c r="RJ1241" s="18"/>
      <c r="RK1241" s="18"/>
      <c r="RL1241" s="18"/>
      <c r="RM1241" s="18"/>
      <c r="RN1241" s="18"/>
      <c r="RO1241" s="18"/>
      <c r="RP1241" s="18"/>
      <c r="RQ1241" s="18"/>
      <c r="RR1241" s="18"/>
      <c r="RS1241" s="18"/>
      <c r="RT1241" s="18"/>
      <c r="RU1241" s="18"/>
      <c r="RV1241" s="18"/>
      <c r="RW1241" s="18"/>
      <c r="RX1241" s="18"/>
      <c r="RY1241" s="18"/>
      <c r="RZ1241" s="18"/>
      <c r="SA1241" s="18"/>
      <c r="SB1241" s="18"/>
      <c r="SC1241" s="18"/>
      <c r="SD1241" s="18"/>
      <c r="SE1241" s="18"/>
      <c r="SF1241" s="18"/>
      <c r="SG1241" s="18"/>
      <c r="SH1241" s="18"/>
      <c r="SI1241" s="18"/>
      <c r="SJ1241" s="18"/>
      <c r="SK1241" s="18"/>
      <c r="SL1241" s="18"/>
      <c r="SM1241" s="18"/>
      <c r="SN1241" s="18"/>
      <c r="SO1241" s="18"/>
      <c r="SP1241" s="18"/>
      <c r="SQ1241" s="18"/>
      <c r="SR1241" s="18"/>
      <c r="SS1241" s="18"/>
      <c r="ST1241" s="18"/>
      <c r="SU1241" s="18"/>
      <c r="SV1241" s="18"/>
      <c r="SW1241" s="18"/>
      <c r="SX1241" s="18"/>
      <c r="SY1241" s="18"/>
      <c r="SZ1241" s="18"/>
      <c r="TA1241" s="18"/>
      <c r="TB1241" s="18"/>
      <c r="TC1241" s="18"/>
      <c r="TD1241" s="18"/>
      <c r="TE1241" s="18"/>
      <c r="TF1241" s="18"/>
      <c r="TG1241" s="18"/>
      <c r="TH1241" s="18"/>
      <c r="TI1241" s="18"/>
      <c r="TJ1241" s="18"/>
      <c r="TK1241" s="18"/>
      <c r="TL1241" s="18"/>
      <c r="TM1241" s="18"/>
      <c r="TN1241" s="18"/>
      <c r="TO1241" s="18"/>
      <c r="TP1241" s="18"/>
      <c r="TQ1241" s="18"/>
      <c r="TR1241" s="18"/>
      <c r="TS1241" s="18"/>
      <c r="TT1241" s="18"/>
      <c r="TU1241" s="18"/>
      <c r="TV1241" s="18"/>
      <c r="TW1241" s="18"/>
      <c r="TX1241" s="18"/>
      <c r="TY1241" s="18"/>
      <c r="TZ1241" s="18"/>
      <c r="UA1241" s="18"/>
      <c r="UB1241" s="18"/>
      <c r="UC1241" s="18"/>
      <c r="UD1241" s="18"/>
      <c r="UE1241" s="18"/>
      <c r="UF1241" s="18"/>
      <c r="UG1241" s="19"/>
    </row>
    <row r="1242" spans="1:553" ht="139.5" customHeight="1">
      <c r="A1242" s="356" t="s">
        <v>15</v>
      </c>
      <c r="B1242" s="366"/>
      <c r="C1242" s="1414" t="s">
        <v>818</v>
      </c>
      <c r="D1242" s="1389"/>
      <c r="E1242" s="1389"/>
      <c r="F1242" s="1390"/>
      <c r="G1242" s="366" t="s">
        <v>68</v>
      </c>
      <c r="H1242" s="370"/>
      <c r="I1242" s="370">
        <v>1</v>
      </c>
      <c r="J1242" s="368"/>
      <c r="K1242" s="371"/>
      <c r="L1242" s="480"/>
      <c r="M1242" s="366"/>
      <c r="N1242" s="366"/>
      <c r="O1242" s="366"/>
      <c r="P1242" s="366"/>
      <c r="Q1242" s="812"/>
      <c r="R1242" s="421" t="s">
        <v>1042</v>
      </c>
      <c r="S1242" s="308"/>
      <c r="T1242" s="308"/>
      <c r="U1242" s="308"/>
      <c r="V1242" s="308"/>
      <c r="W1242" s="308"/>
      <c r="X1242" s="308"/>
      <c r="Y1242" s="308"/>
      <c r="Z1242" s="604"/>
      <c r="AA1242" s="308"/>
      <c r="AB1242" s="308"/>
      <c r="AC1242" s="449"/>
      <c r="AD1242" s="449"/>
      <c r="AE1242" s="449"/>
      <c r="AF1242" s="449"/>
      <c r="AG1242" s="449"/>
      <c r="AH1242" s="449"/>
      <c r="AI1242" s="449"/>
      <c r="AJ1242" s="449"/>
      <c r="AK1242" s="452"/>
      <c r="AL1242" s="104"/>
      <c r="AM1242" s="32"/>
      <c r="AN1242" s="32"/>
      <c r="AO1242" s="32"/>
      <c r="AP1242" s="32"/>
      <c r="AQ1242" s="32"/>
      <c r="AR1242" s="32"/>
      <c r="AS1242" s="31"/>
      <c r="AT1242" s="31"/>
      <c r="AU1242" s="31"/>
      <c r="AV1242" s="31"/>
      <c r="AW1242" s="31"/>
      <c r="AX1242" s="31"/>
      <c r="AY1242" s="31"/>
      <c r="AZ1242" s="31"/>
      <c r="BA1242" s="31"/>
      <c r="BB1242" s="31"/>
      <c r="BC1242" s="31"/>
      <c r="BD1242" s="31"/>
      <c r="BE1242" s="31"/>
      <c r="BF1242" s="31"/>
      <c r="BG1242" s="31"/>
      <c r="BH1242" s="31"/>
      <c r="BI1242" s="31"/>
      <c r="BJ1242" s="31"/>
      <c r="BK1242" s="31"/>
      <c r="BL1242" s="31"/>
      <c r="BM1242" s="31"/>
      <c r="BN1242" s="31"/>
      <c r="BO1242" s="31"/>
      <c r="BP1242" s="25"/>
      <c r="BQ1242" s="25"/>
      <c r="BR1242" s="25"/>
      <c r="BS1242" s="25"/>
      <c r="BT1242" s="25"/>
      <c r="BU1242" s="25"/>
      <c r="BV1242" s="25"/>
      <c r="BW1242" s="25"/>
      <c r="BX1242" s="25"/>
      <c r="BY1242" s="25"/>
      <c r="BZ1242" s="25"/>
      <c r="CA1242" s="25"/>
      <c r="CB1242" s="25"/>
      <c r="CC1242" s="25"/>
      <c r="CD1242" s="25"/>
      <c r="CE1242" s="25"/>
      <c r="CF1242" s="25"/>
      <c r="CG1242" s="25"/>
      <c r="CH1242" s="25"/>
      <c r="CI1242" s="25"/>
      <c r="CJ1242" s="25"/>
      <c r="CK1242" s="25"/>
      <c r="CL1242" s="25"/>
      <c r="CM1242" s="25"/>
      <c r="CN1242" s="25"/>
      <c r="CO1242" s="25"/>
      <c r="CP1242" s="25"/>
      <c r="CQ1242" s="25"/>
      <c r="CR1242" s="25"/>
      <c r="CS1242" s="25"/>
      <c r="CT1242" s="25"/>
      <c r="CU1242" s="25"/>
      <c r="CV1242" s="25"/>
      <c r="CW1242" s="25"/>
      <c r="CX1242" s="25"/>
      <c r="CY1242" s="25"/>
      <c r="CZ1242" s="25"/>
      <c r="DA1242" s="25"/>
      <c r="DB1242" s="25"/>
      <c r="DC1242" s="25"/>
      <c r="DD1242" s="25"/>
      <c r="DE1242" s="25"/>
      <c r="DF1242" s="25"/>
      <c r="DG1242" s="25"/>
      <c r="DH1242" s="25"/>
      <c r="DI1242" s="25"/>
      <c r="DJ1242" s="25"/>
      <c r="DK1242" s="25"/>
      <c r="DL1242" s="25"/>
      <c r="DM1242" s="25"/>
      <c r="DN1242" s="25"/>
      <c r="DO1242" s="25"/>
      <c r="DP1242" s="25"/>
      <c r="DQ1242" s="25"/>
      <c r="DR1242" s="25"/>
      <c r="DS1242" s="25"/>
      <c r="DT1242" s="25"/>
      <c r="DU1242" s="25"/>
      <c r="DV1242" s="25"/>
      <c r="DW1242" s="25"/>
      <c r="DX1242" s="25"/>
      <c r="DY1242" s="25"/>
      <c r="DZ1242" s="25"/>
      <c r="EA1242" s="25"/>
      <c r="EB1242" s="25"/>
      <c r="EC1242" s="25"/>
      <c r="ED1242" s="25"/>
      <c r="EE1242" s="25"/>
      <c r="EF1242" s="25"/>
      <c r="EG1242" s="25"/>
      <c r="EH1242" s="25"/>
      <c r="EI1242" s="25"/>
      <c r="EJ1242" s="25"/>
      <c r="EK1242" s="25"/>
      <c r="EL1242" s="25"/>
      <c r="EM1242" s="25"/>
      <c r="EN1242" s="25"/>
      <c r="EO1242" s="25"/>
      <c r="EP1242" s="25"/>
      <c r="EQ1242" s="25"/>
      <c r="ER1242" s="25"/>
      <c r="ES1242" s="25"/>
      <c r="ET1242" s="25"/>
      <c r="EU1242" s="25"/>
      <c r="EV1242" s="25"/>
      <c r="EW1242" s="25"/>
      <c r="EX1242" s="25"/>
      <c r="EY1242" s="25"/>
      <c r="EZ1242" s="25"/>
      <c r="FA1242" s="25"/>
      <c r="FB1242" s="25"/>
      <c r="FC1242" s="25"/>
      <c r="FD1242" s="25"/>
      <c r="FE1242" s="25"/>
      <c r="FF1242" s="25"/>
      <c r="FG1242" s="25"/>
      <c r="FH1242" s="25"/>
      <c r="FI1242" s="25"/>
      <c r="FJ1242" s="25"/>
      <c r="FK1242" s="25"/>
      <c r="FL1242" s="25"/>
      <c r="FM1242" s="25"/>
      <c r="FN1242" s="25"/>
      <c r="FO1242" s="25"/>
      <c r="FP1242" s="25"/>
      <c r="FQ1242" s="25"/>
      <c r="FR1242" s="25"/>
      <c r="FS1242" s="25"/>
      <c r="FT1242" s="25"/>
      <c r="FU1242" s="25"/>
      <c r="FV1242" s="25"/>
      <c r="FW1242" s="25"/>
      <c r="FX1242" s="25"/>
      <c r="FY1242" s="25"/>
      <c r="FZ1242" s="25"/>
      <c r="GA1242" s="25"/>
      <c r="GB1242" s="25"/>
      <c r="GC1242" s="25"/>
      <c r="GD1242" s="25"/>
      <c r="GE1242" s="25"/>
      <c r="GF1242" s="25"/>
      <c r="GG1242" s="25"/>
      <c r="GH1242" s="25"/>
      <c r="GI1242" s="25"/>
      <c r="GJ1242" s="25"/>
      <c r="GK1242" s="25"/>
      <c r="GL1242" s="25"/>
      <c r="GM1242" s="25"/>
      <c r="GN1242" s="25"/>
      <c r="GO1242" s="25"/>
      <c r="GP1242" s="25"/>
      <c r="GQ1242" s="25"/>
      <c r="GR1242" s="25"/>
      <c r="GS1242" s="25"/>
      <c r="GT1242" s="25"/>
      <c r="GU1242" s="25"/>
      <c r="GV1242" s="25"/>
      <c r="GW1242" s="25"/>
      <c r="GX1242" s="25"/>
      <c r="GY1242" s="25"/>
      <c r="GZ1242" s="25"/>
      <c r="HA1242" s="25"/>
      <c r="HB1242" s="25"/>
      <c r="HC1242" s="25"/>
      <c r="HD1242" s="25"/>
      <c r="HE1242" s="25"/>
      <c r="HF1242" s="25"/>
      <c r="HG1242" s="25"/>
      <c r="HH1242" s="25"/>
      <c r="HI1242" s="25"/>
      <c r="HJ1242" s="25"/>
      <c r="HK1242" s="25"/>
      <c r="HL1242" s="25"/>
      <c r="HM1242" s="25"/>
      <c r="HN1242" s="25"/>
      <c r="HO1242" s="25"/>
      <c r="HP1242" s="25"/>
      <c r="HQ1242" s="25"/>
      <c r="HR1242" s="25"/>
      <c r="HS1242" s="25"/>
      <c r="HT1242" s="25"/>
      <c r="HU1242" s="25"/>
      <c r="HV1242" s="25"/>
      <c r="HW1242" s="25"/>
      <c r="HX1242" s="25"/>
      <c r="HY1242" s="25"/>
      <c r="HZ1242" s="25"/>
      <c r="IA1242" s="25"/>
      <c r="IB1242" s="25"/>
      <c r="IC1242" s="25"/>
      <c r="ID1242" s="25"/>
      <c r="IE1242" s="25"/>
      <c r="IF1242" s="25"/>
      <c r="IG1242" s="25"/>
      <c r="IH1242" s="25"/>
      <c r="II1242" s="25"/>
      <c r="IJ1242" s="25"/>
      <c r="IK1242" s="25"/>
      <c r="IL1242" s="25"/>
      <c r="IM1242" s="25"/>
      <c r="IN1242" s="25"/>
      <c r="IO1242" s="25"/>
      <c r="IP1242" s="25"/>
      <c r="IQ1242" s="25"/>
      <c r="IR1242" s="25"/>
      <c r="IS1242" s="25"/>
      <c r="IT1242" s="25"/>
      <c r="IU1242" s="25"/>
      <c r="IV1242" s="25"/>
      <c r="IW1242" s="25"/>
      <c r="IX1242" s="25"/>
      <c r="IY1242" s="25"/>
      <c r="IZ1242" s="25"/>
      <c r="JA1242" s="25"/>
      <c r="JB1242" s="25"/>
      <c r="JC1242" s="25"/>
      <c r="JD1242" s="25"/>
      <c r="JE1242" s="25"/>
      <c r="JF1242" s="25"/>
      <c r="JG1242" s="25"/>
      <c r="JH1242" s="25"/>
      <c r="JI1242" s="25"/>
      <c r="JJ1242" s="25"/>
      <c r="JK1242" s="25"/>
      <c r="JL1242" s="25"/>
      <c r="JM1242" s="25"/>
      <c r="JN1242" s="25"/>
      <c r="JO1242" s="25"/>
      <c r="JP1242" s="25"/>
      <c r="JQ1242" s="25"/>
      <c r="JR1242" s="25"/>
      <c r="JS1242" s="25"/>
      <c r="JT1242" s="25"/>
      <c r="JU1242" s="25"/>
      <c r="JV1242" s="25"/>
      <c r="JW1242" s="25"/>
      <c r="JX1242" s="25"/>
      <c r="JY1242" s="25"/>
      <c r="JZ1242" s="25"/>
      <c r="KA1242" s="25"/>
      <c r="KB1242" s="25"/>
      <c r="KC1242" s="25"/>
      <c r="KD1242" s="25"/>
      <c r="KE1242" s="25"/>
      <c r="KF1242" s="25"/>
      <c r="KG1242" s="25"/>
      <c r="KH1242" s="25"/>
      <c r="KI1242" s="25"/>
      <c r="KJ1242" s="25"/>
      <c r="KK1242" s="25"/>
      <c r="KL1242" s="25"/>
      <c r="KM1242" s="25"/>
      <c r="KN1242" s="25"/>
      <c r="KO1242" s="25"/>
      <c r="KP1242" s="25"/>
      <c r="KQ1242" s="25"/>
      <c r="KR1242" s="25"/>
      <c r="KS1242" s="25"/>
      <c r="KT1242" s="25"/>
      <c r="KU1242" s="25"/>
      <c r="KV1242" s="25"/>
      <c r="KW1242" s="25"/>
      <c r="KX1242" s="25"/>
      <c r="KY1242" s="25"/>
      <c r="KZ1242" s="25"/>
      <c r="LA1242" s="25"/>
      <c r="LB1242" s="25"/>
      <c r="LC1242" s="25"/>
      <c r="LD1242" s="25"/>
      <c r="LE1242" s="25"/>
      <c r="LF1242" s="25"/>
      <c r="LG1242" s="25"/>
      <c r="LH1242" s="25"/>
      <c r="LI1242" s="25"/>
      <c r="LJ1242" s="25"/>
      <c r="LK1242" s="25"/>
      <c r="LL1242" s="25"/>
      <c r="LM1242" s="25"/>
      <c r="LN1242" s="25"/>
      <c r="LO1242" s="25"/>
      <c r="LP1242" s="25"/>
      <c r="LQ1242" s="25"/>
      <c r="LR1242" s="25"/>
      <c r="LS1242" s="25"/>
      <c r="LT1242" s="25"/>
      <c r="LU1242" s="25"/>
      <c r="LV1242" s="25"/>
      <c r="LW1242" s="25"/>
      <c r="LX1242" s="25"/>
      <c r="LY1242" s="25"/>
      <c r="LZ1242" s="25"/>
      <c r="MA1242" s="25"/>
      <c r="MB1242" s="25"/>
      <c r="MC1242" s="25"/>
      <c r="MD1242" s="25"/>
      <c r="ME1242" s="25"/>
      <c r="MF1242" s="25"/>
      <c r="MG1242" s="25"/>
      <c r="MH1242" s="25"/>
      <c r="MI1242" s="25"/>
      <c r="MJ1242" s="25"/>
      <c r="MK1242" s="25"/>
      <c r="ML1242" s="25"/>
      <c r="MM1242" s="25"/>
      <c r="MN1242" s="25"/>
      <c r="MO1242" s="25"/>
      <c r="MP1242" s="25"/>
      <c r="MQ1242" s="25"/>
      <c r="MR1242" s="25"/>
      <c r="MS1242" s="25"/>
      <c r="MT1242" s="25"/>
      <c r="MU1242" s="25"/>
      <c r="MV1242" s="25"/>
      <c r="MW1242" s="25"/>
      <c r="MX1242" s="25"/>
      <c r="MY1242" s="25"/>
      <c r="MZ1242" s="25"/>
      <c r="NA1242" s="25"/>
      <c r="NB1242" s="25"/>
      <c r="NC1242" s="25"/>
      <c r="ND1242" s="25"/>
      <c r="NE1242" s="25"/>
      <c r="NF1242" s="25"/>
      <c r="NG1242" s="25"/>
      <c r="NH1242" s="25"/>
      <c r="NI1242" s="25"/>
      <c r="NJ1242" s="25"/>
      <c r="NK1242" s="25"/>
      <c r="NL1242" s="25"/>
      <c r="NM1242" s="25"/>
      <c r="NN1242" s="25"/>
      <c r="NO1242" s="25"/>
      <c r="NP1242" s="25"/>
      <c r="NQ1242" s="25"/>
      <c r="NR1242" s="25"/>
      <c r="NS1242" s="25"/>
      <c r="NT1242" s="25"/>
      <c r="NU1242" s="25"/>
      <c r="NV1242" s="25"/>
      <c r="NW1242" s="25"/>
      <c r="NX1242" s="25"/>
      <c r="NY1242" s="25"/>
      <c r="NZ1242" s="25"/>
      <c r="OA1242" s="25"/>
      <c r="OB1242" s="25"/>
      <c r="OC1242" s="25"/>
      <c r="OD1242" s="25"/>
      <c r="OE1242" s="25"/>
      <c r="OF1242" s="25"/>
      <c r="OG1242" s="25"/>
      <c r="OH1242" s="25"/>
      <c r="OI1242" s="25"/>
      <c r="OJ1242" s="25"/>
      <c r="OK1242" s="25"/>
      <c r="OL1242" s="25"/>
      <c r="OM1242" s="25"/>
      <c r="ON1242" s="25"/>
      <c r="OO1242" s="25"/>
      <c r="OP1242" s="25"/>
      <c r="OQ1242" s="25"/>
      <c r="OR1242" s="25"/>
      <c r="OS1242" s="25"/>
      <c r="OT1242" s="25"/>
      <c r="OU1242" s="25"/>
      <c r="OV1242" s="25"/>
      <c r="OW1242" s="25"/>
      <c r="OX1242" s="25"/>
      <c r="OY1242" s="25"/>
      <c r="OZ1242" s="25"/>
      <c r="PA1242" s="25"/>
      <c r="PB1242" s="25"/>
      <c r="PC1242" s="25"/>
      <c r="PD1242" s="25"/>
      <c r="PE1242" s="25"/>
      <c r="PF1242" s="25"/>
      <c r="PG1242" s="25"/>
      <c r="PH1242" s="25"/>
      <c r="PI1242" s="25"/>
      <c r="PJ1242" s="25"/>
      <c r="PK1242" s="25"/>
      <c r="PL1242" s="25"/>
      <c r="PM1242" s="25"/>
      <c r="PN1242" s="25"/>
      <c r="PO1242" s="25"/>
      <c r="PP1242" s="25"/>
      <c r="PQ1242" s="25"/>
      <c r="PR1242" s="25"/>
      <c r="PS1242" s="25"/>
      <c r="PT1242" s="25"/>
      <c r="PU1242" s="25"/>
      <c r="PV1242" s="25"/>
      <c r="PW1242" s="25"/>
      <c r="PX1242" s="25"/>
      <c r="PY1242" s="25"/>
      <c r="PZ1242" s="25"/>
      <c r="QA1242" s="25"/>
      <c r="QB1242" s="25"/>
      <c r="QC1242" s="25"/>
      <c r="QD1242" s="25"/>
      <c r="QE1242" s="25"/>
      <c r="QF1242" s="25"/>
      <c r="QG1242" s="25"/>
      <c r="QH1242" s="25"/>
      <c r="QI1242" s="25"/>
      <c r="QJ1242" s="25"/>
      <c r="QK1242" s="25"/>
      <c r="QL1242" s="25"/>
      <c r="QM1242" s="25"/>
      <c r="QN1242" s="25"/>
      <c r="QO1242" s="25"/>
      <c r="QP1242" s="25"/>
      <c r="QQ1242" s="25"/>
      <c r="QR1242" s="25"/>
      <c r="QS1242" s="25"/>
      <c r="QT1242" s="25"/>
      <c r="QU1242" s="25"/>
      <c r="QV1242" s="25"/>
      <c r="QW1242" s="25"/>
      <c r="QX1242" s="25"/>
      <c r="QY1242" s="25"/>
      <c r="QZ1242" s="25"/>
      <c r="RA1242" s="25"/>
      <c r="RB1242" s="25"/>
      <c r="RC1242" s="25"/>
      <c r="RD1242" s="25"/>
      <c r="RE1242" s="25"/>
      <c r="RF1242" s="25"/>
      <c r="RG1242" s="25"/>
      <c r="RH1242" s="25"/>
      <c r="RI1242" s="25"/>
      <c r="RJ1242" s="25"/>
      <c r="RK1242" s="25"/>
      <c r="RL1242" s="25"/>
      <c r="RM1242" s="25"/>
      <c r="RN1242" s="25"/>
      <c r="RO1242" s="25"/>
      <c r="RP1242" s="25"/>
      <c r="RQ1242" s="25"/>
      <c r="RR1242" s="25"/>
      <c r="RS1242" s="25"/>
      <c r="RT1242" s="25"/>
      <c r="RU1242" s="25"/>
      <c r="RV1242" s="25"/>
      <c r="RW1242" s="25"/>
      <c r="RX1242" s="25"/>
      <c r="RY1242" s="25"/>
      <c r="RZ1242" s="25"/>
      <c r="SA1242" s="25"/>
      <c r="SB1242" s="25"/>
      <c r="SC1242" s="25"/>
      <c r="SD1242" s="25"/>
      <c r="SE1242" s="25"/>
      <c r="SF1242" s="25"/>
      <c r="SG1242" s="25"/>
      <c r="SH1242" s="25"/>
      <c r="SI1242" s="25"/>
      <c r="SJ1242" s="25"/>
      <c r="SK1242" s="25"/>
      <c r="SL1242" s="25"/>
      <c r="SM1242" s="25"/>
      <c r="SN1242" s="25"/>
      <c r="SO1242" s="25"/>
      <c r="SP1242" s="25"/>
      <c r="SQ1242" s="25"/>
      <c r="SR1242" s="25"/>
      <c r="SS1242" s="25"/>
      <c r="ST1242" s="25"/>
      <c r="SU1242" s="25"/>
      <c r="SV1242" s="25"/>
      <c r="SW1242" s="25"/>
      <c r="SX1242" s="25"/>
      <c r="SY1242" s="25"/>
      <c r="SZ1242" s="25"/>
      <c r="TA1242" s="25"/>
      <c r="TB1242" s="25"/>
      <c r="TC1242" s="25"/>
      <c r="TD1242" s="25"/>
      <c r="TE1242" s="25"/>
      <c r="TF1242" s="25"/>
      <c r="TG1242" s="25"/>
      <c r="TH1242" s="25"/>
      <c r="TI1242" s="25"/>
      <c r="TJ1242" s="25"/>
      <c r="TK1242" s="25"/>
      <c r="TL1242" s="25"/>
      <c r="TM1242" s="25"/>
      <c r="TN1242" s="25"/>
      <c r="TO1242" s="25"/>
      <c r="TP1242" s="25"/>
      <c r="TQ1242" s="25"/>
      <c r="TR1242" s="25"/>
      <c r="TS1242" s="25"/>
      <c r="TT1242" s="25"/>
      <c r="TU1242" s="25"/>
      <c r="TV1242" s="25"/>
      <c r="TW1242" s="25"/>
      <c r="TX1242" s="25"/>
      <c r="TY1242" s="25"/>
      <c r="TZ1242" s="25"/>
      <c r="UA1242" s="25"/>
      <c r="UB1242" s="25"/>
      <c r="UC1242" s="25"/>
      <c r="UD1242" s="25"/>
      <c r="UE1242" s="25"/>
      <c r="UF1242" s="25"/>
      <c r="UG1242" s="26"/>
    </row>
    <row r="1243" spans="1:553" s="162" customFormat="1" ht="30.75" customHeight="1">
      <c r="A1243" s="431">
        <v>12</v>
      </c>
      <c r="B1243" s="431"/>
      <c r="C1243" s="683" t="s">
        <v>685</v>
      </c>
      <c r="D1243" s="1211"/>
      <c r="E1243" s="1211"/>
      <c r="F1243" s="1212"/>
      <c r="G1243" s="431"/>
      <c r="H1243" s="432"/>
      <c r="I1243" s="432"/>
      <c r="J1243" s="983"/>
      <c r="K1243" s="433"/>
      <c r="L1243" s="1196">
        <f>SUM(L1244:L1286)/2</f>
        <v>532669389.04877776</v>
      </c>
      <c r="M1243" s="431"/>
      <c r="N1243" s="431"/>
      <c r="O1243" s="431"/>
      <c r="P1243" s="431">
        <f>SUM(P1244:P1286)</f>
        <v>532669389.04877782</v>
      </c>
      <c r="Q1243" s="815"/>
      <c r="R1243" s="914"/>
      <c r="S1243" s="435" t="str">
        <f>D1248</f>
        <v>2</v>
      </c>
      <c r="T1243" s="435">
        <f>E1248</f>
        <v>352</v>
      </c>
      <c r="U1243" s="616">
        <f>H1247</f>
        <v>306.10000000000002</v>
      </c>
      <c r="V1243" s="616">
        <f>I1247</f>
        <v>306.10000000000002</v>
      </c>
      <c r="W1243" s="435"/>
      <c r="X1243" s="435"/>
      <c r="Y1243" s="435"/>
      <c r="Z1243" s="784"/>
      <c r="AA1243" s="435"/>
      <c r="AB1243" s="435"/>
      <c r="AC1243" s="437">
        <f>I1248</f>
        <v>306.10000000000002</v>
      </c>
      <c r="AD1243" s="437">
        <f>L1247</f>
        <v>119379000.00000001</v>
      </c>
      <c r="AE1243" s="437">
        <f>L1249</f>
        <v>408290389.04877782</v>
      </c>
      <c r="AF1243" s="437">
        <f>L1279</f>
        <v>0</v>
      </c>
      <c r="AG1243" s="437">
        <f>L1280</f>
        <v>5000000</v>
      </c>
      <c r="AH1243" s="437">
        <f>L1283</f>
        <v>0</v>
      </c>
      <c r="AI1243" s="437"/>
      <c r="AJ1243" s="437"/>
      <c r="AK1243" s="437">
        <f>SUM(AD1243:AJ1243)</f>
        <v>532669389.04877782</v>
      </c>
      <c r="AL1243" s="296"/>
      <c r="AM1243" s="158"/>
      <c r="AN1243" s="158"/>
      <c r="AO1243" s="159"/>
      <c r="AP1243" s="159"/>
      <c r="AQ1243" s="159"/>
      <c r="AR1243" s="159"/>
      <c r="AS1243" s="160"/>
      <c r="AT1243" s="160"/>
      <c r="AU1243" s="160"/>
      <c r="AV1243" s="160"/>
      <c r="AW1243" s="160"/>
      <c r="AX1243" s="160"/>
      <c r="AY1243" s="160"/>
      <c r="AZ1243" s="160"/>
      <c r="BA1243" s="160"/>
      <c r="BB1243" s="160"/>
      <c r="BC1243" s="160"/>
      <c r="BD1243" s="160"/>
      <c r="BE1243" s="160"/>
      <c r="BF1243" s="160"/>
      <c r="BG1243" s="160"/>
      <c r="BH1243" s="160"/>
      <c r="BI1243" s="160"/>
      <c r="BJ1243" s="160"/>
      <c r="BK1243" s="160"/>
      <c r="BL1243" s="160"/>
      <c r="BM1243" s="160"/>
      <c r="BN1243" s="160"/>
      <c r="BO1243" s="160"/>
      <c r="BP1243" s="160"/>
      <c r="BQ1243" s="160"/>
      <c r="BR1243" s="160"/>
      <c r="BS1243" s="160"/>
      <c r="BT1243" s="160"/>
      <c r="BU1243" s="160"/>
      <c r="BV1243" s="160"/>
      <c r="BW1243" s="160"/>
      <c r="BX1243" s="160"/>
      <c r="BY1243" s="160"/>
      <c r="BZ1243" s="160"/>
      <c r="CA1243" s="160"/>
      <c r="CB1243" s="160"/>
      <c r="CC1243" s="160"/>
      <c r="CD1243" s="160"/>
      <c r="CE1243" s="160"/>
      <c r="CF1243" s="160"/>
      <c r="CG1243" s="160"/>
      <c r="CH1243" s="160"/>
      <c r="CI1243" s="160"/>
      <c r="CJ1243" s="160"/>
      <c r="CK1243" s="160"/>
      <c r="CL1243" s="160"/>
      <c r="CM1243" s="160"/>
      <c r="CN1243" s="160"/>
      <c r="CO1243" s="160"/>
      <c r="CP1243" s="160"/>
      <c r="CQ1243" s="160"/>
      <c r="CR1243" s="160"/>
      <c r="CS1243" s="160"/>
      <c r="CT1243" s="160"/>
      <c r="CU1243" s="160"/>
      <c r="CV1243" s="160"/>
      <c r="CW1243" s="160"/>
      <c r="CX1243" s="160"/>
      <c r="CY1243" s="160"/>
      <c r="CZ1243" s="160"/>
      <c r="DA1243" s="160"/>
      <c r="DB1243" s="160"/>
      <c r="DC1243" s="160"/>
      <c r="DD1243" s="160"/>
      <c r="DE1243" s="160"/>
      <c r="DF1243" s="160"/>
      <c r="DG1243" s="160"/>
      <c r="DH1243" s="160"/>
      <c r="DI1243" s="160"/>
      <c r="DJ1243" s="160"/>
      <c r="DK1243" s="160"/>
      <c r="DL1243" s="160"/>
      <c r="DM1243" s="160"/>
      <c r="DN1243" s="160"/>
      <c r="DO1243" s="160"/>
      <c r="DP1243" s="160"/>
      <c r="DQ1243" s="160"/>
      <c r="DR1243" s="160"/>
      <c r="DS1243" s="160"/>
      <c r="DT1243" s="160"/>
      <c r="DU1243" s="160"/>
      <c r="DV1243" s="160"/>
      <c r="DW1243" s="160"/>
      <c r="DX1243" s="160"/>
      <c r="DY1243" s="160"/>
      <c r="DZ1243" s="160"/>
      <c r="EA1243" s="160"/>
      <c r="EB1243" s="160"/>
      <c r="EC1243" s="160"/>
      <c r="ED1243" s="160"/>
      <c r="EE1243" s="160"/>
      <c r="EF1243" s="160"/>
      <c r="EG1243" s="160"/>
      <c r="EH1243" s="160"/>
      <c r="EI1243" s="160"/>
      <c r="EJ1243" s="160"/>
      <c r="EK1243" s="160"/>
      <c r="EL1243" s="160"/>
      <c r="EM1243" s="160"/>
      <c r="EN1243" s="160"/>
      <c r="EO1243" s="160"/>
      <c r="EP1243" s="160"/>
      <c r="EQ1243" s="160"/>
      <c r="ER1243" s="160"/>
      <c r="ES1243" s="160"/>
      <c r="ET1243" s="160"/>
      <c r="EU1243" s="160"/>
      <c r="EV1243" s="160"/>
      <c r="EW1243" s="160"/>
      <c r="EX1243" s="160"/>
      <c r="EY1243" s="160"/>
      <c r="EZ1243" s="160"/>
      <c r="FA1243" s="160"/>
      <c r="FB1243" s="160"/>
      <c r="FC1243" s="160"/>
      <c r="FD1243" s="160"/>
      <c r="FE1243" s="160"/>
      <c r="FF1243" s="160"/>
      <c r="FG1243" s="160"/>
      <c r="FH1243" s="160"/>
      <c r="FI1243" s="160"/>
      <c r="FJ1243" s="160"/>
      <c r="FK1243" s="160"/>
      <c r="FL1243" s="160"/>
      <c r="FM1243" s="160"/>
      <c r="FN1243" s="160"/>
      <c r="FO1243" s="160"/>
      <c r="FP1243" s="160"/>
      <c r="FQ1243" s="160"/>
      <c r="FR1243" s="160"/>
      <c r="FS1243" s="160"/>
      <c r="FT1243" s="160"/>
      <c r="FU1243" s="160"/>
      <c r="FV1243" s="160"/>
      <c r="FW1243" s="160"/>
      <c r="FX1243" s="160"/>
      <c r="FY1243" s="160"/>
      <c r="FZ1243" s="160"/>
      <c r="GA1243" s="160"/>
      <c r="GB1243" s="160"/>
      <c r="GC1243" s="160"/>
      <c r="GD1243" s="160"/>
      <c r="GE1243" s="160"/>
      <c r="GF1243" s="160"/>
      <c r="GG1243" s="160"/>
      <c r="GH1243" s="160"/>
      <c r="GI1243" s="160"/>
      <c r="GJ1243" s="160"/>
      <c r="GK1243" s="160"/>
      <c r="GL1243" s="160"/>
      <c r="GM1243" s="160"/>
      <c r="GN1243" s="160"/>
      <c r="GO1243" s="160"/>
      <c r="GP1243" s="160"/>
      <c r="GQ1243" s="160"/>
      <c r="GR1243" s="160"/>
      <c r="GS1243" s="160"/>
      <c r="GT1243" s="160"/>
      <c r="GU1243" s="160"/>
      <c r="GV1243" s="160"/>
      <c r="GW1243" s="160"/>
      <c r="GX1243" s="160"/>
      <c r="GY1243" s="160"/>
      <c r="GZ1243" s="160"/>
      <c r="HA1243" s="160"/>
      <c r="HB1243" s="160"/>
      <c r="HC1243" s="160"/>
      <c r="HD1243" s="160"/>
      <c r="HE1243" s="160"/>
      <c r="HF1243" s="160"/>
      <c r="HG1243" s="160"/>
      <c r="HH1243" s="160"/>
      <c r="HI1243" s="160"/>
      <c r="HJ1243" s="160"/>
      <c r="HK1243" s="160"/>
      <c r="HL1243" s="160"/>
      <c r="HM1243" s="160"/>
      <c r="HN1243" s="160"/>
      <c r="HO1243" s="160"/>
      <c r="HP1243" s="160"/>
      <c r="HQ1243" s="160"/>
      <c r="HR1243" s="160"/>
      <c r="HS1243" s="160"/>
      <c r="HT1243" s="160"/>
      <c r="HU1243" s="160"/>
      <c r="HV1243" s="160"/>
      <c r="HW1243" s="160"/>
      <c r="HX1243" s="160"/>
      <c r="HY1243" s="160"/>
      <c r="HZ1243" s="160"/>
      <c r="IA1243" s="160"/>
      <c r="IB1243" s="160"/>
      <c r="IC1243" s="160"/>
      <c r="ID1243" s="160"/>
      <c r="IE1243" s="160"/>
      <c r="IF1243" s="160"/>
      <c r="IG1243" s="160"/>
      <c r="IH1243" s="160"/>
      <c r="II1243" s="160"/>
      <c r="IJ1243" s="160"/>
      <c r="IK1243" s="160"/>
      <c r="IL1243" s="160"/>
      <c r="IM1243" s="160"/>
      <c r="IN1243" s="160"/>
      <c r="IO1243" s="160"/>
      <c r="IP1243" s="160"/>
      <c r="IQ1243" s="160"/>
      <c r="IR1243" s="160"/>
      <c r="IS1243" s="160"/>
      <c r="IT1243" s="160"/>
      <c r="IU1243" s="160"/>
      <c r="IV1243" s="160"/>
      <c r="IW1243" s="160"/>
      <c r="IX1243" s="160"/>
      <c r="IY1243" s="160"/>
      <c r="IZ1243" s="160"/>
      <c r="JA1243" s="160"/>
      <c r="JB1243" s="160"/>
      <c r="JC1243" s="160"/>
      <c r="JD1243" s="160"/>
      <c r="JE1243" s="160"/>
      <c r="JF1243" s="160"/>
      <c r="JG1243" s="160"/>
      <c r="JH1243" s="160"/>
      <c r="JI1243" s="160"/>
      <c r="JJ1243" s="160"/>
      <c r="JK1243" s="160"/>
      <c r="JL1243" s="160"/>
      <c r="JM1243" s="160"/>
      <c r="JN1243" s="160"/>
      <c r="JO1243" s="160"/>
      <c r="JP1243" s="160"/>
      <c r="JQ1243" s="160"/>
      <c r="JR1243" s="160"/>
      <c r="JS1243" s="160"/>
      <c r="JT1243" s="160"/>
      <c r="JU1243" s="160"/>
      <c r="JV1243" s="160"/>
      <c r="JW1243" s="160"/>
      <c r="JX1243" s="160"/>
      <c r="JY1243" s="160"/>
      <c r="JZ1243" s="160"/>
      <c r="KA1243" s="160"/>
      <c r="KB1243" s="160"/>
      <c r="KC1243" s="160"/>
      <c r="KD1243" s="160"/>
      <c r="KE1243" s="160"/>
      <c r="KF1243" s="160"/>
      <c r="KG1243" s="160"/>
      <c r="KH1243" s="160"/>
      <c r="KI1243" s="160"/>
      <c r="KJ1243" s="160"/>
      <c r="KK1243" s="160"/>
      <c r="KL1243" s="160"/>
      <c r="KM1243" s="160"/>
      <c r="KN1243" s="160"/>
      <c r="KO1243" s="160"/>
      <c r="KP1243" s="160"/>
      <c r="KQ1243" s="160"/>
      <c r="KR1243" s="160"/>
      <c r="KS1243" s="160"/>
      <c r="KT1243" s="160"/>
      <c r="KU1243" s="160"/>
      <c r="KV1243" s="160"/>
      <c r="KW1243" s="160"/>
      <c r="KX1243" s="160"/>
      <c r="KY1243" s="160"/>
      <c r="KZ1243" s="160"/>
      <c r="LA1243" s="160"/>
      <c r="LB1243" s="160"/>
      <c r="LC1243" s="160"/>
      <c r="LD1243" s="160"/>
      <c r="LE1243" s="160"/>
      <c r="LF1243" s="160"/>
      <c r="LG1243" s="160"/>
      <c r="LH1243" s="160"/>
      <c r="LI1243" s="160"/>
      <c r="LJ1243" s="160"/>
      <c r="LK1243" s="160"/>
      <c r="LL1243" s="160"/>
      <c r="LM1243" s="160"/>
      <c r="LN1243" s="160"/>
      <c r="LO1243" s="160"/>
      <c r="LP1243" s="160"/>
      <c r="LQ1243" s="160"/>
      <c r="LR1243" s="160"/>
      <c r="LS1243" s="160"/>
      <c r="LT1243" s="160"/>
      <c r="LU1243" s="160"/>
      <c r="LV1243" s="160"/>
      <c r="LW1243" s="160"/>
      <c r="LX1243" s="160"/>
      <c r="LY1243" s="160"/>
      <c r="LZ1243" s="160"/>
      <c r="MA1243" s="160"/>
      <c r="MB1243" s="160"/>
      <c r="MC1243" s="160"/>
      <c r="MD1243" s="160"/>
      <c r="ME1243" s="160"/>
      <c r="MF1243" s="160"/>
      <c r="MG1243" s="160"/>
      <c r="MH1243" s="160"/>
      <c r="MI1243" s="160"/>
      <c r="MJ1243" s="160"/>
      <c r="MK1243" s="160"/>
      <c r="ML1243" s="160"/>
      <c r="MM1243" s="160"/>
      <c r="MN1243" s="160"/>
      <c r="MO1243" s="160"/>
      <c r="MP1243" s="160"/>
      <c r="MQ1243" s="160"/>
      <c r="MR1243" s="160"/>
      <c r="MS1243" s="160"/>
      <c r="MT1243" s="160"/>
      <c r="MU1243" s="160"/>
      <c r="MV1243" s="160"/>
      <c r="MW1243" s="160"/>
      <c r="MX1243" s="160"/>
      <c r="MY1243" s="160"/>
      <c r="MZ1243" s="160"/>
      <c r="NA1243" s="160"/>
      <c r="NB1243" s="160"/>
      <c r="NC1243" s="160"/>
      <c r="ND1243" s="160"/>
      <c r="NE1243" s="160"/>
      <c r="NF1243" s="160"/>
      <c r="NG1243" s="160"/>
      <c r="NH1243" s="160"/>
      <c r="NI1243" s="160"/>
      <c r="NJ1243" s="160"/>
      <c r="NK1243" s="160"/>
      <c r="NL1243" s="160"/>
      <c r="NM1243" s="160"/>
      <c r="NN1243" s="160"/>
      <c r="NO1243" s="160"/>
      <c r="NP1243" s="160"/>
      <c r="NQ1243" s="160"/>
      <c r="NR1243" s="160"/>
      <c r="NS1243" s="160"/>
      <c r="NT1243" s="160"/>
      <c r="NU1243" s="160"/>
      <c r="NV1243" s="160"/>
      <c r="NW1243" s="160"/>
      <c r="NX1243" s="160"/>
      <c r="NY1243" s="160"/>
      <c r="NZ1243" s="160"/>
      <c r="OA1243" s="160"/>
      <c r="OB1243" s="160"/>
      <c r="OC1243" s="160"/>
      <c r="OD1243" s="160"/>
      <c r="OE1243" s="160"/>
      <c r="OF1243" s="160"/>
      <c r="OG1243" s="160"/>
      <c r="OH1243" s="160"/>
      <c r="OI1243" s="160"/>
      <c r="OJ1243" s="160"/>
      <c r="OK1243" s="160"/>
      <c r="OL1243" s="160"/>
      <c r="OM1243" s="160"/>
      <c r="ON1243" s="160"/>
      <c r="OO1243" s="160"/>
      <c r="OP1243" s="160"/>
      <c r="OQ1243" s="160"/>
      <c r="OR1243" s="160"/>
      <c r="OS1243" s="160"/>
      <c r="OT1243" s="160"/>
      <c r="OU1243" s="160"/>
      <c r="OV1243" s="160"/>
      <c r="OW1243" s="160"/>
      <c r="OX1243" s="160"/>
      <c r="OY1243" s="160"/>
      <c r="OZ1243" s="160"/>
      <c r="PA1243" s="160"/>
      <c r="PB1243" s="160"/>
      <c r="PC1243" s="160"/>
      <c r="PD1243" s="160"/>
      <c r="PE1243" s="160"/>
      <c r="PF1243" s="160"/>
      <c r="PG1243" s="160"/>
      <c r="PH1243" s="160"/>
      <c r="PI1243" s="160"/>
      <c r="PJ1243" s="160"/>
      <c r="PK1243" s="160"/>
      <c r="PL1243" s="160"/>
      <c r="PM1243" s="160"/>
      <c r="PN1243" s="160"/>
      <c r="PO1243" s="160"/>
      <c r="PP1243" s="160"/>
      <c r="PQ1243" s="160"/>
      <c r="PR1243" s="160"/>
      <c r="PS1243" s="160"/>
      <c r="PT1243" s="160"/>
      <c r="PU1243" s="160"/>
      <c r="PV1243" s="160"/>
      <c r="PW1243" s="160"/>
      <c r="PX1243" s="160"/>
      <c r="PY1243" s="160"/>
      <c r="PZ1243" s="160"/>
      <c r="QA1243" s="160"/>
      <c r="QB1243" s="160"/>
      <c r="QC1243" s="160"/>
      <c r="QD1243" s="160"/>
      <c r="QE1243" s="160"/>
      <c r="QF1243" s="160"/>
      <c r="QG1243" s="160"/>
      <c r="QH1243" s="160"/>
      <c r="QI1243" s="160"/>
      <c r="QJ1243" s="160"/>
      <c r="QK1243" s="160"/>
      <c r="QL1243" s="160"/>
      <c r="QM1243" s="160"/>
      <c r="QN1243" s="160"/>
      <c r="QO1243" s="160"/>
      <c r="QP1243" s="160"/>
      <c r="QQ1243" s="160"/>
      <c r="QR1243" s="160"/>
      <c r="QS1243" s="160"/>
      <c r="QT1243" s="160"/>
      <c r="QU1243" s="160"/>
      <c r="QV1243" s="160"/>
      <c r="QW1243" s="160"/>
      <c r="QX1243" s="160"/>
      <c r="QY1243" s="160"/>
      <c r="QZ1243" s="160"/>
      <c r="RA1243" s="160"/>
      <c r="RB1243" s="160"/>
      <c r="RC1243" s="160"/>
      <c r="RD1243" s="160"/>
      <c r="RE1243" s="160"/>
      <c r="RF1243" s="160"/>
      <c r="RG1243" s="160"/>
      <c r="RH1243" s="160"/>
      <c r="RI1243" s="160"/>
      <c r="RJ1243" s="160"/>
      <c r="RK1243" s="160"/>
      <c r="RL1243" s="160"/>
      <c r="RM1243" s="160"/>
      <c r="RN1243" s="160"/>
      <c r="RO1243" s="160"/>
      <c r="RP1243" s="160"/>
      <c r="RQ1243" s="160"/>
      <c r="RR1243" s="160"/>
      <c r="RS1243" s="160"/>
      <c r="RT1243" s="160"/>
      <c r="RU1243" s="160"/>
      <c r="RV1243" s="160"/>
      <c r="RW1243" s="160"/>
      <c r="RX1243" s="160"/>
      <c r="RY1243" s="160"/>
      <c r="RZ1243" s="160"/>
      <c r="SA1243" s="160"/>
      <c r="SB1243" s="160"/>
      <c r="SC1243" s="160"/>
      <c r="SD1243" s="160"/>
      <c r="SE1243" s="160"/>
      <c r="SF1243" s="160"/>
      <c r="SG1243" s="160"/>
      <c r="SH1243" s="160"/>
      <c r="SI1243" s="160"/>
      <c r="SJ1243" s="160"/>
      <c r="SK1243" s="160"/>
      <c r="SL1243" s="160"/>
      <c r="SM1243" s="160"/>
      <c r="SN1243" s="160"/>
      <c r="SO1243" s="160"/>
      <c r="SP1243" s="160"/>
      <c r="SQ1243" s="160"/>
      <c r="SR1243" s="160"/>
      <c r="SS1243" s="160"/>
      <c r="ST1243" s="160"/>
      <c r="SU1243" s="160"/>
      <c r="SV1243" s="160"/>
      <c r="SW1243" s="160"/>
      <c r="SX1243" s="160"/>
      <c r="SY1243" s="160"/>
      <c r="SZ1243" s="160"/>
      <c r="TA1243" s="160"/>
      <c r="TB1243" s="160"/>
      <c r="TC1243" s="160"/>
      <c r="TD1243" s="160"/>
      <c r="TE1243" s="160"/>
      <c r="TF1243" s="160"/>
      <c r="TG1243" s="160"/>
      <c r="TH1243" s="160"/>
      <c r="TI1243" s="160"/>
      <c r="TJ1243" s="160"/>
      <c r="TK1243" s="160"/>
      <c r="TL1243" s="160"/>
      <c r="TM1243" s="160"/>
      <c r="TN1243" s="160"/>
      <c r="TO1243" s="160"/>
      <c r="TP1243" s="160"/>
      <c r="TQ1243" s="160"/>
      <c r="TR1243" s="160"/>
      <c r="TS1243" s="160"/>
      <c r="TT1243" s="160"/>
      <c r="TU1243" s="160"/>
      <c r="TV1243" s="160"/>
      <c r="TW1243" s="160"/>
      <c r="TX1243" s="160"/>
      <c r="TY1243" s="160"/>
      <c r="TZ1243" s="160"/>
      <c r="UA1243" s="160"/>
      <c r="UB1243" s="160"/>
      <c r="UC1243" s="160"/>
      <c r="UD1243" s="160"/>
      <c r="UE1243" s="160"/>
      <c r="UF1243" s="160"/>
      <c r="UG1243" s="161"/>
    </row>
    <row r="1244" spans="1:553" ht="30.75" customHeight="1">
      <c r="A1244" s="356" t="s">
        <v>15</v>
      </c>
      <c r="B1244" s="366"/>
      <c r="C1244" s="1443" t="s">
        <v>686</v>
      </c>
      <c r="D1244" s="1389"/>
      <c r="E1244" s="1389"/>
      <c r="F1244" s="1390"/>
      <c r="G1244" s="366"/>
      <c r="H1244" s="370"/>
      <c r="I1244" s="370"/>
      <c r="J1244" s="368"/>
      <c r="K1244" s="371"/>
      <c r="L1244" s="480"/>
      <c r="M1244" s="366"/>
      <c r="N1244" s="366"/>
      <c r="O1244" s="366"/>
      <c r="P1244" s="366"/>
      <c r="Q1244" s="812"/>
      <c r="R1244" s="1226"/>
      <c r="S1244" s="308"/>
      <c r="T1244" s="308"/>
      <c r="U1244" s="308"/>
      <c r="V1244" s="308"/>
      <c r="W1244" s="308"/>
      <c r="X1244" s="308"/>
      <c r="Y1244" s="308"/>
      <c r="Z1244" s="604"/>
      <c r="AA1244" s="308"/>
      <c r="AB1244" s="308"/>
      <c r="AC1244" s="373"/>
      <c r="AD1244" s="373"/>
      <c r="AE1244" s="373"/>
      <c r="AF1244" s="373"/>
      <c r="AG1244" s="373"/>
      <c r="AH1244" s="373"/>
      <c r="AI1244" s="373"/>
      <c r="AJ1244" s="373"/>
      <c r="AK1244" s="374"/>
      <c r="AL1244" s="323"/>
      <c r="AM1244" s="21"/>
      <c r="AN1244" s="21"/>
      <c r="AO1244" s="21"/>
      <c r="AP1244" s="21"/>
      <c r="AQ1244" s="21"/>
      <c r="AR1244" s="21"/>
      <c r="AS1244" s="22"/>
      <c r="AT1244" s="22"/>
      <c r="AU1244" s="22"/>
      <c r="AV1244" s="22"/>
      <c r="AW1244" s="22"/>
      <c r="AX1244" s="22"/>
      <c r="AY1244" s="22"/>
      <c r="AZ1244" s="22"/>
      <c r="BA1244" s="22"/>
      <c r="BB1244" s="22"/>
      <c r="BC1244" s="22"/>
      <c r="BD1244" s="22"/>
      <c r="BE1244" s="22"/>
      <c r="BF1244" s="22"/>
      <c r="BG1244" s="22"/>
      <c r="BH1244" s="22"/>
      <c r="BI1244" s="22"/>
      <c r="BJ1244" s="22"/>
      <c r="BK1244" s="22"/>
      <c r="BL1244" s="22"/>
      <c r="BM1244" s="22"/>
      <c r="BN1244" s="22"/>
      <c r="BO1244" s="22"/>
      <c r="BP1244" s="22"/>
      <c r="BQ1244" s="22"/>
      <c r="BR1244" s="22"/>
      <c r="BS1244" s="22"/>
      <c r="BT1244" s="22"/>
      <c r="BU1244" s="22"/>
      <c r="BV1244" s="22"/>
      <c r="BW1244" s="22"/>
      <c r="BX1244" s="22"/>
      <c r="BY1244" s="22"/>
      <c r="BZ1244" s="22"/>
      <c r="CA1244" s="22"/>
      <c r="CB1244" s="22"/>
      <c r="CC1244" s="22"/>
      <c r="CD1244" s="22"/>
      <c r="CE1244" s="22"/>
      <c r="CF1244" s="22"/>
      <c r="CG1244" s="22"/>
      <c r="CH1244" s="22"/>
      <c r="CI1244" s="22"/>
      <c r="CJ1244" s="22"/>
      <c r="CK1244" s="22"/>
      <c r="CL1244" s="22"/>
      <c r="CM1244" s="22"/>
      <c r="CN1244" s="22"/>
      <c r="CO1244" s="22"/>
      <c r="CP1244" s="22"/>
      <c r="CQ1244" s="22"/>
      <c r="CR1244" s="22"/>
      <c r="CS1244" s="22"/>
      <c r="CT1244" s="22"/>
      <c r="CU1244" s="22"/>
      <c r="CV1244" s="22"/>
      <c r="CW1244" s="22"/>
      <c r="CX1244" s="22"/>
      <c r="CY1244" s="22"/>
      <c r="CZ1244" s="22"/>
      <c r="DA1244" s="22"/>
      <c r="DB1244" s="22"/>
      <c r="DC1244" s="22"/>
      <c r="DD1244" s="22"/>
      <c r="DE1244" s="22"/>
      <c r="DF1244" s="22"/>
      <c r="DG1244" s="22"/>
      <c r="DH1244" s="22"/>
      <c r="DI1244" s="22"/>
      <c r="DJ1244" s="22"/>
      <c r="DK1244" s="22"/>
      <c r="DL1244" s="22"/>
      <c r="DM1244" s="22"/>
      <c r="DN1244" s="22"/>
      <c r="DO1244" s="22"/>
      <c r="DP1244" s="22"/>
      <c r="DQ1244" s="22"/>
      <c r="DR1244" s="22"/>
      <c r="DS1244" s="22"/>
      <c r="DT1244" s="22"/>
      <c r="DU1244" s="22"/>
      <c r="DV1244" s="22"/>
      <c r="DW1244" s="22"/>
      <c r="DX1244" s="22"/>
      <c r="DY1244" s="22"/>
      <c r="DZ1244" s="22"/>
      <c r="EA1244" s="22"/>
      <c r="EB1244" s="22"/>
      <c r="EC1244" s="22"/>
      <c r="ED1244" s="22"/>
      <c r="EE1244" s="22"/>
      <c r="EF1244" s="22"/>
      <c r="EG1244" s="22"/>
      <c r="EH1244" s="22"/>
      <c r="EI1244" s="22"/>
      <c r="EJ1244" s="22"/>
      <c r="EK1244" s="22"/>
      <c r="EL1244" s="22"/>
      <c r="EM1244" s="22"/>
      <c r="EN1244" s="22"/>
      <c r="EO1244" s="22"/>
      <c r="EP1244" s="22"/>
      <c r="EQ1244" s="22"/>
      <c r="ER1244" s="22"/>
      <c r="ES1244" s="22"/>
      <c r="ET1244" s="22"/>
      <c r="EU1244" s="22"/>
      <c r="EV1244" s="22"/>
      <c r="EW1244" s="22"/>
      <c r="EX1244" s="22"/>
      <c r="EY1244" s="22"/>
      <c r="EZ1244" s="22"/>
      <c r="FA1244" s="22"/>
      <c r="FB1244" s="22"/>
      <c r="FC1244" s="22"/>
      <c r="FD1244" s="22"/>
      <c r="FE1244" s="22"/>
      <c r="FF1244" s="22"/>
      <c r="FG1244" s="22"/>
      <c r="FH1244" s="22"/>
      <c r="FI1244" s="22"/>
      <c r="FJ1244" s="22"/>
      <c r="FK1244" s="22"/>
      <c r="FL1244" s="22"/>
      <c r="FM1244" s="22"/>
      <c r="FN1244" s="22"/>
      <c r="FO1244" s="22"/>
      <c r="FP1244" s="22"/>
      <c r="FQ1244" s="22"/>
      <c r="FR1244" s="22"/>
      <c r="FS1244" s="22"/>
      <c r="FT1244" s="22"/>
      <c r="FU1244" s="22"/>
      <c r="FV1244" s="22"/>
      <c r="FW1244" s="22"/>
      <c r="FX1244" s="22"/>
      <c r="FY1244" s="22"/>
      <c r="FZ1244" s="22"/>
      <c r="GA1244" s="22"/>
      <c r="GB1244" s="22"/>
      <c r="GC1244" s="22"/>
      <c r="GD1244" s="22"/>
      <c r="GE1244" s="22"/>
      <c r="GF1244" s="22"/>
      <c r="GG1244" s="22"/>
      <c r="GH1244" s="22"/>
      <c r="GI1244" s="22"/>
      <c r="GJ1244" s="22"/>
      <c r="GK1244" s="22"/>
      <c r="GL1244" s="22"/>
      <c r="GM1244" s="22"/>
      <c r="GN1244" s="22"/>
      <c r="GO1244" s="22"/>
      <c r="GP1244" s="22"/>
      <c r="GQ1244" s="22"/>
      <c r="GR1244" s="22"/>
      <c r="GS1244" s="22"/>
      <c r="GT1244" s="22"/>
      <c r="GU1244" s="22"/>
      <c r="GV1244" s="22"/>
      <c r="GW1244" s="22"/>
      <c r="GX1244" s="22"/>
      <c r="GY1244" s="22"/>
      <c r="GZ1244" s="22"/>
      <c r="HA1244" s="22"/>
      <c r="HB1244" s="22"/>
      <c r="HC1244" s="22"/>
      <c r="HD1244" s="22"/>
      <c r="HE1244" s="22"/>
      <c r="HF1244" s="22"/>
      <c r="HG1244" s="22"/>
      <c r="HH1244" s="22"/>
      <c r="HI1244" s="22"/>
      <c r="HJ1244" s="22"/>
      <c r="HK1244" s="22"/>
      <c r="HL1244" s="22"/>
      <c r="HM1244" s="22"/>
      <c r="HN1244" s="22"/>
      <c r="HO1244" s="22"/>
      <c r="HP1244" s="22"/>
      <c r="HQ1244" s="22"/>
      <c r="HR1244" s="22"/>
      <c r="HS1244" s="22"/>
      <c r="HT1244" s="22"/>
      <c r="HU1244" s="22"/>
      <c r="HV1244" s="22"/>
      <c r="HW1244" s="22"/>
      <c r="HX1244" s="22"/>
      <c r="HY1244" s="22"/>
      <c r="HZ1244" s="22"/>
      <c r="IA1244" s="22"/>
      <c r="IB1244" s="22"/>
      <c r="IC1244" s="22"/>
      <c r="ID1244" s="22"/>
      <c r="IE1244" s="22"/>
      <c r="IF1244" s="22"/>
      <c r="IG1244" s="22"/>
      <c r="IH1244" s="22"/>
      <c r="II1244" s="22"/>
      <c r="IJ1244" s="22"/>
      <c r="IK1244" s="22"/>
      <c r="IL1244" s="22"/>
      <c r="IM1244" s="22"/>
      <c r="IN1244" s="22"/>
      <c r="IO1244" s="22"/>
      <c r="IP1244" s="22"/>
      <c r="IQ1244" s="22"/>
      <c r="IR1244" s="22"/>
      <c r="IS1244" s="22"/>
      <c r="IT1244" s="22"/>
      <c r="IU1244" s="22"/>
      <c r="IV1244" s="22"/>
      <c r="IW1244" s="22"/>
      <c r="IX1244" s="22"/>
      <c r="IY1244" s="22"/>
      <c r="IZ1244" s="22"/>
      <c r="JA1244" s="22"/>
      <c r="JB1244" s="22"/>
      <c r="JC1244" s="22"/>
      <c r="JD1244" s="22"/>
      <c r="JE1244" s="22"/>
      <c r="JF1244" s="22"/>
      <c r="JG1244" s="22"/>
      <c r="JH1244" s="22"/>
      <c r="JI1244" s="22"/>
      <c r="JJ1244" s="22"/>
      <c r="JK1244" s="22"/>
      <c r="JL1244" s="22"/>
      <c r="JM1244" s="22"/>
      <c r="JN1244" s="22"/>
      <c r="JO1244" s="22"/>
      <c r="JP1244" s="22"/>
      <c r="JQ1244" s="22"/>
      <c r="JR1244" s="22"/>
      <c r="JS1244" s="22"/>
      <c r="JT1244" s="22"/>
      <c r="JU1244" s="22"/>
      <c r="JV1244" s="22"/>
      <c r="JW1244" s="22"/>
      <c r="JX1244" s="22"/>
      <c r="JY1244" s="22"/>
      <c r="JZ1244" s="22"/>
      <c r="KA1244" s="22"/>
      <c r="KB1244" s="22"/>
      <c r="KC1244" s="22"/>
      <c r="KD1244" s="22"/>
      <c r="KE1244" s="22"/>
      <c r="KF1244" s="22"/>
      <c r="KG1244" s="22"/>
      <c r="KH1244" s="22"/>
      <c r="KI1244" s="22"/>
      <c r="KJ1244" s="22"/>
      <c r="KK1244" s="22"/>
      <c r="KL1244" s="22"/>
      <c r="KM1244" s="22"/>
      <c r="KN1244" s="22"/>
      <c r="KO1244" s="22"/>
      <c r="KP1244" s="22"/>
      <c r="KQ1244" s="22"/>
      <c r="KR1244" s="22"/>
      <c r="KS1244" s="22"/>
      <c r="KT1244" s="22"/>
      <c r="KU1244" s="22"/>
      <c r="KV1244" s="22"/>
      <c r="KW1244" s="22"/>
      <c r="KX1244" s="22"/>
      <c r="KY1244" s="22"/>
      <c r="KZ1244" s="22"/>
      <c r="LA1244" s="22"/>
      <c r="LB1244" s="22"/>
      <c r="LC1244" s="22"/>
      <c r="LD1244" s="22"/>
      <c r="LE1244" s="22"/>
      <c r="LF1244" s="22"/>
      <c r="LG1244" s="22"/>
      <c r="LH1244" s="22"/>
      <c r="LI1244" s="22"/>
      <c r="LJ1244" s="22"/>
      <c r="LK1244" s="22"/>
      <c r="LL1244" s="22"/>
      <c r="LM1244" s="22"/>
      <c r="LN1244" s="22"/>
      <c r="LO1244" s="22"/>
      <c r="LP1244" s="22"/>
      <c r="LQ1244" s="22"/>
      <c r="LR1244" s="22"/>
      <c r="LS1244" s="22"/>
      <c r="LT1244" s="22"/>
      <c r="LU1244" s="22"/>
      <c r="LV1244" s="22"/>
      <c r="LW1244" s="22"/>
      <c r="LX1244" s="22"/>
      <c r="LY1244" s="22"/>
      <c r="LZ1244" s="22"/>
      <c r="MA1244" s="22"/>
      <c r="MB1244" s="22"/>
      <c r="MC1244" s="22"/>
      <c r="MD1244" s="22"/>
      <c r="ME1244" s="22"/>
      <c r="MF1244" s="22"/>
      <c r="MG1244" s="22"/>
      <c r="MH1244" s="22"/>
      <c r="MI1244" s="22"/>
      <c r="MJ1244" s="22"/>
      <c r="MK1244" s="22"/>
      <c r="ML1244" s="22"/>
      <c r="MM1244" s="22"/>
      <c r="MN1244" s="22"/>
      <c r="MO1244" s="22"/>
      <c r="MP1244" s="22"/>
      <c r="MQ1244" s="22"/>
      <c r="MR1244" s="22"/>
      <c r="MS1244" s="22"/>
      <c r="MT1244" s="22"/>
      <c r="MU1244" s="22"/>
      <c r="MV1244" s="22"/>
      <c r="MW1244" s="22"/>
      <c r="MX1244" s="22"/>
      <c r="MY1244" s="22"/>
      <c r="MZ1244" s="22"/>
      <c r="NA1244" s="22"/>
      <c r="NB1244" s="22"/>
      <c r="NC1244" s="22"/>
      <c r="ND1244" s="22"/>
      <c r="NE1244" s="22"/>
      <c r="NF1244" s="22"/>
      <c r="NG1244" s="22"/>
      <c r="NH1244" s="22"/>
      <c r="NI1244" s="22"/>
      <c r="NJ1244" s="22"/>
      <c r="NK1244" s="22"/>
      <c r="NL1244" s="22"/>
      <c r="NM1244" s="22"/>
      <c r="NN1244" s="22"/>
      <c r="NO1244" s="22"/>
      <c r="NP1244" s="22"/>
      <c r="NQ1244" s="22"/>
      <c r="NR1244" s="22"/>
      <c r="NS1244" s="22"/>
      <c r="NT1244" s="22"/>
      <c r="NU1244" s="22"/>
      <c r="NV1244" s="22"/>
      <c r="NW1244" s="22"/>
      <c r="NX1244" s="22"/>
      <c r="NY1244" s="22"/>
      <c r="NZ1244" s="22"/>
      <c r="OA1244" s="22"/>
      <c r="OB1244" s="22"/>
      <c r="OC1244" s="22"/>
      <c r="OD1244" s="22"/>
      <c r="OE1244" s="22"/>
      <c r="OF1244" s="22"/>
      <c r="OG1244" s="22"/>
      <c r="OH1244" s="22"/>
      <c r="OI1244" s="22"/>
      <c r="OJ1244" s="22"/>
      <c r="OK1244" s="22"/>
      <c r="OL1244" s="22"/>
      <c r="OM1244" s="22"/>
      <c r="ON1244" s="22"/>
      <c r="OO1244" s="22"/>
      <c r="OP1244" s="22"/>
      <c r="OQ1244" s="22"/>
      <c r="OR1244" s="22"/>
      <c r="OS1244" s="22"/>
      <c r="OT1244" s="22"/>
      <c r="OU1244" s="22"/>
      <c r="OV1244" s="22"/>
      <c r="OW1244" s="22"/>
      <c r="OX1244" s="22"/>
      <c r="OY1244" s="22"/>
      <c r="OZ1244" s="22"/>
      <c r="PA1244" s="22"/>
      <c r="PB1244" s="22"/>
      <c r="PC1244" s="22"/>
      <c r="PD1244" s="22"/>
      <c r="PE1244" s="22"/>
      <c r="PF1244" s="22"/>
      <c r="PG1244" s="22"/>
      <c r="PH1244" s="22"/>
      <c r="PI1244" s="22"/>
      <c r="PJ1244" s="22"/>
      <c r="PK1244" s="22"/>
      <c r="PL1244" s="22"/>
      <c r="PM1244" s="22"/>
      <c r="PN1244" s="22"/>
      <c r="PO1244" s="22"/>
      <c r="PP1244" s="22"/>
      <c r="PQ1244" s="22"/>
      <c r="PR1244" s="22"/>
      <c r="PS1244" s="22"/>
      <c r="PT1244" s="22"/>
      <c r="PU1244" s="22"/>
      <c r="PV1244" s="22"/>
      <c r="PW1244" s="22"/>
      <c r="PX1244" s="22"/>
      <c r="PY1244" s="22"/>
      <c r="PZ1244" s="22"/>
      <c r="QA1244" s="22"/>
      <c r="QB1244" s="22"/>
      <c r="QC1244" s="22"/>
      <c r="QD1244" s="22"/>
      <c r="QE1244" s="22"/>
      <c r="QF1244" s="22"/>
      <c r="QG1244" s="22"/>
      <c r="QH1244" s="22"/>
      <c r="QI1244" s="22"/>
      <c r="QJ1244" s="22"/>
      <c r="QK1244" s="22"/>
      <c r="QL1244" s="22"/>
      <c r="QM1244" s="22"/>
      <c r="QN1244" s="22"/>
      <c r="QO1244" s="22"/>
      <c r="QP1244" s="22"/>
      <c r="QQ1244" s="22"/>
      <c r="QR1244" s="22"/>
      <c r="QS1244" s="22"/>
      <c r="QT1244" s="22"/>
      <c r="QU1244" s="22"/>
      <c r="QV1244" s="22"/>
      <c r="QW1244" s="22"/>
      <c r="QX1244" s="22"/>
      <c r="QY1244" s="22"/>
      <c r="QZ1244" s="22"/>
      <c r="RA1244" s="22"/>
      <c r="RB1244" s="22"/>
      <c r="RC1244" s="22"/>
      <c r="RD1244" s="22"/>
      <c r="RE1244" s="22"/>
      <c r="RF1244" s="22"/>
      <c r="RG1244" s="22"/>
      <c r="RH1244" s="22"/>
      <c r="RI1244" s="22"/>
      <c r="RJ1244" s="22"/>
      <c r="RK1244" s="22"/>
      <c r="RL1244" s="22"/>
      <c r="RM1244" s="22"/>
      <c r="RN1244" s="22"/>
      <c r="RO1244" s="22"/>
      <c r="RP1244" s="22"/>
      <c r="RQ1244" s="22"/>
      <c r="RR1244" s="22"/>
      <c r="RS1244" s="22"/>
      <c r="RT1244" s="22"/>
      <c r="RU1244" s="22"/>
      <c r="RV1244" s="22"/>
      <c r="RW1244" s="22"/>
      <c r="RX1244" s="22"/>
      <c r="RY1244" s="22"/>
      <c r="RZ1244" s="22"/>
      <c r="SA1244" s="22"/>
      <c r="SB1244" s="22"/>
      <c r="SC1244" s="22"/>
      <c r="SD1244" s="22"/>
      <c r="SE1244" s="22"/>
      <c r="SF1244" s="22"/>
      <c r="SG1244" s="22"/>
      <c r="SH1244" s="22"/>
      <c r="SI1244" s="22"/>
      <c r="SJ1244" s="22"/>
      <c r="SK1244" s="22"/>
      <c r="SL1244" s="22"/>
      <c r="SM1244" s="22"/>
      <c r="SN1244" s="22"/>
      <c r="SO1244" s="22"/>
      <c r="SP1244" s="22"/>
      <c r="SQ1244" s="22"/>
      <c r="SR1244" s="22"/>
      <c r="SS1244" s="22"/>
      <c r="ST1244" s="22"/>
      <c r="SU1244" s="22"/>
      <c r="SV1244" s="22"/>
      <c r="SW1244" s="22"/>
      <c r="SX1244" s="22"/>
      <c r="SY1244" s="22"/>
      <c r="SZ1244" s="22"/>
      <c r="TA1244" s="22"/>
      <c r="TB1244" s="22"/>
      <c r="TC1244" s="22"/>
      <c r="TD1244" s="22"/>
      <c r="TE1244" s="22"/>
      <c r="TF1244" s="22"/>
      <c r="TG1244" s="22"/>
      <c r="TH1244" s="22"/>
      <c r="TI1244" s="22"/>
      <c r="TJ1244" s="22"/>
      <c r="TK1244" s="22"/>
      <c r="TL1244" s="22"/>
      <c r="TM1244" s="22"/>
      <c r="TN1244" s="22"/>
      <c r="TO1244" s="22"/>
      <c r="TP1244" s="22"/>
      <c r="TQ1244" s="22"/>
      <c r="TR1244" s="22"/>
      <c r="TS1244" s="22"/>
      <c r="TT1244" s="22"/>
      <c r="TU1244" s="22"/>
      <c r="TV1244" s="22"/>
      <c r="TW1244" s="22"/>
      <c r="TX1244" s="22"/>
      <c r="TY1244" s="22"/>
      <c r="TZ1244" s="22"/>
      <c r="UA1244" s="22"/>
      <c r="UB1244" s="22"/>
      <c r="UC1244" s="22"/>
      <c r="UD1244" s="22"/>
      <c r="UE1244" s="22"/>
      <c r="UF1244" s="22"/>
      <c r="UG1244" s="23"/>
    </row>
    <row r="1245" spans="1:553" ht="30.75" customHeight="1">
      <c r="A1245" s="356" t="s">
        <v>15</v>
      </c>
      <c r="B1245" s="366"/>
      <c r="C1245" s="1414" t="s">
        <v>16</v>
      </c>
      <c r="D1245" s="1389"/>
      <c r="E1245" s="1389"/>
      <c r="F1245" s="1390"/>
      <c r="G1245" s="366"/>
      <c r="H1245" s="370"/>
      <c r="I1245" s="370"/>
      <c r="J1245" s="368"/>
      <c r="K1245" s="371"/>
      <c r="L1245" s="480"/>
      <c r="M1245" s="366"/>
      <c r="N1245" s="366"/>
      <c r="O1245" s="366"/>
      <c r="P1245" s="366"/>
      <c r="Q1245" s="1036"/>
      <c r="R1245" s="1226"/>
      <c r="S1245" s="308"/>
      <c r="T1245" s="308"/>
      <c r="U1245" s="308"/>
      <c r="V1245" s="308"/>
      <c r="W1245" s="308"/>
      <c r="X1245" s="308"/>
      <c r="Y1245" s="308"/>
      <c r="Z1245" s="604"/>
      <c r="AA1245" s="308"/>
      <c r="AB1245" s="308"/>
      <c r="AC1245" s="373"/>
      <c r="AD1245" s="373"/>
      <c r="AE1245" s="373"/>
      <c r="AF1245" s="373"/>
      <c r="AG1245" s="373"/>
      <c r="AH1245" s="373"/>
      <c r="AI1245" s="373"/>
      <c r="AJ1245" s="373"/>
      <c r="AK1245" s="374"/>
      <c r="AL1245" s="323"/>
      <c r="AM1245" s="21"/>
      <c r="AN1245" s="21"/>
      <c r="AO1245" s="21"/>
      <c r="AP1245" s="21"/>
      <c r="AQ1245" s="21"/>
      <c r="AR1245" s="21"/>
      <c r="AS1245" s="22"/>
      <c r="AT1245" s="22"/>
      <c r="AU1245" s="22"/>
      <c r="AV1245" s="22"/>
      <c r="AW1245" s="22"/>
      <c r="AX1245" s="22"/>
      <c r="AY1245" s="22"/>
      <c r="AZ1245" s="22"/>
      <c r="BA1245" s="22"/>
      <c r="BB1245" s="22"/>
      <c r="BC1245" s="22"/>
      <c r="BD1245" s="22"/>
      <c r="BE1245" s="22"/>
      <c r="BF1245" s="22"/>
      <c r="BG1245" s="22"/>
      <c r="BH1245" s="22"/>
      <c r="BI1245" s="22"/>
      <c r="BJ1245" s="22"/>
      <c r="BK1245" s="22"/>
      <c r="BL1245" s="22"/>
      <c r="BM1245" s="22"/>
      <c r="BN1245" s="22"/>
      <c r="BO1245" s="22"/>
      <c r="BP1245" s="22"/>
      <c r="BQ1245" s="22"/>
      <c r="BR1245" s="22"/>
      <c r="BS1245" s="22"/>
      <c r="BT1245" s="22"/>
      <c r="BU1245" s="22"/>
      <c r="BV1245" s="22"/>
      <c r="BW1245" s="22"/>
      <c r="BX1245" s="22"/>
      <c r="BY1245" s="22"/>
      <c r="BZ1245" s="22"/>
      <c r="CA1245" s="22"/>
      <c r="CB1245" s="22"/>
      <c r="CC1245" s="22"/>
      <c r="CD1245" s="22"/>
      <c r="CE1245" s="22"/>
      <c r="CF1245" s="22"/>
      <c r="CG1245" s="22"/>
      <c r="CH1245" s="22"/>
      <c r="CI1245" s="22"/>
      <c r="CJ1245" s="22"/>
      <c r="CK1245" s="22"/>
      <c r="CL1245" s="22"/>
      <c r="CM1245" s="22"/>
      <c r="CN1245" s="22"/>
      <c r="CO1245" s="22"/>
      <c r="CP1245" s="22"/>
      <c r="CQ1245" s="22"/>
      <c r="CR1245" s="22"/>
      <c r="CS1245" s="22"/>
      <c r="CT1245" s="22"/>
      <c r="CU1245" s="22"/>
      <c r="CV1245" s="22"/>
      <c r="CW1245" s="22"/>
      <c r="CX1245" s="22"/>
      <c r="CY1245" s="22"/>
      <c r="CZ1245" s="22"/>
      <c r="DA1245" s="22"/>
      <c r="DB1245" s="22"/>
      <c r="DC1245" s="22"/>
      <c r="DD1245" s="22"/>
      <c r="DE1245" s="22"/>
      <c r="DF1245" s="22"/>
      <c r="DG1245" s="22"/>
      <c r="DH1245" s="22"/>
      <c r="DI1245" s="22"/>
      <c r="DJ1245" s="22"/>
      <c r="DK1245" s="22"/>
      <c r="DL1245" s="22"/>
      <c r="DM1245" s="22"/>
      <c r="DN1245" s="22"/>
      <c r="DO1245" s="22"/>
      <c r="DP1245" s="22"/>
      <c r="DQ1245" s="22"/>
      <c r="DR1245" s="22"/>
      <c r="DS1245" s="22"/>
      <c r="DT1245" s="22"/>
      <c r="DU1245" s="22"/>
      <c r="DV1245" s="22"/>
      <c r="DW1245" s="22"/>
      <c r="DX1245" s="22"/>
      <c r="DY1245" s="22"/>
      <c r="DZ1245" s="22"/>
      <c r="EA1245" s="22"/>
      <c r="EB1245" s="22"/>
      <c r="EC1245" s="22"/>
      <c r="ED1245" s="22"/>
      <c r="EE1245" s="22"/>
      <c r="EF1245" s="22"/>
      <c r="EG1245" s="22"/>
      <c r="EH1245" s="22"/>
      <c r="EI1245" s="22"/>
      <c r="EJ1245" s="22"/>
      <c r="EK1245" s="22"/>
      <c r="EL1245" s="22"/>
      <c r="EM1245" s="22"/>
      <c r="EN1245" s="22"/>
      <c r="EO1245" s="22"/>
      <c r="EP1245" s="22"/>
      <c r="EQ1245" s="22"/>
      <c r="ER1245" s="22"/>
      <c r="ES1245" s="22"/>
      <c r="ET1245" s="22"/>
      <c r="EU1245" s="22"/>
      <c r="EV1245" s="22"/>
      <c r="EW1245" s="22"/>
      <c r="EX1245" s="22"/>
      <c r="EY1245" s="22"/>
      <c r="EZ1245" s="22"/>
      <c r="FA1245" s="22"/>
      <c r="FB1245" s="22"/>
      <c r="FC1245" s="22"/>
      <c r="FD1245" s="22"/>
      <c r="FE1245" s="22"/>
      <c r="FF1245" s="22"/>
      <c r="FG1245" s="22"/>
      <c r="FH1245" s="22"/>
      <c r="FI1245" s="22"/>
      <c r="FJ1245" s="22"/>
      <c r="FK1245" s="22"/>
      <c r="FL1245" s="22"/>
      <c r="FM1245" s="22"/>
      <c r="FN1245" s="22"/>
      <c r="FO1245" s="22"/>
      <c r="FP1245" s="22"/>
      <c r="FQ1245" s="22"/>
      <c r="FR1245" s="22"/>
      <c r="FS1245" s="22"/>
      <c r="FT1245" s="22"/>
      <c r="FU1245" s="22"/>
      <c r="FV1245" s="22"/>
      <c r="FW1245" s="22"/>
      <c r="FX1245" s="22"/>
      <c r="FY1245" s="22"/>
      <c r="FZ1245" s="22"/>
      <c r="GA1245" s="22"/>
      <c r="GB1245" s="22"/>
      <c r="GC1245" s="22"/>
      <c r="GD1245" s="22"/>
      <c r="GE1245" s="22"/>
      <c r="GF1245" s="22"/>
      <c r="GG1245" s="22"/>
      <c r="GH1245" s="22"/>
      <c r="GI1245" s="22"/>
      <c r="GJ1245" s="22"/>
      <c r="GK1245" s="22"/>
      <c r="GL1245" s="22"/>
      <c r="GM1245" s="22"/>
      <c r="GN1245" s="22"/>
      <c r="GO1245" s="22"/>
      <c r="GP1245" s="22"/>
      <c r="GQ1245" s="22"/>
      <c r="GR1245" s="22"/>
      <c r="GS1245" s="22"/>
      <c r="GT1245" s="22"/>
      <c r="GU1245" s="22"/>
      <c r="GV1245" s="22"/>
      <c r="GW1245" s="22"/>
      <c r="GX1245" s="22"/>
      <c r="GY1245" s="22"/>
      <c r="GZ1245" s="22"/>
      <c r="HA1245" s="22"/>
      <c r="HB1245" s="22"/>
      <c r="HC1245" s="22"/>
      <c r="HD1245" s="22"/>
      <c r="HE1245" s="22"/>
      <c r="HF1245" s="22"/>
      <c r="HG1245" s="22"/>
      <c r="HH1245" s="22"/>
      <c r="HI1245" s="22"/>
      <c r="HJ1245" s="22"/>
      <c r="HK1245" s="22"/>
      <c r="HL1245" s="22"/>
      <c r="HM1245" s="22"/>
      <c r="HN1245" s="22"/>
      <c r="HO1245" s="22"/>
      <c r="HP1245" s="22"/>
      <c r="HQ1245" s="22"/>
      <c r="HR1245" s="22"/>
      <c r="HS1245" s="22"/>
      <c r="HT1245" s="22"/>
      <c r="HU1245" s="22"/>
      <c r="HV1245" s="22"/>
      <c r="HW1245" s="22"/>
      <c r="HX1245" s="22"/>
      <c r="HY1245" s="22"/>
      <c r="HZ1245" s="22"/>
      <c r="IA1245" s="22"/>
      <c r="IB1245" s="22"/>
      <c r="IC1245" s="22"/>
      <c r="ID1245" s="22"/>
      <c r="IE1245" s="22"/>
      <c r="IF1245" s="22"/>
      <c r="IG1245" s="22"/>
      <c r="IH1245" s="22"/>
      <c r="II1245" s="22"/>
      <c r="IJ1245" s="22"/>
      <c r="IK1245" s="22"/>
      <c r="IL1245" s="22"/>
      <c r="IM1245" s="22"/>
      <c r="IN1245" s="22"/>
      <c r="IO1245" s="22"/>
      <c r="IP1245" s="22"/>
      <c r="IQ1245" s="22"/>
      <c r="IR1245" s="22"/>
      <c r="IS1245" s="22"/>
      <c r="IT1245" s="22"/>
      <c r="IU1245" s="22"/>
      <c r="IV1245" s="22"/>
      <c r="IW1245" s="22"/>
      <c r="IX1245" s="22"/>
      <c r="IY1245" s="22"/>
      <c r="IZ1245" s="22"/>
      <c r="JA1245" s="22"/>
      <c r="JB1245" s="22"/>
      <c r="JC1245" s="22"/>
      <c r="JD1245" s="22"/>
      <c r="JE1245" s="22"/>
      <c r="JF1245" s="22"/>
      <c r="JG1245" s="22"/>
      <c r="JH1245" s="22"/>
      <c r="JI1245" s="22"/>
      <c r="JJ1245" s="22"/>
      <c r="JK1245" s="22"/>
      <c r="JL1245" s="22"/>
      <c r="JM1245" s="22"/>
      <c r="JN1245" s="22"/>
      <c r="JO1245" s="22"/>
      <c r="JP1245" s="22"/>
      <c r="JQ1245" s="22"/>
      <c r="JR1245" s="22"/>
      <c r="JS1245" s="22"/>
      <c r="JT1245" s="22"/>
      <c r="JU1245" s="22"/>
      <c r="JV1245" s="22"/>
      <c r="JW1245" s="22"/>
      <c r="JX1245" s="22"/>
      <c r="JY1245" s="22"/>
      <c r="JZ1245" s="22"/>
      <c r="KA1245" s="22"/>
      <c r="KB1245" s="22"/>
      <c r="KC1245" s="22"/>
      <c r="KD1245" s="22"/>
      <c r="KE1245" s="22"/>
      <c r="KF1245" s="22"/>
      <c r="KG1245" s="22"/>
      <c r="KH1245" s="22"/>
      <c r="KI1245" s="22"/>
      <c r="KJ1245" s="22"/>
      <c r="KK1245" s="22"/>
      <c r="KL1245" s="22"/>
      <c r="KM1245" s="22"/>
      <c r="KN1245" s="22"/>
      <c r="KO1245" s="22"/>
      <c r="KP1245" s="22"/>
      <c r="KQ1245" s="22"/>
      <c r="KR1245" s="22"/>
      <c r="KS1245" s="22"/>
      <c r="KT1245" s="22"/>
      <c r="KU1245" s="22"/>
      <c r="KV1245" s="22"/>
      <c r="KW1245" s="22"/>
      <c r="KX1245" s="22"/>
      <c r="KY1245" s="22"/>
      <c r="KZ1245" s="22"/>
      <c r="LA1245" s="22"/>
      <c r="LB1245" s="22"/>
      <c r="LC1245" s="22"/>
      <c r="LD1245" s="22"/>
      <c r="LE1245" s="22"/>
      <c r="LF1245" s="22"/>
      <c r="LG1245" s="22"/>
      <c r="LH1245" s="22"/>
      <c r="LI1245" s="22"/>
      <c r="LJ1245" s="22"/>
      <c r="LK1245" s="22"/>
      <c r="LL1245" s="22"/>
      <c r="LM1245" s="22"/>
      <c r="LN1245" s="22"/>
      <c r="LO1245" s="22"/>
      <c r="LP1245" s="22"/>
      <c r="LQ1245" s="22"/>
      <c r="LR1245" s="22"/>
      <c r="LS1245" s="22"/>
      <c r="LT1245" s="22"/>
      <c r="LU1245" s="22"/>
      <c r="LV1245" s="22"/>
      <c r="LW1245" s="22"/>
      <c r="LX1245" s="22"/>
      <c r="LY1245" s="22"/>
      <c r="LZ1245" s="22"/>
      <c r="MA1245" s="22"/>
      <c r="MB1245" s="22"/>
      <c r="MC1245" s="22"/>
      <c r="MD1245" s="22"/>
      <c r="ME1245" s="22"/>
      <c r="MF1245" s="22"/>
      <c r="MG1245" s="22"/>
      <c r="MH1245" s="22"/>
      <c r="MI1245" s="22"/>
      <c r="MJ1245" s="22"/>
      <c r="MK1245" s="22"/>
      <c r="ML1245" s="22"/>
      <c r="MM1245" s="22"/>
      <c r="MN1245" s="22"/>
      <c r="MO1245" s="22"/>
      <c r="MP1245" s="22"/>
      <c r="MQ1245" s="22"/>
      <c r="MR1245" s="22"/>
      <c r="MS1245" s="22"/>
      <c r="MT1245" s="22"/>
      <c r="MU1245" s="22"/>
      <c r="MV1245" s="22"/>
      <c r="MW1245" s="22"/>
      <c r="MX1245" s="22"/>
      <c r="MY1245" s="22"/>
      <c r="MZ1245" s="22"/>
      <c r="NA1245" s="22"/>
      <c r="NB1245" s="22"/>
      <c r="NC1245" s="22"/>
      <c r="ND1245" s="22"/>
      <c r="NE1245" s="22"/>
      <c r="NF1245" s="22"/>
      <c r="NG1245" s="22"/>
      <c r="NH1245" s="22"/>
      <c r="NI1245" s="22"/>
      <c r="NJ1245" s="22"/>
      <c r="NK1245" s="22"/>
      <c r="NL1245" s="22"/>
      <c r="NM1245" s="22"/>
      <c r="NN1245" s="22"/>
      <c r="NO1245" s="22"/>
      <c r="NP1245" s="22"/>
      <c r="NQ1245" s="22"/>
      <c r="NR1245" s="22"/>
      <c r="NS1245" s="22"/>
      <c r="NT1245" s="22"/>
      <c r="NU1245" s="22"/>
      <c r="NV1245" s="22"/>
      <c r="NW1245" s="22"/>
      <c r="NX1245" s="22"/>
      <c r="NY1245" s="22"/>
      <c r="NZ1245" s="22"/>
      <c r="OA1245" s="22"/>
      <c r="OB1245" s="22"/>
      <c r="OC1245" s="22"/>
      <c r="OD1245" s="22"/>
      <c r="OE1245" s="22"/>
      <c r="OF1245" s="22"/>
      <c r="OG1245" s="22"/>
      <c r="OH1245" s="22"/>
      <c r="OI1245" s="22"/>
      <c r="OJ1245" s="22"/>
      <c r="OK1245" s="22"/>
      <c r="OL1245" s="22"/>
      <c r="OM1245" s="22"/>
      <c r="ON1245" s="22"/>
      <c r="OO1245" s="22"/>
      <c r="OP1245" s="22"/>
      <c r="OQ1245" s="22"/>
      <c r="OR1245" s="22"/>
      <c r="OS1245" s="22"/>
      <c r="OT1245" s="22"/>
      <c r="OU1245" s="22"/>
      <c r="OV1245" s="22"/>
      <c r="OW1245" s="22"/>
      <c r="OX1245" s="22"/>
      <c r="OY1245" s="22"/>
      <c r="OZ1245" s="22"/>
      <c r="PA1245" s="22"/>
      <c r="PB1245" s="22"/>
      <c r="PC1245" s="22"/>
      <c r="PD1245" s="22"/>
      <c r="PE1245" s="22"/>
      <c r="PF1245" s="22"/>
      <c r="PG1245" s="22"/>
      <c r="PH1245" s="22"/>
      <c r="PI1245" s="22"/>
      <c r="PJ1245" s="22"/>
      <c r="PK1245" s="22"/>
      <c r="PL1245" s="22"/>
      <c r="PM1245" s="22"/>
      <c r="PN1245" s="22"/>
      <c r="PO1245" s="22"/>
      <c r="PP1245" s="22"/>
      <c r="PQ1245" s="22"/>
      <c r="PR1245" s="22"/>
      <c r="PS1245" s="22"/>
      <c r="PT1245" s="22"/>
      <c r="PU1245" s="22"/>
      <c r="PV1245" s="22"/>
      <c r="PW1245" s="22"/>
      <c r="PX1245" s="22"/>
      <c r="PY1245" s="22"/>
      <c r="PZ1245" s="22"/>
      <c r="QA1245" s="22"/>
      <c r="QB1245" s="22"/>
      <c r="QC1245" s="22"/>
      <c r="QD1245" s="22"/>
      <c r="QE1245" s="22"/>
      <c r="QF1245" s="22"/>
      <c r="QG1245" s="22"/>
      <c r="QH1245" s="22"/>
      <c r="QI1245" s="22"/>
      <c r="QJ1245" s="22"/>
      <c r="QK1245" s="22"/>
      <c r="QL1245" s="22"/>
      <c r="QM1245" s="22"/>
      <c r="QN1245" s="22"/>
      <c r="QO1245" s="22"/>
      <c r="QP1245" s="22"/>
      <c r="QQ1245" s="22"/>
      <c r="QR1245" s="22"/>
      <c r="QS1245" s="22"/>
      <c r="QT1245" s="22"/>
      <c r="QU1245" s="22"/>
      <c r="QV1245" s="22"/>
      <c r="QW1245" s="22"/>
      <c r="QX1245" s="22"/>
      <c r="QY1245" s="22"/>
      <c r="QZ1245" s="22"/>
      <c r="RA1245" s="22"/>
      <c r="RB1245" s="22"/>
      <c r="RC1245" s="22"/>
      <c r="RD1245" s="22"/>
      <c r="RE1245" s="22"/>
      <c r="RF1245" s="22"/>
      <c r="RG1245" s="22"/>
      <c r="RH1245" s="22"/>
      <c r="RI1245" s="22"/>
      <c r="RJ1245" s="22"/>
      <c r="RK1245" s="22"/>
      <c r="RL1245" s="22"/>
      <c r="RM1245" s="22"/>
      <c r="RN1245" s="22"/>
      <c r="RO1245" s="22"/>
      <c r="RP1245" s="22"/>
      <c r="RQ1245" s="22"/>
      <c r="RR1245" s="22"/>
      <c r="RS1245" s="22"/>
      <c r="RT1245" s="22"/>
      <c r="RU1245" s="22"/>
      <c r="RV1245" s="22"/>
      <c r="RW1245" s="22"/>
      <c r="RX1245" s="22"/>
      <c r="RY1245" s="22"/>
      <c r="RZ1245" s="22"/>
      <c r="SA1245" s="22"/>
      <c r="SB1245" s="22"/>
      <c r="SC1245" s="22"/>
      <c r="SD1245" s="22"/>
      <c r="SE1245" s="22"/>
      <c r="SF1245" s="22"/>
      <c r="SG1245" s="22"/>
      <c r="SH1245" s="22"/>
      <c r="SI1245" s="22"/>
      <c r="SJ1245" s="22"/>
      <c r="SK1245" s="22"/>
      <c r="SL1245" s="22"/>
      <c r="SM1245" s="22"/>
      <c r="SN1245" s="22"/>
      <c r="SO1245" s="22"/>
      <c r="SP1245" s="22"/>
      <c r="SQ1245" s="22"/>
      <c r="SR1245" s="22"/>
      <c r="SS1245" s="22"/>
      <c r="ST1245" s="22"/>
      <c r="SU1245" s="22"/>
      <c r="SV1245" s="22"/>
      <c r="SW1245" s="22"/>
      <c r="SX1245" s="22"/>
      <c r="SY1245" s="22"/>
      <c r="SZ1245" s="22"/>
      <c r="TA1245" s="22"/>
      <c r="TB1245" s="22"/>
      <c r="TC1245" s="22"/>
      <c r="TD1245" s="22"/>
      <c r="TE1245" s="22"/>
      <c r="TF1245" s="22"/>
      <c r="TG1245" s="22"/>
      <c r="TH1245" s="22"/>
      <c r="TI1245" s="22"/>
      <c r="TJ1245" s="22"/>
      <c r="TK1245" s="22"/>
      <c r="TL1245" s="22"/>
      <c r="TM1245" s="22"/>
      <c r="TN1245" s="22"/>
      <c r="TO1245" s="22"/>
      <c r="TP1245" s="22"/>
      <c r="TQ1245" s="22"/>
      <c r="TR1245" s="22"/>
      <c r="TS1245" s="22"/>
      <c r="TT1245" s="22"/>
      <c r="TU1245" s="22"/>
      <c r="TV1245" s="22"/>
      <c r="TW1245" s="22"/>
      <c r="TX1245" s="22"/>
      <c r="TY1245" s="22"/>
      <c r="TZ1245" s="22"/>
      <c r="UA1245" s="22"/>
      <c r="UB1245" s="22"/>
      <c r="UC1245" s="22"/>
      <c r="UD1245" s="22"/>
      <c r="UE1245" s="22"/>
      <c r="UF1245" s="22"/>
      <c r="UG1245" s="23"/>
    </row>
    <row r="1246" spans="1:553" ht="30.75" customHeight="1">
      <c r="A1246" s="356" t="s">
        <v>15</v>
      </c>
      <c r="B1246" s="366"/>
      <c r="C1246" s="1443" t="s">
        <v>394</v>
      </c>
      <c r="D1246" s="1389"/>
      <c r="E1246" s="1389"/>
      <c r="F1246" s="1390"/>
      <c r="G1246" s="366"/>
      <c r="H1246" s="370"/>
      <c r="I1246" s="370"/>
      <c r="J1246" s="368"/>
      <c r="K1246" s="371"/>
      <c r="L1246" s="480"/>
      <c r="M1246" s="366"/>
      <c r="N1246" s="366"/>
      <c r="O1246" s="366"/>
      <c r="P1246" s="366"/>
      <c r="Q1246" s="1036"/>
      <c r="R1246" s="1226"/>
      <c r="S1246" s="308"/>
      <c r="T1246" s="308"/>
      <c r="U1246" s="308"/>
      <c r="V1246" s="308"/>
      <c r="W1246" s="308"/>
      <c r="X1246" s="308"/>
      <c r="Y1246" s="308"/>
      <c r="Z1246" s="604"/>
      <c r="AA1246" s="308"/>
      <c r="AB1246" s="308"/>
      <c r="AC1246" s="373"/>
      <c r="AD1246" s="373"/>
      <c r="AE1246" s="373"/>
      <c r="AF1246" s="373"/>
      <c r="AG1246" s="373"/>
      <c r="AH1246" s="373"/>
      <c r="AI1246" s="373"/>
      <c r="AJ1246" s="373"/>
      <c r="AK1246" s="374"/>
      <c r="AL1246" s="323"/>
      <c r="AM1246" s="21"/>
      <c r="AN1246" s="21"/>
      <c r="AO1246" s="21"/>
      <c r="AP1246" s="21"/>
      <c r="AQ1246" s="21"/>
      <c r="AR1246" s="21"/>
      <c r="AS1246" s="22"/>
      <c r="AT1246" s="22"/>
      <c r="AU1246" s="22"/>
      <c r="AV1246" s="22"/>
      <c r="AW1246" s="22"/>
      <c r="AX1246" s="22"/>
      <c r="AY1246" s="22"/>
      <c r="AZ1246" s="22"/>
      <c r="BA1246" s="22"/>
      <c r="BB1246" s="22"/>
      <c r="BC1246" s="22"/>
      <c r="BD1246" s="22"/>
      <c r="BE1246" s="22"/>
      <c r="BF1246" s="22"/>
      <c r="BG1246" s="22"/>
      <c r="BH1246" s="22"/>
      <c r="BI1246" s="22"/>
      <c r="BJ1246" s="22"/>
      <c r="BK1246" s="22"/>
      <c r="BL1246" s="22"/>
      <c r="BM1246" s="22"/>
      <c r="BN1246" s="22"/>
      <c r="BO1246" s="22"/>
      <c r="BP1246" s="22"/>
      <c r="BQ1246" s="22"/>
      <c r="BR1246" s="22"/>
      <c r="BS1246" s="22"/>
      <c r="BT1246" s="22"/>
      <c r="BU1246" s="22"/>
      <c r="BV1246" s="22"/>
      <c r="BW1246" s="22"/>
      <c r="BX1246" s="22"/>
      <c r="BY1246" s="22"/>
      <c r="BZ1246" s="22"/>
      <c r="CA1246" s="22"/>
      <c r="CB1246" s="22"/>
      <c r="CC1246" s="22"/>
      <c r="CD1246" s="22"/>
      <c r="CE1246" s="22"/>
      <c r="CF1246" s="22"/>
      <c r="CG1246" s="22"/>
      <c r="CH1246" s="22"/>
      <c r="CI1246" s="22"/>
      <c r="CJ1246" s="22"/>
      <c r="CK1246" s="22"/>
      <c r="CL1246" s="22"/>
      <c r="CM1246" s="22"/>
      <c r="CN1246" s="22"/>
      <c r="CO1246" s="22"/>
      <c r="CP1246" s="22"/>
      <c r="CQ1246" s="22"/>
      <c r="CR1246" s="22"/>
      <c r="CS1246" s="22"/>
      <c r="CT1246" s="22"/>
      <c r="CU1246" s="22"/>
      <c r="CV1246" s="22"/>
      <c r="CW1246" s="22"/>
      <c r="CX1246" s="22"/>
      <c r="CY1246" s="22"/>
      <c r="CZ1246" s="22"/>
      <c r="DA1246" s="22"/>
      <c r="DB1246" s="22"/>
      <c r="DC1246" s="22"/>
      <c r="DD1246" s="22"/>
      <c r="DE1246" s="22"/>
      <c r="DF1246" s="22"/>
      <c r="DG1246" s="22"/>
      <c r="DH1246" s="22"/>
      <c r="DI1246" s="22"/>
      <c r="DJ1246" s="22"/>
      <c r="DK1246" s="22"/>
      <c r="DL1246" s="22"/>
      <c r="DM1246" s="22"/>
      <c r="DN1246" s="22"/>
      <c r="DO1246" s="22"/>
      <c r="DP1246" s="22"/>
      <c r="DQ1246" s="22"/>
      <c r="DR1246" s="22"/>
      <c r="DS1246" s="22"/>
      <c r="DT1246" s="22"/>
      <c r="DU1246" s="22"/>
      <c r="DV1246" s="22"/>
      <c r="DW1246" s="22"/>
      <c r="DX1246" s="22"/>
      <c r="DY1246" s="22"/>
      <c r="DZ1246" s="22"/>
      <c r="EA1246" s="22"/>
      <c r="EB1246" s="22"/>
      <c r="EC1246" s="22"/>
      <c r="ED1246" s="22"/>
      <c r="EE1246" s="22"/>
      <c r="EF1246" s="22"/>
      <c r="EG1246" s="22"/>
      <c r="EH1246" s="22"/>
      <c r="EI1246" s="22"/>
      <c r="EJ1246" s="22"/>
      <c r="EK1246" s="22"/>
      <c r="EL1246" s="22"/>
      <c r="EM1246" s="22"/>
      <c r="EN1246" s="22"/>
      <c r="EO1246" s="22"/>
      <c r="EP1246" s="22"/>
      <c r="EQ1246" s="22"/>
      <c r="ER1246" s="22"/>
      <c r="ES1246" s="22"/>
      <c r="ET1246" s="22"/>
      <c r="EU1246" s="22"/>
      <c r="EV1246" s="22"/>
      <c r="EW1246" s="22"/>
      <c r="EX1246" s="22"/>
      <c r="EY1246" s="22"/>
      <c r="EZ1246" s="22"/>
      <c r="FA1246" s="22"/>
      <c r="FB1246" s="22"/>
      <c r="FC1246" s="22"/>
      <c r="FD1246" s="22"/>
      <c r="FE1246" s="22"/>
      <c r="FF1246" s="22"/>
      <c r="FG1246" s="22"/>
      <c r="FH1246" s="22"/>
      <c r="FI1246" s="22"/>
      <c r="FJ1246" s="22"/>
      <c r="FK1246" s="22"/>
      <c r="FL1246" s="22"/>
      <c r="FM1246" s="22"/>
      <c r="FN1246" s="22"/>
      <c r="FO1246" s="22"/>
      <c r="FP1246" s="22"/>
      <c r="FQ1246" s="22"/>
      <c r="FR1246" s="22"/>
      <c r="FS1246" s="22"/>
      <c r="FT1246" s="22"/>
      <c r="FU1246" s="22"/>
      <c r="FV1246" s="22"/>
      <c r="FW1246" s="22"/>
      <c r="FX1246" s="22"/>
      <c r="FY1246" s="22"/>
      <c r="FZ1246" s="22"/>
      <c r="GA1246" s="22"/>
      <c r="GB1246" s="22"/>
      <c r="GC1246" s="22"/>
      <c r="GD1246" s="22"/>
      <c r="GE1246" s="22"/>
      <c r="GF1246" s="22"/>
      <c r="GG1246" s="22"/>
      <c r="GH1246" s="22"/>
      <c r="GI1246" s="22"/>
      <c r="GJ1246" s="22"/>
      <c r="GK1246" s="22"/>
      <c r="GL1246" s="22"/>
      <c r="GM1246" s="22"/>
      <c r="GN1246" s="22"/>
      <c r="GO1246" s="22"/>
      <c r="GP1246" s="22"/>
      <c r="GQ1246" s="22"/>
      <c r="GR1246" s="22"/>
      <c r="GS1246" s="22"/>
      <c r="GT1246" s="22"/>
      <c r="GU1246" s="22"/>
      <c r="GV1246" s="22"/>
      <c r="GW1246" s="22"/>
      <c r="GX1246" s="22"/>
      <c r="GY1246" s="22"/>
      <c r="GZ1246" s="22"/>
      <c r="HA1246" s="22"/>
      <c r="HB1246" s="22"/>
      <c r="HC1246" s="22"/>
      <c r="HD1246" s="22"/>
      <c r="HE1246" s="22"/>
      <c r="HF1246" s="22"/>
      <c r="HG1246" s="22"/>
      <c r="HH1246" s="22"/>
      <c r="HI1246" s="22"/>
      <c r="HJ1246" s="22"/>
      <c r="HK1246" s="22"/>
      <c r="HL1246" s="22"/>
      <c r="HM1246" s="22"/>
      <c r="HN1246" s="22"/>
      <c r="HO1246" s="22"/>
      <c r="HP1246" s="22"/>
      <c r="HQ1246" s="22"/>
      <c r="HR1246" s="22"/>
      <c r="HS1246" s="22"/>
      <c r="HT1246" s="22"/>
      <c r="HU1246" s="22"/>
      <c r="HV1246" s="22"/>
      <c r="HW1246" s="22"/>
      <c r="HX1246" s="22"/>
      <c r="HY1246" s="22"/>
      <c r="HZ1246" s="22"/>
      <c r="IA1246" s="22"/>
      <c r="IB1246" s="22"/>
      <c r="IC1246" s="22"/>
      <c r="ID1246" s="22"/>
      <c r="IE1246" s="22"/>
      <c r="IF1246" s="22"/>
      <c r="IG1246" s="22"/>
      <c r="IH1246" s="22"/>
      <c r="II1246" s="22"/>
      <c r="IJ1246" s="22"/>
      <c r="IK1246" s="22"/>
      <c r="IL1246" s="22"/>
      <c r="IM1246" s="22"/>
      <c r="IN1246" s="22"/>
      <c r="IO1246" s="22"/>
      <c r="IP1246" s="22"/>
      <c r="IQ1246" s="22"/>
      <c r="IR1246" s="22"/>
      <c r="IS1246" s="22"/>
      <c r="IT1246" s="22"/>
      <c r="IU1246" s="22"/>
      <c r="IV1246" s="22"/>
      <c r="IW1246" s="22"/>
      <c r="IX1246" s="22"/>
      <c r="IY1246" s="22"/>
      <c r="IZ1246" s="22"/>
      <c r="JA1246" s="22"/>
      <c r="JB1246" s="22"/>
      <c r="JC1246" s="22"/>
      <c r="JD1246" s="22"/>
      <c r="JE1246" s="22"/>
      <c r="JF1246" s="22"/>
      <c r="JG1246" s="22"/>
      <c r="JH1246" s="22"/>
      <c r="JI1246" s="22"/>
      <c r="JJ1246" s="22"/>
      <c r="JK1246" s="22"/>
      <c r="JL1246" s="22"/>
      <c r="JM1246" s="22"/>
      <c r="JN1246" s="22"/>
      <c r="JO1246" s="22"/>
      <c r="JP1246" s="22"/>
      <c r="JQ1246" s="22"/>
      <c r="JR1246" s="22"/>
      <c r="JS1246" s="22"/>
      <c r="JT1246" s="22"/>
      <c r="JU1246" s="22"/>
      <c r="JV1246" s="22"/>
      <c r="JW1246" s="22"/>
      <c r="JX1246" s="22"/>
      <c r="JY1246" s="22"/>
      <c r="JZ1246" s="22"/>
      <c r="KA1246" s="22"/>
      <c r="KB1246" s="22"/>
      <c r="KC1246" s="22"/>
      <c r="KD1246" s="22"/>
      <c r="KE1246" s="22"/>
      <c r="KF1246" s="22"/>
      <c r="KG1246" s="22"/>
      <c r="KH1246" s="22"/>
      <c r="KI1246" s="22"/>
      <c r="KJ1246" s="22"/>
      <c r="KK1246" s="22"/>
      <c r="KL1246" s="22"/>
      <c r="KM1246" s="22"/>
      <c r="KN1246" s="22"/>
      <c r="KO1246" s="22"/>
      <c r="KP1246" s="22"/>
      <c r="KQ1246" s="22"/>
      <c r="KR1246" s="22"/>
      <c r="KS1246" s="22"/>
      <c r="KT1246" s="22"/>
      <c r="KU1246" s="22"/>
      <c r="KV1246" s="22"/>
      <c r="KW1246" s="22"/>
      <c r="KX1246" s="22"/>
      <c r="KY1246" s="22"/>
      <c r="KZ1246" s="22"/>
      <c r="LA1246" s="22"/>
      <c r="LB1246" s="22"/>
      <c r="LC1246" s="22"/>
      <c r="LD1246" s="22"/>
      <c r="LE1246" s="22"/>
      <c r="LF1246" s="22"/>
      <c r="LG1246" s="22"/>
      <c r="LH1246" s="22"/>
      <c r="LI1246" s="22"/>
      <c r="LJ1246" s="22"/>
      <c r="LK1246" s="22"/>
      <c r="LL1246" s="22"/>
      <c r="LM1246" s="22"/>
      <c r="LN1246" s="22"/>
      <c r="LO1246" s="22"/>
      <c r="LP1246" s="22"/>
      <c r="LQ1246" s="22"/>
      <c r="LR1246" s="22"/>
      <c r="LS1246" s="22"/>
      <c r="LT1246" s="22"/>
      <c r="LU1246" s="22"/>
      <c r="LV1246" s="22"/>
      <c r="LW1246" s="22"/>
      <c r="LX1246" s="22"/>
      <c r="LY1246" s="22"/>
      <c r="LZ1246" s="22"/>
      <c r="MA1246" s="22"/>
      <c r="MB1246" s="22"/>
      <c r="MC1246" s="22"/>
      <c r="MD1246" s="22"/>
      <c r="ME1246" s="22"/>
      <c r="MF1246" s="22"/>
      <c r="MG1246" s="22"/>
      <c r="MH1246" s="22"/>
      <c r="MI1246" s="22"/>
      <c r="MJ1246" s="22"/>
      <c r="MK1246" s="22"/>
      <c r="ML1246" s="22"/>
      <c r="MM1246" s="22"/>
      <c r="MN1246" s="22"/>
      <c r="MO1246" s="22"/>
      <c r="MP1246" s="22"/>
      <c r="MQ1246" s="22"/>
      <c r="MR1246" s="22"/>
      <c r="MS1246" s="22"/>
      <c r="MT1246" s="22"/>
      <c r="MU1246" s="22"/>
      <c r="MV1246" s="22"/>
      <c r="MW1246" s="22"/>
      <c r="MX1246" s="22"/>
      <c r="MY1246" s="22"/>
      <c r="MZ1246" s="22"/>
      <c r="NA1246" s="22"/>
      <c r="NB1246" s="22"/>
      <c r="NC1246" s="22"/>
      <c r="ND1246" s="22"/>
      <c r="NE1246" s="22"/>
      <c r="NF1246" s="22"/>
      <c r="NG1246" s="22"/>
      <c r="NH1246" s="22"/>
      <c r="NI1246" s="22"/>
      <c r="NJ1246" s="22"/>
      <c r="NK1246" s="22"/>
      <c r="NL1246" s="22"/>
      <c r="NM1246" s="22"/>
      <c r="NN1246" s="22"/>
      <c r="NO1246" s="22"/>
      <c r="NP1246" s="22"/>
      <c r="NQ1246" s="22"/>
      <c r="NR1246" s="22"/>
      <c r="NS1246" s="22"/>
      <c r="NT1246" s="22"/>
      <c r="NU1246" s="22"/>
      <c r="NV1246" s="22"/>
      <c r="NW1246" s="22"/>
      <c r="NX1246" s="22"/>
      <c r="NY1246" s="22"/>
      <c r="NZ1246" s="22"/>
      <c r="OA1246" s="22"/>
      <c r="OB1246" s="22"/>
      <c r="OC1246" s="22"/>
      <c r="OD1246" s="22"/>
      <c r="OE1246" s="22"/>
      <c r="OF1246" s="22"/>
      <c r="OG1246" s="22"/>
      <c r="OH1246" s="22"/>
      <c r="OI1246" s="22"/>
      <c r="OJ1246" s="22"/>
      <c r="OK1246" s="22"/>
      <c r="OL1246" s="22"/>
      <c r="OM1246" s="22"/>
      <c r="ON1246" s="22"/>
      <c r="OO1246" s="22"/>
      <c r="OP1246" s="22"/>
      <c r="OQ1246" s="22"/>
      <c r="OR1246" s="22"/>
      <c r="OS1246" s="22"/>
      <c r="OT1246" s="22"/>
      <c r="OU1246" s="22"/>
      <c r="OV1246" s="22"/>
      <c r="OW1246" s="22"/>
      <c r="OX1246" s="22"/>
      <c r="OY1246" s="22"/>
      <c r="OZ1246" s="22"/>
      <c r="PA1246" s="22"/>
      <c r="PB1246" s="22"/>
      <c r="PC1246" s="22"/>
      <c r="PD1246" s="22"/>
      <c r="PE1246" s="22"/>
      <c r="PF1246" s="22"/>
      <c r="PG1246" s="22"/>
      <c r="PH1246" s="22"/>
      <c r="PI1246" s="22"/>
      <c r="PJ1246" s="22"/>
      <c r="PK1246" s="22"/>
      <c r="PL1246" s="22"/>
      <c r="PM1246" s="22"/>
      <c r="PN1246" s="22"/>
      <c r="PO1246" s="22"/>
      <c r="PP1246" s="22"/>
      <c r="PQ1246" s="22"/>
      <c r="PR1246" s="22"/>
      <c r="PS1246" s="22"/>
      <c r="PT1246" s="22"/>
      <c r="PU1246" s="22"/>
      <c r="PV1246" s="22"/>
      <c r="PW1246" s="22"/>
      <c r="PX1246" s="22"/>
      <c r="PY1246" s="22"/>
      <c r="PZ1246" s="22"/>
      <c r="QA1246" s="22"/>
      <c r="QB1246" s="22"/>
      <c r="QC1246" s="22"/>
      <c r="QD1246" s="22"/>
      <c r="QE1246" s="22"/>
      <c r="QF1246" s="22"/>
      <c r="QG1246" s="22"/>
      <c r="QH1246" s="22"/>
      <c r="QI1246" s="22"/>
      <c r="QJ1246" s="22"/>
      <c r="QK1246" s="22"/>
      <c r="QL1246" s="22"/>
      <c r="QM1246" s="22"/>
      <c r="QN1246" s="22"/>
      <c r="QO1246" s="22"/>
      <c r="QP1246" s="22"/>
      <c r="QQ1246" s="22"/>
      <c r="QR1246" s="22"/>
      <c r="QS1246" s="22"/>
      <c r="QT1246" s="22"/>
      <c r="QU1246" s="22"/>
      <c r="QV1246" s="22"/>
      <c r="QW1246" s="22"/>
      <c r="QX1246" s="22"/>
      <c r="QY1246" s="22"/>
      <c r="QZ1246" s="22"/>
      <c r="RA1246" s="22"/>
      <c r="RB1246" s="22"/>
      <c r="RC1246" s="22"/>
      <c r="RD1246" s="22"/>
      <c r="RE1246" s="22"/>
      <c r="RF1246" s="22"/>
      <c r="RG1246" s="22"/>
      <c r="RH1246" s="22"/>
      <c r="RI1246" s="22"/>
      <c r="RJ1246" s="22"/>
      <c r="RK1246" s="22"/>
      <c r="RL1246" s="22"/>
      <c r="RM1246" s="22"/>
      <c r="RN1246" s="22"/>
      <c r="RO1246" s="22"/>
      <c r="RP1246" s="22"/>
      <c r="RQ1246" s="22"/>
      <c r="RR1246" s="22"/>
      <c r="RS1246" s="22"/>
      <c r="RT1246" s="22"/>
      <c r="RU1246" s="22"/>
      <c r="RV1246" s="22"/>
      <c r="RW1246" s="22"/>
      <c r="RX1246" s="22"/>
      <c r="RY1246" s="22"/>
      <c r="RZ1246" s="22"/>
      <c r="SA1246" s="22"/>
      <c r="SB1246" s="22"/>
      <c r="SC1246" s="22"/>
      <c r="SD1246" s="22"/>
      <c r="SE1246" s="22"/>
      <c r="SF1246" s="22"/>
      <c r="SG1246" s="22"/>
      <c r="SH1246" s="22"/>
      <c r="SI1246" s="22"/>
      <c r="SJ1246" s="22"/>
      <c r="SK1246" s="22"/>
      <c r="SL1246" s="22"/>
      <c r="SM1246" s="22"/>
      <c r="SN1246" s="22"/>
      <c r="SO1246" s="22"/>
      <c r="SP1246" s="22"/>
      <c r="SQ1246" s="22"/>
      <c r="SR1246" s="22"/>
      <c r="SS1246" s="22"/>
      <c r="ST1246" s="22"/>
      <c r="SU1246" s="22"/>
      <c r="SV1246" s="22"/>
      <c r="SW1246" s="22"/>
      <c r="SX1246" s="22"/>
      <c r="SY1246" s="22"/>
      <c r="SZ1246" s="22"/>
      <c r="TA1246" s="22"/>
      <c r="TB1246" s="22"/>
      <c r="TC1246" s="22"/>
      <c r="TD1246" s="22"/>
      <c r="TE1246" s="22"/>
      <c r="TF1246" s="22"/>
      <c r="TG1246" s="22"/>
      <c r="TH1246" s="22"/>
      <c r="TI1246" s="22"/>
      <c r="TJ1246" s="22"/>
      <c r="TK1246" s="22"/>
      <c r="TL1246" s="22"/>
      <c r="TM1246" s="22"/>
      <c r="TN1246" s="22"/>
      <c r="TO1246" s="22"/>
      <c r="TP1246" s="22"/>
      <c r="TQ1246" s="22"/>
      <c r="TR1246" s="22"/>
      <c r="TS1246" s="22"/>
      <c r="TT1246" s="22"/>
      <c r="TU1246" s="22"/>
      <c r="TV1246" s="22"/>
      <c r="TW1246" s="22"/>
      <c r="TX1246" s="22"/>
      <c r="TY1246" s="22"/>
      <c r="TZ1246" s="22"/>
      <c r="UA1246" s="22"/>
      <c r="UB1246" s="22"/>
      <c r="UC1246" s="22"/>
      <c r="UD1246" s="22"/>
      <c r="UE1246" s="22"/>
      <c r="UF1246" s="22"/>
      <c r="UG1246" s="23"/>
    </row>
    <row r="1247" spans="1:553" ht="43.9" customHeight="1">
      <c r="A1247" s="356" t="s">
        <v>17</v>
      </c>
      <c r="B1247" s="356"/>
      <c r="C1247" s="1431" t="s">
        <v>18</v>
      </c>
      <c r="D1247" s="1389"/>
      <c r="E1247" s="1389"/>
      <c r="F1247" s="1390"/>
      <c r="G1247" s="356" t="s">
        <v>1393</v>
      </c>
      <c r="H1247" s="359">
        <f t="shared" ref="H1247:I1247" si="187">SUM(H1248)</f>
        <v>306.10000000000002</v>
      </c>
      <c r="I1247" s="359">
        <f t="shared" si="187"/>
        <v>306.10000000000002</v>
      </c>
      <c r="J1247" s="357"/>
      <c r="K1247" s="364"/>
      <c r="L1247" s="645">
        <f>SUM(L1248)</f>
        <v>119379000.00000001</v>
      </c>
      <c r="M1247" s="356"/>
      <c r="N1247" s="356"/>
      <c r="O1247" s="356"/>
      <c r="P1247" s="356">
        <f>L1247</f>
        <v>119379000.00000001</v>
      </c>
      <c r="Q1247" s="1084"/>
      <c r="R1247" s="1447" t="s">
        <v>1026</v>
      </c>
      <c r="S1247" s="308"/>
      <c r="T1247" s="308"/>
      <c r="U1247" s="308"/>
      <c r="V1247" s="308"/>
      <c r="W1247" s="308"/>
      <c r="X1247" s="308"/>
      <c r="Y1247" s="308"/>
      <c r="Z1247" s="604"/>
      <c r="AA1247" s="308"/>
      <c r="AB1247" s="308"/>
      <c r="AC1247" s="365"/>
      <c r="AD1247" s="365"/>
      <c r="AE1247" s="365"/>
      <c r="AF1247" s="365"/>
      <c r="AG1247" s="365"/>
      <c r="AH1247" s="365"/>
      <c r="AI1247" s="365"/>
      <c r="AJ1247" s="365"/>
      <c r="AK1247" s="377"/>
      <c r="AL1247" s="343"/>
      <c r="AM1247" s="24"/>
      <c r="AN1247" s="24"/>
      <c r="AO1247" s="16"/>
      <c r="AP1247" s="24"/>
      <c r="AQ1247" s="24"/>
      <c r="AR1247" s="24"/>
      <c r="AS1247" s="18"/>
      <c r="AT1247" s="18"/>
      <c r="AU1247" s="18"/>
      <c r="AV1247" s="18"/>
      <c r="AW1247" s="18"/>
      <c r="AX1247" s="18"/>
      <c r="AY1247" s="18"/>
      <c r="AZ1247" s="18"/>
      <c r="BA1247" s="18"/>
      <c r="BB1247" s="18"/>
      <c r="BC1247" s="18"/>
      <c r="BD1247" s="18"/>
      <c r="BE1247" s="18"/>
      <c r="BF1247" s="18"/>
      <c r="BG1247" s="18"/>
      <c r="BH1247" s="18"/>
      <c r="BI1247" s="18"/>
      <c r="BJ1247" s="18"/>
      <c r="BK1247" s="18"/>
      <c r="BL1247" s="18"/>
      <c r="BM1247" s="18"/>
      <c r="BN1247" s="18"/>
      <c r="BO1247" s="18"/>
      <c r="BP1247" s="18"/>
      <c r="BQ1247" s="18"/>
      <c r="BR1247" s="18"/>
      <c r="BS1247" s="18"/>
      <c r="BT1247" s="18"/>
      <c r="BU1247" s="18"/>
      <c r="BV1247" s="18"/>
      <c r="BW1247" s="18"/>
      <c r="BX1247" s="18"/>
      <c r="BY1247" s="18"/>
      <c r="BZ1247" s="18"/>
      <c r="CA1247" s="18"/>
      <c r="CB1247" s="18"/>
      <c r="CC1247" s="18"/>
      <c r="CD1247" s="18"/>
      <c r="CE1247" s="18"/>
      <c r="CF1247" s="18"/>
      <c r="CG1247" s="18"/>
      <c r="CH1247" s="18"/>
      <c r="CI1247" s="18"/>
      <c r="CJ1247" s="18"/>
      <c r="CK1247" s="18"/>
      <c r="CL1247" s="18"/>
      <c r="CM1247" s="18"/>
      <c r="CN1247" s="18"/>
      <c r="CO1247" s="18"/>
      <c r="CP1247" s="18"/>
      <c r="CQ1247" s="18"/>
      <c r="CR1247" s="18"/>
      <c r="CS1247" s="18"/>
      <c r="CT1247" s="18"/>
      <c r="CU1247" s="18"/>
      <c r="CV1247" s="18"/>
      <c r="CW1247" s="18"/>
      <c r="CX1247" s="18"/>
      <c r="CY1247" s="18"/>
      <c r="CZ1247" s="18"/>
      <c r="DA1247" s="18"/>
      <c r="DB1247" s="18"/>
      <c r="DC1247" s="18"/>
      <c r="DD1247" s="18"/>
      <c r="DE1247" s="18"/>
      <c r="DF1247" s="18"/>
      <c r="DG1247" s="18"/>
      <c r="DH1247" s="18"/>
      <c r="DI1247" s="18"/>
      <c r="DJ1247" s="18"/>
      <c r="DK1247" s="18"/>
      <c r="DL1247" s="18"/>
      <c r="DM1247" s="18"/>
      <c r="DN1247" s="18"/>
      <c r="DO1247" s="18"/>
      <c r="DP1247" s="18"/>
      <c r="DQ1247" s="18"/>
      <c r="DR1247" s="18"/>
      <c r="DS1247" s="18"/>
      <c r="DT1247" s="18"/>
      <c r="DU1247" s="18"/>
      <c r="DV1247" s="18"/>
      <c r="DW1247" s="18"/>
      <c r="DX1247" s="18"/>
      <c r="DY1247" s="18"/>
      <c r="DZ1247" s="18"/>
      <c r="EA1247" s="18"/>
      <c r="EB1247" s="18"/>
      <c r="EC1247" s="18"/>
      <c r="ED1247" s="18"/>
      <c r="EE1247" s="18"/>
      <c r="EF1247" s="18"/>
      <c r="EG1247" s="18"/>
      <c r="EH1247" s="18"/>
      <c r="EI1247" s="18"/>
      <c r="EJ1247" s="18"/>
      <c r="EK1247" s="18"/>
      <c r="EL1247" s="18"/>
      <c r="EM1247" s="18"/>
      <c r="EN1247" s="18"/>
      <c r="EO1247" s="18"/>
      <c r="EP1247" s="18"/>
      <c r="EQ1247" s="18"/>
      <c r="ER1247" s="18"/>
      <c r="ES1247" s="18"/>
      <c r="ET1247" s="18"/>
      <c r="EU1247" s="18"/>
      <c r="EV1247" s="18"/>
      <c r="EW1247" s="18"/>
      <c r="EX1247" s="18"/>
      <c r="EY1247" s="18"/>
      <c r="EZ1247" s="18"/>
      <c r="FA1247" s="18"/>
      <c r="FB1247" s="18"/>
      <c r="FC1247" s="18"/>
      <c r="FD1247" s="18"/>
      <c r="FE1247" s="18"/>
      <c r="FF1247" s="18"/>
      <c r="FG1247" s="18"/>
      <c r="FH1247" s="18"/>
      <c r="FI1247" s="18"/>
      <c r="FJ1247" s="18"/>
      <c r="FK1247" s="18"/>
      <c r="FL1247" s="18"/>
      <c r="FM1247" s="18"/>
      <c r="FN1247" s="18"/>
      <c r="FO1247" s="18"/>
      <c r="FP1247" s="18"/>
      <c r="FQ1247" s="18"/>
      <c r="FR1247" s="18"/>
      <c r="FS1247" s="18"/>
      <c r="FT1247" s="18"/>
      <c r="FU1247" s="18"/>
      <c r="FV1247" s="18"/>
      <c r="FW1247" s="18"/>
      <c r="FX1247" s="18"/>
      <c r="FY1247" s="18"/>
      <c r="FZ1247" s="18"/>
      <c r="GA1247" s="18"/>
      <c r="GB1247" s="18"/>
      <c r="GC1247" s="18"/>
      <c r="GD1247" s="18"/>
      <c r="GE1247" s="18"/>
      <c r="GF1247" s="18"/>
      <c r="GG1247" s="18"/>
      <c r="GH1247" s="18"/>
      <c r="GI1247" s="18"/>
      <c r="GJ1247" s="18"/>
      <c r="GK1247" s="18"/>
      <c r="GL1247" s="18"/>
      <c r="GM1247" s="18"/>
      <c r="GN1247" s="18"/>
      <c r="GO1247" s="18"/>
      <c r="GP1247" s="18"/>
      <c r="GQ1247" s="18"/>
      <c r="GR1247" s="18"/>
      <c r="GS1247" s="18"/>
      <c r="GT1247" s="18"/>
      <c r="GU1247" s="18"/>
      <c r="GV1247" s="18"/>
      <c r="GW1247" s="18"/>
      <c r="GX1247" s="18"/>
      <c r="GY1247" s="18"/>
      <c r="GZ1247" s="18"/>
      <c r="HA1247" s="18"/>
      <c r="HB1247" s="18"/>
      <c r="HC1247" s="18"/>
      <c r="HD1247" s="18"/>
      <c r="HE1247" s="18"/>
      <c r="HF1247" s="18"/>
      <c r="HG1247" s="18"/>
      <c r="HH1247" s="18"/>
      <c r="HI1247" s="18"/>
      <c r="HJ1247" s="18"/>
      <c r="HK1247" s="18"/>
      <c r="HL1247" s="18"/>
      <c r="HM1247" s="18"/>
      <c r="HN1247" s="18"/>
      <c r="HO1247" s="18"/>
      <c r="HP1247" s="18"/>
      <c r="HQ1247" s="18"/>
      <c r="HR1247" s="18"/>
      <c r="HS1247" s="18"/>
      <c r="HT1247" s="18"/>
      <c r="HU1247" s="18"/>
      <c r="HV1247" s="18"/>
      <c r="HW1247" s="18"/>
      <c r="HX1247" s="18"/>
      <c r="HY1247" s="18"/>
      <c r="HZ1247" s="18"/>
      <c r="IA1247" s="18"/>
      <c r="IB1247" s="18"/>
      <c r="IC1247" s="18"/>
      <c r="ID1247" s="18"/>
      <c r="IE1247" s="18"/>
      <c r="IF1247" s="18"/>
      <c r="IG1247" s="18"/>
      <c r="IH1247" s="18"/>
      <c r="II1247" s="18"/>
      <c r="IJ1247" s="18"/>
      <c r="IK1247" s="18"/>
      <c r="IL1247" s="18"/>
      <c r="IM1247" s="18"/>
      <c r="IN1247" s="18"/>
      <c r="IO1247" s="18"/>
      <c r="IP1247" s="18"/>
      <c r="IQ1247" s="18"/>
      <c r="IR1247" s="18"/>
      <c r="IS1247" s="18"/>
      <c r="IT1247" s="18"/>
      <c r="IU1247" s="18"/>
      <c r="IV1247" s="18"/>
      <c r="IW1247" s="18"/>
      <c r="IX1247" s="18"/>
      <c r="IY1247" s="18"/>
      <c r="IZ1247" s="18"/>
      <c r="JA1247" s="18"/>
      <c r="JB1247" s="18"/>
      <c r="JC1247" s="18"/>
      <c r="JD1247" s="18"/>
      <c r="JE1247" s="18"/>
      <c r="JF1247" s="18"/>
      <c r="JG1247" s="18"/>
      <c r="JH1247" s="18"/>
      <c r="JI1247" s="18"/>
      <c r="JJ1247" s="18"/>
      <c r="JK1247" s="18"/>
      <c r="JL1247" s="18"/>
      <c r="JM1247" s="18"/>
      <c r="JN1247" s="18"/>
      <c r="JO1247" s="18"/>
      <c r="JP1247" s="18"/>
      <c r="JQ1247" s="18"/>
      <c r="JR1247" s="18"/>
      <c r="JS1247" s="18"/>
      <c r="JT1247" s="18"/>
      <c r="JU1247" s="18"/>
      <c r="JV1247" s="18"/>
      <c r="JW1247" s="18"/>
      <c r="JX1247" s="18"/>
      <c r="JY1247" s="18"/>
      <c r="JZ1247" s="18"/>
      <c r="KA1247" s="18"/>
      <c r="KB1247" s="18"/>
      <c r="KC1247" s="18"/>
      <c r="KD1247" s="18"/>
      <c r="KE1247" s="18"/>
      <c r="KF1247" s="18"/>
      <c r="KG1247" s="18"/>
      <c r="KH1247" s="18"/>
      <c r="KI1247" s="18"/>
      <c r="KJ1247" s="18"/>
      <c r="KK1247" s="18"/>
      <c r="KL1247" s="18"/>
      <c r="KM1247" s="18"/>
      <c r="KN1247" s="18"/>
      <c r="KO1247" s="18"/>
      <c r="KP1247" s="18"/>
      <c r="KQ1247" s="18"/>
      <c r="KR1247" s="18"/>
      <c r="KS1247" s="18"/>
      <c r="KT1247" s="18"/>
      <c r="KU1247" s="18"/>
      <c r="KV1247" s="18"/>
      <c r="KW1247" s="18"/>
      <c r="KX1247" s="18"/>
      <c r="KY1247" s="18"/>
      <c r="KZ1247" s="18"/>
      <c r="LA1247" s="18"/>
      <c r="LB1247" s="18"/>
      <c r="LC1247" s="18"/>
      <c r="LD1247" s="18"/>
      <c r="LE1247" s="18"/>
      <c r="LF1247" s="18"/>
      <c r="LG1247" s="18"/>
      <c r="LH1247" s="18"/>
      <c r="LI1247" s="18"/>
      <c r="LJ1247" s="18"/>
      <c r="LK1247" s="18"/>
      <c r="LL1247" s="18"/>
      <c r="LM1247" s="18"/>
      <c r="LN1247" s="18"/>
      <c r="LO1247" s="18"/>
      <c r="LP1247" s="18"/>
      <c r="LQ1247" s="18"/>
      <c r="LR1247" s="18"/>
      <c r="LS1247" s="18"/>
      <c r="LT1247" s="18"/>
      <c r="LU1247" s="18"/>
      <c r="LV1247" s="18"/>
      <c r="LW1247" s="18"/>
      <c r="LX1247" s="18"/>
      <c r="LY1247" s="18"/>
      <c r="LZ1247" s="18"/>
      <c r="MA1247" s="18"/>
      <c r="MB1247" s="18"/>
      <c r="MC1247" s="18"/>
      <c r="MD1247" s="18"/>
      <c r="ME1247" s="18"/>
      <c r="MF1247" s="18"/>
      <c r="MG1247" s="18"/>
      <c r="MH1247" s="18"/>
      <c r="MI1247" s="18"/>
      <c r="MJ1247" s="18"/>
      <c r="MK1247" s="18"/>
      <c r="ML1247" s="18"/>
      <c r="MM1247" s="18"/>
      <c r="MN1247" s="18"/>
      <c r="MO1247" s="18"/>
      <c r="MP1247" s="18"/>
      <c r="MQ1247" s="18"/>
      <c r="MR1247" s="18"/>
      <c r="MS1247" s="18"/>
      <c r="MT1247" s="18"/>
      <c r="MU1247" s="18"/>
      <c r="MV1247" s="18"/>
      <c r="MW1247" s="18"/>
      <c r="MX1247" s="18"/>
      <c r="MY1247" s="18"/>
      <c r="MZ1247" s="18"/>
      <c r="NA1247" s="18"/>
      <c r="NB1247" s="18"/>
      <c r="NC1247" s="18"/>
      <c r="ND1247" s="18"/>
      <c r="NE1247" s="18"/>
      <c r="NF1247" s="18"/>
      <c r="NG1247" s="18"/>
      <c r="NH1247" s="18"/>
      <c r="NI1247" s="18"/>
      <c r="NJ1247" s="18"/>
      <c r="NK1247" s="18"/>
      <c r="NL1247" s="18"/>
      <c r="NM1247" s="18"/>
      <c r="NN1247" s="18"/>
      <c r="NO1247" s="18"/>
      <c r="NP1247" s="18"/>
      <c r="NQ1247" s="18"/>
      <c r="NR1247" s="18"/>
      <c r="NS1247" s="18"/>
      <c r="NT1247" s="18"/>
      <c r="NU1247" s="18"/>
      <c r="NV1247" s="18"/>
      <c r="NW1247" s="18"/>
      <c r="NX1247" s="18"/>
      <c r="NY1247" s="18"/>
      <c r="NZ1247" s="18"/>
      <c r="OA1247" s="18"/>
      <c r="OB1247" s="18"/>
      <c r="OC1247" s="18"/>
      <c r="OD1247" s="18"/>
      <c r="OE1247" s="18"/>
      <c r="OF1247" s="18"/>
      <c r="OG1247" s="18"/>
      <c r="OH1247" s="18"/>
      <c r="OI1247" s="18"/>
      <c r="OJ1247" s="18"/>
      <c r="OK1247" s="18"/>
      <c r="OL1247" s="18"/>
      <c r="OM1247" s="18"/>
      <c r="ON1247" s="18"/>
      <c r="OO1247" s="18"/>
      <c r="OP1247" s="18"/>
      <c r="OQ1247" s="18"/>
      <c r="OR1247" s="18"/>
      <c r="OS1247" s="18"/>
      <c r="OT1247" s="18"/>
      <c r="OU1247" s="18"/>
      <c r="OV1247" s="18"/>
      <c r="OW1247" s="18"/>
      <c r="OX1247" s="18"/>
      <c r="OY1247" s="18"/>
      <c r="OZ1247" s="18"/>
      <c r="PA1247" s="18"/>
      <c r="PB1247" s="18"/>
      <c r="PC1247" s="18"/>
      <c r="PD1247" s="18"/>
      <c r="PE1247" s="18"/>
      <c r="PF1247" s="18"/>
      <c r="PG1247" s="18"/>
      <c r="PH1247" s="18"/>
      <c r="PI1247" s="18"/>
      <c r="PJ1247" s="18"/>
      <c r="PK1247" s="18"/>
      <c r="PL1247" s="18"/>
      <c r="PM1247" s="18"/>
      <c r="PN1247" s="18"/>
      <c r="PO1247" s="18"/>
      <c r="PP1247" s="18"/>
      <c r="PQ1247" s="18"/>
      <c r="PR1247" s="18"/>
      <c r="PS1247" s="18"/>
      <c r="PT1247" s="18"/>
      <c r="PU1247" s="18"/>
      <c r="PV1247" s="18"/>
      <c r="PW1247" s="18"/>
      <c r="PX1247" s="18"/>
      <c r="PY1247" s="18"/>
      <c r="PZ1247" s="18"/>
      <c r="QA1247" s="18"/>
      <c r="QB1247" s="18"/>
      <c r="QC1247" s="18"/>
      <c r="QD1247" s="18"/>
      <c r="QE1247" s="18"/>
      <c r="QF1247" s="18"/>
      <c r="QG1247" s="18"/>
      <c r="QH1247" s="18"/>
      <c r="QI1247" s="18"/>
      <c r="QJ1247" s="18"/>
      <c r="QK1247" s="18"/>
      <c r="QL1247" s="18"/>
      <c r="QM1247" s="18"/>
      <c r="QN1247" s="18"/>
      <c r="QO1247" s="18"/>
      <c r="QP1247" s="18"/>
      <c r="QQ1247" s="18"/>
      <c r="QR1247" s="18"/>
      <c r="QS1247" s="18"/>
      <c r="QT1247" s="18"/>
      <c r="QU1247" s="18"/>
      <c r="QV1247" s="18"/>
      <c r="QW1247" s="18"/>
      <c r="QX1247" s="18"/>
      <c r="QY1247" s="18"/>
      <c r="QZ1247" s="18"/>
      <c r="RA1247" s="18"/>
      <c r="RB1247" s="18"/>
      <c r="RC1247" s="18"/>
      <c r="RD1247" s="18"/>
      <c r="RE1247" s="18"/>
      <c r="RF1247" s="18"/>
      <c r="RG1247" s="18"/>
      <c r="RH1247" s="18"/>
      <c r="RI1247" s="18"/>
      <c r="RJ1247" s="18"/>
      <c r="RK1247" s="18"/>
      <c r="RL1247" s="18"/>
      <c r="RM1247" s="18"/>
      <c r="RN1247" s="18"/>
      <c r="RO1247" s="18"/>
      <c r="RP1247" s="18"/>
      <c r="RQ1247" s="18"/>
      <c r="RR1247" s="18"/>
      <c r="RS1247" s="18"/>
      <c r="RT1247" s="18"/>
      <c r="RU1247" s="18"/>
      <c r="RV1247" s="18"/>
      <c r="RW1247" s="18"/>
      <c r="RX1247" s="18"/>
      <c r="RY1247" s="18"/>
      <c r="RZ1247" s="18"/>
      <c r="SA1247" s="18"/>
      <c r="SB1247" s="18"/>
      <c r="SC1247" s="18"/>
      <c r="SD1247" s="18"/>
      <c r="SE1247" s="18"/>
      <c r="SF1247" s="18"/>
      <c r="SG1247" s="18"/>
      <c r="SH1247" s="18"/>
      <c r="SI1247" s="18"/>
      <c r="SJ1247" s="18"/>
      <c r="SK1247" s="18"/>
      <c r="SL1247" s="18"/>
      <c r="SM1247" s="18"/>
      <c r="SN1247" s="18"/>
      <c r="SO1247" s="18"/>
      <c r="SP1247" s="18"/>
      <c r="SQ1247" s="18"/>
      <c r="SR1247" s="18"/>
      <c r="SS1247" s="18"/>
      <c r="ST1247" s="18"/>
      <c r="SU1247" s="18"/>
      <c r="SV1247" s="18"/>
      <c r="SW1247" s="18"/>
      <c r="SX1247" s="18"/>
      <c r="SY1247" s="18"/>
      <c r="SZ1247" s="18"/>
      <c r="TA1247" s="18"/>
      <c r="TB1247" s="18"/>
      <c r="TC1247" s="18"/>
      <c r="TD1247" s="18"/>
      <c r="TE1247" s="18"/>
      <c r="TF1247" s="18"/>
      <c r="TG1247" s="18"/>
      <c r="TH1247" s="18"/>
      <c r="TI1247" s="18"/>
      <c r="TJ1247" s="18"/>
      <c r="TK1247" s="18"/>
      <c r="TL1247" s="18"/>
      <c r="TM1247" s="18"/>
      <c r="TN1247" s="18"/>
      <c r="TO1247" s="18"/>
      <c r="TP1247" s="18"/>
      <c r="TQ1247" s="18"/>
      <c r="TR1247" s="18"/>
      <c r="TS1247" s="18"/>
      <c r="TT1247" s="18"/>
      <c r="TU1247" s="18"/>
      <c r="TV1247" s="18"/>
      <c r="TW1247" s="18"/>
      <c r="TX1247" s="18"/>
      <c r="TY1247" s="18"/>
      <c r="TZ1247" s="18"/>
      <c r="UA1247" s="18"/>
      <c r="UB1247" s="18"/>
      <c r="UC1247" s="18"/>
      <c r="UD1247" s="18"/>
      <c r="UE1247" s="18"/>
      <c r="UF1247" s="18"/>
      <c r="UG1247" s="19"/>
    </row>
    <row r="1248" spans="1:553" ht="204" customHeight="1">
      <c r="A1248" s="356" t="s">
        <v>15</v>
      </c>
      <c r="B1248" s="385"/>
      <c r="C1248" s="384" t="s">
        <v>19</v>
      </c>
      <c r="D1248" s="376" t="s">
        <v>20</v>
      </c>
      <c r="E1248" s="376">
        <v>352</v>
      </c>
      <c r="F1248" s="385">
        <v>1</v>
      </c>
      <c r="G1248" s="386" t="s">
        <v>935</v>
      </c>
      <c r="H1248" s="441">
        <v>306.10000000000002</v>
      </c>
      <c r="I1248" s="1070">
        <f>H1248</f>
        <v>306.10000000000002</v>
      </c>
      <c r="J1248" s="368">
        <v>390000</v>
      </c>
      <c r="K1248" s="684" t="s">
        <v>70</v>
      </c>
      <c r="L1248" s="480">
        <f>PRODUCT(I1248:K1248)</f>
        <v>119379000.00000001</v>
      </c>
      <c r="M1248" s="451" t="s">
        <v>88</v>
      </c>
      <c r="N1248" s="392">
        <v>198000</v>
      </c>
      <c r="O1248" s="366">
        <f>I1248*M1248*N1248</f>
        <v>24243120.000000004</v>
      </c>
      <c r="P1248" s="366"/>
      <c r="Q1248" s="1057" t="s">
        <v>687</v>
      </c>
      <c r="R1248" s="1452"/>
      <c r="S1248" s="308"/>
      <c r="T1248" s="308"/>
      <c r="U1248" s="308"/>
      <c r="V1248" s="308"/>
      <c r="W1248" s="308"/>
      <c r="X1248" s="308"/>
      <c r="Y1248" s="308"/>
      <c r="Z1248" s="604"/>
      <c r="AA1248" s="308"/>
      <c r="AB1248" s="308"/>
      <c r="AC1248" s="373"/>
      <c r="AD1248" s="373"/>
      <c r="AE1248" s="373"/>
      <c r="AF1248" s="373"/>
      <c r="AG1248" s="373"/>
      <c r="AH1248" s="373"/>
      <c r="AI1248" s="373"/>
      <c r="AJ1248" s="373"/>
      <c r="AK1248" s="389"/>
      <c r="AL1248" s="100"/>
      <c r="AM1248" s="27"/>
      <c r="AN1248" s="27"/>
      <c r="AO1248" s="27"/>
      <c r="AP1248" s="27"/>
      <c r="AQ1248" s="27"/>
      <c r="AR1248" s="27"/>
      <c r="AS1248" s="22"/>
      <c r="AT1248" s="22"/>
      <c r="AU1248" s="22"/>
      <c r="AV1248" s="22"/>
      <c r="AW1248" s="22"/>
      <c r="AX1248" s="22"/>
      <c r="AY1248" s="22"/>
      <c r="AZ1248" s="22"/>
      <c r="BA1248" s="22"/>
      <c r="BB1248" s="22"/>
      <c r="BC1248" s="22"/>
      <c r="BD1248" s="22"/>
      <c r="BE1248" s="22"/>
      <c r="BF1248" s="22"/>
      <c r="BG1248" s="22"/>
      <c r="BH1248" s="22"/>
      <c r="BI1248" s="22"/>
      <c r="BJ1248" s="22"/>
      <c r="BK1248" s="22"/>
      <c r="BL1248" s="22"/>
      <c r="BM1248" s="22"/>
      <c r="BN1248" s="22"/>
      <c r="BO1248" s="22"/>
      <c r="BP1248" s="22"/>
      <c r="BQ1248" s="22"/>
      <c r="BR1248" s="22"/>
      <c r="BS1248" s="22"/>
      <c r="BT1248" s="22"/>
      <c r="BU1248" s="22"/>
      <c r="BV1248" s="22"/>
      <c r="BW1248" s="22"/>
      <c r="BX1248" s="22"/>
      <c r="BY1248" s="22"/>
      <c r="BZ1248" s="22"/>
      <c r="CA1248" s="22"/>
      <c r="CB1248" s="22"/>
      <c r="CC1248" s="22"/>
      <c r="CD1248" s="22"/>
      <c r="CE1248" s="22"/>
      <c r="CF1248" s="22"/>
      <c r="CG1248" s="22"/>
      <c r="CH1248" s="22"/>
      <c r="CI1248" s="22"/>
      <c r="CJ1248" s="22"/>
      <c r="CK1248" s="22"/>
      <c r="CL1248" s="22"/>
      <c r="CM1248" s="22"/>
      <c r="CN1248" s="22"/>
      <c r="CO1248" s="22"/>
      <c r="CP1248" s="22"/>
      <c r="CQ1248" s="22"/>
      <c r="CR1248" s="22"/>
      <c r="CS1248" s="22"/>
      <c r="CT1248" s="22"/>
      <c r="CU1248" s="22"/>
      <c r="CV1248" s="22"/>
      <c r="CW1248" s="22"/>
      <c r="CX1248" s="22"/>
      <c r="CY1248" s="22"/>
      <c r="CZ1248" s="22"/>
      <c r="DA1248" s="22"/>
      <c r="DB1248" s="22"/>
      <c r="DC1248" s="22"/>
      <c r="DD1248" s="22"/>
      <c r="DE1248" s="22"/>
      <c r="DF1248" s="22"/>
      <c r="DG1248" s="22"/>
      <c r="DH1248" s="22"/>
      <c r="DI1248" s="22"/>
      <c r="DJ1248" s="22"/>
      <c r="DK1248" s="22"/>
      <c r="DL1248" s="22"/>
      <c r="DM1248" s="22"/>
      <c r="DN1248" s="22"/>
      <c r="DO1248" s="22"/>
      <c r="DP1248" s="22"/>
      <c r="DQ1248" s="22"/>
      <c r="DR1248" s="22"/>
      <c r="DS1248" s="22"/>
      <c r="DT1248" s="22"/>
      <c r="DU1248" s="22"/>
      <c r="DV1248" s="22"/>
      <c r="DW1248" s="22"/>
      <c r="DX1248" s="22"/>
      <c r="DY1248" s="22"/>
      <c r="DZ1248" s="22"/>
      <c r="EA1248" s="22"/>
      <c r="EB1248" s="22"/>
      <c r="EC1248" s="22"/>
      <c r="ED1248" s="22"/>
      <c r="EE1248" s="22"/>
      <c r="EF1248" s="22"/>
      <c r="EG1248" s="22"/>
      <c r="EH1248" s="22"/>
      <c r="EI1248" s="22"/>
      <c r="EJ1248" s="22"/>
      <c r="EK1248" s="22"/>
      <c r="EL1248" s="22"/>
      <c r="EM1248" s="22"/>
      <c r="EN1248" s="22"/>
      <c r="EO1248" s="22"/>
      <c r="EP1248" s="22"/>
      <c r="EQ1248" s="22"/>
      <c r="ER1248" s="22"/>
      <c r="ES1248" s="22"/>
      <c r="ET1248" s="22"/>
      <c r="EU1248" s="22"/>
      <c r="EV1248" s="22"/>
      <c r="EW1248" s="22"/>
      <c r="EX1248" s="22"/>
      <c r="EY1248" s="22"/>
      <c r="EZ1248" s="22"/>
      <c r="FA1248" s="22"/>
      <c r="FB1248" s="22"/>
      <c r="FC1248" s="22"/>
      <c r="FD1248" s="22"/>
      <c r="FE1248" s="22"/>
      <c r="FF1248" s="22"/>
      <c r="FG1248" s="22"/>
      <c r="FH1248" s="22"/>
      <c r="FI1248" s="22"/>
      <c r="FJ1248" s="22"/>
      <c r="FK1248" s="22"/>
      <c r="FL1248" s="22"/>
      <c r="FM1248" s="22"/>
      <c r="FN1248" s="22"/>
      <c r="FO1248" s="22"/>
      <c r="FP1248" s="22"/>
      <c r="FQ1248" s="22"/>
      <c r="FR1248" s="22"/>
      <c r="FS1248" s="22"/>
      <c r="FT1248" s="22"/>
      <c r="FU1248" s="22"/>
      <c r="FV1248" s="22"/>
      <c r="FW1248" s="22"/>
      <c r="FX1248" s="22"/>
      <c r="FY1248" s="22"/>
      <c r="FZ1248" s="22"/>
      <c r="GA1248" s="22"/>
      <c r="GB1248" s="22"/>
      <c r="GC1248" s="22"/>
      <c r="GD1248" s="22"/>
      <c r="GE1248" s="22"/>
      <c r="GF1248" s="22"/>
      <c r="GG1248" s="22"/>
      <c r="GH1248" s="22"/>
      <c r="GI1248" s="22"/>
      <c r="GJ1248" s="22"/>
      <c r="GK1248" s="22"/>
      <c r="GL1248" s="22"/>
      <c r="GM1248" s="22"/>
      <c r="GN1248" s="22"/>
      <c r="GO1248" s="22"/>
      <c r="GP1248" s="22"/>
      <c r="GQ1248" s="22"/>
      <c r="GR1248" s="22"/>
      <c r="GS1248" s="22"/>
      <c r="GT1248" s="22"/>
      <c r="GU1248" s="22"/>
      <c r="GV1248" s="22"/>
      <c r="GW1248" s="22"/>
      <c r="GX1248" s="22"/>
      <c r="GY1248" s="22"/>
      <c r="GZ1248" s="22"/>
      <c r="HA1248" s="22"/>
      <c r="HB1248" s="22"/>
      <c r="HC1248" s="22"/>
      <c r="HD1248" s="22"/>
      <c r="HE1248" s="22"/>
      <c r="HF1248" s="22"/>
      <c r="HG1248" s="22"/>
      <c r="HH1248" s="22"/>
      <c r="HI1248" s="22"/>
      <c r="HJ1248" s="22"/>
      <c r="HK1248" s="22"/>
      <c r="HL1248" s="22"/>
      <c r="HM1248" s="22"/>
      <c r="HN1248" s="22"/>
      <c r="HO1248" s="22"/>
      <c r="HP1248" s="22"/>
      <c r="HQ1248" s="22"/>
      <c r="HR1248" s="22"/>
      <c r="HS1248" s="22"/>
      <c r="HT1248" s="22"/>
      <c r="HU1248" s="22"/>
      <c r="HV1248" s="22"/>
      <c r="HW1248" s="22"/>
      <c r="HX1248" s="22"/>
      <c r="HY1248" s="22"/>
      <c r="HZ1248" s="22"/>
      <c r="IA1248" s="22"/>
      <c r="IB1248" s="22"/>
      <c r="IC1248" s="22"/>
      <c r="ID1248" s="22"/>
      <c r="IE1248" s="22"/>
      <c r="IF1248" s="22"/>
      <c r="IG1248" s="22"/>
      <c r="IH1248" s="22"/>
      <c r="II1248" s="22"/>
      <c r="IJ1248" s="22"/>
      <c r="IK1248" s="22"/>
      <c r="IL1248" s="22"/>
      <c r="IM1248" s="22"/>
      <c r="IN1248" s="22"/>
      <c r="IO1248" s="22"/>
      <c r="IP1248" s="22"/>
      <c r="IQ1248" s="22"/>
      <c r="IR1248" s="22"/>
      <c r="IS1248" s="22"/>
      <c r="IT1248" s="22"/>
      <c r="IU1248" s="22"/>
      <c r="IV1248" s="22"/>
      <c r="IW1248" s="22"/>
      <c r="IX1248" s="22"/>
      <c r="IY1248" s="22"/>
      <c r="IZ1248" s="22"/>
      <c r="JA1248" s="22"/>
      <c r="JB1248" s="22"/>
      <c r="JC1248" s="22"/>
      <c r="JD1248" s="22"/>
      <c r="JE1248" s="22"/>
      <c r="JF1248" s="22"/>
      <c r="JG1248" s="22"/>
      <c r="JH1248" s="22"/>
      <c r="JI1248" s="22"/>
      <c r="JJ1248" s="22"/>
      <c r="JK1248" s="22"/>
      <c r="JL1248" s="22"/>
      <c r="JM1248" s="22"/>
      <c r="JN1248" s="22"/>
      <c r="JO1248" s="22"/>
      <c r="JP1248" s="22"/>
      <c r="JQ1248" s="22"/>
      <c r="JR1248" s="22"/>
      <c r="JS1248" s="22"/>
      <c r="JT1248" s="22"/>
      <c r="JU1248" s="22"/>
      <c r="JV1248" s="22"/>
      <c r="JW1248" s="22"/>
      <c r="JX1248" s="22"/>
      <c r="JY1248" s="22"/>
      <c r="JZ1248" s="22"/>
      <c r="KA1248" s="22"/>
      <c r="KB1248" s="22"/>
      <c r="KC1248" s="22"/>
      <c r="KD1248" s="22"/>
      <c r="KE1248" s="22"/>
      <c r="KF1248" s="22"/>
      <c r="KG1248" s="22"/>
      <c r="KH1248" s="22"/>
      <c r="KI1248" s="22"/>
      <c r="KJ1248" s="22"/>
      <c r="KK1248" s="22"/>
      <c r="KL1248" s="22"/>
      <c r="KM1248" s="22"/>
      <c r="KN1248" s="22"/>
      <c r="KO1248" s="22"/>
      <c r="KP1248" s="22"/>
      <c r="KQ1248" s="22"/>
      <c r="KR1248" s="22"/>
      <c r="KS1248" s="22"/>
      <c r="KT1248" s="22"/>
      <c r="KU1248" s="22"/>
      <c r="KV1248" s="22"/>
      <c r="KW1248" s="22"/>
      <c r="KX1248" s="22"/>
      <c r="KY1248" s="22"/>
      <c r="KZ1248" s="22"/>
      <c r="LA1248" s="22"/>
      <c r="LB1248" s="22"/>
      <c r="LC1248" s="22"/>
      <c r="LD1248" s="22"/>
      <c r="LE1248" s="22"/>
      <c r="LF1248" s="22"/>
      <c r="LG1248" s="22"/>
      <c r="LH1248" s="22"/>
      <c r="LI1248" s="22"/>
      <c r="LJ1248" s="22"/>
      <c r="LK1248" s="22"/>
      <c r="LL1248" s="22"/>
      <c r="LM1248" s="22"/>
      <c r="LN1248" s="22"/>
      <c r="LO1248" s="22"/>
      <c r="LP1248" s="22"/>
      <c r="LQ1248" s="22"/>
      <c r="LR1248" s="22"/>
      <c r="LS1248" s="22"/>
      <c r="LT1248" s="22"/>
      <c r="LU1248" s="22"/>
      <c r="LV1248" s="22"/>
      <c r="LW1248" s="22"/>
      <c r="LX1248" s="22"/>
      <c r="LY1248" s="22"/>
      <c r="LZ1248" s="22"/>
      <c r="MA1248" s="22"/>
      <c r="MB1248" s="22"/>
      <c r="MC1248" s="22"/>
      <c r="MD1248" s="22"/>
      <c r="ME1248" s="22"/>
      <c r="MF1248" s="22"/>
      <c r="MG1248" s="22"/>
      <c r="MH1248" s="22"/>
      <c r="MI1248" s="22"/>
      <c r="MJ1248" s="22"/>
      <c r="MK1248" s="22"/>
      <c r="ML1248" s="22"/>
      <c r="MM1248" s="22"/>
      <c r="MN1248" s="22"/>
      <c r="MO1248" s="22"/>
      <c r="MP1248" s="22"/>
      <c r="MQ1248" s="22"/>
      <c r="MR1248" s="22"/>
      <c r="MS1248" s="22"/>
      <c r="MT1248" s="22"/>
      <c r="MU1248" s="22"/>
      <c r="MV1248" s="22"/>
      <c r="MW1248" s="22"/>
      <c r="MX1248" s="22"/>
      <c r="MY1248" s="22"/>
      <c r="MZ1248" s="22"/>
      <c r="NA1248" s="22"/>
      <c r="NB1248" s="22"/>
      <c r="NC1248" s="22"/>
      <c r="ND1248" s="22"/>
      <c r="NE1248" s="22"/>
      <c r="NF1248" s="22"/>
      <c r="NG1248" s="22"/>
      <c r="NH1248" s="22"/>
      <c r="NI1248" s="22"/>
      <c r="NJ1248" s="22"/>
      <c r="NK1248" s="22"/>
      <c r="NL1248" s="22"/>
      <c r="NM1248" s="22"/>
      <c r="NN1248" s="22"/>
      <c r="NO1248" s="22"/>
      <c r="NP1248" s="22"/>
      <c r="NQ1248" s="22"/>
      <c r="NR1248" s="22"/>
      <c r="NS1248" s="22"/>
      <c r="NT1248" s="22"/>
      <c r="NU1248" s="22"/>
      <c r="NV1248" s="22"/>
      <c r="NW1248" s="22"/>
      <c r="NX1248" s="22"/>
      <c r="NY1248" s="22"/>
      <c r="NZ1248" s="22"/>
      <c r="OA1248" s="22"/>
      <c r="OB1248" s="22"/>
      <c r="OC1248" s="22"/>
      <c r="OD1248" s="22"/>
      <c r="OE1248" s="22"/>
      <c r="OF1248" s="22"/>
      <c r="OG1248" s="22"/>
      <c r="OH1248" s="22"/>
      <c r="OI1248" s="22"/>
      <c r="OJ1248" s="22"/>
      <c r="OK1248" s="22"/>
      <c r="OL1248" s="22"/>
      <c r="OM1248" s="22"/>
      <c r="ON1248" s="22"/>
      <c r="OO1248" s="22"/>
      <c r="OP1248" s="22"/>
      <c r="OQ1248" s="22"/>
      <c r="OR1248" s="22"/>
      <c r="OS1248" s="22"/>
      <c r="OT1248" s="22"/>
      <c r="OU1248" s="22"/>
      <c r="OV1248" s="22"/>
      <c r="OW1248" s="22"/>
      <c r="OX1248" s="22"/>
      <c r="OY1248" s="22"/>
      <c r="OZ1248" s="22"/>
      <c r="PA1248" s="22"/>
      <c r="PB1248" s="22"/>
      <c r="PC1248" s="22"/>
      <c r="PD1248" s="22"/>
      <c r="PE1248" s="22"/>
      <c r="PF1248" s="22"/>
      <c r="PG1248" s="22"/>
      <c r="PH1248" s="22"/>
      <c r="PI1248" s="22"/>
      <c r="PJ1248" s="22"/>
      <c r="PK1248" s="22"/>
      <c r="PL1248" s="22"/>
      <c r="PM1248" s="22"/>
      <c r="PN1248" s="22"/>
      <c r="PO1248" s="22"/>
      <c r="PP1248" s="22"/>
      <c r="PQ1248" s="22"/>
      <c r="PR1248" s="22"/>
      <c r="PS1248" s="22"/>
      <c r="PT1248" s="22"/>
      <c r="PU1248" s="22"/>
      <c r="PV1248" s="22"/>
      <c r="PW1248" s="22"/>
      <c r="PX1248" s="22"/>
      <c r="PY1248" s="22"/>
      <c r="PZ1248" s="22"/>
      <c r="QA1248" s="22"/>
      <c r="QB1248" s="22"/>
      <c r="QC1248" s="22"/>
      <c r="QD1248" s="22"/>
      <c r="QE1248" s="22"/>
      <c r="QF1248" s="22"/>
      <c r="QG1248" s="22"/>
      <c r="QH1248" s="22"/>
      <c r="QI1248" s="22"/>
      <c r="QJ1248" s="22"/>
      <c r="QK1248" s="22"/>
      <c r="QL1248" s="22"/>
      <c r="QM1248" s="22"/>
      <c r="QN1248" s="22"/>
      <c r="QO1248" s="22"/>
      <c r="QP1248" s="22"/>
      <c r="QQ1248" s="22"/>
      <c r="QR1248" s="22"/>
      <c r="QS1248" s="22"/>
      <c r="QT1248" s="22"/>
      <c r="QU1248" s="22"/>
      <c r="QV1248" s="22"/>
      <c r="QW1248" s="22"/>
      <c r="QX1248" s="22"/>
      <c r="QY1248" s="22"/>
      <c r="QZ1248" s="22"/>
      <c r="RA1248" s="22"/>
      <c r="RB1248" s="22"/>
      <c r="RC1248" s="22"/>
      <c r="RD1248" s="22"/>
      <c r="RE1248" s="22"/>
      <c r="RF1248" s="22"/>
      <c r="RG1248" s="22"/>
      <c r="RH1248" s="22"/>
      <c r="RI1248" s="22"/>
      <c r="RJ1248" s="22"/>
      <c r="RK1248" s="22"/>
      <c r="RL1248" s="22"/>
      <c r="RM1248" s="22"/>
      <c r="RN1248" s="22"/>
      <c r="RO1248" s="22"/>
      <c r="RP1248" s="22"/>
      <c r="RQ1248" s="22"/>
      <c r="RR1248" s="22"/>
      <c r="RS1248" s="22"/>
      <c r="RT1248" s="22"/>
      <c r="RU1248" s="22"/>
      <c r="RV1248" s="22"/>
      <c r="RW1248" s="22"/>
      <c r="RX1248" s="22"/>
      <c r="RY1248" s="22"/>
      <c r="RZ1248" s="22"/>
      <c r="SA1248" s="22"/>
      <c r="SB1248" s="22"/>
      <c r="SC1248" s="22"/>
      <c r="SD1248" s="22"/>
      <c r="SE1248" s="22"/>
      <c r="SF1248" s="22"/>
      <c r="SG1248" s="22"/>
      <c r="SH1248" s="22"/>
      <c r="SI1248" s="22"/>
      <c r="SJ1248" s="22"/>
      <c r="SK1248" s="22"/>
      <c r="SL1248" s="22"/>
      <c r="SM1248" s="22"/>
      <c r="SN1248" s="22"/>
      <c r="SO1248" s="22"/>
      <c r="SP1248" s="22"/>
      <c r="SQ1248" s="22"/>
      <c r="SR1248" s="22"/>
      <c r="SS1248" s="22"/>
      <c r="ST1248" s="22"/>
      <c r="SU1248" s="22"/>
      <c r="SV1248" s="22"/>
      <c r="SW1248" s="22"/>
      <c r="SX1248" s="22"/>
      <c r="SY1248" s="22"/>
      <c r="SZ1248" s="22"/>
      <c r="TA1248" s="22"/>
      <c r="TB1248" s="22"/>
      <c r="TC1248" s="22"/>
      <c r="TD1248" s="22"/>
      <c r="TE1248" s="22"/>
      <c r="TF1248" s="22"/>
      <c r="TG1248" s="22"/>
      <c r="TH1248" s="22"/>
      <c r="TI1248" s="22"/>
      <c r="TJ1248" s="22"/>
      <c r="TK1248" s="22"/>
      <c r="TL1248" s="22"/>
      <c r="TM1248" s="22"/>
      <c r="TN1248" s="22"/>
      <c r="TO1248" s="22"/>
      <c r="TP1248" s="22"/>
      <c r="TQ1248" s="22"/>
      <c r="TR1248" s="22"/>
      <c r="TS1248" s="22"/>
      <c r="TT1248" s="22"/>
      <c r="TU1248" s="22"/>
      <c r="TV1248" s="22"/>
      <c r="TW1248" s="22"/>
      <c r="TX1248" s="22"/>
      <c r="TY1248" s="22"/>
      <c r="TZ1248" s="22"/>
      <c r="UA1248" s="22"/>
      <c r="UB1248" s="22"/>
      <c r="UC1248" s="22"/>
      <c r="UD1248" s="22"/>
      <c r="UE1248" s="22"/>
      <c r="UF1248" s="22"/>
      <c r="UG1248" s="23"/>
    </row>
    <row r="1249" spans="1:553" ht="65.25" customHeight="1">
      <c r="A1249" s="356" t="s">
        <v>27</v>
      </c>
      <c r="B1249" s="356"/>
      <c r="C1249" s="1431" t="s">
        <v>28</v>
      </c>
      <c r="D1249" s="1389"/>
      <c r="E1249" s="1389"/>
      <c r="F1249" s="1390"/>
      <c r="G1249" s="356"/>
      <c r="H1249" s="359"/>
      <c r="I1249" s="359"/>
      <c r="J1249" s="357"/>
      <c r="K1249" s="364"/>
      <c r="L1249" s="645">
        <f>SUM(L1250:L1278)</f>
        <v>408290389.04877782</v>
      </c>
      <c r="M1249" s="356"/>
      <c r="N1249" s="356"/>
      <c r="O1249" s="356"/>
      <c r="P1249" s="356">
        <f>L1249</f>
        <v>408290389.04877782</v>
      </c>
      <c r="Q1249" s="610"/>
      <c r="R1249" s="1226" t="s">
        <v>1401</v>
      </c>
      <c r="S1249" s="308"/>
      <c r="T1249" s="308"/>
      <c r="U1249" s="308"/>
      <c r="V1249" s="308"/>
      <c r="W1249" s="308"/>
      <c r="X1249" s="308"/>
      <c r="Y1249" s="308"/>
      <c r="Z1249" s="604"/>
      <c r="AA1249" s="308"/>
      <c r="AB1249" s="308"/>
      <c r="AC1249" s="365"/>
      <c r="AD1249" s="365"/>
      <c r="AE1249" s="365"/>
      <c r="AF1249" s="365"/>
      <c r="AG1249" s="365"/>
      <c r="AH1249" s="365"/>
      <c r="AI1249" s="365"/>
      <c r="AJ1249" s="365"/>
      <c r="AK1249" s="377"/>
      <c r="AL1249" s="343"/>
      <c r="AM1249" s="24"/>
      <c r="AN1249" s="24"/>
      <c r="AO1249" s="24"/>
      <c r="AP1249" s="24"/>
      <c r="AQ1249" s="24"/>
      <c r="AR1249" s="24"/>
      <c r="AS1249" s="18"/>
      <c r="AT1249" s="18"/>
      <c r="AU1249" s="18"/>
      <c r="AV1249" s="18"/>
      <c r="AW1249" s="18"/>
      <c r="AX1249" s="18"/>
      <c r="AY1249" s="18"/>
      <c r="AZ1249" s="18"/>
      <c r="BA1249" s="18"/>
      <c r="BB1249" s="18"/>
      <c r="BC1249" s="18"/>
      <c r="BD1249" s="18"/>
      <c r="BE1249" s="18"/>
      <c r="BF1249" s="18"/>
      <c r="BG1249" s="18"/>
      <c r="BH1249" s="18"/>
      <c r="BI1249" s="18"/>
      <c r="BJ1249" s="18"/>
      <c r="BK1249" s="18"/>
      <c r="BL1249" s="18"/>
      <c r="BM1249" s="18"/>
      <c r="BN1249" s="18"/>
      <c r="BO1249" s="18"/>
      <c r="BP1249" s="18"/>
      <c r="BQ1249" s="18"/>
      <c r="BR1249" s="18"/>
      <c r="BS1249" s="18"/>
      <c r="BT1249" s="18"/>
      <c r="BU1249" s="18"/>
      <c r="BV1249" s="18"/>
      <c r="BW1249" s="18"/>
      <c r="BX1249" s="18"/>
      <c r="BY1249" s="18"/>
      <c r="BZ1249" s="18"/>
      <c r="CA1249" s="18"/>
      <c r="CB1249" s="18"/>
      <c r="CC1249" s="18"/>
      <c r="CD1249" s="18"/>
      <c r="CE1249" s="18"/>
      <c r="CF1249" s="18"/>
      <c r="CG1249" s="18"/>
      <c r="CH1249" s="18"/>
      <c r="CI1249" s="18"/>
      <c r="CJ1249" s="18"/>
      <c r="CK1249" s="18"/>
      <c r="CL1249" s="18"/>
      <c r="CM1249" s="18"/>
      <c r="CN1249" s="18"/>
      <c r="CO1249" s="18"/>
      <c r="CP1249" s="18"/>
      <c r="CQ1249" s="18"/>
      <c r="CR1249" s="18"/>
      <c r="CS1249" s="18"/>
      <c r="CT1249" s="18"/>
      <c r="CU1249" s="18"/>
      <c r="CV1249" s="18"/>
      <c r="CW1249" s="18"/>
      <c r="CX1249" s="18"/>
      <c r="CY1249" s="18"/>
      <c r="CZ1249" s="18"/>
      <c r="DA1249" s="18"/>
      <c r="DB1249" s="18"/>
      <c r="DC1249" s="18"/>
      <c r="DD1249" s="18"/>
      <c r="DE1249" s="18"/>
      <c r="DF1249" s="18"/>
      <c r="DG1249" s="18"/>
      <c r="DH1249" s="18"/>
      <c r="DI1249" s="18"/>
      <c r="DJ1249" s="18"/>
      <c r="DK1249" s="18"/>
      <c r="DL1249" s="18"/>
      <c r="DM1249" s="18"/>
      <c r="DN1249" s="18"/>
      <c r="DO1249" s="18"/>
      <c r="DP1249" s="18"/>
      <c r="DQ1249" s="18"/>
      <c r="DR1249" s="18"/>
      <c r="DS1249" s="18"/>
      <c r="DT1249" s="18"/>
      <c r="DU1249" s="18"/>
      <c r="DV1249" s="18"/>
      <c r="DW1249" s="18"/>
      <c r="DX1249" s="18"/>
      <c r="DY1249" s="18"/>
      <c r="DZ1249" s="18"/>
      <c r="EA1249" s="18"/>
      <c r="EB1249" s="18"/>
      <c r="EC1249" s="18"/>
      <c r="ED1249" s="18"/>
      <c r="EE1249" s="18"/>
      <c r="EF1249" s="18"/>
      <c r="EG1249" s="18"/>
      <c r="EH1249" s="18"/>
      <c r="EI1249" s="18"/>
      <c r="EJ1249" s="18"/>
      <c r="EK1249" s="18"/>
      <c r="EL1249" s="18"/>
      <c r="EM1249" s="18"/>
      <c r="EN1249" s="18"/>
      <c r="EO1249" s="18"/>
      <c r="EP1249" s="18"/>
      <c r="EQ1249" s="18"/>
      <c r="ER1249" s="18"/>
      <c r="ES1249" s="18"/>
      <c r="ET1249" s="18"/>
      <c r="EU1249" s="18"/>
      <c r="EV1249" s="18"/>
      <c r="EW1249" s="18"/>
      <c r="EX1249" s="18"/>
      <c r="EY1249" s="18"/>
      <c r="EZ1249" s="18"/>
      <c r="FA1249" s="18"/>
      <c r="FB1249" s="18"/>
      <c r="FC1249" s="18"/>
      <c r="FD1249" s="18"/>
      <c r="FE1249" s="18"/>
      <c r="FF1249" s="18"/>
      <c r="FG1249" s="18"/>
      <c r="FH1249" s="18"/>
      <c r="FI1249" s="18"/>
      <c r="FJ1249" s="18"/>
      <c r="FK1249" s="18"/>
      <c r="FL1249" s="18"/>
      <c r="FM1249" s="18"/>
      <c r="FN1249" s="18"/>
      <c r="FO1249" s="18"/>
      <c r="FP1249" s="18"/>
      <c r="FQ1249" s="18"/>
      <c r="FR1249" s="18"/>
      <c r="FS1249" s="18"/>
      <c r="FT1249" s="18"/>
      <c r="FU1249" s="18"/>
      <c r="FV1249" s="18"/>
      <c r="FW1249" s="18"/>
      <c r="FX1249" s="18"/>
      <c r="FY1249" s="18"/>
      <c r="FZ1249" s="18"/>
      <c r="GA1249" s="18"/>
      <c r="GB1249" s="18"/>
      <c r="GC1249" s="18"/>
      <c r="GD1249" s="18"/>
      <c r="GE1249" s="18"/>
      <c r="GF1249" s="18"/>
      <c r="GG1249" s="18"/>
      <c r="GH1249" s="18"/>
      <c r="GI1249" s="18"/>
      <c r="GJ1249" s="18"/>
      <c r="GK1249" s="18"/>
      <c r="GL1249" s="18"/>
      <c r="GM1249" s="18"/>
      <c r="GN1249" s="18"/>
      <c r="GO1249" s="18"/>
      <c r="GP1249" s="18"/>
      <c r="GQ1249" s="18"/>
      <c r="GR1249" s="18"/>
      <c r="GS1249" s="18"/>
      <c r="GT1249" s="18"/>
      <c r="GU1249" s="18"/>
      <c r="GV1249" s="18"/>
      <c r="GW1249" s="18"/>
      <c r="GX1249" s="18"/>
      <c r="GY1249" s="18"/>
      <c r="GZ1249" s="18"/>
      <c r="HA1249" s="18"/>
      <c r="HB1249" s="18"/>
      <c r="HC1249" s="18"/>
      <c r="HD1249" s="18"/>
      <c r="HE1249" s="18"/>
      <c r="HF1249" s="18"/>
      <c r="HG1249" s="18"/>
      <c r="HH1249" s="18"/>
      <c r="HI1249" s="18"/>
      <c r="HJ1249" s="18"/>
      <c r="HK1249" s="18"/>
      <c r="HL1249" s="18"/>
      <c r="HM1249" s="18"/>
      <c r="HN1249" s="18"/>
      <c r="HO1249" s="18"/>
      <c r="HP1249" s="18"/>
      <c r="HQ1249" s="18"/>
      <c r="HR1249" s="18"/>
      <c r="HS1249" s="18"/>
      <c r="HT1249" s="18"/>
      <c r="HU1249" s="18"/>
      <c r="HV1249" s="18"/>
      <c r="HW1249" s="18"/>
      <c r="HX1249" s="18"/>
      <c r="HY1249" s="18"/>
      <c r="HZ1249" s="18"/>
      <c r="IA1249" s="18"/>
      <c r="IB1249" s="18"/>
      <c r="IC1249" s="18"/>
      <c r="ID1249" s="18"/>
      <c r="IE1249" s="18"/>
      <c r="IF1249" s="18"/>
      <c r="IG1249" s="18"/>
      <c r="IH1249" s="18"/>
      <c r="II1249" s="18"/>
      <c r="IJ1249" s="18"/>
      <c r="IK1249" s="18"/>
      <c r="IL1249" s="18"/>
      <c r="IM1249" s="18"/>
      <c r="IN1249" s="18"/>
      <c r="IO1249" s="18"/>
      <c r="IP1249" s="18"/>
      <c r="IQ1249" s="18"/>
      <c r="IR1249" s="18"/>
      <c r="IS1249" s="18"/>
      <c r="IT1249" s="18"/>
      <c r="IU1249" s="18"/>
      <c r="IV1249" s="18"/>
      <c r="IW1249" s="18"/>
      <c r="IX1249" s="18"/>
      <c r="IY1249" s="18"/>
      <c r="IZ1249" s="18"/>
      <c r="JA1249" s="18"/>
      <c r="JB1249" s="18"/>
      <c r="JC1249" s="18"/>
      <c r="JD1249" s="18"/>
      <c r="JE1249" s="18"/>
      <c r="JF1249" s="18"/>
      <c r="JG1249" s="18"/>
      <c r="JH1249" s="18"/>
      <c r="JI1249" s="18"/>
      <c r="JJ1249" s="18"/>
      <c r="JK1249" s="18"/>
      <c r="JL1249" s="18"/>
      <c r="JM1249" s="18"/>
      <c r="JN1249" s="18"/>
      <c r="JO1249" s="18"/>
      <c r="JP1249" s="18"/>
      <c r="JQ1249" s="18"/>
      <c r="JR1249" s="18"/>
      <c r="JS1249" s="18"/>
      <c r="JT1249" s="18"/>
      <c r="JU1249" s="18"/>
      <c r="JV1249" s="18"/>
      <c r="JW1249" s="18"/>
      <c r="JX1249" s="18"/>
      <c r="JY1249" s="18"/>
      <c r="JZ1249" s="18"/>
      <c r="KA1249" s="18"/>
      <c r="KB1249" s="18"/>
      <c r="KC1249" s="18"/>
      <c r="KD1249" s="18"/>
      <c r="KE1249" s="18"/>
      <c r="KF1249" s="18"/>
      <c r="KG1249" s="18"/>
      <c r="KH1249" s="18"/>
      <c r="KI1249" s="18"/>
      <c r="KJ1249" s="18"/>
      <c r="KK1249" s="18"/>
      <c r="KL1249" s="18"/>
      <c r="KM1249" s="18"/>
      <c r="KN1249" s="18"/>
      <c r="KO1249" s="18"/>
      <c r="KP1249" s="18"/>
      <c r="KQ1249" s="18"/>
      <c r="KR1249" s="18"/>
      <c r="KS1249" s="18"/>
      <c r="KT1249" s="18"/>
      <c r="KU1249" s="18"/>
      <c r="KV1249" s="18"/>
      <c r="KW1249" s="18"/>
      <c r="KX1249" s="18"/>
      <c r="KY1249" s="18"/>
      <c r="KZ1249" s="18"/>
      <c r="LA1249" s="18"/>
      <c r="LB1249" s="18"/>
      <c r="LC1249" s="18"/>
      <c r="LD1249" s="18"/>
      <c r="LE1249" s="18"/>
      <c r="LF1249" s="18"/>
      <c r="LG1249" s="18"/>
      <c r="LH1249" s="18"/>
      <c r="LI1249" s="18"/>
      <c r="LJ1249" s="18"/>
      <c r="LK1249" s="18"/>
      <c r="LL1249" s="18"/>
      <c r="LM1249" s="18"/>
      <c r="LN1249" s="18"/>
      <c r="LO1249" s="18"/>
      <c r="LP1249" s="18"/>
      <c r="LQ1249" s="18"/>
      <c r="LR1249" s="18"/>
      <c r="LS1249" s="18"/>
      <c r="LT1249" s="18"/>
      <c r="LU1249" s="18"/>
      <c r="LV1249" s="18"/>
      <c r="LW1249" s="18"/>
      <c r="LX1249" s="18"/>
      <c r="LY1249" s="18"/>
      <c r="LZ1249" s="18"/>
      <c r="MA1249" s="18"/>
      <c r="MB1249" s="18"/>
      <c r="MC1249" s="18"/>
      <c r="MD1249" s="18"/>
      <c r="ME1249" s="18"/>
      <c r="MF1249" s="18"/>
      <c r="MG1249" s="18"/>
      <c r="MH1249" s="18"/>
      <c r="MI1249" s="18"/>
      <c r="MJ1249" s="18"/>
      <c r="MK1249" s="18"/>
      <c r="ML1249" s="18"/>
      <c r="MM1249" s="18"/>
      <c r="MN1249" s="18"/>
      <c r="MO1249" s="18"/>
      <c r="MP1249" s="18"/>
      <c r="MQ1249" s="18"/>
      <c r="MR1249" s="18"/>
      <c r="MS1249" s="18"/>
      <c r="MT1249" s="18"/>
      <c r="MU1249" s="18"/>
      <c r="MV1249" s="18"/>
      <c r="MW1249" s="18"/>
      <c r="MX1249" s="18"/>
      <c r="MY1249" s="18"/>
      <c r="MZ1249" s="18"/>
      <c r="NA1249" s="18"/>
      <c r="NB1249" s="18"/>
      <c r="NC1249" s="18"/>
      <c r="ND1249" s="18"/>
      <c r="NE1249" s="18"/>
      <c r="NF1249" s="18"/>
      <c r="NG1249" s="18"/>
      <c r="NH1249" s="18"/>
      <c r="NI1249" s="18"/>
      <c r="NJ1249" s="18"/>
      <c r="NK1249" s="18"/>
      <c r="NL1249" s="18"/>
      <c r="NM1249" s="18"/>
      <c r="NN1249" s="18"/>
      <c r="NO1249" s="18"/>
      <c r="NP1249" s="18"/>
      <c r="NQ1249" s="18"/>
      <c r="NR1249" s="18"/>
      <c r="NS1249" s="18"/>
      <c r="NT1249" s="18"/>
      <c r="NU1249" s="18"/>
      <c r="NV1249" s="18"/>
      <c r="NW1249" s="18"/>
      <c r="NX1249" s="18"/>
      <c r="NY1249" s="18"/>
      <c r="NZ1249" s="18"/>
      <c r="OA1249" s="18"/>
      <c r="OB1249" s="18"/>
      <c r="OC1249" s="18"/>
      <c r="OD1249" s="18"/>
      <c r="OE1249" s="18"/>
      <c r="OF1249" s="18"/>
      <c r="OG1249" s="18"/>
      <c r="OH1249" s="18"/>
      <c r="OI1249" s="18"/>
      <c r="OJ1249" s="18"/>
      <c r="OK1249" s="18"/>
      <c r="OL1249" s="18"/>
      <c r="OM1249" s="18"/>
      <c r="ON1249" s="18"/>
      <c r="OO1249" s="18"/>
      <c r="OP1249" s="18"/>
      <c r="OQ1249" s="18"/>
      <c r="OR1249" s="18"/>
      <c r="OS1249" s="18"/>
      <c r="OT1249" s="18"/>
      <c r="OU1249" s="18"/>
      <c r="OV1249" s="18"/>
      <c r="OW1249" s="18"/>
      <c r="OX1249" s="18"/>
      <c r="OY1249" s="18"/>
      <c r="OZ1249" s="18"/>
      <c r="PA1249" s="18"/>
      <c r="PB1249" s="18"/>
      <c r="PC1249" s="18"/>
      <c r="PD1249" s="18"/>
      <c r="PE1249" s="18"/>
      <c r="PF1249" s="18"/>
      <c r="PG1249" s="18"/>
      <c r="PH1249" s="18"/>
      <c r="PI1249" s="18"/>
      <c r="PJ1249" s="18"/>
      <c r="PK1249" s="18"/>
      <c r="PL1249" s="18"/>
      <c r="PM1249" s="18"/>
      <c r="PN1249" s="18"/>
      <c r="PO1249" s="18"/>
      <c r="PP1249" s="18"/>
      <c r="PQ1249" s="18"/>
      <c r="PR1249" s="18"/>
      <c r="PS1249" s="18"/>
      <c r="PT1249" s="18"/>
      <c r="PU1249" s="18"/>
      <c r="PV1249" s="18"/>
      <c r="PW1249" s="18"/>
      <c r="PX1249" s="18"/>
      <c r="PY1249" s="18"/>
      <c r="PZ1249" s="18"/>
      <c r="QA1249" s="18"/>
      <c r="QB1249" s="18"/>
      <c r="QC1249" s="18"/>
      <c r="QD1249" s="18"/>
      <c r="QE1249" s="18"/>
      <c r="QF1249" s="18"/>
      <c r="QG1249" s="18"/>
      <c r="QH1249" s="18"/>
      <c r="QI1249" s="18"/>
      <c r="QJ1249" s="18"/>
      <c r="QK1249" s="18"/>
      <c r="QL1249" s="18"/>
      <c r="QM1249" s="18"/>
      <c r="QN1249" s="18"/>
      <c r="QO1249" s="18"/>
      <c r="QP1249" s="18"/>
      <c r="QQ1249" s="18"/>
      <c r="QR1249" s="18"/>
      <c r="QS1249" s="18"/>
      <c r="QT1249" s="18"/>
      <c r="QU1249" s="18"/>
      <c r="QV1249" s="18"/>
      <c r="QW1249" s="18"/>
      <c r="QX1249" s="18"/>
      <c r="QY1249" s="18"/>
      <c r="QZ1249" s="18"/>
      <c r="RA1249" s="18"/>
      <c r="RB1249" s="18"/>
      <c r="RC1249" s="18"/>
      <c r="RD1249" s="18"/>
      <c r="RE1249" s="18"/>
      <c r="RF1249" s="18"/>
      <c r="RG1249" s="18"/>
      <c r="RH1249" s="18"/>
      <c r="RI1249" s="18"/>
      <c r="RJ1249" s="18"/>
      <c r="RK1249" s="18"/>
      <c r="RL1249" s="18"/>
      <c r="RM1249" s="18"/>
      <c r="RN1249" s="18"/>
      <c r="RO1249" s="18"/>
      <c r="RP1249" s="18"/>
      <c r="RQ1249" s="18"/>
      <c r="RR1249" s="18"/>
      <c r="RS1249" s="18"/>
      <c r="RT1249" s="18"/>
      <c r="RU1249" s="18"/>
      <c r="RV1249" s="18"/>
      <c r="RW1249" s="18"/>
      <c r="RX1249" s="18"/>
      <c r="RY1249" s="18"/>
      <c r="RZ1249" s="18"/>
      <c r="SA1249" s="18"/>
      <c r="SB1249" s="18"/>
      <c r="SC1249" s="18"/>
      <c r="SD1249" s="18"/>
      <c r="SE1249" s="18"/>
      <c r="SF1249" s="18"/>
      <c r="SG1249" s="18"/>
      <c r="SH1249" s="18"/>
      <c r="SI1249" s="18"/>
      <c r="SJ1249" s="18"/>
      <c r="SK1249" s="18"/>
      <c r="SL1249" s="18"/>
      <c r="SM1249" s="18"/>
      <c r="SN1249" s="18"/>
      <c r="SO1249" s="18"/>
      <c r="SP1249" s="18"/>
      <c r="SQ1249" s="18"/>
      <c r="SR1249" s="18"/>
      <c r="SS1249" s="18"/>
      <c r="ST1249" s="18"/>
      <c r="SU1249" s="18"/>
      <c r="SV1249" s="18"/>
      <c r="SW1249" s="18"/>
      <c r="SX1249" s="18"/>
      <c r="SY1249" s="18"/>
      <c r="SZ1249" s="18"/>
      <c r="TA1249" s="18"/>
      <c r="TB1249" s="18"/>
      <c r="TC1249" s="18"/>
      <c r="TD1249" s="18"/>
      <c r="TE1249" s="18"/>
      <c r="TF1249" s="18"/>
      <c r="TG1249" s="18"/>
      <c r="TH1249" s="18"/>
      <c r="TI1249" s="18"/>
      <c r="TJ1249" s="18"/>
      <c r="TK1249" s="18"/>
      <c r="TL1249" s="18"/>
      <c r="TM1249" s="18"/>
      <c r="TN1249" s="18"/>
      <c r="TO1249" s="18"/>
      <c r="TP1249" s="18"/>
      <c r="TQ1249" s="18"/>
      <c r="TR1249" s="18"/>
      <c r="TS1249" s="18"/>
      <c r="TT1249" s="18"/>
      <c r="TU1249" s="18"/>
      <c r="TV1249" s="18"/>
      <c r="TW1249" s="18"/>
      <c r="TX1249" s="18"/>
      <c r="TY1249" s="18"/>
      <c r="TZ1249" s="18"/>
      <c r="UA1249" s="18"/>
      <c r="UB1249" s="18"/>
      <c r="UC1249" s="18"/>
      <c r="UD1249" s="18"/>
      <c r="UE1249" s="18"/>
      <c r="UF1249" s="18"/>
      <c r="UG1249" s="19"/>
    </row>
    <row r="1250" spans="1:553" ht="30.75" customHeight="1">
      <c r="A1250" s="356"/>
      <c r="B1250" s="356"/>
      <c r="C1250" s="1394" t="s">
        <v>688</v>
      </c>
      <c r="D1250" s="1395"/>
      <c r="E1250" s="1395"/>
      <c r="F1250" s="1396"/>
      <c r="G1250" s="366"/>
      <c r="H1250" s="370"/>
      <c r="I1250" s="359"/>
      <c r="J1250" s="368"/>
      <c r="K1250" s="371"/>
      <c r="L1250" s="645"/>
      <c r="M1250" s="356"/>
      <c r="N1250" s="356"/>
      <c r="O1250" s="356"/>
      <c r="P1250" s="356"/>
      <c r="Q1250" s="610"/>
      <c r="R1250" s="1226"/>
      <c r="S1250" s="308"/>
      <c r="T1250" s="308"/>
      <c r="U1250" s="308"/>
      <c r="V1250" s="308"/>
      <c r="W1250" s="308"/>
      <c r="X1250" s="308"/>
      <c r="Y1250" s="308"/>
      <c r="Z1250" s="604"/>
      <c r="AA1250" s="308"/>
      <c r="AB1250" s="308"/>
      <c r="AC1250" s="373"/>
      <c r="AD1250" s="373"/>
      <c r="AE1250" s="373"/>
      <c r="AF1250" s="373"/>
      <c r="AG1250" s="373"/>
      <c r="AH1250" s="373"/>
      <c r="AI1250" s="373"/>
      <c r="AJ1250" s="373"/>
      <c r="AK1250" s="389"/>
      <c r="AL1250" s="100"/>
      <c r="AM1250" s="27"/>
      <c r="AN1250" s="27"/>
      <c r="AO1250" s="27"/>
      <c r="AP1250" s="27"/>
      <c r="AQ1250" s="27"/>
      <c r="AR1250" s="27"/>
      <c r="AS1250" s="22"/>
      <c r="AT1250" s="22"/>
      <c r="AU1250" s="22"/>
      <c r="AV1250" s="22"/>
      <c r="AW1250" s="22"/>
      <c r="AX1250" s="22"/>
      <c r="AY1250" s="22"/>
      <c r="AZ1250" s="22"/>
      <c r="BA1250" s="22"/>
      <c r="BB1250" s="22"/>
      <c r="BC1250" s="22"/>
      <c r="BD1250" s="22"/>
      <c r="BE1250" s="22"/>
      <c r="BF1250" s="22"/>
      <c r="BG1250" s="22"/>
      <c r="BH1250" s="22"/>
      <c r="BI1250" s="22"/>
      <c r="BJ1250" s="22"/>
      <c r="BK1250" s="22"/>
      <c r="BL1250" s="22"/>
      <c r="BM1250" s="22"/>
      <c r="BN1250" s="22"/>
      <c r="BO1250" s="22"/>
      <c r="BP1250" s="22"/>
      <c r="BQ1250" s="22"/>
      <c r="BR1250" s="22"/>
      <c r="BS1250" s="22"/>
      <c r="BT1250" s="22"/>
      <c r="BU1250" s="22"/>
      <c r="BV1250" s="22"/>
      <c r="BW1250" s="22"/>
      <c r="BX1250" s="22"/>
      <c r="BY1250" s="22"/>
      <c r="BZ1250" s="22"/>
      <c r="CA1250" s="22"/>
      <c r="CB1250" s="22"/>
      <c r="CC1250" s="22"/>
      <c r="CD1250" s="22"/>
      <c r="CE1250" s="22"/>
      <c r="CF1250" s="22"/>
      <c r="CG1250" s="22"/>
      <c r="CH1250" s="22"/>
      <c r="CI1250" s="22"/>
      <c r="CJ1250" s="22"/>
      <c r="CK1250" s="22"/>
      <c r="CL1250" s="22"/>
      <c r="CM1250" s="22"/>
      <c r="CN1250" s="22"/>
      <c r="CO1250" s="22"/>
      <c r="CP1250" s="22"/>
      <c r="CQ1250" s="22"/>
      <c r="CR1250" s="22"/>
      <c r="CS1250" s="22"/>
      <c r="CT1250" s="22"/>
      <c r="CU1250" s="22"/>
      <c r="CV1250" s="22"/>
      <c r="CW1250" s="22"/>
      <c r="CX1250" s="22"/>
      <c r="CY1250" s="22"/>
      <c r="CZ1250" s="22"/>
      <c r="DA1250" s="22"/>
      <c r="DB1250" s="22"/>
      <c r="DC1250" s="22"/>
      <c r="DD1250" s="22"/>
      <c r="DE1250" s="22"/>
      <c r="DF1250" s="22"/>
      <c r="DG1250" s="22"/>
      <c r="DH1250" s="22"/>
      <c r="DI1250" s="22"/>
      <c r="DJ1250" s="22"/>
      <c r="DK1250" s="22"/>
      <c r="DL1250" s="22"/>
      <c r="DM1250" s="22"/>
      <c r="DN1250" s="22"/>
      <c r="DO1250" s="22"/>
      <c r="DP1250" s="22"/>
      <c r="DQ1250" s="22"/>
      <c r="DR1250" s="22"/>
      <c r="DS1250" s="22"/>
      <c r="DT1250" s="22"/>
      <c r="DU1250" s="22"/>
      <c r="DV1250" s="22"/>
      <c r="DW1250" s="22"/>
      <c r="DX1250" s="22"/>
      <c r="DY1250" s="22"/>
      <c r="DZ1250" s="22"/>
      <c r="EA1250" s="22"/>
      <c r="EB1250" s="22"/>
      <c r="EC1250" s="22"/>
      <c r="ED1250" s="22"/>
      <c r="EE1250" s="22"/>
      <c r="EF1250" s="22"/>
      <c r="EG1250" s="22"/>
      <c r="EH1250" s="22"/>
      <c r="EI1250" s="22"/>
      <c r="EJ1250" s="22"/>
      <c r="EK1250" s="22"/>
      <c r="EL1250" s="22"/>
      <c r="EM1250" s="22"/>
      <c r="EN1250" s="22"/>
      <c r="EO1250" s="22"/>
      <c r="EP1250" s="22"/>
      <c r="EQ1250" s="22"/>
      <c r="ER1250" s="22"/>
      <c r="ES1250" s="22"/>
      <c r="ET1250" s="22"/>
      <c r="EU1250" s="22"/>
      <c r="EV1250" s="22"/>
      <c r="EW1250" s="22"/>
      <c r="EX1250" s="22"/>
      <c r="EY1250" s="22"/>
      <c r="EZ1250" s="22"/>
      <c r="FA1250" s="22"/>
      <c r="FB1250" s="22"/>
      <c r="FC1250" s="22"/>
      <c r="FD1250" s="22"/>
      <c r="FE1250" s="22"/>
      <c r="FF1250" s="22"/>
      <c r="FG1250" s="22"/>
      <c r="FH1250" s="22"/>
      <c r="FI1250" s="22"/>
      <c r="FJ1250" s="22"/>
      <c r="FK1250" s="22"/>
      <c r="FL1250" s="22"/>
      <c r="FM1250" s="22"/>
      <c r="FN1250" s="22"/>
      <c r="FO1250" s="22"/>
      <c r="FP1250" s="22"/>
      <c r="FQ1250" s="22"/>
      <c r="FR1250" s="22"/>
      <c r="FS1250" s="22"/>
      <c r="FT1250" s="22"/>
      <c r="FU1250" s="22"/>
      <c r="FV1250" s="22"/>
      <c r="FW1250" s="22"/>
      <c r="FX1250" s="22"/>
      <c r="FY1250" s="22"/>
      <c r="FZ1250" s="22"/>
      <c r="GA1250" s="22"/>
      <c r="GB1250" s="22"/>
      <c r="GC1250" s="22"/>
      <c r="GD1250" s="22"/>
      <c r="GE1250" s="22"/>
      <c r="GF1250" s="22"/>
      <c r="GG1250" s="22"/>
      <c r="GH1250" s="22"/>
      <c r="GI1250" s="22"/>
      <c r="GJ1250" s="22"/>
      <c r="GK1250" s="22"/>
      <c r="GL1250" s="22"/>
      <c r="GM1250" s="22"/>
      <c r="GN1250" s="22"/>
      <c r="GO1250" s="22"/>
      <c r="GP1250" s="22"/>
      <c r="GQ1250" s="22"/>
      <c r="GR1250" s="22"/>
      <c r="GS1250" s="22"/>
      <c r="GT1250" s="22"/>
      <c r="GU1250" s="22"/>
      <c r="GV1250" s="22"/>
      <c r="GW1250" s="22"/>
      <c r="GX1250" s="22"/>
      <c r="GY1250" s="22"/>
      <c r="GZ1250" s="22"/>
      <c r="HA1250" s="22"/>
      <c r="HB1250" s="22"/>
      <c r="HC1250" s="22"/>
      <c r="HD1250" s="22"/>
      <c r="HE1250" s="22"/>
      <c r="HF1250" s="22"/>
      <c r="HG1250" s="22"/>
      <c r="HH1250" s="22"/>
      <c r="HI1250" s="22"/>
      <c r="HJ1250" s="22"/>
      <c r="HK1250" s="22"/>
      <c r="HL1250" s="22"/>
      <c r="HM1250" s="22"/>
      <c r="HN1250" s="22"/>
      <c r="HO1250" s="22"/>
      <c r="HP1250" s="22"/>
      <c r="HQ1250" s="22"/>
      <c r="HR1250" s="22"/>
      <c r="HS1250" s="22"/>
      <c r="HT1250" s="22"/>
      <c r="HU1250" s="22"/>
      <c r="HV1250" s="22"/>
      <c r="HW1250" s="22"/>
      <c r="HX1250" s="22"/>
      <c r="HY1250" s="22"/>
      <c r="HZ1250" s="22"/>
      <c r="IA1250" s="22"/>
      <c r="IB1250" s="22"/>
      <c r="IC1250" s="22"/>
      <c r="ID1250" s="22"/>
      <c r="IE1250" s="22"/>
      <c r="IF1250" s="22"/>
      <c r="IG1250" s="22"/>
      <c r="IH1250" s="22"/>
      <c r="II1250" s="22"/>
      <c r="IJ1250" s="22"/>
      <c r="IK1250" s="22"/>
      <c r="IL1250" s="22"/>
      <c r="IM1250" s="22"/>
      <c r="IN1250" s="22"/>
      <c r="IO1250" s="22"/>
      <c r="IP1250" s="22"/>
      <c r="IQ1250" s="22"/>
      <c r="IR1250" s="22"/>
      <c r="IS1250" s="22"/>
      <c r="IT1250" s="22"/>
      <c r="IU1250" s="22"/>
      <c r="IV1250" s="22"/>
      <c r="IW1250" s="22"/>
      <c r="IX1250" s="22"/>
      <c r="IY1250" s="22"/>
      <c r="IZ1250" s="22"/>
      <c r="JA1250" s="22"/>
      <c r="JB1250" s="22"/>
      <c r="JC1250" s="22"/>
      <c r="JD1250" s="22"/>
      <c r="JE1250" s="22"/>
      <c r="JF1250" s="22"/>
      <c r="JG1250" s="22"/>
      <c r="JH1250" s="22"/>
      <c r="JI1250" s="22"/>
      <c r="JJ1250" s="22"/>
      <c r="JK1250" s="22"/>
      <c r="JL1250" s="22"/>
      <c r="JM1250" s="22"/>
      <c r="JN1250" s="22"/>
      <c r="JO1250" s="22"/>
      <c r="JP1250" s="22"/>
      <c r="JQ1250" s="22"/>
      <c r="JR1250" s="22"/>
      <c r="JS1250" s="22"/>
      <c r="JT1250" s="22"/>
      <c r="JU1250" s="22"/>
      <c r="JV1250" s="22"/>
      <c r="JW1250" s="22"/>
      <c r="JX1250" s="22"/>
      <c r="JY1250" s="22"/>
      <c r="JZ1250" s="22"/>
      <c r="KA1250" s="22"/>
      <c r="KB1250" s="22"/>
      <c r="KC1250" s="22"/>
      <c r="KD1250" s="22"/>
      <c r="KE1250" s="22"/>
      <c r="KF1250" s="22"/>
      <c r="KG1250" s="22"/>
      <c r="KH1250" s="22"/>
      <c r="KI1250" s="22"/>
      <c r="KJ1250" s="22"/>
      <c r="KK1250" s="22"/>
      <c r="KL1250" s="22"/>
      <c r="KM1250" s="22"/>
      <c r="KN1250" s="22"/>
      <c r="KO1250" s="22"/>
      <c r="KP1250" s="22"/>
      <c r="KQ1250" s="22"/>
      <c r="KR1250" s="22"/>
      <c r="KS1250" s="22"/>
      <c r="KT1250" s="22"/>
      <c r="KU1250" s="22"/>
      <c r="KV1250" s="22"/>
      <c r="KW1250" s="22"/>
      <c r="KX1250" s="22"/>
      <c r="KY1250" s="22"/>
      <c r="KZ1250" s="22"/>
      <c r="LA1250" s="22"/>
      <c r="LB1250" s="22"/>
      <c r="LC1250" s="22"/>
      <c r="LD1250" s="22"/>
      <c r="LE1250" s="22"/>
      <c r="LF1250" s="22"/>
      <c r="LG1250" s="22"/>
      <c r="LH1250" s="22"/>
      <c r="LI1250" s="22"/>
      <c r="LJ1250" s="22"/>
      <c r="LK1250" s="22"/>
      <c r="LL1250" s="22"/>
      <c r="LM1250" s="22"/>
      <c r="LN1250" s="22"/>
      <c r="LO1250" s="22"/>
      <c r="LP1250" s="22"/>
      <c r="LQ1250" s="22"/>
      <c r="LR1250" s="22"/>
      <c r="LS1250" s="22"/>
      <c r="LT1250" s="22"/>
      <c r="LU1250" s="22"/>
      <c r="LV1250" s="22"/>
      <c r="LW1250" s="22"/>
      <c r="LX1250" s="22"/>
      <c r="LY1250" s="22"/>
      <c r="LZ1250" s="22"/>
      <c r="MA1250" s="22"/>
      <c r="MB1250" s="22"/>
      <c r="MC1250" s="22"/>
      <c r="MD1250" s="22"/>
      <c r="ME1250" s="22"/>
      <c r="MF1250" s="22"/>
      <c r="MG1250" s="22"/>
      <c r="MH1250" s="22"/>
      <c r="MI1250" s="22"/>
      <c r="MJ1250" s="22"/>
      <c r="MK1250" s="22"/>
      <c r="ML1250" s="22"/>
      <c r="MM1250" s="22"/>
      <c r="MN1250" s="22"/>
      <c r="MO1250" s="22"/>
      <c r="MP1250" s="22"/>
      <c r="MQ1250" s="22"/>
      <c r="MR1250" s="22"/>
      <c r="MS1250" s="22"/>
      <c r="MT1250" s="22"/>
      <c r="MU1250" s="22"/>
      <c r="MV1250" s="22"/>
      <c r="MW1250" s="22"/>
      <c r="MX1250" s="22"/>
      <c r="MY1250" s="22"/>
      <c r="MZ1250" s="22"/>
      <c r="NA1250" s="22"/>
      <c r="NB1250" s="22"/>
      <c r="NC1250" s="22"/>
      <c r="ND1250" s="22"/>
      <c r="NE1250" s="22"/>
      <c r="NF1250" s="22"/>
      <c r="NG1250" s="22"/>
      <c r="NH1250" s="22"/>
      <c r="NI1250" s="22"/>
      <c r="NJ1250" s="22"/>
      <c r="NK1250" s="22"/>
      <c r="NL1250" s="22"/>
      <c r="NM1250" s="22"/>
      <c r="NN1250" s="22"/>
      <c r="NO1250" s="22"/>
      <c r="NP1250" s="22"/>
      <c r="NQ1250" s="22"/>
      <c r="NR1250" s="22"/>
      <c r="NS1250" s="22"/>
      <c r="NT1250" s="22"/>
      <c r="NU1250" s="22"/>
      <c r="NV1250" s="22"/>
      <c r="NW1250" s="22"/>
      <c r="NX1250" s="22"/>
      <c r="NY1250" s="22"/>
      <c r="NZ1250" s="22"/>
      <c r="OA1250" s="22"/>
      <c r="OB1250" s="22"/>
      <c r="OC1250" s="22"/>
      <c r="OD1250" s="22"/>
      <c r="OE1250" s="22"/>
      <c r="OF1250" s="22"/>
      <c r="OG1250" s="22"/>
      <c r="OH1250" s="22"/>
      <c r="OI1250" s="22"/>
      <c r="OJ1250" s="22"/>
      <c r="OK1250" s="22"/>
      <c r="OL1250" s="22"/>
      <c r="OM1250" s="22"/>
      <c r="ON1250" s="22"/>
      <c r="OO1250" s="22"/>
      <c r="OP1250" s="22"/>
      <c r="OQ1250" s="22"/>
      <c r="OR1250" s="22"/>
      <c r="OS1250" s="22"/>
      <c r="OT1250" s="22"/>
      <c r="OU1250" s="22"/>
      <c r="OV1250" s="22"/>
      <c r="OW1250" s="22"/>
      <c r="OX1250" s="22"/>
      <c r="OY1250" s="22"/>
      <c r="OZ1250" s="22"/>
      <c r="PA1250" s="22"/>
      <c r="PB1250" s="22"/>
      <c r="PC1250" s="22"/>
      <c r="PD1250" s="22"/>
      <c r="PE1250" s="22"/>
      <c r="PF1250" s="22"/>
      <c r="PG1250" s="22"/>
      <c r="PH1250" s="22"/>
      <c r="PI1250" s="22"/>
      <c r="PJ1250" s="22"/>
      <c r="PK1250" s="22"/>
      <c r="PL1250" s="22"/>
      <c r="PM1250" s="22"/>
      <c r="PN1250" s="22"/>
      <c r="PO1250" s="22"/>
      <c r="PP1250" s="22"/>
      <c r="PQ1250" s="22"/>
      <c r="PR1250" s="22"/>
      <c r="PS1250" s="22"/>
      <c r="PT1250" s="22"/>
      <c r="PU1250" s="22"/>
      <c r="PV1250" s="22"/>
      <c r="PW1250" s="22"/>
      <c r="PX1250" s="22"/>
      <c r="PY1250" s="22"/>
      <c r="PZ1250" s="22"/>
      <c r="QA1250" s="22"/>
      <c r="QB1250" s="22"/>
      <c r="QC1250" s="22"/>
      <c r="QD1250" s="22"/>
      <c r="QE1250" s="22"/>
      <c r="QF1250" s="22"/>
      <c r="QG1250" s="22"/>
      <c r="QH1250" s="22"/>
      <c r="QI1250" s="22"/>
      <c r="QJ1250" s="22"/>
      <c r="QK1250" s="22"/>
      <c r="QL1250" s="22"/>
      <c r="QM1250" s="22"/>
      <c r="QN1250" s="22"/>
      <c r="QO1250" s="22"/>
      <c r="QP1250" s="22"/>
      <c r="QQ1250" s="22"/>
      <c r="QR1250" s="22"/>
      <c r="QS1250" s="22"/>
      <c r="QT1250" s="22"/>
      <c r="QU1250" s="22"/>
      <c r="QV1250" s="22"/>
      <c r="QW1250" s="22"/>
      <c r="QX1250" s="22"/>
      <c r="QY1250" s="22"/>
      <c r="QZ1250" s="22"/>
      <c r="RA1250" s="22"/>
      <c r="RB1250" s="22"/>
      <c r="RC1250" s="22"/>
      <c r="RD1250" s="22"/>
      <c r="RE1250" s="22"/>
      <c r="RF1250" s="22"/>
      <c r="RG1250" s="22"/>
      <c r="RH1250" s="22"/>
      <c r="RI1250" s="22"/>
      <c r="RJ1250" s="22"/>
      <c r="RK1250" s="22"/>
      <c r="RL1250" s="22"/>
      <c r="RM1250" s="22"/>
      <c r="RN1250" s="22"/>
      <c r="RO1250" s="22"/>
      <c r="RP1250" s="22"/>
      <c r="RQ1250" s="22"/>
      <c r="RR1250" s="22"/>
      <c r="RS1250" s="22"/>
      <c r="RT1250" s="22"/>
      <c r="RU1250" s="22"/>
      <c r="RV1250" s="22"/>
      <c r="RW1250" s="22"/>
      <c r="RX1250" s="22"/>
      <c r="RY1250" s="22"/>
      <c r="RZ1250" s="22"/>
      <c r="SA1250" s="22"/>
      <c r="SB1250" s="22"/>
      <c r="SC1250" s="22"/>
      <c r="SD1250" s="22"/>
      <c r="SE1250" s="22"/>
      <c r="SF1250" s="22"/>
      <c r="SG1250" s="22"/>
      <c r="SH1250" s="22"/>
      <c r="SI1250" s="22"/>
      <c r="SJ1250" s="22"/>
      <c r="SK1250" s="22"/>
      <c r="SL1250" s="22"/>
      <c r="SM1250" s="22"/>
      <c r="SN1250" s="22"/>
      <c r="SO1250" s="22"/>
      <c r="SP1250" s="22"/>
      <c r="SQ1250" s="22"/>
      <c r="SR1250" s="22"/>
      <c r="SS1250" s="22"/>
      <c r="ST1250" s="22"/>
      <c r="SU1250" s="22"/>
      <c r="SV1250" s="22"/>
      <c r="SW1250" s="22"/>
      <c r="SX1250" s="22"/>
      <c r="SY1250" s="22"/>
      <c r="SZ1250" s="22"/>
      <c r="TA1250" s="22"/>
      <c r="TB1250" s="22"/>
      <c r="TC1250" s="22"/>
      <c r="TD1250" s="22"/>
      <c r="TE1250" s="22"/>
      <c r="TF1250" s="22"/>
      <c r="TG1250" s="22"/>
      <c r="TH1250" s="22"/>
      <c r="TI1250" s="22"/>
      <c r="TJ1250" s="22"/>
      <c r="TK1250" s="22"/>
      <c r="TL1250" s="22"/>
      <c r="TM1250" s="22"/>
      <c r="TN1250" s="22"/>
      <c r="TO1250" s="22"/>
      <c r="TP1250" s="22"/>
      <c r="TQ1250" s="22"/>
      <c r="TR1250" s="22"/>
      <c r="TS1250" s="22"/>
      <c r="TT1250" s="22"/>
      <c r="TU1250" s="22"/>
      <c r="TV1250" s="22"/>
      <c r="TW1250" s="22"/>
      <c r="TX1250" s="22"/>
      <c r="TY1250" s="22"/>
      <c r="TZ1250" s="22"/>
      <c r="UA1250" s="22"/>
      <c r="UB1250" s="22"/>
      <c r="UC1250" s="22"/>
      <c r="UD1250" s="22"/>
      <c r="UE1250" s="22"/>
      <c r="UF1250" s="22"/>
      <c r="UG1250" s="23"/>
    </row>
    <row r="1251" spans="1:553" ht="102.75" customHeight="1">
      <c r="A1251" s="356"/>
      <c r="B1251" s="366" t="s">
        <v>673</v>
      </c>
      <c r="C1251" s="1535" t="s">
        <v>1296</v>
      </c>
      <c r="D1251" s="1389"/>
      <c r="E1251" s="1389"/>
      <c r="F1251" s="1390"/>
      <c r="G1251" s="366" t="s">
        <v>33</v>
      </c>
      <c r="H1251" s="370"/>
      <c r="I1251" s="370">
        <f t="shared" ref="I1251:I1252" si="188">5.7*11.8</f>
        <v>67.260000000000005</v>
      </c>
      <c r="J1251" s="368">
        <v>4300000</v>
      </c>
      <c r="K1251" s="371"/>
      <c r="L1251" s="480">
        <f t="shared" ref="L1251:L1273" si="189">I1251*J1251</f>
        <v>289218000</v>
      </c>
      <c r="M1251" s="356"/>
      <c r="N1251" s="356"/>
      <c r="O1251" s="356"/>
      <c r="P1251" s="356"/>
      <c r="Q1251" s="610"/>
      <c r="R1251" s="1226"/>
      <c r="S1251" s="308"/>
      <c r="T1251" s="308"/>
      <c r="U1251" s="308"/>
      <c r="V1251" s="308"/>
      <c r="W1251" s="308"/>
      <c r="X1251" s="308"/>
      <c r="Y1251" s="308"/>
      <c r="Z1251" s="604"/>
      <c r="AA1251" s="308"/>
      <c r="AB1251" s="308"/>
      <c r="AC1251" s="373"/>
      <c r="AD1251" s="373"/>
      <c r="AE1251" s="373"/>
      <c r="AF1251" s="373"/>
      <c r="AG1251" s="373"/>
      <c r="AH1251" s="373"/>
      <c r="AI1251" s="373"/>
      <c r="AJ1251" s="373"/>
      <c r="AK1251" s="389"/>
      <c r="AL1251" s="100"/>
      <c r="AM1251" s="27"/>
      <c r="AN1251" s="27"/>
      <c r="AO1251" s="27"/>
      <c r="AP1251" s="27"/>
      <c r="AQ1251" s="27"/>
      <c r="AR1251" s="27"/>
      <c r="AS1251" s="22"/>
      <c r="AT1251" s="22"/>
      <c r="AU1251" s="22"/>
      <c r="AV1251" s="22"/>
      <c r="AW1251" s="22"/>
      <c r="AX1251" s="22"/>
      <c r="AY1251" s="22"/>
      <c r="AZ1251" s="22"/>
      <c r="BA1251" s="22"/>
      <c r="BB1251" s="22"/>
      <c r="BC1251" s="22"/>
      <c r="BD1251" s="22"/>
      <c r="BE1251" s="22"/>
      <c r="BF1251" s="22"/>
      <c r="BG1251" s="22"/>
      <c r="BH1251" s="22"/>
      <c r="BI1251" s="22"/>
      <c r="BJ1251" s="22"/>
      <c r="BK1251" s="22"/>
      <c r="BL1251" s="22"/>
      <c r="BM1251" s="22"/>
      <c r="BN1251" s="22"/>
      <c r="BO1251" s="22"/>
      <c r="BP1251" s="22"/>
      <c r="BQ1251" s="22"/>
      <c r="BR1251" s="22"/>
      <c r="BS1251" s="22"/>
      <c r="BT1251" s="22"/>
      <c r="BU1251" s="22"/>
      <c r="BV1251" s="22"/>
      <c r="BW1251" s="22"/>
      <c r="BX1251" s="22"/>
      <c r="BY1251" s="22"/>
      <c r="BZ1251" s="22"/>
      <c r="CA1251" s="22"/>
      <c r="CB1251" s="22"/>
      <c r="CC1251" s="22"/>
      <c r="CD1251" s="22"/>
      <c r="CE1251" s="22"/>
      <c r="CF1251" s="22"/>
      <c r="CG1251" s="22"/>
      <c r="CH1251" s="22"/>
      <c r="CI1251" s="22"/>
      <c r="CJ1251" s="22"/>
      <c r="CK1251" s="22"/>
      <c r="CL1251" s="22"/>
      <c r="CM1251" s="22"/>
      <c r="CN1251" s="22"/>
      <c r="CO1251" s="22"/>
      <c r="CP1251" s="22"/>
      <c r="CQ1251" s="22"/>
      <c r="CR1251" s="22"/>
      <c r="CS1251" s="22"/>
      <c r="CT1251" s="22"/>
      <c r="CU1251" s="22"/>
      <c r="CV1251" s="22"/>
      <c r="CW1251" s="22"/>
      <c r="CX1251" s="22"/>
      <c r="CY1251" s="22"/>
      <c r="CZ1251" s="22"/>
      <c r="DA1251" s="22"/>
      <c r="DB1251" s="22"/>
      <c r="DC1251" s="22"/>
      <c r="DD1251" s="22"/>
      <c r="DE1251" s="22"/>
      <c r="DF1251" s="22"/>
      <c r="DG1251" s="22"/>
      <c r="DH1251" s="22"/>
      <c r="DI1251" s="22"/>
      <c r="DJ1251" s="22"/>
      <c r="DK1251" s="22"/>
      <c r="DL1251" s="22"/>
      <c r="DM1251" s="22"/>
      <c r="DN1251" s="22"/>
      <c r="DO1251" s="22"/>
      <c r="DP1251" s="22"/>
      <c r="DQ1251" s="22"/>
      <c r="DR1251" s="22"/>
      <c r="DS1251" s="22"/>
      <c r="DT1251" s="22"/>
      <c r="DU1251" s="22"/>
      <c r="DV1251" s="22"/>
      <c r="DW1251" s="22"/>
      <c r="DX1251" s="22"/>
      <c r="DY1251" s="22"/>
      <c r="DZ1251" s="22"/>
      <c r="EA1251" s="22"/>
      <c r="EB1251" s="22"/>
      <c r="EC1251" s="22"/>
      <c r="ED1251" s="22"/>
      <c r="EE1251" s="22"/>
      <c r="EF1251" s="22"/>
      <c r="EG1251" s="22"/>
      <c r="EH1251" s="22"/>
      <c r="EI1251" s="22"/>
      <c r="EJ1251" s="22"/>
      <c r="EK1251" s="22"/>
      <c r="EL1251" s="22"/>
      <c r="EM1251" s="22"/>
      <c r="EN1251" s="22"/>
      <c r="EO1251" s="22"/>
      <c r="EP1251" s="22"/>
      <c r="EQ1251" s="22"/>
      <c r="ER1251" s="22"/>
      <c r="ES1251" s="22"/>
      <c r="ET1251" s="22"/>
      <c r="EU1251" s="22"/>
      <c r="EV1251" s="22"/>
      <c r="EW1251" s="22"/>
      <c r="EX1251" s="22"/>
      <c r="EY1251" s="22"/>
      <c r="EZ1251" s="22"/>
      <c r="FA1251" s="22"/>
      <c r="FB1251" s="22"/>
      <c r="FC1251" s="22"/>
      <c r="FD1251" s="22"/>
      <c r="FE1251" s="22"/>
      <c r="FF1251" s="22"/>
      <c r="FG1251" s="22"/>
      <c r="FH1251" s="22"/>
      <c r="FI1251" s="22"/>
      <c r="FJ1251" s="22"/>
      <c r="FK1251" s="22"/>
      <c r="FL1251" s="22"/>
      <c r="FM1251" s="22"/>
      <c r="FN1251" s="22"/>
      <c r="FO1251" s="22"/>
      <c r="FP1251" s="22"/>
      <c r="FQ1251" s="22"/>
      <c r="FR1251" s="22"/>
      <c r="FS1251" s="22"/>
      <c r="FT1251" s="22"/>
      <c r="FU1251" s="22"/>
      <c r="FV1251" s="22"/>
      <c r="FW1251" s="22"/>
      <c r="FX1251" s="22"/>
      <c r="FY1251" s="22"/>
      <c r="FZ1251" s="22"/>
      <c r="GA1251" s="22"/>
      <c r="GB1251" s="22"/>
      <c r="GC1251" s="22"/>
      <c r="GD1251" s="22"/>
      <c r="GE1251" s="22"/>
      <c r="GF1251" s="22"/>
      <c r="GG1251" s="22"/>
      <c r="GH1251" s="22"/>
      <c r="GI1251" s="22"/>
      <c r="GJ1251" s="22"/>
      <c r="GK1251" s="22"/>
      <c r="GL1251" s="22"/>
      <c r="GM1251" s="22"/>
      <c r="GN1251" s="22"/>
      <c r="GO1251" s="22"/>
      <c r="GP1251" s="22"/>
      <c r="GQ1251" s="22"/>
      <c r="GR1251" s="22"/>
      <c r="GS1251" s="22"/>
      <c r="GT1251" s="22"/>
      <c r="GU1251" s="22"/>
      <c r="GV1251" s="22"/>
      <c r="GW1251" s="22"/>
      <c r="GX1251" s="22"/>
      <c r="GY1251" s="22"/>
      <c r="GZ1251" s="22"/>
      <c r="HA1251" s="22"/>
      <c r="HB1251" s="22"/>
      <c r="HC1251" s="22"/>
      <c r="HD1251" s="22"/>
      <c r="HE1251" s="22"/>
      <c r="HF1251" s="22"/>
      <c r="HG1251" s="22"/>
      <c r="HH1251" s="22"/>
      <c r="HI1251" s="22"/>
      <c r="HJ1251" s="22"/>
      <c r="HK1251" s="22"/>
      <c r="HL1251" s="22"/>
      <c r="HM1251" s="22"/>
      <c r="HN1251" s="22"/>
      <c r="HO1251" s="22"/>
      <c r="HP1251" s="22"/>
      <c r="HQ1251" s="22"/>
      <c r="HR1251" s="22"/>
      <c r="HS1251" s="22"/>
      <c r="HT1251" s="22"/>
      <c r="HU1251" s="22"/>
      <c r="HV1251" s="22"/>
      <c r="HW1251" s="22"/>
      <c r="HX1251" s="22"/>
      <c r="HY1251" s="22"/>
      <c r="HZ1251" s="22"/>
      <c r="IA1251" s="22"/>
      <c r="IB1251" s="22"/>
      <c r="IC1251" s="22"/>
      <c r="ID1251" s="22"/>
      <c r="IE1251" s="22"/>
      <c r="IF1251" s="22"/>
      <c r="IG1251" s="22"/>
      <c r="IH1251" s="22"/>
      <c r="II1251" s="22"/>
      <c r="IJ1251" s="22"/>
      <c r="IK1251" s="22"/>
      <c r="IL1251" s="22"/>
      <c r="IM1251" s="22"/>
      <c r="IN1251" s="22"/>
      <c r="IO1251" s="22"/>
      <c r="IP1251" s="22"/>
      <c r="IQ1251" s="22"/>
      <c r="IR1251" s="22"/>
      <c r="IS1251" s="22"/>
      <c r="IT1251" s="22"/>
      <c r="IU1251" s="22"/>
      <c r="IV1251" s="22"/>
      <c r="IW1251" s="22"/>
      <c r="IX1251" s="22"/>
      <c r="IY1251" s="22"/>
      <c r="IZ1251" s="22"/>
      <c r="JA1251" s="22"/>
      <c r="JB1251" s="22"/>
      <c r="JC1251" s="22"/>
      <c r="JD1251" s="22"/>
      <c r="JE1251" s="22"/>
      <c r="JF1251" s="22"/>
      <c r="JG1251" s="22"/>
      <c r="JH1251" s="22"/>
      <c r="JI1251" s="22"/>
      <c r="JJ1251" s="22"/>
      <c r="JK1251" s="22"/>
      <c r="JL1251" s="22"/>
      <c r="JM1251" s="22"/>
      <c r="JN1251" s="22"/>
      <c r="JO1251" s="22"/>
      <c r="JP1251" s="22"/>
      <c r="JQ1251" s="22"/>
      <c r="JR1251" s="22"/>
      <c r="JS1251" s="22"/>
      <c r="JT1251" s="22"/>
      <c r="JU1251" s="22"/>
      <c r="JV1251" s="22"/>
      <c r="JW1251" s="22"/>
      <c r="JX1251" s="22"/>
      <c r="JY1251" s="22"/>
      <c r="JZ1251" s="22"/>
      <c r="KA1251" s="22"/>
      <c r="KB1251" s="22"/>
      <c r="KC1251" s="22"/>
      <c r="KD1251" s="22"/>
      <c r="KE1251" s="22"/>
      <c r="KF1251" s="22"/>
      <c r="KG1251" s="22"/>
      <c r="KH1251" s="22"/>
      <c r="KI1251" s="22"/>
      <c r="KJ1251" s="22"/>
      <c r="KK1251" s="22"/>
      <c r="KL1251" s="22"/>
      <c r="KM1251" s="22"/>
      <c r="KN1251" s="22"/>
      <c r="KO1251" s="22"/>
      <c r="KP1251" s="22"/>
      <c r="KQ1251" s="22"/>
      <c r="KR1251" s="22"/>
      <c r="KS1251" s="22"/>
      <c r="KT1251" s="22"/>
      <c r="KU1251" s="22"/>
      <c r="KV1251" s="22"/>
      <c r="KW1251" s="22"/>
      <c r="KX1251" s="22"/>
      <c r="KY1251" s="22"/>
      <c r="KZ1251" s="22"/>
      <c r="LA1251" s="22"/>
      <c r="LB1251" s="22"/>
      <c r="LC1251" s="22"/>
      <c r="LD1251" s="22"/>
      <c r="LE1251" s="22"/>
      <c r="LF1251" s="22"/>
      <c r="LG1251" s="22"/>
      <c r="LH1251" s="22"/>
      <c r="LI1251" s="22"/>
      <c r="LJ1251" s="22"/>
      <c r="LK1251" s="22"/>
      <c r="LL1251" s="22"/>
      <c r="LM1251" s="22"/>
      <c r="LN1251" s="22"/>
      <c r="LO1251" s="22"/>
      <c r="LP1251" s="22"/>
      <c r="LQ1251" s="22"/>
      <c r="LR1251" s="22"/>
      <c r="LS1251" s="22"/>
      <c r="LT1251" s="22"/>
      <c r="LU1251" s="22"/>
      <c r="LV1251" s="22"/>
      <c r="LW1251" s="22"/>
      <c r="LX1251" s="22"/>
      <c r="LY1251" s="22"/>
      <c r="LZ1251" s="22"/>
      <c r="MA1251" s="22"/>
      <c r="MB1251" s="22"/>
      <c r="MC1251" s="22"/>
      <c r="MD1251" s="22"/>
      <c r="ME1251" s="22"/>
      <c r="MF1251" s="22"/>
      <c r="MG1251" s="22"/>
      <c r="MH1251" s="22"/>
      <c r="MI1251" s="22"/>
      <c r="MJ1251" s="22"/>
      <c r="MK1251" s="22"/>
      <c r="ML1251" s="22"/>
      <c r="MM1251" s="22"/>
      <c r="MN1251" s="22"/>
      <c r="MO1251" s="22"/>
      <c r="MP1251" s="22"/>
      <c r="MQ1251" s="22"/>
      <c r="MR1251" s="22"/>
      <c r="MS1251" s="22"/>
      <c r="MT1251" s="22"/>
      <c r="MU1251" s="22"/>
      <c r="MV1251" s="22"/>
      <c r="MW1251" s="22"/>
      <c r="MX1251" s="22"/>
      <c r="MY1251" s="22"/>
      <c r="MZ1251" s="22"/>
      <c r="NA1251" s="22"/>
      <c r="NB1251" s="22"/>
      <c r="NC1251" s="22"/>
      <c r="ND1251" s="22"/>
      <c r="NE1251" s="22"/>
      <c r="NF1251" s="22"/>
      <c r="NG1251" s="22"/>
      <c r="NH1251" s="22"/>
      <c r="NI1251" s="22"/>
      <c r="NJ1251" s="22"/>
      <c r="NK1251" s="22"/>
      <c r="NL1251" s="22"/>
      <c r="NM1251" s="22"/>
      <c r="NN1251" s="22"/>
      <c r="NO1251" s="22"/>
      <c r="NP1251" s="22"/>
      <c r="NQ1251" s="22"/>
      <c r="NR1251" s="22"/>
      <c r="NS1251" s="22"/>
      <c r="NT1251" s="22"/>
      <c r="NU1251" s="22"/>
      <c r="NV1251" s="22"/>
      <c r="NW1251" s="22"/>
      <c r="NX1251" s="22"/>
      <c r="NY1251" s="22"/>
      <c r="NZ1251" s="22"/>
      <c r="OA1251" s="22"/>
      <c r="OB1251" s="22"/>
      <c r="OC1251" s="22"/>
      <c r="OD1251" s="22"/>
      <c r="OE1251" s="22"/>
      <c r="OF1251" s="22"/>
      <c r="OG1251" s="22"/>
      <c r="OH1251" s="22"/>
      <c r="OI1251" s="22"/>
      <c r="OJ1251" s="22"/>
      <c r="OK1251" s="22"/>
      <c r="OL1251" s="22"/>
      <c r="OM1251" s="22"/>
      <c r="ON1251" s="22"/>
      <c r="OO1251" s="22"/>
      <c r="OP1251" s="22"/>
      <c r="OQ1251" s="22"/>
      <c r="OR1251" s="22"/>
      <c r="OS1251" s="22"/>
      <c r="OT1251" s="22"/>
      <c r="OU1251" s="22"/>
      <c r="OV1251" s="22"/>
      <c r="OW1251" s="22"/>
      <c r="OX1251" s="22"/>
      <c r="OY1251" s="22"/>
      <c r="OZ1251" s="22"/>
      <c r="PA1251" s="22"/>
      <c r="PB1251" s="22"/>
      <c r="PC1251" s="22"/>
      <c r="PD1251" s="22"/>
      <c r="PE1251" s="22"/>
      <c r="PF1251" s="22"/>
      <c r="PG1251" s="22"/>
      <c r="PH1251" s="22"/>
      <c r="PI1251" s="22"/>
      <c r="PJ1251" s="22"/>
      <c r="PK1251" s="22"/>
      <c r="PL1251" s="22"/>
      <c r="PM1251" s="22"/>
      <c r="PN1251" s="22"/>
      <c r="PO1251" s="22"/>
      <c r="PP1251" s="22"/>
      <c r="PQ1251" s="22"/>
      <c r="PR1251" s="22"/>
      <c r="PS1251" s="22"/>
      <c r="PT1251" s="22"/>
      <c r="PU1251" s="22"/>
      <c r="PV1251" s="22"/>
      <c r="PW1251" s="22"/>
      <c r="PX1251" s="22"/>
      <c r="PY1251" s="22"/>
      <c r="PZ1251" s="22"/>
      <c r="QA1251" s="22"/>
      <c r="QB1251" s="22"/>
      <c r="QC1251" s="22"/>
      <c r="QD1251" s="22"/>
      <c r="QE1251" s="22"/>
      <c r="QF1251" s="22"/>
      <c r="QG1251" s="22"/>
      <c r="QH1251" s="22"/>
      <c r="QI1251" s="22"/>
      <c r="QJ1251" s="22"/>
      <c r="QK1251" s="22"/>
      <c r="QL1251" s="22"/>
      <c r="QM1251" s="22"/>
      <c r="QN1251" s="22"/>
      <c r="QO1251" s="22"/>
      <c r="QP1251" s="22"/>
      <c r="QQ1251" s="22"/>
      <c r="QR1251" s="22"/>
      <c r="QS1251" s="22"/>
      <c r="QT1251" s="22"/>
      <c r="QU1251" s="22"/>
      <c r="QV1251" s="22"/>
      <c r="QW1251" s="22"/>
      <c r="QX1251" s="22"/>
      <c r="QY1251" s="22"/>
      <c r="QZ1251" s="22"/>
      <c r="RA1251" s="22"/>
      <c r="RB1251" s="22"/>
      <c r="RC1251" s="22"/>
      <c r="RD1251" s="22"/>
      <c r="RE1251" s="22"/>
      <c r="RF1251" s="22"/>
      <c r="RG1251" s="22"/>
      <c r="RH1251" s="22"/>
      <c r="RI1251" s="22"/>
      <c r="RJ1251" s="22"/>
      <c r="RK1251" s="22"/>
      <c r="RL1251" s="22"/>
      <c r="RM1251" s="22"/>
      <c r="RN1251" s="22"/>
      <c r="RO1251" s="22"/>
      <c r="RP1251" s="22"/>
      <c r="RQ1251" s="22"/>
      <c r="RR1251" s="22"/>
      <c r="RS1251" s="22"/>
      <c r="RT1251" s="22"/>
      <c r="RU1251" s="22"/>
      <c r="RV1251" s="22"/>
      <c r="RW1251" s="22"/>
      <c r="RX1251" s="22"/>
      <c r="RY1251" s="22"/>
      <c r="RZ1251" s="22"/>
      <c r="SA1251" s="22"/>
      <c r="SB1251" s="22"/>
      <c r="SC1251" s="22"/>
      <c r="SD1251" s="22"/>
      <c r="SE1251" s="22"/>
      <c r="SF1251" s="22"/>
      <c r="SG1251" s="22"/>
      <c r="SH1251" s="22"/>
      <c r="SI1251" s="22"/>
      <c r="SJ1251" s="22"/>
      <c r="SK1251" s="22"/>
      <c r="SL1251" s="22"/>
      <c r="SM1251" s="22"/>
      <c r="SN1251" s="22"/>
      <c r="SO1251" s="22"/>
      <c r="SP1251" s="22"/>
      <c r="SQ1251" s="22"/>
      <c r="SR1251" s="22"/>
      <c r="SS1251" s="22"/>
      <c r="ST1251" s="22"/>
      <c r="SU1251" s="22"/>
      <c r="SV1251" s="22"/>
      <c r="SW1251" s="22"/>
      <c r="SX1251" s="22"/>
      <c r="SY1251" s="22"/>
      <c r="SZ1251" s="22"/>
      <c r="TA1251" s="22"/>
      <c r="TB1251" s="22"/>
      <c r="TC1251" s="22"/>
      <c r="TD1251" s="22"/>
      <c r="TE1251" s="22"/>
      <c r="TF1251" s="22"/>
      <c r="TG1251" s="22"/>
      <c r="TH1251" s="22"/>
      <c r="TI1251" s="22"/>
      <c r="TJ1251" s="22"/>
      <c r="TK1251" s="22"/>
      <c r="TL1251" s="22"/>
      <c r="TM1251" s="22"/>
      <c r="TN1251" s="22"/>
      <c r="TO1251" s="22"/>
      <c r="TP1251" s="22"/>
      <c r="TQ1251" s="22"/>
      <c r="TR1251" s="22"/>
      <c r="TS1251" s="22"/>
      <c r="TT1251" s="22"/>
      <c r="TU1251" s="22"/>
      <c r="TV1251" s="22"/>
      <c r="TW1251" s="22"/>
      <c r="TX1251" s="22"/>
      <c r="TY1251" s="22"/>
      <c r="TZ1251" s="22"/>
      <c r="UA1251" s="22"/>
      <c r="UB1251" s="22"/>
      <c r="UC1251" s="22"/>
      <c r="UD1251" s="22"/>
      <c r="UE1251" s="22"/>
      <c r="UF1251" s="22"/>
      <c r="UG1251" s="23"/>
    </row>
    <row r="1252" spans="1:553" ht="43.15" customHeight="1">
      <c r="A1252" s="356"/>
      <c r="B1252" s="366" t="s">
        <v>674</v>
      </c>
      <c r="C1252" s="1535" t="s">
        <v>675</v>
      </c>
      <c r="D1252" s="1389"/>
      <c r="E1252" s="1389"/>
      <c r="F1252" s="1390"/>
      <c r="G1252" s="366" t="s">
        <v>33</v>
      </c>
      <c r="H1252" s="370"/>
      <c r="I1252" s="370">
        <f t="shared" si="188"/>
        <v>67.260000000000005</v>
      </c>
      <c r="J1252" s="368">
        <f>200600-153000</f>
        <v>47600</v>
      </c>
      <c r="K1252" s="371"/>
      <c r="L1252" s="480">
        <f t="shared" si="189"/>
        <v>3201576.0000000005</v>
      </c>
      <c r="M1252" s="356"/>
      <c r="N1252" s="356"/>
      <c r="O1252" s="356"/>
      <c r="P1252" s="356"/>
      <c r="Q1252" s="610"/>
      <c r="R1252" s="1226"/>
      <c r="S1252" s="308"/>
      <c r="T1252" s="308"/>
      <c r="U1252" s="308"/>
      <c r="V1252" s="308"/>
      <c r="W1252" s="308"/>
      <c r="X1252" s="308"/>
      <c r="Y1252" s="308"/>
      <c r="Z1252" s="604"/>
      <c r="AA1252" s="308"/>
      <c r="AB1252" s="308"/>
      <c r="AC1252" s="373"/>
      <c r="AD1252" s="373"/>
      <c r="AE1252" s="373"/>
      <c r="AF1252" s="373"/>
      <c r="AG1252" s="373"/>
      <c r="AH1252" s="373"/>
      <c r="AI1252" s="373"/>
      <c r="AJ1252" s="373"/>
      <c r="AK1252" s="389"/>
      <c r="AL1252" s="100"/>
      <c r="AM1252" s="27"/>
      <c r="AN1252" s="27"/>
      <c r="AO1252" s="27"/>
      <c r="AP1252" s="27"/>
      <c r="AQ1252" s="27"/>
      <c r="AR1252" s="27"/>
      <c r="AS1252" s="22"/>
      <c r="AT1252" s="22"/>
      <c r="AU1252" s="22"/>
      <c r="AV1252" s="22"/>
      <c r="AW1252" s="22"/>
      <c r="AX1252" s="22"/>
      <c r="AY1252" s="22"/>
      <c r="AZ1252" s="22"/>
      <c r="BA1252" s="22"/>
      <c r="BB1252" s="22"/>
      <c r="BC1252" s="22"/>
      <c r="BD1252" s="22"/>
      <c r="BE1252" s="22"/>
      <c r="BF1252" s="22"/>
      <c r="BG1252" s="22"/>
      <c r="BH1252" s="22"/>
      <c r="BI1252" s="22"/>
      <c r="BJ1252" s="22"/>
      <c r="BK1252" s="22"/>
      <c r="BL1252" s="22"/>
      <c r="BM1252" s="22"/>
      <c r="BN1252" s="22"/>
      <c r="BO1252" s="22"/>
      <c r="BP1252" s="22"/>
      <c r="BQ1252" s="22"/>
      <c r="BR1252" s="22"/>
      <c r="BS1252" s="22"/>
      <c r="BT1252" s="22"/>
      <c r="BU1252" s="22"/>
      <c r="BV1252" s="22"/>
      <c r="BW1252" s="22"/>
      <c r="BX1252" s="22"/>
      <c r="BY1252" s="22"/>
      <c r="BZ1252" s="22"/>
      <c r="CA1252" s="22"/>
      <c r="CB1252" s="22"/>
      <c r="CC1252" s="22"/>
      <c r="CD1252" s="22"/>
      <c r="CE1252" s="22"/>
      <c r="CF1252" s="22"/>
      <c r="CG1252" s="22"/>
      <c r="CH1252" s="22"/>
      <c r="CI1252" s="22"/>
      <c r="CJ1252" s="22"/>
      <c r="CK1252" s="22"/>
      <c r="CL1252" s="22"/>
      <c r="CM1252" s="22"/>
      <c r="CN1252" s="22"/>
      <c r="CO1252" s="22"/>
      <c r="CP1252" s="22"/>
      <c r="CQ1252" s="22"/>
      <c r="CR1252" s="22"/>
      <c r="CS1252" s="22"/>
      <c r="CT1252" s="22"/>
      <c r="CU1252" s="22"/>
      <c r="CV1252" s="22"/>
      <c r="CW1252" s="22"/>
      <c r="CX1252" s="22"/>
      <c r="CY1252" s="22"/>
      <c r="CZ1252" s="22"/>
      <c r="DA1252" s="22"/>
      <c r="DB1252" s="22"/>
      <c r="DC1252" s="22"/>
      <c r="DD1252" s="22"/>
      <c r="DE1252" s="22"/>
      <c r="DF1252" s="22"/>
      <c r="DG1252" s="22"/>
      <c r="DH1252" s="22"/>
      <c r="DI1252" s="22"/>
      <c r="DJ1252" s="22"/>
      <c r="DK1252" s="22"/>
      <c r="DL1252" s="22"/>
      <c r="DM1252" s="22"/>
      <c r="DN1252" s="22"/>
      <c r="DO1252" s="22"/>
      <c r="DP1252" s="22"/>
      <c r="DQ1252" s="22"/>
      <c r="DR1252" s="22"/>
      <c r="DS1252" s="22"/>
      <c r="DT1252" s="22"/>
      <c r="DU1252" s="22"/>
      <c r="DV1252" s="22"/>
      <c r="DW1252" s="22"/>
      <c r="DX1252" s="22"/>
      <c r="DY1252" s="22"/>
      <c r="DZ1252" s="22"/>
      <c r="EA1252" s="22"/>
      <c r="EB1252" s="22"/>
      <c r="EC1252" s="22"/>
      <c r="ED1252" s="22"/>
      <c r="EE1252" s="22"/>
      <c r="EF1252" s="22"/>
      <c r="EG1252" s="22"/>
      <c r="EH1252" s="22"/>
      <c r="EI1252" s="22"/>
      <c r="EJ1252" s="22"/>
      <c r="EK1252" s="22"/>
      <c r="EL1252" s="22"/>
      <c r="EM1252" s="22"/>
      <c r="EN1252" s="22"/>
      <c r="EO1252" s="22"/>
      <c r="EP1252" s="22"/>
      <c r="EQ1252" s="22"/>
      <c r="ER1252" s="22"/>
      <c r="ES1252" s="22"/>
      <c r="ET1252" s="22"/>
      <c r="EU1252" s="22"/>
      <c r="EV1252" s="22"/>
      <c r="EW1252" s="22"/>
      <c r="EX1252" s="22"/>
      <c r="EY1252" s="22"/>
      <c r="EZ1252" s="22"/>
      <c r="FA1252" s="22"/>
      <c r="FB1252" s="22"/>
      <c r="FC1252" s="22"/>
      <c r="FD1252" s="22"/>
      <c r="FE1252" s="22"/>
      <c r="FF1252" s="22"/>
      <c r="FG1252" s="22"/>
      <c r="FH1252" s="22"/>
      <c r="FI1252" s="22"/>
      <c r="FJ1252" s="22"/>
      <c r="FK1252" s="22"/>
      <c r="FL1252" s="22"/>
      <c r="FM1252" s="22"/>
      <c r="FN1252" s="22"/>
      <c r="FO1252" s="22"/>
      <c r="FP1252" s="22"/>
      <c r="FQ1252" s="22"/>
      <c r="FR1252" s="22"/>
      <c r="FS1252" s="22"/>
      <c r="FT1252" s="22"/>
      <c r="FU1252" s="22"/>
      <c r="FV1252" s="22"/>
      <c r="FW1252" s="22"/>
      <c r="FX1252" s="22"/>
      <c r="FY1252" s="22"/>
      <c r="FZ1252" s="22"/>
      <c r="GA1252" s="22"/>
      <c r="GB1252" s="22"/>
      <c r="GC1252" s="22"/>
      <c r="GD1252" s="22"/>
      <c r="GE1252" s="22"/>
      <c r="GF1252" s="22"/>
      <c r="GG1252" s="22"/>
      <c r="GH1252" s="22"/>
      <c r="GI1252" s="22"/>
      <c r="GJ1252" s="22"/>
      <c r="GK1252" s="22"/>
      <c r="GL1252" s="22"/>
      <c r="GM1252" s="22"/>
      <c r="GN1252" s="22"/>
      <c r="GO1252" s="22"/>
      <c r="GP1252" s="22"/>
      <c r="GQ1252" s="22"/>
      <c r="GR1252" s="22"/>
      <c r="GS1252" s="22"/>
      <c r="GT1252" s="22"/>
      <c r="GU1252" s="22"/>
      <c r="GV1252" s="22"/>
      <c r="GW1252" s="22"/>
      <c r="GX1252" s="22"/>
      <c r="GY1252" s="22"/>
      <c r="GZ1252" s="22"/>
      <c r="HA1252" s="22"/>
      <c r="HB1252" s="22"/>
      <c r="HC1252" s="22"/>
      <c r="HD1252" s="22"/>
      <c r="HE1252" s="22"/>
      <c r="HF1252" s="22"/>
      <c r="HG1252" s="22"/>
      <c r="HH1252" s="22"/>
      <c r="HI1252" s="22"/>
      <c r="HJ1252" s="22"/>
      <c r="HK1252" s="22"/>
      <c r="HL1252" s="22"/>
      <c r="HM1252" s="22"/>
      <c r="HN1252" s="22"/>
      <c r="HO1252" s="22"/>
      <c r="HP1252" s="22"/>
      <c r="HQ1252" s="22"/>
      <c r="HR1252" s="22"/>
      <c r="HS1252" s="22"/>
      <c r="HT1252" s="22"/>
      <c r="HU1252" s="22"/>
      <c r="HV1252" s="22"/>
      <c r="HW1252" s="22"/>
      <c r="HX1252" s="22"/>
      <c r="HY1252" s="22"/>
      <c r="HZ1252" s="22"/>
      <c r="IA1252" s="22"/>
      <c r="IB1252" s="22"/>
      <c r="IC1252" s="22"/>
      <c r="ID1252" s="22"/>
      <c r="IE1252" s="22"/>
      <c r="IF1252" s="22"/>
      <c r="IG1252" s="22"/>
      <c r="IH1252" s="22"/>
      <c r="II1252" s="22"/>
      <c r="IJ1252" s="22"/>
      <c r="IK1252" s="22"/>
      <c r="IL1252" s="22"/>
      <c r="IM1252" s="22"/>
      <c r="IN1252" s="22"/>
      <c r="IO1252" s="22"/>
      <c r="IP1252" s="22"/>
      <c r="IQ1252" s="22"/>
      <c r="IR1252" s="22"/>
      <c r="IS1252" s="22"/>
      <c r="IT1252" s="22"/>
      <c r="IU1252" s="22"/>
      <c r="IV1252" s="22"/>
      <c r="IW1252" s="22"/>
      <c r="IX1252" s="22"/>
      <c r="IY1252" s="22"/>
      <c r="IZ1252" s="22"/>
      <c r="JA1252" s="22"/>
      <c r="JB1252" s="22"/>
      <c r="JC1252" s="22"/>
      <c r="JD1252" s="22"/>
      <c r="JE1252" s="22"/>
      <c r="JF1252" s="22"/>
      <c r="JG1252" s="22"/>
      <c r="JH1252" s="22"/>
      <c r="JI1252" s="22"/>
      <c r="JJ1252" s="22"/>
      <c r="JK1252" s="22"/>
      <c r="JL1252" s="22"/>
      <c r="JM1252" s="22"/>
      <c r="JN1252" s="22"/>
      <c r="JO1252" s="22"/>
      <c r="JP1252" s="22"/>
      <c r="JQ1252" s="22"/>
      <c r="JR1252" s="22"/>
      <c r="JS1252" s="22"/>
      <c r="JT1252" s="22"/>
      <c r="JU1252" s="22"/>
      <c r="JV1252" s="22"/>
      <c r="JW1252" s="22"/>
      <c r="JX1252" s="22"/>
      <c r="JY1252" s="22"/>
      <c r="JZ1252" s="22"/>
      <c r="KA1252" s="22"/>
      <c r="KB1252" s="22"/>
      <c r="KC1252" s="22"/>
      <c r="KD1252" s="22"/>
      <c r="KE1252" s="22"/>
      <c r="KF1252" s="22"/>
      <c r="KG1252" s="22"/>
      <c r="KH1252" s="22"/>
      <c r="KI1252" s="22"/>
      <c r="KJ1252" s="22"/>
      <c r="KK1252" s="22"/>
      <c r="KL1252" s="22"/>
      <c r="KM1252" s="22"/>
      <c r="KN1252" s="22"/>
      <c r="KO1252" s="22"/>
      <c r="KP1252" s="22"/>
      <c r="KQ1252" s="22"/>
      <c r="KR1252" s="22"/>
      <c r="KS1252" s="22"/>
      <c r="KT1252" s="22"/>
      <c r="KU1252" s="22"/>
      <c r="KV1252" s="22"/>
      <c r="KW1252" s="22"/>
      <c r="KX1252" s="22"/>
      <c r="KY1252" s="22"/>
      <c r="KZ1252" s="22"/>
      <c r="LA1252" s="22"/>
      <c r="LB1252" s="22"/>
      <c r="LC1252" s="22"/>
      <c r="LD1252" s="22"/>
      <c r="LE1252" s="22"/>
      <c r="LF1252" s="22"/>
      <c r="LG1252" s="22"/>
      <c r="LH1252" s="22"/>
      <c r="LI1252" s="22"/>
      <c r="LJ1252" s="22"/>
      <c r="LK1252" s="22"/>
      <c r="LL1252" s="22"/>
      <c r="LM1252" s="22"/>
      <c r="LN1252" s="22"/>
      <c r="LO1252" s="22"/>
      <c r="LP1252" s="22"/>
      <c r="LQ1252" s="22"/>
      <c r="LR1252" s="22"/>
      <c r="LS1252" s="22"/>
      <c r="LT1252" s="22"/>
      <c r="LU1252" s="22"/>
      <c r="LV1252" s="22"/>
      <c r="LW1252" s="22"/>
      <c r="LX1252" s="22"/>
      <c r="LY1252" s="22"/>
      <c r="LZ1252" s="22"/>
      <c r="MA1252" s="22"/>
      <c r="MB1252" s="22"/>
      <c r="MC1252" s="22"/>
      <c r="MD1252" s="22"/>
      <c r="ME1252" s="22"/>
      <c r="MF1252" s="22"/>
      <c r="MG1252" s="22"/>
      <c r="MH1252" s="22"/>
      <c r="MI1252" s="22"/>
      <c r="MJ1252" s="22"/>
      <c r="MK1252" s="22"/>
      <c r="ML1252" s="22"/>
      <c r="MM1252" s="22"/>
      <c r="MN1252" s="22"/>
      <c r="MO1252" s="22"/>
      <c r="MP1252" s="22"/>
      <c r="MQ1252" s="22"/>
      <c r="MR1252" s="22"/>
      <c r="MS1252" s="22"/>
      <c r="MT1252" s="22"/>
      <c r="MU1252" s="22"/>
      <c r="MV1252" s="22"/>
      <c r="MW1252" s="22"/>
      <c r="MX1252" s="22"/>
      <c r="MY1252" s="22"/>
      <c r="MZ1252" s="22"/>
      <c r="NA1252" s="22"/>
      <c r="NB1252" s="22"/>
      <c r="NC1252" s="22"/>
      <c r="ND1252" s="22"/>
      <c r="NE1252" s="22"/>
      <c r="NF1252" s="22"/>
      <c r="NG1252" s="22"/>
      <c r="NH1252" s="22"/>
      <c r="NI1252" s="22"/>
      <c r="NJ1252" s="22"/>
      <c r="NK1252" s="22"/>
      <c r="NL1252" s="22"/>
      <c r="NM1252" s="22"/>
      <c r="NN1252" s="22"/>
      <c r="NO1252" s="22"/>
      <c r="NP1252" s="22"/>
      <c r="NQ1252" s="22"/>
      <c r="NR1252" s="22"/>
      <c r="NS1252" s="22"/>
      <c r="NT1252" s="22"/>
      <c r="NU1252" s="22"/>
      <c r="NV1252" s="22"/>
      <c r="NW1252" s="22"/>
      <c r="NX1252" s="22"/>
      <c r="NY1252" s="22"/>
      <c r="NZ1252" s="22"/>
      <c r="OA1252" s="22"/>
      <c r="OB1252" s="22"/>
      <c r="OC1252" s="22"/>
      <c r="OD1252" s="22"/>
      <c r="OE1252" s="22"/>
      <c r="OF1252" s="22"/>
      <c r="OG1252" s="22"/>
      <c r="OH1252" s="22"/>
      <c r="OI1252" s="22"/>
      <c r="OJ1252" s="22"/>
      <c r="OK1252" s="22"/>
      <c r="OL1252" s="22"/>
      <c r="OM1252" s="22"/>
      <c r="ON1252" s="22"/>
      <c r="OO1252" s="22"/>
      <c r="OP1252" s="22"/>
      <c r="OQ1252" s="22"/>
      <c r="OR1252" s="22"/>
      <c r="OS1252" s="22"/>
      <c r="OT1252" s="22"/>
      <c r="OU1252" s="22"/>
      <c r="OV1252" s="22"/>
      <c r="OW1252" s="22"/>
      <c r="OX1252" s="22"/>
      <c r="OY1252" s="22"/>
      <c r="OZ1252" s="22"/>
      <c r="PA1252" s="22"/>
      <c r="PB1252" s="22"/>
      <c r="PC1252" s="22"/>
      <c r="PD1252" s="22"/>
      <c r="PE1252" s="22"/>
      <c r="PF1252" s="22"/>
      <c r="PG1252" s="22"/>
      <c r="PH1252" s="22"/>
      <c r="PI1252" s="22"/>
      <c r="PJ1252" s="22"/>
      <c r="PK1252" s="22"/>
      <c r="PL1252" s="22"/>
      <c r="PM1252" s="22"/>
      <c r="PN1252" s="22"/>
      <c r="PO1252" s="22"/>
      <c r="PP1252" s="22"/>
      <c r="PQ1252" s="22"/>
      <c r="PR1252" s="22"/>
      <c r="PS1252" s="22"/>
      <c r="PT1252" s="22"/>
      <c r="PU1252" s="22"/>
      <c r="PV1252" s="22"/>
      <c r="PW1252" s="22"/>
      <c r="PX1252" s="22"/>
      <c r="PY1252" s="22"/>
      <c r="PZ1252" s="22"/>
      <c r="QA1252" s="22"/>
      <c r="QB1252" s="22"/>
      <c r="QC1252" s="22"/>
      <c r="QD1252" s="22"/>
      <c r="QE1252" s="22"/>
      <c r="QF1252" s="22"/>
      <c r="QG1252" s="22"/>
      <c r="QH1252" s="22"/>
      <c r="QI1252" s="22"/>
      <c r="QJ1252" s="22"/>
      <c r="QK1252" s="22"/>
      <c r="QL1252" s="22"/>
      <c r="QM1252" s="22"/>
      <c r="QN1252" s="22"/>
      <c r="QO1252" s="22"/>
      <c r="QP1252" s="22"/>
      <c r="QQ1252" s="22"/>
      <c r="QR1252" s="22"/>
      <c r="QS1252" s="22"/>
      <c r="QT1252" s="22"/>
      <c r="QU1252" s="22"/>
      <c r="QV1252" s="22"/>
      <c r="QW1252" s="22"/>
      <c r="QX1252" s="22"/>
      <c r="QY1252" s="22"/>
      <c r="QZ1252" s="22"/>
      <c r="RA1252" s="22"/>
      <c r="RB1252" s="22"/>
      <c r="RC1252" s="22"/>
      <c r="RD1252" s="22"/>
      <c r="RE1252" s="22"/>
      <c r="RF1252" s="22"/>
      <c r="RG1252" s="22"/>
      <c r="RH1252" s="22"/>
      <c r="RI1252" s="22"/>
      <c r="RJ1252" s="22"/>
      <c r="RK1252" s="22"/>
      <c r="RL1252" s="22"/>
      <c r="RM1252" s="22"/>
      <c r="RN1252" s="22"/>
      <c r="RO1252" s="22"/>
      <c r="RP1252" s="22"/>
      <c r="RQ1252" s="22"/>
      <c r="RR1252" s="22"/>
      <c r="RS1252" s="22"/>
      <c r="RT1252" s="22"/>
      <c r="RU1252" s="22"/>
      <c r="RV1252" s="22"/>
      <c r="RW1252" s="22"/>
      <c r="RX1252" s="22"/>
      <c r="RY1252" s="22"/>
      <c r="RZ1252" s="22"/>
      <c r="SA1252" s="22"/>
      <c r="SB1252" s="22"/>
      <c r="SC1252" s="22"/>
      <c r="SD1252" s="22"/>
      <c r="SE1252" s="22"/>
      <c r="SF1252" s="22"/>
      <c r="SG1252" s="22"/>
      <c r="SH1252" s="22"/>
      <c r="SI1252" s="22"/>
      <c r="SJ1252" s="22"/>
      <c r="SK1252" s="22"/>
      <c r="SL1252" s="22"/>
      <c r="SM1252" s="22"/>
      <c r="SN1252" s="22"/>
      <c r="SO1252" s="22"/>
      <c r="SP1252" s="22"/>
      <c r="SQ1252" s="22"/>
      <c r="SR1252" s="22"/>
      <c r="SS1252" s="22"/>
      <c r="ST1252" s="22"/>
      <c r="SU1252" s="22"/>
      <c r="SV1252" s="22"/>
      <c r="SW1252" s="22"/>
      <c r="SX1252" s="22"/>
      <c r="SY1252" s="22"/>
      <c r="SZ1252" s="22"/>
      <c r="TA1252" s="22"/>
      <c r="TB1252" s="22"/>
      <c r="TC1252" s="22"/>
      <c r="TD1252" s="22"/>
      <c r="TE1252" s="22"/>
      <c r="TF1252" s="22"/>
      <c r="TG1252" s="22"/>
      <c r="TH1252" s="22"/>
      <c r="TI1252" s="22"/>
      <c r="TJ1252" s="22"/>
      <c r="TK1252" s="22"/>
      <c r="TL1252" s="22"/>
      <c r="TM1252" s="22"/>
      <c r="TN1252" s="22"/>
      <c r="TO1252" s="22"/>
      <c r="TP1252" s="22"/>
      <c r="TQ1252" s="22"/>
      <c r="TR1252" s="22"/>
      <c r="TS1252" s="22"/>
      <c r="TT1252" s="22"/>
      <c r="TU1252" s="22"/>
      <c r="TV1252" s="22"/>
      <c r="TW1252" s="22"/>
      <c r="TX1252" s="22"/>
      <c r="TY1252" s="22"/>
      <c r="TZ1252" s="22"/>
      <c r="UA1252" s="22"/>
      <c r="UB1252" s="22"/>
      <c r="UC1252" s="22"/>
      <c r="UD1252" s="22"/>
      <c r="UE1252" s="22"/>
      <c r="UF1252" s="22"/>
      <c r="UG1252" s="23"/>
    </row>
    <row r="1253" spans="1:553" ht="42.75" customHeight="1">
      <c r="A1253" s="366"/>
      <c r="B1253" s="496" t="s">
        <v>689</v>
      </c>
      <c r="C1253" s="1388" t="s">
        <v>690</v>
      </c>
      <c r="D1253" s="1389"/>
      <c r="E1253" s="1389"/>
      <c r="F1253" s="1390"/>
      <c r="G1253" s="366" t="s">
        <v>33</v>
      </c>
      <c r="H1253" s="370"/>
      <c r="I1253" s="834">
        <f>-5.1*11.3</f>
        <v>-57.63</v>
      </c>
      <c r="J1253" s="368">
        <f>185000-137200</f>
        <v>47800</v>
      </c>
      <c r="K1253" s="371"/>
      <c r="L1253" s="487">
        <f t="shared" si="189"/>
        <v>-2754714</v>
      </c>
      <c r="M1253" s="366"/>
      <c r="N1253" s="366"/>
      <c r="O1253" s="366"/>
      <c r="P1253" s="366"/>
      <c r="Q1253" s="812"/>
      <c r="R1253" s="1226"/>
      <c r="S1253" s="308"/>
      <c r="T1253" s="308"/>
      <c r="U1253" s="308"/>
      <c r="V1253" s="308"/>
      <c r="W1253" s="308"/>
      <c r="X1253" s="308"/>
      <c r="Y1253" s="308"/>
      <c r="Z1253" s="604"/>
      <c r="AA1253" s="308"/>
      <c r="AB1253" s="308"/>
      <c r="AC1253" s="373"/>
      <c r="AD1253" s="373"/>
      <c r="AE1253" s="373"/>
      <c r="AF1253" s="373"/>
      <c r="AG1253" s="373"/>
      <c r="AH1253" s="373"/>
      <c r="AI1253" s="373"/>
      <c r="AJ1253" s="373"/>
      <c r="AK1253" s="389"/>
      <c r="AL1253" s="100"/>
      <c r="AM1253" s="27"/>
      <c r="AN1253" s="27"/>
      <c r="AO1253" s="27"/>
      <c r="AP1253" s="27"/>
      <c r="AQ1253" s="27"/>
      <c r="AR1253" s="27"/>
      <c r="AS1253" s="22"/>
      <c r="AT1253" s="22"/>
      <c r="AU1253" s="22"/>
      <c r="AV1253" s="22"/>
      <c r="AW1253" s="22"/>
      <c r="AX1253" s="22"/>
      <c r="AY1253" s="22"/>
      <c r="AZ1253" s="22"/>
      <c r="BA1253" s="22"/>
      <c r="BB1253" s="22"/>
      <c r="BC1253" s="22"/>
      <c r="BD1253" s="22"/>
      <c r="BE1253" s="22"/>
      <c r="BF1253" s="22"/>
      <c r="BG1253" s="22"/>
      <c r="BH1253" s="22"/>
      <c r="BI1253" s="22"/>
      <c r="BJ1253" s="22"/>
      <c r="BK1253" s="22"/>
      <c r="BL1253" s="22"/>
      <c r="BM1253" s="22"/>
      <c r="BN1253" s="22"/>
      <c r="BO1253" s="22"/>
      <c r="BP1253" s="22"/>
      <c r="BQ1253" s="22"/>
      <c r="BR1253" s="22"/>
      <c r="BS1253" s="22"/>
      <c r="BT1253" s="22"/>
      <c r="BU1253" s="22"/>
      <c r="BV1253" s="22"/>
      <c r="BW1253" s="22"/>
      <c r="BX1253" s="22"/>
      <c r="BY1253" s="22"/>
      <c r="BZ1253" s="22"/>
      <c r="CA1253" s="22"/>
      <c r="CB1253" s="22"/>
      <c r="CC1253" s="22"/>
      <c r="CD1253" s="22"/>
      <c r="CE1253" s="22"/>
      <c r="CF1253" s="22"/>
      <c r="CG1253" s="22"/>
      <c r="CH1253" s="22"/>
      <c r="CI1253" s="22"/>
      <c r="CJ1253" s="22"/>
      <c r="CK1253" s="22"/>
      <c r="CL1253" s="22"/>
      <c r="CM1253" s="22"/>
      <c r="CN1253" s="22"/>
      <c r="CO1253" s="22"/>
      <c r="CP1253" s="22"/>
      <c r="CQ1253" s="22"/>
      <c r="CR1253" s="22"/>
      <c r="CS1253" s="22"/>
      <c r="CT1253" s="22"/>
      <c r="CU1253" s="22"/>
      <c r="CV1253" s="22"/>
      <c r="CW1253" s="22"/>
      <c r="CX1253" s="22"/>
      <c r="CY1253" s="22"/>
      <c r="CZ1253" s="22"/>
      <c r="DA1253" s="22"/>
      <c r="DB1253" s="22"/>
      <c r="DC1253" s="22"/>
      <c r="DD1253" s="22"/>
      <c r="DE1253" s="22"/>
      <c r="DF1253" s="22"/>
      <c r="DG1253" s="22"/>
      <c r="DH1253" s="22"/>
      <c r="DI1253" s="22"/>
      <c r="DJ1253" s="22"/>
      <c r="DK1253" s="22"/>
      <c r="DL1253" s="22"/>
      <c r="DM1253" s="22"/>
      <c r="DN1253" s="22"/>
      <c r="DO1253" s="22"/>
      <c r="DP1253" s="22"/>
      <c r="DQ1253" s="22"/>
      <c r="DR1253" s="22"/>
      <c r="DS1253" s="22"/>
      <c r="DT1253" s="22"/>
      <c r="DU1253" s="22"/>
      <c r="DV1253" s="22"/>
      <c r="DW1253" s="22"/>
      <c r="DX1253" s="22"/>
      <c r="DY1253" s="22"/>
      <c r="DZ1253" s="22"/>
      <c r="EA1253" s="22"/>
      <c r="EB1253" s="22"/>
      <c r="EC1253" s="22"/>
      <c r="ED1253" s="22"/>
      <c r="EE1253" s="22"/>
      <c r="EF1253" s="22"/>
      <c r="EG1253" s="22"/>
      <c r="EH1253" s="22"/>
      <c r="EI1253" s="22"/>
      <c r="EJ1253" s="22"/>
      <c r="EK1253" s="22"/>
      <c r="EL1253" s="22"/>
      <c r="EM1253" s="22"/>
      <c r="EN1253" s="22"/>
      <c r="EO1253" s="22"/>
      <c r="EP1253" s="22"/>
      <c r="EQ1253" s="22"/>
      <c r="ER1253" s="22"/>
      <c r="ES1253" s="22"/>
      <c r="ET1253" s="22"/>
      <c r="EU1253" s="22"/>
      <c r="EV1253" s="22"/>
      <c r="EW1253" s="22"/>
      <c r="EX1253" s="22"/>
      <c r="EY1253" s="22"/>
      <c r="EZ1253" s="22"/>
      <c r="FA1253" s="22"/>
      <c r="FB1253" s="22"/>
      <c r="FC1253" s="22"/>
      <c r="FD1253" s="22"/>
      <c r="FE1253" s="22"/>
      <c r="FF1253" s="22"/>
      <c r="FG1253" s="22"/>
      <c r="FH1253" s="22"/>
      <c r="FI1253" s="22"/>
      <c r="FJ1253" s="22"/>
      <c r="FK1253" s="22"/>
      <c r="FL1253" s="22"/>
      <c r="FM1253" s="22"/>
      <c r="FN1253" s="22"/>
      <c r="FO1253" s="22"/>
      <c r="FP1253" s="22"/>
      <c r="FQ1253" s="22"/>
      <c r="FR1253" s="22"/>
      <c r="FS1253" s="22"/>
      <c r="FT1253" s="22"/>
      <c r="FU1253" s="22"/>
      <c r="FV1253" s="22"/>
      <c r="FW1253" s="22"/>
      <c r="FX1253" s="22"/>
      <c r="FY1253" s="22"/>
      <c r="FZ1253" s="22"/>
      <c r="GA1253" s="22"/>
      <c r="GB1253" s="22"/>
      <c r="GC1253" s="22"/>
      <c r="GD1253" s="22"/>
      <c r="GE1253" s="22"/>
      <c r="GF1253" s="22"/>
      <c r="GG1253" s="22"/>
      <c r="GH1253" s="22"/>
      <c r="GI1253" s="22"/>
      <c r="GJ1253" s="22"/>
      <c r="GK1253" s="22"/>
      <c r="GL1253" s="22"/>
      <c r="GM1253" s="22"/>
      <c r="GN1253" s="22"/>
      <c r="GO1253" s="22"/>
      <c r="GP1253" s="22"/>
      <c r="GQ1253" s="22"/>
      <c r="GR1253" s="22"/>
      <c r="GS1253" s="22"/>
      <c r="GT1253" s="22"/>
      <c r="GU1253" s="22"/>
      <c r="GV1253" s="22"/>
      <c r="GW1253" s="22"/>
      <c r="GX1253" s="22"/>
      <c r="GY1253" s="22"/>
      <c r="GZ1253" s="22"/>
      <c r="HA1253" s="22"/>
      <c r="HB1253" s="22"/>
      <c r="HC1253" s="22"/>
      <c r="HD1253" s="22"/>
      <c r="HE1253" s="22"/>
      <c r="HF1253" s="22"/>
      <c r="HG1253" s="22"/>
      <c r="HH1253" s="22"/>
      <c r="HI1253" s="22"/>
      <c r="HJ1253" s="22"/>
      <c r="HK1253" s="22"/>
      <c r="HL1253" s="22"/>
      <c r="HM1253" s="22"/>
      <c r="HN1253" s="22"/>
      <c r="HO1253" s="22"/>
      <c r="HP1253" s="22"/>
      <c r="HQ1253" s="22"/>
      <c r="HR1253" s="22"/>
      <c r="HS1253" s="22"/>
      <c r="HT1253" s="22"/>
      <c r="HU1253" s="22"/>
      <c r="HV1253" s="22"/>
      <c r="HW1253" s="22"/>
      <c r="HX1253" s="22"/>
      <c r="HY1253" s="22"/>
      <c r="HZ1253" s="22"/>
      <c r="IA1253" s="22"/>
      <c r="IB1253" s="22"/>
      <c r="IC1253" s="22"/>
      <c r="ID1253" s="22"/>
      <c r="IE1253" s="22"/>
      <c r="IF1253" s="22"/>
      <c r="IG1253" s="22"/>
      <c r="IH1253" s="22"/>
      <c r="II1253" s="22"/>
      <c r="IJ1253" s="22"/>
      <c r="IK1253" s="22"/>
      <c r="IL1253" s="22"/>
      <c r="IM1253" s="22"/>
      <c r="IN1253" s="22"/>
      <c r="IO1253" s="22"/>
      <c r="IP1253" s="22"/>
      <c r="IQ1253" s="22"/>
      <c r="IR1253" s="22"/>
      <c r="IS1253" s="22"/>
      <c r="IT1253" s="22"/>
      <c r="IU1253" s="22"/>
      <c r="IV1253" s="22"/>
      <c r="IW1253" s="22"/>
      <c r="IX1253" s="22"/>
      <c r="IY1253" s="22"/>
      <c r="IZ1253" s="22"/>
      <c r="JA1253" s="22"/>
      <c r="JB1253" s="22"/>
      <c r="JC1253" s="22"/>
      <c r="JD1253" s="22"/>
      <c r="JE1253" s="22"/>
      <c r="JF1253" s="22"/>
      <c r="JG1253" s="22"/>
      <c r="JH1253" s="22"/>
      <c r="JI1253" s="22"/>
      <c r="JJ1253" s="22"/>
      <c r="JK1253" s="22"/>
      <c r="JL1253" s="22"/>
      <c r="JM1253" s="22"/>
      <c r="JN1253" s="22"/>
      <c r="JO1253" s="22"/>
      <c r="JP1253" s="22"/>
      <c r="JQ1253" s="22"/>
      <c r="JR1253" s="22"/>
      <c r="JS1253" s="22"/>
      <c r="JT1253" s="22"/>
      <c r="JU1253" s="22"/>
      <c r="JV1253" s="22"/>
      <c r="JW1253" s="22"/>
      <c r="JX1253" s="22"/>
      <c r="JY1253" s="22"/>
      <c r="JZ1253" s="22"/>
      <c r="KA1253" s="22"/>
      <c r="KB1253" s="22"/>
      <c r="KC1253" s="22"/>
      <c r="KD1253" s="22"/>
      <c r="KE1253" s="22"/>
      <c r="KF1253" s="22"/>
      <c r="KG1253" s="22"/>
      <c r="KH1253" s="22"/>
      <c r="KI1253" s="22"/>
      <c r="KJ1253" s="22"/>
      <c r="KK1253" s="22"/>
      <c r="KL1253" s="22"/>
      <c r="KM1253" s="22"/>
      <c r="KN1253" s="22"/>
      <c r="KO1253" s="22"/>
      <c r="KP1253" s="22"/>
      <c r="KQ1253" s="22"/>
      <c r="KR1253" s="22"/>
      <c r="KS1253" s="22"/>
      <c r="KT1253" s="22"/>
      <c r="KU1253" s="22"/>
      <c r="KV1253" s="22"/>
      <c r="KW1253" s="22"/>
      <c r="KX1253" s="22"/>
      <c r="KY1253" s="22"/>
      <c r="KZ1253" s="22"/>
      <c r="LA1253" s="22"/>
      <c r="LB1253" s="22"/>
      <c r="LC1253" s="22"/>
      <c r="LD1253" s="22"/>
      <c r="LE1253" s="22"/>
      <c r="LF1253" s="22"/>
      <c r="LG1253" s="22"/>
      <c r="LH1253" s="22"/>
      <c r="LI1253" s="22"/>
      <c r="LJ1253" s="22"/>
      <c r="LK1253" s="22"/>
      <c r="LL1253" s="22"/>
      <c r="LM1253" s="22"/>
      <c r="LN1253" s="22"/>
      <c r="LO1253" s="22"/>
      <c r="LP1253" s="22"/>
      <c r="LQ1253" s="22"/>
      <c r="LR1253" s="22"/>
      <c r="LS1253" s="22"/>
      <c r="LT1253" s="22"/>
      <c r="LU1253" s="22"/>
      <c r="LV1253" s="22"/>
      <c r="LW1253" s="22"/>
      <c r="LX1253" s="22"/>
      <c r="LY1253" s="22"/>
      <c r="LZ1253" s="22"/>
      <c r="MA1253" s="22"/>
      <c r="MB1253" s="22"/>
      <c r="MC1253" s="22"/>
      <c r="MD1253" s="22"/>
      <c r="ME1253" s="22"/>
      <c r="MF1253" s="22"/>
      <c r="MG1253" s="22"/>
      <c r="MH1253" s="22"/>
      <c r="MI1253" s="22"/>
      <c r="MJ1253" s="22"/>
      <c r="MK1253" s="22"/>
      <c r="ML1253" s="22"/>
      <c r="MM1253" s="22"/>
      <c r="MN1253" s="22"/>
      <c r="MO1253" s="22"/>
      <c r="MP1253" s="22"/>
      <c r="MQ1253" s="22"/>
      <c r="MR1253" s="22"/>
      <c r="MS1253" s="22"/>
      <c r="MT1253" s="22"/>
      <c r="MU1253" s="22"/>
      <c r="MV1253" s="22"/>
      <c r="MW1253" s="22"/>
      <c r="MX1253" s="22"/>
      <c r="MY1253" s="22"/>
      <c r="MZ1253" s="22"/>
      <c r="NA1253" s="22"/>
      <c r="NB1253" s="22"/>
      <c r="NC1253" s="22"/>
      <c r="ND1253" s="22"/>
      <c r="NE1253" s="22"/>
      <c r="NF1253" s="22"/>
      <c r="NG1253" s="22"/>
      <c r="NH1253" s="22"/>
      <c r="NI1253" s="22"/>
      <c r="NJ1253" s="22"/>
      <c r="NK1253" s="22"/>
      <c r="NL1253" s="22"/>
      <c r="NM1253" s="22"/>
      <c r="NN1253" s="22"/>
      <c r="NO1253" s="22"/>
      <c r="NP1253" s="22"/>
      <c r="NQ1253" s="22"/>
      <c r="NR1253" s="22"/>
      <c r="NS1253" s="22"/>
      <c r="NT1253" s="22"/>
      <c r="NU1253" s="22"/>
      <c r="NV1253" s="22"/>
      <c r="NW1253" s="22"/>
      <c r="NX1253" s="22"/>
      <c r="NY1253" s="22"/>
      <c r="NZ1253" s="22"/>
      <c r="OA1253" s="22"/>
      <c r="OB1253" s="22"/>
      <c r="OC1253" s="22"/>
      <c r="OD1253" s="22"/>
      <c r="OE1253" s="22"/>
      <c r="OF1253" s="22"/>
      <c r="OG1253" s="22"/>
      <c r="OH1253" s="22"/>
      <c r="OI1253" s="22"/>
      <c r="OJ1253" s="22"/>
      <c r="OK1253" s="22"/>
      <c r="OL1253" s="22"/>
      <c r="OM1253" s="22"/>
      <c r="ON1253" s="22"/>
      <c r="OO1253" s="22"/>
      <c r="OP1253" s="22"/>
      <c r="OQ1253" s="22"/>
      <c r="OR1253" s="22"/>
      <c r="OS1253" s="22"/>
      <c r="OT1253" s="22"/>
      <c r="OU1253" s="22"/>
      <c r="OV1253" s="22"/>
      <c r="OW1253" s="22"/>
      <c r="OX1253" s="22"/>
      <c r="OY1253" s="22"/>
      <c r="OZ1253" s="22"/>
      <c r="PA1253" s="22"/>
      <c r="PB1253" s="22"/>
      <c r="PC1253" s="22"/>
      <c r="PD1253" s="22"/>
      <c r="PE1253" s="22"/>
      <c r="PF1253" s="22"/>
      <c r="PG1253" s="22"/>
      <c r="PH1253" s="22"/>
      <c r="PI1253" s="22"/>
      <c r="PJ1253" s="22"/>
      <c r="PK1253" s="22"/>
      <c r="PL1253" s="22"/>
      <c r="PM1253" s="22"/>
      <c r="PN1253" s="22"/>
      <c r="PO1253" s="22"/>
      <c r="PP1253" s="22"/>
      <c r="PQ1253" s="22"/>
      <c r="PR1253" s="22"/>
      <c r="PS1253" s="22"/>
      <c r="PT1253" s="22"/>
      <c r="PU1253" s="22"/>
      <c r="PV1253" s="22"/>
      <c r="PW1253" s="22"/>
      <c r="PX1253" s="22"/>
      <c r="PY1253" s="22"/>
      <c r="PZ1253" s="22"/>
      <c r="QA1253" s="22"/>
      <c r="QB1253" s="22"/>
      <c r="QC1253" s="22"/>
      <c r="QD1253" s="22"/>
      <c r="QE1253" s="22"/>
      <c r="QF1253" s="22"/>
      <c r="QG1253" s="22"/>
      <c r="QH1253" s="22"/>
      <c r="QI1253" s="22"/>
      <c r="QJ1253" s="22"/>
      <c r="QK1253" s="22"/>
      <c r="QL1253" s="22"/>
      <c r="QM1253" s="22"/>
      <c r="QN1253" s="22"/>
      <c r="QO1253" s="22"/>
      <c r="QP1253" s="22"/>
      <c r="QQ1253" s="22"/>
      <c r="QR1253" s="22"/>
      <c r="QS1253" s="22"/>
      <c r="QT1253" s="22"/>
      <c r="QU1253" s="22"/>
      <c r="QV1253" s="22"/>
      <c r="QW1253" s="22"/>
      <c r="QX1253" s="22"/>
      <c r="QY1253" s="22"/>
      <c r="QZ1253" s="22"/>
      <c r="RA1253" s="22"/>
      <c r="RB1253" s="22"/>
      <c r="RC1253" s="22"/>
      <c r="RD1253" s="22"/>
      <c r="RE1253" s="22"/>
      <c r="RF1253" s="22"/>
      <c r="RG1253" s="22"/>
      <c r="RH1253" s="22"/>
      <c r="RI1253" s="22"/>
      <c r="RJ1253" s="22"/>
      <c r="RK1253" s="22"/>
      <c r="RL1253" s="22"/>
      <c r="RM1253" s="22"/>
      <c r="RN1253" s="22"/>
      <c r="RO1253" s="22"/>
      <c r="RP1253" s="22"/>
      <c r="RQ1253" s="22"/>
      <c r="RR1253" s="22"/>
      <c r="RS1253" s="22"/>
      <c r="RT1253" s="22"/>
      <c r="RU1253" s="22"/>
      <c r="RV1253" s="22"/>
      <c r="RW1253" s="22"/>
      <c r="RX1253" s="22"/>
      <c r="RY1253" s="22"/>
      <c r="RZ1253" s="22"/>
      <c r="SA1253" s="22"/>
      <c r="SB1253" s="22"/>
      <c r="SC1253" s="22"/>
      <c r="SD1253" s="22"/>
      <c r="SE1253" s="22"/>
      <c r="SF1253" s="22"/>
      <c r="SG1253" s="22"/>
      <c r="SH1253" s="22"/>
      <c r="SI1253" s="22"/>
      <c r="SJ1253" s="22"/>
      <c r="SK1253" s="22"/>
      <c r="SL1253" s="22"/>
      <c r="SM1253" s="22"/>
      <c r="SN1253" s="22"/>
      <c r="SO1253" s="22"/>
      <c r="SP1253" s="22"/>
      <c r="SQ1253" s="22"/>
      <c r="SR1253" s="22"/>
      <c r="SS1253" s="22"/>
      <c r="ST1253" s="22"/>
      <c r="SU1253" s="22"/>
      <c r="SV1253" s="22"/>
      <c r="SW1253" s="22"/>
      <c r="SX1253" s="22"/>
      <c r="SY1253" s="22"/>
      <c r="SZ1253" s="22"/>
      <c r="TA1253" s="22"/>
      <c r="TB1253" s="22"/>
      <c r="TC1253" s="22"/>
      <c r="TD1253" s="22"/>
      <c r="TE1253" s="22"/>
      <c r="TF1253" s="22"/>
      <c r="TG1253" s="22"/>
      <c r="TH1253" s="22"/>
      <c r="TI1253" s="22"/>
      <c r="TJ1253" s="22"/>
      <c r="TK1253" s="22"/>
      <c r="TL1253" s="22"/>
      <c r="TM1253" s="22"/>
      <c r="TN1253" s="22"/>
      <c r="TO1253" s="22"/>
      <c r="TP1253" s="22"/>
      <c r="TQ1253" s="22"/>
      <c r="TR1253" s="22"/>
      <c r="TS1253" s="22"/>
      <c r="TT1253" s="22"/>
      <c r="TU1253" s="22"/>
      <c r="TV1253" s="22"/>
      <c r="TW1253" s="22"/>
      <c r="TX1253" s="22"/>
      <c r="TY1253" s="22"/>
      <c r="TZ1253" s="22"/>
      <c r="UA1253" s="22"/>
      <c r="UB1253" s="22"/>
      <c r="UC1253" s="22"/>
      <c r="UD1253" s="22"/>
      <c r="UE1253" s="22"/>
      <c r="UF1253" s="22"/>
      <c r="UG1253" s="23"/>
    </row>
    <row r="1254" spans="1:553" ht="42.75" customHeight="1">
      <c r="A1254" s="356"/>
      <c r="B1254" s="366" t="s">
        <v>31</v>
      </c>
      <c r="C1254" s="1388" t="s">
        <v>1027</v>
      </c>
      <c r="D1254" s="1389"/>
      <c r="E1254" s="1389"/>
      <c r="F1254" s="1390"/>
      <c r="G1254" s="366" t="s">
        <v>34</v>
      </c>
      <c r="H1254" s="370"/>
      <c r="I1254" s="834">
        <f>-(5.7*3.7)*2*0.11</f>
        <v>-4.639800000000001</v>
      </c>
      <c r="J1254" s="368">
        <v>1913917</v>
      </c>
      <c r="K1254" s="371"/>
      <c r="L1254" s="487">
        <f t="shared" si="189"/>
        <v>-8880192.0966000017</v>
      </c>
      <c r="M1254" s="356"/>
      <c r="N1254" s="356"/>
      <c r="O1254" s="356"/>
      <c r="P1254" s="356"/>
      <c r="Q1254" s="610"/>
      <c r="R1254" s="1226"/>
      <c r="S1254" s="308"/>
      <c r="T1254" s="308"/>
      <c r="U1254" s="308"/>
      <c r="V1254" s="308"/>
      <c r="W1254" s="308"/>
      <c r="X1254" s="308"/>
      <c r="Y1254" s="308"/>
      <c r="Z1254" s="604"/>
      <c r="AA1254" s="308"/>
      <c r="AB1254" s="308"/>
      <c r="AC1254" s="373"/>
      <c r="AD1254" s="373"/>
      <c r="AE1254" s="373"/>
      <c r="AF1254" s="373"/>
      <c r="AG1254" s="373"/>
      <c r="AH1254" s="373"/>
      <c r="AI1254" s="373"/>
      <c r="AJ1254" s="373"/>
      <c r="AK1254" s="389"/>
      <c r="AL1254" s="100"/>
      <c r="AM1254" s="27"/>
      <c r="AN1254" s="27"/>
      <c r="AO1254" s="27"/>
      <c r="AP1254" s="27"/>
      <c r="AQ1254" s="27"/>
      <c r="AR1254" s="27"/>
      <c r="AS1254" s="22"/>
      <c r="AT1254" s="22"/>
      <c r="AU1254" s="22"/>
      <c r="AV1254" s="22"/>
      <c r="AW1254" s="22"/>
      <c r="AX1254" s="22"/>
      <c r="AY1254" s="22"/>
      <c r="AZ1254" s="22"/>
      <c r="BA1254" s="22"/>
      <c r="BB1254" s="22"/>
      <c r="BC1254" s="22"/>
      <c r="BD1254" s="22"/>
      <c r="BE1254" s="22"/>
      <c r="BF1254" s="22"/>
      <c r="BG1254" s="22"/>
      <c r="BH1254" s="22"/>
      <c r="BI1254" s="22"/>
      <c r="BJ1254" s="22"/>
      <c r="BK1254" s="22"/>
      <c r="BL1254" s="22"/>
      <c r="BM1254" s="22"/>
      <c r="BN1254" s="22"/>
      <c r="BO1254" s="22"/>
      <c r="BP1254" s="22"/>
      <c r="BQ1254" s="22"/>
      <c r="BR1254" s="22"/>
      <c r="BS1254" s="22"/>
      <c r="BT1254" s="22"/>
      <c r="BU1254" s="22"/>
      <c r="BV1254" s="22"/>
      <c r="BW1254" s="22"/>
      <c r="BX1254" s="22"/>
      <c r="BY1254" s="22"/>
      <c r="BZ1254" s="22"/>
      <c r="CA1254" s="22"/>
      <c r="CB1254" s="22"/>
      <c r="CC1254" s="22"/>
      <c r="CD1254" s="22"/>
      <c r="CE1254" s="22"/>
      <c r="CF1254" s="22"/>
      <c r="CG1254" s="22"/>
      <c r="CH1254" s="22"/>
      <c r="CI1254" s="22"/>
      <c r="CJ1254" s="22"/>
      <c r="CK1254" s="22"/>
      <c r="CL1254" s="22"/>
      <c r="CM1254" s="22"/>
      <c r="CN1254" s="22"/>
      <c r="CO1254" s="22"/>
      <c r="CP1254" s="22"/>
      <c r="CQ1254" s="22"/>
      <c r="CR1254" s="22"/>
      <c r="CS1254" s="22"/>
      <c r="CT1254" s="22"/>
      <c r="CU1254" s="22"/>
      <c r="CV1254" s="22"/>
      <c r="CW1254" s="22"/>
      <c r="CX1254" s="22"/>
      <c r="CY1254" s="22"/>
      <c r="CZ1254" s="22"/>
      <c r="DA1254" s="22"/>
      <c r="DB1254" s="22"/>
      <c r="DC1254" s="22"/>
      <c r="DD1254" s="22"/>
      <c r="DE1254" s="22"/>
      <c r="DF1254" s="22"/>
      <c r="DG1254" s="22"/>
      <c r="DH1254" s="22"/>
      <c r="DI1254" s="22"/>
      <c r="DJ1254" s="22"/>
      <c r="DK1254" s="22"/>
      <c r="DL1254" s="22"/>
      <c r="DM1254" s="22"/>
      <c r="DN1254" s="22"/>
      <c r="DO1254" s="22"/>
      <c r="DP1254" s="22"/>
      <c r="DQ1254" s="22"/>
      <c r="DR1254" s="22"/>
      <c r="DS1254" s="22"/>
      <c r="DT1254" s="22"/>
      <c r="DU1254" s="22"/>
      <c r="DV1254" s="22"/>
      <c r="DW1254" s="22"/>
      <c r="DX1254" s="22"/>
      <c r="DY1254" s="22"/>
      <c r="DZ1254" s="22"/>
      <c r="EA1254" s="22"/>
      <c r="EB1254" s="22"/>
      <c r="EC1254" s="22"/>
      <c r="ED1254" s="22"/>
      <c r="EE1254" s="22"/>
      <c r="EF1254" s="22"/>
      <c r="EG1254" s="22"/>
      <c r="EH1254" s="22"/>
      <c r="EI1254" s="22"/>
      <c r="EJ1254" s="22"/>
      <c r="EK1254" s="22"/>
      <c r="EL1254" s="22"/>
      <c r="EM1254" s="22"/>
      <c r="EN1254" s="22"/>
      <c r="EO1254" s="22"/>
      <c r="EP1254" s="22"/>
      <c r="EQ1254" s="22"/>
      <c r="ER1254" s="22"/>
      <c r="ES1254" s="22"/>
      <c r="ET1254" s="22"/>
      <c r="EU1254" s="22"/>
      <c r="EV1254" s="22"/>
      <c r="EW1254" s="22"/>
      <c r="EX1254" s="22"/>
      <c r="EY1254" s="22"/>
      <c r="EZ1254" s="22"/>
      <c r="FA1254" s="22"/>
      <c r="FB1254" s="22"/>
      <c r="FC1254" s="22"/>
      <c r="FD1254" s="22"/>
      <c r="FE1254" s="22"/>
      <c r="FF1254" s="22"/>
      <c r="FG1254" s="22"/>
      <c r="FH1254" s="22"/>
      <c r="FI1254" s="22"/>
      <c r="FJ1254" s="22"/>
      <c r="FK1254" s="22"/>
      <c r="FL1254" s="22"/>
      <c r="FM1254" s="22"/>
      <c r="FN1254" s="22"/>
      <c r="FO1254" s="22"/>
      <c r="FP1254" s="22"/>
      <c r="FQ1254" s="22"/>
      <c r="FR1254" s="22"/>
      <c r="FS1254" s="22"/>
      <c r="FT1254" s="22"/>
      <c r="FU1254" s="22"/>
      <c r="FV1254" s="22"/>
      <c r="FW1254" s="22"/>
      <c r="FX1254" s="22"/>
      <c r="FY1254" s="22"/>
      <c r="FZ1254" s="22"/>
      <c r="GA1254" s="22"/>
      <c r="GB1254" s="22"/>
      <c r="GC1254" s="22"/>
      <c r="GD1254" s="22"/>
      <c r="GE1254" s="22"/>
      <c r="GF1254" s="22"/>
      <c r="GG1254" s="22"/>
      <c r="GH1254" s="22"/>
      <c r="GI1254" s="22"/>
      <c r="GJ1254" s="22"/>
      <c r="GK1254" s="22"/>
      <c r="GL1254" s="22"/>
      <c r="GM1254" s="22"/>
      <c r="GN1254" s="22"/>
      <c r="GO1254" s="22"/>
      <c r="GP1254" s="22"/>
      <c r="GQ1254" s="22"/>
      <c r="GR1254" s="22"/>
      <c r="GS1254" s="22"/>
      <c r="GT1254" s="22"/>
      <c r="GU1254" s="22"/>
      <c r="GV1254" s="22"/>
      <c r="GW1254" s="22"/>
      <c r="GX1254" s="22"/>
      <c r="GY1254" s="22"/>
      <c r="GZ1254" s="22"/>
      <c r="HA1254" s="22"/>
      <c r="HB1254" s="22"/>
      <c r="HC1254" s="22"/>
      <c r="HD1254" s="22"/>
      <c r="HE1254" s="22"/>
      <c r="HF1254" s="22"/>
      <c r="HG1254" s="22"/>
      <c r="HH1254" s="22"/>
      <c r="HI1254" s="22"/>
      <c r="HJ1254" s="22"/>
      <c r="HK1254" s="22"/>
      <c r="HL1254" s="22"/>
      <c r="HM1254" s="22"/>
      <c r="HN1254" s="22"/>
      <c r="HO1254" s="22"/>
      <c r="HP1254" s="22"/>
      <c r="HQ1254" s="22"/>
      <c r="HR1254" s="22"/>
      <c r="HS1254" s="22"/>
      <c r="HT1254" s="22"/>
      <c r="HU1254" s="22"/>
      <c r="HV1254" s="22"/>
      <c r="HW1254" s="22"/>
      <c r="HX1254" s="22"/>
      <c r="HY1254" s="22"/>
      <c r="HZ1254" s="22"/>
      <c r="IA1254" s="22"/>
      <c r="IB1254" s="22"/>
      <c r="IC1254" s="22"/>
      <c r="ID1254" s="22"/>
      <c r="IE1254" s="22"/>
      <c r="IF1254" s="22"/>
      <c r="IG1254" s="22"/>
      <c r="IH1254" s="22"/>
      <c r="II1254" s="22"/>
      <c r="IJ1254" s="22"/>
      <c r="IK1254" s="22"/>
      <c r="IL1254" s="22"/>
      <c r="IM1254" s="22"/>
      <c r="IN1254" s="22"/>
      <c r="IO1254" s="22"/>
      <c r="IP1254" s="22"/>
      <c r="IQ1254" s="22"/>
      <c r="IR1254" s="22"/>
      <c r="IS1254" s="22"/>
      <c r="IT1254" s="22"/>
      <c r="IU1254" s="22"/>
      <c r="IV1254" s="22"/>
      <c r="IW1254" s="22"/>
      <c r="IX1254" s="22"/>
      <c r="IY1254" s="22"/>
      <c r="IZ1254" s="22"/>
      <c r="JA1254" s="22"/>
      <c r="JB1254" s="22"/>
      <c r="JC1254" s="22"/>
      <c r="JD1254" s="22"/>
      <c r="JE1254" s="22"/>
      <c r="JF1254" s="22"/>
      <c r="JG1254" s="22"/>
      <c r="JH1254" s="22"/>
      <c r="JI1254" s="22"/>
      <c r="JJ1254" s="22"/>
      <c r="JK1254" s="22"/>
      <c r="JL1254" s="22"/>
      <c r="JM1254" s="22"/>
      <c r="JN1254" s="22"/>
      <c r="JO1254" s="22"/>
      <c r="JP1254" s="22"/>
      <c r="JQ1254" s="22"/>
      <c r="JR1254" s="22"/>
      <c r="JS1254" s="22"/>
      <c r="JT1254" s="22"/>
      <c r="JU1254" s="22"/>
      <c r="JV1254" s="22"/>
      <c r="JW1254" s="22"/>
      <c r="JX1254" s="22"/>
      <c r="JY1254" s="22"/>
      <c r="JZ1254" s="22"/>
      <c r="KA1254" s="22"/>
      <c r="KB1254" s="22"/>
      <c r="KC1254" s="22"/>
      <c r="KD1254" s="22"/>
      <c r="KE1254" s="22"/>
      <c r="KF1254" s="22"/>
      <c r="KG1254" s="22"/>
      <c r="KH1254" s="22"/>
      <c r="KI1254" s="22"/>
      <c r="KJ1254" s="22"/>
      <c r="KK1254" s="22"/>
      <c r="KL1254" s="22"/>
      <c r="KM1254" s="22"/>
      <c r="KN1254" s="22"/>
      <c r="KO1254" s="22"/>
      <c r="KP1254" s="22"/>
      <c r="KQ1254" s="22"/>
      <c r="KR1254" s="22"/>
      <c r="KS1254" s="22"/>
      <c r="KT1254" s="22"/>
      <c r="KU1254" s="22"/>
      <c r="KV1254" s="22"/>
      <c r="KW1254" s="22"/>
      <c r="KX1254" s="22"/>
      <c r="KY1254" s="22"/>
      <c r="KZ1254" s="22"/>
      <c r="LA1254" s="22"/>
      <c r="LB1254" s="22"/>
      <c r="LC1254" s="22"/>
      <c r="LD1254" s="22"/>
      <c r="LE1254" s="22"/>
      <c r="LF1254" s="22"/>
      <c r="LG1254" s="22"/>
      <c r="LH1254" s="22"/>
      <c r="LI1254" s="22"/>
      <c r="LJ1254" s="22"/>
      <c r="LK1254" s="22"/>
      <c r="LL1254" s="22"/>
      <c r="LM1254" s="22"/>
      <c r="LN1254" s="22"/>
      <c r="LO1254" s="22"/>
      <c r="LP1254" s="22"/>
      <c r="LQ1254" s="22"/>
      <c r="LR1254" s="22"/>
      <c r="LS1254" s="22"/>
      <c r="LT1254" s="22"/>
      <c r="LU1254" s="22"/>
      <c r="LV1254" s="22"/>
      <c r="LW1254" s="22"/>
      <c r="LX1254" s="22"/>
      <c r="LY1254" s="22"/>
      <c r="LZ1254" s="22"/>
      <c r="MA1254" s="22"/>
      <c r="MB1254" s="22"/>
      <c r="MC1254" s="22"/>
      <c r="MD1254" s="22"/>
      <c r="ME1254" s="22"/>
      <c r="MF1254" s="22"/>
      <c r="MG1254" s="22"/>
      <c r="MH1254" s="22"/>
      <c r="MI1254" s="22"/>
      <c r="MJ1254" s="22"/>
      <c r="MK1254" s="22"/>
      <c r="ML1254" s="22"/>
      <c r="MM1254" s="22"/>
      <c r="MN1254" s="22"/>
      <c r="MO1254" s="22"/>
      <c r="MP1254" s="22"/>
      <c r="MQ1254" s="22"/>
      <c r="MR1254" s="22"/>
      <c r="MS1254" s="22"/>
      <c r="MT1254" s="22"/>
      <c r="MU1254" s="22"/>
      <c r="MV1254" s="22"/>
      <c r="MW1254" s="22"/>
      <c r="MX1254" s="22"/>
      <c r="MY1254" s="22"/>
      <c r="MZ1254" s="22"/>
      <c r="NA1254" s="22"/>
      <c r="NB1254" s="22"/>
      <c r="NC1254" s="22"/>
      <c r="ND1254" s="22"/>
      <c r="NE1254" s="22"/>
      <c r="NF1254" s="22"/>
      <c r="NG1254" s="22"/>
      <c r="NH1254" s="22"/>
      <c r="NI1254" s="22"/>
      <c r="NJ1254" s="22"/>
      <c r="NK1254" s="22"/>
      <c r="NL1254" s="22"/>
      <c r="NM1254" s="22"/>
      <c r="NN1254" s="22"/>
      <c r="NO1254" s="22"/>
      <c r="NP1254" s="22"/>
      <c r="NQ1254" s="22"/>
      <c r="NR1254" s="22"/>
      <c r="NS1254" s="22"/>
      <c r="NT1254" s="22"/>
      <c r="NU1254" s="22"/>
      <c r="NV1254" s="22"/>
      <c r="NW1254" s="22"/>
      <c r="NX1254" s="22"/>
      <c r="NY1254" s="22"/>
      <c r="NZ1254" s="22"/>
      <c r="OA1254" s="22"/>
      <c r="OB1254" s="22"/>
      <c r="OC1254" s="22"/>
      <c r="OD1254" s="22"/>
      <c r="OE1254" s="22"/>
      <c r="OF1254" s="22"/>
      <c r="OG1254" s="22"/>
      <c r="OH1254" s="22"/>
      <c r="OI1254" s="22"/>
      <c r="OJ1254" s="22"/>
      <c r="OK1254" s="22"/>
      <c r="OL1254" s="22"/>
      <c r="OM1254" s="22"/>
      <c r="ON1254" s="22"/>
      <c r="OO1254" s="22"/>
      <c r="OP1254" s="22"/>
      <c r="OQ1254" s="22"/>
      <c r="OR1254" s="22"/>
      <c r="OS1254" s="22"/>
      <c r="OT1254" s="22"/>
      <c r="OU1254" s="22"/>
      <c r="OV1254" s="22"/>
      <c r="OW1254" s="22"/>
      <c r="OX1254" s="22"/>
      <c r="OY1254" s="22"/>
      <c r="OZ1254" s="22"/>
      <c r="PA1254" s="22"/>
      <c r="PB1254" s="22"/>
      <c r="PC1254" s="22"/>
      <c r="PD1254" s="22"/>
      <c r="PE1254" s="22"/>
      <c r="PF1254" s="22"/>
      <c r="PG1254" s="22"/>
      <c r="PH1254" s="22"/>
      <c r="PI1254" s="22"/>
      <c r="PJ1254" s="22"/>
      <c r="PK1254" s="22"/>
      <c r="PL1254" s="22"/>
      <c r="PM1254" s="22"/>
      <c r="PN1254" s="22"/>
      <c r="PO1254" s="22"/>
      <c r="PP1254" s="22"/>
      <c r="PQ1254" s="22"/>
      <c r="PR1254" s="22"/>
      <c r="PS1254" s="22"/>
      <c r="PT1254" s="22"/>
      <c r="PU1254" s="22"/>
      <c r="PV1254" s="22"/>
      <c r="PW1254" s="22"/>
      <c r="PX1254" s="22"/>
      <c r="PY1254" s="22"/>
      <c r="PZ1254" s="22"/>
      <c r="QA1254" s="22"/>
      <c r="QB1254" s="22"/>
      <c r="QC1254" s="22"/>
      <c r="QD1254" s="22"/>
      <c r="QE1254" s="22"/>
      <c r="QF1254" s="22"/>
      <c r="QG1254" s="22"/>
      <c r="QH1254" s="22"/>
      <c r="QI1254" s="22"/>
      <c r="QJ1254" s="22"/>
      <c r="QK1254" s="22"/>
      <c r="QL1254" s="22"/>
      <c r="QM1254" s="22"/>
      <c r="QN1254" s="22"/>
      <c r="QO1254" s="22"/>
      <c r="QP1254" s="22"/>
      <c r="QQ1254" s="22"/>
      <c r="QR1254" s="22"/>
      <c r="QS1254" s="22"/>
      <c r="QT1254" s="22"/>
      <c r="QU1254" s="22"/>
      <c r="QV1254" s="22"/>
      <c r="QW1254" s="22"/>
      <c r="QX1254" s="22"/>
      <c r="QY1254" s="22"/>
      <c r="QZ1254" s="22"/>
      <c r="RA1254" s="22"/>
      <c r="RB1254" s="22"/>
      <c r="RC1254" s="22"/>
      <c r="RD1254" s="22"/>
      <c r="RE1254" s="22"/>
      <c r="RF1254" s="22"/>
      <c r="RG1254" s="22"/>
      <c r="RH1254" s="22"/>
      <c r="RI1254" s="22"/>
      <c r="RJ1254" s="22"/>
      <c r="RK1254" s="22"/>
      <c r="RL1254" s="22"/>
      <c r="RM1254" s="22"/>
      <c r="RN1254" s="22"/>
      <c r="RO1254" s="22"/>
      <c r="RP1254" s="22"/>
      <c r="RQ1254" s="22"/>
      <c r="RR1254" s="22"/>
      <c r="RS1254" s="22"/>
      <c r="RT1254" s="22"/>
      <c r="RU1254" s="22"/>
      <c r="RV1254" s="22"/>
      <c r="RW1254" s="22"/>
      <c r="RX1254" s="22"/>
      <c r="RY1254" s="22"/>
      <c r="RZ1254" s="22"/>
      <c r="SA1254" s="22"/>
      <c r="SB1254" s="22"/>
      <c r="SC1254" s="22"/>
      <c r="SD1254" s="22"/>
      <c r="SE1254" s="22"/>
      <c r="SF1254" s="22"/>
      <c r="SG1254" s="22"/>
      <c r="SH1254" s="22"/>
      <c r="SI1254" s="22"/>
      <c r="SJ1254" s="22"/>
      <c r="SK1254" s="22"/>
      <c r="SL1254" s="22"/>
      <c r="SM1254" s="22"/>
      <c r="SN1254" s="22"/>
      <c r="SO1254" s="22"/>
      <c r="SP1254" s="22"/>
      <c r="SQ1254" s="22"/>
      <c r="SR1254" s="22"/>
      <c r="SS1254" s="22"/>
      <c r="ST1254" s="22"/>
      <c r="SU1254" s="22"/>
      <c r="SV1254" s="22"/>
      <c r="SW1254" s="22"/>
      <c r="SX1254" s="22"/>
      <c r="SY1254" s="22"/>
      <c r="SZ1254" s="22"/>
      <c r="TA1254" s="22"/>
      <c r="TB1254" s="22"/>
      <c r="TC1254" s="22"/>
      <c r="TD1254" s="22"/>
      <c r="TE1254" s="22"/>
      <c r="TF1254" s="22"/>
      <c r="TG1254" s="22"/>
      <c r="TH1254" s="22"/>
      <c r="TI1254" s="22"/>
      <c r="TJ1254" s="22"/>
      <c r="TK1254" s="22"/>
      <c r="TL1254" s="22"/>
      <c r="TM1254" s="22"/>
      <c r="TN1254" s="22"/>
      <c r="TO1254" s="22"/>
      <c r="TP1254" s="22"/>
      <c r="TQ1254" s="22"/>
      <c r="TR1254" s="22"/>
      <c r="TS1254" s="22"/>
      <c r="TT1254" s="22"/>
      <c r="TU1254" s="22"/>
      <c r="TV1254" s="22"/>
      <c r="TW1254" s="22"/>
      <c r="TX1254" s="22"/>
      <c r="TY1254" s="22"/>
      <c r="TZ1254" s="22"/>
      <c r="UA1254" s="22"/>
      <c r="UB1254" s="22"/>
      <c r="UC1254" s="22"/>
      <c r="UD1254" s="22"/>
      <c r="UE1254" s="22"/>
      <c r="UF1254" s="22"/>
      <c r="UG1254" s="23"/>
    </row>
    <row r="1255" spans="1:553" ht="31.15" customHeight="1">
      <c r="A1255" s="356"/>
      <c r="B1255" s="366">
        <v>39</v>
      </c>
      <c r="C1255" s="1535" t="s">
        <v>1031</v>
      </c>
      <c r="D1255" s="1389"/>
      <c r="E1255" s="1389"/>
      <c r="F1255" s="1390"/>
      <c r="G1255" s="366" t="s">
        <v>33</v>
      </c>
      <c r="H1255" s="370"/>
      <c r="I1255" s="834">
        <f>-5.1*11.3</f>
        <v>-57.63</v>
      </c>
      <c r="J1255" s="368">
        <v>90900</v>
      </c>
      <c r="K1255" s="371"/>
      <c r="L1255" s="487">
        <f t="shared" si="189"/>
        <v>-5238567</v>
      </c>
      <c r="M1255" s="356"/>
      <c r="N1255" s="356"/>
      <c r="O1255" s="356"/>
      <c r="P1255" s="356"/>
      <c r="Q1255" s="610"/>
      <c r="R1255" s="1226"/>
      <c r="S1255" s="308"/>
      <c r="T1255" s="308"/>
      <c r="U1255" s="308"/>
      <c r="V1255" s="308"/>
      <c r="W1255" s="308"/>
      <c r="X1255" s="308"/>
      <c r="Y1255" s="308"/>
      <c r="Z1255" s="604"/>
      <c r="AA1255" s="308"/>
      <c r="AB1255" s="308"/>
      <c r="AC1255" s="373"/>
      <c r="AD1255" s="373"/>
      <c r="AE1255" s="373"/>
      <c r="AF1255" s="373"/>
      <c r="AG1255" s="373"/>
      <c r="AH1255" s="373"/>
      <c r="AI1255" s="373"/>
      <c r="AJ1255" s="373"/>
      <c r="AK1255" s="389"/>
      <c r="AL1255" s="100"/>
      <c r="AM1255" s="27"/>
      <c r="AN1255" s="27"/>
      <c r="AO1255" s="27"/>
      <c r="AP1255" s="27"/>
      <c r="AQ1255" s="27"/>
      <c r="AR1255" s="27"/>
      <c r="AS1255" s="22"/>
      <c r="AT1255" s="22"/>
      <c r="AU1255" s="22"/>
      <c r="AV1255" s="22"/>
      <c r="AW1255" s="22"/>
      <c r="AX1255" s="22"/>
      <c r="AY1255" s="22"/>
      <c r="AZ1255" s="22"/>
      <c r="BA1255" s="22"/>
      <c r="BB1255" s="22"/>
      <c r="BC1255" s="22"/>
      <c r="BD1255" s="22"/>
      <c r="BE1255" s="22"/>
      <c r="BF1255" s="22"/>
      <c r="BG1255" s="22"/>
      <c r="BH1255" s="22"/>
      <c r="BI1255" s="22"/>
      <c r="BJ1255" s="22"/>
      <c r="BK1255" s="22"/>
      <c r="BL1255" s="22"/>
      <c r="BM1255" s="22"/>
      <c r="BN1255" s="22"/>
      <c r="BO1255" s="22"/>
      <c r="BP1255" s="22"/>
      <c r="BQ1255" s="22"/>
      <c r="BR1255" s="22"/>
      <c r="BS1255" s="22"/>
      <c r="BT1255" s="22"/>
      <c r="BU1255" s="22"/>
      <c r="BV1255" s="22"/>
      <c r="BW1255" s="22"/>
      <c r="BX1255" s="22"/>
      <c r="BY1255" s="22"/>
      <c r="BZ1255" s="22"/>
      <c r="CA1255" s="22"/>
      <c r="CB1255" s="22"/>
      <c r="CC1255" s="22"/>
      <c r="CD1255" s="22"/>
      <c r="CE1255" s="22"/>
      <c r="CF1255" s="22"/>
      <c r="CG1255" s="22"/>
      <c r="CH1255" s="22"/>
      <c r="CI1255" s="22"/>
      <c r="CJ1255" s="22"/>
      <c r="CK1255" s="22"/>
      <c r="CL1255" s="22"/>
      <c r="CM1255" s="22"/>
      <c r="CN1255" s="22"/>
      <c r="CO1255" s="22"/>
      <c r="CP1255" s="22"/>
      <c r="CQ1255" s="22"/>
      <c r="CR1255" s="22"/>
      <c r="CS1255" s="22"/>
      <c r="CT1255" s="22"/>
      <c r="CU1255" s="22"/>
      <c r="CV1255" s="22"/>
      <c r="CW1255" s="22"/>
      <c r="CX1255" s="22"/>
      <c r="CY1255" s="22"/>
      <c r="CZ1255" s="22"/>
      <c r="DA1255" s="22"/>
      <c r="DB1255" s="22"/>
      <c r="DC1255" s="22"/>
      <c r="DD1255" s="22"/>
      <c r="DE1255" s="22"/>
      <c r="DF1255" s="22"/>
      <c r="DG1255" s="22"/>
      <c r="DH1255" s="22"/>
      <c r="DI1255" s="22"/>
      <c r="DJ1255" s="22"/>
      <c r="DK1255" s="22"/>
      <c r="DL1255" s="22"/>
      <c r="DM1255" s="22"/>
      <c r="DN1255" s="22"/>
      <c r="DO1255" s="22"/>
      <c r="DP1255" s="22"/>
      <c r="DQ1255" s="22"/>
      <c r="DR1255" s="22"/>
      <c r="DS1255" s="22"/>
      <c r="DT1255" s="22"/>
      <c r="DU1255" s="22"/>
      <c r="DV1255" s="22"/>
      <c r="DW1255" s="22"/>
      <c r="DX1255" s="22"/>
      <c r="DY1255" s="22"/>
      <c r="DZ1255" s="22"/>
      <c r="EA1255" s="22"/>
      <c r="EB1255" s="22"/>
      <c r="EC1255" s="22"/>
      <c r="ED1255" s="22"/>
      <c r="EE1255" s="22"/>
      <c r="EF1255" s="22"/>
      <c r="EG1255" s="22"/>
      <c r="EH1255" s="22"/>
      <c r="EI1255" s="22"/>
      <c r="EJ1255" s="22"/>
      <c r="EK1255" s="22"/>
      <c r="EL1255" s="22"/>
      <c r="EM1255" s="22"/>
      <c r="EN1255" s="22"/>
      <c r="EO1255" s="22"/>
      <c r="EP1255" s="22"/>
      <c r="EQ1255" s="22"/>
      <c r="ER1255" s="22"/>
      <c r="ES1255" s="22"/>
      <c r="ET1255" s="22"/>
      <c r="EU1255" s="22"/>
      <c r="EV1255" s="22"/>
      <c r="EW1255" s="22"/>
      <c r="EX1255" s="22"/>
      <c r="EY1255" s="22"/>
      <c r="EZ1255" s="22"/>
      <c r="FA1255" s="22"/>
      <c r="FB1255" s="22"/>
      <c r="FC1255" s="22"/>
      <c r="FD1255" s="22"/>
      <c r="FE1255" s="22"/>
      <c r="FF1255" s="22"/>
      <c r="FG1255" s="22"/>
      <c r="FH1255" s="22"/>
      <c r="FI1255" s="22"/>
      <c r="FJ1255" s="22"/>
      <c r="FK1255" s="22"/>
      <c r="FL1255" s="22"/>
      <c r="FM1255" s="22"/>
      <c r="FN1255" s="22"/>
      <c r="FO1255" s="22"/>
      <c r="FP1255" s="22"/>
      <c r="FQ1255" s="22"/>
      <c r="FR1255" s="22"/>
      <c r="FS1255" s="22"/>
      <c r="FT1255" s="22"/>
      <c r="FU1255" s="22"/>
      <c r="FV1255" s="22"/>
      <c r="FW1255" s="22"/>
      <c r="FX1255" s="22"/>
      <c r="FY1255" s="22"/>
      <c r="FZ1255" s="22"/>
      <c r="GA1255" s="22"/>
      <c r="GB1255" s="22"/>
      <c r="GC1255" s="22"/>
      <c r="GD1255" s="22"/>
      <c r="GE1255" s="22"/>
      <c r="GF1255" s="22"/>
      <c r="GG1255" s="22"/>
      <c r="GH1255" s="22"/>
      <c r="GI1255" s="22"/>
      <c r="GJ1255" s="22"/>
      <c r="GK1255" s="22"/>
      <c r="GL1255" s="22"/>
      <c r="GM1255" s="22"/>
      <c r="GN1255" s="22"/>
      <c r="GO1255" s="22"/>
      <c r="GP1255" s="22"/>
      <c r="GQ1255" s="22"/>
      <c r="GR1255" s="22"/>
      <c r="GS1255" s="22"/>
      <c r="GT1255" s="22"/>
      <c r="GU1255" s="22"/>
      <c r="GV1255" s="22"/>
      <c r="GW1255" s="22"/>
      <c r="GX1255" s="22"/>
      <c r="GY1255" s="22"/>
      <c r="GZ1255" s="22"/>
      <c r="HA1255" s="22"/>
      <c r="HB1255" s="22"/>
      <c r="HC1255" s="22"/>
      <c r="HD1255" s="22"/>
      <c r="HE1255" s="22"/>
      <c r="HF1255" s="22"/>
      <c r="HG1255" s="22"/>
      <c r="HH1255" s="22"/>
      <c r="HI1255" s="22"/>
      <c r="HJ1255" s="22"/>
      <c r="HK1255" s="22"/>
      <c r="HL1255" s="22"/>
      <c r="HM1255" s="22"/>
      <c r="HN1255" s="22"/>
      <c r="HO1255" s="22"/>
      <c r="HP1255" s="22"/>
      <c r="HQ1255" s="22"/>
      <c r="HR1255" s="22"/>
      <c r="HS1255" s="22"/>
      <c r="HT1255" s="22"/>
      <c r="HU1255" s="22"/>
      <c r="HV1255" s="22"/>
      <c r="HW1255" s="22"/>
      <c r="HX1255" s="22"/>
      <c r="HY1255" s="22"/>
      <c r="HZ1255" s="22"/>
      <c r="IA1255" s="22"/>
      <c r="IB1255" s="22"/>
      <c r="IC1255" s="22"/>
      <c r="ID1255" s="22"/>
      <c r="IE1255" s="22"/>
      <c r="IF1255" s="22"/>
      <c r="IG1255" s="22"/>
      <c r="IH1255" s="22"/>
      <c r="II1255" s="22"/>
      <c r="IJ1255" s="22"/>
      <c r="IK1255" s="22"/>
      <c r="IL1255" s="22"/>
      <c r="IM1255" s="22"/>
      <c r="IN1255" s="22"/>
      <c r="IO1255" s="22"/>
      <c r="IP1255" s="22"/>
      <c r="IQ1255" s="22"/>
      <c r="IR1255" s="22"/>
      <c r="IS1255" s="22"/>
      <c r="IT1255" s="22"/>
      <c r="IU1255" s="22"/>
      <c r="IV1255" s="22"/>
      <c r="IW1255" s="22"/>
      <c r="IX1255" s="22"/>
      <c r="IY1255" s="22"/>
      <c r="IZ1255" s="22"/>
      <c r="JA1255" s="22"/>
      <c r="JB1255" s="22"/>
      <c r="JC1255" s="22"/>
      <c r="JD1255" s="22"/>
      <c r="JE1255" s="22"/>
      <c r="JF1255" s="22"/>
      <c r="JG1255" s="22"/>
      <c r="JH1255" s="22"/>
      <c r="JI1255" s="22"/>
      <c r="JJ1255" s="22"/>
      <c r="JK1255" s="22"/>
      <c r="JL1255" s="22"/>
      <c r="JM1255" s="22"/>
      <c r="JN1255" s="22"/>
      <c r="JO1255" s="22"/>
      <c r="JP1255" s="22"/>
      <c r="JQ1255" s="22"/>
      <c r="JR1255" s="22"/>
      <c r="JS1255" s="22"/>
      <c r="JT1255" s="22"/>
      <c r="JU1255" s="22"/>
      <c r="JV1255" s="22"/>
      <c r="JW1255" s="22"/>
      <c r="JX1255" s="22"/>
      <c r="JY1255" s="22"/>
      <c r="JZ1255" s="22"/>
      <c r="KA1255" s="22"/>
      <c r="KB1255" s="22"/>
      <c r="KC1255" s="22"/>
      <c r="KD1255" s="22"/>
      <c r="KE1255" s="22"/>
      <c r="KF1255" s="22"/>
      <c r="KG1255" s="22"/>
      <c r="KH1255" s="22"/>
      <c r="KI1255" s="22"/>
      <c r="KJ1255" s="22"/>
      <c r="KK1255" s="22"/>
      <c r="KL1255" s="22"/>
      <c r="KM1255" s="22"/>
      <c r="KN1255" s="22"/>
      <c r="KO1255" s="22"/>
      <c r="KP1255" s="22"/>
      <c r="KQ1255" s="22"/>
      <c r="KR1255" s="22"/>
      <c r="KS1255" s="22"/>
      <c r="KT1255" s="22"/>
      <c r="KU1255" s="22"/>
      <c r="KV1255" s="22"/>
      <c r="KW1255" s="22"/>
      <c r="KX1255" s="22"/>
      <c r="KY1255" s="22"/>
      <c r="KZ1255" s="22"/>
      <c r="LA1255" s="22"/>
      <c r="LB1255" s="22"/>
      <c r="LC1255" s="22"/>
      <c r="LD1255" s="22"/>
      <c r="LE1255" s="22"/>
      <c r="LF1255" s="22"/>
      <c r="LG1255" s="22"/>
      <c r="LH1255" s="22"/>
      <c r="LI1255" s="22"/>
      <c r="LJ1255" s="22"/>
      <c r="LK1255" s="22"/>
      <c r="LL1255" s="22"/>
      <c r="LM1255" s="22"/>
      <c r="LN1255" s="22"/>
      <c r="LO1255" s="22"/>
      <c r="LP1255" s="22"/>
      <c r="LQ1255" s="22"/>
      <c r="LR1255" s="22"/>
      <c r="LS1255" s="22"/>
      <c r="LT1255" s="22"/>
      <c r="LU1255" s="22"/>
      <c r="LV1255" s="22"/>
      <c r="LW1255" s="22"/>
      <c r="LX1255" s="22"/>
      <c r="LY1255" s="22"/>
      <c r="LZ1255" s="22"/>
      <c r="MA1255" s="22"/>
      <c r="MB1255" s="22"/>
      <c r="MC1255" s="22"/>
      <c r="MD1255" s="22"/>
      <c r="ME1255" s="22"/>
      <c r="MF1255" s="22"/>
      <c r="MG1255" s="22"/>
      <c r="MH1255" s="22"/>
      <c r="MI1255" s="22"/>
      <c r="MJ1255" s="22"/>
      <c r="MK1255" s="22"/>
      <c r="ML1255" s="22"/>
      <c r="MM1255" s="22"/>
      <c r="MN1255" s="22"/>
      <c r="MO1255" s="22"/>
      <c r="MP1255" s="22"/>
      <c r="MQ1255" s="22"/>
      <c r="MR1255" s="22"/>
      <c r="MS1255" s="22"/>
      <c r="MT1255" s="22"/>
      <c r="MU1255" s="22"/>
      <c r="MV1255" s="22"/>
      <c r="MW1255" s="22"/>
      <c r="MX1255" s="22"/>
      <c r="MY1255" s="22"/>
      <c r="MZ1255" s="22"/>
      <c r="NA1255" s="22"/>
      <c r="NB1255" s="22"/>
      <c r="NC1255" s="22"/>
      <c r="ND1255" s="22"/>
      <c r="NE1255" s="22"/>
      <c r="NF1255" s="22"/>
      <c r="NG1255" s="22"/>
      <c r="NH1255" s="22"/>
      <c r="NI1255" s="22"/>
      <c r="NJ1255" s="22"/>
      <c r="NK1255" s="22"/>
      <c r="NL1255" s="22"/>
      <c r="NM1255" s="22"/>
      <c r="NN1255" s="22"/>
      <c r="NO1255" s="22"/>
      <c r="NP1255" s="22"/>
      <c r="NQ1255" s="22"/>
      <c r="NR1255" s="22"/>
      <c r="NS1255" s="22"/>
      <c r="NT1255" s="22"/>
      <c r="NU1255" s="22"/>
      <c r="NV1255" s="22"/>
      <c r="NW1255" s="22"/>
      <c r="NX1255" s="22"/>
      <c r="NY1255" s="22"/>
      <c r="NZ1255" s="22"/>
      <c r="OA1255" s="22"/>
      <c r="OB1255" s="22"/>
      <c r="OC1255" s="22"/>
      <c r="OD1255" s="22"/>
      <c r="OE1255" s="22"/>
      <c r="OF1255" s="22"/>
      <c r="OG1255" s="22"/>
      <c r="OH1255" s="22"/>
      <c r="OI1255" s="22"/>
      <c r="OJ1255" s="22"/>
      <c r="OK1255" s="22"/>
      <c r="OL1255" s="22"/>
      <c r="OM1255" s="22"/>
      <c r="ON1255" s="22"/>
      <c r="OO1255" s="22"/>
      <c r="OP1255" s="22"/>
      <c r="OQ1255" s="22"/>
      <c r="OR1255" s="22"/>
      <c r="OS1255" s="22"/>
      <c r="OT1255" s="22"/>
      <c r="OU1255" s="22"/>
      <c r="OV1255" s="22"/>
      <c r="OW1255" s="22"/>
      <c r="OX1255" s="22"/>
      <c r="OY1255" s="22"/>
      <c r="OZ1255" s="22"/>
      <c r="PA1255" s="22"/>
      <c r="PB1255" s="22"/>
      <c r="PC1255" s="22"/>
      <c r="PD1255" s="22"/>
      <c r="PE1255" s="22"/>
      <c r="PF1255" s="22"/>
      <c r="PG1255" s="22"/>
      <c r="PH1255" s="22"/>
      <c r="PI1255" s="22"/>
      <c r="PJ1255" s="22"/>
      <c r="PK1255" s="22"/>
      <c r="PL1255" s="22"/>
      <c r="PM1255" s="22"/>
      <c r="PN1255" s="22"/>
      <c r="PO1255" s="22"/>
      <c r="PP1255" s="22"/>
      <c r="PQ1255" s="22"/>
      <c r="PR1255" s="22"/>
      <c r="PS1255" s="22"/>
      <c r="PT1255" s="22"/>
      <c r="PU1255" s="22"/>
      <c r="PV1255" s="22"/>
      <c r="PW1255" s="22"/>
      <c r="PX1255" s="22"/>
      <c r="PY1255" s="22"/>
      <c r="PZ1255" s="22"/>
      <c r="QA1255" s="22"/>
      <c r="QB1255" s="22"/>
      <c r="QC1255" s="22"/>
      <c r="QD1255" s="22"/>
      <c r="QE1255" s="22"/>
      <c r="QF1255" s="22"/>
      <c r="QG1255" s="22"/>
      <c r="QH1255" s="22"/>
      <c r="QI1255" s="22"/>
      <c r="QJ1255" s="22"/>
      <c r="QK1255" s="22"/>
      <c r="QL1255" s="22"/>
      <c r="QM1255" s="22"/>
      <c r="QN1255" s="22"/>
      <c r="QO1255" s="22"/>
      <c r="QP1255" s="22"/>
      <c r="QQ1255" s="22"/>
      <c r="QR1255" s="22"/>
      <c r="QS1255" s="22"/>
      <c r="QT1255" s="22"/>
      <c r="QU1255" s="22"/>
      <c r="QV1255" s="22"/>
      <c r="QW1255" s="22"/>
      <c r="QX1255" s="22"/>
      <c r="QY1255" s="22"/>
      <c r="QZ1255" s="22"/>
      <c r="RA1255" s="22"/>
      <c r="RB1255" s="22"/>
      <c r="RC1255" s="22"/>
      <c r="RD1255" s="22"/>
      <c r="RE1255" s="22"/>
      <c r="RF1255" s="22"/>
      <c r="RG1255" s="22"/>
      <c r="RH1255" s="22"/>
      <c r="RI1255" s="22"/>
      <c r="RJ1255" s="22"/>
      <c r="RK1255" s="22"/>
      <c r="RL1255" s="22"/>
      <c r="RM1255" s="22"/>
      <c r="RN1255" s="22"/>
      <c r="RO1255" s="22"/>
      <c r="RP1255" s="22"/>
      <c r="RQ1255" s="22"/>
      <c r="RR1255" s="22"/>
      <c r="RS1255" s="22"/>
      <c r="RT1255" s="22"/>
      <c r="RU1255" s="22"/>
      <c r="RV1255" s="22"/>
      <c r="RW1255" s="22"/>
      <c r="RX1255" s="22"/>
      <c r="RY1255" s="22"/>
      <c r="RZ1255" s="22"/>
      <c r="SA1255" s="22"/>
      <c r="SB1255" s="22"/>
      <c r="SC1255" s="22"/>
      <c r="SD1255" s="22"/>
      <c r="SE1255" s="22"/>
      <c r="SF1255" s="22"/>
      <c r="SG1255" s="22"/>
      <c r="SH1255" s="22"/>
      <c r="SI1255" s="22"/>
      <c r="SJ1255" s="22"/>
      <c r="SK1255" s="22"/>
      <c r="SL1255" s="22"/>
      <c r="SM1255" s="22"/>
      <c r="SN1255" s="22"/>
      <c r="SO1255" s="22"/>
      <c r="SP1255" s="22"/>
      <c r="SQ1255" s="22"/>
      <c r="SR1255" s="22"/>
      <c r="SS1255" s="22"/>
      <c r="ST1255" s="22"/>
      <c r="SU1255" s="22"/>
      <c r="SV1255" s="22"/>
      <c r="SW1255" s="22"/>
      <c r="SX1255" s="22"/>
      <c r="SY1255" s="22"/>
      <c r="SZ1255" s="22"/>
      <c r="TA1255" s="22"/>
      <c r="TB1255" s="22"/>
      <c r="TC1255" s="22"/>
      <c r="TD1255" s="22"/>
      <c r="TE1255" s="22"/>
      <c r="TF1255" s="22"/>
      <c r="TG1255" s="22"/>
      <c r="TH1255" s="22"/>
      <c r="TI1255" s="22"/>
      <c r="TJ1255" s="22"/>
      <c r="TK1255" s="22"/>
      <c r="TL1255" s="22"/>
      <c r="TM1255" s="22"/>
      <c r="TN1255" s="22"/>
      <c r="TO1255" s="22"/>
      <c r="TP1255" s="22"/>
      <c r="TQ1255" s="22"/>
      <c r="TR1255" s="22"/>
      <c r="TS1255" s="22"/>
      <c r="TT1255" s="22"/>
      <c r="TU1255" s="22"/>
      <c r="TV1255" s="22"/>
      <c r="TW1255" s="22"/>
      <c r="TX1255" s="22"/>
      <c r="TY1255" s="22"/>
      <c r="TZ1255" s="22"/>
      <c r="UA1255" s="22"/>
      <c r="UB1255" s="22"/>
      <c r="UC1255" s="22"/>
      <c r="UD1255" s="22"/>
      <c r="UE1255" s="22"/>
      <c r="UF1255" s="22"/>
      <c r="UG1255" s="23"/>
    </row>
    <row r="1256" spans="1:553" ht="60" customHeight="1">
      <c r="A1256" s="356"/>
      <c r="B1256" s="366">
        <v>98</v>
      </c>
      <c r="C1256" s="1535" t="s">
        <v>1032</v>
      </c>
      <c r="D1256" s="1389"/>
      <c r="E1256" s="1389"/>
      <c r="F1256" s="1390"/>
      <c r="G1256" s="366" t="s">
        <v>33</v>
      </c>
      <c r="H1256" s="370"/>
      <c r="I1256" s="370">
        <f t="shared" ref="I1256:I1257" si="190">11.5*3</f>
        <v>34.5</v>
      </c>
      <c r="J1256" s="368">
        <v>613700</v>
      </c>
      <c r="K1256" s="371"/>
      <c r="L1256" s="480">
        <f t="shared" si="189"/>
        <v>21172650</v>
      </c>
      <c r="M1256" s="356"/>
      <c r="N1256" s="356"/>
      <c r="O1256" s="356"/>
      <c r="P1256" s="356"/>
      <c r="Q1256" s="610"/>
      <c r="R1256" s="1226"/>
      <c r="S1256" s="308"/>
      <c r="T1256" s="308"/>
      <c r="U1256" s="308"/>
      <c r="V1256" s="308"/>
      <c r="W1256" s="308"/>
      <c r="X1256" s="308"/>
      <c r="Y1256" s="308"/>
      <c r="Z1256" s="604"/>
      <c r="AA1256" s="308"/>
      <c r="AB1256" s="308"/>
      <c r="AC1256" s="373"/>
      <c r="AD1256" s="373"/>
      <c r="AE1256" s="373"/>
      <c r="AF1256" s="373"/>
      <c r="AG1256" s="373"/>
      <c r="AH1256" s="373"/>
      <c r="AI1256" s="373"/>
      <c r="AJ1256" s="373"/>
      <c r="AK1256" s="389"/>
      <c r="AL1256" s="100"/>
      <c r="AM1256" s="27"/>
      <c r="AN1256" s="27"/>
      <c r="AO1256" s="27"/>
      <c r="AP1256" s="27"/>
      <c r="AQ1256" s="27"/>
      <c r="AR1256" s="27"/>
      <c r="AS1256" s="22"/>
      <c r="AT1256" s="22"/>
      <c r="AU1256" s="22"/>
      <c r="AV1256" s="22"/>
      <c r="AW1256" s="22"/>
      <c r="AX1256" s="22"/>
      <c r="AY1256" s="22"/>
      <c r="AZ1256" s="22"/>
      <c r="BA1256" s="22"/>
      <c r="BB1256" s="22"/>
      <c r="BC1256" s="22"/>
      <c r="BD1256" s="22"/>
      <c r="BE1256" s="22"/>
      <c r="BF1256" s="22"/>
      <c r="BG1256" s="22"/>
      <c r="BH1256" s="22"/>
      <c r="BI1256" s="22"/>
      <c r="BJ1256" s="22"/>
      <c r="BK1256" s="22"/>
      <c r="BL1256" s="22"/>
      <c r="BM1256" s="22"/>
      <c r="BN1256" s="22"/>
      <c r="BO1256" s="22"/>
      <c r="BP1256" s="22"/>
      <c r="BQ1256" s="22"/>
      <c r="BR1256" s="22"/>
      <c r="BS1256" s="22"/>
      <c r="BT1256" s="22"/>
      <c r="BU1256" s="22"/>
      <c r="BV1256" s="22"/>
      <c r="BW1256" s="22"/>
      <c r="BX1256" s="22"/>
      <c r="BY1256" s="22"/>
      <c r="BZ1256" s="22"/>
      <c r="CA1256" s="22"/>
      <c r="CB1256" s="22"/>
      <c r="CC1256" s="22"/>
      <c r="CD1256" s="22"/>
      <c r="CE1256" s="22"/>
      <c r="CF1256" s="22"/>
      <c r="CG1256" s="22"/>
      <c r="CH1256" s="22"/>
      <c r="CI1256" s="22"/>
      <c r="CJ1256" s="22"/>
      <c r="CK1256" s="22"/>
      <c r="CL1256" s="22"/>
      <c r="CM1256" s="22"/>
      <c r="CN1256" s="22"/>
      <c r="CO1256" s="22"/>
      <c r="CP1256" s="22"/>
      <c r="CQ1256" s="22"/>
      <c r="CR1256" s="22"/>
      <c r="CS1256" s="22"/>
      <c r="CT1256" s="22"/>
      <c r="CU1256" s="22"/>
      <c r="CV1256" s="22"/>
      <c r="CW1256" s="22"/>
      <c r="CX1256" s="22"/>
      <c r="CY1256" s="22"/>
      <c r="CZ1256" s="22"/>
      <c r="DA1256" s="22"/>
      <c r="DB1256" s="22"/>
      <c r="DC1256" s="22"/>
      <c r="DD1256" s="22"/>
      <c r="DE1256" s="22"/>
      <c r="DF1256" s="22"/>
      <c r="DG1256" s="22"/>
      <c r="DH1256" s="22"/>
      <c r="DI1256" s="22"/>
      <c r="DJ1256" s="22"/>
      <c r="DK1256" s="22"/>
      <c r="DL1256" s="22"/>
      <c r="DM1256" s="22"/>
      <c r="DN1256" s="22"/>
      <c r="DO1256" s="22"/>
      <c r="DP1256" s="22"/>
      <c r="DQ1256" s="22"/>
      <c r="DR1256" s="22"/>
      <c r="DS1256" s="22"/>
      <c r="DT1256" s="22"/>
      <c r="DU1256" s="22"/>
      <c r="DV1256" s="22"/>
      <c r="DW1256" s="22"/>
      <c r="DX1256" s="22"/>
      <c r="DY1256" s="22"/>
      <c r="DZ1256" s="22"/>
      <c r="EA1256" s="22"/>
      <c r="EB1256" s="22"/>
      <c r="EC1256" s="22"/>
      <c r="ED1256" s="22"/>
      <c r="EE1256" s="22"/>
      <c r="EF1256" s="22"/>
      <c r="EG1256" s="22"/>
      <c r="EH1256" s="22"/>
      <c r="EI1256" s="22"/>
      <c r="EJ1256" s="22"/>
      <c r="EK1256" s="22"/>
      <c r="EL1256" s="22"/>
      <c r="EM1256" s="22"/>
      <c r="EN1256" s="22"/>
      <c r="EO1256" s="22"/>
      <c r="EP1256" s="22"/>
      <c r="EQ1256" s="22"/>
      <c r="ER1256" s="22"/>
      <c r="ES1256" s="22"/>
      <c r="ET1256" s="22"/>
      <c r="EU1256" s="22"/>
      <c r="EV1256" s="22"/>
      <c r="EW1256" s="22"/>
      <c r="EX1256" s="22"/>
      <c r="EY1256" s="22"/>
      <c r="EZ1256" s="22"/>
      <c r="FA1256" s="22"/>
      <c r="FB1256" s="22"/>
      <c r="FC1256" s="22"/>
      <c r="FD1256" s="22"/>
      <c r="FE1256" s="22"/>
      <c r="FF1256" s="22"/>
      <c r="FG1256" s="22"/>
      <c r="FH1256" s="22"/>
      <c r="FI1256" s="22"/>
      <c r="FJ1256" s="22"/>
      <c r="FK1256" s="22"/>
      <c r="FL1256" s="22"/>
      <c r="FM1256" s="22"/>
      <c r="FN1256" s="22"/>
      <c r="FO1256" s="22"/>
      <c r="FP1256" s="22"/>
      <c r="FQ1256" s="22"/>
      <c r="FR1256" s="22"/>
      <c r="FS1256" s="22"/>
      <c r="FT1256" s="22"/>
      <c r="FU1256" s="22"/>
      <c r="FV1256" s="22"/>
      <c r="FW1256" s="22"/>
      <c r="FX1256" s="22"/>
      <c r="FY1256" s="22"/>
      <c r="FZ1256" s="22"/>
      <c r="GA1256" s="22"/>
      <c r="GB1256" s="22"/>
      <c r="GC1256" s="22"/>
      <c r="GD1256" s="22"/>
      <c r="GE1256" s="22"/>
      <c r="GF1256" s="22"/>
      <c r="GG1256" s="22"/>
      <c r="GH1256" s="22"/>
      <c r="GI1256" s="22"/>
      <c r="GJ1256" s="22"/>
      <c r="GK1256" s="22"/>
      <c r="GL1256" s="22"/>
      <c r="GM1256" s="22"/>
      <c r="GN1256" s="22"/>
      <c r="GO1256" s="22"/>
      <c r="GP1256" s="22"/>
      <c r="GQ1256" s="22"/>
      <c r="GR1256" s="22"/>
      <c r="GS1256" s="22"/>
      <c r="GT1256" s="22"/>
      <c r="GU1256" s="22"/>
      <c r="GV1256" s="22"/>
      <c r="GW1256" s="22"/>
      <c r="GX1256" s="22"/>
      <c r="GY1256" s="22"/>
      <c r="GZ1256" s="22"/>
      <c r="HA1256" s="22"/>
      <c r="HB1256" s="22"/>
      <c r="HC1256" s="22"/>
      <c r="HD1256" s="22"/>
      <c r="HE1256" s="22"/>
      <c r="HF1256" s="22"/>
      <c r="HG1256" s="22"/>
      <c r="HH1256" s="22"/>
      <c r="HI1256" s="22"/>
      <c r="HJ1256" s="22"/>
      <c r="HK1256" s="22"/>
      <c r="HL1256" s="22"/>
      <c r="HM1256" s="22"/>
      <c r="HN1256" s="22"/>
      <c r="HO1256" s="22"/>
      <c r="HP1256" s="22"/>
      <c r="HQ1256" s="22"/>
      <c r="HR1256" s="22"/>
      <c r="HS1256" s="22"/>
      <c r="HT1256" s="22"/>
      <c r="HU1256" s="22"/>
      <c r="HV1256" s="22"/>
      <c r="HW1256" s="22"/>
      <c r="HX1256" s="22"/>
      <c r="HY1256" s="22"/>
      <c r="HZ1256" s="22"/>
      <c r="IA1256" s="22"/>
      <c r="IB1256" s="22"/>
      <c r="IC1256" s="22"/>
      <c r="ID1256" s="22"/>
      <c r="IE1256" s="22"/>
      <c r="IF1256" s="22"/>
      <c r="IG1256" s="22"/>
      <c r="IH1256" s="22"/>
      <c r="II1256" s="22"/>
      <c r="IJ1256" s="22"/>
      <c r="IK1256" s="22"/>
      <c r="IL1256" s="22"/>
      <c r="IM1256" s="22"/>
      <c r="IN1256" s="22"/>
      <c r="IO1256" s="22"/>
      <c r="IP1256" s="22"/>
      <c r="IQ1256" s="22"/>
      <c r="IR1256" s="22"/>
      <c r="IS1256" s="22"/>
      <c r="IT1256" s="22"/>
      <c r="IU1256" s="22"/>
      <c r="IV1256" s="22"/>
      <c r="IW1256" s="22"/>
      <c r="IX1256" s="22"/>
      <c r="IY1256" s="22"/>
      <c r="IZ1256" s="22"/>
      <c r="JA1256" s="22"/>
      <c r="JB1256" s="22"/>
      <c r="JC1256" s="22"/>
      <c r="JD1256" s="22"/>
      <c r="JE1256" s="22"/>
      <c r="JF1256" s="22"/>
      <c r="JG1256" s="22"/>
      <c r="JH1256" s="22"/>
      <c r="JI1256" s="22"/>
      <c r="JJ1256" s="22"/>
      <c r="JK1256" s="22"/>
      <c r="JL1256" s="22"/>
      <c r="JM1256" s="22"/>
      <c r="JN1256" s="22"/>
      <c r="JO1256" s="22"/>
      <c r="JP1256" s="22"/>
      <c r="JQ1256" s="22"/>
      <c r="JR1256" s="22"/>
      <c r="JS1256" s="22"/>
      <c r="JT1256" s="22"/>
      <c r="JU1256" s="22"/>
      <c r="JV1256" s="22"/>
      <c r="JW1256" s="22"/>
      <c r="JX1256" s="22"/>
      <c r="JY1256" s="22"/>
      <c r="JZ1256" s="22"/>
      <c r="KA1256" s="22"/>
      <c r="KB1256" s="22"/>
      <c r="KC1256" s="22"/>
      <c r="KD1256" s="22"/>
      <c r="KE1256" s="22"/>
      <c r="KF1256" s="22"/>
      <c r="KG1256" s="22"/>
      <c r="KH1256" s="22"/>
      <c r="KI1256" s="22"/>
      <c r="KJ1256" s="22"/>
      <c r="KK1256" s="22"/>
      <c r="KL1256" s="22"/>
      <c r="KM1256" s="22"/>
      <c r="KN1256" s="22"/>
      <c r="KO1256" s="22"/>
      <c r="KP1256" s="22"/>
      <c r="KQ1256" s="22"/>
      <c r="KR1256" s="22"/>
      <c r="KS1256" s="22"/>
      <c r="KT1256" s="22"/>
      <c r="KU1256" s="22"/>
      <c r="KV1256" s="22"/>
      <c r="KW1256" s="22"/>
      <c r="KX1256" s="22"/>
      <c r="KY1256" s="22"/>
      <c r="KZ1256" s="22"/>
      <c r="LA1256" s="22"/>
      <c r="LB1256" s="22"/>
      <c r="LC1256" s="22"/>
      <c r="LD1256" s="22"/>
      <c r="LE1256" s="22"/>
      <c r="LF1256" s="22"/>
      <c r="LG1256" s="22"/>
      <c r="LH1256" s="22"/>
      <c r="LI1256" s="22"/>
      <c r="LJ1256" s="22"/>
      <c r="LK1256" s="22"/>
      <c r="LL1256" s="22"/>
      <c r="LM1256" s="22"/>
      <c r="LN1256" s="22"/>
      <c r="LO1256" s="22"/>
      <c r="LP1256" s="22"/>
      <c r="LQ1256" s="22"/>
      <c r="LR1256" s="22"/>
      <c r="LS1256" s="22"/>
      <c r="LT1256" s="22"/>
      <c r="LU1256" s="22"/>
      <c r="LV1256" s="22"/>
      <c r="LW1256" s="22"/>
      <c r="LX1256" s="22"/>
      <c r="LY1256" s="22"/>
      <c r="LZ1256" s="22"/>
      <c r="MA1256" s="22"/>
      <c r="MB1256" s="22"/>
      <c r="MC1256" s="22"/>
      <c r="MD1256" s="22"/>
      <c r="ME1256" s="22"/>
      <c r="MF1256" s="22"/>
      <c r="MG1256" s="22"/>
      <c r="MH1256" s="22"/>
      <c r="MI1256" s="22"/>
      <c r="MJ1256" s="22"/>
      <c r="MK1256" s="22"/>
      <c r="ML1256" s="22"/>
      <c r="MM1256" s="22"/>
      <c r="MN1256" s="22"/>
      <c r="MO1256" s="22"/>
      <c r="MP1256" s="22"/>
      <c r="MQ1256" s="22"/>
      <c r="MR1256" s="22"/>
      <c r="MS1256" s="22"/>
      <c r="MT1256" s="22"/>
      <c r="MU1256" s="22"/>
      <c r="MV1256" s="22"/>
      <c r="MW1256" s="22"/>
      <c r="MX1256" s="22"/>
      <c r="MY1256" s="22"/>
      <c r="MZ1256" s="22"/>
      <c r="NA1256" s="22"/>
      <c r="NB1256" s="22"/>
      <c r="NC1256" s="22"/>
      <c r="ND1256" s="22"/>
      <c r="NE1256" s="22"/>
      <c r="NF1256" s="22"/>
      <c r="NG1256" s="22"/>
      <c r="NH1256" s="22"/>
      <c r="NI1256" s="22"/>
      <c r="NJ1256" s="22"/>
      <c r="NK1256" s="22"/>
      <c r="NL1256" s="22"/>
      <c r="NM1256" s="22"/>
      <c r="NN1256" s="22"/>
      <c r="NO1256" s="22"/>
      <c r="NP1256" s="22"/>
      <c r="NQ1256" s="22"/>
      <c r="NR1256" s="22"/>
      <c r="NS1256" s="22"/>
      <c r="NT1256" s="22"/>
      <c r="NU1256" s="22"/>
      <c r="NV1256" s="22"/>
      <c r="NW1256" s="22"/>
      <c r="NX1256" s="22"/>
      <c r="NY1256" s="22"/>
      <c r="NZ1256" s="22"/>
      <c r="OA1256" s="22"/>
      <c r="OB1256" s="22"/>
      <c r="OC1256" s="22"/>
      <c r="OD1256" s="22"/>
      <c r="OE1256" s="22"/>
      <c r="OF1256" s="22"/>
      <c r="OG1256" s="22"/>
      <c r="OH1256" s="22"/>
      <c r="OI1256" s="22"/>
      <c r="OJ1256" s="22"/>
      <c r="OK1256" s="22"/>
      <c r="OL1256" s="22"/>
      <c r="OM1256" s="22"/>
      <c r="ON1256" s="22"/>
      <c r="OO1256" s="22"/>
      <c r="OP1256" s="22"/>
      <c r="OQ1256" s="22"/>
      <c r="OR1256" s="22"/>
      <c r="OS1256" s="22"/>
      <c r="OT1256" s="22"/>
      <c r="OU1256" s="22"/>
      <c r="OV1256" s="22"/>
      <c r="OW1256" s="22"/>
      <c r="OX1256" s="22"/>
      <c r="OY1256" s="22"/>
      <c r="OZ1256" s="22"/>
      <c r="PA1256" s="22"/>
      <c r="PB1256" s="22"/>
      <c r="PC1256" s="22"/>
      <c r="PD1256" s="22"/>
      <c r="PE1256" s="22"/>
      <c r="PF1256" s="22"/>
      <c r="PG1256" s="22"/>
      <c r="PH1256" s="22"/>
      <c r="PI1256" s="22"/>
      <c r="PJ1256" s="22"/>
      <c r="PK1256" s="22"/>
      <c r="PL1256" s="22"/>
      <c r="PM1256" s="22"/>
      <c r="PN1256" s="22"/>
      <c r="PO1256" s="22"/>
      <c r="PP1256" s="22"/>
      <c r="PQ1256" s="22"/>
      <c r="PR1256" s="22"/>
      <c r="PS1256" s="22"/>
      <c r="PT1256" s="22"/>
      <c r="PU1256" s="22"/>
      <c r="PV1256" s="22"/>
      <c r="PW1256" s="22"/>
      <c r="PX1256" s="22"/>
      <c r="PY1256" s="22"/>
      <c r="PZ1256" s="22"/>
      <c r="QA1256" s="22"/>
      <c r="QB1256" s="22"/>
      <c r="QC1256" s="22"/>
      <c r="QD1256" s="22"/>
      <c r="QE1256" s="22"/>
      <c r="QF1256" s="22"/>
      <c r="QG1256" s="22"/>
      <c r="QH1256" s="22"/>
      <c r="QI1256" s="22"/>
      <c r="QJ1256" s="22"/>
      <c r="QK1256" s="22"/>
      <c r="QL1256" s="22"/>
      <c r="QM1256" s="22"/>
      <c r="QN1256" s="22"/>
      <c r="QO1256" s="22"/>
      <c r="QP1256" s="22"/>
      <c r="QQ1256" s="22"/>
      <c r="QR1256" s="22"/>
      <c r="QS1256" s="22"/>
      <c r="QT1256" s="22"/>
      <c r="QU1256" s="22"/>
      <c r="QV1256" s="22"/>
      <c r="QW1256" s="22"/>
      <c r="QX1256" s="22"/>
      <c r="QY1256" s="22"/>
      <c r="QZ1256" s="22"/>
      <c r="RA1256" s="22"/>
      <c r="RB1256" s="22"/>
      <c r="RC1256" s="22"/>
      <c r="RD1256" s="22"/>
      <c r="RE1256" s="22"/>
      <c r="RF1256" s="22"/>
      <c r="RG1256" s="22"/>
      <c r="RH1256" s="22"/>
      <c r="RI1256" s="22"/>
      <c r="RJ1256" s="22"/>
      <c r="RK1256" s="22"/>
      <c r="RL1256" s="22"/>
      <c r="RM1256" s="22"/>
      <c r="RN1256" s="22"/>
      <c r="RO1256" s="22"/>
      <c r="RP1256" s="22"/>
      <c r="RQ1256" s="22"/>
      <c r="RR1256" s="22"/>
      <c r="RS1256" s="22"/>
      <c r="RT1256" s="22"/>
      <c r="RU1256" s="22"/>
      <c r="RV1256" s="22"/>
      <c r="RW1256" s="22"/>
      <c r="RX1256" s="22"/>
      <c r="RY1256" s="22"/>
      <c r="RZ1256" s="22"/>
      <c r="SA1256" s="22"/>
      <c r="SB1256" s="22"/>
      <c r="SC1256" s="22"/>
      <c r="SD1256" s="22"/>
      <c r="SE1256" s="22"/>
      <c r="SF1256" s="22"/>
      <c r="SG1256" s="22"/>
      <c r="SH1256" s="22"/>
      <c r="SI1256" s="22"/>
      <c r="SJ1256" s="22"/>
      <c r="SK1256" s="22"/>
      <c r="SL1256" s="22"/>
      <c r="SM1256" s="22"/>
      <c r="SN1256" s="22"/>
      <c r="SO1256" s="22"/>
      <c r="SP1256" s="22"/>
      <c r="SQ1256" s="22"/>
      <c r="SR1256" s="22"/>
      <c r="SS1256" s="22"/>
      <c r="ST1256" s="22"/>
      <c r="SU1256" s="22"/>
      <c r="SV1256" s="22"/>
      <c r="SW1256" s="22"/>
      <c r="SX1256" s="22"/>
      <c r="SY1256" s="22"/>
      <c r="SZ1256" s="22"/>
      <c r="TA1256" s="22"/>
      <c r="TB1256" s="22"/>
      <c r="TC1256" s="22"/>
      <c r="TD1256" s="22"/>
      <c r="TE1256" s="22"/>
      <c r="TF1256" s="22"/>
      <c r="TG1256" s="22"/>
      <c r="TH1256" s="22"/>
      <c r="TI1256" s="22"/>
      <c r="TJ1256" s="22"/>
      <c r="TK1256" s="22"/>
      <c r="TL1256" s="22"/>
      <c r="TM1256" s="22"/>
      <c r="TN1256" s="22"/>
      <c r="TO1256" s="22"/>
      <c r="TP1256" s="22"/>
      <c r="TQ1256" s="22"/>
      <c r="TR1256" s="22"/>
      <c r="TS1256" s="22"/>
      <c r="TT1256" s="22"/>
      <c r="TU1256" s="22"/>
      <c r="TV1256" s="22"/>
      <c r="TW1256" s="22"/>
      <c r="TX1256" s="22"/>
      <c r="TY1256" s="22"/>
      <c r="TZ1256" s="22"/>
      <c r="UA1256" s="22"/>
      <c r="UB1256" s="22"/>
      <c r="UC1256" s="22"/>
      <c r="UD1256" s="22"/>
      <c r="UE1256" s="22"/>
      <c r="UF1256" s="22"/>
      <c r="UG1256" s="23"/>
    </row>
    <row r="1257" spans="1:553" ht="48" customHeight="1">
      <c r="A1257" s="356"/>
      <c r="B1257" s="366" t="s">
        <v>691</v>
      </c>
      <c r="C1257" s="1535" t="s">
        <v>1033</v>
      </c>
      <c r="D1257" s="1389"/>
      <c r="E1257" s="1389"/>
      <c r="F1257" s="1390"/>
      <c r="G1257" s="366" t="s">
        <v>33</v>
      </c>
      <c r="H1257" s="370"/>
      <c r="I1257" s="370">
        <f t="shared" si="190"/>
        <v>34.5</v>
      </c>
      <c r="J1257" s="368">
        <f>153000-60200</f>
        <v>92800</v>
      </c>
      <c r="K1257" s="371"/>
      <c r="L1257" s="480">
        <f t="shared" si="189"/>
        <v>3201600</v>
      </c>
      <c r="M1257" s="356"/>
      <c r="N1257" s="356"/>
      <c r="O1257" s="356"/>
      <c r="P1257" s="356"/>
      <c r="Q1257" s="610"/>
      <c r="R1257" s="1226"/>
      <c r="S1257" s="308"/>
      <c r="T1257" s="308"/>
      <c r="U1257" s="308"/>
      <c r="V1257" s="308"/>
      <c r="W1257" s="308"/>
      <c r="X1257" s="308"/>
      <c r="Y1257" s="308"/>
      <c r="Z1257" s="604"/>
      <c r="AA1257" s="308"/>
      <c r="AB1257" s="308"/>
      <c r="AC1257" s="373"/>
      <c r="AD1257" s="373"/>
      <c r="AE1257" s="373"/>
      <c r="AF1257" s="373"/>
      <c r="AG1257" s="373"/>
      <c r="AH1257" s="373"/>
      <c r="AI1257" s="373"/>
      <c r="AJ1257" s="373"/>
      <c r="AK1257" s="389"/>
      <c r="AL1257" s="100"/>
      <c r="AM1257" s="27"/>
      <c r="AN1257" s="27"/>
      <c r="AO1257" s="27"/>
      <c r="AP1257" s="27"/>
      <c r="AQ1257" s="27"/>
      <c r="AR1257" s="27"/>
      <c r="AS1257" s="22"/>
      <c r="AT1257" s="22"/>
      <c r="AU1257" s="22"/>
      <c r="AV1257" s="22"/>
      <c r="AW1257" s="22"/>
      <c r="AX1257" s="22"/>
      <c r="AY1257" s="22"/>
      <c r="AZ1257" s="22"/>
      <c r="BA1257" s="22"/>
      <c r="BB1257" s="22"/>
      <c r="BC1257" s="22"/>
      <c r="BD1257" s="22"/>
      <c r="BE1257" s="22"/>
      <c r="BF1257" s="22"/>
      <c r="BG1257" s="22"/>
      <c r="BH1257" s="22"/>
      <c r="BI1257" s="22"/>
      <c r="BJ1257" s="22"/>
      <c r="BK1257" s="22"/>
      <c r="BL1257" s="22"/>
      <c r="BM1257" s="22"/>
      <c r="BN1257" s="22"/>
      <c r="BO1257" s="22"/>
      <c r="BP1257" s="22"/>
      <c r="BQ1257" s="22"/>
      <c r="BR1257" s="22"/>
      <c r="BS1257" s="22"/>
      <c r="BT1257" s="22"/>
      <c r="BU1257" s="22"/>
      <c r="BV1257" s="22"/>
      <c r="BW1257" s="22"/>
      <c r="BX1257" s="22"/>
      <c r="BY1257" s="22"/>
      <c r="BZ1257" s="22"/>
      <c r="CA1257" s="22"/>
      <c r="CB1257" s="22"/>
      <c r="CC1257" s="22"/>
      <c r="CD1257" s="22"/>
      <c r="CE1257" s="22"/>
      <c r="CF1257" s="22"/>
      <c r="CG1257" s="22"/>
      <c r="CH1257" s="22"/>
      <c r="CI1257" s="22"/>
      <c r="CJ1257" s="22"/>
      <c r="CK1257" s="22"/>
      <c r="CL1257" s="22"/>
      <c r="CM1257" s="22"/>
      <c r="CN1257" s="22"/>
      <c r="CO1257" s="22"/>
      <c r="CP1257" s="22"/>
      <c r="CQ1257" s="22"/>
      <c r="CR1257" s="22"/>
      <c r="CS1257" s="22"/>
      <c r="CT1257" s="22"/>
      <c r="CU1257" s="22"/>
      <c r="CV1257" s="22"/>
      <c r="CW1257" s="22"/>
      <c r="CX1257" s="22"/>
      <c r="CY1257" s="22"/>
      <c r="CZ1257" s="22"/>
      <c r="DA1257" s="22"/>
      <c r="DB1257" s="22"/>
      <c r="DC1257" s="22"/>
      <c r="DD1257" s="22"/>
      <c r="DE1257" s="22"/>
      <c r="DF1257" s="22"/>
      <c r="DG1257" s="22"/>
      <c r="DH1257" s="22"/>
      <c r="DI1257" s="22"/>
      <c r="DJ1257" s="22"/>
      <c r="DK1257" s="22"/>
      <c r="DL1257" s="22"/>
      <c r="DM1257" s="22"/>
      <c r="DN1257" s="22"/>
      <c r="DO1257" s="22"/>
      <c r="DP1257" s="22"/>
      <c r="DQ1257" s="22"/>
      <c r="DR1257" s="22"/>
      <c r="DS1257" s="22"/>
      <c r="DT1257" s="22"/>
      <c r="DU1257" s="22"/>
      <c r="DV1257" s="22"/>
      <c r="DW1257" s="22"/>
      <c r="DX1257" s="22"/>
      <c r="DY1257" s="22"/>
      <c r="DZ1257" s="22"/>
      <c r="EA1257" s="22"/>
      <c r="EB1257" s="22"/>
      <c r="EC1257" s="22"/>
      <c r="ED1257" s="22"/>
      <c r="EE1257" s="22"/>
      <c r="EF1257" s="22"/>
      <c r="EG1257" s="22"/>
      <c r="EH1257" s="22"/>
      <c r="EI1257" s="22"/>
      <c r="EJ1257" s="22"/>
      <c r="EK1257" s="22"/>
      <c r="EL1257" s="22"/>
      <c r="EM1257" s="22"/>
      <c r="EN1257" s="22"/>
      <c r="EO1257" s="22"/>
      <c r="EP1257" s="22"/>
      <c r="EQ1257" s="22"/>
      <c r="ER1257" s="22"/>
      <c r="ES1257" s="22"/>
      <c r="ET1257" s="22"/>
      <c r="EU1257" s="22"/>
      <c r="EV1257" s="22"/>
      <c r="EW1257" s="22"/>
      <c r="EX1257" s="22"/>
      <c r="EY1257" s="22"/>
      <c r="EZ1257" s="22"/>
      <c r="FA1257" s="22"/>
      <c r="FB1257" s="22"/>
      <c r="FC1257" s="22"/>
      <c r="FD1257" s="22"/>
      <c r="FE1257" s="22"/>
      <c r="FF1257" s="22"/>
      <c r="FG1257" s="22"/>
      <c r="FH1257" s="22"/>
      <c r="FI1257" s="22"/>
      <c r="FJ1257" s="22"/>
      <c r="FK1257" s="22"/>
      <c r="FL1257" s="22"/>
      <c r="FM1257" s="22"/>
      <c r="FN1257" s="22"/>
      <c r="FO1257" s="22"/>
      <c r="FP1257" s="22"/>
      <c r="FQ1257" s="22"/>
      <c r="FR1257" s="22"/>
      <c r="FS1257" s="22"/>
      <c r="FT1257" s="22"/>
      <c r="FU1257" s="22"/>
      <c r="FV1257" s="22"/>
      <c r="FW1257" s="22"/>
      <c r="FX1257" s="22"/>
      <c r="FY1257" s="22"/>
      <c r="FZ1257" s="22"/>
      <c r="GA1257" s="22"/>
      <c r="GB1257" s="22"/>
      <c r="GC1257" s="22"/>
      <c r="GD1257" s="22"/>
      <c r="GE1257" s="22"/>
      <c r="GF1257" s="22"/>
      <c r="GG1257" s="22"/>
      <c r="GH1257" s="22"/>
      <c r="GI1257" s="22"/>
      <c r="GJ1257" s="22"/>
      <c r="GK1257" s="22"/>
      <c r="GL1257" s="22"/>
      <c r="GM1257" s="22"/>
      <c r="GN1257" s="22"/>
      <c r="GO1257" s="22"/>
      <c r="GP1257" s="22"/>
      <c r="GQ1257" s="22"/>
      <c r="GR1257" s="22"/>
      <c r="GS1257" s="22"/>
      <c r="GT1257" s="22"/>
      <c r="GU1257" s="22"/>
      <c r="GV1257" s="22"/>
      <c r="GW1257" s="22"/>
      <c r="GX1257" s="22"/>
      <c r="GY1257" s="22"/>
      <c r="GZ1257" s="22"/>
      <c r="HA1257" s="22"/>
      <c r="HB1257" s="22"/>
      <c r="HC1257" s="22"/>
      <c r="HD1257" s="22"/>
      <c r="HE1257" s="22"/>
      <c r="HF1257" s="22"/>
      <c r="HG1257" s="22"/>
      <c r="HH1257" s="22"/>
      <c r="HI1257" s="22"/>
      <c r="HJ1257" s="22"/>
      <c r="HK1257" s="22"/>
      <c r="HL1257" s="22"/>
      <c r="HM1257" s="22"/>
      <c r="HN1257" s="22"/>
      <c r="HO1257" s="22"/>
      <c r="HP1257" s="22"/>
      <c r="HQ1257" s="22"/>
      <c r="HR1257" s="22"/>
      <c r="HS1257" s="22"/>
      <c r="HT1257" s="22"/>
      <c r="HU1257" s="22"/>
      <c r="HV1257" s="22"/>
      <c r="HW1257" s="22"/>
      <c r="HX1257" s="22"/>
      <c r="HY1257" s="22"/>
      <c r="HZ1257" s="22"/>
      <c r="IA1257" s="22"/>
      <c r="IB1257" s="22"/>
      <c r="IC1257" s="22"/>
      <c r="ID1257" s="22"/>
      <c r="IE1257" s="22"/>
      <c r="IF1257" s="22"/>
      <c r="IG1257" s="22"/>
      <c r="IH1257" s="22"/>
      <c r="II1257" s="22"/>
      <c r="IJ1257" s="22"/>
      <c r="IK1257" s="22"/>
      <c r="IL1257" s="22"/>
      <c r="IM1257" s="22"/>
      <c r="IN1257" s="22"/>
      <c r="IO1257" s="22"/>
      <c r="IP1257" s="22"/>
      <c r="IQ1257" s="22"/>
      <c r="IR1257" s="22"/>
      <c r="IS1257" s="22"/>
      <c r="IT1257" s="22"/>
      <c r="IU1257" s="22"/>
      <c r="IV1257" s="22"/>
      <c r="IW1257" s="22"/>
      <c r="IX1257" s="22"/>
      <c r="IY1257" s="22"/>
      <c r="IZ1257" s="22"/>
      <c r="JA1257" s="22"/>
      <c r="JB1257" s="22"/>
      <c r="JC1257" s="22"/>
      <c r="JD1257" s="22"/>
      <c r="JE1257" s="22"/>
      <c r="JF1257" s="22"/>
      <c r="JG1257" s="22"/>
      <c r="JH1257" s="22"/>
      <c r="JI1257" s="22"/>
      <c r="JJ1257" s="22"/>
      <c r="JK1257" s="22"/>
      <c r="JL1257" s="22"/>
      <c r="JM1257" s="22"/>
      <c r="JN1257" s="22"/>
      <c r="JO1257" s="22"/>
      <c r="JP1257" s="22"/>
      <c r="JQ1257" s="22"/>
      <c r="JR1257" s="22"/>
      <c r="JS1257" s="22"/>
      <c r="JT1257" s="22"/>
      <c r="JU1257" s="22"/>
      <c r="JV1257" s="22"/>
      <c r="JW1257" s="22"/>
      <c r="JX1257" s="22"/>
      <c r="JY1257" s="22"/>
      <c r="JZ1257" s="22"/>
      <c r="KA1257" s="22"/>
      <c r="KB1257" s="22"/>
      <c r="KC1257" s="22"/>
      <c r="KD1257" s="22"/>
      <c r="KE1257" s="22"/>
      <c r="KF1257" s="22"/>
      <c r="KG1257" s="22"/>
      <c r="KH1257" s="22"/>
      <c r="KI1257" s="22"/>
      <c r="KJ1257" s="22"/>
      <c r="KK1257" s="22"/>
      <c r="KL1257" s="22"/>
      <c r="KM1257" s="22"/>
      <c r="KN1257" s="22"/>
      <c r="KO1257" s="22"/>
      <c r="KP1257" s="22"/>
      <c r="KQ1257" s="22"/>
      <c r="KR1257" s="22"/>
      <c r="KS1257" s="22"/>
      <c r="KT1257" s="22"/>
      <c r="KU1257" s="22"/>
      <c r="KV1257" s="22"/>
      <c r="KW1257" s="22"/>
      <c r="KX1257" s="22"/>
      <c r="KY1257" s="22"/>
      <c r="KZ1257" s="22"/>
      <c r="LA1257" s="22"/>
      <c r="LB1257" s="22"/>
      <c r="LC1257" s="22"/>
      <c r="LD1257" s="22"/>
      <c r="LE1257" s="22"/>
      <c r="LF1257" s="22"/>
      <c r="LG1257" s="22"/>
      <c r="LH1257" s="22"/>
      <c r="LI1257" s="22"/>
      <c r="LJ1257" s="22"/>
      <c r="LK1257" s="22"/>
      <c r="LL1257" s="22"/>
      <c r="LM1257" s="22"/>
      <c r="LN1257" s="22"/>
      <c r="LO1257" s="22"/>
      <c r="LP1257" s="22"/>
      <c r="LQ1257" s="22"/>
      <c r="LR1257" s="22"/>
      <c r="LS1257" s="22"/>
      <c r="LT1257" s="22"/>
      <c r="LU1257" s="22"/>
      <c r="LV1257" s="22"/>
      <c r="LW1257" s="22"/>
      <c r="LX1257" s="22"/>
      <c r="LY1257" s="22"/>
      <c r="LZ1257" s="22"/>
      <c r="MA1257" s="22"/>
      <c r="MB1257" s="22"/>
      <c r="MC1257" s="22"/>
      <c r="MD1257" s="22"/>
      <c r="ME1257" s="22"/>
      <c r="MF1257" s="22"/>
      <c r="MG1257" s="22"/>
      <c r="MH1257" s="22"/>
      <c r="MI1257" s="22"/>
      <c r="MJ1257" s="22"/>
      <c r="MK1257" s="22"/>
      <c r="ML1257" s="22"/>
      <c r="MM1257" s="22"/>
      <c r="MN1257" s="22"/>
      <c r="MO1257" s="22"/>
      <c r="MP1257" s="22"/>
      <c r="MQ1257" s="22"/>
      <c r="MR1257" s="22"/>
      <c r="MS1257" s="22"/>
      <c r="MT1257" s="22"/>
      <c r="MU1257" s="22"/>
      <c r="MV1257" s="22"/>
      <c r="MW1257" s="22"/>
      <c r="MX1257" s="22"/>
      <c r="MY1257" s="22"/>
      <c r="MZ1257" s="22"/>
      <c r="NA1257" s="22"/>
      <c r="NB1257" s="22"/>
      <c r="NC1257" s="22"/>
      <c r="ND1257" s="22"/>
      <c r="NE1257" s="22"/>
      <c r="NF1257" s="22"/>
      <c r="NG1257" s="22"/>
      <c r="NH1257" s="22"/>
      <c r="NI1257" s="22"/>
      <c r="NJ1257" s="22"/>
      <c r="NK1257" s="22"/>
      <c r="NL1257" s="22"/>
      <c r="NM1257" s="22"/>
      <c r="NN1257" s="22"/>
      <c r="NO1257" s="22"/>
      <c r="NP1257" s="22"/>
      <c r="NQ1257" s="22"/>
      <c r="NR1257" s="22"/>
      <c r="NS1257" s="22"/>
      <c r="NT1257" s="22"/>
      <c r="NU1257" s="22"/>
      <c r="NV1257" s="22"/>
      <c r="NW1257" s="22"/>
      <c r="NX1257" s="22"/>
      <c r="NY1257" s="22"/>
      <c r="NZ1257" s="22"/>
      <c r="OA1257" s="22"/>
      <c r="OB1257" s="22"/>
      <c r="OC1257" s="22"/>
      <c r="OD1257" s="22"/>
      <c r="OE1257" s="22"/>
      <c r="OF1257" s="22"/>
      <c r="OG1257" s="22"/>
      <c r="OH1257" s="22"/>
      <c r="OI1257" s="22"/>
      <c r="OJ1257" s="22"/>
      <c r="OK1257" s="22"/>
      <c r="OL1257" s="22"/>
      <c r="OM1257" s="22"/>
      <c r="ON1257" s="22"/>
      <c r="OO1257" s="22"/>
      <c r="OP1257" s="22"/>
      <c r="OQ1257" s="22"/>
      <c r="OR1257" s="22"/>
      <c r="OS1257" s="22"/>
      <c r="OT1257" s="22"/>
      <c r="OU1257" s="22"/>
      <c r="OV1257" s="22"/>
      <c r="OW1257" s="22"/>
      <c r="OX1257" s="22"/>
      <c r="OY1257" s="22"/>
      <c r="OZ1257" s="22"/>
      <c r="PA1257" s="22"/>
      <c r="PB1257" s="22"/>
      <c r="PC1257" s="22"/>
      <c r="PD1257" s="22"/>
      <c r="PE1257" s="22"/>
      <c r="PF1257" s="22"/>
      <c r="PG1257" s="22"/>
      <c r="PH1257" s="22"/>
      <c r="PI1257" s="22"/>
      <c r="PJ1257" s="22"/>
      <c r="PK1257" s="22"/>
      <c r="PL1257" s="22"/>
      <c r="PM1257" s="22"/>
      <c r="PN1257" s="22"/>
      <c r="PO1257" s="22"/>
      <c r="PP1257" s="22"/>
      <c r="PQ1257" s="22"/>
      <c r="PR1257" s="22"/>
      <c r="PS1257" s="22"/>
      <c r="PT1257" s="22"/>
      <c r="PU1257" s="22"/>
      <c r="PV1257" s="22"/>
      <c r="PW1257" s="22"/>
      <c r="PX1257" s="22"/>
      <c r="PY1257" s="22"/>
      <c r="PZ1257" s="22"/>
      <c r="QA1257" s="22"/>
      <c r="QB1257" s="22"/>
      <c r="QC1257" s="22"/>
      <c r="QD1257" s="22"/>
      <c r="QE1257" s="22"/>
      <c r="QF1257" s="22"/>
      <c r="QG1257" s="22"/>
      <c r="QH1257" s="22"/>
      <c r="QI1257" s="22"/>
      <c r="QJ1257" s="22"/>
      <c r="QK1257" s="22"/>
      <c r="QL1257" s="22"/>
      <c r="QM1257" s="22"/>
      <c r="QN1257" s="22"/>
      <c r="QO1257" s="22"/>
      <c r="QP1257" s="22"/>
      <c r="QQ1257" s="22"/>
      <c r="QR1257" s="22"/>
      <c r="QS1257" s="22"/>
      <c r="QT1257" s="22"/>
      <c r="QU1257" s="22"/>
      <c r="QV1257" s="22"/>
      <c r="QW1257" s="22"/>
      <c r="QX1257" s="22"/>
      <c r="QY1257" s="22"/>
      <c r="QZ1257" s="22"/>
      <c r="RA1257" s="22"/>
      <c r="RB1257" s="22"/>
      <c r="RC1257" s="22"/>
      <c r="RD1257" s="22"/>
      <c r="RE1257" s="22"/>
      <c r="RF1257" s="22"/>
      <c r="RG1257" s="22"/>
      <c r="RH1257" s="22"/>
      <c r="RI1257" s="22"/>
      <c r="RJ1257" s="22"/>
      <c r="RK1257" s="22"/>
      <c r="RL1257" s="22"/>
      <c r="RM1257" s="22"/>
      <c r="RN1257" s="22"/>
      <c r="RO1257" s="22"/>
      <c r="RP1257" s="22"/>
      <c r="RQ1257" s="22"/>
      <c r="RR1257" s="22"/>
      <c r="RS1257" s="22"/>
      <c r="RT1257" s="22"/>
      <c r="RU1257" s="22"/>
      <c r="RV1257" s="22"/>
      <c r="RW1257" s="22"/>
      <c r="RX1257" s="22"/>
      <c r="RY1257" s="22"/>
      <c r="RZ1257" s="22"/>
      <c r="SA1257" s="22"/>
      <c r="SB1257" s="22"/>
      <c r="SC1257" s="22"/>
      <c r="SD1257" s="22"/>
      <c r="SE1257" s="22"/>
      <c r="SF1257" s="22"/>
      <c r="SG1257" s="22"/>
      <c r="SH1257" s="22"/>
      <c r="SI1257" s="22"/>
      <c r="SJ1257" s="22"/>
      <c r="SK1257" s="22"/>
      <c r="SL1257" s="22"/>
      <c r="SM1257" s="22"/>
      <c r="SN1257" s="22"/>
      <c r="SO1257" s="22"/>
      <c r="SP1257" s="22"/>
      <c r="SQ1257" s="22"/>
      <c r="SR1257" s="22"/>
      <c r="SS1257" s="22"/>
      <c r="ST1257" s="22"/>
      <c r="SU1257" s="22"/>
      <c r="SV1257" s="22"/>
      <c r="SW1257" s="22"/>
      <c r="SX1257" s="22"/>
      <c r="SY1257" s="22"/>
      <c r="SZ1257" s="22"/>
      <c r="TA1257" s="22"/>
      <c r="TB1257" s="22"/>
      <c r="TC1257" s="22"/>
      <c r="TD1257" s="22"/>
      <c r="TE1257" s="22"/>
      <c r="TF1257" s="22"/>
      <c r="TG1257" s="22"/>
      <c r="TH1257" s="22"/>
      <c r="TI1257" s="22"/>
      <c r="TJ1257" s="22"/>
      <c r="TK1257" s="22"/>
      <c r="TL1257" s="22"/>
      <c r="TM1257" s="22"/>
      <c r="TN1257" s="22"/>
      <c r="TO1257" s="22"/>
      <c r="TP1257" s="22"/>
      <c r="TQ1257" s="22"/>
      <c r="TR1257" s="22"/>
      <c r="TS1257" s="22"/>
      <c r="TT1257" s="22"/>
      <c r="TU1257" s="22"/>
      <c r="TV1257" s="22"/>
      <c r="TW1257" s="22"/>
      <c r="TX1257" s="22"/>
      <c r="TY1257" s="22"/>
      <c r="TZ1257" s="22"/>
      <c r="UA1257" s="22"/>
      <c r="UB1257" s="22"/>
      <c r="UC1257" s="22"/>
      <c r="UD1257" s="22"/>
      <c r="UE1257" s="22"/>
      <c r="UF1257" s="22"/>
      <c r="UG1257" s="23"/>
    </row>
    <row r="1258" spans="1:553" ht="36" customHeight="1">
      <c r="A1258" s="366"/>
      <c r="B1258" s="366">
        <v>203</v>
      </c>
      <c r="C1258" s="1535" t="s">
        <v>692</v>
      </c>
      <c r="D1258" s="1389"/>
      <c r="E1258" s="1389"/>
      <c r="F1258" s="1390"/>
      <c r="G1258" s="366" t="s">
        <v>113</v>
      </c>
      <c r="H1258" s="370"/>
      <c r="I1258" s="370">
        <f>4.5*2.4/1.7</f>
        <v>6.3529411764705879</v>
      </c>
      <c r="J1258" s="368">
        <v>815000</v>
      </c>
      <c r="K1258" s="371"/>
      <c r="L1258" s="480">
        <f t="shared" si="189"/>
        <v>5177647.0588235287</v>
      </c>
      <c r="M1258" s="366"/>
      <c r="N1258" s="366"/>
      <c r="O1258" s="366"/>
      <c r="P1258" s="366"/>
      <c r="Q1258" s="812"/>
      <c r="R1258" s="1226"/>
      <c r="S1258" s="308"/>
      <c r="T1258" s="308"/>
      <c r="U1258" s="308"/>
      <c r="V1258" s="308"/>
      <c r="W1258" s="308"/>
      <c r="X1258" s="308"/>
      <c r="Y1258" s="308"/>
      <c r="Z1258" s="604"/>
      <c r="AA1258" s="308"/>
      <c r="AB1258" s="308"/>
      <c r="AC1258" s="373"/>
      <c r="AD1258" s="373"/>
      <c r="AE1258" s="373"/>
      <c r="AF1258" s="373"/>
      <c r="AG1258" s="373"/>
      <c r="AH1258" s="373"/>
      <c r="AI1258" s="373"/>
      <c r="AJ1258" s="373"/>
      <c r="AK1258" s="389"/>
      <c r="AL1258" s="100"/>
      <c r="AM1258" s="27"/>
      <c r="AN1258" s="27"/>
      <c r="AO1258" s="27"/>
      <c r="AP1258" s="27"/>
      <c r="AQ1258" s="27"/>
      <c r="AR1258" s="27"/>
      <c r="AS1258" s="22"/>
      <c r="AT1258" s="22"/>
      <c r="AU1258" s="22"/>
      <c r="AV1258" s="22"/>
      <c r="AW1258" s="22"/>
      <c r="AX1258" s="22"/>
      <c r="AY1258" s="22"/>
      <c r="AZ1258" s="22"/>
      <c r="BA1258" s="22"/>
      <c r="BB1258" s="22"/>
      <c r="BC1258" s="22"/>
      <c r="BD1258" s="22"/>
      <c r="BE1258" s="22"/>
      <c r="BF1258" s="22"/>
      <c r="BG1258" s="22"/>
      <c r="BH1258" s="22"/>
      <c r="BI1258" s="22"/>
      <c r="BJ1258" s="22"/>
      <c r="BK1258" s="22"/>
      <c r="BL1258" s="22"/>
      <c r="BM1258" s="22"/>
      <c r="BN1258" s="22"/>
      <c r="BO1258" s="22"/>
      <c r="BP1258" s="22"/>
      <c r="BQ1258" s="22"/>
      <c r="BR1258" s="22"/>
      <c r="BS1258" s="22"/>
      <c r="BT1258" s="22"/>
      <c r="BU1258" s="22"/>
      <c r="BV1258" s="22"/>
      <c r="BW1258" s="22"/>
      <c r="BX1258" s="22"/>
      <c r="BY1258" s="22"/>
      <c r="BZ1258" s="22"/>
      <c r="CA1258" s="22"/>
      <c r="CB1258" s="22"/>
      <c r="CC1258" s="22"/>
      <c r="CD1258" s="22"/>
      <c r="CE1258" s="22"/>
      <c r="CF1258" s="22"/>
      <c r="CG1258" s="22"/>
      <c r="CH1258" s="22"/>
      <c r="CI1258" s="22"/>
      <c r="CJ1258" s="22"/>
      <c r="CK1258" s="22"/>
      <c r="CL1258" s="22"/>
      <c r="CM1258" s="22"/>
      <c r="CN1258" s="22"/>
      <c r="CO1258" s="22"/>
      <c r="CP1258" s="22"/>
      <c r="CQ1258" s="22"/>
      <c r="CR1258" s="22"/>
      <c r="CS1258" s="22"/>
      <c r="CT1258" s="22"/>
      <c r="CU1258" s="22"/>
      <c r="CV1258" s="22"/>
      <c r="CW1258" s="22"/>
      <c r="CX1258" s="22"/>
      <c r="CY1258" s="22"/>
      <c r="CZ1258" s="22"/>
      <c r="DA1258" s="22"/>
      <c r="DB1258" s="22"/>
      <c r="DC1258" s="22"/>
      <c r="DD1258" s="22"/>
      <c r="DE1258" s="22"/>
      <c r="DF1258" s="22"/>
      <c r="DG1258" s="22"/>
      <c r="DH1258" s="22"/>
      <c r="DI1258" s="22"/>
      <c r="DJ1258" s="22"/>
      <c r="DK1258" s="22"/>
      <c r="DL1258" s="22"/>
      <c r="DM1258" s="22"/>
      <c r="DN1258" s="22"/>
      <c r="DO1258" s="22"/>
      <c r="DP1258" s="22"/>
      <c r="DQ1258" s="22"/>
      <c r="DR1258" s="22"/>
      <c r="DS1258" s="22"/>
      <c r="DT1258" s="22"/>
      <c r="DU1258" s="22"/>
      <c r="DV1258" s="22"/>
      <c r="DW1258" s="22"/>
      <c r="DX1258" s="22"/>
      <c r="DY1258" s="22"/>
      <c r="DZ1258" s="22"/>
      <c r="EA1258" s="22"/>
      <c r="EB1258" s="22"/>
      <c r="EC1258" s="22"/>
      <c r="ED1258" s="22"/>
      <c r="EE1258" s="22"/>
      <c r="EF1258" s="22"/>
      <c r="EG1258" s="22"/>
      <c r="EH1258" s="22"/>
      <c r="EI1258" s="22"/>
      <c r="EJ1258" s="22"/>
      <c r="EK1258" s="22"/>
      <c r="EL1258" s="22"/>
      <c r="EM1258" s="22"/>
      <c r="EN1258" s="22"/>
      <c r="EO1258" s="22"/>
      <c r="EP1258" s="22"/>
      <c r="EQ1258" s="22"/>
      <c r="ER1258" s="22"/>
      <c r="ES1258" s="22"/>
      <c r="ET1258" s="22"/>
      <c r="EU1258" s="22"/>
      <c r="EV1258" s="22"/>
      <c r="EW1258" s="22"/>
      <c r="EX1258" s="22"/>
      <c r="EY1258" s="22"/>
      <c r="EZ1258" s="22"/>
      <c r="FA1258" s="22"/>
      <c r="FB1258" s="22"/>
      <c r="FC1258" s="22"/>
      <c r="FD1258" s="22"/>
      <c r="FE1258" s="22"/>
      <c r="FF1258" s="22"/>
      <c r="FG1258" s="22"/>
      <c r="FH1258" s="22"/>
      <c r="FI1258" s="22"/>
      <c r="FJ1258" s="22"/>
      <c r="FK1258" s="22"/>
      <c r="FL1258" s="22"/>
      <c r="FM1258" s="22"/>
      <c r="FN1258" s="22"/>
      <c r="FO1258" s="22"/>
      <c r="FP1258" s="22"/>
      <c r="FQ1258" s="22"/>
      <c r="FR1258" s="22"/>
      <c r="FS1258" s="22"/>
      <c r="FT1258" s="22"/>
      <c r="FU1258" s="22"/>
      <c r="FV1258" s="22"/>
      <c r="FW1258" s="22"/>
      <c r="FX1258" s="22"/>
      <c r="FY1258" s="22"/>
      <c r="FZ1258" s="22"/>
      <c r="GA1258" s="22"/>
      <c r="GB1258" s="22"/>
      <c r="GC1258" s="22"/>
      <c r="GD1258" s="22"/>
      <c r="GE1258" s="22"/>
      <c r="GF1258" s="22"/>
      <c r="GG1258" s="22"/>
      <c r="GH1258" s="22"/>
      <c r="GI1258" s="22"/>
      <c r="GJ1258" s="22"/>
      <c r="GK1258" s="22"/>
      <c r="GL1258" s="22"/>
      <c r="GM1258" s="22"/>
      <c r="GN1258" s="22"/>
      <c r="GO1258" s="22"/>
      <c r="GP1258" s="22"/>
      <c r="GQ1258" s="22"/>
      <c r="GR1258" s="22"/>
      <c r="GS1258" s="22"/>
      <c r="GT1258" s="22"/>
      <c r="GU1258" s="22"/>
      <c r="GV1258" s="22"/>
      <c r="GW1258" s="22"/>
      <c r="GX1258" s="22"/>
      <c r="GY1258" s="22"/>
      <c r="GZ1258" s="22"/>
      <c r="HA1258" s="22"/>
      <c r="HB1258" s="22"/>
      <c r="HC1258" s="22"/>
      <c r="HD1258" s="22"/>
      <c r="HE1258" s="22"/>
      <c r="HF1258" s="22"/>
      <c r="HG1258" s="22"/>
      <c r="HH1258" s="22"/>
      <c r="HI1258" s="22"/>
      <c r="HJ1258" s="22"/>
      <c r="HK1258" s="22"/>
      <c r="HL1258" s="22"/>
      <c r="HM1258" s="22"/>
      <c r="HN1258" s="22"/>
      <c r="HO1258" s="22"/>
      <c r="HP1258" s="22"/>
      <c r="HQ1258" s="22"/>
      <c r="HR1258" s="22"/>
      <c r="HS1258" s="22"/>
      <c r="HT1258" s="22"/>
      <c r="HU1258" s="22"/>
      <c r="HV1258" s="22"/>
      <c r="HW1258" s="22"/>
      <c r="HX1258" s="22"/>
      <c r="HY1258" s="22"/>
      <c r="HZ1258" s="22"/>
      <c r="IA1258" s="22"/>
      <c r="IB1258" s="22"/>
      <c r="IC1258" s="22"/>
      <c r="ID1258" s="22"/>
      <c r="IE1258" s="22"/>
      <c r="IF1258" s="22"/>
      <c r="IG1258" s="22"/>
      <c r="IH1258" s="22"/>
      <c r="II1258" s="22"/>
      <c r="IJ1258" s="22"/>
      <c r="IK1258" s="22"/>
      <c r="IL1258" s="22"/>
      <c r="IM1258" s="22"/>
      <c r="IN1258" s="22"/>
      <c r="IO1258" s="22"/>
      <c r="IP1258" s="22"/>
      <c r="IQ1258" s="22"/>
      <c r="IR1258" s="22"/>
      <c r="IS1258" s="22"/>
      <c r="IT1258" s="22"/>
      <c r="IU1258" s="22"/>
      <c r="IV1258" s="22"/>
      <c r="IW1258" s="22"/>
      <c r="IX1258" s="22"/>
      <c r="IY1258" s="22"/>
      <c r="IZ1258" s="22"/>
      <c r="JA1258" s="22"/>
      <c r="JB1258" s="22"/>
      <c r="JC1258" s="22"/>
      <c r="JD1258" s="22"/>
      <c r="JE1258" s="22"/>
      <c r="JF1258" s="22"/>
      <c r="JG1258" s="22"/>
      <c r="JH1258" s="22"/>
      <c r="JI1258" s="22"/>
      <c r="JJ1258" s="22"/>
      <c r="JK1258" s="22"/>
      <c r="JL1258" s="22"/>
      <c r="JM1258" s="22"/>
      <c r="JN1258" s="22"/>
      <c r="JO1258" s="22"/>
      <c r="JP1258" s="22"/>
      <c r="JQ1258" s="22"/>
      <c r="JR1258" s="22"/>
      <c r="JS1258" s="22"/>
      <c r="JT1258" s="22"/>
      <c r="JU1258" s="22"/>
      <c r="JV1258" s="22"/>
      <c r="JW1258" s="22"/>
      <c r="JX1258" s="22"/>
      <c r="JY1258" s="22"/>
      <c r="JZ1258" s="22"/>
      <c r="KA1258" s="22"/>
      <c r="KB1258" s="22"/>
      <c r="KC1258" s="22"/>
      <c r="KD1258" s="22"/>
      <c r="KE1258" s="22"/>
      <c r="KF1258" s="22"/>
      <c r="KG1258" s="22"/>
      <c r="KH1258" s="22"/>
      <c r="KI1258" s="22"/>
      <c r="KJ1258" s="22"/>
      <c r="KK1258" s="22"/>
      <c r="KL1258" s="22"/>
      <c r="KM1258" s="22"/>
      <c r="KN1258" s="22"/>
      <c r="KO1258" s="22"/>
      <c r="KP1258" s="22"/>
      <c r="KQ1258" s="22"/>
      <c r="KR1258" s="22"/>
      <c r="KS1258" s="22"/>
      <c r="KT1258" s="22"/>
      <c r="KU1258" s="22"/>
      <c r="KV1258" s="22"/>
      <c r="KW1258" s="22"/>
      <c r="KX1258" s="22"/>
      <c r="KY1258" s="22"/>
      <c r="KZ1258" s="22"/>
      <c r="LA1258" s="22"/>
      <c r="LB1258" s="22"/>
      <c r="LC1258" s="22"/>
      <c r="LD1258" s="22"/>
      <c r="LE1258" s="22"/>
      <c r="LF1258" s="22"/>
      <c r="LG1258" s="22"/>
      <c r="LH1258" s="22"/>
      <c r="LI1258" s="22"/>
      <c r="LJ1258" s="22"/>
      <c r="LK1258" s="22"/>
      <c r="LL1258" s="22"/>
      <c r="LM1258" s="22"/>
      <c r="LN1258" s="22"/>
      <c r="LO1258" s="22"/>
      <c r="LP1258" s="22"/>
      <c r="LQ1258" s="22"/>
      <c r="LR1258" s="22"/>
      <c r="LS1258" s="22"/>
      <c r="LT1258" s="22"/>
      <c r="LU1258" s="22"/>
      <c r="LV1258" s="22"/>
      <c r="LW1258" s="22"/>
      <c r="LX1258" s="22"/>
      <c r="LY1258" s="22"/>
      <c r="LZ1258" s="22"/>
      <c r="MA1258" s="22"/>
      <c r="MB1258" s="22"/>
      <c r="MC1258" s="22"/>
      <c r="MD1258" s="22"/>
      <c r="ME1258" s="22"/>
      <c r="MF1258" s="22"/>
      <c r="MG1258" s="22"/>
      <c r="MH1258" s="22"/>
      <c r="MI1258" s="22"/>
      <c r="MJ1258" s="22"/>
      <c r="MK1258" s="22"/>
      <c r="ML1258" s="22"/>
      <c r="MM1258" s="22"/>
      <c r="MN1258" s="22"/>
      <c r="MO1258" s="22"/>
      <c r="MP1258" s="22"/>
      <c r="MQ1258" s="22"/>
      <c r="MR1258" s="22"/>
      <c r="MS1258" s="22"/>
      <c r="MT1258" s="22"/>
      <c r="MU1258" s="22"/>
      <c r="MV1258" s="22"/>
      <c r="MW1258" s="22"/>
      <c r="MX1258" s="22"/>
      <c r="MY1258" s="22"/>
      <c r="MZ1258" s="22"/>
      <c r="NA1258" s="22"/>
      <c r="NB1258" s="22"/>
      <c r="NC1258" s="22"/>
      <c r="ND1258" s="22"/>
      <c r="NE1258" s="22"/>
      <c r="NF1258" s="22"/>
      <c r="NG1258" s="22"/>
      <c r="NH1258" s="22"/>
      <c r="NI1258" s="22"/>
      <c r="NJ1258" s="22"/>
      <c r="NK1258" s="22"/>
      <c r="NL1258" s="22"/>
      <c r="NM1258" s="22"/>
      <c r="NN1258" s="22"/>
      <c r="NO1258" s="22"/>
      <c r="NP1258" s="22"/>
      <c r="NQ1258" s="22"/>
      <c r="NR1258" s="22"/>
      <c r="NS1258" s="22"/>
      <c r="NT1258" s="22"/>
      <c r="NU1258" s="22"/>
      <c r="NV1258" s="22"/>
      <c r="NW1258" s="22"/>
      <c r="NX1258" s="22"/>
      <c r="NY1258" s="22"/>
      <c r="NZ1258" s="22"/>
      <c r="OA1258" s="22"/>
      <c r="OB1258" s="22"/>
      <c r="OC1258" s="22"/>
      <c r="OD1258" s="22"/>
      <c r="OE1258" s="22"/>
      <c r="OF1258" s="22"/>
      <c r="OG1258" s="22"/>
      <c r="OH1258" s="22"/>
      <c r="OI1258" s="22"/>
      <c r="OJ1258" s="22"/>
      <c r="OK1258" s="22"/>
      <c r="OL1258" s="22"/>
      <c r="OM1258" s="22"/>
      <c r="ON1258" s="22"/>
      <c r="OO1258" s="22"/>
      <c r="OP1258" s="22"/>
      <c r="OQ1258" s="22"/>
      <c r="OR1258" s="22"/>
      <c r="OS1258" s="22"/>
      <c r="OT1258" s="22"/>
      <c r="OU1258" s="22"/>
      <c r="OV1258" s="22"/>
      <c r="OW1258" s="22"/>
      <c r="OX1258" s="22"/>
      <c r="OY1258" s="22"/>
      <c r="OZ1258" s="22"/>
      <c r="PA1258" s="22"/>
      <c r="PB1258" s="22"/>
      <c r="PC1258" s="22"/>
      <c r="PD1258" s="22"/>
      <c r="PE1258" s="22"/>
      <c r="PF1258" s="22"/>
      <c r="PG1258" s="22"/>
      <c r="PH1258" s="22"/>
      <c r="PI1258" s="22"/>
      <c r="PJ1258" s="22"/>
      <c r="PK1258" s="22"/>
      <c r="PL1258" s="22"/>
      <c r="PM1258" s="22"/>
      <c r="PN1258" s="22"/>
      <c r="PO1258" s="22"/>
      <c r="PP1258" s="22"/>
      <c r="PQ1258" s="22"/>
      <c r="PR1258" s="22"/>
      <c r="PS1258" s="22"/>
      <c r="PT1258" s="22"/>
      <c r="PU1258" s="22"/>
      <c r="PV1258" s="22"/>
      <c r="PW1258" s="22"/>
      <c r="PX1258" s="22"/>
      <c r="PY1258" s="22"/>
      <c r="PZ1258" s="22"/>
      <c r="QA1258" s="22"/>
      <c r="QB1258" s="22"/>
      <c r="QC1258" s="22"/>
      <c r="QD1258" s="22"/>
      <c r="QE1258" s="22"/>
      <c r="QF1258" s="22"/>
      <c r="QG1258" s="22"/>
      <c r="QH1258" s="22"/>
      <c r="QI1258" s="22"/>
      <c r="QJ1258" s="22"/>
      <c r="QK1258" s="22"/>
      <c r="QL1258" s="22"/>
      <c r="QM1258" s="22"/>
      <c r="QN1258" s="22"/>
      <c r="QO1258" s="22"/>
      <c r="QP1258" s="22"/>
      <c r="QQ1258" s="22"/>
      <c r="QR1258" s="22"/>
      <c r="QS1258" s="22"/>
      <c r="QT1258" s="22"/>
      <c r="QU1258" s="22"/>
      <c r="QV1258" s="22"/>
      <c r="QW1258" s="22"/>
      <c r="QX1258" s="22"/>
      <c r="QY1258" s="22"/>
      <c r="QZ1258" s="22"/>
      <c r="RA1258" s="22"/>
      <c r="RB1258" s="22"/>
      <c r="RC1258" s="22"/>
      <c r="RD1258" s="22"/>
      <c r="RE1258" s="22"/>
      <c r="RF1258" s="22"/>
      <c r="RG1258" s="22"/>
      <c r="RH1258" s="22"/>
      <c r="RI1258" s="22"/>
      <c r="RJ1258" s="22"/>
      <c r="RK1258" s="22"/>
      <c r="RL1258" s="22"/>
      <c r="RM1258" s="22"/>
      <c r="RN1258" s="22"/>
      <c r="RO1258" s="22"/>
      <c r="RP1258" s="22"/>
      <c r="RQ1258" s="22"/>
      <c r="RR1258" s="22"/>
      <c r="RS1258" s="22"/>
      <c r="RT1258" s="22"/>
      <c r="RU1258" s="22"/>
      <c r="RV1258" s="22"/>
      <c r="RW1258" s="22"/>
      <c r="RX1258" s="22"/>
      <c r="RY1258" s="22"/>
      <c r="RZ1258" s="22"/>
      <c r="SA1258" s="22"/>
      <c r="SB1258" s="22"/>
      <c r="SC1258" s="22"/>
      <c r="SD1258" s="22"/>
      <c r="SE1258" s="22"/>
      <c r="SF1258" s="22"/>
      <c r="SG1258" s="22"/>
      <c r="SH1258" s="22"/>
      <c r="SI1258" s="22"/>
      <c r="SJ1258" s="22"/>
      <c r="SK1258" s="22"/>
      <c r="SL1258" s="22"/>
      <c r="SM1258" s="22"/>
      <c r="SN1258" s="22"/>
      <c r="SO1258" s="22"/>
      <c r="SP1258" s="22"/>
      <c r="SQ1258" s="22"/>
      <c r="SR1258" s="22"/>
      <c r="SS1258" s="22"/>
      <c r="ST1258" s="22"/>
      <c r="SU1258" s="22"/>
      <c r="SV1258" s="22"/>
      <c r="SW1258" s="22"/>
      <c r="SX1258" s="22"/>
      <c r="SY1258" s="22"/>
      <c r="SZ1258" s="22"/>
      <c r="TA1258" s="22"/>
      <c r="TB1258" s="22"/>
      <c r="TC1258" s="22"/>
      <c r="TD1258" s="22"/>
      <c r="TE1258" s="22"/>
      <c r="TF1258" s="22"/>
      <c r="TG1258" s="22"/>
      <c r="TH1258" s="22"/>
      <c r="TI1258" s="22"/>
      <c r="TJ1258" s="22"/>
      <c r="TK1258" s="22"/>
      <c r="TL1258" s="22"/>
      <c r="TM1258" s="22"/>
      <c r="TN1258" s="22"/>
      <c r="TO1258" s="22"/>
      <c r="TP1258" s="22"/>
      <c r="TQ1258" s="22"/>
      <c r="TR1258" s="22"/>
      <c r="TS1258" s="22"/>
      <c r="TT1258" s="22"/>
      <c r="TU1258" s="22"/>
      <c r="TV1258" s="22"/>
      <c r="TW1258" s="22"/>
      <c r="TX1258" s="22"/>
      <c r="TY1258" s="22"/>
      <c r="TZ1258" s="22"/>
      <c r="UA1258" s="22"/>
      <c r="UB1258" s="22"/>
      <c r="UC1258" s="22"/>
      <c r="UD1258" s="22"/>
      <c r="UE1258" s="22"/>
      <c r="UF1258" s="22"/>
      <c r="UG1258" s="23"/>
    </row>
    <row r="1259" spans="1:553" s="120" customFormat="1" ht="34.5" customHeight="1">
      <c r="A1259" s="431" t="s">
        <v>30</v>
      </c>
      <c r="B1259" s="541">
        <v>2</v>
      </c>
      <c r="C1259" s="1382" t="s">
        <v>891</v>
      </c>
      <c r="D1259" s="1383"/>
      <c r="E1259" s="1383"/>
      <c r="F1259" s="1384"/>
      <c r="G1259" s="542" t="s">
        <v>33</v>
      </c>
      <c r="H1259" s="543"/>
      <c r="I1259" s="834">
        <f>-4.5*2.4*2</f>
        <v>-21.599999999999998</v>
      </c>
      <c r="J1259" s="990">
        <v>52000</v>
      </c>
      <c r="K1259" s="644"/>
      <c r="L1259" s="1191">
        <f>J1259*I1259</f>
        <v>-1123200</v>
      </c>
      <c r="M1259" s="637"/>
      <c r="N1259" s="637"/>
      <c r="O1259" s="544"/>
      <c r="P1259" s="638"/>
      <c r="Q1259" s="634"/>
      <c r="R1259" s="1164"/>
      <c r="S1259" s="308"/>
      <c r="T1259" s="308"/>
      <c r="U1259" s="308"/>
      <c r="V1259" s="308"/>
      <c r="W1259" s="308"/>
      <c r="X1259" s="308"/>
      <c r="Y1259" s="308"/>
      <c r="Z1259" s="604"/>
      <c r="AA1259" s="308"/>
      <c r="AB1259" s="308"/>
      <c r="AC1259" s="545"/>
      <c r="AD1259" s="545"/>
      <c r="AE1259" s="545"/>
      <c r="AF1259" s="545"/>
      <c r="AG1259" s="546"/>
      <c r="AH1259" s="546"/>
      <c r="AI1259" s="546"/>
      <c r="AJ1259" s="546"/>
      <c r="AK1259" s="546"/>
      <c r="AL1259" s="138"/>
      <c r="AM1259" s="138"/>
      <c r="AN1259" s="138"/>
      <c r="AO1259" s="138"/>
      <c r="AP1259" s="138"/>
      <c r="AQ1259" s="139"/>
      <c r="AR1259" s="139"/>
      <c r="AS1259" s="139"/>
      <c r="AT1259" s="139"/>
      <c r="AU1259" s="139"/>
      <c r="AV1259" s="139"/>
      <c r="AW1259" s="139"/>
      <c r="AX1259" s="139"/>
      <c r="AY1259" s="139"/>
      <c r="AZ1259" s="139"/>
      <c r="BA1259" s="139"/>
      <c r="BB1259" s="139"/>
      <c r="BC1259" s="139"/>
      <c r="BD1259" s="139"/>
      <c r="BE1259" s="139"/>
      <c r="BF1259" s="139"/>
      <c r="BG1259" s="139"/>
      <c r="BH1259" s="139"/>
      <c r="BI1259" s="139"/>
      <c r="BJ1259" s="139"/>
      <c r="BK1259" s="139"/>
      <c r="BL1259" s="139"/>
      <c r="BM1259" s="139"/>
      <c r="BN1259" s="139"/>
      <c r="BO1259" s="139"/>
      <c r="BP1259" s="139"/>
      <c r="BQ1259" s="139"/>
      <c r="BR1259" s="139"/>
      <c r="BS1259" s="139"/>
      <c r="BT1259" s="139"/>
      <c r="BU1259" s="139"/>
      <c r="BV1259" s="139"/>
      <c r="BW1259" s="139"/>
      <c r="BX1259" s="139"/>
      <c r="BY1259" s="139"/>
      <c r="BZ1259" s="139"/>
      <c r="CA1259" s="139"/>
      <c r="CB1259" s="139"/>
      <c r="CC1259" s="139"/>
      <c r="CD1259" s="139"/>
      <c r="CE1259" s="139"/>
      <c r="CF1259" s="139"/>
      <c r="CG1259" s="139"/>
      <c r="CH1259" s="139"/>
      <c r="CI1259" s="139"/>
      <c r="CJ1259" s="139"/>
      <c r="CK1259" s="139"/>
      <c r="CL1259" s="139"/>
      <c r="CM1259" s="139"/>
      <c r="CN1259" s="139"/>
      <c r="CO1259" s="139"/>
      <c r="CP1259" s="139"/>
      <c r="CQ1259" s="139"/>
      <c r="CR1259" s="139"/>
      <c r="CS1259" s="139"/>
      <c r="CT1259" s="139"/>
      <c r="CU1259" s="139"/>
      <c r="CV1259" s="139"/>
      <c r="CW1259" s="139"/>
      <c r="CX1259" s="139"/>
      <c r="CY1259" s="139"/>
      <c r="CZ1259" s="139"/>
      <c r="DA1259" s="139"/>
      <c r="DB1259" s="139"/>
      <c r="DC1259" s="139"/>
      <c r="DD1259" s="139"/>
      <c r="DE1259" s="139"/>
      <c r="DF1259" s="139"/>
      <c r="DG1259" s="139"/>
      <c r="DH1259" s="139"/>
      <c r="DI1259" s="139"/>
      <c r="DJ1259" s="139"/>
      <c r="DK1259" s="139"/>
      <c r="DL1259" s="139"/>
      <c r="DM1259" s="139"/>
      <c r="DN1259" s="139"/>
      <c r="DO1259" s="139"/>
      <c r="DP1259" s="139"/>
      <c r="DQ1259" s="139"/>
      <c r="DR1259" s="139"/>
      <c r="DS1259" s="139"/>
      <c r="DT1259" s="139"/>
      <c r="DU1259" s="139"/>
      <c r="DV1259" s="139"/>
      <c r="DW1259" s="139"/>
      <c r="DX1259" s="139"/>
      <c r="DY1259" s="139"/>
      <c r="DZ1259" s="139"/>
      <c r="EA1259" s="139"/>
      <c r="EB1259" s="139"/>
      <c r="EC1259" s="139"/>
      <c r="ED1259" s="139"/>
      <c r="EE1259" s="139"/>
      <c r="EF1259" s="139"/>
      <c r="EG1259" s="139"/>
      <c r="EH1259" s="139"/>
      <c r="EI1259" s="139"/>
      <c r="EJ1259" s="139"/>
      <c r="EK1259" s="139"/>
      <c r="EL1259" s="139"/>
      <c r="EM1259" s="139"/>
      <c r="EN1259" s="139"/>
      <c r="EO1259" s="139"/>
      <c r="EP1259" s="139"/>
      <c r="EQ1259" s="139"/>
      <c r="ER1259" s="139"/>
      <c r="ES1259" s="139"/>
      <c r="ET1259" s="139"/>
      <c r="EU1259" s="139"/>
      <c r="EV1259" s="139"/>
      <c r="EW1259" s="139"/>
      <c r="EX1259" s="139"/>
      <c r="EY1259" s="139"/>
      <c r="EZ1259" s="139"/>
      <c r="FA1259" s="139"/>
      <c r="FB1259" s="139"/>
      <c r="FC1259" s="139"/>
      <c r="FD1259" s="139"/>
      <c r="FE1259" s="139"/>
      <c r="FF1259" s="139"/>
      <c r="FG1259" s="139"/>
      <c r="FH1259" s="139"/>
      <c r="FI1259" s="139"/>
      <c r="FJ1259" s="139"/>
      <c r="FK1259" s="139"/>
      <c r="FL1259" s="139"/>
      <c r="FM1259" s="139"/>
      <c r="FN1259" s="139"/>
      <c r="FO1259" s="139"/>
      <c r="FP1259" s="139"/>
      <c r="FQ1259" s="139"/>
      <c r="FR1259" s="139"/>
      <c r="FS1259" s="139"/>
      <c r="FT1259" s="139"/>
      <c r="FU1259" s="139"/>
      <c r="FV1259" s="139"/>
      <c r="FW1259" s="139"/>
      <c r="FX1259" s="139"/>
      <c r="FY1259" s="139"/>
      <c r="FZ1259" s="139"/>
      <c r="GA1259" s="139"/>
      <c r="GB1259" s="139"/>
      <c r="GC1259" s="139"/>
      <c r="GD1259" s="139"/>
      <c r="GE1259" s="139"/>
      <c r="GF1259" s="139"/>
      <c r="GG1259" s="139"/>
      <c r="GH1259" s="139"/>
      <c r="GI1259" s="139"/>
      <c r="GJ1259" s="139"/>
      <c r="GK1259" s="139"/>
      <c r="GL1259" s="139"/>
      <c r="GM1259" s="139"/>
      <c r="GN1259" s="139"/>
      <c r="GO1259" s="139"/>
      <c r="GP1259" s="139"/>
      <c r="GQ1259" s="139"/>
      <c r="GR1259" s="139"/>
      <c r="GS1259" s="139"/>
      <c r="GT1259" s="139"/>
      <c r="GU1259" s="139"/>
      <c r="GV1259" s="139"/>
      <c r="GW1259" s="139"/>
      <c r="GX1259" s="139"/>
      <c r="GY1259" s="139"/>
      <c r="GZ1259" s="139"/>
      <c r="HA1259" s="139"/>
      <c r="HB1259" s="139"/>
      <c r="HC1259" s="139"/>
      <c r="HD1259" s="139"/>
      <c r="HE1259" s="139"/>
      <c r="HF1259" s="139"/>
      <c r="HG1259" s="139"/>
      <c r="HH1259" s="139"/>
      <c r="HI1259" s="139"/>
      <c r="HJ1259" s="139"/>
      <c r="HK1259" s="139"/>
      <c r="HL1259" s="139"/>
      <c r="HM1259" s="139"/>
      <c r="HN1259" s="139"/>
      <c r="HO1259" s="139"/>
      <c r="HP1259" s="139"/>
      <c r="HQ1259" s="139"/>
      <c r="HR1259" s="139"/>
      <c r="HS1259" s="139"/>
      <c r="HT1259" s="139"/>
      <c r="HU1259" s="139"/>
      <c r="HV1259" s="139"/>
      <c r="HW1259" s="139"/>
      <c r="HX1259" s="139"/>
      <c r="HY1259" s="139"/>
      <c r="HZ1259" s="139"/>
      <c r="IA1259" s="139"/>
      <c r="IB1259" s="139"/>
      <c r="IC1259" s="139"/>
      <c r="ID1259" s="139"/>
      <c r="IE1259" s="139"/>
      <c r="IF1259" s="139"/>
      <c r="IG1259" s="139"/>
      <c r="IH1259" s="139"/>
      <c r="II1259" s="139"/>
      <c r="IJ1259" s="139"/>
      <c r="IK1259" s="139"/>
      <c r="IL1259" s="139"/>
      <c r="IM1259" s="139"/>
      <c r="IN1259" s="139"/>
      <c r="IO1259" s="139"/>
      <c r="IP1259" s="139"/>
      <c r="IQ1259" s="139"/>
      <c r="IR1259" s="139"/>
      <c r="IS1259" s="139"/>
      <c r="IT1259" s="139"/>
      <c r="IU1259" s="139"/>
      <c r="IV1259" s="139"/>
      <c r="IW1259" s="139"/>
      <c r="IX1259" s="139"/>
      <c r="IY1259" s="139"/>
      <c r="IZ1259" s="139"/>
      <c r="JA1259" s="139"/>
      <c r="JB1259" s="139"/>
      <c r="JC1259" s="139"/>
      <c r="JD1259" s="139"/>
      <c r="JE1259" s="139"/>
      <c r="JF1259" s="139"/>
      <c r="JG1259" s="139"/>
      <c r="JH1259" s="139"/>
      <c r="JI1259" s="139"/>
      <c r="JJ1259" s="139"/>
      <c r="JK1259" s="139"/>
      <c r="JL1259" s="139"/>
      <c r="JM1259" s="139"/>
      <c r="JN1259" s="139"/>
      <c r="JO1259" s="139"/>
      <c r="JP1259" s="139"/>
      <c r="JQ1259" s="139"/>
      <c r="JR1259" s="139"/>
      <c r="JS1259" s="139"/>
      <c r="JT1259" s="139"/>
      <c r="JU1259" s="139"/>
      <c r="JV1259" s="139"/>
      <c r="JW1259" s="139"/>
      <c r="JX1259" s="139"/>
      <c r="JY1259" s="139"/>
      <c r="JZ1259" s="139"/>
      <c r="KA1259" s="139"/>
      <c r="KB1259" s="139"/>
      <c r="KC1259" s="139"/>
      <c r="KD1259" s="139"/>
      <c r="KE1259" s="139"/>
      <c r="KF1259" s="139"/>
      <c r="KG1259" s="139"/>
      <c r="KH1259" s="139"/>
      <c r="KI1259" s="139"/>
      <c r="KJ1259" s="139"/>
      <c r="KK1259" s="139"/>
      <c r="KL1259" s="139"/>
      <c r="KM1259" s="139"/>
      <c r="KN1259" s="139"/>
      <c r="KO1259" s="139"/>
      <c r="KP1259" s="139"/>
      <c r="KQ1259" s="139"/>
      <c r="KR1259" s="139"/>
      <c r="KS1259" s="139"/>
      <c r="KT1259" s="139"/>
      <c r="KU1259" s="139"/>
      <c r="KV1259" s="139"/>
      <c r="KW1259" s="139"/>
      <c r="KX1259" s="139"/>
      <c r="KY1259" s="139"/>
      <c r="KZ1259" s="139"/>
      <c r="LA1259" s="139"/>
      <c r="LB1259" s="139"/>
      <c r="LC1259" s="139"/>
      <c r="LD1259" s="139"/>
      <c r="LE1259" s="139"/>
      <c r="LF1259" s="139"/>
      <c r="LG1259" s="139"/>
      <c r="LH1259" s="139"/>
      <c r="LI1259" s="139"/>
      <c r="LJ1259" s="139"/>
      <c r="LK1259" s="139"/>
      <c r="LL1259" s="139"/>
      <c r="LM1259" s="139"/>
      <c r="LN1259" s="139"/>
      <c r="LO1259" s="139"/>
      <c r="LP1259" s="139"/>
      <c r="LQ1259" s="139"/>
      <c r="LR1259" s="139"/>
      <c r="LS1259" s="139"/>
      <c r="LT1259" s="139"/>
      <c r="LU1259" s="139"/>
      <c r="LV1259" s="139"/>
      <c r="LW1259" s="139"/>
      <c r="LX1259" s="139"/>
      <c r="LY1259" s="139"/>
      <c r="LZ1259" s="139"/>
      <c r="MA1259" s="139"/>
      <c r="MB1259" s="139"/>
      <c r="MC1259" s="139"/>
      <c r="MD1259" s="139"/>
      <c r="ME1259" s="139"/>
      <c r="MF1259" s="139"/>
      <c r="MG1259" s="139"/>
      <c r="MH1259" s="139"/>
      <c r="MI1259" s="139"/>
      <c r="MJ1259" s="139"/>
      <c r="MK1259" s="139"/>
      <c r="ML1259" s="139"/>
      <c r="MM1259" s="139"/>
      <c r="MN1259" s="139"/>
      <c r="MO1259" s="139"/>
      <c r="MP1259" s="139"/>
      <c r="MQ1259" s="139"/>
      <c r="MR1259" s="139"/>
      <c r="MS1259" s="139"/>
      <c r="MT1259" s="139"/>
      <c r="MU1259" s="139"/>
      <c r="MV1259" s="139"/>
      <c r="MW1259" s="139"/>
      <c r="MX1259" s="139"/>
      <c r="MY1259" s="139"/>
      <c r="MZ1259" s="139"/>
      <c r="NA1259" s="139"/>
      <c r="NB1259" s="139"/>
      <c r="NC1259" s="139"/>
      <c r="ND1259" s="139"/>
      <c r="NE1259" s="139"/>
      <c r="NF1259" s="139"/>
      <c r="NG1259" s="139"/>
      <c r="NH1259" s="139"/>
      <c r="NI1259" s="139"/>
      <c r="NJ1259" s="139"/>
      <c r="NK1259" s="139"/>
      <c r="NL1259" s="139"/>
      <c r="NM1259" s="139"/>
      <c r="NN1259" s="139"/>
      <c r="NO1259" s="139"/>
      <c r="NP1259" s="139"/>
      <c r="NQ1259" s="139"/>
      <c r="NR1259" s="139"/>
      <c r="NS1259" s="139"/>
      <c r="NT1259" s="139"/>
      <c r="NU1259" s="139"/>
      <c r="NV1259" s="139"/>
      <c r="NW1259" s="139"/>
      <c r="NX1259" s="139"/>
      <c r="NY1259" s="139"/>
      <c r="NZ1259" s="139"/>
      <c r="OA1259" s="139"/>
      <c r="OB1259" s="139"/>
      <c r="OC1259" s="139"/>
      <c r="OD1259" s="139"/>
      <c r="OE1259" s="139"/>
      <c r="OF1259" s="139"/>
      <c r="OG1259" s="139"/>
      <c r="OH1259" s="139"/>
      <c r="OI1259" s="139"/>
      <c r="OJ1259" s="139"/>
      <c r="OK1259" s="139"/>
      <c r="OL1259" s="139"/>
      <c r="OM1259" s="139"/>
      <c r="ON1259" s="139"/>
      <c r="OO1259" s="139"/>
      <c r="OP1259" s="139"/>
      <c r="OQ1259" s="139"/>
      <c r="OR1259" s="139"/>
      <c r="OS1259" s="139"/>
      <c r="OT1259" s="139"/>
      <c r="OU1259" s="139"/>
      <c r="OV1259" s="139"/>
      <c r="OW1259" s="139"/>
      <c r="OX1259" s="139"/>
      <c r="OY1259" s="139"/>
      <c r="OZ1259" s="139"/>
      <c r="PA1259" s="139"/>
      <c r="PB1259" s="139"/>
      <c r="PC1259" s="139"/>
      <c r="PD1259" s="139"/>
      <c r="PE1259" s="139"/>
      <c r="PF1259" s="139"/>
      <c r="PG1259" s="139"/>
      <c r="PH1259" s="139"/>
      <c r="PI1259" s="139"/>
      <c r="PJ1259" s="139"/>
      <c r="PK1259" s="139"/>
      <c r="PL1259" s="139"/>
      <c r="PM1259" s="139"/>
      <c r="PN1259" s="139"/>
      <c r="PO1259" s="139"/>
      <c r="PP1259" s="139"/>
      <c r="PQ1259" s="139"/>
      <c r="PR1259" s="139"/>
      <c r="PS1259" s="139"/>
      <c r="PT1259" s="139"/>
      <c r="PU1259" s="139"/>
      <c r="PV1259" s="139"/>
      <c r="PW1259" s="139"/>
      <c r="PX1259" s="139"/>
      <c r="PY1259" s="139"/>
      <c r="PZ1259" s="139"/>
      <c r="QA1259" s="139"/>
      <c r="QB1259" s="139"/>
      <c r="QC1259" s="139"/>
      <c r="QD1259" s="139"/>
      <c r="QE1259" s="139"/>
      <c r="QF1259" s="139"/>
      <c r="QG1259" s="139"/>
      <c r="QH1259" s="139"/>
      <c r="QI1259" s="139"/>
      <c r="QJ1259" s="139"/>
      <c r="QK1259" s="139"/>
      <c r="QL1259" s="139"/>
      <c r="QM1259" s="139"/>
      <c r="QN1259" s="139"/>
      <c r="QO1259" s="139"/>
      <c r="QP1259" s="139"/>
      <c r="QQ1259" s="139"/>
      <c r="QR1259" s="139"/>
      <c r="QS1259" s="139"/>
      <c r="QT1259" s="139"/>
      <c r="QU1259" s="139"/>
      <c r="QV1259" s="139"/>
      <c r="QW1259" s="139"/>
      <c r="QX1259" s="139"/>
      <c r="QY1259" s="139"/>
      <c r="QZ1259" s="139"/>
      <c r="RA1259" s="139"/>
      <c r="RB1259" s="139"/>
      <c r="RC1259" s="139"/>
      <c r="RD1259" s="139"/>
      <c r="RE1259" s="139"/>
      <c r="RF1259" s="139"/>
      <c r="RG1259" s="139"/>
      <c r="RH1259" s="139"/>
      <c r="RI1259" s="139"/>
      <c r="RJ1259" s="139"/>
      <c r="RK1259" s="139"/>
      <c r="RL1259" s="139"/>
      <c r="RM1259" s="139"/>
      <c r="RN1259" s="139"/>
      <c r="RO1259" s="139"/>
      <c r="RP1259" s="139"/>
      <c r="RQ1259" s="139"/>
      <c r="RR1259" s="139"/>
      <c r="RS1259" s="139"/>
      <c r="RT1259" s="139"/>
      <c r="RU1259" s="139"/>
      <c r="RV1259" s="139"/>
      <c r="RW1259" s="139"/>
      <c r="RX1259" s="139"/>
      <c r="RY1259" s="139"/>
      <c r="RZ1259" s="139"/>
      <c r="SA1259" s="139"/>
      <c r="SB1259" s="139"/>
      <c r="SC1259" s="139"/>
      <c r="SD1259" s="139"/>
      <c r="SE1259" s="139"/>
      <c r="SF1259" s="139"/>
      <c r="SG1259" s="139"/>
      <c r="SH1259" s="139"/>
      <c r="SI1259" s="139"/>
      <c r="SJ1259" s="139"/>
      <c r="SK1259" s="139"/>
      <c r="SL1259" s="139"/>
      <c r="SM1259" s="139"/>
      <c r="SN1259" s="139"/>
      <c r="SO1259" s="139"/>
      <c r="SP1259" s="139"/>
      <c r="SQ1259" s="139"/>
      <c r="SR1259" s="139"/>
      <c r="SS1259" s="139"/>
      <c r="ST1259" s="139"/>
      <c r="SU1259" s="139"/>
      <c r="SV1259" s="139"/>
      <c r="SW1259" s="139"/>
      <c r="SX1259" s="139"/>
      <c r="SY1259" s="139"/>
      <c r="SZ1259" s="139"/>
      <c r="TA1259" s="139"/>
      <c r="TB1259" s="139"/>
      <c r="TC1259" s="139"/>
      <c r="TD1259" s="139"/>
      <c r="TE1259" s="139"/>
      <c r="TF1259" s="139"/>
      <c r="TG1259" s="139"/>
      <c r="TH1259" s="139"/>
      <c r="TI1259" s="139"/>
      <c r="TJ1259" s="139"/>
      <c r="TK1259" s="139"/>
      <c r="TL1259" s="139"/>
      <c r="TM1259" s="139"/>
      <c r="TN1259" s="139"/>
      <c r="TO1259" s="139"/>
      <c r="TP1259" s="139"/>
      <c r="TQ1259" s="139"/>
      <c r="TR1259" s="139"/>
      <c r="TS1259" s="139"/>
      <c r="TT1259" s="139"/>
      <c r="TU1259" s="139"/>
      <c r="TV1259" s="139"/>
      <c r="TW1259" s="139"/>
      <c r="TX1259" s="139"/>
      <c r="TY1259" s="139"/>
      <c r="TZ1259" s="139"/>
      <c r="UA1259" s="139"/>
      <c r="UB1259" s="139"/>
      <c r="UC1259" s="139"/>
      <c r="UD1259" s="139"/>
      <c r="UE1259" s="139"/>
      <c r="UF1259" s="139"/>
      <c r="UG1259" s="119"/>
    </row>
    <row r="1260" spans="1:553" s="120" customFormat="1" ht="34.5" customHeight="1">
      <c r="A1260" s="431" t="s">
        <v>30</v>
      </c>
      <c r="B1260" s="541">
        <v>5</v>
      </c>
      <c r="C1260" s="1382" t="s">
        <v>892</v>
      </c>
      <c r="D1260" s="1383"/>
      <c r="E1260" s="1383"/>
      <c r="F1260" s="1384"/>
      <c r="G1260" s="542" t="s">
        <v>33</v>
      </c>
      <c r="H1260" s="543"/>
      <c r="I1260" s="834">
        <f>-4.5*2.4*2</f>
        <v>-21.599999999999998</v>
      </c>
      <c r="J1260" s="990">
        <v>41700</v>
      </c>
      <c r="K1260" s="644"/>
      <c r="L1260" s="1191">
        <f>J1260*I1260</f>
        <v>-900719.99999999988</v>
      </c>
      <c r="M1260" s="637"/>
      <c r="N1260" s="637"/>
      <c r="O1260" s="544"/>
      <c r="P1260" s="638"/>
      <c r="Q1260" s="634"/>
      <c r="R1260" s="1164"/>
      <c r="S1260" s="308"/>
      <c r="T1260" s="308"/>
      <c r="U1260" s="308"/>
      <c r="V1260" s="308"/>
      <c r="W1260" s="308"/>
      <c r="X1260" s="308"/>
      <c r="Y1260" s="308"/>
      <c r="Z1260" s="604"/>
      <c r="AA1260" s="308"/>
      <c r="AB1260" s="308"/>
      <c r="AC1260" s="545"/>
      <c r="AD1260" s="545"/>
      <c r="AE1260" s="545"/>
      <c r="AF1260" s="545"/>
      <c r="AG1260" s="546"/>
      <c r="AH1260" s="546"/>
      <c r="AI1260" s="546"/>
      <c r="AJ1260" s="546"/>
      <c r="AK1260" s="546"/>
      <c r="AL1260" s="138"/>
      <c r="AM1260" s="138"/>
      <c r="AN1260" s="138"/>
      <c r="AO1260" s="138"/>
      <c r="AP1260" s="138"/>
      <c r="AQ1260" s="139"/>
      <c r="AR1260" s="139"/>
      <c r="AS1260" s="139"/>
      <c r="AT1260" s="139"/>
      <c r="AU1260" s="139"/>
      <c r="AV1260" s="139"/>
      <c r="AW1260" s="139"/>
      <c r="AX1260" s="139"/>
      <c r="AY1260" s="139"/>
      <c r="AZ1260" s="139"/>
      <c r="BA1260" s="139"/>
      <c r="BB1260" s="139"/>
      <c r="BC1260" s="139"/>
      <c r="BD1260" s="139"/>
      <c r="BE1260" s="139"/>
      <c r="BF1260" s="139"/>
      <c r="BG1260" s="139"/>
      <c r="BH1260" s="139"/>
      <c r="BI1260" s="139"/>
      <c r="BJ1260" s="139"/>
      <c r="BK1260" s="139"/>
      <c r="BL1260" s="139"/>
      <c r="BM1260" s="139"/>
      <c r="BN1260" s="139"/>
      <c r="BO1260" s="139"/>
      <c r="BP1260" s="139"/>
      <c r="BQ1260" s="139"/>
      <c r="BR1260" s="139"/>
      <c r="BS1260" s="139"/>
      <c r="BT1260" s="139"/>
      <c r="BU1260" s="139"/>
      <c r="BV1260" s="139"/>
      <c r="BW1260" s="139"/>
      <c r="BX1260" s="139"/>
      <c r="BY1260" s="139"/>
      <c r="BZ1260" s="139"/>
      <c r="CA1260" s="139"/>
      <c r="CB1260" s="139"/>
      <c r="CC1260" s="139"/>
      <c r="CD1260" s="139"/>
      <c r="CE1260" s="139"/>
      <c r="CF1260" s="139"/>
      <c r="CG1260" s="139"/>
      <c r="CH1260" s="139"/>
      <c r="CI1260" s="139"/>
      <c r="CJ1260" s="139"/>
      <c r="CK1260" s="139"/>
      <c r="CL1260" s="139"/>
      <c r="CM1260" s="139"/>
      <c r="CN1260" s="139"/>
      <c r="CO1260" s="139"/>
      <c r="CP1260" s="139"/>
      <c r="CQ1260" s="139"/>
      <c r="CR1260" s="139"/>
      <c r="CS1260" s="139"/>
      <c r="CT1260" s="139"/>
      <c r="CU1260" s="139"/>
      <c r="CV1260" s="139"/>
      <c r="CW1260" s="139"/>
      <c r="CX1260" s="139"/>
      <c r="CY1260" s="139"/>
      <c r="CZ1260" s="139"/>
      <c r="DA1260" s="139"/>
      <c r="DB1260" s="139"/>
      <c r="DC1260" s="139"/>
      <c r="DD1260" s="139"/>
      <c r="DE1260" s="139"/>
      <c r="DF1260" s="139"/>
      <c r="DG1260" s="139"/>
      <c r="DH1260" s="139"/>
      <c r="DI1260" s="139"/>
      <c r="DJ1260" s="139"/>
      <c r="DK1260" s="139"/>
      <c r="DL1260" s="139"/>
      <c r="DM1260" s="139"/>
      <c r="DN1260" s="139"/>
      <c r="DO1260" s="139"/>
      <c r="DP1260" s="139"/>
      <c r="DQ1260" s="139"/>
      <c r="DR1260" s="139"/>
      <c r="DS1260" s="139"/>
      <c r="DT1260" s="139"/>
      <c r="DU1260" s="139"/>
      <c r="DV1260" s="139"/>
      <c r="DW1260" s="139"/>
      <c r="DX1260" s="139"/>
      <c r="DY1260" s="139"/>
      <c r="DZ1260" s="139"/>
      <c r="EA1260" s="139"/>
      <c r="EB1260" s="139"/>
      <c r="EC1260" s="139"/>
      <c r="ED1260" s="139"/>
      <c r="EE1260" s="139"/>
      <c r="EF1260" s="139"/>
      <c r="EG1260" s="139"/>
      <c r="EH1260" s="139"/>
      <c r="EI1260" s="139"/>
      <c r="EJ1260" s="139"/>
      <c r="EK1260" s="139"/>
      <c r="EL1260" s="139"/>
      <c r="EM1260" s="139"/>
      <c r="EN1260" s="139"/>
      <c r="EO1260" s="139"/>
      <c r="EP1260" s="139"/>
      <c r="EQ1260" s="139"/>
      <c r="ER1260" s="139"/>
      <c r="ES1260" s="139"/>
      <c r="ET1260" s="139"/>
      <c r="EU1260" s="139"/>
      <c r="EV1260" s="139"/>
      <c r="EW1260" s="139"/>
      <c r="EX1260" s="139"/>
      <c r="EY1260" s="139"/>
      <c r="EZ1260" s="139"/>
      <c r="FA1260" s="139"/>
      <c r="FB1260" s="139"/>
      <c r="FC1260" s="139"/>
      <c r="FD1260" s="139"/>
      <c r="FE1260" s="139"/>
      <c r="FF1260" s="139"/>
      <c r="FG1260" s="139"/>
      <c r="FH1260" s="139"/>
      <c r="FI1260" s="139"/>
      <c r="FJ1260" s="139"/>
      <c r="FK1260" s="139"/>
      <c r="FL1260" s="139"/>
      <c r="FM1260" s="139"/>
      <c r="FN1260" s="139"/>
      <c r="FO1260" s="139"/>
      <c r="FP1260" s="139"/>
      <c r="FQ1260" s="139"/>
      <c r="FR1260" s="139"/>
      <c r="FS1260" s="139"/>
      <c r="FT1260" s="139"/>
      <c r="FU1260" s="139"/>
      <c r="FV1260" s="139"/>
      <c r="FW1260" s="139"/>
      <c r="FX1260" s="139"/>
      <c r="FY1260" s="139"/>
      <c r="FZ1260" s="139"/>
      <c r="GA1260" s="139"/>
      <c r="GB1260" s="139"/>
      <c r="GC1260" s="139"/>
      <c r="GD1260" s="139"/>
      <c r="GE1260" s="139"/>
      <c r="GF1260" s="139"/>
      <c r="GG1260" s="139"/>
      <c r="GH1260" s="139"/>
      <c r="GI1260" s="139"/>
      <c r="GJ1260" s="139"/>
      <c r="GK1260" s="139"/>
      <c r="GL1260" s="139"/>
      <c r="GM1260" s="139"/>
      <c r="GN1260" s="139"/>
      <c r="GO1260" s="139"/>
      <c r="GP1260" s="139"/>
      <c r="GQ1260" s="139"/>
      <c r="GR1260" s="139"/>
      <c r="GS1260" s="139"/>
      <c r="GT1260" s="139"/>
      <c r="GU1260" s="139"/>
      <c r="GV1260" s="139"/>
      <c r="GW1260" s="139"/>
      <c r="GX1260" s="139"/>
      <c r="GY1260" s="139"/>
      <c r="GZ1260" s="139"/>
      <c r="HA1260" s="139"/>
      <c r="HB1260" s="139"/>
      <c r="HC1260" s="139"/>
      <c r="HD1260" s="139"/>
      <c r="HE1260" s="139"/>
      <c r="HF1260" s="139"/>
      <c r="HG1260" s="139"/>
      <c r="HH1260" s="139"/>
      <c r="HI1260" s="139"/>
      <c r="HJ1260" s="139"/>
      <c r="HK1260" s="139"/>
      <c r="HL1260" s="139"/>
      <c r="HM1260" s="139"/>
      <c r="HN1260" s="139"/>
      <c r="HO1260" s="139"/>
      <c r="HP1260" s="139"/>
      <c r="HQ1260" s="139"/>
      <c r="HR1260" s="139"/>
      <c r="HS1260" s="139"/>
      <c r="HT1260" s="139"/>
      <c r="HU1260" s="139"/>
      <c r="HV1260" s="139"/>
      <c r="HW1260" s="139"/>
      <c r="HX1260" s="139"/>
      <c r="HY1260" s="139"/>
      <c r="HZ1260" s="139"/>
      <c r="IA1260" s="139"/>
      <c r="IB1260" s="139"/>
      <c r="IC1260" s="139"/>
      <c r="ID1260" s="139"/>
      <c r="IE1260" s="139"/>
      <c r="IF1260" s="139"/>
      <c r="IG1260" s="139"/>
      <c r="IH1260" s="139"/>
      <c r="II1260" s="139"/>
      <c r="IJ1260" s="139"/>
      <c r="IK1260" s="139"/>
      <c r="IL1260" s="139"/>
      <c r="IM1260" s="139"/>
      <c r="IN1260" s="139"/>
      <c r="IO1260" s="139"/>
      <c r="IP1260" s="139"/>
      <c r="IQ1260" s="139"/>
      <c r="IR1260" s="139"/>
      <c r="IS1260" s="139"/>
      <c r="IT1260" s="139"/>
      <c r="IU1260" s="139"/>
      <c r="IV1260" s="139"/>
      <c r="IW1260" s="139"/>
      <c r="IX1260" s="139"/>
      <c r="IY1260" s="139"/>
      <c r="IZ1260" s="139"/>
      <c r="JA1260" s="139"/>
      <c r="JB1260" s="139"/>
      <c r="JC1260" s="139"/>
      <c r="JD1260" s="139"/>
      <c r="JE1260" s="139"/>
      <c r="JF1260" s="139"/>
      <c r="JG1260" s="139"/>
      <c r="JH1260" s="139"/>
      <c r="JI1260" s="139"/>
      <c r="JJ1260" s="139"/>
      <c r="JK1260" s="139"/>
      <c r="JL1260" s="139"/>
      <c r="JM1260" s="139"/>
      <c r="JN1260" s="139"/>
      <c r="JO1260" s="139"/>
      <c r="JP1260" s="139"/>
      <c r="JQ1260" s="139"/>
      <c r="JR1260" s="139"/>
      <c r="JS1260" s="139"/>
      <c r="JT1260" s="139"/>
      <c r="JU1260" s="139"/>
      <c r="JV1260" s="139"/>
      <c r="JW1260" s="139"/>
      <c r="JX1260" s="139"/>
      <c r="JY1260" s="139"/>
      <c r="JZ1260" s="139"/>
      <c r="KA1260" s="139"/>
      <c r="KB1260" s="139"/>
      <c r="KC1260" s="139"/>
      <c r="KD1260" s="139"/>
      <c r="KE1260" s="139"/>
      <c r="KF1260" s="139"/>
      <c r="KG1260" s="139"/>
      <c r="KH1260" s="139"/>
      <c r="KI1260" s="139"/>
      <c r="KJ1260" s="139"/>
      <c r="KK1260" s="139"/>
      <c r="KL1260" s="139"/>
      <c r="KM1260" s="139"/>
      <c r="KN1260" s="139"/>
      <c r="KO1260" s="139"/>
      <c r="KP1260" s="139"/>
      <c r="KQ1260" s="139"/>
      <c r="KR1260" s="139"/>
      <c r="KS1260" s="139"/>
      <c r="KT1260" s="139"/>
      <c r="KU1260" s="139"/>
      <c r="KV1260" s="139"/>
      <c r="KW1260" s="139"/>
      <c r="KX1260" s="139"/>
      <c r="KY1260" s="139"/>
      <c r="KZ1260" s="139"/>
      <c r="LA1260" s="139"/>
      <c r="LB1260" s="139"/>
      <c r="LC1260" s="139"/>
      <c r="LD1260" s="139"/>
      <c r="LE1260" s="139"/>
      <c r="LF1260" s="139"/>
      <c r="LG1260" s="139"/>
      <c r="LH1260" s="139"/>
      <c r="LI1260" s="139"/>
      <c r="LJ1260" s="139"/>
      <c r="LK1260" s="139"/>
      <c r="LL1260" s="139"/>
      <c r="LM1260" s="139"/>
      <c r="LN1260" s="139"/>
      <c r="LO1260" s="139"/>
      <c r="LP1260" s="139"/>
      <c r="LQ1260" s="139"/>
      <c r="LR1260" s="139"/>
      <c r="LS1260" s="139"/>
      <c r="LT1260" s="139"/>
      <c r="LU1260" s="139"/>
      <c r="LV1260" s="139"/>
      <c r="LW1260" s="139"/>
      <c r="LX1260" s="139"/>
      <c r="LY1260" s="139"/>
      <c r="LZ1260" s="139"/>
      <c r="MA1260" s="139"/>
      <c r="MB1260" s="139"/>
      <c r="MC1260" s="139"/>
      <c r="MD1260" s="139"/>
      <c r="ME1260" s="139"/>
      <c r="MF1260" s="139"/>
      <c r="MG1260" s="139"/>
      <c r="MH1260" s="139"/>
      <c r="MI1260" s="139"/>
      <c r="MJ1260" s="139"/>
      <c r="MK1260" s="139"/>
      <c r="ML1260" s="139"/>
      <c r="MM1260" s="139"/>
      <c r="MN1260" s="139"/>
      <c r="MO1260" s="139"/>
      <c r="MP1260" s="139"/>
      <c r="MQ1260" s="139"/>
      <c r="MR1260" s="139"/>
      <c r="MS1260" s="139"/>
      <c r="MT1260" s="139"/>
      <c r="MU1260" s="139"/>
      <c r="MV1260" s="139"/>
      <c r="MW1260" s="139"/>
      <c r="MX1260" s="139"/>
      <c r="MY1260" s="139"/>
      <c r="MZ1260" s="139"/>
      <c r="NA1260" s="139"/>
      <c r="NB1260" s="139"/>
      <c r="NC1260" s="139"/>
      <c r="ND1260" s="139"/>
      <c r="NE1260" s="139"/>
      <c r="NF1260" s="139"/>
      <c r="NG1260" s="139"/>
      <c r="NH1260" s="139"/>
      <c r="NI1260" s="139"/>
      <c r="NJ1260" s="139"/>
      <c r="NK1260" s="139"/>
      <c r="NL1260" s="139"/>
      <c r="NM1260" s="139"/>
      <c r="NN1260" s="139"/>
      <c r="NO1260" s="139"/>
      <c r="NP1260" s="139"/>
      <c r="NQ1260" s="139"/>
      <c r="NR1260" s="139"/>
      <c r="NS1260" s="139"/>
      <c r="NT1260" s="139"/>
      <c r="NU1260" s="139"/>
      <c r="NV1260" s="139"/>
      <c r="NW1260" s="139"/>
      <c r="NX1260" s="139"/>
      <c r="NY1260" s="139"/>
      <c r="NZ1260" s="139"/>
      <c r="OA1260" s="139"/>
      <c r="OB1260" s="139"/>
      <c r="OC1260" s="139"/>
      <c r="OD1260" s="139"/>
      <c r="OE1260" s="139"/>
      <c r="OF1260" s="139"/>
      <c r="OG1260" s="139"/>
      <c r="OH1260" s="139"/>
      <c r="OI1260" s="139"/>
      <c r="OJ1260" s="139"/>
      <c r="OK1260" s="139"/>
      <c r="OL1260" s="139"/>
      <c r="OM1260" s="139"/>
      <c r="ON1260" s="139"/>
      <c r="OO1260" s="139"/>
      <c r="OP1260" s="139"/>
      <c r="OQ1260" s="139"/>
      <c r="OR1260" s="139"/>
      <c r="OS1260" s="139"/>
      <c r="OT1260" s="139"/>
      <c r="OU1260" s="139"/>
      <c r="OV1260" s="139"/>
      <c r="OW1260" s="139"/>
      <c r="OX1260" s="139"/>
      <c r="OY1260" s="139"/>
      <c r="OZ1260" s="139"/>
      <c r="PA1260" s="139"/>
      <c r="PB1260" s="139"/>
      <c r="PC1260" s="139"/>
      <c r="PD1260" s="139"/>
      <c r="PE1260" s="139"/>
      <c r="PF1260" s="139"/>
      <c r="PG1260" s="139"/>
      <c r="PH1260" s="139"/>
      <c r="PI1260" s="139"/>
      <c r="PJ1260" s="139"/>
      <c r="PK1260" s="139"/>
      <c r="PL1260" s="139"/>
      <c r="PM1260" s="139"/>
      <c r="PN1260" s="139"/>
      <c r="PO1260" s="139"/>
      <c r="PP1260" s="139"/>
      <c r="PQ1260" s="139"/>
      <c r="PR1260" s="139"/>
      <c r="PS1260" s="139"/>
      <c r="PT1260" s="139"/>
      <c r="PU1260" s="139"/>
      <c r="PV1260" s="139"/>
      <c r="PW1260" s="139"/>
      <c r="PX1260" s="139"/>
      <c r="PY1260" s="139"/>
      <c r="PZ1260" s="139"/>
      <c r="QA1260" s="139"/>
      <c r="QB1260" s="139"/>
      <c r="QC1260" s="139"/>
      <c r="QD1260" s="139"/>
      <c r="QE1260" s="139"/>
      <c r="QF1260" s="139"/>
      <c r="QG1260" s="139"/>
      <c r="QH1260" s="139"/>
      <c r="QI1260" s="139"/>
      <c r="QJ1260" s="139"/>
      <c r="QK1260" s="139"/>
      <c r="QL1260" s="139"/>
      <c r="QM1260" s="139"/>
      <c r="QN1260" s="139"/>
      <c r="QO1260" s="139"/>
      <c r="QP1260" s="139"/>
      <c r="QQ1260" s="139"/>
      <c r="QR1260" s="139"/>
      <c r="QS1260" s="139"/>
      <c r="QT1260" s="139"/>
      <c r="QU1260" s="139"/>
      <c r="QV1260" s="139"/>
      <c r="QW1260" s="139"/>
      <c r="QX1260" s="139"/>
      <c r="QY1260" s="139"/>
      <c r="QZ1260" s="139"/>
      <c r="RA1260" s="139"/>
      <c r="RB1260" s="139"/>
      <c r="RC1260" s="139"/>
      <c r="RD1260" s="139"/>
      <c r="RE1260" s="139"/>
      <c r="RF1260" s="139"/>
      <c r="RG1260" s="139"/>
      <c r="RH1260" s="139"/>
      <c r="RI1260" s="139"/>
      <c r="RJ1260" s="139"/>
      <c r="RK1260" s="139"/>
      <c r="RL1260" s="139"/>
      <c r="RM1260" s="139"/>
      <c r="RN1260" s="139"/>
      <c r="RO1260" s="139"/>
      <c r="RP1260" s="139"/>
      <c r="RQ1260" s="139"/>
      <c r="RR1260" s="139"/>
      <c r="RS1260" s="139"/>
      <c r="RT1260" s="139"/>
      <c r="RU1260" s="139"/>
      <c r="RV1260" s="139"/>
      <c r="RW1260" s="139"/>
      <c r="RX1260" s="139"/>
      <c r="RY1260" s="139"/>
      <c r="RZ1260" s="139"/>
      <c r="SA1260" s="139"/>
      <c r="SB1260" s="139"/>
      <c r="SC1260" s="139"/>
      <c r="SD1260" s="139"/>
      <c r="SE1260" s="139"/>
      <c r="SF1260" s="139"/>
      <c r="SG1260" s="139"/>
      <c r="SH1260" s="139"/>
      <c r="SI1260" s="139"/>
      <c r="SJ1260" s="139"/>
      <c r="SK1260" s="139"/>
      <c r="SL1260" s="139"/>
      <c r="SM1260" s="139"/>
      <c r="SN1260" s="139"/>
      <c r="SO1260" s="139"/>
      <c r="SP1260" s="139"/>
      <c r="SQ1260" s="139"/>
      <c r="SR1260" s="139"/>
      <c r="SS1260" s="139"/>
      <c r="ST1260" s="139"/>
      <c r="SU1260" s="139"/>
      <c r="SV1260" s="139"/>
      <c r="SW1260" s="139"/>
      <c r="SX1260" s="139"/>
      <c r="SY1260" s="139"/>
      <c r="SZ1260" s="139"/>
      <c r="TA1260" s="139"/>
      <c r="TB1260" s="139"/>
      <c r="TC1260" s="139"/>
      <c r="TD1260" s="139"/>
      <c r="TE1260" s="139"/>
      <c r="TF1260" s="139"/>
      <c r="TG1260" s="139"/>
      <c r="TH1260" s="139"/>
      <c r="TI1260" s="139"/>
      <c r="TJ1260" s="139"/>
      <c r="TK1260" s="139"/>
      <c r="TL1260" s="139"/>
      <c r="TM1260" s="139"/>
      <c r="TN1260" s="139"/>
      <c r="TO1260" s="139"/>
      <c r="TP1260" s="139"/>
      <c r="TQ1260" s="139"/>
      <c r="TR1260" s="139"/>
      <c r="TS1260" s="139"/>
      <c r="TT1260" s="139"/>
      <c r="TU1260" s="139"/>
      <c r="TV1260" s="139"/>
      <c r="TW1260" s="139"/>
      <c r="TX1260" s="139"/>
      <c r="TY1260" s="139"/>
      <c r="TZ1260" s="139"/>
      <c r="UA1260" s="139"/>
      <c r="UB1260" s="139"/>
      <c r="UC1260" s="139"/>
      <c r="UD1260" s="139"/>
      <c r="UE1260" s="139"/>
      <c r="UF1260" s="139"/>
      <c r="UG1260" s="119"/>
    </row>
    <row r="1261" spans="1:553" ht="76.150000000000006" customHeight="1">
      <c r="A1261" s="366"/>
      <c r="B1261" s="366">
        <v>149</v>
      </c>
      <c r="C1261" s="1535" t="s">
        <v>1034</v>
      </c>
      <c r="D1261" s="1389"/>
      <c r="E1261" s="1389"/>
      <c r="F1261" s="1390"/>
      <c r="G1261" s="366" t="s">
        <v>33</v>
      </c>
      <c r="H1261" s="370"/>
      <c r="I1261" s="370">
        <f>1.5*2.9</f>
        <v>4.3499999999999996</v>
      </c>
      <c r="J1261" s="368">
        <v>3900000</v>
      </c>
      <c r="K1261" s="371"/>
      <c r="L1261" s="480">
        <f t="shared" si="189"/>
        <v>16965000</v>
      </c>
      <c r="M1261" s="366"/>
      <c r="N1261" s="366"/>
      <c r="O1261" s="366"/>
      <c r="P1261" s="366"/>
      <c r="Q1261" s="812"/>
      <c r="R1261" s="1226"/>
      <c r="S1261" s="308"/>
      <c r="T1261" s="308"/>
      <c r="U1261" s="308"/>
      <c r="V1261" s="308"/>
      <c r="W1261" s="308"/>
      <c r="X1261" s="308"/>
      <c r="Y1261" s="308"/>
      <c r="Z1261" s="604"/>
      <c r="AA1261" s="308"/>
      <c r="AB1261" s="308"/>
      <c r="AC1261" s="373"/>
      <c r="AD1261" s="373"/>
      <c r="AE1261" s="373"/>
      <c r="AF1261" s="373"/>
      <c r="AG1261" s="373"/>
      <c r="AH1261" s="373"/>
      <c r="AI1261" s="373"/>
      <c r="AJ1261" s="373"/>
      <c r="AK1261" s="389"/>
      <c r="AL1261" s="100"/>
      <c r="AM1261" s="27"/>
      <c r="AN1261" s="27"/>
      <c r="AO1261" s="27"/>
      <c r="AP1261" s="27"/>
      <c r="AQ1261" s="27"/>
      <c r="AR1261" s="27"/>
      <c r="AS1261" s="22"/>
      <c r="AT1261" s="22"/>
      <c r="AU1261" s="22"/>
      <c r="AV1261" s="22"/>
      <c r="AW1261" s="22"/>
      <c r="AX1261" s="22"/>
      <c r="AY1261" s="22"/>
      <c r="AZ1261" s="22"/>
      <c r="BA1261" s="22"/>
      <c r="BB1261" s="22"/>
      <c r="BC1261" s="22"/>
      <c r="BD1261" s="22"/>
      <c r="BE1261" s="22"/>
      <c r="BF1261" s="22"/>
      <c r="BG1261" s="22"/>
      <c r="BH1261" s="22"/>
      <c r="BI1261" s="22"/>
      <c r="BJ1261" s="22"/>
      <c r="BK1261" s="22"/>
      <c r="BL1261" s="22"/>
      <c r="BM1261" s="22"/>
      <c r="BN1261" s="22"/>
      <c r="BO1261" s="22"/>
      <c r="BP1261" s="22"/>
      <c r="BQ1261" s="22"/>
      <c r="BR1261" s="22"/>
      <c r="BS1261" s="22"/>
      <c r="BT1261" s="22"/>
      <c r="BU1261" s="22"/>
      <c r="BV1261" s="22"/>
      <c r="BW1261" s="22"/>
      <c r="BX1261" s="22"/>
      <c r="BY1261" s="22"/>
      <c r="BZ1261" s="22"/>
      <c r="CA1261" s="22"/>
      <c r="CB1261" s="22"/>
      <c r="CC1261" s="22"/>
      <c r="CD1261" s="22"/>
      <c r="CE1261" s="22"/>
      <c r="CF1261" s="22"/>
      <c r="CG1261" s="22"/>
      <c r="CH1261" s="22"/>
      <c r="CI1261" s="22"/>
      <c r="CJ1261" s="22"/>
      <c r="CK1261" s="22"/>
      <c r="CL1261" s="22"/>
      <c r="CM1261" s="22"/>
      <c r="CN1261" s="22"/>
      <c r="CO1261" s="22"/>
      <c r="CP1261" s="22"/>
      <c r="CQ1261" s="22"/>
      <c r="CR1261" s="22"/>
      <c r="CS1261" s="22"/>
      <c r="CT1261" s="22"/>
      <c r="CU1261" s="22"/>
      <c r="CV1261" s="22"/>
      <c r="CW1261" s="22"/>
      <c r="CX1261" s="22"/>
      <c r="CY1261" s="22"/>
      <c r="CZ1261" s="22"/>
      <c r="DA1261" s="22"/>
      <c r="DB1261" s="22"/>
      <c r="DC1261" s="22"/>
      <c r="DD1261" s="22"/>
      <c r="DE1261" s="22"/>
      <c r="DF1261" s="22"/>
      <c r="DG1261" s="22"/>
      <c r="DH1261" s="22"/>
      <c r="DI1261" s="22"/>
      <c r="DJ1261" s="22"/>
      <c r="DK1261" s="22"/>
      <c r="DL1261" s="22"/>
      <c r="DM1261" s="22"/>
      <c r="DN1261" s="22"/>
      <c r="DO1261" s="22"/>
      <c r="DP1261" s="22"/>
      <c r="DQ1261" s="22"/>
      <c r="DR1261" s="22"/>
      <c r="DS1261" s="22"/>
      <c r="DT1261" s="22"/>
      <c r="DU1261" s="22"/>
      <c r="DV1261" s="22"/>
      <c r="DW1261" s="22"/>
      <c r="DX1261" s="22"/>
      <c r="DY1261" s="22"/>
      <c r="DZ1261" s="22"/>
      <c r="EA1261" s="22"/>
      <c r="EB1261" s="22"/>
      <c r="EC1261" s="22"/>
      <c r="ED1261" s="22"/>
      <c r="EE1261" s="22"/>
      <c r="EF1261" s="22"/>
      <c r="EG1261" s="22"/>
      <c r="EH1261" s="22"/>
      <c r="EI1261" s="22"/>
      <c r="EJ1261" s="22"/>
      <c r="EK1261" s="22"/>
      <c r="EL1261" s="22"/>
      <c r="EM1261" s="22"/>
      <c r="EN1261" s="22"/>
      <c r="EO1261" s="22"/>
      <c r="EP1261" s="22"/>
      <c r="EQ1261" s="22"/>
      <c r="ER1261" s="22"/>
      <c r="ES1261" s="22"/>
      <c r="ET1261" s="22"/>
      <c r="EU1261" s="22"/>
      <c r="EV1261" s="22"/>
      <c r="EW1261" s="22"/>
      <c r="EX1261" s="22"/>
      <c r="EY1261" s="22"/>
      <c r="EZ1261" s="22"/>
      <c r="FA1261" s="22"/>
      <c r="FB1261" s="22"/>
      <c r="FC1261" s="22"/>
      <c r="FD1261" s="22"/>
      <c r="FE1261" s="22"/>
      <c r="FF1261" s="22"/>
      <c r="FG1261" s="22"/>
      <c r="FH1261" s="22"/>
      <c r="FI1261" s="22"/>
      <c r="FJ1261" s="22"/>
      <c r="FK1261" s="22"/>
      <c r="FL1261" s="22"/>
      <c r="FM1261" s="22"/>
      <c r="FN1261" s="22"/>
      <c r="FO1261" s="22"/>
      <c r="FP1261" s="22"/>
      <c r="FQ1261" s="22"/>
      <c r="FR1261" s="22"/>
      <c r="FS1261" s="22"/>
      <c r="FT1261" s="22"/>
      <c r="FU1261" s="22"/>
      <c r="FV1261" s="22"/>
      <c r="FW1261" s="22"/>
      <c r="FX1261" s="22"/>
      <c r="FY1261" s="22"/>
      <c r="FZ1261" s="22"/>
      <c r="GA1261" s="22"/>
      <c r="GB1261" s="22"/>
      <c r="GC1261" s="22"/>
      <c r="GD1261" s="22"/>
      <c r="GE1261" s="22"/>
      <c r="GF1261" s="22"/>
      <c r="GG1261" s="22"/>
      <c r="GH1261" s="22"/>
      <c r="GI1261" s="22"/>
      <c r="GJ1261" s="22"/>
      <c r="GK1261" s="22"/>
      <c r="GL1261" s="22"/>
      <c r="GM1261" s="22"/>
      <c r="GN1261" s="22"/>
      <c r="GO1261" s="22"/>
      <c r="GP1261" s="22"/>
      <c r="GQ1261" s="22"/>
      <c r="GR1261" s="22"/>
      <c r="GS1261" s="22"/>
      <c r="GT1261" s="22"/>
      <c r="GU1261" s="22"/>
      <c r="GV1261" s="22"/>
      <c r="GW1261" s="22"/>
      <c r="GX1261" s="22"/>
      <c r="GY1261" s="22"/>
      <c r="GZ1261" s="22"/>
      <c r="HA1261" s="22"/>
      <c r="HB1261" s="22"/>
      <c r="HC1261" s="22"/>
      <c r="HD1261" s="22"/>
      <c r="HE1261" s="22"/>
      <c r="HF1261" s="22"/>
      <c r="HG1261" s="22"/>
      <c r="HH1261" s="22"/>
      <c r="HI1261" s="22"/>
      <c r="HJ1261" s="22"/>
      <c r="HK1261" s="22"/>
      <c r="HL1261" s="22"/>
      <c r="HM1261" s="22"/>
      <c r="HN1261" s="22"/>
      <c r="HO1261" s="22"/>
      <c r="HP1261" s="22"/>
      <c r="HQ1261" s="22"/>
      <c r="HR1261" s="22"/>
      <c r="HS1261" s="22"/>
      <c r="HT1261" s="22"/>
      <c r="HU1261" s="22"/>
      <c r="HV1261" s="22"/>
      <c r="HW1261" s="22"/>
      <c r="HX1261" s="22"/>
      <c r="HY1261" s="22"/>
      <c r="HZ1261" s="22"/>
      <c r="IA1261" s="22"/>
      <c r="IB1261" s="22"/>
      <c r="IC1261" s="22"/>
      <c r="ID1261" s="22"/>
      <c r="IE1261" s="22"/>
      <c r="IF1261" s="22"/>
      <c r="IG1261" s="22"/>
      <c r="IH1261" s="22"/>
      <c r="II1261" s="22"/>
      <c r="IJ1261" s="22"/>
      <c r="IK1261" s="22"/>
      <c r="IL1261" s="22"/>
      <c r="IM1261" s="22"/>
      <c r="IN1261" s="22"/>
      <c r="IO1261" s="22"/>
      <c r="IP1261" s="22"/>
      <c r="IQ1261" s="22"/>
      <c r="IR1261" s="22"/>
      <c r="IS1261" s="22"/>
      <c r="IT1261" s="22"/>
      <c r="IU1261" s="22"/>
      <c r="IV1261" s="22"/>
      <c r="IW1261" s="22"/>
      <c r="IX1261" s="22"/>
      <c r="IY1261" s="22"/>
      <c r="IZ1261" s="22"/>
      <c r="JA1261" s="22"/>
      <c r="JB1261" s="22"/>
      <c r="JC1261" s="22"/>
      <c r="JD1261" s="22"/>
      <c r="JE1261" s="22"/>
      <c r="JF1261" s="22"/>
      <c r="JG1261" s="22"/>
      <c r="JH1261" s="22"/>
      <c r="JI1261" s="22"/>
      <c r="JJ1261" s="22"/>
      <c r="JK1261" s="22"/>
      <c r="JL1261" s="22"/>
      <c r="JM1261" s="22"/>
      <c r="JN1261" s="22"/>
      <c r="JO1261" s="22"/>
      <c r="JP1261" s="22"/>
      <c r="JQ1261" s="22"/>
      <c r="JR1261" s="22"/>
      <c r="JS1261" s="22"/>
      <c r="JT1261" s="22"/>
      <c r="JU1261" s="22"/>
      <c r="JV1261" s="22"/>
      <c r="JW1261" s="22"/>
      <c r="JX1261" s="22"/>
      <c r="JY1261" s="22"/>
      <c r="JZ1261" s="22"/>
      <c r="KA1261" s="22"/>
      <c r="KB1261" s="22"/>
      <c r="KC1261" s="22"/>
      <c r="KD1261" s="22"/>
      <c r="KE1261" s="22"/>
      <c r="KF1261" s="22"/>
      <c r="KG1261" s="22"/>
      <c r="KH1261" s="22"/>
      <c r="KI1261" s="22"/>
      <c r="KJ1261" s="22"/>
      <c r="KK1261" s="22"/>
      <c r="KL1261" s="22"/>
      <c r="KM1261" s="22"/>
      <c r="KN1261" s="22"/>
      <c r="KO1261" s="22"/>
      <c r="KP1261" s="22"/>
      <c r="KQ1261" s="22"/>
      <c r="KR1261" s="22"/>
      <c r="KS1261" s="22"/>
      <c r="KT1261" s="22"/>
      <c r="KU1261" s="22"/>
      <c r="KV1261" s="22"/>
      <c r="KW1261" s="22"/>
      <c r="KX1261" s="22"/>
      <c r="KY1261" s="22"/>
      <c r="KZ1261" s="22"/>
      <c r="LA1261" s="22"/>
      <c r="LB1261" s="22"/>
      <c r="LC1261" s="22"/>
      <c r="LD1261" s="22"/>
      <c r="LE1261" s="22"/>
      <c r="LF1261" s="22"/>
      <c r="LG1261" s="22"/>
      <c r="LH1261" s="22"/>
      <c r="LI1261" s="22"/>
      <c r="LJ1261" s="22"/>
      <c r="LK1261" s="22"/>
      <c r="LL1261" s="22"/>
      <c r="LM1261" s="22"/>
      <c r="LN1261" s="22"/>
      <c r="LO1261" s="22"/>
      <c r="LP1261" s="22"/>
      <c r="LQ1261" s="22"/>
      <c r="LR1261" s="22"/>
      <c r="LS1261" s="22"/>
      <c r="LT1261" s="22"/>
      <c r="LU1261" s="22"/>
      <c r="LV1261" s="22"/>
      <c r="LW1261" s="22"/>
      <c r="LX1261" s="22"/>
      <c r="LY1261" s="22"/>
      <c r="LZ1261" s="22"/>
      <c r="MA1261" s="22"/>
      <c r="MB1261" s="22"/>
      <c r="MC1261" s="22"/>
      <c r="MD1261" s="22"/>
      <c r="ME1261" s="22"/>
      <c r="MF1261" s="22"/>
      <c r="MG1261" s="22"/>
      <c r="MH1261" s="22"/>
      <c r="MI1261" s="22"/>
      <c r="MJ1261" s="22"/>
      <c r="MK1261" s="22"/>
      <c r="ML1261" s="22"/>
      <c r="MM1261" s="22"/>
      <c r="MN1261" s="22"/>
      <c r="MO1261" s="22"/>
      <c r="MP1261" s="22"/>
      <c r="MQ1261" s="22"/>
      <c r="MR1261" s="22"/>
      <c r="MS1261" s="22"/>
      <c r="MT1261" s="22"/>
      <c r="MU1261" s="22"/>
      <c r="MV1261" s="22"/>
      <c r="MW1261" s="22"/>
      <c r="MX1261" s="22"/>
      <c r="MY1261" s="22"/>
      <c r="MZ1261" s="22"/>
      <c r="NA1261" s="22"/>
      <c r="NB1261" s="22"/>
      <c r="NC1261" s="22"/>
      <c r="ND1261" s="22"/>
      <c r="NE1261" s="22"/>
      <c r="NF1261" s="22"/>
      <c r="NG1261" s="22"/>
      <c r="NH1261" s="22"/>
      <c r="NI1261" s="22"/>
      <c r="NJ1261" s="22"/>
      <c r="NK1261" s="22"/>
      <c r="NL1261" s="22"/>
      <c r="NM1261" s="22"/>
      <c r="NN1261" s="22"/>
      <c r="NO1261" s="22"/>
      <c r="NP1261" s="22"/>
      <c r="NQ1261" s="22"/>
      <c r="NR1261" s="22"/>
      <c r="NS1261" s="22"/>
      <c r="NT1261" s="22"/>
      <c r="NU1261" s="22"/>
      <c r="NV1261" s="22"/>
      <c r="NW1261" s="22"/>
      <c r="NX1261" s="22"/>
      <c r="NY1261" s="22"/>
      <c r="NZ1261" s="22"/>
      <c r="OA1261" s="22"/>
      <c r="OB1261" s="22"/>
      <c r="OC1261" s="22"/>
      <c r="OD1261" s="22"/>
      <c r="OE1261" s="22"/>
      <c r="OF1261" s="22"/>
      <c r="OG1261" s="22"/>
      <c r="OH1261" s="22"/>
      <c r="OI1261" s="22"/>
      <c r="OJ1261" s="22"/>
      <c r="OK1261" s="22"/>
      <c r="OL1261" s="22"/>
      <c r="OM1261" s="22"/>
      <c r="ON1261" s="22"/>
      <c r="OO1261" s="22"/>
      <c r="OP1261" s="22"/>
      <c r="OQ1261" s="22"/>
      <c r="OR1261" s="22"/>
      <c r="OS1261" s="22"/>
      <c r="OT1261" s="22"/>
      <c r="OU1261" s="22"/>
      <c r="OV1261" s="22"/>
      <c r="OW1261" s="22"/>
      <c r="OX1261" s="22"/>
      <c r="OY1261" s="22"/>
      <c r="OZ1261" s="22"/>
      <c r="PA1261" s="22"/>
      <c r="PB1261" s="22"/>
      <c r="PC1261" s="22"/>
      <c r="PD1261" s="22"/>
      <c r="PE1261" s="22"/>
      <c r="PF1261" s="22"/>
      <c r="PG1261" s="22"/>
      <c r="PH1261" s="22"/>
      <c r="PI1261" s="22"/>
      <c r="PJ1261" s="22"/>
      <c r="PK1261" s="22"/>
      <c r="PL1261" s="22"/>
      <c r="PM1261" s="22"/>
      <c r="PN1261" s="22"/>
      <c r="PO1261" s="22"/>
      <c r="PP1261" s="22"/>
      <c r="PQ1261" s="22"/>
      <c r="PR1261" s="22"/>
      <c r="PS1261" s="22"/>
      <c r="PT1261" s="22"/>
      <c r="PU1261" s="22"/>
      <c r="PV1261" s="22"/>
      <c r="PW1261" s="22"/>
      <c r="PX1261" s="22"/>
      <c r="PY1261" s="22"/>
      <c r="PZ1261" s="22"/>
      <c r="QA1261" s="22"/>
      <c r="QB1261" s="22"/>
      <c r="QC1261" s="22"/>
      <c r="QD1261" s="22"/>
      <c r="QE1261" s="22"/>
      <c r="QF1261" s="22"/>
      <c r="QG1261" s="22"/>
      <c r="QH1261" s="22"/>
      <c r="QI1261" s="22"/>
      <c r="QJ1261" s="22"/>
      <c r="QK1261" s="22"/>
      <c r="QL1261" s="22"/>
      <c r="QM1261" s="22"/>
      <c r="QN1261" s="22"/>
      <c r="QO1261" s="22"/>
      <c r="QP1261" s="22"/>
      <c r="QQ1261" s="22"/>
      <c r="QR1261" s="22"/>
      <c r="QS1261" s="22"/>
      <c r="QT1261" s="22"/>
      <c r="QU1261" s="22"/>
      <c r="QV1261" s="22"/>
      <c r="QW1261" s="22"/>
      <c r="QX1261" s="22"/>
      <c r="QY1261" s="22"/>
      <c r="QZ1261" s="22"/>
      <c r="RA1261" s="22"/>
      <c r="RB1261" s="22"/>
      <c r="RC1261" s="22"/>
      <c r="RD1261" s="22"/>
      <c r="RE1261" s="22"/>
      <c r="RF1261" s="22"/>
      <c r="RG1261" s="22"/>
      <c r="RH1261" s="22"/>
      <c r="RI1261" s="22"/>
      <c r="RJ1261" s="22"/>
      <c r="RK1261" s="22"/>
      <c r="RL1261" s="22"/>
      <c r="RM1261" s="22"/>
      <c r="RN1261" s="22"/>
      <c r="RO1261" s="22"/>
      <c r="RP1261" s="22"/>
      <c r="RQ1261" s="22"/>
      <c r="RR1261" s="22"/>
      <c r="RS1261" s="22"/>
      <c r="RT1261" s="22"/>
      <c r="RU1261" s="22"/>
      <c r="RV1261" s="22"/>
      <c r="RW1261" s="22"/>
      <c r="RX1261" s="22"/>
      <c r="RY1261" s="22"/>
      <c r="RZ1261" s="22"/>
      <c r="SA1261" s="22"/>
      <c r="SB1261" s="22"/>
      <c r="SC1261" s="22"/>
      <c r="SD1261" s="22"/>
      <c r="SE1261" s="22"/>
      <c r="SF1261" s="22"/>
      <c r="SG1261" s="22"/>
      <c r="SH1261" s="22"/>
      <c r="SI1261" s="22"/>
      <c r="SJ1261" s="22"/>
      <c r="SK1261" s="22"/>
      <c r="SL1261" s="22"/>
      <c r="SM1261" s="22"/>
      <c r="SN1261" s="22"/>
      <c r="SO1261" s="22"/>
      <c r="SP1261" s="22"/>
      <c r="SQ1261" s="22"/>
      <c r="SR1261" s="22"/>
      <c r="SS1261" s="22"/>
      <c r="ST1261" s="22"/>
      <c r="SU1261" s="22"/>
      <c r="SV1261" s="22"/>
      <c r="SW1261" s="22"/>
      <c r="SX1261" s="22"/>
      <c r="SY1261" s="22"/>
      <c r="SZ1261" s="22"/>
      <c r="TA1261" s="22"/>
      <c r="TB1261" s="22"/>
      <c r="TC1261" s="22"/>
      <c r="TD1261" s="22"/>
      <c r="TE1261" s="22"/>
      <c r="TF1261" s="22"/>
      <c r="TG1261" s="22"/>
      <c r="TH1261" s="22"/>
      <c r="TI1261" s="22"/>
      <c r="TJ1261" s="22"/>
      <c r="TK1261" s="22"/>
      <c r="TL1261" s="22"/>
      <c r="TM1261" s="22"/>
      <c r="TN1261" s="22"/>
      <c r="TO1261" s="22"/>
      <c r="TP1261" s="22"/>
      <c r="TQ1261" s="22"/>
      <c r="TR1261" s="22"/>
      <c r="TS1261" s="22"/>
      <c r="TT1261" s="22"/>
      <c r="TU1261" s="22"/>
      <c r="TV1261" s="22"/>
      <c r="TW1261" s="22"/>
      <c r="TX1261" s="22"/>
      <c r="TY1261" s="22"/>
      <c r="TZ1261" s="22"/>
      <c r="UA1261" s="22"/>
      <c r="UB1261" s="22"/>
      <c r="UC1261" s="22"/>
      <c r="UD1261" s="22"/>
      <c r="UE1261" s="22"/>
      <c r="UF1261" s="22"/>
      <c r="UG1261" s="23"/>
    </row>
    <row r="1262" spans="1:553" ht="30" customHeight="1">
      <c r="A1262" s="366"/>
      <c r="B1262" s="366">
        <v>20</v>
      </c>
      <c r="C1262" s="1535" t="s">
        <v>1036</v>
      </c>
      <c r="D1262" s="1389"/>
      <c r="E1262" s="1389"/>
      <c r="F1262" s="1390"/>
      <c r="G1262" s="366" t="s">
        <v>33</v>
      </c>
      <c r="H1262" s="370"/>
      <c r="I1262" s="422">
        <f>-1.9*2.6</f>
        <v>-4.9399999999999995</v>
      </c>
      <c r="J1262" s="368">
        <v>185700</v>
      </c>
      <c r="K1262" s="371"/>
      <c r="L1262" s="487">
        <f t="shared" si="189"/>
        <v>-917357.99999999988</v>
      </c>
      <c r="M1262" s="366"/>
      <c r="N1262" s="366"/>
      <c r="O1262" s="366"/>
      <c r="P1262" s="366"/>
      <c r="Q1262" s="812"/>
      <c r="R1262" s="1226"/>
      <c r="S1262" s="308"/>
      <c r="T1262" s="308"/>
      <c r="U1262" s="308"/>
      <c r="V1262" s="308"/>
      <c r="W1262" s="308"/>
      <c r="X1262" s="308"/>
      <c r="Y1262" s="308"/>
      <c r="Z1262" s="604"/>
      <c r="AA1262" s="308"/>
      <c r="AB1262" s="308"/>
      <c r="AC1262" s="373"/>
      <c r="AD1262" s="373"/>
      <c r="AE1262" s="373"/>
      <c r="AF1262" s="373"/>
      <c r="AG1262" s="373"/>
      <c r="AH1262" s="373"/>
      <c r="AI1262" s="373"/>
      <c r="AJ1262" s="373"/>
      <c r="AK1262" s="389"/>
      <c r="AL1262" s="100"/>
      <c r="AM1262" s="27"/>
      <c r="AN1262" s="27"/>
      <c r="AO1262" s="27"/>
      <c r="AP1262" s="27"/>
      <c r="AQ1262" s="27"/>
      <c r="AR1262" s="27"/>
      <c r="AS1262" s="22"/>
      <c r="AT1262" s="22"/>
      <c r="AU1262" s="22"/>
      <c r="AV1262" s="22"/>
      <c r="AW1262" s="22"/>
      <c r="AX1262" s="22"/>
      <c r="AY1262" s="22"/>
      <c r="AZ1262" s="22"/>
      <c r="BA1262" s="22"/>
      <c r="BB1262" s="22"/>
      <c r="BC1262" s="22"/>
      <c r="BD1262" s="22"/>
      <c r="BE1262" s="22"/>
      <c r="BF1262" s="22"/>
      <c r="BG1262" s="22"/>
      <c r="BH1262" s="22"/>
      <c r="BI1262" s="22"/>
      <c r="BJ1262" s="22"/>
      <c r="BK1262" s="22"/>
      <c r="BL1262" s="22"/>
      <c r="BM1262" s="22"/>
      <c r="BN1262" s="22"/>
      <c r="BO1262" s="22"/>
      <c r="BP1262" s="22"/>
      <c r="BQ1262" s="22"/>
      <c r="BR1262" s="22"/>
      <c r="BS1262" s="22"/>
      <c r="BT1262" s="22"/>
      <c r="BU1262" s="22"/>
      <c r="BV1262" s="22"/>
      <c r="BW1262" s="22"/>
      <c r="BX1262" s="22"/>
      <c r="BY1262" s="22"/>
      <c r="BZ1262" s="22"/>
      <c r="CA1262" s="22"/>
      <c r="CB1262" s="22"/>
      <c r="CC1262" s="22"/>
      <c r="CD1262" s="22"/>
      <c r="CE1262" s="22"/>
      <c r="CF1262" s="22"/>
      <c r="CG1262" s="22"/>
      <c r="CH1262" s="22"/>
      <c r="CI1262" s="22"/>
      <c r="CJ1262" s="22"/>
      <c r="CK1262" s="22"/>
      <c r="CL1262" s="22"/>
      <c r="CM1262" s="22"/>
      <c r="CN1262" s="22"/>
      <c r="CO1262" s="22"/>
      <c r="CP1262" s="22"/>
      <c r="CQ1262" s="22"/>
      <c r="CR1262" s="22"/>
      <c r="CS1262" s="22"/>
      <c r="CT1262" s="22"/>
      <c r="CU1262" s="22"/>
      <c r="CV1262" s="22"/>
      <c r="CW1262" s="22"/>
      <c r="CX1262" s="22"/>
      <c r="CY1262" s="22"/>
      <c r="CZ1262" s="22"/>
      <c r="DA1262" s="22"/>
      <c r="DB1262" s="22"/>
      <c r="DC1262" s="22"/>
      <c r="DD1262" s="22"/>
      <c r="DE1262" s="22"/>
      <c r="DF1262" s="22"/>
      <c r="DG1262" s="22"/>
      <c r="DH1262" s="22"/>
      <c r="DI1262" s="22"/>
      <c r="DJ1262" s="22"/>
      <c r="DK1262" s="22"/>
      <c r="DL1262" s="22"/>
      <c r="DM1262" s="22"/>
      <c r="DN1262" s="22"/>
      <c r="DO1262" s="22"/>
      <c r="DP1262" s="22"/>
      <c r="DQ1262" s="22"/>
      <c r="DR1262" s="22"/>
      <c r="DS1262" s="22"/>
      <c r="DT1262" s="22"/>
      <c r="DU1262" s="22"/>
      <c r="DV1262" s="22"/>
      <c r="DW1262" s="22"/>
      <c r="DX1262" s="22"/>
      <c r="DY1262" s="22"/>
      <c r="DZ1262" s="22"/>
      <c r="EA1262" s="22"/>
      <c r="EB1262" s="22"/>
      <c r="EC1262" s="22"/>
      <c r="ED1262" s="22"/>
      <c r="EE1262" s="22"/>
      <c r="EF1262" s="22"/>
      <c r="EG1262" s="22"/>
      <c r="EH1262" s="22"/>
      <c r="EI1262" s="22"/>
      <c r="EJ1262" s="22"/>
      <c r="EK1262" s="22"/>
      <c r="EL1262" s="22"/>
      <c r="EM1262" s="22"/>
      <c r="EN1262" s="22"/>
      <c r="EO1262" s="22"/>
      <c r="EP1262" s="22"/>
      <c r="EQ1262" s="22"/>
      <c r="ER1262" s="22"/>
      <c r="ES1262" s="22"/>
      <c r="ET1262" s="22"/>
      <c r="EU1262" s="22"/>
      <c r="EV1262" s="22"/>
      <c r="EW1262" s="22"/>
      <c r="EX1262" s="22"/>
      <c r="EY1262" s="22"/>
      <c r="EZ1262" s="22"/>
      <c r="FA1262" s="22"/>
      <c r="FB1262" s="22"/>
      <c r="FC1262" s="22"/>
      <c r="FD1262" s="22"/>
      <c r="FE1262" s="22"/>
      <c r="FF1262" s="22"/>
      <c r="FG1262" s="22"/>
      <c r="FH1262" s="22"/>
      <c r="FI1262" s="22"/>
      <c r="FJ1262" s="22"/>
      <c r="FK1262" s="22"/>
      <c r="FL1262" s="22"/>
      <c r="FM1262" s="22"/>
      <c r="FN1262" s="22"/>
      <c r="FO1262" s="22"/>
      <c r="FP1262" s="22"/>
      <c r="FQ1262" s="22"/>
      <c r="FR1262" s="22"/>
      <c r="FS1262" s="22"/>
      <c r="FT1262" s="22"/>
      <c r="FU1262" s="22"/>
      <c r="FV1262" s="22"/>
      <c r="FW1262" s="22"/>
      <c r="FX1262" s="22"/>
      <c r="FY1262" s="22"/>
      <c r="FZ1262" s="22"/>
      <c r="GA1262" s="22"/>
      <c r="GB1262" s="22"/>
      <c r="GC1262" s="22"/>
      <c r="GD1262" s="22"/>
      <c r="GE1262" s="22"/>
      <c r="GF1262" s="22"/>
      <c r="GG1262" s="22"/>
      <c r="GH1262" s="22"/>
      <c r="GI1262" s="22"/>
      <c r="GJ1262" s="22"/>
      <c r="GK1262" s="22"/>
      <c r="GL1262" s="22"/>
      <c r="GM1262" s="22"/>
      <c r="GN1262" s="22"/>
      <c r="GO1262" s="22"/>
      <c r="GP1262" s="22"/>
      <c r="GQ1262" s="22"/>
      <c r="GR1262" s="22"/>
      <c r="GS1262" s="22"/>
      <c r="GT1262" s="22"/>
      <c r="GU1262" s="22"/>
      <c r="GV1262" s="22"/>
      <c r="GW1262" s="22"/>
      <c r="GX1262" s="22"/>
      <c r="GY1262" s="22"/>
      <c r="GZ1262" s="22"/>
      <c r="HA1262" s="22"/>
      <c r="HB1262" s="22"/>
      <c r="HC1262" s="22"/>
      <c r="HD1262" s="22"/>
      <c r="HE1262" s="22"/>
      <c r="HF1262" s="22"/>
      <c r="HG1262" s="22"/>
      <c r="HH1262" s="22"/>
      <c r="HI1262" s="22"/>
      <c r="HJ1262" s="22"/>
      <c r="HK1262" s="22"/>
      <c r="HL1262" s="22"/>
      <c r="HM1262" s="22"/>
      <c r="HN1262" s="22"/>
      <c r="HO1262" s="22"/>
      <c r="HP1262" s="22"/>
      <c r="HQ1262" s="22"/>
      <c r="HR1262" s="22"/>
      <c r="HS1262" s="22"/>
      <c r="HT1262" s="22"/>
      <c r="HU1262" s="22"/>
      <c r="HV1262" s="22"/>
      <c r="HW1262" s="22"/>
      <c r="HX1262" s="22"/>
      <c r="HY1262" s="22"/>
      <c r="HZ1262" s="22"/>
      <c r="IA1262" s="22"/>
      <c r="IB1262" s="22"/>
      <c r="IC1262" s="22"/>
      <c r="ID1262" s="22"/>
      <c r="IE1262" s="22"/>
      <c r="IF1262" s="22"/>
      <c r="IG1262" s="22"/>
      <c r="IH1262" s="22"/>
      <c r="II1262" s="22"/>
      <c r="IJ1262" s="22"/>
      <c r="IK1262" s="22"/>
      <c r="IL1262" s="22"/>
      <c r="IM1262" s="22"/>
      <c r="IN1262" s="22"/>
      <c r="IO1262" s="22"/>
      <c r="IP1262" s="22"/>
      <c r="IQ1262" s="22"/>
      <c r="IR1262" s="22"/>
      <c r="IS1262" s="22"/>
      <c r="IT1262" s="22"/>
      <c r="IU1262" s="22"/>
      <c r="IV1262" s="22"/>
      <c r="IW1262" s="22"/>
      <c r="IX1262" s="22"/>
      <c r="IY1262" s="22"/>
      <c r="IZ1262" s="22"/>
      <c r="JA1262" s="22"/>
      <c r="JB1262" s="22"/>
      <c r="JC1262" s="22"/>
      <c r="JD1262" s="22"/>
      <c r="JE1262" s="22"/>
      <c r="JF1262" s="22"/>
      <c r="JG1262" s="22"/>
      <c r="JH1262" s="22"/>
      <c r="JI1262" s="22"/>
      <c r="JJ1262" s="22"/>
      <c r="JK1262" s="22"/>
      <c r="JL1262" s="22"/>
      <c r="JM1262" s="22"/>
      <c r="JN1262" s="22"/>
      <c r="JO1262" s="22"/>
      <c r="JP1262" s="22"/>
      <c r="JQ1262" s="22"/>
      <c r="JR1262" s="22"/>
      <c r="JS1262" s="22"/>
      <c r="JT1262" s="22"/>
      <c r="JU1262" s="22"/>
      <c r="JV1262" s="22"/>
      <c r="JW1262" s="22"/>
      <c r="JX1262" s="22"/>
      <c r="JY1262" s="22"/>
      <c r="JZ1262" s="22"/>
      <c r="KA1262" s="22"/>
      <c r="KB1262" s="22"/>
      <c r="KC1262" s="22"/>
      <c r="KD1262" s="22"/>
      <c r="KE1262" s="22"/>
      <c r="KF1262" s="22"/>
      <c r="KG1262" s="22"/>
      <c r="KH1262" s="22"/>
      <c r="KI1262" s="22"/>
      <c r="KJ1262" s="22"/>
      <c r="KK1262" s="22"/>
      <c r="KL1262" s="22"/>
      <c r="KM1262" s="22"/>
      <c r="KN1262" s="22"/>
      <c r="KO1262" s="22"/>
      <c r="KP1262" s="22"/>
      <c r="KQ1262" s="22"/>
      <c r="KR1262" s="22"/>
      <c r="KS1262" s="22"/>
      <c r="KT1262" s="22"/>
      <c r="KU1262" s="22"/>
      <c r="KV1262" s="22"/>
      <c r="KW1262" s="22"/>
      <c r="KX1262" s="22"/>
      <c r="KY1262" s="22"/>
      <c r="KZ1262" s="22"/>
      <c r="LA1262" s="22"/>
      <c r="LB1262" s="22"/>
      <c r="LC1262" s="22"/>
      <c r="LD1262" s="22"/>
      <c r="LE1262" s="22"/>
      <c r="LF1262" s="22"/>
      <c r="LG1262" s="22"/>
      <c r="LH1262" s="22"/>
      <c r="LI1262" s="22"/>
      <c r="LJ1262" s="22"/>
      <c r="LK1262" s="22"/>
      <c r="LL1262" s="22"/>
      <c r="LM1262" s="22"/>
      <c r="LN1262" s="22"/>
      <c r="LO1262" s="22"/>
      <c r="LP1262" s="22"/>
      <c r="LQ1262" s="22"/>
      <c r="LR1262" s="22"/>
      <c r="LS1262" s="22"/>
      <c r="LT1262" s="22"/>
      <c r="LU1262" s="22"/>
      <c r="LV1262" s="22"/>
      <c r="LW1262" s="22"/>
      <c r="LX1262" s="22"/>
      <c r="LY1262" s="22"/>
      <c r="LZ1262" s="22"/>
      <c r="MA1262" s="22"/>
      <c r="MB1262" s="22"/>
      <c r="MC1262" s="22"/>
      <c r="MD1262" s="22"/>
      <c r="ME1262" s="22"/>
      <c r="MF1262" s="22"/>
      <c r="MG1262" s="22"/>
      <c r="MH1262" s="22"/>
      <c r="MI1262" s="22"/>
      <c r="MJ1262" s="22"/>
      <c r="MK1262" s="22"/>
      <c r="ML1262" s="22"/>
      <c r="MM1262" s="22"/>
      <c r="MN1262" s="22"/>
      <c r="MO1262" s="22"/>
      <c r="MP1262" s="22"/>
      <c r="MQ1262" s="22"/>
      <c r="MR1262" s="22"/>
      <c r="MS1262" s="22"/>
      <c r="MT1262" s="22"/>
      <c r="MU1262" s="22"/>
      <c r="MV1262" s="22"/>
      <c r="MW1262" s="22"/>
      <c r="MX1262" s="22"/>
      <c r="MY1262" s="22"/>
      <c r="MZ1262" s="22"/>
      <c r="NA1262" s="22"/>
      <c r="NB1262" s="22"/>
      <c r="NC1262" s="22"/>
      <c r="ND1262" s="22"/>
      <c r="NE1262" s="22"/>
      <c r="NF1262" s="22"/>
      <c r="NG1262" s="22"/>
      <c r="NH1262" s="22"/>
      <c r="NI1262" s="22"/>
      <c r="NJ1262" s="22"/>
      <c r="NK1262" s="22"/>
      <c r="NL1262" s="22"/>
      <c r="NM1262" s="22"/>
      <c r="NN1262" s="22"/>
      <c r="NO1262" s="22"/>
      <c r="NP1262" s="22"/>
      <c r="NQ1262" s="22"/>
      <c r="NR1262" s="22"/>
      <c r="NS1262" s="22"/>
      <c r="NT1262" s="22"/>
      <c r="NU1262" s="22"/>
      <c r="NV1262" s="22"/>
      <c r="NW1262" s="22"/>
      <c r="NX1262" s="22"/>
      <c r="NY1262" s="22"/>
      <c r="NZ1262" s="22"/>
      <c r="OA1262" s="22"/>
      <c r="OB1262" s="22"/>
      <c r="OC1262" s="22"/>
      <c r="OD1262" s="22"/>
      <c r="OE1262" s="22"/>
      <c r="OF1262" s="22"/>
      <c r="OG1262" s="22"/>
      <c r="OH1262" s="22"/>
      <c r="OI1262" s="22"/>
      <c r="OJ1262" s="22"/>
      <c r="OK1262" s="22"/>
      <c r="OL1262" s="22"/>
      <c r="OM1262" s="22"/>
      <c r="ON1262" s="22"/>
      <c r="OO1262" s="22"/>
      <c r="OP1262" s="22"/>
      <c r="OQ1262" s="22"/>
      <c r="OR1262" s="22"/>
      <c r="OS1262" s="22"/>
      <c r="OT1262" s="22"/>
      <c r="OU1262" s="22"/>
      <c r="OV1262" s="22"/>
      <c r="OW1262" s="22"/>
      <c r="OX1262" s="22"/>
      <c r="OY1262" s="22"/>
      <c r="OZ1262" s="22"/>
      <c r="PA1262" s="22"/>
      <c r="PB1262" s="22"/>
      <c r="PC1262" s="22"/>
      <c r="PD1262" s="22"/>
      <c r="PE1262" s="22"/>
      <c r="PF1262" s="22"/>
      <c r="PG1262" s="22"/>
      <c r="PH1262" s="22"/>
      <c r="PI1262" s="22"/>
      <c r="PJ1262" s="22"/>
      <c r="PK1262" s="22"/>
      <c r="PL1262" s="22"/>
      <c r="PM1262" s="22"/>
      <c r="PN1262" s="22"/>
      <c r="PO1262" s="22"/>
      <c r="PP1262" s="22"/>
      <c r="PQ1262" s="22"/>
      <c r="PR1262" s="22"/>
      <c r="PS1262" s="22"/>
      <c r="PT1262" s="22"/>
      <c r="PU1262" s="22"/>
      <c r="PV1262" s="22"/>
      <c r="PW1262" s="22"/>
      <c r="PX1262" s="22"/>
      <c r="PY1262" s="22"/>
      <c r="PZ1262" s="22"/>
      <c r="QA1262" s="22"/>
      <c r="QB1262" s="22"/>
      <c r="QC1262" s="22"/>
      <c r="QD1262" s="22"/>
      <c r="QE1262" s="22"/>
      <c r="QF1262" s="22"/>
      <c r="QG1262" s="22"/>
      <c r="QH1262" s="22"/>
      <c r="QI1262" s="22"/>
      <c r="QJ1262" s="22"/>
      <c r="QK1262" s="22"/>
      <c r="QL1262" s="22"/>
      <c r="QM1262" s="22"/>
      <c r="QN1262" s="22"/>
      <c r="QO1262" s="22"/>
      <c r="QP1262" s="22"/>
      <c r="QQ1262" s="22"/>
      <c r="QR1262" s="22"/>
      <c r="QS1262" s="22"/>
      <c r="QT1262" s="22"/>
      <c r="QU1262" s="22"/>
      <c r="QV1262" s="22"/>
      <c r="QW1262" s="22"/>
      <c r="QX1262" s="22"/>
      <c r="QY1262" s="22"/>
      <c r="QZ1262" s="22"/>
      <c r="RA1262" s="22"/>
      <c r="RB1262" s="22"/>
      <c r="RC1262" s="22"/>
      <c r="RD1262" s="22"/>
      <c r="RE1262" s="22"/>
      <c r="RF1262" s="22"/>
      <c r="RG1262" s="22"/>
      <c r="RH1262" s="22"/>
      <c r="RI1262" s="22"/>
      <c r="RJ1262" s="22"/>
      <c r="RK1262" s="22"/>
      <c r="RL1262" s="22"/>
      <c r="RM1262" s="22"/>
      <c r="RN1262" s="22"/>
      <c r="RO1262" s="22"/>
      <c r="RP1262" s="22"/>
      <c r="RQ1262" s="22"/>
      <c r="RR1262" s="22"/>
      <c r="RS1262" s="22"/>
      <c r="RT1262" s="22"/>
      <c r="RU1262" s="22"/>
      <c r="RV1262" s="22"/>
      <c r="RW1262" s="22"/>
      <c r="RX1262" s="22"/>
      <c r="RY1262" s="22"/>
      <c r="RZ1262" s="22"/>
      <c r="SA1262" s="22"/>
      <c r="SB1262" s="22"/>
      <c r="SC1262" s="22"/>
      <c r="SD1262" s="22"/>
      <c r="SE1262" s="22"/>
      <c r="SF1262" s="22"/>
      <c r="SG1262" s="22"/>
      <c r="SH1262" s="22"/>
      <c r="SI1262" s="22"/>
      <c r="SJ1262" s="22"/>
      <c r="SK1262" s="22"/>
      <c r="SL1262" s="22"/>
      <c r="SM1262" s="22"/>
      <c r="SN1262" s="22"/>
      <c r="SO1262" s="22"/>
      <c r="SP1262" s="22"/>
      <c r="SQ1262" s="22"/>
      <c r="SR1262" s="22"/>
      <c r="SS1262" s="22"/>
      <c r="ST1262" s="22"/>
      <c r="SU1262" s="22"/>
      <c r="SV1262" s="22"/>
      <c r="SW1262" s="22"/>
      <c r="SX1262" s="22"/>
      <c r="SY1262" s="22"/>
      <c r="SZ1262" s="22"/>
      <c r="TA1262" s="22"/>
      <c r="TB1262" s="22"/>
      <c r="TC1262" s="22"/>
      <c r="TD1262" s="22"/>
      <c r="TE1262" s="22"/>
      <c r="TF1262" s="22"/>
      <c r="TG1262" s="22"/>
      <c r="TH1262" s="22"/>
      <c r="TI1262" s="22"/>
      <c r="TJ1262" s="22"/>
      <c r="TK1262" s="22"/>
      <c r="TL1262" s="22"/>
      <c r="TM1262" s="22"/>
      <c r="TN1262" s="22"/>
      <c r="TO1262" s="22"/>
      <c r="TP1262" s="22"/>
      <c r="TQ1262" s="22"/>
      <c r="TR1262" s="22"/>
      <c r="TS1262" s="22"/>
      <c r="TT1262" s="22"/>
      <c r="TU1262" s="22"/>
      <c r="TV1262" s="22"/>
      <c r="TW1262" s="22"/>
      <c r="TX1262" s="22"/>
      <c r="TY1262" s="22"/>
      <c r="TZ1262" s="22"/>
      <c r="UA1262" s="22"/>
      <c r="UB1262" s="22"/>
      <c r="UC1262" s="22"/>
      <c r="UD1262" s="22"/>
      <c r="UE1262" s="22"/>
      <c r="UF1262" s="22"/>
      <c r="UG1262" s="23"/>
    </row>
    <row r="1263" spans="1:553" ht="25.15" customHeight="1">
      <c r="A1263" s="366"/>
      <c r="B1263" s="366">
        <v>34</v>
      </c>
      <c r="C1263" s="1535" t="s">
        <v>1035</v>
      </c>
      <c r="D1263" s="1389"/>
      <c r="E1263" s="1389"/>
      <c r="F1263" s="1390"/>
      <c r="G1263" s="366" t="s">
        <v>33</v>
      </c>
      <c r="H1263" s="370"/>
      <c r="I1263" s="422">
        <f>-6*2.3</f>
        <v>-13.799999999999999</v>
      </c>
      <c r="J1263" s="368">
        <v>251000</v>
      </c>
      <c r="K1263" s="371"/>
      <c r="L1263" s="487">
        <f t="shared" si="189"/>
        <v>-3463799.9999999995</v>
      </c>
      <c r="M1263" s="366"/>
      <c r="N1263" s="366"/>
      <c r="O1263" s="366"/>
      <c r="P1263" s="366"/>
      <c r="Q1263" s="812"/>
      <c r="R1263" s="1226"/>
      <c r="S1263" s="308"/>
      <c r="T1263" s="308"/>
      <c r="U1263" s="308"/>
      <c r="V1263" s="308"/>
      <c r="W1263" s="308"/>
      <c r="X1263" s="308"/>
      <c r="Y1263" s="308"/>
      <c r="Z1263" s="604"/>
      <c r="AA1263" s="308"/>
      <c r="AB1263" s="308"/>
      <c r="AC1263" s="373"/>
      <c r="AD1263" s="373"/>
      <c r="AE1263" s="373"/>
      <c r="AF1263" s="373"/>
      <c r="AG1263" s="373"/>
      <c r="AH1263" s="373"/>
      <c r="AI1263" s="373"/>
      <c r="AJ1263" s="373"/>
      <c r="AK1263" s="389"/>
      <c r="AL1263" s="100"/>
      <c r="AM1263" s="27"/>
      <c r="AN1263" s="27"/>
      <c r="AO1263" s="27"/>
      <c r="AP1263" s="27"/>
      <c r="AQ1263" s="27"/>
      <c r="AR1263" s="27"/>
      <c r="AS1263" s="22"/>
      <c r="AT1263" s="22"/>
      <c r="AU1263" s="22"/>
      <c r="AV1263" s="22"/>
      <c r="AW1263" s="22"/>
      <c r="AX1263" s="22"/>
      <c r="AY1263" s="22"/>
      <c r="AZ1263" s="22"/>
      <c r="BA1263" s="22"/>
      <c r="BB1263" s="22"/>
      <c r="BC1263" s="22"/>
      <c r="BD1263" s="22"/>
      <c r="BE1263" s="22"/>
      <c r="BF1263" s="22"/>
      <c r="BG1263" s="22"/>
      <c r="BH1263" s="22"/>
      <c r="BI1263" s="22"/>
      <c r="BJ1263" s="22"/>
      <c r="BK1263" s="22"/>
      <c r="BL1263" s="22"/>
      <c r="BM1263" s="22"/>
      <c r="BN1263" s="22"/>
      <c r="BO1263" s="22"/>
      <c r="BP1263" s="22"/>
      <c r="BQ1263" s="22"/>
      <c r="BR1263" s="22"/>
      <c r="BS1263" s="22"/>
      <c r="BT1263" s="22"/>
      <c r="BU1263" s="22"/>
      <c r="BV1263" s="22"/>
      <c r="BW1263" s="22"/>
      <c r="BX1263" s="22"/>
      <c r="BY1263" s="22"/>
      <c r="BZ1263" s="22"/>
      <c r="CA1263" s="22"/>
      <c r="CB1263" s="22"/>
      <c r="CC1263" s="22"/>
      <c r="CD1263" s="22"/>
      <c r="CE1263" s="22"/>
      <c r="CF1263" s="22"/>
      <c r="CG1263" s="22"/>
      <c r="CH1263" s="22"/>
      <c r="CI1263" s="22"/>
      <c r="CJ1263" s="22"/>
      <c r="CK1263" s="22"/>
      <c r="CL1263" s="22"/>
      <c r="CM1263" s="22"/>
      <c r="CN1263" s="22"/>
      <c r="CO1263" s="22"/>
      <c r="CP1263" s="22"/>
      <c r="CQ1263" s="22"/>
      <c r="CR1263" s="22"/>
      <c r="CS1263" s="22"/>
      <c r="CT1263" s="22"/>
      <c r="CU1263" s="22"/>
      <c r="CV1263" s="22"/>
      <c r="CW1263" s="22"/>
      <c r="CX1263" s="22"/>
      <c r="CY1263" s="22"/>
      <c r="CZ1263" s="22"/>
      <c r="DA1263" s="22"/>
      <c r="DB1263" s="22"/>
      <c r="DC1263" s="22"/>
      <c r="DD1263" s="22"/>
      <c r="DE1263" s="22"/>
      <c r="DF1263" s="22"/>
      <c r="DG1263" s="22"/>
      <c r="DH1263" s="22"/>
      <c r="DI1263" s="22"/>
      <c r="DJ1263" s="22"/>
      <c r="DK1263" s="22"/>
      <c r="DL1263" s="22"/>
      <c r="DM1263" s="22"/>
      <c r="DN1263" s="22"/>
      <c r="DO1263" s="22"/>
      <c r="DP1263" s="22"/>
      <c r="DQ1263" s="22"/>
      <c r="DR1263" s="22"/>
      <c r="DS1263" s="22"/>
      <c r="DT1263" s="22"/>
      <c r="DU1263" s="22"/>
      <c r="DV1263" s="22"/>
      <c r="DW1263" s="22"/>
      <c r="DX1263" s="22"/>
      <c r="DY1263" s="22"/>
      <c r="DZ1263" s="22"/>
      <c r="EA1263" s="22"/>
      <c r="EB1263" s="22"/>
      <c r="EC1263" s="22"/>
      <c r="ED1263" s="22"/>
      <c r="EE1263" s="22"/>
      <c r="EF1263" s="22"/>
      <c r="EG1263" s="22"/>
      <c r="EH1263" s="22"/>
      <c r="EI1263" s="22"/>
      <c r="EJ1263" s="22"/>
      <c r="EK1263" s="22"/>
      <c r="EL1263" s="22"/>
      <c r="EM1263" s="22"/>
      <c r="EN1263" s="22"/>
      <c r="EO1263" s="22"/>
      <c r="EP1263" s="22"/>
      <c r="EQ1263" s="22"/>
      <c r="ER1263" s="22"/>
      <c r="ES1263" s="22"/>
      <c r="ET1263" s="22"/>
      <c r="EU1263" s="22"/>
      <c r="EV1263" s="22"/>
      <c r="EW1263" s="22"/>
      <c r="EX1263" s="22"/>
      <c r="EY1263" s="22"/>
      <c r="EZ1263" s="22"/>
      <c r="FA1263" s="22"/>
      <c r="FB1263" s="22"/>
      <c r="FC1263" s="22"/>
      <c r="FD1263" s="22"/>
      <c r="FE1263" s="22"/>
      <c r="FF1263" s="22"/>
      <c r="FG1263" s="22"/>
      <c r="FH1263" s="22"/>
      <c r="FI1263" s="22"/>
      <c r="FJ1263" s="22"/>
      <c r="FK1263" s="22"/>
      <c r="FL1263" s="22"/>
      <c r="FM1263" s="22"/>
      <c r="FN1263" s="22"/>
      <c r="FO1263" s="22"/>
      <c r="FP1263" s="22"/>
      <c r="FQ1263" s="22"/>
      <c r="FR1263" s="22"/>
      <c r="FS1263" s="22"/>
      <c r="FT1263" s="22"/>
      <c r="FU1263" s="22"/>
      <c r="FV1263" s="22"/>
      <c r="FW1263" s="22"/>
      <c r="FX1263" s="22"/>
      <c r="FY1263" s="22"/>
      <c r="FZ1263" s="22"/>
      <c r="GA1263" s="22"/>
      <c r="GB1263" s="22"/>
      <c r="GC1263" s="22"/>
      <c r="GD1263" s="22"/>
      <c r="GE1263" s="22"/>
      <c r="GF1263" s="22"/>
      <c r="GG1263" s="22"/>
      <c r="GH1263" s="22"/>
      <c r="GI1263" s="22"/>
      <c r="GJ1263" s="22"/>
      <c r="GK1263" s="22"/>
      <c r="GL1263" s="22"/>
      <c r="GM1263" s="22"/>
      <c r="GN1263" s="22"/>
      <c r="GO1263" s="22"/>
      <c r="GP1263" s="22"/>
      <c r="GQ1263" s="22"/>
      <c r="GR1263" s="22"/>
      <c r="GS1263" s="22"/>
      <c r="GT1263" s="22"/>
      <c r="GU1263" s="22"/>
      <c r="GV1263" s="22"/>
      <c r="GW1263" s="22"/>
      <c r="GX1263" s="22"/>
      <c r="GY1263" s="22"/>
      <c r="GZ1263" s="22"/>
      <c r="HA1263" s="22"/>
      <c r="HB1263" s="22"/>
      <c r="HC1263" s="22"/>
      <c r="HD1263" s="22"/>
      <c r="HE1263" s="22"/>
      <c r="HF1263" s="22"/>
      <c r="HG1263" s="22"/>
      <c r="HH1263" s="22"/>
      <c r="HI1263" s="22"/>
      <c r="HJ1263" s="22"/>
      <c r="HK1263" s="22"/>
      <c r="HL1263" s="22"/>
      <c r="HM1263" s="22"/>
      <c r="HN1263" s="22"/>
      <c r="HO1263" s="22"/>
      <c r="HP1263" s="22"/>
      <c r="HQ1263" s="22"/>
      <c r="HR1263" s="22"/>
      <c r="HS1263" s="22"/>
      <c r="HT1263" s="22"/>
      <c r="HU1263" s="22"/>
      <c r="HV1263" s="22"/>
      <c r="HW1263" s="22"/>
      <c r="HX1263" s="22"/>
      <c r="HY1263" s="22"/>
      <c r="HZ1263" s="22"/>
      <c r="IA1263" s="22"/>
      <c r="IB1263" s="22"/>
      <c r="IC1263" s="22"/>
      <c r="ID1263" s="22"/>
      <c r="IE1263" s="22"/>
      <c r="IF1263" s="22"/>
      <c r="IG1263" s="22"/>
      <c r="IH1263" s="22"/>
      <c r="II1263" s="22"/>
      <c r="IJ1263" s="22"/>
      <c r="IK1263" s="22"/>
      <c r="IL1263" s="22"/>
      <c r="IM1263" s="22"/>
      <c r="IN1263" s="22"/>
      <c r="IO1263" s="22"/>
      <c r="IP1263" s="22"/>
      <c r="IQ1263" s="22"/>
      <c r="IR1263" s="22"/>
      <c r="IS1263" s="22"/>
      <c r="IT1263" s="22"/>
      <c r="IU1263" s="22"/>
      <c r="IV1263" s="22"/>
      <c r="IW1263" s="22"/>
      <c r="IX1263" s="22"/>
      <c r="IY1263" s="22"/>
      <c r="IZ1263" s="22"/>
      <c r="JA1263" s="22"/>
      <c r="JB1263" s="22"/>
      <c r="JC1263" s="22"/>
      <c r="JD1263" s="22"/>
      <c r="JE1263" s="22"/>
      <c r="JF1263" s="22"/>
      <c r="JG1263" s="22"/>
      <c r="JH1263" s="22"/>
      <c r="JI1263" s="22"/>
      <c r="JJ1263" s="22"/>
      <c r="JK1263" s="22"/>
      <c r="JL1263" s="22"/>
      <c r="JM1263" s="22"/>
      <c r="JN1263" s="22"/>
      <c r="JO1263" s="22"/>
      <c r="JP1263" s="22"/>
      <c r="JQ1263" s="22"/>
      <c r="JR1263" s="22"/>
      <c r="JS1263" s="22"/>
      <c r="JT1263" s="22"/>
      <c r="JU1263" s="22"/>
      <c r="JV1263" s="22"/>
      <c r="JW1263" s="22"/>
      <c r="JX1263" s="22"/>
      <c r="JY1263" s="22"/>
      <c r="JZ1263" s="22"/>
      <c r="KA1263" s="22"/>
      <c r="KB1263" s="22"/>
      <c r="KC1263" s="22"/>
      <c r="KD1263" s="22"/>
      <c r="KE1263" s="22"/>
      <c r="KF1263" s="22"/>
      <c r="KG1263" s="22"/>
      <c r="KH1263" s="22"/>
      <c r="KI1263" s="22"/>
      <c r="KJ1263" s="22"/>
      <c r="KK1263" s="22"/>
      <c r="KL1263" s="22"/>
      <c r="KM1263" s="22"/>
      <c r="KN1263" s="22"/>
      <c r="KO1263" s="22"/>
      <c r="KP1263" s="22"/>
      <c r="KQ1263" s="22"/>
      <c r="KR1263" s="22"/>
      <c r="KS1263" s="22"/>
      <c r="KT1263" s="22"/>
      <c r="KU1263" s="22"/>
      <c r="KV1263" s="22"/>
      <c r="KW1263" s="22"/>
      <c r="KX1263" s="22"/>
      <c r="KY1263" s="22"/>
      <c r="KZ1263" s="22"/>
      <c r="LA1263" s="22"/>
      <c r="LB1263" s="22"/>
      <c r="LC1263" s="22"/>
      <c r="LD1263" s="22"/>
      <c r="LE1263" s="22"/>
      <c r="LF1263" s="22"/>
      <c r="LG1263" s="22"/>
      <c r="LH1263" s="22"/>
      <c r="LI1263" s="22"/>
      <c r="LJ1263" s="22"/>
      <c r="LK1263" s="22"/>
      <c r="LL1263" s="22"/>
      <c r="LM1263" s="22"/>
      <c r="LN1263" s="22"/>
      <c r="LO1263" s="22"/>
      <c r="LP1263" s="22"/>
      <c r="LQ1263" s="22"/>
      <c r="LR1263" s="22"/>
      <c r="LS1263" s="22"/>
      <c r="LT1263" s="22"/>
      <c r="LU1263" s="22"/>
      <c r="LV1263" s="22"/>
      <c r="LW1263" s="22"/>
      <c r="LX1263" s="22"/>
      <c r="LY1263" s="22"/>
      <c r="LZ1263" s="22"/>
      <c r="MA1263" s="22"/>
      <c r="MB1263" s="22"/>
      <c r="MC1263" s="22"/>
      <c r="MD1263" s="22"/>
      <c r="ME1263" s="22"/>
      <c r="MF1263" s="22"/>
      <c r="MG1263" s="22"/>
      <c r="MH1263" s="22"/>
      <c r="MI1263" s="22"/>
      <c r="MJ1263" s="22"/>
      <c r="MK1263" s="22"/>
      <c r="ML1263" s="22"/>
      <c r="MM1263" s="22"/>
      <c r="MN1263" s="22"/>
      <c r="MO1263" s="22"/>
      <c r="MP1263" s="22"/>
      <c r="MQ1263" s="22"/>
      <c r="MR1263" s="22"/>
      <c r="MS1263" s="22"/>
      <c r="MT1263" s="22"/>
      <c r="MU1263" s="22"/>
      <c r="MV1263" s="22"/>
      <c r="MW1263" s="22"/>
      <c r="MX1263" s="22"/>
      <c r="MY1263" s="22"/>
      <c r="MZ1263" s="22"/>
      <c r="NA1263" s="22"/>
      <c r="NB1263" s="22"/>
      <c r="NC1263" s="22"/>
      <c r="ND1263" s="22"/>
      <c r="NE1263" s="22"/>
      <c r="NF1263" s="22"/>
      <c r="NG1263" s="22"/>
      <c r="NH1263" s="22"/>
      <c r="NI1263" s="22"/>
      <c r="NJ1263" s="22"/>
      <c r="NK1263" s="22"/>
      <c r="NL1263" s="22"/>
      <c r="NM1263" s="22"/>
      <c r="NN1263" s="22"/>
      <c r="NO1263" s="22"/>
      <c r="NP1263" s="22"/>
      <c r="NQ1263" s="22"/>
      <c r="NR1263" s="22"/>
      <c r="NS1263" s="22"/>
      <c r="NT1263" s="22"/>
      <c r="NU1263" s="22"/>
      <c r="NV1263" s="22"/>
      <c r="NW1263" s="22"/>
      <c r="NX1263" s="22"/>
      <c r="NY1263" s="22"/>
      <c r="NZ1263" s="22"/>
      <c r="OA1263" s="22"/>
      <c r="OB1263" s="22"/>
      <c r="OC1263" s="22"/>
      <c r="OD1263" s="22"/>
      <c r="OE1263" s="22"/>
      <c r="OF1263" s="22"/>
      <c r="OG1263" s="22"/>
      <c r="OH1263" s="22"/>
      <c r="OI1263" s="22"/>
      <c r="OJ1263" s="22"/>
      <c r="OK1263" s="22"/>
      <c r="OL1263" s="22"/>
      <c r="OM1263" s="22"/>
      <c r="ON1263" s="22"/>
      <c r="OO1263" s="22"/>
      <c r="OP1263" s="22"/>
      <c r="OQ1263" s="22"/>
      <c r="OR1263" s="22"/>
      <c r="OS1263" s="22"/>
      <c r="OT1263" s="22"/>
      <c r="OU1263" s="22"/>
      <c r="OV1263" s="22"/>
      <c r="OW1263" s="22"/>
      <c r="OX1263" s="22"/>
      <c r="OY1263" s="22"/>
      <c r="OZ1263" s="22"/>
      <c r="PA1263" s="22"/>
      <c r="PB1263" s="22"/>
      <c r="PC1263" s="22"/>
      <c r="PD1263" s="22"/>
      <c r="PE1263" s="22"/>
      <c r="PF1263" s="22"/>
      <c r="PG1263" s="22"/>
      <c r="PH1263" s="22"/>
      <c r="PI1263" s="22"/>
      <c r="PJ1263" s="22"/>
      <c r="PK1263" s="22"/>
      <c r="PL1263" s="22"/>
      <c r="PM1263" s="22"/>
      <c r="PN1263" s="22"/>
      <c r="PO1263" s="22"/>
      <c r="PP1263" s="22"/>
      <c r="PQ1263" s="22"/>
      <c r="PR1263" s="22"/>
      <c r="PS1263" s="22"/>
      <c r="PT1263" s="22"/>
      <c r="PU1263" s="22"/>
      <c r="PV1263" s="22"/>
      <c r="PW1263" s="22"/>
      <c r="PX1263" s="22"/>
      <c r="PY1263" s="22"/>
      <c r="PZ1263" s="22"/>
      <c r="QA1263" s="22"/>
      <c r="QB1263" s="22"/>
      <c r="QC1263" s="22"/>
      <c r="QD1263" s="22"/>
      <c r="QE1263" s="22"/>
      <c r="QF1263" s="22"/>
      <c r="QG1263" s="22"/>
      <c r="QH1263" s="22"/>
      <c r="QI1263" s="22"/>
      <c r="QJ1263" s="22"/>
      <c r="QK1263" s="22"/>
      <c r="QL1263" s="22"/>
      <c r="QM1263" s="22"/>
      <c r="QN1263" s="22"/>
      <c r="QO1263" s="22"/>
      <c r="QP1263" s="22"/>
      <c r="QQ1263" s="22"/>
      <c r="QR1263" s="22"/>
      <c r="QS1263" s="22"/>
      <c r="QT1263" s="22"/>
      <c r="QU1263" s="22"/>
      <c r="QV1263" s="22"/>
      <c r="QW1263" s="22"/>
      <c r="QX1263" s="22"/>
      <c r="QY1263" s="22"/>
      <c r="QZ1263" s="22"/>
      <c r="RA1263" s="22"/>
      <c r="RB1263" s="22"/>
      <c r="RC1263" s="22"/>
      <c r="RD1263" s="22"/>
      <c r="RE1263" s="22"/>
      <c r="RF1263" s="22"/>
      <c r="RG1263" s="22"/>
      <c r="RH1263" s="22"/>
      <c r="RI1263" s="22"/>
      <c r="RJ1263" s="22"/>
      <c r="RK1263" s="22"/>
      <c r="RL1263" s="22"/>
      <c r="RM1263" s="22"/>
      <c r="RN1263" s="22"/>
      <c r="RO1263" s="22"/>
      <c r="RP1263" s="22"/>
      <c r="RQ1263" s="22"/>
      <c r="RR1263" s="22"/>
      <c r="RS1263" s="22"/>
      <c r="RT1263" s="22"/>
      <c r="RU1263" s="22"/>
      <c r="RV1263" s="22"/>
      <c r="RW1263" s="22"/>
      <c r="RX1263" s="22"/>
      <c r="RY1263" s="22"/>
      <c r="RZ1263" s="22"/>
      <c r="SA1263" s="22"/>
      <c r="SB1263" s="22"/>
      <c r="SC1263" s="22"/>
      <c r="SD1263" s="22"/>
      <c r="SE1263" s="22"/>
      <c r="SF1263" s="22"/>
      <c r="SG1263" s="22"/>
      <c r="SH1263" s="22"/>
      <c r="SI1263" s="22"/>
      <c r="SJ1263" s="22"/>
      <c r="SK1263" s="22"/>
      <c r="SL1263" s="22"/>
      <c r="SM1263" s="22"/>
      <c r="SN1263" s="22"/>
      <c r="SO1263" s="22"/>
      <c r="SP1263" s="22"/>
      <c r="SQ1263" s="22"/>
      <c r="SR1263" s="22"/>
      <c r="SS1263" s="22"/>
      <c r="ST1263" s="22"/>
      <c r="SU1263" s="22"/>
      <c r="SV1263" s="22"/>
      <c r="SW1263" s="22"/>
      <c r="SX1263" s="22"/>
      <c r="SY1263" s="22"/>
      <c r="SZ1263" s="22"/>
      <c r="TA1263" s="22"/>
      <c r="TB1263" s="22"/>
      <c r="TC1263" s="22"/>
      <c r="TD1263" s="22"/>
      <c r="TE1263" s="22"/>
      <c r="TF1263" s="22"/>
      <c r="TG1263" s="22"/>
      <c r="TH1263" s="22"/>
      <c r="TI1263" s="22"/>
      <c r="TJ1263" s="22"/>
      <c r="TK1263" s="22"/>
      <c r="TL1263" s="22"/>
      <c r="TM1263" s="22"/>
      <c r="TN1263" s="22"/>
      <c r="TO1263" s="22"/>
      <c r="TP1263" s="22"/>
      <c r="TQ1263" s="22"/>
      <c r="TR1263" s="22"/>
      <c r="TS1263" s="22"/>
      <c r="TT1263" s="22"/>
      <c r="TU1263" s="22"/>
      <c r="TV1263" s="22"/>
      <c r="TW1263" s="22"/>
      <c r="TX1263" s="22"/>
      <c r="TY1263" s="22"/>
      <c r="TZ1263" s="22"/>
      <c r="UA1263" s="22"/>
      <c r="UB1263" s="22"/>
      <c r="UC1263" s="22"/>
      <c r="UD1263" s="22"/>
      <c r="UE1263" s="22"/>
      <c r="UF1263" s="22"/>
      <c r="UG1263" s="23"/>
    </row>
    <row r="1264" spans="1:553" ht="60" customHeight="1">
      <c r="A1264" s="366"/>
      <c r="B1264" s="366">
        <v>143</v>
      </c>
      <c r="C1264" s="1535" t="s">
        <v>1037</v>
      </c>
      <c r="D1264" s="1389"/>
      <c r="E1264" s="1389"/>
      <c r="F1264" s="1390"/>
      <c r="G1264" s="366" t="s">
        <v>33</v>
      </c>
      <c r="H1264" s="370"/>
      <c r="I1264" s="370">
        <f>5*2.5</f>
        <v>12.5</v>
      </c>
      <c r="J1264" s="368">
        <v>1736300</v>
      </c>
      <c r="K1264" s="371"/>
      <c r="L1264" s="487">
        <f t="shared" si="189"/>
        <v>21703750</v>
      </c>
      <c r="M1264" s="366"/>
      <c r="N1264" s="366"/>
      <c r="O1264" s="366"/>
      <c r="P1264" s="366"/>
      <c r="Q1264" s="812"/>
      <c r="R1264" s="1226"/>
      <c r="S1264" s="308"/>
      <c r="T1264" s="308"/>
      <c r="U1264" s="308"/>
      <c r="V1264" s="308"/>
      <c r="W1264" s="308"/>
      <c r="X1264" s="308"/>
      <c r="Y1264" s="308"/>
      <c r="Z1264" s="604"/>
      <c r="AA1264" s="308"/>
      <c r="AB1264" s="308"/>
      <c r="AC1264" s="373"/>
      <c r="AD1264" s="373"/>
      <c r="AE1264" s="373"/>
      <c r="AF1264" s="373"/>
      <c r="AG1264" s="373"/>
      <c r="AH1264" s="373"/>
      <c r="AI1264" s="373"/>
      <c r="AJ1264" s="373"/>
      <c r="AK1264" s="389"/>
      <c r="AL1264" s="100"/>
      <c r="AM1264" s="27"/>
      <c r="AN1264" s="27"/>
      <c r="AO1264" s="27"/>
      <c r="AP1264" s="27"/>
      <c r="AQ1264" s="27"/>
      <c r="AR1264" s="27"/>
      <c r="AS1264" s="22"/>
      <c r="AT1264" s="22"/>
      <c r="AU1264" s="22"/>
      <c r="AV1264" s="22"/>
      <c r="AW1264" s="22"/>
      <c r="AX1264" s="22"/>
      <c r="AY1264" s="22"/>
      <c r="AZ1264" s="22"/>
      <c r="BA1264" s="22"/>
      <c r="BB1264" s="22"/>
      <c r="BC1264" s="22"/>
      <c r="BD1264" s="22"/>
      <c r="BE1264" s="22"/>
      <c r="BF1264" s="22"/>
      <c r="BG1264" s="22"/>
      <c r="BH1264" s="22"/>
      <c r="BI1264" s="22"/>
      <c r="BJ1264" s="22"/>
      <c r="BK1264" s="22"/>
      <c r="BL1264" s="22"/>
      <c r="BM1264" s="22"/>
      <c r="BN1264" s="22"/>
      <c r="BO1264" s="22"/>
      <c r="BP1264" s="22"/>
      <c r="BQ1264" s="22"/>
      <c r="BR1264" s="22"/>
      <c r="BS1264" s="22"/>
      <c r="BT1264" s="22"/>
      <c r="BU1264" s="22"/>
      <c r="BV1264" s="22"/>
      <c r="BW1264" s="22"/>
      <c r="BX1264" s="22"/>
      <c r="BY1264" s="22"/>
      <c r="BZ1264" s="22"/>
      <c r="CA1264" s="22"/>
      <c r="CB1264" s="22"/>
      <c r="CC1264" s="22"/>
      <c r="CD1264" s="22"/>
      <c r="CE1264" s="22"/>
      <c r="CF1264" s="22"/>
      <c r="CG1264" s="22"/>
      <c r="CH1264" s="22"/>
      <c r="CI1264" s="22"/>
      <c r="CJ1264" s="22"/>
      <c r="CK1264" s="22"/>
      <c r="CL1264" s="22"/>
      <c r="CM1264" s="22"/>
      <c r="CN1264" s="22"/>
      <c r="CO1264" s="22"/>
      <c r="CP1264" s="22"/>
      <c r="CQ1264" s="22"/>
      <c r="CR1264" s="22"/>
      <c r="CS1264" s="22"/>
      <c r="CT1264" s="22"/>
      <c r="CU1264" s="22"/>
      <c r="CV1264" s="22"/>
      <c r="CW1264" s="22"/>
      <c r="CX1264" s="22"/>
      <c r="CY1264" s="22"/>
      <c r="CZ1264" s="22"/>
      <c r="DA1264" s="22"/>
      <c r="DB1264" s="22"/>
      <c r="DC1264" s="22"/>
      <c r="DD1264" s="22"/>
      <c r="DE1264" s="22"/>
      <c r="DF1264" s="22"/>
      <c r="DG1264" s="22"/>
      <c r="DH1264" s="22"/>
      <c r="DI1264" s="22"/>
      <c r="DJ1264" s="22"/>
      <c r="DK1264" s="22"/>
      <c r="DL1264" s="22"/>
      <c r="DM1264" s="22"/>
      <c r="DN1264" s="22"/>
      <c r="DO1264" s="22"/>
      <c r="DP1264" s="22"/>
      <c r="DQ1264" s="22"/>
      <c r="DR1264" s="22"/>
      <c r="DS1264" s="22"/>
      <c r="DT1264" s="22"/>
      <c r="DU1264" s="22"/>
      <c r="DV1264" s="22"/>
      <c r="DW1264" s="22"/>
      <c r="DX1264" s="22"/>
      <c r="DY1264" s="22"/>
      <c r="DZ1264" s="22"/>
      <c r="EA1264" s="22"/>
      <c r="EB1264" s="22"/>
      <c r="EC1264" s="22"/>
      <c r="ED1264" s="22"/>
      <c r="EE1264" s="22"/>
      <c r="EF1264" s="22"/>
      <c r="EG1264" s="22"/>
      <c r="EH1264" s="22"/>
      <c r="EI1264" s="22"/>
      <c r="EJ1264" s="22"/>
      <c r="EK1264" s="22"/>
      <c r="EL1264" s="22"/>
      <c r="EM1264" s="22"/>
      <c r="EN1264" s="22"/>
      <c r="EO1264" s="22"/>
      <c r="EP1264" s="22"/>
      <c r="EQ1264" s="22"/>
      <c r="ER1264" s="22"/>
      <c r="ES1264" s="22"/>
      <c r="ET1264" s="22"/>
      <c r="EU1264" s="22"/>
      <c r="EV1264" s="22"/>
      <c r="EW1264" s="22"/>
      <c r="EX1264" s="22"/>
      <c r="EY1264" s="22"/>
      <c r="EZ1264" s="22"/>
      <c r="FA1264" s="22"/>
      <c r="FB1264" s="22"/>
      <c r="FC1264" s="22"/>
      <c r="FD1264" s="22"/>
      <c r="FE1264" s="22"/>
      <c r="FF1264" s="22"/>
      <c r="FG1264" s="22"/>
      <c r="FH1264" s="22"/>
      <c r="FI1264" s="22"/>
      <c r="FJ1264" s="22"/>
      <c r="FK1264" s="22"/>
      <c r="FL1264" s="22"/>
      <c r="FM1264" s="22"/>
      <c r="FN1264" s="22"/>
      <c r="FO1264" s="22"/>
      <c r="FP1264" s="22"/>
      <c r="FQ1264" s="22"/>
      <c r="FR1264" s="22"/>
      <c r="FS1264" s="22"/>
      <c r="FT1264" s="22"/>
      <c r="FU1264" s="22"/>
      <c r="FV1264" s="22"/>
      <c r="FW1264" s="22"/>
      <c r="FX1264" s="22"/>
      <c r="FY1264" s="22"/>
      <c r="FZ1264" s="22"/>
      <c r="GA1264" s="22"/>
      <c r="GB1264" s="22"/>
      <c r="GC1264" s="22"/>
      <c r="GD1264" s="22"/>
      <c r="GE1264" s="22"/>
      <c r="GF1264" s="22"/>
      <c r="GG1264" s="22"/>
      <c r="GH1264" s="22"/>
      <c r="GI1264" s="22"/>
      <c r="GJ1264" s="22"/>
      <c r="GK1264" s="22"/>
      <c r="GL1264" s="22"/>
      <c r="GM1264" s="22"/>
      <c r="GN1264" s="22"/>
      <c r="GO1264" s="22"/>
      <c r="GP1264" s="22"/>
      <c r="GQ1264" s="22"/>
      <c r="GR1264" s="22"/>
      <c r="GS1264" s="22"/>
      <c r="GT1264" s="22"/>
      <c r="GU1264" s="22"/>
      <c r="GV1264" s="22"/>
      <c r="GW1264" s="22"/>
      <c r="GX1264" s="22"/>
      <c r="GY1264" s="22"/>
      <c r="GZ1264" s="22"/>
      <c r="HA1264" s="22"/>
      <c r="HB1264" s="22"/>
      <c r="HC1264" s="22"/>
      <c r="HD1264" s="22"/>
      <c r="HE1264" s="22"/>
      <c r="HF1264" s="22"/>
      <c r="HG1264" s="22"/>
      <c r="HH1264" s="22"/>
      <c r="HI1264" s="22"/>
      <c r="HJ1264" s="22"/>
      <c r="HK1264" s="22"/>
      <c r="HL1264" s="22"/>
      <c r="HM1264" s="22"/>
      <c r="HN1264" s="22"/>
      <c r="HO1264" s="22"/>
      <c r="HP1264" s="22"/>
      <c r="HQ1264" s="22"/>
      <c r="HR1264" s="22"/>
      <c r="HS1264" s="22"/>
      <c r="HT1264" s="22"/>
      <c r="HU1264" s="22"/>
      <c r="HV1264" s="22"/>
      <c r="HW1264" s="22"/>
      <c r="HX1264" s="22"/>
      <c r="HY1264" s="22"/>
      <c r="HZ1264" s="22"/>
      <c r="IA1264" s="22"/>
      <c r="IB1264" s="22"/>
      <c r="IC1264" s="22"/>
      <c r="ID1264" s="22"/>
      <c r="IE1264" s="22"/>
      <c r="IF1264" s="22"/>
      <c r="IG1264" s="22"/>
      <c r="IH1264" s="22"/>
      <c r="II1264" s="22"/>
      <c r="IJ1264" s="22"/>
      <c r="IK1264" s="22"/>
      <c r="IL1264" s="22"/>
      <c r="IM1264" s="22"/>
      <c r="IN1264" s="22"/>
      <c r="IO1264" s="22"/>
      <c r="IP1264" s="22"/>
      <c r="IQ1264" s="22"/>
      <c r="IR1264" s="22"/>
      <c r="IS1264" s="22"/>
      <c r="IT1264" s="22"/>
      <c r="IU1264" s="22"/>
      <c r="IV1264" s="22"/>
      <c r="IW1264" s="22"/>
      <c r="IX1264" s="22"/>
      <c r="IY1264" s="22"/>
      <c r="IZ1264" s="22"/>
      <c r="JA1264" s="22"/>
      <c r="JB1264" s="22"/>
      <c r="JC1264" s="22"/>
      <c r="JD1264" s="22"/>
      <c r="JE1264" s="22"/>
      <c r="JF1264" s="22"/>
      <c r="JG1264" s="22"/>
      <c r="JH1264" s="22"/>
      <c r="JI1264" s="22"/>
      <c r="JJ1264" s="22"/>
      <c r="JK1264" s="22"/>
      <c r="JL1264" s="22"/>
      <c r="JM1264" s="22"/>
      <c r="JN1264" s="22"/>
      <c r="JO1264" s="22"/>
      <c r="JP1264" s="22"/>
      <c r="JQ1264" s="22"/>
      <c r="JR1264" s="22"/>
      <c r="JS1264" s="22"/>
      <c r="JT1264" s="22"/>
      <c r="JU1264" s="22"/>
      <c r="JV1264" s="22"/>
      <c r="JW1264" s="22"/>
      <c r="JX1264" s="22"/>
      <c r="JY1264" s="22"/>
      <c r="JZ1264" s="22"/>
      <c r="KA1264" s="22"/>
      <c r="KB1264" s="22"/>
      <c r="KC1264" s="22"/>
      <c r="KD1264" s="22"/>
      <c r="KE1264" s="22"/>
      <c r="KF1264" s="22"/>
      <c r="KG1264" s="22"/>
      <c r="KH1264" s="22"/>
      <c r="KI1264" s="22"/>
      <c r="KJ1264" s="22"/>
      <c r="KK1264" s="22"/>
      <c r="KL1264" s="22"/>
      <c r="KM1264" s="22"/>
      <c r="KN1264" s="22"/>
      <c r="KO1264" s="22"/>
      <c r="KP1264" s="22"/>
      <c r="KQ1264" s="22"/>
      <c r="KR1264" s="22"/>
      <c r="KS1264" s="22"/>
      <c r="KT1264" s="22"/>
      <c r="KU1264" s="22"/>
      <c r="KV1264" s="22"/>
      <c r="KW1264" s="22"/>
      <c r="KX1264" s="22"/>
      <c r="KY1264" s="22"/>
      <c r="KZ1264" s="22"/>
      <c r="LA1264" s="22"/>
      <c r="LB1264" s="22"/>
      <c r="LC1264" s="22"/>
      <c r="LD1264" s="22"/>
      <c r="LE1264" s="22"/>
      <c r="LF1264" s="22"/>
      <c r="LG1264" s="22"/>
      <c r="LH1264" s="22"/>
      <c r="LI1264" s="22"/>
      <c r="LJ1264" s="22"/>
      <c r="LK1264" s="22"/>
      <c r="LL1264" s="22"/>
      <c r="LM1264" s="22"/>
      <c r="LN1264" s="22"/>
      <c r="LO1264" s="22"/>
      <c r="LP1264" s="22"/>
      <c r="LQ1264" s="22"/>
      <c r="LR1264" s="22"/>
      <c r="LS1264" s="22"/>
      <c r="LT1264" s="22"/>
      <c r="LU1264" s="22"/>
      <c r="LV1264" s="22"/>
      <c r="LW1264" s="22"/>
      <c r="LX1264" s="22"/>
      <c r="LY1264" s="22"/>
      <c r="LZ1264" s="22"/>
      <c r="MA1264" s="22"/>
      <c r="MB1264" s="22"/>
      <c r="MC1264" s="22"/>
      <c r="MD1264" s="22"/>
      <c r="ME1264" s="22"/>
      <c r="MF1264" s="22"/>
      <c r="MG1264" s="22"/>
      <c r="MH1264" s="22"/>
      <c r="MI1264" s="22"/>
      <c r="MJ1264" s="22"/>
      <c r="MK1264" s="22"/>
      <c r="ML1264" s="22"/>
      <c r="MM1264" s="22"/>
      <c r="MN1264" s="22"/>
      <c r="MO1264" s="22"/>
      <c r="MP1264" s="22"/>
      <c r="MQ1264" s="22"/>
      <c r="MR1264" s="22"/>
      <c r="MS1264" s="22"/>
      <c r="MT1264" s="22"/>
      <c r="MU1264" s="22"/>
      <c r="MV1264" s="22"/>
      <c r="MW1264" s="22"/>
      <c r="MX1264" s="22"/>
      <c r="MY1264" s="22"/>
      <c r="MZ1264" s="22"/>
      <c r="NA1264" s="22"/>
      <c r="NB1264" s="22"/>
      <c r="NC1264" s="22"/>
      <c r="ND1264" s="22"/>
      <c r="NE1264" s="22"/>
      <c r="NF1264" s="22"/>
      <c r="NG1264" s="22"/>
      <c r="NH1264" s="22"/>
      <c r="NI1264" s="22"/>
      <c r="NJ1264" s="22"/>
      <c r="NK1264" s="22"/>
      <c r="NL1264" s="22"/>
      <c r="NM1264" s="22"/>
      <c r="NN1264" s="22"/>
      <c r="NO1264" s="22"/>
      <c r="NP1264" s="22"/>
      <c r="NQ1264" s="22"/>
      <c r="NR1264" s="22"/>
      <c r="NS1264" s="22"/>
      <c r="NT1264" s="22"/>
      <c r="NU1264" s="22"/>
      <c r="NV1264" s="22"/>
      <c r="NW1264" s="22"/>
      <c r="NX1264" s="22"/>
      <c r="NY1264" s="22"/>
      <c r="NZ1264" s="22"/>
      <c r="OA1264" s="22"/>
      <c r="OB1264" s="22"/>
      <c r="OC1264" s="22"/>
      <c r="OD1264" s="22"/>
      <c r="OE1264" s="22"/>
      <c r="OF1264" s="22"/>
      <c r="OG1264" s="22"/>
      <c r="OH1264" s="22"/>
      <c r="OI1264" s="22"/>
      <c r="OJ1264" s="22"/>
      <c r="OK1264" s="22"/>
      <c r="OL1264" s="22"/>
      <c r="OM1264" s="22"/>
      <c r="ON1264" s="22"/>
      <c r="OO1264" s="22"/>
      <c r="OP1264" s="22"/>
      <c r="OQ1264" s="22"/>
      <c r="OR1264" s="22"/>
      <c r="OS1264" s="22"/>
      <c r="OT1264" s="22"/>
      <c r="OU1264" s="22"/>
      <c r="OV1264" s="22"/>
      <c r="OW1264" s="22"/>
      <c r="OX1264" s="22"/>
      <c r="OY1264" s="22"/>
      <c r="OZ1264" s="22"/>
      <c r="PA1264" s="22"/>
      <c r="PB1264" s="22"/>
      <c r="PC1264" s="22"/>
      <c r="PD1264" s="22"/>
      <c r="PE1264" s="22"/>
      <c r="PF1264" s="22"/>
      <c r="PG1264" s="22"/>
      <c r="PH1264" s="22"/>
      <c r="PI1264" s="22"/>
      <c r="PJ1264" s="22"/>
      <c r="PK1264" s="22"/>
      <c r="PL1264" s="22"/>
      <c r="PM1264" s="22"/>
      <c r="PN1264" s="22"/>
      <c r="PO1264" s="22"/>
      <c r="PP1264" s="22"/>
      <c r="PQ1264" s="22"/>
      <c r="PR1264" s="22"/>
      <c r="PS1264" s="22"/>
      <c r="PT1264" s="22"/>
      <c r="PU1264" s="22"/>
      <c r="PV1264" s="22"/>
      <c r="PW1264" s="22"/>
      <c r="PX1264" s="22"/>
      <c r="PY1264" s="22"/>
      <c r="PZ1264" s="22"/>
      <c r="QA1264" s="22"/>
      <c r="QB1264" s="22"/>
      <c r="QC1264" s="22"/>
      <c r="QD1264" s="22"/>
      <c r="QE1264" s="22"/>
      <c r="QF1264" s="22"/>
      <c r="QG1264" s="22"/>
      <c r="QH1264" s="22"/>
      <c r="QI1264" s="22"/>
      <c r="QJ1264" s="22"/>
      <c r="QK1264" s="22"/>
      <c r="QL1264" s="22"/>
      <c r="QM1264" s="22"/>
      <c r="QN1264" s="22"/>
      <c r="QO1264" s="22"/>
      <c r="QP1264" s="22"/>
      <c r="QQ1264" s="22"/>
      <c r="QR1264" s="22"/>
      <c r="QS1264" s="22"/>
      <c r="QT1264" s="22"/>
      <c r="QU1264" s="22"/>
      <c r="QV1264" s="22"/>
      <c r="QW1264" s="22"/>
      <c r="QX1264" s="22"/>
      <c r="QY1264" s="22"/>
      <c r="QZ1264" s="22"/>
      <c r="RA1264" s="22"/>
      <c r="RB1264" s="22"/>
      <c r="RC1264" s="22"/>
      <c r="RD1264" s="22"/>
      <c r="RE1264" s="22"/>
      <c r="RF1264" s="22"/>
      <c r="RG1264" s="22"/>
      <c r="RH1264" s="22"/>
      <c r="RI1264" s="22"/>
      <c r="RJ1264" s="22"/>
      <c r="RK1264" s="22"/>
      <c r="RL1264" s="22"/>
      <c r="RM1264" s="22"/>
      <c r="RN1264" s="22"/>
      <c r="RO1264" s="22"/>
      <c r="RP1264" s="22"/>
      <c r="RQ1264" s="22"/>
      <c r="RR1264" s="22"/>
      <c r="RS1264" s="22"/>
      <c r="RT1264" s="22"/>
      <c r="RU1264" s="22"/>
      <c r="RV1264" s="22"/>
      <c r="RW1264" s="22"/>
      <c r="RX1264" s="22"/>
      <c r="RY1264" s="22"/>
      <c r="RZ1264" s="22"/>
      <c r="SA1264" s="22"/>
      <c r="SB1264" s="22"/>
      <c r="SC1264" s="22"/>
      <c r="SD1264" s="22"/>
      <c r="SE1264" s="22"/>
      <c r="SF1264" s="22"/>
      <c r="SG1264" s="22"/>
      <c r="SH1264" s="22"/>
      <c r="SI1264" s="22"/>
      <c r="SJ1264" s="22"/>
      <c r="SK1264" s="22"/>
      <c r="SL1264" s="22"/>
      <c r="SM1264" s="22"/>
      <c r="SN1264" s="22"/>
      <c r="SO1264" s="22"/>
      <c r="SP1264" s="22"/>
      <c r="SQ1264" s="22"/>
      <c r="SR1264" s="22"/>
      <c r="SS1264" s="22"/>
      <c r="ST1264" s="22"/>
      <c r="SU1264" s="22"/>
      <c r="SV1264" s="22"/>
      <c r="SW1264" s="22"/>
      <c r="SX1264" s="22"/>
      <c r="SY1264" s="22"/>
      <c r="SZ1264" s="22"/>
      <c r="TA1264" s="22"/>
      <c r="TB1264" s="22"/>
      <c r="TC1264" s="22"/>
      <c r="TD1264" s="22"/>
      <c r="TE1264" s="22"/>
      <c r="TF1264" s="22"/>
      <c r="TG1264" s="22"/>
      <c r="TH1264" s="22"/>
      <c r="TI1264" s="22"/>
      <c r="TJ1264" s="22"/>
      <c r="TK1264" s="22"/>
      <c r="TL1264" s="22"/>
      <c r="TM1264" s="22"/>
      <c r="TN1264" s="22"/>
      <c r="TO1264" s="22"/>
      <c r="TP1264" s="22"/>
      <c r="TQ1264" s="22"/>
      <c r="TR1264" s="22"/>
      <c r="TS1264" s="22"/>
      <c r="TT1264" s="22"/>
      <c r="TU1264" s="22"/>
      <c r="TV1264" s="22"/>
      <c r="TW1264" s="22"/>
      <c r="TX1264" s="22"/>
      <c r="TY1264" s="22"/>
      <c r="TZ1264" s="22"/>
      <c r="UA1264" s="22"/>
      <c r="UB1264" s="22"/>
      <c r="UC1264" s="22"/>
      <c r="UD1264" s="22"/>
      <c r="UE1264" s="22"/>
      <c r="UF1264" s="22"/>
      <c r="UG1264" s="23"/>
    </row>
    <row r="1265" spans="1:553" ht="42.75" customHeight="1">
      <c r="A1265" s="366"/>
      <c r="B1265" s="366" t="s">
        <v>691</v>
      </c>
      <c r="C1265" s="1535" t="s">
        <v>693</v>
      </c>
      <c r="D1265" s="1389"/>
      <c r="E1265" s="1389"/>
      <c r="F1265" s="1390"/>
      <c r="G1265" s="366" t="s">
        <v>33</v>
      </c>
      <c r="H1265" s="370"/>
      <c r="I1265" s="422">
        <f>-5*2.5</f>
        <v>-12.5</v>
      </c>
      <c r="J1265" s="368">
        <f>153000-60200</f>
        <v>92800</v>
      </c>
      <c r="K1265" s="371"/>
      <c r="L1265" s="487">
        <f t="shared" si="189"/>
        <v>-1160000</v>
      </c>
      <c r="M1265" s="366"/>
      <c r="N1265" s="366"/>
      <c r="O1265" s="366"/>
      <c r="P1265" s="366"/>
      <c r="Q1265" s="812"/>
      <c r="R1265" s="1226"/>
      <c r="S1265" s="308"/>
      <c r="T1265" s="308"/>
      <c r="U1265" s="308"/>
      <c r="V1265" s="308"/>
      <c r="W1265" s="308"/>
      <c r="X1265" s="308"/>
      <c r="Y1265" s="308"/>
      <c r="Z1265" s="604"/>
      <c r="AA1265" s="308"/>
      <c r="AB1265" s="308"/>
      <c r="AC1265" s="373"/>
      <c r="AD1265" s="373"/>
      <c r="AE1265" s="373"/>
      <c r="AF1265" s="373"/>
      <c r="AG1265" s="373"/>
      <c r="AH1265" s="373"/>
      <c r="AI1265" s="373"/>
      <c r="AJ1265" s="373"/>
      <c r="AK1265" s="389"/>
      <c r="AL1265" s="100"/>
      <c r="AM1265" s="27"/>
      <c r="AN1265" s="27"/>
      <c r="AO1265" s="27"/>
      <c r="AP1265" s="27"/>
      <c r="AQ1265" s="27"/>
      <c r="AR1265" s="27"/>
      <c r="AS1265" s="22"/>
      <c r="AT1265" s="22"/>
      <c r="AU1265" s="22"/>
      <c r="AV1265" s="22"/>
      <c r="AW1265" s="22"/>
      <c r="AX1265" s="22"/>
      <c r="AY1265" s="22"/>
      <c r="AZ1265" s="22"/>
      <c r="BA1265" s="22"/>
      <c r="BB1265" s="22"/>
      <c r="BC1265" s="22"/>
      <c r="BD1265" s="22"/>
      <c r="BE1265" s="22"/>
      <c r="BF1265" s="22"/>
      <c r="BG1265" s="22"/>
      <c r="BH1265" s="22"/>
      <c r="BI1265" s="22"/>
      <c r="BJ1265" s="22"/>
      <c r="BK1265" s="22"/>
      <c r="BL1265" s="22"/>
      <c r="BM1265" s="22"/>
      <c r="BN1265" s="22"/>
      <c r="BO1265" s="22"/>
      <c r="BP1265" s="22"/>
      <c r="BQ1265" s="22"/>
      <c r="BR1265" s="22"/>
      <c r="BS1265" s="22"/>
      <c r="BT1265" s="22"/>
      <c r="BU1265" s="22"/>
      <c r="BV1265" s="22"/>
      <c r="BW1265" s="22"/>
      <c r="BX1265" s="22"/>
      <c r="BY1265" s="22"/>
      <c r="BZ1265" s="22"/>
      <c r="CA1265" s="22"/>
      <c r="CB1265" s="22"/>
      <c r="CC1265" s="22"/>
      <c r="CD1265" s="22"/>
      <c r="CE1265" s="22"/>
      <c r="CF1265" s="22"/>
      <c r="CG1265" s="22"/>
      <c r="CH1265" s="22"/>
      <c r="CI1265" s="22"/>
      <c r="CJ1265" s="22"/>
      <c r="CK1265" s="22"/>
      <c r="CL1265" s="22"/>
      <c r="CM1265" s="22"/>
      <c r="CN1265" s="22"/>
      <c r="CO1265" s="22"/>
      <c r="CP1265" s="22"/>
      <c r="CQ1265" s="22"/>
      <c r="CR1265" s="22"/>
      <c r="CS1265" s="22"/>
      <c r="CT1265" s="22"/>
      <c r="CU1265" s="22"/>
      <c r="CV1265" s="22"/>
      <c r="CW1265" s="22"/>
      <c r="CX1265" s="22"/>
      <c r="CY1265" s="22"/>
      <c r="CZ1265" s="22"/>
      <c r="DA1265" s="22"/>
      <c r="DB1265" s="22"/>
      <c r="DC1265" s="22"/>
      <c r="DD1265" s="22"/>
      <c r="DE1265" s="22"/>
      <c r="DF1265" s="22"/>
      <c r="DG1265" s="22"/>
      <c r="DH1265" s="22"/>
      <c r="DI1265" s="22"/>
      <c r="DJ1265" s="22"/>
      <c r="DK1265" s="22"/>
      <c r="DL1265" s="22"/>
      <c r="DM1265" s="22"/>
      <c r="DN1265" s="22"/>
      <c r="DO1265" s="22"/>
      <c r="DP1265" s="22"/>
      <c r="DQ1265" s="22"/>
      <c r="DR1265" s="22"/>
      <c r="DS1265" s="22"/>
      <c r="DT1265" s="22"/>
      <c r="DU1265" s="22"/>
      <c r="DV1265" s="22"/>
      <c r="DW1265" s="22"/>
      <c r="DX1265" s="22"/>
      <c r="DY1265" s="22"/>
      <c r="DZ1265" s="22"/>
      <c r="EA1265" s="22"/>
      <c r="EB1265" s="22"/>
      <c r="EC1265" s="22"/>
      <c r="ED1265" s="22"/>
      <c r="EE1265" s="22"/>
      <c r="EF1265" s="22"/>
      <c r="EG1265" s="22"/>
      <c r="EH1265" s="22"/>
      <c r="EI1265" s="22"/>
      <c r="EJ1265" s="22"/>
      <c r="EK1265" s="22"/>
      <c r="EL1265" s="22"/>
      <c r="EM1265" s="22"/>
      <c r="EN1265" s="22"/>
      <c r="EO1265" s="22"/>
      <c r="EP1265" s="22"/>
      <c r="EQ1265" s="22"/>
      <c r="ER1265" s="22"/>
      <c r="ES1265" s="22"/>
      <c r="ET1265" s="22"/>
      <c r="EU1265" s="22"/>
      <c r="EV1265" s="22"/>
      <c r="EW1265" s="22"/>
      <c r="EX1265" s="22"/>
      <c r="EY1265" s="22"/>
      <c r="EZ1265" s="22"/>
      <c r="FA1265" s="22"/>
      <c r="FB1265" s="22"/>
      <c r="FC1265" s="22"/>
      <c r="FD1265" s="22"/>
      <c r="FE1265" s="22"/>
      <c r="FF1265" s="22"/>
      <c r="FG1265" s="22"/>
      <c r="FH1265" s="22"/>
      <c r="FI1265" s="22"/>
      <c r="FJ1265" s="22"/>
      <c r="FK1265" s="22"/>
      <c r="FL1265" s="22"/>
      <c r="FM1265" s="22"/>
      <c r="FN1265" s="22"/>
      <c r="FO1265" s="22"/>
      <c r="FP1265" s="22"/>
      <c r="FQ1265" s="22"/>
      <c r="FR1265" s="22"/>
      <c r="FS1265" s="22"/>
      <c r="FT1265" s="22"/>
      <c r="FU1265" s="22"/>
      <c r="FV1265" s="22"/>
      <c r="FW1265" s="22"/>
      <c r="FX1265" s="22"/>
      <c r="FY1265" s="22"/>
      <c r="FZ1265" s="22"/>
      <c r="GA1265" s="22"/>
      <c r="GB1265" s="22"/>
      <c r="GC1265" s="22"/>
      <c r="GD1265" s="22"/>
      <c r="GE1265" s="22"/>
      <c r="GF1265" s="22"/>
      <c r="GG1265" s="22"/>
      <c r="GH1265" s="22"/>
      <c r="GI1265" s="22"/>
      <c r="GJ1265" s="22"/>
      <c r="GK1265" s="22"/>
      <c r="GL1265" s="22"/>
      <c r="GM1265" s="22"/>
      <c r="GN1265" s="22"/>
      <c r="GO1265" s="22"/>
      <c r="GP1265" s="22"/>
      <c r="GQ1265" s="22"/>
      <c r="GR1265" s="22"/>
      <c r="GS1265" s="22"/>
      <c r="GT1265" s="22"/>
      <c r="GU1265" s="22"/>
      <c r="GV1265" s="22"/>
      <c r="GW1265" s="22"/>
      <c r="GX1265" s="22"/>
      <c r="GY1265" s="22"/>
      <c r="GZ1265" s="22"/>
      <c r="HA1265" s="22"/>
      <c r="HB1265" s="22"/>
      <c r="HC1265" s="22"/>
      <c r="HD1265" s="22"/>
      <c r="HE1265" s="22"/>
      <c r="HF1265" s="22"/>
      <c r="HG1265" s="22"/>
      <c r="HH1265" s="22"/>
      <c r="HI1265" s="22"/>
      <c r="HJ1265" s="22"/>
      <c r="HK1265" s="22"/>
      <c r="HL1265" s="22"/>
      <c r="HM1265" s="22"/>
      <c r="HN1265" s="22"/>
      <c r="HO1265" s="22"/>
      <c r="HP1265" s="22"/>
      <c r="HQ1265" s="22"/>
      <c r="HR1265" s="22"/>
      <c r="HS1265" s="22"/>
      <c r="HT1265" s="22"/>
      <c r="HU1265" s="22"/>
      <c r="HV1265" s="22"/>
      <c r="HW1265" s="22"/>
      <c r="HX1265" s="22"/>
      <c r="HY1265" s="22"/>
      <c r="HZ1265" s="22"/>
      <c r="IA1265" s="22"/>
      <c r="IB1265" s="22"/>
      <c r="IC1265" s="22"/>
      <c r="ID1265" s="22"/>
      <c r="IE1265" s="22"/>
      <c r="IF1265" s="22"/>
      <c r="IG1265" s="22"/>
      <c r="IH1265" s="22"/>
      <c r="II1265" s="22"/>
      <c r="IJ1265" s="22"/>
      <c r="IK1265" s="22"/>
      <c r="IL1265" s="22"/>
      <c r="IM1265" s="22"/>
      <c r="IN1265" s="22"/>
      <c r="IO1265" s="22"/>
      <c r="IP1265" s="22"/>
      <c r="IQ1265" s="22"/>
      <c r="IR1265" s="22"/>
      <c r="IS1265" s="22"/>
      <c r="IT1265" s="22"/>
      <c r="IU1265" s="22"/>
      <c r="IV1265" s="22"/>
      <c r="IW1265" s="22"/>
      <c r="IX1265" s="22"/>
      <c r="IY1265" s="22"/>
      <c r="IZ1265" s="22"/>
      <c r="JA1265" s="22"/>
      <c r="JB1265" s="22"/>
      <c r="JC1265" s="22"/>
      <c r="JD1265" s="22"/>
      <c r="JE1265" s="22"/>
      <c r="JF1265" s="22"/>
      <c r="JG1265" s="22"/>
      <c r="JH1265" s="22"/>
      <c r="JI1265" s="22"/>
      <c r="JJ1265" s="22"/>
      <c r="JK1265" s="22"/>
      <c r="JL1265" s="22"/>
      <c r="JM1265" s="22"/>
      <c r="JN1265" s="22"/>
      <c r="JO1265" s="22"/>
      <c r="JP1265" s="22"/>
      <c r="JQ1265" s="22"/>
      <c r="JR1265" s="22"/>
      <c r="JS1265" s="22"/>
      <c r="JT1265" s="22"/>
      <c r="JU1265" s="22"/>
      <c r="JV1265" s="22"/>
      <c r="JW1265" s="22"/>
      <c r="JX1265" s="22"/>
      <c r="JY1265" s="22"/>
      <c r="JZ1265" s="22"/>
      <c r="KA1265" s="22"/>
      <c r="KB1265" s="22"/>
      <c r="KC1265" s="22"/>
      <c r="KD1265" s="22"/>
      <c r="KE1265" s="22"/>
      <c r="KF1265" s="22"/>
      <c r="KG1265" s="22"/>
      <c r="KH1265" s="22"/>
      <c r="KI1265" s="22"/>
      <c r="KJ1265" s="22"/>
      <c r="KK1265" s="22"/>
      <c r="KL1265" s="22"/>
      <c r="KM1265" s="22"/>
      <c r="KN1265" s="22"/>
      <c r="KO1265" s="22"/>
      <c r="KP1265" s="22"/>
      <c r="KQ1265" s="22"/>
      <c r="KR1265" s="22"/>
      <c r="KS1265" s="22"/>
      <c r="KT1265" s="22"/>
      <c r="KU1265" s="22"/>
      <c r="KV1265" s="22"/>
      <c r="KW1265" s="22"/>
      <c r="KX1265" s="22"/>
      <c r="KY1265" s="22"/>
      <c r="KZ1265" s="22"/>
      <c r="LA1265" s="22"/>
      <c r="LB1265" s="22"/>
      <c r="LC1265" s="22"/>
      <c r="LD1265" s="22"/>
      <c r="LE1265" s="22"/>
      <c r="LF1265" s="22"/>
      <c r="LG1265" s="22"/>
      <c r="LH1265" s="22"/>
      <c r="LI1265" s="22"/>
      <c r="LJ1265" s="22"/>
      <c r="LK1265" s="22"/>
      <c r="LL1265" s="22"/>
      <c r="LM1265" s="22"/>
      <c r="LN1265" s="22"/>
      <c r="LO1265" s="22"/>
      <c r="LP1265" s="22"/>
      <c r="LQ1265" s="22"/>
      <c r="LR1265" s="22"/>
      <c r="LS1265" s="22"/>
      <c r="LT1265" s="22"/>
      <c r="LU1265" s="22"/>
      <c r="LV1265" s="22"/>
      <c r="LW1265" s="22"/>
      <c r="LX1265" s="22"/>
      <c r="LY1265" s="22"/>
      <c r="LZ1265" s="22"/>
      <c r="MA1265" s="22"/>
      <c r="MB1265" s="22"/>
      <c r="MC1265" s="22"/>
      <c r="MD1265" s="22"/>
      <c r="ME1265" s="22"/>
      <c r="MF1265" s="22"/>
      <c r="MG1265" s="22"/>
      <c r="MH1265" s="22"/>
      <c r="MI1265" s="22"/>
      <c r="MJ1265" s="22"/>
      <c r="MK1265" s="22"/>
      <c r="ML1265" s="22"/>
      <c r="MM1265" s="22"/>
      <c r="MN1265" s="22"/>
      <c r="MO1265" s="22"/>
      <c r="MP1265" s="22"/>
      <c r="MQ1265" s="22"/>
      <c r="MR1265" s="22"/>
      <c r="MS1265" s="22"/>
      <c r="MT1265" s="22"/>
      <c r="MU1265" s="22"/>
      <c r="MV1265" s="22"/>
      <c r="MW1265" s="22"/>
      <c r="MX1265" s="22"/>
      <c r="MY1265" s="22"/>
      <c r="MZ1265" s="22"/>
      <c r="NA1265" s="22"/>
      <c r="NB1265" s="22"/>
      <c r="NC1265" s="22"/>
      <c r="ND1265" s="22"/>
      <c r="NE1265" s="22"/>
      <c r="NF1265" s="22"/>
      <c r="NG1265" s="22"/>
      <c r="NH1265" s="22"/>
      <c r="NI1265" s="22"/>
      <c r="NJ1265" s="22"/>
      <c r="NK1265" s="22"/>
      <c r="NL1265" s="22"/>
      <c r="NM1265" s="22"/>
      <c r="NN1265" s="22"/>
      <c r="NO1265" s="22"/>
      <c r="NP1265" s="22"/>
      <c r="NQ1265" s="22"/>
      <c r="NR1265" s="22"/>
      <c r="NS1265" s="22"/>
      <c r="NT1265" s="22"/>
      <c r="NU1265" s="22"/>
      <c r="NV1265" s="22"/>
      <c r="NW1265" s="22"/>
      <c r="NX1265" s="22"/>
      <c r="NY1265" s="22"/>
      <c r="NZ1265" s="22"/>
      <c r="OA1265" s="22"/>
      <c r="OB1265" s="22"/>
      <c r="OC1265" s="22"/>
      <c r="OD1265" s="22"/>
      <c r="OE1265" s="22"/>
      <c r="OF1265" s="22"/>
      <c r="OG1265" s="22"/>
      <c r="OH1265" s="22"/>
      <c r="OI1265" s="22"/>
      <c r="OJ1265" s="22"/>
      <c r="OK1265" s="22"/>
      <c r="OL1265" s="22"/>
      <c r="OM1265" s="22"/>
      <c r="ON1265" s="22"/>
      <c r="OO1265" s="22"/>
      <c r="OP1265" s="22"/>
      <c r="OQ1265" s="22"/>
      <c r="OR1265" s="22"/>
      <c r="OS1265" s="22"/>
      <c r="OT1265" s="22"/>
      <c r="OU1265" s="22"/>
      <c r="OV1265" s="22"/>
      <c r="OW1265" s="22"/>
      <c r="OX1265" s="22"/>
      <c r="OY1265" s="22"/>
      <c r="OZ1265" s="22"/>
      <c r="PA1265" s="22"/>
      <c r="PB1265" s="22"/>
      <c r="PC1265" s="22"/>
      <c r="PD1265" s="22"/>
      <c r="PE1265" s="22"/>
      <c r="PF1265" s="22"/>
      <c r="PG1265" s="22"/>
      <c r="PH1265" s="22"/>
      <c r="PI1265" s="22"/>
      <c r="PJ1265" s="22"/>
      <c r="PK1265" s="22"/>
      <c r="PL1265" s="22"/>
      <c r="PM1265" s="22"/>
      <c r="PN1265" s="22"/>
      <c r="PO1265" s="22"/>
      <c r="PP1265" s="22"/>
      <c r="PQ1265" s="22"/>
      <c r="PR1265" s="22"/>
      <c r="PS1265" s="22"/>
      <c r="PT1265" s="22"/>
      <c r="PU1265" s="22"/>
      <c r="PV1265" s="22"/>
      <c r="PW1265" s="22"/>
      <c r="PX1265" s="22"/>
      <c r="PY1265" s="22"/>
      <c r="PZ1265" s="22"/>
      <c r="QA1265" s="22"/>
      <c r="QB1265" s="22"/>
      <c r="QC1265" s="22"/>
      <c r="QD1265" s="22"/>
      <c r="QE1265" s="22"/>
      <c r="QF1265" s="22"/>
      <c r="QG1265" s="22"/>
      <c r="QH1265" s="22"/>
      <c r="QI1265" s="22"/>
      <c r="QJ1265" s="22"/>
      <c r="QK1265" s="22"/>
      <c r="QL1265" s="22"/>
      <c r="QM1265" s="22"/>
      <c r="QN1265" s="22"/>
      <c r="QO1265" s="22"/>
      <c r="QP1265" s="22"/>
      <c r="QQ1265" s="22"/>
      <c r="QR1265" s="22"/>
      <c r="QS1265" s="22"/>
      <c r="QT1265" s="22"/>
      <c r="QU1265" s="22"/>
      <c r="QV1265" s="22"/>
      <c r="QW1265" s="22"/>
      <c r="QX1265" s="22"/>
      <c r="QY1265" s="22"/>
      <c r="QZ1265" s="22"/>
      <c r="RA1265" s="22"/>
      <c r="RB1265" s="22"/>
      <c r="RC1265" s="22"/>
      <c r="RD1265" s="22"/>
      <c r="RE1265" s="22"/>
      <c r="RF1265" s="22"/>
      <c r="RG1265" s="22"/>
      <c r="RH1265" s="22"/>
      <c r="RI1265" s="22"/>
      <c r="RJ1265" s="22"/>
      <c r="RK1265" s="22"/>
      <c r="RL1265" s="22"/>
      <c r="RM1265" s="22"/>
      <c r="RN1265" s="22"/>
      <c r="RO1265" s="22"/>
      <c r="RP1265" s="22"/>
      <c r="RQ1265" s="22"/>
      <c r="RR1265" s="22"/>
      <c r="RS1265" s="22"/>
      <c r="RT1265" s="22"/>
      <c r="RU1265" s="22"/>
      <c r="RV1265" s="22"/>
      <c r="RW1265" s="22"/>
      <c r="RX1265" s="22"/>
      <c r="RY1265" s="22"/>
      <c r="RZ1265" s="22"/>
      <c r="SA1265" s="22"/>
      <c r="SB1265" s="22"/>
      <c r="SC1265" s="22"/>
      <c r="SD1265" s="22"/>
      <c r="SE1265" s="22"/>
      <c r="SF1265" s="22"/>
      <c r="SG1265" s="22"/>
      <c r="SH1265" s="22"/>
      <c r="SI1265" s="22"/>
      <c r="SJ1265" s="22"/>
      <c r="SK1265" s="22"/>
      <c r="SL1265" s="22"/>
      <c r="SM1265" s="22"/>
      <c r="SN1265" s="22"/>
      <c r="SO1265" s="22"/>
      <c r="SP1265" s="22"/>
      <c r="SQ1265" s="22"/>
      <c r="SR1265" s="22"/>
      <c r="SS1265" s="22"/>
      <c r="ST1265" s="22"/>
      <c r="SU1265" s="22"/>
      <c r="SV1265" s="22"/>
      <c r="SW1265" s="22"/>
      <c r="SX1265" s="22"/>
      <c r="SY1265" s="22"/>
      <c r="SZ1265" s="22"/>
      <c r="TA1265" s="22"/>
      <c r="TB1265" s="22"/>
      <c r="TC1265" s="22"/>
      <c r="TD1265" s="22"/>
      <c r="TE1265" s="22"/>
      <c r="TF1265" s="22"/>
      <c r="TG1265" s="22"/>
      <c r="TH1265" s="22"/>
      <c r="TI1265" s="22"/>
      <c r="TJ1265" s="22"/>
      <c r="TK1265" s="22"/>
      <c r="TL1265" s="22"/>
      <c r="TM1265" s="22"/>
      <c r="TN1265" s="22"/>
      <c r="TO1265" s="22"/>
      <c r="TP1265" s="22"/>
      <c r="TQ1265" s="22"/>
      <c r="TR1265" s="22"/>
      <c r="TS1265" s="22"/>
      <c r="TT1265" s="22"/>
      <c r="TU1265" s="22"/>
      <c r="TV1265" s="22"/>
      <c r="TW1265" s="22"/>
      <c r="TX1265" s="22"/>
      <c r="TY1265" s="22"/>
      <c r="TZ1265" s="22"/>
      <c r="UA1265" s="22"/>
      <c r="UB1265" s="22"/>
      <c r="UC1265" s="22"/>
      <c r="UD1265" s="22"/>
      <c r="UE1265" s="22"/>
      <c r="UF1265" s="22"/>
      <c r="UG1265" s="23"/>
    </row>
    <row r="1266" spans="1:553" ht="36" customHeight="1">
      <c r="A1266" s="366"/>
      <c r="B1266" s="366">
        <v>52</v>
      </c>
      <c r="C1266" s="1535" t="s">
        <v>694</v>
      </c>
      <c r="D1266" s="1389"/>
      <c r="E1266" s="1389"/>
      <c r="F1266" s="1390"/>
      <c r="G1266" s="366" t="s">
        <v>33</v>
      </c>
      <c r="H1266" s="370"/>
      <c r="I1266" s="422">
        <f>(2.8*3.3)+(2.4*3.5)</f>
        <v>17.64</v>
      </c>
      <c r="J1266" s="368">
        <v>60200</v>
      </c>
      <c r="K1266" s="371"/>
      <c r="L1266" s="487">
        <f t="shared" si="189"/>
        <v>1061928</v>
      </c>
      <c r="M1266" s="366"/>
      <c r="N1266" s="366"/>
      <c r="O1266" s="366"/>
      <c r="P1266" s="366"/>
      <c r="Q1266" s="812"/>
      <c r="R1266" s="1226"/>
      <c r="S1266" s="308"/>
      <c r="T1266" s="308"/>
      <c r="U1266" s="308"/>
      <c r="V1266" s="308"/>
      <c r="W1266" s="308"/>
      <c r="X1266" s="308"/>
      <c r="Y1266" s="308"/>
      <c r="Z1266" s="604"/>
      <c r="AA1266" s="308"/>
      <c r="AB1266" s="308"/>
      <c r="AC1266" s="373"/>
      <c r="AD1266" s="373"/>
      <c r="AE1266" s="373"/>
      <c r="AF1266" s="373"/>
      <c r="AG1266" s="373"/>
      <c r="AH1266" s="373"/>
      <c r="AI1266" s="373"/>
      <c r="AJ1266" s="373"/>
      <c r="AK1266" s="389"/>
      <c r="AL1266" s="100"/>
      <c r="AM1266" s="27"/>
      <c r="AN1266" s="27"/>
      <c r="AO1266" s="27"/>
      <c r="AP1266" s="27"/>
      <c r="AQ1266" s="27"/>
      <c r="AR1266" s="27"/>
      <c r="AS1266" s="22"/>
      <c r="AT1266" s="22"/>
      <c r="AU1266" s="22"/>
      <c r="AV1266" s="22"/>
      <c r="AW1266" s="22"/>
      <c r="AX1266" s="22"/>
      <c r="AY1266" s="22"/>
      <c r="AZ1266" s="22"/>
      <c r="BA1266" s="22"/>
      <c r="BB1266" s="22"/>
      <c r="BC1266" s="22"/>
      <c r="BD1266" s="22"/>
      <c r="BE1266" s="22"/>
      <c r="BF1266" s="22"/>
      <c r="BG1266" s="22"/>
      <c r="BH1266" s="22"/>
      <c r="BI1266" s="22"/>
      <c r="BJ1266" s="22"/>
      <c r="BK1266" s="22"/>
      <c r="BL1266" s="22"/>
      <c r="BM1266" s="22"/>
      <c r="BN1266" s="22"/>
      <c r="BO1266" s="22"/>
      <c r="BP1266" s="22"/>
      <c r="BQ1266" s="22"/>
      <c r="BR1266" s="22"/>
      <c r="BS1266" s="22"/>
      <c r="BT1266" s="22"/>
      <c r="BU1266" s="22"/>
      <c r="BV1266" s="22"/>
      <c r="BW1266" s="22"/>
      <c r="BX1266" s="22"/>
      <c r="BY1266" s="22"/>
      <c r="BZ1266" s="22"/>
      <c r="CA1266" s="22"/>
      <c r="CB1266" s="22"/>
      <c r="CC1266" s="22"/>
      <c r="CD1266" s="22"/>
      <c r="CE1266" s="22"/>
      <c r="CF1266" s="22"/>
      <c r="CG1266" s="22"/>
      <c r="CH1266" s="22"/>
      <c r="CI1266" s="22"/>
      <c r="CJ1266" s="22"/>
      <c r="CK1266" s="22"/>
      <c r="CL1266" s="22"/>
      <c r="CM1266" s="22"/>
      <c r="CN1266" s="22"/>
      <c r="CO1266" s="22"/>
      <c r="CP1266" s="22"/>
      <c r="CQ1266" s="22"/>
      <c r="CR1266" s="22"/>
      <c r="CS1266" s="22"/>
      <c r="CT1266" s="22"/>
      <c r="CU1266" s="22"/>
      <c r="CV1266" s="22"/>
      <c r="CW1266" s="22"/>
      <c r="CX1266" s="22"/>
      <c r="CY1266" s="22"/>
      <c r="CZ1266" s="22"/>
      <c r="DA1266" s="22"/>
      <c r="DB1266" s="22"/>
      <c r="DC1266" s="22"/>
      <c r="DD1266" s="22"/>
      <c r="DE1266" s="22"/>
      <c r="DF1266" s="22"/>
      <c r="DG1266" s="22"/>
      <c r="DH1266" s="22"/>
      <c r="DI1266" s="22"/>
      <c r="DJ1266" s="22"/>
      <c r="DK1266" s="22"/>
      <c r="DL1266" s="22"/>
      <c r="DM1266" s="22"/>
      <c r="DN1266" s="22"/>
      <c r="DO1266" s="22"/>
      <c r="DP1266" s="22"/>
      <c r="DQ1266" s="22"/>
      <c r="DR1266" s="22"/>
      <c r="DS1266" s="22"/>
      <c r="DT1266" s="22"/>
      <c r="DU1266" s="22"/>
      <c r="DV1266" s="22"/>
      <c r="DW1266" s="22"/>
      <c r="DX1266" s="22"/>
      <c r="DY1266" s="22"/>
      <c r="DZ1266" s="22"/>
      <c r="EA1266" s="22"/>
      <c r="EB1266" s="22"/>
      <c r="EC1266" s="22"/>
      <c r="ED1266" s="22"/>
      <c r="EE1266" s="22"/>
      <c r="EF1266" s="22"/>
      <c r="EG1266" s="22"/>
      <c r="EH1266" s="22"/>
      <c r="EI1266" s="22"/>
      <c r="EJ1266" s="22"/>
      <c r="EK1266" s="22"/>
      <c r="EL1266" s="22"/>
      <c r="EM1266" s="22"/>
      <c r="EN1266" s="22"/>
      <c r="EO1266" s="22"/>
      <c r="EP1266" s="22"/>
      <c r="EQ1266" s="22"/>
      <c r="ER1266" s="22"/>
      <c r="ES1266" s="22"/>
      <c r="ET1266" s="22"/>
      <c r="EU1266" s="22"/>
      <c r="EV1266" s="22"/>
      <c r="EW1266" s="22"/>
      <c r="EX1266" s="22"/>
      <c r="EY1266" s="22"/>
      <c r="EZ1266" s="22"/>
      <c r="FA1266" s="22"/>
      <c r="FB1266" s="22"/>
      <c r="FC1266" s="22"/>
      <c r="FD1266" s="22"/>
      <c r="FE1266" s="22"/>
      <c r="FF1266" s="22"/>
      <c r="FG1266" s="22"/>
      <c r="FH1266" s="22"/>
      <c r="FI1266" s="22"/>
      <c r="FJ1266" s="22"/>
      <c r="FK1266" s="22"/>
      <c r="FL1266" s="22"/>
      <c r="FM1266" s="22"/>
      <c r="FN1266" s="22"/>
      <c r="FO1266" s="22"/>
      <c r="FP1266" s="22"/>
      <c r="FQ1266" s="22"/>
      <c r="FR1266" s="22"/>
      <c r="FS1266" s="22"/>
      <c r="FT1266" s="22"/>
      <c r="FU1266" s="22"/>
      <c r="FV1266" s="22"/>
      <c r="FW1266" s="22"/>
      <c r="FX1266" s="22"/>
      <c r="FY1266" s="22"/>
      <c r="FZ1266" s="22"/>
      <c r="GA1266" s="22"/>
      <c r="GB1266" s="22"/>
      <c r="GC1266" s="22"/>
      <c r="GD1266" s="22"/>
      <c r="GE1266" s="22"/>
      <c r="GF1266" s="22"/>
      <c r="GG1266" s="22"/>
      <c r="GH1266" s="22"/>
      <c r="GI1266" s="22"/>
      <c r="GJ1266" s="22"/>
      <c r="GK1266" s="22"/>
      <c r="GL1266" s="22"/>
      <c r="GM1266" s="22"/>
      <c r="GN1266" s="22"/>
      <c r="GO1266" s="22"/>
      <c r="GP1266" s="22"/>
      <c r="GQ1266" s="22"/>
      <c r="GR1266" s="22"/>
      <c r="GS1266" s="22"/>
      <c r="GT1266" s="22"/>
      <c r="GU1266" s="22"/>
      <c r="GV1266" s="22"/>
      <c r="GW1266" s="22"/>
      <c r="GX1266" s="22"/>
      <c r="GY1266" s="22"/>
      <c r="GZ1266" s="22"/>
      <c r="HA1266" s="22"/>
      <c r="HB1266" s="22"/>
      <c r="HC1266" s="22"/>
      <c r="HD1266" s="22"/>
      <c r="HE1266" s="22"/>
      <c r="HF1266" s="22"/>
      <c r="HG1266" s="22"/>
      <c r="HH1266" s="22"/>
      <c r="HI1266" s="22"/>
      <c r="HJ1266" s="22"/>
      <c r="HK1266" s="22"/>
      <c r="HL1266" s="22"/>
      <c r="HM1266" s="22"/>
      <c r="HN1266" s="22"/>
      <c r="HO1266" s="22"/>
      <c r="HP1266" s="22"/>
      <c r="HQ1266" s="22"/>
      <c r="HR1266" s="22"/>
      <c r="HS1266" s="22"/>
      <c r="HT1266" s="22"/>
      <c r="HU1266" s="22"/>
      <c r="HV1266" s="22"/>
      <c r="HW1266" s="22"/>
      <c r="HX1266" s="22"/>
      <c r="HY1266" s="22"/>
      <c r="HZ1266" s="22"/>
      <c r="IA1266" s="22"/>
      <c r="IB1266" s="22"/>
      <c r="IC1266" s="22"/>
      <c r="ID1266" s="22"/>
      <c r="IE1266" s="22"/>
      <c r="IF1266" s="22"/>
      <c r="IG1266" s="22"/>
      <c r="IH1266" s="22"/>
      <c r="II1266" s="22"/>
      <c r="IJ1266" s="22"/>
      <c r="IK1266" s="22"/>
      <c r="IL1266" s="22"/>
      <c r="IM1266" s="22"/>
      <c r="IN1266" s="22"/>
      <c r="IO1266" s="22"/>
      <c r="IP1266" s="22"/>
      <c r="IQ1266" s="22"/>
      <c r="IR1266" s="22"/>
      <c r="IS1266" s="22"/>
      <c r="IT1266" s="22"/>
      <c r="IU1266" s="22"/>
      <c r="IV1266" s="22"/>
      <c r="IW1266" s="22"/>
      <c r="IX1266" s="22"/>
      <c r="IY1266" s="22"/>
      <c r="IZ1266" s="22"/>
      <c r="JA1266" s="22"/>
      <c r="JB1266" s="22"/>
      <c r="JC1266" s="22"/>
      <c r="JD1266" s="22"/>
      <c r="JE1266" s="22"/>
      <c r="JF1266" s="22"/>
      <c r="JG1266" s="22"/>
      <c r="JH1266" s="22"/>
      <c r="JI1266" s="22"/>
      <c r="JJ1266" s="22"/>
      <c r="JK1266" s="22"/>
      <c r="JL1266" s="22"/>
      <c r="JM1266" s="22"/>
      <c r="JN1266" s="22"/>
      <c r="JO1266" s="22"/>
      <c r="JP1266" s="22"/>
      <c r="JQ1266" s="22"/>
      <c r="JR1266" s="22"/>
      <c r="JS1266" s="22"/>
      <c r="JT1266" s="22"/>
      <c r="JU1266" s="22"/>
      <c r="JV1266" s="22"/>
      <c r="JW1266" s="22"/>
      <c r="JX1266" s="22"/>
      <c r="JY1266" s="22"/>
      <c r="JZ1266" s="22"/>
      <c r="KA1266" s="22"/>
      <c r="KB1266" s="22"/>
      <c r="KC1266" s="22"/>
      <c r="KD1266" s="22"/>
      <c r="KE1266" s="22"/>
      <c r="KF1266" s="22"/>
      <c r="KG1266" s="22"/>
      <c r="KH1266" s="22"/>
      <c r="KI1266" s="22"/>
      <c r="KJ1266" s="22"/>
      <c r="KK1266" s="22"/>
      <c r="KL1266" s="22"/>
      <c r="KM1266" s="22"/>
      <c r="KN1266" s="22"/>
      <c r="KO1266" s="22"/>
      <c r="KP1266" s="22"/>
      <c r="KQ1266" s="22"/>
      <c r="KR1266" s="22"/>
      <c r="KS1266" s="22"/>
      <c r="KT1266" s="22"/>
      <c r="KU1266" s="22"/>
      <c r="KV1266" s="22"/>
      <c r="KW1266" s="22"/>
      <c r="KX1266" s="22"/>
      <c r="KY1266" s="22"/>
      <c r="KZ1266" s="22"/>
      <c r="LA1266" s="22"/>
      <c r="LB1266" s="22"/>
      <c r="LC1266" s="22"/>
      <c r="LD1266" s="22"/>
      <c r="LE1266" s="22"/>
      <c r="LF1266" s="22"/>
      <c r="LG1266" s="22"/>
      <c r="LH1266" s="22"/>
      <c r="LI1266" s="22"/>
      <c r="LJ1266" s="22"/>
      <c r="LK1266" s="22"/>
      <c r="LL1266" s="22"/>
      <c r="LM1266" s="22"/>
      <c r="LN1266" s="22"/>
      <c r="LO1266" s="22"/>
      <c r="LP1266" s="22"/>
      <c r="LQ1266" s="22"/>
      <c r="LR1266" s="22"/>
      <c r="LS1266" s="22"/>
      <c r="LT1266" s="22"/>
      <c r="LU1266" s="22"/>
      <c r="LV1266" s="22"/>
      <c r="LW1266" s="22"/>
      <c r="LX1266" s="22"/>
      <c r="LY1266" s="22"/>
      <c r="LZ1266" s="22"/>
      <c r="MA1266" s="22"/>
      <c r="MB1266" s="22"/>
      <c r="MC1266" s="22"/>
      <c r="MD1266" s="22"/>
      <c r="ME1266" s="22"/>
      <c r="MF1266" s="22"/>
      <c r="MG1266" s="22"/>
      <c r="MH1266" s="22"/>
      <c r="MI1266" s="22"/>
      <c r="MJ1266" s="22"/>
      <c r="MK1266" s="22"/>
      <c r="ML1266" s="22"/>
      <c r="MM1266" s="22"/>
      <c r="MN1266" s="22"/>
      <c r="MO1266" s="22"/>
      <c r="MP1266" s="22"/>
      <c r="MQ1266" s="22"/>
      <c r="MR1266" s="22"/>
      <c r="MS1266" s="22"/>
      <c r="MT1266" s="22"/>
      <c r="MU1266" s="22"/>
      <c r="MV1266" s="22"/>
      <c r="MW1266" s="22"/>
      <c r="MX1266" s="22"/>
      <c r="MY1266" s="22"/>
      <c r="MZ1266" s="22"/>
      <c r="NA1266" s="22"/>
      <c r="NB1266" s="22"/>
      <c r="NC1266" s="22"/>
      <c r="ND1266" s="22"/>
      <c r="NE1266" s="22"/>
      <c r="NF1266" s="22"/>
      <c r="NG1266" s="22"/>
      <c r="NH1266" s="22"/>
      <c r="NI1266" s="22"/>
      <c r="NJ1266" s="22"/>
      <c r="NK1266" s="22"/>
      <c r="NL1266" s="22"/>
      <c r="NM1266" s="22"/>
      <c r="NN1266" s="22"/>
      <c r="NO1266" s="22"/>
      <c r="NP1266" s="22"/>
      <c r="NQ1266" s="22"/>
      <c r="NR1266" s="22"/>
      <c r="NS1266" s="22"/>
      <c r="NT1266" s="22"/>
      <c r="NU1266" s="22"/>
      <c r="NV1266" s="22"/>
      <c r="NW1266" s="22"/>
      <c r="NX1266" s="22"/>
      <c r="NY1266" s="22"/>
      <c r="NZ1266" s="22"/>
      <c r="OA1266" s="22"/>
      <c r="OB1266" s="22"/>
      <c r="OC1266" s="22"/>
      <c r="OD1266" s="22"/>
      <c r="OE1266" s="22"/>
      <c r="OF1266" s="22"/>
      <c r="OG1266" s="22"/>
      <c r="OH1266" s="22"/>
      <c r="OI1266" s="22"/>
      <c r="OJ1266" s="22"/>
      <c r="OK1266" s="22"/>
      <c r="OL1266" s="22"/>
      <c r="OM1266" s="22"/>
      <c r="ON1266" s="22"/>
      <c r="OO1266" s="22"/>
      <c r="OP1266" s="22"/>
      <c r="OQ1266" s="22"/>
      <c r="OR1266" s="22"/>
      <c r="OS1266" s="22"/>
      <c r="OT1266" s="22"/>
      <c r="OU1266" s="22"/>
      <c r="OV1266" s="22"/>
      <c r="OW1266" s="22"/>
      <c r="OX1266" s="22"/>
      <c r="OY1266" s="22"/>
      <c r="OZ1266" s="22"/>
      <c r="PA1266" s="22"/>
      <c r="PB1266" s="22"/>
      <c r="PC1266" s="22"/>
      <c r="PD1266" s="22"/>
      <c r="PE1266" s="22"/>
      <c r="PF1266" s="22"/>
      <c r="PG1266" s="22"/>
      <c r="PH1266" s="22"/>
      <c r="PI1266" s="22"/>
      <c r="PJ1266" s="22"/>
      <c r="PK1266" s="22"/>
      <c r="PL1266" s="22"/>
      <c r="PM1266" s="22"/>
      <c r="PN1266" s="22"/>
      <c r="PO1266" s="22"/>
      <c r="PP1266" s="22"/>
      <c r="PQ1266" s="22"/>
      <c r="PR1266" s="22"/>
      <c r="PS1266" s="22"/>
      <c r="PT1266" s="22"/>
      <c r="PU1266" s="22"/>
      <c r="PV1266" s="22"/>
      <c r="PW1266" s="22"/>
      <c r="PX1266" s="22"/>
      <c r="PY1266" s="22"/>
      <c r="PZ1266" s="22"/>
      <c r="QA1266" s="22"/>
      <c r="QB1266" s="22"/>
      <c r="QC1266" s="22"/>
      <c r="QD1266" s="22"/>
      <c r="QE1266" s="22"/>
      <c r="QF1266" s="22"/>
      <c r="QG1266" s="22"/>
      <c r="QH1266" s="22"/>
      <c r="QI1266" s="22"/>
      <c r="QJ1266" s="22"/>
      <c r="QK1266" s="22"/>
      <c r="QL1266" s="22"/>
      <c r="QM1266" s="22"/>
      <c r="QN1266" s="22"/>
      <c r="QO1266" s="22"/>
      <c r="QP1266" s="22"/>
      <c r="QQ1266" s="22"/>
      <c r="QR1266" s="22"/>
      <c r="QS1266" s="22"/>
      <c r="QT1266" s="22"/>
      <c r="QU1266" s="22"/>
      <c r="QV1266" s="22"/>
      <c r="QW1266" s="22"/>
      <c r="QX1266" s="22"/>
      <c r="QY1266" s="22"/>
      <c r="QZ1266" s="22"/>
      <c r="RA1266" s="22"/>
      <c r="RB1266" s="22"/>
      <c r="RC1266" s="22"/>
      <c r="RD1266" s="22"/>
      <c r="RE1266" s="22"/>
      <c r="RF1266" s="22"/>
      <c r="RG1266" s="22"/>
      <c r="RH1266" s="22"/>
      <c r="RI1266" s="22"/>
      <c r="RJ1266" s="22"/>
      <c r="RK1266" s="22"/>
      <c r="RL1266" s="22"/>
      <c r="RM1266" s="22"/>
      <c r="RN1266" s="22"/>
      <c r="RO1266" s="22"/>
      <c r="RP1266" s="22"/>
      <c r="RQ1266" s="22"/>
      <c r="RR1266" s="22"/>
      <c r="RS1266" s="22"/>
      <c r="RT1266" s="22"/>
      <c r="RU1266" s="22"/>
      <c r="RV1266" s="22"/>
      <c r="RW1266" s="22"/>
      <c r="RX1266" s="22"/>
      <c r="RY1266" s="22"/>
      <c r="RZ1266" s="22"/>
      <c r="SA1266" s="22"/>
      <c r="SB1266" s="22"/>
      <c r="SC1266" s="22"/>
      <c r="SD1266" s="22"/>
      <c r="SE1266" s="22"/>
      <c r="SF1266" s="22"/>
      <c r="SG1266" s="22"/>
      <c r="SH1266" s="22"/>
      <c r="SI1266" s="22"/>
      <c r="SJ1266" s="22"/>
      <c r="SK1266" s="22"/>
      <c r="SL1266" s="22"/>
      <c r="SM1266" s="22"/>
      <c r="SN1266" s="22"/>
      <c r="SO1266" s="22"/>
      <c r="SP1266" s="22"/>
      <c r="SQ1266" s="22"/>
      <c r="SR1266" s="22"/>
      <c r="SS1266" s="22"/>
      <c r="ST1266" s="22"/>
      <c r="SU1266" s="22"/>
      <c r="SV1266" s="22"/>
      <c r="SW1266" s="22"/>
      <c r="SX1266" s="22"/>
      <c r="SY1266" s="22"/>
      <c r="SZ1266" s="22"/>
      <c r="TA1266" s="22"/>
      <c r="TB1266" s="22"/>
      <c r="TC1266" s="22"/>
      <c r="TD1266" s="22"/>
      <c r="TE1266" s="22"/>
      <c r="TF1266" s="22"/>
      <c r="TG1266" s="22"/>
      <c r="TH1266" s="22"/>
      <c r="TI1266" s="22"/>
      <c r="TJ1266" s="22"/>
      <c r="TK1266" s="22"/>
      <c r="TL1266" s="22"/>
      <c r="TM1266" s="22"/>
      <c r="TN1266" s="22"/>
      <c r="TO1266" s="22"/>
      <c r="TP1266" s="22"/>
      <c r="TQ1266" s="22"/>
      <c r="TR1266" s="22"/>
      <c r="TS1266" s="22"/>
      <c r="TT1266" s="22"/>
      <c r="TU1266" s="22"/>
      <c r="TV1266" s="22"/>
      <c r="TW1266" s="22"/>
      <c r="TX1266" s="22"/>
      <c r="TY1266" s="22"/>
      <c r="TZ1266" s="22"/>
      <c r="UA1266" s="22"/>
      <c r="UB1266" s="22"/>
      <c r="UC1266" s="22"/>
      <c r="UD1266" s="22"/>
      <c r="UE1266" s="22"/>
      <c r="UF1266" s="22"/>
      <c r="UG1266" s="23"/>
    </row>
    <row r="1267" spans="1:553" ht="53.25" customHeight="1">
      <c r="A1267" s="366"/>
      <c r="B1267" s="366">
        <v>47</v>
      </c>
      <c r="C1267" s="1535" t="s">
        <v>1038</v>
      </c>
      <c r="D1267" s="1389"/>
      <c r="E1267" s="1389"/>
      <c r="F1267" s="1390"/>
      <c r="G1267" s="366" t="s">
        <v>33</v>
      </c>
      <c r="H1267" s="370"/>
      <c r="I1267" s="422">
        <f>(2.3*1.5)*3</f>
        <v>10.35</v>
      </c>
      <c r="J1267" s="368">
        <v>110000</v>
      </c>
      <c r="K1267" s="371"/>
      <c r="L1267" s="487">
        <f t="shared" si="189"/>
        <v>1138500</v>
      </c>
      <c r="M1267" s="366"/>
      <c r="N1267" s="366"/>
      <c r="O1267" s="366"/>
      <c r="P1267" s="366"/>
      <c r="Q1267" s="812"/>
      <c r="R1267" s="1226"/>
      <c r="S1267" s="308"/>
      <c r="T1267" s="308"/>
      <c r="U1267" s="308"/>
      <c r="V1267" s="308"/>
      <c r="W1267" s="308"/>
      <c r="X1267" s="308"/>
      <c r="Y1267" s="308"/>
      <c r="Z1267" s="604"/>
      <c r="AA1267" s="308"/>
      <c r="AB1267" s="308"/>
      <c r="AC1267" s="373"/>
      <c r="AD1267" s="373"/>
      <c r="AE1267" s="373"/>
      <c r="AF1267" s="373"/>
      <c r="AG1267" s="373"/>
      <c r="AH1267" s="373"/>
      <c r="AI1267" s="373"/>
      <c r="AJ1267" s="373"/>
      <c r="AK1267" s="389"/>
      <c r="AL1267" s="100"/>
      <c r="AM1267" s="27"/>
      <c r="AN1267" s="27"/>
      <c r="AO1267" s="27"/>
      <c r="AP1267" s="27"/>
      <c r="AQ1267" s="27"/>
      <c r="AR1267" s="27"/>
      <c r="AS1267" s="22"/>
      <c r="AT1267" s="22"/>
      <c r="AU1267" s="22"/>
      <c r="AV1267" s="22"/>
      <c r="AW1267" s="22"/>
      <c r="AX1267" s="22"/>
      <c r="AY1267" s="22"/>
      <c r="AZ1267" s="22"/>
      <c r="BA1267" s="22"/>
      <c r="BB1267" s="22"/>
      <c r="BC1267" s="22"/>
      <c r="BD1267" s="22"/>
      <c r="BE1267" s="22"/>
      <c r="BF1267" s="22"/>
      <c r="BG1267" s="22"/>
      <c r="BH1267" s="22"/>
      <c r="BI1267" s="22"/>
      <c r="BJ1267" s="22"/>
      <c r="BK1267" s="22"/>
      <c r="BL1267" s="22"/>
      <c r="BM1267" s="22"/>
      <c r="BN1267" s="22"/>
      <c r="BO1267" s="22"/>
      <c r="BP1267" s="22"/>
      <c r="BQ1267" s="22"/>
      <c r="BR1267" s="22"/>
      <c r="BS1267" s="22"/>
      <c r="BT1267" s="22"/>
      <c r="BU1267" s="22"/>
      <c r="BV1267" s="22"/>
      <c r="BW1267" s="22"/>
      <c r="BX1267" s="22"/>
      <c r="BY1267" s="22"/>
      <c r="BZ1267" s="22"/>
      <c r="CA1267" s="22"/>
      <c r="CB1267" s="22"/>
      <c r="CC1267" s="22"/>
      <c r="CD1267" s="22"/>
      <c r="CE1267" s="22"/>
      <c r="CF1267" s="22"/>
      <c r="CG1267" s="22"/>
      <c r="CH1267" s="22"/>
      <c r="CI1267" s="22"/>
      <c r="CJ1267" s="22"/>
      <c r="CK1267" s="22"/>
      <c r="CL1267" s="22"/>
      <c r="CM1267" s="22"/>
      <c r="CN1267" s="22"/>
      <c r="CO1267" s="22"/>
      <c r="CP1267" s="22"/>
      <c r="CQ1267" s="22"/>
      <c r="CR1267" s="22"/>
      <c r="CS1267" s="22"/>
      <c r="CT1267" s="22"/>
      <c r="CU1267" s="22"/>
      <c r="CV1267" s="22"/>
      <c r="CW1267" s="22"/>
      <c r="CX1267" s="22"/>
      <c r="CY1267" s="22"/>
      <c r="CZ1267" s="22"/>
      <c r="DA1267" s="22"/>
      <c r="DB1267" s="22"/>
      <c r="DC1267" s="22"/>
      <c r="DD1267" s="22"/>
      <c r="DE1267" s="22"/>
      <c r="DF1267" s="22"/>
      <c r="DG1267" s="22"/>
      <c r="DH1267" s="22"/>
      <c r="DI1267" s="22"/>
      <c r="DJ1267" s="22"/>
      <c r="DK1267" s="22"/>
      <c r="DL1267" s="22"/>
      <c r="DM1267" s="22"/>
      <c r="DN1267" s="22"/>
      <c r="DO1267" s="22"/>
      <c r="DP1267" s="22"/>
      <c r="DQ1267" s="22"/>
      <c r="DR1267" s="22"/>
      <c r="DS1267" s="22"/>
      <c r="DT1267" s="22"/>
      <c r="DU1267" s="22"/>
      <c r="DV1267" s="22"/>
      <c r="DW1267" s="22"/>
      <c r="DX1267" s="22"/>
      <c r="DY1267" s="22"/>
      <c r="DZ1267" s="22"/>
      <c r="EA1267" s="22"/>
      <c r="EB1267" s="22"/>
      <c r="EC1267" s="22"/>
      <c r="ED1267" s="22"/>
      <c r="EE1267" s="22"/>
      <c r="EF1267" s="22"/>
      <c r="EG1267" s="22"/>
      <c r="EH1267" s="22"/>
      <c r="EI1267" s="22"/>
      <c r="EJ1267" s="22"/>
      <c r="EK1267" s="22"/>
      <c r="EL1267" s="22"/>
      <c r="EM1267" s="22"/>
      <c r="EN1267" s="22"/>
      <c r="EO1267" s="22"/>
      <c r="EP1267" s="22"/>
      <c r="EQ1267" s="22"/>
      <c r="ER1267" s="22"/>
      <c r="ES1267" s="22"/>
      <c r="ET1267" s="22"/>
      <c r="EU1267" s="22"/>
      <c r="EV1267" s="22"/>
      <c r="EW1267" s="22"/>
      <c r="EX1267" s="22"/>
      <c r="EY1267" s="22"/>
      <c r="EZ1267" s="22"/>
      <c r="FA1267" s="22"/>
      <c r="FB1267" s="22"/>
      <c r="FC1267" s="22"/>
      <c r="FD1267" s="22"/>
      <c r="FE1267" s="22"/>
      <c r="FF1267" s="22"/>
      <c r="FG1267" s="22"/>
      <c r="FH1267" s="22"/>
      <c r="FI1267" s="22"/>
      <c r="FJ1267" s="22"/>
      <c r="FK1267" s="22"/>
      <c r="FL1267" s="22"/>
      <c r="FM1267" s="22"/>
      <c r="FN1267" s="22"/>
      <c r="FO1267" s="22"/>
      <c r="FP1267" s="22"/>
      <c r="FQ1267" s="22"/>
      <c r="FR1267" s="22"/>
      <c r="FS1267" s="22"/>
      <c r="FT1267" s="22"/>
      <c r="FU1267" s="22"/>
      <c r="FV1267" s="22"/>
      <c r="FW1267" s="22"/>
      <c r="FX1267" s="22"/>
      <c r="FY1267" s="22"/>
      <c r="FZ1267" s="22"/>
      <c r="GA1267" s="22"/>
      <c r="GB1267" s="22"/>
      <c r="GC1267" s="22"/>
      <c r="GD1267" s="22"/>
      <c r="GE1267" s="22"/>
      <c r="GF1267" s="22"/>
      <c r="GG1267" s="22"/>
      <c r="GH1267" s="22"/>
      <c r="GI1267" s="22"/>
      <c r="GJ1267" s="22"/>
      <c r="GK1267" s="22"/>
      <c r="GL1267" s="22"/>
      <c r="GM1267" s="22"/>
      <c r="GN1267" s="22"/>
      <c r="GO1267" s="22"/>
      <c r="GP1267" s="22"/>
      <c r="GQ1267" s="22"/>
      <c r="GR1267" s="22"/>
      <c r="GS1267" s="22"/>
      <c r="GT1267" s="22"/>
      <c r="GU1267" s="22"/>
      <c r="GV1267" s="22"/>
      <c r="GW1267" s="22"/>
      <c r="GX1267" s="22"/>
      <c r="GY1267" s="22"/>
      <c r="GZ1267" s="22"/>
      <c r="HA1267" s="22"/>
      <c r="HB1267" s="22"/>
      <c r="HC1267" s="22"/>
      <c r="HD1267" s="22"/>
      <c r="HE1267" s="22"/>
      <c r="HF1267" s="22"/>
      <c r="HG1267" s="22"/>
      <c r="HH1267" s="22"/>
      <c r="HI1267" s="22"/>
      <c r="HJ1267" s="22"/>
      <c r="HK1267" s="22"/>
      <c r="HL1267" s="22"/>
      <c r="HM1267" s="22"/>
      <c r="HN1267" s="22"/>
      <c r="HO1267" s="22"/>
      <c r="HP1267" s="22"/>
      <c r="HQ1267" s="22"/>
      <c r="HR1267" s="22"/>
      <c r="HS1267" s="22"/>
      <c r="HT1267" s="22"/>
      <c r="HU1267" s="22"/>
      <c r="HV1267" s="22"/>
      <c r="HW1267" s="22"/>
      <c r="HX1267" s="22"/>
      <c r="HY1267" s="22"/>
      <c r="HZ1267" s="22"/>
      <c r="IA1267" s="22"/>
      <c r="IB1267" s="22"/>
      <c r="IC1267" s="22"/>
      <c r="ID1267" s="22"/>
      <c r="IE1267" s="22"/>
      <c r="IF1267" s="22"/>
      <c r="IG1267" s="22"/>
      <c r="IH1267" s="22"/>
      <c r="II1267" s="22"/>
      <c r="IJ1267" s="22"/>
      <c r="IK1267" s="22"/>
      <c r="IL1267" s="22"/>
      <c r="IM1267" s="22"/>
      <c r="IN1267" s="22"/>
      <c r="IO1267" s="22"/>
      <c r="IP1267" s="22"/>
      <c r="IQ1267" s="22"/>
      <c r="IR1267" s="22"/>
      <c r="IS1267" s="22"/>
      <c r="IT1267" s="22"/>
      <c r="IU1267" s="22"/>
      <c r="IV1267" s="22"/>
      <c r="IW1267" s="22"/>
      <c r="IX1267" s="22"/>
      <c r="IY1267" s="22"/>
      <c r="IZ1267" s="22"/>
      <c r="JA1267" s="22"/>
      <c r="JB1267" s="22"/>
      <c r="JC1267" s="22"/>
      <c r="JD1267" s="22"/>
      <c r="JE1267" s="22"/>
      <c r="JF1267" s="22"/>
      <c r="JG1267" s="22"/>
      <c r="JH1267" s="22"/>
      <c r="JI1267" s="22"/>
      <c r="JJ1267" s="22"/>
      <c r="JK1267" s="22"/>
      <c r="JL1267" s="22"/>
      <c r="JM1267" s="22"/>
      <c r="JN1267" s="22"/>
      <c r="JO1267" s="22"/>
      <c r="JP1267" s="22"/>
      <c r="JQ1267" s="22"/>
      <c r="JR1267" s="22"/>
      <c r="JS1267" s="22"/>
      <c r="JT1267" s="22"/>
      <c r="JU1267" s="22"/>
      <c r="JV1267" s="22"/>
      <c r="JW1267" s="22"/>
      <c r="JX1267" s="22"/>
      <c r="JY1267" s="22"/>
      <c r="JZ1267" s="22"/>
      <c r="KA1267" s="22"/>
      <c r="KB1267" s="22"/>
      <c r="KC1267" s="22"/>
      <c r="KD1267" s="22"/>
      <c r="KE1267" s="22"/>
      <c r="KF1267" s="22"/>
      <c r="KG1267" s="22"/>
      <c r="KH1267" s="22"/>
      <c r="KI1267" s="22"/>
      <c r="KJ1267" s="22"/>
      <c r="KK1267" s="22"/>
      <c r="KL1267" s="22"/>
      <c r="KM1267" s="22"/>
      <c r="KN1267" s="22"/>
      <c r="KO1267" s="22"/>
      <c r="KP1267" s="22"/>
      <c r="KQ1267" s="22"/>
      <c r="KR1267" s="22"/>
      <c r="KS1267" s="22"/>
      <c r="KT1267" s="22"/>
      <c r="KU1267" s="22"/>
      <c r="KV1267" s="22"/>
      <c r="KW1267" s="22"/>
      <c r="KX1267" s="22"/>
      <c r="KY1267" s="22"/>
      <c r="KZ1267" s="22"/>
      <c r="LA1267" s="22"/>
      <c r="LB1267" s="22"/>
      <c r="LC1267" s="22"/>
      <c r="LD1267" s="22"/>
      <c r="LE1267" s="22"/>
      <c r="LF1267" s="22"/>
      <c r="LG1267" s="22"/>
      <c r="LH1267" s="22"/>
      <c r="LI1267" s="22"/>
      <c r="LJ1267" s="22"/>
      <c r="LK1267" s="22"/>
      <c r="LL1267" s="22"/>
      <c r="LM1267" s="22"/>
      <c r="LN1267" s="22"/>
      <c r="LO1267" s="22"/>
      <c r="LP1267" s="22"/>
      <c r="LQ1267" s="22"/>
      <c r="LR1267" s="22"/>
      <c r="LS1267" s="22"/>
      <c r="LT1267" s="22"/>
      <c r="LU1267" s="22"/>
      <c r="LV1267" s="22"/>
      <c r="LW1267" s="22"/>
      <c r="LX1267" s="22"/>
      <c r="LY1267" s="22"/>
      <c r="LZ1267" s="22"/>
      <c r="MA1267" s="22"/>
      <c r="MB1267" s="22"/>
      <c r="MC1267" s="22"/>
      <c r="MD1267" s="22"/>
      <c r="ME1267" s="22"/>
      <c r="MF1267" s="22"/>
      <c r="MG1267" s="22"/>
      <c r="MH1267" s="22"/>
      <c r="MI1267" s="22"/>
      <c r="MJ1267" s="22"/>
      <c r="MK1267" s="22"/>
      <c r="ML1267" s="22"/>
      <c r="MM1267" s="22"/>
      <c r="MN1267" s="22"/>
      <c r="MO1267" s="22"/>
      <c r="MP1267" s="22"/>
      <c r="MQ1267" s="22"/>
      <c r="MR1267" s="22"/>
      <c r="MS1267" s="22"/>
      <c r="MT1267" s="22"/>
      <c r="MU1267" s="22"/>
      <c r="MV1267" s="22"/>
      <c r="MW1267" s="22"/>
      <c r="MX1267" s="22"/>
      <c r="MY1267" s="22"/>
      <c r="MZ1267" s="22"/>
      <c r="NA1267" s="22"/>
      <c r="NB1267" s="22"/>
      <c r="NC1267" s="22"/>
      <c r="ND1267" s="22"/>
      <c r="NE1267" s="22"/>
      <c r="NF1267" s="22"/>
      <c r="NG1267" s="22"/>
      <c r="NH1267" s="22"/>
      <c r="NI1267" s="22"/>
      <c r="NJ1267" s="22"/>
      <c r="NK1267" s="22"/>
      <c r="NL1267" s="22"/>
      <c r="NM1267" s="22"/>
      <c r="NN1267" s="22"/>
      <c r="NO1267" s="22"/>
      <c r="NP1267" s="22"/>
      <c r="NQ1267" s="22"/>
      <c r="NR1267" s="22"/>
      <c r="NS1267" s="22"/>
      <c r="NT1267" s="22"/>
      <c r="NU1267" s="22"/>
      <c r="NV1267" s="22"/>
      <c r="NW1267" s="22"/>
      <c r="NX1267" s="22"/>
      <c r="NY1267" s="22"/>
      <c r="NZ1267" s="22"/>
      <c r="OA1267" s="22"/>
      <c r="OB1267" s="22"/>
      <c r="OC1267" s="22"/>
      <c r="OD1267" s="22"/>
      <c r="OE1267" s="22"/>
      <c r="OF1267" s="22"/>
      <c r="OG1267" s="22"/>
      <c r="OH1267" s="22"/>
      <c r="OI1267" s="22"/>
      <c r="OJ1267" s="22"/>
      <c r="OK1267" s="22"/>
      <c r="OL1267" s="22"/>
      <c r="OM1267" s="22"/>
      <c r="ON1267" s="22"/>
      <c r="OO1267" s="22"/>
      <c r="OP1267" s="22"/>
      <c r="OQ1267" s="22"/>
      <c r="OR1267" s="22"/>
      <c r="OS1267" s="22"/>
      <c r="OT1267" s="22"/>
      <c r="OU1267" s="22"/>
      <c r="OV1267" s="22"/>
      <c r="OW1267" s="22"/>
      <c r="OX1267" s="22"/>
      <c r="OY1267" s="22"/>
      <c r="OZ1267" s="22"/>
      <c r="PA1267" s="22"/>
      <c r="PB1267" s="22"/>
      <c r="PC1267" s="22"/>
      <c r="PD1267" s="22"/>
      <c r="PE1267" s="22"/>
      <c r="PF1267" s="22"/>
      <c r="PG1267" s="22"/>
      <c r="PH1267" s="22"/>
      <c r="PI1267" s="22"/>
      <c r="PJ1267" s="22"/>
      <c r="PK1267" s="22"/>
      <c r="PL1267" s="22"/>
      <c r="PM1267" s="22"/>
      <c r="PN1267" s="22"/>
      <c r="PO1267" s="22"/>
      <c r="PP1267" s="22"/>
      <c r="PQ1267" s="22"/>
      <c r="PR1267" s="22"/>
      <c r="PS1267" s="22"/>
      <c r="PT1267" s="22"/>
      <c r="PU1267" s="22"/>
      <c r="PV1267" s="22"/>
      <c r="PW1267" s="22"/>
      <c r="PX1267" s="22"/>
      <c r="PY1267" s="22"/>
      <c r="PZ1267" s="22"/>
      <c r="QA1267" s="22"/>
      <c r="QB1267" s="22"/>
      <c r="QC1267" s="22"/>
      <c r="QD1267" s="22"/>
      <c r="QE1267" s="22"/>
      <c r="QF1267" s="22"/>
      <c r="QG1267" s="22"/>
      <c r="QH1267" s="22"/>
      <c r="QI1267" s="22"/>
      <c r="QJ1267" s="22"/>
      <c r="QK1267" s="22"/>
      <c r="QL1267" s="22"/>
      <c r="QM1267" s="22"/>
      <c r="QN1267" s="22"/>
      <c r="QO1267" s="22"/>
      <c r="QP1267" s="22"/>
      <c r="QQ1267" s="22"/>
      <c r="QR1267" s="22"/>
      <c r="QS1267" s="22"/>
      <c r="QT1267" s="22"/>
      <c r="QU1267" s="22"/>
      <c r="QV1267" s="22"/>
      <c r="QW1267" s="22"/>
      <c r="QX1267" s="22"/>
      <c r="QY1267" s="22"/>
      <c r="QZ1267" s="22"/>
      <c r="RA1267" s="22"/>
      <c r="RB1267" s="22"/>
      <c r="RC1267" s="22"/>
      <c r="RD1267" s="22"/>
      <c r="RE1267" s="22"/>
      <c r="RF1267" s="22"/>
      <c r="RG1267" s="22"/>
      <c r="RH1267" s="22"/>
      <c r="RI1267" s="22"/>
      <c r="RJ1267" s="22"/>
      <c r="RK1267" s="22"/>
      <c r="RL1267" s="22"/>
      <c r="RM1267" s="22"/>
      <c r="RN1267" s="22"/>
      <c r="RO1267" s="22"/>
      <c r="RP1267" s="22"/>
      <c r="RQ1267" s="22"/>
      <c r="RR1267" s="22"/>
      <c r="RS1267" s="22"/>
      <c r="RT1267" s="22"/>
      <c r="RU1267" s="22"/>
      <c r="RV1267" s="22"/>
      <c r="RW1267" s="22"/>
      <c r="RX1267" s="22"/>
      <c r="RY1267" s="22"/>
      <c r="RZ1267" s="22"/>
      <c r="SA1267" s="22"/>
      <c r="SB1267" s="22"/>
      <c r="SC1267" s="22"/>
      <c r="SD1267" s="22"/>
      <c r="SE1267" s="22"/>
      <c r="SF1267" s="22"/>
      <c r="SG1267" s="22"/>
      <c r="SH1267" s="22"/>
      <c r="SI1267" s="22"/>
      <c r="SJ1267" s="22"/>
      <c r="SK1267" s="22"/>
      <c r="SL1267" s="22"/>
      <c r="SM1267" s="22"/>
      <c r="SN1267" s="22"/>
      <c r="SO1267" s="22"/>
      <c r="SP1267" s="22"/>
      <c r="SQ1267" s="22"/>
      <c r="SR1267" s="22"/>
      <c r="SS1267" s="22"/>
      <c r="ST1267" s="22"/>
      <c r="SU1267" s="22"/>
      <c r="SV1267" s="22"/>
      <c r="SW1267" s="22"/>
      <c r="SX1267" s="22"/>
      <c r="SY1267" s="22"/>
      <c r="SZ1267" s="22"/>
      <c r="TA1267" s="22"/>
      <c r="TB1267" s="22"/>
      <c r="TC1267" s="22"/>
      <c r="TD1267" s="22"/>
      <c r="TE1267" s="22"/>
      <c r="TF1267" s="22"/>
      <c r="TG1267" s="22"/>
      <c r="TH1267" s="22"/>
      <c r="TI1267" s="22"/>
      <c r="TJ1267" s="22"/>
      <c r="TK1267" s="22"/>
      <c r="TL1267" s="22"/>
      <c r="TM1267" s="22"/>
      <c r="TN1267" s="22"/>
      <c r="TO1267" s="22"/>
      <c r="TP1267" s="22"/>
      <c r="TQ1267" s="22"/>
      <c r="TR1267" s="22"/>
      <c r="TS1267" s="22"/>
      <c r="TT1267" s="22"/>
      <c r="TU1267" s="22"/>
      <c r="TV1267" s="22"/>
      <c r="TW1267" s="22"/>
      <c r="TX1267" s="22"/>
      <c r="TY1267" s="22"/>
      <c r="TZ1267" s="22"/>
      <c r="UA1267" s="22"/>
      <c r="UB1267" s="22"/>
      <c r="UC1267" s="22"/>
      <c r="UD1267" s="22"/>
      <c r="UE1267" s="22"/>
      <c r="UF1267" s="22"/>
      <c r="UG1267" s="23"/>
    </row>
    <row r="1268" spans="1:553" ht="42.75" customHeight="1">
      <c r="A1268" s="366"/>
      <c r="B1268" s="366">
        <v>242</v>
      </c>
      <c r="C1268" s="1388" t="s">
        <v>695</v>
      </c>
      <c r="D1268" s="1389"/>
      <c r="E1268" s="1389"/>
      <c r="F1268" s="1390"/>
      <c r="G1268" s="366" t="s">
        <v>33</v>
      </c>
      <c r="H1268" s="370"/>
      <c r="I1268" s="422">
        <f>2.8*2.5</f>
        <v>7</v>
      </c>
      <c r="J1268" s="368">
        <v>279800</v>
      </c>
      <c r="K1268" s="371"/>
      <c r="L1268" s="487">
        <f t="shared" si="189"/>
        <v>1958600</v>
      </c>
      <c r="M1268" s="366"/>
      <c r="N1268" s="366"/>
      <c r="O1268" s="366"/>
      <c r="P1268" s="366"/>
      <c r="Q1268" s="812"/>
      <c r="R1268" s="1226"/>
      <c r="S1268" s="308"/>
      <c r="T1268" s="308"/>
      <c r="U1268" s="308"/>
      <c r="V1268" s="308"/>
      <c r="W1268" s="308"/>
      <c r="X1268" s="308"/>
      <c r="Y1268" s="308"/>
      <c r="Z1268" s="604"/>
      <c r="AA1268" s="308"/>
      <c r="AB1268" s="308"/>
      <c r="AC1268" s="373"/>
      <c r="AD1268" s="373"/>
      <c r="AE1268" s="373"/>
      <c r="AF1268" s="373"/>
      <c r="AG1268" s="373"/>
      <c r="AH1268" s="373"/>
      <c r="AI1268" s="373"/>
      <c r="AJ1268" s="373"/>
      <c r="AK1268" s="389"/>
      <c r="AL1268" s="100"/>
      <c r="AM1268" s="27"/>
      <c r="AN1268" s="27"/>
      <c r="AO1268" s="27"/>
      <c r="AP1268" s="27"/>
      <c r="AQ1268" s="27"/>
      <c r="AR1268" s="27"/>
      <c r="AS1268" s="22"/>
      <c r="AT1268" s="22"/>
      <c r="AU1268" s="22"/>
      <c r="AV1268" s="22"/>
      <c r="AW1268" s="22"/>
      <c r="AX1268" s="22"/>
      <c r="AY1268" s="22"/>
      <c r="AZ1268" s="22"/>
      <c r="BA1268" s="22"/>
      <c r="BB1268" s="22"/>
      <c r="BC1268" s="22"/>
      <c r="BD1268" s="22"/>
      <c r="BE1268" s="22"/>
      <c r="BF1268" s="22"/>
      <c r="BG1268" s="22"/>
      <c r="BH1268" s="22"/>
      <c r="BI1268" s="22"/>
      <c r="BJ1268" s="22"/>
      <c r="BK1268" s="22"/>
      <c r="BL1268" s="22"/>
      <c r="BM1268" s="22"/>
      <c r="BN1268" s="22"/>
      <c r="BO1268" s="22"/>
      <c r="BP1268" s="22"/>
      <c r="BQ1268" s="22"/>
      <c r="BR1268" s="22"/>
      <c r="BS1268" s="22"/>
      <c r="BT1268" s="22"/>
      <c r="BU1268" s="22"/>
      <c r="BV1268" s="22"/>
      <c r="BW1268" s="22"/>
      <c r="BX1268" s="22"/>
      <c r="BY1268" s="22"/>
      <c r="BZ1268" s="22"/>
      <c r="CA1268" s="22"/>
      <c r="CB1268" s="22"/>
      <c r="CC1268" s="22"/>
      <c r="CD1268" s="22"/>
      <c r="CE1268" s="22"/>
      <c r="CF1268" s="22"/>
      <c r="CG1268" s="22"/>
      <c r="CH1268" s="22"/>
      <c r="CI1268" s="22"/>
      <c r="CJ1268" s="22"/>
      <c r="CK1268" s="22"/>
      <c r="CL1268" s="22"/>
      <c r="CM1268" s="22"/>
      <c r="CN1268" s="22"/>
      <c r="CO1268" s="22"/>
      <c r="CP1268" s="22"/>
      <c r="CQ1268" s="22"/>
      <c r="CR1268" s="22"/>
      <c r="CS1268" s="22"/>
      <c r="CT1268" s="22"/>
      <c r="CU1268" s="22"/>
      <c r="CV1268" s="22"/>
      <c r="CW1268" s="22"/>
      <c r="CX1268" s="22"/>
      <c r="CY1268" s="22"/>
      <c r="CZ1268" s="22"/>
      <c r="DA1268" s="22"/>
      <c r="DB1268" s="22"/>
      <c r="DC1268" s="22"/>
      <c r="DD1268" s="22"/>
      <c r="DE1268" s="22"/>
      <c r="DF1268" s="22"/>
      <c r="DG1268" s="22"/>
      <c r="DH1268" s="22"/>
      <c r="DI1268" s="22"/>
      <c r="DJ1268" s="22"/>
      <c r="DK1268" s="22"/>
      <c r="DL1268" s="22"/>
      <c r="DM1268" s="22"/>
      <c r="DN1268" s="22"/>
      <c r="DO1268" s="22"/>
      <c r="DP1268" s="22"/>
      <c r="DQ1268" s="22"/>
      <c r="DR1268" s="22"/>
      <c r="DS1268" s="22"/>
      <c r="DT1268" s="22"/>
      <c r="DU1268" s="22"/>
      <c r="DV1268" s="22"/>
      <c r="DW1268" s="22"/>
      <c r="DX1268" s="22"/>
      <c r="DY1268" s="22"/>
      <c r="DZ1268" s="22"/>
      <c r="EA1268" s="22"/>
      <c r="EB1268" s="22"/>
      <c r="EC1268" s="22"/>
      <c r="ED1268" s="22"/>
      <c r="EE1268" s="22"/>
      <c r="EF1268" s="22"/>
      <c r="EG1268" s="22"/>
      <c r="EH1268" s="22"/>
      <c r="EI1268" s="22"/>
      <c r="EJ1268" s="22"/>
      <c r="EK1268" s="22"/>
      <c r="EL1268" s="22"/>
      <c r="EM1268" s="22"/>
      <c r="EN1268" s="22"/>
      <c r="EO1268" s="22"/>
      <c r="EP1268" s="22"/>
      <c r="EQ1268" s="22"/>
      <c r="ER1268" s="22"/>
      <c r="ES1268" s="22"/>
      <c r="ET1268" s="22"/>
      <c r="EU1268" s="22"/>
      <c r="EV1268" s="22"/>
      <c r="EW1268" s="22"/>
      <c r="EX1268" s="22"/>
      <c r="EY1268" s="22"/>
      <c r="EZ1268" s="22"/>
      <c r="FA1268" s="22"/>
      <c r="FB1268" s="22"/>
      <c r="FC1268" s="22"/>
      <c r="FD1268" s="22"/>
      <c r="FE1268" s="22"/>
      <c r="FF1268" s="22"/>
      <c r="FG1268" s="22"/>
      <c r="FH1268" s="22"/>
      <c r="FI1268" s="22"/>
      <c r="FJ1268" s="22"/>
      <c r="FK1268" s="22"/>
      <c r="FL1268" s="22"/>
      <c r="FM1268" s="22"/>
      <c r="FN1268" s="22"/>
      <c r="FO1268" s="22"/>
      <c r="FP1268" s="22"/>
      <c r="FQ1268" s="22"/>
      <c r="FR1268" s="22"/>
      <c r="FS1268" s="22"/>
      <c r="FT1268" s="22"/>
      <c r="FU1268" s="22"/>
      <c r="FV1268" s="22"/>
      <c r="FW1268" s="22"/>
      <c r="FX1268" s="22"/>
      <c r="FY1268" s="22"/>
      <c r="FZ1268" s="22"/>
      <c r="GA1268" s="22"/>
      <c r="GB1268" s="22"/>
      <c r="GC1268" s="22"/>
      <c r="GD1268" s="22"/>
      <c r="GE1268" s="22"/>
      <c r="GF1268" s="22"/>
      <c r="GG1268" s="22"/>
      <c r="GH1268" s="22"/>
      <c r="GI1268" s="22"/>
      <c r="GJ1268" s="22"/>
      <c r="GK1268" s="22"/>
      <c r="GL1268" s="22"/>
      <c r="GM1268" s="22"/>
      <c r="GN1268" s="22"/>
      <c r="GO1268" s="22"/>
      <c r="GP1268" s="22"/>
      <c r="GQ1268" s="22"/>
      <c r="GR1268" s="22"/>
      <c r="GS1268" s="22"/>
      <c r="GT1268" s="22"/>
      <c r="GU1268" s="22"/>
      <c r="GV1268" s="22"/>
      <c r="GW1268" s="22"/>
      <c r="GX1268" s="22"/>
      <c r="GY1268" s="22"/>
      <c r="GZ1268" s="22"/>
      <c r="HA1268" s="22"/>
      <c r="HB1268" s="22"/>
      <c r="HC1268" s="22"/>
      <c r="HD1268" s="22"/>
      <c r="HE1268" s="22"/>
      <c r="HF1268" s="22"/>
      <c r="HG1268" s="22"/>
      <c r="HH1268" s="22"/>
      <c r="HI1268" s="22"/>
      <c r="HJ1268" s="22"/>
      <c r="HK1268" s="22"/>
      <c r="HL1268" s="22"/>
      <c r="HM1268" s="22"/>
      <c r="HN1268" s="22"/>
      <c r="HO1268" s="22"/>
      <c r="HP1268" s="22"/>
      <c r="HQ1268" s="22"/>
      <c r="HR1268" s="22"/>
      <c r="HS1268" s="22"/>
      <c r="HT1268" s="22"/>
      <c r="HU1268" s="22"/>
      <c r="HV1268" s="22"/>
      <c r="HW1268" s="22"/>
      <c r="HX1268" s="22"/>
      <c r="HY1268" s="22"/>
      <c r="HZ1268" s="22"/>
      <c r="IA1268" s="22"/>
      <c r="IB1268" s="22"/>
      <c r="IC1268" s="22"/>
      <c r="ID1268" s="22"/>
      <c r="IE1268" s="22"/>
      <c r="IF1268" s="22"/>
      <c r="IG1268" s="22"/>
      <c r="IH1268" s="22"/>
      <c r="II1268" s="22"/>
      <c r="IJ1268" s="22"/>
      <c r="IK1268" s="22"/>
      <c r="IL1268" s="22"/>
      <c r="IM1268" s="22"/>
      <c r="IN1268" s="22"/>
      <c r="IO1268" s="22"/>
      <c r="IP1268" s="22"/>
      <c r="IQ1268" s="22"/>
      <c r="IR1268" s="22"/>
      <c r="IS1268" s="22"/>
      <c r="IT1268" s="22"/>
      <c r="IU1268" s="22"/>
      <c r="IV1268" s="22"/>
      <c r="IW1268" s="22"/>
      <c r="IX1268" s="22"/>
      <c r="IY1268" s="22"/>
      <c r="IZ1268" s="22"/>
      <c r="JA1268" s="22"/>
      <c r="JB1268" s="22"/>
      <c r="JC1268" s="22"/>
      <c r="JD1268" s="22"/>
      <c r="JE1268" s="22"/>
      <c r="JF1268" s="22"/>
      <c r="JG1268" s="22"/>
      <c r="JH1268" s="22"/>
      <c r="JI1268" s="22"/>
      <c r="JJ1268" s="22"/>
      <c r="JK1268" s="22"/>
      <c r="JL1268" s="22"/>
      <c r="JM1268" s="22"/>
      <c r="JN1268" s="22"/>
      <c r="JO1268" s="22"/>
      <c r="JP1268" s="22"/>
      <c r="JQ1268" s="22"/>
      <c r="JR1268" s="22"/>
      <c r="JS1268" s="22"/>
      <c r="JT1268" s="22"/>
      <c r="JU1268" s="22"/>
      <c r="JV1268" s="22"/>
      <c r="JW1268" s="22"/>
      <c r="JX1268" s="22"/>
      <c r="JY1268" s="22"/>
      <c r="JZ1268" s="22"/>
      <c r="KA1268" s="22"/>
      <c r="KB1268" s="22"/>
      <c r="KC1268" s="22"/>
      <c r="KD1268" s="22"/>
      <c r="KE1268" s="22"/>
      <c r="KF1268" s="22"/>
      <c r="KG1268" s="22"/>
      <c r="KH1268" s="22"/>
      <c r="KI1268" s="22"/>
      <c r="KJ1268" s="22"/>
      <c r="KK1268" s="22"/>
      <c r="KL1268" s="22"/>
      <c r="KM1268" s="22"/>
      <c r="KN1268" s="22"/>
      <c r="KO1268" s="22"/>
      <c r="KP1268" s="22"/>
      <c r="KQ1268" s="22"/>
      <c r="KR1268" s="22"/>
      <c r="KS1268" s="22"/>
      <c r="KT1268" s="22"/>
      <c r="KU1268" s="22"/>
      <c r="KV1268" s="22"/>
      <c r="KW1268" s="22"/>
      <c r="KX1268" s="22"/>
      <c r="KY1268" s="22"/>
      <c r="KZ1268" s="22"/>
      <c r="LA1268" s="22"/>
      <c r="LB1268" s="22"/>
      <c r="LC1268" s="22"/>
      <c r="LD1268" s="22"/>
      <c r="LE1268" s="22"/>
      <c r="LF1268" s="22"/>
      <c r="LG1268" s="22"/>
      <c r="LH1268" s="22"/>
      <c r="LI1268" s="22"/>
      <c r="LJ1268" s="22"/>
      <c r="LK1268" s="22"/>
      <c r="LL1268" s="22"/>
      <c r="LM1268" s="22"/>
      <c r="LN1268" s="22"/>
      <c r="LO1268" s="22"/>
      <c r="LP1268" s="22"/>
      <c r="LQ1268" s="22"/>
      <c r="LR1268" s="22"/>
      <c r="LS1268" s="22"/>
      <c r="LT1268" s="22"/>
      <c r="LU1268" s="22"/>
      <c r="LV1268" s="22"/>
      <c r="LW1268" s="22"/>
      <c r="LX1268" s="22"/>
      <c r="LY1268" s="22"/>
      <c r="LZ1268" s="22"/>
      <c r="MA1268" s="22"/>
      <c r="MB1268" s="22"/>
      <c r="MC1268" s="22"/>
      <c r="MD1268" s="22"/>
      <c r="ME1268" s="22"/>
      <c r="MF1268" s="22"/>
      <c r="MG1268" s="22"/>
      <c r="MH1268" s="22"/>
      <c r="MI1268" s="22"/>
      <c r="MJ1268" s="22"/>
      <c r="MK1268" s="22"/>
      <c r="ML1268" s="22"/>
      <c r="MM1268" s="22"/>
      <c r="MN1268" s="22"/>
      <c r="MO1268" s="22"/>
      <c r="MP1268" s="22"/>
      <c r="MQ1268" s="22"/>
      <c r="MR1268" s="22"/>
      <c r="MS1268" s="22"/>
      <c r="MT1268" s="22"/>
      <c r="MU1268" s="22"/>
      <c r="MV1268" s="22"/>
      <c r="MW1268" s="22"/>
      <c r="MX1268" s="22"/>
      <c r="MY1268" s="22"/>
      <c r="MZ1268" s="22"/>
      <c r="NA1268" s="22"/>
      <c r="NB1268" s="22"/>
      <c r="NC1268" s="22"/>
      <c r="ND1268" s="22"/>
      <c r="NE1268" s="22"/>
      <c r="NF1268" s="22"/>
      <c r="NG1268" s="22"/>
      <c r="NH1268" s="22"/>
      <c r="NI1268" s="22"/>
      <c r="NJ1268" s="22"/>
      <c r="NK1268" s="22"/>
      <c r="NL1268" s="22"/>
      <c r="NM1268" s="22"/>
      <c r="NN1268" s="22"/>
      <c r="NO1268" s="22"/>
      <c r="NP1268" s="22"/>
      <c r="NQ1268" s="22"/>
      <c r="NR1268" s="22"/>
      <c r="NS1268" s="22"/>
      <c r="NT1268" s="22"/>
      <c r="NU1268" s="22"/>
      <c r="NV1268" s="22"/>
      <c r="NW1268" s="22"/>
      <c r="NX1268" s="22"/>
      <c r="NY1268" s="22"/>
      <c r="NZ1268" s="22"/>
      <c r="OA1268" s="22"/>
      <c r="OB1268" s="22"/>
      <c r="OC1268" s="22"/>
      <c r="OD1268" s="22"/>
      <c r="OE1268" s="22"/>
      <c r="OF1268" s="22"/>
      <c r="OG1268" s="22"/>
      <c r="OH1268" s="22"/>
      <c r="OI1268" s="22"/>
      <c r="OJ1268" s="22"/>
      <c r="OK1268" s="22"/>
      <c r="OL1268" s="22"/>
      <c r="OM1268" s="22"/>
      <c r="ON1268" s="22"/>
      <c r="OO1268" s="22"/>
      <c r="OP1268" s="22"/>
      <c r="OQ1268" s="22"/>
      <c r="OR1268" s="22"/>
      <c r="OS1268" s="22"/>
      <c r="OT1268" s="22"/>
      <c r="OU1268" s="22"/>
      <c r="OV1268" s="22"/>
      <c r="OW1268" s="22"/>
      <c r="OX1268" s="22"/>
      <c r="OY1268" s="22"/>
      <c r="OZ1268" s="22"/>
      <c r="PA1268" s="22"/>
      <c r="PB1268" s="22"/>
      <c r="PC1268" s="22"/>
      <c r="PD1268" s="22"/>
      <c r="PE1268" s="22"/>
      <c r="PF1268" s="22"/>
      <c r="PG1268" s="22"/>
      <c r="PH1268" s="22"/>
      <c r="PI1268" s="22"/>
      <c r="PJ1268" s="22"/>
      <c r="PK1268" s="22"/>
      <c r="PL1268" s="22"/>
      <c r="PM1268" s="22"/>
      <c r="PN1268" s="22"/>
      <c r="PO1268" s="22"/>
      <c r="PP1268" s="22"/>
      <c r="PQ1268" s="22"/>
      <c r="PR1268" s="22"/>
      <c r="PS1268" s="22"/>
      <c r="PT1268" s="22"/>
      <c r="PU1268" s="22"/>
      <c r="PV1268" s="22"/>
      <c r="PW1268" s="22"/>
      <c r="PX1268" s="22"/>
      <c r="PY1268" s="22"/>
      <c r="PZ1268" s="22"/>
      <c r="QA1268" s="22"/>
      <c r="QB1268" s="22"/>
      <c r="QC1268" s="22"/>
      <c r="QD1268" s="22"/>
      <c r="QE1268" s="22"/>
      <c r="QF1268" s="22"/>
      <c r="QG1268" s="22"/>
      <c r="QH1268" s="22"/>
      <c r="QI1268" s="22"/>
      <c r="QJ1268" s="22"/>
      <c r="QK1268" s="22"/>
      <c r="QL1268" s="22"/>
      <c r="QM1268" s="22"/>
      <c r="QN1268" s="22"/>
      <c r="QO1268" s="22"/>
      <c r="QP1268" s="22"/>
      <c r="QQ1268" s="22"/>
      <c r="QR1268" s="22"/>
      <c r="QS1268" s="22"/>
      <c r="QT1268" s="22"/>
      <c r="QU1268" s="22"/>
      <c r="QV1268" s="22"/>
      <c r="QW1268" s="22"/>
      <c r="QX1268" s="22"/>
      <c r="QY1268" s="22"/>
      <c r="QZ1268" s="22"/>
      <c r="RA1268" s="22"/>
      <c r="RB1268" s="22"/>
      <c r="RC1268" s="22"/>
      <c r="RD1268" s="22"/>
      <c r="RE1268" s="22"/>
      <c r="RF1268" s="22"/>
      <c r="RG1268" s="22"/>
      <c r="RH1268" s="22"/>
      <c r="RI1268" s="22"/>
      <c r="RJ1268" s="22"/>
      <c r="RK1268" s="22"/>
      <c r="RL1268" s="22"/>
      <c r="RM1268" s="22"/>
      <c r="RN1268" s="22"/>
      <c r="RO1268" s="22"/>
      <c r="RP1268" s="22"/>
      <c r="RQ1268" s="22"/>
      <c r="RR1268" s="22"/>
      <c r="RS1268" s="22"/>
      <c r="RT1268" s="22"/>
      <c r="RU1268" s="22"/>
      <c r="RV1268" s="22"/>
      <c r="RW1268" s="22"/>
      <c r="RX1268" s="22"/>
      <c r="RY1268" s="22"/>
      <c r="RZ1268" s="22"/>
      <c r="SA1268" s="22"/>
      <c r="SB1268" s="22"/>
      <c r="SC1268" s="22"/>
      <c r="SD1268" s="22"/>
      <c r="SE1268" s="22"/>
      <c r="SF1268" s="22"/>
      <c r="SG1268" s="22"/>
      <c r="SH1268" s="22"/>
      <c r="SI1268" s="22"/>
      <c r="SJ1268" s="22"/>
      <c r="SK1268" s="22"/>
      <c r="SL1268" s="22"/>
      <c r="SM1268" s="22"/>
      <c r="SN1268" s="22"/>
      <c r="SO1268" s="22"/>
      <c r="SP1268" s="22"/>
      <c r="SQ1268" s="22"/>
      <c r="SR1268" s="22"/>
      <c r="SS1268" s="22"/>
      <c r="ST1268" s="22"/>
      <c r="SU1268" s="22"/>
      <c r="SV1268" s="22"/>
      <c r="SW1268" s="22"/>
      <c r="SX1268" s="22"/>
      <c r="SY1268" s="22"/>
      <c r="SZ1268" s="22"/>
      <c r="TA1268" s="22"/>
      <c r="TB1268" s="22"/>
      <c r="TC1268" s="22"/>
      <c r="TD1268" s="22"/>
      <c r="TE1268" s="22"/>
      <c r="TF1268" s="22"/>
      <c r="TG1268" s="22"/>
      <c r="TH1268" s="22"/>
      <c r="TI1268" s="22"/>
      <c r="TJ1268" s="22"/>
      <c r="TK1268" s="22"/>
      <c r="TL1268" s="22"/>
      <c r="TM1268" s="22"/>
      <c r="TN1268" s="22"/>
      <c r="TO1268" s="22"/>
      <c r="TP1268" s="22"/>
      <c r="TQ1268" s="22"/>
      <c r="TR1268" s="22"/>
      <c r="TS1268" s="22"/>
      <c r="TT1268" s="22"/>
      <c r="TU1268" s="22"/>
      <c r="TV1268" s="22"/>
      <c r="TW1268" s="22"/>
      <c r="TX1268" s="22"/>
      <c r="TY1268" s="22"/>
      <c r="TZ1268" s="22"/>
      <c r="UA1268" s="22"/>
      <c r="UB1268" s="22"/>
      <c r="UC1268" s="22"/>
      <c r="UD1268" s="22"/>
      <c r="UE1268" s="22"/>
      <c r="UF1268" s="22"/>
      <c r="UG1268" s="23"/>
    </row>
    <row r="1269" spans="1:553" ht="42.75" customHeight="1">
      <c r="A1269" s="366"/>
      <c r="B1269" s="366"/>
      <c r="C1269" s="1535" t="s">
        <v>1039</v>
      </c>
      <c r="D1269" s="1389"/>
      <c r="E1269" s="1389"/>
      <c r="F1269" s="1390"/>
      <c r="G1269" s="366" t="s">
        <v>34</v>
      </c>
      <c r="H1269" s="370"/>
      <c r="I1269" s="422">
        <f>1*1*0.5</f>
        <v>0.5</v>
      </c>
      <c r="J1269" s="368">
        <v>1080400</v>
      </c>
      <c r="K1269" s="371"/>
      <c r="L1269" s="487">
        <f t="shared" si="189"/>
        <v>540200</v>
      </c>
      <c r="M1269" s="366"/>
      <c r="N1269" s="366"/>
      <c r="O1269" s="366"/>
      <c r="P1269" s="366"/>
      <c r="Q1269" s="812"/>
      <c r="R1269" s="1226"/>
      <c r="S1269" s="308"/>
      <c r="T1269" s="308"/>
      <c r="U1269" s="308"/>
      <c r="V1269" s="308"/>
      <c r="W1269" s="308"/>
      <c r="X1269" s="308"/>
      <c r="Y1269" s="308"/>
      <c r="Z1269" s="604"/>
      <c r="AA1269" s="308"/>
      <c r="AB1269" s="308"/>
      <c r="AC1269" s="373"/>
      <c r="AD1269" s="373"/>
      <c r="AE1269" s="373"/>
      <c r="AF1269" s="373"/>
      <c r="AG1269" s="373"/>
      <c r="AH1269" s="373"/>
      <c r="AI1269" s="373"/>
      <c r="AJ1269" s="373"/>
      <c r="AK1269" s="389"/>
      <c r="AL1269" s="100"/>
      <c r="AM1269" s="27"/>
      <c r="AN1269" s="27"/>
      <c r="AO1269" s="27"/>
      <c r="AP1269" s="27"/>
      <c r="AQ1269" s="27"/>
      <c r="AR1269" s="27"/>
      <c r="AS1269" s="22"/>
      <c r="AT1269" s="22"/>
      <c r="AU1269" s="22"/>
      <c r="AV1269" s="22"/>
      <c r="AW1269" s="22"/>
      <c r="AX1269" s="22"/>
      <c r="AY1269" s="22"/>
      <c r="AZ1269" s="22"/>
      <c r="BA1269" s="22"/>
      <c r="BB1269" s="22"/>
      <c r="BC1269" s="22"/>
      <c r="BD1269" s="22"/>
      <c r="BE1269" s="22"/>
      <c r="BF1269" s="22"/>
      <c r="BG1269" s="22"/>
      <c r="BH1269" s="22"/>
      <c r="BI1269" s="22"/>
      <c r="BJ1269" s="22"/>
      <c r="BK1269" s="22"/>
      <c r="BL1269" s="22"/>
      <c r="BM1269" s="22"/>
      <c r="BN1269" s="22"/>
      <c r="BO1269" s="22"/>
      <c r="BP1269" s="22"/>
      <c r="BQ1269" s="22"/>
      <c r="BR1269" s="22"/>
      <c r="BS1269" s="22"/>
      <c r="BT1269" s="22"/>
      <c r="BU1269" s="22"/>
      <c r="BV1269" s="22"/>
      <c r="BW1269" s="22"/>
      <c r="BX1269" s="22"/>
      <c r="BY1269" s="22"/>
      <c r="BZ1269" s="22"/>
      <c r="CA1269" s="22"/>
      <c r="CB1269" s="22"/>
      <c r="CC1269" s="22"/>
      <c r="CD1269" s="22"/>
      <c r="CE1269" s="22"/>
      <c r="CF1269" s="22"/>
      <c r="CG1269" s="22"/>
      <c r="CH1269" s="22"/>
      <c r="CI1269" s="22"/>
      <c r="CJ1269" s="22"/>
      <c r="CK1269" s="22"/>
      <c r="CL1269" s="22"/>
      <c r="CM1269" s="22"/>
      <c r="CN1269" s="22"/>
      <c r="CO1269" s="22"/>
      <c r="CP1269" s="22"/>
      <c r="CQ1269" s="22"/>
      <c r="CR1269" s="22"/>
      <c r="CS1269" s="22"/>
      <c r="CT1269" s="22"/>
      <c r="CU1269" s="22"/>
      <c r="CV1269" s="22"/>
      <c r="CW1269" s="22"/>
      <c r="CX1269" s="22"/>
      <c r="CY1269" s="22"/>
      <c r="CZ1269" s="22"/>
      <c r="DA1269" s="22"/>
      <c r="DB1269" s="22"/>
      <c r="DC1269" s="22"/>
      <c r="DD1269" s="22"/>
      <c r="DE1269" s="22"/>
      <c r="DF1269" s="22"/>
      <c r="DG1269" s="22"/>
      <c r="DH1269" s="22"/>
      <c r="DI1269" s="22"/>
      <c r="DJ1269" s="22"/>
      <c r="DK1269" s="22"/>
      <c r="DL1269" s="22"/>
      <c r="DM1269" s="22"/>
      <c r="DN1269" s="22"/>
      <c r="DO1269" s="22"/>
      <c r="DP1269" s="22"/>
      <c r="DQ1269" s="22"/>
      <c r="DR1269" s="22"/>
      <c r="DS1269" s="22"/>
      <c r="DT1269" s="22"/>
      <c r="DU1269" s="22"/>
      <c r="DV1269" s="22"/>
      <c r="DW1269" s="22"/>
      <c r="DX1269" s="22"/>
      <c r="DY1269" s="22"/>
      <c r="DZ1269" s="22"/>
      <c r="EA1269" s="22"/>
      <c r="EB1269" s="22"/>
      <c r="EC1269" s="22"/>
      <c r="ED1269" s="22"/>
      <c r="EE1269" s="22"/>
      <c r="EF1269" s="22"/>
      <c r="EG1269" s="22"/>
      <c r="EH1269" s="22"/>
      <c r="EI1269" s="22"/>
      <c r="EJ1269" s="22"/>
      <c r="EK1269" s="22"/>
      <c r="EL1269" s="22"/>
      <c r="EM1269" s="22"/>
      <c r="EN1269" s="22"/>
      <c r="EO1269" s="22"/>
      <c r="EP1269" s="22"/>
      <c r="EQ1269" s="22"/>
      <c r="ER1269" s="22"/>
      <c r="ES1269" s="22"/>
      <c r="ET1269" s="22"/>
      <c r="EU1269" s="22"/>
      <c r="EV1269" s="22"/>
      <c r="EW1269" s="22"/>
      <c r="EX1269" s="22"/>
      <c r="EY1269" s="22"/>
      <c r="EZ1269" s="22"/>
      <c r="FA1269" s="22"/>
      <c r="FB1269" s="22"/>
      <c r="FC1269" s="22"/>
      <c r="FD1269" s="22"/>
      <c r="FE1269" s="22"/>
      <c r="FF1269" s="22"/>
      <c r="FG1269" s="22"/>
      <c r="FH1269" s="22"/>
      <c r="FI1269" s="22"/>
      <c r="FJ1269" s="22"/>
      <c r="FK1269" s="22"/>
      <c r="FL1269" s="22"/>
      <c r="FM1269" s="22"/>
      <c r="FN1269" s="22"/>
      <c r="FO1269" s="22"/>
      <c r="FP1269" s="22"/>
      <c r="FQ1269" s="22"/>
      <c r="FR1269" s="22"/>
      <c r="FS1269" s="22"/>
      <c r="FT1269" s="22"/>
      <c r="FU1269" s="22"/>
      <c r="FV1269" s="22"/>
      <c r="FW1269" s="22"/>
      <c r="FX1269" s="22"/>
      <c r="FY1269" s="22"/>
      <c r="FZ1269" s="22"/>
      <c r="GA1269" s="22"/>
      <c r="GB1269" s="22"/>
      <c r="GC1269" s="22"/>
      <c r="GD1269" s="22"/>
      <c r="GE1269" s="22"/>
      <c r="GF1269" s="22"/>
      <c r="GG1269" s="22"/>
      <c r="GH1269" s="22"/>
      <c r="GI1269" s="22"/>
      <c r="GJ1269" s="22"/>
      <c r="GK1269" s="22"/>
      <c r="GL1269" s="22"/>
      <c r="GM1269" s="22"/>
      <c r="GN1269" s="22"/>
      <c r="GO1269" s="22"/>
      <c r="GP1269" s="22"/>
      <c r="GQ1269" s="22"/>
      <c r="GR1269" s="22"/>
      <c r="GS1269" s="22"/>
      <c r="GT1269" s="22"/>
      <c r="GU1269" s="22"/>
      <c r="GV1269" s="22"/>
      <c r="GW1269" s="22"/>
      <c r="GX1269" s="22"/>
      <c r="GY1269" s="22"/>
      <c r="GZ1269" s="22"/>
      <c r="HA1269" s="22"/>
      <c r="HB1269" s="22"/>
      <c r="HC1269" s="22"/>
      <c r="HD1269" s="22"/>
      <c r="HE1269" s="22"/>
      <c r="HF1269" s="22"/>
      <c r="HG1269" s="22"/>
      <c r="HH1269" s="22"/>
      <c r="HI1269" s="22"/>
      <c r="HJ1269" s="22"/>
      <c r="HK1269" s="22"/>
      <c r="HL1269" s="22"/>
      <c r="HM1269" s="22"/>
      <c r="HN1269" s="22"/>
      <c r="HO1269" s="22"/>
      <c r="HP1269" s="22"/>
      <c r="HQ1269" s="22"/>
      <c r="HR1269" s="22"/>
      <c r="HS1269" s="22"/>
      <c r="HT1269" s="22"/>
      <c r="HU1269" s="22"/>
      <c r="HV1269" s="22"/>
      <c r="HW1269" s="22"/>
      <c r="HX1269" s="22"/>
      <c r="HY1269" s="22"/>
      <c r="HZ1269" s="22"/>
      <c r="IA1269" s="22"/>
      <c r="IB1269" s="22"/>
      <c r="IC1269" s="22"/>
      <c r="ID1269" s="22"/>
      <c r="IE1269" s="22"/>
      <c r="IF1269" s="22"/>
      <c r="IG1269" s="22"/>
      <c r="IH1269" s="22"/>
      <c r="II1269" s="22"/>
      <c r="IJ1269" s="22"/>
      <c r="IK1269" s="22"/>
      <c r="IL1269" s="22"/>
      <c r="IM1269" s="22"/>
      <c r="IN1269" s="22"/>
      <c r="IO1269" s="22"/>
      <c r="IP1269" s="22"/>
      <c r="IQ1269" s="22"/>
      <c r="IR1269" s="22"/>
      <c r="IS1269" s="22"/>
      <c r="IT1269" s="22"/>
      <c r="IU1269" s="22"/>
      <c r="IV1269" s="22"/>
      <c r="IW1269" s="22"/>
      <c r="IX1269" s="22"/>
      <c r="IY1269" s="22"/>
      <c r="IZ1269" s="22"/>
      <c r="JA1269" s="22"/>
      <c r="JB1269" s="22"/>
      <c r="JC1269" s="22"/>
      <c r="JD1269" s="22"/>
      <c r="JE1269" s="22"/>
      <c r="JF1269" s="22"/>
      <c r="JG1269" s="22"/>
      <c r="JH1269" s="22"/>
      <c r="JI1269" s="22"/>
      <c r="JJ1269" s="22"/>
      <c r="JK1269" s="22"/>
      <c r="JL1269" s="22"/>
      <c r="JM1269" s="22"/>
      <c r="JN1269" s="22"/>
      <c r="JO1269" s="22"/>
      <c r="JP1269" s="22"/>
      <c r="JQ1269" s="22"/>
      <c r="JR1269" s="22"/>
      <c r="JS1269" s="22"/>
      <c r="JT1269" s="22"/>
      <c r="JU1269" s="22"/>
      <c r="JV1269" s="22"/>
      <c r="JW1269" s="22"/>
      <c r="JX1269" s="22"/>
      <c r="JY1269" s="22"/>
      <c r="JZ1269" s="22"/>
      <c r="KA1269" s="22"/>
      <c r="KB1269" s="22"/>
      <c r="KC1269" s="22"/>
      <c r="KD1269" s="22"/>
      <c r="KE1269" s="22"/>
      <c r="KF1269" s="22"/>
      <c r="KG1269" s="22"/>
      <c r="KH1269" s="22"/>
      <c r="KI1269" s="22"/>
      <c r="KJ1269" s="22"/>
      <c r="KK1269" s="22"/>
      <c r="KL1269" s="22"/>
      <c r="KM1269" s="22"/>
      <c r="KN1269" s="22"/>
      <c r="KO1269" s="22"/>
      <c r="KP1269" s="22"/>
      <c r="KQ1269" s="22"/>
      <c r="KR1269" s="22"/>
      <c r="KS1269" s="22"/>
      <c r="KT1269" s="22"/>
      <c r="KU1269" s="22"/>
      <c r="KV1269" s="22"/>
      <c r="KW1269" s="22"/>
      <c r="KX1269" s="22"/>
      <c r="KY1269" s="22"/>
      <c r="KZ1269" s="22"/>
      <c r="LA1269" s="22"/>
      <c r="LB1269" s="22"/>
      <c r="LC1269" s="22"/>
      <c r="LD1269" s="22"/>
      <c r="LE1269" s="22"/>
      <c r="LF1269" s="22"/>
      <c r="LG1269" s="22"/>
      <c r="LH1269" s="22"/>
      <c r="LI1269" s="22"/>
      <c r="LJ1269" s="22"/>
      <c r="LK1269" s="22"/>
      <c r="LL1269" s="22"/>
      <c r="LM1269" s="22"/>
      <c r="LN1269" s="22"/>
      <c r="LO1269" s="22"/>
      <c r="LP1269" s="22"/>
      <c r="LQ1269" s="22"/>
      <c r="LR1269" s="22"/>
      <c r="LS1269" s="22"/>
      <c r="LT1269" s="22"/>
      <c r="LU1269" s="22"/>
      <c r="LV1269" s="22"/>
      <c r="LW1269" s="22"/>
      <c r="LX1269" s="22"/>
      <c r="LY1269" s="22"/>
      <c r="LZ1269" s="22"/>
      <c r="MA1269" s="22"/>
      <c r="MB1269" s="22"/>
      <c r="MC1269" s="22"/>
      <c r="MD1269" s="22"/>
      <c r="ME1269" s="22"/>
      <c r="MF1269" s="22"/>
      <c r="MG1269" s="22"/>
      <c r="MH1269" s="22"/>
      <c r="MI1269" s="22"/>
      <c r="MJ1269" s="22"/>
      <c r="MK1269" s="22"/>
      <c r="ML1269" s="22"/>
      <c r="MM1269" s="22"/>
      <c r="MN1269" s="22"/>
      <c r="MO1269" s="22"/>
      <c r="MP1269" s="22"/>
      <c r="MQ1269" s="22"/>
      <c r="MR1269" s="22"/>
      <c r="MS1269" s="22"/>
      <c r="MT1269" s="22"/>
      <c r="MU1269" s="22"/>
      <c r="MV1269" s="22"/>
      <c r="MW1269" s="22"/>
      <c r="MX1269" s="22"/>
      <c r="MY1269" s="22"/>
      <c r="MZ1269" s="22"/>
      <c r="NA1269" s="22"/>
      <c r="NB1269" s="22"/>
      <c r="NC1269" s="22"/>
      <c r="ND1269" s="22"/>
      <c r="NE1269" s="22"/>
      <c r="NF1269" s="22"/>
      <c r="NG1269" s="22"/>
      <c r="NH1269" s="22"/>
      <c r="NI1269" s="22"/>
      <c r="NJ1269" s="22"/>
      <c r="NK1269" s="22"/>
      <c r="NL1269" s="22"/>
      <c r="NM1269" s="22"/>
      <c r="NN1269" s="22"/>
      <c r="NO1269" s="22"/>
      <c r="NP1269" s="22"/>
      <c r="NQ1269" s="22"/>
      <c r="NR1269" s="22"/>
      <c r="NS1269" s="22"/>
      <c r="NT1269" s="22"/>
      <c r="NU1269" s="22"/>
      <c r="NV1269" s="22"/>
      <c r="NW1269" s="22"/>
      <c r="NX1269" s="22"/>
      <c r="NY1269" s="22"/>
      <c r="NZ1269" s="22"/>
      <c r="OA1269" s="22"/>
      <c r="OB1269" s="22"/>
      <c r="OC1269" s="22"/>
      <c r="OD1269" s="22"/>
      <c r="OE1269" s="22"/>
      <c r="OF1269" s="22"/>
      <c r="OG1269" s="22"/>
      <c r="OH1269" s="22"/>
      <c r="OI1269" s="22"/>
      <c r="OJ1269" s="22"/>
      <c r="OK1269" s="22"/>
      <c r="OL1269" s="22"/>
      <c r="OM1269" s="22"/>
      <c r="ON1269" s="22"/>
      <c r="OO1269" s="22"/>
      <c r="OP1269" s="22"/>
      <c r="OQ1269" s="22"/>
      <c r="OR1269" s="22"/>
      <c r="OS1269" s="22"/>
      <c r="OT1269" s="22"/>
      <c r="OU1269" s="22"/>
      <c r="OV1269" s="22"/>
      <c r="OW1269" s="22"/>
      <c r="OX1269" s="22"/>
      <c r="OY1269" s="22"/>
      <c r="OZ1269" s="22"/>
      <c r="PA1269" s="22"/>
      <c r="PB1269" s="22"/>
      <c r="PC1269" s="22"/>
      <c r="PD1269" s="22"/>
      <c r="PE1269" s="22"/>
      <c r="PF1269" s="22"/>
      <c r="PG1269" s="22"/>
      <c r="PH1269" s="22"/>
      <c r="PI1269" s="22"/>
      <c r="PJ1269" s="22"/>
      <c r="PK1269" s="22"/>
      <c r="PL1269" s="22"/>
      <c r="PM1269" s="22"/>
      <c r="PN1269" s="22"/>
      <c r="PO1269" s="22"/>
      <c r="PP1269" s="22"/>
      <c r="PQ1269" s="22"/>
      <c r="PR1269" s="22"/>
      <c r="PS1269" s="22"/>
      <c r="PT1269" s="22"/>
      <c r="PU1269" s="22"/>
      <c r="PV1269" s="22"/>
      <c r="PW1269" s="22"/>
      <c r="PX1269" s="22"/>
      <c r="PY1269" s="22"/>
      <c r="PZ1269" s="22"/>
      <c r="QA1269" s="22"/>
      <c r="QB1269" s="22"/>
      <c r="QC1269" s="22"/>
      <c r="QD1269" s="22"/>
      <c r="QE1269" s="22"/>
      <c r="QF1269" s="22"/>
      <c r="QG1269" s="22"/>
      <c r="QH1269" s="22"/>
      <c r="QI1269" s="22"/>
      <c r="QJ1269" s="22"/>
      <c r="QK1269" s="22"/>
      <c r="QL1269" s="22"/>
      <c r="QM1269" s="22"/>
      <c r="QN1269" s="22"/>
      <c r="QO1269" s="22"/>
      <c r="QP1269" s="22"/>
      <c r="QQ1269" s="22"/>
      <c r="QR1269" s="22"/>
      <c r="QS1269" s="22"/>
      <c r="QT1269" s="22"/>
      <c r="QU1269" s="22"/>
      <c r="QV1269" s="22"/>
      <c r="QW1269" s="22"/>
      <c r="QX1269" s="22"/>
      <c r="QY1269" s="22"/>
      <c r="QZ1269" s="22"/>
      <c r="RA1269" s="22"/>
      <c r="RB1269" s="22"/>
      <c r="RC1269" s="22"/>
      <c r="RD1269" s="22"/>
      <c r="RE1269" s="22"/>
      <c r="RF1269" s="22"/>
      <c r="RG1269" s="22"/>
      <c r="RH1269" s="22"/>
      <c r="RI1269" s="22"/>
      <c r="RJ1269" s="22"/>
      <c r="RK1269" s="22"/>
      <c r="RL1269" s="22"/>
      <c r="RM1269" s="22"/>
      <c r="RN1269" s="22"/>
      <c r="RO1269" s="22"/>
      <c r="RP1269" s="22"/>
      <c r="RQ1269" s="22"/>
      <c r="RR1269" s="22"/>
      <c r="RS1269" s="22"/>
      <c r="RT1269" s="22"/>
      <c r="RU1269" s="22"/>
      <c r="RV1269" s="22"/>
      <c r="RW1269" s="22"/>
      <c r="RX1269" s="22"/>
      <c r="RY1269" s="22"/>
      <c r="RZ1269" s="22"/>
      <c r="SA1269" s="22"/>
      <c r="SB1269" s="22"/>
      <c r="SC1269" s="22"/>
      <c r="SD1269" s="22"/>
      <c r="SE1269" s="22"/>
      <c r="SF1269" s="22"/>
      <c r="SG1269" s="22"/>
      <c r="SH1269" s="22"/>
      <c r="SI1269" s="22"/>
      <c r="SJ1269" s="22"/>
      <c r="SK1269" s="22"/>
      <c r="SL1269" s="22"/>
      <c r="SM1269" s="22"/>
      <c r="SN1269" s="22"/>
      <c r="SO1269" s="22"/>
      <c r="SP1269" s="22"/>
      <c r="SQ1269" s="22"/>
      <c r="SR1269" s="22"/>
      <c r="SS1269" s="22"/>
      <c r="ST1269" s="22"/>
      <c r="SU1269" s="22"/>
      <c r="SV1269" s="22"/>
      <c r="SW1269" s="22"/>
      <c r="SX1269" s="22"/>
      <c r="SY1269" s="22"/>
      <c r="SZ1269" s="22"/>
      <c r="TA1269" s="22"/>
      <c r="TB1269" s="22"/>
      <c r="TC1269" s="22"/>
      <c r="TD1269" s="22"/>
      <c r="TE1269" s="22"/>
      <c r="TF1269" s="22"/>
      <c r="TG1269" s="22"/>
      <c r="TH1269" s="22"/>
      <c r="TI1269" s="22"/>
      <c r="TJ1269" s="22"/>
      <c r="TK1269" s="22"/>
      <c r="TL1269" s="22"/>
      <c r="TM1269" s="22"/>
      <c r="TN1269" s="22"/>
      <c r="TO1269" s="22"/>
      <c r="TP1269" s="22"/>
      <c r="TQ1269" s="22"/>
      <c r="TR1269" s="22"/>
      <c r="TS1269" s="22"/>
      <c r="TT1269" s="22"/>
      <c r="TU1269" s="22"/>
      <c r="TV1269" s="22"/>
      <c r="TW1269" s="22"/>
      <c r="TX1269" s="22"/>
      <c r="TY1269" s="22"/>
      <c r="TZ1269" s="22"/>
      <c r="UA1269" s="22"/>
      <c r="UB1269" s="22"/>
      <c r="UC1269" s="22"/>
      <c r="UD1269" s="22"/>
      <c r="UE1269" s="22"/>
      <c r="UF1269" s="22"/>
      <c r="UG1269" s="23"/>
    </row>
    <row r="1270" spans="1:553" ht="61.15" customHeight="1">
      <c r="A1270" s="366"/>
      <c r="B1270" s="366">
        <v>153</v>
      </c>
      <c r="C1270" s="1535" t="s">
        <v>1040</v>
      </c>
      <c r="D1270" s="1389"/>
      <c r="E1270" s="1389"/>
      <c r="F1270" s="1390"/>
      <c r="G1270" s="366" t="s">
        <v>34</v>
      </c>
      <c r="H1270" s="370"/>
      <c r="I1270" s="422">
        <f>1.5*1.5*1.5</f>
        <v>3.375</v>
      </c>
      <c r="J1270" s="368">
        <v>2943200</v>
      </c>
      <c r="K1270" s="371"/>
      <c r="L1270" s="487">
        <f t="shared" si="189"/>
        <v>9933300</v>
      </c>
      <c r="M1270" s="366"/>
      <c r="N1270" s="366"/>
      <c r="O1270" s="366"/>
      <c r="P1270" s="366"/>
      <c r="Q1270" s="812"/>
      <c r="R1270" s="1226"/>
      <c r="S1270" s="308"/>
      <c r="T1270" s="308"/>
      <c r="U1270" s="308"/>
      <c r="V1270" s="308"/>
      <c r="W1270" s="308"/>
      <c r="X1270" s="308"/>
      <c r="Y1270" s="308"/>
      <c r="Z1270" s="604"/>
      <c r="AA1270" s="308"/>
      <c r="AB1270" s="308"/>
      <c r="AC1270" s="373"/>
      <c r="AD1270" s="373"/>
      <c r="AE1270" s="373"/>
      <c r="AF1270" s="373"/>
      <c r="AG1270" s="373"/>
      <c r="AH1270" s="373"/>
      <c r="AI1270" s="373"/>
      <c r="AJ1270" s="373"/>
      <c r="AK1270" s="389"/>
      <c r="AL1270" s="100"/>
      <c r="AM1270" s="27"/>
      <c r="AN1270" s="27"/>
      <c r="AO1270" s="27"/>
      <c r="AP1270" s="27"/>
      <c r="AQ1270" s="27"/>
      <c r="AR1270" s="27"/>
      <c r="AS1270" s="22"/>
      <c r="AT1270" s="22"/>
      <c r="AU1270" s="22"/>
      <c r="AV1270" s="22"/>
      <c r="AW1270" s="22"/>
      <c r="AX1270" s="22"/>
      <c r="AY1270" s="22"/>
      <c r="AZ1270" s="22"/>
      <c r="BA1270" s="22"/>
      <c r="BB1270" s="22"/>
      <c r="BC1270" s="22"/>
      <c r="BD1270" s="22"/>
      <c r="BE1270" s="22"/>
      <c r="BF1270" s="22"/>
      <c r="BG1270" s="22"/>
      <c r="BH1270" s="22"/>
      <c r="BI1270" s="22"/>
      <c r="BJ1270" s="22"/>
      <c r="BK1270" s="22"/>
      <c r="BL1270" s="22"/>
      <c r="BM1270" s="22"/>
      <c r="BN1270" s="22"/>
      <c r="BO1270" s="22"/>
      <c r="BP1270" s="22"/>
      <c r="BQ1270" s="22"/>
      <c r="BR1270" s="22"/>
      <c r="BS1270" s="22"/>
      <c r="BT1270" s="22"/>
      <c r="BU1270" s="22"/>
      <c r="BV1270" s="22"/>
      <c r="BW1270" s="22"/>
      <c r="BX1270" s="22"/>
      <c r="BY1270" s="22"/>
      <c r="BZ1270" s="22"/>
      <c r="CA1270" s="22"/>
      <c r="CB1270" s="22"/>
      <c r="CC1270" s="22"/>
      <c r="CD1270" s="22"/>
      <c r="CE1270" s="22"/>
      <c r="CF1270" s="22"/>
      <c r="CG1270" s="22"/>
      <c r="CH1270" s="22"/>
      <c r="CI1270" s="22"/>
      <c r="CJ1270" s="22"/>
      <c r="CK1270" s="22"/>
      <c r="CL1270" s="22"/>
      <c r="CM1270" s="22"/>
      <c r="CN1270" s="22"/>
      <c r="CO1270" s="22"/>
      <c r="CP1270" s="22"/>
      <c r="CQ1270" s="22"/>
      <c r="CR1270" s="22"/>
      <c r="CS1270" s="22"/>
      <c r="CT1270" s="22"/>
      <c r="CU1270" s="22"/>
      <c r="CV1270" s="22"/>
      <c r="CW1270" s="22"/>
      <c r="CX1270" s="22"/>
      <c r="CY1270" s="22"/>
      <c r="CZ1270" s="22"/>
      <c r="DA1270" s="22"/>
      <c r="DB1270" s="22"/>
      <c r="DC1270" s="22"/>
      <c r="DD1270" s="22"/>
      <c r="DE1270" s="22"/>
      <c r="DF1270" s="22"/>
      <c r="DG1270" s="22"/>
      <c r="DH1270" s="22"/>
      <c r="DI1270" s="22"/>
      <c r="DJ1270" s="22"/>
      <c r="DK1270" s="22"/>
      <c r="DL1270" s="22"/>
      <c r="DM1270" s="22"/>
      <c r="DN1270" s="22"/>
      <c r="DO1270" s="22"/>
      <c r="DP1270" s="22"/>
      <c r="DQ1270" s="22"/>
      <c r="DR1270" s="22"/>
      <c r="DS1270" s="22"/>
      <c r="DT1270" s="22"/>
      <c r="DU1270" s="22"/>
      <c r="DV1270" s="22"/>
      <c r="DW1270" s="22"/>
      <c r="DX1270" s="22"/>
      <c r="DY1270" s="22"/>
      <c r="DZ1270" s="22"/>
      <c r="EA1270" s="22"/>
      <c r="EB1270" s="22"/>
      <c r="EC1270" s="22"/>
      <c r="ED1270" s="22"/>
      <c r="EE1270" s="22"/>
      <c r="EF1270" s="22"/>
      <c r="EG1270" s="22"/>
      <c r="EH1270" s="22"/>
      <c r="EI1270" s="22"/>
      <c r="EJ1270" s="22"/>
      <c r="EK1270" s="22"/>
      <c r="EL1270" s="22"/>
      <c r="EM1270" s="22"/>
      <c r="EN1270" s="22"/>
      <c r="EO1270" s="22"/>
      <c r="EP1270" s="22"/>
      <c r="EQ1270" s="22"/>
      <c r="ER1270" s="22"/>
      <c r="ES1270" s="22"/>
      <c r="ET1270" s="22"/>
      <c r="EU1270" s="22"/>
      <c r="EV1270" s="22"/>
      <c r="EW1270" s="22"/>
      <c r="EX1270" s="22"/>
      <c r="EY1270" s="22"/>
      <c r="EZ1270" s="22"/>
      <c r="FA1270" s="22"/>
      <c r="FB1270" s="22"/>
      <c r="FC1270" s="22"/>
      <c r="FD1270" s="22"/>
      <c r="FE1270" s="22"/>
      <c r="FF1270" s="22"/>
      <c r="FG1270" s="22"/>
      <c r="FH1270" s="22"/>
      <c r="FI1270" s="22"/>
      <c r="FJ1270" s="22"/>
      <c r="FK1270" s="22"/>
      <c r="FL1270" s="22"/>
      <c r="FM1270" s="22"/>
      <c r="FN1270" s="22"/>
      <c r="FO1270" s="22"/>
      <c r="FP1270" s="22"/>
      <c r="FQ1270" s="22"/>
      <c r="FR1270" s="22"/>
      <c r="FS1270" s="22"/>
      <c r="FT1270" s="22"/>
      <c r="FU1270" s="22"/>
      <c r="FV1270" s="22"/>
      <c r="FW1270" s="22"/>
      <c r="FX1270" s="22"/>
      <c r="FY1270" s="22"/>
      <c r="FZ1270" s="22"/>
      <c r="GA1270" s="22"/>
      <c r="GB1270" s="22"/>
      <c r="GC1270" s="22"/>
      <c r="GD1270" s="22"/>
      <c r="GE1270" s="22"/>
      <c r="GF1270" s="22"/>
      <c r="GG1270" s="22"/>
      <c r="GH1270" s="22"/>
      <c r="GI1270" s="22"/>
      <c r="GJ1270" s="22"/>
      <c r="GK1270" s="22"/>
      <c r="GL1270" s="22"/>
      <c r="GM1270" s="22"/>
      <c r="GN1270" s="22"/>
      <c r="GO1270" s="22"/>
      <c r="GP1270" s="22"/>
      <c r="GQ1270" s="22"/>
      <c r="GR1270" s="22"/>
      <c r="GS1270" s="22"/>
      <c r="GT1270" s="22"/>
      <c r="GU1270" s="22"/>
      <c r="GV1270" s="22"/>
      <c r="GW1270" s="22"/>
      <c r="GX1270" s="22"/>
      <c r="GY1270" s="22"/>
      <c r="GZ1270" s="22"/>
      <c r="HA1270" s="22"/>
      <c r="HB1270" s="22"/>
      <c r="HC1270" s="22"/>
      <c r="HD1270" s="22"/>
      <c r="HE1270" s="22"/>
      <c r="HF1270" s="22"/>
      <c r="HG1270" s="22"/>
      <c r="HH1270" s="22"/>
      <c r="HI1270" s="22"/>
      <c r="HJ1270" s="22"/>
      <c r="HK1270" s="22"/>
      <c r="HL1270" s="22"/>
      <c r="HM1270" s="22"/>
      <c r="HN1270" s="22"/>
      <c r="HO1270" s="22"/>
      <c r="HP1270" s="22"/>
      <c r="HQ1270" s="22"/>
      <c r="HR1270" s="22"/>
      <c r="HS1270" s="22"/>
      <c r="HT1270" s="22"/>
      <c r="HU1270" s="22"/>
      <c r="HV1270" s="22"/>
      <c r="HW1270" s="22"/>
      <c r="HX1270" s="22"/>
      <c r="HY1270" s="22"/>
      <c r="HZ1270" s="22"/>
      <c r="IA1270" s="22"/>
      <c r="IB1270" s="22"/>
      <c r="IC1270" s="22"/>
      <c r="ID1270" s="22"/>
      <c r="IE1270" s="22"/>
      <c r="IF1270" s="22"/>
      <c r="IG1270" s="22"/>
      <c r="IH1270" s="22"/>
      <c r="II1270" s="22"/>
      <c r="IJ1270" s="22"/>
      <c r="IK1270" s="22"/>
      <c r="IL1270" s="22"/>
      <c r="IM1270" s="22"/>
      <c r="IN1270" s="22"/>
      <c r="IO1270" s="22"/>
      <c r="IP1270" s="22"/>
      <c r="IQ1270" s="22"/>
      <c r="IR1270" s="22"/>
      <c r="IS1270" s="22"/>
      <c r="IT1270" s="22"/>
      <c r="IU1270" s="22"/>
      <c r="IV1270" s="22"/>
      <c r="IW1270" s="22"/>
      <c r="IX1270" s="22"/>
      <c r="IY1270" s="22"/>
      <c r="IZ1270" s="22"/>
      <c r="JA1270" s="22"/>
      <c r="JB1270" s="22"/>
      <c r="JC1270" s="22"/>
      <c r="JD1270" s="22"/>
      <c r="JE1270" s="22"/>
      <c r="JF1270" s="22"/>
      <c r="JG1270" s="22"/>
      <c r="JH1270" s="22"/>
      <c r="JI1270" s="22"/>
      <c r="JJ1270" s="22"/>
      <c r="JK1270" s="22"/>
      <c r="JL1270" s="22"/>
      <c r="JM1270" s="22"/>
      <c r="JN1270" s="22"/>
      <c r="JO1270" s="22"/>
      <c r="JP1270" s="22"/>
      <c r="JQ1270" s="22"/>
      <c r="JR1270" s="22"/>
      <c r="JS1270" s="22"/>
      <c r="JT1270" s="22"/>
      <c r="JU1270" s="22"/>
      <c r="JV1270" s="22"/>
      <c r="JW1270" s="22"/>
      <c r="JX1270" s="22"/>
      <c r="JY1270" s="22"/>
      <c r="JZ1270" s="22"/>
      <c r="KA1270" s="22"/>
      <c r="KB1270" s="22"/>
      <c r="KC1270" s="22"/>
      <c r="KD1270" s="22"/>
      <c r="KE1270" s="22"/>
      <c r="KF1270" s="22"/>
      <c r="KG1270" s="22"/>
      <c r="KH1270" s="22"/>
      <c r="KI1270" s="22"/>
      <c r="KJ1270" s="22"/>
      <c r="KK1270" s="22"/>
      <c r="KL1270" s="22"/>
      <c r="KM1270" s="22"/>
      <c r="KN1270" s="22"/>
      <c r="KO1270" s="22"/>
      <c r="KP1270" s="22"/>
      <c r="KQ1270" s="22"/>
      <c r="KR1270" s="22"/>
      <c r="KS1270" s="22"/>
      <c r="KT1270" s="22"/>
      <c r="KU1270" s="22"/>
      <c r="KV1270" s="22"/>
      <c r="KW1270" s="22"/>
      <c r="KX1270" s="22"/>
      <c r="KY1270" s="22"/>
      <c r="KZ1270" s="22"/>
      <c r="LA1270" s="22"/>
      <c r="LB1270" s="22"/>
      <c r="LC1270" s="22"/>
      <c r="LD1270" s="22"/>
      <c r="LE1270" s="22"/>
      <c r="LF1270" s="22"/>
      <c r="LG1270" s="22"/>
      <c r="LH1270" s="22"/>
      <c r="LI1270" s="22"/>
      <c r="LJ1270" s="22"/>
      <c r="LK1270" s="22"/>
      <c r="LL1270" s="22"/>
      <c r="LM1270" s="22"/>
      <c r="LN1270" s="22"/>
      <c r="LO1270" s="22"/>
      <c r="LP1270" s="22"/>
      <c r="LQ1270" s="22"/>
      <c r="LR1270" s="22"/>
      <c r="LS1270" s="22"/>
      <c r="LT1270" s="22"/>
      <c r="LU1270" s="22"/>
      <c r="LV1270" s="22"/>
      <c r="LW1270" s="22"/>
      <c r="LX1270" s="22"/>
      <c r="LY1270" s="22"/>
      <c r="LZ1270" s="22"/>
      <c r="MA1270" s="22"/>
      <c r="MB1270" s="22"/>
      <c r="MC1270" s="22"/>
      <c r="MD1270" s="22"/>
      <c r="ME1270" s="22"/>
      <c r="MF1270" s="22"/>
      <c r="MG1270" s="22"/>
      <c r="MH1270" s="22"/>
      <c r="MI1270" s="22"/>
      <c r="MJ1270" s="22"/>
      <c r="MK1270" s="22"/>
      <c r="ML1270" s="22"/>
      <c r="MM1270" s="22"/>
      <c r="MN1270" s="22"/>
      <c r="MO1270" s="22"/>
      <c r="MP1270" s="22"/>
      <c r="MQ1270" s="22"/>
      <c r="MR1270" s="22"/>
      <c r="MS1270" s="22"/>
      <c r="MT1270" s="22"/>
      <c r="MU1270" s="22"/>
      <c r="MV1270" s="22"/>
      <c r="MW1270" s="22"/>
      <c r="MX1270" s="22"/>
      <c r="MY1270" s="22"/>
      <c r="MZ1270" s="22"/>
      <c r="NA1270" s="22"/>
      <c r="NB1270" s="22"/>
      <c r="NC1270" s="22"/>
      <c r="ND1270" s="22"/>
      <c r="NE1270" s="22"/>
      <c r="NF1270" s="22"/>
      <c r="NG1270" s="22"/>
      <c r="NH1270" s="22"/>
      <c r="NI1270" s="22"/>
      <c r="NJ1270" s="22"/>
      <c r="NK1270" s="22"/>
      <c r="NL1270" s="22"/>
      <c r="NM1270" s="22"/>
      <c r="NN1270" s="22"/>
      <c r="NO1270" s="22"/>
      <c r="NP1270" s="22"/>
      <c r="NQ1270" s="22"/>
      <c r="NR1270" s="22"/>
      <c r="NS1270" s="22"/>
      <c r="NT1270" s="22"/>
      <c r="NU1270" s="22"/>
      <c r="NV1270" s="22"/>
      <c r="NW1270" s="22"/>
      <c r="NX1270" s="22"/>
      <c r="NY1270" s="22"/>
      <c r="NZ1270" s="22"/>
      <c r="OA1270" s="22"/>
      <c r="OB1270" s="22"/>
      <c r="OC1270" s="22"/>
      <c r="OD1270" s="22"/>
      <c r="OE1270" s="22"/>
      <c r="OF1270" s="22"/>
      <c r="OG1270" s="22"/>
      <c r="OH1270" s="22"/>
      <c r="OI1270" s="22"/>
      <c r="OJ1270" s="22"/>
      <c r="OK1270" s="22"/>
      <c r="OL1270" s="22"/>
      <c r="OM1270" s="22"/>
      <c r="ON1270" s="22"/>
      <c r="OO1270" s="22"/>
      <c r="OP1270" s="22"/>
      <c r="OQ1270" s="22"/>
      <c r="OR1270" s="22"/>
      <c r="OS1270" s="22"/>
      <c r="OT1270" s="22"/>
      <c r="OU1270" s="22"/>
      <c r="OV1270" s="22"/>
      <c r="OW1270" s="22"/>
      <c r="OX1270" s="22"/>
      <c r="OY1270" s="22"/>
      <c r="OZ1270" s="22"/>
      <c r="PA1270" s="22"/>
      <c r="PB1270" s="22"/>
      <c r="PC1270" s="22"/>
      <c r="PD1270" s="22"/>
      <c r="PE1270" s="22"/>
      <c r="PF1270" s="22"/>
      <c r="PG1270" s="22"/>
      <c r="PH1270" s="22"/>
      <c r="PI1270" s="22"/>
      <c r="PJ1270" s="22"/>
      <c r="PK1270" s="22"/>
      <c r="PL1270" s="22"/>
      <c r="PM1270" s="22"/>
      <c r="PN1270" s="22"/>
      <c r="PO1270" s="22"/>
      <c r="PP1270" s="22"/>
      <c r="PQ1270" s="22"/>
      <c r="PR1270" s="22"/>
      <c r="PS1270" s="22"/>
      <c r="PT1270" s="22"/>
      <c r="PU1270" s="22"/>
      <c r="PV1270" s="22"/>
      <c r="PW1270" s="22"/>
      <c r="PX1270" s="22"/>
      <c r="PY1270" s="22"/>
      <c r="PZ1270" s="22"/>
      <c r="QA1270" s="22"/>
      <c r="QB1270" s="22"/>
      <c r="QC1270" s="22"/>
      <c r="QD1270" s="22"/>
      <c r="QE1270" s="22"/>
      <c r="QF1270" s="22"/>
      <c r="QG1270" s="22"/>
      <c r="QH1270" s="22"/>
      <c r="QI1270" s="22"/>
      <c r="QJ1270" s="22"/>
      <c r="QK1270" s="22"/>
      <c r="QL1270" s="22"/>
      <c r="QM1270" s="22"/>
      <c r="QN1270" s="22"/>
      <c r="QO1270" s="22"/>
      <c r="QP1270" s="22"/>
      <c r="QQ1270" s="22"/>
      <c r="QR1270" s="22"/>
      <c r="QS1270" s="22"/>
      <c r="QT1270" s="22"/>
      <c r="QU1270" s="22"/>
      <c r="QV1270" s="22"/>
      <c r="QW1270" s="22"/>
      <c r="QX1270" s="22"/>
      <c r="QY1270" s="22"/>
      <c r="QZ1270" s="22"/>
      <c r="RA1270" s="22"/>
      <c r="RB1270" s="22"/>
      <c r="RC1270" s="22"/>
      <c r="RD1270" s="22"/>
      <c r="RE1270" s="22"/>
      <c r="RF1270" s="22"/>
      <c r="RG1270" s="22"/>
      <c r="RH1270" s="22"/>
      <c r="RI1270" s="22"/>
      <c r="RJ1270" s="22"/>
      <c r="RK1270" s="22"/>
      <c r="RL1270" s="22"/>
      <c r="RM1270" s="22"/>
      <c r="RN1270" s="22"/>
      <c r="RO1270" s="22"/>
      <c r="RP1270" s="22"/>
      <c r="RQ1270" s="22"/>
      <c r="RR1270" s="22"/>
      <c r="RS1270" s="22"/>
      <c r="RT1270" s="22"/>
      <c r="RU1270" s="22"/>
      <c r="RV1270" s="22"/>
      <c r="RW1270" s="22"/>
      <c r="RX1270" s="22"/>
      <c r="RY1270" s="22"/>
      <c r="RZ1270" s="22"/>
      <c r="SA1270" s="22"/>
      <c r="SB1270" s="22"/>
      <c r="SC1270" s="22"/>
      <c r="SD1270" s="22"/>
      <c r="SE1270" s="22"/>
      <c r="SF1270" s="22"/>
      <c r="SG1270" s="22"/>
      <c r="SH1270" s="22"/>
      <c r="SI1270" s="22"/>
      <c r="SJ1270" s="22"/>
      <c r="SK1270" s="22"/>
      <c r="SL1270" s="22"/>
      <c r="SM1270" s="22"/>
      <c r="SN1270" s="22"/>
      <c r="SO1270" s="22"/>
      <c r="SP1270" s="22"/>
      <c r="SQ1270" s="22"/>
      <c r="SR1270" s="22"/>
      <c r="SS1270" s="22"/>
      <c r="ST1270" s="22"/>
      <c r="SU1270" s="22"/>
      <c r="SV1270" s="22"/>
      <c r="SW1270" s="22"/>
      <c r="SX1270" s="22"/>
      <c r="SY1270" s="22"/>
      <c r="SZ1270" s="22"/>
      <c r="TA1270" s="22"/>
      <c r="TB1270" s="22"/>
      <c r="TC1270" s="22"/>
      <c r="TD1270" s="22"/>
      <c r="TE1270" s="22"/>
      <c r="TF1270" s="22"/>
      <c r="TG1270" s="22"/>
      <c r="TH1270" s="22"/>
      <c r="TI1270" s="22"/>
      <c r="TJ1270" s="22"/>
      <c r="TK1270" s="22"/>
      <c r="TL1270" s="22"/>
      <c r="TM1270" s="22"/>
      <c r="TN1270" s="22"/>
      <c r="TO1270" s="22"/>
      <c r="TP1270" s="22"/>
      <c r="TQ1270" s="22"/>
      <c r="TR1270" s="22"/>
      <c r="TS1270" s="22"/>
      <c r="TT1270" s="22"/>
      <c r="TU1270" s="22"/>
      <c r="TV1270" s="22"/>
      <c r="TW1270" s="22"/>
      <c r="TX1270" s="22"/>
      <c r="TY1270" s="22"/>
      <c r="TZ1270" s="22"/>
      <c r="UA1270" s="22"/>
      <c r="UB1270" s="22"/>
      <c r="UC1270" s="22"/>
      <c r="UD1270" s="22"/>
      <c r="UE1270" s="22"/>
      <c r="UF1270" s="22"/>
      <c r="UG1270" s="23"/>
    </row>
    <row r="1271" spans="1:553" ht="37.9" customHeight="1">
      <c r="A1271" s="366"/>
      <c r="B1271" s="366" t="s">
        <v>31</v>
      </c>
      <c r="C1271" s="1388" t="s">
        <v>656</v>
      </c>
      <c r="D1271" s="1389"/>
      <c r="E1271" s="1389"/>
      <c r="F1271" s="1390"/>
      <c r="G1271" s="366" t="s">
        <v>34</v>
      </c>
      <c r="H1271" s="370"/>
      <c r="I1271" s="422">
        <f>-(1.5+1.5)*2*1.5*0.11</f>
        <v>-0.99</v>
      </c>
      <c r="J1271" s="368">
        <v>1913917</v>
      </c>
      <c r="K1271" s="371"/>
      <c r="L1271" s="487">
        <f t="shared" si="189"/>
        <v>-1894777.83</v>
      </c>
      <c r="M1271" s="366"/>
      <c r="N1271" s="366"/>
      <c r="O1271" s="366"/>
      <c r="P1271" s="366"/>
      <c r="Q1271" s="812"/>
      <c r="R1271" s="1226"/>
      <c r="S1271" s="308"/>
      <c r="T1271" s="308"/>
      <c r="U1271" s="308"/>
      <c r="V1271" s="308"/>
      <c r="W1271" s="308"/>
      <c r="X1271" s="308"/>
      <c r="Y1271" s="308"/>
      <c r="Z1271" s="604"/>
      <c r="AA1271" s="308"/>
      <c r="AB1271" s="308"/>
      <c r="AC1271" s="373"/>
      <c r="AD1271" s="373"/>
      <c r="AE1271" s="373"/>
      <c r="AF1271" s="373"/>
      <c r="AG1271" s="373"/>
      <c r="AH1271" s="373"/>
      <c r="AI1271" s="373"/>
      <c r="AJ1271" s="373"/>
      <c r="AK1271" s="389"/>
      <c r="AL1271" s="100"/>
      <c r="AM1271" s="27"/>
      <c r="AN1271" s="27"/>
      <c r="AO1271" s="27"/>
      <c r="AP1271" s="27"/>
      <c r="AQ1271" s="27"/>
      <c r="AR1271" s="27"/>
      <c r="AS1271" s="22"/>
      <c r="AT1271" s="22"/>
      <c r="AU1271" s="22"/>
      <c r="AV1271" s="22"/>
      <c r="AW1271" s="22"/>
      <c r="AX1271" s="22"/>
      <c r="AY1271" s="22"/>
      <c r="AZ1271" s="22"/>
      <c r="BA1271" s="22"/>
      <c r="BB1271" s="22"/>
      <c r="BC1271" s="22"/>
      <c r="BD1271" s="22"/>
      <c r="BE1271" s="22"/>
      <c r="BF1271" s="22"/>
      <c r="BG1271" s="22"/>
      <c r="BH1271" s="22"/>
      <c r="BI1271" s="22"/>
      <c r="BJ1271" s="22"/>
      <c r="BK1271" s="22"/>
      <c r="BL1271" s="22"/>
      <c r="BM1271" s="22"/>
      <c r="BN1271" s="22"/>
      <c r="BO1271" s="22"/>
      <c r="BP1271" s="22"/>
      <c r="BQ1271" s="22"/>
      <c r="BR1271" s="22"/>
      <c r="BS1271" s="22"/>
      <c r="BT1271" s="22"/>
      <c r="BU1271" s="22"/>
      <c r="BV1271" s="22"/>
      <c r="BW1271" s="22"/>
      <c r="BX1271" s="22"/>
      <c r="BY1271" s="22"/>
      <c r="BZ1271" s="22"/>
      <c r="CA1271" s="22"/>
      <c r="CB1271" s="22"/>
      <c r="CC1271" s="22"/>
      <c r="CD1271" s="22"/>
      <c r="CE1271" s="22"/>
      <c r="CF1271" s="22"/>
      <c r="CG1271" s="22"/>
      <c r="CH1271" s="22"/>
      <c r="CI1271" s="22"/>
      <c r="CJ1271" s="22"/>
      <c r="CK1271" s="22"/>
      <c r="CL1271" s="22"/>
      <c r="CM1271" s="22"/>
      <c r="CN1271" s="22"/>
      <c r="CO1271" s="22"/>
      <c r="CP1271" s="22"/>
      <c r="CQ1271" s="22"/>
      <c r="CR1271" s="22"/>
      <c r="CS1271" s="22"/>
      <c r="CT1271" s="22"/>
      <c r="CU1271" s="22"/>
      <c r="CV1271" s="22"/>
      <c r="CW1271" s="22"/>
      <c r="CX1271" s="22"/>
      <c r="CY1271" s="22"/>
      <c r="CZ1271" s="22"/>
      <c r="DA1271" s="22"/>
      <c r="DB1271" s="22"/>
      <c r="DC1271" s="22"/>
      <c r="DD1271" s="22"/>
      <c r="DE1271" s="22"/>
      <c r="DF1271" s="22"/>
      <c r="DG1271" s="22"/>
      <c r="DH1271" s="22"/>
      <c r="DI1271" s="22"/>
      <c r="DJ1271" s="22"/>
      <c r="DK1271" s="22"/>
      <c r="DL1271" s="22"/>
      <c r="DM1271" s="22"/>
      <c r="DN1271" s="22"/>
      <c r="DO1271" s="22"/>
      <c r="DP1271" s="22"/>
      <c r="DQ1271" s="22"/>
      <c r="DR1271" s="22"/>
      <c r="DS1271" s="22"/>
      <c r="DT1271" s="22"/>
      <c r="DU1271" s="22"/>
      <c r="DV1271" s="22"/>
      <c r="DW1271" s="22"/>
      <c r="DX1271" s="22"/>
      <c r="DY1271" s="22"/>
      <c r="DZ1271" s="22"/>
      <c r="EA1271" s="22"/>
      <c r="EB1271" s="22"/>
      <c r="EC1271" s="22"/>
      <c r="ED1271" s="22"/>
      <c r="EE1271" s="22"/>
      <c r="EF1271" s="22"/>
      <c r="EG1271" s="22"/>
      <c r="EH1271" s="22"/>
      <c r="EI1271" s="22"/>
      <c r="EJ1271" s="22"/>
      <c r="EK1271" s="22"/>
      <c r="EL1271" s="22"/>
      <c r="EM1271" s="22"/>
      <c r="EN1271" s="22"/>
      <c r="EO1271" s="22"/>
      <c r="EP1271" s="22"/>
      <c r="EQ1271" s="22"/>
      <c r="ER1271" s="22"/>
      <c r="ES1271" s="22"/>
      <c r="ET1271" s="22"/>
      <c r="EU1271" s="22"/>
      <c r="EV1271" s="22"/>
      <c r="EW1271" s="22"/>
      <c r="EX1271" s="22"/>
      <c r="EY1271" s="22"/>
      <c r="EZ1271" s="22"/>
      <c r="FA1271" s="22"/>
      <c r="FB1271" s="22"/>
      <c r="FC1271" s="22"/>
      <c r="FD1271" s="22"/>
      <c r="FE1271" s="22"/>
      <c r="FF1271" s="22"/>
      <c r="FG1271" s="22"/>
      <c r="FH1271" s="22"/>
      <c r="FI1271" s="22"/>
      <c r="FJ1271" s="22"/>
      <c r="FK1271" s="22"/>
      <c r="FL1271" s="22"/>
      <c r="FM1271" s="22"/>
      <c r="FN1271" s="22"/>
      <c r="FO1271" s="22"/>
      <c r="FP1271" s="22"/>
      <c r="FQ1271" s="22"/>
      <c r="FR1271" s="22"/>
      <c r="FS1271" s="22"/>
      <c r="FT1271" s="22"/>
      <c r="FU1271" s="22"/>
      <c r="FV1271" s="22"/>
      <c r="FW1271" s="22"/>
      <c r="FX1271" s="22"/>
      <c r="FY1271" s="22"/>
      <c r="FZ1271" s="22"/>
      <c r="GA1271" s="22"/>
      <c r="GB1271" s="22"/>
      <c r="GC1271" s="22"/>
      <c r="GD1271" s="22"/>
      <c r="GE1271" s="22"/>
      <c r="GF1271" s="22"/>
      <c r="GG1271" s="22"/>
      <c r="GH1271" s="22"/>
      <c r="GI1271" s="22"/>
      <c r="GJ1271" s="22"/>
      <c r="GK1271" s="22"/>
      <c r="GL1271" s="22"/>
      <c r="GM1271" s="22"/>
      <c r="GN1271" s="22"/>
      <c r="GO1271" s="22"/>
      <c r="GP1271" s="22"/>
      <c r="GQ1271" s="22"/>
      <c r="GR1271" s="22"/>
      <c r="GS1271" s="22"/>
      <c r="GT1271" s="22"/>
      <c r="GU1271" s="22"/>
      <c r="GV1271" s="22"/>
      <c r="GW1271" s="22"/>
      <c r="GX1271" s="22"/>
      <c r="GY1271" s="22"/>
      <c r="GZ1271" s="22"/>
      <c r="HA1271" s="22"/>
      <c r="HB1271" s="22"/>
      <c r="HC1271" s="22"/>
      <c r="HD1271" s="22"/>
      <c r="HE1271" s="22"/>
      <c r="HF1271" s="22"/>
      <c r="HG1271" s="22"/>
      <c r="HH1271" s="22"/>
      <c r="HI1271" s="22"/>
      <c r="HJ1271" s="22"/>
      <c r="HK1271" s="22"/>
      <c r="HL1271" s="22"/>
      <c r="HM1271" s="22"/>
      <c r="HN1271" s="22"/>
      <c r="HO1271" s="22"/>
      <c r="HP1271" s="22"/>
      <c r="HQ1271" s="22"/>
      <c r="HR1271" s="22"/>
      <c r="HS1271" s="22"/>
      <c r="HT1271" s="22"/>
      <c r="HU1271" s="22"/>
      <c r="HV1271" s="22"/>
      <c r="HW1271" s="22"/>
      <c r="HX1271" s="22"/>
      <c r="HY1271" s="22"/>
      <c r="HZ1271" s="22"/>
      <c r="IA1271" s="22"/>
      <c r="IB1271" s="22"/>
      <c r="IC1271" s="22"/>
      <c r="ID1271" s="22"/>
      <c r="IE1271" s="22"/>
      <c r="IF1271" s="22"/>
      <c r="IG1271" s="22"/>
      <c r="IH1271" s="22"/>
      <c r="II1271" s="22"/>
      <c r="IJ1271" s="22"/>
      <c r="IK1271" s="22"/>
      <c r="IL1271" s="22"/>
      <c r="IM1271" s="22"/>
      <c r="IN1271" s="22"/>
      <c r="IO1271" s="22"/>
      <c r="IP1271" s="22"/>
      <c r="IQ1271" s="22"/>
      <c r="IR1271" s="22"/>
      <c r="IS1271" s="22"/>
      <c r="IT1271" s="22"/>
      <c r="IU1271" s="22"/>
      <c r="IV1271" s="22"/>
      <c r="IW1271" s="22"/>
      <c r="IX1271" s="22"/>
      <c r="IY1271" s="22"/>
      <c r="IZ1271" s="22"/>
      <c r="JA1271" s="22"/>
      <c r="JB1271" s="22"/>
      <c r="JC1271" s="22"/>
      <c r="JD1271" s="22"/>
      <c r="JE1271" s="22"/>
      <c r="JF1271" s="22"/>
      <c r="JG1271" s="22"/>
      <c r="JH1271" s="22"/>
      <c r="JI1271" s="22"/>
      <c r="JJ1271" s="22"/>
      <c r="JK1271" s="22"/>
      <c r="JL1271" s="22"/>
      <c r="JM1271" s="22"/>
      <c r="JN1271" s="22"/>
      <c r="JO1271" s="22"/>
      <c r="JP1271" s="22"/>
      <c r="JQ1271" s="22"/>
      <c r="JR1271" s="22"/>
      <c r="JS1271" s="22"/>
      <c r="JT1271" s="22"/>
      <c r="JU1271" s="22"/>
      <c r="JV1271" s="22"/>
      <c r="JW1271" s="22"/>
      <c r="JX1271" s="22"/>
      <c r="JY1271" s="22"/>
      <c r="JZ1271" s="22"/>
      <c r="KA1271" s="22"/>
      <c r="KB1271" s="22"/>
      <c r="KC1271" s="22"/>
      <c r="KD1271" s="22"/>
      <c r="KE1271" s="22"/>
      <c r="KF1271" s="22"/>
      <c r="KG1271" s="22"/>
      <c r="KH1271" s="22"/>
      <c r="KI1271" s="22"/>
      <c r="KJ1271" s="22"/>
      <c r="KK1271" s="22"/>
      <c r="KL1271" s="22"/>
      <c r="KM1271" s="22"/>
      <c r="KN1271" s="22"/>
      <c r="KO1271" s="22"/>
      <c r="KP1271" s="22"/>
      <c r="KQ1271" s="22"/>
      <c r="KR1271" s="22"/>
      <c r="KS1271" s="22"/>
      <c r="KT1271" s="22"/>
      <c r="KU1271" s="22"/>
      <c r="KV1271" s="22"/>
      <c r="KW1271" s="22"/>
      <c r="KX1271" s="22"/>
      <c r="KY1271" s="22"/>
      <c r="KZ1271" s="22"/>
      <c r="LA1271" s="22"/>
      <c r="LB1271" s="22"/>
      <c r="LC1271" s="22"/>
      <c r="LD1271" s="22"/>
      <c r="LE1271" s="22"/>
      <c r="LF1271" s="22"/>
      <c r="LG1271" s="22"/>
      <c r="LH1271" s="22"/>
      <c r="LI1271" s="22"/>
      <c r="LJ1271" s="22"/>
      <c r="LK1271" s="22"/>
      <c r="LL1271" s="22"/>
      <c r="LM1271" s="22"/>
      <c r="LN1271" s="22"/>
      <c r="LO1271" s="22"/>
      <c r="LP1271" s="22"/>
      <c r="LQ1271" s="22"/>
      <c r="LR1271" s="22"/>
      <c r="LS1271" s="22"/>
      <c r="LT1271" s="22"/>
      <c r="LU1271" s="22"/>
      <c r="LV1271" s="22"/>
      <c r="LW1271" s="22"/>
      <c r="LX1271" s="22"/>
      <c r="LY1271" s="22"/>
      <c r="LZ1271" s="22"/>
      <c r="MA1271" s="22"/>
      <c r="MB1271" s="22"/>
      <c r="MC1271" s="22"/>
      <c r="MD1271" s="22"/>
      <c r="ME1271" s="22"/>
      <c r="MF1271" s="22"/>
      <c r="MG1271" s="22"/>
      <c r="MH1271" s="22"/>
      <c r="MI1271" s="22"/>
      <c r="MJ1271" s="22"/>
      <c r="MK1271" s="22"/>
      <c r="ML1271" s="22"/>
      <c r="MM1271" s="22"/>
      <c r="MN1271" s="22"/>
      <c r="MO1271" s="22"/>
      <c r="MP1271" s="22"/>
      <c r="MQ1271" s="22"/>
      <c r="MR1271" s="22"/>
      <c r="MS1271" s="22"/>
      <c r="MT1271" s="22"/>
      <c r="MU1271" s="22"/>
      <c r="MV1271" s="22"/>
      <c r="MW1271" s="22"/>
      <c r="MX1271" s="22"/>
      <c r="MY1271" s="22"/>
      <c r="MZ1271" s="22"/>
      <c r="NA1271" s="22"/>
      <c r="NB1271" s="22"/>
      <c r="NC1271" s="22"/>
      <c r="ND1271" s="22"/>
      <c r="NE1271" s="22"/>
      <c r="NF1271" s="22"/>
      <c r="NG1271" s="22"/>
      <c r="NH1271" s="22"/>
      <c r="NI1271" s="22"/>
      <c r="NJ1271" s="22"/>
      <c r="NK1271" s="22"/>
      <c r="NL1271" s="22"/>
      <c r="NM1271" s="22"/>
      <c r="NN1271" s="22"/>
      <c r="NO1271" s="22"/>
      <c r="NP1271" s="22"/>
      <c r="NQ1271" s="22"/>
      <c r="NR1271" s="22"/>
      <c r="NS1271" s="22"/>
      <c r="NT1271" s="22"/>
      <c r="NU1271" s="22"/>
      <c r="NV1271" s="22"/>
      <c r="NW1271" s="22"/>
      <c r="NX1271" s="22"/>
      <c r="NY1271" s="22"/>
      <c r="NZ1271" s="22"/>
      <c r="OA1271" s="22"/>
      <c r="OB1271" s="22"/>
      <c r="OC1271" s="22"/>
      <c r="OD1271" s="22"/>
      <c r="OE1271" s="22"/>
      <c r="OF1271" s="22"/>
      <c r="OG1271" s="22"/>
      <c r="OH1271" s="22"/>
      <c r="OI1271" s="22"/>
      <c r="OJ1271" s="22"/>
      <c r="OK1271" s="22"/>
      <c r="OL1271" s="22"/>
      <c r="OM1271" s="22"/>
      <c r="ON1271" s="22"/>
      <c r="OO1271" s="22"/>
      <c r="OP1271" s="22"/>
      <c r="OQ1271" s="22"/>
      <c r="OR1271" s="22"/>
      <c r="OS1271" s="22"/>
      <c r="OT1271" s="22"/>
      <c r="OU1271" s="22"/>
      <c r="OV1271" s="22"/>
      <c r="OW1271" s="22"/>
      <c r="OX1271" s="22"/>
      <c r="OY1271" s="22"/>
      <c r="OZ1271" s="22"/>
      <c r="PA1271" s="22"/>
      <c r="PB1271" s="22"/>
      <c r="PC1271" s="22"/>
      <c r="PD1271" s="22"/>
      <c r="PE1271" s="22"/>
      <c r="PF1271" s="22"/>
      <c r="PG1271" s="22"/>
      <c r="PH1271" s="22"/>
      <c r="PI1271" s="22"/>
      <c r="PJ1271" s="22"/>
      <c r="PK1271" s="22"/>
      <c r="PL1271" s="22"/>
      <c r="PM1271" s="22"/>
      <c r="PN1271" s="22"/>
      <c r="PO1271" s="22"/>
      <c r="PP1271" s="22"/>
      <c r="PQ1271" s="22"/>
      <c r="PR1271" s="22"/>
      <c r="PS1271" s="22"/>
      <c r="PT1271" s="22"/>
      <c r="PU1271" s="22"/>
      <c r="PV1271" s="22"/>
      <c r="PW1271" s="22"/>
      <c r="PX1271" s="22"/>
      <c r="PY1271" s="22"/>
      <c r="PZ1271" s="22"/>
      <c r="QA1271" s="22"/>
      <c r="QB1271" s="22"/>
      <c r="QC1271" s="22"/>
      <c r="QD1271" s="22"/>
      <c r="QE1271" s="22"/>
      <c r="QF1271" s="22"/>
      <c r="QG1271" s="22"/>
      <c r="QH1271" s="22"/>
      <c r="QI1271" s="22"/>
      <c r="QJ1271" s="22"/>
      <c r="QK1271" s="22"/>
      <c r="QL1271" s="22"/>
      <c r="QM1271" s="22"/>
      <c r="QN1271" s="22"/>
      <c r="QO1271" s="22"/>
      <c r="QP1271" s="22"/>
      <c r="QQ1271" s="22"/>
      <c r="QR1271" s="22"/>
      <c r="QS1271" s="22"/>
      <c r="QT1271" s="22"/>
      <c r="QU1271" s="22"/>
      <c r="QV1271" s="22"/>
      <c r="QW1271" s="22"/>
      <c r="QX1271" s="22"/>
      <c r="QY1271" s="22"/>
      <c r="QZ1271" s="22"/>
      <c r="RA1271" s="22"/>
      <c r="RB1271" s="22"/>
      <c r="RC1271" s="22"/>
      <c r="RD1271" s="22"/>
      <c r="RE1271" s="22"/>
      <c r="RF1271" s="22"/>
      <c r="RG1271" s="22"/>
      <c r="RH1271" s="22"/>
      <c r="RI1271" s="22"/>
      <c r="RJ1271" s="22"/>
      <c r="RK1271" s="22"/>
      <c r="RL1271" s="22"/>
      <c r="RM1271" s="22"/>
      <c r="RN1271" s="22"/>
      <c r="RO1271" s="22"/>
      <c r="RP1271" s="22"/>
      <c r="RQ1271" s="22"/>
      <c r="RR1271" s="22"/>
      <c r="RS1271" s="22"/>
      <c r="RT1271" s="22"/>
      <c r="RU1271" s="22"/>
      <c r="RV1271" s="22"/>
      <c r="RW1271" s="22"/>
      <c r="RX1271" s="22"/>
      <c r="RY1271" s="22"/>
      <c r="RZ1271" s="22"/>
      <c r="SA1271" s="22"/>
      <c r="SB1271" s="22"/>
      <c r="SC1271" s="22"/>
      <c r="SD1271" s="22"/>
      <c r="SE1271" s="22"/>
      <c r="SF1271" s="22"/>
      <c r="SG1271" s="22"/>
      <c r="SH1271" s="22"/>
      <c r="SI1271" s="22"/>
      <c r="SJ1271" s="22"/>
      <c r="SK1271" s="22"/>
      <c r="SL1271" s="22"/>
      <c r="SM1271" s="22"/>
      <c r="SN1271" s="22"/>
      <c r="SO1271" s="22"/>
      <c r="SP1271" s="22"/>
      <c r="SQ1271" s="22"/>
      <c r="SR1271" s="22"/>
      <c r="SS1271" s="22"/>
      <c r="ST1271" s="22"/>
      <c r="SU1271" s="22"/>
      <c r="SV1271" s="22"/>
      <c r="SW1271" s="22"/>
      <c r="SX1271" s="22"/>
      <c r="SY1271" s="22"/>
      <c r="SZ1271" s="22"/>
      <c r="TA1271" s="22"/>
      <c r="TB1271" s="22"/>
      <c r="TC1271" s="22"/>
      <c r="TD1271" s="22"/>
      <c r="TE1271" s="22"/>
      <c r="TF1271" s="22"/>
      <c r="TG1271" s="22"/>
      <c r="TH1271" s="22"/>
      <c r="TI1271" s="22"/>
      <c r="TJ1271" s="22"/>
      <c r="TK1271" s="22"/>
      <c r="TL1271" s="22"/>
      <c r="TM1271" s="22"/>
      <c r="TN1271" s="22"/>
      <c r="TO1271" s="22"/>
      <c r="TP1271" s="22"/>
      <c r="TQ1271" s="22"/>
      <c r="TR1271" s="22"/>
      <c r="TS1271" s="22"/>
      <c r="TT1271" s="22"/>
      <c r="TU1271" s="22"/>
      <c r="TV1271" s="22"/>
      <c r="TW1271" s="22"/>
      <c r="TX1271" s="22"/>
      <c r="TY1271" s="22"/>
      <c r="TZ1271" s="22"/>
      <c r="UA1271" s="22"/>
      <c r="UB1271" s="22"/>
      <c r="UC1271" s="22"/>
      <c r="UD1271" s="22"/>
      <c r="UE1271" s="22"/>
      <c r="UF1271" s="22"/>
      <c r="UG1271" s="23"/>
    </row>
    <row r="1272" spans="1:553" ht="42.75" customHeight="1">
      <c r="A1272" s="366"/>
      <c r="B1272" s="366">
        <v>217</v>
      </c>
      <c r="C1272" s="1535" t="s">
        <v>696</v>
      </c>
      <c r="D1272" s="1389"/>
      <c r="E1272" s="1389"/>
      <c r="F1272" s="1390"/>
      <c r="G1272" s="366" t="s">
        <v>33</v>
      </c>
      <c r="H1272" s="370"/>
      <c r="I1272" s="422">
        <f>(2*2.4)+(1.3*5.4)</f>
        <v>11.82</v>
      </c>
      <c r="J1272" s="368">
        <v>137200</v>
      </c>
      <c r="K1272" s="371"/>
      <c r="L1272" s="487">
        <f t="shared" si="189"/>
        <v>1621704</v>
      </c>
      <c r="M1272" s="366"/>
      <c r="N1272" s="366"/>
      <c r="O1272" s="366"/>
      <c r="P1272" s="366"/>
      <c r="Q1272" s="812"/>
      <c r="R1272" s="1226"/>
      <c r="S1272" s="308"/>
      <c r="T1272" s="308"/>
      <c r="U1272" s="308"/>
      <c r="V1272" s="308"/>
      <c r="W1272" s="308"/>
      <c r="X1272" s="308"/>
      <c r="Y1272" s="308"/>
      <c r="Z1272" s="604"/>
      <c r="AA1272" s="308"/>
      <c r="AB1272" s="308"/>
      <c r="AC1272" s="373"/>
      <c r="AD1272" s="373"/>
      <c r="AE1272" s="373"/>
      <c r="AF1272" s="373"/>
      <c r="AG1272" s="373"/>
      <c r="AH1272" s="373"/>
      <c r="AI1272" s="373"/>
      <c r="AJ1272" s="373"/>
      <c r="AK1272" s="389"/>
      <c r="AL1272" s="100"/>
      <c r="AM1272" s="27"/>
      <c r="AN1272" s="27"/>
      <c r="AO1272" s="27"/>
      <c r="AP1272" s="27"/>
      <c r="AQ1272" s="27"/>
      <c r="AR1272" s="27"/>
      <c r="AS1272" s="22"/>
      <c r="AT1272" s="22"/>
      <c r="AU1272" s="22"/>
      <c r="AV1272" s="22"/>
      <c r="AW1272" s="22"/>
      <c r="AX1272" s="22"/>
      <c r="AY1272" s="22"/>
      <c r="AZ1272" s="22"/>
      <c r="BA1272" s="22"/>
      <c r="BB1272" s="22"/>
      <c r="BC1272" s="22"/>
      <c r="BD1272" s="22"/>
      <c r="BE1272" s="22"/>
      <c r="BF1272" s="22"/>
      <c r="BG1272" s="22"/>
      <c r="BH1272" s="22"/>
      <c r="BI1272" s="22"/>
      <c r="BJ1272" s="22"/>
      <c r="BK1272" s="22"/>
      <c r="BL1272" s="22"/>
      <c r="BM1272" s="22"/>
      <c r="BN1272" s="22"/>
      <c r="BO1272" s="22"/>
      <c r="BP1272" s="22"/>
      <c r="BQ1272" s="22"/>
      <c r="BR1272" s="22"/>
      <c r="BS1272" s="22"/>
      <c r="BT1272" s="22"/>
      <c r="BU1272" s="22"/>
      <c r="BV1272" s="22"/>
      <c r="BW1272" s="22"/>
      <c r="BX1272" s="22"/>
      <c r="BY1272" s="22"/>
      <c r="BZ1272" s="22"/>
      <c r="CA1272" s="22"/>
      <c r="CB1272" s="22"/>
      <c r="CC1272" s="22"/>
      <c r="CD1272" s="22"/>
      <c r="CE1272" s="22"/>
      <c r="CF1272" s="22"/>
      <c r="CG1272" s="22"/>
      <c r="CH1272" s="22"/>
      <c r="CI1272" s="22"/>
      <c r="CJ1272" s="22"/>
      <c r="CK1272" s="22"/>
      <c r="CL1272" s="22"/>
      <c r="CM1272" s="22"/>
      <c r="CN1272" s="22"/>
      <c r="CO1272" s="22"/>
      <c r="CP1272" s="22"/>
      <c r="CQ1272" s="22"/>
      <c r="CR1272" s="22"/>
      <c r="CS1272" s="22"/>
      <c r="CT1272" s="22"/>
      <c r="CU1272" s="22"/>
      <c r="CV1272" s="22"/>
      <c r="CW1272" s="22"/>
      <c r="CX1272" s="22"/>
      <c r="CY1272" s="22"/>
      <c r="CZ1272" s="22"/>
      <c r="DA1272" s="22"/>
      <c r="DB1272" s="22"/>
      <c r="DC1272" s="22"/>
      <c r="DD1272" s="22"/>
      <c r="DE1272" s="22"/>
      <c r="DF1272" s="22"/>
      <c r="DG1272" s="22"/>
      <c r="DH1272" s="22"/>
      <c r="DI1272" s="22"/>
      <c r="DJ1272" s="22"/>
      <c r="DK1272" s="22"/>
      <c r="DL1272" s="22"/>
      <c r="DM1272" s="22"/>
      <c r="DN1272" s="22"/>
      <c r="DO1272" s="22"/>
      <c r="DP1272" s="22"/>
      <c r="DQ1272" s="22"/>
      <c r="DR1272" s="22"/>
      <c r="DS1272" s="22"/>
      <c r="DT1272" s="22"/>
      <c r="DU1272" s="22"/>
      <c r="DV1272" s="22"/>
      <c r="DW1272" s="22"/>
      <c r="DX1272" s="22"/>
      <c r="DY1272" s="22"/>
      <c r="DZ1272" s="22"/>
      <c r="EA1272" s="22"/>
      <c r="EB1272" s="22"/>
      <c r="EC1272" s="22"/>
      <c r="ED1272" s="22"/>
      <c r="EE1272" s="22"/>
      <c r="EF1272" s="22"/>
      <c r="EG1272" s="22"/>
      <c r="EH1272" s="22"/>
      <c r="EI1272" s="22"/>
      <c r="EJ1272" s="22"/>
      <c r="EK1272" s="22"/>
      <c r="EL1272" s="22"/>
      <c r="EM1272" s="22"/>
      <c r="EN1272" s="22"/>
      <c r="EO1272" s="22"/>
      <c r="EP1272" s="22"/>
      <c r="EQ1272" s="22"/>
      <c r="ER1272" s="22"/>
      <c r="ES1272" s="22"/>
      <c r="ET1272" s="22"/>
      <c r="EU1272" s="22"/>
      <c r="EV1272" s="22"/>
      <c r="EW1272" s="22"/>
      <c r="EX1272" s="22"/>
      <c r="EY1272" s="22"/>
      <c r="EZ1272" s="22"/>
      <c r="FA1272" s="22"/>
      <c r="FB1272" s="22"/>
      <c r="FC1272" s="22"/>
      <c r="FD1272" s="22"/>
      <c r="FE1272" s="22"/>
      <c r="FF1272" s="22"/>
      <c r="FG1272" s="22"/>
      <c r="FH1272" s="22"/>
      <c r="FI1272" s="22"/>
      <c r="FJ1272" s="22"/>
      <c r="FK1272" s="22"/>
      <c r="FL1272" s="22"/>
      <c r="FM1272" s="22"/>
      <c r="FN1272" s="22"/>
      <c r="FO1272" s="22"/>
      <c r="FP1272" s="22"/>
      <c r="FQ1272" s="22"/>
      <c r="FR1272" s="22"/>
      <c r="FS1272" s="22"/>
      <c r="FT1272" s="22"/>
      <c r="FU1272" s="22"/>
      <c r="FV1272" s="22"/>
      <c r="FW1272" s="22"/>
      <c r="FX1272" s="22"/>
      <c r="FY1272" s="22"/>
      <c r="FZ1272" s="22"/>
      <c r="GA1272" s="22"/>
      <c r="GB1272" s="22"/>
      <c r="GC1272" s="22"/>
      <c r="GD1272" s="22"/>
      <c r="GE1272" s="22"/>
      <c r="GF1272" s="22"/>
      <c r="GG1272" s="22"/>
      <c r="GH1272" s="22"/>
      <c r="GI1272" s="22"/>
      <c r="GJ1272" s="22"/>
      <c r="GK1272" s="22"/>
      <c r="GL1272" s="22"/>
      <c r="GM1272" s="22"/>
      <c r="GN1272" s="22"/>
      <c r="GO1272" s="22"/>
      <c r="GP1272" s="22"/>
      <c r="GQ1272" s="22"/>
      <c r="GR1272" s="22"/>
      <c r="GS1272" s="22"/>
      <c r="GT1272" s="22"/>
      <c r="GU1272" s="22"/>
      <c r="GV1272" s="22"/>
      <c r="GW1272" s="22"/>
      <c r="GX1272" s="22"/>
      <c r="GY1272" s="22"/>
      <c r="GZ1272" s="22"/>
      <c r="HA1272" s="22"/>
      <c r="HB1272" s="22"/>
      <c r="HC1272" s="22"/>
      <c r="HD1272" s="22"/>
      <c r="HE1272" s="22"/>
      <c r="HF1272" s="22"/>
      <c r="HG1272" s="22"/>
      <c r="HH1272" s="22"/>
      <c r="HI1272" s="22"/>
      <c r="HJ1272" s="22"/>
      <c r="HK1272" s="22"/>
      <c r="HL1272" s="22"/>
      <c r="HM1272" s="22"/>
      <c r="HN1272" s="22"/>
      <c r="HO1272" s="22"/>
      <c r="HP1272" s="22"/>
      <c r="HQ1272" s="22"/>
      <c r="HR1272" s="22"/>
      <c r="HS1272" s="22"/>
      <c r="HT1272" s="22"/>
      <c r="HU1272" s="22"/>
      <c r="HV1272" s="22"/>
      <c r="HW1272" s="22"/>
      <c r="HX1272" s="22"/>
      <c r="HY1272" s="22"/>
      <c r="HZ1272" s="22"/>
      <c r="IA1272" s="22"/>
      <c r="IB1272" s="22"/>
      <c r="IC1272" s="22"/>
      <c r="ID1272" s="22"/>
      <c r="IE1272" s="22"/>
      <c r="IF1272" s="22"/>
      <c r="IG1272" s="22"/>
      <c r="IH1272" s="22"/>
      <c r="II1272" s="22"/>
      <c r="IJ1272" s="22"/>
      <c r="IK1272" s="22"/>
      <c r="IL1272" s="22"/>
      <c r="IM1272" s="22"/>
      <c r="IN1272" s="22"/>
      <c r="IO1272" s="22"/>
      <c r="IP1272" s="22"/>
      <c r="IQ1272" s="22"/>
      <c r="IR1272" s="22"/>
      <c r="IS1272" s="22"/>
      <c r="IT1272" s="22"/>
      <c r="IU1272" s="22"/>
      <c r="IV1272" s="22"/>
      <c r="IW1272" s="22"/>
      <c r="IX1272" s="22"/>
      <c r="IY1272" s="22"/>
      <c r="IZ1272" s="22"/>
      <c r="JA1272" s="22"/>
      <c r="JB1272" s="22"/>
      <c r="JC1272" s="22"/>
      <c r="JD1272" s="22"/>
      <c r="JE1272" s="22"/>
      <c r="JF1272" s="22"/>
      <c r="JG1272" s="22"/>
      <c r="JH1272" s="22"/>
      <c r="JI1272" s="22"/>
      <c r="JJ1272" s="22"/>
      <c r="JK1272" s="22"/>
      <c r="JL1272" s="22"/>
      <c r="JM1272" s="22"/>
      <c r="JN1272" s="22"/>
      <c r="JO1272" s="22"/>
      <c r="JP1272" s="22"/>
      <c r="JQ1272" s="22"/>
      <c r="JR1272" s="22"/>
      <c r="JS1272" s="22"/>
      <c r="JT1272" s="22"/>
      <c r="JU1272" s="22"/>
      <c r="JV1272" s="22"/>
      <c r="JW1272" s="22"/>
      <c r="JX1272" s="22"/>
      <c r="JY1272" s="22"/>
      <c r="JZ1272" s="22"/>
      <c r="KA1272" s="22"/>
      <c r="KB1272" s="22"/>
      <c r="KC1272" s="22"/>
      <c r="KD1272" s="22"/>
      <c r="KE1272" s="22"/>
      <c r="KF1272" s="22"/>
      <c r="KG1272" s="22"/>
      <c r="KH1272" s="22"/>
      <c r="KI1272" s="22"/>
      <c r="KJ1272" s="22"/>
      <c r="KK1272" s="22"/>
      <c r="KL1272" s="22"/>
      <c r="KM1272" s="22"/>
      <c r="KN1272" s="22"/>
      <c r="KO1272" s="22"/>
      <c r="KP1272" s="22"/>
      <c r="KQ1272" s="22"/>
      <c r="KR1272" s="22"/>
      <c r="KS1272" s="22"/>
      <c r="KT1272" s="22"/>
      <c r="KU1272" s="22"/>
      <c r="KV1272" s="22"/>
      <c r="KW1272" s="22"/>
      <c r="KX1272" s="22"/>
      <c r="KY1272" s="22"/>
      <c r="KZ1272" s="22"/>
      <c r="LA1272" s="22"/>
      <c r="LB1272" s="22"/>
      <c r="LC1272" s="22"/>
      <c r="LD1272" s="22"/>
      <c r="LE1272" s="22"/>
      <c r="LF1272" s="22"/>
      <c r="LG1272" s="22"/>
      <c r="LH1272" s="22"/>
      <c r="LI1272" s="22"/>
      <c r="LJ1272" s="22"/>
      <c r="LK1272" s="22"/>
      <c r="LL1272" s="22"/>
      <c r="LM1272" s="22"/>
      <c r="LN1272" s="22"/>
      <c r="LO1272" s="22"/>
      <c r="LP1272" s="22"/>
      <c r="LQ1272" s="22"/>
      <c r="LR1272" s="22"/>
      <c r="LS1272" s="22"/>
      <c r="LT1272" s="22"/>
      <c r="LU1272" s="22"/>
      <c r="LV1272" s="22"/>
      <c r="LW1272" s="22"/>
      <c r="LX1272" s="22"/>
      <c r="LY1272" s="22"/>
      <c r="LZ1272" s="22"/>
      <c r="MA1272" s="22"/>
      <c r="MB1272" s="22"/>
      <c r="MC1272" s="22"/>
      <c r="MD1272" s="22"/>
      <c r="ME1272" s="22"/>
      <c r="MF1272" s="22"/>
      <c r="MG1272" s="22"/>
      <c r="MH1272" s="22"/>
      <c r="MI1272" s="22"/>
      <c r="MJ1272" s="22"/>
      <c r="MK1272" s="22"/>
      <c r="ML1272" s="22"/>
      <c r="MM1272" s="22"/>
      <c r="MN1272" s="22"/>
      <c r="MO1272" s="22"/>
      <c r="MP1272" s="22"/>
      <c r="MQ1272" s="22"/>
      <c r="MR1272" s="22"/>
      <c r="MS1272" s="22"/>
      <c r="MT1272" s="22"/>
      <c r="MU1272" s="22"/>
      <c r="MV1272" s="22"/>
      <c r="MW1272" s="22"/>
      <c r="MX1272" s="22"/>
      <c r="MY1272" s="22"/>
      <c r="MZ1272" s="22"/>
      <c r="NA1272" s="22"/>
      <c r="NB1272" s="22"/>
      <c r="NC1272" s="22"/>
      <c r="ND1272" s="22"/>
      <c r="NE1272" s="22"/>
      <c r="NF1272" s="22"/>
      <c r="NG1272" s="22"/>
      <c r="NH1272" s="22"/>
      <c r="NI1272" s="22"/>
      <c r="NJ1272" s="22"/>
      <c r="NK1272" s="22"/>
      <c r="NL1272" s="22"/>
      <c r="NM1272" s="22"/>
      <c r="NN1272" s="22"/>
      <c r="NO1272" s="22"/>
      <c r="NP1272" s="22"/>
      <c r="NQ1272" s="22"/>
      <c r="NR1272" s="22"/>
      <c r="NS1272" s="22"/>
      <c r="NT1272" s="22"/>
      <c r="NU1272" s="22"/>
      <c r="NV1272" s="22"/>
      <c r="NW1272" s="22"/>
      <c r="NX1272" s="22"/>
      <c r="NY1272" s="22"/>
      <c r="NZ1272" s="22"/>
      <c r="OA1272" s="22"/>
      <c r="OB1272" s="22"/>
      <c r="OC1272" s="22"/>
      <c r="OD1272" s="22"/>
      <c r="OE1272" s="22"/>
      <c r="OF1272" s="22"/>
      <c r="OG1272" s="22"/>
      <c r="OH1272" s="22"/>
      <c r="OI1272" s="22"/>
      <c r="OJ1272" s="22"/>
      <c r="OK1272" s="22"/>
      <c r="OL1272" s="22"/>
      <c r="OM1272" s="22"/>
      <c r="ON1272" s="22"/>
      <c r="OO1272" s="22"/>
      <c r="OP1272" s="22"/>
      <c r="OQ1272" s="22"/>
      <c r="OR1272" s="22"/>
      <c r="OS1272" s="22"/>
      <c r="OT1272" s="22"/>
      <c r="OU1272" s="22"/>
      <c r="OV1272" s="22"/>
      <c r="OW1272" s="22"/>
      <c r="OX1272" s="22"/>
      <c r="OY1272" s="22"/>
      <c r="OZ1272" s="22"/>
      <c r="PA1272" s="22"/>
      <c r="PB1272" s="22"/>
      <c r="PC1272" s="22"/>
      <c r="PD1272" s="22"/>
      <c r="PE1272" s="22"/>
      <c r="PF1272" s="22"/>
      <c r="PG1272" s="22"/>
      <c r="PH1272" s="22"/>
      <c r="PI1272" s="22"/>
      <c r="PJ1272" s="22"/>
      <c r="PK1272" s="22"/>
      <c r="PL1272" s="22"/>
      <c r="PM1272" s="22"/>
      <c r="PN1272" s="22"/>
      <c r="PO1272" s="22"/>
      <c r="PP1272" s="22"/>
      <c r="PQ1272" s="22"/>
      <c r="PR1272" s="22"/>
      <c r="PS1272" s="22"/>
      <c r="PT1272" s="22"/>
      <c r="PU1272" s="22"/>
      <c r="PV1272" s="22"/>
      <c r="PW1272" s="22"/>
      <c r="PX1272" s="22"/>
      <c r="PY1272" s="22"/>
      <c r="PZ1272" s="22"/>
      <c r="QA1272" s="22"/>
      <c r="QB1272" s="22"/>
      <c r="QC1272" s="22"/>
      <c r="QD1272" s="22"/>
      <c r="QE1272" s="22"/>
      <c r="QF1272" s="22"/>
      <c r="QG1272" s="22"/>
      <c r="QH1272" s="22"/>
      <c r="QI1272" s="22"/>
      <c r="QJ1272" s="22"/>
      <c r="QK1272" s="22"/>
      <c r="QL1272" s="22"/>
      <c r="QM1272" s="22"/>
      <c r="QN1272" s="22"/>
      <c r="QO1272" s="22"/>
      <c r="QP1272" s="22"/>
      <c r="QQ1272" s="22"/>
      <c r="QR1272" s="22"/>
      <c r="QS1272" s="22"/>
      <c r="QT1272" s="22"/>
      <c r="QU1272" s="22"/>
      <c r="QV1272" s="22"/>
      <c r="QW1272" s="22"/>
      <c r="QX1272" s="22"/>
      <c r="QY1272" s="22"/>
      <c r="QZ1272" s="22"/>
      <c r="RA1272" s="22"/>
      <c r="RB1272" s="22"/>
      <c r="RC1272" s="22"/>
      <c r="RD1272" s="22"/>
      <c r="RE1272" s="22"/>
      <c r="RF1272" s="22"/>
      <c r="RG1272" s="22"/>
      <c r="RH1272" s="22"/>
      <c r="RI1272" s="22"/>
      <c r="RJ1272" s="22"/>
      <c r="RK1272" s="22"/>
      <c r="RL1272" s="22"/>
      <c r="RM1272" s="22"/>
      <c r="RN1272" s="22"/>
      <c r="RO1272" s="22"/>
      <c r="RP1272" s="22"/>
      <c r="RQ1272" s="22"/>
      <c r="RR1272" s="22"/>
      <c r="RS1272" s="22"/>
      <c r="RT1272" s="22"/>
      <c r="RU1272" s="22"/>
      <c r="RV1272" s="22"/>
      <c r="RW1272" s="22"/>
      <c r="RX1272" s="22"/>
      <c r="RY1272" s="22"/>
      <c r="RZ1272" s="22"/>
      <c r="SA1272" s="22"/>
      <c r="SB1272" s="22"/>
      <c r="SC1272" s="22"/>
      <c r="SD1272" s="22"/>
      <c r="SE1272" s="22"/>
      <c r="SF1272" s="22"/>
      <c r="SG1272" s="22"/>
      <c r="SH1272" s="22"/>
      <c r="SI1272" s="22"/>
      <c r="SJ1272" s="22"/>
      <c r="SK1272" s="22"/>
      <c r="SL1272" s="22"/>
      <c r="SM1272" s="22"/>
      <c r="SN1272" s="22"/>
      <c r="SO1272" s="22"/>
      <c r="SP1272" s="22"/>
      <c r="SQ1272" s="22"/>
      <c r="SR1272" s="22"/>
      <c r="SS1272" s="22"/>
      <c r="ST1272" s="22"/>
      <c r="SU1272" s="22"/>
      <c r="SV1272" s="22"/>
      <c r="SW1272" s="22"/>
      <c r="SX1272" s="22"/>
      <c r="SY1272" s="22"/>
      <c r="SZ1272" s="22"/>
      <c r="TA1272" s="22"/>
      <c r="TB1272" s="22"/>
      <c r="TC1272" s="22"/>
      <c r="TD1272" s="22"/>
      <c r="TE1272" s="22"/>
      <c r="TF1272" s="22"/>
      <c r="TG1272" s="22"/>
      <c r="TH1272" s="22"/>
      <c r="TI1272" s="22"/>
      <c r="TJ1272" s="22"/>
      <c r="TK1272" s="22"/>
      <c r="TL1272" s="22"/>
      <c r="TM1272" s="22"/>
      <c r="TN1272" s="22"/>
      <c r="TO1272" s="22"/>
      <c r="TP1272" s="22"/>
      <c r="TQ1272" s="22"/>
      <c r="TR1272" s="22"/>
      <c r="TS1272" s="22"/>
      <c r="TT1272" s="22"/>
      <c r="TU1272" s="22"/>
      <c r="TV1272" s="22"/>
      <c r="TW1272" s="22"/>
      <c r="TX1272" s="22"/>
      <c r="TY1272" s="22"/>
      <c r="TZ1272" s="22"/>
      <c r="UA1272" s="22"/>
      <c r="UB1272" s="22"/>
      <c r="UC1272" s="22"/>
      <c r="UD1272" s="22"/>
      <c r="UE1272" s="22"/>
      <c r="UF1272" s="22"/>
      <c r="UG1272" s="23"/>
    </row>
    <row r="1273" spans="1:553" ht="42.75" customHeight="1">
      <c r="A1273" s="366"/>
      <c r="B1273" s="366">
        <v>223</v>
      </c>
      <c r="C1273" s="1535" t="s">
        <v>1041</v>
      </c>
      <c r="D1273" s="1389"/>
      <c r="E1273" s="1389"/>
      <c r="F1273" s="1390"/>
      <c r="G1273" s="366" t="s">
        <v>33</v>
      </c>
      <c r="H1273" s="370"/>
      <c r="I1273" s="422">
        <f>2.2*2.3</f>
        <v>5.0599999999999996</v>
      </c>
      <c r="J1273" s="368">
        <v>569800</v>
      </c>
      <c r="K1273" s="371"/>
      <c r="L1273" s="487">
        <f t="shared" si="189"/>
        <v>2883188</v>
      </c>
      <c r="M1273" s="366"/>
      <c r="N1273" s="366"/>
      <c r="O1273" s="366"/>
      <c r="P1273" s="366"/>
      <c r="Q1273" s="812"/>
      <c r="R1273" s="1226"/>
      <c r="S1273" s="308"/>
      <c r="T1273" s="308"/>
      <c r="U1273" s="308"/>
      <c r="V1273" s="308"/>
      <c r="W1273" s="308"/>
      <c r="X1273" s="308"/>
      <c r="Y1273" s="308"/>
      <c r="Z1273" s="604"/>
      <c r="AA1273" s="308"/>
      <c r="AB1273" s="308"/>
      <c r="AC1273" s="373"/>
      <c r="AD1273" s="373"/>
      <c r="AE1273" s="373"/>
      <c r="AF1273" s="373"/>
      <c r="AG1273" s="373"/>
      <c r="AH1273" s="373"/>
      <c r="AI1273" s="373"/>
      <c r="AJ1273" s="373"/>
      <c r="AK1273" s="389"/>
      <c r="AL1273" s="100"/>
      <c r="AM1273" s="27"/>
      <c r="AN1273" s="27"/>
      <c r="AO1273" s="27"/>
      <c r="AP1273" s="27"/>
      <c r="AQ1273" s="27"/>
      <c r="AR1273" s="27"/>
      <c r="AS1273" s="22"/>
      <c r="AT1273" s="22"/>
      <c r="AU1273" s="22"/>
      <c r="AV1273" s="22"/>
      <c r="AW1273" s="22"/>
      <c r="AX1273" s="22"/>
      <c r="AY1273" s="22"/>
      <c r="AZ1273" s="22"/>
      <c r="BA1273" s="22"/>
      <c r="BB1273" s="22"/>
      <c r="BC1273" s="22"/>
      <c r="BD1273" s="22"/>
      <c r="BE1273" s="22"/>
      <c r="BF1273" s="22"/>
      <c r="BG1273" s="22"/>
      <c r="BH1273" s="22"/>
      <c r="BI1273" s="22"/>
      <c r="BJ1273" s="22"/>
      <c r="BK1273" s="22"/>
      <c r="BL1273" s="22"/>
      <c r="BM1273" s="22"/>
      <c r="BN1273" s="22"/>
      <c r="BO1273" s="22"/>
      <c r="BP1273" s="22"/>
      <c r="BQ1273" s="22"/>
      <c r="BR1273" s="22"/>
      <c r="BS1273" s="22"/>
      <c r="BT1273" s="22"/>
      <c r="BU1273" s="22"/>
      <c r="BV1273" s="22"/>
      <c r="BW1273" s="22"/>
      <c r="BX1273" s="22"/>
      <c r="BY1273" s="22"/>
      <c r="BZ1273" s="22"/>
      <c r="CA1273" s="22"/>
      <c r="CB1273" s="22"/>
      <c r="CC1273" s="22"/>
      <c r="CD1273" s="22"/>
      <c r="CE1273" s="22"/>
      <c r="CF1273" s="22"/>
      <c r="CG1273" s="22"/>
      <c r="CH1273" s="22"/>
      <c r="CI1273" s="22"/>
      <c r="CJ1273" s="22"/>
      <c r="CK1273" s="22"/>
      <c r="CL1273" s="22"/>
      <c r="CM1273" s="22"/>
      <c r="CN1273" s="22"/>
      <c r="CO1273" s="22"/>
      <c r="CP1273" s="22"/>
      <c r="CQ1273" s="22"/>
      <c r="CR1273" s="22"/>
      <c r="CS1273" s="22"/>
      <c r="CT1273" s="22"/>
      <c r="CU1273" s="22"/>
      <c r="CV1273" s="22"/>
      <c r="CW1273" s="22"/>
      <c r="CX1273" s="22"/>
      <c r="CY1273" s="22"/>
      <c r="CZ1273" s="22"/>
      <c r="DA1273" s="22"/>
      <c r="DB1273" s="22"/>
      <c r="DC1273" s="22"/>
      <c r="DD1273" s="22"/>
      <c r="DE1273" s="22"/>
      <c r="DF1273" s="22"/>
      <c r="DG1273" s="22"/>
      <c r="DH1273" s="22"/>
      <c r="DI1273" s="22"/>
      <c r="DJ1273" s="22"/>
      <c r="DK1273" s="22"/>
      <c r="DL1273" s="22"/>
      <c r="DM1273" s="22"/>
      <c r="DN1273" s="22"/>
      <c r="DO1273" s="22"/>
      <c r="DP1273" s="22"/>
      <c r="DQ1273" s="22"/>
      <c r="DR1273" s="22"/>
      <c r="DS1273" s="22"/>
      <c r="DT1273" s="22"/>
      <c r="DU1273" s="22"/>
      <c r="DV1273" s="22"/>
      <c r="DW1273" s="22"/>
      <c r="DX1273" s="22"/>
      <c r="DY1273" s="22"/>
      <c r="DZ1273" s="22"/>
      <c r="EA1273" s="22"/>
      <c r="EB1273" s="22"/>
      <c r="EC1273" s="22"/>
      <c r="ED1273" s="22"/>
      <c r="EE1273" s="22"/>
      <c r="EF1273" s="22"/>
      <c r="EG1273" s="22"/>
      <c r="EH1273" s="22"/>
      <c r="EI1273" s="22"/>
      <c r="EJ1273" s="22"/>
      <c r="EK1273" s="22"/>
      <c r="EL1273" s="22"/>
      <c r="EM1273" s="22"/>
      <c r="EN1273" s="22"/>
      <c r="EO1273" s="22"/>
      <c r="EP1273" s="22"/>
      <c r="EQ1273" s="22"/>
      <c r="ER1273" s="22"/>
      <c r="ES1273" s="22"/>
      <c r="ET1273" s="22"/>
      <c r="EU1273" s="22"/>
      <c r="EV1273" s="22"/>
      <c r="EW1273" s="22"/>
      <c r="EX1273" s="22"/>
      <c r="EY1273" s="22"/>
      <c r="EZ1273" s="22"/>
      <c r="FA1273" s="22"/>
      <c r="FB1273" s="22"/>
      <c r="FC1273" s="22"/>
      <c r="FD1273" s="22"/>
      <c r="FE1273" s="22"/>
      <c r="FF1273" s="22"/>
      <c r="FG1273" s="22"/>
      <c r="FH1273" s="22"/>
      <c r="FI1273" s="22"/>
      <c r="FJ1273" s="22"/>
      <c r="FK1273" s="22"/>
      <c r="FL1273" s="22"/>
      <c r="FM1273" s="22"/>
      <c r="FN1273" s="22"/>
      <c r="FO1273" s="22"/>
      <c r="FP1273" s="22"/>
      <c r="FQ1273" s="22"/>
      <c r="FR1273" s="22"/>
      <c r="FS1273" s="22"/>
      <c r="FT1273" s="22"/>
      <c r="FU1273" s="22"/>
      <c r="FV1273" s="22"/>
      <c r="FW1273" s="22"/>
      <c r="FX1273" s="22"/>
      <c r="FY1273" s="22"/>
      <c r="FZ1273" s="22"/>
      <c r="GA1273" s="22"/>
      <c r="GB1273" s="22"/>
      <c r="GC1273" s="22"/>
      <c r="GD1273" s="22"/>
      <c r="GE1273" s="22"/>
      <c r="GF1273" s="22"/>
      <c r="GG1273" s="22"/>
      <c r="GH1273" s="22"/>
      <c r="GI1273" s="22"/>
      <c r="GJ1273" s="22"/>
      <c r="GK1273" s="22"/>
      <c r="GL1273" s="22"/>
      <c r="GM1273" s="22"/>
      <c r="GN1273" s="22"/>
      <c r="GO1273" s="22"/>
      <c r="GP1273" s="22"/>
      <c r="GQ1273" s="22"/>
      <c r="GR1273" s="22"/>
      <c r="GS1273" s="22"/>
      <c r="GT1273" s="22"/>
      <c r="GU1273" s="22"/>
      <c r="GV1273" s="22"/>
      <c r="GW1273" s="22"/>
      <c r="GX1273" s="22"/>
      <c r="GY1273" s="22"/>
      <c r="GZ1273" s="22"/>
      <c r="HA1273" s="22"/>
      <c r="HB1273" s="22"/>
      <c r="HC1273" s="22"/>
      <c r="HD1273" s="22"/>
      <c r="HE1273" s="22"/>
      <c r="HF1273" s="22"/>
      <c r="HG1273" s="22"/>
      <c r="HH1273" s="22"/>
      <c r="HI1273" s="22"/>
      <c r="HJ1273" s="22"/>
      <c r="HK1273" s="22"/>
      <c r="HL1273" s="22"/>
      <c r="HM1273" s="22"/>
      <c r="HN1273" s="22"/>
      <c r="HO1273" s="22"/>
      <c r="HP1273" s="22"/>
      <c r="HQ1273" s="22"/>
      <c r="HR1273" s="22"/>
      <c r="HS1273" s="22"/>
      <c r="HT1273" s="22"/>
      <c r="HU1273" s="22"/>
      <c r="HV1273" s="22"/>
      <c r="HW1273" s="22"/>
      <c r="HX1273" s="22"/>
      <c r="HY1273" s="22"/>
      <c r="HZ1273" s="22"/>
      <c r="IA1273" s="22"/>
      <c r="IB1273" s="22"/>
      <c r="IC1273" s="22"/>
      <c r="ID1273" s="22"/>
      <c r="IE1273" s="22"/>
      <c r="IF1273" s="22"/>
      <c r="IG1273" s="22"/>
      <c r="IH1273" s="22"/>
      <c r="II1273" s="22"/>
      <c r="IJ1273" s="22"/>
      <c r="IK1273" s="22"/>
      <c r="IL1273" s="22"/>
      <c r="IM1273" s="22"/>
      <c r="IN1273" s="22"/>
      <c r="IO1273" s="22"/>
      <c r="IP1273" s="22"/>
      <c r="IQ1273" s="22"/>
      <c r="IR1273" s="22"/>
      <c r="IS1273" s="22"/>
      <c r="IT1273" s="22"/>
      <c r="IU1273" s="22"/>
      <c r="IV1273" s="22"/>
      <c r="IW1273" s="22"/>
      <c r="IX1273" s="22"/>
      <c r="IY1273" s="22"/>
      <c r="IZ1273" s="22"/>
      <c r="JA1273" s="22"/>
      <c r="JB1273" s="22"/>
      <c r="JC1273" s="22"/>
      <c r="JD1273" s="22"/>
      <c r="JE1273" s="22"/>
      <c r="JF1273" s="22"/>
      <c r="JG1273" s="22"/>
      <c r="JH1273" s="22"/>
      <c r="JI1273" s="22"/>
      <c r="JJ1273" s="22"/>
      <c r="JK1273" s="22"/>
      <c r="JL1273" s="22"/>
      <c r="JM1273" s="22"/>
      <c r="JN1273" s="22"/>
      <c r="JO1273" s="22"/>
      <c r="JP1273" s="22"/>
      <c r="JQ1273" s="22"/>
      <c r="JR1273" s="22"/>
      <c r="JS1273" s="22"/>
      <c r="JT1273" s="22"/>
      <c r="JU1273" s="22"/>
      <c r="JV1273" s="22"/>
      <c r="JW1273" s="22"/>
      <c r="JX1273" s="22"/>
      <c r="JY1273" s="22"/>
      <c r="JZ1273" s="22"/>
      <c r="KA1273" s="22"/>
      <c r="KB1273" s="22"/>
      <c r="KC1273" s="22"/>
      <c r="KD1273" s="22"/>
      <c r="KE1273" s="22"/>
      <c r="KF1273" s="22"/>
      <c r="KG1273" s="22"/>
      <c r="KH1273" s="22"/>
      <c r="KI1273" s="22"/>
      <c r="KJ1273" s="22"/>
      <c r="KK1273" s="22"/>
      <c r="KL1273" s="22"/>
      <c r="KM1273" s="22"/>
      <c r="KN1273" s="22"/>
      <c r="KO1273" s="22"/>
      <c r="KP1273" s="22"/>
      <c r="KQ1273" s="22"/>
      <c r="KR1273" s="22"/>
      <c r="KS1273" s="22"/>
      <c r="KT1273" s="22"/>
      <c r="KU1273" s="22"/>
      <c r="KV1273" s="22"/>
      <c r="KW1273" s="22"/>
      <c r="KX1273" s="22"/>
      <c r="KY1273" s="22"/>
      <c r="KZ1273" s="22"/>
      <c r="LA1273" s="22"/>
      <c r="LB1273" s="22"/>
      <c r="LC1273" s="22"/>
      <c r="LD1273" s="22"/>
      <c r="LE1273" s="22"/>
      <c r="LF1273" s="22"/>
      <c r="LG1273" s="22"/>
      <c r="LH1273" s="22"/>
      <c r="LI1273" s="22"/>
      <c r="LJ1273" s="22"/>
      <c r="LK1273" s="22"/>
      <c r="LL1273" s="22"/>
      <c r="LM1273" s="22"/>
      <c r="LN1273" s="22"/>
      <c r="LO1273" s="22"/>
      <c r="LP1273" s="22"/>
      <c r="LQ1273" s="22"/>
      <c r="LR1273" s="22"/>
      <c r="LS1273" s="22"/>
      <c r="LT1273" s="22"/>
      <c r="LU1273" s="22"/>
      <c r="LV1273" s="22"/>
      <c r="LW1273" s="22"/>
      <c r="LX1273" s="22"/>
      <c r="LY1273" s="22"/>
      <c r="LZ1273" s="22"/>
      <c r="MA1273" s="22"/>
      <c r="MB1273" s="22"/>
      <c r="MC1273" s="22"/>
      <c r="MD1273" s="22"/>
      <c r="ME1273" s="22"/>
      <c r="MF1273" s="22"/>
      <c r="MG1273" s="22"/>
      <c r="MH1273" s="22"/>
      <c r="MI1273" s="22"/>
      <c r="MJ1273" s="22"/>
      <c r="MK1273" s="22"/>
      <c r="ML1273" s="22"/>
      <c r="MM1273" s="22"/>
      <c r="MN1273" s="22"/>
      <c r="MO1273" s="22"/>
      <c r="MP1273" s="22"/>
      <c r="MQ1273" s="22"/>
      <c r="MR1273" s="22"/>
      <c r="MS1273" s="22"/>
      <c r="MT1273" s="22"/>
      <c r="MU1273" s="22"/>
      <c r="MV1273" s="22"/>
      <c r="MW1273" s="22"/>
      <c r="MX1273" s="22"/>
      <c r="MY1273" s="22"/>
      <c r="MZ1273" s="22"/>
      <c r="NA1273" s="22"/>
      <c r="NB1273" s="22"/>
      <c r="NC1273" s="22"/>
      <c r="ND1273" s="22"/>
      <c r="NE1273" s="22"/>
      <c r="NF1273" s="22"/>
      <c r="NG1273" s="22"/>
      <c r="NH1273" s="22"/>
      <c r="NI1273" s="22"/>
      <c r="NJ1273" s="22"/>
      <c r="NK1273" s="22"/>
      <c r="NL1273" s="22"/>
      <c r="NM1273" s="22"/>
      <c r="NN1273" s="22"/>
      <c r="NO1273" s="22"/>
      <c r="NP1273" s="22"/>
      <c r="NQ1273" s="22"/>
      <c r="NR1273" s="22"/>
      <c r="NS1273" s="22"/>
      <c r="NT1273" s="22"/>
      <c r="NU1273" s="22"/>
      <c r="NV1273" s="22"/>
      <c r="NW1273" s="22"/>
      <c r="NX1273" s="22"/>
      <c r="NY1273" s="22"/>
      <c r="NZ1273" s="22"/>
      <c r="OA1273" s="22"/>
      <c r="OB1273" s="22"/>
      <c r="OC1273" s="22"/>
      <c r="OD1273" s="22"/>
      <c r="OE1273" s="22"/>
      <c r="OF1273" s="22"/>
      <c r="OG1273" s="22"/>
      <c r="OH1273" s="22"/>
      <c r="OI1273" s="22"/>
      <c r="OJ1273" s="22"/>
      <c r="OK1273" s="22"/>
      <c r="OL1273" s="22"/>
      <c r="OM1273" s="22"/>
      <c r="ON1273" s="22"/>
      <c r="OO1273" s="22"/>
      <c r="OP1273" s="22"/>
      <c r="OQ1273" s="22"/>
      <c r="OR1273" s="22"/>
      <c r="OS1273" s="22"/>
      <c r="OT1273" s="22"/>
      <c r="OU1273" s="22"/>
      <c r="OV1273" s="22"/>
      <c r="OW1273" s="22"/>
      <c r="OX1273" s="22"/>
      <c r="OY1273" s="22"/>
      <c r="OZ1273" s="22"/>
      <c r="PA1273" s="22"/>
      <c r="PB1273" s="22"/>
      <c r="PC1273" s="22"/>
      <c r="PD1273" s="22"/>
      <c r="PE1273" s="22"/>
      <c r="PF1273" s="22"/>
      <c r="PG1273" s="22"/>
      <c r="PH1273" s="22"/>
      <c r="PI1273" s="22"/>
      <c r="PJ1273" s="22"/>
      <c r="PK1273" s="22"/>
      <c r="PL1273" s="22"/>
      <c r="PM1273" s="22"/>
      <c r="PN1273" s="22"/>
      <c r="PO1273" s="22"/>
      <c r="PP1273" s="22"/>
      <c r="PQ1273" s="22"/>
      <c r="PR1273" s="22"/>
      <c r="PS1273" s="22"/>
      <c r="PT1273" s="22"/>
      <c r="PU1273" s="22"/>
      <c r="PV1273" s="22"/>
      <c r="PW1273" s="22"/>
      <c r="PX1273" s="22"/>
      <c r="PY1273" s="22"/>
      <c r="PZ1273" s="22"/>
      <c r="QA1273" s="22"/>
      <c r="QB1273" s="22"/>
      <c r="QC1273" s="22"/>
      <c r="QD1273" s="22"/>
      <c r="QE1273" s="22"/>
      <c r="QF1273" s="22"/>
      <c r="QG1273" s="22"/>
      <c r="QH1273" s="22"/>
      <c r="QI1273" s="22"/>
      <c r="QJ1273" s="22"/>
      <c r="QK1273" s="22"/>
      <c r="QL1273" s="22"/>
      <c r="QM1273" s="22"/>
      <c r="QN1273" s="22"/>
      <c r="QO1273" s="22"/>
      <c r="QP1273" s="22"/>
      <c r="QQ1273" s="22"/>
      <c r="QR1273" s="22"/>
      <c r="QS1273" s="22"/>
      <c r="QT1273" s="22"/>
      <c r="QU1273" s="22"/>
      <c r="QV1273" s="22"/>
      <c r="QW1273" s="22"/>
      <c r="QX1273" s="22"/>
      <c r="QY1273" s="22"/>
      <c r="QZ1273" s="22"/>
      <c r="RA1273" s="22"/>
      <c r="RB1273" s="22"/>
      <c r="RC1273" s="22"/>
      <c r="RD1273" s="22"/>
      <c r="RE1273" s="22"/>
      <c r="RF1273" s="22"/>
      <c r="RG1273" s="22"/>
      <c r="RH1273" s="22"/>
      <c r="RI1273" s="22"/>
      <c r="RJ1273" s="22"/>
      <c r="RK1273" s="22"/>
      <c r="RL1273" s="22"/>
      <c r="RM1273" s="22"/>
      <c r="RN1273" s="22"/>
      <c r="RO1273" s="22"/>
      <c r="RP1273" s="22"/>
      <c r="RQ1273" s="22"/>
      <c r="RR1273" s="22"/>
      <c r="RS1273" s="22"/>
      <c r="RT1273" s="22"/>
      <c r="RU1273" s="22"/>
      <c r="RV1273" s="22"/>
      <c r="RW1273" s="22"/>
      <c r="RX1273" s="22"/>
      <c r="RY1273" s="22"/>
      <c r="RZ1273" s="22"/>
      <c r="SA1273" s="22"/>
      <c r="SB1273" s="22"/>
      <c r="SC1273" s="22"/>
      <c r="SD1273" s="22"/>
      <c r="SE1273" s="22"/>
      <c r="SF1273" s="22"/>
      <c r="SG1273" s="22"/>
      <c r="SH1273" s="22"/>
      <c r="SI1273" s="22"/>
      <c r="SJ1273" s="22"/>
      <c r="SK1273" s="22"/>
      <c r="SL1273" s="22"/>
      <c r="SM1273" s="22"/>
      <c r="SN1273" s="22"/>
      <c r="SO1273" s="22"/>
      <c r="SP1273" s="22"/>
      <c r="SQ1273" s="22"/>
      <c r="SR1273" s="22"/>
      <c r="SS1273" s="22"/>
      <c r="ST1273" s="22"/>
      <c r="SU1273" s="22"/>
      <c r="SV1273" s="22"/>
      <c r="SW1273" s="22"/>
      <c r="SX1273" s="22"/>
      <c r="SY1273" s="22"/>
      <c r="SZ1273" s="22"/>
      <c r="TA1273" s="22"/>
      <c r="TB1273" s="22"/>
      <c r="TC1273" s="22"/>
      <c r="TD1273" s="22"/>
      <c r="TE1273" s="22"/>
      <c r="TF1273" s="22"/>
      <c r="TG1273" s="22"/>
      <c r="TH1273" s="22"/>
      <c r="TI1273" s="22"/>
      <c r="TJ1273" s="22"/>
      <c r="TK1273" s="22"/>
      <c r="TL1273" s="22"/>
      <c r="TM1273" s="22"/>
      <c r="TN1273" s="22"/>
      <c r="TO1273" s="22"/>
      <c r="TP1273" s="22"/>
      <c r="TQ1273" s="22"/>
      <c r="TR1273" s="22"/>
      <c r="TS1273" s="22"/>
      <c r="TT1273" s="22"/>
      <c r="TU1273" s="22"/>
      <c r="TV1273" s="22"/>
      <c r="TW1273" s="22"/>
      <c r="TX1273" s="22"/>
      <c r="TY1273" s="22"/>
      <c r="TZ1273" s="22"/>
      <c r="UA1273" s="22"/>
      <c r="UB1273" s="22"/>
      <c r="UC1273" s="22"/>
      <c r="UD1273" s="22"/>
      <c r="UE1273" s="22"/>
      <c r="UF1273" s="22"/>
      <c r="UG1273" s="23"/>
    </row>
    <row r="1274" spans="1:553" ht="42.75" customHeight="1">
      <c r="A1274" s="366"/>
      <c r="B1274" s="366" t="s">
        <v>31</v>
      </c>
      <c r="C1274" s="1388" t="s">
        <v>697</v>
      </c>
      <c r="D1274" s="1389"/>
      <c r="E1274" s="1389"/>
      <c r="F1274" s="1390"/>
      <c r="G1274" s="366"/>
      <c r="H1274" s="370"/>
      <c r="I1274" s="422"/>
      <c r="J1274" s="368"/>
      <c r="K1274" s="371"/>
      <c r="L1274" s="487"/>
      <c r="M1274" s="366"/>
      <c r="N1274" s="366"/>
      <c r="O1274" s="366"/>
      <c r="P1274" s="366"/>
      <c r="Q1274" s="812"/>
      <c r="R1274" s="1226"/>
      <c r="S1274" s="308"/>
      <c r="T1274" s="308"/>
      <c r="U1274" s="308"/>
      <c r="V1274" s="308"/>
      <c r="W1274" s="308"/>
      <c r="X1274" s="308"/>
      <c r="Y1274" s="308"/>
      <c r="Z1274" s="604"/>
      <c r="AA1274" s="308"/>
      <c r="AB1274" s="308"/>
      <c r="AC1274" s="373"/>
      <c r="AD1274" s="373"/>
      <c r="AE1274" s="373"/>
      <c r="AF1274" s="373"/>
      <c r="AG1274" s="373"/>
      <c r="AH1274" s="373"/>
      <c r="AI1274" s="373"/>
      <c r="AJ1274" s="373"/>
      <c r="AK1274" s="389"/>
      <c r="AL1274" s="100"/>
      <c r="AM1274" s="27"/>
      <c r="AN1274" s="27"/>
      <c r="AO1274" s="27"/>
      <c r="AP1274" s="27"/>
      <c r="AQ1274" s="27"/>
      <c r="AR1274" s="27"/>
      <c r="AS1274" s="22"/>
      <c r="AT1274" s="22"/>
      <c r="AU1274" s="22"/>
      <c r="AV1274" s="22"/>
      <c r="AW1274" s="22"/>
      <c r="AX1274" s="22"/>
      <c r="AY1274" s="22"/>
      <c r="AZ1274" s="22"/>
      <c r="BA1274" s="22"/>
      <c r="BB1274" s="22"/>
      <c r="BC1274" s="22"/>
      <c r="BD1274" s="22"/>
      <c r="BE1274" s="22"/>
      <c r="BF1274" s="22"/>
      <c r="BG1274" s="22"/>
      <c r="BH1274" s="22"/>
      <c r="BI1274" s="22"/>
      <c r="BJ1274" s="22"/>
      <c r="BK1274" s="22"/>
      <c r="BL1274" s="22"/>
      <c r="BM1274" s="22"/>
      <c r="BN1274" s="22"/>
      <c r="BO1274" s="22"/>
      <c r="BP1274" s="22"/>
      <c r="BQ1274" s="22"/>
      <c r="BR1274" s="22"/>
      <c r="BS1274" s="22"/>
      <c r="BT1274" s="22"/>
      <c r="BU1274" s="22"/>
      <c r="BV1274" s="22"/>
      <c r="BW1274" s="22"/>
      <c r="BX1274" s="22"/>
      <c r="BY1274" s="22"/>
      <c r="BZ1274" s="22"/>
      <c r="CA1274" s="22"/>
      <c r="CB1274" s="22"/>
      <c r="CC1274" s="22"/>
      <c r="CD1274" s="22"/>
      <c r="CE1274" s="22"/>
      <c r="CF1274" s="22"/>
      <c r="CG1274" s="22"/>
      <c r="CH1274" s="22"/>
      <c r="CI1274" s="22"/>
      <c r="CJ1274" s="22"/>
      <c r="CK1274" s="22"/>
      <c r="CL1274" s="22"/>
      <c r="CM1274" s="22"/>
      <c r="CN1274" s="22"/>
      <c r="CO1274" s="22"/>
      <c r="CP1274" s="22"/>
      <c r="CQ1274" s="22"/>
      <c r="CR1274" s="22"/>
      <c r="CS1274" s="22"/>
      <c r="CT1274" s="22"/>
      <c r="CU1274" s="22"/>
      <c r="CV1274" s="22"/>
      <c r="CW1274" s="22"/>
      <c r="CX1274" s="22"/>
      <c r="CY1274" s="22"/>
      <c r="CZ1274" s="22"/>
      <c r="DA1274" s="22"/>
      <c r="DB1274" s="22"/>
      <c r="DC1274" s="22"/>
      <c r="DD1274" s="22"/>
      <c r="DE1274" s="22"/>
      <c r="DF1274" s="22"/>
      <c r="DG1274" s="22"/>
      <c r="DH1274" s="22"/>
      <c r="DI1274" s="22"/>
      <c r="DJ1274" s="22"/>
      <c r="DK1274" s="22"/>
      <c r="DL1274" s="22"/>
      <c r="DM1274" s="22"/>
      <c r="DN1274" s="22"/>
      <c r="DO1274" s="22"/>
      <c r="DP1274" s="22"/>
      <c r="DQ1274" s="22"/>
      <c r="DR1274" s="22"/>
      <c r="DS1274" s="22"/>
      <c r="DT1274" s="22"/>
      <c r="DU1274" s="22"/>
      <c r="DV1274" s="22"/>
      <c r="DW1274" s="22"/>
      <c r="DX1274" s="22"/>
      <c r="DY1274" s="22"/>
      <c r="DZ1274" s="22"/>
      <c r="EA1274" s="22"/>
      <c r="EB1274" s="22"/>
      <c r="EC1274" s="22"/>
      <c r="ED1274" s="22"/>
      <c r="EE1274" s="22"/>
      <c r="EF1274" s="22"/>
      <c r="EG1274" s="22"/>
      <c r="EH1274" s="22"/>
      <c r="EI1274" s="22"/>
      <c r="EJ1274" s="22"/>
      <c r="EK1274" s="22"/>
      <c r="EL1274" s="22"/>
      <c r="EM1274" s="22"/>
      <c r="EN1274" s="22"/>
      <c r="EO1274" s="22"/>
      <c r="EP1274" s="22"/>
      <c r="EQ1274" s="22"/>
      <c r="ER1274" s="22"/>
      <c r="ES1274" s="22"/>
      <c r="ET1274" s="22"/>
      <c r="EU1274" s="22"/>
      <c r="EV1274" s="22"/>
      <c r="EW1274" s="22"/>
      <c r="EX1274" s="22"/>
      <c r="EY1274" s="22"/>
      <c r="EZ1274" s="22"/>
      <c r="FA1274" s="22"/>
      <c r="FB1274" s="22"/>
      <c r="FC1274" s="22"/>
      <c r="FD1274" s="22"/>
      <c r="FE1274" s="22"/>
      <c r="FF1274" s="22"/>
      <c r="FG1274" s="22"/>
      <c r="FH1274" s="22"/>
      <c r="FI1274" s="22"/>
      <c r="FJ1274" s="22"/>
      <c r="FK1274" s="22"/>
      <c r="FL1274" s="22"/>
      <c r="FM1274" s="22"/>
      <c r="FN1274" s="22"/>
      <c r="FO1274" s="22"/>
      <c r="FP1274" s="22"/>
      <c r="FQ1274" s="22"/>
      <c r="FR1274" s="22"/>
      <c r="FS1274" s="22"/>
      <c r="FT1274" s="22"/>
      <c r="FU1274" s="22"/>
      <c r="FV1274" s="22"/>
      <c r="FW1274" s="22"/>
      <c r="FX1274" s="22"/>
      <c r="FY1274" s="22"/>
      <c r="FZ1274" s="22"/>
      <c r="GA1274" s="22"/>
      <c r="GB1274" s="22"/>
      <c r="GC1274" s="22"/>
      <c r="GD1274" s="22"/>
      <c r="GE1274" s="22"/>
      <c r="GF1274" s="22"/>
      <c r="GG1274" s="22"/>
      <c r="GH1274" s="22"/>
      <c r="GI1274" s="22"/>
      <c r="GJ1274" s="22"/>
      <c r="GK1274" s="22"/>
      <c r="GL1274" s="22"/>
      <c r="GM1274" s="22"/>
      <c r="GN1274" s="22"/>
      <c r="GO1274" s="22"/>
      <c r="GP1274" s="22"/>
      <c r="GQ1274" s="22"/>
      <c r="GR1274" s="22"/>
      <c r="GS1274" s="22"/>
      <c r="GT1274" s="22"/>
      <c r="GU1274" s="22"/>
      <c r="GV1274" s="22"/>
      <c r="GW1274" s="22"/>
      <c r="GX1274" s="22"/>
      <c r="GY1274" s="22"/>
      <c r="GZ1274" s="22"/>
      <c r="HA1274" s="22"/>
      <c r="HB1274" s="22"/>
      <c r="HC1274" s="22"/>
      <c r="HD1274" s="22"/>
      <c r="HE1274" s="22"/>
      <c r="HF1274" s="22"/>
      <c r="HG1274" s="22"/>
      <c r="HH1274" s="22"/>
      <c r="HI1274" s="22"/>
      <c r="HJ1274" s="22"/>
      <c r="HK1274" s="22"/>
      <c r="HL1274" s="22"/>
      <c r="HM1274" s="22"/>
      <c r="HN1274" s="22"/>
      <c r="HO1274" s="22"/>
      <c r="HP1274" s="22"/>
      <c r="HQ1274" s="22"/>
      <c r="HR1274" s="22"/>
      <c r="HS1274" s="22"/>
      <c r="HT1274" s="22"/>
      <c r="HU1274" s="22"/>
      <c r="HV1274" s="22"/>
      <c r="HW1274" s="22"/>
      <c r="HX1274" s="22"/>
      <c r="HY1274" s="22"/>
      <c r="HZ1274" s="22"/>
      <c r="IA1274" s="22"/>
      <c r="IB1274" s="22"/>
      <c r="IC1274" s="22"/>
      <c r="ID1274" s="22"/>
      <c r="IE1274" s="22"/>
      <c r="IF1274" s="22"/>
      <c r="IG1274" s="22"/>
      <c r="IH1274" s="22"/>
      <c r="II1274" s="22"/>
      <c r="IJ1274" s="22"/>
      <c r="IK1274" s="22"/>
      <c r="IL1274" s="22"/>
      <c r="IM1274" s="22"/>
      <c r="IN1274" s="22"/>
      <c r="IO1274" s="22"/>
      <c r="IP1274" s="22"/>
      <c r="IQ1274" s="22"/>
      <c r="IR1274" s="22"/>
      <c r="IS1274" s="22"/>
      <c r="IT1274" s="22"/>
      <c r="IU1274" s="22"/>
      <c r="IV1274" s="22"/>
      <c r="IW1274" s="22"/>
      <c r="IX1274" s="22"/>
      <c r="IY1274" s="22"/>
      <c r="IZ1274" s="22"/>
      <c r="JA1274" s="22"/>
      <c r="JB1274" s="22"/>
      <c r="JC1274" s="22"/>
      <c r="JD1274" s="22"/>
      <c r="JE1274" s="22"/>
      <c r="JF1274" s="22"/>
      <c r="JG1274" s="22"/>
      <c r="JH1274" s="22"/>
      <c r="JI1274" s="22"/>
      <c r="JJ1274" s="22"/>
      <c r="JK1274" s="22"/>
      <c r="JL1274" s="22"/>
      <c r="JM1274" s="22"/>
      <c r="JN1274" s="22"/>
      <c r="JO1274" s="22"/>
      <c r="JP1274" s="22"/>
      <c r="JQ1274" s="22"/>
      <c r="JR1274" s="22"/>
      <c r="JS1274" s="22"/>
      <c r="JT1274" s="22"/>
      <c r="JU1274" s="22"/>
      <c r="JV1274" s="22"/>
      <c r="JW1274" s="22"/>
      <c r="JX1274" s="22"/>
      <c r="JY1274" s="22"/>
      <c r="JZ1274" s="22"/>
      <c r="KA1274" s="22"/>
      <c r="KB1274" s="22"/>
      <c r="KC1274" s="22"/>
      <c r="KD1274" s="22"/>
      <c r="KE1274" s="22"/>
      <c r="KF1274" s="22"/>
      <c r="KG1274" s="22"/>
      <c r="KH1274" s="22"/>
      <c r="KI1274" s="22"/>
      <c r="KJ1274" s="22"/>
      <c r="KK1274" s="22"/>
      <c r="KL1274" s="22"/>
      <c r="KM1274" s="22"/>
      <c r="KN1274" s="22"/>
      <c r="KO1274" s="22"/>
      <c r="KP1274" s="22"/>
      <c r="KQ1274" s="22"/>
      <c r="KR1274" s="22"/>
      <c r="KS1274" s="22"/>
      <c r="KT1274" s="22"/>
      <c r="KU1274" s="22"/>
      <c r="KV1274" s="22"/>
      <c r="KW1274" s="22"/>
      <c r="KX1274" s="22"/>
      <c r="KY1274" s="22"/>
      <c r="KZ1274" s="22"/>
      <c r="LA1274" s="22"/>
      <c r="LB1274" s="22"/>
      <c r="LC1274" s="22"/>
      <c r="LD1274" s="22"/>
      <c r="LE1274" s="22"/>
      <c r="LF1274" s="22"/>
      <c r="LG1274" s="22"/>
      <c r="LH1274" s="22"/>
      <c r="LI1274" s="22"/>
      <c r="LJ1274" s="22"/>
      <c r="LK1274" s="22"/>
      <c r="LL1274" s="22"/>
      <c r="LM1274" s="22"/>
      <c r="LN1274" s="22"/>
      <c r="LO1274" s="22"/>
      <c r="LP1274" s="22"/>
      <c r="LQ1274" s="22"/>
      <c r="LR1274" s="22"/>
      <c r="LS1274" s="22"/>
      <c r="LT1274" s="22"/>
      <c r="LU1274" s="22"/>
      <c r="LV1274" s="22"/>
      <c r="LW1274" s="22"/>
      <c r="LX1274" s="22"/>
      <c r="LY1274" s="22"/>
      <c r="LZ1274" s="22"/>
      <c r="MA1274" s="22"/>
      <c r="MB1274" s="22"/>
      <c r="MC1274" s="22"/>
      <c r="MD1274" s="22"/>
      <c r="ME1274" s="22"/>
      <c r="MF1274" s="22"/>
      <c r="MG1274" s="22"/>
      <c r="MH1274" s="22"/>
      <c r="MI1274" s="22"/>
      <c r="MJ1274" s="22"/>
      <c r="MK1274" s="22"/>
      <c r="ML1274" s="22"/>
      <c r="MM1274" s="22"/>
      <c r="MN1274" s="22"/>
      <c r="MO1274" s="22"/>
      <c r="MP1274" s="22"/>
      <c r="MQ1274" s="22"/>
      <c r="MR1274" s="22"/>
      <c r="MS1274" s="22"/>
      <c r="MT1274" s="22"/>
      <c r="MU1274" s="22"/>
      <c r="MV1274" s="22"/>
      <c r="MW1274" s="22"/>
      <c r="MX1274" s="22"/>
      <c r="MY1274" s="22"/>
      <c r="MZ1274" s="22"/>
      <c r="NA1274" s="22"/>
      <c r="NB1274" s="22"/>
      <c r="NC1274" s="22"/>
      <c r="ND1274" s="22"/>
      <c r="NE1274" s="22"/>
      <c r="NF1274" s="22"/>
      <c r="NG1274" s="22"/>
      <c r="NH1274" s="22"/>
      <c r="NI1274" s="22"/>
      <c r="NJ1274" s="22"/>
      <c r="NK1274" s="22"/>
      <c r="NL1274" s="22"/>
      <c r="NM1274" s="22"/>
      <c r="NN1274" s="22"/>
      <c r="NO1274" s="22"/>
      <c r="NP1274" s="22"/>
      <c r="NQ1274" s="22"/>
      <c r="NR1274" s="22"/>
      <c r="NS1274" s="22"/>
      <c r="NT1274" s="22"/>
      <c r="NU1274" s="22"/>
      <c r="NV1274" s="22"/>
      <c r="NW1274" s="22"/>
      <c r="NX1274" s="22"/>
      <c r="NY1274" s="22"/>
      <c r="NZ1274" s="22"/>
      <c r="OA1274" s="22"/>
      <c r="OB1274" s="22"/>
      <c r="OC1274" s="22"/>
      <c r="OD1274" s="22"/>
      <c r="OE1274" s="22"/>
      <c r="OF1274" s="22"/>
      <c r="OG1274" s="22"/>
      <c r="OH1274" s="22"/>
      <c r="OI1274" s="22"/>
      <c r="OJ1274" s="22"/>
      <c r="OK1274" s="22"/>
      <c r="OL1274" s="22"/>
      <c r="OM1274" s="22"/>
      <c r="ON1274" s="22"/>
      <c r="OO1274" s="22"/>
      <c r="OP1274" s="22"/>
      <c r="OQ1274" s="22"/>
      <c r="OR1274" s="22"/>
      <c r="OS1274" s="22"/>
      <c r="OT1274" s="22"/>
      <c r="OU1274" s="22"/>
      <c r="OV1274" s="22"/>
      <c r="OW1274" s="22"/>
      <c r="OX1274" s="22"/>
      <c r="OY1274" s="22"/>
      <c r="OZ1274" s="22"/>
      <c r="PA1274" s="22"/>
      <c r="PB1274" s="22"/>
      <c r="PC1274" s="22"/>
      <c r="PD1274" s="22"/>
      <c r="PE1274" s="22"/>
      <c r="PF1274" s="22"/>
      <c r="PG1274" s="22"/>
      <c r="PH1274" s="22"/>
      <c r="PI1274" s="22"/>
      <c r="PJ1274" s="22"/>
      <c r="PK1274" s="22"/>
      <c r="PL1274" s="22"/>
      <c r="PM1274" s="22"/>
      <c r="PN1274" s="22"/>
      <c r="PO1274" s="22"/>
      <c r="PP1274" s="22"/>
      <c r="PQ1274" s="22"/>
      <c r="PR1274" s="22"/>
      <c r="PS1274" s="22"/>
      <c r="PT1274" s="22"/>
      <c r="PU1274" s="22"/>
      <c r="PV1274" s="22"/>
      <c r="PW1274" s="22"/>
      <c r="PX1274" s="22"/>
      <c r="PY1274" s="22"/>
      <c r="PZ1274" s="22"/>
      <c r="QA1274" s="22"/>
      <c r="QB1274" s="22"/>
      <c r="QC1274" s="22"/>
      <c r="QD1274" s="22"/>
      <c r="QE1274" s="22"/>
      <c r="QF1274" s="22"/>
      <c r="QG1274" s="22"/>
      <c r="QH1274" s="22"/>
      <c r="QI1274" s="22"/>
      <c r="QJ1274" s="22"/>
      <c r="QK1274" s="22"/>
      <c r="QL1274" s="22"/>
      <c r="QM1274" s="22"/>
      <c r="QN1274" s="22"/>
      <c r="QO1274" s="22"/>
      <c r="QP1274" s="22"/>
      <c r="QQ1274" s="22"/>
      <c r="QR1274" s="22"/>
      <c r="QS1274" s="22"/>
      <c r="QT1274" s="22"/>
      <c r="QU1274" s="22"/>
      <c r="QV1274" s="22"/>
      <c r="QW1274" s="22"/>
      <c r="QX1274" s="22"/>
      <c r="QY1274" s="22"/>
      <c r="QZ1274" s="22"/>
      <c r="RA1274" s="22"/>
      <c r="RB1274" s="22"/>
      <c r="RC1274" s="22"/>
      <c r="RD1274" s="22"/>
      <c r="RE1274" s="22"/>
      <c r="RF1274" s="22"/>
      <c r="RG1274" s="22"/>
      <c r="RH1274" s="22"/>
      <c r="RI1274" s="22"/>
      <c r="RJ1274" s="22"/>
      <c r="RK1274" s="22"/>
      <c r="RL1274" s="22"/>
      <c r="RM1274" s="22"/>
      <c r="RN1274" s="22"/>
      <c r="RO1274" s="22"/>
      <c r="RP1274" s="22"/>
      <c r="RQ1274" s="22"/>
      <c r="RR1274" s="22"/>
      <c r="RS1274" s="22"/>
      <c r="RT1274" s="22"/>
      <c r="RU1274" s="22"/>
      <c r="RV1274" s="22"/>
      <c r="RW1274" s="22"/>
      <c r="RX1274" s="22"/>
      <c r="RY1274" s="22"/>
      <c r="RZ1274" s="22"/>
      <c r="SA1274" s="22"/>
      <c r="SB1274" s="22"/>
      <c r="SC1274" s="22"/>
      <c r="SD1274" s="22"/>
      <c r="SE1274" s="22"/>
      <c r="SF1274" s="22"/>
      <c r="SG1274" s="22"/>
      <c r="SH1274" s="22"/>
      <c r="SI1274" s="22"/>
      <c r="SJ1274" s="22"/>
      <c r="SK1274" s="22"/>
      <c r="SL1274" s="22"/>
      <c r="SM1274" s="22"/>
      <c r="SN1274" s="22"/>
      <c r="SO1274" s="22"/>
      <c r="SP1274" s="22"/>
      <c r="SQ1274" s="22"/>
      <c r="SR1274" s="22"/>
      <c r="SS1274" s="22"/>
      <c r="ST1274" s="22"/>
      <c r="SU1274" s="22"/>
      <c r="SV1274" s="22"/>
      <c r="SW1274" s="22"/>
      <c r="SX1274" s="22"/>
      <c r="SY1274" s="22"/>
      <c r="SZ1274" s="22"/>
      <c r="TA1274" s="22"/>
      <c r="TB1274" s="22"/>
      <c r="TC1274" s="22"/>
      <c r="TD1274" s="22"/>
      <c r="TE1274" s="22"/>
      <c r="TF1274" s="22"/>
      <c r="TG1274" s="22"/>
      <c r="TH1274" s="22"/>
      <c r="TI1274" s="22"/>
      <c r="TJ1274" s="22"/>
      <c r="TK1274" s="22"/>
      <c r="TL1274" s="22"/>
      <c r="TM1274" s="22"/>
      <c r="TN1274" s="22"/>
      <c r="TO1274" s="22"/>
      <c r="TP1274" s="22"/>
      <c r="TQ1274" s="22"/>
      <c r="TR1274" s="22"/>
      <c r="TS1274" s="22"/>
      <c r="TT1274" s="22"/>
      <c r="TU1274" s="22"/>
      <c r="TV1274" s="22"/>
      <c r="TW1274" s="22"/>
      <c r="TX1274" s="22"/>
      <c r="TY1274" s="22"/>
      <c r="TZ1274" s="22"/>
      <c r="UA1274" s="22"/>
      <c r="UB1274" s="22"/>
      <c r="UC1274" s="22"/>
      <c r="UD1274" s="22"/>
      <c r="UE1274" s="22"/>
      <c r="UF1274" s="22"/>
      <c r="UG1274" s="23"/>
    </row>
    <row r="1275" spans="1:553" ht="42.75" customHeight="1">
      <c r="A1275" s="366"/>
      <c r="B1275" s="385">
        <v>222</v>
      </c>
      <c r="C1275" s="1535" t="s">
        <v>698</v>
      </c>
      <c r="D1275" s="1389"/>
      <c r="E1275" s="1389"/>
      <c r="F1275" s="1390"/>
      <c r="G1275" s="386" t="s">
        <v>682</v>
      </c>
      <c r="H1275" s="370"/>
      <c r="I1275" s="422">
        <v>2</v>
      </c>
      <c r="J1275" s="368">
        <v>2564900</v>
      </c>
      <c r="K1275" s="371"/>
      <c r="L1275" s="487">
        <f t="shared" ref="L1275:L1278" si="191">I1275*J1275</f>
        <v>5129800</v>
      </c>
      <c r="M1275" s="782"/>
      <c r="N1275" s="782"/>
      <c r="O1275" s="366"/>
      <c r="P1275" s="396"/>
      <c r="Q1275" s="473"/>
      <c r="R1275" s="1039"/>
      <c r="S1275" s="308"/>
      <c r="T1275" s="308"/>
      <c r="U1275" s="308"/>
      <c r="V1275" s="308"/>
      <c r="W1275" s="308"/>
      <c r="X1275" s="308"/>
      <c r="Y1275" s="308"/>
      <c r="Z1275" s="604"/>
      <c r="AA1275" s="308"/>
      <c r="AB1275" s="308"/>
      <c r="AC1275" s="373"/>
      <c r="AD1275" s="373"/>
      <c r="AE1275" s="373"/>
      <c r="AF1275" s="373"/>
      <c r="AG1275" s="389"/>
      <c r="AH1275" s="389"/>
      <c r="AI1275" s="389"/>
      <c r="AJ1275" s="389"/>
      <c r="AK1275" s="389"/>
      <c r="AL1275" s="100"/>
      <c r="AM1275" s="27"/>
      <c r="AN1275" s="27"/>
      <c r="AO1275" s="27"/>
      <c r="AP1275" s="27"/>
      <c r="AQ1275" s="22"/>
      <c r="AR1275" s="22"/>
      <c r="AS1275" s="22"/>
      <c r="AT1275" s="22"/>
      <c r="AU1275" s="22"/>
      <c r="AV1275" s="22"/>
      <c r="AW1275" s="22"/>
      <c r="AX1275" s="22"/>
      <c r="AY1275" s="22"/>
      <c r="AZ1275" s="22"/>
      <c r="BA1275" s="22"/>
      <c r="BB1275" s="22"/>
      <c r="BC1275" s="22"/>
      <c r="BD1275" s="22"/>
      <c r="BE1275" s="22"/>
      <c r="BF1275" s="22"/>
      <c r="BG1275" s="22"/>
      <c r="BH1275" s="22"/>
      <c r="BI1275" s="22"/>
      <c r="BJ1275" s="22"/>
      <c r="BK1275" s="22"/>
      <c r="BL1275" s="22"/>
      <c r="BM1275" s="22"/>
      <c r="BN1275" s="22"/>
      <c r="BO1275" s="22"/>
      <c r="BP1275" s="22"/>
      <c r="BQ1275" s="22"/>
      <c r="BR1275" s="22"/>
      <c r="BS1275" s="22"/>
      <c r="BT1275" s="22"/>
      <c r="BU1275" s="22"/>
      <c r="BV1275" s="22"/>
      <c r="BW1275" s="22"/>
      <c r="BX1275" s="22"/>
      <c r="BY1275" s="22"/>
      <c r="BZ1275" s="22"/>
      <c r="CA1275" s="22"/>
      <c r="CB1275" s="22"/>
      <c r="CC1275" s="22"/>
      <c r="CD1275" s="22"/>
      <c r="CE1275" s="22"/>
      <c r="CF1275" s="22"/>
      <c r="CG1275" s="22"/>
      <c r="CH1275" s="22"/>
      <c r="CI1275" s="22"/>
      <c r="CJ1275" s="22"/>
      <c r="CK1275" s="22"/>
      <c r="CL1275" s="22"/>
      <c r="CM1275" s="22"/>
      <c r="CN1275" s="22"/>
      <c r="CO1275" s="22"/>
      <c r="CP1275" s="22"/>
      <c r="CQ1275" s="22"/>
      <c r="CR1275" s="22"/>
      <c r="CS1275" s="22"/>
      <c r="CT1275" s="22"/>
      <c r="CU1275" s="22"/>
      <c r="CV1275" s="22"/>
      <c r="CW1275" s="22"/>
      <c r="CX1275" s="22"/>
      <c r="CY1275" s="22"/>
      <c r="CZ1275" s="22"/>
      <c r="DA1275" s="22"/>
      <c r="DB1275" s="22"/>
      <c r="DC1275" s="22"/>
      <c r="DD1275" s="22"/>
      <c r="DE1275" s="22"/>
      <c r="DF1275" s="22"/>
      <c r="DG1275" s="22"/>
      <c r="DH1275" s="22"/>
      <c r="DI1275" s="22"/>
      <c r="DJ1275" s="22"/>
      <c r="DK1275" s="22"/>
      <c r="DL1275" s="22"/>
      <c r="DM1275" s="22"/>
      <c r="DN1275" s="22"/>
      <c r="DO1275" s="22"/>
      <c r="DP1275" s="22"/>
      <c r="DQ1275" s="22"/>
      <c r="DR1275" s="22"/>
      <c r="DS1275" s="22"/>
      <c r="DT1275" s="22"/>
      <c r="DU1275" s="22"/>
      <c r="DV1275" s="22"/>
      <c r="DW1275" s="22"/>
      <c r="DX1275" s="22"/>
      <c r="DY1275" s="22"/>
      <c r="DZ1275" s="22"/>
      <c r="EA1275" s="22"/>
      <c r="EB1275" s="22"/>
      <c r="EC1275" s="22"/>
      <c r="ED1275" s="22"/>
      <c r="EE1275" s="22"/>
      <c r="EF1275" s="22"/>
      <c r="EG1275" s="22"/>
      <c r="EH1275" s="22"/>
      <c r="EI1275" s="22"/>
      <c r="EJ1275" s="22"/>
      <c r="EK1275" s="22"/>
      <c r="EL1275" s="22"/>
      <c r="EM1275" s="22"/>
      <c r="EN1275" s="22"/>
      <c r="EO1275" s="22"/>
      <c r="EP1275" s="22"/>
      <c r="EQ1275" s="22"/>
      <c r="ER1275" s="22"/>
      <c r="ES1275" s="22"/>
      <c r="ET1275" s="22"/>
      <c r="EU1275" s="22"/>
      <c r="EV1275" s="22"/>
      <c r="EW1275" s="22"/>
      <c r="EX1275" s="22"/>
      <c r="EY1275" s="22"/>
      <c r="EZ1275" s="22"/>
      <c r="FA1275" s="22"/>
      <c r="FB1275" s="22"/>
      <c r="FC1275" s="22"/>
      <c r="FD1275" s="22"/>
      <c r="FE1275" s="22"/>
      <c r="FF1275" s="22"/>
      <c r="FG1275" s="22"/>
      <c r="FH1275" s="22"/>
      <c r="FI1275" s="22"/>
      <c r="FJ1275" s="22"/>
      <c r="FK1275" s="22"/>
      <c r="FL1275" s="22"/>
      <c r="FM1275" s="22"/>
      <c r="FN1275" s="22"/>
      <c r="FO1275" s="22"/>
      <c r="FP1275" s="22"/>
      <c r="FQ1275" s="22"/>
      <c r="FR1275" s="22"/>
      <c r="FS1275" s="22"/>
      <c r="FT1275" s="22"/>
      <c r="FU1275" s="22"/>
      <c r="FV1275" s="22"/>
      <c r="FW1275" s="22"/>
      <c r="FX1275" s="22"/>
      <c r="FY1275" s="22"/>
      <c r="FZ1275" s="22"/>
      <c r="GA1275" s="22"/>
      <c r="GB1275" s="22"/>
      <c r="GC1275" s="22"/>
      <c r="GD1275" s="22"/>
      <c r="GE1275" s="22"/>
      <c r="GF1275" s="22"/>
      <c r="GG1275" s="22"/>
      <c r="GH1275" s="22"/>
      <c r="GI1275" s="22"/>
      <c r="GJ1275" s="22"/>
      <c r="GK1275" s="22"/>
      <c r="GL1275" s="22"/>
      <c r="GM1275" s="22"/>
      <c r="GN1275" s="22"/>
      <c r="GO1275" s="22"/>
      <c r="GP1275" s="22"/>
      <c r="GQ1275" s="22"/>
      <c r="GR1275" s="22"/>
      <c r="GS1275" s="22"/>
      <c r="GT1275" s="22"/>
      <c r="GU1275" s="22"/>
      <c r="GV1275" s="22"/>
      <c r="GW1275" s="22"/>
      <c r="GX1275" s="22"/>
      <c r="GY1275" s="22"/>
      <c r="GZ1275" s="22"/>
      <c r="HA1275" s="22"/>
      <c r="HB1275" s="22"/>
      <c r="HC1275" s="22"/>
      <c r="HD1275" s="22"/>
      <c r="HE1275" s="22"/>
      <c r="HF1275" s="22"/>
      <c r="HG1275" s="22"/>
      <c r="HH1275" s="22"/>
      <c r="HI1275" s="22"/>
      <c r="HJ1275" s="22"/>
      <c r="HK1275" s="22"/>
      <c r="HL1275" s="22"/>
      <c r="HM1275" s="22"/>
      <c r="HN1275" s="22"/>
      <c r="HO1275" s="22"/>
      <c r="HP1275" s="22"/>
      <c r="HQ1275" s="22"/>
      <c r="HR1275" s="22"/>
      <c r="HS1275" s="22"/>
      <c r="HT1275" s="22"/>
      <c r="HU1275" s="22"/>
      <c r="HV1275" s="22"/>
      <c r="HW1275" s="22"/>
      <c r="HX1275" s="22"/>
      <c r="HY1275" s="22"/>
      <c r="HZ1275" s="22"/>
      <c r="IA1275" s="22"/>
      <c r="IB1275" s="22"/>
      <c r="IC1275" s="22"/>
      <c r="ID1275" s="22"/>
      <c r="IE1275" s="22"/>
      <c r="IF1275" s="22"/>
      <c r="IG1275" s="22"/>
      <c r="IH1275" s="22"/>
      <c r="II1275" s="22"/>
      <c r="IJ1275" s="22"/>
      <c r="IK1275" s="22"/>
      <c r="IL1275" s="22"/>
      <c r="IM1275" s="22"/>
      <c r="IN1275" s="22"/>
      <c r="IO1275" s="22"/>
      <c r="IP1275" s="22"/>
      <c r="IQ1275" s="22"/>
      <c r="IR1275" s="22"/>
      <c r="IS1275" s="22"/>
      <c r="IT1275" s="22"/>
      <c r="IU1275" s="22"/>
      <c r="IV1275" s="22"/>
      <c r="IW1275" s="22"/>
      <c r="IX1275" s="22"/>
      <c r="IY1275" s="22"/>
      <c r="IZ1275" s="22"/>
      <c r="JA1275" s="22"/>
      <c r="JB1275" s="22"/>
      <c r="JC1275" s="22"/>
      <c r="JD1275" s="22"/>
      <c r="JE1275" s="22"/>
      <c r="JF1275" s="22"/>
      <c r="JG1275" s="22"/>
      <c r="JH1275" s="22"/>
      <c r="JI1275" s="22"/>
      <c r="JJ1275" s="22"/>
      <c r="JK1275" s="22"/>
      <c r="JL1275" s="22"/>
      <c r="JM1275" s="22"/>
      <c r="JN1275" s="22"/>
      <c r="JO1275" s="22"/>
      <c r="JP1275" s="22"/>
      <c r="JQ1275" s="22"/>
      <c r="JR1275" s="22"/>
      <c r="JS1275" s="22"/>
      <c r="JT1275" s="22"/>
      <c r="JU1275" s="22"/>
      <c r="JV1275" s="22"/>
      <c r="JW1275" s="22"/>
      <c r="JX1275" s="22"/>
      <c r="JY1275" s="22"/>
      <c r="JZ1275" s="22"/>
      <c r="KA1275" s="22"/>
      <c r="KB1275" s="22"/>
      <c r="KC1275" s="22"/>
      <c r="KD1275" s="22"/>
      <c r="KE1275" s="22"/>
      <c r="KF1275" s="22"/>
      <c r="KG1275" s="22"/>
      <c r="KH1275" s="22"/>
      <c r="KI1275" s="22"/>
      <c r="KJ1275" s="22"/>
      <c r="KK1275" s="22"/>
      <c r="KL1275" s="22"/>
      <c r="KM1275" s="22"/>
      <c r="KN1275" s="22"/>
      <c r="KO1275" s="22"/>
      <c r="KP1275" s="22"/>
      <c r="KQ1275" s="22"/>
      <c r="KR1275" s="22"/>
      <c r="KS1275" s="22"/>
      <c r="KT1275" s="22"/>
      <c r="KU1275" s="22"/>
      <c r="KV1275" s="22"/>
      <c r="KW1275" s="22"/>
      <c r="KX1275" s="22"/>
      <c r="KY1275" s="22"/>
      <c r="KZ1275" s="22"/>
      <c r="LA1275" s="22"/>
      <c r="LB1275" s="22"/>
      <c r="LC1275" s="22"/>
      <c r="LD1275" s="22"/>
      <c r="LE1275" s="22"/>
      <c r="LF1275" s="22"/>
      <c r="LG1275" s="22"/>
      <c r="LH1275" s="22"/>
      <c r="LI1275" s="22"/>
      <c r="LJ1275" s="22"/>
      <c r="LK1275" s="22"/>
      <c r="LL1275" s="22"/>
      <c r="LM1275" s="22"/>
      <c r="LN1275" s="22"/>
      <c r="LO1275" s="22"/>
      <c r="LP1275" s="22"/>
      <c r="LQ1275" s="22"/>
      <c r="LR1275" s="22"/>
      <c r="LS1275" s="22"/>
      <c r="LT1275" s="22"/>
      <c r="LU1275" s="22"/>
      <c r="LV1275" s="22"/>
      <c r="LW1275" s="22"/>
      <c r="LX1275" s="22"/>
      <c r="LY1275" s="22"/>
      <c r="LZ1275" s="22"/>
      <c r="MA1275" s="22"/>
      <c r="MB1275" s="22"/>
      <c r="MC1275" s="22"/>
      <c r="MD1275" s="22"/>
      <c r="ME1275" s="22"/>
      <c r="MF1275" s="22"/>
      <c r="MG1275" s="22"/>
      <c r="MH1275" s="22"/>
      <c r="MI1275" s="22"/>
      <c r="MJ1275" s="22"/>
      <c r="MK1275" s="22"/>
      <c r="ML1275" s="22"/>
      <c r="MM1275" s="22"/>
      <c r="MN1275" s="22"/>
      <c r="MO1275" s="22"/>
      <c r="MP1275" s="22"/>
      <c r="MQ1275" s="22"/>
      <c r="MR1275" s="22"/>
      <c r="MS1275" s="22"/>
      <c r="MT1275" s="22"/>
      <c r="MU1275" s="22"/>
      <c r="MV1275" s="22"/>
      <c r="MW1275" s="22"/>
      <c r="MX1275" s="22"/>
      <c r="MY1275" s="22"/>
      <c r="MZ1275" s="22"/>
      <c r="NA1275" s="22"/>
      <c r="NB1275" s="22"/>
      <c r="NC1275" s="22"/>
      <c r="ND1275" s="22"/>
      <c r="NE1275" s="22"/>
      <c r="NF1275" s="22"/>
      <c r="NG1275" s="22"/>
      <c r="NH1275" s="22"/>
      <c r="NI1275" s="22"/>
      <c r="NJ1275" s="22"/>
      <c r="NK1275" s="22"/>
      <c r="NL1275" s="22"/>
      <c r="NM1275" s="22"/>
      <c r="NN1275" s="22"/>
      <c r="NO1275" s="22"/>
      <c r="NP1275" s="22"/>
      <c r="NQ1275" s="22"/>
      <c r="NR1275" s="22"/>
      <c r="NS1275" s="22"/>
      <c r="NT1275" s="22"/>
      <c r="NU1275" s="22"/>
      <c r="NV1275" s="22"/>
      <c r="NW1275" s="22"/>
      <c r="NX1275" s="22"/>
      <c r="NY1275" s="22"/>
      <c r="NZ1275" s="22"/>
      <c r="OA1275" s="22"/>
      <c r="OB1275" s="22"/>
      <c r="OC1275" s="22"/>
      <c r="OD1275" s="22"/>
      <c r="OE1275" s="22"/>
      <c r="OF1275" s="22"/>
      <c r="OG1275" s="22"/>
      <c r="OH1275" s="22"/>
      <c r="OI1275" s="22"/>
      <c r="OJ1275" s="22"/>
      <c r="OK1275" s="22"/>
      <c r="OL1275" s="22"/>
      <c r="OM1275" s="22"/>
      <c r="ON1275" s="22"/>
      <c r="OO1275" s="22"/>
      <c r="OP1275" s="22"/>
      <c r="OQ1275" s="22"/>
      <c r="OR1275" s="22"/>
      <c r="OS1275" s="22"/>
      <c r="OT1275" s="22"/>
      <c r="OU1275" s="22"/>
      <c r="OV1275" s="22"/>
      <c r="OW1275" s="22"/>
      <c r="OX1275" s="22"/>
      <c r="OY1275" s="22"/>
      <c r="OZ1275" s="22"/>
      <c r="PA1275" s="22"/>
      <c r="PB1275" s="22"/>
      <c r="PC1275" s="22"/>
      <c r="PD1275" s="22"/>
      <c r="PE1275" s="22"/>
      <c r="PF1275" s="22"/>
      <c r="PG1275" s="22"/>
      <c r="PH1275" s="22"/>
      <c r="PI1275" s="22"/>
      <c r="PJ1275" s="22"/>
      <c r="PK1275" s="22"/>
      <c r="PL1275" s="22"/>
      <c r="PM1275" s="22"/>
      <c r="PN1275" s="22"/>
      <c r="PO1275" s="22"/>
      <c r="PP1275" s="22"/>
      <c r="PQ1275" s="22"/>
      <c r="PR1275" s="22"/>
      <c r="PS1275" s="22"/>
      <c r="PT1275" s="22"/>
      <c r="PU1275" s="22"/>
      <c r="PV1275" s="22"/>
      <c r="PW1275" s="22"/>
      <c r="PX1275" s="22"/>
      <c r="PY1275" s="22"/>
      <c r="PZ1275" s="22"/>
      <c r="QA1275" s="22"/>
      <c r="QB1275" s="22"/>
      <c r="QC1275" s="22"/>
      <c r="QD1275" s="22"/>
      <c r="QE1275" s="22"/>
      <c r="QF1275" s="22"/>
      <c r="QG1275" s="22"/>
      <c r="QH1275" s="22"/>
      <c r="QI1275" s="22"/>
      <c r="QJ1275" s="22"/>
      <c r="QK1275" s="22"/>
      <c r="QL1275" s="22"/>
      <c r="QM1275" s="22"/>
      <c r="QN1275" s="22"/>
      <c r="QO1275" s="22"/>
      <c r="QP1275" s="22"/>
      <c r="QQ1275" s="22"/>
      <c r="QR1275" s="22"/>
      <c r="QS1275" s="22"/>
      <c r="QT1275" s="22"/>
      <c r="QU1275" s="22"/>
      <c r="QV1275" s="22"/>
      <c r="QW1275" s="22"/>
      <c r="QX1275" s="22"/>
      <c r="QY1275" s="22"/>
      <c r="QZ1275" s="22"/>
      <c r="RA1275" s="22"/>
      <c r="RB1275" s="22"/>
      <c r="RC1275" s="22"/>
      <c r="RD1275" s="22"/>
      <c r="RE1275" s="22"/>
      <c r="RF1275" s="22"/>
      <c r="RG1275" s="22"/>
      <c r="RH1275" s="22"/>
      <c r="RI1275" s="22"/>
      <c r="RJ1275" s="22"/>
      <c r="RK1275" s="22"/>
      <c r="RL1275" s="22"/>
      <c r="RM1275" s="22"/>
      <c r="RN1275" s="22"/>
      <c r="RO1275" s="22"/>
      <c r="RP1275" s="22"/>
      <c r="RQ1275" s="22"/>
      <c r="RR1275" s="22"/>
      <c r="RS1275" s="22"/>
      <c r="RT1275" s="22"/>
      <c r="RU1275" s="22"/>
      <c r="RV1275" s="22"/>
      <c r="RW1275" s="22"/>
      <c r="RX1275" s="22"/>
      <c r="RY1275" s="22"/>
      <c r="RZ1275" s="22"/>
      <c r="SA1275" s="22"/>
      <c r="SB1275" s="22"/>
      <c r="SC1275" s="22"/>
      <c r="SD1275" s="22"/>
      <c r="SE1275" s="22"/>
      <c r="SF1275" s="22"/>
      <c r="SG1275" s="22"/>
      <c r="SH1275" s="22"/>
      <c r="SI1275" s="22"/>
      <c r="SJ1275" s="22"/>
      <c r="SK1275" s="22"/>
      <c r="SL1275" s="22"/>
      <c r="SM1275" s="22"/>
      <c r="SN1275" s="22"/>
      <c r="SO1275" s="22"/>
      <c r="SP1275" s="22"/>
      <c r="SQ1275" s="22"/>
      <c r="SR1275" s="22"/>
      <c r="SS1275" s="22"/>
      <c r="ST1275" s="22"/>
      <c r="SU1275" s="22"/>
      <c r="SV1275" s="22"/>
      <c r="SW1275" s="22"/>
      <c r="SX1275" s="22"/>
      <c r="SY1275" s="22"/>
      <c r="SZ1275" s="22"/>
      <c r="TA1275" s="22"/>
      <c r="TB1275" s="22"/>
      <c r="TC1275" s="22"/>
      <c r="TD1275" s="22"/>
      <c r="TE1275" s="22"/>
      <c r="TF1275" s="22"/>
      <c r="TG1275" s="22"/>
      <c r="TH1275" s="22"/>
      <c r="TI1275" s="22"/>
      <c r="TJ1275" s="22"/>
      <c r="TK1275" s="22"/>
      <c r="TL1275" s="22"/>
      <c r="TM1275" s="22"/>
      <c r="TN1275" s="22"/>
      <c r="TO1275" s="22"/>
      <c r="TP1275" s="22"/>
      <c r="TQ1275" s="22"/>
      <c r="TR1275" s="22"/>
      <c r="TS1275" s="22"/>
      <c r="TT1275" s="22"/>
      <c r="TU1275" s="22"/>
      <c r="TV1275" s="22"/>
      <c r="TW1275" s="22"/>
      <c r="TX1275" s="22"/>
      <c r="TY1275" s="22"/>
      <c r="TZ1275" s="22"/>
      <c r="UA1275" s="22"/>
      <c r="UB1275" s="22"/>
      <c r="UC1275" s="22"/>
      <c r="UD1275" s="22"/>
      <c r="UE1275" s="22"/>
      <c r="UF1275" s="22"/>
      <c r="UG1275" s="23"/>
    </row>
    <row r="1276" spans="1:553" ht="42.75" customHeight="1">
      <c r="A1276" s="366"/>
      <c r="B1276" s="385" t="s">
        <v>31</v>
      </c>
      <c r="C1276" s="1535" t="s">
        <v>699</v>
      </c>
      <c r="D1276" s="1389"/>
      <c r="E1276" s="1389"/>
      <c r="F1276" s="1390"/>
      <c r="G1276" s="386" t="s">
        <v>34</v>
      </c>
      <c r="H1276" s="370"/>
      <c r="I1276" s="422">
        <f>0.33*0.23*1.9*2</f>
        <v>0.28842000000000001</v>
      </c>
      <c r="J1276" s="368">
        <v>1748702</v>
      </c>
      <c r="K1276" s="371"/>
      <c r="L1276" s="487">
        <f t="shared" si="191"/>
        <v>504360.63084</v>
      </c>
      <c r="M1276" s="782"/>
      <c r="N1276" s="782"/>
      <c r="O1276" s="783"/>
      <c r="P1276" s="396"/>
      <c r="Q1276" s="473"/>
      <c r="R1276" s="1039"/>
      <c r="S1276" s="308"/>
      <c r="T1276" s="308"/>
      <c r="U1276" s="308"/>
      <c r="V1276" s="308"/>
      <c r="W1276" s="308"/>
      <c r="X1276" s="308"/>
      <c r="Y1276" s="308"/>
      <c r="Z1276" s="604"/>
      <c r="AA1276" s="308"/>
      <c r="AB1276" s="308"/>
      <c r="AC1276" s="373"/>
      <c r="AD1276" s="373"/>
      <c r="AE1276" s="373"/>
      <c r="AF1276" s="373"/>
      <c r="AG1276" s="389"/>
      <c r="AH1276" s="389"/>
      <c r="AI1276" s="389"/>
      <c r="AJ1276" s="389"/>
      <c r="AK1276" s="389"/>
      <c r="AL1276" s="100"/>
      <c r="AM1276" s="27"/>
      <c r="AN1276" s="27"/>
      <c r="AO1276" s="27"/>
      <c r="AP1276" s="27"/>
      <c r="AQ1276" s="22"/>
      <c r="AR1276" s="22"/>
      <c r="AS1276" s="22"/>
      <c r="AT1276" s="22"/>
      <c r="AU1276" s="22"/>
      <c r="AV1276" s="22"/>
      <c r="AW1276" s="22"/>
      <c r="AX1276" s="22"/>
      <c r="AY1276" s="22"/>
      <c r="AZ1276" s="22"/>
      <c r="BA1276" s="22"/>
      <c r="BB1276" s="22"/>
      <c r="BC1276" s="22"/>
      <c r="BD1276" s="22"/>
      <c r="BE1276" s="22"/>
      <c r="BF1276" s="22"/>
      <c r="BG1276" s="22"/>
      <c r="BH1276" s="22"/>
      <c r="BI1276" s="22"/>
      <c r="BJ1276" s="22"/>
      <c r="BK1276" s="22"/>
      <c r="BL1276" s="22"/>
      <c r="BM1276" s="22"/>
      <c r="BN1276" s="22"/>
      <c r="BO1276" s="22"/>
      <c r="BP1276" s="22"/>
      <c r="BQ1276" s="22"/>
      <c r="BR1276" s="22"/>
      <c r="BS1276" s="22"/>
      <c r="BT1276" s="22"/>
      <c r="BU1276" s="22"/>
      <c r="BV1276" s="22"/>
      <c r="BW1276" s="22"/>
      <c r="BX1276" s="22"/>
      <c r="BY1276" s="22"/>
      <c r="BZ1276" s="22"/>
      <c r="CA1276" s="22"/>
      <c r="CB1276" s="22"/>
      <c r="CC1276" s="22"/>
      <c r="CD1276" s="22"/>
      <c r="CE1276" s="22"/>
      <c r="CF1276" s="22"/>
      <c r="CG1276" s="22"/>
      <c r="CH1276" s="22"/>
      <c r="CI1276" s="22"/>
      <c r="CJ1276" s="22"/>
      <c r="CK1276" s="22"/>
      <c r="CL1276" s="22"/>
      <c r="CM1276" s="22"/>
      <c r="CN1276" s="22"/>
      <c r="CO1276" s="22"/>
      <c r="CP1276" s="22"/>
      <c r="CQ1276" s="22"/>
      <c r="CR1276" s="22"/>
      <c r="CS1276" s="22"/>
      <c r="CT1276" s="22"/>
      <c r="CU1276" s="22"/>
      <c r="CV1276" s="22"/>
      <c r="CW1276" s="22"/>
      <c r="CX1276" s="22"/>
      <c r="CY1276" s="22"/>
      <c r="CZ1276" s="22"/>
      <c r="DA1276" s="22"/>
      <c r="DB1276" s="22"/>
      <c r="DC1276" s="22"/>
      <c r="DD1276" s="22"/>
      <c r="DE1276" s="22"/>
      <c r="DF1276" s="22"/>
      <c r="DG1276" s="22"/>
      <c r="DH1276" s="22"/>
      <c r="DI1276" s="22"/>
      <c r="DJ1276" s="22"/>
      <c r="DK1276" s="22"/>
      <c r="DL1276" s="22"/>
      <c r="DM1276" s="22"/>
      <c r="DN1276" s="22"/>
      <c r="DO1276" s="22"/>
      <c r="DP1276" s="22"/>
      <c r="DQ1276" s="22"/>
      <c r="DR1276" s="22"/>
      <c r="DS1276" s="22"/>
      <c r="DT1276" s="22"/>
      <c r="DU1276" s="22"/>
      <c r="DV1276" s="22"/>
      <c r="DW1276" s="22"/>
      <c r="DX1276" s="22"/>
      <c r="DY1276" s="22"/>
      <c r="DZ1276" s="22"/>
      <c r="EA1276" s="22"/>
      <c r="EB1276" s="22"/>
      <c r="EC1276" s="22"/>
      <c r="ED1276" s="22"/>
      <c r="EE1276" s="22"/>
      <c r="EF1276" s="22"/>
      <c r="EG1276" s="22"/>
      <c r="EH1276" s="22"/>
      <c r="EI1276" s="22"/>
      <c r="EJ1276" s="22"/>
      <c r="EK1276" s="22"/>
      <c r="EL1276" s="22"/>
      <c r="EM1276" s="22"/>
      <c r="EN1276" s="22"/>
      <c r="EO1276" s="22"/>
      <c r="EP1276" s="22"/>
      <c r="EQ1276" s="22"/>
      <c r="ER1276" s="22"/>
      <c r="ES1276" s="22"/>
      <c r="ET1276" s="22"/>
      <c r="EU1276" s="22"/>
      <c r="EV1276" s="22"/>
      <c r="EW1276" s="22"/>
      <c r="EX1276" s="22"/>
      <c r="EY1276" s="22"/>
      <c r="EZ1276" s="22"/>
      <c r="FA1276" s="22"/>
      <c r="FB1276" s="22"/>
      <c r="FC1276" s="22"/>
      <c r="FD1276" s="22"/>
      <c r="FE1276" s="22"/>
      <c r="FF1276" s="22"/>
      <c r="FG1276" s="22"/>
      <c r="FH1276" s="22"/>
      <c r="FI1276" s="22"/>
      <c r="FJ1276" s="22"/>
      <c r="FK1276" s="22"/>
      <c r="FL1276" s="22"/>
      <c r="FM1276" s="22"/>
      <c r="FN1276" s="22"/>
      <c r="FO1276" s="22"/>
      <c r="FP1276" s="22"/>
      <c r="FQ1276" s="22"/>
      <c r="FR1276" s="22"/>
      <c r="FS1276" s="22"/>
      <c r="FT1276" s="22"/>
      <c r="FU1276" s="22"/>
      <c r="FV1276" s="22"/>
      <c r="FW1276" s="22"/>
      <c r="FX1276" s="22"/>
      <c r="FY1276" s="22"/>
      <c r="FZ1276" s="22"/>
      <c r="GA1276" s="22"/>
      <c r="GB1276" s="22"/>
      <c r="GC1276" s="22"/>
      <c r="GD1276" s="22"/>
      <c r="GE1276" s="22"/>
      <c r="GF1276" s="22"/>
      <c r="GG1276" s="22"/>
      <c r="GH1276" s="22"/>
      <c r="GI1276" s="22"/>
      <c r="GJ1276" s="22"/>
      <c r="GK1276" s="22"/>
      <c r="GL1276" s="22"/>
      <c r="GM1276" s="22"/>
      <c r="GN1276" s="22"/>
      <c r="GO1276" s="22"/>
      <c r="GP1276" s="22"/>
      <c r="GQ1276" s="22"/>
      <c r="GR1276" s="22"/>
      <c r="GS1276" s="22"/>
      <c r="GT1276" s="22"/>
      <c r="GU1276" s="22"/>
      <c r="GV1276" s="22"/>
      <c r="GW1276" s="22"/>
      <c r="GX1276" s="22"/>
      <c r="GY1276" s="22"/>
      <c r="GZ1276" s="22"/>
      <c r="HA1276" s="22"/>
      <c r="HB1276" s="22"/>
      <c r="HC1276" s="22"/>
      <c r="HD1276" s="22"/>
      <c r="HE1276" s="22"/>
      <c r="HF1276" s="22"/>
      <c r="HG1276" s="22"/>
      <c r="HH1276" s="22"/>
      <c r="HI1276" s="22"/>
      <c r="HJ1276" s="22"/>
      <c r="HK1276" s="22"/>
      <c r="HL1276" s="22"/>
      <c r="HM1276" s="22"/>
      <c r="HN1276" s="22"/>
      <c r="HO1276" s="22"/>
      <c r="HP1276" s="22"/>
      <c r="HQ1276" s="22"/>
      <c r="HR1276" s="22"/>
      <c r="HS1276" s="22"/>
      <c r="HT1276" s="22"/>
      <c r="HU1276" s="22"/>
      <c r="HV1276" s="22"/>
      <c r="HW1276" s="22"/>
      <c r="HX1276" s="22"/>
      <c r="HY1276" s="22"/>
      <c r="HZ1276" s="22"/>
      <c r="IA1276" s="22"/>
      <c r="IB1276" s="22"/>
      <c r="IC1276" s="22"/>
      <c r="ID1276" s="22"/>
      <c r="IE1276" s="22"/>
      <c r="IF1276" s="22"/>
      <c r="IG1276" s="22"/>
      <c r="IH1276" s="22"/>
      <c r="II1276" s="22"/>
      <c r="IJ1276" s="22"/>
      <c r="IK1276" s="22"/>
      <c r="IL1276" s="22"/>
      <c r="IM1276" s="22"/>
      <c r="IN1276" s="22"/>
      <c r="IO1276" s="22"/>
      <c r="IP1276" s="22"/>
      <c r="IQ1276" s="22"/>
      <c r="IR1276" s="22"/>
      <c r="IS1276" s="22"/>
      <c r="IT1276" s="22"/>
      <c r="IU1276" s="22"/>
      <c r="IV1276" s="22"/>
      <c r="IW1276" s="22"/>
      <c r="IX1276" s="22"/>
      <c r="IY1276" s="22"/>
      <c r="IZ1276" s="22"/>
      <c r="JA1276" s="22"/>
      <c r="JB1276" s="22"/>
      <c r="JC1276" s="22"/>
      <c r="JD1276" s="22"/>
      <c r="JE1276" s="22"/>
      <c r="JF1276" s="22"/>
      <c r="JG1276" s="22"/>
      <c r="JH1276" s="22"/>
      <c r="JI1276" s="22"/>
      <c r="JJ1276" s="22"/>
      <c r="JK1276" s="22"/>
      <c r="JL1276" s="22"/>
      <c r="JM1276" s="22"/>
      <c r="JN1276" s="22"/>
      <c r="JO1276" s="22"/>
      <c r="JP1276" s="22"/>
      <c r="JQ1276" s="22"/>
      <c r="JR1276" s="22"/>
      <c r="JS1276" s="22"/>
      <c r="JT1276" s="22"/>
      <c r="JU1276" s="22"/>
      <c r="JV1276" s="22"/>
      <c r="JW1276" s="22"/>
      <c r="JX1276" s="22"/>
      <c r="JY1276" s="22"/>
      <c r="JZ1276" s="22"/>
      <c r="KA1276" s="22"/>
      <c r="KB1276" s="22"/>
      <c r="KC1276" s="22"/>
      <c r="KD1276" s="22"/>
      <c r="KE1276" s="22"/>
      <c r="KF1276" s="22"/>
      <c r="KG1276" s="22"/>
      <c r="KH1276" s="22"/>
      <c r="KI1276" s="22"/>
      <c r="KJ1276" s="22"/>
      <c r="KK1276" s="22"/>
      <c r="KL1276" s="22"/>
      <c r="KM1276" s="22"/>
      <c r="KN1276" s="22"/>
      <c r="KO1276" s="22"/>
      <c r="KP1276" s="22"/>
      <c r="KQ1276" s="22"/>
      <c r="KR1276" s="22"/>
      <c r="KS1276" s="22"/>
      <c r="KT1276" s="22"/>
      <c r="KU1276" s="22"/>
      <c r="KV1276" s="22"/>
      <c r="KW1276" s="22"/>
      <c r="KX1276" s="22"/>
      <c r="KY1276" s="22"/>
      <c r="KZ1276" s="22"/>
      <c r="LA1276" s="22"/>
      <c r="LB1276" s="22"/>
      <c r="LC1276" s="22"/>
      <c r="LD1276" s="22"/>
      <c r="LE1276" s="22"/>
      <c r="LF1276" s="22"/>
      <c r="LG1276" s="22"/>
      <c r="LH1276" s="22"/>
      <c r="LI1276" s="22"/>
      <c r="LJ1276" s="22"/>
      <c r="LK1276" s="22"/>
      <c r="LL1276" s="22"/>
      <c r="LM1276" s="22"/>
      <c r="LN1276" s="22"/>
      <c r="LO1276" s="22"/>
      <c r="LP1276" s="22"/>
      <c r="LQ1276" s="22"/>
      <c r="LR1276" s="22"/>
      <c r="LS1276" s="22"/>
      <c r="LT1276" s="22"/>
      <c r="LU1276" s="22"/>
      <c r="LV1276" s="22"/>
      <c r="LW1276" s="22"/>
      <c r="LX1276" s="22"/>
      <c r="LY1276" s="22"/>
      <c r="LZ1276" s="22"/>
      <c r="MA1276" s="22"/>
      <c r="MB1276" s="22"/>
      <c r="MC1276" s="22"/>
      <c r="MD1276" s="22"/>
      <c r="ME1276" s="22"/>
      <c r="MF1276" s="22"/>
      <c r="MG1276" s="22"/>
      <c r="MH1276" s="22"/>
      <c r="MI1276" s="22"/>
      <c r="MJ1276" s="22"/>
      <c r="MK1276" s="22"/>
      <c r="ML1276" s="22"/>
      <c r="MM1276" s="22"/>
      <c r="MN1276" s="22"/>
      <c r="MO1276" s="22"/>
      <c r="MP1276" s="22"/>
      <c r="MQ1276" s="22"/>
      <c r="MR1276" s="22"/>
      <c r="MS1276" s="22"/>
      <c r="MT1276" s="22"/>
      <c r="MU1276" s="22"/>
      <c r="MV1276" s="22"/>
      <c r="MW1276" s="22"/>
      <c r="MX1276" s="22"/>
      <c r="MY1276" s="22"/>
      <c r="MZ1276" s="22"/>
      <c r="NA1276" s="22"/>
      <c r="NB1276" s="22"/>
      <c r="NC1276" s="22"/>
      <c r="ND1276" s="22"/>
      <c r="NE1276" s="22"/>
      <c r="NF1276" s="22"/>
      <c r="NG1276" s="22"/>
      <c r="NH1276" s="22"/>
      <c r="NI1276" s="22"/>
      <c r="NJ1276" s="22"/>
      <c r="NK1276" s="22"/>
      <c r="NL1276" s="22"/>
      <c r="NM1276" s="22"/>
      <c r="NN1276" s="22"/>
      <c r="NO1276" s="22"/>
      <c r="NP1276" s="22"/>
      <c r="NQ1276" s="22"/>
      <c r="NR1276" s="22"/>
      <c r="NS1276" s="22"/>
      <c r="NT1276" s="22"/>
      <c r="NU1276" s="22"/>
      <c r="NV1276" s="22"/>
      <c r="NW1276" s="22"/>
      <c r="NX1276" s="22"/>
      <c r="NY1276" s="22"/>
      <c r="NZ1276" s="22"/>
      <c r="OA1276" s="22"/>
      <c r="OB1276" s="22"/>
      <c r="OC1276" s="22"/>
      <c r="OD1276" s="22"/>
      <c r="OE1276" s="22"/>
      <c r="OF1276" s="22"/>
      <c r="OG1276" s="22"/>
      <c r="OH1276" s="22"/>
      <c r="OI1276" s="22"/>
      <c r="OJ1276" s="22"/>
      <c r="OK1276" s="22"/>
      <c r="OL1276" s="22"/>
      <c r="OM1276" s="22"/>
      <c r="ON1276" s="22"/>
      <c r="OO1276" s="22"/>
      <c r="OP1276" s="22"/>
      <c r="OQ1276" s="22"/>
      <c r="OR1276" s="22"/>
      <c r="OS1276" s="22"/>
      <c r="OT1276" s="22"/>
      <c r="OU1276" s="22"/>
      <c r="OV1276" s="22"/>
      <c r="OW1276" s="22"/>
      <c r="OX1276" s="22"/>
      <c r="OY1276" s="22"/>
      <c r="OZ1276" s="22"/>
      <c r="PA1276" s="22"/>
      <c r="PB1276" s="22"/>
      <c r="PC1276" s="22"/>
      <c r="PD1276" s="22"/>
      <c r="PE1276" s="22"/>
      <c r="PF1276" s="22"/>
      <c r="PG1276" s="22"/>
      <c r="PH1276" s="22"/>
      <c r="PI1276" s="22"/>
      <c r="PJ1276" s="22"/>
      <c r="PK1276" s="22"/>
      <c r="PL1276" s="22"/>
      <c r="PM1276" s="22"/>
      <c r="PN1276" s="22"/>
      <c r="PO1276" s="22"/>
      <c r="PP1276" s="22"/>
      <c r="PQ1276" s="22"/>
      <c r="PR1276" s="22"/>
      <c r="PS1276" s="22"/>
      <c r="PT1276" s="22"/>
      <c r="PU1276" s="22"/>
      <c r="PV1276" s="22"/>
      <c r="PW1276" s="22"/>
      <c r="PX1276" s="22"/>
      <c r="PY1276" s="22"/>
      <c r="PZ1276" s="22"/>
      <c r="QA1276" s="22"/>
      <c r="QB1276" s="22"/>
      <c r="QC1276" s="22"/>
      <c r="QD1276" s="22"/>
      <c r="QE1276" s="22"/>
      <c r="QF1276" s="22"/>
      <c r="QG1276" s="22"/>
      <c r="QH1276" s="22"/>
      <c r="QI1276" s="22"/>
      <c r="QJ1276" s="22"/>
      <c r="QK1276" s="22"/>
      <c r="QL1276" s="22"/>
      <c r="QM1276" s="22"/>
      <c r="QN1276" s="22"/>
      <c r="QO1276" s="22"/>
      <c r="QP1276" s="22"/>
      <c r="QQ1276" s="22"/>
      <c r="QR1276" s="22"/>
      <c r="QS1276" s="22"/>
      <c r="QT1276" s="22"/>
      <c r="QU1276" s="22"/>
      <c r="QV1276" s="22"/>
      <c r="QW1276" s="22"/>
      <c r="QX1276" s="22"/>
      <c r="QY1276" s="22"/>
      <c r="QZ1276" s="22"/>
      <c r="RA1276" s="22"/>
      <c r="RB1276" s="22"/>
      <c r="RC1276" s="22"/>
      <c r="RD1276" s="22"/>
      <c r="RE1276" s="22"/>
      <c r="RF1276" s="22"/>
      <c r="RG1276" s="22"/>
      <c r="RH1276" s="22"/>
      <c r="RI1276" s="22"/>
      <c r="RJ1276" s="22"/>
      <c r="RK1276" s="22"/>
      <c r="RL1276" s="22"/>
      <c r="RM1276" s="22"/>
      <c r="RN1276" s="22"/>
      <c r="RO1276" s="22"/>
      <c r="RP1276" s="22"/>
      <c r="RQ1276" s="22"/>
      <c r="RR1276" s="22"/>
      <c r="RS1276" s="22"/>
      <c r="RT1276" s="22"/>
      <c r="RU1276" s="22"/>
      <c r="RV1276" s="22"/>
      <c r="RW1276" s="22"/>
      <c r="RX1276" s="22"/>
      <c r="RY1276" s="22"/>
      <c r="RZ1276" s="22"/>
      <c r="SA1276" s="22"/>
      <c r="SB1276" s="22"/>
      <c r="SC1276" s="22"/>
      <c r="SD1276" s="22"/>
      <c r="SE1276" s="22"/>
      <c r="SF1276" s="22"/>
      <c r="SG1276" s="22"/>
      <c r="SH1276" s="22"/>
      <c r="SI1276" s="22"/>
      <c r="SJ1276" s="22"/>
      <c r="SK1276" s="22"/>
      <c r="SL1276" s="22"/>
      <c r="SM1276" s="22"/>
      <c r="SN1276" s="22"/>
      <c r="SO1276" s="22"/>
      <c r="SP1276" s="22"/>
      <c r="SQ1276" s="22"/>
      <c r="SR1276" s="22"/>
      <c r="SS1276" s="22"/>
      <c r="ST1276" s="22"/>
      <c r="SU1276" s="22"/>
      <c r="SV1276" s="22"/>
      <c r="SW1276" s="22"/>
      <c r="SX1276" s="22"/>
      <c r="SY1276" s="22"/>
      <c r="SZ1276" s="22"/>
      <c r="TA1276" s="22"/>
      <c r="TB1276" s="22"/>
      <c r="TC1276" s="22"/>
      <c r="TD1276" s="22"/>
      <c r="TE1276" s="22"/>
      <c r="TF1276" s="22"/>
      <c r="TG1276" s="22"/>
      <c r="TH1276" s="22"/>
      <c r="TI1276" s="22"/>
      <c r="TJ1276" s="22"/>
      <c r="TK1276" s="22"/>
      <c r="TL1276" s="22"/>
      <c r="TM1276" s="22"/>
      <c r="TN1276" s="22"/>
      <c r="TO1276" s="22"/>
      <c r="TP1276" s="22"/>
      <c r="TQ1276" s="22"/>
      <c r="TR1276" s="22"/>
      <c r="TS1276" s="22"/>
      <c r="TT1276" s="22"/>
      <c r="TU1276" s="22"/>
      <c r="TV1276" s="22"/>
      <c r="TW1276" s="22"/>
      <c r="TX1276" s="22"/>
      <c r="TY1276" s="22"/>
      <c r="TZ1276" s="22"/>
      <c r="UA1276" s="22"/>
      <c r="UB1276" s="22"/>
      <c r="UC1276" s="22"/>
      <c r="UD1276" s="22"/>
      <c r="UE1276" s="22"/>
      <c r="UF1276" s="22"/>
      <c r="UG1276" s="23"/>
    </row>
    <row r="1277" spans="1:553" ht="42.75" customHeight="1">
      <c r="A1277" s="366"/>
      <c r="B1277" s="385">
        <v>177</v>
      </c>
      <c r="C1277" s="1535" t="s">
        <v>700</v>
      </c>
      <c r="D1277" s="1389"/>
      <c r="E1277" s="1389"/>
      <c r="F1277" s="1390"/>
      <c r="G1277" s="386" t="s">
        <v>113</v>
      </c>
      <c r="H1277" s="370"/>
      <c r="I1277" s="422">
        <v>7</v>
      </c>
      <c r="J1277" s="368">
        <v>1408200</v>
      </c>
      <c r="K1277" s="371"/>
      <c r="L1277" s="487">
        <f t="shared" si="191"/>
        <v>9857400</v>
      </c>
      <c r="M1277" s="782"/>
      <c r="N1277" s="782"/>
      <c r="O1277" s="366"/>
      <c r="P1277" s="396"/>
      <c r="Q1277" s="473"/>
      <c r="R1277" s="1039"/>
      <c r="S1277" s="308"/>
      <c r="T1277" s="308"/>
      <c r="U1277" s="308"/>
      <c r="V1277" s="308"/>
      <c r="W1277" s="308"/>
      <c r="X1277" s="308"/>
      <c r="Y1277" s="308"/>
      <c r="Z1277" s="604"/>
      <c r="AA1277" s="308"/>
      <c r="AB1277" s="308"/>
      <c r="AC1277" s="373"/>
      <c r="AD1277" s="373"/>
      <c r="AE1277" s="373"/>
      <c r="AF1277" s="373"/>
      <c r="AG1277" s="389"/>
      <c r="AH1277" s="389"/>
      <c r="AI1277" s="389"/>
      <c r="AJ1277" s="389"/>
      <c r="AK1277" s="389"/>
      <c r="AL1277" s="100"/>
      <c r="AM1277" s="27"/>
      <c r="AN1277" s="27"/>
      <c r="AO1277" s="27"/>
      <c r="AP1277" s="27"/>
      <c r="AQ1277" s="22"/>
      <c r="AR1277" s="22"/>
      <c r="AS1277" s="22"/>
      <c r="AT1277" s="22"/>
      <c r="AU1277" s="22"/>
      <c r="AV1277" s="22"/>
      <c r="AW1277" s="22"/>
      <c r="AX1277" s="22"/>
      <c r="AY1277" s="22"/>
      <c r="AZ1277" s="22"/>
      <c r="BA1277" s="22"/>
      <c r="BB1277" s="22"/>
      <c r="BC1277" s="22"/>
      <c r="BD1277" s="22"/>
      <c r="BE1277" s="22"/>
      <c r="BF1277" s="22"/>
      <c r="BG1277" s="22"/>
      <c r="BH1277" s="22"/>
      <c r="BI1277" s="22"/>
      <c r="BJ1277" s="22"/>
      <c r="BK1277" s="22"/>
      <c r="BL1277" s="22"/>
      <c r="BM1277" s="22"/>
      <c r="BN1277" s="22"/>
      <c r="BO1277" s="22"/>
      <c r="BP1277" s="22"/>
      <c r="BQ1277" s="22"/>
      <c r="BR1277" s="22"/>
      <c r="BS1277" s="22"/>
      <c r="BT1277" s="22"/>
      <c r="BU1277" s="22"/>
      <c r="BV1277" s="22"/>
      <c r="BW1277" s="22"/>
      <c r="BX1277" s="22"/>
      <c r="BY1277" s="22"/>
      <c r="BZ1277" s="22"/>
      <c r="CA1277" s="22"/>
      <c r="CB1277" s="22"/>
      <c r="CC1277" s="22"/>
      <c r="CD1277" s="22"/>
      <c r="CE1277" s="22"/>
      <c r="CF1277" s="22"/>
      <c r="CG1277" s="22"/>
      <c r="CH1277" s="22"/>
      <c r="CI1277" s="22"/>
      <c r="CJ1277" s="22"/>
      <c r="CK1277" s="22"/>
      <c r="CL1277" s="22"/>
      <c r="CM1277" s="22"/>
      <c r="CN1277" s="22"/>
      <c r="CO1277" s="22"/>
      <c r="CP1277" s="22"/>
      <c r="CQ1277" s="22"/>
      <c r="CR1277" s="22"/>
      <c r="CS1277" s="22"/>
      <c r="CT1277" s="22"/>
      <c r="CU1277" s="22"/>
      <c r="CV1277" s="22"/>
      <c r="CW1277" s="22"/>
      <c r="CX1277" s="22"/>
      <c r="CY1277" s="22"/>
      <c r="CZ1277" s="22"/>
      <c r="DA1277" s="22"/>
      <c r="DB1277" s="22"/>
      <c r="DC1277" s="22"/>
      <c r="DD1277" s="22"/>
      <c r="DE1277" s="22"/>
      <c r="DF1277" s="22"/>
      <c r="DG1277" s="22"/>
      <c r="DH1277" s="22"/>
      <c r="DI1277" s="22"/>
      <c r="DJ1277" s="22"/>
      <c r="DK1277" s="22"/>
      <c r="DL1277" s="22"/>
      <c r="DM1277" s="22"/>
      <c r="DN1277" s="22"/>
      <c r="DO1277" s="22"/>
      <c r="DP1277" s="22"/>
      <c r="DQ1277" s="22"/>
      <c r="DR1277" s="22"/>
      <c r="DS1277" s="22"/>
      <c r="DT1277" s="22"/>
      <c r="DU1277" s="22"/>
      <c r="DV1277" s="22"/>
      <c r="DW1277" s="22"/>
      <c r="DX1277" s="22"/>
      <c r="DY1277" s="22"/>
      <c r="DZ1277" s="22"/>
      <c r="EA1277" s="22"/>
      <c r="EB1277" s="22"/>
      <c r="EC1277" s="22"/>
      <c r="ED1277" s="22"/>
      <c r="EE1277" s="22"/>
      <c r="EF1277" s="22"/>
      <c r="EG1277" s="22"/>
      <c r="EH1277" s="22"/>
      <c r="EI1277" s="22"/>
      <c r="EJ1277" s="22"/>
      <c r="EK1277" s="22"/>
      <c r="EL1277" s="22"/>
      <c r="EM1277" s="22"/>
      <c r="EN1277" s="22"/>
      <c r="EO1277" s="22"/>
      <c r="EP1277" s="22"/>
      <c r="EQ1277" s="22"/>
      <c r="ER1277" s="22"/>
      <c r="ES1277" s="22"/>
      <c r="ET1277" s="22"/>
      <c r="EU1277" s="22"/>
      <c r="EV1277" s="22"/>
      <c r="EW1277" s="22"/>
      <c r="EX1277" s="22"/>
      <c r="EY1277" s="22"/>
      <c r="EZ1277" s="22"/>
      <c r="FA1277" s="22"/>
      <c r="FB1277" s="22"/>
      <c r="FC1277" s="22"/>
      <c r="FD1277" s="22"/>
      <c r="FE1277" s="22"/>
      <c r="FF1277" s="22"/>
      <c r="FG1277" s="22"/>
      <c r="FH1277" s="22"/>
      <c r="FI1277" s="22"/>
      <c r="FJ1277" s="22"/>
      <c r="FK1277" s="22"/>
      <c r="FL1277" s="22"/>
      <c r="FM1277" s="22"/>
      <c r="FN1277" s="22"/>
      <c r="FO1277" s="22"/>
      <c r="FP1277" s="22"/>
      <c r="FQ1277" s="22"/>
      <c r="FR1277" s="22"/>
      <c r="FS1277" s="22"/>
      <c r="FT1277" s="22"/>
      <c r="FU1277" s="22"/>
      <c r="FV1277" s="22"/>
      <c r="FW1277" s="22"/>
      <c r="FX1277" s="22"/>
      <c r="FY1277" s="22"/>
      <c r="FZ1277" s="22"/>
      <c r="GA1277" s="22"/>
      <c r="GB1277" s="22"/>
      <c r="GC1277" s="22"/>
      <c r="GD1277" s="22"/>
      <c r="GE1277" s="22"/>
      <c r="GF1277" s="22"/>
      <c r="GG1277" s="22"/>
      <c r="GH1277" s="22"/>
      <c r="GI1277" s="22"/>
      <c r="GJ1277" s="22"/>
      <c r="GK1277" s="22"/>
      <c r="GL1277" s="22"/>
      <c r="GM1277" s="22"/>
      <c r="GN1277" s="22"/>
      <c r="GO1277" s="22"/>
      <c r="GP1277" s="22"/>
      <c r="GQ1277" s="22"/>
      <c r="GR1277" s="22"/>
      <c r="GS1277" s="22"/>
      <c r="GT1277" s="22"/>
      <c r="GU1277" s="22"/>
      <c r="GV1277" s="22"/>
      <c r="GW1277" s="22"/>
      <c r="GX1277" s="22"/>
      <c r="GY1277" s="22"/>
      <c r="GZ1277" s="22"/>
      <c r="HA1277" s="22"/>
      <c r="HB1277" s="22"/>
      <c r="HC1277" s="22"/>
      <c r="HD1277" s="22"/>
      <c r="HE1277" s="22"/>
      <c r="HF1277" s="22"/>
      <c r="HG1277" s="22"/>
      <c r="HH1277" s="22"/>
      <c r="HI1277" s="22"/>
      <c r="HJ1277" s="22"/>
      <c r="HK1277" s="22"/>
      <c r="HL1277" s="22"/>
      <c r="HM1277" s="22"/>
      <c r="HN1277" s="22"/>
      <c r="HO1277" s="22"/>
      <c r="HP1277" s="22"/>
      <c r="HQ1277" s="22"/>
      <c r="HR1277" s="22"/>
      <c r="HS1277" s="22"/>
      <c r="HT1277" s="22"/>
      <c r="HU1277" s="22"/>
      <c r="HV1277" s="22"/>
      <c r="HW1277" s="22"/>
      <c r="HX1277" s="22"/>
      <c r="HY1277" s="22"/>
      <c r="HZ1277" s="22"/>
      <c r="IA1277" s="22"/>
      <c r="IB1277" s="22"/>
      <c r="IC1277" s="22"/>
      <c r="ID1277" s="22"/>
      <c r="IE1277" s="22"/>
      <c r="IF1277" s="22"/>
      <c r="IG1277" s="22"/>
      <c r="IH1277" s="22"/>
      <c r="II1277" s="22"/>
      <c r="IJ1277" s="22"/>
      <c r="IK1277" s="22"/>
      <c r="IL1277" s="22"/>
      <c r="IM1277" s="22"/>
      <c r="IN1277" s="22"/>
      <c r="IO1277" s="22"/>
      <c r="IP1277" s="22"/>
      <c r="IQ1277" s="22"/>
      <c r="IR1277" s="22"/>
      <c r="IS1277" s="22"/>
      <c r="IT1277" s="22"/>
      <c r="IU1277" s="22"/>
      <c r="IV1277" s="22"/>
      <c r="IW1277" s="22"/>
      <c r="IX1277" s="22"/>
      <c r="IY1277" s="22"/>
      <c r="IZ1277" s="22"/>
      <c r="JA1277" s="22"/>
      <c r="JB1277" s="22"/>
      <c r="JC1277" s="22"/>
      <c r="JD1277" s="22"/>
      <c r="JE1277" s="22"/>
      <c r="JF1277" s="22"/>
      <c r="JG1277" s="22"/>
      <c r="JH1277" s="22"/>
      <c r="JI1277" s="22"/>
      <c r="JJ1277" s="22"/>
      <c r="JK1277" s="22"/>
      <c r="JL1277" s="22"/>
      <c r="JM1277" s="22"/>
      <c r="JN1277" s="22"/>
      <c r="JO1277" s="22"/>
      <c r="JP1277" s="22"/>
      <c r="JQ1277" s="22"/>
      <c r="JR1277" s="22"/>
      <c r="JS1277" s="22"/>
      <c r="JT1277" s="22"/>
      <c r="JU1277" s="22"/>
      <c r="JV1277" s="22"/>
      <c r="JW1277" s="22"/>
      <c r="JX1277" s="22"/>
      <c r="JY1277" s="22"/>
      <c r="JZ1277" s="22"/>
      <c r="KA1277" s="22"/>
      <c r="KB1277" s="22"/>
      <c r="KC1277" s="22"/>
      <c r="KD1277" s="22"/>
      <c r="KE1277" s="22"/>
      <c r="KF1277" s="22"/>
      <c r="KG1277" s="22"/>
      <c r="KH1277" s="22"/>
      <c r="KI1277" s="22"/>
      <c r="KJ1277" s="22"/>
      <c r="KK1277" s="22"/>
      <c r="KL1277" s="22"/>
      <c r="KM1277" s="22"/>
      <c r="KN1277" s="22"/>
      <c r="KO1277" s="22"/>
      <c r="KP1277" s="22"/>
      <c r="KQ1277" s="22"/>
      <c r="KR1277" s="22"/>
      <c r="KS1277" s="22"/>
      <c r="KT1277" s="22"/>
      <c r="KU1277" s="22"/>
      <c r="KV1277" s="22"/>
      <c r="KW1277" s="22"/>
      <c r="KX1277" s="22"/>
      <c r="KY1277" s="22"/>
      <c r="KZ1277" s="22"/>
      <c r="LA1277" s="22"/>
      <c r="LB1277" s="22"/>
      <c r="LC1277" s="22"/>
      <c r="LD1277" s="22"/>
      <c r="LE1277" s="22"/>
      <c r="LF1277" s="22"/>
      <c r="LG1277" s="22"/>
      <c r="LH1277" s="22"/>
      <c r="LI1277" s="22"/>
      <c r="LJ1277" s="22"/>
      <c r="LK1277" s="22"/>
      <c r="LL1277" s="22"/>
      <c r="LM1277" s="22"/>
      <c r="LN1277" s="22"/>
      <c r="LO1277" s="22"/>
      <c r="LP1277" s="22"/>
      <c r="LQ1277" s="22"/>
      <c r="LR1277" s="22"/>
      <c r="LS1277" s="22"/>
      <c r="LT1277" s="22"/>
      <c r="LU1277" s="22"/>
      <c r="LV1277" s="22"/>
      <c r="LW1277" s="22"/>
      <c r="LX1277" s="22"/>
      <c r="LY1277" s="22"/>
      <c r="LZ1277" s="22"/>
      <c r="MA1277" s="22"/>
      <c r="MB1277" s="22"/>
      <c r="MC1277" s="22"/>
      <c r="MD1277" s="22"/>
      <c r="ME1277" s="22"/>
      <c r="MF1277" s="22"/>
      <c r="MG1277" s="22"/>
      <c r="MH1277" s="22"/>
      <c r="MI1277" s="22"/>
      <c r="MJ1277" s="22"/>
      <c r="MK1277" s="22"/>
      <c r="ML1277" s="22"/>
      <c r="MM1277" s="22"/>
      <c r="MN1277" s="22"/>
      <c r="MO1277" s="22"/>
      <c r="MP1277" s="22"/>
      <c r="MQ1277" s="22"/>
      <c r="MR1277" s="22"/>
      <c r="MS1277" s="22"/>
      <c r="MT1277" s="22"/>
      <c r="MU1277" s="22"/>
      <c r="MV1277" s="22"/>
      <c r="MW1277" s="22"/>
      <c r="MX1277" s="22"/>
      <c r="MY1277" s="22"/>
      <c r="MZ1277" s="22"/>
      <c r="NA1277" s="22"/>
      <c r="NB1277" s="22"/>
      <c r="NC1277" s="22"/>
      <c r="ND1277" s="22"/>
      <c r="NE1277" s="22"/>
      <c r="NF1277" s="22"/>
      <c r="NG1277" s="22"/>
      <c r="NH1277" s="22"/>
      <c r="NI1277" s="22"/>
      <c r="NJ1277" s="22"/>
      <c r="NK1277" s="22"/>
      <c r="NL1277" s="22"/>
      <c r="NM1277" s="22"/>
      <c r="NN1277" s="22"/>
      <c r="NO1277" s="22"/>
      <c r="NP1277" s="22"/>
      <c r="NQ1277" s="22"/>
      <c r="NR1277" s="22"/>
      <c r="NS1277" s="22"/>
      <c r="NT1277" s="22"/>
      <c r="NU1277" s="22"/>
      <c r="NV1277" s="22"/>
      <c r="NW1277" s="22"/>
      <c r="NX1277" s="22"/>
      <c r="NY1277" s="22"/>
      <c r="NZ1277" s="22"/>
      <c r="OA1277" s="22"/>
      <c r="OB1277" s="22"/>
      <c r="OC1277" s="22"/>
      <c r="OD1277" s="22"/>
      <c r="OE1277" s="22"/>
      <c r="OF1277" s="22"/>
      <c r="OG1277" s="22"/>
      <c r="OH1277" s="22"/>
      <c r="OI1277" s="22"/>
      <c r="OJ1277" s="22"/>
      <c r="OK1277" s="22"/>
      <c r="OL1277" s="22"/>
      <c r="OM1277" s="22"/>
      <c r="ON1277" s="22"/>
      <c r="OO1277" s="22"/>
      <c r="OP1277" s="22"/>
      <c r="OQ1277" s="22"/>
      <c r="OR1277" s="22"/>
      <c r="OS1277" s="22"/>
      <c r="OT1277" s="22"/>
      <c r="OU1277" s="22"/>
      <c r="OV1277" s="22"/>
      <c r="OW1277" s="22"/>
      <c r="OX1277" s="22"/>
      <c r="OY1277" s="22"/>
      <c r="OZ1277" s="22"/>
      <c r="PA1277" s="22"/>
      <c r="PB1277" s="22"/>
      <c r="PC1277" s="22"/>
      <c r="PD1277" s="22"/>
      <c r="PE1277" s="22"/>
      <c r="PF1277" s="22"/>
      <c r="PG1277" s="22"/>
      <c r="PH1277" s="22"/>
      <c r="PI1277" s="22"/>
      <c r="PJ1277" s="22"/>
      <c r="PK1277" s="22"/>
      <c r="PL1277" s="22"/>
      <c r="PM1277" s="22"/>
      <c r="PN1277" s="22"/>
      <c r="PO1277" s="22"/>
      <c r="PP1277" s="22"/>
      <c r="PQ1277" s="22"/>
      <c r="PR1277" s="22"/>
      <c r="PS1277" s="22"/>
      <c r="PT1277" s="22"/>
      <c r="PU1277" s="22"/>
      <c r="PV1277" s="22"/>
      <c r="PW1277" s="22"/>
      <c r="PX1277" s="22"/>
      <c r="PY1277" s="22"/>
      <c r="PZ1277" s="22"/>
      <c r="QA1277" s="22"/>
      <c r="QB1277" s="22"/>
      <c r="QC1277" s="22"/>
      <c r="QD1277" s="22"/>
      <c r="QE1277" s="22"/>
      <c r="QF1277" s="22"/>
      <c r="QG1277" s="22"/>
      <c r="QH1277" s="22"/>
      <c r="QI1277" s="22"/>
      <c r="QJ1277" s="22"/>
      <c r="QK1277" s="22"/>
      <c r="QL1277" s="22"/>
      <c r="QM1277" s="22"/>
      <c r="QN1277" s="22"/>
      <c r="QO1277" s="22"/>
      <c r="QP1277" s="22"/>
      <c r="QQ1277" s="22"/>
      <c r="QR1277" s="22"/>
      <c r="QS1277" s="22"/>
      <c r="QT1277" s="22"/>
      <c r="QU1277" s="22"/>
      <c r="QV1277" s="22"/>
      <c r="QW1277" s="22"/>
      <c r="QX1277" s="22"/>
      <c r="QY1277" s="22"/>
      <c r="QZ1277" s="22"/>
      <c r="RA1277" s="22"/>
      <c r="RB1277" s="22"/>
      <c r="RC1277" s="22"/>
      <c r="RD1277" s="22"/>
      <c r="RE1277" s="22"/>
      <c r="RF1277" s="22"/>
      <c r="RG1277" s="22"/>
      <c r="RH1277" s="22"/>
      <c r="RI1277" s="22"/>
      <c r="RJ1277" s="22"/>
      <c r="RK1277" s="22"/>
      <c r="RL1277" s="22"/>
      <c r="RM1277" s="22"/>
      <c r="RN1277" s="22"/>
      <c r="RO1277" s="22"/>
      <c r="RP1277" s="22"/>
      <c r="RQ1277" s="22"/>
      <c r="RR1277" s="22"/>
      <c r="RS1277" s="22"/>
      <c r="RT1277" s="22"/>
      <c r="RU1277" s="22"/>
      <c r="RV1277" s="22"/>
      <c r="RW1277" s="22"/>
      <c r="RX1277" s="22"/>
      <c r="RY1277" s="22"/>
      <c r="RZ1277" s="22"/>
      <c r="SA1277" s="22"/>
      <c r="SB1277" s="22"/>
      <c r="SC1277" s="22"/>
      <c r="SD1277" s="22"/>
      <c r="SE1277" s="22"/>
      <c r="SF1277" s="22"/>
      <c r="SG1277" s="22"/>
      <c r="SH1277" s="22"/>
      <c r="SI1277" s="22"/>
      <c r="SJ1277" s="22"/>
      <c r="SK1277" s="22"/>
      <c r="SL1277" s="22"/>
      <c r="SM1277" s="22"/>
      <c r="SN1277" s="22"/>
      <c r="SO1277" s="22"/>
      <c r="SP1277" s="22"/>
      <c r="SQ1277" s="22"/>
      <c r="SR1277" s="22"/>
      <c r="SS1277" s="22"/>
      <c r="ST1277" s="22"/>
      <c r="SU1277" s="22"/>
      <c r="SV1277" s="22"/>
      <c r="SW1277" s="22"/>
      <c r="SX1277" s="22"/>
      <c r="SY1277" s="22"/>
      <c r="SZ1277" s="22"/>
      <c r="TA1277" s="22"/>
      <c r="TB1277" s="22"/>
      <c r="TC1277" s="22"/>
      <c r="TD1277" s="22"/>
      <c r="TE1277" s="22"/>
      <c r="TF1277" s="22"/>
      <c r="TG1277" s="22"/>
      <c r="TH1277" s="22"/>
      <c r="TI1277" s="22"/>
      <c r="TJ1277" s="22"/>
      <c r="TK1277" s="22"/>
      <c r="TL1277" s="22"/>
      <c r="TM1277" s="22"/>
      <c r="TN1277" s="22"/>
      <c r="TO1277" s="22"/>
      <c r="TP1277" s="22"/>
      <c r="TQ1277" s="22"/>
      <c r="TR1277" s="22"/>
      <c r="TS1277" s="22"/>
      <c r="TT1277" s="22"/>
      <c r="TU1277" s="22"/>
      <c r="TV1277" s="22"/>
      <c r="TW1277" s="22"/>
      <c r="TX1277" s="22"/>
      <c r="TY1277" s="22"/>
      <c r="TZ1277" s="22"/>
      <c r="UA1277" s="22"/>
      <c r="UB1277" s="22"/>
      <c r="UC1277" s="22"/>
      <c r="UD1277" s="22"/>
      <c r="UE1277" s="22"/>
      <c r="UF1277" s="22"/>
      <c r="UG1277" s="23"/>
    </row>
    <row r="1278" spans="1:553" ht="42.75" customHeight="1">
      <c r="A1278" s="366"/>
      <c r="B1278" s="385">
        <v>194</v>
      </c>
      <c r="C1278" s="1535" t="s">
        <v>1297</v>
      </c>
      <c r="D1278" s="1389"/>
      <c r="E1278" s="1389"/>
      <c r="F1278" s="1390"/>
      <c r="G1278" s="386" t="s">
        <v>113</v>
      </c>
      <c r="H1278" s="370"/>
      <c r="I1278" s="422">
        <f>128*(1.2/1.4)</f>
        <v>109.71428571428572</v>
      </c>
      <c r="J1278" s="368">
        <v>358700</v>
      </c>
      <c r="K1278" s="371"/>
      <c r="L1278" s="487">
        <f t="shared" si="191"/>
        <v>39354514.285714291</v>
      </c>
      <c r="M1278" s="782"/>
      <c r="N1278" s="782"/>
      <c r="O1278" s="366"/>
      <c r="P1278" s="396"/>
      <c r="Q1278" s="473"/>
      <c r="R1278" s="1039"/>
      <c r="S1278" s="308"/>
      <c r="T1278" s="308"/>
      <c r="U1278" s="308"/>
      <c r="V1278" s="308"/>
      <c r="W1278" s="308"/>
      <c r="X1278" s="308"/>
      <c r="Y1278" s="308"/>
      <c r="Z1278" s="604"/>
      <c r="AA1278" s="308"/>
      <c r="AB1278" s="308"/>
      <c r="AC1278" s="373"/>
      <c r="AD1278" s="373"/>
      <c r="AE1278" s="373"/>
      <c r="AF1278" s="373"/>
      <c r="AG1278" s="389"/>
      <c r="AH1278" s="389"/>
      <c r="AI1278" s="389"/>
      <c r="AJ1278" s="389"/>
      <c r="AK1278" s="389"/>
      <c r="AL1278" s="100"/>
      <c r="AM1278" s="27"/>
      <c r="AN1278" s="27"/>
      <c r="AO1278" s="27"/>
      <c r="AP1278" s="27"/>
      <c r="AQ1278" s="22"/>
      <c r="AR1278" s="22"/>
      <c r="AS1278" s="22"/>
      <c r="AT1278" s="22"/>
      <c r="AU1278" s="22"/>
      <c r="AV1278" s="22"/>
      <c r="AW1278" s="22"/>
      <c r="AX1278" s="22"/>
      <c r="AY1278" s="22"/>
      <c r="AZ1278" s="22"/>
      <c r="BA1278" s="22"/>
      <c r="BB1278" s="22"/>
      <c r="BC1278" s="22"/>
      <c r="BD1278" s="22"/>
      <c r="BE1278" s="22"/>
      <c r="BF1278" s="22"/>
      <c r="BG1278" s="22"/>
      <c r="BH1278" s="22"/>
      <c r="BI1278" s="22"/>
      <c r="BJ1278" s="22"/>
      <c r="BK1278" s="22"/>
      <c r="BL1278" s="22"/>
      <c r="BM1278" s="22"/>
      <c r="BN1278" s="22"/>
      <c r="BO1278" s="22"/>
      <c r="BP1278" s="22"/>
      <c r="BQ1278" s="22"/>
      <c r="BR1278" s="22"/>
      <c r="BS1278" s="22"/>
      <c r="BT1278" s="22"/>
      <c r="BU1278" s="22"/>
      <c r="BV1278" s="22"/>
      <c r="BW1278" s="22"/>
      <c r="BX1278" s="22"/>
      <c r="BY1278" s="22"/>
      <c r="BZ1278" s="22"/>
      <c r="CA1278" s="22"/>
      <c r="CB1278" s="22"/>
      <c r="CC1278" s="22"/>
      <c r="CD1278" s="22"/>
      <c r="CE1278" s="22"/>
      <c r="CF1278" s="22"/>
      <c r="CG1278" s="22"/>
      <c r="CH1278" s="22"/>
      <c r="CI1278" s="22"/>
      <c r="CJ1278" s="22"/>
      <c r="CK1278" s="22"/>
      <c r="CL1278" s="22"/>
      <c r="CM1278" s="22"/>
      <c r="CN1278" s="22"/>
      <c r="CO1278" s="22"/>
      <c r="CP1278" s="22"/>
      <c r="CQ1278" s="22"/>
      <c r="CR1278" s="22"/>
      <c r="CS1278" s="22"/>
      <c r="CT1278" s="22"/>
      <c r="CU1278" s="22"/>
      <c r="CV1278" s="22"/>
      <c r="CW1278" s="22"/>
      <c r="CX1278" s="22"/>
      <c r="CY1278" s="22"/>
      <c r="CZ1278" s="22"/>
      <c r="DA1278" s="22"/>
      <c r="DB1278" s="22"/>
      <c r="DC1278" s="22"/>
      <c r="DD1278" s="22"/>
      <c r="DE1278" s="22"/>
      <c r="DF1278" s="22"/>
      <c r="DG1278" s="22"/>
      <c r="DH1278" s="22"/>
      <c r="DI1278" s="22"/>
      <c r="DJ1278" s="22"/>
      <c r="DK1278" s="22"/>
      <c r="DL1278" s="22"/>
      <c r="DM1278" s="22"/>
      <c r="DN1278" s="22"/>
      <c r="DO1278" s="22"/>
      <c r="DP1278" s="22"/>
      <c r="DQ1278" s="22"/>
      <c r="DR1278" s="22"/>
      <c r="DS1278" s="22"/>
      <c r="DT1278" s="22"/>
      <c r="DU1278" s="22"/>
      <c r="DV1278" s="22"/>
      <c r="DW1278" s="22"/>
      <c r="DX1278" s="22"/>
      <c r="DY1278" s="22"/>
      <c r="DZ1278" s="22"/>
      <c r="EA1278" s="22"/>
      <c r="EB1278" s="22"/>
      <c r="EC1278" s="22"/>
      <c r="ED1278" s="22"/>
      <c r="EE1278" s="22"/>
      <c r="EF1278" s="22"/>
      <c r="EG1278" s="22"/>
      <c r="EH1278" s="22"/>
      <c r="EI1278" s="22"/>
      <c r="EJ1278" s="22"/>
      <c r="EK1278" s="22"/>
      <c r="EL1278" s="22"/>
      <c r="EM1278" s="22"/>
      <c r="EN1278" s="22"/>
      <c r="EO1278" s="22"/>
      <c r="EP1278" s="22"/>
      <c r="EQ1278" s="22"/>
      <c r="ER1278" s="22"/>
      <c r="ES1278" s="22"/>
      <c r="ET1278" s="22"/>
      <c r="EU1278" s="22"/>
      <c r="EV1278" s="22"/>
      <c r="EW1278" s="22"/>
      <c r="EX1278" s="22"/>
      <c r="EY1278" s="22"/>
      <c r="EZ1278" s="22"/>
      <c r="FA1278" s="22"/>
      <c r="FB1278" s="22"/>
      <c r="FC1278" s="22"/>
      <c r="FD1278" s="22"/>
      <c r="FE1278" s="22"/>
      <c r="FF1278" s="22"/>
      <c r="FG1278" s="22"/>
      <c r="FH1278" s="22"/>
      <c r="FI1278" s="22"/>
      <c r="FJ1278" s="22"/>
      <c r="FK1278" s="22"/>
      <c r="FL1278" s="22"/>
      <c r="FM1278" s="22"/>
      <c r="FN1278" s="22"/>
      <c r="FO1278" s="22"/>
      <c r="FP1278" s="22"/>
      <c r="FQ1278" s="22"/>
      <c r="FR1278" s="22"/>
      <c r="FS1278" s="22"/>
      <c r="FT1278" s="22"/>
      <c r="FU1278" s="22"/>
      <c r="FV1278" s="22"/>
      <c r="FW1278" s="22"/>
      <c r="FX1278" s="22"/>
      <c r="FY1278" s="22"/>
      <c r="FZ1278" s="22"/>
      <c r="GA1278" s="22"/>
      <c r="GB1278" s="22"/>
      <c r="GC1278" s="22"/>
      <c r="GD1278" s="22"/>
      <c r="GE1278" s="22"/>
      <c r="GF1278" s="22"/>
      <c r="GG1278" s="22"/>
      <c r="GH1278" s="22"/>
      <c r="GI1278" s="22"/>
      <c r="GJ1278" s="22"/>
      <c r="GK1278" s="22"/>
      <c r="GL1278" s="22"/>
      <c r="GM1278" s="22"/>
      <c r="GN1278" s="22"/>
      <c r="GO1278" s="22"/>
      <c r="GP1278" s="22"/>
      <c r="GQ1278" s="22"/>
      <c r="GR1278" s="22"/>
      <c r="GS1278" s="22"/>
      <c r="GT1278" s="22"/>
      <c r="GU1278" s="22"/>
      <c r="GV1278" s="22"/>
      <c r="GW1278" s="22"/>
      <c r="GX1278" s="22"/>
      <c r="GY1278" s="22"/>
      <c r="GZ1278" s="22"/>
      <c r="HA1278" s="22"/>
      <c r="HB1278" s="22"/>
      <c r="HC1278" s="22"/>
      <c r="HD1278" s="22"/>
      <c r="HE1278" s="22"/>
      <c r="HF1278" s="22"/>
      <c r="HG1278" s="22"/>
      <c r="HH1278" s="22"/>
      <c r="HI1278" s="22"/>
      <c r="HJ1278" s="22"/>
      <c r="HK1278" s="22"/>
      <c r="HL1278" s="22"/>
      <c r="HM1278" s="22"/>
      <c r="HN1278" s="22"/>
      <c r="HO1278" s="22"/>
      <c r="HP1278" s="22"/>
      <c r="HQ1278" s="22"/>
      <c r="HR1278" s="22"/>
      <c r="HS1278" s="22"/>
      <c r="HT1278" s="22"/>
      <c r="HU1278" s="22"/>
      <c r="HV1278" s="22"/>
      <c r="HW1278" s="22"/>
      <c r="HX1278" s="22"/>
      <c r="HY1278" s="22"/>
      <c r="HZ1278" s="22"/>
      <c r="IA1278" s="22"/>
      <c r="IB1278" s="22"/>
      <c r="IC1278" s="22"/>
      <c r="ID1278" s="22"/>
      <c r="IE1278" s="22"/>
      <c r="IF1278" s="22"/>
      <c r="IG1278" s="22"/>
      <c r="IH1278" s="22"/>
      <c r="II1278" s="22"/>
      <c r="IJ1278" s="22"/>
      <c r="IK1278" s="22"/>
      <c r="IL1278" s="22"/>
      <c r="IM1278" s="22"/>
      <c r="IN1278" s="22"/>
      <c r="IO1278" s="22"/>
      <c r="IP1278" s="22"/>
      <c r="IQ1278" s="22"/>
      <c r="IR1278" s="22"/>
      <c r="IS1278" s="22"/>
      <c r="IT1278" s="22"/>
      <c r="IU1278" s="22"/>
      <c r="IV1278" s="22"/>
      <c r="IW1278" s="22"/>
      <c r="IX1278" s="22"/>
      <c r="IY1278" s="22"/>
      <c r="IZ1278" s="22"/>
      <c r="JA1278" s="22"/>
      <c r="JB1278" s="22"/>
      <c r="JC1278" s="22"/>
      <c r="JD1278" s="22"/>
      <c r="JE1278" s="22"/>
      <c r="JF1278" s="22"/>
      <c r="JG1278" s="22"/>
      <c r="JH1278" s="22"/>
      <c r="JI1278" s="22"/>
      <c r="JJ1278" s="22"/>
      <c r="JK1278" s="22"/>
      <c r="JL1278" s="22"/>
      <c r="JM1278" s="22"/>
      <c r="JN1278" s="22"/>
      <c r="JO1278" s="22"/>
      <c r="JP1278" s="22"/>
      <c r="JQ1278" s="22"/>
      <c r="JR1278" s="22"/>
      <c r="JS1278" s="22"/>
      <c r="JT1278" s="22"/>
      <c r="JU1278" s="22"/>
      <c r="JV1278" s="22"/>
      <c r="JW1278" s="22"/>
      <c r="JX1278" s="22"/>
      <c r="JY1278" s="22"/>
      <c r="JZ1278" s="22"/>
      <c r="KA1278" s="22"/>
      <c r="KB1278" s="22"/>
      <c r="KC1278" s="22"/>
      <c r="KD1278" s="22"/>
      <c r="KE1278" s="22"/>
      <c r="KF1278" s="22"/>
      <c r="KG1278" s="22"/>
      <c r="KH1278" s="22"/>
      <c r="KI1278" s="22"/>
      <c r="KJ1278" s="22"/>
      <c r="KK1278" s="22"/>
      <c r="KL1278" s="22"/>
      <c r="KM1278" s="22"/>
      <c r="KN1278" s="22"/>
      <c r="KO1278" s="22"/>
      <c r="KP1278" s="22"/>
      <c r="KQ1278" s="22"/>
      <c r="KR1278" s="22"/>
      <c r="KS1278" s="22"/>
      <c r="KT1278" s="22"/>
      <c r="KU1278" s="22"/>
      <c r="KV1278" s="22"/>
      <c r="KW1278" s="22"/>
      <c r="KX1278" s="22"/>
      <c r="KY1278" s="22"/>
      <c r="KZ1278" s="22"/>
      <c r="LA1278" s="22"/>
      <c r="LB1278" s="22"/>
      <c r="LC1278" s="22"/>
      <c r="LD1278" s="22"/>
      <c r="LE1278" s="22"/>
      <c r="LF1278" s="22"/>
      <c r="LG1278" s="22"/>
      <c r="LH1278" s="22"/>
      <c r="LI1278" s="22"/>
      <c r="LJ1278" s="22"/>
      <c r="LK1278" s="22"/>
      <c r="LL1278" s="22"/>
      <c r="LM1278" s="22"/>
      <c r="LN1278" s="22"/>
      <c r="LO1278" s="22"/>
      <c r="LP1278" s="22"/>
      <c r="LQ1278" s="22"/>
      <c r="LR1278" s="22"/>
      <c r="LS1278" s="22"/>
      <c r="LT1278" s="22"/>
      <c r="LU1278" s="22"/>
      <c r="LV1278" s="22"/>
      <c r="LW1278" s="22"/>
      <c r="LX1278" s="22"/>
      <c r="LY1278" s="22"/>
      <c r="LZ1278" s="22"/>
      <c r="MA1278" s="22"/>
      <c r="MB1278" s="22"/>
      <c r="MC1278" s="22"/>
      <c r="MD1278" s="22"/>
      <c r="ME1278" s="22"/>
      <c r="MF1278" s="22"/>
      <c r="MG1278" s="22"/>
      <c r="MH1278" s="22"/>
      <c r="MI1278" s="22"/>
      <c r="MJ1278" s="22"/>
      <c r="MK1278" s="22"/>
      <c r="ML1278" s="22"/>
      <c r="MM1278" s="22"/>
      <c r="MN1278" s="22"/>
      <c r="MO1278" s="22"/>
      <c r="MP1278" s="22"/>
      <c r="MQ1278" s="22"/>
      <c r="MR1278" s="22"/>
      <c r="MS1278" s="22"/>
      <c r="MT1278" s="22"/>
      <c r="MU1278" s="22"/>
      <c r="MV1278" s="22"/>
      <c r="MW1278" s="22"/>
      <c r="MX1278" s="22"/>
      <c r="MY1278" s="22"/>
      <c r="MZ1278" s="22"/>
      <c r="NA1278" s="22"/>
      <c r="NB1278" s="22"/>
      <c r="NC1278" s="22"/>
      <c r="ND1278" s="22"/>
      <c r="NE1278" s="22"/>
      <c r="NF1278" s="22"/>
      <c r="NG1278" s="22"/>
      <c r="NH1278" s="22"/>
      <c r="NI1278" s="22"/>
      <c r="NJ1278" s="22"/>
      <c r="NK1278" s="22"/>
      <c r="NL1278" s="22"/>
      <c r="NM1278" s="22"/>
      <c r="NN1278" s="22"/>
      <c r="NO1278" s="22"/>
      <c r="NP1278" s="22"/>
      <c r="NQ1278" s="22"/>
      <c r="NR1278" s="22"/>
      <c r="NS1278" s="22"/>
      <c r="NT1278" s="22"/>
      <c r="NU1278" s="22"/>
      <c r="NV1278" s="22"/>
      <c r="NW1278" s="22"/>
      <c r="NX1278" s="22"/>
      <c r="NY1278" s="22"/>
      <c r="NZ1278" s="22"/>
      <c r="OA1278" s="22"/>
      <c r="OB1278" s="22"/>
      <c r="OC1278" s="22"/>
      <c r="OD1278" s="22"/>
      <c r="OE1278" s="22"/>
      <c r="OF1278" s="22"/>
      <c r="OG1278" s="22"/>
      <c r="OH1278" s="22"/>
      <c r="OI1278" s="22"/>
      <c r="OJ1278" s="22"/>
      <c r="OK1278" s="22"/>
      <c r="OL1278" s="22"/>
      <c r="OM1278" s="22"/>
      <c r="ON1278" s="22"/>
      <c r="OO1278" s="22"/>
      <c r="OP1278" s="22"/>
      <c r="OQ1278" s="22"/>
      <c r="OR1278" s="22"/>
      <c r="OS1278" s="22"/>
      <c r="OT1278" s="22"/>
      <c r="OU1278" s="22"/>
      <c r="OV1278" s="22"/>
      <c r="OW1278" s="22"/>
      <c r="OX1278" s="22"/>
      <c r="OY1278" s="22"/>
      <c r="OZ1278" s="22"/>
      <c r="PA1278" s="22"/>
      <c r="PB1278" s="22"/>
      <c r="PC1278" s="22"/>
      <c r="PD1278" s="22"/>
      <c r="PE1278" s="22"/>
      <c r="PF1278" s="22"/>
      <c r="PG1278" s="22"/>
      <c r="PH1278" s="22"/>
      <c r="PI1278" s="22"/>
      <c r="PJ1278" s="22"/>
      <c r="PK1278" s="22"/>
      <c r="PL1278" s="22"/>
      <c r="PM1278" s="22"/>
      <c r="PN1278" s="22"/>
      <c r="PO1278" s="22"/>
      <c r="PP1278" s="22"/>
      <c r="PQ1278" s="22"/>
      <c r="PR1278" s="22"/>
      <c r="PS1278" s="22"/>
      <c r="PT1278" s="22"/>
      <c r="PU1278" s="22"/>
      <c r="PV1278" s="22"/>
      <c r="PW1278" s="22"/>
      <c r="PX1278" s="22"/>
      <c r="PY1278" s="22"/>
      <c r="PZ1278" s="22"/>
      <c r="QA1278" s="22"/>
      <c r="QB1278" s="22"/>
      <c r="QC1278" s="22"/>
      <c r="QD1278" s="22"/>
      <c r="QE1278" s="22"/>
      <c r="QF1278" s="22"/>
      <c r="QG1278" s="22"/>
      <c r="QH1278" s="22"/>
      <c r="QI1278" s="22"/>
      <c r="QJ1278" s="22"/>
      <c r="QK1278" s="22"/>
      <c r="QL1278" s="22"/>
      <c r="QM1278" s="22"/>
      <c r="QN1278" s="22"/>
      <c r="QO1278" s="22"/>
      <c r="QP1278" s="22"/>
      <c r="QQ1278" s="22"/>
      <c r="QR1278" s="22"/>
      <c r="QS1278" s="22"/>
      <c r="QT1278" s="22"/>
      <c r="QU1278" s="22"/>
      <c r="QV1278" s="22"/>
      <c r="QW1278" s="22"/>
      <c r="QX1278" s="22"/>
      <c r="QY1278" s="22"/>
      <c r="QZ1278" s="22"/>
      <c r="RA1278" s="22"/>
      <c r="RB1278" s="22"/>
      <c r="RC1278" s="22"/>
      <c r="RD1278" s="22"/>
      <c r="RE1278" s="22"/>
      <c r="RF1278" s="22"/>
      <c r="RG1278" s="22"/>
      <c r="RH1278" s="22"/>
      <c r="RI1278" s="22"/>
      <c r="RJ1278" s="22"/>
      <c r="RK1278" s="22"/>
      <c r="RL1278" s="22"/>
      <c r="RM1278" s="22"/>
      <c r="RN1278" s="22"/>
      <c r="RO1278" s="22"/>
      <c r="RP1278" s="22"/>
      <c r="RQ1278" s="22"/>
      <c r="RR1278" s="22"/>
      <c r="RS1278" s="22"/>
      <c r="RT1278" s="22"/>
      <c r="RU1278" s="22"/>
      <c r="RV1278" s="22"/>
      <c r="RW1278" s="22"/>
      <c r="RX1278" s="22"/>
      <c r="RY1278" s="22"/>
      <c r="RZ1278" s="22"/>
      <c r="SA1278" s="22"/>
      <c r="SB1278" s="22"/>
      <c r="SC1278" s="22"/>
      <c r="SD1278" s="22"/>
      <c r="SE1278" s="22"/>
      <c r="SF1278" s="22"/>
      <c r="SG1278" s="22"/>
      <c r="SH1278" s="22"/>
      <c r="SI1278" s="22"/>
      <c r="SJ1278" s="22"/>
      <c r="SK1278" s="22"/>
      <c r="SL1278" s="22"/>
      <c r="SM1278" s="22"/>
      <c r="SN1278" s="22"/>
      <c r="SO1278" s="22"/>
      <c r="SP1278" s="22"/>
      <c r="SQ1278" s="22"/>
      <c r="SR1278" s="22"/>
      <c r="SS1278" s="22"/>
      <c r="ST1278" s="22"/>
      <c r="SU1278" s="22"/>
      <c r="SV1278" s="22"/>
      <c r="SW1278" s="22"/>
      <c r="SX1278" s="22"/>
      <c r="SY1278" s="22"/>
      <c r="SZ1278" s="22"/>
      <c r="TA1278" s="22"/>
      <c r="TB1278" s="22"/>
      <c r="TC1278" s="22"/>
      <c r="TD1278" s="22"/>
      <c r="TE1278" s="22"/>
      <c r="TF1278" s="22"/>
      <c r="TG1278" s="22"/>
      <c r="TH1278" s="22"/>
      <c r="TI1278" s="22"/>
      <c r="TJ1278" s="22"/>
      <c r="TK1278" s="22"/>
      <c r="TL1278" s="22"/>
      <c r="TM1278" s="22"/>
      <c r="TN1278" s="22"/>
      <c r="TO1278" s="22"/>
      <c r="TP1278" s="22"/>
      <c r="TQ1278" s="22"/>
      <c r="TR1278" s="22"/>
      <c r="TS1278" s="22"/>
      <c r="TT1278" s="22"/>
      <c r="TU1278" s="22"/>
      <c r="TV1278" s="22"/>
      <c r="TW1278" s="22"/>
      <c r="TX1278" s="22"/>
      <c r="TY1278" s="22"/>
      <c r="TZ1278" s="22"/>
      <c r="UA1278" s="22"/>
      <c r="UB1278" s="22"/>
      <c r="UC1278" s="22"/>
      <c r="UD1278" s="22"/>
      <c r="UE1278" s="22"/>
      <c r="UF1278" s="22"/>
      <c r="UG1278" s="23"/>
    </row>
    <row r="1279" spans="1:553" ht="29.25" customHeight="1">
      <c r="A1279" s="356" t="s">
        <v>43</v>
      </c>
      <c r="B1279" s="356"/>
      <c r="C1279" s="1431" t="s">
        <v>701</v>
      </c>
      <c r="D1279" s="1389"/>
      <c r="E1279" s="1389"/>
      <c r="F1279" s="1390"/>
      <c r="G1279" s="366"/>
      <c r="H1279" s="370"/>
      <c r="I1279" s="370"/>
      <c r="J1279" s="368"/>
      <c r="K1279" s="371"/>
      <c r="L1279" s="645">
        <v>0</v>
      </c>
      <c r="M1279" s="356"/>
      <c r="N1279" s="356"/>
      <c r="O1279" s="356"/>
      <c r="P1279" s="356">
        <f t="shared" ref="P1279:P1280" si="192">L1279</f>
        <v>0</v>
      </c>
      <c r="Q1279" s="610"/>
      <c r="R1279" s="1226"/>
      <c r="S1279" s="308"/>
      <c r="T1279" s="308"/>
      <c r="U1279" s="308"/>
      <c r="V1279" s="308"/>
      <c r="W1279" s="308"/>
      <c r="X1279" s="308"/>
      <c r="Y1279" s="308"/>
      <c r="Z1279" s="604"/>
      <c r="AA1279" s="308"/>
      <c r="AB1279" s="308"/>
      <c r="AC1279" s="373"/>
      <c r="AD1279" s="373"/>
      <c r="AE1279" s="373"/>
      <c r="AF1279" s="373"/>
      <c r="AG1279" s="373"/>
      <c r="AH1279" s="373"/>
      <c r="AI1279" s="373"/>
      <c r="AJ1279" s="373"/>
      <c r="AK1279" s="389"/>
      <c r="AL1279" s="100"/>
      <c r="AM1279" s="27"/>
      <c r="AN1279" s="27"/>
      <c r="AO1279" s="27"/>
      <c r="AP1279" s="27"/>
      <c r="AQ1279" s="27"/>
      <c r="AR1279" s="27"/>
      <c r="AS1279" s="22"/>
      <c r="AT1279" s="22"/>
      <c r="AU1279" s="22"/>
      <c r="AV1279" s="22"/>
      <c r="AW1279" s="22"/>
      <c r="AX1279" s="22"/>
      <c r="AY1279" s="22"/>
      <c r="AZ1279" s="22"/>
      <c r="BA1279" s="22"/>
      <c r="BB1279" s="22"/>
      <c r="BC1279" s="22"/>
      <c r="BD1279" s="22"/>
      <c r="BE1279" s="22"/>
      <c r="BF1279" s="22"/>
      <c r="BG1279" s="22"/>
      <c r="BH1279" s="22"/>
      <c r="BI1279" s="22"/>
      <c r="BJ1279" s="22"/>
      <c r="BK1279" s="22"/>
      <c r="BL1279" s="22"/>
      <c r="BM1279" s="22"/>
      <c r="BN1279" s="22"/>
      <c r="BO1279" s="22"/>
      <c r="BP1279" s="22"/>
      <c r="BQ1279" s="22"/>
      <c r="BR1279" s="22"/>
      <c r="BS1279" s="22"/>
      <c r="BT1279" s="22"/>
      <c r="BU1279" s="22"/>
      <c r="BV1279" s="22"/>
      <c r="BW1279" s="22"/>
      <c r="BX1279" s="22"/>
      <c r="BY1279" s="22"/>
      <c r="BZ1279" s="22"/>
      <c r="CA1279" s="22"/>
      <c r="CB1279" s="22"/>
      <c r="CC1279" s="22"/>
      <c r="CD1279" s="22"/>
      <c r="CE1279" s="22"/>
      <c r="CF1279" s="22"/>
      <c r="CG1279" s="22"/>
      <c r="CH1279" s="22"/>
      <c r="CI1279" s="22"/>
      <c r="CJ1279" s="22"/>
      <c r="CK1279" s="22"/>
      <c r="CL1279" s="22"/>
      <c r="CM1279" s="22"/>
      <c r="CN1279" s="22"/>
      <c r="CO1279" s="22"/>
      <c r="CP1279" s="22"/>
      <c r="CQ1279" s="22"/>
      <c r="CR1279" s="22"/>
      <c r="CS1279" s="22"/>
      <c r="CT1279" s="22"/>
      <c r="CU1279" s="22"/>
      <c r="CV1279" s="22"/>
      <c r="CW1279" s="22"/>
      <c r="CX1279" s="22"/>
      <c r="CY1279" s="22"/>
      <c r="CZ1279" s="22"/>
      <c r="DA1279" s="22"/>
      <c r="DB1279" s="22"/>
      <c r="DC1279" s="22"/>
      <c r="DD1279" s="22"/>
      <c r="DE1279" s="22"/>
      <c r="DF1279" s="22"/>
      <c r="DG1279" s="22"/>
      <c r="DH1279" s="22"/>
      <c r="DI1279" s="22"/>
      <c r="DJ1279" s="22"/>
      <c r="DK1279" s="22"/>
      <c r="DL1279" s="22"/>
      <c r="DM1279" s="22"/>
      <c r="DN1279" s="22"/>
      <c r="DO1279" s="22"/>
      <c r="DP1279" s="22"/>
      <c r="DQ1279" s="22"/>
      <c r="DR1279" s="22"/>
      <c r="DS1279" s="22"/>
      <c r="DT1279" s="22"/>
      <c r="DU1279" s="22"/>
      <c r="DV1279" s="22"/>
      <c r="DW1279" s="22"/>
      <c r="DX1279" s="22"/>
      <c r="DY1279" s="22"/>
      <c r="DZ1279" s="22"/>
      <c r="EA1279" s="22"/>
      <c r="EB1279" s="22"/>
      <c r="EC1279" s="22"/>
      <c r="ED1279" s="22"/>
      <c r="EE1279" s="22"/>
      <c r="EF1279" s="22"/>
      <c r="EG1279" s="22"/>
      <c r="EH1279" s="22"/>
      <c r="EI1279" s="22"/>
      <c r="EJ1279" s="22"/>
      <c r="EK1279" s="22"/>
      <c r="EL1279" s="22"/>
      <c r="EM1279" s="22"/>
      <c r="EN1279" s="22"/>
      <c r="EO1279" s="22"/>
      <c r="EP1279" s="22"/>
      <c r="EQ1279" s="22"/>
      <c r="ER1279" s="22"/>
      <c r="ES1279" s="22"/>
      <c r="ET1279" s="22"/>
      <c r="EU1279" s="22"/>
      <c r="EV1279" s="22"/>
      <c r="EW1279" s="22"/>
      <c r="EX1279" s="22"/>
      <c r="EY1279" s="22"/>
      <c r="EZ1279" s="22"/>
      <c r="FA1279" s="22"/>
      <c r="FB1279" s="22"/>
      <c r="FC1279" s="22"/>
      <c r="FD1279" s="22"/>
      <c r="FE1279" s="22"/>
      <c r="FF1279" s="22"/>
      <c r="FG1279" s="22"/>
      <c r="FH1279" s="22"/>
      <c r="FI1279" s="22"/>
      <c r="FJ1279" s="22"/>
      <c r="FK1279" s="22"/>
      <c r="FL1279" s="22"/>
      <c r="FM1279" s="22"/>
      <c r="FN1279" s="22"/>
      <c r="FO1279" s="22"/>
      <c r="FP1279" s="22"/>
      <c r="FQ1279" s="22"/>
      <c r="FR1279" s="22"/>
      <c r="FS1279" s="22"/>
      <c r="FT1279" s="22"/>
      <c r="FU1279" s="22"/>
      <c r="FV1279" s="22"/>
      <c r="FW1279" s="22"/>
      <c r="FX1279" s="22"/>
      <c r="FY1279" s="22"/>
      <c r="FZ1279" s="22"/>
      <c r="GA1279" s="22"/>
      <c r="GB1279" s="22"/>
      <c r="GC1279" s="22"/>
      <c r="GD1279" s="22"/>
      <c r="GE1279" s="22"/>
      <c r="GF1279" s="22"/>
      <c r="GG1279" s="22"/>
      <c r="GH1279" s="22"/>
      <c r="GI1279" s="22"/>
      <c r="GJ1279" s="22"/>
      <c r="GK1279" s="22"/>
      <c r="GL1279" s="22"/>
      <c r="GM1279" s="22"/>
      <c r="GN1279" s="22"/>
      <c r="GO1279" s="22"/>
      <c r="GP1279" s="22"/>
      <c r="GQ1279" s="22"/>
      <c r="GR1279" s="22"/>
      <c r="GS1279" s="22"/>
      <c r="GT1279" s="22"/>
      <c r="GU1279" s="22"/>
      <c r="GV1279" s="22"/>
      <c r="GW1279" s="22"/>
      <c r="GX1279" s="22"/>
      <c r="GY1279" s="22"/>
      <c r="GZ1279" s="22"/>
      <c r="HA1279" s="22"/>
      <c r="HB1279" s="22"/>
      <c r="HC1279" s="22"/>
      <c r="HD1279" s="22"/>
      <c r="HE1279" s="22"/>
      <c r="HF1279" s="22"/>
      <c r="HG1279" s="22"/>
      <c r="HH1279" s="22"/>
      <c r="HI1279" s="22"/>
      <c r="HJ1279" s="22"/>
      <c r="HK1279" s="22"/>
      <c r="HL1279" s="22"/>
      <c r="HM1279" s="22"/>
      <c r="HN1279" s="22"/>
      <c r="HO1279" s="22"/>
      <c r="HP1279" s="22"/>
      <c r="HQ1279" s="22"/>
      <c r="HR1279" s="22"/>
      <c r="HS1279" s="22"/>
      <c r="HT1279" s="22"/>
      <c r="HU1279" s="22"/>
      <c r="HV1279" s="22"/>
      <c r="HW1279" s="22"/>
      <c r="HX1279" s="22"/>
      <c r="HY1279" s="22"/>
      <c r="HZ1279" s="22"/>
      <c r="IA1279" s="22"/>
      <c r="IB1279" s="22"/>
      <c r="IC1279" s="22"/>
      <c r="ID1279" s="22"/>
      <c r="IE1279" s="22"/>
      <c r="IF1279" s="22"/>
      <c r="IG1279" s="22"/>
      <c r="IH1279" s="22"/>
      <c r="II1279" s="22"/>
      <c r="IJ1279" s="22"/>
      <c r="IK1279" s="22"/>
      <c r="IL1279" s="22"/>
      <c r="IM1279" s="22"/>
      <c r="IN1279" s="22"/>
      <c r="IO1279" s="22"/>
      <c r="IP1279" s="22"/>
      <c r="IQ1279" s="22"/>
      <c r="IR1279" s="22"/>
      <c r="IS1279" s="22"/>
      <c r="IT1279" s="22"/>
      <c r="IU1279" s="22"/>
      <c r="IV1279" s="22"/>
      <c r="IW1279" s="22"/>
      <c r="IX1279" s="22"/>
      <c r="IY1279" s="22"/>
      <c r="IZ1279" s="22"/>
      <c r="JA1279" s="22"/>
      <c r="JB1279" s="22"/>
      <c r="JC1279" s="22"/>
      <c r="JD1279" s="22"/>
      <c r="JE1279" s="22"/>
      <c r="JF1279" s="22"/>
      <c r="JG1279" s="22"/>
      <c r="JH1279" s="22"/>
      <c r="JI1279" s="22"/>
      <c r="JJ1279" s="22"/>
      <c r="JK1279" s="22"/>
      <c r="JL1279" s="22"/>
      <c r="JM1279" s="22"/>
      <c r="JN1279" s="22"/>
      <c r="JO1279" s="22"/>
      <c r="JP1279" s="22"/>
      <c r="JQ1279" s="22"/>
      <c r="JR1279" s="22"/>
      <c r="JS1279" s="22"/>
      <c r="JT1279" s="22"/>
      <c r="JU1279" s="22"/>
      <c r="JV1279" s="22"/>
      <c r="JW1279" s="22"/>
      <c r="JX1279" s="22"/>
      <c r="JY1279" s="22"/>
      <c r="JZ1279" s="22"/>
      <c r="KA1279" s="22"/>
      <c r="KB1279" s="22"/>
      <c r="KC1279" s="22"/>
      <c r="KD1279" s="22"/>
      <c r="KE1279" s="22"/>
      <c r="KF1279" s="22"/>
      <c r="KG1279" s="22"/>
      <c r="KH1279" s="22"/>
      <c r="KI1279" s="22"/>
      <c r="KJ1279" s="22"/>
      <c r="KK1279" s="22"/>
      <c r="KL1279" s="22"/>
      <c r="KM1279" s="22"/>
      <c r="KN1279" s="22"/>
      <c r="KO1279" s="22"/>
      <c r="KP1279" s="22"/>
      <c r="KQ1279" s="22"/>
      <c r="KR1279" s="22"/>
      <c r="KS1279" s="22"/>
      <c r="KT1279" s="22"/>
      <c r="KU1279" s="22"/>
      <c r="KV1279" s="22"/>
      <c r="KW1279" s="22"/>
      <c r="KX1279" s="22"/>
      <c r="KY1279" s="22"/>
      <c r="KZ1279" s="22"/>
      <c r="LA1279" s="22"/>
      <c r="LB1279" s="22"/>
      <c r="LC1279" s="22"/>
      <c r="LD1279" s="22"/>
      <c r="LE1279" s="22"/>
      <c r="LF1279" s="22"/>
      <c r="LG1279" s="22"/>
      <c r="LH1279" s="22"/>
      <c r="LI1279" s="22"/>
      <c r="LJ1279" s="22"/>
      <c r="LK1279" s="22"/>
      <c r="LL1279" s="22"/>
      <c r="LM1279" s="22"/>
      <c r="LN1279" s="22"/>
      <c r="LO1279" s="22"/>
      <c r="LP1279" s="22"/>
      <c r="LQ1279" s="22"/>
      <c r="LR1279" s="22"/>
      <c r="LS1279" s="22"/>
      <c r="LT1279" s="22"/>
      <c r="LU1279" s="22"/>
      <c r="LV1279" s="22"/>
      <c r="LW1279" s="22"/>
      <c r="LX1279" s="22"/>
      <c r="LY1279" s="22"/>
      <c r="LZ1279" s="22"/>
      <c r="MA1279" s="22"/>
      <c r="MB1279" s="22"/>
      <c r="MC1279" s="22"/>
      <c r="MD1279" s="22"/>
      <c r="ME1279" s="22"/>
      <c r="MF1279" s="22"/>
      <c r="MG1279" s="22"/>
      <c r="MH1279" s="22"/>
      <c r="MI1279" s="22"/>
      <c r="MJ1279" s="22"/>
      <c r="MK1279" s="22"/>
      <c r="ML1279" s="22"/>
      <c r="MM1279" s="22"/>
      <c r="MN1279" s="22"/>
      <c r="MO1279" s="22"/>
      <c r="MP1279" s="22"/>
      <c r="MQ1279" s="22"/>
      <c r="MR1279" s="22"/>
      <c r="MS1279" s="22"/>
      <c r="MT1279" s="22"/>
      <c r="MU1279" s="22"/>
      <c r="MV1279" s="22"/>
      <c r="MW1279" s="22"/>
      <c r="MX1279" s="22"/>
      <c r="MY1279" s="22"/>
      <c r="MZ1279" s="22"/>
      <c r="NA1279" s="22"/>
      <c r="NB1279" s="22"/>
      <c r="NC1279" s="22"/>
      <c r="ND1279" s="22"/>
      <c r="NE1279" s="22"/>
      <c r="NF1279" s="22"/>
      <c r="NG1279" s="22"/>
      <c r="NH1279" s="22"/>
      <c r="NI1279" s="22"/>
      <c r="NJ1279" s="22"/>
      <c r="NK1279" s="22"/>
      <c r="NL1279" s="22"/>
      <c r="NM1279" s="22"/>
      <c r="NN1279" s="22"/>
      <c r="NO1279" s="22"/>
      <c r="NP1279" s="22"/>
      <c r="NQ1279" s="22"/>
      <c r="NR1279" s="22"/>
      <c r="NS1279" s="22"/>
      <c r="NT1279" s="22"/>
      <c r="NU1279" s="22"/>
      <c r="NV1279" s="22"/>
      <c r="NW1279" s="22"/>
      <c r="NX1279" s="22"/>
      <c r="NY1279" s="22"/>
      <c r="NZ1279" s="22"/>
      <c r="OA1279" s="22"/>
      <c r="OB1279" s="22"/>
      <c r="OC1279" s="22"/>
      <c r="OD1279" s="22"/>
      <c r="OE1279" s="22"/>
      <c r="OF1279" s="22"/>
      <c r="OG1279" s="22"/>
      <c r="OH1279" s="22"/>
      <c r="OI1279" s="22"/>
      <c r="OJ1279" s="22"/>
      <c r="OK1279" s="22"/>
      <c r="OL1279" s="22"/>
      <c r="OM1279" s="22"/>
      <c r="ON1279" s="22"/>
      <c r="OO1279" s="22"/>
      <c r="OP1279" s="22"/>
      <c r="OQ1279" s="22"/>
      <c r="OR1279" s="22"/>
      <c r="OS1279" s="22"/>
      <c r="OT1279" s="22"/>
      <c r="OU1279" s="22"/>
      <c r="OV1279" s="22"/>
      <c r="OW1279" s="22"/>
      <c r="OX1279" s="22"/>
      <c r="OY1279" s="22"/>
      <c r="OZ1279" s="22"/>
      <c r="PA1279" s="22"/>
      <c r="PB1279" s="22"/>
      <c r="PC1279" s="22"/>
      <c r="PD1279" s="22"/>
      <c r="PE1279" s="22"/>
      <c r="PF1279" s="22"/>
      <c r="PG1279" s="22"/>
      <c r="PH1279" s="22"/>
      <c r="PI1279" s="22"/>
      <c r="PJ1279" s="22"/>
      <c r="PK1279" s="22"/>
      <c r="PL1279" s="22"/>
      <c r="PM1279" s="22"/>
      <c r="PN1279" s="22"/>
      <c r="PO1279" s="22"/>
      <c r="PP1279" s="22"/>
      <c r="PQ1279" s="22"/>
      <c r="PR1279" s="22"/>
      <c r="PS1279" s="22"/>
      <c r="PT1279" s="22"/>
      <c r="PU1279" s="22"/>
      <c r="PV1279" s="22"/>
      <c r="PW1279" s="22"/>
      <c r="PX1279" s="22"/>
      <c r="PY1279" s="22"/>
      <c r="PZ1279" s="22"/>
      <c r="QA1279" s="22"/>
      <c r="QB1279" s="22"/>
      <c r="QC1279" s="22"/>
      <c r="QD1279" s="22"/>
      <c r="QE1279" s="22"/>
      <c r="QF1279" s="22"/>
      <c r="QG1279" s="22"/>
      <c r="QH1279" s="22"/>
      <c r="QI1279" s="22"/>
      <c r="QJ1279" s="22"/>
      <c r="QK1279" s="22"/>
      <c r="QL1279" s="22"/>
      <c r="QM1279" s="22"/>
      <c r="QN1279" s="22"/>
      <c r="QO1279" s="22"/>
      <c r="QP1279" s="22"/>
      <c r="QQ1279" s="22"/>
      <c r="QR1279" s="22"/>
      <c r="QS1279" s="22"/>
      <c r="QT1279" s="22"/>
      <c r="QU1279" s="22"/>
      <c r="QV1279" s="22"/>
      <c r="QW1279" s="22"/>
      <c r="QX1279" s="22"/>
      <c r="QY1279" s="22"/>
      <c r="QZ1279" s="22"/>
      <c r="RA1279" s="22"/>
      <c r="RB1279" s="22"/>
      <c r="RC1279" s="22"/>
      <c r="RD1279" s="22"/>
      <c r="RE1279" s="22"/>
      <c r="RF1279" s="22"/>
      <c r="RG1279" s="22"/>
      <c r="RH1279" s="22"/>
      <c r="RI1279" s="22"/>
      <c r="RJ1279" s="22"/>
      <c r="RK1279" s="22"/>
      <c r="RL1279" s="22"/>
      <c r="RM1279" s="22"/>
      <c r="RN1279" s="22"/>
      <c r="RO1279" s="22"/>
      <c r="RP1279" s="22"/>
      <c r="RQ1279" s="22"/>
      <c r="RR1279" s="22"/>
      <c r="RS1279" s="22"/>
      <c r="RT1279" s="22"/>
      <c r="RU1279" s="22"/>
      <c r="RV1279" s="22"/>
      <c r="RW1279" s="22"/>
      <c r="RX1279" s="22"/>
      <c r="RY1279" s="22"/>
      <c r="RZ1279" s="22"/>
      <c r="SA1279" s="22"/>
      <c r="SB1279" s="22"/>
      <c r="SC1279" s="22"/>
      <c r="SD1279" s="22"/>
      <c r="SE1279" s="22"/>
      <c r="SF1279" s="22"/>
      <c r="SG1279" s="22"/>
      <c r="SH1279" s="22"/>
      <c r="SI1279" s="22"/>
      <c r="SJ1279" s="22"/>
      <c r="SK1279" s="22"/>
      <c r="SL1279" s="22"/>
      <c r="SM1279" s="22"/>
      <c r="SN1279" s="22"/>
      <c r="SO1279" s="22"/>
      <c r="SP1279" s="22"/>
      <c r="SQ1279" s="22"/>
      <c r="SR1279" s="22"/>
      <c r="SS1279" s="22"/>
      <c r="ST1279" s="22"/>
      <c r="SU1279" s="22"/>
      <c r="SV1279" s="22"/>
      <c r="SW1279" s="22"/>
      <c r="SX1279" s="22"/>
      <c r="SY1279" s="22"/>
      <c r="SZ1279" s="22"/>
      <c r="TA1279" s="22"/>
      <c r="TB1279" s="22"/>
      <c r="TC1279" s="22"/>
      <c r="TD1279" s="22"/>
      <c r="TE1279" s="22"/>
      <c r="TF1279" s="22"/>
      <c r="TG1279" s="22"/>
      <c r="TH1279" s="22"/>
      <c r="TI1279" s="22"/>
      <c r="TJ1279" s="22"/>
      <c r="TK1279" s="22"/>
      <c r="TL1279" s="22"/>
      <c r="TM1279" s="22"/>
      <c r="TN1279" s="22"/>
      <c r="TO1279" s="22"/>
      <c r="TP1279" s="22"/>
      <c r="TQ1279" s="22"/>
      <c r="TR1279" s="22"/>
      <c r="TS1279" s="22"/>
      <c r="TT1279" s="22"/>
      <c r="TU1279" s="22"/>
      <c r="TV1279" s="22"/>
      <c r="TW1279" s="22"/>
      <c r="TX1279" s="22"/>
      <c r="TY1279" s="22"/>
      <c r="TZ1279" s="22"/>
      <c r="UA1279" s="22"/>
      <c r="UB1279" s="22"/>
      <c r="UC1279" s="22"/>
      <c r="UD1279" s="22"/>
      <c r="UE1279" s="22"/>
      <c r="UF1279" s="22"/>
      <c r="UG1279" s="23"/>
    </row>
    <row r="1280" spans="1:553" ht="59.25" customHeight="1">
      <c r="A1280" s="356" t="s">
        <v>53</v>
      </c>
      <c r="B1280" s="356"/>
      <c r="C1280" s="1573" t="s">
        <v>702</v>
      </c>
      <c r="D1280" s="1389"/>
      <c r="E1280" s="1389"/>
      <c r="F1280" s="1390"/>
      <c r="G1280" s="356"/>
      <c r="H1280" s="424"/>
      <c r="I1280" s="424"/>
      <c r="J1280" s="357"/>
      <c r="K1280" s="358"/>
      <c r="L1280" s="645">
        <f>L1281</f>
        <v>5000000</v>
      </c>
      <c r="M1280" s="356"/>
      <c r="N1280" s="356"/>
      <c r="O1280" s="356"/>
      <c r="P1280" s="356">
        <f t="shared" si="192"/>
        <v>5000000</v>
      </c>
      <c r="Q1280" s="610"/>
      <c r="R1280" s="1447" t="s">
        <v>55</v>
      </c>
      <c r="S1280" s="308"/>
      <c r="T1280" s="308"/>
      <c r="U1280" s="308"/>
      <c r="V1280" s="308"/>
      <c r="W1280" s="308"/>
      <c r="X1280" s="308"/>
      <c r="Y1280" s="308"/>
      <c r="Z1280" s="604"/>
      <c r="AA1280" s="308"/>
      <c r="AB1280" s="308"/>
      <c r="AC1280" s="404"/>
      <c r="AD1280" s="404"/>
      <c r="AE1280" s="404"/>
      <c r="AF1280" s="404"/>
      <c r="AG1280" s="404"/>
      <c r="AH1280" s="404"/>
      <c r="AI1280" s="404"/>
      <c r="AJ1280" s="404"/>
      <c r="AK1280" s="404"/>
      <c r="AL1280" s="295"/>
      <c r="AM1280" s="24"/>
      <c r="AN1280" s="24"/>
      <c r="AO1280" s="24"/>
      <c r="AP1280" s="24"/>
      <c r="AQ1280" s="24"/>
      <c r="AR1280" s="24"/>
      <c r="AS1280" s="24"/>
      <c r="AT1280" s="18"/>
      <c r="AU1280" s="18"/>
      <c r="AV1280" s="18"/>
      <c r="AW1280" s="18"/>
      <c r="AX1280" s="18"/>
      <c r="AY1280" s="18"/>
      <c r="AZ1280" s="18"/>
      <c r="BA1280" s="18"/>
      <c r="BB1280" s="18"/>
      <c r="BC1280" s="18"/>
      <c r="BD1280" s="18"/>
      <c r="BE1280" s="18"/>
      <c r="BF1280" s="18"/>
      <c r="BG1280" s="18"/>
      <c r="BH1280" s="18"/>
      <c r="BI1280" s="18"/>
      <c r="BJ1280" s="18"/>
      <c r="BK1280" s="18"/>
      <c r="BL1280" s="18"/>
      <c r="BM1280" s="18"/>
      <c r="BN1280" s="18"/>
      <c r="BO1280" s="18"/>
      <c r="BP1280" s="18"/>
      <c r="BQ1280" s="18"/>
      <c r="BR1280" s="18"/>
      <c r="BS1280" s="18"/>
      <c r="BT1280" s="18"/>
      <c r="BU1280" s="18"/>
      <c r="BV1280" s="18"/>
      <c r="BW1280" s="18"/>
      <c r="BX1280" s="18"/>
      <c r="BY1280" s="18"/>
      <c r="BZ1280" s="18"/>
      <c r="CA1280" s="18"/>
      <c r="CB1280" s="18"/>
      <c r="CC1280" s="18"/>
      <c r="CD1280" s="18"/>
      <c r="CE1280" s="18"/>
      <c r="CF1280" s="18"/>
      <c r="CG1280" s="18"/>
      <c r="CH1280" s="18"/>
      <c r="CI1280" s="18"/>
      <c r="CJ1280" s="18"/>
      <c r="CK1280" s="18"/>
      <c r="CL1280" s="18"/>
      <c r="CM1280" s="18"/>
      <c r="CN1280" s="18"/>
      <c r="CO1280" s="18"/>
      <c r="CP1280" s="18"/>
      <c r="CQ1280" s="18"/>
      <c r="CR1280" s="18"/>
      <c r="CS1280" s="18"/>
      <c r="CT1280" s="18"/>
      <c r="CU1280" s="18"/>
      <c r="CV1280" s="18"/>
      <c r="CW1280" s="18"/>
      <c r="CX1280" s="18"/>
      <c r="CY1280" s="18"/>
      <c r="CZ1280" s="18"/>
      <c r="DA1280" s="18"/>
      <c r="DB1280" s="18"/>
      <c r="DC1280" s="18"/>
      <c r="DD1280" s="18"/>
      <c r="DE1280" s="18"/>
      <c r="DF1280" s="18"/>
      <c r="DG1280" s="18"/>
      <c r="DH1280" s="18"/>
      <c r="DI1280" s="18"/>
      <c r="DJ1280" s="18"/>
      <c r="DK1280" s="18"/>
      <c r="DL1280" s="18"/>
      <c r="DM1280" s="18"/>
      <c r="DN1280" s="18"/>
      <c r="DO1280" s="18"/>
      <c r="DP1280" s="18"/>
      <c r="DQ1280" s="18"/>
      <c r="DR1280" s="18"/>
      <c r="DS1280" s="18"/>
      <c r="DT1280" s="18"/>
      <c r="DU1280" s="18"/>
      <c r="DV1280" s="18"/>
      <c r="DW1280" s="18"/>
      <c r="DX1280" s="18"/>
      <c r="DY1280" s="18"/>
      <c r="DZ1280" s="18"/>
      <c r="EA1280" s="18"/>
      <c r="EB1280" s="18"/>
      <c r="EC1280" s="18"/>
      <c r="ED1280" s="18"/>
      <c r="EE1280" s="18"/>
      <c r="EF1280" s="18"/>
      <c r="EG1280" s="18"/>
      <c r="EH1280" s="18"/>
      <c r="EI1280" s="18"/>
      <c r="EJ1280" s="18"/>
      <c r="EK1280" s="18"/>
      <c r="EL1280" s="18"/>
      <c r="EM1280" s="18"/>
      <c r="EN1280" s="18"/>
      <c r="EO1280" s="18"/>
      <c r="EP1280" s="18"/>
      <c r="EQ1280" s="18"/>
      <c r="ER1280" s="18"/>
      <c r="ES1280" s="18"/>
      <c r="ET1280" s="18"/>
      <c r="EU1280" s="18"/>
      <c r="EV1280" s="18"/>
      <c r="EW1280" s="18"/>
      <c r="EX1280" s="18"/>
      <c r="EY1280" s="18"/>
      <c r="EZ1280" s="18"/>
      <c r="FA1280" s="18"/>
      <c r="FB1280" s="18"/>
      <c r="FC1280" s="18"/>
      <c r="FD1280" s="18"/>
      <c r="FE1280" s="18"/>
      <c r="FF1280" s="18"/>
      <c r="FG1280" s="18"/>
      <c r="FH1280" s="18"/>
      <c r="FI1280" s="18"/>
      <c r="FJ1280" s="18"/>
      <c r="FK1280" s="18"/>
      <c r="FL1280" s="18"/>
      <c r="FM1280" s="18"/>
      <c r="FN1280" s="18"/>
      <c r="FO1280" s="18"/>
      <c r="FP1280" s="18"/>
      <c r="FQ1280" s="18"/>
      <c r="FR1280" s="18"/>
      <c r="FS1280" s="18"/>
      <c r="FT1280" s="18"/>
      <c r="FU1280" s="18"/>
      <c r="FV1280" s="18"/>
      <c r="FW1280" s="18"/>
      <c r="FX1280" s="18"/>
      <c r="FY1280" s="18"/>
      <c r="FZ1280" s="18"/>
      <c r="GA1280" s="18"/>
      <c r="GB1280" s="18"/>
      <c r="GC1280" s="18"/>
      <c r="GD1280" s="18"/>
      <c r="GE1280" s="18"/>
      <c r="GF1280" s="18"/>
      <c r="GG1280" s="18"/>
      <c r="GH1280" s="18"/>
      <c r="GI1280" s="18"/>
      <c r="GJ1280" s="18"/>
      <c r="GK1280" s="18"/>
      <c r="GL1280" s="18"/>
      <c r="GM1280" s="18"/>
      <c r="GN1280" s="18"/>
      <c r="GO1280" s="18"/>
      <c r="GP1280" s="18"/>
      <c r="GQ1280" s="18"/>
      <c r="GR1280" s="18"/>
      <c r="GS1280" s="18"/>
      <c r="GT1280" s="18"/>
      <c r="GU1280" s="18"/>
      <c r="GV1280" s="18"/>
      <c r="GW1280" s="18"/>
      <c r="GX1280" s="18"/>
      <c r="GY1280" s="18"/>
      <c r="GZ1280" s="18"/>
      <c r="HA1280" s="18"/>
      <c r="HB1280" s="18"/>
      <c r="HC1280" s="18"/>
      <c r="HD1280" s="18"/>
      <c r="HE1280" s="18"/>
      <c r="HF1280" s="18"/>
      <c r="HG1280" s="18"/>
      <c r="HH1280" s="18"/>
      <c r="HI1280" s="18"/>
      <c r="HJ1280" s="18"/>
      <c r="HK1280" s="18"/>
      <c r="HL1280" s="18"/>
      <c r="HM1280" s="18"/>
      <c r="HN1280" s="18"/>
      <c r="HO1280" s="18"/>
      <c r="HP1280" s="18"/>
      <c r="HQ1280" s="18"/>
      <c r="HR1280" s="18"/>
      <c r="HS1280" s="18"/>
      <c r="HT1280" s="18"/>
      <c r="HU1280" s="18"/>
      <c r="HV1280" s="18"/>
      <c r="HW1280" s="18"/>
      <c r="HX1280" s="18"/>
      <c r="HY1280" s="18"/>
      <c r="HZ1280" s="18"/>
      <c r="IA1280" s="18"/>
      <c r="IB1280" s="18"/>
      <c r="IC1280" s="18"/>
      <c r="ID1280" s="18"/>
      <c r="IE1280" s="18"/>
      <c r="IF1280" s="18"/>
      <c r="IG1280" s="18"/>
      <c r="IH1280" s="18"/>
      <c r="II1280" s="18"/>
      <c r="IJ1280" s="18"/>
      <c r="IK1280" s="18"/>
      <c r="IL1280" s="18"/>
      <c r="IM1280" s="18"/>
      <c r="IN1280" s="18"/>
      <c r="IO1280" s="18"/>
      <c r="IP1280" s="18"/>
      <c r="IQ1280" s="18"/>
      <c r="IR1280" s="18"/>
      <c r="IS1280" s="18"/>
      <c r="IT1280" s="18"/>
      <c r="IU1280" s="18"/>
      <c r="IV1280" s="18"/>
      <c r="IW1280" s="18"/>
      <c r="IX1280" s="18"/>
      <c r="IY1280" s="18"/>
      <c r="IZ1280" s="18"/>
      <c r="JA1280" s="18"/>
      <c r="JB1280" s="18"/>
      <c r="JC1280" s="18"/>
      <c r="JD1280" s="18"/>
      <c r="JE1280" s="18"/>
      <c r="JF1280" s="18"/>
      <c r="JG1280" s="18"/>
      <c r="JH1280" s="18"/>
      <c r="JI1280" s="18"/>
      <c r="JJ1280" s="18"/>
      <c r="JK1280" s="18"/>
      <c r="JL1280" s="18"/>
      <c r="JM1280" s="18"/>
      <c r="JN1280" s="18"/>
      <c r="JO1280" s="18"/>
      <c r="JP1280" s="18"/>
      <c r="JQ1280" s="18"/>
      <c r="JR1280" s="18"/>
      <c r="JS1280" s="18"/>
      <c r="JT1280" s="18"/>
      <c r="JU1280" s="18"/>
      <c r="JV1280" s="18"/>
      <c r="JW1280" s="18"/>
      <c r="JX1280" s="18"/>
      <c r="JY1280" s="18"/>
      <c r="JZ1280" s="18"/>
      <c r="KA1280" s="18"/>
      <c r="KB1280" s="18"/>
      <c r="KC1280" s="18"/>
      <c r="KD1280" s="18"/>
      <c r="KE1280" s="18"/>
      <c r="KF1280" s="18"/>
      <c r="KG1280" s="18"/>
      <c r="KH1280" s="18"/>
      <c r="KI1280" s="18"/>
      <c r="KJ1280" s="18"/>
      <c r="KK1280" s="18"/>
      <c r="KL1280" s="18"/>
      <c r="KM1280" s="18"/>
      <c r="KN1280" s="18"/>
      <c r="KO1280" s="18"/>
      <c r="KP1280" s="18"/>
      <c r="KQ1280" s="18"/>
      <c r="KR1280" s="18"/>
      <c r="KS1280" s="18"/>
      <c r="KT1280" s="18"/>
      <c r="KU1280" s="18"/>
      <c r="KV1280" s="18"/>
      <c r="KW1280" s="18"/>
      <c r="KX1280" s="18"/>
      <c r="KY1280" s="18"/>
      <c r="KZ1280" s="18"/>
      <c r="LA1280" s="18"/>
      <c r="LB1280" s="18"/>
      <c r="LC1280" s="18"/>
      <c r="LD1280" s="18"/>
      <c r="LE1280" s="18"/>
      <c r="LF1280" s="18"/>
      <c r="LG1280" s="18"/>
      <c r="LH1280" s="18"/>
      <c r="LI1280" s="18"/>
      <c r="LJ1280" s="18"/>
      <c r="LK1280" s="18"/>
      <c r="LL1280" s="18"/>
      <c r="LM1280" s="18"/>
      <c r="LN1280" s="18"/>
      <c r="LO1280" s="18"/>
      <c r="LP1280" s="18"/>
      <c r="LQ1280" s="18"/>
      <c r="LR1280" s="18"/>
      <c r="LS1280" s="18"/>
      <c r="LT1280" s="18"/>
      <c r="LU1280" s="18"/>
      <c r="LV1280" s="18"/>
      <c r="LW1280" s="18"/>
      <c r="LX1280" s="18"/>
      <c r="LY1280" s="18"/>
      <c r="LZ1280" s="18"/>
      <c r="MA1280" s="18"/>
      <c r="MB1280" s="18"/>
      <c r="MC1280" s="18"/>
      <c r="MD1280" s="18"/>
      <c r="ME1280" s="18"/>
      <c r="MF1280" s="18"/>
      <c r="MG1280" s="18"/>
      <c r="MH1280" s="18"/>
      <c r="MI1280" s="18"/>
      <c r="MJ1280" s="18"/>
      <c r="MK1280" s="18"/>
      <c r="ML1280" s="18"/>
      <c r="MM1280" s="18"/>
      <c r="MN1280" s="18"/>
      <c r="MO1280" s="18"/>
      <c r="MP1280" s="18"/>
      <c r="MQ1280" s="18"/>
      <c r="MR1280" s="18"/>
      <c r="MS1280" s="18"/>
      <c r="MT1280" s="18"/>
      <c r="MU1280" s="18"/>
      <c r="MV1280" s="18"/>
      <c r="MW1280" s="18"/>
      <c r="MX1280" s="18"/>
      <c r="MY1280" s="18"/>
      <c r="MZ1280" s="18"/>
      <c r="NA1280" s="18"/>
      <c r="NB1280" s="18"/>
      <c r="NC1280" s="18"/>
      <c r="ND1280" s="18"/>
      <c r="NE1280" s="18"/>
      <c r="NF1280" s="18"/>
      <c r="NG1280" s="18"/>
      <c r="NH1280" s="18"/>
      <c r="NI1280" s="18"/>
      <c r="NJ1280" s="18"/>
      <c r="NK1280" s="18"/>
      <c r="NL1280" s="18"/>
      <c r="NM1280" s="18"/>
      <c r="NN1280" s="18"/>
      <c r="NO1280" s="18"/>
      <c r="NP1280" s="18"/>
      <c r="NQ1280" s="18"/>
      <c r="NR1280" s="18"/>
      <c r="NS1280" s="18"/>
      <c r="NT1280" s="18"/>
      <c r="NU1280" s="18"/>
      <c r="NV1280" s="18"/>
      <c r="NW1280" s="18"/>
      <c r="NX1280" s="18"/>
      <c r="NY1280" s="18"/>
      <c r="NZ1280" s="18"/>
      <c r="OA1280" s="18"/>
      <c r="OB1280" s="18"/>
      <c r="OC1280" s="18"/>
      <c r="OD1280" s="18"/>
      <c r="OE1280" s="18"/>
      <c r="OF1280" s="18"/>
      <c r="OG1280" s="18"/>
      <c r="OH1280" s="18"/>
      <c r="OI1280" s="18"/>
      <c r="OJ1280" s="18"/>
      <c r="OK1280" s="18"/>
      <c r="OL1280" s="18"/>
      <c r="OM1280" s="18"/>
      <c r="ON1280" s="18"/>
      <c r="OO1280" s="18"/>
      <c r="OP1280" s="18"/>
      <c r="OQ1280" s="18"/>
      <c r="OR1280" s="18"/>
      <c r="OS1280" s="18"/>
      <c r="OT1280" s="18"/>
      <c r="OU1280" s="18"/>
      <c r="OV1280" s="18"/>
      <c r="OW1280" s="18"/>
      <c r="OX1280" s="18"/>
      <c r="OY1280" s="18"/>
      <c r="OZ1280" s="18"/>
      <c r="PA1280" s="18"/>
      <c r="PB1280" s="18"/>
      <c r="PC1280" s="18"/>
      <c r="PD1280" s="18"/>
      <c r="PE1280" s="18"/>
      <c r="PF1280" s="18"/>
      <c r="PG1280" s="18"/>
      <c r="PH1280" s="18"/>
      <c r="PI1280" s="18"/>
      <c r="PJ1280" s="18"/>
      <c r="PK1280" s="18"/>
      <c r="PL1280" s="18"/>
      <c r="PM1280" s="18"/>
      <c r="PN1280" s="18"/>
      <c r="PO1280" s="18"/>
      <c r="PP1280" s="18"/>
      <c r="PQ1280" s="18"/>
      <c r="PR1280" s="18"/>
      <c r="PS1280" s="18"/>
      <c r="PT1280" s="18"/>
      <c r="PU1280" s="18"/>
      <c r="PV1280" s="18"/>
      <c r="PW1280" s="18"/>
      <c r="PX1280" s="18"/>
      <c r="PY1280" s="18"/>
      <c r="PZ1280" s="18"/>
      <c r="QA1280" s="18"/>
      <c r="QB1280" s="18"/>
      <c r="QC1280" s="18"/>
      <c r="QD1280" s="18"/>
      <c r="QE1280" s="18"/>
      <c r="QF1280" s="18"/>
      <c r="QG1280" s="18"/>
      <c r="QH1280" s="18"/>
      <c r="QI1280" s="18"/>
      <c r="QJ1280" s="18"/>
      <c r="QK1280" s="18"/>
      <c r="QL1280" s="18"/>
      <c r="QM1280" s="18"/>
      <c r="QN1280" s="18"/>
      <c r="QO1280" s="18"/>
      <c r="QP1280" s="18"/>
      <c r="QQ1280" s="18"/>
      <c r="QR1280" s="18"/>
      <c r="QS1280" s="18"/>
      <c r="QT1280" s="18"/>
      <c r="QU1280" s="18"/>
      <c r="QV1280" s="18"/>
      <c r="QW1280" s="18"/>
      <c r="QX1280" s="18"/>
      <c r="QY1280" s="18"/>
      <c r="QZ1280" s="18"/>
      <c r="RA1280" s="18"/>
      <c r="RB1280" s="18"/>
      <c r="RC1280" s="18"/>
      <c r="RD1280" s="18"/>
      <c r="RE1280" s="18"/>
      <c r="RF1280" s="18"/>
      <c r="RG1280" s="18"/>
      <c r="RH1280" s="18"/>
      <c r="RI1280" s="18"/>
      <c r="RJ1280" s="18"/>
      <c r="RK1280" s="18"/>
      <c r="RL1280" s="18"/>
      <c r="RM1280" s="18"/>
      <c r="RN1280" s="18"/>
      <c r="RO1280" s="18"/>
      <c r="RP1280" s="18"/>
      <c r="RQ1280" s="18"/>
      <c r="RR1280" s="18"/>
      <c r="RS1280" s="18"/>
      <c r="RT1280" s="18"/>
      <c r="RU1280" s="18"/>
      <c r="RV1280" s="18"/>
      <c r="RW1280" s="18"/>
      <c r="RX1280" s="18"/>
      <c r="RY1280" s="18"/>
      <c r="RZ1280" s="18"/>
      <c r="SA1280" s="18"/>
      <c r="SB1280" s="18"/>
      <c r="SC1280" s="18"/>
      <c r="SD1280" s="18"/>
      <c r="SE1280" s="18"/>
      <c r="SF1280" s="18"/>
      <c r="SG1280" s="18"/>
      <c r="SH1280" s="18"/>
      <c r="SI1280" s="18"/>
      <c r="SJ1280" s="18"/>
      <c r="SK1280" s="18"/>
      <c r="SL1280" s="18"/>
      <c r="SM1280" s="18"/>
      <c r="SN1280" s="18"/>
      <c r="SO1280" s="18"/>
      <c r="SP1280" s="18"/>
      <c r="SQ1280" s="18"/>
      <c r="SR1280" s="18"/>
      <c r="SS1280" s="18"/>
      <c r="ST1280" s="18"/>
      <c r="SU1280" s="18"/>
      <c r="SV1280" s="18"/>
      <c r="SW1280" s="18"/>
      <c r="SX1280" s="18"/>
      <c r="SY1280" s="18"/>
      <c r="SZ1280" s="18"/>
      <c r="TA1280" s="18"/>
      <c r="TB1280" s="18"/>
      <c r="TC1280" s="18"/>
      <c r="TD1280" s="18"/>
      <c r="TE1280" s="18"/>
      <c r="TF1280" s="18"/>
      <c r="TG1280" s="18"/>
      <c r="TH1280" s="18"/>
      <c r="TI1280" s="18"/>
      <c r="TJ1280" s="18"/>
      <c r="TK1280" s="18"/>
      <c r="TL1280" s="18"/>
      <c r="TM1280" s="18"/>
      <c r="TN1280" s="18"/>
      <c r="TO1280" s="18"/>
      <c r="TP1280" s="18"/>
      <c r="TQ1280" s="18"/>
      <c r="TR1280" s="18"/>
      <c r="TS1280" s="18"/>
      <c r="TT1280" s="18"/>
      <c r="TU1280" s="18"/>
      <c r="TV1280" s="18"/>
      <c r="TW1280" s="18"/>
      <c r="TX1280" s="18"/>
      <c r="TY1280" s="18"/>
      <c r="TZ1280" s="18"/>
      <c r="UA1280" s="18"/>
      <c r="UB1280" s="18"/>
      <c r="UC1280" s="18"/>
      <c r="UD1280" s="18"/>
      <c r="UE1280" s="18"/>
      <c r="UF1280" s="18"/>
      <c r="UG1280" s="19"/>
    </row>
    <row r="1281" spans="1:553" ht="59.25" customHeight="1">
      <c r="A1281" s="356"/>
      <c r="B1281" s="356"/>
      <c r="C1281" s="1538" t="s">
        <v>56</v>
      </c>
      <c r="D1281" s="1389"/>
      <c r="E1281" s="1389"/>
      <c r="F1281" s="1390"/>
      <c r="G1281" s="366" t="s">
        <v>57</v>
      </c>
      <c r="H1281" s="417"/>
      <c r="I1281" s="417">
        <v>1</v>
      </c>
      <c r="J1281" s="368">
        <v>5000000</v>
      </c>
      <c r="K1281" s="369"/>
      <c r="L1281" s="480">
        <f>I1281*J1281</f>
        <v>5000000</v>
      </c>
      <c r="M1281" s="356"/>
      <c r="N1281" s="356"/>
      <c r="O1281" s="356"/>
      <c r="P1281" s="356"/>
      <c r="Q1281" s="610"/>
      <c r="R1281" s="1452"/>
      <c r="S1281" s="308"/>
      <c r="T1281" s="308"/>
      <c r="U1281" s="308"/>
      <c r="V1281" s="308"/>
      <c r="W1281" s="308"/>
      <c r="X1281" s="308"/>
      <c r="Y1281" s="308"/>
      <c r="Z1281" s="604"/>
      <c r="AA1281" s="308"/>
      <c r="AB1281" s="308"/>
      <c r="AC1281" s="456"/>
      <c r="AD1281" s="456"/>
      <c r="AE1281" s="456"/>
      <c r="AF1281" s="456"/>
      <c r="AG1281" s="456"/>
      <c r="AH1281" s="456"/>
      <c r="AI1281" s="456"/>
      <c r="AJ1281" s="456"/>
      <c r="AK1281" s="456"/>
      <c r="AL1281" s="184"/>
      <c r="AM1281" s="34"/>
      <c r="AN1281" s="34"/>
      <c r="AO1281" s="34"/>
      <c r="AP1281" s="34"/>
      <c r="AQ1281" s="34"/>
      <c r="AR1281" s="34"/>
      <c r="AS1281" s="34"/>
      <c r="AT1281" s="35"/>
      <c r="AU1281" s="35"/>
      <c r="AV1281" s="35"/>
      <c r="AW1281" s="35"/>
      <c r="AX1281" s="35"/>
      <c r="AY1281" s="35"/>
      <c r="AZ1281" s="35"/>
      <c r="BA1281" s="35"/>
      <c r="BB1281" s="35"/>
      <c r="BC1281" s="35"/>
      <c r="BD1281" s="35"/>
      <c r="BE1281" s="35"/>
      <c r="BF1281" s="35"/>
      <c r="BG1281" s="35"/>
      <c r="BH1281" s="35"/>
      <c r="BI1281" s="35"/>
      <c r="BJ1281" s="35"/>
      <c r="BK1281" s="35"/>
      <c r="BL1281" s="35"/>
      <c r="BM1281" s="35"/>
      <c r="BN1281" s="35"/>
      <c r="BO1281" s="35"/>
      <c r="BP1281" s="36"/>
      <c r="BQ1281" s="36"/>
      <c r="BR1281" s="36"/>
      <c r="BS1281" s="36"/>
      <c r="BT1281" s="36"/>
      <c r="BU1281" s="36"/>
      <c r="BV1281" s="36"/>
      <c r="BW1281" s="36"/>
      <c r="BX1281" s="36"/>
      <c r="BY1281" s="36"/>
      <c r="BZ1281" s="36"/>
      <c r="CA1281" s="36"/>
      <c r="CB1281" s="36"/>
      <c r="CC1281" s="36"/>
      <c r="CD1281" s="36"/>
      <c r="CE1281" s="36"/>
      <c r="CF1281" s="36"/>
      <c r="CG1281" s="36"/>
      <c r="CH1281" s="36"/>
      <c r="CI1281" s="36"/>
      <c r="CJ1281" s="36"/>
      <c r="CK1281" s="36"/>
      <c r="CL1281" s="36"/>
      <c r="CM1281" s="36"/>
      <c r="CN1281" s="36"/>
      <c r="CO1281" s="36"/>
      <c r="CP1281" s="36"/>
      <c r="CQ1281" s="36"/>
      <c r="CR1281" s="36"/>
      <c r="CS1281" s="36"/>
      <c r="CT1281" s="36"/>
      <c r="CU1281" s="36"/>
      <c r="CV1281" s="36"/>
      <c r="CW1281" s="36"/>
      <c r="CX1281" s="36"/>
      <c r="CY1281" s="36"/>
      <c r="CZ1281" s="36"/>
      <c r="DA1281" s="36"/>
      <c r="DB1281" s="36"/>
      <c r="DC1281" s="36"/>
      <c r="DD1281" s="36"/>
      <c r="DE1281" s="36"/>
      <c r="DF1281" s="36"/>
      <c r="DG1281" s="36"/>
      <c r="DH1281" s="36"/>
      <c r="DI1281" s="36"/>
      <c r="DJ1281" s="36"/>
      <c r="DK1281" s="36"/>
      <c r="DL1281" s="36"/>
      <c r="DM1281" s="36"/>
      <c r="DN1281" s="36"/>
      <c r="DO1281" s="36"/>
      <c r="DP1281" s="36"/>
      <c r="DQ1281" s="36"/>
      <c r="DR1281" s="36"/>
      <c r="DS1281" s="36"/>
      <c r="DT1281" s="36"/>
      <c r="DU1281" s="36"/>
      <c r="DV1281" s="36"/>
      <c r="DW1281" s="36"/>
      <c r="DX1281" s="36"/>
      <c r="DY1281" s="36"/>
      <c r="DZ1281" s="36"/>
      <c r="EA1281" s="36"/>
      <c r="EB1281" s="36"/>
      <c r="EC1281" s="36"/>
      <c r="ED1281" s="36"/>
      <c r="EE1281" s="36"/>
      <c r="EF1281" s="36"/>
      <c r="EG1281" s="36"/>
      <c r="EH1281" s="36"/>
      <c r="EI1281" s="36"/>
      <c r="EJ1281" s="36"/>
      <c r="EK1281" s="36"/>
      <c r="EL1281" s="36"/>
      <c r="EM1281" s="36"/>
      <c r="EN1281" s="36"/>
      <c r="EO1281" s="36"/>
      <c r="EP1281" s="36"/>
      <c r="EQ1281" s="36"/>
      <c r="ER1281" s="36"/>
      <c r="ES1281" s="36"/>
      <c r="ET1281" s="36"/>
      <c r="EU1281" s="36"/>
      <c r="EV1281" s="36"/>
      <c r="EW1281" s="36"/>
      <c r="EX1281" s="36"/>
      <c r="EY1281" s="36"/>
      <c r="EZ1281" s="36"/>
      <c r="FA1281" s="36"/>
      <c r="FB1281" s="36"/>
      <c r="FC1281" s="36"/>
      <c r="FD1281" s="36"/>
      <c r="FE1281" s="36"/>
      <c r="FF1281" s="36"/>
      <c r="FG1281" s="36"/>
      <c r="FH1281" s="36"/>
      <c r="FI1281" s="36"/>
      <c r="FJ1281" s="36"/>
      <c r="FK1281" s="36"/>
      <c r="FL1281" s="36"/>
      <c r="FM1281" s="36"/>
      <c r="FN1281" s="36"/>
      <c r="FO1281" s="36"/>
      <c r="FP1281" s="36"/>
      <c r="FQ1281" s="36"/>
      <c r="FR1281" s="36"/>
      <c r="FS1281" s="36"/>
      <c r="FT1281" s="36"/>
      <c r="FU1281" s="36"/>
      <c r="FV1281" s="36"/>
      <c r="FW1281" s="36"/>
      <c r="FX1281" s="36"/>
      <c r="FY1281" s="36"/>
      <c r="FZ1281" s="36"/>
      <c r="GA1281" s="36"/>
      <c r="GB1281" s="36"/>
      <c r="GC1281" s="36"/>
      <c r="GD1281" s="36"/>
      <c r="GE1281" s="36"/>
      <c r="GF1281" s="36"/>
      <c r="GG1281" s="36"/>
      <c r="GH1281" s="36"/>
      <c r="GI1281" s="36"/>
      <c r="GJ1281" s="36"/>
      <c r="GK1281" s="36"/>
      <c r="GL1281" s="36"/>
      <c r="GM1281" s="36"/>
      <c r="GN1281" s="36"/>
      <c r="GO1281" s="36"/>
      <c r="GP1281" s="36"/>
      <c r="GQ1281" s="36"/>
      <c r="GR1281" s="36"/>
      <c r="GS1281" s="36"/>
      <c r="GT1281" s="36"/>
      <c r="GU1281" s="36"/>
      <c r="GV1281" s="36"/>
      <c r="GW1281" s="36"/>
      <c r="GX1281" s="36"/>
      <c r="GY1281" s="36"/>
      <c r="GZ1281" s="36"/>
      <c r="HA1281" s="36"/>
      <c r="HB1281" s="36"/>
      <c r="HC1281" s="36"/>
      <c r="HD1281" s="36"/>
      <c r="HE1281" s="36"/>
      <c r="HF1281" s="36"/>
      <c r="HG1281" s="36"/>
      <c r="HH1281" s="36"/>
      <c r="HI1281" s="36"/>
      <c r="HJ1281" s="36"/>
      <c r="HK1281" s="36"/>
      <c r="HL1281" s="36"/>
      <c r="HM1281" s="36"/>
      <c r="HN1281" s="36"/>
      <c r="HO1281" s="36"/>
      <c r="HP1281" s="36"/>
      <c r="HQ1281" s="36"/>
      <c r="HR1281" s="36"/>
      <c r="HS1281" s="36"/>
      <c r="HT1281" s="36"/>
      <c r="HU1281" s="36"/>
      <c r="HV1281" s="36"/>
      <c r="HW1281" s="36"/>
      <c r="HX1281" s="36"/>
      <c r="HY1281" s="36"/>
      <c r="HZ1281" s="36"/>
      <c r="IA1281" s="36"/>
      <c r="IB1281" s="36"/>
      <c r="IC1281" s="36"/>
      <c r="ID1281" s="36"/>
      <c r="IE1281" s="36"/>
      <c r="IF1281" s="36"/>
      <c r="IG1281" s="36"/>
      <c r="IH1281" s="36"/>
      <c r="II1281" s="36"/>
      <c r="IJ1281" s="36"/>
      <c r="IK1281" s="36"/>
      <c r="IL1281" s="36"/>
      <c r="IM1281" s="36"/>
      <c r="IN1281" s="36"/>
      <c r="IO1281" s="36"/>
      <c r="IP1281" s="36"/>
      <c r="IQ1281" s="36"/>
      <c r="IR1281" s="36"/>
      <c r="IS1281" s="36"/>
      <c r="IT1281" s="36"/>
      <c r="IU1281" s="36"/>
      <c r="IV1281" s="36"/>
      <c r="IW1281" s="36"/>
      <c r="IX1281" s="36"/>
      <c r="IY1281" s="36"/>
      <c r="IZ1281" s="36"/>
      <c r="JA1281" s="36"/>
      <c r="JB1281" s="36"/>
      <c r="JC1281" s="36"/>
      <c r="JD1281" s="36"/>
      <c r="JE1281" s="36"/>
      <c r="JF1281" s="36"/>
      <c r="JG1281" s="36"/>
      <c r="JH1281" s="36"/>
      <c r="JI1281" s="36"/>
      <c r="JJ1281" s="36"/>
      <c r="JK1281" s="36"/>
      <c r="JL1281" s="36"/>
      <c r="JM1281" s="36"/>
      <c r="JN1281" s="36"/>
      <c r="JO1281" s="36"/>
      <c r="JP1281" s="36"/>
      <c r="JQ1281" s="36"/>
      <c r="JR1281" s="36"/>
      <c r="JS1281" s="36"/>
      <c r="JT1281" s="36"/>
      <c r="JU1281" s="36"/>
      <c r="JV1281" s="36"/>
      <c r="JW1281" s="36"/>
      <c r="JX1281" s="36"/>
      <c r="JY1281" s="36"/>
      <c r="JZ1281" s="36"/>
      <c r="KA1281" s="36"/>
      <c r="KB1281" s="36"/>
      <c r="KC1281" s="36"/>
      <c r="KD1281" s="36"/>
      <c r="KE1281" s="36"/>
      <c r="KF1281" s="36"/>
      <c r="KG1281" s="36"/>
      <c r="KH1281" s="36"/>
      <c r="KI1281" s="36"/>
      <c r="KJ1281" s="36"/>
      <c r="KK1281" s="36"/>
      <c r="KL1281" s="36"/>
      <c r="KM1281" s="36"/>
      <c r="KN1281" s="36"/>
      <c r="KO1281" s="36"/>
      <c r="KP1281" s="36"/>
      <c r="KQ1281" s="36"/>
      <c r="KR1281" s="36"/>
      <c r="KS1281" s="36"/>
      <c r="KT1281" s="36"/>
      <c r="KU1281" s="36"/>
      <c r="KV1281" s="36"/>
      <c r="KW1281" s="36"/>
      <c r="KX1281" s="36"/>
      <c r="KY1281" s="36"/>
      <c r="KZ1281" s="36"/>
      <c r="LA1281" s="36"/>
      <c r="LB1281" s="36"/>
      <c r="LC1281" s="36"/>
      <c r="LD1281" s="36"/>
      <c r="LE1281" s="36"/>
      <c r="LF1281" s="36"/>
      <c r="LG1281" s="36"/>
      <c r="LH1281" s="36"/>
      <c r="LI1281" s="36"/>
      <c r="LJ1281" s="36"/>
      <c r="LK1281" s="36"/>
      <c r="LL1281" s="36"/>
      <c r="LM1281" s="36"/>
      <c r="LN1281" s="36"/>
      <c r="LO1281" s="36"/>
      <c r="LP1281" s="36"/>
      <c r="LQ1281" s="36"/>
      <c r="LR1281" s="36"/>
      <c r="LS1281" s="36"/>
      <c r="LT1281" s="36"/>
      <c r="LU1281" s="36"/>
      <c r="LV1281" s="36"/>
      <c r="LW1281" s="36"/>
      <c r="LX1281" s="36"/>
      <c r="LY1281" s="36"/>
      <c r="LZ1281" s="36"/>
      <c r="MA1281" s="36"/>
      <c r="MB1281" s="36"/>
      <c r="MC1281" s="36"/>
      <c r="MD1281" s="36"/>
      <c r="ME1281" s="36"/>
      <c r="MF1281" s="36"/>
      <c r="MG1281" s="36"/>
      <c r="MH1281" s="36"/>
      <c r="MI1281" s="36"/>
      <c r="MJ1281" s="36"/>
      <c r="MK1281" s="36"/>
      <c r="ML1281" s="36"/>
      <c r="MM1281" s="36"/>
      <c r="MN1281" s="36"/>
      <c r="MO1281" s="36"/>
      <c r="MP1281" s="36"/>
      <c r="MQ1281" s="36"/>
      <c r="MR1281" s="36"/>
      <c r="MS1281" s="36"/>
      <c r="MT1281" s="36"/>
      <c r="MU1281" s="36"/>
      <c r="MV1281" s="36"/>
      <c r="MW1281" s="36"/>
      <c r="MX1281" s="36"/>
      <c r="MY1281" s="36"/>
      <c r="MZ1281" s="36"/>
      <c r="NA1281" s="36"/>
      <c r="NB1281" s="36"/>
      <c r="NC1281" s="36"/>
      <c r="ND1281" s="36"/>
      <c r="NE1281" s="36"/>
      <c r="NF1281" s="36"/>
      <c r="NG1281" s="36"/>
      <c r="NH1281" s="36"/>
      <c r="NI1281" s="36"/>
      <c r="NJ1281" s="36"/>
      <c r="NK1281" s="36"/>
      <c r="NL1281" s="36"/>
      <c r="NM1281" s="36"/>
      <c r="NN1281" s="36"/>
      <c r="NO1281" s="36"/>
      <c r="NP1281" s="36"/>
      <c r="NQ1281" s="36"/>
      <c r="NR1281" s="36"/>
      <c r="NS1281" s="36"/>
      <c r="NT1281" s="36"/>
      <c r="NU1281" s="36"/>
      <c r="NV1281" s="36"/>
      <c r="NW1281" s="36"/>
      <c r="NX1281" s="36"/>
      <c r="NY1281" s="36"/>
      <c r="NZ1281" s="36"/>
      <c r="OA1281" s="36"/>
      <c r="OB1281" s="36"/>
      <c r="OC1281" s="36"/>
      <c r="OD1281" s="36"/>
      <c r="OE1281" s="36"/>
      <c r="OF1281" s="36"/>
      <c r="OG1281" s="36"/>
      <c r="OH1281" s="36"/>
      <c r="OI1281" s="36"/>
      <c r="OJ1281" s="36"/>
      <c r="OK1281" s="36"/>
      <c r="OL1281" s="36"/>
      <c r="OM1281" s="36"/>
      <c r="ON1281" s="36"/>
      <c r="OO1281" s="36"/>
      <c r="OP1281" s="36"/>
      <c r="OQ1281" s="36"/>
      <c r="OR1281" s="36"/>
      <c r="OS1281" s="36"/>
      <c r="OT1281" s="36"/>
      <c r="OU1281" s="36"/>
      <c r="OV1281" s="36"/>
      <c r="OW1281" s="36"/>
      <c r="OX1281" s="36"/>
      <c r="OY1281" s="36"/>
      <c r="OZ1281" s="36"/>
      <c r="PA1281" s="36"/>
      <c r="PB1281" s="36"/>
      <c r="PC1281" s="36"/>
      <c r="PD1281" s="36"/>
      <c r="PE1281" s="36"/>
      <c r="PF1281" s="36"/>
      <c r="PG1281" s="36"/>
      <c r="PH1281" s="36"/>
      <c r="PI1281" s="36"/>
      <c r="PJ1281" s="36"/>
      <c r="PK1281" s="36"/>
      <c r="PL1281" s="36"/>
      <c r="PM1281" s="36"/>
      <c r="PN1281" s="36"/>
      <c r="PO1281" s="36"/>
      <c r="PP1281" s="36"/>
      <c r="PQ1281" s="36"/>
      <c r="PR1281" s="36"/>
      <c r="PS1281" s="36"/>
      <c r="PT1281" s="36"/>
      <c r="PU1281" s="36"/>
      <c r="PV1281" s="36"/>
      <c r="PW1281" s="36"/>
      <c r="PX1281" s="36"/>
      <c r="PY1281" s="36"/>
      <c r="PZ1281" s="36"/>
      <c r="QA1281" s="36"/>
      <c r="QB1281" s="36"/>
      <c r="QC1281" s="36"/>
      <c r="QD1281" s="36"/>
      <c r="QE1281" s="36"/>
      <c r="QF1281" s="36"/>
      <c r="QG1281" s="36"/>
      <c r="QH1281" s="36"/>
      <c r="QI1281" s="36"/>
      <c r="QJ1281" s="36"/>
      <c r="QK1281" s="36"/>
      <c r="QL1281" s="36"/>
      <c r="QM1281" s="36"/>
      <c r="QN1281" s="36"/>
      <c r="QO1281" s="36"/>
      <c r="QP1281" s="36"/>
      <c r="QQ1281" s="36"/>
      <c r="QR1281" s="36"/>
      <c r="QS1281" s="36"/>
      <c r="QT1281" s="36"/>
      <c r="QU1281" s="36"/>
      <c r="QV1281" s="36"/>
      <c r="QW1281" s="36"/>
      <c r="QX1281" s="36"/>
      <c r="QY1281" s="36"/>
      <c r="QZ1281" s="36"/>
      <c r="RA1281" s="36"/>
      <c r="RB1281" s="36"/>
      <c r="RC1281" s="36"/>
      <c r="RD1281" s="36"/>
      <c r="RE1281" s="36"/>
      <c r="RF1281" s="36"/>
      <c r="RG1281" s="36"/>
      <c r="RH1281" s="36"/>
      <c r="RI1281" s="36"/>
      <c r="RJ1281" s="36"/>
      <c r="RK1281" s="36"/>
      <c r="RL1281" s="36"/>
      <c r="RM1281" s="36"/>
      <c r="RN1281" s="36"/>
      <c r="RO1281" s="36"/>
      <c r="RP1281" s="36"/>
      <c r="RQ1281" s="36"/>
      <c r="RR1281" s="36"/>
      <c r="RS1281" s="36"/>
      <c r="RT1281" s="36"/>
      <c r="RU1281" s="36"/>
      <c r="RV1281" s="36"/>
      <c r="RW1281" s="36"/>
      <c r="RX1281" s="36"/>
      <c r="RY1281" s="36"/>
      <c r="RZ1281" s="36"/>
      <c r="SA1281" s="36"/>
      <c r="SB1281" s="36"/>
      <c r="SC1281" s="36"/>
      <c r="SD1281" s="36"/>
      <c r="SE1281" s="36"/>
      <c r="SF1281" s="36"/>
      <c r="SG1281" s="36"/>
      <c r="SH1281" s="36"/>
      <c r="SI1281" s="36"/>
      <c r="SJ1281" s="36"/>
      <c r="SK1281" s="36"/>
      <c r="SL1281" s="36"/>
      <c r="SM1281" s="36"/>
      <c r="SN1281" s="36"/>
      <c r="SO1281" s="36"/>
      <c r="SP1281" s="36"/>
      <c r="SQ1281" s="36"/>
      <c r="SR1281" s="36"/>
      <c r="SS1281" s="36"/>
      <c r="ST1281" s="36"/>
      <c r="SU1281" s="36"/>
      <c r="SV1281" s="36"/>
      <c r="SW1281" s="36"/>
      <c r="SX1281" s="36"/>
      <c r="SY1281" s="36"/>
      <c r="SZ1281" s="36"/>
      <c r="TA1281" s="36"/>
      <c r="TB1281" s="36"/>
      <c r="TC1281" s="36"/>
      <c r="TD1281" s="36"/>
      <c r="TE1281" s="36"/>
      <c r="TF1281" s="36"/>
      <c r="TG1281" s="36"/>
      <c r="TH1281" s="36"/>
      <c r="TI1281" s="36"/>
      <c r="TJ1281" s="36"/>
      <c r="TK1281" s="36"/>
      <c r="TL1281" s="36"/>
      <c r="TM1281" s="36"/>
      <c r="TN1281" s="36"/>
      <c r="TO1281" s="36"/>
      <c r="TP1281" s="36"/>
      <c r="TQ1281" s="36"/>
      <c r="TR1281" s="36"/>
      <c r="TS1281" s="36"/>
      <c r="TT1281" s="36"/>
      <c r="TU1281" s="36"/>
      <c r="TV1281" s="36"/>
      <c r="TW1281" s="36"/>
      <c r="TX1281" s="36"/>
      <c r="TY1281" s="36"/>
      <c r="TZ1281" s="36"/>
      <c r="UA1281" s="36"/>
      <c r="UB1281" s="36"/>
      <c r="UC1281" s="36"/>
      <c r="UD1281" s="36"/>
      <c r="UE1281" s="36"/>
      <c r="UF1281" s="36"/>
      <c r="UG1281" s="37"/>
    </row>
    <row r="1282" spans="1:553" ht="59.25" customHeight="1">
      <c r="A1282" s="356" t="s">
        <v>58</v>
      </c>
      <c r="B1282" s="356"/>
      <c r="C1282" s="1431" t="s">
        <v>684</v>
      </c>
      <c r="D1282" s="1389"/>
      <c r="E1282" s="1389"/>
      <c r="F1282" s="1390"/>
      <c r="G1282" s="356"/>
      <c r="H1282" s="359"/>
      <c r="I1282" s="359"/>
      <c r="J1282" s="357"/>
      <c r="K1282" s="364"/>
      <c r="L1282" s="645">
        <v>0</v>
      </c>
      <c r="M1282" s="356"/>
      <c r="N1282" s="356"/>
      <c r="O1282" s="356"/>
      <c r="P1282" s="356">
        <f t="shared" ref="P1282:P1283" si="193">L1282</f>
        <v>0</v>
      </c>
      <c r="Q1282" s="610"/>
      <c r="R1282" s="1226"/>
      <c r="S1282" s="308"/>
      <c r="T1282" s="308"/>
      <c r="U1282" s="308"/>
      <c r="V1282" s="308"/>
      <c r="W1282" s="308"/>
      <c r="X1282" s="308"/>
      <c r="Y1282" s="308"/>
      <c r="Z1282" s="604"/>
      <c r="AA1282" s="308"/>
      <c r="AB1282" s="308"/>
      <c r="AC1282" s="365"/>
      <c r="AD1282" s="365"/>
      <c r="AE1282" s="365"/>
      <c r="AF1282" s="365"/>
      <c r="AG1282" s="365"/>
      <c r="AH1282" s="365"/>
      <c r="AI1282" s="365"/>
      <c r="AJ1282" s="365"/>
      <c r="AK1282" s="377"/>
      <c r="AL1282" s="343"/>
      <c r="AM1282" s="24"/>
      <c r="AN1282" s="24"/>
      <c r="AO1282" s="24"/>
      <c r="AP1282" s="24"/>
      <c r="AQ1282" s="24"/>
      <c r="AR1282" s="24"/>
      <c r="AS1282" s="18"/>
      <c r="AT1282" s="18"/>
      <c r="AU1282" s="18"/>
      <c r="AV1282" s="18"/>
      <c r="AW1282" s="18"/>
      <c r="AX1282" s="18"/>
      <c r="AY1282" s="18"/>
      <c r="AZ1282" s="18"/>
      <c r="BA1282" s="18"/>
      <c r="BB1282" s="18"/>
      <c r="BC1282" s="18"/>
      <c r="BD1282" s="18"/>
      <c r="BE1282" s="18"/>
      <c r="BF1282" s="18"/>
      <c r="BG1282" s="18"/>
      <c r="BH1282" s="18"/>
      <c r="BI1282" s="18"/>
      <c r="BJ1282" s="18"/>
      <c r="BK1282" s="18"/>
      <c r="BL1282" s="18"/>
      <c r="BM1282" s="18"/>
      <c r="BN1282" s="18"/>
      <c r="BO1282" s="18"/>
      <c r="BP1282" s="18"/>
      <c r="BQ1282" s="18"/>
      <c r="BR1282" s="18"/>
      <c r="BS1282" s="18"/>
      <c r="BT1282" s="18"/>
      <c r="BU1282" s="18"/>
      <c r="BV1282" s="18"/>
      <c r="BW1282" s="18"/>
      <c r="BX1282" s="18"/>
      <c r="BY1282" s="18"/>
      <c r="BZ1282" s="18"/>
      <c r="CA1282" s="18"/>
      <c r="CB1282" s="18"/>
      <c r="CC1282" s="18"/>
      <c r="CD1282" s="18"/>
      <c r="CE1282" s="18"/>
      <c r="CF1282" s="18"/>
      <c r="CG1282" s="18"/>
      <c r="CH1282" s="18"/>
      <c r="CI1282" s="18"/>
      <c r="CJ1282" s="18"/>
      <c r="CK1282" s="18"/>
      <c r="CL1282" s="18"/>
      <c r="CM1282" s="18"/>
      <c r="CN1282" s="18"/>
      <c r="CO1282" s="18"/>
      <c r="CP1282" s="18"/>
      <c r="CQ1282" s="18"/>
      <c r="CR1282" s="18"/>
      <c r="CS1282" s="18"/>
      <c r="CT1282" s="18"/>
      <c r="CU1282" s="18"/>
      <c r="CV1282" s="18"/>
      <c r="CW1282" s="18"/>
      <c r="CX1282" s="18"/>
      <c r="CY1282" s="18"/>
      <c r="CZ1282" s="18"/>
      <c r="DA1282" s="18"/>
      <c r="DB1282" s="18"/>
      <c r="DC1282" s="18"/>
      <c r="DD1282" s="18"/>
      <c r="DE1282" s="18"/>
      <c r="DF1282" s="18"/>
      <c r="DG1282" s="18"/>
      <c r="DH1282" s="18"/>
      <c r="DI1282" s="18"/>
      <c r="DJ1282" s="18"/>
      <c r="DK1282" s="18"/>
      <c r="DL1282" s="18"/>
      <c r="DM1282" s="18"/>
      <c r="DN1282" s="18"/>
      <c r="DO1282" s="18"/>
      <c r="DP1282" s="18"/>
      <c r="DQ1282" s="18"/>
      <c r="DR1282" s="18"/>
      <c r="DS1282" s="18"/>
      <c r="DT1282" s="18"/>
      <c r="DU1282" s="18"/>
      <c r="DV1282" s="18"/>
      <c r="DW1282" s="18"/>
      <c r="DX1282" s="18"/>
      <c r="DY1282" s="18"/>
      <c r="DZ1282" s="18"/>
      <c r="EA1282" s="18"/>
      <c r="EB1282" s="18"/>
      <c r="EC1282" s="18"/>
      <c r="ED1282" s="18"/>
      <c r="EE1282" s="18"/>
      <c r="EF1282" s="18"/>
      <c r="EG1282" s="18"/>
      <c r="EH1282" s="18"/>
      <c r="EI1282" s="18"/>
      <c r="EJ1282" s="18"/>
      <c r="EK1282" s="18"/>
      <c r="EL1282" s="18"/>
      <c r="EM1282" s="18"/>
      <c r="EN1282" s="18"/>
      <c r="EO1282" s="18"/>
      <c r="EP1282" s="18"/>
      <c r="EQ1282" s="18"/>
      <c r="ER1282" s="18"/>
      <c r="ES1282" s="18"/>
      <c r="ET1282" s="18"/>
      <c r="EU1282" s="18"/>
      <c r="EV1282" s="18"/>
      <c r="EW1282" s="18"/>
      <c r="EX1282" s="18"/>
      <c r="EY1282" s="18"/>
      <c r="EZ1282" s="18"/>
      <c r="FA1282" s="18"/>
      <c r="FB1282" s="18"/>
      <c r="FC1282" s="18"/>
      <c r="FD1282" s="18"/>
      <c r="FE1282" s="18"/>
      <c r="FF1282" s="18"/>
      <c r="FG1282" s="18"/>
      <c r="FH1282" s="18"/>
      <c r="FI1282" s="18"/>
      <c r="FJ1282" s="18"/>
      <c r="FK1282" s="18"/>
      <c r="FL1282" s="18"/>
      <c r="FM1282" s="18"/>
      <c r="FN1282" s="18"/>
      <c r="FO1282" s="18"/>
      <c r="FP1282" s="18"/>
      <c r="FQ1282" s="18"/>
      <c r="FR1282" s="18"/>
      <c r="FS1282" s="18"/>
      <c r="FT1282" s="18"/>
      <c r="FU1282" s="18"/>
      <c r="FV1282" s="18"/>
      <c r="FW1282" s="18"/>
      <c r="FX1282" s="18"/>
      <c r="FY1282" s="18"/>
      <c r="FZ1282" s="18"/>
      <c r="GA1282" s="18"/>
      <c r="GB1282" s="18"/>
      <c r="GC1282" s="18"/>
      <c r="GD1282" s="18"/>
      <c r="GE1282" s="18"/>
      <c r="GF1282" s="18"/>
      <c r="GG1282" s="18"/>
      <c r="GH1282" s="18"/>
      <c r="GI1282" s="18"/>
      <c r="GJ1282" s="18"/>
      <c r="GK1282" s="18"/>
      <c r="GL1282" s="18"/>
      <c r="GM1282" s="18"/>
      <c r="GN1282" s="18"/>
      <c r="GO1282" s="18"/>
      <c r="GP1282" s="18"/>
      <c r="GQ1282" s="18"/>
      <c r="GR1282" s="18"/>
      <c r="GS1282" s="18"/>
      <c r="GT1282" s="18"/>
      <c r="GU1282" s="18"/>
      <c r="GV1282" s="18"/>
      <c r="GW1282" s="18"/>
      <c r="GX1282" s="18"/>
      <c r="GY1282" s="18"/>
      <c r="GZ1282" s="18"/>
      <c r="HA1282" s="18"/>
      <c r="HB1282" s="18"/>
      <c r="HC1282" s="18"/>
      <c r="HD1282" s="18"/>
      <c r="HE1282" s="18"/>
      <c r="HF1282" s="18"/>
      <c r="HG1282" s="18"/>
      <c r="HH1282" s="18"/>
      <c r="HI1282" s="18"/>
      <c r="HJ1282" s="18"/>
      <c r="HK1282" s="18"/>
      <c r="HL1282" s="18"/>
      <c r="HM1282" s="18"/>
      <c r="HN1282" s="18"/>
      <c r="HO1282" s="18"/>
      <c r="HP1282" s="18"/>
      <c r="HQ1282" s="18"/>
      <c r="HR1282" s="18"/>
      <c r="HS1282" s="18"/>
      <c r="HT1282" s="18"/>
      <c r="HU1282" s="18"/>
      <c r="HV1282" s="18"/>
      <c r="HW1282" s="18"/>
      <c r="HX1282" s="18"/>
      <c r="HY1282" s="18"/>
      <c r="HZ1282" s="18"/>
      <c r="IA1282" s="18"/>
      <c r="IB1282" s="18"/>
      <c r="IC1282" s="18"/>
      <c r="ID1282" s="18"/>
      <c r="IE1282" s="18"/>
      <c r="IF1282" s="18"/>
      <c r="IG1282" s="18"/>
      <c r="IH1282" s="18"/>
      <c r="II1282" s="18"/>
      <c r="IJ1282" s="18"/>
      <c r="IK1282" s="18"/>
      <c r="IL1282" s="18"/>
      <c r="IM1282" s="18"/>
      <c r="IN1282" s="18"/>
      <c r="IO1282" s="18"/>
      <c r="IP1282" s="18"/>
      <c r="IQ1282" s="18"/>
      <c r="IR1282" s="18"/>
      <c r="IS1282" s="18"/>
      <c r="IT1282" s="18"/>
      <c r="IU1282" s="18"/>
      <c r="IV1282" s="18"/>
      <c r="IW1282" s="18"/>
      <c r="IX1282" s="18"/>
      <c r="IY1282" s="18"/>
      <c r="IZ1282" s="18"/>
      <c r="JA1282" s="18"/>
      <c r="JB1282" s="18"/>
      <c r="JC1282" s="18"/>
      <c r="JD1282" s="18"/>
      <c r="JE1282" s="18"/>
      <c r="JF1282" s="18"/>
      <c r="JG1282" s="18"/>
      <c r="JH1282" s="18"/>
      <c r="JI1282" s="18"/>
      <c r="JJ1282" s="18"/>
      <c r="JK1282" s="18"/>
      <c r="JL1282" s="18"/>
      <c r="JM1282" s="18"/>
      <c r="JN1282" s="18"/>
      <c r="JO1282" s="18"/>
      <c r="JP1282" s="18"/>
      <c r="JQ1282" s="18"/>
      <c r="JR1282" s="18"/>
      <c r="JS1282" s="18"/>
      <c r="JT1282" s="18"/>
      <c r="JU1282" s="18"/>
      <c r="JV1282" s="18"/>
      <c r="JW1282" s="18"/>
      <c r="JX1282" s="18"/>
      <c r="JY1282" s="18"/>
      <c r="JZ1282" s="18"/>
      <c r="KA1282" s="18"/>
      <c r="KB1282" s="18"/>
      <c r="KC1282" s="18"/>
      <c r="KD1282" s="18"/>
      <c r="KE1282" s="18"/>
      <c r="KF1282" s="18"/>
      <c r="KG1282" s="18"/>
      <c r="KH1282" s="18"/>
      <c r="KI1282" s="18"/>
      <c r="KJ1282" s="18"/>
      <c r="KK1282" s="18"/>
      <c r="KL1282" s="18"/>
      <c r="KM1282" s="18"/>
      <c r="KN1282" s="18"/>
      <c r="KO1282" s="18"/>
      <c r="KP1282" s="18"/>
      <c r="KQ1282" s="18"/>
      <c r="KR1282" s="18"/>
      <c r="KS1282" s="18"/>
      <c r="KT1282" s="18"/>
      <c r="KU1282" s="18"/>
      <c r="KV1282" s="18"/>
      <c r="KW1282" s="18"/>
      <c r="KX1282" s="18"/>
      <c r="KY1282" s="18"/>
      <c r="KZ1282" s="18"/>
      <c r="LA1282" s="18"/>
      <c r="LB1282" s="18"/>
      <c r="LC1282" s="18"/>
      <c r="LD1282" s="18"/>
      <c r="LE1282" s="18"/>
      <c r="LF1282" s="18"/>
      <c r="LG1282" s="18"/>
      <c r="LH1282" s="18"/>
      <c r="LI1282" s="18"/>
      <c r="LJ1282" s="18"/>
      <c r="LK1282" s="18"/>
      <c r="LL1282" s="18"/>
      <c r="LM1282" s="18"/>
      <c r="LN1282" s="18"/>
      <c r="LO1282" s="18"/>
      <c r="LP1282" s="18"/>
      <c r="LQ1282" s="18"/>
      <c r="LR1282" s="18"/>
      <c r="LS1282" s="18"/>
      <c r="LT1282" s="18"/>
      <c r="LU1282" s="18"/>
      <c r="LV1282" s="18"/>
      <c r="LW1282" s="18"/>
      <c r="LX1282" s="18"/>
      <c r="LY1282" s="18"/>
      <c r="LZ1282" s="18"/>
      <c r="MA1282" s="18"/>
      <c r="MB1282" s="18"/>
      <c r="MC1282" s="18"/>
      <c r="MD1282" s="18"/>
      <c r="ME1282" s="18"/>
      <c r="MF1282" s="18"/>
      <c r="MG1282" s="18"/>
      <c r="MH1282" s="18"/>
      <c r="MI1282" s="18"/>
      <c r="MJ1282" s="18"/>
      <c r="MK1282" s="18"/>
      <c r="ML1282" s="18"/>
      <c r="MM1282" s="18"/>
      <c r="MN1282" s="18"/>
      <c r="MO1282" s="18"/>
      <c r="MP1282" s="18"/>
      <c r="MQ1282" s="18"/>
      <c r="MR1282" s="18"/>
      <c r="MS1282" s="18"/>
      <c r="MT1282" s="18"/>
      <c r="MU1282" s="18"/>
      <c r="MV1282" s="18"/>
      <c r="MW1282" s="18"/>
      <c r="MX1282" s="18"/>
      <c r="MY1282" s="18"/>
      <c r="MZ1282" s="18"/>
      <c r="NA1282" s="18"/>
      <c r="NB1282" s="18"/>
      <c r="NC1282" s="18"/>
      <c r="ND1282" s="18"/>
      <c r="NE1282" s="18"/>
      <c r="NF1282" s="18"/>
      <c r="NG1282" s="18"/>
      <c r="NH1282" s="18"/>
      <c r="NI1282" s="18"/>
      <c r="NJ1282" s="18"/>
      <c r="NK1282" s="18"/>
      <c r="NL1282" s="18"/>
      <c r="NM1282" s="18"/>
      <c r="NN1282" s="18"/>
      <c r="NO1282" s="18"/>
      <c r="NP1282" s="18"/>
      <c r="NQ1282" s="18"/>
      <c r="NR1282" s="18"/>
      <c r="NS1282" s="18"/>
      <c r="NT1282" s="18"/>
      <c r="NU1282" s="18"/>
      <c r="NV1282" s="18"/>
      <c r="NW1282" s="18"/>
      <c r="NX1282" s="18"/>
      <c r="NY1282" s="18"/>
      <c r="NZ1282" s="18"/>
      <c r="OA1282" s="18"/>
      <c r="OB1282" s="18"/>
      <c r="OC1282" s="18"/>
      <c r="OD1282" s="18"/>
      <c r="OE1282" s="18"/>
      <c r="OF1282" s="18"/>
      <c r="OG1282" s="18"/>
      <c r="OH1282" s="18"/>
      <c r="OI1282" s="18"/>
      <c r="OJ1282" s="18"/>
      <c r="OK1282" s="18"/>
      <c r="OL1282" s="18"/>
      <c r="OM1282" s="18"/>
      <c r="ON1282" s="18"/>
      <c r="OO1282" s="18"/>
      <c r="OP1282" s="18"/>
      <c r="OQ1282" s="18"/>
      <c r="OR1282" s="18"/>
      <c r="OS1282" s="18"/>
      <c r="OT1282" s="18"/>
      <c r="OU1282" s="18"/>
      <c r="OV1282" s="18"/>
      <c r="OW1282" s="18"/>
      <c r="OX1282" s="18"/>
      <c r="OY1282" s="18"/>
      <c r="OZ1282" s="18"/>
      <c r="PA1282" s="18"/>
      <c r="PB1282" s="18"/>
      <c r="PC1282" s="18"/>
      <c r="PD1282" s="18"/>
      <c r="PE1282" s="18"/>
      <c r="PF1282" s="18"/>
      <c r="PG1282" s="18"/>
      <c r="PH1282" s="18"/>
      <c r="PI1282" s="18"/>
      <c r="PJ1282" s="18"/>
      <c r="PK1282" s="18"/>
      <c r="PL1282" s="18"/>
      <c r="PM1282" s="18"/>
      <c r="PN1282" s="18"/>
      <c r="PO1282" s="18"/>
      <c r="PP1282" s="18"/>
      <c r="PQ1282" s="18"/>
      <c r="PR1282" s="18"/>
      <c r="PS1282" s="18"/>
      <c r="PT1282" s="18"/>
      <c r="PU1282" s="18"/>
      <c r="PV1282" s="18"/>
      <c r="PW1282" s="18"/>
      <c r="PX1282" s="18"/>
      <c r="PY1282" s="18"/>
      <c r="PZ1282" s="18"/>
      <c r="QA1282" s="18"/>
      <c r="QB1282" s="18"/>
      <c r="QC1282" s="18"/>
      <c r="QD1282" s="18"/>
      <c r="QE1282" s="18"/>
      <c r="QF1282" s="18"/>
      <c r="QG1282" s="18"/>
      <c r="QH1282" s="18"/>
      <c r="QI1282" s="18"/>
      <c r="QJ1282" s="18"/>
      <c r="QK1282" s="18"/>
      <c r="QL1282" s="18"/>
      <c r="QM1282" s="18"/>
      <c r="QN1282" s="18"/>
      <c r="QO1282" s="18"/>
      <c r="QP1282" s="18"/>
      <c r="QQ1282" s="18"/>
      <c r="QR1282" s="18"/>
      <c r="QS1282" s="18"/>
      <c r="QT1282" s="18"/>
      <c r="QU1282" s="18"/>
      <c r="QV1282" s="18"/>
      <c r="QW1282" s="18"/>
      <c r="QX1282" s="18"/>
      <c r="QY1282" s="18"/>
      <c r="QZ1282" s="18"/>
      <c r="RA1282" s="18"/>
      <c r="RB1282" s="18"/>
      <c r="RC1282" s="18"/>
      <c r="RD1282" s="18"/>
      <c r="RE1282" s="18"/>
      <c r="RF1282" s="18"/>
      <c r="RG1282" s="18"/>
      <c r="RH1282" s="18"/>
      <c r="RI1282" s="18"/>
      <c r="RJ1282" s="18"/>
      <c r="RK1282" s="18"/>
      <c r="RL1282" s="18"/>
      <c r="RM1282" s="18"/>
      <c r="RN1282" s="18"/>
      <c r="RO1282" s="18"/>
      <c r="RP1282" s="18"/>
      <c r="RQ1282" s="18"/>
      <c r="RR1282" s="18"/>
      <c r="RS1282" s="18"/>
      <c r="RT1282" s="18"/>
      <c r="RU1282" s="18"/>
      <c r="RV1282" s="18"/>
      <c r="RW1282" s="18"/>
      <c r="RX1282" s="18"/>
      <c r="RY1282" s="18"/>
      <c r="RZ1282" s="18"/>
      <c r="SA1282" s="18"/>
      <c r="SB1282" s="18"/>
      <c r="SC1282" s="18"/>
      <c r="SD1282" s="18"/>
      <c r="SE1282" s="18"/>
      <c r="SF1282" s="18"/>
      <c r="SG1282" s="18"/>
      <c r="SH1282" s="18"/>
      <c r="SI1282" s="18"/>
      <c r="SJ1282" s="18"/>
      <c r="SK1282" s="18"/>
      <c r="SL1282" s="18"/>
      <c r="SM1282" s="18"/>
      <c r="SN1282" s="18"/>
      <c r="SO1282" s="18"/>
      <c r="SP1282" s="18"/>
      <c r="SQ1282" s="18"/>
      <c r="SR1282" s="18"/>
      <c r="SS1282" s="18"/>
      <c r="ST1282" s="18"/>
      <c r="SU1282" s="18"/>
      <c r="SV1282" s="18"/>
      <c r="SW1282" s="18"/>
      <c r="SX1282" s="18"/>
      <c r="SY1282" s="18"/>
      <c r="SZ1282" s="18"/>
      <c r="TA1282" s="18"/>
      <c r="TB1282" s="18"/>
      <c r="TC1282" s="18"/>
      <c r="TD1282" s="18"/>
      <c r="TE1282" s="18"/>
      <c r="TF1282" s="18"/>
      <c r="TG1282" s="18"/>
      <c r="TH1282" s="18"/>
      <c r="TI1282" s="18"/>
      <c r="TJ1282" s="18"/>
      <c r="TK1282" s="18"/>
      <c r="TL1282" s="18"/>
      <c r="TM1282" s="18"/>
      <c r="TN1282" s="18"/>
      <c r="TO1282" s="18"/>
      <c r="TP1282" s="18"/>
      <c r="TQ1282" s="18"/>
      <c r="TR1282" s="18"/>
      <c r="TS1282" s="18"/>
      <c r="TT1282" s="18"/>
      <c r="TU1282" s="18"/>
      <c r="TV1282" s="18"/>
      <c r="TW1282" s="18"/>
      <c r="TX1282" s="18"/>
      <c r="TY1282" s="18"/>
      <c r="TZ1282" s="18"/>
      <c r="UA1282" s="18"/>
      <c r="UB1282" s="18"/>
      <c r="UC1282" s="18"/>
      <c r="UD1282" s="18"/>
      <c r="UE1282" s="18"/>
      <c r="UF1282" s="18"/>
      <c r="UG1282" s="19"/>
    </row>
    <row r="1283" spans="1:553" ht="59.25" customHeight="1">
      <c r="A1283" s="356" t="s">
        <v>61</v>
      </c>
      <c r="B1283" s="428"/>
      <c r="C1283" s="1431" t="s">
        <v>62</v>
      </c>
      <c r="D1283" s="1389"/>
      <c r="E1283" s="1389"/>
      <c r="F1283" s="1390"/>
      <c r="G1283" s="429"/>
      <c r="H1283" s="359"/>
      <c r="I1283" s="359"/>
      <c r="J1283" s="357"/>
      <c r="K1283" s="364"/>
      <c r="L1283" s="645"/>
      <c r="M1283" s="356"/>
      <c r="N1283" s="356"/>
      <c r="O1283" s="356"/>
      <c r="P1283" s="358">
        <f t="shared" si="193"/>
        <v>0</v>
      </c>
      <c r="Q1283" s="610"/>
      <c r="R1283" s="1447" t="s">
        <v>63</v>
      </c>
      <c r="S1283" s="308"/>
      <c r="T1283" s="308"/>
      <c r="U1283" s="308"/>
      <c r="V1283" s="308"/>
      <c r="W1283" s="308"/>
      <c r="X1283" s="308"/>
      <c r="Y1283" s="308"/>
      <c r="Z1283" s="604"/>
      <c r="AA1283" s="308"/>
      <c r="AB1283" s="308"/>
      <c r="AC1283" s="365"/>
      <c r="AD1283" s="365"/>
      <c r="AE1283" s="365"/>
      <c r="AF1283" s="365"/>
      <c r="AG1283" s="365"/>
      <c r="AH1283" s="365"/>
      <c r="AI1283" s="365"/>
      <c r="AJ1283" s="365"/>
      <c r="AK1283" s="377"/>
      <c r="AL1283" s="343"/>
      <c r="AM1283" s="24"/>
      <c r="AN1283" s="24"/>
      <c r="AO1283" s="24"/>
      <c r="AP1283" s="24"/>
      <c r="AQ1283" s="24"/>
      <c r="AR1283" s="24"/>
      <c r="AS1283" s="18"/>
      <c r="AT1283" s="18"/>
      <c r="AU1283" s="18"/>
      <c r="AV1283" s="18"/>
      <c r="AW1283" s="18"/>
      <c r="AX1283" s="18"/>
      <c r="AY1283" s="18"/>
      <c r="AZ1283" s="18"/>
      <c r="BA1283" s="18"/>
      <c r="BB1283" s="18"/>
      <c r="BC1283" s="18"/>
      <c r="BD1283" s="18"/>
      <c r="BE1283" s="18"/>
      <c r="BF1283" s="18"/>
      <c r="BG1283" s="18"/>
      <c r="BH1283" s="18"/>
      <c r="BI1283" s="18"/>
      <c r="BJ1283" s="18"/>
      <c r="BK1283" s="18"/>
      <c r="BL1283" s="18"/>
      <c r="BM1283" s="18"/>
      <c r="BN1283" s="18"/>
      <c r="BO1283" s="18"/>
      <c r="BP1283" s="18"/>
      <c r="BQ1283" s="18"/>
      <c r="BR1283" s="18"/>
      <c r="BS1283" s="18"/>
      <c r="BT1283" s="18"/>
      <c r="BU1283" s="18"/>
      <c r="BV1283" s="18"/>
      <c r="BW1283" s="18"/>
      <c r="BX1283" s="18"/>
      <c r="BY1283" s="18"/>
      <c r="BZ1283" s="18"/>
      <c r="CA1283" s="18"/>
      <c r="CB1283" s="18"/>
      <c r="CC1283" s="18"/>
      <c r="CD1283" s="18"/>
      <c r="CE1283" s="18"/>
      <c r="CF1283" s="18"/>
      <c r="CG1283" s="18"/>
      <c r="CH1283" s="18"/>
      <c r="CI1283" s="18"/>
      <c r="CJ1283" s="18"/>
      <c r="CK1283" s="18"/>
      <c r="CL1283" s="18"/>
      <c r="CM1283" s="18"/>
      <c r="CN1283" s="18"/>
      <c r="CO1283" s="18"/>
      <c r="CP1283" s="18"/>
      <c r="CQ1283" s="18"/>
      <c r="CR1283" s="18"/>
      <c r="CS1283" s="18"/>
      <c r="CT1283" s="18"/>
      <c r="CU1283" s="18"/>
      <c r="CV1283" s="18"/>
      <c r="CW1283" s="18"/>
      <c r="CX1283" s="18"/>
      <c r="CY1283" s="18"/>
      <c r="CZ1283" s="18"/>
      <c r="DA1283" s="18"/>
      <c r="DB1283" s="18"/>
      <c r="DC1283" s="18"/>
      <c r="DD1283" s="18"/>
      <c r="DE1283" s="18"/>
      <c r="DF1283" s="18"/>
      <c r="DG1283" s="18"/>
      <c r="DH1283" s="18"/>
      <c r="DI1283" s="18"/>
      <c r="DJ1283" s="18"/>
      <c r="DK1283" s="18"/>
      <c r="DL1283" s="18"/>
      <c r="DM1283" s="18"/>
      <c r="DN1283" s="18"/>
      <c r="DO1283" s="18"/>
      <c r="DP1283" s="18"/>
      <c r="DQ1283" s="18"/>
      <c r="DR1283" s="18"/>
      <c r="DS1283" s="18"/>
      <c r="DT1283" s="18"/>
      <c r="DU1283" s="18"/>
      <c r="DV1283" s="18"/>
      <c r="DW1283" s="18"/>
      <c r="DX1283" s="18"/>
      <c r="DY1283" s="18"/>
      <c r="DZ1283" s="18"/>
      <c r="EA1283" s="18"/>
      <c r="EB1283" s="18"/>
      <c r="EC1283" s="18"/>
      <c r="ED1283" s="18"/>
      <c r="EE1283" s="18"/>
      <c r="EF1283" s="18"/>
      <c r="EG1283" s="18"/>
      <c r="EH1283" s="18"/>
      <c r="EI1283" s="18"/>
      <c r="EJ1283" s="18"/>
      <c r="EK1283" s="18"/>
      <c r="EL1283" s="18"/>
      <c r="EM1283" s="18"/>
      <c r="EN1283" s="18"/>
      <c r="EO1283" s="18"/>
      <c r="EP1283" s="18"/>
      <c r="EQ1283" s="18"/>
      <c r="ER1283" s="18"/>
      <c r="ES1283" s="18"/>
      <c r="ET1283" s="18"/>
      <c r="EU1283" s="18"/>
      <c r="EV1283" s="18"/>
      <c r="EW1283" s="18"/>
      <c r="EX1283" s="18"/>
      <c r="EY1283" s="18"/>
      <c r="EZ1283" s="18"/>
      <c r="FA1283" s="18"/>
      <c r="FB1283" s="18"/>
      <c r="FC1283" s="18"/>
      <c r="FD1283" s="18"/>
      <c r="FE1283" s="18"/>
      <c r="FF1283" s="18"/>
      <c r="FG1283" s="18"/>
      <c r="FH1283" s="18"/>
      <c r="FI1283" s="18"/>
      <c r="FJ1283" s="18"/>
      <c r="FK1283" s="18"/>
      <c r="FL1283" s="18"/>
      <c r="FM1283" s="18"/>
      <c r="FN1283" s="18"/>
      <c r="FO1283" s="18"/>
      <c r="FP1283" s="18"/>
      <c r="FQ1283" s="18"/>
      <c r="FR1283" s="18"/>
      <c r="FS1283" s="18"/>
      <c r="FT1283" s="18"/>
      <c r="FU1283" s="18"/>
      <c r="FV1283" s="18"/>
      <c r="FW1283" s="18"/>
      <c r="FX1283" s="18"/>
      <c r="FY1283" s="18"/>
      <c r="FZ1283" s="18"/>
      <c r="GA1283" s="18"/>
      <c r="GB1283" s="18"/>
      <c r="GC1283" s="18"/>
      <c r="GD1283" s="18"/>
      <c r="GE1283" s="18"/>
      <c r="GF1283" s="18"/>
      <c r="GG1283" s="18"/>
      <c r="GH1283" s="18"/>
      <c r="GI1283" s="18"/>
      <c r="GJ1283" s="18"/>
      <c r="GK1283" s="18"/>
      <c r="GL1283" s="18"/>
      <c r="GM1283" s="18"/>
      <c r="GN1283" s="18"/>
      <c r="GO1283" s="18"/>
      <c r="GP1283" s="18"/>
      <c r="GQ1283" s="18"/>
      <c r="GR1283" s="18"/>
      <c r="GS1283" s="18"/>
      <c r="GT1283" s="18"/>
      <c r="GU1283" s="18"/>
      <c r="GV1283" s="18"/>
      <c r="GW1283" s="18"/>
      <c r="GX1283" s="18"/>
      <c r="GY1283" s="18"/>
      <c r="GZ1283" s="18"/>
      <c r="HA1283" s="18"/>
      <c r="HB1283" s="18"/>
      <c r="HC1283" s="18"/>
      <c r="HD1283" s="18"/>
      <c r="HE1283" s="18"/>
      <c r="HF1283" s="18"/>
      <c r="HG1283" s="18"/>
      <c r="HH1283" s="18"/>
      <c r="HI1283" s="18"/>
      <c r="HJ1283" s="18"/>
      <c r="HK1283" s="18"/>
      <c r="HL1283" s="18"/>
      <c r="HM1283" s="18"/>
      <c r="HN1283" s="18"/>
      <c r="HO1283" s="18"/>
      <c r="HP1283" s="18"/>
      <c r="HQ1283" s="18"/>
      <c r="HR1283" s="18"/>
      <c r="HS1283" s="18"/>
      <c r="HT1283" s="18"/>
      <c r="HU1283" s="18"/>
      <c r="HV1283" s="18"/>
      <c r="HW1283" s="18"/>
      <c r="HX1283" s="18"/>
      <c r="HY1283" s="18"/>
      <c r="HZ1283" s="18"/>
      <c r="IA1283" s="18"/>
      <c r="IB1283" s="18"/>
      <c r="IC1283" s="18"/>
      <c r="ID1283" s="18"/>
      <c r="IE1283" s="18"/>
      <c r="IF1283" s="18"/>
      <c r="IG1283" s="18"/>
      <c r="IH1283" s="18"/>
      <c r="II1283" s="18"/>
      <c r="IJ1283" s="18"/>
      <c r="IK1283" s="18"/>
      <c r="IL1283" s="18"/>
      <c r="IM1283" s="18"/>
      <c r="IN1283" s="18"/>
      <c r="IO1283" s="18"/>
      <c r="IP1283" s="18"/>
      <c r="IQ1283" s="18"/>
      <c r="IR1283" s="18"/>
      <c r="IS1283" s="18"/>
      <c r="IT1283" s="18"/>
      <c r="IU1283" s="18"/>
      <c r="IV1283" s="18"/>
      <c r="IW1283" s="18"/>
      <c r="IX1283" s="18"/>
      <c r="IY1283" s="18"/>
      <c r="IZ1283" s="18"/>
      <c r="JA1283" s="18"/>
      <c r="JB1283" s="18"/>
      <c r="JC1283" s="18"/>
      <c r="JD1283" s="18"/>
      <c r="JE1283" s="18"/>
      <c r="JF1283" s="18"/>
      <c r="JG1283" s="18"/>
      <c r="JH1283" s="18"/>
      <c r="JI1283" s="18"/>
      <c r="JJ1283" s="18"/>
      <c r="JK1283" s="18"/>
      <c r="JL1283" s="18"/>
      <c r="JM1283" s="18"/>
      <c r="JN1283" s="18"/>
      <c r="JO1283" s="18"/>
      <c r="JP1283" s="18"/>
      <c r="JQ1283" s="18"/>
      <c r="JR1283" s="18"/>
      <c r="JS1283" s="18"/>
      <c r="JT1283" s="18"/>
      <c r="JU1283" s="18"/>
      <c r="JV1283" s="18"/>
      <c r="JW1283" s="18"/>
      <c r="JX1283" s="18"/>
      <c r="JY1283" s="18"/>
      <c r="JZ1283" s="18"/>
      <c r="KA1283" s="18"/>
      <c r="KB1283" s="18"/>
      <c r="KC1283" s="18"/>
      <c r="KD1283" s="18"/>
      <c r="KE1283" s="18"/>
      <c r="KF1283" s="18"/>
      <c r="KG1283" s="18"/>
      <c r="KH1283" s="18"/>
      <c r="KI1283" s="18"/>
      <c r="KJ1283" s="18"/>
      <c r="KK1283" s="18"/>
      <c r="KL1283" s="18"/>
      <c r="KM1283" s="18"/>
      <c r="KN1283" s="18"/>
      <c r="KO1283" s="18"/>
      <c r="KP1283" s="18"/>
      <c r="KQ1283" s="18"/>
      <c r="KR1283" s="18"/>
      <c r="KS1283" s="18"/>
      <c r="KT1283" s="18"/>
      <c r="KU1283" s="18"/>
      <c r="KV1283" s="18"/>
      <c r="KW1283" s="18"/>
      <c r="KX1283" s="18"/>
      <c r="KY1283" s="18"/>
      <c r="KZ1283" s="18"/>
      <c r="LA1283" s="18"/>
      <c r="LB1283" s="18"/>
      <c r="LC1283" s="18"/>
      <c r="LD1283" s="18"/>
      <c r="LE1283" s="18"/>
      <c r="LF1283" s="18"/>
      <c r="LG1283" s="18"/>
      <c r="LH1283" s="18"/>
      <c r="LI1283" s="18"/>
      <c r="LJ1283" s="18"/>
      <c r="LK1283" s="18"/>
      <c r="LL1283" s="18"/>
      <c r="LM1283" s="18"/>
      <c r="LN1283" s="18"/>
      <c r="LO1283" s="18"/>
      <c r="LP1283" s="18"/>
      <c r="LQ1283" s="18"/>
      <c r="LR1283" s="18"/>
      <c r="LS1283" s="18"/>
      <c r="LT1283" s="18"/>
      <c r="LU1283" s="18"/>
      <c r="LV1283" s="18"/>
      <c r="LW1283" s="18"/>
      <c r="LX1283" s="18"/>
      <c r="LY1283" s="18"/>
      <c r="LZ1283" s="18"/>
      <c r="MA1283" s="18"/>
      <c r="MB1283" s="18"/>
      <c r="MC1283" s="18"/>
      <c r="MD1283" s="18"/>
      <c r="ME1283" s="18"/>
      <c r="MF1283" s="18"/>
      <c r="MG1283" s="18"/>
      <c r="MH1283" s="18"/>
      <c r="MI1283" s="18"/>
      <c r="MJ1283" s="18"/>
      <c r="MK1283" s="18"/>
      <c r="ML1283" s="18"/>
      <c r="MM1283" s="18"/>
      <c r="MN1283" s="18"/>
      <c r="MO1283" s="18"/>
      <c r="MP1283" s="18"/>
      <c r="MQ1283" s="18"/>
      <c r="MR1283" s="18"/>
      <c r="MS1283" s="18"/>
      <c r="MT1283" s="18"/>
      <c r="MU1283" s="18"/>
      <c r="MV1283" s="18"/>
      <c r="MW1283" s="18"/>
      <c r="MX1283" s="18"/>
      <c r="MY1283" s="18"/>
      <c r="MZ1283" s="18"/>
      <c r="NA1283" s="18"/>
      <c r="NB1283" s="18"/>
      <c r="NC1283" s="18"/>
      <c r="ND1283" s="18"/>
      <c r="NE1283" s="18"/>
      <c r="NF1283" s="18"/>
      <c r="NG1283" s="18"/>
      <c r="NH1283" s="18"/>
      <c r="NI1283" s="18"/>
      <c r="NJ1283" s="18"/>
      <c r="NK1283" s="18"/>
      <c r="NL1283" s="18"/>
      <c r="NM1283" s="18"/>
      <c r="NN1283" s="18"/>
      <c r="NO1283" s="18"/>
      <c r="NP1283" s="18"/>
      <c r="NQ1283" s="18"/>
      <c r="NR1283" s="18"/>
      <c r="NS1283" s="18"/>
      <c r="NT1283" s="18"/>
      <c r="NU1283" s="18"/>
      <c r="NV1283" s="18"/>
      <c r="NW1283" s="18"/>
      <c r="NX1283" s="18"/>
      <c r="NY1283" s="18"/>
      <c r="NZ1283" s="18"/>
      <c r="OA1283" s="18"/>
      <c r="OB1283" s="18"/>
      <c r="OC1283" s="18"/>
      <c r="OD1283" s="18"/>
      <c r="OE1283" s="18"/>
      <c r="OF1283" s="18"/>
      <c r="OG1283" s="18"/>
      <c r="OH1283" s="18"/>
      <c r="OI1283" s="18"/>
      <c r="OJ1283" s="18"/>
      <c r="OK1283" s="18"/>
      <c r="OL1283" s="18"/>
      <c r="OM1283" s="18"/>
      <c r="ON1283" s="18"/>
      <c r="OO1283" s="18"/>
      <c r="OP1283" s="18"/>
      <c r="OQ1283" s="18"/>
      <c r="OR1283" s="18"/>
      <c r="OS1283" s="18"/>
      <c r="OT1283" s="18"/>
      <c r="OU1283" s="18"/>
      <c r="OV1283" s="18"/>
      <c r="OW1283" s="18"/>
      <c r="OX1283" s="18"/>
      <c r="OY1283" s="18"/>
      <c r="OZ1283" s="18"/>
      <c r="PA1283" s="18"/>
      <c r="PB1283" s="18"/>
      <c r="PC1283" s="18"/>
      <c r="PD1283" s="18"/>
      <c r="PE1283" s="18"/>
      <c r="PF1283" s="18"/>
      <c r="PG1283" s="18"/>
      <c r="PH1283" s="18"/>
      <c r="PI1283" s="18"/>
      <c r="PJ1283" s="18"/>
      <c r="PK1283" s="18"/>
      <c r="PL1283" s="18"/>
      <c r="PM1283" s="18"/>
      <c r="PN1283" s="18"/>
      <c r="PO1283" s="18"/>
      <c r="PP1283" s="18"/>
      <c r="PQ1283" s="18"/>
      <c r="PR1283" s="18"/>
      <c r="PS1283" s="18"/>
      <c r="PT1283" s="18"/>
      <c r="PU1283" s="18"/>
      <c r="PV1283" s="18"/>
      <c r="PW1283" s="18"/>
      <c r="PX1283" s="18"/>
      <c r="PY1283" s="18"/>
      <c r="PZ1283" s="18"/>
      <c r="QA1283" s="18"/>
      <c r="QB1283" s="18"/>
      <c r="QC1283" s="18"/>
      <c r="QD1283" s="18"/>
      <c r="QE1283" s="18"/>
      <c r="QF1283" s="18"/>
      <c r="QG1283" s="18"/>
      <c r="QH1283" s="18"/>
      <c r="QI1283" s="18"/>
      <c r="QJ1283" s="18"/>
      <c r="QK1283" s="18"/>
      <c r="QL1283" s="18"/>
      <c r="QM1283" s="18"/>
      <c r="QN1283" s="18"/>
      <c r="QO1283" s="18"/>
      <c r="QP1283" s="18"/>
      <c r="QQ1283" s="18"/>
      <c r="QR1283" s="18"/>
      <c r="QS1283" s="18"/>
      <c r="QT1283" s="18"/>
      <c r="QU1283" s="18"/>
      <c r="QV1283" s="18"/>
      <c r="QW1283" s="18"/>
      <c r="QX1283" s="18"/>
      <c r="QY1283" s="18"/>
      <c r="QZ1283" s="18"/>
      <c r="RA1283" s="18"/>
      <c r="RB1283" s="18"/>
      <c r="RC1283" s="18"/>
      <c r="RD1283" s="18"/>
      <c r="RE1283" s="18"/>
      <c r="RF1283" s="18"/>
      <c r="RG1283" s="18"/>
      <c r="RH1283" s="18"/>
      <c r="RI1283" s="18"/>
      <c r="RJ1283" s="18"/>
      <c r="RK1283" s="18"/>
      <c r="RL1283" s="18"/>
      <c r="RM1283" s="18"/>
      <c r="RN1283" s="18"/>
      <c r="RO1283" s="18"/>
      <c r="RP1283" s="18"/>
      <c r="RQ1283" s="18"/>
      <c r="RR1283" s="18"/>
      <c r="RS1283" s="18"/>
      <c r="RT1283" s="18"/>
      <c r="RU1283" s="18"/>
      <c r="RV1283" s="18"/>
      <c r="RW1283" s="18"/>
      <c r="RX1283" s="18"/>
      <c r="RY1283" s="18"/>
      <c r="RZ1283" s="18"/>
      <c r="SA1283" s="18"/>
      <c r="SB1283" s="18"/>
      <c r="SC1283" s="18"/>
      <c r="SD1283" s="18"/>
      <c r="SE1283" s="18"/>
      <c r="SF1283" s="18"/>
      <c r="SG1283" s="18"/>
      <c r="SH1283" s="18"/>
      <c r="SI1283" s="18"/>
      <c r="SJ1283" s="18"/>
      <c r="SK1283" s="18"/>
      <c r="SL1283" s="18"/>
      <c r="SM1283" s="18"/>
      <c r="SN1283" s="18"/>
      <c r="SO1283" s="18"/>
      <c r="SP1283" s="18"/>
      <c r="SQ1283" s="18"/>
      <c r="SR1283" s="18"/>
      <c r="SS1283" s="18"/>
      <c r="ST1283" s="18"/>
      <c r="SU1283" s="18"/>
      <c r="SV1283" s="18"/>
      <c r="SW1283" s="18"/>
      <c r="SX1283" s="18"/>
      <c r="SY1283" s="18"/>
      <c r="SZ1283" s="18"/>
      <c r="TA1283" s="18"/>
      <c r="TB1283" s="18"/>
      <c r="TC1283" s="18"/>
      <c r="TD1283" s="18"/>
      <c r="TE1283" s="18"/>
      <c r="TF1283" s="18"/>
      <c r="TG1283" s="18"/>
      <c r="TH1283" s="18"/>
      <c r="TI1283" s="18"/>
      <c r="TJ1283" s="18"/>
      <c r="TK1283" s="18"/>
      <c r="TL1283" s="18"/>
      <c r="TM1283" s="18"/>
      <c r="TN1283" s="18"/>
      <c r="TO1283" s="18"/>
      <c r="TP1283" s="18"/>
      <c r="TQ1283" s="18"/>
      <c r="TR1283" s="18"/>
      <c r="TS1283" s="18"/>
      <c r="TT1283" s="18"/>
      <c r="TU1283" s="18"/>
      <c r="TV1283" s="18"/>
      <c r="TW1283" s="18"/>
      <c r="TX1283" s="18"/>
      <c r="TY1283" s="18"/>
      <c r="TZ1283" s="18"/>
      <c r="UA1283" s="18"/>
      <c r="UB1283" s="18"/>
      <c r="UC1283" s="18"/>
      <c r="UD1283" s="18"/>
      <c r="UE1283" s="18"/>
      <c r="UF1283" s="18"/>
      <c r="UG1283" s="19"/>
    </row>
    <row r="1284" spans="1:553" ht="59.25" customHeight="1">
      <c r="A1284" s="356"/>
      <c r="B1284" s="428"/>
      <c r="C1284" s="1451" t="s">
        <v>703</v>
      </c>
      <c r="D1284" s="1389"/>
      <c r="E1284" s="1389"/>
      <c r="F1284" s="1390"/>
      <c r="G1284" s="386" t="s">
        <v>65</v>
      </c>
      <c r="H1284" s="370"/>
      <c r="I1284" s="1056"/>
      <c r="J1284" s="368"/>
      <c r="K1284" s="371"/>
      <c r="L1284" s="480"/>
      <c r="M1284" s="356"/>
      <c r="N1284" s="356"/>
      <c r="O1284" s="356"/>
      <c r="P1284" s="356"/>
      <c r="Q1284" s="610"/>
      <c r="R1284" s="1452"/>
      <c r="S1284" s="308"/>
      <c r="T1284" s="308"/>
      <c r="U1284" s="308"/>
      <c r="V1284" s="308"/>
      <c r="W1284" s="308"/>
      <c r="X1284" s="308"/>
      <c r="Y1284" s="308"/>
      <c r="Z1284" s="604"/>
      <c r="AA1284" s="308"/>
      <c r="AB1284" s="308"/>
      <c r="AC1284" s="454"/>
      <c r="AD1284" s="454"/>
      <c r="AE1284" s="454"/>
      <c r="AF1284" s="454"/>
      <c r="AG1284" s="454"/>
      <c r="AH1284" s="454"/>
      <c r="AI1284" s="454"/>
      <c r="AJ1284" s="454"/>
      <c r="AK1284" s="455"/>
      <c r="AL1284" s="110"/>
      <c r="AM1284" s="34"/>
      <c r="AN1284" s="34"/>
      <c r="AO1284" s="34"/>
      <c r="AP1284" s="34"/>
      <c r="AQ1284" s="34"/>
      <c r="AR1284" s="34"/>
      <c r="AS1284" s="35"/>
      <c r="AT1284" s="35"/>
      <c r="AU1284" s="35"/>
      <c r="AV1284" s="35"/>
      <c r="AW1284" s="35"/>
      <c r="AX1284" s="35"/>
      <c r="AY1284" s="35"/>
      <c r="AZ1284" s="35"/>
      <c r="BA1284" s="35"/>
      <c r="BB1284" s="35"/>
      <c r="BC1284" s="35"/>
      <c r="BD1284" s="35"/>
      <c r="BE1284" s="35"/>
      <c r="BF1284" s="35"/>
      <c r="BG1284" s="35"/>
      <c r="BH1284" s="35"/>
      <c r="BI1284" s="35"/>
      <c r="BJ1284" s="35"/>
      <c r="BK1284" s="35"/>
      <c r="BL1284" s="35"/>
      <c r="BM1284" s="35"/>
      <c r="BN1284" s="35"/>
      <c r="BO1284" s="35"/>
      <c r="BP1284" s="36"/>
      <c r="BQ1284" s="36"/>
      <c r="BR1284" s="36"/>
      <c r="BS1284" s="36"/>
      <c r="BT1284" s="36"/>
      <c r="BU1284" s="36"/>
      <c r="BV1284" s="36"/>
      <c r="BW1284" s="36"/>
      <c r="BX1284" s="36"/>
      <c r="BY1284" s="36"/>
      <c r="BZ1284" s="36"/>
      <c r="CA1284" s="36"/>
      <c r="CB1284" s="36"/>
      <c r="CC1284" s="36"/>
      <c r="CD1284" s="36"/>
      <c r="CE1284" s="36"/>
      <c r="CF1284" s="36"/>
      <c r="CG1284" s="36"/>
      <c r="CH1284" s="36"/>
      <c r="CI1284" s="36"/>
      <c r="CJ1284" s="36"/>
      <c r="CK1284" s="36"/>
      <c r="CL1284" s="36"/>
      <c r="CM1284" s="36"/>
      <c r="CN1284" s="36"/>
      <c r="CO1284" s="36"/>
      <c r="CP1284" s="36"/>
      <c r="CQ1284" s="36"/>
      <c r="CR1284" s="36"/>
      <c r="CS1284" s="36"/>
      <c r="CT1284" s="36"/>
      <c r="CU1284" s="36"/>
      <c r="CV1284" s="36"/>
      <c r="CW1284" s="36"/>
      <c r="CX1284" s="36"/>
      <c r="CY1284" s="36"/>
      <c r="CZ1284" s="36"/>
      <c r="DA1284" s="36"/>
      <c r="DB1284" s="36"/>
      <c r="DC1284" s="36"/>
      <c r="DD1284" s="36"/>
      <c r="DE1284" s="36"/>
      <c r="DF1284" s="36"/>
      <c r="DG1284" s="36"/>
      <c r="DH1284" s="36"/>
      <c r="DI1284" s="36"/>
      <c r="DJ1284" s="36"/>
      <c r="DK1284" s="36"/>
      <c r="DL1284" s="36"/>
      <c r="DM1284" s="36"/>
      <c r="DN1284" s="36"/>
      <c r="DO1284" s="36"/>
      <c r="DP1284" s="36"/>
      <c r="DQ1284" s="36"/>
      <c r="DR1284" s="36"/>
      <c r="DS1284" s="36"/>
      <c r="DT1284" s="36"/>
      <c r="DU1284" s="36"/>
      <c r="DV1284" s="36"/>
      <c r="DW1284" s="36"/>
      <c r="DX1284" s="36"/>
      <c r="DY1284" s="36"/>
      <c r="DZ1284" s="36"/>
      <c r="EA1284" s="36"/>
      <c r="EB1284" s="36"/>
      <c r="EC1284" s="36"/>
      <c r="ED1284" s="36"/>
      <c r="EE1284" s="36"/>
      <c r="EF1284" s="36"/>
      <c r="EG1284" s="36"/>
      <c r="EH1284" s="36"/>
      <c r="EI1284" s="36"/>
      <c r="EJ1284" s="36"/>
      <c r="EK1284" s="36"/>
      <c r="EL1284" s="36"/>
      <c r="EM1284" s="36"/>
      <c r="EN1284" s="36"/>
      <c r="EO1284" s="36"/>
      <c r="EP1284" s="36"/>
      <c r="EQ1284" s="36"/>
      <c r="ER1284" s="36"/>
      <c r="ES1284" s="36"/>
      <c r="ET1284" s="36"/>
      <c r="EU1284" s="36"/>
      <c r="EV1284" s="36"/>
      <c r="EW1284" s="36"/>
      <c r="EX1284" s="36"/>
      <c r="EY1284" s="36"/>
      <c r="EZ1284" s="36"/>
      <c r="FA1284" s="36"/>
      <c r="FB1284" s="36"/>
      <c r="FC1284" s="36"/>
      <c r="FD1284" s="36"/>
      <c r="FE1284" s="36"/>
      <c r="FF1284" s="36"/>
      <c r="FG1284" s="36"/>
      <c r="FH1284" s="36"/>
      <c r="FI1284" s="36"/>
      <c r="FJ1284" s="36"/>
      <c r="FK1284" s="36"/>
      <c r="FL1284" s="36"/>
      <c r="FM1284" s="36"/>
      <c r="FN1284" s="36"/>
      <c r="FO1284" s="36"/>
      <c r="FP1284" s="36"/>
      <c r="FQ1284" s="36"/>
      <c r="FR1284" s="36"/>
      <c r="FS1284" s="36"/>
      <c r="FT1284" s="36"/>
      <c r="FU1284" s="36"/>
      <c r="FV1284" s="36"/>
      <c r="FW1284" s="36"/>
      <c r="FX1284" s="36"/>
      <c r="FY1284" s="36"/>
      <c r="FZ1284" s="36"/>
      <c r="GA1284" s="36"/>
      <c r="GB1284" s="36"/>
      <c r="GC1284" s="36"/>
      <c r="GD1284" s="36"/>
      <c r="GE1284" s="36"/>
      <c r="GF1284" s="36"/>
      <c r="GG1284" s="36"/>
      <c r="GH1284" s="36"/>
      <c r="GI1284" s="36"/>
      <c r="GJ1284" s="36"/>
      <c r="GK1284" s="36"/>
      <c r="GL1284" s="36"/>
      <c r="GM1284" s="36"/>
      <c r="GN1284" s="36"/>
      <c r="GO1284" s="36"/>
      <c r="GP1284" s="36"/>
      <c r="GQ1284" s="36"/>
      <c r="GR1284" s="36"/>
      <c r="GS1284" s="36"/>
      <c r="GT1284" s="36"/>
      <c r="GU1284" s="36"/>
      <c r="GV1284" s="36"/>
      <c r="GW1284" s="36"/>
      <c r="GX1284" s="36"/>
      <c r="GY1284" s="36"/>
      <c r="GZ1284" s="36"/>
      <c r="HA1284" s="36"/>
      <c r="HB1284" s="36"/>
      <c r="HC1284" s="36"/>
      <c r="HD1284" s="36"/>
      <c r="HE1284" s="36"/>
      <c r="HF1284" s="36"/>
      <c r="HG1284" s="36"/>
      <c r="HH1284" s="36"/>
      <c r="HI1284" s="36"/>
      <c r="HJ1284" s="36"/>
      <c r="HK1284" s="36"/>
      <c r="HL1284" s="36"/>
      <c r="HM1284" s="36"/>
      <c r="HN1284" s="36"/>
      <c r="HO1284" s="36"/>
      <c r="HP1284" s="36"/>
      <c r="HQ1284" s="36"/>
      <c r="HR1284" s="36"/>
      <c r="HS1284" s="36"/>
      <c r="HT1284" s="36"/>
      <c r="HU1284" s="36"/>
      <c r="HV1284" s="36"/>
      <c r="HW1284" s="36"/>
      <c r="HX1284" s="36"/>
      <c r="HY1284" s="36"/>
      <c r="HZ1284" s="36"/>
      <c r="IA1284" s="36"/>
      <c r="IB1284" s="36"/>
      <c r="IC1284" s="36"/>
      <c r="ID1284" s="36"/>
      <c r="IE1284" s="36"/>
      <c r="IF1284" s="36"/>
      <c r="IG1284" s="36"/>
      <c r="IH1284" s="36"/>
      <c r="II1284" s="36"/>
      <c r="IJ1284" s="36"/>
      <c r="IK1284" s="36"/>
      <c r="IL1284" s="36"/>
      <c r="IM1284" s="36"/>
      <c r="IN1284" s="36"/>
      <c r="IO1284" s="36"/>
      <c r="IP1284" s="36"/>
      <c r="IQ1284" s="36"/>
      <c r="IR1284" s="36"/>
      <c r="IS1284" s="36"/>
      <c r="IT1284" s="36"/>
      <c r="IU1284" s="36"/>
      <c r="IV1284" s="36"/>
      <c r="IW1284" s="36"/>
      <c r="IX1284" s="36"/>
      <c r="IY1284" s="36"/>
      <c r="IZ1284" s="36"/>
      <c r="JA1284" s="36"/>
      <c r="JB1284" s="36"/>
      <c r="JC1284" s="36"/>
      <c r="JD1284" s="36"/>
      <c r="JE1284" s="36"/>
      <c r="JF1284" s="36"/>
      <c r="JG1284" s="36"/>
      <c r="JH1284" s="36"/>
      <c r="JI1284" s="36"/>
      <c r="JJ1284" s="36"/>
      <c r="JK1284" s="36"/>
      <c r="JL1284" s="36"/>
      <c r="JM1284" s="36"/>
      <c r="JN1284" s="36"/>
      <c r="JO1284" s="36"/>
      <c r="JP1284" s="36"/>
      <c r="JQ1284" s="36"/>
      <c r="JR1284" s="36"/>
      <c r="JS1284" s="36"/>
      <c r="JT1284" s="36"/>
      <c r="JU1284" s="36"/>
      <c r="JV1284" s="36"/>
      <c r="JW1284" s="36"/>
      <c r="JX1284" s="36"/>
      <c r="JY1284" s="36"/>
      <c r="JZ1284" s="36"/>
      <c r="KA1284" s="36"/>
      <c r="KB1284" s="36"/>
      <c r="KC1284" s="36"/>
      <c r="KD1284" s="36"/>
      <c r="KE1284" s="36"/>
      <c r="KF1284" s="36"/>
      <c r="KG1284" s="36"/>
      <c r="KH1284" s="36"/>
      <c r="KI1284" s="36"/>
      <c r="KJ1284" s="36"/>
      <c r="KK1284" s="36"/>
      <c r="KL1284" s="36"/>
      <c r="KM1284" s="36"/>
      <c r="KN1284" s="36"/>
      <c r="KO1284" s="36"/>
      <c r="KP1284" s="36"/>
      <c r="KQ1284" s="36"/>
      <c r="KR1284" s="36"/>
      <c r="KS1284" s="36"/>
      <c r="KT1284" s="36"/>
      <c r="KU1284" s="36"/>
      <c r="KV1284" s="36"/>
      <c r="KW1284" s="36"/>
      <c r="KX1284" s="36"/>
      <c r="KY1284" s="36"/>
      <c r="KZ1284" s="36"/>
      <c r="LA1284" s="36"/>
      <c r="LB1284" s="36"/>
      <c r="LC1284" s="36"/>
      <c r="LD1284" s="36"/>
      <c r="LE1284" s="36"/>
      <c r="LF1284" s="36"/>
      <c r="LG1284" s="36"/>
      <c r="LH1284" s="36"/>
      <c r="LI1284" s="36"/>
      <c r="LJ1284" s="36"/>
      <c r="LK1284" s="36"/>
      <c r="LL1284" s="36"/>
      <c r="LM1284" s="36"/>
      <c r="LN1284" s="36"/>
      <c r="LO1284" s="36"/>
      <c r="LP1284" s="36"/>
      <c r="LQ1284" s="36"/>
      <c r="LR1284" s="36"/>
      <c r="LS1284" s="36"/>
      <c r="LT1284" s="36"/>
      <c r="LU1284" s="36"/>
      <c r="LV1284" s="36"/>
      <c r="LW1284" s="36"/>
      <c r="LX1284" s="36"/>
      <c r="LY1284" s="36"/>
      <c r="LZ1284" s="36"/>
      <c r="MA1284" s="36"/>
      <c r="MB1284" s="36"/>
      <c r="MC1284" s="36"/>
      <c r="MD1284" s="36"/>
      <c r="ME1284" s="36"/>
      <c r="MF1284" s="36"/>
      <c r="MG1284" s="36"/>
      <c r="MH1284" s="36"/>
      <c r="MI1284" s="36"/>
      <c r="MJ1284" s="36"/>
      <c r="MK1284" s="36"/>
      <c r="ML1284" s="36"/>
      <c r="MM1284" s="36"/>
      <c r="MN1284" s="36"/>
      <c r="MO1284" s="36"/>
      <c r="MP1284" s="36"/>
      <c r="MQ1284" s="36"/>
      <c r="MR1284" s="36"/>
      <c r="MS1284" s="36"/>
      <c r="MT1284" s="36"/>
      <c r="MU1284" s="36"/>
      <c r="MV1284" s="36"/>
      <c r="MW1284" s="36"/>
      <c r="MX1284" s="36"/>
      <c r="MY1284" s="36"/>
      <c r="MZ1284" s="36"/>
      <c r="NA1284" s="36"/>
      <c r="NB1284" s="36"/>
      <c r="NC1284" s="36"/>
      <c r="ND1284" s="36"/>
      <c r="NE1284" s="36"/>
      <c r="NF1284" s="36"/>
      <c r="NG1284" s="36"/>
      <c r="NH1284" s="36"/>
      <c r="NI1284" s="36"/>
      <c r="NJ1284" s="36"/>
      <c r="NK1284" s="36"/>
      <c r="NL1284" s="36"/>
      <c r="NM1284" s="36"/>
      <c r="NN1284" s="36"/>
      <c r="NO1284" s="36"/>
      <c r="NP1284" s="36"/>
      <c r="NQ1284" s="36"/>
      <c r="NR1284" s="36"/>
      <c r="NS1284" s="36"/>
      <c r="NT1284" s="36"/>
      <c r="NU1284" s="36"/>
      <c r="NV1284" s="36"/>
      <c r="NW1284" s="36"/>
      <c r="NX1284" s="36"/>
      <c r="NY1284" s="36"/>
      <c r="NZ1284" s="36"/>
      <c r="OA1284" s="36"/>
      <c r="OB1284" s="36"/>
      <c r="OC1284" s="36"/>
      <c r="OD1284" s="36"/>
      <c r="OE1284" s="36"/>
      <c r="OF1284" s="36"/>
      <c r="OG1284" s="36"/>
      <c r="OH1284" s="36"/>
      <c r="OI1284" s="36"/>
      <c r="OJ1284" s="36"/>
      <c r="OK1284" s="36"/>
      <c r="OL1284" s="36"/>
      <c r="OM1284" s="36"/>
      <c r="ON1284" s="36"/>
      <c r="OO1284" s="36"/>
      <c r="OP1284" s="36"/>
      <c r="OQ1284" s="36"/>
      <c r="OR1284" s="36"/>
      <c r="OS1284" s="36"/>
      <c r="OT1284" s="36"/>
      <c r="OU1284" s="36"/>
      <c r="OV1284" s="36"/>
      <c r="OW1284" s="36"/>
      <c r="OX1284" s="36"/>
      <c r="OY1284" s="36"/>
      <c r="OZ1284" s="36"/>
      <c r="PA1284" s="36"/>
      <c r="PB1284" s="36"/>
      <c r="PC1284" s="36"/>
      <c r="PD1284" s="36"/>
      <c r="PE1284" s="36"/>
      <c r="PF1284" s="36"/>
      <c r="PG1284" s="36"/>
      <c r="PH1284" s="36"/>
      <c r="PI1284" s="36"/>
      <c r="PJ1284" s="36"/>
      <c r="PK1284" s="36"/>
      <c r="PL1284" s="36"/>
      <c r="PM1284" s="36"/>
      <c r="PN1284" s="36"/>
      <c r="PO1284" s="36"/>
      <c r="PP1284" s="36"/>
      <c r="PQ1284" s="36"/>
      <c r="PR1284" s="36"/>
      <c r="PS1284" s="36"/>
      <c r="PT1284" s="36"/>
      <c r="PU1284" s="36"/>
      <c r="PV1284" s="36"/>
      <c r="PW1284" s="36"/>
      <c r="PX1284" s="36"/>
      <c r="PY1284" s="36"/>
      <c r="PZ1284" s="36"/>
      <c r="QA1284" s="36"/>
      <c r="QB1284" s="36"/>
      <c r="QC1284" s="36"/>
      <c r="QD1284" s="36"/>
      <c r="QE1284" s="36"/>
      <c r="QF1284" s="36"/>
      <c r="QG1284" s="36"/>
      <c r="QH1284" s="36"/>
      <c r="QI1284" s="36"/>
      <c r="QJ1284" s="36"/>
      <c r="QK1284" s="36"/>
      <c r="QL1284" s="36"/>
      <c r="QM1284" s="36"/>
      <c r="QN1284" s="36"/>
      <c r="QO1284" s="36"/>
      <c r="QP1284" s="36"/>
      <c r="QQ1284" s="36"/>
      <c r="QR1284" s="36"/>
      <c r="QS1284" s="36"/>
      <c r="QT1284" s="36"/>
      <c r="QU1284" s="36"/>
      <c r="QV1284" s="36"/>
      <c r="QW1284" s="36"/>
      <c r="QX1284" s="36"/>
      <c r="QY1284" s="36"/>
      <c r="QZ1284" s="36"/>
      <c r="RA1284" s="36"/>
      <c r="RB1284" s="36"/>
      <c r="RC1284" s="36"/>
      <c r="RD1284" s="36"/>
      <c r="RE1284" s="36"/>
      <c r="RF1284" s="36"/>
      <c r="RG1284" s="36"/>
      <c r="RH1284" s="36"/>
      <c r="RI1284" s="36"/>
      <c r="RJ1284" s="36"/>
      <c r="RK1284" s="36"/>
      <c r="RL1284" s="36"/>
      <c r="RM1284" s="36"/>
      <c r="RN1284" s="36"/>
      <c r="RO1284" s="36"/>
      <c r="RP1284" s="36"/>
      <c r="RQ1284" s="36"/>
      <c r="RR1284" s="36"/>
      <c r="RS1284" s="36"/>
      <c r="RT1284" s="36"/>
      <c r="RU1284" s="36"/>
      <c r="RV1284" s="36"/>
      <c r="RW1284" s="36"/>
      <c r="RX1284" s="36"/>
      <c r="RY1284" s="36"/>
      <c r="RZ1284" s="36"/>
      <c r="SA1284" s="36"/>
      <c r="SB1284" s="36"/>
      <c r="SC1284" s="36"/>
      <c r="SD1284" s="36"/>
      <c r="SE1284" s="36"/>
      <c r="SF1284" s="36"/>
      <c r="SG1284" s="36"/>
      <c r="SH1284" s="36"/>
      <c r="SI1284" s="36"/>
      <c r="SJ1284" s="36"/>
      <c r="SK1284" s="36"/>
      <c r="SL1284" s="36"/>
      <c r="SM1284" s="36"/>
      <c r="SN1284" s="36"/>
      <c r="SO1284" s="36"/>
      <c r="SP1284" s="36"/>
      <c r="SQ1284" s="36"/>
      <c r="SR1284" s="36"/>
      <c r="SS1284" s="36"/>
      <c r="ST1284" s="36"/>
      <c r="SU1284" s="36"/>
      <c r="SV1284" s="36"/>
      <c r="SW1284" s="36"/>
      <c r="SX1284" s="36"/>
      <c r="SY1284" s="36"/>
      <c r="SZ1284" s="36"/>
      <c r="TA1284" s="36"/>
      <c r="TB1284" s="36"/>
      <c r="TC1284" s="36"/>
      <c r="TD1284" s="36"/>
      <c r="TE1284" s="36"/>
      <c r="TF1284" s="36"/>
      <c r="TG1284" s="36"/>
      <c r="TH1284" s="36"/>
      <c r="TI1284" s="36"/>
      <c r="TJ1284" s="36"/>
      <c r="TK1284" s="36"/>
      <c r="TL1284" s="36"/>
      <c r="TM1284" s="36"/>
      <c r="TN1284" s="36"/>
      <c r="TO1284" s="36"/>
      <c r="TP1284" s="36"/>
      <c r="TQ1284" s="36"/>
      <c r="TR1284" s="36"/>
      <c r="TS1284" s="36"/>
      <c r="TT1284" s="36"/>
      <c r="TU1284" s="36"/>
      <c r="TV1284" s="36"/>
      <c r="TW1284" s="36"/>
      <c r="TX1284" s="36"/>
      <c r="TY1284" s="36"/>
      <c r="TZ1284" s="36"/>
      <c r="UA1284" s="36"/>
      <c r="UB1284" s="36"/>
      <c r="UC1284" s="36"/>
      <c r="UD1284" s="36"/>
      <c r="UE1284" s="36"/>
      <c r="UF1284" s="36"/>
      <c r="UG1284" s="37"/>
    </row>
    <row r="1285" spans="1:553" ht="36" customHeight="1">
      <c r="A1285" s="356" t="s">
        <v>66</v>
      </c>
      <c r="B1285" s="356"/>
      <c r="C1285" s="1431" t="s">
        <v>67</v>
      </c>
      <c r="D1285" s="1389"/>
      <c r="E1285" s="1389"/>
      <c r="F1285" s="1390"/>
      <c r="G1285" s="356"/>
      <c r="H1285" s="359"/>
      <c r="I1285" s="359"/>
      <c r="J1285" s="357"/>
      <c r="K1285" s="364"/>
      <c r="L1285" s="645"/>
      <c r="M1285" s="356"/>
      <c r="N1285" s="356"/>
      <c r="O1285" s="356"/>
      <c r="P1285" s="356"/>
      <c r="Q1285" s="610"/>
      <c r="R1285" s="421"/>
      <c r="S1285" s="308"/>
      <c r="T1285" s="308"/>
      <c r="U1285" s="308"/>
      <c r="V1285" s="308"/>
      <c r="W1285" s="308"/>
      <c r="X1285" s="308"/>
      <c r="Y1285" s="308"/>
      <c r="Z1285" s="604"/>
      <c r="AA1285" s="308"/>
      <c r="AB1285" s="308"/>
      <c r="AC1285" s="365"/>
      <c r="AD1285" s="365"/>
      <c r="AE1285" s="365"/>
      <c r="AF1285" s="365"/>
      <c r="AG1285" s="365"/>
      <c r="AH1285" s="365"/>
      <c r="AI1285" s="365"/>
      <c r="AJ1285" s="365"/>
      <c r="AK1285" s="377"/>
      <c r="AL1285" s="343"/>
      <c r="AM1285" s="24"/>
      <c r="AN1285" s="24"/>
      <c r="AO1285" s="24"/>
      <c r="AP1285" s="24"/>
      <c r="AQ1285" s="24"/>
      <c r="AR1285" s="24"/>
      <c r="AS1285" s="18"/>
      <c r="AT1285" s="18"/>
      <c r="AU1285" s="18"/>
      <c r="AV1285" s="18"/>
      <c r="AW1285" s="18"/>
      <c r="AX1285" s="18"/>
      <c r="AY1285" s="18"/>
      <c r="AZ1285" s="18"/>
      <c r="BA1285" s="18"/>
      <c r="BB1285" s="18"/>
      <c r="BC1285" s="18"/>
      <c r="BD1285" s="18"/>
      <c r="BE1285" s="18"/>
      <c r="BF1285" s="18"/>
      <c r="BG1285" s="18"/>
      <c r="BH1285" s="18"/>
      <c r="BI1285" s="18"/>
      <c r="BJ1285" s="18"/>
      <c r="BK1285" s="18"/>
      <c r="BL1285" s="18"/>
      <c r="BM1285" s="18"/>
      <c r="BN1285" s="18"/>
      <c r="BO1285" s="18"/>
      <c r="BP1285" s="18"/>
      <c r="BQ1285" s="18"/>
      <c r="BR1285" s="18"/>
      <c r="BS1285" s="18"/>
      <c r="BT1285" s="18"/>
      <c r="BU1285" s="18"/>
      <c r="BV1285" s="18"/>
      <c r="BW1285" s="18"/>
      <c r="BX1285" s="18"/>
      <c r="BY1285" s="18"/>
      <c r="BZ1285" s="18"/>
      <c r="CA1285" s="18"/>
      <c r="CB1285" s="18"/>
      <c r="CC1285" s="18"/>
      <c r="CD1285" s="18"/>
      <c r="CE1285" s="18"/>
      <c r="CF1285" s="18"/>
      <c r="CG1285" s="18"/>
      <c r="CH1285" s="18"/>
      <c r="CI1285" s="18"/>
      <c r="CJ1285" s="18"/>
      <c r="CK1285" s="18"/>
      <c r="CL1285" s="18"/>
      <c r="CM1285" s="18"/>
      <c r="CN1285" s="18"/>
      <c r="CO1285" s="18"/>
      <c r="CP1285" s="18"/>
      <c r="CQ1285" s="18"/>
      <c r="CR1285" s="18"/>
      <c r="CS1285" s="18"/>
      <c r="CT1285" s="18"/>
      <c r="CU1285" s="18"/>
      <c r="CV1285" s="18"/>
      <c r="CW1285" s="18"/>
      <c r="CX1285" s="18"/>
      <c r="CY1285" s="18"/>
      <c r="CZ1285" s="18"/>
      <c r="DA1285" s="18"/>
      <c r="DB1285" s="18"/>
      <c r="DC1285" s="18"/>
      <c r="DD1285" s="18"/>
      <c r="DE1285" s="18"/>
      <c r="DF1285" s="18"/>
      <c r="DG1285" s="18"/>
      <c r="DH1285" s="18"/>
      <c r="DI1285" s="18"/>
      <c r="DJ1285" s="18"/>
      <c r="DK1285" s="18"/>
      <c r="DL1285" s="18"/>
      <c r="DM1285" s="18"/>
      <c r="DN1285" s="18"/>
      <c r="DO1285" s="18"/>
      <c r="DP1285" s="18"/>
      <c r="DQ1285" s="18"/>
      <c r="DR1285" s="18"/>
      <c r="DS1285" s="18"/>
      <c r="DT1285" s="18"/>
      <c r="DU1285" s="18"/>
      <c r="DV1285" s="18"/>
      <c r="DW1285" s="18"/>
      <c r="DX1285" s="18"/>
      <c r="DY1285" s="18"/>
      <c r="DZ1285" s="18"/>
      <c r="EA1285" s="18"/>
      <c r="EB1285" s="18"/>
      <c r="EC1285" s="18"/>
      <c r="ED1285" s="18"/>
      <c r="EE1285" s="18"/>
      <c r="EF1285" s="18"/>
      <c r="EG1285" s="18"/>
      <c r="EH1285" s="18"/>
      <c r="EI1285" s="18"/>
      <c r="EJ1285" s="18"/>
      <c r="EK1285" s="18"/>
      <c r="EL1285" s="18"/>
      <c r="EM1285" s="18"/>
      <c r="EN1285" s="18"/>
      <c r="EO1285" s="18"/>
      <c r="EP1285" s="18"/>
      <c r="EQ1285" s="18"/>
      <c r="ER1285" s="18"/>
      <c r="ES1285" s="18"/>
      <c r="ET1285" s="18"/>
      <c r="EU1285" s="18"/>
      <c r="EV1285" s="18"/>
      <c r="EW1285" s="18"/>
      <c r="EX1285" s="18"/>
      <c r="EY1285" s="18"/>
      <c r="EZ1285" s="18"/>
      <c r="FA1285" s="18"/>
      <c r="FB1285" s="18"/>
      <c r="FC1285" s="18"/>
      <c r="FD1285" s="18"/>
      <c r="FE1285" s="18"/>
      <c r="FF1285" s="18"/>
      <c r="FG1285" s="18"/>
      <c r="FH1285" s="18"/>
      <c r="FI1285" s="18"/>
      <c r="FJ1285" s="18"/>
      <c r="FK1285" s="18"/>
      <c r="FL1285" s="18"/>
      <c r="FM1285" s="18"/>
      <c r="FN1285" s="18"/>
      <c r="FO1285" s="18"/>
      <c r="FP1285" s="18"/>
      <c r="FQ1285" s="18"/>
      <c r="FR1285" s="18"/>
      <c r="FS1285" s="18"/>
      <c r="FT1285" s="18"/>
      <c r="FU1285" s="18"/>
      <c r="FV1285" s="18"/>
      <c r="FW1285" s="18"/>
      <c r="FX1285" s="18"/>
      <c r="FY1285" s="18"/>
      <c r="FZ1285" s="18"/>
      <c r="GA1285" s="18"/>
      <c r="GB1285" s="18"/>
      <c r="GC1285" s="18"/>
      <c r="GD1285" s="18"/>
      <c r="GE1285" s="18"/>
      <c r="GF1285" s="18"/>
      <c r="GG1285" s="18"/>
      <c r="GH1285" s="18"/>
      <c r="GI1285" s="18"/>
      <c r="GJ1285" s="18"/>
      <c r="GK1285" s="18"/>
      <c r="GL1285" s="18"/>
      <c r="GM1285" s="18"/>
      <c r="GN1285" s="18"/>
      <c r="GO1285" s="18"/>
      <c r="GP1285" s="18"/>
      <c r="GQ1285" s="18"/>
      <c r="GR1285" s="18"/>
      <c r="GS1285" s="18"/>
      <c r="GT1285" s="18"/>
      <c r="GU1285" s="18"/>
      <c r="GV1285" s="18"/>
      <c r="GW1285" s="18"/>
      <c r="GX1285" s="18"/>
      <c r="GY1285" s="18"/>
      <c r="GZ1285" s="18"/>
      <c r="HA1285" s="18"/>
      <c r="HB1285" s="18"/>
      <c r="HC1285" s="18"/>
      <c r="HD1285" s="18"/>
      <c r="HE1285" s="18"/>
      <c r="HF1285" s="18"/>
      <c r="HG1285" s="18"/>
      <c r="HH1285" s="18"/>
      <c r="HI1285" s="18"/>
      <c r="HJ1285" s="18"/>
      <c r="HK1285" s="18"/>
      <c r="HL1285" s="18"/>
      <c r="HM1285" s="18"/>
      <c r="HN1285" s="18"/>
      <c r="HO1285" s="18"/>
      <c r="HP1285" s="18"/>
      <c r="HQ1285" s="18"/>
      <c r="HR1285" s="18"/>
      <c r="HS1285" s="18"/>
      <c r="HT1285" s="18"/>
      <c r="HU1285" s="18"/>
      <c r="HV1285" s="18"/>
      <c r="HW1285" s="18"/>
      <c r="HX1285" s="18"/>
      <c r="HY1285" s="18"/>
      <c r="HZ1285" s="18"/>
      <c r="IA1285" s="18"/>
      <c r="IB1285" s="18"/>
      <c r="IC1285" s="18"/>
      <c r="ID1285" s="18"/>
      <c r="IE1285" s="18"/>
      <c r="IF1285" s="18"/>
      <c r="IG1285" s="18"/>
      <c r="IH1285" s="18"/>
      <c r="II1285" s="18"/>
      <c r="IJ1285" s="18"/>
      <c r="IK1285" s="18"/>
      <c r="IL1285" s="18"/>
      <c r="IM1285" s="18"/>
      <c r="IN1285" s="18"/>
      <c r="IO1285" s="18"/>
      <c r="IP1285" s="18"/>
      <c r="IQ1285" s="18"/>
      <c r="IR1285" s="18"/>
      <c r="IS1285" s="18"/>
      <c r="IT1285" s="18"/>
      <c r="IU1285" s="18"/>
      <c r="IV1285" s="18"/>
      <c r="IW1285" s="18"/>
      <c r="IX1285" s="18"/>
      <c r="IY1285" s="18"/>
      <c r="IZ1285" s="18"/>
      <c r="JA1285" s="18"/>
      <c r="JB1285" s="18"/>
      <c r="JC1285" s="18"/>
      <c r="JD1285" s="18"/>
      <c r="JE1285" s="18"/>
      <c r="JF1285" s="18"/>
      <c r="JG1285" s="18"/>
      <c r="JH1285" s="18"/>
      <c r="JI1285" s="18"/>
      <c r="JJ1285" s="18"/>
      <c r="JK1285" s="18"/>
      <c r="JL1285" s="18"/>
      <c r="JM1285" s="18"/>
      <c r="JN1285" s="18"/>
      <c r="JO1285" s="18"/>
      <c r="JP1285" s="18"/>
      <c r="JQ1285" s="18"/>
      <c r="JR1285" s="18"/>
      <c r="JS1285" s="18"/>
      <c r="JT1285" s="18"/>
      <c r="JU1285" s="18"/>
      <c r="JV1285" s="18"/>
      <c r="JW1285" s="18"/>
      <c r="JX1285" s="18"/>
      <c r="JY1285" s="18"/>
      <c r="JZ1285" s="18"/>
      <c r="KA1285" s="18"/>
      <c r="KB1285" s="18"/>
      <c r="KC1285" s="18"/>
      <c r="KD1285" s="18"/>
      <c r="KE1285" s="18"/>
      <c r="KF1285" s="18"/>
      <c r="KG1285" s="18"/>
      <c r="KH1285" s="18"/>
      <c r="KI1285" s="18"/>
      <c r="KJ1285" s="18"/>
      <c r="KK1285" s="18"/>
      <c r="KL1285" s="18"/>
      <c r="KM1285" s="18"/>
      <c r="KN1285" s="18"/>
      <c r="KO1285" s="18"/>
      <c r="KP1285" s="18"/>
      <c r="KQ1285" s="18"/>
      <c r="KR1285" s="18"/>
      <c r="KS1285" s="18"/>
      <c r="KT1285" s="18"/>
      <c r="KU1285" s="18"/>
      <c r="KV1285" s="18"/>
      <c r="KW1285" s="18"/>
      <c r="KX1285" s="18"/>
      <c r="KY1285" s="18"/>
      <c r="KZ1285" s="18"/>
      <c r="LA1285" s="18"/>
      <c r="LB1285" s="18"/>
      <c r="LC1285" s="18"/>
      <c r="LD1285" s="18"/>
      <c r="LE1285" s="18"/>
      <c r="LF1285" s="18"/>
      <c r="LG1285" s="18"/>
      <c r="LH1285" s="18"/>
      <c r="LI1285" s="18"/>
      <c r="LJ1285" s="18"/>
      <c r="LK1285" s="18"/>
      <c r="LL1285" s="18"/>
      <c r="LM1285" s="18"/>
      <c r="LN1285" s="18"/>
      <c r="LO1285" s="18"/>
      <c r="LP1285" s="18"/>
      <c r="LQ1285" s="18"/>
      <c r="LR1285" s="18"/>
      <c r="LS1285" s="18"/>
      <c r="LT1285" s="18"/>
      <c r="LU1285" s="18"/>
      <c r="LV1285" s="18"/>
      <c r="LW1285" s="18"/>
      <c r="LX1285" s="18"/>
      <c r="LY1285" s="18"/>
      <c r="LZ1285" s="18"/>
      <c r="MA1285" s="18"/>
      <c r="MB1285" s="18"/>
      <c r="MC1285" s="18"/>
      <c r="MD1285" s="18"/>
      <c r="ME1285" s="18"/>
      <c r="MF1285" s="18"/>
      <c r="MG1285" s="18"/>
      <c r="MH1285" s="18"/>
      <c r="MI1285" s="18"/>
      <c r="MJ1285" s="18"/>
      <c r="MK1285" s="18"/>
      <c r="ML1285" s="18"/>
      <c r="MM1285" s="18"/>
      <c r="MN1285" s="18"/>
      <c r="MO1285" s="18"/>
      <c r="MP1285" s="18"/>
      <c r="MQ1285" s="18"/>
      <c r="MR1285" s="18"/>
      <c r="MS1285" s="18"/>
      <c r="MT1285" s="18"/>
      <c r="MU1285" s="18"/>
      <c r="MV1285" s="18"/>
      <c r="MW1285" s="18"/>
      <c r="MX1285" s="18"/>
      <c r="MY1285" s="18"/>
      <c r="MZ1285" s="18"/>
      <c r="NA1285" s="18"/>
      <c r="NB1285" s="18"/>
      <c r="NC1285" s="18"/>
      <c r="ND1285" s="18"/>
      <c r="NE1285" s="18"/>
      <c r="NF1285" s="18"/>
      <c r="NG1285" s="18"/>
      <c r="NH1285" s="18"/>
      <c r="NI1285" s="18"/>
      <c r="NJ1285" s="18"/>
      <c r="NK1285" s="18"/>
      <c r="NL1285" s="18"/>
      <c r="NM1285" s="18"/>
      <c r="NN1285" s="18"/>
      <c r="NO1285" s="18"/>
      <c r="NP1285" s="18"/>
      <c r="NQ1285" s="18"/>
      <c r="NR1285" s="18"/>
      <c r="NS1285" s="18"/>
      <c r="NT1285" s="18"/>
      <c r="NU1285" s="18"/>
      <c r="NV1285" s="18"/>
      <c r="NW1285" s="18"/>
      <c r="NX1285" s="18"/>
      <c r="NY1285" s="18"/>
      <c r="NZ1285" s="18"/>
      <c r="OA1285" s="18"/>
      <c r="OB1285" s="18"/>
      <c r="OC1285" s="18"/>
      <c r="OD1285" s="18"/>
      <c r="OE1285" s="18"/>
      <c r="OF1285" s="18"/>
      <c r="OG1285" s="18"/>
      <c r="OH1285" s="18"/>
      <c r="OI1285" s="18"/>
      <c r="OJ1285" s="18"/>
      <c r="OK1285" s="18"/>
      <c r="OL1285" s="18"/>
      <c r="OM1285" s="18"/>
      <c r="ON1285" s="18"/>
      <c r="OO1285" s="18"/>
      <c r="OP1285" s="18"/>
      <c r="OQ1285" s="18"/>
      <c r="OR1285" s="18"/>
      <c r="OS1285" s="18"/>
      <c r="OT1285" s="18"/>
      <c r="OU1285" s="18"/>
      <c r="OV1285" s="18"/>
      <c r="OW1285" s="18"/>
      <c r="OX1285" s="18"/>
      <c r="OY1285" s="18"/>
      <c r="OZ1285" s="18"/>
      <c r="PA1285" s="18"/>
      <c r="PB1285" s="18"/>
      <c r="PC1285" s="18"/>
      <c r="PD1285" s="18"/>
      <c r="PE1285" s="18"/>
      <c r="PF1285" s="18"/>
      <c r="PG1285" s="18"/>
      <c r="PH1285" s="18"/>
      <c r="PI1285" s="18"/>
      <c r="PJ1285" s="18"/>
      <c r="PK1285" s="18"/>
      <c r="PL1285" s="18"/>
      <c r="PM1285" s="18"/>
      <c r="PN1285" s="18"/>
      <c r="PO1285" s="18"/>
      <c r="PP1285" s="18"/>
      <c r="PQ1285" s="18"/>
      <c r="PR1285" s="18"/>
      <c r="PS1285" s="18"/>
      <c r="PT1285" s="18"/>
      <c r="PU1285" s="18"/>
      <c r="PV1285" s="18"/>
      <c r="PW1285" s="18"/>
      <c r="PX1285" s="18"/>
      <c r="PY1285" s="18"/>
      <c r="PZ1285" s="18"/>
      <c r="QA1285" s="18"/>
      <c r="QB1285" s="18"/>
      <c r="QC1285" s="18"/>
      <c r="QD1285" s="18"/>
      <c r="QE1285" s="18"/>
      <c r="QF1285" s="18"/>
      <c r="QG1285" s="18"/>
      <c r="QH1285" s="18"/>
      <c r="QI1285" s="18"/>
      <c r="QJ1285" s="18"/>
      <c r="QK1285" s="18"/>
      <c r="QL1285" s="18"/>
      <c r="QM1285" s="18"/>
      <c r="QN1285" s="18"/>
      <c r="QO1285" s="18"/>
      <c r="QP1285" s="18"/>
      <c r="QQ1285" s="18"/>
      <c r="QR1285" s="18"/>
      <c r="QS1285" s="18"/>
      <c r="QT1285" s="18"/>
      <c r="QU1285" s="18"/>
      <c r="QV1285" s="18"/>
      <c r="QW1285" s="18"/>
      <c r="QX1285" s="18"/>
      <c r="QY1285" s="18"/>
      <c r="QZ1285" s="18"/>
      <c r="RA1285" s="18"/>
      <c r="RB1285" s="18"/>
      <c r="RC1285" s="18"/>
      <c r="RD1285" s="18"/>
      <c r="RE1285" s="18"/>
      <c r="RF1285" s="18"/>
      <c r="RG1285" s="18"/>
      <c r="RH1285" s="18"/>
      <c r="RI1285" s="18"/>
      <c r="RJ1285" s="18"/>
      <c r="RK1285" s="18"/>
      <c r="RL1285" s="18"/>
      <c r="RM1285" s="18"/>
      <c r="RN1285" s="18"/>
      <c r="RO1285" s="18"/>
      <c r="RP1285" s="18"/>
      <c r="RQ1285" s="18"/>
      <c r="RR1285" s="18"/>
      <c r="RS1285" s="18"/>
      <c r="RT1285" s="18"/>
      <c r="RU1285" s="18"/>
      <c r="RV1285" s="18"/>
      <c r="RW1285" s="18"/>
      <c r="RX1285" s="18"/>
      <c r="RY1285" s="18"/>
      <c r="RZ1285" s="18"/>
      <c r="SA1285" s="18"/>
      <c r="SB1285" s="18"/>
      <c r="SC1285" s="18"/>
      <c r="SD1285" s="18"/>
      <c r="SE1285" s="18"/>
      <c r="SF1285" s="18"/>
      <c r="SG1285" s="18"/>
      <c r="SH1285" s="18"/>
      <c r="SI1285" s="18"/>
      <c r="SJ1285" s="18"/>
      <c r="SK1285" s="18"/>
      <c r="SL1285" s="18"/>
      <c r="SM1285" s="18"/>
      <c r="SN1285" s="18"/>
      <c r="SO1285" s="18"/>
      <c r="SP1285" s="18"/>
      <c r="SQ1285" s="18"/>
      <c r="SR1285" s="18"/>
      <c r="SS1285" s="18"/>
      <c r="ST1285" s="18"/>
      <c r="SU1285" s="18"/>
      <c r="SV1285" s="18"/>
      <c r="SW1285" s="18"/>
      <c r="SX1285" s="18"/>
      <c r="SY1285" s="18"/>
      <c r="SZ1285" s="18"/>
      <c r="TA1285" s="18"/>
      <c r="TB1285" s="18"/>
      <c r="TC1285" s="18"/>
      <c r="TD1285" s="18"/>
      <c r="TE1285" s="18"/>
      <c r="TF1285" s="18"/>
      <c r="TG1285" s="18"/>
      <c r="TH1285" s="18"/>
      <c r="TI1285" s="18"/>
      <c r="TJ1285" s="18"/>
      <c r="TK1285" s="18"/>
      <c r="TL1285" s="18"/>
      <c r="TM1285" s="18"/>
      <c r="TN1285" s="18"/>
      <c r="TO1285" s="18"/>
      <c r="TP1285" s="18"/>
      <c r="TQ1285" s="18"/>
      <c r="TR1285" s="18"/>
      <c r="TS1285" s="18"/>
      <c r="TT1285" s="18"/>
      <c r="TU1285" s="18"/>
      <c r="TV1285" s="18"/>
      <c r="TW1285" s="18"/>
      <c r="TX1285" s="18"/>
      <c r="TY1285" s="18"/>
      <c r="TZ1285" s="18"/>
      <c r="UA1285" s="18"/>
      <c r="UB1285" s="18"/>
      <c r="UC1285" s="18"/>
      <c r="UD1285" s="18"/>
      <c r="UE1285" s="18"/>
      <c r="UF1285" s="18"/>
      <c r="UG1285" s="19"/>
    </row>
    <row r="1286" spans="1:553" ht="126.75" customHeight="1">
      <c r="A1286" s="356" t="s">
        <v>15</v>
      </c>
      <c r="B1286" s="366"/>
      <c r="C1286" s="1414" t="s">
        <v>818</v>
      </c>
      <c r="D1286" s="1389"/>
      <c r="E1286" s="1389"/>
      <c r="F1286" s="1390"/>
      <c r="G1286" s="366" t="s">
        <v>68</v>
      </c>
      <c r="H1286" s="370"/>
      <c r="I1286" s="370">
        <v>1</v>
      </c>
      <c r="J1286" s="368"/>
      <c r="K1286" s="371"/>
      <c r="L1286" s="480"/>
      <c r="M1286" s="366"/>
      <c r="N1286" s="366"/>
      <c r="O1286" s="366"/>
      <c r="P1286" s="366"/>
      <c r="Q1286" s="812"/>
      <c r="R1286" s="421" t="s">
        <v>1042</v>
      </c>
      <c r="S1286" s="308"/>
      <c r="T1286" s="308"/>
      <c r="U1286" s="308"/>
      <c r="V1286" s="308"/>
      <c r="W1286" s="308"/>
      <c r="X1286" s="308"/>
      <c r="Y1286" s="308"/>
      <c r="Z1286" s="604"/>
      <c r="AA1286" s="308"/>
      <c r="AB1286" s="308"/>
      <c r="AC1286" s="449"/>
      <c r="AD1286" s="454"/>
      <c r="AE1286" s="454"/>
      <c r="AF1286" s="454"/>
      <c r="AG1286" s="454"/>
      <c r="AH1286" s="454"/>
      <c r="AI1286" s="454"/>
      <c r="AJ1286" s="454"/>
      <c r="AK1286" s="455"/>
      <c r="AL1286" s="104"/>
      <c r="AM1286" s="32"/>
      <c r="AN1286" s="32"/>
      <c r="AO1286" s="32"/>
      <c r="AP1286" s="32"/>
      <c r="AQ1286" s="32"/>
      <c r="AR1286" s="32"/>
      <c r="AS1286" s="31"/>
      <c r="AT1286" s="31"/>
      <c r="AU1286" s="31"/>
      <c r="AV1286" s="31"/>
      <c r="AW1286" s="31"/>
      <c r="AX1286" s="31"/>
      <c r="AY1286" s="31"/>
      <c r="AZ1286" s="31"/>
      <c r="BA1286" s="31"/>
      <c r="BB1286" s="31"/>
      <c r="BC1286" s="31"/>
      <c r="BD1286" s="31"/>
      <c r="BE1286" s="31"/>
      <c r="BF1286" s="31"/>
      <c r="BG1286" s="31"/>
      <c r="BH1286" s="31"/>
      <c r="BI1286" s="31"/>
      <c r="BJ1286" s="31"/>
      <c r="BK1286" s="31"/>
      <c r="BL1286" s="31"/>
      <c r="BM1286" s="31"/>
      <c r="BN1286" s="31"/>
      <c r="BO1286" s="31"/>
      <c r="BP1286" s="25"/>
      <c r="BQ1286" s="25"/>
      <c r="BR1286" s="25"/>
      <c r="BS1286" s="25"/>
      <c r="BT1286" s="25"/>
      <c r="BU1286" s="25"/>
      <c r="BV1286" s="25"/>
      <c r="BW1286" s="25"/>
      <c r="BX1286" s="25"/>
      <c r="BY1286" s="25"/>
      <c r="BZ1286" s="25"/>
      <c r="CA1286" s="25"/>
      <c r="CB1286" s="25"/>
      <c r="CC1286" s="25"/>
      <c r="CD1286" s="25"/>
      <c r="CE1286" s="25"/>
      <c r="CF1286" s="25"/>
      <c r="CG1286" s="25"/>
      <c r="CH1286" s="25"/>
      <c r="CI1286" s="25"/>
      <c r="CJ1286" s="25"/>
      <c r="CK1286" s="25"/>
      <c r="CL1286" s="25"/>
      <c r="CM1286" s="25"/>
      <c r="CN1286" s="25"/>
      <c r="CO1286" s="25"/>
      <c r="CP1286" s="25"/>
      <c r="CQ1286" s="25"/>
      <c r="CR1286" s="25"/>
      <c r="CS1286" s="25"/>
      <c r="CT1286" s="25"/>
      <c r="CU1286" s="25"/>
      <c r="CV1286" s="25"/>
      <c r="CW1286" s="25"/>
      <c r="CX1286" s="25"/>
      <c r="CY1286" s="25"/>
      <c r="CZ1286" s="25"/>
      <c r="DA1286" s="25"/>
      <c r="DB1286" s="25"/>
      <c r="DC1286" s="25"/>
      <c r="DD1286" s="25"/>
      <c r="DE1286" s="25"/>
      <c r="DF1286" s="25"/>
      <c r="DG1286" s="25"/>
      <c r="DH1286" s="25"/>
      <c r="DI1286" s="25"/>
      <c r="DJ1286" s="25"/>
      <c r="DK1286" s="25"/>
      <c r="DL1286" s="25"/>
      <c r="DM1286" s="25"/>
      <c r="DN1286" s="25"/>
      <c r="DO1286" s="25"/>
      <c r="DP1286" s="25"/>
      <c r="DQ1286" s="25"/>
      <c r="DR1286" s="25"/>
      <c r="DS1286" s="25"/>
      <c r="DT1286" s="25"/>
      <c r="DU1286" s="25"/>
      <c r="DV1286" s="25"/>
      <c r="DW1286" s="25"/>
      <c r="DX1286" s="25"/>
      <c r="DY1286" s="25"/>
      <c r="DZ1286" s="25"/>
      <c r="EA1286" s="25"/>
      <c r="EB1286" s="25"/>
      <c r="EC1286" s="25"/>
      <c r="ED1286" s="25"/>
      <c r="EE1286" s="25"/>
      <c r="EF1286" s="25"/>
      <c r="EG1286" s="25"/>
      <c r="EH1286" s="25"/>
      <c r="EI1286" s="25"/>
      <c r="EJ1286" s="25"/>
      <c r="EK1286" s="25"/>
      <c r="EL1286" s="25"/>
      <c r="EM1286" s="25"/>
      <c r="EN1286" s="25"/>
      <c r="EO1286" s="25"/>
      <c r="EP1286" s="25"/>
      <c r="EQ1286" s="25"/>
      <c r="ER1286" s="25"/>
      <c r="ES1286" s="25"/>
      <c r="ET1286" s="25"/>
      <c r="EU1286" s="25"/>
      <c r="EV1286" s="25"/>
      <c r="EW1286" s="25"/>
      <c r="EX1286" s="25"/>
      <c r="EY1286" s="25"/>
      <c r="EZ1286" s="25"/>
      <c r="FA1286" s="25"/>
      <c r="FB1286" s="25"/>
      <c r="FC1286" s="25"/>
      <c r="FD1286" s="25"/>
      <c r="FE1286" s="25"/>
      <c r="FF1286" s="25"/>
      <c r="FG1286" s="25"/>
      <c r="FH1286" s="25"/>
      <c r="FI1286" s="25"/>
      <c r="FJ1286" s="25"/>
      <c r="FK1286" s="25"/>
      <c r="FL1286" s="25"/>
      <c r="FM1286" s="25"/>
      <c r="FN1286" s="25"/>
      <c r="FO1286" s="25"/>
      <c r="FP1286" s="25"/>
      <c r="FQ1286" s="25"/>
      <c r="FR1286" s="25"/>
      <c r="FS1286" s="25"/>
      <c r="FT1286" s="25"/>
      <c r="FU1286" s="25"/>
      <c r="FV1286" s="25"/>
      <c r="FW1286" s="25"/>
      <c r="FX1286" s="25"/>
      <c r="FY1286" s="25"/>
      <c r="FZ1286" s="25"/>
      <c r="GA1286" s="25"/>
      <c r="GB1286" s="25"/>
      <c r="GC1286" s="25"/>
      <c r="GD1286" s="25"/>
      <c r="GE1286" s="25"/>
      <c r="GF1286" s="25"/>
      <c r="GG1286" s="25"/>
      <c r="GH1286" s="25"/>
      <c r="GI1286" s="25"/>
      <c r="GJ1286" s="25"/>
      <c r="GK1286" s="25"/>
      <c r="GL1286" s="25"/>
      <c r="GM1286" s="25"/>
      <c r="GN1286" s="25"/>
      <c r="GO1286" s="25"/>
      <c r="GP1286" s="25"/>
      <c r="GQ1286" s="25"/>
      <c r="GR1286" s="25"/>
      <c r="GS1286" s="25"/>
      <c r="GT1286" s="25"/>
      <c r="GU1286" s="25"/>
      <c r="GV1286" s="25"/>
      <c r="GW1286" s="25"/>
      <c r="GX1286" s="25"/>
      <c r="GY1286" s="25"/>
      <c r="GZ1286" s="25"/>
      <c r="HA1286" s="25"/>
      <c r="HB1286" s="25"/>
      <c r="HC1286" s="25"/>
      <c r="HD1286" s="25"/>
      <c r="HE1286" s="25"/>
      <c r="HF1286" s="25"/>
      <c r="HG1286" s="25"/>
      <c r="HH1286" s="25"/>
      <c r="HI1286" s="25"/>
      <c r="HJ1286" s="25"/>
      <c r="HK1286" s="25"/>
      <c r="HL1286" s="25"/>
      <c r="HM1286" s="25"/>
      <c r="HN1286" s="25"/>
      <c r="HO1286" s="25"/>
      <c r="HP1286" s="25"/>
      <c r="HQ1286" s="25"/>
      <c r="HR1286" s="25"/>
      <c r="HS1286" s="25"/>
      <c r="HT1286" s="25"/>
      <c r="HU1286" s="25"/>
      <c r="HV1286" s="25"/>
      <c r="HW1286" s="25"/>
      <c r="HX1286" s="25"/>
      <c r="HY1286" s="25"/>
      <c r="HZ1286" s="25"/>
      <c r="IA1286" s="25"/>
      <c r="IB1286" s="25"/>
      <c r="IC1286" s="25"/>
      <c r="ID1286" s="25"/>
      <c r="IE1286" s="25"/>
      <c r="IF1286" s="25"/>
      <c r="IG1286" s="25"/>
      <c r="IH1286" s="25"/>
      <c r="II1286" s="25"/>
      <c r="IJ1286" s="25"/>
      <c r="IK1286" s="25"/>
      <c r="IL1286" s="25"/>
      <c r="IM1286" s="25"/>
      <c r="IN1286" s="25"/>
      <c r="IO1286" s="25"/>
      <c r="IP1286" s="25"/>
      <c r="IQ1286" s="25"/>
      <c r="IR1286" s="25"/>
      <c r="IS1286" s="25"/>
      <c r="IT1286" s="25"/>
      <c r="IU1286" s="25"/>
      <c r="IV1286" s="25"/>
      <c r="IW1286" s="25"/>
      <c r="IX1286" s="25"/>
      <c r="IY1286" s="25"/>
      <c r="IZ1286" s="25"/>
      <c r="JA1286" s="25"/>
      <c r="JB1286" s="25"/>
      <c r="JC1286" s="25"/>
      <c r="JD1286" s="25"/>
      <c r="JE1286" s="25"/>
      <c r="JF1286" s="25"/>
      <c r="JG1286" s="25"/>
      <c r="JH1286" s="25"/>
      <c r="JI1286" s="25"/>
      <c r="JJ1286" s="25"/>
      <c r="JK1286" s="25"/>
      <c r="JL1286" s="25"/>
      <c r="JM1286" s="25"/>
      <c r="JN1286" s="25"/>
      <c r="JO1286" s="25"/>
      <c r="JP1286" s="25"/>
      <c r="JQ1286" s="25"/>
      <c r="JR1286" s="25"/>
      <c r="JS1286" s="25"/>
      <c r="JT1286" s="25"/>
      <c r="JU1286" s="25"/>
      <c r="JV1286" s="25"/>
      <c r="JW1286" s="25"/>
      <c r="JX1286" s="25"/>
      <c r="JY1286" s="25"/>
      <c r="JZ1286" s="25"/>
      <c r="KA1286" s="25"/>
      <c r="KB1286" s="25"/>
      <c r="KC1286" s="25"/>
      <c r="KD1286" s="25"/>
      <c r="KE1286" s="25"/>
      <c r="KF1286" s="25"/>
      <c r="KG1286" s="25"/>
      <c r="KH1286" s="25"/>
      <c r="KI1286" s="25"/>
      <c r="KJ1286" s="25"/>
      <c r="KK1286" s="25"/>
      <c r="KL1286" s="25"/>
      <c r="KM1286" s="25"/>
      <c r="KN1286" s="25"/>
      <c r="KO1286" s="25"/>
      <c r="KP1286" s="25"/>
      <c r="KQ1286" s="25"/>
      <c r="KR1286" s="25"/>
      <c r="KS1286" s="25"/>
      <c r="KT1286" s="25"/>
      <c r="KU1286" s="25"/>
      <c r="KV1286" s="25"/>
      <c r="KW1286" s="25"/>
      <c r="KX1286" s="25"/>
      <c r="KY1286" s="25"/>
      <c r="KZ1286" s="25"/>
      <c r="LA1286" s="25"/>
      <c r="LB1286" s="25"/>
      <c r="LC1286" s="25"/>
      <c r="LD1286" s="25"/>
      <c r="LE1286" s="25"/>
      <c r="LF1286" s="25"/>
      <c r="LG1286" s="25"/>
      <c r="LH1286" s="25"/>
      <c r="LI1286" s="25"/>
      <c r="LJ1286" s="25"/>
      <c r="LK1286" s="25"/>
      <c r="LL1286" s="25"/>
      <c r="LM1286" s="25"/>
      <c r="LN1286" s="25"/>
      <c r="LO1286" s="25"/>
      <c r="LP1286" s="25"/>
      <c r="LQ1286" s="25"/>
      <c r="LR1286" s="25"/>
      <c r="LS1286" s="25"/>
      <c r="LT1286" s="25"/>
      <c r="LU1286" s="25"/>
      <c r="LV1286" s="25"/>
      <c r="LW1286" s="25"/>
      <c r="LX1286" s="25"/>
      <c r="LY1286" s="25"/>
      <c r="LZ1286" s="25"/>
      <c r="MA1286" s="25"/>
      <c r="MB1286" s="25"/>
      <c r="MC1286" s="25"/>
      <c r="MD1286" s="25"/>
      <c r="ME1286" s="25"/>
      <c r="MF1286" s="25"/>
      <c r="MG1286" s="25"/>
      <c r="MH1286" s="25"/>
      <c r="MI1286" s="25"/>
      <c r="MJ1286" s="25"/>
      <c r="MK1286" s="25"/>
      <c r="ML1286" s="25"/>
      <c r="MM1286" s="25"/>
      <c r="MN1286" s="25"/>
      <c r="MO1286" s="25"/>
      <c r="MP1286" s="25"/>
      <c r="MQ1286" s="25"/>
      <c r="MR1286" s="25"/>
      <c r="MS1286" s="25"/>
      <c r="MT1286" s="25"/>
      <c r="MU1286" s="25"/>
      <c r="MV1286" s="25"/>
      <c r="MW1286" s="25"/>
      <c r="MX1286" s="25"/>
      <c r="MY1286" s="25"/>
      <c r="MZ1286" s="25"/>
      <c r="NA1286" s="25"/>
      <c r="NB1286" s="25"/>
      <c r="NC1286" s="25"/>
      <c r="ND1286" s="25"/>
      <c r="NE1286" s="25"/>
      <c r="NF1286" s="25"/>
      <c r="NG1286" s="25"/>
      <c r="NH1286" s="25"/>
      <c r="NI1286" s="25"/>
      <c r="NJ1286" s="25"/>
      <c r="NK1286" s="25"/>
      <c r="NL1286" s="25"/>
      <c r="NM1286" s="25"/>
      <c r="NN1286" s="25"/>
      <c r="NO1286" s="25"/>
      <c r="NP1286" s="25"/>
      <c r="NQ1286" s="25"/>
      <c r="NR1286" s="25"/>
      <c r="NS1286" s="25"/>
      <c r="NT1286" s="25"/>
      <c r="NU1286" s="25"/>
      <c r="NV1286" s="25"/>
      <c r="NW1286" s="25"/>
      <c r="NX1286" s="25"/>
      <c r="NY1286" s="25"/>
      <c r="NZ1286" s="25"/>
      <c r="OA1286" s="25"/>
      <c r="OB1286" s="25"/>
      <c r="OC1286" s="25"/>
      <c r="OD1286" s="25"/>
      <c r="OE1286" s="25"/>
      <c r="OF1286" s="25"/>
      <c r="OG1286" s="25"/>
      <c r="OH1286" s="25"/>
      <c r="OI1286" s="25"/>
      <c r="OJ1286" s="25"/>
      <c r="OK1286" s="25"/>
      <c r="OL1286" s="25"/>
      <c r="OM1286" s="25"/>
      <c r="ON1286" s="25"/>
      <c r="OO1286" s="25"/>
      <c r="OP1286" s="25"/>
      <c r="OQ1286" s="25"/>
      <c r="OR1286" s="25"/>
      <c r="OS1286" s="25"/>
      <c r="OT1286" s="25"/>
      <c r="OU1286" s="25"/>
      <c r="OV1286" s="25"/>
      <c r="OW1286" s="25"/>
      <c r="OX1286" s="25"/>
      <c r="OY1286" s="25"/>
      <c r="OZ1286" s="25"/>
      <c r="PA1286" s="25"/>
      <c r="PB1286" s="25"/>
      <c r="PC1286" s="25"/>
      <c r="PD1286" s="25"/>
      <c r="PE1286" s="25"/>
      <c r="PF1286" s="25"/>
      <c r="PG1286" s="25"/>
      <c r="PH1286" s="25"/>
      <c r="PI1286" s="25"/>
      <c r="PJ1286" s="25"/>
      <c r="PK1286" s="25"/>
      <c r="PL1286" s="25"/>
      <c r="PM1286" s="25"/>
      <c r="PN1286" s="25"/>
      <c r="PO1286" s="25"/>
      <c r="PP1286" s="25"/>
      <c r="PQ1286" s="25"/>
      <c r="PR1286" s="25"/>
      <c r="PS1286" s="25"/>
      <c r="PT1286" s="25"/>
      <c r="PU1286" s="25"/>
      <c r="PV1286" s="25"/>
      <c r="PW1286" s="25"/>
      <c r="PX1286" s="25"/>
      <c r="PY1286" s="25"/>
      <c r="PZ1286" s="25"/>
      <c r="QA1286" s="25"/>
      <c r="QB1286" s="25"/>
      <c r="QC1286" s="25"/>
      <c r="QD1286" s="25"/>
      <c r="QE1286" s="25"/>
      <c r="QF1286" s="25"/>
      <c r="QG1286" s="25"/>
      <c r="QH1286" s="25"/>
      <c r="QI1286" s="25"/>
      <c r="QJ1286" s="25"/>
      <c r="QK1286" s="25"/>
      <c r="QL1286" s="25"/>
      <c r="QM1286" s="25"/>
      <c r="QN1286" s="25"/>
      <c r="QO1286" s="25"/>
      <c r="QP1286" s="25"/>
      <c r="QQ1286" s="25"/>
      <c r="QR1286" s="25"/>
      <c r="QS1286" s="25"/>
      <c r="QT1286" s="25"/>
      <c r="QU1286" s="25"/>
      <c r="QV1286" s="25"/>
      <c r="QW1286" s="25"/>
      <c r="QX1286" s="25"/>
      <c r="QY1286" s="25"/>
      <c r="QZ1286" s="25"/>
      <c r="RA1286" s="25"/>
      <c r="RB1286" s="25"/>
      <c r="RC1286" s="25"/>
      <c r="RD1286" s="25"/>
      <c r="RE1286" s="25"/>
      <c r="RF1286" s="25"/>
      <c r="RG1286" s="25"/>
      <c r="RH1286" s="25"/>
      <c r="RI1286" s="25"/>
      <c r="RJ1286" s="25"/>
      <c r="RK1286" s="25"/>
      <c r="RL1286" s="25"/>
      <c r="RM1286" s="25"/>
      <c r="RN1286" s="25"/>
      <c r="RO1286" s="25"/>
      <c r="RP1286" s="25"/>
      <c r="RQ1286" s="25"/>
      <c r="RR1286" s="25"/>
      <c r="RS1286" s="25"/>
      <c r="RT1286" s="25"/>
      <c r="RU1286" s="25"/>
      <c r="RV1286" s="25"/>
      <c r="RW1286" s="25"/>
      <c r="RX1286" s="25"/>
      <c r="RY1286" s="25"/>
      <c r="RZ1286" s="25"/>
      <c r="SA1286" s="25"/>
      <c r="SB1286" s="25"/>
      <c r="SC1286" s="25"/>
      <c r="SD1286" s="25"/>
      <c r="SE1286" s="25"/>
      <c r="SF1286" s="25"/>
      <c r="SG1286" s="25"/>
      <c r="SH1286" s="25"/>
      <c r="SI1286" s="25"/>
      <c r="SJ1286" s="25"/>
      <c r="SK1286" s="25"/>
      <c r="SL1286" s="25"/>
      <c r="SM1286" s="25"/>
      <c r="SN1286" s="25"/>
      <c r="SO1286" s="25"/>
      <c r="SP1286" s="25"/>
      <c r="SQ1286" s="25"/>
      <c r="SR1286" s="25"/>
      <c r="SS1286" s="25"/>
      <c r="ST1286" s="25"/>
      <c r="SU1286" s="25"/>
      <c r="SV1286" s="25"/>
      <c r="SW1286" s="25"/>
      <c r="SX1286" s="25"/>
      <c r="SY1286" s="25"/>
      <c r="SZ1286" s="25"/>
      <c r="TA1286" s="25"/>
      <c r="TB1286" s="25"/>
      <c r="TC1286" s="25"/>
      <c r="TD1286" s="25"/>
      <c r="TE1286" s="25"/>
      <c r="TF1286" s="25"/>
      <c r="TG1286" s="25"/>
      <c r="TH1286" s="25"/>
      <c r="TI1286" s="25"/>
      <c r="TJ1286" s="25"/>
      <c r="TK1286" s="25"/>
      <c r="TL1286" s="25"/>
      <c r="TM1286" s="25"/>
      <c r="TN1286" s="25"/>
      <c r="TO1286" s="25"/>
      <c r="TP1286" s="25"/>
      <c r="TQ1286" s="25"/>
      <c r="TR1286" s="25"/>
      <c r="TS1286" s="25"/>
      <c r="TT1286" s="25"/>
      <c r="TU1286" s="25"/>
      <c r="TV1286" s="25"/>
      <c r="TW1286" s="25"/>
      <c r="TX1286" s="25"/>
      <c r="TY1286" s="25"/>
      <c r="TZ1286" s="25"/>
      <c r="UA1286" s="25"/>
      <c r="UB1286" s="25"/>
      <c r="UC1286" s="25"/>
      <c r="UD1286" s="25"/>
      <c r="UE1286" s="25"/>
      <c r="UF1286" s="25"/>
      <c r="UG1286" s="26"/>
    </row>
    <row r="1287" spans="1:553" ht="36.65" customHeight="1">
      <c r="A1287" s="356">
        <v>13</v>
      </c>
      <c r="B1287" s="356"/>
      <c r="C1287" s="1184" t="s">
        <v>704</v>
      </c>
      <c r="D1287" s="1211"/>
      <c r="E1287" s="1211"/>
      <c r="F1287" s="1212"/>
      <c r="G1287" s="356"/>
      <c r="H1287" s="359"/>
      <c r="I1287" s="359"/>
      <c r="J1287" s="357"/>
      <c r="K1287" s="364"/>
      <c r="L1287" s="645">
        <f>SUM(L1288:L1306)/2</f>
        <v>69738999</v>
      </c>
      <c r="M1287" s="356"/>
      <c r="N1287" s="356"/>
      <c r="O1287" s="356"/>
      <c r="P1287" s="356">
        <f>P1291+P1293+P1299</f>
        <v>69738999</v>
      </c>
      <c r="Q1287" s="610"/>
      <c r="R1287" s="1226"/>
      <c r="S1287" s="435">
        <f>D1292</f>
        <v>1</v>
      </c>
      <c r="T1287" s="435">
        <f>E1292</f>
        <v>518</v>
      </c>
      <c r="U1287" s="616">
        <f>H1291</f>
        <v>179</v>
      </c>
      <c r="V1287" s="616">
        <f>I1291</f>
        <v>109.4</v>
      </c>
      <c r="W1287" s="435"/>
      <c r="X1287" s="435"/>
      <c r="Y1287" s="435"/>
      <c r="Z1287" s="784"/>
      <c r="AA1287" s="435"/>
      <c r="AB1287" s="435"/>
      <c r="AC1287" s="785">
        <f>I1292</f>
        <v>109.4</v>
      </c>
      <c r="AD1287" s="1110">
        <f>L1291</f>
        <v>42666000</v>
      </c>
      <c r="AE1287" s="790">
        <f>L1293</f>
        <v>24689127</v>
      </c>
      <c r="AF1287" s="791">
        <f>L1299</f>
        <v>2383872</v>
      </c>
      <c r="AG1287" s="791">
        <f>L1303</f>
        <v>0</v>
      </c>
      <c r="AH1287" s="790">
        <f>L1304</f>
        <v>0</v>
      </c>
      <c r="AI1287" s="790">
        <f>L1305</f>
        <v>0</v>
      </c>
      <c r="AJ1287" s="837"/>
      <c r="AK1287" s="1110">
        <f>SUM(AD1287:AJ1287)</f>
        <v>69738999</v>
      </c>
      <c r="AL1287" s="206"/>
      <c r="AM1287" s="28"/>
      <c r="AN1287" s="28"/>
      <c r="AO1287" s="28"/>
      <c r="AP1287" s="28"/>
      <c r="AQ1287" s="28"/>
      <c r="AR1287" s="28"/>
      <c r="AS1287" s="28"/>
      <c r="AT1287" s="28"/>
      <c r="AU1287" s="28"/>
      <c r="AV1287" s="28"/>
      <c r="AW1287" s="28"/>
      <c r="AX1287" s="28"/>
      <c r="AY1287" s="28"/>
      <c r="AZ1287" s="28"/>
      <c r="BA1287" s="28"/>
      <c r="BB1287" s="28"/>
      <c r="BC1287" s="28"/>
      <c r="BD1287" s="28"/>
      <c r="BE1287" s="28"/>
      <c r="BF1287" s="28"/>
      <c r="BG1287" s="28"/>
      <c r="BH1287" s="28"/>
      <c r="BI1287" s="28"/>
      <c r="BJ1287" s="28"/>
      <c r="BK1287" s="28"/>
      <c r="BL1287" s="28"/>
      <c r="BM1287" s="28"/>
      <c r="BN1287" s="28"/>
      <c r="BO1287" s="28"/>
      <c r="BP1287" s="28"/>
      <c r="BQ1287" s="28"/>
      <c r="BR1287" s="28"/>
      <c r="BS1287" s="28"/>
      <c r="BT1287" s="28"/>
      <c r="BU1287" s="28"/>
      <c r="BV1287" s="28"/>
      <c r="BW1287" s="28"/>
      <c r="BX1287" s="28"/>
      <c r="BY1287" s="28"/>
      <c r="BZ1287" s="28"/>
      <c r="CA1287" s="28"/>
      <c r="CB1287" s="28"/>
      <c r="CC1287" s="28"/>
      <c r="CD1287" s="28"/>
      <c r="CE1287" s="28"/>
      <c r="CF1287" s="28"/>
      <c r="CG1287" s="28"/>
      <c r="CH1287" s="28"/>
      <c r="CI1287" s="28"/>
      <c r="CJ1287" s="28"/>
      <c r="CK1287" s="28"/>
      <c r="CL1287" s="28"/>
      <c r="CM1287" s="28"/>
      <c r="CN1287" s="28"/>
      <c r="CO1287" s="28"/>
      <c r="CP1287" s="28"/>
      <c r="CQ1287" s="28"/>
      <c r="CR1287" s="28"/>
      <c r="CS1287" s="28"/>
      <c r="CT1287" s="28"/>
      <c r="CU1287" s="28"/>
      <c r="CV1287" s="28"/>
      <c r="CW1287" s="28"/>
      <c r="CX1287" s="28"/>
      <c r="CY1287" s="28"/>
      <c r="CZ1287" s="28"/>
      <c r="DA1287" s="28"/>
      <c r="DB1287" s="28"/>
      <c r="DC1287" s="28"/>
      <c r="DD1287" s="28"/>
      <c r="DE1287" s="28"/>
      <c r="DF1287" s="28"/>
      <c r="DG1287" s="28"/>
      <c r="DH1287" s="28"/>
      <c r="DI1287" s="28"/>
      <c r="DJ1287" s="28"/>
      <c r="DK1287" s="28"/>
      <c r="DL1287" s="28"/>
      <c r="DM1287" s="28"/>
      <c r="DN1287" s="28"/>
      <c r="DO1287" s="28"/>
      <c r="DP1287" s="28"/>
      <c r="DQ1287" s="28"/>
      <c r="DR1287" s="28"/>
      <c r="DS1287" s="28"/>
      <c r="DT1287" s="28"/>
      <c r="DU1287" s="28"/>
      <c r="DV1287" s="28"/>
      <c r="DW1287" s="28"/>
      <c r="DX1287" s="28"/>
      <c r="DY1287" s="28"/>
      <c r="DZ1287" s="28"/>
      <c r="EA1287" s="28"/>
      <c r="EB1287" s="28"/>
      <c r="EC1287" s="28"/>
      <c r="ED1287" s="28"/>
      <c r="EE1287" s="28"/>
      <c r="EF1287" s="28"/>
      <c r="EG1287" s="28"/>
      <c r="EH1287" s="28"/>
      <c r="EI1287" s="28"/>
      <c r="EJ1287" s="28"/>
      <c r="EK1287" s="28"/>
      <c r="EL1287" s="28"/>
      <c r="EM1287" s="28"/>
      <c r="EN1287" s="28"/>
      <c r="EO1287" s="28"/>
      <c r="EP1287" s="28"/>
      <c r="EQ1287" s="28"/>
      <c r="ER1287" s="28"/>
      <c r="ES1287" s="28"/>
      <c r="ET1287" s="28"/>
      <c r="EU1287" s="28"/>
      <c r="EV1287" s="28"/>
      <c r="EW1287" s="28"/>
      <c r="EX1287" s="28"/>
      <c r="EY1287" s="28"/>
      <c r="EZ1287" s="28"/>
      <c r="FA1287" s="28"/>
      <c r="FB1287" s="28"/>
      <c r="FC1287" s="28"/>
      <c r="FD1287" s="28"/>
      <c r="FE1287" s="28"/>
      <c r="FF1287" s="28"/>
      <c r="FG1287" s="28"/>
      <c r="FH1287" s="28"/>
      <c r="FI1287" s="28"/>
      <c r="FJ1287" s="28"/>
      <c r="FK1287" s="28"/>
      <c r="FL1287" s="28"/>
      <c r="FM1287" s="28"/>
      <c r="FN1287" s="28"/>
      <c r="FO1287" s="28"/>
      <c r="FP1287" s="28"/>
      <c r="FQ1287" s="28"/>
      <c r="FR1287" s="28"/>
      <c r="FS1287" s="28"/>
      <c r="FT1287" s="28"/>
      <c r="FU1287" s="28"/>
      <c r="FV1287" s="28"/>
      <c r="FW1287" s="28"/>
      <c r="FX1287" s="28"/>
      <c r="FY1287" s="28"/>
      <c r="FZ1287" s="28"/>
      <c r="GA1287" s="28"/>
      <c r="GB1287" s="28"/>
      <c r="GC1287" s="28"/>
      <c r="GD1287" s="28"/>
      <c r="GE1287" s="28"/>
      <c r="GF1287" s="28"/>
      <c r="GG1287" s="28"/>
      <c r="GH1287" s="28"/>
      <c r="GI1287" s="28"/>
      <c r="GJ1287" s="28"/>
      <c r="GK1287" s="28"/>
      <c r="GL1287" s="28"/>
      <c r="GM1287" s="28"/>
      <c r="GN1287" s="28"/>
      <c r="GO1287" s="28"/>
      <c r="GP1287" s="28"/>
      <c r="GQ1287" s="28"/>
      <c r="GR1287" s="28"/>
      <c r="GS1287" s="28"/>
      <c r="GT1287" s="28"/>
      <c r="GU1287" s="28"/>
      <c r="GV1287" s="28"/>
      <c r="GW1287" s="28"/>
      <c r="GX1287" s="28"/>
      <c r="GY1287" s="28"/>
      <c r="GZ1287" s="28"/>
      <c r="HA1287" s="28"/>
      <c r="HB1287" s="28"/>
      <c r="HC1287" s="28"/>
      <c r="HD1287" s="28"/>
      <c r="HE1287" s="28"/>
      <c r="HF1287" s="28"/>
      <c r="HG1287" s="28"/>
      <c r="HH1287" s="28"/>
      <c r="HI1287" s="28"/>
      <c r="HJ1287" s="28"/>
      <c r="HK1287" s="28"/>
      <c r="HL1287" s="28"/>
      <c r="HM1287" s="28"/>
      <c r="HN1287" s="28"/>
      <c r="HO1287" s="28"/>
      <c r="HP1287" s="28"/>
      <c r="HQ1287" s="28"/>
      <c r="HR1287" s="28"/>
      <c r="HS1287" s="28"/>
      <c r="HT1287" s="28"/>
      <c r="HU1287" s="28"/>
      <c r="HV1287" s="28"/>
      <c r="HW1287" s="28"/>
      <c r="HX1287" s="28"/>
      <c r="HY1287" s="28"/>
      <c r="HZ1287" s="28"/>
      <c r="IA1287" s="28"/>
      <c r="IB1287" s="28"/>
      <c r="IC1287" s="28"/>
      <c r="ID1287" s="28"/>
      <c r="IE1287" s="28"/>
      <c r="IF1287" s="28"/>
      <c r="IG1287" s="28"/>
      <c r="IH1287" s="28"/>
      <c r="II1287" s="28"/>
      <c r="IJ1287" s="28"/>
      <c r="IK1287" s="28"/>
      <c r="IL1287" s="28"/>
      <c r="IM1287" s="28"/>
      <c r="IN1287" s="28"/>
      <c r="IO1287" s="28"/>
      <c r="IP1287" s="28"/>
      <c r="IQ1287" s="28"/>
      <c r="IR1287" s="28"/>
      <c r="IS1287" s="28"/>
      <c r="IT1287" s="28"/>
      <c r="IU1287" s="28"/>
      <c r="IV1287" s="28"/>
      <c r="IW1287" s="28"/>
      <c r="IX1287" s="28"/>
      <c r="IY1287" s="28"/>
      <c r="IZ1287" s="28"/>
      <c r="JA1287" s="28"/>
      <c r="JB1287" s="28"/>
      <c r="JC1287" s="28"/>
      <c r="JD1287" s="28"/>
      <c r="JE1287" s="28"/>
      <c r="JF1287" s="28"/>
      <c r="JG1287" s="28"/>
      <c r="JH1287" s="28"/>
      <c r="JI1287" s="28"/>
      <c r="JJ1287" s="28"/>
      <c r="JK1287" s="28"/>
      <c r="JL1287" s="28"/>
      <c r="JM1287" s="28"/>
      <c r="JN1287" s="28"/>
      <c r="JO1287" s="28"/>
      <c r="JP1287" s="28"/>
      <c r="JQ1287" s="28"/>
      <c r="JR1287" s="28"/>
      <c r="JS1287" s="28"/>
      <c r="JT1287" s="28"/>
      <c r="JU1287" s="28"/>
      <c r="JV1287" s="28"/>
      <c r="JW1287" s="28"/>
      <c r="JX1287" s="28"/>
      <c r="JY1287" s="28"/>
      <c r="JZ1287" s="28"/>
      <c r="KA1287" s="28"/>
      <c r="KB1287" s="28"/>
      <c r="KC1287" s="28"/>
      <c r="KD1287" s="28"/>
      <c r="KE1287" s="28"/>
      <c r="KF1287" s="28"/>
      <c r="KG1287" s="28"/>
      <c r="KH1287" s="28"/>
      <c r="KI1287" s="28"/>
      <c r="KJ1287" s="28"/>
      <c r="KK1287" s="28"/>
      <c r="KL1287" s="28"/>
      <c r="KM1287" s="28"/>
      <c r="KN1287" s="28"/>
      <c r="KO1287" s="28"/>
      <c r="KP1287" s="28"/>
      <c r="KQ1287" s="28"/>
      <c r="KR1287" s="28"/>
      <c r="KS1287" s="28"/>
      <c r="KT1287" s="28"/>
      <c r="KU1287" s="28"/>
      <c r="KV1287" s="28"/>
      <c r="KW1287" s="28"/>
      <c r="KX1287" s="28"/>
      <c r="KY1287" s="28"/>
      <c r="KZ1287" s="28"/>
      <c r="LA1287" s="28"/>
      <c r="LB1287" s="28"/>
      <c r="LC1287" s="28"/>
      <c r="LD1287" s="28"/>
      <c r="LE1287" s="28"/>
      <c r="LF1287" s="28"/>
      <c r="LG1287" s="28"/>
      <c r="LH1287" s="28"/>
      <c r="LI1287" s="28"/>
      <c r="LJ1287" s="28"/>
      <c r="LK1287" s="28"/>
      <c r="LL1287" s="28"/>
      <c r="LM1287" s="28"/>
      <c r="LN1287" s="28"/>
      <c r="LO1287" s="28"/>
      <c r="LP1287" s="28"/>
      <c r="LQ1287" s="28"/>
      <c r="LR1287" s="28"/>
      <c r="LS1287" s="28"/>
      <c r="LT1287" s="28"/>
      <c r="LU1287" s="28"/>
      <c r="LV1287" s="28"/>
      <c r="LW1287" s="28"/>
      <c r="LX1287" s="28"/>
      <c r="LY1287" s="28"/>
      <c r="LZ1287" s="28"/>
      <c r="MA1287" s="28"/>
      <c r="MB1287" s="28"/>
      <c r="MC1287" s="28"/>
      <c r="MD1287" s="28"/>
      <c r="ME1287" s="28"/>
      <c r="MF1287" s="28"/>
      <c r="MG1287" s="28"/>
      <c r="MH1287" s="28"/>
      <c r="MI1287" s="28"/>
      <c r="MJ1287" s="28"/>
      <c r="MK1287" s="28"/>
      <c r="ML1287" s="28"/>
      <c r="MM1287" s="28"/>
      <c r="MN1287" s="28"/>
      <c r="MO1287" s="28"/>
      <c r="MP1287" s="28"/>
      <c r="MQ1287" s="28"/>
      <c r="MR1287" s="28"/>
      <c r="MS1287" s="28"/>
      <c r="MT1287" s="28"/>
      <c r="MU1287" s="28"/>
      <c r="MV1287" s="28"/>
      <c r="MW1287" s="28"/>
      <c r="MX1287" s="28"/>
      <c r="MY1287" s="28"/>
      <c r="MZ1287" s="28"/>
      <c r="NA1287" s="28"/>
      <c r="NB1287" s="28"/>
      <c r="NC1287" s="28"/>
      <c r="ND1287" s="28"/>
      <c r="NE1287" s="28"/>
      <c r="NF1287" s="28"/>
      <c r="NG1287" s="28"/>
      <c r="NH1287" s="28"/>
      <c r="NI1287" s="28"/>
      <c r="NJ1287" s="28"/>
      <c r="NK1287" s="28"/>
      <c r="NL1287" s="28"/>
      <c r="NM1287" s="28"/>
      <c r="NN1287" s="28"/>
      <c r="NO1287" s="28"/>
      <c r="NP1287" s="28"/>
      <c r="NQ1287" s="28"/>
      <c r="NR1287" s="28"/>
      <c r="NS1287" s="28"/>
      <c r="NT1287" s="28"/>
      <c r="NU1287" s="28"/>
      <c r="NV1287" s="28"/>
      <c r="NW1287" s="28"/>
      <c r="NX1287" s="28"/>
      <c r="NY1287" s="28"/>
      <c r="NZ1287" s="28"/>
      <c r="OA1287" s="28"/>
      <c r="OB1287" s="28"/>
      <c r="OC1287" s="28"/>
      <c r="OD1287" s="28"/>
      <c r="OE1287" s="28"/>
      <c r="OF1287" s="28"/>
      <c r="OG1287" s="28"/>
      <c r="OH1287" s="28"/>
      <c r="OI1287" s="28"/>
      <c r="OJ1287" s="28"/>
      <c r="OK1287" s="28"/>
      <c r="OL1287" s="28"/>
      <c r="OM1287" s="28"/>
      <c r="ON1287" s="28"/>
      <c r="OO1287" s="28"/>
      <c r="OP1287" s="28"/>
      <c r="OQ1287" s="28"/>
      <c r="OR1287" s="28"/>
      <c r="OS1287" s="28"/>
      <c r="OT1287" s="28"/>
      <c r="OU1287" s="28"/>
      <c r="OV1287" s="28"/>
      <c r="OW1287" s="28"/>
      <c r="OX1287" s="28"/>
      <c r="OY1287" s="28"/>
      <c r="OZ1287" s="28"/>
      <c r="PA1287" s="28"/>
      <c r="PB1287" s="28"/>
      <c r="PC1287" s="28"/>
      <c r="PD1287" s="28"/>
      <c r="PE1287" s="28"/>
      <c r="PF1287" s="28"/>
      <c r="PG1287" s="28"/>
      <c r="PH1287" s="28"/>
      <c r="PI1287" s="28"/>
      <c r="PJ1287" s="28"/>
      <c r="PK1287" s="28"/>
      <c r="PL1287" s="28"/>
      <c r="PM1287" s="28"/>
      <c r="PN1287" s="28"/>
      <c r="PO1287" s="28"/>
      <c r="PP1287" s="28"/>
      <c r="PQ1287" s="28"/>
      <c r="PR1287" s="28"/>
      <c r="PS1287" s="28"/>
      <c r="PT1287" s="28"/>
      <c r="PU1287" s="28"/>
      <c r="PV1287" s="28"/>
      <c r="PW1287" s="28"/>
      <c r="PX1287" s="28"/>
      <c r="PY1287" s="28"/>
      <c r="PZ1287" s="28"/>
      <c r="QA1287" s="28"/>
      <c r="QB1287" s="28"/>
      <c r="QC1287" s="28"/>
      <c r="QD1287" s="28"/>
      <c r="QE1287" s="28"/>
      <c r="QF1287" s="28"/>
      <c r="QG1287" s="28"/>
      <c r="QH1287" s="28"/>
      <c r="QI1287" s="28"/>
      <c r="QJ1287" s="28"/>
      <c r="QK1287" s="28"/>
      <c r="QL1287" s="28"/>
      <c r="QM1287" s="28"/>
      <c r="QN1287" s="28"/>
      <c r="QO1287" s="28"/>
      <c r="QP1287" s="28"/>
      <c r="QQ1287" s="28"/>
      <c r="QR1287" s="28"/>
      <c r="QS1287" s="28"/>
      <c r="QT1287" s="28"/>
      <c r="QU1287" s="28"/>
      <c r="QV1287" s="28"/>
      <c r="QW1287" s="28"/>
      <c r="QX1287" s="28"/>
      <c r="QY1287" s="28"/>
      <c r="QZ1287" s="28"/>
      <c r="RA1287" s="28"/>
      <c r="RB1287" s="28"/>
      <c r="RC1287" s="28"/>
      <c r="RD1287" s="28"/>
      <c r="RE1287" s="28"/>
      <c r="RF1287" s="28"/>
      <c r="RG1287" s="28"/>
      <c r="RH1287" s="28"/>
      <c r="RI1287" s="28"/>
      <c r="RJ1287" s="28"/>
      <c r="RK1287" s="28"/>
      <c r="RL1287" s="28"/>
      <c r="RM1287" s="28"/>
      <c r="RN1287" s="28"/>
      <c r="RO1287" s="28"/>
      <c r="RP1287" s="28"/>
      <c r="RQ1287" s="28"/>
      <c r="RR1287" s="28"/>
      <c r="RS1287" s="28"/>
      <c r="RT1287" s="28"/>
      <c r="RU1287" s="28"/>
      <c r="RV1287" s="28"/>
      <c r="RW1287" s="28"/>
      <c r="RX1287" s="28"/>
      <c r="RY1287" s="28"/>
      <c r="RZ1287" s="28"/>
      <c r="SA1287" s="28"/>
      <c r="SB1287" s="28"/>
      <c r="SC1287" s="28"/>
      <c r="SD1287" s="28"/>
      <c r="SE1287" s="28"/>
      <c r="SF1287" s="28"/>
      <c r="SG1287" s="28"/>
      <c r="SH1287" s="28"/>
      <c r="SI1287" s="28"/>
      <c r="SJ1287" s="28"/>
      <c r="SK1287" s="28"/>
      <c r="SL1287" s="28"/>
      <c r="SM1287" s="28"/>
      <c r="SN1287" s="28"/>
      <c r="SO1287" s="28"/>
      <c r="SP1287" s="28"/>
      <c r="SQ1287" s="28"/>
      <c r="SR1287" s="28"/>
      <c r="SS1287" s="28"/>
      <c r="ST1287" s="28"/>
      <c r="SU1287" s="28"/>
      <c r="SV1287" s="28"/>
      <c r="SW1287" s="28"/>
      <c r="SX1287" s="28"/>
      <c r="SY1287" s="28"/>
      <c r="SZ1287" s="28"/>
      <c r="TA1287" s="28"/>
      <c r="TB1287" s="28"/>
      <c r="TC1287" s="28"/>
      <c r="TD1287" s="28"/>
      <c r="TE1287" s="28"/>
      <c r="TF1287" s="28"/>
      <c r="TG1287" s="28"/>
      <c r="TH1287" s="28"/>
      <c r="TI1287" s="28"/>
      <c r="TJ1287" s="28"/>
      <c r="TK1287" s="28"/>
      <c r="TL1287" s="28"/>
      <c r="TM1287" s="28"/>
      <c r="TN1287" s="28"/>
      <c r="TO1287" s="28"/>
      <c r="TP1287" s="28"/>
      <c r="TQ1287" s="28"/>
      <c r="TR1287" s="28"/>
      <c r="TS1287" s="28"/>
      <c r="TT1287" s="28"/>
      <c r="TU1287" s="28"/>
      <c r="TV1287" s="28"/>
      <c r="TW1287" s="28"/>
      <c r="TX1287" s="28"/>
      <c r="TY1287" s="28"/>
      <c r="TZ1287" s="28"/>
      <c r="UA1287" s="28"/>
      <c r="UB1287" s="28"/>
      <c r="UC1287" s="28"/>
      <c r="UD1287" s="28"/>
      <c r="UE1287" s="28"/>
      <c r="UF1287" s="28"/>
      <c r="UG1287" s="29"/>
    </row>
    <row r="1288" spans="1:553" ht="36.65" customHeight="1">
      <c r="A1288" s="356" t="s">
        <v>15</v>
      </c>
      <c r="B1288" s="366"/>
      <c r="C1288" s="1404" t="s">
        <v>1046</v>
      </c>
      <c r="D1288" s="1389"/>
      <c r="E1288" s="1389"/>
      <c r="F1288" s="1390"/>
      <c r="G1288" s="366"/>
      <c r="H1288" s="370"/>
      <c r="I1288" s="439"/>
      <c r="J1288" s="368"/>
      <c r="K1288" s="371"/>
      <c r="L1288" s="480"/>
      <c r="M1288" s="366"/>
      <c r="N1288" s="366"/>
      <c r="O1288" s="366"/>
      <c r="P1288" s="366"/>
      <c r="Q1288" s="812"/>
      <c r="R1288" s="1226"/>
      <c r="S1288" s="308"/>
      <c r="T1288" s="308"/>
      <c r="U1288" s="308"/>
      <c r="V1288" s="308"/>
      <c r="W1288" s="308"/>
      <c r="X1288" s="308"/>
      <c r="Y1288" s="308"/>
      <c r="Z1288" s="604"/>
      <c r="AA1288" s="308"/>
      <c r="AB1288" s="308"/>
      <c r="AC1288" s="486"/>
      <c r="AD1288" s="486"/>
      <c r="AE1288" s="486"/>
      <c r="AF1288" s="486"/>
      <c r="AG1288" s="486"/>
      <c r="AH1288" s="486"/>
      <c r="AI1288" s="486"/>
      <c r="AJ1288" s="486"/>
      <c r="AK1288" s="486"/>
      <c r="AL1288" s="206"/>
      <c r="AM1288" s="29"/>
      <c r="AN1288" s="29"/>
      <c r="AO1288" s="29"/>
      <c r="AP1288" s="29"/>
      <c r="AQ1288" s="29"/>
      <c r="AR1288" s="29"/>
      <c r="AS1288" s="29"/>
      <c r="AT1288" s="29"/>
      <c r="AU1288" s="29"/>
      <c r="AV1288" s="29"/>
      <c r="AW1288" s="29"/>
      <c r="AX1288" s="29"/>
      <c r="AY1288" s="29"/>
      <c r="AZ1288" s="29"/>
      <c r="BA1288" s="29"/>
      <c r="BB1288" s="29"/>
      <c r="BC1288" s="29"/>
      <c r="BD1288" s="29"/>
      <c r="BE1288" s="29"/>
      <c r="BF1288" s="29"/>
      <c r="BG1288" s="29"/>
      <c r="BH1288" s="29"/>
      <c r="BI1288" s="29"/>
      <c r="BJ1288" s="29"/>
      <c r="BK1288" s="29"/>
      <c r="BL1288" s="29"/>
      <c r="BM1288" s="29"/>
      <c r="BN1288" s="29"/>
      <c r="BO1288" s="29"/>
      <c r="BP1288" s="29"/>
      <c r="BQ1288" s="29"/>
      <c r="BR1288" s="29"/>
      <c r="BS1288" s="29"/>
      <c r="BT1288" s="29"/>
      <c r="BU1288" s="29"/>
      <c r="BV1288" s="29"/>
      <c r="BW1288" s="29"/>
      <c r="BX1288" s="29"/>
      <c r="BY1288" s="29"/>
      <c r="BZ1288" s="29"/>
      <c r="CA1288" s="29"/>
      <c r="CB1288" s="29"/>
      <c r="CC1288" s="29"/>
      <c r="CD1288" s="29"/>
      <c r="CE1288" s="29"/>
      <c r="CF1288" s="29"/>
      <c r="CG1288" s="29"/>
      <c r="CH1288" s="29"/>
      <c r="CI1288" s="29"/>
      <c r="CJ1288" s="29"/>
      <c r="CK1288" s="29"/>
      <c r="CL1288" s="29"/>
      <c r="CM1288" s="29"/>
      <c r="CN1288" s="29"/>
      <c r="CO1288" s="29"/>
      <c r="CP1288" s="29"/>
      <c r="CQ1288" s="29"/>
      <c r="CR1288" s="29"/>
      <c r="CS1288" s="29"/>
      <c r="CT1288" s="29"/>
      <c r="CU1288" s="29"/>
      <c r="CV1288" s="29"/>
      <c r="CW1288" s="29"/>
      <c r="CX1288" s="29"/>
      <c r="CY1288" s="29"/>
      <c r="CZ1288" s="29"/>
      <c r="DA1288" s="29"/>
      <c r="DB1288" s="29"/>
      <c r="DC1288" s="29"/>
      <c r="DD1288" s="29"/>
      <c r="DE1288" s="29"/>
      <c r="DF1288" s="29"/>
      <c r="DG1288" s="29"/>
      <c r="DH1288" s="29"/>
      <c r="DI1288" s="29"/>
      <c r="DJ1288" s="29"/>
      <c r="DK1288" s="29"/>
      <c r="DL1288" s="29"/>
      <c r="DM1288" s="29"/>
      <c r="DN1288" s="29"/>
      <c r="DO1288" s="29"/>
      <c r="DP1288" s="29"/>
      <c r="DQ1288" s="29"/>
      <c r="DR1288" s="29"/>
      <c r="DS1288" s="29"/>
      <c r="DT1288" s="29"/>
      <c r="DU1288" s="29"/>
      <c r="DV1288" s="29"/>
      <c r="DW1288" s="29"/>
      <c r="DX1288" s="29"/>
      <c r="DY1288" s="29"/>
      <c r="DZ1288" s="29"/>
      <c r="EA1288" s="29"/>
      <c r="EB1288" s="29"/>
      <c r="EC1288" s="29"/>
      <c r="ED1288" s="29"/>
      <c r="EE1288" s="29"/>
      <c r="EF1288" s="29"/>
      <c r="EG1288" s="29"/>
      <c r="EH1288" s="29"/>
      <c r="EI1288" s="29"/>
      <c r="EJ1288" s="29"/>
      <c r="EK1288" s="29"/>
      <c r="EL1288" s="29"/>
      <c r="EM1288" s="29"/>
      <c r="EN1288" s="29"/>
      <c r="EO1288" s="29"/>
      <c r="EP1288" s="29"/>
      <c r="EQ1288" s="29"/>
      <c r="ER1288" s="29"/>
      <c r="ES1288" s="29"/>
      <c r="ET1288" s="29"/>
      <c r="EU1288" s="29"/>
      <c r="EV1288" s="29"/>
      <c r="EW1288" s="29"/>
      <c r="EX1288" s="29"/>
      <c r="EY1288" s="29"/>
      <c r="EZ1288" s="29"/>
      <c r="FA1288" s="29"/>
      <c r="FB1288" s="29"/>
      <c r="FC1288" s="29"/>
      <c r="FD1288" s="29"/>
      <c r="FE1288" s="29"/>
      <c r="FF1288" s="29"/>
      <c r="FG1288" s="29"/>
      <c r="FH1288" s="29"/>
      <c r="FI1288" s="29"/>
      <c r="FJ1288" s="29"/>
      <c r="FK1288" s="29"/>
      <c r="FL1288" s="29"/>
      <c r="FM1288" s="29"/>
      <c r="FN1288" s="29"/>
      <c r="FO1288" s="29"/>
      <c r="FP1288" s="29"/>
      <c r="FQ1288" s="29"/>
      <c r="FR1288" s="29"/>
      <c r="FS1288" s="29"/>
      <c r="FT1288" s="29"/>
      <c r="FU1288" s="29"/>
      <c r="FV1288" s="29"/>
      <c r="FW1288" s="29"/>
      <c r="FX1288" s="29"/>
      <c r="FY1288" s="29"/>
      <c r="FZ1288" s="29"/>
      <c r="GA1288" s="29"/>
      <c r="GB1288" s="29"/>
      <c r="GC1288" s="29"/>
      <c r="GD1288" s="29"/>
      <c r="GE1288" s="29"/>
      <c r="GF1288" s="29"/>
      <c r="GG1288" s="29"/>
      <c r="GH1288" s="29"/>
      <c r="GI1288" s="29"/>
      <c r="GJ1288" s="29"/>
      <c r="GK1288" s="29"/>
      <c r="GL1288" s="29"/>
      <c r="GM1288" s="29"/>
      <c r="GN1288" s="29"/>
      <c r="GO1288" s="29"/>
      <c r="GP1288" s="29"/>
      <c r="GQ1288" s="29"/>
      <c r="GR1288" s="29"/>
      <c r="GS1288" s="29"/>
      <c r="GT1288" s="29"/>
      <c r="GU1288" s="29"/>
      <c r="GV1288" s="29"/>
      <c r="GW1288" s="29"/>
      <c r="GX1288" s="29"/>
      <c r="GY1288" s="29"/>
      <c r="GZ1288" s="29"/>
      <c r="HA1288" s="29"/>
      <c r="HB1288" s="29"/>
      <c r="HC1288" s="29"/>
      <c r="HD1288" s="29"/>
      <c r="HE1288" s="29"/>
      <c r="HF1288" s="29"/>
      <c r="HG1288" s="29"/>
      <c r="HH1288" s="29"/>
      <c r="HI1288" s="29"/>
      <c r="HJ1288" s="29"/>
      <c r="HK1288" s="29"/>
      <c r="HL1288" s="29"/>
      <c r="HM1288" s="29"/>
      <c r="HN1288" s="29"/>
      <c r="HO1288" s="29"/>
      <c r="HP1288" s="29"/>
      <c r="HQ1288" s="29"/>
      <c r="HR1288" s="29"/>
      <c r="HS1288" s="29"/>
      <c r="HT1288" s="29"/>
      <c r="HU1288" s="29"/>
      <c r="HV1288" s="29"/>
      <c r="HW1288" s="29"/>
      <c r="HX1288" s="29"/>
      <c r="HY1288" s="29"/>
      <c r="HZ1288" s="29"/>
      <c r="IA1288" s="29"/>
      <c r="IB1288" s="29"/>
      <c r="IC1288" s="29"/>
      <c r="ID1288" s="29"/>
      <c r="IE1288" s="29"/>
      <c r="IF1288" s="29"/>
      <c r="IG1288" s="29"/>
      <c r="IH1288" s="29"/>
      <c r="II1288" s="29"/>
      <c r="IJ1288" s="29"/>
      <c r="IK1288" s="29"/>
      <c r="IL1288" s="29"/>
      <c r="IM1288" s="29"/>
      <c r="IN1288" s="29"/>
      <c r="IO1288" s="29"/>
      <c r="IP1288" s="29"/>
      <c r="IQ1288" s="29"/>
      <c r="IR1288" s="29"/>
      <c r="IS1288" s="29"/>
      <c r="IT1288" s="29"/>
      <c r="IU1288" s="29"/>
      <c r="IV1288" s="29"/>
      <c r="IW1288" s="29"/>
      <c r="IX1288" s="29"/>
      <c r="IY1288" s="29"/>
      <c r="IZ1288" s="29"/>
      <c r="JA1288" s="29"/>
      <c r="JB1288" s="29"/>
      <c r="JC1288" s="29"/>
      <c r="JD1288" s="29"/>
      <c r="JE1288" s="29"/>
      <c r="JF1288" s="29"/>
      <c r="JG1288" s="29"/>
      <c r="JH1288" s="29"/>
      <c r="JI1288" s="29"/>
      <c r="JJ1288" s="29"/>
      <c r="JK1288" s="29"/>
      <c r="JL1288" s="29"/>
      <c r="JM1288" s="29"/>
      <c r="JN1288" s="29"/>
      <c r="JO1288" s="29"/>
      <c r="JP1288" s="29"/>
      <c r="JQ1288" s="29"/>
      <c r="JR1288" s="29"/>
      <c r="JS1288" s="29"/>
      <c r="JT1288" s="29"/>
      <c r="JU1288" s="29"/>
      <c r="JV1288" s="29"/>
      <c r="JW1288" s="29"/>
      <c r="JX1288" s="29"/>
      <c r="JY1288" s="29"/>
      <c r="JZ1288" s="29"/>
      <c r="KA1288" s="29"/>
      <c r="KB1288" s="29"/>
      <c r="KC1288" s="29"/>
      <c r="KD1288" s="29"/>
      <c r="KE1288" s="29"/>
      <c r="KF1288" s="29"/>
      <c r="KG1288" s="29"/>
      <c r="KH1288" s="29"/>
      <c r="KI1288" s="29"/>
      <c r="KJ1288" s="29"/>
      <c r="KK1288" s="29"/>
      <c r="KL1288" s="29"/>
      <c r="KM1288" s="29"/>
      <c r="KN1288" s="29"/>
      <c r="KO1288" s="29"/>
      <c r="KP1288" s="29"/>
      <c r="KQ1288" s="29"/>
      <c r="KR1288" s="29"/>
      <c r="KS1288" s="29"/>
      <c r="KT1288" s="29"/>
      <c r="KU1288" s="29"/>
      <c r="KV1288" s="29"/>
      <c r="KW1288" s="29"/>
      <c r="KX1288" s="29"/>
      <c r="KY1288" s="29"/>
      <c r="KZ1288" s="29"/>
      <c r="LA1288" s="29"/>
      <c r="LB1288" s="29"/>
      <c r="LC1288" s="29"/>
      <c r="LD1288" s="29"/>
      <c r="LE1288" s="29"/>
      <c r="LF1288" s="29"/>
      <c r="LG1288" s="29"/>
      <c r="LH1288" s="29"/>
      <c r="LI1288" s="29"/>
      <c r="LJ1288" s="29"/>
      <c r="LK1288" s="29"/>
      <c r="LL1288" s="29"/>
      <c r="LM1288" s="29"/>
      <c r="LN1288" s="29"/>
      <c r="LO1288" s="29"/>
      <c r="LP1288" s="29"/>
      <c r="LQ1288" s="29"/>
      <c r="LR1288" s="29"/>
      <c r="LS1288" s="29"/>
      <c r="LT1288" s="29"/>
      <c r="LU1288" s="29"/>
      <c r="LV1288" s="29"/>
      <c r="LW1288" s="29"/>
      <c r="LX1288" s="29"/>
      <c r="LY1288" s="29"/>
      <c r="LZ1288" s="29"/>
      <c r="MA1288" s="29"/>
      <c r="MB1288" s="29"/>
      <c r="MC1288" s="29"/>
      <c r="MD1288" s="29"/>
      <c r="ME1288" s="29"/>
      <c r="MF1288" s="29"/>
      <c r="MG1288" s="29"/>
      <c r="MH1288" s="29"/>
      <c r="MI1288" s="29"/>
      <c r="MJ1288" s="29"/>
      <c r="MK1288" s="29"/>
      <c r="ML1288" s="29"/>
      <c r="MM1288" s="29"/>
      <c r="MN1288" s="29"/>
      <c r="MO1288" s="29"/>
      <c r="MP1288" s="29"/>
      <c r="MQ1288" s="29"/>
      <c r="MR1288" s="29"/>
      <c r="MS1288" s="29"/>
      <c r="MT1288" s="29"/>
      <c r="MU1288" s="29"/>
      <c r="MV1288" s="29"/>
      <c r="MW1288" s="29"/>
      <c r="MX1288" s="29"/>
      <c r="MY1288" s="29"/>
      <c r="MZ1288" s="29"/>
      <c r="NA1288" s="29"/>
      <c r="NB1288" s="29"/>
      <c r="NC1288" s="29"/>
      <c r="ND1288" s="29"/>
      <c r="NE1288" s="29"/>
      <c r="NF1288" s="29"/>
      <c r="NG1288" s="29"/>
      <c r="NH1288" s="29"/>
      <c r="NI1288" s="29"/>
      <c r="NJ1288" s="29"/>
      <c r="NK1288" s="29"/>
      <c r="NL1288" s="29"/>
      <c r="NM1288" s="29"/>
      <c r="NN1288" s="29"/>
      <c r="NO1288" s="29"/>
      <c r="NP1288" s="29"/>
      <c r="NQ1288" s="29"/>
      <c r="NR1288" s="29"/>
      <c r="NS1288" s="29"/>
      <c r="NT1288" s="29"/>
      <c r="NU1288" s="29"/>
      <c r="NV1288" s="29"/>
      <c r="NW1288" s="29"/>
      <c r="NX1288" s="29"/>
      <c r="NY1288" s="29"/>
      <c r="NZ1288" s="29"/>
      <c r="OA1288" s="29"/>
      <c r="OB1288" s="29"/>
      <c r="OC1288" s="29"/>
      <c r="OD1288" s="29"/>
      <c r="OE1288" s="29"/>
      <c r="OF1288" s="29"/>
      <c r="OG1288" s="29"/>
      <c r="OH1288" s="29"/>
      <c r="OI1288" s="29"/>
      <c r="OJ1288" s="29"/>
      <c r="OK1288" s="29"/>
      <c r="OL1288" s="29"/>
      <c r="OM1288" s="29"/>
      <c r="ON1288" s="29"/>
      <c r="OO1288" s="29"/>
      <c r="OP1288" s="29"/>
      <c r="OQ1288" s="29"/>
      <c r="OR1288" s="29"/>
      <c r="OS1288" s="29"/>
      <c r="OT1288" s="29"/>
      <c r="OU1288" s="29"/>
      <c r="OV1288" s="29"/>
      <c r="OW1288" s="29"/>
      <c r="OX1288" s="29"/>
      <c r="OY1288" s="29"/>
      <c r="OZ1288" s="29"/>
      <c r="PA1288" s="29"/>
      <c r="PB1288" s="29"/>
      <c r="PC1288" s="29"/>
      <c r="PD1288" s="29"/>
      <c r="PE1288" s="29"/>
      <c r="PF1288" s="29"/>
      <c r="PG1288" s="29"/>
      <c r="PH1288" s="29"/>
      <c r="PI1288" s="29"/>
      <c r="PJ1288" s="29"/>
      <c r="PK1288" s="29"/>
      <c r="PL1288" s="29"/>
      <c r="PM1288" s="29"/>
      <c r="PN1288" s="29"/>
      <c r="PO1288" s="29"/>
      <c r="PP1288" s="29"/>
      <c r="PQ1288" s="29"/>
      <c r="PR1288" s="29"/>
      <c r="PS1288" s="29"/>
      <c r="PT1288" s="29"/>
      <c r="PU1288" s="29"/>
      <c r="PV1288" s="29"/>
      <c r="PW1288" s="29"/>
      <c r="PX1288" s="29"/>
      <c r="PY1288" s="29"/>
      <c r="PZ1288" s="29"/>
      <c r="QA1288" s="29"/>
      <c r="QB1288" s="29"/>
      <c r="QC1288" s="29"/>
      <c r="QD1288" s="29"/>
      <c r="QE1288" s="29"/>
      <c r="QF1288" s="29"/>
      <c r="QG1288" s="29"/>
      <c r="QH1288" s="29"/>
      <c r="QI1288" s="29"/>
      <c r="QJ1288" s="29"/>
      <c r="QK1288" s="29"/>
      <c r="QL1288" s="29"/>
      <c r="QM1288" s="29"/>
      <c r="QN1288" s="29"/>
      <c r="QO1288" s="29"/>
      <c r="QP1288" s="29"/>
      <c r="QQ1288" s="29"/>
      <c r="QR1288" s="29"/>
      <c r="QS1288" s="29"/>
      <c r="QT1288" s="29"/>
      <c r="QU1288" s="29"/>
      <c r="QV1288" s="29"/>
      <c r="QW1288" s="29"/>
      <c r="QX1288" s="29"/>
      <c r="QY1288" s="29"/>
      <c r="QZ1288" s="29"/>
      <c r="RA1288" s="29"/>
      <c r="RB1288" s="29"/>
      <c r="RC1288" s="29"/>
      <c r="RD1288" s="29"/>
      <c r="RE1288" s="29"/>
      <c r="RF1288" s="29"/>
      <c r="RG1288" s="29"/>
      <c r="RH1288" s="29"/>
      <c r="RI1288" s="29"/>
      <c r="RJ1288" s="29"/>
      <c r="RK1288" s="29"/>
      <c r="RL1288" s="29"/>
      <c r="RM1288" s="29"/>
      <c r="RN1288" s="29"/>
      <c r="RO1288" s="29"/>
      <c r="RP1288" s="29"/>
      <c r="RQ1288" s="29"/>
      <c r="RR1288" s="29"/>
      <c r="RS1288" s="29"/>
      <c r="RT1288" s="29"/>
      <c r="RU1288" s="29"/>
      <c r="RV1288" s="29"/>
      <c r="RW1288" s="29"/>
      <c r="RX1288" s="29"/>
      <c r="RY1288" s="29"/>
      <c r="RZ1288" s="29"/>
      <c r="SA1288" s="29"/>
      <c r="SB1288" s="29"/>
      <c r="SC1288" s="29"/>
      <c r="SD1288" s="29"/>
      <c r="SE1288" s="29"/>
      <c r="SF1288" s="29"/>
      <c r="SG1288" s="29"/>
      <c r="SH1288" s="29"/>
      <c r="SI1288" s="29"/>
      <c r="SJ1288" s="29"/>
      <c r="SK1288" s="29"/>
      <c r="SL1288" s="29"/>
      <c r="SM1288" s="29"/>
      <c r="SN1288" s="29"/>
      <c r="SO1288" s="29"/>
      <c r="SP1288" s="29"/>
      <c r="SQ1288" s="29"/>
      <c r="SR1288" s="29"/>
      <c r="SS1288" s="29"/>
      <c r="ST1288" s="29"/>
      <c r="SU1288" s="29"/>
      <c r="SV1288" s="29"/>
      <c r="SW1288" s="29"/>
      <c r="SX1288" s="29"/>
      <c r="SY1288" s="29"/>
      <c r="SZ1288" s="29"/>
      <c r="TA1288" s="29"/>
      <c r="TB1288" s="29"/>
      <c r="TC1288" s="29"/>
      <c r="TD1288" s="29"/>
      <c r="TE1288" s="29"/>
      <c r="TF1288" s="29"/>
      <c r="TG1288" s="29"/>
      <c r="TH1288" s="29"/>
      <c r="TI1288" s="29"/>
      <c r="TJ1288" s="29"/>
      <c r="TK1288" s="29"/>
      <c r="TL1288" s="29"/>
      <c r="TM1288" s="29"/>
      <c r="TN1288" s="29"/>
      <c r="TO1288" s="29"/>
      <c r="TP1288" s="29"/>
      <c r="TQ1288" s="29"/>
      <c r="TR1288" s="29"/>
      <c r="TS1288" s="29"/>
      <c r="TT1288" s="29"/>
      <c r="TU1288" s="29"/>
      <c r="TV1288" s="29"/>
      <c r="TW1288" s="29"/>
      <c r="TX1288" s="29"/>
      <c r="TY1288" s="29"/>
      <c r="TZ1288" s="29"/>
      <c r="UA1288" s="29"/>
      <c r="UB1288" s="29"/>
      <c r="UC1288" s="29"/>
      <c r="UD1288" s="29"/>
      <c r="UE1288" s="29"/>
      <c r="UF1288" s="29"/>
      <c r="UG1288" s="29"/>
    </row>
    <row r="1289" spans="1:553" ht="36.65" customHeight="1">
      <c r="A1289" s="356" t="s">
        <v>15</v>
      </c>
      <c r="B1289" s="366"/>
      <c r="C1289" s="1404" t="s">
        <v>16</v>
      </c>
      <c r="D1289" s="1389"/>
      <c r="E1289" s="1389"/>
      <c r="F1289" s="1390"/>
      <c r="G1289" s="366"/>
      <c r="H1289" s="439"/>
      <c r="I1289" s="370"/>
      <c r="J1289" s="368"/>
      <c r="K1289" s="371"/>
      <c r="L1289" s="480"/>
      <c r="M1289" s="366"/>
      <c r="N1289" s="366"/>
      <c r="O1289" s="366"/>
      <c r="P1289" s="366"/>
      <c r="Q1289" s="1036"/>
      <c r="R1289" s="1226"/>
      <c r="S1289" s="308"/>
      <c r="T1289" s="308"/>
      <c r="U1289" s="308"/>
      <c r="V1289" s="308"/>
      <c r="W1289" s="308"/>
      <c r="X1289" s="308"/>
      <c r="Y1289" s="308"/>
      <c r="Z1289" s="604"/>
      <c r="AA1289" s="308"/>
      <c r="AB1289" s="308"/>
      <c r="AC1289" s="486"/>
      <c r="AD1289" s="486"/>
      <c r="AE1289" s="486"/>
      <c r="AF1289" s="486"/>
      <c r="AG1289" s="486"/>
      <c r="AH1289" s="486"/>
      <c r="AI1289" s="486"/>
      <c r="AJ1289" s="486"/>
      <c r="AK1289" s="486"/>
      <c r="AL1289" s="206"/>
      <c r="AM1289" s="29"/>
      <c r="AN1289" s="29"/>
      <c r="AO1289" s="29"/>
      <c r="AP1289" s="29"/>
      <c r="AQ1289" s="29"/>
      <c r="AR1289" s="29"/>
      <c r="AS1289" s="29"/>
      <c r="AT1289" s="29"/>
      <c r="AU1289" s="29"/>
      <c r="AV1289" s="29"/>
      <c r="AW1289" s="29"/>
      <c r="AX1289" s="29"/>
      <c r="AY1289" s="29"/>
      <c r="AZ1289" s="29"/>
      <c r="BA1289" s="29"/>
      <c r="BB1289" s="29"/>
      <c r="BC1289" s="29"/>
      <c r="BD1289" s="29"/>
      <c r="BE1289" s="29"/>
      <c r="BF1289" s="29"/>
      <c r="BG1289" s="29"/>
      <c r="BH1289" s="29"/>
      <c r="BI1289" s="29"/>
      <c r="BJ1289" s="29"/>
      <c r="BK1289" s="29"/>
      <c r="BL1289" s="29"/>
      <c r="BM1289" s="29"/>
      <c r="BN1289" s="29"/>
      <c r="BO1289" s="29"/>
      <c r="BP1289" s="29"/>
      <c r="BQ1289" s="29"/>
      <c r="BR1289" s="29"/>
      <c r="BS1289" s="29"/>
      <c r="BT1289" s="29"/>
      <c r="BU1289" s="29"/>
      <c r="BV1289" s="29"/>
      <c r="BW1289" s="29"/>
      <c r="BX1289" s="29"/>
      <c r="BY1289" s="29"/>
      <c r="BZ1289" s="29"/>
      <c r="CA1289" s="29"/>
      <c r="CB1289" s="29"/>
      <c r="CC1289" s="29"/>
      <c r="CD1289" s="29"/>
      <c r="CE1289" s="29"/>
      <c r="CF1289" s="29"/>
      <c r="CG1289" s="29"/>
      <c r="CH1289" s="29"/>
      <c r="CI1289" s="29"/>
      <c r="CJ1289" s="29"/>
      <c r="CK1289" s="29"/>
      <c r="CL1289" s="29"/>
      <c r="CM1289" s="29"/>
      <c r="CN1289" s="29"/>
      <c r="CO1289" s="29"/>
      <c r="CP1289" s="29"/>
      <c r="CQ1289" s="29"/>
      <c r="CR1289" s="29"/>
      <c r="CS1289" s="29"/>
      <c r="CT1289" s="29"/>
      <c r="CU1289" s="29"/>
      <c r="CV1289" s="29"/>
      <c r="CW1289" s="29"/>
      <c r="CX1289" s="29"/>
      <c r="CY1289" s="29"/>
      <c r="CZ1289" s="29"/>
      <c r="DA1289" s="29"/>
      <c r="DB1289" s="29"/>
      <c r="DC1289" s="29"/>
      <c r="DD1289" s="29"/>
      <c r="DE1289" s="29"/>
      <c r="DF1289" s="29"/>
      <c r="DG1289" s="29"/>
      <c r="DH1289" s="29"/>
      <c r="DI1289" s="29"/>
      <c r="DJ1289" s="29"/>
      <c r="DK1289" s="29"/>
      <c r="DL1289" s="29"/>
      <c r="DM1289" s="29"/>
      <c r="DN1289" s="29"/>
      <c r="DO1289" s="29"/>
      <c r="DP1289" s="29"/>
      <c r="DQ1289" s="29"/>
      <c r="DR1289" s="29"/>
      <c r="DS1289" s="29"/>
      <c r="DT1289" s="29"/>
      <c r="DU1289" s="29"/>
      <c r="DV1289" s="29"/>
      <c r="DW1289" s="29"/>
      <c r="DX1289" s="29"/>
      <c r="DY1289" s="29"/>
      <c r="DZ1289" s="29"/>
      <c r="EA1289" s="29"/>
      <c r="EB1289" s="29"/>
      <c r="EC1289" s="29"/>
      <c r="ED1289" s="29"/>
      <c r="EE1289" s="29"/>
      <c r="EF1289" s="29"/>
      <c r="EG1289" s="29"/>
      <c r="EH1289" s="29"/>
      <c r="EI1289" s="29"/>
      <c r="EJ1289" s="29"/>
      <c r="EK1289" s="29"/>
      <c r="EL1289" s="29"/>
      <c r="EM1289" s="29"/>
      <c r="EN1289" s="29"/>
      <c r="EO1289" s="29"/>
      <c r="EP1289" s="29"/>
      <c r="EQ1289" s="29"/>
      <c r="ER1289" s="29"/>
      <c r="ES1289" s="29"/>
      <c r="ET1289" s="29"/>
      <c r="EU1289" s="29"/>
      <c r="EV1289" s="29"/>
      <c r="EW1289" s="29"/>
      <c r="EX1289" s="29"/>
      <c r="EY1289" s="29"/>
      <c r="EZ1289" s="29"/>
      <c r="FA1289" s="29"/>
      <c r="FB1289" s="29"/>
      <c r="FC1289" s="29"/>
      <c r="FD1289" s="29"/>
      <c r="FE1289" s="29"/>
      <c r="FF1289" s="29"/>
      <c r="FG1289" s="29"/>
      <c r="FH1289" s="29"/>
      <c r="FI1289" s="29"/>
      <c r="FJ1289" s="29"/>
      <c r="FK1289" s="29"/>
      <c r="FL1289" s="29"/>
      <c r="FM1289" s="29"/>
      <c r="FN1289" s="29"/>
      <c r="FO1289" s="29"/>
      <c r="FP1289" s="29"/>
      <c r="FQ1289" s="29"/>
      <c r="FR1289" s="29"/>
      <c r="FS1289" s="29"/>
      <c r="FT1289" s="29"/>
      <c r="FU1289" s="29"/>
      <c r="FV1289" s="29"/>
      <c r="FW1289" s="29"/>
      <c r="FX1289" s="29"/>
      <c r="FY1289" s="29"/>
      <c r="FZ1289" s="29"/>
      <c r="GA1289" s="29"/>
      <c r="GB1289" s="29"/>
      <c r="GC1289" s="29"/>
      <c r="GD1289" s="29"/>
      <c r="GE1289" s="29"/>
      <c r="GF1289" s="29"/>
      <c r="GG1289" s="29"/>
      <c r="GH1289" s="29"/>
      <c r="GI1289" s="29"/>
      <c r="GJ1289" s="29"/>
      <c r="GK1289" s="29"/>
      <c r="GL1289" s="29"/>
      <c r="GM1289" s="29"/>
      <c r="GN1289" s="29"/>
      <c r="GO1289" s="29"/>
      <c r="GP1289" s="29"/>
      <c r="GQ1289" s="29"/>
      <c r="GR1289" s="29"/>
      <c r="GS1289" s="29"/>
      <c r="GT1289" s="29"/>
      <c r="GU1289" s="29"/>
      <c r="GV1289" s="29"/>
      <c r="GW1289" s="29"/>
      <c r="GX1289" s="29"/>
      <c r="GY1289" s="29"/>
      <c r="GZ1289" s="29"/>
      <c r="HA1289" s="29"/>
      <c r="HB1289" s="29"/>
      <c r="HC1289" s="29"/>
      <c r="HD1289" s="29"/>
      <c r="HE1289" s="29"/>
      <c r="HF1289" s="29"/>
      <c r="HG1289" s="29"/>
      <c r="HH1289" s="29"/>
      <c r="HI1289" s="29"/>
      <c r="HJ1289" s="29"/>
      <c r="HK1289" s="29"/>
      <c r="HL1289" s="29"/>
      <c r="HM1289" s="29"/>
      <c r="HN1289" s="29"/>
      <c r="HO1289" s="29"/>
      <c r="HP1289" s="29"/>
      <c r="HQ1289" s="29"/>
      <c r="HR1289" s="29"/>
      <c r="HS1289" s="29"/>
      <c r="HT1289" s="29"/>
      <c r="HU1289" s="29"/>
      <c r="HV1289" s="29"/>
      <c r="HW1289" s="29"/>
      <c r="HX1289" s="29"/>
      <c r="HY1289" s="29"/>
      <c r="HZ1289" s="29"/>
      <c r="IA1289" s="29"/>
      <c r="IB1289" s="29"/>
      <c r="IC1289" s="29"/>
      <c r="ID1289" s="29"/>
      <c r="IE1289" s="29"/>
      <c r="IF1289" s="29"/>
      <c r="IG1289" s="29"/>
      <c r="IH1289" s="29"/>
      <c r="II1289" s="29"/>
      <c r="IJ1289" s="29"/>
      <c r="IK1289" s="29"/>
      <c r="IL1289" s="29"/>
      <c r="IM1289" s="29"/>
      <c r="IN1289" s="29"/>
      <c r="IO1289" s="29"/>
      <c r="IP1289" s="29"/>
      <c r="IQ1289" s="29"/>
      <c r="IR1289" s="29"/>
      <c r="IS1289" s="29"/>
      <c r="IT1289" s="29"/>
      <c r="IU1289" s="29"/>
      <c r="IV1289" s="29"/>
      <c r="IW1289" s="29"/>
      <c r="IX1289" s="29"/>
      <c r="IY1289" s="29"/>
      <c r="IZ1289" s="29"/>
      <c r="JA1289" s="29"/>
      <c r="JB1289" s="29"/>
      <c r="JC1289" s="29"/>
      <c r="JD1289" s="29"/>
      <c r="JE1289" s="29"/>
      <c r="JF1289" s="29"/>
      <c r="JG1289" s="29"/>
      <c r="JH1289" s="29"/>
      <c r="JI1289" s="29"/>
      <c r="JJ1289" s="29"/>
      <c r="JK1289" s="29"/>
      <c r="JL1289" s="29"/>
      <c r="JM1289" s="29"/>
      <c r="JN1289" s="29"/>
      <c r="JO1289" s="29"/>
      <c r="JP1289" s="29"/>
      <c r="JQ1289" s="29"/>
      <c r="JR1289" s="29"/>
      <c r="JS1289" s="29"/>
      <c r="JT1289" s="29"/>
      <c r="JU1289" s="29"/>
      <c r="JV1289" s="29"/>
      <c r="JW1289" s="29"/>
      <c r="JX1289" s="29"/>
      <c r="JY1289" s="29"/>
      <c r="JZ1289" s="29"/>
      <c r="KA1289" s="29"/>
      <c r="KB1289" s="29"/>
      <c r="KC1289" s="29"/>
      <c r="KD1289" s="29"/>
      <c r="KE1289" s="29"/>
      <c r="KF1289" s="29"/>
      <c r="KG1289" s="29"/>
      <c r="KH1289" s="29"/>
      <c r="KI1289" s="29"/>
      <c r="KJ1289" s="29"/>
      <c r="KK1289" s="29"/>
      <c r="KL1289" s="29"/>
      <c r="KM1289" s="29"/>
      <c r="KN1289" s="29"/>
      <c r="KO1289" s="29"/>
      <c r="KP1289" s="29"/>
      <c r="KQ1289" s="29"/>
      <c r="KR1289" s="29"/>
      <c r="KS1289" s="29"/>
      <c r="KT1289" s="29"/>
      <c r="KU1289" s="29"/>
      <c r="KV1289" s="29"/>
      <c r="KW1289" s="29"/>
      <c r="KX1289" s="29"/>
      <c r="KY1289" s="29"/>
      <c r="KZ1289" s="29"/>
      <c r="LA1289" s="29"/>
      <c r="LB1289" s="29"/>
      <c r="LC1289" s="29"/>
      <c r="LD1289" s="29"/>
      <c r="LE1289" s="29"/>
      <c r="LF1289" s="29"/>
      <c r="LG1289" s="29"/>
      <c r="LH1289" s="29"/>
      <c r="LI1289" s="29"/>
      <c r="LJ1289" s="29"/>
      <c r="LK1289" s="29"/>
      <c r="LL1289" s="29"/>
      <c r="LM1289" s="29"/>
      <c r="LN1289" s="29"/>
      <c r="LO1289" s="29"/>
      <c r="LP1289" s="29"/>
      <c r="LQ1289" s="29"/>
      <c r="LR1289" s="29"/>
      <c r="LS1289" s="29"/>
      <c r="LT1289" s="29"/>
      <c r="LU1289" s="29"/>
      <c r="LV1289" s="29"/>
      <c r="LW1289" s="29"/>
      <c r="LX1289" s="29"/>
      <c r="LY1289" s="29"/>
      <c r="LZ1289" s="29"/>
      <c r="MA1289" s="29"/>
      <c r="MB1289" s="29"/>
      <c r="MC1289" s="29"/>
      <c r="MD1289" s="29"/>
      <c r="ME1289" s="29"/>
      <c r="MF1289" s="29"/>
      <c r="MG1289" s="29"/>
      <c r="MH1289" s="29"/>
      <c r="MI1289" s="29"/>
      <c r="MJ1289" s="29"/>
      <c r="MK1289" s="29"/>
      <c r="ML1289" s="29"/>
      <c r="MM1289" s="29"/>
      <c r="MN1289" s="29"/>
      <c r="MO1289" s="29"/>
      <c r="MP1289" s="29"/>
      <c r="MQ1289" s="29"/>
      <c r="MR1289" s="29"/>
      <c r="MS1289" s="29"/>
      <c r="MT1289" s="29"/>
      <c r="MU1289" s="29"/>
      <c r="MV1289" s="29"/>
      <c r="MW1289" s="29"/>
      <c r="MX1289" s="29"/>
      <c r="MY1289" s="29"/>
      <c r="MZ1289" s="29"/>
      <c r="NA1289" s="29"/>
      <c r="NB1289" s="29"/>
      <c r="NC1289" s="29"/>
      <c r="ND1289" s="29"/>
      <c r="NE1289" s="29"/>
      <c r="NF1289" s="29"/>
      <c r="NG1289" s="29"/>
      <c r="NH1289" s="29"/>
      <c r="NI1289" s="29"/>
      <c r="NJ1289" s="29"/>
      <c r="NK1289" s="29"/>
      <c r="NL1289" s="29"/>
      <c r="NM1289" s="29"/>
      <c r="NN1289" s="29"/>
      <c r="NO1289" s="29"/>
      <c r="NP1289" s="29"/>
      <c r="NQ1289" s="29"/>
      <c r="NR1289" s="29"/>
      <c r="NS1289" s="29"/>
      <c r="NT1289" s="29"/>
      <c r="NU1289" s="29"/>
      <c r="NV1289" s="29"/>
      <c r="NW1289" s="29"/>
      <c r="NX1289" s="29"/>
      <c r="NY1289" s="29"/>
      <c r="NZ1289" s="29"/>
      <c r="OA1289" s="29"/>
      <c r="OB1289" s="29"/>
      <c r="OC1289" s="29"/>
      <c r="OD1289" s="29"/>
      <c r="OE1289" s="29"/>
      <c r="OF1289" s="29"/>
      <c r="OG1289" s="29"/>
      <c r="OH1289" s="29"/>
      <c r="OI1289" s="29"/>
      <c r="OJ1289" s="29"/>
      <c r="OK1289" s="29"/>
      <c r="OL1289" s="29"/>
      <c r="OM1289" s="29"/>
      <c r="ON1289" s="29"/>
      <c r="OO1289" s="29"/>
      <c r="OP1289" s="29"/>
      <c r="OQ1289" s="29"/>
      <c r="OR1289" s="29"/>
      <c r="OS1289" s="29"/>
      <c r="OT1289" s="29"/>
      <c r="OU1289" s="29"/>
      <c r="OV1289" s="29"/>
      <c r="OW1289" s="29"/>
      <c r="OX1289" s="29"/>
      <c r="OY1289" s="29"/>
      <c r="OZ1289" s="29"/>
      <c r="PA1289" s="29"/>
      <c r="PB1289" s="29"/>
      <c r="PC1289" s="29"/>
      <c r="PD1289" s="29"/>
      <c r="PE1289" s="29"/>
      <c r="PF1289" s="29"/>
      <c r="PG1289" s="29"/>
      <c r="PH1289" s="29"/>
      <c r="PI1289" s="29"/>
      <c r="PJ1289" s="29"/>
      <c r="PK1289" s="29"/>
      <c r="PL1289" s="29"/>
      <c r="PM1289" s="29"/>
      <c r="PN1289" s="29"/>
      <c r="PO1289" s="29"/>
      <c r="PP1289" s="29"/>
      <c r="PQ1289" s="29"/>
      <c r="PR1289" s="29"/>
      <c r="PS1289" s="29"/>
      <c r="PT1289" s="29"/>
      <c r="PU1289" s="29"/>
      <c r="PV1289" s="29"/>
      <c r="PW1289" s="29"/>
      <c r="PX1289" s="29"/>
      <c r="PY1289" s="29"/>
      <c r="PZ1289" s="29"/>
      <c r="QA1289" s="29"/>
      <c r="QB1289" s="29"/>
      <c r="QC1289" s="29"/>
      <c r="QD1289" s="29"/>
      <c r="QE1289" s="29"/>
      <c r="QF1289" s="29"/>
      <c r="QG1289" s="29"/>
      <c r="QH1289" s="29"/>
      <c r="QI1289" s="29"/>
      <c r="QJ1289" s="29"/>
      <c r="QK1289" s="29"/>
      <c r="QL1289" s="29"/>
      <c r="QM1289" s="29"/>
      <c r="QN1289" s="29"/>
      <c r="QO1289" s="29"/>
      <c r="QP1289" s="29"/>
      <c r="QQ1289" s="29"/>
      <c r="QR1289" s="29"/>
      <c r="QS1289" s="29"/>
      <c r="QT1289" s="29"/>
      <c r="QU1289" s="29"/>
      <c r="QV1289" s="29"/>
      <c r="QW1289" s="29"/>
      <c r="QX1289" s="29"/>
      <c r="QY1289" s="29"/>
      <c r="QZ1289" s="29"/>
      <c r="RA1289" s="29"/>
      <c r="RB1289" s="29"/>
      <c r="RC1289" s="29"/>
      <c r="RD1289" s="29"/>
      <c r="RE1289" s="29"/>
      <c r="RF1289" s="29"/>
      <c r="RG1289" s="29"/>
      <c r="RH1289" s="29"/>
      <c r="RI1289" s="29"/>
      <c r="RJ1289" s="29"/>
      <c r="RK1289" s="29"/>
      <c r="RL1289" s="29"/>
      <c r="RM1289" s="29"/>
      <c r="RN1289" s="29"/>
      <c r="RO1289" s="29"/>
      <c r="RP1289" s="29"/>
      <c r="RQ1289" s="29"/>
      <c r="RR1289" s="29"/>
      <c r="RS1289" s="29"/>
      <c r="RT1289" s="29"/>
      <c r="RU1289" s="29"/>
      <c r="RV1289" s="29"/>
      <c r="RW1289" s="29"/>
      <c r="RX1289" s="29"/>
      <c r="RY1289" s="29"/>
      <c r="RZ1289" s="29"/>
      <c r="SA1289" s="29"/>
      <c r="SB1289" s="29"/>
      <c r="SC1289" s="29"/>
      <c r="SD1289" s="29"/>
      <c r="SE1289" s="29"/>
      <c r="SF1289" s="29"/>
      <c r="SG1289" s="29"/>
      <c r="SH1289" s="29"/>
      <c r="SI1289" s="29"/>
      <c r="SJ1289" s="29"/>
      <c r="SK1289" s="29"/>
      <c r="SL1289" s="29"/>
      <c r="SM1289" s="29"/>
      <c r="SN1289" s="29"/>
      <c r="SO1289" s="29"/>
      <c r="SP1289" s="29"/>
      <c r="SQ1289" s="29"/>
      <c r="SR1289" s="29"/>
      <c r="SS1289" s="29"/>
      <c r="ST1289" s="29"/>
      <c r="SU1289" s="29"/>
      <c r="SV1289" s="29"/>
      <c r="SW1289" s="29"/>
      <c r="SX1289" s="29"/>
      <c r="SY1289" s="29"/>
      <c r="SZ1289" s="29"/>
      <c r="TA1289" s="29"/>
      <c r="TB1289" s="29"/>
      <c r="TC1289" s="29"/>
      <c r="TD1289" s="29"/>
      <c r="TE1289" s="29"/>
      <c r="TF1289" s="29"/>
      <c r="TG1289" s="29"/>
      <c r="TH1289" s="29"/>
      <c r="TI1289" s="29"/>
      <c r="TJ1289" s="29"/>
      <c r="TK1289" s="29"/>
      <c r="TL1289" s="29"/>
      <c r="TM1289" s="29"/>
      <c r="TN1289" s="29"/>
      <c r="TO1289" s="29"/>
      <c r="TP1289" s="29"/>
      <c r="TQ1289" s="29"/>
      <c r="TR1289" s="29"/>
      <c r="TS1289" s="29"/>
      <c r="TT1289" s="29"/>
      <c r="TU1289" s="29"/>
      <c r="TV1289" s="29"/>
      <c r="TW1289" s="29"/>
      <c r="TX1289" s="29"/>
      <c r="TY1289" s="29"/>
      <c r="TZ1289" s="29"/>
      <c r="UA1289" s="29"/>
      <c r="UB1289" s="29"/>
      <c r="UC1289" s="29"/>
      <c r="UD1289" s="29"/>
      <c r="UE1289" s="29"/>
      <c r="UF1289" s="29"/>
      <c r="UG1289" s="29"/>
    </row>
    <row r="1290" spans="1:553" ht="36.65" customHeight="1">
      <c r="A1290" s="356" t="s">
        <v>15</v>
      </c>
      <c r="B1290" s="366"/>
      <c r="C1290" s="1404" t="s">
        <v>394</v>
      </c>
      <c r="D1290" s="1389"/>
      <c r="E1290" s="1389"/>
      <c r="F1290" s="1390"/>
      <c r="G1290" s="366"/>
      <c r="H1290" s="370"/>
      <c r="I1290" s="370"/>
      <c r="J1290" s="368"/>
      <c r="K1290" s="371"/>
      <c r="L1290" s="480"/>
      <c r="M1290" s="366"/>
      <c r="N1290" s="366"/>
      <c r="O1290" s="366"/>
      <c r="P1290" s="366"/>
      <c r="Q1290" s="1239"/>
      <c r="R1290" s="1226"/>
      <c r="S1290" s="308"/>
      <c r="T1290" s="308"/>
      <c r="U1290" s="308"/>
      <c r="V1290" s="308"/>
      <c r="W1290" s="308"/>
      <c r="X1290" s="308"/>
      <c r="Y1290" s="308"/>
      <c r="Z1290" s="604"/>
      <c r="AA1290" s="308"/>
      <c r="AB1290" s="308"/>
      <c r="AC1290" s="486"/>
      <c r="AD1290" s="486"/>
      <c r="AE1290" s="486"/>
      <c r="AF1290" s="486"/>
      <c r="AG1290" s="486"/>
      <c r="AH1290" s="486"/>
      <c r="AI1290" s="486"/>
      <c r="AJ1290" s="486"/>
      <c r="AK1290" s="486"/>
      <c r="AL1290" s="206"/>
      <c r="AM1290" s="29"/>
      <c r="AN1290" s="29"/>
      <c r="AO1290" s="29"/>
      <c r="AP1290" s="29"/>
      <c r="AQ1290" s="29"/>
      <c r="AR1290" s="29"/>
      <c r="AS1290" s="29"/>
      <c r="AT1290" s="29"/>
      <c r="AU1290" s="29"/>
      <c r="AV1290" s="29"/>
      <c r="AW1290" s="29"/>
      <c r="AX1290" s="29"/>
      <c r="AY1290" s="29"/>
      <c r="AZ1290" s="29"/>
      <c r="BA1290" s="29"/>
      <c r="BB1290" s="29"/>
      <c r="BC1290" s="29"/>
      <c r="BD1290" s="29"/>
      <c r="BE1290" s="29"/>
      <c r="BF1290" s="29"/>
      <c r="BG1290" s="29"/>
      <c r="BH1290" s="29"/>
      <c r="BI1290" s="29"/>
      <c r="BJ1290" s="29"/>
      <c r="BK1290" s="29"/>
      <c r="BL1290" s="29"/>
      <c r="BM1290" s="29"/>
      <c r="BN1290" s="29"/>
      <c r="BO1290" s="29"/>
      <c r="BP1290" s="29"/>
      <c r="BQ1290" s="29"/>
      <c r="BR1290" s="29"/>
      <c r="BS1290" s="29"/>
      <c r="BT1290" s="29"/>
      <c r="BU1290" s="29"/>
      <c r="BV1290" s="29"/>
      <c r="BW1290" s="29"/>
      <c r="BX1290" s="29"/>
      <c r="BY1290" s="29"/>
      <c r="BZ1290" s="29"/>
      <c r="CA1290" s="29"/>
      <c r="CB1290" s="29"/>
      <c r="CC1290" s="29"/>
      <c r="CD1290" s="29"/>
      <c r="CE1290" s="29"/>
      <c r="CF1290" s="29"/>
      <c r="CG1290" s="29"/>
      <c r="CH1290" s="29"/>
      <c r="CI1290" s="29"/>
      <c r="CJ1290" s="29"/>
      <c r="CK1290" s="29"/>
      <c r="CL1290" s="29"/>
      <c r="CM1290" s="29"/>
      <c r="CN1290" s="29"/>
      <c r="CO1290" s="29"/>
      <c r="CP1290" s="29"/>
      <c r="CQ1290" s="29"/>
      <c r="CR1290" s="29"/>
      <c r="CS1290" s="29"/>
      <c r="CT1290" s="29"/>
      <c r="CU1290" s="29"/>
      <c r="CV1290" s="29"/>
      <c r="CW1290" s="29"/>
      <c r="CX1290" s="29"/>
      <c r="CY1290" s="29"/>
      <c r="CZ1290" s="29"/>
      <c r="DA1290" s="29"/>
      <c r="DB1290" s="29"/>
      <c r="DC1290" s="29"/>
      <c r="DD1290" s="29"/>
      <c r="DE1290" s="29"/>
      <c r="DF1290" s="29"/>
      <c r="DG1290" s="29"/>
      <c r="DH1290" s="29"/>
      <c r="DI1290" s="29"/>
      <c r="DJ1290" s="29"/>
      <c r="DK1290" s="29"/>
      <c r="DL1290" s="29"/>
      <c r="DM1290" s="29"/>
      <c r="DN1290" s="29"/>
      <c r="DO1290" s="29"/>
      <c r="DP1290" s="29"/>
      <c r="DQ1290" s="29"/>
      <c r="DR1290" s="29"/>
      <c r="DS1290" s="29"/>
      <c r="DT1290" s="29"/>
      <c r="DU1290" s="29"/>
      <c r="DV1290" s="29"/>
      <c r="DW1290" s="29"/>
      <c r="DX1290" s="29"/>
      <c r="DY1290" s="29"/>
      <c r="DZ1290" s="29"/>
      <c r="EA1290" s="29"/>
      <c r="EB1290" s="29"/>
      <c r="EC1290" s="29"/>
      <c r="ED1290" s="29"/>
      <c r="EE1290" s="29"/>
      <c r="EF1290" s="29"/>
      <c r="EG1290" s="29"/>
      <c r="EH1290" s="29"/>
      <c r="EI1290" s="29"/>
      <c r="EJ1290" s="29"/>
      <c r="EK1290" s="29"/>
      <c r="EL1290" s="29"/>
      <c r="EM1290" s="29"/>
      <c r="EN1290" s="29"/>
      <c r="EO1290" s="29"/>
      <c r="EP1290" s="29"/>
      <c r="EQ1290" s="29"/>
      <c r="ER1290" s="29"/>
      <c r="ES1290" s="29"/>
      <c r="ET1290" s="29"/>
      <c r="EU1290" s="29"/>
      <c r="EV1290" s="29"/>
      <c r="EW1290" s="29"/>
      <c r="EX1290" s="29"/>
      <c r="EY1290" s="29"/>
      <c r="EZ1290" s="29"/>
      <c r="FA1290" s="29"/>
      <c r="FB1290" s="29"/>
      <c r="FC1290" s="29"/>
      <c r="FD1290" s="29"/>
      <c r="FE1290" s="29"/>
      <c r="FF1290" s="29"/>
      <c r="FG1290" s="29"/>
      <c r="FH1290" s="29"/>
      <c r="FI1290" s="29"/>
      <c r="FJ1290" s="29"/>
      <c r="FK1290" s="29"/>
      <c r="FL1290" s="29"/>
      <c r="FM1290" s="29"/>
      <c r="FN1290" s="29"/>
      <c r="FO1290" s="29"/>
      <c r="FP1290" s="29"/>
      <c r="FQ1290" s="29"/>
      <c r="FR1290" s="29"/>
      <c r="FS1290" s="29"/>
      <c r="FT1290" s="29"/>
      <c r="FU1290" s="29"/>
      <c r="FV1290" s="29"/>
      <c r="FW1290" s="29"/>
      <c r="FX1290" s="29"/>
      <c r="FY1290" s="29"/>
      <c r="FZ1290" s="29"/>
      <c r="GA1290" s="29"/>
      <c r="GB1290" s="29"/>
      <c r="GC1290" s="29"/>
      <c r="GD1290" s="29"/>
      <c r="GE1290" s="29"/>
      <c r="GF1290" s="29"/>
      <c r="GG1290" s="29"/>
      <c r="GH1290" s="29"/>
      <c r="GI1290" s="29"/>
      <c r="GJ1290" s="29"/>
      <c r="GK1290" s="29"/>
      <c r="GL1290" s="29"/>
      <c r="GM1290" s="29"/>
      <c r="GN1290" s="29"/>
      <c r="GO1290" s="29"/>
      <c r="GP1290" s="29"/>
      <c r="GQ1290" s="29"/>
      <c r="GR1290" s="29"/>
      <c r="GS1290" s="29"/>
      <c r="GT1290" s="29"/>
      <c r="GU1290" s="29"/>
      <c r="GV1290" s="29"/>
      <c r="GW1290" s="29"/>
      <c r="GX1290" s="29"/>
      <c r="GY1290" s="29"/>
      <c r="GZ1290" s="29"/>
      <c r="HA1290" s="29"/>
      <c r="HB1290" s="29"/>
      <c r="HC1290" s="29"/>
      <c r="HD1290" s="29"/>
      <c r="HE1290" s="29"/>
      <c r="HF1290" s="29"/>
      <c r="HG1290" s="29"/>
      <c r="HH1290" s="29"/>
      <c r="HI1290" s="29"/>
      <c r="HJ1290" s="29"/>
      <c r="HK1290" s="29"/>
      <c r="HL1290" s="29"/>
      <c r="HM1290" s="29"/>
      <c r="HN1290" s="29"/>
      <c r="HO1290" s="29"/>
      <c r="HP1290" s="29"/>
      <c r="HQ1290" s="29"/>
      <c r="HR1290" s="29"/>
      <c r="HS1290" s="29"/>
      <c r="HT1290" s="29"/>
      <c r="HU1290" s="29"/>
      <c r="HV1290" s="29"/>
      <c r="HW1290" s="29"/>
      <c r="HX1290" s="29"/>
      <c r="HY1290" s="29"/>
      <c r="HZ1290" s="29"/>
      <c r="IA1290" s="29"/>
      <c r="IB1290" s="29"/>
      <c r="IC1290" s="29"/>
      <c r="ID1290" s="29"/>
      <c r="IE1290" s="29"/>
      <c r="IF1290" s="29"/>
      <c r="IG1290" s="29"/>
      <c r="IH1290" s="29"/>
      <c r="II1290" s="29"/>
      <c r="IJ1290" s="29"/>
      <c r="IK1290" s="29"/>
      <c r="IL1290" s="29"/>
      <c r="IM1290" s="29"/>
      <c r="IN1290" s="29"/>
      <c r="IO1290" s="29"/>
      <c r="IP1290" s="29"/>
      <c r="IQ1290" s="29"/>
      <c r="IR1290" s="29"/>
      <c r="IS1290" s="29"/>
      <c r="IT1290" s="29"/>
      <c r="IU1290" s="29"/>
      <c r="IV1290" s="29"/>
      <c r="IW1290" s="29"/>
      <c r="IX1290" s="29"/>
      <c r="IY1290" s="29"/>
      <c r="IZ1290" s="29"/>
      <c r="JA1290" s="29"/>
      <c r="JB1290" s="29"/>
      <c r="JC1290" s="29"/>
      <c r="JD1290" s="29"/>
      <c r="JE1290" s="29"/>
      <c r="JF1290" s="29"/>
      <c r="JG1290" s="29"/>
      <c r="JH1290" s="29"/>
      <c r="JI1290" s="29"/>
      <c r="JJ1290" s="29"/>
      <c r="JK1290" s="29"/>
      <c r="JL1290" s="29"/>
      <c r="JM1290" s="29"/>
      <c r="JN1290" s="29"/>
      <c r="JO1290" s="29"/>
      <c r="JP1290" s="29"/>
      <c r="JQ1290" s="29"/>
      <c r="JR1290" s="29"/>
      <c r="JS1290" s="29"/>
      <c r="JT1290" s="29"/>
      <c r="JU1290" s="29"/>
      <c r="JV1290" s="29"/>
      <c r="JW1290" s="29"/>
      <c r="JX1290" s="29"/>
      <c r="JY1290" s="29"/>
      <c r="JZ1290" s="29"/>
      <c r="KA1290" s="29"/>
      <c r="KB1290" s="29"/>
      <c r="KC1290" s="29"/>
      <c r="KD1290" s="29"/>
      <c r="KE1290" s="29"/>
      <c r="KF1290" s="29"/>
      <c r="KG1290" s="29"/>
      <c r="KH1290" s="29"/>
      <c r="KI1290" s="29"/>
      <c r="KJ1290" s="29"/>
      <c r="KK1290" s="29"/>
      <c r="KL1290" s="29"/>
      <c r="KM1290" s="29"/>
      <c r="KN1290" s="29"/>
      <c r="KO1290" s="29"/>
      <c r="KP1290" s="29"/>
      <c r="KQ1290" s="29"/>
      <c r="KR1290" s="29"/>
      <c r="KS1290" s="29"/>
      <c r="KT1290" s="29"/>
      <c r="KU1290" s="29"/>
      <c r="KV1290" s="29"/>
      <c r="KW1290" s="29"/>
      <c r="KX1290" s="29"/>
      <c r="KY1290" s="29"/>
      <c r="KZ1290" s="29"/>
      <c r="LA1290" s="29"/>
      <c r="LB1290" s="29"/>
      <c r="LC1290" s="29"/>
      <c r="LD1290" s="29"/>
      <c r="LE1290" s="29"/>
      <c r="LF1290" s="29"/>
      <c r="LG1290" s="29"/>
      <c r="LH1290" s="29"/>
      <c r="LI1290" s="29"/>
      <c r="LJ1290" s="29"/>
      <c r="LK1290" s="29"/>
      <c r="LL1290" s="29"/>
      <c r="LM1290" s="29"/>
      <c r="LN1290" s="29"/>
      <c r="LO1290" s="29"/>
      <c r="LP1290" s="29"/>
      <c r="LQ1290" s="29"/>
      <c r="LR1290" s="29"/>
      <c r="LS1290" s="29"/>
      <c r="LT1290" s="29"/>
      <c r="LU1290" s="29"/>
      <c r="LV1290" s="29"/>
      <c r="LW1290" s="29"/>
      <c r="LX1290" s="29"/>
      <c r="LY1290" s="29"/>
      <c r="LZ1290" s="29"/>
      <c r="MA1290" s="29"/>
      <c r="MB1290" s="29"/>
      <c r="MC1290" s="29"/>
      <c r="MD1290" s="29"/>
      <c r="ME1290" s="29"/>
      <c r="MF1290" s="29"/>
      <c r="MG1290" s="29"/>
      <c r="MH1290" s="29"/>
      <c r="MI1290" s="29"/>
      <c r="MJ1290" s="29"/>
      <c r="MK1290" s="29"/>
      <c r="ML1290" s="29"/>
      <c r="MM1290" s="29"/>
      <c r="MN1290" s="29"/>
      <c r="MO1290" s="29"/>
      <c r="MP1290" s="29"/>
      <c r="MQ1290" s="29"/>
      <c r="MR1290" s="29"/>
      <c r="MS1290" s="29"/>
      <c r="MT1290" s="29"/>
      <c r="MU1290" s="29"/>
      <c r="MV1290" s="29"/>
      <c r="MW1290" s="29"/>
      <c r="MX1290" s="29"/>
      <c r="MY1290" s="29"/>
      <c r="MZ1290" s="29"/>
      <c r="NA1290" s="29"/>
      <c r="NB1290" s="29"/>
      <c r="NC1290" s="29"/>
      <c r="ND1290" s="29"/>
      <c r="NE1290" s="29"/>
      <c r="NF1290" s="29"/>
      <c r="NG1290" s="29"/>
      <c r="NH1290" s="29"/>
      <c r="NI1290" s="29"/>
      <c r="NJ1290" s="29"/>
      <c r="NK1290" s="29"/>
      <c r="NL1290" s="29"/>
      <c r="NM1290" s="29"/>
      <c r="NN1290" s="29"/>
      <c r="NO1290" s="29"/>
      <c r="NP1290" s="29"/>
      <c r="NQ1290" s="29"/>
      <c r="NR1290" s="29"/>
      <c r="NS1290" s="29"/>
      <c r="NT1290" s="29"/>
      <c r="NU1290" s="29"/>
      <c r="NV1290" s="29"/>
      <c r="NW1290" s="29"/>
      <c r="NX1290" s="29"/>
      <c r="NY1290" s="29"/>
      <c r="NZ1290" s="29"/>
      <c r="OA1290" s="29"/>
      <c r="OB1290" s="29"/>
      <c r="OC1290" s="29"/>
      <c r="OD1290" s="29"/>
      <c r="OE1290" s="29"/>
      <c r="OF1290" s="29"/>
      <c r="OG1290" s="29"/>
      <c r="OH1290" s="29"/>
      <c r="OI1290" s="29"/>
      <c r="OJ1290" s="29"/>
      <c r="OK1290" s="29"/>
      <c r="OL1290" s="29"/>
      <c r="OM1290" s="29"/>
      <c r="ON1290" s="29"/>
      <c r="OO1290" s="29"/>
      <c r="OP1290" s="29"/>
      <c r="OQ1290" s="29"/>
      <c r="OR1290" s="29"/>
      <c r="OS1290" s="29"/>
      <c r="OT1290" s="29"/>
      <c r="OU1290" s="29"/>
      <c r="OV1290" s="29"/>
      <c r="OW1290" s="29"/>
      <c r="OX1290" s="29"/>
      <c r="OY1290" s="29"/>
      <c r="OZ1290" s="29"/>
      <c r="PA1290" s="29"/>
      <c r="PB1290" s="29"/>
      <c r="PC1290" s="29"/>
      <c r="PD1290" s="29"/>
      <c r="PE1290" s="29"/>
      <c r="PF1290" s="29"/>
      <c r="PG1290" s="29"/>
      <c r="PH1290" s="29"/>
      <c r="PI1290" s="29"/>
      <c r="PJ1290" s="29"/>
      <c r="PK1290" s="29"/>
      <c r="PL1290" s="29"/>
      <c r="PM1290" s="29"/>
      <c r="PN1290" s="29"/>
      <c r="PO1290" s="29"/>
      <c r="PP1290" s="29"/>
      <c r="PQ1290" s="29"/>
      <c r="PR1290" s="29"/>
      <c r="PS1290" s="29"/>
      <c r="PT1290" s="29"/>
      <c r="PU1290" s="29"/>
      <c r="PV1290" s="29"/>
      <c r="PW1290" s="29"/>
      <c r="PX1290" s="29"/>
      <c r="PY1290" s="29"/>
      <c r="PZ1290" s="29"/>
      <c r="QA1290" s="29"/>
      <c r="QB1290" s="29"/>
      <c r="QC1290" s="29"/>
      <c r="QD1290" s="29"/>
      <c r="QE1290" s="29"/>
      <c r="QF1290" s="29"/>
      <c r="QG1290" s="29"/>
      <c r="QH1290" s="29"/>
      <c r="QI1290" s="29"/>
      <c r="QJ1290" s="29"/>
      <c r="QK1290" s="29"/>
      <c r="QL1290" s="29"/>
      <c r="QM1290" s="29"/>
      <c r="QN1290" s="29"/>
      <c r="QO1290" s="29"/>
      <c r="QP1290" s="29"/>
      <c r="QQ1290" s="29"/>
      <c r="QR1290" s="29"/>
      <c r="QS1290" s="29"/>
      <c r="QT1290" s="29"/>
      <c r="QU1290" s="29"/>
      <c r="QV1290" s="29"/>
      <c r="QW1290" s="29"/>
      <c r="QX1290" s="29"/>
      <c r="QY1290" s="29"/>
      <c r="QZ1290" s="29"/>
      <c r="RA1290" s="29"/>
      <c r="RB1290" s="29"/>
      <c r="RC1290" s="29"/>
      <c r="RD1290" s="29"/>
      <c r="RE1290" s="29"/>
      <c r="RF1290" s="29"/>
      <c r="RG1290" s="29"/>
      <c r="RH1290" s="29"/>
      <c r="RI1290" s="29"/>
      <c r="RJ1290" s="29"/>
      <c r="RK1290" s="29"/>
      <c r="RL1290" s="29"/>
      <c r="RM1290" s="29"/>
      <c r="RN1290" s="29"/>
      <c r="RO1290" s="29"/>
      <c r="RP1290" s="29"/>
      <c r="RQ1290" s="29"/>
      <c r="RR1290" s="29"/>
      <c r="RS1290" s="29"/>
      <c r="RT1290" s="29"/>
      <c r="RU1290" s="29"/>
      <c r="RV1290" s="29"/>
      <c r="RW1290" s="29"/>
      <c r="RX1290" s="29"/>
      <c r="RY1290" s="29"/>
      <c r="RZ1290" s="29"/>
      <c r="SA1290" s="29"/>
      <c r="SB1290" s="29"/>
      <c r="SC1290" s="29"/>
      <c r="SD1290" s="29"/>
      <c r="SE1290" s="29"/>
      <c r="SF1290" s="29"/>
      <c r="SG1290" s="29"/>
      <c r="SH1290" s="29"/>
      <c r="SI1290" s="29"/>
      <c r="SJ1290" s="29"/>
      <c r="SK1290" s="29"/>
      <c r="SL1290" s="29"/>
      <c r="SM1290" s="29"/>
      <c r="SN1290" s="29"/>
      <c r="SO1290" s="29"/>
      <c r="SP1290" s="29"/>
      <c r="SQ1290" s="29"/>
      <c r="SR1290" s="29"/>
      <c r="SS1290" s="29"/>
      <c r="ST1290" s="29"/>
      <c r="SU1290" s="29"/>
      <c r="SV1290" s="29"/>
      <c r="SW1290" s="29"/>
      <c r="SX1290" s="29"/>
      <c r="SY1290" s="29"/>
      <c r="SZ1290" s="29"/>
      <c r="TA1290" s="29"/>
      <c r="TB1290" s="29"/>
      <c r="TC1290" s="29"/>
      <c r="TD1290" s="29"/>
      <c r="TE1290" s="29"/>
      <c r="TF1290" s="29"/>
      <c r="TG1290" s="29"/>
      <c r="TH1290" s="29"/>
      <c r="TI1290" s="29"/>
      <c r="TJ1290" s="29"/>
      <c r="TK1290" s="29"/>
      <c r="TL1290" s="29"/>
      <c r="TM1290" s="29"/>
      <c r="TN1290" s="29"/>
      <c r="TO1290" s="29"/>
      <c r="TP1290" s="29"/>
      <c r="TQ1290" s="29"/>
      <c r="TR1290" s="29"/>
      <c r="TS1290" s="29"/>
      <c r="TT1290" s="29"/>
      <c r="TU1290" s="29"/>
      <c r="TV1290" s="29"/>
      <c r="TW1290" s="29"/>
      <c r="TX1290" s="29"/>
      <c r="TY1290" s="29"/>
      <c r="TZ1290" s="29"/>
      <c r="UA1290" s="29"/>
      <c r="UB1290" s="29"/>
      <c r="UC1290" s="29"/>
      <c r="UD1290" s="29"/>
      <c r="UE1290" s="29"/>
      <c r="UF1290" s="29"/>
      <c r="UG1290" s="29"/>
    </row>
    <row r="1291" spans="1:553" ht="28.9" customHeight="1">
      <c r="A1291" s="356" t="s">
        <v>17</v>
      </c>
      <c r="B1291" s="356"/>
      <c r="C1291" s="1404" t="s">
        <v>18</v>
      </c>
      <c r="D1291" s="1389"/>
      <c r="E1291" s="1389"/>
      <c r="F1291" s="1390"/>
      <c r="G1291" s="356" t="s">
        <v>1393</v>
      </c>
      <c r="H1291" s="786">
        <f t="shared" ref="H1291:I1291" si="194">SUM(H1292)</f>
        <v>179</v>
      </c>
      <c r="I1291" s="359">
        <f t="shared" si="194"/>
        <v>109.4</v>
      </c>
      <c r="J1291" s="368"/>
      <c r="K1291" s="371"/>
      <c r="L1291" s="1197">
        <f>SUM(L1292)</f>
        <v>42666000</v>
      </c>
      <c r="M1291" s="356"/>
      <c r="N1291" s="356"/>
      <c r="O1291" s="356"/>
      <c r="P1291" s="835">
        <f>L1291</f>
        <v>42666000</v>
      </c>
      <c r="Q1291" s="1137"/>
      <c r="R1291" s="486"/>
      <c r="S1291" s="308"/>
      <c r="T1291" s="308"/>
      <c r="U1291" s="308"/>
      <c r="V1291" s="308"/>
      <c r="W1291" s="308"/>
      <c r="X1291" s="308"/>
      <c r="Y1291" s="308"/>
      <c r="Z1291" s="604"/>
      <c r="AA1291" s="308"/>
      <c r="AB1291" s="308"/>
      <c r="AC1291" s="486"/>
      <c r="AD1291" s="486"/>
      <c r="AE1291" s="486"/>
      <c r="AF1291" s="486"/>
      <c r="AG1291" s="486"/>
      <c r="AH1291" s="486"/>
      <c r="AI1291" s="486"/>
      <c r="AJ1291" s="486"/>
      <c r="AK1291" s="486"/>
      <c r="AL1291" s="206"/>
      <c r="AM1291" s="29"/>
      <c r="AN1291" s="29"/>
      <c r="AO1291" s="29"/>
      <c r="AP1291" s="29"/>
      <c r="AQ1291" s="29"/>
      <c r="AR1291" s="29"/>
      <c r="AS1291" s="29"/>
      <c r="AT1291" s="29"/>
      <c r="AU1291" s="29"/>
      <c r="AV1291" s="29"/>
      <c r="AW1291" s="29"/>
      <c r="AX1291" s="29"/>
      <c r="AY1291" s="29"/>
      <c r="AZ1291" s="29"/>
      <c r="BA1291" s="29"/>
      <c r="BB1291" s="29"/>
      <c r="BC1291" s="29"/>
      <c r="BD1291" s="29"/>
      <c r="BE1291" s="29"/>
      <c r="BF1291" s="29"/>
      <c r="BG1291" s="29"/>
      <c r="BH1291" s="29"/>
      <c r="BI1291" s="29"/>
      <c r="BJ1291" s="29"/>
      <c r="BK1291" s="29"/>
      <c r="BL1291" s="29"/>
      <c r="BM1291" s="29"/>
      <c r="BN1291" s="29"/>
      <c r="BO1291" s="29"/>
      <c r="BP1291" s="29"/>
      <c r="BQ1291" s="29"/>
      <c r="BR1291" s="29"/>
      <c r="BS1291" s="29"/>
      <c r="BT1291" s="29"/>
      <c r="BU1291" s="29"/>
      <c r="BV1291" s="29"/>
      <c r="BW1291" s="29"/>
      <c r="BX1291" s="29"/>
      <c r="BY1291" s="29"/>
      <c r="BZ1291" s="29"/>
      <c r="CA1291" s="29"/>
      <c r="CB1291" s="29"/>
      <c r="CC1291" s="29"/>
      <c r="CD1291" s="29"/>
      <c r="CE1291" s="29"/>
      <c r="CF1291" s="29"/>
      <c r="CG1291" s="29"/>
      <c r="CH1291" s="29"/>
      <c r="CI1291" s="29"/>
      <c r="CJ1291" s="29"/>
      <c r="CK1291" s="29"/>
      <c r="CL1291" s="29"/>
      <c r="CM1291" s="29"/>
      <c r="CN1291" s="29"/>
      <c r="CO1291" s="29"/>
      <c r="CP1291" s="29"/>
      <c r="CQ1291" s="29"/>
      <c r="CR1291" s="29"/>
      <c r="CS1291" s="29"/>
      <c r="CT1291" s="29"/>
      <c r="CU1291" s="29"/>
      <c r="CV1291" s="29"/>
      <c r="CW1291" s="29"/>
      <c r="CX1291" s="29"/>
      <c r="CY1291" s="29"/>
      <c r="CZ1291" s="29"/>
      <c r="DA1291" s="29"/>
      <c r="DB1291" s="29"/>
      <c r="DC1291" s="29"/>
      <c r="DD1291" s="29"/>
      <c r="DE1291" s="29"/>
      <c r="DF1291" s="29"/>
      <c r="DG1291" s="29"/>
      <c r="DH1291" s="29"/>
      <c r="DI1291" s="29"/>
      <c r="DJ1291" s="29"/>
      <c r="DK1291" s="29"/>
      <c r="DL1291" s="29"/>
      <c r="DM1291" s="29"/>
      <c r="DN1291" s="29"/>
      <c r="DO1291" s="29"/>
      <c r="DP1291" s="29"/>
      <c r="DQ1291" s="29"/>
      <c r="DR1291" s="29"/>
      <c r="DS1291" s="29"/>
      <c r="DT1291" s="29"/>
      <c r="DU1291" s="29"/>
      <c r="DV1291" s="29"/>
      <c r="DW1291" s="29"/>
      <c r="DX1291" s="29"/>
      <c r="DY1291" s="29"/>
      <c r="DZ1291" s="29"/>
      <c r="EA1291" s="29"/>
      <c r="EB1291" s="29"/>
      <c r="EC1291" s="29"/>
      <c r="ED1291" s="29"/>
      <c r="EE1291" s="29"/>
      <c r="EF1291" s="29"/>
      <c r="EG1291" s="29"/>
      <c r="EH1291" s="29"/>
      <c r="EI1291" s="29"/>
      <c r="EJ1291" s="29"/>
      <c r="EK1291" s="29"/>
      <c r="EL1291" s="29"/>
      <c r="EM1291" s="29"/>
      <c r="EN1291" s="29"/>
      <c r="EO1291" s="29"/>
      <c r="EP1291" s="29"/>
      <c r="EQ1291" s="29"/>
      <c r="ER1291" s="29"/>
      <c r="ES1291" s="29"/>
      <c r="ET1291" s="29"/>
      <c r="EU1291" s="29"/>
      <c r="EV1291" s="29"/>
      <c r="EW1291" s="29"/>
      <c r="EX1291" s="29"/>
      <c r="EY1291" s="29"/>
      <c r="EZ1291" s="29"/>
      <c r="FA1291" s="29"/>
      <c r="FB1291" s="29"/>
      <c r="FC1291" s="29"/>
      <c r="FD1291" s="29"/>
      <c r="FE1291" s="29"/>
      <c r="FF1291" s="29"/>
      <c r="FG1291" s="29"/>
      <c r="FH1291" s="29"/>
      <c r="FI1291" s="29"/>
      <c r="FJ1291" s="29"/>
      <c r="FK1291" s="29"/>
      <c r="FL1291" s="29"/>
      <c r="FM1291" s="29"/>
      <c r="FN1291" s="29"/>
      <c r="FO1291" s="29"/>
      <c r="FP1291" s="29"/>
      <c r="FQ1291" s="29"/>
      <c r="FR1291" s="29"/>
      <c r="FS1291" s="29"/>
      <c r="FT1291" s="29"/>
      <c r="FU1291" s="29"/>
      <c r="FV1291" s="29"/>
      <c r="FW1291" s="29"/>
      <c r="FX1291" s="29"/>
      <c r="FY1291" s="29"/>
      <c r="FZ1291" s="29"/>
      <c r="GA1291" s="29"/>
      <c r="GB1291" s="29"/>
      <c r="GC1291" s="29"/>
      <c r="GD1291" s="29"/>
      <c r="GE1291" s="29"/>
      <c r="GF1291" s="29"/>
      <c r="GG1291" s="29"/>
      <c r="GH1291" s="29"/>
      <c r="GI1291" s="29"/>
      <c r="GJ1291" s="29"/>
      <c r="GK1291" s="29"/>
      <c r="GL1291" s="29"/>
      <c r="GM1291" s="29"/>
      <c r="GN1291" s="29"/>
      <c r="GO1291" s="29"/>
      <c r="GP1291" s="29"/>
      <c r="GQ1291" s="29"/>
      <c r="GR1291" s="29"/>
      <c r="GS1291" s="29"/>
      <c r="GT1291" s="29"/>
      <c r="GU1291" s="29"/>
      <c r="GV1291" s="29"/>
      <c r="GW1291" s="29"/>
      <c r="GX1291" s="29"/>
      <c r="GY1291" s="29"/>
      <c r="GZ1291" s="29"/>
      <c r="HA1291" s="29"/>
      <c r="HB1291" s="29"/>
      <c r="HC1291" s="29"/>
      <c r="HD1291" s="29"/>
      <c r="HE1291" s="29"/>
      <c r="HF1291" s="29"/>
      <c r="HG1291" s="29"/>
      <c r="HH1291" s="29"/>
      <c r="HI1291" s="29"/>
      <c r="HJ1291" s="29"/>
      <c r="HK1291" s="29"/>
      <c r="HL1291" s="29"/>
      <c r="HM1291" s="29"/>
      <c r="HN1291" s="29"/>
      <c r="HO1291" s="29"/>
      <c r="HP1291" s="29"/>
      <c r="HQ1291" s="29"/>
      <c r="HR1291" s="29"/>
      <c r="HS1291" s="29"/>
      <c r="HT1291" s="29"/>
      <c r="HU1291" s="29"/>
      <c r="HV1291" s="29"/>
      <c r="HW1291" s="29"/>
      <c r="HX1291" s="29"/>
      <c r="HY1291" s="29"/>
      <c r="HZ1291" s="29"/>
      <c r="IA1291" s="29"/>
      <c r="IB1291" s="29"/>
      <c r="IC1291" s="29"/>
      <c r="ID1291" s="29"/>
      <c r="IE1291" s="29"/>
      <c r="IF1291" s="29"/>
      <c r="IG1291" s="29"/>
      <c r="IH1291" s="29"/>
      <c r="II1291" s="29"/>
      <c r="IJ1291" s="29"/>
      <c r="IK1291" s="29"/>
      <c r="IL1291" s="29"/>
      <c r="IM1291" s="29"/>
      <c r="IN1291" s="29"/>
      <c r="IO1291" s="29"/>
      <c r="IP1291" s="29"/>
      <c r="IQ1291" s="29"/>
      <c r="IR1291" s="29"/>
      <c r="IS1291" s="29"/>
      <c r="IT1291" s="29"/>
      <c r="IU1291" s="29"/>
      <c r="IV1291" s="29"/>
      <c r="IW1291" s="29"/>
      <c r="IX1291" s="29"/>
      <c r="IY1291" s="29"/>
      <c r="IZ1291" s="29"/>
      <c r="JA1291" s="29"/>
      <c r="JB1291" s="29"/>
      <c r="JC1291" s="29"/>
      <c r="JD1291" s="29"/>
      <c r="JE1291" s="29"/>
      <c r="JF1291" s="29"/>
      <c r="JG1291" s="29"/>
      <c r="JH1291" s="29"/>
      <c r="JI1291" s="29"/>
      <c r="JJ1291" s="29"/>
      <c r="JK1291" s="29"/>
      <c r="JL1291" s="29"/>
      <c r="JM1291" s="29"/>
      <c r="JN1291" s="29"/>
      <c r="JO1291" s="29"/>
      <c r="JP1291" s="29"/>
      <c r="JQ1291" s="29"/>
      <c r="JR1291" s="29"/>
      <c r="JS1291" s="29"/>
      <c r="JT1291" s="29"/>
      <c r="JU1291" s="29"/>
      <c r="JV1291" s="29"/>
      <c r="JW1291" s="29"/>
      <c r="JX1291" s="29"/>
      <c r="JY1291" s="29"/>
      <c r="JZ1291" s="29"/>
      <c r="KA1291" s="29"/>
      <c r="KB1291" s="29"/>
      <c r="KC1291" s="29"/>
      <c r="KD1291" s="29"/>
      <c r="KE1291" s="29"/>
      <c r="KF1291" s="29"/>
      <c r="KG1291" s="29"/>
      <c r="KH1291" s="29"/>
      <c r="KI1291" s="29"/>
      <c r="KJ1291" s="29"/>
      <c r="KK1291" s="29"/>
      <c r="KL1291" s="29"/>
      <c r="KM1291" s="29"/>
      <c r="KN1291" s="29"/>
      <c r="KO1291" s="29"/>
      <c r="KP1291" s="29"/>
      <c r="KQ1291" s="29"/>
      <c r="KR1291" s="29"/>
      <c r="KS1291" s="29"/>
      <c r="KT1291" s="29"/>
      <c r="KU1291" s="29"/>
      <c r="KV1291" s="29"/>
      <c r="KW1291" s="29"/>
      <c r="KX1291" s="29"/>
      <c r="KY1291" s="29"/>
      <c r="KZ1291" s="29"/>
      <c r="LA1291" s="29"/>
      <c r="LB1291" s="29"/>
      <c r="LC1291" s="29"/>
      <c r="LD1291" s="29"/>
      <c r="LE1291" s="29"/>
      <c r="LF1291" s="29"/>
      <c r="LG1291" s="29"/>
      <c r="LH1291" s="29"/>
      <c r="LI1291" s="29"/>
      <c r="LJ1291" s="29"/>
      <c r="LK1291" s="29"/>
      <c r="LL1291" s="29"/>
      <c r="LM1291" s="29"/>
      <c r="LN1291" s="29"/>
      <c r="LO1291" s="29"/>
      <c r="LP1291" s="29"/>
      <c r="LQ1291" s="29"/>
      <c r="LR1291" s="29"/>
      <c r="LS1291" s="29"/>
      <c r="LT1291" s="29"/>
      <c r="LU1291" s="29"/>
      <c r="LV1291" s="29"/>
      <c r="LW1291" s="29"/>
      <c r="LX1291" s="29"/>
      <c r="LY1291" s="29"/>
      <c r="LZ1291" s="29"/>
      <c r="MA1291" s="29"/>
      <c r="MB1291" s="29"/>
      <c r="MC1291" s="29"/>
      <c r="MD1291" s="29"/>
      <c r="ME1291" s="29"/>
      <c r="MF1291" s="29"/>
      <c r="MG1291" s="29"/>
      <c r="MH1291" s="29"/>
      <c r="MI1291" s="29"/>
      <c r="MJ1291" s="29"/>
      <c r="MK1291" s="29"/>
      <c r="ML1291" s="29"/>
      <c r="MM1291" s="29"/>
      <c r="MN1291" s="29"/>
      <c r="MO1291" s="29"/>
      <c r="MP1291" s="29"/>
      <c r="MQ1291" s="29"/>
      <c r="MR1291" s="29"/>
      <c r="MS1291" s="29"/>
      <c r="MT1291" s="29"/>
      <c r="MU1291" s="29"/>
      <c r="MV1291" s="29"/>
      <c r="MW1291" s="29"/>
      <c r="MX1291" s="29"/>
      <c r="MY1291" s="29"/>
      <c r="MZ1291" s="29"/>
      <c r="NA1291" s="29"/>
      <c r="NB1291" s="29"/>
      <c r="NC1291" s="29"/>
      <c r="ND1291" s="29"/>
      <c r="NE1291" s="29"/>
      <c r="NF1291" s="29"/>
      <c r="NG1291" s="29"/>
      <c r="NH1291" s="29"/>
      <c r="NI1291" s="29"/>
      <c r="NJ1291" s="29"/>
      <c r="NK1291" s="29"/>
      <c r="NL1291" s="29"/>
      <c r="NM1291" s="29"/>
      <c r="NN1291" s="29"/>
      <c r="NO1291" s="29"/>
      <c r="NP1291" s="29"/>
      <c r="NQ1291" s="29"/>
      <c r="NR1291" s="29"/>
      <c r="NS1291" s="29"/>
      <c r="NT1291" s="29"/>
      <c r="NU1291" s="29"/>
      <c r="NV1291" s="29"/>
      <c r="NW1291" s="29"/>
      <c r="NX1291" s="29"/>
      <c r="NY1291" s="29"/>
      <c r="NZ1291" s="29"/>
      <c r="OA1291" s="29"/>
      <c r="OB1291" s="29"/>
      <c r="OC1291" s="29"/>
      <c r="OD1291" s="29"/>
      <c r="OE1291" s="29"/>
      <c r="OF1291" s="29"/>
      <c r="OG1291" s="29"/>
      <c r="OH1291" s="29"/>
      <c r="OI1291" s="29"/>
      <c r="OJ1291" s="29"/>
      <c r="OK1291" s="29"/>
      <c r="OL1291" s="29"/>
      <c r="OM1291" s="29"/>
      <c r="ON1291" s="29"/>
      <c r="OO1291" s="29"/>
      <c r="OP1291" s="29"/>
      <c r="OQ1291" s="29"/>
      <c r="OR1291" s="29"/>
      <c r="OS1291" s="29"/>
      <c r="OT1291" s="29"/>
      <c r="OU1291" s="29"/>
      <c r="OV1291" s="29"/>
      <c r="OW1291" s="29"/>
      <c r="OX1291" s="29"/>
      <c r="OY1291" s="29"/>
      <c r="OZ1291" s="29"/>
      <c r="PA1291" s="29"/>
      <c r="PB1291" s="29"/>
      <c r="PC1291" s="29"/>
      <c r="PD1291" s="29"/>
      <c r="PE1291" s="29"/>
      <c r="PF1291" s="29"/>
      <c r="PG1291" s="29"/>
      <c r="PH1291" s="29"/>
      <c r="PI1291" s="29"/>
      <c r="PJ1291" s="29"/>
      <c r="PK1291" s="29"/>
      <c r="PL1291" s="29"/>
      <c r="PM1291" s="29"/>
      <c r="PN1291" s="29"/>
      <c r="PO1291" s="29"/>
      <c r="PP1291" s="29"/>
      <c r="PQ1291" s="29"/>
      <c r="PR1291" s="29"/>
      <c r="PS1291" s="29"/>
      <c r="PT1291" s="29"/>
      <c r="PU1291" s="29"/>
      <c r="PV1291" s="29"/>
      <c r="PW1291" s="29"/>
      <c r="PX1291" s="29"/>
      <c r="PY1291" s="29"/>
      <c r="PZ1291" s="29"/>
      <c r="QA1291" s="29"/>
      <c r="QB1291" s="29"/>
      <c r="QC1291" s="29"/>
      <c r="QD1291" s="29"/>
      <c r="QE1291" s="29"/>
      <c r="QF1291" s="29"/>
      <c r="QG1291" s="29"/>
      <c r="QH1291" s="29"/>
      <c r="QI1291" s="29"/>
      <c r="QJ1291" s="29"/>
      <c r="QK1291" s="29"/>
      <c r="QL1291" s="29"/>
      <c r="QM1291" s="29"/>
      <c r="QN1291" s="29"/>
      <c r="QO1291" s="29"/>
      <c r="QP1291" s="29"/>
      <c r="QQ1291" s="29"/>
      <c r="QR1291" s="29"/>
      <c r="QS1291" s="29"/>
      <c r="QT1291" s="29"/>
      <c r="QU1291" s="29"/>
      <c r="QV1291" s="29"/>
      <c r="QW1291" s="29"/>
      <c r="QX1291" s="29"/>
      <c r="QY1291" s="29"/>
      <c r="QZ1291" s="29"/>
      <c r="RA1291" s="29"/>
      <c r="RB1291" s="29"/>
      <c r="RC1291" s="29"/>
      <c r="RD1291" s="29"/>
      <c r="RE1291" s="29"/>
      <c r="RF1291" s="29"/>
      <c r="RG1291" s="29"/>
      <c r="RH1291" s="29"/>
      <c r="RI1291" s="29"/>
      <c r="RJ1291" s="29"/>
      <c r="RK1291" s="29"/>
      <c r="RL1291" s="29"/>
      <c r="RM1291" s="29"/>
      <c r="RN1291" s="29"/>
      <c r="RO1291" s="29"/>
      <c r="RP1291" s="29"/>
      <c r="RQ1291" s="29"/>
      <c r="RR1291" s="29"/>
      <c r="RS1291" s="29"/>
      <c r="RT1291" s="29"/>
      <c r="RU1291" s="29"/>
      <c r="RV1291" s="29"/>
      <c r="RW1291" s="29"/>
      <c r="RX1291" s="29"/>
      <c r="RY1291" s="29"/>
      <c r="RZ1291" s="29"/>
      <c r="SA1291" s="29"/>
      <c r="SB1291" s="29"/>
      <c r="SC1291" s="29"/>
      <c r="SD1291" s="29"/>
      <c r="SE1291" s="29"/>
      <c r="SF1291" s="29"/>
      <c r="SG1291" s="29"/>
      <c r="SH1291" s="29"/>
      <c r="SI1291" s="29"/>
      <c r="SJ1291" s="29"/>
      <c r="SK1291" s="29"/>
      <c r="SL1291" s="29"/>
      <c r="SM1291" s="29"/>
      <c r="SN1291" s="29"/>
      <c r="SO1291" s="29"/>
      <c r="SP1291" s="29"/>
      <c r="SQ1291" s="29"/>
      <c r="SR1291" s="29"/>
      <c r="SS1291" s="29"/>
      <c r="ST1291" s="29"/>
      <c r="SU1291" s="29"/>
      <c r="SV1291" s="29"/>
      <c r="SW1291" s="29"/>
      <c r="SX1291" s="29"/>
      <c r="SY1291" s="29"/>
      <c r="SZ1291" s="29"/>
      <c r="TA1291" s="29"/>
      <c r="TB1291" s="29"/>
      <c r="TC1291" s="29"/>
      <c r="TD1291" s="29"/>
      <c r="TE1291" s="29"/>
      <c r="TF1291" s="29"/>
      <c r="TG1291" s="29"/>
      <c r="TH1291" s="29"/>
      <c r="TI1291" s="29"/>
      <c r="TJ1291" s="29"/>
      <c r="TK1291" s="29"/>
      <c r="TL1291" s="29"/>
      <c r="TM1291" s="29"/>
      <c r="TN1291" s="29"/>
      <c r="TO1291" s="29"/>
      <c r="TP1291" s="29"/>
      <c r="TQ1291" s="29"/>
      <c r="TR1291" s="29"/>
      <c r="TS1291" s="29"/>
      <c r="TT1291" s="29"/>
      <c r="TU1291" s="29"/>
      <c r="TV1291" s="29"/>
      <c r="TW1291" s="29"/>
      <c r="TX1291" s="29"/>
      <c r="TY1291" s="29"/>
      <c r="TZ1291" s="29"/>
      <c r="UA1291" s="29"/>
      <c r="UB1291" s="29"/>
      <c r="UC1291" s="29"/>
      <c r="UD1291" s="29"/>
      <c r="UE1291" s="29"/>
      <c r="UF1291" s="29"/>
      <c r="UG1291" s="29"/>
    </row>
    <row r="1292" spans="1:553" ht="117" customHeight="1">
      <c r="A1292" s="356" t="s">
        <v>15</v>
      </c>
      <c r="B1292" s="385"/>
      <c r="C1292" s="384" t="s">
        <v>19</v>
      </c>
      <c r="D1292" s="376">
        <v>1</v>
      </c>
      <c r="E1292" s="376">
        <v>518</v>
      </c>
      <c r="F1292" s="385"/>
      <c r="G1292" s="386" t="s">
        <v>935</v>
      </c>
      <c r="H1292" s="442">
        <v>179</v>
      </c>
      <c r="I1292" s="370">
        <v>109.4</v>
      </c>
      <c r="J1292" s="368">
        <v>390000</v>
      </c>
      <c r="K1292" s="371"/>
      <c r="L1292" s="487">
        <f>ROUND(PRODUCT(I1292:K1292),0)</f>
        <v>42666000</v>
      </c>
      <c r="M1292" s="392"/>
      <c r="N1292" s="392"/>
      <c r="O1292" s="366"/>
      <c r="P1292" s="372"/>
      <c r="Q1292" s="1158" t="s">
        <v>705</v>
      </c>
      <c r="R1292" s="421" t="s">
        <v>1053</v>
      </c>
      <c r="S1292" s="308"/>
      <c r="T1292" s="308"/>
      <c r="U1292" s="308"/>
      <c r="V1292" s="308"/>
      <c r="W1292" s="308"/>
      <c r="X1292" s="308"/>
      <c r="Y1292" s="308"/>
      <c r="Z1292" s="604"/>
      <c r="AA1292" s="308"/>
      <c r="AB1292" s="308"/>
      <c r="AC1292" s="486"/>
      <c r="AD1292" s="486"/>
      <c r="AE1292" s="486"/>
      <c r="AF1292" s="486"/>
      <c r="AG1292" s="486"/>
      <c r="AH1292" s="486"/>
      <c r="AI1292" s="486"/>
      <c r="AJ1292" s="486"/>
      <c r="AK1292" s="486"/>
      <c r="AL1292" s="206"/>
      <c r="AM1292" s="29"/>
      <c r="AN1292" s="29"/>
      <c r="AO1292" s="29"/>
      <c r="AP1292" s="29"/>
      <c r="AQ1292" s="29"/>
      <c r="AR1292" s="29"/>
      <c r="AS1292" s="29"/>
      <c r="AT1292" s="29"/>
      <c r="AU1292" s="29"/>
      <c r="AV1292" s="29"/>
      <c r="AW1292" s="29"/>
      <c r="AX1292" s="29"/>
      <c r="AY1292" s="29"/>
      <c r="AZ1292" s="29"/>
      <c r="BA1292" s="29"/>
      <c r="BB1292" s="29"/>
      <c r="BC1292" s="29"/>
      <c r="BD1292" s="29"/>
      <c r="BE1292" s="29"/>
      <c r="BF1292" s="29"/>
      <c r="BG1292" s="29"/>
      <c r="BH1292" s="29"/>
      <c r="BI1292" s="29"/>
      <c r="BJ1292" s="29"/>
      <c r="BK1292" s="29"/>
      <c r="BL1292" s="29"/>
      <c r="BM1292" s="29"/>
      <c r="BN1292" s="29"/>
      <c r="BO1292" s="29"/>
      <c r="BP1292" s="29"/>
      <c r="BQ1292" s="29"/>
      <c r="BR1292" s="29"/>
      <c r="BS1292" s="29"/>
      <c r="BT1292" s="29"/>
      <c r="BU1292" s="29"/>
      <c r="BV1292" s="29"/>
      <c r="BW1292" s="29"/>
      <c r="BX1292" s="29"/>
      <c r="BY1292" s="29"/>
      <c r="BZ1292" s="29"/>
      <c r="CA1292" s="29"/>
      <c r="CB1292" s="29"/>
      <c r="CC1292" s="29"/>
      <c r="CD1292" s="29"/>
      <c r="CE1292" s="29"/>
      <c r="CF1292" s="29"/>
      <c r="CG1292" s="29"/>
      <c r="CH1292" s="29"/>
      <c r="CI1292" s="29"/>
      <c r="CJ1292" s="29"/>
      <c r="CK1292" s="29"/>
      <c r="CL1292" s="29"/>
      <c r="CM1292" s="29"/>
      <c r="CN1292" s="29"/>
      <c r="CO1292" s="29"/>
      <c r="CP1292" s="29"/>
      <c r="CQ1292" s="29"/>
      <c r="CR1292" s="29"/>
      <c r="CS1292" s="29"/>
      <c r="CT1292" s="29"/>
      <c r="CU1292" s="29"/>
      <c r="CV1292" s="29"/>
      <c r="CW1292" s="29"/>
      <c r="CX1292" s="29"/>
      <c r="CY1292" s="29"/>
      <c r="CZ1292" s="29"/>
      <c r="DA1292" s="29"/>
      <c r="DB1292" s="29"/>
      <c r="DC1292" s="29"/>
      <c r="DD1292" s="29"/>
      <c r="DE1292" s="29"/>
      <c r="DF1292" s="29"/>
      <c r="DG1292" s="29"/>
      <c r="DH1292" s="29"/>
      <c r="DI1292" s="29"/>
      <c r="DJ1292" s="29"/>
      <c r="DK1292" s="29"/>
      <c r="DL1292" s="29"/>
      <c r="DM1292" s="29"/>
      <c r="DN1292" s="29"/>
      <c r="DO1292" s="29"/>
      <c r="DP1292" s="29"/>
      <c r="DQ1292" s="29"/>
      <c r="DR1292" s="29"/>
      <c r="DS1292" s="29"/>
      <c r="DT1292" s="29"/>
      <c r="DU1292" s="29"/>
      <c r="DV1292" s="29"/>
      <c r="DW1292" s="29"/>
      <c r="DX1292" s="29"/>
      <c r="DY1292" s="29"/>
      <c r="DZ1292" s="29"/>
      <c r="EA1292" s="29"/>
      <c r="EB1292" s="29"/>
      <c r="EC1292" s="29"/>
      <c r="ED1292" s="29"/>
      <c r="EE1292" s="29"/>
      <c r="EF1292" s="29"/>
      <c r="EG1292" s="29"/>
      <c r="EH1292" s="29"/>
      <c r="EI1292" s="29"/>
      <c r="EJ1292" s="29"/>
      <c r="EK1292" s="29"/>
      <c r="EL1292" s="29"/>
      <c r="EM1292" s="29"/>
      <c r="EN1292" s="29"/>
      <c r="EO1292" s="29"/>
      <c r="EP1292" s="29"/>
      <c r="EQ1292" s="29"/>
      <c r="ER1292" s="29"/>
      <c r="ES1292" s="29"/>
      <c r="ET1292" s="29"/>
      <c r="EU1292" s="29"/>
      <c r="EV1292" s="29"/>
      <c r="EW1292" s="29"/>
      <c r="EX1292" s="29"/>
      <c r="EY1292" s="29"/>
      <c r="EZ1292" s="29"/>
      <c r="FA1292" s="29"/>
      <c r="FB1292" s="29"/>
      <c r="FC1292" s="29"/>
      <c r="FD1292" s="29"/>
      <c r="FE1292" s="29"/>
      <c r="FF1292" s="29"/>
      <c r="FG1292" s="29"/>
      <c r="FH1292" s="29"/>
      <c r="FI1292" s="29"/>
      <c r="FJ1292" s="29"/>
      <c r="FK1292" s="29"/>
      <c r="FL1292" s="29"/>
      <c r="FM1292" s="29"/>
      <c r="FN1292" s="29"/>
      <c r="FO1292" s="29"/>
      <c r="FP1292" s="29"/>
      <c r="FQ1292" s="29"/>
      <c r="FR1292" s="29"/>
      <c r="FS1292" s="29"/>
      <c r="FT1292" s="29"/>
      <c r="FU1292" s="29"/>
      <c r="FV1292" s="29"/>
      <c r="FW1292" s="29"/>
      <c r="FX1292" s="29"/>
      <c r="FY1292" s="29"/>
      <c r="FZ1292" s="29"/>
      <c r="GA1292" s="29"/>
      <c r="GB1292" s="29"/>
      <c r="GC1292" s="29"/>
      <c r="GD1292" s="29"/>
      <c r="GE1292" s="29"/>
      <c r="GF1292" s="29"/>
      <c r="GG1292" s="29"/>
      <c r="GH1292" s="29"/>
      <c r="GI1292" s="29"/>
      <c r="GJ1292" s="29"/>
      <c r="GK1292" s="29"/>
      <c r="GL1292" s="29"/>
      <c r="GM1292" s="29"/>
      <c r="GN1292" s="29"/>
      <c r="GO1292" s="29"/>
      <c r="GP1292" s="29"/>
      <c r="GQ1292" s="29"/>
      <c r="GR1292" s="29"/>
      <c r="GS1292" s="29"/>
      <c r="GT1292" s="29"/>
      <c r="GU1292" s="29"/>
      <c r="GV1292" s="29"/>
      <c r="GW1292" s="29"/>
      <c r="GX1292" s="29"/>
      <c r="GY1292" s="29"/>
      <c r="GZ1292" s="29"/>
      <c r="HA1292" s="29"/>
      <c r="HB1292" s="29"/>
      <c r="HC1292" s="29"/>
      <c r="HD1292" s="29"/>
      <c r="HE1292" s="29"/>
      <c r="HF1292" s="29"/>
      <c r="HG1292" s="29"/>
      <c r="HH1292" s="29"/>
      <c r="HI1292" s="29"/>
      <c r="HJ1292" s="29"/>
      <c r="HK1292" s="29"/>
      <c r="HL1292" s="29"/>
      <c r="HM1292" s="29"/>
      <c r="HN1292" s="29"/>
      <c r="HO1292" s="29"/>
      <c r="HP1292" s="29"/>
      <c r="HQ1292" s="29"/>
      <c r="HR1292" s="29"/>
      <c r="HS1292" s="29"/>
      <c r="HT1292" s="29"/>
      <c r="HU1292" s="29"/>
      <c r="HV1292" s="29"/>
      <c r="HW1292" s="29"/>
      <c r="HX1292" s="29"/>
      <c r="HY1292" s="29"/>
      <c r="HZ1292" s="29"/>
      <c r="IA1292" s="29"/>
      <c r="IB1292" s="29"/>
      <c r="IC1292" s="29"/>
      <c r="ID1292" s="29"/>
      <c r="IE1292" s="29"/>
      <c r="IF1292" s="29"/>
      <c r="IG1292" s="29"/>
      <c r="IH1292" s="29"/>
      <c r="II1292" s="29"/>
      <c r="IJ1292" s="29"/>
      <c r="IK1292" s="29"/>
      <c r="IL1292" s="29"/>
      <c r="IM1292" s="29"/>
      <c r="IN1292" s="29"/>
      <c r="IO1292" s="29"/>
      <c r="IP1292" s="29"/>
      <c r="IQ1292" s="29"/>
      <c r="IR1292" s="29"/>
      <c r="IS1292" s="29"/>
      <c r="IT1292" s="29"/>
      <c r="IU1292" s="29"/>
      <c r="IV1292" s="29"/>
      <c r="IW1292" s="29"/>
      <c r="IX1292" s="29"/>
      <c r="IY1292" s="29"/>
      <c r="IZ1292" s="29"/>
      <c r="JA1292" s="29"/>
      <c r="JB1292" s="29"/>
      <c r="JC1292" s="29"/>
      <c r="JD1292" s="29"/>
      <c r="JE1292" s="29"/>
      <c r="JF1292" s="29"/>
      <c r="JG1292" s="29"/>
      <c r="JH1292" s="29"/>
      <c r="JI1292" s="29"/>
      <c r="JJ1292" s="29"/>
      <c r="JK1292" s="29"/>
      <c r="JL1292" s="29"/>
      <c r="JM1292" s="29"/>
      <c r="JN1292" s="29"/>
      <c r="JO1292" s="29"/>
      <c r="JP1292" s="29"/>
      <c r="JQ1292" s="29"/>
      <c r="JR1292" s="29"/>
      <c r="JS1292" s="29"/>
      <c r="JT1292" s="29"/>
      <c r="JU1292" s="29"/>
      <c r="JV1292" s="29"/>
      <c r="JW1292" s="29"/>
      <c r="JX1292" s="29"/>
      <c r="JY1292" s="29"/>
      <c r="JZ1292" s="29"/>
      <c r="KA1292" s="29"/>
      <c r="KB1292" s="29"/>
      <c r="KC1292" s="29"/>
      <c r="KD1292" s="29"/>
      <c r="KE1292" s="29"/>
      <c r="KF1292" s="29"/>
      <c r="KG1292" s="29"/>
      <c r="KH1292" s="29"/>
      <c r="KI1292" s="29"/>
      <c r="KJ1292" s="29"/>
      <c r="KK1292" s="29"/>
      <c r="KL1292" s="29"/>
      <c r="KM1292" s="29"/>
      <c r="KN1292" s="29"/>
      <c r="KO1292" s="29"/>
      <c r="KP1292" s="29"/>
      <c r="KQ1292" s="29"/>
      <c r="KR1292" s="29"/>
      <c r="KS1292" s="29"/>
      <c r="KT1292" s="29"/>
      <c r="KU1292" s="29"/>
      <c r="KV1292" s="29"/>
      <c r="KW1292" s="29"/>
      <c r="KX1292" s="29"/>
      <c r="KY1292" s="29"/>
      <c r="KZ1292" s="29"/>
      <c r="LA1292" s="29"/>
      <c r="LB1292" s="29"/>
      <c r="LC1292" s="29"/>
      <c r="LD1292" s="29"/>
      <c r="LE1292" s="29"/>
      <c r="LF1292" s="29"/>
      <c r="LG1292" s="29"/>
      <c r="LH1292" s="29"/>
      <c r="LI1292" s="29"/>
      <c r="LJ1292" s="29"/>
      <c r="LK1292" s="29"/>
      <c r="LL1292" s="29"/>
      <c r="LM1292" s="29"/>
      <c r="LN1292" s="29"/>
      <c r="LO1292" s="29"/>
      <c r="LP1292" s="29"/>
      <c r="LQ1292" s="29"/>
      <c r="LR1292" s="29"/>
      <c r="LS1292" s="29"/>
      <c r="LT1292" s="29"/>
      <c r="LU1292" s="29"/>
      <c r="LV1292" s="29"/>
      <c r="LW1292" s="29"/>
      <c r="LX1292" s="29"/>
      <c r="LY1292" s="29"/>
      <c r="LZ1292" s="29"/>
      <c r="MA1292" s="29"/>
      <c r="MB1292" s="29"/>
      <c r="MC1292" s="29"/>
      <c r="MD1292" s="29"/>
      <c r="ME1292" s="29"/>
      <c r="MF1292" s="29"/>
      <c r="MG1292" s="29"/>
      <c r="MH1292" s="29"/>
      <c r="MI1292" s="29"/>
      <c r="MJ1292" s="29"/>
      <c r="MK1292" s="29"/>
      <c r="ML1292" s="29"/>
      <c r="MM1292" s="29"/>
      <c r="MN1292" s="29"/>
      <c r="MO1292" s="29"/>
      <c r="MP1292" s="29"/>
      <c r="MQ1292" s="29"/>
      <c r="MR1292" s="29"/>
      <c r="MS1292" s="29"/>
      <c r="MT1292" s="29"/>
      <c r="MU1292" s="29"/>
      <c r="MV1292" s="29"/>
      <c r="MW1292" s="29"/>
      <c r="MX1292" s="29"/>
      <c r="MY1292" s="29"/>
      <c r="MZ1292" s="29"/>
      <c r="NA1292" s="29"/>
      <c r="NB1292" s="29"/>
      <c r="NC1292" s="29"/>
      <c r="ND1292" s="29"/>
      <c r="NE1292" s="29"/>
      <c r="NF1292" s="29"/>
      <c r="NG1292" s="29"/>
      <c r="NH1292" s="29"/>
      <c r="NI1292" s="29"/>
      <c r="NJ1292" s="29"/>
      <c r="NK1292" s="29"/>
      <c r="NL1292" s="29"/>
      <c r="NM1292" s="29"/>
      <c r="NN1292" s="29"/>
      <c r="NO1292" s="29"/>
      <c r="NP1292" s="29"/>
      <c r="NQ1292" s="29"/>
      <c r="NR1292" s="29"/>
      <c r="NS1292" s="29"/>
      <c r="NT1292" s="29"/>
      <c r="NU1292" s="29"/>
      <c r="NV1292" s="29"/>
      <c r="NW1292" s="29"/>
      <c r="NX1292" s="29"/>
      <c r="NY1292" s="29"/>
      <c r="NZ1292" s="29"/>
      <c r="OA1292" s="29"/>
      <c r="OB1292" s="29"/>
      <c r="OC1292" s="29"/>
      <c r="OD1292" s="29"/>
      <c r="OE1292" s="29"/>
      <c r="OF1292" s="29"/>
      <c r="OG1292" s="29"/>
      <c r="OH1292" s="29"/>
      <c r="OI1292" s="29"/>
      <c r="OJ1292" s="29"/>
      <c r="OK1292" s="29"/>
      <c r="OL1292" s="29"/>
      <c r="OM1292" s="29"/>
      <c r="ON1292" s="29"/>
      <c r="OO1292" s="29"/>
      <c r="OP1292" s="29"/>
      <c r="OQ1292" s="29"/>
      <c r="OR1292" s="29"/>
      <c r="OS1292" s="29"/>
      <c r="OT1292" s="29"/>
      <c r="OU1292" s="29"/>
      <c r="OV1292" s="29"/>
      <c r="OW1292" s="29"/>
      <c r="OX1292" s="29"/>
      <c r="OY1292" s="29"/>
      <c r="OZ1292" s="29"/>
      <c r="PA1292" s="29"/>
      <c r="PB1292" s="29"/>
      <c r="PC1292" s="29"/>
      <c r="PD1292" s="29"/>
      <c r="PE1292" s="29"/>
      <c r="PF1292" s="29"/>
      <c r="PG1292" s="29"/>
      <c r="PH1292" s="29"/>
      <c r="PI1292" s="29"/>
      <c r="PJ1292" s="29"/>
      <c r="PK1292" s="29"/>
      <c r="PL1292" s="29"/>
      <c r="PM1292" s="29"/>
      <c r="PN1292" s="29"/>
      <c r="PO1292" s="29"/>
      <c r="PP1292" s="29"/>
      <c r="PQ1292" s="29"/>
      <c r="PR1292" s="29"/>
      <c r="PS1292" s="29"/>
      <c r="PT1292" s="29"/>
      <c r="PU1292" s="29"/>
      <c r="PV1292" s="29"/>
      <c r="PW1292" s="29"/>
      <c r="PX1292" s="29"/>
      <c r="PY1292" s="29"/>
      <c r="PZ1292" s="29"/>
      <c r="QA1292" s="29"/>
      <c r="QB1292" s="29"/>
      <c r="QC1292" s="29"/>
      <c r="QD1292" s="29"/>
      <c r="QE1292" s="29"/>
      <c r="QF1292" s="29"/>
      <c r="QG1292" s="29"/>
      <c r="QH1292" s="29"/>
      <c r="QI1292" s="29"/>
      <c r="QJ1292" s="29"/>
      <c r="QK1292" s="29"/>
      <c r="QL1292" s="29"/>
      <c r="QM1292" s="29"/>
      <c r="QN1292" s="29"/>
      <c r="QO1292" s="29"/>
      <c r="QP1292" s="29"/>
      <c r="QQ1292" s="29"/>
      <c r="QR1292" s="29"/>
      <c r="QS1292" s="29"/>
      <c r="QT1292" s="29"/>
      <c r="QU1292" s="29"/>
      <c r="QV1292" s="29"/>
      <c r="QW1292" s="29"/>
      <c r="QX1292" s="29"/>
      <c r="QY1292" s="29"/>
      <c r="QZ1292" s="29"/>
      <c r="RA1292" s="29"/>
      <c r="RB1292" s="29"/>
      <c r="RC1292" s="29"/>
      <c r="RD1292" s="29"/>
      <c r="RE1292" s="29"/>
      <c r="RF1292" s="29"/>
      <c r="RG1292" s="29"/>
      <c r="RH1292" s="29"/>
      <c r="RI1292" s="29"/>
      <c r="RJ1292" s="29"/>
      <c r="RK1292" s="29"/>
      <c r="RL1292" s="29"/>
      <c r="RM1292" s="29"/>
      <c r="RN1292" s="29"/>
      <c r="RO1292" s="29"/>
      <c r="RP1292" s="29"/>
      <c r="RQ1292" s="29"/>
      <c r="RR1292" s="29"/>
      <c r="RS1292" s="29"/>
      <c r="RT1292" s="29"/>
      <c r="RU1292" s="29"/>
      <c r="RV1292" s="29"/>
      <c r="RW1292" s="29"/>
      <c r="RX1292" s="29"/>
      <c r="RY1292" s="29"/>
      <c r="RZ1292" s="29"/>
      <c r="SA1292" s="29"/>
      <c r="SB1292" s="29"/>
      <c r="SC1292" s="29"/>
      <c r="SD1292" s="29"/>
      <c r="SE1292" s="29"/>
      <c r="SF1292" s="29"/>
      <c r="SG1292" s="29"/>
      <c r="SH1292" s="29"/>
      <c r="SI1292" s="29"/>
      <c r="SJ1292" s="29"/>
      <c r="SK1292" s="29"/>
      <c r="SL1292" s="29"/>
      <c r="SM1292" s="29"/>
      <c r="SN1292" s="29"/>
      <c r="SO1292" s="29"/>
      <c r="SP1292" s="29"/>
      <c r="SQ1292" s="29"/>
      <c r="SR1292" s="29"/>
      <c r="SS1292" s="29"/>
      <c r="ST1292" s="29"/>
      <c r="SU1292" s="29"/>
      <c r="SV1292" s="29"/>
      <c r="SW1292" s="29"/>
      <c r="SX1292" s="29"/>
      <c r="SY1292" s="29"/>
      <c r="SZ1292" s="29"/>
      <c r="TA1292" s="29"/>
      <c r="TB1292" s="29"/>
      <c r="TC1292" s="29"/>
      <c r="TD1292" s="29"/>
      <c r="TE1292" s="29"/>
      <c r="TF1292" s="29"/>
      <c r="TG1292" s="29"/>
      <c r="TH1292" s="29"/>
      <c r="TI1292" s="29"/>
      <c r="TJ1292" s="29"/>
      <c r="TK1292" s="29"/>
      <c r="TL1292" s="29"/>
      <c r="TM1292" s="29"/>
      <c r="TN1292" s="29"/>
      <c r="TO1292" s="29"/>
      <c r="TP1292" s="29"/>
      <c r="TQ1292" s="29"/>
      <c r="TR1292" s="29"/>
      <c r="TS1292" s="29"/>
      <c r="TT1292" s="29"/>
      <c r="TU1292" s="29"/>
      <c r="TV1292" s="29"/>
      <c r="TW1292" s="29"/>
      <c r="TX1292" s="29"/>
      <c r="TY1292" s="29"/>
      <c r="TZ1292" s="29"/>
      <c r="UA1292" s="29"/>
      <c r="UB1292" s="29"/>
      <c r="UC1292" s="29"/>
      <c r="UD1292" s="29"/>
      <c r="UE1292" s="29"/>
      <c r="UF1292" s="29"/>
      <c r="UG1292" s="29"/>
    </row>
    <row r="1293" spans="1:553" ht="29.5" customHeight="1">
      <c r="A1293" s="356" t="s">
        <v>27</v>
      </c>
      <c r="B1293" s="356"/>
      <c r="C1293" s="1413" t="s">
        <v>28</v>
      </c>
      <c r="D1293" s="1389"/>
      <c r="E1293" s="1389"/>
      <c r="F1293" s="1390"/>
      <c r="G1293" s="366"/>
      <c r="H1293" s="370"/>
      <c r="I1293" s="359"/>
      <c r="J1293" s="368"/>
      <c r="K1293" s="371"/>
      <c r="L1293" s="645">
        <f>SUM(L1295:L1298)</f>
        <v>24689127</v>
      </c>
      <c r="M1293" s="356"/>
      <c r="N1293" s="356"/>
      <c r="O1293" s="356"/>
      <c r="P1293" s="356">
        <f>L1293</f>
        <v>24689127</v>
      </c>
      <c r="Q1293" s="1138"/>
      <c r="R1293" s="1226"/>
      <c r="S1293" s="308"/>
      <c r="T1293" s="308"/>
      <c r="U1293" s="308"/>
      <c r="V1293" s="308"/>
      <c r="W1293" s="308"/>
      <c r="X1293" s="308"/>
      <c r="Y1293" s="308"/>
      <c r="Z1293" s="604"/>
      <c r="AA1293" s="308"/>
      <c r="AB1293" s="308"/>
      <c r="AC1293" s="486"/>
      <c r="AD1293" s="486"/>
      <c r="AE1293" s="486"/>
      <c r="AF1293" s="486"/>
      <c r="AG1293" s="486"/>
      <c r="AH1293" s="486"/>
      <c r="AI1293" s="486"/>
      <c r="AJ1293" s="486"/>
      <c r="AK1293" s="486"/>
      <c r="AL1293" s="206"/>
      <c r="AM1293" s="29"/>
      <c r="AN1293" s="29"/>
      <c r="AO1293" s="29"/>
      <c r="AP1293" s="29"/>
      <c r="AQ1293" s="29"/>
      <c r="AR1293" s="29"/>
      <c r="AS1293" s="29"/>
      <c r="AT1293" s="29"/>
      <c r="AU1293" s="29"/>
      <c r="AV1293" s="29"/>
      <c r="AW1293" s="29"/>
      <c r="AX1293" s="29"/>
      <c r="AY1293" s="29"/>
      <c r="AZ1293" s="29"/>
      <c r="BA1293" s="29"/>
      <c r="BB1293" s="29"/>
      <c r="BC1293" s="29"/>
      <c r="BD1293" s="29"/>
      <c r="BE1293" s="29"/>
      <c r="BF1293" s="29"/>
      <c r="BG1293" s="29"/>
      <c r="BH1293" s="29"/>
      <c r="BI1293" s="29"/>
      <c r="BJ1293" s="29"/>
      <c r="BK1293" s="29"/>
      <c r="BL1293" s="29"/>
      <c r="BM1293" s="29"/>
      <c r="BN1293" s="29"/>
      <c r="BO1293" s="29"/>
      <c r="BP1293" s="29"/>
      <c r="BQ1293" s="29"/>
      <c r="BR1293" s="29"/>
      <c r="BS1293" s="29"/>
      <c r="BT1293" s="29"/>
      <c r="BU1293" s="29"/>
      <c r="BV1293" s="29"/>
      <c r="BW1293" s="29"/>
      <c r="BX1293" s="29"/>
      <c r="BY1293" s="29"/>
      <c r="BZ1293" s="29"/>
      <c r="CA1293" s="29"/>
      <c r="CB1293" s="29"/>
      <c r="CC1293" s="29"/>
      <c r="CD1293" s="29"/>
      <c r="CE1293" s="29"/>
      <c r="CF1293" s="29"/>
      <c r="CG1293" s="29"/>
      <c r="CH1293" s="29"/>
      <c r="CI1293" s="29"/>
      <c r="CJ1293" s="29"/>
      <c r="CK1293" s="29"/>
      <c r="CL1293" s="29"/>
      <c r="CM1293" s="29"/>
      <c r="CN1293" s="29"/>
      <c r="CO1293" s="29"/>
      <c r="CP1293" s="29"/>
      <c r="CQ1293" s="29"/>
      <c r="CR1293" s="29"/>
      <c r="CS1293" s="29"/>
      <c r="CT1293" s="29"/>
      <c r="CU1293" s="29"/>
      <c r="CV1293" s="29"/>
      <c r="CW1293" s="29"/>
      <c r="CX1293" s="29"/>
      <c r="CY1293" s="29"/>
      <c r="CZ1293" s="29"/>
      <c r="DA1293" s="29"/>
      <c r="DB1293" s="29"/>
      <c r="DC1293" s="29"/>
      <c r="DD1293" s="29"/>
      <c r="DE1293" s="29"/>
      <c r="DF1293" s="29"/>
      <c r="DG1293" s="29"/>
      <c r="DH1293" s="29"/>
      <c r="DI1293" s="29"/>
      <c r="DJ1293" s="29"/>
      <c r="DK1293" s="29"/>
      <c r="DL1293" s="29"/>
      <c r="DM1293" s="29"/>
      <c r="DN1293" s="29"/>
      <c r="DO1293" s="29"/>
      <c r="DP1293" s="29"/>
      <c r="DQ1293" s="29"/>
      <c r="DR1293" s="29"/>
      <c r="DS1293" s="29"/>
      <c r="DT1293" s="29"/>
      <c r="DU1293" s="29"/>
      <c r="DV1293" s="29"/>
      <c r="DW1293" s="29"/>
      <c r="DX1293" s="29"/>
      <c r="DY1293" s="29"/>
      <c r="DZ1293" s="29"/>
      <c r="EA1293" s="29"/>
      <c r="EB1293" s="29"/>
      <c r="EC1293" s="29"/>
      <c r="ED1293" s="29"/>
      <c r="EE1293" s="29"/>
      <c r="EF1293" s="29"/>
      <c r="EG1293" s="29"/>
      <c r="EH1293" s="29"/>
      <c r="EI1293" s="29"/>
      <c r="EJ1293" s="29"/>
      <c r="EK1293" s="29"/>
      <c r="EL1293" s="29"/>
      <c r="EM1293" s="29"/>
      <c r="EN1293" s="29"/>
      <c r="EO1293" s="29"/>
      <c r="EP1293" s="29"/>
      <c r="EQ1293" s="29"/>
      <c r="ER1293" s="29"/>
      <c r="ES1293" s="29"/>
      <c r="ET1293" s="29"/>
      <c r="EU1293" s="29"/>
      <c r="EV1293" s="29"/>
      <c r="EW1293" s="29"/>
      <c r="EX1293" s="29"/>
      <c r="EY1293" s="29"/>
      <c r="EZ1293" s="29"/>
      <c r="FA1293" s="29"/>
      <c r="FB1293" s="29"/>
      <c r="FC1293" s="29"/>
      <c r="FD1293" s="29"/>
      <c r="FE1293" s="29"/>
      <c r="FF1293" s="29"/>
      <c r="FG1293" s="29"/>
      <c r="FH1293" s="29"/>
      <c r="FI1293" s="29"/>
      <c r="FJ1293" s="29"/>
      <c r="FK1293" s="29"/>
      <c r="FL1293" s="29"/>
      <c r="FM1293" s="29"/>
      <c r="FN1293" s="29"/>
      <c r="FO1293" s="29"/>
      <c r="FP1293" s="29"/>
      <c r="FQ1293" s="29"/>
      <c r="FR1293" s="29"/>
      <c r="FS1293" s="29"/>
      <c r="FT1293" s="29"/>
      <c r="FU1293" s="29"/>
      <c r="FV1293" s="29"/>
      <c r="FW1293" s="29"/>
      <c r="FX1293" s="29"/>
      <c r="FY1293" s="29"/>
      <c r="FZ1293" s="29"/>
      <c r="GA1293" s="29"/>
      <c r="GB1293" s="29"/>
      <c r="GC1293" s="29"/>
      <c r="GD1293" s="29"/>
      <c r="GE1293" s="29"/>
      <c r="GF1293" s="29"/>
      <c r="GG1293" s="29"/>
      <c r="GH1293" s="29"/>
      <c r="GI1293" s="29"/>
      <c r="GJ1293" s="29"/>
      <c r="GK1293" s="29"/>
      <c r="GL1293" s="29"/>
      <c r="GM1293" s="29"/>
      <c r="GN1293" s="29"/>
      <c r="GO1293" s="29"/>
      <c r="GP1293" s="29"/>
      <c r="GQ1293" s="29"/>
      <c r="GR1293" s="29"/>
      <c r="GS1293" s="29"/>
      <c r="GT1293" s="29"/>
      <c r="GU1293" s="29"/>
      <c r="GV1293" s="29"/>
      <c r="GW1293" s="29"/>
      <c r="GX1293" s="29"/>
      <c r="GY1293" s="29"/>
      <c r="GZ1293" s="29"/>
      <c r="HA1293" s="29"/>
      <c r="HB1293" s="29"/>
      <c r="HC1293" s="29"/>
      <c r="HD1293" s="29"/>
      <c r="HE1293" s="29"/>
      <c r="HF1293" s="29"/>
      <c r="HG1293" s="29"/>
      <c r="HH1293" s="29"/>
      <c r="HI1293" s="29"/>
      <c r="HJ1293" s="29"/>
      <c r="HK1293" s="29"/>
      <c r="HL1293" s="29"/>
      <c r="HM1293" s="29"/>
      <c r="HN1293" s="29"/>
      <c r="HO1293" s="29"/>
      <c r="HP1293" s="29"/>
      <c r="HQ1293" s="29"/>
      <c r="HR1293" s="29"/>
      <c r="HS1293" s="29"/>
      <c r="HT1293" s="29"/>
      <c r="HU1293" s="29"/>
      <c r="HV1293" s="29"/>
      <c r="HW1293" s="29"/>
      <c r="HX1293" s="29"/>
      <c r="HY1293" s="29"/>
      <c r="HZ1293" s="29"/>
      <c r="IA1293" s="29"/>
      <c r="IB1293" s="29"/>
      <c r="IC1293" s="29"/>
      <c r="ID1293" s="29"/>
      <c r="IE1293" s="29"/>
      <c r="IF1293" s="29"/>
      <c r="IG1293" s="29"/>
      <c r="IH1293" s="29"/>
      <c r="II1293" s="29"/>
      <c r="IJ1293" s="29"/>
      <c r="IK1293" s="29"/>
      <c r="IL1293" s="29"/>
      <c r="IM1293" s="29"/>
      <c r="IN1293" s="29"/>
      <c r="IO1293" s="29"/>
      <c r="IP1293" s="29"/>
      <c r="IQ1293" s="29"/>
      <c r="IR1293" s="29"/>
      <c r="IS1293" s="29"/>
      <c r="IT1293" s="29"/>
      <c r="IU1293" s="29"/>
      <c r="IV1293" s="29"/>
      <c r="IW1293" s="29"/>
      <c r="IX1293" s="29"/>
      <c r="IY1293" s="29"/>
      <c r="IZ1293" s="29"/>
      <c r="JA1293" s="29"/>
      <c r="JB1293" s="29"/>
      <c r="JC1293" s="29"/>
      <c r="JD1293" s="29"/>
      <c r="JE1293" s="29"/>
      <c r="JF1293" s="29"/>
      <c r="JG1293" s="29"/>
      <c r="JH1293" s="29"/>
      <c r="JI1293" s="29"/>
      <c r="JJ1293" s="29"/>
      <c r="JK1293" s="29"/>
      <c r="JL1293" s="29"/>
      <c r="JM1293" s="29"/>
      <c r="JN1293" s="29"/>
      <c r="JO1293" s="29"/>
      <c r="JP1293" s="29"/>
      <c r="JQ1293" s="29"/>
      <c r="JR1293" s="29"/>
      <c r="JS1293" s="29"/>
      <c r="JT1293" s="29"/>
      <c r="JU1293" s="29"/>
      <c r="JV1293" s="29"/>
      <c r="JW1293" s="29"/>
      <c r="JX1293" s="29"/>
      <c r="JY1293" s="29"/>
      <c r="JZ1293" s="29"/>
      <c r="KA1293" s="29"/>
      <c r="KB1293" s="29"/>
      <c r="KC1293" s="29"/>
      <c r="KD1293" s="29"/>
      <c r="KE1293" s="29"/>
      <c r="KF1293" s="29"/>
      <c r="KG1293" s="29"/>
      <c r="KH1293" s="29"/>
      <c r="KI1293" s="29"/>
      <c r="KJ1293" s="29"/>
      <c r="KK1293" s="29"/>
      <c r="KL1293" s="29"/>
      <c r="KM1293" s="29"/>
      <c r="KN1293" s="29"/>
      <c r="KO1293" s="29"/>
      <c r="KP1293" s="29"/>
      <c r="KQ1293" s="29"/>
      <c r="KR1293" s="29"/>
      <c r="KS1293" s="29"/>
      <c r="KT1293" s="29"/>
      <c r="KU1293" s="29"/>
      <c r="KV1293" s="29"/>
      <c r="KW1293" s="29"/>
      <c r="KX1293" s="29"/>
      <c r="KY1293" s="29"/>
      <c r="KZ1293" s="29"/>
      <c r="LA1293" s="29"/>
      <c r="LB1293" s="29"/>
      <c r="LC1293" s="29"/>
      <c r="LD1293" s="29"/>
      <c r="LE1293" s="29"/>
      <c r="LF1293" s="29"/>
      <c r="LG1293" s="29"/>
      <c r="LH1293" s="29"/>
      <c r="LI1293" s="29"/>
      <c r="LJ1293" s="29"/>
      <c r="LK1293" s="29"/>
      <c r="LL1293" s="29"/>
      <c r="LM1293" s="29"/>
      <c r="LN1293" s="29"/>
      <c r="LO1293" s="29"/>
      <c r="LP1293" s="29"/>
      <c r="LQ1293" s="29"/>
      <c r="LR1293" s="29"/>
      <c r="LS1293" s="29"/>
      <c r="LT1293" s="29"/>
      <c r="LU1293" s="29"/>
      <c r="LV1293" s="29"/>
      <c r="LW1293" s="29"/>
      <c r="LX1293" s="29"/>
      <c r="LY1293" s="29"/>
      <c r="LZ1293" s="29"/>
      <c r="MA1293" s="29"/>
      <c r="MB1293" s="29"/>
      <c r="MC1293" s="29"/>
      <c r="MD1293" s="29"/>
      <c r="ME1293" s="29"/>
      <c r="MF1293" s="29"/>
      <c r="MG1293" s="29"/>
      <c r="MH1293" s="29"/>
      <c r="MI1293" s="29"/>
      <c r="MJ1293" s="29"/>
      <c r="MK1293" s="29"/>
      <c r="ML1293" s="29"/>
      <c r="MM1293" s="29"/>
      <c r="MN1293" s="29"/>
      <c r="MO1293" s="29"/>
      <c r="MP1293" s="29"/>
      <c r="MQ1293" s="29"/>
      <c r="MR1293" s="29"/>
      <c r="MS1293" s="29"/>
      <c r="MT1293" s="29"/>
      <c r="MU1293" s="29"/>
      <c r="MV1293" s="29"/>
      <c r="MW1293" s="29"/>
      <c r="MX1293" s="29"/>
      <c r="MY1293" s="29"/>
      <c r="MZ1293" s="29"/>
      <c r="NA1293" s="29"/>
      <c r="NB1293" s="29"/>
      <c r="NC1293" s="29"/>
      <c r="ND1293" s="29"/>
      <c r="NE1293" s="29"/>
      <c r="NF1293" s="29"/>
      <c r="NG1293" s="29"/>
      <c r="NH1293" s="29"/>
      <c r="NI1293" s="29"/>
      <c r="NJ1293" s="29"/>
      <c r="NK1293" s="29"/>
      <c r="NL1293" s="29"/>
      <c r="NM1293" s="29"/>
      <c r="NN1293" s="29"/>
      <c r="NO1293" s="29"/>
      <c r="NP1293" s="29"/>
      <c r="NQ1293" s="29"/>
      <c r="NR1293" s="29"/>
      <c r="NS1293" s="29"/>
      <c r="NT1293" s="29"/>
      <c r="NU1293" s="29"/>
      <c r="NV1293" s="29"/>
      <c r="NW1293" s="29"/>
      <c r="NX1293" s="29"/>
      <c r="NY1293" s="29"/>
      <c r="NZ1293" s="29"/>
      <c r="OA1293" s="29"/>
      <c r="OB1293" s="29"/>
      <c r="OC1293" s="29"/>
      <c r="OD1293" s="29"/>
      <c r="OE1293" s="29"/>
      <c r="OF1293" s="29"/>
      <c r="OG1293" s="29"/>
      <c r="OH1293" s="29"/>
      <c r="OI1293" s="29"/>
      <c r="OJ1293" s="29"/>
      <c r="OK1293" s="29"/>
      <c r="OL1293" s="29"/>
      <c r="OM1293" s="29"/>
      <c r="ON1293" s="29"/>
      <c r="OO1293" s="29"/>
      <c r="OP1293" s="29"/>
      <c r="OQ1293" s="29"/>
      <c r="OR1293" s="29"/>
      <c r="OS1293" s="29"/>
      <c r="OT1293" s="29"/>
      <c r="OU1293" s="29"/>
      <c r="OV1293" s="29"/>
      <c r="OW1293" s="29"/>
      <c r="OX1293" s="29"/>
      <c r="OY1293" s="29"/>
      <c r="OZ1293" s="29"/>
      <c r="PA1293" s="29"/>
      <c r="PB1293" s="29"/>
      <c r="PC1293" s="29"/>
      <c r="PD1293" s="29"/>
      <c r="PE1293" s="29"/>
      <c r="PF1293" s="29"/>
      <c r="PG1293" s="29"/>
      <c r="PH1293" s="29"/>
      <c r="PI1293" s="29"/>
      <c r="PJ1293" s="29"/>
      <c r="PK1293" s="29"/>
      <c r="PL1293" s="29"/>
      <c r="PM1293" s="29"/>
      <c r="PN1293" s="29"/>
      <c r="PO1293" s="29"/>
      <c r="PP1293" s="29"/>
      <c r="PQ1293" s="29"/>
      <c r="PR1293" s="29"/>
      <c r="PS1293" s="29"/>
      <c r="PT1293" s="29"/>
      <c r="PU1293" s="29"/>
      <c r="PV1293" s="29"/>
      <c r="PW1293" s="29"/>
      <c r="PX1293" s="29"/>
      <c r="PY1293" s="29"/>
      <c r="PZ1293" s="29"/>
      <c r="QA1293" s="29"/>
      <c r="QB1293" s="29"/>
      <c r="QC1293" s="29"/>
      <c r="QD1293" s="29"/>
      <c r="QE1293" s="29"/>
      <c r="QF1293" s="29"/>
      <c r="QG1293" s="29"/>
      <c r="QH1293" s="29"/>
      <c r="QI1293" s="29"/>
      <c r="QJ1293" s="29"/>
      <c r="QK1293" s="29"/>
      <c r="QL1293" s="29"/>
      <c r="QM1293" s="29"/>
      <c r="QN1293" s="29"/>
      <c r="QO1293" s="29"/>
      <c r="QP1293" s="29"/>
      <c r="QQ1293" s="29"/>
      <c r="QR1293" s="29"/>
      <c r="QS1293" s="29"/>
      <c r="QT1293" s="29"/>
      <c r="QU1293" s="29"/>
      <c r="QV1293" s="29"/>
      <c r="QW1293" s="29"/>
      <c r="QX1293" s="29"/>
      <c r="QY1293" s="29"/>
      <c r="QZ1293" s="29"/>
      <c r="RA1293" s="29"/>
      <c r="RB1293" s="29"/>
      <c r="RC1293" s="29"/>
      <c r="RD1293" s="29"/>
      <c r="RE1293" s="29"/>
      <c r="RF1293" s="29"/>
      <c r="RG1293" s="29"/>
      <c r="RH1293" s="29"/>
      <c r="RI1293" s="29"/>
      <c r="RJ1293" s="29"/>
      <c r="RK1293" s="29"/>
      <c r="RL1293" s="29"/>
      <c r="RM1293" s="29"/>
      <c r="RN1293" s="29"/>
      <c r="RO1293" s="29"/>
      <c r="RP1293" s="29"/>
      <c r="RQ1293" s="29"/>
      <c r="RR1293" s="29"/>
      <c r="RS1293" s="29"/>
      <c r="RT1293" s="29"/>
      <c r="RU1293" s="29"/>
      <c r="RV1293" s="29"/>
      <c r="RW1293" s="29"/>
      <c r="RX1293" s="29"/>
      <c r="RY1293" s="29"/>
      <c r="RZ1293" s="29"/>
      <c r="SA1293" s="29"/>
      <c r="SB1293" s="29"/>
      <c r="SC1293" s="29"/>
      <c r="SD1293" s="29"/>
      <c r="SE1293" s="29"/>
      <c r="SF1293" s="29"/>
      <c r="SG1293" s="29"/>
      <c r="SH1293" s="29"/>
      <c r="SI1293" s="29"/>
      <c r="SJ1293" s="29"/>
      <c r="SK1293" s="29"/>
      <c r="SL1293" s="29"/>
      <c r="SM1293" s="29"/>
      <c r="SN1293" s="29"/>
      <c r="SO1293" s="29"/>
      <c r="SP1293" s="29"/>
      <c r="SQ1293" s="29"/>
      <c r="SR1293" s="29"/>
      <c r="SS1293" s="29"/>
      <c r="ST1293" s="29"/>
      <c r="SU1293" s="29"/>
      <c r="SV1293" s="29"/>
      <c r="SW1293" s="29"/>
      <c r="SX1293" s="29"/>
      <c r="SY1293" s="29"/>
      <c r="SZ1293" s="29"/>
      <c r="TA1293" s="29"/>
      <c r="TB1293" s="29"/>
      <c r="TC1293" s="29"/>
      <c r="TD1293" s="29"/>
      <c r="TE1293" s="29"/>
      <c r="TF1293" s="29"/>
      <c r="TG1293" s="29"/>
      <c r="TH1293" s="29"/>
      <c r="TI1293" s="29"/>
      <c r="TJ1293" s="29"/>
      <c r="TK1293" s="29"/>
      <c r="TL1293" s="29"/>
      <c r="TM1293" s="29"/>
      <c r="TN1293" s="29"/>
      <c r="TO1293" s="29"/>
      <c r="TP1293" s="29"/>
      <c r="TQ1293" s="29"/>
      <c r="TR1293" s="29"/>
      <c r="TS1293" s="29"/>
      <c r="TT1293" s="29"/>
      <c r="TU1293" s="29"/>
      <c r="TV1293" s="29"/>
      <c r="TW1293" s="29"/>
      <c r="TX1293" s="29"/>
      <c r="TY1293" s="29"/>
      <c r="TZ1293" s="29"/>
      <c r="UA1293" s="29"/>
      <c r="UB1293" s="29"/>
      <c r="UC1293" s="29"/>
      <c r="UD1293" s="29"/>
      <c r="UE1293" s="29"/>
      <c r="UF1293" s="29"/>
      <c r="UG1293" s="29"/>
    </row>
    <row r="1294" spans="1:553" ht="29.5" customHeight="1">
      <c r="A1294" s="356"/>
      <c r="B1294" s="356"/>
      <c r="C1294" s="1394" t="s">
        <v>1048</v>
      </c>
      <c r="D1294" s="1395"/>
      <c r="E1294" s="1395"/>
      <c r="F1294" s="1396"/>
      <c r="G1294" s="366"/>
      <c r="H1294" s="370"/>
      <c r="I1294" s="359"/>
      <c r="J1294" s="368"/>
      <c r="K1294" s="371"/>
      <c r="L1294" s="645"/>
      <c r="M1294" s="356"/>
      <c r="N1294" s="356"/>
      <c r="O1294" s="356"/>
      <c r="P1294" s="356"/>
      <c r="Q1294" s="610"/>
      <c r="R1294" s="1226"/>
      <c r="S1294" s="308"/>
      <c r="T1294" s="308"/>
      <c r="U1294" s="308"/>
      <c r="V1294" s="308"/>
      <c r="W1294" s="308"/>
      <c r="X1294" s="308"/>
      <c r="Y1294" s="308"/>
      <c r="Z1294" s="604"/>
      <c r="AA1294" s="308"/>
      <c r="AB1294" s="308"/>
      <c r="AC1294" s="486"/>
      <c r="AD1294" s="486"/>
      <c r="AE1294" s="486"/>
      <c r="AF1294" s="486"/>
      <c r="AG1294" s="486"/>
      <c r="AH1294" s="486"/>
      <c r="AI1294" s="486"/>
      <c r="AJ1294" s="486"/>
      <c r="AK1294" s="486"/>
      <c r="AL1294" s="206"/>
      <c r="AM1294" s="29"/>
      <c r="AN1294" s="29"/>
      <c r="AO1294" s="29"/>
      <c r="AP1294" s="29"/>
      <c r="AQ1294" s="29"/>
      <c r="AR1294" s="29"/>
      <c r="AS1294" s="29"/>
      <c r="AT1294" s="29"/>
      <c r="AU1294" s="29"/>
      <c r="AV1294" s="29"/>
      <c r="AW1294" s="29"/>
      <c r="AX1294" s="29"/>
      <c r="AY1294" s="29"/>
      <c r="AZ1294" s="29"/>
      <c r="BA1294" s="29"/>
      <c r="BB1294" s="29"/>
      <c r="BC1294" s="29"/>
      <c r="BD1294" s="29"/>
      <c r="BE1294" s="29"/>
      <c r="BF1294" s="29"/>
      <c r="BG1294" s="29"/>
      <c r="BH1294" s="29"/>
      <c r="BI1294" s="29"/>
      <c r="BJ1294" s="29"/>
      <c r="BK1294" s="29"/>
      <c r="BL1294" s="29"/>
      <c r="BM1294" s="29"/>
      <c r="BN1294" s="29"/>
      <c r="BO1294" s="29"/>
      <c r="BP1294" s="29"/>
      <c r="BQ1294" s="29"/>
      <c r="BR1294" s="29"/>
      <c r="BS1294" s="29"/>
      <c r="BT1294" s="29"/>
      <c r="BU1294" s="29"/>
      <c r="BV1294" s="29"/>
      <c r="BW1294" s="29"/>
      <c r="BX1294" s="29"/>
      <c r="BY1294" s="29"/>
      <c r="BZ1294" s="29"/>
      <c r="CA1294" s="29"/>
      <c r="CB1294" s="29"/>
      <c r="CC1294" s="29"/>
      <c r="CD1294" s="29"/>
      <c r="CE1294" s="29"/>
      <c r="CF1294" s="29"/>
      <c r="CG1294" s="29"/>
      <c r="CH1294" s="29"/>
      <c r="CI1294" s="29"/>
      <c r="CJ1294" s="29"/>
      <c r="CK1294" s="29"/>
      <c r="CL1294" s="29"/>
      <c r="CM1294" s="29"/>
      <c r="CN1294" s="29"/>
      <c r="CO1294" s="29"/>
      <c r="CP1294" s="29"/>
      <c r="CQ1294" s="29"/>
      <c r="CR1294" s="29"/>
      <c r="CS1294" s="29"/>
      <c r="CT1294" s="29"/>
      <c r="CU1294" s="29"/>
      <c r="CV1294" s="29"/>
      <c r="CW1294" s="29"/>
      <c r="CX1294" s="29"/>
      <c r="CY1294" s="29"/>
      <c r="CZ1294" s="29"/>
      <c r="DA1294" s="29"/>
      <c r="DB1294" s="29"/>
      <c r="DC1294" s="29"/>
      <c r="DD1294" s="29"/>
      <c r="DE1294" s="29"/>
      <c r="DF1294" s="29"/>
      <c r="DG1294" s="29"/>
      <c r="DH1294" s="29"/>
      <c r="DI1294" s="29"/>
      <c r="DJ1294" s="29"/>
      <c r="DK1294" s="29"/>
      <c r="DL1294" s="29"/>
      <c r="DM1294" s="29"/>
      <c r="DN1294" s="29"/>
      <c r="DO1294" s="29"/>
      <c r="DP1294" s="29"/>
      <c r="DQ1294" s="29"/>
      <c r="DR1294" s="29"/>
      <c r="DS1294" s="29"/>
      <c r="DT1294" s="29"/>
      <c r="DU1294" s="29"/>
      <c r="DV1294" s="29"/>
      <c r="DW1294" s="29"/>
      <c r="DX1294" s="29"/>
      <c r="DY1294" s="29"/>
      <c r="DZ1294" s="29"/>
      <c r="EA1294" s="29"/>
      <c r="EB1294" s="29"/>
      <c r="EC1294" s="29"/>
      <c r="ED1294" s="29"/>
      <c r="EE1294" s="29"/>
      <c r="EF1294" s="29"/>
      <c r="EG1294" s="29"/>
      <c r="EH1294" s="29"/>
      <c r="EI1294" s="29"/>
      <c r="EJ1294" s="29"/>
      <c r="EK1294" s="29"/>
      <c r="EL1294" s="29"/>
      <c r="EM1294" s="29"/>
      <c r="EN1294" s="29"/>
      <c r="EO1294" s="29"/>
      <c r="EP1294" s="29"/>
      <c r="EQ1294" s="29"/>
      <c r="ER1294" s="29"/>
      <c r="ES1294" s="29"/>
      <c r="ET1294" s="29"/>
      <c r="EU1294" s="29"/>
      <c r="EV1294" s="29"/>
      <c r="EW1294" s="29"/>
      <c r="EX1294" s="29"/>
      <c r="EY1294" s="29"/>
      <c r="EZ1294" s="29"/>
      <c r="FA1294" s="29"/>
      <c r="FB1294" s="29"/>
      <c r="FC1294" s="29"/>
      <c r="FD1294" s="29"/>
      <c r="FE1294" s="29"/>
      <c r="FF1294" s="29"/>
      <c r="FG1294" s="29"/>
      <c r="FH1294" s="29"/>
      <c r="FI1294" s="29"/>
      <c r="FJ1294" s="29"/>
      <c r="FK1294" s="29"/>
      <c r="FL1294" s="29"/>
      <c r="FM1294" s="29"/>
      <c r="FN1294" s="29"/>
      <c r="FO1294" s="29"/>
      <c r="FP1294" s="29"/>
      <c r="FQ1294" s="29"/>
      <c r="FR1294" s="29"/>
      <c r="FS1294" s="29"/>
      <c r="FT1294" s="29"/>
      <c r="FU1294" s="29"/>
      <c r="FV1294" s="29"/>
      <c r="FW1294" s="29"/>
      <c r="FX1294" s="29"/>
      <c r="FY1294" s="29"/>
      <c r="FZ1294" s="29"/>
      <c r="GA1294" s="29"/>
      <c r="GB1294" s="29"/>
      <c r="GC1294" s="29"/>
      <c r="GD1294" s="29"/>
      <c r="GE1294" s="29"/>
      <c r="GF1294" s="29"/>
      <c r="GG1294" s="29"/>
      <c r="GH1294" s="29"/>
      <c r="GI1294" s="29"/>
      <c r="GJ1294" s="29"/>
      <c r="GK1294" s="29"/>
      <c r="GL1294" s="29"/>
      <c r="GM1294" s="29"/>
      <c r="GN1294" s="29"/>
      <c r="GO1294" s="29"/>
      <c r="GP1294" s="29"/>
      <c r="GQ1294" s="29"/>
      <c r="GR1294" s="29"/>
      <c r="GS1294" s="29"/>
      <c r="GT1294" s="29"/>
      <c r="GU1294" s="29"/>
      <c r="GV1294" s="29"/>
      <c r="GW1294" s="29"/>
      <c r="GX1294" s="29"/>
      <c r="GY1294" s="29"/>
      <c r="GZ1294" s="29"/>
      <c r="HA1294" s="29"/>
      <c r="HB1294" s="29"/>
      <c r="HC1294" s="29"/>
      <c r="HD1294" s="29"/>
      <c r="HE1294" s="29"/>
      <c r="HF1294" s="29"/>
      <c r="HG1294" s="29"/>
      <c r="HH1294" s="29"/>
      <c r="HI1294" s="29"/>
      <c r="HJ1294" s="29"/>
      <c r="HK1294" s="29"/>
      <c r="HL1294" s="29"/>
      <c r="HM1294" s="29"/>
      <c r="HN1294" s="29"/>
      <c r="HO1294" s="29"/>
      <c r="HP1294" s="29"/>
      <c r="HQ1294" s="29"/>
      <c r="HR1294" s="29"/>
      <c r="HS1294" s="29"/>
      <c r="HT1294" s="29"/>
      <c r="HU1294" s="29"/>
      <c r="HV1294" s="29"/>
      <c r="HW1294" s="29"/>
      <c r="HX1294" s="29"/>
      <c r="HY1294" s="29"/>
      <c r="HZ1294" s="29"/>
      <c r="IA1294" s="29"/>
      <c r="IB1294" s="29"/>
      <c r="IC1294" s="29"/>
      <c r="ID1294" s="29"/>
      <c r="IE1294" s="29"/>
      <c r="IF1294" s="29"/>
      <c r="IG1294" s="29"/>
      <c r="IH1294" s="29"/>
      <c r="II1294" s="29"/>
      <c r="IJ1294" s="29"/>
      <c r="IK1294" s="29"/>
      <c r="IL1294" s="29"/>
      <c r="IM1294" s="29"/>
      <c r="IN1294" s="29"/>
      <c r="IO1294" s="29"/>
      <c r="IP1294" s="29"/>
      <c r="IQ1294" s="29"/>
      <c r="IR1294" s="29"/>
      <c r="IS1294" s="29"/>
      <c r="IT1294" s="29"/>
      <c r="IU1294" s="29"/>
      <c r="IV1294" s="29"/>
      <c r="IW1294" s="29"/>
      <c r="IX1294" s="29"/>
      <c r="IY1294" s="29"/>
      <c r="IZ1294" s="29"/>
      <c r="JA1294" s="29"/>
      <c r="JB1294" s="29"/>
      <c r="JC1294" s="29"/>
      <c r="JD1294" s="29"/>
      <c r="JE1294" s="29"/>
      <c r="JF1294" s="29"/>
      <c r="JG1294" s="29"/>
      <c r="JH1294" s="29"/>
      <c r="JI1294" s="29"/>
      <c r="JJ1294" s="29"/>
      <c r="JK1294" s="29"/>
      <c r="JL1294" s="29"/>
      <c r="JM1294" s="29"/>
      <c r="JN1294" s="29"/>
      <c r="JO1294" s="29"/>
      <c r="JP1294" s="29"/>
      <c r="JQ1294" s="29"/>
      <c r="JR1294" s="29"/>
      <c r="JS1294" s="29"/>
      <c r="JT1294" s="29"/>
      <c r="JU1294" s="29"/>
      <c r="JV1294" s="29"/>
      <c r="JW1294" s="29"/>
      <c r="JX1294" s="29"/>
      <c r="JY1294" s="29"/>
      <c r="JZ1294" s="29"/>
      <c r="KA1294" s="29"/>
      <c r="KB1294" s="29"/>
      <c r="KC1294" s="29"/>
      <c r="KD1294" s="29"/>
      <c r="KE1294" s="29"/>
      <c r="KF1294" s="29"/>
      <c r="KG1294" s="29"/>
      <c r="KH1294" s="29"/>
      <c r="KI1294" s="29"/>
      <c r="KJ1294" s="29"/>
      <c r="KK1294" s="29"/>
      <c r="KL1294" s="29"/>
      <c r="KM1294" s="29"/>
      <c r="KN1294" s="29"/>
      <c r="KO1294" s="29"/>
      <c r="KP1294" s="29"/>
      <c r="KQ1294" s="29"/>
      <c r="KR1294" s="29"/>
      <c r="KS1294" s="29"/>
      <c r="KT1294" s="29"/>
      <c r="KU1294" s="29"/>
      <c r="KV1294" s="29"/>
      <c r="KW1294" s="29"/>
      <c r="KX1294" s="29"/>
      <c r="KY1294" s="29"/>
      <c r="KZ1294" s="29"/>
      <c r="LA1294" s="29"/>
      <c r="LB1294" s="29"/>
      <c r="LC1294" s="29"/>
      <c r="LD1294" s="29"/>
      <c r="LE1294" s="29"/>
      <c r="LF1294" s="29"/>
      <c r="LG1294" s="29"/>
      <c r="LH1294" s="29"/>
      <c r="LI1294" s="29"/>
      <c r="LJ1294" s="29"/>
      <c r="LK1294" s="29"/>
      <c r="LL1294" s="29"/>
      <c r="LM1294" s="29"/>
      <c r="LN1294" s="29"/>
      <c r="LO1294" s="29"/>
      <c r="LP1294" s="29"/>
      <c r="LQ1294" s="29"/>
      <c r="LR1294" s="29"/>
      <c r="LS1294" s="29"/>
      <c r="LT1294" s="29"/>
      <c r="LU1294" s="29"/>
      <c r="LV1294" s="29"/>
      <c r="LW1294" s="29"/>
      <c r="LX1294" s="29"/>
      <c r="LY1294" s="29"/>
      <c r="LZ1294" s="29"/>
      <c r="MA1294" s="29"/>
      <c r="MB1294" s="29"/>
      <c r="MC1294" s="29"/>
      <c r="MD1294" s="29"/>
      <c r="ME1294" s="29"/>
      <c r="MF1294" s="29"/>
      <c r="MG1294" s="29"/>
      <c r="MH1294" s="29"/>
      <c r="MI1294" s="29"/>
      <c r="MJ1294" s="29"/>
      <c r="MK1294" s="29"/>
      <c r="ML1294" s="29"/>
      <c r="MM1294" s="29"/>
      <c r="MN1294" s="29"/>
      <c r="MO1294" s="29"/>
      <c r="MP1294" s="29"/>
      <c r="MQ1294" s="29"/>
      <c r="MR1294" s="29"/>
      <c r="MS1294" s="29"/>
      <c r="MT1294" s="29"/>
      <c r="MU1294" s="29"/>
      <c r="MV1294" s="29"/>
      <c r="MW1294" s="29"/>
      <c r="MX1294" s="29"/>
      <c r="MY1294" s="29"/>
      <c r="MZ1294" s="29"/>
      <c r="NA1294" s="29"/>
      <c r="NB1294" s="29"/>
      <c r="NC1294" s="29"/>
      <c r="ND1294" s="29"/>
      <c r="NE1294" s="29"/>
      <c r="NF1294" s="29"/>
      <c r="NG1294" s="29"/>
      <c r="NH1294" s="29"/>
      <c r="NI1294" s="29"/>
      <c r="NJ1294" s="29"/>
      <c r="NK1294" s="29"/>
      <c r="NL1294" s="29"/>
      <c r="NM1294" s="29"/>
      <c r="NN1294" s="29"/>
      <c r="NO1294" s="29"/>
      <c r="NP1294" s="29"/>
      <c r="NQ1294" s="29"/>
      <c r="NR1294" s="29"/>
      <c r="NS1294" s="29"/>
      <c r="NT1294" s="29"/>
      <c r="NU1294" s="29"/>
      <c r="NV1294" s="29"/>
      <c r="NW1294" s="29"/>
      <c r="NX1294" s="29"/>
      <c r="NY1294" s="29"/>
      <c r="NZ1294" s="29"/>
      <c r="OA1294" s="29"/>
      <c r="OB1294" s="29"/>
      <c r="OC1294" s="29"/>
      <c r="OD1294" s="29"/>
      <c r="OE1294" s="29"/>
      <c r="OF1294" s="29"/>
      <c r="OG1294" s="29"/>
      <c r="OH1294" s="29"/>
      <c r="OI1294" s="29"/>
      <c r="OJ1294" s="29"/>
      <c r="OK1294" s="29"/>
      <c r="OL1294" s="29"/>
      <c r="OM1294" s="29"/>
      <c r="ON1294" s="29"/>
      <c r="OO1294" s="29"/>
      <c r="OP1294" s="29"/>
      <c r="OQ1294" s="29"/>
      <c r="OR1294" s="29"/>
      <c r="OS1294" s="29"/>
      <c r="OT1294" s="29"/>
      <c r="OU1294" s="29"/>
      <c r="OV1294" s="29"/>
      <c r="OW1294" s="29"/>
      <c r="OX1294" s="29"/>
      <c r="OY1294" s="29"/>
      <c r="OZ1294" s="29"/>
      <c r="PA1294" s="29"/>
      <c r="PB1294" s="29"/>
      <c r="PC1294" s="29"/>
      <c r="PD1294" s="29"/>
      <c r="PE1294" s="29"/>
      <c r="PF1294" s="29"/>
      <c r="PG1294" s="29"/>
      <c r="PH1294" s="29"/>
      <c r="PI1294" s="29"/>
      <c r="PJ1294" s="29"/>
      <c r="PK1294" s="29"/>
      <c r="PL1294" s="29"/>
      <c r="PM1294" s="29"/>
      <c r="PN1294" s="29"/>
      <c r="PO1294" s="29"/>
      <c r="PP1294" s="29"/>
      <c r="PQ1294" s="29"/>
      <c r="PR1294" s="29"/>
      <c r="PS1294" s="29"/>
      <c r="PT1294" s="29"/>
      <c r="PU1294" s="29"/>
      <c r="PV1294" s="29"/>
      <c r="PW1294" s="29"/>
      <c r="PX1294" s="29"/>
      <c r="PY1294" s="29"/>
      <c r="PZ1294" s="29"/>
      <c r="QA1294" s="29"/>
      <c r="QB1294" s="29"/>
      <c r="QC1294" s="29"/>
      <c r="QD1294" s="29"/>
      <c r="QE1294" s="29"/>
      <c r="QF1294" s="29"/>
      <c r="QG1294" s="29"/>
      <c r="QH1294" s="29"/>
      <c r="QI1294" s="29"/>
      <c r="QJ1294" s="29"/>
      <c r="QK1294" s="29"/>
      <c r="QL1294" s="29"/>
      <c r="QM1294" s="29"/>
      <c r="QN1294" s="29"/>
      <c r="QO1294" s="29"/>
      <c r="QP1294" s="29"/>
      <c r="QQ1294" s="29"/>
      <c r="QR1294" s="29"/>
      <c r="QS1294" s="29"/>
      <c r="QT1294" s="29"/>
      <c r="QU1294" s="29"/>
      <c r="QV1294" s="29"/>
      <c r="QW1294" s="29"/>
      <c r="QX1294" s="29"/>
      <c r="QY1294" s="29"/>
      <c r="QZ1294" s="29"/>
      <c r="RA1294" s="29"/>
      <c r="RB1294" s="29"/>
      <c r="RC1294" s="29"/>
      <c r="RD1294" s="29"/>
      <c r="RE1294" s="29"/>
      <c r="RF1294" s="29"/>
      <c r="RG1294" s="29"/>
      <c r="RH1294" s="29"/>
      <c r="RI1294" s="29"/>
      <c r="RJ1294" s="29"/>
      <c r="RK1294" s="29"/>
      <c r="RL1294" s="29"/>
      <c r="RM1294" s="29"/>
      <c r="RN1294" s="29"/>
      <c r="RO1294" s="29"/>
      <c r="RP1294" s="29"/>
      <c r="RQ1294" s="29"/>
      <c r="RR1294" s="29"/>
      <c r="RS1294" s="29"/>
      <c r="RT1294" s="29"/>
      <c r="RU1294" s="29"/>
      <c r="RV1294" s="29"/>
      <c r="RW1294" s="29"/>
      <c r="RX1294" s="29"/>
      <c r="RY1294" s="29"/>
      <c r="RZ1294" s="29"/>
      <c r="SA1294" s="29"/>
      <c r="SB1294" s="29"/>
      <c r="SC1294" s="29"/>
      <c r="SD1294" s="29"/>
      <c r="SE1294" s="29"/>
      <c r="SF1294" s="29"/>
      <c r="SG1294" s="29"/>
      <c r="SH1294" s="29"/>
      <c r="SI1294" s="29"/>
      <c r="SJ1294" s="29"/>
      <c r="SK1294" s="29"/>
      <c r="SL1294" s="29"/>
      <c r="SM1294" s="29"/>
      <c r="SN1294" s="29"/>
      <c r="SO1294" s="29"/>
      <c r="SP1294" s="29"/>
      <c r="SQ1294" s="29"/>
      <c r="SR1294" s="29"/>
      <c r="SS1294" s="29"/>
      <c r="ST1294" s="29"/>
      <c r="SU1294" s="29"/>
      <c r="SV1294" s="29"/>
      <c r="SW1294" s="29"/>
      <c r="SX1294" s="29"/>
      <c r="SY1294" s="29"/>
      <c r="SZ1294" s="29"/>
      <c r="TA1294" s="29"/>
      <c r="TB1294" s="29"/>
      <c r="TC1294" s="29"/>
      <c r="TD1294" s="29"/>
      <c r="TE1294" s="29"/>
      <c r="TF1294" s="29"/>
      <c r="TG1294" s="29"/>
      <c r="TH1294" s="29"/>
      <c r="TI1294" s="29"/>
      <c r="TJ1294" s="29"/>
      <c r="TK1294" s="29"/>
      <c r="TL1294" s="29"/>
      <c r="TM1294" s="29"/>
      <c r="TN1294" s="29"/>
      <c r="TO1294" s="29"/>
      <c r="TP1294" s="29"/>
      <c r="TQ1294" s="29"/>
      <c r="TR1294" s="29"/>
      <c r="TS1294" s="29"/>
      <c r="TT1294" s="29"/>
      <c r="TU1294" s="29"/>
      <c r="TV1294" s="29"/>
      <c r="TW1294" s="29"/>
      <c r="TX1294" s="29"/>
      <c r="TY1294" s="29"/>
      <c r="TZ1294" s="29"/>
      <c r="UA1294" s="29"/>
      <c r="UB1294" s="29"/>
      <c r="UC1294" s="29"/>
      <c r="UD1294" s="29"/>
      <c r="UE1294" s="29"/>
      <c r="UF1294" s="29"/>
      <c r="UG1294" s="29"/>
    </row>
    <row r="1295" spans="1:553" ht="46.5" customHeight="1">
      <c r="A1295" s="356" t="s">
        <v>15</v>
      </c>
      <c r="B1295" s="418">
        <v>203</v>
      </c>
      <c r="C1295" s="1388" t="s">
        <v>1050</v>
      </c>
      <c r="D1295" s="1389"/>
      <c r="E1295" s="1389"/>
      <c r="F1295" s="1390"/>
      <c r="G1295" s="417" t="s">
        <v>113</v>
      </c>
      <c r="H1295" s="370"/>
      <c r="I1295" s="422">
        <f>28.2*(1.8/1.7)</f>
        <v>29.858823529411765</v>
      </c>
      <c r="J1295" s="368">
        <v>815000</v>
      </c>
      <c r="K1295" s="371"/>
      <c r="L1295" s="487">
        <f t="shared" ref="L1295:L1297" si="195">ROUND(PRODUCT(I1295:K1295),0)</f>
        <v>24334941</v>
      </c>
      <c r="M1295" s="395"/>
      <c r="N1295" s="395"/>
      <c r="O1295" s="366"/>
      <c r="P1295" s="396"/>
      <c r="Q1295" s="473"/>
      <c r="R1295" s="1039"/>
      <c r="S1295" s="308"/>
      <c r="T1295" s="308"/>
      <c r="U1295" s="308"/>
      <c r="V1295" s="308"/>
      <c r="W1295" s="308"/>
      <c r="X1295" s="308"/>
      <c r="Y1295" s="308"/>
      <c r="Z1295" s="604"/>
      <c r="AA1295" s="308"/>
      <c r="AB1295" s="308"/>
      <c r="AC1295" s="486"/>
      <c r="AD1295" s="486"/>
      <c r="AE1295" s="486"/>
      <c r="AF1295" s="486"/>
      <c r="AG1295" s="486"/>
      <c r="AH1295" s="486"/>
      <c r="AI1295" s="486"/>
      <c r="AJ1295" s="486"/>
      <c r="AK1295" s="486"/>
      <c r="AL1295" s="206"/>
      <c r="AM1295" s="29"/>
      <c r="AN1295" s="29"/>
      <c r="AO1295" s="29"/>
      <c r="AP1295" s="29"/>
      <c r="AQ1295" s="29"/>
      <c r="AR1295" s="29"/>
      <c r="AS1295" s="29"/>
      <c r="AT1295" s="29"/>
      <c r="AU1295" s="29"/>
      <c r="AV1295" s="29"/>
      <c r="AW1295" s="29"/>
      <c r="AX1295" s="29"/>
      <c r="AY1295" s="29"/>
      <c r="AZ1295" s="29"/>
      <c r="BA1295" s="29"/>
      <c r="BB1295" s="29"/>
      <c r="BC1295" s="29"/>
      <c r="BD1295" s="29"/>
      <c r="BE1295" s="29"/>
      <c r="BF1295" s="29"/>
      <c r="BG1295" s="29"/>
      <c r="BH1295" s="29"/>
      <c r="BI1295" s="29"/>
      <c r="BJ1295" s="29"/>
      <c r="BK1295" s="29"/>
      <c r="BL1295" s="29"/>
      <c r="BM1295" s="29"/>
      <c r="BN1295" s="29"/>
      <c r="BO1295" s="29"/>
      <c r="BP1295" s="29"/>
      <c r="BQ1295" s="29"/>
      <c r="BR1295" s="29"/>
      <c r="BS1295" s="29"/>
      <c r="BT1295" s="29"/>
      <c r="BU1295" s="29"/>
      <c r="BV1295" s="29"/>
      <c r="BW1295" s="29"/>
      <c r="BX1295" s="29"/>
      <c r="BY1295" s="29"/>
      <c r="BZ1295" s="29"/>
      <c r="CA1295" s="29"/>
      <c r="CB1295" s="29"/>
      <c r="CC1295" s="29"/>
      <c r="CD1295" s="29"/>
      <c r="CE1295" s="29"/>
      <c r="CF1295" s="29"/>
      <c r="CG1295" s="29"/>
      <c r="CH1295" s="29"/>
      <c r="CI1295" s="29"/>
      <c r="CJ1295" s="29"/>
      <c r="CK1295" s="29"/>
      <c r="CL1295" s="29"/>
      <c r="CM1295" s="29"/>
      <c r="CN1295" s="29"/>
      <c r="CO1295" s="29"/>
      <c r="CP1295" s="29"/>
      <c r="CQ1295" s="29"/>
      <c r="CR1295" s="29"/>
      <c r="CS1295" s="29"/>
      <c r="CT1295" s="29"/>
      <c r="CU1295" s="29"/>
      <c r="CV1295" s="29"/>
      <c r="CW1295" s="29"/>
      <c r="CX1295" s="29"/>
      <c r="CY1295" s="29"/>
      <c r="CZ1295" s="29"/>
      <c r="DA1295" s="29"/>
      <c r="DB1295" s="29"/>
      <c r="DC1295" s="29"/>
      <c r="DD1295" s="29"/>
      <c r="DE1295" s="29"/>
      <c r="DF1295" s="29"/>
      <c r="DG1295" s="29"/>
      <c r="DH1295" s="29"/>
      <c r="DI1295" s="29"/>
      <c r="DJ1295" s="29"/>
      <c r="DK1295" s="29"/>
      <c r="DL1295" s="29"/>
      <c r="DM1295" s="29"/>
      <c r="DN1295" s="29"/>
      <c r="DO1295" s="29"/>
      <c r="DP1295" s="29"/>
      <c r="DQ1295" s="29"/>
      <c r="DR1295" s="29"/>
      <c r="DS1295" s="29"/>
      <c r="DT1295" s="29"/>
      <c r="DU1295" s="29"/>
      <c r="DV1295" s="29"/>
      <c r="DW1295" s="29"/>
      <c r="DX1295" s="29"/>
      <c r="DY1295" s="29"/>
      <c r="DZ1295" s="29"/>
      <c r="EA1295" s="29"/>
      <c r="EB1295" s="29"/>
      <c r="EC1295" s="29"/>
      <c r="ED1295" s="29"/>
      <c r="EE1295" s="29"/>
      <c r="EF1295" s="29"/>
      <c r="EG1295" s="29"/>
      <c r="EH1295" s="29"/>
      <c r="EI1295" s="29"/>
      <c r="EJ1295" s="29"/>
      <c r="EK1295" s="29"/>
      <c r="EL1295" s="29"/>
      <c r="EM1295" s="29"/>
      <c r="EN1295" s="29"/>
      <c r="EO1295" s="29"/>
      <c r="EP1295" s="29"/>
      <c r="EQ1295" s="29"/>
      <c r="ER1295" s="29"/>
      <c r="ES1295" s="29"/>
      <c r="ET1295" s="29"/>
      <c r="EU1295" s="29"/>
      <c r="EV1295" s="29"/>
      <c r="EW1295" s="29"/>
      <c r="EX1295" s="29"/>
      <c r="EY1295" s="29"/>
      <c r="EZ1295" s="29"/>
      <c r="FA1295" s="29"/>
      <c r="FB1295" s="29"/>
      <c r="FC1295" s="29"/>
      <c r="FD1295" s="29"/>
      <c r="FE1295" s="29"/>
      <c r="FF1295" s="29"/>
      <c r="FG1295" s="29"/>
      <c r="FH1295" s="29"/>
      <c r="FI1295" s="29"/>
      <c r="FJ1295" s="29"/>
      <c r="FK1295" s="29"/>
      <c r="FL1295" s="29"/>
      <c r="FM1295" s="29"/>
      <c r="FN1295" s="29"/>
      <c r="FO1295" s="29"/>
      <c r="FP1295" s="29"/>
      <c r="FQ1295" s="29"/>
      <c r="FR1295" s="29"/>
      <c r="FS1295" s="29"/>
      <c r="FT1295" s="29"/>
      <c r="FU1295" s="29"/>
      <c r="FV1295" s="29"/>
      <c r="FW1295" s="29"/>
      <c r="FX1295" s="29"/>
      <c r="FY1295" s="29"/>
      <c r="FZ1295" s="29"/>
      <c r="GA1295" s="29"/>
      <c r="GB1295" s="29"/>
      <c r="GC1295" s="29"/>
      <c r="GD1295" s="29"/>
      <c r="GE1295" s="29"/>
      <c r="GF1295" s="29"/>
      <c r="GG1295" s="29"/>
      <c r="GH1295" s="29"/>
      <c r="GI1295" s="29"/>
      <c r="GJ1295" s="29"/>
      <c r="GK1295" s="29"/>
      <c r="GL1295" s="29"/>
      <c r="GM1295" s="29"/>
      <c r="GN1295" s="29"/>
      <c r="GO1295" s="29"/>
      <c r="GP1295" s="29"/>
      <c r="GQ1295" s="29"/>
      <c r="GR1295" s="29"/>
      <c r="GS1295" s="29"/>
      <c r="GT1295" s="29"/>
      <c r="GU1295" s="29"/>
      <c r="GV1295" s="29"/>
      <c r="GW1295" s="29"/>
      <c r="GX1295" s="29"/>
      <c r="GY1295" s="29"/>
      <c r="GZ1295" s="29"/>
      <c r="HA1295" s="29"/>
      <c r="HB1295" s="29"/>
      <c r="HC1295" s="29"/>
      <c r="HD1295" s="29"/>
      <c r="HE1295" s="29"/>
      <c r="HF1295" s="29"/>
      <c r="HG1295" s="29"/>
      <c r="HH1295" s="29"/>
      <c r="HI1295" s="29"/>
      <c r="HJ1295" s="29"/>
      <c r="HK1295" s="29"/>
      <c r="HL1295" s="29"/>
      <c r="HM1295" s="29"/>
      <c r="HN1295" s="29"/>
      <c r="HO1295" s="29"/>
      <c r="HP1295" s="29"/>
      <c r="HQ1295" s="29"/>
      <c r="HR1295" s="29"/>
      <c r="HS1295" s="29"/>
      <c r="HT1295" s="29"/>
      <c r="HU1295" s="29"/>
      <c r="HV1295" s="29"/>
      <c r="HW1295" s="29"/>
      <c r="HX1295" s="29"/>
      <c r="HY1295" s="29"/>
      <c r="HZ1295" s="29"/>
      <c r="IA1295" s="29"/>
      <c r="IB1295" s="29"/>
      <c r="IC1295" s="29"/>
      <c r="ID1295" s="29"/>
      <c r="IE1295" s="29"/>
      <c r="IF1295" s="29"/>
      <c r="IG1295" s="29"/>
      <c r="IH1295" s="29"/>
      <c r="II1295" s="29"/>
      <c r="IJ1295" s="29"/>
      <c r="IK1295" s="29"/>
      <c r="IL1295" s="29"/>
      <c r="IM1295" s="29"/>
      <c r="IN1295" s="29"/>
      <c r="IO1295" s="29"/>
      <c r="IP1295" s="29"/>
      <c r="IQ1295" s="29"/>
      <c r="IR1295" s="29"/>
      <c r="IS1295" s="29"/>
      <c r="IT1295" s="29"/>
      <c r="IU1295" s="29"/>
      <c r="IV1295" s="29"/>
      <c r="IW1295" s="29"/>
      <c r="IX1295" s="29"/>
      <c r="IY1295" s="29"/>
      <c r="IZ1295" s="29"/>
      <c r="JA1295" s="29"/>
      <c r="JB1295" s="29"/>
      <c r="JC1295" s="29"/>
      <c r="JD1295" s="29"/>
      <c r="JE1295" s="29"/>
      <c r="JF1295" s="29"/>
      <c r="JG1295" s="29"/>
      <c r="JH1295" s="29"/>
      <c r="JI1295" s="29"/>
      <c r="JJ1295" s="29"/>
      <c r="JK1295" s="29"/>
      <c r="JL1295" s="29"/>
      <c r="JM1295" s="29"/>
      <c r="JN1295" s="29"/>
      <c r="JO1295" s="29"/>
      <c r="JP1295" s="29"/>
      <c r="JQ1295" s="29"/>
      <c r="JR1295" s="29"/>
      <c r="JS1295" s="29"/>
      <c r="JT1295" s="29"/>
      <c r="JU1295" s="29"/>
      <c r="JV1295" s="29"/>
      <c r="JW1295" s="29"/>
      <c r="JX1295" s="29"/>
      <c r="JY1295" s="29"/>
      <c r="JZ1295" s="29"/>
      <c r="KA1295" s="29"/>
      <c r="KB1295" s="29"/>
      <c r="KC1295" s="29"/>
      <c r="KD1295" s="29"/>
      <c r="KE1295" s="29"/>
      <c r="KF1295" s="29"/>
      <c r="KG1295" s="29"/>
      <c r="KH1295" s="29"/>
      <c r="KI1295" s="29"/>
      <c r="KJ1295" s="29"/>
      <c r="KK1295" s="29"/>
      <c r="KL1295" s="29"/>
      <c r="KM1295" s="29"/>
      <c r="KN1295" s="29"/>
      <c r="KO1295" s="29"/>
      <c r="KP1295" s="29"/>
      <c r="KQ1295" s="29"/>
      <c r="KR1295" s="29"/>
      <c r="KS1295" s="29"/>
      <c r="KT1295" s="29"/>
      <c r="KU1295" s="29"/>
      <c r="KV1295" s="29"/>
      <c r="KW1295" s="29"/>
      <c r="KX1295" s="29"/>
      <c r="KY1295" s="29"/>
      <c r="KZ1295" s="29"/>
      <c r="LA1295" s="29"/>
      <c r="LB1295" s="29"/>
      <c r="LC1295" s="29"/>
      <c r="LD1295" s="29"/>
      <c r="LE1295" s="29"/>
      <c r="LF1295" s="29"/>
      <c r="LG1295" s="29"/>
      <c r="LH1295" s="29"/>
      <c r="LI1295" s="29"/>
      <c r="LJ1295" s="29"/>
      <c r="LK1295" s="29"/>
      <c r="LL1295" s="29"/>
      <c r="LM1295" s="29"/>
      <c r="LN1295" s="29"/>
      <c r="LO1295" s="29"/>
      <c r="LP1295" s="29"/>
      <c r="LQ1295" s="29"/>
      <c r="LR1295" s="29"/>
      <c r="LS1295" s="29"/>
      <c r="LT1295" s="29"/>
      <c r="LU1295" s="29"/>
      <c r="LV1295" s="29"/>
      <c r="LW1295" s="29"/>
      <c r="LX1295" s="29"/>
      <c r="LY1295" s="29"/>
      <c r="LZ1295" s="29"/>
      <c r="MA1295" s="29"/>
      <c r="MB1295" s="29"/>
      <c r="MC1295" s="29"/>
      <c r="MD1295" s="29"/>
      <c r="ME1295" s="29"/>
      <c r="MF1295" s="29"/>
      <c r="MG1295" s="29"/>
      <c r="MH1295" s="29"/>
      <c r="MI1295" s="29"/>
      <c r="MJ1295" s="29"/>
      <c r="MK1295" s="29"/>
      <c r="ML1295" s="29"/>
      <c r="MM1295" s="29"/>
      <c r="MN1295" s="29"/>
      <c r="MO1295" s="29"/>
      <c r="MP1295" s="29"/>
      <c r="MQ1295" s="29"/>
      <c r="MR1295" s="29"/>
      <c r="MS1295" s="29"/>
      <c r="MT1295" s="29"/>
      <c r="MU1295" s="29"/>
      <c r="MV1295" s="29"/>
      <c r="MW1295" s="29"/>
      <c r="MX1295" s="29"/>
      <c r="MY1295" s="29"/>
      <c r="MZ1295" s="29"/>
      <c r="NA1295" s="29"/>
      <c r="NB1295" s="29"/>
      <c r="NC1295" s="29"/>
      <c r="ND1295" s="29"/>
      <c r="NE1295" s="29"/>
      <c r="NF1295" s="29"/>
      <c r="NG1295" s="29"/>
      <c r="NH1295" s="29"/>
      <c r="NI1295" s="29"/>
      <c r="NJ1295" s="29"/>
      <c r="NK1295" s="29"/>
      <c r="NL1295" s="29"/>
      <c r="NM1295" s="29"/>
      <c r="NN1295" s="29"/>
      <c r="NO1295" s="29"/>
      <c r="NP1295" s="29"/>
      <c r="NQ1295" s="29"/>
      <c r="NR1295" s="29"/>
      <c r="NS1295" s="29"/>
      <c r="NT1295" s="29"/>
      <c r="NU1295" s="29"/>
      <c r="NV1295" s="29"/>
      <c r="NW1295" s="29"/>
      <c r="NX1295" s="29"/>
      <c r="NY1295" s="29"/>
      <c r="NZ1295" s="29"/>
      <c r="OA1295" s="29"/>
      <c r="OB1295" s="29"/>
      <c r="OC1295" s="29"/>
      <c r="OD1295" s="29"/>
      <c r="OE1295" s="29"/>
      <c r="OF1295" s="29"/>
      <c r="OG1295" s="29"/>
      <c r="OH1295" s="29"/>
      <c r="OI1295" s="29"/>
      <c r="OJ1295" s="29"/>
      <c r="OK1295" s="29"/>
      <c r="OL1295" s="29"/>
      <c r="OM1295" s="29"/>
      <c r="ON1295" s="29"/>
      <c r="OO1295" s="29"/>
      <c r="OP1295" s="29"/>
      <c r="OQ1295" s="29"/>
      <c r="OR1295" s="29"/>
      <c r="OS1295" s="29"/>
      <c r="OT1295" s="29"/>
      <c r="OU1295" s="29"/>
      <c r="OV1295" s="29"/>
      <c r="OW1295" s="29"/>
      <c r="OX1295" s="29"/>
      <c r="OY1295" s="29"/>
      <c r="OZ1295" s="29"/>
      <c r="PA1295" s="29"/>
      <c r="PB1295" s="29"/>
      <c r="PC1295" s="29"/>
      <c r="PD1295" s="29"/>
      <c r="PE1295" s="29"/>
      <c r="PF1295" s="29"/>
      <c r="PG1295" s="29"/>
      <c r="PH1295" s="29"/>
      <c r="PI1295" s="29"/>
      <c r="PJ1295" s="29"/>
      <c r="PK1295" s="29"/>
      <c r="PL1295" s="29"/>
      <c r="PM1295" s="29"/>
      <c r="PN1295" s="29"/>
      <c r="PO1295" s="29"/>
      <c r="PP1295" s="29"/>
      <c r="PQ1295" s="29"/>
      <c r="PR1295" s="29"/>
      <c r="PS1295" s="29"/>
      <c r="PT1295" s="29"/>
      <c r="PU1295" s="29"/>
      <c r="PV1295" s="29"/>
      <c r="PW1295" s="29"/>
      <c r="PX1295" s="29"/>
      <c r="PY1295" s="29"/>
      <c r="PZ1295" s="29"/>
      <c r="QA1295" s="29"/>
      <c r="QB1295" s="29"/>
      <c r="QC1295" s="29"/>
      <c r="QD1295" s="29"/>
      <c r="QE1295" s="29"/>
      <c r="QF1295" s="29"/>
      <c r="QG1295" s="29"/>
      <c r="QH1295" s="29"/>
      <c r="QI1295" s="29"/>
      <c r="QJ1295" s="29"/>
      <c r="QK1295" s="29"/>
      <c r="QL1295" s="29"/>
      <c r="QM1295" s="29"/>
      <c r="QN1295" s="29"/>
      <c r="QO1295" s="29"/>
      <c r="QP1295" s="29"/>
      <c r="QQ1295" s="29"/>
      <c r="QR1295" s="29"/>
      <c r="QS1295" s="29"/>
      <c r="QT1295" s="29"/>
      <c r="QU1295" s="29"/>
      <c r="QV1295" s="29"/>
      <c r="QW1295" s="29"/>
      <c r="QX1295" s="29"/>
      <c r="QY1295" s="29"/>
      <c r="QZ1295" s="29"/>
      <c r="RA1295" s="29"/>
      <c r="RB1295" s="29"/>
      <c r="RC1295" s="29"/>
      <c r="RD1295" s="29"/>
      <c r="RE1295" s="29"/>
      <c r="RF1295" s="29"/>
      <c r="RG1295" s="29"/>
      <c r="RH1295" s="29"/>
      <c r="RI1295" s="29"/>
      <c r="RJ1295" s="29"/>
      <c r="RK1295" s="29"/>
      <c r="RL1295" s="29"/>
      <c r="RM1295" s="29"/>
      <c r="RN1295" s="29"/>
      <c r="RO1295" s="29"/>
      <c r="RP1295" s="29"/>
      <c r="RQ1295" s="29"/>
      <c r="RR1295" s="29"/>
      <c r="RS1295" s="29"/>
      <c r="RT1295" s="29"/>
      <c r="RU1295" s="29"/>
      <c r="RV1295" s="29"/>
      <c r="RW1295" s="29"/>
      <c r="RX1295" s="29"/>
      <c r="RY1295" s="29"/>
      <c r="RZ1295" s="29"/>
      <c r="SA1295" s="29"/>
      <c r="SB1295" s="29"/>
      <c r="SC1295" s="29"/>
      <c r="SD1295" s="29"/>
      <c r="SE1295" s="29"/>
      <c r="SF1295" s="29"/>
      <c r="SG1295" s="29"/>
      <c r="SH1295" s="29"/>
      <c r="SI1295" s="29"/>
      <c r="SJ1295" s="29"/>
      <c r="SK1295" s="29"/>
      <c r="SL1295" s="29"/>
      <c r="SM1295" s="29"/>
      <c r="SN1295" s="29"/>
      <c r="SO1295" s="29"/>
      <c r="SP1295" s="29"/>
      <c r="SQ1295" s="29"/>
      <c r="SR1295" s="29"/>
      <c r="SS1295" s="29"/>
      <c r="ST1295" s="29"/>
      <c r="SU1295" s="29"/>
      <c r="SV1295" s="29"/>
      <c r="SW1295" s="29"/>
      <c r="SX1295" s="29"/>
      <c r="SY1295" s="29"/>
      <c r="SZ1295" s="29"/>
      <c r="TA1295" s="29"/>
      <c r="TB1295" s="29"/>
      <c r="TC1295" s="29"/>
      <c r="TD1295" s="29"/>
      <c r="TE1295" s="29"/>
      <c r="TF1295" s="29"/>
      <c r="TG1295" s="29"/>
      <c r="TH1295" s="29"/>
      <c r="TI1295" s="29"/>
      <c r="TJ1295" s="29"/>
      <c r="TK1295" s="29"/>
      <c r="TL1295" s="29"/>
      <c r="TM1295" s="29"/>
      <c r="TN1295" s="29"/>
      <c r="TO1295" s="29"/>
      <c r="TP1295" s="29"/>
      <c r="TQ1295" s="29"/>
      <c r="TR1295" s="29"/>
      <c r="TS1295" s="29"/>
      <c r="TT1295" s="29"/>
      <c r="TU1295" s="29"/>
      <c r="TV1295" s="29"/>
      <c r="TW1295" s="29"/>
      <c r="TX1295" s="29"/>
      <c r="TY1295" s="29"/>
      <c r="TZ1295" s="29"/>
      <c r="UA1295" s="29"/>
      <c r="UB1295" s="29"/>
      <c r="UC1295" s="29"/>
      <c r="UD1295" s="29"/>
      <c r="UE1295" s="29"/>
      <c r="UF1295" s="29"/>
      <c r="UG1295" s="29"/>
    </row>
    <row r="1296" spans="1:553" ht="30" customHeight="1">
      <c r="A1296" s="356" t="s">
        <v>30</v>
      </c>
      <c r="B1296" s="418"/>
      <c r="C1296" s="1582" t="s">
        <v>1049</v>
      </c>
      <c r="D1296" s="1583"/>
      <c r="E1296" s="1583"/>
      <c r="F1296" s="1584"/>
      <c r="G1296" s="417" t="s">
        <v>33</v>
      </c>
      <c r="H1296" s="370"/>
      <c r="I1296" s="422">
        <f>-(28.2*1.8)*2</f>
        <v>-101.52</v>
      </c>
      <c r="J1296" s="368">
        <v>41700</v>
      </c>
      <c r="K1296" s="371"/>
      <c r="L1296" s="487">
        <f t="shared" si="195"/>
        <v>-4233384</v>
      </c>
      <c r="M1296" s="395"/>
      <c r="N1296" s="395"/>
      <c r="O1296" s="366"/>
      <c r="P1296" s="396"/>
      <c r="Q1296" s="473"/>
      <c r="R1296" s="1039"/>
      <c r="S1296" s="308"/>
      <c r="T1296" s="308"/>
      <c r="U1296" s="308"/>
      <c r="V1296" s="308"/>
      <c r="W1296" s="308"/>
      <c r="X1296" s="308"/>
      <c r="Y1296" s="308"/>
      <c r="Z1296" s="604"/>
      <c r="AA1296" s="308"/>
      <c r="AB1296" s="308"/>
      <c r="AC1296" s="486"/>
      <c r="AD1296" s="486"/>
      <c r="AE1296" s="486"/>
      <c r="AF1296" s="486"/>
      <c r="AG1296" s="486"/>
      <c r="AH1296" s="486"/>
      <c r="AI1296" s="486"/>
      <c r="AJ1296" s="486"/>
      <c r="AK1296" s="486"/>
      <c r="AL1296" s="206"/>
      <c r="AM1296" s="29"/>
      <c r="AN1296" s="29"/>
      <c r="AO1296" s="29"/>
      <c r="AP1296" s="29"/>
      <c r="AQ1296" s="29"/>
      <c r="AR1296" s="29"/>
      <c r="AS1296" s="29"/>
      <c r="AT1296" s="29"/>
      <c r="AU1296" s="29"/>
      <c r="AV1296" s="29"/>
      <c r="AW1296" s="29"/>
      <c r="AX1296" s="29"/>
      <c r="AY1296" s="29"/>
      <c r="AZ1296" s="29"/>
      <c r="BA1296" s="29"/>
      <c r="BB1296" s="29"/>
      <c r="BC1296" s="29"/>
      <c r="BD1296" s="29"/>
      <c r="BE1296" s="29"/>
      <c r="BF1296" s="29"/>
      <c r="BG1296" s="29"/>
      <c r="BH1296" s="29"/>
      <c r="BI1296" s="29"/>
      <c r="BJ1296" s="29"/>
      <c r="BK1296" s="29"/>
      <c r="BL1296" s="29"/>
      <c r="BM1296" s="29"/>
      <c r="BN1296" s="29"/>
      <c r="BO1296" s="29"/>
      <c r="BP1296" s="29"/>
      <c r="BQ1296" s="29"/>
      <c r="BR1296" s="29"/>
      <c r="BS1296" s="29"/>
      <c r="BT1296" s="29"/>
      <c r="BU1296" s="29"/>
      <c r="BV1296" s="29"/>
      <c r="BW1296" s="29"/>
      <c r="BX1296" s="29"/>
      <c r="BY1296" s="29"/>
      <c r="BZ1296" s="29"/>
      <c r="CA1296" s="29"/>
      <c r="CB1296" s="29"/>
      <c r="CC1296" s="29"/>
      <c r="CD1296" s="29"/>
      <c r="CE1296" s="29"/>
      <c r="CF1296" s="29"/>
      <c r="CG1296" s="29"/>
      <c r="CH1296" s="29"/>
      <c r="CI1296" s="29"/>
      <c r="CJ1296" s="29"/>
      <c r="CK1296" s="29"/>
      <c r="CL1296" s="29"/>
      <c r="CM1296" s="29"/>
      <c r="CN1296" s="29"/>
      <c r="CO1296" s="29"/>
      <c r="CP1296" s="29"/>
      <c r="CQ1296" s="29"/>
      <c r="CR1296" s="29"/>
      <c r="CS1296" s="29"/>
      <c r="CT1296" s="29"/>
      <c r="CU1296" s="29"/>
      <c r="CV1296" s="29"/>
      <c r="CW1296" s="29"/>
      <c r="CX1296" s="29"/>
      <c r="CY1296" s="29"/>
      <c r="CZ1296" s="29"/>
      <c r="DA1296" s="29"/>
      <c r="DB1296" s="29"/>
      <c r="DC1296" s="29"/>
      <c r="DD1296" s="29"/>
      <c r="DE1296" s="29"/>
      <c r="DF1296" s="29"/>
      <c r="DG1296" s="29"/>
      <c r="DH1296" s="29"/>
      <c r="DI1296" s="29"/>
      <c r="DJ1296" s="29"/>
      <c r="DK1296" s="29"/>
      <c r="DL1296" s="29"/>
      <c r="DM1296" s="29"/>
      <c r="DN1296" s="29"/>
      <c r="DO1296" s="29"/>
      <c r="DP1296" s="29"/>
      <c r="DQ1296" s="29"/>
      <c r="DR1296" s="29"/>
      <c r="DS1296" s="29"/>
      <c r="DT1296" s="29"/>
      <c r="DU1296" s="29"/>
      <c r="DV1296" s="29"/>
      <c r="DW1296" s="29"/>
      <c r="DX1296" s="29"/>
      <c r="DY1296" s="29"/>
      <c r="DZ1296" s="29"/>
      <c r="EA1296" s="29"/>
      <c r="EB1296" s="29"/>
      <c r="EC1296" s="29"/>
      <c r="ED1296" s="29"/>
      <c r="EE1296" s="29"/>
      <c r="EF1296" s="29"/>
      <c r="EG1296" s="29"/>
      <c r="EH1296" s="29"/>
      <c r="EI1296" s="29"/>
      <c r="EJ1296" s="29"/>
      <c r="EK1296" s="29"/>
      <c r="EL1296" s="29"/>
      <c r="EM1296" s="29"/>
      <c r="EN1296" s="29"/>
      <c r="EO1296" s="29"/>
      <c r="EP1296" s="29"/>
      <c r="EQ1296" s="29"/>
      <c r="ER1296" s="29"/>
      <c r="ES1296" s="29"/>
      <c r="ET1296" s="29"/>
      <c r="EU1296" s="29"/>
      <c r="EV1296" s="29"/>
      <c r="EW1296" s="29"/>
      <c r="EX1296" s="29"/>
      <c r="EY1296" s="29"/>
      <c r="EZ1296" s="29"/>
      <c r="FA1296" s="29"/>
      <c r="FB1296" s="29"/>
      <c r="FC1296" s="29"/>
      <c r="FD1296" s="29"/>
      <c r="FE1296" s="29"/>
      <c r="FF1296" s="29"/>
      <c r="FG1296" s="29"/>
      <c r="FH1296" s="29"/>
      <c r="FI1296" s="29"/>
      <c r="FJ1296" s="29"/>
      <c r="FK1296" s="29"/>
      <c r="FL1296" s="29"/>
      <c r="FM1296" s="29"/>
      <c r="FN1296" s="29"/>
      <c r="FO1296" s="29"/>
      <c r="FP1296" s="29"/>
      <c r="FQ1296" s="29"/>
      <c r="FR1296" s="29"/>
      <c r="FS1296" s="29"/>
      <c r="FT1296" s="29"/>
      <c r="FU1296" s="29"/>
      <c r="FV1296" s="29"/>
      <c r="FW1296" s="29"/>
      <c r="FX1296" s="29"/>
      <c r="FY1296" s="29"/>
      <c r="FZ1296" s="29"/>
      <c r="GA1296" s="29"/>
      <c r="GB1296" s="29"/>
      <c r="GC1296" s="29"/>
      <c r="GD1296" s="29"/>
      <c r="GE1296" s="29"/>
      <c r="GF1296" s="29"/>
      <c r="GG1296" s="29"/>
      <c r="GH1296" s="29"/>
      <c r="GI1296" s="29"/>
      <c r="GJ1296" s="29"/>
      <c r="GK1296" s="29"/>
      <c r="GL1296" s="29"/>
      <c r="GM1296" s="29"/>
      <c r="GN1296" s="29"/>
      <c r="GO1296" s="29"/>
      <c r="GP1296" s="29"/>
      <c r="GQ1296" s="29"/>
      <c r="GR1296" s="29"/>
      <c r="GS1296" s="29"/>
      <c r="GT1296" s="29"/>
      <c r="GU1296" s="29"/>
      <c r="GV1296" s="29"/>
      <c r="GW1296" s="29"/>
      <c r="GX1296" s="29"/>
      <c r="GY1296" s="29"/>
      <c r="GZ1296" s="29"/>
      <c r="HA1296" s="29"/>
      <c r="HB1296" s="29"/>
      <c r="HC1296" s="29"/>
      <c r="HD1296" s="29"/>
      <c r="HE1296" s="29"/>
      <c r="HF1296" s="29"/>
      <c r="HG1296" s="29"/>
      <c r="HH1296" s="29"/>
      <c r="HI1296" s="29"/>
      <c r="HJ1296" s="29"/>
      <c r="HK1296" s="29"/>
      <c r="HL1296" s="29"/>
      <c r="HM1296" s="29"/>
      <c r="HN1296" s="29"/>
      <c r="HO1296" s="29"/>
      <c r="HP1296" s="29"/>
      <c r="HQ1296" s="29"/>
      <c r="HR1296" s="29"/>
      <c r="HS1296" s="29"/>
      <c r="HT1296" s="29"/>
      <c r="HU1296" s="29"/>
      <c r="HV1296" s="29"/>
      <c r="HW1296" s="29"/>
      <c r="HX1296" s="29"/>
      <c r="HY1296" s="29"/>
      <c r="HZ1296" s="29"/>
      <c r="IA1296" s="29"/>
      <c r="IB1296" s="29"/>
      <c r="IC1296" s="29"/>
      <c r="ID1296" s="29"/>
      <c r="IE1296" s="29"/>
      <c r="IF1296" s="29"/>
      <c r="IG1296" s="29"/>
      <c r="IH1296" s="29"/>
      <c r="II1296" s="29"/>
      <c r="IJ1296" s="29"/>
      <c r="IK1296" s="29"/>
      <c r="IL1296" s="29"/>
      <c r="IM1296" s="29"/>
      <c r="IN1296" s="29"/>
      <c r="IO1296" s="29"/>
      <c r="IP1296" s="29"/>
      <c r="IQ1296" s="29"/>
      <c r="IR1296" s="29"/>
      <c r="IS1296" s="29"/>
      <c r="IT1296" s="29"/>
      <c r="IU1296" s="29"/>
      <c r="IV1296" s="29"/>
      <c r="IW1296" s="29"/>
      <c r="IX1296" s="29"/>
      <c r="IY1296" s="29"/>
      <c r="IZ1296" s="29"/>
      <c r="JA1296" s="29"/>
      <c r="JB1296" s="29"/>
      <c r="JC1296" s="29"/>
      <c r="JD1296" s="29"/>
      <c r="JE1296" s="29"/>
      <c r="JF1296" s="29"/>
      <c r="JG1296" s="29"/>
      <c r="JH1296" s="29"/>
      <c r="JI1296" s="29"/>
      <c r="JJ1296" s="29"/>
      <c r="JK1296" s="29"/>
      <c r="JL1296" s="29"/>
      <c r="JM1296" s="29"/>
      <c r="JN1296" s="29"/>
      <c r="JO1296" s="29"/>
      <c r="JP1296" s="29"/>
      <c r="JQ1296" s="29"/>
      <c r="JR1296" s="29"/>
      <c r="JS1296" s="29"/>
      <c r="JT1296" s="29"/>
      <c r="JU1296" s="29"/>
      <c r="JV1296" s="29"/>
      <c r="JW1296" s="29"/>
      <c r="JX1296" s="29"/>
      <c r="JY1296" s="29"/>
      <c r="JZ1296" s="29"/>
      <c r="KA1296" s="29"/>
      <c r="KB1296" s="29"/>
      <c r="KC1296" s="29"/>
      <c r="KD1296" s="29"/>
      <c r="KE1296" s="29"/>
      <c r="KF1296" s="29"/>
      <c r="KG1296" s="29"/>
      <c r="KH1296" s="29"/>
      <c r="KI1296" s="29"/>
      <c r="KJ1296" s="29"/>
      <c r="KK1296" s="29"/>
      <c r="KL1296" s="29"/>
      <c r="KM1296" s="29"/>
      <c r="KN1296" s="29"/>
      <c r="KO1296" s="29"/>
      <c r="KP1296" s="29"/>
      <c r="KQ1296" s="29"/>
      <c r="KR1296" s="29"/>
      <c r="KS1296" s="29"/>
      <c r="KT1296" s="29"/>
      <c r="KU1296" s="29"/>
      <c r="KV1296" s="29"/>
      <c r="KW1296" s="29"/>
      <c r="KX1296" s="29"/>
      <c r="KY1296" s="29"/>
      <c r="KZ1296" s="29"/>
      <c r="LA1296" s="29"/>
      <c r="LB1296" s="29"/>
      <c r="LC1296" s="29"/>
      <c r="LD1296" s="29"/>
      <c r="LE1296" s="29"/>
      <c r="LF1296" s="29"/>
      <c r="LG1296" s="29"/>
      <c r="LH1296" s="29"/>
      <c r="LI1296" s="29"/>
      <c r="LJ1296" s="29"/>
      <c r="LK1296" s="29"/>
      <c r="LL1296" s="29"/>
      <c r="LM1296" s="29"/>
      <c r="LN1296" s="29"/>
      <c r="LO1296" s="29"/>
      <c r="LP1296" s="29"/>
      <c r="LQ1296" s="29"/>
      <c r="LR1296" s="29"/>
      <c r="LS1296" s="29"/>
      <c r="LT1296" s="29"/>
      <c r="LU1296" s="29"/>
      <c r="LV1296" s="29"/>
      <c r="LW1296" s="29"/>
      <c r="LX1296" s="29"/>
      <c r="LY1296" s="29"/>
      <c r="LZ1296" s="29"/>
      <c r="MA1296" s="29"/>
      <c r="MB1296" s="29"/>
      <c r="MC1296" s="29"/>
      <c r="MD1296" s="29"/>
      <c r="ME1296" s="29"/>
      <c r="MF1296" s="29"/>
      <c r="MG1296" s="29"/>
      <c r="MH1296" s="29"/>
      <c r="MI1296" s="29"/>
      <c r="MJ1296" s="29"/>
      <c r="MK1296" s="29"/>
      <c r="ML1296" s="29"/>
      <c r="MM1296" s="29"/>
      <c r="MN1296" s="29"/>
      <c r="MO1296" s="29"/>
      <c r="MP1296" s="29"/>
      <c r="MQ1296" s="29"/>
      <c r="MR1296" s="29"/>
      <c r="MS1296" s="29"/>
      <c r="MT1296" s="29"/>
      <c r="MU1296" s="29"/>
      <c r="MV1296" s="29"/>
      <c r="MW1296" s="29"/>
      <c r="MX1296" s="29"/>
      <c r="MY1296" s="29"/>
      <c r="MZ1296" s="29"/>
      <c r="NA1296" s="29"/>
      <c r="NB1296" s="29"/>
      <c r="NC1296" s="29"/>
      <c r="ND1296" s="29"/>
      <c r="NE1296" s="29"/>
      <c r="NF1296" s="29"/>
      <c r="NG1296" s="29"/>
      <c r="NH1296" s="29"/>
      <c r="NI1296" s="29"/>
      <c r="NJ1296" s="29"/>
      <c r="NK1296" s="29"/>
      <c r="NL1296" s="29"/>
      <c r="NM1296" s="29"/>
      <c r="NN1296" s="29"/>
      <c r="NO1296" s="29"/>
      <c r="NP1296" s="29"/>
      <c r="NQ1296" s="29"/>
      <c r="NR1296" s="29"/>
      <c r="NS1296" s="29"/>
      <c r="NT1296" s="29"/>
      <c r="NU1296" s="29"/>
      <c r="NV1296" s="29"/>
      <c r="NW1296" s="29"/>
      <c r="NX1296" s="29"/>
      <c r="NY1296" s="29"/>
      <c r="NZ1296" s="29"/>
      <c r="OA1296" s="29"/>
      <c r="OB1296" s="29"/>
      <c r="OC1296" s="29"/>
      <c r="OD1296" s="29"/>
      <c r="OE1296" s="29"/>
      <c r="OF1296" s="29"/>
      <c r="OG1296" s="29"/>
      <c r="OH1296" s="29"/>
      <c r="OI1296" s="29"/>
      <c r="OJ1296" s="29"/>
      <c r="OK1296" s="29"/>
      <c r="OL1296" s="29"/>
      <c r="OM1296" s="29"/>
      <c r="ON1296" s="29"/>
      <c r="OO1296" s="29"/>
      <c r="OP1296" s="29"/>
      <c r="OQ1296" s="29"/>
      <c r="OR1296" s="29"/>
      <c r="OS1296" s="29"/>
      <c r="OT1296" s="29"/>
      <c r="OU1296" s="29"/>
      <c r="OV1296" s="29"/>
      <c r="OW1296" s="29"/>
      <c r="OX1296" s="29"/>
      <c r="OY1296" s="29"/>
      <c r="OZ1296" s="29"/>
      <c r="PA1296" s="29"/>
      <c r="PB1296" s="29"/>
      <c r="PC1296" s="29"/>
      <c r="PD1296" s="29"/>
      <c r="PE1296" s="29"/>
      <c r="PF1296" s="29"/>
      <c r="PG1296" s="29"/>
      <c r="PH1296" s="29"/>
      <c r="PI1296" s="29"/>
      <c r="PJ1296" s="29"/>
      <c r="PK1296" s="29"/>
      <c r="PL1296" s="29"/>
      <c r="PM1296" s="29"/>
      <c r="PN1296" s="29"/>
      <c r="PO1296" s="29"/>
      <c r="PP1296" s="29"/>
      <c r="PQ1296" s="29"/>
      <c r="PR1296" s="29"/>
      <c r="PS1296" s="29"/>
      <c r="PT1296" s="29"/>
      <c r="PU1296" s="29"/>
      <c r="PV1296" s="29"/>
      <c r="PW1296" s="29"/>
      <c r="PX1296" s="29"/>
      <c r="PY1296" s="29"/>
      <c r="PZ1296" s="29"/>
      <c r="QA1296" s="29"/>
      <c r="QB1296" s="29"/>
      <c r="QC1296" s="29"/>
      <c r="QD1296" s="29"/>
      <c r="QE1296" s="29"/>
      <c r="QF1296" s="29"/>
      <c r="QG1296" s="29"/>
      <c r="QH1296" s="29"/>
      <c r="QI1296" s="29"/>
      <c r="QJ1296" s="29"/>
      <c r="QK1296" s="29"/>
      <c r="QL1296" s="29"/>
      <c r="QM1296" s="29"/>
      <c r="QN1296" s="29"/>
      <c r="QO1296" s="29"/>
      <c r="QP1296" s="29"/>
      <c r="QQ1296" s="29"/>
      <c r="QR1296" s="29"/>
      <c r="QS1296" s="29"/>
      <c r="QT1296" s="29"/>
      <c r="QU1296" s="29"/>
      <c r="QV1296" s="29"/>
      <c r="QW1296" s="29"/>
      <c r="QX1296" s="29"/>
      <c r="QY1296" s="29"/>
      <c r="QZ1296" s="29"/>
      <c r="RA1296" s="29"/>
      <c r="RB1296" s="29"/>
      <c r="RC1296" s="29"/>
      <c r="RD1296" s="29"/>
      <c r="RE1296" s="29"/>
      <c r="RF1296" s="29"/>
      <c r="RG1296" s="29"/>
      <c r="RH1296" s="29"/>
      <c r="RI1296" s="29"/>
      <c r="RJ1296" s="29"/>
      <c r="RK1296" s="29"/>
      <c r="RL1296" s="29"/>
      <c r="RM1296" s="29"/>
      <c r="RN1296" s="29"/>
      <c r="RO1296" s="29"/>
      <c r="RP1296" s="29"/>
      <c r="RQ1296" s="29"/>
      <c r="RR1296" s="29"/>
      <c r="RS1296" s="29"/>
      <c r="RT1296" s="29"/>
      <c r="RU1296" s="29"/>
      <c r="RV1296" s="29"/>
      <c r="RW1296" s="29"/>
      <c r="RX1296" s="29"/>
      <c r="RY1296" s="29"/>
      <c r="RZ1296" s="29"/>
      <c r="SA1296" s="29"/>
      <c r="SB1296" s="29"/>
      <c r="SC1296" s="29"/>
      <c r="SD1296" s="29"/>
      <c r="SE1296" s="29"/>
      <c r="SF1296" s="29"/>
      <c r="SG1296" s="29"/>
      <c r="SH1296" s="29"/>
      <c r="SI1296" s="29"/>
      <c r="SJ1296" s="29"/>
      <c r="SK1296" s="29"/>
      <c r="SL1296" s="29"/>
      <c r="SM1296" s="29"/>
      <c r="SN1296" s="29"/>
      <c r="SO1296" s="29"/>
      <c r="SP1296" s="29"/>
      <c r="SQ1296" s="29"/>
      <c r="SR1296" s="29"/>
      <c r="SS1296" s="29"/>
      <c r="ST1296" s="29"/>
      <c r="SU1296" s="29"/>
      <c r="SV1296" s="29"/>
      <c r="SW1296" s="29"/>
      <c r="SX1296" s="29"/>
      <c r="SY1296" s="29"/>
      <c r="SZ1296" s="29"/>
      <c r="TA1296" s="29"/>
      <c r="TB1296" s="29"/>
      <c r="TC1296" s="29"/>
      <c r="TD1296" s="29"/>
      <c r="TE1296" s="29"/>
      <c r="TF1296" s="29"/>
      <c r="TG1296" s="29"/>
      <c r="TH1296" s="29"/>
      <c r="TI1296" s="29"/>
      <c r="TJ1296" s="29"/>
      <c r="TK1296" s="29"/>
      <c r="TL1296" s="29"/>
      <c r="TM1296" s="29"/>
      <c r="TN1296" s="29"/>
      <c r="TO1296" s="29"/>
      <c r="TP1296" s="29"/>
      <c r="TQ1296" s="29"/>
      <c r="TR1296" s="29"/>
      <c r="TS1296" s="29"/>
      <c r="TT1296" s="29"/>
      <c r="TU1296" s="29"/>
      <c r="TV1296" s="29"/>
      <c r="TW1296" s="29"/>
      <c r="TX1296" s="29"/>
      <c r="TY1296" s="29"/>
      <c r="TZ1296" s="29"/>
      <c r="UA1296" s="29"/>
      <c r="UB1296" s="29"/>
      <c r="UC1296" s="29"/>
      <c r="UD1296" s="29"/>
      <c r="UE1296" s="29"/>
      <c r="UF1296" s="29"/>
      <c r="UG1296" s="29"/>
    </row>
    <row r="1297" spans="1:553" ht="58.15" customHeight="1">
      <c r="A1297" s="356" t="s">
        <v>15</v>
      </c>
      <c r="B1297" s="740" t="s">
        <v>706</v>
      </c>
      <c r="C1297" s="1535" t="s">
        <v>1051</v>
      </c>
      <c r="D1297" s="1389"/>
      <c r="E1297" s="1389"/>
      <c r="F1297" s="1390"/>
      <c r="G1297" s="418" t="s">
        <v>113</v>
      </c>
      <c r="H1297" s="370"/>
      <c r="I1297" s="422">
        <v>7</v>
      </c>
      <c r="J1297" s="368">
        <v>505800</v>
      </c>
      <c r="K1297" s="371"/>
      <c r="L1297" s="487">
        <f t="shared" si="195"/>
        <v>3540600</v>
      </c>
      <c r="M1297" s="395"/>
      <c r="N1297" s="395"/>
      <c r="O1297" s="366"/>
      <c r="P1297" s="396"/>
      <c r="Q1297" s="473"/>
      <c r="R1297" s="1039"/>
      <c r="S1297" s="308"/>
      <c r="T1297" s="308"/>
      <c r="U1297" s="308"/>
      <c r="V1297" s="308"/>
      <c r="W1297" s="308"/>
      <c r="X1297" s="308"/>
      <c r="Y1297" s="308"/>
      <c r="Z1297" s="604"/>
      <c r="AA1297" s="308"/>
      <c r="AB1297" s="308"/>
      <c r="AC1297" s="486"/>
      <c r="AD1297" s="486"/>
      <c r="AE1297" s="486"/>
      <c r="AF1297" s="486"/>
      <c r="AG1297" s="486"/>
      <c r="AH1297" s="486"/>
      <c r="AI1297" s="486"/>
      <c r="AJ1297" s="486"/>
      <c r="AK1297" s="486"/>
      <c r="AL1297" s="206"/>
      <c r="AM1297" s="29"/>
      <c r="AN1297" s="29"/>
      <c r="AO1297" s="29"/>
      <c r="AP1297" s="29"/>
      <c r="AQ1297" s="29"/>
      <c r="AR1297" s="29"/>
      <c r="AS1297" s="29"/>
      <c r="AT1297" s="29"/>
      <c r="AU1297" s="29"/>
      <c r="AV1297" s="29"/>
      <c r="AW1297" s="29"/>
      <c r="AX1297" s="29"/>
      <c r="AY1297" s="29"/>
      <c r="AZ1297" s="29"/>
      <c r="BA1297" s="29"/>
      <c r="BB1297" s="29"/>
      <c r="BC1297" s="29"/>
      <c r="BD1297" s="29"/>
      <c r="BE1297" s="29"/>
      <c r="BF1297" s="29"/>
      <c r="BG1297" s="29"/>
      <c r="BH1297" s="29"/>
      <c r="BI1297" s="29"/>
      <c r="BJ1297" s="29"/>
      <c r="BK1297" s="29"/>
      <c r="BL1297" s="29"/>
      <c r="BM1297" s="29"/>
      <c r="BN1297" s="29"/>
      <c r="BO1297" s="29"/>
      <c r="BP1297" s="29"/>
      <c r="BQ1297" s="29"/>
      <c r="BR1297" s="29"/>
      <c r="BS1297" s="29"/>
      <c r="BT1297" s="29"/>
      <c r="BU1297" s="29"/>
      <c r="BV1297" s="29"/>
      <c r="BW1297" s="29"/>
      <c r="BX1297" s="29"/>
      <c r="BY1297" s="29"/>
      <c r="BZ1297" s="29"/>
      <c r="CA1297" s="29"/>
      <c r="CB1297" s="29"/>
      <c r="CC1297" s="29"/>
      <c r="CD1297" s="29"/>
      <c r="CE1297" s="29"/>
      <c r="CF1297" s="29"/>
      <c r="CG1297" s="29"/>
      <c r="CH1297" s="29"/>
      <c r="CI1297" s="29"/>
      <c r="CJ1297" s="29"/>
      <c r="CK1297" s="29"/>
      <c r="CL1297" s="29"/>
      <c r="CM1297" s="29"/>
      <c r="CN1297" s="29"/>
      <c r="CO1297" s="29"/>
      <c r="CP1297" s="29"/>
      <c r="CQ1297" s="29"/>
      <c r="CR1297" s="29"/>
      <c r="CS1297" s="29"/>
      <c r="CT1297" s="29"/>
      <c r="CU1297" s="29"/>
      <c r="CV1297" s="29"/>
      <c r="CW1297" s="29"/>
      <c r="CX1297" s="29"/>
      <c r="CY1297" s="29"/>
      <c r="CZ1297" s="29"/>
      <c r="DA1297" s="29"/>
      <c r="DB1297" s="29"/>
      <c r="DC1297" s="29"/>
      <c r="DD1297" s="29"/>
      <c r="DE1297" s="29"/>
      <c r="DF1297" s="29"/>
      <c r="DG1297" s="29"/>
      <c r="DH1297" s="29"/>
      <c r="DI1297" s="29"/>
      <c r="DJ1297" s="29"/>
      <c r="DK1297" s="29"/>
      <c r="DL1297" s="29"/>
      <c r="DM1297" s="29"/>
      <c r="DN1297" s="29"/>
      <c r="DO1297" s="29"/>
      <c r="DP1297" s="29"/>
      <c r="DQ1297" s="29"/>
      <c r="DR1297" s="29"/>
      <c r="DS1297" s="29"/>
      <c r="DT1297" s="29"/>
      <c r="DU1297" s="29"/>
      <c r="DV1297" s="29"/>
      <c r="DW1297" s="29"/>
      <c r="DX1297" s="29"/>
      <c r="DY1297" s="29"/>
      <c r="DZ1297" s="29"/>
      <c r="EA1297" s="29"/>
      <c r="EB1297" s="29"/>
      <c r="EC1297" s="29"/>
      <c r="ED1297" s="29"/>
      <c r="EE1297" s="29"/>
      <c r="EF1297" s="29"/>
      <c r="EG1297" s="29"/>
      <c r="EH1297" s="29"/>
      <c r="EI1297" s="29"/>
      <c r="EJ1297" s="29"/>
      <c r="EK1297" s="29"/>
      <c r="EL1297" s="29"/>
      <c r="EM1297" s="29"/>
      <c r="EN1297" s="29"/>
      <c r="EO1297" s="29"/>
      <c r="EP1297" s="29"/>
      <c r="EQ1297" s="29"/>
      <c r="ER1297" s="29"/>
      <c r="ES1297" s="29"/>
      <c r="ET1297" s="29"/>
      <c r="EU1297" s="29"/>
      <c r="EV1297" s="29"/>
      <c r="EW1297" s="29"/>
      <c r="EX1297" s="29"/>
      <c r="EY1297" s="29"/>
      <c r="EZ1297" s="29"/>
      <c r="FA1297" s="29"/>
      <c r="FB1297" s="29"/>
      <c r="FC1297" s="29"/>
      <c r="FD1297" s="29"/>
      <c r="FE1297" s="29"/>
      <c r="FF1297" s="29"/>
      <c r="FG1297" s="29"/>
      <c r="FH1297" s="29"/>
      <c r="FI1297" s="29"/>
      <c r="FJ1297" s="29"/>
      <c r="FK1297" s="29"/>
      <c r="FL1297" s="29"/>
      <c r="FM1297" s="29"/>
      <c r="FN1297" s="29"/>
      <c r="FO1297" s="29"/>
      <c r="FP1297" s="29"/>
      <c r="FQ1297" s="29"/>
      <c r="FR1297" s="29"/>
      <c r="FS1297" s="29"/>
      <c r="FT1297" s="29"/>
      <c r="FU1297" s="29"/>
      <c r="FV1297" s="29"/>
      <c r="FW1297" s="29"/>
      <c r="FX1297" s="29"/>
      <c r="FY1297" s="29"/>
      <c r="FZ1297" s="29"/>
      <c r="GA1297" s="29"/>
      <c r="GB1297" s="29"/>
      <c r="GC1297" s="29"/>
      <c r="GD1297" s="29"/>
      <c r="GE1297" s="29"/>
      <c r="GF1297" s="29"/>
      <c r="GG1297" s="29"/>
      <c r="GH1297" s="29"/>
      <c r="GI1297" s="29"/>
      <c r="GJ1297" s="29"/>
      <c r="GK1297" s="29"/>
      <c r="GL1297" s="29"/>
      <c r="GM1297" s="29"/>
      <c r="GN1297" s="29"/>
      <c r="GO1297" s="29"/>
      <c r="GP1297" s="29"/>
      <c r="GQ1297" s="29"/>
      <c r="GR1297" s="29"/>
      <c r="GS1297" s="29"/>
      <c r="GT1297" s="29"/>
      <c r="GU1297" s="29"/>
      <c r="GV1297" s="29"/>
      <c r="GW1297" s="29"/>
      <c r="GX1297" s="29"/>
      <c r="GY1297" s="29"/>
      <c r="GZ1297" s="29"/>
      <c r="HA1297" s="29"/>
      <c r="HB1297" s="29"/>
      <c r="HC1297" s="29"/>
      <c r="HD1297" s="29"/>
      <c r="HE1297" s="29"/>
      <c r="HF1297" s="29"/>
      <c r="HG1297" s="29"/>
      <c r="HH1297" s="29"/>
      <c r="HI1297" s="29"/>
      <c r="HJ1297" s="29"/>
      <c r="HK1297" s="29"/>
      <c r="HL1297" s="29"/>
      <c r="HM1297" s="29"/>
      <c r="HN1297" s="29"/>
      <c r="HO1297" s="29"/>
      <c r="HP1297" s="29"/>
      <c r="HQ1297" s="29"/>
      <c r="HR1297" s="29"/>
      <c r="HS1297" s="29"/>
      <c r="HT1297" s="29"/>
      <c r="HU1297" s="29"/>
      <c r="HV1297" s="29"/>
      <c r="HW1297" s="29"/>
      <c r="HX1297" s="29"/>
      <c r="HY1297" s="29"/>
      <c r="HZ1297" s="29"/>
      <c r="IA1297" s="29"/>
      <c r="IB1297" s="29"/>
      <c r="IC1297" s="29"/>
      <c r="ID1297" s="29"/>
      <c r="IE1297" s="29"/>
      <c r="IF1297" s="29"/>
      <c r="IG1297" s="29"/>
      <c r="IH1297" s="29"/>
      <c r="II1297" s="29"/>
      <c r="IJ1297" s="29"/>
      <c r="IK1297" s="29"/>
      <c r="IL1297" s="29"/>
      <c r="IM1297" s="29"/>
      <c r="IN1297" s="29"/>
      <c r="IO1297" s="29"/>
      <c r="IP1297" s="29"/>
      <c r="IQ1297" s="29"/>
      <c r="IR1297" s="29"/>
      <c r="IS1297" s="29"/>
      <c r="IT1297" s="29"/>
      <c r="IU1297" s="29"/>
      <c r="IV1297" s="29"/>
      <c r="IW1297" s="29"/>
      <c r="IX1297" s="29"/>
      <c r="IY1297" s="29"/>
      <c r="IZ1297" s="29"/>
      <c r="JA1297" s="29"/>
      <c r="JB1297" s="29"/>
      <c r="JC1297" s="29"/>
      <c r="JD1297" s="29"/>
      <c r="JE1297" s="29"/>
      <c r="JF1297" s="29"/>
      <c r="JG1297" s="29"/>
      <c r="JH1297" s="29"/>
      <c r="JI1297" s="29"/>
      <c r="JJ1297" s="29"/>
      <c r="JK1297" s="29"/>
      <c r="JL1297" s="29"/>
      <c r="JM1297" s="29"/>
      <c r="JN1297" s="29"/>
      <c r="JO1297" s="29"/>
      <c r="JP1297" s="29"/>
      <c r="JQ1297" s="29"/>
      <c r="JR1297" s="29"/>
      <c r="JS1297" s="29"/>
      <c r="JT1297" s="29"/>
      <c r="JU1297" s="29"/>
      <c r="JV1297" s="29"/>
      <c r="JW1297" s="29"/>
      <c r="JX1297" s="29"/>
      <c r="JY1297" s="29"/>
      <c r="JZ1297" s="29"/>
      <c r="KA1297" s="29"/>
      <c r="KB1297" s="29"/>
      <c r="KC1297" s="29"/>
      <c r="KD1297" s="29"/>
      <c r="KE1297" s="29"/>
      <c r="KF1297" s="29"/>
      <c r="KG1297" s="29"/>
      <c r="KH1297" s="29"/>
      <c r="KI1297" s="29"/>
      <c r="KJ1297" s="29"/>
      <c r="KK1297" s="29"/>
      <c r="KL1297" s="29"/>
      <c r="KM1297" s="29"/>
      <c r="KN1297" s="29"/>
      <c r="KO1297" s="29"/>
      <c r="KP1297" s="29"/>
      <c r="KQ1297" s="29"/>
      <c r="KR1297" s="29"/>
      <c r="KS1297" s="29"/>
      <c r="KT1297" s="29"/>
      <c r="KU1297" s="29"/>
      <c r="KV1297" s="29"/>
      <c r="KW1297" s="29"/>
      <c r="KX1297" s="29"/>
      <c r="KY1297" s="29"/>
      <c r="KZ1297" s="29"/>
      <c r="LA1297" s="29"/>
      <c r="LB1297" s="29"/>
      <c r="LC1297" s="29"/>
      <c r="LD1297" s="29"/>
      <c r="LE1297" s="29"/>
      <c r="LF1297" s="29"/>
      <c r="LG1297" s="29"/>
      <c r="LH1297" s="29"/>
      <c r="LI1297" s="29"/>
      <c r="LJ1297" s="29"/>
      <c r="LK1297" s="29"/>
      <c r="LL1297" s="29"/>
      <c r="LM1297" s="29"/>
      <c r="LN1297" s="29"/>
      <c r="LO1297" s="29"/>
      <c r="LP1297" s="29"/>
      <c r="LQ1297" s="29"/>
      <c r="LR1297" s="29"/>
      <c r="LS1297" s="29"/>
      <c r="LT1297" s="29"/>
      <c r="LU1297" s="29"/>
      <c r="LV1297" s="29"/>
      <c r="LW1297" s="29"/>
      <c r="LX1297" s="29"/>
      <c r="LY1297" s="29"/>
      <c r="LZ1297" s="29"/>
      <c r="MA1297" s="29"/>
      <c r="MB1297" s="29"/>
      <c r="MC1297" s="29"/>
      <c r="MD1297" s="29"/>
      <c r="ME1297" s="29"/>
      <c r="MF1297" s="29"/>
      <c r="MG1297" s="29"/>
      <c r="MH1297" s="29"/>
      <c r="MI1297" s="29"/>
      <c r="MJ1297" s="29"/>
      <c r="MK1297" s="29"/>
      <c r="ML1297" s="29"/>
      <c r="MM1297" s="29"/>
      <c r="MN1297" s="29"/>
      <c r="MO1297" s="29"/>
      <c r="MP1297" s="29"/>
      <c r="MQ1297" s="29"/>
      <c r="MR1297" s="29"/>
      <c r="MS1297" s="29"/>
      <c r="MT1297" s="29"/>
      <c r="MU1297" s="29"/>
      <c r="MV1297" s="29"/>
      <c r="MW1297" s="29"/>
      <c r="MX1297" s="29"/>
      <c r="MY1297" s="29"/>
      <c r="MZ1297" s="29"/>
      <c r="NA1297" s="29"/>
      <c r="NB1297" s="29"/>
      <c r="NC1297" s="29"/>
      <c r="ND1297" s="29"/>
      <c r="NE1297" s="29"/>
      <c r="NF1297" s="29"/>
      <c r="NG1297" s="29"/>
      <c r="NH1297" s="29"/>
      <c r="NI1297" s="29"/>
      <c r="NJ1297" s="29"/>
      <c r="NK1297" s="29"/>
      <c r="NL1297" s="29"/>
      <c r="NM1297" s="29"/>
      <c r="NN1297" s="29"/>
      <c r="NO1297" s="29"/>
      <c r="NP1297" s="29"/>
      <c r="NQ1297" s="29"/>
      <c r="NR1297" s="29"/>
      <c r="NS1297" s="29"/>
      <c r="NT1297" s="29"/>
      <c r="NU1297" s="29"/>
      <c r="NV1297" s="29"/>
      <c r="NW1297" s="29"/>
      <c r="NX1297" s="29"/>
      <c r="NY1297" s="29"/>
      <c r="NZ1297" s="29"/>
      <c r="OA1297" s="29"/>
      <c r="OB1297" s="29"/>
      <c r="OC1297" s="29"/>
      <c r="OD1297" s="29"/>
      <c r="OE1297" s="29"/>
      <c r="OF1297" s="29"/>
      <c r="OG1297" s="29"/>
      <c r="OH1297" s="29"/>
      <c r="OI1297" s="29"/>
      <c r="OJ1297" s="29"/>
      <c r="OK1297" s="29"/>
      <c r="OL1297" s="29"/>
      <c r="OM1297" s="29"/>
      <c r="ON1297" s="29"/>
      <c r="OO1297" s="29"/>
      <c r="OP1297" s="29"/>
      <c r="OQ1297" s="29"/>
      <c r="OR1297" s="29"/>
      <c r="OS1297" s="29"/>
      <c r="OT1297" s="29"/>
      <c r="OU1297" s="29"/>
      <c r="OV1297" s="29"/>
      <c r="OW1297" s="29"/>
      <c r="OX1297" s="29"/>
      <c r="OY1297" s="29"/>
      <c r="OZ1297" s="29"/>
      <c r="PA1297" s="29"/>
      <c r="PB1297" s="29"/>
      <c r="PC1297" s="29"/>
      <c r="PD1297" s="29"/>
      <c r="PE1297" s="29"/>
      <c r="PF1297" s="29"/>
      <c r="PG1297" s="29"/>
      <c r="PH1297" s="29"/>
      <c r="PI1297" s="29"/>
      <c r="PJ1297" s="29"/>
      <c r="PK1297" s="29"/>
      <c r="PL1297" s="29"/>
      <c r="PM1297" s="29"/>
      <c r="PN1297" s="29"/>
      <c r="PO1297" s="29"/>
      <c r="PP1297" s="29"/>
      <c r="PQ1297" s="29"/>
      <c r="PR1297" s="29"/>
      <c r="PS1297" s="29"/>
      <c r="PT1297" s="29"/>
      <c r="PU1297" s="29"/>
      <c r="PV1297" s="29"/>
      <c r="PW1297" s="29"/>
      <c r="PX1297" s="29"/>
      <c r="PY1297" s="29"/>
      <c r="PZ1297" s="29"/>
      <c r="QA1297" s="29"/>
      <c r="QB1297" s="29"/>
      <c r="QC1297" s="29"/>
      <c r="QD1297" s="29"/>
      <c r="QE1297" s="29"/>
      <c r="QF1297" s="29"/>
      <c r="QG1297" s="29"/>
      <c r="QH1297" s="29"/>
      <c r="QI1297" s="29"/>
      <c r="QJ1297" s="29"/>
      <c r="QK1297" s="29"/>
      <c r="QL1297" s="29"/>
      <c r="QM1297" s="29"/>
      <c r="QN1297" s="29"/>
      <c r="QO1297" s="29"/>
      <c r="QP1297" s="29"/>
      <c r="QQ1297" s="29"/>
      <c r="QR1297" s="29"/>
      <c r="QS1297" s="29"/>
      <c r="QT1297" s="29"/>
      <c r="QU1297" s="29"/>
      <c r="QV1297" s="29"/>
      <c r="QW1297" s="29"/>
      <c r="QX1297" s="29"/>
      <c r="QY1297" s="29"/>
      <c r="QZ1297" s="29"/>
      <c r="RA1297" s="29"/>
      <c r="RB1297" s="29"/>
      <c r="RC1297" s="29"/>
      <c r="RD1297" s="29"/>
      <c r="RE1297" s="29"/>
      <c r="RF1297" s="29"/>
      <c r="RG1297" s="29"/>
      <c r="RH1297" s="29"/>
      <c r="RI1297" s="29"/>
      <c r="RJ1297" s="29"/>
      <c r="RK1297" s="29"/>
      <c r="RL1297" s="29"/>
      <c r="RM1297" s="29"/>
      <c r="RN1297" s="29"/>
      <c r="RO1297" s="29"/>
      <c r="RP1297" s="29"/>
      <c r="RQ1297" s="29"/>
      <c r="RR1297" s="29"/>
      <c r="RS1297" s="29"/>
      <c r="RT1297" s="29"/>
      <c r="RU1297" s="29"/>
      <c r="RV1297" s="29"/>
      <c r="RW1297" s="29"/>
      <c r="RX1297" s="29"/>
      <c r="RY1297" s="29"/>
      <c r="RZ1297" s="29"/>
      <c r="SA1297" s="29"/>
      <c r="SB1297" s="29"/>
      <c r="SC1297" s="29"/>
      <c r="SD1297" s="29"/>
      <c r="SE1297" s="29"/>
      <c r="SF1297" s="29"/>
      <c r="SG1297" s="29"/>
      <c r="SH1297" s="29"/>
      <c r="SI1297" s="29"/>
      <c r="SJ1297" s="29"/>
      <c r="SK1297" s="29"/>
      <c r="SL1297" s="29"/>
      <c r="SM1297" s="29"/>
      <c r="SN1297" s="29"/>
      <c r="SO1297" s="29"/>
      <c r="SP1297" s="29"/>
      <c r="SQ1297" s="29"/>
      <c r="SR1297" s="29"/>
      <c r="SS1297" s="29"/>
      <c r="ST1297" s="29"/>
      <c r="SU1297" s="29"/>
      <c r="SV1297" s="29"/>
      <c r="SW1297" s="29"/>
      <c r="SX1297" s="29"/>
      <c r="SY1297" s="29"/>
      <c r="SZ1297" s="29"/>
      <c r="TA1297" s="29"/>
      <c r="TB1297" s="29"/>
      <c r="TC1297" s="29"/>
      <c r="TD1297" s="29"/>
      <c r="TE1297" s="29"/>
      <c r="TF1297" s="29"/>
      <c r="TG1297" s="29"/>
      <c r="TH1297" s="29"/>
      <c r="TI1297" s="29"/>
      <c r="TJ1297" s="29"/>
      <c r="TK1297" s="29"/>
      <c r="TL1297" s="29"/>
      <c r="TM1297" s="29"/>
      <c r="TN1297" s="29"/>
      <c r="TO1297" s="29"/>
      <c r="TP1297" s="29"/>
      <c r="TQ1297" s="29"/>
      <c r="TR1297" s="29"/>
      <c r="TS1297" s="29"/>
      <c r="TT1297" s="29"/>
      <c r="TU1297" s="29"/>
      <c r="TV1297" s="29"/>
      <c r="TW1297" s="29"/>
      <c r="TX1297" s="29"/>
      <c r="TY1297" s="29"/>
      <c r="TZ1297" s="29"/>
      <c r="UA1297" s="29"/>
      <c r="UB1297" s="29"/>
      <c r="UC1297" s="29"/>
      <c r="UD1297" s="29"/>
      <c r="UE1297" s="29"/>
      <c r="UF1297" s="29"/>
      <c r="UG1297" s="29"/>
    </row>
    <row r="1298" spans="1:553" ht="46.5" customHeight="1">
      <c r="A1298" s="356" t="s">
        <v>30</v>
      </c>
      <c r="B1298" s="787" t="s">
        <v>31</v>
      </c>
      <c r="C1298" s="1388" t="s">
        <v>1052</v>
      </c>
      <c r="D1298" s="1389"/>
      <c r="E1298" s="1389"/>
      <c r="F1298" s="1390"/>
      <c r="G1298" s="418" t="s">
        <v>34</v>
      </c>
      <c r="H1298" s="370"/>
      <c r="I1298" s="422">
        <f>0.11*0.5*7</f>
        <v>0.38500000000000001</v>
      </c>
      <c r="J1298" s="990">
        <v>2719403</v>
      </c>
      <c r="K1298" s="371"/>
      <c r="L1298" s="487">
        <f>ROUND(PRODUCT(I1298:K1298),0)</f>
        <v>1046970</v>
      </c>
      <c r="M1298" s="395"/>
      <c r="N1298" s="395"/>
      <c r="O1298" s="366"/>
      <c r="P1298" s="396"/>
      <c r="Q1298" s="473"/>
      <c r="R1298" s="1039"/>
      <c r="S1298" s="308"/>
      <c r="T1298" s="308"/>
      <c r="U1298" s="308"/>
      <c r="V1298" s="308"/>
      <c r="W1298" s="308"/>
      <c r="X1298" s="308"/>
      <c r="Y1298" s="308"/>
      <c r="Z1298" s="604"/>
      <c r="AA1298" s="308"/>
      <c r="AB1298" s="308"/>
      <c r="AC1298" s="486"/>
      <c r="AD1298" s="486"/>
      <c r="AE1298" s="486"/>
      <c r="AF1298" s="486"/>
      <c r="AG1298" s="486"/>
      <c r="AH1298" s="486"/>
      <c r="AI1298" s="486"/>
      <c r="AJ1298" s="486"/>
      <c r="AK1298" s="486"/>
      <c r="AL1298" s="206"/>
      <c r="AM1298" s="29"/>
      <c r="AN1298" s="29"/>
      <c r="AO1298" s="29"/>
      <c r="AP1298" s="29"/>
      <c r="AQ1298" s="29"/>
      <c r="AR1298" s="29"/>
      <c r="AS1298" s="29"/>
      <c r="AT1298" s="29"/>
      <c r="AU1298" s="29"/>
      <c r="AV1298" s="29"/>
      <c r="AW1298" s="29"/>
      <c r="AX1298" s="29"/>
      <c r="AY1298" s="29"/>
      <c r="AZ1298" s="29"/>
      <c r="BA1298" s="29"/>
      <c r="BB1298" s="29"/>
      <c r="BC1298" s="29"/>
      <c r="BD1298" s="29"/>
      <c r="BE1298" s="29"/>
      <c r="BF1298" s="29"/>
      <c r="BG1298" s="29"/>
      <c r="BH1298" s="29"/>
      <c r="BI1298" s="29"/>
      <c r="BJ1298" s="29"/>
      <c r="BK1298" s="29"/>
      <c r="BL1298" s="29"/>
      <c r="BM1298" s="29"/>
      <c r="BN1298" s="29"/>
      <c r="BO1298" s="29"/>
      <c r="BP1298" s="29"/>
      <c r="BQ1298" s="29"/>
      <c r="BR1298" s="29"/>
      <c r="BS1298" s="29"/>
      <c r="BT1298" s="29"/>
      <c r="BU1298" s="29"/>
      <c r="BV1298" s="29"/>
      <c r="BW1298" s="29"/>
      <c r="BX1298" s="29"/>
      <c r="BY1298" s="29"/>
      <c r="BZ1298" s="29"/>
      <c r="CA1298" s="29"/>
      <c r="CB1298" s="29"/>
      <c r="CC1298" s="29"/>
      <c r="CD1298" s="29"/>
      <c r="CE1298" s="29"/>
      <c r="CF1298" s="29"/>
      <c r="CG1298" s="29"/>
      <c r="CH1298" s="29"/>
      <c r="CI1298" s="29"/>
      <c r="CJ1298" s="29"/>
      <c r="CK1298" s="29"/>
      <c r="CL1298" s="29"/>
      <c r="CM1298" s="29"/>
      <c r="CN1298" s="29"/>
      <c r="CO1298" s="29"/>
      <c r="CP1298" s="29"/>
      <c r="CQ1298" s="29"/>
      <c r="CR1298" s="29"/>
      <c r="CS1298" s="29"/>
      <c r="CT1298" s="29"/>
      <c r="CU1298" s="29"/>
      <c r="CV1298" s="29"/>
      <c r="CW1298" s="29"/>
      <c r="CX1298" s="29"/>
      <c r="CY1298" s="29"/>
      <c r="CZ1298" s="29"/>
      <c r="DA1298" s="29"/>
      <c r="DB1298" s="29"/>
      <c r="DC1298" s="29"/>
      <c r="DD1298" s="29"/>
      <c r="DE1298" s="29"/>
      <c r="DF1298" s="29"/>
      <c r="DG1298" s="29"/>
      <c r="DH1298" s="29"/>
      <c r="DI1298" s="29"/>
      <c r="DJ1298" s="29"/>
      <c r="DK1298" s="29"/>
      <c r="DL1298" s="29"/>
      <c r="DM1298" s="29"/>
      <c r="DN1298" s="29"/>
      <c r="DO1298" s="29"/>
      <c r="DP1298" s="29"/>
      <c r="DQ1298" s="29"/>
      <c r="DR1298" s="29"/>
      <c r="DS1298" s="29"/>
      <c r="DT1298" s="29"/>
      <c r="DU1298" s="29"/>
      <c r="DV1298" s="29"/>
      <c r="DW1298" s="29"/>
      <c r="DX1298" s="29"/>
      <c r="DY1298" s="29"/>
      <c r="DZ1298" s="29"/>
      <c r="EA1298" s="29"/>
      <c r="EB1298" s="29"/>
      <c r="EC1298" s="29"/>
      <c r="ED1298" s="29"/>
      <c r="EE1298" s="29"/>
      <c r="EF1298" s="29"/>
      <c r="EG1298" s="29"/>
      <c r="EH1298" s="29"/>
      <c r="EI1298" s="29"/>
      <c r="EJ1298" s="29"/>
      <c r="EK1298" s="29"/>
      <c r="EL1298" s="29"/>
      <c r="EM1298" s="29"/>
      <c r="EN1298" s="29"/>
      <c r="EO1298" s="29"/>
      <c r="EP1298" s="29"/>
      <c r="EQ1298" s="29"/>
      <c r="ER1298" s="29"/>
      <c r="ES1298" s="29"/>
      <c r="ET1298" s="29"/>
      <c r="EU1298" s="29"/>
      <c r="EV1298" s="29"/>
      <c r="EW1298" s="29"/>
      <c r="EX1298" s="29"/>
      <c r="EY1298" s="29"/>
      <c r="EZ1298" s="29"/>
      <c r="FA1298" s="29"/>
      <c r="FB1298" s="29"/>
      <c r="FC1298" s="29"/>
      <c r="FD1298" s="29"/>
      <c r="FE1298" s="29"/>
      <c r="FF1298" s="29"/>
      <c r="FG1298" s="29"/>
      <c r="FH1298" s="29"/>
      <c r="FI1298" s="29"/>
      <c r="FJ1298" s="29"/>
      <c r="FK1298" s="29"/>
      <c r="FL1298" s="29"/>
      <c r="FM1298" s="29"/>
      <c r="FN1298" s="29"/>
      <c r="FO1298" s="29"/>
      <c r="FP1298" s="29"/>
      <c r="FQ1298" s="29"/>
      <c r="FR1298" s="29"/>
      <c r="FS1298" s="29"/>
      <c r="FT1298" s="29"/>
      <c r="FU1298" s="29"/>
      <c r="FV1298" s="29"/>
      <c r="FW1298" s="29"/>
      <c r="FX1298" s="29"/>
      <c r="FY1298" s="29"/>
      <c r="FZ1298" s="29"/>
      <c r="GA1298" s="29"/>
      <c r="GB1298" s="29"/>
      <c r="GC1298" s="29"/>
      <c r="GD1298" s="29"/>
      <c r="GE1298" s="29"/>
      <c r="GF1298" s="29"/>
      <c r="GG1298" s="29"/>
      <c r="GH1298" s="29"/>
      <c r="GI1298" s="29"/>
      <c r="GJ1298" s="29"/>
      <c r="GK1298" s="29"/>
      <c r="GL1298" s="29"/>
      <c r="GM1298" s="29"/>
      <c r="GN1298" s="29"/>
      <c r="GO1298" s="29"/>
      <c r="GP1298" s="29"/>
      <c r="GQ1298" s="29"/>
      <c r="GR1298" s="29"/>
      <c r="GS1298" s="29"/>
      <c r="GT1298" s="29"/>
      <c r="GU1298" s="29"/>
      <c r="GV1298" s="29"/>
      <c r="GW1298" s="29"/>
      <c r="GX1298" s="29"/>
      <c r="GY1298" s="29"/>
      <c r="GZ1298" s="29"/>
      <c r="HA1298" s="29"/>
      <c r="HB1298" s="29"/>
      <c r="HC1298" s="29"/>
      <c r="HD1298" s="29"/>
      <c r="HE1298" s="29"/>
      <c r="HF1298" s="29"/>
      <c r="HG1298" s="29"/>
      <c r="HH1298" s="29"/>
      <c r="HI1298" s="29"/>
      <c r="HJ1298" s="29"/>
      <c r="HK1298" s="29"/>
      <c r="HL1298" s="29"/>
      <c r="HM1298" s="29"/>
      <c r="HN1298" s="29"/>
      <c r="HO1298" s="29"/>
      <c r="HP1298" s="29"/>
      <c r="HQ1298" s="29"/>
      <c r="HR1298" s="29"/>
      <c r="HS1298" s="29"/>
      <c r="HT1298" s="29"/>
      <c r="HU1298" s="29"/>
      <c r="HV1298" s="29"/>
      <c r="HW1298" s="29"/>
      <c r="HX1298" s="29"/>
      <c r="HY1298" s="29"/>
      <c r="HZ1298" s="29"/>
      <c r="IA1298" s="29"/>
      <c r="IB1298" s="29"/>
      <c r="IC1298" s="29"/>
      <c r="ID1298" s="29"/>
      <c r="IE1298" s="29"/>
      <c r="IF1298" s="29"/>
      <c r="IG1298" s="29"/>
      <c r="IH1298" s="29"/>
      <c r="II1298" s="29"/>
      <c r="IJ1298" s="29"/>
      <c r="IK1298" s="29"/>
      <c r="IL1298" s="29"/>
      <c r="IM1298" s="29"/>
      <c r="IN1298" s="29"/>
      <c r="IO1298" s="29"/>
      <c r="IP1298" s="29"/>
      <c r="IQ1298" s="29"/>
      <c r="IR1298" s="29"/>
      <c r="IS1298" s="29"/>
      <c r="IT1298" s="29"/>
      <c r="IU1298" s="29"/>
      <c r="IV1298" s="29"/>
      <c r="IW1298" s="29"/>
      <c r="IX1298" s="29"/>
      <c r="IY1298" s="29"/>
      <c r="IZ1298" s="29"/>
      <c r="JA1298" s="29"/>
      <c r="JB1298" s="29"/>
      <c r="JC1298" s="29"/>
      <c r="JD1298" s="29"/>
      <c r="JE1298" s="29"/>
      <c r="JF1298" s="29"/>
      <c r="JG1298" s="29"/>
      <c r="JH1298" s="29"/>
      <c r="JI1298" s="29"/>
      <c r="JJ1298" s="29"/>
      <c r="JK1298" s="29"/>
      <c r="JL1298" s="29"/>
      <c r="JM1298" s="29"/>
      <c r="JN1298" s="29"/>
      <c r="JO1298" s="29"/>
      <c r="JP1298" s="29"/>
      <c r="JQ1298" s="29"/>
      <c r="JR1298" s="29"/>
      <c r="JS1298" s="29"/>
      <c r="JT1298" s="29"/>
      <c r="JU1298" s="29"/>
      <c r="JV1298" s="29"/>
      <c r="JW1298" s="29"/>
      <c r="JX1298" s="29"/>
      <c r="JY1298" s="29"/>
      <c r="JZ1298" s="29"/>
      <c r="KA1298" s="29"/>
      <c r="KB1298" s="29"/>
      <c r="KC1298" s="29"/>
      <c r="KD1298" s="29"/>
      <c r="KE1298" s="29"/>
      <c r="KF1298" s="29"/>
      <c r="KG1298" s="29"/>
      <c r="KH1298" s="29"/>
      <c r="KI1298" s="29"/>
      <c r="KJ1298" s="29"/>
      <c r="KK1298" s="29"/>
      <c r="KL1298" s="29"/>
      <c r="KM1298" s="29"/>
      <c r="KN1298" s="29"/>
      <c r="KO1298" s="29"/>
      <c r="KP1298" s="29"/>
      <c r="KQ1298" s="29"/>
      <c r="KR1298" s="29"/>
      <c r="KS1298" s="29"/>
      <c r="KT1298" s="29"/>
      <c r="KU1298" s="29"/>
      <c r="KV1298" s="29"/>
      <c r="KW1298" s="29"/>
      <c r="KX1298" s="29"/>
      <c r="KY1298" s="29"/>
      <c r="KZ1298" s="29"/>
      <c r="LA1298" s="29"/>
      <c r="LB1298" s="29"/>
      <c r="LC1298" s="29"/>
      <c r="LD1298" s="29"/>
      <c r="LE1298" s="29"/>
      <c r="LF1298" s="29"/>
      <c r="LG1298" s="29"/>
      <c r="LH1298" s="29"/>
      <c r="LI1298" s="29"/>
      <c r="LJ1298" s="29"/>
      <c r="LK1298" s="29"/>
      <c r="LL1298" s="29"/>
      <c r="LM1298" s="29"/>
      <c r="LN1298" s="29"/>
      <c r="LO1298" s="29"/>
      <c r="LP1298" s="29"/>
      <c r="LQ1298" s="29"/>
      <c r="LR1298" s="29"/>
      <c r="LS1298" s="29"/>
      <c r="LT1298" s="29"/>
      <c r="LU1298" s="29"/>
      <c r="LV1298" s="29"/>
      <c r="LW1298" s="29"/>
      <c r="LX1298" s="29"/>
      <c r="LY1298" s="29"/>
      <c r="LZ1298" s="29"/>
      <c r="MA1298" s="29"/>
      <c r="MB1298" s="29"/>
      <c r="MC1298" s="29"/>
      <c r="MD1298" s="29"/>
      <c r="ME1298" s="29"/>
      <c r="MF1298" s="29"/>
      <c r="MG1298" s="29"/>
      <c r="MH1298" s="29"/>
      <c r="MI1298" s="29"/>
      <c r="MJ1298" s="29"/>
      <c r="MK1298" s="29"/>
      <c r="ML1298" s="29"/>
      <c r="MM1298" s="29"/>
      <c r="MN1298" s="29"/>
      <c r="MO1298" s="29"/>
      <c r="MP1298" s="29"/>
      <c r="MQ1298" s="29"/>
      <c r="MR1298" s="29"/>
      <c r="MS1298" s="29"/>
      <c r="MT1298" s="29"/>
      <c r="MU1298" s="29"/>
      <c r="MV1298" s="29"/>
      <c r="MW1298" s="29"/>
      <c r="MX1298" s="29"/>
      <c r="MY1298" s="29"/>
      <c r="MZ1298" s="29"/>
      <c r="NA1298" s="29"/>
      <c r="NB1298" s="29"/>
      <c r="NC1298" s="29"/>
      <c r="ND1298" s="29"/>
      <c r="NE1298" s="29"/>
      <c r="NF1298" s="29"/>
      <c r="NG1298" s="29"/>
      <c r="NH1298" s="29"/>
      <c r="NI1298" s="29"/>
      <c r="NJ1298" s="29"/>
      <c r="NK1298" s="29"/>
      <c r="NL1298" s="29"/>
      <c r="NM1298" s="29"/>
      <c r="NN1298" s="29"/>
      <c r="NO1298" s="29"/>
      <c r="NP1298" s="29"/>
      <c r="NQ1298" s="29"/>
      <c r="NR1298" s="29"/>
      <c r="NS1298" s="29"/>
      <c r="NT1298" s="29"/>
      <c r="NU1298" s="29"/>
      <c r="NV1298" s="29"/>
      <c r="NW1298" s="29"/>
      <c r="NX1298" s="29"/>
      <c r="NY1298" s="29"/>
      <c r="NZ1298" s="29"/>
      <c r="OA1298" s="29"/>
      <c r="OB1298" s="29"/>
      <c r="OC1298" s="29"/>
      <c r="OD1298" s="29"/>
      <c r="OE1298" s="29"/>
      <c r="OF1298" s="29"/>
      <c r="OG1298" s="29"/>
      <c r="OH1298" s="29"/>
      <c r="OI1298" s="29"/>
      <c r="OJ1298" s="29"/>
      <c r="OK1298" s="29"/>
      <c r="OL1298" s="29"/>
      <c r="OM1298" s="29"/>
      <c r="ON1298" s="29"/>
      <c r="OO1298" s="29"/>
      <c r="OP1298" s="29"/>
      <c r="OQ1298" s="29"/>
      <c r="OR1298" s="29"/>
      <c r="OS1298" s="29"/>
      <c r="OT1298" s="29"/>
      <c r="OU1298" s="29"/>
      <c r="OV1298" s="29"/>
      <c r="OW1298" s="29"/>
      <c r="OX1298" s="29"/>
      <c r="OY1298" s="29"/>
      <c r="OZ1298" s="29"/>
      <c r="PA1298" s="29"/>
      <c r="PB1298" s="29"/>
      <c r="PC1298" s="29"/>
      <c r="PD1298" s="29"/>
      <c r="PE1298" s="29"/>
      <c r="PF1298" s="29"/>
      <c r="PG1298" s="29"/>
      <c r="PH1298" s="29"/>
      <c r="PI1298" s="29"/>
      <c r="PJ1298" s="29"/>
      <c r="PK1298" s="29"/>
      <c r="PL1298" s="29"/>
      <c r="PM1298" s="29"/>
      <c r="PN1298" s="29"/>
      <c r="PO1298" s="29"/>
      <c r="PP1298" s="29"/>
      <c r="PQ1298" s="29"/>
      <c r="PR1298" s="29"/>
      <c r="PS1298" s="29"/>
      <c r="PT1298" s="29"/>
      <c r="PU1298" s="29"/>
      <c r="PV1298" s="29"/>
      <c r="PW1298" s="29"/>
      <c r="PX1298" s="29"/>
      <c r="PY1298" s="29"/>
      <c r="PZ1298" s="29"/>
      <c r="QA1298" s="29"/>
      <c r="QB1298" s="29"/>
      <c r="QC1298" s="29"/>
      <c r="QD1298" s="29"/>
      <c r="QE1298" s="29"/>
      <c r="QF1298" s="29"/>
      <c r="QG1298" s="29"/>
      <c r="QH1298" s="29"/>
      <c r="QI1298" s="29"/>
      <c r="QJ1298" s="29"/>
      <c r="QK1298" s="29"/>
      <c r="QL1298" s="29"/>
      <c r="QM1298" s="29"/>
      <c r="QN1298" s="29"/>
      <c r="QO1298" s="29"/>
      <c r="QP1298" s="29"/>
      <c r="QQ1298" s="29"/>
      <c r="QR1298" s="29"/>
      <c r="QS1298" s="29"/>
      <c r="QT1298" s="29"/>
      <c r="QU1298" s="29"/>
      <c r="QV1298" s="29"/>
      <c r="QW1298" s="29"/>
      <c r="QX1298" s="29"/>
      <c r="QY1298" s="29"/>
      <c r="QZ1298" s="29"/>
      <c r="RA1298" s="29"/>
      <c r="RB1298" s="29"/>
      <c r="RC1298" s="29"/>
      <c r="RD1298" s="29"/>
      <c r="RE1298" s="29"/>
      <c r="RF1298" s="29"/>
      <c r="RG1298" s="29"/>
      <c r="RH1298" s="29"/>
      <c r="RI1298" s="29"/>
      <c r="RJ1298" s="29"/>
      <c r="RK1298" s="29"/>
      <c r="RL1298" s="29"/>
      <c r="RM1298" s="29"/>
      <c r="RN1298" s="29"/>
      <c r="RO1298" s="29"/>
      <c r="RP1298" s="29"/>
      <c r="RQ1298" s="29"/>
      <c r="RR1298" s="29"/>
      <c r="RS1298" s="29"/>
      <c r="RT1298" s="29"/>
      <c r="RU1298" s="29"/>
      <c r="RV1298" s="29"/>
      <c r="RW1298" s="29"/>
      <c r="RX1298" s="29"/>
      <c r="RY1298" s="29"/>
      <c r="RZ1298" s="29"/>
      <c r="SA1298" s="29"/>
      <c r="SB1298" s="29"/>
      <c r="SC1298" s="29"/>
      <c r="SD1298" s="29"/>
      <c r="SE1298" s="29"/>
      <c r="SF1298" s="29"/>
      <c r="SG1298" s="29"/>
      <c r="SH1298" s="29"/>
      <c r="SI1298" s="29"/>
      <c r="SJ1298" s="29"/>
      <c r="SK1298" s="29"/>
      <c r="SL1298" s="29"/>
      <c r="SM1298" s="29"/>
      <c r="SN1298" s="29"/>
      <c r="SO1298" s="29"/>
      <c r="SP1298" s="29"/>
      <c r="SQ1298" s="29"/>
      <c r="SR1298" s="29"/>
      <c r="SS1298" s="29"/>
      <c r="ST1298" s="29"/>
      <c r="SU1298" s="29"/>
      <c r="SV1298" s="29"/>
      <c r="SW1298" s="29"/>
      <c r="SX1298" s="29"/>
      <c r="SY1298" s="29"/>
      <c r="SZ1298" s="29"/>
      <c r="TA1298" s="29"/>
      <c r="TB1298" s="29"/>
      <c r="TC1298" s="29"/>
      <c r="TD1298" s="29"/>
      <c r="TE1298" s="29"/>
      <c r="TF1298" s="29"/>
      <c r="TG1298" s="29"/>
      <c r="TH1298" s="29"/>
      <c r="TI1298" s="29"/>
      <c r="TJ1298" s="29"/>
      <c r="TK1298" s="29"/>
      <c r="TL1298" s="29"/>
      <c r="TM1298" s="29"/>
      <c r="TN1298" s="29"/>
      <c r="TO1298" s="29"/>
      <c r="TP1298" s="29"/>
      <c r="TQ1298" s="29"/>
      <c r="TR1298" s="29"/>
      <c r="TS1298" s="29"/>
      <c r="TT1298" s="29"/>
      <c r="TU1298" s="29"/>
      <c r="TV1298" s="29"/>
      <c r="TW1298" s="29"/>
      <c r="TX1298" s="29"/>
      <c r="TY1298" s="29"/>
      <c r="TZ1298" s="29"/>
      <c r="UA1298" s="29"/>
      <c r="UB1298" s="29"/>
      <c r="UC1298" s="29"/>
      <c r="UD1298" s="29"/>
      <c r="UE1298" s="29"/>
      <c r="UF1298" s="29"/>
      <c r="UG1298" s="29"/>
    </row>
    <row r="1299" spans="1:553" s="200" customFormat="1" ht="26.5" customHeight="1">
      <c r="A1299" s="356" t="s">
        <v>43</v>
      </c>
      <c r="B1299" s="356"/>
      <c r="C1299" s="1539" t="s">
        <v>1234</v>
      </c>
      <c r="D1299" s="1559"/>
      <c r="E1299" s="1559"/>
      <c r="F1299" s="1560"/>
      <c r="G1299" s="445"/>
      <c r="H1299" s="359"/>
      <c r="I1299" s="788"/>
      <c r="J1299" s="357"/>
      <c r="K1299" s="364"/>
      <c r="L1299" s="1198">
        <f>SUM(L1300:L1302)</f>
        <v>2383872</v>
      </c>
      <c r="M1299" s="395"/>
      <c r="N1299" s="395"/>
      <c r="O1299" s="356"/>
      <c r="P1299" s="789">
        <f>L1299</f>
        <v>2383872</v>
      </c>
      <c r="Q1299" s="1157"/>
      <c r="R1299" s="1167"/>
      <c r="S1299" s="308"/>
      <c r="T1299" s="308"/>
      <c r="U1299" s="308"/>
      <c r="V1299" s="308"/>
      <c r="W1299" s="308"/>
      <c r="X1299" s="308"/>
      <c r="Y1299" s="308"/>
      <c r="Z1299" s="604"/>
      <c r="AA1299" s="308"/>
      <c r="AB1299" s="308"/>
      <c r="AC1299" s="837"/>
      <c r="AD1299" s="837"/>
      <c r="AE1299" s="837"/>
      <c r="AF1299" s="837"/>
      <c r="AG1299" s="837"/>
      <c r="AH1299" s="837"/>
      <c r="AI1299" s="837"/>
      <c r="AJ1299" s="837"/>
      <c r="AK1299" s="837"/>
      <c r="AL1299" s="328"/>
      <c r="AM1299" s="199"/>
      <c r="AN1299" s="199"/>
      <c r="AO1299" s="199"/>
      <c r="AP1299" s="199"/>
      <c r="AQ1299" s="199"/>
      <c r="AR1299" s="199"/>
      <c r="AS1299" s="199"/>
      <c r="AT1299" s="199"/>
      <c r="AU1299" s="199"/>
      <c r="AV1299" s="199"/>
      <c r="AW1299" s="199"/>
      <c r="AX1299" s="199"/>
      <c r="AY1299" s="199"/>
      <c r="AZ1299" s="199"/>
      <c r="BA1299" s="199"/>
      <c r="BB1299" s="199"/>
      <c r="BC1299" s="199"/>
      <c r="BD1299" s="199"/>
      <c r="BE1299" s="199"/>
      <c r="BF1299" s="199"/>
      <c r="BG1299" s="199"/>
      <c r="BH1299" s="199"/>
      <c r="BI1299" s="199"/>
      <c r="BJ1299" s="199"/>
      <c r="BK1299" s="199"/>
      <c r="BL1299" s="199"/>
      <c r="BM1299" s="199"/>
      <c r="BN1299" s="199"/>
      <c r="BO1299" s="199"/>
      <c r="BP1299" s="199"/>
      <c r="BQ1299" s="199"/>
      <c r="BR1299" s="199"/>
      <c r="BS1299" s="199"/>
      <c r="BT1299" s="199"/>
      <c r="BU1299" s="199"/>
      <c r="BV1299" s="199"/>
      <c r="BW1299" s="199"/>
      <c r="BX1299" s="199"/>
      <c r="BY1299" s="199"/>
      <c r="BZ1299" s="199"/>
      <c r="CA1299" s="199"/>
      <c r="CB1299" s="199"/>
      <c r="CC1299" s="199"/>
      <c r="CD1299" s="199"/>
      <c r="CE1299" s="199"/>
      <c r="CF1299" s="199"/>
      <c r="CG1299" s="199"/>
      <c r="CH1299" s="199"/>
      <c r="CI1299" s="199"/>
      <c r="CJ1299" s="199"/>
      <c r="CK1299" s="199"/>
      <c r="CL1299" s="199"/>
      <c r="CM1299" s="199"/>
      <c r="CN1299" s="199"/>
      <c r="CO1299" s="199"/>
      <c r="CP1299" s="199"/>
      <c r="CQ1299" s="199"/>
      <c r="CR1299" s="199"/>
      <c r="CS1299" s="199"/>
      <c r="CT1299" s="199"/>
      <c r="CU1299" s="199"/>
      <c r="CV1299" s="199"/>
      <c r="CW1299" s="199"/>
      <c r="CX1299" s="199"/>
      <c r="CY1299" s="199"/>
      <c r="CZ1299" s="199"/>
      <c r="DA1299" s="199"/>
      <c r="DB1299" s="199"/>
      <c r="DC1299" s="199"/>
      <c r="DD1299" s="199"/>
      <c r="DE1299" s="199"/>
      <c r="DF1299" s="199"/>
      <c r="DG1299" s="199"/>
      <c r="DH1299" s="199"/>
      <c r="DI1299" s="199"/>
      <c r="DJ1299" s="199"/>
      <c r="DK1299" s="199"/>
      <c r="DL1299" s="199"/>
      <c r="DM1299" s="199"/>
      <c r="DN1299" s="199"/>
      <c r="DO1299" s="199"/>
      <c r="DP1299" s="199"/>
      <c r="DQ1299" s="199"/>
      <c r="DR1299" s="199"/>
      <c r="DS1299" s="199"/>
      <c r="DT1299" s="199"/>
      <c r="DU1299" s="199"/>
      <c r="DV1299" s="199"/>
      <c r="DW1299" s="199"/>
      <c r="DX1299" s="199"/>
      <c r="DY1299" s="199"/>
      <c r="DZ1299" s="199"/>
      <c r="EA1299" s="199"/>
      <c r="EB1299" s="199"/>
      <c r="EC1299" s="199"/>
      <c r="ED1299" s="199"/>
      <c r="EE1299" s="199"/>
      <c r="EF1299" s="199"/>
      <c r="EG1299" s="199"/>
      <c r="EH1299" s="199"/>
      <c r="EI1299" s="199"/>
      <c r="EJ1299" s="199"/>
      <c r="EK1299" s="199"/>
      <c r="EL1299" s="199"/>
      <c r="EM1299" s="199"/>
      <c r="EN1299" s="199"/>
      <c r="EO1299" s="199"/>
      <c r="EP1299" s="199"/>
      <c r="EQ1299" s="199"/>
      <c r="ER1299" s="199"/>
      <c r="ES1299" s="199"/>
      <c r="ET1299" s="199"/>
      <c r="EU1299" s="199"/>
      <c r="EV1299" s="199"/>
      <c r="EW1299" s="199"/>
      <c r="EX1299" s="199"/>
      <c r="EY1299" s="199"/>
      <c r="EZ1299" s="199"/>
      <c r="FA1299" s="199"/>
      <c r="FB1299" s="199"/>
      <c r="FC1299" s="199"/>
      <c r="FD1299" s="199"/>
      <c r="FE1299" s="199"/>
      <c r="FF1299" s="199"/>
      <c r="FG1299" s="199"/>
      <c r="FH1299" s="199"/>
      <c r="FI1299" s="199"/>
      <c r="FJ1299" s="199"/>
      <c r="FK1299" s="199"/>
      <c r="FL1299" s="199"/>
      <c r="FM1299" s="199"/>
      <c r="FN1299" s="199"/>
      <c r="FO1299" s="199"/>
      <c r="FP1299" s="199"/>
      <c r="FQ1299" s="199"/>
      <c r="FR1299" s="199"/>
      <c r="FS1299" s="199"/>
      <c r="FT1299" s="199"/>
      <c r="FU1299" s="199"/>
      <c r="FV1299" s="199"/>
      <c r="FW1299" s="199"/>
      <c r="FX1299" s="199"/>
      <c r="FY1299" s="199"/>
      <c r="FZ1299" s="199"/>
      <c r="GA1299" s="199"/>
      <c r="GB1299" s="199"/>
      <c r="GC1299" s="199"/>
      <c r="GD1299" s="199"/>
      <c r="GE1299" s="199"/>
      <c r="GF1299" s="199"/>
      <c r="GG1299" s="199"/>
      <c r="GH1299" s="199"/>
      <c r="GI1299" s="199"/>
      <c r="GJ1299" s="199"/>
      <c r="GK1299" s="199"/>
      <c r="GL1299" s="199"/>
      <c r="GM1299" s="199"/>
      <c r="GN1299" s="199"/>
      <c r="GO1299" s="199"/>
      <c r="GP1299" s="199"/>
      <c r="GQ1299" s="199"/>
      <c r="GR1299" s="199"/>
      <c r="GS1299" s="199"/>
      <c r="GT1299" s="199"/>
      <c r="GU1299" s="199"/>
      <c r="GV1299" s="199"/>
      <c r="GW1299" s="199"/>
      <c r="GX1299" s="199"/>
      <c r="GY1299" s="199"/>
      <c r="GZ1299" s="199"/>
      <c r="HA1299" s="199"/>
      <c r="HB1299" s="199"/>
      <c r="HC1299" s="199"/>
      <c r="HD1299" s="199"/>
      <c r="HE1299" s="199"/>
      <c r="HF1299" s="199"/>
      <c r="HG1299" s="199"/>
      <c r="HH1299" s="199"/>
      <c r="HI1299" s="199"/>
      <c r="HJ1299" s="199"/>
      <c r="HK1299" s="199"/>
      <c r="HL1299" s="199"/>
      <c r="HM1299" s="199"/>
      <c r="HN1299" s="199"/>
      <c r="HO1299" s="199"/>
      <c r="HP1299" s="199"/>
      <c r="HQ1299" s="199"/>
      <c r="HR1299" s="199"/>
      <c r="HS1299" s="199"/>
      <c r="HT1299" s="199"/>
      <c r="HU1299" s="199"/>
      <c r="HV1299" s="199"/>
      <c r="HW1299" s="199"/>
      <c r="HX1299" s="199"/>
      <c r="HY1299" s="199"/>
      <c r="HZ1299" s="199"/>
      <c r="IA1299" s="199"/>
      <c r="IB1299" s="199"/>
      <c r="IC1299" s="199"/>
      <c r="ID1299" s="199"/>
      <c r="IE1299" s="199"/>
      <c r="IF1299" s="199"/>
      <c r="IG1299" s="199"/>
      <c r="IH1299" s="199"/>
      <c r="II1299" s="199"/>
      <c r="IJ1299" s="199"/>
      <c r="IK1299" s="199"/>
      <c r="IL1299" s="199"/>
      <c r="IM1299" s="199"/>
      <c r="IN1299" s="199"/>
      <c r="IO1299" s="199"/>
      <c r="IP1299" s="199"/>
      <c r="IQ1299" s="199"/>
      <c r="IR1299" s="199"/>
      <c r="IS1299" s="199"/>
      <c r="IT1299" s="199"/>
      <c r="IU1299" s="199"/>
      <c r="IV1299" s="199"/>
      <c r="IW1299" s="199"/>
      <c r="IX1299" s="199"/>
      <c r="IY1299" s="199"/>
      <c r="IZ1299" s="199"/>
      <c r="JA1299" s="199"/>
      <c r="JB1299" s="199"/>
      <c r="JC1299" s="199"/>
      <c r="JD1299" s="199"/>
      <c r="JE1299" s="199"/>
      <c r="JF1299" s="199"/>
      <c r="JG1299" s="199"/>
      <c r="JH1299" s="199"/>
      <c r="JI1299" s="199"/>
      <c r="JJ1299" s="199"/>
      <c r="JK1299" s="199"/>
      <c r="JL1299" s="199"/>
      <c r="JM1299" s="199"/>
      <c r="JN1299" s="199"/>
      <c r="JO1299" s="199"/>
      <c r="JP1299" s="199"/>
      <c r="JQ1299" s="199"/>
      <c r="JR1299" s="199"/>
      <c r="JS1299" s="199"/>
      <c r="JT1299" s="199"/>
      <c r="JU1299" s="199"/>
      <c r="JV1299" s="199"/>
      <c r="JW1299" s="199"/>
      <c r="JX1299" s="199"/>
      <c r="JY1299" s="199"/>
      <c r="JZ1299" s="199"/>
      <c r="KA1299" s="199"/>
      <c r="KB1299" s="199"/>
      <c r="KC1299" s="199"/>
      <c r="KD1299" s="199"/>
      <c r="KE1299" s="199"/>
      <c r="KF1299" s="199"/>
      <c r="KG1299" s="199"/>
      <c r="KH1299" s="199"/>
      <c r="KI1299" s="199"/>
      <c r="KJ1299" s="199"/>
      <c r="KK1299" s="199"/>
      <c r="KL1299" s="199"/>
      <c r="KM1299" s="199"/>
      <c r="KN1299" s="199"/>
      <c r="KO1299" s="199"/>
      <c r="KP1299" s="199"/>
      <c r="KQ1299" s="199"/>
      <c r="KR1299" s="199"/>
      <c r="KS1299" s="199"/>
      <c r="KT1299" s="199"/>
      <c r="KU1299" s="199"/>
      <c r="KV1299" s="199"/>
      <c r="KW1299" s="199"/>
      <c r="KX1299" s="199"/>
      <c r="KY1299" s="199"/>
      <c r="KZ1299" s="199"/>
      <c r="LA1299" s="199"/>
      <c r="LB1299" s="199"/>
      <c r="LC1299" s="199"/>
      <c r="LD1299" s="199"/>
      <c r="LE1299" s="199"/>
      <c r="LF1299" s="199"/>
      <c r="LG1299" s="199"/>
      <c r="LH1299" s="199"/>
      <c r="LI1299" s="199"/>
      <c r="LJ1299" s="199"/>
      <c r="LK1299" s="199"/>
      <c r="LL1299" s="199"/>
      <c r="LM1299" s="199"/>
      <c r="LN1299" s="199"/>
      <c r="LO1299" s="199"/>
      <c r="LP1299" s="199"/>
      <c r="LQ1299" s="199"/>
      <c r="LR1299" s="199"/>
      <c r="LS1299" s="199"/>
      <c r="LT1299" s="199"/>
      <c r="LU1299" s="199"/>
      <c r="LV1299" s="199"/>
      <c r="LW1299" s="199"/>
      <c r="LX1299" s="199"/>
      <c r="LY1299" s="199"/>
      <c r="LZ1299" s="199"/>
      <c r="MA1299" s="199"/>
      <c r="MB1299" s="199"/>
      <c r="MC1299" s="199"/>
      <c r="MD1299" s="199"/>
      <c r="ME1299" s="199"/>
      <c r="MF1299" s="199"/>
      <c r="MG1299" s="199"/>
      <c r="MH1299" s="199"/>
      <c r="MI1299" s="199"/>
      <c r="MJ1299" s="199"/>
      <c r="MK1299" s="199"/>
      <c r="ML1299" s="199"/>
      <c r="MM1299" s="199"/>
      <c r="MN1299" s="199"/>
      <c r="MO1299" s="199"/>
      <c r="MP1299" s="199"/>
      <c r="MQ1299" s="199"/>
      <c r="MR1299" s="199"/>
      <c r="MS1299" s="199"/>
      <c r="MT1299" s="199"/>
      <c r="MU1299" s="199"/>
      <c r="MV1299" s="199"/>
      <c r="MW1299" s="199"/>
      <c r="MX1299" s="199"/>
      <c r="MY1299" s="199"/>
      <c r="MZ1299" s="199"/>
      <c r="NA1299" s="199"/>
      <c r="NB1299" s="199"/>
      <c r="NC1299" s="199"/>
      <c r="ND1299" s="199"/>
      <c r="NE1299" s="199"/>
      <c r="NF1299" s="199"/>
      <c r="NG1299" s="199"/>
      <c r="NH1299" s="199"/>
      <c r="NI1299" s="199"/>
      <c r="NJ1299" s="199"/>
      <c r="NK1299" s="199"/>
      <c r="NL1299" s="199"/>
      <c r="NM1299" s="199"/>
      <c r="NN1299" s="199"/>
      <c r="NO1299" s="199"/>
      <c r="NP1299" s="199"/>
      <c r="NQ1299" s="199"/>
      <c r="NR1299" s="199"/>
      <c r="NS1299" s="199"/>
      <c r="NT1299" s="199"/>
      <c r="NU1299" s="199"/>
      <c r="NV1299" s="199"/>
      <c r="NW1299" s="199"/>
      <c r="NX1299" s="199"/>
      <c r="NY1299" s="199"/>
      <c r="NZ1299" s="199"/>
      <c r="OA1299" s="199"/>
      <c r="OB1299" s="199"/>
      <c r="OC1299" s="199"/>
      <c r="OD1299" s="199"/>
      <c r="OE1299" s="199"/>
      <c r="OF1299" s="199"/>
      <c r="OG1299" s="199"/>
      <c r="OH1299" s="199"/>
      <c r="OI1299" s="199"/>
      <c r="OJ1299" s="199"/>
      <c r="OK1299" s="199"/>
      <c r="OL1299" s="199"/>
      <c r="OM1299" s="199"/>
      <c r="ON1299" s="199"/>
      <c r="OO1299" s="199"/>
      <c r="OP1299" s="199"/>
      <c r="OQ1299" s="199"/>
      <c r="OR1299" s="199"/>
      <c r="OS1299" s="199"/>
      <c r="OT1299" s="199"/>
      <c r="OU1299" s="199"/>
      <c r="OV1299" s="199"/>
      <c r="OW1299" s="199"/>
      <c r="OX1299" s="199"/>
      <c r="OY1299" s="199"/>
      <c r="OZ1299" s="199"/>
      <c r="PA1299" s="199"/>
      <c r="PB1299" s="199"/>
      <c r="PC1299" s="199"/>
      <c r="PD1299" s="199"/>
      <c r="PE1299" s="199"/>
      <c r="PF1299" s="199"/>
      <c r="PG1299" s="199"/>
      <c r="PH1299" s="199"/>
      <c r="PI1299" s="199"/>
      <c r="PJ1299" s="199"/>
      <c r="PK1299" s="199"/>
      <c r="PL1299" s="199"/>
      <c r="PM1299" s="199"/>
      <c r="PN1299" s="199"/>
      <c r="PO1299" s="199"/>
      <c r="PP1299" s="199"/>
      <c r="PQ1299" s="199"/>
      <c r="PR1299" s="199"/>
      <c r="PS1299" s="199"/>
      <c r="PT1299" s="199"/>
      <c r="PU1299" s="199"/>
      <c r="PV1299" s="199"/>
      <c r="PW1299" s="199"/>
      <c r="PX1299" s="199"/>
      <c r="PY1299" s="199"/>
      <c r="PZ1299" s="199"/>
      <c r="QA1299" s="199"/>
      <c r="QB1299" s="199"/>
      <c r="QC1299" s="199"/>
      <c r="QD1299" s="199"/>
      <c r="QE1299" s="199"/>
      <c r="QF1299" s="199"/>
      <c r="QG1299" s="199"/>
      <c r="QH1299" s="199"/>
      <c r="QI1299" s="199"/>
      <c r="QJ1299" s="199"/>
      <c r="QK1299" s="199"/>
      <c r="QL1299" s="199"/>
      <c r="QM1299" s="199"/>
      <c r="QN1299" s="199"/>
      <c r="QO1299" s="199"/>
      <c r="QP1299" s="199"/>
      <c r="QQ1299" s="199"/>
      <c r="QR1299" s="199"/>
      <c r="QS1299" s="199"/>
      <c r="QT1299" s="199"/>
      <c r="QU1299" s="199"/>
      <c r="QV1299" s="199"/>
      <c r="QW1299" s="199"/>
      <c r="QX1299" s="199"/>
      <c r="QY1299" s="199"/>
      <c r="QZ1299" s="199"/>
      <c r="RA1299" s="199"/>
      <c r="RB1299" s="199"/>
      <c r="RC1299" s="199"/>
      <c r="RD1299" s="199"/>
      <c r="RE1299" s="199"/>
      <c r="RF1299" s="199"/>
      <c r="RG1299" s="199"/>
      <c r="RH1299" s="199"/>
      <c r="RI1299" s="199"/>
      <c r="RJ1299" s="199"/>
      <c r="RK1299" s="199"/>
      <c r="RL1299" s="199"/>
      <c r="RM1299" s="199"/>
      <c r="RN1299" s="199"/>
      <c r="RO1299" s="199"/>
      <c r="RP1299" s="199"/>
      <c r="RQ1299" s="199"/>
      <c r="RR1299" s="199"/>
      <c r="RS1299" s="199"/>
      <c r="RT1299" s="199"/>
      <c r="RU1299" s="199"/>
      <c r="RV1299" s="199"/>
      <c r="RW1299" s="199"/>
      <c r="RX1299" s="199"/>
      <c r="RY1299" s="199"/>
      <c r="RZ1299" s="199"/>
      <c r="SA1299" s="199"/>
      <c r="SB1299" s="199"/>
      <c r="SC1299" s="199"/>
      <c r="SD1299" s="199"/>
      <c r="SE1299" s="199"/>
      <c r="SF1299" s="199"/>
      <c r="SG1299" s="199"/>
      <c r="SH1299" s="199"/>
      <c r="SI1299" s="199"/>
      <c r="SJ1299" s="199"/>
      <c r="SK1299" s="199"/>
      <c r="SL1299" s="199"/>
      <c r="SM1299" s="199"/>
      <c r="SN1299" s="199"/>
      <c r="SO1299" s="199"/>
      <c r="SP1299" s="199"/>
      <c r="SQ1299" s="199"/>
      <c r="SR1299" s="199"/>
      <c r="SS1299" s="199"/>
      <c r="ST1299" s="199"/>
      <c r="SU1299" s="199"/>
      <c r="SV1299" s="199"/>
      <c r="SW1299" s="199"/>
      <c r="SX1299" s="199"/>
      <c r="SY1299" s="199"/>
      <c r="SZ1299" s="199"/>
      <c r="TA1299" s="199"/>
      <c r="TB1299" s="199"/>
      <c r="TC1299" s="199"/>
      <c r="TD1299" s="199"/>
      <c r="TE1299" s="199"/>
      <c r="TF1299" s="199"/>
      <c r="TG1299" s="199"/>
      <c r="TH1299" s="199"/>
      <c r="TI1299" s="199"/>
      <c r="TJ1299" s="199"/>
      <c r="TK1299" s="199"/>
      <c r="TL1299" s="199"/>
      <c r="TM1299" s="199"/>
      <c r="TN1299" s="199"/>
      <c r="TO1299" s="199"/>
      <c r="TP1299" s="199"/>
      <c r="TQ1299" s="199"/>
      <c r="TR1299" s="199"/>
      <c r="TS1299" s="199"/>
      <c r="TT1299" s="199"/>
      <c r="TU1299" s="199"/>
      <c r="TV1299" s="199"/>
      <c r="TW1299" s="199"/>
      <c r="TX1299" s="199"/>
      <c r="TY1299" s="199"/>
      <c r="TZ1299" s="199"/>
      <c r="UA1299" s="199"/>
      <c r="UB1299" s="199"/>
      <c r="UC1299" s="199"/>
      <c r="UD1299" s="199"/>
      <c r="UE1299" s="199"/>
      <c r="UF1299" s="199"/>
      <c r="UG1299" s="199"/>
    </row>
    <row r="1300" spans="1:553" s="1262" customFormat="1" ht="40.15" customHeight="1">
      <c r="A1300" s="356"/>
      <c r="B1300" s="356"/>
      <c r="C1300" s="1370" t="s">
        <v>1235</v>
      </c>
      <c r="D1300" s="1540"/>
      <c r="E1300" s="1540"/>
      <c r="F1300" s="1541"/>
      <c r="G1300" s="418" t="s">
        <v>193</v>
      </c>
      <c r="H1300" s="370"/>
      <c r="I1300" s="422">
        <v>2</v>
      </c>
      <c r="J1300" s="418">
        <v>125000</v>
      </c>
      <c r="K1300" s="371"/>
      <c r="L1300" s="487">
        <f t="shared" ref="L1300:L1301" si="196">I1300*J1300</f>
        <v>250000</v>
      </c>
      <c r="M1300" s="395"/>
      <c r="N1300" s="395"/>
      <c r="O1300" s="366"/>
      <c r="P1300" s="396"/>
      <c r="Q1300" s="473"/>
      <c r="R1300" s="1039"/>
      <c r="S1300" s="308"/>
      <c r="T1300" s="308"/>
      <c r="U1300" s="308"/>
      <c r="V1300" s="308"/>
      <c r="W1300" s="308"/>
      <c r="X1300" s="308"/>
      <c r="Y1300" s="308"/>
      <c r="Z1300" s="604"/>
      <c r="AA1300" s="308"/>
      <c r="AB1300" s="308"/>
      <c r="AC1300" s="486"/>
      <c r="AD1300" s="486"/>
      <c r="AE1300" s="486"/>
      <c r="AF1300" s="486"/>
      <c r="AG1300" s="486"/>
      <c r="AH1300" s="486"/>
      <c r="AI1300" s="486"/>
      <c r="AJ1300" s="486"/>
      <c r="AK1300" s="486"/>
      <c r="AL1300" s="1267"/>
      <c r="AM1300" s="1268"/>
      <c r="AN1300" s="1268"/>
      <c r="AO1300" s="1268"/>
      <c r="AP1300" s="1268"/>
      <c r="AQ1300" s="1268"/>
      <c r="AR1300" s="1268"/>
      <c r="AS1300" s="1268"/>
      <c r="AT1300" s="1268"/>
      <c r="AU1300" s="1268"/>
      <c r="AV1300" s="1268"/>
      <c r="AW1300" s="1268"/>
      <c r="AX1300" s="1268"/>
      <c r="AY1300" s="1268"/>
      <c r="AZ1300" s="1268"/>
      <c r="BA1300" s="1268"/>
      <c r="BB1300" s="1268"/>
      <c r="BC1300" s="1268"/>
      <c r="BD1300" s="1268"/>
      <c r="BE1300" s="1268"/>
      <c r="BF1300" s="1268"/>
      <c r="BG1300" s="1268"/>
      <c r="BH1300" s="1268"/>
      <c r="BI1300" s="1268"/>
      <c r="BJ1300" s="1268"/>
      <c r="BK1300" s="1268"/>
      <c r="BL1300" s="1268"/>
      <c r="BM1300" s="1268"/>
      <c r="BN1300" s="1268"/>
      <c r="BO1300" s="1268"/>
      <c r="BP1300" s="1268"/>
      <c r="BQ1300" s="1268"/>
      <c r="BR1300" s="1268"/>
      <c r="BS1300" s="1268"/>
      <c r="BT1300" s="1268"/>
      <c r="BU1300" s="1268"/>
      <c r="BV1300" s="1268"/>
      <c r="BW1300" s="1268"/>
      <c r="BX1300" s="1268"/>
      <c r="BY1300" s="1268"/>
      <c r="BZ1300" s="1268"/>
      <c r="CA1300" s="1268"/>
      <c r="CB1300" s="1268"/>
      <c r="CC1300" s="1268"/>
      <c r="CD1300" s="1268"/>
      <c r="CE1300" s="1268"/>
      <c r="CF1300" s="1268"/>
      <c r="CG1300" s="1268"/>
      <c r="CH1300" s="1268"/>
      <c r="CI1300" s="1268"/>
      <c r="CJ1300" s="1268"/>
      <c r="CK1300" s="1268"/>
      <c r="CL1300" s="1268"/>
      <c r="CM1300" s="1268"/>
      <c r="CN1300" s="1268"/>
      <c r="CO1300" s="1268"/>
      <c r="CP1300" s="1268"/>
      <c r="CQ1300" s="1268"/>
      <c r="CR1300" s="1268"/>
      <c r="CS1300" s="1268"/>
      <c r="CT1300" s="1268"/>
      <c r="CU1300" s="1268"/>
      <c r="CV1300" s="1268"/>
      <c r="CW1300" s="1268"/>
      <c r="CX1300" s="1268"/>
      <c r="CY1300" s="1268"/>
      <c r="CZ1300" s="1268"/>
      <c r="DA1300" s="1268"/>
      <c r="DB1300" s="1268"/>
      <c r="DC1300" s="1268"/>
      <c r="DD1300" s="1268"/>
      <c r="DE1300" s="1268"/>
      <c r="DF1300" s="1268"/>
      <c r="DG1300" s="1268"/>
      <c r="DH1300" s="1268"/>
      <c r="DI1300" s="1268"/>
      <c r="DJ1300" s="1268"/>
      <c r="DK1300" s="1268"/>
      <c r="DL1300" s="1268"/>
      <c r="DM1300" s="1268"/>
      <c r="DN1300" s="1268"/>
      <c r="DO1300" s="1268"/>
      <c r="DP1300" s="1268"/>
      <c r="DQ1300" s="1268"/>
      <c r="DR1300" s="1268"/>
      <c r="DS1300" s="1268"/>
      <c r="DT1300" s="1268"/>
      <c r="DU1300" s="1268"/>
      <c r="DV1300" s="1268"/>
      <c r="DW1300" s="1268"/>
      <c r="DX1300" s="1268"/>
      <c r="DY1300" s="1268"/>
      <c r="DZ1300" s="1268"/>
      <c r="EA1300" s="1268"/>
      <c r="EB1300" s="1268"/>
      <c r="EC1300" s="1268"/>
      <c r="ED1300" s="1268"/>
      <c r="EE1300" s="1268"/>
      <c r="EF1300" s="1268"/>
      <c r="EG1300" s="1268"/>
      <c r="EH1300" s="1268"/>
      <c r="EI1300" s="1268"/>
      <c r="EJ1300" s="1268"/>
      <c r="EK1300" s="1268"/>
      <c r="EL1300" s="1268"/>
      <c r="EM1300" s="1268"/>
      <c r="EN1300" s="1268"/>
      <c r="EO1300" s="1268"/>
      <c r="EP1300" s="1268"/>
      <c r="EQ1300" s="1268"/>
      <c r="ER1300" s="1268"/>
      <c r="ES1300" s="1268"/>
      <c r="ET1300" s="1268"/>
      <c r="EU1300" s="1268"/>
      <c r="EV1300" s="1268"/>
      <c r="EW1300" s="1268"/>
      <c r="EX1300" s="1268"/>
      <c r="EY1300" s="1268"/>
      <c r="EZ1300" s="1268"/>
      <c r="FA1300" s="1268"/>
      <c r="FB1300" s="1268"/>
      <c r="FC1300" s="1268"/>
      <c r="FD1300" s="1268"/>
      <c r="FE1300" s="1268"/>
      <c r="FF1300" s="1268"/>
      <c r="FG1300" s="1268"/>
      <c r="FH1300" s="1268"/>
      <c r="FI1300" s="1268"/>
      <c r="FJ1300" s="1268"/>
      <c r="FK1300" s="1268"/>
      <c r="FL1300" s="1268"/>
      <c r="FM1300" s="1268"/>
      <c r="FN1300" s="1268"/>
      <c r="FO1300" s="1268"/>
      <c r="FP1300" s="1268"/>
      <c r="FQ1300" s="1268"/>
      <c r="FR1300" s="1268"/>
      <c r="FS1300" s="1268"/>
      <c r="FT1300" s="1268"/>
      <c r="FU1300" s="1268"/>
      <c r="FV1300" s="1268"/>
      <c r="FW1300" s="1268"/>
      <c r="FX1300" s="1268"/>
      <c r="FY1300" s="1268"/>
      <c r="FZ1300" s="1268"/>
      <c r="GA1300" s="1268"/>
      <c r="GB1300" s="1268"/>
      <c r="GC1300" s="1268"/>
      <c r="GD1300" s="1268"/>
      <c r="GE1300" s="1268"/>
      <c r="GF1300" s="1268"/>
      <c r="GG1300" s="1268"/>
      <c r="GH1300" s="1268"/>
      <c r="GI1300" s="1268"/>
      <c r="GJ1300" s="1268"/>
      <c r="GK1300" s="1268"/>
      <c r="GL1300" s="1268"/>
      <c r="GM1300" s="1268"/>
      <c r="GN1300" s="1268"/>
      <c r="GO1300" s="1268"/>
      <c r="GP1300" s="1268"/>
      <c r="GQ1300" s="1268"/>
      <c r="GR1300" s="1268"/>
      <c r="GS1300" s="1268"/>
      <c r="GT1300" s="1268"/>
      <c r="GU1300" s="1268"/>
      <c r="GV1300" s="1268"/>
      <c r="GW1300" s="1268"/>
      <c r="GX1300" s="1268"/>
      <c r="GY1300" s="1268"/>
      <c r="GZ1300" s="1268"/>
      <c r="HA1300" s="1268"/>
      <c r="HB1300" s="1268"/>
      <c r="HC1300" s="1268"/>
      <c r="HD1300" s="1268"/>
      <c r="HE1300" s="1268"/>
      <c r="HF1300" s="1268"/>
      <c r="HG1300" s="1268"/>
      <c r="HH1300" s="1268"/>
      <c r="HI1300" s="1268"/>
      <c r="HJ1300" s="1268"/>
      <c r="HK1300" s="1268"/>
      <c r="HL1300" s="1268"/>
      <c r="HM1300" s="1268"/>
      <c r="HN1300" s="1268"/>
      <c r="HO1300" s="1268"/>
      <c r="HP1300" s="1268"/>
      <c r="HQ1300" s="1268"/>
      <c r="HR1300" s="1268"/>
      <c r="HS1300" s="1268"/>
      <c r="HT1300" s="1268"/>
      <c r="HU1300" s="1268"/>
      <c r="HV1300" s="1268"/>
      <c r="HW1300" s="1268"/>
      <c r="HX1300" s="1268"/>
      <c r="HY1300" s="1268"/>
      <c r="HZ1300" s="1268"/>
      <c r="IA1300" s="1268"/>
      <c r="IB1300" s="1268"/>
      <c r="IC1300" s="1268"/>
      <c r="ID1300" s="1268"/>
      <c r="IE1300" s="1268"/>
      <c r="IF1300" s="1268"/>
      <c r="IG1300" s="1268"/>
      <c r="IH1300" s="1268"/>
      <c r="II1300" s="1268"/>
      <c r="IJ1300" s="1268"/>
      <c r="IK1300" s="1268"/>
      <c r="IL1300" s="1268"/>
      <c r="IM1300" s="1268"/>
      <c r="IN1300" s="1268"/>
      <c r="IO1300" s="1268"/>
      <c r="IP1300" s="1268"/>
      <c r="IQ1300" s="1268"/>
      <c r="IR1300" s="1268"/>
      <c r="IS1300" s="1268"/>
      <c r="IT1300" s="1268"/>
      <c r="IU1300" s="1268"/>
      <c r="IV1300" s="1268"/>
      <c r="IW1300" s="1268"/>
      <c r="IX1300" s="1268"/>
      <c r="IY1300" s="1268"/>
      <c r="IZ1300" s="1268"/>
      <c r="JA1300" s="1268"/>
      <c r="JB1300" s="1268"/>
      <c r="JC1300" s="1268"/>
      <c r="JD1300" s="1268"/>
      <c r="JE1300" s="1268"/>
      <c r="JF1300" s="1268"/>
      <c r="JG1300" s="1268"/>
      <c r="JH1300" s="1268"/>
      <c r="JI1300" s="1268"/>
      <c r="JJ1300" s="1268"/>
      <c r="JK1300" s="1268"/>
      <c r="JL1300" s="1268"/>
      <c r="JM1300" s="1268"/>
      <c r="JN1300" s="1268"/>
      <c r="JO1300" s="1268"/>
      <c r="JP1300" s="1268"/>
      <c r="JQ1300" s="1268"/>
      <c r="JR1300" s="1268"/>
      <c r="JS1300" s="1268"/>
      <c r="JT1300" s="1268"/>
      <c r="JU1300" s="1268"/>
      <c r="JV1300" s="1268"/>
      <c r="JW1300" s="1268"/>
      <c r="JX1300" s="1268"/>
      <c r="JY1300" s="1268"/>
      <c r="JZ1300" s="1268"/>
      <c r="KA1300" s="1268"/>
      <c r="KB1300" s="1268"/>
      <c r="KC1300" s="1268"/>
      <c r="KD1300" s="1268"/>
      <c r="KE1300" s="1268"/>
      <c r="KF1300" s="1268"/>
      <c r="KG1300" s="1268"/>
      <c r="KH1300" s="1268"/>
      <c r="KI1300" s="1268"/>
      <c r="KJ1300" s="1268"/>
      <c r="KK1300" s="1268"/>
      <c r="KL1300" s="1268"/>
      <c r="KM1300" s="1268"/>
      <c r="KN1300" s="1268"/>
      <c r="KO1300" s="1268"/>
      <c r="KP1300" s="1268"/>
      <c r="KQ1300" s="1268"/>
      <c r="KR1300" s="1268"/>
      <c r="KS1300" s="1268"/>
      <c r="KT1300" s="1268"/>
      <c r="KU1300" s="1268"/>
      <c r="KV1300" s="1268"/>
      <c r="KW1300" s="1268"/>
      <c r="KX1300" s="1268"/>
      <c r="KY1300" s="1268"/>
      <c r="KZ1300" s="1268"/>
      <c r="LA1300" s="1268"/>
      <c r="LB1300" s="1268"/>
      <c r="LC1300" s="1268"/>
      <c r="LD1300" s="1268"/>
      <c r="LE1300" s="1268"/>
      <c r="LF1300" s="1268"/>
      <c r="LG1300" s="1268"/>
      <c r="LH1300" s="1268"/>
      <c r="LI1300" s="1268"/>
      <c r="LJ1300" s="1268"/>
      <c r="LK1300" s="1268"/>
      <c r="LL1300" s="1268"/>
      <c r="LM1300" s="1268"/>
      <c r="LN1300" s="1268"/>
      <c r="LO1300" s="1268"/>
      <c r="LP1300" s="1268"/>
      <c r="LQ1300" s="1268"/>
      <c r="LR1300" s="1268"/>
      <c r="LS1300" s="1268"/>
      <c r="LT1300" s="1268"/>
      <c r="LU1300" s="1268"/>
      <c r="LV1300" s="1268"/>
      <c r="LW1300" s="1268"/>
      <c r="LX1300" s="1268"/>
      <c r="LY1300" s="1268"/>
      <c r="LZ1300" s="1268"/>
      <c r="MA1300" s="1268"/>
      <c r="MB1300" s="1268"/>
      <c r="MC1300" s="1268"/>
      <c r="MD1300" s="1268"/>
      <c r="ME1300" s="1268"/>
      <c r="MF1300" s="1268"/>
      <c r="MG1300" s="1268"/>
      <c r="MH1300" s="1268"/>
      <c r="MI1300" s="1268"/>
      <c r="MJ1300" s="1268"/>
      <c r="MK1300" s="1268"/>
      <c r="ML1300" s="1268"/>
      <c r="MM1300" s="1268"/>
      <c r="MN1300" s="1268"/>
      <c r="MO1300" s="1268"/>
      <c r="MP1300" s="1268"/>
      <c r="MQ1300" s="1268"/>
      <c r="MR1300" s="1268"/>
      <c r="MS1300" s="1268"/>
      <c r="MT1300" s="1268"/>
      <c r="MU1300" s="1268"/>
      <c r="MV1300" s="1268"/>
      <c r="MW1300" s="1268"/>
      <c r="MX1300" s="1268"/>
      <c r="MY1300" s="1268"/>
      <c r="MZ1300" s="1268"/>
      <c r="NA1300" s="1268"/>
      <c r="NB1300" s="1268"/>
      <c r="NC1300" s="1268"/>
      <c r="ND1300" s="1268"/>
      <c r="NE1300" s="1268"/>
      <c r="NF1300" s="1268"/>
      <c r="NG1300" s="1268"/>
      <c r="NH1300" s="1268"/>
      <c r="NI1300" s="1268"/>
      <c r="NJ1300" s="1268"/>
      <c r="NK1300" s="1268"/>
      <c r="NL1300" s="1268"/>
      <c r="NM1300" s="1268"/>
      <c r="NN1300" s="1268"/>
      <c r="NO1300" s="1268"/>
      <c r="NP1300" s="1268"/>
      <c r="NQ1300" s="1268"/>
      <c r="NR1300" s="1268"/>
      <c r="NS1300" s="1268"/>
      <c r="NT1300" s="1268"/>
      <c r="NU1300" s="1268"/>
      <c r="NV1300" s="1268"/>
      <c r="NW1300" s="1268"/>
      <c r="NX1300" s="1268"/>
      <c r="NY1300" s="1268"/>
      <c r="NZ1300" s="1268"/>
      <c r="OA1300" s="1268"/>
      <c r="OB1300" s="1268"/>
      <c r="OC1300" s="1268"/>
      <c r="OD1300" s="1268"/>
      <c r="OE1300" s="1268"/>
      <c r="OF1300" s="1268"/>
      <c r="OG1300" s="1268"/>
      <c r="OH1300" s="1268"/>
      <c r="OI1300" s="1268"/>
      <c r="OJ1300" s="1268"/>
      <c r="OK1300" s="1268"/>
      <c r="OL1300" s="1268"/>
      <c r="OM1300" s="1268"/>
      <c r="ON1300" s="1268"/>
      <c r="OO1300" s="1268"/>
      <c r="OP1300" s="1268"/>
      <c r="OQ1300" s="1268"/>
      <c r="OR1300" s="1268"/>
      <c r="OS1300" s="1268"/>
      <c r="OT1300" s="1268"/>
      <c r="OU1300" s="1268"/>
      <c r="OV1300" s="1268"/>
      <c r="OW1300" s="1268"/>
      <c r="OX1300" s="1268"/>
      <c r="OY1300" s="1268"/>
      <c r="OZ1300" s="1268"/>
      <c r="PA1300" s="1268"/>
      <c r="PB1300" s="1268"/>
      <c r="PC1300" s="1268"/>
      <c r="PD1300" s="1268"/>
      <c r="PE1300" s="1268"/>
      <c r="PF1300" s="1268"/>
      <c r="PG1300" s="1268"/>
      <c r="PH1300" s="1268"/>
      <c r="PI1300" s="1268"/>
      <c r="PJ1300" s="1268"/>
      <c r="PK1300" s="1268"/>
      <c r="PL1300" s="1268"/>
      <c r="PM1300" s="1268"/>
      <c r="PN1300" s="1268"/>
      <c r="PO1300" s="1268"/>
      <c r="PP1300" s="1268"/>
      <c r="PQ1300" s="1268"/>
      <c r="PR1300" s="1268"/>
      <c r="PS1300" s="1268"/>
      <c r="PT1300" s="1268"/>
      <c r="PU1300" s="1268"/>
      <c r="PV1300" s="1268"/>
      <c r="PW1300" s="1268"/>
      <c r="PX1300" s="1268"/>
      <c r="PY1300" s="1268"/>
      <c r="PZ1300" s="1268"/>
      <c r="QA1300" s="1268"/>
      <c r="QB1300" s="1268"/>
      <c r="QC1300" s="1268"/>
      <c r="QD1300" s="1268"/>
      <c r="QE1300" s="1268"/>
      <c r="QF1300" s="1268"/>
      <c r="QG1300" s="1268"/>
      <c r="QH1300" s="1268"/>
      <c r="QI1300" s="1268"/>
      <c r="QJ1300" s="1268"/>
      <c r="QK1300" s="1268"/>
      <c r="QL1300" s="1268"/>
      <c r="QM1300" s="1268"/>
      <c r="QN1300" s="1268"/>
      <c r="QO1300" s="1268"/>
      <c r="QP1300" s="1268"/>
      <c r="QQ1300" s="1268"/>
      <c r="QR1300" s="1268"/>
      <c r="QS1300" s="1268"/>
      <c r="QT1300" s="1268"/>
      <c r="QU1300" s="1268"/>
      <c r="QV1300" s="1268"/>
      <c r="QW1300" s="1268"/>
      <c r="QX1300" s="1268"/>
      <c r="QY1300" s="1268"/>
      <c r="QZ1300" s="1268"/>
      <c r="RA1300" s="1268"/>
      <c r="RB1300" s="1268"/>
      <c r="RC1300" s="1268"/>
      <c r="RD1300" s="1268"/>
      <c r="RE1300" s="1268"/>
      <c r="RF1300" s="1268"/>
      <c r="RG1300" s="1268"/>
      <c r="RH1300" s="1268"/>
      <c r="RI1300" s="1268"/>
      <c r="RJ1300" s="1268"/>
      <c r="RK1300" s="1268"/>
      <c r="RL1300" s="1268"/>
      <c r="RM1300" s="1268"/>
      <c r="RN1300" s="1268"/>
      <c r="RO1300" s="1268"/>
      <c r="RP1300" s="1268"/>
      <c r="RQ1300" s="1268"/>
      <c r="RR1300" s="1268"/>
      <c r="RS1300" s="1268"/>
      <c r="RT1300" s="1268"/>
      <c r="RU1300" s="1268"/>
      <c r="RV1300" s="1268"/>
      <c r="RW1300" s="1268"/>
      <c r="RX1300" s="1268"/>
      <c r="RY1300" s="1268"/>
      <c r="RZ1300" s="1268"/>
      <c r="SA1300" s="1268"/>
      <c r="SB1300" s="1268"/>
      <c r="SC1300" s="1268"/>
      <c r="SD1300" s="1268"/>
      <c r="SE1300" s="1268"/>
      <c r="SF1300" s="1268"/>
      <c r="SG1300" s="1268"/>
      <c r="SH1300" s="1268"/>
      <c r="SI1300" s="1268"/>
      <c r="SJ1300" s="1268"/>
      <c r="SK1300" s="1268"/>
      <c r="SL1300" s="1268"/>
      <c r="SM1300" s="1268"/>
      <c r="SN1300" s="1268"/>
      <c r="SO1300" s="1268"/>
      <c r="SP1300" s="1268"/>
      <c r="SQ1300" s="1268"/>
      <c r="SR1300" s="1268"/>
      <c r="SS1300" s="1268"/>
      <c r="ST1300" s="1268"/>
      <c r="SU1300" s="1268"/>
      <c r="SV1300" s="1268"/>
      <c r="SW1300" s="1268"/>
      <c r="SX1300" s="1268"/>
      <c r="SY1300" s="1268"/>
      <c r="SZ1300" s="1268"/>
      <c r="TA1300" s="1268"/>
      <c r="TB1300" s="1268"/>
      <c r="TC1300" s="1268"/>
      <c r="TD1300" s="1268"/>
      <c r="TE1300" s="1268"/>
      <c r="TF1300" s="1268"/>
      <c r="TG1300" s="1268"/>
      <c r="TH1300" s="1268"/>
      <c r="TI1300" s="1268"/>
      <c r="TJ1300" s="1268"/>
      <c r="TK1300" s="1268"/>
      <c r="TL1300" s="1268"/>
      <c r="TM1300" s="1268"/>
      <c r="TN1300" s="1268"/>
      <c r="TO1300" s="1268"/>
      <c r="TP1300" s="1268"/>
      <c r="TQ1300" s="1268"/>
      <c r="TR1300" s="1268"/>
      <c r="TS1300" s="1268"/>
      <c r="TT1300" s="1268"/>
      <c r="TU1300" s="1268"/>
      <c r="TV1300" s="1268"/>
      <c r="TW1300" s="1268"/>
      <c r="TX1300" s="1268"/>
      <c r="TY1300" s="1268"/>
      <c r="TZ1300" s="1268"/>
      <c r="UA1300" s="1268"/>
      <c r="UB1300" s="1268"/>
      <c r="UC1300" s="1268"/>
      <c r="UD1300" s="1268"/>
      <c r="UE1300" s="1268"/>
      <c r="UF1300" s="1268"/>
      <c r="UG1300" s="1268"/>
    </row>
    <row r="1301" spans="1:553" s="1262" customFormat="1" ht="37.9" customHeight="1">
      <c r="A1301" s="356"/>
      <c r="B1301" s="356"/>
      <c r="C1301" s="1370" t="s">
        <v>1236</v>
      </c>
      <c r="D1301" s="1540"/>
      <c r="E1301" s="1540"/>
      <c r="F1301" s="1541"/>
      <c r="G1301" s="418" t="s">
        <v>193</v>
      </c>
      <c r="H1301" s="370"/>
      <c r="I1301" s="422">
        <v>10</v>
      </c>
      <c r="J1301" s="418">
        <v>65000</v>
      </c>
      <c r="K1301" s="371"/>
      <c r="L1301" s="487">
        <f t="shared" si="196"/>
        <v>650000</v>
      </c>
      <c r="M1301" s="395"/>
      <c r="N1301" s="395"/>
      <c r="O1301" s="366"/>
      <c r="P1301" s="396"/>
      <c r="Q1301" s="473"/>
      <c r="R1301" s="1039"/>
      <c r="S1301" s="308"/>
      <c r="T1301" s="308"/>
      <c r="U1301" s="308"/>
      <c r="V1301" s="308"/>
      <c r="W1301" s="308"/>
      <c r="X1301" s="308"/>
      <c r="Y1301" s="308"/>
      <c r="Z1301" s="604"/>
      <c r="AA1301" s="308"/>
      <c r="AB1301" s="308"/>
      <c r="AC1301" s="486"/>
      <c r="AD1301" s="486"/>
      <c r="AE1301" s="486"/>
      <c r="AF1301" s="486"/>
      <c r="AG1301" s="486"/>
      <c r="AH1301" s="486"/>
      <c r="AI1301" s="486"/>
      <c r="AJ1301" s="486"/>
      <c r="AK1301" s="486"/>
      <c r="AL1301" s="1267"/>
      <c r="AM1301" s="1268"/>
      <c r="AN1301" s="1268"/>
      <c r="AO1301" s="1268"/>
      <c r="AP1301" s="1268"/>
      <c r="AQ1301" s="1268"/>
      <c r="AR1301" s="1268"/>
      <c r="AS1301" s="1268"/>
      <c r="AT1301" s="1268"/>
      <c r="AU1301" s="1268"/>
      <c r="AV1301" s="1268"/>
      <c r="AW1301" s="1268"/>
      <c r="AX1301" s="1268"/>
      <c r="AY1301" s="1268"/>
      <c r="AZ1301" s="1268"/>
      <c r="BA1301" s="1268"/>
      <c r="BB1301" s="1268"/>
      <c r="BC1301" s="1268"/>
      <c r="BD1301" s="1268"/>
      <c r="BE1301" s="1268"/>
      <c r="BF1301" s="1268"/>
      <c r="BG1301" s="1268"/>
      <c r="BH1301" s="1268"/>
      <c r="BI1301" s="1268"/>
      <c r="BJ1301" s="1268"/>
      <c r="BK1301" s="1268"/>
      <c r="BL1301" s="1268"/>
      <c r="BM1301" s="1268"/>
      <c r="BN1301" s="1268"/>
      <c r="BO1301" s="1268"/>
      <c r="BP1301" s="1268"/>
      <c r="BQ1301" s="1268"/>
      <c r="BR1301" s="1268"/>
      <c r="BS1301" s="1268"/>
      <c r="BT1301" s="1268"/>
      <c r="BU1301" s="1268"/>
      <c r="BV1301" s="1268"/>
      <c r="BW1301" s="1268"/>
      <c r="BX1301" s="1268"/>
      <c r="BY1301" s="1268"/>
      <c r="BZ1301" s="1268"/>
      <c r="CA1301" s="1268"/>
      <c r="CB1301" s="1268"/>
      <c r="CC1301" s="1268"/>
      <c r="CD1301" s="1268"/>
      <c r="CE1301" s="1268"/>
      <c r="CF1301" s="1268"/>
      <c r="CG1301" s="1268"/>
      <c r="CH1301" s="1268"/>
      <c r="CI1301" s="1268"/>
      <c r="CJ1301" s="1268"/>
      <c r="CK1301" s="1268"/>
      <c r="CL1301" s="1268"/>
      <c r="CM1301" s="1268"/>
      <c r="CN1301" s="1268"/>
      <c r="CO1301" s="1268"/>
      <c r="CP1301" s="1268"/>
      <c r="CQ1301" s="1268"/>
      <c r="CR1301" s="1268"/>
      <c r="CS1301" s="1268"/>
      <c r="CT1301" s="1268"/>
      <c r="CU1301" s="1268"/>
      <c r="CV1301" s="1268"/>
      <c r="CW1301" s="1268"/>
      <c r="CX1301" s="1268"/>
      <c r="CY1301" s="1268"/>
      <c r="CZ1301" s="1268"/>
      <c r="DA1301" s="1268"/>
      <c r="DB1301" s="1268"/>
      <c r="DC1301" s="1268"/>
      <c r="DD1301" s="1268"/>
      <c r="DE1301" s="1268"/>
      <c r="DF1301" s="1268"/>
      <c r="DG1301" s="1268"/>
      <c r="DH1301" s="1268"/>
      <c r="DI1301" s="1268"/>
      <c r="DJ1301" s="1268"/>
      <c r="DK1301" s="1268"/>
      <c r="DL1301" s="1268"/>
      <c r="DM1301" s="1268"/>
      <c r="DN1301" s="1268"/>
      <c r="DO1301" s="1268"/>
      <c r="DP1301" s="1268"/>
      <c r="DQ1301" s="1268"/>
      <c r="DR1301" s="1268"/>
      <c r="DS1301" s="1268"/>
      <c r="DT1301" s="1268"/>
      <c r="DU1301" s="1268"/>
      <c r="DV1301" s="1268"/>
      <c r="DW1301" s="1268"/>
      <c r="DX1301" s="1268"/>
      <c r="DY1301" s="1268"/>
      <c r="DZ1301" s="1268"/>
      <c r="EA1301" s="1268"/>
      <c r="EB1301" s="1268"/>
      <c r="EC1301" s="1268"/>
      <c r="ED1301" s="1268"/>
      <c r="EE1301" s="1268"/>
      <c r="EF1301" s="1268"/>
      <c r="EG1301" s="1268"/>
      <c r="EH1301" s="1268"/>
      <c r="EI1301" s="1268"/>
      <c r="EJ1301" s="1268"/>
      <c r="EK1301" s="1268"/>
      <c r="EL1301" s="1268"/>
      <c r="EM1301" s="1268"/>
      <c r="EN1301" s="1268"/>
      <c r="EO1301" s="1268"/>
      <c r="EP1301" s="1268"/>
      <c r="EQ1301" s="1268"/>
      <c r="ER1301" s="1268"/>
      <c r="ES1301" s="1268"/>
      <c r="ET1301" s="1268"/>
      <c r="EU1301" s="1268"/>
      <c r="EV1301" s="1268"/>
      <c r="EW1301" s="1268"/>
      <c r="EX1301" s="1268"/>
      <c r="EY1301" s="1268"/>
      <c r="EZ1301" s="1268"/>
      <c r="FA1301" s="1268"/>
      <c r="FB1301" s="1268"/>
      <c r="FC1301" s="1268"/>
      <c r="FD1301" s="1268"/>
      <c r="FE1301" s="1268"/>
      <c r="FF1301" s="1268"/>
      <c r="FG1301" s="1268"/>
      <c r="FH1301" s="1268"/>
      <c r="FI1301" s="1268"/>
      <c r="FJ1301" s="1268"/>
      <c r="FK1301" s="1268"/>
      <c r="FL1301" s="1268"/>
      <c r="FM1301" s="1268"/>
      <c r="FN1301" s="1268"/>
      <c r="FO1301" s="1268"/>
      <c r="FP1301" s="1268"/>
      <c r="FQ1301" s="1268"/>
      <c r="FR1301" s="1268"/>
      <c r="FS1301" s="1268"/>
      <c r="FT1301" s="1268"/>
      <c r="FU1301" s="1268"/>
      <c r="FV1301" s="1268"/>
      <c r="FW1301" s="1268"/>
      <c r="FX1301" s="1268"/>
      <c r="FY1301" s="1268"/>
      <c r="FZ1301" s="1268"/>
      <c r="GA1301" s="1268"/>
      <c r="GB1301" s="1268"/>
      <c r="GC1301" s="1268"/>
      <c r="GD1301" s="1268"/>
      <c r="GE1301" s="1268"/>
      <c r="GF1301" s="1268"/>
      <c r="GG1301" s="1268"/>
      <c r="GH1301" s="1268"/>
      <c r="GI1301" s="1268"/>
      <c r="GJ1301" s="1268"/>
      <c r="GK1301" s="1268"/>
      <c r="GL1301" s="1268"/>
      <c r="GM1301" s="1268"/>
      <c r="GN1301" s="1268"/>
      <c r="GO1301" s="1268"/>
      <c r="GP1301" s="1268"/>
      <c r="GQ1301" s="1268"/>
      <c r="GR1301" s="1268"/>
      <c r="GS1301" s="1268"/>
      <c r="GT1301" s="1268"/>
      <c r="GU1301" s="1268"/>
      <c r="GV1301" s="1268"/>
      <c r="GW1301" s="1268"/>
      <c r="GX1301" s="1268"/>
      <c r="GY1301" s="1268"/>
      <c r="GZ1301" s="1268"/>
      <c r="HA1301" s="1268"/>
      <c r="HB1301" s="1268"/>
      <c r="HC1301" s="1268"/>
      <c r="HD1301" s="1268"/>
      <c r="HE1301" s="1268"/>
      <c r="HF1301" s="1268"/>
      <c r="HG1301" s="1268"/>
      <c r="HH1301" s="1268"/>
      <c r="HI1301" s="1268"/>
      <c r="HJ1301" s="1268"/>
      <c r="HK1301" s="1268"/>
      <c r="HL1301" s="1268"/>
      <c r="HM1301" s="1268"/>
      <c r="HN1301" s="1268"/>
      <c r="HO1301" s="1268"/>
      <c r="HP1301" s="1268"/>
      <c r="HQ1301" s="1268"/>
      <c r="HR1301" s="1268"/>
      <c r="HS1301" s="1268"/>
      <c r="HT1301" s="1268"/>
      <c r="HU1301" s="1268"/>
      <c r="HV1301" s="1268"/>
      <c r="HW1301" s="1268"/>
      <c r="HX1301" s="1268"/>
      <c r="HY1301" s="1268"/>
      <c r="HZ1301" s="1268"/>
      <c r="IA1301" s="1268"/>
      <c r="IB1301" s="1268"/>
      <c r="IC1301" s="1268"/>
      <c r="ID1301" s="1268"/>
      <c r="IE1301" s="1268"/>
      <c r="IF1301" s="1268"/>
      <c r="IG1301" s="1268"/>
      <c r="IH1301" s="1268"/>
      <c r="II1301" s="1268"/>
      <c r="IJ1301" s="1268"/>
      <c r="IK1301" s="1268"/>
      <c r="IL1301" s="1268"/>
      <c r="IM1301" s="1268"/>
      <c r="IN1301" s="1268"/>
      <c r="IO1301" s="1268"/>
      <c r="IP1301" s="1268"/>
      <c r="IQ1301" s="1268"/>
      <c r="IR1301" s="1268"/>
      <c r="IS1301" s="1268"/>
      <c r="IT1301" s="1268"/>
      <c r="IU1301" s="1268"/>
      <c r="IV1301" s="1268"/>
      <c r="IW1301" s="1268"/>
      <c r="IX1301" s="1268"/>
      <c r="IY1301" s="1268"/>
      <c r="IZ1301" s="1268"/>
      <c r="JA1301" s="1268"/>
      <c r="JB1301" s="1268"/>
      <c r="JC1301" s="1268"/>
      <c r="JD1301" s="1268"/>
      <c r="JE1301" s="1268"/>
      <c r="JF1301" s="1268"/>
      <c r="JG1301" s="1268"/>
      <c r="JH1301" s="1268"/>
      <c r="JI1301" s="1268"/>
      <c r="JJ1301" s="1268"/>
      <c r="JK1301" s="1268"/>
      <c r="JL1301" s="1268"/>
      <c r="JM1301" s="1268"/>
      <c r="JN1301" s="1268"/>
      <c r="JO1301" s="1268"/>
      <c r="JP1301" s="1268"/>
      <c r="JQ1301" s="1268"/>
      <c r="JR1301" s="1268"/>
      <c r="JS1301" s="1268"/>
      <c r="JT1301" s="1268"/>
      <c r="JU1301" s="1268"/>
      <c r="JV1301" s="1268"/>
      <c r="JW1301" s="1268"/>
      <c r="JX1301" s="1268"/>
      <c r="JY1301" s="1268"/>
      <c r="JZ1301" s="1268"/>
      <c r="KA1301" s="1268"/>
      <c r="KB1301" s="1268"/>
      <c r="KC1301" s="1268"/>
      <c r="KD1301" s="1268"/>
      <c r="KE1301" s="1268"/>
      <c r="KF1301" s="1268"/>
      <c r="KG1301" s="1268"/>
      <c r="KH1301" s="1268"/>
      <c r="KI1301" s="1268"/>
      <c r="KJ1301" s="1268"/>
      <c r="KK1301" s="1268"/>
      <c r="KL1301" s="1268"/>
      <c r="KM1301" s="1268"/>
      <c r="KN1301" s="1268"/>
      <c r="KO1301" s="1268"/>
      <c r="KP1301" s="1268"/>
      <c r="KQ1301" s="1268"/>
      <c r="KR1301" s="1268"/>
      <c r="KS1301" s="1268"/>
      <c r="KT1301" s="1268"/>
      <c r="KU1301" s="1268"/>
      <c r="KV1301" s="1268"/>
      <c r="KW1301" s="1268"/>
      <c r="KX1301" s="1268"/>
      <c r="KY1301" s="1268"/>
      <c r="KZ1301" s="1268"/>
      <c r="LA1301" s="1268"/>
      <c r="LB1301" s="1268"/>
      <c r="LC1301" s="1268"/>
      <c r="LD1301" s="1268"/>
      <c r="LE1301" s="1268"/>
      <c r="LF1301" s="1268"/>
      <c r="LG1301" s="1268"/>
      <c r="LH1301" s="1268"/>
      <c r="LI1301" s="1268"/>
      <c r="LJ1301" s="1268"/>
      <c r="LK1301" s="1268"/>
      <c r="LL1301" s="1268"/>
      <c r="LM1301" s="1268"/>
      <c r="LN1301" s="1268"/>
      <c r="LO1301" s="1268"/>
      <c r="LP1301" s="1268"/>
      <c r="LQ1301" s="1268"/>
      <c r="LR1301" s="1268"/>
      <c r="LS1301" s="1268"/>
      <c r="LT1301" s="1268"/>
      <c r="LU1301" s="1268"/>
      <c r="LV1301" s="1268"/>
      <c r="LW1301" s="1268"/>
      <c r="LX1301" s="1268"/>
      <c r="LY1301" s="1268"/>
      <c r="LZ1301" s="1268"/>
      <c r="MA1301" s="1268"/>
      <c r="MB1301" s="1268"/>
      <c r="MC1301" s="1268"/>
      <c r="MD1301" s="1268"/>
      <c r="ME1301" s="1268"/>
      <c r="MF1301" s="1268"/>
      <c r="MG1301" s="1268"/>
      <c r="MH1301" s="1268"/>
      <c r="MI1301" s="1268"/>
      <c r="MJ1301" s="1268"/>
      <c r="MK1301" s="1268"/>
      <c r="ML1301" s="1268"/>
      <c r="MM1301" s="1268"/>
      <c r="MN1301" s="1268"/>
      <c r="MO1301" s="1268"/>
      <c r="MP1301" s="1268"/>
      <c r="MQ1301" s="1268"/>
      <c r="MR1301" s="1268"/>
      <c r="MS1301" s="1268"/>
      <c r="MT1301" s="1268"/>
      <c r="MU1301" s="1268"/>
      <c r="MV1301" s="1268"/>
      <c r="MW1301" s="1268"/>
      <c r="MX1301" s="1268"/>
      <c r="MY1301" s="1268"/>
      <c r="MZ1301" s="1268"/>
      <c r="NA1301" s="1268"/>
      <c r="NB1301" s="1268"/>
      <c r="NC1301" s="1268"/>
      <c r="ND1301" s="1268"/>
      <c r="NE1301" s="1268"/>
      <c r="NF1301" s="1268"/>
      <c r="NG1301" s="1268"/>
      <c r="NH1301" s="1268"/>
      <c r="NI1301" s="1268"/>
      <c r="NJ1301" s="1268"/>
      <c r="NK1301" s="1268"/>
      <c r="NL1301" s="1268"/>
      <c r="NM1301" s="1268"/>
      <c r="NN1301" s="1268"/>
      <c r="NO1301" s="1268"/>
      <c r="NP1301" s="1268"/>
      <c r="NQ1301" s="1268"/>
      <c r="NR1301" s="1268"/>
      <c r="NS1301" s="1268"/>
      <c r="NT1301" s="1268"/>
      <c r="NU1301" s="1268"/>
      <c r="NV1301" s="1268"/>
      <c r="NW1301" s="1268"/>
      <c r="NX1301" s="1268"/>
      <c r="NY1301" s="1268"/>
      <c r="NZ1301" s="1268"/>
      <c r="OA1301" s="1268"/>
      <c r="OB1301" s="1268"/>
      <c r="OC1301" s="1268"/>
      <c r="OD1301" s="1268"/>
      <c r="OE1301" s="1268"/>
      <c r="OF1301" s="1268"/>
      <c r="OG1301" s="1268"/>
      <c r="OH1301" s="1268"/>
      <c r="OI1301" s="1268"/>
      <c r="OJ1301" s="1268"/>
      <c r="OK1301" s="1268"/>
      <c r="OL1301" s="1268"/>
      <c r="OM1301" s="1268"/>
      <c r="ON1301" s="1268"/>
      <c r="OO1301" s="1268"/>
      <c r="OP1301" s="1268"/>
      <c r="OQ1301" s="1268"/>
      <c r="OR1301" s="1268"/>
      <c r="OS1301" s="1268"/>
      <c r="OT1301" s="1268"/>
      <c r="OU1301" s="1268"/>
      <c r="OV1301" s="1268"/>
      <c r="OW1301" s="1268"/>
      <c r="OX1301" s="1268"/>
      <c r="OY1301" s="1268"/>
      <c r="OZ1301" s="1268"/>
      <c r="PA1301" s="1268"/>
      <c r="PB1301" s="1268"/>
      <c r="PC1301" s="1268"/>
      <c r="PD1301" s="1268"/>
      <c r="PE1301" s="1268"/>
      <c r="PF1301" s="1268"/>
      <c r="PG1301" s="1268"/>
      <c r="PH1301" s="1268"/>
      <c r="PI1301" s="1268"/>
      <c r="PJ1301" s="1268"/>
      <c r="PK1301" s="1268"/>
      <c r="PL1301" s="1268"/>
      <c r="PM1301" s="1268"/>
      <c r="PN1301" s="1268"/>
      <c r="PO1301" s="1268"/>
      <c r="PP1301" s="1268"/>
      <c r="PQ1301" s="1268"/>
      <c r="PR1301" s="1268"/>
      <c r="PS1301" s="1268"/>
      <c r="PT1301" s="1268"/>
      <c r="PU1301" s="1268"/>
      <c r="PV1301" s="1268"/>
      <c r="PW1301" s="1268"/>
      <c r="PX1301" s="1268"/>
      <c r="PY1301" s="1268"/>
      <c r="PZ1301" s="1268"/>
      <c r="QA1301" s="1268"/>
      <c r="QB1301" s="1268"/>
      <c r="QC1301" s="1268"/>
      <c r="QD1301" s="1268"/>
      <c r="QE1301" s="1268"/>
      <c r="QF1301" s="1268"/>
      <c r="QG1301" s="1268"/>
      <c r="QH1301" s="1268"/>
      <c r="QI1301" s="1268"/>
      <c r="QJ1301" s="1268"/>
      <c r="QK1301" s="1268"/>
      <c r="QL1301" s="1268"/>
      <c r="QM1301" s="1268"/>
      <c r="QN1301" s="1268"/>
      <c r="QO1301" s="1268"/>
      <c r="QP1301" s="1268"/>
      <c r="QQ1301" s="1268"/>
      <c r="QR1301" s="1268"/>
      <c r="QS1301" s="1268"/>
      <c r="QT1301" s="1268"/>
      <c r="QU1301" s="1268"/>
      <c r="QV1301" s="1268"/>
      <c r="QW1301" s="1268"/>
      <c r="QX1301" s="1268"/>
      <c r="QY1301" s="1268"/>
      <c r="QZ1301" s="1268"/>
      <c r="RA1301" s="1268"/>
      <c r="RB1301" s="1268"/>
      <c r="RC1301" s="1268"/>
      <c r="RD1301" s="1268"/>
      <c r="RE1301" s="1268"/>
      <c r="RF1301" s="1268"/>
      <c r="RG1301" s="1268"/>
      <c r="RH1301" s="1268"/>
      <c r="RI1301" s="1268"/>
      <c r="RJ1301" s="1268"/>
      <c r="RK1301" s="1268"/>
      <c r="RL1301" s="1268"/>
      <c r="RM1301" s="1268"/>
      <c r="RN1301" s="1268"/>
      <c r="RO1301" s="1268"/>
      <c r="RP1301" s="1268"/>
      <c r="RQ1301" s="1268"/>
      <c r="RR1301" s="1268"/>
      <c r="RS1301" s="1268"/>
      <c r="RT1301" s="1268"/>
      <c r="RU1301" s="1268"/>
      <c r="RV1301" s="1268"/>
      <c r="RW1301" s="1268"/>
      <c r="RX1301" s="1268"/>
      <c r="RY1301" s="1268"/>
      <c r="RZ1301" s="1268"/>
      <c r="SA1301" s="1268"/>
      <c r="SB1301" s="1268"/>
      <c r="SC1301" s="1268"/>
      <c r="SD1301" s="1268"/>
      <c r="SE1301" s="1268"/>
      <c r="SF1301" s="1268"/>
      <c r="SG1301" s="1268"/>
      <c r="SH1301" s="1268"/>
      <c r="SI1301" s="1268"/>
      <c r="SJ1301" s="1268"/>
      <c r="SK1301" s="1268"/>
      <c r="SL1301" s="1268"/>
      <c r="SM1301" s="1268"/>
      <c r="SN1301" s="1268"/>
      <c r="SO1301" s="1268"/>
      <c r="SP1301" s="1268"/>
      <c r="SQ1301" s="1268"/>
      <c r="SR1301" s="1268"/>
      <c r="SS1301" s="1268"/>
      <c r="ST1301" s="1268"/>
      <c r="SU1301" s="1268"/>
      <c r="SV1301" s="1268"/>
      <c r="SW1301" s="1268"/>
      <c r="SX1301" s="1268"/>
      <c r="SY1301" s="1268"/>
      <c r="SZ1301" s="1268"/>
      <c r="TA1301" s="1268"/>
      <c r="TB1301" s="1268"/>
      <c r="TC1301" s="1268"/>
      <c r="TD1301" s="1268"/>
      <c r="TE1301" s="1268"/>
      <c r="TF1301" s="1268"/>
      <c r="TG1301" s="1268"/>
      <c r="TH1301" s="1268"/>
      <c r="TI1301" s="1268"/>
      <c r="TJ1301" s="1268"/>
      <c r="TK1301" s="1268"/>
      <c r="TL1301" s="1268"/>
      <c r="TM1301" s="1268"/>
      <c r="TN1301" s="1268"/>
      <c r="TO1301" s="1268"/>
      <c r="TP1301" s="1268"/>
      <c r="TQ1301" s="1268"/>
      <c r="TR1301" s="1268"/>
      <c r="TS1301" s="1268"/>
      <c r="TT1301" s="1268"/>
      <c r="TU1301" s="1268"/>
      <c r="TV1301" s="1268"/>
      <c r="TW1301" s="1268"/>
      <c r="TX1301" s="1268"/>
      <c r="TY1301" s="1268"/>
      <c r="TZ1301" s="1268"/>
      <c r="UA1301" s="1268"/>
      <c r="UB1301" s="1268"/>
      <c r="UC1301" s="1268"/>
      <c r="UD1301" s="1268"/>
      <c r="UE1301" s="1268"/>
      <c r="UF1301" s="1268"/>
      <c r="UG1301" s="1268"/>
    </row>
    <row r="1302" spans="1:553" s="1262" customFormat="1" ht="26.5" customHeight="1">
      <c r="A1302" s="356"/>
      <c r="B1302" s="356"/>
      <c r="C1302" s="1370" t="s">
        <v>1061</v>
      </c>
      <c r="D1302" s="1371"/>
      <c r="E1302" s="1371"/>
      <c r="F1302" s="1372"/>
      <c r="G1302" s="564" t="s">
        <v>46</v>
      </c>
      <c r="H1302" s="370"/>
      <c r="I1302" s="370">
        <f>(31.98*100/400)*(17-(4-3))*2</f>
        <v>255.84</v>
      </c>
      <c r="J1302" s="418">
        <v>5800</v>
      </c>
      <c r="K1302" s="717"/>
      <c r="L1302" s="368">
        <f>I1302*J1302</f>
        <v>1483872</v>
      </c>
      <c r="M1302" s="395"/>
      <c r="N1302" s="395"/>
      <c r="O1302" s="366"/>
      <c r="P1302" s="396"/>
      <c r="Q1302" s="473"/>
      <c r="R1302" s="1039"/>
      <c r="S1302" s="308"/>
      <c r="T1302" s="308"/>
      <c r="U1302" s="308"/>
      <c r="V1302" s="308"/>
      <c r="W1302" s="308"/>
      <c r="X1302" s="308"/>
      <c r="Y1302" s="308"/>
      <c r="Z1302" s="604"/>
      <c r="AA1302" s="308"/>
      <c r="AB1302" s="308"/>
      <c r="AC1302" s="486"/>
      <c r="AD1302" s="486"/>
      <c r="AE1302" s="486"/>
      <c r="AF1302" s="486"/>
      <c r="AG1302" s="486"/>
      <c r="AH1302" s="486"/>
      <c r="AI1302" s="486"/>
      <c r="AJ1302" s="486"/>
      <c r="AK1302" s="486"/>
      <c r="AL1302" s="1267"/>
      <c r="AM1302" s="1268"/>
      <c r="AN1302" s="1268"/>
      <c r="AO1302" s="1268"/>
      <c r="AP1302" s="1268"/>
      <c r="AQ1302" s="1268"/>
      <c r="AR1302" s="1268"/>
      <c r="AS1302" s="1268"/>
      <c r="AT1302" s="1268"/>
      <c r="AU1302" s="1268"/>
      <c r="AV1302" s="1268"/>
      <c r="AW1302" s="1268"/>
      <c r="AX1302" s="1268"/>
      <c r="AY1302" s="1268"/>
      <c r="AZ1302" s="1268"/>
      <c r="BA1302" s="1268"/>
      <c r="BB1302" s="1268"/>
      <c r="BC1302" s="1268"/>
      <c r="BD1302" s="1268"/>
      <c r="BE1302" s="1268"/>
      <c r="BF1302" s="1268"/>
      <c r="BG1302" s="1268"/>
      <c r="BH1302" s="1268"/>
      <c r="BI1302" s="1268"/>
      <c r="BJ1302" s="1268"/>
      <c r="BK1302" s="1268"/>
      <c r="BL1302" s="1268"/>
      <c r="BM1302" s="1268"/>
      <c r="BN1302" s="1268"/>
      <c r="BO1302" s="1268"/>
      <c r="BP1302" s="1268"/>
      <c r="BQ1302" s="1268"/>
      <c r="BR1302" s="1268"/>
      <c r="BS1302" s="1268"/>
      <c r="BT1302" s="1268"/>
      <c r="BU1302" s="1268"/>
      <c r="BV1302" s="1268"/>
      <c r="BW1302" s="1268"/>
      <c r="BX1302" s="1268"/>
      <c r="BY1302" s="1268"/>
      <c r="BZ1302" s="1268"/>
      <c r="CA1302" s="1268"/>
      <c r="CB1302" s="1268"/>
      <c r="CC1302" s="1268"/>
      <c r="CD1302" s="1268"/>
      <c r="CE1302" s="1268"/>
      <c r="CF1302" s="1268"/>
      <c r="CG1302" s="1268"/>
      <c r="CH1302" s="1268"/>
      <c r="CI1302" s="1268"/>
      <c r="CJ1302" s="1268"/>
      <c r="CK1302" s="1268"/>
      <c r="CL1302" s="1268"/>
      <c r="CM1302" s="1268"/>
      <c r="CN1302" s="1268"/>
      <c r="CO1302" s="1268"/>
      <c r="CP1302" s="1268"/>
      <c r="CQ1302" s="1268"/>
      <c r="CR1302" s="1268"/>
      <c r="CS1302" s="1268"/>
      <c r="CT1302" s="1268"/>
      <c r="CU1302" s="1268"/>
      <c r="CV1302" s="1268"/>
      <c r="CW1302" s="1268"/>
      <c r="CX1302" s="1268"/>
      <c r="CY1302" s="1268"/>
      <c r="CZ1302" s="1268"/>
      <c r="DA1302" s="1268"/>
      <c r="DB1302" s="1268"/>
      <c r="DC1302" s="1268"/>
      <c r="DD1302" s="1268"/>
      <c r="DE1302" s="1268"/>
      <c r="DF1302" s="1268"/>
      <c r="DG1302" s="1268"/>
      <c r="DH1302" s="1268"/>
      <c r="DI1302" s="1268"/>
      <c r="DJ1302" s="1268"/>
      <c r="DK1302" s="1268"/>
      <c r="DL1302" s="1268"/>
      <c r="DM1302" s="1268"/>
      <c r="DN1302" s="1268"/>
      <c r="DO1302" s="1268"/>
      <c r="DP1302" s="1268"/>
      <c r="DQ1302" s="1268"/>
      <c r="DR1302" s="1268"/>
      <c r="DS1302" s="1268"/>
      <c r="DT1302" s="1268"/>
      <c r="DU1302" s="1268"/>
      <c r="DV1302" s="1268"/>
      <c r="DW1302" s="1268"/>
      <c r="DX1302" s="1268"/>
      <c r="DY1302" s="1268"/>
      <c r="DZ1302" s="1268"/>
      <c r="EA1302" s="1268"/>
      <c r="EB1302" s="1268"/>
      <c r="EC1302" s="1268"/>
      <c r="ED1302" s="1268"/>
      <c r="EE1302" s="1268"/>
      <c r="EF1302" s="1268"/>
      <c r="EG1302" s="1268"/>
      <c r="EH1302" s="1268"/>
      <c r="EI1302" s="1268"/>
      <c r="EJ1302" s="1268"/>
      <c r="EK1302" s="1268"/>
      <c r="EL1302" s="1268"/>
      <c r="EM1302" s="1268"/>
      <c r="EN1302" s="1268"/>
      <c r="EO1302" s="1268"/>
      <c r="EP1302" s="1268"/>
      <c r="EQ1302" s="1268"/>
      <c r="ER1302" s="1268"/>
      <c r="ES1302" s="1268"/>
      <c r="ET1302" s="1268"/>
      <c r="EU1302" s="1268"/>
      <c r="EV1302" s="1268"/>
      <c r="EW1302" s="1268"/>
      <c r="EX1302" s="1268"/>
      <c r="EY1302" s="1268"/>
      <c r="EZ1302" s="1268"/>
      <c r="FA1302" s="1268"/>
      <c r="FB1302" s="1268"/>
      <c r="FC1302" s="1268"/>
      <c r="FD1302" s="1268"/>
      <c r="FE1302" s="1268"/>
      <c r="FF1302" s="1268"/>
      <c r="FG1302" s="1268"/>
      <c r="FH1302" s="1268"/>
      <c r="FI1302" s="1268"/>
      <c r="FJ1302" s="1268"/>
      <c r="FK1302" s="1268"/>
      <c r="FL1302" s="1268"/>
      <c r="FM1302" s="1268"/>
      <c r="FN1302" s="1268"/>
      <c r="FO1302" s="1268"/>
      <c r="FP1302" s="1268"/>
      <c r="FQ1302" s="1268"/>
      <c r="FR1302" s="1268"/>
      <c r="FS1302" s="1268"/>
      <c r="FT1302" s="1268"/>
      <c r="FU1302" s="1268"/>
      <c r="FV1302" s="1268"/>
      <c r="FW1302" s="1268"/>
      <c r="FX1302" s="1268"/>
      <c r="FY1302" s="1268"/>
      <c r="FZ1302" s="1268"/>
      <c r="GA1302" s="1268"/>
      <c r="GB1302" s="1268"/>
      <c r="GC1302" s="1268"/>
      <c r="GD1302" s="1268"/>
      <c r="GE1302" s="1268"/>
      <c r="GF1302" s="1268"/>
      <c r="GG1302" s="1268"/>
      <c r="GH1302" s="1268"/>
      <c r="GI1302" s="1268"/>
      <c r="GJ1302" s="1268"/>
      <c r="GK1302" s="1268"/>
      <c r="GL1302" s="1268"/>
      <c r="GM1302" s="1268"/>
      <c r="GN1302" s="1268"/>
      <c r="GO1302" s="1268"/>
      <c r="GP1302" s="1268"/>
      <c r="GQ1302" s="1268"/>
      <c r="GR1302" s="1268"/>
      <c r="GS1302" s="1268"/>
      <c r="GT1302" s="1268"/>
      <c r="GU1302" s="1268"/>
      <c r="GV1302" s="1268"/>
      <c r="GW1302" s="1268"/>
      <c r="GX1302" s="1268"/>
      <c r="GY1302" s="1268"/>
      <c r="GZ1302" s="1268"/>
      <c r="HA1302" s="1268"/>
      <c r="HB1302" s="1268"/>
      <c r="HC1302" s="1268"/>
      <c r="HD1302" s="1268"/>
      <c r="HE1302" s="1268"/>
      <c r="HF1302" s="1268"/>
      <c r="HG1302" s="1268"/>
      <c r="HH1302" s="1268"/>
      <c r="HI1302" s="1268"/>
      <c r="HJ1302" s="1268"/>
      <c r="HK1302" s="1268"/>
      <c r="HL1302" s="1268"/>
      <c r="HM1302" s="1268"/>
      <c r="HN1302" s="1268"/>
      <c r="HO1302" s="1268"/>
      <c r="HP1302" s="1268"/>
      <c r="HQ1302" s="1268"/>
      <c r="HR1302" s="1268"/>
      <c r="HS1302" s="1268"/>
      <c r="HT1302" s="1268"/>
      <c r="HU1302" s="1268"/>
      <c r="HV1302" s="1268"/>
      <c r="HW1302" s="1268"/>
      <c r="HX1302" s="1268"/>
      <c r="HY1302" s="1268"/>
      <c r="HZ1302" s="1268"/>
      <c r="IA1302" s="1268"/>
      <c r="IB1302" s="1268"/>
      <c r="IC1302" s="1268"/>
      <c r="ID1302" s="1268"/>
      <c r="IE1302" s="1268"/>
      <c r="IF1302" s="1268"/>
      <c r="IG1302" s="1268"/>
      <c r="IH1302" s="1268"/>
      <c r="II1302" s="1268"/>
      <c r="IJ1302" s="1268"/>
      <c r="IK1302" s="1268"/>
      <c r="IL1302" s="1268"/>
      <c r="IM1302" s="1268"/>
      <c r="IN1302" s="1268"/>
      <c r="IO1302" s="1268"/>
      <c r="IP1302" s="1268"/>
      <c r="IQ1302" s="1268"/>
      <c r="IR1302" s="1268"/>
      <c r="IS1302" s="1268"/>
      <c r="IT1302" s="1268"/>
      <c r="IU1302" s="1268"/>
      <c r="IV1302" s="1268"/>
      <c r="IW1302" s="1268"/>
      <c r="IX1302" s="1268"/>
      <c r="IY1302" s="1268"/>
      <c r="IZ1302" s="1268"/>
      <c r="JA1302" s="1268"/>
      <c r="JB1302" s="1268"/>
      <c r="JC1302" s="1268"/>
      <c r="JD1302" s="1268"/>
      <c r="JE1302" s="1268"/>
      <c r="JF1302" s="1268"/>
      <c r="JG1302" s="1268"/>
      <c r="JH1302" s="1268"/>
      <c r="JI1302" s="1268"/>
      <c r="JJ1302" s="1268"/>
      <c r="JK1302" s="1268"/>
      <c r="JL1302" s="1268"/>
      <c r="JM1302" s="1268"/>
      <c r="JN1302" s="1268"/>
      <c r="JO1302" s="1268"/>
      <c r="JP1302" s="1268"/>
      <c r="JQ1302" s="1268"/>
      <c r="JR1302" s="1268"/>
      <c r="JS1302" s="1268"/>
      <c r="JT1302" s="1268"/>
      <c r="JU1302" s="1268"/>
      <c r="JV1302" s="1268"/>
      <c r="JW1302" s="1268"/>
      <c r="JX1302" s="1268"/>
      <c r="JY1302" s="1268"/>
      <c r="JZ1302" s="1268"/>
      <c r="KA1302" s="1268"/>
      <c r="KB1302" s="1268"/>
      <c r="KC1302" s="1268"/>
      <c r="KD1302" s="1268"/>
      <c r="KE1302" s="1268"/>
      <c r="KF1302" s="1268"/>
      <c r="KG1302" s="1268"/>
      <c r="KH1302" s="1268"/>
      <c r="KI1302" s="1268"/>
      <c r="KJ1302" s="1268"/>
      <c r="KK1302" s="1268"/>
      <c r="KL1302" s="1268"/>
      <c r="KM1302" s="1268"/>
      <c r="KN1302" s="1268"/>
      <c r="KO1302" s="1268"/>
      <c r="KP1302" s="1268"/>
      <c r="KQ1302" s="1268"/>
      <c r="KR1302" s="1268"/>
      <c r="KS1302" s="1268"/>
      <c r="KT1302" s="1268"/>
      <c r="KU1302" s="1268"/>
      <c r="KV1302" s="1268"/>
      <c r="KW1302" s="1268"/>
      <c r="KX1302" s="1268"/>
      <c r="KY1302" s="1268"/>
      <c r="KZ1302" s="1268"/>
      <c r="LA1302" s="1268"/>
      <c r="LB1302" s="1268"/>
      <c r="LC1302" s="1268"/>
      <c r="LD1302" s="1268"/>
      <c r="LE1302" s="1268"/>
      <c r="LF1302" s="1268"/>
      <c r="LG1302" s="1268"/>
      <c r="LH1302" s="1268"/>
      <c r="LI1302" s="1268"/>
      <c r="LJ1302" s="1268"/>
      <c r="LK1302" s="1268"/>
      <c r="LL1302" s="1268"/>
      <c r="LM1302" s="1268"/>
      <c r="LN1302" s="1268"/>
      <c r="LO1302" s="1268"/>
      <c r="LP1302" s="1268"/>
      <c r="LQ1302" s="1268"/>
      <c r="LR1302" s="1268"/>
      <c r="LS1302" s="1268"/>
      <c r="LT1302" s="1268"/>
      <c r="LU1302" s="1268"/>
      <c r="LV1302" s="1268"/>
      <c r="LW1302" s="1268"/>
      <c r="LX1302" s="1268"/>
      <c r="LY1302" s="1268"/>
      <c r="LZ1302" s="1268"/>
      <c r="MA1302" s="1268"/>
      <c r="MB1302" s="1268"/>
      <c r="MC1302" s="1268"/>
      <c r="MD1302" s="1268"/>
      <c r="ME1302" s="1268"/>
      <c r="MF1302" s="1268"/>
      <c r="MG1302" s="1268"/>
      <c r="MH1302" s="1268"/>
      <c r="MI1302" s="1268"/>
      <c r="MJ1302" s="1268"/>
      <c r="MK1302" s="1268"/>
      <c r="ML1302" s="1268"/>
      <c r="MM1302" s="1268"/>
      <c r="MN1302" s="1268"/>
      <c r="MO1302" s="1268"/>
      <c r="MP1302" s="1268"/>
      <c r="MQ1302" s="1268"/>
      <c r="MR1302" s="1268"/>
      <c r="MS1302" s="1268"/>
      <c r="MT1302" s="1268"/>
      <c r="MU1302" s="1268"/>
      <c r="MV1302" s="1268"/>
      <c r="MW1302" s="1268"/>
      <c r="MX1302" s="1268"/>
      <c r="MY1302" s="1268"/>
      <c r="MZ1302" s="1268"/>
      <c r="NA1302" s="1268"/>
      <c r="NB1302" s="1268"/>
      <c r="NC1302" s="1268"/>
      <c r="ND1302" s="1268"/>
      <c r="NE1302" s="1268"/>
      <c r="NF1302" s="1268"/>
      <c r="NG1302" s="1268"/>
      <c r="NH1302" s="1268"/>
      <c r="NI1302" s="1268"/>
      <c r="NJ1302" s="1268"/>
      <c r="NK1302" s="1268"/>
      <c r="NL1302" s="1268"/>
      <c r="NM1302" s="1268"/>
      <c r="NN1302" s="1268"/>
      <c r="NO1302" s="1268"/>
      <c r="NP1302" s="1268"/>
      <c r="NQ1302" s="1268"/>
      <c r="NR1302" s="1268"/>
      <c r="NS1302" s="1268"/>
      <c r="NT1302" s="1268"/>
      <c r="NU1302" s="1268"/>
      <c r="NV1302" s="1268"/>
      <c r="NW1302" s="1268"/>
      <c r="NX1302" s="1268"/>
      <c r="NY1302" s="1268"/>
      <c r="NZ1302" s="1268"/>
      <c r="OA1302" s="1268"/>
      <c r="OB1302" s="1268"/>
      <c r="OC1302" s="1268"/>
      <c r="OD1302" s="1268"/>
      <c r="OE1302" s="1268"/>
      <c r="OF1302" s="1268"/>
      <c r="OG1302" s="1268"/>
      <c r="OH1302" s="1268"/>
      <c r="OI1302" s="1268"/>
      <c r="OJ1302" s="1268"/>
      <c r="OK1302" s="1268"/>
      <c r="OL1302" s="1268"/>
      <c r="OM1302" s="1268"/>
      <c r="ON1302" s="1268"/>
      <c r="OO1302" s="1268"/>
      <c r="OP1302" s="1268"/>
      <c r="OQ1302" s="1268"/>
      <c r="OR1302" s="1268"/>
      <c r="OS1302" s="1268"/>
      <c r="OT1302" s="1268"/>
      <c r="OU1302" s="1268"/>
      <c r="OV1302" s="1268"/>
      <c r="OW1302" s="1268"/>
      <c r="OX1302" s="1268"/>
      <c r="OY1302" s="1268"/>
      <c r="OZ1302" s="1268"/>
      <c r="PA1302" s="1268"/>
      <c r="PB1302" s="1268"/>
      <c r="PC1302" s="1268"/>
      <c r="PD1302" s="1268"/>
      <c r="PE1302" s="1268"/>
      <c r="PF1302" s="1268"/>
      <c r="PG1302" s="1268"/>
      <c r="PH1302" s="1268"/>
      <c r="PI1302" s="1268"/>
      <c r="PJ1302" s="1268"/>
      <c r="PK1302" s="1268"/>
      <c r="PL1302" s="1268"/>
      <c r="PM1302" s="1268"/>
      <c r="PN1302" s="1268"/>
      <c r="PO1302" s="1268"/>
      <c r="PP1302" s="1268"/>
      <c r="PQ1302" s="1268"/>
      <c r="PR1302" s="1268"/>
      <c r="PS1302" s="1268"/>
      <c r="PT1302" s="1268"/>
      <c r="PU1302" s="1268"/>
      <c r="PV1302" s="1268"/>
      <c r="PW1302" s="1268"/>
      <c r="PX1302" s="1268"/>
      <c r="PY1302" s="1268"/>
      <c r="PZ1302" s="1268"/>
      <c r="QA1302" s="1268"/>
      <c r="QB1302" s="1268"/>
      <c r="QC1302" s="1268"/>
      <c r="QD1302" s="1268"/>
      <c r="QE1302" s="1268"/>
      <c r="QF1302" s="1268"/>
      <c r="QG1302" s="1268"/>
      <c r="QH1302" s="1268"/>
      <c r="QI1302" s="1268"/>
      <c r="QJ1302" s="1268"/>
      <c r="QK1302" s="1268"/>
      <c r="QL1302" s="1268"/>
      <c r="QM1302" s="1268"/>
      <c r="QN1302" s="1268"/>
      <c r="QO1302" s="1268"/>
      <c r="QP1302" s="1268"/>
      <c r="QQ1302" s="1268"/>
      <c r="QR1302" s="1268"/>
      <c r="QS1302" s="1268"/>
      <c r="QT1302" s="1268"/>
      <c r="QU1302" s="1268"/>
      <c r="QV1302" s="1268"/>
      <c r="QW1302" s="1268"/>
      <c r="QX1302" s="1268"/>
      <c r="QY1302" s="1268"/>
      <c r="QZ1302" s="1268"/>
      <c r="RA1302" s="1268"/>
      <c r="RB1302" s="1268"/>
      <c r="RC1302" s="1268"/>
      <c r="RD1302" s="1268"/>
      <c r="RE1302" s="1268"/>
      <c r="RF1302" s="1268"/>
      <c r="RG1302" s="1268"/>
      <c r="RH1302" s="1268"/>
      <c r="RI1302" s="1268"/>
      <c r="RJ1302" s="1268"/>
      <c r="RK1302" s="1268"/>
      <c r="RL1302" s="1268"/>
      <c r="RM1302" s="1268"/>
      <c r="RN1302" s="1268"/>
      <c r="RO1302" s="1268"/>
      <c r="RP1302" s="1268"/>
      <c r="RQ1302" s="1268"/>
      <c r="RR1302" s="1268"/>
      <c r="RS1302" s="1268"/>
      <c r="RT1302" s="1268"/>
      <c r="RU1302" s="1268"/>
      <c r="RV1302" s="1268"/>
      <c r="RW1302" s="1268"/>
      <c r="RX1302" s="1268"/>
      <c r="RY1302" s="1268"/>
      <c r="RZ1302" s="1268"/>
      <c r="SA1302" s="1268"/>
      <c r="SB1302" s="1268"/>
      <c r="SC1302" s="1268"/>
      <c r="SD1302" s="1268"/>
      <c r="SE1302" s="1268"/>
      <c r="SF1302" s="1268"/>
      <c r="SG1302" s="1268"/>
      <c r="SH1302" s="1268"/>
      <c r="SI1302" s="1268"/>
      <c r="SJ1302" s="1268"/>
      <c r="SK1302" s="1268"/>
      <c r="SL1302" s="1268"/>
      <c r="SM1302" s="1268"/>
      <c r="SN1302" s="1268"/>
      <c r="SO1302" s="1268"/>
      <c r="SP1302" s="1268"/>
      <c r="SQ1302" s="1268"/>
      <c r="SR1302" s="1268"/>
      <c r="SS1302" s="1268"/>
      <c r="ST1302" s="1268"/>
      <c r="SU1302" s="1268"/>
      <c r="SV1302" s="1268"/>
      <c r="SW1302" s="1268"/>
      <c r="SX1302" s="1268"/>
      <c r="SY1302" s="1268"/>
      <c r="SZ1302" s="1268"/>
      <c r="TA1302" s="1268"/>
      <c r="TB1302" s="1268"/>
      <c r="TC1302" s="1268"/>
      <c r="TD1302" s="1268"/>
      <c r="TE1302" s="1268"/>
      <c r="TF1302" s="1268"/>
      <c r="TG1302" s="1268"/>
      <c r="TH1302" s="1268"/>
      <c r="TI1302" s="1268"/>
      <c r="TJ1302" s="1268"/>
      <c r="TK1302" s="1268"/>
      <c r="TL1302" s="1268"/>
      <c r="TM1302" s="1268"/>
      <c r="TN1302" s="1268"/>
      <c r="TO1302" s="1268"/>
      <c r="TP1302" s="1268"/>
      <c r="TQ1302" s="1268"/>
      <c r="TR1302" s="1268"/>
      <c r="TS1302" s="1268"/>
      <c r="TT1302" s="1268"/>
      <c r="TU1302" s="1268"/>
      <c r="TV1302" s="1268"/>
      <c r="TW1302" s="1268"/>
      <c r="TX1302" s="1268"/>
      <c r="TY1302" s="1268"/>
      <c r="TZ1302" s="1268"/>
      <c r="UA1302" s="1268"/>
      <c r="UB1302" s="1268"/>
      <c r="UC1302" s="1268"/>
      <c r="UD1302" s="1268"/>
      <c r="UE1302" s="1268"/>
      <c r="UF1302" s="1268"/>
      <c r="UG1302" s="1268"/>
    </row>
    <row r="1303" spans="1:553" ht="42.65" customHeight="1">
      <c r="A1303" s="356" t="s">
        <v>53</v>
      </c>
      <c r="B1303" s="356"/>
      <c r="C1303" s="1413" t="s">
        <v>732</v>
      </c>
      <c r="D1303" s="1389"/>
      <c r="E1303" s="1389"/>
      <c r="F1303" s="1390"/>
      <c r="G1303" s="356"/>
      <c r="H1303" s="424"/>
      <c r="I1303" s="424"/>
      <c r="J1303" s="357"/>
      <c r="K1303" s="358"/>
      <c r="L1303" s="645">
        <v>0</v>
      </c>
      <c r="M1303" s="356"/>
      <c r="N1303" s="356"/>
      <c r="O1303" s="356"/>
      <c r="P1303" s="356"/>
      <c r="Q1303" s="610"/>
      <c r="R1303" s="1226"/>
      <c r="S1303" s="308"/>
      <c r="T1303" s="308"/>
      <c r="U1303" s="308"/>
      <c r="V1303" s="308"/>
      <c r="W1303" s="308"/>
      <c r="X1303" s="308"/>
      <c r="Y1303" s="308"/>
      <c r="Z1303" s="604"/>
      <c r="AA1303" s="308"/>
      <c r="AB1303" s="308"/>
      <c r="AC1303" s="486"/>
      <c r="AD1303" s="486"/>
      <c r="AE1303" s="486"/>
      <c r="AF1303" s="486"/>
      <c r="AG1303" s="486"/>
      <c r="AH1303" s="486"/>
      <c r="AI1303" s="486"/>
      <c r="AJ1303" s="486"/>
      <c r="AK1303" s="486"/>
      <c r="AL1303" s="206"/>
      <c r="AM1303" s="29"/>
      <c r="AN1303" s="29"/>
      <c r="AO1303" s="29"/>
      <c r="AP1303" s="29"/>
      <c r="AQ1303" s="29"/>
      <c r="AR1303" s="29"/>
      <c r="AS1303" s="29"/>
      <c r="AT1303" s="29"/>
      <c r="AU1303" s="29"/>
      <c r="AV1303" s="29"/>
      <c r="AW1303" s="29"/>
      <c r="AX1303" s="29"/>
      <c r="AY1303" s="29"/>
      <c r="AZ1303" s="29"/>
      <c r="BA1303" s="29"/>
      <c r="BB1303" s="29"/>
      <c r="BC1303" s="29"/>
      <c r="BD1303" s="29"/>
      <c r="BE1303" s="29"/>
      <c r="BF1303" s="29"/>
      <c r="BG1303" s="29"/>
      <c r="BH1303" s="29"/>
      <c r="BI1303" s="29"/>
      <c r="BJ1303" s="29"/>
      <c r="BK1303" s="29"/>
      <c r="BL1303" s="29"/>
      <c r="BM1303" s="29"/>
      <c r="BN1303" s="29"/>
      <c r="BO1303" s="29"/>
      <c r="BP1303" s="29"/>
      <c r="BQ1303" s="29"/>
      <c r="BR1303" s="29"/>
      <c r="BS1303" s="29"/>
      <c r="BT1303" s="29"/>
      <c r="BU1303" s="29"/>
      <c r="BV1303" s="29"/>
      <c r="BW1303" s="29"/>
      <c r="BX1303" s="29"/>
      <c r="BY1303" s="29"/>
      <c r="BZ1303" s="29"/>
      <c r="CA1303" s="29"/>
      <c r="CB1303" s="29"/>
      <c r="CC1303" s="29"/>
      <c r="CD1303" s="29"/>
      <c r="CE1303" s="29"/>
      <c r="CF1303" s="29"/>
      <c r="CG1303" s="29"/>
      <c r="CH1303" s="29"/>
      <c r="CI1303" s="29"/>
      <c r="CJ1303" s="29"/>
      <c r="CK1303" s="29"/>
      <c r="CL1303" s="29"/>
      <c r="CM1303" s="29"/>
      <c r="CN1303" s="29"/>
      <c r="CO1303" s="29"/>
      <c r="CP1303" s="29"/>
      <c r="CQ1303" s="29"/>
      <c r="CR1303" s="29"/>
      <c r="CS1303" s="29"/>
      <c r="CT1303" s="29"/>
      <c r="CU1303" s="29"/>
      <c r="CV1303" s="29"/>
      <c r="CW1303" s="29"/>
      <c r="CX1303" s="29"/>
      <c r="CY1303" s="29"/>
      <c r="CZ1303" s="29"/>
      <c r="DA1303" s="29"/>
      <c r="DB1303" s="29"/>
      <c r="DC1303" s="29"/>
      <c r="DD1303" s="29"/>
      <c r="DE1303" s="29"/>
      <c r="DF1303" s="29"/>
      <c r="DG1303" s="29"/>
      <c r="DH1303" s="29"/>
      <c r="DI1303" s="29"/>
      <c r="DJ1303" s="29"/>
      <c r="DK1303" s="29"/>
      <c r="DL1303" s="29"/>
      <c r="DM1303" s="29"/>
      <c r="DN1303" s="29"/>
      <c r="DO1303" s="29"/>
      <c r="DP1303" s="29"/>
      <c r="DQ1303" s="29"/>
      <c r="DR1303" s="29"/>
      <c r="DS1303" s="29"/>
      <c r="DT1303" s="29"/>
      <c r="DU1303" s="29"/>
      <c r="DV1303" s="29"/>
      <c r="DW1303" s="29"/>
      <c r="DX1303" s="29"/>
      <c r="DY1303" s="29"/>
      <c r="DZ1303" s="29"/>
      <c r="EA1303" s="29"/>
      <c r="EB1303" s="29"/>
      <c r="EC1303" s="29"/>
      <c r="ED1303" s="29"/>
      <c r="EE1303" s="29"/>
      <c r="EF1303" s="29"/>
      <c r="EG1303" s="29"/>
      <c r="EH1303" s="29"/>
      <c r="EI1303" s="29"/>
      <c r="EJ1303" s="29"/>
      <c r="EK1303" s="29"/>
      <c r="EL1303" s="29"/>
      <c r="EM1303" s="29"/>
      <c r="EN1303" s="29"/>
      <c r="EO1303" s="29"/>
      <c r="EP1303" s="29"/>
      <c r="EQ1303" s="29"/>
      <c r="ER1303" s="29"/>
      <c r="ES1303" s="29"/>
      <c r="ET1303" s="29"/>
      <c r="EU1303" s="29"/>
      <c r="EV1303" s="29"/>
      <c r="EW1303" s="29"/>
      <c r="EX1303" s="29"/>
      <c r="EY1303" s="29"/>
      <c r="EZ1303" s="29"/>
      <c r="FA1303" s="29"/>
      <c r="FB1303" s="29"/>
      <c r="FC1303" s="29"/>
      <c r="FD1303" s="29"/>
      <c r="FE1303" s="29"/>
      <c r="FF1303" s="29"/>
      <c r="FG1303" s="29"/>
      <c r="FH1303" s="29"/>
      <c r="FI1303" s="29"/>
      <c r="FJ1303" s="29"/>
      <c r="FK1303" s="29"/>
      <c r="FL1303" s="29"/>
      <c r="FM1303" s="29"/>
      <c r="FN1303" s="29"/>
      <c r="FO1303" s="29"/>
      <c r="FP1303" s="29"/>
      <c r="FQ1303" s="29"/>
      <c r="FR1303" s="29"/>
      <c r="FS1303" s="29"/>
      <c r="FT1303" s="29"/>
      <c r="FU1303" s="29"/>
      <c r="FV1303" s="29"/>
      <c r="FW1303" s="29"/>
      <c r="FX1303" s="29"/>
      <c r="FY1303" s="29"/>
      <c r="FZ1303" s="29"/>
      <c r="GA1303" s="29"/>
      <c r="GB1303" s="29"/>
      <c r="GC1303" s="29"/>
      <c r="GD1303" s="29"/>
      <c r="GE1303" s="29"/>
      <c r="GF1303" s="29"/>
      <c r="GG1303" s="29"/>
      <c r="GH1303" s="29"/>
      <c r="GI1303" s="29"/>
      <c r="GJ1303" s="29"/>
      <c r="GK1303" s="29"/>
      <c r="GL1303" s="29"/>
      <c r="GM1303" s="29"/>
      <c r="GN1303" s="29"/>
      <c r="GO1303" s="29"/>
      <c r="GP1303" s="29"/>
      <c r="GQ1303" s="29"/>
      <c r="GR1303" s="29"/>
      <c r="GS1303" s="29"/>
      <c r="GT1303" s="29"/>
      <c r="GU1303" s="29"/>
      <c r="GV1303" s="29"/>
      <c r="GW1303" s="29"/>
      <c r="GX1303" s="29"/>
      <c r="GY1303" s="29"/>
      <c r="GZ1303" s="29"/>
      <c r="HA1303" s="29"/>
      <c r="HB1303" s="29"/>
      <c r="HC1303" s="29"/>
      <c r="HD1303" s="29"/>
      <c r="HE1303" s="29"/>
      <c r="HF1303" s="29"/>
      <c r="HG1303" s="29"/>
      <c r="HH1303" s="29"/>
      <c r="HI1303" s="29"/>
      <c r="HJ1303" s="29"/>
      <c r="HK1303" s="29"/>
      <c r="HL1303" s="29"/>
      <c r="HM1303" s="29"/>
      <c r="HN1303" s="29"/>
      <c r="HO1303" s="29"/>
      <c r="HP1303" s="29"/>
      <c r="HQ1303" s="29"/>
      <c r="HR1303" s="29"/>
      <c r="HS1303" s="29"/>
      <c r="HT1303" s="29"/>
      <c r="HU1303" s="29"/>
      <c r="HV1303" s="29"/>
      <c r="HW1303" s="29"/>
      <c r="HX1303" s="29"/>
      <c r="HY1303" s="29"/>
      <c r="HZ1303" s="29"/>
      <c r="IA1303" s="29"/>
      <c r="IB1303" s="29"/>
      <c r="IC1303" s="29"/>
      <c r="ID1303" s="29"/>
      <c r="IE1303" s="29"/>
      <c r="IF1303" s="29"/>
      <c r="IG1303" s="29"/>
      <c r="IH1303" s="29"/>
      <c r="II1303" s="29"/>
      <c r="IJ1303" s="29"/>
      <c r="IK1303" s="29"/>
      <c r="IL1303" s="29"/>
      <c r="IM1303" s="29"/>
      <c r="IN1303" s="29"/>
      <c r="IO1303" s="29"/>
      <c r="IP1303" s="29"/>
      <c r="IQ1303" s="29"/>
      <c r="IR1303" s="29"/>
      <c r="IS1303" s="29"/>
      <c r="IT1303" s="29"/>
      <c r="IU1303" s="29"/>
      <c r="IV1303" s="29"/>
      <c r="IW1303" s="29"/>
      <c r="IX1303" s="29"/>
      <c r="IY1303" s="29"/>
      <c r="IZ1303" s="29"/>
      <c r="JA1303" s="29"/>
      <c r="JB1303" s="29"/>
      <c r="JC1303" s="29"/>
      <c r="JD1303" s="29"/>
      <c r="JE1303" s="29"/>
      <c r="JF1303" s="29"/>
      <c r="JG1303" s="29"/>
      <c r="JH1303" s="29"/>
      <c r="JI1303" s="29"/>
      <c r="JJ1303" s="29"/>
      <c r="JK1303" s="29"/>
      <c r="JL1303" s="29"/>
      <c r="JM1303" s="29"/>
      <c r="JN1303" s="29"/>
      <c r="JO1303" s="29"/>
      <c r="JP1303" s="29"/>
      <c r="JQ1303" s="29"/>
      <c r="JR1303" s="29"/>
      <c r="JS1303" s="29"/>
      <c r="JT1303" s="29"/>
      <c r="JU1303" s="29"/>
      <c r="JV1303" s="29"/>
      <c r="JW1303" s="29"/>
      <c r="JX1303" s="29"/>
      <c r="JY1303" s="29"/>
      <c r="JZ1303" s="29"/>
      <c r="KA1303" s="29"/>
      <c r="KB1303" s="29"/>
      <c r="KC1303" s="29"/>
      <c r="KD1303" s="29"/>
      <c r="KE1303" s="29"/>
      <c r="KF1303" s="29"/>
      <c r="KG1303" s="29"/>
      <c r="KH1303" s="29"/>
      <c r="KI1303" s="29"/>
      <c r="KJ1303" s="29"/>
      <c r="KK1303" s="29"/>
      <c r="KL1303" s="29"/>
      <c r="KM1303" s="29"/>
      <c r="KN1303" s="29"/>
      <c r="KO1303" s="29"/>
      <c r="KP1303" s="29"/>
      <c r="KQ1303" s="29"/>
      <c r="KR1303" s="29"/>
      <c r="KS1303" s="29"/>
      <c r="KT1303" s="29"/>
      <c r="KU1303" s="29"/>
      <c r="KV1303" s="29"/>
      <c r="KW1303" s="29"/>
      <c r="KX1303" s="29"/>
      <c r="KY1303" s="29"/>
      <c r="KZ1303" s="29"/>
      <c r="LA1303" s="29"/>
      <c r="LB1303" s="29"/>
      <c r="LC1303" s="29"/>
      <c r="LD1303" s="29"/>
      <c r="LE1303" s="29"/>
      <c r="LF1303" s="29"/>
      <c r="LG1303" s="29"/>
      <c r="LH1303" s="29"/>
      <c r="LI1303" s="29"/>
      <c r="LJ1303" s="29"/>
      <c r="LK1303" s="29"/>
      <c r="LL1303" s="29"/>
      <c r="LM1303" s="29"/>
      <c r="LN1303" s="29"/>
      <c r="LO1303" s="29"/>
      <c r="LP1303" s="29"/>
      <c r="LQ1303" s="29"/>
      <c r="LR1303" s="29"/>
      <c r="LS1303" s="29"/>
      <c r="LT1303" s="29"/>
      <c r="LU1303" s="29"/>
      <c r="LV1303" s="29"/>
      <c r="LW1303" s="29"/>
      <c r="LX1303" s="29"/>
      <c r="LY1303" s="29"/>
      <c r="LZ1303" s="29"/>
      <c r="MA1303" s="29"/>
      <c r="MB1303" s="29"/>
      <c r="MC1303" s="29"/>
      <c r="MD1303" s="29"/>
      <c r="ME1303" s="29"/>
      <c r="MF1303" s="29"/>
      <c r="MG1303" s="29"/>
      <c r="MH1303" s="29"/>
      <c r="MI1303" s="29"/>
      <c r="MJ1303" s="29"/>
      <c r="MK1303" s="29"/>
      <c r="ML1303" s="29"/>
      <c r="MM1303" s="29"/>
      <c r="MN1303" s="29"/>
      <c r="MO1303" s="29"/>
      <c r="MP1303" s="29"/>
      <c r="MQ1303" s="29"/>
      <c r="MR1303" s="29"/>
      <c r="MS1303" s="29"/>
      <c r="MT1303" s="29"/>
      <c r="MU1303" s="29"/>
      <c r="MV1303" s="29"/>
      <c r="MW1303" s="29"/>
      <c r="MX1303" s="29"/>
      <c r="MY1303" s="29"/>
      <c r="MZ1303" s="29"/>
      <c r="NA1303" s="29"/>
      <c r="NB1303" s="29"/>
      <c r="NC1303" s="29"/>
      <c r="ND1303" s="29"/>
      <c r="NE1303" s="29"/>
      <c r="NF1303" s="29"/>
      <c r="NG1303" s="29"/>
      <c r="NH1303" s="29"/>
      <c r="NI1303" s="29"/>
      <c r="NJ1303" s="29"/>
      <c r="NK1303" s="29"/>
      <c r="NL1303" s="29"/>
      <c r="NM1303" s="29"/>
      <c r="NN1303" s="29"/>
      <c r="NO1303" s="29"/>
      <c r="NP1303" s="29"/>
      <c r="NQ1303" s="29"/>
      <c r="NR1303" s="29"/>
      <c r="NS1303" s="29"/>
      <c r="NT1303" s="29"/>
      <c r="NU1303" s="29"/>
      <c r="NV1303" s="29"/>
      <c r="NW1303" s="29"/>
      <c r="NX1303" s="29"/>
      <c r="NY1303" s="29"/>
      <c r="NZ1303" s="29"/>
      <c r="OA1303" s="29"/>
      <c r="OB1303" s="29"/>
      <c r="OC1303" s="29"/>
      <c r="OD1303" s="29"/>
      <c r="OE1303" s="29"/>
      <c r="OF1303" s="29"/>
      <c r="OG1303" s="29"/>
      <c r="OH1303" s="29"/>
      <c r="OI1303" s="29"/>
      <c r="OJ1303" s="29"/>
      <c r="OK1303" s="29"/>
      <c r="OL1303" s="29"/>
      <c r="OM1303" s="29"/>
      <c r="ON1303" s="29"/>
      <c r="OO1303" s="29"/>
      <c r="OP1303" s="29"/>
      <c r="OQ1303" s="29"/>
      <c r="OR1303" s="29"/>
      <c r="OS1303" s="29"/>
      <c r="OT1303" s="29"/>
      <c r="OU1303" s="29"/>
      <c r="OV1303" s="29"/>
      <c r="OW1303" s="29"/>
      <c r="OX1303" s="29"/>
      <c r="OY1303" s="29"/>
      <c r="OZ1303" s="29"/>
      <c r="PA1303" s="29"/>
      <c r="PB1303" s="29"/>
      <c r="PC1303" s="29"/>
      <c r="PD1303" s="29"/>
      <c r="PE1303" s="29"/>
      <c r="PF1303" s="29"/>
      <c r="PG1303" s="29"/>
      <c r="PH1303" s="29"/>
      <c r="PI1303" s="29"/>
      <c r="PJ1303" s="29"/>
      <c r="PK1303" s="29"/>
      <c r="PL1303" s="29"/>
      <c r="PM1303" s="29"/>
      <c r="PN1303" s="29"/>
      <c r="PO1303" s="29"/>
      <c r="PP1303" s="29"/>
      <c r="PQ1303" s="29"/>
      <c r="PR1303" s="29"/>
      <c r="PS1303" s="29"/>
      <c r="PT1303" s="29"/>
      <c r="PU1303" s="29"/>
      <c r="PV1303" s="29"/>
      <c r="PW1303" s="29"/>
      <c r="PX1303" s="29"/>
      <c r="PY1303" s="29"/>
      <c r="PZ1303" s="29"/>
      <c r="QA1303" s="29"/>
      <c r="QB1303" s="29"/>
      <c r="QC1303" s="29"/>
      <c r="QD1303" s="29"/>
      <c r="QE1303" s="29"/>
      <c r="QF1303" s="29"/>
      <c r="QG1303" s="29"/>
      <c r="QH1303" s="29"/>
      <c r="QI1303" s="29"/>
      <c r="QJ1303" s="29"/>
      <c r="QK1303" s="29"/>
      <c r="QL1303" s="29"/>
      <c r="QM1303" s="29"/>
      <c r="QN1303" s="29"/>
      <c r="QO1303" s="29"/>
      <c r="QP1303" s="29"/>
      <c r="QQ1303" s="29"/>
      <c r="QR1303" s="29"/>
      <c r="QS1303" s="29"/>
      <c r="QT1303" s="29"/>
      <c r="QU1303" s="29"/>
      <c r="QV1303" s="29"/>
      <c r="QW1303" s="29"/>
      <c r="QX1303" s="29"/>
      <c r="QY1303" s="29"/>
      <c r="QZ1303" s="29"/>
      <c r="RA1303" s="29"/>
      <c r="RB1303" s="29"/>
      <c r="RC1303" s="29"/>
      <c r="RD1303" s="29"/>
      <c r="RE1303" s="29"/>
      <c r="RF1303" s="29"/>
      <c r="RG1303" s="29"/>
      <c r="RH1303" s="29"/>
      <c r="RI1303" s="29"/>
      <c r="RJ1303" s="29"/>
      <c r="RK1303" s="29"/>
      <c r="RL1303" s="29"/>
      <c r="RM1303" s="29"/>
      <c r="RN1303" s="29"/>
      <c r="RO1303" s="29"/>
      <c r="RP1303" s="29"/>
      <c r="RQ1303" s="29"/>
      <c r="RR1303" s="29"/>
      <c r="RS1303" s="29"/>
      <c r="RT1303" s="29"/>
      <c r="RU1303" s="29"/>
      <c r="RV1303" s="29"/>
      <c r="RW1303" s="29"/>
      <c r="RX1303" s="29"/>
      <c r="RY1303" s="29"/>
      <c r="RZ1303" s="29"/>
      <c r="SA1303" s="29"/>
      <c r="SB1303" s="29"/>
      <c r="SC1303" s="29"/>
      <c r="SD1303" s="29"/>
      <c r="SE1303" s="29"/>
      <c r="SF1303" s="29"/>
      <c r="SG1303" s="29"/>
      <c r="SH1303" s="29"/>
      <c r="SI1303" s="29"/>
      <c r="SJ1303" s="29"/>
      <c r="SK1303" s="29"/>
      <c r="SL1303" s="29"/>
      <c r="SM1303" s="29"/>
      <c r="SN1303" s="29"/>
      <c r="SO1303" s="29"/>
      <c r="SP1303" s="29"/>
      <c r="SQ1303" s="29"/>
      <c r="SR1303" s="29"/>
      <c r="SS1303" s="29"/>
      <c r="ST1303" s="29"/>
      <c r="SU1303" s="29"/>
      <c r="SV1303" s="29"/>
      <c r="SW1303" s="29"/>
      <c r="SX1303" s="29"/>
      <c r="SY1303" s="29"/>
      <c r="SZ1303" s="29"/>
      <c r="TA1303" s="29"/>
      <c r="TB1303" s="29"/>
      <c r="TC1303" s="29"/>
      <c r="TD1303" s="29"/>
      <c r="TE1303" s="29"/>
      <c r="TF1303" s="29"/>
      <c r="TG1303" s="29"/>
      <c r="TH1303" s="29"/>
      <c r="TI1303" s="29"/>
      <c r="TJ1303" s="29"/>
      <c r="TK1303" s="29"/>
      <c r="TL1303" s="29"/>
      <c r="TM1303" s="29"/>
      <c r="TN1303" s="29"/>
      <c r="TO1303" s="29"/>
      <c r="TP1303" s="29"/>
      <c r="TQ1303" s="29"/>
      <c r="TR1303" s="29"/>
      <c r="TS1303" s="29"/>
      <c r="TT1303" s="29"/>
      <c r="TU1303" s="29"/>
      <c r="TV1303" s="29"/>
      <c r="TW1303" s="29"/>
      <c r="TX1303" s="29"/>
      <c r="TY1303" s="29"/>
      <c r="TZ1303" s="29"/>
      <c r="UA1303" s="29"/>
      <c r="UB1303" s="29"/>
      <c r="UC1303" s="29"/>
      <c r="UD1303" s="29"/>
      <c r="UE1303" s="29"/>
      <c r="UF1303" s="29"/>
      <c r="UG1303" s="29"/>
    </row>
    <row r="1304" spans="1:553" ht="42.65" customHeight="1">
      <c r="A1304" s="356" t="s">
        <v>58</v>
      </c>
      <c r="B1304" s="356"/>
      <c r="C1304" s="1413" t="s">
        <v>59</v>
      </c>
      <c r="D1304" s="1389"/>
      <c r="E1304" s="1389"/>
      <c r="F1304" s="1390"/>
      <c r="G1304" s="366"/>
      <c r="H1304" s="370"/>
      <c r="I1304" s="370"/>
      <c r="J1304" s="368"/>
      <c r="K1304" s="371"/>
      <c r="L1304" s="645">
        <v>0</v>
      </c>
      <c r="M1304" s="356"/>
      <c r="N1304" s="356"/>
      <c r="O1304" s="356"/>
      <c r="P1304" s="356"/>
      <c r="Q1304" s="610"/>
      <c r="R1304" s="1226"/>
      <c r="S1304" s="308"/>
      <c r="T1304" s="308"/>
      <c r="U1304" s="308"/>
      <c r="V1304" s="308"/>
      <c r="W1304" s="308"/>
      <c r="X1304" s="308"/>
      <c r="Y1304" s="308"/>
      <c r="Z1304" s="604"/>
      <c r="AA1304" s="308"/>
      <c r="AB1304" s="308"/>
      <c r="AC1304" s="486"/>
      <c r="AD1304" s="486"/>
      <c r="AE1304" s="486"/>
      <c r="AF1304" s="486"/>
      <c r="AG1304" s="486"/>
      <c r="AH1304" s="486"/>
      <c r="AI1304" s="486"/>
      <c r="AJ1304" s="486"/>
      <c r="AK1304" s="486"/>
      <c r="AL1304" s="206"/>
      <c r="AM1304" s="29"/>
      <c r="AN1304" s="29"/>
      <c r="AO1304" s="29"/>
      <c r="AP1304" s="29"/>
      <c r="AQ1304" s="29"/>
      <c r="AR1304" s="29"/>
      <c r="AS1304" s="29"/>
      <c r="AT1304" s="29"/>
      <c r="AU1304" s="29"/>
      <c r="AV1304" s="29"/>
      <c r="AW1304" s="29"/>
      <c r="AX1304" s="29"/>
      <c r="AY1304" s="29"/>
      <c r="AZ1304" s="29"/>
      <c r="BA1304" s="29"/>
      <c r="BB1304" s="29"/>
      <c r="BC1304" s="29"/>
      <c r="BD1304" s="29"/>
      <c r="BE1304" s="29"/>
      <c r="BF1304" s="29"/>
      <c r="BG1304" s="29"/>
      <c r="BH1304" s="29"/>
      <c r="BI1304" s="29"/>
      <c r="BJ1304" s="29"/>
      <c r="BK1304" s="29"/>
      <c r="BL1304" s="29"/>
      <c r="BM1304" s="29"/>
      <c r="BN1304" s="29"/>
      <c r="BO1304" s="29"/>
      <c r="BP1304" s="29"/>
      <c r="BQ1304" s="29"/>
      <c r="BR1304" s="29"/>
      <c r="BS1304" s="29"/>
      <c r="BT1304" s="29"/>
      <c r="BU1304" s="29"/>
      <c r="BV1304" s="29"/>
      <c r="BW1304" s="29"/>
      <c r="BX1304" s="29"/>
      <c r="BY1304" s="29"/>
      <c r="BZ1304" s="29"/>
      <c r="CA1304" s="29"/>
      <c r="CB1304" s="29"/>
      <c r="CC1304" s="29"/>
      <c r="CD1304" s="29"/>
      <c r="CE1304" s="29"/>
      <c r="CF1304" s="29"/>
      <c r="CG1304" s="29"/>
      <c r="CH1304" s="29"/>
      <c r="CI1304" s="29"/>
      <c r="CJ1304" s="29"/>
      <c r="CK1304" s="29"/>
      <c r="CL1304" s="29"/>
      <c r="CM1304" s="29"/>
      <c r="CN1304" s="29"/>
      <c r="CO1304" s="29"/>
      <c r="CP1304" s="29"/>
      <c r="CQ1304" s="29"/>
      <c r="CR1304" s="29"/>
      <c r="CS1304" s="29"/>
      <c r="CT1304" s="29"/>
      <c r="CU1304" s="29"/>
      <c r="CV1304" s="29"/>
      <c r="CW1304" s="29"/>
      <c r="CX1304" s="29"/>
      <c r="CY1304" s="29"/>
      <c r="CZ1304" s="29"/>
      <c r="DA1304" s="29"/>
      <c r="DB1304" s="29"/>
      <c r="DC1304" s="29"/>
      <c r="DD1304" s="29"/>
      <c r="DE1304" s="29"/>
      <c r="DF1304" s="29"/>
      <c r="DG1304" s="29"/>
      <c r="DH1304" s="29"/>
      <c r="DI1304" s="29"/>
      <c r="DJ1304" s="29"/>
      <c r="DK1304" s="29"/>
      <c r="DL1304" s="29"/>
      <c r="DM1304" s="29"/>
      <c r="DN1304" s="29"/>
      <c r="DO1304" s="29"/>
      <c r="DP1304" s="29"/>
      <c r="DQ1304" s="29"/>
      <c r="DR1304" s="29"/>
      <c r="DS1304" s="29"/>
      <c r="DT1304" s="29"/>
      <c r="DU1304" s="29"/>
      <c r="DV1304" s="29"/>
      <c r="DW1304" s="29"/>
      <c r="DX1304" s="29"/>
      <c r="DY1304" s="29"/>
      <c r="DZ1304" s="29"/>
      <c r="EA1304" s="29"/>
      <c r="EB1304" s="29"/>
      <c r="EC1304" s="29"/>
      <c r="ED1304" s="29"/>
      <c r="EE1304" s="29"/>
      <c r="EF1304" s="29"/>
      <c r="EG1304" s="29"/>
      <c r="EH1304" s="29"/>
      <c r="EI1304" s="29"/>
      <c r="EJ1304" s="29"/>
      <c r="EK1304" s="29"/>
      <c r="EL1304" s="29"/>
      <c r="EM1304" s="29"/>
      <c r="EN1304" s="29"/>
      <c r="EO1304" s="29"/>
      <c r="EP1304" s="29"/>
      <c r="EQ1304" s="29"/>
      <c r="ER1304" s="29"/>
      <c r="ES1304" s="29"/>
      <c r="ET1304" s="29"/>
      <c r="EU1304" s="29"/>
      <c r="EV1304" s="29"/>
      <c r="EW1304" s="29"/>
      <c r="EX1304" s="29"/>
      <c r="EY1304" s="29"/>
      <c r="EZ1304" s="29"/>
      <c r="FA1304" s="29"/>
      <c r="FB1304" s="29"/>
      <c r="FC1304" s="29"/>
      <c r="FD1304" s="29"/>
      <c r="FE1304" s="29"/>
      <c r="FF1304" s="29"/>
      <c r="FG1304" s="29"/>
      <c r="FH1304" s="29"/>
      <c r="FI1304" s="29"/>
      <c r="FJ1304" s="29"/>
      <c r="FK1304" s="29"/>
      <c r="FL1304" s="29"/>
      <c r="FM1304" s="29"/>
      <c r="FN1304" s="29"/>
      <c r="FO1304" s="29"/>
      <c r="FP1304" s="29"/>
      <c r="FQ1304" s="29"/>
      <c r="FR1304" s="29"/>
      <c r="FS1304" s="29"/>
      <c r="FT1304" s="29"/>
      <c r="FU1304" s="29"/>
      <c r="FV1304" s="29"/>
      <c r="FW1304" s="29"/>
      <c r="FX1304" s="29"/>
      <c r="FY1304" s="29"/>
      <c r="FZ1304" s="29"/>
      <c r="GA1304" s="29"/>
      <c r="GB1304" s="29"/>
      <c r="GC1304" s="29"/>
      <c r="GD1304" s="29"/>
      <c r="GE1304" s="29"/>
      <c r="GF1304" s="29"/>
      <c r="GG1304" s="29"/>
      <c r="GH1304" s="29"/>
      <c r="GI1304" s="29"/>
      <c r="GJ1304" s="29"/>
      <c r="GK1304" s="29"/>
      <c r="GL1304" s="29"/>
      <c r="GM1304" s="29"/>
      <c r="GN1304" s="29"/>
      <c r="GO1304" s="29"/>
      <c r="GP1304" s="29"/>
      <c r="GQ1304" s="29"/>
      <c r="GR1304" s="29"/>
      <c r="GS1304" s="29"/>
      <c r="GT1304" s="29"/>
      <c r="GU1304" s="29"/>
      <c r="GV1304" s="29"/>
      <c r="GW1304" s="29"/>
      <c r="GX1304" s="29"/>
      <c r="GY1304" s="29"/>
      <c r="GZ1304" s="29"/>
      <c r="HA1304" s="29"/>
      <c r="HB1304" s="29"/>
      <c r="HC1304" s="29"/>
      <c r="HD1304" s="29"/>
      <c r="HE1304" s="29"/>
      <c r="HF1304" s="29"/>
      <c r="HG1304" s="29"/>
      <c r="HH1304" s="29"/>
      <c r="HI1304" s="29"/>
      <c r="HJ1304" s="29"/>
      <c r="HK1304" s="29"/>
      <c r="HL1304" s="29"/>
      <c r="HM1304" s="29"/>
      <c r="HN1304" s="29"/>
      <c r="HO1304" s="29"/>
      <c r="HP1304" s="29"/>
      <c r="HQ1304" s="29"/>
      <c r="HR1304" s="29"/>
      <c r="HS1304" s="29"/>
      <c r="HT1304" s="29"/>
      <c r="HU1304" s="29"/>
      <c r="HV1304" s="29"/>
      <c r="HW1304" s="29"/>
      <c r="HX1304" s="29"/>
      <c r="HY1304" s="29"/>
      <c r="HZ1304" s="29"/>
      <c r="IA1304" s="29"/>
      <c r="IB1304" s="29"/>
      <c r="IC1304" s="29"/>
      <c r="ID1304" s="29"/>
      <c r="IE1304" s="29"/>
      <c r="IF1304" s="29"/>
      <c r="IG1304" s="29"/>
      <c r="IH1304" s="29"/>
      <c r="II1304" s="29"/>
      <c r="IJ1304" s="29"/>
      <c r="IK1304" s="29"/>
      <c r="IL1304" s="29"/>
      <c r="IM1304" s="29"/>
      <c r="IN1304" s="29"/>
      <c r="IO1304" s="29"/>
      <c r="IP1304" s="29"/>
      <c r="IQ1304" s="29"/>
      <c r="IR1304" s="29"/>
      <c r="IS1304" s="29"/>
      <c r="IT1304" s="29"/>
      <c r="IU1304" s="29"/>
      <c r="IV1304" s="29"/>
      <c r="IW1304" s="29"/>
      <c r="IX1304" s="29"/>
      <c r="IY1304" s="29"/>
      <c r="IZ1304" s="29"/>
      <c r="JA1304" s="29"/>
      <c r="JB1304" s="29"/>
      <c r="JC1304" s="29"/>
      <c r="JD1304" s="29"/>
      <c r="JE1304" s="29"/>
      <c r="JF1304" s="29"/>
      <c r="JG1304" s="29"/>
      <c r="JH1304" s="29"/>
      <c r="JI1304" s="29"/>
      <c r="JJ1304" s="29"/>
      <c r="JK1304" s="29"/>
      <c r="JL1304" s="29"/>
      <c r="JM1304" s="29"/>
      <c r="JN1304" s="29"/>
      <c r="JO1304" s="29"/>
      <c r="JP1304" s="29"/>
      <c r="JQ1304" s="29"/>
      <c r="JR1304" s="29"/>
      <c r="JS1304" s="29"/>
      <c r="JT1304" s="29"/>
      <c r="JU1304" s="29"/>
      <c r="JV1304" s="29"/>
      <c r="JW1304" s="29"/>
      <c r="JX1304" s="29"/>
      <c r="JY1304" s="29"/>
      <c r="JZ1304" s="29"/>
      <c r="KA1304" s="29"/>
      <c r="KB1304" s="29"/>
      <c r="KC1304" s="29"/>
      <c r="KD1304" s="29"/>
      <c r="KE1304" s="29"/>
      <c r="KF1304" s="29"/>
      <c r="KG1304" s="29"/>
      <c r="KH1304" s="29"/>
      <c r="KI1304" s="29"/>
      <c r="KJ1304" s="29"/>
      <c r="KK1304" s="29"/>
      <c r="KL1304" s="29"/>
      <c r="KM1304" s="29"/>
      <c r="KN1304" s="29"/>
      <c r="KO1304" s="29"/>
      <c r="KP1304" s="29"/>
      <c r="KQ1304" s="29"/>
      <c r="KR1304" s="29"/>
      <c r="KS1304" s="29"/>
      <c r="KT1304" s="29"/>
      <c r="KU1304" s="29"/>
      <c r="KV1304" s="29"/>
      <c r="KW1304" s="29"/>
      <c r="KX1304" s="29"/>
      <c r="KY1304" s="29"/>
      <c r="KZ1304" s="29"/>
      <c r="LA1304" s="29"/>
      <c r="LB1304" s="29"/>
      <c r="LC1304" s="29"/>
      <c r="LD1304" s="29"/>
      <c r="LE1304" s="29"/>
      <c r="LF1304" s="29"/>
      <c r="LG1304" s="29"/>
      <c r="LH1304" s="29"/>
      <c r="LI1304" s="29"/>
      <c r="LJ1304" s="29"/>
      <c r="LK1304" s="29"/>
      <c r="LL1304" s="29"/>
      <c r="LM1304" s="29"/>
      <c r="LN1304" s="29"/>
      <c r="LO1304" s="29"/>
      <c r="LP1304" s="29"/>
      <c r="LQ1304" s="29"/>
      <c r="LR1304" s="29"/>
      <c r="LS1304" s="29"/>
      <c r="LT1304" s="29"/>
      <c r="LU1304" s="29"/>
      <c r="LV1304" s="29"/>
      <c r="LW1304" s="29"/>
      <c r="LX1304" s="29"/>
      <c r="LY1304" s="29"/>
      <c r="LZ1304" s="29"/>
      <c r="MA1304" s="29"/>
      <c r="MB1304" s="29"/>
      <c r="MC1304" s="29"/>
      <c r="MD1304" s="29"/>
      <c r="ME1304" s="29"/>
      <c r="MF1304" s="29"/>
      <c r="MG1304" s="29"/>
      <c r="MH1304" s="29"/>
      <c r="MI1304" s="29"/>
      <c r="MJ1304" s="29"/>
      <c r="MK1304" s="29"/>
      <c r="ML1304" s="29"/>
      <c r="MM1304" s="29"/>
      <c r="MN1304" s="29"/>
      <c r="MO1304" s="29"/>
      <c r="MP1304" s="29"/>
      <c r="MQ1304" s="29"/>
      <c r="MR1304" s="29"/>
      <c r="MS1304" s="29"/>
      <c r="MT1304" s="29"/>
      <c r="MU1304" s="29"/>
      <c r="MV1304" s="29"/>
      <c r="MW1304" s="29"/>
      <c r="MX1304" s="29"/>
      <c r="MY1304" s="29"/>
      <c r="MZ1304" s="29"/>
      <c r="NA1304" s="29"/>
      <c r="NB1304" s="29"/>
      <c r="NC1304" s="29"/>
      <c r="ND1304" s="29"/>
      <c r="NE1304" s="29"/>
      <c r="NF1304" s="29"/>
      <c r="NG1304" s="29"/>
      <c r="NH1304" s="29"/>
      <c r="NI1304" s="29"/>
      <c r="NJ1304" s="29"/>
      <c r="NK1304" s="29"/>
      <c r="NL1304" s="29"/>
      <c r="NM1304" s="29"/>
      <c r="NN1304" s="29"/>
      <c r="NO1304" s="29"/>
      <c r="NP1304" s="29"/>
      <c r="NQ1304" s="29"/>
      <c r="NR1304" s="29"/>
      <c r="NS1304" s="29"/>
      <c r="NT1304" s="29"/>
      <c r="NU1304" s="29"/>
      <c r="NV1304" s="29"/>
      <c r="NW1304" s="29"/>
      <c r="NX1304" s="29"/>
      <c r="NY1304" s="29"/>
      <c r="NZ1304" s="29"/>
      <c r="OA1304" s="29"/>
      <c r="OB1304" s="29"/>
      <c r="OC1304" s="29"/>
      <c r="OD1304" s="29"/>
      <c r="OE1304" s="29"/>
      <c r="OF1304" s="29"/>
      <c r="OG1304" s="29"/>
      <c r="OH1304" s="29"/>
      <c r="OI1304" s="29"/>
      <c r="OJ1304" s="29"/>
      <c r="OK1304" s="29"/>
      <c r="OL1304" s="29"/>
      <c r="OM1304" s="29"/>
      <c r="ON1304" s="29"/>
      <c r="OO1304" s="29"/>
      <c r="OP1304" s="29"/>
      <c r="OQ1304" s="29"/>
      <c r="OR1304" s="29"/>
      <c r="OS1304" s="29"/>
      <c r="OT1304" s="29"/>
      <c r="OU1304" s="29"/>
      <c r="OV1304" s="29"/>
      <c r="OW1304" s="29"/>
      <c r="OX1304" s="29"/>
      <c r="OY1304" s="29"/>
      <c r="OZ1304" s="29"/>
      <c r="PA1304" s="29"/>
      <c r="PB1304" s="29"/>
      <c r="PC1304" s="29"/>
      <c r="PD1304" s="29"/>
      <c r="PE1304" s="29"/>
      <c r="PF1304" s="29"/>
      <c r="PG1304" s="29"/>
      <c r="PH1304" s="29"/>
      <c r="PI1304" s="29"/>
      <c r="PJ1304" s="29"/>
      <c r="PK1304" s="29"/>
      <c r="PL1304" s="29"/>
      <c r="PM1304" s="29"/>
      <c r="PN1304" s="29"/>
      <c r="PO1304" s="29"/>
      <c r="PP1304" s="29"/>
      <c r="PQ1304" s="29"/>
      <c r="PR1304" s="29"/>
      <c r="PS1304" s="29"/>
      <c r="PT1304" s="29"/>
      <c r="PU1304" s="29"/>
      <c r="PV1304" s="29"/>
      <c r="PW1304" s="29"/>
      <c r="PX1304" s="29"/>
      <c r="PY1304" s="29"/>
      <c r="PZ1304" s="29"/>
      <c r="QA1304" s="29"/>
      <c r="QB1304" s="29"/>
      <c r="QC1304" s="29"/>
      <c r="QD1304" s="29"/>
      <c r="QE1304" s="29"/>
      <c r="QF1304" s="29"/>
      <c r="QG1304" s="29"/>
      <c r="QH1304" s="29"/>
      <c r="QI1304" s="29"/>
      <c r="QJ1304" s="29"/>
      <c r="QK1304" s="29"/>
      <c r="QL1304" s="29"/>
      <c r="QM1304" s="29"/>
      <c r="QN1304" s="29"/>
      <c r="QO1304" s="29"/>
      <c r="QP1304" s="29"/>
      <c r="QQ1304" s="29"/>
      <c r="QR1304" s="29"/>
      <c r="QS1304" s="29"/>
      <c r="QT1304" s="29"/>
      <c r="QU1304" s="29"/>
      <c r="QV1304" s="29"/>
      <c r="QW1304" s="29"/>
      <c r="QX1304" s="29"/>
      <c r="QY1304" s="29"/>
      <c r="QZ1304" s="29"/>
      <c r="RA1304" s="29"/>
      <c r="RB1304" s="29"/>
      <c r="RC1304" s="29"/>
      <c r="RD1304" s="29"/>
      <c r="RE1304" s="29"/>
      <c r="RF1304" s="29"/>
      <c r="RG1304" s="29"/>
      <c r="RH1304" s="29"/>
      <c r="RI1304" s="29"/>
      <c r="RJ1304" s="29"/>
      <c r="RK1304" s="29"/>
      <c r="RL1304" s="29"/>
      <c r="RM1304" s="29"/>
      <c r="RN1304" s="29"/>
      <c r="RO1304" s="29"/>
      <c r="RP1304" s="29"/>
      <c r="RQ1304" s="29"/>
      <c r="RR1304" s="29"/>
      <c r="RS1304" s="29"/>
      <c r="RT1304" s="29"/>
      <c r="RU1304" s="29"/>
      <c r="RV1304" s="29"/>
      <c r="RW1304" s="29"/>
      <c r="RX1304" s="29"/>
      <c r="RY1304" s="29"/>
      <c r="RZ1304" s="29"/>
      <c r="SA1304" s="29"/>
      <c r="SB1304" s="29"/>
      <c r="SC1304" s="29"/>
      <c r="SD1304" s="29"/>
      <c r="SE1304" s="29"/>
      <c r="SF1304" s="29"/>
      <c r="SG1304" s="29"/>
      <c r="SH1304" s="29"/>
      <c r="SI1304" s="29"/>
      <c r="SJ1304" s="29"/>
      <c r="SK1304" s="29"/>
      <c r="SL1304" s="29"/>
      <c r="SM1304" s="29"/>
      <c r="SN1304" s="29"/>
      <c r="SO1304" s="29"/>
      <c r="SP1304" s="29"/>
      <c r="SQ1304" s="29"/>
      <c r="SR1304" s="29"/>
      <c r="SS1304" s="29"/>
      <c r="ST1304" s="29"/>
      <c r="SU1304" s="29"/>
      <c r="SV1304" s="29"/>
      <c r="SW1304" s="29"/>
      <c r="SX1304" s="29"/>
      <c r="SY1304" s="29"/>
      <c r="SZ1304" s="29"/>
      <c r="TA1304" s="29"/>
      <c r="TB1304" s="29"/>
      <c r="TC1304" s="29"/>
      <c r="TD1304" s="29"/>
      <c r="TE1304" s="29"/>
      <c r="TF1304" s="29"/>
      <c r="TG1304" s="29"/>
      <c r="TH1304" s="29"/>
      <c r="TI1304" s="29"/>
      <c r="TJ1304" s="29"/>
      <c r="TK1304" s="29"/>
      <c r="TL1304" s="29"/>
      <c r="TM1304" s="29"/>
      <c r="TN1304" s="29"/>
      <c r="TO1304" s="29"/>
      <c r="TP1304" s="29"/>
      <c r="TQ1304" s="29"/>
      <c r="TR1304" s="29"/>
      <c r="TS1304" s="29"/>
      <c r="TT1304" s="29"/>
      <c r="TU1304" s="29"/>
      <c r="TV1304" s="29"/>
      <c r="TW1304" s="29"/>
      <c r="TX1304" s="29"/>
      <c r="TY1304" s="29"/>
      <c r="TZ1304" s="29"/>
      <c r="UA1304" s="29"/>
      <c r="UB1304" s="29"/>
      <c r="UC1304" s="29"/>
      <c r="UD1304" s="29"/>
      <c r="UE1304" s="29"/>
      <c r="UF1304" s="29"/>
      <c r="UG1304" s="29"/>
    </row>
    <row r="1305" spans="1:553" ht="42.65" customHeight="1">
      <c r="A1305" s="356" t="s">
        <v>61</v>
      </c>
      <c r="B1305" s="428"/>
      <c r="C1305" s="1491" t="s">
        <v>62</v>
      </c>
      <c r="D1305" s="1389"/>
      <c r="E1305" s="1389"/>
      <c r="F1305" s="1390"/>
      <c r="G1305" s="429"/>
      <c r="H1305" s="359"/>
      <c r="I1305" s="359"/>
      <c r="J1305" s="357"/>
      <c r="K1305" s="364"/>
      <c r="L1305" s="645">
        <v>0</v>
      </c>
      <c r="M1305" s="356"/>
      <c r="N1305" s="356"/>
      <c r="O1305" s="356"/>
      <c r="P1305" s="358"/>
      <c r="Q1305" s="610"/>
      <c r="R1305" s="1226"/>
      <c r="S1305" s="308"/>
      <c r="T1305" s="308"/>
      <c r="U1305" s="308"/>
      <c r="V1305" s="308"/>
      <c r="W1305" s="308"/>
      <c r="X1305" s="308"/>
      <c r="Y1305" s="308"/>
      <c r="Z1305" s="604"/>
      <c r="AA1305" s="308"/>
      <c r="AB1305" s="308"/>
      <c r="AC1305" s="486"/>
      <c r="AD1305" s="486"/>
      <c r="AE1305" s="486"/>
      <c r="AF1305" s="486"/>
      <c r="AG1305" s="486"/>
      <c r="AH1305" s="486"/>
      <c r="AI1305" s="486"/>
      <c r="AJ1305" s="486"/>
      <c r="AK1305" s="486"/>
      <c r="AL1305" s="206"/>
      <c r="AM1305" s="29"/>
      <c r="AN1305" s="29"/>
      <c r="AO1305" s="29"/>
      <c r="AP1305" s="29"/>
      <c r="AQ1305" s="29"/>
      <c r="AR1305" s="29"/>
      <c r="AS1305" s="29"/>
      <c r="AT1305" s="29"/>
      <c r="AU1305" s="29"/>
      <c r="AV1305" s="29"/>
      <c r="AW1305" s="29"/>
      <c r="AX1305" s="29"/>
      <c r="AY1305" s="29"/>
      <c r="AZ1305" s="29"/>
      <c r="BA1305" s="29"/>
      <c r="BB1305" s="29"/>
      <c r="BC1305" s="29"/>
      <c r="BD1305" s="29"/>
      <c r="BE1305" s="29"/>
      <c r="BF1305" s="29"/>
      <c r="BG1305" s="29"/>
      <c r="BH1305" s="29"/>
      <c r="BI1305" s="29"/>
      <c r="BJ1305" s="29"/>
      <c r="BK1305" s="29"/>
      <c r="BL1305" s="29"/>
      <c r="BM1305" s="29"/>
      <c r="BN1305" s="29"/>
      <c r="BO1305" s="29"/>
      <c r="BP1305" s="29"/>
      <c r="BQ1305" s="29"/>
      <c r="BR1305" s="29"/>
      <c r="BS1305" s="29"/>
      <c r="BT1305" s="29"/>
      <c r="BU1305" s="29"/>
      <c r="BV1305" s="29"/>
      <c r="BW1305" s="29"/>
      <c r="BX1305" s="29"/>
      <c r="BY1305" s="29"/>
      <c r="BZ1305" s="29"/>
      <c r="CA1305" s="29"/>
      <c r="CB1305" s="29"/>
      <c r="CC1305" s="29"/>
      <c r="CD1305" s="29"/>
      <c r="CE1305" s="29"/>
      <c r="CF1305" s="29"/>
      <c r="CG1305" s="29"/>
      <c r="CH1305" s="29"/>
      <c r="CI1305" s="29"/>
      <c r="CJ1305" s="29"/>
      <c r="CK1305" s="29"/>
      <c r="CL1305" s="29"/>
      <c r="CM1305" s="29"/>
      <c r="CN1305" s="29"/>
      <c r="CO1305" s="29"/>
      <c r="CP1305" s="29"/>
      <c r="CQ1305" s="29"/>
      <c r="CR1305" s="29"/>
      <c r="CS1305" s="29"/>
      <c r="CT1305" s="29"/>
      <c r="CU1305" s="29"/>
      <c r="CV1305" s="29"/>
      <c r="CW1305" s="29"/>
      <c r="CX1305" s="29"/>
      <c r="CY1305" s="29"/>
      <c r="CZ1305" s="29"/>
      <c r="DA1305" s="29"/>
      <c r="DB1305" s="29"/>
      <c r="DC1305" s="29"/>
      <c r="DD1305" s="29"/>
      <c r="DE1305" s="29"/>
      <c r="DF1305" s="29"/>
      <c r="DG1305" s="29"/>
      <c r="DH1305" s="29"/>
      <c r="DI1305" s="29"/>
      <c r="DJ1305" s="29"/>
      <c r="DK1305" s="29"/>
      <c r="DL1305" s="29"/>
      <c r="DM1305" s="29"/>
      <c r="DN1305" s="29"/>
      <c r="DO1305" s="29"/>
      <c r="DP1305" s="29"/>
      <c r="DQ1305" s="29"/>
      <c r="DR1305" s="29"/>
      <c r="DS1305" s="29"/>
      <c r="DT1305" s="29"/>
      <c r="DU1305" s="29"/>
      <c r="DV1305" s="29"/>
      <c r="DW1305" s="29"/>
      <c r="DX1305" s="29"/>
      <c r="DY1305" s="29"/>
      <c r="DZ1305" s="29"/>
      <c r="EA1305" s="29"/>
      <c r="EB1305" s="29"/>
      <c r="EC1305" s="29"/>
      <c r="ED1305" s="29"/>
      <c r="EE1305" s="29"/>
      <c r="EF1305" s="29"/>
      <c r="EG1305" s="29"/>
      <c r="EH1305" s="29"/>
      <c r="EI1305" s="29"/>
      <c r="EJ1305" s="29"/>
      <c r="EK1305" s="29"/>
      <c r="EL1305" s="29"/>
      <c r="EM1305" s="29"/>
      <c r="EN1305" s="29"/>
      <c r="EO1305" s="29"/>
      <c r="EP1305" s="29"/>
      <c r="EQ1305" s="29"/>
      <c r="ER1305" s="29"/>
      <c r="ES1305" s="29"/>
      <c r="ET1305" s="29"/>
      <c r="EU1305" s="29"/>
      <c r="EV1305" s="29"/>
      <c r="EW1305" s="29"/>
      <c r="EX1305" s="29"/>
      <c r="EY1305" s="29"/>
      <c r="EZ1305" s="29"/>
      <c r="FA1305" s="29"/>
      <c r="FB1305" s="29"/>
      <c r="FC1305" s="29"/>
      <c r="FD1305" s="29"/>
      <c r="FE1305" s="29"/>
      <c r="FF1305" s="29"/>
      <c r="FG1305" s="29"/>
      <c r="FH1305" s="29"/>
      <c r="FI1305" s="29"/>
      <c r="FJ1305" s="29"/>
      <c r="FK1305" s="29"/>
      <c r="FL1305" s="29"/>
      <c r="FM1305" s="29"/>
      <c r="FN1305" s="29"/>
      <c r="FO1305" s="29"/>
      <c r="FP1305" s="29"/>
      <c r="FQ1305" s="29"/>
      <c r="FR1305" s="29"/>
      <c r="FS1305" s="29"/>
      <c r="FT1305" s="29"/>
      <c r="FU1305" s="29"/>
      <c r="FV1305" s="29"/>
      <c r="FW1305" s="29"/>
      <c r="FX1305" s="29"/>
      <c r="FY1305" s="29"/>
      <c r="FZ1305" s="29"/>
      <c r="GA1305" s="29"/>
      <c r="GB1305" s="29"/>
      <c r="GC1305" s="29"/>
      <c r="GD1305" s="29"/>
      <c r="GE1305" s="29"/>
      <c r="GF1305" s="29"/>
      <c r="GG1305" s="29"/>
      <c r="GH1305" s="29"/>
      <c r="GI1305" s="29"/>
      <c r="GJ1305" s="29"/>
      <c r="GK1305" s="29"/>
      <c r="GL1305" s="29"/>
      <c r="GM1305" s="29"/>
      <c r="GN1305" s="29"/>
      <c r="GO1305" s="29"/>
      <c r="GP1305" s="29"/>
      <c r="GQ1305" s="29"/>
      <c r="GR1305" s="29"/>
      <c r="GS1305" s="29"/>
      <c r="GT1305" s="29"/>
      <c r="GU1305" s="29"/>
      <c r="GV1305" s="29"/>
      <c r="GW1305" s="29"/>
      <c r="GX1305" s="29"/>
      <c r="GY1305" s="29"/>
      <c r="GZ1305" s="29"/>
      <c r="HA1305" s="29"/>
      <c r="HB1305" s="29"/>
      <c r="HC1305" s="29"/>
      <c r="HD1305" s="29"/>
      <c r="HE1305" s="29"/>
      <c r="HF1305" s="29"/>
      <c r="HG1305" s="29"/>
      <c r="HH1305" s="29"/>
      <c r="HI1305" s="29"/>
      <c r="HJ1305" s="29"/>
      <c r="HK1305" s="29"/>
      <c r="HL1305" s="29"/>
      <c r="HM1305" s="29"/>
      <c r="HN1305" s="29"/>
      <c r="HO1305" s="29"/>
      <c r="HP1305" s="29"/>
      <c r="HQ1305" s="29"/>
      <c r="HR1305" s="29"/>
      <c r="HS1305" s="29"/>
      <c r="HT1305" s="29"/>
      <c r="HU1305" s="29"/>
      <c r="HV1305" s="29"/>
      <c r="HW1305" s="29"/>
      <c r="HX1305" s="29"/>
      <c r="HY1305" s="29"/>
      <c r="HZ1305" s="29"/>
      <c r="IA1305" s="29"/>
      <c r="IB1305" s="29"/>
      <c r="IC1305" s="29"/>
      <c r="ID1305" s="29"/>
      <c r="IE1305" s="29"/>
      <c r="IF1305" s="29"/>
      <c r="IG1305" s="29"/>
      <c r="IH1305" s="29"/>
      <c r="II1305" s="29"/>
      <c r="IJ1305" s="29"/>
      <c r="IK1305" s="29"/>
      <c r="IL1305" s="29"/>
      <c r="IM1305" s="29"/>
      <c r="IN1305" s="29"/>
      <c r="IO1305" s="29"/>
      <c r="IP1305" s="29"/>
      <c r="IQ1305" s="29"/>
      <c r="IR1305" s="29"/>
      <c r="IS1305" s="29"/>
      <c r="IT1305" s="29"/>
      <c r="IU1305" s="29"/>
      <c r="IV1305" s="29"/>
      <c r="IW1305" s="29"/>
      <c r="IX1305" s="29"/>
      <c r="IY1305" s="29"/>
      <c r="IZ1305" s="29"/>
      <c r="JA1305" s="29"/>
      <c r="JB1305" s="29"/>
      <c r="JC1305" s="29"/>
      <c r="JD1305" s="29"/>
      <c r="JE1305" s="29"/>
      <c r="JF1305" s="29"/>
      <c r="JG1305" s="29"/>
      <c r="JH1305" s="29"/>
      <c r="JI1305" s="29"/>
      <c r="JJ1305" s="29"/>
      <c r="JK1305" s="29"/>
      <c r="JL1305" s="29"/>
      <c r="JM1305" s="29"/>
      <c r="JN1305" s="29"/>
      <c r="JO1305" s="29"/>
      <c r="JP1305" s="29"/>
      <c r="JQ1305" s="29"/>
      <c r="JR1305" s="29"/>
      <c r="JS1305" s="29"/>
      <c r="JT1305" s="29"/>
      <c r="JU1305" s="29"/>
      <c r="JV1305" s="29"/>
      <c r="JW1305" s="29"/>
      <c r="JX1305" s="29"/>
      <c r="JY1305" s="29"/>
      <c r="JZ1305" s="29"/>
      <c r="KA1305" s="29"/>
      <c r="KB1305" s="29"/>
      <c r="KC1305" s="29"/>
      <c r="KD1305" s="29"/>
      <c r="KE1305" s="29"/>
      <c r="KF1305" s="29"/>
      <c r="KG1305" s="29"/>
      <c r="KH1305" s="29"/>
      <c r="KI1305" s="29"/>
      <c r="KJ1305" s="29"/>
      <c r="KK1305" s="29"/>
      <c r="KL1305" s="29"/>
      <c r="KM1305" s="29"/>
      <c r="KN1305" s="29"/>
      <c r="KO1305" s="29"/>
      <c r="KP1305" s="29"/>
      <c r="KQ1305" s="29"/>
      <c r="KR1305" s="29"/>
      <c r="KS1305" s="29"/>
      <c r="KT1305" s="29"/>
      <c r="KU1305" s="29"/>
      <c r="KV1305" s="29"/>
      <c r="KW1305" s="29"/>
      <c r="KX1305" s="29"/>
      <c r="KY1305" s="29"/>
      <c r="KZ1305" s="29"/>
      <c r="LA1305" s="29"/>
      <c r="LB1305" s="29"/>
      <c r="LC1305" s="29"/>
      <c r="LD1305" s="29"/>
      <c r="LE1305" s="29"/>
      <c r="LF1305" s="29"/>
      <c r="LG1305" s="29"/>
      <c r="LH1305" s="29"/>
      <c r="LI1305" s="29"/>
      <c r="LJ1305" s="29"/>
      <c r="LK1305" s="29"/>
      <c r="LL1305" s="29"/>
      <c r="LM1305" s="29"/>
      <c r="LN1305" s="29"/>
      <c r="LO1305" s="29"/>
      <c r="LP1305" s="29"/>
      <c r="LQ1305" s="29"/>
      <c r="LR1305" s="29"/>
      <c r="LS1305" s="29"/>
      <c r="LT1305" s="29"/>
      <c r="LU1305" s="29"/>
      <c r="LV1305" s="29"/>
      <c r="LW1305" s="29"/>
      <c r="LX1305" s="29"/>
      <c r="LY1305" s="29"/>
      <c r="LZ1305" s="29"/>
      <c r="MA1305" s="29"/>
      <c r="MB1305" s="29"/>
      <c r="MC1305" s="29"/>
      <c r="MD1305" s="29"/>
      <c r="ME1305" s="29"/>
      <c r="MF1305" s="29"/>
      <c r="MG1305" s="29"/>
      <c r="MH1305" s="29"/>
      <c r="MI1305" s="29"/>
      <c r="MJ1305" s="29"/>
      <c r="MK1305" s="29"/>
      <c r="ML1305" s="29"/>
      <c r="MM1305" s="29"/>
      <c r="MN1305" s="29"/>
      <c r="MO1305" s="29"/>
      <c r="MP1305" s="29"/>
      <c r="MQ1305" s="29"/>
      <c r="MR1305" s="29"/>
      <c r="MS1305" s="29"/>
      <c r="MT1305" s="29"/>
      <c r="MU1305" s="29"/>
      <c r="MV1305" s="29"/>
      <c r="MW1305" s="29"/>
      <c r="MX1305" s="29"/>
      <c r="MY1305" s="29"/>
      <c r="MZ1305" s="29"/>
      <c r="NA1305" s="29"/>
      <c r="NB1305" s="29"/>
      <c r="NC1305" s="29"/>
      <c r="ND1305" s="29"/>
      <c r="NE1305" s="29"/>
      <c r="NF1305" s="29"/>
      <c r="NG1305" s="29"/>
      <c r="NH1305" s="29"/>
      <c r="NI1305" s="29"/>
      <c r="NJ1305" s="29"/>
      <c r="NK1305" s="29"/>
      <c r="NL1305" s="29"/>
      <c r="NM1305" s="29"/>
      <c r="NN1305" s="29"/>
      <c r="NO1305" s="29"/>
      <c r="NP1305" s="29"/>
      <c r="NQ1305" s="29"/>
      <c r="NR1305" s="29"/>
      <c r="NS1305" s="29"/>
      <c r="NT1305" s="29"/>
      <c r="NU1305" s="29"/>
      <c r="NV1305" s="29"/>
      <c r="NW1305" s="29"/>
      <c r="NX1305" s="29"/>
      <c r="NY1305" s="29"/>
      <c r="NZ1305" s="29"/>
      <c r="OA1305" s="29"/>
      <c r="OB1305" s="29"/>
      <c r="OC1305" s="29"/>
      <c r="OD1305" s="29"/>
      <c r="OE1305" s="29"/>
      <c r="OF1305" s="29"/>
      <c r="OG1305" s="29"/>
      <c r="OH1305" s="29"/>
      <c r="OI1305" s="29"/>
      <c r="OJ1305" s="29"/>
      <c r="OK1305" s="29"/>
      <c r="OL1305" s="29"/>
      <c r="OM1305" s="29"/>
      <c r="ON1305" s="29"/>
      <c r="OO1305" s="29"/>
      <c r="OP1305" s="29"/>
      <c r="OQ1305" s="29"/>
      <c r="OR1305" s="29"/>
      <c r="OS1305" s="29"/>
      <c r="OT1305" s="29"/>
      <c r="OU1305" s="29"/>
      <c r="OV1305" s="29"/>
      <c r="OW1305" s="29"/>
      <c r="OX1305" s="29"/>
      <c r="OY1305" s="29"/>
      <c r="OZ1305" s="29"/>
      <c r="PA1305" s="29"/>
      <c r="PB1305" s="29"/>
      <c r="PC1305" s="29"/>
      <c r="PD1305" s="29"/>
      <c r="PE1305" s="29"/>
      <c r="PF1305" s="29"/>
      <c r="PG1305" s="29"/>
      <c r="PH1305" s="29"/>
      <c r="PI1305" s="29"/>
      <c r="PJ1305" s="29"/>
      <c r="PK1305" s="29"/>
      <c r="PL1305" s="29"/>
      <c r="PM1305" s="29"/>
      <c r="PN1305" s="29"/>
      <c r="PO1305" s="29"/>
      <c r="PP1305" s="29"/>
      <c r="PQ1305" s="29"/>
      <c r="PR1305" s="29"/>
      <c r="PS1305" s="29"/>
      <c r="PT1305" s="29"/>
      <c r="PU1305" s="29"/>
      <c r="PV1305" s="29"/>
      <c r="PW1305" s="29"/>
      <c r="PX1305" s="29"/>
      <c r="PY1305" s="29"/>
      <c r="PZ1305" s="29"/>
      <c r="QA1305" s="29"/>
      <c r="QB1305" s="29"/>
      <c r="QC1305" s="29"/>
      <c r="QD1305" s="29"/>
      <c r="QE1305" s="29"/>
      <c r="QF1305" s="29"/>
      <c r="QG1305" s="29"/>
      <c r="QH1305" s="29"/>
      <c r="QI1305" s="29"/>
      <c r="QJ1305" s="29"/>
      <c r="QK1305" s="29"/>
      <c r="QL1305" s="29"/>
      <c r="QM1305" s="29"/>
      <c r="QN1305" s="29"/>
      <c r="QO1305" s="29"/>
      <c r="QP1305" s="29"/>
      <c r="QQ1305" s="29"/>
      <c r="QR1305" s="29"/>
      <c r="QS1305" s="29"/>
      <c r="QT1305" s="29"/>
      <c r="QU1305" s="29"/>
      <c r="QV1305" s="29"/>
      <c r="QW1305" s="29"/>
      <c r="QX1305" s="29"/>
      <c r="QY1305" s="29"/>
      <c r="QZ1305" s="29"/>
      <c r="RA1305" s="29"/>
      <c r="RB1305" s="29"/>
      <c r="RC1305" s="29"/>
      <c r="RD1305" s="29"/>
      <c r="RE1305" s="29"/>
      <c r="RF1305" s="29"/>
      <c r="RG1305" s="29"/>
      <c r="RH1305" s="29"/>
      <c r="RI1305" s="29"/>
      <c r="RJ1305" s="29"/>
      <c r="RK1305" s="29"/>
      <c r="RL1305" s="29"/>
      <c r="RM1305" s="29"/>
      <c r="RN1305" s="29"/>
      <c r="RO1305" s="29"/>
      <c r="RP1305" s="29"/>
      <c r="RQ1305" s="29"/>
      <c r="RR1305" s="29"/>
      <c r="RS1305" s="29"/>
      <c r="RT1305" s="29"/>
      <c r="RU1305" s="29"/>
      <c r="RV1305" s="29"/>
      <c r="RW1305" s="29"/>
      <c r="RX1305" s="29"/>
      <c r="RY1305" s="29"/>
      <c r="RZ1305" s="29"/>
      <c r="SA1305" s="29"/>
      <c r="SB1305" s="29"/>
      <c r="SC1305" s="29"/>
      <c r="SD1305" s="29"/>
      <c r="SE1305" s="29"/>
      <c r="SF1305" s="29"/>
      <c r="SG1305" s="29"/>
      <c r="SH1305" s="29"/>
      <c r="SI1305" s="29"/>
      <c r="SJ1305" s="29"/>
      <c r="SK1305" s="29"/>
      <c r="SL1305" s="29"/>
      <c r="SM1305" s="29"/>
      <c r="SN1305" s="29"/>
      <c r="SO1305" s="29"/>
      <c r="SP1305" s="29"/>
      <c r="SQ1305" s="29"/>
      <c r="SR1305" s="29"/>
      <c r="SS1305" s="29"/>
      <c r="ST1305" s="29"/>
      <c r="SU1305" s="29"/>
      <c r="SV1305" s="29"/>
      <c r="SW1305" s="29"/>
      <c r="SX1305" s="29"/>
      <c r="SY1305" s="29"/>
      <c r="SZ1305" s="29"/>
      <c r="TA1305" s="29"/>
      <c r="TB1305" s="29"/>
      <c r="TC1305" s="29"/>
      <c r="TD1305" s="29"/>
      <c r="TE1305" s="29"/>
      <c r="TF1305" s="29"/>
      <c r="TG1305" s="29"/>
      <c r="TH1305" s="29"/>
      <c r="TI1305" s="29"/>
      <c r="TJ1305" s="29"/>
      <c r="TK1305" s="29"/>
      <c r="TL1305" s="29"/>
      <c r="TM1305" s="29"/>
      <c r="TN1305" s="29"/>
      <c r="TO1305" s="29"/>
      <c r="TP1305" s="29"/>
      <c r="TQ1305" s="29"/>
      <c r="TR1305" s="29"/>
      <c r="TS1305" s="29"/>
      <c r="TT1305" s="29"/>
      <c r="TU1305" s="29"/>
      <c r="TV1305" s="29"/>
      <c r="TW1305" s="29"/>
      <c r="TX1305" s="29"/>
      <c r="TY1305" s="29"/>
      <c r="TZ1305" s="29"/>
      <c r="UA1305" s="29"/>
      <c r="UB1305" s="29"/>
      <c r="UC1305" s="29"/>
      <c r="UD1305" s="29"/>
      <c r="UE1305" s="29"/>
      <c r="UF1305" s="29"/>
      <c r="UG1305" s="29"/>
    </row>
    <row r="1306" spans="1:553" ht="42.65" customHeight="1">
      <c r="A1306" s="356" t="s">
        <v>66</v>
      </c>
      <c r="B1306" s="356"/>
      <c r="C1306" s="1491" t="s">
        <v>1043</v>
      </c>
      <c r="D1306" s="1389"/>
      <c r="E1306" s="1389"/>
      <c r="F1306" s="1390"/>
      <c r="G1306" s="356"/>
      <c r="H1306" s="359"/>
      <c r="I1306" s="359"/>
      <c r="J1306" s="357"/>
      <c r="K1306" s="364"/>
      <c r="L1306" s="645"/>
      <c r="M1306" s="356"/>
      <c r="N1306" s="356"/>
      <c r="O1306" s="356"/>
      <c r="P1306" s="356"/>
      <c r="Q1306" s="610"/>
      <c r="R1306" s="421"/>
      <c r="S1306" s="308"/>
      <c r="T1306" s="308"/>
      <c r="U1306" s="308"/>
      <c r="V1306" s="308"/>
      <c r="W1306" s="308"/>
      <c r="X1306" s="308"/>
      <c r="Y1306" s="308"/>
      <c r="Z1306" s="604"/>
      <c r="AA1306" s="308"/>
      <c r="AB1306" s="308"/>
      <c r="AC1306" s="486"/>
      <c r="AD1306" s="486"/>
      <c r="AE1306" s="486"/>
      <c r="AF1306" s="486"/>
      <c r="AG1306" s="486"/>
      <c r="AH1306" s="486"/>
      <c r="AI1306" s="486"/>
      <c r="AJ1306" s="486"/>
      <c r="AK1306" s="486"/>
      <c r="AL1306" s="206"/>
      <c r="AM1306" s="29"/>
      <c r="AN1306" s="29"/>
      <c r="AO1306" s="29"/>
      <c r="AP1306" s="29"/>
      <c r="AQ1306" s="29"/>
      <c r="AR1306" s="29"/>
      <c r="AS1306" s="29"/>
      <c r="AT1306" s="29"/>
      <c r="AU1306" s="29"/>
      <c r="AV1306" s="29"/>
      <c r="AW1306" s="29"/>
      <c r="AX1306" s="29"/>
      <c r="AY1306" s="29"/>
      <c r="AZ1306" s="29"/>
      <c r="BA1306" s="29"/>
      <c r="BB1306" s="29"/>
      <c r="BC1306" s="29"/>
      <c r="BD1306" s="29"/>
      <c r="BE1306" s="29"/>
      <c r="BF1306" s="29"/>
      <c r="BG1306" s="29"/>
      <c r="BH1306" s="29"/>
      <c r="BI1306" s="29"/>
      <c r="BJ1306" s="29"/>
      <c r="BK1306" s="29"/>
      <c r="BL1306" s="29"/>
      <c r="BM1306" s="29"/>
      <c r="BN1306" s="29"/>
      <c r="BO1306" s="29"/>
      <c r="BP1306" s="29"/>
      <c r="BQ1306" s="29"/>
      <c r="BR1306" s="29"/>
      <c r="BS1306" s="29"/>
      <c r="BT1306" s="29"/>
      <c r="BU1306" s="29"/>
      <c r="BV1306" s="29"/>
      <c r="BW1306" s="29"/>
      <c r="BX1306" s="29"/>
      <c r="BY1306" s="29"/>
      <c r="BZ1306" s="29"/>
      <c r="CA1306" s="29"/>
      <c r="CB1306" s="29"/>
      <c r="CC1306" s="29"/>
      <c r="CD1306" s="29"/>
      <c r="CE1306" s="29"/>
      <c r="CF1306" s="29"/>
      <c r="CG1306" s="29"/>
      <c r="CH1306" s="29"/>
      <c r="CI1306" s="29"/>
      <c r="CJ1306" s="29"/>
      <c r="CK1306" s="29"/>
      <c r="CL1306" s="29"/>
      <c r="CM1306" s="29"/>
      <c r="CN1306" s="29"/>
      <c r="CO1306" s="29"/>
      <c r="CP1306" s="29"/>
      <c r="CQ1306" s="29"/>
      <c r="CR1306" s="29"/>
      <c r="CS1306" s="29"/>
      <c r="CT1306" s="29"/>
      <c r="CU1306" s="29"/>
      <c r="CV1306" s="29"/>
      <c r="CW1306" s="29"/>
      <c r="CX1306" s="29"/>
      <c r="CY1306" s="29"/>
      <c r="CZ1306" s="29"/>
      <c r="DA1306" s="29"/>
      <c r="DB1306" s="29"/>
      <c r="DC1306" s="29"/>
      <c r="DD1306" s="29"/>
      <c r="DE1306" s="29"/>
      <c r="DF1306" s="29"/>
      <c r="DG1306" s="29"/>
      <c r="DH1306" s="29"/>
      <c r="DI1306" s="29"/>
      <c r="DJ1306" s="29"/>
      <c r="DK1306" s="29"/>
      <c r="DL1306" s="29"/>
      <c r="DM1306" s="29"/>
      <c r="DN1306" s="29"/>
      <c r="DO1306" s="29"/>
      <c r="DP1306" s="29"/>
      <c r="DQ1306" s="29"/>
      <c r="DR1306" s="29"/>
      <c r="DS1306" s="29"/>
      <c r="DT1306" s="29"/>
      <c r="DU1306" s="29"/>
      <c r="DV1306" s="29"/>
      <c r="DW1306" s="29"/>
      <c r="DX1306" s="29"/>
      <c r="DY1306" s="29"/>
      <c r="DZ1306" s="29"/>
      <c r="EA1306" s="29"/>
      <c r="EB1306" s="29"/>
      <c r="EC1306" s="29"/>
      <c r="ED1306" s="29"/>
      <c r="EE1306" s="29"/>
      <c r="EF1306" s="29"/>
      <c r="EG1306" s="29"/>
      <c r="EH1306" s="29"/>
      <c r="EI1306" s="29"/>
      <c r="EJ1306" s="29"/>
      <c r="EK1306" s="29"/>
      <c r="EL1306" s="29"/>
      <c r="EM1306" s="29"/>
      <c r="EN1306" s="29"/>
      <c r="EO1306" s="29"/>
      <c r="EP1306" s="29"/>
      <c r="EQ1306" s="29"/>
      <c r="ER1306" s="29"/>
      <c r="ES1306" s="29"/>
      <c r="ET1306" s="29"/>
      <c r="EU1306" s="29"/>
      <c r="EV1306" s="29"/>
      <c r="EW1306" s="29"/>
      <c r="EX1306" s="29"/>
      <c r="EY1306" s="29"/>
      <c r="EZ1306" s="29"/>
      <c r="FA1306" s="29"/>
      <c r="FB1306" s="29"/>
      <c r="FC1306" s="29"/>
      <c r="FD1306" s="29"/>
      <c r="FE1306" s="29"/>
      <c r="FF1306" s="29"/>
      <c r="FG1306" s="29"/>
      <c r="FH1306" s="29"/>
      <c r="FI1306" s="29"/>
      <c r="FJ1306" s="29"/>
      <c r="FK1306" s="29"/>
      <c r="FL1306" s="29"/>
      <c r="FM1306" s="29"/>
      <c r="FN1306" s="29"/>
      <c r="FO1306" s="29"/>
      <c r="FP1306" s="29"/>
      <c r="FQ1306" s="29"/>
      <c r="FR1306" s="29"/>
      <c r="FS1306" s="29"/>
      <c r="FT1306" s="29"/>
      <c r="FU1306" s="29"/>
      <c r="FV1306" s="29"/>
      <c r="FW1306" s="29"/>
      <c r="FX1306" s="29"/>
      <c r="FY1306" s="29"/>
      <c r="FZ1306" s="29"/>
      <c r="GA1306" s="29"/>
      <c r="GB1306" s="29"/>
      <c r="GC1306" s="29"/>
      <c r="GD1306" s="29"/>
      <c r="GE1306" s="29"/>
      <c r="GF1306" s="29"/>
      <c r="GG1306" s="29"/>
      <c r="GH1306" s="29"/>
      <c r="GI1306" s="29"/>
      <c r="GJ1306" s="29"/>
      <c r="GK1306" s="29"/>
      <c r="GL1306" s="29"/>
      <c r="GM1306" s="29"/>
      <c r="GN1306" s="29"/>
      <c r="GO1306" s="29"/>
      <c r="GP1306" s="29"/>
      <c r="GQ1306" s="29"/>
      <c r="GR1306" s="29"/>
      <c r="GS1306" s="29"/>
      <c r="GT1306" s="29"/>
      <c r="GU1306" s="29"/>
      <c r="GV1306" s="29"/>
      <c r="GW1306" s="29"/>
      <c r="GX1306" s="29"/>
      <c r="GY1306" s="29"/>
      <c r="GZ1306" s="29"/>
      <c r="HA1306" s="29"/>
      <c r="HB1306" s="29"/>
      <c r="HC1306" s="29"/>
      <c r="HD1306" s="29"/>
      <c r="HE1306" s="29"/>
      <c r="HF1306" s="29"/>
      <c r="HG1306" s="29"/>
      <c r="HH1306" s="29"/>
      <c r="HI1306" s="29"/>
      <c r="HJ1306" s="29"/>
      <c r="HK1306" s="29"/>
      <c r="HL1306" s="29"/>
      <c r="HM1306" s="29"/>
      <c r="HN1306" s="29"/>
      <c r="HO1306" s="29"/>
      <c r="HP1306" s="29"/>
      <c r="HQ1306" s="29"/>
      <c r="HR1306" s="29"/>
      <c r="HS1306" s="29"/>
      <c r="HT1306" s="29"/>
      <c r="HU1306" s="29"/>
      <c r="HV1306" s="29"/>
      <c r="HW1306" s="29"/>
      <c r="HX1306" s="29"/>
      <c r="HY1306" s="29"/>
      <c r="HZ1306" s="29"/>
      <c r="IA1306" s="29"/>
      <c r="IB1306" s="29"/>
      <c r="IC1306" s="29"/>
      <c r="ID1306" s="29"/>
      <c r="IE1306" s="29"/>
      <c r="IF1306" s="29"/>
      <c r="IG1306" s="29"/>
      <c r="IH1306" s="29"/>
      <c r="II1306" s="29"/>
      <c r="IJ1306" s="29"/>
      <c r="IK1306" s="29"/>
      <c r="IL1306" s="29"/>
      <c r="IM1306" s="29"/>
      <c r="IN1306" s="29"/>
      <c r="IO1306" s="29"/>
      <c r="IP1306" s="29"/>
      <c r="IQ1306" s="29"/>
      <c r="IR1306" s="29"/>
      <c r="IS1306" s="29"/>
      <c r="IT1306" s="29"/>
      <c r="IU1306" s="29"/>
      <c r="IV1306" s="29"/>
      <c r="IW1306" s="29"/>
      <c r="IX1306" s="29"/>
      <c r="IY1306" s="29"/>
      <c r="IZ1306" s="29"/>
      <c r="JA1306" s="29"/>
      <c r="JB1306" s="29"/>
      <c r="JC1306" s="29"/>
      <c r="JD1306" s="29"/>
      <c r="JE1306" s="29"/>
      <c r="JF1306" s="29"/>
      <c r="JG1306" s="29"/>
      <c r="JH1306" s="29"/>
      <c r="JI1306" s="29"/>
      <c r="JJ1306" s="29"/>
      <c r="JK1306" s="29"/>
      <c r="JL1306" s="29"/>
      <c r="JM1306" s="29"/>
      <c r="JN1306" s="29"/>
      <c r="JO1306" s="29"/>
      <c r="JP1306" s="29"/>
      <c r="JQ1306" s="29"/>
      <c r="JR1306" s="29"/>
      <c r="JS1306" s="29"/>
      <c r="JT1306" s="29"/>
      <c r="JU1306" s="29"/>
      <c r="JV1306" s="29"/>
      <c r="JW1306" s="29"/>
      <c r="JX1306" s="29"/>
      <c r="JY1306" s="29"/>
      <c r="JZ1306" s="29"/>
      <c r="KA1306" s="29"/>
      <c r="KB1306" s="29"/>
      <c r="KC1306" s="29"/>
      <c r="KD1306" s="29"/>
      <c r="KE1306" s="29"/>
      <c r="KF1306" s="29"/>
      <c r="KG1306" s="29"/>
      <c r="KH1306" s="29"/>
      <c r="KI1306" s="29"/>
      <c r="KJ1306" s="29"/>
      <c r="KK1306" s="29"/>
      <c r="KL1306" s="29"/>
      <c r="KM1306" s="29"/>
      <c r="KN1306" s="29"/>
      <c r="KO1306" s="29"/>
      <c r="KP1306" s="29"/>
      <c r="KQ1306" s="29"/>
      <c r="KR1306" s="29"/>
      <c r="KS1306" s="29"/>
      <c r="KT1306" s="29"/>
      <c r="KU1306" s="29"/>
      <c r="KV1306" s="29"/>
      <c r="KW1306" s="29"/>
      <c r="KX1306" s="29"/>
      <c r="KY1306" s="29"/>
      <c r="KZ1306" s="29"/>
      <c r="LA1306" s="29"/>
      <c r="LB1306" s="29"/>
      <c r="LC1306" s="29"/>
      <c r="LD1306" s="29"/>
      <c r="LE1306" s="29"/>
      <c r="LF1306" s="29"/>
      <c r="LG1306" s="29"/>
      <c r="LH1306" s="29"/>
      <c r="LI1306" s="29"/>
      <c r="LJ1306" s="29"/>
      <c r="LK1306" s="29"/>
      <c r="LL1306" s="29"/>
      <c r="LM1306" s="29"/>
      <c r="LN1306" s="29"/>
      <c r="LO1306" s="29"/>
      <c r="LP1306" s="29"/>
      <c r="LQ1306" s="29"/>
      <c r="LR1306" s="29"/>
      <c r="LS1306" s="29"/>
      <c r="LT1306" s="29"/>
      <c r="LU1306" s="29"/>
      <c r="LV1306" s="29"/>
      <c r="LW1306" s="29"/>
      <c r="LX1306" s="29"/>
      <c r="LY1306" s="29"/>
      <c r="LZ1306" s="29"/>
      <c r="MA1306" s="29"/>
      <c r="MB1306" s="29"/>
      <c r="MC1306" s="29"/>
      <c r="MD1306" s="29"/>
      <c r="ME1306" s="29"/>
      <c r="MF1306" s="29"/>
      <c r="MG1306" s="29"/>
      <c r="MH1306" s="29"/>
      <c r="MI1306" s="29"/>
      <c r="MJ1306" s="29"/>
      <c r="MK1306" s="29"/>
      <c r="ML1306" s="29"/>
      <c r="MM1306" s="29"/>
      <c r="MN1306" s="29"/>
      <c r="MO1306" s="29"/>
      <c r="MP1306" s="29"/>
      <c r="MQ1306" s="29"/>
      <c r="MR1306" s="29"/>
      <c r="MS1306" s="29"/>
      <c r="MT1306" s="29"/>
      <c r="MU1306" s="29"/>
      <c r="MV1306" s="29"/>
      <c r="MW1306" s="29"/>
      <c r="MX1306" s="29"/>
      <c r="MY1306" s="29"/>
      <c r="MZ1306" s="29"/>
      <c r="NA1306" s="29"/>
      <c r="NB1306" s="29"/>
      <c r="NC1306" s="29"/>
      <c r="ND1306" s="29"/>
      <c r="NE1306" s="29"/>
      <c r="NF1306" s="29"/>
      <c r="NG1306" s="29"/>
      <c r="NH1306" s="29"/>
      <c r="NI1306" s="29"/>
      <c r="NJ1306" s="29"/>
      <c r="NK1306" s="29"/>
      <c r="NL1306" s="29"/>
      <c r="NM1306" s="29"/>
      <c r="NN1306" s="29"/>
      <c r="NO1306" s="29"/>
      <c r="NP1306" s="29"/>
      <c r="NQ1306" s="29"/>
      <c r="NR1306" s="29"/>
      <c r="NS1306" s="29"/>
      <c r="NT1306" s="29"/>
      <c r="NU1306" s="29"/>
      <c r="NV1306" s="29"/>
      <c r="NW1306" s="29"/>
      <c r="NX1306" s="29"/>
      <c r="NY1306" s="29"/>
      <c r="NZ1306" s="29"/>
      <c r="OA1306" s="29"/>
      <c r="OB1306" s="29"/>
      <c r="OC1306" s="29"/>
      <c r="OD1306" s="29"/>
      <c r="OE1306" s="29"/>
      <c r="OF1306" s="29"/>
      <c r="OG1306" s="29"/>
      <c r="OH1306" s="29"/>
      <c r="OI1306" s="29"/>
      <c r="OJ1306" s="29"/>
      <c r="OK1306" s="29"/>
      <c r="OL1306" s="29"/>
      <c r="OM1306" s="29"/>
      <c r="ON1306" s="29"/>
      <c r="OO1306" s="29"/>
      <c r="OP1306" s="29"/>
      <c r="OQ1306" s="29"/>
      <c r="OR1306" s="29"/>
      <c r="OS1306" s="29"/>
      <c r="OT1306" s="29"/>
      <c r="OU1306" s="29"/>
      <c r="OV1306" s="29"/>
      <c r="OW1306" s="29"/>
      <c r="OX1306" s="29"/>
      <c r="OY1306" s="29"/>
      <c r="OZ1306" s="29"/>
      <c r="PA1306" s="29"/>
      <c r="PB1306" s="29"/>
      <c r="PC1306" s="29"/>
      <c r="PD1306" s="29"/>
      <c r="PE1306" s="29"/>
      <c r="PF1306" s="29"/>
      <c r="PG1306" s="29"/>
      <c r="PH1306" s="29"/>
      <c r="PI1306" s="29"/>
      <c r="PJ1306" s="29"/>
      <c r="PK1306" s="29"/>
      <c r="PL1306" s="29"/>
      <c r="PM1306" s="29"/>
      <c r="PN1306" s="29"/>
      <c r="PO1306" s="29"/>
      <c r="PP1306" s="29"/>
      <c r="PQ1306" s="29"/>
      <c r="PR1306" s="29"/>
      <c r="PS1306" s="29"/>
      <c r="PT1306" s="29"/>
      <c r="PU1306" s="29"/>
      <c r="PV1306" s="29"/>
      <c r="PW1306" s="29"/>
      <c r="PX1306" s="29"/>
      <c r="PY1306" s="29"/>
      <c r="PZ1306" s="29"/>
      <c r="QA1306" s="29"/>
      <c r="QB1306" s="29"/>
      <c r="QC1306" s="29"/>
      <c r="QD1306" s="29"/>
      <c r="QE1306" s="29"/>
      <c r="QF1306" s="29"/>
      <c r="QG1306" s="29"/>
      <c r="QH1306" s="29"/>
      <c r="QI1306" s="29"/>
      <c r="QJ1306" s="29"/>
      <c r="QK1306" s="29"/>
      <c r="QL1306" s="29"/>
      <c r="QM1306" s="29"/>
      <c r="QN1306" s="29"/>
      <c r="QO1306" s="29"/>
      <c r="QP1306" s="29"/>
      <c r="QQ1306" s="29"/>
      <c r="QR1306" s="29"/>
      <c r="QS1306" s="29"/>
      <c r="QT1306" s="29"/>
      <c r="QU1306" s="29"/>
      <c r="QV1306" s="29"/>
      <c r="QW1306" s="29"/>
      <c r="QX1306" s="29"/>
      <c r="QY1306" s="29"/>
      <c r="QZ1306" s="29"/>
      <c r="RA1306" s="29"/>
      <c r="RB1306" s="29"/>
      <c r="RC1306" s="29"/>
      <c r="RD1306" s="29"/>
      <c r="RE1306" s="29"/>
      <c r="RF1306" s="29"/>
      <c r="RG1306" s="29"/>
      <c r="RH1306" s="29"/>
      <c r="RI1306" s="29"/>
      <c r="RJ1306" s="29"/>
      <c r="RK1306" s="29"/>
      <c r="RL1306" s="29"/>
      <c r="RM1306" s="29"/>
      <c r="RN1306" s="29"/>
      <c r="RO1306" s="29"/>
      <c r="RP1306" s="29"/>
      <c r="RQ1306" s="29"/>
      <c r="RR1306" s="29"/>
      <c r="RS1306" s="29"/>
      <c r="RT1306" s="29"/>
      <c r="RU1306" s="29"/>
      <c r="RV1306" s="29"/>
      <c r="RW1306" s="29"/>
      <c r="RX1306" s="29"/>
      <c r="RY1306" s="29"/>
      <c r="RZ1306" s="29"/>
      <c r="SA1306" s="29"/>
      <c r="SB1306" s="29"/>
      <c r="SC1306" s="29"/>
      <c r="SD1306" s="29"/>
      <c r="SE1306" s="29"/>
      <c r="SF1306" s="29"/>
      <c r="SG1306" s="29"/>
      <c r="SH1306" s="29"/>
      <c r="SI1306" s="29"/>
      <c r="SJ1306" s="29"/>
      <c r="SK1306" s="29"/>
      <c r="SL1306" s="29"/>
      <c r="SM1306" s="29"/>
      <c r="SN1306" s="29"/>
      <c r="SO1306" s="29"/>
      <c r="SP1306" s="29"/>
      <c r="SQ1306" s="29"/>
      <c r="SR1306" s="29"/>
      <c r="SS1306" s="29"/>
      <c r="ST1306" s="29"/>
      <c r="SU1306" s="29"/>
      <c r="SV1306" s="29"/>
      <c r="SW1306" s="29"/>
      <c r="SX1306" s="29"/>
      <c r="SY1306" s="29"/>
      <c r="SZ1306" s="29"/>
      <c r="TA1306" s="29"/>
      <c r="TB1306" s="29"/>
      <c r="TC1306" s="29"/>
      <c r="TD1306" s="29"/>
      <c r="TE1306" s="29"/>
      <c r="TF1306" s="29"/>
      <c r="TG1306" s="29"/>
      <c r="TH1306" s="29"/>
      <c r="TI1306" s="29"/>
      <c r="TJ1306" s="29"/>
      <c r="TK1306" s="29"/>
      <c r="TL1306" s="29"/>
      <c r="TM1306" s="29"/>
      <c r="TN1306" s="29"/>
      <c r="TO1306" s="29"/>
      <c r="TP1306" s="29"/>
      <c r="TQ1306" s="29"/>
      <c r="TR1306" s="29"/>
      <c r="TS1306" s="29"/>
      <c r="TT1306" s="29"/>
      <c r="TU1306" s="29"/>
      <c r="TV1306" s="29"/>
      <c r="TW1306" s="29"/>
      <c r="TX1306" s="29"/>
      <c r="TY1306" s="29"/>
      <c r="TZ1306" s="29"/>
      <c r="UA1306" s="29"/>
      <c r="UB1306" s="29"/>
      <c r="UC1306" s="29"/>
      <c r="UD1306" s="29"/>
      <c r="UE1306" s="29"/>
      <c r="UF1306" s="29"/>
      <c r="UG1306" s="29"/>
    </row>
    <row r="1307" spans="1:553" s="326" customFormat="1" ht="60.75" customHeight="1">
      <c r="A1307" s="356">
        <v>14</v>
      </c>
      <c r="B1307" s="356"/>
      <c r="C1307" s="1184" t="s">
        <v>707</v>
      </c>
      <c r="D1307" s="1244"/>
      <c r="E1307" s="1244"/>
      <c r="F1307" s="1245"/>
      <c r="G1307" s="356"/>
      <c r="H1307" s="359"/>
      <c r="I1307" s="359"/>
      <c r="J1307" s="357"/>
      <c r="K1307" s="364"/>
      <c r="L1307" s="645">
        <f>SUM(L1308:L1380)/2</f>
        <v>959396947.29999995</v>
      </c>
      <c r="M1307" s="356"/>
      <c r="N1307" s="356"/>
      <c r="O1307" s="356"/>
      <c r="P1307" s="356">
        <f>P1311+P1321+P1333+P1365+P1366+P1376+P1379</f>
        <v>959396947.29999995</v>
      </c>
      <c r="Q1307" s="610"/>
      <c r="R1307" s="411"/>
      <c r="S1307" s="435" t="s">
        <v>845</v>
      </c>
      <c r="T1307" s="615" t="s">
        <v>1324</v>
      </c>
      <c r="U1307" s="616">
        <f>H1311</f>
        <v>6384.0999999999995</v>
      </c>
      <c r="V1307" s="616">
        <f>I1311</f>
        <v>3824.1000000000004</v>
      </c>
      <c r="W1307" s="435">
        <f>SUM(W1309:W1320)</f>
        <v>1522.2</v>
      </c>
      <c r="X1307" s="435">
        <f>SUM(X1309:X1320)</f>
        <v>326.70000000000005</v>
      </c>
      <c r="Y1307" s="435">
        <f t="shared" ref="Y1307:AC1307" si="197">SUM(Y1309:Y1320)</f>
        <v>0</v>
      </c>
      <c r="Z1307" s="435">
        <f t="shared" si="197"/>
        <v>0</v>
      </c>
      <c r="AA1307" s="435">
        <f t="shared" si="197"/>
        <v>520</v>
      </c>
      <c r="AB1307" s="435">
        <f t="shared" si="197"/>
        <v>1455.2</v>
      </c>
      <c r="AC1307" s="435">
        <f t="shared" si="197"/>
        <v>0</v>
      </c>
      <c r="AD1307" s="785">
        <f>L1311</f>
        <v>231896900</v>
      </c>
      <c r="AE1307" s="790">
        <f>L1321</f>
        <v>51952215</v>
      </c>
      <c r="AF1307" s="790">
        <f>L1333</f>
        <v>118877832.30000001</v>
      </c>
      <c r="AG1307" s="790">
        <f>L1365</f>
        <v>0</v>
      </c>
      <c r="AH1307" s="790">
        <f>L1366</f>
        <v>551116100</v>
      </c>
      <c r="AI1307" s="790">
        <f>L1379</f>
        <v>0</v>
      </c>
      <c r="AJ1307" s="791">
        <f>L1376</f>
        <v>5553900.0000000009</v>
      </c>
      <c r="AK1307" s="785">
        <f>SUM(AD1307:AJ1307)</f>
        <v>959396947.29999995</v>
      </c>
      <c r="AL1307" s="330"/>
      <c r="AM1307" s="324"/>
      <c r="AN1307" s="324"/>
      <c r="AO1307" s="324"/>
      <c r="AP1307" s="324"/>
      <c r="AQ1307" s="324"/>
      <c r="AR1307" s="324"/>
      <c r="AS1307" s="324"/>
      <c r="AT1307" s="324"/>
      <c r="AU1307" s="324"/>
      <c r="AV1307" s="324"/>
      <c r="AW1307" s="324"/>
      <c r="AX1307" s="324"/>
      <c r="AY1307" s="324"/>
      <c r="AZ1307" s="324"/>
      <c r="BA1307" s="324"/>
      <c r="BB1307" s="324"/>
      <c r="BC1307" s="324"/>
      <c r="BD1307" s="324"/>
      <c r="BE1307" s="324"/>
      <c r="BF1307" s="324"/>
      <c r="BG1307" s="324"/>
      <c r="BH1307" s="324"/>
      <c r="BI1307" s="324"/>
      <c r="BJ1307" s="324"/>
      <c r="BK1307" s="324"/>
      <c r="BL1307" s="324"/>
      <c r="BM1307" s="324"/>
      <c r="BN1307" s="324"/>
      <c r="BO1307" s="324"/>
      <c r="BP1307" s="324"/>
      <c r="BQ1307" s="324"/>
      <c r="BR1307" s="324"/>
      <c r="BS1307" s="324"/>
      <c r="BT1307" s="324"/>
      <c r="BU1307" s="324"/>
      <c r="BV1307" s="324"/>
      <c r="BW1307" s="324"/>
      <c r="BX1307" s="324"/>
      <c r="BY1307" s="324"/>
      <c r="BZ1307" s="324"/>
      <c r="CA1307" s="324"/>
      <c r="CB1307" s="324"/>
      <c r="CC1307" s="324"/>
      <c r="CD1307" s="324"/>
      <c r="CE1307" s="324"/>
      <c r="CF1307" s="324"/>
      <c r="CG1307" s="324"/>
      <c r="CH1307" s="324"/>
      <c r="CI1307" s="324"/>
      <c r="CJ1307" s="324"/>
      <c r="CK1307" s="324"/>
      <c r="CL1307" s="324"/>
      <c r="CM1307" s="324"/>
      <c r="CN1307" s="324"/>
      <c r="CO1307" s="324"/>
      <c r="CP1307" s="324"/>
      <c r="CQ1307" s="324"/>
      <c r="CR1307" s="324"/>
      <c r="CS1307" s="324"/>
      <c r="CT1307" s="324"/>
      <c r="CU1307" s="324"/>
      <c r="CV1307" s="324"/>
      <c r="CW1307" s="324"/>
      <c r="CX1307" s="324"/>
      <c r="CY1307" s="324"/>
      <c r="CZ1307" s="324"/>
      <c r="DA1307" s="324"/>
      <c r="DB1307" s="324"/>
      <c r="DC1307" s="324"/>
      <c r="DD1307" s="324"/>
      <c r="DE1307" s="324"/>
      <c r="DF1307" s="324"/>
      <c r="DG1307" s="324"/>
      <c r="DH1307" s="324"/>
      <c r="DI1307" s="324"/>
      <c r="DJ1307" s="324"/>
      <c r="DK1307" s="324"/>
      <c r="DL1307" s="324"/>
      <c r="DM1307" s="324"/>
      <c r="DN1307" s="324"/>
      <c r="DO1307" s="324"/>
      <c r="DP1307" s="324"/>
      <c r="DQ1307" s="324"/>
      <c r="DR1307" s="324"/>
      <c r="DS1307" s="324"/>
      <c r="DT1307" s="324"/>
      <c r="DU1307" s="324"/>
      <c r="DV1307" s="324"/>
      <c r="DW1307" s="324"/>
      <c r="DX1307" s="324"/>
      <c r="DY1307" s="324"/>
      <c r="DZ1307" s="324"/>
      <c r="EA1307" s="324"/>
      <c r="EB1307" s="324"/>
      <c r="EC1307" s="324"/>
      <c r="ED1307" s="324"/>
      <c r="EE1307" s="324"/>
      <c r="EF1307" s="324"/>
      <c r="EG1307" s="324"/>
      <c r="EH1307" s="324"/>
      <c r="EI1307" s="324"/>
      <c r="EJ1307" s="324"/>
      <c r="EK1307" s="324"/>
      <c r="EL1307" s="324"/>
      <c r="EM1307" s="324"/>
      <c r="EN1307" s="324"/>
      <c r="EO1307" s="324"/>
      <c r="EP1307" s="324"/>
      <c r="EQ1307" s="324"/>
      <c r="ER1307" s="324"/>
      <c r="ES1307" s="324"/>
      <c r="ET1307" s="324"/>
      <c r="EU1307" s="324"/>
      <c r="EV1307" s="324"/>
      <c r="EW1307" s="324"/>
      <c r="EX1307" s="324"/>
      <c r="EY1307" s="324"/>
      <c r="EZ1307" s="324"/>
      <c r="FA1307" s="324"/>
      <c r="FB1307" s="324"/>
      <c r="FC1307" s="324"/>
      <c r="FD1307" s="324"/>
      <c r="FE1307" s="324"/>
      <c r="FF1307" s="324"/>
      <c r="FG1307" s="324"/>
      <c r="FH1307" s="324"/>
      <c r="FI1307" s="324"/>
      <c r="FJ1307" s="324"/>
      <c r="FK1307" s="324"/>
      <c r="FL1307" s="324"/>
      <c r="FM1307" s="324"/>
      <c r="FN1307" s="324"/>
      <c r="FO1307" s="324"/>
      <c r="FP1307" s="324"/>
      <c r="FQ1307" s="324"/>
      <c r="FR1307" s="324"/>
      <c r="FS1307" s="324"/>
      <c r="FT1307" s="324"/>
      <c r="FU1307" s="324"/>
      <c r="FV1307" s="324"/>
      <c r="FW1307" s="324"/>
      <c r="FX1307" s="324"/>
      <c r="FY1307" s="324"/>
      <c r="FZ1307" s="324"/>
      <c r="GA1307" s="324"/>
      <c r="GB1307" s="324"/>
      <c r="GC1307" s="324"/>
      <c r="GD1307" s="324"/>
      <c r="GE1307" s="324"/>
      <c r="GF1307" s="324"/>
      <c r="GG1307" s="324"/>
      <c r="GH1307" s="324"/>
      <c r="GI1307" s="324"/>
      <c r="GJ1307" s="324"/>
      <c r="GK1307" s="324"/>
      <c r="GL1307" s="324"/>
      <c r="GM1307" s="324"/>
      <c r="GN1307" s="324"/>
      <c r="GO1307" s="324"/>
      <c r="GP1307" s="324"/>
      <c r="GQ1307" s="324"/>
      <c r="GR1307" s="324"/>
      <c r="GS1307" s="324"/>
      <c r="GT1307" s="324"/>
      <c r="GU1307" s="324"/>
      <c r="GV1307" s="324"/>
      <c r="GW1307" s="324"/>
      <c r="GX1307" s="324"/>
      <c r="GY1307" s="324"/>
      <c r="GZ1307" s="324"/>
      <c r="HA1307" s="324"/>
      <c r="HB1307" s="324"/>
      <c r="HC1307" s="324"/>
      <c r="HD1307" s="324"/>
      <c r="HE1307" s="324"/>
      <c r="HF1307" s="324"/>
      <c r="HG1307" s="324"/>
      <c r="HH1307" s="324"/>
      <c r="HI1307" s="324"/>
      <c r="HJ1307" s="324"/>
      <c r="HK1307" s="324"/>
      <c r="HL1307" s="324"/>
      <c r="HM1307" s="324"/>
      <c r="HN1307" s="324"/>
      <c r="HO1307" s="324"/>
      <c r="HP1307" s="324"/>
      <c r="HQ1307" s="324"/>
      <c r="HR1307" s="324"/>
      <c r="HS1307" s="324"/>
      <c r="HT1307" s="324"/>
      <c r="HU1307" s="324"/>
      <c r="HV1307" s="324"/>
      <c r="HW1307" s="324"/>
      <c r="HX1307" s="324"/>
      <c r="HY1307" s="324"/>
      <c r="HZ1307" s="324"/>
      <c r="IA1307" s="324"/>
      <c r="IB1307" s="324"/>
      <c r="IC1307" s="324"/>
      <c r="ID1307" s="324"/>
      <c r="IE1307" s="324"/>
      <c r="IF1307" s="324"/>
      <c r="IG1307" s="324"/>
      <c r="IH1307" s="324"/>
      <c r="II1307" s="324"/>
      <c r="IJ1307" s="324"/>
      <c r="IK1307" s="324"/>
      <c r="IL1307" s="324"/>
      <c r="IM1307" s="324"/>
      <c r="IN1307" s="324"/>
      <c r="IO1307" s="324"/>
      <c r="IP1307" s="324"/>
      <c r="IQ1307" s="324"/>
      <c r="IR1307" s="324"/>
      <c r="IS1307" s="324"/>
      <c r="IT1307" s="324"/>
      <c r="IU1307" s="324"/>
      <c r="IV1307" s="324"/>
      <c r="IW1307" s="324"/>
      <c r="IX1307" s="324"/>
      <c r="IY1307" s="324"/>
      <c r="IZ1307" s="324"/>
      <c r="JA1307" s="324"/>
      <c r="JB1307" s="324"/>
      <c r="JC1307" s="324"/>
      <c r="JD1307" s="324"/>
      <c r="JE1307" s="324"/>
      <c r="JF1307" s="324"/>
      <c r="JG1307" s="324"/>
      <c r="JH1307" s="324"/>
      <c r="JI1307" s="324"/>
      <c r="JJ1307" s="324"/>
      <c r="JK1307" s="324"/>
      <c r="JL1307" s="324"/>
      <c r="JM1307" s="324"/>
      <c r="JN1307" s="324"/>
      <c r="JO1307" s="324"/>
      <c r="JP1307" s="324"/>
      <c r="JQ1307" s="324"/>
      <c r="JR1307" s="324"/>
      <c r="JS1307" s="324"/>
      <c r="JT1307" s="324"/>
      <c r="JU1307" s="324"/>
      <c r="JV1307" s="324"/>
      <c r="JW1307" s="324"/>
      <c r="JX1307" s="324"/>
      <c r="JY1307" s="324"/>
      <c r="JZ1307" s="324"/>
      <c r="KA1307" s="324"/>
      <c r="KB1307" s="324"/>
      <c r="KC1307" s="324"/>
      <c r="KD1307" s="324"/>
      <c r="KE1307" s="324"/>
      <c r="KF1307" s="324"/>
      <c r="KG1307" s="324"/>
      <c r="KH1307" s="324"/>
      <c r="KI1307" s="324"/>
      <c r="KJ1307" s="324"/>
      <c r="KK1307" s="324"/>
      <c r="KL1307" s="324"/>
      <c r="KM1307" s="324"/>
      <c r="KN1307" s="324"/>
      <c r="KO1307" s="324"/>
      <c r="KP1307" s="324"/>
      <c r="KQ1307" s="324"/>
      <c r="KR1307" s="324"/>
      <c r="KS1307" s="324"/>
      <c r="KT1307" s="324"/>
      <c r="KU1307" s="324"/>
      <c r="KV1307" s="324"/>
      <c r="KW1307" s="324"/>
      <c r="KX1307" s="324"/>
      <c r="KY1307" s="324"/>
      <c r="KZ1307" s="324"/>
      <c r="LA1307" s="324"/>
      <c r="LB1307" s="324"/>
      <c r="LC1307" s="324"/>
      <c r="LD1307" s="324"/>
      <c r="LE1307" s="324"/>
      <c r="LF1307" s="324"/>
      <c r="LG1307" s="324"/>
      <c r="LH1307" s="324"/>
      <c r="LI1307" s="324"/>
      <c r="LJ1307" s="324"/>
      <c r="LK1307" s="324"/>
      <c r="LL1307" s="324"/>
      <c r="LM1307" s="324"/>
      <c r="LN1307" s="324"/>
      <c r="LO1307" s="324"/>
      <c r="LP1307" s="324"/>
      <c r="LQ1307" s="324"/>
      <c r="LR1307" s="324"/>
      <c r="LS1307" s="324"/>
      <c r="LT1307" s="324"/>
      <c r="LU1307" s="324"/>
      <c r="LV1307" s="324"/>
      <c r="LW1307" s="324"/>
      <c r="LX1307" s="324"/>
      <c r="LY1307" s="324"/>
      <c r="LZ1307" s="324"/>
      <c r="MA1307" s="324"/>
      <c r="MB1307" s="324"/>
      <c r="MC1307" s="324"/>
      <c r="MD1307" s="324"/>
      <c r="ME1307" s="324"/>
      <c r="MF1307" s="324"/>
      <c r="MG1307" s="324"/>
      <c r="MH1307" s="324"/>
      <c r="MI1307" s="324"/>
      <c r="MJ1307" s="324"/>
      <c r="MK1307" s="324"/>
      <c r="ML1307" s="324"/>
      <c r="MM1307" s="324"/>
      <c r="MN1307" s="324"/>
      <c r="MO1307" s="324"/>
      <c r="MP1307" s="324"/>
      <c r="MQ1307" s="324"/>
      <c r="MR1307" s="324"/>
      <c r="MS1307" s="324"/>
      <c r="MT1307" s="324"/>
      <c r="MU1307" s="324"/>
      <c r="MV1307" s="324"/>
      <c r="MW1307" s="324"/>
      <c r="MX1307" s="324"/>
      <c r="MY1307" s="324"/>
      <c r="MZ1307" s="324"/>
      <c r="NA1307" s="324"/>
      <c r="NB1307" s="324"/>
      <c r="NC1307" s="324"/>
      <c r="ND1307" s="324"/>
      <c r="NE1307" s="324"/>
      <c r="NF1307" s="324"/>
      <c r="NG1307" s="324"/>
      <c r="NH1307" s="324"/>
      <c r="NI1307" s="324"/>
      <c r="NJ1307" s="324"/>
      <c r="NK1307" s="324"/>
      <c r="NL1307" s="324"/>
      <c r="NM1307" s="324"/>
      <c r="NN1307" s="324"/>
      <c r="NO1307" s="324"/>
      <c r="NP1307" s="324"/>
      <c r="NQ1307" s="324"/>
      <c r="NR1307" s="324"/>
      <c r="NS1307" s="324"/>
      <c r="NT1307" s="324"/>
      <c r="NU1307" s="324"/>
      <c r="NV1307" s="324"/>
      <c r="NW1307" s="324"/>
      <c r="NX1307" s="324"/>
      <c r="NY1307" s="324"/>
      <c r="NZ1307" s="324"/>
      <c r="OA1307" s="324"/>
      <c r="OB1307" s="324"/>
      <c r="OC1307" s="324"/>
      <c r="OD1307" s="324"/>
      <c r="OE1307" s="324"/>
      <c r="OF1307" s="324"/>
      <c r="OG1307" s="324"/>
      <c r="OH1307" s="324"/>
      <c r="OI1307" s="324"/>
      <c r="OJ1307" s="324"/>
      <c r="OK1307" s="324"/>
      <c r="OL1307" s="324"/>
      <c r="OM1307" s="324"/>
      <c r="ON1307" s="324"/>
      <c r="OO1307" s="324"/>
      <c r="OP1307" s="324"/>
      <c r="OQ1307" s="324"/>
      <c r="OR1307" s="324"/>
      <c r="OS1307" s="324"/>
      <c r="OT1307" s="324"/>
      <c r="OU1307" s="324"/>
      <c r="OV1307" s="324"/>
      <c r="OW1307" s="324"/>
      <c r="OX1307" s="324"/>
      <c r="OY1307" s="324"/>
      <c r="OZ1307" s="324"/>
      <c r="PA1307" s="324"/>
      <c r="PB1307" s="324"/>
      <c r="PC1307" s="324"/>
      <c r="PD1307" s="324"/>
      <c r="PE1307" s="324"/>
      <c r="PF1307" s="324"/>
      <c r="PG1307" s="324"/>
      <c r="PH1307" s="324"/>
      <c r="PI1307" s="324"/>
      <c r="PJ1307" s="324"/>
      <c r="PK1307" s="324"/>
      <c r="PL1307" s="324"/>
      <c r="PM1307" s="324"/>
      <c r="PN1307" s="324"/>
      <c r="PO1307" s="324"/>
      <c r="PP1307" s="324"/>
      <c r="PQ1307" s="324"/>
      <c r="PR1307" s="324"/>
      <c r="PS1307" s="324"/>
      <c r="PT1307" s="324"/>
      <c r="PU1307" s="324"/>
      <c r="PV1307" s="324"/>
      <c r="PW1307" s="324"/>
      <c r="PX1307" s="324"/>
      <c r="PY1307" s="324"/>
      <c r="PZ1307" s="324"/>
      <c r="QA1307" s="324"/>
      <c r="QB1307" s="324"/>
      <c r="QC1307" s="324"/>
      <c r="QD1307" s="324"/>
      <c r="QE1307" s="324"/>
      <c r="QF1307" s="324"/>
      <c r="QG1307" s="324"/>
      <c r="QH1307" s="324"/>
      <c r="QI1307" s="324"/>
      <c r="QJ1307" s="324"/>
      <c r="QK1307" s="324"/>
      <c r="QL1307" s="324"/>
      <c r="QM1307" s="324"/>
      <c r="QN1307" s="324"/>
      <c r="QO1307" s="324"/>
      <c r="QP1307" s="324"/>
      <c r="QQ1307" s="324"/>
      <c r="QR1307" s="324"/>
      <c r="QS1307" s="324"/>
      <c r="QT1307" s="324"/>
      <c r="QU1307" s="324"/>
      <c r="QV1307" s="324"/>
      <c r="QW1307" s="324"/>
      <c r="QX1307" s="324"/>
      <c r="QY1307" s="324"/>
      <c r="QZ1307" s="324"/>
      <c r="RA1307" s="324"/>
      <c r="RB1307" s="324"/>
      <c r="RC1307" s="324"/>
      <c r="RD1307" s="324"/>
      <c r="RE1307" s="324"/>
      <c r="RF1307" s="324"/>
      <c r="RG1307" s="324"/>
      <c r="RH1307" s="324"/>
      <c r="RI1307" s="324"/>
      <c r="RJ1307" s="324"/>
      <c r="RK1307" s="324"/>
      <c r="RL1307" s="324"/>
      <c r="RM1307" s="324"/>
      <c r="RN1307" s="324"/>
      <c r="RO1307" s="324"/>
      <c r="RP1307" s="324"/>
      <c r="RQ1307" s="324"/>
      <c r="RR1307" s="324"/>
      <c r="RS1307" s="324"/>
      <c r="RT1307" s="324"/>
      <c r="RU1307" s="324"/>
      <c r="RV1307" s="324"/>
      <c r="RW1307" s="324"/>
      <c r="RX1307" s="324"/>
      <c r="RY1307" s="324"/>
      <c r="RZ1307" s="324"/>
      <c r="SA1307" s="324"/>
      <c r="SB1307" s="324"/>
      <c r="SC1307" s="324"/>
      <c r="SD1307" s="324"/>
      <c r="SE1307" s="324"/>
      <c r="SF1307" s="324"/>
      <c r="SG1307" s="324"/>
      <c r="SH1307" s="324"/>
      <c r="SI1307" s="324"/>
      <c r="SJ1307" s="324"/>
      <c r="SK1307" s="324"/>
      <c r="SL1307" s="324"/>
      <c r="SM1307" s="324"/>
      <c r="SN1307" s="324"/>
      <c r="SO1307" s="324"/>
      <c r="SP1307" s="324"/>
      <c r="SQ1307" s="324"/>
      <c r="SR1307" s="324"/>
      <c r="SS1307" s="324"/>
      <c r="ST1307" s="324"/>
      <c r="SU1307" s="324"/>
      <c r="SV1307" s="324"/>
      <c r="SW1307" s="324"/>
      <c r="SX1307" s="324"/>
      <c r="SY1307" s="324"/>
      <c r="SZ1307" s="324"/>
      <c r="TA1307" s="324"/>
      <c r="TB1307" s="324"/>
      <c r="TC1307" s="324"/>
      <c r="TD1307" s="324"/>
      <c r="TE1307" s="324"/>
      <c r="TF1307" s="324"/>
      <c r="TG1307" s="324"/>
      <c r="TH1307" s="324"/>
      <c r="TI1307" s="324"/>
      <c r="TJ1307" s="324"/>
      <c r="TK1307" s="324"/>
      <c r="TL1307" s="324"/>
      <c r="TM1307" s="324"/>
      <c r="TN1307" s="324"/>
      <c r="TO1307" s="324"/>
      <c r="TP1307" s="324"/>
      <c r="TQ1307" s="324"/>
      <c r="TR1307" s="324"/>
      <c r="TS1307" s="324"/>
      <c r="TT1307" s="324"/>
      <c r="TU1307" s="324"/>
      <c r="TV1307" s="324"/>
      <c r="TW1307" s="324"/>
      <c r="TX1307" s="324"/>
      <c r="TY1307" s="324"/>
      <c r="TZ1307" s="324"/>
      <c r="UA1307" s="324"/>
      <c r="UB1307" s="324"/>
      <c r="UC1307" s="324"/>
      <c r="UD1307" s="324"/>
      <c r="UE1307" s="324"/>
      <c r="UF1307" s="324"/>
      <c r="UG1307" s="325"/>
    </row>
    <row r="1308" spans="1:553" ht="25.9" customHeight="1">
      <c r="A1308" s="356" t="s">
        <v>15</v>
      </c>
      <c r="B1308" s="366"/>
      <c r="C1308" s="1404" t="s">
        <v>708</v>
      </c>
      <c r="D1308" s="1389"/>
      <c r="E1308" s="1389"/>
      <c r="F1308" s="1390"/>
      <c r="G1308" s="366"/>
      <c r="H1308" s="370"/>
      <c r="I1308" s="439"/>
      <c r="J1308" s="368"/>
      <c r="K1308" s="371"/>
      <c r="L1308" s="480"/>
      <c r="M1308" s="366"/>
      <c r="N1308" s="366"/>
      <c r="O1308" s="366"/>
      <c r="P1308" s="366"/>
      <c r="Q1308" s="812"/>
      <c r="R1308" s="1226"/>
      <c r="S1308" s="308"/>
      <c r="T1308" s="308"/>
      <c r="U1308" s="308"/>
      <c r="V1308" s="308"/>
      <c r="W1308" s="308"/>
      <c r="X1308" s="308"/>
      <c r="Y1308" s="308"/>
      <c r="Z1308" s="604"/>
      <c r="AA1308" s="308"/>
      <c r="AB1308" s="308"/>
      <c r="AC1308" s="486"/>
      <c r="AD1308" s="486"/>
      <c r="AE1308" s="486"/>
      <c r="AF1308" s="486"/>
      <c r="AG1308" s="486"/>
      <c r="AH1308" s="486"/>
      <c r="AI1308" s="486"/>
      <c r="AJ1308" s="486"/>
      <c r="AK1308" s="486"/>
      <c r="AL1308" s="206"/>
      <c r="AM1308" s="29"/>
      <c r="AN1308" s="29"/>
      <c r="AO1308" s="29"/>
      <c r="AP1308" s="29"/>
      <c r="AQ1308" s="29"/>
      <c r="AR1308" s="29"/>
      <c r="AS1308" s="29"/>
      <c r="AT1308" s="29"/>
      <c r="AU1308" s="29"/>
      <c r="AV1308" s="29"/>
      <c r="AW1308" s="29"/>
      <c r="AX1308" s="29"/>
      <c r="AY1308" s="29"/>
      <c r="AZ1308" s="29"/>
      <c r="BA1308" s="29"/>
      <c r="BB1308" s="29"/>
      <c r="BC1308" s="29"/>
      <c r="BD1308" s="29"/>
      <c r="BE1308" s="29"/>
      <c r="BF1308" s="29"/>
      <c r="BG1308" s="29"/>
      <c r="BH1308" s="29"/>
      <c r="BI1308" s="29"/>
      <c r="BJ1308" s="29"/>
      <c r="BK1308" s="29"/>
      <c r="BL1308" s="29"/>
      <c r="BM1308" s="29"/>
      <c r="BN1308" s="29"/>
      <c r="BO1308" s="29"/>
      <c r="BP1308" s="29"/>
      <c r="BQ1308" s="29"/>
      <c r="BR1308" s="29"/>
      <c r="BS1308" s="29"/>
      <c r="BT1308" s="29"/>
      <c r="BU1308" s="29"/>
      <c r="BV1308" s="29"/>
      <c r="BW1308" s="29"/>
      <c r="BX1308" s="29"/>
      <c r="BY1308" s="29"/>
      <c r="BZ1308" s="29"/>
      <c r="CA1308" s="29"/>
      <c r="CB1308" s="29"/>
      <c r="CC1308" s="29"/>
      <c r="CD1308" s="29"/>
      <c r="CE1308" s="29"/>
      <c r="CF1308" s="29"/>
      <c r="CG1308" s="29"/>
      <c r="CH1308" s="29"/>
      <c r="CI1308" s="29"/>
      <c r="CJ1308" s="29"/>
      <c r="CK1308" s="29"/>
      <c r="CL1308" s="29"/>
      <c r="CM1308" s="29"/>
      <c r="CN1308" s="29"/>
      <c r="CO1308" s="29"/>
      <c r="CP1308" s="29"/>
      <c r="CQ1308" s="29"/>
      <c r="CR1308" s="29"/>
      <c r="CS1308" s="29"/>
      <c r="CT1308" s="29"/>
      <c r="CU1308" s="29"/>
      <c r="CV1308" s="29"/>
      <c r="CW1308" s="29"/>
      <c r="CX1308" s="29"/>
      <c r="CY1308" s="29"/>
      <c r="CZ1308" s="29"/>
      <c r="DA1308" s="29"/>
      <c r="DB1308" s="29"/>
      <c r="DC1308" s="29"/>
      <c r="DD1308" s="29"/>
      <c r="DE1308" s="29"/>
      <c r="DF1308" s="29"/>
      <c r="DG1308" s="29"/>
      <c r="DH1308" s="29"/>
      <c r="DI1308" s="29"/>
      <c r="DJ1308" s="29"/>
      <c r="DK1308" s="29"/>
      <c r="DL1308" s="29"/>
      <c r="DM1308" s="29"/>
      <c r="DN1308" s="29"/>
      <c r="DO1308" s="29"/>
      <c r="DP1308" s="29"/>
      <c r="DQ1308" s="29"/>
      <c r="DR1308" s="29"/>
      <c r="DS1308" s="29"/>
      <c r="DT1308" s="29"/>
      <c r="DU1308" s="29"/>
      <c r="DV1308" s="29"/>
      <c r="DW1308" s="29"/>
      <c r="DX1308" s="29"/>
      <c r="DY1308" s="29"/>
      <c r="DZ1308" s="29"/>
      <c r="EA1308" s="29"/>
      <c r="EB1308" s="29"/>
      <c r="EC1308" s="29"/>
      <c r="ED1308" s="29"/>
      <c r="EE1308" s="29"/>
      <c r="EF1308" s="29"/>
      <c r="EG1308" s="29"/>
      <c r="EH1308" s="29"/>
      <c r="EI1308" s="29"/>
      <c r="EJ1308" s="29"/>
      <c r="EK1308" s="29"/>
      <c r="EL1308" s="29"/>
      <c r="EM1308" s="29"/>
      <c r="EN1308" s="29"/>
      <c r="EO1308" s="29"/>
      <c r="EP1308" s="29"/>
      <c r="EQ1308" s="29"/>
      <c r="ER1308" s="29"/>
      <c r="ES1308" s="29"/>
      <c r="ET1308" s="29"/>
      <c r="EU1308" s="29"/>
      <c r="EV1308" s="29"/>
      <c r="EW1308" s="29"/>
      <c r="EX1308" s="29"/>
      <c r="EY1308" s="29"/>
      <c r="EZ1308" s="29"/>
      <c r="FA1308" s="29"/>
      <c r="FB1308" s="29"/>
      <c r="FC1308" s="29"/>
      <c r="FD1308" s="29"/>
      <c r="FE1308" s="29"/>
      <c r="FF1308" s="29"/>
      <c r="FG1308" s="29"/>
      <c r="FH1308" s="29"/>
      <c r="FI1308" s="29"/>
      <c r="FJ1308" s="29"/>
      <c r="FK1308" s="29"/>
      <c r="FL1308" s="29"/>
      <c r="FM1308" s="29"/>
      <c r="FN1308" s="29"/>
      <c r="FO1308" s="29"/>
      <c r="FP1308" s="29"/>
      <c r="FQ1308" s="29"/>
      <c r="FR1308" s="29"/>
      <c r="FS1308" s="29"/>
      <c r="FT1308" s="29"/>
      <c r="FU1308" s="29"/>
      <c r="FV1308" s="29"/>
      <c r="FW1308" s="29"/>
      <c r="FX1308" s="29"/>
      <c r="FY1308" s="29"/>
      <c r="FZ1308" s="29"/>
      <c r="GA1308" s="29"/>
      <c r="GB1308" s="29"/>
      <c r="GC1308" s="29"/>
      <c r="GD1308" s="29"/>
      <c r="GE1308" s="29"/>
      <c r="GF1308" s="29"/>
      <c r="GG1308" s="29"/>
      <c r="GH1308" s="29"/>
      <c r="GI1308" s="29"/>
      <c r="GJ1308" s="29"/>
      <c r="GK1308" s="29"/>
      <c r="GL1308" s="29"/>
      <c r="GM1308" s="29"/>
      <c r="GN1308" s="29"/>
      <c r="GO1308" s="29"/>
      <c r="GP1308" s="29"/>
      <c r="GQ1308" s="29"/>
      <c r="GR1308" s="29"/>
      <c r="GS1308" s="29"/>
      <c r="GT1308" s="29"/>
      <c r="GU1308" s="29"/>
      <c r="GV1308" s="29"/>
      <c r="GW1308" s="29"/>
      <c r="GX1308" s="29"/>
      <c r="GY1308" s="29"/>
      <c r="GZ1308" s="29"/>
      <c r="HA1308" s="29"/>
      <c r="HB1308" s="29"/>
      <c r="HC1308" s="29"/>
      <c r="HD1308" s="29"/>
      <c r="HE1308" s="29"/>
      <c r="HF1308" s="29"/>
      <c r="HG1308" s="29"/>
      <c r="HH1308" s="29"/>
      <c r="HI1308" s="29"/>
      <c r="HJ1308" s="29"/>
      <c r="HK1308" s="29"/>
      <c r="HL1308" s="29"/>
      <c r="HM1308" s="29"/>
      <c r="HN1308" s="29"/>
      <c r="HO1308" s="29"/>
      <c r="HP1308" s="29"/>
      <c r="HQ1308" s="29"/>
      <c r="HR1308" s="29"/>
      <c r="HS1308" s="29"/>
      <c r="HT1308" s="29"/>
      <c r="HU1308" s="29"/>
      <c r="HV1308" s="29"/>
      <c r="HW1308" s="29"/>
      <c r="HX1308" s="29"/>
      <c r="HY1308" s="29"/>
      <c r="HZ1308" s="29"/>
      <c r="IA1308" s="29"/>
      <c r="IB1308" s="29"/>
      <c r="IC1308" s="29"/>
      <c r="ID1308" s="29"/>
      <c r="IE1308" s="29"/>
      <c r="IF1308" s="29"/>
      <c r="IG1308" s="29"/>
      <c r="IH1308" s="29"/>
      <c r="II1308" s="29"/>
      <c r="IJ1308" s="29"/>
      <c r="IK1308" s="29"/>
      <c r="IL1308" s="29"/>
      <c r="IM1308" s="29"/>
      <c r="IN1308" s="29"/>
      <c r="IO1308" s="29"/>
      <c r="IP1308" s="29"/>
      <c r="IQ1308" s="29"/>
      <c r="IR1308" s="29"/>
      <c r="IS1308" s="29"/>
      <c r="IT1308" s="29"/>
      <c r="IU1308" s="29"/>
      <c r="IV1308" s="29"/>
      <c r="IW1308" s="29"/>
      <c r="IX1308" s="29"/>
      <c r="IY1308" s="29"/>
      <c r="IZ1308" s="29"/>
      <c r="JA1308" s="29"/>
      <c r="JB1308" s="29"/>
      <c r="JC1308" s="29"/>
      <c r="JD1308" s="29"/>
      <c r="JE1308" s="29"/>
      <c r="JF1308" s="29"/>
      <c r="JG1308" s="29"/>
      <c r="JH1308" s="29"/>
      <c r="JI1308" s="29"/>
      <c r="JJ1308" s="29"/>
      <c r="JK1308" s="29"/>
      <c r="JL1308" s="29"/>
      <c r="JM1308" s="29"/>
      <c r="JN1308" s="29"/>
      <c r="JO1308" s="29"/>
      <c r="JP1308" s="29"/>
      <c r="JQ1308" s="29"/>
      <c r="JR1308" s="29"/>
      <c r="JS1308" s="29"/>
      <c r="JT1308" s="29"/>
      <c r="JU1308" s="29"/>
      <c r="JV1308" s="29"/>
      <c r="JW1308" s="29"/>
      <c r="JX1308" s="29"/>
      <c r="JY1308" s="29"/>
      <c r="JZ1308" s="29"/>
      <c r="KA1308" s="29"/>
      <c r="KB1308" s="29"/>
      <c r="KC1308" s="29"/>
      <c r="KD1308" s="29"/>
      <c r="KE1308" s="29"/>
      <c r="KF1308" s="29"/>
      <c r="KG1308" s="29"/>
      <c r="KH1308" s="29"/>
      <c r="KI1308" s="29"/>
      <c r="KJ1308" s="29"/>
      <c r="KK1308" s="29"/>
      <c r="KL1308" s="29"/>
      <c r="KM1308" s="29"/>
      <c r="KN1308" s="29"/>
      <c r="KO1308" s="29"/>
      <c r="KP1308" s="29"/>
      <c r="KQ1308" s="29"/>
      <c r="KR1308" s="29"/>
      <c r="KS1308" s="29"/>
      <c r="KT1308" s="29"/>
      <c r="KU1308" s="29"/>
      <c r="KV1308" s="29"/>
      <c r="KW1308" s="29"/>
      <c r="KX1308" s="29"/>
      <c r="KY1308" s="29"/>
      <c r="KZ1308" s="29"/>
      <c r="LA1308" s="29"/>
      <c r="LB1308" s="29"/>
      <c r="LC1308" s="29"/>
      <c r="LD1308" s="29"/>
      <c r="LE1308" s="29"/>
      <c r="LF1308" s="29"/>
      <c r="LG1308" s="29"/>
      <c r="LH1308" s="29"/>
      <c r="LI1308" s="29"/>
      <c r="LJ1308" s="29"/>
      <c r="LK1308" s="29"/>
      <c r="LL1308" s="29"/>
      <c r="LM1308" s="29"/>
      <c r="LN1308" s="29"/>
      <c r="LO1308" s="29"/>
      <c r="LP1308" s="29"/>
      <c r="LQ1308" s="29"/>
      <c r="LR1308" s="29"/>
      <c r="LS1308" s="29"/>
      <c r="LT1308" s="29"/>
      <c r="LU1308" s="29"/>
      <c r="LV1308" s="29"/>
      <c r="LW1308" s="29"/>
      <c r="LX1308" s="29"/>
      <c r="LY1308" s="29"/>
      <c r="LZ1308" s="29"/>
      <c r="MA1308" s="29"/>
      <c r="MB1308" s="29"/>
      <c r="MC1308" s="29"/>
      <c r="MD1308" s="29"/>
      <c r="ME1308" s="29"/>
      <c r="MF1308" s="29"/>
      <c r="MG1308" s="29"/>
      <c r="MH1308" s="29"/>
      <c r="MI1308" s="29"/>
      <c r="MJ1308" s="29"/>
      <c r="MK1308" s="29"/>
      <c r="ML1308" s="29"/>
      <c r="MM1308" s="29"/>
      <c r="MN1308" s="29"/>
      <c r="MO1308" s="29"/>
      <c r="MP1308" s="29"/>
      <c r="MQ1308" s="29"/>
      <c r="MR1308" s="29"/>
      <c r="MS1308" s="29"/>
      <c r="MT1308" s="29"/>
      <c r="MU1308" s="29"/>
      <c r="MV1308" s="29"/>
      <c r="MW1308" s="29"/>
      <c r="MX1308" s="29"/>
      <c r="MY1308" s="29"/>
      <c r="MZ1308" s="29"/>
      <c r="NA1308" s="29"/>
      <c r="NB1308" s="29"/>
      <c r="NC1308" s="29"/>
      <c r="ND1308" s="29"/>
      <c r="NE1308" s="29"/>
      <c r="NF1308" s="29"/>
      <c r="NG1308" s="29"/>
      <c r="NH1308" s="29"/>
      <c r="NI1308" s="29"/>
      <c r="NJ1308" s="29"/>
      <c r="NK1308" s="29"/>
      <c r="NL1308" s="29"/>
      <c r="NM1308" s="29"/>
      <c r="NN1308" s="29"/>
      <c r="NO1308" s="29"/>
      <c r="NP1308" s="29"/>
      <c r="NQ1308" s="29"/>
      <c r="NR1308" s="29"/>
      <c r="NS1308" s="29"/>
      <c r="NT1308" s="29"/>
      <c r="NU1308" s="29"/>
      <c r="NV1308" s="29"/>
      <c r="NW1308" s="29"/>
      <c r="NX1308" s="29"/>
      <c r="NY1308" s="29"/>
      <c r="NZ1308" s="29"/>
      <c r="OA1308" s="29"/>
      <c r="OB1308" s="29"/>
      <c r="OC1308" s="29"/>
      <c r="OD1308" s="29"/>
      <c r="OE1308" s="29"/>
      <c r="OF1308" s="29"/>
      <c r="OG1308" s="29"/>
      <c r="OH1308" s="29"/>
      <c r="OI1308" s="29"/>
      <c r="OJ1308" s="29"/>
      <c r="OK1308" s="29"/>
      <c r="OL1308" s="29"/>
      <c r="OM1308" s="29"/>
      <c r="ON1308" s="29"/>
      <c r="OO1308" s="29"/>
      <c r="OP1308" s="29"/>
      <c r="OQ1308" s="29"/>
      <c r="OR1308" s="29"/>
      <c r="OS1308" s="29"/>
      <c r="OT1308" s="29"/>
      <c r="OU1308" s="29"/>
      <c r="OV1308" s="29"/>
      <c r="OW1308" s="29"/>
      <c r="OX1308" s="29"/>
      <c r="OY1308" s="29"/>
      <c r="OZ1308" s="29"/>
      <c r="PA1308" s="29"/>
      <c r="PB1308" s="29"/>
      <c r="PC1308" s="29"/>
      <c r="PD1308" s="29"/>
      <c r="PE1308" s="29"/>
      <c r="PF1308" s="29"/>
      <c r="PG1308" s="29"/>
      <c r="PH1308" s="29"/>
      <c r="PI1308" s="29"/>
      <c r="PJ1308" s="29"/>
      <c r="PK1308" s="29"/>
      <c r="PL1308" s="29"/>
      <c r="PM1308" s="29"/>
      <c r="PN1308" s="29"/>
      <c r="PO1308" s="29"/>
      <c r="PP1308" s="29"/>
      <c r="PQ1308" s="29"/>
      <c r="PR1308" s="29"/>
      <c r="PS1308" s="29"/>
      <c r="PT1308" s="29"/>
      <c r="PU1308" s="29"/>
      <c r="PV1308" s="29"/>
      <c r="PW1308" s="29"/>
      <c r="PX1308" s="29"/>
      <c r="PY1308" s="29"/>
      <c r="PZ1308" s="29"/>
      <c r="QA1308" s="29"/>
      <c r="QB1308" s="29"/>
      <c r="QC1308" s="29"/>
      <c r="QD1308" s="29"/>
      <c r="QE1308" s="29"/>
      <c r="QF1308" s="29"/>
      <c r="QG1308" s="29"/>
      <c r="QH1308" s="29"/>
      <c r="QI1308" s="29"/>
      <c r="QJ1308" s="29"/>
      <c r="QK1308" s="29"/>
      <c r="QL1308" s="29"/>
      <c r="QM1308" s="29"/>
      <c r="QN1308" s="29"/>
      <c r="QO1308" s="29"/>
      <c r="QP1308" s="29"/>
      <c r="QQ1308" s="29"/>
      <c r="QR1308" s="29"/>
      <c r="QS1308" s="29"/>
      <c r="QT1308" s="29"/>
      <c r="QU1308" s="29"/>
      <c r="QV1308" s="29"/>
      <c r="QW1308" s="29"/>
      <c r="QX1308" s="29"/>
      <c r="QY1308" s="29"/>
      <c r="QZ1308" s="29"/>
      <c r="RA1308" s="29"/>
      <c r="RB1308" s="29"/>
      <c r="RC1308" s="29"/>
      <c r="RD1308" s="29"/>
      <c r="RE1308" s="29"/>
      <c r="RF1308" s="29"/>
      <c r="RG1308" s="29"/>
      <c r="RH1308" s="29"/>
      <c r="RI1308" s="29"/>
      <c r="RJ1308" s="29"/>
      <c r="RK1308" s="29"/>
      <c r="RL1308" s="29"/>
      <c r="RM1308" s="29"/>
      <c r="RN1308" s="29"/>
      <c r="RO1308" s="29"/>
      <c r="RP1308" s="29"/>
      <c r="RQ1308" s="29"/>
      <c r="RR1308" s="29"/>
      <c r="RS1308" s="29"/>
      <c r="RT1308" s="29"/>
      <c r="RU1308" s="29"/>
      <c r="RV1308" s="29"/>
      <c r="RW1308" s="29"/>
      <c r="RX1308" s="29"/>
      <c r="RY1308" s="29"/>
      <c r="RZ1308" s="29"/>
      <c r="SA1308" s="29"/>
      <c r="SB1308" s="29"/>
      <c r="SC1308" s="29"/>
      <c r="SD1308" s="29"/>
      <c r="SE1308" s="29"/>
      <c r="SF1308" s="29"/>
      <c r="SG1308" s="29"/>
      <c r="SH1308" s="29"/>
      <c r="SI1308" s="29"/>
      <c r="SJ1308" s="29"/>
      <c r="SK1308" s="29"/>
      <c r="SL1308" s="29"/>
      <c r="SM1308" s="29"/>
      <c r="SN1308" s="29"/>
      <c r="SO1308" s="29"/>
      <c r="SP1308" s="29"/>
      <c r="SQ1308" s="29"/>
      <c r="SR1308" s="29"/>
      <c r="SS1308" s="29"/>
      <c r="ST1308" s="29"/>
      <c r="SU1308" s="29"/>
      <c r="SV1308" s="29"/>
      <c r="SW1308" s="29"/>
      <c r="SX1308" s="29"/>
      <c r="SY1308" s="29"/>
      <c r="SZ1308" s="29"/>
      <c r="TA1308" s="29"/>
      <c r="TB1308" s="29"/>
      <c r="TC1308" s="29"/>
      <c r="TD1308" s="29"/>
      <c r="TE1308" s="29"/>
      <c r="TF1308" s="29"/>
      <c r="TG1308" s="29"/>
      <c r="TH1308" s="29"/>
      <c r="TI1308" s="29"/>
      <c r="TJ1308" s="29"/>
      <c r="TK1308" s="29"/>
      <c r="TL1308" s="29"/>
      <c r="TM1308" s="29"/>
      <c r="TN1308" s="29"/>
      <c r="TO1308" s="29"/>
      <c r="TP1308" s="29"/>
      <c r="TQ1308" s="29"/>
      <c r="TR1308" s="29"/>
      <c r="TS1308" s="29"/>
      <c r="TT1308" s="29"/>
      <c r="TU1308" s="29"/>
      <c r="TV1308" s="29"/>
      <c r="TW1308" s="29"/>
      <c r="TX1308" s="29"/>
      <c r="TY1308" s="29"/>
      <c r="TZ1308" s="29"/>
      <c r="UA1308" s="29"/>
      <c r="UB1308" s="29"/>
      <c r="UC1308" s="29"/>
      <c r="UD1308" s="29"/>
      <c r="UE1308" s="29"/>
      <c r="UF1308" s="29"/>
      <c r="UG1308" s="29"/>
    </row>
    <row r="1309" spans="1:553" ht="25.9" customHeight="1">
      <c r="A1309" s="356" t="s">
        <v>15</v>
      </c>
      <c r="B1309" s="366"/>
      <c r="C1309" s="1404" t="s">
        <v>16</v>
      </c>
      <c r="D1309" s="1389"/>
      <c r="E1309" s="1389"/>
      <c r="F1309" s="1390"/>
      <c r="G1309" s="366"/>
      <c r="H1309" s="439"/>
      <c r="I1309" s="370"/>
      <c r="J1309" s="368"/>
      <c r="K1309" s="371"/>
      <c r="L1309" s="480"/>
      <c r="M1309" s="366"/>
      <c r="N1309" s="366"/>
      <c r="O1309" s="366"/>
      <c r="P1309" s="366"/>
      <c r="Q1309" s="1036"/>
      <c r="R1309" s="1226"/>
      <c r="S1309" s="308"/>
      <c r="T1309" s="308"/>
      <c r="U1309" s="308"/>
      <c r="V1309" s="308"/>
      <c r="W1309" s="308"/>
      <c r="X1309" s="308"/>
      <c r="Y1309" s="308"/>
      <c r="Z1309" s="604"/>
      <c r="AA1309" s="308"/>
      <c r="AB1309" s="308"/>
      <c r="AC1309" s="486"/>
      <c r="AD1309" s="486"/>
      <c r="AE1309" s="486"/>
      <c r="AF1309" s="486"/>
      <c r="AG1309" s="486"/>
      <c r="AH1309" s="486"/>
      <c r="AI1309" s="486"/>
      <c r="AJ1309" s="486"/>
      <c r="AK1309" s="486"/>
      <c r="AL1309" s="206"/>
      <c r="AM1309" s="29"/>
      <c r="AN1309" s="29"/>
      <c r="AO1309" s="29"/>
      <c r="AP1309" s="29"/>
      <c r="AQ1309" s="29"/>
      <c r="AR1309" s="29"/>
      <c r="AS1309" s="29"/>
      <c r="AT1309" s="29"/>
      <c r="AU1309" s="29"/>
      <c r="AV1309" s="29"/>
      <c r="AW1309" s="29"/>
      <c r="AX1309" s="29"/>
      <c r="AY1309" s="29"/>
      <c r="AZ1309" s="29"/>
      <c r="BA1309" s="29"/>
      <c r="BB1309" s="29"/>
      <c r="BC1309" s="29"/>
      <c r="BD1309" s="29"/>
      <c r="BE1309" s="29"/>
      <c r="BF1309" s="29"/>
      <c r="BG1309" s="29"/>
      <c r="BH1309" s="29"/>
      <c r="BI1309" s="29"/>
      <c r="BJ1309" s="29"/>
      <c r="BK1309" s="29"/>
      <c r="BL1309" s="29"/>
      <c r="BM1309" s="29"/>
      <c r="BN1309" s="29"/>
      <c r="BO1309" s="29"/>
      <c r="BP1309" s="29"/>
      <c r="BQ1309" s="29"/>
      <c r="BR1309" s="29"/>
      <c r="BS1309" s="29"/>
      <c r="BT1309" s="29"/>
      <c r="BU1309" s="29"/>
      <c r="BV1309" s="29"/>
      <c r="BW1309" s="29"/>
      <c r="BX1309" s="29"/>
      <c r="BY1309" s="29"/>
      <c r="BZ1309" s="29"/>
      <c r="CA1309" s="29"/>
      <c r="CB1309" s="29"/>
      <c r="CC1309" s="29"/>
      <c r="CD1309" s="29"/>
      <c r="CE1309" s="29"/>
      <c r="CF1309" s="29"/>
      <c r="CG1309" s="29"/>
      <c r="CH1309" s="29"/>
      <c r="CI1309" s="29"/>
      <c r="CJ1309" s="29"/>
      <c r="CK1309" s="29"/>
      <c r="CL1309" s="29"/>
      <c r="CM1309" s="29"/>
      <c r="CN1309" s="29"/>
      <c r="CO1309" s="29"/>
      <c r="CP1309" s="29"/>
      <c r="CQ1309" s="29"/>
      <c r="CR1309" s="29"/>
      <c r="CS1309" s="29"/>
      <c r="CT1309" s="29"/>
      <c r="CU1309" s="29"/>
      <c r="CV1309" s="29"/>
      <c r="CW1309" s="29"/>
      <c r="CX1309" s="29"/>
      <c r="CY1309" s="29"/>
      <c r="CZ1309" s="29"/>
      <c r="DA1309" s="29"/>
      <c r="DB1309" s="29"/>
      <c r="DC1309" s="29"/>
      <c r="DD1309" s="29"/>
      <c r="DE1309" s="29"/>
      <c r="DF1309" s="29"/>
      <c r="DG1309" s="29"/>
      <c r="DH1309" s="29"/>
      <c r="DI1309" s="29"/>
      <c r="DJ1309" s="29"/>
      <c r="DK1309" s="29"/>
      <c r="DL1309" s="29"/>
      <c r="DM1309" s="29"/>
      <c r="DN1309" s="29"/>
      <c r="DO1309" s="29"/>
      <c r="DP1309" s="29"/>
      <c r="DQ1309" s="29"/>
      <c r="DR1309" s="29"/>
      <c r="DS1309" s="29"/>
      <c r="DT1309" s="29"/>
      <c r="DU1309" s="29"/>
      <c r="DV1309" s="29"/>
      <c r="DW1309" s="29"/>
      <c r="DX1309" s="29"/>
      <c r="DY1309" s="29"/>
      <c r="DZ1309" s="29"/>
      <c r="EA1309" s="29"/>
      <c r="EB1309" s="29"/>
      <c r="EC1309" s="29"/>
      <c r="ED1309" s="29"/>
      <c r="EE1309" s="29"/>
      <c r="EF1309" s="29"/>
      <c r="EG1309" s="29"/>
      <c r="EH1309" s="29"/>
      <c r="EI1309" s="29"/>
      <c r="EJ1309" s="29"/>
      <c r="EK1309" s="29"/>
      <c r="EL1309" s="29"/>
      <c r="EM1309" s="29"/>
      <c r="EN1309" s="29"/>
      <c r="EO1309" s="29"/>
      <c r="EP1309" s="29"/>
      <c r="EQ1309" s="29"/>
      <c r="ER1309" s="29"/>
      <c r="ES1309" s="29"/>
      <c r="ET1309" s="29"/>
      <c r="EU1309" s="29"/>
      <c r="EV1309" s="29"/>
      <c r="EW1309" s="29"/>
      <c r="EX1309" s="29"/>
      <c r="EY1309" s="29"/>
      <c r="EZ1309" s="29"/>
      <c r="FA1309" s="29"/>
      <c r="FB1309" s="29"/>
      <c r="FC1309" s="29"/>
      <c r="FD1309" s="29"/>
      <c r="FE1309" s="29"/>
      <c r="FF1309" s="29"/>
      <c r="FG1309" s="29"/>
      <c r="FH1309" s="29"/>
      <c r="FI1309" s="29"/>
      <c r="FJ1309" s="29"/>
      <c r="FK1309" s="29"/>
      <c r="FL1309" s="29"/>
      <c r="FM1309" s="29"/>
      <c r="FN1309" s="29"/>
      <c r="FO1309" s="29"/>
      <c r="FP1309" s="29"/>
      <c r="FQ1309" s="29"/>
      <c r="FR1309" s="29"/>
      <c r="FS1309" s="29"/>
      <c r="FT1309" s="29"/>
      <c r="FU1309" s="29"/>
      <c r="FV1309" s="29"/>
      <c r="FW1309" s="29"/>
      <c r="FX1309" s="29"/>
      <c r="FY1309" s="29"/>
      <c r="FZ1309" s="29"/>
      <c r="GA1309" s="29"/>
      <c r="GB1309" s="29"/>
      <c r="GC1309" s="29"/>
      <c r="GD1309" s="29"/>
      <c r="GE1309" s="29"/>
      <c r="GF1309" s="29"/>
      <c r="GG1309" s="29"/>
      <c r="GH1309" s="29"/>
      <c r="GI1309" s="29"/>
      <c r="GJ1309" s="29"/>
      <c r="GK1309" s="29"/>
      <c r="GL1309" s="29"/>
      <c r="GM1309" s="29"/>
      <c r="GN1309" s="29"/>
      <c r="GO1309" s="29"/>
      <c r="GP1309" s="29"/>
      <c r="GQ1309" s="29"/>
      <c r="GR1309" s="29"/>
      <c r="GS1309" s="29"/>
      <c r="GT1309" s="29"/>
      <c r="GU1309" s="29"/>
      <c r="GV1309" s="29"/>
      <c r="GW1309" s="29"/>
      <c r="GX1309" s="29"/>
      <c r="GY1309" s="29"/>
      <c r="GZ1309" s="29"/>
      <c r="HA1309" s="29"/>
      <c r="HB1309" s="29"/>
      <c r="HC1309" s="29"/>
      <c r="HD1309" s="29"/>
      <c r="HE1309" s="29"/>
      <c r="HF1309" s="29"/>
      <c r="HG1309" s="29"/>
      <c r="HH1309" s="29"/>
      <c r="HI1309" s="29"/>
      <c r="HJ1309" s="29"/>
      <c r="HK1309" s="29"/>
      <c r="HL1309" s="29"/>
      <c r="HM1309" s="29"/>
      <c r="HN1309" s="29"/>
      <c r="HO1309" s="29"/>
      <c r="HP1309" s="29"/>
      <c r="HQ1309" s="29"/>
      <c r="HR1309" s="29"/>
      <c r="HS1309" s="29"/>
      <c r="HT1309" s="29"/>
      <c r="HU1309" s="29"/>
      <c r="HV1309" s="29"/>
      <c r="HW1309" s="29"/>
      <c r="HX1309" s="29"/>
      <c r="HY1309" s="29"/>
      <c r="HZ1309" s="29"/>
      <c r="IA1309" s="29"/>
      <c r="IB1309" s="29"/>
      <c r="IC1309" s="29"/>
      <c r="ID1309" s="29"/>
      <c r="IE1309" s="29"/>
      <c r="IF1309" s="29"/>
      <c r="IG1309" s="29"/>
      <c r="IH1309" s="29"/>
      <c r="II1309" s="29"/>
      <c r="IJ1309" s="29"/>
      <c r="IK1309" s="29"/>
      <c r="IL1309" s="29"/>
      <c r="IM1309" s="29"/>
      <c r="IN1309" s="29"/>
      <c r="IO1309" s="29"/>
      <c r="IP1309" s="29"/>
      <c r="IQ1309" s="29"/>
      <c r="IR1309" s="29"/>
      <c r="IS1309" s="29"/>
      <c r="IT1309" s="29"/>
      <c r="IU1309" s="29"/>
      <c r="IV1309" s="29"/>
      <c r="IW1309" s="29"/>
      <c r="IX1309" s="29"/>
      <c r="IY1309" s="29"/>
      <c r="IZ1309" s="29"/>
      <c r="JA1309" s="29"/>
      <c r="JB1309" s="29"/>
      <c r="JC1309" s="29"/>
      <c r="JD1309" s="29"/>
      <c r="JE1309" s="29"/>
      <c r="JF1309" s="29"/>
      <c r="JG1309" s="29"/>
      <c r="JH1309" s="29"/>
      <c r="JI1309" s="29"/>
      <c r="JJ1309" s="29"/>
      <c r="JK1309" s="29"/>
      <c r="JL1309" s="29"/>
      <c r="JM1309" s="29"/>
      <c r="JN1309" s="29"/>
      <c r="JO1309" s="29"/>
      <c r="JP1309" s="29"/>
      <c r="JQ1309" s="29"/>
      <c r="JR1309" s="29"/>
      <c r="JS1309" s="29"/>
      <c r="JT1309" s="29"/>
      <c r="JU1309" s="29"/>
      <c r="JV1309" s="29"/>
      <c r="JW1309" s="29"/>
      <c r="JX1309" s="29"/>
      <c r="JY1309" s="29"/>
      <c r="JZ1309" s="29"/>
      <c r="KA1309" s="29"/>
      <c r="KB1309" s="29"/>
      <c r="KC1309" s="29"/>
      <c r="KD1309" s="29"/>
      <c r="KE1309" s="29"/>
      <c r="KF1309" s="29"/>
      <c r="KG1309" s="29"/>
      <c r="KH1309" s="29"/>
      <c r="KI1309" s="29"/>
      <c r="KJ1309" s="29"/>
      <c r="KK1309" s="29"/>
      <c r="KL1309" s="29"/>
      <c r="KM1309" s="29"/>
      <c r="KN1309" s="29"/>
      <c r="KO1309" s="29"/>
      <c r="KP1309" s="29"/>
      <c r="KQ1309" s="29"/>
      <c r="KR1309" s="29"/>
      <c r="KS1309" s="29"/>
      <c r="KT1309" s="29"/>
      <c r="KU1309" s="29"/>
      <c r="KV1309" s="29"/>
      <c r="KW1309" s="29"/>
      <c r="KX1309" s="29"/>
      <c r="KY1309" s="29"/>
      <c r="KZ1309" s="29"/>
      <c r="LA1309" s="29"/>
      <c r="LB1309" s="29"/>
      <c r="LC1309" s="29"/>
      <c r="LD1309" s="29"/>
      <c r="LE1309" s="29"/>
      <c r="LF1309" s="29"/>
      <c r="LG1309" s="29"/>
      <c r="LH1309" s="29"/>
      <c r="LI1309" s="29"/>
      <c r="LJ1309" s="29"/>
      <c r="LK1309" s="29"/>
      <c r="LL1309" s="29"/>
      <c r="LM1309" s="29"/>
      <c r="LN1309" s="29"/>
      <c r="LO1309" s="29"/>
      <c r="LP1309" s="29"/>
      <c r="LQ1309" s="29"/>
      <c r="LR1309" s="29"/>
      <c r="LS1309" s="29"/>
      <c r="LT1309" s="29"/>
      <c r="LU1309" s="29"/>
      <c r="LV1309" s="29"/>
      <c r="LW1309" s="29"/>
      <c r="LX1309" s="29"/>
      <c r="LY1309" s="29"/>
      <c r="LZ1309" s="29"/>
      <c r="MA1309" s="29"/>
      <c r="MB1309" s="29"/>
      <c r="MC1309" s="29"/>
      <c r="MD1309" s="29"/>
      <c r="ME1309" s="29"/>
      <c r="MF1309" s="29"/>
      <c r="MG1309" s="29"/>
      <c r="MH1309" s="29"/>
      <c r="MI1309" s="29"/>
      <c r="MJ1309" s="29"/>
      <c r="MK1309" s="29"/>
      <c r="ML1309" s="29"/>
      <c r="MM1309" s="29"/>
      <c r="MN1309" s="29"/>
      <c r="MO1309" s="29"/>
      <c r="MP1309" s="29"/>
      <c r="MQ1309" s="29"/>
      <c r="MR1309" s="29"/>
      <c r="MS1309" s="29"/>
      <c r="MT1309" s="29"/>
      <c r="MU1309" s="29"/>
      <c r="MV1309" s="29"/>
      <c r="MW1309" s="29"/>
      <c r="MX1309" s="29"/>
      <c r="MY1309" s="29"/>
      <c r="MZ1309" s="29"/>
      <c r="NA1309" s="29"/>
      <c r="NB1309" s="29"/>
      <c r="NC1309" s="29"/>
      <c r="ND1309" s="29"/>
      <c r="NE1309" s="29"/>
      <c r="NF1309" s="29"/>
      <c r="NG1309" s="29"/>
      <c r="NH1309" s="29"/>
      <c r="NI1309" s="29"/>
      <c r="NJ1309" s="29"/>
      <c r="NK1309" s="29"/>
      <c r="NL1309" s="29"/>
      <c r="NM1309" s="29"/>
      <c r="NN1309" s="29"/>
      <c r="NO1309" s="29"/>
      <c r="NP1309" s="29"/>
      <c r="NQ1309" s="29"/>
      <c r="NR1309" s="29"/>
      <c r="NS1309" s="29"/>
      <c r="NT1309" s="29"/>
      <c r="NU1309" s="29"/>
      <c r="NV1309" s="29"/>
      <c r="NW1309" s="29"/>
      <c r="NX1309" s="29"/>
      <c r="NY1309" s="29"/>
      <c r="NZ1309" s="29"/>
      <c r="OA1309" s="29"/>
      <c r="OB1309" s="29"/>
      <c r="OC1309" s="29"/>
      <c r="OD1309" s="29"/>
      <c r="OE1309" s="29"/>
      <c r="OF1309" s="29"/>
      <c r="OG1309" s="29"/>
      <c r="OH1309" s="29"/>
      <c r="OI1309" s="29"/>
      <c r="OJ1309" s="29"/>
      <c r="OK1309" s="29"/>
      <c r="OL1309" s="29"/>
      <c r="OM1309" s="29"/>
      <c r="ON1309" s="29"/>
      <c r="OO1309" s="29"/>
      <c r="OP1309" s="29"/>
      <c r="OQ1309" s="29"/>
      <c r="OR1309" s="29"/>
      <c r="OS1309" s="29"/>
      <c r="OT1309" s="29"/>
      <c r="OU1309" s="29"/>
      <c r="OV1309" s="29"/>
      <c r="OW1309" s="29"/>
      <c r="OX1309" s="29"/>
      <c r="OY1309" s="29"/>
      <c r="OZ1309" s="29"/>
      <c r="PA1309" s="29"/>
      <c r="PB1309" s="29"/>
      <c r="PC1309" s="29"/>
      <c r="PD1309" s="29"/>
      <c r="PE1309" s="29"/>
      <c r="PF1309" s="29"/>
      <c r="PG1309" s="29"/>
      <c r="PH1309" s="29"/>
      <c r="PI1309" s="29"/>
      <c r="PJ1309" s="29"/>
      <c r="PK1309" s="29"/>
      <c r="PL1309" s="29"/>
      <c r="PM1309" s="29"/>
      <c r="PN1309" s="29"/>
      <c r="PO1309" s="29"/>
      <c r="PP1309" s="29"/>
      <c r="PQ1309" s="29"/>
      <c r="PR1309" s="29"/>
      <c r="PS1309" s="29"/>
      <c r="PT1309" s="29"/>
      <c r="PU1309" s="29"/>
      <c r="PV1309" s="29"/>
      <c r="PW1309" s="29"/>
      <c r="PX1309" s="29"/>
      <c r="PY1309" s="29"/>
      <c r="PZ1309" s="29"/>
      <c r="QA1309" s="29"/>
      <c r="QB1309" s="29"/>
      <c r="QC1309" s="29"/>
      <c r="QD1309" s="29"/>
      <c r="QE1309" s="29"/>
      <c r="QF1309" s="29"/>
      <c r="QG1309" s="29"/>
      <c r="QH1309" s="29"/>
      <c r="QI1309" s="29"/>
      <c r="QJ1309" s="29"/>
      <c r="QK1309" s="29"/>
      <c r="QL1309" s="29"/>
      <c r="QM1309" s="29"/>
      <c r="QN1309" s="29"/>
      <c r="QO1309" s="29"/>
      <c r="QP1309" s="29"/>
      <c r="QQ1309" s="29"/>
      <c r="QR1309" s="29"/>
      <c r="QS1309" s="29"/>
      <c r="QT1309" s="29"/>
      <c r="QU1309" s="29"/>
      <c r="QV1309" s="29"/>
      <c r="QW1309" s="29"/>
      <c r="QX1309" s="29"/>
      <c r="QY1309" s="29"/>
      <c r="QZ1309" s="29"/>
      <c r="RA1309" s="29"/>
      <c r="RB1309" s="29"/>
      <c r="RC1309" s="29"/>
      <c r="RD1309" s="29"/>
      <c r="RE1309" s="29"/>
      <c r="RF1309" s="29"/>
      <c r="RG1309" s="29"/>
      <c r="RH1309" s="29"/>
      <c r="RI1309" s="29"/>
      <c r="RJ1309" s="29"/>
      <c r="RK1309" s="29"/>
      <c r="RL1309" s="29"/>
      <c r="RM1309" s="29"/>
      <c r="RN1309" s="29"/>
      <c r="RO1309" s="29"/>
      <c r="RP1309" s="29"/>
      <c r="RQ1309" s="29"/>
      <c r="RR1309" s="29"/>
      <c r="RS1309" s="29"/>
      <c r="RT1309" s="29"/>
      <c r="RU1309" s="29"/>
      <c r="RV1309" s="29"/>
      <c r="RW1309" s="29"/>
      <c r="RX1309" s="29"/>
      <c r="RY1309" s="29"/>
      <c r="RZ1309" s="29"/>
      <c r="SA1309" s="29"/>
      <c r="SB1309" s="29"/>
      <c r="SC1309" s="29"/>
      <c r="SD1309" s="29"/>
      <c r="SE1309" s="29"/>
      <c r="SF1309" s="29"/>
      <c r="SG1309" s="29"/>
      <c r="SH1309" s="29"/>
      <c r="SI1309" s="29"/>
      <c r="SJ1309" s="29"/>
      <c r="SK1309" s="29"/>
      <c r="SL1309" s="29"/>
      <c r="SM1309" s="29"/>
      <c r="SN1309" s="29"/>
      <c r="SO1309" s="29"/>
      <c r="SP1309" s="29"/>
      <c r="SQ1309" s="29"/>
      <c r="SR1309" s="29"/>
      <c r="SS1309" s="29"/>
      <c r="ST1309" s="29"/>
      <c r="SU1309" s="29"/>
      <c r="SV1309" s="29"/>
      <c r="SW1309" s="29"/>
      <c r="SX1309" s="29"/>
      <c r="SY1309" s="29"/>
      <c r="SZ1309" s="29"/>
      <c r="TA1309" s="29"/>
      <c r="TB1309" s="29"/>
      <c r="TC1309" s="29"/>
      <c r="TD1309" s="29"/>
      <c r="TE1309" s="29"/>
      <c r="TF1309" s="29"/>
      <c r="TG1309" s="29"/>
      <c r="TH1309" s="29"/>
      <c r="TI1309" s="29"/>
      <c r="TJ1309" s="29"/>
      <c r="TK1309" s="29"/>
      <c r="TL1309" s="29"/>
      <c r="TM1309" s="29"/>
      <c r="TN1309" s="29"/>
      <c r="TO1309" s="29"/>
      <c r="TP1309" s="29"/>
      <c r="TQ1309" s="29"/>
      <c r="TR1309" s="29"/>
      <c r="TS1309" s="29"/>
      <c r="TT1309" s="29"/>
      <c r="TU1309" s="29"/>
      <c r="TV1309" s="29"/>
      <c r="TW1309" s="29"/>
      <c r="TX1309" s="29"/>
      <c r="TY1309" s="29"/>
      <c r="TZ1309" s="29"/>
      <c r="UA1309" s="29"/>
      <c r="UB1309" s="29"/>
      <c r="UC1309" s="29"/>
      <c r="UD1309" s="29"/>
      <c r="UE1309" s="29"/>
      <c r="UF1309" s="29"/>
      <c r="UG1309" s="29"/>
    </row>
    <row r="1310" spans="1:553" ht="25.9" customHeight="1">
      <c r="A1310" s="356" t="s">
        <v>15</v>
      </c>
      <c r="B1310" s="366"/>
      <c r="C1310" s="1404" t="s">
        <v>709</v>
      </c>
      <c r="D1310" s="1389"/>
      <c r="E1310" s="1389"/>
      <c r="F1310" s="1390"/>
      <c r="G1310" s="366"/>
      <c r="H1310" s="370"/>
      <c r="I1310" s="370"/>
      <c r="J1310" s="368"/>
      <c r="K1310" s="371"/>
      <c r="L1310" s="480"/>
      <c r="M1310" s="366"/>
      <c r="N1310" s="366"/>
      <c r="O1310" s="366"/>
      <c r="P1310" s="366"/>
      <c r="Q1310" s="1036"/>
      <c r="R1310" s="1226"/>
      <c r="S1310" s="308"/>
      <c r="T1310" s="308"/>
      <c r="U1310" s="308"/>
      <c r="V1310" s="308"/>
      <c r="W1310" s="308"/>
      <c r="X1310" s="308"/>
      <c r="Y1310" s="308"/>
      <c r="Z1310" s="604"/>
      <c r="AA1310" s="308"/>
      <c r="AB1310" s="308"/>
      <c r="AC1310" s="486"/>
      <c r="AD1310" s="486"/>
      <c r="AE1310" s="486"/>
      <c r="AF1310" s="486"/>
      <c r="AG1310" s="486"/>
      <c r="AH1310" s="486"/>
      <c r="AI1310" s="486"/>
      <c r="AJ1310" s="486"/>
      <c r="AK1310" s="486"/>
      <c r="AL1310" s="206"/>
      <c r="AM1310" s="29"/>
      <c r="AN1310" s="29"/>
      <c r="AO1310" s="29"/>
      <c r="AP1310" s="29"/>
      <c r="AQ1310" s="29"/>
      <c r="AR1310" s="29"/>
      <c r="AS1310" s="29"/>
      <c r="AT1310" s="29"/>
      <c r="AU1310" s="29"/>
      <c r="AV1310" s="29"/>
      <c r="AW1310" s="29"/>
      <c r="AX1310" s="29"/>
      <c r="AY1310" s="29"/>
      <c r="AZ1310" s="29"/>
      <c r="BA1310" s="29"/>
      <c r="BB1310" s="29"/>
      <c r="BC1310" s="29"/>
      <c r="BD1310" s="29"/>
      <c r="BE1310" s="29"/>
      <c r="BF1310" s="29"/>
      <c r="BG1310" s="29"/>
      <c r="BH1310" s="29"/>
      <c r="BI1310" s="29"/>
      <c r="BJ1310" s="29"/>
      <c r="BK1310" s="29"/>
      <c r="BL1310" s="29"/>
      <c r="BM1310" s="29"/>
      <c r="BN1310" s="29"/>
      <c r="BO1310" s="29"/>
      <c r="BP1310" s="29"/>
      <c r="BQ1310" s="29"/>
      <c r="BR1310" s="29"/>
      <c r="BS1310" s="29"/>
      <c r="BT1310" s="29"/>
      <c r="BU1310" s="29"/>
      <c r="BV1310" s="29"/>
      <c r="BW1310" s="29"/>
      <c r="BX1310" s="29"/>
      <c r="BY1310" s="29"/>
      <c r="BZ1310" s="29"/>
      <c r="CA1310" s="29"/>
      <c r="CB1310" s="29"/>
      <c r="CC1310" s="29"/>
      <c r="CD1310" s="29"/>
      <c r="CE1310" s="29"/>
      <c r="CF1310" s="29"/>
      <c r="CG1310" s="29"/>
      <c r="CH1310" s="29"/>
      <c r="CI1310" s="29"/>
      <c r="CJ1310" s="29"/>
      <c r="CK1310" s="29"/>
      <c r="CL1310" s="29"/>
      <c r="CM1310" s="29"/>
      <c r="CN1310" s="29"/>
      <c r="CO1310" s="29"/>
      <c r="CP1310" s="29"/>
      <c r="CQ1310" s="29"/>
      <c r="CR1310" s="29"/>
      <c r="CS1310" s="29"/>
      <c r="CT1310" s="29"/>
      <c r="CU1310" s="29"/>
      <c r="CV1310" s="29"/>
      <c r="CW1310" s="29"/>
      <c r="CX1310" s="29"/>
      <c r="CY1310" s="29"/>
      <c r="CZ1310" s="29"/>
      <c r="DA1310" s="29"/>
      <c r="DB1310" s="29"/>
      <c r="DC1310" s="29"/>
      <c r="DD1310" s="29"/>
      <c r="DE1310" s="29"/>
      <c r="DF1310" s="29"/>
      <c r="DG1310" s="29"/>
      <c r="DH1310" s="29"/>
      <c r="DI1310" s="29"/>
      <c r="DJ1310" s="29"/>
      <c r="DK1310" s="29"/>
      <c r="DL1310" s="29"/>
      <c r="DM1310" s="29"/>
      <c r="DN1310" s="29"/>
      <c r="DO1310" s="29"/>
      <c r="DP1310" s="29"/>
      <c r="DQ1310" s="29"/>
      <c r="DR1310" s="29"/>
      <c r="DS1310" s="29"/>
      <c r="DT1310" s="29"/>
      <c r="DU1310" s="29"/>
      <c r="DV1310" s="29"/>
      <c r="DW1310" s="29"/>
      <c r="DX1310" s="29"/>
      <c r="DY1310" s="29"/>
      <c r="DZ1310" s="29"/>
      <c r="EA1310" s="29"/>
      <c r="EB1310" s="29"/>
      <c r="EC1310" s="29"/>
      <c r="ED1310" s="29"/>
      <c r="EE1310" s="29"/>
      <c r="EF1310" s="29"/>
      <c r="EG1310" s="29"/>
      <c r="EH1310" s="29"/>
      <c r="EI1310" s="29"/>
      <c r="EJ1310" s="29"/>
      <c r="EK1310" s="29"/>
      <c r="EL1310" s="29"/>
      <c r="EM1310" s="29"/>
      <c r="EN1310" s="29"/>
      <c r="EO1310" s="29"/>
      <c r="EP1310" s="29"/>
      <c r="EQ1310" s="29"/>
      <c r="ER1310" s="29"/>
      <c r="ES1310" s="29"/>
      <c r="ET1310" s="29"/>
      <c r="EU1310" s="29"/>
      <c r="EV1310" s="29"/>
      <c r="EW1310" s="29"/>
      <c r="EX1310" s="29"/>
      <c r="EY1310" s="29"/>
      <c r="EZ1310" s="29"/>
      <c r="FA1310" s="29"/>
      <c r="FB1310" s="29"/>
      <c r="FC1310" s="29"/>
      <c r="FD1310" s="29"/>
      <c r="FE1310" s="29"/>
      <c r="FF1310" s="29"/>
      <c r="FG1310" s="29"/>
      <c r="FH1310" s="29"/>
      <c r="FI1310" s="29"/>
      <c r="FJ1310" s="29"/>
      <c r="FK1310" s="29"/>
      <c r="FL1310" s="29"/>
      <c r="FM1310" s="29"/>
      <c r="FN1310" s="29"/>
      <c r="FO1310" s="29"/>
      <c r="FP1310" s="29"/>
      <c r="FQ1310" s="29"/>
      <c r="FR1310" s="29"/>
      <c r="FS1310" s="29"/>
      <c r="FT1310" s="29"/>
      <c r="FU1310" s="29"/>
      <c r="FV1310" s="29"/>
      <c r="FW1310" s="29"/>
      <c r="FX1310" s="29"/>
      <c r="FY1310" s="29"/>
      <c r="FZ1310" s="29"/>
      <c r="GA1310" s="29"/>
      <c r="GB1310" s="29"/>
      <c r="GC1310" s="29"/>
      <c r="GD1310" s="29"/>
      <c r="GE1310" s="29"/>
      <c r="GF1310" s="29"/>
      <c r="GG1310" s="29"/>
      <c r="GH1310" s="29"/>
      <c r="GI1310" s="29"/>
      <c r="GJ1310" s="29"/>
      <c r="GK1310" s="29"/>
      <c r="GL1310" s="29"/>
      <c r="GM1310" s="29"/>
      <c r="GN1310" s="29"/>
      <c r="GO1310" s="29"/>
      <c r="GP1310" s="29"/>
      <c r="GQ1310" s="29"/>
      <c r="GR1310" s="29"/>
      <c r="GS1310" s="29"/>
      <c r="GT1310" s="29"/>
      <c r="GU1310" s="29"/>
      <c r="GV1310" s="29"/>
      <c r="GW1310" s="29"/>
      <c r="GX1310" s="29"/>
      <c r="GY1310" s="29"/>
      <c r="GZ1310" s="29"/>
      <c r="HA1310" s="29"/>
      <c r="HB1310" s="29"/>
      <c r="HC1310" s="29"/>
      <c r="HD1310" s="29"/>
      <c r="HE1310" s="29"/>
      <c r="HF1310" s="29"/>
      <c r="HG1310" s="29"/>
      <c r="HH1310" s="29"/>
      <c r="HI1310" s="29"/>
      <c r="HJ1310" s="29"/>
      <c r="HK1310" s="29"/>
      <c r="HL1310" s="29"/>
      <c r="HM1310" s="29"/>
      <c r="HN1310" s="29"/>
      <c r="HO1310" s="29"/>
      <c r="HP1310" s="29"/>
      <c r="HQ1310" s="29"/>
      <c r="HR1310" s="29"/>
      <c r="HS1310" s="29"/>
      <c r="HT1310" s="29"/>
      <c r="HU1310" s="29"/>
      <c r="HV1310" s="29"/>
      <c r="HW1310" s="29"/>
      <c r="HX1310" s="29"/>
      <c r="HY1310" s="29"/>
      <c r="HZ1310" s="29"/>
      <c r="IA1310" s="29"/>
      <c r="IB1310" s="29"/>
      <c r="IC1310" s="29"/>
      <c r="ID1310" s="29"/>
      <c r="IE1310" s="29"/>
      <c r="IF1310" s="29"/>
      <c r="IG1310" s="29"/>
      <c r="IH1310" s="29"/>
      <c r="II1310" s="29"/>
      <c r="IJ1310" s="29"/>
      <c r="IK1310" s="29"/>
      <c r="IL1310" s="29"/>
      <c r="IM1310" s="29"/>
      <c r="IN1310" s="29"/>
      <c r="IO1310" s="29"/>
      <c r="IP1310" s="29"/>
      <c r="IQ1310" s="29"/>
      <c r="IR1310" s="29"/>
      <c r="IS1310" s="29"/>
      <c r="IT1310" s="29"/>
      <c r="IU1310" s="29"/>
      <c r="IV1310" s="29"/>
      <c r="IW1310" s="29"/>
      <c r="IX1310" s="29"/>
      <c r="IY1310" s="29"/>
      <c r="IZ1310" s="29"/>
      <c r="JA1310" s="29"/>
      <c r="JB1310" s="29"/>
      <c r="JC1310" s="29"/>
      <c r="JD1310" s="29"/>
      <c r="JE1310" s="29"/>
      <c r="JF1310" s="29"/>
      <c r="JG1310" s="29"/>
      <c r="JH1310" s="29"/>
      <c r="JI1310" s="29"/>
      <c r="JJ1310" s="29"/>
      <c r="JK1310" s="29"/>
      <c r="JL1310" s="29"/>
      <c r="JM1310" s="29"/>
      <c r="JN1310" s="29"/>
      <c r="JO1310" s="29"/>
      <c r="JP1310" s="29"/>
      <c r="JQ1310" s="29"/>
      <c r="JR1310" s="29"/>
      <c r="JS1310" s="29"/>
      <c r="JT1310" s="29"/>
      <c r="JU1310" s="29"/>
      <c r="JV1310" s="29"/>
      <c r="JW1310" s="29"/>
      <c r="JX1310" s="29"/>
      <c r="JY1310" s="29"/>
      <c r="JZ1310" s="29"/>
      <c r="KA1310" s="29"/>
      <c r="KB1310" s="29"/>
      <c r="KC1310" s="29"/>
      <c r="KD1310" s="29"/>
      <c r="KE1310" s="29"/>
      <c r="KF1310" s="29"/>
      <c r="KG1310" s="29"/>
      <c r="KH1310" s="29"/>
      <c r="KI1310" s="29"/>
      <c r="KJ1310" s="29"/>
      <c r="KK1310" s="29"/>
      <c r="KL1310" s="29"/>
      <c r="KM1310" s="29"/>
      <c r="KN1310" s="29"/>
      <c r="KO1310" s="29"/>
      <c r="KP1310" s="29"/>
      <c r="KQ1310" s="29"/>
      <c r="KR1310" s="29"/>
      <c r="KS1310" s="29"/>
      <c r="KT1310" s="29"/>
      <c r="KU1310" s="29"/>
      <c r="KV1310" s="29"/>
      <c r="KW1310" s="29"/>
      <c r="KX1310" s="29"/>
      <c r="KY1310" s="29"/>
      <c r="KZ1310" s="29"/>
      <c r="LA1310" s="29"/>
      <c r="LB1310" s="29"/>
      <c r="LC1310" s="29"/>
      <c r="LD1310" s="29"/>
      <c r="LE1310" s="29"/>
      <c r="LF1310" s="29"/>
      <c r="LG1310" s="29"/>
      <c r="LH1310" s="29"/>
      <c r="LI1310" s="29"/>
      <c r="LJ1310" s="29"/>
      <c r="LK1310" s="29"/>
      <c r="LL1310" s="29"/>
      <c r="LM1310" s="29"/>
      <c r="LN1310" s="29"/>
      <c r="LO1310" s="29"/>
      <c r="LP1310" s="29"/>
      <c r="LQ1310" s="29"/>
      <c r="LR1310" s="29"/>
      <c r="LS1310" s="29"/>
      <c r="LT1310" s="29"/>
      <c r="LU1310" s="29"/>
      <c r="LV1310" s="29"/>
      <c r="LW1310" s="29"/>
      <c r="LX1310" s="29"/>
      <c r="LY1310" s="29"/>
      <c r="LZ1310" s="29"/>
      <c r="MA1310" s="29"/>
      <c r="MB1310" s="29"/>
      <c r="MC1310" s="29"/>
      <c r="MD1310" s="29"/>
      <c r="ME1310" s="29"/>
      <c r="MF1310" s="29"/>
      <c r="MG1310" s="29"/>
      <c r="MH1310" s="29"/>
      <c r="MI1310" s="29"/>
      <c r="MJ1310" s="29"/>
      <c r="MK1310" s="29"/>
      <c r="ML1310" s="29"/>
      <c r="MM1310" s="29"/>
      <c r="MN1310" s="29"/>
      <c r="MO1310" s="29"/>
      <c r="MP1310" s="29"/>
      <c r="MQ1310" s="29"/>
      <c r="MR1310" s="29"/>
      <c r="MS1310" s="29"/>
      <c r="MT1310" s="29"/>
      <c r="MU1310" s="29"/>
      <c r="MV1310" s="29"/>
      <c r="MW1310" s="29"/>
      <c r="MX1310" s="29"/>
      <c r="MY1310" s="29"/>
      <c r="MZ1310" s="29"/>
      <c r="NA1310" s="29"/>
      <c r="NB1310" s="29"/>
      <c r="NC1310" s="29"/>
      <c r="ND1310" s="29"/>
      <c r="NE1310" s="29"/>
      <c r="NF1310" s="29"/>
      <c r="NG1310" s="29"/>
      <c r="NH1310" s="29"/>
      <c r="NI1310" s="29"/>
      <c r="NJ1310" s="29"/>
      <c r="NK1310" s="29"/>
      <c r="NL1310" s="29"/>
      <c r="NM1310" s="29"/>
      <c r="NN1310" s="29"/>
      <c r="NO1310" s="29"/>
      <c r="NP1310" s="29"/>
      <c r="NQ1310" s="29"/>
      <c r="NR1310" s="29"/>
      <c r="NS1310" s="29"/>
      <c r="NT1310" s="29"/>
      <c r="NU1310" s="29"/>
      <c r="NV1310" s="29"/>
      <c r="NW1310" s="29"/>
      <c r="NX1310" s="29"/>
      <c r="NY1310" s="29"/>
      <c r="NZ1310" s="29"/>
      <c r="OA1310" s="29"/>
      <c r="OB1310" s="29"/>
      <c r="OC1310" s="29"/>
      <c r="OD1310" s="29"/>
      <c r="OE1310" s="29"/>
      <c r="OF1310" s="29"/>
      <c r="OG1310" s="29"/>
      <c r="OH1310" s="29"/>
      <c r="OI1310" s="29"/>
      <c r="OJ1310" s="29"/>
      <c r="OK1310" s="29"/>
      <c r="OL1310" s="29"/>
      <c r="OM1310" s="29"/>
      <c r="ON1310" s="29"/>
      <c r="OO1310" s="29"/>
      <c r="OP1310" s="29"/>
      <c r="OQ1310" s="29"/>
      <c r="OR1310" s="29"/>
      <c r="OS1310" s="29"/>
      <c r="OT1310" s="29"/>
      <c r="OU1310" s="29"/>
      <c r="OV1310" s="29"/>
      <c r="OW1310" s="29"/>
      <c r="OX1310" s="29"/>
      <c r="OY1310" s="29"/>
      <c r="OZ1310" s="29"/>
      <c r="PA1310" s="29"/>
      <c r="PB1310" s="29"/>
      <c r="PC1310" s="29"/>
      <c r="PD1310" s="29"/>
      <c r="PE1310" s="29"/>
      <c r="PF1310" s="29"/>
      <c r="PG1310" s="29"/>
      <c r="PH1310" s="29"/>
      <c r="PI1310" s="29"/>
      <c r="PJ1310" s="29"/>
      <c r="PK1310" s="29"/>
      <c r="PL1310" s="29"/>
      <c r="PM1310" s="29"/>
      <c r="PN1310" s="29"/>
      <c r="PO1310" s="29"/>
      <c r="PP1310" s="29"/>
      <c r="PQ1310" s="29"/>
      <c r="PR1310" s="29"/>
      <c r="PS1310" s="29"/>
      <c r="PT1310" s="29"/>
      <c r="PU1310" s="29"/>
      <c r="PV1310" s="29"/>
      <c r="PW1310" s="29"/>
      <c r="PX1310" s="29"/>
      <c r="PY1310" s="29"/>
      <c r="PZ1310" s="29"/>
      <c r="QA1310" s="29"/>
      <c r="QB1310" s="29"/>
      <c r="QC1310" s="29"/>
      <c r="QD1310" s="29"/>
      <c r="QE1310" s="29"/>
      <c r="QF1310" s="29"/>
      <c r="QG1310" s="29"/>
      <c r="QH1310" s="29"/>
      <c r="QI1310" s="29"/>
      <c r="QJ1310" s="29"/>
      <c r="QK1310" s="29"/>
      <c r="QL1310" s="29"/>
      <c r="QM1310" s="29"/>
      <c r="QN1310" s="29"/>
      <c r="QO1310" s="29"/>
      <c r="QP1310" s="29"/>
      <c r="QQ1310" s="29"/>
      <c r="QR1310" s="29"/>
      <c r="QS1310" s="29"/>
      <c r="QT1310" s="29"/>
      <c r="QU1310" s="29"/>
      <c r="QV1310" s="29"/>
      <c r="QW1310" s="29"/>
      <c r="QX1310" s="29"/>
      <c r="QY1310" s="29"/>
      <c r="QZ1310" s="29"/>
      <c r="RA1310" s="29"/>
      <c r="RB1310" s="29"/>
      <c r="RC1310" s="29"/>
      <c r="RD1310" s="29"/>
      <c r="RE1310" s="29"/>
      <c r="RF1310" s="29"/>
      <c r="RG1310" s="29"/>
      <c r="RH1310" s="29"/>
      <c r="RI1310" s="29"/>
      <c r="RJ1310" s="29"/>
      <c r="RK1310" s="29"/>
      <c r="RL1310" s="29"/>
      <c r="RM1310" s="29"/>
      <c r="RN1310" s="29"/>
      <c r="RO1310" s="29"/>
      <c r="RP1310" s="29"/>
      <c r="RQ1310" s="29"/>
      <c r="RR1310" s="29"/>
      <c r="RS1310" s="29"/>
      <c r="RT1310" s="29"/>
      <c r="RU1310" s="29"/>
      <c r="RV1310" s="29"/>
      <c r="RW1310" s="29"/>
      <c r="RX1310" s="29"/>
      <c r="RY1310" s="29"/>
      <c r="RZ1310" s="29"/>
      <c r="SA1310" s="29"/>
      <c r="SB1310" s="29"/>
      <c r="SC1310" s="29"/>
      <c r="SD1310" s="29"/>
      <c r="SE1310" s="29"/>
      <c r="SF1310" s="29"/>
      <c r="SG1310" s="29"/>
      <c r="SH1310" s="29"/>
      <c r="SI1310" s="29"/>
      <c r="SJ1310" s="29"/>
      <c r="SK1310" s="29"/>
      <c r="SL1310" s="29"/>
      <c r="SM1310" s="29"/>
      <c r="SN1310" s="29"/>
      <c r="SO1310" s="29"/>
      <c r="SP1310" s="29"/>
      <c r="SQ1310" s="29"/>
      <c r="SR1310" s="29"/>
      <c r="SS1310" s="29"/>
      <c r="ST1310" s="29"/>
      <c r="SU1310" s="29"/>
      <c r="SV1310" s="29"/>
      <c r="SW1310" s="29"/>
      <c r="SX1310" s="29"/>
      <c r="SY1310" s="29"/>
      <c r="SZ1310" s="29"/>
      <c r="TA1310" s="29"/>
      <c r="TB1310" s="29"/>
      <c r="TC1310" s="29"/>
      <c r="TD1310" s="29"/>
      <c r="TE1310" s="29"/>
      <c r="TF1310" s="29"/>
      <c r="TG1310" s="29"/>
      <c r="TH1310" s="29"/>
      <c r="TI1310" s="29"/>
      <c r="TJ1310" s="29"/>
      <c r="TK1310" s="29"/>
      <c r="TL1310" s="29"/>
      <c r="TM1310" s="29"/>
      <c r="TN1310" s="29"/>
      <c r="TO1310" s="29"/>
      <c r="TP1310" s="29"/>
      <c r="TQ1310" s="29"/>
      <c r="TR1310" s="29"/>
      <c r="TS1310" s="29"/>
      <c r="TT1310" s="29"/>
      <c r="TU1310" s="29"/>
      <c r="TV1310" s="29"/>
      <c r="TW1310" s="29"/>
      <c r="TX1310" s="29"/>
      <c r="TY1310" s="29"/>
      <c r="TZ1310" s="29"/>
      <c r="UA1310" s="29"/>
      <c r="UB1310" s="29"/>
      <c r="UC1310" s="29"/>
      <c r="UD1310" s="29"/>
      <c r="UE1310" s="29"/>
      <c r="UF1310" s="29"/>
      <c r="UG1310" s="29"/>
    </row>
    <row r="1311" spans="1:553" ht="32.5" customHeight="1">
      <c r="A1311" s="356" t="s">
        <v>17</v>
      </c>
      <c r="B1311" s="356"/>
      <c r="C1311" s="1404" t="s">
        <v>18</v>
      </c>
      <c r="D1311" s="1389"/>
      <c r="E1311" s="1389"/>
      <c r="F1311" s="1390"/>
      <c r="G1311" s="356" t="s">
        <v>1393</v>
      </c>
      <c r="H1311" s="359">
        <f>SUM(H1312:H1320)</f>
        <v>6384.0999999999995</v>
      </c>
      <c r="I1311" s="359">
        <f>SUM(I1312:I1320)</f>
        <v>3824.1000000000004</v>
      </c>
      <c r="J1311" s="368"/>
      <c r="K1311" s="371"/>
      <c r="L1311" s="1199">
        <f>SUM(L1312:L1320)</f>
        <v>231896900</v>
      </c>
      <c r="M1311" s="356"/>
      <c r="N1311" s="356"/>
      <c r="O1311" s="356"/>
      <c r="P1311" s="356">
        <f>L1311</f>
        <v>231896900</v>
      </c>
      <c r="Q1311" s="1159"/>
      <c r="R1311" s="1226"/>
      <c r="S1311" s="308"/>
      <c r="T1311" s="308"/>
      <c r="U1311" s="308"/>
      <c r="V1311" s="308"/>
      <c r="W1311" s="308"/>
      <c r="X1311" s="308"/>
      <c r="Y1311" s="308"/>
      <c r="Z1311" s="604"/>
      <c r="AA1311" s="308"/>
      <c r="AB1311" s="308"/>
      <c r="AC1311" s="486"/>
      <c r="AD1311" s="486"/>
      <c r="AE1311" s="486"/>
      <c r="AF1311" s="486"/>
      <c r="AG1311" s="486"/>
      <c r="AH1311" s="486"/>
      <c r="AI1311" s="486"/>
      <c r="AJ1311" s="486"/>
      <c r="AK1311" s="486"/>
      <c r="AL1311" s="206"/>
      <c r="AM1311" s="29"/>
      <c r="AN1311" s="29"/>
      <c r="AO1311" s="29"/>
      <c r="AP1311" s="29"/>
      <c r="AQ1311" s="29"/>
      <c r="AR1311" s="29"/>
      <c r="AS1311" s="29"/>
      <c r="AT1311" s="29"/>
      <c r="AU1311" s="29"/>
      <c r="AV1311" s="29"/>
      <c r="AW1311" s="29"/>
      <c r="AX1311" s="29"/>
      <c r="AY1311" s="29"/>
      <c r="AZ1311" s="29"/>
      <c r="BA1311" s="29"/>
      <c r="BB1311" s="29"/>
      <c r="BC1311" s="29"/>
      <c r="BD1311" s="29"/>
      <c r="BE1311" s="29"/>
      <c r="BF1311" s="29"/>
      <c r="BG1311" s="29"/>
      <c r="BH1311" s="29"/>
      <c r="BI1311" s="29"/>
      <c r="BJ1311" s="29"/>
      <c r="BK1311" s="29"/>
      <c r="BL1311" s="29"/>
      <c r="BM1311" s="29"/>
      <c r="BN1311" s="29"/>
      <c r="BO1311" s="29"/>
      <c r="BP1311" s="29"/>
      <c r="BQ1311" s="29"/>
      <c r="BR1311" s="29"/>
      <c r="BS1311" s="29"/>
      <c r="BT1311" s="29"/>
      <c r="BU1311" s="29"/>
      <c r="BV1311" s="29"/>
      <c r="BW1311" s="29"/>
      <c r="BX1311" s="29"/>
      <c r="BY1311" s="29"/>
      <c r="BZ1311" s="29"/>
      <c r="CA1311" s="29"/>
      <c r="CB1311" s="29"/>
      <c r="CC1311" s="29"/>
      <c r="CD1311" s="29"/>
      <c r="CE1311" s="29"/>
      <c r="CF1311" s="29"/>
      <c r="CG1311" s="29"/>
      <c r="CH1311" s="29"/>
      <c r="CI1311" s="29"/>
      <c r="CJ1311" s="29"/>
      <c r="CK1311" s="29"/>
      <c r="CL1311" s="29"/>
      <c r="CM1311" s="29"/>
      <c r="CN1311" s="29"/>
      <c r="CO1311" s="29"/>
      <c r="CP1311" s="29"/>
      <c r="CQ1311" s="29"/>
      <c r="CR1311" s="29"/>
      <c r="CS1311" s="29"/>
      <c r="CT1311" s="29"/>
      <c r="CU1311" s="29"/>
      <c r="CV1311" s="29"/>
      <c r="CW1311" s="29"/>
      <c r="CX1311" s="29"/>
      <c r="CY1311" s="29"/>
      <c r="CZ1311" s="29"/>
      <c r="DA1311" s="29"/>
      <c r="DB1311" s="29"/>
      <c r="DC1311" s="29"/>
      <c r="DD1311" s="29"/>
      <c r="DE1311" s="29"/>
      <c r="DF1311" s="29"/>
      <c r="DG1311" s="29"/>
      <c r="DH1311" s="29"/>
      <c r="DI1311" s="29"/>
      <c r="DJ1311" s="29"/>
      <c r="DK1311" s="29"/>
      <c r="DL1311" s="29"/>
      <c r="DM1311" s="29"/>
      <c r="DN1311" s="29"/>
      <c r="DO1311" s="29"/>
      <c r="DP1311" s="29"/>
      <c r="DQ1311" s="29"/>
      <c r="DR1311" s="29"/>
      <c r="DS1311" s="29"/>
      <c r="DT1311" s="29"/>
      <c r="DU1311" s="29"/>
      <c r="DV1311" s="29"/>
      <c r="DW1311" s="29"/>
      <c r="DX1311" s="29"/>
      <c r="DY1311" s="29"/>
      <c r="DZ1311" s="29"/>
      <c r="EA1311" s="29"/>
      <c r="EB1311" s="29"/>
      <c r="EC1311" s="29"/>
      <c r="ED1311" s="29"/>
      <c r="EE1311" s="29"/>
      <c r="EF1311" s="29"/>
      <c r="EG1311" s="29"/>
      <c r="EH1311" s="29"/>
      <c r="EI1311" s="29"/>
      <c r="EJ1311" s="29"/>
      <c r="EK1311" s="29"/>
      <c r="EL1311" s="29"/>
      <c r="EM1311" s="29"/>
      <c r="EN1311" s="29"/>
      <c r="EO1311" s="29"/>
      <c r="EP1311" s="29"/>
      <c r="EQ1311" s="29"/>
      <c r="ER1311" s="29"/>
      <c r="ES1311" s="29"/>
      <c r="ET1311" s="29"/>
      <c r="EU1311" s="29"/>
      <c r="EV1311" s="29"/>
      <c r="EW1311" s="29"/>
      <c r="EX1311" s="29"/>
      <c r="EY1311" s="29"/>
      <c r="EZ1311" s="29"/>
      <c r="FA1311" s="29"/>
      <c r="FB1311" s="29"/>
      <c r="FC1311" s="29"/>
      <c r="FD1311" s="29"/>
      <c r="FE1311" s="29"/>
      <c r="FF1311" s="29"/>
      <c r="FG1311" s="29"/>
      <c r="FH1311" s="29"/>
      <c r="FI1311" s="29"/>
      <c r="FJ1311" s="29"/>
      <c r="FK1311" s="29"/>
      <c r="FL1311" s="29"/>
      <c r="FM1311" s="29"/>
      <c r="FN1311" s="29"/>
      <c r="FO1311" s="29"/>
      <c r="FP1311" s="29"/>
      <c r="FQ1311" s="29"/>
      <c r="FR1311" s="29"/>
      <c r="FS1311" s="29"/>
      <c r="FT1311" s="29"/>
      <c r="FU1311" s="29"/>
      <c r="FV1311" s="29"/>
      <c r="FW1311" s="29"/>
      <c r="FX1311" s="29"/>
      <c r="FY1311" s="29"/>
      <c r="FZ1311" s="29"/>
      <c r="GA1311" s="29"/>
      <c r="GB1311" s="29"/>
      <c r="GC1311" s="29"/>
      <c r="GD1311" s="29"/>
      <c r="GE1311" s="29"/>
      <c r="GF1311" s="29"/>
      <c r="GG1311" s="29"/>
      <c r="GH1311" s="29"/>
      <c r="GI1311" s="29"/>
      <c r="GJ1311" s="29"/>
      <c r="GK1311" s="29"/>
      <c r="GL1311" s="29"/>
      <c r="GM1311" s="29"/>
      <c r="GN1311" s="29"/>
      <c r="GO1311" s="29"/>
      <c r="GP1311" s="29"/>
      <c r="GQ1311" s="29"/>
      <c r="GR1311" s="29"/>
      <c r="GS1311" s="29"/>
      <c r="GT1311" s="29"/>
      <c r="GU1311" s="29"/>
      <c r="GV1311" s="29"/>
      <c r="GW1311" s="29"/>
      <c r="GX1311" s="29"/>
      <c r="GY1311" s="29"/>
      <c r="GZ1311" s="29"/>
      <c r="HA1311" s="29"/>
      <c r="HB1311" s="29"/>
      <c r="HC1311" s="29"/>
      <c r="HD1311" s="29"/>
      <c r="HE1311" s="29"/>
      <c r="HF1311" s="29"/>
      <c r="HG1311" s="29"/>
      <c r="HH1311" s="29"/>
      <c r="HI1311" s="29"/>
      <c r="HJ1311" s="29"/>
      <c r="HK1311" s="29"/>
      <c r="HL1311" s="29"/>
      <c r="HM1311" s="29"/>
      <c r="HN1311" s="29"/>
      <c r="HO1311" s="29"/>
      <c r="HP1311" s="29"/>
      <c r="HQ1311" s="29"/>
      <c r="HR1311" s="29"/>
      <c r="HS1311" s="29"/>
      <c r="HT1311" s="29"/>
      <c r="HU1311" s="29"/>
      <c r="HV1311" s="29"/>
      <c r="HW1311" s="29"/>
      <c r="HX1311" s="29"/>
      <c r="HY1311" s="29"/>
      <c r="HZ1311" s="29"/>
      <c r="IA1311" s="29"/>
      <c r="IB1311" s="29"/>
      <c r="IC1311" s="29"/>
      <c r="ID1311" s="29"/>
      <c r="IE1311" s="29"/>
      <c r="IF1311" s="29"/>
      <c r="IG1311" s="29"/>
      <c r="IH1311" s="29"/>
      <c r="II1311" s="29"/>
      <c r="IJ1311" s="29"/>
      <c r="IK1311" s="29"/>
      <c r="IL1311" s="29"/>
      <c r="IM1311" s="29"/>
      <c r="IN1311" s="29"/>
      <c r="IO1311" s="29"/>
      <c r="IP1311" s="29"/>
      <c r="IQ1311" s="29"/>
      <c r="IR1311" s="29"/>
      <c r="IS1311" s="29"/>
      <c r="IT1311" s="29"/>
      <c r="IU1311" s="29"/>
      <c r="IV1311" s="29"/>
      <c r="IW1311" s="29"/>
      <c r="IX1311" s="29"/>
      <c r="IY1311" s="29"/>
      <c r="IZ1311" s="29"/>
      <c r="JA1311" s="29"/>
      <c r="JB1311" s="29"/>
      <c r="JC1311" s="29"/>
      <c r="JD1311" s="29"/>
      <c r="JE1311" s="29"/>
      <c r="JF1311" s="29"/>
      <c r="JG1311" s="29"/>
      <c r="JH1311" s="29"/>
      <c r="JI1311" s="29"/>
      <c r="JJ1311" s="29"/>
      <c r="JK1311" s="29"/>
      <c r="JL1311" s="29"/>
      <c r="JM1311" s="29"/>
      <c r="JN1311" s="29"/>
      <c r="JO1311" s="29"/>
      <c r="JP1311" s="29"/>
      <c r="JQ1311" s="29"/>
      <c r="JR1311" s="29"/>
      <c r="JS1311" s="29"/>
      <c r="JT1311" s="29"/>
      <c r="JU1311" s="29"/>
      <c r="JV1311" s="29"/>
      <c r="JW1311" s="29"/>
      <c r="JX1311" s="29"/>
      <c r="JY1311" s="29"/>
      <c r="JZ1311" s="29"/>
      <c r="KA1311" s="29"/>
      <c r="KB1311" s="29"/>
      <c r="KC1311" s="29"/>
      <c r="KD1311" s="29"/>
      <c r="KE1311" s="29"/>
      <c r="KF1311" s="29"/>
      <c r="KG1311" s="29"/>
      <c r="KH1311" s="29"/>
      <c r="KI1311" s="29"/>
      <c r="KJ1311" s="29"/>
      <c r="KK1311" s="29"/>
      <c r="KL1311" s="29"/>
      <c r="KM1311" s="29"/>
      <c r="KN1311" s="29"/>
      <c r="KO1311" s="29"/>
      <c r="KP1311" s="29"/>
      <c r="KQ1311" s="29"/>
      <c r="KR1311" s="29"/>
      <c r="KS1311" s="29"/>
      <c r="KT1311" s="29"/>
      <c r="KU1311" s="29"/>
      <c r="KV1311" s="29"/>
      <c r="KW1311" s="29"/>
      <c r="KX1311" s="29"/>
      <c r="KY1311" s="29"/>
      <c r="KZ1311" s="29"/>
      <c r="LA1311" s="29"/>
      <c r="LB1311" s="29"/>
      <c r="LC1311" s="29"/>
      <c r="LD1311" s="29"/>
      <c r="LE1311" s="29"/>
      <c r="LF1311" s="29"/>
      <c r="LG1311" s="29"/>
      <c r="LH1311" s="29"/>
      <c r="LI1311" s="29"/>
      <c r="LJ1311" s="29"/>
      <c r="LK1311" s="29"/>
      <c r="LL1311" s="29"/>
      <c r="LM1311" s="29"/>
      <c r="LN1311" s="29"/>
      <c r="LO1311" s="29"/>
      <c r="LP1311" s="29"/>
      <c r="LQ1311" s="29"/>
      <c r="LR1311" s="29"/>
      <c r="LS1311" s="29"/>
      <c r="LT1311" s="29"/>
      <c r="LU1311" s="29"/>
      <c r="LV1311" s="29"/>
      <c r="LW1311" s="29"/>
      <c r="LX1311" s="29"/>
      <c r="LY1311" s="29"/>
      <c r="LZ1311" s="29"/>
      <c r="MA1311" s="29"/>
      <c r="MB1311" s="29"/>
      <c r="MC1311" s="29"/>
      <c r="MD1311" s="29"/>
      <c r="ME1311" s="29"/>
      <c r="MF1311" s="29"/>
      <c r="MG1311" s="29"/>
      <c r="MH1311" s="29"/>
      <c r="MI1311" s="29"/>
      <c r="MJ1311" s="29"/>
      <c r="MK1311" s="29"/>
      <c r="ML1311" s="29"/>
      <c r="MM1311" s="29"/>
      <c r="MN1311" s="29"/>
      <c r="MO1311" s="29"/>
      <c r="MP1311" s="29"/>
      <c r="MQ1311" s="29"/>
      <c r="MR1311" s="29"/>
      <c r="MS1311" s="29"/>
      <c r="MT1311" s="29"/>
      <c r="MU1311" s="29"/>
      <c r="MV1311" s="29"/>
      <c r="MW1311" s="29"/>
      <c r="MX1311" s="29"/>
      <c r="MY1311" s="29"/>
      <c r="MZ1311" s="29"/>
      <c r="NA1311" s="29"/>
      <c r="NB1311" s="29"/>
      <c r="NC1311" s="29"/>
      <c r="ND1311" s="29"/>
      <c r="NE1311" s="29"/>
      <c r="NF1311" s="29"/>
      <c r="NG1311" s="29"/>
      <c r="NH1311" s="29"/>
      <c r="NI1311" s="29"/>
      <c r="NJ1311" s="29"/>
      <c r="NK1311" s="29"/>
      <c r="NL1311" s="29"/>
      <c r="NM1311" s="29"/>
      <c r="NN1311" s="29"/>
      <c r="NO1311" s="29"/>
      <c r="NP1311" s="29"/>
      <c r="NQ1311" s="29"/>
      <c r="NR1311" s="29"/>
      <c r="NS1311" s="29"/>
      <c r="NT1311" s="29"/>
      <c r="NU1311" s="29"/>
      <c r="NV1311" s="29"/>
      <c r="NW1311" s="29"/>
      <c r="NX1311" s="29"/>
      <c r="NY1311" s="29"/>
      <c r="NZ1311" s="29"/>
      <c r="OA1311" s="29"/>
      <c r="OB1311" s="29"/>
      <c r="OC1311" s="29"/>
      <c r="OD1311" s="29"/>
      <c r="OE1311" s="29"/>
      <c r="OF1311" s="29"/>
      <c r="OG1311" s="29"/>
      <c r="OH1311" s="29"/>
      <c r="OI1311" s="29"/>
      <c r="OJ1311" s="29"/>
      <c r="OK1311" s="29"/>
      <c r="OL1311" s="29"/>
      <c r="OM1311" s="29"/>
      <c r="ON1311" s="29"/>
      <c r="OO1311" s="29"/>
      <c r="OP1311" s="29"/>
      <c r="OQ1311" s="29"/>
      <c r="OR1311" s="29"/>
      <c r="OS1311" s="29"/>
      <c r="OT1311" s="29"/>
      <c r="OU1311" s="29"/>
      <c r="OV1311" s="29"/>
      <c r="OW1311" s="29"/>
      <c r="OX1311" s="29"/>
      <c r="OY1311" s="29"/>
      <c r="OZ1311" s="29"/>
      <c r="PA1311" s="29"/>
      <c r="PB1311" s="29"/>
      <c r="PC1311" s="29"/>
      <c r="PD1311" s="29"/>
      <c r="PE1311" s="29"/>
      <c r="PF1311" s="29"/>
      <c r="PG1311" s="29"/>
      <c r="PH1311" s="29"/>
      <c r="PI1311" s="29"/>
      <c r="PJ1311" s="29"/>
      <c r="PK1311" s="29"/>
      <c r="PL1311" s="29"/>
      <c r="PM1311" s="29"/>
      <c r="PN1311" s="29"/>
      <c r="PO1311" s="29"/>
      <c r="PP1311" s="29"/>
      <c r="PQ1311" s="29"/>
      <c r="PR1311" s="29"/>
      <c r="PS1311" s="29"/>
      <c r="PT1311" s="29"/>
      <c r="PU1311" s="29"/>
      <c r="PV1311" s="29"/>
      <c r="PW1311" s="29"/>
      <c r="PX1311" s="29"/>
      <c r="PY1311" s="29"/>
      <c r="PZ1311" s="29"/>
      <c r="QA1311" s="29"/>
      <c r="QB1311" s="29"/>
      <c r="QC1311" s="29"/>
      <c r="QD1311" s="29"/>
      <c r="QE1311" s="29"/>
      <c r="QF1311" s="29"/>
      <c r="QG1311" s="29"/>
      <c r="QH1311" s="29"/>
      <c r="QI1311" s="29"/>
      <c r="QJ1311" s="29"/>
      <c r="QK1311" s="29"/>
      <c r="QL1311" s="29"/>
      <c r="QM1311" s="29"/>
      <c r="QN1311" s="29"/>
      <c r="QO1311" s="29"/>
      <c r="QP1311" s="29"/>
      <c r="QQ1311" s="29"/>
      <c r="QR1311" s="29"/>
      <c r="QS1311" s="29"/>
      <c r="QT1311" s="29"/>
      <c r="QU1311" s="29"/>
      <c r="QV1311" s="29"/>
      <c r="QW1311" s="29"/>
      <c r="QX1311" s="29"/>
      <c r="QY1311" s="29"/>
      <c r="QZ1311" s="29"/>
      <c r="RA1311" s="29"/>
      <c r="RB1311" s="29"/>
      <c r="RC1311" s="29"/>
      <c r="RD1311" s="29"/>
      <c r="RE1311" s="29"/>
      <c r="RF1311" s="29"/>
      <c r="RG1311" s="29"/>
      <c r="RH1311" s="29"/>
      <c r="RI1311" s="29"/>
      <c r="RJ1311" s="29"/>
      <c r="RK1311" s="29"/>
      <c r="RL1311" s="29"/>
      <c r="RM1311" s="29"/>
      <c r="RN1311" s="29"/>
      <c r="RO1311" s="29"/>
      <c r="RP1311" s="29"/>
      <c r="RQ1311" s="29"/>
      <c r="RR1311" s="29"/>
      <c r="RS1311" s="29"/>
      <c r="RT1311" s="29"/>
      <c r="RU1311" s="29"/>
      <c r="RV1311" s="29"/>
      <c r="RW1311" s="29"/>
      <c r="RX1311" s="29"/>
      <c r="RY1311" s="29"/>
      <c r="RZ1311" s="29"/>
      <c r="SA1311" s="29"/>
      <c r="SB1311" s="29"/>
      <c r="SC1311" s="29"/>
      <c r="SD1311" s="29"/>
      <c r="SE1311" s="29"/>
      <c r="SF1311" s="29"/>
      <c r="SG1311" s="29"/>
      <c r="SH1311" s="29"/>
      <c r="SI1311" s="29"/>
      <c r="SJ1311" s="29"/>
      <c r="SK1311" s="29"/>
      <c r="SL1311" s="29"/>
      <c r="SM1311" s="29"/>
      <c r="SN1311" s="29"/>
      <c r="SO1311" s="29"/>
      <c r="SP1311" s="29"/>
      <c r="SQ1311" s="29"/>
      <c r="SR1311" s="29"/>
      <c r="SS1311" s="29"/>
      <c r="ST1311" s="29"/>
      <c r="SU1311" s="29"/>
      <c r="SV1311" s="29"/>
      <c r="SW1311" s="29"/>
      <c r="SX1311" s="29"/>
      <c r="SY1311" s="29"/>
      <c r="SZ1311" s="29"/>
      <c r="TA1311" s="29"/>
      <c r="TB1311" s="29"/>
      <c r="TC1311" s="29"/>
      <c r="TD1311" s="29"/>
      <c r="TE1311" s="29"/>
      <c r="TF1311" s="29"/>
      <c r="TG1311" s="29"/>
      <c r="TH1311" s="29"/>
      <c r="TI1311" s="29"/>
      <c r="TJ1311" s="29"/>
      <c r="TK1311" s="29"/>
      <c r="TL1311" s="29"/>
      <c r="TM1311" s="29"/>
      <c r="TN1311" s="29"/>
      <c r="TO1311" s="29"/>
      <c r="TP1311" s="29"/>
      <c r="TQ1311" s="29"/>
      <c r="TR1311" s="29"/>
      <c r="TS1311" s="29"/>
      <c r="TT1311" s="29"/>
      <c r="TU1311" s="29"/>
      <c r="TV1311" s="29"/>
      <c r="TW1311" s="29"/>
      <c r="TX1311" s="29"/>
      <c r="TY1311" s="29"/>
      <c r="TZ1311" s="29"/>
      <c r="UA1311" s="29"/>
      <c r="UB1311" s="29"/>
      <c r="UC1311" s="29"/>
      <c r="UD1311" s="29"/>
      <c r="UE1311" s="29"/>
      <c r="UF1311" s="29"/>
      <c r="UG1311" s="29"/>
    </row>
    <row r="1312" spans="1:553" s="169" customFormat="1" ht="151.5" customHeight="1">
      <c r="A1312" s="356" t="s">
        <v>15</v>
      </c>
      <c r="B1312" s="356"/>
      <c r="C1312" s="390" t="s">
        <v>22</v>
      </c>
      <c r="D1312" s="376">
        <v>1</v>
      </c>
      <c r="E1312" s="376">
        <v>460</v>
      </c>
      <c r="F1312" s="417">
        <v>1</v>
      </c>
      <c r="G1312" s="386" t="s">
        <v>935</v>
      </c>
      <c r="H1312" s="441">
        <v>3079.5</v>
      </c>
      <c r="I1312" s="490">
        <v>681.1</v>
      </c>
      <c r="J1312" s="368">
        <v>60000</v>
      </c>
      <c r="K1312" s="388"/>
      <c r="L1312" s="480">
        <f t="shared" ref="L1312:L1320" si="198">PRODUCT(I1312:K1312)</f>
        <v>40866000</v>
      </c>
      <c r="M1312" s="366"/>
      <c r="N1312" s="366"/>
      <c r="O1312" s="366"/>
      <c r="P1312" s="366"/>
      <c r="Q1312" s="1252" t="s">
        <v>710</v>
      </c>
      <c r="R1312" s="1168" t="s">
        <v>931</v>
      </c>
      <c r="S1312" s="308"/>
      <c r="T1312" s="308"/>
      <c r="U1312" s="308"/>
      <c r="V1312" s="308"/>
      <c r="W1312" s="308"/>
      <c r="X1312" s="308"/>
      <c r="Y1312" s="308"/>
      <c r="Z1312" s="604"/>
      <c r="AA1312" s="308"/>
      <c r="AB1312" s="685">
        <f>I1312</f>
        <v>681.1</v>
      </c>
      <c r="AC1312" s="486"/>
      <c r="AD1312" s="486"/>
      <c r="AE1312" s="486"/>
      <c r="AF1312" s="486"/>
      <c r="AG1312" s="486"/>
      <c r="AH1312" s="486"/>
      <c r="AI1312" s="486"/>
      <c r="AJ1312" s="486"/>
      <c r="AK1312" s="486"/>
      <c r="AL1312" s="334"/>
      <c r="AM1312" s="210"/>
      <c r="AN1312" s="210"/>
      <c r="AO1312" s="210"/>
      <c r="AP1312" s="210"/>
      <c r="AQ1312" s="210"/>
      <c r="AR1312" s="210"/>
      <c r="AS1312" s="210"/>
      <c r="AT1312" s="210"/>
      <c r="AU1312" s="210"/>
      <c r="AV1312" s="210"/>
      <c r="AW1312" s="210"/>
      <c r="AX1312" s="210"/>
      <c r="AY1312" s="210"/>
      <c r="AZ1312" s="210"/>
      <c r="BA1312" s="210"/>
      <c r="BB1312" s="210"/>
      <c r="BC1312" s="210"/>
      <c r="BD1312" s="210"/>
      <c r="BE1312" s="210"/>
      <c r="BF1312" s="210"/>
      <c r="BG1312" s="210"/>
      <c r="BH1312" s="210"/>
      <c r="BI1312" s="210"/>
      <c r="BJ1312" s="210"/>
      <c r="BK1312" s="210"/>
      <c r="BL1312" s="210"/>
      <c r="BM1312" s="210"/>
      <c r="BN1312" s="210"/>
      <c r="BO1312" s="210"/>
      <c r="BP1312" s="210"/>
      <c r="BQ1312" s="210"/>
      <c r="BR1312" s="210"/>
      <c r="BS1312" s="210"/>
      <c r="BT1312" s="210"/>
      <c r="BU1312" s="210"/>
      <c r="BV1312" s="210"/>
      <c r="BW1312" s="210"/>
      <c r="BX1312" s="210"/>
      <c r="BY1312" s="210"/>
      <c r="BZ1312" s="210"/>
      <c r="CA1312" s="210"/>
      <c r="CB1312" s="210"/>
      <c r="CC1312" s="210"/>
      <c r="CD1312" s="210"/>
      <c r="CE1312" s="210"/>
      <c r="CF1312" s="210"/>
      <c r="CG1312" s="210"/>
      <c r="CH1312" s="210"/>
      <c r="CI1312" s="210"/>
      <c r="CJ1312" s="210"/>
      <c r="CK1312" s="210"/>
      <c r="CL1312" s="210"/>
      <c r="CM1312" s="210"/>
      <c r="CN1312" s="210"/>
      <c r="CO1312" s="210"/>
      <c r="CP1312" s="210"/>
      <c r="CQ1312" s="210"/>
      <c r="CR1312" s="210"/>
      <c r="CS1312" s="210"/>
      <c r="CT1312" s="210"/>
      <c r="CU1312" s="210"/>
      <c r="CV1312" s="210"/>
      <c r="CW1312" s="210"/>
      <c r="CX1312" s="210"/>
      <c r="CY1312" s="210"/>
      <c r="CZ1312" s="210"/>
      <c r="DA1312" s="210"/>
      <c r="DB1312" s="210"/>
      <c r="DC1312" s="210"/>
      <c r="DD1312" s="210"/>
      <c r="DE1312" s="210"/>
      <c r="DF1312" s="210"/>
      <c r="DG1312" s="210"/>
      <c r="DH1312" s="210"/>
      <c r="DI1312" s="210"/>
      <c r="DJ1312" s="210"/>
      <c r="DK1312" s="210"/>
      <c r="DL1312" s="210"/>
      <c r="DM1312" s="210"/>
      <c r="DN1312" s="210"/>
      <c r="DO1312" s="210"/>
      <c r="DP1312" s="210"/>
      <c r="DQ1312" s="210"/>
      <c r="DR1312" s="210"/>
      <c r="DS1312" s="210"/>
      <c r="DT1312" s="210"/>
      <c r="DU1312" s="210"/>
      <c r="DV1312" s="210"/>
      <c r="DW1312" s="210"/>
      <c r="DX1312" s="210"/>
      <c r="DY1312" s="210"/>
      <c r="DZ1312" s="210"/>
      <c r="EA1312" s="210"/>
      <c r="EB1312" s="210"/>
      <c r="EC1312" s="210"/>
      <c r="ED1312" s="210"/>
      <c r="EE1312" s="210"/>
      <c r="EF1312" s="210"/>
      <c r="EG1312" s="210"/>
      <c r="EH1312" s="210"/>
      <c r="EI1312" s="210"/>
      <c r="EJ1312" s="210"/>
      <c r="EK1312" s="210"/>
      <c r="EL1312" s="210"/>
      <c r="EM1312" s="210"/>
      <c r="EN1312" s="210"/>
      <c r="EO1312" s="210"/>
      <c r="EP1312" s="210"/>
      <c r="EQ1312" s="210"/>
      <c r="ER1312" s="210"/>
      <c r="ES1312" s="210"/>
      <c r="ET1312" s="210"/>
      <c r="EU1312" s="210"/>
      <c r="EV1312" s="210"/>
      <c r="EW1312" s="210"/>
      <c r="EX1312" s="210"/>
      <c r="EY1312" s="210"/>
      <c r="EZ1312" s="210"/>
      <c r="FA1312" s="210"/>
      <c r="FB1312" s="210"/>
      <c r="FC1312" s="210"/>
      <c r="FD1312" s="210"/>
      <c r="FE1312" s="210"/>
      <c r="FF1312" s="210"/>
      <c r="FG1312" s="210"/>
      <c r="FH1312" s="210"/>
      <c r="FI1312" s="210"/>
      <c r="FJ1312" s="210"/>
      <c r="FK1312" s="210"/>
      <c r="FL1312" s="210"/>
      <c r="FM1312" s="210"/>
      <c r="FN1312" s="210"/>
      <c r="FO1312" s="210"/>
      <c r="FP1312" s="210"/>
      <c r="FQ1312" s="210"/>
      <c r="FR1312" s="210"/>
      <c r="FS1312" s="210"/>
      <c r="FT1312" s="210"/>
      <c r="FU1312" s="210"/>
      <c r="FV1312" s="210"/>
      <c r="FW1312" s="210"/>
      <c r="FX1312" s="210"/>
      <c r="FY1312" s="210"/>
      <c r="FZ1312" s="210"/>
      <c r="GA1312" s="210"/>
      <c r="GB1312" s="210"/>
      <c r="GC1312" s="210"/>
      <c r="GD1312" s="210"/>
      <c r="GE1312" s="210"/>
      <c r="GF1312" s="210"/>
      <c r="GG1312" s="210"/>
      <c r="GH1312" s="210"/>
      <c r="GI1312" s="210"/>
      <c r="GJ1312" s="210"/>
      <c r="GK1312" s="210"/>
      <c r="GL1312" s="210"/>
      <c r="GM1312" s="210"/>
      <c r="GN1312" s="210"/>
      <c r="GO1312" s="210"/>
      <c r="GP1312" s="210"/>
      <c r="GQ1312" s="210"/>
      <c r="GR1312" s="210"/>
      <c r="GS1312" s="210"/>
      <c r="GT1312" s="210"/>
      <c r="GU1312" s="210"/>
      <c r="GV1312" s="210"/>
      <c r="GW1312" s="210"/>
      <c r="GX1312" s="210"/>
      <c r="GY1312" s="210"/>
      <c r="GZ1312" s="210"/>
      <c r="HA1312" s="210"/>
      <c r="HB1312" s="210"/>
      <c r="HC1312" s="210"/>
      <c r="HD1312" s="210"/>
      <c r="HE1312" s="210"/>
      <c r="HF1312" s="210"/>
      <c r="HG1312" s="210"/>
      <c r="HH1312" s="210"/>
      <c r="HI1312" s="210"/>
      <c r="HJ1312" s="210"/>
      <c r="HK1312" s="210"/>
      <c r="HL1312" s="210"/>
      <c r="HM1312" s="210"/>
      <c r="HN1312" s="210"/>
      <c r="HO1312" s="210"/>
      <c r="HP1312" s="210"/>
      <c r="HQ1312" s="210"/>
      <c r="HR1312" s="210"/>
      <c r="HS1312" s="210"/>
      <c r="HT1312" s="210"/>
      <c r="HU1312" s="210"/>
      <c r="HV1312" s="210"/>
      <c r="HW1312" s="210"/>
      <c r="HX1312" s="210"/>
      <c r="HY1312" s="210"/>
      <c r="HZ1312" s="210"/>
      <c r="IA1312" s="210"/>
      <c r="IB1312" s="210"/>
      <c r="IC1312" s="210"/>
      <c r="ID1312" s="210"/>
      <c r="IE1312" s="210"/>
      <c r="IF1312" s="210"/>
      <c r="IG1312" s="210"/>
      <c r="IH1312" s="210"/>
      <c r="II1312" s="210"/>
      <c r="IJ1312" s="210"/>
      <c r="IK1312" s="210"/>
      <c r="IL1312" s="210"/>
      <c r="IM1312" s="210"/>
      <c r="IN1312" s="210"/>
      <c r="IO1312" s="210"/>
      <c r="IP1312" s="210"/>
      <c r="IQ1312" s="210"/>
      <c r="IR1312" s="210"/>
      <c r="IS1312" s="210"/>
      <c r="IT1312" s="210"/>
      <c r="IU1312" s="210"/>
      <c r="IV1312" s="210"/>
      <c r="IW1312" s="210"/>
      <c r="IX1312" s="210"/>
      <c r="IY1312" s="210"/>
      <c r="IZ1312" s="210"/>
      <c r="JA1312" s="210"/>
      <c r="JB1312" s="210"/>
      <c r="JC1312" s="210"/>
      <c r="JD1312" s="210"/>
      <c r="JE1312" s="210"/>
      <c r="JF1312" s="210"/>
      <c r="JG1312" s="210"/>
      <c r="JH1312" s="210"/>
      <c r="JI1312" s="210"/>
      <c r="JJ1312" s="210"/>
      <c r="JK1312" s="210"/>
      <c r="JL1312" s="210"/>
      <c r="JM1312" s="210"/>
      <c r="JN1312" s="210"/>
      <c r="JO1312" s="210"/>
      <c r="JP1312" s="210"/>
      <c r="JQ1312" s="210"/>
      <c r="JR1312" s="210"/>
      <c r="JS1312" s="210"/>
      <c r="JT1312" s="210"/>
      <c r="JU1312" s="210"/>
      <c r="JV1312" s="210"/>
      <c r="JW1312" s="210"/>
      <c r="JX1312" s="210"/>
      <c r="JY1312" s="210"/>
      <c r="JZ1312" s="210"/>
      <c r="KA1312" s="210"/>
      <c r="KB1312" s="210"/>
      <c r="KC1312" s="210"/>
      <c r="KD1312" s="210"/>
      <c r="KE1312" s="210"/>
      <c r="KF1312" s="210"/>
      <c r="KG1312" s="210"/>
      <c r="KH1312" s="210"/>
      <c r="KI1312" s="210"/>
      <c r="KJ1312" s="210"/>
      <c r="KK1312" s="210"/>
      <c r="KL1312" s="210"/>
      <c r="KM1312" s="210"/>
      <c r="KN1312" s="210"/>
      <c r="KO1312" s="210"/>
      <c r="KP1312" s="210"/>
      <c r="KQ1312" s="210"/>
      <c r="KR1312" s="210"/>
      <c r="KS1312" s="210"/>
      <c r="KT1312" s="210"/>
      <c r="KU1312" s="210"/>
      <c r="KV1312" s="210"/>
      <c r="KW1312" s="210"/>
      <c r="KX1312" s="210"/>
      <c r="KY1312" s="210"/>
      <c r="KZ1312" s="210"/>
      <c r="LA1312" s="210"/>
      <c r="LB1312" s="210"/>
      <c r="LC1312" s="210"/>
      <c r="LD1312" s="210"/>
      <c r="LE1312" s="210"/>
      <c r="LF1312" s="210"/>
      <c r="LG1312" s="210"/>
      <c r="LH1312" s="210"/>
      <c r="LI1312" s="210"/>
      <c r="LJ1312" s="210"/>
      <c r="LK1312" s="210"/>
      <c r="LL1312" s="210"/>
      <c r="LM1312" s="210"/>
      <c r="LN1312" s="210"/>
      <c r="LO1312" s="210"/>
      <c r="LP1312" s="210"/>
      <c r="LQ1312" s="210"/>
      <c r="LR1312" s="210"/>
      <c r="LS1312" s="210"/>
      <c r="LT1312" s="210"/>
      <c r="LU1312" s="210"/>
      <c r="LV1312" s="210"/>
      <c r="LW1312" s="210"/>
      <c r="LX1312" s="210"/>
      <c r="LY1312" s="210"/>
      <c r="LZ1312" s="210"/>
      <c r="MA1312" s="210"/>
      <c r="MB1312" s="210"/>
      <c r="MC1312" s="210"/>
      <c r="MD1312" s="210"/>
      <c r="ME1312" s="210"/>
      <c r="MF1312" s="210"/>
      <c r="MG1312" s="210"/>
      <c r="MH1312" s="210"/>
      <c r="MI1312" s="210"/>
      <c r="MJ1312" s="210"/>
      <c r="MK1312" s="210"/>
      <c r="ML1312" s="210"/>
      <c r="MM1312" s="210"/>
      <c r="MN1312" s="210"/>
      <c r="MO1312" s="210"/>
      <c r="MP1312" s="210"/>
      <c r="MQ1312" s="210"/>
      <c r="MR1312" s="210"/>
      <c r="MS1312" s="210"/>
      <c r="MT1312" s="210"/>
      <c r="MU1312" s="210"/>
      <c r="MV1312" s="210"/>
      <c r="MW1312" s="210"/>
      <c r="MX1312" s="210"/>
      <c r="MY1312" s="210"/>
      <c r="MZ1312" s="210"/>
      <c r="NA1312" s="210"/>
      <c r="NB1312" s="210"/>
      <c r="NC1312" s="210"/>
      <c r="ND1312" s="210"/>
      <c r="NE1312" s="210"/>
      <c r="NF1312" s="210"/>
      <c r="NG1312" s="210"/>
      <c r="NH1312" s="210"/>
      <c r="NI1312" s="210"/>
      <c r="NJ1312" s="210"/>
      <c r="NK1312" s="210"/>
      <c r="NL1312" s="210"/>
      <c r="NM1312" s="210"/>
      <c r="NN1312" s="210"/>
      <c r="NO1312" s="210"/>
      <c r="NP1312" s="210"/>
      <c r="NQ1312" s="210"/>
      <c r="NR1312" s="210"/>
      <c r="NS1312" s="210"/>
      <c r="NT1312" s="210"/>
      <c r="NU1312" s="210"/>
      <c r="NV1312" s="210"/>
      <c r="NW1312" s="210"/>
      <c r="NX1312" s="210"/>
      <c r="NY1312" s="210"/>
      <c r="NZ1312" s="210"/>
      <c r="OA1312" s="210"/>
      <c r="OB1312" s="210"/>
      <c r="OC1312" s="210"/>
      <c r="OD1312" s="210"/>
      <c r="OE1312" s="210"/>
      <c r="OF1312" s="210"/>
      <c r="OG1312" s="210"/>
      <c r="OH1312" s="210"/>
      <c r="OI1312" s="210"/>
      <c r="OJ1312" s="210"/>
      <c r="OK1312" s="210"/>
      <c r="OL1312" s="210"/>
      <c r="OM1312" s="210"/>
      <c r="ON1312" s="210"/>
      <c r="OO1312" s="210"/>
      <c r="OP1312" s="210"/>
      <c r="OQ1312" s="210"/>
      <c r="OR1312" s="210"/>
      <c r="OS1312" s="210"/>
      <c r="OT1312" s="210"/>
      <c r="OU1312" s="210"/>
      <c r="OV1312" s="210"/>
      <c r="OW1312" s="210"/>
      <c r="OX1312" s="210"/>
      <c r="OY1312" s="210"/>
      <c r="OZ1312" s="210"/>
      <c r="PA1312" s="210"/>
      <c r="PB1312" s="210"/>
      <c r="PC1312" s="210"/>
      <c r="PD1312" s="210"/>
      <c r="PE1312" s="210"/>
      <c r="PF1312" s="210"/>
      <c r="PG1312" s="210"/>
      <c r="PH1312" s="210"/>
      <c r="PI1312" s="210"/>
      <c r="PJ1312" s="210"/>
      <c r="PK1312" s="210"/>
      <c r="PL1312" s="210"/>
      <c r="PM1312" s="210"/>
      <c r="PN1312" s="210"/>
      <c r="PO1312" s="210"/>
      <c r="PP1312" s="210"/>
      <c r="PQ1312" s="210"/>
      <c r="PR1312" s="210"/>
      <c r="PS1312" s="210"/>
      <c r="PT1312" s="210"/>
      <c r="PU1312" s="210"/>
      <c r="PV1312" s="210"/>
      <c r="PW1312" s="210"/>
      <c r="PX1312" s="210"/>
      <c r="PY1312" s="210"/>
      <c r="PZ1312" s="210"/>
      <c r="QA1312" s="210"/>
      <c r="QB1312" s="210"/>
      <c r="QC1312" s="210"/>
      <c r="QD1312" s="210"/>
      <c r="QE1312" s="210"/>
      <c r="QF1312" s="210"/>
      <c r="QG1312" s="210"/>
      <c r="QH1312" s="210"/>
      <c r="QI1312" s="210"/>
      <c r="QJ1312" s="210"/>
      <c r="QK1312" s="210"/>
      <c r="QL1312" s="210"/>
      <c r="QM1312" s="210"/>
      <c r="QN1312" s="210"/>
      <c r="QO1312" s="210"/>
      <c r="QP1312" s="210"/>
      <c r="QQ1312" s="210"/>
      <c r="QR1312" s="210"/>
      <c r="QS1312" s="210"/>
      <c r="QT1312" s="210"/>
      <c r="QU1312" s="210"/>
      <c r="QV1312" s="210"/>
      <c r="QW1312" s="210"/>
      <c r="QX1312" s="210"/>
      <c r="QY1312" s="210"/>
      <c r="QZ1312" s="210"/>
      <c r="RA1312" s="210"/>
      <c r="RB1312" s="210"/>
      <c r="RC1312" s="210"/>
      <c r="RD1312" s="210"/>
      <c r="RE1312" s="210"/>
      <c r="RF1312" s="210"/>
      <c r="RG1312" s="210"/>
      <c r="RH1312" s="210"/>
      <c r="RI1312" s="210"/>
      <c r="RJ1312" s="210"/>
      <c r="RK1312" s="210"/>
      <c r="RL1312" s="210"/>
      <c r="RM1312" s="210"/>
      <c r="RN1312" s="210"/>
      <c r="RO1312" s="210"/>
      <c r="RP1312" s="210"/>
      <c r="RQ1312" s="210"/>
      <c r="RR1312" s="210"/>
      <c r="RS1312" s="210"/>
      <c r="RT1312" s="210"/>
      <c r="RU1312" s="210"/>
      <c r="RV1312" s="210"/>
      <c r="RW1312" s="210"/>
      <c r="RX1312" s="210"/>
      <c r="RY1312" s="210"/>
      <c r="RZ1312" s="210"/>
      <c r="SA1312" s="210"/>
      <c r="SB1312" s="210"/>
      <c r="SC1312" s="210"/>
      <c r="SD1312" s="210"/>
      <c r="SE1312" s="210"/>
      <c r="SF1312" s="210"/>
      <c r="SG1312" s="210"/>
      <c r="SH1312" s="210"/>
      <c r="SI1312" s="210"/>
      <c r="SJ1312" s="210"/>
      <c r="SK1312" s="210"/>
      <c r="SL1312" s="210"/>
      <c r="SM1312" s="210"/>
      <c r="SN1312" s="210"/>
      <c r="SO1312" s="210"/>
      <c r="SP1312" s="210"/>
      <c r="SQ1312" s="210"/>
      <c r="SR1312" s="210"/>
      <c r="SS1312" s="210"/>
      <c r="ST1312" s="210"/>
      <c r="SU1312" s="210"/>
      <c r="SV1312" s="210"/>
      <c r="SW1312" s="210"/>
      <c r="SX1312" s="210"/>
      <c r="SY1312" s="210"/>
      <c r="SZ1312" s="210"/>
      <c r="TA1312" s="210"/>
      <c r="TB1312" s="210"/>
      <c r="TC1312" s="210"/>
      <c r="TD1312" s="210"/>
      <c r="TE1312" s="210"/>
      <c r="TF1312" s="210"/>
      <c r="TG1312" s="210"/>
      <c r="TH1312" s="210"/>
      <c r="TI1312" s="210"/>
      <c r="TJ1312" s="210"/>
      <c r="TK1312" s="210"/>
      <c r="TL1312" s="210"/>
      <c r="TM1312" s="210"/>
      <c r="TN1312" s="210"/>
      <c r="TO1312" s="210"/>
      <c r="TP1312" s="210"/>
      <c r="TQ1312" s="210"/>
      <c r="TR1312" s="210"/>
      <c r="TS1312" s="210"/>
      <c r="TT1312" s="210"/>
      <c r="TU1312" s="210"/>
      <c r="TV1312" s="210"/>
      <c r="TW1312" s="210"/>
      <c r="TX1312" s="210"/>
      <c r="TY1312" s="210"/>
      <c r="TZ1312" s="210"/>
      <c r="UA1312" s="210"/>
      <c r="UB1312" s="210"/>
      <c r="UC1312" s="210"/>
      <c r="UD1312" s="210"/>
      <c r="UE1312" s="210"/>
      <c r="UF1312" s="210"/>
      <c r="UG1312" s="210"/>
    </row>
    <row r="1313" spans="1:553" ht="300" customHeight="1">
      <c r="A1313" s="356"/>
      <c r="B1313" s="356"/>
      <c r="C1313" s="427" t="s">
        <v>23</v>
      </c>
      <c r="D1313" s="376" t="s">
        <v>70</v>
      </c>
      <c r="E1313" s="376" t="s">
        <v>711</v>
      </c>
      <c r="F1313" s="386">
        <v>1</v>
      </c>
      <c r="G1313" s="386"/>
      <c r="H1313" s="387">
        <v>285</v>
      </c>
      <c r="I1313" s="490">
        <v>285</v>
      </c>
      <c r="J1313" s="368">
        <v>62000</v>
      </c>
      <c r="K1313" s="388"/>
      <c r="L1313" s="480">
        <f t="shared" si="198"/>
        <v>17670000</v>
      </c>
      <c r="M1313" s="366"/>
      <c r="N1313" s="366"/>
      <c r="O1313" s="366"/>
      <c r="P1313" s="366"/>
      <c r="Q1313" s="761" t="s">
        <v>712</v>
      </c>
      <c r="R1313" s="1608" t="s">
        <v>866</v>
      </c>
      <c r="S1313" s="308"/>
      <c r="T1313" s="308"/>
      <c r="U1313" s="308"/>
      <c r="V1313" s="308"/>
      <c r="W1313" s="685">
        <f>I1313</f>
        <v>285</v>
      </c>
      <c r="X1313" s="308"/>
      <c r="Y1313" s="308"/>
      <c r="Z1313" s="604"/>
      <c r="AA1313" s="308"/>
      <c r="AB1313" s="308"/>
      <c r="AC1313" s="486"/>
      <c r="AD1313" s="486"/>
      <c r="AE1313" s="486"/>
      <c r="AF1313" s="486"/>
      <c r="AG1313" s="486"/>
      <c r="AH1313" s="486"/>
      <c r="AI1313" s="486"/>
      <c r="AJ1313" s="486"/>
      <c r="AK1313" s="486"/>
      <c r="AL1313" s="206"/>
      <c r="AM1313" s="29"/>
      <c r="AN1313" s="29"/>
      <c r="AO1313" s="29"/>
      <c r="AP1313" s="29"/>
      <c r="AQ1313" s="29"/>
      <c r="AR1313" s="29"/>
      <c r="AS1313" s="29"/>
      <c r="AT1313" s="29"/>
      <c r="AU1313" s="29"/>
      <c r="AV1313" s="29"/>
      <c r="AW1313" s="29"/>
      <c r="AX1313" s="29"/>
      <c r="AY1313" s="29"/>
      <c r="AZ1313" s="29"/>
      <c r="BA1313" s="29"/>
      <c r="BB1313" s="29"/>
      <c r="BC1313" s="29"/>
      <c r="BD1313" s="29"/>
      <c r="BE1313" s="29"/>
      <c r="BF1313" s="29"/>
      <c r="BG1313" s="29"/>
      <c r="BH1313" s="29"/>
      <c r="BI1313" s="29"/>
      <c r="BJ1313" s="29"/>
      <c r="BK1313" s="29"/>
      <c r="BL1313" s="29"/>
      <c r="BM1313" s="29"/>
      <c r="BN1313" s="29"/>
      <c r="BO1313" s="29"/>
      <c r="BP1313" s="29"/>
      <c r="BQ1313" s="29"/>
      <c r="BR1313" s="29"/>
      <c r="BS1313" s="29"/>
      <c r="BT1313" s="29"/>
      <c r="BU1313" s="29"/>
      <c r="BV1313" s="29"/>
      <c r="BW1313" s="29"/>
      <c r="BX1313" s="29"/>
      <c r="BY1313" s="29"/>
      <c r="BZ1313" s="29"/>
      <c r="CA1313" s="29"/>
      <c r="CB1313" s="29"/>
      <c r="CC1313" s="29"/>
      <c r="CD1313" s="29"/>
      <c r="CE1313" s="29"/>
      <c r="CF1313" s="29"/>
      <c r="CG1313" s="29"/>
      <c r="CH1313" s="29"/>
      <c r="CI1313" s="29"/>
      <c r="CJ1313" s="29"/>
      <c r="CK1313" s="29"/>
      <c r="CL1313" s="29"/>
      <c r="CM1313" s="29"/>
      <c r="CN1313" s="29"/>
      <c r="CO1313" s="29"/>
      <c r="CP1313" s="29"/>
      <c r="CQ1313" s="29"/>
      <c r="CR1313" s="29"/>
      <c r="CS1313" s="29"/>
      <c r="CT1313" s="29"/>
      <c r="CU1313" s="29"/>
      <c r="CV1313" s="29"/>
      <c r="CW1313" s="29"/>
      <c r="CX1313" s="29"/>
      <c r="CY1313" s="29"/>
      <c r="CZ1313" s="29"/>
      <c r="DA1313" s="29"/>
      <c r="DB1313" s="29"/>
      <c r="DC1313" s="29"/>
      <c r="DD1313" s="29"/>
      <c r="DE1313" s="29"/>
      <c r="DF1313" s="29"/>
      <c r="DG1313" s="29"/>
      <c r="DH1313" s="29"/>
      <c r="DI1313" s="29"/>
      <c r="DJ1313" s="29"/>
      <c r="DK1313" s="29"/>
      <c r="DL1313" s="29"/>
      <c r="DM1313" s="29"/>
      <c r="DN1313" s="29"/>
      <c r="DO1313" s="29"/>
      <c r="DP1313" s="29"/>
      <c r="DQ1313" s="29"/>
      <c r="DR1313" s="29"/>
      <c r="DS1313" s="29"/>
      <c r="DT1313" s="29"/>
      <c r="DU1313" s="29"/>
      <c r="DV1313" s="29"/>
      <c r="DW1313" s="29"/>
      <c r="DX1313" s="29"/>
      <c r="DY1313" s="29"/>
      <c r="DZ1313" s="29"/>
      <c r="EA1313" s="29"/>
      <c r="EB1313" s="29"/>
      <c r="EC1313" s="29"/>
      <c r="ED1313" s="29"/>
      <c r="EE1313" s="29"/>
      <c r="EF1313" s="29"/>
      <c r="EG1313" s="29"/>
      <c r="EH1313" s="29"/>
      <c r="EI1313" s="29"/>
      <c r="EJ1313" s="29"/>
      <c r="EK1313" s="29"/>
      <c r="EL1313" s="29"/>
      <c r="EM1313" s="29"/>
      <c r="EN1313" s="29"/>
      <c r="EO1313" s="29"/>
      <c r="EP1313" s="29"/>
      <c r="EQ1313" s="29"/>
      <c r="ER1313" s="29"/>
      <c r="ES1313" s="29"/>
      <c r="ET1313" s="29"/>
      <c r="EU1313" s="29"/>
      <c r="EV1313" s="29"/>
      <c r="EW1313" s="29"/>
      <c r="EX1313" s="29"/>
      <c r="EY1313" s="29"/>
      <c r="EZ1313" s="29"/>
      <c r="FA1313" s="29"/>
      <c r="FB1313" s="29"/>
      <c r="FC1313" s="29"/>
      <c r="FD1313" s="29"/>
      <c r="FE1313" s="29"/>
      <c r="FF1313" s="29"/>
      <c r="FG1313" s="29"/>
      <c r="FH1313" s="29"/>
      <c r="FI1313" s="29"/>
      <c r="FJ1313" s="29"/>
      <c r="FK1313" s="29"/>
      <c r="FL1313" s="29"/>
      <c r="FM1313" s="29"/>
      <c r="FN1313" s="29"/>
      <c r="FO1313" s="29"/>
      <c r="FP1313" s="29"/>
      <c r="FQ1313" s="29"/>
      <c r="FR1313" s="29"/>
      <c r="FS1313" s="29"/>
      <c r="FT1313" s="29"/>
      <c r="FU1313" s="29"/>
      <c r="FV1313" s="29"/>
      <c r="FW1313" s="29"/>
      <c r="FX1313" s="29"/>
      <c r="FY1313" s="29"/>
      <c r="FZ1313" s="29"/>
      <c r="GA1313" s="29"/>
      <c r="GB1313" s="29"/>
      <c r="GC1313" s="29"/>
      <c r="GD1313" s="29"/>
      <c r="GE1313" s="29"/>
      <c r="GF1313" s="29"/>
      <c r="GG1313" s="29"/>
      <c r="GH1313" s="29"/>
      <c r="GI1313" s="29"/>
      <c r="GJ1313" s="29"/>
      <c r="GK1313" s="29"/>
      <c r="GL1313" s="29"/>
      <c r="GM1313" s="29"/>
      <c r="GN1313" s="29"/>
      <c r="GO1313" s="29"/>
      <c r="GP1313" s="29"/>
      <c r="GQ1313" s="29"/>
      <c r="GR1313" s="29"/>
      <c r="GS1313" s="29"/>
      <c r="GT1313" s="29"/>
      <c r="GU1313" s="29"/>
      <c r="GV1313" s="29"/>
      <c r="GW1313" s="29"/>
      <c r="GX1313" s="29"/>
      <c r="GY1313" s="29"/>
      <c r="GZ1313" s="29"/>
      <c r="HA1313" s="29"/>
      <c r="HB1313" s="29"/>
      <c r="HC1313" s="29"/>
      <c r="HD1313" s="29"/>
      <c r="HE1313" s="29"/>
      <c r="HF1313" s="29"/>
      <c r="HG1313" s="29"/>
      <c r="HH1313" s="29"/>
      <c r="HI1313" s="29"/>
      <c r="HJ1313" s="29"/>
      <c r="HK1313" s="29"/>
      <c r="HL1313" s="29"/>
      <c r="HM1313" s="29"/>
      <c r="HN1313" s="29"/>
      <c r="HO1313" s="29"/>
      <c r="HP1313" s="29"/>
      <c r="HQ1313" s="29"/>
      <c r="HR1313" s="29"/>
      <c r="HS1313" s="29"/>
      <c r="HT1313" s="29"/>
      <c r="HU1313" s="29"/>
      <c r="HV1313" s="29"/>
      <c r="HW1313" s="29"/>
      <c r="HX1313" s="29"/>
      <c r="HY1313" s="29"/>
      <c r="HZ1313" s="29"/>
      <c r="IA1313" s="29"/>
      <c r="IB1313" s="29"/>
      <c r="IC1313" s="29"/>
      <c r="ID1313" s="29"/>
      <c r="IE1313" s="29"/>
      <c r="IF1313" s="29"/>
      <c r="IG1313" s="29"/>
      <c r="IH1313" s="29"/>
      <c r="II1313" s="29"/>
      <c r="IJ1313" s="29"/>
      <c r="IK1313" s="29"/>
      <c r="IL1313" s="29"/>
      <c r="IM1313" s="29"/>
      <c r="IN1313" s="29"/>
      <c r="IO1313" s="29"/>
      <c r="IP1313" s="29"/>
      <c r="IQ1313" s="29"/>
      <c r="IR1313" s="29"/>
      <c r="IS1313" s="29"/>
      <c r="IT1313" s="29"/>
      <c r="IU1313" s="29"/>
      <c r="IV1313" s="29"/>
      <c r="IW1313" s="29"/>
      <c r="IX1313" s="29"/>
      <c r="IY1313" s="29"/>
      <c r="IZ1313" s="29"/>
      <c r="JA1313" s="29"/>
      <c r="JB1313" s="29"/>
      <c r="JC1313" s="29"/>
      <c r="JD1313" s="29"/>
      <c r="JE1313" s="29"/>
      <c r="JF1313" s="29"/>
      <c r="JG1313" s="29"/>
      <c r="JH1313" s="29"/>
      <c r="JI1313" s="29"/>
      <c r="JJ1313" s="29"/>
      <c r="JK1313" s="29"/>
      <c r="JL1313" s="29"/>
      <c r="JM1313" s="29"/>
      <c r="JN1313" s="29"/>
      <c r="JO1313" s="29"/>
      <c r="JP1313" s="29"/>
      <c r="JQ1313" s="29"/>
      <c r="JR1313" s="29"/>
      <c r="JS1313" s="29"/>
      <c r="JT1313" s="29"/>
      <c r="JU1313" s="29"/>
      <c r="JV1313" s="29"/>
      <c r="JW1313" s="29"/>
      <c r="JX1313" s="29"/>
      <c r="JY1313" s="29"/>
      <c r="JZ1313" s="29"/>
      <c r="KA1313" s="29"/>
      <c r="KB1313" s="29"/>
      <c r="KC1313" s="29"/>
      <c r="KD1313" s="29"/>
      <c r="KE1313" s="29"/>
      <c r="KF1313" s="29"/>
      <c r="KG1313" s="29"/>
      <c r="KH1313" s="29"/>
      <c r="KI1313" s="29"/>
      <c r="KJ1313" s="29"/>
      <c r="KK1313" s="29"/>
      <c r="KL1313" s="29"/>
      <c r="KM1313" s="29"/>
      <c r="KN1313" s="29"/>
      <c r="KO1313" s="29"/>
      <c r="KP1313" s="29"/>
      <c r="KQ1313" s="29"/>
      <c r="KR1313" s="29"/>
      <c r="KS1313" s="29"/>
      <c r="KT1313" s="29"/>
      <c r="KU1313" s="29"/>
      <c r="KV1313" s="29"/>
      <c r="KW1313" s="29"/>
      <c r="KX1313" s="29"/>
      <c r="KY1313" s="29"/>
      <c r="KZ1313" s="29"/>
      <c r="LA1313" s="29"/>
      <c r="LB1313" s="29"/>
      <c r="LC1313" s="29"/>
      <c r="LD1313" s="29"/>
      <c r="LE1313" s="29"/>
      <c r="LF1313" s="29"/>
      <c r="LG1313" s="29"/>
      <c r="LH1313" s="29"/>
      <c r="LI1313" s="29"/>
      <c r="LJ1313" s="29"/>
      <c r="LK1313" s="29"/>
      <c r="LL1313" s="29"/>
      <c r="LM1313" s="29"/>
      <c r="LN1313" s="29"/>
      <c r="LO1313" s="29"/>
      <c r="LP1313" s="29"/>
      <c r="LQ1313" s="29"/>
      <c r="LR1313" s="29"/>
      <c r="LS1313" s="29"/>
      <c r="LT1313" s="29"/>
      <c r="LU1313" s="29"/>
      <c r="LV1313" s="29"/>
      <c r="LW1313" s="29"/>
      <c r="LX1313" s="29"/>
      <c r="LY1313" s="29"/>
      <c r="LZ1313" s="29"/>
      <c r="MA1313" s="29"/>
      <c r="MB1313" s="29"/>
      <c r="MC1313" s="29"/>
      <c r="MD1313" s="29"/>
      <c r="ME1313" s="29"/>
      <c r="MF1313" s="29"/>
      <c r="MG1313" s="29"/>
      <c r="MH1313" s="29"/>
      <c r="MI1313" s="29"/>
      <c r="MJ1313" s="29"/>
      <c r="MK1313" s="29"/>
      <c r="ML1313" s="29"/>
      <c r="MM1313" s="29"/>
      <c r="MN1313" s="29"/>
      <c r="MO1313" s="29"/>
      <c r="MP1313" s="29"/>
      <c r="MQ1313" s="29"/>
      <c r="MR1313" s="29"/>
      <c r="MS1313" s="29"/>
      <c r="MT1313" s="29"/>
      <c r="MU1313" s="29"/>
      <c r="MV1313" s="29"/>
      <c r="MW1313" s="29"/>
      <c r="MX1313" s="29"/>
      <c r="MY1313" s="29"/>
      <c r="MZ1313" s="29"/>
      <c r="NA1313" s="29"/>
      <c r="NB1313" s="29"/>
      <c r="NC1313" s="29"/>
      <c r="ND1313" s="29"/>
      <c r="NE1313" s="29"/>
      <c r="NF1313" s="29"/>
      <c r="NG1313" s="29"/>
      <c r="NH1313" s="29"/>
      <c r="NI1313" s="29"/>
      <c r="NJ1313" s="29"/>
      <c r="NK1313" s="29"/>
      <c r="NL1313" s="29"/>
      <c r="NM1313" s="29"/>
      <c r="NN1313" s="29"/>
      <c r="NO1313" s="29"/>
      <c r="NP1313" s="29"/>
      <c r="NQ1313" s="29"/>
      <c r="NR1313" s="29"/>
      <c r="NS1313" s="29"/>
      <c r="NT1313" s="29"/>
      <c r="NU1313" s="29"/>
      <c r="NV1313" s="29"/>
      <c r="NW1313" s="29"/>
      <c r="NX1313" s="29"/>
      <c r="NY1313" s="29"/>
      <c r="NZ1313" s="29"/>
      <c r="OA1313" s="29"/>
      <c r="OB1313" s="29"/>
      <c r="OC1313" s="29"/>
      <c r="OD1313" s="29"/>
      <c r="OE1313" s="29"/>
      <c r="OF1313" s="29"/>
      <c r="OG1313" s="29"/>
      <c r="OH1313" s="29"/>
      <c r="OI1313" s="29"/>
      <c r="OJ1313" s="29"/>
      <c r="OK1313" s="29"/>
      <c r="OL1313" s="29"/>
      <c r="OM1313" s="29"/>
      <c r="ON1313" s="29"/>
      <c r="OO1313" s="29"/>
      <c r="OP1313" s="29"/>
      <c r="OQ1313" s="29"/>
      <c r="OR1313" s="29"/>
      <c r="OS1313" s="29"/>
      <c r="OT1313" s="29"/>
      <c r="OU1313" s="29"/>
      <c r="OV1313" s="29"/>
      <c r="OW1313" s="29"/>
      <c r="OX1313" s="29"/>
      <c r="OY1313" s="29"/>
      <c r="OZ1313" s="29"/>
      <c r="PA1313" s="29"/>
      <c r="PB1313" s="29"/>
      <c r="PC1313" s="29"/>
      <c r="PD1313" s="29"/>
      <c r="PE1313" s="29"/>
      <c r="PF1313" s="29"/>
      <c r="PG1313" s="29"/>
      <c r="PH1313" s="29"/>
      <c r="PI1313" s="29"/>
      <c r="PJ1313" s="29"/>
      <c r="PK1313" s="29"/>
      <c r="PL1313" s="29"/>
      <c r="PM1313" s="29"/>
      <c r="PN1313" s="29"/>
      <c r="PO1313" s="29"/>
      <c r="PP1313" s="29"/>
      <c r="PQ1313" s="29"/>
      <c r="PR1313" s="29"/>
      <c r="PS1313" s="29"/>
      <c r="PT1313" s="29"/>
      <c r="PU1313" s="29"/>
      <c r="PV1313" s="29"/>
      <c r="PW1313" s="29"/>
      <c r="PX1313" s="29"/>
      <c r="PY1313" s="29"/>
      <c r="PZ1313" s="29"/>
      <c r="QA1313" s="29"/>
      <c r="QB1313" s="29"/>
      <c r="QC1313" s="29"/>
      <c r="QD1313" s="29"/>
      <c r="QE1313" s="29"/>
      <c r="QF1313" s="29"/>
      <c r="QG1313" s="29"/>
      <c r="QH1313" s="29"/>
      <c r="QI1313" s="29"/>
      <c r="QJ1313" s="29"/>
      <c r="QK1313" s="29"/>
      <c r="QL1313" s="29"/>
      <c r="QM1313" s="29"/>
      <c r="QN1313" s="29"/>
      <c r="QO1313" s="29"/>
      <c r="QP1313" s="29"/>
      <c r="QQ1313" s="29"/>
      <c r="QR1313" s="29"/>
      <c r="QS1313" s="29"/>
      <c r="QT1313" s="29"/>
      <c r="QU1313" s="29"/>
      <c r="QV1313" s="29"/>
      <c r="QW1313" s="29"/>
      <c r="QX1313" s="29"/>
      <c r="QY1313" s="29"/>
      <c r="QZ1313" s="29"/>
      <c r="RA1313" s="29"/>
      <c r="RB1313" s="29"/>
      <c r="RC1313" s="29"/>
      <c r="RD1313" s="29"/>
      <c r="RE1313" s="29"/>
      <c r="RF1313" s="29"/>
      <c r="RG1313" s="29"/>
      <c r="RH1313" s="29"/>
      <c r="RI1313" s="29"/>
      <c r="RJ1313" s="29"/>
      <c r="RK1313" s="29"/>
      <c r="RL1313" s="29"/>
      <c r="RM1313" s="29"/>
      <c r="RN1313" s="29"/>
      <c r="RO1313" s="29"/>
      <c r="RP1313" s="29"/>
      <c r="RQ1313" s="29"/>
      <c r="RR1313" s="29"/>
      <c r="RS1313" s="29"/>
      <c r="RT1313" s="29"/>
      <c r="RU1313" s="29"/>
      <c r="RV1313" s="29"/>
      <c r="RW1313" s="29"/>
      <c r="RX1313" s="29"/>
      <c r="RY1313" s="29"/>
      <c r="RZ1313" s="29"/>
      <c r="SA1313" s="29"/>
      <c r="SB1313" s="29"/>
      <c r="SC1313" s="29"/>
      <c r="SD1313" s="29"/>
      <c r="SE1313" s="29"/>
      <c r="SF1313" s="29"/>
      <c r="SG1313" s="29"/>
      <c r="SH1313" s="29"/>
      <c r="SI1313" s="29"/>
      <c r="SJ1313" s="29"/>
      <c r="SK1313" s="29"/>
      <c r="SL1313" s="29"/>
      <c r="SM1313" s="29"/>
      <c r="SN1313" s="29"/>
      <c r="SO1313" s="29"/>
      <c r="SP1313" s="29"/>
      <c r="SQ1313" s="29"/>
      <c r="SR1313" s="29"/>
      <c r="SS1313" s="29"/>
      <c r="ST1313" s="29"/>
      <c r="SU1313" s="29"/>
      <c r="SV1313" s="29"/>
      <c r="SW1313" s="29"/>
      <c r="SX1313" s="29"/>
      <c r="SY1313" s="29"/>
      <c r="SZ1313" s="29"/>
      <c r="TA1313" s="29"/>
      <c r="TB1313" s="29"/>
      <c r="TC1313" s="29"/>
      <c r="TD1313" s="29"/>
      <c r="TE1313" s="29"/>
      <c r="TF1313" s="29"/>
      <c r="TG1313" s="29"/>
      <c r="TH1313" s="29"/>
      <c r="TI1313" s="29"/>
      <c r="TJ1313" s="29"/>
      <c r="TK1313" s="29"/>
      <c r="TL1313" s="29"/>
      <c r="TM1313" s="29"/>
      <c r="TN1313" s="29"/>
      <c r="TO1313" s="29"/>
      <c r="TP1313" s="29"/>
      <c r="TQ1313" s="29"/>
      <c r="TR1313" s="29"/>
      <c r="TS1313" s="29"/>
      <c r="TT1313" s="29"/>
      <c r="TU1313" s="29"/>
      <c r="TV1313" s="29"/>
      <c r="TW1313" s="29"/>
      <c r="TX1313" s="29"/>
      <c r="TY1313" s="29"/>
      <c r="TZ1313" s="29"/>
      <c r="UA1313" s="29"/>
      <c r="UB1313" s="29"/>
      <c r="UC1313" s="29"/>
      <c r="UD1313" s="29"/>
      <c r="UE1313" s="29"/>
      <c r="UF1313" s="29"/>
      <c r="UG1313" s="29"/>
    </row>
    <row r="1314" spans="1:553" ht="177" customHeight="1">
      <c r="A1314" s="356"/>
      <c r="B1314" s="356"/>
      <c r="C1314" s="427" t="s">
        <v>23</v>
      </c>
      <c r="D1314" s="376" t="s">
        <v>70</v>
      </c>
      <c r="E1314" s="376" t="s">
        <v>713</v>
      </c>
      <c r="F1314" s="386">
        <v>1</v>
      </c>
      <c r="G1314" s="386"/>
      <c r="H1314" s="387">
        <v>285.10000000000002</v>
      </c>
      <c r="I1314" s="490">
        <v>285.10000000000002</v>
      </c>
      <c r="J1314" s="368">
        <v>62000</v>
      </c>
      <c r="K1314" s="388"/>
      <c r="L1314" s="480">
        <f t="shared" si="198"/>
        <v>17676200</v>
      </c>
      <c r="M1314" s="366"/>
      <c r="N1314" s="366"/>
      <c r="O1314" s="366"/>
      <c r="P1314" s="366"/>
      <c r="Q1314" s="1408" t="s">
        <v>714</v>
      </c>
      <c r="R1314" s="1452"/>
      <c r="S1314" s="308"/>
      <c r="T1314" s="308"/>
      <c r="U1314" s="308"/>
      <c r="V1314" s="308"/>
      <c r="W1314" s="685">
        <f>I1314</f>
        <v>285.10000000000002</v>
      </c>
      <c r="X1314" s="308"/>
      <c r="Y1314" s="308"/>
      <c r="Z1314" s="604"/>
      <c r="AA1314" s="308"/>
      <c r="AB1314" s="308"/>
      <c r="AC1314" s="486"/>
      <c r="AD1314" s="486"/>
      <c r="AE1314" s="486"/>
      <c r="AF1314" s="486"/>
      <c r="AG1314" s="486"/>
      <c r="AH1314" s="486"/>
      <c r="AI1314" s="486"/>
      <c r="AJ1314" s="486"/>
      <c r="AK1314" s="486"/>
      <c r="AL1314" s="206"/>
      <c r="AM1314" s="29"/>
      <c r="AN1314" s="29"/>
      <c r="AO1314" s="29"/>
      <c r="AP1314" s="29"/>
      <c r="AQ1314" s="29"/>
      <c r="AR1314" s="29"/>
      <c r="AS1314" s="29"/>
      <c r="AT1314" s="29"/>
      <c r="AU1314" s="29"/>
      <c r="AV1314" s="29"/>
      <c r="AW1314" s="29"/>
      <c r="AX1314" s="29"/>
      <c r="AY1314" s="29"/>
      <c r="AZ1314" s="29"/>
      <c r="BA1314" s="29"/>
      <c r="BB1314" s="29"/>
      <c r="BC1314" s="29"/>
      <c r="BD1314" s="29"/>
      <c r="BE1314" s="29"/>
      <c r="BF1314" s="29"/>
      <c r="BG1314" s="29"/>
      <c r="BH1314" s="29"/>
      <c r="BI1314" s="29"/>
      <c r="BJ1314" s="29"/>
      <c r="BK1314" s="29"/>
      <c r="BL1314" s="29"/>
      <c r="BM1314" s="29"/>
      <c r="BN1314" s="29"/>
      <c r="BO1314" s="29"/>
      <c r="BP1314" s="29"/>
      <c r="BQ1314" s="29"/>
      <c r="BR1314" s="29"/>
      <c r="BS1314" s="29"/>
      <c r="BT1314" s="29"/>
      <c r="BU1314" s="29"/>
      <c r="BV1314" s="29"/>
      <c r="BW1314" s="29"/>
      <c r="BX1314" s="29"/>
      <c r="BY1314" s="29"/>
      <c r="BZ1314" s="29"/>
      <c r="CA1314" s="29"/>
      <c r="CB1314" s="29"/>
      <c r="CC1314" s="29"/>
      <c r="CD1314" s="29"/>
      <c r="CE1314" s="29"/>
      <c r="CF1314" s="29"/>
      <c r="CG1314" s="29"/>
      <c r="CH1314" s="29"/>
      <c r="CI1314" s="29"/>
      <c r="CJ1314" s="29"/>
      <c r="CK1314" s="29"/>
      <c r="CL1314" s="29"/>
      <c r="CM1314" s="29"/>
      <c r="CN1314" s="29"/>
      <c r="CO1314" s="29"/>
      <c r="CP1314" s="29"/>
      <c r="CQ1314" s="29"/>
      <c r="CR1314" s="29"/>
      <c r="CS1314" s="29"/>
      <c r="CT1314" s="29"/>
      <c r="CU1314" s="29"/>
      <c r="CV1314" s="29"/>
      <c r="CW1314" s="29"/>
      <c r="CX1314" s="29"/>
      <c r="CY1314" s="29"/>
      <c r="CZ1314" s="29"/>
      <c r="DA1314" s="29"/>
      <c r="DB1314" s="29"/>
      <c r="DC1314" s="29"/>
      <c r="DD1314" s="29"/>
      <c r="DE1314" s="29"/>
      <c r="DF1314" s="29"/>
      <c r="DG1314" s="29"/>
      <c r="DH1314" s="29"/>
      <c r="DI1314" s="29"/>
      <c r="DJ1314" s="29"/>
      <c r="DK1314" s="29"/>
      <c r="DL1314" s="29"/>
      <c r="DM1314" s="29"/>
      <c r="DN1314" s="29"/>
      <c r="DO1314" s="29"/>
      <c r="DP1314" s="29"/>
      <c r="DQ1314" s="29"/>
      <c r="DR1314" s="29"/>
      <c r="DS1314" s="29"/>
      <c r="DT1314" s="29"/>
      <c r="DU1314" s="29"/>
      <c r="DV1314" s="29"/>
      <c r="DW1314" s="29"/>
      <c r="DX1314" s="29"/>
      <c r="DY1314" s="29"/>
      <c r="DZ1314" s="29"/>
      <c r="EA1314" s="29"/>
      <c r="EB1314" s="29"/>
      <c r="EC1314" s="29"/>
      <c r="ED1314" s="29"/>
      <c r="EE1314" s="29"/>
      <c r="EF1314" s="29"/>
      <c r="EG1314" s="29"/>
      <c r="EH1314" s="29"/>
      <c r="EI1314" s="29"/>
      <c r="EJ1314" s="29"/>
      <c r="EK1314" s="29"/>
      <c r="EL1314" s="29"/>
      <c r="EM1314" s="29"/>
      <c r="EN1314" s="29"/>
      <c r="EO1314" s="29"/>
      <c r="EP1314" s="29"/>
      <c r="EQ1314" s="29"/>
      <c r="ER1314" s="29"/>
      <c r="ES1314" s="29"/>
      <c r="ET1314" s="29"/>
      <c r="EU1314" s="29"/>
      <c r="EV1314" s="29"/>
      <c r="EW1314" s="29"/>
      <c r="EX1314" s="29"/>
      <c r="EY1314" s="29"/>
      <c r="EZ1314" s="29"/>
      <c r="FA1314" s="29"/>
      <c r="FB1314" s="29"/>
      <c r="FC1314" s="29"/>
      <c r="FD1314" s="29"/>
      <c r="FE1314" s="29"/>
      <c r="FF1314" s="29"/>
      <c r="FG1314" s="29"/>
      <c r="FH1314" s="29"/>
      <c r="FI1314" s="29"/>
      <c r="FJ1314" s="29"/>
      <c r="FK1314" s="29"/>
      <c r="FL1314" s="29"/>
      <c r="FM1314" s="29"/>
      <c r="FN1314" s="29"/>
      <c r="FO1314" s="29"/>
      <c r="FP1314" s="29"/>
      <c r="FQ1314" s="29"/>
      <c r="FR1314" s="29"/>
      <c r="FS1314" s="29"/>
      <c r="FT1314" s="29"/>
      <c r="FU1314" s="29"/>
      <c r="FV1314" s="29"/>
      <c r="FW1314" s="29"/>
      <c r="FX1314" s="29"/>
      <c r="FY1314" s="29"/>
      <c r="FZ1314" s="29"/>
      <c r="GA1314" s="29"/>
      <c r="GB1314" s="29"/>
      <c r="GC1314" s="29"/>
      <c r="GD1314" s="29"/>
      <c r="GE1314" s="29"/>
      <c r="GF1314" s="29"/>
      <c r="GG1314" s="29"/>
      <c r="GH1314" s="29"/>
      <c r="GI1314" s="29"/>
      <c r="GJ1314" s="29"/>
      <c r="GK1314" s="29"/>
      <c r="GL1314" s="29"/>
      <c r="GM1314" s="29"/>
      <c r="GN1314" s="29"/>
      <c r="GO1314" s="29"/>
      <c r="GP1314" s="29"/>
      <c r="GQ1314" s="29"/>
      <c r="GR1314" s="29"/>
      <c r="GS1314" s="29"/>
      <c r="GT1314" s="29"/>
      <c r="GU1314" s="29"/>
      <c r="GV1314" s="29"/>
      <c r="GW1314" s="29"/>
      <c r="GX1314" s="29"/>
      <c r="GY1314" s="29"/>
      <c r="GZ1314" s="29"/>
      <c r="HA1314" s="29"/>
      <c r="HB1314" s="29"/>
      <c r="HC1314" s="29"/>
      <c r="HD1314" s="29"/>
      <c r="HE1314" s="29"/>
      <c r="HF1314" s="29"/>
      <c r="HG1314" s="29"/>
      <c r="HH1314" s="29"/>
      <c r="HI1314" s="29"/>
      <c r="HJ1314" s="29"/>
      <c r="HK1314" s="29"/>
      <c r="HL1314" s="29"/>
      <c r="HM1314" s="29"/>
      <c r="HN1314" s="29"/>
      <c r="HO1314" s="29"/>
      <c r="HP1314" s="29"/>
      <c r="HQ1314" s="29"/>
      <c r="HR1314" s="29"/>
      <c r="HS1314" s="29"/>
      <c r="HT1314" s="29"/>
      <c r="HU1314" s="29"/>
      <c r="HV1314" s="29"/>
      <c r="HW1314" s="29"/>
      <c r="HX1314" s="29"/>
      <c r="HY1314" s="29"/>
      <c r="HZ1314" s="29"/>
      <c r="IA1314" s="29"/>
      <c r="IB1314" s="29"/>
      <c r="IC1314" s="29"/>
      <c r="ID1314" s="29"/>
      <c r="IE1314" s="29"/>
      <c r="IF1314" s="29"/>
      <c r="IG1314" s="29"/>
      <c r="IH1314" s="29"/>
      <c r="II1314" s="29"/>
      <c r="IJ1314" s="29"/>
      <c r="IK1314" s="29"/>
      <c r="IL1314" s="29"/>
      <c r="IM1314" s="29"/>
      <c r="IN1314" s="29"/>
      <c r="IO1314" s="29"/>
      <c r="IP1314" s="29"/>
      <c r="IQ1314" s="29"/>
      <c r="IR1314" s="29"/>
      <c r="IS1314" s="29"/>
      <c r="IT1314" s="29"/>
      <c r="IU1314" s="29"/>
      <c r="IV1314" s="29"/>
      <c r="IW1314" s="29"/>
      <c r="IX1314" s="29"/>
      <c r="IY1314" s="29"/>
      <c r="IZ1314" s="29"/>
      <c r="JA1314" s="29"/>
      <c r="JB1314" s="29"/>
      <c r="JC1314" s="29"/>
      <c r="JD1314" s="29"/>
      <c r="JE1314" s="29"/>
      <c r="JF1314" s="29"/>
      <c r="JG1314" s="29"/>
      <c r="JH1314" s="29"/>
      <c r="JI1314" s="29"/>
      <c r="JJ1314" s="29"/>
      <c r="JK1314" s="29"/>
      <c r="JL1314" s="29"/>
      <c r="JM1314" s="29"/>
      <c r="JN1314" s="29"/>
      <c r="JO1314" s="29"/>
      <c r="JP1314" s="29"/>
      <c r="JQ1314" s="29"/>
      <c r="JR1314" s="29"/>
      <c r="JS1314" s="29"/>
      <c r="JT1314" s="29"/>
      <c r="JU1314" s="29"/>
      <c r="JV1314" s="29"/>
      <c r="JW1314" s="29"/>
      <c r="JX1314" s="29"/>
      <c r="JY1314" s="29"/>
      <c r="JZ1314" s="29"/>
      <c r="KA1314" s="29"/>
      <c r="KB1314" s="29"/>
      <c r="KC1314" s="29"/>
      <c r="KD1314" s="29"/>
      <c r="KE1314" s="29"/>
      <c r="KF1314" s="29"/>
      <c r="KG1314" s="29"/>
      <c r="KH1314" s="29"/>
      <c r="KI1314" s="29"/>
      <c r="KJ1314" s="29"/>
      <c r="KK1314" s="29"/>
      <c r="KL1314" s="29"/>
      <c r="KM1314" s="29"/>
      <c r="KN1314" s="29"/>
      <c r="KO1314" s="29"/>
      <c r="KP1314" s="29"/>
      <c r="KQ1314" s="29"/>
      <c r="KR1314" s="29"/>
      <c r="KS1314" s="29"/>
      <c r="KT1314" s="29"/>
      <c r="KU1314" s="29"/>
      <c r="KV1314" s="29"/>
      <c r="KW1314" s="29"/>
      <c r="KX1314" s="29"/>
      <c r="KY1314" s="29"/>
      <c r="KZ1314" s="29"/>
      <c r="LA1314" s="29"/>
      <c r="LB1314" s="29"/>
      <c r="LC1314" s="29"/>
      <c r="LD1314" s="29"/>
      <c r="LE1314" s="29"/>
      <c r="LF1314" s="29"/>
      <c r="LG1314" s="29"/>
      <c r="LH1314" s="29"/>
      <c r="LI1314" s="29"/>
      <c r="LJ1314" s="29"/>
      <c r="LK1314" s="29"/>
      <c r="LL1314" s="29"/>
      <c r="LM1314" s="29"/>
      <c r="LN1314" s="29"/>
      <c r="LO1314" s="29"/>
      <c r="LP1314" s="29"/>
      <c r="LQ1314" s="29"/>
      <c r="LR1314" s="29"/>
      <c r="LS1314" s="29"/>
      <c r="LT1314" s="29"/>
      <c r="LU1314" s="29"/>
      <c r="LV1314" s="29"/>
      <c r="LW1314" s="29"/>
      <c r="LX1314" s="29"/>
      <c r="LY1314" s="29"/>
      <c r="LZ1314" s="29"/>
      <c r="MA1314" s="29"/>
      <c r="MB1314" s="29"/>
      <c r="MC1314" s="29"/>
      <c r="MD1314" s="29"/>
      <c r="ME1314" s="29"/>
      <c r="MF1314" s="29"/>
      <c r="MG1314" s="29"/>
      <c r="MH1314" s="29"/>
      <c r="MI1314" s="29"/>
      <c r="MJ1314" s="29"/>
      <c r="MK1314" s="29"/>
      <c r="ML1314" s="29"/>
      <c r="MM1314" s="29"/>
      <c r="MN1314" s="29"/>
      <c r="MO1314" s="29"/>
      <c r="MP1314" s="29"/>
      <c r="MQ1314" s="29"/>
      <c r="MR1314" s="29"/>
      <c r="MS1314" s="29"/>
      <c r="MT1314" s="29"/>
      <c r="MU1314" s="29"/>
      <c r="MV1314" s="29"/>
      <c r="MW1314" s="29"/>
      <c r="MX1314" s="29"/>
      <c r="MY1314" s="29"/>
      <c r="MZ1314" s="29"/>
      <c r="NA1314" s="29"/>
      <c r="NB1314" s="29"/>
      <c r="NC1314" s="29"/>
      <c r="ND1314" s="29"/>
      <c r="NE1314" s="29"/>
      <c r="NF1314" s="29"/>
      <c r="NG1314" s="29"/>
      <c r="NH1314" s="29"/>
      <c r="NI1314" s="29"/>
      <c r="NJ1314" s="29"/>
      <c r="NK1314" s="29"/>
      <c r="NL1314" s="29"/>
      <c r="NM1314" s="29"/>
      <c r="NN1314" s="29"/>
      <c r="NO1314" s="29"/>
      <c r="NP1314" s="29"/>
      <c r="NQ1314" s="29"/>
      <c r="NR1314" s="29"/>
      <c r="NS1314" s="29"/>
      <c r="NT1314" s="29"/>
      <c r="NU1314" s="29"/>
      <c r="NV1314" s="29"/>
      <c r="NW1314" s="29"/>
      <c r="NX1314" s="29"/>
      <c r="NY1314" s="29"/>
      <c r="NZ1314" s="29"/>
      <c r="OA1314" s="29"/>
      <c r="OB1314" s="29"/>
      <c r="OC1314" s="29"/>
      <c r="OD1314" s="29"/>
      <c r="OE1314" s="29"/>
      <c r="OF1314" s="29"/>
      <c r="OG1314" s="29"/>
      <c r="OH1314" s="29"/>
      <c r="OI1314" s="29"/>
      <c r="OJ1314" s="29"/>
      <c r="OK1314" s="29"/>
      <c r="OL1314" s="29"/>
      <c r="OM1314" s="29"/>
      <c r="ON1314" s="29"/>
      <c r="OO1314" s="29"/>
      <c r="OP1314" s="29"/>
      <c r="OQ1314" s="29"/>
      <c r="OR1314" s="29"/>
      <c r="OS1314" s="29"/>
      <c r="OT1314" s="29"/>
      <c r="OU1314" s="29"/>
      <c r="OV1314" s="29"/>
      <c r="OW1314" s="29"/>
      <c r="OX1314" s="29"/>
      <c r="OY1314" s="29"/>
      <c r="OZ1314" s="29"/>
      <c r="PA1314" s="29"/>
      <c r="PB1314" s="29"/>
      <c r="PC1314" s="29"/>
      <c r="PD1314" s="29"/>
      <c r="PE1314" s="29"/>
      <c r="PF1314" s="29"/>
      <c r="PG1314" s="29"/>
      <c r="PH1314" s="29"/>
      <c r="PI1314" s="29"/>
      <c r="PJ1314" s="29"/>
      <c r="PK1314" s="29"/>
      <c r="PL1314" s="29"/>
      <c r="PM1314" s="29"/>
      <c r="PN1314" s="29"/>
      <c r="PO1314" s="29"/>
      <c r="PP1314" s="29"/>
      <c r="PQ1314" s="29"/>
      <c r="PR1314" s="29"/>
      <c r="PS1314" s="29"/>
      <c r="PT1314" s="29"/>
      <c r="PU1314" s="29"/>
      <c r="PV1314" s="29"/>
      <c r="PW1314" s="29"/>
      <c r="PX1314" s="29"/>
      <c r="PY1314" s="29"/>
      <c r="PZ1314" s="29"/>
      <c r="QA1314" s="29"/>
      <c r="QB1314" s="29"/>
      <c r="QC1314" s="29"/>
      <c r="QD1314" s="29"/>
      <c r="QE1314" s="29"/>
      <c r="QF1314" s="29"/>
      <c r="QG1314" s="29"/>
      <c r="QH1314" s="29"/>
      <c r="QI1314" s="29"/>
      <c r="QJ1314" s="29"/>
      <c r="QK1314" s="29"/>
      <c r="QL1314" s="29"/>
      <c r="QM1314" s="29"/>
      <c r="QN1314" s="29"/>
      <c r="QO1314" s="29"/>
      <c r="QP1314" s="29"/>
      <c r="QQ1314" s="29"/>
      <c r="QR1314" s="29"/>
      <c r="QS1314" s="29"/>
      <c r="QT1314" s="29"/>
      <c r="QU1314" s="29"/>
      <c r="QV1314" s="29"/>
      <c r="QW1314" s="29"/>
      <c r="QX1314" s="29"/>
      <c r="QY1314" s="29"/>
      <c r="QZ1314" s="29"/>
      <c r="RA1314" s="29"/>
      <c r="RB1314" s="29"/>
      <c r="RC1314" s="29"/>
      <c r="RD1314" s="29"/>
      <c r="RE1314" s="29"/>
      <c r="RF1314" s="29"/>
      <c r="RG1314" s="29"/>
      <c r="RH1314" s="29"/>
      <c r="RI1314" s="29"/>
      <c r="RJ1314" s="29"/>
      <c r="RK1314" s="29"/>
      <c r="RL1314" s="29"/>
      <c r="RM1314" s="29"/>
      <c r="RN1314" s="29"/>
      <c r="RO1314" s="29"/>
      <c r="RP1314" s="29"/>
      <c r="RQ1314" s="29"/>
      <c r="RR1314" s="29"/>
      <c r="RS1314" s="29"/>
      <c r="RT1314" s="29"/>
      <c r="RU1314" s="29"/>
      <c r="RV1314" s="29"/>
      <c r="RW1314" s="29"/>
      <c r="RX1314" s="29"/>
      <c r="RY1314" s="29"/>
      <c r="RZ1314" s="29"/>
      <c r="SA1314" s="29"/>
      <c r="SB1314" s="29"/>
      <c r="SC1314" s="29"/>
      <c r="SD1314" s="29"/>
      <c r="SE1314" s="29"/>
      <c r="SF1314" s="29"/>
      <c r="SG1314" s="29"/>
      <c r="SH1314" s="29"/>
      <c r="SI1314" s="29"/>
      <c r="SJ1314" s="29"/>
      <c r="SK1314" s="29"/>
      <c r="SL1314" s="29"/>
      <c r="SM1314" s="29"/>
      <c r="SN1314" s="29"/>
      <c r="SO1314" s="29"/>
      <c r="SP1314" s="29"/>
      <c r="SQ1314" s="29"/>
      <c r="SR1314" s="29"/>
      <c r="SS1314" s="29"/>
      <c r="ST1314" s="29"/>
      <c r="SU1314" s="29"/>
      <c r="SV1314" s="29"/>
      <c r="SW1314" s="29"/>
      <c r="SX1314" s="29"/>
      <c r="SY1314" s="29"/>
      <c r="SZ1314" s="29"/>
      <c r="TA1314" s="29"/>
      <c r="TB1314" s="29"/>
      <c r="TC1314" s="29"/>
      <c r="TD1314" s="29"/>
      <c r="TE1314" s="29"/>
      <c r="TF1314" s="29"/>
      <c r="TG1314" s="29"/>
      <c r="TH1314" s="29"/>
      <c r="TI1314" s="29"/>
      <c r="TJ1314" s="29"/>
      <c r="TK1314" s="29"/>
      <c r="TL1314" s="29"/>
      <c r="TM1314" s="29"/>
      <c r="TN1314" s="29"/>
      <c r="TO1314" s="29"/>
      <c r="TP1314" s="29"/>
      <c r="TQ1314" s="29"/>
      <c r="TR1314" s="29"/>
      <c r="TS1314" s="29"/>
      <c r="TT1314" s="29"/>
      <c r="TU1314" s="29"/>
      <c r="TV1314" s="29"/>
      <c r="TW1314" s="29"/>
      <c r="TX1314" s="29"/>
      <c r="TY1314" s="29"/>
      <c r="TZ1314" s="29"/>
      <c r="UA1314" s="29"/>
      <c r="UB1314" s="29"/>
      <c r="UC1314" s="29"/>
      <c r="UD1314" s="29"/>
      <c r="UE1314" s="29"/>
      <c r="UF1314" s="29"/>
      <c r="UG1314" s="29"/>
    </row>
    <row r="1315" spans="1:553" ht="177" customHeight="1">
      <c r="A1315" s="356"/>
      <c r="B1315" s="356"/>
      <c r="C1315" s="427" t="s">
        <v>23</v>
      </c>
      <c r="D1315" s="376" t="s">
        <v>70</v>
      </c>
      <c r="E1315" s="376" t="s">
        <v>715</v>
      </c>
      <c r="F1315" s="386">
        <v>1</v>
      </c>
      <c r="G1315" s="386"/>
      <c r="H1315" s="387">
        <v>952.1</v>
      </c>
      <c r="I1315" s="490">
        <v>952.1</v>
      </c>
      <c r="J1315" s="368">
        <v>62000</v>
      </c>
      <c r="K1315" s="388"/>
      <c r="L1315" s="480">
        <f t="shared" si="198"/>
        <v>59030200</v>
      </c>
      <c r="M1315" s="366"/>
      <c r="N1315" s="366"/>
      <c r="O1315" s="366"/>
      <c r="P1315" s="366"/>
      <c r="Q1315" s="1445"/>
      <c r="R1315" s="1452"/>
      <c r="S1315" s="308"/>
      <c r="T1315" s="308"/>
      <c r="U1315" s="308"/>
      <c r="V1315" s="308"/>
      <c r="W1315" s="685">
        <f>I1315</f>
        <v>952.1</v>
      </c>
      <c r="X1315" s="308"/>
      <c r="Y1315" s="308"/>
      <c r="Z1315" s="604"/>
      <c r="AA1315" s="308"/>
      <c r="AB1315" s="308"/>
      <c r="AC1315" s="486"/>
      <c r="AD1315" s="486"/>
      <c r="AE1315" s="486"/>
      <c r="AF1315" s="486"/>
      <c r="AG1315" s="486"/>
      <c r="AH1315" s="486"/>
      <c r="AI1315" s="486"/>
      <c r="AJ1315" s="486"/>
      <c r="AK1315" s="486"/>
      <c r="AL1315" s="206"/>
      <c r="AM1315" s="29"/>
      <c r="AN1315" s="29"/>
      <c r="AO1315" s="29"/>
      <c r="AP1315" s="29"/>
      <c r="AQ1315" s="29"/>
      <c r="AR1315" s="29"/>
      <c r="AS1315" s="29"/>
      <c r="AT1315" s="29"/>
      <c r="AU1315" s="29"/>
      <c r="AV1315" s="29"/>
      <c r="AW1315" s="29"/>
      <c r="AX1315" s="29"/>
      <c r="AY1315" s="29"/>
      <c r="AZ1315" s="29"/>
      <c r="BA1315" s="29"/>
      <c r="BB1315" s="29"/>
      <c r="BC1315" s="29"/>
      <c r="BD1315" s="29"/>
      <c r="BE1315" s="29"/>
      <c r="BF1315" s="29"/>
      <c r="BG1315" s="29"/>
      <c r="BH1315" s="29"/>
      <c r="BI1315" s="29"/>
      <c r="BJ1315" s="29"/>
      <c r="BK1315" s="29"/>
      <c r="BL1315" s="29"/>
      <c r="BM1315" s="29"/>
      <c r="BN1315" s="29"/>
      <c r="BO1315" s="29"/>
      <c r="BP1315" s="29"/>
      <c r="BQ1315" s="29"/>
      <c r="BR1315" s="29"/>
      <c r="BS1315" s="29"/>
      <c r="BT1315" s="29"/>
      <c r="BU1315" s="29"/>
      <c r="BV1315" s="29"/>
      <c r="BW1315" s="29"/>
      <c r="BX1315" s="29"/>
      <c r="BY1315" s="29"/>
      <c r="BZ1315" s="29"/>
      <c r="CA1315" s="29"/>
      <c r="CB1315" s="29"/>
      <c r="CC1315" s="29"/>
      <c r="CD1315" s="29"/>
      <c r="CE1315" s="29"/>
      <c r="CF1315" s="29"/>
      <c r="CG1315" s="29"/>
      <c r="CH1315" s="29"/>
      <c r="CI1315" s="29"/>
      <c r="CJ1315" s="29"/>
      <c r="CK1315" s="29"/>
      <c r="CL1315" s="29"/>
      <c r="CM1315" s="29"/>
      <c r="CN1315" s="29"/>
      <c r="CO1315" s="29"/>
      <c r="CP1315" s="29"/>
      <c r="CQ1315" s="29"/>
      <c r="CR1315" s="29"/>
      <c r="CS1315" s="29"/>
      <c r="CT1315" s="29"/>
      <c r="CU1315" s="29"/>
      <c r="CV1315" s="29"/>
      <c r="CW1315" s="29"/>
      <c r="CX1315" s="29"/>
      <c r="CY1315" s="29"/>
      <c r="CZ1315" s="29"/>
      <c r="DA1315" s="29"/>
      <c r="DB1315" s="29"/>
      <c r="DC1315" s="29"/>
      <c r="DD1315" s="29"/>
      <c r="DE1315" s="29"/>
      <c r="DF1315" s="29"/>
      <c r="DG1315" s="29"/>
      <c r="DH1315" s="29"/>
      <c r="DI1315" s="29"/>
      <c r="DJ1315" s="29"/>
      <c r="DK1315" s="29"/>
      <c r="DL1315" s="29"/>
      <c r="DM1315" s="29"/>
      <c r="DN1315" s="29"/>
      <c r="DO1315" s="29"/>
      <c r="DP1315" s="29"/>
      <c r="DQ1315" s="29"/>
      <c r="DR1315" s="29"/>
      <c r="DS1315" s="29"/>
      <c r="DT1315" s="29"/>
      <c r="DU1315" s="29"/>
      <c r="DV1315" s="29"/>
      <c r="DW1315" s="29"/>
      <c r="DX1315" s="29"/>
      <c r="DY1315" s="29"/>
      <c r="DZ1315" s="29"/>
      <c r="EA1315" s="29"/>
      <c r="EB1315" s="29"/>
      <c r="EC1315" s="29"/>
      <c r="ED1315" s="29"/>
      <c r="EE1315" s="29"/>
      <c r="EF1315" s="29"/>
      <c r="EG1315" s="29"/>
      <c r="EH1315" s="29"/>
      <c r="EI1315" s="29"/>
      <c r="EJ1315" s="29"/>
      <c r="EK1315" s="29"/>
      <c r="EL1315" s="29"/>
      <c r="EM1315" s="29"/>
      <c r="EN1315" s="29"/>
      <c r="EO1315" s="29"/>
      <c r="EP1315" s="29"/>
      <c r="EQ1315" s="29"/>
      <c r="ER1315" s="29"/>
      <c r="ES1315" s="29"/>
      <c r="ET1315" s="29"/>
      <c r="EU1315" s="29"/>
      <c r="EV1315" s="29"/>
      <c r="EW1315" s="29"/>
      <c r="EX1315" s="29"/>
      <c r="EY1315" s="29"/>
      <c r="EZ1315" s="29"/>
      <c r="FA1315" s="29"/>
      <c r="FB1315" s="29"/>
      <c r="FC1315" s="29"/>
      <c r="FD1315" s="29"/>
      <c r="FE1315" s="29"/>
      <c r="FF1315" s="29"/>
      <c r="FG1315" s="29"/>
      <c r="FH1315" s="29"/>
      <c r="FI1315" s="29"/>
      <c r="FJ1315" s="29"/>
      <c r="FK1315" s="29"/>
      <c r="FL1315" s="29"/>
      <c r="FM1315" s="29"/>
      <c r="FN1315" s="29"/>
      <c r="FO1315" s="29"/>
      <c r="FP1315" s="29"/>
      <c r="FQ1315" s="29"/>
      <c r="FR1315" s="29"/>
      <c r="FS1315" s="29"/>
      <c r="FT1315" s="29"/>
      <c r="FU1315" s="29"/>
      <c r="FV1315" s="29"/>
      <c r="FW1315" s="29"/>
      <c r="FX1315" s="29"/>
      <c r="FY1315" s="29"/>
      <c r="FZ1315" s="29"/>
      <c r="GA1315" s="29"/>
      <c r="GB1315" s="29"/>
      <c r="GC1315" s="29"/>
      <c r="GD1315" s="29"/>
      <c r="GE1315" s="29"/>
      <c r="GF1315" s="29"/>
      <c r="GG1315" s="29"/>
      <c r="GH1315" s="29"/>
      <c r="GI1315" s="29"/>
      <c r="GJ1315" s="29"/>
      <c r="GK1315" s="29"/>
      <c r="GL1315" s="29"/>
      <c r="GM1315" s="29"/>
      <c r="GN1315" s="29"/>
      <c r="GO1315" s="29"/>
      <c r="GP1315" s="29"/>
      <c r="GQ1315" s="29"/>
      <c r="GR1315" s="29"/>
      <c r="GS1315" s="29"/>
      <c r="GT1315" s="29"/>
      <c r="GU1315" s="29"/>
      <c r="GV1315" s="29"/>
      <c r="GW1315" s="29"/>
      <c r="GX1315" s="29"/>
      <c r="GY1315" s="29"/>
      <c r="GZ1315" s="29"/>
      <c r="HA1315" s="29"/>
      <c r="HB1315" s="29"/>
      <c r="HC1315" s="29"/>
      <c r="HD1315" s="29"/>
      <c r="HE1315" s="29"/>
      <c r="HF1315" s="29"/>
      <c r="HG1315" s="29"/>
      <c r="HH1315" s="29"/>
      <c r="HI1315" s="29"/>
      <c r="HJ1315" s="29"/>
      <c r="HK1315" s="29"/>
      <c r="HL1315" s="29"/>
      <c r="HM1315" s="29"/>
      <c r="HN1315" s="29"/>
      <c r="HO1315" s="29"/>
      <c r="HP1315" s="29"/>
      <c r="HQ1315" s="29"/>
      <c r="HR1315" s="29"/>
      <c r="HS1315" s="29"/>
      <c r="HT1315" s="29"/>
      <c r="HU1315" s="29"/>
      <c r="HV1315" s="29"/>
      <c r="HW1315" s="29"/>
      <c r="HX1315" s="29"/>
      <c r="HY1315" s="29"/>
      <c r="HZ1315" s="29"/>
      <c r="IA1315" s="29"/>
      <c r="IB1315" s="29"/>
      <c r="IC1315" s="29"/>
      <c r="ID1315" s="29"/>
      <c r="IE1315" s="29"/>
      <c r="IF1315" s="29"/>
      <c r="IG1315" s="29"/>
      <c r="IH1315" s="29"/>
      <c r="II1315" s="29"/>
      <c r="IJ1315" s="29"/>
      <c r="IK1315" s="29"/>
      <c r="IL1315" s="29"/>
      <c r="IM1315" s="29"/>
      <c r="IN1315" s="29"/>
      <c r="IO1315" s="29"/>
      <c r="IP1315" s="29"/>
      <c r="IQ1315" s="29"/>
      <c r="IR1315" s="29"/>
      <c r="IS1315" s="29"/>
      <c r="IT1315" s="29"/>
      <c r="IU1315" s="29"/>
      <c r="IV1315" s="29"/>
      <c r="IW1315" s="29"/>
      <c r="IX1315" s="29"/>
      <c r="IY1315" s="29"/>
      <c r="IZ1315" s="29"/>
      <c r="JA1315" s="29"/>
      <c r="JB1315" s="29"/>
      <c r="JC1315" s="29"/>
      <c r="JD1315" s="29"/>
      <c r="JE1315" s="29"/>
      <c r="JF1315" s="29"/>
      <c r="JG1315" s="29"/>
      <c r="JH1315" s="29"/>
      <c r="JI1315" s="29"/>
      <c r="JJ1315" s="29"/>
      <c r="JK1315" s="29"/>
      <c r="JL1315" s="29"/>
      <c r="JM1315" s="29"/>
      <c r="JN1315" s="29"/>
      <c r="JO1315" s="29"/>
      <c r="JP1315" s="29"/>
      <c r="JQ1315" s="29"/>
      <c r="JR1315" s="29"/>
      <c r="JS1315" s="29"/>
      <c r="JT1315" s="29"/>
      <c r="JU1315" s="29"/>
      <c r="JV1315" s="29"/>
      <c r="JW1315" s="29"/>
      <c r="JX1315" s="29"/>
      <c r="JY1315" s="29"/>
      <c r="JZ1315" s="29"/>
      <c r="KA1315" s="29"/>
      <c r="KB1315" s="29"/>
      <c r="KC1315" s="29"/>
      <c r="KD1315" s="29"/>
      <c r="KE1315" s="29"/>
      <c r="KF1315" s="29"/>
      <c r="KG1315" s="29"/>
      <c r="KH1315" s="29"/>
      <c r="KI1315" s="29"/>
      <c r="KJ1315" s="29"/>
      <c r="KK1315" s="29"/>
      <c r="KL1315" s="29"/>
      <c r="KM1315" s="29"/>
      <c r="KN1315" s="29"/>
      <c r="KO1315" s="29"/>
      <c r="KP1315" s="29"/>
      <c r="KQ1315" s="29"/>
      <c r="KR1315" s="29"/>
      <c r="KS1315" s="29"/>
      <c r="KT1315" s="29"/>
      <c r="KU1315" s="29"/>
      <c r="KV1315" s="29"/>
      <c r="KW1315" s="29"/>
      <c r="KX1315" s="29"/>
      <c r="KY1315" s="29"/>
      <c r="KZ1315" s="29"/>
      <c r="LA1315" s="29"/>
      <c r="LB1315" s="29"/>
      <c r="LC1315" s="29"/>
      <c r="LD1315" s="29"/>
      <c r="LE1315" s="29"/>
      <c r="LF1315" s="29"/>
      <c r="LG1315" s="29"/>
      <c r="LH1315" s="29"/>
      <c r="LI1315" s="29"/>
      <c r="LJ1315" s="29"/>
      <c r="LK1315" s="29"/>
      <c r="LL1315" s="29"/>
      <c r="LM1315" s="29"/>
      <c r="LN1315" s="29"/>
      <c r="LO1315" s="29"/>
      <c r="LP1315" s="29"/>
      <c r="LQ1315" s="29"/>
      <c r="LR1315" s="29"/>
      <c r="LS1315" s="29"/>
      <c r="LT1315" s="29"/>
      <c r="LU1315" s="29"/>
      <c r="LV1315" s="29"/>
      <c r="LW1315" s="29"/>
      <c r="LX1315" s="29"/>
      <c r="LY1315" s="29"/>
      <c r="LZ1315" s="29"/>
      <c r="MA1315" s="29"/>
      <c r="MB1315" s="29"/>
      <c r="MC1315" s="29"/>
      <c r="MD1315" s="29"/>
      <c r="ME1315" s="29"/>
      <c r="MF1315" s="29"/>
      <c r="MG1315" s="29"/>
      <c r="MH1315" s="29"/>
      <c r="MI1315" s="29"/>
      <c r="MJ1315" s="29"/>
      <c r="MK1315" s="29"/>
      <c r="ML1315" s="29"/>
      <c r="MM1315" s="29"/>
      <c r="MN1315" s="29"/>
      <c r="MO1315" s="29"/>
      <c r="MP1315" s="29"/>
      <c r="MQ1315" s="29"/>
      <c r="MR1315" s="29"/>
      <c r="MS1315" s="29"/>
      <c r="MT1315" s="29"/>
      <c r="MU1315" s="29"/>
      <c r="MV1315" s="29"/>
      <c r="MW1315" s="29"/>
      <c r="MX1315" s="29"/>
      <c r="MY1315" s="29"/>
      <c r="MZ1315" s="29"/>
      <c r="NA1315" s="29"/>
      <c r="NB1315" s="29"/>
      <c r="NC1315" s="29"/>
      <c r="ND1315" s="29"/>
      <c r="NE1315" s="29"/>
      <c r="NF1315" s="29"/>
      <c r="NG1315" s="29"/>
      <c r="NH1315" s="29"/>
      <c r="NI1315" s="29"/>
      <c r="NJ1315" s="29"/>
      <c r="NK1315" s="29"/>
      <c r="NL1315" s="29"/>
      <c r="NM1315" s="29"/>
      <c r="NN1315" s="29"/>
      <c r="NO1315" s="29"/>
      <c r="NP1315" s="29"/>
      <c r="NQ1315" s="29"/>
      <c r="NR1315" s="29"/>
      <c r="NS1315" s="29"/>
      <c r="NT1315" s="29"/>
      <c r="NU1315" s="29"/>
      <c r="NV1315" s="29"/>
      <c r="NW1315" s="29"/>
      <c r="NX1315" s="29"/>
      <c r="NY1315" s="29"/>
      <c r="NZ1315" s="29"/>
      <c r="OA1315" s="29"/>
      <c r="OB1315" s="29"/>
      <c r="OC1315" s="29"/>
      <c r="OD1315" s="29"/>
      <c r="OE1315" s="29"/>
      <c r="OF1315" s="29"/>
      <c r="OG1315" s="29"/>
      <c r="OH1315" s="29"/>
      <c r="OI1315" s="29"/>
      <c r="OJ1315" s="29"/>
      <c r="OK1315" s="29"/>
      <c r="OL1315" s="29"/>
      <c r="OM1315" s="29"/>
      <c r="ON1315" s="29"/>
      <c r="OO1315" s="29"/>
      <c r="OP1315" s="29"/>
      <c r="OQ1315" s="29"/>
      <c r="OR1315" s="29"/>
      <c r="OS1315" s="29"/>
      <c r="OT1315" s="29"/>
      <c r="OU1315" s="29"/>
      <c r="OV1315" s="29"/>
      <c r="OW1315" s="29"/>
      <c r="OX1315" s="29"/>
      <c r="OY1315" s="29"/>
      <c r="OZ1315" s="29"/>
      <c r="PA1315" s="29"/>
      <c r="PB1315" s="29"/>
      <c r="PC1315" s="29"/>
      <c r="PD1315" s="29"/>
      <c r="PE1315" s="29"/>
      <c r="PF1315" s="29"/>
      <c r="PG1315" s="29"/>
      <c r="PH1315" s="29"/>
      <c r="PI1315" s="29"/>
      <c r="PJ1315" s="29"/>
      <c r="PK1315" s="29"/>
      <c r="PL1315" s="29"/>
      <c r="PM1315" s="29"/>
      <c r="PN1315" s="29"/>
      <c r="PO1315" s="29"/>
      <c r="PP1315" s="29"/>
      <c r="PQ1315" s="29"/>
      <c r="PR1315" s="29"/>
      <c r="PS1315" s="29"/>
      <c r="PT1315" s="29"/>
      <c r="PU1315" s="29"/>
      <c r="PV1315" s="29"/>
      <c r="PW1315" s="29"/>
      <c r="PX1315" s="29"/>
      <c r="PY1315" s="29"/>
      <c r="PZ1315" s="29"/>
      <c r="QA1315" s="29"/>
      <c r="QB1315" s="29"/>
      <c r="QC1315" s="29"/>
      <c r="QD1315" s="29"/>
      <c r="QE1315" s="29"/>
      <c r="QF1315" s="29"/>
      <c r="QG1315" s="29"/>
      <c r="QH1315" s="29"/>
      <c r="QI1315" s="29"/>
      <c r="QJ1315" s="29"/>
      <c r="QK1315" s="29"/>
      <c r="QL1315" s="29"/>
      <c r="QM1315" s="29"/>
      <c r="QN1315" s="29"/>
      <c r="QO1315" s="29"/>
      <c r="QP1315" s="29"/>
      <c r="QQ1315" s="29"/>
      <c r="QR1315" s="29"/>
      <c r="QS1315" s="29"/>
      <c r="QT1315" s="29"/>
      <c r="QU1315" s="29"/>
      <c r="QV1315" s="29"/>
      <c r="QW1315" s="29"/>
      <c r="QX1315" s="29"/>
      <c r="QY1315" s="29"/>
      <c r="QZ1315" s="29"/>
      <c r="RA1315" s="29"/>
      <c r="RB1315" s="29"/>
      <c r="RC1315" s="29"/>
      <c r="RD1315" s="29"/>
      <c r="RE1315" s="29"/>
      <c r="RF1315" s="29"/>
      <c r="RG1315" s="29"/>
      <c r="RH1315" s="29"/>
      <c r="RI1315" s="29"/>
      <c r="RJ1315" s="29"/>
      <c r="RK1315" s="29"/>
      <c r="RL1315" s="29"/>
      <c r="RM1315" s="29"/>
      <c r="RN1315" s="29"/>
      <c r="RO1315" s="29"/>
      <c r="RP1315" s="29"/>
      <c r="RQ1315" s="29"/>
      <c r="RR1315" s="29"/>
      <c r="RS1315" s="29"/>
      <c r="RT1315" s="29"/>
      <c r="RU1315" s="29"/>
      <c r="RV1315" s="29"/>
      <c r="RW1315" s="29"/>
      <c r="RX1315" s="29"/>
      <c r="RY1315" s="29"/>
      <c r="RZ1315" s="29"/>
      <c r="SA1315" s="29"/>
      <c r="SB1315" s="29"/>
      <c r="SC1315" s="29"/>
      <c r="SD1315" s="29"/>
      <c r="SE1315" s="29"/>
      <c r="SF1315" s="29"/>
      <c r="SG1315" s="29"/>
      <c r="SH1315" s="29"/>
      <c r="SI1315" s="29"/>
      <c r="SJ1315" s="29"/>
      <c r="SK1315" s="29"/>
      <c r="SL1315" s="29"/>
      <c r="SM1315" s="29"/>
      <c r="SN1315" s="29"/>
      <c r="SO1315" s="29"/>
      <c r="SP1315" s="29"/>
      <c r="SQ1315" s="29"/>
      <c r="SR1315" s="29"/>
      <c r="SS1315" s="29"/>
      <c r="ST1315" s="29"/>
      <c r="SU1315" s="29"/>
      <c r="SV1315" s="29"/>
      <c r="SW1315" s="29"/>
      <c r="SX1315" s="29"/>
      <c r="SY1315" s="29"/>
      <c r="SZ1315" s="29"/>
      <c r="TA1315" s="29"/>
      <c r="TB1315" s="29"/>
      <c r="TC1315" s="29"/>
      <c r="TD1315" s="29"/>
      <c r="TE1315" s="29"/>
      <c r="TF1315" s="29"/>
      <c r="TG1315" s="29"/>
      <c r="TH1315" s="29"/>
      <c r="TI1315" s="29"/>
      <c r="TJ1315" s="29"/>
      <c r="TK1315" s="29"/>
      <c r="TL1315" s="29"/>
      <c r="TM1315" s="29"/>
      <c r="TN1315" s="29"/>
      <c r="TO1315" s="29"/>
      <c r="TP1315" s="29"/>
      <c r="TQ1315" s="29"/>
      <c r="TR1315" s="29"/>
      <c r="TS1315" s="29"/>
      <c r="TT1315" s="29"/>
      <c r="TU1315" s="29"/>
      <c r="TV1315" s="29"/>
      <c r="TW1315" s="29"/>
      <c r="TX1315" s="29"/>
      <c r="TY1315" s="29"/>
      <c r="TZ1315" s="29"/>
      <c r="UA1315" s="29"/>
      <c r="UB1315" s="29"/>
      <c r="UC1315" s="29"/>
      <c r="UD1315" s="29"/>
      <c r="UE1315" s="29"/>
      <c r="UF1315" s="29"/>
      <c r="UG1315" s="29"/>
    </row>
    <row r="1316" spans="1:553" s="169" customFormat="1" ht="130.5" customHeight="1">
      <c r="A1316" s="356"/>
      <c r="B1316" s="356"/>
      <c r="C1316" s="384" t="s">
        <v>22</v>
      </c>
      <c r="D1316" s="376">
        <v>2</v>
      </c>
      <c r="E1316" s="376">
        <v>444</v>
      </c>
      <c r="F1316" s="386">
        <v>1</v>
      </c>
      <c r="G1316" s="386"/>
      <c r="H1316" s="422">
        <v>495.2</v>
      </c>
      <c r="I1316" s="422">
        <v>495.2</v>
      </c>
      <c r="J1316" s="1061">
        <v>60000</v>
      </c>
      <c r="K1316" s="388"/>
      <c r="L1316" s="480">
        <f t="shared" si="198"/>
        <v>29712000</v>
      </c>
      <c r="M1316" s="366"/>
      <c r="N1316" s="366"/>
      <c r="O1316" s="366"/>
      <c r="P1316" s="366"/>
      <c r="Q1316" s="761" t="s">
        <v>716</v>
      </c>
      <c r="R1316" s="1168" t="s">
        <v>931</v>
      </c>
      <c r="S1316" s="308"/>
      <c r="T1316" s="308"/>
      <c r="U1316" s="308"/>
      <c r="V1316" s="308"/>
      <c r="W1316" s="308"/>
      <c r="X1316" s="308"/>
      <c r="Y1316" s="308"/>
      <c r="Z1316" s="604"/>
      <c r="AA1316" s="308"/>
      <c r="AB1316" s="685">
        <f>I1316</f>
        <v>495.2</v>
      </c>
      <c r="AC1316" s="486"/>
      <c r="AD1316" s="486"/>
      <c r="AE1316" s="486"/>
      <c r="AF1316" s="486"/>
      <c r="AG1316" s="486"/>
      <c r="AH1316" s="486"/>
      <c r="AI1316" s="486"/>
      <c r="AJ1316" s="486"/>
      <c r="AK1316" s="486"/>
      <c r="AL1316" s="334"/>
      <c r="AM1316" s="210"/>
      <c r="AN1316" s="210"/>
      <c r="AO1316" s="210"/>
      <c r="AP1316" s="210"/>
      <c r="AQ1316" s="210"/>
      <c r="AR1316" s="210"/>
      <c r="AS1316" s="210"/>
      <c r="AT1316" s="210"/>
      <c r="AU1316" s="210"/>
      <c r="AV1316" s="210"/>
      <c r="AW1316" s="210"/>
      <c r="AX1316" s="210"/>
      <c r="AY1316" s="210"/>
      <c r="AZ1316" s="210"/>
      <c r="BA1316" s="210"/>
      <c r="BB1316" s="210"/>
      <c r="BC1316" s="210"/>
      <c r="BD1316" s="210"/>
      <c r="BE1316" s="210"/>
      <c r="BF1316" s="210"/>
      <c r="BG1316" s="210"/>
      <c r="BH1316" s="210"/>
      <c r="BI1316" s="210"/>
      <c r="BJ1316" s="210"/>
      <c r="BK1316" s="210"/>
      <c r="BL1316" s="210"/>
      <c r="BM1316" s="210"/>
      <c r="BN1316" s="210"/>
      <c r="BO1316" s="210"/>
      <c r="BP1316" s="210"/>
      <c r="BQ1316" s="210"/>
      <c r="BR1316" s="210"/>
      <c r="BS1316" s="210"/>
      <c r="BT1316" s="210"/>
      <c r="BU1316" s="210"/>
      <c r="BV1316" s="210"/>
      <c r="BW1316" s="210"/>
      <c r="BX1316" s="210"/>
      <c r="BY1316" s="210"/>
      <c r="BZ1316" s="210"/>
      <c r="CA1316" s="210"/>
      <c r="CB1316" s="210"/>
      <c r="CC1316" s="210"/>
      <c r="CD1316" s="210"/>
      <c r="CE1316" s="210"/>
      <c r="CF1316" s="210"/>
      <c r="CG1316" s="210"/>
      <c r="CH1316" s="210"/>
      <c r="CI1316" s="210"/>
      <c r="CJ1316" s="210"/>
      <c r="CK1316" s="210"/>
      <c r="CL1316" s="210"/>
      <c r="CM1316" s="210"/>
      <c r="CN1316" s="210"/>
      <c r="CO1316" s="210"/>
      <c r="CP1316" s="210"/>
      <c r="CQ1316" s="210"/>
      <c r="CR1316" s="210"/>
      <c r="CS1316" s="210"/>
      <c r="CT1316" s="210"/>
      <c r="CU1316" s="210"/>
      <c r="CV1316" s="210"/>
      <c r="CW1316" s="210"/>
      <c r="CX1316" s="210"/>
      <c r="CY1316" s="210"/>
      <c r="CZ1316" s="210"/>
      <c r="DA1316" s="210"/>
      <c r="DB1316" s="210"/>
      <c r="DC1316" s="210"/>
      <c r="DD1316" s="210"/>
      <c r="DE1316" s="210"/>
      <c r="DF1316" s="210"/>
      <c r="DG1316" s="210"/>
      <c r="DH1316" s="210"/>
      <c r="DI1316" s="210"/>
      <c r="DJ1316" s="210"/>
      <c r="DK1316" s="210"/>
      <c r="DL1316" s="210"/>
      <c r="DM1316" s="210"/>
      <c r="DN1316" s="210"/>
      <c r="DO1316" s="210"/>
      <c r="DP1316" s="210"/>
      <c r="DQ1316" s="210"/>
      <c r="DR1316" s="210"/>
      <c r="DS1316" s="210"/>
      <c r="DT1316" s="210"/>
      <c r="DU1316" s="210"/>
      <c r="DV1316" s="210"/>
      <c r="DW1316" s="210"/>
      <c r="DX1316" s="210"/>
      <c r="DY1316" s="210"/>
      <c r="DZ1316" s="210"/>
      <c r="EA1316" s="210"/>
      <c r="EB1316" s="210"/>
      <c r="EC1316" s="210"/>
      <c r="ED1316" s="210"/>
      <c r="EE1316" s="210"/>
      <c r="EF1316" s="210"/>
      <c r="EG1316" s="210"/>
      <c r="EH1316" s="210"/>
      <c r="EI1316" s="210"/>
      <c r="EJ1316" s="210"/>
      <c r="EK1316" s="210"/>
      <c r="EL1316" s="210"/>
      <c r="EM1316" s="210"/>
      <c r="EN1316" s="210"/>
      <c r="EO1316" s="210"/>
      <c r="EP1316" s="210"/>
      <c r="EQ1316" s="210"/>
      <c r="ER1316" s="210"/>
      <c r="ES1316" s="210"/>
      <c r="ET1316" s="210"/>
      <c r="EU1316" s="210"/>
      <c r="EV1316" s="210"/>
      <c r="EW1316" s="210"/>
      <c r="EX1316" s="210"/>
      <c r="EY1316" s="210"/>
      <c r="EZ1316" s="210"/>
      <c r="FA1316" s="210"/>
      <c r="FB1316" s="210"/>
      <c r="FC1316" s="210"/>
      <c r="FD1316" s="210"/>
      <c r="FE1316" s="210"/>
      <c r="FF1316" s="210"/>
      <c r="FG1316" s="210"/>
      <c r="FH1316" s="210"/>
      <c r="FI1316" s="210"/>
      <c r="FJ1316" s="210"/>
      <c r="FK1316" s="210"/>
      <c r="FL1316" s="210"/>
      <c r="FM1316" s="210"/>
      <c r="FN1316" s="210"/>
      <c r="FO1316" s="210"/>
      <c r="FP1316" s="210"/>
      <c r="FQ1316" s="210"/>
      <c r="FR1316" s="210"/>
      <c r="FS1316" s="210"/>
      <c r="FT1316" s="210"/>
      <c r="FU1316" s="210"/>
      <c r="FV1316" s="210"/>
      <c r="FW1316" s="210"/>
      <c r="FX1316" s="210"/>
      <c r="FY1316" s="210"/>
      <c r="FZ1316" s="210"/>
      <c r="GA1316" s="210"/>
      <c r="GB1316" s="210"/>
      <c r="GC1316" s="210"/>
      <c r="GD1316" s="210"/>
      <c r="GE1316" s="210"/>
      <c r="GF1316" s="210"/>
      <c r="GG1316" s="210"/>
      <c r="GH1316" s="210"/>
      <c r="GI1316" s="210"/>
      <c r="GJ1316" s="210"/>
      <c r="GK1316" s="210"/>
      <c r="GL1316" s="210"/>
      <c r="GM1316" s="210"/>
      <c r="GN1316" s="210"/>
      <c r="GO1316" s="210"/>
      <c r="GP1316" s="210"/>
      <c r="GQ1316" s="210"/>
      <c r="GR1316" s="210"/>
      <c r="GS1316" s="210"/>
      <c r="GT1316" s="210"/>
      <c r="GU1316" s="210"/>
      <c r="GV1316" s="210"/>
      <c r="GW1316" s="210"/>
      <c r="GX1316" s="210"/>
      <c r="GY1316" s="210"/>
      <c r="GZ1316" s="210"/>
      <c r="HA1316" s="210"/>
      <c r="HB1316" s="210"/>
      <c r="HC1316" s="210"/>
      <c r="HD1316" s="210"/>
      <c r="HE1316" s="210"/>
      <c r="HF1316" s="210"/>
      <c r="HG1316" s="210"/>
      <c r="HH1316" s="210"/>
      <c r="HI1316" s="210"/>
      <c r="HJ1316" s="210"/>
      <c r="HK1316" s="210"/>
      <c r="HL1316" s="210"/>
      <c r="HM1316" s="210"/>
      <c r="HN1316" s="210"/>
      <c r="HO1316" s="210"/>
      <c r="HP1316" s="210"/>
      <c r="HQ1316" s="210"/>
      <c r="HR1316" s="210"/>
      <c r="HS1316" s="210"/>
      <c r="HT1316" s="210"/>
      <c r="HU1316" s="210"/>
      <c r="HV1316" s="210"/>
      <c r="HW1316" s="210"/>
      <c r="HX1316" s="210"/>
      <c r="HY1316" s="210"/>
      <c r="HZ1316" s="210"/>
      <c r="IA1316" s="210"/>
      <c r="IB1316" s="210"/>
      <c r="IC1316" s="210"/>
      <c r="ID1316" s="210"/>
      <c r="IE1316" s="210"/>
      <c r="IF1316" s="210"/>
      <c r="IG1316" s="210"/>
      <c r="IH1316" s="210"/>
      <c r="II1316" s="210"/>
      <c r="IJ1316" s="210"/>
      <c r="IK1316" s="210"/>
      <c r="IL1316" s="210"/>
      <c r="IM1316" s="210"/>
      <c r="IN1316" s="210"/>
      <c r="IO1316" s="210"/>
      <c r="IP1316" s="210"/>
      <c r="IQ1316" s="210"/>
      <c r="IR1316" s="210"/>
      <c r="IS1316" s="210"/>
      <c r="IT1316" s="210"/>
      <c r="IU1316" s="210"/>
      <c r="IV1316" s="210"/>
      <c r="IW1316" s="210"/>
      <c r="IX1316" s="210"/>
      <c r="IY1316" s="210"/>
      <c r="IZ1316" s="210"/>
      <c r="JA1316" s="210"/>
      <c r="JB1316" s="210"/>
      <c r="JC1316" s="210"/>
      <c r="JD1316" s="210"/>
      <c r="JE1316" s="210"/>
      <c r="JF1316" s="210"/>
      <c r="JG1316" s="210"/>
      <c r="JH1316" s="210"/>
      <c r="JI1316" s="210"/>
      <c r="JJ1316" s="210"/>
      <c r="JK1316" s="210"/>
      <c r="JL1316" s="210"/>
      <c r="JM1316" s="210"/>
      <c r="JN1316" s="210"/>
      <c r="JO1316" s="210"/>
      <c r="JP1316" s="210"/>
      <c r="JQ1316" s="210"/>
      <c r="JR1316" s="210"/>
      <c r="JS1316" s="210"/>
      <c r="JT1316" s="210"/>
      <c r="JU1316" s="210"/>
      <c r="JV1316" s="210"/>
      <c r="JW1316" s="210"/>
      <c r="JX1316" s="210"/>
      <c r="JY1316" s="210"/>
      <c r="JZ1316" s="210"/>
      <c r="KA1316" s="210"/>
      <c r="KB1316" s="210"/>
      <c r="KC1316" s="210"/>
      <c r="KD1316" s="210"/>
      <c r="KE1316" s="210"/>
      <c r="KF1316" s="210"/>
      <c r="KG1316" s="210"/>
      <c r="KH1316" s="210"/>
      <c r="KI1316" s="210"/>
      <c r="KJ1316" s="210"/>
      <c r="KK1316" s="210"/>
      <c r="KL1316" s="210"/>
      <c r="KM1316" s="210"/>
      <c r="KN1316" s="210"/>
      <c r="KO1316" s="210"/>
      <c r="KP1316" s="210"/>
      <c r="KQ1316" s="210"/>
      <c r="KR1316" s="210"/>
      <c r="KS1316" s="210"/>
      <c r="KT1316" s="210"/>
      <c r="KU1316" s="210"/>
      <c r="KV1316" s="210"/>
      <c r="KW1316" s="210"/>
      <c r="KX1316" s="210"/>
      <c r="KY1316" s="210"/>
      <c r="KZ1316" s="210"/>
      <c r="LA1316" s="210"/>
      <c r="LB1316" s="210"/>
      <c r="LC1316" s="210"/>
      <c r="LD1316" s="210"/>
      <c r="LE1316" s="210"/>
      <c r="LF1316" s="210"/>
      <c r="LG1316" s="210"/>
      <c r="LH1316" s="210"/>
      <c r="LI1316" s="210"/>
      <c r="LJ1316" s="210"/>
      <c r="LK1316" s="210"/>
      <c r="LL1316" s="210"/>
      <c r="LM1316" s="210"/>
      <c r="LN1316" s="210"/>
      <c r="LO1316" s="210"/>
      <c r="LP1316" s="210"/>
      <c r="LQ1316" s="210"/>
      <c r="LR1316" s="210"/>
      <c r="LS1316" s="210"/>
      <c r="LT1316" s="210"/>
      <c r="LU1316" s="210"/>
      <c r="LV1316" s="210"/>
      <c r="LW1316" s="210"/>
      <c r="LX1316" s="210"/>
      <c r="LY1316" s="210"/>
      <c r="LZ1316" s="210"/>
      <c r="MA1316" s="210"/>
      <c r="MB1316" s="210"/>
      <c r="MC1316" s="210"/>
      <c r="MD1316" s="210"/>
      <c r="ME1316" s="210"/>
      <c r="MF1316" s="210"/>
      <c r="MG1316" s="210"/>
      <c r="MH1316" s="210"/>
      <c r="MI1316" s="210"/>
      <c r="MJ1316" s="210"/>
      <c r="MK1316" s="210"/>
      <c r="ML1316" s="210"/>
      <c r="MM1316" s="210"/>
      <c r="MN1316" s="210"/>
      <c r="MO1316" s="210"/>
      <c r="MP1316" s="210"/>
      <c r="MQ1316" s="210"/>
      <c r="MR1316" s="210"/>
      <c r="MS1316" s="210"/>
      <c r="MT1316" s="210"/>
      <c r="MU1316" s="210"/>
      <c r="MV1316" s="210"/>
      <c r="MW1316" s="210"/>
      <c r="MX1316" s="210"/>
      <c r="MY1316" s="210"/>
      <c r="MZ1316" s="210"/>
      <c r="NA1316" s="210"/>
      <c r="NB1316" s="210"/>
      <c r="NC1316" s="210"/>
      <c r="ND1316" s="210"/>
      <c r="NE1316" s="210"/>
      <c r="NF1316" s="210"/>
      <c r="NG1316" s="210"/>
      <c r="NH1316" s="210"/>
      <c r="NI1316" s="210"/>
      <c r="NJ1316" s="210"/>
      <c r="NK1316" s="210"/>
      <c r="NL1316" s="210"/>
      <c r="NM1316" s="210"/>
      <c r="NN1316" s="210"/>
      <c r="NO1316" s="210"/>
      <c r="NP1316" s="210"/>
      <c r="NQ1316" s="210"/>
      <c r="NR1316" s="210"/>
      <c r="NS1316" s="210"/>
      <c r="NT1316" s="210"/>
      <c r="NU1316" s="210"/>
      <c r="NV1316" s="210"/>
      <c r="NW1316" s="210"/>
      <c r="NX1316" s="210"/>
      <c r="NY1316" s="210"/>
      <c r="NZ1316" s="210"/>
      <c r="OA1316" s="210"/>
      <c r="OB1316" s="210"/>
      <c r="OC1316" s="210"/>
      <c r="OD1316" s="210"/>
      <c r="OE1316" s="210"/>
      <c r="OF1316" s="210"/>
      <c r="OG1316" s="210"/>
      <c r="OH1316" s="210"/>
      <c r="OI1316" s="210"/>
      <c r="OJ1316" s="210"/>
      <c r="OK1316" s="210"/>
      <c r="OL1316" s="210"/>
      <c r="OM1316" s="210"/>
      <c r="ON1316" s="210"/>
      <c r="OO1316" s="210"/>
      <c r="OP1316" s="210"/>
      <c r="OQ1316" s="210"/>
      <c r="OR1316" s="210"/>
      <c r="OS1316" s="210"/>
      <c r="OT1316" s="210"/>
      <c r="OU1316" s="210"/>
      <c r="OV1316" s="210"/>
      <c r="OW1316" s="210"/>
      <c r="OX1316" s="210"/>
      <c r="OY1316" s="210"/>
      <c r="OZ1316" s="210"/>
      <c r="PA1316" s="210"/>
      <c r="PB1316" s="210"/>
      <c r="PC1316" s="210"/>
      <c r="PD1316" s="210"/>
      <c r="PE1316" s="210"/>
      <c r="PF1316" s="210"/>
      <c r="PG1316" s="210"/>
      <c r="PH1316" s="210"/>
      <c r="PI1316" s="210"/>
      <c r="PJ1316" s="210"/>
      <c r="PK1316" s="210"/>
      <c r="PL1316" s="210"/>
      <c r="PM1316" s="210"/>
      <c r="PN1316" s="210"/>
      <c r="PO1316" s="210"/>
      <c r="PP1316" s="210"/>
      <c r="PQ1316" s="210"/>
      <c r="PR1316" s="210"/>
      <c r="PS1316" s="210"/>
      <c r="PT1316" s="210"/>
      <c r="PU1316" s="210"/>
      <c r="PV1316" s="210"/>
      <c r="PW1316" s="210"/>
      <c r="PX1316" s="210"/>
      <c r="PY1316" s="210"/>
      <c r="PZ1316" s="210"/>
      <c r="QA1316" s="210"/>
      <c r="QB1316" s="210"/>
      <c r="QC1316" s="210"/>
      <c r="QD1316" s="210"/>
      <c r="QE1316" s="210"/>
      <c r="QF1316" s="210"/>
      <c r="QG1316" s="210"/>
      <c r="QH1316" s="210"/>
      <c r="QI1316" s="210"/>
      <c r="QJ1316" s="210"/>
      <c r="QK1316" s="210"/>
      <c r="QL1316" s="210"/>
      <c r="QM1316" s="210"/>
      <c r="QN1316" s="210"/>
      <c r="QO1316" s="210"/>
      <c r="QP1316" s="210"/>
      <c r="QQ1316" s="210"/>
      <c r="QR1316" s="210"/>
      <c r="QS1316" s="210"/>
      <c r="QT1316" s="210"/>
      <c r="QU1316" s="210"/>
      <c r="QV1316" s="210"/>
      <c r="QW1316" s="210"/>
      <c r="QX1316" s="210"/>
      <c r="QY1316" s="210"/>
      <c r="QZ1316" s="210"/>
      <c r="RA1316" s="210"/>
      <c r="RB1316" s="210"/>
      <c r="RC1316" s="210"/>
      <c r="RD1316" s="210"/>
      <c r="RE1316" s="210"/>
      <c r="RF1316" s="210"/>
      <c r="RG1316" s="210"/>
      <c r="RH1316" s="210"/>
      <c r="RI1316" s="210"/>
      <c r="RJ1316" s="210"/>
      <c r="RK1316" s="210"/>
      <c r="RL1316" s="210"/>
      <c r="RM1316" s="210"/>
      <c r="RN1316" s="210"/>
      <c r="RO1316" s="210"/>
      <c r="RP1316" s="210"/>
      <c r="RQ1316" s="210"/>
      <c r="RR1316" s="210"/>
      <c r="RS1316" s="210"/>
      <c r="RT1316" s="210"/>
      <c r="RU1316" s="210"/>
      <c r="RV1316" s="210"/>
      <c r="RW1316" s="210"/>
      <c r="RX1316" s="210"/>
      <c r="RY1316" s="210"/>
      <c r="RZ1316" s="210"/>
      <c r="SA1316" s="210"/>
      <c r="SB1316" s="210"/>
      <c r="SC1316" s="210"/>
      <c r="SD1316" s="210"/>
      <c r="SE1316" s="210"/>
      <c r="SF1316" s="210"/>
      <c r="SG1316" s="210"/>
      <c r="SH1316" s="210"/>
      <c r="SI1316" s="210"/>
      <c r="SJ1316" s="210"/>
      <c r="SK1316" s="210"/>
      <c r="SL1316" s="210"/>
      <c r="SM1316" s="210"/>
      <c r="SN1316" s="210"/>
      <c r="SO1316" s="210"/>
      <c r="SP1316" s="210"/>
      <c r="SQ1316" s="210"/>
      <c r="SR1316" s="210"/>
      <c r="SS1316" s="210"/>
      <c r="ST1316" s="210"/>
      <c r="SU1316" s="210"/>
      <c r="SV1316" s="210"/>
      <c r="SW1316" s="210"/>
      <c r="SX1316" s="210"/>
      <c r="SY1316" s="210"/>
      <c r="SZ1316" s="210"/>
      <c r="TA1316" s="210"/>
      <c r="TB1316" s="210"/>
      <c r="TC1316" s="210"/>
      <c r="TD1316" s="210"/>
      <c r="TE1316" s="210"/>
      <c r="TF1316" s="210"/>
      <c r="TG1316" s="210"/>
      <c r="TH1316" s="210"/>
      <c r="TI1316" s="210"/>
      <c r="TJ1316" s="210"/>
      <c r="TK1316" s="210"/>
      <c r="TL1316" s="210"/>
      <c r="TM1316" s="210"/>
      <c r="TN1316" s="210"/>
      <c r="TO1316" s="210"/>
      <c r="TP1316" s="210"/>
      <c r="TQ1316" s="210"/>
      <c r="TR1316" s="210"/>
      <c r="TS1316" s="210"/>
      <c r="TT1316" s="210"/>
      <c r="TU1316" s="210"/>
      <c r="TV1316" s="210"/>
      <c r="TW1316" s="210"/>
      <c r="TX1316" s="210"/>
      <c r="TY1316" s="210"/>
      <c r="TZ1316" s="210"/>
      <c r="UA1316" s="210"/>
      <c r="UB1316" s="210"/>
      <c r="UC1316" s="210"/>
      <c r="UD1316" s="210"/>
      <c r="UE1316" s="210"/>
      <c r="UF1316" s="210"/>
      <c r="UG1316" s="210"/>
    </row>
    <row r="1317" spans="1:553" s="169" customFormat="1" ht="130.5" customHeight="1">
      <c r="A1317" s="356" t="s">
        <v>15</v>
      </c>
      <c r="B1317" s="356"/>
      <c r="C1317" s="427" t="s">
        <v>22</v>
      </c>
      <c r="D1317" s="376" t="s">
        <v>20</v>
      </c>
      <c r="E1317" s="376" t="s">
        <v>717</v>
      </c>
      <c r="F1317" s="385">
        <v>1</v>
      </c>
      <c r="G1317" s="386" t="s">
        <v>935</v>
      </c>
      <c r="H1317" s="912">
        <v>154.9</v>
      </c>
      <c r="I1317" s="422">
        <v>154.9</v>
      </c>
      <c r="J1317" s="368">
        <v>60000</v>
      </c>
      <c r="K1317" s="388"/>
      <c r="L1317" s="480">
        <f t="shared" si="198"/>
        <v>9294000</v>
      </c>
      <c r="M1317" s="366"/>
      <c r="N1317" s="366"/>
      <c r="O1317" s="366"/>
      <c r="P1317" s="366"/>
      <c r="Q1317" s="761" t="s">
        <v>716</v>
      </c>
      <c r="R1317" s="1168" t="s">
        <v>931</v>
      </c>
      <c r="S1317" s="308"/>
      <c r="T1317" s="308"/>
      <c r="U1317" s="308"/>
      <c r="V1317" s="308"/>
      <c r="W1317" s="308"/>
      <c r="X1317" s="308"/>
      <c r="Y1317" s="308"/>
      <c r="Z1317" s="604"/>
      <c r="AA1317" s="308"/>
      <c r="AB1317" s="685">
        <f>I1317</f>
        <v>154.9</v>
      </c>
      <c r="AC1317" s="486"/>
      <c r="AD1317" s="486"/>
      <c r="AE1317" s="486"/>
      <c r="AF1317" s="486"/>
      <c r="AG1317" s="486"/>
      <c r="AH1317" s="486"/>
      <c r="AI1317" s="486"/>
      <c r="AJ1317" s="486"/>
      <c r="AK1317" s="486"/>
      <c r="AL1317" s="334"/>
      <c r="AM1317" s="210"/>
      <c r="AN1317" s="210"/>
      <c r="AO1317" s="210"/>
      <c r="AP1317" s="210"/>
      <c r="AQ1317" s="210"/>
      <c r="AR1317" s="210"/>
      <c r="AS1317" s="210"/>
      <c r="AT1317" s="210"/>
      <c r="AU1317" s="210"/>
      <c r="AV1317" s="210"/>
      <c r="AW1317" s="210"/>
      <c r="AX1317" s="210"/>
      <c r="AY1317" s="210"/>
      <c r="AZ1317" s="210"/>
      <c r="BA1317" s="210"/>
      <c r="BB1317" s="210"/>
      <c r="BC1317" s="210"/>
      <c r="BD1317" s="210"/>
      <c r="BE1317" s="210"/>
      <c r="BF1317" s="210"/>
      <c r="BG1317" s="210"/>
      <c r="BH1317" s="210"/>
      <c r="BI1317" s="210"/>
      <c r="BJ1317" s="210"/>
      <c r="BK1317" s="210"/>
      <c r="BL1317" s="210"/>
      <c r="BM1317" s="210"/>
      <c r="BN1317" s="210"/>
      <c r="BO1317" s="210"/>
      <c r="BP1317" s="210"/>
      <c r="BQ1317" s="210"/>
      <c r="BR1317" s="210"/>
      <c r="BS1317" s="210"/>
      <c r="BT1317" s="210"/>
      <c r="BU1317" s="210"/>
      <c r="BV1317" s="210"/>
      <c r="BW1317" s="210"/>
      <c r="BX1317" s="210"/>
      <c r="BY1317" s="210"/>
      <c r="BZ1317" s="210"/>
      <c r="CA1317" s="210"/>
      <c r="CB1317" s="210"/>
      <c r="CC1317" s="210"/>
      <c r="CD1317" s="210"/>
      <c r="CE1317" s="210"/>
      <c r="CF1317" s="210"/>
      <c r="CG1317" s="210"/>
      <c r="CH1317" s="210"/>
      <c r="CI1317" s="210"/>
      <c r="CJ1317" s="210"/>
      <c r="CK1317" s="210"/>
      <c r="CL1317" s="210"/>
      <c r="CM1317" s="210"/>
      <c r="CN1317" s="210"/>
      <c r="CO1317" s="210"/>
      <c r="CP1317" s="210"/>
      <c r="CQ1317" s="210"/>
      <c r="CR1317" s="210"/>
      <c r="CS1317" s="210"/>
      <c r="CT1317" s="210"/>
      <c r="CU1317" s="210"/>
      <c r="CV1317" s="210"/>
      <c r="CW1317" s="210"/>
      <c r="CX1317" s="210"/>
      <c r="CY1317" s="210"/>
      <c r="CZ1317" s="210"/>
      <c r="DA1317" s="210"/>
      <c r="DB1317" s="210"/>
      <c r="DC1317" s="210"/>
      <c r="DD1317" s="210"/>
      <c r="DE1317" s="210"/>
      <c r="DF1317" s="210"/>
      <c r="DG1317" s="210"/>
      <c r="DH1317" s="210"/>
      <c r="DI1317" s="210"/>
      <c r="DJ1317" s="210"/>
      <c r="DK1317" s="210"/>
      <c r="DL1317" s="210"/>
      <c r="DM1317" s="210"/>
      <c r="DN1317" s="210"/>
      <c r="DO1317" s="210"/>
      <c r="DP1317" s="210"/>
      <c r="DQ1317" s="210"/>
      <c r="DR1317" s="210"/>
      <c r="DS1317" s="210"/>
      <c r="DT1317" s="210"/>
      <c r="DU1317" s="210"/>
      <c r="DV1317" s="210"/>
      <c r="DW1317" s="210"/>
      <c r="DX1317" s="210"/>
      <c r="DY1317" s="210"/>
      <c r="DZ1317" s="210"/>
      <c r="EA1317" s="210"/>
      <c r="EB1317" s="210"/>
      <c r="EC1317" s="210"/>
      <c r="ED1317" s="210"/>
      <c r="EE1317" s="210"/>
      <c r="EF1317" s="210"/>
      <c r="EG1317" s="210"/>
      <c r="EH1317" s="210"/>
      <c r="EI1317" s="210"/>
      <c r="EJ1317" s="210"/>
      <c r="EK1317" s="210"/>
      <c r="EL1317" s="210"/>
      <c r="EM1317" s="210"/>
      <c r="EN1317" s="210"/>
      <c r="EO1317" s="210"/>
      <c r="EP1317" s="210"/>
      <c r="EQ1317" s="210"/>
      <c r="ER1317" s="210"/>
      <c r="ES1317" s="210"/>
      <c r="ET1317" s="210"/>
      <c r="EU1317" s="210"/>
      <c r="EV1317" s="210"/>
      <c r="EW1317" s="210"/>
      <c r="EX1317" s="210"/>
      <c r="EY1317" s="210"/>
      <c r="EZ1317" s="210"/>
      <c r="FA1317" s="210"/>
      <c r="FB1317" s="210"/>
      <c r="FC1317" s="210"/>
      <c r="FD1317" s="210"/>
      <c r="FE1317" s="210"/>
      <c r="FF1317" s="210"/>
      <c r="FG1317" s="210"/>
      <c r="FH1317" s="210"/>
      <c r="FI1317" s="210"/>
      <c r="FJ1317" s="210"/>
      <c r="FK1317" s="210"/>
      <c r="FL1317" s="210"/>
      <c r="FM1317" s="210"/>
      <c r="FN1317" s="210"/>
      <c r="FO1317" s="210"/>
      <c r="FP1317" s="210"/>
      <c r="FQ1317" s="210"/>
      <c r="FR1317" s="210"/>
      <c r="FS1317" s="210"/>
      <c r="FT1317" s="210"/>
      <c r="FU1317" s="210"/>
      <c r="FV1317" s="210"/>
      <c r="FW1317" s="210"/>
      <c r="FX1317" s="210"/>
      <c r="FY1317" s="210"/>
      <c r="FZ1317" s="210"/>
      <c r="GA1317" s="210"/>
      <c r="GB1317" s="210"/>
      <c r="GC1317" s="210"/>
      <c r="GD1317" s="210"/>
      <c r="GE1317" s="210"/>
      <c r="GF1317" s="210"/>
      <c r="GG1317" s="210"/>
      <c r="GH1317" s="210"/>
      <c r="GI1317" s="210"/>
      <c r="GJ1317" s="210"/>
      <c r="GK1317" s="210"/>
      <c r="GL1317" s="210"/>
      <c r="GM1317" s="210"/>
      <c r="GN1317" s="210"/>
      <c r="GO1317" s="210"/>
      <c r="GP1317" s="210"/>
      <c r="GQ1317" s="210"/>
      <c r="GR1317" s="210"/>
      <c r="GS1317" s="210"/>
      <c r="GT1317" s="210"/>
      <c r="GU1317" s="210"/>
      <c r="GV1317" s="210"/>
      <c r="GW1317" s="210"/>
      <c r="GX1317" s="210"/>
      <c r="GY1317" s="210"/>
      <c r="GZ1317" s="210"/>
      <c r="HA1317" s="210"/>
      <c r="HB1317" s="210"/>
      <c r="HC1317" s="210"/>
      <c r="HD1317" s="210"/>
      <c r="HE1317" s="210"/>
      <c r="HF1317" s="210"/>
      <c r="HG1317" s="210"/>
      <c r="HH1317" s="210"/>
      <c r="HI1317" s="210"/>
      <c r="HJ1317" s="210"/>
      <c r="HK1317" s="210"/>
      <c r="HL1317" s="210"/>
      <c r="HM1317" s="210"/>
      <c r="HN1317" s="210"/>
      <c r="HO1317" s="210"/>
      <c r="HP1317" s="210"/>
      <c r="HQ1317" s="210"/>
      <c r="HR1317" s="210"/>
      <c r="HS1317" s="210"/>
      <c r="HT1317" s="210"/>
      <c r="HU1317" s="210"/>
      <c r="HV1317" s="210"/>
      <c r="HW1317" s="210"/>
      <c r="HX1317" s="210"/>
      <c r="HY1317" s="210"/>
      <c r="HZ1317" s="210"/>
      <c r="IA1317" s="210"/>
      <c r="IB1317" s="210"/>
      <c r="IC1317" s="210"/>
      <c r="ID1317" s="210"/>
      <c r="IE1317" s="210"/>
      <c r="IF1317" s="210"/>
      <c r="IG1317" s="210"/>
      <c r="IH1317" s="210"/>
      <c r="II1317" s="210"/>
      <c r="IJ1317" s="210"/>
      <c r="IK1317" s="210"/>
      <c r="IL1317" s="210"/>
      <c r="IM1317" s="210"/>
      <c r="IN1317" s="210"/>
      <c r="IO1317" s="210"/>
      <c r="IP1317" s="210"/>
      <c r="IQ1317" s="210"/>
      <c r="IR1317" s="210"/>
      <c r="IS1317" s="210"/>
      <c r="IT1317" s="210"/>
      <c r="IU1317" s="210"/>
      <c r="IV1317" s="210"/>
      <c r="IW1317" s="210"/>
      <c r="IX1317" s="210"/>
      <c r="IY1317" s="210"/>
      <c r="IZ1317" s="210"/>
      <c r="JA1317" s="210"/>
      <c r="JB1317" s="210"/>
      <c r="JC1317" s="210"/>
      <c r="JD1317" s="210"/>
      <c r="JE1317" s="210"/>
      <c r="JF1317" s="210"/>
      <c r="JG1317" s="210"/>
      <c r="JH1317" s="210"/>
      <c r="JI1317" s="210"/>
      <c r="JJ1317" s="210"/>
      <c r="JK1317" s="210"/>
      <c r="JL1317" s="210"/>
      <c r="JM1317" s="210"/>
      <c r="JN1317" s="210"/>
      <c r="JO1317" s="210"/>
      <c r="JP1317" s="210"/>
      <c r="JQ1317" s="210"/>
      <c r="JR1317" s="210"/>
      <c r="JS1317" s="210"/>
      <c r="JT1317" s="210"/>
      <c r="JU1317" s="210"/>
      <c r="JV1317" s="210"/>
      <c r="JW1317" s="210"/>
      <c r="JX1317" s="210"/>
      <c r="JY1317" s="210"/>
      <c r="JZ1317" s="210"/>
      <c r="KA1317" s="210"/>
      <c r="KB1317" s="210"/>
      <c r="KC1317" s="210"/>
      <c r="KD1317" s="210"/>
      <c r="KE1317" s="210"/>
      <c r="KF1317" s="210"/>
      <c r="KG1317" s="210"/>
      <c r="KH1317" s="210"/>
      <c r="KI1317" s="210"/>
      <c r="KJ1317" s="210"/>
      <c r="KK1317" s="210"/>
      <c r="KL1317" s="210"/>
      <c r="KM1317" s="210"/>
      <c r="KN1317" s="210"/>
      <c r="KO1317" s="210"/>
      <c r="KP1317" s="210"/>
      <c r="KQ1317" s="210"/>
      <c r="KR1317" s="210"/>
      <c r="KS1317" s="210"/>
      <c r="KT1317" s="210"/>
      <c r="KU1317" s="210"/>
      <c r="KV1317" s="210"/>
      <c r="KW1317" s="210"/>
      <c r="KX1317" s="210"/>
      <c r="KY1317" s="210"/>
      <c r="KZ1317" s="210"/>
      <c r="LA1317" s="210"/>
      <c r="LB1317" s="210"/>
      <c r="LC1317" s="210"/>
      <c r="LD1317" s="210"/>
      <c r="LE1317" s="210"/>
      <c r="LF1317" s="210"/>
      <c r="LG1317" s="210"/>
      <c r="LH1317" s="210"/>
      <c r="LI1317" s="210"/>
      <c r="LJ1317" s="210"/>
      <c r="LK1317" s="210"/>
      <c r="LL1317" s="210"/>
      <c r="LM1317" s="210"/>
      <c r="LN1317" s="210"/>
      <c r="LO1317" s="210"/>
      <c r="LP1317" s="210"/>
      <c r="LQ1317" s="210"/>
      <c r="LR1317" s="210"/>
      <c r="LS1317" s="210"/>
      <c r="LT1317" s="210"/>
      <c r="LU1317" s="210"/>
      <c r="LV1317" s="210"/>
      <c r="LW1317" s="210"/>
      <c r="LX1317" s="210"/>
      <c r="LY1317" s="210"/>
      <c r="LZ1317" s="210"/>
      <c r="MA1317" s="210"/>
      <c r="MB1317" s="210"/>
      <c r="MC1317" s="210"/>
      <c r="MD1317" s="210"/>
      <c r="ME1317" s="210"/>
      <c r="MF1317" s="210"/>
      <c r="MG1317" s="210"/>
      <c r="MH1317" s="210"/>
      <c r="MI1317" s="210"/>
      <c r="MJ1317" s="210"/>
      <c r="MK1317" s="210"/>
      <c r="ML1317" s="210"/>
      <c r="MM1317" s="210"/>
      <c r="MN1317" s="210"/>
      <c r="MO1317" s="210"/>
      <c r="MP1317" s="210"/>
      <c r="MQ1317" s="210"/>
      <c r="MR1317" s="210"/>
      <c r="MS1317" s="210"/>
      <c r="MT1317" s="210"/>
      <c r="MU1317" s="210"/>
      <c r="MV1317" s="210"/>
      <c r="MW1317" s="210"/>
      <c r="MX1317" s="210"/>
      <c r="MY1317" s="210"/>
      <c r="MZ1317" s="210"/>
      <c r="NA1317" s="210"/>
      <c r="NB1317" s="210"/>
      <c r="NC1317" s="210"/>
      <c r="ND1317" s="210"/>
      <c r="NE1317" s="210"/>
      <c r="NF1317" s="210"/>
      <c r="NG1317" s="210"/>
      <c r="NH1317" s="210"/>
      <c r="NI1317" s="210"/>
      <c r="NJ1317" s="210"/>
      <c r="NK1317" s="210"/>
      <c r="NL1317" s="210"/>
      <c r="NM1317" s="210"/>
      <c r="NN1317" s="210"/>
      <c r="NO1317" s="210"/>
      <c r="NP1317" s="210"/>
      <c r="NQ1317" s="210"/>
      <c r="NR1317" s="210"/>
      <c r="NS1317" s="210"/>
      <c r="NT1317" s="210"/>
      <c r="NU1317" s="210"/>
      <c r="NV1317" s="210"/>
      <c r="NW1317" s="210"/>
      <c r="NX1317" s="210"/>
      <c r="NY1317" s="210"/>
      <c r="NZ1317" s="210"/>
      <c r="OA1317" s="210"/>
      <c r="OB1317" s="210"/>
      <c r="OC1317" s="210"/>
      <c r="OD1317" s="210"/>
      <c r="OE1317" s="210"/>
      <c r="OF1317" s="210"/>
      <c r="OG1317" s="210"/>
      <c r="OH1317" s="210"/>
      <c r="OI1317" s="210"/>
      <c r="OJ1317" s="210"/>
      <c r="OK1317" s="210"/>
      <c r="OL1317" s="210"/>
      <c r="OM1317" s="210"/>
      <c r="ON1317" s="210"/>
      <c r="OO1317" s="210"/>
      <c r="OP1317" s="210"/>
      <c r="OQ1317" s="210"/>
      <c r="OR1317" s="210"/>
      <c r="OS1317" s="210"/>
      <c r="OT1317" s="210"/>
      <c r="OU1317" s="210"/>
      <c r="OV1317" s="210"/>
      <c r="OW1317" s="210"/>
      <c r="OX1317" s="210"/>
      <c r="OY1317" s="210"/>
      <c r="OZ1317" s="210"/>
      <c r="PA1317" s="210"/>
      <c r="PB1317" s="210"/>
      <c r="PC1317" s="210"/>
      <c r="PD1317" s="210"/>
      <c r="PE1317" s="210"/>
      <c r="PF1317" s="210"/>
      <c r="PG1317" s="210"/>
      <c r="PH1317" s="210"/>
      <c r="PI1317" s="210"/>
      <c r="PJ1317" s="210"/>
      <c r="PK1317" s="210"/>
      <c r="PL1317" s="210"/>
      <c r="PM1317" s="210"/>
      <c r="PN1317" s="210"/>
      <c r="PO1317" s="210"/>
      <c r="PP1317" s="210"/>
      <c r="PQ1317" s="210"/>
      <c r="PR1317" s="210"/>
      <c r="PS1317" s="210"/>
      <c r="PT1317" s="210"/>
      <c r="PU1317" s="210"/>
      <c r="PV1317" s="210"/>
      <c r="PW1317" s="210"/>
      <c r="PX1317" s="210"/>
      <c r="PY1317" s="210"/>
      <c r="PZ1317" s="210"/>
      <c r="QA1317" s="210"/>
      <c r="QB1317" s="210"/>
      <c r="QC1317" s="210"/>
      <c r="QD1317" s="210"/>
      <c r="QE1317" s="210"/>
      <c r="QF1317" s="210"/>
      <c r="QG1317" s="210"/>
      <c r="QH1317" s="210"/>
      <c r="QI1317" s="210"/>
      <c r="QJ1317" s="210"/>
      <c r="QK1317" s="210"/>
      <c r="QL1317" s="210"/>
      <c r="QM1317" s="210"/>
      <c r="QN1317" s="210"/>
      <c r="QO1317" s="210"/>
      <c r="QP1317" s="210"/>
      <c r="QQ1317" s="210"/>
      <c r="QR1317" s="210"/>
      <c r="QS1317" s="210"/>
      <c r="QT1317" s="210"/>
      <c r="QU1317" s="210"/>
      <c r="QV1317" s="210"/>
      <c r="QW1317" s="210"/>
      <c r="QX1317" s="210"/>
      <c r="QY1317" s="210"/>
      <c r="QZ1317" s="210"/>
      <c r="RA1317" s="210"/>
      <c r="RB1317" s="210"/>
      <c r="RC1317" s="210"/>
      <c r="RD1317" s="210"/>
      <c r="RE1317" s="210"/>
      <c r="RF1317" s="210"/>
      <c r="RG1317" s="210"/>
      <c r="RH1317" s="210"/>
      <c r="RI1317" s="210"/>
      <c r="RJ1317" s="210"/>
      <c r="RK1317" s="210"/>
      <c r="RL1317" s="210"/>
      <c r="RM1317" s="210"/>
      <c r="RN1317" s="210"/>
      <c r="RO1317" s="210"/>
      <c r="RP1317" s="210"/>
      <c r="RQ1317" s="210"/>
      <c r="RR1317" s="210"/>
      <c r="RS1317" s="210"/>
      <c r="RT1317" s="210"/>
      <c r="RU1317" s="210"/>
      <c r="RV1317" s="210"/>
      <c r="RW1317" s="210"/>
      <c r="RX1317" s="210"/>
      <c r="RY1317" s="210"/>
      <c r="RZ1317" s="210"/>
      <c r="SA1317" s="210"/>
      <c r="SB1317" s="210"/>
      <c r="SC1317" s="210"/>
      <c r="SD1317" s="210"/>
      <c r="SE1317" s="210"/>
      <c r="SF1317" s="210"/>
      <c r="SG1317" s="210"/>
      <c r="SH1317" s="210"/>
      <c r="SI1317" s="210"/>
      <c r="SJ1317" s="210"/>
      <c r="SK1317" s="210"/>
      <c r="SL1317" s="210"/>
      <c r="SM1317" s="210"/>
      <c r="SN1317" s="210"/>
      <c r="SO1317" s="210"/>
      <c r="SP1317" s="210"/>
      <c r="SQ1317" s="210"/>
      <c r="SR1317" s="210"/>
      <c r="SS1317" s="210"/>
      <c r="ST1317" s="210"/>
      <c r="SU1317" s="210"/>
      <c r="SV1317" s="210"/>
      <c r="SW1317" s="210"/>
      <c r="SX1317" s="210"/>
      <c r="SY1317" s="210"/>
      <c r="SZ1317" s="210"/>
      <c r="TA1317" s="210"/>
      <c r="TB1317" s="210"/>
      <c r="TC1317" s="210"/>
      <c r="TD1317" s="210"/>
      <c r="TE1317" s="210"/>
      <c r="TF1317" s="210"/>
      <c r="TG1317" s="210"/>
      <c r="TH1317" s="210"/>
      <c r="TI1317" s="210"/>
      <c r="TJ1317" s="210"/>
      <c r="TK1317" s="210"/>
      <c r="TL1317" s="210"/>
      <c r="TM1317" s="210"/>
      <c r="TN1317" s="210"/>
      <c r="TO1317" s="210"/>
      <c r="TP1317" s="210"/>
      <c r="TQ1317" s="210"/>
      <c r="TR1317" s="210"/>
      <c r="TS1317" s="210"/>
      <c r="TT1317" s="210"/>
      <c r="TU1317" s="210"/>
      <c r="TV1317" s="210"/>
      <c r="TW1317" s="210"/>
      <c r="TX1317" s="210"/>
      <c r="TY1317" s="210"/>
      <c r="TZ1317" s="210"/>
      <c r="UA1317" s="210"/>
      <c r="UB1317" s="210"/>
      <c r="UC1317" s="210"/>
      <c r="UD1317" s="210"/>
      <c r="UE1317" s="210"/>
      <c r="UF1317" s="210"/>
      <c r="UG1317" s="210"/>
    </row>
    <row r="1318" spans="1:553" s="169" customFormat="1" ht="130.5" customHeight="1">
      <c r="A1318" s="356"/>
      <c r="B1318" s="356"/>
      <c r="C1318" s="427" t="s">
        <v>22</v>
      </c>
      <c r="D1318" s="376">
        <v>2</v>
      </c>
      <c r="E1318" s="376">
        <v>485</v>
      </c>
      <c r="F1318" s="385">
        <v>1</v>
      </c>
      <c r="G1318" s="366"/>
      <c r="H1318" s="912">
        <v>285.60000000000002</v>
      </c>
      <c r="I1318" s="422">
        <v>124</v>
      </c>
      <c r="J1318" s="368">
        <v>60000</v>
      </c>
      <c r="K1318" s="388"/>
      <c r="L1318" s="480">
        <f t="shared" si="198"/>
        <v>7440000</v>
      </c>
      <c r="M1318" s="356"/>
      <c r="N1318" s="356"/>
      <c r="O1318" s="356"/>
      <c r="P1318" s="356"/>
      <c r="Q1318" s="761" t="s">
        <v>716</v>
      </c>
      <c r="R1318" s="1168" t="s">
        <v>931</v>
      </c>
      <c r="S1318" s="308"/>
      <c r="T1318" s="308"/>
      <c r="U1318" s="308"/>
      <c r="V1318" s="308"/>
      <c r="W1318" s="308"/>
      <c r="X1318" s="308"/>
      <c r="Y1318" s="308"/>
      <c r="Z1318" s="604"/>
      <c r="AA1318" s="308"/>
      <c r="AB1318" s="685">
        <f>I1318</f>
        <v>124</v>
      </c>
      <c r="AC1318" s="486"/>
      <c r="AD1318" s="486"/>
      <c r="AE1318" s="486"/>
      <c r="AF1318" s="486"/>
      <c r="AG1318" s="486"/>
      <c r="AH1318" s="486"/>
      <c r="AI1318" s="486"/>
      <c r="AJ1318" s="486"/>
      <c r="AK1318" s="486"/>
      <c r="AL1318" s="334"/>
      <c r="AM1318" s="210"/>
      <c r="AN1318" s="210"/>
      <c r="AO1318" s="210"/>
      <c r="AP1318" s="210"/>
      <c r="AQ1318" s="210"/>
      <c r="AR1318" s="210"/>
      <c r="AS1318" s="210"/>
      <c r="AT1318" s="210"/>
      <c r="AU1318" s="210"/>
      <c r="AV1318" s="210"/>
      <c r="AW1318" s="210"/>
      <c r="AX1318" s="210"/>
      <c r="AY1318" s="210"/>
      <c r="AZ1318" s="210"/>
      <c r="BA1318" s="210"/>
      <c r="BB1318" s="210"/>
      <c r="BC1318" s="210"/>
      <c r="BD1318" s="210"/>
      <c r="BE1318" s="210"/>
      <c r="BF1318" s="210"/>
      <c r="BG1318" s="210"/>
      <c r="BH1318" s="210"/>
      <c r="BI1318" s="210"/>
      <c r="BJ1318" s="210"/>
      <c r="BK1318" s="210"/>
      <c r="BL1318" s="210"/>
      <c r="BM1318" s="210"/>
      <c r="BN1318" s="210"/>
      <c r="BO1318" s="210"/>
      <c r="BP1318" s="210"/>
      <c r="BQ1318" s="210"/>
      <c r="BR1318" s="210"/>
      <c r="BS1318" s="210"/>
      <c r="BT1318" s="210"/>
      <c r="BU1318" s="210"/>
      <c r="BV1318" s="210"/>
      <c r="BW1318" s="210"/>
      <c r="BX1318" s="210"/>
      <c r="BY1318" s="210"/>
      <c r="BZ1318" s="210"/>
      <c r="CA1318" s="210"/>
      <c r="CB1318" s="210"/>
      <c r="CC1318" s="210"/>
      <c r="CD1318" s="210"/>
      <c r="CE1318" s="210"/>
      <c r="CF1318" s="210"/>
      <c r="CG1318" s="210"/>
      <c r="CH1318" s="210"/>
      <c r="CI1318" s="210"/>
      <c r="CJ1318" s="210"/>
      <c r="CK1318" s="210"/>
      <c r="CL1318" s="210"/>
      <c r="CM1318" s="210"/>
      <c r="CN1318" s="210"/>
      <c r="CO1318" s="210"/>
      <c r="CP1318" s="210"/>
      <c r="CQ1318" s="210"/>
      <c r="CR1318" s="210"/>
      <c r="CS1318" s="210"/>
      <c r="CT1318" s="210"/>
      <c r="CU1318" s="210"/>
      <c r="CV1318" s="210"/>
      <c r="CW1318" s="210"/>
      <c r="CX1318" s="210"/>
      <c r="CY1318" s="210"/>
      <c r="CZ1318" s="210"/>
      <c r="DA1318" s="210"/>
      <c r="DB1318" s="210"/>
      <c r="DC1318" s="210"/>
      <c r="DD1318" s="210"/>
      <c r="DE1318" s="210"/>
      <c r="DF1318" s="210"/>
      <c r="DG1318" s="210"/>
      <c r="DH1318" s="210"/>
      <c r="DI1318" s="210"/>
      <c r="DJ1318" s="210"/>
      <c r="DK1318" s="210"/>
      <c r="DL1318" s="210"/>
      <c r="DM1318" s="210"/>
      <c r="DN1318" s="210"/>
      <c r="DO1318" s="210"/>
      <c r="DP1318" s="210"/>
      <c r="DQ1318" s="210"/>
      <c r="DR1318" s="210"/>
      <c r="DS1318" s="210"/>
      <c r="DT1318" s="210"/>
      <c r="DU1318" s="210"/>
      <c r="DV1318" s="210"/>
      <c r="DW1318" s="210"/>
      <c r="DX1318" s="210"/>
      <c r="DY1318" s="210"/>
      <c r="DZ1318" s="210"/>
      <c r="EA1318" s="210"/>
      <c r="EB1318" s="210"/>
      <c r="EC1318" s="210"/>
      <c r="ED1318" s="210"/>
      <c r="EE1318" s="210"/>
      <c r="EF1318" s="210"/>
      <c r="EG1318" s="210"/>
      <c r="EH1318" s="210"/>
      <c r="EI1318" s="210"/>
      <c r="EJ1318" s="210"/>
      <c r="EK1318" s="210"/>
      <c r="EL1318" s="210"/>
      <c r="EM1318" s="210"/>
      <c r="EN1318" s="210"/>
      <c r="EO1318" s="210"/>
      <c r="EP1318" s="210"/>
      <c r="EQ1318" s="210"/>
      <c r="ER1318" s="210"/>
      <c r="ES1318" s="210"/>
      <c r="ET1318" s="210"/>
      <c r="EU1318" s="210"/>
      <c r="EV1318" s="210"/>
      <c r="EW1318" s="210"/>
      <c r="EX1318" s="210"/>
      <c r="EY1318" s="210"/>
      <c r="EZ1318" s="210"/>
      <c r="FA1318" s="210"/>
      <c r="FB1318" s="210"/>
      <c r="FC1318" s="210"/>
      <c r="FD1318" s="210"/>
      <c r="FE1318" s="210"/>
      <c r="FF1318" s="210"/>
      <c r="FG1318" s="210"/>
      <c r="FH1318" s="210"/>
      <c r="FI1318" s="210"/>
      <c r="FJ1318" s="210"/>
      <c r="FK1318" s="210"/>
      <c r="FL1318" s="210"/>
      <c r="FM1318" s="210"/>
      <c r="FN1318" s="210"/>
      <c r="FO1318" s="210"/>
      <c r="FP1318" s="210"/>
      <c r="FQ1318" s="210"/>
      <c r="FR1318" s="210"/>
      <c r="FS1318" s="210"/>
      <c r="FT1318" s="210"/>
      <c r="FU1318" s="210"/>
      <c r="FV1318" s="210"/>
      <c r="FW1318" s="210"/>
      <c r="FX1318" s="210"/>
      <c r="FY1318" s="210"/>
      <c r="FZ1318" s="210"/>
      <c r="GA1318" s="210"/>
      <c r="GB1318" s="210"/>
      <c r="GC1318" s="210"/>
      <c r="GD1318" s="210"/>
      <c r="GE1318" s="210"/>
      <c r="GF1318" s="210"/>
      <c r="GG1318" s="210"/>
      <c r="GH1318" s="210"/>
      <c r="GI1318" s="210"/>
      <c r="GJ1318" s="210"/>
      <c r="GK1318" s="210"/>
      <c r="GL1318" s="210"/>
      <c r="GM1318" s="210"/>
      <c r="GN1318" s="210"/>
      <c r="GO1318" s="210"/>
      <c r="GP1318" s="210"/>
      <c r="GQ1318" s="210"/>
      <c r="GR1318" s="210"/>
      <c r="GS1318" s="210"/>
      <c r="GT1318" s="210"/>
      <c r="GU1318" s="210"/>
      <c r="GV1318" s="210"/>
      <c r="GW1318" s="210"/>
      <c r="GX1318" s="210"/>
      <c r="GY1318" s="210"/>
      <c r="GZ1318" s="210"/>
      <c r="HA1318" s="210"/>
      <c r="HB1318" s="210"/>
      <c r="HC1318" s="210"/>
      <c r="HD1318" s="210"/>
      <c r="HE1318" s="210"/>
      <c r="HF1318" s="210"/>
      <c r="HG1318" s="210"/>
      <c r="HH1318" s="210"/>
      <c r="HI1318" s="210"/>
      <c r="HJ1318" s="210"/>
      <c r="HK1318" s="210"/>
      <c r="HL1318" s="210"/>
      <c r="HM1318" s="210"/>
      <c r="HN1318" s="210"/>
      <c r="HO1318" s="210"/>
      <c r="HP1318" s="210"/>
      <c r="HQ1318" s="210"/>
      <c r="HR1318" s="210"/>
      <c r="HS1318" s="210"/>
      <c r="HT1318" s="210"/>
      <c r="HU1318" s="210"/>
      <c r="HV1318" s="210"/>
      <c r="HW1318" s="210"/>
      <c r="HX1318" s="210"/>
      <c r="HY1318" s="210"/>
      <c r="HZ1318" s="210"/>
      <c r="IA1318" s="210"/>
      <c r="IB1318" s="210"/>
      <c r="IC1318" s="210"/>
      <c r="ID1318" s="210"/>
      <c r="IE1318" s="210"/>
      <c r="IF1318" s="210"/>
      <c r="IG1318" s="210"/>
      <c r="IH1318" s="210"/>
      <c r="II1318" s="210"/>
      <c r="IJ1318" s="210"/>
      <c r="IK1318" s="210"/>
      <c r="IL1318" s="210"/>
      <c r="IM1318" s="210"/>
      <c r="IN1318" s="210"/>
      <c r="IO1318" s="210"/>
      <c r="IP1318" s="210"/>
      <c r="IQ1318" s="210"/>
      <c r="IR1318" s="210"/>
      <c r="IS1318" s="210"/>
      <c r="IT1318" s="210"/>
      <c r="IU1318" s="210"/>
      <c r="IV1318" s="210"/>
      <c r="IW1318" s="210"/>
      <c r="IX1318" s="210"/>
      <c r="IY1318" s="210"/>
      <c r="IZ1318" s="210"/>
      <c r="JA1318" s="210"/>
      <c r="JB1318" s="210"/>
      <c r="JC1318" s="210"/>
      <c r="JD1318" s="210"/>
      <c r="JE1318" s="210"/>
      <c r="JF1318" s="210"/>
      <c r="JG1318" s="210"/>
      <c r="JH1318" s="210"/>
      <c r="JI1318" s="210"/>
      <c r="JJ1318" s="210"/>
      <c r="JK1318" s="210"/>
      <c r="JL1318" s="210"/>
      <c r="JM1318" s="210"/>
      <c r="JN1318" s="210"/>
      <c r="JO1318" s="210"/>
      <c r="JP1318" s="210"/>
      <c r="JQ1318" s="210"/>
      <c r="JR1318" s="210"/>
      <c r="JS1318" s="210"/>
      <c r="JT1318" s="210"/>
      <c r="JU1318" s="210"/>
      <c r="JV1318" s="210"/>
      <c r="JW1318" s="210"/>
      <c r="JX1318" s="210"/>
      <c r="JY1318" s="210"/>
      <c r="JZ1318" s="210"/>
      <c r="KA1318" s="210"/>
      <c r="KB1318" s="210"/>
      <c r="KC1318" s="210"/>
      <c r="KD1318" s="210"/>
      <c r="KE1318" s="210"/>
      <c r="KF1318" s="210"/>
      <c r="KG1318" s="210"/>
      <c r="KH1318" s="210"/>
      <c r="KI1318" s="210"/>
      <c r="KJ1318" s="210"/>
      <c r="KK1318" s="210"/>
      <c r="KL1318" s="210"/>
      <c r="KM1318" s="210"/>
      <c r="KN1318" s="210"/>
      <c r="KO1318" s="210"/>
      <c r="KP1318" s="210"/>
      <c r="KQ1318" s="210"/>
      <c r="KR1318" s="210"/>
      <c r="KS1318" s="210"/>
      <c r="KT1318" s="210"/>
      <c r="KU1318" s="210"/>
      <c r="KV1318" s="210"/>
      <c r="KW1318" s="210"/>
      <c r="KX1318" s="210"/>
      <c r="KY1318" s="210"/>
      <c r="KZ1318" s="210"/>
      <c r="LA1318" s="210"/>
      <c r="LB1318" s="210"/>
      <c r="LC1318" s="210"/>
      <c r="LD1318" s="210"/>
      <c r="LE1318" s="210"/>
      <c r="LF1318" s="210"/>
      <c r="LG1318" s="210"/>
      <c r="LH1318" s="210"/>
      <c r="LI1318" s="210"/>
      <c r="LJ1318" s="210"/>
      <c r="LK1318" s="210"/>
      <c r="LL1318" s="210"/>
      <c r="LM1318" s="210"/>
      <c r="LN1318" s="210"/>
      <c r="LO1318" s="210"/>
      <c r="LP1318" s="210"/>
      <c r="LQ1318" s="210"/>
      <c r="LR1318" s="210"/>
      <c r="LS1318" s="210"/>
      <c r="LT1318" s="210"/>
      <c r="LU1318" s="210"/>
      <c r="LV1318" s="210"/>
      <c r="LW1318" s="210"/>
      <c r="LX1318" s="210"/>
      <c r="LY1318" s="210"/>
      <c r="LZ1318" s="210"/>
      <c r="MA1318" s="210"/>
      <c r="MB1318" s="210"/>
      <c r="MC1318" s="210"/>
      <c r="MD1318" s="210"/>
      <c r="ME1318" s="210"/>
      <c r="MF1318" s="210"/>
      <c r="MG1318" s="210"/>
      <c r="MH1318" s="210"/>
      <c r="MI1318" s="210"/>
      <c r="MJ1318" s="210"/>
      <c r="MK1318" s="210"/>
      <c r="ML1318" s="210"/>
      <c r="MM1318" s="210"/>
      <c r="MN1318" s="210"/>
      <c r="MO1318" s="210"/>
      <c r="MP1318" s="210"/>
      <c r="MQ1318" s="210"/>
      <c r="MR1318" s="210"/>
      <c r="MS1318" s="210"/>
      <c r="MT1318" s="210"/>
      <c r="MU1318" s="210"/>
      <c r="MV1318" s="210"/>
      <c r="MW1318" s="210"/>
      <c r="MX1318" s="210"/>
      <c r="MY1318" s="210"/>
      <c r="MZ1318" s="210"/>
      <c r="NA1318" s="210"/>
      <c r="NB1318" s="210"/>
      <c r="NC1318" s="210"/>
      <c r="ND1318" s="210"/>
      <c r="NE1318" s="210"/>
      <c r="NF1318" s="210"/>
      <c r="NG1318" s="210"/>
      <c r="NH1318" s="210"/>
      <c r="NI1318" s="210"/>
      <c r="NJ1318" s="210"/>
      <c r="NK1318" s="210"/>
      <c r="NL1318" s="210"/>
      <c r="NM1318" s="210"/>
      <c r="NN1318" s="210"/>
      <c r="NO1318" s="210"/>
      <c r="NP1318" s="210"/>
      <c r="NQ1318" s="210"/>
      <c r="NR1318" s="210"/>
      <c r="NS1318" s="210"/>
      <c r="NT1318" s="210"/>
      <c r="NU1318" s="210"/>
      <c r="NV1318" s="210"/>
      <c r="NW1318" s="210"/>
      <c r="NX1318" s="210"/>
      <c r="NY1318" s="210"/>
      <c r="NZ1318" s="210"/>
      <c r="OA1318" s="210"/>
      <c r="OB1318" s="210"/>
      <c r="OC1318" s="210"/>
      <c r="OD1318" s="210"/>
      <c r="OE1318" s="210"/>
      <c r="OF1318" s="210"/>
      <c r="OG1318" s="210"/>
      <c r="OH1318" s="210"/>
      <c r="OI1318" s="210"/>
      <c r="OJ1318" s="210"/>
      <c r="OK1318" s="210"/>
      <c r="OL1318" s="210"/>
      <c r="OM1318" s="210"/>
      <c r="ON1318" s="210"/>
      <c r="OO1318" s="210"/>
      <c r="OP1318" s="210"/>
      <c r="OQ1318" s="210"/>
      <c r="OR1318" s="210"/>
      <c r="OS1318" s="210"/>
      <c r="OT1318" s="210"/>
      <c r="OU1318" s="210"/>
      <c r="OV1318" s="210"/>
      <c r="OW1318" s="210"/>
      <c r="OX1318" s="210"/>
      <c r="OY1318" s="210"/>
      <c r="OZ1318" s="210"/>
      <c r="PA1318" s="210"/>
      <c r="PB1318" s="210"/>
      <c r="PC1318" s="210"/>
      <c r="PD1318" s="210"/>
      <c r="PE1318" s="210"/>
      <c r="PF1318" s="210"/>
      <c r="PG1318" s="210"/>
      <c r="PH1318" s="210"/>
      <c r="PI1318" s="210"/>
      <c r="PJ1318" s="210"/>
      <c r="PK1318" s="210"/>
      <c r="PL1318" s="210"/>
      <c r="PM1318" s="210"/>
      <c r="PN1318" s="210"/>
      <c r="PO1318" s="210"/>
      <c r="PP1318" s="210"/>
      <c r="PQ1318" s="210"/>
      <c r="PR1318" s="210"/>
      <c r="PS1318" s="210"/>
      <c r="PT1318" s="210"/>
      <c r="PU1318" s="210"/>
      <c r="PV1318" s="210"/>
      <c r="PW1318" s="210"/>
      <c r="PX1318" s="210"/>
      <c r="PY1318" s="210"/>
      <c r="PZ1318" s="210"/>
      <c r="QA1318" s="210"/>
      <c r="QB1318" s="210"/>
      <c r="QC1318" s="210"/>
      <c r="QD1318" s="210"/>
      <c r="QE1318" s="210"/>
      <c r="QF1318" s="210"/>
      <c r="QG1318" s="210"/>
      <c r="QH1318" s="210"/>
      <c r="QI1318" s="210"/>
      <c r="QJ1318" s="210"/>
      <c r="QK1318" s="210"/>
      <c r="QL1318" s="210"/>
      <c r="QM1318" s="210"/>
      <c r="QN1318" s="210"/>
      <c r="QO1318" s="210"/>
      <c r="QP1318" s="210"/>
      <c r="QQ1318" s="210"/>
      <c r="QR1318" s="210"/>
      <c r="QS1318" s="210"/>
      <c r="QT1318" s="210"/>
      <c r="QU1318" s="210"/>
      <c r="QV1318" s="210"/>
      <c r="QW1318" s="210"/>
      <c r="QX1318" s="210"/>
      <c r="QY1318" s="210"/>
      <c r="QZ1318" s="210"/>
      <c r="RA1318" s="210"/>
      <c r="RB1318" s="210"/>
      <c r="RC1318" s="210"/>
      <c r="RD1318" s="210"/>
      <c r="RE1318" s="210"/>
      <c r="RF1318" s="210"/>
      <c r="RG1318" s="210"/>
      <c r="RH1318" s="210"/>
      <c r="RI1318" s="210"/>
      <c r="RJ1318" s="210"/>
      <c r="RK1318" s="210"/>
      <c r="RL1318" s="210"/>
      <c r="RM1318" s="210"/>
      <c r="RN1318" s="210"/>
      <c r="RO1318" s="210"/>
      <c r="RP1318" s="210"/>
      <c r="RQ1318" s="210"/>
      <c r="RR1318" s="210"/>
      <c r="RS1318" s="210"/>
      <c r="RT1318" s="210"/>
      <c r="RU1318" s="210"/>
      <c r="RV1318" s="210"/>
      <c r="RW1318" s="210"/>
      <c r="RX1318" s="210"/>
      <c r="RY1318" s="210"/>
      <c r="RZ1318" s="210"/>
      <c r="SA1318" s="210"/>
      <c r="SB1318" s="210"/>
      <c r="SC1318" s="210"/>
      <c r="SD1318" s="210"/>
      <c r="SE1318" s="210"/>
      <c r="SF1318" s="210"/>
      <c r="SG1318" s="210"/>
      <c r="SH1318" s="210"/>
      <c r="SI1318" s="210"/>
      <c r="SJ1318" s="210"/>
      <c r="SK1318" s="210"/>
      <c r="SL1318" s="210"/>
      <c r="SM1318" s="210"/>
      <c r="SN1318" s="210"/>
      <c r="SO1318" s="210"/>
      <c r="SP1318" s="210"/>
      <c r="SQ1318" s="210"/>
      <c r="SR1318" s="210"/>
      <c r="SS1318" s="210"/>
      <c r="ST1318" s="210"/>
      <c r="SU1318" s="210"/>
      <c r="SV1318" s="210"/>
      <c r="SW1318" s="210"/>
      <c r="SX1318" s="210"/>
      <c r="SY1318" s="210"/>
      <c r="SZ1318" s="210"/>
      <c r="TA1318" s="210"/>
      <c r="TB1318" s="210"/>
      <c r="TC1318" s="210"/>
      <c r="TD1318" s="210"/>
      <c r="TE1318" s="210"/>
      <c r="TF1318" s="210"/>
      <c r="TG1318" s="210"/>
      <c r="TH1318" s="210"/>
      <c r="TI1318" s="210"/>
      <c r="TJ1318" s="210"/>
      <c r="TK1318" s="210"/>
      <c r="TL1318" s="210"/>
      <c r="TM1318" s="210"/>
      <c r="TN1318" s="210"/>
      <c r="TO1318" s="210"/>
      <c r="TP1318" s="210"/>
      <c r="TQ1318" s="210"/>
      <c r="TR1318" s="210"/>
      <c r="TS1318" s="210"/>
      <c r="TT1318" s="210"/>
      <c r="TU1318" s="210"/>
      <c r="TV1318" s="210"/>
      <c r="TW1318" s="210"/>
      <c r="TX1318" s="210"/>
      <c r="TY1318" s="210"/>
      <c r="TZ1318" s="210"/>
      <c r="UA1318" s="210"/>
      <c r="UB1318" s="210"/>
      <c r="UC1318" s="210"/>
      <c r="UD1318" s="210"/>
      <c r="UE1318" s="210"/>
      <c r="UF1318" s="210"/>
      <c r="UG1318" s="210"/>
    </row>
    <row r="1319" spans="1:553" ht="130.5" customHeight="1">
      <c r="A1319" s="792"/>
      <c r="B1319" s="356"/>
      <c r="C1319" s="427" t="s">
        <v>213</v>
      </c>
      <c r="D1319" s="1605">
        <v>1</v>
      </c>
      <c r="E1319" s="1605">
        <v>346</v>
      </c>
      <c r="F1319" s="1585">
        <v>1</v>
      </c>
      <c r="G1319" s="366"/>
      <c r="H1319" s="1606">
        <v>846.7</v>
      </c>
      <c r="I1319" s="370">
        <v>520</v>
      </c>
      <c r="J1319" s="368">
        <v>62000</v>
      </c>
      <c r="K1319" s="487"/>
      <c r="L1319" s="480">
        <f t="shared" si="198"/>
        <v>32240000</v>
      </c>
      <c r="M1319" s="792"/>
      <c r="N1319" s="792"/>
      <c r="O1319" s="792"/>
      <c r="P1319" s="792"/>
      <c r="Q1319" s="1607" t="s">
        <v>718</v>
      </c>
      <c r="R1319" s="1611" t="s">
        <v>866</v>
      </c>
      <c r="S1319" s="308"/>
      <c r="T1319" s="308"/>
      <c r="U1319" s="308"/>
      <c r="V1319" s="308"/>
      <c r="W1319" s="308"/>
      <c r="X1319" s="308"/>
      <c r="Y1319" s="308"/>
      <c r="Z1319" s="604"/>
      <c r="AA1319" s="1092">
        <f>I1319</f>
        <v>520</v>
      </c>
      <c r="AB1319" s="308"/>
      <c r="AC1319" s="1111"/>
      <c r="AD1319" s="1111"/>
      <c r="AE1319" s="1111"/>
      <c r="AF1319" s="1111"/>
      <c r="AG1319" s="1111"/>
      <c r="AH1319" s="1111"/>
      <c r="AI1319" s="1111"/>
      <c r="AJ1319" s="1111"/>
      <c r="AK1319" s="1111"/>
      <c r="AL1319" s="331"/>
      <c r="AM1319" s="48"/>
      <c r="AN1319" s="48"/>
      <c r="AO1319" s="48"/>
      <c r="AP1319" s="48"/>
      <c r="AQ1319" s="48"/>
      <c r="AR1319" s="48"/>
      <c r="AS1319" s="48"/>
      <c r="AT1319" s="48"/>
      <c r="AU1319" s="48"/>
      <c r="AV1319" s="48"/>
      <c r="AW1319" s="48"/>
      <c r="AX1319" s="48"/>
      <c r="AY1319" s="48"/>
      <c r="AZ1319" s="48"/>
      <c r="BA1319" s="48"/>
      <c r="BB1319" s="48"/>
      <c r="BC1319" s="48"/>
      <c r="BD1319" s="48"/>
      <c r="BE1319" s="48"/>
      <c r="BF1319" s="48"/>
      <c r="BG1319" s="48"/>
      <c r="BH1319" s="48"/>
      <c r="BI1319" s="48"/>
      <c r="BJ1319" s="48"/>
      <c r="BK1319" s="48"/>
      <c r="BL1319" s="48"/>
      <c r="BM1319" s="48"/>
      <c r="BN1319" s="48"/>
      <c r="BO1319" s="48"/>
      <c r="BP1319" s="48"/>
      <c r="BQ1319" s="48"/>
      <c r="BR1319" s="48"/>
      <c r="BS1319" s="48"/>
      <c r="BT1319" s="48"/>
      <c r="BU1319" s="48"/>
      <c r="BV1319" s="48"/>
      <c r="BW1319" s="48"/>
      <c r="BX1319" s="48"/>
      <c r="BY1319" s="48"/>
      <c r="BZ1319" s="48"/>
      <c r="CA1319" s="48"/>
      <c r="CB1319" s="48"/>
      <c r="CC1319" s="48"/>
      <c r="CD1319" s="48"/>
      <c r="CE1319" s="48"/>
      <c r="CF1319" s="48"/>
      <c r="CG1319" s="48"/>
      <c r="CH1319" s="48"/>
      <c r="CI1319" s="48"/>
      <c r="CJ1319" s="48"/>
      <c r="CK1319" s="48"/>
      <c r="CL1319" s="48"/>
      <c r="CM1319" s="48"/>
      <c r="CN1319" s="48"/>
      <c r="CO1319" s="48"/>
      <c r="CP1319" s="48"/>
      <c r="CQ1319" s="48"/>
      <c r="CR1319" s="48"/>
      <c r="CS1319" s="48"/>
      <c r="CT1319" s="48"/>
      <c r="CU1319" s="48"/>
      <c r="CV1319" s="48"/>
      <c r="CW1319" s="48"/>
      <c r="CX1319" s="48"/>
      <c r="CY1319" s="48"/>
      <c r="CZ1319" s="48"/>
      <c r="DA1319" s="48"/>
      <c r="DB1319" s="48"/>
      <c r="DC1319" s="48"/>
      <c r="DD1319" s="48"/>
      <c r="DE1319" s="48"/>
      <c r="DF1319" s="48"/>
      <c r="DG1319" s="48"/>
      <c r="DH1319" s="48"/>
      <c r="DI1319" s="48"/>
      <c r="DJ1319" s="48"/>
      <c r="DK1319" s="48"/>
      <c r="DL1319" s="48"/>
      <c r="DM1319" s="48"/>
      <c r="DN1319" s="48"/>
      <c r="DO1319" s="48"/>
      <c r="DP1319" s="48"/>
      <c r="DQ1319" s="48"/>
      <c r="DR1319" s="48"/>
      <c r="DS1319" s="48"/>
      <c r="DT1319" s="48"/>
      <c r="DU1319" s="48"/>
      <c r="DV1319" s="48"/>
      <c r="DW1319" s="48"/>
      <c r="DX1319" s="48"/>
      <c r="DY1319" s="48"/>
      <c r="DZ1319" s="48"/>
      <c r="EA1319" s="48"/>
      <c r="EB1319" s="48"/>
      <c r="EC1319" s="48"/>
      <c r="ED1319" s="48"/>
      <c r="EE1319" s="48"/>
      <c r="EF1319" s="48"/>
      <c r="EG1319" s="48"/>
      <c r="EH1319" s="48"/>
      <c r="EI1319" s="48"/>
      <c r="EJ1319" s="48"/>
      <c r="EK1319" s="48"/>
      <c r="EL1319" s="48"/>
      <c r="EM1319" s="48"/>
      <c r="EN1319" s="48"/>
      <c r="EO1319" s="48"/>
      <c r="EP1319" s="48"/>
      <c r="EQ1319" s="48"/>
      <c r="ER1319" s="48"/>
      <c r="ES1319" s="48"/>
      <c r="ET1319" s="48"/>
      <c r="EU1319" s="48"/>
      <c r="EV1319" s="48"/>
      <c r="EW1319" s="48"/>
      <c r="EX1319" s="48"/>
      <c r="EY1319" s="48"/>
      <c r="EZ1319" s="48"/>
      <c r="FA1319" s="48"/>
      <c r="FB1319" s="48"/>
      <c r="FC1319" s="48"/>
      <c r="FD1319" s="48"/>
      <c r="FE1319" s="48"/>
      <c r="FF1319" s="48"/>
      <c r="FG1319" s="48"/>
      <c r="FH1319" s="48"/>
      <c r="FI1319" s="48"/>
      <c r="FJ1319" s="48"/>
      <c r="FK1319" s="48"/>
      <c r="FL1319" s="48"/>
      <c r="FM1319" s="48"/>
      <c r="FN1319" s="48"/>
      <c r="FO1319" s="48"/>
      <c r="FP1319" s="48"/>
      <c r="FQ1319" s="48"/>
      <c r="FR1319" s="48"/>
      <c r="FS1319" s="48"/>
      <c r="FT1319" s="48"/>
      <c r="FU1319" s="48"/>
      <c r="FV1319" s="48"/>
      <c r="FW1319" s="48"/>
      <c r="FX1319" s="48"/>
      <c r="FY1319" s="48"/>
      <c r="FZ1319" s="48"/>
      <c r="GA1319" s="48"/>
      <c r="GB1319" s="48"/>
      <c r="GC1319" s="48"/>
      <c r="GD1319" s="48"/>
      <c r="GE1319" s="48"/>
      <c r="GF1319" s="48"/>
      <c r="GG1319" s="48"/>
      <c r="GH1319" s="48"/>
      <c r="GI1319" s="48"/>
      <c r="GJ1319" s="48"/>
      <c r="GK1319" s="48"/>
      <c r="GL1319" s="48"/>
      <c r="GM1319" s="48"/>
      <c r="GN1319" s="48"/>
      <c r="GO1319" s="48"/>
      <c r="GP1319" s="48"/>
      <c r="GQ1319" s="48"/>
      <c r="GR1319" s="48"/>
      <c r="GS1319" s="48"/>
      <c r="GT1319" s="48"/>
      <c r="GU1319" s="48"/>
      <c r="GV1319" s="48"/>
      <c r="GW1319" s="48"/>
      <c r="GX1319" s="48"/>
      <c r="GY1319" s="48"/>
      <c r="GZ1319" s="48"/>
      <c r="HA1319" s="48"/>
      <c r="HB1319" s="48"/>
      <c r="HC1319" s="48"/>
      <c r="HD1319" s="48"/>
      <c r="HE1319" s="48"/>
      <c r="HF1319" s="48"/>
      <c r="HG1319" s="48"/>
      <c r="HH1319" s="48"/>
      <c r="HI1319" s="48"/>
      <c r="HJ1319" s="48"/>
      <c r="HK1319" s="48"/>
      <c r="HL1319" s="48"/>
      <c r="HM1319" s="48"/>
      <c r="HN1319" s="48"/>
      <c r="HO1319" s="48"/>
      <c r="HP1319" s="48"/>
      <c r="HQ1319" s="48"/>
      <c r="HR1319" s="48"/>
      <c r="HS1319" s="48"/>
      <c r="HT1319" s="48"/>
      <c r="HU1319" s="48"/>
      <c r="HV1319" s="48"/>
      <c r="HW1319" s="48"/>
      <c r="HX1319" s="48"/>
      <c r="HY1319" s="48"/>
      <c r="HZ1319" s="48"/>
      <c r="IA1319" s="48"/>
      <c r="IB1319" s="48"/>
      <c r="IC1319" s="48"/>
      <c r="ID1319" s="48"/>
      <c r="IE1319" s="48"/>
      <c r="IF1319" s="48"/>
      <c r="IG1319" s="48"/>
      <c r="IH1319" s="48"/>
      <c r="II1319" s="48"/>
      <c r="IJ1319" s="48"/>
      <c r="IK1319" s="48"/>
      <c r="IL1319" s="48"/>
      <c r="IM1319" s="48"/>
      <c r="IN1319" s="48"/>
      <c r="IO1319" s="48"/>
      <c r="IP1319" s="48"/>
      <c r="IQ1319" s="48"/>
      <c r="IR1319" s="48"/>
      <c r="IS1319" s="48"/>
      <c r="IT1319" s="48"/>
      <c r="IU1319" s="48"/>
      <c r="IV1319" s="48"/>
      <c r="IW1319" s="48"/>
      <c r="IX1319" s="48"/>
      <c r="IY1319" s="48"/>
      <c r="IZ1319" s="48"/>
      <c r="JA1319" s="48"/>
      <c r="JB1319" s="48"/>
      <c r="JC1319" s="48"/>
      <c r="JD1319" s="48"/>
      <c r="JE1319" s="48"/>
      <c r="JF1319" s="48"/>
      <c r="JG1319" s="48"/>
      <c r="JH1319" s="48"/>
      <c r="JI1319" s="48"/>
      <c r="JJ1319" s="48"/>
      <c r="JK1319" s="48"/>
      <c r="JL1319" s="48"/>
      <c r="JM1319" s="48"/>
      <c r="JN1319" s="48"/>
      <c r="JO1319" s="48"/>
      <c r="JP1319" s="48"/>
      <c r="JQ1319" s="48"/>
      <c r="JR1319" s="48"/>
      <c r="JS1319" s="48"/>
      <c r="JT1319" s="48"/>
      <c r="JU1319" s="48"/>
      <c r="JV1319" s="48"/>
      <c r="JW1319" s="48"/>
      <c r="JX1319" s="48"/>
      <c r="JY1319" s="48"/>
      <c r="JZ1319" s="48"/>
      <c r="KA1319" s="48"/>
      <c r="KB1319" s="48"/>
      <c r="KC1319" s="48"/>
      <c r="KD1319" s="48"/>
      <c r="KE1319" s="48"/>
      <c r="KF1319" s="48"/>
      <c r="KG1319" s="48"/>
      <c r="KH1319" s="48"/>
      <c r="KI1319" s="48"/>
      <c r="KJ1319" s="48"/>
      <c r="KK1319" s="48"/>
      <c r="KL1319" s="48"/>
      <c r="KM1319" s="48"/>
      <c r="KN1319" s="48"/>
      <c r="KO1319" s="48"/>
      <c r="KP1319" s="48"/>
      <c r="KQ1319" s="48"/>
      <c r="KR1319" s="48"/>
      <c r="KS1319" s="48"/>
      <c r="KT1319" s="48"/>
      <c r="KU1319" s="48"/>
      <c r="KV1319" s="48"/>
      <c r="KW1319" s="48"/>
      <c r="KX1319" s="48"/>
      <c r="KY1319" s="48"/>
      <c r="KZ1319" s="48"/>
      <c r="LA1319" s="48"/>
      <c r="LB1319" s="48"/>
      <c r="LC1319" s="48"/>
      <c r="LD1319" s="48"/>
      <c r="LE1319" s="48"/>
      <c r="LF1319" s="48"/>
      <c r="LG1319" s="48"/>
      <c r="LH1319" s="48"/>
      <c r="LI1319" s="48"/>
      <c r="LJ1319" s="48"/>
      <c r="LK1319" s="48"/>
      <c r="LL1319" s="48"/>
      <c r="LM1319" s="48"/>
      <c r="LN1319" s="48"/>
      <c r="LO1319" s="48"/>
      <c r="LP1319" s="48"/>
      <c r="LQ1319" s="48"/>
      <c r="LR1319" s="48"/>
      <c r="LS1319" s="48"/>
      <c r="LT1319" s="48"/>
      <c r="LU1319" s="48"/>
      <c r="LV1319" s="48"/>
      <c r="LW1319" s="48"/>
      <c r="LX1319" s="48"/>
      <c r="LY1319" s="48"/>
      <c r="LZ1319" s="48"/>
      <c r="MA1319" s="48"/>
      <c r="MB1319" s="48"/>
      <c r="MC1319" s="48"/>
      <c r="MD1319" s="48"/>
      <c r="ME1319" s="48"/>
      <c r="MF1319" s="48"/>
      <c r="MG1319" s="48"/>
      <c r="MH1319" s="48"/>
      <c r="MI1319" s="48"/>
      <c r="MJ1319" s="48"/>
      <c r="MK1319" s="48"/>
      <c r="ML1319" s="48"/>
      <c r="MM1319" s="48"/>
      <c r="MN1319" s="48"/>
      <c r="MO1319" s="48"/>
      <c r="MP1319" s="48"/>
      <c r="MQ1319" s="48"/>
      <c r="MR1319" s="48"/>
      <c r="MS1319" s="48"/>
      <c r="MT1319" s="48"/>
      <c r="MU1319" s="48"/>
      <c r="MV1319" s="48"/>
      <c r="MW1319" s="48"/>
      <c r="MX1319" s="48"/>
      <c r="MY1319" s="48"/>
      <c r="MZ1319" s="48"/>
      <c r="NA1319" s="48"/>
      <c r="NB1319" s="48"/>
      <c r="NC1319" s="48"/>
      <c r="ND1319" s="48"/>
      <c r="NE1319" s="48"/>
      <c r="NF1319" s="48"/>
      <c r="NG1319" s="48"/>
      <c r="NH1319" s="48"/>
      <c r="NI1319" s="48"/>
      <c r="NJ1319" s="48"/>
      <c r="NK1319" s="48"/>
      <c r="NL1319" s="48"/>
      <c r="NM1319" s="48"/>
      <c r="NN1319" s="48"/>
      <c r="NO1319" s="48"/>
      <c r="NP1319" s="48"/>
      <c r="NQ1319" s="48"/>
      <c r="NR1319" s="48"/>
      <c r="NS1319" s="48"/>
      <c r="NT1319" s="48"/>
      <c r="NU1319" s="48"/>
      <c r="NV1319" s="48"/>
      <c r="NW1319" s="48"/>
      <c r="NX1319" s="48"/>
      <c r="NY1319" s="48"/>
      <c r="NZ1319" s="48"/>
      <c r="OA1319" s="48"/>
      <c r="OB1319" s="48"/>
      <c r="OC1319" s="48"/>
      <c r="OD1319" s="48"/>
      <c r="OE1319" s="48"/>
      <c r="OF1319" s="48"/>
      <c r="OG1319" s="48"/>
      <c r="OH1319" s="48"/>
      <c r="OI1319" s="48"/>
      <c r="OJ1319" s="48"/>
      <c r="OK1319" s="48"/>
      <c r="OL1319" s="48"/>
      <c r="OM1319" s="48"/>
      <c r="ON1319" s="48"/>
      <c r="OO1319" s="48"/>
      <c r="OP1319" s="48"/>
      <c r="OQ1319" s="48"/>
      <c r="OR1319" s="48"/>
      <c r="OS1319" s="48"/>
      <c r="OT1319" s="48"/>
      <c r="OU1319" s="48"/>
      <c r="OV1319" s="48"/>
      <c r="OW1319" s="48"/>
      <c r="OX1319" s="48"/>
      <c r="OY1319" s="48"/>
      <c r="OZ1319" s="48"/>
      <c r="PA1319" s="48"/>
      <c r="PB1319" s="48"/>
      <c r="PC1319" s="48"/>
      <c r="PD1319" s="48"/>
      <c r="PE1319" s="48"/>
      <c r="PF1319" s="48"/>
      <c r="PG1319" s="48"/>
      <c r="PH1319" s="48"/>
      <c r="PI1319" s="48"/>
      <c r="PJ1319" s="48"/>
      <c r="PK1319" s="48"/>
      <c r="PL1319" s="48"/>
      <c r="PM1319" s="48"/>
      <c r="PN1319" s="48"/>
      <c r="PO1319" s="48"/>
      <c r="PP1319" s="48"/>
      <c r="PQ1319" s="48"/>
      <c r="PR1319" s="48"/>
      <c r="PS1319" s="48"/>
      <c r="PT1319" s="48"/>
      <c r="PU1319" s="48"/>
      <c r="PV1319" s="48"/>
      <c r="PW1319" s="48"/>
      <c r="PX1319" s="48"/>
      <c r="PY1319" s="48"/>
      <c r="PZ1319" s="48"/>
      <c r="QA1319" s="48"/>
      <c r="QB1319" s="48"/>
      <c r="QC1319" s="48"/>
      <c r="QD1319" s="48"/>
      <c r="QE1319" s="48"/>
      <c r="QF1319" s="48"/>
      <c r="QG1319" s="48"/>
      <c r="QH1319" s="48"/>
      <c r="QI1319" s="48"/>
      <c r="QJ1319" s="48"/>
      <c r="QK1319" s="48"/>
      <c r="QL1319" s="48"/>
      <c r="QM1319" s="48"/>
      <c r="QN1319" s="48"/>
      <c r="QO1319" s="48"/>
      <c r="QP1319" s="48"/>
      <c r="QQ1319" s="48"/>
      <c r="QR1319" s="48"/>
      <c r="QS1319" s="48"/>
      <c r="QT1319" s="48"/>
      <c r="QU1319" s="48"/>
      <c r="QV1319" s="48"/>
      <c r="QW1319" s="48"/>
      <c r="QX1319" s="48"/>
      <c r="QY1319" s="48"/>
      <c r="QZ1319" s="48"/>
      <c r="RA1319" s="48"/>
      <c r="RB1319" s="48"/>
      <c r="RC1319" s="48"/>
      <c r="RD1319" s="48"/>
      <c r="RE1319" s="48"/>
      <c r="RF1319" s="48"/>
      <c r="RG1319" s="48"/>
      <c r="RH1319" s="48"/>
      <c r="RI1319" s="48"/>
      <c r="RJ1319" s="48"/>
      <c r="RK1319" s="48"/>
      <c r="RL1319" s="48"/>
      <c r="RM1319" s="48"/>
      <c r="RN1319" s="48"/>
      <c r="RO1319" s="48"/>
      <c r="RP1319" s="48"/>
      <c r="RQ1319" s="48"/>
      <c r="RR1319" s="48"/>
      <c r="RS1319" s="48"/>
      <c r="RT1319" s="48"/>
      <c r="RU1319" s="48"/>
      <c r="RV1319" s="48"/>
      <c r="RW1319" s="48"/>
      <c r="RX1319" s="48"/>
      <c r="RY1319" s="48"/>
      <c r="RZ1319" s="48"/>
      <c r="SA1319" s="48"/>
      <c r="SB1319" s="48"/>
      <c r="SC1319" s="48"/>
      <c r="SD1319" s="48"/>
      <c r="SE1319" s="48"/>
      <c r="SF1319" s="48"/>
      <c r="SG1319" s="48"/>
      <c r="SH1319" s="48"/>
      <c r="SI1319" s="48"/>
      <c r="SJ1319" s="48"/>
      <c r="SK1319" s="48"/>
      <c r="SL1319" s="48"/>
      <c r="SM1319" s="48"/>
      <c r="SN1319" s="48"/>
      <c r="SO1319" s="48"/>
      <c r="SP1319" s="48"/>
      <c r="SQ1319" s="48"/>
      <c r="SR1319" s="48"/>
      <c r="SS1319" s="48"/>
      <c r="ST1319" s="48"/>
      <c r="SU1319" s="48"/>
      <c r="SV1319" s="48"/>
      <c r="SW1319" s="48"/>
      <c r="SX1319" s="48"/>
      <c r="SY1319" s="48"/>
      <c r="SZ1319" s="48"/>
      <c r="TA1319" s="48"/>
      <c r="TB1319" s="48"/>
      <c r="TC1319" s="48"/>
      <c r="TD1319" s="48"/>
      <c r="TE1319" s="48"/>
      <c r="TF1319" s="48"/>
      <c r="TG1319" s="48"/>
      <c r="TH1319" s="48"/>
      <c r="TI1319" s="48"/>
      <c r="TJ1319" s="48"/>
      <c r="TK1319" s="48"/>
      <c r="TL1319" s="48"/>
      <c r="TM1319" s="48"/>
      <c r="TN1319" s="48"/>
      <c r="TO1319" s="48"/>
      <c r="TP1319" s="48"/>
      <c r="TQ1319" s="48"/>
      <c r="TR1319" s="48"/>
      <c r="TS1319" s="48"/>
      <c r="TT1319" s="48"/>
      <c r="TU1319" s="48"/>
      <c r="TV1319" s="48"/>
      <c r="TW1319" s="48"/>
      <c r="TX1319" s="48"/>
      <c r="TY1319" s="48"/>
      <c r="TZ1319" s="48"/>
      <c r="UA1319" s="48"/>
      <c r="UB1319" s="48"/>
      <c r="UC1319" s="48"/>
      <c r="UD1319" s="48"/>
      <c r="UE1319" s="48"/>
      <c r="UF1319" s="48"/>
      <c r="UG1319" s="48"/>
    </row>
    <row r="1320" spans="1:553" ht="236.25" customHeight="1">
      <c r="A1320" s="792"/>
      <c r="B1320" s="356"/>
      <c r="C1320" s="793" t="s">
        <v>1327</v>
      </c>
      <c r="D1320" s="1433"/>
      <c r="E1320" s="1434"/>
      <c r="F1320" s="1433"/>
      <c r="G1320" s="366"/>
      <c r="H1320" s="1433"/>
      <c r="I1320" s="370">
        <f>H1319-I1319</f>
        <v>326.70000000000005</v>
      </c>
      <c r="J1320" s="368">
        <v>55000</v>
      </c>
      <c r="K1320" s="487"/>
      <c r="L1320" s="480">
        <f t="shared" si="198"/>
        <v>17968500.000000004</v>
      </c>
      <c r="M1320" s="792"/>
      <c r="N1320" s="792"/>
      <c r="O1320" s="792"/>
      <c r="P1320" s="792"/>
      <c r="Q1320" s="1552"/>
      <c r="R1320" s="1452"/>
      <c r="S1320" s="308"/>
      <c r="T1320" s="308"/>
      <c r="U1320" s="308"/>
      <c r="V1320" s="308"/>
      <c r="W1320" s="308"/>
      <c r="X1320" s="1092">
        <f>I1320</f>
        <v>326.70000000000005</v>
      </c>
      <c r="Y1320" s="308"/>
      <c r="Z1320" s="604"/>
      <c r="AA1320" s="308"/>
      <c r="AB1320" s="308"/>
      <c r="AC1320" s="1111"/>
      <c r="AD1320" s="1111"/>
      <c r="AE1320" s="1111"/>
      <c r="AF1320" s="1111"/>
      <c r="AG1320" s="1111"/>
      <c r="AH1320" s="1111"/>
      <c r="AI1320" s="1111"/>
      <c r="AJ1320" s="1111"/>
      <c r="AK1320" s="1111"/>
      <c r="AL1320" s="331"/>
      <c r="AM1320" s="48"/>
      <c r="AN1320" s="48"/>
      <c r="AO1320" s="48"/>
      <c r="AP1320" s="48"/>
      <c r="AQ1320" s="48"/>
      <c r="AR1320" s="48"/>
      <c r="AS1320" s="48"/>
      <c r="AT1320" s="48"/>
      <c r="AU1320" s="48"/>
      <c r="AV1320" s="48"/>
      <c r="AW1320" s="48"/>
      <c r="AX1320" s="48"/>
      <c r="AY1320" s="48"/>
      <c r="AZ1320" s="48"/>
      <c r="BA1320" s="48"/>
      <c r="BB1320" s="48"/>
      <c r="BC1320" s="48"/>
      <c r="BD1320" s="48"/>
      <c r="BE1320" s="48"/>
      <c r="BF1320" s="48"/>
      <c r="BG1320" s="48"/>
      <c r="BH1320" s="48"/>
      <c r="BI1320" s="48"/>
      <c r="BJ1320" s="48"/>
      <c r="BK1320" s="48"/>
      <c r="BL1320" s="48"/>
      <c r="BM1320" s="48"/>
      <c r="BN1320" s="48"/>
      <c r="BO1320" s="48"/>
      <c r="BP1320" s="48"/>
      <c r="BQ1320" s="48"/>
      <c r="BR1320" s="48"/>
      <c r="BS1320" s="48"/>
      <c r="BT1320" s="48"/>
      <c r="BU1320" s="48"/>
      <c r="BV1320" s="48"/>
      <c r="BW1320" s="48"/>
      <c r="BX1320" s="48"/>
      <c r="BY1320" s="48"/>
      <c r="BZ1320" s="48"/>
      <c r="CA1320" s="48"/>
      <c r="CB1320" s="48"/>
      <c r="CC1320" s="48"/>
      <c r="CD1320" s="48"/>
      <c r="CE1320" s="48"/>
      <c r="CF1320" s="48"/>
      <c r="CG1320" s="48"/>
      <c r="CH1320" s="48"/>
      <c r="CI1320" s="48"/>
      <c r="CJ1320" s="48"/>
      <c r="CK1320" s="48"/>
      <c r="CL1320" s="48"/>
      <c r="CM1320" s="48"/>
      <c r="CN1320" s="48"/>
      <c r="CO1320" s="48"/>
      <c r="CP1320" s="48"/>
      <c r="CQ1320" s="48"/>
      <c r="CR1320" s="48"/>
      <c r="CS1320" s="48"/>
      <c r="CT1320" s="48"/>
      <c r="CU1320" s="48"/>
      <c r="CV1320" s="48"/>
      <c r="CW1320" s="48"/>
      <c r="CX1320" s="48"/>
      <c r="CY1320" s="48"/>
      <c r="CZ1320" s="48"/>
      <c r="DA1320" s="48"/>
      <c r="DB1320" s="48"/>
      <c r="DC1320" s="48"/>
      <c r="DD1320" s="48"/>
      <c r="DE1320" s="48"/>
      <c r="DF1320" s="48"/>
      <c r="DG1320" s="48"/>
      <c r="DH1320" s="48"/>
      <c r="DI1320" s="48"/>
      <c r="DJ1320" s="48"/>
      <c r="DK1320" s="48"/>
      <c r="DL1320" s="48"/>
      <c r="DM1320" s="48"/>
      <c r="DN1320" s="48"/>
      <c r="DO1320" s="48"/>
      <c r="DP1320" s="48"/>
      <c r="DQ1320" s="48"/>
      <c r="DR1320" s="48"/>
      <c r="DS1320" s="48"/>
      <c r="DT1320" s="48"/>
      <c r="DU1320" s="48"/>
      <c r="DV1320" s="48"/>
      <c r="DW1320" s="48"/>
      <c r="DX1320" s="48"/>
      <c r="DY1320" s="48"/>
      <c r="DZ1320" s="48"/>
      <c r="EA1320" s="48"/>
      <c r="EB1320" s="48"/>
      <c r="EC1320" s="48"/>
      <c r="ED1320" s="48"/>
      <c r="EE1320" s="48"/>
      <c r="EF1320" s="48"/>
      <c r="EG1320" s="48"/>
      <c r="EH1320" s="48"/>
      <c r="EI1320" s="48"/>
      <c r="EJ1320" s="48"/>
      <c r="EK1320" s="48"/>
      <c r="EL1320" s="48"/>
      <c r="EM1320" s="48"/>
      <c r="EN1320" s="48"/>
      <c r="EO1320" s="48"/>
      <c r="EP1320" s="48"/>
      <c r="EQ1320" s="48"/>
      <c r="ER1320" s="48"/>
      <c r="ES1320" s="48"/>
      <c r="ET1320" s="48"/>
      <c r="EU1320" s="48"/>
      <c r="EV1320" s="48"/>
      <c r="EW1320" s="48"/>
      <c r="EX1320" s="48"/>
      <c r="EY1320" s="48"/>
      <c r="EZ1320" s="48"/>
      <c r="FA1320" s="48"/>
      <c r="FB1320" s="48"/>
      <c r="FC1320" s="48"/>
      <c r="FD1320" s="48"/>
      <c r="FE1320" s="48"/>
      <c r="FF1320" s="48"/>
      <c r="FG1320" s="48"/>
      <c r="FH1320" s="48"/>
      <c r="FI1320" s="48"/>
      <c r="FJ1320" s="48"/>
      <c r="FK1320" s="48"/>
      <c r="FL1320" s="48"/>
      <c r="FM1320" s="48"/>
      <c r="FN1320" s="48"/>
      <c r="FO1320" s="48"/>
      <c r="FP1320" s="48"/>
      <c r="FQ1320" s="48"/>
      <c r="FR1320" s="48"/>
      <c r="FS1320" s="48"/>
      <c r="FT1320" s="48"/>
      <c r="FU1320" s="48"/>
      <c r="FV1320" s="48"/>
      <c r="FW1320" s="48"/>
      <c r="FX1320" s="48"/>
      <c r="FY1320" s="48"/>
      <c r="FZ1320" s="48"/>
      <c r="GA1320" s="48"/>
      <c r="GB1320" s="48"/>
      <c r="GC1320" s="48"/>
      <c r="GD1320" s="48"/>
      <c r="GE1320" s="48"/>
      <c r="GF1320" s="48"/>
      <c r="GG1320" s="48"/>
      <c r="GH1320" s="48"/>
      <c r="GI1320" s="48"/>
      <c r="GJ1320" s="48"/>
      <c r="GK1320" s="48"/>
      <c r="GL1320" s="48"/>
      <c r="GM1320" s="48"/>
      <c r="GN1320" s="48"/>
      <c r="GO1320" s="48"/>
      <c r="GP1320" s="48"/>
      <c r="GQ1320" s="48"/>
      <c r="GR1320" s="48"/>
      <c r="GS1320" s="48"/>
      <c r="GT1320" s="48"/>
      <c r="GU1320" s="48"/>
      <c r="GV1320" s="48"/>
      <c r="GW1320" s="48"/>
      <c r="GX1320" s="48"/>
      <c r="GY1320" s="48"/>
      <c r="GZ1320" s="48"/>
      <c r="HA1320" s="48"/>
      <c r="HB1320" s="48"/>
      <c r="HC1320" s="48"/>
      <c r="HD1320" s="48"/>
      <c r="HE1320" s="48"/>
      <c r="HF1320" s="48"/>
      <c r="HG1320" s="48"/>
      <c r="HH1320" s="48"/>
      <c r="HI1320" s="48"/>
      <c r="HJ1320" s="48"/>
      <c r="HK1320" s="48"/>
      <c r="HL1320" s="48"/>
      <c r="HM1320" s="48"/>
      <c r="HN1320" s="48"/>
      <c r="HO1320" s="48"/>
      <c r="HP1320" s="48"/>
      <c r="HQ1320" s="48"/>
      <c r="HR1320" s="48"/>
      <c r="HS1320" s="48"/>
      <c r="HT1320" s="48"/>
      <c r="HU1320" s="48"/>
      <c r="HV1320" s="48"/>
      <c r="HW1320" s="48"/>
      <c r="HX1320" s="48"/>
      <c r="HY1320" s="48"/>
      <c r="HZ1320" s="48"/>
      <c r="IA1320" s="48"/>
      <c r="IB1320" s="48"/>
      <c r="IC1320" s="48"/>
      <c r="ID1320" s="48"/>
      <c r="IE1320" s="48"/>
      <c r="IF1320" s="48"/>
      <c r="IG1320" s="48"/>
      <c r="IH1320" s="48"/>
      <c r="II1320" s="48"/>
      <c r="IJ1320" s="48"/>
      <c r="IK1320" s="48"/>
      <c r="IL1320" s="48"/>
      <c r="IM1320" s="48"/>
      <c r="IN1320" s="48"/>
      <c r="IO1320" s="48"/>
      <c r="IP1320" s="48"/>
      <c r="IQ1320" s="48"/>
      <c r="IR1320" s="48"/>
      <c r="IS1320" s="48"/>
      <c r="IT1320" s="48"/>
      <c r="IU1320" s="48"/>
      <c r="IV1320" s="48"/>
      <c r="IW1320" s="48"/>
      <c r="IX1320" s="48"/>
      <c r="IY1320" s="48"/>
      <c r="IZ1320" s="48"/>
      <c r="JA1320" s="48"/>
      <c r="JB1320" s="48"/>
      <c r="JC1320" s="48"/>
      <c r="JD1320" s="48"/>
      <c r="JE1320" s="48"/>
      <c r="JF1320" s="48"/>
      <c r="JG1320" s="48"/>
      <c r="JH1320" s="48"/>
      <c r="JI1320" s="48"/>
      <c r="JJ1320" s="48"/>
      <c r="JK1320" s="48"/>
      <c r="JL1320" s="48"/>
      <c r="JM1320" s="48"/>
      <c r="JN1320" s="48"/>
      <c r="JO1320" s="48"/>
      <c r="JP1320" s="48"/>
      <c r="JQ1320" s="48"/>
      <c r="JR1320" s="48"/>
      <c r="JS1320" s="48"/>
      <c r="JT1320" s="48"/>
      <c r="JU1320" s="48"/>
      <c r="JV1320" s="48"/>
      <c r="JW1320" s="48"/>
      <c r="JX1320" s="48"/>
      <c r="JY1320" s="48"/>
      <c r="JZ1320" s="48"/>
      <c r="KA1320" s="48"/>
      <c r="KB1320" s="48"/>
      <c r="KC1320" s="48"/>
      <c r="KD1320" s="48"/>
      <c r="KE1320" s="48"/>
      <c r="KF1320" s="48"/>
      <c r="KG1320" s="48"/>
      <c r="KH1320" s="48"/>
      <c r="KI1320" s="48"/>
      <c r="KJ1320" s="48"/>
      <c r="KK1320" s="48"/>
      <c r="KL1320" s="48"/>
      <c r="KM1320" s="48"/>
      <c r="KN1320" s="48"/>
      <c r="KO1320" s="48"/>
      <c r="KP1320" s="48"/>
      <c r="KQ1320" s="48"/>
      <c r="KR1320" s="48"/>
      <c r="KS1320" s="48"/>
      <c r="KT1320" s="48"/>
      <c r="KU1320" s="48"/>
      <c r="KV1320" s="48"/>
      <c r="KW1320" s="48"/>
      <c r="KX1320" s="48"/>
      <c r="KY1320" s="48"/>
      <c r="KZ1320" s="48"/>
      <c r="LA1320" s="48"/>
      <c r="LB1320" s="48"/>
      <c r="LC1320" s="48"/>
      <c r="LD1320" s="48"/>
      <c r="LE1320" s="48"/>
      <c r="LF1320" s="48"/>
      <c r="LG1320" s="48"/>
      <c r="LH1320" s="48"/>
      <c r="LI1320" s="48"/>
      <c r="LJ1320" s="48"/>
      <c r="LK1320" s="48"/>
      <c r="LL1320" s="48"/>
      <c r="LM1320" s="48"/>
      <c r="LN1320" s="48"/>
      <c r="LO1320" s="48"/>
      <c r="LP1320" s="48"/>
      <c r="LQ1320" s="48"/>
      <c r="LR1320" s="48"/>
      <c r="LS1320" s="48"/>
      <c r="LT1320" s="48"/>
      <c r="LU1320" s="48"/>
      <c r="LV1320" s="48"/>
      <c r="LW1320" s="48"/>
      <c r="LX1320" s="48"/>
      <c r="LY1320" s="48"/>
      <c r="LZ1320" s="48"/>
      <c r="MA1320" s="48"/>
      <c r="MB1320" s="48"/>
      <c r="MC1320" s="48"/>
      <c r="MD1320" s="48"/>
      <c r="ME1320" s="48"/>
      <c r="MF1320" s="48"/>
      <c r="MG1320" s="48"/>
      <c r="MH1320" s="48"/>
      <c r="MI1320" s="48"/>
      <c r="MJ1320" s="48"/>
      <c r="MK1320" s="48"/>
      <c r="ML1320" s="48"/>
      <c r="MM1320" s="48"/>
      <c r="MN1320" s="48"/>
      <c r="MO1320" s="48"/>
      <c r="MP1320" s="48"/>
      <c r="MQ1320" s="48"/>
      <c r="MR1320" s="48"/>
      <c r="MS1320" s="48"/>
      <c r="MT1320" s="48"/>
      <c r="MU1320" s="48"/>
      <c r="MV1320" s="48"/>
      <c r="MW1320" s="48"/>
      <c r="MX1320" s="48"/>
      <c r="MY1320" s="48"/>
      <c r="MZ1320" s="48"/>
      <c r="NA1320" s="48"/>
      <c r="NB1320" s="48"/>
      <c r="NC1320" s="48"/>
      <c r="ND1320" s="48"/>
      <c r="NE1320" s="48"/>
      <c r="NF1320" s="48"/>
      <c r="NG1320" s="48"/>
      <c r="NH1320" s="48"/>
      <c r="NI1320" s="48"/>
      <c r="NJ1320" s="48"/>
      <c r="NK1320" s="48"/>
      <c r="NL1320" s="48"/>
      <c r="NM1320" s="48"/>
      <c r="NN1320" s="48"/>
      <c r="NO1320" s="48"/>
      <c r="NP1320" s="48"/>
      <c r="NQ1320" s="48"/>
      <c r="NR1320" s="48"/>
      <c r="NS1320" s="48"/>
      <c r="NT1320" s="48"/>
      <c r="NU1320" s="48"/>
      <c r="NV1320" s="48"/>
      <c r="NW1320" s="48"/>
      <c r="NX1320" s="48"/>
      <c r="NY1320" s="48"/>
      <c r="NZ1320" s="48"/>
      <c r="OA1320" s="48"/>
      <c r="OB1320" s="48"/>
      <c r="OC1320" s="48"/>
      <c r="OD1320" s="48"/>
      <c r="OE1320" s="48"/>
      <c r="OF1320" s="48"/>
      <c r="OG1320" s="48"/>
      <c r="OH1320" s="48"/>
      <c r="OI1320" s="48"/>
      <c r="OJ1320" s="48"/>
      <c r="OK1320" s="48"/>
      <c r="OL1320" s="48"/>
      <c r="OM1320" s="48"/>
      <c r="ON1320" s="48"/>
      <c r="OO1320" s="48"/>
      <c r="OP1320" s="48"/>
      <c r="OQ1320" s="48"/>
      <c r="OR1320" s="48"/>
      <c r="OS1320" s="48"/>
      <c r="OT1320" s="48"/>
      <c r="OU1320" s="48"/>
      <c r="OV1320" s="48"/>
      <c r="OW1320" s="48"/>
      <c r="OX1320" s="48"/>
      <c r="OY1320" s="48"/>
      <c r="OZ1320" s="48"/>
      <c r="PA1320" s="48"/>
      <c r="PB1320" s="48"/>
      <c r="PC1320" s="48"/>
      <c r="PD1320" s="48"/>
      <c r="PE1320" s="48"/>
      <c r="PF1320" s="48"/>
      <c r="PG1320" s="48"/>
      <c r="PH1320" s="48"/>
      <c r="PI1320" s="48"/>
      <c r="PJ1320" s="48"/>
      <c r="PK1320" s="48"/>
      <c r="PL1320" s="48"/>
      <c r="PM1320" s="48"/>
      <c r="PN1320" s="48"/>
      <c r="PO1320" s="48"/>
      <c r="PP1320" s="48"/>
      <c r="PQ1320" s="48"/>
      <c r="PR1320" s="48"/>
      <c r="PS1320" s="48"/>
      <c r="PT1320" s="48"/>
      <c r="PU1320" s="48"/>
      <c r="PV1320" s="48"/>
      <c r="PW1320" s="48"/>
      <c r="PX1320" s="48"/>
      <c r="PY1320" s="48"/>
      <c r="PZ1320" s="48"/>
      <c r="QA1320" s="48"/>
      <c r="QB1320" s="48"/>
      <c r="QC1320" s="48"/>
      <c r="QD1320" s="48"/>
      <c r="QE1320" s="48"/>
      <c r="QF1320" s="48"/>
      <c r="QG1320" s="48"/>
      <c r="QH1320" s="48"/>
      <c r="QI1320" s="48"/>
      <c r="QJ1320" s="48"/>
      <c r="QK1320" s="48"/>
      <c r="QL1320" s="48"/>
      <c r="QM1320" s="48"/>
      <c r="QN1320" s="48"/>
      <c r="QO1320" s="48"/>
      <c r="QP1320" s="48"/>
      <c r="QQ1320" s="48"/>
      <c r="QR1320" s="48"/>
      <c r="QS1320" s="48"/>
      <c r="QT1320" s="48"/>
      <c r="QU1320" s="48"/>
      <c r="QV1320" s="48"/>
      <c r="QW1320" s="48"/>
      <c r="QX1320" s="48"/>
      <c r="QY1320" s="48"/>
      <c r="QZ1320" s="48"/>
      <c r="RA1320" s="48"/>
      <c r="RB1320" s="48"/>
      <c r="RC1320" s="48"/>
      <c r="RD1320" s="48"/>
      <c r="RE1320" s="48"/>
      <c r="RF1320" s="48"/>
      <c r="RG1320" s="48"/>
      <c r="RH1320" s="48"/>
      <c r="RI1320" s="48"/>
      <c r="RJ1320" s="48"/>
      <c r="RK1320" s="48"/>
      <c r="RL1320" s="48"/>
      <c r="RM1320" s="48"/>
      <c r="RN1320" s="48"/>
      <c r="RO1320" s="48"/>
      <c r="RP1320" s="48"/>
      <c r="RQ1320" s="48"/>
      <c r="RR1320" s="48"/>
      <c r="RS1320" s="48"/>
      <c r="RT1320" s="48"/>
      <c r="RU1320" s="48"/>
      <c r="RV1320" s="48"/>
      <c r="RW1320" s="48"/>
      <c r="RX1320" s="48"/>
      <c r="RY1320" s="48"/>
      <c r="RZ1320" s="48"/>
      <c r="SA1320" s="48"/>
      <c r="SB1320" s="48"/>
      <c r="SC1320" s="48"/>
      <c r="SD1320" s="48"/>
      <c r="SE1320" s="48"/>
      <c r="SF1320" s="48"/>
      <c r="SG1320" s="48"/>
      <c r="SH1320" s="48"/>
      <c r="SI1320" s="48"/>
      <c r="SJ1320" s="48"/>
      <c r="SK1320" s="48"/>
      <c r="SL1320" s="48"/>
      <c r="SM1320" s="48"/>
      <c r="SN1320" s="48"/>
      <c r="SO1320" s="48"/>
      <c r="SP1320" s="48"/>
      <c r="SQ1320" s="48"/>
      <c r="SR1320" s="48"/>
      <c r="SS1320" s="48"/>
      <c r="ST1320" s="48"/>
      <c r="SU1320" s="48"/>
      <c r="SV1320" s="48"/>
      <c r="SW1320" s="48"/>
      <c r="SX1320" s="48"/>
      <c r="SY1320" s="48"/>
      <c r="SZ1320" s="48"/>
      <c r="TA1320" s="48"/>
      <c r="TB1320" s="48"/>
      <c r="TC1320" s="48"/>
      <c r="TD1320" s="48"/>
      <c r="TE1320" s="48"/>
      <c r="TF1320" s="48"/>
      <c r="TG1320" s="48"/>
      <c r="TH1320" s="48"/>
      <c r="TI1320" s="48"/>
      <c r="TJ1320" s="48"/>
      <c r="TK1320" s="48"/>
      <c r="TL1320" s="48"/>
      <c r="TM1320" s="48"/>
      <c r="TN1320" s="48"/>
      <c r="TO1320" s="48"/>
      <c r="TP1320" s="48"/>
      <c r="TQ1320" s="48"/>
      <c r="TR1320" s="48"/>
      <c r="TS1320" s="48"/>
      <c r="TT1320" s="48"/>
      <c r="TU1320" s="48"/>
      <c r="TV1320" s="48"/>
      <c r="TW1320" s="48"/>
      <c r="TX1320" s="48"/>
      <c r="TY1320" s="48"/>
      <c r="TZ1320" s="48"/>
      <c r="UA1320" s="48"/>
      <c r="UB1320" s="48"/>
      <c r="UC1320" s="48"/>
      <c r="UD1320" s="48"/>
      <c r="UE1320" s="48"/>
      <c r="UF1320" s="48"/>
      <c r="UG1320" s="48"/>
    </row>
    <row r="1321" spans="1:553" ht="77.25" customHeight="1">
      <c r="A1321" s="356" t="s">
        <v>27</v>
      </c>
      <c r="B1321" s="356"/>
      <c r="C1321" s="1413" t="s">
        <v>28</v>
      </c>
      <c r="D1321" s="1389"/>
      <c r="E1321" s="1389"/>
      <c r="F1321" s="1390"/>
      <c r="G1321" s="366"/>
      <c r="H1321" s="370"/>
      <c r="I1321" s="359"/>
      <c r="J1321" s="368"/>
      <c r="K1321" s="371"/>
      <c r="L1321" s="645">
        <f>SUM(L1323:L1332)</f>
        <v>51952215</v>
      </c>
      <c r="M1321" s="356"/>
      <c r="N1321" s="356"/>
      <c r="O1321" s="356"/>
      <c r="P1321" s="356">
        <f>L1321</f>
        <v>51952215</v>
      </c>
      <c r="Q1321" s="610"/>
      <c r="R1321" s="1226" t="s">
        <v>1401</v>
      </c>
      <c r="S1321" s="308"/>
      <c r="T1321" s="308"/>
      <c r="U1321" s="308"/>
      <c r="V1321" s="308"/>
      <c r="W1321" s="308"/>
      <c r="X1321" s="308"/>
      <c r="Y1321" s="308"/>
      <c r="Z1321" s="604"/>
      <c r="AA1321" s="308"/>
      <c r="AB1321" s="308"/>
      <c r="AC1321" s="486"/>
      <c r="AD1321" s="486"/>
      <c r="AE1321" s="486"/>
      <c r="AF1321" s="486"/>
      <c r="AG1321" s="486"/>
      <c r="AH1321" s="486"/>
      <c r="AI1321" s="486"/>
      <c r="AJ1321" s="486"/>
      <c r="AK1321" s="486"/>
      <c r="AL1321" s="206"/>
      <c r="AM1321" s="29"/>
      <c r="AN1321" s="29"/>
      <c r="AO1321" s="29"/>
      <c r="AP1321" s="29"/>
      <c r="AQ1321" s="29"/>
      <c r="AR1321" s="29"/>
      <c r="AS1321" s="29"/>
      <c r="AT1321" s="29"/>
      <c r="AU1321" s="29"/>
      <c r="AV1321" s="29"/>
      <c r="AW1321" s="29"/>
      <c r="AX1321" s="29"/>
      <c r="AY1321" s="29"/>
      <c r="AZ1321" s="29"/>
      <c r="BA1321" s="29"/>
      <c r="BB1321" s="29"/>
      <c r="BC1321" s="29"/>
      <c r="BD1321" s="29"/>
      <c r="BE1321" s="29"/>
      <c r="BF1321" s="29"/>
      <c r="BG1321" s="29"/>
      <c r="BH1321" s="29"/>
      <c r="BI1321" s="29"/>
      <c r="BJ1321" s="29"/>
      <c r="BK1321" s="29"/>
      <c r="BL1321" s="29"/>
      <c r="BM1321" s="29"/>
      <c r="BN1321" s="29"/>
      <c r="BO1321" s="29"/>
      <c r="BP1321" s="29"/>
      <c r="BQ1321" s="29"/>
      <c r="BR1321" s="29"/>
      <c r="BS1321" s="29"/>
      <c r="BT1321" s="29"/>
      <c r="BU1321" s="29"/>
      <c r="BV1321" s="29"/>
      <c r="BW1321" s="29"/>
      <c r="BX1321" s="29"/>
      <c r="BY1321" s="29"/>
      <c r="BZ1321" s="29"/>
      <c r="CA1321" s="29"/>
      <c r="CB1321" s="29"/>
      <c r="CC1321" s="29"/>
      <c r="CD1321" s="29"/>
      <c r="CE1321" s="29"/>
      <c r="CF1321" s="29"/>
      <c r="CG1321" s="29"/>
      <c r="CH1321" s="29"/>
      <c r="CI1321" s="29"/>
      <c r="CJ1321" s="29"/>
      <c r="CK1321" s="29"/>
      <c r="CL1321" s="29"/>
      <c r="CM1321" s="29"/>
      <c r="CN1321" s="29"/>
      <c r="CO1321" s="29"/>
      <c r="CP1321" s="29"/>
      <c r="CQ1321" s="29"/>
      <c r="CR1321" s="29"/>
      <c r="CS1321" s="29"/>
      <c r="CT1321" s="29"/>
      <c r="CU1321" s="29"/>
      <c r="CV1321" s="29"/>
      <c r="CW1321" s="29"/>
      <c r="CX1321" s="29"/>
      <c r="CY1321" s="29"/>
      <c r="CZ1321" s="29"/>
      <c r="DA1321" s="29"/>
      <c r="DB1321" s="29"/>
      <c r="DC1321" s="29"/>
      <c r="DD1321" s="29"/>
      <c r="DE1321" s="29"/>
      <c r="DF1321" s="29"/>
      <c r="DG1321" s="29"/>
      <c r="DH1321" s="29"/>
      <c r="DI1321" s="29"/>
      <c r="DJ1321" s="29"/>
      <c r="DK1321" s="29"/>
      <c r="DL1321" s="29"/>
      <c r="DM1321" s="29"/>
      <c r="DN1321" s="29"/>
      <c r="DO1321" s="29"/>
      <c r="DP1321" s="29"/>
      <c r="DQ1321" s="29"/>
      <c r="DR1321" s="29"/>
      <c r="DS1321" s="29"/>
      <c r="DT1321" s="29"/>
      <c r="DU1321" s="29"/>
      <c r="DV1321" s="29"/>
      <c r="DW1321" s="29"/>
      <c r="DX1321" s="29"/>
      <c r="DY1321" s="29"/>
      <c r="DZ1321" s="29"/>
      <c r="EA1321" s="29"/>
      <c r="EB1321" s="29"/>
      <c r="EC1321" s="29"/>
      <c r="ED1321" s="29"/>
      <c r="EE1321" s="29"/>
      <c r="EF1321" s="29"/>
      <c r="EG1321" s="29"/>
      <c r="EH1321" s="29"/>
      <c r="EI1321" s="29"/>
      <c r="EJ1321" s="29"/>
      <c r="EK1321" s="29"/>
      <c r="EL1321" s="29"/>
      <c r="EM1321" s="29"/>
      <c r="EN1321" s="29"/>
      <c r="EO1321" s="29"/>
      <c r="EP1321" s="29"/>
      <c r="EQ1321" s="29"/>
      <c r="ER1321" s="29"/>
      <c r="ES1321" s="29"/>
      <c r="ET1321" s="29"/>
      <c r="EU1321" s="29"/>
      <c r="EV1321" s="29"/>
      <c r="EW1321" s="29"/>
      <c r="EX1321" s="29"/>
      <c r="EY1321" s="29"/>
      <c r="EZ1321" s="29"/>
      <c r="FA1321" s="29"/>
      <c r="FB1321" s="29"/>
      <c r="FC1321" s="29"/>
      <c r="FD1321" s="29"/>
      <c r="FE1321" s="29"/>
      <c r="FF1321" s="29"/>
      <c r="FG1321" s="29"/>
      <c r="FH1321" s="29"/>
      <c r="FI1321" s="29"/>
      <c r="FJ1321" s="29"/>
      <c r="FK1321" s="29"/>
      <c r="FL1321" s="29"/>
      <c r="FM1321" s="29"/>
      <c r="FN1321" s="29"/>
      <c r="FO1321" s="29"/>
      <c r="FP1321" s="29"/>
      <c r="FQ1321" s="29"/>
      <c r="FR1321" s="29"/>
      <c r="FS1321" s="29"/>
      <c r="FT1321" s="29"/>
      <c r="FU1321" s="29"/>
      <c r="FV1321" s="29"/>
      <c r="FW1321" s="29"/>
      <c r="FX1321" s="29"/>
      <c r="FY1321" s="29"/>
      <c r="FZ1321" s="29"/>
      <c r="GA1321" s="29"/>
      <c r="GB1321" s="29"/>
      <c r="GC1321" s="29"/>
      <c r="GD1321" s="29"/>
      <c r="GE1321" s="29"/>
      <c r="GF1321" s="29"/>
      <c r="GG1321" s="29"/>
      <c r="GH1321" s="29"/>
      <c r="GI1321" s="29"/>
      <c r="GJ1321" s="29"/>
      <c r="GK1321" s="29"/>
      <c r="GL1321" s="29"/>
      <c r="GM1321" s="29"/>
      <c r="GN1321" s="29"/>
      <c r="GO1321" s="29"/>
      <c r="GP1321" s="29"/>
      <c r="GQ1321" s="29"/>
      <c r="GR1321" s="29"/>
      <c r="GS1321" s="29"/>
      <c r="GT1321" s="29"/>
      <c r="GU1321" s="29"/>
      <c r="GV1321" s="29"/>
      <c r="GW1321" s="29"/>
      <c r="GX1321" s="29"/>
      <c r="GY1321" s="29"/>
      <c r="GZ1321" s="29"/>
      <c r="HA1321" s="29"/>
      <c r="HB1321" s="29"/>
      <c r="HC1321" s="29"/>
      <c r="HD1321" s="29"/>
      <c r="HE1321" s="29"/>
      <c r="HF1321" s="29"/>
      <c r="HG1321" s="29"/>
      <c r="HH1321" s="29"/>
      <c r="HI1321" s="29"/>
      <c r="HJ1321" s="29"/>
      <c r="HK1321" s="29"/>
      <c r="HL1321" s="29"/>
      <c r="HM1321" s="29"/>
      <c r="HN1321" s="29"/>
      <c r="HO1321" s="29"/>
      <c r="HP1321" s="29"/>
      <c r="HQ1321" s="29"/>
      <c r="HR1321" s="29"/>
      <c r="HS1321" s="29"/>
      <c r="HT1321" s="29"/>
      <c r="HU1321" s="29"/>
      <c r="HV1321" s="29"/>
      <c r="HW1321" s="29"/>
      <c r="HX1321" s="29"/>
      <c r="HY1321" s="29"/>
      <c r="HZ1321" s="29"/>
      <c r="IA1321" s="29"/>
      <c r="IB1321" s="29"/>
      <c r="IC1321" s="29"/>
      <c r="ID1321" s="29"/>
      <c r="IE1321" s="29"/>
      <c r="IF1321" s="29"/>
      <c r="IG1321" s="29"/>
      <c r="IH1321" s="29"/>
      <c r="II1321" s="29"/>
      <c r="IJ1321" s="29"/>
      <c r="IK1321" s="29"/>
      <c r="IL1321" s="29"/>
      <c r="IM1321" s="29"/>
      <c r="IN1321" s="29"/>
      <c r="IO1321" s="29"/>
      <c r="IP1321" s="29"/>
      <c r="IQ1321" s="29"/>
      <c r="IR1321" s="29"/>
      <c r="IS1321" s="29"/>
      <c r="IT1321" s="29"/>
      <c r="IU1321" s="29"/>
      <c r="IV1321" s="29"/>
      <c r="IW1321" s="29"/>
      <c r="IX1321" s="29"/>
      <c r="IY1321" s="29"/>
      <c r="IZ1321" s="29"/>
      <c r="JA1321" s="29"/>
      <c r="JB1321" s="29"/>
      <c r="JC1321" s="29"/>
      <c r="JD1321" s="29"/>
      <c r="JE1321" s="29"/>
      <c r="JF1321" s="29"/>
      <c r="JG1321" s="29"/>
      <c r="JH1321" s="29"/>
      <c r="JI1321" s="29"/>
      <c r="JJ1321" s="29"/>
      <c r="JK1321" s="29"/>
      <c r="JL1321" s="29"/>
      <c r="JM1321" s="29"/>
      <c r="JN1321" s="29"/>
      <c r="JO1321" s="29"/>
      <c r="JP1321" s="29"/>
      <c r="JQ1321" s="29"/>
      <c r="JR1321" s="29"/>
      <c r="JS1321" s="29"/>
      <c r="JT1321" s="29"/>
      <c r="JU1321" s="29"/>
      <c r="JV1321" s="29"/>
      <c r="JW1321" s="29"/>
      <c r="JX1321" s="29"/>
      <c r="JY1321" s="29"/>
      <c r="JZ1321" s="29"/>
      <c r="KA1321" s="29"/>
      <c r="KB1321" s="29"/>
      <c r="KC1321" s="29"/>
      <c r="KD1321" s="29"/>
      <c r="KE1321" s="29"/>
      <c r="KF1321" s="29"/>
      <c r="KG1321" s="29"/>
      <c r="KH1321" s="29"/>
      <c r="KI1321" s="29"/>
      <c r="KJ1321" s="29"/>
      <c r="KK1321" s="29"/>
      <c r="KL1321" s="29"/>
      <c r="KM1321" s="29"/>
      <c r="KN1321" s="29"/>
      <c r="KO1321" s="29"/>
      <c r="KP1321" s="29"/>
      <c r="KQ1321" s="29"/>
      <c r="KR1321" s="29"/>
      <c r="KS1321" s="29"/>
      <c r="KT1321" s="29"/>
      <c r="KU1321" s="29"/>
      <c r="KV1321" s="29"/>
      <c r="KW1321" s="29"/>
      <c r="KX1321" s="29"/>
      <c r="KY1321" s="29"/>
      <c r="KZ1321" s="29"/>
      <c r="LA1321" s="29"/>
      <c r="LB1321" s="29"/>
      <c r="LC1321" s="29"/>
      <c r="LD1321" s="29"/>
      <c r="LE1321" s="29"/>
      <c r="LF1321" s="29"/>
      <c r="LG1321" s="29"/>
      <c r="LH1321" s="29"/>
      <c r="LI1321" s="29"/>
      <c r="LJ1321" s="29"/>
      <c r="LK1321" s="29"/>
      <c r="LL1321" s="29"/>
      <c r="LM1321" s="29"/>
      <c r="LN1321" s="29"/>
      <c r="LO1321" s="29"/>
      <c r="LP1321" s="29"/>
      <c r="LQ1321" s="29"/>
      <c r="LR1321" s="29"/>
      <c r="LS1321" s="29"/>
      <c r="LT1321" s="29"/>
      <c r="LU1321" s="29"/>
      <c r="LV1321" s="29"/>
      <c r="LW1321" s="29"/>
      <c r="LX1321" s="29"/>
      <c r="LY1321" s="29"/>
      <c r="LZ1321" s="29"/>
      <c r="MA1321" s="29"/>
      <c r="MB1321" s="29"/>
      <c r="MC1321" s="29"/>
      <c r="MD1321" s="29"/>
      <c r="ME1321" s="29"/>
      <c r="MF1321" s="29"/>
      <c r="MG1321" s="29"/>
      <c r="MH1321" s="29"/>
      <c r="MI1321" s="29"/>
      <c r="MJ1321" s="29"/>
      <c r="MK1321" s="29"/>
      <c r="ML1321" s="29"/>
      <c r="MM1321" s="29"/>
      <c r="MN1321" s="29"/>
      <c r="MO1321" s="29"/>
      <c r="MP1321" s="29"/>
      <c r="MQ1321" s="29"/>
      <c r="MR1321" s="29"/>
      <c r="MS1321" s="29"/>
      <c r="MT1321" s="29"/>
      <c r="MU1321" s="29"/>
      <c r="MV1321" s="29"/>
      <c r="MW1321" s="29"/>
      <c r="MX1321" s="29"/>
      <c r="MY1321" s="29"/>
      <c r="MZ1321" s="29"/>
      <c r="NA1321" s="29"/>
      <c r="NB1321" s="29"/>
      <c r="NC1321" s="29"/>
      <c r="ND1321" s="29"/>
      <c r="NE1321" s="29"/>
      <c r="NF1321" s="29"/>
      <c r="NG1321" s="29"/>
      <c r="NH1321" s="29"/>
      <c r="NI1321" s="29"/>
      <c r="NJ1321" s="29"/>
      <c r="NK1321" s="29"/>
      <c r="NL1321" s="29"/>
      <c r="NM1321" s="29"/>
      <c r="NN1321" s="29"/>
      <c r="NO1321" s="29"/>
      <c r="NP1321" s="29"/>
      <c r="NQ1321" s="29"/>
      <c r="NR1321" s="29"/>
      <c r="NS1321" s="29"/>
      <c r="NT1321" s="29"/>
      <c r="NU1321" s="29"/>
      <c r="NV1321" s="29"/>
      <c r="NW1321" s="29"/>
      <c r="NX1321" s="29"/>
      <c r="NY1321" s="29"/>
      <c r="NZ1321" s="29"/>
      <c r="OA1321" s="29"/>
      <c r="OB1321" s="29"/>
      <c r="OC1321" s="29"/>
      <c r="OD1321" s="29"/>
      <c r="OE1321" s="29"/>
      <c r="OF1321" s="29"/>
      <c r="OG1321" s="29"/>
      <c r="OH1321" s="29"/>
      <c r="OI1321" s="29"/>
      <c r="OJ1321" s="29"/>
      <c r="OK1321" s="29"/>
      <c r="OL1321" s="29"/>
      <c r="OM1321" s="29"/>
      <c r="ON1321" s="29"/>
      <c r="OO1321" s="29"/>
      <c r="OP1321" s="29"/>
      <c r="OQ1321" s="29"/>
      <c r="OR1321" s="29"/>
      <c r="OS1321" s="29"/>
      <c r="OT1321" s="29"/>
      <c r="OU1321" s="29"/>
      <c r="OV1321" s="29"/>
      <c r="OW1321" s="29"/>
      <c r="OX1321" s="29"/>
      <c r="OY1321" s="29"/>
      <c r="OZ1321" s="29"/>
      <c r="PA1321" s="29"/>
      <c r="PB1321" s="29"/>
      <c r="PC1321" s="29"/>
      <c r="PD1321" s="29"/>
      <c r="PE1321" s="29"/>
      <c r="PF1321" s="29"/>
      <c r="PG1321" s="29"/>
      <c r="PH1321" s="29"/>
      <c r="PI1321" s="29"/>
      <c r="PJ1321" s="29"/>
      <c r="PK1321" s="29"/>
      <c r="PL1321" s="29"/>
      <c r="PM1321" s="29"/>
      <c r="PN1321" s="29"/>
      <c r="PO1321" s="29"/>
      <c r="PP1321" s="29"/>
      <c r="PQ1321" s="29"/>
      <c r="PR1321" s="29"/>
      <c r="PS1321" s="29"/>
      <c r="PT1321" s="29"/>
      <c r="PU1321" s="29"/>
      <c r="PV1321" s="29"/>
      <c r="PW1321" s="29"/>
      <c r="PX1321" s="29"/>
      <c r="PY1321" s="29"/>
      <c r="PZ1321" s="29"/>
      <c r="QA1321" s="29"/>
      <c r="QB1321" s="29"/>
      <c r="QC1321" s="29"/>
      <c r="QD1321" s="29"/>
      <c r="QE1321" s="29"/>
      <c r="QF1321" s="29"/>
      <c r="QG1321" s="29"/>
      <c r="QH1321" s="29"/>
      <c r="QI1321" s="29"/>
      <c r="QJ1321" s="29"/>
      <c r="QK1321" s="29"/>
      <c r="QL1321" s="29"/>
      <c r="QM1321" s="29"/>
      <c r="QN1321" s="29"/>
      <c r="QO1321" s="29"/>
      <c r="QP1321" s="29"/>
      <c r="QQ1321" s="29"/>
      <c r="QR1321" s="29"/>
      <c r="QS1321" s="29"/>
      <c r="QT1321" s="29"/>
      <c r="QU1321" s="29"/>
      <c r="QV1321" s="29"/>
      <c r="QW1321" s="29"/>
      <c r="QX1321" s="29"/>
      <c r="QY1321" s="29"/>
      <c r="QZ1321" s="29"/>
      <c r="RA1321" s="29"/>
      <c r="RB1321" s="29"/>
      <c r="RC1321" s="29"/>
      <c r="RD1321" s="29"/>
      <c r="RE1321" s="29"/>
      <c r="RF1321" s="29"/>
      <c r="RG1321" s="29"/>
      <c r="RH1321" s="29"/>
      <c r="RI1321" s="29"/>
      <c r="RJ1321" s="29"/>
      <c r="RK1321" s="29"/>
      <c r="RL1321" s="29"/>
      <c r="RM1321" s="29"/>
      <c r="RN1321" s="29"/>
      <c r="RO1321" s="29"/>
      <c r="RP1321" s="29"/>
      <c r="RQ1321" s="29"/>
      <c r="RR1321" s="29"/>
      <c r="RS1321" s="29"/>
      <c r="RT1321" s="29"/>
      <c r="RU1321" s="29"/>
      <c r="RV1321" s="29"/>
      <c r="RW1321" s="29"/>
      <c r="RX1321" s="29"/>
      <c r="RY1321" s="29"/>
      <c r="RZ1321" s="29"/>
      <c r="SA1321" s="29"/>
      <c r="SB1321" s="29"/>
      <c r="SC1321" s="29"/>
      <c r="SD1321" s="29"/>
      <c r="SE1321" s="29"/>
      <c r="SF1321" s="29"/>
      <c r="SG1321" s="29"/>
      <c r="SH1321" s="29"/>
      <c r="SI1321" s="29"/>
      <c r="SJ1321" s="29"/>
      <c r="SK1321" s="29"/>
      <c r="SL1321" s="29"/>
      <c r="SM1321" s="29"/>
      <c r="SN1321" s="29"/>
      <c r="SO1321" s="29"/>
      <c r="SP1321" s="29"/>
      <c r="SQ1321" s="29"/>
      <c r="SR1321" s="29"/>
      <c r="SS1321" s="29"/>
      <c r="ST1321" s="29"/>
      <c r="SU1321" s="29"/>
      <c r="SV1321" s="29"/>
      <c r="SW1321" s="29"/>
      <c r="SX1321" s="29"/>
      <c r="SY1321" s="29"/>
      <c r="SZ1321" s="29"/>
      <c r="TA1321" s="29"/>
      <c r="TB1321" s="29"/>
      <c r="TC1321" s="29"/>
      <c r="TD1321" s="29"/>
      <c r="TE1321" s="29"/>
      <c r="TF1321" s="29"/>
      <c r="TG1321" s="29"/>
      <c r="TH1321" s="29"/>
      <c r="TI1321" s="29"/>
      <c r="TJ1321" s="29"/>
      <c r="TK1321" s="29"/>
      <c r="TL1321" s="29"/>
      <c r="TM1321" s="29"/>
      <c r="TN1321" s="29"/>
      <c r="TO1321" s="29"/>
      <c r="TP1321" s="29"/>
      <c r="TQ1321" s="29"/>
      <c r="TR1321" s="29"/>
      <c r="TS1321" s="29"/>
      <c r="TT1321" s="29"/>
      <c r="TU1321" s="29"/>
      <c r="TV1321" s="29"/>
      <c r="TW1321" s="29"/>
      <c r="TX1321" s="29"/>
      <c r="TY1321" s="29"/>
      <c r="TZ1321" s="29"/>
      <c r="UA1321" s="29"/>
      <c r="UB1321" s="29"/>
      <c r="UC1321" s="29"/>
      <c r="UD1321" s="29"/>
      <c r="UE1321" s="29"/>
      <c r="UF1321" s="29"/>
      <c r="UG1321" s="29"/>
    </row>
    <row r="1322" spans="1:553" ht="23.5" customHeight="1">
      <c r="A1322" s="356"/>
      <c r="B1322" s="356"/>
      <c r="C1322" s="1394" t="s">
        <v>816</v>
      </c>
      <c r="D1322" s="1395"/>
      <c r="E1322" s="1395"/>
      <c r="F1322" s="1396"/>
      <c r="G1322" s="366"/>
      <c r="H1322" s="370"/>
      <c r="I1322" s="359"/>
      <c r="J1322" s="368"/>
      <c r="K1322" s="371"/>
      <c r="L1322" s="645"/>
      <c r="M1322" s="356"/>
      <c r="N1322" s="356"/>
      <c r="O1322" s="356"/>
      <c r="P1322" s="356"/>
      <c r="Q1322" s="610"/>
      <c r="R1322" s="1226"/>
      <c r="S1322" s="308"/>
      <c r="T1322" s="308"/>
      <c r="U1322" s="308"/>
      <c r="V1322" s="308"/>
      <c r="W1322" s="308"/>
      <c r="X1322" s="308"/>
      <c r="Y1322" s="308"/>
      <c r="Z1322" s="604"/>
      <c r="AA1322" s="308"/>
      <c r="AB1322" s="308"/>
      <c r="AC1322" s="486"/>
      <c r="AD1322" s="486"/>
      <c r="AE1322" s="486"/>
      <c r="AF1322" s="486"/>
      <c r="AG1322" s="486"/>
      <c r="AH1322" s="486"/>
      <c r="AI1322" s="486"/>
      <c r="AJ1322" s="486"/>
      <c r="AK1322" s="486"/>
      <c r="AL1322" s="206"/>
      <c r="AM1322" s="29"/>
      <c r="AN1322" s="29"/>
      <c r="AO1322" s="29"/>
      <c r="AP1322" s="29"/>
      <c r="AQ1322" s="29"/>
      <c r="AR1322" s="29"/>
      <c r="AS1322" s="29"/>
      <c r="AT1322" s="29"/>
      <c r="AU1322" s="29"/>
      <c r="AV1322" s="29"/>
      <c r="AW1322" s="29"/>
      <c r="AX1322" s="29"/>
      <c r="AY1322" s="29"/>
      <c r="AZ1322" s="29"/>
      <c r="BA1322" s="29"/>
      <c r="BB1322" s="29"/>
      <c r="BC1322" s="29"/>
      <c r="BD1322" s="29"/>
      <c r="BE1322" s="29"/>
      <c r="BF1322" s="29"/>
      <c r="BG1322" s="29"/>
      <c r="BH1322" s="29"/>
      <c r="BI1322" s="29"/>
      <c r="BJ1322" s="29"/>
      <c r="BK1322" s="29"/>
      <c r="BL1322" s="29"/>
      <c r="BM1322" s="29"/>
      <c r="BN1322" s="29"/>
      <c r="BO1322" s="29"/>
      <c r="BP1322" s="29"/>
      <c r="BQ1322" s="29"/>
      <c r="BR1322" s="29"/>
      <c r="BS1322" s="29"/>
      <c r="BT1322" s="29"/>
      <c r="BU1322" s="29"/>
      <c r="BV1322" s="29"/>
      <c r="BW1322" s="29"/>
      <c r="BX1322" s="29"/>
      <c r="BY1322" s="29"/>
      <c r="BZ1322" s="29"/>
      <c r="CA1322" s="29"/>
      <c r="CB1322" s="29"/>
      <c r="CC1322" s="29"/>
      <c r="CD1322" s="29"/>
      <c r="CE1322" s="29"/>
      <c r="CF1322" s="29"/>
      <c r="CG1322" s="29"/>
      <c r="CH1322" s="29"/>
      <c r="CI1322" s="29"/>
      <c r="CJ1322" s="29"/>
      <c r="CK1322" s="29"/>
      <c r="CL1322" s="29"/>
      <c r="CM1322" s="29"/>
      <c r="CN1322" s="29"/>
      <c r="CO1322" s="29"/>
      <c r="CP1322" s="29"/>
      <c r="CQ1322" s="29"/>
      <c r="CR1322" s="29"/>
      <c r="CS1322" s="29"/>
      <c r="CT1322" s="29"/>
      <c r="CU1322" s="29"/>
      <c r="CV1322" s="29"/>
      <c r="CW1322" s="29"/>
      <c r="CX1322" s="29"/>
      <c r="CY1322" s="29"/>
      <c r="CZ1322" s="29"/>
      <c r="DA1322" s="29"/>
      <c r="DB1322" s="29"/>
      <c r="DC1322" s="29"/>
      <c r="DD1322" s="29"/>
      <c r="DE1322" s="29"/>
      <c r="DF1322" s="29"/>
      <c r="DG1322" s="29"/>
      <c r="DH1322" s="29"/>
      <c r="DI1322" s="29"/>
      <c r="DJ1322" s="29"/>
      <c r="DK1322" s="29"/>
      <c r="DL1322" s="29"/>
      <c r="DM1322" s="29"/>
      <c r="DN1322" s="29"/>
      <c r="DO1322" s="29"/>
      <c r="DP1322" s="29"/>
      <c r="DQ1322" s="29"/>
      <c r="DR1322" s="29"/>
      <c r="DS1322" s="29"/>
      <c r="DT1322" s="29"/>
      <c r="DU1322" s="29"/>
      <c r="DV1322" s="29"/>
      <c r="DW1322" s="29"/>
      <c r="DX1322" s="29"/>
      <c r="DY1322" s="29"/>
      <c r="DZ1322" s="29"/>
      <c r="EA1322" s="29"/>
      <c r="EB1322" s="29"/>
      <c r="EC1322" s="29"/>
      <c r="ED1322" s="29"/>
      <c r="EE1322" s="29"/>
      <c r="EF1322" s="29"/>
      <c r="EG1322" s="29"/>
      <c r="EH1322" s="29"/>
      <c r="EI1322" s="29"/>
      <c r="EJ1322" s="29"/>
      <c r="EK1322" s="29"/>
      <c r="EL1322" s="29"/>
      <c r="EM1322" s="29"/>
      <c r="EN1322" s="29"/>
      <c r="EO1322" s="29"/>
      <c r="EP1322" s="29"/>
      <c r="EQ1322" s="29"/>
      <c r="ER1322" s="29"/>
      <c r="ES1322" s="29"/>
      <c r="ET1322" s="29"/>
      <c r="EU1322" s="29"/>
      <c r="EV1322" s="29"/>
      <c r="EW1322" s="29"/>
      <c r="EX1322" s="29"/>
      <c r="EY1322" s="29"/>
      <c r="EZ1322" s="29"/>
      <c r="FA1322" s="29"/>
      <c r="FB1322" s="29"/>
      <c r="FC1322" s="29"/>
      <c r="FD1322" s="29"/>
      <c r="FE1322" s="29"/>
      <c r="FF1322" s="29"/>
      <c r="FG1322" s="29"/>
      <c r="FH1322" s="29"/>
      <c r="FI1322" s="29"/>
      <c r="FJ1322" s="29"/>
      <c r="FK1322" s="29"/>
      <c r="FL1322" s="29"/>
      <c r="FM1322" s="29"/>
      <c r="FN1322" s="29"/>
      <c r="FO1322" s="29"/>
      <c r="FP1322" s="29"/>
      <c r="FQ1322" s="29"/>
      <c r="FR1322" s="29"/>
      <c r="FS1322" s="29"/>
      <c r="FT1322" s="29"/>
      <c r="FU1322" s="29"/>
      <c r="FV1322" s="29"/>
      <c r="FW1322" s="29"/>
      <c r="FX1322" s="29"/>
      <c r="FY1322" s="29"/>
      <c r="FZ1322" s="29"/>
      <c r="GA1322" s="29"/>
      <c r="GB1322" s="29"/>
      <c r="GC1322" s="29"/>
      <c r="GD1322" s="29"/>
      <c r="GE1322" s="29"/>
      <c r="GF1322" s="29"/>
      <c r="GG1322" s="29"/>
      <c r="GH1322" s="29"/>
      <c r="GI1322" s="29"/>
      <c r="GJ1322" s="29"/>
      <c r="GK1322" s="29"/>
      <c r="GL1322" s="29"/>
      <c r="GM1322" s="29"/>
      <c r="GN1322" s="29"/>
      <c r="GO1322" s="29"/>
      <c r="GP1322" s="29"/>
      <c r="GQ1322" s="29"/>
      <c r="GR1322" s="29"/>
      <c r="GS1322" s="29"/>
      <c r="GT1322" s="29"/>
      <c r="GU1322" s="29"/>
      <c r="GV1322" s="29"/>
      <c r="GW1322" s="29"/>
      <c r="GX1322" s="29"/>
      <c r="GY1322" s="29"/>
      <c r="GZ1322" s="29"/>
      <c r="HA1322" s="29"/>
      <c r="HB1322" s="29"/>
      <c r="HC1322" s="29"/>
      <c r="HD1322" s="29"/>
      <c r="HE1322" s="29"/>
      <c r="HF1322" s="29"/>
      <c r="HG1322" s="29"/>
      <c r="HH1322" s="29"/>
      <c r="HI1322" s="29"/>
      <c r="HJ1322" s="29"/>
      <c r="HK1322" s="29"/>
      <c r="HL1322" s="29"/>
      <c r="HM1322" s="29"/>
      <c r="HN1322" s="29"/>
      <c r="HO1322" s="29"/>
      <c r="HP1322" s="29"/>
      <c r="HQ1322" s="29"/>
      <c r="HR1322" s="29"/>
      <c r="HS1322" s="29"/>
      <c r="HT1322" s="29"/>
      <c r="HU1322" s="29"/>
      <c r="HV1322" s="29"/>
      <c r="HW1322" s="29"/>
      <c r="HX1322" s="29"/>
      <c r="HY1322" s="29"/>
      <c r="HZ1322" s="29"/>
      <c r="IA1322" s="29"/>
      <c r="IB1322" s="29"/>
      <c r="IC1322" s="29"/>
      <c r="ID1322" s="29"/>
      <c r="IE1322" s="29"/>
      <c r="IF1322" s="29"/>
      <c r="IG1322" s="29"/>
      <c r="IH1322" s="29"/>
      <c r="II1322" s="29"/>
      <c r="IJ1322" s="29"/>
      <c r="IK1322" s="29"/>
      <c r="IL1322" s="29"/>
      <c r="IM1322" s="29"/>
      <c r="IN1322" s="29"/>
      <c r="IO1322" s="29"/>
      <c r="IP1322" s="29"/>
      <c r="IQ1322" s="29"/>
      <c r="IR1322" s="29"/>
      <c r="IS1322" s="29"/>
      <c r="IT1322" s="29"/>
      <c r="IU1322" s="29"/>
      <c r="IV1322" s="29"/>
      <c r="IW1322" s="29"/>
      <c r="IX1322" s="29"/>
      <c r="IY1322" s="29"/>
      <c r="IZ1322" s="29"/>
      <c r="JA1322" s="29"/>
      <c r="JB1322" s="29"/>
      <c r="JC1322" s="29"/>
      <c r="JD1322" s="29"/>
      <c r="JE1322" s="29"/>
      <c r="JF1322" s="29"/>
      <c r="JG1322" s="29"/>
      <c r="JH1322" s="29"/>
      <c r="JI1322" s="29"/>
      <c r="JJ1322" s="29"/>
      <c r="JK1322" s="29"/>
      <c r="JL1322" s="29"/>
      <c r="JM1322" s="29"/>
      <c r="JN1322" s="29"/>
      <c r="JO1322" s="29"/>
      <c r="JP1322" s="29"/>
      <c r="JQ1322" s="29"/>
      <c r="JR1322" s="29"/>
      <c r="JS1322" s="29"/>
      <c r="JT1322" s="29"/>
      <c r="JU1322" s="29"/>
      <c r="JV1322" s="29"/>
      <c r="JW1322" s="29"/>
      <c r="JX1322" s="29"/>
      <c r="JY1322" s="29"/>
      <c r="JZ1322" s="29"/>
      <c r="KA1322" s="29"/>
      <c r="KB1322" s="29"/>
      <c r="KC1322" s="29"/>
      <c r="KD1322" s="29"/>
      <c r="KE1322" s="29"/>
      <c r="KF1322" s="29"/>
      <c r="KG1322" s="29"/>
      <c r="KH1322" s="29"/>
      <c r="KI1322" s="29"/>
      <c r="KJ1322" s="29"/>
      <c r="KK1322" s="29"/>
      <c r="KL1322" s="29"/>
      <c r="KM1322" s="29"/>
      <c r="KN1322" s="29"/>
      <c r="KO1322" s="29"/>
      <c r="KP1322" s="29"/>
      <c r="KQ1322" s="29"/>
      <c r="KR1322" s="29"/>
      <c r="KS1322" s="29"/>
      <c r="KT1322" s="29"/>
      <c r="KU1322" s="29"/>
      <c r="KV1322" s="29"/>
      <c r="KW1322" s="29"/>
      <c r="KX1322" s="29"/>
      <c r="KY1322" s="29"/>
      <c r="KZ1322" s="29"/>
      <c r="LA1322" s="29"/>
      <c r="LB1322" s="29"/>
      <c r="LC1322" s="29"/>
      <c r="LD1322" s="29"/>
      <c r="LE1322" s="29"/>
      <c r="LF1322" s="29"/>
      <c r="LG1322" s="29"/>
      <c r="LH1322" s="29"/>
      <c r="LI1322" s="29"/>
      <c r="LJ1322" s="29"/>
      <c r="LK1322" s="29"/>
      <c r="LL1322" s="29"/>
      <c r="LM1322" s="29"/>
      <c r="LN1322" s="29"/>
      <c r="LO1322" s="29"/>
      <c r="LP1322" s="29"/>
      <c r="LQ1322" s="29"/>
      <c r="LR1322" s="29"/>
      <c r="LS1322" s="29"/>
      <c r="LT1322" s="29"/>
      <c r="LU1322" s="29"/>
      <c r="LV1322" s="29"/>
      <c r="LW1322" s="29"/>
      <c r="LX1322" s="29"/>
      <c r="LY1322" s="29"/>
      <c r="LZ1322" s="29"/>
      <c r="MA1322" s="29"/>
      <c r="MB1322" s="29"/>
      <c r="MC1322" s="29"/>
      <c r="MD1322" s="29"/>
      <c r="ME1322" s="29"/>
      <c r="MF1322" s="29"/>
      <c r="MG1322" s="29"/>
      <c r="MH1322" s="29"/>
      <c r="MI1322" s="29"/>
      <c r="MJ1322" s="29"/>
      <c r="MK1322" s="29"/>
      <c r="ML1322" s="29"/>
      <c r="MM1322" s="29"/>
      <c r="MN1322" s="29"/>
      <c r="MO1322" s="29"/>
      <c r="MP1322" s="29"/>
      <c r="MQ1322" s="29"/>
      <c r="MR1322" s="29"/>
      <c r="MS1322" s="29"/>
      <c r="MT1322" s="29"/>
      <c r="MU1322" s="29"/>
      <c r="MV1322" s="29"/>
      <c r="MW1322" s="29"/>
      <c r="MX1322" s="29"/>
      <c r="MY1322" s="29"/>
      <c r="MZ1322" s="29"/>
      <c r="NA1322" s="29"/>
      <c r="NB1322" s="29"/>
      <c r="NC1322" s="29"/>
      <c r="ND1322" s="29"/>
      <c r="NE1322" s="29"/>
      <c r="NF1322" s="29"/>
      <c r="NG1322" s="29"/>
      <c r="NH1322" s="29"/>
      <c r="NI1322" s="29"/>
      <c r="NJ1322" s="29"/>
      <c r="NK1322" s="29"/>
      <c r="NL1322" s="29"/>
      <c r="NM1322" s="29"/>
      <c r="NN1322" s="29"/>
      <c r="NO1322" s="29"/>
      <c r="NP1322" s="29"/>
      <c r="NQ1322" s="29"/>
      <c r="NR1322" s="29"/>
      <c r="NS1322" s="29"/>
      <c r="NT1322" s="29"/>
      <c r="NU1322" s="29"/>
      <c r="NV1322" s="29"/>
      <c r="NW1322" s="29"/>
      <c r="NX1322" s="29"/>
      <c r="NY1322" s="29"/>
      <c r="NZ1322" s="29"/>
      <c r="OA1322" s="29"/>
      <c r="OB1322" s="29"/>
      <c r="OC1322" s="29"/>
      <c r="OD1322" s="29"/>
      <c r="OE1322" s="29"/>
      <c r="OF1322" s="29"/>
      <c r="OG1322" s="29"/>
      <c r="OH1322" s="29"/>
      <c r="OI1322" s="29"/>
      <c r="OJ1322" s="29"/>
      <c r="OK1322" s="29"/>
      <c r="OL1322" s="29"/>
      <c r="OM1322" s="29"/>
      <c r="ON1322" s="29"/>
      <c r="OO1322" s="29"/>
      <c r="OP1322" s="29"/>
      <c r="OQ1322" s="29"/>
      <c r="OR1322" s="29"/>
      <c r="OS1322" s="29"/>
      <c r="OT1322" s="29"/>
      <c r="OU1322" s="29"/>
      <c r="OV1322" s="29"/>
      <c r="OW1322" s="29"/>
      <c r="OX1322" s="29"/>
      <c r="OY1322" s="29"/>
      <c r="OZ1322" s="29"/>
      <c r="PA1322" s="29"/>
      <c r="PB1322" s="29"/>
      <c r="PC1322" s="29"/>
      <c r="PD1322" s="29"/>
      <c r="PE1322" s="29"/>
      <c r="PF1322" s="29"/>
      <c r="PG1322" s="29"/>
      <c r="PH1322" s="29"/>
      <c r="PI1322" s="29"/>
      <c r="PJ1322" s="29"/>
      <c r="PK1322" s="29"/>
      <c r="PL1322" s="29"/>
      <c r="PM1322" s="29"/>
      <c r="PN1322" s="29"/>
      <c r="PO1322" s="29"/>
      <c r="PP1322" s="29"/>
      <c r="PQ1322" s="29"/>
      <c r="PR1322" s="29"/>
      <c r="PS1322" s="29"/>
      <c r="PT1322" s="29"/>
      <c r="PU1322" s="29"/>
      <c r="PV1322" s="29"/>
      <c r="PW1322" s="29"/>
      <c r="PX1322" s="29"/>
      <c r="PY1322" s="29"/>
      <c r="PZ1322" s="29"/>
      <c r="QA1322" s="29"/>
      <c r="QB1322" s="29"/>
      <c r="QC1322" s="29"/>
      <c r="QD1322" s="29"/>
      <c r="QE1322" s="29"/>
      <c r="QF1322" s="29"/>
      <c r="QG1322" s="29"/>
      <c r="QH1322" s="29"/>
      <c r="QI1322" s="29"/>
      <c r="QJ1322" s="29"/>
      <c r="QK1322" s="29"/>
      <c r="QL1322" s="29"/>
      <c r="QM1322" s="29"/>
      <c r="QN1322" s="29"/>
      <c r="QO1322" s="29"/>
      <c r="QP1322" s="29"/>
      <c r="QQ1322" s="29"/>
      <c r="QR1322" s="29"/>
      <c r="QS1322" s="29"/>
      <c r="QT1322" s="29"/>
      <c r="QU1322" s="29"/>
      <c r="QV1322" s="29"/>
      <c r="QW1322" s="29"/>
      <c r="QX1322" s="29"/>
      <c r="QY1322" s="29"/>
      <c r="QZ1322" s="29"/>
      <c r="RA1322" s="29"/>
      <c r="RB1322" s="29"/>
      <c r="RC1322" s="29"/>
      <c r="RD1322" s="29"/>
      <c r="RE1322" s="29"/>
      <c r="RF1322" s="29"/>
      <c r="RG1322" s="29"/>
      <c r="RH1322" s="29"/>
      <c r="RI1322" s="29"/>
      <c r="RJ1322" s="29"/>
      <c r="RK1322" s="29"/>
      <c r="RL1322" s="29"/>
      <c r="RM1322" s="29"/>
      <c r="RN1322" s="29"/>
      <c r="RO1322" s="29"/>
      <c r="RP1322" s="29"/>
      <c r="RQ1322" s="29"/>
      <c r="RR1322" s="29"/>
      <c r="RS1322" s="29"/>
      <c r="RT1322" s="29"/>
      <c r="RU1322" s="29"/>
      <c r="RV1322" s="29"/>
      <c r="RW1322" s="29"/>
      <c r="RX1322" s="29"/>
      <c r="RY1322" s="29"/>
      <c r="RZ1322" s="29"/>
      <c r="SA1322" s="29"/>
      <c r="SB1322" s="29"/>
      <c r="SC1322" s="29"/>
      <c r="SD1322" s="29"/>
      <c r="SE1322" s="29"/>
      <c r="SF1322" s="29"/>
      <c r="SG1322" s="29"/>
      <c r="SH1322" s="29"/>
      <c r="SI1322" s="29"/>
      <c r="SJ1322" s="29"/>
      <c r="SK1322" s="29"/>
      <c r="SL1322" s="29"/>
      <c r="SM1322" s="29"/>
      <c r="SN1322" s="29"/>
      <c r="SO1322" s="29"/>
      <c r="SP1322" s="29"/>
      <c r="SQ1322" s="29"/>
      <c r="SR1322" s="29"/>
      <c r="SS1322" s="29"/>
      <c r="ST1322" s="29"/>
      <c r="SU1322" s="29"/>
      <c r="SV1322" s="29"/>
      <c r="SW1322" s="29"/>
      <c r="SX1322" s="29"/>
      <c r="SY1322" s="29"/>
      <c r="SZ1322" s="29"/>
      <c r="TA1322" s="29"/>
      <c r="TB1322" s="29"/>
      <c r="TC1322" s="29"/>
      <c r="TD1322" s="29"/>
      <c r="TE1322" s="29"/>
      <c r="TF1322" s="29"/>
      <c r="TG1322" s="29"/>
      <c r="TH1322" s="29"/>
      <c r="TI1322" s="29"/>
      <c r="TJ1322" s="29"/>
      <c r="TK1322" s="29"/>
      <c r="TL1322" s="29"/>
      <c r="TM1322" s="29"/>
      <c r="TN1322" s="29"/>
      <c r="TO1322" s="29"/>
      <c r="TP1322" s="29"/>
      <c r="TQ1322" s="29"/>
      <c r="TR1322" s="29"/>
      <c r="TS1322" s="29"/>
      <c r="TT1322" s="29"/>
      <c r="TU1322" s="29"/>
      <c r="TV1322" s="29"/>
      <c r="TW1322" s="29"/>
      <c r="TX1322" s="29"/>
      <c r="TY1322" s="29"/>
      <c r="TZ1322" s="29"/>
      <c r="UA1322" s="29"/>
      <c r="UB1322" s="29"/>
      <c r="UC1322" s="29"/>
      <c r="UD1322" s="29"/>
      <c r="UE1322" s="29"/>
      <c r="UF1322" s="29"/>
      <c r="UG1322" s="29"/>
    </row>
    <row r="1323" spans="1:553" s="208" customFormat="1" ht="46.15" customHeight="1">
      <c r="A1323" s="356" t="s">
        <v>15</v>
      </c>
      <c r="B1323" s="427" t="s">
        <v>720</v>
      </c>
      <c r="C1323" s="1403" t="s">
        <v>1313</v>
      </c>
      <c r="D1323" s="1569"/>
      <c r="E1323" s="1569"/>
      <c r="F1323" s="1570"/>
      <c r="G1323" s="386" t="s">
        <v>935</v>
      </c>
      <c r="H1323" s="370"/>
      <c r="I1323" s="794">
        <f>8*5</f>
        <v>40</v>
      </c>
      <c r="J1323" s="368">
        <v>439100</v>
      </c>
      <c r="K1323" s="419"/>
      <c r="L1323" s="487">
        <f t="shared" ref="L1323:L1330" si="199">ROUND(PRODUCT(I1323:K1323),0)</f>
        <v>17564000</v>
      </c>
      <c r="M1323" s="395"/>
      <c r="N1323" s="395"/>
      <c r="O1323" s="366"/>
      <c r="P1323" s="396"/>
      <c r="Q1323" s="473"/>
      <c r="R1323" s="1226"/>
      <c r="S1323" s="308"/>
      <c r="T1323" s="308"/>
      <c r="U1323" s="308"/>
      <c r="V1323" s="308"/>
      <c r="W1323" s="308"/>
      <c r="X1323" s="308"/>
      <c r="Y1323" s="308"/>
      <c r="Z1323" s="604"/>
      <c r="AA1323" s="308"/>
      <c r="AB1323" s="308"/>
      <c r="AC1323" s="308"/>
      <c r="AD1323" s="308"/>
      <c r="AE1323" s="308"/>
      <c r="AF1323" s="308"/>
      <c r="AG1323" s="308"/>
      <c r="AH1323" s="308"/>
      <c r="AI1323" s="308"/>
      <c r="AJ1323" s="308"/>
      <c r="AK1323" s="308"/>
      <c r="AL1323" s="205"/>
      <c r="AM1323" s="2"/>
      <c r="AN1323" s="2"/>
      <c r="AO1323" s="2"/>
      <c r="AP1323" s="2"/>
      <c r="AQ1323" s="2"/>
      <c r="AR1323" s="2"/>
      <c r="AS1323" s="2"/>
      <c r="AT1323" s="2"/>
      <c r="AU1323" s="2"/>
      <c r="AV1323" s="2"/>
      <c r="AW1323" s="2"/>
      <c r="AX1323" s="2"/>
      <c r="AY1323" s="2"/>
      <c r="AZ1323" s="2"/>
      <c r="BA1323" s="2"/>
      <c r="BB1323" s="2"/>
      <c r="BC1323" s="2"/>
      <c r="BD1323" s="2"/>
      <c r="BE1323" s="2"/>
      <c r="BF1323" s="2"/>
      <c r="BG1323" s="2"/>
      <c r="BH1323" s="2"/>
      <c r="BI1323" s="2"/>
      <c r="BJ1323" s="2"/>
      <c r="BK1323" s="2"/>
      <c r="BL1323" s="2"/>
      <c r="BM1323" s="2"/>
      <c r="BN1323" s="2"/>
      <c r="BO1323" s="2"/>
      <c r="BP1323" s="2"/>
      <c r="BQ1323" s="2"/>
      <c r="BR1323" s="2"/>
      <c r="BS1323" s="2"/>
      <c r="BT1323" s="2"/>
      <c r="BU1323" s="2"/>
      <c r="BV1323" s="2"/>
      <c r="BW1323" s="2"/>
      <c r="BX1323" s="2"/>
      <c r="BY1323" s="2"/>
      <c r="BZ1323" s="2"/>
      <c r="CA1323" s="2"/>
      <c r="CB1323" s="2"/>
      <c r="CC1323" s="2"/>
      <c r="CD1323" s="2"/>
      <c r="CE1323" s="2"/>
      <c r="CF1323" s="2"/>
      <c r="CG1323" s="2"/>
      <c r="CH1323" s="2"/>
      <c r="CI1323" s="2"/>
      <c r="CJ1323" s="2"/>
      <c r="CK1323" s="2"/>
      <c r="CL1323" s="2"/>
      <c r="CM1323" s="2"/>
      <c r="CN1323" s="2"/>
      <c r="CO1323" s="2"/>
      <c r="CP1323" s="2"/>
      <c r="CQ1323" s="2"/>
      <c r="CR1323" s="2"/>
      <c r="CS1323" s="2"/>
      <c r="CT1323" s="2"/>
      <c r="CU1323" s="2"/>
      <c r="CV1323" s="2"/>
      <c r="CW1323" s="2"/>
      <c r="CX1323" s="2"/>
      <c r="CY1323" s="2"/>
      <c r="CZ1323" s="2"/>
      <c r="DA1323" s="2"/>
      <c r="DB1323" s="2"/>
      <c r="DC1323" s="2"/>
      <c r="DD1323" s="2"/>
      <c r="DE1323" s="2"/>
      <c r="DF1323" s="2"/>
      <c r="DG1323" s="2"/>
      <c r="DH1323" s="2"/>
      <c r="DI1323" s="2"/>
      <c r="DJ1323" s="2"/>
      <c r="DK1323" s="2"/>
      <c r="DL1323" s="2"/>
      <c r="DM1323" s="2"/>
      <c r="DN1323" s="2"/>
      <c r="DO1323" s="2"/>
      <c r="DP1323" s="2"/>
      <c r="DQ1323" s="2"/>
      <c r="DR1323" s="2"/>
      <c r="DS1323" s="2"/>
      <c r="DT1323" s="2"/>
      <c r="DU1323" s="2"/>
      <c r="DV1323" s="2"/>
      <c r="DW1323" s="2"/>
      <c r="DX1323" s="2"/>
      <c r="DY1323" s="2"/>
      <c r="DZ1323" s="2"/>
      <c r="EA1323" s="2"/>
      <c r="EB1323" s="2"/>
      <c r="EC1323" s="2"/>
      <c r="ED1323" s="2"/>
      <c r="EE1323" s="2"/>
      <c r="EF1323" s="2"/>
      <c r="EG1323" s="2"/>
      <c r="EH1323" s="2"/>
      <c r="EI1323" s="2"/>
      <c r="EJ1323" s="2"/>
      <c r="EK1323" s="2"/>
      <c r="EL1323" s="2"/>
      <c r="EM1323" s="2"/>
      <c r="EN1323" s="2"/>
      <c r="EO1323" s="2"/>
      <c r="EP1323" s="2"/>
      <c r="EQ1323" s="2"/>
      <c r="ER1323" s="2"/>
      <c r="ES1323" s="2"/>
      <c r="ET1323" s="2"/>
      <c r="EU1323" s="2"/>
      <c r="EV1323" s="2"/>
      <c r="EW1323" s="2"/>
      <c r="EX1323" s="2"/>
      <c r="EY1323" s="2"/>
      <c r="EZ1323" s="2"/>
      <c r="FA1323" s="2"/>
      <c r="FB1323" s="2"/>
      <c r="FC1323" s="2"/>
      <c r="FD1323" s="2"/>
      <c r="FE1323" s="2"/>
      <c r="FF1323" s="2"/>
      <c r="FG1323" s="2"/>
      <c r="FH1323" s="2"/>
      <c r="FI1323" s="2"/>
      <c r="FJ1323" s="2"/>
      <c r="FK1323" s="2"/>
      <c r="FL1323" s="2"/>
      <c r="FM1323" s="2"/>
      <c r="FN1323" s="2"/>
      <c r="FO1323" s="2"/>
      <c r="FP1323" s="2"/>
      <c r="FQ1323" s="2"/>
      <c r="FR1323" s="2"/>
      <c r="FS1323" s="2"/>
      <c r="FT1323" s="2"/>
      <c r="FU1323" s="2"/>
      <c r="FV1323" s="2"/>
      <c r="FW1323" s="2"/>
      <c r="FX1323" s="2"/>
      <c r="FY1323" s="2"/>
      <c r="FZ1323" s="2"/>
      <c r="GA1323" s="2"/>
      <c r="GB1323" s="2"/>
      <c r="GC1323" s="2"/>
      <c r="GD1323" s="2"/>
      <c r="GE1323" s="2"/>
      <c r="GF1323" s="2"/>
      <c r="GG1323" s="2"/>
      <c r="GH1323" s="2"/>
      <c r="GI1323" s="2"/>
      <c r="GJ1323" s="2"/>
      <c r="GK1323" s="2"/>
      <c r="GL1323" s="2"/>
      <c r="GM1323" s="2"/>
      <c r="GN1323" s="2"/>
      <c r="GO1323" s="2"/>
      <c r="GP1323" s="2"/>
      <c r="GQ1323" s="2"/>
      <c r="GR1323" s="2"/>
      <c r="GS1323" s="2"/>
      <c r="GT1323" s="2"/>
      <c r="GU1323" s="2"/>
      <c r="GV1323" s="2"/>
      <c r="GW1323" s="2"/>
      <c r="GX1323" s="2"/>
      <c r="GY1323" s="2"/>
      <c r="GZ1323" s="2"/>
      <c r="HA1323" s="2"/>
      <c r="HB1323" s="2"/>
      <c r="HC1323" s="2"/>
      <c r="HD1323" s="2"/>
      <c r="HE1323" s="2"/>
      <c r="HF1323" s="2"/>
      <c r="HG1323" s="2"/>
      <c r="HH1323" s="2"/>
      <c r="HI1323" s="2"/>
      <c r="HJ1323" s="2"/>
      <c r="HK1323" s="2"/>
      <c r="HL1323" s="2"/>
      <c r="HM1323" s="2"/>
      <c r="HN1323" s="2"/>
      <c r="HO1323" s="2"/>
      <c r="HP1323" s="2"/>
      <c r="HQ1323" s="2"/>
      <c r="HR1323" s="2"/>
      <c r="HS1323" s="2"/>
      <c r="HT1323" s="2"/>
      <c r="HU1323" s="2"/>
      <c r="HV1323" s="2"/>
      <c r="HW1323" s="2"/>
      <c r="HX1323" s="2"/>
      <c r="HY1323" s="2"/>
      <c r="HZ1323" s="2"/>
      <c r="IA1323" s="2"/>
      <c r="IB1323" s="2"/>
      <c r="IC1323" s="2"/>
      <c r="ID1323" s="2"/>
      <c r="IE1323" s="2"/>
      <c r="IF1323" s="2"/>
      <c r="IG1323" s="2"/>
      <c r="IH1323" s="2"/>
      <c r="II1323" s="2"/>
      <c r="IJ1323" s="2"/>
      <c r="IK1323" s="2"/>
      <c r="IL1323" s="2"/>
      <c r="IM1323" s="2"/>
      <c r="IN1323" s="2"/>
      <c r="IO1323" s="2"/>
      <c r="IP1323" s="2"/>
      <c r="IQ1323" s="2"/>
      <c r="IR1323" s="2"/>
      <c r="IS1323" s="2"/>
      <c r="IT1323" s="2"/>
      <c r="IU1323" s="2"/>
      <c r="IV1323" s="2"/>
      <c r="IW1323" s="2"/>
      <c r="IX1323" s="2"/>
      <c r="IY1323" s="2"/>
      <c r="IZ1323" s="2"/>
      <c r="JA1323" s="2"/>
      <c r="JB1323" s="2"/>
      <c r="JC1323" s="2"/>
      <c r="JD1323" s="2"/>
      <c r="JE1323" s="2"/>
      <c r="JF1323" s="2"/>
      <c r="JG1323" s="2"/>
      <c r="JH1323" s="2"/>
      <c r="JI1323" s="2"/>
      <c r="JJ1323" s="2"/>
      <c r="JK1323" s="2"/>
      <c r="JL1323" s="2"/>
      <c r="JM1323" s="2"/>
      <c r="JN1323" s="2"/>
      <c r="JO1323" s="2"/>
      <c r="JP1323" s="2"/>
      <c r="JQ1323" s="2"/>
      <c r="JR1323" s="2"/>
      <c r="JS1323" s="2"/>
      <c r="JT1323" s="2"/>
      <c r="JU1323" s="2"/>
      <c r="JV1323" s="2"/>
      <c r="JW1323" s="2"/>
      <c r="JX1323" s="2"/>
      <c r="JY1323" s="2"/>
      <c r="JZ1323" s="2"/>
      <c r="KA1323" s="2"/>
      <c r="KB1323" s="2"/>
      <c r="KC1323" s="2"/>
      <c r="KD1323" s="2"/>
      <c r="KE1323" s="2"/>
      <c r="KF1323" s="2"/>
      <c r="KG1323" s="2"/>
      <c r="KH1323" s="2"/>
      <c r="KI1323" s="2"/>
      <c r="KJ1323" s="2"/>
      <c r="KK1323" s="2"/>
      <c r="KL1323" s="2"/>
      <c r="KM1323" s="2"/>
      <c r="KN1323" s="2"/>
      <c r="KO1323" s="2"/>
      <c r="KP1323" s="2"/>
      <c r="KQ1323" s="2"/>
      <c r="KR1323" s="2"/>
      <c r="KS1323" s="2"/>
      <c r="KT1323" s="2"/>
      <c r="KU1323" s="2"/>
      <c r="KV1323" s="2"/>
      <c r="KW1323" s="2"/>
      <c r="KX1323" s="2"/>
      <c r="KY1323" s="2"/>
      <c r="KZ1323" s="2"/>
      <c r="LA1323" s="2"/>
      <c r="LB1323" s="2"/>
      <c r="LC1323" s="2"/>
      <c r="LD1323" s="2"/>
      <c r="LE1323" s="2"/>
      <c r="LF1323" s="2"/>
      <c r="LG1323" s="2"/>
      <c r="LH1323" s="2"/>
      <c r="LI1323" s="2"/>
      <c r="LJ1323" s="2"/>
      <c r="LK1323" s="2"/>
      <c r="LL1323" s="2"/>
      <c r="LM1323" s="2"/>
      <c r="LN1323" s="2"/>
      <c r="LO1323" s="2"/>
      <c r="LP1323" s="2"/>
      <c r="LQ1323" s="2"/>
      <c r="LR1323" s="2"/>
      <c r="LS1323" s="2"/>
      <c r="LT1323" s="2"/>
      <c r="LU1323" s="2"/>
      <c r="LV1323" s="2"/>
      <c r="LW1323" s="2"/>
      <c r="LX1323" s="2"/>
      <c r="LY1323" s="2"/>
      <c r="LZ1323" s="2"/>
      <c r="MA1323" s="2"/>
      <c r="MB1323" s="2"/>
      <c r="MC1323" s="2"/>
      <c r="MD1323" s="2"/>
      <c r="ME1323" s="2"/>
      <c r="MF1323" s="2"/>
      <c r="MG1323" s="2"/>
      <c r="MH1323" s="2"/>
      <c r="MI1323" s="2"/>
      <c r="MJ1323" s="2"/>
      <c r="MK1323" s="2"/>
      <c r="ML1323" s="2"/>
      <c r="MM1323" s="2"/>
      <c r="MN1323" s="2"/>
      <c r="MO1323" s="2"/>
      <c r="MP1323" s="2"/>
      <c r="MQ1323" s="2"/>
      <c r="MR1323" s="2"/>
      <c r="MS1323" s="2"/>
      <c r="MT1323" s="2"/>
      <c r="MU1323" s="2"/>
      <c r="MV1323" s="2"/>
      <c r="MW1323" s="2"/>
      <c r="MX1323" s="2"/>
      <c r="MY1323" s="2"/>
      <c r="MZ1323" s="2"/>
      <c r="NA1323" s="2"/>
      <c r="NB1323" s="2"/>
      <c r="NC1323" s="2"/>
      <c r="ND1323" s="2"/>
      <c r="NE1323" s="2"/>
      <c r="NF1323" s="2"/>
      <c r="NG1323" s="2"/>
      <c r="NH1323" s="2"/>
      <c r="NI1323" s="2"/>
      <c r="NJ1323" s="2"/>
      <c r="NK1323" s="2"/>
      <c r="NL1323" s="2"/>
      <c r="NM1323" s="2"/>
      <c r="NN1323" s="2"/>
      <c r="NO1323" s="2"/>
      <c r="NP1323" s="2"/>
      <c r="NQ1323" s="2"/>
      <c r="NR1323" s="2"/>
      <c r="NS1323" s="2"/>
      <c r="NT1323" s="2"/>
      <c r="NU1323" s="2"/>
      <c r="NV1323" s="2"/>
      <c r="NW1323" s="2"/>
      <c r="NX1323" s="2"/>
      <c r="NY1323" s="2"/>
      <c r="NZ1323" s="2"/>
      <c r="OA1323" s="2"/>
      <c r="OB1323" s="2"/>
      <c r="OC1323" s="2"/>
      <c r="OD1323" s="2"/>
      <c r="OE1323" s="2"/>
      <c r="OF1323" s="2"/>
      <c r="OG1323" s="2"/>
      <c r="OH1323" s="2"/>
      <c r="OI1323" s="2"/>
      <c r="OJ1323" s="2"/>
      <c r="OK1323" s="2"/>
      <c r="OL1323" s="2"/>
      <c r="OM1323" s="2"/>
      <c r="ON1323" s="2"/>
      <c r="OO1323" s="2"/>
      <c r="OP1323" s="2"/>
      <c r="OQ1323" s="2"/>
      <c r="OR1323" s="2"/>
      <c r="OS1323" s="2"/>
      <c r="OT1323" s="2"/>
      <c r="OU1323" s="2"/>
      <c r="OV1323" s="2"/>
      <c r="OW1323" s="2"/>
      <c r="OX1323" s="2"/>
      <c r="OY1323" s="2"/>
      <c r="OZ1323" s="2"/>
      <c r="PA1323" s="2"/>
      <c r="PB1323" s="2"/>
      <c r="PC1323" s="2"/>
      <c r="PD1323" s="2"/>
      <c r="PE1323" s="2"/>
      <c r="PF1323" s="2"/>
      <c r="PG1323" s="2"/>
      <c r="PH1323" s="2"/>
      <c r="PI1323" s="2"/>
      <c r="PJ1323" s="2"/>
      <c r="PK1323" s="2"/>
      <c r="PL1323" s="2"/>
      <c r="PM1323" s="2"/>
      <c r="PN1323" s="2"/>
      <c r="PO1323" s="2"/>
      <c r="PP1323" s="2"/>
      <c r="PQ1323" s="2"/>
      <c r="PR1323" s="2"/>
      <c r="PS1323" s="2"/>
      <c r="PT1323" s="2"/>
      <c r="PU1323" s="2"/>
      <c r="PV1323" s="2"/>
      <c r="PW1323" s="2"/>
      <c r="PX1323" s="2"/>
      <c r="PY1323" s="2"/>
      <c r="PZ1323" s="2"/>
      <c r="QA1323" s="2"/>
      <c r="QB1323" s="2"/>
      <c r="QC1323" s="2"/>
      <c r="QD1323" s="2"/>
      <c r="QE1323" s="2"/>
      <c r="QF1323" s="2"/>
      <c r="QG1323" s="2"/>
      <c r="QH1323" s="2"/>
      <c r="QI1323" s="2"/>
      <c r="QJ1323" s="2"/>
      <c r="QK1323" s="2"/>
      <c r="QL1323" s="2"/>
      <c r="QM1323" s="2"/>
      <c r="QN1323" s="2"/>
      <c r="QO1323" s="2"/>
      <c r="QP1323" s="2"/>
      <c r="QQ1323" s="2"/>
      <c r="QR1323" s="2"/>
      <c r="QS1323" s="2"/>
      <c r="QT1323" s="2"/>
      <c r="QU1323" s="2"/>
      <c r="QV1323" s="2"/>
      <c r="QW1323" s="2"/>
      <c r="QX1323" s="2"/>
      <c r="QY1323" s="2"/>
      <c r="QZ1323" s="2"/>
      <c r="RA1323" s="2"/>
      <c r="RB1323" s="2"/>
      <c r="RC1323" s="2"/>
      <c r="RD1323" s="2"/>
      <c r="RE1323" s="2"/>
      <c r="RF1323" s="2"/>
      <c r="RG1323" s="2"/>
      <c r="RH1323" s="2"/>
      <c r="RI1323" s="2"/>
      <c r="RJ1323" s="2"/>
      <c r="RK1323" s="2"/>
      <c r="RL1323" s="2"/>
      <c r="RM1323" s="2"/>
      <c r="RN1323" s="2"/>
      <c r="RO1323" s="2"/>
      <c r="RP1323" s="2"/>
      <c r="RQ1323" s="2"/>
      <c r="RR1323" s="2"/>
      <c r="RS1323" s="2"/>
      <c r="RT1323" s="2"/>
      <c r="RU1323" s="2"/>
      <c r="RV1323" s="2"/>
      <c r="RW1323" s="2"/>
      <c r="RX1323" s="2"/>
      <c r="RY1323" s="2"/>
      <c r="RZ1323" s="2"/>
      <c r="SA1323" s="2"/>
      <c r="SB1323" s="2"/>
      <c r="SC1323" s="2"/>
      <c r="SD1323" s="2"/>
      <c r="SE1323" s="2"/>
      <c r="SF1323" s="2"/>
      <c r="SG1323" s="2"/>
      <c r="SH1323" s="2"/>
      <c r="SI1323" s="2"/>
      <c r="SJ1323" s="2"/>
      <c r="SK1323" s="2"/>
      <c r="SL1323" s="2"/>
      <c r="SM1323" s="2"/>
      <c r="SN1323" s="2"/>
      <c r="SO1323" s="2"/>
      <c r="SP1323" s="2"/>
      <c r="SQ1323" s="2"/>
      <c r="SR1323" s="2"/>
      <c r="SS1323" s="2"/>
      <c r="ST1323" s="2"/>
      <c r="SU1323" s="2"/>
      <c r="SV1323" s="2"/>
      <c r="SW1323" s="2"/>
      <c r="SX1323" s="2"/>
      <c r="SY1323" s="2"/>
      <c r="SZ1323" s="2"/>
      <c r="TA1323" s="2"/>
      <c r="TB1323" s="2"/>
      <c r="TC1323" s="2"/>
      <c r="TD1323" s="2"/>
      <c r="TE1323" s="2"/>
      <c r="TF1323" s="2"/>
      <c r="TG1323" s="2"/>
      <c r="TH1323" s="2"/>
      <c r="TI1323" s="2"/>
      <c r="TJ1323" s="2"/>
      <c r="TK1323" s="2"/>
      <c r="TL1323" s="2"/>
      <c r="TM1323" s="2"/>
      <c r="TN1323" s="2"/>
      <c r="TO1323" s="2"/>
      <c r="TP1323" s="2"/>
      <c r="TQ1323" s="2"/>
      <c r="TR1323" s="2"/>
      <c r="TS1323" s="2"/>
      <c r="TT1323" s="2"/>
      <c r="TU1323" s="2"/>
      <c r="TV1323" s="2"/>
      <c r="TW1323" s="2"/>
      <c r="TX1323" s="2"/>
      <c r="TY1323" s="2"/>
      <c r="TZ1323" s="2"/>
      <c r="UA1323" s="2"/>
      <c r="UB1323" s="2"/>
      <c r="UC1323" s="2"/>
      <c r="UD1323" s="2"/>
      <c r="UE1323" s="2"/>
      <c r="UF1323" s="2"/>
      <c r="UG1323" s="2"/>
    </row>
    <row r="1324" spans="1:553" s="208" customFormat="1" ht="29.5" customHeight="1">
      <c r="A1324" s="356" t="s">
        <v>30</v>
      </c>
      <c r="B1324" s="427"/>
      <c r="C1324" s="1518" t="s">
        <v>1292</v>
      </c>
      <c r="D1324" s="1587"/>
      <c r="E1324" s="1587"/>
      <c r="F1324" s="1588"/>
      <c r="G1324" s="386" t="s">
        <v>33</v>
      </c>
      <c r="H1324" s="370"/>
      <c r="I1324" s="794">
        <f>-I1323</f>
        <v>-40</v>
      </c>
      <c r="J1324" s="368">
        <f>124207-60200</f>
        <v>64007</v>
      </c>
      <c r="K1324" s="419"/>
      <c r="L1324" s="487">
        <f t="shared" si="199"/>
        <v>-2560280</v>
      </c>
      <c r="M1324" s="395"/>
      <c r="N1324" s="395"/>
      <c r="O1324" s="366"/>
      <c r="P1324" s="396"/>
      <c r="Q1324" s="473"/>
      <c r="R1324" s="1226"/>
      <c r="S1324" s="308"/>
      <c r="T1324" s="308"/>
      <c r="U1324" s="308"/>
      <c r="V1324" s="308"/>
      <c r="W1324" s="308"/>
      <c r="X1324" s="308"/>
      <c r="Y1324" s="308"/>
      <c r="Z1324" s="604"/>
      <c r="AA1324" s="308"/>
      <c r="AB1324" s="308"/>
      <c r="AC1324" s="308"/>
      <c r="AD1324" s="308"/>
      <c r="AE1324" s="308"/>
      <c r="AF1324" s="308"/>
      <c r="AG1324" s="308"/>
      <c r="AH1324" s="308"/>
      <c r="AI1324" s="308"/>
      <c r="AJ1324" s="308"/>
      <c r="AK1324" s="308"/>
      <c r="AL1324" s="205"/>
      <c r="AM1324" s="2"/>
      <c r="AN1324" s="2"/>
      <c r="AO1324" s="2"/>
      <c r="AP1324" s="2"/>
      <c r="AQ1324" s="2"/>
      <c r="AR1324" s="2"/>
      <c r="AS1324" s="2"/>
      <c r="AT1324" s="2"/>
      <c r="AU1324" s="2"/>
      <c r="AV1324" s="2"/>
      <c r="AW1324" s="2"/>
      <c r="AX1324" s="2"/>
      <c r="AY1324" s="2"/>
      <c r="AZ1324" s="2"/>
      <c r="BA1324" s="2"/>
      <c r="BB1324" s="2"/>
      <c r="BC1324" s="2"/>
      <c r="BD1324" s="2"/>
      <c r="BE1324" s="2"/>
      <c r="BF1324" s="2"/>
      <c r="BG1324" s="2"/>
      <c r="BH1324" s="2"/>
      <c r="BI1324" s="2"/>
      <c r="BJ1324" s="2"/>
      <c r="BK1324" s="2"/>
      <c r="BL1324" s="2"/>
      <c r="BM1324" s="2"/>
      <c r="BN1324" s="2"/>
      <c r="BO1324" s="2"/>
      <c r="BP1324" s="2"/>
      <c r="BQ1324" s="2"/>
      <c r="BR1324" s="2"/>
      <c r="BS1324" s="2"/>
      <c r="BT1324" s="2"/>
      <c r="BU1324" s="2"/>
      <c r="BV1324" s="2"/>
      <c r="BW1324" s="2"/>
      <c r="BX1324" s="2"/>
      <c r="BY1324" s="2"/>
      <c r="BZ1324" s="2"/>
      <c r="CA1324" s="2"/>
      <c r="CB1324" s="2"/>
      <c r="CC1324" s="2"/>
      <c r="CD1324" s="2"/>
      <c r="CE1324" s="2"/>
      <c r="CF1324" s="2"/>
      <c r="CG1324" s="2"/>
      <c r="CH1324" s="2"/>
      <c r="CI1324" s="2"/>
      <c r="CJ1324" s="2"/>
      <c r="CK1324" s="2"/>
      <c r="CL1324" s="2"/>
      <c r="CM1324" s="2"/>
      <c r="CN1324" s="2"/>
      <c r="CO1324" s="2"/>
      <c r="CP1324" s="2"/>
      <c r="CQ1324" s="2"/>
      <c r="CR1324" s="2"/>
      <c r="CS1324" s="2"/>
      <c r="CT1324" s="2"/>
      <c r="CU1324" s="2"/>
      <c r="CV1324" s="2"/>
      <c r="CW1324" s="2"/>
      <c r="CX1324" s="2"/>
      <c r="CY1324" s="2"/>
      <c r="CZ1324" s="2"/>
      <c r="DA1324" s="2"/>
      <c r="DB1324" s="2"/>
      <c r="DC1324" s="2"/>
      <c r="DD1324" s="2"/>
      <c r="DE1324" s="2"/>
      <c r="DF1324" s="2"/>
      <c r="DG1324" s="2"/>
      <c r="DH1324" s="2"/>
      <c r="DI1324" s="2"/>
      <c r="DJ1324" s="2"/>
      <c r="DK1324" s="2"/>
      <c r="DL1324" s="2"/>
      <c r="DM1324" s="2"/>
      <c r="DN1324" s="2"/>
      <c r="DO1324" s="2"/>
      <c r="DP1324" s="2"/>
      <c r="DQ1324" s="2"/>
      <c r="DR1324" s="2"/>
      <c r="DS1324" s="2"/>
      <c r="DT1324" s="2"/>
      <c r="DU1324" s="2"/>
      <c r="DV1324" s="2"/>
      <c r="DW1324" s="2"/>
      <c r="DX1324" s="2"/>
      <c r="DY1324" s="2"/>
      <c r="DZ1324" s="2"/>
      <c r="EA1324" s="2"/>
      <c r="EB1324" s="2"/>
      <c r="EC1324" s="2"/>
      <c r="ED1324" s="2"/>
      <c r="EE1324" s="2"/>
      <c r="EF1324" s="2"/>
      <c r="EG1324" s="2"/>
      <c r="EH1324" s="2"/>
      <c r="EI1324" s="2"/>
      <c r="EJ1324" s="2"/>
      <c r="EK1324" s="2"/>
      <c r="EL1324" s="2"/>
      <c r="EM1324" s="2"/>
      <c r="EN1324" s="2"/>
      <c r="EO1324" s="2"/>
      <c r="EP1324" s="2"/>
      <c r="EQ1324" s="2"/>
      <c r="ER1324" s="2"/>
      <c r="ES1324" s="2"/>
      <c r="ET1324" s="2"/>
      <c r="EU1324" s="2"/>
      <c r="EV1324" s="2"/>
      <c r="EW1324" s="2"/>
      <c r="EX1324" s="2"/>
      <c r="EY1324" s="2"/>
      <c r="EZ1324" s="2"/>
      <c r="FA1324" s="2"/>
      <c r="FB1324" s="2"/>
      <c r="FC1324" s="2"/>
      <c r="FD1324" s="2"/>
      <c r="FE1324" s="2"/>
      <c r="FF1324" s="2"/>
      <c r="FG1324" s="2"/>
      <c r="FH1324" s="2"/>
      <c r="FI1324" s="2"/>
      <c r="FJ1324" s="2"/>
      <c r="FK1324" s="2"/>
      <c r="FL1324" s="2"/>
      <c r="FM1324" s="2"/>
      <c r="FN1324" s="2"/>
      <c r="FO1324" s="2"/>
      <c r="FP1324" s="2"/>
      <c r="FQ1324" s="2"/>
      <c r="FR1324" s="2"/>
      <c r="FS1324" s="2"/>
      <c r="FT1324" s="2"/>
      <c r="FU1324" s="2"/>
      <c r="FV1324" s="2"/>
      <c r="FW1324" s="2"/>
      <c r="FX1324" s="2"/>
      <c r="FY1324" s="2"/>
      <c r="FZ1324" s="2"/>
      <c r="GA1324" s="2"/>
      <c r="GB1324" s="2"/>
      <c r="GC1324" s="2"/>
      <c r="GD1324" s="2"/>
      <c r="GE1324" s="2"/>
      <c r="GF1324" s="2"/>
      <c r="GG1324" s="2"/>
      <c r="GH1324" s="2"/>
      <c r="GI1324" s="2"/>
      <c r="GJ1324" s="2"/>
      <c r="GK1324" s="2"/>
      <c r="GL1324" s="2"/>
      <c r="GM1324" s="2"/>
      <c r="GN1324" s="2"/>
      <c r="GO1324" s="2"/>
      <c r="GP1324" s="2"/>
      <c r="GQ1324" s="2"/>
      <c r="GR1324" s="2"/>
      <c r="GS1324" s="2"/>
      <c r="GT1324" s="2"/>
      <c r="GU1324" s="2"/>
      <c r="GV1324" s="2"/>
      <c r="GW1324" s="2"/>
      <c r="GX1324" s="2"/>
      <c r="GY1324" s="2"/>
      <c r="GZ1324" s="2"/>
      <c r="HA1324" s="2"/>
      <c r="HB1324" s="2"/>
      <c r="HC1324" s="2"/>
      <c r="HD1324" s="2"/>
      <c r="HE1324" s="2"/>
      <c r="HF1324" s="2"/>
      <c r="HG1324" s="2"/>
      <c r="HH1324" s="2"/>
      <c r="HI1324" s="2"/>
      <c r="HJ1324" s="2"/>
      <c r="HK1324" s="2"/>
      <c r="HL1324" s="2"/>
      <c r="HM1324" s="2"/>
      <c r="HN1324" s="2"/>
      <c r="HO1324" s="2"/>
      <c r="HP1324" s="2"/>
      <c r="HQ1324" s="2"/>
      <c r="HR1324" s="2"/>
      <c r="HS1324" s="2"/>
      <c r="HT1324" s="2"/>
      <c r="HU1324" s="2"/>
      <c r="HV1324" s="2"/>
      <c r="HW1324" s="2"/>
      <c r="HX1324" s="2"/>
      <c r="HY1324" s="2"/>
      <c r="HZ1324" s="2"/>
      <c r="IA1324" s="2"/>
      <c r="IB1324" s="2"/>
      <c r="IC1324" s="2"/>
      <c r="ID1324" s="2"/>
      <c r="IE1324" s="2"/>
      <c r="IF1324" s="2"/>
      <c r="IG1324" s="2"/>
      <c r="IH1324" s="2"/>
      <c r="II1324" s="2"/>
      <c r="IJ1324" s="2"/>
      <c r="IK1324" s="2"/>
      <c r="IL1324" s="2"/>
      <c r="IM1324" s="2"/>
      <c r="IN1324" s="2"/>
      <c r="IO1324" s="2"/>
      <c r="IP1324" s="2"/>
      <c r="IQ1324" s="2"/>
      <c r="IR1324" s="2"/>
      <c r="IS1324" s="2"/>
      <c r="IT1324" s="2"/>
      <c r="IU1324" s="2"/>
      <c r="IV1324" s="2"/>
      <c r="IW1324" s="2"/>
      <c r="IX1324" s="2"/>
      <c r="IY1324" s="2"/>
      <c r="IZ1324" s="2"/>
      <c r="JA1324" s="2"/>
      <c r="JB1324" s="2"/>
      <c r="JC1324" s="2"/>
      <c r="JD1324" s="2"/>
      <c r="JE1324" s="2"/>
      <c r="JF1324" s="2"/>
      <c r="JG1324" s="2"/>
      <c r="JH1324" s="2"/>
      <c r="JI1324" s="2"/>
      <c r="JJ1324" s="2"/>
      <c r="JK1324" s="2"/>
      <c r="JL1324" s="2"/>
      <c r="JM1324" s="2"/>
      <c r="JN1324" s="2"/>
      <c r="JO1324" s="2"/>
      <c r="JP1324" s="2"/>
      <c r="JQ1324" s="2"/>
      <c r="JR1324" s="2"/>
      <c r="JS1324" s="2"/>
      <c r="JT1324" s="2"/>
      <c r="JU1324" s="2"/>
      <c r="JV1324" s="2"/>
      <c r="JW1324" s="2"/>
      <c r="JX1324" s="2"/>
      <c r="JY1324" s="2"/>
      <c r="JZ1324" s="2"/>
      <c r="KA1324" s="2"/>
      <c r="KB1324" s="2"/>
      <c r="KC1324" s="2"/>
      <c r="KD1324" s="2"/>
      <c r="KE1324" s="2"/>
      <c r="KF1324" s="2"/>
      <c r="KG1324" s="2"/>
      <c r="KH1324" s="2"/>
      <c r="KI1324" s="2"/>
      <c r="KJ1324" s="2"/>
      <c r="KK1324" s="2"/>
      <c r="KL1324" s="2"/>
      <c r="KM1324" s="2"/>
      <c r="KN1324" s="2"/>
      <c r="KO1324" s="2"/>
      <c r="KP1324" s="2"/>
      <c r="KQ1324" s="2"/>
      <c r="KR1324" s="2"/>
      <c r="KS1324" s="2"/>
      <c r="KT1324" s="2"/>
      <c r="KU1324" s="2"/>
      <c r="KV1324" s="2"/>
      <c r="KW1324" s="2"/>
      <c r="KX1324" s="2"/>
      <c r="KY1324" s="2"/>
      <c r="KZ1324" s="2"/>
      <c r="LA1324" s="2"/>
      <c r="LB1324" s="2"/>
      <c r="LC1324" s="2"/>
      <c r="LD1324" s="2"/>
      <c r="LE1324" s="2"/>
      <c r="LF1324" s="2"/>
      <c r="LG1324" s="2"/>
      <c r="LH1324" s="2"/>
      <c r="LI1324" s="2"/>
      <c r="LJ1324" s="2"/>
      <c r="LK1324" s="2"/>
      <c r="LL1324" s="2"/>
      <c r="LM1324" s="2"/>
      <c r="LN1324" s="2"/>
      <c r="LO1324" s="2"/>
      <c r="LP1324" s="2"/>
      <c r="LQ1324" s="2"/>
      <c r="LR1324" s="2"/>
      <c r="LS1324" s="2"/>
      <c r="LT1324" s="2"/>
      <c r="LU1324" s="2"/>
      <c r="LV1324" s="2"/>
      <c r="LW1324" s="2"/>
      <c r="LX1324" s="2"/>
      <c r="LY1324" s="2"/>
      <c r="LZ1324" s="2"/>
      <c r="MA1324" s="2"/>
      <c r="MB1324" s="2"/>
      <c r="MC1324" s="2"/>
      <c r="MD1324" s="2"/>
      <c r="ME1324" s="2"/>
      <c r="MF1324" s="2"/>
      <c r="MG1324" s="2"/>
      <c r="MH1324" s="2"/>
      <c r="MI1324" s="2"/>
      <c r="MJ1324" s="2"/>
      <c r="MK1324" s="2"/>
      <c r="ML1324" s="2"/>
      <c r="MM1324" s="2"/>
      <c r="MN1324" s="2"/>
      <c r="MO1324" s="2"/>
      <c r="MP1324" s="2"/>
      <c r="MQ1324" s="2"/>
      <c r="MR1324" s="2"/>
      <c r="MS1324" s="2"/>
      <c r="MT1324" s="2"/>
      <c r="MU1324" s="2"/>
      <c r="MV1324" s="2"/>
      <c r="MW1324" s="2"/>
      <c r="MX1324" s="2"/>
      <c r="MY1324" s="2"/>
      <c r="MZ1324" s="2"/>
      <c r="NA1324" s="2"/>
      <c r="NB1324" s="2"/>
      <c r="NC1324" s="2"/>
      <c r="ND1324" s="2"/>
      <c r="NE1324" s="2"/>
      <c r="NF1324" s="2"/>
      <c r="NG1324" s="2"/>
      <c r="NH1324" s="2"/>
      <c r="NI1324" s="2"/>
      <c r="NJ1324" s="2"/>
      <c r="NK1324" s="2"/>
      <c r="NL1324" s="2"/>
      <c r="NM1324" s="2"/>
      <c r="NN1324" s="2"/>
      <c r="NO1324" s="2"/>
      <c r="NP1324" s="2"/>
      <c r="NQ1324" s="2"/>
      <c r="NR1324" s="2"/>
      <c r="NS1324" s="2"/>
      <c r="NT1324" s="2"/>
      <c r="NU1324" s="2"/>
      <c r="NV1324" s="2"/>
      <c r="NW1324" s="2"/>
      <c r="NX1324" s="2"/>
      <c r="NY1324" s="2"/>
      <c r="NZ1324" s="2"/>
      <c r="OA1324" s="2"/>
      <c r="OB1324" s="2"/>
      <c r="OC1324" s="2"/>
      <c r="OD1324" s="2"/>
      <c r="OE1324" s="2"/>
      <c r="OF1324" s="2"/>
      <c r="OG1324" s="2"/>
      <c r="OH1324" s="2"/>
      <c r="OI1324" s="2"/>
      <c r="OJ1324" s="2"/>
      <c r="OK1324" s="2"/>
      <c r="OL1324" s="2"/>
      <c r="OM1324" s="2"/>
      <c r="ON1324" s="2"/>
      <c r="OO1324" s="2"/>
      <c r="OP1324" s="2"/>
      <c r="OQ1324" s="2"/>
      <c r="OR1324" s="2"/>
      <c r="OS1324" s="2"/>
      <c r="OT1324" s="2"/>
      <c r="OU1324" s="2"/>
      <c r="OV1324" s="2"/>
      <c r="OW1324" s="2"/>
      <c r="OX1324" s="2"/>
      <c r="OY1324" s="2"/>
      <c r="OZ1324" s="2"/>
      <c r="PA1324" s="2"/>
      <c r="PB1324" s="2"/>
      <c r="PC1324" s="2"/>
      <c r="PD1324" s="2"/>
      <c r="PE1324" s="2"/>
      <c r="PF1324" s="2"/>
      <c r="PG1324" s="2"/>
      <c r="PH1324" s="2"/>
      <c r="PI1324" s="2"/>
      <c r="PJ1324" s="2"/>
      <c r="PK1324" s="2"/>
      <c r="PL1324" s="2"/>
      <c r="PM1324" s="2"/>
      <c r="PN1324" s="2"/>
      <c r="PO1324" s="2"/>
      <c r="PP1324" s="2"/>
      <c r="PQ1324" s="2"/>
      <c r="PR1324" s="2"/>
      <c r="PS1324" s="2"/>
      <c r="PT1324" s="2"/>
      <c r="PU1324" s="2"/>
      <c r="PV1324" s="2"/>
      <c r="PW1324" s="2"/>
      <c r="PX1324" s="2"/>
      <c r="PY1324" s="2"/>
      <c r="PZ1324" s="2"/>
      <c r="QA1324" s="2"/>
      <c r="QB1324" s="2"/>
      <c r="QC1324" s="2"/>
      <c r="QD1324" s="2"/>
      <c r="QE1324" s="2"/>
      <c r="QF1324" s="2"/>
      <c r="QG1324" s="2"/>
      <c r="QH1324" s="2"/>
      <c r="QI1324" s="2"/>
      <c r="QJ1324" s="2"/>
      <c r="QK1324" s="2"/>
      <c r="QL1324" s="2"/>
      <c r="QM1324" s="2"/>
      <c r="QN1324" s="2"/>
      <c r="QO1324" s="2"/>
      <c r="QP1324" s="2"/>
      <c r="QQ1324" s="2"/>
      <c r="QR1324" s="2"/>
      <c r="QS1324" s="2"/>
      <c r="QT1324" s="2"/>
      <c r="QU1324" s="2"/>
      <c r="QV1324" s="2"/>
      <c r="QW1324" s="2"/>
      <c r="QX1324" s="2"/>
      <c r="QY1324" s="2"/>
      <c r="QZ1324" s="2"/>
      <c r="RA1324" s="2"/>
      <c r="RB1324" s="2"/>
      <c r="RC1324" s="2"/>
      <c r="RD1324" s="2"/>
      <c r="RE1324" s="2"/>
      <c r="RF1324" s="2"/>
      <c r="RG1324" s="2"/>
      <c r="RH1324" s="2"/>
      <c r="RI1324" s="2"/>
      <c r="RJ1324" s="2"/>
      <c r="RK1324" s="2"/>
      <c r="RL1324" s="2"/>
      <c r="RM1324" s="2"/>
      <c r="RN1324" s="2"/>
      <c r="RO1324" s="2"/>
      <c r="RP1324" s="2"/>
      <c r="RQ1324" s="2"/>
      <c r="RR1324" s="2"/>
      <c r="RS1324" s="2"/>
      <c r="RT1324" s="2"/>
      <c r="RU1324" s="2"/>
      <c r="RV1324" s="2"/>
      <c r="RW1324" s="2"/>
      <c r="RX1324" s="2"/>
      <c r="RY1324" s="2"/>
      <c r="RZ1324" s="2"/>
      <c r="SA1324" s="2"/>
      <c r="SB1324" s="2"/>
      <c r="SC1324" s="2"/>
      <c r="SD1324" s="2"/>
      <c r="SE1324" s="2"/>
      <c r="SF1324" s="2"/>
      <c r="SG1324" s="2"/>
      <c r="SH1324" s="2"/>
      <c r="SI1324" s="2"/>
      <c r="SJ1324" s="2"/>
      <c r="SK1324" s="2"/>
      <c r="SL1324" s="2"/>
      <c r="SM1324" s="2"/>
      <c r="SN1324" s="2"/>
      <c r="SO1324" s="2"/>
      <c r="SP1324" s="2"/>
      <c r="SQ1324" s="2"/>
      <c r="SR1324" s="2"/>
      <c r="SS1324" s="2"/>
      <c r="ST1324" s="2"/>
      <c r="SU1324" s="2"/>
      <c r="SV1324" s="2"/>
      <c r="SW1324" s="2"/>
      <c r="SX1324" s="2"/>
      <c r="SY1324" s="2"/>
      <c r="SZ1324" s="2"/>
      <c r="TA1324" s="2"/>
      <c r="TB1324" s="2"/>
      <c r="TC1324" s="2"/>
      <c r="TD1324" s="2"/>
      <c r="TE1324" s="2"/>
      <c r="TF1324" s="2"/>
      <c r="TG1324" s="2"/>
      <c r="TH1324" s="2"/>
      <c r="TI1324" s="2"/>
      <c r="TJ1324" s="2"/>
      <c r="TK1324" s="2"/>
      <c r="TL1324" s="2"/>
      <c r="TM1324" s="2"/>
      <c r="TN1324" s="2"/>
      <c r="TO1324" s="2"/>
      <c r="TP1324" s="2"/>
      <c r="TQ1324" s="2"/>
      <c r="TR1324" s="2"/>
      <c r="TS1324" s="2"/>
      <c r="TT1324" s="2"/>
      <c r="TU1324" s="2"/>
      <c r="TV1324" s="2"/>
      <c r="TW1324" s="2"/>
      <c r="TX1324" s="2"/>
      <c r="TY1324" s="2"/>
      <c r="TZ1324" s="2"/>
      <c r="UA1324" s="2"/>
      <c r="UB1324" s="2"/>
      <c r="UC1324" s="2"/>
      <c r="UD1324" s="2"/>
      <c r="UE1324" s="2"/>
      <c r="UF1324" s="2"/>
      <c r="UG1324" s="2"/>
    </row>
    <row r="1325" spans="1:553" s="208" customFormat="1" ht="29.5" customHeight="1">
      <c r="A1325" s="356" t="s">
        <v>30</v>
      </c>
      <c r="B1325" s="427">
        <v>46</v>
      </c>
      <c r="C1325" s="1518" t="s">
        <v>1312</v>
      </c>
      <c r="D1325" s="1587"/>
      <c r="E1325" s="1587"/>
      <c r="F1325" s="1588"/>
      <c r="G1325" s="386"/>
      <c r="H1325" s="370"/>
      <c r="I1325" s="794">
        <f>-26*1.5</f>
        <v>-39</v>
      </c>
      <c r="J1325" s="368">
        <v>62500</v>
      </c>
      <c r="K1325" s="419"/>
      <c r="L1325" s="487">
        <f t="shared" si="199"/>
        <v>-2437500</v>
      </c>
      <c r="M1325" s="395"/>
      <c r="N1325" s="395"/>
      <c r="O1325" s="366"/>
      <c r="P1325" s="396"/>
      <c r="Q1325" s="473"/>
      <c r="R1325" s="1226"/>
      <c r="S1325" s="308"/>
      <c r="T1325" s="308"/>
      <c r="U1325" s="308"/>
      <c r="V1325" s="308"/>
      <c r="W1325" s="308"/>
      <c r="X1325" s="308"/>
      <c r="Y1325" s="308"/>
      <c r="Z1325" s="604"/>
      <c r="AA1325" s="308"/>
      <c r="AB1325" s="308"/>
      <c r="AC1325" s="308"/>
      <c r="AD1325" s="308"/>
      <c r="AE1325" s="308"/>
      <c r="AF1325" s="308"/>
      <c r="AG1325" s="308"/>
      <c r="AH1325" s="308"/>
      <c r="AI1325" s="308"/>
      <c r="AJ1325" s="308"/>
      <c r="AK1325" s="308"/>
      <c r="AL1325" s="205"/>
      <c r="AM1325" s="2"/>
      <c r="AN1325" s="2"/>
      <c r="AO1325" s="2"/>
      <c r="AP1325" s="2"/>
      <c r="AQ1325" s="2"/>
      <c r="AR1325" s="2"/>
      <c r="AS1325" s="2"/>
      <c r="AT1325" s="2"/>
      <c r="AU1325" s="2"/>
      <c r="AV1325" s="2"/>
      <c r="AW1325" s="2"/>
      <c r="AX1325" s="2"/>
      <c r="AY1325" s="2"/>
      <c r="AZ1325" s="2"/>
      <c r="BA1325" s="2"/>
      <c r="BB1325" s="2"/>
      <c r="BC1325" s="2"/>
      <c r="BD1325" s="2"/>
      <c r="BE1325" s="2"/>
      <c r="BF1325" s="2"/>
      <c r="BG1325" s="2"/>
      <c r="BH1325" s="2"/>
      <c r="BI1325" s="2"/>
      <c r="BJ1325" s="2"/>
      <c r="BK1325" s="2"/>
      <c r="BL1325" s="2"/>
      <c r="BM1325" s="2"/>
      <c r="BN1325" s="2"/>
      <c r="BO1325" s="2"/>
      <c r="BP1325" s="2"/>
      <c r="BQ1325" s="2"/>
      <c r="BR1325" s="2"/>
      <c r="BS1325" s="2"/>
      <c r="BT1325" s="2"/>
      <c r="BU1325" s="2"/>
      <c r="BV1325" s="2"/>
      <c r="BW1325" s="2"/>
      <c r="BX1325" s="2"/>
      <c r="BY1325" s="2"/>
      <c r="BZ1325" s="2"/>
      <c r="CA1325" s="2"/>
      <c r="CB1325" s="2"/>
      <c r="CC1325" s="2"/>
      <c r="CD1325" s="2"/>
      <c r="CE1325" s="2"/>
      <c r="CF1325" s="2"/>
      <c r="CG1325" s="2"/>
      <c r="CH1325" s="2"/>
      <c r="CI1325" s="2"/>
      <c r="CJ1325" s="2"/>
      <c r="CK1325" s="2"/>
      <c r="CL1325" s="2"/>
      <c r="CM1325" s="2"/>
      <c r="CN1325" s="2"/>
      <c r="CO1325" s="2"/>
      <c r="CP1325" s="2"/>
      <c r="CQ1325" s="2"/>
      <c r="CR1325" s="2"/>
      <c r="CS1325" s="2"/>
      <c r="CT1325" s="2"/>
      <c r="CU1325" s="2"/>
      <c r="CV1325" s="2"/>
      <c r="CW1325" s="2"/>
      <c r="CX1325" s="2"/>
      <c r="CY1325" s="2"/>
      <c r="CZ1325" s="2"/>
      <c r="DA1325" s="2"/>
      <c r="DB1325" s="2"/>
      <c r="DC1325" s="2"/>
      <c r="DD1325" s="2"/>
      <c r="DE1325" s="2"/>
      <c r="DF1325" s="2"/>
      <c r="DG1325" s="2"/>
      <c r="DH1325" s="2"/>
      <c r="DI1325" s="2"/>
      <c r="DJ1325" s="2"/>
      <c r="DK1325" s="2"/>
      <c r="DL1325" s="2"/>
      <c r="DM1325" s="2"/>
      <c r="DN1325" s="2"/>
      <c r="DO1325" s="2"/>
      <c r="DP1325" s="2"/>
      <c r="DQ1325" s="2"/>
      <c r="DR1325" s="2"/>
      <c r="DS1325" s="2"/>
      <c r="DT1325" s="2"/>
      <c r="DU1325" s="2"/>
      <c r="DV1325" s="2"/>
      <c r="DW1325" s="2"/>
      <c r="DX1325" s="2"/>
      <c r="DY1325" s="2"/>
      <c r="DZ1325" s="2"/>
      <c r="EA1325" s="2"/>
      <c r="EB1325" s="2"/>
      <c r="EC1325" s="2"/>
      <c r="ED1325" s="2"/>
      <c r="EE1325" s="2"/>
      <c r="EF1325" s="2"/>
      <c r="EG1325" s="2"/>
      <c r="EH1325" s="2"/>
      <c r="EI1325" s="2"/>
      <c r="EJ1325" s="2"/>
      <c r="EK1325" s="2"/>
      <c r="EL1325" s="2"/>
      <c r="EM1325" s="2"/>
      <c r="EN1325" s="2"/>
      <c r="EO1325" s="2"/>
      <c r="EP1325" s="2"/>
      <c r="EQ1325" s="2"/>
      <c r="ER1325" s="2"/>
      <c r="ES1325" s="2"/>
      <c r="ET1325" s="2"/>
      <c r="EU1325" s="2"/>
      <c r="EV1325" s="2"/>
      <c r="EW1325" s="2"/>
      <c r="EX1325" s="2"/>
      <c r="EY1325" s="2"/>
      <c r="EZ1325" s="2"/>
      <c r="FA1325" s="2"/>
      <c r="FB1325" s="2"/>
      <c r="FC1325" s="2"/>
      <c r="FD1325" s="2"/>
      <c r="FE1325" s="2"/>
      <c r="FF1325" s="2"/>
      <c r="FG1325" s="2"/>
      <c r="FH1325" s="2"/>
      <c r="FI1325" s="2"/>
      <c r="FJ1325" s="2"/>
      <c r="FK1325" s="2"/>
      <c r="FL1325" s="2"/>
      <c r="FM1325" s="2"/>
      <c r="FN1325" s="2"/>
      <c r="FO1325" s="2"/>
      <c r="FP1325" s="2"/>
      <c r="FQ1325" s="2"/>
      <c r="FR1325" s="2"/>
      <c r="FS1325" s="2"/>
      <c r="FT1325" s="2"/>
      <c r="FU1325" s="2"/>
      <c r="FV1325" s="2"/>
      <c r="FW1325" s="2"/>
      <c r="FX1325" s="2"/>
      <c r="FY1325" s="2"/>
      <c r="FZ1325" s="2"/>
      <c r="GA1325" s="2"/>
      <c r="GB1325" s="2"/>
      <c r="GC1325" s="2"/>
      <c r="GD1325" s="2"/>
      <c r="GE1325" s="2"/>
      <c r="GF1325" s="2"/>
      <c r="GG1325" s="2"/>
      <c r="GH1325" s="2"/>
      <c r="GI1325" s="2"/>
      <c r="GJ1325" s="2"/>
      <c r="GK1325" s="2"/>
      <c r="GL1325" s="2"/>
      <c r="GM1325" s="2"/>
      <c r="GN1325" s="2"/>
      <c r="GO1325" s="2"/>
      <c r="GP1325" s="2"/>
      <c r="GQ1325" s="2"/>
      <c r="GR1325" s="2"/>
      <c r="GS1325" s="2"/>
      <c r="GT1325" s="2"/>
      <c r="GU1325" s="2"/>
      <c r="GV1325" s="2"/>
      <c r="GW1325" s="2"/>
      <c r="GX1325" s="2"/>
      <c r="GY1325" s="2"/>
      <c r="GZ1325" s="2"/>
      <c r="HA1325" s="2"/>
      <c r="HB1325" s="2"/>
      <c r="HC1325" s="2"/>
      <c r="HD1325" s="2"/>
      <c r="HE1325" s="2"/>
      <c r="HF1325" s="2"/>
      <c r="HG1325" s="2"/>
      <c r="HH1325" s="2"/>
      <c r="HI1325" s="2"/>
      <c r="HJ1325" s="2"/>
      <c r="HK1325" s="2"/>
      <c r="HL1325" s="2"/>
      <c r="HM1325" s="2"/>
      <c r="HN1325" s="2"/>
      <c r="HO1325" s="2"/>
      <c r="HP1325" s="2"/>
      <c r="HQ1325" s="2"/>
      <c r="HR1325" s="2"/>
      <c r="HS1325" s="2"/>
      <c r="HT1325" s="2"/>
      <c r="HU1325" s="2"/>
      <c r="HV1325" s="2"/>
      <c r="HW1325" s="2"/>
      <c r="HX1325" s="2"/>
      <c r="HY1325" s="2"/>
      <c r="HZ1325" s="2"/>
      <c r="IA1325" s="2"/>
      <c r="IB1325" s="2"/>
      <c r="IC1325" s="2"/>
      <c r="ID1325" s="2"/>
      <c r="IE1325" s="2"/>
      <c r="IF1325" s="2"/>
      <c r="IG1325" s="2"/>
      <c r="IH1325" s="2"/>
      <c r="II1325" s="2"/>
      <c r="IJ1325" s="2"/>
      <c r="IK1325" s="2"/>
      <c r="IL1325" s="2"/>
      <c r="IM1325" s="2"/>
      <c r="IN1325" s="2"/>
      <c r="IO1325" s="2"/>
      <c r="IP1325" s="2"/>
      <c r="IQ1325" s="2"/>
      <c r="IR1325" s="2"/>
      <c r="IS1325" s="2"/>
      <c r="IT1325" s="2"/>
      <c r="IU1325" s="2"/>
      <c r="IV1325" s="2"/>
      <c r="IW1325" s="2"/>
      <c r="IX1325" s="2"/>
      <c r="IY1325" s="2"/>
      <c r="IZ1325" s="2"/>
      <c r="JA1325" s="2"/>
      <c r="JB1325" s="2"/>
      <c r="JC1325" s="2"/>
      <c r="JD1325" s="2"/>
      <c r="JE1325" s="2"/>
      <c r="JF1325" s="2"/>
      <c r="JG1325" s="2"/>
      <c r="JH1325" s="2"/>
      <c r="JI1325" s="2"/>
      <c r="JJ1325" s="2"/>
      <c r="JK1325" s="2"/>
      <c r="JL1325" s="2"/>
      <c r="JM1325" s="2"/>
      <c r="JN1325" s="2"/>
      <c r="JO1325" s="2"/>
      <c r="JP1325" s="2"/>
      <c r="JQ1325" s="2"/>
      <c r="JR1325" s="2"/>
      <c r="JS1325" s="2"/>
      <c r="JT1325" s="2"/>
      <c r="JU1325" s="2"/>
      <c r="JV1325" s="2"/>
      <c r="JW1325" s="2"/>
      <c r="JX1325" s="2"/>
      <c r="JY1325" s="2"/>
      <c r="JZ1325" s="2"/>
      <c r="KA1325" s="2"/>
      <c r="KB1325" s="2"/>
      <c r="KC1325" s="2"/>
      <c r="KD1325" s="2"/>
      <c r="KE1325" s="2"/>
      <c r="KF1325" s="2"/>
      <c r="KG1325" s="2"/>
      <c r="KH1325" s="2"/>
      <c r="KI1325" s="2"/>
      <c r="KJ1325" s="2"/>
      <c r="KK1325" s="2"/>
      <c r="KL1325" s="2"/>
      <c r="KM1325" s="2"/>
      <c r="KN1325" s="2"/>
      <c r="KO1325" s="2"/>
      <c r="KP1325" s="2"/>
      <c r="KQ1325" s="2"/>
      <c r="KR1325" s="2"/>
      <c r="KS1325" s="2"/>
      <c r="KT1325" s="2"/>
      <c r="KU1325" s="2"/>
      <c r="KV1325" s="2"/>
      <c r="KW1325" s="2"/>
      <c r="KX1325" s="2"/>
      <c r="KY1325" s="2"/>
      <c r="KZ1325" s="2"/>
      <c r="LA1325" s="2"/>
      <c r="LB1325" s="2"/>
      <c r="LC1325" s="2"/>
      <c r="LD1325" s="2"/>
      <c r="LE1325" s="2"/>
      <c r="LF1325" s="2"/>
      <c r="LG1325" s="2"/>
      <c r="LH1325" s="2"/>
      <c r="LI1325" s="2"/>
      <c r="LJ1325" s="2"/>
      <c r="LK1325" s="2"/>
      <c r="LL1325" s="2"/>
      <c r="LM1325" s="2"/>
      <c r="LN1325" s="2"/>
      <c r="LO1325" s="2"/>
      <c r="LP1325" s="2"/>
      <c r="LQ1325" s="2"/>
      <c r="LR1325" s="2"/>
      <c r="LS1325" s="2"/>
      <c r="LT1325" s="2"/>
      <c r="LU1325" s="2"/>
      <c r="LV1325" s="2"/>
      <c r="LW1325" s="2"/>
      <c r="LX1325" s="2"/>
      <c r="LY1325" s="2"/>
      <c r="LZ1325" s="2"/>
      <c r="MA1325" s="2"/>
      <c r="MB1325" s="2"/>
      <c r="MC1325" s="2"/>
      <c r="MD1325" s="2"/>
      <c r="ME1325" s="2"/>
      <c r="MF1325" s="2"/>
      <c r="MG1325" s="2"/>
      <c r="MH1325" s="2"/>
      <c r="MI1325" s="2"/>
      <c r="MJ1325" s="2"/>
      <c r="MK1325" s="2"/>
      <c r="ML1325" s="2"/>
      <c r="MM1325" s="2"/>
      <c r="MN1325" s="2"/>
      <c r="MO1325" s="2"/>
      <c r="MP1325" s="2"/>
      <c r="MQ1325" s="2"/>
      <c r="MR1325" s="2"/>
      <c r="MS1325" s="2"/>
      <c r="MT1325" s="2"/>
      <c r="MU1325" s="2"/>
      <c r="MV1325" s="2"/>
      <c r="MW1325" s="2"/>
      <c r="MX1325" s="2"/>
      <c r="MY1325" s="2"/>
      <c r="MZ1325" s="2"/>
      <c r="NA1325" s="2"/>
      <c r="NB1325" s="2"/>
      <c r="NC1325" s="2"/>
      <c r="ND1325" s="2"/>
      <c r="NE1325" s="2"/>
      <c r="NF1325" s="2"/>
      <c r="NG1325" s="2"/>
      <c r="NH1325" s="2"/>
      <c r="NI1325" s="2"/>
      <c r="NJ1325" s="2"/>
      <c r="NK1325" s="2"/>
      <c r="NL1325" s="2"/>
      <c r="NM1325" s="2"/>
      <c r="NN1325" s="2"/>
      <c r="NO1325" s="2"/>
      <c r="NP1325" s="2"/>
      <c r="NQ1325" s="2"/>
      <c r="NR1325" s="2"/>
      <c r="NS1325" s="2"/>
      <c r="NT1325" s="2"/>
      <c r="NU1325" s="2"/>
      <c r="NV1325" s="2"/>
      <c r="NW1325" s="2"/>
      <c r="NX1325" s="2"/>
      <c r="NY1325" s="2"/>
      <c r="NZ1325" s="2"/>
      <c r="OA1325" s="2"/>
      <c r="OB1325" s="2"/>
      <c r="OC1325" s="2"/>
      <c r="OD1325" s="2"/>
      <c r="OE1325" s="2"/>
      <c r="OF1325" s="2"/>
      <c r="OG1325" s="2"/>
      <c r="OH1325" s="2"/>
      <c r="OI1325" s="2"/>
      <c r="OJ1325" s="2"/>
      <c r="OK1325" s="2"/>
      <c r="OL1325" s="2"/>
      <c r="OM1325" s="2"/>
      <c r="ON1325" s="2"/>
      <c r="OO1325" s="2"/>
      <c r="OP1325" s="2"/>
      <c r="OQ1325" s="2"/>
      <c r="OR1325" s="2"/>
      <c r="OS1325" s="2"/>
      <c r="OT1325" s="2"/>
      <c r="OU1325" s="2"/>
      <c r="OV1325" s="2"/>
      <c r="OW1325" s="2"/>
      <c r="OX1325" s="2"/>
      <c r="OY1325" s="2"/>
      <c r="OZ1325" s="2"/>
      <c r="PA1325" s="2"/>
      <c r="PB1325" s="2"/>
      <c r="PC1325" s="2"/>
      <c r="PD1325" s="2"/>
      <c r="PE1325" s="2"/>
      <c r="PF1325" s="2"/>
      <c r="PG1325" s="2"/>
      <c r="PH1325" s="2"/>
      <c r="PI1325" s="2"/>
      <c r="PJ1325" s="2"/>
      <c r="PK1325" s="2"/>
      <c r="PL1325" s="2"/>
      <c r="PM1325" s="2"/>
      <c r="PN1325" s="2"/>
      <c r="PO1325" s="2"/>
      <c r="PP1325" s="2"/>
      <c r="PQ1325" s="2"/>
      <c r="PR1325" s="2"/>
      <c r="PS1325" s="2"/>
      <c r="PT1325" s="2"/>
      <c r="PU1325" s="2"/>
      <c r="PV1325" s="2"/>
      <c r="PW1325" s="2"/>
      <c r="PX1325" s="2"/>
      <c r="PY1325" s="2"/>
      <c r="PZ1325" s="2"/>
      <c r="QA1325" s="2"/>
      <c r="QB1325" s="2"/>
      <c r="QC1325" s="2"/>
      <c r="QD1325" s="2"/>
      <c r="QE1325" s="2"/>
      <c r="QF1325" s="2"/>
      <c r="QG1325" s="2"/>
      <c r="QH1325" s="2"/>
      <c r="QI1325" s="2"/>
      <c r="QJ1325" s="2"/>
      <c r="QK1325" s="2"/>
      <c r="QL1325" s="2"/>
      <c r="QM1325" s="2"/>
      <c r="QN1325" s="2"/>
      <c r="QO1325" s="2"/>
      <c r="QP1325" s="2"/>
      <c r="QQ1325" s="2"/>
      <c r="QR1325" s="2"/>
      <c r="QS1325" s="2"/>
      <c r="QT1325" s="2"/>
      <c r="QU1325" s="2"/>
      <c r="QV1325" s="2"/>
      <c r="QW1325" s="2"/>
      <c r="QX1325" s="2"/>
      <c r="QY1325" s="2"/>
      <c r="QZ1325" s="2"/>
      <c r="RA1325" s="2"/>
      <c r="RB1325" s="2"/>
      <c r="RC1325" s="2"/>
      <c r="RD1325" s="2"/>
      <c r="RE1325" s="2"/>
      <c r="RF1325" s="2"/>
      <c r="RG1325" s="2"/>
      <c r="RH1325" s="2"/>
      <c r="RI1325" s="2"/>
      <c r="RJ1325" s="2"/>
      <c r="RK1325" s="2"/>
      <c r="RL1325" s="2"/>
      <c r="RM1325" s="2"/>
      <c r="RN1325" s="2"/>
      <c r="RO1325" s="2"/>
      <c r="RP1325" s="2"/>
      <c r="RQ1325" s="2"/>
      <c r="RR1325" s="2"/>
      <c r="RS1325" s="2"/>
      <c r="RT1325" s="2"/>
      <c r="RU1325" s="2"/>
      <c r="RV1325" s="2"/>
      <c r="RW1325" s="2"/>
      <c r="RX1325" s="2"/>
      <c r="RY1325" s="2"/>
      <c r="RZ1325" s="2"/>
      <c r="SA1325" s="2"/>
      <c r="SB1325" s="2"/>
      <c r="SC1325" s="2"/>
      <c r="SD1325" s="2"/>
      <c r="SE1325" s="2"/>
      <c r="SF1325" s="2"/>
      <c r="SG1325" s="2"/>
      <c r="SH1325" s="2"/>
      <c r="SI1325" s="2"/>
      <c r="SJ1325" s="2"/>
      <c r="SK1325" s="2"/>
      <c r="SL1325" s="2"/>
      <c r="SM1325" s="2"/>
      <c r="SN1325" s="2"/>
      <c r="SO1325" s="2"/>
      <c r="SP1325" s="2"/>
      <c r="SQ1325" s="2"/>
      <c r="SR1325" s="2"/>
      <c r="SS1325" s="2"/>
      <c r="ST1325" s="2"/>
      <c r="SU1325" s="2"/>
      <c r="SV1325" s="2"/>
      <c r="SW1325" s="2"/>
      <c r="SX1325" s="2"/>
      <c r="SY1325" s="2"/>
      <c r="SZ1325" s="2"/>
      <c r="TA1325" s="2"/>
      <c r="TB1325" s="2"/>
      <c r="TC1325" s="2"/>
      <c r="TD1325" s="2"/>
      <c r="TE1325" s="2"/>
      <c r="TF1325" s="2"/>
      <c r="TG1325" s="2"/>
      <c r="TH1325" s="2"/>
      <c r="TI1325" s="2"/>
      <c r="TJ1325" s="2"/>
      <c r="TK1325" s="2"/>
      <c r="TL1325" s="2"/>
      <c r="TM1325" s="2"/>
      <c r="TN1325" s="2"/>
      <c r="TO1325" s="2"/>
      <c r="TP1325" s="2"/>
      <c r="TQ1325" s="2"/>
      <c r="TR1325" s="2"/>
      <c r="TS1325" s="2"/>
      <c r="TT1325" s="2"/>
      <c r="TU1325" s="2"/>
      <c r="TV1325" s="2"/>
      <c r="TW1325" s="2"/>
      <c r="TX1325" s="2"/>
      <c r="TY1325" s="2"/>
      <c r="TZ1325" s="2"/>
      <c r="UA1325" s="2"/>
      <c r="UB1325" s="2"/>
      <c r="UC1325" s="2"/>
      <c r="UD1325" s="2"/>
      <c r="UE1325" s="2"/>
      <c r="UF1325" s="2"/>
      <c r="UG1325" s="2"/>
    </row>
    <row r="1326" spans="1:553" s="208" customFormat="1" ht="27.65" customHeight="1">
      <c r="A1326" s="356"/>
      <c r="B1326" s="427"/>
      <c r="C1326" s="1394" t="s">
        <v>1055</v>
      </c>
      <c r="D1326" s="1395"/>
      <c r="E1326" s="1395"/>
      <c r="F1326" s="1396"/>
      <c r="G1326" s="386"/>
      <c r="H1326" s="370"/>
      <c r="I1326" s="794"/>
      <c r="J1326" s="368"/>
      <c r="K1326" s="419"/>
      <c r="L1326" s="487"/>
      <c r="M1326" s="395"/>
      <c r="N1326" s="395"/>
      <c r="O1326" s="366"/>
      <c r="P1326" s="396"/>
      <c r="Q1326" s="473"/>
      <c r="R1326" s="1226"/>
      <c r="S1326" s="308"/>
      <c r="T1326" s="308"/>
      <c r="U1326" s="308"/>
      <c r="V1326" s="308"/>
      <c r="W1326" s="308"/>
      <c r="X1326" s="308"/>
      <c r="Y1326" s="308"/>
      <c r="Z1326" s="604"/>
      <c r="AA1326" s="308"/>
      <c r="AB1326" s="308"/>
      <c r="AC1326" s="308"/>
      <c r="AD1326" s="308"/>
      <c r="AE1326" s="308"/>
      <c r="AF1326" s="308"/>
      <c r="AG1326" s="308"/>
      <c r="AH1326" s="308"/>
      <c r="AI1326" s="308"/>
      <c r="AJ1326" s="308"/>
      <c r="AK1326" s="308"/>
      <c r="AL1326" s="205"/>
      <c r="AM1326" s="2"/>
      <c r="AN1326" s="2"/>
      <c r="AO1326" s="2"/>
      <c r="AP1326" s="2"/>
      <c r="AQ1326" s="2"/>
      <c r="AR1326" s="2"/>
      <c r="AS1326" s="2"/>
      <c r="AT1326" s="2"/>
      <c r="AU1326" s="2"/>
      <c r="AV1326" s="2"/>
      <c r="AW1326" s="2"/>
      <c r="AX1326" s="2"/>
      <c r="AY1326" s="2"/>
      <c r="AZ1326" s="2"/>
      <c r="BA1326" s="2"/>
      <c r="BB1326" s="2"/>
      <c r="BC1326" s="2"/>
      <c r="BD1326" s="2"/>
      <c r="BE1326" s="2"/>
      <c r="BF1326" s="2"/>
      <c r="BG1326" s="2"/>
      <c r="BH1326" s="2"/>
      <c r="BI1326" s="2"/>
      <c r="BJ1326" s="2"/>
      <c r="BK1326" s="2"/>
      <c r="BL1326" s="2"/>
      <c r="BM1326" s="2"/>
      <c r="BN1326" s="2"/>
      <c r="BO1326" s="2"/>
      <c r="BP1326" s="2"/>
      <c r="BQ1326" s="2"/>
      <c r="BR1326" s="2"/>
      <c r="BS1326" s="2"/>
      <c r="BT1326" s="2"/>
      <c r="BU1326" s="2"/>
      <c r="BV1326" s="2"/>
      <c r="BW1326" s="2"/>
      <c r="BX1326" s="2"/>
      <c r="BY1326" s="2"/>
      <c r="BZ1326" s="2"/>
      <c r="CA1326" s="2"/>
      <c r="CB1326" s="2"/>
      <c r="CC1326" s="2"/>
      <c r="CD1326" s="2"/>
      <c r="CE1326" s="2"/>
      <c r="CF1326" s="2"/>
      <c r="CG1326" s="2"/>
      <c r="CH1326" s="2"/>
      <c r="CI1326" s="2"/>
      <c r="CJ1326" s="2"/>
      <c r="CK1326" s="2"/>
      <c r="CL1326" s="2"/>
      <c r="CM1326" s="2"/>
      <c r="CN1326" s="2"/>
      <c r="CO1326" s="2"/>
      <c r="CP1326" s="2"/>
      <c r="CQ1326" s="2"/>
      <c r="CR1326" s="2"/>
      <c r="CS1326" s="2"/>
      <c r="CT1326" s="2"/>
      <c r="CU1326" s="2"/>
      <c r="CV1326" s="2"/>
      <c r="CW1326" s="2"/>
      <c r="CX1326" s="2"/>
      <c r="CY1326" s="2"/>
      <c r="CZ1326" s="2"/>
      <c r="DA1326" s="2"/>
      <c r="DB1326" s="2"/>
      <c r="DC1326" s="2"/>
      <c r="DD1326" s="2"/>
      <c r="DE1326" s="2"/>
      <c r="DF1326" s="2"/>
      <c r="DG1326" s="2"/>
      <c r="DH1326" s="2"/>
      <c r="DI1326" s="2"/>
      <c r="DJ1326" s="2"/>
      <c r="DK1326" s="2"/>
      <c r="DL1326" s="2"/>
      <c r="DM1326" s="2"/>
      <c r="DN1326" s="2"/>
      <c r="DO1326" s="2"/>
      <c r="DP1326" s="2"/>
      <c r="DQ1326" s="2"/>
      <c r="DR1326" s="2"/>
      <c r="DS1326" s="2"/>
      <c r="DT1326" s="2"/>
      <c r="DU1326" s="2"/>
      <c r="DV1326" s="2"/>
      <c r="DW1326" s="2"/>
      <c r="DX1326" s="2"/>
      <c r="DY1326" s="2"/>
      <c r="DZ1326" s="2"/>
      <c r="EA1326" s="2"/>
      <c r="EB1326" s="2"/>
      <c r="EC1326" s="2"/>
      <c r="ED1326" s="2"/>
      <c r="EE1326" s="2"/>
      <c r="EF1326" s="2"/>
      <c r="EG1326" s="2"/>
      <c r="EH1326" s="2"/>
      <c r="EI1326" s="2"/>
      <c r="EJ1326" s="2"/>
      <c r="EK1326" s="2"/>
      <c r="EL1326" s="2"/>
      <c r="EM1326" s="2"/>
      <c r="EN1326" s="2"/>
      <c r="EO1326" s="2"/>
      <c r="EP1326" s="2"/>
      <c r="EQ1326" s="2"/>
      <c r="ER1326" s="2"/>
      <c r="ES1326" s="2"/>
      <c r="ET1326" s="2"/>
      <c r="EU1326" s="2"/>
      <c r="EV1326" s="2"/>
      <c r="EW1326" s="2"/>
      <c r="EX1326" s="2"/>
      <c r="EY1326" s="2"/>
      <c r="EZ1326" s="2"/>
      <c r="FA1326" s="2"/>
      <c r="FB1326" s="2"/>
      <c r="FC1326" s="2"/>
      <c r="FD1326" s="2"/>
      <c r="FE1326" s="2"/>
      <c r="FF1326" s="2"/>
      <c r="FG1326" s="2"/>
      <c r="FH1326" s="2"/>
      <c r="FI1326" s="2"/>
      <c r="FJ1326" s="2"/>
      <c r="FK1326" s="2"/>
      <c r="FL1326" s="2"/>
      <c r="FM1326" s="2"/>
      <c r="FN1326" s="2"/>
      <c r="FO1326" s="2"/>
      <c r="FP1326" s="2"/>
      <c r="FQ1326" s="2"/>
      <c r="FR1326" s="2"/>
      <c r="FS1326" s="2"/>
      <c r="FT1326" s="2"/>
      <c r="FU1326" s="2"/>
      <c r="FV1326" s="2"/>
      <c r="FW1326" s="2"/>
      <c r="FX1326" s="2"/>
      <c r="FY1326" s="2"/>
      <c r="FZ1326" s="2"/>
      <c r="GA1326" s="2"/>
      <c r="GB1326" s="2"/>
      <c r="GC1326" s="2"/>
      <c r="GD1326" s="2"/>
      <c r="GE1326" s="2"/>
      <c r="GF1326" s="2"/>
      <c r="GG1326" s="2"/>
      <c r="GH1326" s="2"/>
      <c r="GI1326" s="2"/>
      <c r="GJ1326" s="2"/>
      <c r="GK1326" s="2"/>
      <c r="GL1326" s="2"/>
      <c r="GM1326" s="2"/>
      <c r="GN1326" s="2"/>
      <c r="GO1326" s="2"/>
      <c r="GP1326" s="2"/>
      <c r="GQ1326" s="2"/>
      <c r="GR1326" s="2"/>
      <c r="GS1326" s="2"/>
      <c r="GT1326" s="2"/>
      <c r="GU1326" s="2"/>
      <c r="GV1326" s="2"/>
      <c r="GW1326" s="2"/>
      <c r="GX1326" s="2"/>
      <c r="GY1326" s="2"/>
      <c r="GZ1326" s="2"/>
      <c r="HA1326" s="2"/>
      <c r="HB1326" s="2"/>
      <c r="HC1326" s="2"/>
      <c r="HD1326" s="2"/>
      <c r="HE1326" s="2"/>
      <c r="HF1326" s="2"/>
      <c r="HG1326" s="2"/>
      <c r="HH1326" s="2"/>
      <c r="HI1326" s="2"/>
      <c r="HJ1326" s="2"/>
      <c r="HK1326" s="2"/>
      <c r="HL1326" s="2"/>
      <c r="HM1326" s="2"/>
      <c r="HN1326" s="2"/>
      <c r="HO1326" s="2"/>
      <c r="HP1326" s="2"/>
      <c r="HQ1326" s="2"/>
      <c r="HR1326" s="2"/>
      <c r="HS1326" s="2"/>
      <c r="HT1326" s="2"/>
      <c r="HU1326" s="2"/>
      <c r="HV1326" s="2"/>
      <c r="HW1326" s="2"/>
      <c r="HX1326" s="2"/>
      <c r="HY1326" s="2"/>
      <c r="HZ1326" s="2"/>
      <c r="IA1326" s="2"/>
      <c r="IB1326" s="2"/>
      <c r="IC1326" s="2"/>
      <c r="ID1326" s="2"/>
      <c r="IE1326" s="2"/>
      <c r="IF1326" s="2"/>
      <c r="IG1326" s="2"/>
      <c r="IH1326" s="2"/>
      <c r="II1326" s="2"/>
      <c r="IJ1326" s="2"/>
      <c r="IK1326" s="2"/>
      <c r="IL1326" s="2"/>
      <c r="IM1326" s="2"/>
      <c r="IN1326" s="2"/>
      <c r="IO1326" s="2"/>
      <c r="IP1326" s="2"/>
      <c r="IQ1326" s="2"/>
      <c r="IR1326" s="2"/>
      <c r="IS1326" s="2"/>
      <c r="IT1326" s="2"/>
      <c r="IU1326" s="2"/>
      <c r="IV1326" s="2"/>
      <c r="IW1326" s="2"/>
      <c r="IX1326" s="2"/>
      <c r="IY1326" s="2"/>
      <c r="IZ1326" s="2"/>
      <c r="JA1326" s="2"/>
      <c r="JB1326" s="2"/>
      <c r="JC1326" s="2"/>
      <c r="JD1326" s="2"/>
      <c r="JE1326" s="2"/>
      <c r="JF1326" s="2"/>
      <c r="JG1326" s="2"/>
      <c r="JH1326" s="2"/>
      <c r="JI1326" s="2"/>
      <c r="JJ1326" s="2"/>
      <c r="JK1326" s="2"/>
      <c r="JL1326" s="2"/>
      <c r="JM1326" s="2"/>
      <c r="JN1326" s="2"/>
      <c r="JO1326" s="2"/>
      <c r="JP1326" s="2"/>
      <c r="JQ1326" s="2"/>
      <c r="JR1326" s="2"/>
      <c r="JS1326" s="2"/>
      <c r="JT1326" s="2"/>
      <c r="JU1326" s="2"/>
      <c r="JV1326" s="2"/>
      <c r="JW1326" s="2"/>
      <c r="JX1326" s="2"/>
      <c r="JY1326" s="2"/>
      <c r="JZ1326" s="2"/>
      <c r="KA1326" s="2"/>
      <c r="KB1326" s="2"/>
      <c r="KC1326" s="2"/>
      <c r="KD1326" s="2"/>
      <c r="KE1326" s="2"/>
      <c r="KF1326" s="2"/>
      <c r="KG1326" s="2"/>
      <c r="KH1326" s="2"/>
      <c r="KI1326" s="2"/>
      <c r="KJ1326" s="2"/>
      <c r="KK1326" s="2"/>
      <c r="KL1326" s="2"/>
      <c r="KM1326" s="2"/>
      <c r="KN1326" s="2"/>
      <c r="KO1326" s="2"/>
      <c r="KP1326" s="2"/>
      <c r="KQ1326" s="2"/>
      <c r="KR1326" s="2"/>
      <c r="KS1326" s="2"/>
      <c r="KT1326" s="2"/>
      <c r="KU1326" s="2"/>
      <c r="KV1326" s="2"/>
      <c r="KW1326" s="2"/>
      <c r="KX1326" s="2"/>
      <c r="KY1326" s="2"/>
      <c r="KZ1326" s="2"/>
      <c r="LA1326" s="2"/>
      <c r="LB1326" s="2"/>
      <c r="LC1326" s="2"/>
      <c r="LD1326" s="2"/>
      <c r="LE1326" s="2"/>
      <c r="LF1326" s="2"/>
      <c r="LG1326" s="2"/>
      <c r="LH1326" s="2"/>
      <c r="LI1326" s="2"/>
      <c r="LJ1326" s="2"/>
      <c r="LK1326" s="2"/>
      <c r="LL1326" s="2"/>
      <c r="LM1326" s="2"/>
      <c r="LN1326" s="2"/>
      <c r="LO1326" s="2"/>
      <c r="LP1326" s="2"/>
      <c r="LQ1326" s="2"/>
      <c r="LR1326" s="2"/>
      <c r="LS1326" s="2"/>
      <c r="LT1326" s="2"/>
      <c r="LU1326" s="2"/>
      <c r="LV1326" s="2"/>
      <c r="LW1326" s="2"/>
      <c r="LX1326" s="2"/>
      <c r="LY1326" s="2"/>
      <c r="LZ1326" s="2"/>
      <c r="MA1326" s="2"/>
      <c r="MB1326" s="2"/>
      <c r="MC1326" s="2"/>
      <c r="MD1326" s="2"/>
      <c r="ME1326" s="2"/>
      <c r="MF1326" s="2"/>
      <c r="MG1326" s="2"/>
      <c r="MH1326" s="2"/>
      <c r="MI1326" s="2"/>
      <c r="MJ1326" s="2"/>
      <c r="MK1326" s="2"/>
      <c r="ML1326" s="2"/>
      <c r="MM1326" s="2"/>
      <c r="MN1326" s="2"/>
      <c r="MO1326" s="2"/>
      <c r="MP1326" s="2"/>
      <c r="MQ1326" s="2"/>
      <c r="MR1326" s="2"/>
      <c r="MS1326" s="2"/>
      <c r="MT1326" s="2"/>
      <c r="MU1326" s="2"/>
      <c r="MV1326" s="2"/>
      <c r="MW1326" s="2"/>
      <c r="MX1326" s="2"/>
      <c r="MY1326" s="2"/>
      <c r="MZ1326" s="2"/>
      <c r="NA1326" s="2"/>
      <c r="NB1326" s="2"/>
      <c r="NC1326" s="2"/>
      <c r="ND1326" s="2"/>
      <c r="NE1326" s="2"/>
      <c r="NF1326" s="2"/>
      <c r="NG1326" s="2"/>
      <c r="NH1326" s="2"/>
      <c r="NI1326" s="2"/>
      <c r="NJ1326" s="2"/>
      <c r="NK1326" s="2"/>
      <c r="NL1326" s="2"/>
      <c r="NM1326" s="2"/>
      <c r="NN1326" s="2"/>
      <c r="NO1326" s="2"/>
      <c r="NP1326" s="2"/>
      <c r="NQ1326" s="2"/>
      <c r="NR1326" s="2"/>
      <c r="NS1326" s="2"/>
      <c r="NT1326" s="2"/>
      <c r="NU1326" s="2"/>
      <c r="NV1326" s="2"/>
      <c r="NW1326" s="2"/>
      <c r="NX1326" s="2"/>
      <c r="NY1326" s="2"/>
      <c r="NZ1326" s="2"/>
      <c r="OA1326" s="2"/>
      <c r="OB1326" s="2"/>
      <c r="OC1326" s="2"/>
      <c r="OD1326" s="2"/>
      <c r="OE1326" s="2"/>
      <c r="OF1326" s="2"/>
      <c r="OG1326" s="2"/>
      <c r="OH1326" s="2"/>
      <c r="OI1326" s="2"/>
      <c r="OJ1326" s="2"/>
      <c r="OK1326" s="2"/>
      <c r="OL1326" s="2"/>
      <c r="OM1326" s="2"/>
      <c r="ON1326" s="2"/>
      <c r="OO1326" s="2"/>
      <c r="OP1326" s="2"/>
      <c r="OQ1326" s="2"/>
      <c r="OR1326" s="2"/>
      <c r="OS1326" s="2"/>
      <c r="OT1326" s="2"/>
      <c r="OU1326" s="2"/>
      <c r="OV1326" s="2"/>
      <c r="OW1326" s="2"/>
      <c r="OX1326" s="2"/>
      <c r="OY1326" s="2"/>
      <c r="OZ1326" s="2"/>
      <c r="PA1326" s="2"/>
      <c r="PB1326" s="2"/>
      <c r="PC1326" s="2"/>
      <c r="PD1326" s="2"/>
      <c r="PE1326" s="2"/>
      <c r="PF1326" s="2"/>
      <c r="PG1326" s="2"/>
      <c r="PH1326" s="2"/>
      <c r="PI1326" s="2"/>
      <c r="PJ1326" s="2"/>
      <c r="PK1326" s="2"/>
      <c r="PL1326" s="2"/>
      <c r="PM1326" s="2"/>
      <c r="PN1326" s="2"/>
      <c r="PO1326" s="2"/>
      <c r="PP1326" s="2"/>
      <c r="PQ1326" s="2"/>
      <c r="PR1326" s="2"/>
      <c r="PS1326" s="2"/>
      <c r="PT1326" s="2"/>
      <c r="PU1326" s="2"/>
      <c r="PV1326" s="2"/>
      <c r="PW1326" s="2"/>
      <c r="PX1326" s="2"/>
      <c r="PY1326" s="2"/>
      <c r="PZ1326" s="2"/>
      <c r="QA1326" s="2"/>
      <c r="QB1326" s="2"/>
      <c r="QC1326" s="2"/>
      <c r="QD1326" s="2"/>
      <c r="QE1326" s="2"/>
      <c r="QF1326" s="2"/>
      <c r="QG1326" s="2"/>
      <c r="QH1326" s="2"/>
      <c r="QI1326" s="2"/>
      <c r="QJ1326" s="2"/>
      <c r="QK1326" s="2"/>
      <c r="QL1326" s="2"/>
      <c r="QM1326" s="2"/>
      <c r="QN1326" s="2"/>
      <c r="QO1326" s="2"/>
      <c r="QP1326" s="2"/>
      <c r="QQ1326" s="2"/>
      <c r="QR1326" s="2"/>
      <c r="QS1326" s="2"/>
      <c r="QT1326" s="2"/>
      <c r="QU1326" s="2"/>
      <c r="QV1326" s="2"/>
      <c r="QW1326" s="2"/>
      <c r="QX1326" s="2"/>
      <c r="QY1326" s="2"/>
      <c r="QZ1326" s="2"/>
      <c r="RA1326" s="2"/>
      <c r="RB1326" s="2"/>
      <c r="RC1326" s="2"/>
      <c r="RD1326" s="2"/>
      <c r="RE1326" s="2"/>
      <c r="RF1326" s="2"/>
      <c r="RG1326" s="2"/>
      <c r="RH1326" s="2"/>
      <c r="RI1326" s="2"/>
      <c r="RJ1326" s="2"/>
      <c r="RK1326" s="2"/>
      <c r="RL1326" s="2"/>
      <c r="RM1326" s="2"/>
      <c r="RN1326" s="2"/>
      <c r="RO1326" s="2"/>
      <c r="RP1326" s="2"/>
      <c r="RQ1326" s="2"/>
      <c r="RR1326" s="2"/>
      <c r="RS1326" s="2"/>
      <c r="RT1326" s="2"/>
      <c r="RU1326" s="2"/>
      <c r="RV1326" s="2"/>
      <c r="RW1326" s="2"/>
      <c r="RX1326" s="2"/>
      <c r="RY1326" s="2"/>
      <c r="RZ1326" s="2"/>
      <c r="SA1326" s="2"/>
      <c r="SB1326" s="2"/>
      <c r="SC1326" s="2"/>
      <c r="SD1326" s="2"/>
      <c r="SE1326" s="2"/>
      <c r="SF1326" s="2"/>
      <c r="SG1326" s="2"/>
      <c r="SH1326" s="2"/>
      <c r="SI1326" s="2"/>
      <c r="SJ1326" s="2"/>
      <c r="SK1326" s="2"/>
      <c r="SL1326" s="2"/>
      <c r="SM1326" s="2"/>
      <c r="SN1326" s="2"/>
      <c r="SO1326" s="2"/>
      <c r="SP1326" s="2"/>
      <c r="SQ1326" s="2"/>
      <c r="SR1326" s="2"/>
      <c r="SS1326" s="2"/>
      <c r="ST1326" s="2"/>
      <c r="SU1326" s="2"/>
      <c r="SV1326" s="2"/>
      <c r="SW1326" s="2"/>
      <c r="SX1326" s="2"/>
      <c r="SY1326" s="2"/>
      <c r="SZ1326" s="2"/>
      <c r="TA1326" s="2"/>
      <c r="TB1326" s="2"/>
      <c r="TC1326" s="2"/>
      <c r="TD1326" s="2"/>
      <c r="TE1326" s="2"/>
      <c r="TF1326" s="2"/>
      <c r="TG1326" s="2"/>
      <c r="TH1326" s="2"/>
      <c r="TI1326" s="2"/>
      <c r="TJ1326" s="2"/>
      <c r="TK1326" s="2"/>
      <c r="TL1326" s="2"/>
      <c r="TM1326" s="2"/>
      <c r="TN1326" s="2"/>
      <c r="TO1326" s="2"/>
      <c r="TP1326" s="2"/>
      <c r="TQ1326" s="2"/>
      <c r="TR1326" s="2"/>
      <c r="TS1326" s="2"/>
      <c r="TT1326" s="2"/>
      <c r="TU1326" s="2"/>
      <c r="TV1326" s="2"/>
      <c r="TW1326" s="2"/>
      <c r="TX1326" s="2"/>
      <c r="TY1326" s="2"/>
      <c r="TZ1326" s="2"/>
      <c r="UA1326" s="2"/>
      <c r="UB1326" s="2"/>
      <c r="UC1326" s="2"/>
      <c r="UD1326" s="2"/>
      <c r="UE1326" s="2"/>
      <c r="UF1326" s="2"/>
      <c r="UG1326" s="2"/>
    </row>
    <row r="1327" spans="1:553" s="208" customFormat="1" ht="56.5" customHeight="1">
      <c r="A1327" s="356" t="s">
        <v>15</v>
      </c>
      <c r="B1327" s="795" t="s">
        <v>1309</v>
      </c>
      <c r="C1327" s="1403" t="s">
        <v>1310</v>
      </c>
      <c r="D1327" s="1569"/>
      <c r="E1327" s="1569"/>
      <c r="F1327" s="1570"/>
      <c r="G1327" s="386" t="s">
        <v>935</v>
      </c>
      <c r="H1327" s="370"/>
      <c r="I1327" s="646">
        <v>12</v>
      </c>
      <c r="J1327" s="368">
        <v>405600</v>
      </c>
      <c r="K1327" s="419"/>
      <c r="L1327" s="487">
        <f>ROUND(PRODUCT(I1327:K1327),0)</f>
        <v>4867200</v>
      </c>
      <c r="M1327" s="395"/>
      <c r="N1327" s="395"/>
      <c r="O1327" s="366"/>
      <c r="P1327" s="396"/>
      <c r="Q1327" s="473"/>
      <c r="R1327" s="1226"/>
      <c r="S1327" s="308"/>
      <c r="T1327" s="308"/>
      <c r="U1327" s="308"/>
      <c r="V1327" s="308"/>
      <c r="W1327" s="308"/>
      <c r="X1327" s="308"/>
      <c r="Y1327" s="308"/>
      <c r="Z1327" s="604"/>
      <c r="AA1327" s="308"/>
      <c r="AB1327" s="308"/>
      <c r="AC1327" s="308"/>
      <c r="AD1327" s="308"/>
      <c r="AE1327" s="308"/>
      <c r="AF1327" s="308"/>
      <c r="AG1327" s="308"/>
      <c r="AH1327" s="308"/>
      <c r="AI1327" s="308"/>
      <c r="AJ1327" s="308"/>
      <c r="AK1327" s="308"/>
      <c r="AL1327" s="205"/>
      <c r="AM1327" s="2"/>
      <c r="AN1327" s="2"/>
      <c r="AO1327" s="2"/>
      <c r="AP1327" s="2"/>
      <c r="AQ1327" s="2"/>
      <c r="AR1327" s="2"/>
      <c r="AS1327" s="2"/>
      <c r="AT1327" s="2"/>
      <c r="AU1327" s="2"/>
      <c r="AV1327" s="2"/>
      <c r="AW1327" s="2"/>
      <c r="AX1327" s="2"/>
      <c r="AY1327" s="2"/>
      <c r="AZ1327" s="2"/>
      <c r="BA1327" s="2"/>
      <c r="BB1327" s="2"/>
      <c r="BC1327" s="2"/>
      <c r="BD1327" s="2"/>
      <c r="BE1327" s="2"/>
      <c r="BF1327" s="2"/>
      <c r="BG1327" s="2"/>
      <c r="BH1327" s="2"/>
      <c r="BI1327" s="2"/>
      <c r="BJ1327" s="2"/>
      <c r="BK1327" s="2"/>
      <c r="BL1327" s="2"/>
      <c r="BM1327" s="2"/>
      <c r="BN1327" s="2"/>
      <c r="BO1327" s="2"/>
      <c r="BP1327" s="2"/>
      <c r="BQ1327" s="2"/>
      <c r="BR1327" s="2"/>
      <c r="BS1327" s="2"/>
      <c r="BT1327" s="2"/>
      <c r="BU1327" s="2"/>
      <c r="BV1327" s="2"/>
      <c r="BW1327" s="2"/>
      <c r="BX1327" s="2"/>
      <c r="BY1327" s="2"/>
      <c r="BZ1327" s="2"/>
      <c r="CA1327" s="2"/>
      <c r="CB1327" s="2"/>
      <c r="CC1327" s="2"/>
      <c r="CD1327" s="2"/>
      <c r="CE1327" s="2"/>
      <c r="CF1327" s="2"/>
      <c r="CG1327" s="2"/>
      <c r="CH1327" s="2"/>
      <c r="CI1327" s="2"/>
      <c r="CJ1327" s="2"/>
      <c r="CK1327" s="2"/>
      <c r="CL1327" s="2"/>
      <c r="CM1327" s="2"/>
      <c r="CN1327" s="2"/>
      <c r="CO1327" s="2"/>
      <c r="CP1327" s="2"/>
      <c r="CQ1327" s="2"/>
      <c r="CR1327" s="2"/>
      <c r="CS1327" s="2"/>
      <c r="CT1327" s="2"/>
      <c r="CU1327" s="2"/>
      <c r="CV1327" s="2"/>
      <c r="CW1327" s="2"/>
      <c r="CX1327" s="2"/>
      <c r="CY1327" s="2"/>
      <c r="CZ1327" s="2"/>
      <c r="DA1327" s="2"/>
      <c r="DB1327" s="2"/>
      <c r="DC1327" s="2"/>
      <c r="DD1327" s="2"/>
      <c r="DE1327" s="2"/>
      <c r="DF1327" s="2"/>
      <c r="DG1327" s="2"/>
      <c r="DH1327" s="2"/>
      <c r="DI1327" s="2"/>
      <c r="DJ1327" s="2"/>
      <c r="DK1327" s="2"/>
      <c r="DL1327" s="2"/>
      <c r="DM1327" s="2"/>
      <c r="DN1327" s="2"/>
      <c r="DO1327" s="2"/>
      <c r="DP1327" s="2"/>
      <c r="DQ1327" s="2"/>
      <c r="DR1327" s="2"/>
      <c r="DS1327" s="2"/>
      <c r="DT1327" s="2"/>
      <c r="DU1327" s="2"/>
      <c r="DV1327" s="2"/>
      <c r="DW1327" s="2"/>
      <c r="DX1327" s="2"/>
      <c r="DY1327" s="2"/>
      <c r="DZ1327" s="2"/>
      <c r="EA1327" s="2"/>
      <c r="EB1327" s="2"/>
      <c r="EC1327" s="2"/>
      <c r="ED1327" s="2"/>
      <c r="EE1327" s="2"/>
      <c r="EF1327" s="2"/>
      <c r="EG1327" s="2"/>
      <c r="EH1327" s="2"/>
      <c r="EI1327" s="2"/>
      <c r="EJ1327" s="2"/>
      <c r="EK1327" s="2"/>
      <c r="EL1327" s="2"/>
      <c r="EM1327" s="2"/>
      <c r="EN1327" s="2"/>
      <c r="EO1327" s="2"/>
      <c r="EP1327" s="2"/>
      <c r="EQ1327" s="2"/>
      <c r="ER1327" s="2"/>
      <c r="ES1327" s="2"/>
      <c r="ET1327" s="2"/>
      <c r="EU1327" s="2"/>
      <c r="EV1327" s="2"/>
      <c r="EW1327" s="2"/>
      <c r="EX1327" s="2"/>
      <c r="EY1327" s="2"/>
      <c r="EZ1327" s="2"/>
      <c r="FA1327" s="2"/>
      <c r="FB1327" s="2"/>
      <c r="FC1327" s="2"/>
      <c r="FD1327" s="2"/>
      <c r="FE1327" s="2"/>
      <c r="FF1327" s="2"/>
      <c r="FG1327" s="2"/>
      <c r="FH1327" s="2"/>
      <c r="FI1327" s="2"/>
      <c r="FJ1327" s="2"/>
      <c r="FK1327" s="2"/>
      <c r="FL1327" s="2"/>
      <c r="FM1327" s="2"/>
      <c r="FN1327" s="2"/>
      <c r="FO1327" s="2"/>
      <c r="FP1327" s="2"/>
      <c r="FQ1327" s="2"/>
      <c r="FR1327" s="2"/>
      <c r="FS1327" s="2"/>
      <c r="FT1327" s="2"/>
      <c r="FU1327" s="2"/>
      <c r="FV1327" s="2"/>
      <c r="FW1327" s="2"/>
      <c r="FX1327" s="2"/>
      <c r="FY1327" s="2"/>
      <c r="FZ1327" s="2"/>
      <c r="GA1327" s="2"/>
      <c r="GB1327" s="2"/>
      <c r="GC1327" s="2"/>
      <c r="GD1327" s="2"/>
      <c r="GE1327" s="2"/>
      <c r="GF1327" s="2"/>
      <c r="GG1327" s="2"/>
      <c r="GH1327" s="2"/>
      <c r="GI1327" s="2"/>
      <c r="GJ1327" s="2"/>
      <c r="GK1327" s="2"/>
      <c r="GL1327" s="2"/>
      <c r="GM1327" s="2"/>
      <c r="GN1327" s="2"/>
      <c r="GO1327" s="2"/>
      <c r="GP1327" s="2"/>
      <c r="GQ1327" s="2"/>
      <c r="GR1327" s="2"/>
      <c r="GS1327" s="2"/>
      <c r="GT1327" s="2"/>
      <c r="GU1327" s="2"/>
      <c r="GV1327" s="2"/>
      <c r="GW1327" s="2"/>
      <c r="GX1327" s="2"/>
      <c r="GY1327" s="2"/>
      <c r="GZ1327" s="2"/>
      <c r="HA1327" s="2"/>
      <c r="HB1327" s="2"/>
      <c r="HC1327" s="2"/>
      <c r="HD1327" s="2"/>
      <c r="HE1327" s="2"/>
      <c r="HF1327" s="2"/>
      <c r="HG1327" s="2"/>
      <c r="HH1327" s="2"/>
      <c r="HI1327" s="2"/>
      <c r="HJ1327" s="2"/>
      <c r="HK1327" s="2"/>
      <c r="HL1327" s="2"/>
      <c r="HM1327" s="2"/>
      <c r="HN1327" s="2"/>
      <c r="HO1327" s="2"/>
      <c r="HP1327" s="2"/>
      <c r="HQ1327" s="2"/>
      <c r="HR1327" s="2"/>
      <c r="HS1327" s="2"/>
      <c r="HT1327" s="2"/>
      <c r="HU1327" s="2"/>
      <c r="HV1327" s="2"/>
      <c r="HW1327" s="2"/>
      <c r="HX1327" s="2"/>
      <c r="HY1327" s="2"/>
      <c r="HZ1327" s="2"/>
      <c r="IA1327" s="2"/>
      <c r="IB1327" s="2"/>
      <c r="IC1327" s="2"/>
      <c r="ID1327" s="2"/>
      <c r="IE1327" s="2"/>
      <c r="IF1327" s="2"/>
      <c r="IG1327" s="2"/>
      <c r="IH1327" s="2"/>
      <c r="II1327" s="2"/>
      <c r="IJ1327" s="2"/>
      <c r="IK1327" s="2"/>
      <c r="IL1327" s="2"/>
      <c r="IM1327" s="2"/>
      <c r="IN1327" s="2"/>
      <c r="IO1327" s="2"/>
      <c r="IP1327" s="2"/>
      <c r="IQ1327" s="2"/>
      <c r="IR1327" s="2"/>
      <c r="IS1327" s="2"/>
      <c r="IT1327" s="2"/>
      <c r="IU1327" s="2"/>
      <c r="IV1327" s="2"/>
      <c r="IW1327" s="2"/>
      <c r="IX1327" s="2"/>
      <c r="IY1327" s="2"/>
      <c r="IZ1327" s="2"/>
      <c r="JA1327" s="2"/>
      <c r="JB1327" s="2"/>
      <c r="JC1327" s="2"/>
      <c r="JD1327" s="2"/>
      <c r="JE1327" s="2"/>
      <c r="JF1327" s="2"/>
      <c r="JG1327" s="2"/>
      <c r="JH1327" s="2"/>
      <c r="JI1327" s="2"/>
      <c r="JJ1327" s="2"/>
      <c r="JK1327" s="2"/>
      <c r="JL1327" s="2"/>
      <c r="JM1327" s="2"/>
      <c r="JN1327" s="2"/>
      <c r="JO1327" s="2"/>
      <c r="JP1327" s="2"/>
      <c r="JQ1327" s="2"/>
      <c r="JR1327" s="2"/>
      <c r="JS1327" s="2"/>
      <c r="JT1327" s="2"/>
      <c r="JU1327" s="2"/>
      <c r="JV1327" s="2"/>
      <c r="JW1327" s="2"/>
      <c r="JX1327" s="2"/>
      <c r="JY1327" s="2"/>
      <c r="JZ1327" s="2"/>
      <c r="KA1327" s="2"/>
      <c r="KB1327" s="2"/>
      <c r="KC1327" s="2"/>
      <c r="KD1327" s="2"/>
      <c r="KE1327" s="2"/>
      <c r="KF1327" s="2"/>
      <c r="KG1327" s="2"/>
      <c r="KH1327" s="2"/>
      <c r="KI1327" s="2"/>
      <c r="KJ1327" s="2"/>
      <c r="KK1327" s="2"/>
      <c r="KL1327" s="2"/>
      <c r="KM1327" s="2"/>
      <c r="KN1327" s="2"/>
      <c r="KO1327" s="2"/>
      <c r="KP1327" s="2"/>
      <c r="KQ1327" s="2"/>
      <c r="KR1327" s="2"/>
      <c r="KS1327" s="2"/>
      <c r="KT1327" s="2"/>
      <c r="KU1327" s="2"/>
      <c r="KV1327" s="2"/>
      <c r="KW1327" s="2"/>
      <c r="KX1327" s="2"/>
      <c r="KY1327" s="2"/>
      <c r="KZ1327" s="2"/>
      <c r="LA1327" s="2"/>
      <c r="LB1327" s="2"/>
      <c r="LC1327" s="2"/>
      <c r="LD1327" s="2"/>
      <c r="LE1327" s="2"/>
      <c r="LF1327" s="2"/>
      <c r="LG1327" s="2"/>
      <c r="LH1327" s="2"/>
      <c r="LI1327" s="2"/>
      <c r="LJ1327" s="2"/>
      <c r="LK1327" s="2"/>
      <c r="LL1327" s="2"/>
      <c r="LM1327" s="2"/>
      <c r="LN1327" s="2"/>
      <c r="LO1327" s="2"/>
      <c r="LP1327" s="2"/>
      <c r="LQ1327" s="2"/>
      <c r="LR1327" s="2"/>
      <c r="LS1327" s="2"/>
      <c r="LT1327" s="2"/>
      <c r="LU1327" s="2"/>
      <c r="LV1327" s="2"/>
      <c r="LW1327" s="2"/>
      <c r="LX1327" s="2"/>
      <c r="LY1327" s="2"/>
      <c r="LZ1327" s="2"/>
      <c r="MA1327" s="2"/>
      <c r="MB1327" s="2"/>
      <c r="MC1327" s="2"/>
      <c r="MD1327" s="2"/>
      <c r="ME1327" s="2"/>
      <c r="MF1327" s="2"/>
      <c r="MG1327" s="2"/>
      <c r="MH1327" s="2"/>
      <c r="MI1327" s="2"/>
      <c r="MJ1327" s="2"/>
      <c r="MK1327" s="2"/>
      <c r="ML1327" s="2"/>
      <c r="MM1327" s="2"/>
      <c r="MN1327" s="2"/>
      <c r="MO1327" s="2"/>
      <c r="MP1327" s="2"/>
      <c r="MQ1327" s="2"/>
      <c r="MR1327" s="2"/>
      <c r="MS1327" s="2"/>
      <c r="MT1327" s="2"/>
      <c r="MU1327" s="2"/>
      <c r="MV1327" s="2"/>
      <c r="MW1327" s="2"/>
      <c r="MX1327" s="2"/>
      <c r="MY1327" s="2"/>
      <c r="MZ1327" s="2"/>
      <c r="NA1327" s="2"/>
      <c r="NB1327" s="2"/>
      <c r="NC1327" s="2"/>
      <c r="ND1327" s="2"/>
      <c r="NE1327" s="2"/>
      <c r="NF1327" s="2"/>
      <c r="NG1327" s="2"/>
      <c r="NH1327" s="2"/>
      <c r="NI1327" s="2"/>
      <c r="NJ1327" s="2"/>
      <c r="NK1327" s="2"/>
      <c r="NL1327" s="2"/>
      <c r="NM1327" s="2"/>
      <c r="NN1327" s="2"/>
      <c r="NO1327" s="2"/>
      <c r="NP1327" s="2"/>
      <c r="NQ1327" s="2"/>
      <c r="NR1327" s="2"/>
      <c r="NS1327" s="2"/>
      <c r="NT1327" s="2"/>
      <c r="NU1327" s="2"/>
      <c r="NV1327" s="2"/>
      <c r="NW1327" s="2"/>
      <c r="NX1327" s="2"/>
      <c r="NY1327" s="2"/>
      <c r="NZ1327" s="2"/>
      <c r="OA1327" s="2"/>
      <c r="OB1327" s="2"/>
      <c r="OC1327" s="2"/>
      <c r="OD1327" s="2"/>
      <c r="OE1327" s="2"/>
      <c r="OF1327" s="2"/>
      <c r="OG1327" s="2"/>
      <c r="OH1327" s="2"/>
      <c r="OI1327" s="2"/>
      <c r="OJ1327" s="2"/>
      <c r="OK1327" s="2"/>
      <c r="OL1327" s="2"/>
      <c r="OM1327" s="2"/>
      <c r="ON1327" s="2"/>
      <c r="OO1327" s="2"/>
      <c r="OP1327" s="2"/>
      <c r="OQ1327" s="2"/>
      <c r="OR1327" s="2"/>
      <c r="OS1327" s="2"/>
      <c r="OT1327" s="2"/>
      <c r="OU1327" s="2"/>
      <c r="OV1327" s="2"/>
      <c r="OW1327" s="2"/>
      <c r="OX1327" s="2"/>
      <c r="OY1327" s="2"/>
      <c r="OZ1327" s="2"/>
      <c r="PA1327" s="2"/>
      <c r="PB1327" s="2"/>
      <c r="PC1327" s="2"/>
      <c r="PD1327" s="2"/>
      <c r="PE1327" s="2"/>
      <c r="PF1327" s="2"/>
      <c r="PG1327" s="2"/>
      <c r="PH1327" s="2"/>
      <c r="PI1327" s="2"/>
      <c r="PJ1327" s="2"/>
      <c r="PK1327" s="2"/>
      <c r="PL1327" s="2"/>
      <c r="PM1327" s="2"/>
      <c r="PN1327" s="2"/>
      <c r="PO1327" s="2"/>
      <c r="PP1327" s="2"/>
      <c r="PQ1327" s="2"/>
      <c r="PR1327" s="2"/>
      <c r="PS1327" s="2"/>
      <c r="PT1327" s="2"/>
      <c r="PU1327" s="2"/>
      <c r="PV1327" s="2"/>
      <c r="PW1327" s="2"/>
      <c r="PX1327" s="2"/>
      <c r="PY1327" s="2"/>
      <c r="PZ1327" s="2"/>
      <c r="QA1327" s="2"/>
      <c r="QB1327" s="2"/>
      <c r="QC1327" s="2"/>
      <c r="QD1327" s="2"/>
      <c r="QE1327" s="2"/>
      <c r="QF1327" s="2"/>
      <c r="QG1327" s="2"/>
      <c r="QH1327" s="2"/>
      <c r="QI1327" s="2"/>
      <c r="QJ1327" s="2"/>
      <c r="QK1327" s="2"/>
      <c r="QL1327" s="2"/>
      <c r="QM1327" s="2"/>
      <c r="QN1327" s="2"/>
      <c r="QO1327" s="2"/>
      <c r="QP1327" s="2"/>
      <c r="QQ1327" s="2"/>
      <c r="QR1327" s="2"/>
      <c r="QS1327" s="2"/>
      <c r="QT1327" s="2"/>
      <c r="QU1327" s="2"/>
      <c r="QV1327" s="2"/>
      <c r="QW1327" s="2"/>
      <c r="QX1327" s="2"/>
      <c r="QY1327" s="2"/>
      <c r="QZ1327" s="2"/>
      <c r="RA1327" s="2"/>
      <c r="RB1327" s="2"/>
      <c r="RC1327" s="2"/>
      <c r="RD1327" s="2"/>
      <c r="RE1327" s="2"/>
      <c r="RF1327" s="2"/>
      <c r="RG1327" s="2"/>
      <c r="RH1327" s="2"/>
      <c r="RI1327" s="2"/>
      <c r="RJ1327" s="2"/>
      <c r="RK1327" s="2"/>
      <c r="RL1327" s="2"/>
      <c r="RM1327" s="2"/>
      <c r="RN1327" s="2"/>
      <c r="RO1327" s="2"/>
      <c r="RP1327" s="2"/>
      <c r="RQ1327" s="2"/>
      <c r="RR1327" s="2"/>
      <c r="RS1327" s="2"/>
      <c r="RT1327" s="2"/>
      <c r="RU1327" s="2"/>
      <c r="RV1327" s="2"/>
      <c r="RW1327" s="2"/>
      <c r="RX1327" s="2"/>
      <c r="RY1327" s="2"/>
      <c r="RZ1327" s="2"/>
      <c r="SA1327" s="2"/>
      <c r="SB1327" s="2"/>
      <c r="SC1327" s="2"/>
      <c r="SD1327" s="2"/>
      <c r="SE1327" s="2"/>
      <c r="SF1327" s="2"/>
      <c r="SG1327" s="2"/>
      <c r="SH1327" s="2"/>
      <c r="SI1327" s="2"/>
      <c r="SJ1327" s="2"/>
      <c r="SK1327" s="2"/>
      <c r="SL1327" s="2"/>
      <c r="SM1327" s="2"/>
      <c r="SN1327" s="2"/>
      <c r="SO1327" s="2"/>
      <c r="SP1327" s="2"/>
      <c r="SQ1327" s="2"/>
      <c r="SR1327" s="2"/>
      <c r="SS1327" s="2"/>
      <c r="ST1327" s="2"/>
      <c r="SU1327" s="2"/>
      <c r="SV1327" s="2"/>
      <c r="SW1327" s="2"/>
      <c r="SX1327" s="2"/>
      <c r="SY1327" s="2"/>
      <c r="SZ1327" s="2"/>
      <c r="TA1327" s="2"/>
      <c r="TB1327" s="2"/>
      <c r="TC1327" s="2"/>
      <c r="TD1327" s="2"/>
      <c r="TE1327" s="2"/>
      <c r="TF1327" s="2"/>
      <c r="TG1327" s="2"/>
      <c r="TH1327" s="2"/>
      <c r="TI1327" s="2"/>
      <c r="TJ1327" s="2"/>
      <c r="TK1327" s="2"/>
      <c r="TL1327" s="2"/>
      <c r="TM1327" s="2"/>
      <c r="TN1327" s="2"/>
      <c r="TO1327" s="2"/>
      <c r="TP1327" s="2"/>
      <c r="TQ1327" s="2"/>
      <c r="TR1327" s="2"/>
      <c r="TS1327" s="2"/>
      <c r="TT1327" s="2"/>
      <c r="TU1327" s="2"/>
      <c r="TV1327" s="2"/>
      <c r="TW1327" s="2"/>
      <c r="TX1327" s="2"/>
      <c r="TY1327" s="2"/>
      <c r="TZ1327" s="2"/>
      <c r="UA1327" s="2"/>
      <c r="UB1327" s="2"/>
      <c r="UC1327" s="2"/>
      <c r="UD1327" s="2"/>
      <c r="UE1327" s="2"/>
      <c r="UF1327" s="2"/>
      <c r="UG1327" s="2"/>
    </row>
    <row r="1328" spans="1:553" s="208" customFormat="1" ht="29.5" customHeight="1">
      <c r="A1328" s="356" t="s">
        <v>30</v>
      </c>
      <c r="B1328" s="795">
        <v>52</v>
      </c>
      <c r="C1328" s="1518" t="s">
        <v>1311</v>
      </c>
      <c r="D1328" s="1587"/>
      <c r="E1328" s="1587"/>
      <c r="F1328" s="1588"/>
      <c r="G1328" s="386" t="s">
        <v>33</v>
      </c>
      <c r="H1328" s="370"/>
      <c r="I1328" s="646">
        <f>I1327</f>
        <v>12</v>
      </c>
      <c r="J1328" s="368">
        <v>60200</v>
      </c>
      <c r="K1328" s="419"/>
      <c r="L1328" s="487">
        <f>ROUND(PRODUCT(I1328:K1328),0)</f>
        <v>722400</v>
      </c>
      <c r="M1328" s="395"/>
      <c r="N1328" s="395"/>
      <c r="O1328" s="366"/>
      <c r="P1328" s="396"/>
      <c r="Q1328" s="473"/>
      <c r="R1328" s="1226"/>
      <c r="S1328" s="308"/>
      <c r="T1328" s="308"/>
      <c r="U1328" s="308"/>
      <c r="V1328" s="308"/>
      <c r="W1328" s="308"/>
      <c r="X1328" s="308"/>
      <c r="Y1328" s="308"/>
      <c r="Z1328" s="604"/>
      <c r="AA1328" s="308"/>
      <c r="AB1328" s="308"/>
      <c r="AC1328" s="308"/>
      <c r="AD1328" s="308"/>
      <c r="AE1328" s="308"/>
      <c r="AF1328" s="308"/>
      <c r="AG1328" s="308"/>
      <c r="AH1328" s="308"/>
      <c r="AI1328" s="308"/>
      <c r="AJ1328" s="308"/>
      <c r="AK1328" s="308"/>
      <c r="AL1328" s="205"/>
      <c r="AM1328" s="2"/>
      <c r="AN1328" s="2"/>
      <c r="AO1328" s="2"/>
      <c r="AP1328" s="2"/>
      <c r="AQ1328" s="2"/>
      <c r="AR1328" s="2"/>
      <c r="AS1328" s="2"/>
      <c r="AT1328" s="2"/>
      <c r="AU1328" s="2"/>
      <c r="AV1328" s="2"/>
      <c r="AW1328" s="2"/>
      <c r="AX1328" s="2"/>
      <c r="AY1328" s="2"/>
      <c r="AZ1328" s="2"/>
      <c r="BA1328" s="2"/>
      <c r="BB1328" s="2"/>
      <c r="BC1328" s="2"/>
      <c r="BD1328" s="2"/>
      <c r="BE1328" s="2"/>
      <c r="BF1328" s="2"/>
      <c r="BG1328" s="2"/>
      <c r="BH1328" s="2"/>
      <c r="BI1328" s="2"/>
      <c r="BJ1328" s="2"/>
      <c r="BK1328" s="2"/>
      <c r="BL1328" s="2"/>
      <c r="BM1328" s="2"/>
      <c r="BN1328" s="2"/>
      <c r="BO1328" s="2"/>
      <c r="BP1328" s="2"/>
      <c r="BQ1328" s="2"/>
      <c r="BR1328" s="2"/>
      <c r="BS1328" s="2"/>
      <c r="BT1328" s="2"/>
      <c r="BU1328" s="2"/>
      <c r="BV1328" s="2"/>
      <c r="BW1328" s="2"/>
      <c r="BX1328" s="2"/>
      <c r="BY1328" s="2"/>
      <c r="BZ1328" s="2"/>
      <c r="CA1328" s="2"/>
      <c r="CB1328" s="2"/>
      <c r="CC1328" s="2"/>
      <c r="CD1328" s="2"/>
      <c r="CE1328" s="2"/>
      <c r="CF1328" s="2"/>
      <c r="CG1328" s="2"/>
      <c r="CH1328" s="2"/>
      <c r="CI1328" s="2"/>
      <c r="CJ1328" s="2"/>
      <c r="CK1328" s="2"/>
      <c r="CL1328" s="2"/>
      <c r="CM1328" s="2"/>
      <c r="CN1328" s="2"/>
      <c r="CO1328" s="2"/>
      <c r="CP1328" s="2"/>
      <c r="CQ1328" s="2"/>
      <c r="CR1328" s="2"/>
      <c r="CS1328" s="2"/>
      <c r="CT1328" s="2"/>
      <c r="CU1328" s="2"/>
      <c r="CV1328" s="2"/>
      <c r="CW1328" s="2"/>
      <c r="CX1328" s="2"/>
      <c r="CY1328" s="2"/>
      <c r="CZ1328" s="2"/>
      <c r="DA1328" s="2"/>
      <c r="DB1328" s="2"/>
      <c r="DC1328" s="2"/>
      <c r="DD1328" s="2"/>
      <c r="DE1328" s="2"/>
      <c r="DF1328" s="2"/>
      <c r="DG1328" s="2"/>
      <c r="DH1328" s="2"/>
      <c r="DI1328" s="2"/>
      <c r="DJ1328" s="2"/>
      <c r="DK1328" s="2"/>
      <c r="DL1328" s="2"/>
      <c r="DM1328" s="2"/>
      <c r="DN1328" s="2"/>
      <c r="DO1328" s="2"/>
      <c r="DP1328" s="2"/>
      <c r="DQ1328" s="2"/>
      <c r="DR1328" s="2"/>
      <c r="DS1328" s="2"/>
      <c r="DT1328" s="2"/>
      <c r="DU1328" s="2"/>
      <c r="DV1328" s="2"/>
      <c r="DW1328" s="2"/>
      <c r="DX1328" s="2"/>
      <c r="DY1328" s="2"/>
      <c r="DZ1328" s="2"/>
      <c r="EA1328" s="2"/>
      <c r="EB1328" s="2"/>
      <c r="EC1328" s="2"/>
      <c r="ED1328" s="2"/>
      <c r="EE1328" s="2"/>
      <c r="EF1328" s="2"/>
      <c r="EG1328" s="2"/>
      <c r="EH1328" s="2"/>
      <c r="EI1328" s="2"/>
      <c r="EJ1328" s="2"/>
      <c r="EK1328" s="2"/>
      <c r="EL1328" s="2"/>
      <c r="EM1328" s="2"/>
      <c r="EN1328" s="2"/>
      <c r="EO1328" s="2"/>
      <c r="EP1328" s="2"/>
      <c r="EQ1328" s="2"/>
      <c r="ER1328" s="2"/>
      <c r="ES1328" s="2"/>
      <c r="ET1328" s="2"/>
      <c r="EU1328" s="2"/>
      <c r="EV1328" s="2"/>
      <c r="EW1328" s="2"/>
      <c r="EX1328" s="2"/>
      <c r="EY1328" s="2"/>
      <c r="EZ1328" s="2"/>
      <c r="FA1328" s="2"/>
      <c r="FB1328" s="2"/>
      <c r="FC1328" s="2"/>
      <c r="FD1328" s="2"/>
      <c r="FE1328" s="2"/>
      <c r="FF1328" s="2"/>
      <c r="FG1328" s="2"/>
      <c r="FH1328" s="2"/>
      <c r="FI1328" s="2"/>
      <c r="FJ1328" s="2"/>
      <c r="FK1328" s="2"/>
      <c r="FL1328" s="2"/>
      <c r="FM1328" s="2"/>
      <c r="FN1328" s="2"/>
      <c r="FO1328" s="2"/>
      <c r="FP1328" s="2"/>
      <c r="FQ1328" s="2"/>
      <c r="FR1328" s="2"/>
      <c r="FS1328" s="2"/>
      <c r="FT1328" s="2"/>
      <c r="FU1328" s="2"/>
      <c r="FV1328" s="2"/>
      <c r="FW1328" s="2"/>
      <c r="FX1328" s="2"/>
      <c r="FY1328" s="2"/>
      <c r="FZ1328" s="2"/>
      <c r="GA1328" s="2"/>
      <c r="GB1328" s="2"/>
      <c r="GC1328" s="2"/>
      <c r="GD1328" s="2"/>
      <c r="GE1328" s="2"/>
      <c r="GF1328" s="2"/>
      <c r="GG1328" s="2"/>
      <c r="GH1328" s="2"/>
      <c r="GI1328" s="2"/>
      <c r="GJ1328" s="2"/>
      <c r="GK1328" s="2"/>
      <c r="GL1328" s="2"/>
      <c r="GM1328" s="2"/>
      <c r="GN1328" s="2"/>
      <c r="GO1328" s="2"/>
      <c r="GP1328" s="2"/>
      <c r="GQ1328" s="2"/>
      <c r="GR1328" s="2"/>
      <c r="GS1328" s="2"/>
      <c r="GT1328" s="2"/>
      <c r="GU1328" s="2"/>
      <c r="GV1328" s="2"/>
      <c r="GW1328" s="2"/>
      <c r="GX1328" s="2"/>
      <c r="GY1328" s="2"/>
      <c r="GZ1328" s="2"/>
      <c r="HA1328" s="2"/>
      <c r="HB1328" s="2"/>
      <c r="HC1328" s="2"/>
      <c r="HD1328" s="2"/>
      <c r="HE1328" s="2"/>
      <c r="HF1328" s="2"/>
      <c r="HG1328" s="2"/>
      <c r="HH1328" s="2"/>
      <c r="HI1328" s="2"/>
      <c r="HJ1328" s="2"/>
      <c r="HK1328" s="2"/>
      <c r="HL1328" s="2"/>
      <c r="HM1328" s="2"/>
      <c r="HN1328" s="2"/>
      <c r="HO1328" s="2"/>
      <c r="HP1328" s="2"/>
      <c r="HQ1328" s="2"/>
      <c r="HR1328" s="2"/>
      <c r="HS1328" s="2"/>
      <c r="HT1328" s="2"/>
      <c r="HU1328" s="2"/>
      <c r="HV1328" s="2"/>
      <c r="HW1328" s="2"/>
      <c r="HX1328" s="2"/>
      <c r="HY1328" s="2"/>
      <c r="HZ1328" s="2"/>
      <c r="IA1328" s="2"/>
      <c r="IB1328" s="2"/>
      <c r="IC1328" s="2"/>
      <c r="ID1328" s="2"/>
      <c r="IE1328" s="2"/>
      <c r="IF1328" s="2"/>
      <c r="IG1328" s="2"/>
      <c r="IH1328" s="2"/>
      <c r="II1328" s="2"/>
      <c r="IJ1328" s="2"/>
      <c r="IK1328" s="2"/>
      <c r="IL1328" s="2"/>
      <c r="IM1328" s="2"/>
      <c r="IN1328" s="2"/>
      <c r="IO1328" s="2"/>
      <c r="IP1328" s="2"/>
      <c r="IQ1328" s="2"/>
      <c r="IR1328" s="2"/>
      <c r="IS1328" s="2"/>
      <c r="IT1328" s="2"/>
      <c r="IU1328" s="2"/>
      <c r="IV1328" s="2"/>
      <c r="IW1328" s="2"/>
      <c r="IX1328" s="2"/>
      <c r="IY1328" s="2"/>
      <c r="IZ1328" s="2"/>
      <c r="JA1328" s="2"/>
      <c r="JB1328" s="2"/>
      <c r="JC1328" s="2"/>
      <c r="JD1328" s="2"/>
      <c r="JE1328" s="2"/>
      <c r="JF1328" s="2"/>
      <c r="JG1328" s="2"/>
      <c r="JH1328" s="2"/>
      <c r="JI1328" s="2"/>
      <c r="JJ1328" s="2"/>
      <c r="JK1328" s="2"/>
      <c r="JL1328" s="2"/>
      <c r="JM1328" s="2"/>
      <c r="JN1328" s="2"/>
      <c r="JO1328" s="2"/>
      <c r="JP1328" s="2"/>
      <c r="JQ1328" s="2"/>
      <c r="JR1328" s="2"/>
      <c r="JS1328" s="2"/>
      <c r="JT1328" s="2"/>
      <c r="JU1328" s="2"/>
      <c r="JV1328" s="2"/>
      <c r="JW1328" s="2"/>
      <c r="JX1328" s="2"/>
      <c r="JY1328" s="2"/>
      <c r="JZ1328" s="2"/>
      <c r="KA1328" s="2"/>
      <c r="KB1328" s="2"/>
      <c r="KC1328" s="2"/>
      <c r="KD1328" s="2"/>
      <c r="KE1328" s="2"/>
      <c r="KF1328" s="2"/>
      <c r="KG1328" s="2"/>
      <c r="KH1328" s="2"/>
      <c r="KI1328" s="2"/>
      <c r="KJ1328" s="2"/>
      <c r="KK1328" s="2"/>
      <c r="KL1328" s="2"/>
      <c r="KM1328" s="2"/>
      <c r="KN1328" s="2"/>
      <c r="KO1328" s="2"/>
      <c r="KP1328" s="2"/>
      <c r="KQ1328" s="2"/>
      <c r="KR1328" s="2"/>
      <c r="KS1328" s="2"/>
      <c r="KT1328" s="2"/>
      <c r="KU1328" s="2"/>
      <c r="KV1328" s="2"/>
      <c r="KW1328" s="2"/>
      <c r="KX1328" s="2"/>
      <c r="KY1328" s="2"/>
      <c r="KZ1328" s="2"/>
      <c r="LA1328" s="2"/>
      <c r="LB1328" s="2"/>
      <c r="LC1328" s="2"/>
      <c r="LD1328" s="2"/>
      <c r="LE1328" s="2"/>
      <c r="LF1328" s="2"/>
      <c r="LG1328" s="2"/>
      <c r="LH1328" s="2"/>
      <c r="LI1328" s="2"/>
      <c r="LJ1328" s="2"/>
      <c r="LK1328" s="2"/>
      <c r="LL1328" s="2"/>
      <c r="LM1328" s="2"/>
      <c r="LN1328" s="2"/>
      <c r="LO1328" s="2"/>
      <c r="LP1328" s="2"/>
      <c r="LQ1328" s="2"/>
      <c r="LR1328" s="2"/>
      <c r="LS1328" s="2"/>
      <c r="LT1328" s="2"/>
      <c r="LU1328" s="2"/>
      <c r="LV1328" s="2"/>
      <c r="LW1328" s="2"/>
      <c r="LX1328" s="2"/>
      <c r="LY1328" s="2"/>
      <c r="LZ1328" s="2"/>
      <c r="MA1328" s="2"/>
      <c r="MB1328" s="2"/>
      <c r="MC1328" s="2"/>
      <c r="MD1328" s="2"/>
      <c r="ME1328" s="2"/>
      <c r="MF1328" s="2"/>
      <c r="MG1328" s="2"/>
      <c r="MH1328" s="2"/>
      <c r="MI1328" s="2"/>
      <c r="MJ1328" s="2"/>
      <c r="MK1328" s="2"/>
      <c r="ML1328" s="2"/>
      <c r="MM1328" s="2"/>
      <c r="MN1328" s="2"/>
      <c r="MO1328" s="2"/>
      <c r="MP1328" s="2"/>
      <c r="MQ1328" s="2"/>
      <c r="MR1328" s="2"/>
      <c r="MS1328" s="2"/>
      <c r="MT1328" s="2"/>
      <c r="MU1328" s="2"/>
      <c r="MV1328" s="2"/>
      <c r="MW1328" s="2"/>
      <c r="MX1328" s="2"/>
      <c r="MY1328" s="2"/>
      <c r="MZ1328" s="2"/>
      <c r="NA1328" s="2"/>
      <c r="NB1328" s="2"/>
      <c r="NC1328" s="2"/>
      <c r="ND1328" s="2"/>
      <c r="NE1328" s="2"/>
      <c r="NF1328" s="2"/>
      <c r="NG1328" s="2"/>
      <c r="NH1328" s="2"/>
      <c r="NI1328" s="2"/>
      <c r="NJ1328" s="2"/>
      <c r="NK1328" s="2"/>
      <c r="NL1328" s="2"/>
      <c r="NM1328" s="2"/>
      <c r="NN1328" s="2"/>
      <c r="NO1328" s="2"/>
      <c r="NP1328" s="2"/>
      <c r="NQ1328" s="2"/>
      <c r="NR1328" s="2"/>
      <c r="NS1328" s="2"/>
      <c r="NT1328" s="2"/>
      <c r="NU1328" s="2"/>
      <c r="NV1328" s="2"/>
      <c r="NW1328" s="2"/>
      <c r="NX1328" s="2"/>
      <c r="NY1328" s="2"/>
      <c r="NZ1328" s="2"/>
      <c r="OA1328" s="2"/>
      <c r="OB1328" s="2"/>
      <c r="OC1328" s="2"/>
      <c r="OD1328" s="2"/>
      <c r="OE1328" s="2"/>
      <c r="OF1328" s="2"/>
      <c r="OG1328" s="2"/>
      <c r="OH1328" s="2"/>
      <c r="OI1328" s="2"/>
      <c r="OJ1328" s="2"/>
      <c r="OK1328" s="2"/>
      <c r="OL1328" s="2"/>
      <c r="OM1328" s="2"/>
      <c r="ON1328" s="2"/>
      <c r="OO1328" s="2"/>
      <c r="OP1328" s="2"/>
      <c r="OQ1328" s="2"/>
      <c r="OR1328" s="2"/>
      <c r="OS1328" s="2"/>
      <c r="OT1328" s="2"/>
      <c r="OU1328" s="2"/>
      <c r="OV1328" s="2"/>
      <c r="OW1328" s="2"/>
      <c r="OX1328" s="2"/>
      <c r="OY1328" s="2"/>
      <c r="OZ1328" s="2"/>
      <c r="PA1328" s="2"/>
      <c r="PB1328" s="2"/>
      <c r="PC1328" s="2"/>
      <c r="PD1328" s="2"/>
      <c r="PE1328" s="2"/>
      <c r="PF1328" s="2"/>
      <c r="PG1328" s="2"/>
      <c r="PH1328" s="2"/>
      <c r="PI1328" s="2"/>
      <c r="PJ1328" s="2"/>
      <c r="PK1328" s="2"/>
      <c r="PL1328" s="2"/>
      <c r="PM1328" s="2"/>
      <c r="PN1328" s="2"/>
      <c r="PO1328" s="2"/>
      <c r="PP1328" s="2"/>
      <c r="PQ1328" s="2"/>
      <c r="PR1328" s="2"/>
      <c r="PS1328" s="2"/>
      <c r="PT1328" s="2"/>
      <c r="PU1328" s="2"/>
      <c r="PV1328" s="2"/>
      <c r="PW1328" s="2"/>
      <c r="PX1328" s="2"/>
      <c r="PY1328" s="2"/>
      <c r="PZ1328" s="2"/>
      <c r="QA1328" s="2"/>
      <c r="QB1328" s="2"/>
      <c r="QC1328" s="2"/>
      <c r="QD1328" s="2"/>
      <c r="QE1328" s="2"/>
      <c r="QF1328" s="2"/>
      <c r="QG1328" s="2"/>
      <c r="QH1328" s="2"/>
      <c r="QI1328" s="2"/>
      <c r="QJ1328" s="2"/>
      <c r="QK1328" s="2"/>
      <c r="QL1328" s="2"/>
      <c r="QM1328" s="2"/>
      <c r="QN1328" s="2"/>
      <c r="QO1328" s="2"/>
      <c r="QP1328" s="2"/>
      <c r="QQ1328" s="2"/>
      <c r="QR1328" s="2"/>
      <c r="QS1328" s="2"/>
      <c r="QT1328" s="2"/>
      <c r="QU1328" s="2"/>
      <c r="QV1328" s="2"/>
      <c r="QW1328" s="2"/>
      <c r="QX1328" s="2"/>
      <c r="QY1328" s="2"/>
      <c r="QZ1328" s="2"/>
      <c r="RA1328" s="2"/>
      <c r="RB1328" s="2"/>
      <c r="RC1328" s="2"/>
      <c r="RD1328" s="2"/>
      <c r="RE1328" s="2"/>
      <c r="RF1328" s="2"/>
      <c r="RG1328" s="2"/>
      <c r="RH1328" s="2"/>
      <c r="RI1328" s="2"/>
      <c r="RJ1328" s="2"/>
      <c r="RK1328" s="2"/>
      <c r="RL1328" s="2"/>
      <c r="RM1328" s="2"/>
      <c r="RN1328" s="2"/>
      <c r="RO1328" s="2"/>
      <c r="RP1328" s="2"/>
      <c r="RQ1328" s="2"/>
      <c r="RR1328" s="2"/>
      <c r="RS1328" s="2"/>
      <c r="RT1328" s="2"/>
      <c r="RU1328" s="2"/>
      <c r="RV1328" s="2"/>
      <c r="RW1328" s="2"/>
      <c r="RX1328" s="2"/>
      <c r="RY1328" s="2"/>
      <c r="RZ1328" s="2"/>
      <c r="SA1328" s="2"/>
      <c r="SB1328" s="2"/>
      <c r="SC1328" s="2"/>
      <c r="SD1328" s="2"/>
      <c r="SE1328" s="2"/>
      <c r="SF1328" s="2"/>
      <c r="SG1328" s="2"/>
      <c r="SH1328" s="2"/>
      <c r="SI1328" s="2"/>
      <c r="SJ1328" s="2"/>
      <c r="SK1328" s="2"/>
      <c r="SL1328" s="2"/>
      <c r="SM1328" s="2"/>
      <c r="SN1328" s="2"/>
      <c r="SO1328" s="2"/>
      <c r="SP1328" s="2"/>
      <c r="SQ1328" s="2"/>
      <c r="SR1328" s="2"/>
      <c r="SS1328" s="2"/>
      <c r="ST1328" s="2"/>
      <c r="SU1328" s="2"/>
      <c r="SV1328" s="2"/>
      <c r="SW1328" s="2"/>
      <c r="SX1328" s="2"/>
      <c r="SY1328" s="2"/>
      <c r="SZ1328" s="2"/>
      <c r="TA1328" s="2"/>
      <c r="TB1328" s="2"/>
      <c r="TC1328" s="2"/>
      <c r="TD1328" s="2"/>
      <c r="TE1328" s="2"/>
      <c r="TF1328" s="2"/>
      <c r="TG1328" s="2"/>
      <c r="TH1328" s="2"/>
      <c r="TI1328" s="2"/>
      <c r="TJ1328" s="2"/>
      <c r="TK1328" s="2"/>
      <c r="TL1328" s="2"/>
      <c r="TM1328" s="2"/>
      <c r="TN1328" s="2"/>
      <c r="TO1328" s="2"/>
      <c r="TP1328" s="2"/>
      <c r="TQ1328" s="2"/>
      <c r="TR1328" s="2"/>
      <c r="TS1328" s="2"/>
      <c r="TT1328" s="2"/>
      <c r="TU1328" s="2"/>
      <c r="TV1328" s="2"/>
      <c r="TW1328" s="2"/>
      <c r="TX1328" s="2"/>
      <c r="TY1328" s="2"/>
      <c r="TZ1328" s="2"/>
      <c r="UA1328" s="2"/>
      <c r="UB1328" s="2"/>
      <c r="UC1328" s="2"/>
      <c r="UD1328" s="2"/>
      <c r="UE1328" s="2"/>
      <c r="UF1328" s="2"/>
      <c r="UG1328" s="2"/>
    </row>
    <row r="1329" spans="1:553" ht="34.9" customHeight="1">
      <c r="A1329" s="356" t="s">
        <v>30</v>
      </c>
      <c r="B1329" s="366" t="s">
        <v>362</v>
      </c>
      <c r="C1329" s="1403" t="s">
        <v>1244</v>
      </c>
      <c r="D1329" s="1389"/>
      <c r="E1329" s="1389"/>
      <c r="F1329" s="1390"/>
      <c r="G1329" s="386" t="s">
        <v>33</v>
      </c>
      <c r="H1329" s="370"/>
      <c r="I1329" s="794">
        <f>6*4</f>
        <v>24</v>
      </c>
      <c r="J1329" s="368">
        <v>62500</v>
      </c>
      <c r="K1329" s="419">
        <v>0.8</v>
      </c>
      <c r="L1329" s="487">
        <f>ROUND(PRODUCT(I1329:K1329),0)</f>
        <v>1200000</v>
      </c>
      <c r="M1329" s="395"/>
      <c r="N1329" s="395"/>
      <c r="O1329" s="366"/>
      <c r="P1329" s="396"/>
      <c r="Q1329" s="473"/>
      <c r="R1329" s="1039"/>
      <c r="S1329" s="308"/>
      <c r="T1329" s="308"/>
      <c r="U1329" s="308"/>
      <c r="V1329" s="308"/>
      <c r="W1329" s="308"/>
      <c r="X1329" s="308"/>
      <c r="Y1329" s="308"/>
      <c r="Z1329" s="604"/>
      <c r="AA1329" s="308"/>
      <c r="AB1329" s="308"/>
      <c r="AC1329" s="486"/>
      <c r="AD1329" s="486"/>
      <c r="AE1329" s="486"/>
      <c r="AF1329" s="486"/>
      <c r="AG1329" s="486"/>
      <c r="AH1329" s="486"/>
      <c r="AI1329" s="486"/>
      <c r="AJ1329" s="486"/>
      <c r="AK1329" s="486"/>
      <c r="AL1329" s="206"/>
      <c r="AM1329" s="29"/>
      <c r="AN1329" s="29"/>
      <c r="AO1329" s="29"/>
      <c r="AP1329" s="29"/>
      <c r="AQ1329" s="29"/>
      <c r="AR1329" s="29"/>
      <c r="AS1329" s="29"/>
      <c r="AT1329" s="29"/>
      <c r="AU1329" s="29"/>
      <c r="AV1329" s="29"/>
      <c r="AW1329" s="29"/>
      <c r="AX1329" s="29"/>
      <c r="AY1329" s="29"/>
      <c r="AZ1329" s="29"/>
      <c r="BA1329" s="29"/>
      <c r="BB1329" s="29"/>
      <c r="BC1329" s="29"/>
      <c r="BD1329" s="29"/>
      <c r="BE1329" s="29"/>
      <c r="BF1329" s="29"/>
      <c r="BG1329" s="29"/>
      <c r="BH1329" s="29"/>
      <c r="BI1329" s="29"/>
      <c r="BJ1329" s="29"/>
      <c r="BK1329" s="29"/>
      <c r="BL1329" s="29"/>
      <c r="BM1329" s="29"/>
      <c r="BN1329" s="29"/>
      <c r="BO1329" s="29"/>
      <c r="BP1329" s="29"/>
      <c r="BQ1329" s="29"/>
      <c r="BR1329" s="29"/>
      <c r="BS1329" s="29"/>
      <c r="BT1329" s="29"/>
      <c r="BU1329" s="29"/>
      <c r="BV1329" s="29"/>
      <c r="BW1329" s="29"/>
      <c r="BX1329" s="29"/>
      <c r="BY1329" s="29"/>
      <c r="BZ1329" s="29"/>
      <c r="CA1329" s="29"/>
      <c r="CB1329" s="29"/>
      <c r="CC1329" s="29"/>
      <c r="CD1329" s="29"/>
      <c r="CE1329" s="29"/>
      <c r="CF1329" s="29"/>
      <c r="CG1329" s="29"/>
      <c r="CH1329" s="29"/>
      <c r="CI1329" s="29"/>
      <c r="CJ1329" s="29"/>
      <c r="CK1329" s="29"/>
      <c r="CL1329" s="29"/>
      <c r="CM1329" s="29"/>
      <c r="CN1329" s="29"/>
      <c r="CO1329" s="29"/>
      <c r="CP1329" s="29"/>
      <c r="CQ1329" s="29"/>
      <c r="CR1329" s="29"/>
      <c r="CS1329" s="29"/>
      <c r="CT1329" s="29"/>
      <c r="CU1329" s="29"/>
      <c r="CV1329" s="29"/>
      <c r="CW1329" s="29"/>
      <c r="CX1329" s="29"/>
      <c r="CY1329" s="29"/>
      <c r="CZ1329" s="29"/>
      <c r="DA1329" s="29"/>
      <c r="DB1329" s="29"/>
      <c r="DC1329" s="29"/>
      <c r="DD1329" s="29"/>
      <c r="DE1329" s="29"/>
      <c r="DF1329" s="29"/>
      <c r="DG1329" s="29"/>
      <c r="DH1329" s="29"/>
      <c r="DI1329" s="29"/>
      <c r="DJ1329" s="29"/>
      <c r="DK1329" s="29"/>
      <c r="DL1329" s="29"/>
      <c r="DM1329" s="29"/>
      <c r="DN1329" s="29"/>
      <c r="DO1329" s="29"/>
      <c r="DP1329" s="29"/>
      <c r="DQ1329" s="29"/>
      <c r="DR1329" s="29"/>
      <c r="DS1329" s="29"/>
      <c r="DT1329" s="29"/>
      <c r="DU1329" s="29"/>
      <c r="DV1329" s="29"/>
      <c r="DW1329" s="29"/>
      <c r="DX1329" s="29"/>
      <c r="DY1329" s="29"/>
      <c r="DZ1329" s="29"/>
      <c r="EA1329" s="29"/>
      <c r="EB1329" s="29"/>
      <c r="EC1329" s="29"/>
      <c r="ED1329" s="29"/>
      <c r="EE1329" s="29"/>
      <c r="EF1329" s="29"/>
      <c r="EG1329" s="29"/>
      <c r="EH1329" s="29"/>
      <c r="EI1329" s="29"/>
      <c r="EJ1329" s="29"/>
      <c r="EK1329" s="29"/>
      <c r="EL1329" s="29"/>
      <c r="EM1329" s="29"/>
      <c r="EN1329" s="29"/>
      <c r="EO1329" s="29"/>
      <c r="EP1329" s="29"/>
      <c r="EQ1329" s="29"/>
      <c r="ER1329" s="29"/>
      <c r="ES1329" s="29"/>
      <c r="ET1329" s="29"/>
      <c r="EU1329" s="29"/>
      <c r="EV1329" s="29"/>
      <c r="EW1329" s="29"/>
      <c r="EX1329" s="29"/>
      <c r="EY1329" s="29"/>
      <c r="EZ1329" s="29"/>
      <c r="FA1329" s="29"/>
      <c r="FB1329" s="29"/>
      <c r="FC1329" s="29"/>
      <c r="FD1329" s="29"/>
      <c r="FE1329" s="29"/>
      <c r="FF1329" s="29"/>
      <c r="FG1329" s="29"/>
      <c r="FH1329" s="29"/>
      <c r="FI1329" s="29"/>
      <c r="FJ1329" s="29"/>
      <c r="FK1329" s="29"/>
      <c r="FL1329" s="29"/>
      <c r="FM1329" s="29"/>
      <c r="FN1329" s="29"/>
      <c r="FO1329" s="29"/>
      <c r="FP1329" s="29"/>
      <c r="FQ1329" s="29"/>
      <c r="FR1329" s="29"/>
      <c r="FS1329" s="29"/>
      <c r="FT1329" s="29"/>
      <c r="FU1329" s="29"/>
      <c r="FV1329" s="29"/>
      <c r="FW1329" s="29"/>
      <c r="FX1329" s="29"/>
      <c r="FY1329" s="29"/>
      <c r="FZ1329" s="29"/>
      <c r="GA1329" s="29"/>
      <c r="GB1329" s="29"/>
      <c r="GC1329" s="29"/>
      <c r="GD1329" s="29"/>
      <c r="GE1329" s="29"/>
      <c r="GF1329" s="29"/>
      <c r="GG1329" s="29"/>
      <c r="GH1329" s="29"/>
      <c r="GI1329" s="29"/>
      <c r="GJ1329" s="29"/>
      <c r="GK1329" s="29"/>
      <c r="GL1329" s="29"/>
      <c r="GM1329" s="29"/>
      <c r="GN1329" s="29"/>
      <c r="GO1329" s="29"/>
      <c r="GP1329" s="29"/>
      <c r="GQ1329" s="29"/>
      <c r="GR1329" s="29"/>
      <c r="GS1329" s="29"/>
      <c r="GT1329" s="29"/>
      <c r="GU1329" s="29"/>
      <c r="GV1329" s="29"/>
      <c r="GW1329" s="29"/>
      <c r="GX1329" s="29"/>
      <c r="GY1329" s="29"/>
      <c r="GZ1329" s="29"/>
      <c r="HA1329" s="29"/>
      <c r="HB1329" s="29"/>
      <c r="HC1329" s="29"/>
      <c r="HD1329" s="29"/>
      <c r="HE1329" s="29"/>
      <c r="HF1329" s="29"/>
      <c r="HG1329" s="29"/>
      <c r="HH1329" s="29"/>
      <c r="HI1329" s="29"/>
      <c r="HJ1329" s="29"/>
      <c r="HK1329" s="29"/>
      <c r="HL1329" s="29"/>
      <c r="HM1329" s="29"/>
      <c r="HN1329" s="29"/>
      <c r="HO1329" s="29"/>
      <c r="HP1329" s="29"/>
      <c r="HQ1329" s="29"/>
      <c r="HR1329" s="29"/>
      <c r="HS1329" s="29"/>
      <c r="HT1329" s="29"/>
      <c r="HU1329" s="29"/>
      <c r="HV1329" s="29"/>
      <c r="HW1329" s="29"/>
      <c r="HX1329" s="29"/>
      <c r="HY1329" s="29"/>
      <c r="HZ1329" s="29"/>
      <c r="IA1329" s="29"/>
      <c r="IB1329" s="29"/>
      <c r="IC1329" s="29"/>
      <c r="ID1329" s="29"/>
      <c r="IE1329" s="29"/>
      <c r="IF1329" s="29"/>
      <c r="IG1329" s="29"/>
      <c r="IH1329" s="29"/>
      <c r="II1329" s="29"/>
      <c r="IJ1329" s="29"/>
      <c r="IK1329" s="29"/>
      <c r="IL1329" s="29"/>
      <c r="IM1329" s="29"/>
      <c r="IN1329" s="29"/>
      <c r="IO1329" s="29"/>
      <c r="IP1329" s="29"/>
      <c r="IQ1329" s="29"/>
      <c r="IR1329" s="29"/>
      <c r="IS1329" s="29"/>
      <c r="IT1329" s="29"/>
      <c r="IU1329" s="29"/>
      <c r="IV1329" s="29"/>
      <c r="IW1329" s="29"/>
      <c r="IX1329" s="29"/>
      <c r="IY1329" s="29"/>
      <c r="IZ1329" s="29"/>
      <c r="JA1329" s="29"/>
      <c r="JB1329" s="29"/>
      <c r="JC1329" s="29"/>
      <c r="JD1329" s="29"/>
      <c r="JE1329" s="29"/>
      <c r="JF1329" s="29"/>
      <c r="JG1329" s="29"/>
      <c r="JH1329" s="29"/>
      <c r="JI1329" s="29"/>
      <c r="JJ1329" s="29"/>
      <c r="JK1329" s="29"/>
      <c r="JL1329" s="29"/>
      <c r="JM1329" s="29"/>
      <c r="JN1329" s="29"/>
      <c r="JO1329" s="29"/>
      <c r="JP1329" s="29"/>
      <c r="JQ1329" s="29"/>
      <c r="JR1329" s="29"/>
      <c r="JS1329" s="29"/>
      <c r="JT1329" s="29"/>
      <c r="JU1329" s="29"/>
      <c r="JV1329" s="29"/>
      <c r="JW1329" s="29"/>
      <c r="JX1329" s="29"/>
      <c r="JY1329" s="29"/>
      <c r="JZ1329" s="29"/>
      <c r="KA1329" s="29"/>
      <c r="KB1329" s="29"/>
      <c r="KC1329" s="29"/>
      <c r="KD1329" s="29"/>
      <c r="KE1329" s="29"/>
      <c r="KF1329" s="29"/>
      <c r="KG1329" s="29"/>
      <c r="KH1329" s="29"/>
      <c r="KI1329" s="29"/>
      <c r="KJ1329" s="29"/>
      <c r="KK1329" s="29"/>
      <c r="KL1329" s="29"/>
      <c r="KM1329" s="29"/>
      <c r="KN1329" s="29"/>
      <c r="KO1329" s="29"/>
      <c r="KP1329" s="29"/>
      <c r="KQ1329" s="29"/>
      <c r="KR1329" s="29"/>
      <c r="KS1329" s="29"/>
      <c r="KT1329" s="29"/>
      <c r="KU1329" s="29"/>
      <c r="KV1329" s="29"/>
      <c r="KW1329" s="29"/>
      <c r="KX1329" s="29"/>
      <c r="KY1329" s="29"/>
      <c r="KZ1329" s="29"/>
      <c r="LA1329" s="29"/>
      <c r="LB1329" s="29"/>
      <c r="LC1329" s="29"/>
      <c r="LD1329" s="29"/>
      <c r="LE1329" s="29"/>
      <c r="LF1329" s="29"/>
      <c r="LG1329" s="29"/>
      <c r="LH1329" s="29"/>
      <c r="LI1329" s="29"/>
      <c r="LJ1329" s="29"/>
      <c r="LK1329" s="29"/>
      <c r="LL1329" s="29"/>
      <c r="LM1329" s="29"/>
      <c r="LN1329" s="29"/>
      <c r="LO1329" s="29"/>
      <c r="LP1329" s="29"/>
      <c r="LQ1329" s="29"/>
      <c r="LR1329" s="29"/>
      <c r="LS1329" s="29"/>
      <c r="LT1329" s="29"/>
      <c r="LU1329" s="29"/>
      <c r="LV1329" s="29"/>
      <c r="LW1329" s="29"/>
      <c r="LX1329" s="29"/>
      <c r="LY1329" s="29"/>
      <c r="LZ1329" s="29"/>
      <c r="MA1329" s="29"/>
      <c r="MB1329" s="29"/>
      <c r="MC1329" s="29"/>
      <c r="MD1329" s="29"/>
      <c r="ME1329" s="29"/>
      <c r="MF1329" s="29"/>
      <c r="MG1329" s="29"/>
      <c r="MH1329" s="29"/>
      <c r="MI1329" s="29"/>
      <c r="MJ1329" s="29"/>
      <c r="MK1329" s="29"/>
      <c r="ML1329" s="29"/>
      <c r="MM1329" s="29"/>
      <c r="MN1329" s="29"/>
      <c r="MO1329" s="29"/>
      <c r="MP1329" s="29"/>
      <c r="MQ1329" s="29"/>
      <c r="MR1329" s="29"/>
      <c r="MS1329" s="29"/>
      <c r="MT1329" s="29"/>
      <c r="MU1329" s="29"/>
      <c r="MV1329" s="29"/>
      <c r="MW1329" s="29"/>
      <c r="MX1329" s="29"/>
      <c r="MY1329" s="29"/>
      <c r="MZ1329" s="29"/>
      <c r="NA1329" s="29"/>
      <c r="NB1329" s="29"/>
      <c r="NC1329" s="29"/>
      <c r="ND1329" s="29"/>
      <c r="NE1329" s="29"/>
      <c r="NF1329" s="29"/>
      <c r="NG1329" s="29"/>
      <c r="NH1329" s="29"/>
      <c r="NI1329" s="29"/>
      <c r="NJ1329" s="29"/>
      <c r="NK1329" s="29"/>
      <c r="NL1329" s="29"/>
      <c r="NM1329" s="29"/>
      <c r="NN1329" s="29"/>
      <c r="NO1329" s="29"/>
      <c r="NP1329" s="29"/>
      <c r="NQ1329" s="29"/>
      <c r="NR1329" s="29"/>
      <c r="NS1329" s="29"/>
      <c r="NT1329" s="29"/>
      <c r="NU1329" s="29"/>
      <c r="NV1329" s="29"/>
      <c r="NW1329" s="29"/>
      <c r="NX1329" s="29"/>
      <c r="NY1329" s="29"/>
      <c r="NZ1329" s="29"/>
      <c r="OA1329" s="29"/>
      <c r="OB1329" s="29"/>
      <c r="OC1329" s="29"/>
      <c r="OD1329" s="29"/>
      <c r="OE1329" s="29"/>
      <c r="OF1329" s="29"/>
      <c r="OG1329" s="29"/>
      <c r="OH1329" s="29"/>
      <c r="OI1329" s="29"/>
      <c r="OJ1329" s="29"/>
      <c r="OK1329" s="29"/>
      <c r="OL1329" s="29"/>
      <c r="OM1329" s="29"/>
      <c r="ON1329" s="29"/>
      <c r="OO1329" s="29"/>
      <c r="OP1329" s="29"/>
      <c r="OQ1329" s="29"/>
      <c r="OR1329" s="29"/>
      <c r="OS1329" s="29"/>
      <c r="OT1329" s="29"/>
      <c r="OU1329" s="29"/>
      <c r="OV1329" s="29"/>
      <c r="OW1329" s="29"/>
      <c r="OX1329" s="29"/>
      <c r="OY1329" s="29"/>
      <c r="OZ1329" s="29"/>
      <c r="PA1329" s="29"/>
      <c r="PB1329" s="29"/>
      <c r="PC1329" s="29"/>
      <c r="PD1329" s="29"/>
      <c r="PE1329" s="29"/>
      <c r="PF1329" s="29"/>
      <c r="PG1329" s="29"/>
      <c r="PH1329" s="29"/>
      <c r="PI1329" s="29"/>
      <c r="PJ1329" s="29"/>
      <c r="PK1329" s="29"/>
      <c r="PL1329" s="29"/>
      <c r="PM1329" s="29"/>
      <c r="PN1329" s="29"/>
      <c r="PO1329" s="29"/>
      <c r="PP1329" s="29"/>
      <c r="PQ1329" s="29"/>
      <c r="PR1329" s="29"/>
      <c r="PS1329" s="29"/>
      <c r="PT1329" s="29"/>
      <c r="PU1329" s="29"/>
      <c r="PV1329" s="29"/>
      <c r="PW1329" s="29"/>
      <c r="PX1329" s="29"/>
      <c r="PY1329" s="29"/>
      <c r="PZ1329" s="29"/>
      <c r="QA1329" s="29"/>
      <c r="QB1329" s="29"/>
      <c r="QC1329" s="29"/>
      <c r="QD1329" s="29"/>
      <c r="QE1329" s="29"/>
      <c r="QF1329" s="29"/>
      <c r="QG1329" s="29"/>
      <c r="QH1329" s="29"/>
      <c r="QI1329" s="29"/>
      <c r="QJ1329" s="29"/>
      <c r="QK1329" s="29"/>
      <c r="QL1329" s="29"/>
      <c r="QM1329" s="29"/>
      <c r="QN1329" s="29"/>
      <c r="QO1329" s="29"/>
      <c r="QP1329" s="29"/>
      <c r="QQ1329" s="29"/>
      <c r="QR1329" s="29"/>
      <c r="QS1329" s="29"/>
      <c r="QT1329" s="29"/>
      <c r="QU1329" s="29"/>
      <c r="QV1329" s="29"/>
      <c r="QW1329" s="29"/>
      <c r="QX1329" s="29"/>
      <c r="QY1329" s="29"/>
      <c r="QZ1329" s="29"/>
      <c r="RA1329" s="29"/>
      <c r="RB1329" s="29"/>
      <c r="RC1329" s="29"/>
      <c r="RD1329" s="29"/>
      <c r="RE1329" s="29"/>
      <c r="RF1329" s="29"/>
      <c r="RG1329" s="29"/>
      <c r="RH1329" s="29"/>
      <c r="RI1329" s="29"/>
      <c r="RJ1329" s="29"/>
      <c r="RK1329" s="29"/>
      <c r="RL1329" s="29"/>
      <c r="RM1329" s="29"/>
      <c r="RN1329" s="29"/>
      <c r="RO1329" s="29"/>
      <c r="RP1329" s="29"/>
      <c r="RQ1329" s="29"/>
      <c r="RR1329" s="29"/>
      <c r="RS1329" s="29"/>
      <c r="RT1329" s="29"/>
      <c r="RU1329" s="29"/>
      <c r="RV1329" s="29"/>
      <c r="RW1329" s="29"/>
      <c r="RX1329" s="29"/>
      <c r="RY1329" s="29"/>
      <c r="RZ1329" s="29"/>
      <c r="SA1329" s="29"/>
      <c r="SB1329" s="29"/>
      <c r="SC1329" s="29"/>
      <c r="SD1329" s="29"/>
      <c r="SE1329" s="29"/>
      <c r="SF1329" s="29"/>
      <c r="SG1329" s="29"/>
      <c r="SH1329" s="29"/>
      <c r="SI1329" s="29"/>
      <c r="SJ1329" s="29"/>
      <c r="SK1329" s="29"/>
      <c r="SL1329" s="29"/>
      <c r="SM1329" s="29"/>
      <c r="SN1329" s="29"/>
      <c r="SO1329" s="29"/>
      <c r="SP1329" s="29"/>
      <c r="SQ1329" s="29"/>
      <c r="SR1329" s="29"/>
      <c r="SS1329" s="29"/>
      <c r="ST1329" s="29"/>
      <c r="SU1329" s="29"/>
      <c r="SV1329" s="29"/>
      <c r="SW1329" s="29"/>
      <c r="SX1329" s="29"/>
      <c r="SY1329" s="29"/>
      <c r="SZ1329" s="29"/>
      <c r="TA1329" s="29"/>
      <c r="TB1329" s="29"/>
      <c r="TC1329" s="29"/>
      <c r="TD1329" s="29"/>
      <c r="TE1329" s="29"/>
      <c r="TF1329" s="29"/>
      <c r="TG1329" s="29"/>
      <c r="TH1329" s="29"/>
      <c r="TI1329" s="29"/>
      <c r="TJ1329" s="29"/>
      <c r="TK1329" s="29"/>
      <c r="TL1329" s="29"/>
      <c r="TM1329" s="29"/>
      <c r="TN1329" s="29"/>
      <c r="TO1329" s="29"/>
      <c r="TP1329" s="29"/>
      <c r="TQ1329" s="29"/>
      <c r="TR1329" s="29"/>
      <c r="TS1329" s="29"/>
      <c r="TT1329" s="29"/>
      <c r="TU1329" s="29"/>
      <c r="TV1329" s="29"/>
      <c r="TW1329" s="29"/>
      <c r="TX1329" s="29"/>
      <c r="TY1329" s="29"/>
      <c r="TZ1329" s="29"/>
      <c r="UA1329" s="29"/>
      <c r="UB1329" s="29"/>
      <c r="UC1329" s="29"/>
      <c r="UD1329" s="29"/>
      <c r="UE1329" s="29"/>
      <c r="UF1329" s="29"/>
      <c r="UG1329" s="29"/>
    </row>
    <row r="1330" spans="1:553" ht="34.9" customHeight="1">
      <c r="A1330" s="356" t="s">
        <v>30</v>
      </c>
      <c r="B1330" s="366" t="s">
        <v>149</v>
      </c>
      <c r="C1330" s="1403" t="s">
        <v>1054</v>
      </c>
      <c r="D1330" s="1389"/>
      <c r="E1330" s="1389"/>
      <c r="F1330" s="1390"/>
      <c r="G1330" s="386" t="s">
        <v>33</v>
      </c>
      <c r="H1330" s="370"/>
      <c r="I1330" s="422">
        <f>2.2*0.35</f>
        <v>0.77</v>
      </c>
      <c r="J1330" s="368">
        <v>267200</v>
      </c>
      <c r="K1330" s="419">
        <v>0.8</v>
      </c>
      <c r="L1330" s="487">
        <f t="shared" si="199"/>
        <v>164595</v>
      </c>
      <c r="M1330" s="395"/>
      <c r="N1330" s="395"/>
      <c r="O1330" s="366"/>
      <c r="P1330" s="396"/>
      <c r="Q1330" s="473"/>
      <c r="R1330" s="1039"/>
      <c r="S1330" s="308"/>
      <c r="T1330" s="308"/>
      <c r="U1330" s="308"/>
      <c r="V1330" s="308"/>
      <c r="W1330" s="308"/>
      <c r="X1330" s="308"/>
      <c r="Y1330" s="308"/>
      <c r="Z1330" s="604"/>
      <c r="AA1330" s="308"/>
      <c r="AB1330" s="308"/>
      <c r="AC1330" s="486"/>
      <c r="AD1330" s="486"/>
      <c r="AE1330" s="486"/>
      <c r="AF1330" s="486"/>
      <c r="AG1330" s="486"/>
      <c r="AH1330" s="486"/>
      <c r="AI1330" s="486"/>
      <c r="AJ1330" s="486"/>
      <c r="AK1330" s="486"/>
      <c r="AL1330" s="206"/>
      <c r="AM1330" s="29"/>
      <c r="AN1330" s="29"/>
      <c r="AO1330" s="29"/>
      <c r="AP1330" s="29"/>
      <c r="AQ1330" s="29"/>
      <c r="AR1330" s="29"/>
      <c r="AS1330" s="29"/>
      <c r="AT1330" s="29"/>
      <c r="AU1330" s="29"/>
      <c r="AV1330" s="29"/>
      <c r="AW1330" s="29"/>
      <c r="AX1330" s="29"/>
      <c r="AY1330" s="29"/>
      <c r="AZ1330" s="29"/>
      <c r="BA1330" s="29"/>
      <c r="BB1330" s="29"/>
      <c r="BC1330" s="29"/>
      <c r="BD1330" s="29"/>
      <c r="BE1330" s="29"/>
      <c r="BF1330" s="29"/>
      <c r="BG1330" s="29"/>
      <c r="BH1330" s="29"/>
      <c r="BI1330" s="29"/>
      <c r="BJ1330" s="29"/>
      <c r="BK1330" s="29"/>
      <c r="BL1330" s="29"/>
      <c r="BM1330" s="29"/>
      <c r="BN1330" s="29"/>
      <c r="BO1330" s="29"/>
      <c r="BP1330" s="29"/>
      <c r="BQ1330" s="29"/>
      <c r="BR1330" s="29"/>
      <c r="BS1330" s="29"/>
      <c r="BT1330" s="29"/>
      <c r="BU1330" s="29"/>
      <c r="BV1330" s="29"/>
      <c r="BW1330" s="29"/>
      <c r="BX1330" s="29"/>
      <c r="BY1330" s="29"/>
      <c r="BZ1330" s="29"/>
      <c r="CA1330" s="29"/>
      <c r="CB1330" s="29"/>
      <c r="CC1330" s="29"/>
      <c r="CD1330" s="29"/>
      <c r="CE1330" s="29"/>
      <c r="CF1330" s="29"/>
      <c r="CG1330" s="29"/>
      <c r="CH1330" s="29"/>
      <c r="CI1330" s="29"/>
      <c r="CJ1330" s="29"/>
      <c r="CK1330" s="29"/>
      <c r="CL1330" s="29"/>
      <c r="CM1330" s="29"/>
      <c r="CN1330" s="29"/>
      <c r="CO1330" s="29"/>
      <c r="CP1330" s="29"/>
      <c r="CQ1330" s="29"/>
      <c r="CR1330" s="29"/>
      <c r="CS1330" s="29"/>
      <c r="CT1330" s="29"/>
      <c r="CU1330" s="29"/>
      <c r="CV1330" s="29"/>
      <c r="CW1330" s="29"/>
      <c r="CX1330" s="29"/>
      <c r="CY1330" s="29"/>
      <c r="CZ1330" s="29"/>
      <c r="DA1330" s="29"/>
      <c r="DB1330" s="29"/>
      <c r="DC1330" s="29"/>
      <c r="DD1330" s="29"/>
      <c r="DE1330" s="29"/>
      <c r="DF1330" s="29"/>
      <c r="DG1330" s="29"/>
      <c r="DH1330" s="29"/>
      <c r="DI1330" s="29"/>
      <c r="DJ1330" s="29"/>
      <c r="DK1330" s="29"/>
      <c r="DL1330" s="29"/>
      <c r="DM1330" s="29"/>
      <c r="DN1330" s="29"/>
      <c r="DO1330" s="29"/>
      <c r="DP1330" s="29"/>
      <c r="DQ1330" s="29"/>
      <c r="DR1330" s="29"/>
      <c r="DS1330" s="29"/>
      <c r="DT1330" s="29"/>
      <c r="DU1330" s="29"/>
      <c r="DV1330" s="29"/>
      <c r="DW1330" s="29"/>
      <c r="DX1330" s="29"/>
      <c r="DY1330" s="29"/>
      <c r="DZ1330" s="29"/>
      <c r="EA1330" s="29"/>
      <c r="EB1330" s="29"/>
      <c r="EC1330" s="29"/>
      <c r="ED1330" s="29"/>
      <c r="EE1330" s="29"/>
      <c r="EF1330" s="29"/>
      <c r="EG1330" s="29"/>
      <c r="EH1330" s="29"/>
      <c r="EI1330" s="29"/>
      <c r="EJ1330" s="29"/>
      <c r="EK1330" s="29"/>
      <c r="EL1330" s="29"/>
      <c r="EM1330" s="29"/>
      <c r="EN1330" s="29"/>
      <c r="EO1330" s="29"/>
      <c r="EP1330" s="29"/>
      <c r="EQ1330" s="29"/>
      <c r="ER1330" s="29"/>
      <c r="ES1330" s="29"/>
      <c r="ET1330" s="29"/>
      <c r="EU1330" s="29"/>
      <c r="EV1330" s="29"/>
      <c r="EW1330" s="29"/>
      <c r="EX1330" s="29"/>
      <c r="EY1330" s="29"/>
      <c r="EZ1330" s="29"/>
      <c r="FA1330" s="29"/>
      <c r="FB1330" s="29"/>
      <c r="FC1330" s="29"/>
      <c r="FD1330" s="29"/>
      <c r="FE1330" s="29"/>
      <c r="FF1330" s="29"/>
      <c r="FG1330" s="29"/>
      <c r="FH1330" s="29"/>
      <c r="FI1330" s="29"/>
      <c r="FJ1330" s="29"/>
      <c r="FK1330" s="29"/>
      <c r="FL1330" s="29"/>
      <c r="FM1330" s="29"/>
      <c r="FN1330" s="29"/>
      <c r="FO1330" s="29"/>
      <c r="FP1330" s="29"/>
      <c r="FQ1330" s="29"/>
      <c r="FR1330" s="29"/>
      <c r="FS1330" s="29"/>
      <c r="FT1330" s="29"/>
      <c r="FU1330" s="29"/>
      <c r="FV1330" s="29"/>
      <c r="FW1330" s="29"/>
      <c r="FX1330" s="29"/>
      <c r="FY1330" s="29"/>
      <c r="FZ1330" s="29"/>
      <c r="GA1330" s="29"/>
      <c r="GB1330" s="29"/>
      <c r="GC1330" s="29"/>
      <c r="GD1330" s="29"/>
      <c r="GE1330" s="29"/>
      <c r="GF1330" s="29"/>
      <c r="GG1330" s="29"/>
      <c r="GH1330" s="29"/>
      <c r="GI1330" s="29"/>
      <c r="GJ1330" s="29"/>
      <c r="GK1330" s="29"/>
      <c r="GL1330" s="29"/>
      <c r="GM1330" s="29"/>
      <c r="GN1330" s="29"/>
      <c r="GO1330" s="29"/>
      <c r="GP1330" s="29"/>
      <c r="GQ1330" s="29"/>
      <c r="GR1330" s="29"/>
      <c r="GS1330" s="29"/>
      <c r="GT1330" s="29"/>
      <c r="GU1330" s="29"/>
      <c r="GV1330" s="29"/>
      <c r="GW1330" s="29"/>
      <c r="GX1330" s="29"/>
      <c r="GY1330" s="29"/>
      <c r="GZ1330" s="29"/>
      <c r="HA1330" s="29"/>
      <c r="HB1330" s="29"/>
      <c r="HC1330" s="29"/>
      <c r="HD1330" s="29"/>
      <c r="HE1330" s="29"/>
      <c r="HF1330" s="29"/>
      <c r="HG1330" s="29"/>
      <c r="HH1330" s="29"/>
      <c r="HI1330" s="29"/>
      <c r="HJ1330" s="29"/>
      <c r="HK1330" s="29"/>
      <c r="HL1330" s="29"/>
      <c r="HM1330" s="29"/>
      <c r="HN1330" s="29"/>
      <c r="HO1330" s="29"/>
      <c r="HP1330" s="29"/>
      <c r="HQ1330" s="29"/>
      <c r="HR1330" s="29"/>
      <c r="HS1330" s="29"/>
      <c r="HT1330" s="29"/>
      <c r="HU1330" s="29"/>
      <c r="HV1330" s="29"/>
      <c r="HW1330" s="29"/>
      <c r="HX1330" s="29"/>
      <c r="HY1330" s="29"/>
      <c r="HZ1330" s="29"/>
      <c r="IA1330" s="29"/>
      <c r="IB1330" s="29"/>
      <c r="IC1330" s="29"/>
      <c r="ID1330" s="29"/>
      <c r="IE1330" s="29"/>
      <c r="IF1330" s="29"/>
      <c r="IG1330" s="29"/>
      <c r="IH1330" s="29"/>
      <c r="II1330" s="29"/>
      <c r="IJ1330" s="29"/>
      <c r="IK1330" s="29"/>
      <c r="IL1330" s="29"/>
      <c r="IM1330" s="29"/>
      <c r="IN1330" s="29"/>
      <c r="IO1330" s="29"/>
      <c r="IP1330" s="29"/>
      <c r="IQ1330" s="29"/>
      <c r="IR1330" s="29"/>
      <c r="IS1330" s="29"/>
      <c r="IT1330" s="29"/>
      <c r="IU1330" s="29"/>
      <c r="IV1330" s="29"/>
      <c r="IW1330" s="29"/>
      <c r="IX1330" s="29"/>
      <c r="IY1330" s="29"/>
      <c r="IZ1330" s="29"/>
      <c r="JA1330" s="29"/>
      <c r="JB1330" s="29"/>
      <c r="JC1330" s="29"/>
      <c r="JD1330" s="29"/>
      <c r="JE1330" s="29"/>
      <c r="JF1330" s="29"/>
      <c r="JG1330" s="29"/>
      <c r="JH1330" s="29"/>
      <c r="JI1330" s="29"/>
      <c r="JJ1330" s="29"/>
      <c r="JK1330" s="29"/>
      <c r="JL1330" s="29"/>
      <c r="JM1330" s="29"/>
      <c r="JN1330" s="29"/>
      <c r="JO1330" s="29"/>
      <c r="JP1330" s="29"/>
      <c r="JQ1330" s="29"/>
      <c r="JR1330" s="29"/>
      <c r="JS1330" s="29"/>
      <c r="JT1330" s="29"/>
      <c r="JU1330" s="29"/>
      <c r="JV1330" s="29"/>
      <c r="JW1330" s="29"/>
      <c r="JX1330" s="29"/>
      <c r="JY1330" s="29"/>
      <c r="JZ1330" s="29"/>
      <c r="KA1330" s="29"/>
      <c r="KB1330" s="29"/>
      <c r="KC1330" s="29"/>
      <c r="KD1330" s="29"/>
      <c r="KE1330" s="29"/>
      <c r="KF1330" s="29"/>
      <c r="KG1330" s="29"/>
      <c r="KH1330" s="29"/>
      <c r="KI1330" s="29"/>
      <c r="KJ1330" s="29"/>
      <c r="KK1330" s="29"/>
      <c r="KL1330" s="29"/>
      <c r="KM1330" s="29"/>
      <c r="KN1330" s="29"/>
      <c r="KO1330" s="29"/>
      <c r="KP1330" s="29"/>
      <c r="KQ1330" s="29"/>
      <c r="KR1330" s="29"/>
      <c r="KS1330" s="29"/>
      <c r="KT1330" s="29"/>
      <c r="KU1330" s="29"/>
      <c r="KV1330" s="29"/>
      <c r="KW1330" s="29"/>
      <c r="KX1330" s="29"/>
      <c r="KY1330" s="29"/>
      <c r="KZ1330" s="29"/>
      <c r="LA1330" s="29"/>
      <c r="LB1330" s="29"/>
      <c r="LC1330" s="29"/>
      <c r="LD1330" s="29"/>
      <c r="LE1330" s="29"/>
      <c r="LF1330" s="29"/>
      <c r="LG1330" s="29"/>
      <c r="LH1330" s="29"/>
      <c r="LI1330" s="29"/>
      <c r="LJ1330" s="29"/>
      <c r="LK1330" s="29"/>
      <c r="LL1330" s="29"/>
      <c r="LM1330" s="29"/>
      <c r="LN1330" s="29"/>
      <c r="LO1330" s="29"/>
      <c r="LP1330" s="29"/>
      <c r="LQ1330" s="29"/>
      <c r="LR1330" s="29"/>
      <c r="LS1330" s="29"/>
      <c r="LT1330" s="29"/>
      <c r="LU1330" s="29"/>
      <c r="LV1330" s="29"/>
      <c r="LW1330" s="29"/>
      <c r="LX1330" s="29"/>
      <c r="LY1330" s="29"/>
      <c r="LZ1330" s="29"/>
      <c r="MA1330" s="29"/>
      <c r="MB1330" s="29"/>
      <c r="MC1330" s="29"/>
      <c r="MD1330" s="29"/>
      <c r="ME1330" s="29"/>
      <c r="MF1330" s="29"/>
      <c r="MG1330" s="29"/>
      <c r="MH1330" s="29"/>
      <c r="MI1330" s="29"/>
      <c r="MJ1330" s="29"/>
      <c r="MK1330" s="29"/>
      <c r="ML1330" s="29"/>
      <c r="MM1330" s="29"/>
      <c r="MN1330" s="29"/>
      <c r="MO1330" s="29"/>
      <c r="MP1330" s="29"/>
      <c r="MQ1330" s="29"/>
      <c r="MR1330" s="29"/>
      <c r="MS1330" s="29"/>
      <c r="MT1330" s="29"/>
      <c r="MU1330" s="29"/>
      <c r="MV1330" s="29"/>
      <c r="MW1330" s="29"/>
      <c r="MX1330" s="29"/>
      <c r="MY1330" s="29"/>
      <c r="MZ1330" s="29"/>
      <c r="NA1330" s="29"/>
      <c r="NB1330" s="29"/>
      <c r="NC1330" s="29"/>
      <c r="ND1330" s="29"/>
      <c r="NE1330" s="29"/>
      <c r="NF1330" s="29"/>
      <c r="NG1330" s="29"/>
      <c r="NH1330" s="29"/>
      <c r="NI1330" s="29"/>
      <c r="NJ1330" s="29"/>
      <c r="NK1330" s="29"/>
      <c r="NL1330" s="29"/>
      <c r="NM1330" s="29"/>
      <c r="NN1330" s="29"/>
      <c r="NO1330" s="29"/>
      <c r="NP1330" s="29"/>
      <c r="NQ1330" s="29"/>
      <c r="NR1330" s="29"/>
      <c r="NS1330" s="29"/>
      <c r="NT1330" s="29"/>
      <c r="NU1330" s="29"/>
      <c r="NV1330" s="29"/>
      <c r="NW1330" s="29"/>
      <c r="NX1330" s="29"/>
      <c r="NY1330" s="29"/>
      <c r="NZ1330" s="29"/>
      <c r="OA1330" s="29"/>
      <c r="OB1330" s="29"/>
      <c r="OC1330" s="29"/>
      <c r="OD1330" s="29"/>
      <c r="OE1330" s="29"/>
      <c r="OF1330" s="29"/>
      <c r="OG1330" s="29"/>
      <c r="OH1330" s="29"/>
      <c r="OI1330" s="29"/>
      <c r="OJ1330" s="29"/>
      <c r="OK1330" s="29"/>
      <c r="OL1330" s="29"/>
      <c r="OM1330" s="29"/>
      <c r="ON1330" s="29"/>
      <c r="OO1330" s="29"/>
      <c r="OP1330" s="29"/>
      <c r="OQ1330" s="29"/>
      <c r="OR1330" s="29"/>
      <c r="OS1330" s="29"/>
      <c r="OT1330" s="29"/>
      <c r="OU1330" s="29"/>
      <c r="OV1330" s="29"/>
      <c r="OW1330" s="29"/>
      <c r="OX1330" s="29"/>
      <c r="OY1330" s="29"/>
      <c r="OZ1330" s="29"/>
      <c r="PA1330" s="29"/>
      <c r="PB1330" s="29"/>
      <c r="PC1330" s="29"/>
      <c r="PD1330" s="29"/>
      <c r="PE1330" s="29"/>
      <c r="PF1330" s="29"/>
      <c r="PG1330" s="29"/>
      <c r="PH1330" s="29"/>
      <c r="PI1330" s="29"/>
      <c r="PJ1330" s="29"/>
      <c r="PK1330" s="29"/>
      <c r="PL1330" s="29"/>
      <c r="PM1330" s="29"/>
      <c r="PN1330" s="29"/>
      <c r="PO1330" s="29"/>
      <c r="PP1330" s="29"/>
      <c r="PQ1330" s="29"/>
      <c r="PR1330" s="29"/>
      <c r="PS1330" s="29"/>
      <c r="PT1330" s="29"/>
      <c r="PU1330" s="29"/>
      <c r="PV1330" s="29"/>
      <c r="PW1330" s="29"/>
      <c r="PX1330" s="29"/>
      <c r="PY1330" s="29"/>
      <c r="PZ1330" s="29"/>
      <c r="QA1330" s="29"/>
      <c r="QB1330" s="29"/>
      <c r="QC1330" s="29"/>
      <c r="QD1330" s="29"/>
      <c r="QE1330" s="29"/>
      <c r="QF1330" s="29"/>
      <c r="QG1330" s="29"/>
      <c r="QH1330" s="29"/>
      <c r="QI1330" s="29"/>
      <c r="QJ1330" s="29"/>
      <c r="QK1330" s="29"/>
      <c r="QL1330" s="29"/>
      <c r="QM1330" s="29"/>
      <c r="QN1330" s="29"/>
      <c r="QO1330" s="29"/>
      <c r="QP1330" s="29"/>
      <c r="QQ1330" s="29"/>
      <c r="QR1330" s="29"/>
      <c r="QS1330" s="29"/>
      <c r="QT1330" s="29"/>
      <c r="QU1330" s="29"/>
      <c r="QV1330" s="29"/>
      <c r="QW1330" s="29"/>
      <c r="QX1330" s="29"/>
      <c r="QY1330" s="29"/>
      <c r="QZ1330" s="29"/>
      <c r="RA1330" s="29"/>
      <c r="RB1330" s="29"/>
      <c r="RC1330" s="29"/>
      <c r="RD1330" s="29"/>
      <c r="RE1330" s="29"/>
      <c r="RF1330" s="29"/>
      <c r="RG1330" s="29"/>
      <c r="RH1330" s="29"/>
      <c r="RI1330" s="29"/>
      <c r="RJ1330" s="29"/>
      <c r="RK1330" s="29"/>
      <c r="RL1330" s="29"/>
      <c r="RM1330" s="29"/>
      <c r="RN1330" s="29"/>
      <c r="RO1330" s="29"/>
      <c r="RP1330" s="29"/>
      <c r="RQ1330" s="29"/>
      <c r="RR1330" s="29"/>
      <c r="RS1330" s="29"/>
      <c r="RT1330" s="29"/>
      <c r="RU1330" s="29"/>
      <c r="RV1330" s="29"/>
      <c r="RW1330" s="29"/>
      <c r="RX1330" s="29"/>
      <c r="RY1330" s="29"/>
      <c r="RZ1330" s="29"/>
      <c r="SA1330" s="29"/>
      <c r="SB1330" s="29"/>
      <c r="SC1330" s="29"/>
      <c r="SD1330" s="29"/>
      <c r="SE1330" s="29"/>
      <c r="SF1330" s="29"/>
      <c r="SG1330" s="29"/>
      <c r="SH1330" s="29"/>
      <c r="SI1330" s="29"/>
      <c r="SJ1330" s="29"/>
      <c r="SK1330" s="29"/>
      <c r="SL1330" s="29"/>
      <c r="SM1330" s="29"/>
      <c r="SN1330" s="29"/>
      <c r="SO1330" s="29"/>
      <c r="SP1330" s="29"/>
      <c r="SQ1330" s="29"/>
      <c r="SR1330" s="29"/>
      <c r="SS1330" s="29"/>
      <c r="ST1330" s="29"/>
      <c r="SU1330" s="29"/>
      <c r="SV1330" s="29"/>
      <c r="SW1330" s="29"/>
      <c r="SX1330" s="29"/>
      <c r="SY1330" s="29"/>
      <c r="SZ1330" s="29"/>
      <c r="TA1330" s="29"/>
      <c r="TB1330" s="29"/>
      <c r="TC1330" s="29"/>
      <c r="TD1330" s="29"/>
      <c r="TE1330" s="29"/>
      <c r="TF1330" s="29"/>
      <c r="TG1330" s="29"/>
      <c r="TH1330" s="29"/>
      <c r="TI1330" s="29"/>
      <c r="TJ1330" s="29"/>
      <c r="TK1330" s="29"/>
      <c r="TL1330" s="29"/>
      <c r="TM1330" s="29"/>
      <c r="TN1330" s="29"/>
      <c r="TO1330" s="29"/>
      <c r="TP1330" s="29"/>
      <c r="TQ1330" s="29"/>
      <c r="TR1330" s="29"/>
      <c r="TS1330" s="29"/>
      <c r="TT1330" s="29"/>
      <c r="TU1330" s="29"/>
      <c r="TV1330" s="29"/>
      <c r="TW1330" s="29"/>
      <c r="TX1330" s="29"/>
      <c r="TY1330" s="29"/>
      <c r="TZ1330" s="29"/>
      <c r="UA1330" s="29"/>
      <c r="UB1330" s="29"/>
      <c r="UC1330" s="29"/>
      <c r="UD1330" s="29"/>
      <c r="UE1330" s="29"/>
      <c r="UF1330" s="29"/>
      <c r="UG1330" s="29"/>
    </row>
    <row r="1331" spans="1:553" ht="34.9" customHeight="1">
      <c r="A1331" s="356"/>
      <c r="B1331" s="356"/>
      <c r="C1331" s="1394" t="s">
        <v>1047</v>
      </c>
      <c r="D1331" s="1395"/>
      <c r="E1331" s="1395"/>
      <c r="F1331" s="1396"/>
      <c r="G1331" s="366"/>
      <c r="H1331" s="370"/>
      <c r="I1331" s="359"/>
      <c r="J1331" s="368"/>
      <c r="K1331" s="419"/>
      <c r="L1331" s="645"/>
      <c r="M1331" s="356"/>
      <c r="N1331" s="356"/>
      <c r="O1331" s="356"/>
      <c r="P1331" s="356"/>
      <c r="Q1331" s="610"/>
      <c r="R1331" s="1226"/>
      <c r="S1331" s="308"/>
      <c r="T1331" s="308"/>
      <c r="U1331" s="308"/>
      <c r="V1331" s="308"/>
      <c r="W1331" s="308"/>
      <c r="X1331" s="308"/>
      <c r="Y1331" s="308"/>
      <c r="Z1331" s="604"/>
      <c r="AA1331" s="308"/>
      <c r="AB1331" s="308"/>
      <c r="AC1331" s="486"/>
      <c r="AD1331" s="486"/>
      <c r="AE1331" s="486"/>
      <c r="AF1331" s="486"/>
      <c r="AG1331" s="486"/>
      <c r="AH1331" s="486"/>
      <c r="AI1331" s="486"/>
      <c r="AJ1331" s="486"/>
      <c r="AK1331" s="486"/>
      <c r="AL1331" s="206"/>
      <c r="AM1331" s="29"/>
      <c r="AN1331" s="29"/>
      <c r="AO1331" s="29"/>
      <c r="AP1331" s="29"/>
      <c r="AQ1331" s="29"/>
      <c r="AR1331" s="29"/>
      <c r="AS1331" s="29"/>
      <c r="AT1331" s="29"/>
      <c r="AU1331" s="29"/>
      <c r="AV1331" s="29"/>
      <c r="AW1331" s="29"/>
      <c r="AX1331" s="29"/>
      <c r="AY1331" s="29"/>
      <c r="AZ1331" s="29"/>
      <c r="BA1331" s="29"/>
      <c r="BB1331" s="29"/>
      <c r="BC1331" s="29"/>
      <c r="BD1331" s="29"/>
      <c r="BE1331" s="29"/>
      <c r="BF1331" s="29"/>
      <c r="BG1331" s="29"/>
      <c r="BH1331" s="29"/>
      <c r="BI1331" s="29"/>
      <c r="BJ1331" s="29"/>
      <c r="BK1331" s="29"/>
      <c r="BL1331" s="29"/>
      <c r="BM1331" s="29"/>
      <c r="BN1331" s="29"/>
      <c r="BO1331" s="29"/>
      <c r="BP1331" s="29"/>
      <c r="BQ1331" s="29"/>
      <c r="BR1331" s="29"/>
      <c r="BS1331" s="29"/>
      <c r="BT1331" s="29"/>
      <c r="BU1331" s="29"/>
      <c r="BV1331" s="29"/>
      <c r="BW1331" s="29"/>
      <c r="BX1331" s="29"/>
      <c r="BY1331" s="29"/>
      <c r="BZ1331" s="29"/>
      <c r="CA1331" s="29"/>
      <c r="CB1331" s="29"/>
      <c r="CC1331" s="29"/>
      <c r="CD1331" s="29"/>
      <c r="CE1331" s="29"/>
      <c r="CF1331" s="29"/>
      <c r="CG1331" s="29"/>
      <c r="CH1331" s="29"/>
      <c r="CI1331" s="29"/>
      <c r="CJ1331" s="29"/>
      <c r="CK1331" s="29"/>
      <c r="CL1331" s="29"/>
      <c r="CM1331" s="29"/>
      <c r="CN1331" s="29"/>
      <c r="CO1331" s="29"/>
      <c r="CP1331" s="29"/>
      <c r="CQ1331" s="29"/>
      <c r="CR1331" s="29"/>
      <c r="CS1331" s="29"/>
      <c r="CT1331" s="29"/>
      <c r="CU1331" s="29"/>
      <c r="CV1331" s="29"/>
      <c r="CW1331" s="29"/>
      <c r="CX1331" s="29"/>
      <c r="CY1331" s="29"/>
      <c r="CZ1331" s="29"/>
      <c r="DA1331" s="29"/>
      <c r="DB1331" s="29"/>
      <c r="DC1331" s="29"/>
      <c r="DD1331" s="29"/>
      <c r="DE1331" s="29"/>
      <c r="DF1331" s="29"/>
      <c r="DG1331" s="29"/>
      <c r="DH1331" s="29"/>
      <c r="DI1331" s="29"/>
      <c r="DJ1331" s="29"/>
      <c r="DK1331" s="29"/>
      <c r="DL1331" s="29"/>
      <c r="DM1331" s="29"/>
      <c r="DN1331" s="29"/>
      <c r="DO1331" s="29"/>
      <c r="DP1331" s="29"/>
      <c r="DQ1331" s="29"/>
      <c r="DR1331" s="29"/>
      <c r="DS1331" s="29"/>
      <c r="DT1331" s="29"/>
      <c r="DU1331" s="29"/>
      <c r="DV1331" s="29"/>
      <c r="DW1331" s="29"/>
      <c r="DX1331" s="29"/>
      <c r="DY1331" s="29"/>
      <c r="DZ1331" s="29"/>
      <c r="EA1331" s="29"/>
      <c r="EB1331" s="29"/>
      <c r="EC1331" s="29"/>
      <c r="ED1331" s="29"/>
      <c r="EE1331" s="29"/>
      <c r="EF1331" s="29"/>
      <c r="EG1331" s="29"/>
      <c r="EH1331" s="29"/>
      <c r="EI1331" s="29"/>
      <c r="EJ1331" s="29"/>
      <c r="EK1331" s="29"/>
      <c r="EL1331" s="29"/>
      <c r="EM1331" s="29"/>
      <c r="EN1331" s="29"/>
      <c r="EO1331" s="29"/>
      <c r="EP1331" s="29"/>
      <c r="EQ1331" s="29"/>
      <c r="ER1331" s="29"/>
      <c r="ES1331" s="29"/>
      <c r="ET1331" s="29"/>
      <c r="EU1331" s="29"/>
      <c r="EV1331" s="29"/>
      <c r="EW1331" s="29"/>
      <c r="EX1331" s="29"/>
      <c r="EY1331" s="29"/>
      <c r="EZ1331" s="29"/>
      <c r="FA1331" s="29"/>
      <c r="FB1331" s="29"/>
      <c r="FC1331" s="29"/>
      <c r="FD1331" s="29"/>
      <c r="FE1331" s="29"/>
      <c r="FF1331" s="29"/>
      <c r="FG1331" s="29"/>
      <c r="FH1331" s="29"/>
      <c r="FI1331" s="29"/>
      <c r="FJ1331" s="29"/>
      <c r="FK1331" s="29"/>
      <c r="FL1331" s="29"/>
      <c r="FM1331" s="29"/>
      <c r="FN1331" s="29"/>
      <c r="FO1331" s="29"/>
      <c r="FP1331" s="29"/>
      <c r="FQ1331" s="29"/>
      <c r="FR1331" s="29"/>
      <c r="FS1331" s="29"/>
      <c r="FT1331" s="29"/>
      <c r="FU1331" s="29"/>
      <c r="FV1331" s="29"/>
      <c r="FW1331" s="29"/>
      <c r="FX1331" s="29"/>
      <c r="FY1331" s="29"/>
      <c r="FZ1331" s="29"/>
      <c r="GA1331" s="29"/>
      <c r="GB1331" s="29"/>
      <c r="GC1331" s="29"/>
      <c r="GD1331" s="29"/>
      <c r="GE1331" s="29"/>
      <c r="GF1331" s="29"/>
      <c r="GG1331" s="29"/>
      <c r="GH1331" s="29"/>
      <c r="GI1331" s="29"/>
      <c r="GJ1331" s="29"/>
      <c r="GK1331" s="29"/>
      <c r="GL1331" s="29"/>
      <c r="GM1331" s="29"/>
      <c r="GN1331" s="29"/>
      <c r="GO1331" s="29"/>
      <c r="GP1331" s="29"/>
      <c r="GQ1331" s="29"/>
      <c r="GR1331" s="29"/>
      <c r="GS1331" s="29"/>
      <c r="GT1331" s="29"/>
      <c r="GU1331" s="29"/>
      <c r="GV1331" s="29"/>
      <c r="GW1331" s="29"/>
      <c r="GX1331" s="29"/>
      <c r="GY1331" s="29"/>
      <c r="GZ1331" s="29"/>
      <c r="HA1331" s="29"/>
      <c r="HB1331" s="29"/>
      <c r="HC1331" s="29"/>
      <c r="HD1331" s="29"/>
      <c r="HE1331" s="29"/>
      <c r="HF1331" s="29"/>
      <c r="HG1331" s="29"/>
      <c r="HH1331" s="29"/>
      <c r="HI1331" s="29"/>
      <c r="HJ1331" s="29"/>
      <c r="HK1331" s="29"/>
      <c r="HL1331" s="29"/>
      <c r="HM1331" s="29"/>
      <c r="HN1331" s="29"/>
      <c r="HO1331" s="29"/>
      <c r="HP1331" s="29"/>
      <c r="HQ1331" s="29"/>
      <c r="HR1331" s="29"/>
      <c r="HS1331" s="29"/>
      <c r="HT1331" s="29"/>
      <c r="HU1331" s="29"/>
      <c r="HV1331" s="29"/>
      <c r="HW1331" s="29"/>
      <c r="HX1331" s="29"/>
      <c r="HY1331" s="29"/>
      <c r="HZ1331" s="29"/>
      <c r="IA1331" s="29"/>
      <c r="IB1331" s="29"/>
      <c r="IC1331" s="29"/>
      <c r="ID1331" s="29"/>
      <c r="IE1331" s="29"/>
      <c r="IF1331" s="29"/>
      <c r="IG1331" s="29"/>
      <c r="IH1331" s="29"/>
      <c r="II1331" s="29"/>
      <c r="IJ1331" s="29"/>
      <c r="IK1331" s="29"/>
      <c r="IL1331" s="29"/>
      <c r="IM1331" s="29"/>
      <c r="IN1331" s="29"/>
      <c r="IO1331" s="29"/>
      <c r="IP1331" s="29"/>
      <c r="IQ1331" s="29"/>
      <c r="IR1331" s="29"/>
      <c r="IS1331" s="29"/>
      <c r="IT1331" s="29"/>
      <c r="IU1331" s="29"/>
      <c r="IV1331" s="29"/>
      <c r="IW1331" s="29"/>
      <c r="IX1331" s="29"/>
      <c r="IY1331" s="29"/>
      <c r="IZ1331" s="29"/>
      <c r="JA1331" s="29"/>
      <c r="JB1331" s="29"/>
      <c r="JC1331" s="29"/>
      <c r="JD1331" s="29"/>
      <c r="JE1331" s="29"/>
      <c r="JF1331" s="29"/>
      <c r="JG1331" s="29"/>
      <c r="JH1331" s="29"/>
      <c r="JI1331" s="29"/>
      <c r="JJ1331" s="29"/>
      <c r="JK1331" s="29"/>
      <c r="JL1331" s="29"/>
      <c r="JM1331" s="29"/>
      <c r="JN1331" s="29"/>
      <c r="JO1331" s="29"/>
      <c r="JP1331" s="29"/>
      <c r="JQ1331" s="29"/>
      <c r="JR1331" s="29"/>
      <c r="JS1331" s="29"/>
      <c r="JT1331" s="29"/>
      <c r="JU1331" s="29"/>
      <c r="JV1331" s="29"/>
      <c r="JW1331" s="29"/>
      <c r="JX1331" s="29"/>
      <c r="JY1331" s="29"/>
      <c r="JZ1331" s="29"/>
      <c r="KA1331" s="29"/>
      <c r="KB1331" s="29"/>
      <c r="KC1331" s="29"/>
      <c r="KD1331" s="29"/>
      <c r="KE1331" s="29"/>
      <c r="KF1331" s="29"/>
      <c r="KG1331" s="29"/>
      <c r="KH1331" s="29"/>
      <c r="KI1331" s="29"/>
      <c r="KJ1331" s="29"/>
      <c r="KK1331" s="29"/>
      <c r="KL1331" s="29"/>
      <c r="KM1331" s="29"/>
      <c r="KN1331" s="29"/>
      <c r="KO1331" s="29"/>
      <c r="KP1331" s="29"/>
      <c r="KQ1331" s="29"/>
      <c r="KR1331" s="29"/>
      <c r="KS1331" s="29"/>
      <c r="KT1331" s="29"/>
      <c r="KU1331" s="29"/>
      <c r="KV1331" s="29"/>
      <c r="KW1331" s="29"/>
      <c r="KX1331" s="29"/>
      <c r="KY1331" s="29"/>
      <c r="KZ1331" s="29"/>
      <c r="LA1331" s="29"/>
      <c r="LB1331" s="29"/>
      <c r="LC1331" s="29"/>
      <c r="LD1331" s="29"/>
      <c r="LE1331" s="29"/>
      <c r="LF1331" s="29"/>
      <c r="LG1331" s="29"/>
      <c r="LH1331" s="29"/>
      <c r="LI1331" s="29"/>
      <c r="LJ1331" s="29"/>
      <c r="LK1331" s="29"/>
      <c r="LL1331" s="29"/>
      <c r="LM1331" s="29"/>
      <c r="LN1331" s="29"/>
      <c r="LO1331" s="29"/>
      <c r="LP1331" s="29"/>
      <c r="LQ1331" s="29"/>
      <c r="LR1331" s="29"/>
      <c r="LS1331" s="29"/>
      <c r="LT1331" s="29"/>
      <c r="LU1331" s="29"/>
      <c r="LV1331" s="29"/>
      <c r="LW1331" s="29"/>
      <c r="LX1331" s="29"/>
      <c r="LY1331" s="29"/>
      <c r="LZ1331" s="29"/>
      <c r="MA1331" s="29"/>
      <c r="MB1331" s="29"/>
      <c r="MC1331" s="29"/>
      <c r="MD1331" s="29"/>
      <c r="ME1331" s="29"/>
      <c r="MF1331" s="29"/>
      <c r="MG1331" s="29"/>
      <c r="MH1331" s="29"/>
      <c r="MI1331" s="29"/>
      <c r="MJ1331" s="29"/>
      <c r="MK1331" s="29"/>
      <c r="ML1331" s="29"/>
      <c r="MM1331" s="29"/>
      <c r="MN1331" s="29"/>
      <c r="MO1331" s="29"/>
      <c r="MP1331" s="29"/>
      <c r="MQ1331" s="29"/>
      <c r="MR1331" s="29"/>
      <c r="MS1331" s="29"/>
      <c r="MT1331" s="29"/>
      <c r="MU1331" s="29"/>
      <c r="MV1331" s="29"/>
      <c r="MW1331" s="29"/>
      <c r="MX1331" s="29"/>
      <c r="MY1331" s="29"/>
      <c r="MZ1331" s="29"/>
      <c r="NA1331" s="29"/>
      <c r="NB1331" s="29"/>
      <c r="NC1331" s="29"/>
      <c r="ND1331" s="29"/>
      <c r="NE1331" s="29"/>
      <c r="NF1331" s="29"/>
      <c r="NG1331" s="29"/>
      <c r="NH1331" s="29"/>
      <c r="NI1331" s="29"/>
      <c r="NJ1331" s="29"/>
      <c r="NK1331" s="29"/>
      <c r="NL1331" s="29"/>
      <c r="NM1331" s="29"/>
      <c r="NN1331" s="29"/>
      <c r="NO1331" s="29"/>
      <c r="NP1331" s="29"/>
      <c r="NQ1331" s="29"/>
      <c r="NR1331" s="29"/>
      <c r="NS1331" s="29"/>
      <c r="NT1331" s="29"/>
      <c r="NU1331" s="29"/>
      <c r="NV1331" s="29"/>
      <c r="NW1331" s="29"/>
      <c r="NX1331" s="29"/>
      <c r="NY1331" s="29"/>
      <c r="NZ1331" s="29"/>
      <c r="OA1331" s="29"/>
      <c r="OB1331" s="29"/>
      <c r="OC1331" s="29"/>
      <c r="OD1331" s="29"/>
      <c r="OE1331" s="29"/>
      <c r="OF1331" s="29"/>
      <c r="OG1331" s="29"/>
      <c r="OH1331" s="29"/>
      <c r="OI1331" s="29"/>
      <c r="OJ1331" s="29"/>
      <c r="OK1331" s="29"/>
      <c r="OL1331" s="29"/>
      <c r="OM1331" s="29"/>
      <c r="ON1331" s="29"/>
      <c r="OO1331" s="29"/>
      <c r="OP1331" s="29"/>
      <c r="OQ1331" s="29"/>
      <c r="OR1331" s="29"/>
      <c r="OS1331" s="29"/>
      <c r="OT1331" s="29"/>
      <c r="OU1331" s="29"/>
      <c r="OV1331" s="29"/>
      <c r="OW1331" s="29"/>
      <c r="OX1331" s="29"/>
      <c r="OY1331" s="29"/>
      <c r="OZ1331" s="29"/>
      <c r="PA1331" s="29"/>
      <c r="PB1331" s="29"/>
      <c r="PC1331" s="29"/>
      <c r="PD1331" s="29"/>
      <c r="PE1331" s="29"/>
      <c r="PF1331" s="29"/>
      <c r="PG1331" s="29"/>
      <c r="PH1331" s="29"/>
      <c r="PI1331" s="29"/>
      <c r="PJ1331" s="29"/>
      <c r="PK1331" s="29"/>
      <c r="PL1331" s="29"/>
      <c r="PM1331" s="29"/>
      <c r="PN1331" s="29"/>
      <c r="PO1331" s="29"/>
      <c r="PP1331" s="29"/>
      <c r="PQ1331" s="29"/>
      <c r="PR1331" s="29"/>
      <c r="PS1331" s="29"/>
      <c r="PT1331" s="29"/>
      <c r="PU1331" s="29"/>
      <c r="PV1331" s="29"/>
      <c r="PW1331" s="29"/>
      <c r="PX1331" s="29"/>
      <c r="PY1331" s="29"/>
      <c r="PZ1331" s="29"/>
      <c r="QA1331" s="29"/>
      <c r="QB1331" s="29"/>
      <c r="QC1331" s="29"/>
      <c r="QD1331" s="29"/>
      <c r="QE1331" s="29"/>
      <c r="QF1331" s="29"/>
      <c r="QG1331" s="29"/>
      <c r="QH1331" s="29"/>
      <c r="QI1331" s="29"/>
      <c r="QJ1331" s="29"/>
      <c r="QK1331" s="29"/>
      <c r="QL1331" s="29"/>
      <c r="QM1331" s="29"/>
      <c r="QN1331" s="29"/>
      <c r="QO1331" s="29"/>
      <c r="QP1331" s="29"/>
      <c r="QQ1331" s="29"/>
      <c r="QR1331" s="29"/>
      <c r="QS1331" s="29"/>
      <c r="QT1331" s="29"/>
      <c r="QU1331" s="29"/>
      <c r="QV1331" s="29"/>
      <c r="QW1331" s="29"/>
      <c r="QX1331" s="29"/>
      <c r="QY1331" s="29"/>
      <c r="QZ1331" s="29"/>
      <c r="RA1331" s="29"/>
      <c r="RB1331" s="29"/>
      <c r="RC1331" s="29"/>
      <c r="RD1331" s="29"/>
      <c r="RE1331" s="29"/>
      <c r="RF1331" s="29"/>
      <c r="RG1331" s="29"/>
      <c r="RH1331" s="29"/>
      <c r="RI1331" s="29"/>
      <c r="RJ1331" s="29"/>
      <c r="RK1331" s="29"/>
      <c r="RL1331" s="29"/>
      <c r="RM1331" s="29"/>
      <c r="RN1331" s="29"/>
      <c r="RO1331" s="29"/>
      <c r="RP1331" s="29"/>
      <c r="RQ1331" s="29"/>
      <c r="RR1331" s="29"/>
      <c r="RS1331" s="29"/>
      <c r="RT1331" s="29"/>
      <c r="RU1331" s="29"/>
      <c r="RV1331" s="29"/>
      <c r="RW1331" s="29"/>
      <c r="RX1331" s="29"/>
      <c r="RY1331" s="29"/>
      <c r="RZ1331" s="29"/>
      <c r="SA1331" s="29"/>
      <c r="SB1331" s="29"/>
      <c r="SC1331" s="29"/>
      <c r="SD1331" s="29"/>
      <c r="SE1331" s="29"/>
      <c r="SF1331" s="29"/>
      <c r="SG1331" s="29"/>
      <c r="SH1331" s="29"/>
      <c r="SI1331" s="29"/>
      <c r="SJ1331" s="29"/>
      <c r="SK1331" s="29"/>
      <c r="SL1331" s="29"/>
      <c r="SM1331" s="29"/>
      <c r="SN1331" s="29"/>
      <c r="SO1331" s="29"/>
      <c r="SP1331" s="29"/>
      <c r="SQ1331" s="29"/>
      <c r="SR1331" s="29"/>
      <c r="SS1331" s="29"/>
      <c r="ST1331" s="29"/>
      <c r="SU1331" s="29"/>
      <c r="SV1331" s="29"/>
      <c r="SW1331" s="29"/>
      <c r="SX1331" s="29"/>
      <c r="SY1331" s="29"/>
      <c r="SZ1331" s="29"/>
      <c r="TA1331" s="29"/>
      <c r="TB1331" s="29"/>
      <c r="TC1331" s="29"/>
      <c r="TD1331" s="29"/>
      <c r="TE1331" s="29"/>
      <c r="TF1331" s="29"/>
      <c r="TG1331" s="29"/>
      <c r="TH1331" s="29"/>
      <c r="TI1331" s="29"/>
      <c r="TJ1331" s="29"/>
      <c r="TK1331" s="29"/>
      <c r="TL1331" s="29"/>
      <c r="TM1331" s="29"/>
      <c r="TN1331" s="29"/>
      <c r="TO1331" s="29"/>
      <c r="TP1331" s="29"/>
      <c r="TQ1331" s="29"/>
      <c r="TR1331" s="29"/>
      <c r="TS1331" s="29"/>
      <c r="TT1331" s="29"/>
      <c r="TU1331" s="29"/>
      <c r="TV1331" s="29"/>
      <c r="TW1331" s="29"/>
      <c r="TX1331" s="29"/>
      <c r="TY1331" s="29"/>
      <c r="TZ1331" s="29"/>
      <c r="UA1331" s="29"/>
      <c r="UB1331" s="29"/>
      <c r="UC1331" s="29"/>
      <c r="UD1331" s="29"/>
      <c r="UE1331" s="29"/>
      <c r="UF1331" s="29"/>
      <c r="UG1331" s="29"/>
    </row>
    <row r="1332" spans="1:553" ht="34.9" customHeight="1">
      <c r="A1332" s="356" t="s">
        <v>30</v>
      </c>
      <c r="B1332" s="385" t="s">
        <v>252</v>
      </c>
      <c r="C1332" s="1403" t="s">
        <v>721</v>
      </c>
      <c r="D1332" s="1389"/>
      <c r="E1332" s="1389"/>
      <c r="F1332" s="1390"/>
      <c r="G1332" s="386" t="s">
        <v>34</v>
      </c>
      <c r="H1332" s="370"/>
      <c r="I1332" s="422">
        <f>20+18+20+50+50+5+120</f>
        <v>283</v>
      </c>
      <c r="J1332" s="368">
        <v>114600</v>
      </c>
      <c r="K1332" s="419">
        <v>0.8</v>
      </c>
      <c r="L1332" s="487">
        <f>I1332*J1332</f>
        <v>32431800</v>
      </c>
      <c r="M1332" s="391"/>
      <c r="N1332" s="391"/>
      <c r="O1332" s="391"/>
      <c r="P1332" s="391"/>
      <c r="Q1332" s="1142"/>
      <c r="R1332" s="1226"/>
      <c r="S1332" s="308"/>
      <c r="T1332" s="308"/>
      <c r="U1332" s="308"/>
      <c r="V1332" s="308"/>
      <c r="W1332" s="308"/>
      <c r="X1332" s="308"/>
      <c r="Y1332" s="308"/>
      <c r="Z1332" s="604"/>
      <c r="AA1332" s="308"/>
      <c r="AB1332" s="308"/>
      <c r="AC1332" s="486"/>
      <c r="AD1332" s="486"/>
      <c r="AE1332" s="486"/>
      <c r="AF1332" s="486"/>
      <c r="AG1332" s="486"/>
      <c r="AH1332" s="486"/>
      <c r="AI1332" s="486"/>
      <c r="AJ1332" s="486"/>
      <c r="AK1332" s="486"/>
      <c r="AL1332" s="206"/>
      <c r="AM1332" s="29"/>
      <c r="AN1332" s="29"/>
      <c r="AO1332" s="29"/>
      <c r="AP1332" s="29"/>
      <c r="AQ1332" s="29"/>
      <c r="AR1332" s="29"/>
      <c r="AS1332" s="29"/>
      <c r="AT1332" s="29"/>
      <c r="AU1332" s="29"/>
      <c r="AV1332" s="29"/>
      <c r="AW1332" s="29"/>
      <c r="AX1332" s="29"/>
      <c r="AY1332" s="29"/>
      <c r="AZ1332" s="29"/>
      <c r="BA1332" s="29"/>
      <c r="BB1332" s="29"/>
      <c r="BC1332" s="29"/>
      <c r="BD1332" s="29"/>
      <c r="BE1332" s="29"/>
      <c r="BF1332" s="29"/>
      <c r="BG1332" s="29"/>
      <c r="BH1332" s="29"/>
      <c r="BI1332" s="29"/>
      <c r="BJ1332" s="29"/>
      <c r="BK1332" s="29"/>
      <c r="BL1332" s="29"/>
      <c r="BM1332" s="29"/>
      <c r="BN1332" s="29"/>
      <c r="BO1332" s="29"/>
      <c r="BP1332" s="29"/>
      <c r="BQ1332" s="29"/>
      <c r="BR1332" s="29"/>
      <c r="BS1332" s="29"/>
      <c r="BT1332" s="29"/>
      <c r="BU1332" s="29"/>
      <c r="BV1332" s="29"/>
      <c r="BW1332" s="29"/>
      <c r="BX1332" s="29"/>
      <c r="BY1332" s="29"/>
      <c r="BZ1332" s="29"/>
      <c r="CA1332" s="29"/>
      <c r="CB1332" s="29"/>
      <c r="CC1332" s="29"/>
      <c r="CD1332" s="29"/>
      <c r="CE1332" s="29"/>
      <c r="CF1332" s="29"/>
      <c r="CG1332" s="29"/>
      <c r="CH1332" s="29"/>
      <c r="CI1332" s="29"/>
      <c r="CJ1332" s="29"/>
      <c r="CK1332" s="29"/>
      <c r="CL1332" s="29"/>
      <c r="CM1332" s="29"/>
      <c r="CN1332" s="29"/>
      <c r="CO1332" s="29"/>
      <c r="CP1332" s="29"/>
      <c r="CQ1332" s="29"/>
      <c r="CR1332" s="29"/>
      <c r="CS1332" s="29"/>
      <c r="CT1332" s="29"/>
      <c r="CU1332" s="29"/>
      <c r="CV1332" s="29"/>
      <c r="CW1332" s="29"/>
      <c r="CX1332" s="29"/>
      <c r="CY1332" s="29"/>
      <c r="CZ1332" s="29"/>
      <c r="DA1332" s="29"/>
      <c r="DB1332" s="29"/>
      <c r="DC1332" s="29"/>
      <c r="DD1332" s="29"/>
      <c r="DE1332" s="29"/>
      <c r="DF1332" s="29"/>
      <c r="DG1332" s="29"/>
      <c r="DH1332" s="29"/>
      <c r="DI1332" s="29"/>
      <c r="DJ1332" s="29"/>
      <c r="DK1332" s="29"/>
      <c r="DL1332" s="29"/>
      <c r="DM1332" s="29"/>
      <c r="DN1332" s="29"/>
      <c r="DO1332" s="29"/>
      <c r="DP1332" s="29"/>
      <c r="DQ1332" s="29"/>
      <c r="DR1332" s="29"/>
      <c r="DS1332" s="29"/>
      <c r="DT1332" s="29"/>
      <c r="DU1332" s="29"/>
      <c r="DV1332" s="29"/>
      <c r="DW1332" s="29"/>
      <c r="DX1332" s="29"/>
      <c r="DY1332" s="29"/>
      <c r="DZ1332" s="29"/>
      <c r="EA1332" s="29"/>
      <c r="EB1332" s="29"/>
      <c r="EC1332" s="29"/>
      <c r="ED1332" s="29"/>
      <c r="EE1332" s="29"/>
      <c r="EF1332" s="29"/>
      <c r="EG1332" s="29"/>
      <c r="EH1332" s="29"/>
      <c r="EI1332" s="29"/>
      <c r="EJ1332" s="29"/>
      <c r="EK1332" s="29"/>
      <c r="EL1332" s="29"/>
      <c r="EM1332" s="29"/>
      <c r="EN1332" s="29"/>
      <c r="EO1332" s="29"/>
      <c r="EP1332" s="29"/>
      <c r="EQ1332" s="29"/>
      <c r="ER1332" s="29"/>
      <c r="ES1332" s="29"/>
      <c r="ET1332" s="29"/>
      <c r="EU1332" s="29"/>
      <c r="EV1332" s="29"/>
      <c r="EW1332" s="29"/>
      <c r="EX1332" s="29"/>
      <c r="EY1332" s="29"/>
      <c r="EZ1332" s="29"/>
      <c r="FA1332" s="29"/>
      <c r="FB1332" s="29"/>
      <c r="FC1332" s="29"/>
      <c r="FD1332" s="29"/>
      <c r="FE1332" s="29"/>
      <c r="FF1332" s="29"/>
      <c r="FG1332" s="29"/>
      <c r="FH1332" s="29"/>
      <c r="FI1332" s="29"/>
      <c r="FJ1332" s="29"/>
      <c r="FK1332" s="29"/>
      <c r="FL1332" s="29"/>
      <c r="FM1332" s="29"/>
      <c r="FN1332" s="29"/>
      <c r="FO1332" s="29"/>
      <c r="FP1332" s="29"/>
      <c r="FQ1332" s="29"/>
      <c r="FR1332" s="29"/>
      <c r="FS1332" s="29"/>
      <c r="FT1332" s="29"/>
      <c r="FU1332" s="29"/>
      <c r="FV1332" s="29"/>
      <c r="FW1332" s="29"/>
      <c r="FX1332" s="29"/>
      <c r="FY1332" s="29"/>
      <c r="FZ1332" s="29"/>
      <c r="GA1332" s="29"/>
      <c r="GB1332" s="29"/>
      <c r="GC1332" s="29"/>
      <c r="GD1332" s="29"/>
      <c r="GE1332" s="29"/>
      <c r="GF1332" s="29"/>
      <c r="GG1332" s="29"/>
      <c r="GH1332" s="29"/>
      <c r="GI1332" s="29"/>
      <c r="GJ1332" s="29"/>
      <c r="GK1332" s="29"/>
      <c r="GL1332" s="29"/>
      <c r="GM1332" s="29"/>
      <c r="GN1332" s="29"/>
      <c r="GO1332" s="29"/>
      <c r="GP1332" s="29"/>
      <c r="GQ1332" s="29"/>
      <c r="GR1332" s="29"/>
      <c r="GS1332" s="29"/>
      <c r="GT1332" s="29"/>
      <c r="GU1332" s="29"/>
      <c r="GV1332" s="29"/>
      <c r="GW1332" s="29"/>
      <c r="GX1332" s="29"/>
      <c r="GY1332" s="29"/>
      <c r="GZ1332" s="29"/>
      <c r="HA1332" s="29"/>
      <c r="HB1332" s="29"/>
      <c r="HC1332" s="29"/>
      <c r="HD1332" s="29"/>
      <c r="HE1332" s="29"/>
      <c r="HF1332" s="29"/>
      <c r="HG1332" s="29"/>
      <c r="HH1332" s="29"/>
      <c r="HI1332" s="29"/>
      <c r="HJ1332" s="29"/>
      <c r="HK1332" s="29"/>
      <c r="HL1332" s="29"/>
      <c r="HM1332" s="29"/>
      <c r="HN1332" s="29"/>
      <c r="HO1332" s="29"/>
      <c r="HP1332" s="29"/>
      <c r="HQ1332" s="29"/>
      <c r="HR1332" s="29"/>
      <c r="HS1332" s="29"/>
      <c r="HT1332" s="29"/>
      <c r="HU1332" s="29"/>
      <c r="HV1332" s="29"/>
      <c r="HW1332" s="29"/>
      <c r="HX1332" s="29"/>
      <c r="HY1332" s="29"/>
      <c r="HZ1332" s="29"/>
      <c r="IA1332" s="29"/>
      <c r="IB1332" s="29"/>
      <c r="IC1332" s="29"/>
      <c r="ID1332" s="29"/>
      <c r="IE1332" s="29"/>
      <c r="IF1332" s="29"/>
      <c r="IG1332" s="29"/>
      <c r="IH1332" s="29"/>
      <c r="II1332" s="29"/>
      <c r="IJ1332" s="29"/>
      <c r="IK1332" s="29"/>
      <c r="IL1332" s="29"/>
      <c r="IM1332" s="29"/>
      <c r="IN1332" s="29"/>
      <c r="IO1332" s="29"/>
      <c r="IP1332" s="29"/>
      <c r="IQ1332" s="29"/>
      <c r="IR1332" s="29"/>
      <c r="IS1332" s="29"/>
      <c r="IT1332" s="29"/>
      <c r="IU1332" s="29"/>
      <c r="IV1332" s="29"/>
      <c r="IW1332" s="29"/>
      <c r="IX1332" s="29"/>
      <c r="IY1332" s="29"/>
      <c r="IZ1332" s="29"/>
      <c r="JA1332" s="29"/>
      <c r="JB1332" s="29"/>
      <c r="JC1332" s="29"/>
      <c r="JD1332" s="29"/>
      <c r="JE1332" s="29"/>
      <c r="JF1332" s="29"/>
      <c r="JG1332" s="29"/>
      <c r="JH1332" s="29"/>
      <c r="JI1332" s="29"/>
      <c r="JJ1332" s="29"/>
      <c r="JK1332" s="29"/>
      <c r="JL1332" s="29"/>
      <c r="JM1332" s="29"/>
      <c r="JN1332" s="29"/>
      <c r="JO1332" s="29"/>
      <c r="JP1332" s="29"/>
      <c r="JQ1332" s="29"/>
      <c r="JR1332" s="29"/>
      <c r="JS1332" s="29"/>
      <c r="JT1332" s="29"/>
      <c r="JU1332" s="29"/>
      <c r="JV1332" s="29"/>
      <c r="JW1332" s="29"/>
      <c r="JX1332" s="29"/>
      <c r="JY1332" s="29"/>
      <c r="JZ1332" s="29"/>
      <c r="KA1332" s="29"/>
      <c r="KB1332" s="29"/>
      <c r="KC1332" s="29"/>
      <c r="KD1332" s="29"/>
      <c r="KE1332" s="29"/>
      <c r="KF1332" s="29"/>
      <c r="KG1332" s="29"/>
      <c r="KH1332" s="29"/>
      <c r="KI1332" s="29"/>
      <c r="KJ1332" s="29"/>
      <c r="KK1332" s="29"/>
      <c r="KL1332" s="29"/>
      <c r="KM1332" s="29"/>
      <c r="KN1332" s="29"/>
      <c r="KO1332" s="29"/>
      <c r="KP1332" s="29"/>
      <c r="KQ1332" s="29"/>
      <c r="KR1332" s="29"/>
      <c r="KS1332" s="29"/>
      <c r="KT1332" s="29"/>
      <c r="KU1332" s="29"/>
      <c r="KV1332" s="29"/>
      <c r="KW1332" s="29"/>
      <c r="KX1332" s="29"/>
      <c r="KY1332" s="29"/>
      <c r="KZ1332" s="29"/>
      <c r="LA1332" s="29"/>
      <c r="LB1332" s="29"/>
      <c r="LC1332" s="29"/>
      <c r="LD1332" s="29"/>
      <c r="LE1332" s="29"/>
      <c r="LF1332" s="29"/>
      <c r="LG1332" s="29"/>
      <c r="LH1332" s="29"/>
      <c r="LI1332" s="29"/>
      <c r="LJ1332" s="29"/>
      <c r="LK1332" s="29"/>
      <c r="LL1332" s="29"/>
      <c r="LM1332" s="29"/>
      <c r="LN1332" s="29"/>
      <c r="LO1332" s="29"/>
      <c r="LP1332" s="29"/>
      <c r="LQ1332" s="29"/>
      <c r="LR1332" s="29"/>
      <c r="LS1332" s="29"/>
      <c r="LT1332" s="29"/>
      <c r="LU1332" s="29"/>
      <c r="LV1332" s="29"/>
      <c r="LW1332" s="29"/>
      <c r="LX1332" s="29"/>
      <c r="LY1332" s="29"/>
      <c r="LZ1332" s="29"/>
      <c r="MA1332" s="29"/>
      <c r="MB1332" s="29"/>
      <c r="MC1332" s="29"/>
      <c r="MD1332" s="29"/>
      <c r="ME1332" s="29"/>
      <c r="MF1332" s="29"/>
      <c r="MG1332" s="29"/>
      <c r="MH1332" s="29"/>
      <c r="MI1332" s="29"/>
      <c r="MJ1332" s="29"/>
      <c r="MK1332" s="29"/>
      <c r="ML1332" s="29"/>
      <c r="MM1332" s="29"/>
      <c r="MN1332" s="29"/>
      <c r="MO1332" s="29"/>
      <c r="MP1332" s="29"/>
      <c r="MQ1332" s="29"/>
      <c r="MR1332" s="29"/>
      <c r="MS1332" s="29"/>
      <c r="MT1332" s="29"/>
      <c r="MU1332" s="29"/>
      <c r="MV1332" s="29"/>
      <c r="MW1332" s="29"/>
      <c r="MX1332" s="29"/>
      <c r="MY1332" s="29"/>
      <c r="MZ1332" s="29"/>
      <c r="NA1332" s="29"/>
      <c r="NB1332" s="29"/>
      <c r="NC1332" s="29"/>
      <c r="ND1332" s="29"/>
      <c r="NE1332" s="29"/>
      <c r="NF1332" s="29"/>
      <c r="NG1332" s="29"/>
      <c r="NH1332" s="29"/>
      <c r="NI1332" s="29"/>
      <c r="NJ1332" s="29"/>
      <c r="NK1332" s="29"/>
      <c r="NL1332" s="29"/>
      <c r="NM1332" s="29"/>
      <c r="NN1332" s="29"/>
      <c r="NO1332" s="29"/>
      <c r="NP1332" s="29"/>
      <c r="NQ1332" s="29"/>
      <c r="NR1332" s="29"/>
      <c r="NS1332" s="29"/>
      <c r="NT1332" s="29"/>
      <c r="NU1332" s="29"/>
      <c r="NV1332" s="29"/>
      <c r="NW1332" s="29"/>
      <c r="NX1332" s="29"/>
      <c r="NY1332" s="29"/>
      <c r="NZ1332" s="29"/>
      <c r="OA1332" s="29"/>
      <c r="OB1332" s="29"/>
      <c r="OC1332" s="29"/>
      <c r="OD1332" s="29"/>
      <c r="OE1332" s="29"/>
      <c r="OF1332" s="29"/>
      <c r="OG1332" s="29"/>
      <c r="OH1332" s="29"/>
      <c r="OI1332" s="29"/>
      <c r="OJ1332" s="29"/>
      <c r="OK1332" s="29"/>
      <c r="OL1332" s="29"/>
      <c r="OM1332" s="29"/>
      <c r="ON1332" s="29"/>
      <c r="OO1332" s="29"/>
      <c r="OP1332" s="29"/>
      <c r="OQ1332" s="29"/>
      <c r="OR1332" s="29"/>
      <c r="OS1332" s="29"/>
      <c r="OT1332" s="29"/>
      <c r="OU1332" s="29"/>
      <c r="OV1332" s="29"/>
      <c r="OW1332" s="29"/>
      <c r="OX1332" s="29"/>
      <c r="OY1332" s="29"/>
      <c r="OZ1332" s="29"/>
      <c r="PA1332" s="29"/>
      <c r="PB1332" s="29"/>
      <c r="PC1332" s="29"/>
      <c r="PD1332" s="29"/>
      <c r="PE1332" s="29"/>
      <c r="PF1332" s="29"/>
      <c r="PG1332" s="29"/>
      <c r="PH1332" s="29"/>
      <c r="PI1332" s="29"/>
      <c r="PJ1332" s="29"/>
      <c r="PK1332" s="29"/>
      <c r="PL1332" s="29"/>
      <c r="PM1332" s="29"/>
      <c r="PN1332" s="29"/>
      <c r="PO1332" s="29"/>
      <c r="PP1332" s="29"/>
      <c r="PQ1332" s="29"/>
      <c r="PR1332" s="29"/>
      <c r="PS1332" s="29"/>
      <c r="PT1332" s="29"/>
      <c r="PU1332" s="29"/>
      <c r="PV1332" s="29"/>
      <c r="PW1332" s="29"/>
      <c r="PX1332" s="29"/>
      <c r="PY1332" s="29"/>
      <c r="PZ1332" s="29"/>
      <c r="QA1332" s="29"/>
      <c r="QB1332" s="29"/>
      <c r="QC1332" s="29"/>
      <c r="QD1332" s="29"/>
      <c r="QE1332" s="29"/>
      <c r="QF1332" s="29"/>
      <c r="QG1332" s="29"/>
      <c r="QH1332" s="29"/>
      <c r="QI1332" s="29"/>
      <c r="QJ1332" s="29"/>
      <c r="QK1332" s="29"/>
      <c r="QL1332" s="29"/>
      <c r="QM1332" s="29"/>
      <c r="QN1332" s="29"/>
      <c r="QO1332" s="29"/>
      <c r="QP1332" s="29"/>
      <c r="QQ1332" s="29"/>
      <c r="QR1332" s="29"/>
      <c r="QS1332" s="29"/>
      <c r="QT1332" s="29"/>
      <c r="QU1332" s="29"/>
      <c r="QV1332" s="29"/>
      <c r="QW1332" s="29"/>
      <c r="QX1332" s="29"/>
      <c r="QY1332" s="29"/>
      <c r="QZ1332" s="29"/>
      <c r="RA1332" s="29"/>
      <c r="RB1332" s="29"/>
      <c r="RC1332" s="29"/>
      <c r="RD1332" s="29"/>
      <c r="RE1332" s="29"/>
      <c r="RF1332" s="29"/>
      <c r="RG1332" s="29"/>
      <c r="RH1332" s="29"/>
      <c r="RI1332" s="29"/>
      <c r="RJ1332" s="29"/>
      <c r="RK1332" s="29"/>
      <c r="RL1332" s="29"/>
      <c r="RM1332" s="29"/>
      <c r="RN1332" s="29"/>
      <c r="RO1332" s="29"/>
      <c r="RP1332" s="29"/>
      <c r="RQ1332" s="29"/>
      <c r="RR1332" s="29"/>
      <c r="RS1332" s="29"/>
      <c r="RT1332" s="29"/>
      <c r="RU1332" s="29"/>
      <c r="RV1332" s="29"/>
      <c r="RW1332" s="29"/>
      <c r="RX1332" s="29"/>
      <c r="RY1332" s="29"/>
      <c r="RZ1332" s="29"/>
      <c r="SA1332" s="29"/>
      <c r="SB1332" s="29"/>
      <c r="SC1332" s="29"/>
      <c r="SD1332" s="29"/>
      <c r="SE1332" s="29"/>
      <c r="SF1332" s="29"/>
      <c r="SG1332" s="29"/>
      <c r="SH1332" s="29"/>
      <c r="SI1332" s="29"/>
      <c r="SJ1332" s="29"/>
      <c r="SK1332" s="29"/>
      <c r="SL1332" s="29"/>
      <c r="SM1332" s="29"/>
      <c r="SN1332" s="29"/>
      <c r="SO1332" s="29"/>
      <c r="SP1332" s="29"/>
      <c r="SQ1332" s="29"/>
      <c r="SR1332" s="29"/>
      <c r="SS1332" s="29"/>
      <c r="ST1332" s="29"/>
      <c r="SU1332" s="29"/>
      <c r="SV1332" s="29"/>
      <c r="SW1332" s="29"/>
      <c r="SX1332" s="29"/>
      <c r="SY1332" s="29"/>
      <c r="SZ1332" s="29"/>
      <c r="TA1332" s="29"/>
      <c r="TB1332" s="29"/>
      <c r="TC1332" s="29"/>
      <c r="TD1332" s="29"/>
      <c r="TE1332" s="29"/>
      <c r="TF1332" s="29"/>
      <c r="TG1332" s="29"/>
      <c r="TH1332" s="29"/>
      <c r="TI1332" s="29"/>
      <c r="TJ1332" s="29"/>
      <c r="TK1332" s="29"/>
      <c r="TL1332" s="29"/>
      <c r="TM1332" s="29"/>
      <c r="TN1332" s="29"/>
      <c r="TO1332" s="29"/>
      <c r="TP1332" s="29"/>
      <c r="TQ1332" s="29"/>
      <c r="TR1332" s="29"/>
      <c r="TS1332" s="29"/>
      <c r="TT1332" s="29"/>
      <c r="TU1332" s="29"/>
      <c r="TV1332" s="29"/>
      <c r="TW1332" s="29"/>
      <c r="TX1332" s="29"/>
      <c r="TY1332" s="29"/>
      <c r="TZ1332" s="29"/>
      <c r="UA1332" s="29"/>
      <c r="UB1332" s="29"/>
      <c r="UC1332" s="29"/>
      <c r="UD1332" s="29"/>
      <c r="UE1332" s="29"/>
      <c r="UF1332" s="29"/>
      <c r="UG1332" s="29"/>
    </row>
    <row r="1333" spans="1:553" ht="30" customHeight="1">
      <c r="A1333" s="356" t="s">
        <v>43</v>
      </c>
      <c r="B1333" s="356"/>
      <c r="C1333" s="1413" t="s">
        <v>44</v>
      </c>
      <c r="D1333" s="1389"/>
      <c r="E1333" s="1389"/>
      <c r="F1333" s="1390"/>
      <c r="G1333" s="366"/>
      <c r="H1333" s="370"/>
      <c r="I1333" s="370"/>
      <c r="J1333" s="368"/>
      <c r="K1333" s="371"/>
      <c r="L1333" s="645">
        <f>SUM(L1335:L1364)</f>
        <v>118877832.30000001</v>
      </c>
      <c r="M1333" s="356"/>
      <c r="N1333" s="356"/>
      <c r="O1333" s="356"/>
      <c r="P1333" s="356">
        <f>L1333</f>
        <v>118877832.30000001</v>
      </c>
      <c r="Q1333" s="610"/>
      <c r="R1333" s="1447" t="s">
        <v>45</v>
      </c>
      <c r="S1333" s="308"/>
      <c r="T1333" s="308"/>
      <c r="U1333" s="308"/>
      <c r="V1333" s="308"/>
      <c r="W1333" s="308"/>
      <c r="X1333" s="308"/>
      <c r="Y1333" s="308"/>
      <c r="Z1333" s="604"/>
      <c r="AA1333" s="308"/>
      <c r="AB1333" s="308"/>
      <c r="AC1333" s="486"/>
      <c r="AD1333" s="486"/>
      <c r="AE1333" s="486"/>
      <c r="AF1333" s="486"/>
      <c r="AG1333" s="486"/>
      <c r="AH1333" s="486"/>
      <c r="AI1333" s="486"/>
      <c r="AJ1333" s="486"/>
      <c r="AK1333" s="486"/>
      <c r="AL1333" s="206"/>
      <c r="AM1333" s="29"/>
      <c r="AN1333" s="29"/>
      <c r="AO1333" s="29"/>
      <c r="AP1333" s="29"/>
      <c r="AQ1333" s="29"/>
      <c r="AR1333" s="29"/>
      <c r="AS1333" s="29"/>
      <c r="AT1333" s="29"/>
      <c r="AU1333" s="29"/>
      <c r="AV1333" s="29"/>
      <c r="AW1333" s="29"/>
      <c r="AX1333" s="29"/>
      <c r="AY1333" s="29"/>
      <c r="AZ1333" s="29"/>
      <c r="BA1333" s="29"/>
      <c r="BB1333" s="29"/>
      <c r="BC1333" s="29"/>
      <c r="BD1333" s="29"/>
      <c r="BE1333" s="29"/>
      <c r="BF1333" s="29"/>
      <c r="BG1333" s="29"/>
      <c r="BH1333" s="29"/>
      <c r="BI1333" s="29"/>
      <c r="BJ1333" s="29"/>
      <c r="BK1333" s="29"/>
      <c r="BL1333" s="29"/>
      <c r="BM1333" s="29"/>
      <c r="BN1333" s="29"/>
      <c r="BO1333" s="29"/>
      <c r="BP1333" s="29"/>
      <c r="BQ1333" s="29"/>
      <c r="BR1333" s="29"/>
      <c r="BS1333" s="29"/>
      <c r="BT1333" s="29"/>
      <c r="BU1333" s="29"/>
      <c r="BV1333" s="29"/>
      <c r="BW1333" s="29"/>
      <c r="BX1333" s="29"/>
      <c r="BY1333" s="29"/>
      <c r="BZ1333" s="29"/>
      <c r="CA1333" s="29"/>
      <c r="CB1333" s="29"/>
      <c r="CC1333" s="29"/>
      <c r="CD1333" s="29"/>
      <c r="CE1333" s="29"/>
      <c r="CF1333" s="29"/>
      <c r="CG1333" s="29"/>
      <c r="CH1333" s="29"/>
      <c r="CI1333" s="29"/>
      <c r="CJ1333" s="29"/>
      <c r="CK1333" s="29"/>
      <c r="CL1333" s="29"/>
      <c r="CM1333" s="29"/>
      <c r="CN1333" s="29"/>
      <c r="CO1333" s="29"/>
      <c r="CP1333" s="29"/>
      <c r="CQ1333" s="29"/>
      <c r="CR1333" s="29"/>
      <c r="CS1333" s="29"/>
      <c r="CT1333" s="29"/>
      <c r="CU1333" s="29"/>
      <c r="CV1333" s="29"/>
      <c r="CW1333" s="29"/>
      <c r="CX1333" s="29"/>
      <c r="CY1333" s="29"/>
      <c r="CZ1333" s="29"/>
      <c r="DA1333" s="29"/>
      <c r="DB1333" s="29"/>
      <c r="DC1333" s="29"/>
      <c r="DD1333" s="29"/>
      <c r="DE1333" s="29"/>
      <c r="DF1333" s="29"/>
      <c r="DG1333" s="29"/>
      <c r="DH1333" s="29"/>
      <c r="DI1333" s="29"/>
      <c r="DJ1333" s="29"/>
      <c r="DK1333" s="29"/>
      <c r="DL1333" s="29"/>
      <c r="DM1333" s="29"/>
      <c r="DN1333" s="29"/>
      <c r="DO1333" s="29"/>
      <c r="DP1333" s="29"/>
      <c r="DQ1333" s="29"/>
      <c r="DR1333" s="29"/>
      <c r="DS1333" s="29"/>
      <c r="DT1333" s="29"/>
      <c r="DU1333" s="29"/>
      <c r="DV1333" s="29"/>
      <c r="DW1333" s="29"/>
      <c r="DX1333" s="29"/>
      <c r="DY1333" s="29"/>
      <c r="DZ1333" s="29"/>
      <c r="EA1333" s="29"/>
      <c r="EB1333" s="29"/>
      <c r="EC1333" s="29"/>
      <c r="ED1333" s="29"/>
      <c r="EE1333" s="29"/>
      <c r="EF1333" s="29"/>
      <c r="EG1333" s="29"/>
      <c r="EH1333" s="29"/>
      <c r="EI1333" s="29"/>
      <c r="EJ1333" s="29"/>
      <c r="EK1333" s="29"/>
      <c r="EL1333" s="29"/>
      <c r="EM1333" s="29"/>
      <c r="EN1333" s="29"/>
      <c r="EO1333" s="29"/>
      <c r="EP1333" s="29"/>
      <c r="EQ1333" s="29"/>
      <c r="ER1333" s="29"/>
      <c r="ES1333" s="29"/>
      <c r="ET1333" s="29"/>
      <c r="EU1333" s="29"/>
      <c r="EV1333" s="29"/>
      <c r="EW1333" s="29"/>
      <c r="EX1333" s="29"/>
      <c r="EY1333" s="29"/>
      <c r="EZ1333" s="29"/>
      <c r="FA1333" s="29"/>
      <c r="FB1333" s="29"/>
      <c r="FC1333" s="29"/>
      <c r="FD1333" s="29"/>
      <c r="FE1333" s="29"/>
      <c r="FF1333" s="29"/>
      <c r="FG1333" s="29"/>
      <c r="FH1333" s="29"/>
      <c r="FI1333" s="29"/>
      <c r="FJ1333" s="29"/>
      <c r="FK1333" s="29"/>
      <c r="FL1333" s="29"/>
      <c r="FM1333" s="29"/>
      <c r="FN1333" s="29"/>
      <c r="FO1333" s="29"/>
      <c r="FP1333" s="29"/>
      <c r="FQ1333" s="29"/>
      <c r="FR1333" s="29"/>
      <c r="FS1333" s="29"/>
      <c r="FT1333" s="29"/>
      <c r="FU1333" s="29"/>
      <c r="FV1333" s="29"/>
      <c r="FW1333" s="29"/>
      <c r="FX1333" s="29"/>
      <c r="FY1333" s="29"/>
      <c r="FZ1333" s="29"/>
      <c r="GA1333" s="29"/>
      <c r="GB1333" s="29"/>
      <c r="GC1333" s="29"/>
      <c r="GD1333" s="29"/>
      <c r="GE1333" s="29"/>
      <c r="GF1333" s="29"/>
      <c r="GG1333" s="29"/>
      <c r="GH1333" s="29"/>
      <c r="GI1333" s="29"/>
      <c r="GJ1333" s="29"/>
      <c r="GK1333" s="29"/>
      <c r="GL1333" s="29"/>
      <c r="GM1333" s="29"/>
      <c r="GN1333" s="29"/>
      <c r="GO1333" s="29"/>
      <c r="GP1333" s="29"/>
      <c r="GQ1333" s="29"/>
      <c r="GR1333" s="29"/>
      <c r="GS1333" s="29"/>
      <c r="GT1333" s="29"/>
      <c r="GU1333" s="29"/>
      <c r="GV1333" s="29"/>
      <c r="GW1333" s="29"/>
      <c r="GX1333" s="29"/>
      <c r="GY1333" s="29"/>
      <c r="GZ1333" s="29"/>
      <c r="HA1333" s="29"/>
      <c r="HB1333" s="29"/>
      <c r="HC1333" s="29"/>
      <c r="HD1333" s="29"/>
      <c r="HE1333" s="29"/>
      <c r="HF1333" s="29"/>
      <c r="HG1333" s="29"/>
      <c r="HH1333" s="29"/>
      <c r="HI1333" s="29"/>
      <c r="HJ1333" s="29"/>
      <c r="HK1333" s="29"/>
      <c r="HL1333" s="29"/>
      <c r="HM1333" s="29"/>
      <c r="HN1333" s="29"/>
      <c r="HO1333" s="29"/>
      <c r="HP1333" s="29"/>
      <c r="HQ1333" s="29"/>
      <c r="HR1333" s="29"/>
      <c r="HS1333" s="29"/>
      <c r="HT1333" s="29"/>
      <c r="HU1333" s="29"/>
      <c r="HV1333" s="29"/>
      <c r="HW1333" s="29"/>
      <c r="HX1333" s="29"/>
      <c r="HY1333" s="29"/>
      <c r="HZ1333" s="29"/>
      <c r="IA1333" s="29"/>
      <c r="IB1333" s="29"/>
      <c r="IC1333" s="29"/>
      <c r="ID1333" s="29"/>
      <c r="IE1333" s="29"/>
      <c r="IF1333" s="29"/>
      <c r="IG1333" s="29"/>
      <c r="IH1333" s="29"/>
      <c r="II1333" s="29"/>
      <c r="IJ1333" s="29"/>
      <c r="IK1333" s="29"/>
      <c r="IL1333" s="29"/>
      <c r="IM1333" s="29"/>
      <c r="IN1333" s="29"/>
      <c r="IO1333" s="29"/>
      <c r="IP1333" s="29"/>
      <c r="IQ1333" s="29"/>
      <c r="IR1333" s="29"/>
      <c r="IS1333" s="29"/>
      <c r="IT1333" s="29"/>
      <c r="IU1333" s="29"/>
      <c r="IV1333" s="29"/>
      <c r="IW1333" s="29"/>
      <c r="IX1333" s="29"/>
      <c r="IY1333" s="29"/>
      <c r="IZ1333" s="29"/>
      <c r="JA1333" s="29"/>
      <c r="JB1333" s="29"/>
      <c r="JC1333" s="29"/>
      <c r="JD1333" s="29"/>
      <c r="JE1333" s="29"/>
      <c r="JF1333" s="29"/>
      <c r="JG1333" s="29"/>
      <c r="JH1333" s="29"/>
      <c r="JI1333" s="29"/>
      <c r="JJ1333" s="29"/>
      <c r="JK1333" s="29"/>
      <c r="JL1333" s="29"/>
      <c r="JM1333" s="29"/>
      <c r="JN1333" s="29"/>
      <c r="JO1333" s="29"/>
      <c r="JP1333" s="29"/>
      <c r="JQ1333" s="29"/>
      <c r="JR1333" s="29"/>
      <c r="JS1333" s="29"/>
      <c r="JT1333" s="29"/>
      <c r="JU1333" s="29"/>
      <c r="JV1333" s="29"/>
      <c r="JW1333" s="29"/>
      <c r="JX1333" s="29"/>
      <c r="JY1333" s="29"/>
      <c r="JZ1333" s="29"/>
      <c r="KA1333" s="29"/>
      <c r="KB1333" s="29"/>
      <c r="KC1333" s="29"/>
      <c r="KD1333" s="29"/>
      <c r="KE1333" s="29"/>
      <c r="KF1333" s="29"/>
      <c r="KG1333" s="29"/>
      <c r="KH1333" s="29"/>
      <c r="KI1333" s="29"/>
      <c r="KJ1333" s="29"/>
      <c r="KK1333" s="29"/>
      <c r="KL1333" s="29"/>
      <c r="KM1333" s="29"/>
      <c r="KN1333" s="29"/>
      <c r="KO1333" s="29"/>
      <c r="KP1333" s="29"/>
      <c r="KQ1333" s="29"/>
      <c r="KR1333" s="29"/>
      <c r="KS1333" s="29"/>
      <c r="KT1333" s="29"/>
      <c r="KU1333" s="29"/>
      <c r="KV1333" s="29"/>
      <c r="KW1333" s="29"/>
      <c r="KX1333" s="29"/>
      <c r="KY1333" s="29"/>
      <c r="KZ1333" s="29"/>
      <c r="LA1333" s="29"/>
      <c r="LB1333" s="29"/>
      <c r="LC1333" s="29"/>
      <c r="LD1333" s="29"/>
      <c r="LE1333" s="29"/>
      <c r="LF1333" s="29"/>
      <c r="LG1333" s="29"/>
      <c r="LH1333" s="29"/>
      <c r="LI1333" s="29"/>
      <c r="LJ1333" s="29"/>
      <c r="LK1333" s="29"/>
      <c r="LL1333" s="29"/>
      <c r="LM1333" s="29"/>
      <c r="LN1333" s="29"/>
      <c r="LO1333" s="29"/>
      <c r="LP1333" s="29"/>
      <c r="LQ1333" s="29"/>
      <c r="LR1333" s="29"/>
      <c r="LS1333" s="29"/>
      <c r="LT1333" s="29"/>
      <c r="LU1333" s="29"/>
      <c r="LV1333" s="29"/>
      <c r="LW1333" s="29"/>
      <c r="LX1333" s="29"/>
      <c r="LY1333" s="29"/>
      <c r="LZ1333" s="29"/>
      <c r="MA1333" s="29"/>
      <c r="MB1333" s="29"/>
      <c r="MC1333" s="29"/>
      <c r="MD1333" s="29"/>
      <c r="ME1333" s="29"/>
      <c r="MF1333" s="29"/>
      <c r="MG1333" s="29"/>
      <c r="MH1333" s="29"/>
      <c r="MI1333" s="29"/>
      <c r="MJ1333" s="29"/>
      <c r="MK1333" s="29"/>
      <c r="ML1333" s="29"/>
      <c r="MM1333" s="29"/>
      <c r="MN1333" s="29"/>
      <c r="MO1333" s="29"/>
      <c r="MP1333" s="29"/>
      <c r="MQ1333" s="29"/>
      <c r="MR1333" s="29"/>
      <c r="MS1333" s="29"/>
      <c r="MT1333" s="29"/>
      <c r="MU1333" s="29"/>
      <c r="MV1333" s="29"/>
      <c r="MW1333" s="29"/>
      <c r="MX1333" s="29"/>
      <c r="MY1333" s="29"/>
      <c r="MZ1333" s="29"/>
      <c r="NA1333" s="29"/>
      <c r="NB1333" s="29"/>
      <c r="NC1333" s="29"/>
      <c r="ND1333" s="29"/>
      <c r="NE1333" s="29"/>
      <c r="NF1333" s="29"/>
      <c r="NG1333" s="29"/>
      <c r="NH1333" s="29"/>
      <c r="NI1333" s="29"/>
      <c r="NJ1333" s="29"/>
      <c r="NK1333" s="29"/>
      <c r="NL1333" s="29"/>
      <c r="NM1333" s="29"/>
      <c r="NN1333" s="29"/>
      <c r="NO1333" s="29"/>
      <c r="NP1333" s="29"/>
      <c r="NQ1333" s="29"/>
      <c r="NR1333" s="29"/>
      <c r="NS1333" s="29"/>
      <c r="NT1333" s="29"/>
      <c r="NU1333" s="29"/>
      <c r="NV1333" s="29"/>
      <c r="NW1333" s="29"/>
      <c r="NX1333" s="29"/>
      <c r="NY1333" s="29"/>
      <c r="NZ1333" s="29"/>
      <c r="OA1333" s="29"/>
      <c r="OB1333" s="29"/>
      <c r="OC1333" s="29"/>
      <c r="OD1333" s="29"/>
      <c r="OE1333" s="29"/>
      <c r="OF1333" s="29"/>
      <c r="OG1333" s="29"/>
      <c r="OH1333" s="29"/>
      <c r="OI1333" s="29"/>
      <c r="OJ1333" s="29"/>
      <c r="OK1333" s="29"/>
      <c r="OL1333" s="29"/>
      <c r="OM1333" s="29"/>
      <c r="ON1333" s="29"/>
      <c r="OO1333" s="29"/>
      <c r="OP1333" s="29"/>
      <c r="OQ1333" s="29"/>
      <c r="OR1333" s="29"/>
      <c r="OS1333" s="29"/>
      <c r="OT1333" s="29"/>
      <c r="OU1333" s="29"/>
      <c r="OV1333" s="29"/>
      <c r="OW1333" s="29"/>
      <c r="OX1333" s="29"/>
      <c r="OY1333" s="29"/>
      <c r="OZ1333" s="29"/>
      <c r="PA1333" s="29"/>
      <c r="PB1333" s="29"/>
      <c r="PC1333" s="29"/>
      <c r="PD1333" s="29"/>
      <c r="PE1333" s="29"/>
      <c r="PF1333" s="29"/>
      <c r="PG1333" s="29"/>
      <c r="PH1333" s="29"/>
      <c r="PI1333" s="29"/>
      <c r="PJ1333" s="29"/>
      <c r="PK1333" s="29"/>
      <c r="PL1333" s="29"/>
      <c r="PM1333" s="29"/>
      <c r="PN1333" s="29"/>
      <c r="PO1333" s="29"/>
      <c r="PP1333" s="29"/>
      <c r="PQ1333" s="29"/>
      <c r="PR1333" s="29"/>
      <c r="PS1333" s="29"/>
      <c r="PT1333" s="29"/>
      <c r="PU1333" s="29"/>
      <c r="PV1333" s="29"/>
      <c r="PW1333" s="29"/>
      <c r="PX1333" s="29"/>
      <c r="PY1333" s="29"/>
      <c r="PZ1333" s="29"/>
      <c r="QA1333" s="29"/>
      <c r="QB1333" s="29"/>
      <c r="QC1333" s="29"/>
      <c r="QD1333" s="29"/>
      <c r="QE1333" s="29"/>
      <c r="QF1333" s="29"/>
      <c r="QG1333" s="29"/>
      <c r="QH1333" s="29"/>
      <c r="QI1333" s="29"/>
      <c r="QJ1333" s="29"/>
      <c r="QK1333" s="29"/>
      <c r="QL1333" s="29"/>
      <c r="QM1333" s="29"/>
      <c r="QN1333" s="29"/>
      <c r="QO1333" s="29"/>
      <c r="QP1333" s="29"/>
      <c r="QQ1333" s="29"/>
      <c r="QR1333" s="29"/>
      <c r="QS1333" s="29"/>
      <c r="QT1333" s="29"/>
      <c r="QU1333" s="29"/>
      <c r="QV1333" s="29"/>
      <c r="QW1333" s="29"/>
      <c r="QX1333" s="29"/>
      <c r="QY1333" s="29"/>
      <c r="QZ1333" s="29"/>
      <c r="RA1333" s="29"/>
      <c r="RB1333" s="29"/>
      <c r="RC1333" s="29"/>
      <c r="RD1333" s="29"/>
      <c r="RE1333" s="29"/>
      <c r="RF1333" s="29"/>
      <c r="RG1333" s="29"/>
      <c r="RH1333" s="29"/>
      <c r="RI1333" s="29"/>
      <c r="RJ1333" s="29"/>
      <c r="RK1333" s="29"/>
      <c r="RL1333" s="29"/>
      <c r="RM1333" s="29"/>
      <c r="RN1333" s="29"/>
      <c r="RO1333" s="29"/>
      <c r="RP1333" s="29"/>
      <c r="RQ1333" s="29"/>
      <c r="RR1333" s="29"/>
      <c r="RS1333" s="29"/>
      <c r="RT1333" s="29"/>
      <c r="RU1333" s="29"/>
      <c r="RV1333" s="29"/>
      <c r="RW1333" s="29"/>
      <c r="RX1333" s="29"/>
      <c r="RY1333" s="29"/>
      <c r="RZ1333" s="29"/>
      <c r="SA1333" s="29"/>
      <c r="SB1333" s="29"/>
      <c r="SC1333" s="29"/>
      <c r="SD1333" s="29"/>
      <c r="SE1333" s="29"/>
      <c r="SF1333" s="29"/>
      <c r="SG1333" s="29"/>
      <c r="SH1333" s="29"/>
      <c r="SI1333" s="29"/>
      <c r="SJ1333" s="29"/>
      <c r="SK1333" s="29"/>
      <c r="SL1333" s="29"/>
      <c r="SM1333" s="29"/>
      <c r="SN1333" s="29"/>
      <c r="SO1333" s="29"/>
      <c r="SP1333" s="29"/>
      <c r="SQ1333" s="29"/>
      <c r="SR1333" s="29"/>
      <c r="SS1333" s="29"/>
      <c r="ST1333" s="29"/>
      <c r="SU1333" s="29"/>
      <c r="SV1333" s="29"/>
      <c r="SW1333" s="29"/>
      <c r="SX1333" s="29"/>
      <c r="SY1333" s="29"/>
      <c r="SZ1333" s="29"/>
      <c r="TA1333" s="29"/>
      <c r="TB1333" s="29"/>
      <c r="TC1333" s="29"/>
      <c r="TD1333" s="29"/>
      <c r="TE1333" s="29"/>
      <c r="TF1333" s="29"/>
      <c r="TG1333" s="29"/>
      <c r="TH1333" s="29"/>
      <c r="TI1333" s="29"/>
      <c r="TJ1333" s="29"/>
      <c r="TK1333" s="29"/>
      <c r="TL1333" s="29"/>
      <c r="TM1333" s="29"/>
      <c r="TN1333" s="29"/>
      <c r="TO1333" s="29"/>
      <c r="TP1333" s="29"/>
      <c r="TQ1333" s="29"/>
      <c r="TR1333" s="29"/>
      <c r="TS1333" s="29"/>
      <c r="TT1333" s="29"/>
      <c r="TU1333" s="29"/>
      <c r="TV1333" s="29"/>
      <c r="TW1333" s="29"/>
      <c r="TX1333" s="29"/>
      <c r="TY1333" s="29"/>
      <c r="TZ1333" s="29"/>
      <c r="UA1333" s="29"/>
      <c r="UB1333" s="29"/>
      <c r="UC1333" s="29"/>
      <c r="UD1333" s="29"/>
      <c r="UE1333" s="29"/>
      <c r="UF1333" s="29"/>
      <c r="UG1333" s="29"/>
    </row>
    <row r="1334" spans="1:553" ht="21" customHeight="1">
      <c r="A1334" s="356"/>
      <c r="B1334" s="356"/>
      <c r="C1334" s="1453" t="s">
        <v>1057</v>
      </c>
      <c r="D1334" s="1389"/>
      <c r="E1334" s="1389"/>
      <c r="F1334" s="1390"/>
      <c r="G1334" s="366"/>
      <c r="H1334" s="370"/>
      <c r="I1334" s="370"/>
      <c r="J1334" s="368"/>
      <c r="K1334" s="371"/>
      <c r="L1334" s="645"/>
      <c r="M1334" s="356"/>
      <c r="N1334" s="356"/>
      <c r="O1334" s="356"/>
      <c r="P1334" s="356"/>
      <c r="Q1334" s="610"/>
      <c r="R1334" s="1452"/>
      <c r="S1334" s="308"/>
      <c r="T1334" s="308"/>
      <c r="U1334" s="308"/>
      <c r="V1334" s="308"/>
      <c r="W1334" s="308"/>
      <c r="X1334" s="308"/>
      <c r="Y1334" s="308"/>
      <c r="Z1334" s="604"/>
      <c r="AA1334" s="308"/>
      <c r="AB1334" s="308"/>
      <c r="AC1334" s="486"/>
      <c r="AD1334" s="486"/>
      <c r="AE1334" s="486"/>
      <c r="AF1334" s="486"/>
      <c r="AG1334" s="486"/>
      <c r="AH1334" s="486"/>
      <c r="AI1334" s="486"/>
      <c r="AJ1334" s="486"/>
      <c r="AK1334" s="486"/>
      <c r="AL1334" s="206"/>
      <c r="AM1334" s="29"/>
      <c r="AN1334" s="29"/>
      <c r="AO1334" s="29"/>
      <c r="AP1334" s="29"/>
      <c r="AQ1334" s="29"/>
      <c r="AR1334" s="29"/>
      <c r="AS1334" s="29"/>
      <c r="AT1334" s="29"/>
      <c r="AU1334" s="29"/>
      <c r="AV1334" s="29"/>
      <c r="AW1334" s="29"/>
      <c r="AX1334" s="29"/>
      <c r="AY1334" s="29"/>
      <c r="AZ1334" s="29"/>
      <c r="BA1334" s="29"/>
      <c r="BB1334" s="29"/>
      <c r="BC1334" s="29"/>
      <c r="BD1334" s="29"/>
      <c r="BE1334" s="29"/>
      <c r="BF1334" s="29"/>
      <c r="BG1334" s="29"/>
      <c r="BH1334" s="29"/>
      <c r="BI1334" s="29"/>
      <c r="BJ1334" s="29"/>
      <c r="BK1334" s="29"/>
      <c r="BL1334" s="29"/>
      <c r="BM1334" s="29"/>
      <c r="BN1334" s="29"/>
      <c r="BO1334" s="29"/>
      <c r="BP1334" s="29"/>
      <c r="BQ1334" s="29"/>
      <c r="BR1334" s="29"/>
      <c r="BS1334" s="29"/>
      <c r="BT1334" s="29"/>
      <c r="BU1334" s="29"/>
      <c r="BV1334" s="29"/>
      <c r="BW1334" s="29"/>
      <c r="BX1334" s="29"/>
      <c r="BY1334" s="29"/>
      <c r="BZ1334" s="29"/>
      <c r="CA1334" s="29"/>
      <c r="CB1334" s="29"/>
      <c r="CC1334" s="29"/>
      <c r="CD1334" s="29"/>
      <c r="CE1334" s="29"/>
      <c r="CF1334" s="29"/>
      <c r="CG1334" s="29"/>
      <c r="CH1334" s="29"/>
      <c r="CI1334" s="29"/>
      <c r="CJ1334" s="29"/>
      <c r="CK1334" s="29"/>
      <c r="CL1334" s="29"/>
      <c r="CM1334" s="29"/>
      <c r="CN1334" s="29"/>
      <c r="CO1334" s="29"/>
      <c r="CP1334" s="29"/>
      <c r="CQ1334" s="29"/>
      <c r="CR1334" s="29"/>
      <c r="CS1334" s="29"/>
      <c r="CT1334" s="29"/>
      <c r="CU1334" s="29"/>
      <c r="CV1334" s="29"/>
      <c r="CW1334" s="29"/>
      <c r="CX1334" s="29"/>
      <c r="CY1334" s="29"/>
      <c r="CZ1334" s="29"/>
      <c r="DA1334" s="29"/>
      <c r="DB1334" s="29"/>
      <c r="DC1334" s="29"/>
      <c r="DD1334" s="29"/>
      <c r="DE1334" s="29"/>
      <c r="DF1334" s="29"/>
      <c r="DG1334" s="29"/>
      <c r="DH1334" s="29"/>
      <c r="DI1334" s="29"/>
      <c r="DJ1334" s="29"/>
      <c r="DK1334" s="29"/>
      <c r="DL1334" s="29"/>
      <c r="DM1334" s="29"/>
      <c r="DN1334" s="29"/>
      <c r="DO1334" s="29"/>
      <c r="DP1334" s="29"/>
      <c r="DQ1334" s="29"/>
      <c r="DR1334" s="29"/>
      <c r="DS1334" s="29"/>
      <c r="DT1334" s="29"/>
      <c r="DU1334" s="29"/>
      <c r="DV1334" s="29"/>
      <c r="DW1334" s="29"/>
      <c r="DX1334" s="29"/>
      <c r="DY1334" s="29"/>
      <c r="DZ1334" s="29"/>
      <c r="EA1334" s="29"/>
      <c r="EB1334" s="29"/>
      <c r="EC1334" s="29"/>
      <c r="ED1334" s="29"/>
      <c r="EE1334" s="29"/>
      <c r="EF1334" s="29"/>
      <c r="EG1334" s="29"/>
      <c r="EH1334" s="29"/>
      <c r="EI1334" s="29"/>
      <c r="EJ1334" s="29"/>
      <c r="EK1334" s="29"/>
      <c r="EL1334" s="29"/>
      <c r="EM1334" s="29"/>
      <c r="EN1334" s="29"/>
      <c r="EO1334" s="29"/>
      <c r="EP1334" s="29"/>
      <c r="EQ1334" s="29"/>
      <c r="ER1334" s="29"/>
      <c r="ES1334" s="29"/>
      <c r="ET1334" s="29"/>
      <c r="EU1334" s="29"/>
      <c r="EV1334" s="29"/>
      <c r="EW1334" s="29"/>
      <c r="EX1334" s="29"/>
      <c r="EY1334" s="29"/>
      <c r="EZ1334" s="29"/>
      <c r="FA1334" s="29"/>
      <c r="FB1334" s="29"/>
      <c r="FC1334" s="29"/>
      <c r="FD1334" s="29"/>
      <c r="FE1334" s="29"/>
      <c r="FF1334" s="29"/>
      <c r="FG1334" s="29"/>
      <c r="FH1334" s="29"/>
      <c r="FI1334" s="29"/>
      <c r="FJ1334" s="29"/>
      <c r="FK1334" s="29"/>
      <c r="FL1334" s="29"/>
      <c r="FM1334" s="29"/>
      <c r="FN1334" s="29"/>
      <c r="FO1334" s="29"/>
      <c r="FP1334" s="29"/>
      <c r="FQ1334" s="29"/>
      <c r="FR1334" s="29"/>
      <c r="FS1334" s="29"/>
      <c r="FT1334" s="29"/>
      <c r="FU1334" s="29"/>
      <c r="FV1334" s="29"/>
      <c r="FW1334" s="29"/>
      <c r="FX1334" s="29"/>
      <c r="FY1334" s="29"/>
      <c r="FZ1334" s="29"/>
      <c r="GA1334" s="29"/>
      <c r="GB1334" s="29"/>
      <c r="GC1334" s="29"/>
      <c r="GD1334" s="29"/>
      <c r="GE1334" s="29"/>
      <c r="GF1334" s="29"/>
      <c r="GG1334" s="29"/>
      <c r="GH1334" s="29"/>
      <c r="GI1334" s="29"/>
      <c r="GJ1334" s="29"/>
      <c r="GK1334" s="29"/>
      <c r="GL1334" s="29"/>
      <c r="GM1334" s="29"/>
      <c r="GN1334" s="29"/>
      <c r="GO1334" s="29"/>
      <c r="GP1334" s="29"/>
      <c r="GQ1334" s="29"/>
      <c r="GR1334" s="29"/>
      <c r="GS1334" s="29"/>
      <c r="GT1334" s="29"/>
      <c r="GU1334" s="29"/>
      <c r="GV1334" s="29"/>
      <c r="GW1334" s="29"/>
      <c r="GX1334" s="29"/>
      <c r="GY1334" s="29"/>
      <c r="GZ1334" s="29"/>
      <c r="HA1334" s="29"/>
      <c r="HB1334" s="29"/>
      <c r="HC1334" s="29"/>
      <c r="HD1334" s="29"/>
      <c r="HE1334" s="29"/>
      <c r="HF1334" s="29"/>
      <c r="HG1334" s="29"/>
      <c r="HH1334" s="29"/>
      <c r="HI1334" s="29"/>
      <c r="HJ1334" s="29"/>
      <c r="HK1334" s="29"/>
      <c r="HL1334" s="29"/>
      <c r="HM1334" s="29"/>
      <c r="HN1334" s="29"/>
      <c r="HO1334" s="29"/>
      <c r="HP1334" s="29"/>
      <c r="HQ1334" s="29"/>
      <c r="HR1334" s="29"/>
      <c r="HS1334" s="29"/>
      <c r="HT1334" s="29"/>
      <c r="HU1334" s="29"/>
      <c r="HV1334" s="29"/>
      <c r="HW1334" s="29"/>
      <c r="HX1334" s="29"/>
      <c r="HY1334" s="29"/>
      <c r="HZ1334" s="29"/>
      <c r="IA1334" s="29"/>
      <c r="IB1334" s="29"/>
      <c r="IC1334" s="29"/>
      <c r="ID1334" s="29"/>
      <c r="IE1334" s="29"/>
      <c r="IF1334" s="29"/>
      <c r="IG1334" s="29"/>
      <c r="IH1334" s="29"/>
      <c r="II1334" s="29"/>
      <c r="IJ1334" s="29"/>
      <c r="IK1334" s="29"/>
      <c r="IL1334" s="29"/>
      <c r="IM1334" s="29"/>
      <c r="IN1334" s="29"/>
      <c r="IO1334" s="29"/>
      <c r="IP1334" s="29"/>
      <c r="IQ1334" s="29"/>
      <c r="IR1334" s="29"/>
      <c r="IS1334" s="29"/>
      <c r="IT1334" s="29"/>
      <c r="IU1334" s="29"/>
      <c r="IV1334" s="29"/>
      <c r="IW1334" s="29"/>
      <c r="IX1334" s="29"/>
      <c r="IY1334" s="29"/>
      <c r="IZ1334" s="29"/>
      <c r="JA1334" s="29"/>
      <c r="JB1334" s="29"/>
      <c r="JC1334" s="29"/>
      <c r="JD1334" s="29"/>
      <c r="JE1334" s="29"/>
      <c r="JF1334" s="29"/>
      <c r="JG1334" s="29"/>
      <c r="JH1334" s="29"/>
      <c r="JI1334" s="29"/>
      <c r="JJ1334" s="29"/>
      <c r="JK1334" s="29"/>
      <c r="JL1334" s="29"/>
      <c r="JM1334" s="29"/>
      <c r="JN1334" s="29"/>
      <c r="JO1334" s="29"/>
      <c r="JP1334" s="29"/>
      <c r="JQ1334" s="29"/>
      <c r="JR1334" s="29"/>
      <c r="JS1334" s="29"/>
      <c r="JT1334" s="29"/>
      <c r="JU1334" s="29"/>
      <c r="JV1334" s="29"/>
      <c r="JW1334" s="29"/>
      <c r="JX1334" s="29"/>
      <c r="JY1334" s="29"/>
      <c r="JZ1334" s="29"/>
      <c r="KA1334" s="29"/>
      <c r="KB1334" s="29"/>
      <c r="KC1334" s="29"/>
      <c r="KD1334" s="29"/>
      <c r="KE1334" s="29"/>
      <c r="KF1334" s="29"/>
      <c r="KG1334" s="29"/>
      <c r="KH1334" s="29"/>
      <c r="KI1334" s="29"/>
      <c r="KJ1334" s="29"/>
      <c r="KK1334" s="29"/>
      <c r="KL1334" s="29"/>
      <c r="KM1334" s="29"/>
      <c r="KN1334" s="29"/>
      <c r="KO1334" s="29"/>
      <c r="KP1334" s="29"/>
      <c r="KQ1334" s="29"/>
      <c r="KR1334" s="29"/>
      <c r="KS1334" s="29"/>
      <c r="KT1334" s="29"/>
      <c r="KU1334" s="29"/>
      <c r="KV1334" s="29"/>
      <c r="KW1334" s="29"/>
      <c r="KX1334" s="29"/>
      <c r="KY1334" s="29"/>
      <c r="KZ1334" s="29"/>
      <c r="LA1334" s="29"/>
      <c r="LB1334" s="29"/>
      <c r="LC1334" s="29"/>
      <c r="LD1334" s="29"/>
      <c r="LE1334" s="29"/>
      <c r="LF1334" s="29"/>
      <c r="LG1334" s="29"/>
      <c r="LH1334" s="29"/>
      <c r="LI1334" s="29"/>
      <c r="LJ1334" s="29"/>
      <c r="LK1334" s="29"/>
      <c r="LL1334" s="29"/>
      <c r="LM1334" s="29"/>
      <c r="LN1334" s="29"/>
      <c r="LO1334" s="29"/>
      <c r="LP1334" s="29"/>
      <c r="LQ1334" s="29"/>
      <c r="LR1334" s="29"/>
      <c r="LS1334" s="29"/>
      <c r="LT1334" s="29"/>
      <c r="LU1334" s="29"/>
      <c r="LV1334" s="29"/>
      <c r="LW1334" s="29"/>
      <c r="LX1334" s="29"/>
      <c r="LY1334" s="29"/>
      <c r="LZ1334" s="29"/>
      <c r="MA1334" s="29"/>
      <c r="MB1334" s="29"/>
      <c r="MC1334" s="29"/>
      <c r="MD1334" s="29"/>
      <c r="ME1334" s="29"/>
      <c r="MF1334" s="29"/>
      <c r="MG1334" s="29"/>
      <c r="MH1334" s="29"/>
      <c r="MI1334" s="29"/>
      <c r="MJ1334" s="29"/>
      <c r="MK1334" s="29"/>
      <c r="ML1334" s="29"/>
      <c r="MM1334" s="29"/>
      <c r="MN1334" s="29"/>
      <c r="MO1334" s="29"/>
      <c r="MP1334" s="29"/>
      <c r="MQ1334" s="29"/>
      <c r="MR1334" s="29"/>
      <c r="MS1334" s="29"/>
      <c r="MT1334" s="29"/>
      <c r="MU1334" s="29"/>
      <c r="MV1334" s="29"/>
      <c r="MW1334" s="29"/>
      <c r="MX1334" s="29"/>
      <c r="MY1334" s="29"/>
      <c r="MZ1334" s="29"/>
      <c r="NA1334" s="29"/>
      <c r="NB1334" s="29"/>
      <c r="NC1334" s="29"/>
      <c r="ND1334" s="29"/>
      <c r="NE1334" s="29"/>
      <c r="NF1334" s="29"/>
      <c r="NG1334" s="29"/>
      <c r="NH1334" s="29"/>
      <c r="NI1334" s="29"/>
      <c r="NJ1334" s="29"/>
      <c r="NK1334" s="29"/>
      <c r="NL1334" s="29"/>
      <c r="NM1334" s="29"/>
      <c r="NN1334" s="29"/>
      <c r="NO1334" s="29"/>
      <c r="NP1334" s="29"/>
      <c r="NQ1334" s="29"/>
      <c r="NR1334" s="29"/>
      <c r="NS1334" s="29"/>
      <c r="NT1334" s="29"/>
      <c r="NU1334" s="29"/>
      <c r="NV1334" s="29"/>
      <c r="NW1334" s="29"/>
      <c r="NX1334" s="29"/>
      <c r="NY1334" s="29"/>
      <c r="NZ1334" s="29"/>
      <c r="OA1334" s="29"/>
      <c r="OB1334" s="29"/>
      <c r="OC1334" s="29"/>
      <c r="OD1334" s="29"/>
      <c r="OE1334" s="29"/>
      <c r="OF1334" s="29"/>
      <c r="OG1334" s="29"/>
      <c r="OH1334" s="29"/>
      <c r="OI1334" s="29"/>
      <c r="OJ1334" s="29"/>
      <c r="OK1334" s="29"/>
      <c r="OL1334" s="29"/>
      <c r="OM1334" s="29"/>
      <c r="ON1334" s="29"/>
      <c r="OO1334" s="29"/>
      <c r="OP1334" s="29"/>
      <c r="OQ1334" s="29"/>
      <c r="OR1334" s="29"/>
      <c r="OS1334" s="29"/>
      <c r="OT1334" s="29"/>
      <c r="OU1334" s="29"/>
      <c r="OV1334" s="29"/>
      <c r="OW1334" s="29"/>
      <c r="OX1334" s="29"/>
      <c r="OY1334" s="29"/>
      <c r="OZ1334" s="29"/>
      <c r="PA1334" s="29"/>
      <c r="PB1334" s="29"/>
      <c r="PC1334" s="29"/>
      <c r="PD1334" s="29"/>
      <c r="PE1334" s="29"/>
      <c r="PF1334" s="29"/>
      <c r="PG1334" s="29"/>
      <c r="PH1334" s="29"/>
      <c r="PI1334" s="29"/>
      <c r="PJ1334" s="29"/>
      <c r="PK1334" s="29"/>
      <c r="PL1334" s="29"/>
      <c r="PM1334" s="29"/>
      <c r="PN1334" s="29"/>
      <c r="PO1334" s="29"/>
      <c r="PP1334" s="29"/>
      <c r="PQ1334" s="29"/>
      <c r="PR1334" s="29"/>
      <c r="PS1334" s="29"/>
      <c r="PT1334" s="29"/>
      <c r="PU1334" s="29"/>
      <c r="PV1334" s="29"/>
      <c r="PW1334" s="29"/>
      <c r="PX1334" s="29"/>
      <c r="PY1334" s="29"/>
      <c r="PZ1334" s="29"/>
      <c r="QA1334" s="29"/>
      <c r="QB1334" s="29"/>
      <c r="QC1334" s="29"/>
      <c r="QD1334" s="29"/>
      <c r="QE1334" s="29"/>
      <c r="QF1334" s="29"/>
      <c r="QG1334" s="29"/>
      <c r="QH1334" s="29"/>
      <c r="QI1334" s="29"/>
      <c r="QJ1334" s="29"/>
      <c r="QK1334" s="29"/>
      <c r="QL1334" s="29"/>
      <c r="QM1334" s="29"/>
      <c r="QN1334" s="29"/>
      <c r="QO1334" s="29"/>
      <c r="QP1334" s="29"/>
      <c r="QQ1334" s="29"/>
      <c r="QR1334" s="29"/>
      <c r="QS1334" s="29"/>
      <c r="QT1334" s="29"/>
      <c r="QU1334" s="29"/>
      <c r="QV1334" s="29"/>
      <c r="QW1334" s="29"/>
      <c r="QX1334" s="29"/>
      <c r="QY1334" s="29"/>
      <c r="QZ1334" s="29"/>
      <c r="RA1334" s="29"/>
      <c r="RB1334" s="29"/>
      <c r="RC1334" s="29"/>
      <c r="RD1334" s="29"/>
      <c r="RE1334" s="29"/>
      <c r="RF1334" s="29"/>
      <c r="RG1334" s="29"/>
      <c r="RH1334" s="29"/>
      <c r="RI1334" s="29"/>
      <c r="RJ1334" s="29"/>
      <c r="RK1334" s="29"/>
      <c r="RL1334" s="29"/>
      <c r="RM1334" s="29"/>
      <c r="RN1334" s="29"/>
      <c r="RO1334" s="29"/>
      <c r="RP1334" s="29"/>
      <c r="RQ1334" s="29"/>
      <c r="RR1334" s="29"/>
      <c r="RS1334" s="29"/>
      <c r="RT1334" s="29"/>
      <c r="RU1334" s="29"/>
      <c r="RV1334" s="29"/>
      <c r="RW1334" s="29"/>
      <c r="RX1334" s="29"/>
      <c r="RY1334" s="29"/>
      <c r="RZ1334" s="29"/>
      <c r="SA1334" s="29"/>
      <c r="SB1334" s="29"/>
      <c r="SC1334" s="29"/>
      <c r="SD1334" s="29"/>
      <c r="SE1334" s="29"/>
      <c r="SF1334" s="29"/>
      <c r="SG1334" s="29"/>
      <c r="SH1334" s="29"/>
      <c r="SI1334" s="29"/>
      <c r="SJ1334" s="29"/>
      <c r="SK1334" s="29"/>
      <c r="SL1334" s="29"/>
      <c r="SM1334" s="29"/>
      <c r="SN1334" s="29"/>
      <c r="SO1334" s="29"/>
      <c r="SP1334" s="29"/>
      <c r="SQ1334" s="29"/>
      <c r="SR1334" s="29"/>
      <c r="SS1334" s="29"/>
      <c r="ST1334" s="29"/>
      <c r="SU1334" s="29"/>
      <c r="SV1334" s="29"/>
      <c r="SW1334" s="29"/>
      <c r="SX1334" s="29"/>
      <c r="SY1334" s="29"/>
      <c r="SZ1334" s="29"/>
      <c r="TA1334" s="29"/>
      <c r="TB1334" s="29"/>
      <c r="TC1334" s="29"/>
      <c r="TD1334" s="29"/>
      <c r="TE1334" s="29"/>
      <c r="TF1334" s="29"/>
      <c r="TG1334" s="29"/>
      <c r="TH1334" s="29"/>
      <c r="TI1334" s="29"/>
      <c r="TJ1334" s="29"/>
      <c r="TK1334" s="29"/>
      <c r="TL1334" s="29"/>
      <c r="TM1334" s="29"/>
      <c r="TN1334" s="29"/>
      <c r="TO1334" s="29"/>
      <c r="TP1334" s="29"/>
      <c r="TQ1334" s="29"/>
      <c r="TR1334" s="29"/>
      <c r="TS1334" s="29"/>
      <c r="TT1334" s="29"/>
      <c r="TU1334" s="29"/>
      <c r="TV1334" s="29"/>
      <c r="TW1334" s="29"/>
      <c r="TX1334" s="29"/>
      <c r="TY1334" s="29"/>
      <c r="TZ1334" s="29"/>
      <c r="UA1334" s="29"/>
      <c r="UB1334" s="29"/>
      <c r="UC1334" s="29"/>
      <c r="UD1334" s="29"/>
      <c r="UE1334" s="29"/>
      <c r="UF1334" s="29"/>
      <c r="UG1334" s="29"/>
    </row>
    <row r="1335" spans="1:553" s="1262" customFormat="1" ht="25.15" customHeight="1">
      <c r="A1335" s="356" t="s">
        <v>15</v>
      </c>
      <c r="B1335" s="356"/>
      <c r="C1335" s="1586" t="s">
        <v>263</v>
      </c>
      <c r="D1335" s="1389"/>
      <c r="E1335" s="1389"/>
      <c r="F1335" s="1390"/>
      <c r="G1335" s="418" t="s">
        <v>196</v>
      </c>
      <c r="H1335" s="370"/>
      <c r="I1335" s="794">
        <f>(95.03*100/500)*(23-(7-3))*1</f>
        <v>361.11400000000003</v>
      </c>
      <c r="J1335" s="368">
        <v>11000</v>
      </c>
      <c r="K1335" s="650">
        <v>0.7</v>
      </c>
      <c r="L1335" s="571">
        <f t="shared" ref="L1335:L1340" si="200">ROUND(PRODUCT(I1335:K1335),0)</f>
        <v>2780578</v>
      </c>
      <c r="M1335" s="356"/>
      <c r="N1335" s="356"/>
      <c r="O1335" s="356"/>
      <c r="P1335" s="356"/>
      <c r="Q1335" s="610"/>
      <c r="R1335" s="1452"/>
      <c r="S1335" s="308"/>
      <c r="T1335" s="308"/>
      <c r="U1335" s="308"/>
      <c r="V1335" s="308"/>
      <c r="W1335" s="308"/>
      <c r="X1335" s="308"/>
      <c r="Y1335" s="308"/>
      <c r="Z1335" s="604"/>
      <c r="AA1335" s="308"/>
      <c r="AB1335" s="308"/>
      <c r="AC1335" s="486"/>
      <c r="AD1335" s="486"/>
      <c r="AE1335" s="486"/>
      <c r="AF1335" s="486"/>
      <c r="AG1335" s="486"/>
      <c r="AH1335" s="486"/>
      <c r="AI1335" s="486"/>
      <c r="AJ1335" s="486"/>
      <c r="AK1335" s="486"/>
      <c r="AL1335" s="1267"/>
      <c r="AM1335" s="1268"/>
      <c r="AN1335" s="1268"/>
      <c r="AO1335" s="1268"/>
      <c r="AP1335" s="1268"/>
      <c r="AQ1335" s="1268"/>
      <c r="AR1335" s="1268"/>
      <c r="AS1335" s="1268"/>
      <c r="AT1335" s="1268"/>
      <c r="AU1335" s="1268"/>
      <c r="AV1335" s="1268"/>
      <c r="AW1335" s="1268"/>
      <c r="AX1335" s="1268"/>
      <c r="AY1335" s="1268"/>
      <c r="AZ1335" s="1268"/>
      <c r="BA1335" s="1268"/>
      <c r="BB1335" s="1268"/>
      <c r="BC1335" s="1268"/>
      <c r="BD1335" s="1268"/>
      <c r="BE1335" s="1268"/>
      <c r="BF1335" s="1268"/>
      <c r="BG1335" s="1268"/>
      <c r="BH1335" s="1268"/>
      <c r="BI1335" s="1268"/>
      <c r="BJ1335" s="1268"/>
      <c r="BK1335" s="1268"/>
      <c r="BL1335" s="1268"/>
      <c r="BM1335" s="1268"/>
      <c r="BN1335" s="1268"/>
      <c r="BO1335" s="1268"/>
      <c r="BP1335" s="1268"/>
      <c r="BQ1335" s="1268"/>
      <c r="BR1335" s="1268"/>
      <c r="BS1335" s="1268"/>
      <c r="BT1335" s="1268"/>
      <c r="BU1335" s="1268"/>
      <c r="BV1335" s="1268"/>
      <c r="BW1335" s="1268"/>
      <c r="BX1335" s="1268"/>
      <c r="BY1335" s="1268"/>
      <c r="BZ1335" s="1268"/>
      <c r="CA1335" s="1268"/>
      <c r="CB1335" s="1268"/>
      <c r="CC1335" s="1268"/>
      <c r="CD1335" s="1268"/>
      <c r="CE1335" s="1268"/>
      <c r="CF1335" s="1268"/>
      <c r="CG1335" s="1268"/>
      <c r="CH1335" s="1268"/>
      <c r="CI1335" s="1268"/>
      <c r="CJ1335" s="1268"/>
      <c r="CK1335" s="1268"/>
      <c r="CL1335" s="1268"/>
      <c r="CM1335" s="1268"/>
      <c r="CN1335" s="1268"/>
      <c r="CO1335" s="1268"/>
      <c r="CP1335" s="1268"/>
      <c r="CQ1335" s="1268"/>
      <c r="CR1335" s="1268"/>
      <c r="CS1335" s="1268"/>
      <c r="CT1335" s="1268"/>
      <c r="CU1335" s="1268"/>
      <c r="CV1335" s="1268"/>
      <c r="CW1335" s="1268"/>
      <c r="CX1335" s="1268"/>
      <c r="CY1335" s="1268"/>
      <c r="CZ1335" s="1268"/>
      <c r="DA1335" s="1268"/>
      <c r="DB1335" s="1268"/>
      <c r="DC1335" s="1268"/>
      <c r="DD1335" s="1268"/>
      <c r="DE1335" s="1268"/>
      <c r="DF1335" s="1268"/>
      <c r="DG1335" s="1268"/>
      <c r="DH1335" s="1268"/>
      <c r="DI1335" s="1268"/>
      <c r="DJ1335" s="1268"/>
      <c r="DK1335" s="1268"/>
      <c r="DL1335" s="1268"/>
      <c r="DM1335" s="1268"/>
      <c r="DN1335" s="1268"/>
      <c r="DO1335" s="1268"/>
      <c r="DP1335" s="1268"/>
      <c r="DQ1335" s="1268"/>
      <c r="DR1335" s="1268"/>
      <c r="DS1335" s="1268"/>
      <c r="DT1335" s="1268"/>
      <c r="DU1335" s="1268"/>
      <c r="DV1335" s="1268"/>
      <c r="DW1335" s="1268"/>
      <c r="DX1335" s="1268"/>
      <c r="DY1335" s="1268"/>
      <c r="DZ1335" s="1268"/>
      <c r="EA1335" s="1268"/>
      <c r="EB1335" s="1268"/>
      <c r="EC1335" s="1268"/>
      <c r="ED1335" s="1268"/>
      <c r="EE1335" s="1268"/>
      <c r="EF1335" s="1268"/>
      <c r="EG1335" s="1268"/>
      <c r="EH1335" s="1268"/>
      <c r="EI1335" s="1268"/>
      <c r="EJ1335" s="1268"/>
      <c r="EK1335" s="1268"/>
      <c r="EL1335" s="1268"/>
      <c r="EM1335" s="1268"/>
      <c r="EN1335" s="1268"/>
      <c r="EO1335" s="1268"/>
      <c r="EP1335" s="1268"/>
      <c r="EQ1335" s="1268"/>
      <c r="ER1335" s="1268"/>
      <c r="ES1335" s="1268"/>
      <c r="ET1335" s="1268"/>
      <c r="EU1335" s="1268"/>
      <c r="EV1335" s="1268"/>
      <c r="EW1335" s="1268"/>
      <c r="EX1335" s="1268"/>
      <c r="EY1335" s="1268"/>
      <c r="EZ1335" s="1268"/>
      <c r="FA1335" s="1268"/>
      <c r="FB1335" s="1268"/>
      <c r="FC1335" s="1268"/>
      <c r="FD1335" s="1268"/>
      <c r="FE1335" s="1268"/>
      <c r="FF1335" s="1268"/>
      <c r="FG1335" s="1268"/>
      <c r="FH1335" s="1268"/>
      <c r="FI1335" s="1268"/>
      <c r="FJ1335" s="1268"/>
      <c r="FK1335" s="1268"/>
      <c r="FL1335" s="1268"/>
      <c r="FM1335" s="1268"/>
      <c r="FN1335" s="1268"/>
      <c r="FO1335" s="1268"/>
      <c r="FP1335" s="1268"/>
      <c r="FQ1335" s="1268"/>
      <c r="FR1335" s="1268"/>
      <c r="FS1335" s="1268"/>
      <c r="FT1335" s="1268"/>
      <c r="FU1335" s="1268"/>
      <c r="FV1335" s="1268"/>
      <c r="FW1335" s="1268"/>
      <c r="FX1335" s="1268"/>
      <c r="FY1335" s="1268"/>
      <c r="FZ1335" s="1268"/>
      <c r="GA1335" s="1268"/>
      <c r="GB1335" s="1268"/>
      <c r="GC1335" s="1268"/>
      <c r="GD1335" s="1268"/>
      <c r="GE1335" s="1268"/>
      <c r="GF1335" s="1268"/>
      <c r="GG1335" s="1268"/>
      <c r="GH1335" s="1268"/>
      <c r="GI1335" s="1268"/>
      <c r="GJ1335" s="1268"/>
      <c r="GK1335" s="1268"/>
      <c r="GL1335" s="1268"/>
      <c r="GM1335" s="1268"/>
      <c r="GN1335" s="1268"/>
      <c r="GO1335" s="1268"/>
      <c r="GP1335" s="1268"/>
      <c r="GQ1335" s="1268"/>
      <c r="GR1335" s="1268"/>
      <c r="GS1335" s="1268"/>
      <c r="GT1335" s="1268"/>
      <c r="GU1335" s="1268"/>
      <c r="GV1335" s="1268"/>
      <c r="GW1335" s="1268"/>
      <c r="GX1335" s="1268"/>
      <c r="GY1335" s="1268"/>
      <c r="GZ1335" s="1268"/>
      <c r="HA1335" s="1268"/>
      <c r="HB1335" s="1268"/>
      <c r="HC1335" s="1268"/>
      <c r="HD1335" s="1268"/>
      <c r="HE1335" s="1268"/>
      <c r="HF1335" s="1268"/>
      <c r="HG1335" s="1268"/>
      <c r="HH1335" s="1268"/>
      <c r="HI1335" s="1268"/>
      <c r="HJ1335" s="1268"/>
      <c r="HK1335" s="1268"/>
      <c r="HL1335" s="1268"/>
      <c r="HM1335" s="1268"/>
      <c r="HN1335" s="1268"/>
      <c r="HO1335" s="1268"/>
      <c r="HP1335" s="1268"/>
      <c r="HQ1335" s="1268"/>
      <c r="HR1335" s="1268"/>
      <c r="HS1335" s="1268"/>
      <c r="HT1335" s="1268"/>
      <c r="HU1335" s="1268"/>
      <c r="HV1335" s="1268"/>
      <c r="HW1335" s="1268"/>
      <c r="HX1335" s="1268"/>
      <c r="HY1335" s="1268"/>
      <c r="HZ1335" s="1268"/>
      <c r="IA1335" s="1268"/>
      <c r="IB1335" s="1268"/>
      <c r="IC1335" s="1268"/>
      <c r="ID1335" s="1268"/>
      <c r="IE1335" s="1268"/>
      <c r="IF1335" s="1268"/>
      <c r="IG1335" s="1268"/>
      <c r="IH1335" s="1268"/>
      <c r="II1335" s="1268"/>
      <c r="IJ1335" s="1268"/>
      <c r="IK1335" s="1268"/>
      <c r="IL1335" s="1268"/>
      <c r="IM1335" s="1268"/>
      <c r="IN1335" s="1268"/>
      <c r="IO1335" s="1268"/>
      <c r="IP1335" s="1268"/>
      <c r="IQ1335" s="1268"/>
      <c r="IR1335" s="1268"/>
      <c r="IS1335" s="1268"/>
      <c r="IT1335" s="1268"/>
      <c r="IU1335" s="1268"/>
      <c r="IV1335" s="1268"/>
      <c r="IW1335" s="1268"/>
      <c r="IX1335" s="1268"/>
      <c r="IY1335" s="1268"/>
      <c r="IZ1335" s="1268"/>
      <c r="JA1335" s="1268"/>
      <c r="JB1335" s="1268"/>
      <c r="JC1335" s="1268"/>
      <c r="JD1335" s="1268"/>
      <c r="JE1335" s="1268"/>
      <c r="JF1335" s="1268"/>
      <c r="JG1335" s="1268"/>
      <c r="JH1335" s="1268"/>
      <c r="JI1335" s="1268"/>
      <c r="JJ1335" s="1268"/>
      <c r="JK1335" s="1268"/>
      <c r="JL1335" s="1268"/>
      <c r="JM1335" s="1268"/>
      <c r="JN1335" s="1268"/>
      <c r="JO1335" s="1268"/>
      <c r="JP1335" s="1268"/>
      <c r="JQ1335" s="1268"/>
      <c r="JR1335" s="1268"/>
      <c r="JS1335" s="1268"/>
      <c r="JT1335" s="1268"/>
      <c r="JU1335" s="1268"/>
      <c r="JV1335" s="1268"/>
      <c r="JW1335" s="1268"/>
      <c r="JX1335" s="1268"/>
      <c r="JY1335" s="1268"/>
      <c r="JZ1335" s="1268"/>
      <c r="KA1335" s="1268"/>
      <c r="KB1335" s="1268"/>
      <c r="KC1335" s="1268"/>
      <c r="KD1335" s="1268"/>
      <c r="KE1335" s="1268"/>
      <c r="KF1335" s="1268"/>
      <c r="KG1335" s="1268"/>
      <c r="KH1335" s="1268"/>
      <c r="KI1335" s="1268"/>
      <c r="KJ1335" s="1268"/>
      <c r="KK1335" s="1268"/>
      <c r="KL1335" s="1268"/>
      <c r="KM1335" s="1268"/>
      <c r="KN1335" s="1268"/>
      <c r="KO1335" s="1268"/>
      <c r="KP1335" s="1268"/>
      <c r="KQ1335" s="1268"/>
      <c r="KR1335" s="1268"/>
      <c r="KS1335" s="1268"/>
      <c r="KT1335" s="1268"/>
      <c r="KU1335" s="1268"/>
      <c r="KV1335" s="1268"/>
      <c r="KW1335" s="1268"/>
      <c r="KX1335" s="1268"/>
      <c r="KY1335" s="1268"/>
      <c r="KZ1335" s="1268"/>
      <c r="LA1335" s="1268"/>
      <c r="LB1335" s="1268"/>
      <c r="LC1335" s="1268"/>
      <c r="LD1335" s="1268"/>
      <c r="LE1335" s="1268"/>
      <c r="LF1335" s="1268"/>
      <c r="LG1335" s="1268"/>
      <c r="LH1335" s="1268"/>
      <c r="LI1335" s="1268"/>
      <c r="LJ1335" s="1268"/>
      <c r="LK1335" s="1268"/>
      <c r="LL1335" s="1268"/>
      <c r="LM1335" s="1268"/>
      <c r="LN1335" s="1268"/>
      <c r="LO1335" s="1268"/>
      <c r="LP1335" s="1268"/>
      <c r="LQ1335" s="1268"/>
      <c r="LR1335" s="1268"/>
      <c r="LS1335" s="1268"/>
      <c r="LT1335" s="1268"/>
      <c r="LU1335" s="1268"/>
      <c r="LV1335" s="1268"/>
      <c r="LW1335" s="1268"/>
      <c r="LX1335" s="1268"/>
      <c r="LY1335" s="1268"/>
      <c r="LZ1335" s="1268"/>
      <c r="MA1335" s="1268"/>
      <c r="MB1335" s="1268"/>
      <c r="MC1335" s="1268"/>
      <c r="MD1335" s="1268"/>
      <c r="ME1335" s="1268"/>
      <c r="MF1335" s="1268"/>
      <c r="MG1335" s="1268"/>
      <c r="MH1335" s="1268"/>
      <c r="MI1335" s="1268"/>
      <c r="MJ1335" s="1268"/>
      <c r="MK1335" s="1268"/>
      <c r="ML1335" s="1268"/>
      <c r="MM1335" s="1268"/>
      <c r="MN1335" s="1268"/>
      <c r="MO1335" s="1268"/>
      <c r="MP1335" s="1268"/>
      <c r="MQ1335" s="1268"/>
      <c r="MR1335" s="1268"/>
      <c r="MS1335" s="1268"/>
      <c r="MT1335" s="1268"/>
      <c r="MU1335" s="1268"/>
      <c r="MV1335" s="1268"/>
      <c r="MW1335" s="1268"/>
      <c r="MX1335" s="1268"/>
      <c r="MY1335" s="1268"/>
      <c r="MZ1335" s="1268"/>
      <c r="NA1335" s="1268"/>
      <c r="NB1335" s="1268"/>
      <c r="NC1335" s="1268"/>
      <c r="ND1335" s="1268"/>
      <c r="NE1335" s="1268"/>
      <c r="NF1335" s="1268"/>
      <c r="NG1335" s="1268"/>
      <c r="NH1335" s="1268"/>
      <c r="NI1335" s="1268"/>
      <c r="NJ1335" s="1268"/>
      <c r="NK1335" s="1268"/>
      <c r="NL1335" s="1268"/>
      <c r="NM1335" s="1268"/>
      <c r="NN1335" s="1268"/>
      <c r="NO1335" s="1268"/>
      <c r="NP1335" s="1268"/>
      <c r="NQ1335" s="1268"/>
      <c r="NR1335" s="1268"/>
      <c r="NS1335" s="1268"/>
      <c r="NT1335" s="1268"/>
      <c r="NU1335" s="1268"/>
      <c r="NV1335" s="1268"/>
      <c r="NW1335" s="1268"/>
      <c r="NX1335" s="1268"/>
      <c r="NY1335" s="1268"/>
      <c r="NZ1335" s="1268"/>
      <c r="OA1335" s="1268"/>
      <c r="OB1335" s="1268"/>
      <c r="OC1335" s="1268"/>
      <c r="OD1335" s="1268"/>
      <c r="OE1335" s="1268"/>
      <c r="OF1335" s="1268"/>
      <c r="OG1335" s="1268"/>
      <c r="OH1335" s="1268"/>
      <c r="OI1335" s="1268"/>
      <c r="OJ1335" s="1268"/>
      <c r="OK1335" s="1268"/>
      <c r="OL1335" s="1268"/>
      <c r="OM1335" s="1268"/>
      <c r="ON1335" s="1268"/>
      <c r="OO1335" s="1268"/>
      <c r="OP1335" s="1268"/>
      <c r="OQ1335" s="1268"/>
      <c r="OR1335" s="1268"/>
      <c r="OS1335" s="1268"/>
      <c r="OT1335" s="1268"/>
      <c r="OU1335" s="1268"/>
      <c r="OV1335" s="1268"/>
      <c r="OW1335" s="1268"/>
      <c r="OX1335" s="1268"/>
      <c r="OY1335" s="1268"/>
      <c r="OZ1335" s="1268"/>
      <c r="PA1335" s="1268"/>
      <c r="PB1335" s="1268"/>
      <c r="PC1335" s="1268"/>
      <c r="PD1335" s="1268"/>
      <c r="PE1335" s="1268"/>
      <c r="PF1335" s="1268"/>
      <c r="PG1335" s="1268"/>
      <c r="PH1335" s="1268"/>
      <c r="PI1335" s="1268"/>
      <c r="PJ1335" s="1268"/>
      <c r="PK1335" s="1268"/>
      <c r="PL1335" s="1268"/>
      <c r="PM1335" s="1268"/>
      <c r="PN1335" s="1268"/>
      <c r="PO1335" s="1268"/>
      <c r="PP1335" s="1268"/>
      <c r="PQ1335" s="1268"/>
      <c r="PR1335" s="1268"/>
      <c r="PS1335" s="1268"/>
      <c r="PT1335" s="1268"/>
      <c r="PU1335" s="1268"/>
      <c r="PV1335" s="1268"/>
      <c r="PW1335" s="1268"/>
      <c r="PX1335" s="1268"/>
      <c r="PY1335" s="1268"/>
      <c r="PZ1335" s="1268"/>
      <c r="QA1335" s="1268"/>
      <c r="QB1335" s="1268"/>
      <c r="QC1335" s="1268"/>
      <c r="QD1335" s="1268"/>
      <c r="QE1335" s="1268"/>
      <c r="QF1335" s="1268"/>
      <c r="QG1335" s="1268"/>
      <c r="QH1335" s="1268"/>
      <c r="QI1335" s="1268"/>
      <c r="QJ1335" s="1268"/>
      <c r="QK1335" s="1268"/>
      <c r="QL1335" s="1268"/>
      <c r="QM1335" s="1268"/>
      <c r="QN1335" s="1268"/>
      <c r="QO1335" s="1268"/>
      <c r="QP1335" s="1268"/>
      <c r="QQ1335" s="1268"/>
      <c r="QR1335" s="1268"/>
      <c r="QS1335" s="1268"/>
      <c r="QT1335" s="1268"/>
      <c r="QU1335" s="1268"/>
      <c r="QV1335" s="1268"/>
      <c r="QW1335" s="1268"/>
      <c r="QX1335" s="1268"/>
      <c r="QY1335" s="1268"/>
      <c r="QZ1335" s="1268"/>
      <c r="RA1335" s="1268"/>
      <c r="RB1335" s="1268"/>
      <c r="RC1335" s="1268"/>
      <c r="RD1335" s="1268"/>
      <c r="RE1335" s="1268"/>
      <c r="RF1335" s="1268"/>
      <c r="RG1335" s="1268"/>
      <c r="RH1335" s="1268"/>
      <c r="RI1335" s="1268"/>
      <c r="RJ1335" s="1268"/>
      <c r="RK1335" s="1268"/>
      <c r="RL1335" s="1268"/>
      <c r="RM1335" s="1268"/>
      <c r="RN1335" s="1268"/>
      <c r="RO1335" s="1268"/>
      <c r="RP1335" s="1268"/>
      <c r="RQ1335" s="1268"/>
      <c r="RR1335" s="1268"/>
      <c r="RS1335" s="1268"/>
      <c r="RT1335" s="1268"/>
      <c r="RU1335" s="1268"/>
      <c r="RV1335" s="1268"/>
      <c r="RW1335" s="1268"/>
      <c r="RX1335" s="1268"/>
      <c r="RY1335" s="1268"/>
      <c r="RZ1335" s="1268"/>
      <c r="SA1335" s="1268"/>
      <c r="SB1335" s="1268"/>
      <c r="SC1335" s="1268"/>
      <c r="SD1335" s="1268"/>
      <c r="SE1335" s="1268"/>
      <c r="SF1335" s="1268"/>
      <c r="SG1335" s="1268"/>
      <c r="SH1335" s="1268"/>
      <c r="SI1335" s="1268"/>
      <c r="SJ1335" s="1268"/>
      <c r="SK1335" s="1268"/>
      <c r="SL1335" s="1268"/>
      <c r="SM1335" s="1268"/>
      <c r="SN1335" s="1268"/>
      <c r="SO1335" s="1268"/>
      <c r="SP1335" s="1268"/>
      <c r="SQ1335" s="1268"/>
      <c r="SR1335" s="1268"/>
      <c r="SS1335" s="1268"/>
      <c r="ST1335" s="1268"/>
      <c r="SU1335" s="1268"/>
      <c r="SV1335" s="1268"/>
      <c r="SW1335" s="1268"/>
      <c r="SX1335" s="1268"/>
      <c r="SY1335" s="1268"/>
      <c r="SZ1335" s="1268"/>
      <c r="TA1335" s="1268"/>
      <c r="TB1335" s="1268"/>
      <c r="TC1335" s="1268"/>
      <c r="TD1335" s="1268"/>
      <c r="TE1335" s="1268"/>
      <c r="TF1335" s="1268"/>
      <c r="TG1335" s="1268"/>
      <c r="TH1335" s="1268"/>
      <c r="TI1335" s="1268"/>
      <c r="TJ1335" s="1268"/>
      <c r="TK1335" s="1268"/>
      <c r="TL1335" s="1268"/>
      <c r="TM1335" s="1268"/>
      <c r="TN1335" s="1268"/>
      <c r="TO1335" s="1268"/>
      <c r="TP1335" s="1268"/>
      <c r="TQ1335" s="1268"/>
      <c r="TR1335" s="1268"/>
      <c r="TS1335" s="1268"/>
      <c r="TT1335" s="1268"/>
      <c r="TU1335" s="1268"/>
      <c r="TV1335" s="1268"/>
      <c r="TW1335" s="1268"/>
      <c r="TX1335" s="1268"/>
      <c r="TY1335" s="1268"/>
      <c r="TZ1335" s="1268"/>
      <c r="UA1335" s="1268"/>
      <c r="UB1335" s="1268"/>
      <c r="UC1335" s="1268"/>
      <c r="UD1335" s="1268"/>
      <c r="UE1335" s="1268"/>
      <c r="UF1335" s="1268"/>
      <c r="UG1335" s="1268"/>
    </row>
    <row r="1336" spans="1:553" s="1262" customFormat="1" ht="25.15" customHeight="1">
      <c r="A1336" s="356" t="s">
        <v>15</v>
      </c>
      <c r="B1336" s="356"/>
      <c r="C1336" s="1586" t="s">
        <v>374</v>
      </c>
      <c r="D1336" s="1389"/>
      <c r="E1336" s="1389"/>
      <c r="F1336" s="1390"/>
      <c r="G1336" s="418" t="s">
        <v>196</v>
      </c>
      <c r="H1336" s="370"/>
      <c r="I1336" s="794">
        <f>(95.03*100/500)*(23-(6-3))*2</f>
        <v>760.24</v>
      </c>
      <c r="J1336" s="368">
        <v>11000</v>
      </c>
      <c r="K1336" s="650">
        <v>0.7</v>
      </c>
      <c r="L1336" s="571">
        <f t="shared" si="200"/>
        <v>5853848</v>
      </c>
      <c r="M1336" s="356"/>
      <c r="N1336" s="356"/>
      <c r="O1336" s="356"/>
      <c r="P1336" s="356"/>
      <c r="Q1336" s="610"/>
      <c r="R1336" s="1452"/>
      <c r="S1336" s="308"/>
      <c r="T1336" s="308"/>
      <c r="U1336" s="308"/>
      <c r="V1336" s="308"/>
      <c r="W1336" s="308"/>
      <c r="X1336" s="308"/>
      <c r="Y1336" s="308"/>
      <c r="Z1336" s="604"/>
      <c r="AA1336" s="308"/>
      <c r="AB1336" s="308"/>
      <c r="AC1336" s="486"/>
      <c r="AD1336" s="486"/>
      <c r="AE1336" s="486"/>
      <c r="AF1336" s="486"/>
      <c r="AG1336" s="486"/>
      <c r="AH1336" s="486"/>
      <c r="AI1336" s="486"/>
      <c r="AJ1336" s="486"/>
      <c r="AK1336" s="486"/>
      <c r="AL1336" s="1267"/>
      <c r="AM1336" s="1268"/>
      <c r="AN1336" s="1268"/>
      <c r="AO1336" s="1268"/>
      <c r="AP1336" s="1268"/>
      <c r="AQ1336" s="1268"/>
      <c r="AR1336" s="1268"/>
      <c r="AS1336" s="1268"/>
      <c r="AT1336" s="1268"/>
      <c r="AU1336" s="1268"/>
      <c r="AV1336" s="1268"/>
      <c r="AW1336" s="1268"/>
      <c r="AX1336" s="1268"/>
      <c r="AY1336" s="1268"/>
      <c r="AZ1336" s="1268"/>
      <c r="BA1336" s="1268"/>
      <c r="BB1336" s="1268"/>
      <c r="BC1336" s="1268"/>
      <c r="BD1336" s="1268"/>
      <c r="BE1336" s="1268"/>
      <c r="BF1336" s="1268"/>
      <c r="BG1336" s="1268"/>
      <c r="BH1336" s="1268"/>
      <c r="BI1336" s="1268"/>
      <c r="BJ1336" s="1268"/>
      <c r="BK1336" s="1268"/>
      <c r="BL1336" s="1268"/>
      <c r="BM1336" s="1268"/>
      <c r="BN1336" s="1268"/>
      <c r="BO1336" s="1268"/>
      <c r="BP1336" s="1268"/>
      <c r="BQ1336" s="1268"/>
      <c r="BR1336" s="1268"/>
      <c r="BS1336" s="1268"/>
      <c r="BT1336" s="1268"/>
      <c r="BU1336" s="1268"/>
      <c r="BV1336" s="1268"/>
      <c r="BW1336" s="1268"/>
      <c r="BX1336" s="1268"/>
      <c r="BY1336" s="1268"/>
      <c r="BZ1336" s="1268"/>
      <c r="CA1336" s="1268"/>
      <c r="CB1336" s="1268"/>
      <c r="CC1336" s="1268"/>
      <c r="CD1336" s="1268"/>
      <c r="CE1336" s="1268"/>
      <c r="CF1336" s="1268"/>
      <c r="CG1336" s="1268"/>
      <c r="CH1336" s="1268"/>
      <c r="CI1336" s="1268"/>
      <c r="CJ1336" s="1268"/>
      <c r="CK1336" s="1268"/>
      <c r="CL1336" s="1268"/>
      <c r="CM1336" s="1268"/>
      <c r="CN1336" s="1268"/>
      <c r="CO1336" s="1268"/>
      <c r="CP1336" s="1268"/>
      <c r="CQ1336" s="1268"/>
      <c r="CR1336" s="1268"/>
      <c r="CS1336" s="1268"/>
      <c r="CT1336" s="1268"/>
      <c r="CU1336" s="1268"/>
      <c r="CV1336" s="1268"/>
      <c r="CW1336" s="1268"/>
      <c r="CX1336" s="1268"/>
      <c r="CY1336" s="1268"/>
      <c r="CZ1336" s="1268"/>
      <c r="DA1336" s="1268"/>
      <c r="DB1336" s="1268"/>
      <c r="DC1336" s="1268"/>
      <c r="DD1336" s="1268"/>
      <c r="DE1336" s="1268"/>
      <c r="DF1336" s="1268"/>
      <c r="DG1336" s="1268"/>
      <c r="DH1336" s="1268"/>
      <c r="DI1336" s="1268"/>
      <c r="DJ1336" s="1268"/>
      <c r="DK1336" s="1268"/>
      <c r="DL1336" s="1268"/>
      <c r="DM1336" s="1268"/>
      <c r="DN1336" s="1268"/>
      <c r="DO1336" s="1268"/>
      <c r="DP1336" s="1268"/>
      <c r="DQ1336" s="1268"/>
      <c r="DR1336" s="1268"/>
      <c r="DS1336" s="1268"/>
      <c r="DT1336" s="1268"/>
      <c r="DU1336" s="1268"/>
      <c r="DV1336" s="1268"/>
      <c r="DW1336" s="1268"/>
      <c r="DX1336" s="1268"/>
      <c r="DY1336" s="1268"/>
      <c r="DZ1336" s="1268"/>
      <c r="EA1336" s="1268"/>
      <c r="EB1336" s="1268"/>
      <c r="EC1336" s="1268"/>
      <c r="ED1336" s="1268"/>
      <c r="EE1336" s="1268"/>
      <c r="EF1336" s="1268"/>
      <c r="EG1336" s="1268"/>
      <c r="EH1336" s="1268"/>
      <c r="EI1336" s="1268"/>
      <c r="EJ1336" s="1268"/>
      <c r="EK1336" s="1268"/>
      <c r="EL1336" s="1268"/>
      <c r="EM1336" s="1268"/>
      <c r="EN1336" s="1268"/>
      <c r="EO1336" s="1268"/>
      <c r="EP1336" s="1268"/>
      <c r="EQ1336" s="1268"/>
      <c r="ER1336" s="1268"/>
      <c r="ES1336" s="1268"/>
      <c r="ET1336" s="1268"/>
      <c r="EU1336" s="1268"/>
      <c r="EV1336" s="1268"/>
      <c r="EW1336" s="1268"/>
      <c r="EX1336" s="1268"/>
      <c r="EY1336" s="1268"/>
      <c r="EZ1336" s="1268"/>
      <c r="FA1336" s="1268"/>
      <c r="FB1336" s="1268"/>
      <c r="FC1336" s="1268"/>
      <c r="FD1336" s="1268"/>
      <c r="FE1336" s="1268"/>
      <c r="FF1336" s="1268"/>
      <c r="FG1336" s="1268"/>
      <c r="FH1336" s="1268"/>
      <c r="FI1336" s="1268"/>
      <c r="FJ1336" s="1268"/>
      <c r="FK1336" s="1268"/>
      <c r="FL1336" s="1268"/>
      <c r="FM1336" s="1268"/>
      <c r="FN1336" s="1268"/>
      <c r="FO1336" s="1268"/>
      <c r="FP1336" s="1268"/>
      <c r="FQ1336" s="1268"/>
      <c r="FR1336" s="1268"/>
      <c r="FS1336" s="1268"/>
      <c r="FT1336" s="1268"/>
      <c r="FU1336" s="1268"/>
      <c r="FV1336" s="1268"/>
      <c r="FW1336" s="1268"/>
      <c r="FX1336" s="1268"/>
      <c r="FY1336" s="1268"/>
      <c r="FZ1336" s="1268"/>
      <c r="GA1336" s="1268"/>
      <c r="GB1336" s="1268"/>
      <c r="GC1336" s="1268"/>
      <c r="GD1336" s="1268"/>
      <c r="GE1336" s="1268"/>
      <c r="GF1336" s="1268"/>
      <c r="GG1336" s="1268"/>
      <c r="GH1336" s="1268"/>
      <c r="GI1336" s="1268"/>
      <c r="GJ1336" s="1268"/>
      <c r="GK1336" s="1268"/>
      <c r="GL1336" s="1268"/>
      <c r="GM1336" s="1268"/>
      <c r="GN1336" s="1268"/>
      <c r="GO1336" s="1268"/>
      <c r="GP1336" s="1268"/>
      <c r="GQ1336" s="1268"/>
      <c r="GR1336" s="1268"/>
      <c r="GS1336" s="1268"/>
      <c r="GT1336" s="1268"/>
      <c r="GU1336" s="1268"/>
      <c r="GV1336" s="1268"/>
      <c r="GW1336" s="1268"/>
      <c r="GX1336" s="1268"/>
      <c r="GY1336" s="1268"/>
      <c r="GZ1336" s="1268"/>
      <c r="HA1336" s="1268"/>
      <c r="HB1336" s="1268"/>
      <c r="HC1336" s="1268"/>
      <c r="HD1336" s="1268"/>
      <c r="HE1336" s="1268"/>
      <c r="HF1336" s="1268"/>
      <c r="HG1336" s="1268"/>
      <c r="HH1336" s="1268"/>
      <c r="HI1336" s="1268"/>
      <c r="HJ1336" s="1268"/>
      <c r="HK1336" s="1268"/>
      <c r="HL1336" s="1268"/>
      <c r="HM1336" s="1268"/>
      <c r="HN1336" s="1268"/>
      <c r="HO1336" s="1268"/>
      <c r="HP1336" s="1268"/>
      <c r="HQ1336" s="1268"/>
      <c r="HR1336" s="1268"/>
      <c r="HS1336" s="1268"/>
      <c r="HT1336" s="1268"/>
      <c r="HU1336" s="1268"/>
      <c r="HV1336" s="1268"/>
      <c r="HW1336" s="1268"/>
      <c r="HX1336" s="1268"/>
      <c r="HY1336" s="1268"/>
      <c r="HZ1336" s="1268"/>
      <c r="IA1336" s="1268"/>
      <c r="IB1336" s="1268"/>
      <c r="IC1336" s="1268"/>
      <c r="ID1336" s="1268"/>
      <c r="IE1336" s="1268"/>
      <c r="IF1336" s="1268"/>
      <c r="IG1336" s="1268"/>
      <c r="IH1336" s="1268"/>
      <c r="II1336" s="1268"/>
      <c r="IJ1336" s="1268"/>
      <c r="IK1336" s="1268"/>
      <c r="IL1336" s="1268"/>
      <c r="IM1336" s="1268"/>
      <c r="IN1336" s="1268"/>
      <c r="IO1336" s="1268"/>
      <c r="IP1336" s="1268"/>
      <c r="IQ1336" s="1268"/>
      <c r="IR1336" s="1268"/>
      <c r="IS1336" s="1268"/>
      <c r="IT1336" s="1268"/>
      <c r="IU1336" s="1268"/>
      <c r="IV1336" s="1268"/>
      <c r="IW1336" s="1268"/>
      <c r="IX1336" s="1268"/>
      <c r="IY1336" s="1268"/>
      <c r="IZ1336" s="1268"/>
      <c r="JA1336" s="1268"/>
      <c r="JB1336" s="1268"/>
      <c r="JC1336" s="1268"/>
      <c r="JD1336" s="1268"/>
      <c r="JE1336" s="1268"/>
      <c r="JF1336" s="1268"/>
      <c r="JG1336" s="1268"/>
      <c r="JH1336" s="1268"/>
      <c r="JI1336" s="1268"/>
      <c r="JJ1336" s="1268"/>
      <c r="JK1336" s="1268"/>
      <c r="JL1336" s="1268"/>
      <c r="JM1336" s="1268"/>
      <c r="JN1336" s="1268"/>
      <c r="JO1336" s="1268"/>
      <c r="JP1336" s="1268"/>
      <c r="JQ1336" s="1268"/>
      <c r="JR1336" s="1268"/>
      <c r="JS1336" s="1268"/>
      <c r="JT1336" s="1268"/>
      <c r="JU1336" s="1268"/>
      <c r="JV1336" s="1268"/>
      <c r="JW1336" s="1268"/>
      <c r="JX1336" s="1268"/>
      <c r="JY1336" s="1268"/>
      <c r="JZ1336" s="1268"/>
      <c r="KA1336" s="1268"/>
      <c r="KB1336" s="1268"/>
      <c r="KC1336" s="1268"/>
      <c r="KD1336" s="1268"/>
      <c r="KE1336" s="1268"/>
      <c r="KF1336" s="1268"/>
      <c r="KG1336" s="1268"/>
      <c r="KH1336" s="1268"/>
      <c r="KI1336" s="1268"/>
      <c r="KJ1336" s="1268"/>
      <c r="KK1336" s="1268"/>
      <c r="KL1336" s="1268"/>
      <c r="KM1336" s="1268"/>
      <c r="KN1336" s="1268"/>
      <c r="KO1336" s="1268"/>
      <c r="KP1336" s="1268"/>
      <c r="KQ1336" s="1268"/>
      <c r="KR1336" s="1268"/>
      <c r="KS1336" s="1268"/>
      <c r="KT1336" s="1268"/>
      <c r="KU1336" s="1268"/>
      <c r="KV1336" s="1268"/>
      <c r="KW1336" s="1268"/>
      <c r="KX1336" s="1268"/>
      <c r="KY1336" s="1268"/>
      <c r="KZ1336" s="1268"/>
      <c r="LA1336" s="1268"/>
      <c r="LB1336" s="1268"/>
      <c r="LC1336" s="1268"/>
      <c r="LD1336" s="1268"/>
      <c r="LE1336" s="1268"/>
      <c r="LF1336" s="1268"/>
      <c r="LG1336" s="1268"/>
      <c r="LH1336" s="1268"/>
      <c r="LI1336" s="1268"/>
      <c r="LJ1336" s="1268"/>
      <c r="LK1336" s="1268"/>
      <c r="LL1336" s="1268"/>
      <c r="LM1336" s="1268"/>
      <c r="LN1336" s="1268"/>
      <c r="LO1336" s="1268"/>
      <c r="LP1336" s="1268"/>
      <c r="LQ1336" s="1268"/>
      <c r="LR1336" s="1268"/>
      <c r="LS1336" s="1268"/>
      <c r="LT1336" s="1268"/>
      <c r="LU1336" s="1268"/>
      <c r="LV1336" s="1268"/>
      <c r="LW1336" s="1268"/>
      <c r="LX1336" s="1268"/>
      <c r="LY1336" s="1268"/>
      <c r="LZ1336" s="1268"/>
      <c r="MA1336" s="1268"/>
      <c r="MB1336" s="1268"/>
      <c r="MC1336" s="1268"/>
      <c r="MD1336" s="1268"/>
      <c r="ME1336" s="1268"/>
      <c r="MF1336" s="1268"/>
      <c r="MG1336" s="1268"/>
      <c r="MH1336" s="1268"/>
      <c r="MI1336" s="1268"/>
      <c r="MJ1336" s="1268"/>
      <c r="MK1336" s="1268"/>
      <c r="ML1336" s="1268"/>
      <c r="MM1336" s="1268"/>
      <c r="MN1336" s="1268"/>
      <c r="MO1336" s="1268"/>
      <c r="MP1336" s="1268"/>
      <c r="MQ1336" s="1268"/>
      <c r="MR1336" s="1268"/>
      <c r="MS1336" s="1268"/>
      <c r="MT1336" s="1268"/>
      <c r="MU1336" s="1268"/>
      <c r="MV1336" s="1268"/>
      <c r="MW1336" s="1268"/>
      <c r="MX1336" s="1268"/>
      <c r="MY1336" s="1268"/>
      <c r="MZ1336" s="1268"/>
      <c r="NA1336" s="1268"/>
      <c r="NB1336" s="1268"/>
      <c r="NC1336" s="1268"/>
      <c r="ND1336" s="1268"/>
      <c r="NE1336" s="1268"/>
      <c r="NF1336" s="1268"/>
      <c r="NG1336" s="1268"/>
      <c r="NH1336" s="1268"/>
      <c r="NI1336" s="1268"/>
      <c r="NJ1336" s="1268"/>
      <c r="NK1336" s="1268"/>
      <c r="NL1336" s="1268"/>
      <c r="NM1336" s="1268"/>
      <c r="NN1336" s="1268"/>
      <c r="NO1336" s="1268"/>
      <c r="NP1336" s="1268"/>
      <c r="NQ1336" s="1268"/>
      <c r="NR1336" s="1268"/>
      <c r="NS1336" s="1268"/>
      <c r="NT1336" s="1268"/>
      <c r="NU1336" s="1268"/>
      <c r="NV1336" s="1268"/>
      <c r="NW1336" s="1268"/>
      <c r="NX1336" s="1268"/>
      <c r="NY1336" s="1268"/>
      <c r="NZ1336" s="1268"/>
      <c r="OA1336" s="1268"/>
      <c r="OB1336" s="1268"/>
      <c r="OC1336" s="1268"/>
      <c r="OD1336" s="1268"/>
      <c r="OE1336" s="1268"/>
      <c r="OF1336" s="1268"/>
      <c r="OG1336" s="1268"/>
      <c r="OH1336" s="1268"/>
      <c r="OI1336" s="1268"/>
      <c r="OJ1336" s="1268"/>
      <c r="OK1336" s="1268"/>
      <c r="OL1336" s="1268"/>
      <c r="OM1336" s="1268"/>
      <c r="ON1336" s="1268"/>
      <c r="OO1336" s="1268"/>
      <c r="OP1336" s="1268"/>
      <c r="OQ1336" s="1268"/>
      <c r="OR1336" s="1268"/>
      <c r="OS1336" s="1268"/>
      <c r="OT1336" s="1268"/>
      <c r="OU1336" s="1268"/>
      <c r="OV1336" s="1268"/>
      <c r="OW1336" s="1268"/>
      <c r="OX1336" s="1268"/>
      <c r="OY1336" s="1268"/>
      <c r="OZ1336" s="1268"/>
      <c r="PA1336" s="1268"/>
      <c r="PB1336" s="1268"/>
      <c r="PC1336" s="1268"/>
      <c r="PD1336" s="1268"/>
      <c r="PE1336" s="1268"/>
      <c r="PF1336" s="1268"/>
      <c r="PG1336" s="1268"/>
      <c r="PH1336" s="1268"/>
      <c r="PI1336" s="1268"/>
      <c r="PJ1336" s="1268"/>
      <c r="PK1336" s="1268"/>
      <c r="PL1336" s="1268"/>
      <c r="PM1336" s="1268"/>
      <c r="PN1336" s="1268"/>
      <c r="PO1336" s="1268"/>
      <c r="PP1336" s="1268"/>
      <c r="PQ1336" s="1268"/>
      <c r="PR1336" s="1268"/>
      <c r="PS1336" s="1268"/>
      <c r="PT1336" s="1268"/>
      <c r="PU1336" s="1268"/>
      <c r="PV1336" s="1268"/>
      <c r="PW1336" s="1268"/>
      <c r="PX1336" s="1268"/>
      <c r="PY1336" s="1268"/>
      <c r="PZ1336" s="1268"/>
      <c r="QA1336" s="1268"/>
      <c r="QB1336" s="1268"/>
      <c r="QC1336" s="1268"/>
      <c r="QD1336" s="1268"/>
      <c r="QE1336" s="1268"/>
      <c r="QF1336" s="1268"/>
      <c r="QG1336" s="1268"/>
      <c r="QH1336" s="1268"/>
      <c r="QI1336" s="1268"/>
      <c r="QJ1336" s="1268"/>
      <c r="QK1336" s="1268"/>
      <c r="QL1336" s="1268"/>
      <c r="QM1336" s="1268"/>
      <c r="QN1336" s="1268"/>
      <c r="QO1336" s="1268"/>
      <c r="QP1336" s="1268"/>
      <c r="QQ1336" s="1268"/>
      <c r="QR1336" s="1268"/>
      <c r="QS1336" s="1268"/>
      <c r="QT1336" s="1268"/>
      <c r="QU1336" s="1268"/>
      <c r="QV1336" s="1268"/>
      <c r="QW1336" s="1268"/>
      <c r="QX1336" s="1268"/>
      <c r="QY1336" s="1268"/>
      <c r="QZ1336" s="1268"/>
      <c r="RA1336" s="1268"/>
      <c r="RB1336" s="1268"/>
      <c r="RC1336" s="1268"/>
      <c r="RD1336" s="1268"/>
      <c r="RE1336" s="1268"/>
      <c r="RF1336" s="1268"/>
      <c r="RG1336" s="1268"/>
      <c r="RH1336" s="1268"/>
      <c r="RI1336" s="1268"/>
      <c r="RJ1336" s="1268"/>
      <c r="RK1336" s="1268"/>
      <c r="RL1336" s="1268"/>
      <c r="RM1336" s="1268"/>
      <c r="RN1336" s="1268"/>
      <c r="RO1336" s="1268"/>
      <c r="RP1336" s="1268"/>
      <c r="RQ1336" s="1268"/>
      <c r="RR1336" s="1268"/>
      <c r="RS1336" s="1268"/>
      <c r="RT1336" s="1268"/>
      <c r="RU1336" s="1268"/>
      <c r="RV1336" s="1268"/>
      <c r="RW1336" s="1268"/>
      <c r="RX1336" s="1268"/>
      <c r="RY1336" s="1268"/>
      <c r="RZ1336" s="1268"/>
      <c r="SA1336" s="1268"/>
      <c r="SB1336" s="1268"/>
      <c r="SC1336" s="1268"/>
      <c r="SD1336" s="1268"/>
      <c r="SE1336" s="1268"/>
      <c r="SF1336" s="1268"/>
      <c r="SG1336" s="1268"/>
      <c r="SH1336" s="1268"/>
      <c r="SI1336" s="1268"/>
      <c r="SJ1336" s="1268"/>
      <c r="SK1336" s="1268"/>
      <c r="SL1336" s="1268"/>
      <c r="SM1336" s="1268"/>
      <c r="SN1336" s="1268"/>
      <c r="SO1336" s="1268"/>
      <c r="SP1336" s="1268"/>
      <c r="SQ1336" s="1268"/>
      <c r="SR1336" s="1268"/>
      <c r="SS1336" s="1268"/>
      <c r="ST1336" s="1268"/>
      <c r="SU1336" s="1268"/>
      <c r="SV1336" s="1268"/>
      <c r="SW1336" s="1268"/>
      <c r="SX1336" s="1268"/>
      <c r="SY1336" s="1268"/>
      <c r="SZ1336" s="1268"/>
      <c r="TA1336" s="1268"/>
      <c r="TB1336" s="1268"/>
      <c r="TC1336" s="1268"/>
      <c r="TD1336" s="1268"/>
      <c r="TE1336" s="1268"/>
      <c r="TF1336" s="1268"/>
      <c r="TG1336" s="1268"/>
      <c r="TH1336" s="1268"/>
      <c r="TI1336" s="1268"/>
      <c r="TJ1336" s="1268"/>
      <c r="TK1336" s="1268"/>
      <c r="TL1336" s="1268"/>
      <c r="TM1336" s="1268"/>
      <c r="TN1336" s="1268"/>
      <c r="TO1336" s="1268"/>
      <c r="TP1336" s="1268"/>
      <c r="TQ1336" s="1268"/>
      <c r="TR1336" s="1268"/>
      <c r="TS1336" s="1268"/>
      <c r="TT1336" s="1268"/>
      <c r="TU1336" s="1268"/>
      <c r="TV1336" s="1268"/>
      <c r="TW1336" s="1268"/>
      <c r="TX1336" s="1268"/>
      <c r="TY1336" s="1268"/>
      <c r="TZ1336" s="1268"/>
      <c r="UA1336" s="1268"/>
      <c r="UB1336" s="1268"/>
      <c r="UC1336" s="1268"/>
      <c r="UD1336" s="1268"/>
      <c r="UE1336" s="1268"/>
      <c r="UF1336" s="1268"/>
      <c r="UG1336" s="1268"/>
    </row>
    <row r="1337" spans="1:553" s="1262" customFormat="1" ht="25.15" customHeight="1">
      <c r="A1337" s="356" t="s">
        <v>15</v>
      </c>
      <c r="B1337" s="356"/>
      <c r="C1337" s="1586" t="s">
        <v>722</v>
      </c>
      <c r="D1337" s="1389"/>
      <c r="E1337" s="1389"/>
      <c r="F1337" s="1390"/>
      <c r="G1337" s="417" t="s">
        <v>196</v>
      </c>
      <c r="H1337" s="370"/>
      <c r="I1337" s="794">
        <f>(95.03*100/500)*(23-(5-3))*13</f>
        <v>5188.6379999999999</v>
      </c>
      <c r="J1337" s="368">
        <v>11000</v>
      </c>
      <c r="K1337" s="650">
        <v>0.7</v>
      </c>
      <c r="L1337" s="571">
        <f t="shared" si="200"/>
        <v>39952513</v>
      </c>
      <c r="M1337" s="356"/>
      <c r="N1337" s="356"/>
      <c r="O1337" s="356"/>
      <c r="P1337" s="356"/>
      <c r="Q1337" s="610"/>
      <c r="R1337" s="1452"/>
      <c r="S1337" s="308"/>
      <c r="T1337" s="308"/>
      <c r="U1337" s="308"/>
      <c r="V1337" s="308"/>
      <c r="W1337" s="308"/>
      <c r="X1337" s="308"/>
      <c r="Y1337" s="308"/>
      <c r="Z1337" s="604"/>
      <c r="AA1337" s="308"/>
      <c r="AB1337" s="308"/>
      <c r="AC1337" s="486"/>
      <c r="AD1337" s="486"/>
      <c r="AE1337" s="486"/>
      <c r="AF1337" s="486"/>
      <c r="AG1337" s="486"/>
      <c r="AH1337" s="486"/>
      <c r="AI1337" s="486"/>
      <c r="AJ1337" s="486"/>
      <c r="AK1337" s="486"/>
      <c r="AL1337" s="1267"/>
      <c r="AM1337" s="1268"/>
      <c r="AN1337" s="1268"/>
      <c r="AO1337" s="1268"/>
      <c r="AP1337" s="1268"/>
      <c r="AQ1337" s="1268"/>
      <c r="AR1337" s="1268"/>
      <c r="AS1337" s="1268"/>
      <c r="AT1337" s="1268"/>
      <c r="AU1337" s="1268"/>
      <c r="AV1337" s="1268"/>
      <c r="AW1337" s="1268"/>
      <c r="AX1337" s="1268"/>
      <c r="AY1337" s="1268"/>
      <c r="AZ1337" s="1268"/>
      <c r="BA1337" s="1268"/>
      <c r="BB1337" s="1268"/>
      <c r="BC1337" s="1268"/>
      <c r="BD1337" s="1268"/>
      <c r="BE1337" s="1268"/>
      <c r="BF1337" s="1268"/>
      <c r="BG1337" s="1268"/>
      <c r="BH1337" s="1268"/>
      <c r="BI1337" s="1268"/>
      <c r="BJ1337" s="1268"/>
      <c r="BK1337" s="1268"/>
      <c r="BL1337" s="1268"/>
      <c r="BM1337" s="1268"/>
      <c r="BN1337" s="1268"/>
      <c r="BO1337" s="1268"/>
      <c r="BP1337" s="1268"/>
      <c r="BQ1337" s="1268"/>
      <c r="BR1337" s="1268"/>
      <c r="BS1337" s="1268"/>
      <c r="BT1337" s="1268"/>
      <c r="BU1337" s="1268"/>
      <c r="BV1337" s="1268"/>
      <c r="BW1337" s="1268"/>
      <c r="BX1337" s="1268"/>
      <c r="BY1337" s="1268"/>
      <c r="BZ1337" s="1268"/>
      <c r="CA1337" s="1268"/>
      <c r="CB1337" s="1268"/>
      <c r="CC1337" s="1268"/>
      <c r="CD1337" s="1268"/>
      <c r="CE1337" s="1268"/>
      <c r="CF1337" s="1268"/>
      <c r="CG1337" s="1268"/>
      <c r="CH1337" s="1268"/>
      <c r="CI1337" s="1268"/>
      <c r="CJ1337" s="1268"/>
      <c r="CK1337" s="1268"/>
      <c r="CL1337" s="1268"/>
      <c r="CM1337" s="1268"/>
      <c r="CN1337" s="1268"/>
      <c r="CO1337" s="1268"/>
      <c r="CP1337" s="1268"/>
      <c r="CQ1337" s="1268"/>
      <c r="CR1337" s="1268"/>
      <c r="CS1337" s="1268"/>
      <c r="CT1337" s="1268"/>
      <c r="CU1337" s="1268"/>
      <c r="CV1337" s="1268"/>
      <c r="CW1337" s="1268"/>
      <c r="CX1337" s="1268"/>
      <c r="CY1337" s="1268"/>
      <c r="CZ1337" s="1268"/>
      <c r="DA1337" s="1268"/>
      <c r="DB1337" s="1268"/>
      <c r="DC1337" s="1268"/>
      <c r="DD1337" s="1268"/>
      <c r="DE1337" s="1268"/>
      <c r="DF1337" s="1268"/>
      <c r="DG1337" s="1268"/>
      <c r="DH1337" s="1268"/>
      <c r="DI1337" s="1268"/>
      <c r="DJ1337" s="1268"/>
      <c r="DK1337" s="1268"/>
      <c r="DL1337" s="1268"/>
      <c r="DM1337" s="1268"/>
      <c r="DN1337" s="1268"/>
      <c r="DO1337" s="1268"/>
      <c r="DP1337" s="1268"/>
      <c r="DQ1337" s="1268"/>
      <c r="DR1337" s="1268"/>
      <c r="DS1337" s="1268"/>
      <c r="DT1337" s="1268"/>
      <c r="DU1337" s="1268"/>
      <c r="DV1337" s="1268"/>
      <c r="DW1337" s="1268"/>
      <c r="DX1337" s="1268"/>
      <c r="DY1337" s="1268"/>
      <c r="DZ1337" s="1268"/>
      <c r="EA1337" s="1268"/>
      <c r="EB1337" s="1268"/>
      <c r="EC1337" s="1268"/>
      <c r="ED1337" s="1268"/>
      <c r="EE1337" s="1268"/>
      <c r="EF1337" s="1268"/>
      <c r="EG1337" s="1268"/>
      <c r="EH1337" s="1268"/>
      <c r="EI1337" s="1268"/>
      <c r="EJ1337" s="1268"/>
      <c r="EK1337" s="1268"/>
      <c r="EL1337" s="1268"/>
      <c r="EM1337" s="1268"/>
      <c r="EN1337" s="1268"/>
      <c r="EO1337" s="1268"/>
      <c r="EP1337" s="1268"/>
      <c r="EQ1337" s="1268"/>
      <c r="ER1337" s="1268"/>
      <c r="ES1337" s="1268"/>
      <c r="ET1337" s="1268"/>
      <c r="EU1337" s="1268"/>
      <c r="EV1337" s="1268"/>
      <c r="EW1337" s="1268"/>
      <c r="EX1337" s="1268"/>
      <c r="EY1337" s="1268"/>
      <c r="EZ1337" s="1268"/>
      <c r="FA1337" s="1268"/>
      <c r="FB1337" s="1268"/>
      <c r="FC1337" s="1268"/>
      <c r="FD1337" s="1268"/>
      <c r="FE1337" s="1268"/>
      <c r="FF1337" s="1268"/>
      <c r="FG1337" s="1268"/>
      <c r="FH1337" s="1268"/>
      <c r="FI1337" s="1268"/>
      <c r="FJ1337" s="1268"/>
      <c r="FK1337" s="1268"/>
      <c r="FL1337" s="1268"/>
      <c r="FM1337" s="1268"/>
      <c r="FN1337" s="1268"/>
      <c r="FO1337" s="1268"/>
      <c r="FP1337" s="1268"/>
      <c r="FQ1337" s="1268"/>
      <c r="FR1337" s="1268"/>
      <c r="FS1337" s="1268"/>
      <c r="FT1337" s="1268"/>
      <c r="FU1337" s="1268"/>
      <c r="FV1337" s="1268"/>
      <c r="FW1337" s="1268"/>
      <c r="FX1337" s="1268"/>
      <c r="FY1337" s="1268"/>
      <c r="FZ1337" s="1268"/>
      <c r="GA1337" s="1268"/>
      <c r="GB1337" s="1268"/>
      <c r="GC1337" s="1268"/>
      <c r="GD1337" s="1268"/>
      <c r="GE1337" s="1268"/>
      <c r="GF1337" s="1268"/>
      <c r="GG1337" s="1268"/>
      <c r="GH1337" s="1268"/>
      <c r="GI1337" s="1268"/>
      <c r="GJ1337" s="1268"/>
      <c r="GK1337" s="1268"/>
      <c r="GL1337" s="1268"/>
      <c r="GM1337" s="1268"/>
      <c r="GN1337" s="1268"/>
      <c r="GO1337" s="1268"/>
      <c r="GP1337" s="1268"/>
      <c r="GQ1337" s="1268"/>
      <c r="GR1337" s="1268"/>
      <c r="GS1337" s="1268"/>
      <c r="GT1337" s="1268"/>
      <c r="GU1337" s="1268"/>
      <c r="GV1337" s="1268"/>
      <c r="GW1337" s="1268"/>
      <c r="GX1337" s="1268"/>
      <c r="GY1337" s="1268"/>
      <c r="GZ1337" s="1268"/>
      <c r="HA1337" s="1268"/>
      <c r="HB1337" s="1268"/>
      <c r="HC1337" s="1268"/>
      <c r="HD1337" s="1268"/>
      <c r="HE1337" s="1268"/>
      <c r="HF1337" s="1268"/>
      <c r="HG1337" s="1268"/>
      <c r="HH1337" s="1268"/>
      <c r="HI1337" s="1268"/>
      <c r="HJ1337" s="1268"/>
      <c r="HK1337" s="1268"/>
      <c r="HL1337" s="1268"/>
      <c r="HM1337" s="1268"/>
      <c r="HN1337" s="1268"/>
      <c r="HO1337" s="1268"/>
      <c r="HP1337" s="1268"/>
      <c r="HQ1337" s="1268"/>
      <c r="HR1337" s="1268"/>
      <c r="HS1337" s="1268"/>
      <c r="HT1337" s="1268"/>
      <c r="HU1337" s="1268"/>
      <c r="HV1337" s="1268"/>
      <c r="HW1337" s="1268"/>
      <c r="HX1337" s="1268"/>
      <c r="HY1337" s="1268"/>
      <c r="HZ1337" s="1268"/>
      <c r="IA1337" s="1268"/>
      <c r="IB1337" s="1268"/>
      <c r="IC1337" s="1268"/>
      <c r="ID1337" s="1268"/>
      <c r="IE1337" s="1268"/>
      <c r="IF1337" s="1268"/>
      <c r="IG1337" s="1268"/>
      <c r="IH1337" s="1268"/>
      <c r="II1337" s="1268"/>
      <c r="IJ1337" s="1268"/>
      <c r="IK1337" s="1268"/>
      <c r="IL1337" s="1268"/>
      <c r="IM1337" s="1268"/>
      <c r="IN1337" s="1268"/>
      <c r="IO1337" s="1268"/>
      <c r="IP1337" s="1268"/>
      <c r="IQ1337" s="1268"/>
      <c r="IR1337" s="1268"/>
      <c r="IS1337" s="1268"/>
      <c r="IT1337" s="1268"/>
      <c r="IU1337" s="1268"/>
      <c r="IV1337" s="1268"/>
      <c r="IW1337" s="1268"/>
      <c r="IX1337" s="1268"/>
      <c r="IY1337" s="1268"/>
      <c r="IZ1337" s="1268"/>
      <c r="JA1337" s="1268"/>
      <c r="JB1337" s="1268"/>
      <c r="JC1337" s="1268"/>
      <c r="JD1337" s="1268"/>
      <c r="JE1337" s="1268"/>
      <c r="JF1337" s="1268"/>
      <c r="JG1337" s="1268"/>
      <c r="JH1337" s="1268"/>
      <c r="JI1337" s="1268"/>
      <c r="JJ1337" s="1268"/>
      <c r="JK1337" s="1268"/>
      <c r="JL1337" s="1268"/>
      <c r="JM1337" s="1268"/>
      <c r="JN1337" s="1268"/>
      <c r="JO1337" s="1268"/>
      <c r="JP1337" s="1268"/>
      <c r="JQ1337" s="1268"/>
      <c r="JR1337" s="1268"/>
      <c r="JS1337" s="1268"/>
      <c r="JT1337" s="1268"/>
      <c r="JU1337" s="1268"/>
      <c r="JV1337" s="1268"/>
      <c r="JW1337" s="1268"/>
      <c r="JX1337" s="1268"/>
      <c r="JY1337" s="1268"/>
      <c r="JZ1337" s="1268"/>
      <c r="KA1337" s="1268"/>
      <c r="KB1337" s="1268"/>
      <c r="KC1337" s="1268"/>
      <c r="KD1337" s="1268"/>
      <c r="KE1337" s="1268"/>
      <c r="KF1337" s="1268"/>
      <c r="KG1337" s="1268"/>
      <c r="KH1337" s="1268"/>
      <c r="KI1337" s="1268"/>
      <c r="KJ1337" s="1268"/>
      <c r="KK1337" s="1268"/>
      <c r="KL1337" s="1268"/>
      <c r="KM1337" s="1268"/>
      <c r="KN1337" s="1268"/>
      <c r="KO1337" s="1268"/>
      <c r="KP1337" s="1268"/>
      <c r="KQ1337" s="1268"/>
      <c r="KR1337" s="1268"/>
      <c r="KS1337" s="1268"/>
      <c r="KT1337" s="1268"/>
      <c r="KU1337" s="1268"/>
      <c r="KV1337" s="1268"/>
      <c r="KW1337" s="1268"/>
      <c r="KX1337" s="1268"/>
      <c r="KY1337" s="1268"/>
      <c r="KZ1337" s="1268"/>
      <c r="LA1337" s="1268"/>
      <c r="LB1337" s="1268"/>
      <c r="LC1337" s="1268"/>
      <c r="LD1337" s="1268"/>
      <c r="LE1337" s="1268"/>
      <c r="LF1337" s="1268"/>
      <c r="LG1337" s="1268"/>
      <c r="LH1337" s="1268"/>
      <c r="LI1337" s="1268"/>
      <c r="LJ1337" s="1268"/>
      <c r="LK1337" s="1268"/>
      <c r="LL1337" s="1268"/>
      <c r="LM1337" s="1268"/>
      <c r="LN1337" s="1268"/>
      <c r="LO1337" s="1268"/>
      <c r="LP1337" s="1268"/>
      <c r="LQ1337" s="1268"/>
      <c r="LR1337" s="1268"/>
      <c r="LS1337" s="1268"/>
      <c r="LT1337" s="1268"/>
      <c r="LU1337" s="1268"/>
      <c r="LV1337" s="1268"/>
      <c r="LW1337" s="1268"/>
      <c r="LX1337" s="1268"/>
      <c r="LY1337" s="1268"/>
      <c r="LZ1337" s="1268"/>
      <c r="MA1337" s="1268"/>
      <c r="MB1337" s="1268"/>
      <c r="MC1337" s="1268"/>
      <c r="MD1337" s="1268"/>
      <c r="ME1337" s="1268"/>
      <c r="MF1337" s="1268"/>
      <c r="MG1337" s="1268"/>
      <c r="MH1337" s="1268"/>
      <c r="MI1337" s="1268"/>
      <c r="MJ1337" s="1268"/>
      <c r="MK1337" s="1268"/>
      <c r="ML1337" s="1268"/>
      <c r="MM1337" s="1268"/>
      <c r="MN1337" s="1268"/>
      <c r="MO1337" s="1268"/>
      <c r="MP1337" s="1268"/>
      <c r="MQ1337" s="1268"/>
      <c r="MR1337" s="1268"/>
      <c r="MS1337" s="1268"/>
      <c r="MT1337" s="1268"/>
      <c r="MU1337" s="1268"/>
      <c r="MV1337" s="1268"/>
      <c r="MW1337" s="1268"/>
      <c r="MX1337" s="1268"/>
      <c r="MY1337" s="1268"/>
      <c r="MZ1337" s="1268"/>
      <c r="NA1337" s="1268"/>
      <c r="NB1337" s="1268"/>
      <c r="NC1337" s="1268"/>
      <c r="ND1337" s="1268"/>
      <c r="NE1337" s="1268"/>
      <c r="NF1337" s="1268"/>
      <c r="NG1337" s="1268"/>
      <c r="NH1337" s="1268"/>
      <c r="NI1337" s="1268"/>
      <c r="NJ1337" s="1268"/>
      <c r="NK1337" s="1268"/>
      <c r="NL1337" s="1268"/>
      <c r="NM1337" s="1268"/>
      <c r="NN1337" s="1268"/>
      <c r="NO1337" s="1268"/>
      <c r="NP1337" s="1268"/>
      <c r="NQ1337" s="1268"/>
      <c r="NR1337" s="1268"/>
      <c r="NS1337" s="1268"/>
      <c r="NT1337" s="1268"/>
      <c r="NU1337" s="1268"/>
      <c r="NV1337" s="1268"/>
      <c r="NW1337" s="1268"/>
      <c r="NX1337" s="1268"/>
      <c r="NY1337" s="1268"/>
      <c r="NZ1337" s="1268"/>
      <c r="OA1337" s="1268"/>
      <c r="OB1337" s="1268"/>
      <c r="OC1337" s="1268"/>
      <c r="OD1337" s="1268"/>
      <c r="OE1337" s="1268"/>
      <c r="OF1337" s="1268"/>
      <c r="OG1337" s="1268"/>
      <c r="OH1337" s="1268"/>
      <c r="OI1337" s="1268"/>
      <c r="OJ1337" s="1268"/>
      <c r="OK1337" s="1268"/>
      <c r="OL1337" s="1268"/>
      <c r="OM1337" s="1268"/>
      <c r="ON1337" s="1268"/>
      <c r="OO1337" s="1268"/>
      <c r="OP1337" s="1268"/>
      <c r="OQ1337" s="1268"/>
      <c r="OR1337" s="1268"/>
      <c r="OS1337" s="1268"/>
      <c r="OT1337" s="1268"/>
      <c r="OU1337" s="1268"/>
      <c r="OV1337" s="1268"/>
      <c r="OW1337" s="1268"/>
      <c r="OX1337" s="1268"/>
      <c r="OY1337" s="1268"/>
      <c r="OZ1337" s="1268"/>
      <c r="PA1337" s="1268"/>
      <c r="PB1337" s="1268"/>
      <c r="PC1337" s="1268"/>
      <c r="PD1337" s="1268"/>
      <c r="PE1337" s="1268"/>
      <c r="PF1337" s="1268"/>
      <c r="PG1337" s="1268"/>
      <c r="PH1337" s="1268"/>
      <c r="PI1337" s="1268"/>
      <c r="PJ1337" s="1268"/>
      <c r="PK1337" s="1268"/>
      <c r="PL1337" s="1268"/>
      <c r="PM1337" s="1268"/>
      <c r="PN1337" s="1268"/>
      <c r="PO1337" s="1268"/>
      <c r="PP1337" s="1268"/>
      <c r="PQ1337" s="1268"/>
      <c r="PR1337" s="1268"/>
      <c r="PS1337" s="1268"/>
      <c r="PT1337" s="1268"/>
      <c r="PU1337" s="1268"/>
      <c r="PV1337" s="1268"/>
      <c r="PW1337" s="1268"/>
      <c r="PX1337" s="1268"/>
      <c r="PY1337" s="1268"/>
      <c r="PZ1337" s="1268"/>
      <c r="QA1337" s="1268"/>
      <c r="QB1337" s="1268"/>
      <c r="QC1337" s="1268"/>
      <c r="QD1337" s="1268"/>
      <c r="QE1337" s="1268"/>
      <c r="QF1337" s="1268"/>
      <c r="QG1337" s="1268"/>
      <c r="QH1337" s="1268"/>
      <c r="QI1337" s="1268"/>
      <c r="QJ1337" s="1268"/>
      <c r="QK1337" s="1268"/>
      <c r="QL1337" s="1268"/>
      <c r="QM1337" s="1268"/>
      <c r="QN1337" s="1268"/>
      <c r="QO1337" s="1268"/>
      <c r="QP1337" s="1268"/>
      <c r="QQ1337" s="1268"/>
      <c r="QR1337" s="1268"/>
      <c r="QS1337" s="1268"/>
      <c r="QT1337" s="1268"/>
      <c r="QU1337" s="1268"/>
      <c r="QV1337" s="1268"/>
      <c r="QW1337" s="1268"/>
      <c r="QX1337" s="1268"/>
      <c r="QY1337" s="1268"/>
      <c r="QZ1337" s="1268"/>
      <c r="RA1337" s="1268"/>
      <c r="RB1337" s="1268"/>
      <c r="RC1337" s="1268"/>
      <c r="RD1337" s="1268"/>
      <c r="RE1337" s="1268"/>
      <c r="RF1337" s="1268"/>
      <c r="RG1337" s="1268"/>
      <c r="RH1337" s="1268"/>
      <c r="RI1337" s="1268"/>
      <c r="RJ1337" s="1268"/>
      <c r="RK1337" s="1268"/>
      <c r="RL1337" s="1268"/>
      <c r="RM1337" s="1268"/>
      <c r="RN1337" s="1268"/>
      <c r="RO1337" s="1268"/>
      <c r="RP1337" s="1268"/>
      <c r="RQ1337" s="1268"/>
      <c r="RR1337" s="1268"/>
      <c r="RS1337" s="1268"/>
      <c r="RT1337" s="1268"/>
      <c r="RU1337" s="1268"/>
      <c r="RV1337" s="1268"/>
      <c r="RW1337" s="1268"/>
      <c r="RX1337" s="1268"/>
      <c r="RY1337" s="1268"/>
      <c r="RZ1337" s="1268"/>
      <c r="SA1337" s="1268"/>
      <c r="SB1337" s="1268"/>
      <c r="SC1337" s="1268"/>
      <c r="SD1337" s="1268"/>
      <c r="SE1337" s="1268"/>
      <c r="SF1337" s="1268"/>
      <c r="SG1337" s="1268"/>
      <c r="SH1337" s="1268"/>
      <c r="SI1337" s="1268"/>
      <c r="SJ1337" s="1268"/>
      <c r="SK1337" s="1268"/>
      <c r="SL1337" s="1268"/>
      <c r="SM1337" s="1268"/>
      <c r="SN1337" s="1268"/>
      <c r="SO1337" s="1268"/>
      <c r="SP1337" s="1268"/>
      <c r="SQ1337" s="1268"/>
      <c r="SR1337" s="1268"/>
      <c r="SS1337" s="1268"/>
      <c r="ST1337" s="1268"/>
      <c r="SU1337" s="1268"/>
      <c r="SV1337" s="1268"/>
      <c r="SW1337" s="1268"/>
      <c r="SX1337" s="1268"/>
      <c r="SY1337" s="1268"/>
      <c r="SZ1337" s="1268"/>
      <c r="TA1337" s="1268"/>
      <c r="TB1337" s="1268"/>
      <c r="TC1337" s="1268"/>
      <c r="TD1337" s="1268"/>
      <c r="TE1337" s="1268"/>
      <c r="TF1337" s="1268"/>
      <c r="TG1337" s="1268"/>
      <c r="TH1337" s="1268"/>
      <c r="TI1337" s="1268"/>
      <c r="TJ1337" s="1268"/>
      <c r="TK1337" s="1268"/>
      <c r="TL1337" s="1268"/>
      <c r="TM1337" s="1268"/>
      <c r="TN1337" s="1268"/>
      <c r="TO1337" s="1268"/>
      <c r="TP1337" s="1268"/>
      <c r="TQ1337" s="1268"/>
      <c r="TR1337" s="1268"/>
      <c r="TS1337" s="1268"/>
      <c r="TT1337" s="1268"/>
      <c r="TU1337" s="1268"/>
      <c r="TV1337" s="1268"/>
      <c r="TW1337" s="1268"/>
      <c r="TX1337" s="1268"/>
      <c r="TY1337" s="1268"/>
      <c r="TZ1337" s="1268"/>
      <c r="UA1337" s="1268"/>
      <c r="UB1337" s="1268"/>
      <c r="UC1337" s="1268"/>
      <c r="UD1337" s="1268"/>
      <c r="UE1337" s="1268"/>
      <c r="UF1337" s="1268"/>
      <c r="UG1337" s="1268"/>
    </row>
    <row r="1338" spans="1:553" s="1262" customFormat="1" ht="25.15" customHeight="1">
      <c r="A1338" s="356" t="s">
        <v>15</v>
      </c>
      <c r="B1338" s="356"/>
      <c r="C1338" s="1586" t="s">
        <v>261</v>
      </c>
      <c r="D1338" s="1389"/>
      <c r="E1338" s="1389"/>
      <c r="F1338" s="1390"/>
      <c r="G1338" s="417" t="s">
        <v>196</v>
      </c>
      <c r="H1338" s="370"/>
      <c r="I1338" s="422">
        <f>(45.69*100/625)*(12-(4-3))*2</f>
        <v>160.8288</v>
      </c>
      <c r="J1338" s="368">
        <v>10700</v>
      </c>
      <c r="K1338" s="650">
        <v>0.7</v>
      </c>
      <c r="L1338" s="571">
        <f t="shared" si="200"/>
        <v>1204608</v>
      </c>
      <c r="M1338" s="356"/>
      <c r="N1338" s="356"/>
      <c r="O1338" s="356"/>
      <c r="P1338" s="356"/>
      <c r="Q1338" s="610"/>
      <c r="R1338" s="1452"/>
      <c r="S1338" s="308"/>
      <c r="T1338" s="308"/>
      <c r="U1338" s="308"/>
      <c r="V1338" s="308"/>
      <c r="W1338" s="308"/>
      <c r="X1338" s="308"/>
      <c r="Y1338" s="308"/>
      <c r="Z1338" s="604"/>
      <c r="AA1338" s="308"/>
      <c r="AB1338" s="308"/>
      <c r="AC1338" s="486"/>
      <c r="AD1338" s="486"/>
      <c r="AE1338" s="486"/>
      <c r="AF1338" s="486"/>
      <c r="AG1338" s="486"/>
      <c r="AH1338" s="486"/>
      <c r="AI1338" s="486"/>
      <c r="AJ1338" s="486"/>
      <c r="AK1338" s="486"/>
      <c r="AL1338" s="1267"/>
      <c r="AM1338" s="1268"/>
      <c r="AN1338" s="1268"/>
      <c r="AO1338" s="1268"/>
      <c r="AP1338" s="1268"/>
      <c r="AQ1338" s="1268"/>
      <c r="AR1338" s="1268"/>
      <c r="AS1338" s="1268"/>
      <c r="AT1338" s="1268"/>
      <c r="AU1338" s="1268"/>
      <c r="AV1338" s="1268"/>
      <c r="AW1338" s="1268"/>
      <c r="AX1338" s="1268"/>
      <c r="AY1338" s="1268"/>
      <c r="AZ1338" s="1268"/>
      <c r="BA1338" s="1268"/>
      <c r="BB1338" s="1268"/>
      <c r="BC1338" s="1268"/>
      <c r="BD1338" s="1268"/>
      <c r="BE1338" s="1268"/>
      <c r="BF1338" s="1268"/>
      <c r="BG1338" s="1268"/>
      <c r="BH1338" s="1268"/>
      <c r="BI1338" s="1268"/>
      <c r="BJ1338" s="1268"/>
      <c r="BK1338" s="1268"/>
      <c r="BL1338" s="1268"/>
      <c r="BM1338" s="1268"/>
      <c r="BN1338" s="1268"/>
      <c r="BO1338" s="1268"/>
      <c r="BP1338" s="1268"/>
      <c r="BQ1338" s="1268"/>
      <c r="BR1338" s="1268"/>
      <c r="BS1338" s="1268"/>
      <c r="BT1338" s="1268"/>
      <c r="BU1338" s="1268"/>
      <c r="BV1338" s="1268"/>
      <c r="BW1338" s="1268"/>
      <c r="BX1338" s="1268"/>
      <c r="BY1338" s="1268"/>
      <c r="BZ1338" s="1268"/>
      <c r="CA1338" s="1268"/>
      <c r="CB1338" s="1268"/>
      <c r="CC1338" s="1268"/>
      <c r="CD1338" s="1268"/>
      <c r="CE1338" s="1268"/>
      <c r="CF1338" s="1268"/>
      <c r="CG1338" s="1268"/>
      <c r="CH1338" s="1268"/>
      <c r="CI1338" s="1268"/>
      <c r="CJ1338" s="1268"/>
      <c r="CK1338" s="1268"/>
      <c r="CL1338" s="1268"/>
      <c r="CM1338" s="1268"/>
      <c r="CN1338" s="1268"/>
      <c r="CO1338" s="1268"/>
      <c r="CP1338" s="1268"/>
      <c r="CQ1338" s="1268"/>
      <c r="CR1338" s="1268"/>
      <c r="CS1338" s="1268"/>
      <c r="CT1338" s="1268"/>
      <c r="CU1338" s="1268"/>
      <c r="CV1338" s="1268"/>
      <c r="CW1338" s="1268"/>
      <c r="CX1338" s="1268"/>
      <c r="CY1338" s="1268"/>
      <c r="CZ1338" s="1268"/>
      <c r="DA1338" s="1268"/>
      <c r="DB1338" s="1268"/>
      <c r="DC1338" s="1268"/>
      <c r="DD1338" s="1268"/>
      <c r="DE1338" s="1268"/>
      <c r="DF1338" s="1268"/>
      <c r="DG1338" s="1268"/>
      <c r="DH1338" s="1268"/>
      <c r="DI1338" s="1268"/>
      <c r="DJ1338" s="1268"/>
      <c r="DK1338" s="1268"/>
      <c r="DL1338" s="1268"/>
      <c r="DM1338" s="1268"/>
      <c r="DN1338" s="1268"/>
      <c r="DO1338" s="1268"/>
      <c r="DP1338" s="1268"/>
      <c r="DQ1338" s="1268"/>
      <c r="DR1338" s="1268"/>
      <c r="DS1338" s="1268"/>
      <c r="DT1338" s="1268"/>
      <c r="DU1338" s="1268"/>
      <c r="DV1338" s="1268"/>
      <c r="DW1338" s="1268"/>
      <c r="DX1338" s="1268"/>
      <c r="DY1338" s="1268"/>
      <c r="DZ1338" s="1268"/>
      <c r="EA1338" s="1268"/>
      <c r="EB1338" s="1268"/>
      <c r="EC1338" s="1268"/>
      <c r="ED1338" s="1268"/>
      <c r="EE1338" s="1268"/>
      <c r="EF1338" s="1268"/>
      <c r="EG1338" s="1268"/>
      <c r="EH1338" s="1268"/>
      <c r="EI1338" s="1268"/>
      <c r="EJ1338" s="1268"/>
      <c r="EK1338" s="1268"/>
      <c r="EL1338" s="1268"/>
      <c r="EM1338" s="1268"/>
      <c r="EN1338" s="1268"/>
      <c r="EO1338" s="1268"/>
      <c r="EP1338" s="1268"/>
      <c r="EQ1338" s="1268"/>
      <c r="ER1338" s="1268"/>
      <c r="ES1338" s="1268"/>
      <c r="ET1338" s="1268"/>
      <c r="EU1338" s="1268"/>
      <c r="EV1338" s="1268"/>
      <c r="EW1338" s="1268"/>
      <c r="EX1338" s="1268"/>
      <c r="EY1338" s="1268"/>
      <c r="EZ1338" s="1268"/>
      <c r="FA1338" s="1268"/>
      <c r="FB1338" s="1268"/>
      <c r="FC1338" s="1268"/>
      <c r="FD1338" s="1268"/>
      <c r="FE1338" s="1268"/>
      <c r="FF1338" s="1268"/>
      <c r="FG1338" s="1268"/>
      <c r="FH1338" s="1268"/>
      <c r="FI1338" s="1268"/>
      <c r="FJ1338" s="1268"/>
      <c r="FK1338" s="1268"/>
      <c r="FL1338" s="1268"/>
      <c r="FM1338" s="1268"/>
      <c r="FN1338" s="1268"/>
      <c r="FO1338" s="1268"/>
      <c r="FP1338" s="1268"/>
      <c r="FQ1338" s="1268"/>
      <c r="FR1338" s="1268"/>
      <c r="FS1338" s="1268"/>
      <c r="FT1338" s="1268"/>
      <c r="FU1338" s="1268"/>
      <c r="FV1338" s="1268"/>
      <c r="FW1338" s="1268"/>
      <c r="FX1338" s="1268"/>
      <c r="FY1338" s="1268"/>
      <c r="FZ1338" s="1268"/>
      <c r="GA1338" s="1268"/>
      <c r="GB1338" s="1268"/>
      <c r="GC1338" s="1268"/>
      <c r="GD1338" s="1268"/>
      <c r="GE1338" s="1268"/>
      <c r="GF1338" s="1268"/>
      <c r="GG1338" s="1268"/>
      <c r="GH1338" s="1268"/>
      <c r="GI1338" s="1268"/>
      <c r="GJ1338" s="1268"/>
      <c r="GK1338" s="1268"/>
      <c r="GL1338" s="1268"/>
      <c r="GM1338" s="1268"/>
      <c r="GN1338" s="1268"/>
      <c r="GO1338" s="1268"/>
      <c r="GP1338" s="1268"/>
      <c r="GQ1338" s="1268"/>
      <c r="GR1338" s="1268"/>
      <c r="GS1338" s="1268"/>
      <c r="GT1338" s="1268"/>
      <c r="GU1338" s="1268"/>
      <c r="GV1338" s="1268"/>
      <c r="GW1338" s="1268"/>
      <c r="GX1338" s="1268"/>
      <c r="GY1338" s="1268"/>
      <c r="GZ1338" s="1268"/>
      <c r="HA1338" s="1268"/>
      <c r="HB1338" s="1268"/>
      <c r="HC1338" s="1268"/>
      <c r="HD1338" s="1268"/>
      <c r="HE1338" s="1268"/>
      <c r="HF1338" s="1268"/>
      <c r="HG1338" s="1268"/>
      <c r="HH1338" s="1268"/>
      <c r="HI1338" s="1268"/>
      <c r="HJ1338" s="1268"/>
      <c r="HK1338" s="1268"/>
      <c r="HL1338" s="1268"/>
      <c r="HM1338" s="1268"/>
      <c r="HN1338" s="1268"/>
      <c r="HO1338" s="1268"/>
      <c r="HP1338" s="1268"/>
      <c r="HQ1338" s="1268"/>
      <c r="HR1338" s="1268"/>
      <c r="HS1338" s="1268"/>
      <c r="HT1338" s="1268"/>
      <c r="HU1338" s="1268"/>
      <c r="HV1338" s="1268"/>
      <c r="HW1338" s="1268"/>
      <c r="HX1338" s="1268"/>
      <c r="HY1338" s="1268"/>
      <c r="HZ1338" s="1268"/>
      <c r="IA1338" s="1268"/>
      <c r="IB1338" s="1268"/>
      <c r="IC1338" s="1268"/>
      <c r="ID1338" s="1268"/>
      <c r="IE1338" s="1268"/>
      <c r="IF1338" s="1268"/>
      <c r="IG1338" s="1268"/>
      <c r="IH1338" s="1268"/>
      <c r="II1338" s="1268"/>
      <c r="IJ1338" s="1268"/>
      <c r="IK1338" s="1268"/>
      <c r="IL1338" s="1268"/>
      <c r="IM1338" s="1268"/>
      <c r="IN1338" s="1268"/>
      <c r="IO1338" s="1268"/>
      <c r="IP1338" s="1268"/>
      <c r="IQ1338" s="1268"/>
      <c r="IR1338" s="1268"/>
      <c r="IS1338" s="1268"/>
      <c r="IT1338" s="1268"/>
      <c r="IU1338" s="1268"/>
      <c r="IV1338" s="1268"/>
      <c r="IW1338" s="1268"/>
      <c r="IX1338" s="1268"/>
      <c r="IY1338" s="1268"/>
      <c r="IZ1338" s="1268"/>
      <c r="JA1338" s="1268"/>
      <c r="JB1338" s="1268"/>
      <c r="JC1338" s="1268"/>
      <c r="JD1338" s="1268"/>
      <c r="JE1338" s="1268"/>
      <c r="JF1338" s="1268"/>
      <c r="JG1338" s="1268"/>
      <c r="JH1338" s="1268"/>
      <c r="JI1338" s="1268"/>
      <c r="JJ1338" s="1268"/>
      <c r="JK1338" s="1268"/>
      <c r="JL1338" s="1268"/>
      <c r="JM1338" s="1268"/>
      <c r="JN1338" s="1268"/>
      <c r="JO1338" s="1268"/>
      <c r="JP1338" s="1268"/>
      <c r="JQ1338" s="1268"/>
      <c r="JR1338" s="1268"/>
      <c r="JS1338" s="1268"/>
      <c r="JT1338" s="1268"/>
      <c r="JU1338" s="1268"/>
      <c r="JV1338" s="1268"/>
      <c r="JW1338" s="1268"/>
      <c r="JX1338" s="1268"/>
      <c r="JY1338" s="1268"/>
      <c r="JZ1338" s="1268"/>
      <c r="KA1338" s="1268"/>
      <c r="KB1338" s="1268"/>
      <c r="KC1338" s="1268"/>
      <c r="KD1338" s="1268"/>
      <c r="KE1338" s="1268"/>
      <c r="KF1338" s="1268"/>
      <c r="KG1338" s="1268"/>
      <c r="KH1338" s="1268"/>
      <c r="KI1338" s="1268"/>
      <c r="KJ1338" s="1268"/>
      <c r="KK1338" s="1268"/>
      <c r="KL1338" s="1268"/>
      <c r="KM1338" s="1268"/>
      <c r="KN1338" s="1268"/>
      <c r="KO1338" s="1268"/>
      <c r="KP1338" s="1268"/>
      <c r="KQ1338" s="1268"/>
      <c r="KR1338" s="1268"/>
      <c r="KS1338" s="1268"/>
      <c r="KT1338" s="1268"/>
      <c r="KU1338" s="1268"/>
      <c r="KV1338" s="1268"/>
      <c r="KW1338" s="1268"/>
      <c r="KX1338" s="1268"/>
      <c r="KY1338" s="1268"/>
      <c r="KZ1338" s="1268"/>
      <c r="LA1338" s="1268"/>
      <c r="LB1338" s="1268"/>
      <c r="LC1338" s="1268"/>
      <c r="LD1338" s="1268"/>
      <c r="LE1338" s="1268"/>
      <c r="LF1338" s="1268"/>
      <c r="LG1338" s="1268"/>
      <c r="LH1338" s="1268"/>
      <c r="LI1338" s="1268"/>
      <c r="LJ1338" s="1268"/>
      <c r="LK1338" s="1268"/>
      <c r="LL1338" s="1268"/>
      <c r="LM1338" s="1268"/>
      <c r="LN1338" s="1268"/>
      <c r="LO1338" s="1268"/>
      <c r="LP1338" s="1268"/>
      <c r="LQ1338" s="1268"/>
      <c r="LR1338" s="1268"/>
      <c r="LS1338" s="1268"/>
      <c r="LT1338" s="1268"/>
      <c r="LU1338" s="1268"/>
      <c r="LV1338" s="1268"/>
      <c r="LW1338" s="1268"/>
      <c r="LX1338" s="1268"/>
      <c r="LY1338" s="1268"/>
      <c r="LZ1338" s="1268"/>
      <c r="MA1338" s="1268"/>
      <c r="MB1338" s="1268"/>
      <c r="MC1338" s="1268"/>
      <c r="MD1338" s="1268"/>
      <c r="ME1338" s="1268"/>
      <c r="MF1338" s="1268"/>
      <c r="MG1338" s="1268"/>
      <c r="MH1338" s="1268"/>
      <c r="MI1338" s="1268"/>
      <c r="MJ1338" s="1268"/>
      <c r="MK1338" s="1268"/>
      <c r="ML1338" s="1268"/>
      <c r="MM1338" s="1268"/>
      <c r="MN1338" s="1268"/>
      <c r="MO1338" s="1268"/>
      <c r="MP1338" s="1268"/>
      <c r="MQ1338" s="1268"/>
      <c r="MR1338" s="1268"/>
      <c r="MS1338" s="1268"/>
      <c r="MT1338" s="1268"/>
      <c r="MU1338" s="1268"/>
      <c r="MV1338" s="1268"/>
      <c r="MW1338" s="1268"/>
      <c r="MX1338" s="1268"/>
      <c r="MY1338" s="1268"/>
      <c r="MZ1338" s="1268"/>
      <c r="NA1338" s="1268"/>
      <c r="NB1338" s="1268"/>
      <c r="NC1338" s="1268"/>
      <c r="ND1338" s="1268"/>
      <c r="NE1338" s="1268"/>
      <c r="NF1338" s="1268"/>
      <c r="NG1338" s="1268"/>
      <c r="NH1338" s="1268"/>
      <c r="NI1338" s="1268"/>
      <c r="NJ1338" s="1268"/>
      <c r="NK1338" s="1268"/>
      <c r="NL1338" s="1268"/>
      <c r="NM1338" s="1268"/>
      <c r="NN1338" s="1268"/>
      <c r="NO1338" s="1268"/>
      <c r="NP1338" s="1268"/>
      <c r="NQ1338" s="1268"/>
      <c r="NR1338" s="1268"/>
      <c r="NS1338" s="1268"/>
      <c r="NT1338" s="1268"/>
      <c r="NU1338" s="1268"/>
      <c r="NV1338" s="1268"/>
      <c r="NW1338" s="1268"/>
      <c r="NX1338" s="1268"/>
      <c r="NY1338" s="1268"/>
      <c r="NZ1338" s="1268"/>
      <c r="OA1338" s="1268"/>
      <c r="OB1338" s="1268"/>
      <c r="OC1338" s="1268"/>
      <c r="OD1338" s="1268"/>
      <c r="OE1338" s="1268"/>
      <c r="OF1338" s="1268"/>
      <c r="OG1338" s="1268"/>
      <c r="OH1338" s="1268"/>
      <c r="OI1338" s="1268"/>
      <c r="OJ1338" s="1268"/>
      <c r="OK1338" s="1268"/>
      <c r="OL1338" s="1268"/>
      <c r="OM1338" s="1268"/>
      <c r="ON1338" s="1268"/>
      <c r="OO1338" s="1268"/>
      <c r="OP1338" s="1268"/>
      <c r="OQ1338" s="1268"/>
      <c r="OR1338" s="1268"/>
      <c r="OS1338" s="1268"/>
      <c r="OT1338" s="1268"/>
      <c r="OU1338" s="1268"/>
      <c r="OV1338" s="1268"/>
      <c r="OW1338" s="1268"/>
      <c r="OX1338" s="1268"/>
      <c r="OY1338" s="1268"/>
      <c r="OZ1338" s="1268"/>
      <c r="PA1338" s="1268"/>
      <c r="PB1338" s="1268"/>
      <c r="PC1338" s="1268"/>
      <c r="PD1338" s="1268"/>
      <c r="PE1338" s="1268"/>
      <c r="PF1338" s="1268"/>
      <c r="PG1338" s="1268"/>
      <c r="PH1338" s="1268"/>
      <c r="PI1338" s="1268"/>
      <c r="PJ1338" s="1268"/>
      <c r="PK1338" s="1268"/>
      <c r="PL1338" s="1268"/>
      <c r="PM1338" s="1268"/>
      <c r="PN1338" s="1268"/>
      <c r="PO1338" s="1268"/>
      <c r="PP1338" s="1268"/>
      <c r="PQ1338" s="1268"/>
      <c r="PR1338" s="1268"/>
      <c r="PS1338" s="1268"/>
      <c r="PT1338" s="1268"/>
      <c r="PU1338" s="1268"/>
      <c r="PV1338" s="1268"/>
      <c r="PW1338" s="1268"/>
      <c r="PX1338" s="1268"/>
      <c r="PY1338" s="1268"/>
      <c r="PZ1338" s="1268"/>
      <c r="QA1338" s="1268"/>
      <c r="QB1338" s="1268"/>
      <c r="QC1338" s="1268"/>
      <c r="QD1338" s="1268"/>
      <c r="QE1338" s="1268"/>
      <c r="QF1338" s="1268"/>
      <c r="QG1338" s="1268"/>
      <c r="QH1338" s="1268"/>
      <c r="QI1338" s="1268"/>
      <c r="QJ1338" s="1268"/>
      <c r="QK1338" s="1268"/>
      <c r="QL1338" s="1268"/>
      <c r="QM1338" s="1268"/>
      <c r="QN1338" s="1268"/>
      <c r="QO1338" s="1268"/>
      <c r="QP1338" s="1268"/>
      <c r="QQ1338" s="1268"/>
      <c r="QR1338" s="1268"/>
      <c r="QS1338" s="1268"/>
      <c r="QT1338" s="1268"/>
      <c r="QU1338" s="1268"/>
      <c r="QV1338" s="1268"/>
      <c r="QW1338" s="1268"/>
      <c r="QX1338" s="1268"/>
      <c r="QY1338" s="1268"/>
      <c r="QZ1338" s="1268"/>
      <c r="RA1338" s="1268"/>
      <c r="RB1338" s="1268"/>
      <c r="RC1338" s="1268"/>
      <c r="RD1338" s="1268"/>
      <c r="RE1338" s="1268"/>
      <c r="RF1338" s="1268"/>
      <c r="RG1338" s="1268"/>
      <c r="RH1338" s="1268"/>
      <c r="RI1338" s="1268"/>
      <c r="RJ1338" s="1268"/>
      <c r="RK1338" s="1268"/>
      <c r="RL1338" s="1268"/>
      <c r="RM1338" s="1268"/>
      <c r="RN1338" s="1268"/>
      <c r="RO1338" s="1268"/>
      <c r="RP1338" s="1268"/>
      <c r="RQ1338" s="1268"/>
      <c r="RR1338" s="1268"/>
      <c r="RS1338" s="1268"/>
      <c r="RT1338" s="1268"/>
      <c r="RU1338" s="1268"/>
      <c r="RV1338" s="1268"/>
      <c r="RW1338" s="1268"/>
      <c r="RX1338" s="1268"/>
      <c r="RY1338" s="1268"/>
      <c r="RZ1338" s="1268"/>
      <c r="SA1338" s="1268"/>
      <c r="SB1338" s="1268"/>
      <c r="SC1338" s="1268"/>
      <c r="SD1338" s="1268"/>
      <c r="SE1338" s="1268"/>
      <c r="SF1338" s="1268"/>
      <c r="SG1338" s="1268"/>
      <c r="SH1338" s="1268"/>
      <c r="SI1338" s="1268"/>
      <c r="SJ1338" s="1268"/>
      <c r="SK1338" s="1268"/>
      <c r="SL1338" s="1268"/>
      <c r="SM1338" s="1268"/>
      <c r="SN1338" s="1268"/>
      <c r="SO1338" s="1268"/>
      <c r="SP1338" s="1268"/>
      <c r="SQ1338" s="1268"/>
      <c r="SR1338" s="1268"/>
      <c r="SS1338" s="1268"/>
      <c r="ST1338" s="1268"/>
      <c r="SU1338" s="1268"/>
      <c r="SV1338" s="1268"/>
      <c r="SW1338" s="1268"/>
      <c r="SX1338" s="1268"/>
      <c r="SY1338" s="1268"/>
      <c r="SZ1338" s="1268"/>
      <c r="TA1338" s="1268"/>
      <c r="TB1338" s="1268"/>
      <c r="TC1338" s="1268"/>
      <c r="TD1338" s="1268"/>
      <c r="TE1338" s="1268"/>
      <c r="TF1338" s="1268"/>
      <c r="TG1338" s="1268"/>
      <c r="TH1338" s="1268"/>
      <c r="TI1338" s="1268"/>
      <c r="TJ1338" s="1268"/>
      <c r="TK1338" s="1268"/>
      <c r="TL1338" s="1268"/>
      <c r="TM1338" s="1268"/>
      <c r="TN1338" s="1268"/>
      <c r="TO1338" s="1268"/>
      <c r="TP1338" s="1268"/>
      <c r="TQ1338" s="1268"/>
      <c r="TR1338" s="1268"/>
      <c r="TS1338" s="1268"/>
      <c r="TT1338" s="1268"/>
      <c r="TU1338" s="1268"/>
      <c r="TV1338" s="1268"/>
      <c r="TW1338" s="1268"/>
      <c r="TX1338" s="1268"/>
      <c r="TY1338" s="1268"/>
      <c r="TZ1338" s="1268"/>
      <c r="UA1338" s="1268"/>
      <c r="UB1338" s="1268"/>
      <c r="UC1338" s="1268"/>
      <c r="UD1338" s="1268"/>
      <c r="UE1338" s="1268"/>
      <c r="UF1338" s="1268"/>
      <c r="UG1338" s="1268"/>
    </row>
    <row r="1339" spans="1:553" s="1262" customFormat="1" ht="37.9" customHeight="1">
      <c r="A1339" s="356" t="s">
        <v>15</v>
      </c>
      <c r="B1339" s="356"/>
      <c r="C1339" s="1586" t="s">
        <v>370</v>
      </c>
      <c r="D1339" s="1389"/>
      <c r="E1339" s="1389"/>
      <c r="F1339" s="1390"/>
      <c r="G1339" s="418" t="s">
        <v>193</v>
      </c>
      <c r="H1339" s="370"/>
      <c r="I1339" s="443">
        <v>15</v>
      </c>
      <c r="J1339" s="1080">
        <v>125000</v>
      </c>
      <c r="K1339" s="443"/>
      <c r="L1339" s="571">
        <f t="shared" si="200"/>
        <v>1875000</v>
      </c>
      <c r="M1339" s="356"/>
      <c r="N1339" s="356"/>
      <c r="O1339" s="356"/>
      <c r="P1339" s="356"/>
      <c r="Q1339" s="610"/>
      <c r="R1339" s="1452"/>
      <c r="S1339" s="308"/>
      <c r="T1339" s="308"/>
      <c r="U1339" s="308"/>
      <c r="V1339" s="308"/>
      <c r="W1339" s="308"/>
      <c r="X1339" s="308"/>
      <c r="Y1339" s="308"/>
      <c r="Z1339" s="604"/>
      <c r="AA1339" s="308"/>
      <c r="AB1339" s="308"/>
      <c r="AC1339" s="486"/>
      <c r="AD1339" s="486"/>
      <c r="AE1339" s="486"/>
      <c r="AF1339" s="486"/>
      <c r="AG1339" s="486"/>
      <c r="AH1339" s="486"/>
      <c r="AI1339" s="486"/>
      <c r="AJ1339" s="486"/>
      <c r="AK1339" s="486"/>
      <c r="AL1339" s="1267"/>
      <c r="AM1339" s="1268"/>
      <c r="AN1339" s="1268"/>
      <c r="AO1339" s="1268"/>
      <c r="AP1339" s="1268"/>
      <c r="AQ1339" s="1268"/>
      <c r="AR1339" s="1268"/>
      <c r="AS1339" s="1268"/>
      <c r="AT1339" s="1268"/>
      <c r="AU1339" s="1268"/>
      <c r="AV1339" s="1268"/>
      <c r="AW1339" s="1268"/>
      <c r="AX1339" s="1268"/>
      <c r="AY1339" s="1268"/>
      <c r="AZ1339" s="1268"/>
      <c r="BA1339" s="1268"/>
      <c r="BB1339" s="1268"/>
      <c r="BC1339" s="1268"/>
      <c r="BD1339" s="1268"/>
      <c r="BE1339" s="1268"/>
      <c r="BF1339" s="1268"/>
      <c r="BG1339" s="1268"/>
      <c r="BH1339" s="1268"/>
      <c r="BI1339" s="1268"/>
      <c r="BJ1339" s="1268"/>
      <c r="BK1339" s="1268"/>
      <c r="BL1339" s="1268"/>
      <c r="BM1339" s="1268"/>
      <c r="BN1339" s="1268"/>
      <c r="BO1339" s="1268"/>
      <c r="BP1339" s="1268"/>
      <c r="BQ1339" s="1268"/>
      <c r="BR1339" s="1268"/>
      <c r="BS1339" s="1268"/>
      <c r="BT1339" s="1268"/>
      <c r="BU1339" s="1268"/>
      <c r="BV1339" s="1268"/>
      <c r="BW1339" s="1268"/>
      <c r="BX1339" s="1268"/>
      <c r="BY1339" s="1268"/>
      <c r="BZ1339" s="1268"/>
      <c r="CA1339" s="1268"/>
      <c r="CB1339" s="1268"/>
      <c r="CC1339" s="1268"/>
      <c r="CD1339" s="1268"/>
      <c r="CE1339" s="1268"/>
      <c r="CF1339" s="1268"/>
      <c r="CG1339" s="1268"/>
      <c r="CH1339" s="1268"/>
      <c r="CI1339" s="1268"/>
      <c r="CJ1339" s="1268"/>
      <c r="CK1339" s="1268"/>
      <c r="CL1339" s="1268"/>
      <c r="CM1339" s="1268"/>
      <c r="CN1339" s="1268"/>
      <c r="CO1339" s="1268"/>
      <c r="CP1339" s="1268"/>
      <c r="CQ1339" s="1268"/>
      <c r="CR1339" s="1268"/>
      <c r="CS1339" s="1268"/>
      <c r="CT1339" s="1268"/>
      <c r="CU1339" s="1268"/>
      <c r="CV1339" s="1268"/>
      <c r="CW1339" s="1268"/>
      <c r="CX1339" s="1268"/>
      <c r="CY1339" s="1268"/>
      <c r="CZ1339" s="1268"/>
      <c r="DA1339" s="1268"/>
      <c r="DB1339" s="1268"/>
      <c r="DC1339" s="1268"/>
      <c r="DD1339" s="1268"/>
      <c r="DE1339" s="1268"/>
      <c r="DF1339" s="1268"/>
      <c r="DG1339" s="1268"/>
      <c r="DH1339" s="1268"/>
      <c r="DI1339" s="1268"/>
      <c r="DJ1339" s="1268"/>
      <c r="DK1339" s="1268"/>
      <c r="DL1339" s="1268"/>
      <c r="DM1339" s="1268"/>
      <c r="DN1339" s="1268"/>
      <c r="DO1339" s="1268"/>
      <c r="DP1339" s="1268"/>
      <c r="DQ1339" s="1268"/>
      <c r="DR1339" s="1268"/>
      <c r="DS1339" s="1268"/>
      <c r="DT1339" s="1268"/>
      <c r="DU1339" s="1268"/>
      <c r="DV1339" s="1268"/>
      <c r="DW1339" s="1268"/>
      <c r="DX1339" s="1268"/>
      <c r="DY1339" s="1268"/>
      <c r="DZ1339" s="1268"/>
      <c r="EA1339" s="1268"/>
      <c r="EB1339" s="1268"/>
      <c r="EC1339" s="1268"/>
      <c r="ED1339" s="1268"/>
      <c r="EE1339" s="1268"/>
      <c r="EF1339" s="1268"/>
      <c r="EG1339" s="1268"/>
      <c r="EH1339" s="1268"/>
      <c r="EI1339" s="1268"/>
      <c r="EJ1339" s="1268"/>
      <c r="EK1339" s="1268"/>
      <c r="EL1339" s="1268"/>
      <c r="EM1339" s="1268"/>
      <c r="EN1339" s="1268"/>
      <c r="EO1339" s="1268"/>
      <c r="EP1339" s="1268"/>
      <c r="EQ1339" s="1268"/>
      <c r="ER1339" s="1268"/>
      <c r="ES1339" s="1268"/>
      <c r="ET1339" s="1268"/>
      <c r="EU1339" s="1268"/>
      <c r="EV1339" s="1268"/>
      <c r="EW1339" s="1268"/>
      <c r="EX1339" s="1268"/>
      <c r="EY1339" s="1268"/>
      <c r="EZ1339" s="1268"/>
      <c r="FA1339" s="1268"/>
      <c r="FB1339" s="1268"/>
      <c r="FC1339" s="1268"/>
      <c r="FD1339" s="1268"/>
      <c r="FE1339" s="1268"/>
      <c r="FF1339" s="1268"/>
      <c r="FG1339" s="1268"/>
      <c r="FH1339" s="1268"/>
      <c r="FI1339" s="1268"/>
      <c r="FJ1339" s="1268"/>
      <c r="FK1339" s="1268"/>
      <c r="FL1339" s="1268"/>
      <c r="FM1339" s="1268"/>
      <c r="FN1339" s="1268"/>
      <c r="FO1339" s="1268"/>
      <c r="FP1339" s="1268"/>
      <c r="FQ1339" s="1268"/>
      <c r="FR1339" s="1268"/>
      <c r="FS1339" s="1268"/>
      <c r="FT1339" s="1268"/>
      <c r="FU1339" s="1268"/>
      <c r="FV1339" s="1268"/>
      <c r="FW1339" s="1268"/>
      <c r="FX1339" s="1268"/>
      <c r="FY1339" s="1268"/>
      <c r="FZ1339" s="1268"/>
      <c r="GA1339" s="1268"/>
      <c r="GB1339" s="1268"/>
      <c r="GC1339" s="1268"/>
      <c r="GD1339" s="1268"/>
      <c r="GE1339" s="1268"/>
      <c r="GF1339" s="1268"/>
      <c r="GG1339" s="1268"/>
      <c r="GH1339" s="1268"/>
      <c r="GI1339" s="1268"/>
      <c r="GJ1339" s="1268"/>
      <c r="GK1339" s="1268"/>
      <c r="GL1339" s="1268"/>
      <c r="GM1339" s="1268"/>
      <c r="GN1339" s="1268"/>
      <c r="GO1339" s="1268"/>
      <c r="GP1339" s="1268"/>
      <c r="GQ1339" s="1268"/>
      <c r="GR1339" s="1268"/>
      <c r="GS1339" s="1268"/>
      <c r="GT1339" s="1268"/>
      <c r="GU1339" s="1268"/>
      <c r="GV1339" s="1268"/>
      <c r="GW1339" s="1268"/>
      <c r="GX1339" s="1268"/>
      <c r="GY1339" s="1268"/>
      <c r="GZ1339" s="1268"/>
      <c r="HA1339" s="1268"/>
      <c r="HB1339" s="1268"/>
      <c r="HC1339" s="1268"/>
      <c r="HD1339" s="1268"/>
      <c r="HE1339" s="1268"/>
      <c r="HF1339" s="1268"/>
      <c r="HG1339" s="1268"/>
      <c r="HH1339" s="1268"/>
      <c r="HI1339" s="1268"/>
      <c r="HJ1339" s="1268"/>
      <c r="HK1339" s="1268"/>
      <c r="HL1339" s="1268"/>
      <c r="HM1339" s="1268"/>
      <c r="HN1339" s="1268"/>
      <c r="HO1339" s="1268"/>
      <c r="HP1339" s="1268"/>
      <c r="HQ1339" s="1268"/>
      <c r="HR1339" s="1268"/>
      <c r="HS1339" s="1268"/>
      <c r="HT1339" s="1268"/>
      <c r="HU1339" s="1268"/>
      <c r="HV1339" s="1268"/>
      <c r="HW1339" s="1268"/>
      <c r="HX1339" s="1268"/>
      <c r="HY1339" s="1268"/>
      <c r="HZ1339" s="1268"/>
      <c r="IA1339" s="1268"/>
      <c r="IB1339" s="1268"/>
      <c r="IC1339" s="1268"/>
      <c r="ID1339" s="1268"/>
      <c r="IE1339" s="1268"/>
      <c r="IF1339" s="1268"/>
      <c r="IG1339" s="1268"/>
      <c r="IH1339" s="1268"/>
      <c r="II1339" s="1268"/>
      <c r="IJ1339" s="1268"/>
      <c r="IK1339" s="1268"/>
      <c r="IL1339" s="1268"/>
      <c r="IM1339" s="1268"/>
      <c r="IN1339" s="1268"/>
      <c r="IO1339" s="1268"/>
      <c r="IP1339" s="1268"/>
      <c r="IQ1339" s="1268"/>
      <c r="IR1339" s="1268"/>
      <c r="IS1339" s="1268"/>
      <c r="IT1339" s="1268"/>
      <c r="IU1339" s="1268"/>
      <c r="IV1339" s="1268"/>
      <c r="IW1339" s="1268"/>
      <c r="IX1339" s="1268"/>
      <c r="IY1339" s="1268"/>
      <c r="IZ1339" s="1268"/>
      <c r="JA1339" s="1268"/>
      <c r="JB1339" s="1268"/>
      <c r="JC1339" s="1268"/>
      <c r="JD1339" s="1268"/>
      <c r="JE1339" s="1268"/>
      <c r="JF1339" s="1268"/>
      <c r="JG1339" s="1268"/>
      <c r="JH1339" s="1268"/>
      <c r="JI1339" s="1268"/>
      <c r="JJ1339" s="1268"/>
      <c r="JK1339" s="1268"/>
      <c r="JL1339" s="1268"/>
      <c r="JM1339" s="1268"/>
      <c r="JN1339" s="1268"/>
      <c r="JO1339" s="1268"/>
      <c r="JP1339" s="1268"/>
      <c r="JQ1339" s="1268"/>
      <c r="JR1339" s="1268"/>
      <c r="JS1339" s="1268"/>
      <c r="JT1339" s="1268"/>
      <c r="JU1339" s="1268"/>
      <c r="JV1339" s="1268"/>
      <c r="JW1339" s="1268"/>
      <c r="JX1339" s="1268"/>
      <c r="JY1339" s="1268"/>
      <c r="JZ1339" s="1268"/>
      <c r="KA1339" s="1268"/>
      <c r="KB1339" s="1268"/>
      <c r="KC1339" s="1268"/>
      <c r="KD1339" s="1268"/>
      <c r="KE1339" s="1268"/>
      <c r="KF1339" s="1268"/>
      <c r="KG1339" s="1268"/>
      <c r="KH1339" s="1268"/>
      <c r="KI1339" s="1268"/>
      <c r="KJ1339" s="1268"/>
      <c r="KK1339" s="1268"/>
      <c r="KL1339" s="1268"/>
      <c r="KM1339" s="1268"/>
      <c r="KN1339" s="1268"/>
      <c r="KO1339" s="1268"/>
      <c r="KP1339" s="1268"/>
      <c r="KQ1339" s="1268"/>
      <c r="KR1339" s="1268"/>
      <c r="KS1339" s="1268"/>
      <c r="KT1339" s="1268"/>
      <c r="KU1339" s="1268"/>
      <c r="KV1339" s="1268"/>
      <c r="KW1339" s="1268"/>
      <c r="KX1339" s="1268"/>
      <c r="KY1339" s="1268"/>
      <c r="KZ1339" s="1268"/>
      <c r="LA1339" s="1268"/>
      <c r="LB1339" s="1268"/>
      <c r="LC1339" s="1268"/>
      <c r="LD1339" s="1268"/>
      <c r="LE1339" s="1268"/>
      <c r="LF1339" s="1268"/>
      <c r="LG1339" s="1268"/>
      <c r="LH1339" s="1268"/>
      <c r="LI1339" s="1268"/>
      <c r="LJ1339" s="1268"/>
      <c r="LK1339" s="1268"/>
      <c r="LL1339" s="1268"/>
      <c r="LM1339" s="1268"/>
      <c r="LN1339" s="1268"/>
      <c r="LO1339" s="1268"/>
      <c r="LP1339" s="1268"/>
      <c r="LQ1339" s="1268"/>
      <c r="LR1339" s="1268"/>
      <c r="LS1339" s="1268"/>
      <c r="LT1339" s="1268"/>
      <c r="LU1339" s="1268"/>
      <c r="LV1339" s="1268"/>
      <c r="LW1339" s="1268"/>
      <c r="LX1339" s="1268"/>
      <c r="LY1339" s="1268"/>
      <c r="LZ1339" s="1268"/>
      <c r="MA1339" s="1268"/>
      <c r="MB1339" s="1268"/>
      <c r="MC1339" s="1268"/>
      <c r="MD1339" s="1268"/>
      <c r="ME1339" s="1268"/>
      <c r="MF1339" s="1268"/>
      <c r="MG1339" s="1268"/>
      <c r="MH1339" s="1268"/>
      <c r="MI1339" s="1268"/>
      <c r="MJ1339" s="1268"/>
      <c r="MK1339" s="1268"/>
      <c r="ML1339" s="1268"/>
      <c r="MM1339" s="1268"/>
      <c r="MN1339" s="1268"/>
      <c r="MO1339" s="1268"/>
      <c r="MP1339" s="1268"/>
      <c r="MQ1339" s="1268"/>
      <c r="MR1339" s="1268"/>
      <c r="MS1339" s="1268"/>
      <c r="MT1339" s="1268"/>
      <c r="MU1339" s="1268"/>
      <c r="MV1339" s="1268"/>
      <c r="MW1339" s="1268"/>
      <c r="MX1339" s="1268"/>
      <c r="MY1339" s="1268"/>
      <c r="MZ1339" s="1268"/>
      <c r="NA1339" s="1268"/>
      <c r="NB1339" s="1268"/>
      <c r="NC1339" s="1268"/>
      <c r="ND1339" s="1268"/>
      <c r="NE1339" s="1268"/>
      <c r="NF1339" s="1268"/>
      <c r="NG1339" s="1268"/>
      <c r="NH1339" s="1268"/>
      <c r="NI1339" s="1268"/>
      <c r="NJ1339" s="1268"/>
      <c r="NK1339" s="1268"/>
      <c r="NL1339" s="1268"/>
      <c r="NM1339" s="1268"/>
      <c r="NN1339" s="1268"/>
      <c r="NO1339" s="1268"/>
      <c r="NP1339" s="1268"/>
      <c r="NQ1339" s="1268"/>
      <c r="NR1339" s="1268"/>
      <c r="NS1339" s="1268"/>
      <c r="NT1339" s="1268"/>
      <c r="NU1339" s="1268"/>
      <c r="NV1339" s="1268"/>
      <c r="NW1339" s="1268"/>
      <c r="NX1339" s="1268"/>
      <c r="NY1339" s="1268"/>
      <c r="NZ1339" s="1268"/>
      <c r="OA1339" s="1268"/>
      <c r="OB1339" s="1268"/>
      <c r="OC1339" s="1268"/>
      <c r="OD1339" s="1268"/>
      <c r="OE1339" s="1268"/>
      <c r="OF1339" s="1268"/>
      <c r="OG1339" s="1268"/>
      <c r="OH1339" s="1268"/>
      <c r="OI1339" s="1268"/>
      <c r="OJ1339" s="1268"/>
      <c r="OK1339" s="1268"/>
      <c r="OL1339" s="1268"/>
      <c r="OM1339" s="1268"/>
      <c r="ON1339" s="1268"/>
      <c r="OO1339" s="1268"/>
      <c r="OP1339" s="1268"/>
      <c r="OQ1339" s="1268"/>
      <c r="OR1339" s="1268"/>
      <c r="OS1339" s="1268"/>
      <c r="OT1339" s="1268"/>
      <c r="OU1339" s="1268"/>
      <c r="OV1339" s="1268"/>
      <c r="OW1339" s="1268"/>
      <c r="OX1339" s="1268"/>
      <c r="OY1339" s="1268"/>
      <c r="OZ1339" s="1268"/>
      <c r="PA1339" s="1268"/>
      <c r="PB1339" s="1268"/>
      <c r="PC1339" s="1268"/>
      <c r="PD1339" s="1268"/>
      <c r="PE1339" s="1268"/>
      <c r="PF1339" s="1268"/>
      <c r="PG1339" s="1268"/>
      <c r="PH1339" s="1268"/>
      <c r="PI1339" s="1268"/>
      <c r="PJ1339" s="1268"/>
      <c r="PK1339" s="1268"/>
      <c r="PL1339" s="1268"/>
      <c r="PM1339" s="1268"/>
      <c r="PN1339" s="1268"/>
      <c r="PO1339" s="1268"/>
      <c r="PP1339" s="1268"/>
      <c r="PQ1339" s="1268"/>
      <c r="PR1339" s="1268"/>
      <c r="PS1339" s="1268"/>
      <c r="PT1339" s="1268"/>
      <c r="PU1339" s="1268"/>
      <c r="PV1339" s="1268"/>
      <c r="PW1339" s="1268"/>
      <c r="PX1339" s="1268"/>
      <c r="PY1339" s="1268"/>
      <c r="PZ1339" s="1268"/>
      <c r="QA1339" s="1268"/>
      <c r="QB1339" s="1268"/>
      <c r="QC1339" s="1268"/>
      <c r="QD1339" s="1268"/>
      <c r="QE1339" s="1268"/>
      <c r="QF1339" s="1268"/>
      <c r="QG1339" s="1268"/>
      <c r="QH1339" s="1268"/>
      <c r="QI1339" s="1268"/>
      <c r="QJ1339" s="1268"/>
      <c r="QK1339" s="1268"/>
      <c r="QL1339" s="1268"/>
      <c r="QM1339" s="1268"/>
      <c r="QN1339" s="1268"/>
      <c r="QO1339" s="1268"/>
      <c r="QP1339" s="1268"/>
      <c r="QQ1339" s="1268"/>
      <c r="QR1339" s="1268"/>
      <c r="QS1339" s="1268"/>
      <c r="QT1339" s="1268"/>
      <c r="QU1339" s="1268"/>
      <c r="QV1339" s="1268"/>
      <c r="QW1339" s="1268"/>
      <c r="QX1339" s="1268"/>
      <c r="QY1339" s="1268"/>
      <c r="QZ1339" s="1268"/>
      <c r="RA1339" s="1268"/>
      <c r="RB1339" s="1268"/>
      <c r="RC1339" s="1268"/>
      <c r="RD1339" s="1268"/>
      <c r="RE1339" s="1268"/>
      <c r="RF1339" s="1268"/>
      <c r="RG1339" s="1268"/>
      <c r="RH1339" s="1268"/>
      <c r="RI1339" s="1268"/>
      <c r="RJ1339" s="1268"/>
      <c r="RK1339" s="1268"/>
      <c r="RL1339" s="1268"/>
      <c r="RM1339" s="1268"/>
      <c r="RN1339" s="1268"/>
      <c r="RO1339" s="1268"/>
      <c r="RP1339" s="1268"/>
      <c r="RQ1339" s="1268"/>
      <c r="RR1339" s="1268"/>
      <c r="RS1339" s="1268"/>
      <c r="RT1339" s="1268"/>
      <c r="RU1339" s="1268"/>
      <c r="RV1339" s="1268"/>
      <c r="RW1339" s="1268"/>
      <c r="RX1339" s="1268"/>
      <c r="RY1339" s="1268"/>
      <c r="RZ1339" s="1268"/>
      <c r="SA1339" s="1268"/>
      <c r="SB1339" s="1268"/>
      <c r="SC1339" s="1268"/>
      <c r="SD1339" s="1268"/>
      <c r="SE1339" s="1268"/>
      <c r="SF1339" s="1268"/>
      <c r="SG1339" s="1268"/>
      <c r="SH1339" s="1268"/>
      <c r="SI1339" s="1268"/>
      <c r="SJ1339" s="1268"/>
      <c r="SK1339" s="1268"/>
      <c r="SL1339" s="1268"/>
      <c r="SM1339" s="1268"/>
      <c r="SN1339" s="1268"/>
      <c r="SO1339" s="1268"/>
      <c r="SP1339" s="1268"/>
      <c r="SQ1339" s="1268"/>
      <c r="SR1339" s="1268"/>
      <c r="SS1339" s="1268"/>
      <c r="ST1339" s="1268"/>
      <c r="SU1339" s="1268"/>
      <c r="SV1339" s="1268"/>
      <c r="SW1339" s="1268"/>
      <c r="SX1339" s="1268"/>
      <c r="SY1339" s="1268"/>
      <c r="SZ1339" s="1268"/>
      <c r="TA1339" s="1268"/>
      <c r="TB1339" s="1268"/>
      <c r="TC1339" s="1268"/>
      <c r="TD1339" s="1268"/>
      <c r="TE1339" s="1268"/>
      <c r="TF1339" s="1268"/>
      <c r="TG1339" s="1268"/>
      <c r="TH1339" s="1268"/>
      <c r="TI1339" s="1268"/>
      <c r="TJ1339" s="1268"/>
      <c r="TK1339" s="1268"/>
      <c r="TL1339" s="1268"/>
      <c r="TM1339" s="1268"/>
      <c r="TN1339" s="1268"/>
      <c r="TO1339" s="1268"/>
      <c r="TP1339" s="1268"/>
      <c r="TQ1339" s="1268"/>
      <c r="TR1339" s="1268"/>
      <c r="TS1339" s="1268"/>
      <c r="TT1339" s="1268"/>
      <c r="TU1339" s="1268"/>
      <c r="TV1339" s="1268"/>
      <c r="TW1339" s="1268"/>
      <c r="TX1339" s="1268"/>
      <c r="TY1339" s="1268"/>
      <c r="TZ1339" s="1268"/>
      <c r="UA1339" s="1268"/>
      <c r="UB1339" s="1268"/>
      <c r="UC1339" s="1268"/>
      <c r="UD1339" s="1268"/>
      <c r="UE1339" s="1268"/>
      <c r="UF1339" s="1268"/>
      <c r="UG1339" s="1268"/>
    </row>
    <row r="1340" spans="1:553" s="1262" customFormat="1" ht="25.15" customHeight="1">
      <c r="A1340" s="356" t="s">
        <v>15</v>
      </c>
      <c r="B1340" s="356"/>
      <c r="C1340" s="1586" t="s">
        <v>372</v>
      </c>
      <c r="D1340" s="1389"/>
      <c r="E1340" s="1389"/>
      <c r="F1340" s="1390"/>
      <c r="G1340" s="417" t="s">
        <v>193</v>
      </c>
      <c r="H1340" s="370"/>
      <c r="I1340" s="443">
        <v>29</v>
      </c>
      <c r="J1340" s="368">
        <v>160000</v>
      </c>
      <c r="K1340" s="443"/>
      <c r="L1340" s="571">
        <f t="shared" si="200"/>
        <v>4640000</v>
      </c>
      <c r="M1340" s="356"/>
      <c r="N1340" s="356"/>
      <c r="O1340" s="356"/>
      <c r="P1340" s="356"/>
      <c r="Q1340" s="610"/>
      <c r="R1340" s="1452"/>
      <c r="S1340" s="308"/>
      <c r="T1340" s="308"/>
      <c r="U1340" s="308"/>
      <c r="V1340" s="308"/>
      <c r="W1340" s="308"/>
      <c r="X1340" s="308"/>
      <c r="Y1340" s="308"/>
      <c r="Z1340" s="604"/>
      <c r="AA1340" s="308"/>
      <c r="AB1340" s="308"/>
      <c r="AC1340" s="486"/>
      <c r="AD1340" s="486"/>
      <c r="AE1340" s="486"/>
      <c r="AF1340" s="486"/>
      <c r="AG1340" s="486"/>
      <c r="AH1340" s="486"/>
      <c r="AI1340" s="486"/>
      <c r="AJ1340" s="486"/>
      <c r="AK1340" s="486"/>
      <c r="AL1340" s="1267"/>
      <c r="AM1340" s="1268"/>
      <c r="AN1340" s="1268"/>
      <c r="AO1340" s="1268"/>
      <c r="AP1340" s="1268"/>
      <c r="AQ1340" s="1268"/>
      <c r="AR1340" s="1268"/>
      <c r="AS1340" s="1268"/>
      <c r="AT1340" s="1268"/>
      <c r="AU1340" s="1268"/>
      <c r="AV1340" s="1268"/>
      <c r="AW1340" s="1268"/>
      <c r="AX1340" s="1268"/>
      <c r="AY1340" s="1268"/>
      <c r="AZ1340" s="1268"/>
      <c r="BA1340" s="1268"/>
      <c r="BB1340" s="1268"/>
      <c r="BC1340" s="1268"/>
      <c r="BD1340" s="1268"/>
      <c r="BE1340" s="1268"/>
      <c r="BF1340" s="1268"/>
      <c r="BG1340" s="1268"/>
      <c r="BH1340" s="1268"/>
      <c r="BI1340" s="1268"/>
      <c r="BJ1340" s="1268"/>
      <c r="BK1340" s="1268"/>
      <c r="BL1340" s="1268"/>
      <c r="BM1340" s="1268"/>
      <c r="BN1340" s="1268"/>
      <c r="BO1340" s="1268"/>
      <c r="BP1340" s="1268"/>
      <c r="BQ1340" s="1268"/>
      <c r="BR1340" s="1268"/>
      <c r="BS1340" s="1268"/>
      <c r="BT1340" s="1268"/>
      <c r="BU1340" s="1268"/>
      <c r="BV1340" s="1268"/>
      <c r="BW1340" s="1268"/>
      <c r="BX1340" s="1268"/>
      <c r="BY1340" s="1268"/>
      <c r="BZ1340" s="1268"/>
      <c r="CA1340" s="1268"/>
      <c r="CB1340" s="1268"/>
      <c r="CC1340" s="1268"/>
      <c r="CD1340" s="1268"/>
      <c r="CE1340" s="1268"/>
      <c r="CF1340" s="1268"/>
      <c r="CG1340" s="1268"/>
      <c r="CH1340" s="1268"/>
      <c r="CI1340" s="1268"/>
      <c r="CJ1340" s="1268"/>
      <c r="CK1340" s="1268"/>
      <c r="CL1340" s="1268"/>
      <c r="CM1340" s="1268"/>
      <c r="CN1340" s="1268"/>
      <c r="CO1340" s="1268"/>
      <c r="CP1340" s="1268"/>
      <c r="CQ1340" s="1268"/>
      <c r="CR1340" s="1268"/>
      <c r="CS1340" s="1268"/>
      <c r="CT1340" s="1268"/>
      <c r="CU1340" s="1268"/>
      <c r="CV1340" s="1268"/>
      <c r="CW1340" s="1268"/>
      <c r="CX1340" s="1268"/>
      <c r="CY1340" s="1268"/>
      <c r="CZ1340" s="1268"/>
      <c r="DA1340" s="1268"/>
      <c r="DB1340" s="1268"/>
      <c r="DC1340" s="1268"/>
      <c r="DD1340" s="1268"/>
      <c r="DE1340" s="1268"/>
      <c r="DF1340" s="1268"/>
      <c r="DG1340" s="1268"/>
      <c r="DH1340" s="1268"/>
      <c r="DI1340" s="1268"/>
      <c r="DJ1340" s="1268"/>
      <c r="DK1340" s="1268"/>
      <c r="DL1340" s="1268"/>
      <c r="DM1340" s="1268"/>
      <c r="DN1340" s="1268"/>
      <c r="DO1340" s="1268"/>
      <c r="DP1340" s="1268"/>
      <c r="DQ1340" s="1268"/>
      <c r="DR1340" s="1268"/>
      <c r="DS1340" s="1268"/>
      <c r="DT1340" s="1268"/>
      <c r="DU1340" s="1268"/>
      <c r="DV1340" s="1268"/>
      <c r="DW1340" s="1268"/>
      <c r="DX1340" s="1268"/>
      <c r="DY1340" s="1268"/>
      <c r="DZ1340" s="1268"/>
      <c r="EA1340" s="1268"/>
      <c r="EB1340" s="1268"/>
      <c r="EC1340" s="1268"/>
      <c r="ED1340" s="1268"/>
      <c r="EE1340" s="1268"/>
      <c r="EF1340" s="1268"/>
      <c r="EG1340" s="1268"/>
      <c r="EH1340" s="1268"/>
      <c r="EI1340" s="1268"/>
      <c r="EJ1340" s="1268"/>
      <c r="EK1340" s="1268"/>
      <c r="EL1340" s="1268"/>
      <c r="EM1340" s="1268"/>
      <c r="EN1340" s="1268"/>
      <c r="EO1340" s="1268"/>
      <c r="EP1340" s="1268"/>
      <c r="EQ1340" s="1268"/>
      <c r="ER1340" s="1268"/>
      <c r="ES1340" s="1268"/>
      <c r="ET1340" s="1268"/>
      <c r="EU1340" s="1268"/>
      <c r="EV1340" s="1268"/>
      <c r="EW1340" s="1268"/>
      <c r="EX1340" s="1268"/>
      <c r="EY1340" s="1268"/>
      <c r="EZ1340" s="1268"/>
      <c r="FA1340" s="1268"/>
      <c r="FB1340" s="1268"/>
      <c r="FC1340" s="1268"/>
      <c r="FD1340" s="1268"/>
      <c r="FE1340" s="1268"/>
      <c r="FF1340" s="1268"/>
      <c r="FG1340" s="1268"/>
      <c r="FH1340" s="1268"/>
      <c r="FI1340" s="1268"/>
      <c r="FJ1340" s="1268"/>
      <c r="FK1340" s="1268"/>
      <c r="FL1340" s="1268"/>
      <c r="FM1340" s="1268"/>
      <c r="FN1340" s="1268"/>
      <c r="FO1340" s="1268"/>
      <c r="FP1340" s="1268"/>
      <c r="FQ1340" s="1268"/>
      <c r="FR1340" s="1268"/>
      <c r="FS1340" s="1268"/>
      <c r="FT1340" s="1268"/>
      <c r="FU1340" s="1268"/>
      <c r="FV1340" s="1268"/>
      <c r="FW1340" s="1268"/>
      <c r="FX1340" s="1268"/>
      <c r="FY1340" s="1268"/>
      <c r="FZ1340" s="1268"/>
      <c r="GA1340" s="1268"/>
      <c r="GB1340" s="1268"/>
      <c r="GC1340" s="1268"/>
      <c r="GD1340" s="1268"/>
      <c r="GE1340" s="1268"/>
      <c r="GF1340" s="1268"/>
      <c r="GG1340" s="1268"/>
      <c r="GH1340" s="1268"/>
      <c r="GI1340" s="1268"/>
      <c r="GJ1340" s="1268"/>
      <c r="GK1340" s="1268"/>
      <c r="GL1340" s="1268"/>
      <c r="GM1340" s="1268"/>
      <c r="GN1340" s="1268"/>
      <c r="GO1340" s="1268"/>
      <c r="GP1340" s="1268"/>
      <c r="GQ1340" s="1268"/>
      <c r="GR1340" s="1268"/>
      <c r="GS1340" s="1268"/>
      <c r="GT1340" s="1268"/>
      <c r="GU1340" s="1268"/>
      <c r="GV1340" s="1268"/>
      <c r="GW1340" s="1268"/>
      <c r="GX1340" s="1268"/>
      <c r="GY1340" s="1268"/>
      <c r="GZ1340" s="1268"/>
      <c r="HA1340" s="1268"/>
      <c r="HB1340" s="1268"/>
      <c r="HC1340" s="1268"/>
      <c r="HD1340" s="1268"/>
      <c r="HE1340" s="1268"/>
      <c r="HF1340" s="1268"/>
      <c r="HG1340" s="1268"/>
      <c r="HH1340" s="1268"/>
      <c r="HI1340" s="1268"/>
      <c r="HJ1340" s="1268"/>
      <c r="HK1340" s="1268"/>
      <c r="HL1340" s="1268"/>
      <c r="HM1340" s="1268"/>
      <c r="HN1340" s="1268"/>
      <c r="HO1340" s="1268"/>
      <c r="HP1340" s="1268"/>
      <c r="HQ1340" s="1268"/>
      <c r="HR1340" s="1268"/>
      <c r="HS1340" s="1268"/>
      <c r="HT1340" s="1268"/>
      <c r="HU1340" s="1268"/>
      <c r="HV1340" s="1268"/>
      <c r="HW1340" s="1268"/>
      <c r="HX1340" s="1268"/>
      <c r="HY1340" s="1268"/>
      <c r="HZ1340" s="1268"/>
      <c r="IA1340" s="1268"/>
      <c r="IB1340" s="1268"/>
      <c r="IC1340" s="1268"/>
      <c r="ID1340" s="1268"/>
      <c r="IE1340" s="1268"/>
      <c r="IF1340" s="1268"/>
      <c r="IG1340" s="1268"/>
      <c r="IH1340" s="1268"/>
      <c r="II1340" s="1268"/>
      <c r="IJ1340" s="1268"/>
      <c r="IK1340" s="1268"/>
      <c r="IL1340" s="1268"/>
      <c r="IM1340" s="1268"/>
      <c r="IN1340" s="1268"/>
      <c r="IO1340" s="1268"/>
      <c r="IP1340" s="1268"/>
      <c r="IQ1340" s="1268"/>
      <c r="IR1340" s="1268"/>
      <c r="IS1340" s="1268"/>
      <c r="IT1340" s="1268"/>
      <c r="IU1340" s="1268"/>
      <c r="IV1340" s="1268"/>
      <c r="IW1340" s="1268"/>
      <c r="IX1340" s="1268"/>
      <c r="IY1340" s="1268"/>
      <c r="IZ1340" s="1268"/>
      <c r="JA1340" s="1268"/>
      <c r="JB1340" s="1268"/>
      <c r="JC1340" s="1268"/>
      <c r="JD1340" s="1268"/>
      <c r="JE1340" s="1268"/>
      <c r="JF1340" s="1268"/>
      <c r="JG1340" s="1268"/>
      <c r="JH1340" s="1268"/>
      <c r="JI1340" s="1268"/>
      <c r="JJ1340" s="1268"/>
      <c r="JK1340" s="1268"/>
      <c r="JL1340" s="1268"/>
      <c r="JM1340" s="1268"/>
      <c r="JN1340" s="1268"/>
      <c r="JO1340" s="1268"/>
      <c r="JP1340" s="1268"/>
      <c r="JQ1340" s="1268"/>
      <c r="JR1340" s="1268"/>
      <c r="JS1340" s="1268"/>
      <c r="JT1340" s="1268"/>
      <c r="JU1340" s="1268"/>
      <c r="JV1340" s="1268"/>
      <c r="JW1340" s="1268"/>
      <c r="JX1340" s="1268"/>
      <c r="JY1340" s="1268"/>
      <c r="JZ1340" s="1268"/>
      <c r="KA1340" s="1268"/>
      <c r="KB1340" s="1268"/>
      <c r="KC1340" s="1268"/>
      <c r="KD1340" s="1268"/>
      <c r="KE1340" s="1268"/>
      <c r="KF1340" s="1268"/>
      <c r="KG1340" s="1268"/>
      <c r="KH1340" s="1268"/>
      <c r="KI1340" s="1268"/>
      <c r="KJ1340" s="1268"/>
      <c r="KK1340" s="1268"/>
      <c r="KL1340" s="1268"/>
      <c r="KM1340" s="1268"/>
      <c r="KN1340" s="1268"/>
      <c r="KO1340" s="1268"/>
      <c r="KP1340" s="1268"/>
      <c r="KQ1340" s="1268"/>
      <c r="KR1340" s="1268"/>
      <c r="KS1340" s="1268"/>
      <c r="KT1340" s="1268"/>
      <c r="KU1340" s="1268"/>
      <c r="KV1340" s="1268"/>
      <c r="KW1340" s="1268"/>
      <c r="KX1340" s="1268"/>
      <c r="KY1340" s="1268"/>
      <c r="KZ1340" s="1268"/>
      <c r="LA1340" s="1268"/>
      <c r="LB1340" s="1268"/>
      <c r="LC1340" s="1268"/>
      <c r="LD1340" s="1268"/>
      <c r="LE1340" s="1268"/>
      <c r="LF1340" s="1268"/>
      <c r="LG1340" s="1268"/>
      <c r="LH1340" s="1268"/>
      <c r="LI1340" s="1268"/>
      <c r="LJ1340" s="1268"/>
      <c r="LK1340" s="1268"/>
      <c r="LL1340" s="1268"/>
      <c r="LM1340" s="1268"/>
      <c r="LN1340" s="1268"/>
      <c r="LO1340" s="1268"/>
      <c r="LP1340" s="1268"/>
      <c r="LQ1340" s="1268"/>
      <c r="LR1340" s="1268"/>
      <c r="LS1340" s="1268"/>
      <c r="LT1340" s="1268"/>
      <c r="LU1340" s="1268"/>
      <c r="LV1340" s="1268"/>
      <c r="LW1340" s="1268"/>
      <c r="LX1340" s="1268"/>
      <c r="LY1340" s="1268"/>
      <c r="LZ1340" s="1268"/>
      <c r="MA1340" s="1268"/>
      <c r="MB1340" s="1268"/>
      <c r="MC1340" s="1268"/>
      <c r="MD1340" s="1268"/>
      <c r="ME1340" s="1268"/>
      <c r="MF1340" s="1268"/>
      <c r="MG1340" s="1268"/>
      <c r="MH1340" s="1268"/>
      <c r="MI1340" s="1268"/>
      <c r="MJ1340" s="1268"/>
      <c r="MK1340" s="1268"/>
      <c r="ML1340" s="1268"/>
      <c r="MM1340" s="1268"/>
      <c r="MN1340" s="1268"/>
      <c r="MO1340" s="1268"/>
      <c r="MP1340" s="1268"/>
      <c r="MQ1340" s="1268"/>
      <c r="MR1340" s="1268"/>
      <c r="MS1340" s="1268"/>
      <c r="MT1340" s="1268"/>
      <c r="MU1340" s="1268"/>
      <c r="MV1340" s="1268"/>
      <c r="MW1340" s="1268"/>
      <c r="MX1340" s="1268"/>
      <c r="MY1340" s="1268"/>
      <c r="MZ1340" s="1268"/>
      <c r="NA1340" s="1268"/>
      <c r="NB1340" s="1268"/>
      <c r="NC1340" s="1268"/>
      <c r="ND1340" s="1268"/>
      <c r="NE1340" s="1268"/>
      <c r="NF1340" s="1268"/>
      <c r="NG1340" s="1268"/>
      <c r="NH1340" s="1268"/>
      <c r="NI1340" s="1268"/>
      <c r="NJ1340" s="1268"/>
      <c r="NK1340" s="1268"/>
      <c r="NL1340" s="1268"/>
      <c r="NM1340" s="1268"/>
      <c r="NN1340" s="1268"/>
      <c r="NO1340" s="1268"/>
      <c r="NP1340" s="1268"/>
      <c r="NQ1340" s="1268"/>
      <c r="NR1340" s="1268"/>
      <c r="NS1340" s="1268"/>
      <c r="NT1340" s="1268"/>
      <c r="NU1340" s="1268"/>
      <c r="NV1340" s="1268"/>
      <c r="NW1340" s="1268"/>
      <c r="NX1340" s="1268"/>
      <c r="NY1340" s="1268"/>
      <c r="NZ1340" s="1268"/>
      <c r="OA1340" s="1268"/>
      <c r="OB1340" s="1268"/>
      <c r="OC1340" s="1268"/>
      <c r="OD1340" s="1268"/>
      <c r="OE1340" s="1268"/>
      <c r="OF1340" s="1268"/>
      <c r="OG1340" s="1268"/>
      <c r="OH1340" s="1268"/>
      <c r="OI1340" s="1268"/>
      <c r="OJ1340" s="1268"/>
      <c r="OK1340" s="1268"/>
      <c r="OL1340" s="1268"/>
      <c r="OM1340" s="1268"/>
      <c r="ON1340" s="1268"/>
      <c r="OO1340" s="1268"/>
      <c r="OP1340" s="1268"/>
      <c r="OQ1340" s="1268"/>
      <c r="OR1340" s="1268"/>
      <c r="OS1340" s="1268"/>
      <c r="OT1340" s="1268"/>
      <c r="OU1340" s="1268"/>
      <c r="OV1340" s="1268"/>
      <c r="OW1340" s="1268"/>
      <c r="OX1340" s="1268"/>
      <c r="OY1340" s="1268"/>
      <c r="OZ1340" s="1268"/>
      <c r="PA1340" s="1268"/>
      <c r="PB1340" s="1268"/>
      <c r="PC1340" s="1268"/>
      <c r="PD1340" s="1268"/>
      <c r="PE1340" s="1268"/>
      <c r="PF1340" s="1268"/>
      <c r="PG1340" s="1268"/>
      <c r="PH1340" s="1268"/>
      <c r="PI1340" s="1268"/>
      <c r="PJ1340" s="1268"/>
      <c r="PK1340" s="1268"/>
      <c r="PL1340" s="1268"/>
      <c r="PM1340" s="1268"/>
      <c r="PN1340" s="1268"/>
      <c r="PO1340" s="1268"/>
      <c r="PP1340" s="1268"/>
      <c r="PQ1340" s="1268"/>
      <c r="PR1340" s="1268"/>
      <c r="PS1340" s="1268"/>
      <c r="PT1340" s="1268"/>
      <c r="PU1340" s="1268"/>
      <c r="PV1340" s="1268"/>
      <c r="PW1340" s="1268"/>
      <c r="PX1340" s="1268"/>
      <c r="PY1340" s="1268"/>
      <c r="PZ1340" s="1268"/>
      <c r="QA1340" s="1268"/>
      <c r="QB1340" s="1268"/>
      <c r="QC1340" s="1268"/>
      <c r="QD1340" s="1268"/>
      <c r="QE1340" s="1268"/>
      <c r="QF1340" s="1268"/>
      <c r="QG1340" s="1268"/>
      <c r="QH1340" s="1268"/>
      <c r="QI1340" s="1268"/>
      <c r="QJ1340" s="1268"/>
      <c r="QK1340" s="1268"/>
      <c r="QL1340" s="1268"/>
      <c r="QM1340" s="1268"/>
      <c r="QN1340" s="1268"/>
      <c r="QO1340" s="1268"/>
      <c r="QP1340" s="1268"/>
      <c r="QQ1340" s="1268"/>
      <c r="QR1340" s="1268"/>
      <c r="QS1340" s="1268"/>
      <c r="QT1340" s="1268"/>
      <c r="QU1340" s="1268"/>
      <c r="QV1340" s="1268"/>
      <c r="QW1340" s="1268"/>
      <c r="QX1340" s="1268"/>
      <c r="QY1340" s="1268"/>
      <c r="QZ1340" s="1268"/>
      <c r="RA1340" s="1268"/>
      <c r="RB1340" s="1268"/>
      <c r="RC1340" s="1268"/>
      <c r="RD1340" s="1268"/>
      <c r="RE1340" s="1268"/>
      <c r="RF1340" s="1268"/>
      <c r="RG1340" s="1268"/>
      <c r="RH1340" s="1268"/>
      <c r="RI1340" s="1268"/>
      <c r="RJ1340" s="1268"/>
      <c r="RK1340" s="1268"/>
      <c r="RL1340" s="1268"/>
      <c r="RM1340" s="1268"/>
      <c r="RN1340" s="1268"/>
      <c r="RO1340" s="1268"/>
      <c r="RP1340" s="1268"/>
      <c r="RQ1340" s="1268"/>
      <c r="RR1340" s="1268"/>
      <c r="RS1340" s="1268"/>
      <c r="RT1340" s="1268"/>
      <c r="RU1340" s="1268"/>
      <c r="RV1340" s="1268"/>
      <c r="RW1340" s="1268"/>
      <c r="RX1340" s="1268"/>
      <c r="RY1340" s="1268"/>
      <c r="RZ1340" s="1268"/>
      <c r="SA1340" s="1268"/>
      <c r="SB1340" s="1268"/>
      <c r="SC1340" s="1268"/>
      <c r="SD1340" s="1268"/>
      <c r="SE1340" s="1268"/>
      <c r="SF1340" s="1268"/>
      <c r="SG1340" s="1268"/>
      <c r="SH1340" s="1268"/>
      <c r="SI1340" s="1268"/>
      <c r="SJ1340" s="1268"/>
      <c r="SK1340" s="1268"/>
      <c r="SL1340" s="1268"/>
      <c r="SM1340" s="1268"/>
      <c r="SN1340" s="1268"/>
      <c r="SO1340" s="1268"/>
      <c r="SP1340" s="1268"/>
      <c r="SQ1340" s="1268"/>
      <c r="SR1340" s="1268"/>
      <c r="SS1340" s="1268"/>
      <c r="ST1340" s="1268"/>
      <c r="SU1340" s="1268"/>
      <c r="SV1340" s="1268"/>
      <c r="SW1340" s="1268"/>
      <c r="SX1340" s="1268"/>
      <c r="SY1340" s="1268"/>
      <c r="SZ1340" s="1268"/>
      <c r="TA1340" s="1268"/>
      <c r="TB1340" s="1268"/>
      <c r="TC1340" s="1268"/>
      <c r="TD1340" s="1268"/>
      <c r="TE1340" s="1268"/>
      <c r="TF1340" s="1268"/>
      <c r="TG1340" s="1268"/>
      <c r="TH1340" s="1268"/>
      <c r="TI1340" s="1268"/>
      <c r="TJ1340" s="1268"/>
      <c r="TK1340" s="1268"/>
      <c r="TL1340" s="1268"/>
      <c r="TM1340" s="1268"/>
      <c r="TN1340" s="1268"/>
      <c r="TO1340" s="1268"/>
      <c r="TP1340" s="1268"/>
      <c r="TQ1340" s="1268"/>
      <c r="TR1340" s="1268"/>
      <c r="TS1340" s="1268"/>
      <c r="TT1340" s="1268"/>
      <c r="TU1340" s="1268"/>
      <c r="TV1340" s="1268"/>
      <c r="TW1340" s="1268"/>
      <c r="TX1340" s="1268"/>
      <c r="TY1340" s="1268"/>
      <c r="TZ1340" s="1268"/>
      <c r="UA1340" s="1268"/>
      <c r="UB1340" s="1268"/>
      <c r="UC1340" s="1268"/>
      <c r="UD1340" s="1268"/>
      <c r="UE1340" s="1268"/>
      <c r="UF1340" s="1268"/>
      <c r="UG1340" s="1268"/>
    </row>
    <row r="1341" spans="1:553" ht="25.15" customHeight="1">
      <c r="A1341" s="356"/>
      <c r="B1341" s="356"/>
      <c r="C1341" s="1453" t="s">
        <v>1056</v>
      </c>
      <c r="D1341" s="1389"/>
      <c r="E1341" s="1389"/>
      <c r="F1341" s="1390"/>
      <c r="G1341" s="417"/>
      <c r="H1341" s="370"/>
      <c r="I1341" s="443"/>
      <c r="J1341" s="368"/>
      <c r="K1341" s="443"/>
      <c r="L1341" s="571"/>
      <c r="M1341" s="356"/>
      <c r="N1341" s="356"/>
      <c r="O1341" s="356"/>
      <c r="P1341" s="356"/>
      <c r="Q1341" s="610"/>
      <c r="R1341" s="1452"/>
      <c r="S1341" s="308"/>
      <c r="T1341" s="308"/>
      <c r="U1341" s="308"/>
      <c r="V1341" s="308"/>
      <c r="W1341" s="308"/>
      <c r="X1341" s="308"/>
      <c r="Y1341" s="308"/>
      <c r="Z1341" s="604"/>
      <c r="AA1341" s="308"/>
      <c r="AB1341" s="308"/>
      <c r="AC1341" s="486"/>
      <c r="AD1341" s="486"/>
      <c r="AE1341" s="486"/>
      <c r="AF1341" s="486"/>
      <c r="AG1341" s="486"/>
      <c r="AH1341" s="486"/>
      <c r="AI1341" s="486"/>
      <c r="AJ1341" s="486"/>
      <c r="AK1341" s="486"/>
      <c r="AL1341" s="206"/>
      <c r="AM1341" s="29"/>
      <c r="AN1341" s="29"/>
      <c r="AO1341" s="29"/>
      <c r="AP1341" s="29"/>
      <c r="AQ1341" s="29"/>
      <c r="AR1341" s="29"/>
      <c r="AS1341" s="29"/>
      <c r="AT1341" s="29"/>
      <c r="AU1341" s="29"/>
      <c r="AV1341" s="29"/>
      <c r="AW1341" s="29"/>
      <c r="AX1341" s="29"/>
      <c r="AY1341" s="29"/>
      <c r="AZ1341" s="29"/>
      <c r="BA1341" s="29"/>
      <c r="BB1341" s="29"/>
      <c r="BC1341" s="29"/>
      <c r="BD1341" s="29"/>
      <c r="BE1341" s="29"/>
      <c r="BF1341" s="29"/>
      <c r="BG1341" s="29"/>
      <c r="BH1341" s="29"/>
      <c r="BI1341" s="29"/>
      <c r="BJ1341" s="29"/>
      <c r="BK1341" s="29"/>
      <c r="BL1341" s="29"/>
      <c r="BM1341" s="29"/>
      <c r="BN1341" s="29"/>
      <c r="BO1341" s="29"/>
      <c r="BP1341" s="29"/>
      <c r="BQ1341" s="29"/>
      <c r="BR1341" s="29"/>
      <c r="BS1341" s="29"/>
      <c r="BT1341" s="29"/>
      <c r="BU1341" s="29"/>
      <c r="BV1341" s="29"/>
      <c r="BW1341" s="29"/>
      <c r="BX1341" s="29"/>
      <c r="BY1341" s="29"/>
      <c r="BZ1341" s="29"/>
      <c r="CA1341" s="29"/>
      <c r="CB1341" s="29"/>
      <c r="CC1341" s="29"/>
      <c r="CD1341" s="29"/>
      <c r="CE1341" s="29"/>
      <c r="CF1341" s="29"/>
      <c r="CG1341" s="29"/>
      <c r="CH1341" s="29"/>
      <c r="CI1341" s="29"/>
      <c r="CJ1341" s="29"/>
      <c r="CK1341" s="29"/>
      <c r="CL1341" s="29"/>
      <c r="CM1341" s="29"/>
      <c r="CN1341" s="29"/>
      <c r="CO1341" s="29"/>
      <c r="CP1341" s="29"/>
      <c r="CQ1341" s="29"/>
      <c r="CR1341" s="29"/>
      <c r="CS1341" s="29"/>
      <c r="CT1341" s="29"/>
      <c r="CU1341" s="29"/>
      <c r="CV1341" s="29"/>
      <c r="CW1341" s="29"/>
      <c r="CX1341" s="29"/>
      <c r="CY1341" s="29"/>
      <c r="CZ1341" s="29"/>
      <c r="DA1341" s="29"/>
      <c r="DB1341" s="29"/>
      <c r="DC1341" s="29"/>
      <c r="DD1341" s="29"/>
      <c r="DE1341" s="29"/>
      <c r="DF1341" s="29"/>
      <c r="DG1341" s="29"/>
      <c r="DH1341" s="29"/>
      <c r="DI1341" s="29"/>
      <c r="DJ1341" s="29"/>
      <c r="DK1341" s="29"/>
      <c r="DL1341" s="29"/>
      <c r="DM1341" s="29"/>
      <c r="DN1341" s="29"/>
      <c r="DO1341" s="29"/>
      <c r="DP1341" s="29"/>
      <c r="DQ1341" s="29"/>
      <c r="DR1341" s="29"/>
      <c r="DS1341" s="29"/>
      <c r="DT1341" s="29"/>
      <c r="DU1341" s="29"/>
      <c r="DV1341" s="29"/>
      <c r="DW1341" s="29"/>
      <c r="DX1341" s="29"/>
      <c r="DY1341" s="29"/>
      <c r="DZ1341" s="29"/>
      <c r="EA1341" s="29"/>
      <c r="EB1341" s="29"/>
      <c r="EC1341" s="29"/>
      <c r="ED1341" s="29"/>
      <c r="EE1341" s="29"/>
      <c r="EF1341" s="29"/>
      <c r="EG1341" s="29"/>
      <c r="EH1341" s="29"/>
      <c r="EI1341" s="29"/>
      <c r="EJ1341" s="29"/>
      <c r="EK1341" s="29"/>
      <c r="EL1341" s="29"/>
      <c r="EM1341" s="29"/>
      <c r="EN1341" s="29"/>
      <c r="EO1341" s="29"/>
      <c r="EP1341" s="29"/>
      <c r="EQ1341" s="29"/>
      <c r="ER1341" s="29"/>
      <c r="ES1341" s="29"/>
      <c r="ET1341" s="29"/>
      <c r="EU1341" s="29"/>
      <c r="EV1341" s="29"/>
      <c r="EW1341" s="29"/>
      <c r="EX1341" s="29"/>
      <c r="EY1341" s="29"/>
      <c r="EZ1341" s="29"/>
      <c r="FA1341" s="29"/>
      <c r="FB1341" s="29"/>
      <c r="FC1341" s="29"/>
      <c r="FD1341" s="29"/>
      <c r="FE1341" s="29"/>
      <c r="FF1341" s="29"/>
      <c r="FG1341" s="29"/>
      <c r="FH1341" s="29"/>
      <c r="FI1341" s="29"/>
      <c r="FJ1341" s="29"/>
      <c r="FK1341" s="29"/>
      <c r="FL1341" s="29"/>
      <c r="FM1341" s="29"/>
      <c r="FN1341" s="29"/>
      <c r="FO1341" s="29"/>
      <c r="FP1341" s="29"/>
      <c r="FQ1341" s="29"/>
      <c r="FR1341" s="29"/>
      <c r="FS1341" s="29"/>
      <c r="FT1341" s="29"/>
      <c r="FU1341" s="29"/>
      <c r="FV1341" s="29"/>
      <c r="FW1341" s="29"/>
      <c r="FX1341" s="29"/>
      <c r="FY1341" s="29"/>
      <c r="FZ1341" s="29"/>
      <c r="GA1341" s="29"/>
      <c r="GB1341" s="29"/>
      <c r="GC1341" s="29"/>
      <c r="GD1341" s="29"/>
      <c r="GE1341" s="29"/>
      <c r="GF1341" s="29"/>
      <c r="GG1341" s="29"/>
      <c r="GH1341" s="29"/>
      <c r="GI1341" s="29"/>
      <c r="GJ1341" s="29"/>
      <c r="GK1341" s="29"/>
      <c r="GL1341" s="29"/>
      <c r="GM1341" s="29"/>
      <c r="GN1341" s="29"/>
      <c r="GO1341" s="29"/>
      <c r="GP1341" s="29"/>
      <c r="GQ1341" s="29"/>
      <c r="GR1341" s="29"/>
      <c r="GS1341" s="29"/>
      <c r="GT1341" s="29"/>
      <c r="GU1341" s="29"/>
      <c r="GV1341" s="29"/>
      <c r="GW1341" s="29"/>
      <c r="GX1341" s="29"/>
      <c r="GY1341" s="29"/>
      <c r="GZ1341" s="29"/>
      <c r="HA1341" s="29"/>
      <c r="HB1341" s="29"/>
      <c r="HC1341" s="29"/>
      <c r="HD1341" s="29"/>
      <c r="HE1341" s="29"/>
      <c r="HF1341" s="29"/>
      <c r="HG1341" s="29"/>
      <c r="HH1341" s="29"/>
      <c r="HI1341" s="29"/>
      <c r="HJ1341" s="29"/>
      <c r="HK1341" s="29"/>
      <c r="HL1341" s="29"/>
      <c r="HM1341" s="29"/>
      <c r="HN1341" s="29"/>
      <c r="HO1341" s="29"/>
      <c r="HP1341" s="29"/>
      <c r="HQ1341" s="29"/>
      <c r="HR1341" s="29"/>
      <c r="HS1341" s="29"/>
      <c r="HT1341" s="29"/>
      <c r="HU1341" s="29"/>
      <c r="HV1341" s="29"/>
      <c r="HW1341" s="29"/>
      <c r="HX1341" s="29"/>
      <c r="HY1341" s="29"/>
      <c r="HZ1341" s="29"/>
      <c r="IA1341" s="29"/>
      <c r="IB1341" s="29"/>
      <c r="IC1341" s="29"/>
      <c r="ID1341" s="29"/>
      <c r="IE1341" s="29"/>
      <c r="IF1341" s="29"/>
      <c r="IG1341" s="29"/>
      <c r="IH1341" s="29"/>
      <c r="II1341" s="29"/>
      <c r="IJ1341" s="29"/>
      <c r="IK1341" s="29"/>
      <c r="IL1341" s="29"/>
      <c r="IM1341" s="29"/>
      <c r="IN1341" s="29"/>
      <c r="IO1341" s="29"/>
      <c r="IP1341" s="29"/>
      <c r="IQ1341" s="29"/>
      <c r="IR1341" s="29"/>
      <c r="IS1341" s="29"/>
      <c r="IT1341" s="29"/>
      <c r="IU1341" s="29"/>
      <c r="IV1341" s="29"/>
      <c r="IW1341" s="29"/>
      <c r="IX1341" s="29"/>
      <c r="IY1341" s="29"/>
      <c r="IZ1341" s="29"/>
      <c r="JA1341" s="29"/>
      <c r="JB1341" s="29"/>
      <c r="JC1341" s="29"/>
      <c r="JD1341" s="29"/>
      <c r="JE1341" s="29"/>
      <c r="JF1341" s="29"/>
      <c r="JG1341" s="29"/>
      <c r="JH1341" s="29"/>
      <c r="JI1341" s="29"/>
      <c r="JJ1341" s="29"/>
      <c r="JK1341" s="29"/>
      <c r="JL1341" s="29"/>
      <c r="JM1341" s="29"/>
      <c r="JN1341" s="29"/>
      <c r="JO1341" s="29"/>
      <c r="JP1341" s="29"/>
      <c r="JQ1341" s="29"/>
      <c r="JR1341" s="29"/>
      <c r="JS1341" s="29"/>
      <c r="JT1341" s="29"/>
      <c r="JU1341" s="29"/>
      <c r="JV1341" s="29"/>
      <c r="JW1341" s="29"/>
      <c r="JX1341" s="29"/>
      <c r="JY1341" s="29"/>
      <c r="JZ1341" s="29"/>
      <c r="KA1341" s="29"/>
      <c r="KB1341" s="29"/>
      <c r="KC1341" s="29"/>
      <c r="KD1341" s="29"/>
      <c r="KE1341" s="29"/>
      <c r="KF1341" s="29"/>
      <c r="KG1341" s="29"/>
      <c r="KH1341" s="29"/>
      <c r="KI1341" s="29"/>
      <c r="KJ1341" s="29"/>
      <c r="KK1341" s="29"/>
      <c r="KL1341" s="29"/>
      <c r="KM1341" s="29"/>
      <c r="KN1341" s="29"/>
      <c r="KO1341" s="29"/>
      <c r="KP1341" s="29"/>
      <c r="KQ1341" s="29"/>
      <c r="KR1341" s="29"/>
      <c r="KS1341" s="29"/>
      <c r="KT1341" s="29"/>
      <c r="KU1341" s="29"/>
      <c r="KV1341" s="29"/>
      <c r="KW1341" s="29"/>
      <c r="KX1341" s="29"/>
      <c r="KY1341" s="29"/>
      <c r="KZ1341" s="29"/>
      <c r="LA1341" s="29"/>
      <c r="LB1341" s="29"/>
      <c r="LC1341" s="29"/>
      <c r="LD1341" s="29"/>
      <c r="LE1341" s="29"/>
      <c r="LF1341" s="29"/>
      <c r="LG1341" s="29"/>
      <c r="LH1341" s="29"/>
      <c r="LI1341" s="29"/>
      <c r="LJ1341" s="29"/>
      <c r="LK1341" s="29"/>
      <c r="LL1341" s="29"/>
      <c r="LM1341" s="29"/>
      <c r="LN1341" s="29"/>
      <c r="LO1341" s="29"/>
      <c r="LP1341" s="29"/>
      <c r="LQ1341" s="29"/>
      <c r="LR1341" s="29"/>
      <c r="LS1341" s="29"/>
      <c r="LT1341" s="29"/>
      <c r="LU1341" s="29"/>
      <c r="LV1341" s="29"/>
      <c r="LW1341" s="29"/>
      <c r="LX1341" s="29"/>
      <c r="LY1341" s="29"/>
      <c r="LZ1341" s="29"/>
      <c r="MA1341" s="29"/>
      <c r="MB1341" s="29"/>
      <c r="MC1341" s="29"/>
      <c r="MD1341" s="29"/>
      <c r="ME1341" s="29"/>
      <c r="MF1341" s="29"/>
      <c r="MG1341" s="29"/>
      <c r="MH1341" s="29"/>
      <c r="MI1341" s="29"/>
      <c r="MJ1341" s="29"/>
      <c r="MK1341" s="29"/>
      <c r="ML1341" s="29"/>
      <c r="MM1341" s="29"/>
      <c r="MN1341" s="29"/>
      <c r="MO1341" s="29"/>
      <c r="MP1341" s="29"/>
      <c r="MQ1341" s="29"/>
      <c r="MR1341" s="29"/>
      <c r="MS1341" s="29"/>
      <c r="MT1341" s="29"/>
      <c r="MU1341" s="29"/>
      <c r="MV1341" s="29"/>
      <c r="MW1341" s="29"/>
      <c r="MX1341" s="29"/>
      <c r="MY1341" s="29"/>
      <c r="MZ1341" s="29"/>
      <c r="NA1341" s="29"/>
      <c r="NB1341" s="29"/>
      <c r="NC1341" s="29"/>
      <c r="ND1341" s="29"/>
      <c r="NE1341" s="29"/>
      <c r="NF1341" s="29"/>
      <c r="NG1341" s="29"/>
      <c r="NH1341" s="29"/>
      <c r="NI1341" s="29"/>
      <c r="NJ1341" s="29"/>
      <c r="NK1341" s="29"/>
      <c r="NL1341" s="29"/>
      <c r="NM1341" s="29"/>
      <c r="NN1341" s="29"/>
      <c r="NO1341" s="29"/>
      <c r="NP1341" s="29"/>
      <c r="NQ1341" s="29"/>
      <c r="NR1341" s="29"/>
      <c r="NS1341" s="29"/>
      <c r="NT1341" s="29"/>
      <c r="NU1341" s="29"/>
      <c r="NV1341" s="29"/>
      <c r="NW1341" s="29"/>
      <c r="NX1341" s="29"/>
      <c r="NY1341" s="29"/>
      <c r="NZ1341" s="29"/>
      <c r="OA1341" s="29"/>
      <c r="OB1341" s="29"/>
      <c r="OC1341" s="29"/>
      <c r="OD1341" s="29"/>
      <c r="OE1341" s="29"/>
      <c r="OF1341" s="29"/>
      <c r="OG1341" s="29"/>
      <c r="OH1341" s="29"/>
      <c r="OI1341" s="29"/>
      <c r="OJ1341" s="29"/>
      <c r="OK1341" s="29"/>
      <c r="OL1341" s="29"/>
      <c r="OM1341" s="29"/>
      <c r="ON1341" s="29"/>
      <c r="OO1341" s="29"/>
      <c r="OP1341" s="29"/>
      <c r="OQ1341" s="29"/>
      <c r="OR1341" s="29"/>
      <c r="OS1341" s="29"/>
      <c r="OT1341" s="29"/>
      <c r="OU1341" s="29"/>
      <c r="OV1341" s="29"/>
      <c r="OW1341" s="29"/>
      <c r="OX1341" s="29"/>
      <c r="OY1341" s="29"/>
      <c r="OZ1341" s="29"/>
      <c r="PA1341" s="29"/>
      <c r="PB1341" s="29"/>
      <c r="PC1341" s="29"/>
      <c r="PD1341" s="29"/>
      <c r="PE1341" s="29"/>
      <c r="PF1341" s="29"/>
      <c r="PG1341" s="29"/>
      <c r="PH1341" s="29"/>
      <c r="PI1341" s="29"/>
      <c r="PJ1341" s="29"/>
      <c r="PK1341" s="29"/>
      <c r="PL1341" s="29"/>
      <c r="PM1341" s="29"/>
      <c r="PN1341" s="29"/>
      <c r="PO1341" s="29"/>
      <c r="PP1341" s="29"/>
      <c r="PQ1341" s="29"/>
      <c r="PR1341" s="29"/>
      <c r="PS1341" s="29"/>
      <c r="PT1341" s="29"/>
      <c r="PU1341" s="29"/>
      <c r="PV1341" s="29"/>
      <c r="PW1341" s="29"/>
      <c r="PX1341" s="29"/>
      <c r="PY1341" s="29"/>
      <c r="PZ1341" s="29"/>
      <c r="QA1341" s="29"/>
      <c r="QB1341" s="29"/>
      <c r="QC1341" s="29"/>
      <c r="QD1341" s="29"/>
      <c r="QE1341" s="29"/>
      <c r="QF1341" s="29"/>
      <c r="QG1341" s="29"/>
      <c r="QH1341" s="29"/>
      <c r="QI1341" s="29"/>
      <c r="QJ1341" s="29"/>
      <c r="QK1341" s="29"/>
      <c r="QL1341" s="29"/>
      <c r="QM1341" s="29"/>
      <c r="QN1341" s="29"/>
      <c r="QO1341" s="29"/>
      <c r="QP1341" s="29"/>
      <c r="QQ1341" s="29"/>
      <c r="QR1341" s="29"/>
      <c r="QS1341" s="29"/>
      <c r="QT1341" s="29"/>
      <c r="QU1341" s="29"/>
      <c r="QV1341" s="29"/>
      <c r="QW1341" s="29"/>
      <c r="QX1341" s="29"/>
      <c r="QY1341" s="29"/>
      <c r="QZ1341" s="29"/>
      <c r="RA1341" s="29"/>
      <c r="RB1341" s="29"/>
      <c r="RC1341" s="29"/>
      <c r="RD1341" s="29"/>
      <c r="RE1341" s="29"/>
      <c r="RF1341" s="29"/>
      <c r="RG1341" s="29"/>
      <c r="RH1341" s="29"/>
      <c r="RI1341" s="29"/>
      <c r="RJ1341" s="29"/>
      <c r="RK1341" s="29"/>
      <c r="RL1341" s="29"/>
      <c r="RM1341" s="29"/>
      <c r="RN1341" s="29"/>
      <c r="RO1341" s="29"/>
      <c r="RP1341" s="29"/>
      <c r="RQ1341" s="29"/>
      <c r="RR1341" s="29"/>
      <c r="RS1341" s="29"/>
      <c r="RT1341" s="29"/>
      <c r="RU1341" s="29"/>
      <c r="RV1341" s="29"/>
      <c r="RW1341" s="29"/>
      <c r="RX1341" s="29"/>
      <c r="RY1341" s="29"/>
      <c r="RZ1341" s="29"/>
      <c r="SA1341" s="29"/>
      <c r="SB1341" s="29"/>
      <c r="SC1341" s="29"/>
      <c r="SD1341" s="29"/>
      <c r="SE1341" s="29"/>
      <c r="SF1341" s="29"/>
      <c r="SG1341" s="29"/>
      <c r="SH1341" s="29"/>
      <c r="SI1341" s="29"/>
      <c r="SJ1341" s="29"/>
      <c r="SK1341" s="29"/>
      <c r="SL1341" s="29"/>
      <c r="SM1341" s="29"/>
      <c r="SN1341" s="29"/>
      <c r="SO1341" s="29"/>
      <c r="SP1341" s="29"/>
      <c r="SQ1341" s="29"/>
      <c r="SR1341" s="29"/>
      <c r="SS1341" s="29"/>
      <c r="ST1341" s="29"/>
      <c r="SU1341" s="29"/>
      <c r="SV1341" s="29"/>
      <c r="SW1341" s="29"/>
      <c r="SX1341" s="29"/>
      <c r="SY1341" s="29"/>
      <c r="SZ1341" s="29"/>
      <c r="TA1341" s="29"/>
      <c r="TB1341" s="29"/>
      <c r="TC1341" s="29"/>
      <c r="TD1341" s="29"/>
      <c r="TE1341" s="29"/>
      <c r="TF1341" s="29"/>
      <c r="TG1341" s="29"/>
      <c r="TH1341" s="29"/>
      <c r="TI1341" s="29"/>
      <c r="TJ1341" s="29"/>
      <c r="TK1341" s="29"/>
      <c r="TL1341" s="29"/>
      <c r="TM1341" s="29"/>
      <c r="TN1341" s="29"/>
      <c r="TO1341" s="29"/>
      <c r="TP1341" s="29"/>
      <c r="TQ1341" s="29"/>
      <c r="TR1341" s="29"/>
      <c r="TS1341" s="29"/>
      <c r="TT1341" s="29"/>
      <c r="TU1341" s="29"/>
      <c r="TV1341" s="29"/>
      <c r="TW1341" s="29"/>
      <c r="TX1341" s="29"/>
      <c r="TY1341" s="29"/>
      <c r="TZ1341" s="29"/>
      <c r="UA1341" s="29"/>
      <c r="UB1341" s="29"/>
      <c r="UC1341" s="29"/>
      <c r="UD1341" s="29"/>
      <c r="UE1341" s="29"/>
      <c r="UF1341" s="29"/>
      <c r="UG1341" s="29"/>
    </row>
    <row r="1342" spans="1:553" s="1262" customFormat="1" ht="25.15" customHeight="1">
      <c r="A1342" s="356" t="s">
        <v>15</v>
      </c>
      <c r="B1342" s="356"/>
      <c r="C1342" s="1586" t="s">
        <v>723</v>
      </c>
      <c r="D1342" s="1389"/>
      <c r="E1342" s="1389"/>
      <c r="F1342" s="1390"/>
      <c r="G1342" s="418" t="s">
        <v>196</v>
      </c>
      <c r="H1342" s="370"/>
      <c r="I1342" s="422">
        <f>(55.03*100/400)*(32-(10-3))*3</f>
        <v>1031.8125</v>
      </c>
      <c r="J1342" s="368">
        <v>7300</v>
      </c>
      <c r="K1342" s="650">
        <v>0.7</v>
      </c>
      <c r="L1342" s="368">
        <f>ROUND(PRODUCT(I1342:K1342),0)</f>
        <v>5272562</v>
      </c>
      <c r="M1342" s="356"/>
      <c r="N1342" s="356"/>
      <c r="O1342" s="356"/>
      <c r="P1342" s="356"/>
      <c r="Q1342" s="610"/>
      <c r="R1342" s="1452"/>
      <c r="S1342" s="308"/>
      <c r="T1342" s="308"/>
      <c r="U1342" s="308"/>
      <c r="V1342" s="308"/>
      <c r="W1342" s="308"/>
      <c r="X1342" s="308"/>
      <c r="Y1342" s="308"/>
      <c r="Z1342" s="604"/>
      <c r="AA1342" s="308"/>
      <c r="AB1342" s="308"/>
      <c r="AC1342" s="486"/>
      <c r="AD1342" s="486"/>
      <c r="AE1342" s="486"/>
      <c r="AF1342" s="486"/>
      <c r="AG1342" s="486"/>
      <c r="AH1342" s="486"/>
      <c r="AI1342" s="486"/>
      <c r="AJ1342" s="486"/>
      <c r="AK1342" s="486"/>
      <c r="AL1342" s="1267"/>
      <c r="AM1342" s="1268"/>
      <c r="AN1342" s="1268"/>
      <c r="AO1342" s="1268"/>
      <c r="AP1342" s="1268"/>
      <c r="AQ1342" s="1268"/>
      <c r="AR1342" s="1268"/>
      <c r="AS1342" s="1268"/>
      <c r="AT1342" s="1268"/>
      <c r="AU1342" s="1268"/>
      <c r="AV1342" s="1268"/>
      <c r="AW1342" s="1268"/>
      <c r="AX1342" s="1268"/>
      <c r="AY1342" s="1268"/>
      <c r="AZ1342" s="1268"/>
      <c r="BA1342" s="1268"/>
      <c r="BB1342" s="1268"/>
      <c r="BC1342" s="1268"/>
      <c r="BD1342" s="1268"/>
      <c r="BE1342" s="1268"/>
      <c r="BF1342" s="1268"/>
      <c r="BG1342" s="1268"/>
      <c r="BH1342" s="1268"/>
      <c r="BI1342" s="1268"/>
      <c r="BJ1342" s="1268"/>
      <c r="BK1342" s="1268"/>
      <c r="BL1342" s="1268"/>
      <c r="BM1342" s="1268"/>
      <c r="BN1342" s="1268"/>
      <c r="BO1342" s="1268"/>
      <c r="BP1342" s="1268"/>
      <c r="BQ1342" s="1268"/>
      <c r="BR1342" s="1268"/>
      <c r="BS1342" s="1268"/>
      <c r="BT1342" s="1268"/>
      <c r="BU1342" s="1268"/>
      <c r="BV1342" s="1268"/>
      <c r="BW1342" s="1268"/>
      <c r="BX1342" s="1268"/>
      <c r="BY1342" s="1268"/>
      <c r="BZ1342" s="1268"/>
      <c r="CA1342" s="1268"/>
      <c r="CB1342" s="1268"/>
      <c r="CC1342" s="1268"/>
      <c r="CD1342" s="1268"/>
      <c r="CE1342" s="1268"/>
      <c r="CF1342" s="1268"/>
      <c r="CG1342" s="1268"/>
      <c r="CH1342" s="1268"/>
      <c r="CI1342" s="1268"/>
      <c r="CJ1342" s="1268"/>
      <c r="CK1342" s="1268"/>
      <c r="CL1342" s="1268"/>
      <c r="CM1342" s="1268"/>
      <c r="CN1342" s="1268"/>
      <c r="CO1342" s="1268"/>
      <c r="CP1342" s="1268"/>
      <c r="CQ1342" s="1268"/>
      <c r="CR1342" s="1268"/>
      <c r="CS1342" s="1268"/>
      <c r="CT1342" s="1268"/>
      <c r="CU1342" s="1268"/>
      <c r="CV1342" s="1268"/>
      <c r="CW1342" s="1268"/>
      <c r="CX1342" s="1268"/>
      <c r="CY1342" s="1268"/>
      <c r="CZ1342" s="1268"/>
      <c r="DA1342" s="1268"/>
      <c r="DB1342" s="1268"/>
      <c r="DC1342" s="1268"/>
      <c r="DD1342" s="1268"/>
      <c r="DE1342" s="1268"/>
      <c r="DF1342" s="1268"/>
      <c r="DG1342" s="1268"/>
      <c r="DH1342" s="1268"/>
      <c r="DI1342" s="1268"/>
      <c r="DJ1342" s="1268"/>
      <c r="DK1342" s="1268"/>
      <c r="DL1342" s="1268"/>
      <c r="DM1342" s="1268"/>
      <c r="DN1342" s="1268"/>
      <c r="DO1342" s="1268"/>
      <c r="DP1342" s="1268"/>
      <c r="DQ1342" s="1268"/>
      <c r="DR1342" s="1268"/>
      <c r="DS1342" s="1268"/>
      <c r="DT1342" s="1268"/>
      <c r="DU1342" s="1268"/>
      <c r="DV1342" s="1268"/>
      <c r="DW1342" s="1268"/>
      <c r="DX1342" s="1268"/>
      <c r="DY1342" s="1268"/>
      <c r="DZ1342" s="1268"/>
      <c r="EA1342" s="1268"/>
      <c r="EB1342" s="1268"/>
      <c r="EC1342" s="1268"/>
      <c r="ED1342" s="1268"/>
      <c r="EE1342" s="1268"/>
      <c r="EF1342" s="1268"/>
      <c r="EG1342" s="1268"/>
      <c r="EH1342" s="1268"/>
      <c r="EI1342" s="1268"/>
      <c r="EJ1342" s="1268"/>
      <c r="EK1342" s="1268"/>
      <c r="EL1342" s="1268"/>
      <c r="EM1342" s="1268"/>
      <c r="EN1342" s="1268"/>
      <c r="EO1342" s="1268"/>
      <c r="EP1342" s="1268"/>
      <c r="EQ1342" s="1268"/>
      <c r="ER1342" s="1268"/>
      <c r="ES1342" s="1268"/>
      <c r="ET1342" s="1268"/>
      <c r="EU1342" s="1268"/>
      <c r="EV1342" s="1268"/>
      <c r="EW1342" s="1268"/>
      <c r="EX1342" s="1268"/>
      <c r="EY1342" s="1268"/>
      <c r="EZ1342" s="1268"/>
      <c r="FA1342" s="1268"/>
      <c r="FB1342" s="1268"/>
      <c r="FC1342" s="1268"/>
      <c r="FD1342" s="1268"/>
      <c r="FE1342" s="1268"/>
      <c r="FF1342" s="1268"/>
      <c r="FG1342" s="1268"/>
      <c r="FH1342" s="1268"/>
      <c r="FI1342" s="1268"/>
      <c r="FJ1342" s="1268"/>
      <c r="FK1342" s="1268"/>
      <c r="FL1342" s="1268"/>
      <c r="FM1342" s="1268"/>
      <c r="FN1342" s="1268"/>
      <c r="FO1342" s="1268"/>
      <c r="FP1342" s="1268"/>
      <c r="FQ1342" s="1268"/>
      <c r="FR1342" s="1268"/>
      <c r="FS1342" s="1268"/>
      <c r="FT1342" s="1268"/>
      <c r="FU1342" s="1268"/>
      <c r="FV1342" s="1268"/>
      <c r="FW1342" s="1268"/>
      <c r="FX1342" s="1268"/>
      <c r="FY1342" s="1268"/>
      <c r="FZ1342" s="1268"/>
      <c r="GA1342" s="1268"/>
      <c r="GB1342" s="1268"/>
      <c r="GC1342" s="1268"/>
      <c r="GD1342" s="1268"/>
      <c r="GE1342" s="1268"/>
      <c r="GF1342" s="1268"/>
      <c r="GG1342" s="1268"/>
      <c r="GH1342" s="1268"/>
      <c r="GI1342" s="1268"/>
      <c r="GJ1342" s="1268"/>
      <c r="GK1342" s="1268"/>
      <c r="GL1342" s="1268"/>
      <c r="GM1342" s="1268"/>
      <c r="GN1342" s="1268"/>
      <c r="GO1342" s="1268"/>
      <c r="GP1342" s="1268"/>
      <c r="GQ1342" s="1268"/>
      <c r="GR1342" s="1268"/>
      <c r="GS1342" s="1268"/>
      <c r="GT1342" s="1268"/>
      <c r="GU1342" s="1268"/>
      <c r="GV1342" s="1268"/>
      <c r="GW1342" s="1268"/>
      <c r="GX1342" s="1268"/>
      <c r="GY1342" s="1268"/>
      <c r="GZ1342" s="1268"/>
      <c r="HA1342" s="1268"/>
      <c r="HB1342" s="1268"/>
      <c r="HC1342" s="1268"/>
      <c r="HD1342" s="1268"/>
      <c r="HE1342" s="1268"/>
      <c r="HF1342" s="1268"/>
      <c r="HG1342" s="1268"/>
      <c r="HH1342" s="1268"/>
      <c r="HI1342" s="1268"/>
      <c r="HJ1342" s="1268"/>
      <c r="HK1342" s="1268"/>
      <c r="HL1342" s="1268"/>
      <c r="HM1342" s="1268"/>
      <c r="HN1342" s="1268"/>
      <c r="HO1342" s="1268"/>
      <c r="HP1342" s="1268"/>
      <c r="HQ1342" s="1268"/>
      <c r="HR1342" s="1268"/>
      <c r="HS1342" s="1268"/>
      <c r="HT1342" s="1268"/>
      <c r="HU1342" s="1268"/>
      <c r="HV1342" s="1268"/>
      <c r="HW1342" s="1268"/>
      <c r="HX1342" s="1268"/>
      <c r="HY1342" s="1268"/>
      <c r="HZ1342" s="1268"/>
      <c r="IA1342" s="1268"/>
      <c r="IB1342" s="1268"/>
      <c r="IC1342" s="1268"/>
      <c r="ID1342" s="1268"/>
      <c r="IE1342" s="1268"/>
      <c r="IF1342" s="1268"/>
      <c r="IG1342" s="1268"/>
      <c r="IH1342" s="1268"/>
      <c r="II1342" s="1268"/>
      <c r="IJ1342" s="1268"/>
      <c r="IK1342" s="1268"/>
      <c r="IL1342" s="1268"/>
      <c r="IM1342" s="1268"/>
      <c r="IN1342" s="1268"/>
      <c r="IO1342" s="1268"/>
      <c r="IP1342" s="1268"/>
      <c r="IQ1342" s="1268"/>
      <c r="IR1342" s="1268"/>
      <c r="IS1342" s="1268"/>
      <c r="IT1342" s="1268"/>
      <c r="IU1342" s="1268"/>
      <c r="IV1342" s="1268"/>
      <c r="IW1342" s="1268"/>
      <c r="IX1342" s="1268"/>
      <c r="IY1342" s="1268"/>
      <c r="IZ1342" s="1268"/>
      <c r="JA1342" s="1268"/>
      <c r="JB1342" s="1268"/>
      <c r="JC1342" s="1268"/>
      <c r="JD1342" s="1268"/>
      <c r="JE1342" s="1268"/>
      <c r="JF1342" s="1268"/>
      <c r="JG1342" s="1268"/>
      <c r="JH1342" s="1268"/>
      <c r="JI1342" s="1268"/>
      <c r="JJ1342" s="1268"/>
      <c r="JK1342" s="1268"/>
      <c r="JL1342" s="1268"/>
      <c r="JM1342" s="1268"/>
      <c r="JN1342" s="1268"/>
      <c r="JO1342" s="1268"/>
      <c r="JP1342" s="1268"/>
      <c r="JQ1342" s="1268"/>
      <c r="JR1342" s="1268"/>
      <c r="JS1342" s="1268"/>
      <c r="JT1342" s="1268"/>
      <c r="JU1342" s="1268"/>
      <c r="JV1342" s="1268"/>
      <c r="JW1342" s="1268"/>
      <c r="JX1342" s="1268"/>
      <c r="JY1342" s="1268"/>
      <c r="JZ1342" s="1268"/>
      <c r="KA1342" s="1268"/>
      <c r="KB1342" s="1268"/>
      <c r="KC1342" s="1268"/>
      <c r="KD1342" s="1268"/>
      <c r="KE1342" s="1268"/>
      <c r="KF1342" s="1268"/>
      <c r="KG1342" s="1268"/>
      <c r="KH1342" s="1268"/>
      <c r="KI1342" s="1268"/>
      <c r="KJ1342" s="1268"/>
      <c r="KK1342" s="1268"/>
      <c r="KL1342" s="1268"/>
      <c r="KM1342" s="1268"/>
      <c r="KN1342" s="1268"/>
      <c r="KO1342" s="1268"/>
      <c r="KP1342" s="1268"/>
      <c r="KQ1342" s="1268"/>
      <c r="KR1342" s="1268"/>
      <c r="KS1342" s="1268"/>
      <c r="KT1342" s="1268"/>
      <c r="KU1342" s="1268"/>
      <c r="KV1342" s="1268"/>
      <c r="KW1342" s="1268"/>
      <c r="KX1342" s="1268"/>
      <c r="KY1342" s="1268"/>
      <c r="KZ1342" s="1268"/>
      <c r="LA1342" s="1268"/>
      <c r="LB1342" s="1268"/>
      <c r="LC1342" s="1268"/>
      <c r="LD1342" s="1268"/>
      <c r="LE1342" s="1268"/>
      <c r="LF1342" s="1268"/>
      <c r="LG1342" s="1268"/>
      <c r="LH1342" s="1268"/>
      <c r="LI1342" s="1268"/>
      <c r="LJ1342" s="1268"/>
      <c r="LK1342" s="1268"/>
      <c r="LL1342" s="1268"/>
      <c r="LM1342" s="1268"/>
      <c r="LN1342" s="1268"/>
      <c r="LO1342" s="1268"/>
      <c r="LP1342" s="1268"/>
      <c r="LQ1342" s="1268"/>
      <c r="LR1342" s="1268"/>
      <c r="LS1342" s="1268"/>
      <c r="LT1342" s="1268"/>
      <c r="LU1342" s="1268"/>
      <c r="LV1342" s="1268"/>
      <c r="LW1342" s="1268"/>
      <c r="LX1342" s="1268"/>
      <c r="LY1342" s="1268"/>
      <c r="LZ1342" s="1268"/>
      <c r="MA1342" s="1268"/>
      <c r="MB1342" s="1268"/>
      <c r="MC1342" s="1268"/>
      <c r="MD1342" s="1268"/>
      <c r="ME1342" s="1268"/>
      <c r="MF1342" s="1268"/>
      <c r="MG1342" s="1268"/>
      <c r="MH1342" s="1268"/>
      <c r="MI1342" s="1268"/>
      <c r="MJ1342" s="1268"/>
      <c r="MK1342" s="1268"/>
      <c r="ML1342" s="1268"/>
      <c r="MM1342" s="1268"/>
      <c r="MN1342" s="1268"/>
      <c r="MO1342" s="1268"/>
      <c r="MP1342" s="1268"/>
      <c r="MQ1342" s="1268"/>
      <c r="MR1342" s="1268"/>
      <c r="MS1342" s="1268"/>
      <c r="MT1342" s="1268"/>
      <c r="MU1342" s="1268"/>
      <c r="MV1342" s="1268"/>
      <c r="MW1342" s="1268"/>
      <c r="MX1342" s="1268"/>
      <c r="MY1342" s="1268"/>
      <c r="MZ1342" s="1268"/>
      <c r="NA1342" s="1268"/>
      <c r="NB1342" s="1268"/>
      <c r="NC1342" s="1268"/>
      <c r="ND1342" s="1268"/>
      <c r="NE1342" s="1268"/>
      <c r="NF1342" s="1268"/>
      <c r="NG1342" s="1268"/>
      <c r="NH1342" s="1268"/>
      <c r="NI1342" s="1268"/>
      <c r="NJ1342" s="1268"/>
      <c r="NK1342" s="1268"/>
      <c r="NL1342" s="1268"/>
      <c r="NM1342" s="1268"/>
      <c r="NN1342" s="1268"/>
      <c r="NO1342" s="1268"/>
      <c r="NP1342" s="1268"/>
      <c r="NQ1342" s="1268"/>
      <c r="NR1342" s="1268"/>
      <c r="NS1342" s="1268"/>
      <c r="NT1342" s="1268"/>
      <c r="NU1342" s="1268"/>
      <c r="NV1342" s="1268"/>
      <c r="NW1342" s="1268"/>
      <c r="NX1342" s="1268"/>
      <c r="NY1342" s="1268"/>
      <c r="NZ1342" s="1268"/>
      <c r="OA1342" s="1268"/>
      <c r="OB1342" s="1268"/>
      <c r="OC1342" s="1268"/>
      <c r="OD1342" s="1268"/>
      <c r="OE1342" s="1268"/>
      <c r="OF1342" s="1268"/>
      <c r="OG1342" s="1268"/>
      <c r="OH1342" s="1268"/>
      <c r="OI1342" s="1268"/>
      <c r="OJ1342" s="1268"/>
      <c r="OK1342" s="1268"/>
      <c r="OL1342" s="1268"/>
      <c r="OM1342" s="1268"/>
      <c r="ON1342" s="1268"/>
      <c r="OO1342" s="1268"/>
      <c r="OP1342" s="1268"/>
      <c r="OQ1342" s="1268"/>
      <c r="OR1342" s="1268"/>
      <c r="OS1342" s="1268"/>
      <c r="OT1342" s="1268"/>
      <c r="OU1342" s="1268"/>
      <c r="OV1342" s="1268"/>
      <c r="OW1342" s="1268"/>
      <c r="OX1342" s="1268"/>
      <c r="OY1342" s="1268"/>
      <c r="OZ1342" s="1268"/>
      <c r="PA1342" s="1268"/>
      <c r="PB1342" s="1268"/>
      <c r="PC1342" s="1268"/>
      <c r="PD1342" s="1268"/>
      <c r="PE1342" s="1268"/>
      <c r="PF1342" s="1268"/>
      <c r="PG1342" s="1268"/>
      <c r="PH1342" s="1268"/>
      <c r="PI1342" s="1268"/>
      <c r="PJ1342" s="1268"/>
      <c r="PK1342" s="1268"/>
      <c r="PL1342" s="1268"/>
      <c r="PM1342" s="1268"/>
      <c r="PN1342" s="1268"/>
      <c r="PO1342" s="1268"/>
      <c r="PP1342" s="1268"/>
      <c r="PQ1342" s="1268"/>
      <c r="PR1342" s="1268"/>
      <c r="PS1342" s="1268"/>
      <c r="PT1342" s="1268"/>
      <c r="PU1342" s="1268"/>
      <c r="PV1342" s="1268"/>
      <c r="PW1342" s="1268"/>
      <c r="PX1342" s="1268"/>
      <c r="PY1342" s="1268"/>
      <c r="PZ1342" s="1268"/>
      <c r="QA1342" s="1268"/>
      <c r="QB1342" s="1268"/>
      <c r="QC1342" s="1268"/>
      <c r="QD1342" s="1268"/>
      <c r="QE1342" s="1268"/>
      <c r="QF1342" s="1268"/>
      <c r="QG1342" s="1268"/>
      <c r="QH1342" s="1268"/>
      <c r="QI1342" s="1268"/>
      <c r="QJ1342" s="1268"/>
      <c r="QK1342" s="1268"/>
      <c r="QL1342" s="1268"/>
      <c r="QM1342" s="1268"/>
      <c r="QN1342" s="1268"/>
      <c r="QO1342" s="1268"/>
      <c r="QP1342" s="1268"/>
      <c r="QQ1342" s="1268"/>
      <c r="QR1342" s="1268"/>
      <c r="QS1342" s="1268"/>
      <c r="QT1342" s="1268"/>
      <c r="QU1342" s="1268"/>
      <c r="QV1342" s="1268"/>
      <c r="QW1342" s="1268"/>
      <c r="QX1342" s="1268"/>
      <c r="QY1342" s="1268"/>
      <c r="QZ1342" s="1268"/>
      <c r="RA1342" s="1268"/>
      <c r="RB1342" s="1268"/>
      <c r="RC1342" s="1268"/>
      <c r="RD1342" s="1268"/>
      <c r="RE1342" s="1268"/>
      <c r="RF1342" s="1268"/>
      <c r="RG1342" s="1268"/>
      <c r="RH1342" s="1268"/>
      <c r="RI1342" s="1268"/>
      <c r="RJ1342" s="1268"/>
      <c r="RK1342" s="1268"/>
      <c r="RL1342" s="1268"/>
      <c r="RM1342" s="1268"/>
      <c r="RN1342" s="1268"/>
      <c r="RO1342" s="1268"/>
      <c r="RP1342" s="1268"/>
      <c r="RQ1342" s="1268"/>
      <c r="RR1342" s="1268"/>
      <c r="RS1342" s="1268"/>
      <c r="RT1342" s="1268"/>
      <c r="RU1342" s="1268"/>
      <c r="RV1342" s="1268"/>
      <c r="RW1342" s="1268"/>
      <c r="RX1342" s="1268"/>
      <c r="RY1342" s="1268"/>
      <c r="RZ1342" s="1268"/>
      <c r="SA1342" s="1268"/>
      <c r="SB1342" s="1268"/>
      <c r="SC1342" s="1268"/>
      <c r="SD1342" s="1268"/>
      <c r="SE1342" s="1268"/>
      <c r="SF1342" s="1268"/>
      <c r="SG1342" s="1268"/>
      <c r="SH1342" s="1268"/>
      <c r="SI1342" s="1268"/>
      <c r="SJ1342" s="1268"/>
      <c r="SK1342" s="1268"/>
      <c r="SL1342" s="1268"/>
      <c r="SM1342" s="1268"/>
      <c r="SN1342" s="1268"/>
      <c r="SO1342" s="1268"/>
      <c r="SP1342" s="1268"/>
      <c r="SQ1342" s="1268"/>
      <c r="SR1342" s="1268"/>
      <c r="SS1342" s="1268"/>
      <c r="ST1342" s="1268"/>
      <c r="SU1342" s="1268"/>
      <c r="SV1342" s="1268"/>
      <c r="SW1342" s="1268"/>
      <c r="SX1342" s="1268"/>
      <c r="SY1342" s="1268"/>
      <c r="SZ1342" s="1268"/>
      <c r="TA1342" s="1268"/>
      <c r="TB1342" s="1268"/>
      <c r="TC1342" s="1268"/>
      <c r="TD1342" s="1268"/>
      <c r="TE1342" s="1268"/>
      <c r="TF1342" s="1268"/>
      <c r="TG1342" s="1268"/>
      <c r="TH1342" s="1268"/>
      <c r="TI1342" s="1268"/>
      <c r="TJ1342" s="1268"/>
      <c r="TK1342" s="1268"/>
      <c r="TL1342" s="1268"/>
      <c r="TM1342" s="1268"/>
      <c r="TN1342" s="1268"/>
      <c r="TO1342" s="1268"/>
      <c r="TP1342" s="1268"/>
      <c r="TQ1342" s="1268"/>
      <c r="TR1342" s="1268"/>
      <c r="TS1342" s="1268"/>
      <c r="TT1342" s="1268"/>
      <c r="TU1342" s="1268"/>
      <c r="TV1342" s="1268"/>
      <c r="TW1342" s="1268"/>
      <c r="TX1342" s="1268"/>
      <c r="TY1342" s="1268"/>
      <c r="TZ1342" s="1268"/>
      <c r="UA1342" s="1268"/>
      <c r="UB1342" s="1268"/>
      <c r="UC1342" s="1268"/>
      <c r="UD1342" s="1268"/>
      <c r="UE1342" s="1268"/>
      <c r="UF1342" s="1268"/>
      <c r="UG1342" s="1268"/>
    </row>
    <row r="1343" spans="1:553" s="1262" customFormat="1" ht="25.15" customHeight="1">
      <c r="A1343" s="356" t="s">
        <v>15</v>
      </c>
      <c r="B1343" s="356"/>
      <c r="C1343" s="1586" t="s">
        <v>724</v>
      </c>
      <c r="D1343" s="1389"/>
      <c r="E1343" s="1389"/>
      <c r="F1343" s="1390"/>
      <c r="G1343" s="418" t="s">
        <v>196</v>
      </c>
      <c r="H1343" s="370"/>
      <c r="I1343" s="422">
        <f>(54.93*100/500)*(17-(6-3))*1</f>
        <v>153.804</v>
      </c>
      <c r="J1343" s="368">
        <v>10800</v>
      </c>
      <c r="K1343" s="650">
        <v>0.7</v>
      </c>
      <c r="L1343" s="571">
        <f t="shared" ref="L1343:L1344" si="201">ROUND(PRODUCT(I1343:K1343),0)</f>
        <v>1162758</v>
      </c>
      <c r="M1343" s="356"/>
      <c r="N1343" s="356"/>
      <c r="O1343" s="356"/>
      <c r="P1343" s="356"/>
      <c r="Q1343" s="610"/>
      <c r="R1343" s="1452"/>
      <c r="S1343" s="308"/>
      <c r="T1343" s="308"/>
      <c r="U1343" s="308"/>
      <c r="V1343" s="308"/>
      <c r="W1343" s="308"/>
      <c r="X1343" s="308"/>
      <c r="Y1343" s="308"/>
      <c r="Z1343" s="604"/>
      <c r="AA1343" s="308"/>
      <c r="AB1343" s="308"/>
      <c r="AC1343" s="486"/>
      <c r="AD1343" s="486"/>
      <c r="AE1343" s="486"/>
      <c r="AF1343" s="486"/>
      <c r="AG1343" s="486"/>
      <c r="AH1343" s="486"/>
      <c r="AI1343" s="486"/>
      <c r="AJ1343" s="486"/>
      <c r="AK1343" s="486"/>
      <c r="AL1343" s="1267"/>
      <c r="AM1343" s="1268"/>
      <c r="AN1343" s="1268"/>
      <c r="AO1343" s="1268"/>
      <c r="AP1343" s="1268"/>
      <c r="AQ1343" s="1268"/>
      <c r="AR1343" s="1268"/>
      <c r="AS1343" s="1268"/>
      <c r="AT1343" s="1268"/>
      <c r="AU1343" s="1268"/>
      <c r="AV1343" s="1268"/>
      <c r="AW1343" s="1268"/>
      <c r="AX1343" s="1268"/>
      <c r="AY1343" s="1268"/>
      <c r="AZ1343" s="1268"/>
      <c r="BA1343" s="1268"/>
      <c r="BB1343" s="1268"/>
      <c r="BC1343" s="1268"/>
      <c r="BD1343" s="1268"/>
      <c r="BE1343" s="1268"/>
      <c r="BF1343" s="1268"/>
      <c r="BG1343" s="1268"/>
      <c r="BH1343" s="1268"/>
      <c r="BI1343" s="1268"/>
      <c r="BJ1343" s="1268"/>
      <c r="BK1343" s="1268"/>
      <c r="BL1343" s="1268"/>
      <c r="BM1343" s="1268"/>
      <c r="BN1343" s="1268"/>
      <c r="BO1343" s="1268"/>
      <c r="BP1343" s="1268"/>
      <c r="BQ1343" s="1268"/>
      <c r="BR1343" s="1268"/>
      <c r="BS1343" s="1268"/>
      <c r="BT1343" s="1268"/>
      <c r="BU1343" s="1268"/>
      <c r="BV1343" s="1268"/>
      <c r="BW1343" s="1268"/>
      <c r="BX1343" s="1268"/>
      <c r="BY1343" s="1268"/>
      <c r="BZ1343" s="1268"/>
      <c r="CA1343" s="1268"/>
      <c r="CB1343" s="1268"/>
      <c r="CC1343" s="1268"/>
      <c r="CD1343" s="1268"/>
      <c r="CE1343" s="1268"/>
      <c r="CF1343" s="1268"/>
      <c r="CG1343" s="1268"/>
      <c r="CH1343" s="1268"/>
      <c r="CI1343" s="1268"/>
      <c r="CJ1343" s="1268"/>
      <c r="CK1343" s="1268"/>
      <c r="CL1343" s="1268"/>
      <c r="CM1343" s="1268"/>
      <c r="CN1343" s="1268"/>
      <c r="CO1343" s="1268"/>
      <c r="CP1343" s="1268"/>
      <c r="CQ1343" s="1268"/>
      <c r="CR1343" s="1268"/>
      <c r="CS1343" s="1268"/>
      <c r="CT1343" s="1268"/>
      <c r="CU1343" s="1268"/>
      <c r="CV1343" s="1268"/>
      <c r="CW1343" s="1268"/>
      <c r="CX1343" s="1268"/>
      <c r="CY1343" s="1268"/>
      <c r="CZ1343" s="1268"/>
      <c r="DA1343" s="1268"/>
      <c r="DB1343" s="1268"/>
      <c r="DC1343" s="1268"/>
      <c r="DD1343" s="1268"/>
      <c r="DE1343" s="1268"/>
      <c r="DF1343" s="1268"/>
      <c r="DG1343" s="1268"/>
      <c r="DH1343" s="1268"/>
      <c r="DI1343" s="1268"/>
      <c r="DJ1343" s="1268"/>
      <c r="DK1343" s="1268"/>
      <c r="DL1343" s="1268"/>
      <c r="DM1343" s="1268"/>
      <c r="DN1343" s="1268"/>
      <c r="DO1343" s="1268"/>
      <c r="DP1343" s="1268"/>
      <c r="DQ1343" s="1268"/>
      <c r="DR1343" s="1268"/>
      <c r="DS1343" s="1268"/>
      <c r="DT1343" s="1268"/>
      <c r="DU1343" s="1268"/>
      <c r="DV1343" s="1268"/>
      <c r="DW1343" s="1268"/>
      <c r="DX1343" s="1268"/>
      <c r="DY1343" s="1268"/>
      <c r="DZ1343" s="1268"/>
      <c r="EA1343" s="1268"/>
      <c r="EB1343" s="1268"/>
      <c r="EC1343" s="1268"/>
      <c r="ED1343" s="1268"/>
      <c r="EE1343" s="1268"/>
      <c r="EF1343" s="1268"/>
      <c r="EG1343" s="1268"/>
      <c r="EH1343" s="1268"/>
      <c r="EI1343" s="1268"/>
      <c r="EJ1343" s="1268"/>
      <c r="EK1343" s="1268"/>
      <c r="EL1343" s="1268"/>
      <c r="EM1343" s="1268"/>
      <c r="EN1343" s="1268"/>
      <c r="EO1343" s="1268"/>
      <c r="EP1343" s="1268"/>
      <c r="EQ1343" s="1268"/>
      <c r="ER1343" s="1268"/>
      <c r="ES1343" s="1268"/>
      <c r="ET1343" s="1268"/>
      <c r="EU1343" s="1268"/>
      <c r="EV1343" s="1268"/>
      <c r="EW1343" s="1268"/>
      <c r="EX1343" s="1268"/>
      <c r="EY1343" s="1268"/>
      <c r="EZ1343" s="1268"/>
      <c r="FA1343" s="1268"/>
      <c r="FB1343" s="1268"/>
      <c r="FC1343" s="1268"/>
      <c r="FD1343" s="1268"/>
      <c r="FE1343" s="1268"/>
      <c r="FF1343" s="1268"/>
      <c r="FG1343" s="1268"/>
      <c r="FH1343" s="1268"/>
      <c r="FI1343" s="1268"/>
      <c r="FJ1343" s="1268"/>
      <c r="FK1343" s="1268"/>
      <c r="FL1343" s="1268"/>
      <c r="FM1343" s="1268"/>
      <c r="FN1343" s="1268"/>
      <c r="FO1343" s="1268"/>
      <c r="FP1343" s="1268"/>
      <c r="FQ1343" s="1268"/>
      <c r="FR1343" s="1268"/>
      <c r="FS1343" s="1268"/>
      <c r="FT1343" s="1268"/>
      <c r="FU1343" s="1268"/>
      <c r="FV1343" s="1268"/>
      <c r="FW1343" s="1268"/>
      <c r="FX1343" s="1268"/>
      <c r="FY1343" s="1268"/>
      <c r="FZ1343" s="1268"/>
      <c r="GA1343" s="1268"/>
      <c r="GB1343" s="1268"/>
      <c r="GC1343" s="1268"/>
      <c r="GD1343" s="1268"/>
      <c r="GE1343" s="1268"/>
      <c r="GF1343" s="1268"/>
      <c r="GG1343" s="1268"/>
      <c r="GH1343" s="1268"/>
      <c r="GI1343" s="1268"/>
      <c r="GJ1343" s="1268"/>
      <c r="GK1343" s="1268"/>
      <c r="GL1343" s="1268"/>
      <c r="GM1343" s="1268"/>
      <c r="GN1343" s="1268"/>
      <c r="GO1343" s="1268"/>
      <c r="GP1343" s="1268"/>
      <c r="GQ1343" s="1268"/>
      <c r="GR1343" s="1268"/>
      <c r="GS1343" s="1268"/>
      <c r="GT1343" s="1268"/>
      <c r="GU1343" s="1268"/>
      <c r="GV1343" s="1268"/>
      <c r="GW1343" s="1268"/>
      <c r="GX1343" s="1268"/>
      <c r="GY1343" s="1268"/>
      <c r="GZ1343" s="1268"/>
      <c r="HA1343" s="1268"/>
      <c r="HB1343" s="1268"/>
      <c r="HC1343" s="1268"/>
      <c r="HD1343" s="1268"/>
      <c r="HE1343" s="1268"/>
      <c r="HF1343" s="1268"/>
      <c r="HG1343" s="1268"/>
      <c r="HH1343" s="1268"/>
      <c r="HI1343" s="1268"/>
      <c r="HJ1343" s="1268"/>
      <c r="HK1343" s="1268"/>
      <c r="HL1343" s="1268"/>
      <c r="HM1343" s="1268"/>
      <c r="HN1343" s="1268"/>
      <c r="HO1343" s="1268"/>
      <c r="HP1343" s="1268"/>
      <c r="HQ1343" s="1268"/>
      <c r="HR1343" s="1268"/>
      <c r="HS1343" s="1268"/>
      <c r="HT1343" s="1268"/>
      <c r="HU1343" s="1268"/>
      <c r="HV1343" s="1268"/>
      <c r="HW1343" s="1268"/>
      <c r="HX1343" s="1268"/>
      <c r="HY1343" s="1268"/>
      <c r="HZ1343" s="1268"/>
      <c r="IA1343" s="1268"/>
      <c r="IB1343" s="1268"/>
      <c r="IC1343" s="1268"/>
      <c r="ID1343" s="1268"/>
      <c r="IE1343" s="1268"/>
      <c r="IF1343" s="1268"/>
      <c r="IG1343" s="1268"/>
      <c r="IH1343" s="1268"/>
      <c r="II1343" s="1268"/>
      <c r="IJ1343" s="1268"/>
      <c r="IK1343" s="1268"/>
      <c r="IL1343" s="1268"/>
      <c r="IM1343" s="1268"/>
      <c r="IN1343" s="1268"/>
      <c r="IO1343" s="1268"/>
      <c r="IP1343" s="1268"/>
      <c r="IQ1343" s="1268"/>
      <c r="IR1343" s="1268"/>
      <c r="IS1343" s="1268"/>
      <c r="IT1343" s="1268"/>
      <c r="IU1343" s="1268"/>
      <c r="IV1343" s="1268"/>
      <c r="IW1343" s="1268"/>
      <c r="IX1343" s="1268"/>
      <c r="IY1343" s="1268"/>
      <c r="IZ1343" s="1268"/>
      <c r="JA1343" s="1268"/>
      <c r="JB1343" s="1268"/>
      <c r="JC1343" s="1268"/>
      <c r="JD1343" s="1268"/>
      <c r="JE1343" s="1268"/>
      <c r="JF1343" s="1268"/>
      <c r="JG1343" s="1268"/>
      <c r="JH1343" s="1268"/>
      <c r="JI1343" s="1268"/>
      <c r="JJ1343" s="1268"/>
      <c r="JK1343" s="1268"/>
      <c r="JL1343" s="1268"/>
      <c r="JM1343" s="1268"/>
      <c r="JN1343" s="1268"/>
      <c r="JO1343" s="1268"/>
      <c r="JP1343" s="1268"/>
      <c r="JQ1343" s="1268"/>
      <c r="JR1343" s="1268"/>
      <c r="JS1343" s="1268"/>
      <c r="JT1343" s="1268"/>
      <c r="JU1343" s="1268"/>
      <c r="JV1343" s="1268"/>
      <c r="JW1343" s="1268"/>
      <c r="JX1343" s="1268"/>
      <c r="JY1343" s="1268"/>
      <c r="JZ1343" s="1268"/>
      <c r="KA1343" s="1268"/>
      <c r="KB1343" s="1268"/>
      <c r="KC1343" s="1268"/>
      <c r="KD1343" s="1268"/>
      <c r="KE1343" s="1268"/>
      <c r="KF1343" s="1268"/>
      <c r="KG1343" s="1268"/>
      <c r="KH1343" s="1268"/>
      <c r="KI1343" s="1268"/>
      <c r="KJ1343" s="1268"/>
      <c r="KK1343" s="1268"/>
      <c r="KL1343" s="1268"/>
      <c r="KM1343" s="1268"/>
      <c r="KN1343" s="1268"/>
      <c r="KO1343" s="1268"/>
      <c r="KP1343" s="1268"/>
      <c r="KQ1343" s="1268"/>
      <c r="KR1343" s="1268"/>
      <c r="KS1343" s="1268"/>
      <c r="KT1343" s="1268"/>
      <c r="KU1343" s="1268"/>
      <c r="KV1343" s="1268"/>
      <c r="KW1343" s="1268"/>
      <c r="KX1343" s="1268"/>
      <c r="KY1343" s="1268"/>
      <c r="KZ1343" s="1268"/>
      <c r="LA1343" s="1268"/>
      <c r="LB1343" s="1268"/>
      <c r="LC1343" s="1268"/>
      <c r="LD1343" s="1268"/>
      <c r="LE1343" s="1268"/>
      <c r="LF1343" s="1268"/>
      <c r="LG1343" s="1268"/>
      <c r="LH1343" s="1268"/>
      <c r="LI1343" s="1268"/>
      <c r="LJ1343" s="1268"/>
      <c r="LK1343" s="1268"/>
      <c r="LL1343" s="1268"/>
      <c r="LM1343" s="1268"/>
      <c r="LN1343" s="1268"/>
      <c r="LO1343" s="1268"/>
      <c r="LP1343" s="1268"/>
      <c r="LQ1343" s="1268"/>
      <c r="LR1343" s="1268"/>
      <c r="LS1343" s="1268"/>
      <c r="LT1343" s="1268"/>
      <c r="LU1343" s="1268"/>
      <c r="LV1343" s="1268"/>
      <c r="LW1343" s="1268"/>
      <c r="LX1343" s="1268"/>
      <c r="LY1343" s="1268"/>
      <c r="LZ1343" s="1268"/>
      <c r="MA1343" s="1268"/>
      <c r="MB1343" s="1268"/>
      <c r="MC1343" s="1268"/>
      <c r="MD1343" s="1268"/>
      <c r="ME1343" s="1268"/>
      <c r="MF1343" s="1268"/>
      <c r="MG1343" s="1268"/>
      <c r="MH1343" s="1268"/>
      <c r="MI1343" s="1268"/>
      <c r="MJ1343" s="1268"/>
      <c r="MK1343" s="1268"/>
      <c r="ML1343" s="1268"/>
      <c r="MM1343" s="1268"/>
      <c r="MN1343" s="1268"/>
      <c r="MO1343" s="1268"/>
      <c r="MP1343" s="1268"/>
      <c r="MQ1343" s="1268"/>
      <c r="MR1343" s="1268"/>
      <c r="MS1343" s="1268"/>
      <c r="MT1343" s="1268"/>
      <c r="MU1343" s="1268"/>
      <c r="MV1343" s="1268"/>
      <c r="MW1343" s="1268"/>
      <c r="MX1343" s="1268"/>
      <c r="MY1343" s="1268"/>
      <c r="MZ1343" s="1268"/>
      <c r="NA1343" s="1268"/>
      <c r="NB1343" s="1268"/>
      <c r="NC1343" s="1268"/>
      <c r="ND1343" s="1268"/>
      <c r="NE1343" s="1268"/>
      <c r="NF1343" s="1268"/>
      <c r="NG1343" s="1268"/>
      <c r="NH1343" s="1268"/>
      <c r="NI1343" s="1268"/>
      <c r="NJ1343" s="1268"/>
      <c r="NK1343" s="1268"/>
      <c r="NL1343" s="1268"/>
      <c r="NM1343" s="1268"/>
      <c r="NN1343" s="1268"/>
      <c r="NO1343" s="1268"/>
      <c r="NP1343" s="1268"/>
      <c r="NQ1343" s="1268"/>
      <c r="NR1343" s="1268"/>
      <c r="NS1343" s="1268"/>
      <c r="NT1343" s="1268"/>
      <c r="NU1343" s="1268"/>
      <c r="NV1343" s="1268"/>
      <c r="NW1343" s="1268"/>
      <c r="NX1343" s="1268"/>
      <c r="NY1343" s="1268"/>
      <c r="NZ1343" s="1268"/>
      <c r="OA1343" s="1268"/>
      <c r="OB1343" s="1268"/>
      <c r="OC1343" s="1268"/>
      <c r="OD1343" s="1268"/>
      <c r="OE1343" s="1268"/>
      <c r="OF1343" s="1268"/>
      <c r="OG1343" s="1268"/>
      <c r="OH1343" s="1268"/>
      <c r="OI1343" s="1268"/>
      <c r="OJ1343" s="1268"/>
      <c r="OK1343" s="1268"/>
      <c r="OL1343" s="1268"/>
      <c r="OM1343" s="1268"/>
      <c r="ON1343" s="1268"/>
      <c r="OO1343" s="1268"/>
      <c r="OP1343" s="1268"/>
      <c r="OQ1343" s="1268"/>
      <c r="OR1343" s="1268"/>
      <c r="OS1343" s="1268"/>
      <c r="OT1343" s="1268"/>
      <c r="OU1343" s="1268"/>
      <c r="OV1343" s="1268"/>
      <c r="OW1343" s="1268"/>
      <c r="OX1343" s="1268"/>
      <c r="OY1343" s="1268"/>
      <c r="OZ1343" s="1268"/>
      <c r="PA1343" s="1268"/>
      <c r="PB1343" s="1268"/>
      <c r="PC1343" s="1268"/>
      <c r="PD1343" s="1268"/>
      <c r="PE1343" s="1268"/>
      <c r="PF1343" s="1268"/>
      <c r="PG1343" s="1268"/>
      <c r="PH1343" s="1268"/>
      <c r="PI1343" s="1268"/>
      <c r="PJ1343" s="1268"/>
      <c r="PK1343" s="1268"/>
      <c r="PL1343" s="1268"/>
      <c r="PM1343" s="1268"/>
      <c r="PN1343" s="1268"/>
      <c r="PO1343" s="1268"/>
      <c r="PP1343" s="1268"/>
      <c r="PQ1343" s="1268"/>
      <c r="PR1343" s="1268"/>
      <c r="PS1343" s="1268"/>
      <c r="PT1343" s="1268"/>
      <c r="PU1343" s="1268"/>
      <c r="PV1343" s="1268"/>
      <c r="PW1343" s="1268"/>
      <c r="PX1343" s="1268"/>
      <c r="PY1343" s="1268"/>
      <c r="PZ1343" s="1268"/>
      <c r="QA1343" s="1268"/>
      <c r="QB1343" s="1268"/>
      <c r="QC1343" s="1268"/>
      <c r="QD1343" s="1268"/>
      <c r="QE1343" s="1268"/>
      <c r="QF1343" s="1268"/>
      <c r="QG1343" s="1268"/>
      <c r="QH1343" s="1268"/>
      <c r="QI1343" s="1268"/>
      <c r="QJ1343" s="1268"/>
      <c r="QK1343" s="1268"/>
      <c r="QL1343" s="1268"/>
      <c r="QM1343" s="1268"/>
      <c r="QN1343" s="1268"/>
      <c r="QO1343" s="1268"/>
      <c r="QP1343" s="1268"/>
      <c r="QQ1343" s="1268"/>
      <c r="QR1343" s="1268"/>
      <c r="QS1343" s="1268"/>
      <c r="QT1343" s="1268"/>
      <c r="QU1343" s="1268"/>
      <c r="QV1343" s="1268"/>
      <c r="QW1343" s="1268"/>
      <c r="QX1343" s="1268"/>
      <c r="QY1343" s="1268"/>
      <c r="QZ1343" s="1268"/>
      <c r="RA1343" s="1268"/>
      <c r="RB1343" s="1268"/>
      <c r="RC1343" s="1268"/>
      <c r="RD1343" s="1268"/>
      <c r="RE1343" s="1268"/>
      <c r="RF1343" s="1268"/>
      <c r="RG1343" s="1268"/>
      <c r="RH1343" s="1268"/>
      <c r="RI1343" s="1268"/>
      <c r="RJ1343" s="1268"/>
      <c r="RK1343" s="1268"/>
      <c r="RL1343" s="1268"/>
      <c r="RM1343" s="1268"/>
      <c r="RN1343" s="1268"/>
      <c r="RO1343" s="1268"/>
      <c r="RP1343" s="1268"/>
      <c r="RQ1343" s="1268"/>
      <c r="RR1343" s="1268"/>
      <c r="RS1343" s="1268"/>
      <c r="RT1343" s="1268"/>
      <c r="RU1343" s="1268"/>
      <c r="RV1343" s="1268"/>
      <c r="RW1343" s="1268"/>
      <c r="RX1343" s="1268"/>
      <c r="RY1343" s="1268"/>
      <c r="RZ1343" s="1268"/>
      <c r="SA1343" s="1268"/>
      <c r="SB1343" s="1268"/>
      <c r="SC1343" s="1268"/>
      <c r="SD1343" s="1268"/>
      <c r="SE1343" s="1268"/>
      <c r="SF1343" s="1268"/>
      <c r="SG1343" s="1268"/>
      <c r="SH1343" s="1268"/>
      <c r="SI1343" s="1268"/>
      <c r="SJ1343" s="1268"/>
      <c r="SK1343" s="1268"/>
      <c r="SL1343" s="1268"/>
      <c r="SM1343" s="1268"/>
      <c r="SN1343" s="1268"/>
      <c r="SO1343" s="1268"/>
      <c r="SP1343" s="1268"/>
      <c r="SQ1343" s="1268"/>
      <c r="SR1343" s="1268"/>
      <c r="SS1343" s="1268"/>
      <c r="ST1343" s="1268"/>
      <c r="SU1343" s="1268"/>
      <c r="SV1343" s="1268"/>
      <c r="SW1343" s="1268"/>
      <c r="SX1343" s="1268"/>
      <c r="SY1343" s="1268"/>
      <c r="SZ1343" s="1268"/>
      <c r="TA1343" s="1268"/>
      <c r="TB1343" s="1268"/>
      <c r="TC1343" s="1268"/>
      <c r="TD1343" s="1268"/>
      <c r="TE1343" s="1268"/>
      <c r="TF1343" s="1268"/>
      <c r="TG1343" s="1268"/>
      <c r="TH1343" s="1268"/>
      <c r="TI1343" s="1268"/>
      <c r="TJ1343" s="1268"/>
      <c r="TK1343" s="1268"/>
      <c r="TL1343" s="1268"/>
      <c r="TM1343" s="1268"/>
      <c r="TN1343" s="1268"/>
      <c r="TO1343" s="1268"/>
      <c r="TP1343" s="1268"/>
      <c r="TQ1343" s="1268"/>
      <c r="TR1343" s="1268"/>
      <c r="TS1343" s="1268"/>
      <c r="TT1343" s="1268"/>
      <c r="TU1343" s="1268"/>
      <c r="TV1343" s="1268"/>
      <c r="TW1343" s="1268"/>
      <c r="TX1343" s="1268"/>
      <c r="TY1343" s="1268"/>
      <c r="TZ1343" s="1268"/>
      <c r="UA1343" s="1268"/>
      <c r="UB1343" s="1268"/>
      <c r="UC1343" s="1268"/>
      <c r="UD1343" s="1268"/>
      <c r="UE1343" s="1268"/>
      <c r="UF1343" s="1268"/>
      <c r="UG1343" s="1268"/>
    </row>
    <row r="1344" spans="1:553" s="1262" customFormat="1" ht="25.15" customHeight="1">
      <c r="A1344" s="356" t="s">
        <v>15</v>
      </c>
      <c r="B1344" s="356"/>
      <c r="C1344" s="1586" t="s">
        <v>725</v>
      </c>
      <c r="D1344" s="1389"/>
      <c r="E1344" s="1389"/>
      <c r="F1344" s="1390"/>
      <c r="G1344" s="417" t="s">
        <v>196</v>
      </c>
      <c r="H1344" s="370"/>
      <c r="I1344" s="422">
        <f>(75.22*100/500)*(17-(9-3))*2</f>
        <v>330.96800000000002</v>
      </c>
      <c r="J1344" s="368">
        <v>10800</v>
      </c>
      <c r="K1344" s="650">
        <v>0.7</v>
      </c>
      <c r="L1344" s="571">
        <f t="shared" si="201"/>
        <v>2502118</v>
      </c>
      <c r="M1344" s="356"/>
      <c r="N1344" s="356"/>
      <c r="O1344" s="356"/>
      <c r="P1344" s="356"/>
      <c r="Q1344" s="610"/>
      <c r="R1344" s="1452"/>
      <c r="S1344" s="308"/>
      <c r="T1344" s="308"/>
      <c r="U1344" s="308"/>
      <c r="V1344" s="308"/>
      <c r="W1344" s="308"/>
      <c r="X1344" s="308"/>
      <c r="Y1344" s="308"/>
      <c r="Z1344" s="604"/>
      <c r="AA1344" s="308"/>
      <c r="AB1344" s="308"/>
      <c r="AC1344" s="486"/>
      <c r="AD1344" s="486"/>
      <c r="AE1344" s="486"/>
      <c r="AF1344" s="486"/>
      <c r="AG1344" s="486"/>
      <c r="AH1344" s="486"/>
      <c r="AI1344" s="486"/>
      <c r="AJ1344" s="486"/>
      <c r="AK1344" s="486"/>
      <c r="AL1344" s="1267"/>
      <c r="AM1344" s="1268"/>
      <c r="AN1344" s="1268"/>
      <c r="AO1344" s="1268"/>
      <c r="AP1344" s="1268"/>
      <c r="AQ1344" s="1268"/>
      <c r="AR1344" s="1268"/>
      <c r="AS1344" s="1268"/>
      <c r="AT1344" s="1268"/>
      <c r="AU1344" s="1268"/>
      <c r="AV1344" s="1268"/>
      <c r="AW1344" s="1268"/>
      <c r="AX1344" s="1268"/>
      <c r="AY1344" s="1268"/>
      <c r="AZ1344" s="1268"/>
      <c r="BA1344" s="1268"/>
      <c r="BB1344" s="1268"/>
      <c r="BC1344" s="1268"/>
      <c r="BD1344" s="1268"/>
      <c r="BE1344" s="1268"/>
      <c r="BF1344" s="1268"/>
      <c r="BG1344" s="1268"/>
      <c r="BH1344" s="1268"/>
      <c r="BI1344" s="1268"/>
      <c r="BJ1344" s="1268"/>
      <c r="BK1344" s="1268"/>
      <c r="BL1344" s="1268"/>
      <c r="BM1344" s="1268"/>
      <c r="BN1344" s="1268"/>
      <c r="BO1344" s="1268"/>
      <c r="BP1344" s="1268"/>
      <c r="BQ1344" s="1268"/>
      <c r="BR1344" s="1268"/>
      <c r="BS1344" s="1268"/>
      <c r="BT1344" s="1268"/>
      <c r="BU1344" s="1268"/>
      <c r="BV1344" s="1268"/>
      <c r="BW1344" s="1268"/>
      <c r="BX1344" s="1268"/>
      <c r="BY1344" s="1268"/>
      <c r="BZ1344" s="1268"/>
      <c r="CA1344" s="1268"/>
      <c r="CB1344" s="1268"/>
      <c r="CC1344" s="1268"/>
      <c r="CD1344" s="1268"/>
      <c r="CE1344" s="1268"/>
      <c r="CF1344" s="1268"/>
      <c r="CG1344" s="1268"/>
      <c r="CH1344" s="1268"/>
      <c r="CI1344" s="1268"/>
      <c r="CJ1344" s="1268"/>
      <c r="CK1344" s="1268"/>
      <c r="CL1344" s="1268"/>
      <c r="CM1344" s="1268"/>
      <c r="CN1344" s="1268"/>
      <c r="CO1344" s="1268"/>
      <c r="CP1344" s="1268"/>
      <c r="CQ1344" s="1268"/>
      <c r="CR1344" s="1268"/>
      <c r="CS1344" s="1268"/>
      <c r="CT1344" s="1268"/>
      <c r="CU1344" s="1268"/>
      <c r="CV1344" s="1268"/>
      <c r="CW1344" s="1268"/>
      <c r="CX1344" s="1268"/>
      <c r="CY1344" s="1268"/>
      <c r="CZ1344" s="1268"/>
      <c r="DA1344" s="1268"/>
      <c r="DB1344" s="1268"/>
      <c r="DC1344" s="1268"/>
      <c r="DD1344" s="1268"/>
      <c r="DE1344" s="1268"/>
      <c r="DF1344" s="1268"/>
      <c r="DG1344" s="1268"/>
      <c r="DH1344" s="1268"/>
      <c r="DI1344" s="1268"/>
      <c r="DJ1344" s="1268"/>
      <c r="DK1344" s="1268"/>
      <c r="DL1344" s="1268"/>
      <c r="DM1344" s="1268"/>
      <c r="DN1344" s="1268"/>
      <c r="DO1344" s="1268"/>
      <c r="DP1344" s="1268"/>
      <c r="DQ1344" s="1268"/>
      <c r="DR1344" s="1268"/>
      <c r="DS1344" s="1268"/>
      <c r="DT1344" s="1268"/>
      <c r="DU1344" s="1268"/>
      <c r="DV1344" s="1268"/>
      <c r="DW1344" s="1268"/>
      <c r="DX1344" s="1268"/>
      <c r="DY1344" s="1268"/>
      <c r="DZ1344" s="1268"/>
      <c r="EA1344" s="1268"/>
      <c r="EB1344" s="1268"/>
      <c r="EC1344" s="1268"/>
      <c r="ED1344" s="1268"/>
      <c r="EE1344" s="1268"/>
      <c r="EF1344" s="1268"/>
      <c r="EG1344" s="1268"/>
      <c r="EH1344" s="1268"/>
      <c r="EI1344" s="1268"/>
      <c r="EJ1344" s="1268"/>
      <c r="EK1344" s="1268"/>
      <c r="EL1344" s="1268"/>
      <c r="EM1344" s="1268"/>
      <c r="EN1344" s="1268"/>
      <c r="EO1344" s="1268"/>
      <c r="EP1344" s="1268"/>
      <c r="EQ1344" s="1268"/>
      <c r="ER1344" s="1268"/>
      <c r="ES1344" s="1268"/>
      <c r="ET1344" s="1268"/>
      <c r="EU1344" s="1268"/>
      <c r="EV1344" s="1268"/>
      <c r="EW1344" s="1268"/>
      <c r="EX1344" s="1268"/>
      <c r="EY1344" s="1268"/>
      <c r="EZ1344" s="1268"/>
      <c r="FA1344" s="1268"/>
      <c r="FB1344" s="1268"/>
      <c r="FC1344" s="1268"/>
      <c r="FD1344" s="1268"/>
      <c r="FE1344" s="1268"/>
      <c r="FF1344" s="1268"/>
      <c r="FG1344" s="1268"/>
      <c r="FH1344" s="1268"/>
      <c r="FI1344" s="1268"/>
      <c r="FJ1344" s="1268"/>
      <c r="FK1344" s="1268"/>
      <c r="FL1344" s="1268"/>
      <c r="FM1344" s="1268"/>
      <c r="FN1344" s="1268"/>
      <c r="FO1344" s="1268"/>
      <c r="FP1344" s="1268"/>
      <c r="FQ1344" s="1268"/>
      <c r="FR1344" s="1268"/>
      <c r="FS1344" s="1268"/>
      <c r="FT1344" s="1268"/>
      <c r="FU1344" s="1268"/>
      <c r="FV1344" s="1268"/>
      <c r="FW1344" s="1268"/>
      <c r="FX1344" s="1268"/>
      <c r="FY1344" s="1268"/>
      <c r="FZ1344" s="1268"/>
      <c r="GA1344" s="1268"/>
      <c r="GB1344" s="1268"/>
      <c r="GC1344" s="1268"/>
      <c r="GD1344" s="1268"/>
      <c r="GE1344" s="1268"/>
      <c r="GF1344" s="1268"/>
      <c r="GG1344" s="1268"/>
      <c r="GH1344" s="1268"/>
      <c r="GI1344" s="1268"/>
      <c r="GJ1344" s="1268"/>
      <c r="GK1344" s="1268"/>
      <c r="GL1344" s="1268"/>
      <c r="GM1344" s="1268"/>
      <c r="GN1344" s="1268"/>
      <c r="GO1344" s="1268"/>
      <c r="GP1344" s="1268"/>
      <c r="GQ1344" s="1268"/>
      <c r="GR1344" s="1268"/>
      <c r="GS1344" s="1268"/>
      <c r="GT1344" s="1268"/>
      <c r="GU1344" s="1268"/>
      <c r="GV1344" s="1268"/>
      <c r="GW1344" s="1268"/>
      <c r="GX1344" s="1268"/>
      <c r="GY1344" s="1268"/>
      <c r="GZ1344" s="1268"/>
      <c r="HA1344" s="1268"/>
      <c r="HB1344" s="1268"/>
      <c r="HC1344" s="1268"/>
      <c r="HD1344" s="1268"/>
      <c r="HE1344" s="1268"/>
      <c r="HF1344" s="1268"/>
      <c r="HG1344" s="1268"/>
      <c r="HH1344" s="1268"/>
      <c r="HI1344" s="1268"/>
      <c r="HJ1344" s="1268"/>
      <c r="HK1344" s="1268"/>
      <c r="HL1344" s="1268"/>
      <c r="HM1344" s="1268"/>
      <c r="HN1344" s="1268"/>
      <c r="HO1344" s="1268"/>
      <c r="HP1344" s="1268"/>
      <c r="HQ1344" s="1268"/>
      <c r="HR1344" s="1268"/>
      <c r="HS1344" s="1268"/>
      <c r="HT1344" s="1268"/>
      <c r="HU1344" s="1268"/>
      <c r="HV1344" s="1268"/>
      <c r="HW1344" s="1268"/>
      <c r="HX1344" s="1268"/>
      <c r="HY1344" s="1268"/>
      <c r="HZ1344" s="1268"/>
      <c r="IA1344" s="1268"/>
      <c r="IB1344" s="1268"/>
      <c r="IC1344" s="1268"/>
      <c r="ID1344" s="1268"/>
      <c r="IE1344" s="1268"/>
      <c r="IF1344" s="1268"/>
      <c r="IG1344" s="1268"/>
      <c r="IH1344" s="1268"/>
      <c r="II1344" s="1268"/>
      <c r="IJ1344" s="1268"/>
      <c r="IK1344" s="1268"/>
      <c r="IL1344" s="1268"/>
      <c r="IM1344" s="1268"/>
      <c r="IN1344" s="1268"/>
      <c r="IO1344" s="1268"/>
      <c r="IP1344" s="1268"/>
      <c r="IQ1344" s="1268"/>
      <c r="IR1344" s="1268"/>
      <c r="IS1344" s="1268"/>
      <c r="IT1344" s="1268"/>
      <c r="IU1344" s="1268"/>
      <c r="IV1344" s="1268"/>
      <c r="IW1344" s="1268"/>
      <c r="IX1344" s="1268"/>
      <c r="IY1344" s="1268"/>
      <c r="IZ1344" s="1268"/>
      <c r="JA1344" s="1268"/>
      <c r="JB1344" s="1268"/>
      <c r="JC1344" s="1268"/>
      <c r="JD1344" s="1268"/>
      <c r="JE1344" s="1268"/>
      <c r="JF1344" s="1268"/>
      <c r="JG1344" s="1268"/>
      <c r="JH1344" s="1268"/>
      <c r="JI1344" s="1268"/>
      <c r="JJ1344" s="1268"/>
      <c r="JK1344" s="1268"/>
      <c r="JL1344" s="1268"/>
      <c r="JM1344" s="1268"/>
      <c r="JN1344" s="1268"/>
      <c r="JO1344" s="1268"/>
      <c r="JP1344" s="1268"/>
      <c r="JQ1344" s="1268"/>
      <c r="JR1344" s="1268"/>
      <c r="JS1344" s="1268"/>
      <c r="JT1344" s="1268"/>
      <c r="JU1344" s="1268"/>
      <c r="JV1344" s="1268"/>
      <c r="JW1344" s="1268"/>
      <c r="JX1344" s="1268"/>
      <c r="JY1344" s="1268"/>
      <c r="JZ1344" s="1268"/>
      <c r="KA1344" s="1268"/>
      <c r="KB1344" s="1268"/>
      <c r="KC1344" s="1268"/>
      <c r="KD1344" s="1268"/>
      <c r="KE1344" s="1268"/>
      <c r="KF1344" s="1268"/>
      <c r="KG1344" s="1268"/>
      <c r="KH1344" s="1268"/>
      <c r="KI1344" s="1268"/>
      <c r="KJ1344" s="1268"/>
      <c r="KK1344" s="1268"/>
      <c r="KL1344" s="1268"/>
      <c r="KM1344" s="1268"/>
      <c r="KN1344" s="1268"/>
      <c r="KO1344" s="1268"/>
      <c r="KP1344" s="1268"/>
      <c r="KQ1344" s="1268"/>
      <c r="KR1344" s="1268"/>
      <c r="KS1344" s="1268"/>
      <c r="KT1344" s="1268"/>
      <c r="KU1344" s="1268"/>
      <c r="KV1344" s="1268"/>
      <c r="KW1344" s="1268"/>
      <c r="KX1344" s="1268"/>
      <c r="KY1344" s="1268"/>
      <c r="KZ1344" s="1268"/>
      <c r="LA1344" s="1268"/>
      <c r="LB1344" s="1268"/>
      <c r="LC1344" s="1268"/>
      <c r="LD1344" s="1268"/>
      <c r="LE1344" s="1268"/>
      <c r="LF1344" s="1268"/>
      <c r="LG1344" s="1268"/>
      <c r="LH1344" s="1268"/>
      <c r="LI1344" s="1268"/>
      <c r="LJ1344" s="1268"/>
      <c r="LK1344" s="1268"/>
      <c r="LL1344" s="1268"/>
      <c r="LM1344" s="1268"/>
      <c r="LN1344" s="1268"/>
      <c r="LO1344" s="1268"/>
      <c r="LP1344" s="1268"/>
      <c r="LQ1344" s="1268"/>
      <c r="LR1344" s="1268"/>
      <c r="LS1344" s="1268"/>
      <c r="LT1344" s="1268"/>
      <c r="LU1344" s="1268"/>
      <c r="LV1344" s="1268"/>
      <c r="LW1344" s="1268"/>
      <c r="LX1344" s="1268"/>
      <c r="LY1344" s="1268"/>
      <c r="LZ1344" s="1268"/>
      <c r="MA1344" s="1268"/>
      <c r="MB1344" s="1268"/>
      <c r="MC1344" s="1268"/>
      <c r="MD1344" s="1268"/>
      <c r="ME1344" s="1268"/>
      <c r="MF1344" s="1268"/>
      <c r="MG1344" s="1268"/>
      <c r="MH1344" s="1268"/>
      <c r="MI1344" s="1268"/>
      <c r="MJ1344" s="1268"/>
      <c r="MK1344" s="1268"/>
      <c r="ML1344" s="1268"/>
      <c r="MM1344" s="1268"/>
      <c r="MN1344" s="1268"/>
      <c r="MO1344" s="1268"/>
      <c r="MP1344" s="1268"/>
      <c r="MQ1344" s="1268"/>
      <c r="MR1344" s="1268"/>
      <c r="MS1344" s="1268"/>
      <c r="MT1344" s="1268"/>
      <c r="MU1344" s="1268"/>
      <c r="MV1344" s="1268"/>
      <c r="MW1344" s="1268"/>
      <c r="MX1344" s="1268"/>
      <c r="MY1344" s="1268"/>
      <c r="MZ1344" s="1268"/>
      <c r="NA1344" s="1268"/>
      <c r="NB1344" s="1268"/>
      <c r="NC1344" s="1268"/>
      <c r="ND1344" s="1268"/>
      <c r="NE1344" s="1268"/>
      <c r="NF1344" s="1268"/>
      <c r="NG1344" s="1268"/>
      <c r="NH1344" s="1268"/>
      <c r="NI1344" s="1268"/>
      <c r="NJ1344" s="1268"/>
      <c r="NK1344" s="1268"/>
      <c r="NL1344" s="1268"/>
      <c r="NM1344" s="1268"/>
      <c r="NN1344" s="1268"/>
      <c r="NO1344" s="1268"/>
      <c r="NP1344" s="1268"/>
      <c r="NQ1344" s="1268"/>
      <c r="NR1344" s="1268"/>
      <c r="NS1344" s="1268"/>
      <c r="NT1344" s="1268"/>
      <c r="NU1344" s="1268"/>
      <c r="NV1344" s="1268"/>
      <c r="NW1344" s="1268"/>
      <c r="NX1344" s="1268"/>
      <c r="NY1344" s="1268"/>
      <c r="NZ1344" s="1268"/>
      <c r="OA1344" s="1268"/>
      <c r="OB1344" s="1268"/>
      <c r="OC1344" s="1268"/>
      <c r="OD1344" s="1268"/>
      <c r="OE1344" s="1268"/>
      <c r="OF1344" s="1268"/>
      <c r="OG1344" s="1268"/>
      <c r="OH1344" s="1268"/>
      <c r="OI1344" s="1268"/>
      <c r="OJ1344" s="1268"/>
      <c r="OK1344" s="1268"/>
      <c r="OL1344" s="1268"/>
      <c r="OM1344" s="1268"/>
      <c r="ON1344" s="1268"/>
      <c r="OO1344" s="1268"/>
      <c r="OP1344" s="1268"/>
      <c r="OQ1344" s="1268"/>
      <c r="OR1344" s="1268"/>
      <c r="OS1344" s="1268"/>
      <c r="OT1344" s="1268"/>
      <c r="OU1344" s="1268"/>
      <c r="OV1344" s="1268"/>
      <c r="OW1344" s="1268"/>
      <c r="OX1344" s="1268"/>
      <c r="OY1344" s="1268"/>
      <c r="OZ1344" s="1268"/>
      <c r="PA1344" s="1268"/>
      <c r="PB1344" s="1268"/>
      <c r="PC1344" s="1268"/>
      <c r="PD1344" s="1268"/>
      <c r="PE1344" s="1268"/>
      <c r="PF1344" s="1268"/>
      <c r="PG1344" s="1268"/>
      <c r="PH1344" s="1268"/>
      <c r="PI1344" s="1268"/>
      <c r="PJ1344" s="1268"/>
      <c r="PK1344" s="1268"/>
      <c r="PL1344" s="1268"/>
      <c r="PM1344" s="1268"/>
      <c r="PN1344" s="1268"/>
      <c r="PO1344" s="1268"/>
      <c r="PP1344" s="1268"/>
      <c r="PQ1344" s="1268"/>
      <c r="PR1344" s="1268"/>
      <c r="PS1344" s="1268"/>
      <c r="PT1344" s="1268"/>
      <c r="PU1344" s="1268"/>
      <c r="PV1344" s="1268"/>
      <c r="PW1344" s="1268"/>
      <c r="PX1344" s="1268"/>
      <c r="PY1344" s="1268"/>
      <c r="PZ1344" s="1268"/>
      <c r="QA1344" s="1268"/>
      <c r="QB1344" s="1268"/>
      <c r="QC1344" s="1268"/>
      <c r="QD1344" s="1268"/>
      <c r="QE1344" s="1268"/>
      <c r="QF1344" s="1268"/>
      <c r="QG1344" s="1268"/>
      <c r="QH1344" s="1268"/>
      <c r="QI1344" s="1268"/>
      <c r="QJ1344" s="1268"/>
      <c r="QK1344" s="1268"/>
      <c r="QL1344" s="1268"/>
      <c r="QM1344" s="1268"/>
      <c r="QN1344" s="1268"/>
      <c r="QO1344" s="1268"/>
      <c r="QP1344" s="1268"/>
      <c r="QQ1344" s="1268"/>
      <c r="QR1344" s="1268"/>
      <c r="QS1344" s="1268"/>
      <c r="QT1344" s="1268"/>
      <c r="QU1344" s="1268"/>
      <c r="QV1344" s="1268"/>
      <c r="QW1344" s="1268"/>
      <c r="QX1344" s="1268"/>
      <c r="QY1344" s="1268"/>
      <c r="QZ1344" s="1268"/>
      <c r="RA1344" s="1268"/>
      <c r="RB1344" s="1268"/>
      <c r="RC1344" s="1268"/>
      <c r="RD1344" s="1268"/>
      <c r="RE1344" s="1268"/>
      <c r="RF1344" s="1268"/>
      <c r="RG1344" s="1268"/>
      <c r="RH1344" s="1268"/>
      <c r="RI1344" s="1268"/>
      <c r="RJ1344" s="1268"/>
      <c r="RK1344" s="1268"/>
      <c r="RL1344" s="1268"/>
      <c r="RM1344" s="1268"/>
      <c r="RN1344" s="1268"/>
      <c r="RO1344" s="1268"/>
      <c r="RP1344" s="1268"/>
      <c r="RQ1344" s="1268"/>
      <c r="RR1344" s="1268"/>
      <c r="RS1344" s="1268"/>
      <c r="RT1344" s="1268"/>
      <c r="RU1344" s="1268"/>
      <c r="RV1344" s="1268"/>
      <c r="RW1344" s="1268"/>
      <c r="RX1344" s="1268"/>
      <c r="RY1344" s="1268"/>
      <c r="RZ1344" s="1268"/>
      <c r="SA1344" s="1268"/>
      <c r="SB1344" s="1268"/>
      <c r="SC1344" s="1268"/>
      <c r="SD1344" s="1268"/>
      <c r="SE1344" s="1268"/>
      <c r="SF1344" s="1268"/>
      <c r="SG1344" s="1268"/>
      <c r="SH1344" s="1268"/>
      <c r="SI1344" s="1268"/>
      <c r="SJ1344" s="1268"/>
      <c r="SK1344" s="1268"/>
      <c r="SL1344" s="1268"/>
      <c r="SM1344" s="1268"/>
      <c r="SN1344" s="1268"/>
      <c r="SO1344" s="1268"/>
      <c r="SP1344" s="1268"/>
      <c r="SQ1344" s="1268"/>
      <c r="SR1344" s="1268"/>
      <c r="SS1344" s="1268"/>
      <c r="ST1344" s="1268"/>
      <c r="SU1344" s="1268"/>
      <c r="SV1344" s="1268"/>
      <c r="SW1344" s="1268"/>
      <c r="SX1344" s="1268"/>
      <c r="SY1344" s="1268"/>
      <c r="SZ1344" s="1268"/>
      <c r="TA1344" s="1268"/>
      <c r="TB1344" s="1268"/>
      <c r="TC1344" s="1268"/>
      <c r="TD1344" s="1268"/>
      <c r="TE1344" s="1268"/>
      <c r="TF1344" s="1268"/>
      <c r="TG1344" s="1268"/>
      <c r="TH1344" s="1268"/>
      <c r="TI1344" s="1268"/>
      <c r="TJ1344" s="1268"/>
      <c r="TK1344" s="1268"/>
      <c r="TL1344" s="1268"/>
      <c r="TM1344" s="1268"/>
      <c r="TN1344" s="1268"/>
      <c r="TO1344" s="1268"/>
      <c r="TP1344" s="1268"/>
      <c r="TQ1344" s="1268"/>
      <c r="TR1344" s="1268"/>
      <c r="TS1344" s="1268"/>
      <c r="TT1344" s="1268"/>
      <c r="TU1344" s="1268"/>
      <c r="TV1344" s="1268"/>
      <c r="TW1344" s="1268"/>
      <c r="TX1344" s="1268"/>
      <c r="TY1344" s="1268"/>
      <c r="TZ1344" s="1268"/>
      <c r="UA1344" s="1268"/>
      <c r="UB1344" s="1268"/>
      <c r="UC1344" s="1268"/>
      <c r="UD1344" s="1268"/>
      <c r="UE1344" s="1268"/>
      <c r="UF1344" s="1268"/>
      <c r="UG1344" s="1268"/>
    </row>
    <row r="1345" spans="1:553" ht="25.15" customHeight="1">
      <c r="A1345" s="356"/>
      <c r="B1345" s="356"/>
      <c r="C1345" s="1453" t="s">
        <v>1047</v>
      </c>
      <c r="D1345" s="1389"/>
      <c r="E1345" s="1389"/>
      <c r="F1345" s="1390"/>
      <c r="G1345" s="417"/>
      <c r="H1345" s="370"/>
      <c r="I1345" s="422"/>
      <c r="J1345" s="368"/>
      <c r="K1345" s="796"/>
      <c r="L1345" s="571"/>
      <c r="M1345" s="356"/>
      <c r="N1345" s="356"/>
      <c r="O1345" s="356"/>
      <c r="P1345" s="356"/>
      <c r="Q1345" s="610"/>
      <c r="R1345" s="1452"/>
      <c r="S1345" s="308"/>
      <c r="T1345" s="308"/>
      <c r="U1345" s="308"/>
      <c r="V1345" s="308"/>
      <c r="W1345" s="308"/>
      <c r="X1345" s="308"/>
      <c r="Y1345" s="308"/>
      <c r="Z1345" s="604"/>
      <c r="AA1345" s="308"/>
      <c r="AB1345" s="308"/>
      <c r="AC1345" s="486"/>
      <c r="AD1345" s="486"/>
      <c r="AE1345" s="486"/>
      <c r="AF1345" s="486"/>
      <c r="AG1345" s="486"/>
      <c r="AH1345" s="486"/>
      <c r="AI1345" s="486"/>
      <c r="AJ1345" s="486"/>
      <c r="AK1345" s="486"/>
      <c r="AL1345" s="206"/>
      <c r="AM1345" s="29"/>
      <c r="AN1345" s="29"/>
      <c r="AO1345" s="29"/>
      <c r="AP1345" s="29"/>
      <c r="AQ1345" s="29"/>
      <c r="AR1345" s="29"/>
      <c r="AS1345" s="29"/>
      <c r="AT1345" s="29"/>
      <c r="AU1345" s="29"/>
      <c r="AV1345" s="29"/>
      <c r="AW1345" s="29"/>
      <c r="AX1345" s="29"/>
      <c r="AY1345" s="29"/>
      <c r="AZ1345" s="29"/>
      <c r="BA1345" s="29"/>
      <c r="BB1345" s="29"/>
      <c r="BC1345" s="29"/>
      <c r="BD1345" s="29"/>
      <c r="BE1345" s="29"/>
      <c r="BF1345" s="29"/>
      <c r="BG1345" s="29"/>
      <c r="BH1345" s="29"/>
      <c r="BI1345" s="29"/>
      <c r="BJ1345" s="29"/>
      <c r="BK1345" s="29"/>
      <c r="BL1345" s="29"/>
      <c r="BM1345" s="29"/>
      <c r="BN1345" s="29"/>
      <c r="BO1345" s="29"/>
      <c r="BP1345" s="29"/>
      <c r="BQ1345" s="29"/>
      <c r="BR1345" s="29"/>
      <c r="BS1345" s="29"/>
      <c r="BT1345" s="29"/>
      <c r="BU1345" s="29"/>
      <c r="BV1345" s="29"/>
      <c r="BW1345" s="29"/>
      <c r="BX1345" s="29"/>
      <c r="BY1345" s="29"/>
      <c r="BZ1345" s="29"/>
      <c r="CA1345" s="29"/>
      <c r="CB1345" s="29"/>
      <c r="CC1345" s="29"/>
      <c r="CD1345" s="29"/>
      <c r="CE1345" s="29"/>
      <c r="CF1345" s="29"/>
      <c r="CG1345" s="29"/>
      <c r="CH1345" s="29"/>
      <c r="CI1345" s="29"/>
      <c r="CJ1345" s="29"/>
      <c r="CK1345" s="29"/>
      <c r="CL1345" s="29"/>
      <c r="CM1345" s="29"/>
      <c r="CN1345" s="29"/>
      <c r="CO1345" s="29"/>
      <c r="CP1345" s="29"/>
      <c r="CQ1345" s="29"/>
      <c r="CR1345" s="29"/>
      <c r="CS1345" s="29"/>
      <c r="CT1345" s="29"/>
      <c r="CU1345" s="29"/>
      <c r="CV1345" s="29"/>
      <c r="CW1345" s="29"/>
      <c r="CX1345" s="29"/>
      <c r="CY1345" s="29"/>
      <c r="CZ1345" s="29"/>
      <c r="DA1345" s="29"/>
      <c r="DB1345" s="29"/>
      <c r="DC1345" s="29"/>
      <c r="DD1345" s="29"/>
      <c r="DE1345" s="29"/>
      <c r="DF1345" s="29"/>
      <c r="DG1345" s="29"/>
      <c r="DH1345" s="29"/>
      <c r="DI1345" s="29"/>
      <c r="DJ1345" s="29"/>
      <c r="DK1345" s="29"/>
      <c r="DL1345" s="29"/>
      <c r="DM1345" s="29"/>
      <c r="DN1345" s="29"/>
      <c r="DO1345" s="29"/>
      <c r="DP1345" s="29"/>
      <c r="DQ1345" s="29"/>
      <c r="DR1345" s="29"/>
      <c r="DS1345" s="29"/>
      <c r="DT1345" s="29"/>
      <c r="DU1345" s="29"/>
      <c r="DV1345" s="29"/>
      <c r="DW1345" s="29"/>
      <c r="DX1345" s="29"/>
      <c r="DY1345" s="29"/>
      <c r="DZ1345" s="29"/>
      <c r="EA1345" s="29"/>
      <c r="EB1345" s="29"/>
      <c r="EC1345" s="29"/>
      <c r="ED1345" s="29"/>
      <c r="EE1345" s="29"/>
      <c r="EF1345" s="29"/>
      <c r="EG1345" s="29"/>
      <c r="EH1345" s="29"/>
      <c r="EI1345" s="29"/>
      <c r="EJ1345" s="29"/>
      <c r="EK1345" s="29"/>
      <c r="EL1345" s="29"/>
      <c r="EM1345" s="29"/>
      <c r="EN1345" s="29"/>
      <c r="EO1345" s="29"/>
      <c r="EP1345" s="29"/>
      <c r="EQ1345" s="29"/>
      <c r="ER1345" s="29"/>
      <c r="ES1345" s="29"/>
      <c r="ET1345" s="29"/>
      <c r="EU1345" s="29"/>
      <c r="EV1345" s="29"/>
      <c r="EW1345" s="29"/>
      <c r="EX1345" s="29"/>
      <c r="EY1345" s="29"/>
      <c r="EZ1345" s="29"/>
      <c r="FA1345" s="29"/>
      <c r="FB1345" s="29"/>
      <c r="FC1345" s="29"/>
      <c r="FD1345" s="29"/>
      <c r="FE1345" s="29"/>
      <c r="FF1345" s="29"/>
      <c r="FG1345" s="29"/>
      <c r="FH1345" s="29"/>
      <c r="FI1345" s="29"/>
      <c r="FJ1345" s="29"/>
      <c r="FK1345" s="29"/>
      <c r="FL1345" s="29"/>
      <c r="FM1345" s="29"/>
      <c r="FN1345" s="29"/>
      <c r="FO1345" s="29"/>
      <c r="FP1345" s="29"/>
      <c r="FQ1345" s="29"/>
      <c r="FR1345" s="29"/>
      <c r="FS1345" s="29"/>
      <c r="FT1345" s="29"/>
      <c r="FU1345" s="29"/>
      <c r="FV1345" s="29"/>
      <c r="FW1345" s="29"/>
      <c r="FX1345" s="29"/>
      <c r="FY1345" s="29"/>
      <c r="FZ1345" s="29"/>
      <c r="GA1345" s="29"/>
      <c r="GB1345" s="29"/>
      <c r="GC1345" s="29"/>
      <c r="GD1345" s="29"/>
      <c r="GE1345" s="29"/>
      <c r="GF1345" s="29"/>
      <c r="GG1345" s="29"/>
      <c r="GH1345" s="29"/>
      <c r="GI1345" s="29"/>
      <c r="GJ1345" s="29"/>
      <c r="GK1345" s="29"/>
      <c r="GL1345" s="29"/>
      <c r="GM1345" s="29"/>
      <c r="GN1345" s="29"/>
      <c r="GO1345" s="29"/>
      <c r="GP1345" s="29"/>
      <c r="GQ1345" s="29"/>
      <c r="GR1345" s="29"/>
      <c r="GS1345" s="29"/>
      <c r="GT1345" s="29"/>
      <c r="GU1345" s="29"/>
      <c r="GV1345" s="29"/>
      <c r="GW1345" s="29"/>
      <c r="GX1345" s="29"/>
      <c r="GY1345" s="29"/>
      <c r="GZ1345" s="29"/>
      <c r="HA1345" s="29"/>
      <c r="HB1345" s="29"/>
      <c r="HC1345" s="29"/>
      <c r="HD1345" s="29"/>
      <c r="HE1345" s="29"/>
      <c r="HF1345" s="29"/>
      <c r="HG1345" s="29"/>
      <c r="HH1345" s="29"/>
      <c r="HI1345" s="29"/>
      <c r="HJ1345" s="29"/>
      <c r="HK1345" s="29"/>
      <c r="HL1345" s="29"/>
      <c r="HM1345" s="29"/>
      <c r="HN1345" s="29"/>
      <c r="HO1345" s="29"/>
      <c r="HP1345" s="29"/>
      <c r="HQ1345" s="29"/>
      <c r="HR1345" s="29"/>
      <c r="HS1345" s="29"/>
      <c r="HT1345" s="29"/>
      <c r="HU1345" s="29"/>
      <c r="HV1345" s="29"/>
      <c r="HW1345" s="29"/>
      <c r="HX1345" s="29"/>
      <c r="HY1345" s="29"/>
      <c r="HZ1345" s="29"/>
      <c r="IA1345" s="29"/>
      <c r="IB1345" s="29"/>
      <c r="IC1345" s="29"/>
      <c r="ID1345" s="29"/>
      <c r="IE1345" s="29"/>
      <c r="IF1345" s="29"/>
      <c r="IG1345" s="29"/>
      <c r="IH1345" s="29"/>
      <c r="II1345" s="29"/>
      <c r="IJ1345" s="29"/>
      <c r="IK1345" s="29"/>
      <c r="IL1345" s="29"/>
      <c r="IM1345" s="29"/>
      <c r="IN1345" s="29"/>
      <c r="IO1345" s="29"/>
      <c r="IP1345" s="29"/>
      <c r="IQ1345" s="29"/>
      <c r="IR1345" s="29"/>
      <c r="IS1345" s="29"/>
      <c r="IT1345" s="29"/>
      <c r="IU1345" s="29"/>
      <c r="IV1345" s="29"/>
      <c r="IW1345" s="29"/>
      <c r="IX1345" s="29"/>
      <c r="IY1345" s="29"/>
      <c r="IZ1345" s="29"/>
      <c r="JA1345" s="29"/>
      <c r="JB1345" s="29"/>
      <c r="JC1345" s="29"/>
      <c r="JD1345" s="29"/>
      <c r="JE1345" s="29"/>
      <c r="JF1345" s="29"/>
      <c r="JG1345" s="29"/>
      <c r="JH1345" s="29"/>
      <c r="JI1345" s="29"/>
      <c r="JJ1345" s="29"/>
      <c r="JK1345" s="29"/>
      <c r="JL1345" s="29"/>
      <c r="JM1345" s="29"/>
      <c r="JN1345" s="29"/>
      <c r="JO1345" s="29"/>
      <c r="JP1345" s="29"/>
      <c r="JQ1345" s="29"/>
      <c r="JR1345" s="29"/>
      <c r="JS1345" s="29"/>
      <c r="JT1345" s="29"/>
      <c r="JU1345" s="29"/>
      <c r="JV1345" s="29"/>
      <c r="JW1345" s="29"/>
      <c r="JX1345" s="29"/>
      <c r="JY1345" s="29"/>
      <c r="JZ1345" s="29"/>
      <c r="KA1345" s="29"/>
      <c r="KB1345" s="29"/>
      <c r="KC1345" s="29"/>
      <c r="KD1345" s="29"/>
      <c r="KE1345" s="29"/>
      <c r="KF1345" s="29"/>
      <c r="KG1345" s="29"/>
      <c r="KH1345" s="29"/>
      <c r="KI1345" s="29"/>
      <c r="KJ1345" s="29"/>
      <c r="KK1345" s="29"/>
      <c r="KL1345" s="29"/>
      <c r="KM1345" s="29"/>
      <c r="KN1345" s="29"/>
      <c r="KO1345" s="29"/>
      <c r="KP1345" s="29"/>
      <c r="KQ1345" s="29"/>
      <c r="KR1345" s="29"/>
      <c r="KS1345" s="29"/>
      <c r="KT1345" s="29"/>
      <c r="KU1345" s="29"/>
      <c r="KV1345" s="29"/>
      <c r="KW1345" s="29"/>
      <c r="KX1345" s="29"/>
      <c r="KY1345" s="29"/>
      <c r="KZ1345" s="29"/>
      <c r="LA1345" s="29"/>
      <c r="LB1345" s="29"/>
      <c r="LC1345" s="29"/>
      <c r="LD1345" s="29"/>
      <c r="LE1345" s="29"/>
      <c r="LF1345" s="29"/>
      <c r="LG1345" s="29"/>
      <c r="LH1345" s="29"/>
      <c r="LI1345" s="29"/>
      <c r="LJ1345" s="29"/>
      <c r="LK1345" s="29"/>
      <c r="LL1345" s="29"/>
      <c r="LM1345" s="29"/>
      <c r="LN1345" s="29"/>
      <c r="LO1345" s="29"/>
      <c r="LP1345" s="29"/>
      <c r="LQ1345" s="29"/>
      <c r="LR1345" s="29"/>
      <c r="LS1345" s="29"/>
      <c r="LT1345" s="29"/>
      <c r="LU1345" s="29"/>
      <c r="LV1345" s="29"/>
      <c r="LW1345" s="29"/>
      <c r="LX1345" s="29"/>
      <c r="LY1345" s="29"/>
      <c r="LZ1345" s="29"/>
      <c r="MA1345" s="29"/>
      <c r="MB1345" s="29"/>
      <c r="MC1345" s="29"/>
      <c r="MD1345" s="29"/>
      <c r="ME1345" s="29"/>
      <c r="MF1345" s="29"/>
      <c r="MG1345" s="29"/>
      <c r="MH1345" s="29"/>
      <c r="MI1345" s="29"/>
      <c r="MJ1345" s="29"/>
      <c r="MK1345" s="29"/>
      <c r="ML1345" s="29"/>
      <c r="MM1345" s="29"/>
      <c r="MN1345" s="29"/>
      <c r="MO1345" s="29"/>
      <c r="MP1345" s="29"/>
      <c r="MQ1345" s="29"/>
      <c r="MR1345" s="29"/>
      <c r="MS1345" s="29"/>
      <c r="MT1345" s="29"/>
      <c r="MU1345" s="29"/>
      <c r="MV1345" s="29"/>
      <c r="MW1345" s="29"/>
      <c r="MX1345" s="29"/>
      <c r="MY1345" s="29"/>
      <c r="MZ1345" s="29"/>
      <c r="NA1345" s="29"/>
      <c r="NB1345" s="29"/>
      <c r="NC1345" s="29"/>
      <c r="ND1345" s="29"/>
      <c r="NE1345" s="29"/>
      <c r="NF1345" s="29"/>
      <c r="NG1345" s="29"/>
      <c r="NH1345" s="29"/>
      <c r="NI1345" s="29"/>
      <c r="NJ1345" s="29"/>
      <c r="NK1345" s="29"/>
      <c r="NL1345" s="29"/>
      <c r="NM1345" s="29"/>
      <c r="NN1345" s="29"/>
      <c r="NO1345" s="29"/>
      <c r="NP1345" s="29"/>
      <c r="NQ1345" s="29"/>
      <c r="NR1345" s="29"/>
      <c r="NS1345" s="29"/>
      <c r="NT1345" s="29"/>
      <c r="NU1345" s="29"/>
      <c r="NV1345" s="29"/>
      <c r="NW1345" s="29"/>
      <c r="NX1345" s="29"/>
      <c r="NY1345" s="29"/>
      <c r="NZ1345" s="29"/>
      <c r="OA1345" s="29"/>
      <c r="OB1345" s="29"/>
      <c r="OC1345" s="29"/>
      <c r="OD1345" s="29"/>
      <c r="OE1345" s="29"/>
      <c r="OF1345" s="29"/>
      <c r="OG1345" s="29"/>
      <c r="OH1345" s="29"/>
      <c r="OI1345" s="29"/>
      <c r="OJ1345" s="29"/>
      <c r="OK1345" s="29"/>
      <c r="OL1345" s="29"/>
      <c r="OM1345" s="29"/>
      <c r="ON1345" s="29"/>
      <c r="OO1345" s="29"/>
      <c r="OP1345" s="29"/>
      <c r="OQ1345" s="29"/>
      <c r="OR1345" s="29"/>
      <c r="OS1345" s="29"/>
      <c r="OT1345" s="29"/>
      <c r="OU1345" s="29"/>
      <c r="OV1345" s="29"/>
      <c r="OW1345" s="29"/>
      <c r="OX1345" s="29"/>
      <c r="OY1345" s="29"/>
      <c r="OZ1345" s="29"/>
      <c r="PA1345" s="29"/>
      <c r="PB1345" s="29"/>
      <c r="PC1345" s="29"/>
      <c r="PD1345" s="29"/>
      <c r="PE1345" s="29"/>
      <c r="PF1345" s="29"/>
      <c r="PG1345" s="29"/>
      <c r="PH1345" s="29"/>
      <c r="PI1345" s="29"/>
      <c r="PJ1345" s="29"/>
      <c r="PK1345" s="29"/>
      <c r="PL1345" s="29"/>
      <c r="PM1345" s="29"/>
      <c r="PN1345" s="29"/>
      <c r="PO1345" s="29"/>
      <c r="PP1345" s="29"/>
      <c r="PQ1345" s="29"/>
      <c r="PR1345" s="29"/>
      <c r="PS1345" s="29"/>
      <c r="PT1345" s="29"/>
      <c r="PU1345" s="29"/>
      <c r="PV1345" s="29"/>
      <c r="PW1345" s="29"/>
      <c r="PX1345" s="29"/>
      <c r="PY1345" s="29"/>
      <c r="PZ1345" s="29"/>
      <c r="QA1345" s="29"/>
      <c r="QB1345" s="29"/>
      <c r="QC1345" s="29"/>
      <c r="QD1345" s="29"/>
      <c r="QE1345" s="29"/>
      <c r="QF1345" s="29"/>
      <c r="QG1345" s="29"/>
      <c r="QH1345" s="29"/>
      <c r="QI1345" s="29"/>
      <c r="QJ1345" s="29"/>
      <c r="QK1345" s="29"/>
      <c r="QL1345" s="29"/>
      <c r="QM1345" s="29"/>
      <c r="QN1345" s="29"/>
      <c r="QO1345" s="29"/>
      <c r="QP1345" s="29"/>
      <c r="QQ1345" s="29"/>
      <c r="QR1345" s="29"/>
      <c r="QS1345" s="29"/>
      <c r="QT1345" s="29"/>
      <c r="QU1345" s="29"/>
      <c r="QV1345" s="29"/>
      <c r="QW1345" s="29"/>
      <c r="QX1345" s="29"/>
      <c r="QY1345" s="29"/>
      <c r="QZ1345" s="29"/>
      <c r="RA1345" s="29"/>
      <c r="RB1345" s="29"/>
      <c r="RC1345" s="29"/>
      <c r="RD1345" s="29"/>
      <c r="RE1345" s="29"/>
      <c r="RF1345" s="29"/>
      <c r="RG1345" s="29"/>
      <c r="RH1345" s="29"/>
      <c r="RI1345" s="29"/>
      <c r="RJ1345" s="29"/>
      <c r="RK1345" s="29"/>
      <c r="RL1345" s="29"/>
      <c r="RM1345" s="29"/>
      <c r="RN1345" s="29"/>
      <c r="RO1345" s="29"/>
      <c r="RP1345" s="29"/>
      <c r="RQ1345" s="29"/>
      <c r="RR1345" s="29"/>
      <c r="RS1345" s="29"/>
      <c r="RT1345" s="29"/>
      <c r="RU1345" s="29"/>
      <c r="RV1345" s="29"/>
      <c r="RW1345" s="29"/>
      <c r="RX1345" s="29"/>
      <c r="RY1345" s="29"/>
      <c r="RZ1345" s="29"/>
      <c r="SA1345" s="29"/>
      <c r="SB1345" s="29"/>
      <c r="SC1345" s="29"/>
      <c r="SD1345" s="29"/>
      <c r="SE1345" s="29"/>
      <c r="SF1345" s="29"/>
      <c r="SG1345" s="29"/>
      <c r="SH1345" s="29"/>
      <c r="SI1345" s="29"/>
      <c r="SJ1345" s="29"/>
      <c r="SK1345" s="29"/>
      <c r="SL1345" s="29"/>
      <c r="SM1345" s="29"/>
      <c r="SN1345" s="29"/>
      <c r="SO1345" s="29"/>
      <c r="SP1345" s="29"/>
      <c r="SQ1345" s="29"/>
      <c r="SR1345" s="29"/>
      <c r="SS1345" s="29"/>
      <c r="ST1345" s="29"/>
      <c r="SU1345" s="29"/>
      <c r="SV1345" s="29"/>
      <c r="SW1345" s="29"/>
      <c r="SX1345" s="29"/>
      <c r="SY1345" s="29"/>
      <c r="SZ1345" s="29"/>
      <c r="TA1345" s="29"/>
      <c r="TB1345" s="29"/>
      <c r="TC1345" s="29"/>
      <c r="TD1345" s="29"/>
      <c r="TE1345" s="29"/>
      <c r="TF1345" s="29"/>
      <c r="TG1345" s="29"/>
      <c r="TH1345" s="29"/>
      <c r="TI1345" s="29"/>
      <c r="TJ1345" s="29"/>
      <c r="TK1345" s="29"/>
      <c r="TL1345" s="29"/>
      <c r="TM1345" s="29"/>
      <c r="TN1345" s="29"/>
      <c r="TO1345" s="29"/>
      <c r="TP1345" s="29"/>
      <c r="TQ1345" s="29"/>
      <c r="TR1345" s="29"/>
      <c r="TS1345" s="29"/>
      <c r="TT1345" s="29"/>
      <c r="TU1345" s="29"/>
      <c r="TV1345" s="29"/>
      <c r="TW1345" s="29"/>
      <c r="TX1345" s="29"/>
      <c r="TY1345" s="29"/>
      <c r="TZ1345" s="29"/>
      <c r="UA1345" s="29"/>
      <c r="UB1345" s="29"/>
      <c r="UC1345" s="29"/>
      <c r="UD1345" s="29"/>
      <c r="UE1345" s="29"/>
      <c r="UF1345" s="29"/>
      <c r="UG1345" s="29"/>
    </row>
    <row r="1346" spans="1:553" s="1262" customFormat="1" ht="25.15" customHeight="1">
      <c r="A1346" s="356" t="s">
        <v>15</v>
      </c>
      <c r="B1346" s="356"/>
      <c r="C1346" s="1589" t="s">
        <v>1112</v>
      </c>
      <c r="D1346" s="1590"/>
      <c r="E1346" s="1590"/>
      <c r="F1346" s="1591"/>
      <c r="G1346" s="417" t="s">
        <v>196</v>
      </c>
      <c r="H1346" s="370"/>
      <c r="I1346" s="422">
        <f>(20.51*100/400)*(12-(7-3))*1</f>
        <v>41.02</v>
      </c>
      <c r="J1346" s="368">
        <v>3100</v>
      </c>
      <c r="K1346" s="650">
        <v>0.7</v>
      </c>
      <c r="L1346" s="368">
        <f t="shared" ref="L1346:L1348" si="202">ROUND(PRODUCT(I1346:K1346),0)</f>
        <v>89013</v>
      </c>
      <c r="M1346" s="356"/>
      <c r="N1346" s="356"/>
      <c r="O1346" s="356"/>
      <c r="P1346" s="356"/>
      <c r="Q1346" s="610"/>
      <c r="R1346" s="1452"/>
      <c r="S1346" s="308"/>
      <c r="T1346" s="308"/>
      <c r="U1346" s="308"/>
      <c r="V1346" s="308"/>
      <c r="W1346" s="308"/>
      <c r="X1346" s="308"/>
      <c r="Y1346" s="308"/>
      <c r="Z1346" s="604"/>
      <c r="AA1346" s="308"/>
      <c r="AB1346" s="308"/>
      <c r="AC1346" s="486"/>
      <c r="AD1346" s="486"/>
      <c r="AE1346" s="486"/>
      <c r="AF1346" s="486"/>
      <c r="AG1346" s="486"/>
      <c r="AH1346" s="486"/>
      <c r="AI1346" s="486"/>
      <c r="AJ1346" s="486"/>
      <c r="AK1346" s="486"/>
      <c r="AL1346" s="1267"/>
      <c r="AM1346" s="1268"/>
      <c r="AN1346" s="1268"/>
      <c r="AO1346" s="1268"/>
      <c r="AP1346" s="1268"/>
      <c r="AQ1346" s="1268"/>
      <c r="AR1346" s="1268"/>
      <c r="AS1346" s="1268"/>
      <c r="AT1346" s="1268"/>
      <c r="AU1346" s="1268"/>
      <c r="AV1346" s="1268"/>
      <c r="AW1346" s="1268"/>
      <c r="AX1346" s="1268"/>
      <c r="AY1346" s="1268"/>
      <c r="AZ1346" s="1268"/>
      <c r="BA1346" s="1268"/>
      <c r="BB1346" s="1268"/>
      <c r="BC1346" s="1268"/>
      <c r="BD1346" s="1268"/>
      <c r="BE1346" s="1268"/>
      <c r="BF1346" s="1268"/>
      <c r="BG1346" s="1268"/>
      <c r="BH1346" s="1268"/>
      <c r="BI1346" s="1268"/>
      <c r="BJ1346" s="1268"/>
      <c r="BK1346" s="1268"/>
      <c r="BL1346" s="1268"/>
      <c r="BM1346" s="1268"/>
      <c r="BN1346" s="1268"/>
      <c r="BO1346" s="1268"/>
      <c r="BP1346" s="1268"/>
      <c r="BQ1346" s="1268"/>
      <c r="BR1346" s="1268"/>
      <c r="BS1346" s="1268"/>
      <c r="BT1346" s="1268"/>
      <c r="BU1346" s="1268"/>
      <c r="BV1346" s="1268"/>
      <c r="BW1346" s="1268"/>
      <c r="BX1346" s="1268"/>
      <c r="BY1346" s="1268"/>
      <c r="BZ1346" s="1268"/>
      <c r="CA1346" s="1268"/>
      <c r="CB1346" s="1268"/>
      <c r="CC1346" s="1268"/>
      <c r="CD1346" s="1268"/>
      <c r="CE1346" s="1268"/>
      <c r="CF1346" s="1268"/>
      <c r="CG1346" s="1268"/>
      <c r="CH1346" s="1268"/>
      <c r="CI1346" s="1268"/>
      <c r="CJ1346" s="1268"/>
      <c r="CK1346" s="1268"/>
      <c r="CL1346" s="1268"/>
      <c r="CM1346" s="1268"/>
      <c r="CN1346" s="1268"/>
      <c r="CO1346" s="1268"/>
      <c r="CP1346" s="1268"/>
      <c r="CQ1346" s="1268"/>
      <c r="CR1346" s="1268"/>
      <c r="CS1346" s="1268"/>
      <c r="CT1346" s="1268"/>
      <c r="CU1346" s="1268"/>
      <c r="CV1346" s="1268"/>
      <c r="CW1346" s="1268"/>
      <c r="CX1346" s="1268"/>
      <c r="CY1346" s="1268"/>
      <c r="CZ1346" s="1268"/>
      <c r="DA1346" s="1268"/>
      <c r="DB1346" s="1268"/>
      <c r="DC1346" s="1268"/>
      <c r="DD1346" s="1268"/>
      <c r="DE1346" s="1268"/>
      <c r="DF1346" s="1268"/>
      <c r="DG1346" s="1268"/>
      <c r="DH1346" s="1268"/>
      <c r="DI1346" s="1268"/>
      <c r="DJ1346" s="1268"/>
      <c r="DK1346" s="1268"/>
      <c r="DL1346" s="1268"/>
      <c r="DM1346" s="1268"/>
      <c r="DN1346" s="1268"/>
      <c r="DO1346" s="1268"/>
      <c r="DP1346" s="1268"/>
      <c r="DQ1346" s="1268"/>
      <c r="DR1346" s="1268"/>
      <c r="DS1346" s="1268"/>
      <c r="DT1346" s="1268"/>
      <c r="DU1346" s="1268"/>
      <c r="DV1346" s="1268"/>
      <c r="DW1346" s="1268"/>
      <c r="DX1346" s="1268"/>
      <c r="DY1346" s="1268"/>
      <c r="DZ1346" s="1268"/>
      <c r="EA1346" s="1268"/>
      <c r="EB1346" s="1268"/>
      <c r="EC1346" s="1268"/>
      <c r="ED1346" s="1268"/>
      <c r="EE1346" s="1268"/>
      <c r="EF1346" s="1268"/>
      <c r="EG1346" s="1268"/>
      <c r="EH1346" s="1268"/>
      <c r="EI1346" s="1268"/>
      <c r="EJ1346" s="1268"/>
      <c r="EK1346" s="1268"/>
      <c r="EL1346" s="1268"/>
      <c r="EM1346" s="1268"/>
      <c r="EN1346" s="1268"/>
      <c r="EO1346" s="1268"/>
      <c r="EP1346" s="1268"/>
      <c r="EQ1346" s="1268"/>
      <c r="ER1346" s="1268"/>
      <c r="ES1346" s="1268"/>
      <c r="ET1346" s="1268"/>
      <c r="EU1346" s="1268"/>
      <c r="EV1346" s="1268"/>
      <c r="EW1346" s="1268"/>
      <c r="EX1346" s="1268"/>
      <c r="EY1346" s="1268"/>
      <c r="EZ1346" s="1268"/>
      <c r="FA1346" s="1268"/>
      <c r="FB1346" s="1268"/>
      <c r="FC1346" s="1268"/>
      <c r="FD1346" s="1268"/>
      <c r="FE1346" s="1268"/>
      <c r="FF1346" s="1268"/>
      <c r="FG1346" s="1268"/>
      <c r="FH1346" s="1268"/>
      <c r="FI1346" s="1268"/>
      <c r="FJ1346" s="1268"/>
      <c r="FK1346" s="1268"/>
      <c r="FL1346" s="1268"/>
      <c r="FM1346" s="1268"/>
      <c r="FN1346" s="1268"/>
      <c r="FO1346" s="1268"/>
      <c r="FP1346" s="1268"/>
      <c r="FQ1346" s="1268"/>
      <c r="FR1346" s="1268"/>
      <c r="FS1346" s="1268"/>
      <c r="FT1346" s="1268"/>
      <c r="FU1346" s="1268"/>
      <c r="FV1346" s="1268"/>
      <c r="FW1346" s="1268"/>
      <c r="FX1346" s="1268"/>
      <c r="FY1346" s="1268"/>
      <c r="FZ1346" s="1268"/>
      <c r="GA1346" s="1268"/>
      <c r="GB1346" s="1268"/>
      <c r="GC1346" s="1268"/>
      <c r="GD1346" s="1268"/>
      <c r="GE1346" s="1268"/>
      <c r="GF1346" s="1268"/>
      <c r="GG1346" s="1268"/>
      <c r="GH1346" s="1268"/>
      <c r="GI1346" s="1268"/>
      <c r="GJ1346" s="1268"/>
      <c r="GK1346" s="1268"/>
      <c r="GL1346" s="1268"/>
      <c r="GM1346" s="1268"/>
      <c r="GN1346" s="1268"/>
      <c r="GO1346" s="1268"/>
      <c r="GP1346" s="1268"/>
      <c r="GQ1346" s="1268"/>
      <c r="GR1346" s="1268"/>
      <c r="GS1346" s="1268"/>
      <c r="GT1346" s="1268"/>
      <c r="GU1346" s="1268"/>
      <c r="GV1346" s="1268"/>
      <c r="GW1346" s="1268"/>
      <c r="GX1346" s="1268"/>
      <c r="GY1346" s="1268"/>
      <c r="GZ1346" s="1268"/>
      <c r="HA1346" s="1268"/>
      <c r="HB1346" s="1268"/>
      <c r="HC1346" s="1268"/>
      <c r="HD1346" s="1268"/>
      <c r="HE1346" s="1268"/>
      <c r="HF1346" s="1268"/>
      <c r="HG1346" s="1268"/>
      <c r="HH1346" s="1268"/>
      <c r="HI1346" s="1268"/>
      <c r="HJ1346" s="1268"/>
      <c r="HK1346" s="1268"/>
      <c r="HL1346" s="1268"/>
      <c r="HM1346" s="1268"/>
      <c r="HN1346" s="1268"/>
      <c r="HO1346" s="1268"/>
      <c r="HP1346" s="1268"/>
      <c r="HQ1346" s="1268"/>
      <c r="HR1346" s="1268"/>
      <c r="HS1346" s="1268"/>
      <c r="HT1346" s="1268"/>
      <c r="HU1346" s="1268"/>
      <c r="HV1346" s="1268"/>
      <c r="HW1346" s="1268"/>
      <c r="HX1346" s="1268"/>
      <c r="HY1346" s="1268"/>
      <c r="HZ1346" s="1268"/>
      <c r="IA1346" s="1268"/>
      <c r="IB1346" s="1268"/>
      <c r="IC1346" s="1268"/>
      <c r="ID1346" s="1268"/>
      <c r="IE1346" s="1268"/>
      <c r="IF1346" s="1268"/>
      <c r="IG1346" s="1268"/>
      <c r="IH1346" s="1268"/>
      <c r="II1346" s="1268"/>
      <c r="IJ1346" s="1268"/>
      <c r="IK1346" s="1268"/>
      <c r="IL1346" s="1268"/>
      <c r="IM1346" s="1268"/>
      <c r="IN1346" s="1268"/>
      <c r="IO1346" s="1268"/>
      <c r="IP1346" s="1268"/>
      <c r="IQ1346" s="1268"/>
      <c r="IR1346" s="1268"/>
      <c r="IS1346" s="1268"/>
      <c r="IT1346" s="1268"/>
      <c r="IU1346" s="1268"/>
      <c r="IV1346" s="1268"/>
      <c r="IW1346" s="1268"/>
      <c r="IX1346" s="1268"/>
      <c r="IY1346" s="1268"/>
      <c r="IZ1346" s="1268"/>
      <c r="JA1346" s="1268"/>
      <c r="JB1346" s="1268"/>
      <c r="JC1346" s="1268"/>
      <c r="JD1346" s="1268"/>
      <c r="JE1346" s="1268"/>
      <c r="JF1346" s="1268"/>
      <c r="JG1346" s="1268"/>
      <c r="JH1346" s="1268"/>
      <c r="JI1346" s="1268"/>
      <c r="JJ1346" s="1268"/>
      <c r="JK1346" s="1268"/>
      <c r="JL1346" s="1268"/>
      <c r="JM1346" s="1268"/>
      <c r="JN1346" s="1268"/>
      <c r="JO1346" s="1268"/>
      <c r="JP1346" s="1268"/>
      <c r="JQ1346" s="1268"/>
      <c r="JR1346" s="1268"/>
      <c r="JS1346" s="1268"/>
      <c r="JT1346" s="1268"/>
      <c r="JU1346" s="1268"/>
      <c r="JV1346" s="1268"/>
      <c r="JW1346" s="1268"/>
      <c r="JX1346" s="1268"/>
      <c r="JY1346" s="1268"/>
      <c r="JZ1346" s="1268"/>
      <c r="KA1346" s="1268"/>
      <c r="KB1346" s="1268"/>
      <c r="KC1346" s="1268"/>
      <c r="KD1346" s="1268"/>
      <c r="KE1346" s="1268"/>
      <c r="KF1346" s="1268"/>
      <c r="KG1346" s="1268"/>
      <c r="KH1346" s="1268"/>
      <c r="KI1346" s="1268"/>
      <c r="KJ1346" s="1268"/>
      <c r="KK1346" s="1268"/>
      <c r="KL1346" s="1268"/>
      <c r="KM1346" s="1268"/>
      <c r="KN1346" s="1268"/>
      <c r="KO1346" s="1268"/>
      <c r="KP1346" s="1268"/>
      <c r="KQ1346" s="1268"/>
      <c r="KR1346" s="1268"/>
      <c r="KS1346" s="1268"/>
      <c r="KT1346" s="1268"/>
      <c r="KU1346" s="1268"/>
      <c r="KV1346" s="1268"/>
      <c r="KW1346" s="1268"/>
      <c r="KX1346" s="1268"/>
      <c r="KY1346" s="1268"/>
      <c r="KZ1346" s="1268"/>
      <c r="LA1346" s="1268"/>
      <c r="LB1346" s="1268"/>
      <c r="LC1346" s="1268"/>
      <c r="LD1346" s="1268"/>
      <c r="LE1346" s="1268"/>
      <c r="LF1346" s="1268"/>
      <c r="LG1346" s="1268"/>
      <c r="LH1346" s="1268"/>
      <c r="LI1346" s="1268"/>
      <c r="LJ1346" s="1268"/>
      <c r="LK1346" s="1268"/>
      <c r="LL1346" s="1268"/>
      <c r="LM1346" s="1268"/>
      <c r="LN1346" s="1268"/>
      <c r="LO1346" s="1268"/>
      <c r="LP1346" s="1268"/>
      <c r="LQ1346" s="1268"/>
      <c r="LR1346" s="1268"/>
      <c r="LS1346" s="1268"/>
      <c r="LT1346" s="1268"/>
      <c r="LU1346" s="1268"/>
      <c r="LV1346" s="1268"/>
      <c r="LW1346" s="1268"/>
      <c r="LX1346" s="1268"/>
      <c r="LY1346" s="1268"/>
      <c r="LZ1346" s="1268"/>
      <c r="MA1346" s="1268"/>
      <c r="MB1346" s="1268"/>
      <c r="MC1346" s="1268"/>
      <c r="MD1346" s="1268"/>
      <c r="ME1346" s="1268"/>
      <c r="MF1346" s="1268"/>
      <c r="MG1346" s="1268"/>
      <c r="MH1346" s="1268"/>
      <c r="MI1346" s="1268"/>
      <c r="MJ1346" s="1268"/>
      <c r="MK1346" s="1268"/>
      <c r="ML1346" s="1268"/>
      <c r="MM1346" s="1268"/>
      <c r="MN1346" s="1268"/>
      <c r="MO1346" s="1268"/>
      <c r="MP1346" s="1268"/>
      <c r="MQ1346" s="1268"/>
      <c r="MR1346" s="1268"/>
      <c r="MS1346" s="1268"/>
      <c r="MT1346" s="1268"/>
      <c r="MU1346" s="1268"/>
      <c r="MV1346" s="1268"/>
      <c r="MW1346" s="1268"/>
      <c r="MX1346" s="1268"/>
      <c r="MY1346" s="1268"/>
      <c r="MZ1346" s="1268"/>
      <c r="NA1346" s="1268"/>
      <c r="NB1346" s="1268"/>
      <c r="NC1346" s="1268"/>
      <c r="ND1346" s="1268"/>
      <c r="NE1346" s="1268"/>
      <c r="NF1346" s="1268"/>
      <c r="NG1346" s="1268"/>
      <c r="NH1346" s="1268"/>
      <c r="NI1346" s="1268"/>
      <c r="NJ1346" s="1268"/>
      <c r="NK1346" s="1268"/>
      <c r="NL1346" s="1268"/>
      <c r="NM1346" s="1268"/>
      <c r="NN1346" s="1268"/>
      <c r="NO1346" s="1268"/>
      <c r="NP1346" s="1268"/>
      <c r="NQ1346" s="1268"/>
      <c r="NR1346" s="1268"/>
      <c r="NS1346" s="1268"/>
      <c r="NT1346" s="1268"/>
      <c r="NU1346" s="1268"/>
      <c r="NV1346" s="1268"/>
      <c r="NW1346" s="1268"/>
      <c r="NX1346" s="1268"/>
      <c r="NY1346" s="1268"/>
      <c r="NZ1346" s="1268"/>
      <c r="OA1346" s="1268"/>
      <c r="OB1346" s="1268"/>
      <c r="OC1346" s="1268"/>
      <c r="OD1346" s="1268"/>
      <c r="OE1346" s="1268"/>
      <c r="OF1346" s="1268"/>
      <c r="OG1346" s="1268"/>
      <c r="OH1346" s="1268"/>
      <c r="OI1346" s="1268"/>
      <c r="OJ1346" s="1268"/>
      <c r="OK1346" s="1268"/>
      <c r="OL1346" s="1268"/>
      <c r="OM1346" s="1268"/>
      <c r="ON1346" s="1268"/>
      <c r="OO1346" s="1268"/>
      <c r="OP1346" s="1268"/>
      <c r="OQ1346" s="1268"/>
      <c r="OR1346" s="1268"/>
      <c r="OS1346" s="1268"/>
      <c r="OT1346" s="1268"/>
      <c r="OU1346" s="1268"/>
      <c r="OV1346" s="1268"/>
      <c r="OW1346" s="1268"/>
      <c r="OX1346" s="1268"/>
      <c r="OY1346" s="1268"/>
      <c r="OZ1346" s="1268"/>
      <c r="PA1346" s="1268"/>
      <c r="PB1346" s="1268"/>
      <c r="PC1346" s="1268"/>
      <c r="PD1346" s="1268"/>
      <c r="PE1346" s="1268"/>
      <c r="PF1346" s="1268"/>
      <c r="PG1346" s="1268"/>
      <c r="PH1346" s="1268"/>
      <c r="PI1346" s="1268"/>
      <c r="PJ1346" s="1268"/>
      <c r="PK1346" s="1268"/>
      <c r="PL1346" s="1268"/>
      <c r="PM1346" s="1268"/>
      <c r="PN1346" s="1268"/>
      <c r="PO1346" s="1268"/>
      <c r="PP1346" s="1268"/>
      <c r="PQ1346" s="1268"/>
      <c r="PR1346" s="1268"/>
      <c r="PS1346" s="1268"/>
      <c r="PT1346" s="1268"/>
      <c r="PU1346" s="1268"/>
      <c r="PV1346" s="1268"/>
      <c r="PW1346" s="1268"/>
      <c r="PX1346" s="1268"/>
      <c r="PY1346" s="1268"/>
      <c r="PZ1346" s="1268"/>
      <c r="QA1346" s="1268"/>
      <c r="QB1346" s="1268"/>
      <c r="QC1346" s="1268"/>
      <c r="QD1346" s="1268"/>
      <c r="QE1346" s="1268"/>
      <c r="QF1346" s="1268"/>
      <c r="QG1346" s="1268"/>
      <c r="QH1346" s="1268"/>
      <c r="QI1346" s="1268"/>
      <c r="QJ1346" s="1268"/>
      <c r="QK1346" s="1268"/>
      <c r="QL1346" s="1268"/>
      <c r="QM1346" s="1268"/>
      <c r="QN1346" s="1268"/>
      <c r="QO1346" s="1268"/>
      <c r="QP1346" s="1268"/>
      <c r="QQ1346" s="1268"/>
      <c r="QR1346" s="1268"/>
      <c r="QS1346" s="1268"/>
      <c r="QT1346" s="1268"/>
      <c r="QU1346" s="1268"/>
      <c r="QV1346" s="1268"/>
      <c r="QW1346" s="1268"/>
      <c r="QX1346" s="1268"/>
      <c r="QY1346" s="1268"/>
      <c r="QZ1346" s="1268"/>
      <c r="RA1346" s="1268"/>
      <c r="RB1346" s="1268"/>
      <c r="RC1346" s="1268"/>
      <c r="RD1346" s="1268"/>
      <c r="RE1346" s="1268"/>
      <c r="RF1346" s="1268"/>
      <c r="RG1346" s="1268"/>
      <c r="RH1346" s="1268"/>
      <c r="RI1346" s="1268"/>
      <c r="RJ1346" s="1268"/>
      <c r="RK1346" s="1268"/>
      <c r="RL1346" s="1268"/>
      <c r="RM1346" s="1268"/>
      <c r="RN1346" s="1268"/>
      <c r="RO1346" s="1268"/>
      <c r="RP1346" s="1268"/>
      <c r="RQ1346" s="1268"/>
      <c r="RR1346" s="1268"/>
      <c r="RS1346" s="1268"/>
      <c r="RT1346" s="1268"/>
      <c r="RU1346" s="1268"/>
      <c r="RV1346" s="1268"/>
      <c r="RW1346" s="1268"/>
      <c r="RX1346" s="1268"/>
      <c r="RY1346" s="1268"/>
      <c r="RZ1346" s="1268"/>
      <c r="SA1346" s="1268"/>
      <c r="SB1346" s="1268"/>
      <c r="SC1346" s="1268"/>
      <c r="SD1346" s="1268"/>
      <c r="SE1346" s="1268"/>
      <c r="SF1346" s="1268"/>
      <c r="SG1346" s="1268"/>
      <c r="SH1346" s="1268"/>
      <c r="SI1346" s="1268"/>
      <c r="SJ1346" s="1268"/>
      <c r="SK1346" s="1268"/>
      <c r="SL1346" s="1268"/>
      <c r="SM1346" s="1268"/>
      <c r="SN1346" s="1268"/>
      <c r="SO1346" s="1268"/>
      <c r="SP1346" s="1268"/>
      <c r="SQ1346" s="1268"/>
      <c r="SR1346" s="1268"/>
      <c r="SS1346" s="1268"/>
      <c r="ST1346" s="1268"/>
      <c r="SU1346" s="1268"/>
      <c r="SV1346" s="1268"/>
      <c r="SW1346" s="1268"/>
      <c r="SX1346" s="1268"/>
      <c r="SY1346" s="1268"/>
      <c r="SZ1346" s="1268"/>
      <c r="TA1346" s="1268"/>
      <c r="TB1346" s="1268"/>
      <c r="TC1346" s="1268"/>
      <c r="TD1346" s="1268"/>
      <c r="TE1346" s="1268"/>
      <c r="TF1346" s="1268"/>
      <c r="TG1346" s="1268"/>
      <c r="TH1346" s="1268"/>
      <c r="TI1346" s="1268"/>
      <c r="TJ1346" s="1268"/>
      <c r="TK1346" s="1268"/>
      <c r="TL1346" s="1268"/>
      <c r="TM1346" s="1268"/>
      <c r="TN1346" s="1268"/>
      <c r="TO1346" s="1268"/>
      <c r="TP1346" s="1268"/>
      <c r="TQ1346" s="1268"/>
      <c r="TR1346" s="1268"/>
      <c r="TS1346" s="1268"/>
      <c r="TT1346" s="1268"/>
      <c r="TU1346" s="1268"/>
      <c r="TV1346" s="1268"/>
      <c r="TW1346" s="1268"/>
      <c r="TX1346" s="1268"/>
      <c r="TY1346" s="1268"/>
      <c r="TZ1346" s="1268"/>
      <c r="UA1346" s="1268"/>
      <c r="UB1346" s="1268"/>
      <c r="UC1346" s="1268"/>
      <c r="UD1346" s="1268"/>
      <c r="UE1346" s="1268"/>
      <c r="UF1346" s="1268"/>
      <c r="UG1346" s="1268"/>
    </row>
    <row r="1347" spans="1:553" s="1262" customFormat="1" ht="25.15" customHeight="1">
      <c r="A1347" s="356" t="s">
        <v>15</v>
      </c>
      <c r="B1347" s="356"/>
      <c r="C1347" s="1589" t="s">
        <v>726</v>
      </c>
      <c r="D1347" s="1590"/>
      <c r="E1347" s="1590"/>
      <c r="F1347" s="1591"/>
      <c r="G1347" s="418" t="s">
        <v>193</v>
      </c>
      <c r="H1347" s="370"/>
      <c r="I1347" s="507">
        <v>11</v>
      </c>
      <c r="J1347" s="797">
        <v>377000</v>
      </c>
      <c r="K1347" s="443"/>
      <c r="L1347" s="571">
        <f t="shared" si="202"/>
        <v>4147000</v>
      </c>
      <c r="M1347" s="356"/>
      <c r="N1347" s="356"/>
      <c r="O1347" s="356"/>
      <c r="P1347" s="356"/>
      <c r="Q1347" s="610"/>
      <c r="R1347" s="1452"/>
      <c r="S1347" s="308"/>
      <c r="T1347" s="308"/>
      <c r="U1347" s="308"/>
      <c r="V1347" s="308"/>
      <c r="W1347" s="308"/>
      <c r="X1347" s="308"/>
      <c r="Y1347" s="308"/>
      <c r="Z1347" s="604"/>
      <c r="AA1347" s="308"/>
      <c r="AB1347" s="308"/>
      <c r="AC1347" s="486"/>
      <c r="AD1347" s="486"/>
      <c r="AE1347" s="486"/>
      <c r="AF1347" s="486"/>
      <c r="AG1347" s="486"/>
      <c r="AH1347" s="486"/>
      <c r="AI1347" s="486"/>
      <c r="AJ1347" s="486"/>
      <c r="AK1347" s="486"/>
      <c r="AL1347" s="1267"/>
      <c r="AM1347" s="1268"/>
      <c r="AN1347" s="1268"/>
      <c r="AO1347" s="1268"/>
      <c r="AP1347" s="1268"/>
      <c r="AQ1347" s="1268"/>
      <c r="AR1347" s="1268"/>
      <c r="AS1347" s="1268"/>
      <c r="AT1347" s="1268"/>
      <c r="AU1347" s="1268"/>
      <c r="AV1347" s="1268"/>
      <c r="AW1347" s="1268"/>
      <c r="AX1347" s="1268"/>
      <c r="AY1347" s="1268"/>
      <c r="AZ1347" s="1268"/>
      <c r="BA1347" s="1268"/>
      <c r="BB1347" s="1268"/>
      <c r="BC1347" s="1268"/>
      <c r="BD1347" s="1268"/>
      <c r="BE1347" s="1268"/>
      <c r="BF1347" s="1268"/>
      <c r="BG1347" s="1268"/>
      <c r="BH1347" s="1268"/>
      <c r="BI1347" s="1268"/>
      <c r="BJ1347" s="1268"/>
      <c r="BK1347" s="1268"/>
      <c r="BL1347" s="1268"/>
      <c r="BM1347" s="1268"/>
      <c r="BN1347" s="1268"/>
      <c r="BO1347" s="1268"/>
      <c r="BP1347" s="1268"/>
      <c r="BQ1347" s="1268"/>
      <c r="BR1347" s="1268"/>
      <c r="BS1347" s="1268"/>
      <c r="BT1347" s="1268"/>
      <c r="BU1347" s="1268"/>
      <c r="BV1347" s="1268"/>
      <c r="BW1347" s="1268"/>
      <c r="BX1347" s="1268"/>
      <c r="BY1347" s="1268"/>
      <c r="BZ1347" s="1268"/>
      <c r="CA1347" s="1268"/>
      <c r="CB1347" s="1268"/>
      <c r="CC1347" s="1268"/>
      <c r="CD1347" s="1268"/>
      <c r="CE1347" s="1268"/>
      <c r="CF1347" s="1268"/>
      <c r="CG1347" s="1268"/>
      <c r="CH1347" s="1268"/>
      <c r="CI1347" s="1268"/>
      <c r="CJ1347" s="1268"/>
      <c r="CK1347" s="1268"/>
      <c r="CL1347" s="1268"/>
      <c r="CM1347" s="1268"/>
      <c r="CN1347" s="1268"/>
      <c r="CO1347" s="1268"/>
      <c r="CP1347" s="1268"/>
      <c r="CQ1347" s="1268"/>
      <c r="CR1347" s="1268"/>
      <c r="CS1347" s="1268"/>
      <c r="CT1347" s="1268"/>
      <c r="CU1347" s="1268"/>
      <c r="CV1347" s="1268"/>
      <c r="CW1347" s="1268"/>
      <c r="CX1347" s="1268"/>
      <c r="CY1347" s="1268"/>
      <c r="CZ1347" s="1268"/>
      <c r="DA1347" s="1268"/>
      <c r="DB1347" s="1268"/>
      <c r="DC1347" s="1268"/>
      <c r="DD1347" s="1268"/>
      <c r="DE1347" s="1268"/>
      <c r="DF1347" s="1268"/>
      <c r="DG1347" s="1268"/>
      <c r="DH1347" s="1268"/>
      <c r="DI1347" s="1268"/>
      <c r="DJ1347" s="1268"/>
      <c r="DK1347" s="1268"/>
      <c r="DL1347" s="1268"/>
      <c r="DM1347" s="1268"/>
      <c r="DN1347" s="1268"/>
      <c r="DO1347" s="1268"/>
      <c r="DP1347" s="1268"/>
      <c r="DQ1347" s="1268"/>
      <c r="DR1347" s="1268"/>
      <c r="DS1347" s="1268"/>
      <c r="DT1347" s="1268"/>
      <c r="DU1347" s="1268"/>
      <c r="DV1347" s="1268"/>
      <c r="DW1347" s="1268"/>
      <c r="DX1347" s="1268"/>
      <c r="DY1347" s="1268"/>
      <c r="DZ1347" s="1268"/>
      <c r="EA1347" s="1268"/>
      <c r="EB1347" s="1268"/>
      <c r="EC1347" s="1268"/>
      <c r="ED1347" s="1268"/>
      <c r="EE1347" s="1268"/>
      <c r="EF1347" s="1268"/>
      <c r="EG1347" s="1268"/>
      <c r="EH1347" s="1268"/>
      <c r="EI1347" s="1268"/>
      <c r="EJ1347" s="1268"/>
      <c r="EK1347" s="1268"/>
      <c r="EL1347" s="1268"/>
      <c r="EM1347" s="1268"/>
      <c r="EN1347" s="1268"/>
      <c r="EO1347" s="1268"/>
      <c r="EP1347" s="1268"/>
      <c r="EQ1347" s="1268"/>
      <c r="ER1347" s="1268"/>
      <c r="ES1347" s="1268"/>
      <c r="ET1347" s="1268"/>
      <c r="EU1347" s="1268"/>
      <c r="EV1347" s="1268"/>
      <c r="EW1347" s="1268"/>
      <c r="EX1347" s="1268"/>
      <c r="EY1347" s="1268"/>
      <c r="EZ1347" s="1268"/>
      <c r="FA1347" s="1268"/>
      <c r="FB1347" s="1268"/>
      <c r="FC1347" s="1268"/>
      <c r="FD1347" s="1268"/>
      <c r="FE1347" s="1268"/>
      <c r="FF1347" s="1268"/>
      <c r="FG1347" s="1268"/>
      <c r="FH1347" s="1268"/>
      <c r="FI1347" s="1268"/>
      <c r="FJ1347" s="1268"/>
      <c r="FK1347" s="1268"/>
      <c r="FL1347" s="1268"/>
      <c r="FM1347" s="1268"/>
      <c r="FN1347" s="1268"/>
      <c r="FO1347" s="1268"/>
      <c r="FP1347" s="1268"/>
      <c r="FQ1347" s="1268"/>
      <c r="FR1347" s="1268"/>
      <c r="FS1347" s="1268"/>
      <c r="FT1347" s="1268"/>
      <c r="FU1347" s="1268"/>
      <c r="FV1347" s="1268"/>
      <c r="FW1347" s="1268"/>
      <c r="FX1347" s="1268"/>
      <c r="FY1347" s="1268"/>
      <c r="FZ1347" s="1268"/>
      <c r="GA1347" s="1268"/>
      <c r="GB1347" s="1268"/>
      <c r="GC1347" s="1268"/>
      <c r="GD1347" s="1268"/>
      <c r="GE1347" s="1268"/>
      <c r="GF1347" s="1268"/>
      <c r="GG1347" s="1268"/>
      <c r="GH1347" s="1268"/>
      <c r="GI1347" s="1268"/>
      <c r="GJ1347" s="1268"/>
      <c r="GK1347" s="1268"/>
      <c r="GL1347" s="1268"/>
      <c r="GM1347" s="1268"/>
      <c r="GN1347" s="1268"/>
      <c r="GO1347" s="1268"/>
      <c r="GP1347" s="1268"/>
      <c r="GQ1347" s="1268"/>
      <c r="GR1347" s="1268"/>
      <c r="GS1347" s="1268"/>
      <c r="GT1347" s="1268"/>
      <c r="GU1347" s="1268"/>
      <c r="GV1347" s="1268"/>
      <c r="GW1347" s="1268"/>
      <c r="GX1347" s="1268"/>
      <c r="GY1347" s="1268"/>
      <c r="GZ1347" s="1268"/>
      <c r="HA1347" s="1268"/>
      <c r="HB1347" s="1268"/>
      <c r="HC1347" s="1268"/>
      <c r="HD1347" s="1268"/>
      <c r="HE1347" s="1268"/>
      <c r="HF1347" s="1268"/>
      <c r="HG1347" s="1268"/>
      <c r="HH1347" s="1268"/>
      <c r="HI1347" s="1268"/>
      <c r="HJ1347" s="1268"/>
      <c r="HK1347" s="1268"/>
      <c r="HL1347" s="1268"/>
      <c r="HM1347" s="1268"/>
      <c r="HN1347" s="1268"/>
      <c r="HO1347" s="1268"/>
      <c r="HP1347" s="1268"/>
      <c r="HQ1347" s="1268"/>
      <c r="HR1347" s="1268"/>
      <c r="HS1347" s="1268"/>
      <c r="HT1347" s="1268"/>
      <c r="HU1347" s="1268"/>
      <c r="HV1347" s="1268"/>
      <c r="HW1347" s="1268"/>
      <c r="HX1347" s="1268"/>
      <c r="HY1347" s="1268"/>
      <c r="HZ1347" s="1268"/>
      <c r="IA1347" s="1268"/>
      <c r="IB1347" s="1268"/>
      <c r="IC1347" s="1268"/>
      <c r="ID1347" s="1268"/>
      <c r="IE1347" s="1268"/>
      <c r="IF1347" s="1268"/>
      <c r="IG1347" s="1268"/>
      <c r="IH1347" s="1268"/>
      <c r="II1347" s="1268"/>
      <c r="IJ1347" s="1268"/>
      <c r="IK1347" s="1268"/>
      <c r="IL1347" s="1268"/>
      <c r="IM1347" s="1268"/>
      <c r="IN1347" s="1268"/>
      <c r="IO1347" s="1268"/>
      <c r="IP1347" s="1268"/>
      <c r="IQ1347" s="1268"/>
      <c r="IR1347" s="1268"/>
      <c r="IS1347" s="1268"/>
      <c r="IT1347" s="1268"/>
      <c r="IU1347" s="1268"/>
      <c r="IV1347" s="1268"/>
      <c r="IW1347" s="1268"/>
      <c r="IX1347" s="1268"/>
      <c r="IY1347" s="1268"/>
      <c r="IZ1347" s="1268"/>
      <c r="JA1347" s="1268"/>
      <c r="JB1347" s="1268"/>
      <c r="JC1347" s="1268"/>
      <c r="JD1347" s="1268"/>
      <c r="JE1347" s="1268"/>
      <c r="JF1347" s="1268"/>
      <c r="JG1347" s="1268"/>
      <c r="JH1347" s="1268"/>
      <c r="JI1347" s="1268"/>
      <c r="JJ1347" s="1268"/>
      <c r="JK1347" s="1268"/>
      <c r="JL1347" s="1268"/>
      <c r="JM1347" s="1268"/>
      <c r="JN1347" s="1268"/>
      <c r="JO1347" s="1268"/>
      <c r="JP1347" s="1268"/>
      <c r="JQ1347" s="1268"/>
      <c r="JR1347" s="1268"/>
      <c r="JS1347" s="1268"/>
      <c r="JT1347" s="1268"/>
      <c r="JU1347" s="1268"/>
      <c r="JV1347" s="1268"/>
      <c r="JW1347" s="1268"/>
      <c r="JX1347" s="1268"/>
      <c r="JY1347" s="1268"/>
      <c r="JZ1347" s="1268"/>
      <c r="KA1347" s="1268"/>
      <c r="KB1347" s="1268"/>
      <c r="KC1347" s="1268"/>
      <c r="KD1347" s="1268"/>
      <c r="KE1347" s="1268"/>
      <c r="KF1347" s="1268"/>
      <c r="KG1347" s="1268"/>
      <c r="KH1347" s="1268"/>
      <c r="KI1347" s="1268"/>
      <c r="KJ1347" s="1268"/>
      <c r="KK1347" s="1268"/>
      <c r="KL1347" s="1268"/>
      <c r="KM1347" s="1268"/>
      <c r="KN1347" s="1268"/>
      <c r="KO1347" s="1268"/>
      <c r="KP1347" s="1268"/>
      <c r="KQ1347" s="1268"/>
      <c r="KR1347" s="1268"/>
      <c r="KS1347" s="1268"/>
      <c r="KT1347" s="1268"/>
      <c r="KU1347" s="1268"/>
      <c r="KV1347" s="1268"/>
      <c r="KW1347" s="1268"/>
      <c r="KX1347" s="1268"/>
      <c r="KY1347" s="1268"/>
      <c r="KZ1347" s="1268"/>
      <c r="LA1347" s="1268"/>
      <c r="LB1347" s="1268"/>
      <c r="LC1347" s="1268"/>
      <c r="LD1347" s="1268"/>
      <c r="LE1347" s="1268"/>
      <c r="LF1347" s="1268"/>
      <c r="LG1347" s="1268"/>
      <c r="LH1347" s="1268"/>
      <c r="LI1347" s="1268"/>
      <c r="LJ1347" s="1268"/>
      <c r="LK1347" s="1268"/>
      <c r="LL1347" s="1268"/>
      <c r="LM1347" s="1268"/>
      <c r="LN1347" s="1268"/>
      <c r="LO1347" s="1268"/>
      <c r="LP1347" s="1268"/>
      <c r="LQ1347" s="1268"/>
      <c r="LR1347" s="1268"/>
      <c r="LS1347" s="1268"/>
      <c r="LT1347" s="1268"/>
      <c r="LU1347" s="1268"/>
      <c r="LV1347" s="1268"/>
      <c r="LW1347" s="1268"/>
      <c r="LX1347" s="1268"/>
      <c r="LY1347" s="1268"/>
      <c r="LZ1347" s="1268"/>
      <c r="MA1347" s="1268"/>
      <c r="MB1347" s="1268"/>
      <c r="MC1347" s="1268"/>
      <c r="MD1347" s="1268"/>
      <c r="ME1347" s="1268"/>
      <c r="MF1347" s="1268"/>
      <c r="MG1347" s="1268"/>
      <c r="MH1347" s="1268"/>
      <c r="MI1347" s="1268"/>
      <c r="MJ1347" s="1268"/>
      <c r="MK1347" s="1268"/>
      <c r="ML1347" s="1268"/>
      <c r="MM1347" s="1268"/>
      <c r="MN1347" s="1268"/>
      <c r="MO1347" s="1268"/>
      <c r="MP1347" s="1268"/>
      <c r="MQ1347" s="1268"/>
      <c r="MR1347" s="1268"/>
      <c r="MS1347" s="1268"/>
      <c r="MT1347" s="1268"/>
      <c r="MU1347" s="1268"/>
      <c r="MV1347" s="1268"/>
      <c r="MW1347" s="1268"/>
      <c r="MX1347" s="1268"/>
      <c r="MY1347" s="1268"/>
      <c r="MZ1347" s="1268"/>
      <c r="NA1347" s="1268"/>
      <c r="NB1347" s="1268"/>
      <c r="NC1347" s="1268"/>
      <c r="ND1347" s="1268"/>
      <c r="NE1347" s="1268"/>
      <c r="NF1347" s="1268"/>
      <c r="NG1347" s="1268"/>
      <c r="NH1347" s="1268"/>
      <c r="NI1347" s="1268"/>
      <c r="NJ1347" s="1268"/>
      <c r="NK1347" s="1268"/>
      <c r="NL1347" s="1268"/>
      <c r="NM1347" s="1268"/>
      <c r="NN1347" s="1268"/>
      <c r="NO1347" s="1268"/>
      <c r="NP1347" s="1268"/>
      <c r="NQ1347" s="1268"/>
      <c r="NR1347" s="1268"/>
      <c r="NS1347" s="1268"/>
      <c r="NT1347" s="1268"/>
      <c r="NU1347" s="1268"/>
      <c r="NV1347" s="1268"/>
      <c r="NW1347" s="1268"/>
      <c r="NX1347" s="1268"/>
      <c r="NY1347" s="1268"/>
      <c r="NZ1347" s="1268"/>
      <c r="OA1347" s="1268"/>
      <c r="OB1347" s="1268"/>
      <c r="OC1347" s="1268"/>
      <c r="OD1347" s="1268"/>
      <c r="OE1347" s="1268"/>
      <c r="OF1347" s="1268"/>
      <c r="OG1347" s="1268"/>
      <c r="OH1347" s="1268"/>
      <c r="OI1347" s="1268"/>
      <c r="OJ1347" s="1268"/>
      <c r="OK1347" s="1268"/>
      <c r="OL1347" s="1268"/>
      <c r="OM1347" s="1268"/>
      <c r="ON1347" s="1268"/>
      <c r="OO1347" s="1268"/>
      <c r="OP1347" s="1268"/>
      <c r="OQ1347" s="1268"/>
      <c r="OR1347" s="1268"/>
      <c r="OS1347" s="1268"/>
      <c r="OT1347" s="1268"/>
      <c r="OU1347" s="1268"/>
      <c r="OV1347" s="1268"/>
      <c r="OW1347" s="1268"/>
      <c r="OX1347" s="1268"/>
      <c r="OY1347" s="1268"/>
      <c r="OZ1347" s="1268"/>
      <c r="PA1347" s="1268"/>
      <c r="PB1347" s="1268"/>
      <c r="PC1347" s="1268"/>
      <c r="PD1347" s="1268"/>
      <c r="PE1347" s="1268"/>
      <c r="PF1347" s="1268"/>
      <c r="PG1347" s="1268"/>
      <c r="PH1347" s="1268"/>
      <c r="PI1347" s="1268"/>
      <c r="PJ1347" s="1268"/>
      <c r="PK1347" s="1268"/>
      <c r="PL1347" s="1268"/>
      <c r="PM1347" s="1268"/>
      <c r="PN1347" s="1268"/>
      <c r="PO1347" s="1268"/>
      <c r="PP1347" s="1268"/>
      <c r="PQ1347" s="1268"/>
      <c r="PR1347" s="1268"/>
      <c r="PS1347" s="1268"/>
      <c r="PT1347" s="1268"/>
      <c r="PU1347" s="1268"/>
      <c r="PV1347" s="1268"/>
      <c r="PW1347" s="1268"/>
      <c r="PX1347" s="1268"/>
      <c r="PY1347" s="1268"/>
      <c r="PZ1347" s="1268"/>
      <c r="QA1347" s="1268"/>
      <c r="QB1347" s="1268"/>
      <c r="QC1347" s="1268"/>
      <c r="QD1347" s="1268"/>
      <c r="QE1347" s="1268"/>
      <c r="QF1347" s="1268"/>
      <c r="QG1347" s="1268"/>
      <c r="QH1347" s="1268"/>
      <c r="QI1347" s="1268"/>
      <c r="QJ1347" s="1268"/>
      <c r="QK1347" s="1268"/>
      <c r="QL1347" s="1268"/>
      <c r="QM1347" s="1268"/>
      <c r="QN1347" s="1268"/>
      <c r="QO1347" s="1268"/>
      <c r="QP1347" s="1268"/>
      <c r="QQ1347" s="1268"/>
      <c r="QR1347" s="1268"/>
      <c r="QS1347" s="1268"/>
      <c r="QT1347" s="1268"/>
      <c r="QU1347" s="1268"/>
      <c r="QV1347" s="1268"/>
      <c r="QW1347" s="1268"/>
      <c r="QX1347" s="1268"/>
      <c r="QY1347" s="1268"/>
      <c r="QZ1347" s="1268"/>
      <c r="RA1347" s="1268"/>
      <c r="RB1347" s="1268"/>
      <c r="RC1347" s="1268"/>
      <c r="RD1347" s="1268"/>
      <c r="RE1347" s="1268"/>
      <c r="RF1347" s="1268"/>
      <c r="RG1347" s="1268"/>
      <c r="RH1347" s="1268"/>
      <c r="RI1347" s="1268"/>
      <c r="RJ1347" s="1268"/>
      <c r="RK1347" s="1268"/>
      <c r="RL1347" s="1268"/>
      <c r="RM1347" s="1268"/>
      <c r="RN1347" s="1268"/>
      <c r="RO1347" s="1268"/>
      <c r="RP1347" s="1268"/>
      <c r="RQ1347" s="1268"/>
      <c r="RR1347" s="1268"/>
      <c r="RS1347" s="1268"/>
      <c r="RT1347" s="1268"/>
      <c r="RU1347" s="1268"/>
      <c r="RV1347" s="1268"/>
      <c r="RW1347" s="1268"/>
      <c r="RX1347" s="1268"/>
      <c r="RY1347" s="1268"/>
      <c r="RZ1347" s="1268"/>
      <c r="SA1347" s="1268"/>
      <c r="SB1347" s="1268"/>
      <c r="SC1347" s="1268"/>
      <c r="SD1347" s="1268"/>
      <c r="SE1347" s="1268"/>
      <c r="SF1347" s="1268"/>
      <c r="SG1347" s="1268"/>
      <c r="SH1347" s="1268"/>
      <c r="SI1347" s="1268"/>
      <c r="SJ1347" s="1268"/>
      <c r="SK1347" s="1268"/>
      <c r="SL1347" s="1268"/>
      <c r="SM1347" s="1268"/>
      <c r="SN1347" s="1268"/>
      <c r="SO1347" s="1268"/>
      <c r="SP1347" s="1268"/>
      <c r="SQ1347" s="1268"/>
      <c r="SR1347" s="1268"/>
      <c r="SS1347" s="1268"/>
      <c r="ST1347" s="1268"/>
      <c r="SU1347" s="1268"/>
      <c r="SV1347" s="1268"/>
      <c r="SW1347" s="1268"/>
      <c r="SX1347" s="1268"/>
      <c r="SY1347" s="1268"/>
      <c r="SZ1347" s="1268"/>
      <c r="TA1347" s="1268"/>
      <c r="TB1347" s="1268"/>
      <c r="TC1347" s="1268"/>
      <c r="TD1347" s="1268"/>
      <c r="TE1347" s="1268"/>
      <c r="TF1347" s="1268"/>
      <c r="TG1347" s="1268"/>
      <c r="TH1347" s="1268"/>
      <c r="TI1347" s="1268"/>
      <c r="TJ1347" s="1268"/>
      <c r="TK1347" s="1268"/>
      <c r="TL1347" s="1268"/>
      <c r="TM1347" s="1268"/>
      <c r="TN1347" s="1268"/>
      <c r="TO1347" s="1268"/>
      <c r="TP1347" s="1268"/>
      <c r="TQ1347" s="1268"/>
      <c r="TR1347" s="1268"/>
      <c r="TS1347" s="1268"/>
      <c r="TT1347" s="1268"/>
      <c r="TU1347" s="1268"/>
      <c r="TV1347" s="1268"/>
      <c r="TW1347" s="1268"/>
      <c r="TX1347" s="1268"/>
      <c r="TY1347" s="1268"/>
      <c r="TZ1347" s="1268"/>
      <c r="UA1347" s="1268"/>
      <c r="UB1347" s="1268"/>
      <c r="UC1347" s="1268"/>
      <c r="UD1347" s="1268"/>
      <c r="UE1347" s="1268"/>
      <c r="UF1347" s="1268"/>
      <c r="UG1347" s="1268"/>
    </row>
    <row r="1348" spans="1:553" s="1262" customFormat="1" ht="25.15" customHeight="1">
      <c r="A1348" s="401" t="s">
        <v>15</v>
      </c>
      <c r="B1348" s="401"/>
      <c r="C1348" s="1592" t="s">
        <v>727</v>
      </c>
      <c r="D1348" s="1593"/>
      <c r="E1348" s="1593"/>
      <c r="F1348" s="1594"/>
      <c r="G1348" s="1007" t="s">
        <v>193</v>
      </c>
      <c r="H1348" s="798"/>
      <c r="I1348" s="607">
        <v>2</v>
      </c>
      <c r="J1348" s="799">
        <v>586000</v>
      </c>
      <c r="K1348" s="507"/>
      <c r="L1348" s="589">
        <f t="shared" si="202"/>
        <v>1172000</v>
      </c>
      <c r="M1348" s="356"/>
      <c r="N1348" s="356"/>
      <c r="O1348" s="356"/>
      <c r="P1348" s="356"/>
      <c r="Q1348" s="610"/>
      <c r="R1348" s="1452"/>
      <c r="S1348" s="308"/>
      <c r="T1348" s="308"/>
      <c r="U1348" s="308"/>
      <c r="V1348" s="308"/>
      <c r="W1348" s="308"/>
      <c r="X1348" s="308"/>
      <c r="Y1348" s="308"/>
      <c r="Z1348" s="604"/>
      <c r="AA1348" s="308"/>
      <c r="AB1348" s="308"/>
      <c r="AC1348" s="486"/>
      <c r="AD1348" s="486"/>
      <c r="AE1348" s="486"/>
      <c r="AF1348" s="486"/>
      <c r="AG1348" s="486"/>
      <c r="AH1348" s="486"/>
      <c r="AI1348" s="486"/>
      <c r="AJ1348" s="486"/>
      <c r="AK1348" s="486"/>
      <c r="AL1348" s="1267"/>
      <c r="AM1348" s="1268"/>
      <c r="AN1348" s="1268"/>
      <c r="AO1348" s="1268"/>
      <c r="AP1348" s="1268"/>
      <c r="AQ1348" s="1268"/>
      <c r="AR1348" s="1268"/>
      <c r="AS1348" s="1268"/>
      <c r="AT1348" s="1268"/>
      <c r="AU1348" s="1268"/>
      <c r="AV1348" s="1268"/>
      <c r="AW1348" s="1268"/>
      <c r="AX1348" s="1268"/>
      <c r="AY1348" s="1268"/>
      <c r="AZ1348" s="1268"/>
      <c r="BA1348" s="1268"/>
      <c r="BB1348" s="1268"/>
      <c r="BC1348" s="1268"/>
      <c r="BD1348" s="1268"/>
      <c r="BE1348" s="1268"/>
      <c r="BF1348" s="1268"/>
      <c r="BG1348" s="1268"/>
      <c r="BH1348" s="1268"/>
      <c r="BI1348" s="1268"/>
      <c r="BJ1348" s="1268"/>
      <c r="BK1348" s="1268"/>
      <c r="BL1348" s="1268"/>
      <c r="BM1348" s="1268"/>
      <c r="BN1348" s="1268"/>
      <c r="BO1348" s="1268"/>
      <c r="BP1348" s="1268"/>
      <c r="BQ1348" s="1268"/>
      <c r="BR1348" s="1268"/>
      <c r="BS1348" s="1268"/>
      <c r="BT1348" s="1268"/>
      <c r="BU1348" s="1268"/>
      <c r="BV1348" s="1268"/>
      <c r="BW1348" s="1268"/>
      <c r="BX1348" s="1268"/>
      <c r="BY1348" s="1268"/>
      <c r="BZ1348" s="1268"/>
      <c r="CA1348" s="1268"/>
      <c r="CB1348" s="1268"/>
      <c r="CC1348" s="1268"/>
      <c r="CD1348" s="1268"/>
      <c r="CE1348" s="1268"/>
      <c r="CF1348" s="1268"/>
      <c r="CG1348" s="1268"/>
      <c r="CH1348" s="1268"/>
      <c r="CI1348" s="1268"/>
      <c r="CJ1348" s="1268"/>
      <c r="CK1348" s="1268"/>
      <c r="CL1348" s="1268"/>
      <c r="CM1348" s="1268"/>
      <c r="CN1348" s="1268"/>
      <c r="CO1348" s="1268"/>
      <c r="CP1348" s="1268"/>
      <c r="CQ1348" s="1268"/>
      <c r="CR1348" s="1268"/>
      <c r="CS1348" s="1268"/>
      <c r="CT1348" s="1268"/>
      <c r="CU1348" s="1268"/>
      <c r="CV1348" s="1268"/>
      <c r="CW1348" s="1268"/>
      <c r="CX1348" s="1268"/>
      <c r="CY1348" s="1268"/>
      <c r="CZ1348" s="1268"/>
      <c r="DA1348" s="1268"/>
      <c r="DB1348" s="1268"/>
      <c r="DC1348" s="1268"/>
      <c r="DD1348" s="1268"/>
      <c r="DE1348" s="1268"/>
      <c r="DF1348" s="1268"/>
      <c r="DG1348" s="1268"/>
      <c r="DH1348" s="1268"/>
      <c r="DI1348" s="1268"/>
      <c r="DJ1348" s="1268"/>
      <c r="DK1348" s="1268"/>
      <c r="DL1348" s="1268"/>
      <c r="DM1348" s="1268"/>
      <c r="DN1348" s="1268"/>
      <c r="DO1348" s="1268"/>
      <c r="DP1348" s="1268"/>
      <c r="DQ1348" s="1268"/>
      <c r="DR1348" s="1268"/>
      <c r="DS1348" s="1268"/>
      <c r="DT1348" s="1268"/>
      <c r="DU1348" s="1268"/>
      <c r="DV1348" s="1268"/>
      <c r="DW1348" s="1268"/>
      <c r="DX1348" s="1268"/>
      <c r="DY1348" s="1268"/>
      <c r="DZ1348" s="1268"/>
      <c r="EA1348" s="1268"/>
      <c r="EB1348" s="1268"/>
      <c r="EC1348" s="1268"/>
      <c r="ED1348" s="1268"/>
      <c r="EE1348" s="1268"/>
      <c r="EF1348" s="1268"/>
      <c r="EG1348" s="1268"/>
      <c r="EH1348" s="1268"/>
      <c r="EI1348" s="1268"/>
      <c r="EJ1348" s="1268"/>
      <c r="EK1348" s="1268"/>
      <c r="EL1348" s="1268"/>
      <c r="EM1348" s="1268"/>
      <c r="EN1348" s="1268"/>
      <c r="EO1348" s="1268"/>
      <c r="EP1348" s="1268"/>
      <c r="EQ1348" s="1268"/>
      <c r="ER1348" s="1268"/>
      <c r="ES1348" s="1268"/>
      <c r="ET1348" s="1268"/>
      <c r="EU1348" s="1268"/>
      <c r="EV1348" s="1268"/>
      <c r="EW1348" s="1268"/>
      <c r="EX1348" s="1268"/>
      <c r="EY1348" s="1268"/>
      <c r="EZ1348" s="1268"/>
      <c r="FA1348" s="1268"/>
      <c r="FB1348" s="1268"/>
      <c r="FC1348" s="1268"/>
      <c r="FD1348" s="1268"/>
      <c r="FE1348" s="1268"/>
      <c r="FF1348" s="1268"/>
      <c r="FG1348" s="1268"/>
      <c r="FH1348" s="1268"/>
      <c r="FI1348" s="1268"/>
      <c r="FJ1348" s="1268"/>
      <c r="FK1348" s="1268"/>
      <c r="FL1348" s="1268"/>
      <c r="FM1348" s="1268"/>
      <c r="FN1348" s="1268"/>
      <c r="FO1348" s="1268"/>
      <c r="FP1348" s="1268"/>
      <c r="FQ1348" s="1268"/>
      <c r="FR1348" s="1268"/>
      <c r="FS1348" s="1268"/>
      <c r="FT1348" s="1268"/>
      <c r="FU1348" s="1268"/>
      <c r="FV1348" s="1268"/>
      <c r="FW1348" s="1268"/>
      <c r="FX1348" s="1268"/>
      <c r="FY1348" s="1268"/>
      <c r="FZ1348" s="1268"/>
      <c r="GA1348" s="1268"/>
      <c r="GB1348" s="1268"/>
      <c r="GC1348" s="1268"/>
      <c r="GD1348" s="1268"/>
      <c r="GE1348" s="1268"/>
      <c r="GF1348" s="1268"/>
      <c r="GG1348" s="1268"/>
      <c r="GH1348" s="1268"/>
      <c r="GI1348" s="1268"/>
      <c r="GJ1348" s="1268"/>
      <c r="GK1348" s="1268"/>
      <c r="GL1348" s="1268"/>
      <c r="GM1348" s="1268"/>
      <c r="GN1348" s="1268"/>
      <c r="GO1348" s="1268"/>
      <c r="GP1348" s="1268"/>
      <c r="GQ1348" s="1268"/>
      <c r="GR1348" s="1268"/>
      <c r="GS1348" s="1268"/>
      <c r="GT1348" s="1268"/>
      <c r="GU1348" s="1268"/>
      <c r="GV1348" s="1268"/>
      <c r="GW1348" s="1268"/>
      <c r="GX1348" s="1268"/>
      <c r="GY1348" s="1268"/>
      <c r="GZ1348" s="1268"/>
      <c r="HA1348" s="1268"/>
      <c r="HB1348" s="1268"/>
      <c r="HC1348" s="1268"/>
      <c r="HD1348" s="1268"/>
      <c r="HE1348" s="1268"/>
      <c r="HF1348" s="1268"/>
      <c r="HG1348" s="1268"/>
      <c r="HH1348" s="1268"/>
      <c r="HI1348" s="1268"/>
      <c r="HJ1348" s="1268"/>
      <c r="HK1348" s="1268"/>
      <c r="HL1348" s="1268"/>
      <c r="HM1348" s="1268"/>
      <c r="HN1348" s="1268"/>
      <c r="HO1348" s="1268"/>
      <c r="HP1348" s="1268"/>
      <c r="HQ1348" s="1268"/>
      <c r="HR1348" s="1268"/>
      <c r="HS1348" s="1268"/>
      <c r="HT1348" s="1268"/>
      <c r="HU1348" s="1268"/>
      <c r="HV1348" s="1268"/>
      <c r="HW1348" s="1268"/>
      <c r="HX1348" s="1268"/>
      <c r="HY1348" s="1268"/>
      <c r="HZ1348" s="1268"/>
      <c r="IA1348" s="1268"/>
      <c r="IB1348" s="1268"/>
      <c r="IC1348" s="1268"/>
      <c r="ID1348" s="1268"/>
      <c r="IE1348" s="1268"/>
      <c r="IF1348" s="1268"/>
      <c r="IG1348" s="1268"/>
      <c r="IH1348" s="1268"/>
      <c r="II1348" s="1268"/>
      <c r="IJ1348" s="1268"/>
      <c r="IK1348" s="1268"/>
      <c r="IL1348" s="1268"/>
      <c r="IM1348" s="1268"/>
      <c r="IN1348" s="1268"/>
      <c r="IO1348" s="1268"/>
      <c r="IP1348" s="1268"/>
      <c r="IQ1348" s="1268"/>
      <c r="IR1348" s="1268"/>
      <c r="IS1348" s="1268"/>
      <c r="IT1348" s="1268"/>
      <c r="IU1348" s="1268"/>
      <c r="IV1348" s="1268"/>
      <c r="IW1348" s="1268"/>
      <c r="IX1348" s="1268"/>
      <c r="IY1348" s="1268"/>
      <c r="IZ1348" s="1268"/>
      <c r="JA1348" s="1268"/>
      <c r="JB1348" s="1268"/>
      <c r="JC1348" s="1268"/>
      <c r="JD1348" s="1268"/>
      <c r="JE1348" s="1268"/>
      <c r="JF1348" s="1268"/>
      <c r="JG1348" s="1268"/>
      <c r="JH1348" s="1268"/>
      <c r="JI1348" s="1268"/>
      <c r="JJ1348" s="1268"/>
      <c r="JK1348" s="1268"/>
      <c r="JL1348" s="1268"/>
      <c r="JM1348" s="1268"/>
      <c r="JN1348" s="1268"/>
      <c r="JO1348" s="1268"/>
      <c r="JP1348" s="1268"/>
      <c r="JQ1348" s="1268"/>
      <c r="JR1348" s="1268"/>
      <c r="JS1348" s="1268"/>
      <c r="JT1348" s="1268"/>
      <c r="JU1348" s="1268"/>
      <c r="JV1348" s="1268"/>
      <c r="JW1348" s="1268"/>
      <c r="JX1348" s="1268"/>
      <c r="JY1348" s="1268"/>
      <c r="JZ1348" s="1268"/>
      <c r="KA1348" s="1268"/>
      <c r="KB1348" s="1268"/>
      <c r="KC1348" s="1268"/>
      <c r="KD1348" s="1268"/>
      <c r="KE1348" s="1268"/>
      <c r="KF1348" s="1268"/>
      <c r="KG1348" s="1268"/>
      <c r="KH1348" s="1268"/>
      <c r="KI1348" s="1268"/>
      <c r="KJ1348" s="1268"/>
      <c r="KK1348" s="1268"/>
      <c r="KL1348" s="1268"/>
      <c r="KM1348" s="1268"/>
      <c r="KN1348" s="1268"/>
      <c r="KO1348" s="1268"/>
      <c r="KP1348" s="1268"/>
      <c r="KQ1348" s="1268"/>
      <c r="KR1348" s="1268"/>
      <c r="KS1348" s="1268"/>
      <c r="KT1348" s="1268"/>
      <c r="KU1348" s="1268"/>
      <c r="KV1348" s="1268"/>
      <c r="KW1348" s="1268"/>
      <c r="KX1348" s="1268"/>
      <c r="KY1348" s="1268"/>
      <c r="KZ1348" s="1268"/>
      <c r="LA1348" s="1268"/>
      <c r="LB1348" s="1268"/>
      <c r="LC1348" s="1268"/>
      <c r="LD1348" s="1268"/>
      <c r="LE1348" s="1268"/>
      <c r="LF1348" s="1268"/>
      <c r="LG1348" s="1268"/>
      <c r="LH1348" s="1268"/>
      <c r="LI1348" s="1268"/>
      <c r="LJ1348" s="1268"/>
      <c r="LK1348" s="1268"/>
      <c r="LL1348" s="1268"/>
      <c r="LM1348" s="1268"/>
      <c r="LN1348" s="1268"/>
      <c r="LO1348" s="1268"/>
      <c r="LP1348" s="1268"/>
      <c r="LQ1348" s="1268"/>
      <c r="LR1348" s="1268"/>
      <c r="LS1348" s="1268"/>
      <c r="LT1348" s="1268"/>
      <c r="LU1348" s="1268"/>
      <c r="LV1348" s="1268"/>
      <c r="LW1348" s="1268"/>
      <c r="LX1348" s="1268"/>
      <c r="LY1348" s="1268"/>
      <c r="LZ1348" s="1268"/>
      <c r="MA1348" s="1268"/>
      <c r="MB1348" s="1268"/>
      <c r="MC1348" s="1268"/>
      <c r="MD1348" s="1268"/>
      <c r="ME1348" s="1268"/>
      <c r="MF1348" s="1268"/>
      <c r="MG1348" s="1268"/>
      <c r="MH1348" s="1268"/>
      <c r="MI1348" s="1268"/>
      <c r="MJ1348" s="1268"/>
      <c r="MK1348" s="1268"/>
      <c r="ML1348" s="1268"/>
      <c r="MM1348" s="1268"/>
      <c r="MN1348" s="1268"/>
      <c r="MO1348" s="1268"/>
      <c r="MP1348" s="1268"/>
      <c r="MQ1348" s="1268"/>
      <c r="MR1348" s="1268"/>
      <c r="MS1348" s="1268"/>
      <c r="MT1348" s="1268"/>
      <c r="MU1348" s="1268"/>
      <c r="MV1348" s="1268"/>
      <c r="MW1348" s="1268"/>
      <c r="MX1348" s="1268"/>
      <c r="MY1348" s="1268"/>
      <c r="MZ1348" s="1268"/>
      <c r="NA1348" s="1268"/>
      <c r="NB1348" s="1268"/>
      <c r="NC1348" s="1268"/>
      <c r="ND1348" s="1268"/>
      <c r="NE1348" s="1268"/>
      <c r="NF1348" s="1268"/>
      <c r="NG1348" s="1268"/>
      <c r="NH1348" s="1268"/>
      <c r="NI1348" s="1268"/>
      <c r="NJ1348" s="1268"/>
      <c r="NK1348" s="1268"/>
      <c r="NL1348" s="1268"/>
      <c r="NM1348" s="1268"/>
      <c r="NN1348" s="1268"/>
      <c r="NO1348" s="1268"/>
      <c r="NP1348" s="1268"/>
      <c r="NQ1348" s="1268"/>
      <c r="NR1348" s="1268"/>
      <c r="NS1348" s="1268"/>
      <c r="NT1348" s="1268"/>
      <c r="NU1348" s="1268"/>
      <c r="NV1348" s="1268"/>
      <c r="NW1348" s="1268"/>
      <c r="NX1348" s="1268"/>
      <c r="NY1348" s="1268"/>
      <c r="NZ1348" s="1268"/>
      <c r="OA1348" s="1268"/>
      <c r="OB1348" s="1268"/>
      <c r="OC1348" s="1268"/>
      <c r="OD1348" s="1268"/>
      <c r="OE1348" s="1268"/>
      <c r="OF1348" s="1268"/>
      <c r="OG1348" s="1268"/>
      <c r="OH1348" s="1268"/>
      <c r="OI1348" s="1268"/>
      <c r="OJ1348" s="1268"/>
      <c r="OK1348" s="1268"/>
      <c r="OL1348" s="1268"/>
      <c r="OM1348" s="1268"/>
      <c r="ON1348" s="1268"/>
      <c r="OO1348" s="1268"/>
      <c r="OP1348" s="1268"/>
      <c r="OQ1348" s="1268"/>
      <c r="OR1348" s="1268"/>
      <c r="OS1348" s="1268"/>
      <c r="OT1348" s="1268"/>
      <c r="OU1348" s="1268"/>
      <c r="OV1348" s="1268"/>
      <c r="OW1348" s="1268"/>
      <c r="OX1348" s="1268"/>
      <c r="OY1348" s="1268"/>
      <c r="OZ1348" s="1268"/>
      <c r="PA1348" s="1268"/>
      <c r="PB1348" s="1268"/>
      <c r="PC1348" s="1268"/>
      <c r="PD1348" s="1268"/>
      <c r="PE1348" s="1268"/>
      <c r="PF1348" s="1268"/>
      <c r="PG1348" s="1268"/>
      <c r="PH1348" s="1268"/>
      <c r="PI1348" s="1268"/>
      <c r="PJ1348" s="1268"/>
      <c r="PK1348" s="1268"/>
      <c r="PL1348" s="1268"/>
      <c r="PM1348" s="1268"/>
      <c r="PN1348" s="1268"/>
      <c r="PO1348" s="1268"/>
      <c r="PP1348" s="1268"/>
      <c r="PQ1348" s="1268"/>
      <c r="PR1348" s="1268"/>
      <c r="PS1348" s="1268"/>
      <c r="PT1348" s="1268"/>
      <c r="PU1348" s="1268"/>
      <c r="PV1348" s="1268"/>
      <c r="PW1348" s="1268"/>
      <c r="PX1348" s="1268"/>
      <c r="PY1348" s="1268"/>
      <c r="PZ1348" s="1268"/>
      <c r="QA1348" s="1268"/>
      <c r="QB1348" s="1268"/>
      <c r="QC1348" s="1268"/>
      <c r="QD1348" s="1268"/>
      <c r="QE1348" s="1268"/>
      <c r="QF1348" s="1268"/>
      <c r="QG1348" s="1268"/>
      <c r="QH1348" s="1268"/>
      <c r="QI1348" s="1268"/>
      <c r="QJ1348" s="1268"/>
      <c r="QK1348" s="1268"/>
      <c r="QL1348" s="1268"/>
      <c r="QM1348" s="1268"/>
      <c r="QN1348" s="1268"/>
      <c r="QO1348" s="1268"/>
      <c r="QP1348" s="1268"/>
      <c r="QQ1348" s="1268"/>
      <c r="QR1348" s="1268"/>
      <c r="QS1348" s="1268"/>
      <c r="QT1348" s="1268"/>
      <c r="QU1348" s="1268"/>
      <c r="QV1348" s="1268"/>
      <c r="QW1348" s="1268"/>
      <c r="QX1348" s="1268"/>
      <c r="QY1348" s="1268"/>
      <c r="QZ1348" s="1268"/>
      <c r="RA1348" s="1268"/>
      <c r="RB1348" s="1268"/>
      <c r="RC1348" s="1268"/>
      <c r="RD1348" s="1268"/>
      <c r="RE1348" s="1268"/>
      <c r="RF1348" s="1268"/>
      <c r="RG1348" s="1268"/>
      <c r="RH1348" s="1268"/>
      <c r="RI1348" s="1268"/>
      <c r="RJ1348" s="1268"/>
      <c r="RK1348" s="1268"/>
      <c r="RL1348" s="1268"/>
      <c r="RM1348" s="1268"/>
      <c r="RN1348" s="1268"/>
      <c r="RO1348" s="1268"/>
      <c r="RP1348" s="1268"/>
      <c r="RQ1348" s="1268"/>
      <c r="RR1348" s="1268"/>
      <c r="RS1348" s="1268"/>
      <c r="RT1348" s="1268"/>
      <c r="RU1348" s="1268"/>
      <c r="RV1348" s="1268"/>
      <c r="RW1348" s="1268"/>
      <c r="RX1348" s="1268"/>
      <c r="RY1348" s="1268"/>
      <c r="RZ1348" s="1268"/>
      <c r="SA1348" s="1268"/>
      <c r="SB1348" s="1268"/>
      <c r="SC1348" s="1268"/>
      <c r="SD1348" s="1268"/>
      <c r="SE1348" s="1268"/>
      <c r="SF1348" s="1268"/>
      <c r="SG1348" s="1268"/>
      <c r="SH1348" s="1268"/>
      <c r="SI1348" s="1268"/>
      <c r="SJ1348" s="1268"/>
      <c r="SK1348" s="1268"/>
      <c r="SL1348" s="1268"/>
      <c r="SM1348" s="1268"/>
      <c r="SN1348" s="1268"/>
      <c r="SO1348" s="1268"/>
      <c r="SP1348" s="1268"/>
      <c r="SQ1348" s="1268"/>
      <c r="SR1348" s="1268"/>
      <c r="SS1348" s="1268"/>
      <c r="ST1348" s="1268"/>
      <c r="SU1348" s="1268"/>
      <c r="SV1348" s="1268"/>
      <c r="SW1348" s="1268"/>
      <c r="SX1348" s="1268"/>
      <c r="SY1348" s="1268"/>
      <c r="SZ1348" s="1268"/>
      <c r="TA1348" s="1268"/>
      <c r="TB1348" s="1268"/>
      <c r="TC1348" s="1268"/>
      <c r="TD1348" s="1268"/>
      <c r="TE1348" s="1268"/>
      <c r="TF1348" s="1268"/>
      <c r="TG1348" s="1268"/>
      <c r="TH1348" s="1268"/>
      <c r="TI1348" s="1268"/>
      <c r="TJ1348" s="1268"/>
      <c r="TK1348" s="1268"/>
      <c r="TL1348" s="1268"/>
      <c r="TM1348" s="1268"/>
      <c r="TN1348" s="1268"/>
      <c r="TO1348" s="1268"/>
      <c r="TP1348" s="1268"/>
      <c r="TQ1348" s="1268"/>
      <c r="TR1348" s="1268"/>
      <c r="TS1348" s="1268"/>
      <c r="TT1348" s="1268"/>
      <c r="TU1348" s="1268"/>
      <c r="TV1348" s="1268"/>
      <c r="TW1348" s="1268"/>
      <c r="TX1348" s="1268"/>
      <c r="TY1348" s="1268"/>
      <c r="TZ1348" s="1268"/>
      <c r="UA1348" s="1268"/>
      <c r="UB1348" s="1268"/>
      <c r="UC1348" s="1268"/>
      <c r="UD1348" s="1268"/>
      <c r="UE1348" s="1268"/>
      <c r="UF1348" s="1268"/>
      <c r="UG1348" s="1268"/>
    </row>
    <row r="1349" spans="1:553" s="1262" customFormat="1" ht="25.15" customHeight="1">
      <c r="A1349" s="411" t="s">
        <v>15</v>
      </c>
      <c r="B1349" s="411"/>
      <c r="C1349" s="1595" t="s">
        <v>269</v>
      </c>
      <c r="D1349" s="1596"/>
      <c r="E1349" s="1596"/>
      <c r="F1349" s="1596"/>
      <c r="G1349" s="1226" t="s">
        <v>196</v>
      </c>
      <c r="H1349" s="502"/>
      <c r="I1349" s="607">
        <f>(132.2*100/1200)*1</f>
        <v>11.016666666666666</v>
      </c>
      <c r="J1349" s="1243">
        <v>6600</v>
      </c>
      <c r="K1349" s="607"/>
      <c r="L1349" s="679">
        <f>J1349*I1349</f>
        <v>72710</v>
      </c>
      <c r="M1349" s="356"/>
      <c r="N1349" s="356"/>
      <c r="O1349" s="356"/>
      <c r="P1349" s="356"/>
      <c r="Q1349" s="610"/>
      <c r="R1349" s="1452"/>
      <c r="S1349" s="308"/>
      <c r="T1349" s="308"/>
      <c r="U1349" s="308"/>
      <c r="V1349" s="308"/>
      <c r="W1349" s="308"/>
      <c r="X1349" s="308"/>
      <c r="Y1349" s="308"/>
      <c r="Z1349" s="604"/>
      <c r="AA1349" s="308"/>
      <c r="AB1349" s="308"/>
      <c r="AC1349" s="486"/>
      <c r="AD1349" s="486"/>
      <c r="AE1349" s="486"/>
      <c r="AF1349" s="486"/>
      <c r="AG1349" s="486"/>
      <c r="AH1349" s="486"/>
      <c r="AI1349" s="486"/>
      <c r="AJ1349" s="486"/>
      <c r="AK1349" s="486"/>
      <c r="AL1349" s="1267"/>
      <c r="AM1349" s="1268"/>
      <c r="AN1349" s="1268"/>
      <c r="AO1349" s="1268"/>
      <c r="AP1349" s="1268"/>
      <c r="AQ1349" s="1268"/>
      <c r="AR1349" s="1268"/>
      <c r="AS1349" s="1268"/>
      <c r="AT1349" s="1268"/>
      <c r="AU1349" s="1268"/>
      <c r="AV1349" s="1268"/>
      <c r="AW1349" s="1268"/>
      <c r="AX1349" s="1268"/>
      <c r="AY1349" s="1268"/>
      <c r="AZ1349" s="1268"/>
      <c r="BA1349" s="1268"/>
      <c r="BB1349" s="1268"/>
      <c r="BC1349" s="1268"/>
      <c r="BD1349" s="1268"/>
      <c r="BE1349" s="1268"/>
      <c r="BF1349" s="1268"/>
      <c r="BG1349" s="1268"/>
      <c r="BH1349" s="1268"/>
      <c r="BI1349" s="1268"/>
      <c r="BJ1349" s="1268"/>
      <c r="BK1349" s="1268"/>
      <c r="BL1349" s="1268"/>
      <c r="BM1349" s="1268"/>
      <c r="BN1349" s="1268"/>
      <c r="BO1349" s="1268"/>
      <c r="BP1349" s="1268"/>
      <c r="BQ1349" s="1268"/>
      <c r="BR1349" s="1268"/>
      <c r="BS1349" s="1268"/>
      <c r="BT1349" s="1268"/>
      <c r="BU1349" s="1268"/>
      <c r="BV1349" s="1268"/>
      <c r="BW1349" s="1268"/>
      <c r="BX1349" s="1268"/>
      <c r="BY1349" s="1268"/>
      <c r="BZ1349" s="1268"/>
      <c r="CA1349" s="1268"/>
      <c r="CB1349" s="1268"/>
      <c r="CC1349" s="1268"/>
      <c r="CD1349" s="1268"/>
      <c r="CE1349" s="1268"/>
      <c r="CF1349" s="1268"/>
      <c r="CG1349" s="1268"/>
      <c r="CH1349" s="1268"/>
      <c r="CI1349" s="1268"/>
      <c r="CJ1349" s="1268"/>
      <c r="CK1349" s="1268"/>
      <c r="CL1349" s="1268"/>
      <c r="CM1349" s="1268"/>
      <c r="CN1349" s="1268"/>
      <c r="CO1349" s="1268"/>
      <c r="CP1349" s="1268"/>
      <c r="CQ1349" s="1268"/>
      <c r="CR1349" s="1268"/>
      <c r="CS1349" s="1268"/>
      <c r="CT1349" s="1268"/>
      <c r="CU1349" s="1268"/>
      <c r="CV1349" s="1268"/>
      <c r="CW1349" s="1268"/>
      <c r="CX1349" s="1268"/>
      <c r="CY1349" s="1268"/>
      <c r="CZ1349" s="1268"/>
      <c r="DA1349" s="1268"/>
      <c r="DB1349" s="1268"/>
      <c r="DC1349" s="1268"/>
      <c r="DD1349" s="1268"/>
      <c r="DE1349" s="1268"/>
      <c r="DF1349" s="1268"/>
      <c r="DG1349" s="1268"/>
      <c r="DH1349" s="1268"/>
      <c r="DI1349" s="1268"/>
      <c r="DJ1349" s="1268"/>
      <c r="DK1349" s="1268"/>
      <c r="DL1349" s="1268"/>
      <c r="DM1349" s="1268"/>
      <c r="DN1349" s="1268"/>
      <c r="DO1349" s="1268"/>
      <c r="DP1349" s="1268"/>
      <c r="DQ1349" s="1268"/>
      <c r="DR1349" s="1268"/>
      <c r="DS1349" s="1268"/>
      <c r="DT1349" s="1268"/>
      <c r="DU1349" s="1268"/>
      <c r="DV1349" s="1268"/>
      <c r="DW1349" s="1268"/>
      <c r="DX1349" s="1268"/>
      <c r="DY1349" s="1268"/>
      <c r="DZ1349" s="1268"/>
      <c r="EA1349" s="1268"/>
      <c r="EB1349" s="1268"/>
      <c r="EC1349" s="1268"/>
      <c r="ED1349" s="1268"/>
      <c r="EE1349" s="1268"/>
      <c r="EF1349" s="1268"/>
      <c r="EG1349" s="1268"/>
      <c r="EH1349" s="1268"/>
      <c r="EI1349" s="1268"/>
      <c r="EJ1349" s="1268"/>
      <c r="EK1349" s="1268"/>
      <c r="EL1349" s="1268"/>
      <c r="EM1349" s="1268"/>
      <c r="EN1349" s="1268"/>
      <c r="EO1349" s="1268"/>
      <c r="EP1349" s="1268"/>
      <c r="EQ1349" s="1268"/>
      <c r="ER1349" s="1268"/>
      <c r="ES1349" s="1268"/>
      <c r="ET1349" s="1268"/>
      <c r="EU1349" s="1268"/>
      <c r="EV1349" s="1268"/>
      <c r="EW1349" s="1268"/>
      <c r="EX1349" s="1268"/>
      <c r="EY1349" s="1268"/>
      <c r="EZ1349" s="1268"/>
      <c r="FA1349" s="1268"/>
      <c r="FB1349" s="1268"/>
      <c r="FC1349" s="1268"/>
      <c r="FD1349" s="1268"/>
      <c r="FE1349" s="1268"/>
      <c r="FF1349" s="1268"/>
      <c r="FG1349" s="1268"/>
      <c r="FH1349" s="1268"/>
      <c r="FI1349" s="1268"/>
      <c r="FJ1349" s="1268"/>
      <c r="FK1349" s="1268"/>
      <c r="FL1349" s="1268"/>
      <c r="FM1349" s="1268"/>
      <c r="FN1349" s="1268"/>
      <c r="FO1349" s="1268"/>
      <c r="FP1349" s="1268"/>
      <c r="FQ1349" s="1268"/>
      <c r="FR1349" s="1268"/>
      <c r="FS1349" s="1268"/>
      <c r="FT1349" s="1268"/>
      <c r="FU1349" s="1268"/>
      <c r="FV1349" s="1268"/>
      <c r="FW1349" s="1268"/>
      <c r="FX1349" s="1268"/>
      <c r="FY1349" s="1268"/>
      <c r="FZ1349" s="1268"/>
      <c r="GA1349" s="1268"/>
      <c r="GB1349" s="1268"/>
      <c r="GC1349" s="1268"/>
      <c r="GD1349" s="1268"/>
      <c r="GE1349" s="1268"/>
      <c r="GF1349" s="1268"/>
      <c r="GG1349" s="1268"/>
      <c r="GH1349" s="1268"/>
      <c r="GI1349" s="1268"/>
      <c r="GJ1349" s="1268"/>
      <c r="GK1349" s="1268"/>
      <c r="GL1349" s="1268"/>
      <c r="GM1349" s="1268"/>
      <c r="GN1349" s="1268"/>
      <c r="GO1349" s="1268"/>
      <c r="GP1349" s="1268"/>
      <c r="GQ1349" s="1268"/>
      <c r="GR1349" s="1268"/>
      <c r="GS1349" s="1268"/>
      <c r="GT1349" s="1268"/>
      <c r="GU1349" s="1268"/>
      <c r="GV1349" s="1268"/>
      <c r="GW1349" s="1268"/>
      <c r="GX1349" s="1268"/>
      <c r="GY1349" s="1268"/>
      <c r="GZ1349" s="1268"/>
      <c r="HA1349" s="1268"/>
      <c r="HB1349" s="1268"/>
      <c r="HC1349" s="1268"/>
      <c r="HD1349" s="1268"/>
      <c r="HE1349" s="1268"/>
      <c r="HF1349" s="1268"/>
      <c r="HG1349" s="1268"/>
      <c r="HH1349" s="1268"/>
      <c r="HI1349" s="1268"/>
      <c r="HJ1349" s="1268"/>
      <c r="HK1349" s="1268"/>
      <c r="HL1349" s="1268"/>
      <c r="HM1349" s="1268"/>
      <c r="HN1349" s="1268"/>
      <c r="HO1349" s="1268"/>
      <c r="HP1349" s="1268"/>
      <c r="HQ1349" s="1268"/>
      <c r="HR1349" s="1268"/>
      <c r="HS1349" s="1268"/>
      <c r="HT1349" s="1268"/>
      <c r="HU1349" s="1268"/>
      <c r="HV1349" s="1268"/>
      <c r="HW1349" s="1268"/>
      <c r="HX1349" s="1268"/>
      <c r="HY1349" s="1268"/>
      <c r="HZ1349" s="1268"/>
      <c r="IA1349" s="1268"/>
      <c r="IB1349" s="1268"/>
      <c r="IC1349" s="1268"/>
      <c r="ID1349" s="1268"/>
      <c r="IE1349" s="1268"/>
      <c r="IF1349" s="1268"/>
      <c r="IG1349" s="1268"/>
      <c r="IH1349" s="1268"/>
      <c r="II1349" s="1268"/>
      <c r="IJ1349" s="1268"/>
      <c r="IK1349" s="1268"/>
      <c r="IL1349" s="1268"/>
      <c r="IM1349" s="1268"/>
      <c r="IN1349" s="1268"/>
      <c r="IO1349" s="1268"/>
      <c r="IP1349" s="1268"/>
      <c r="IQ1349" s="1268"/>
      <c r="IR1349" s="1268"/>
      <c r="IS1349" s="1268"/>
      <c r="IT1349" s="1268"/>
      <c r="IU1349" s="1268"/>
      <c r="IV1349" s="1268"/>
      <c r="IW1349" s="1268"/>
      <c r="IX1349" s="1268"/>
      <c r="IY1349" s="1268"/>
      <c r="IZ1349" s="1268"/>
      <c r="JA1349" s="1268"/>
      <c r="JB1349" s="1268"/>
      <c r="JC1349" s="1268"/>
      <c r="JD1349" s="1268"/>
      <c r="JE1349" s="1268"/>
      <c r="JF1349" s="1268"/>
      <c r="JG1349" s="1268"/>
      <c r="JH1349" s="1268"/>
      <c r="JI1349" s="1268"/>
      <c r="JJ1349" s="1268"/>
      <c r="JK1349" s="1268"/>
      <c r="JL1349" s="1268"/>
      <c r="JM1349" s="1268"/>
      <c r="JN1349" s="1268"/>
      <c r="JO1349" s="1268"/>
      <c r="JP1349" s="1268"/>
      <c r="JQ1349" s="1268"/>
      <c r="JR1349" s="1268"/>
      <c r="JS1349" s="1268"/>
      <c r="JT1349" s="1268"/>
      <c r="JU1349" s="1268"/>
      <c r="JV1349" s="1268"/>
      <c r="JW1349" s="1268"/>
      <c r="JX1349" s="1268"/>
      <c r="JY1349" s="1268"/>
      <c r="JZ1349" s="1268"/>
      <c r="KA1349" s="1268"/>
      <c r="KB1349" s="1268"/>
      <c r="KC1349" s="1268"/>
      <c r="KD1349" s="1268"/>
      <c r="KE1349" s="1268"/>
      <c r="KF1349" s="1268"/>
      <c r="KG1349" s="1268"/>
      <c r="KH1349" s="1268"/>
      <c r="KI1349" s="1268"/>
      <c r="KJ1349" s="1268"/>
      <c r="KK1349" s="1268"/>
      <c r="KL1349" s="1268"/>
      <c r="KM1349" s="1268"/>
      <c r="KN1349" s="1268"/>
      <c r="KO1349" s="1268"/>
      <c r="KP1349" s="1268"/>
      <c r="KQ1349" s="1268"/>
      <c r="KR1349" s="1268"/>
      <c r="KS1349" s="1268"/>
      <c r="KT1349" s="1268"/>
      <c r="KU1349" s="1268"/>
      <c r="KV1349" s="1268"/>
      <c r="KW1349" s="1268"/>
      <c r="KX1349" s="1268"/>
      <c r="KY1349" s="1268"/>
      <c r="KZ1349" s="1268"/>
      <c r="LA1349" s="1268"/>
      <c r="LB1349" s="1268"/>
      <c r="LC1349" s="1268"/>
      <c r="LD1349" s="1268"/>
      <c r="LE1349" s="1268"/>
      <c r="LF1349" s="1268"/>
      <c r="LG1349" s="1268"/>
      <c r="LH1349" s="1268"/>
      <c r="LI1349" s="1268"/>
      <c r="LJ1349" s="1268"/>
      <c r="LK1349" s="1268"/>
      <c r="LL1349" s="1268"/>
      <c r="LM1349" s="1268"/>
      <c r="LN1349" s="1268"/>
      <c r="LO1349" s="1268"/>
      <c r="LP1349" s="1268"/>
      <c r="LQ1349" s="1268"/>
      <c r="LR1349" s="1268"/>
      <c r="LS1349" s="1268"/>
      <c r="LT1349" s="1268"/>
      <c r="LU1349" s="1268"/>
      <c r="LV1349" s="1268"/>
      <c r="LW1349" s="1268"/>
      <c r="LX1349" s="1268"/>
      <c r="LY1349" s="1268"/>
      <c r="LZ1349" s="1268"/>
      <c r="MA1349" s="1268"/>
      <c r="MB1349" s="1268"/>
      <c r="MC1349" s="1268"/>
      <c r="MD1349" s="1268"/>
      <c r="ME1349" s="1268"/>
      <c r="MF1349" s="1268"/>
      <c r="MG1349" s="1268"/>
      <c r="MH1349" s="1268"/>
      <c r="MI1349" s="1268"/>
      <c r="MJ1349" s="1268"/>
      <c r="MK1349" s="1268"/>
      <c r="ML1349" s="1268"/>
      <c r="MM1349" s="1268"/>
      <c r="MN1349" s="1268"/>
      <c r="MO1349" s="1268"/>
      <c r="MP1349" s="1268"/>
      <c r="MQ1349" s="1268"/>
      <c r="MR1349" s="1268"/>
      <c r="MS1349" s="1268"/>
      <c r="MT1349" s="1268"/>
      <c r="MU1349" s="1268"/>
      <c r="MV1349" s="1268"/>
      <c r="MW1349" s="1268"/>
      <c r="MX1349" s="1268"/>
      <c r="MY1349" s="1268"/>
      <c r="MZ1349" s="1268"/>
      <c r="NA1349" s="1268"/>
      <c r="NB1349" s="1268"/>
      <c r="NC1349" s="1268"/>
      <c r="ND1349" s="1268"/>
      <c r="NE1349" s="1268"/>
      <c r="NF1349" s="1268"/>
      <c r="NG1349" s="1268"/>
      <c r="NH1349" s="1268"/>
      <c r="NI1349" s="1268"/>
      <c r="NJ1349" s="1268"/>
      <c r="NK1349" s="1268"/>
      <c r="NL1349" s="1268"/>
      <c r="NM1349" s="1268"/>
      <c r="NN1349" s="1268"/>
      <c r="NO1349" s="1268"/>
      <c r="NP1349" s="1268"/>
      <c r="NQ1349" s="1268"/>
      <c r="NR1349" s="1268"/>
      <c r="NS1349" s="1268"/>
      <c r="NT1349" s="1268"/>
      <c r="NU1349" s="1268"/>
      <c r="NV1349" s="1268"/>
      <c r="NW1349" s="1268"/>
      <c r="NX1349" s="1268"/>
      <c r="NY1349" s="1268"/>
      <c r="NZ1349" s="1268"/>
      <c r="OA1349" s="1268"/>
      <c r="OB1349" s="1268"/>
      <c r="OC1349" s="1268"/>
      <c r="OD1349" s="1268"/>
      <c r="OE1349" s="1268"/>
      <c r="OF1349" s="1268"/>
      <c r="OG1349" s="1268"/>
      <c r="OH1349" s="1268"/>
      <c r="OI1349" s="1268"/>
      <c r="OJ1349" s="1268"/>
      <c r="OK1349" s="1268"/>
      <c r="OL1349" s="1268"/>
      <c r="OM1349" s="1268"/>
      <c r="ON1349" s="1268"/>
      <c r="OO1349" s="1268"/>
      <c r="OP1349" s="1268"/>
      <c r="OQ1349" s="1268"/>
      <c r="OR1349" s="1268"/>
      <c r="OS1349" s="1268"/>
      <c r="OT1349" s="1268"/>
      <c r="OU1349" s="1268"/>
      <c r="OV1349" s="1268"/>
      <c r="OW1349" s="1268"/>
      <c r="OX1349" s="1268"/>
      <c r="OY1349" s="1268"/>
      <c r="OZ1349" s="1268"/>
      <c r="PA1349" s="1268"/>
      <c r="PB1349" s="1268"/>
      <c r="PC1349" s="1268"/>
      <c r="PD1349" s="1268"/>
      <c r="PE1349" s="1268"/>
      <c r="PF1349" s="1268"/>
      <c r="PG1349" s="1268"/>
      <c r="PH1349" s="1268"/>
      <c r="PI1349" s="1268"/>
      <c r="PJ1349" s="1268"/>
      <c r="PK1349" s="1268"/>
      <c r="PL1349" s="1268"/>
      <c r="PM1349" s="1268"/>
      <c r="PN1349" s="1268"/>
      <c r="PO1349" s="1268"/>
      <c r="PP1349" s="1268"/>
      <c r="PQ1349" s="1268"/>
      <c r="PR1349" s="1268"/>
      <c r="PS1349" s="1268"/>
      <c r="PT1349" s="1268"/>
      <c r="PU1349" s="1268"/>
      <c r="PV1349" s="1268"/>
      <c r="PW1349" s="1268"/>
      <c r="PX1349" s="1268"/>
      <c r="PY1349" s="1268"/>
      <c r="PZ1349" s="1268"/>
      <c r="QA1349" s="1268"/>
      <c r="QB1349" s="1268"/>
      <c r="QC1349" s="1268"/>
      <c r="QD1349" s="1268"/>
      <c r="QE1349" s="1268"/>
      <c r="QF1349" s="1268"/>
      <c r="QG1349" s="1268"/>
      <c r="QH1349" s="1268"/>
      <c r="QI1349" s="1268"/>
      <c r="QJ1349" s="1268"/>
      <c r="QK1349" s="1268"/>
      <c r="QL1349" s="1268"/>
      <c r="QM1349" s="1268"/>
      <c r="QN1349" s="1268"/>
      <c r="QO1349" s="1268"/>
      <c r="QP1349" s="1268"/>
      <c r="QQ1349" s="1268"/>
      <c r="QR1349" s="1268"/>
      <c r="QS1349" s="1268"/>
      <c r="QT1349" s="1268"/>
      <c r="QU1349" s="1268"/>
      <c r="QV1349" s="1268"/>
      <c r="QW1349" s="1268"/>
      <c r="QX1349" s="1268"/>
      <c r="QY1349" s="1268"/>
      <c r="QZ1349" s="1268"/>
      <c r="RA1349" s="1268"/>
      <c r="RB1349" s="1268"/>
      <c r="RC1349" s="1268"/>
      <c r="RD1349" s="1268"/>
      <c r="RE1349" s="1268"/>
      <c r="RF1349" s="1268"/>
      <c r="RG1349" s="1268"/>
      <c r="RH1349" s="1268"/>
      <c r="RI1349" s="1268"/>
      <c r="RJ1349" s="1268"/>
      <c r="RK1349" s="1268"/>
      <c r="RL1349" s="1268"/>
      <c r="RM1349" s="1268"/>
      <c r="RN1349" s="1268"/>
      <c r="RO1349" s="1268"/>
      <c r="RP1349" s="1268"/>
      <c r="RQ1349" s="1268"/>
      <c r="RR1349" s="1268"/>
      <c r="RS1349" s="1268"/>
      <c r="RT1349" s="1268"/>
      <c r="RU1349" s="1268"/>
      <c r="RV1349" s="1268"/>
      <c r="RW1349" s="1268"/>
      <c r="RX1349" s="1268"/>
      <c r="RY1349" s="1268"/>
      <c r="RZ1349" s="1268"/>
      <c r="SA1349" s="1268"/>
      <c r="SB1349" s="1268"/>
      <c r="SC1349" s="1268"/>
      <c r="SD1349" s="1268"/>
      <c r="SE1349" s="1268"/>
      <c r="SF1349" s="1268"/>
      <c r="SG1349" s="1268"/>
      <c r="SH1349" s="1268"/>
      <c r="SI1349" s="1268"/>
      <c r="SJ1349" s="1268"/>
      <c r="SK1349" s="1268"/>
      <c r="SL1349" s="1268"/>
      <c r="SM1349" s="1268"/>
      <c r="SN1349" s="1268"/>
      <c r="SO1349" s="1268"/>
      <c r="SP1349" s="1268"/>
      <c r="SQ1349" s="1268"/>
      <c r="SR1349" s="1268"/>
      <c r="SS1349" s="1268"/>
      <c r="ST1349" s="1268"/>
      <c r="SU1349" s="1268"/>
      <c r="SV1349" s="1268"/>
      <c r="SW1349" s="1268"/>
      <c r="SX1349" s="1268"/>
      <c r="SY1349" s="1268"/>
      <c r="SZ1349" s="1268"/>
      <c r="TA1349" s="1268"/>
      <c r="TB1349" s="1268"/>
      <c r="TC1349" s="1268"/>
      <c r="TD1349" s="1268"/>
      <c r="TE1349" s="1268"/>
      <c r="TF1349" s="1268"/>
      <c r="TG1349" s="1268"/>
      <c r="TH1349" s="1268"/>
      <c r="TI1349" s="1268"/>
      <c r="TJ1349" s="1268"/>
      <c r="TK1349" s="1268"/>
      <c r="TL1349" s="1268"/>
      <c r="TM1349" s="1268"/>
      <c r="TN1349" s="1268"/>
      <c r="TO1349" s="1268"/>
      <c r="TP1349" s="1268"/>
      <c r="TQ1349" s="1268"/>
      <c r="TR1349" s="1268"/>
      <c r="TS1349" s="1268"/>
      <c r="TT1349" s="1268"/>
      <c r="TU1349" s="1268"/>
      <c r="TV1349" s="1268"/>
      <c r="TW1349" s="1268"/>
      <c r="TX1349" s="1268"/>
      <c r="TY1349" s="1268"/>
      <c r="TZ1349" s="1268"/>
      <c r="UA1349" s="1268"/>
      <c r="UB1349" s="1268"/>
      <c r="UC1349" s="1268"/>
      <c r="UD1349" s="1268"/>
      <c r="UE1349" s="1268"/>
      <c r="UF1349" s="1268"/>
      <c r="UG1349" s="1268"/>
    </row>
    <row r="1350" spans="1:553" s="1262" customFormat="1" ht="55.9" customHeight="1">
      <c r="A1350" s="414" t="s">
        <v>15</v>
      </c>
      <c r="B1350" s="414"/>
      <c r="C1350" s="1417" t="s">
        <v>728</v>
      </c>
      <c r="D1350" s="1418"/>
      <c r="E1350" s="1418"/>
      <c r="F1350" s="1419"/>
      <c r="G1350" s="416" t="s">
        <v>193</v>
      </c>
      <c r="H1350" s="504"/>
      <c r="I1350" s="505">
        <v>2</v>
      </c>
      <c r="J1350" s="572">
        <v>522000</v>
      </c>
      <c r="K1350" s="505"/>
      <c r="L1350" s="1195">
        <f>ROUND(PRODUCT(I1350:K1350),0)</f>
        <v>1044000</v>
      </c>
      <c r="M1350" s="401"/>
      <c r="N1350" s="401"/>
      <c r="O1350" s="356"/>
      <c r="P1350" s="356"/>
      <c r="Q1350" s="610"/>
      <c r="R1350" s="1452"/>
      <c r="S1350" s="308"/>
      <c r="T1350" s="308"/>
      <c r="U1350" s="308"/>
      <c r="V1350" s="308"/>
      <c r="W1350" s="308"/>
      <c r="X1350" s="308"/>
      <c r="Y1350" s="308"/>
      <c r="Z1350" s="604"/>
      <c r="AA1350" s="308"/>
      <c r="AB1350" s="308"/>
      <c r="AC1350" s="486"/>
      <c r="AD1350" s="486"/>
      <c r="AE1350" s="486"/>
      <c r="AF1350" s="486"/>
      <c r="AG1350" s="486"/>
      <c r="AH1350" s="486"/>
      <c r="AI1350" s="486"/>
      <c r="AJ1350" s="486"/>
      <c r="AK1350" s="486"/>
      <c r="AL1350" s="1267"/>
      <c r="AM1350" s="1268"/>
      <c r="AN1350" s="1268"/>
      <c r="AO1350" s="1268"/>
      <c r="AP1350" s="1268"/>
      <c r="AQ1350" s="1268"/>
      <c r="AR1350" s="1268"/>
      <c r="AS1350" s="1268"/>
      <c r="AT1350" s="1268"/>
      <c r="AU1350" s="1268"/>
      <c r="AV1350" s="1268"/>
      <c r="AW1350" s="1268"/>
      <c r="AX1350" s="1268"/>
      <c r="AY1350" s="1268"/>
      <c r="AZ1350" s="1268"/>
      <c r="BA1350" s="1268"/>
      <c r="BB1350" s="1268"/>
      <c r="BC1350" s="1268"/>
      <c r="BD1350" s="1268"/>
      <c r="BE1350" s="1268"/>
      <c r="BF1350" s="1268"/>
      <c r="BG1350" s="1268"/>
      <c r="BH1350" s="1268"/>
      <c r="BI1350" s="1268"/>
      <c r="BJ1350" s="1268"/>
      <c r="BK1350" s="1268"/>
      <c r="BL1350" s="1268"/>
      <c r="BM1350" s="1268"/>
      <c r="BN1350" s="1268"/>
      <c r="BO1350" s="1268"/>
      <c r="BP1350" s="1268"/>
      <c r="BQ1350" s="1268"/>
      <c r="BR1350" s="1268"/>
      <c r="BS1350" s="1268"/>
      <c r="BT1350" s="1268"/>
      <c r="BU1350" s="1268"/>
      <c r="BV1350" s="1268"/>
      <c r="BW1350" s="1268"/>
      <c r="BX1350" s="1268"/>
      <c r="BY1350" s="1268"/>
      <c r="BZ1350" s="1268"/>
      <c r="CA1350" s="1268"/>
      <c r="CB1350" s="1268"/>
      <c r="CC1350" s="1268"/>
      <c r="CD1350" s="1268"/>
      <c r="CE1350" s="1268"/>
      <c r="CF1350" s="1268"/>
      <c r="CG1350" s="1268"/>
      <c r="CH1350" s="1268"/>
      <c r="CI1350" s="1268"/>
      <c r="CJ1350" s="1268"/>
      <c r="CK1350" s="1268"/>
      <c r="CL1350" s="1268"/>
      <c r="CM1350" s="1268"/>
      <c r="CN1350" s="1268"/>
      <c r="CO1350" s="1268"/>
      <c r="CP1350" s="1268"/>
      <c r="CQ1350" s="1268"/>
      <c r="CR1350" s="1268"/>
      <c r="CS1350" s="1268"/>
      <c r="CT1350" s="1268"/>
      <c r="CU1350" s="1268"/>
      <c r="CV1350" s="1268"/>
      <c r="CW1350" s="1268"/>
      <c r="CX1350" s="1268"/>
      <c r="CY1350" s="1268"/>
      <c r="CZ1350" s="1268"/>
      <c r="DA1350" s="1268"/>
      <c r="DB1350" s="1268"/>
      <c r="DC1350" s="1268"/>
      <c r="DD1350" s="1268"/>
      <c r="DE1350" s="1268"/>
      <c r="DF1350" s="1268"/>
      <c r="DG1350" s="1268"/>
      <c r="DH1350" s="1268"/>
      <c r="DI1350" s="1268"/>
      <c r="DJ1350" s="1268"/>
      <c r="DK1350" s="1268"/>
      <c r="DL1350" s="1268"/>
      <c r="DM1350" s="1268"/>
      <c r="DN1350" s="1268"/>
      <c r="DO1350" s="1268"/>
      <c r="DP1350" s="1268"/>
      <c r="DQ1350" s="1268"/>
      <c r="DR1350" s="1268"/>
      <c r="DS1350" s="1268"/>
      <c r="DT1350" s="1268"/>
      <c r="DU1350" s="1268"/>
      <c r="DV1350" s="1268"/>
      <c r="DW1350" s="1268"/>
      <c r="DX1350" s="1268"/>
      <c r="DY1350" s="1268"/>
      <c r="DZ1350" s="1268"/>
      <c r="EA1350" s="1268"/>
      <c r="EB1350" s="1268"/>
      <c r="EC1350" s="1268"/>
      <c r="ED1350" s="1268"/>
      <c r="EE1350" s="1268"/>
      <c r="EF1350" s="1268"/>
      <c r="EG1350" s="1268"/>
      <c r="EH1350" s="1268"/>
      <c r="EI1350" s="1268"/>
      <c r="EJ1350" s="1268"/>
      <c r="EK1350" s="1268"/>
      <c r="EL1350" s="1268"/>
      <c r="EM1350" s="1268"/>
      <c r="EN1350" s="1268"/>
      <c r="EO1350" s="1268"/>
      <c r="EP1350" s="1268"/>
      <c r="EQ1350" s="1268"/>
      <c r="ER1350" s="1268"/>
      <c r="ES1350" s="1268"/>
      <c r="ET1350" s="1268"/>
      <c r="EU1350" s="1268"/>
      <c r="EV1350" s="1268"/>
      <c r="EW1350" s="1268"/>
      <c r="EX1350" s="1268"/>
      <c r="EY1350" s="1268"/>
      <c r="EZ1350" s="1268"/>
      <c r="FA1350" s="1268"/>
      <c r="FB1350" s="1268"/>
      <c r="FC1350" s="1268"/>
      <c r="FD1350" s="1268"/>
      <c r="FE1350" s="1268"/>
      <c r="FF1350" s="1268"/>
      <c r="FG1350" s="1268"/>
      <c r="FH1350" s="1268"/>
      <c r="FI1350" s="1268"/>
      <c r="FJ1350" s="1268"/>
      <c r="FK1350" s="1268"/>
      <c r="FL1350" s="1268"/>
      <c r="FM1350" s="1268"/>
      <c r="FN1350" s="1268"/>
      <c r="FO1350" s="1268"/>
      <c r="FP1350" s="1268"/>
      <c r="FQ1350" s="1268"/>
      <c r="FR1350" s="1268"/>
      <c r="FS1350" s="1268"/>
      <c r="FT1350" s="1268"/>
      <c r="FU1350" s="1268"/>
      <c r="FV1350" s="1268"/>
      <c r="FW1350" s="1268"/>
      <c r="FX1350" s="1268"/>
      <c r="FY1350" s="1268"/>
      <c r="FZ1350" s="1268"/>
      <c r="GA1350" s="1268"/>
      <c r="GB1350" s="1268"/>
      <c r="GC1350" s="1268"/>
      <c r="GD1350" s="1268"/>
      <c r="GE1350" s="1268"/>
      <c r="GF1350" s="1268"/>
      <c r="GG1350" s="1268"/>
      <c r="GH1350" s="1268"/>
      <c r="GI1350" s="1268"/>
      <c r="GJ1350" s="1268"/>
      <c r="GK1350" s="1268"/>
      <c r="GL1350" s="1268"/>
      <c r="GM1350" s="1268"/>
      <c r="GN1350" s="1268"/>
      <c r="GO1350" s="1268"/>
      <c r="GP1350" s="1268"/>
      <c r="GQ1350" s="1268"/>
      <c r="GR1350" s="1268"/>
      <c r="GS1350" s="1268"/>
      <c r="GT1350" s="1268"/>
      <c r="GU1350" s="1268"/>
      <c r="GV1350" s="1268"/>
      <c r="GW1350" s="1268"/>
      <c r="GX1350" s="1268"/>
      <c r="GY1350" s="1268"/>
      <c r="GZ1350" s="1268"/>
      <c r="HA1350" s="1268"/>
      <c r="HB1350" s="1268"/>
      <c r="HC1350" s="1268"/>
      <c r="HD1350" s="1268"/>
      <c r="HE1350" s="1268"/>
      <c r="HF1350" s="1268"/>
      <c r="HG1350" s="1268"/>
      <c r="HH1350" s="1268"/>
      <c r="HI1350" s="1268"/>
      <c r="HJ1350" s="1268"/>
      <c r="HK1350" s="1268"/>
      <c r="HL1350" s="1268"/>
      <c r="HM1350" s="1268"/>
      <c r="HN1350" s="1268"/>
      <c r="HO1350" s="1268"/>
      <c r="HP1350" s="1268"/>
      <c r="HQ1350" s="1268"/>
      <c r="HR1350" s="1268"/>
      <c r="HS1350" s="1268"/>
      <c r="HT1350" s="1268"/>
      <c r="HU1350" s="1268"/>
      <c r="HV1350" s="1268"/>
      <c r="HW1350" s="1268"/>
      <c r="HX1350" s="1268"/>
      <c r="HY1350" s="1268"/>
      <c r="HZ1350" s="1268"/>
      <c r="IA1350" s="1268"/>
      <c r="IB1350" s="1268"/>
      <c r="IC1350" s="1268"/>
      <c r="ID1350" s="1268"/>
      <c r="IE1350" s="1268"/>
      <c r="IF1350" s="1268"/>
      <c r="IG1350" s="1268"/>
      <c r="IH1350" s="1268"/>
      <c r="II1350" s="1268"/>
      <c r="IJ1350" s="1268"/>
      <c r="IK1350" s="1268"/>
      <c r="IL1350" s="1268"/>
      <c r="IM1350" s="1268"/>
      <c r="IN1350" s="1268"/>
      <c r="IO1350" s="1268"/>
      <c r="IP1350" s="1268"/>
      <c r="IQ1350" s="1268"/>
      <c r="IR1350" s="1268"/>
      <c r="IS1350" s="1268"/>
      <c r="IT1350" s="1268"/>
      <c r="IU1350" s="1268"/>
      <c r="IV1350" s="1268"/>
      <c r="IW1350" s="1268"/>
      <c r="IX1350" s="1268"/>
      <c r="IY1350" s="1268"/>
      <c r="IZ1350" s="1268"/>
      <c r="JA1350" s="1268"/>
      <c r="JB1350" s="1268"/>
      <c r="JC1350" s="1268"/>
      <c r="JD1350" s="1268"/>
      <c r="JE1350" s="1268"/>
      <c r="JF1350" s="1268"/>
      <c r="JG1350" s="1268"/>
      <c r="JH1350" s="1268"/>
      <c r="JI1350" s="1268"/>
      <c r="JJ1350" s="1268"/>
      <c r="JK1350" s="1268"/>
      <c r="JL1350" s="1268"/>
      <c r="JM1350" s="1268"/>
      <c r="JN1350" s="1268"/>
      <c r="JO1350" s="1268"/>
      <c r="JP1350" s="1268"/>
      <c r="JQ1350" s="1268"/>
      <c r="JR1350" s="1268"/>
      <c r="JS1350" s="1268"/>
      <c r="JT1350" s="1268"/>
      <c r="JU1350" s="1268"/>
      <c r="JV1350" s="1268"/>
      <c r="JW1350" s="1268"/>
      <c r="JX1350" s="1268"/>
      <c r="JY1350" s="1268"/>
      <c r="JZ1350" s="1268"/>
      <c r="KA1350" s="1268"/>
      <c r="KB1350" s="1268"/>
      <c r="KC1350" s="1268"/>
      <c r="KD1350" s="1268"/>
      <c r="KE1350" s="1268"/>
      <c r="KF1350" s="1268"/>
      <c r="KG1350" s="1268"/>
      <c r="KH1350" s="1268"/>
      <c r="KI1350" s="1268"/>
      <c r="KJ1350" s="1268"/>
      <c r="KK1350" s="1268"/>
      <c r="KL1350" s="1268"/>
      <c r="KM1350" s="1268"/>
      <c r="KN1350" s="1268"/>
      <c r="KO1350" s="1268"/>
      <c r="KP1350" s="1268"/>
      <c r="KQ1350" s="1268"/>
      <c r="KR1350" s="1268"/>
      <c r="KS1350" s="1268"/>
      <c r="KT1350" s="1268"/>
      <c r="KU1350" s="1268"/>
      <c r="KV1350" s="1268"/>
      <c r="KW1350" s="1268"/>
      <c r="KX1350" s="1268"/>
      <c r="KY1350" s="1268"/>
      <c r="KZ1350" s="1268"/>
      <c r="LA1350" s="1268"/>
      <c r="LB1350" s="1268"/>
      <c r="LC1350" s="1268"/>
      <c r="LD1350" s="1268"/>
      <c r="LE1350" s="1268"/>
      <c r="LF1350" s="1268"/>
      <c r="LG1350" s="1268"/>
      <c r="LH1350" s="1268"/>
      <c r="LI1350" s="1268"/>
      <c r="LJ1350" s="1268"/>
      <c r="LK1350" s="1268"/>
      <c r="LL1350" s="1268"/>
      <c r="LM1350" s="1268"/>
      <c r="LN1350" s="1268"/>
      <c r="LO1350" s="1268"/>
      <c r="LP1350" s="1268"/>
      <c r="LQ1350" s="1268"/>
      <c r="LR1350" s="1268"/>
      <c r="LS1350" s="1268"/>
      <c r="LT1350" s="1268"/>
      <c r="LU1350" s="1268"/>
      <c r="LV1350" s="1268"/>
      <c r="LW1350" s="1268"/>
      <c r="LX1350" s="1268"/>
      <c r="LY1350" s="1268"/>
      <c r="LZ1350" s="1268"/>
      <c r="MA1350" s="1268"/>
      <c r="MB1350" s="1268"/>
      <c r="MC1350" s="1268"/>
      <c r="MD1350" s="1268"/>
      <c r="ME1350" s="1268"/>
      <c r="MF1350" s="1268"/>
      <c r="MG1350" s="1268"/>
      <c r="MH1350" s="1268"/>
      <c r="MI1350" s="1268"/>
      <c r="MJ1350" s="1268"/>
      <c r="MK1350" s="1268"/>
      <c r="ML1350" s="1268"/>
      <c r="MM1350" s="1268"/>
      <c r="MN1350" s="1268"/>
      <c r="MO1350" s="1268"/>
      <c r="MP1350" s="1268"/>
      <c r="MQ1350" s="1268"/>
      <c r="MR1350" s="1268"/>
      <c r="MS1350" s="1268"/>
      <c r="MT1350" s="1268"/>
      <c r="MU1350" s="1268"/>
      <c r="MV1350" s="1268"/>
      <c r="MW1350" s="1268"/>
      <c r="MX1350" s="1268"/>
      <c r="MY1350" s="1268"/>
      <c r="MZ1350" s="1268"/>
      <c r="NA1350" s="1268"/>
      <c r="NB1350" s="1268"/>
      <c r="NC1350" s="1268"/>
      <c r="ND1350" s="1268"/>
      <c r="NE1350" s="1268"/>
      <c r="NF1350" s="1268"/>
      <c r="NG1350" s="1268"/>
      <c r="NH1350" s="1268"/>
      <c r="NI1350" s="1268"/>
      <c r="NJ1350" s="1268"/>
      <c r="NK1350" s="1268"/>
      <c r="NL1350" s="1268"/>
      <c r="NM1350" s="1268"/>
      <c r="NN1350" s="1268"/>
      <c r="NO1350" s="1268"/>
      <c r="NP1350" s="1268"/>
      <c r="NQ1350" s="1268"/>
      <c r="NR1350" s="1268"/>
      <c r="NS1350" s="1268"/>
      <c r="NT1350" s="1268"/>
      <c r="NU1350" s="1268"/>
      <c r="NV1350" s="1268"/>
      <c r="NW1350" s="1268"/>
      <c r="NX1350" s="1268"/>
      <c r="NY1350" s="1268"/>
      <c r="NZ1350" s="1268"/>
      <c r="OA1350" s="1268"/>
      <c r="OB1350" s="1268"/>
      <c r="OC1350" s="1268"/>
      <c r="OD1350" s="1268"/>
      <c r="OE1350" s="1268"/>
      <c r="OF1350" s="1268"/>
      <c r="OG1350" s="1268"/>
      <c r="OH1350" s="1268"/>
      <c r="OI1350" s="1268"/>
      <c r="OJ1350" s="1268"/>
      <c r="OK1350" s="1268"/>
      <c r="OL1350" s="1268"/>
      <c r="OM1350" s="1268"/>
      <c r="ON1350" s="1268"/>
      <c r="OO1350" s="1268"/>
      <c r="OP1350" s="1268"/>
      <c r="OQ1350" s="1268"/>
      <c r="OR1350" s="1268"/>
      <c r="OS1350" s="1268"/>
      <c r="OT1350" s="1268"/>
      <c r="OU1350" s="1268"/>
      <c r="OV1350" s="1268"/>
      <c r="OW1350" s="1268"/>
      <c r="OX1350" s="1268"/>
      <c r="OY1350" s="1268"/>
      <c r="OZ1350" s="1268"/>
      <c r="PA1350" s="1268"/>
      <c r="PB1350" s="1268"/>
      <c r="PC1350" s="1268"/>
      <c r="PD1350" s="1268"/>
      <c r="PE1350" s="1268"/>
      <c r="PF1350" s="1268"/>
      <c r="PG1350" s="1268"/>
      <c r="PH1350" s="1268"/>
      <c r="PI1350" s="1268"/>
      <c r="PJ1350" s="1268"/>
      <c r="PK1350" s="1268"/>
      <c r="PL1350" s="1268"/>
      <c r="PM1350" s="1268"/>
      <c r="PN1350" s="1268"/>
      <c r="PO1350" s="1268"/>
      <c r="PP1350" s="1268"/>
      <c r="PQ1350" s="1268"/>
      <c r="PR1350" s="1268"/>
      <c r="PS1350" s="1268"/>
      <c r="PT1350" s="1268"/>
      <c r="PU1350" s="1268"/>
      <c r="PV1350" s="1268"/>
      <c r="PW1350" s="1268"/>
      <c r="PX1350" s="1268"/>
      <c r="PY1350" s="1268"/>
      <c r="PZ1350" s="1268"/>
      <c r="QA1350" s="1268"/>
      <c r="QB1350" s="1268"/>
      <c r="QC1350" s="1268"/>
      <c r="QD1350" s="1268"/>
      <c r="QE1350" s="1268"/>
      <c r="QF1350" s="1268"/>
      <c r="QG1350" s="1268"/>
      <c r="QH1350" s="1268"/>
      <c r="QI1350" s="1268"/>
      <c r="QJ1350" s="1268"/>
      <c r="QK1350" s="1268"/>
      <c r="QL1350" s="1268"/>
      <c r="QM1350" s="1268"/>
      <c r="QN1350" s="1268"/>
      <c r="QO1350" s="1268"/>
      <c r="QP1350" s="1268"/>
      <c r="QQ1350" s="1268"/>
      <c r="QR1350" s="1268"/>
      <c r="QS1350" s="1268"/>
      <c r="QT1350" s="1268"/>
      <c r="QU1350" s="1268"/>
      <c r="QV1350" s="1268"/>
      <c r="QW1350" s="1268"/>
      <c r="QX1350" s="1268"/>
      <c r="QY1350" s="1268"/>
      <c r="QZ1350" s="1268"/>
      <c r="RA1350" s="1268"/>
      <c r="RB1350" s="1268"/>
      <c r="RC1350" s="1268"/>
      <c r="RD1350" s="1268"/>
      <c r="RE1350" s="1268"/>
      <c r="RF1350" s="1268"/>
      <c r="RG1350" s="1268"/>
      <c r="RH1350" s="1268"/>
      <c r="RI1350" s="1268"/>
      <c r="RJ1350" s="1268"/>
      <c r="RK1350" s="1268"/>
      <c r="RL1350" s="1268"/>
      <c r="RM1350" s="1268"/>
      <c r="RN1350" s="1268"/>
      <c r="RO1350" s="1268"/>
      <c r="RP1350" s="1268"/>
      <c r="RQ1350" s="1268"/>
      <c r="RR1350" s="1268"/>
      <c r="RS1350" s="1268"/>
      <c r="RT1350" s="1268"/>
      <c r="RU1350" s="1268"/>
      <c r="RV1350" s="1268"/>
      <c r="RW1350" s="1268"/>
      <c r="RX1350" s="1268"/>
      <c r="RY1350" s="1268"/>
      <c r="RZ1350" s="1268"/>
      <c r="SA1350" s="1268"/>
      <c r="SB1350" s="1268"/>
      <c r="SC1350" s="1268"/>
      <c r="SD1350" s="1268"/>
      <c r="SE1350" s="1268"/>
      <c r="SF1350" s="1268"/>
      <c r="SG1350" s="1268"/>
      <c r="SH1350" s="1268"/>
      <c r="SI1350" s="1268"/>
      <c r="SJ1350" s="1268"/>
      <c r="SK1350" s="1268"/>
      <c r="SL1350" s="1268"/>
      <c r="SM1350" s="1268"/>
      <c r="SN1350" s="1268"/>
      <c r="SO1350" s="1268"/>
      <c r="SP1350" s="1268"/>
      <c r="SQ1350" s="1268"/>
      <c r="SR1350" s="1268"/>
      <c r="SS1350" s="1268"/>
      <c r="ST1350" s="1268"/>
      <c r="SU1350" s="1268"/>
      <c r="SV1350" s="1268"/>
      <c r="SW1350" s="1268"/>
      <c r="SX1350" s="1268"/>
      <c r="SY1350" s="1268"/>
      <c r="SZ1350" s="1268"/>
      <c r="TA1350" s="1268"/>
      <c r="TB1350" s="1268"/>
      <c r="TC1350" s="1268"/>
      <c r="TD1350" s="1268"/>
      <c r="TE1350" s="1268"/>
      <c r="TF1350" s="1268"/>
      <c r="TG1350" s="1268"/>
      <c r="TH1350" s="1268"/>
      <c r="TI1350" s="1268"/>
      <c r="TJ1350" s="1268"/>
      <c r="TK1350" s="1268"/>
      <c r="TL1350" s="1268"/>
      <c r="TM1350" s="1268"/>
      <c r="TN1350" s="1268"/>
      <c r="TO1350" s="1268"/>
      <c r="TP1350" s="1268"/>
      <c r="TQ1350" s="1268"/>
      <c r="TR1350" s="1268"/>
      <c r="TS1350" s="1268"/>
      <c r="TT1350" s="1268"/>
      <c r="TU1350" s="1268"/>
      <c r="TV1350" s="1268"/>
      <c r="TW1350" s="1268"/>
      <c r="TX1350" s="1268"/>
      <c r="TY1350" s="1268"/>
      <c r="TZ1350" s="1268"/>
      <c r="UA1350" s="1268"/>
      <c r="UB1350" s="1268"/>
      <c r="UC1350" s="1268"/>
      <c r="UD1350" s="1268"/>
      <c r="UE1350" s="1268"/>
      <c r="UF1350" s="1268"/>
      <c r="UG1350" s="1268"/>
    </row>
    <row r="1351" spans="1:553" s="1262" customFormat="1" ht="48.75" customHeight="1">
      <c r="A1351" s="356" t="s">
        <v>15</v>
      </c>
      <c r="B1351" s="356"/>
      <c r="C1351" s="1589" t="s">
        <v>729</v>
      </c>
      <c r="D1351" s="1590"/>
      <c r="E1351" s="1590"/>
      <c r="F1351" s="1591"/>
      <c r="G1351" s="417" t="s">
        <v>730</v>
      </c>
      <c r="H1351" s="370"/>
      <c r="I1351" s="443">
        <v>8</v>
      </c>
      <c r="J1351" s="797">
        <v>230000</v>
      </c>
      <c r="K1351" s="443"/>
      <c r="L1351" s="368">
        <f>ROUND(PRODUCT(I1351:K1351),0)</f>
        <v>1840000</v>
      </c>
      <c r="M1351" s="411"/>
      <c r="N1351" s="411"/>
      <c r="O1351" s="425"/>
      <c r="P1351" s="356"/>
      <c r="Q1351" s="610"/>
      <c r="R1351" s="1452"/>
      <c r="S1351" s="308"/>
      <c r="T1351" s="308"/>
      <c r="U1351" s="308"/>
      <c r="V1351" s="308"/>
      <c r="W1351" s="308"/>
      <c r="X1351" s="308"/>
      <c r="Y1351" s="308"/>
      <c r="Z1351" s="604"/>
      <c r="AA1351" s="308"/>
      <c r="AB1351" s="308"/>
      <c r="AC1351" s="486"/>
      <c r="AD1351" s="486"/>
      <c r="AE1351" s="486"/>
      <c r="AF1351" s="486"/>
      <c r="AG1351" s="486"/>
      <c r="AH1351" s="486"/>
      <c r="AI1351" s="486"/>
      <c r="AJ1351" s="486"/>
      <c r="AK1351" s="486"/>
      <c r="AL1351" s="1267"/>
      <c r="AM1351" s="1268"/>
      <c r="AN1351" s="1268"/>
      <c r="AO1351" s="1268"/>
      <c r="AP1351" s="1268"/>
      <c r="AQ1351" s="1268"/>
      <c r="AR1351" s="1268"/>
      <c r="AS1351" s="1268"/>
      <c r="AT1351" s="1268"/>
      <c r="AU1351" s="1268"/>
      <c r="AV1351" s="1268"/>
      <c r="AW1351" s="1268"/>
      <c r="AX1351" s="1268"/>
      <c r="AY1351" s="1268"/>
      <c r="AZ1351" s="1268"/>
      <c r="BA1351" s="1268"/>
      <c r="BB1351" s="1268"/>
      <c r="BC1351" s="1268"/>
      <c r="BD1351" s="1268"/>
      <c r="BE1351" s="1268"/>
      <c r="BF1351" s="1268"/>
      <c r="BG1351" s="1268"/>
      <c r="BH1351" s="1268"/>
      <c r="BI1351" s="1268"/>
      <c r="BJ1351" s="1268"/>
      <c r="BK1351" s="1268"/>
      <c r="BL1351" s="1268"/>
      <c r="BM1351" s="1268"/>
      <c r="BN1351" s="1268"/>
      <c r="BO1351" s="1268"/>
      <c r="BP1351" s="1268"/>
      <c r="BQ1351" s="1268"/>
      <c r="BR1351" s="1268"/>
      <c r="BS1351" s="1268"/>
      <c r="BT1351" s="1268"/>
      <c r="BU1351" s="1268"/>
      <c r="BV1351" s="1268"/>
      <c r="BW1351" s="1268"/>
      <c r="BX1351" s="1268"/>
      <c r="BY1351" s="1268"/>
      <c r="BZ1351" s="1268"/>
      <c r="CA1351" s="1268"/>
      <c r="CB1351" s="1268"/>
      <c r="CC1351" s="1268"/>
      <c r="CD1351" s="1268"/>
      <c r="CE1351" s="1268"/>
      <c r="CF1351" s="1268"/>
      <c r="CG1351" s="1268"/>
      <c r="CH1351" s="1268"/>
      <c r="CI1351" s="1268"/>
      <c r="CJ1351" s="1268"/>
      <c r="CK1351" s="1268"/>
      <c r="CL1351" s="1268"/>
      <c r="CM1351" s="1268"/>
      <c r="CN1351" s="1268"/>
      <c r="CO1351" s="1268"/>
      <c r="CP1351" s="1268"/>
      <c r="CQ1351" s="1268"/>
      <c r="CR1351" s="1268"/>
      <c r="CS1351" s="1268"/>
      <c r="CT1351" s="1268"/>
      <c r="CU1351" s="1268"/>
      <c r="CV1351" s="1268"/>
      <c r="CW1351" s="1268"/>
      <c r="CX1351" s="1268"/>
      <c r="CY1351" s="1268"/>
      <c r="CZ1351" s="1268"/>
      <c r="DA1351" s="1268"/>
      <c r="DB1351" s="1268"/>
      <c r="DC1351" s="1268"/>
      <c r="DD1351" s="1268"/>
      <c r="DE1351" s="1268"/>
      <c r="DF1351" s="1268"/>
      <c r="DG1351" s="1268"/>
      <c r="DH1351" s="1268"/>
      <c r="DI1351" s="1268"/>
      <c r="DJ1351" s="1268"/>
      <c r="DK1351" s="1268"/>
      <c r="DL1351" s="1268"/>
      <c r="DM1351" s="1268"/>
      <c r="DN1351" s="1268"/>
      <c r="DO1351" s="1268"/>
      <c r="DP1351" s="1268"/>
      <c r="DQ1351" s="1268"/>
      <c r="DR1351" s="1268"/>
      <c r="DS1351" s="1268"/>
      <c r="DT1351" s="1268"/>
      <c r="DU1351" s="1268"/>
      <c r="DV1351" s="1268"/>
      <c r="DW1351" s="1268"/>
      <c r="DX1351" s="1268"/>
      <c r="DY1351" s="1268"/>
      <c r="DZ1351" s="1268"/>
      <c r="EA1351" s="1268"/>
      <c r="EB1351" s="1268"/>
      <c r="EC1351" s="1268"/>
      <c r="ED1351" s="1268"/>
      <c r="EE1351" s="1268"/>
      <c r="EF1351" s="1268"/>
      <c r="EG1351" s="1268"/>
      <c r="EH1351" s="1268"/>
      <c r="EI1351" s="1268"/>
      <c r="EJ1351" s="1268"/>
      <c r="EK1351" s="1268"/>
      <c r="EL1351" s="1268"/>
      <c r="EM1351" s="1268"/>
      <c r="EN1351" s="1268"/>
      <c r="EO1351" s="1268"/>
      <c r="EP1351" s="1268"/>
      <c r="EQ1351" s="1268"/>
      <c r="ER1351" s="1268"/>
      <c r="ES1351" s="1268"/>
      <c r="ET1351" s="1268"/>
      <c r="EU1351" s="1268"/>
      <c r="EV1351" s="1268"/>
      <c r="EW1351" s="1268"/>
      <c r="EX1351" s="1268"/>
      <c r="EY1351" s="1268"/>
      <c r="EZ1351" s="1268"/>
      <c r="FA1351" s="1268"/>
      <c r="FB1351" s="1268"/>
      <c r="FC1351" s="1268"/>
      <c r="FD1351" s="1268"/>
      <c r="FE1351" s="1268"/>
      <c r="FF1351" s="1268"/>
      <c r="FG1351" s="1268"/>
      <c r="FH1351" s="1268"/>
      <c r="FI1351" s="1268"/>
      <c r="FJ1351" s="1268"/>
      <c r="FK1351" s="1268"/>
      <c r="FL1351" s="1268"/>
      <c r="FM1351" s="1268"/>
      <c r="FN1351" s="1268"/>
      <c r="FO1351" s="1268"/>
      <c r="FP1351" s="1268"/>
      <c r="FQ1351" s="1268"/>
      <c r="FR1351" s="1268"/>
      <c r="FS1351" s="1268"/>
      <c r="FT1351" s="1268"/>
      <c r="FU1351" s="1268"/>
      <c r="FV1351" s="1268"/>
      <c r="FW1351" s="1268"/>
      <c r="FX1351" s="1268"/>
      <c r="FY1351" s="1268"/>
      <c r="FZ1351" s="1268"/>
      <c r="GA1351" s="1268"/>
      <c r="GB1351" s="1268"/>
      <c r="GC1351" s="1268"/>
      <c r="GD1351" s="1268"/>
      <c r="GE1351" s="1268"/>
      <c r="GF1351" s="1268"/>
      <c r="GG1351" s="1268"/>
      <c r="GH1351" s="1268"/>
      <c r="GI1351" s="1268"/>
      <c r="GJ1351" s="1268"/>
      <c r="GK1351" s="1268"/>
      <c r="GL1351" s="1268"/>
      <c r="GM1351" s="1268"/>
      <c r="GN1351" s="1268"/>
      <c r="GO1351" s="1268"/>
      <c r="GP1351" s="1268"/>
      <c r="GQ1351" s="1268"/>
      <c r="GR1351" s="1268"/>
      <c r="GS1351" s="1268"/>
      <c r="GT1351" s="1268"/>
      <c r="GU1351" s="1268"/>
      <c r="GV1351" s="1268"/>
      <c r="GW1351" s="1268"/>
      <c r="GX1351" s="1268"/>
      <c r="GY1351" s="1268"/>
      <c r="GZ1351" s="1268"/>
      <c r="HA1351" s="1268"/>
      <c r="HB1351" s="1268"/>
      <c r="HC1351" s="1268"/>
      <c r="HD1351" s="1268"/>
      <c r="HE1351" s="1268"/>
      <c r="HF1351" s="1268"/>
      <c r="HG1351" s="1268"/>
      <c r="HH1351" s="1268"/>
      <c r="HI1351" s="1268"/>
      <c r="HJ1351" s="1268"/>
      <c r="HK1351" s="1268"/>
      <c r="HL1351" s="1268"/>
      <c r="HM1351" s="1268"/>
      <c r="HN1351" s="1268"/>
      <c r="HO1351" s="1268"/>
      <c r="HP1351" s="1268"/>
      <c r="HQ1351" s="1268"/>
      <c r="HR1351" s="1268"/>
      <c r="HS1351" s="1268"/>
      <c r="HT1351" s="1268"/>
      <c r="HU1351" s="1268"/>
      <c r="HV1351" s="1268"/>
      <c r="HW1351" s="1268"/>
      <c r="HX1351" s="1268"/>
      <c r="HY1351" s="1268"/>
      <c r="HZ1351" s="1268"/>
      <c r="IA1351" s="1268"/>
      <c r="IB1351" s="1268"/>
      <c r="IC1351" s="1268"/>
      <c r="ID1351" s="1268"/>
      <c r="IE1351" s="1268"/>
      <c r="IF1351" s="1268"/>
      <c r="IG1351" s="1268"/>
      <c r="IH1351" s="1268"/>
      <c r="II1351" s="1268"/>
      <c r="IJ1351" s="1268"/>
      <c r="IK1351" s="1268"/>
      <c r="IL1351" s="1268"/>
      <c r="IM1351" s="1268"/>
      <c r="IN1351" s="1268"/>
      <c r="IO1351" s="1268"/>
      <c r="IP1351" s="1268"/>
      <c r="IQ1351" s="1268"/>
      <c r="IR1351" s="1268"/>
      <c r="IS1351" s="1268"/>
      <c r="IT1351" s="1268"/>
      <c r="IU1351" s="1268"/>
      <c r="IV1351" s="1268"/>
      <c r="IW1351" s="1268"/>
      <c r="IX1351" s="1268"/>
      <c r="IY1351" s="1268"/>
      <c r="IZ1351" s="1268"/>
      <c r="JA1351" s="1268"/>
      <c r="JB1351" s="1268"/>
      <c r="JC1351" s="1268"/>
      <c r="JD1351" s="1268"/>
      <c r="JE1351" s="1268"/>
      <c r="JF1351" s="1268"/>
      <c r="JG1351" s="1268"/>
      <c r="JH1351" s="1268"/>
      <c r="JI1351" s="1268"/>
      <c r="JJ1351" s="1268"/>
      <c r="JK1351" s="1268"/>
      <c r="JL1351" s="1268"/>
      <c r="JM1351" s="1268"/>
      <c r="JN1351" s="1268"/>
      <c r="JO1351" s="1268"/>
      <c r="JP1351" s="1268"/>
      <c r="JQ1351" s="1268"/>
      <c r="JR1351" s="1268"/>
      <c r="JS1351" s="1268"/>
      <c r="JT1351" s="1268"/>
      <c r="JU1351" s="1268"/>
      <c r="JV1351" s="1268"/>
      <c r="JW1351" s="1268"/>
      <c r="JX1351" s="1268"/>
      <c r="JY1351" s="1268"/>
      <c r="JZ1351" s="1268"/>
      <c r="KA1351" s="1268"/>
      <c r="KB1351" s="1268"/>
      <c r="KC1351" s="1268"/>
      <c r="KD1351" s="1268"/>
      <c r="KE1351" s="1268"/>
      <c r="KF1351" s="1268"/>
      <c r="KG1351" s="1268"/>
      <c r="KH1351" s="1268"/>
      <c r="KI1351" s="1268"/>
      <c r="KJ1351" s="1268"/>
      <c r="KK1351" s="1268"/>
      <c r="KL1351" s="1268"/>
      <c r="KM1351" s="1268"/>
      <c r="KN1351" s="1268"/>
      <c r="KO1351" s="1268"/>
      <c r="KP1351" s="1268"/>
      <c r="KQ1351" s="1268"/>
      <c r="KR1351" s="1268"/>
      <c r="KS1351" s="1268"/>
      <c r="KT1351" s="1268"/>
      <c r="KU1351" s="1268"/>
      <c r="KV1351" s="1268"/>
      <c r="KW1351" s="1268"/>
      <c r="KX1351" s="1268"/>
      <c r="KY1351" s="1268"/>
      <c r="KZ1351" s="1268"/>
      <c r="LA1351" s="1268"/>
      <c r="LB1351" s="1268"/>
      <c r="LC1351" s="1268"/>
      <c r="LD1351" s="1268"/>
      <c r="LE1351" s="1268"/>
      <c r="LF1351" s="1268"/>
      <c r="LG1351" s="1268"/>
      <c r="LH1351" s="1268"/>
      <c r="LI1351" s="1268"/>
      <c r="LJ1351" s="1268"/>
      <c r="LK1351" s="1268"/>
      <c r="LL1351" s="1268"/>
      <c r="LM1351" s="1268"/>
      <c r="LN1351" s="1268"/>
      <c r="LO1351" s="1268"/>
      <c r="LP1351" s="1268"/>
      <c r="LQ1351" s="1268"/>
      <c r="LR1351" s="1268"/>
      <c r="LS1351" s="1268"/>
      <c r="LT1351" s="1268"/>
      <c r="LU1351" s="1268"/>
      <c r="LV1351" s="1268"/>
      <c r="LW1351" s="1268"/>
      <c r="LX1351" s="1268"/>
      <c r="LY1351" s="1268"/>
      <c r="LZ1351" s="1268"/>
      <c r="MA1351" s="1268"/>
      <c r="MB1351" s="1268"/>
      <c r="MC1351" s="1268"/>
      <c r="MD1351" s="1268"/>
      <c r="ME1351" s="1268"/>
      <c r="MF1351" s="1268"/>
      <c r="MG1351" s="1268"/>
      <c r="MH1351" s="1268"/>
      <c r="MI1351" s="1268"/>
      <c r="MJ1351" s="1268"/>
      <c r="MK1351" s="1268"/>
      <c r="ML1351" s="1268"/>
      <c r="MM1351" s="1268"/>
      <c r="MN1351" s="1268"/>
      <c r="MO1351" s="1268"/>
      <c r="MP1351" s="1268"/>
      <c r="MQ1351" s="1268"/>
      <c r="MR1351" s="1268"/>
      <c r="MS1351" s="1268"/>
      <c r="MT1351" s="1268"/>
      <c r="MU1351" s="1268"/>
      <c r="MV1351" s="1268"/>
      <c r="MW1351" s="1268"/>
      <c r="MX1351" s="1268"/>
      <c r="MY1351" s="1268"/>
      <c r="MZ1351" s="1268"/>
      <c r="NA1351" s="1268"/>
      <c r="NB1351" s="1268"/>
      <c r="NC1351" s="1268"/>
      <c r="ND1351" s="1268"/>
      <c r="NE1351" s="1268"/>
      <c r="NF1351" s="1268"/>
      <c r="NG1351" s="1268"/>
      <c r="NH1351" s="1268"/>
      <c r="NI1351" s="1268"/>
      <c r="NJ1351" s="1268"/>
      <c r="NK1351" s="1268"/>
      <c r="NL1351" s="1268"/>
      <c r="NM1351" s="1268"/>
      <c r="NN1351" s="1268"/>
      <c r="NO1351" s="1268"/>
      <c r="NP1351" s="1268"/>
      <c r="NQ1351" s="1268"/>
      <c r="NR1351" s="1268"/>
      <c r="NS1351" s="1268"/>
      <c r="NT1351" s="1268"/>
      <c r="NU1351" s="1268"/>
      <c r="NV1351" s="1268"/>
      <c r="NW1351" s="1268"/>
      <c r="NX1351" s="1268"/>
      <c r="NY1351" s="1268"/>
      <c r="NZ1351" s="1268"/>
      <c r="OA1351" s="1268"/>
      <c r="OB1351" s="1268"/>
      <c r="OC1351" s="1268"/>
      <c r="OD1351" s="1268"/>
      <c r="OE1351" s="1268"/>
      <c r="OF1351" s="1268"/>
      <c r="OG1351" s="1268"/>
      <c r="OH1351" s="1268"/>
      <c r="OI1351" s="1268"/>
      <c r="OJ1351" s="1268"/>
      <c r="OK1351" s="1268"/>
      <c r="OL1351" s="1268"/>
      <c r="OM1351" s="1268"/>
      <c r="ON1351" s="1268"/>
      <c r="OO1351" s="1268"/>
      <c r="OP1351" s="1268"/>
      <c r="OQ1351" s="1268"/>
      <c r="OR1351" s="1268"/>
      <c r="OS1351" s="1268"/>
      <c r="OT1351" s="1268"/>
      <c r="OU1351" s="1268"/>
      <c r="OV1351" s="1268"/>
      <c r="OW1351" s="1268"/>
      <c r="OX1351" s="1268"/>
      <c r="OY1351" s="1268"/>
      <c r="OZ1351" s="1268"/>
      <c r="PA1351" s="1268"/>
      <c r="PB1351" s="1268"/>
      <c r="PC1351" s="1268"/>
      <c r="PD1351" s="1268"/>
      <c r="PE1351" s="1268"/>
      <c r="PF1351" s="1268"/>
      <c r="PG1351" s="1268"/>
      <c r="PH1351" s="1268"/>
      <c r="PI1351" s="1268"/>
      <c r="PJ1351" s="1268"/>
      <c r="PK1351" s="1268"/>
      <c r="PL1351" s="1268"/>
      <c r="PM1351" s="1268"/>
      <c r="PN1351" s="1268"/>
      <c r="PO1351" s="1268"/>
      <c r="PP1351" s="1268"/>
      <c r="PQ1351" s="1268"/>
      <c r="PR1351" s="1268"/>
      <c r="PS1351" s="1268"/>
      <c r="PT1351" s="1268"/>
      <c r="PU1351" s="1268"/>
      <c r="PV1351" s="1268"/>
      <c r="PW1351" s="1268"/>
      <c r="PX1351" s="1268"/>
      <c r="PY1351" s="1268"/>
      <c r="PZ1351" s="1268"/>
      <c r="QA1351" s="1268"/>
      <c r="QB1351" s="1268"/>
      <c r="QC1351" s="1268"/>
      <c r="QD1351" s="1268"/>
      <c r="QE1351" s="1268"/>
      <c r="QF1351" s="1268"/>
      <c r="QG1351" s="1268"/>
      <c r="QH1351" s="1268"/>
      <c r="QI1351" s="1268"/>
      <c r="QJ1351" s="1268"/>
      <c r="QK1351" s="1268"/>
      <c r="QL1351" s="1268"/>
      <c r="QM1351" s="1268"/>
      <c r="QN1351" s="1268"/>
      <c r="QO1351" s="1268"/>
      <c r="QP1351" s="1268"/>
      <c r="QQ1351" s="1268"/>
      <c r="QR1351" s="1268"/>
      <c r="QS1351" s="1268"/>
      <c r="QT1351" s="1268"/>
      <c r="QU1351" s="1268"/>
      <c r="QV1351" s="1268"/>
      <c r="QW1351" s="1268"/>
      <c r="QX1351" s="1268"/>
      <c r="QY1351" s="1268"/>
      <c r="QZ1351" s="1268"/>
      <c r="RA1351" s="1268"/>
      <c r="RB1351" s="1268"/>
      <c r="RC1351" s="1268"/>
      <c r="RD1351" s="1268"/>
      <c r="RE1351" s="1268"/>
      <c r="RF1351" s="1268"/>
      <c r="RG1351" s="1268"/>
      <c r="RH1351" s="1268"/>
      <c r="RI1351" s="1268"/>
      <c r="RJ1351" s="1268"/>
      <c r="RK1351" s="1268"/>
      <c r="RL1351" s="1268"/>
      <c r="RM1351" s="1268"/>
      <c r="RN1351" s="1268"/>
      <c r="RO1351" s="1268"/>
      <c r="RP1351" s="1268"/>
      <c r="RQ1351" s="1268"/>
      <c r="RR1351" s="1268"/>
      <c r="RS1351" s="1268"/>
      <c r="RT1351" s="1268"/>
      <c r="RU1351" s="1268"/>
      <c r="RV1351" s="1268"/>
      <c r="RW1351" s="1268"/>
      <c r="RX1351" s="1268"/>
      <c r="RY1351" s="1268"/>
      <c r="RZ1351" s="1268"/>
      <c r="SA1351" s="1268"/>
      <c r="SB1351" s="1268"/>
      <c r="SC1351" s="1268"/>
      <c r="SD1351" s="1268"/>
      <c r="SE1351" s="1268"/>
      <c r="SF1351" s="1268"/>
      <c r="SG1351" s="1268"/>
      <c r="SH1351" s="1268"/>
      <c r="SI1351" s="1268"/>
      <c r="SJ1351" s="1268"/>
      <c r="SK1351" s="1268"/>
      <c r="SL1351" s="1268"/>
      <c r="SM1351" s="1268"/>
      <c r="SN1351" s="1268"/>
      <c r="SO1351" s="1268"/>
      <c r="SP1351" s="1268"/>
      <c r="SQ1351" s="1268"/>
      <c r="SR1351" s="1268"/>
      <c r="SS1351" s="1268"/>
      <c r="ST1351" s="1268"/>
      <c r="SU1351" s="1268"/>
      <c r="SV1351" s="1268"/>
      <c r="SW1351" s="1268"/>
      <c r="SX1351" s="1268"/>
      <c r="SY1351" s="1268"/>
      <c r="SZ1351" s="1268"/>
      <c r="TA1351" s="1268"/>
      <c r="TB1351" s="1268"/>
      <c r="TC1351" s="1268"/>
      <c r="TD1351" s="1268"/>
      <c r="TE1351" s="1268"/>
      <c r="TF1351" s="1268"/>
      <c r="TG1351" s="1268"/>
      <c r="TH1351" s="1268"/>
      <c r="TI1351" s="1268"/>
      <c r="TJ1351" s="1268"/>
      <c r="TK1351" s="1268"/>
      <c r="TL1351" s="1268"/>
      <c r="TM1351" s="1268"/>
      <c r="TN1351" s="1268"/>
      <c r="TO1351" s="1268"/>
      <c r="TP1351" s="1268"/>
      <c r="TQ1351" s="1268"/>
      <c r="TR1351" s="1268"/>
      <c r="TS1351" s="1268"/>
      <c r="TT1351" s="1268"/>
      <c r="TU1351" s="1268"/>
      <c r="TV1351" s="1268"/>
      <c r="TW1351" s="1268"/>
      <c r="TX1351" s="1268"/>
      <c r="TY1351" s="1268"/>
      <c r="TZ1351" s="1268"/>
      <c r="UA1351" s="1268"/>
      <c r="UB1351" s="1268"/>
      <c r="UC1351" s="1268"/>
      <c r="UD1351" s="1268"/>
      <c r="UE1351" s="1268"/>
      <c r="UF1351" s="1268"/>
      <c r="UG1351" s="1268"/>
    </row>
    <row r="1352" spans="1:553" s="1262" customFormat="1" ht="25.15" customHeight="1">
      <c r="A1352" s="356" t="s">
        <v>15</v>
      </c>
      <c r="B1352" s="356"/>
      <c r="C1352" s="1589" t="s">
        <v>731</v>
      </c>
      <c r="D1352" s="1590"/>
      <c r="E1352" s="1590"/>
      <c r="F1352" s="1591"/>
      <c r="G1352" s="417" t="s">
        <v>193</v>
      </c>
      <c r="H1352" s="370"/>
      <c r="I1352" s="443">
        <v>335</v>
      </c>
      <c r="J1352" s="368">
        <v>30000</v>
      </c>
      <c r="K1352" s="443"/>
      <c r="L1352" s="368">
        <f>ROUND(PRODUCT(I1352:K1352),0)</f>
        <v>10050000</v>
      </c>
      <c r="M1352" s="411"/>
      <c r="N1352" s="411"/>
      <c r="O1352" s="425"/>
      <c r="P1352" s="356"/>
      <c r="Q1352" s="610"/>
      <c r="R1352" s="1452"/>
      <c r="S1352" s="308"/>
      <c r="T1352" s="308"/>
      <c r="U1352" s="308"/>
      <c r="V1352" s="308"/>
      <c r="W1352" s="308"/>
      <c r="X1352" s="308"/>
      <c r="Y1352" s="308"/>
      <c r="Z1352" s="604"/>
      <c r="AA1352" s="308"/>
      <c r="AB1352" s="308"/>
      <c r="AC1352" s="486"/>
      <c r="AD1352" s="486"/>
      <c r="AE1352" s="486"/>
      <c r="AF1352" s="486"/>
      <c r="AG1352" s="486"/>
      <c r="AH1352" s="486"/>
      <c r="AI1352" s="486"/>
      <c r="AJ1352" s="486"/>
      <c r="AK1352" s="486"/>
      <c r="AL1352" s="1267"/>
      <c r="AM1352" s="1268"/>
      <c r="AN1352" s="1268"/>
      <c r="AO1352" s="1268"/>
      <c r="AP1352" s="1268"/>
      <c r="AQ1352" s="1268"/>
      <c r="AR1352" s="1268"/>
      <c r="AS1352" s="1268"/>
      <c r="AT1352" s="1268"/>
      <c r="AU1352" s="1268"/>
      <c r="AV1352" s="1268"/>
      <c r="AW1352" s="1268"/>
      <c r="AX1352" s="1268"/>
      <c r="AY1352" s="1268"/>
      <c r="AZ1352" s="1268"/>
      <c r="BA1352" s="1268"/>
      <c r="BB1352" s="1268"/>
      <c r="BC1352" s="1268"/>
      <c r="BD1352" s="1268"/>
      <c r="BE1352" s="1268"/>
      <c r="BF1352" s="1268"/>
      <c r="BG1352" s="1268"/>
      <c r="BH1352" s="1268"/>
      <c r="BI1352" s="1268"/>
      <c r="BJ1352" s="1268"/>
      <c r="BK1352" s="1268"/>
      <c r="BL1352" s="1268"/>
      <c r="BM1352" s="1268"/>
      <c r="BN1352" s="1268"/>
      <c r="BO1352" s="1268"/>
      <c r="BP1352" s="1268"/>
      <c r="BQ1352" s="1268"/>
      <c r="BR1352" s="1268"/>
      <c r="BS1352" s="1268"/>
      <c r="BT1352" s="1268"/>
      <c r="BU1352" s="1268"/>
      <c r="BV1352" s="1268"/>
      <c r="BW1352" s="1268"/>
      <c r="BX1352" s="1268"/>
      <c r="BY1352" s="1268"/>
      <c r="BZ1352" s="1268"/>
      <c r="CA1352" s="1268"/>
      <c r="CB1352" s="1268"/>
      <c r="CC1352" s="1268"/>
      <c r="CD1352" s="1268"/>
      <c r="CE1352" s="1268"/>
      <c r="CF1352" s="1268"/>
      <c r="CG1352" s="1268"/>
      <c r="CH1352" s="1268"/>
      <c r="CI1352" s="1268"/>
      <c r="CJ1352" s="1268"/>
      <c r="CK1352" s="1268"/>
      <c r="CL1352" s="1268"/>
      <c r="CM1352" s="1268"/>
      <c r="CN1352" s="1268"/>
      <c r="CO1352" s="1268"/>
      <c r="CP1352" s="1268"/>
      <c r="CQ1352" s="1268"/>
      <c r="CR1352" s="1268"/>
      <c r="CS1352" s="1268"/>
      <c r="CT1352" s="1268"/>
      <c r="CU1352" s="1268"/>
      <c r="CV1352" s="1268"/>
      <c r="CW1352" s="1268"/>
      <c r="CX1352" s="1268"/>
      <c r="CY1352" s="1268"/>
      <c r="CZ1352" s="1268"/>
      <c r="DA1352" s="1268"/>
      <c r="DB1352" s="1268"/>
      <c r="DC1352" s="1268"/>
      <c r="DD1352" s="1268"/>
      <c r="DE1352" s="1268"/>
      <c r="DF1352" s="1268"/>
      <c r="DG1352" s="1268"/>
      <c r="DH1352" s="1268"/>
      <c r="DI1352" s="1268"/>
      <c r="DJ1352" s="1268"/>
      <c r="DK1352" s="1268"/>
      <c r="DL1352" s="1268"/>
      <c r="DM1352" s="1268"/>
      <c r="DN1352" s="1268"/>
      <c r="DO1352" s="1268"/>
      <c r="DP1352" s="1268"/>
      <c r="DQ1352" s="1268"/>
      <c r="DR1352" s="1268"/>
      <c r="DS1352" s="1268"/>
      <c r="DT1352" s="1268"/>
      <c r="DU1352" s="1268"/>
      <c r="DV1352" s="1268"/>
      <c r="DW1352" s="1268"/>
      <c r="DX1352" s="1268"/>
      <c r="DY1352" s="1268"/>
      <c r="DZ1352" s="1268"/>
      <c r="EA1352" s="1268"/>
      <c r="EB1352" s="1268"/>
      <c r="EC1352" s="1268"/>
      <c r="ED1352" s="1268"/>
      <c r="EE1352" s="1268"/>
      <c r="EF1352" s="1268"/>
      <c r="EG1352" s="1268"/>
      <c r="EH1352" s="1268"/>
      <c r="EI1352" s="1268"/>
      <c r="EJ1352" s="1268"/>
      <c r="EK1352" s="1268"/>
      <c r="EL1352" s="1268"/>
      <c r="EM1352" s="1268"/>
      <c r="EN1352" s="1268"/>
      <c r="EO1352" s="1268"/>
      <c r="EP1352" s="1268"/>
      <c r="EQ1352" s="1268"/>
      <c r="ER1352" s="1268"/>
      <c r="ES1352" s="1268"/>
      <c r="ET1352" s="1268"/>
      <c r="EU1352" s="1268"/>
      <c r="EV1352" s="1268"/>
      <c r="EW1352" s="1268"/>
      <c r="EX1352" s="1268"/>
      <c r="EY1352" s="1268"/>
      <c r="EZ1352" s="1268"/>
      <c r="FA1352" s="1268"/>
      <c r="FB1352" s="1268"/>
      <c r="FC1352" s="1268"/>
      <c r="FD1352" s="1268"/>
      <c r="FE1352" s="1268"/>
      <c r="FF1352" s="1268"/>
      <c r="FG1352" s="1268"/>
      <c r="FH1352" s="1268"/>
      <c r="FI1352" s="1268"/>
      <c r="FJ1352" s="1268"/>
      <c r="FK1352" s="1268"/>
      <c r="FL1352" s="1268"/>
      <c r="FM1352" s="1268"/>
      <c r="FN1352" s="1268"/>
      <c r="FO1352" s="1268"/>
      <c r="FP1352" s="1268"/>
      <c r="FQ1352" s="1268"/>
      <c r="FR1352" s="1268"/>
      <c r="FS1352" s="1268"/>
      <c r="FT1352" s="1268"/>
      <c r="FU1352" s="1268"/>
      <c r="FV1352" s="1268"/>
      <c r="FW1352" s="1268"/>
      <c r="FX1352" s="1268"/>
      <c r="FY1352" s="1268"/>
      <c r="FZ1352" s="1268"/>
      <c r="GA1352" s="1268"/>
      <c r="GB1352" s="1268"/>
      <c r="GC1352" s="1268"/>
      <c r="GD1352" s="1268"/>
      <c r="GE1352" s="1268"/>
      <c r="GF1352" s="1268"/>
      <c r="GG1352" s="1268"/>
      <c r="GH1352" s="1268"/>
      <c r="GI1352" s="1268"/>
      <c r="GJ1352" s="1268"/>
      <c r="GK1352" s="1268"/>
      <c r="GL1352" s="1268"/>
      <c r="GM1352" s="1268"/>
      <c r="GN1352" s="1268"/>
      <c r="GO1352" s="1268"/>
      <c r="GP1352" s="1268"/>
      <c r="GQ1352" s="1268"/>
      <c r="GR1352" s="1268"/>
      <c r="GS1352" s="1268"/>
      <c r="GT1352" s="1268"/>
      <c r="GU1352" s="1268"/>
      <c r="GV1352" s="1268"/>
      <c r="GW1352" s="1268"/>
      <c r="GX1352" s="1268"/>
      <c r="GY1352" s="1268"/>
      <c r="GZ1352" s="1268"/>
      <c r="HA1352" s="1268"/>
      <c r="HB1352" s="1268"/>
      <c r="HC1352" s="1268"/>
      <c r="HD1352" s="1268"/>
      <c r="HE1352" s="1268"/>
      <c r="HF1352" s="1268"/>
      <c r="HG1352" s="1268"/>
      <c r="HH1352" s="1268"/>
      <c r="HI1352" s="1268"/>
      <c r="HJ1352" s="1268"/>
      <c r="HK1352" s="1268"/>
      <c r="HL1352" s="1268"/>
      <c r="HM1352" s="1268"/>
      <c r="HN1352" s="1268"/>
      <c r="HO1352" s="1268"/>
      <c r="HP1352" s="1268"/>
      <c r="HQ1352" s="1268"/>
      <c r="HR1352" s="1268"/>
      <c r="HS1352" s="1268"/>
      <c r="HT1352" s="1268"/>
      <c r="HU1352" s="1268"/>
      <c r="HV1352" s="1268"/>
      <c r="HW1352" s="1268"/>
      <c r="HX1352" s="1268"/>
      <c r="HY1352" s="1268"/>
      <c r="HZ1352" s="1268"/>
      <c r="IA1352" s="1268"/>
      <c r="IB1352" s="1268"/>
      <c r="IC1352" s="1268"/>
      <c r="ID1352" s="1268"/>
      <c r="IE1352" s="1268"/>
      <c r="IF1352" s="1268"/>
      <c r="IG1352" s="1268"/>
      <c r="IH1352" s="1268"/>
      <c r="II1352" s="1268"/>
      <c r="IJ1352" s="1268"/>
      <c r="IK1352" s="1268"/>
      <c r="IL1352" s="1268"/>
      <c r="IM1352" s="1268"/>
      <c r="IN1352" s="1268"/>
      <c r="IO1352" s="1268"/>
      <c r="IP1352" s="1268"/>
      <c r="IQ1352" s="1268"/>
      <c r="IR1352" s="1268"/>
      <c r="IS1352" s="1268"/>
      <c r="IT1352" s="1268"/>
      <c r="IU1352" s="1268"/>
      <c r="IV1352" s="1268"/>
      <c r="IW1352" s="1268"/>
      <c r="IX1352" s="1268"/>
      <c r="IY1352" s="1268"/>
      <c r="IZ1352" s="1268"/>
      <c r="JA1352" s="1268"/>
      <c r="JB1352" s="1268"/>
      <c r="JC1352" s="1268"/>
      <c r="JD1352" s="1268"/>
      <c r="JE1352" s="1268"/>
      <c r="JF1352" s="1268"/>
      <c r="JG1352" s="1268"/>
      <c r="JH1352" s="1268"/>
      <c r="JI1352" s="1268"/>
      <c r="JJ1352" s="1268"/>
      <c r="JK1352" s="1268"/>
      <c r="JL1352" s="1268"/>
      <c r="JM1352" s="1268"/>
      <c r="JN1352" s="1268"/>
      <c r="JO1352" s="1268"/>
      <c r="JP1352" s="1268"/>
      <c r="JQ1352" s="1268"/>
      <c r="JR1352" s="1268"/>
      <c r="JS1352" s="1268"/>
      <c r="JT1352" s="1268"/>
      <c r="JU1352" s="1268"/>
      <c r="JV1352" s="1268"/>
      <c r="JW1352" s="1268"/>
      <c r="JX1352" s="1268"/>
      <c r="JY1352" s="1268"/>
      <c r="JZ1352" s="1268"/>
      <c r="KA1352" s="1268"/>
      <c r="KB1352" s="1268"/>
      <c r="KC1352" s="1268"/>
      <c r="KD1352" s="1268"/>
      <c r="KE1352" s="1268"/>
      <c r="KF1352" s="1268"/>
      <c r="KG1352" s="1268"/>
      <c r="KH1352" s="1268"/>
      <c r="KI1352" s="1268"/>
      <c r="KJ1352" s="1268"/>
      <c r="KK1352" s="1268"/>
      <c r="KL1352" s="1268"/>
      <c r="KM1352" s="1268"/>
      <c r="KN1352" s="1268"/>
      <c r="KO1352" s="1268"/>
      <c r="KP1352" s="1268"/>
      <c r="KQ1352" s="1268"/>
      <c r="KR1352" s="1268"/>
      <c r="KS1352" s="1268"/>
      <c r="KT1352" s="1268"/>
      <c r="KU1352" s="1268"/>
      <c r="KV1352" s="1268"/>
      <c r="KW1352" s="1268"/>
      <c r="KX1352" s="1268"/>
      <c r="KY1352" s="1268"/>
      <c r="KZ1352" s="1268"/>
      <c r="LA1352" s="1268"/>
      <c r="LB1352" s="1268"/>
      <c r="LC1352" s="1268"/>
      <c r="LD1352" s="1268"/>
      <c r="LE1352" s="1268"/>
      <c r="LF1352" s="1268"/>
      <c r="LG1352" s="1268"/>
      <c r="LH1352" s="1268"/>
      <c r="LI1352" s="1268"/>
      <c r="LJ1352" s="1268"/>
      <c r="LK1352" s="1268"/>
      <c r="LL1352" s="1268"/>
      <c r="LM1352" s="1268"/>
      <c r="LN1352" s="1268"/>
      <c r="LO1352" s="1268"/>
      <c r="LP1352" s="1268"/>
      <c r="LQ1352" s="1268"/>
      <c r="LR1352" s="1268"/>
      <c r="LS1352" s="1268"/>
      <c r="LT1352" s="1268"/>
      <c r="LU1352" s="1268"/>
      <c r="LV1352" s="1268"/>
      <c r="LW1352" s="1268"/>
      <c r="LX1352" s="1268"/>
      <c r="LY1352" s="1268"/>
      <c r="LZ1352" s="1268"/>
      <c r="MA1352" s="1268"/>
      <c r="MB1352" s="1268"/>
      <c r="MC1352" s="1268"/>
      <c r="MD1352" s="1268"/>
      <c r="ME1352" s="1268"/>
      <c r="MF1352" s="1268"/>
      <c r="MG1352" s="1268"/>
      <c r="MH1352" s="1268"/>
      <c r="MI1352" s="1268"/>
      <c r="MJ1352" s="1268"/>
      <c r="MK1352" s="1268"/>
      <c r="ML1352" s="1268"/>
      <c r="MM1352" s="1268"/>
      <c r="MN1352" s="1268"/>
      <c r="MO1352" s="1268"/>
      <c r="MP1352" s="1268"/>
      <c r="MQ1352" s="1268"/>
      <c r="MR1352" s="1268"/>
      <c r="MS1352" s="1268"/>
      <c r="MT1352" s="1268"/>
      <c r="MU1352" s="1268"/>
      <c r="MV1352" s="1268"/>
      <c r="MW1352" s="1268"/>
      <c r="MX1352" s="1268"/>
      <c r="MY1352" s="1268"/>
      <c r="MZ1352" s="1268"/>
      <c r="NA1352" s="1268"/>
      <c r="NB1352" s="1268"/>
      <c r="NC1352" s="1268"/>
      <c r="ND1352" s="1268"/>
      <c r="NE1352" s="1268"/>
      <c r="NF1352" s="1268"/>
      <c r="NG1352" s="1268"/>
      <c r="NH1352" s="1268"/>
      <c r="NI1352" s="1268"/>
      <c r="NJ1352" s="1268"/>
      <c r="NK1352" s="1268"/>
      <c r="NL1352" s="1268"/>
      <c r="NM1352" s="1268"/>
      <c r="NN1352" s="1268"/>
      <c r="NO1352" s="1268"/>
      <c r="NP1352" s="1268"/>
      <c r="NQ1352" s="1268"/>
      <c r="NR1352" s="1268"/>
      <c r="NS1352" s="1268"/>
      <c r="NT1352" s="1268"/>
      <c r="NU1352" s="1268"/>
      <c r="NV1352" s="1268"/>
      <c r="NW1352" s="1268"/>
      <c r="NX1352" s="1268"/>
      <c r="NY1352" s="1268"/>
      <c r="NZ1352" s="1268"/>
      <c r="OA1352" s="1268"/>
      <c r="OB1352" s="1268"/>
      <c r="OC1352" s="1268"/>
      <c r="OD1352" s="1268"/>
      <c r="OE1352" s="1268"/>
      <c r="OF1352" s="1268"/>
      <c r="OG1352" s="1268"/>
      <c r="OH1352" s="1268"/>
      <c r="OI1352" s="1268"/>
      <c r="OJ1352" s="1268"/>
      <c r="OK1352" s="1268"/>
      <c r="OL1352" s="1268"/>
      <c r="OM1352" s="1268"/>
      <c r="ON1352" s="1268"/>
      <c r="OO1352" s="1268"/>
      <c r="OP1352" s="1268"/>
      <c r="OQ1352" s="1268"/>
      <c r="OR1352" s="1268"/>
      <c r="OS1352" s="1268"/>
      <c r="OT1352" s="1268"/>
      <c r="OU1352" s="1268"/>
      <c r="OV1352" s="1268"/>
      <c r="OW1352" s="1268"/>
      <c r="OX1352" s="1268"/>
      <c r="OY1352" s="1268"/>
      <c r="OZ1352" s="1268"/>
      <c r="PA1352" s="1268"/>
      <c r="PB1352" s="1268"/>
      <c r="PC1352" s="1268"/>
      <c r="PD1352" s="1268"/>
      <c r="PE1352" s="1268"/>
      <c r="PF1352" s="1268"/>
      <c r="PG1352" s="1268"/>
      <c r="PH1352" s="1268"/>
      <c r="PI1352" s="1268"/>
      <c r="PJ1352" s="1268"/>
      <c r="PK1352" s="1268"/>
      <c r="PL1352" s="1268"/>
      <c r="PM1352" s="1268"/>
      <c r="PN1352" s="1268"/>
      <c r="PO1352" s="1268"/>
      <c r="PP1352" s="1268"/>
      <c r="PQ1352" s="1268"/>
      <c r="PR1352" s="1268"/>
      <c r="PS1352" s="1268"/>
      <c r="PT1352" s="1268"/>
      <c r="PU1352" s="1268"/>
      <c r="PV1352" s="1268"/>
      <c r="PW1352" s="1268"/>
      <c r="PX1352" s="1268"/>
      <c r="PY1352" s="1268"/>
      <c r="PZ1352" s="1268"/>
      <c r="QA1352" s="1268"/>
      <c r="QB1352" s="1268"/>
      <c r="QC1352" s="1268"/>
      <c r="QD1352" s="1268"/>
      <c r="QE1352" s="1268"/>
      <c r="QF1352" s="1268"/>
      <c r="QG1352" s="1268"/>
      <c r="QH1352" s="1268"/>
      <c r="QI1352" s="1268"/>
      <c r="QJ1352" s="1268"/>
      <c r="QK1352" s="1268"/>
      <c r="QL1352" s="1268"/>
      <c r="QM1352" s="1268"/>
      <c r="QN1352" s="1268"/>
      <c r="QO1352" s="1268"/>
      <c r="QP1352" s="1268"/>
      <c r="QQ1352" s="1268"/>
      <c r="QR1352" s="1268"/>
      <c r="QS1352" s="1268"/>
      <c r="QT1352" s="1268"/>
      <c r="QU1352" s="1268"/>
      <c r="QV1352" s="1268"/>
      <c r="QW1352" s="1268"/>
      <c r="QX1352" s="1268"/>
      <c r="QY1352" s="1268"/>
      <c r="QZ1352" s="1268"/>
      <c r="RA1352" s="1268"/>
      <c r="RB1352" s="1268"/>
      <c r="RC1352" s="1268"/>
      <c r="RD1352" s="1268"/>
      <c r="RE1352" s="1268"/>
      <c r="RF1352" s="1268"/>
      <c r="RG1352" s="1268"/>
      <c r="RH1352" s="1268"/>
      <c r="RI1352" s="1268"/>
      <c r="RJ1352" s="1268"/>
      <c r="RK1352" s="1268"/>
      <c r="RL1352" s="1268"/>
      <c r="RM1352" s="1268"/>
      <c r="RN1352" s="1268"/>
      <c r="RO1352" s="1268"/>
      <c r="RP1352" s="1268"/>
      <c r="RQ1352" s="1268"/>
      <c r="RR1352" s="1268"/>
      <c r="RS1352" s="1268"/>
      <c r="RT1352" s="1268"/>
      <c r="RU1352" s="1268"/>
      <c r="RV1352" s="1268"/>
      <c r="RW1352" s="1268"/>
      <c r="RX1352" s="1268"/>
      <c r="RY1352" s="1268"/>
      <c r="RZ1352" s="1268"/>
      <c r="SA1352" s="1268"/>
      <c r="SB1352" s="1268"/>
      <c r="SC1352" s="1268"/>
      <c r="SD1352" s="1268"/>
      <c r="SE1352" s="1268"/>
      <c r="SF1352" s="1268"/>
      <c r="SG1352" s="1268"/>
      <c r="SH1352" s="1268"/>
      <c r="SI1352" s="1268"/>
      <c r="SJ1352" s="1268"/>
      <c r="SK1352" s="1268"/>
      <c r="SL1352" s="1268"/>
      <c r="SM1352" s="1268"/>
      <c r="SN1352" s="1268"/>
      <c r="SO1352" s="1268"/>
      <c r="SP1352" s="1268"/>
      <c r="SQ1352" s="1268"/>
      <c r="SR1352" s="1268"/>
      <c r="SS1352" s="1268"/>
      <c r="ST1352" s="1268"/>
      <c r="SU1352" s="1268"/>
      <c r="SV1352" s="1268"/>
      <c r="SW1352" s="1268"/>
      <c r="SX1352" s="1268"/>
      <c r="SY1352" s="1268"/>
      <c r="SZ1352" s="1268"/>
      <c r="TA1352" s="1268"/>
      <c r="TB1352" s="1268"/>
      <c r="TC1352" s="1268"/>
      <c r="TD1352" s="1268"/>
      <c r="TE1352" s="1268"/>
      <c r="TF1352" s="1268"/>
      <c r="TG1352" s="1268"/>
      <c r="TH1352" s="1268"/>
      <c r="TI1352" s="1268"/>
      <c r="TJ1352" s="1268"/>
      <c r="TK1352" s="1268"/>
      <c r="TL1352" s="1268"/>
      <c r="TM1352" s="1268"/>
      <c r="TN1352" s="1268"/>
      <c r="TO1352" s="1268"/>
      <c r="TP1352" s="1268"/>
      <c r="TQ1352" s="1268"/>
      <c r="TR1352" s="1268"/>
      <c r="TS1352" s="1268"/>
      <c r="TT1352" s="1268"/>
      <c r="TU1352" s="1268"/>
      <c r="TV1352" s="1268"/>
      <c r="TW1352" s="1268"/>
      <c r="TX1352" s="1268"/>
      <c r="TY1352" s="1268"/>
      <c r="TZ1352" s="1268"/>
      <c r="UA1352" s="1268"/>
      <c r="UB1352" s="1268"/>
      <c r="UC1352" s="1268"/>
      <c r="UD1352" s="1268"/>
      <c r="UE1352" s="1268"/>
      <c r="UF1352" s="1268"/>
      <c r="UG1352" s="1268"/>
    </row>
    <row r="1353" spans="1:553" s="1262" customFormat="1" ht="25.15" customHeight="1">
      <c r="A1353" s="356"/>
      <c r="B1353" s="356"/>
      <c r="C1353" s="1615" t="s">
        <v>1237</v>
      </c>
      <c r="D1353" s="1389"/>
      <c r="E1353" s="1389"/>
      <c r="F1353" s="1390"/>
      <c r="G1353" s="283" t="s">
        <v>193</v>
      </c>
      <c r="H1353" s="370"/>
      <c r="I1353" s="443">
        <v>3</v>
      </c>
      <c r="J1353" s="981">
        <v>271100</v>
      </c>
      <c r="K1353" s="475">
        <v>0.7</v>
      </c>
      <c r="L1353" s="476">
        <f>ROUND(PRODUCT(I1353:K1353),0)</f>
        <v>569310</v>
      </c>
      <c r="M1353" s="411"/>
      <c r="N1353" s="411"/>
      <c r="O1353" s="425"/>
      <c r="P1353" s="356"/>
      <c r="Q1353" s="610"/>
      <c r="R1353" s="1228"/>
      <c r="S1353" s="308"/>
      <c r="T1353" s="308"/>
      <c r="U1353" s="308"/>
      <c r="V1353" s="308"/>
      <c r="W1353" s="308"/>
      <c r="X1353" s="308"/>
      <c r="Y1353" s="308"/>
      <c r="Z1353" s="604"/>
      <c r="AA1353" s="308"/>
      <c r="AB1353" s="308"/>
      <c r="AC1353" s="486"/>
      <c r="AD1353" s="486"/>
      <c r="AE1353" s="486"/>
      <c r="AF1353" s="486"/>
      <c r="AG1353" s="486"/>
      <c r="AH1353" s="486"/>
      <c r="AI1353" s="486"/>
      <c r="AJ1353" s="486"/>
      <c r="AK1353" s="486"/>
      <c r="AL1353" s="1267"/>
      <c r="AM1353" s="1268"/>
      <c r="AN1353" s="1268"/>
      <c r="AO1353" s="1268"/>
      <c r="AP1353" s="1268"/>
      <c r="AQ1353" s="1268"/>
      <c r="AR1353" s="1268"/>
      <c r="AS1353" s="1268"/>
      <c r="AT1353" s="1268"/>
      <c r="AU1353" s="1268"/>
      <c r="AV1353" s="1268"/>
      <c r="AW1353" s="1268"/>
      <c r="AX1353" s="1268"/>
      <c r="AY1353" s="1268"/>
      <c r="AZ1353" s="1268"/>
      <c r="BA1353" s="1268"/>
      <c r="BB1353" s="1268"/>
      <c r="BC1353" s="1268"/>
      <c r="BD1353" s="1268"/>
      <c r="BE1353" s="1268"/>
      <c r="BF1353" s="1268"/>
      <c r="BG1353" s="1268"/>
      <c r="BH1353" s="1268"/>
      <c r="BI1353" s="1268"/>
      <c r="BJ1353" s="1268"/>
      <c r="BK1353" s="1268"/>
      <c r="BL1353" s="1268"/>
      <c r="BM1353" s="1268"/>
      <c r="BN1353" s="1268"/>
      <c r="BO1353" s="1268"/>
      <c r="BP1353" s="1268"/>
      <c r="BQ1353" s="1268"/>
      <c r="BR1353" s="1268"/>
      <c r="BS1353" s="1268"/>
      <c r="BT1353" s="1268"/>
      <c r="BU1353" s="1268"/>
      <c r="BV1353" s="1268"/>
      <c r="BW1353" s="1268"/>
      <c r="BX1353" s="1268"/>
      <c r="BY1353" s="1268"/>
      <c r="BZ1353" s="1268"/>
      <c r="CA1353" s="1268"/>
      <c r="CB1353" s="1268"/>
      <c r="CC1353" s="1268"/>
      <c r="CD1353" s="1268"/>
      <c r="CE1353" s="1268"/>
      <c r="CF1353" s="1268"/>
      <c r="CG1353" s="1268"/>
      <c r="CH1353" s="1268"/>
      <c r="CI1353" s="1268"/>
      <c r="CJ1353" s="1268"/>
      <c r="CK1353" s="1268"/>
      <c r="CL1353" s="1268"/>
      <c r="CM1353" s="1268"/>
      <c r="CN1353" s="1268"/>
      <c r="CO1353" s="1268"/>
      <c r="CP1353" s="1268"/>
      <c r="CQ1353" s="1268"/>
      <c r="CR1353" s="1268"/>
      <c r="CS1353" s="1268"/>
      <c r="CT1353" s="1268"/>
      <c r="CU1353" s="1268"/>
      <c r="CV1353" s="1268"/>
      <c r="CW1353" s="1268"/>
      <c r="CX1353" s="1268"/>
      <c r="CY1353" s="1268"/>
      <c r="CZ1353" s="1268"/>
      <c r="DA1353" s="1268"/>
      <c r="DB1353" s="1268"/>
      <c r="DC1353" s="1268"/>
      <c r="DD1353" s="1268"/>
      <c r="DE1353" s="1268"/>
      <c r="DF1353" s="1268"/>
      <c r="DG1353" s="1268"/>
      <c r="DH1353" s="1268"/>
      <c r="DI1353" s="1268"/>
      <c r="DJ1353" s="1268"/>
      <c r="DK1353" s="1268"/>
      <c r="DL1353" s="1268"/>
      <c r="DM1353" s="1268"/>
      <c r="DN1353" s="1268"/>
      <c r="DO1353" s="1268"/>
      <c r="DP1353" s="1268"/>
      <c r="DQ1353" s="1268"/>
      <c r="DR1353" s="1268"/>
      <c r="DS1353" s="1268"/>
      <c r="DT1353" s="1268"/>
      <c r="DU1353" s="1268"/>
      <c r="DV1353" s="1268"/>
      <c r="DW1353" s="1268"/>
      <c r="DX1353" s="1268"/>
      <c r="DY1353" s="1268"/>
      <c r="DZ1353" s="1268"/>
      <c r="EA1353" s="1268"/>
      <c r="EB1353" s="1268"/>
      <c r="EC1353" s="1268"/>
      <c r="ED1353" s="1268"/>
      <c r="EE1353" s="1268"/>
      <c r="EF1353" s="1268"/>
      <c r="EG1353" s="1268"/>
      <c r="EH1353" s="1268"/>
      <c r="EI1353" s="1268"/>
      <c r="EJ1353" s="1268"/>
      <c r="EK1353" s="1268"/>
      <c r="EL1353" s="1268"/>
      <c r="EM1353" s="1268"/>
      <c r="EN1353" s="1268"/>
      <c r="EO1353" s="1268"/>
      <c r="EP1353" s="1268"/>
      <c r="EQ1353" s="1268"/>
      <c r="ER1353" s="1268"/>
      <c r="ES1353" s="1268"/>
      <c r="ET1353" s="1268"/>
      <c r="EU1353" s="1268"/>
      <c r="EV1353" s="1268"/>
      <c r="EW1353" s="1268"/>
      <c r="EX1353" s="1268"/>
      <c r="EY1353" s="1268"/>
      <c r="EZ1353" s="1268"/>
      <c r="FA1353" s="1268"/>
      <c r="FB1353" s="1268"/>
      <c r="FC1353" s="1268"/>
      <c r="FD1353" s="1268"/>
      <c r="FE1353" s="1268"/>
      <c r="FF1353" s="1268"/>
      <c r="FG1353" s="1268"/>
      <c r="FH1353" s="1268"/>
      <c r="FI1353" s="1268"/>
      <c r="FJ1353" s="1268"/>
      <c r="FK1353" s="1268"/>
      <c r="FL1353" s="1268"/>
      <c r="FM1353" s="1268"/>
      <c r="FN1353" s="1268"/>
      <c r="FO1353" s="1268"/>
      <c r="FP1353" s="1268"/>
      <c r="FQ1353" s="1268"/>
      <c r="FR1353" s="1268"/>
      <c r="FS1353" s="1268"/>
      <c r="FT1353" s="1268"/>
      <c r="FU1353" s="1268"/>
      <c r="FV1353" s="1268"/>
      <c r="FW1353" s="1268"/>
      <c r="FX1353" s="1268"/>
      <c r="FY1353" s="1268"/>
      <c r="FZ1353" s="1268"/>
      <c r="GA1353" s="1268"/>
      <c r="GB1353" s="1268"/>
      <c r="GC1353" s="1268"/>
      <c r="GD1353" s="1268"/>
      <c r="GE1353" s="1268"/>
      <c r="GF1353" s="1268"/>
      <c r="GG1353" s="1268"/>
      <c r="GH1353" s="1268"/>
      <c r="GI1353" s="1268"/>
      <c r="GJ1353" s="1268"/>
      <c r="GK1353" s="1268"/>
      <c r="GL1353" s="1268"/>
      <c r="GM1353" s="1268"/>
      <c r="GN1353" s="1268"/>
      <c r="GO1353" s="1268"/>
      <c r="GP1353" s="1268"/>
      <c r="GQ1353" s="1268"/>
      <c r="GR1353" s="1268"/>
      <c r="GS1353" s="1268"/>
      <c r="GT1353" s="1268"/>
      <c r="GU1353" s="1268"/>
      <c r="GV1353" s="1268"/>
      <c r="GW1353" s="1268"/>
      <c r="GX1353" s="1268"/>
      <c r="GY1353" s="1268"/>
      <c r="GZ1353" s="1268"/>
      <c r="HA1353" s="1268"/>
      <c r="HB1353" s="1268"/>
      <c r="HC1353" s="1268"/>
      <c r="HD1353" s="1268"/>
      <c r="HE1353" s="1268"/>
      <c r="HF1353" s="1268"/>
      <c r="HG1353" s="1268"/>
      <c r="HH1353" s="1268"/>
      <c r="HI1353" s="1268"/>
      <c r="HJ1353" s="1268"/>
      <c r="HK1353" s="1268"/>
      <c r="HL1353" s="1268"/>
      <c r="HM1353" s="1268"/>
      <c r="HN1353" s="1268"/>
      <c r="HO1353" s="1268"/>
      <c r="HP1353" s="1268"/>
      <c r="HQ1353" s="1268"/>
      <c r="HR1353" s="1268"/>
      <c r="HS1353" s="1268"/>
      <c r="HT1353" s="1268"/>
      <c r="HU1353" s="1268"/>
      <c r="HV1353" s="1268"/>
      <c r="HW1353" s="1268"/>
      <c r="HX1353" s="1268"/>
      <c r="HY1353" s="1268"/>
      <c r="HZ1353" s="1268"/>
      <c r="IA1353" s="1268"/>
      <c r="IB1353" s="1268"/>
      <c r="IC1353" s="1268"/>
      <c r="ID1353" s="1268"/>
      <c r="IE1353" s="1268"/>
      <c r="IF1353" s="1268"/>
      <c r="IG1353" s="1268"/>
      <c r="IH1353" s="1268"/>
      <c r="II1353" s="1268"/>
      <c r="IJ1353" s="1268"/>
      <c r="IK1353" s="1268"/>
      <c r="IL1353" s="1268"/>
      <c r="IM1353" s="1268"/>
      <c r="IN1353" s="1268"/>
      <c r="IO1353" s="1268"/>
      <c r="IP1353" s="1268"/>
      <c r="IQ1353" s="1268"/>
      <c r="IR1353" s="1268"/>
      <c r="IS1353" s="1268"/>
      <c r="IT1353" s="1268"/>
      <c r="IU1353" s="1268"/>
      <c r="IV1353" s="1268"/>
      <c r="IW1353" s="1268"/>
      <c r="IX1353" s="1268"/>
      <c r="IY1353" s="1268"/>
      <c r="IZ1353" s="1268"/>
      <c r="JA1353" s="1268"/>
      <c r="JB1353" s="1268"/>
      <c r="JC1353" s="1268"/>
      <c r="JD1353" s="1268"/>
      <c r="JE1353" s="1268"/>
      <c r="JF1353" s="1268"/>
      <c r="JG1353" s="1268"/>
      <c r="JH1353" s="1268"/>
      <c r="JI1353" s="1268"/>
      <c r="JJ1353" s="1268"/>
      <c r="JK1353" s="1268"/>
      <c r="JL1353" s="1268"/>
      <c r="JM1353" s="1268"/>
      <c r="JN1353" s="1268"/>
      <c r="JO1353" s="1268"/>
      <c r="JP1353" s="1268"/>
      <c r="JQ1353" s="1268"/>
      <c r="JR1353" s="1268"/>
      <c r="JS1353" s="1268"/>
      <c r="JT1353" s="1268"/>
      <c r="JU1353" s="1268"/>
      <c r="JV1353" s="1268"/>
      <c r="JW1353" s="1268"/>
      <c r="JX1353" s="1268"/>
      <c r="JY1353" s="1268"/>
      <c r="JZ1353" s="1268"/>
      <c r="KA1353" s="1268"/>
      <c r="KB1353" s="1268"/>
      <c r="KC1353" s="1268"/>
      <c r="KD1353" s="1268"/>
      <c r="KE1353" s="1268"/>
      <c r="KF1353" s="1268"/>
      <c r="KG1353" s="1268"/>
      <c r="KH1353" s="1268"/>
      <c r="KI1353" s="1268"/>
      <c r="KJ1353" s="1268"/>
      <c r="KK1353" s="1268"/>
      <c r="KL1353" s="1268"/>
      <c r="KM1353" s="1268"/>
      <c r="KN1353" s="1268"/>
      <c r="KO1353" s="1268"/>
      <c r="KP1353" s="1268"/>
      <c r="KQ1353" s="1268"/>
      <c r="KR1353" s="1268"/>
      <c r="KS1353" s="1268"/>
      <c r="KT1353" s="1268"/>
      <c r="KU1353" s="1268"/>
      <c r="KV1353" s="1268"/>
      <c r="KW1353" s="1268"/>
      <c r="KX1353" s="1268"/>
      <c r="KY1353" s="1268"/>
      <c r="KZ1353" s="1268"/>
      <c r="LA1353" s="1268"/>
      <c r="LB1353" s="1268"/>
      <c r="LC1353" s="1268"/>
      <c r="LD1353" s="1268"/>
      <c r="LE1353" s="1268"/>
      <c r="LF1353" s="1268"/>
      <c r="LG1353" s="1268"/>
      <c r="LH1353" s="1268"/>
      <c r="LI1353" s="1268"/>
      <c r="LJ1353" s="1268"/>
      <c r="LK1353" s="1268"/>
      <c r="LL1353" s="1268"/>
      <c r="LM1353" s="1268"/>
      <c r="LN1353" s="1268"/>
      <c r="LO1353" s="1268"/>
      <c r="LP1353" s="1268"/>
      <c r="LQ1353" s="1268"/>
      <c r="LR1353" s="1268"/>
      <c r="LS1353" s="1268"/>
      <c r="LT1353" s="1268"/>
      <c r="LU1353" s="1268"/>
      <c r="LV1353" s="1268"/>
      <c r="LW1353" s="1268"/>
      <c r="LX1353" s="1268"/>
      <c r="LY1353" s="1268"/>
      <c r="LZ1353" s="1268"/>
      <c r="MA1353" s="1268"/>
      <c r="MB1353" s="1268"/>
      <c r="MC1353" s="1268"/>
      <c r="MD1353" s="1268"/>
      <c r="ME1353" s="1268"/>
      <c r="MF1353" s="1268"/>
      <c r="MG1353" s="1268"/>
      <c r="MH1353" s="1268"/>
      <c r="MI1353" s="1268"/>
      <c r="MJ1353" s="1268"/>
      <c r="MK1353" s="1268"/>
      <c r="ML1353" s="1268"/>
      <c r="MM1353" s="1268"/>
      <c r="MN1353" s="1268"/>
      <c r="MO1353" s="1268"/>
      <c r="MP1353" s="1268"/>
      <c r="MQ1353" s="1268"/>
      <c r="MR1353" s="1268"/>
      <c r="MS1353" s="1268"/>
      <c r="MT1353" s="1268"/>
      <c r="MU1353" s="1268"/>
      <c r="MV1353" s="1268"/>
      <c r="MW1353" s="1268"/>
      <c r="MX1353" s="1268"/>
      <c r="MY1353" s="1268"/>
      <c r="MZ1353" s="1268"/>
      <c r="NA1353" s="1268"/>
      <c r="NB1353" s="1268"/>
      <c r="NC1353" s="1268"/>
      <c r="ND1353" s="1268"/>
      <c r="NE1353" s="1268"/>
      <c r="NF1353" s="1268"/>
      <c r="NG1353" s="1268"/>
      <c r="NH1353" s="1268"/>
      <c r="NI1353" s="1268"/>
      <c r="NJ1353" s="1268"/>
      <c r="NK1353" s="1268"/>
      <c r="NL1353" s="1268"/>
      <c r="NM1353" s="1268"/>
      <c r="NN1353" s="1268"/>
      <c r="NO1353" s="1268"/>
      <c r="NP1353" s="1268"/>
      <c r="NQ1353" s="1268"/>
      <c r="NR1353" s="1268"/>
      <c r="NS1353" s="1268"/>
      <c r="NT1353" s="1268"/>
      <c r="NU1353" s="1268"/>
      <c r="NV1353" s="1268"/>
      <c r="NW1353" s="1268"/>
      <c r="NX1353" s="1268"/>
      <c r="NY1353" s="1268"/>
      <c r="NZ1353" s="1268"/>
      <c r="OA1353" s="1268"/>
      <c r="OB1353" s="1268"/>
      <c r="OC1353" s="1268"/>
      <c r="OD1353" s="1268"/>
      <c r="OE1353" s="1268"/>
      <c r="OF1353" s="1268"/>
      <c r="OG1353" s="1268"/>
      <c r="OH1353" s="1268"/>
      <c r="OI1353" s="1268"/>
      <c r="OJ1353" s="1268"/>
      <c r="OK1353" s="1268"/>
      <c r="OL1353" s="1268"/>
      <c r="OM1353" s="1268"/>
      <c r="ON1353" s="1268"/>
      <c r="OO1353" s="1268"/>
      <c r="OP1353" s="1268"/>
      <c r="OQ1353" s="1268"/>
      <c r="OR1353" s="1268"/>
      <c r="OS1353" s="1268"/>
      <c r="OT1353" s="1268"/>
      <c r="OU1353" s="1268"/>
      <c r="OV1353" s="1268"/>
      <c r="OW1353" s="1268"/>
      <c r="OX1353" s="1268"/>
      <c r="OY1353" s="1268"/>
      <c r="OZ1353" s="1268"/>
      <c r="PA1353" s="1268"/>
      <c r="PB1353" s="1268"/>
      <c r="PC1353" s="1268"/>
      <c r="PD1353" s="1268"/>
      <c r="PE1353" s="1268"/>
      <c r="PF1353" s="1268"/>
      <c r="PG1353" s="1268"/>
      <c r="PH1353" s="1268"/>
      <c r="PI1353" s="1268"/>
      <c r="PJ1353" s="1268"/>
      <c r="PK1353" s="1268"/>
      <c r="PL1353" s="1268"/>
      <c r="PM1353" s="1268"/>
      <c r="PN1353" s="1268"/>
      <c r="PO1353" s="1268"/>
      <c r="PP1353" s="1268"/>
      <c r="PQ1353" s="1268"/>
      <c r="PR1353" s="1268"/>
      <c r="PS1353" s="1268"/>
      <c r="PT1353" s="1268"/>
      <c r="PU1353" s="1268"/>
      <c r="PV1353" s="1268"/>
      <c r="PW1353" s="1268"/>
      <c r="PX1353" s="1268"/>
      <c r="PY1353" s="1268"/>
      <c r="PZ1353" s="1268"/>
      <c r="QA1353" s="1268"/>
      <c r="QB1353" s="1268"/>
      <c r="QC1353" s="1268"/>
      <c r="QD1353" s="1268"/>
      <c r="QE1353" s="1268"/>
      <c r="QF1353" s="1268"/>
      <c r="QG1353" s="1268"/>
      <c r="QH1353" s="1268"/>
      <c r="QI1353" s="1268"/>
      <c r="QJ1353" s="1268"/>
      <c r="QK1353" s="1268"/>
      <c r="QL1353" s="1268"/>
      <c r="QM1353" s="1268"/>
      <c r="QN1353" s="1268"/>
      <c r="QO1353" s="1268"/>
      <c r="QP1353" s="1268"/>
      <c r="QQ1353" s="1268"/>
      <c r="QR1353" s="1268"/>
      <c r="QS1353" s="1268"/>
      <c r="QT1353" s="1268"/>
      <c r="QU1353" s="1268"/>
      <c r="QV1353" s="1268"/>
      <c r="QW1353" s="1268"/>
      <c r="QX1353" s="1268"/>
      <c r="QY1353" s="1268"/>
      <c r="QZ1353" s="1268"/>
      <c r="RA1353" s="1268"/>
      <c r="RB1353" s="1268"/>
      <c r="RC1353" s="1268"/>
      <c r="RD1353" s="1268"/>
      <c r="RE1353" s="1268"/>
      <c r="RF1353" s="1268"/>
      <c r="RG1353" s="1268"/>
      <c r="RH1353" s="1268"/>
      <c r="RI1353" s="1268"/>
      <c r="RJ1353" s="1268"/>
      <c r="RK1353" s="1268"/>
      <c r="RL1353" s="1268"/>
      <c r="RM1353" s="1268"/>
      <c r="RN1353" s="1268"/>
      <c r="RO1353" s="1268"/>
      <c r="RP1353" s="1268"/>
      <c r="RQ1353" s="1268"/>
      <c r="RR1353" s="1268"/>
      <c r="RS1353" s="1268"/>
      <c r="RT1353" s="1268"/>
      <c r="RU1353" s="1268"/>
      <c r="RV1353" s="1268"/>
      <c r="RW1353" s="1268"/>
      <c r="RX1353" s="1268"/>
      <c r="RY1353" s="1268"/>
      <c r="RZ1353" s="1268"/>
      <c r="SA1353" s="1268"/>
      <c r="SB1353" s="1268"/>
      <c r="SC1353" s="1268"/>
      <c r="SD1353" s="1268"/>
      <c r="SE1353" s="1268"/>
      <c r="SF1353" s="1268"/>
      <c r="SG1353" s="1268"/>
      <c r="SH1353" s="1268"/>
      <c r="SI1353" s="1268"/>
      <c r="SJ1353" s="1268"/>
      <c r="SK1353" s="1268"/>
      <c r="SL1353" s="1268"/>
      <c r="SM1353" s="1268"/>
      <c r="SN1353" s="1268"/>
      <c r="SO1353" s="1268"/>
      <c r="SP1353" s="1268"/>
      <c r="SQ1353" s="1268"/>
      <c r="SR1353" s="1268"/>
      <c r="SS1353" s="1268"/>
      <c r="ST1353" s="1268"/>
      <c r="SU1353" s="1268"/>
      <c r="SV1353" s="1268"/>
      <c r="SW1353" s="1268"/>
      <c r="SX1353" s="1268"/>
      <c r="SY1353" s="1268"/>
      <c r="SZ1353" s="1268"/>
      <c r="TA1353" s="1268"/>
      <c r="TB1353" s="1268"/>
      <c r="TC1353" s="1268"/>
      <c r="TD1353" s="1268"/>
      <c r="TE1353" s="1268"/>
      <c r="TF1353" s="1268"/>
      <c r="TG1353" s="1268"/>
      <c r="TH1353" s="1268"/>
      <c r="TI1353" s="1268"/>
      <c r="TJ1353" s="1268"/>
      <c r="TK1353" s="1268"/>
      <c r="TL1353" s="1268"/>
      <c r="TM1353" s="1268"/>
      <c r="TN1353" s="1268"/>
      <c r="TO1353" s="1268"/>
      <c r="TP1353" s="1268"/>
      <c r="TQ1353" s="1268"/>
      <c r="TR1353" s="1268"/>
      <c r="TS1353" s="1268"/>
      <c r="TT1353" s="1268"/>
      <c r="TU1353" s="1268"/>
      <c r="TV1353" s="1268"/>
      <c r="TW1353" s="1268"/>
      <c r="TX1353" s="1268"/>
      <c r="TY1353" s="1268"/>
      <c r="TZ1353" s="1268"/>
      <c r="UA1353" s="1268"/>
      <c r="UB1353" s="1268"/>
      <c r="UC1353" s="1268"/>
      <c r="UD1353" s="1268"/>
      <c r="UE1353" s="1268"/>
      <c r="UF1353" s="1268"/>
      <c r="UG1353" s="1268"/>
    </row>
    <row r="1354" spans="1:553" s="1262" customFormat="1" ht="25.15" customHeight="1">
      <c r="A1354" s="401"/>
      <c r="B1354" s="401"/>
      <c r="C1354" s="1592" t="s">
        <v>1238</v>
      </c>
      <c r="D1354" s="1593"/>
      <c r="E1354" s="1593"/>
      <c r="F1354" s="1594"/>
      <c r="G1354" s="403" t="s">
        <v>48</v>
      </c>
      <c r="H1354" s="499"/>
      <c r="I1354" s="1112">
        <v>7</v>
      </c>
      <c r="J1354" s="985">
        <v>17400</v>
      </c>
      <c r="K1354" s="475">
        <v>0.7</v>
      </c>
      <c r="L1354" s="1200">
        <f>ROUND(PRODUCT(I1354:K1354),0)</f>
        <v>85260</v>
      </c>
      <c r="M1354" s="411"/>
      <c r="N1354" s="411"/>
      <c r="O1354" s="425"/>
      <c r="P1354" s="356"/>
      <c r="Q1354" s="610"/>
      <c r="R1354" s="1228"/>
      <c r="S1354" s="308"/>
      <c r="T1354" s="308"/>
      <c r="U1354" s="308"/>
      <c r="V1354" s="308"/>
      <c r="W1354" s="308"/>
      <c r="X1354" s="308"/>
      <c r="Y1354" s="308"/>
      <c r="Z1354" s="604"/>
      <c r="AA1354" s="308"/>
      <c r="AB1354" s="308"/>
      <c r="AC1354" s="486"/>
      <c r="AD1354" s="486"/>
      <c r="AE1354" s="486"/>
      <c r="AF1354" s="486"/>
      <c r="AG1354" s="486"/>
      <c r="AH1354" s="486"/>
      <c r="AI1354" s="486"/>
      <c r="AJ1354" s="486"/>
      <c r="AK1354" s="486"/>
      <c r="AL1354" s="1267"/>
      <c r="AM1354" s="1268"/>
      <c r="AN1354" s="1268"/>
      <c r="AO1354" s="1268"/>
      <c r="AP1354" s="1268"/>
      <c r="AQ1354" s="1268"/>
      <c r="AR1354" s="1268"/>
      <c r="AS1354" s="1268"/>
      <c r="AT1354" s="1268"/>
      <c r="AU1354" s="1268"/>
      <c r="AV1354" s="1268"/>
      <c r="AW1354" s="1268"/>
      <c r="AX1354" s="1268"/>
      <c r="AY1354" s="1268"/>
      <c r="AZ1354" s="1268"/>
      <c r="BA1354" s="1268"/>
      <c r="BB1354" s="1268"/>
      <c r="BC1354" s="1268"/>
      <c r="BD1354" s="1268"/>
      <c r="BE1354" s="1268"/>
      <c r="BF1354" s="1268"/>
      <c r="BG1354" s="1268"/>
      <c r="BH1354" s="1268"/>
      <c r="BI1354" s="1268"/>
      <c r="BJ1354" s="1268"/>
      <c r="BK1354" s="1268"/>
      <c r="BL1354" s="1268"/>
      <c r="BM1354" s="1268"/>
      <c r="BN1354" s="1268"/>
      <c r="BO1354" s="1268"/>
      <c r="BP1354" s="1268"/>
      <c r="BQ1354" s="1268"/>
      <c r="BR1354" s="1268"/>
      <c r="BS1354" s="1268"/>
      <c r="BT1354" s="1268"/>
      <c r="BU1354" s="1268"/>
      <c r="BV1354" s="1268"/>
      <c r="BW1354" s="1268"/>
      <c r="BX1354" s="1268"/>
      <c r="BY1354" s="1268"/>
      <c r="BZ1354" s="1268"/>
      <c r="CA1354" s="1268"/>
      <c r="CB1354" s="1268"/>
      <c r="CC1354" s="1268"/>
      <c r="CD1354" s="1268"/>
      <c r="CE1354" s="1268"/>
      <c r="CF1354" s="1268"/>
      <c r="CG1354" s="1268"/>
      <c r="CH1354" s="1268"/>
      <c r="CI1354" s="1268"/>
      <c r="CJ1354" s="1268"/>
      <c r="CK1354" s="1268"/>
      <c r="CL1354" s="1268"/>
      <c r="CM1354" s="1268"/>
      <c r="CN1354" s="1268"/>
      <c r="CO1354" s="1268"/>
      <c r="CP1354" s="1268"/>
      <c r="CQ1354" s="1268"/>
      <c r="CR1354" s="1268"/>
      <c r="CS1354" s="1268"/>
      <c r="CT1354" s="1268"/>
      <c r="CU1354" s="1268"/>
      <c r="CV1354" s="1268"/>
      <c r="CW1354" s="1268"/>
      <c r="CX1354" s="1268"/>
      <c r="CY1354" s="1268"/>
      <c r="CZ1354" s="1268"/>
      <c r="DA1354" s="1268"/>
      <c r="DB1354" s="1268"/>
      <c r="DC1354" s="1268"/>
      <c r="DD1354" s="1268"/>
      <c r="DE1354" s="1268"/>
      <c r="DF1354" s="1268"/>
      <c r="DG1354" s="1268"/>
      <c r="DH1354" s="1268"/>
      <c r="DI1354" s="1268"/>
      <c r="DJ1354" s="1268"/>
      <c r="DK1354" s="1268"/>
      <c r="DL1354" s="1268"/>
      <c r="DM1354" s="1268"/>
      <c r="DN1354" s="1268"/>
      <c r="DO1354" s="1268"/>
      <c r="DP1354" s="1268"/>
      <c r="DQ1354" s="1268"/>
      <c r="DR1354" s="1268"/>
      <c r="DS1354" s="1268"/>
      <c r="DT1354" s="1268"/>
      <c r="DU1354" s="1268"/>
      <c r="DV1354" s="1268"/>
      <c r="DW1354" s="1268"/>
      <c r="DX1354" s="1268"/>
      <c r="DY1354" s="1268"/>
      <c r="DZ1354" s="1268"/>
      <c r="EA1354" s="1268"/>
      <c r="EB1354" s="1268"/>
      <c r="EC1354" s="1268"/>
      <c r="ED1354" s="1268"/>
      <c r="EE1354" s="1268"/>
      <c r="EF1354" s="1268"/>
      <c r="EG1354" s="1268"/>
      <c r="EH1354" s="1268"/>
      <c r="EI1354" s="1268"/>
      <c r="EJ1354" s="1268"/>
      <c r="EK1354" s="1268"/>
      <c r="EL1354" s="1268"/>
      <c r="EM1354" s="1268"/>
      <c r="EN1354" s="1268"/>
      <c r="EO1354" s="1268"/>
      <c r="EP1354" s="1268"/>
      <c r="EQ1354" s="1268"/>
      <c r="ER1354" s="1268"/>
      <c r="ES1354" s="1268"/>
      <c r="ET1354" s="1268"/>
      <c r="EU1354" s="1268"/>
      <c r="EV1354" s="1268"/>
      <c r="EW1354" s="1268"/>
      <c r="EX1354" s="1268"/>
      <c r="EY1354" s="1268"/>
      <c r="EZ1354" s="1268"/>
      <c r="FA1354" s="1268"/>
      <c r="FB1354" s="1268"/>
      <c r="FC1354" s="1268"/>
      <c r="FD1354" s="1268"/>
      <c r="FE1354" s="1268"/>
      <c r="FF1354" s="1268"/>
      <c r="FG1354" s="1268"/>
      <c r="FH1354" s="1268"/>
      <c r="FI1354" s="1268"/>
      <c r="FJ1354" s="1268"/>
      <c r="FK1354" s="1268"/>
      <c r="FL1354" s="1268"/>
      <c r="FM1354" s="1268"/>
      <c r="FN1354" s="1268"/>
      <c r="FO1354" s="1268"/>
      <c r="FP1354" s="1268"/>
      <c r="FQ1354" s="1268"/>
      <c r="FR1354" s="1268"/>
      <c r="FS1354" s="1268"/>
      <c r="FT1354" s="1268"/>
      <c r="FU1354" s="1268"/>
      <c r="FV1354" s="1268"/>
      <c r="FW1354" s="1268"/>
      <c r="FX1354" s="1268"/>
      <c r="FY1354" s="1268"/>
      <c r="FZ1354" s="1268"/>
      <c r="GA1354" s="1268"/>
      <c r="GB1354" s="1268"/>
      <c r="GC1354" s="1268"/>
      <c r="GD1354" s="1268"/>
      <c r="GE1354" s="1268"/>
      <c r="GF1354" s="1268"/>
      <c r="GG1354" s="1268"/>
      <c r="GH1354" s="1268"/>
      <c r="GI1354" s="1268"/>
      <c r="GJ1354" s="1268"/>
      <c r="GK1354" s="1268"/>
      <c r="GL1354" s="1268"/>
      <c r="GM1354" s="1268"/>
      <c r="GN1354" s="1268"/>
      <c r="GO1354" s="1268"/>
      <c r="GP1354" s="1268"/>
      <c r="GQ1354" s="1268"/>
      <c r="GR1354" s="1268"/>
      <c r="GS1354" s="1268"/>
      <c r="GT1354" s="1268"/>
      <c r="GU1354" s="1268"/>
      <c r="GV1354" s="1268"/>
      <c r="GW1354" s="1268"/>
      <c r="GX1354" s="1268"/>
      <c r="GY1354" s="1268"/>
      <c r="GZ1354" s="1268"/>
      <c r="HA1354" s="1268"/>
      <c r="HB1354" s="1268"/>
      <c r="HC1354" s="1268"/>
      <c r="HD1354" s="1268"/>
      <c r="HE1354" s="1268"/>
      <c r="HF1354" s="1268"/>
      <c r="HG1354" s="1268"/>
      <c r="HH1354" s="1268"/>
      <c r="HI1354" s="1268"/>
      <c r="HJ1354" s="1268"/>
      <c r="HK1354" s="1268"/>
      <c r="HL1354" s="1268"/>
      <c r="HM1354" s="1268"/>
      <c r="HN1354" s="1268"/>
      <c r="HO1354" s="1268"/>
      <c r="HP1354" s="1268"/>
      <c r="HQ1354" s="1268"/>
      <c r="HR1354" s="1268"/>
      <c r="HS1354" s="1268"/>
      <c r="HT1354" s="1268"/>
      <c r="HU1354" s="1268"/>
      <c r="HV1354" s="1268"/>
      <c r="HW1354" s="1268"/>
      <c r="HX1354" s="1268"/>
      <c r="HY1354" s="1268"/>
      <c r="HZ1354" s="1268"/>
      <c r="IA1354" s="1268"/>
      <c r="IB1354" s="1268"/>
      <c r="IC1354" s="1268"/>
      <c r="ID1354" s="1268"/>
      <c r="IE1354" s="1268"/>
      <c r="IF1354" s="1268"/>
      <c r="IG1354" s="1268"/>
      <c r="IH1354" s="1268"/>
      <c r="II1354" s="1268"/>
      <c r="IJ1354" s="1268"/>
      <c r="IK1354" s="1268"/>
      <c r="IL1354" s="1268"/>
      <c r="IM1354" s="1268"/>
      <c r="IN1354" s="1268"/>
      <c r="IO1354" s="1268"/>
      <c r="IP1354" s="1268"/>
      <c r="IQ1354" s="1268"/>
      <c r="IR1354" s="1268"/>
      <c r="IS1354" s="1268"/>
      <c r="IT1354" s="1268"/>
      <c r="IU1354" s="1268"/>
      <c r="IV1354" s="1268"/>
      <c r="IW1354" s="1268"/>
      <c r="IX1354" s="1268"/>
      <c r="IY1354" s="1268"/>
      <c r="IZ1354" s="1268"/>
      <c r="JA1354" s="1268"/>
      <c r="JB1354" s="1268"/>
      <c r="JC1354" s="1268"/>
      <c r="JD1354" s="1268"/>
      <c r="JE1354" s="1268"/>
      <c r="JF1354" s="1268"/>
      <c r="JG1354" s="1268"/>
      <c r="JH1354" s="1268"/>
      <c r="JI1354" s="1268"/>
      <c r="JJ1354" s="1268"/>
      <c r="JK1354" s="1268"/>
      <c r="JL1354" s="1268"/>
      <c r="JM1354" s="1268"/>
      <c r="JN1354" s="1268"/>
      <c r="JO1354" s="1268"/>
      <c r="JP1354" s="1268"/>
      <c r="JQ1354" s="1268"/>
      <c r="JR1354" s="1268"/>
      <c r="JS1354" s="1268"/>
      <c r="JT1354" s="1268"/>
      <c r="JU1354" s="1268"/>
      <c r="JV1354" s="1268"/>
      <c r="JW1354" s="1268"/>
      <c r="JX1354" s="1268"/>
      <c r="JY1354" s="1268"/>
      <c r="JZ1354" s="1268"/>
      <c r="KA1354" s="1268"/>
      <c r="KB1354" s="1268"/>
      <c r="KC1354" s="1268"/>
      <c r="KD1354" s="1268"/>
      <c r="KE1354" s="1268"/>
      <c r="KF1354" s="1268"/>
      <c r="KG1354" s="1268"/>
      <c r="KH1354" s="1268"/>
      <c r="KI1354" s="1268"/>
      <c r="KJ1354" s="1268"/>
      <c r="KK1354" s="1268"/>
      <c r="KL1354" s="1268"/>
      <c r="KM1354" s="1268"/>
      <c r="KN1354" s="1268"/>
      <c r="KO1354" s="1268"/>
      <c r="KP1354" s="1268"/>
      <c r="KQ1354" s="1268"/>
      <c r="KR1354" s="1268"/>
      <c r="KS1354" s="1268"/>
      <c r="KT1354" s="1268"/>
      <c r="KU1354" s="1268"/>
      <c r="KV1354" s="1268"/>
      <c r="KW1354" s="1268"/>
      <c r="KX1354" s="1268"/>
      <c r="KY1354" s="1268"/>
      <c r="KZ1354" s="1268"/>
      <c r="LA1354" s="1268"/>
      <c r="LB1354" s="1268"/>
      <c r="LC1354" s="1268"/>
      <c r="LD1354" s="1268"/>
      <c r="LE1354" s="1268"/>
      <c r="LF1354" s="1268"/>
      <c r="LG1354" s="1268"/>
      <c r="LH1354" s="1268"/>
      <c r="LI1354" s="1268"/>
      <c r="LJ1354" s="1268"/>
      <c r="LK1354" s="1268"/>
      <c r="LL1354" s="1268"/>
      <c r="LM1354" s="1268"/>
      <c r="LN1354" s="1268"/>
      <c r="LO1354" s="1268"/>
      <c r="LP1354" s="1268"/>
      <c r="LQ1354" s="1268"/>
      <c r="LR1354" s="1268"/>
      <c r="LS1354" s="1268"/>
      <c r="LT1354" s="1268"/>
      <c r="LU1354" s="1268"/>
      <c r="LV1354" s="1268"/>
      <c r="LW1354" s="1268"/>
      <c r="LX1354" s="1268"/>
      <c r="LY1354" s="1268"/>
      <c r="LZ1354" s="1268"/>
      <c r="MA1354" s="1268"/>
      <c r="MB1354" s="1268"/>
      <c r="MC1354" s="1268"/>
      <c r="MD1354" s="1268"/>
      <c r="ME1354" s="1268"/>
      <c r="MF1354" s="1268"/>
      <c r="MG1354" s="1268"/>
      <c r="MH1354" s="1268"/>
      <c r="MI1354" s="1268"/>
      <c r="MJ1354" s="1268"/>
      <c r="MK1354" s="1268"/>
      <c r="ML1354" s="1268"/>
      <c r="MM1354" s="1268"/>
      <c r="MN1354" s="1268"/>
      <c r="MO1354" s="1268"/>
      <c r="MP1354" s="1268"/>
      <c r="MQ1354" s="1268"/>
      <c r="MR1354" s="1268"/>
      <c r="MS1354" s="1268"/>
      <c r="MT1354" s="1268"/>
      <c r="MU1354" s="1268"/>
      <c r="MV1354" s="1268"/>
      <c r="MW1354" s="1268"/>
      <c r="MX1354" s="1268"/>
      <c r="MY1354" s="1268"/>
      <c r="MZ1354" s="1268"/>
      <c r="NA1354" s="1268"/>
      <c r="NB1354" s="1268"/>
      <c r="NC1354" s="1268"/>
      <c r="ND1354" s="1268"/>
      <c r="NE1354" s="1268"/>
      <c r="NF1354" s="1268"/>
      <c r="NG1354" s="1268"/>
      <c r="NH1354" s="1268"/>
      <c r="NI1354" s="1268"/>
      <c r="NJ1354" s="1268"/>
      <c r="NK1354" s="1268"/>
      <c r="NL1354" s="1268"/>
      <c r="NM1354" s="1268"/>
      <c r="NN1354" s="1268"/>
      <c r="NO1354" s="1268"/>
      <c r="NP1354" s="1268"/>
      <c r="NQ1354" s="1268"/>
      <c r="NR1354" s="1268"/>
      <c r="NS1354" s="1268"/>
      <c r="NT1354" s="1268"/>
      <c r="NU1354" s="1268"/>
      <c r="NV1354" s="1268"/>
      <c r="NW1354" s="1268"/>
      <c r="NX1354" s="1268"/>
      <c r="NY1354" s="1268"/>
      <c r="NZ1354" s="1268"/>
      <c r="OA1354" s="1268"/>
      <c r="OB1354" s="1268"/>
      <c r="OC1354" s="1268"/>
      <c r="OD1354" s="1268"/>
      <c r="OE1354" s="1268"/>
      <c r="OF1354" s="1268"/>
      <c r="OG1354" s="1268"/>
      <c r="OH1354" s="1268"/>
      <c r="OI1354" s="1268"/>
      <c r="OJ1354" s="1268"/>
      <c r="OK1354" s="1268"/>
      <c r="OL1354" s="1268"/>
      <c r="OM1354" s="1268"/>
      <c r="ON1354" s="1268"/>
      <c r="OO1354" s="1268"/>
      <c r="OP1354" s="1268"/>
      <c r="OQ1354" s="1268"/>
      <c r="OR1354" s="1268"/>
      <c r="OS1354" s="1268"/>
      <c r="OT1354" s="1268"/>
      <c r="OU1354" s="1268"/>
      <c r="OV1354" s="1268"/>
      <c r="OW1354" s="1268"/>
      <c r="OX1354" s="1268"/>
      <c r="OY1354" s="1268"/>
      <c r="OZ1354" s="1268"/>
      <c r="PA1354" s="1268"/>
      <c r="PB1354" s="1268"/>
      <c r="PC1354" s="1268"/>
      <c r="PD1354" s="1268"/>
      <c r="PE1354" s="1268"/>
      <c r="PF1354" s="1268"/>
      <c r="PG1354" s="1268"/>
      <c r="PH1354" s="1268"/>
      <c r="PI1354" s="1268"/>
      <c r="PJ1354" s="1268"/>
      <c r="PK1354" s="1268"/>
      <c r="PL1354" s="1268"/>
      <c r="PM1354" s="1268"/>
      <c r="PN1354" s="1268"/>
      <c r="PO1354" s="1268"/>
      <c r="PP1354" s="1268"/>
      <c r="PQ1354" s="1268"/>
      <c r="PR1354" s="1268"/>
      <c r="PS1354" s="1268"/>
      <c r="PT1354" s="1268"/>
      <c r="PU1354" s="1268"/>
      <c r="PV1354" s="1268"/>
      <c r="PW1354" s="1268"/>
      <c r="PX1354" s="1268"/>
      <c r="PY1354" s="1268"/>
      <c r="PZ1354" s="1268"/>
      <c r="QA1354" s="1268"/>
      <c r="QB1354" s="1268"/>
      <c r="QC1354" s="1268"/>
      <c r="QD1354" s="1268"/>
      <c r="QE1354" s="1268"/>
      <c r="QF1354" s="1268"/>
      <c r="QG1354" s="1268"/>
      <c r="QH1354" s="1268"/>
      <c r="QI1354" s="1268"/>
      <c r="QJ1354" s="1268"/>
      <c r="QK1354" s="1268"/>
      <c r="QL1354" s="1268"/>
      <c r="QM1354" s="1268"/>
      <c r="QN1354" s="1268"/>
      <c r="QO1354" s="1268"/>
      <c r="QP1354" s="1268"/>
      <c r="QQ1354" s="1268"/>
      <c r="QR1354" s="1268"/>
      <c r="QS1354" s="1268"/>
      <c r="QT1354" s="1268"/>
      <c r="QU1354" s="1268"/>
      <c r="QV1354" s="1268"/>
      <c r="QW1354" s="1268"/>
      <c r="QX1354" s="1268"/>
      <c r="QY1354" s="1268"/>
      <c r="QZ1354" s="1268"/>
      <c r="RA1354" s="1268"/>
      <c r="RB1354" s="1268"/>
      <c r="RC1354" s="1268"/>
      <c r="RD1354" s="1268"/>
      <c r="RE1354" s="1268"/>
      <c r="RF1354" s="1268"/>
      <c r="RG1354" s="1268"/>
      <c r="RH1354" s="1268"/>
      <c r="RI1354" s="1268"/>
      <c r="RJ1354" s="1268"/>
      <c r="RK1354" s="1268"/>
      <c r="RL1354" s="1268"/>
      <c r="RM1354" s="1268"/>
      <c r="RN1354" s="1268"/>
      <c r="RO1354" s="1268"/>
      <c r="RP1354" s="1268"/>
      <c r="RQ1354" s="1268"/>
      <c r="RR1354" s="1268"/>
      <c r="RS1354" s="1268"/>
      <c r="RT1354" s="1268"/>
      <c r="RU1354" s="1268"/>
      <c r="RV1354" s="1268"/>
      <c r="RW1354" s="1268"/>
      <c r="RX1354" s="1268"/>
      <c r="RY1354" s="1268"/>
      <c r="RZ1354" s="1268"/>
      <c r="SA1354" s="1268"/>
      <c r="SB1354" s="1268"/>
      <c r="SC1354" s="1268"/>
      <c r="SD1354" s="1268"/>
      <c r="SE1354" s="1268"/>
      <c r="SF1354" s="1268"/>
      <c r="SG1354" s="1268"/>
      <c r="SH1354" s="1268"/>
      <c r="SI1354" s="1268"/>
      <c r="SJ1354" s="1268"/>
      <c r="SK1354" s="1268"/>
      <c r="SL1354" s="1268"/>
      <c r="SM1354" s="1268"/>
      <c r="SN1354" s="1268"/>
      <c r="SO1354" s="1268"/>
      <c r="SP1354" s="1268"/>
      <c r="SQ1354" s="1268"/>
      <c r="SR1354" s="1268"/>
      <c r="SS1354" s="1268"/>
      <c r="ST1354" s="1268"/>
      <c r="SU1354" s="1268"/>
      <c r="SV1354" s="1268"/>
      <c r="SW1354" s="1268"/>
      <c r="SX1354" s="1268"/>
      <c r="SY1354" s="1268"/>
      <c r="SZ1354" s="1268"/>
      <c r="TA1354" s="1268"/>
      <c r="TB1354" s="1268"/>
      <c r="TC1354" s="1268"/>
      <c r="TD1354" s="1268"/>
      <c r="TE1354" s="1268"/>
      <c r="TF1354" s="1268"/>
      <c r="TG1354" s="1268"/>
      <c r="TH1354" s="1268"/>
      <c r="TI1354" s="1268"/>
      <c r="TJ1354" s="1268"/>
      <c r="TK1354" s="1268"/>
      <c r="TL1354" s="1268"/>
      <c r="TM1354" s="1268"/>
      <c r="TN1354" s="1268"/>
      <c r="TO1354" s="1268"/>
      <c r="TP1354" s="1268"/>
      <c r="TQ1354" s="1268"/>
      <c r="TR1354" s="1268"/>
      <c r="TS1354" s="1268"/>
      <c r="TT1354" s="1268"/>
      <c r="TU1354" s="1268"/>
      <c r="TV1354" s="1268"/>
      <c r="TW1354" s="1268"/>
      <c r="TX1354" s="1268"/>
      <c r="TY1354" s="1268"/>
      <c r="TZ1354" s="1268"/>
      <c r="UA1354" s="1268"/>
      <c r="UB1354" s="1268"/>
      <c r="UC1354" s="1268"/>
      <c r="UD1354" s="1268"/>
      <c r="UE1354" s="1268"/>
      <c r="UF1354" s="1268"/>
      <c r="UG1354" s="1268"/>
    </row>
    <row r="1355" spans="1:553" s="1262" customFormat="1" ht="25.15" customHeight="1">
      <c r="A1355" s="411"/>
      <c r="B1355" s="411"/>
      <c r="C1355" s="1423" t="s">
        <v>1239</v>
      </c>
      <c r="D1355" s="1452" t="s">
        <v>1240</v>
      </c>
      <c r="E1355" s="1452" t="s">
        <v>1240</v>
      </c>
      <c r="F1355" s="1452" t="s">
        <v>1240</v>
      </c>
      <c r="G1355" s="386" t="s">
        <v>193</v>
      </c>
      <c r="H1355" s="502"/>
      <c r="I1355" s="1113">
        <f>((21.05*100*6)/3500)*(18-(4-3))*1</f>
        <v>61.345714285714287</v>
      </c>
      <c r="J1355" s="305">
        <v>9600</v>
      </c>
      <c r="K1355" s="475">
        <v>0.7</v>
      </c>
      <c r="L1355" s="1024">
        <f>I1355*J1355*K1355</f>
        <v>412243.20000000001</v>
      </c>
      <c r="M1355" s="411"/>
      <c r="N1355" s="411"/>
      <c r="O1355" s="425"/>
      <c r="P1355" s="356"/>
      <c r="Q1355" s="610"/>
      <c r="R1355" s="1228"/>
      <c r="S1355" s="308"/>
      <c r="T1355" s="308"/>
      <c r="U1355" s="308"/>
      <c r="V1355" s="308"/>
      <c r="W1355" s="308"/>
      <c r="X1355" s="308"/>
      <c r="Y1355" s="308"/>
      <c r="Z1355" s="604"/>
      <c r="AA1355" s="308"/>
      <c r="AB1355" s="308"/>
      <c r="AC1355" s="486"/>
      <c r="AD1355" s="486"/>
      <c r="AE1355" s="486"/>
      <c r="AF1355" s="486"/>
      <c r="AG1355" s="486"/>
      <c r="AH1355" s="486"/>
      <c r="AI1355" s="486"/>
      <c r="AJ1355" s="486"/>
      <c r="AK1355" s="486"/>
      <c r="AL1355" s="1267"/>
      <c r="AM1355" s="1268"/>
      <c r="AN1355" s="1268"/>
      <c r="AO1355" s="1268"/>
      <c r="AP1355" s="1268"/>
      <c r="AQ1355" s="1268"/>
      <c r="AR1355" s="1268"/>
      <c r="AS1355" s="1268"/>
      <c r="AT1355" s="1268"/>
      <c r="AU1355" s="1268"/>
      <c r="AV1355" s="1268"/>
      <c r="AW1355" s="1268"/>
      <c r="AX1355" s="1268"/>
      <c r="AY1355" s="1268"/>
      <c r="AZ1355" s="1268"/>
      <c r="BA1355" s="1268"/>
      <c r="BB1355" s="1268"/>
      <c r="BC1355" s="1268"/>
      <c r="BD1355" s="1268"/>
      <c r="BE1355" s="1268"/>
      <c r="BF1355" s="1268"/>
      <c r="BG1355" s="1268"/>
      <c r="BH1355" s="1268"/>
      <c r="BI1355" s="1268"/>
      <c r="BJ1355" s="1268"/>
      <c r="BK1355" s="1268"/>
      <c r="BL1355" s="1268"/>
      <c r="BM1355" s="1268"/>
      <c r="BN1355" s="1268"/>
      <c r="BO1355" s="1268"/>
      <c r="BP1355" s="1268"/>
      <c r="BQ1355" s="1268"/>
      <c r="BR1355" s="1268"/>
      <c r="BS1355" s="1268"/>
      <c r="BT1355" s="1268"/>
      <c r="BU1355" s="1268"/>
      <c r="BV1355" s="1268"/>
      <c r="BW1355" s="1268"/>
      <c r="BX1355" s="1268"/>
      <c r="BY1355" s="1268"/>
      <c r="BZ1355" s="1268"/>
      <c r="CA1355" s="1268"/>
      <c r="CB1355" s="1268"/>
      <c r="CC1355" s="1268"/>
      <c r="CD1355" s="1268"/>
      <c r="CE1355" s="1268"/>
      <c r="CF1355" s="1268"/>
      <c r="CG1355" s="1268"/>
      <c r="CH1355" s="1268"/>
      <c r="CI1355" s="1268"/>
      <c r="CJ1355" s="1268"/>
      <c r="CK1355" s="1268"/>
      <c r="CL1355" s="1268"/>
      <c r="CM1355" s="1268"/>
      <c r="CN1355" s="1268"/>
      <c r="CO1355" s="1268"/>
      <c r="CP1355" s="1268"/>
      <c r="CQ1355" s="1268"/>
      <c r="CR1355" s="1268"/>
      <c r="CS1355" s="1268"/>
      <c r="CT1355" s="1268"/>
      <c r="CU1355" s="1268"/>
      <c r="CV1355" s="1268"/>
      <c r="CW1355" s="1268"/>
      <c r="CX1355" s="1268"/>
      <c r="CY1355" s="1268"/>
      <c r="CZ1355" s="1268"/>
      <c r="DA1355" s="1268"/>
      <c r="DB1355" s="1268"/>
      <c r="DC1355" s="1268"/>
      <c r="DD1355" s="1268"/>
      <c r="DE1355" s="1268"/>
      <c r="DF1355" s="1268"/>
      <c r="DG1355" s="1268"/>
      <c r="DH1355" s="1268"/>
      <c r="DI1355" s="1268"/>
      <c r="DJ1355" s="1268"/>
      <c r="DK1355" s="1268"/>
      <c r="DL1355" s="1268"/>
      <c r="DM1355" s="1268"/>
      <c r="DN1355" s="1268"/>
      <c r="DO1355" s="1268"/>
      <c r="DP1355" s="1268"/>
      <c r="DQ1355" s="1268"/>
      <c r="DR1355" s="1268"/>
      <c r="DS1355" s="1268"/>
      <c r="DT1355" s="1268"/>
      <c r="DU1355" s="1268"/>
      <c r="DV1355" s="1268"/>
      <c r="DW1355" s="1268"/>
      <c r="DX1355" s="1268"/>
      <c r="DY1355" s="1268"/>
      <c r="DZ1355" s="1268"/>
      <c r="EA1355" s="1268"/>
      <c r="EB1355" s="1268"/>
      <c r="EC1355" s="1268"/>
      <c r="ED1355" s="1268"/>
      <c r="EE1355" s="1268"/>
      <c r="EF1355" s="1268"/>
      <c r="EG1355" s="1268"/>
      <c r="EH1355" s="1268"/>
      <c r="EI1355" s="1268"/>
      <c r="EJ1355" s="1268"/>
      <c r="EK1355" s="1268"/>
      <c r="EL1355" s="1268"/>
      <c r="EM1355" s="1268"/>
      <c r="EN1355" s="1268"/>
      <c r="EO1355" s="1268"/>
      <c r="EP1355" s="1268"/>
      <c r="EQ1355" s="1268"/>
      <c r="ER1355" s="1268"/>
      <c r="ES1355" s="1268"/>
      <c r="ET1355" s="1268"/>
      <c r="EU1355" s="1268"/>
      <c r="EV1355" s="1268"/>
      <c r="EW1355" s="1268"/>
      <c r="EX1355" s="1268"/>
      <c r="EY1355" s="1268"/>
      <c r="EZ1355" s="1268"/>
      <c r="FA1355" s="1268"/>
      <c r="FB1355" s="1268"/>
      <c r="FC1355" s="1268"/>
      <c r="FD1355" s="1268"/>
      <c r="FE1355" s="1268"/>
      <c r="FF1355" s="1268"/>
      <c r="FG1355" s="1268"/>
      <c r="FH1355" s="1268"/>
      <c r="FI1355" s="1268"/>
      <c r="FJ1355" s="1268"/>
      <c r="FK1355" s="1268"/>
      <c r="FL1355" s="1268"/>
      <c r="FM1355" s="1268"/>
      <c r="FN1355" s="1268"/>
      <c r="FO1355" s="1268"/>
      <c r="FP1355" s="1268"/>
      <c r="FQ1355" s="1268"/>
      <c r="FR1355" s="1268"/>
      <c r="FS1355" s="1268"/>
      <c r="FT1355" s="1268"/>
      <c r="FU1355" s="1268"/>
      <c r="FV1355" s="1268"/>
      <c r="FW1355" s="1268"/>
      <c r="FX1355" s="1268"/>
      <c r="FY1355" s="1268"/>
      <c r="FZ1355" s="1268"/>
      <c r="GA1355" s="1268"/>
      <c r="GB1355" s="1268"/>
      <c r="GC1355" s="1268"/>
      <c r="GD1355" s="1268"/>
      <c r="GE1355" s="1268"/>
      <c r="GF1355" s="1268"/>
      <c r="GG1355" s="1268"/>
      <c r="GH1355" s="1268"/>
      <c r="GI1355" s="1268"/>
      <c r="GJ1355" s="1268"/>
      <c r="GK1355" s="1268"/>
      <c r="GL1355" s="1268"/>
      <c r="GM1355" s="1268"/>
      <c r="GN1355" s="1268"/>
      <c r="GO1355" s="1268"/>
      <c r="GP1355" s="1268"/>
      <c r="GQ1355" s="1268"/>
      <c r="GR1355" s="1268"/>
      <c r="GS1355" s="1268"/>
      <c r="GT1355" s="1268"/>
      <c r="GU1355" s="1268"/>
      <c r="GV1355" s="1268"/>
      <c r="GW1355" s="1268"/>
      <c r="GX1355" s="1268"/>
      <c r="GY1355" s="1268"/>
      <c r="GZ1355" s="1268"/>
      <c r="HA1355" s="1268"/>
      <c r="HB1355" s="1268"/>
      <c r="HC1355" s="1268"/>
      <c r="HD1355" s="1268"/>
      <c r="HE1355" s="1268"/>
      <c r="HF1355" s="1268"/>
      <c r="HG1355" s="1268"/>
      <c r="HH1355" s="1268"/>
      <c r="HI1355" s="1268"/>
      <c r="HJ1355" s="1268"/>
      <c r="HK1355" s="1268"/>
      <c r="HL1355" s="1268"/>
      <c r="HM1355" s="1268"/>
      <c r="HN1355" s="1268"/>
      <c r="HO1355" s="1268"/>
      <c r="HP1355" s="1268"/>
      <c r="HQ1355" s="1268"/>
      <c r="HR1355" s="1268"/>
      <c r="HS1355" s="1268"/>
      <c r="HT1355" s="1268"/>
      <c r="HU1355" s="1268"/>
      <c r="HV1355" s="1268"/>
      <c r="HW1355" s="1268"/>
      <c r="HX1355" s="1268"/>
      <c r="HY1355" s="1268"/>
      <c r="HZ1355" s="1268"/>
      <c r="IA1355" s="1268"/>
      <c r="IB1355" s="1268"/>
      <c r="IC1355" s="1268"/>
      <c r="ID1355" s="1268"/>
      <c r="IE1355" s="1268"/>
      <c r="IF1355" s="1268"/>
      <c r="IG1355" s="1268"/>
      <c r="IH1355" s="1268"/>
      <c r="II1355" s="1268"/>
      <c r="IJ1355" s="1268"/>
      <c r="IK1355" s="1268"/>
      <c r="IL1355" s="1268"/>
      <c r="IM1355" s="1268"/>
      <c r="IN1355" s="1268"/>
      <c r="IO1355" s="1268"/>
      <c r="IP1355" s="1268"/>
      <c r="IQ1355" s="1268"/>
      <c r="IR1355" s="1268"/>
      <c r="IS1355" s="1268"/>
      <c r="IT1355" s="1268"/>
      <c r="IU1355" s="1268"/>
      <c r="IV1355" s="1268"/>
      <c r="IW1355" s="1268"/>
      <c r="IX1355" s="1268"/>
      <c r="IY1355" s="1268"/>
      <c r="IZ1355" s="1268"/>
      <c r="JA1355" s="1268"/>
      <c r="JB1355" s="1268"/>
      <c r="JC1355" s="1268"/>
      <c r="JD1355" s="1268"/>
      <c r="JE1355" s="1268"/>
      <c r="JF1355" s="1268"/>
      <c r="JG1355" s="1268"/>
      <c r="JH1355" s="1268"/>
      <c r="JI1355" s="1268"/>
      <c r="JJ1355" s="1268"/>
      <c r="JK1355" s="1268"/>
      <c r="JL1355" s="1268"/>
      <c r="JM1355" s="1268"/>
      <c r="JN1355" s="1268"/>
      <c r="JO1355" s="1268"/>
      <c r="JP1355" s="1268"/>
      <c r="JQ1355" s="1268"/>
      <c r="JR1355" s="1268"/>
      <c r="JS1355" s="1268"/>
      <c r="JT1355" s="1268"/>
      <c r="JU1355" s="1268"/>
      <c r="JV1355" s="1268"/>
      <c r="JW1355" s="1268"/>
      <c r="JX1355" s="1268"/>
      <c r="JY1355" s="1268"/>
      <c r="JZ1355" s="1268"/>
      <c r="KA1355" s="1268"/>
      <c r="KB1355" s="1268"/>
      <c r="KC1355" s="1268"/>
      <c r="KD1355" s="1268"/>
      <c r="KE1355" s="1268"/>
      <c r="KF1355" s="1268"/>
      <c r="KG1355" s="1268"/>
      <c r="KH1355" s="1268"/>
      <c r="KI1355" s="1268"/>
      <c r="KJ1355" s="1268"/>
      <c r="KK1355" s="1268"/>
      <c r="KL1355" s="1268"/>
      <c r="KM1355" s="1268"/>
      <c r="KN1355" s="1268"/>
      <c r="KO1355" s="1268"/>
      <c r="KP1355" s="1268"/>
      <c r="KQ1355" s="1268"/>
      <c r="KR1355" s="1268"/>
      <c r="KS1355" s="1268"/>
      <c r="KT1355" s="1268"/>
      <c r="KU1355" s="1268"/>
      <c r="KV1355" s="1268"/>
      <c r="KW1355" s="1268"/>
      <c r="KX1355" s="1268"/>
      <c r="KY1355" s="1268"/>
      <c r="KZ1355" s="1268"/>
      <c r="LA1355" s="1268"/>
      <c r="LB1355" s="1268"/>
      <c r="LC1355" s="1268"/>
      <c r="LD1355" s="1268"/>
      <c r="LE1355" s="1268"/>
      <c r="LF1355" s="1268"/>
      <c r="LG1355" s="1268"/>
      <c r="LH1355" s="1268"/>
      <c r="LI1355" s="1268"/>
      <c r="LJ1355" s="1268"/>
      <c r="LK1355" s="1268"/>
      <c r="LL1355" s="1268"/>
      <c r="LM1355" s="1268"/>
      <c r="LN1355" s="1268"/>
      <c r="LO1355" s="1268"/>
      <c r="LP1355" s="1268"/>
      <c r="LQ1355" s="1268"/>
      <c r="LR1355" s="1268"/>
      <c r="LS1355" s="1268"/>
      <c r="LT1355" s="1268"/>
      <c r="LU1355" s="1268"/>
      <c r="LV1355" s="1268"/>
      <c r="LW1355" s="1268"/>
      <c r="LX1355" s="1268"/>
      <c r="LY1355" s="1268"/>
      <c r="LZ1355" s="1268"/>
      <c r="MA1355" s="1268"/>
      <c r="MB1355" s="1268"/>
      <c r="MC1355" s="1268"/>
      <c r="MD1355" s="1268"/>
      <c r="ME1355" s="1268"/>
      <c r="MF1355" s="1268"/>
      <c r="MG1355" s="1268"/>
      <c r="MH1355" s="1268"/>
      <c r="MI1355" s="1268"/>
      <c r="MJ1355" s="1268"/>
      <c r="MK1355" s="1268"/>
      <c r="ML1355" s="1268"/>
      <c r="MM1355" s="1268"/>
      <c r="MN1355" s="1268"/>
      <c r="MO1355" s="1268"/>
      <c r="MP1355" s="1268"/>
      <c r="MQ1355" s="1268"/>
      <c r="MR1355" s="1268"/>
      <c r="MS1355" s="1268"/>
      <c r="MT1355" s="1268"/>
      <c r="MU1355" s="1268"/>
      <c r="MV1355" s="1268"/>
      <c r="MW1355" s="1268"/>
      <c r="MX1355" s="1268"/>
      <c r="MY1355" s="1268"/>
      <c r="MZ1355" s="1268"/>
      <c r="NA1355" s="1268"/>
      <c r="NB1355" s="1268"/>
      <c r="NC1355" s="1268"/>
      <c r="ND1355" s="1268"/>
      <c r="NE1355" s="1268"/>
      <c r="NF1355" s="1268"/>
      <c r="NG1355" s="1268"/>
      <c r="NH1355" s="1268"/>
      <c r="NI1355" s="1268"/>
      <c r="NJ1355" s="1268"/>
      <c r="NK1355" s="1268"/>
      <c r="NL1355" s="1268"/>
      <c r="NM1355" s="1268"/>
      <c r="NN1355" s="1268"/>
      <c r="NO1355" s="1268"/>
      <c r="NP1355" s="1268"/>
      <c r="NQ1355" s="1268"/>
      <c r="NR1355" s="1268"/>
      <c r="NS1355" s="1268"/>
      <c r="NT1355" s="1268"/>
      <c r="NU1355" s="1268"/>
      <c r="NV1355" s="1268"/>
      <c r="NW1355" s="1268"/>
      <c r="NX1355" s="1268"/>
      <c r="NY1355" s="1268"/>
      <c r="NZ1355" s="1268"/>
      <c r="OA1355" s="1268"/>
      <c r="OB1355" s="1268"/>
      <c r="OC1355" s="1268"/>
      <c r="OD1355" s="1268"/>
      <c r="OE1355" s="1268"/>
      <c r="OF1355" s="1268"/>
      <c r="OG1355" s="1268"/>
      <c r="OH1355" s="1268"/>
      <c r="OI1355" s="1268"/>
      <c r="OJ1355" s="1268"/>
      <c r="OK1355" s="1268"/>
      <c r="OL1355" s="1268"/>
      <c r="OM1355" s="1268"/>
      <c r="ON1355" s="1268"/>
      <c r="OO1355" s="1268"/>
      <c r="OP1355" s="1268"/>
      <c r="OQ1355" s="1268"/>
      <c r="OR1355" s="1268"/>
      <c r="OS1355" s="1268"/>
      <c r="OT1355" s="1268"/>
      <c r="OU1355" s="1268"/>
      <c r="OV1355" s="1268"/>
      <c r="OW1355" s="1268"/>
      <c r="OX1355" s="1268"/>
      <c r="OY1355" s="1268"/>
      <c r="OZ1355" s="1268"/>
      <c r="PA1355" s="1268"/>
      <c r="PB1355" s="1268"/>
      <c r="PC1355" s="1268"/>
      <c r="PD1355" s="1268"/>
      <c r="PE1355" s="1268"/>
      <c r="PF1355" s="1268"/>
      <c r="PG1355" s="1268"/>
      <c r="PH1355" s="1268"/>
      <c r="PI1355" s="1268"/>
      <c r="PJ1355" s="1268"/>
      <c r="PK1355" s="1268"/>
      <c r="PL1355" s="1268"/>
      <c r="PM1355" s="1268"/>
      <c r="PN1355" s="1268"/>
      <c r="PO1355" s="1268"/>
      <c r="PP1355" s="1268"/>
      <c r="PQ1355" s="1268"/>
      <c r="PR1355" s="1268"/>
      <c r="PS1355" s="1268"/>
      <c r="PT1355" s="1268"/>
      <c r="PU1355" s="1268"/>
      <c r="PV1355" s="1268"/>
      <c r="PW1355" s="1268"/>
      <c r="PX1355" s="1268"/>
      <c r="PY1355" s="1268"/>
      <c r="PZ1355" s="1268"/>
      <c r="QA1355" s="1268"/>
      <c r="QB1355" s="1268"/>
      <c r="QC1355" s="1268"/>
      <c r="QD1355" s="1268"/>
      <c r="QE1355" s="1268"/>
      <c r="QF1355" s="1268"/>
      <c r="QG1355" s="1268"/>
      <c r="QH1355" s="1268"/>
      <c r="QI1355" s="1268"/>
      <c r="QJ1355" s="1268"/>
      <c r="QK1355" s="1268"/>
      <c r="QL1355" s="1268"/>
      <c r="QM1355" s="1268"/>
      <c r="QN1355" s="1268"/>
      <c r="QO1355" s="1268"/>
      <c r="QP1355" s="1268"/>
      <c r="QQ1355" s="1268"/>
      <c r="QR1355" s="1268"/>
      <c r="QS1355" s="1268"/>
      <c r="QT1355" s="1268"/>
      <c r="QU1355" s="1268"/>
      <c r="QV1355" s="1268"/>
      <c r="QW1355" s="1268"/>
      <c r="QX1355" s="1268"/>
      <c r="QY1355" s="1268"/>
      <c r="QZ1355" s="1268"/>
      <c r="RA1355" s="1268"/>
      <c r="RB1355" s="1268"/>
      <c r="RC1355" s="1268"/>
      <c r="RD1355" s="1268"/>
      <c r="RE1355" s="1268"/>
      <c r="RF1355" s="1268"/>
      <c r="RG1355" s="1268"/>
      <c r="RH1355" s="1268"/>
      <c r="RI1355" s="1268"/>
      <c r="RJ1355" s="1268"/>
      <c r="RK1355" s="1268"/>
      <c r="RL1355" s="1268"/>
      <c r="RM1355" s="1268"/>
      <c r="RN1355" s="1268"/>
      <c r="RO1355" s="1268"/>
      <c r="RP1355" s="1268"/>
      <c r="RQ1355" s="1268"/>
      <c r="RR1355" s="1268"/>
      <c r="RS1355" s="1268"/>
      <c r="RT1355" s="1268"/>
      <c r="RU1355" s="1268"/>
      <c r="RV1355" s="1268"/>
      <c r="RW1355" s="1268"/>
      <c r="RX1355" s="1268"/>
      <c r="RY1355" s="1268"/>
      <c r="RZ1355" s="1268"/>
      <c r="SA1355" s="1268"/>
      <c r="SB1355" s="1268"/>
      <c r="SC1355" s="1268"/>
      <c r="SD1355" s="1268"/>
      <c r="SE1355" s="1268"/>
      <c r="SF1355" s="1268"/>
      <c r="SG1355" s="1268"/>
      <c r="SH1355" s="1268"/>
      <c r="SI1355" s="1268"/>
      <c r="SJ1355" s="1268"/>
      <c r="SK1355" s="1268"/>
      <c r="SL1355" s="1268"/>
      <c r="SM1355" s="1268"/>
      <c r="SN1355" s="1268"/>
      <c r="SO1355" s="1268"/>
      <c r="SP1355" s="1268"/>
      <c r="SQ1355" s="1268"/>
      <c r="SR1355" s="1268"/>
      <c r="SS1355" s="1268"/>
      <c r="ST1355" s="1268"/>
      <c r="SU1355" s="1268"/>
      <c r="SV1355" s="1268"/>
      <c r="SW1355" s="1268"/>
      <c r="SX1355" s="1268"/>
      <c r="SY1355" s="1268"/>
      <c r="SZ1355" s="1268"/>
      <c r="TA1355" s="1268"/>
      <c r="TB1355" s="1268"/>
      <c r="TC1355" s="1268"/>
      <c r="TD1355" s="1268"/>
      <c r="TE1355" s="1268"/>
      <c r="TF1355" s="1268"/>
      <c r="TG1355" s="1268"/>
      <c r="TH1355" s="1268"/>
      <c r="TI1355" s="1268"/>
      <c r="TJ1355" s="1268"/>
      <c r="TK1355" s="1268"/>
      <c r="TL1355" s="1268"/>
      <c r="TM1355" s="1268"/>
      <c r="TN1355" s="1268"/>
      <c r="TO1355" s="1268"/>
      <c r="TP1355" s="1268"/>
      <c r="TQ1355" s="1268"/>
      <c r="TR1355" s="1268"/>
      <c r="TS1355" s="1268"/>
      <c r="TT1355" s="1268"/>
      <c r="TU1355" s="1268"/>
      <c r="TV1355" s="1268"/>
      <c r="TW1355" s="1268"/>
      <c r="TX1355" s="1268"/>
      <c r="TY1355" s="1268"/>
      <c r="TZ1355" s="1268"/>
      <c r="UA1355" s="1268"/>
      <c r="UB1355" s="1268"/>
      <c r="UC1355" s="1268"/>
      <c r="UD1355" s="1268"/>
      <c r="UE1355" s="1268"/>
      <c r="UF1355" s="1268"/>
      <c r="UG1355" s="1268"/>
    </row>
    <row r="1356" spans="1:553" s="1262" customFormat="1" ht="25.15" customHeight="1">
      <c r="A1356" s="555"/>
      <c r="B1356" s="555"/>
      <c r="C1356" s="1424" t="s">
        <v>1195</v>
      </c>
      <c r="D1356" s="1509" t="s">
        <v>1196</v>
      </c>
      <c r="E1356" s="1509" t="s">
        <v>1196</v>
      </c>
      <c r="F1356" s="1616" t="s">
        <v>1196</v>
      </c>
      <c r="G1356" s="576" t="s">
        <v>193</v>
      </c>
      <c r="H1356" s="592"/>
      <c r="I1356" s="800">
        <v>1</v>
      </c>
      <c r="J1356" s="989">
        <v>290600</v>
      </c>
      <c r="K1356" s="801">
        <v>0.7</v>
      </c>
      <c r="L1356" s="1023">
        <f>I1356*J1356*K1356</f>
        <v>203420</v>
      </c>
      <c r="M1356" s="411"/>
      <c r="N1356" s="411"/>
      <c r="O1356" s="425"/>
      <c r="P1356" s="356"/>
      <c r="Q1356" s="610"/>
      <c r="R1356" s="1228"/>
      <c r="S1356" s="308"/>
      <c r="T1356" s="308"/>
      <c r="U1356" s="308"/>
      <c r="V1356" s="308"/>
      <c r="W1356" s="308"/>
      <c r="X1356" s="308"/>
      <c r="Y1356" s="308"/>
      <c r="Z1356" s="604"/>
      <c r="AA1356" s="308"/>
      <c r="AB1356" s="308"/>
      <c r="AC1356" s="486"/>
      <c r="AD1356" s="486"/>
      <c r="AE1356" s="486"/>
      <c r="AF1356" s="486"/>
      <c r="AG1356" s="486"/>
      <c r="AH1356" s="486"/>
      <c r="AI1356" s="486"/>
      <c r="AJ1356" s="486"/>
      <c r="AK1356" s="486"/>
      <c r="AL1356" s="1267"/>
      <c r="AM1356" s="1268"/>
      <c r="AN1356" s="1268"/>
      <c r="AO1356" s="1268"/>
      <c r="AP1356" s="1268"/>
      <c r="AQ1356" s="1268"/>
      <c r="AR1356" s="1268"/>
      <c r="AS1356" s="1268"/>
      <c r="AT1356" s="1268"/>
      <c r="AU1356" s="1268"/>
      <c r="AV1356" s="1268"/>
      <c r="AW1356" s="1268"/>
      <c r="AX1356" s="1268"/>
      <c r="AY1356" s="1268"/>
      <c r="AZ1356" s="1268"/>
      <c r="BA1356" s="1268"/>
      <c r="BB1356" s="1268"/>
      <c r="BC1356" s="1268"/>
      <c r="BD1356" s="1268"/>
      <c r="BE1356" s="1268"/>
      <c r="BF1356" s="1268"/>
      <c r="BG1356" s="1268"/>
      <c r="BH1356" s="1268"/>
      <c r="BI1356" s="1268"/>
      <c r="BJ1356" s="1268"/>
      <c r="BK1356" s="1268"/>
      <c r="BL1356" s="1268"/>
      <c r="BM1356" s="1268"/>
      <c r="BN1356" s="1268"/>
      <c r="BO1356" s="1268"/>
      <c r="BP1356" s="1268"/>
      <c r="BQ1356" s="1268"/>
      <c r="BR1356" s="1268"/>
      <c r="BS1356" s="1268"/>
      <c r="BT1356" s="1268"/>
      <c r="BU1356" s="1268"/>
      <c r="BV1356" s="1268"/>
      <c r="BW1356" s="1268"/>
      <c r="BX1356" s="1268"/>
      <c r="BY1356" s="1268"/>
      <c r="BZ1356" s="1268"/>
      <c r="CA1356" s="1268"/>
      <c r="CB1356" s="1268"/>
      <c r="CC1356" s="1268"/>
      <c r="CD1356" s="1268"/>
      <c r="CE1356" s="1268"/>
      <c r="CF1356" s="1268"/>
      <c r="CG1356" s="1268"/>
      <c r="CH1356" s="1268"/>
      <c r="CI1356" s="1268"/>
      <c r="CJ1356" s="1268"/>
      <c r="CK1356" s="1268"/>
      <c r="CL1356" s="1268"/>
      <c r="CM1356" s="1268"/>
      <c r="CN1356" s="1268"/>
      <c r="CO1356" s="1268"/>
      <c r="CP1356" s="1268"/>
      <c r="CQ1356" s="1268"/>
      <c r="CR1356" s="1268"/>
      <c r="CS1356" s="1268"/>
      <c r="CT1356" s="1268"/>
      <c r="CU1356" s="1268"/>
      <c r="CV1356" s="1268"/>
      <c r="CW1356" s="1268"/>
      <c r="CX1356" s="1268"/>
      <c r="CY1356" s="1268"/>
      <c r="CZ1356" s="1268"/>
      <c r="DA1356" s="1268"/>
      <c r="DB1356" s="1268"/>
      <c r="DC1356" s="1268"/>
      <c r="DD1356" s="1268"/>
      <c r="DE1356" s="1268"/>
      <c r="DF1356" s="1268"/>
      <c r="DG1356" s="1268"/>
      <c r="DH1356" s="1268"/>
      <c r="DI1356" s="1268"/>
      <c r="DJ1356" s="1268"/>
      <c r="DK1356" s="1268"/>
      <c r="DL1356" s="1268"/>
      <c r="DM1356" s="1268"/>
      <c r="DN1356" s="1268"/>
      <c r="DO1356" s="1268"/>
      <c r="DP1356" s="1268"/>
      <c r="DQ1356" s="1268"/>
      <c r="DR1356" s="1268"/>
      <c r="DS1356" s="1268"/>
      <c r="DT1356" s="1268"/>
      <c r="DU1356" s="1268"/>
      <c r="DV1356" s="1268"/>
      <c r="DW1356" s="1268"/>
      <c r="DX1356" s="1268"/>
      <c r="DY1356" s="1268"/>
      <c r="DZ1356" s="1268"/>
      <c r="EA1356" s="1268"/>
      <c r="EB1356" s="1268"/>
      <c r="EC1356" s="1268"/>
      <c r="ED1356" s="1268"/>
      <c r="EE1356" s="1268"/>
      <c r="EF1356" s="1268"/>
      <c r="EG1356" s="1268"/>
      <c r="EH1356" s="1268"/>
      <c r="EI1356" s="1268"/>
      <c r="EJ1356" s="1268"/>
      <c r="EK1356" s="1268"/>
      <c r="EL1356" s="1268"/>
      <c r="EM1356" s="1268"/>
      <c r="EN1356" s="1268"/>
      <c r="EO1356" s="1268"/>
      <c r="EP1356" s="1268"/>
      <c r="EQ1356" s="1268"/>
      <c r="ER1356" s="1268"/>
      <c r="ES1356" s="1268"/>
      <c r="ET1356" s="1268"/>
      <c r="EU1356" s="1268"/>
      <c r="EV1356" s="1268"/>
      <c r="EW1356" s="1268"/>
      <c r="EX1356" s="1268"/>
      <c r="EY1356" s="1268"/>
      <c r="EZ1356" s="1268"/>
      <c r="FA1356" s="1268"/>
      <c r="FB1356" s="1268"/>
      <c r="FC1356" s="1268"/>
      <c r="FD1356" s="1268"/>
      <c r="FE1356" s="1268"/>
      <c r="FF1356" s="1268"/>
      <c r="FG1356" s="1268"/>
      <c r="FH1356" s="1268"/>
      <c r="FI1356" s="1268"/>
      <c r="FJ1356" s="1268"/>
      <c r="FK1356" s="1268"/>
      <c r="FL1356" s="1268"/>
      <c r="FM1356" s="1268"/>
      <c r="FN1356" s="1268"/>
      <c r="FO1356" s="1268"/>
      <c r="FP1356" s="1268"/>
      <c r="FQ1356" s="1268"/>
      <c r="FR1356" s="1268"/>
      <c r="FS1356" s="1268"/>
      <c r="FT1356" s="1268"/>
      <c r="FU1356" s="1268"/>
      <c r="FV1356" s="1268"/>
      <c r="FW1356" s="1268"/>
      <c r="FX1356" s="1268"/>
      <c r="FY1356" s="1268"/>
      <c r="FZ1356" s="1268"/>
      <c r="GA1356" s="1268"/>
      <c r="GB1356" s="1268"/>
      <c r="GC1356" s="1268"/>
      <c r="GD1356" s="1268"/>
      <c r="GE1356" s="1268"/>
      <c r="GF1356" s="1268"/>
      <c r="GG1356" s="1268"/>
      <c r="GH1356" s="1268"/>
      <c r="GI1356" s="1268"/>
      <c r="GJ1356" s="1268"/>
      <c r="GK1356" s="1268"/>
      <c r="GL1356" s="1268"/>
      <c r="GM1356" s="1268"/>
      <c r="GN1356" s="1268"/>
      <c r="GO1356" s="1268"/>
      <c r="GP1356" s="1268"/>
      <c r="GQ1356" s="1268"/>
      <c r="GR1356" s="1268"/>
      <c r="GS1356" s="1268"/>
      <c r="GT1356" s="1268"/>
      <c r="GU1356" s="1268"/>
      <c r="GV1356" s="1268"/>
      <c r="GW1356" s="1268"/>
      <c r="GX1356" s="1268"/>
      <c r="GY1356" s="1268"/>
      <c r="GZ1356" s="1268"/>
      <c r="HA1356" s="1268"/>
      <c r="HB1356" s="1268"/>
      <c r="HC1356" s="1268"/>
      <c r="HD1356" s="1268"/>
      <c r="HE1356" s="1268"/>
      <c r="HF1356" s="1268"/>
      <c r="HG1356" s="1268"/>
      <c r="HH1356" s="1268"/>
      <c r="HI1356" s="1268"/>
      <c r="HJ1356" s="1268"/>
      <c r="HK1356" s="1268"/>
      <c r="HL1356" s="1268"/>
      <c r="HM1356" s="1268"/>
      <c r="HN1356" s="1268"/>
      <c r="HO1356" s="1268"/>
      <c r="HP1356" s="1268"/>
      <c r="HQ1356" s="1268"/>
      <c r="HR1356" s="1268"/>
      <c r="HS1356" s="1268"/>
      <c r="HT1356" s="1268"/>
      <c r="HU1356" s="1268"/>
      <c r="HV1356" s="1268"/>
      <c r="HW1356" s="1268"/>
      <c r="HX1356" s="1268"/>
      <c r="HY1356" s="1268"/>
      <c r="HZ1356" s="1268"/>
      <c r="IA1356" s="1268"/>
      <c r="IB1356" s="1268"/>
      <c r="IC1356" s="1268"/>
      <c r="ID1356" s="1268"/>
      <c r="IE1356" s="1268"/>
      <c r="IF1356" s="1268"/>
      <c r="IG1356" s="1268"/>
      <c r="IH1356" s="1268"/>
      <c r="II1356" s="1268"/>
      <c r="IJ1356" s="1268"/>
      <c r="IK1356" s="1268"/>
      <c r="IL1356" s="1268"/>
      <c r="IM1356" s="1268"/>
      <c r="IN1356" s="1268"/>
      <c r="IO1356" s="1268"/>
      <c r="IP1356" s="1268"/>
      <c r="IQ1356" s="1268"/>
      <c r="IR1356" s="1268"/>
      <c r="IS1356" s="1268"/>
      <c r="IT1356" s="1268"/>
      <c r="IU1356" s="1268"/>
      <c r="IV1356" s="1268"/>
      <c r="IW1356" s="1268"/>
      <c r="IX1356" s="1268"/>
      <c r="IY1356" s="1268"/>
      <c r="IZ1356" s="1268"/>
      <c r="JA1356" s="1268"/>
      <c r="JB1356" s="1268"/>
      <c r="JC1356" s="1268"/>
      <c r="JD1356" s="1268"/>
      <c r="JE1356" s="1268"/>
      <c r="JF1356" s="1268"/>
      <c r="JG1356" s="1268"/>
      <c r="JH1356" s="1268"/>
      <c r="JI1356" s="1268"/>
      <c r="JJ1356" s="1268"/>
      <c r="JK1356" s="1268"/>
      <c r="JL1356" s="1268"/>
      <c r="JM1356" s="1268"/>
      <c r="JN1356" s="1268"/>
      <c r="JO1356" s="1268"/>
      <c r="JP1356" s="1268"/>
      <c r="JQ1356" s="1268"/>
      <c r="JR1356" s="1268"/>
      <c r="JS1356" s="1268"/>
      <c r="JT1356" s="1268"/>
      <c r="JU1356" s="1268"/>
      <c r="JV1356" s="1268"/>
      <c r="JW1356" s="1268"/>
      <c r="JX1356" s="1268"/>
      <c r="JY1356" s="1268"/>
      <c r="JZ1356" s="1268"/>
      <c r="KA1356" s="1268"/>
      <c r="KB1356" s="1268"/>
      <c r="KC1356" s="1268"/>
      <c r="KD1356" s="1268"/>
      <c r="KE1356" s="1268"/>
      <c r="KF1356" s="1268"/>
      <c r="KG1356" s="1268"/>
      <c r="KH1356" s="1268"/>
      <c r="KI1356" s="1268"/>
      <c r="KJ1356" s="1268"/>
      <c r="KK1356" s="1268"/>
      <c r="KL1356" s="1268"/>
      <c r="KM1356" s="1268"/>
      <c r="KN1356" s="1268"/>
      <c r="KO1356" s="1268"/>
      <c r="KP1356" s="1268"/>
      <c r="KQ1356" s="1268"/>
      <c r="KR1356" s="1268"/>
      <c r="KS1356" s="1268"/>
      <c r="KT1356" s="1268"/>
      <c r="KU1356" s="1268"/>
      <c r="KV1356" s="1268"/>
      <c r="KW1356" s="1268"/>
      <c r="KX1356" s="1268"/>
      <c r="KY1356" s="1268"/>
      <c r="KZ1356" s="1268"/>
      <c r="LA1356" s="1268"/>
      <c r="LB1356" s="1268"/>
      <c r="LC1356" s="1268"/>
      <c r="LD1356" s="1268"/>
      <c r="LE1356" s="1268"/>
      <c r="LF1356" s="1268"/>
      <c r="LG1356" s="1268"/>
      <c r="LH1356" s="1268"/>
      <c r="LI1356" s="1268"/>
      <c r="LJ1356" s="1268"/>
      <c r="LK1356" s="1268"/>
      <c r="LL1356" s="1268"/>
      <c r="LM1356" s="1268"/>
      <c r="LN1356" s="1268"/>
      <c r="LO1356" s="1268"/>
      <c r="LP1356" s="1268"/>
      <c r="LQ1356" s="1268"/>
      <c r="LR1356" s="1268"/>
      <c r="LS1356" s="1268"/>
      <c r="LT1356" s="1268"/>
      <c r="LU1356" s="1268"/>
      <c r="LV1356" s="1268"/>
      <c r="LW1356" s="1268"/>
      <c r="LX1356" s="1268"/>
      <c r="LY1356" s="1268"/>
      <c r="LZ1356" s="1268"/>
      <c r="MA1356" s="1268"/>
      <c r="MB1356" s="1268"/>
      <c r="MC1356" s="1268"/>
      <c r="MD1356" s="1268"/>
      <c r="ME1356" s="1268"/>
      <c r="MF1356" s="1268"/>
      <c r="MG1356" s="1268"/>
      <c r="MH1356" s="1268"/>
      <c r="MI1356" s="1268"/>
      <c r="MJ1356" s="1268"/>
      <c r="MK1356" s="1268"/>
      <c r="ML1356" s="1268"/>
      <c r="MM1356" s="1268"/>
      <c r="MN1356" s="1268"/>
      <c r="MO1356" s="1268"/>
      <c r="MP1356" s="1268"/>
      <c r="MQ1356" s="1268"/>
      <c r="MR1356" s="1268"/>
      <c r="MS1356" s="1268"/>
      <c r="MT1356" s="1268"/>
      <c r="MU1356" s="1268"/>
      <c r="MV1356" s="1268"/>
      <c r="MW1356" s="1268"/>
      <c r="MX1356" s="1268"/>
      <c r="MY1356" s="1268"/>
      <c r="MZ1356" s="1268"/>
      <c r="NA1356" s="1268"/>
      <c r="NB1356" s="1268"/>
      <c r="NC1356" s="1268"/>
      <c r="ND1356" s="1268"/>
      <c r="NE1356" s="1268"/>
      <c r="NF1356" s="1268"/>
      <c r="NG1356" s="1268"/>
      <c r="NH1356" s="1268"/>
      <c r="NI1356" s="1268"/>
      <c r="NJ1356" s="1268"/>
      <c r="NK1356" s="1268"/>
      <c r="NL1356" s="1268"/>
      <c r="NM1356" s="1268"/>
      <c r="NN1356" s="1268"/>
      <c r="NO1356" s="1268"/>
      <c r="NP1356" s="1268"/>
      <c r="NQ1356" s="1268"/>
      <c r="NR1356" s="1268"/>
      <c r="NS1356" s="1268"/>
      <c r="NT1356" s="1268"/>
      <c r="NU1356" s="1268"/>
      <c r="NV1356" s="1268"/>
      <c r="NW1356" s="1268"/>
      <c r="NX1356" s="1268"/>
      <c r="NY1356" s="1268"/>
      <c r="NZ1356" s="1268"/>
      <c r="OA1356" s="1268"/>
      <c r="OB1356" s="1268"/>
      <c r="OC1356" s="1268"/>
      <c r="OD1356" s="1268"/>
      <c r="OE1356" s="1268"/>
      <c r="OF1356" s="1268"/>
      <c r="OG1356" s="1268"/>
      <c r="OH1356" s="1268"/>
      <c r="OI1356" s="1268"/>
      <c r="OJ1356" s="1268"/>
      <c r="OK1356" s="1268"/>
      <c r="OL1356" s="1268"/>
      <c r="OM1356" s="1268"/>
      <c r="ON1356" s="1268"/>
      <c r="OO1356" s="1268"/>
      <c r="OP1356" s="1268"/>
      <c r="OQ1356" s="1268"/>
      <c r="OR1356" s="1268"/>
      <c r="OS1356" s="1268"/>
      <c r="OT1356" s="1268"/>
      <c r="OU1356" s="1268"/>
      <c r="OV1356" s="1268"/>
      <c r="OW1356" s="1268"/>
      <c r="OX1356" s="1268"/>
      <c r="OY1356" s="1268"/>
      <c r="OZ1356" s="1268"/>
      <c r="PA1356" s="1268"/>
      <c r="PB1356" s="1268"/>
      <c r="PC1356" s="1268"/>
      <c r="PD1356" s="1268"/>
      <c r="PE1356" s="1268"/>
      <c r="PF1356" s="1268"/>
      <c r="PG1356" s="1268"/>
      <c r="PH1356" s="1268"/>
      <c r="PI1356" s="1268"/>
      <c r="PJ1356" s="1268"/>
      <c r="PK1356" s="1268"/>
      <c r="PL1356" s="1268"/>
      <c r="PM1356" s="1268"/>
      <c r="PN1356" s="1268"/>
      <c r="PO1356" s="1268"/>
      <c r="PP1356" s="1268"/>
      <c r="PQ1356" s="1268"/>
      <c r="PR1356" s="1268"/>
      <c r="PS1356" s="1268"/>
      <c r="PT1356" s="1268"/>
      <c r="PU1356" s="1268"/>
      <c r="PV1356" s="1268"/>
      <c r="PW1356" s="1268"/>
      <c r="PX1356" s="1268"/>
      <c r="PY1356" s="1268"/>
      <c r="PZ1356" s="1268"/>
      <c r="QA1356" s="1268"/>
      <c r="QB1356" s="1268"/>
      <c r="QC1356" s="1268"/>
      <c r="QD1356" s="1268"/>
      <c r="QE1356" s="1268"/>
      <c r="QF1356" s="1268"/>
      <c r="QG1356" s="1268"/>
      <c r="QH1356" s="1268"/>
      <c r="QI1356" s="1268"/>
      <c r="QJ1356" s="1268"/>
      <c r="QK1356" s="1268"/>
      <c r="QL1356" s="1268"/>
      <c r="QM1356" s="1268"/>
      <c r="QN1356" s="1268"/>
      <c r="QO1356" s="1268"/>
      <c r="QP1356" s="1268"/>
      <c r="QQ1356" s="1268"/>
      <c r="QR1356" s="1268"/>
      <c r="QS1356" s="1268"/>
      <c r="QT1356" s="1268"/>
      <c r="QU1356" s="1268"/>
      <c r="QV1356" s="1268"/>
      <c r="QW1356" s="1268"/>
      <c r="QX1356" s="1268"/>
      <c r="QY1356" s="1268"/>
      <c r="QZ1356" s="1268"/>
      <c r="RA1356" s="1268"/>
      <c r="RB1356" s="1268"/>
      <c r="RC1356" s="1268"/>
      <c r="RD1356" s="1268"/>
      <c r="RE1356" s="1268"/>
      <c r="RF1356" s="1268"/>
      <c r="RG1356" s="1268"/>
      <c r="RH1356" s="1268"/>
      <c r="RI1356" s="1268"/>
      <c r="RJ1356" s="1268"/>
      <c r="RK1356" s="1268"/>
      <c r="RL1356" s="1268"/>
      <c r="RM1356" s="1268"/>
      <c r="RN1356" s="1268"/>
      <c r="RO1356" s="1268"/>
      <c r="RP1356" s="1268"/>
      <c r="RQ1356" s="1268"/>
      <c r="RR1356" s="1268"/>
      <c r="RS1356" s="1268"/>
      <c r="RT1356" s="1268"/>
      <c r="RU1356" s="1268"/>
      <c r="RV1356" s="1268"/>
      <c r="RW1356" s="1268"/>
      <c r="RX1356" s="1268"/>
      <c r="RY1356" s="1268"/>
      <c r="RZ1356" s="1268"/>
      <c r="SA1356" s="1268"/>
      <c r="SB1356" s="1268"/>
      <c r="SC1356" s="1268"/>
      <c r="SD1356" s="1268"/>
      <c r="SE1356" s="1268"/>
      <c r="SF1356" s="1268"/>
      <c r="SG1356" s="1268"/>
      <c r="SH1356" s="1268"/>
      <c r="SI1356" s="1268"/>
      <c r="SJ1356" s="1268"/>
      <c r="SK1356" s="1268"/>
      <c r="SL1356" s="1268"/>
      <c r="SM1356" s="1268"/>
      <c r="SN1356" s="1268"/>
      <c r="SO1356" s="1268"/>
      <c r="SP1356" s="1268"/>
      <c r="SQ1356" s="1268"/>
      <c r="SR1356" s="1268"/>
      <c r="SS1356" s="1268"/>
      <c r="ST1356" s="1268"/>
      <c r="SU1356" s="1268"/>
      <c r="SV1356" s="1268"/>
      <c r="SW1356" s="1268"/>
      <c r="SX1356" s="1268"/>
      <c r="SY1356" s="1268"/>
      <c r="SZ1356" s="1268"/>
      <c r="TA1356" s="1268"/>
      <c r="TB1356" s="1268"/>
      <c r="TC1356" s="1268"/>
      <c r="TD1356" s="1268"/>
      <c r="TE1356" s="1268"/>
      <c r="TF1356" s="1268"/>
      <c r="TG1356" s="1268"/>
      <c r="TH1356" s="1268"/>
      <c r="TI1356" s="1268"/>
      <c r="TJ1356" s="1268"/>
      <c r="TK1356" s="1268"/>
      <c r="TL1356" s="1268"/>
      <c r="TM1356" s="1268"/>
      <c r="TN1356" s="1268"/>
      <c r="TO1356" s="1268"/>
      <c r="TP1356" s="1268"/>
      <c r="TQ1356" s="1268"/>
      <c r="TR1356" s="1268"/>
      <c r="TS1356" s="1268"/>
      <c r="TT1356" s="1268"/>
      <c r="TU1356" s="1268"/>
      <c r="TV1356" s="1268"/>
      <c r="TW1356" s="1268"/>
      <c r="TX1356" s="1268"/>
      <c r="TY1356" s="1268"/>
      <c r="TZ1356" s="1268"/>
      <c r="UA1356" s="1268"/>
      <c r="UB1356" s="1268"/>
      <c r="UC1356" s="1268"/>
      <c r="UD1356" s="1268"/>
      <c r="UE1356" s="1268"/>
      <c r="UF1356" s="1268"/>
      <c r="UG1356" s="1268"/>
    </row>
    <row r="1357" spans="1:553" s="1262" customFormat="1" ht="25.15" customHeight="1">
      <c r="A1357" s="411"/>
      <c r="B1357" s="411"/>
      <c r="C1357" s="1595" t="s">
        <v>1241</v>
      </c>
      <c r="D1357" s="1596" t="s">
        <v>1241</v>
      </c>
      <c r="E1357" s="1596" t="s">
        <v>1241</v>
      </c>
      <c r="F1357" s="1596" t="s">
        <v>1241</v>
      </c>
      <c r="G1357" s="501" t="s">
        <v>196</v>
      </c>
      <c r="H1357" s="502"/>
      <c r="I1357" s="423">
        <f>(206.62*100/2000)*137</f>
        <v>1415.347</v>
      </c>
      <c r="J1357" s="1243">
        <v>6200</v>
      </c>
      <c r="K1357" s="413"/>
      <c r="L1357" s="679">
        <f>ROUND(PRODUCT(I1357:K1357),0)</f>
        <v>8775151</v>
      </c>
      <c r="M1357" s="411"/>
      <c r="N1357" s="411"/>
      <c r="O1357" s="425"/>
      <c r="P1357" s="356"/>
      <c r="Q1357" s="610"/>
      <c r="R1357" s="1228"/>
      <c r="S1357" s="308"/>
      <c r="T1357" s="308"/>
      <c r="U1357" s="308"/>
      <c r="V1357" s="308"/>
      <c r="W1357" s="308"/>
      <c r="X1357" s="308"/>
      <c r="Y1357" s="308"/>
      <c r="Z1357" s="604"/>
      <c r="AA1357" s="308"/>
      <c r="AB1357" s="308"/>
      <c r="AC1357" s="486"/>
      <c r="AD1357" s="486"/>
      <c r="AE1357" s="486"/>
      <c r="AF1357" s="486"/>
      <c r="AG1357" s="486"/>
      <c r="AH1357" s="486"/>
      <c r="AI1357" s="486"/>
      <c r="AJ1357" s="486"/>
      <c r="AK1357" s="486"/>
      <c r="AL1357" s="1267"/>
      <c r="AM1357" s="1268"/>
      <c r="AN1357" s="1268"/>
      <c r="AO1357" s="1268"/>
      <c r="AP1357" s="1268"/>
      <c r="AQ1357" s="1268"/>
      <c r="AR1357" s="1268"/>
      <c r="AS1357" s="1268"/>
      <c r="AT1357" s="1268"/>
      <c r="AU1357" s="1268"/>
      <c r="AV1357" s="1268"/>
      <c r="AW1357" s="1268"/>
      <c r="AX1357" s="1268"/>
      <c r="AY1357" s="1268"/>
      <c r="AZ1357" s="1268"/>
      <c r="BA1357" s="1268"/>
      <c r="BB1357" s="1268"/>
      <c r="BC1357" s="1268"/>
      <c r="BD1357" s="1268"/>
      <c r="BE1357" s="1268"/>
      <c r="BF1357" s="1268"/>
      <c r="BG1357" s="1268"/>
      <c r="BH1357" s="1268"/>
      <c r="BI1357" s="1268"/>
      <c r="BJ1357" s="1268"/>
      <c r="BK1357" s="1268"/>
      <c r="BL1357" s="1268"/>
      <c r="BM1357" s="1268"/>
      <c r="BN1357" s="1268"/>
      <c r="BO1357" s="1268"/>
      <c r="BP1357" s="1268"/>
      <c r="BQ1357" s="1268"/>
      <c r="BR1357" s="1268"/>
      <c r="BS1357" s="1268"/>
      <c r="BT1357" s="1268"/>
      <c r="BU1357" s="1268"/>
      <c r="BV1357" s="1268"/>
      <c r="BW1357" s="1268"/>
      <c r="BX1357" s="1268"/>
      <c r="BY1357" s="1268"/>
      <c r="BZ1357" s="1268"/>
      <c r="CA1357" s="1268"/>
      <c r="CB1357" s="1268"/>
      <c r="CC1357" s="1268"/>
      <c r="CD1357" s="1268"/>
      <c r="CE1357" s="1268"/>
      <c r="CF1357" s="1268"/>
      <c r="CG1357" s="1268"/>
      <c r="CH1357" s="1268"/>
      <c r="CI1357" s="1268"/>
      <c r="CJ1357" s="1268"/>
      <c r="CK1357" s="1268"/>
      <c r="CL1357" s="1268"/>
      <c r="CM1357" s="1268"/>
      <c r="CN1357" s="1268"/>
      <c r="CO1357" s="1268"/>
      <c r="CP1357" s="1268"/>
      <c r="CQ1357" s="1268"/>
      <c r="CR1357" s="1268"/>
      <c r="CS1357" s="1268"/>
      <c r="CT1357" s="1268"/>
      <c r="CU1357" s="1268"/>
      <c r="CV1357" s="1268"/>
      <c r="CW1357" s="1268"/>
      <c r="CX1357" s="1268"/>
      <c r="CY1357" s="1268"/>
      <c r="CZ1357" s="1268"/>
      <c r="DA1357" s="1268"/>
      <c r="DB1357" s="1268"/>
      <c r="DC1357" s="1268"/>
      <c r="DD1357" s="1268"/>
      <c r="DE1357" s="1268"/>
      <c r="DF1357" s="1268"/>
      <c r="DG1357" s="1268"/>
      <c r="DH1357" s="1268"/>
      <c r="DI1357" s="1268"/>
      <c r="DJ1357" s="1268"/>
      <c r="DK1357" s="1268"/>
      <c r="DL1357" s="1268"/>
      <c r="DM1357" s="1268"/>
      <c r="DN1357" s="1268"/>
      <c r="DO1357" s="1268"/>
      <c r="DP1357" s="1268"/>
      <c r="DQ1357" s="1268"/>
      <c r="DR1357" s="1268"/>
      <c r="DS1357" s="1268"/>
      <c r="DT1357" s="1268"/>
      <c r="DU1357" s="1268"/>
      <c r="DV1357" s="1268"/>
      <c r="DW1357" s="1268"/>
      <c r="DX1357" s="1268"/>
      <c r="DY1357" s="1268"/>
      <c r="DZ1357" s="1268"/>
      <c r="EA1357" s="1268"/>
      <c r="EB1357" s="1268"/>
      <c r="EC1357" s="1268"/>
      <c r="ED1357" s="1268"/>
      <c r="EE1357" s="1268"/>
      <c r="EF1357" s="1268"/>
      <c r="EG1357" s="1268"/>
      <c r="EH1357" s="1268"/>
      <c r="EI1357" s="1268"/>
      <c r="EJ1357" s="1268"/>
      <c r="EK1357" s="1268"/>
      <c r="EL1357" s="1268"/>
      <c r="EM1357" s="1268"/>
      <c r="EN1357" s="1268"/>
      <c r="EO1357" s="1268"/>
      <c r="EP1357" s="1268"/>
      <c r="EQ1357" s="1268"/>
      <c r="ER1357" s="1268"/>
      <c r="ES1357" s="1268"/>
      <c r="ET1357" s="1268"/>
      <c r="EU1357" s="1268"/>
      <c r="EV1357" s="1268"/>
      <c r="EW1357" s="1268"/>
      <c r="EX1357" s="1268"/>
      <c r="EY1357" s="1268"/>
      <c r="EZ1357" s="1268"/>
      <c r="FA1357" s="1268"/>
      <c r="FB1357" s="1268"/>
      <c r="FC1357" s="1268"/>
      <c r="FD1357" s="1268"/>
      <c r="FE1357" s="1268"/>
      <c r="FF1357" s="1268"/>
      <c r="FG1357" s="1268"/>
      <c r="FH1357" s="1268"/>
      <c r="FI1357" s="1268"/>
      <c r="FJ1357" s="1268"/>
      <c r="FK1357" s="1268"/>
      <c r="FL1357" s="1268"/>
      <c r="FM1357" s="1268"/>
      <c r="FN1357" s="1268"/>
      <c r="FO1357" s="1268"/>
      <c r="FP1357" s="1268"/>
      <c r="FQ1357" s="1268"/>
      <c r="FR1357" s="1268"/>
      <c r="FS1357" s="1268"/>
      <c r="FT1357" s="1268"/>
      <c r="FU1357" s="1268"/>
      <c r="FV1357" s="1268"/>
      <c r="FW1357" s="1268"/>
      <c r="FX1357" s="1268"/>
      <c r="FY1357" s="1268"/>
      <c r="FZ1357" s="1268"/>
      <c r="GA1357" s="1268"/>
      <c r="GB1357" s="1268"/>
      <c r="GC1357" s="1268"/>
      <c r="GD1357" s="1268"/>
      <c r="GE1357" s="1268"/>
      <c r="GF1357" s="1268"/>
      <c r="GG1357" s="1268"/>
      <c r="GH1357" s="1268"/>
      <c r="GI1357" s="1268"/>
      <c r="GJ1357" s="1268"/>
      <c r="GK1357" s="1268"/>
      <c r="GL1357" s="1268"/>
      <c r="GM1357" s="1268"/>
      <c r="GN1357" s="1268"/>
      <c r="GO1357" s="1268"/>
      <c r="GP1357" s="1268"/>
      <c r="GQ1357" s="1268"/>
      <c r="GR1357" s="1268"/>
      <c r="GS1357" s="1268"/>
      <c r="GT1357" s="1268"/>
      <c r="GU1357" s="1268"/>
      <c r="GV1357" s="1268"/>
      <c r="GW1357" s="1268"/>
      <c r="GX1357" s="1268"/>
      <c r="GY1357" s="1268"/>
      <c r="GZ1357" s="1268"/>
      <c r="HA1357" s="1268"/>
      <c r="HB1357" s="1268"/>
      <c r="HC1357" s="1268"/>
      <c r="HD1357" s="1268"/>
      <c r="HE1357" s="1268"/>
      <c r="HF1357" s="1268"/>
      <c r="HG1357" s="1268"/>
      <c r="HH1357" s="1268"/>
      <c r="HI1357" s="1268"/>
      <c r="HJ1357" s="1268"/>
      <c r="HK1357" s="1268"/>
      <c r="HL1357" s="1268"/>
      <c r="HM1357" s="1268"/>
      <c r="HN1357" s="1268"/>
      <c r="HO1357" s="1268"/>
      <c r="HP1357" s="1268"/>
      <c r="HQ1357" s="1268"/>
      <c r="HR1357" s="1268"/>
      <c r="HS1357" s="1268"/>
      <c r="HT1357" s="1268"/>
      <c r="HU1357" s="1268"/>
      <c r="HV1357" s="1268"/>
      <c r="HW1357" s="1268"/>
      <c r="HX1357" s="1268"/>
      <c r="HY1357" s="1268"/>
      <c r="HZ1357" s="1268"/>
      <c r="IA1357" s="1268"/>
      <c r="IB1357" s="1268"/>
      <c r="IC1357" s="1268"/>
      <c r="ID1357" s="1268"/>
      <c r="IE1357" s="1268"/>
      <c r="IF1357" s="1268"/>
      <c r="IG1357" s="1268"/>
      <c r="IH1357" s="1268"/>
      <c r="II1357" s="1268"/>
      <c r="IJ1357" s="1268"/>
      <c r="IK1357" s="1268"/>
      <c r="IL1357" s="1268"/>
      <c r="IM1357" s="1268"/>
      <c r="IN1357" s="1268"/>
      <c r="IO1357" s="1268"/>
      <c r="IP1357" s="1268"/>
      <c r="IQ1357" s="1268"/>
      <c r="IR1357" s="1268"/>
      <c r="IS1357" s="1268"/>
      <c r="IT1357" s="1268"/>
      <c r="IU1357" s="1268"/>
      <c r="IV1357" s="1268"/>
      <c r="IW1357" s="1268"/>
      <c r="IX1357" s="1268"/>
      <c r="IY1357" s="1268"/>
      <c r="IZ1357" s="1268"/>
      <c r="JA1357" s="1268"/>
      <c r="JB1357" s="1268"/>
      <c r="JC1357" s="1268"/>
      <c r="JD1357" s="1268"/>
      <c r="JE1357" s="1268"/>
      <c r="JF1357" s="1268"/>
      <c r="JG1357" s="1268"/>
      <c r="JH1357" s="1268"/>
      <c r="JI1357" s="1268"/>
      <c r="JJ1357" s="1268"/>
      <c r="JK1357" s="1268"/>
      <c r="JL1357" s="1268"/>
      <c r="JM1357" s="1268"/>
      <c r="JN1357" s="1268"/>
      <c r="JO1357" s="1268"/>
      <c r="JP1357" s="1268"/>
      <c r="JQ1357" s="1268"/>
      <c r="JR1357" s="1268"/>
      <c r="JS1357" s="1268"/>
      <c r="JT1357" s="1268"/>
      <c r="JU1357" s="1268"/>
      <c r="JV1357" s="1268"/>
      <c r="JW1357" s="1268"/>
      <c r="JX1357" s="1268"/>
      <c r="JY1357" s="1268"/>
      <c r="JZ1357" s="1268"/>
      <c r="KA1357" s="1268"/>
      <c r="KB1357" s="1268"/>
      <c r="KC1357" s="1268"/>
      <c r="KD1357" s="1268"/>
      <c r="KE1357" s="1268"/>
      <c r="KF1357" s="1268"/>
      <c r="KG1357" s="1268"/>
      <c r="KH1357" s="1268"/>
      <c r="KI1357" s="1268"/>
      <c r="KJ1357" s="1268"/>
      <c r="KK1357" s="1268"/>
      <c r="KL1357" s="1268"/>
      <c r="KM1357" s="1268"/>
      <c r="KN1357" s="1268"/>
      <c r="KO1357" s="1268"/>
      <c r="KP1357" s="1268"/>
      <c r="KQ1357" s="1268"/>
      <c r="KR1357" s="1268"/>
      <c r="KS1357" s="1268"/>
      <c r="KT1357" s="1268"/>
      <c r="KU1357" s="1268"/>
      <c r="KV1357" s="1268"/>
      <c r="KW1357" s="1268"/>
      <c r="KX1357" s="1268"/>
      <c r="KY1357" s="1268"/>
      <c r="KZ1357" s="1268"/>
      <c r="LA1357" s="1268"/>
      <c r="LB1357" s="1268"/>
      <c r="LC1357" s="1268"/>
      <c r="LD1357" s="1268"/>
      <c r="LE1357" s="1268"/>
      <c r="LF1357" s="1268"/>
      <c r="LG1357" s="1268"/>
      <c r="LH1357" s="1268"/>
      <c r="LI1357" s="1268"/>
      <c r="LJ1357" s="1268"/>
      <c r="LK1357" s="1268"/>
      <c r="LL1357" s="1268"/>
      <c r="LM1357" s="1268"/>
      <c r="LN1357" s="1268"/>
      <c r="LO1357" s="1268"/>
      <c r="LP1357" s="1268"/>
      <c r="LQ1357" s="1268"/>
      <c r="LR1357" s="1268"/>
      <c r="LS1357" s="1268"/>
      <c r="LT1357" s="1268"/>
      <c r="LU1357" s="1268"/>
      <c r="LV1357" s="1268"/>
      <c r="LW1357" s="1268"/>
      <c r="LX1357" s="1268"/>
      <c r="LY1357" s="1268"/>
      <c r="LZ1357" s="1268"/>
      <c r="MA1357" s="1268"/>
      <c r="MB1357" s="1268"/>
      <c r="MC1357" s="1268"/>
      <c r="MD1357" s="1268"/>
      <c r="ME1357" s="1268"/>
      <c r="MF1357" s="1268"/>
      <c r="MG1357" s="1268"/>
      <c r="MH1357" s="1268"/>
      <c r="MI1357" s="1268"/>
      <c r="MJ1357" s="1268"/>
      <c r="MK1357" s="1268"/>
      <c r="ML1357" s="1268"/>
      <c r="MM1357" s="1268"/>
      <c r="MN1357" s="1268"/>
      <c r="MO1357" s="1268"/>
      <c r="MP1357" s="1268"/>
      <c r="MQ1357" s="1268"/>
      <c r="MR1357" s="1268"/>
      <c r="MS1357" s="1268"/>
      <c r="MT1357" s="1268"/>
      <c r="MU1357" s="1268"/>
      <c r="MV1357" s="1268"/>
      <c r="MW1357" s="1268"/>
      <c r="MX1357" s="1268"/>
      <c r="MY1357" s="1268"/>
      <c r="MZ1357" s="1268"/>
      <c r="NA1357" s="1268"/>
      <c r="NB1357" s="1268"/>
      <c r="NC1357" s="1268"/>
      <c r="ND1357" s="1268"/>
      <c r="NE1357" s="1268"/>
      <c r="NF1357" s="1268"/>
      <c r="NG1357" s="1268"/>
      <c r="NH1357" s="1268"/>
      <c r="NI1357" s="1268"/>
      <c r="NJ1357" s="1268"/>
      <c r="NK1357" s="1268"/>
      <c r="NL1357" s="1268"/>
      <c r="NM1357" s="1268"/>
      <c r="NN1357" s="1268"/>
      <c r="NO1357" s="1268"/>
      <c r="NP1357" s="1268"/>
      <c r="NQ1357" s="1268"/>
      <c r="NR1357" s="1268"/>
      <c r="NS1357" s="1268"/>
      <c r="NT1357" s="1268"/>
      <c r="NU1357" s="1268"/>
      <c r="NV1357" s="1268"/>
      <c r="NW1357" s="1268"/>
      <c r="NX1357" s="1268"/>
      <c r="NY1357" s="1268"/>
      <c r="NZ1357" s="1268"/>
      <c r="OA1357" s="1268"/>
      <c r="OB1357" s="1268"/>
      <c r="OC1357" s="1268"/>
      <c r="OD1357" s="1268"/>
      <c r="OE1357" s="1268"/>
      <c r="OF1357" s="1268"/>
      <c r="OG1357" s="1268"/>
      <c r="OH1357" s="1268"/>
      <c r="OI1357" s="1268"/>
      <c r="OJ1357" s="1268"/>
      <c r="OK1357" s="1268"/>
      <c r="OL1357" s="1268"/>
      <c r="OM1357" s="1268"/>
      <c r="ON1357" s="1268"/>
      <c r="OO1357" s="1268"/>
      <c r="OP1357" s="1268"/>
      <c r="OQ1357" s="1268"/>
      <c r="OR1357" s="1268"/>
      <c r="OS1357" s="1268"/>
      <c r="OT1357" s="1268"/>
      <c r="OU1357" s="1268"/>
      <c r="OV1357" s="1268"/>
      <c r="OW1357" s="1268"/>
      <c r="OX1357" s="1268"/>
      <c r="OY1357" s="1268"/>
      <c r="OZ1357" s="1268"/>
      <c r="PA1357" s="1268"/>
      <c r="PB1357" s="1268"/>
      <c r="PC1357" s="1268"/>
      <c r="PD1357" s="1268"/>
      <c r="PE1357" s="1268"/>
      <c r="PF1357" s="1268"/>
      <c r="PG1357" s="1268"/>
      <c r="PH1357" s="1268"/>
      <c r="PI1357" s="1268"/>
      <c r="PJ1357" s="1268"/>
      <c r="PK1357" s="1268"/>
      <c r="PL1357" s="1268"/>
      <c r="PM1357" s="1268"/>
      <c r="PN1357" s="1268"/>
      <c r="PO1357" s="1268"/>
      <c r="PP1357" s="1268"/>
      <c r="PQ1357" s="1268"/>
      <c r="PR1357" s="1268"/>
      <c r="PS1357" s="1268"/>
      <c r="PT1357" s="1268"/>
      <c r="PU1357" s="1268"/>
      <c r="PV1357" s="1268"/>
      <c r="PW1357" s="1268"/>
      <c r="PX1357" s="1268"/>
      <c r="PY1357" s="1268"/>
      <c r="PZ1357" s="1268"/>
      <c r="QA1357" s="1268"/>
      <c r="QB1357" s="1268"/>
      <c r="QC1357" s="1268"/>
      <c r="QD1357" s="1268"/>
      <c r="QE1357" s="1268"/>
      <c r="QF1357" s="1268"/>
      <c r="QG1357" s="1268"/>
      <c r="QH1357" s="1268"/>
      <c r="QI1357" s="1268"/>
      <c r="QJ1357" s="1268"/>
      <c r="QK1357" s="1268"/>
      <c r="QL1357" s="1268"/>
      <c r="QM1357" s="1268"/>
      <c r="QN1357" s="1268"/>
      <c r="QO1357" s="1268"/>
      <c r="QP1357" s="1268"/>
      <c r="QQ1357" s="1268"/>
      <c r="QR1357" s="1268"/>
      <c r="QS1357" s="1268"/>
      <c r="QT1357" s="1268"/>
      <c r="QU1357" s="1268"/>
      <c r="QV1357" s="1268"/>
      <c r="QW1357" s="1268"/>
      <c r="QX1357" s="1268"/>
      <c r="QY1357" s="1268"/>
      <c r="QZ1357" s="1268"/>
      <c r="RA1357" s="1268"/>
      <c r="RB1357" s="1268"/>
      <c r="RC1357" s="1268"/>
      <c r="RD1357" s="1268"/>
      <c r="RE1357" s="1268"/>
      <c r="RF1357" s="1268"/>
      <c r="RG1357" s="1268"/>
      <c r="RH1357" s="1268"/>
      <c r="RI1357" s="1268"/>
      <c r="RJ1357" s="1268"/>
      <c r="RK1357" s="1268"/>
      <c r="RL1357" s="1268"/>
      <c r="RM1357" s="1268"/>
      <c r="RN1357" s="1268"/>
      <c r="RO1357" s="1268"/>
      <c r="RP1357" s="1268"/>
      <c r="RQ1357" s="1268"/>
      <c r="RR1357" s="1268"/>
      <c r="RS1357" s="1268"/>
      <c r="RT1357" s="1268"/>
      <c r="RU1357" s="1268"/>
      <c r="RV1357" s="1268"/>
      <c r="RW1357" s="1268"/>
      <c r="RX1357" s="1268"/>
      <c r="RY1357" s="1268"/>
      <c r="RZ1357" s="1268"/>
      <c r="SA1357" s="1268"/>
      <c r="SB1357" s="1268"/>
      <c r="SC1357" s="1268"/>
      <c r="SD1357" s="1268"/>
      <c r="SE1357" s="1268"/>
      <c r="SF1357" s="1268"/>
      <c r="SG1357" s="1268"/>
      <c r="SH1357" s="1268"/>
      <c r="SI1357" s="1268"/>
      <c r="SJ1357" s="1268"/>
      <c r="SK1357" s="1268"/>
      <c r="SL1357" s="1268"/>
      <c r="SM1357" s="1268"/>
      <c r="SN1357" s="1268"/>
      <c r="SO1357" s="1268"/>
      <c r="SP1357" s="1268"/>
      <c r="SQ1357" s="1268"/>
      <c r="SR1357" s="1268"/>
      <c r="SS1357" s="1268"/>
      <c r="ST1357" s="1268"/>
      <c r="SU1357" s="1268"/>
      <c r="SV1357" s="1268"/>
      <c r="SW1357" s="1268"/>
      <c r="SX1357" s="1268"/>
      <c r="SY1357" s="1268"/>
      <c r="SZ1357" s="1268"/>
      <c r="TA1357" s="1268"/>
      <c r="TB1357" s="1268"/>
      <c r="TC1357" s="1268"/>
      <c r="TD1357" s="1268"/>
      <c r="TE1357" s="1268"/>
      <c r="TF1357" s="1268"/>
      <c r="TG1357" s="1268"/>
      <c r="TH1357" s="1268"/>
      <c r="TI1357" s="1268"/>
      <c r="TJ1357" s="1268"/>
      <c r="TK1357" s="1268"/>
      <c r="TL1357" s="1268"/>
      <c r="TM1357" s="1268"/>
      <c r="TN1357" s="1268"/>
      <c r="TO1357" s="1268"/>
      <c r="TP1357" s="1268"/>
      <c r="TQ1357" s="1268"/>
      <c r="TR1357" s="1268"/>
      <c r="TS1357" s="1268"/>
      <c r="TT1357" s="1268"/>
      <c r="TU1357" s="1268"/>
      <c r="TV1357" s="1268"/>
      <c r="TW1357" s="1268"/>
      <c r="TX1357" s="1268"/>
      <c r="TY1357" s="1268"/>
      <c r="TZ1357" s="1268"/>
      <c r="UA1357" s="1268"/>
      <c r="UB1357" s="1268"/>
      <c r="UC1357" s="1268"/>
      <c r="UD1357" s="1268"/>
      <c r="UE1357" s="1268"/>
      <c r="UF1357" s="1268"/>
      <c r="UG1357" s="1268"/>
    </row>
    <row r="1358" spans="1:553" s="1262" customFormat="1" ht="25.15" customHeight="1">
      <c r="A1358" s="414"/>
      <c r="B1358" s="414"/>
      <c r="C1358" s="1609" t="s">
        <v>591</v>
      </c>
      <c r="D1358" s="1461" t="s">
        <v>829</v>
      </c>
      <c r="E1358" s="1461" t="s">
        <v>829</v>
      </c>
      <c r="F1358" s="1462" t="s">
        <v>829</v>
      </c>
      <c r="G1358" s="366" t="s">
        <v>46</v>
      </c>
      <c r="H1358" s="504"/>
      <c r="I1358" s="370">
        <f>(161.02*100/400)*(12-(4-3))*2</f>
        <v>885.61</v>
      </c>
      <c r="J1358" s="368">
        <v>10600</v>
      </c>
      <c r="K1358" s="717">
        <v>0.7</v>
      </c>
      <c r="L1358" s="571">
        <f>I1358*J1358*K1358</f>
        <v>6571226.1999999993</v>
      </c>
      <c r="M1358" s="411"/>
      <c r="N1358" s="411"/>
      <c r="O1358" s="425"/>
      <c r="P1358" s="356"/>
      <c r="Q1358" s="610"/>
      <c r="R1358" s="1228"/>
      <c r="S1358" s="308"/>
      <c r="T1358" s="308"/>
      <c r="U1358" s="308"/>
      <c r="V1358" s="308"/>
      <c r="W1358" s="308"/>
      <c r="X1358" s="308"/>
      <c r="Y1358" s="308"/>
      <c r="Z1358" s="604"/>
      <c r="AA1358" s="308"/>
      <c r="AB1358" s="308"/>
      <c r="AC1358" s="486"/>
      <c r="AD1358" s="486"/>
      <c r="AE1358" s="486"/>
      <c r="AF1358" s="486"/>
      <c r="AG1358" s="486"/>
      <c r="AH1358" s="486"/>
      <c r="AI1358" s="486"/>
      <c r="AJ1358" s="486"/>
      <c r="AK1358" s="486"/>
      <c r="AL1358" s="1267"/>
      <c r="AM1358" s="1268"/>
      <c r="AN1358" s="1268"/>
      <c r="AO1358" s="1268"/>
      <c r="AP1358" s="1268"/>
      <c r="AQ1358" s="1268"/>
      <c r="AR1358" s="1268"/>
      <c r="AS1358" s="1268"/>
      <c r="AT1358" s="1268"/>
      <c r="AU1358" s="1268"/>
      <c r="AV1358" s="1268"/>
      <c r="AW1358" s="1268"/>
      <c r="AX1358" s="1268"/>
      <c r="AY1358" s="1268"/>
      <c r="AZ1358" s="1268"/>
      <c r="BA1358" s="1268"/>
      <c r="BB1358" s="1268"/>
      <c r="BC1358" s="1268"/>
      <c r="BD1358" s="1268"/>
      <c r="BE1358" s="1268"/>
      <c r="BF1358" s="1268"/>
      <c r="BG1358" s="1268"/>
      <c r="BH1358" s="1268"/>
      <c r="BI1358" s="1268"/>
      <c r="BJ1358" s="1268"/>
      <c r="BK1358" s="1268"/>
      <c r="BL1358" s="1268"/>
      <c r="BM1358" s="1268"/>
      <c r="BN1358" s="1268"/>
      <c r="BO1358" s="1268"/>
      <c r="BP1358" s="1268"/>
      <c r="BQ1358" s="1268"/>
      <c r="BR1358" s="1268"/>
      <c r="BS1358" s="1268"/>
      <c r="BT1358" s="1268"/>
      <c r="BU1358" s="1268"/>
      <c r="BV1358" s="1268"/>
      <c r="BW1358" s="1268"/>
      <c r="BX1358" s="1268"/>
      <c r="BY1358" s="1268"/>
      <c r="BZ1358" s="1268"/>
      <c r="CA1358" s="1268"/>
      <c r="CB1358" s="1268"/>
      <c r="CC1358" s="1268"/>
      <c r="CD1358" s="1268"/>
      <c r="CE1358" s="1268"/>
      <c r="CF1358" s="1268"/>
      <c r="CG1358" s="1268"/>
      <c r="CH1358" s="1268"/>
      <c r="CI1358" s="1268"/>
      <c r="CJ1358" s="1268"/>
      <c r="CK1358" s="1268"/>
      <c r="CL1358" s="1268"/>
      <c r="CM1358" s="1268"/>
      <c r="CN1358" s="1268"/>
      <c r="CO1358" s="1268"/>
      <c r="CP1358" s="1268"/>
      <c r="CQ1358" s="1268"/>
      <c r="CR1358" s="1268"/>
      <c r="CS1358" s="1268"/>
      <c r="CT1358" s="1268"/>
      <c r="CU1358" s="1268"/>
      <c r="CV1358" s="1268"/>
      <c r="CW1358" s="1268"/>
      <c r="CX1358" s="1268"/>
      <c r="CY1358" s="1268"/>
      <c r="CZ1358" s="1268"/>
      <c r="DA1358" s="1268"/>
      <c r="DB1358" s="1268"/>
      <c r="DC1358" s="1268"/>
      <c r="DD1358" s="1268"/>
      <c r="DE1358" s="1268"/>
      <c r="DF1358" s="1268"/>
      <c r="DG1358" s="1268"/>
      <c r="DH1358" s="1268"/>
      <c r="DI1358" s="1268"/>
      <c r="DJ1358" s="1268"/>
      <c r="DK1358" s="1268"/>
      <c r="DL1358" s="1268"/>
      <c r="DM1358" s="1268"/>
      <c r="DN1358" s="1268"/>
      <c r="DO1358" s="1268"/>
      <c r="DP1358" s="1268"/>
      <c r="DQ1358" s="1268"/>
      <c r="DR1358" s="1268"/>
      <c r="DS1358" s="1268"/>
      <c r="DT1358" s="1268"/>
      <c r="DU1358" s="1268"/>
      <c r="DV1358" s="1268"/>
      <c r="DW1358" s="1268"/>
      <c r="DX1358" s="1268"/>
      <c r="DY1358" s="1268"/>
      <c r="DZ1358" s="1268"/>
      <c r="EA1358" s="1268"/>
      <c r="EB1358" s="1268"/>
      <c r="EC1358" s="1268"/>
      <c r="ED1358" s="1268"/>
      <c r="EE1358" s="1268"/>
      <c r="EF1358" s="1268"/>
      <c r="EG1358" s="1268"/>
      <c r="EH1358" s="1268"/>
      <c r="EI1358" s="1268"/>
      <c r="EJ1358" s="1268"/>
      <c r="EK1358" s="1268"/>
      <c r="EL1358" s="1268"/>
      <c r="EM1358" s="1268"/>
      <c r="EN1358" s="1268"/>
      <c r="EO1358" s="1268"/>
      <c r="EP1358" s="1268"/>
      <c r="EQ1358" s="1268"/>
      <c r="ER1358" s="1268"/>
      <c r="ES1358" s="1268"/>
      <c r="ET1358" s="1268"/>
      <c r="EU1358" s="1268"/>
      <c r="EV1358" s="1268"/>
      <c r="EW1358" s="1268"/>
      <c r="EX1358" s="1268"/>
      <c r="EY1358" s="1268"/>
      <c r="EZ1358" s="1268"/>
      <c r="FA1358" s="1268"/>
      <c r="FB1358" s="1268"/>
      <c r="FC1358" s="1268"/>
      <c r="FD1358" s="1268"/>
      <c r="FE1358" s="1268"/>
      <c r="FF1358" s="1268"/>
      <c r="FG1358" s="1268"/>
      <c r="FH1358" s="1268"/>
      <c r="FI1358" s="1268"/>
      <c r="FJ1358" s="1268"/>
      <c r="FK1358" s="1268"/>
      <c r="FL1358" s="1268"/>
      <c r="FM1358" s="1268"/>
      <c r="FN1358" s="1268"/>
      <c r="FO1358" s="1268"/>
      <c r="FP1358" s="1268"/>
      <c r="FQ1358" s="1268"/>
      <c r="FR1358" s="1268"/>
      <c r="FS1358" s="1268"/>
      <c r="FT1358" s="1268"/>
      <c r="FU1358" s="1268"/>
      <c r="FV1358" s="1268"/>
      <c r="FW1358" s="1268"/>
      <c r="FX1358" s="1268"/>
      <c r="FY1358" s="1268"/>
      <c r="FZ1358" s="1268"/>
      <c r="GA1358" s="1268"/>
      <c r="GB1358" s="1268"/>
      <c r="GC1358" s="1268"/>
      <c r="GD1358" s="1268"/>
      <c r="GE1358" s="1268"/>
      <c r="GF1358" s="1268"/>
      <c r="GG1358" s="1268"/>
      <c r="GH1358" s="1268"/>
      <c r="GI1358" s="1268"/>
      <c r="GJ1358" s="1268"/>
      <c r="GK1358" s="1268"/>
      <c r="GL1358" s="1268"/>
      <c r="GM1358" s="1268"/>
      <c r="GN1358" s="1268"/>
      <c r="GO1358" s="1268"/>
      <c r="GP1358" s="1268"/>
      <c r="GQ1358" s="1268"/>
      <c r="GR1358" s="1268"/>
      <c r="GS1358" s="1268"/>
      <c r="GT1358" s="1268"/>
      <c r="GU1358" s="1268"/>
      <c r="GV1358" s="1268"/>
      <c r="GW1358" s="1268"/>
      <c r="GX1358" s="1268"/>
      <c r="GY1358" s="1268"/>
      <c r="GZ1358" s="1268"/>
      <c r="HA1358" s="1268"/>
      <c r="HB1358" s="1268"/>
      <c r="HC1358" s="1268"/>
      <c r="HD1358" s="1268"/>
      <c r="HE1358" s="1268"/>
      <c r="HF1358" s="1268"/>
      <c r="HG1358" s="1268"/>
      <c r="HH1358" s="1268"/>
      <c r="HI1358" s="1268"/>
      <c r="HJ1358" s="1268"/>
      <c r="HK1358" s="1268"/>
      <c r="HL1358" s="1268"/>
      <c r="HM1358" s="1268"/>
      <c r="HN1358" s="1268"/>
      <c r="HO1358" s="1268"/>
      <c r="HP1358" s="1268"/>
      <c r="HQ1358" s="1268"/>
      <c r="HR1358" s="1268"/>
      <c r="HS1358" s="1268"/>
      <c r="HT1358" s="1268"/>
      <c r="HU1358" s="1268"/>
      <c r="HV1358" s="1268"/>
      <c r="HW1358" s="1268"/>
      <c r="HX1358" s="1268"/>
      <c r="HY1358" s="1268"/>
      <c r="HZ1358" s="1268"/>
      <c r="IA1358" s="1268"/>
      <c r="IB1358" s="1268"/>
      <c r="IC1358" s="1268"/>
      <c r="ID1358" s="1268"/>
      <c r="IE1358" s="1268"/>
      <c r="IF1358" s="1268"/>
      <c r="IG1358" s="1268"/>
      <c r="IH1358" s="1268"/>
      <c r="II1358" s="1268"/>
      <c r="IJ1358" s="1268"/>
      <c r="IK1358" s="1268"/>
      <c r="IL1358" s="1268"/>
      <c r="IM1358" s="1268"/>
      <c r="IN1358" s="1268"/>
      <c r="IO1358" s="1268"/>
      <c r="IP1358" s="1268"/>
      <c r="IQ1358" s="1268"/>
      <c r="IR1358" s="1268"/>
      <c r="IS1358" s="1268"/>
      <c r="IT1358" s="1268"/>
      <c r="IU1358" s="1268"/>
      <c r="IV1358" s="1268"/>
      <c r="IW1358" s="1268"/>
      <c r="IX1358" s="1268"/>
      <c r="IY1358" s="1268"/>
      <c r="IZ1358" s="1268"/>
      <c r="JA1358" s="1268"/>
      <c r="JB1358" s="1268"/>
      <c r="JC1358" s="1268"/>
      <c r="JD1358" s="1268"/>
      <c r="JE1358" s="1268"/>
      <c r="JF1358" s="1268"/>
      <c r="JG1358" s="1268"/>
      <c r="JH1358" s="1268"/>
      <c r="JI1358" s="1268"/>
      <c r="JJ1358" s="1268"/>
      <c r="JK1358" s="1268"/>
      <c r="JL1358" s="1268"/>
      <c r="JM1358" s="1268"/>
      <c r="JN1358" s="1268"/>
      <c r="JO1358" s="1268"/>
      <c r="JP1358" s="1268"/>
      <c r="JQ1358" s="1268"/>
      <c r="JR1358" s="1268"/>
      <c r="JS1358" s="1268"/>
      <c r="JT1358" s="1268"/>
      <c r="JU1358" s="1268"/>
      <c r="JV1358" s="1268"/>
      <c r="JW1358" s="1268"/>
      <c r="JX1358" s="1268"/>
      <c r="JY1358" s="1268"/>
      <c r="JZ1358" s="1268"/>
      <c r="KA1358" s="1268"/>
      <c r="KB1358" s="1268"/>
      <c r="KC1358" s="1268"/>
      <c r="KD1358" s="1268"/>
      <c r="KE1358" s="1268"/>
      <c r="KF1358" s="1268"/>
      <c r="KG1358" s="1268"/>
      <c r="KH1358" s="1268"/>
      <c r="KI1358" s="1268"/>
      <c r="KJ1358" s="1268"/>
      <c r="KK1358" s="1268"/>
      <c r="KL1358" s="1268"/>
      <c r="KM1358" s="1268"/>
      <c r="KN1358" s="1268"/>
      <c r="KO1358" s="1268"/>
      <c r="KP1358" s="1268"/>
      <c r="KQ1358" s="1268"/>
      <c r="KR1358" s="1268"/>
      <c r="KS1358" s="1268"/>
      <c r="KT1358" s="1268"/>
      <c r="KU1358" s="1268"/>
      <c r="KV1358" s="1268"/>
      <c r="KW1358" s="1268"/>
      <c r="KX1358" s="1268"/>
      <c r="KY1358" s="1268"/>
      <c r="KZ1358" s="1268"/>
      <c r="LA1358" s="1268"/>
      <c r="LB1358" s="1268"/>
      <c r="LC1358" s="1268"/>
      <c r="LD1358" s="1268"/>
      <c r="LE1358" s="1268"/>
      <c r="LF1358" s="1268"/>
      <c r="LG1358" s="1268"/>
      <c r="LH1358" s="1268"/>
      <c r="LI1358" s="1268"/>
      <c r="LJ1358" s="1268"/>
      <c r="LK1358" s="1268"/>
      <c r="LL1358" s="1268"/>
      <c r="LM1358" s="1268"/>
      <c r="LN1358" s="1268"/>
      <c r="LO1358" s="1268"/>
      <c r="LP1358" s="1268"/>
      <c r="LQ1358" s="1268"/>
      <c r="LR1358" s="1268"/>
      <c r="LS1358" s="1268"/>
      <c r="LT1358" s="1268"/>
      <c r="LU1358" s="1268"/>
      <c r="LV1358" s="1268"/>
      <c r="LW1358" s="1268"/>
      <c r="LX1358" s="1268"/>
      <c r="LY1358" s="1268"/>
      <c r="LZ1358" s="1268"/>
      <c r="MA1358" s="1268"/>
      <c r="MB1358" s="1268"/>
      <c r="MC1358" s="1268"/>
      <c r="MD1358" s="1268"/>
      <c r="ME1358" s="1268"/>
      <c r="MF1358" s="1268"/>
      <c r="MG1358" s="1268"/>
      <c r="MH1358" s="1268"/>
      <c r="MI1358" s="1268"/>
      <c r="MJ1358" s="1268"/>
      <c r="MK1358" s="1268"/>
      <c r="ML1358" s="1268"/>
      <c r="MM1358" s="1268"/>
      <c r="MN1358" s="1268"/>
      <c r="MO1358" s="1268"/>
      <c r="MP1358" s="1268"/>
      <c r="MQ1358" s="1268"/>
      <c r="MR1358" s="1268"/>
      <c r="MS1358" s="1268"/>
      <c r="MT1358" s="1268"/>
      <c r="MU1358" s="1268"/>
      <c r="MV1358" s="1268"/>
      <c r="MW1358" s="1268"/>
      <c r="MX1358" s="1268"/>
      <c r="MY1358" s="1268"/>
      <c r="MZ1358" s="1268"/>
      <c r="NA1358" s="1268"/>
      <c r="NB1358" s="1268"/>
      <c r="NC1358" s="1268"/>
      <c r="ND1358" s="1268"/>
      <c r="NE1358" s="1268"/>
      <c r="NF1358" s="1268"/>
      <c r="NG1358" s="1268"/>
      <c r="NH1358" s="1268"/>
      <c r="NI1358" s="1268"/>
      <c r="NJ1358" s="1268"/>
      <c r="NK1358" s="1268"/>
      <c r="NL1358" s="1268"/>
      <c r="NM1358" s="1268"/>
      <c r="NN1358" s="1268"/>
      <c r="NO1358" s="1268"/>
      <c r="NP1358" s="1268"/>
      <c r="NQ1358" s="1268"/>
      <c r="NR1358" s="1268"/>
      <c r="NS1358" s="1268"/>
      <c r="NT1358" s="1268"/>
      <c r="NU1358" s="1268"/>
      <c r="NV1358" s="1268"/>
      <c r="NW1358" s="1268"/>
      <c r="NX1358" s="1268"/>
      <c r="NY1358" s="1268"/>
      <c r="NZ1358" s="1268"/>
      <c r="OA1358" s="1268"/>
      <c r="OB1358" s="1268"/>
      <c r="OC1358" s="1268"/>
      <c r="OD1358" s="1268"/>
      <c r="OE1358" s="1268"/>
      <c r="OF1358" s="1268"/>
      <c r="OG1358" s="1268"/>
      <c r="OH1358" s="1268"/>
      <c r="OI1358" s="1268"/>
      <c r="OJ1358" s="1268"/>
      <c r="OK1358" s="1268"/>
      <c r="OL1358" s="1268"/>
      <c r="OM1358" s="1268"/>
      <c r="ON1358" s="1268"/>
      <c r="OO1358" s="1268"/>
      <c r="OP1358" s="1268"/>
      <c r="OQ1358" s="1268"/>
      <c r="OR1358" s="1268"/>
      <c r="OS1358" s="1268"/>
      <c r="OT1358" s="1268"/>
      <c r="OU1358" s="1268"/>
      <c r="OV1358" s="1268"/>
      <c r="OW1358" s="1268"/>
      <c r="OX1358" s="1268"/>
      <c r="OY1358" s="1268"/>
      <c r="OZ1358" s="1268"/>
      <c r="PA1358" s="1268"/>
      <c r="PB1358" s="1268"/>
      <c r="PC1358" s="1268"/>
      <c r="PD1358" s="1268"/>
      <c r="PE1358" s="1268"/>
      <c r="PF1358" s="1268"/>
      <c r="PG1358" s="1268"/>
      <c r="PH1358" s="1268"/>
      <c r="PI1358" s="1268"/>
      <c r="PJ1358" s="1268"/>
      <c r="PK1358" s="1268"/>
      <c r="PL1358" s="1268"/>
      <c r="PM1358" s="1268"/>
      <c r="PN1358" s="1268"/>
      <c r="PO1358" s="1268"/>
      <c r="PP1358" s="1268"/>
      <c r="PQ1358" s="1268"/>
      <c r="PR1358" s="1268"/>
      <c r="PS1358" s="1268"/>
      <c r="PT1358" s="1268"/>
      <c r="PU1358" s="1268"/>
      <c r="PV1358" s="1268"/>
      <c r="PW1358" s="1268"/>
      <c r="PX1358" s="1268"/>
      <c r="PY1358" s="1268"/>
      <c r="PZ1358" s="1268"/>
      <c r="QA1358" s="1268"/>
      <c r="QB1358" s="1268"/>
      <c r="QC1358" s="1268"/>
      <c r="QD1358" s="1268"/>
      <c r="QE1358" s="1268"/>
      <c r="QF1358" s="1268"/>
      <c r="QG1358" s="1268"/>
      <c r="QH1358" s="1268"/>
      <c r="QI1358" s="1268"/>
      <c r="QJ1358" s="1268"/>
      <c r="QK1358" s="1268"/>
      <c r="QL1358" s="1268"/>
      <c r="QM1358" s="1268"/>
      <c r="QN1358" s="1268"/>
      <c r="QO1358" s="1268"/>
      <c r="QP1358" s="1268"/>
      <c r="QQ1358" s="1268"/>
      <c r="QR1358" s="1268"/>
      <c r="QS1358" s="1268"/>
      <c r="QT1358" s="1268"/>
      <c r="QU1358" s="1268"/>
      <c r="QV1358" s="1268"/>
      <c r="QW1358" s="1268"/>
      <c r="QX1358" s="1268"/>
      <c r="QY1358" s="1268"/>
      <c r="QZ1358" s="1268"/>
      <c r="RA1358" s="1268"/>
      <c r="RB1358" s="1268"/>
      <c r="RC1358" s="1268"/>
      <c r="RD1358" s="1268"/>
      <c r="RE1358" s="1268"/>
      <c r="RF1358" s="1268"/>
      <c r="RG1358" s="1268"/>
      <c r="RH1358" s="1268"/>
      <c r="RI1358" s="1268"/>
      <c r="RJ1358" s="1268"/>
      <c r="RK1358" s="1268"/>
      <c r="RL1358" s="1268"/>
      <c r="RM1358" s="1268"/>
      <c r="RN1358" s="1268"/>
      <c r="RO1358" s="1268"/>
      <c r="RP1358" s="1268"/>
      <c r="RQ1358" s="1268"/>
      <c r="RR1358" s="1268"/>
      <c r="RS1358" s="1268"/>
      <c r="RT1358" s="1268"/>
      <c r="RU1358" s="1268"/>
      <c r="RV1358" s="1268"/>
      <c r="RW1358" s="1268"/>
      <c r="RX1358" s="1268"/>
      <c r="RY1358" s="1268"/>
      <c r="RZ1358" s="1268"/>
      <c r="SA1358" s="1268"/>
      <c r="SB1358" s="1268"/>
      <c r="SC1358" s="1268"/>
      <c r="SD1358" s="1268"/>
      <c r="SE1358" s="1268"/>
      <c r="SF1358" s="1268"/>
      <c r="SG1358" s="1268"/>
      <c r="SH1358" s="1268"/>
      <c r="SI1358" s="1268"/>
      <c r="SJ1358" s="1268"/>
      <c r="SK1358" s="1268"/>
      <c r="SL1358" s="1268"/>
      <c r="SM1358" s="1268"/>
      <c r="SN1358" s="1268"/>
      <c r="SO1358" s="1268"/>
      <c r="SP1358" s="1268"/>
      <c r="SQ1358" s="1268"/>
      <c r="SR1358" s="1268"/>
      <c r="SS1358" s="1268"/>
      <c r="ST1358" s="1268"/>
      <c r="SU1358" s="1268"/>
      <c r="SV1358" s="1268"/>
      <c r="SW1358" s="1268"/>
      <c r="SX1358" s="1268"/>
      <c r="SY1358" s="1268"/>
      <c r="SZ1358" s="1268"/>
      <c r="TA1358" s="1268"/>
      <c r="TB1358" s="1268"/>
      <c r="TC1358" s="1268"/>
      <c r="TD1358" s="1268"/>
      <c r="TE1358" s="1268"/>
      <c r="TF1358" s="1268"/>
      <c r="TG1358" s="1268"/>
      <c r="TH1358" s="1268"/>
      <c r="TI1358" s="1268"/>
      <c r="TJ1358" s="1268"/>
      <c r="TK1358" s="1268"/>
      <c r="TL1358" s="1268"/>
      <c r="TM1358" s="1268"/>
      <c r="TN1358" s="1268"/>
      <c r="TO1358" s="1268"/>
      <c r="TP1358" s="1268"/>
      <c r="TQ1358" s="1268"/>
      <c r="TR1358" s="1268"/>
      <c r="TS1358" s="1268"/>
      <c r="TT1358" s="1268"/>
      <c r="TU1358" s="1268"/>
      <c r="TV1358" s="1268"/>
      <c r="TW1358" s="1268"/>
      <c r="TX1358" s="1268"/>
      <c r="TY1358" s="1268"/>
      <c r="TZ1358" s="1268"/>
      <c r="UA1358" s="1268"/>
      <c r="UB1358" s="1268"/>
      <c r="UC1358" s="1268"/>
      <c r="UD1358" s="1268"/>
      <c r="UE1358" s="1268"/>
      <c r="UF1358" s="1268"/>
      <c r="UG1358" s="1268"/>
    </row>
    <row r="1359" spans="1:553" s="1262" customFormat="1" ht="25.15" customHeight="1">
      <c r="A1359" s="401"/>
      <c r="B1359" s="401"/>
      <c r="C1359" s="1592" t="s">
        <v>1242</v>
      </c>
      <c r="D1359" s="1593" t="s">
        <v>844</v>
      </c>
      <c r="E1359" s="1593" t="s">
        <v>844</v>
      </c>
      <c r="F1359" s="1594" t="s">
        <v>844</v>
      </c>
      <c r="G1359" s="366" t="s">
        <v>196</v>
      </c>
      <c r="H1359" s="499"/>
      <c r="I1359" s="370">
        <f>(161.02*100/400)*(12-(10-3))*1</f>
        <v>201.27500000000001</v>
      </c>
      <c r="J1359" s="368">
        <v>10600</v>
      </c>
      <c r="K1359" s="495">
        <v>0.7</v>
      </c>
      <c r="L1359" s="480">
        <f>I1359*J1359*K1359</f>
        <v>1493460.5</v>
      </c>
      <c r="M1359" s="411"/>
      <c r="N1359" s="411"/>
      <c r="O1359" s="425"/>
      <c r="P1359" s="356"/>
      <c r="Q1359" s="610"/>
      <c r="R1359" s="1228"/>
      <c r="S1359" s="308"/>
      <c r="T1359" s="308"/>
      <c r="U1359" s="308"/>
      <c r="V1359" s="308"/>
      <c r="W1359" s="308"/>
      <c r="X1359" s="308"/>
      <c r="Y1359" s="308"/>
      <c r="Z1359" s="604"/>
      <c r="AA1359" s="308"/>
      <c r="AB1359" s="308"/>
      <c r="AC1359" s="486"/>
      <c r="AD1359" s="486"/>
      <c r="AE1359" s="486"/>
      <c r="AF1359" s="486"/>
      <c r="AG1359" s="486"/>
      <c r="AH1359" s="486"/>
      <c r="AI1359" s="486"/>
      <c r="AJ1359" s="486"/>
      <c r="AK1359" s="486"/>
      <c r="AL1359" s="1267"/>
      <c r="AM1359" s="1268"/>
      <c r="AN1359" s="1268"/>
      <c r="AO1359" s="1268"/>
      <c r="AP1359" s="1268"/>
      <c r="AQ1359" s="1268"/>
      <c r="AR1359" s="1268"/>
      <c r="AS1359" s="1268"/>
      <c r="AT1359" s="1268"/>
      <c r="AU1359" s="1268"/>
      <c r="AV1359" s="1268"/>
      <c r="AW1359" s="1268"/>
      <c r="AX1359" s="1268"/>
      <c r="AY1359" s="1268"/>
      <c r="AZ1359" s="1268"/>
      <c r="BA1359" s="1268"/>
      <c r="BB1359" s="1268"/>
      <c r="BC1359" s="1268"/>
      <c r="BD1359" s="1268"/>
      <c r="BE1359" s="1268"/>
      <c r="BF1359" s="1268"/>
      <c r="BG1359" s="1268"/>
      <c r="BH1359" s="1268"/>
      <c r="BI1359" s="1268"/>
      <c r="BJ1359" s="1268"/>
      <c r="BK1359" s="1268"/>
      <c r="BL1359" s="1268"/>
      <c r="BM1359" s="1268"/>
      <c r="BN1359" s="1268"/>
      <c r="BO1359" s="1268"/>
      <c r="BP1359" s="1268"/>
      <c r="BQ1359" s="1268"/>
      <c r="BR1359" s="1268"/>
      <c r="BS1359" s="1268"/>
      <c r="BT1359" s="1268"/>
      <c r="BU1359" s="1268"/>
      <c r="BV1359" s="1268"/>
      <c r="BW1359" s="1268"/>
      <c r="BX1359" s="1268"/>
      <c r="BY1359" s="1268"/>
      <c r="BZ1359" s="1268"/>
      <c r="CA1359" s="1268"/>
      <c r="CB1359" s="1268"/>
      <c r="CC1359" s="1268"/>
      <c r="CD1359" s="1268"/>
      <c r="CE1359" s="1268"/>
      <c r="CF1359" s="1268"/>
      <c r="CG1359" s="1268"/>
      <c r="CH1359" s="1268"/>
      <c r="CI1359" s="1268"/>
      <c r="CJ1359" s="1268"/>
      <c r="CK1359" s="1268"/>
      <c r="CL1359" s="1268"/>
      <c r="CM1359" s="1268"/>
      <c r="CN1359" s="1268"/>
      <c r="CO1359" s="1268"/>
      <c r="CP1359" s="1268"/>
      <c r="CQ1359" s="1268"/>
      <c r="CR1359" s="1268"/>
      <c r="CS1359" s="1268"/>
      <c r="CT1359" s="1268"/>
      <c r="CU1359" s="1268"/>
      <c r="CV1359" s="1268"/>
      <c r="CW1359" s="1268"/>
      <c r="CX1359" s="1268"/>
      <c r="CY1359" s="1268"/>
      <c r="CZ1359" s="1268"/>
      <c r="DA1359" s="1268"/>
      <c r="DB1359" s="1268"/>
      <c r="DC1359" s="1268"/>
      <c r="DD1359" s="1268"/>
      <c r="DE1359" s="1268"/>
      <c r="DF1359" s="1268"/>
      <c r="DG1359" s="1268"/>
      <c r="DH1359" s="1268"/>
      <c r="DI1359" s="1268"/>
      <c r="DJ1359" s="1268"/>
      <c r="DK1359" s="1268"/>
      <c r="DL1359" s="1268"/>
      <c r="DM1359" s="1268"/>
      <c r="DN1359" s="1268"/>
      <c r="DO1359" s="1268"/>
      <c r="DP1359" s="1268"/>
      <c r="DQ1359" s="1268"/>
      <c r="DR1359" s="1268"/>
      <c r="DS1359" s="1268"/>
      <c r="DT1359" s="1268"/>
      <c r="DU1359" s="1268"/>
      <c r="DV1359" s="1268"/>
      <c r="DW1359" s="1268"/>
      <c r="DX1359" s="1268"/>
      <c r="DY1359" s="1268"/>
      <c r="DZ1359" s="1268"/>
      <c r="EA1359" s="1268"/>
      <c r="EB1359" s="1268"/>
      <c r="EC1359" s="1268"/>
      <c r="ED1359" s="1268"/>
      <c r="EE1359" s="1268"/>
      <c r="EF1359" s="1268"/>
      <c r="EG1359" s="1268"/>
      <c r="EH1359" s="1268"/>
      <c r="EI1359" s="1268"/>
      <c r="EJ1359" s="1268"/>
      <c r="EK1359" s="1268"/>
      <c r="EL1359" s="1268"/>
      <c r="EM1359" s="1268"/>
      <c r="EN1359" s="1268"/>
      <c r="EO1359" s="1268"/>
      <c r="EP1359" s="1268"/>
      <c r="EQ1359" s="1268"/>
      <c r="ER1359" s="1268"/>
      <c r="ES1359" s="1268"/>
      <c r="ET1359" s="1268"/>
      <c r="EU1359" s="1268"/>
      <c r="EV1359" s="1268"/>
      <c r="EW1359" s="1268"/>
      <c r="EX1359" s="1268"/>
      <c r="EY1359" s="1268"/>
      <c r="EZ1359" s="1268"/>
      <c r="FA1359" s="1268"/>
      <c r="FB1359" s="1268"/>
      <c r="FC1359" s="1268"/>
      <c r="FD1359" s="1268"/>
      <c r="FE1359" s="1268"/>
      <c r="FF1359" s="1268"/>
      <c r="FG1359" s="1268"/>
      <c r="FH1359" s="1268"/>
      <c r="FI1359" s="1268"/>
      <c r="FJ1359" s="1268"/>
      <c r="FK1359" s="1268"/>
      <c r="FL1359" s="1268"/>
      <c r="FM1359" s="1268"/>
      <c r="FN1359" s="1268"/>
      <c r="FO1359" s="1268"/>
      <c r="FP1359" s="1268"/>
      <c r="FQ1359" s="1268"/>
      <c r="FR1359" s="1268"/>
      <c r="FS1359" s="1268"/>
      <c r="FT1359" s="1268"/>
      <c r="FU1359" s="1268"/>
      <c r="FV1359" s="1268"/>
      <c r="FW1359" s="1268"/>
      <c r="FX1359" s="1268"/>
      <c r="FY1359" s="1268"/>
      <c r="FZ1359" s="1268"/>
      <c r="GA1359" s="1268"/>
      <c r="GB1359" s="1268"/>
      <c r="GC1359" s="1268"/>
      <c r="GD1359" s="1268"/>
      <c r="GE1359" s="1268"/>
      <c r="GF1359" s="1268"/>
      <c r="GG1359" s="1268"/>
      <c r="GH1359" s="1268"/>
      <c r="GI1359" s="1268"/>
      <c r="GJ1359" s="1268"/>
      <c r="GK1359" s="1268"/>
      <c r="GL1359" s="1268"/>
      <c r="GM1359" s="1268"/>
      <c r="GN1359" s="1268"/>
      <c r="GO1359" s="1268"/>
      <c r="GP1359" s="1268"/>
      <c r="GQ1359" s="1268"/>
      <c r="GR1359" s="1268"/>
      <c r="GS1359" s="1268"/>
      <c r="GT1359" s="1268"/>
      <c r="GU1359" s="1268"/>
      <c r="GV1359" s="1268"/>
      <c r="GW1359" s="1268"/>
      <c r="GX1359" s="1268"/>
      <c r="GY1359" s="1268"/>
      <c r="GZ1359" s="1268"/>
      <c r="HA1359" s="1268"/>
      <c r="HB1359" s="1268"/>
      <c r="HC1359" s="1268"/>
      <c r="HD1359" s="1268"/>
      <c r="HE1359" s="1268"/>
      <c r="HF1359" s="1268"/>
      <c r="HG1359" s="1268"/>
      <c r="HH1359" s="1268"/>
      <c r="HI1359" s="1268"/>
      <c r="HJ1359" s="1268"/>
      <c r="HK1359" s="1268"/>
      <c r="HL1359" s="1268"/>
      <c r="HM1359" s="1268"/>
      <c r="HN1359" s="1268"/>
      <c r="HO1359" s="1268"/>
      <c r="HP1359" s="1268"/>
      <c r="HQ1359" s="1268"/>
      <c r="HR1359" s="1268"/>
      <c r="HS1359" s="1268"/>
      <c r="HT1359" s="1268"/>
      <c r="HU1359" s="1268"/>
      <c r="HV1359" s="1268"/>
      <c r="HW1359" s="1268"/>
      <c r="HX1359" s="1268"/>
      <c r="HY1359" s="1268"/>
      <c r="HZ1359" s="1268"/>
      <c r="IA1359" s="1268"/>
      <c r="IB1359" s="1268"/>
      <c r="IC1359" s="1268"/>
      <c r="ID1359" s="1268"/>
      <c r="IE1359" s="1268"/>
      <c r="IF1359" s="1268"/>
      <c r="IG1359" s="1268"/>
      <c r="IH1359" s="1268"/>
      <c r="II1359" s="1268"/>
      <c r="IJ1359" s="1268"/>
      <c r="IK1359" s="1268"/>
      <c r="IL1359" s="1268"/>
      <c r="IM1359" s="1268"/>
      <c r="IN1359" s="1268"/>
      <c r="IO1359" s="1268"/>
      <c r="IP1359" s="1268"/>
      <c r="IQ1359" s="1268"/>
      <c r="IR1359" s="1268"/>
      <c r="IS1359" s="1268"/>
      <c r="IT1359" s="1268"/>
      <c r="IU1359" s="1268"/>
      <c r="IV1359" s="1268"/>
      <c r="IW1359" s="1268"/>
      <c r="IX1359" s="1268"/>
      <c r="IY1359" s="1268"/>
      <c r="IZ1359" s="1268"/>
      <c r="JA1359" s="1268"/>
      <c r="JB1359" s="1268"/>
      <c r="JC1359" s="1268"/>
      <c r="JD1359" s="1268"/>
      <c r="JE1359" s="1268"/>
      <c r="JF1359" s="1268"/>
      <c r="JG1359" s="1268"/>
      <c r="JH1359" s="1268"/>
      <c r="JI1359" s="1268"/>
      <c r="JJ1359" s="1268"/>
      <c r="JK1359" s="1268"/>
      <c r="JL1359" s="1268"/>
      <c r="JM1359" s="1268"/>
      <c r="JN1359" s="1268"/>
      <c r="JO1359" s="1268"/>
      <c r="JP1359" s="1268"/>
      <c r="JQ1359" s="1268"/>
      <c r="JR1359" s="1268"/>
      <c r="JS1359" s="1268"/>
      <c r="JT1359" s="1268"/>
      <c r="JU1359" s="1268"/>
      <c r="JV1359" s="1268"/>
      <c r="JW1359" s="1268"/>
      <c r="JX1359" s="1268"/>
      <c r="JY1359" s="1268"/>
      <c r="JZ1359" s="1268"/>
      <c r="KA1359" s="1268"/>
      <c r="KB1359" s="1268"/>
      <c r="KC1359" s="1268"/>
      <c r="KD1359" s="1268"/>
      <c r="KE1359" s="1268"/>
      <c r="KF1359" s="1268"/>
      <c r="KG1359" s="1268"/>
      <c r="KH1359" s="1268"/>
      <c r="KI1359" s="1268"/>
      <c r="KJ1359" s="1268"/>
      <c r="KK1359" s="1268"/>
      <c r="KL1359" s="1268"/>
      <c r="KM1359" s="1268"/>
      <c r="KN1359" s="1268"/>
      <c r="KO1359" s="1268"/>
      <c r="KP1359" s="1268"/>
      <c r="KQ1359" s="1268"/>
      <c r="KR1359" s="1268"/>
      <c r="KS1359" s="1268"/>
      <c r="KT1359" s="1268"/>
      <c r="KU1359" s="1268"/>
      <c r="KV1359" s="1268"/>
      <c r="KW1359" s="1268"/>
      <c r="KX1359" s="1268"/>
      <c r="KY1359" s="1268"/>
      <c r="KZ1359" s="1268"/>
      <c r="LA1359" s="1268"/>
      <c r="LB1359" s="1268"/>
      <c r="LC1359" s="1268"/>
      <c r="LD1359" s="1268"/>
      <c r="LE1359" s="1268"/>
      <c r="LF1359" s="1268"/>
      <c r="LG1359" s="1268"/>
      <c r="LH1359" s="1268"/>
      <c r="LI1359" s="1268"/>
      <c r="LJ1359" s="1268"/>
      <c r="LK1359" s="1268"/>
      <c r="LL1359" s="1268"/>
      <c r="LM1359" s="1268"/>
      <c r="LN1359" s="1268"/>
      <c r="LO1359" s="1268"/>
      <c r="LP1359" s="1268"/>
      <c r="LQ1359" s="1268"/>
      <c r="LR1359" s="1268"/>
      <c r="LS1359" s="1268"/>
      <c r="LT1359" s="1268"/>
      <c r="LU1359" s="1268"/>
      <c r="LV1359" s="1268"/>
      <c r="LW1359" s="1268"/>
      <c r="LX1359" s="1268"/>
      <c r="LY1359" s="1268"/>
      <c r="LZ1359" s="1268"/>
      <c r="MA1359" s="1268"/>
      <c r="MB1359" s="1268"/>
      <c r="MC1359" s="1268"/>
      <c r="MD1359" s="1268"/>
      <c r="ME1359" s="1268"/>
      <c r="MF1359" s="1268"/>
      <c r="MG1359" s="1268"/>
      <c r="MH1359" s="1268"/>
      <c r="MI1359" s="1268"/>
      <c r="MJ1359" s="1268"/>
      <c r="MK1359" s="1268"/>
      <c r="ML1359" s="1268"/>
      <c r="MM1359" s="1268"/>
      <c r="MN1359" s="1268"/>
      <c r="MO1359" s="1268"/>
      <c r="MP1359" s="1268"/>
      <c r="MQ1359" s="1268"/>
      <c r="MR1359" s="1268"/>
      <c r="MS1359" s="1268"/>
      <c r="MT1359" s="1268"/>
      <c r="MU1359" s="1268"/>
      <c r="MV1359" s="1268"/>
      <c r="MW1359" s="1268"/>
      <c r="MX1359" s="1268"/>
      <c r="MY1359" s="1268"/>
      <c r="MZ1359" s="1268"/>
      <c r="NA1359" s="1268"/>
      <c r="NB1359" s="1268"/>
      <c r="NC1359" s="1268"/>
      <c r="ND1359" s="1268"/>
      <c r="NE1359" s="1268"/>
      <c r="NF1359" s="1268"/>
      <c r="NG1359" s="1268"/>
      <c r="NH1359" s="1268"/>
      <c r="NI1359" s="1268"/>
      <c r="NJ1359" s="1268"/>
      <c r="NK1359" s="1268"/>
      <c r="NL1359" s="1268"/>
      <c r="NM1359" s="1268"/>
      <c r="NN1359" s="1268"/>
      <c r="NO1359" s="1268"/>
      <c r="NP1359" s="1268"/>
      <c r="NQ1359" s="1268"/>
      <c r="NR1359" s="1268"/>
      <c r="NS1359" s="1268"/>
      <c r="NT1359" s="1268"/>
      <c r="NU1359" s="1268"/>
      <c r="NV1359" s="1268"/>
      <c r="NW1359" s="1268"/>
      <c r="NX1359" s="1268"/>
      <c r="NY1359" s="1268"/>
      <c r="NZ1359" s="1268"/>
      <c r="OA1359" s="1268"/>
      <c r="OB1359" s="1268"/>
      <c r="OC1359" s="1268"/>
      <c r="OD1359" s="1268"/>
      <c r="OE1359" s="1268"/>
      <c r="OF1359" s="1268"/>
      <c r="OG1359" s="1268"/>
      <c r="OH1359" s="1268"/>
      <c r="OI1359" s="1268"/>
      <c r="OJ1359" s="1268"/>
      <c r="OK1359" s="1268"/>
      <c r="OL1359" s="1268"/>
      <c r="OM1359" s="1268"/>
      <c r="ON1359" s="1268"/>
      <c r="OO1359" s="1268"/>
      <c r="OP1359" s="1268"/>
      <c r="OQ1359" s="1268"/>
      <c r="OR1359" s="1268"/>
      <c r="OS1359" s="1268"/>
      <c r="OT1359" s="1268"/>
      <c r="OU1359" s="1268"/>
      <c r="OV1359" s="1268"/>
      <c r="OW1359" s="1268"/>
      <c r="OX1359" s="1268"/>
      <c r="OY1359" s="1268"/>
      <c r="OZ1359" s="1268"/>
      <c r="PA1359" s="1268"/>
      <c r="PB1359" s="1268"/>
      <c r="PC1359" s="1268"/>
      <c r="PD1359" s="1268"/>
      <c r="PE1359" s="1268"/>
      <c r="PF1359" s="1268"/>
      <c r="PG1359" s="1268"/>
      <c r="PH1359" s="1268"/>
      <c r="PI1359" s="1268"/>
      <c r="PJ1359" s="1268"/>
      <c r="PK1359" s="1268"/>
      <c r="PL1359" s="1268"/>
      <c r="PM1359" s="1268"/>
      <c r="PN1359" s="1268"/>
      <c r="PO1359" s="1268"/>
      <c r="PP1359" s="1268"/>
      <c r="PQ1359" s="1268"/>
      <c r="PR1359" s="1268"/>
      <c r="PS1359" s="1268"/>
      <c r="PT1359" s="1268"/>
      <c r="PU1359" s="1268"/>
      <c r="PV1359" s="1268"/>
      <c r="PW1359" s="1268"/>
      <c r="PX1359" s="1268"/>
      <c r="PY1359" s="1268"/>
      <c r="PZ1359" s="1268"/>
      <c r="QA1359" s="1268"/>
      <c r="QB1359" s="1268"/>
      <c r="QC1359" s="1268"/>
      <c r="QD1359" s="1268"/>
      <c r="QE1359" s="1268"/>
      <c r="QF1359" s="1268"/>
      <c r="QG1359" s="1268"/>
      <c r="QH1359" s="1268"/>
      <c r="QI1359" s="1268"/>
      <c r="QJ1359" s="1268"/>
      <c r="QK1359" s="1268"/>
      <c r="QL1359" s="1268"/>
      <c r="QM1359" s="1268"/>
      <c r="QN1359" s="1268"/>
      <c r="QO1359" s="1268"/>
      <c r="QP1359" s="1268"/>
      <c r="QQ1359" s="1268"/>
      <c r="QR1359" s="1268"/>
      <c r="QS1359" s="1268"/>
      <c r="QT1359" s="1268"/>
      <c r="QU1359" s="1268"/>
      <c r="QV1359" s="1268"/>
      <c r="QW1359" s="1268"/>
      <c r="QX1359" s="1268"/>
      <c r="QY1359" s="1268"/>
      <c r="QZ1359" s="1268"/>
      <c r="RA1359" s="1268"/>
      <c r="RB1359" s="1268"/>
      <c r="RC1359" s="1268"/>
      <c r="RD1359" s="1268"/>
      <c r="RE1359" s="1268"/>
      <c r="RF1359" s="1268"/>
      <c r="RG1359" s="1268"/>
      <c r="RH1359" s="1268"/>
      <c r="RI1359" s="1268"/>
      <c r="RJ1359" s="1268"/>
      <c r="RK1359" s="1268"/>
      <c r="RL1359" s="1268"/>
      <c r="RM1359" s="1268"/>
      <c r="RN1359" s="1268"/>
      <c r="RO1359" s="1268"/>
      <c r="RP1359" s="1268"/>
      <c r="RQ1359" s="1268"/>
      <c r="RR1359" s="1268"/>
      <c r="RS1359" s="1268"/>
      <c r="RT1359" s="1268"/>
      <c r="RU1359" s="1268"/>
      <c r="RV1359" s="1268"/>
      <c r="RW1359" s="1268"/>
      <c r="RX1359" s="1268"/>
      <c r="RY1359" s="1268"/>
      <c r="RZ1359" s="1268"/>
      <c r="SA1359" s="1268"/>
      <c r="SB1359" s="1268"/>
      <c r="SC1359" s="1268"/>
      <c r="SD1359" s="1268"/>
      <c r="SE1359" s="1268"/>
      <c r="SF1359" s="1268"/>
      <c r="SG1359" s="1268"/>
      <c r="SH1359" s="1268"/>
      <c r="SI1359" s="1268"/>
      <c r="SJ1359" s="1268"/>
      <c r="SK1359" s="1268"/>
      <c r="SL1359" s="1268"/>
      <c r="SM1359" s="1268"/>
      <c r="SN1359" s="1268"/>
      <c r="SO1359" s="1268"/>
      <c r="SP1359" s="1268"/>
      <c r="SQ1359" s="1268"/>
      <c r="SR1359" s="1268"/>
      <c r="SS1359" s="1268"/>
      <c r="ST1359" s="1268"/>
      <c r="SU1359" s="1268"/>
      <c r="SV1359" s="1268"/>
      <c r="SW1359" s="1268"/>
      <c r="SX1359" s="1268"/>
      <c r="SY1359" s="1268"/>
      <c r="SZ1359" s="1268"/>
      <c r="TA1359" s="1268"/>
      <c r="TB1359" s="1268"/>
      <c r="TC1359" s="1268"/>
      <c r="TD1359" s="1268"/>
      <c r="TE1359" s="1268"/>
      <c r="TF1359" s="1268"/>
      <c r="TG1359" s="1268"/>
      <c r="TH1359" s="1268"/>
      <c r="TI1359" s="1268"/>
      <c r="TJ1359" s="1268"/>
      <c r="TK1359" s="1268"/>
      <c r="TL1359" s="1268"/>
      <c r="TM1359" s="1268"/>
      <c r="TN1359" s="1268"/>
      <c r="TO1359" s="1268"/>
      <c r="TP1359" s="1268"/>
      <c r="TQ1359" s="1268"/>
      <c r="TR1359" s="1268"/>
      <c r="TS1359" s="1268"/>
      <c r="TT1359" s="1268"/>
      <c r="TU1359" s="1268"/>
      <c r="TV1359" s="1268"/>
      <c r="TW1359" s="1268"/>
      <c r="TX1359" s="1268"/>
      <c r="TY1359" s="1268"/>
      <c r="TZ1359" s="1268"/>
      <c r="UA1359" s="1268"/>
      <c r="UB1359" s="1268"/>
      <c r="UC1359" s="1268"/>
      <c r="UD1359" s="1268"/>
      <c r="UE1359" s="1268"/>
      <c r="UF1359" s="1268"/>
      <c r="UG1359" s="1268"/>
    </row>
    <row r="1360" spans="1:553" s="1262" customFormat="1" ht="25.15" customHeight="1">
      <c r="A1360" s="411"/>
      <c r="B1360" s="411"/>
      <c r="C1360" s="1595" t="s">
        <v>1067</v>
      </c>
      <c r="D1360" s="1596" t="s">
        <v>832</v>
      </c>
      <c r="E1360" s="1596" t="s">
        <v>832</v>
      </c>
      <c r="F1360" s="1596" t="s">
        <v>832</v>
      </c>
      <c r="G1360" s="1226" t="s">
        <v>46</v>
      </c>
      <c r="H1360" s="502"/>
      <c r="I1360" s="1293">
        <f>(157.21*100/1100)*(12-(4-2))*1</f>
        <v>142.91818181818181</v>
      </c>
      <c r="J1360" s="1243">
        <v>15400</v>
      </c>
      <c r="K1360" s="1286">
        <v>0.7</v>
      </c>
      <c r="L1360" s="573">
        <f>ROUND(PRODUCT(I1360:K1360),0)</f>
        <v>1540658</v>
      </c>
      <c r="M1360" s="411"/>
      <c r="N1360" s="411"/>
      <c r="O1360" s="425"/>
      <c r="P1360" s="356"/>
      <c r="Q1360" s="610"/>
      <c r="R1360" s="1228"/>
      <c r="S1360" s="308"/>
      <c r="T1360" s="308"/>
      <c r="U1360" s="308"/>
      <c r="V1360" s="308"/>
      <c r="W1360" s="308"/>
      <c r="X1360" s="308"/>
      <c r="Y1360" s="308"/>
      <c r="Z1360" s="604"/>
      <c r="AA1360" s="308"/>
      <c r="AB1360" s="308"/>
      <c r="AC1360" s="486"/>
      <c r="AD1360" s="486"/>
      <c r="AE1360" s="486"/>
      <c r="AF1360" s="486"/>
      <c r="AG1360" s="486"/>
      <c r="AH1360" s="486"/>
      <c r="AI1360" s="486"/>
      <c r="AJ1360" s="486"/>
      <c r="AK1360" s="486"/>
      <c r="AL1360" s="1267"/>
      <c r="AM1360" s="1268"/>
      <c r="AN1360" s="1268"/>
      <c r="AO1360" s="1268"/>
      <c r="AP1360" s="1268"/>
      <c r="AQ1360" s="1268"/>
      <c r="AR1360" s="1268"/>
      <c r="AS1360" s="1268"/>
      <c r="AT1360" s="1268"/>
      <c r="AU1360" s="1268"/>
      <c r="AV1360" s="1268"/>
      <c r="AW1360" s="1268"/>
      <c r="AX1360" s="1268"/>
      <c r="AY1360" s="1268"/>
      <c r="AZ1360" s="1268"/>
      <c r="BA1360" s="1268"/>
      <c r="BB1360" s="1268"/>
      <c r="BC1360" s="1268"/>
      <c r="BD1360" s="1268"/>
      <c r="BE1360" s="1268"/>
      <c r="BF1360" s="1268"/>
      <c r="BG1360" s="1268"/>
      <c r="BH1360" s="1268"/>
      <c r="BI1360" s="1268"/>
      <c r="BJ1360" s="1268"/>
      <c r="BK1360" s="1268"/>
      <c r="BL1360" s="1268"/>
      <c r="BM1360" s="1268"/>
      <c r="BN1360" s="1268"/>
      <c r="BO1360" s="1268"/>
      <c r="BP1360" s="1268"/>
      <c r="BQ1360" s="1268"/>
      <c r="BR1360" s="1268"/>
      <c r="BS1360" s="1268"/>
      <c r="BT1360" s="1268"/>
      <c r="BU1360" s="1268"/>
      <c r="BV1360" s="1268"/>
      <c r="BW1360" s="1268"/>
      <c r="BX1360" s="1268"/>
      <c r="BY1360" s="1268"/>
      <c r="BZ1360" s="1268"/>
      <c r="CA1360" s="1268"/>
      <c r="CB1360" s="1268"/>
      <c r="CC1360" s="1268"/>
      <c r="CD1360" s="1268"/>
      <c r="CE1360" s="1268"/>
      <c r="CF1360" s="1268"/>
      <c r="CG1360" s="1268"/>
      <c r="CH1360" s="1268"/>
      <c r="CI1360" s="1268"/>
      <c r="CJ1360" s="1268"/>
      <c r="CK1360" s="1268"/>
      <c r="CL1360" s="1268"/>
      <c r="CM1360" s="1268"/>
      <c r="CN1360" s="1268"/>
      <c r="CO1360" s="1268"/>
      <c r="CP1360" s="1268"/>
      <c r="CQ1360" s="1268"/>
      <c r="CR1360" s="1268"/>
      <c r="CS1360" s="1268"/>
      <c r="CT1360" s="1268"/>
      <c r="CU1360" s="1268"/>
      <c r="CV1360" s="1268"/>
      <c r="CW1360" s="1268"/>
      <c r="CX1360" s="1268"/>
      <c r="CY1360" s="1268"/>
      <c r="CZ1360" s="1268"/>
      <c r="DA1360" s="1268"/>
      <c r="DB1360" s="1268"/>
      <c r="DC1360" s="1268"/>
      <c r="DD1360" s="1268"/>
      <c r="DE1360" s="1268"/>
      <c r="DF1360" s="1268"/>
      <c r="DG1360" s="1268"/>
      <c r="DH1360" s="1268"/>
      <c r="DI1360" s="1268"/>
      <c r="DJ1360" s="1268"/>
      <c r="DK1360" s="1268"/>
      <c r="DL1360" s="1268"/>
      <c r="DM1360" s="1268"/>
      <c r="DN1360" s="1268"/>
      <c r="DO1360" s="1268"/>
      <c r="DP1360" s="1268"/>
      <c r="DQ1360" s="1268"/>
      <c r="DR1360" s="1268"/>
      <c r="DS1360" s="1268"/>
      <c r="DT1360" s="1268"/>
      <c r="DU1360" s="1268"/>
      <c r="DV1360" s="1268"/>
      <c r="DW1360" s="1268"/>
      <c r="DX1360" s="1268"/>
      <c r="DY1360" s="1268"/>
      <c r="DZ1360" s="1268"/>
      <c r="EA1360" s="1268"/>
      <c r="EB1360" s="1268"/>
      <c r="EC1360" s="1268"/>
      <c r="ED1360" s="1268"/>
      <c r="EE1360" s="1268"/>
      <c r="EF1360" s="1268"/>
      <c r="EG1360" s="1268"/>
      <c r="EH1360" s="1268"/>
      <c r="EI1360" s="1268"/>
      <c r="EJ1360" s="1268"/>
      <c r="EK1360" s="1268"/>
      <c r="EL1360" s="1268"/>
      <c r="EM1360" s="1268"/>
      <c r="EN1360" s="1268"/>
      <c r="EO1360" s="1268"/>
      <c r="EP1360" s="1268"/>
      <c r="EQ1360" s="1268"/>
      <c r="ER1360" s="1268"/>
      <c r="ES1360" s="1268"/>
      <c r="ET1360" s="1268"/>
      <c r="EU1360" s="1268"/>
      <c r="EV1360" s="1268"/>
      <c r="EW1360" s="1268"/>
      <c r="EX1360" s="1268"/>
      <c r="EY1360" s="1268"/>
      <c r="EZ1360" s="1268"/>
      <c r="FA1360" s="1268"/>
      <c r="FB1360" s="1268"/>
      <c r="FC1360" s="1268"/>
      <c r="FD1360" s="1268"/>
      <c r="FE1360" s="1268"/>
      <c r="FF1360" s="1268"/>
      <c r="FG1360" s="1268"/>
      <c r="FH1360" s="1268"/>
      <c r="FI1360" s="1268"/>
      <c r="FJ1360" s="1268"/>
      <c r="FK1360" s="1268"/>
      <c r="FL1360" s="1268"/>
      <c r="FM1360" s="1268"/>
      <c r="FN1360" s="1268"/>
      <c r="FO1360" s="1268"/>
      <c r="FP1360" s="1268"/>
      <c r="FQ1360" s="1268"/>
      <c r="FR1360" s="1268"/>
      <c r="FS1360" s="1268"/>
      <c r="FT1360" s="1268"/>
      <c r="FU1360" s="1268"/>
      <c r="FV1360" s="1268"/>
      <c r="FW1360" s="1268"/>
      <c r="FX1360" s="1268"/>
      <c r="FY1360" s="1268"/>
      <c r="FZ1360" s="1268"/>
      <c r="GA1360" s="1268"/>
      <c r="GB1360" s="1268"/>
      <c r="GC1360" s="1268"/>
      <c r="GD1360" s="1268"/>
      <c r="GE1360" s="1268"/>
      <c r="GF1360" s="1268"/>
      <c r="GG1360" s="1268"/>
      <c r="GH1360" s="1268"/>
      <c r="GI1360" s="1268"/>
      <c r="GJ1360" s="1268"/>
      <c r="GK1360" s="1268"/>
      <c r="GL1360" s="1268"/>
      <c r="GM1360" s="1268"/>
      <c r="GN1360" s="1268"/>
      <c r="GO1360" s="1268"/>
      <c r="GP1360" s="1268"/>
      <c r="GQ1360" s="1268"/>
      <c r="GR1360" s="1268"/>
      <c r="GS1360" s="1268"/>
      <c r="GT1360" s="1268"/>
      <c r="GU1360" s="1268"/>
      <c r="GV1360" s="1268"/>
      <c r="GW1360" s="1268"/>
      <c r="GX1360" s="1268"/>
      <c r="GY1360" s="1268"/>
      <c r="GZ1360" s="1268"/>
      <c r="HA1360" s="1268"/>
      <c r="HB1360" s="1268"/>
      <c r="HC1360" s="1268"/>
      <c r="HD1360" s="1268"/>
      <c r="HE1360" s="1268"/>
      <c r="HF1360" s="1268"/>
      <c r="HG1360" s="1268"/>
      <c r="HH1360" s="1268"/>
      <c r="HI1360" s="1268"/>
      <c r="HJ1360" s="1268"/>
      <c r="HK1360" s="1268"/>
      <c r="HL1360" s="1268"/>
      <c r="HM1360" s="1268"/>
      <c r="HN1360" s="1268"/>
      <c r="HO1360" s="1268"/>
      <c r="HP1360" s="1268"/>
      <c r="HQ1360" s="1268"/>
      <c r="HR1360" s="1268"/>
      <c r="HS1360" s="1268"/>
      <c r="HT1360" s="1268"/>
      <c r="HU1360" s="1268"/>
      <c r="HV1360" s="1268"/>
      <c r="HW1360" s="1268"/>
      <c r="HX1360" s="1268"/>
      <c r="HY1360" s="1268"/>
      <c r="HZ1360" s="1268"/>
      <c r="IA1360" s="1268"/>
      <c r="IB1360" s="1268"/>
      <c r="IC1360" s="1268"/>
      <c r="ID1360" s="1268"/>
      <c r="IE1360" s="1268"/>
      <c r="IF1360" s="1268"/>
      <c r="IG1360" s="1268"/>
      <c r="IH1360" s="1268"/>
      <c r="II1360" s="1268"/>
      <c r="IJ1360" s="1268"/>
      <c r="IK1360" s="1268"/>
      <c r="IL1360" s="1268"/>
      <c r="IM1360" s="1268"/>
      <c r="IN1360" s="1268"/>
      <c r="IO1360" s="1268"/>
      <c r="IP1360" s="1268"/>
      <c r="IQ1360" s="1268"/>
      <c r="IR1360" s="1268"/>
      <c r="IS1360" s="1268"/>
      <c r="IT1360" s="1268"/>
      <c r="IU1360" s="1268"/>
      <c r="IV1360" s="1268"/>
      <c r="IW1360" s="1268"/>
      <c r="IX1360" s="1268"/>
      <c r="IY1360" s="1268"/>
      <c r="IZ1360" s="1268"/>
      <c r="JA1360" s="1268"/>
      <c r="JB1360" s="1268"/>
      <c r="JC1360" s="1268"/>
      <c r="JD1360" s="1268"/>
      <c r="JE1360" s="1268"/>
      <c r="JF1360" s="1268"/>
      <c r="JG1360" s="1268"/>
      <c r="JH1360" s="1268"/>
      <c r="JI1360" s="1268"/>
      <c r="JJ1360" s="1268"/>
      <c r="JK1360" s="1268"/>
      <c r="JL1360" s="1268"/>
      <c r="JM1360" s="1268"/>
      <c r="JN1360" s="1268"/>
      <c r="JO1360" s="1268"/>
      <c r="JP1360" s="1268"/>
      <c r="JQ1360" s="1268"/>
      <c r="JR1360" s="1268"/>
      <c r="JS1360" s="1268"/>
      <c r="JT1360" s="1268"/>
      <c r="JU1360" s="1268"/>
      <c r="JV1360" s="1268"/>
      <c r="JW1360" s="1268"/>
      <c r="JX1360" s="1268"/>
      <c r="JY1360" s="1268"/>
      <c r="JZ1360" s="1268"/>
      <c r="KA1360" s="1268"/>
      <c r="KB1360" s="1268"/>
      <c r="KC1360" s="1268"/>
      <c r="KD1360" s="1268"/>
      <c r="KE1360" s="1268"/>
      <c r="KF1360" s="1268"/>
      <c r="KG1360" s="1268"/>
      <c r="KH1360" s="1268"/>
      <c r="KI1360" s="1268"/>
      <c r="KJ1360" s="1268"/>
      <c r="KK1360" s="1268"/>
      <c r="KL1360" s="1268"/>
      <c r="KM1360" s="1268"/>
      <c r="KN1360" s="1268"/>
      <c r="KO1360" s="1268"/>
      <c r="KP1360" s="1268"/>
      <c r="KQ1360" s="1268"/>
      <c r="KR1360" s="1268"/>
      <c r="KS1360" s="1268"/>
      <c r="KT1360" s="1268"/>
      <c r="KU1360" s="1268"/>
      <c r="KV1360" s="1268"/>
      <c r="KW1360" s="1268"/>
      <c r="KX1360" s="1268"/>
      <c r="KY1360" s="1268"/>
      <c r="KZ1360" s="1268"/>
      <c r="LA1360" s="1268"/>
      <c r="LB1360" s="1268"/>
      <c r="LC1360" s="1268"/>
      <c r="LD1360" s="1268"/>
      <c r="LE1360" s="1268"/>
      <c r="LF1360" s="1268"/>
      <c r="LG1360" s="1268"/>
      <c r="LH1360" s="1268"/>
      <c r="LI1360" s="1268"/>
      <c r="LJ1360" s="1268"/>
      <c r="LK1360" s="1268"/>
      <c r="LL1360" s="1268"/>
      <c r="LM1360" s="1268"/>
      <c r="LN1360" s="1268"/>
      <c r="LO1360" s="1268"/>
      <c r="LP1360" s="1268"/>
      <c r="LQ1360" s="1268"/>
      <c r="LR1360" s="1268"/>
      <c r="LS1360" s="1268"/>
      <c r="LT1360" s="1268"/>
      <c r="LU1360" s="1268"/>
      <c r="LV1360" s="1268"/>
      <c r="LW1360" s="1268"/>
      <c r="LX1360" s="1268"/>
      <c r="LY1360" s="1268"/>
      <c r="LZ1360" s="1268"/>
      <c r="MA1360" s="1268"/>
      <c r="MB1360" s="1268"/>
      <c r="MC1360" s="1268"/>
      <c r="MD1360" s="1268"/>
      <c r="ME1360" s="1268"/>
      <c r="MF1360" s="1268"/>
      <c r="MG1360" s="1268"/>
      <c r="MH1360" s="1268"/>
      <c r="MI1360" s="1268"/>
      <c r="MJ1360" s="1268"/>
      <c r="MK1360" s="1268"/>
      <c r="ML1360" s="1268"/>
      <c r="MM1360" s="1268"/>
      <c r="MN1360" s="1268"/>
      <c r="MO1360" s="1268"/>
      <c r="MP1360" s="1268"/>
      <c r="MQ1360" s="1268"/>
      <c r="MR1360" s="1268"/>
      <c r="MS1360" s="1268"/>
      <c r="MT1360" s="1268"/>
      <c r="MU1360" s="1268"/>
      <c r="MV1360" s="1268"/>
      <c r="MW1360" s="1268"/>
      <c r="MX1360" s="1268"/>
      <c r="MY1360" s="1268"/>
      <c r="MZ1360" s="1268"/>
      <c r="NA1360" s="1268"/>
      <c r="NB1360" s="1268"/>
      <c r="NC1360" s="1268"/>
      <c r="ND1360" s="1268"/>
      <c r="NE1360" s="1268"/>
      <c r="NF1360" s="1268"/>
      <c r="NG1360" s="1268"/>
      <c r="NH1360" s="1268"/>
      <c r="NI1360" s="1268"/>
      <c r="NJ1360" s="1268"/>
      <c r="NK1360" s="1268"/>
      <c r="NL1360" s="1268"/>
      <c r="NM1360" s="1268"/>
      <c r="NN1360" s="1268"/>
      <c r="NO1360" s="1268"/>
      <c r="NP1360" s="1268"/>
      <c r="NQ1360" s="1268"/>
      <c r="NR1360" s="1268"/>
      <c r="NS1360" s="1268"/>
      <c r="NT1360" s="1268"/>
      <c r="NU1360" s="1268"/>
      <c r="NV1360" s="1268"/>
      <c r="NW1360" s="1268"/>
      <c r="NX1360" s="1268"/>
      <c r="NY1360" s="1268"/>
      <c r="NZ1360" s="1268"/>
      <c r="OA1360" s="1268"/>
      <c r="OB1360" s="1268"/>
      <c r="OC1360" s="1268"/>
      <c r="OD1360" s="1268"/>
      <c r="OE1360" s="1268"/>
      <c r="OF1360" s="1268"/>
      <c r="OG1360" s="1268"/>
      <c r="OH1360" s="1268"/>
      <c r="OI1360" s="1268"/>
      <c r="OJ1360" s="1268"/>
      <c r="OK1360" s="1268"/>
      <c r="OL1360" s="1268"/>
      <c r="OM1360" s="1268"/>
      <c r="ON1360" s="1268"/>
      <c r="OO1360" s="1268"/>
      <c r="OP1360" s="1268"/>
      <c r="OQ1360" s="1268"/>
      <c r="OR1360" s="1268"/>
      <c r="OS1360" s="1268"/>
      <c r="OT1360" s="1268"/>
      <c r="OU1360" s="1268"/>
      <c r="OV1360" s="1268"/>
      <c r="OW1360" s="1268"/>
      <c r="OX1360" s="1268"/>
      <c r="OY1360" s="1268"/>
      <c r="OZ1360" s="1268"/>
      <c r="PA1360" s="1268"/>
      <c r="PB1360" s="1268"/>
      <c r="PC1360" s="1268"/>
      <c r="PD1360" s="1268"/>
      <c r="PE1360" s="1268"/>
      <c r="PF1360" s="1268"/>
      <c r="PG1360" s="1268"/>
      <c r="PH1360" s="1268"/>
      <c r="PI1360" s="1268"/>
      <c r="PJ1360" s="1268"/>
      <c r="PK1360" s="1268"/>
      <c r="PL1360" s="1268"/>
      <c r="PM1360" s="1268"/>
      <c r="PN1360" s="1268"/>
      <c r="PO1360" s="1268"/>
      <c r="PP1360" s="1268"/>
      <c r="PQ1360" s="1268"/>
      <c r="PR1360" s="1268"/>
      <c r="PS1360" s="1268"/>
      <c r="PT1360" s="1268"/>
      <c r="PU1360" s="1268"/>
      <c r="PV1360" s="1268"/>
      <c r="PW1360" s="1268"/>
      <c r="PX1360" s="1268"/>
      <c r="PY1360" s="1268"/>
      <c r="PZ1360" s="1268"/>
      <c r="QA1360" s="1268"/>
      <c r="QB1360" s="1268"/>
      <c r="QC1360" s="1268"/>
      <c r="QD1360" s="1268"/>
      <c r="QE1360" s="1268"/>
      <c r="QF1360" s="1268"/>
      <c r="QG1360" s="1268"/>
      <c r="QH1360" s="1268"/>
      <c r="QI1360" s="1268"/>
      <c r="QJ1360" s="1268"/>
      <c r="QK1360" s="1268"/>
      <c r="QL1360" s="1268"/>
      <c r="QM1360" s="1268"/>
      <c r="QN1360" s="1268"/>
      <c r="QO1360" s="1268"/>
      <c r="QP1360" s="1268"/>
      <c r="QQ1360" s="1268"/>
      <c r="QR1360" s="1268"/>
      <c r="QS1360" s="1268"/>
      <c r="QT1360" s="1268"/>
      <c r="QU1360" s="1268"/>
      <c r="QV1360" s="1268"/>
      <c r="QW1360" s="1268"/>
      <c r="QX1360" s="1268"/>
      <c r="QY1360" s="1268"/>
      <c r="QZ1360" s="1268"/>
      <c r="RA1360" s="1268"/>
      <c r="RB1360" s="1268"/>
      <c r="RC1360" s="1268"/>
      <c r="RD1360" s="1268"/>
      <c r="RE1360" s="1268"/>
      <c r="RF1360" s="1268"/>
      <c r="RG1360" s="1268"/>
      <c r="RH1360" s="1268"/>
      <c r="RI1360" s="1268"/>
      <c r="RJ1360" s="1268"/>
      <c r="RK1360" s="1268"/>
      <c r="RL1360" s="1268"/>
      <c r="RM1360" s="1268"/>
      <c r="RN1360" s="1268"/>
      <c r="RO1360" s="1268"/>
      <c r="RP1360" s="1268"/>
      <c r="RQ1360" s="1268"/>
      <c r="RR1360" s="1268"/>
      <c r="RS1360" s="1268"/>
      <c r="RT1360" s="1268"/>
      <c r="RU1360" s="1268"/>
      <c r="RV1360" s="1268"/>
      <c r="RW1360" s="1268"/>
      <c r="RX1360" s="1268"/>
      <c r="RY1360" s="1268"/>
      <c r="RZ1360" s="1268"/>
      <c r="SA1360" s="1268"/>
      <c r="SB1360" s="1268"/>
      <c r="SC1360" s="1268"/>
      <c r="SD1360" s="1268"/>
      <c r="SE1360" s="1268"/>
      <c r="SF1360" s="1268"/>
      <c r="SG1360" s="1268"/>
      <c r="SH1360" s="1268"/>
      <c r="SI1360" s="1268"/>
      <c r="SJ1360" s="1268"/>
      <c r="SK1360" s="1268"/>
      <c r="SL1360" s="1268"/>
      <c r="SM1360" s="1268"/>
      <c r="SN1360" s="1268"/>
      <c r="SO1360" s="1268"/>
      <c r="SP1360" s="1268"/>
      <c r="SQ1360" s="1268"/>
      <c r="SR1360" s="1268"/>
      <c r="SS1360" s="1268"/>
      <c r="ST1360" s="1268"/>
      <c r="SU1360" s="1268"/>
      <c r="SV1360" s="1268"/>
      <c r="SW1360" s="1268"/>
      <c r="SX1360" s="1268"/>
      <c r="SY1360" s="1268"/>
      <c r="SZ1360" s="1268"/>
      <c r="TA1360" s="1268"/>
      <c r="TB1360" s="1268"/>
      <c r="TC1360" s="1268"/>
      <c r="TD1360" s="1268"/>
      <c r="TE1360" s="1268"/>
      <c r="TF1360" s="1268"/>
      <c r="TG1360" s="1268"/>
      <c r="TH1360" s="1268"/>
      <c r="TI1360" s="1268"/>
      <c r="TJ1360" s="1268"/>
      <c r="TK1360" s="1268"/>
      <c r="TL1360" s="1268"/>
      <c r="TM1360" s="1268"/>
      <c r="TN1360" s="1268"/>
      <c r="TO1360" s="1268"/>
      <c r="TP1360" s="1268"/>
      <c r="TQ1360" s="1268"/>
      <c r="TR1360" s="1268"/>
      <c r="TS1360" s="1268"/>
      <c r="TT1360" s="1268"/>
      <c r="TU1360" s="1268"/>
      <c r="TV1360" s="1268"/>
      <c r="TW1360" s="1268"/>
      <c r="TX1360" s="1268"/>
      <c r="TY1360" s="1268"/>
      <c r="TZ1360" s="1268"/>
      <c r="UA1360" s="1268"/>
      <c r="UB1360" s="1268"/>
      <c r="UC1360" s="1268"/>
      <c r="UD1360" s="1268"/>
      <c r="UE1360" s="1268"/>
      <c r="UF1360" s="1268"/>
      <c r="UG1360" s="1268"/>
    </row>
    <row r="1361" spans="1:553" s="1262" customFormat="1" ht="25.15" customHeight="1">
      <c r="A1361" s="414"/>
      <c r="B1361" s="414"/>
      <c r="C1361" s="1609" t="s">
        <v>1061</v>
      </c>
      <c r="D1361" s="1461" t="s">
        <v>831</v>
      </c>
      <c r="E1361" s="1461" t="s">
        <v>831</v>
      </c>
      <c r="F1361" s="1462" t="s">
        <v>831</v>
      </c>
      <c r="G1361" s="511" t="s">
        <v>46</v>
      </c>
      <c r="H1361" s="504"/>
      <c r="I1361" s="504">
        <f>(31.98*100/400)*(17-(4-3))*2</f>
        <v>255.84</v>
      </c>
      <c r="J1361" s="512">
        <v>5800</v>
      </c>
      <c r="K1361" s="715">
        <v>0.7</v>
      </c>
      <c r="L1361" s="512">
        <f>I1361*J1361*K1361</f>
        <v>1038710.3999999999</v>
      </c>
      <c r="M1361" s="411"/>
      <c r="N1361" s="411"/>
      <c r="O1361" s="425"/>
      <c r="P1361" s="356"/>
      <c r="Q1361" s="610"/>
      <c r="R1361" s="1228"/>
      <c r="S1361" s="308"/>
      <c r="T1361" s="308"/>
      <c r="U1361" s="308"/>
      <c r="V1361" s="308"/>
      <c r="W1361" s="308"/>
      <c r="X1361" s="308"/>
      <c r="Y1361" s="308"/>
      <c r="Z1361" s="604"/>
      <c r="AA1361" s="308"/>
      <c r="AB1361" s="308"/>
      <c r="AC1361" s="486"/>
      <c r="AD1361" s="486"/>
      <c r="AE1361" s="486"/>
      <c r="AF1361" s="486"/>
      <c r="AG1361" s="486"/>
      <c r="AH1361" s="486"/>
      <c r="AI1361" s="486"/>
      <c r="AJ1361" s="486"/>
      <c r="AK1361" s="486"/>
      <c r="AL1361" s="1267"/>
      <c r="AM1361" s="1268"/>
      <c r="AN1361" s="1268"/>
      <c r="AO1361" s="1268"/>
      <c r="AP1361" s="1268"/>
      <c r="AQ1361" s="1268"/>
      <c r="AR1361" s="1268"/>
      <c r="AS1361" s="1268"/>
      <c r="AT1361" s="1268"/>
      <c r="AU1361" s="1268"/>
      <c r="AV1361" s="1268"/>
      <c r="AW1361" s="1268"/>
      <c r="AX1361" s="1268"/>
      <c r="AY1361" s="1268"/>
      <c r="AZ1361" s="1268"/>
      <c r="BA1361" s="1268"/>
      <c r="BB1361" s="1268"/>
      <c r="BC1361" s="1268"/>
      <c r="BD1361" s="1268"/>
      <c r="BE1361" s="1268"/>
      <c r="BF1361" s="1268"/>
      <c r="BG1361" s="1268"/>
      <c r="BH1361" s="1268"/>
      <c r="BI1361" s="1268"/>
      <c r="BJ1361" s="1268"/>
      <c r="BK1361" s="1268"/>
      <c r="BL1361" s="1268"/>
      <c r="BM1361" s="1268"/>
      <c r="BN1361" s="1268"/>
      <c r="BO1361" s="1268"/>
      <c r="BP1361" s="1268"/>
      <c r="BQ1361" s="1268"/>
      <c r="BR1361" s="1268"/>
      <c r="BS1361" s="1268"/>
      <c r="BT1361" s="1268"/>
      <c r="BU1361" s="1268"/>
      <c r="BV1361" s="1268"/>
      <c r="BW1361" s="1268"/>
      <c r="BX1361" s="1268"/>
      <c r="BY1361" s="1268"/>
      <c r="BZ1361" s="1268"/>
      <c r="CA1361" s="1268"/>
      <c r="CB1361" s="1268"/>
      <c r="CC1361" s="1268"/>
      <c r="CD1361" s="1268"/>
      <c r="CE1361" s="1268"/>
      <c r="CF1361" s="1268"/>
      <c r="CG1361" s="1268"/>
      <c r="CH1361" s="1268"/>
      <c r="CI1361" s="1268"/>
      <c r="CJ1361" s="1268"/>
      <c r="CK1361" s="1268"/>
      <c r="CL1361" s="1268"/>
      <c r="CM1361" s="1268"/>
      <c r="CN1361" s="1268"/>
      <c r="CO1361" s="1268"/>
      <c r="CP1361" s="1268"/>
      <c r="CQ1361" s="1268"/>
      <c r="CR1361" s="1268"/>
      <c r="CS1361" s="1268"/>
      <c r="CT1361" s="1268"/>
      <c r="CU1361" s="1268"/>
      <c r="CV1361" s="1268"/>
      <c r="CW1361" s="1268"/>
      <c r="CX1361" s="1268"/>
      <c r="CY1361" s="1268"/>
      <c r="CZ1361" s="1268"/>
      <c r="DA1361" s="1268"/>
      <c r="DB1361" s="1268"/>
      <c r="DC1361" s="1268"/>
      <c r="DD1361" s="1268"/>
      <c r="DE1361" s="1268"/>
      <c r="DF1361" s="1268"/>
      <c r="DG1361" s="1268"/>
      <c r="DH1361" s="1268"/>
      <c r="DI1361" s="1268"/>
      <c r="DJ1361" s="1268"/>
      <c r="DK1361" s="1268"/>
      <c r="DL1361" s="1268"/>
      <c r="DM1361" s="1268"/>
      <c r="DN1361" s="1268"/>
      <c r="DO1361" s="1268"/>
      <c r="DP1361" s="1268"/>
      <c r="DQ1361" s="1268"/>
      <c r="DR1361" s="1268"/>
      <c r="DS1361" s="1268"/>
      <c r="DT1361" s="1268"/>
      <c r="DU1361" s="1268"/>
      <c r="DV1361" s="1268"/>
      <c r="DW1361" s="1268"/>
      <c r="DX1361" s="1268"/>
      <c r="DY1361" s="1268"/>
      <c r="DZ1361" s="1268"/>
      <c r="EA1361" s="1268"/>
      <c r="EB1361" s="1268"/>
      <c r="EC1361" s="1268"/>
      <c r="ED1361" s="1268"/>
      <c r="EE1361" s="1268"/>
      <c r="EF1361" s="1268"/>
      <c r="EG1361" s="1268"/>
      <c r="EH1361" s="1268"/>
      <c r="EI1361" s="1268"/>
      <c r="EJ1361" s="1268"/>
      <c r="EK1361" s="1268"/>
      <c r="EL1361" s="1268"/>
      <c r="EM1361" s="1268"/>
      <c r="EN1361" s="1268"/>
      <c r="EO1361" s="1268"/>
      <c r="EP1361" s="1268"/>
      <c r="EQ1361" s="1268"/>
      <c r="ER1361" s="1268"/>
      <c r="ES1361" s="1268"/>
      <c r="ET1361" s="1268"/>
      <c r="EU1361" s="1268"/>
      <c r="EV1361" s="1268"/>
      <c r="EW1361" s="1268"/>
      <c r="EX1361" s="1268"/>
      <c r="EY1361" s="1268"/>
      <c r="EZ1361" s="1268"/>
      <c r="FA1361" s="1268"/>
      <c r="FB1361" s="1268"/>
      <c r="FC1361" s="1268"/>
      <c r="FD1361" s="1268"/>
      <c r="FE1361" s="1268"/>
      <c r="FF1361" s="1268"/>
      <c r="FG1361" s="1268"/>
      <c r="FH1361" s="1268"/>
      <c r="FI1361" s="1268"/>
      <c r="FJ1361" s="1268"/>
      <c r="FK1361" s="1268"/>
      <c r="FL1361" s="1268"/>
      <c r="FM1361" s="1268"/>
      <c r="FN1361" s="1268"/>
      <c r="FO1361" s="1268"/>
      <c r="FP1361" s="1268"/>
      <c r="FQ1361" s="1268"/>
      <c r="FR1361" s="1268"/>
      <c r="FS1361" s="1268"/>
      <c r="FT1361" s="1268"/>
      <c r="FU1361" s="1268"/>
      <c r="FV1361" s="1268"/>
      <c r="FW1361" s="1268"/>
      <c r="FX1361" s="1268"/>
      <c r="FY1361" s="1268"/>
      <c r="FZ1361" s="1268"/>
      <c r="GA1361" s="1268"/>
      <c r="GB1361" s="1268"/>
      <c r="GC1361" s="1268"/>
      <c r="GD1361" s="1268"/>
      <c r="GE1361" s="1268"/>
      <c r="GF1361" s="1268"/>
      <c r="GG1361" s="1268"/>
      <c r="GH1361" s="1268"/>
      <c r="GI1361" s="1268"/>
      <c r="GJ1361" s="1268"/>
      <c r="GK1361" s="1268"/>
      <c r="GL1361" s="1268"/>
      <c r="GM1361" s="1268"/>
      <c r="GN1361" s="1268"/>
      <c r="GO1361" s="1268"/>
      <c r="GP1361" s="1268"/>
      <c r="GQ1361" s="1268"/>
      <c r="GR1361" s="1268"/>
      <c r="GS1361" s="1268"/>
      <c r="GT1361" s="1268"/>
      <c r="GU1361" s="1268"/>
      <c r="GV1361" s="1268"/>
      <c r="GW1361" s="1268"/>
      <c r="GX1361" s="1268"/>
      <c r="GY1361" s="1268"/>
      <c r="GZ1361" s="1268"/>
      <c r="HA1361" s="1268"/>
      <c r="HB1361" s="1268"/>
      <c r="HC1361" s="1268"/>
      <c r="HD1361" s="1268"/>
      <c r="HE1361" s="1268"/>
      <c r="HF1361" s="1268"/>
      <c r="HG1361" s="1268"/>
      <c r="HH1361" s="1268"/>
      <c r="HI1361" s="1268"/>
      <c r="HJ1361" s="1268"/>
      <c r="HK1361" s="1268"/>
      <c r="HL1361" s="1268"/>
      <c r="HM1361" s="1268"/>
      <c r="HN1361" s="1268"/>
      <c r="HO1361" s="1268"/>
      <c r="HP1361" s="1268"/>
      <c r="HQ1361" s="1268"/>
      <c r="HR1361" s="1268"/>
      <c r="HS1361" s="1268"/>
      <c r="HT1361" s="1268"/>
      <c r="HU1361" s="1268"/>
      <c r="HV1361" s="1268"/>
      <c r="HW1361" s="1268"/>
      <c r="HX1361" s="1268"/>
      <c r="HY1361" s="1268"/>
      <c r="HZ1361" s="1268"/>
      <c r="IA1361" s="1268"/>
      <c r="IB1361" s="1268"/>
      <c r="IC1361" s="1268"/>
      <c r="ID1361" s="1268"/>
      <c r="IE1361" s="1268"/>
      <c r="IF1361" s="1268"/>
      <c r="IG1361" s="1268"/>
      <c r="IH1361" s="1268"/>
      <c r="II1361" s="1268"/>
      <c r="IJ1361" s="1268"/>
      <c r="IK1361" s="1268"/>
      <c r="IL1361" s="1268"/>
      <c r="IM1361" s="1268"/>
      <c r="IN1361" s="1268"/>
      <c r="IO1361" s="1268"/>
      <c r="IP1361" s="1268"/>
      <c r="IQ1361" s="1268"/>
      <c r="IR1361" s="1268"/>
      <c r="IS1361" s="1268"/>
      <c r="IT1361" s="1268"/>
      <c r="IU1361" s="1268"/>
      <c r="IV1361" s="1268"/>
      <c r="IW1361" s="1268"/>
      <c r="IX1361" s="1268"/>
      <c r="IY1361" s="1268"/>
      <c r="IZ1361" s="1268"/>
      <c r="JA1361" s="1268"/>
      <c r="JB1361" s="1268"/>
      <c r="JC1361" s="1268"/>
      <c r="JD1361" s="1268"/>
      <c r="JE1361" s="1268"/>
      <c r="JF1361" s="1268"/>
      <c r="JG1361" s="1268"/>
      <c r="JH1361" s="1268"/>
      <c r="JI1361" s="1268"/>
      <c r="JJ1361" s="1268"/>
      <c r="JK1361" s="1268"/>
      <c r="JL1361" s="1268"/>
      <c r="JM1361" s="1268"/>
      <c r="JN1361" s="1268"/>
      <c r="JO1361" s="1268"/>
      <c r="JP1361" s="1268"/>
      <c r="JQ1361" s="1268"/>
      <c r="JR1361" s="1268"/>
      <c r="JS1361" s="1268"/>
      <c r="JT1361" s="1268"/>
      <c r="JU1361" s="1268"/>
      <c r="JV1361" s="1268"/>
      <c r="JW1361" s="1268"/>
      <c r="JX1361" s="1268"/>
      <c r="JY1361" s="1268"/>
      <c r="JZ1361" s="1268"/>
      <c r="KA1361" s="1268"/>
      <c r="KB1361" s="1268"/>
      <c r="KC1361" s="1268"/>
      <c r="KD1361" s="1268"/>
      <c r="KE1361" s="1268"/>
      <c r="KF1361" s="1268"/>
      <c r="KG1361" s="1268"/>
      <c r="KH1361" s="1268"/>
      <c r="KI1361" s="1268"/>
      <c r="KJ1361" s="1268"/>
      <c r="KK1361" s="1268"/>
      <c r="KL1361" s="1268"/>
      <c r="KM1361" s="1268"/>
      <c r="KN1361" s="1268"/>
      <c r="KO1361" s="1268"/>
      <c r="KP1361" s="1268"/>
      <c r="KQ1361" s="1268"/>
      <c r="KR1361" s="1268"/>
      <c r="KS1361" s="1268"/>
      <c r="KT1361" s="1268"/>
      <c r="KU1361" s="1268"/>
      <c r="KV1361" s="1268"/>
      <c r="KW1361" s="1268"/>
      <c r="KX1361" s="1268"/>
      <c r="KY1361" s="1268"/>
      <c r="KZ1361" s="1268"/>
      <c r="LA1361" s="1268"/>
      <c r="LB1361" s="1268"/>
      <c r="LC1361" s="1268"/>
      <c r="LD1361" s="1268"/>
      <c r="LE1361" s="1268"/>
      <c r="LF1361" s="1268"/>
      <c r="LG1361" s="1268"/>
      <c r="LH1361" s="1268"/>
      <c r="LI1361" s="1268"/>
      <c r="LJ1361" s="1268"/>
      <c r="LK1361" s="1268"/>
      <c r="LL1361" s="1268"/>
      <c r="LM1361" s="1268"/>
      <c r="LN1361" s="1268"/>
      <c r="LO1361" s="1268"/>
      <c r="LP1361" s="1268"/>
      <c r="LQ1361" s="1268"/>
      <c r="LR1361" s="1268"/>
      <c r="LS1361" s="1268"/>
      <c r="LT1361" s="1268"/>
      <c r="LU1361" s="1268"/>
      <c r="LV1361" s="1268"/>
      <c r="LW1361" s="1268"/>
      <c r="LX1361" s="1268"/>
      <c r="LY1361" s="1268"/>
      <c r="LZ1361" s="1268"/>
      <c r="MA1361" s="1268"/>
      <c r="MB1361" s="1268"/>
      <c r="MC1361" s="1268"/>
      <c r="MD1361" s="1268"/>
      <c r="ME1361" s="1268"/>
      <c r="MF1361" s="1268"/>
      <c r="MG1361" s="1268"/>
      <c r="MH1361" s="1268"/>
      <c r="MI1361" s="1268"/>
      <c r="MJ1361" s="1268"/>
      <c r="MK1361" s="1268"/>
      <c r="ML1361" s="1268"/>
      <c r="MM1361" s="1268"/>
      <c r="MN1361" s="1268"/>
      <c r="MO1361" s="1268"/>
      <c r="MP1361" s="1268"/>
      <c r="MQ1361" s="1268"/>
      <c r="MR1361" s="1268"/>
      <c r="MS1361" s="1268"/>
      <c r="MT1361" s="1268"/>
      <c r="MU1361" s="1268"/>
      <c r="MV1361" s="1268"/>
      <c r="MW1361" s="1268"/>
      <c r="MX1361" s="1268"/>
      <c r="MY1361" s="1268"/>
      <c r="MZ1361" s="1268"/>
      <c r="NA1361" s="1268"/>
      <c r="NB1361" s="1268"/>
      <c r="NC1361" s="1268"/>
      <c r="ND1361" s="1268"/>
      <c r="NE1361" s="1268"/>
      <c r="NF1361" s="1268"/>
      <c r="NG1361" s="1268"/>
      <c r="NH1361" s="1268"/>
      <c r="NI1361" s="1268"/>
      <c r="NJ1361" s="1268"/>
      <c r="NK1361" s="1268"/>
      <c r="NL1361" s="1268"/>
      <c r="NM1361" s="1268"/>
      <c r="NN1361" s="1268"/>
      <c r="NO1361" s="1268"/>
      <c r="NP1361" s="1268"/>
      <c r="NQ1361" s="1268"/>
      <c r="NR1361" s="1268"/>
      <c r="NS1361" s="1268"/>
      <c r="NT1361" s="1268"/>
      <c r="NU1361" s="1268"/>
      <c r="NV1361" s="1268"/>
      <c r="NW1361" s="1268"/>
      <c r="NX1361" s="1268"/>
      <c r="NY1361" s="1268"/>
      <c r="NZ1361" s="1268"/>
      <c r="OA1361" s="1268"/>
      <c r="OB1361" s="1268"/>
      <c r="OC1361" s="1268"/>
      <c r="OD1361" s="1268"/>
      <c r="OE1361" s="1268"/>
      <c r="OF1361" s="1268"/>
      <c r="OG1361" s="1268"/>
      <c r="OH1361" s="1268"/>
      <c r="OI1361" s="1268"/>
      <c r="OJ1361" s="1268"/>
      <c r="OK1361" s="1268"/>
      <c r="OL1361" s="1268"/>
      <c r="OM1361" s="1268"/>
      <c r="ON1361" s="1268"/>
      <c r="OO1361" s="1268"/>
      <c r="OP1361" s="1268"/>
      <c r="OQ1361" s="1268"/>
      <c r="OR1361" s="1268"/>
      <c r="OS1361" s="1268"/>
      <c r="OT1361" s="1268"/>
      <c r="OU1361" s="1268"/>
      <c r="OV1361" s="1268"/>
      <c r="OW1361" s="1268"/>
      <c r="OX1361" s="1268"/>
      <c r="OY1361" s="1268"/>
      <c r="OZ1361" s="1268"/>
      <c r="PA1361" s="1268"/>
      <c r="PB1361" s="1268"/>
      <c r="PC1361" s="1268"/>
      <c r="PD1361" s="1268"/>
      <c r="PE1361" s="1268"/>
      <c r="PF1361" s="1268"/>
      <c r="PG1361" s="1268"/>
      <c r="PH1361" s="1268"/>
      <c r="PI1361" s="1268"/>
      <c r="PJ1361" s="1268"/>
      <c r="PK1361" s="1268"/>
      <c r="PL1361" s="1268"/>
      <c r="PM1361" s="1268"/>
      <c r="PN1361" s="1268"/>
      <c r="PO1361" s="1268"/>
      <c r="PP1361" s="1268"/>
      <c r="PQ1361" s="1268"/>
      <c r="PR1361" s="1268"/>
      <c r="PS1361" s="1268"/>
      <c r="PT1361" s="1268"/>
      <c r="PU1361" s="1268"/>
      <c r="PV1361" s="1268"/>
      <c r="PW1361" s="1268"/>
      <c r="PX1361" s="1268"/>
      <c r="PY1361" s="1268"/>
      <c r="PZ1361" s="1268"/>
      <c r="QA1361" s="1268"/>
      <c r="QB1361" s="1268"/>
      <c r="QC1361" s="1268"/>
      <c r="QD1361" s="1268"/>
      <c r="QE1361" s="1268"/>
      <c r="QF1361" s="1268"/>
      <c r="QG1361" s="1268"/>
      <c r="QH1361" s="1268"/>
      <c r="QI1361" s="1268"/>
      <c r="QJ1361" s="1268"/>
      <c r="QK1361" s="1268"/>
      <c r="QL1361" s="1268"/>
      <c r="QM1361" s="1268"/>
      <c r="QN1361" s="1268"/>
      <c r="QO1361" s="1268"/>
      <c r="QP1361" s="1268"/>
      <c r="QQ1361" s="1268"/>
      <c r="QR1361" s="1268"/>
      <c r="QS1361" s="1268"/>
      <c r="QT1361" s="1268"/>
      <c r="QU1361" s="1268"/>
      <c r="QV1361" s="1268"/>
      <c r="QW1361" s="1268"/>
      <c r="QX1361" s="1268"/>
      <c r="QY1361" s="1268"/>
      <c r="QZ1361" s="1268"/>
      <c r="RA1361" s="1268"/>
      <c r="RB1361" s="1268"/>
      <c r="RC1361" s="1268"/>
      <c r="RD1361" s="1268"/>
      <c r="RE1361" s="1268"/>
      <c r="RF1361" s="1268"/>
      <c r="RG1361" s="1268"/>
      <c r="RH1361" s="1268"/>
      <c r="RI1361" s="1268"/>
      <c r="RJ1361" s="1268"/>
      <c r="RK1361" s="1268"/>
      <c r="RL1361" s="1268"/>
      <c r="RM1361" s="1268"/>
      <c r="RN1361" s="1268"/>
      <c r="RO1361" s="1268"/>
      <c r="RP1361" s="1268"/>
      <c r="RQ1361" s="1268"/>
      <c r="RR1361" s="1268"/>
      <c r="RS1361" s="1268"/>
      <c r="RT1361" s="1268"/>
      <c r="RU1361" s="1268"/>
      <c r="RV1361" s="1268"/>
      <c r="RW1361" s="1268"/>
      <c r="RX1361" s="1268"/>
      <c r="RY1361" s="1268"/>
      <c r="RZ1361" s="1268"/>
      <c r="SA1361" s="1268"/>
      <c r="SB1361" s="1268"/>
      <c r="SC1361" s="1268"/>
      <c r="SD1361" s="1268"/>
      <c r="SE1361" s="1268"/>
      <c r="SF1361" s="1268"/>
      <c r="SG1361" s="1268"/>
      <c r="SH1361" s="1268"/>
      <c r="SI1361" s="1268"/>
      <c r="SJ1361" s="1268"/>
      <c r="SK1361" s="1268"/>
      <c r="SL1361" s="1268"/>
      <c r="SM1361" s="1268"/>
      <c r="SN1361" s="1268"/>
      <c r="SO1361" s="1268"/>
      <c r="SP1361" s="1268"/>
      <c r="SQ1361" s="1268"/>
      <c r="SR1361" s="1268"/>
      <c r="SS1361" s="1268"/>
      <c r="ST1361" s="1268"/>
      <c r="SU1361" s="1268"/>
      <c r="SV1361" s="1268"/>
      <c r="SW1361" s="1268"/>
      <c r="SX1361" s="1268"/>
      <c r="SY1361" s="1268"/>
      <c r="SZ1361" s="1268"/>
      <c r="TA1361" s="1268"/>
      <c r="TB1361" s="1268"/>
      <c r="TC1361" s="1268"/>
      <c r="TD1361" s="1268"/>
      <c r="TE1361" s="1268"/>
      <c r="TF1361" s="1268"/>
      <c r="TG1361" s="1268"/>
      <c r="TH1361" s="1268"/>
      <c r="TI1361" s="1268"/>
      <c r="TJ1361" s="1268"/>
      <c r="TK1361" s="1268"/>
      <c r="TL1361" s="1268"/>
      <c r="TM1361" s="1268"/>
      <c r="TN1361" s="1268"/>
      <c r="TO1361" s="1268"/>
      <c r="TP1361" s="1268"/>
      <c r="TQ1361" s="1268"/>
      <c r="TR1361" s="1268"/>
      <c r="TS1361" s="1268"/>
      <c r="TT1361" s="1268"/>
      <c r="TU1361" s="1268"/>
      <c r="TV1361" s="1268"/>
      <c r="TW1361" s="1268"/>
      <c r="TX1361" s="1268"/>
      <c r="TY1361" s="1268"/>
      <c r="TZ1361" s="1268"/>
      <c r="UA1361" s="1268"/>
      <c r="UB1361" s="1268"/>
      <c r="UC1361" s="1268"/>
      <c r="UD1361" s="1268"/>
      <c r="UE1361" s="1268"/>
      <c r="UF1361" s="1268"/>
      <c r="UG1361" s="1268"/>
    </row>
    <row r="1362" spans="1:553" s="1262" customFormat="1" ht="25.15" customHeight="1">
      <c r="A1362" s="356"/>
      <c r="B1362" s="356"/>
      <c r="C1362" s="1589" t="s">
        <v>1243</v>
      </c>
      <c r="D1362" s="1590"/>
      <c r="E1362" s="1590"/>
      <c r="F1362" s="1591"/>
      <c r="G1362" s="417" t="s">
        <v>196</v>
      </c>
      <c r="H1362" s="370"/>
      <c r="I1362" s="494">
        <f>187.14*100/10000*150</f>
        <v>280.70999999999998</v>
      </c>
      <c r="J1362" s="368">
        <v>3500</v>
      </c>
      <c r="K1362" s="443"/>
      <c r="L1362" s="646">
        <f>ROUND(PRODUCT(I1362:K1362),0)</f>
        <v>982485</v>
      </c>
      <c r="M1362" s="411"/>
      <c r="N1362" s="411"/>
      <c r="O1362" s="425"/>
      <c r="P1362" s="356"/>
      <c r="Q1362" s="610"/>
      <c r="R1362" s="1228"/>
      <c r="S1362" s="308"/>
      <c r="T1362" s="308"/>
      <c r="U1362" s="308"/>
      <c r="V1362" s="308"/>
      <c r="W1362" s="308"/>
      <c r="X1362" s="308"/>
      <c r="Y1362" s="308"/>
      <c r="Z1362" s="604"/>
      <c r="AA1362" s="308"/>
      <c r="AB1362" s="308"/>
      <c r="AC1362" s="486"/>
      <c r="AD1362" s="486"/>
      <c r="AE1362" s="486"/>
      <c r="AF1362" s="486"/>
      <c r="AG1362" s="486"/>
      <c r="AH1362" s="486"/>
      <c r="AI1362" s="486"/>
      <c r="AJ1362" s="486"/>
      <c r="AK1362" s="486"/>
      <c r="AL1362" s="1267"/>
      <c r="AM1362" s="1268"/>
      <c r="AN1362" s="1268"/>
      <c r="AO1362" s="1268"/>
      <c r="AP1362" s="1268"/>
      <c r="AQ1362" s="1268"/>
      <c r="AR1362" s="1268"/>
      <c r="AS1362" s="1268"/>
      <c r="AT1362" s="1268"/>
      <c r="AU1362" s="1268"/>
      <c r="AV1362" s="1268"/>
      <c r="AW1362" s="1268"/>
      <c r="AX1362" s="1268"/>
      <c r="AY1362" s="1268"/>
      <c r="AZ1362" s="1268"/>
      <c r="BA1362" s="1268"/>
      <c r="BB1362" s="1268"/>
      <c r="BC1362" s="1268"/>
      <c r="BD1362" s="1268"/>
      <c r="BE1362" s="1268"/>
      <c r="BF1362" s="1268"/>
      <c r="BG1362" s="1268"/>
      <c r="BH1362" s="1268"/>
      <c r="BI1362" s="1268"/>
      <c r="BJ1362" s="1268"/>
      <c r="BK1362" s="1268"/>
      <c r="BL1362" s="1268"/>
      <c r="BM1362" s="1268"/>
      <c r="BN1362" s="1268"/>
      <c r="BO1362" s="1268"/>
      <c r="BP1362" s="1268"/>
      <c r="BQ1362" s="1268"/>
      <c r="BR1362" s="1268"/>
      <c r="BS1362" s="1268"/>
      <c r="BT1362" s="1268"/>
      <c r="BU1362" s="1268"/>
      <c r="BV1362" s="1268"/>
      <c r="BW1362" s="1268"/>
      <c r="BX1362" s="1268"/>
      <c r="BY1362" s="1268"/>
      <c r="BZ1362" s="1268"/>
      <c r="CA1362" s="1268"/>
      <c r="CB1362" s="1268"/>
      <c r="CC1362" s="1268"/>
      <c r="CD1362" s="1268"/>
      <c r="CE1362" s="1268"/>
      <c r="CF1362" s="1268"/>
      <c r="CG1362" s="1268"/>
      <c r="CH1362" s="1268"/>
      <c r="CI1362" s="1268"/>
      <c r="CJ1362" s="1268"/>
      <c r="CK1362" s="1268"/>
      <c r="CL1362" s="1268"/>
      <c r="CM1362" s="1268"/>
      <c r="CN1362" s="1268"/>
      <c r="CO1362" s="1268"/>
      <c r="CP1362" s="1268"/>
      <c r="CQ1362" s="1268"/>
      <c r="CR1362" s="1268"/>
      <c r="CS1362" s="1268"/>
      <c r="CT1362" s="1268"/>
      <c r="CU1362" s="1268"/>
      <c r="CV1362" s="1268"/>
      <c r="CW1362" s="1268"/>
      <c r="CX1362" s="1268"/>
      <c r="CY1362" s="1268"/>
      <c r="CZ1362" s="1268"/>
      <c r="DA1362" s="1268"/>
      <c r="DB1362" s="1268"/>
      <c r="DC1362" s="1268"/>
      <c r="DD1362" s="1268"/>
      <c r="DE1362" s="1268"/>
      <c r="DF1362" s="1268"/>
      <c r="DG1362" s="1268"/>
      <c r="DH1362" s="1268"/>
      <c r="DI1362" s="1268"/>
      <c r="DJ1362" s="1268"/>
      <c r="DK1362" s="1268"/>
      <c r="DL1362" s="1268"/>
      <c r="DM1362" s="1268"/>
      <c r="DN1362" s="1268"/>
      <c r="DO1362" s="1268"/>
      <c r="DP1362" s="1268"/>
      <c r="DQ1362" s="1268"/>
      <c r="DR1362" s="1268"/>
      <c r="DS1362" s="1268"/>
      <c r="DT1362" s="1268"/>
      <c r="DU1362" s="1268"/>
      <c r="DV1362" s="1268"/>
      <c r="DW1362" s="1268"/>
      <c r="DX1362" s="1268"/>
      <c r="DY1362" s="1268"/>
      <c r="DZ1362" s="1268"/>
      <c r="EA1362" s="1268"/>
      <c r="EB1362" s="1268"/>
      <c r="EC1362" s="1268"/>
      <c r="ED1362" s="1268"/>
      <c r="EE1362" s="1268"/>
      <c r="EF1362" s="1268"/>
      <c r="EG1362" s="1268"/>
      <c r="EH1362" s="1268"/>
      <c r="EI1362" s="1268"/>
      <c r="EJ1362" s="1268"/>
      <c r="EK1362" s="1268"/>
      <c r="EL1362" s="1268"/>
      <c r="EM1362" s="1268"/>
      <c r="EN1362" s="1268"/>
      <c r="EO1362" s="1268"/>
      <c r="EP1362" s="1268"/>
      <c r="EQ1362" s="1268"/>
      <c r="ER1362" s="1268"/>
      <c r="ES1362" s="1268"/>
      <c r="ET1362" s="1268"/>
      <c r="EU1362" s="1268"/>
      <c r="EV1362" s="1268"/>
      <c r="EW1362" s="1268"/>
      <c r="EX1362" s="1268"/>
      <c r="EY1362" s="1268"/>
      <c r="EZ1362" s="1268"/>
      <c r="FA1362" s="1268"/>
      <c r="FB1362" s="1268"/>
      <c r="FC1362" s="1268"/>
      <c r="FD1362" s="1268"/>
      <c r="FE1362" s="1268"/>
      <c r="FF1362" s="1268"/>
      <c r="FG1362" s="1268"/>
      <c r="FH1362" s="1268"/>
      <c r="FI1362" s="1268"/>
      <c r="FJ1362" s="1268"/>
      <c r="FK1362" s="1268"/>
      <c r="FL1362" s="1268"/>
      <c r="FM1362" s="1268"/>
      <c r="FN1362" s="1268"/>
      <c r="FO1362" s="1268"/>
      <c r="FP1362" s="1268"/>
      <c r="FQ1362" s="1268"/>
      <c r="FR1362" s="1268"/>
      <c r="FS1362" s="1268"/>
      <c r="FT1362" s="1268"/>
      <c r="FU1362" s="1268"/>
      <c r="FV1362" s="1268"/>
      <c r="FW1362" s="1268"/>
      <c r="FX1362" s="1268"/>
      <c r="FY1362" s="1268"/>
      <c r="FZ1362" s="1268"/>
      <c r="GA1362" s="1268"/>
      <c r="GB1362" s="1268"/>
      <c r="GC1362" s="1268"/>
      <c r="GD1362" s="1268"/>
      <c r="GE1362" s="1268"/>
      <c r="GF1362" s="1268"/>
      <c r="GG1362" s="1268"/>
      <c r="GH1362" s="1268"/>
      <c r="GI1362" s="1268"/>
      <c r="GJ1362" s="1268"/>
      <c r="GK1362" s="1268"/>
      <c r="GL1362" s="1268"/>
      <c r="GM1362" s="1268"/>
      <c r="GN1362" s="1268"/>
      <c r="GO1362" s="1268"/>
      <c r="GP1362" s="1268"/>
      <c r="GQ1362" s="1268"/>
      <c r="GR1362" s="1268"/>
      <c r="GS1362" s="1268"/>
      <c r="GT1362" s="1268"/>
      <c r="GU1362" s="1268"/>
      <c r="GV1362" s="1268"/>
      <c r="GW1362" s="1268"/>
      <c r="GX1362" s="1268"/>
      <c r="GY1362" s="1268"/>
      <c r="GZ1362" s="1268"/>
      <c r="HA1362" s="1268"/>
      <c r="HB1362" s="1268"/>
      <c r="HC1362" s="1268"/>
      <c r="HD1362" s="1268"/>
      <c r="HE1362" s="1268"/>
      <c r="HF1362" s="1268"/>
      <c r="HG1362" s="1268"/>
      <c r="HH1362" s="1268"/>
      <c r="HI1362" s="1268"/>
      <c r="HJ1362" s="1268"/>
      <c r="HK1362" s="1268"/>
      <c r="HL1362" s="1268"/>
      <c r="HM1362" s="1268"/>
      <c r="HN1362" s="1268"/>
      <c r="HO1362" s="1268"/>
      <c r="HP1362" s="1268"/>
      <c r="HQ1362" s="1268"/>
      <c r="HR1362" s="1268"/>
      <c r="HS1362" s="1268"/>
      <c r="HT1362" s="1268"/>
      <c r="HU1362" s="1268"/>
      <c r="HV1362" s="1268"/>
      <c r="HW1362" s="1268"/>
      <c r="HX1362" s="1268"/>
      <c r="HY1362" s="1268"/>
      <c r="HZ1362" s="1268"/>
      <c r="IA1362" s="1268"/>
      <c r="IB1362" s="1268"/>
      <c r="IC1362" s="1268"/>
      <c r="ID1362" s="1268"/>
      <c r="IE1362" s="1268"/>
      <c r="IF1362" s="1268"/>
      <c r="IG1362" s="1268"/>
      <c r="IH1362" s="1268"/>
      <c r="II1362" s="1268"/>
      <c r="IJ1362" s="1268"/>
      <c r="IK1362" s="1268"/>
      <c r="IL1362" s="1268"/>
      <c r="IM1362" s="1268"/>
      <c r="IN1362" s="1268"/>
      <c r="IO1362" s="1268"/>
      <c r="IP1362" s="1268"/>
      <c r="IQ1362" s="1268"/>
      <c r="IR1362" s="1268"/>
      <c r="IS1362" s="1268"/>
      <c r="IT1362" s="1268"/>
      <c r="IU1362" s="1268"/>
      <c r="IV1362" s="1268"/>
      <c r="IW1362" s="1268"/>
      <c r="IX1362" s="1268"/>
      <c r="IY1362" s="1268"/>
      <c r="IZ1362" s="1268"/>
      <c r="JA1362" s="1268"/>
      <c r="JB1362" s="1268"/>
      <c r="JC1362" s="1268"/>
      <c r="JD1362" s="1268"/>
      <c r="JE1362" s="1268"/>
      <c r="JF1362" s="1268"/>
      <c r="JG1362" s="1268"/>
      <c r="JH1362" s="1268"/>
      <c r="JI1362" s="1268"/>
      <c r="JJ1362" s="1268"/>
      <c r="JK1362" s="1268"/>
      <c r="JL1362" s="1268"/>
      <c r="JM1362" s="1268"/>
      <c r="JN1362" s="1268"/>
      <c r="JO1362" s="1268"/>
      <c r="JP1362" s="1268"/>
      <c r="JQ1362" s="1268"/>
      <c r="JR1362" s="1268"/>
      <c r="JS1362" s="1268"/>
      <c r="JT1362" s="1268"/>
      <c r="JU1362" s="1268"/>
      <c r="JV1362" s="1268"/>
      <c r="JW1362" s="1268"/>
      <c r="JX1362" s="1268"/>
      <c r="JY1362" s="1268"/>
      <c r="JZ1362" s="1268"/>
      <c r="KA1362" s="1268"/>
      <c r="KB1362" s="1268"/>
      <c r="KC1362" s="1268"/>
      <c r="KD1362" s="1268"/>
      <c r="KE1362" s="1268"/>
      <c r="KF1362" s="1268"/>
      <c r="KG1362" s="1268"/>
      <c r="KH1362" s="1268"/>
      <c r="KI1362" s="1268"/>
      <c r="KJ1362" s="1268"/>
      <c r="KK1362" s="1268"/>
      <c r="KL1362" s="1268"/>
      <c r="KM1362" s="1268"/>
      <c r="KN1362" s="1268"/>
      <c r="KO1362" s="1268"/>
      <c r="KP1362" s="1268"/>
      <c r="KQ1362" s="1268"/>
      <c r="KR1362" s="1268"/>
      <c r="KS1362" s="1268"/>
      <c r="KT1362" s="1268"/>
      <c r="KU1362" s="1268"/>
      <c r="KV1362" s="1268"/>
      <c r="KW1362" s="1268"/>
      <c r="KX1362" s="1268"/>
      <c r="KY1362" s="1268"/>
      <c r="KZ1362" s="1268"/>
      <c r="LA1362" s="1268"/>
      <c r="LB1362" s="1268"/>
      <c r="LC1362" s="1268"/>
      <c r="LD1362" s="1268"/>
      <c r="LE1362" s="1268"/>
      <c r="LF1362" s="1268"/>
      <c r="LG1362" s="1268"/>
      <c r="LH1362" s="1268"/>
      <c r="LI1362" s="1268"/>
      <c r="LJ1362" s="1268"/>
      <c r="LK1362" s="1268"/>
      <c r="LL1362" s="1268"/>
      <c r="LM1362" s="1268"/>
      <c r="LN1362" s="1268"/>
      <c r="LO1362" s="1268"/>
      <c r="LP1362" s="1268"/>
      <c r="LQ1362" s="1268"/>
      <c r="LR1362" s="1268"/>
      <c r="LS1362" s="1268"/>
      <c r="LT1362" s="1268"/>
      <c r="LU1362" s="1268"/>
      <c r="LV1362" s="1268"/>
      <c r="LW1362" s="1268"/>
      <c r="LX1362" s="1268"/>
      <c r="LY1362" s="1268"/>
      <c r="LZ1362" s="1268"/>
      <c r="MA1362" s="1268"/>
      <c r="MB1362" s="1268"/>
      <c r="MC1362" s="1268"/>
      <c r="MD1362" s="1268"/>
      <c r="ME1362" s="1268"/>
      <c r="MF1362" s="1268"/>
      <c r="MG1362" s="1268"/>
      <c r="MH1362" s="1268"/>
      <c r="MI1362" s="1268"/>
      <c r="MJ1362" s="1268"/>
      <c r="MK1362" s="1268"/>
      <c r="ML1362" s="1268"/>
      <c r="MM1362" s="1268"/>
      <c r="MN1362" s="1268"/>
      <c r="MO1362" s="1268"/>
      <c r="MP1362" s="1268"/>
      <c r="MQ1362" s="1268"/>
      <c r="MR1362" s="1268"/>
      <c r="MS1362" s="1268"/>
      <c r="MT1362" s="1268"/>
      <c r="MU1362" s="1268"/>
      <c r="MV1362" s="1268"/>
      <c r="MW1362" s="1268"/>
      <c r="MX1362" s="1268"/>
      <c r="MY1362" s="1268"/>
      <c r="MZ1362" s="1268"/>
      <c r="NA1362" s="1268"/>
      <c r="NB1362" s="1268"/>
      <c r="NC1362" s="1268"/>
      <c r="ND1362" s="1268"/>
      <c r="NE1362" s="1268"/>
      <c r="NF1362" s="1268"/>
      <c r="NG1362" s="1268"/>
      <c r="NH1362" s="1268"/>
      <c r="NI1362" s="1268"/>
      <c r="NJ1362" s="1268"/>
      <c r="NK1362" s="1268"/>
      <c r="NL1362" s="1268"/>
      <c r="NM1362" s="1268"/>
      <c r="NN1362" s="1268"/>
      <c r="NO1362" s="1268"/>
      <c r="NP1362" s="1268"/>
      <c r="NQ1362" s="1268"/>
      <c r="NR1362" s="1268"/>
      <c r="NS1362" s="1268"/>
      <c r="NT1362" s="1268"/>
      <c r="NU1362" s="1268"/>
      <c r="NV1362" s="1268"/>
      <c r="NW1362" s="1268"/>
      <c r="NX1362" s="1268"/>
      <c r="NY1362" s="1268"/>
      <c r="NZ1362" s="1268"/>
      <c r="OA1362" s="1268"/>
      <c r="OB1362" s="1268"/>
      <c r="OC1362" s="1268"/>
      <c r="OD1362" s="1268"/>
      <c r="OE1362" s="1268"/>
      <c r="OF1362" s="1268"/>
      <c r="OG1362" s="1268"/>
      <c r="OH1362" s="1268"/>
      <c r="OI1362" s="1268"/>
      <c r="OJ1362" s="1268"/>
      <c r="OK1362" s="1268"/>
      <c r="OL1362" s="1268"/>
      <c r="OM1362" s="1268"/>
      <c r="ON1362" s="1268"/>
      <c r="OO1362" s="1268"/>
      <c r="OP1362" s="1268"/>
      <c r="OQ1362" s="1268"/>
      <c r="OR1362" s="1268"/>
      <c r="OS1362" s="1268"/>
      <c r="OT1362" s="1268"/>
      <c r="OU1362" s="1268"/>
      <c r="OV1362" s="1268"/>
      <c r="OW1362" s="1268"/>
      <c r="OX1362" s="1268"/>
      <c r="OY1362" s="1268"/>
      <c r="OZ1362" s="1268"/>
      <c r="PA1362" s="1268"/>
      <c r="PB1362" s="1268"/>
      <c r="PC1362" s="1268"/>
      <c r="PD1362" s="1268"/>
      <c r="PE1362" s="1268"/>
      <c r="PF1362" s="1268"/>
      <c r="PG1362" s="1268"/>
      <c r="PH1362" s="1268"/>
      <c r="PI1362" s="1268"/>
      <c r="PJ1362" s="1268"/>
      <c r="PK1362" s="1268"/>
      <c r="PL1362" s="1268"/>
      <c r="PM1362" s="1268"/>
      <c r="PN1362" s="1268"/>
      <c r="PO1362" s="1268"/>
      <c r="PP1362" s="1268"/>
      <c r="PQ1362" s="1268"/>
      <c r="PR1362" s="1268"/>
      <c r="PS1362" s="1268"/>
      <c r="PT1362" s="1268"/>
      <c r="PU1362" s="1268"/>
      <c r="PV1362" s="1268"/>
      <c r="PW1362" s="1268"/>
      <c r="PX1362" s="1268"/>
      <c r="PY1362" s="1268"/>
      <c r="PZ1362" s="1268"/>
      <c r="QA1362" s="1268"/>
      <c r="QB1362" s="1268"/>
      <c r="QC1362" s="1268"/>
      <c r="QD1362" s="1268"/>
      <c r="QE1362" s="1268"/>
      <c r="QF1362" s="1268"/>
      <c r="QG1362" s="1268"/>
      <c r="QH1362" s="1268"/>
      <c r="QI1362" s="1268"/>
      <c r="QJ1362" s="1268"/>
      <c r="QK1362" s="1268"/>
      <c r="QL1362" s="1268"/>
      <c r="QM1362" s="1268"/>
      <c r="QN1362" s="1268"/>
      <c r="QO1362" s="1268"/>
      <c r="QP1362" s="1268"/>
      <c r="QQ1362" s="1268"/>
      <c r="QR1362" s="1268"/>
      <c r="QS1362" s="1268"/>
      <c r="QT1362" s="1268"/>
      <c r="QU1362" s="1268"/>
      <c r="QV1362" s="1268"/>
      <c r="QW1362" s="1268"/>
      <c r="QX1362" s="1268"/>
      <c r="QY1362" s="1268"/>
      <c r="QZ1362" s="1268"/>
      <c r="RA1362" s="1268"/>
      <c r="RB1362" s="1268"/>
      <c r="RC1362" s="1268"/>
      <c r="RD1362" s="1268"/>
      <c r="RE1362" s="1268"/>
      <c r="RF1362" s="1268"/>
      <c r="RG1362" s="1268"/>
      <c r="RH1362" s="1268"/>
      <c r="RI1362" s="1268"/>
      <c r="RJ1362" s="1268"/>
      <c r="RK1362" s="1268"/>
      <c r="RL1362" s="1268"/>
      <c r="RM1362" s="1268"/>
      <c r="RN1362" s="1268"/>
      <c r="RO1362" s="1268"/>
      <c r="RP1362" s="1268"/>
      <c r="RQ1362" s="1268"/>
      <c r="RR1362" s="1268"/>
      <c r="RS1362" s="1268"/>
      <c r="RT1362" s="1268"/>
      <c r="RU1362" s="1268"/>
      <c r="RV1362" s="1268"/>
      <c r="RW1362" s="1268"/>
      <c r="RX1362" s="1268"/>
      <c r="RY1362" s="1268"/>
      <c r="RZ1362" s="1268"/>
      <c r="SA1362" s="1268"/>
      <c r="SB1362" s="1268"/>
      <c r="SC1362" s="1268"/>
      <c r="SD1362" s="1268"/>
      <c r="SE1362" s="1268"/>
      <c r="SF1362" s="1268"/>
      <c r="SG1362" s="1268"/>
      <c r="SH1362" s="1268"/>
      <c r="SI1362" s="1268"/>
      <c r="SJ1362" s="1268"/>
      <c r="SK1362" s="1268"/>
      <c r="SL1362" s="1268"/>
      <c r="SM1362" s="1268"/>
      <c r="SN1362" s="1268"/>
      <c r="SO1362" s="1268"/>
      <c r="SP1362" s="1268"/>
      <c r="SQ1362" s="1268"/>
      <c r="SR1362" s="1268"/>
      <c r="SS1362" s="1268"/>
      <c r="ST1362" s="1268"/>
      <c r="SU1362" s="1268"/>
      <c r="SV1362" s="1268"/>
      <c r="SW1362" s="1268"/>
      <c r="SX1362" s="1268"/>
      <c r="SY1362" s="1268"/>
      <c r="SZ1362" s="1268"/>
      <c r="TA1362" s="1268"/>
      <c r="TB1362" s="1268"/>
      <c r="TC1362" s="1268"/>
      <c r="TD1362" s="1268"/>
      <c r="TE1362" s="1268"/>
      <c r="TF1362" s="1268"/>
      <c r="TG1362" s="1268"/>
      <c r="TH1362" s="1268"/>
      <c r="TI1362" s="1268"/>
      <c r="TJ1362" s="1268"/>
      <c r="TK1362" s="1268"/>
      <c r="TL1362" s="1268"/>
      <c r="TM1362" s="1268"/>
      <c r="TN1362" s="1268"/>
      <c r="TO1362" s="1268"/>
      <c r="TP1362" s="1268"/>
      <c r="TQ1362" s="1268"/>
      <c r="TR1362" s="1268"/>
      <c r="TS1362" s="1268"/>
      <c r="TT1362" s="1268"/>
      <c r="TU1362" s="1268"/>
      <c r="TV1362" s="1268"/>
      <c r="TW1362" s="1268"/>
      <c r="TX1362" s="1268"/>
      <c r="TY1362" s="1268"/>
      <c r="TZ1362" s="1268"/>
      <c r="UA1362" s="1268"/>
      <c r="UB1362" s="1268"/>
      <c r="UC1362" s="1268"/>
      <c r="UD1362" s="1268"/>
      <c r="UE1362" s="1268"/>
      <c r="UF1362" s="1268"/>
      <c r="UG1362" s="1268"/>
    </row>
    <row r="1363" spans="1:553" s="202" customFormat="1" ht="25.15" customHeight="1">
      <c r="A1363" s="549"/>
      <c r="B1363" s="549"/>
      <c r="C1363" s="1612" t="s">
        <v>1055</v>
      </c>
      <c r="D1363" s="1613"/>
      <c r="E1363" s="1613"/>
      <c r="F1363" s="1614"/>
      <c r="G1363" s="802"/>
      <c r="H1363" s="803"/>
      <c r="I1363" s="804"/>
      <c r="J1363" s="682"/>
      <c r="K1363" s="804"/>
      <c r="L1363" s="805"/>
      <c r="M1363" s="806"/>
      <c r="N1363" s="806"/>
      <c r="O1363" s="807"/>
      <c r="P1363" s="549"/>
      <c r="Q1363" s="610"/>
      <c r="R1363" s="1143"/>
      <c r="S1363" s="308"/>
      <c r="T1363" s="308"/>
      <c r="U1363" s="308"/>
      <c r="V1363" s="308"/>
      <c r="W1363" s="308"/>
      <c r="X1363" s="308"/>
      <c r="Y1363" s="308"/>
      <c r="Z1363" s="604"/>
      <c r="AA1363" s="308"/>
      <c r="AB1363" s="308"/>
      <c r="AC1363" s="1114"/>
      <c r="AD1363" s="1114"/>
      <c r="AE1363" s="1114"/>
      <c r="AF1363" s="1114"/>
      <c r="AG1363" s="1114"/>
      <c r="AH1363" s="1114"/>
      <c r="AI1363" s="1114"/>
      <c r="AJ1363" s="1114"/>
      <c r="AK1363" s="1114"/>
      <c r="AL1363" s="332"/>
      <c r="AM1363" s="201"/>
      <c r="AN1363" s="201"/>
      <c r="AO1363" s="201"/>
      <c r="AP1363" s="201"/>
      <c r="AQ1363" s="201"/>
      <c r="AR1363" s="201"/>
      <c r="AS1363" s="201"/>
      <c r="AT1363" s="201"/>
      <c r="AU1363" s="201"/>
      <c r="AV1363" s="201"/>
      <c r="AW1363" s="201"/>
      <c r="AX1363" s="201"/>
      <c r="AY1363" s="201"/>
      <c r="AZ1363" s="201"/>
      <c r="BA1363" s="201"/>
      <c r="BB1363" s="201"/>
      <c r="BC1363" s="201"/>
      <c r="BD1363" s="201"/>
      <c r="BE1363" s="201"/>
      <c r="BF1363" s="201"/>
      <c r="BG1363" s="201"/>
      <c r="BH1363" s="201"/>
      <c r="BI1363" s="201"/>
      <c r="BJ1363" s="201"/>
      <c r="BK1363" s="201"/>
      <c r="BL1363" s="201"/>
      <c r="BM1363" s="201"/>
      <c r="BN1363" s="201"/>
      <c r="BO1363" s="201"/>
      <c r="BP1363" s="201"/>
      <c r="BQ1363" s="201"/>
      <c r="BR1363" s="201"/>
      <c r="BS1363" s="201"/>
      <c r="BT1363" s="201"/>
      <c r="BU1363" s="201"/>
      <c r="BV1363" s="201"/>
      <c r="BW1363" s="201"/>
      <c r="BX1363" s="201"/>
      <c r="BY1363" s="201"/>
      <c r="BZ1363" s="201"/>
      <c r="CA1363" s="201"/>
      <c r="CB1363" s="201"/>
      <c r="CC1363" s="201"/>
      <c r="CD1363" s="201"/>
      <c r="CE1363" s="201"/>
      <c r="CF1363" s="201"/>
      <c r="CG1363" s="201"/>
      <c r="CH1363" s="201"/>
      <c r="CI1363" s="201"/>
      <c r="CJ1363" s="201"/>
      <c r="CK1363" s="201"/>
      <c r="CL1363" s="201"/>
      <c r="CM1363" s="201"/>
      <c r="CN1363" s="201"/>
      <c r="CO1363" s="201"/>
      <c r="CP1363" s="201"/>
      <c r="CQ1363" s="201"/>
      <c r="CR1363" s="201"/>
      <c r="CS1363" s="201"/>
      <c r="CT1363" s="201"/>
      <c r="CU1363" s="201"/>
      <c r="CV1363" s="201"/>
      <c r="CW1363" s="201"/>
      <c r="CX1363" s="201"/>
      <c r="CY1363" s="201"/>
      <c r="CZ1363" s="201"/>
      <c r="DA1363" s="201"/>
      <c r="DB1363" s="201"/>
      <c r="DC1363" s="201"/>
      <c r="DD1363" s="201"/>
      <c r="DE1363" s="201"/>
      <c r="DF1363" s="201"/>
      <c r="DG1363" s="201"/>
      <c r="DH1363" s="201"/>
      <c r="DI1363" s="201"/>
      <c r="DJ1363" s="201"/>
      <c r="DK1363" s="201"/>
      <c r="DL1363" s="201"/>
      <c r="DM1363" s="201"/>
      <c r="DN1363" s="201"/>
      <c r="DO1363" s="201"/>
      <c r="DP1363" s="201"/>
      <c r="DQ1363" s="201"/>
      <c r="DR1363" s="201"/>
      <c r="DS1363" s="201"/>
      <c r="DT1363" s="201"/>
      <c r="DU1363" s="201"/>
      <c r="DV1363" s="201"/>
      <c r="DW1363" s="201"/>
      <c r="DX1363" s="201"/>
      <c r="DY1363" s="201"/>
      <c r="DZ1363" s="201"/>
      <c r="EA1363" s="201"/>
      <c r="EB1363" s="201"/>
      <c r="EC1363" s="201"/>
      <c r="ED1363" s="201"/>
      <c r="EE1363" s="201"/>
      <c r="EF1363" s="201"/>
      <c r="EG1363" s="201"/>
      <c r="EH1363" s="201"/>
      <c r="EI1363" s="201"/>
      <c r="EJ1363" s="201"/>
      <c r="EK1363" s="201"/>
      <c r="EL1363" s="201"/>
      <c r="EM1363" s="201"/>
      <c r="EN1363" s="201"/>
      <c r="EO1363" s="201"/>
      <c r="EP1363" s="201"/>
      <c r="EQ1363" s="201"/>
      <c r="ER1363" s="201"/>
      <c r="ES1363" s="201"/>
      <c r="ET1363" s="201"/>
      <c r="EU1363" s="201"/>
      <c r="EV1363" s="201"/>
      <c r="EW1363" s="201"/>
      <c r="EX1363" s="201"/>
      <c r="EY1363" s="201"/>
      <c r="EZ1363" s="201"/>
      <c r="FA1363" s="201"/>
      <c r="FB1363" s="201"/>
      <c r="FC1363" s="201"/>
      <c r="FD1363" s="201"/>
      <c r="FE1363" s="201"/>
      <c r="FF1363" s="201"/>
      <c r="FG1363" s="201"/>
      <c r="FH1363" s="201"/>
      <c r="FI1363" s="201"/>
      <c r="FJ1363" s="201"/>
      <c r="FK1363" s="201"/>
      <c r="FL1363" s="201"/>
      <c r="FM1363" s="201"/>
      <c r="FN1363" s="201"/>
      <c r="FO1363" s="201"/>
      <c r="FP1363" s="201"/>
      <c r="FQ1363" s="201"/>
      <c r="FR1363" s="201"/>
      <c r="FS1363" s="201"/>
      <c r="FT1363" s="201"/>
      <c r="FU1363" s="201"/>
      <c r="FV1363" s="201"/>
      <c r="FW1363" s="201"/>
      <c r="FX1363" s="201"/>
      <c r="FY1363" s="201"/>
      <c r="FZ1363" s="201"/>
      <c r="GA1363" s="201"/>
      <c r="GB1363" s="201"/>
      <c r="GC1363" s="201"/>
      <c r="GD1363" s="201"/>
      <c r="GE1363" s="201"/>
      <c r="GF1363" s="201"/>
      <c r="GG1363" s="201"/>
      <c r="GH1363" s="201"/>
      <c r="GI1363" s="201"/>
      <c r="GJ1363" s="201"/>
      <c r="GK1363" s="201"/>
      <c r="GL1363" s="201"/>
      <c r="GM1363" s="201"/>
      <c r="GN1363" s="201"/>
      <c r="GO1363" s="201"/>
      <c r="GP1363" s="201"/>
      <c r="GQ1363" s="201"/>
      <c r="GR1363" s="201"/>
      <c r="GS1363" s="201"/>
      <c r="GT1363" s="201"/>
      <c r="GU1363" s="201"/>
      <c r="GV1363" s="201"/>
      <c r="GW1363" s="201"/>
      <c r="GX1363" s="201"/>
      <c r="GY1363" s="201"/>
      <c r="GZ1363" s="201"/>
      <c r="HA1363" s="201"/>
      <c r="HB1363" s="201"/>
      <c r="HC1363" s="201"/>
      <c r="HD1363" s="201"/>
      <c r="HE1363" s="201"/>
      <c r="HF1363" s="201"/>
      <c r="HG1363" s="201"/>
      <c r="HH1363" s="201"/>
      <c r="HI1363" s="201"/>
      <c r="HJ1363" s="201"/>
      <c r="HK1363" s="201"/>
      <c r="HL1363" s="201"/>
      <c r="HM1363" s="201"/>
      <c r="HN1363" s="201"/>
      <c r="HO1363" s="201"/>
      <c r="HP1363" s="201"/>
      <c r="HQ1363" s="201"/>
      <c r="HR1363" s="201"/>
      <c r="HS1363" s="201"/>
      <c r="HT1363" s="201"/>
      <c r="HU1363" s="201"/>
      <c r="HV1363" s="201"/>
      <c r="HW1363" s="201"/>
      <c r="HX1363" s="201"/>
      <c r="HY1363" s="201"/>
      <c r="HZ1363" s="201"/>
      <c r="IA1363" s="201"/>
      <c r="IB1363" s="201"/>
      <c r="IC1363" s="201"/>
      <c r="ID1363" s="201"/>
      <c r="IE1363" s="201"/>
      <c r="IF1363" s="201"/>
      <c r="IG1363" s="201"/>
      <c r="IH1363" s="201"/>
      <c r="II1363" s="201"/>
      <c r="IJ1363" s="201"/>
      <c r="IK1363" s="201"/>
      <c r="IL1363" s="201"/>
      <c r="IM1363" s="201"/>
      <c r="IN1363" s="201"/>
      <c r="IO1363" s="201"/>
      <c r="IP1363" s="201"/>
      <c r="IQ1363" s="201"/>
      <c r="IR1363" s="201"/>
      <c r="IS1363" s="201"/>
      <c r="IT1363" s="201"/>
      <c r="IU1363" s="201"/>
      <c r="IV1363" s="201"/>
      <c r="IW1363" s="201"/>
      <c r="IX1363" s="201"/>
      <c r="IY1363" s="201"/>
      <c r="IZ1363" s="201"/>
      <c r="JA1363" s="201"/>
      <c r="JB1363" s="201"/>
      <c r="JC1363" s="201"/>
      <c r="JD1363" s="201"/>
      <c r="JE1363" s="201"/>
      <c r="JF1363" s="201"/>
      <c r="JG1363" s="201"/>
      <c r="JH1363" s="201"/>
      <c r="JI1363" s="201"/>
      <c r="JJ1363" s="201"/>
      <c r="JK1363" s="201"/>
      <c r="JL1363" s="201"/>
      <c r="JM1363" s="201"/>
      <c r="JN1363" s="201"/>
      <c r="JO1363" s="201"/>
      <c r="JP1363" s="201"/>
      <c r="JQ1363" s="201"/>
      <c r="JR1363" s="201"/>
      <c r="JS1363" s="201"/>
      <c r="JT1363" s="201"/>
      <c r="JU1363" s="201"/>
      <c r="JV1363" s="201"/>
      <c r="JW1363" s="201"/>
      <c r="JX1363" s="201"/>
      <c r="JY1363" s="201"/>
      <c r="JZ1363" s="201"/>
      <c r="KA1363" s="201"/>
      <c r="KB1363" s="201"/>
      <c r="KC1363" s="201"/>
      <c r="KD1363" s="201"/>
      <c r="KE1363" s="201"/>
      <c r="KF1363" s="201"/>
      <c r="KG1363" s="201"/>
      <c r="KH1363" s="201"/>
      <c r="KI1363" s="201"/>
      <c r="KJ1363" s="201"/>
      <c r="KK1363" s="201"/>
      <c r="KL1363" s="201"/>
      <c r="KM1363" s="201"/>
      <c r="KN1363" s="201"/>
      <c r="KO1363" s="201"/>
      <c r="KP1363" s="201"/>
      <c r="KQ1363" s="201"/>
      <c r="KR1363" s="201"/>
      <c r="KS1363" s="201"/>
      <c r="KT1363" s="201"/>
      <c r="KU1363" s="201"/>
      <c r="KV1363" s="201"/>
      <c r="KW1363" s="201"/>
      <c r="KX1363" s="201"/>
      <c r="KY1363" s="201"/>
      <c r="KZ1363" s="201"/>
      <c r="LA1363" s="201"/>
      <c r="LB1363" s="201"/>
      <c r="LC1363" s="201"/>
      <c r="LD1363" s="201"/>
      <c r="LE1363" s="201"/>
      <c r="LF1363" s="201"/>
      <c r="LG1363" s="201"/>
      <c r="LH1363" s="201"/>
      <c r="LI1363" s="201"/>
      <c r="LJ1363" s="201"/>
      <c r="LK1363" s="201"/>
      <c r="LL1363" s="201"/>
      <c r="LM1363" s="201"/>
      <c r="LN1363" s="201"/>
      <c r="LO1363" s="201"/>
      <c r="LP1363" s="201"/>
      <c r="LQ1363" s="201"/>
      <c r="LR1363" s="201"/>
      <c r="LS1363" s="201"/>
      <c r="LT1363" s="201"/>
      <c r="LU1363" s="201"/>
      <c r="LV1363" s="201"/>
      <c r="LW1363" s="201"/>
      <c r="LX1363" s="201"/>
      <c r="LY1363" s="201"/>
      <c r="LZ1363" s="201"/>
      <c r="MA1363" s="201"/>
      <c r="MB1363" s="201"/>
      <c r="MC1363" s="201"/>
      <c r="MD1363" s="201"/>
      <c r="ME1363" s="201"/>
      <c r="MF1363" s="201"/>
      <c r="MG1363" s="201"/>
      <c r="MH1363" s="201"/>
      <c r="MI1363" s="201"/>
      <c r="MJ1363" s="201"/>
      <c r="MK1363" s="201"/>
      <c r="ML1363" s="201"/>
      <c r="MM1363" s="201"/>
      <c r="MN1363" s="201"/>
      <c r="MO1363" s="201"/>
      <c r="MP1363" s="201"/>
      <c r="MQ1363" s="201"/>
      <c r="MR1363" s="201"/>
      <c r="MS1363" s="201"/>
      <c r="MT1363" s="201"/>
      <c r="MU1363" s="201"/>
      <c r="MV1363" s="201"/>
      <c r="MW1363" s="201"/>
      <c r="MX1363" s="201"/>
      <c r="MY1363" s="201"/>
      <c r="MZ1363" s="201"/>
      <c r="NA1363" s="201"/>
      <c r="NB1363" s="201"/>
      <c r="NC1363" s="201"/>
      <c r="ND1363" s="201"/>
      <c r="NE1363" s="201"/>
      <c r="NF1363" s="201"/>
      <c r="NG1363" s="201"/>
      <c r="NH1363" s="201"/>
      <c r="NI1363" s="201"/>
      <c r="NJ1363" s="201"/>
      <c r="NK1363" s="201"/>
      <c r="NL1363" s="201"/>
      <c r="NM1363" s="201"/>
      <c r="NN1363" s="201"/>
      <c r="NO1363" s="201"/>
      <c r="NP1363" s="201"/>
      <c r="NQ1363" s="201"/>
      <c r="NR1363" s="201"/>
      <c r="NS1363" s="201"/>
      <c r="NT1363" s="201"/>
      <c r="NU1363" s="201"/>
      <c r="NV1363" s="201"/>
      <c r="NW1363" s="201"/>
      <c r="NX1363" s="201"/>
      <c r="NY1363" s="201"/>
      <c r="NZ1363" s="201"/>
      <c r="OA1363" s="201"/>
      <c r="OB1363" s="201"/>
      <c r="OC1363" s="201"/>
      <c r="OD1363" s="201"/>
      <c r="OE1363" s="201"/>
      <c r="OF1363" s="201"/>
      <c r="OG1363" s="201"/>
      <c r="OH1363" s="201"/>
      <c r="OI1363" s="201"/>
      <c r="OJ1363" s="201"/>
      <c r="OK1363" s="201"/>
      <c r="OL1363" s="201"/>
      <c r="OM1363" s="201"/>
      <c r="ON1363" s="201"/>
      <c r="OO1363" s="201"/>
      <c r="OP1363" s="201"/>
      <c r="OQ1363" s="201"/>
      <c r="OR1363" s="201"/>
      <c r="OS1363" s="201"/>
      <c r="OT1363" s="201"/>
      <c r="OU1363" s="201"/>
      <c r="OV1363" s="201"/>
      <c r="OW1363" s="201"/>
      <c r="OX1363" s="201"/>
      <c r="OY1363" s="201"/>
      <c r="OZ1363" s="201"/>
      <c r="PA1363" s="201"/>
      <c r="PB1363" s="201"/>
      <c r="PC1363" s="201"/>
      <c r="PD1363" s="201"/>
      <c r="PE1363" s="201"/>
      <c r="PF1363" s="201"/>
      <c r="PG1363" s="201"/>
      <c r="PH1363" s="201"/>
      <c r="PI1363" s="201"/>
      <c r="PJ1363" s="201"/>
      <c r="PK1363" s="201"/>
      <c r="PL1363" s="201"/>
      <c r="PM1363" s="201"/>
      <c r="PN1363" s="201"/>
      <c r="PO1363" s="201"/>
      <c r="PP1363" s="201"/>
      <c r="PQ1363" s="201"/>
      <c r="PR1363" s="201"/>
      <c r="PS1363" s="201"/>
      <c r="PT1363" s="201"/>
      <c r="PU1363" s="201"/>
      <c r="PV1363" s="201"/>
      <c r="PW1363" s="201"/>
      <c r="PX1363" s="201"/>
      <c r="PY1363" s="201"/>
      <c r="PZ1363" s="201"/>
      <c r="QA1363" s="201"/>
      <c r="QB1363" s="201"/>
      <c r="QC1363" s="201"/>
      <c r="QD1363" s="201"/>
      <c r="QE1363" s="201"/>
      <c r="QF1363" s="201"/>
      <c r="QG1363" s="201"/>
      <c r="QH1363" s="201"/>
      <c r="QI1363" s="201"/>
      <c r="QJ1363" s="201"/>
      <c r="QK1363" s="201"/>
      <c r="QL1363" s="201"/>
      <c r="QM1363" s="201"/>
      <c r="QN1363" s="201"/>
      <c r="QO1363" s="201"/>
      <c r="QP1363" s="201"/>
      <c r="QQ1363" s="201"/>
      <c r="QR1363" s="201"/>
      <c r="QS1363" s="201"/>
      <c r="QT1363" s="201"/>
      <c r="QU1363" s="201"/>
      <c r="QV1363" s="201"/>
      <c r="QW1363" s="201"/>
      <c r="QX1363" s="201"/>
      <c r="QY1363" s="201"/>
      <c r="QZ1363" s="201"/>
      <c r="RA1363" s="201"/>
      <c r="RB1363" s="201"/>
      <c r="RC1363" s="201"/>
      <c r="RD1363" s="201"/>
      <c r="RE1363" s="201"/>
      <c r="RF1363" s="201"/>
      <c r="RG1363" s="201"/>
      <c r="RH1363" s="201"/>
      <c r="RI1363" s="201"/>
      <c r="RJ1363" s="201"/>
      <c r="RK1363" s="201"/>
      <c r="RL1363" s="201"/>
      <c r="RM1363" s="201"/>
      <c r="RN1363" s="201"/>
      <c r="RO1363" s="201"/>
      <c r="RP1363" s="201"/>
      <c r="RQ1363" s="201"/>
      <c r="RR1363" s="201"/>
      <c r="RS1363" s="201"/>
      <c r="RT1363" s="201"/>
      <c r="RU1363" s="201"/>
      <c r="RV1363" s="201"/>
      <c r="RW1363" s="201"/>
      <c r="RX1363" s="201"/>
      <c r="RY1363" s="201"/>
      <c r="RZ1363" s="201"/>
      <c r="SA1363" s="201"/>
      <c r="SB1363" s="201"/>
      <c r="SC1363" s="201"/>
      <c r="SD1363" s="201"/>
      <c r="SE1363" s="201"/>
      <c r="SF1363" s="201"/>
      <c r="SG1363" s="201"/>
      <c r="SH1363" s="201"/>
      <c r="SI1363" s="201"/>
      <c r="SJ1363" s="201"/>
      <c r="SK1363" s="201"/>
      <c r="SL1363" s="201"/>
      <c r="SM1363" s="201"/>
      <c r="SN1363" s="201"/>
      <c r="SO1363" s="201"/>
      <c r="SP1363" s="201"/>
      <c r="SQ1363" s="201"/>
      <c r="SR1363" s="201"/>
      <c r="SS1363" s="201"/>
      <c r="ST1363" s="201"/>
      <c r="SU1363" s="201"/>
      <c r="SV1363" s="201"/>
      <c r="SW1363" s="201"/>
      <c r="SX1363" s="201"/>
      <c r="SY1363" s="201"/>
      <c r="SZ1363" s="201"/>
      <c r="TA1363" s="201"/>
      <c r="TB1363" s="201"/>
      <c r="TC1363" s="201"/>
      <c r="TD1363" s="201"/>
      <c r="TE1363" s="201"/>
      <c r="TF1363" s="201"/>
      <c r="TG1363" s="201"/>
      <c r="TH1363" s="201"/>
      <c r="TI1363" s="201"/>
      <c r="TJ1363" s="201"/>
      <c r="TK1363" s="201"/>
      <c r="TL1363" s="201"/>
      <c r="TM1363" s="201"/>
      <c r="TN1363" s="201"/>
      <c r="TO1363" s="201"/>
      <c r="TP1363" s="201"/>
      <c r="TQ1363" s="201"/>
      <c r="TR1363" s="201"/>
      <c r="TS1363" s="201"/>
      <c r="TT1363" s="201"/>
      <c r="TU1363" s="201"/>
      <c r="TV1363" s="201"/>
      <c r="TW1363" s="201"/>
      <c r="TX1363" s="201"/>
      <c r="TY1363" s="201"/>
      <c r="TZ1363" s="201"/>
      <c r="UA1363" s="201"/>
      <c r="UB1363" s="201"/>
      <c r="UC1363" s="201"/>
      <c r="UD1363" s="201"/>
      <c r="UE1363" s="201"/>
      <c r="UF1363" s="201"/>
      <c r="UG1363" s="201"/>
    </row>
    <row r="1364" spans="1:553" ht="27" customHeight="1">
      <c r="A1364" s="366" t="s">
        <v>15</v>
      </c>
      <c r="B1364" s="385"/>
      <c r="C1364" s="1446" t="s">
        <v>52</v>
      </c>
      <c r="D1364" s="1502"/>
      <c r="E1364" s="1502"/>
      <c r="F1364" s="1503"/>
      <c r="G1364" s="808" t="str">
        <f>G1378</f>
        <v>m2</v>
      </c>
      <c r="H1364" s="502"/>
      <c r="I1364" s="502">
        <f>H1319</f>
        <v>846.7</v>
      </c>
      <c r="J1364" s="1243">
        <v>16000</v>
      </c>
      <c r="K1364" s="809"/>
      <c r="L1364" s="679">
        <f>I1364*J1364</f>
        <v>13547200</v>
      </c>
      <c r="M1364" s="1226"/>
      <c r="N1364" s="1226"/>
      <c r="O1364" s="762"/>
      <c r="P1364" s="366"/>
      <c r="Q1364" s="812"/>
      <c r="R1364" s="1226"/>
      <c r="S1364" s="308"/>
      <c r="T1364" s="308"/>
      <c r="U1364" s="308"/>
      <c r="V1364" s="308"/>
      <c r="W1364" s="308"/>
      <c r="X1364" s="308"/>
      <c r="Y1364" s="308"/>
      <c r="Z1364" s="604"/>
      <c r="AA1364" s="308"/>
      <c r="AB1364" s="308"/>
      <c r="AC1364" s="486"/>
      <c r="AD1364" s="486"/>
      <c r="AE1364" s="486"/>
      <c r="AF1364" s="486"/>
      <c r="AG1364" s="486"/>
      <c r="AH1364" s="486"/>
      <c r="AI1364" s="486"/>
      <c r="AJ1364" s="486"/>
      <c r="AK1364" s="486"/>
      <c r="AL1364" s="206"/>
      <c r="AM1364" s="29"/>
      <c r="AN1364" s="29"/>
      <c r="AO1364" s="29"/>
      <c r="AP1364" s="29"/>
      <c r="AQ1364" s="29"/>
      <c r="AR1364" s="29"/>
      <c r="AS1364" s="29"/>
      <c r="AT1364" s="29"/>
      <c r="AU1364" s="29"/>
      <c r="AV1364" s="29"/>
      <c r="AW1364" s="29"/>
      <c r="AX1364" s="29"/>
      <c r="AY1364" s="29"/>
      <c r="AZ1364" s="29"/>
      <c r="BA1364" s="29"/>
      <c r="BB1364" s="29"/>
      <c r="BC1364" s="29"/>
      <c r="BD1364" s="29"/>
      <c r="BE1364" s="29"/>
      <c r="BF1364" s="29"/>
      <c r="BG1364" s="29"/>
      <c r="BH1364" s="29"/>
      <c r="BI1364" s="29"/>
      <c r="BJ1364" s="29"/>
      <c r="BK1364" s="29"/>
      <c r="BL1364" s="29"/>
      <c r="BM1364" s="29"/>
      <c r="BN1364" s="29"/>
      <c r="BO1364" s="29"/>
      <c r="BP1364" s="29"/>
      <c r="BQ1364" s="29"/>
      <c r="BR1364" s="29"/>
      <c r="BS1364" s="29"/>
      <c r="BT1364" s="29"/>
      <c r="BU1364" s="29"/>
      <c r="BV1364" s="29"/>
      <c r="BW1364" s="29"/>
      <c r="BX1364" s="29"/>
      <c r="BY1364" s="29"/>
      <c r="BZ1364" s="29"/>
      <c r="CA1364" s="29"/>
      <c r="CB1364" s="29"/>
      <c r="CC1364" s="29"/>
      <c r="CD1364" s="29"/>
      <c r="CE1364" s="29"/>
      <c r="CF1364" s="29"/>
      <c r="CG1364" s="29"/>
      <c r="CH1364" s="29"/>
      <c r="CI1364" s="29"/>
      <c r="CJ1364" s="29"/>
      <c r="CK1364" s="29"/>
      <c r="CL1364" s="29"/>
      <c r="CM1364" s="29"/>
      <c r="CN1364" s="29"/>
      <c r="CO1364" s="29"/>
      <c r="CP1364" s="29"/>
      <c r="CQ1364" s="29"/>
      <c r="CR1364" s="29"/>
      <c r="CS1364" s="29"/>
      <c r="CT1364" s="29"/>
      <c r="CU1364" s="29"/>
      <c r="CV1364" s="29"/>
      <c r="CW1364" s="29"/>
      <c r="CX1364" s="29"/>
      <c r="CY1364" s="29"/>
      <c r="CZ1364" s="29"/>
      <c r="DA1364" s="29"/>
      <c r="DB1364" s="29"/>
      <c r="DC1364" s="29"/>
      <c r="DD1364" s="29"/>
      <c r="DE1364" s="29"/>
      <c r="DF1364" s="29"/>
      <c r="DG1364" s="29"/>
      <c r="DH1364" s="29"/>
      <c r="DI1364" s="29"/>
      <c r="DJ1364" s="29"/>
      <c r="DK1364" s="29"/>
      <c r="DL1364" s="29"/>
      <c r="DM1364" s="29"/>
      <c r="DN1364" s="29"/>
      <c r="DO1364" s="29"/>
      <c r="DP1364" s="29"/>
      <c r="DQ1364" s="29"/>
      <c r="DR1364" s="29"/>
      <c r="DS1364" s="29"/>
      <c r="DT1364" s="29"/>
      <c r="DU1364" s="29"/>
      <c r="DV1364" s="29"/>
      <c r="DW1364" s="29"/>
      <c r="DX1364" s="29"/>
      <c r="DY1364" s="29"/>
      <c r="DZ1364" s="29"/>
      <c r="EA1364" s="29"/>
      <c r="EB1364" s="29"/>
      <c r="EC1364" s="29"/>
      <c r="ED1364" s="29"/>
      <c r="EE1364" s="29"/>
      <c r="EF1364" s="29"/>
      <c r="EG1364" s="29"/>
      <c r="EH1364" s="29"/>
      <c r="EI1364" s="29"/>
      <c r="EJ1364" s="29"/>
      <c r="EK1364" s="29"/>
      <c r="EL1364" s="29"/>
      <c r="EM1364" s="29"/>
      <c r="EN1364" s="29"/>
      <c r="EO1364" s="29"/>
      <c r="EP1364" s="29"/>
      <c r="EQ1364" s="29"/>
      <c r="ER1364" s="29"/>
      <c r="ES1364" s="29"/>
      <c r="ET1364" s="29"/>
      <c r="EU1364" s="29"/>
      <c r="EV1364" s="29"/>
      <c r="EW1364" s="29"/>
      <c r="EX1364" s="29"/>
      <c r="EY1364" s="29"/>
      <c r="EZ1364" s="29"/>
      <c r="FA1364" s="29"/>
      <c r="FB1364" s="29"/>
      <c r="FC1364" s="29"/>
      <c r="FD1364" s="29"/>
      <c r="FE1364" s="29"/>
      <c r="FF1364" s="29"/>
      <c r="FG1364" s="29"/>
      <c r="FH1364" s="29"/>
      <c r="FI1364" s="29"/>
      <c r="FJ1364" s="29"/>
      <c r="FK1364" s="29"/>
      <c r="FL1364" s="29"/>
      <c r="FM1364" s="29"/>
      <c r="FN1364" s="29"/>
      <c r="FO1364" s="29"/>
      <c r="FP1364" s="29"/>
      <c r="FQ1364" s="29"/>
      <c r="FR1364" s="29"/>
      <c r="FS1364" s="29"/>
      <c r="FT1364" s="29"/>
      <c r="FU1364" s="29"/>
      <c r="FV1364" s="29"/>
      <c r="FW1364" s="29"/>
      <c r="FX1364" s="29"/>
      <c r="FY1364" s="29"/>
      <c r="FZ1364" s="29"/>
      <c r="GA1364" s="29"/>
      <c r="GB1364" s="29"/>
      <c r="GC1364" s="29"/>
      <c r="GD1364" s="29"/>
      <c r="GE1364" s="29"/>
      <c r="GF1364" s="29"/>
      <c r="GG1364" s="29"/>
      <c r="GH1364" s="29"/>
      <c r="GI1364" s="29"/>
      <c r="GJ1364" s="29"/>
      <c r="GK1364" s="29"/>
      <c r="GL1364" s="29"/>
      <c r="GM1364" s="29"/>
      <c r="GN1364" s="29"/>
      <c r="GO1364" s="29"/>
      <c r="GP1364" s="29"/>
      <c r="GQ1364" s="29"/>
      <c r="GR1364" s="29"/>
      <c r="GS1364" s="29"/>
      <c r="GT1364" s="29"/>
      <c r="GU1364" s="29"/>
      <c r="GV1364" s="29"/>
      <c r="GW1364" s="29"/>
      <c r="GX1364" s="29"/>
      <c r="GY1364" s="29"/>
      <c r="GZ1364" s="29"/>
      <c r="HA1364" s="29"/>
      <c r="HB1364" s="29"/>
      <c r="HC1364" s="29"/>
      <c r="HD1364" s="29"/>
      <c r="HE1364" s="29"/>
      <c r="HF1364" s="29"/>
      <c r="HG1364" s="29"/>
      <c r="HH1364" s="29"/>
      <c r="HI1364" s="29"/>
      <c r="HJ1364" s="29"/>
      <c r="HK1364" s="29"/>
      <c r="HL1364" s="29"/>
      <c r="HM1364" s="29"/>
      <c r="HN1364" s="29"/>
      <c r="HO1364" s="29"/>
      <c r="HP1364" s="29"/>
      <c r="HQ1364" s="29"/>
      <c r="HR1364" s="29"/>
      <c r="HS1364" s="29"/>
      <c r="HT1364" s="29"/>
      <c r="HU1364" s="29"/>
      <c r="HV1364" s="29"/>
      <c r="HW1364" s="29"/>
      <c r="HX1364" s="29"/>
      <c r="HY1364" s="29"/>
      <c r="HZ1364" s="29"/>
      <c r="IA1364" s="29"/>
      <c r="IB1364" s="29"/>
      <c r="IC1364" s="29"/>
      <c r="ID1364" s="29"/>
      <c r="IE1364" s="29"/>
      <c r="IF1364" s="29"/>
      <c r="IG1364" s="29"/>
      <c r="IH1364" s="29"/>
      <c r="II1364" s="29"/>
      <c r="IJ1364" s="29"/>
      <c r="IK1364" s="29"/>
      <c r="IL1364" s="29"/>
      <c r="IM1364" s="29"/>
      <c r="IN1364" s="29"/>
      <c r="IO1364" s="29"/>
      <c r="IP1364" s="29"/>
      <c r="IQ1364" s="29"/>
      <c r="IR1364" s="29"/>
      <c r="IS1364" s="29"/>
      <c r="IT1364" s="29"/>
      <c r="IU1364" s="29"/>
      <c r="IV1364" s="29"/>
      <c r="IW1364" s="29"/>
      <c r="IX1364" s="29"/>
      <c r="IY1364" s="29"/>
      <c r="IZ1364" s="29"/>
      <c r="JA1364" s="29"/>
      <c r="JB1364" s="29"/>
      <c r="JC1364" s="29"/>
      <c r="JD1364" s="29"/>
      <c r="JE1364" s="29"/>
      <c r="JF1364" s="29"/>
      <c r="JG1364" s="29"/>
      <c r="JH1364" s="29"/>
      <c r="JI1364" s="29"/>
      <c r="JJ1364" s="29"/>
      <c r="JK1364" s="29"/>
      <c r="JL1364" s="29"/>
      <c r="JM1364" s="29"/>
      <c r="JN1364" s="29"/>
      <c r="JO1364" s="29"/>
      <c r="JP1364" s="29"/>
      <c r="JQ1364" s="29"/>
      <c r="JR1364" s="29"/>
      <c r="JS1364" s="29"/>
      <c r="JT1364" s="29"/>
      <c r="JU1364" s="29"/>
      <c r="JV1364" s="29"/>
      <c r="JW1364" s="29"/>
      <c r="JX1364" s="29"/>
      <c r="JY1364" s="29"/>
      <c r="JZ1364" s="29"/>
      <c r="KA1364" s="29"/>
      <c r="KB1364" s="29"/>
      <c r="KC1364" s="29"/>
      <c r="KD1364" s="29"/>
      <c r="KE1364" s="29"/>
      <c r="KF1364" s="29"/>
      <c r="KG1364" s="29"/>
      <c r="KH1364" s="29"/>
      <c r="KI1364" s="29"/>
      <c r="KJ1364" s="29"/>
      <c r="KK1364" s="29"/>
      <c r="KL1364" s="29"/>
      <c r="KM1364" s="29"/>
      <c r="KN1364" s="29"/>
      <c r="KO1364" s="29"/>
      <c r="KP1364" s="29"/>
      <c r="KQ1364" s="29"/>
      <c r="KR1364" s="29"/>
      <c r="KS1364" s="29"/>
      <c r="KT1364" s="29"/>
      <c r="KU1364" s="29"/>
      <c r="KV1364" s="29"/>
      <c r="KW1364" s="29"/>
      <c r="KX1364" s="29"/>
      <c r="KY1364" s="29"/>
      <c r="KZ1364" s="29"/>
      <c r="LA1364" s="29"/>
      <c r="LB1364" s="29"/>
      <c r="LC1364" s="29"/>
      <c r="LD1364" s="29"/>
      <c r="LE1364" s="29"/>
      <c r="LF1364" s="29"/>
      <c r="LG1364" s="29"/>
      <c r="LH1364" s="29"/>
      <c r="LI1364" s="29"/>
      <c r="LJ1364" s="29"/>
      <c r="LK1364" s="29"/>
      <c r="LL1364" s="29"/>
      <c r="LM1364" s="29"/>
      <c r="LN1364" s="29"/>
      <c r="LO1364" s="29"/>
      <c r="LP1364" s="29"/>
      <c r="LQ1364" s="29"/>
      <c r="LR1364" s="29"/>
      <c r="LS1364" s="29"/>
      <c r="LT1364" s="29"/>
      <c r="LU1364" s="29"/>
      <c r="LV1364" s="29"/>
      <c r="LW1364" s="29"/>
      <c r="LX1364" s="29"/>
      <c r="LY1364" s="29"/>
      <c r="LZ1364" s="29"/>
      <c r="MA1364" s="29"/>
      <c r="MB1364" s="29"/>
      <c r="MC1364" s="29"/>
      <c r="MD1364" s="29"/>
      <c r="ME1364" s="29"/>
      <c r="MF1364" s="29"/>
      <c r="MG1364" s="29"/>
      <c r="MH1364" s="29"/>
      <c r="MI1364" s="29"/>
      <c r="MJ1364" s="29"/>
      <c r="MK1364" s="29"/>
      <c r="ML1364" s="29"/>
      <c r="MM1364" s="29"/>
      <c r="MN1364" s="29"/>
      <c r="MO1364" s="29"/>
      <c r="MP1364" s="29"/>
      <c r="MQ1364" s="29"/>
      <c r="MR1364" s="29"/>
      <c r="MS1364" s="29"/>
      <c r="MT1364" s="29"/>
      <c r="MU1364" s="29"/>
      <c r="MV1364" s="29"/>
      <c r="MW1364" s="29"/>
      <c r="MX1364" s="29"/>
      <c r="MY1364" s="29"/>
      <c r="MZ1364" s="29"/>
      <c r="NA1364" s="29"/>
      <c r="NB1364" s="29"/>
      <c r="NC1364" s="29"/>
      <c r="ND1364" s="29"/>
      <c r="NE1364" s="29"/>
      <c r="NF1364" s="29"/>
      <c r="NG1364" s="29"/>
      <c r="NH1364" s="29"/>
      <c r="NI1364" s="29"/>
      <c r="NJ1364" s="29"/>
      <c r="NK1364" s="29"/>
      <c r="NL1364" s="29"/>
      <c r="NM1364" s="29"/>
      <c r="NN1364" s="29"/>
      <c r="NO1364" s="29"/>
      <c r="NP1364" s="29"/>
      <c r="NQ1364" s="29"/>
      <c r="NR1364" s="29"/>
      <c r="NS1364" s="29"/>
      <c r="NT1364" s="29"/>
      <c r="NU1364" s="29"/>
      <c r="NV1364" s="29"/>
      <c r="NW1364" s="29"/>
      <c r="NX1364" s="29"/>
      <c r="NY1364" s="29"/>
      <c r="NZ1364" s="29"/>
      <c r="OA1364" s="29"/>
      <c r="OB1364" s="29"/>
      <c r="OC1364" s="29"/>
      <c r="OD1364" s="29"/>
      <c r="OE1364" s="29"/>
      <c r="OF1364" s="29"/>
      <c r="OG1364" s="29"/>
      <c r="OH1364" s="29"/>
      <c r="OI1364" s="29"/>
      <c r="OJ1364" s="29"/>
      <c r="OK1364" s="29"/>
      <c r="OL1364" s="29"/>
      <c r="OM1364" s="29"/>
      <c r="ON1364" s="29"/>
      <c r="OO1364" s="29"/>
      <c r="OP1364" s="29"/>
      <c r="OQ1364" s="29"/>
      <c r="OR1364" s="29"/>
      <c r="OS1364" s="29"/>
      <c r="OT1364" s="29"/>
      <c r="OU1364" s="29"/>
      <c r="OV1364" s="29"/>
      <c r="OW1364" s="29"/>
      <c r="OX1364" s="29"/>
      <c r="OY1364" s="29"/>
      <c r="OZ1364" s="29"/>
      <c r="PA1364" s="29"/>
      <c r="PB1364" s="29"/>
      <c r="PC1364" s="29"/>
      <c r="PD1364" s="29"/>
      <c r="PE1364" s="29"/>
      <c r="PF1364" s="29"/>
      <c r="PG1364" s="29"/>
      <c r="PH1364" s="29"/>
      <c r="PI1364" s="29"/>
      <c r="PJ1364" s="29"/>
      <c r="PK1364" s="29"/>
      <c r="PL1364" s="29"/>
      <c r="PM1364" s="29"/>
      <c r="PN1364" s="29"/>
      <c r="PO1364" s="29"/>
      <c r="PP1364" s="29"/>
      <c r="PQ1364" s="29"/>
      <c r="PR1364" s="29"/>
      <c r="PS1364" s="29"/>
      <c r="PT1364" s="29"/>
      <c r="PU1364" s="29"/>
      <c r="PV1364" s="29"/>
      <c r="PW1364" s="29"/>
      <c r="PX1364" s="29"/>
      <c r="PY1364" s="29"/>
      <c r="PZ1364" s="29"/>
      <c r="QA1364" s="29"/>
      <c r="QB1364" s="29"/>
      <c r="QC1364" s="29"/>
      <c r="QD1364" s="29"/>
      <c r="QE1364" s="29"/>
      <c r="QF1364" s="29"/>
      <c r="QG1364" s="29"/>
      <c r="QH1364" s="29"/>
      <c r="QI1364" s="29"/>
      <c r="QJ1364" s="29"/>
      <c r="QK1364" s="29"/>
      <c r="QL1364" s="29"/>
      <c r="QM1364" s="29"/>
      <c r="QN1364" s="29"/>
      <c r="QO1364" s="29"/>
      <c r="QP1364" s="29"/>
      <c r="QQ1364" s="29"/>
      <c r="QR1364" s="29"/>
      <c r="QS1364" s="29"/>
      <c r="QT1364" s="29"/>
      <c r="QU1364" s="29"/>
      <c r="QV1364" s="29"/>
      <c r="QW1364" s="29"/>
      <c r="QX1364" s="29"/>
      <c r="QY1364" s="29"/>
      <c r="QZ1364" s="29"/>
      <c r="RA1364" s="29"/>
      <c r="RB1364" s="29"/>
      <c r="RC1364" s="29"/>
      <c r="RD1364" s="29"/>
      <c r="RE1364" s="29"/>
      <c r="RF1364" s="29"/>
      <c r="RG1364" s="29"/>
      <c r="RH1364" s="29"/>
      <c r="RI1364" s="29"/>
      <c r="RJ1364" s="29"/>
      <c r="RK1364" s="29"/>
      <c r="RL1364" s="29"/>
      <c r="RM1364" s="29"/>
      <c r="RN1364" s="29"/>
      <c r="RO1364" s="29"/>
      <c r="RP1364" s="29"/>
      <c r="RQ1364" s="29"/>
      <c r="RR1364" s="29"/>
      <c r="RS1364" s="29"/>
      <c r="RT1364" s="29"/>
      <c r="RU1364" s="29"/>
      <c r="RV1364" s="29"/>
      <c r="RW1364" s="29"/>
      <c r="RX1364" s="29"/>
      <c r="RY1364" s="29"/>
      <c r="RZ1364" s="29"/>
      <c r="SA1364" s="29"/>
      <c r="SB1364" s="29"/>
      <c r="SC1364" s="29"/>
      <c r="SD1364" s="29"/>
      <c r="SE1364" s="29"/>
      <c r="SF1364" s="29"/>
      <c r="SG1364" s="29"/>
      <c r="SH1364" s="29"/>
      <c r="SI1364" s="29"/>
      <c r="SJ1364" s="29"/>
      <c r="SK1364" s="29"/>
      <c r="SL1364" s="29"/>
      <c r="SM1364" s="29"/>
      <c r="SN1364" s="29"/>
      <c r="SO1364" s="29"/>
      <c r="SP1364" s="29"/>
      <c r="SQ1364" s="29"/>
      <c r="SR1364" s="29"/>
      <c r="SS1364" s="29"/>
      <c r="ST1364" s="29"/>
      <c r="SU1364" s="29"/>
      <c r="SV1364" s="29"/>
      <c r="SW1364" s="29"/>
      <c r="SX1364" s="29"/>
      <c r="SY1364" s="29"/>
      <c r="SZ1364" s="29"/>
      <c r="TA1364" s="29"/>
      <c r="TB1364" s="29"/>
      <c r="TC1364" s="29"/>
      <c r="TD1364" s="29"/>
      <c r="TE1364" s="29"/>
      <c r="TF1364" s="29"/>
      <c r="TG1364" s="29"/>
      <c r="TH1364" s="29"/>
      <c r="TI1364" s="29"/>
      <c r="TJ1364" s="29"/>
      <c r="TK1364" s="29"/>
      <c r="TL1364" s="29"/>
      <c r="TM1364" s="29"/>
      <c r="TN1364" s="29"/>
      <c r="TO1364" s="29"/>
      <c r="TP1364" s="29"/>
      <c r="TQ1364" s="29"/>
      <c r="TR1364" s="29"/>
      <c r="TS1364" s="29"/>
      <c r="TT1364" s="29"/>
      <c r="TU1364" s="29"/>
      <c r="TV1364" s="29"/>
      <c r="TW1364" s="29"/>
      <c r="TX1364" s="29"/>
      <c r="TY1364" s="29"/>
      <c r="TZ1364" s="29"/>
      <c r="UA1364" s="29"/>
      <c r="UB1364" s="29"/>
      <c r="UC1364" s="29"/>
      <c r="UD1364" s="29"/>
      <c r="UE1364" s="29"/>
      <c r="UF1364" s="29"/>
      <c r="UG1364" s="29"/>
    </row>
    <row r="1365" spans="1:553" ht="42.65" customHeight="1">
      <c r="A1365" s="356" t="s">
        <v>53</v>
      </c>
      <c r="B1365" s="356"/>
      <c r="C1365" s="1413" t="s">
        <v>732</v>
      </c>
      <c r="D1365" s="1389"/>
      <c r="E1365" s="1389"/>
      <c r="F1365" s="1390"/>
      <c r="G1365" s="356"/>
      <c r="H1365" s="810"/>
      <c r="I1365" s="810"/>
      <c r="J1365" s="1067"/>
      <c r="K1365" s="811"/>
      <c r="L1365" s="1201">
        <v>0</v>
      </c>
      <c r="M1365" s="414"/>
      <c r="N1365" s="414"/>
      <c r="O1365" s="356"/>
      <c r="P1365" s="356">
        <f>L1365</f>
        <v>0</v>
      </c>
      <c r="Q1365" s="610"/>
      <c r="R1365" s="1226"/>
      <c r="S1365" s="308"/>
      <c r="T1365" s="308"/>
      <c r="U1365" s="308"/>
      <c r="V1365" s="308"/>
      <c r="W1365" s="308"/>
      <c r="X1365" s="308"/>
      <c r="Y1365" s="308"/>
      <c r="Z1365" s="604"/>
      <c r="AA1365" s="308"/>
      <c r="AB1365" s="308"/>
      <c r="AC1365" s="486"/>
      <c r="AD1365" s="486"/>
      <c r="AE1365" s="486"/>
      <c r="AF1365" s="486"/>
      <c r="AG1365" s="486"/>
      <c r="AH1365" s="486"/>
      <c r="AI1365" s="486"/>
      <c r="AJ1365" s="486"/>
      <c r="AK1365" s="486"/>
      <c r="AL1365" s="206"/>
      <c r="AM1365" s="29"/>
      <c r="AN1365" s="29"/>
      <c r="AO1365" s="29"/>
      <c r="AP1365" s="29"/>
      <c r="AQ1365" s="29"/>
      <c r="AR1365" s="29"/>
      <c r="AS1365" s="29"/>
      <c r="AT1365" s="29"/>
      <c r="AU1365" s="29"/>
      <c r="AV1365" s="29"/>
      <c r="AW1365" s="29"/>
      <c r="AX1365" s="29"/>
      <c r="AY1365" s="29"/>
      <c r="AZ1365" s="29"/>
      <c r="BA1365" s="29"/>
      <c r="BB1365" s="29"/>
      <c r="BC1365" s="29"/>
      <c r="BD1365" s="29"/>
      <c r="BE1365" s="29"/>
      <c r="BF1365" s="29"/>
      <c r="BG1365" s="29"/>
      <c r="BH1365" s="29"/>
      <c r="BI1365" s="29"/>
      <c r="BJ1365" s="29"/>
      <c r="BK1365" s="29"/>
      <c r="BL1365" s="29"/>
      <c r="BM1365" s="29"/>
      <c r="BN1365" s="29"/>
      <c r="BO1365" s="29"/>
      <c r="BP1365" s="29"/>
      <c r="BQ1365" s="29"/>
      <c r="BR1365" s="29"/>
      <c r="BS1365" s="29"/>
      <c r="BT1365" s="29"/>
      <c r="BU1365" s="29"/>
      <c r="BV1365" s="29"/>
      <c r="BW1365" s="29"/>
      <c r="BX1365" s="29"/>
      <c r="BY1365" s="29"/>
      <c r="BZ1365" s="29"/>
      <c r="CA1365" s="29"/>
      <c r="CB1365" s="29"/>
      <c r="CC1365" s="29"/>
      <c r="CD1365" s="29"/>
      <c r="CE1365" s="29"/>
      <c r="CF1365" s="29"/>
      <c r="CG1365" s="29"/>
      <c r="CH1365" s="29"/>
      <c r="CI1365" s="29"/>
      <c r="CJ1365" s="29"/>
      <c r="CK1365" s="29"/>
      <c r="CL1365" s="29"/>
      <c r="CM1365" s="29"/>
      <c r="CN1365" s="29"/>
      <c r="CO1365" s="29"/>
      <c r="CP1365" s="29"/>
      <c r="CQ1365" s="29"/>
      <c r="CR1365" s="29"/>
      <c r="CS1365" s="29"/>
      <c r="CT1365" s="29"/>
      <c r="CU1365" s="29"/>
      <c r="CV1365" s="29"/>
      <c r="CW1365" s="29"/>
      <c r="CX1365" s="29"/>
      <c r="CY1365" s="29"/>
      <c r="CZ1365" s="29"/>
      <c r="DA1365" s="29"/>
      <c r="DB1365" s="29"/>
      <c r="DC1365" s="29"/>
      <c r="DD1365" s="29"/>
      <c r="DE1365" s="29"/>
      <c r="DF1365" s="29"/>
      <c r="DG1365" s="29"/>
      <c r="DH1365" s="29"/>
      <c r="DI1365" s="29"/>
      <c r="DJ1365" s="29"/>
      <c r="DK1365" s="29"/>
      <c r="DL1365" s="29"/>
      <c r="DM1365" s="29"/>
      <c r="DN1365" s="29"/>
      <c r="DO1365" s="29"/>
      <c r="DP1365" s="29"/>
      <c r="DQ1365" s="29"/>
      <c r="DR1365" s="29"/>
      <c r="DS1365" s="29"/>
      <c r="DT1365" s="29"/>
      <c r="DU1365" s="29"/>
      <c r="DV1365" s="29"/>
      <c r="DW1365" s="29"/>
      <c r="DX1365" s="29"/>
      <c r="DY1365" s="29"/>
      <c r="DZ1365" s="29"/>
      <c r="EA1365" s="29"/>
      <c r="EB1365" s="29"/>
      <c r="EC1365" s="29"/>
      <c r="ED1365" s="29"/>
      <c r="EE1365" s="29"/>
      <c r="EF1365" s="29"/>
      <c r="EG1365" s="29"/>
      <c r="EH1365" s="29"/>
      <c r="EI1365" s="29"/>
      <c r="EJ1365" s="29"/>
      <c r="EK1365" s="29"/>
      <c r="EL1365" s="29"/>
      <c r="EM1365" s="29"/>
      <c r="EN1365" s="29"/>
      <c r="EO1365" s="29"/>
      <c r="EP1365" s="29"/>
      <c r="EQ1365" s="29"/>
      <c r="ER1365" s="29"/>
      <c r="ES1365" s="29"/>
      <c r="ET1365" s="29"/>
      <c r="EU1365" s="29"/>
      <c r="EV1365" s="29"/>
      <c r="EW1365" s="29"/>
      <c r="EX1365" s="29"/>
      <c r="EY1365" s="29"/>
      <c r="EZ1365" s="29"/>
      <c r="FA1365" s="29"/>
      <c r="FB1365" s="29"/>
      <c r="FC1365" s="29"/>
      <c r="FD1365" s="29"/>
      <c r="FE1365" s="29"/>
      <c r="FF1365" s="29"/>
      <c r="FG1365" s="29"/>
      <c r="FH1365" s="29"/>
      <c r="FI1365" s="29"/>
      <c r="FJ1365" s="29"/>
      <c r="FK1365" s="29"/>
      <c r="FL1365" s="29"/>
      <c r="FM1365" s="29"/>
      <c r="FN1365" s="29"/>
      <c r="FO1365" s="29"/>
      <c r="FP1365" s="29"/>
      <c r="FQ1365" s="29"/>
      <c r="FR1365" s="29"/>
      <c r="FS1365" s="29"/>
      <c r="FT1365" s="29"/>
      <c r="FU1365" s="29"/>
      <c r="FV1365" s="29"/>
      <c r="FW1365" s="29"/>
      <c r="FX1365" s="29"/>
      <c r="FY1365" s="29"/>
      <c r="FZ1365" s="29"/>
      <c r="GA1365" s="29"/>
      <c r="GB1365" s="29"/>
      <c r="GC1365" s="29"/>
      <c r="GD1365" s="29"/>
      <c r="GE1365" s="29"/>
      <c r="GF1365" s="29"/>
      <c r="GG1365" s="29"/>
      <c r="GH1365" s="29"/>
      <c r="GI1365" s="29"/>
      <c r="GJ1365" s="29"/>
      <c r="GK1365" s="29"/>
      <c r="GL1365" s="29"/>
      <c r="GM1365" s="29"/>
      <c r="GN1365" s="29"/>
      <c r="GO1365" s="29"/>
      <c r="GP1365" s="29"/>
      <c r="GQ1365" s="29"/>
      <c r="GR1365" s="29"/>
      <c r="GS1365" s="29"/>
      <c r="GT1365" s="29"/>
      <c r="GU1365" s="29"/>
      <c r="GV1365" s="29"/>
      <c r="GW1365" s="29"/>
      <c r="GX1365" s="29"/>
      <c r="GY1365" s="29"/>
      <c r="GZ1365" s="29"/>
      <c r="HA1365" s="29"/>
      <c r="HB1365" s="29"/>
      <c r="HC1365" s="29"/>
      <c r="HD1365" s="29"/>
      <c r="HE1365" s="29"/>
      <c r="HF1365" s="29"/>
      <c r="HG1365" s="29"/>
      <c r="HH1365" s="29"/>
      <c r="HI1365" s="29"/>
      <c r="HJ1365" s="29"/>
      <c r="HK1365" s="29"/>
      <c r="HL1365" s="29"/>
      <c r="HM1365" s="29"/>
      <c r="HN1365" s="29"/>
      <c r="HO1365" s="29"/>
      <c r="HP1365" s="29"/>
      <c r="HQ1365" s="29"/>
      <c r="HR1365" s="29"/>
      <c r="HS1365" s="29"/>
      <c r="HT1365" s="29"/>
      <c r="HU1365" s="29"/>
      <c r="HV1365" s="29"/>
      <c r="HW1365" s="29"/>
      <c r="HX1365" s="29"/>
      <c r="HY1365" s="29"/>
      <c r="HZ1365" s="29"/>
      <c r="IA1365" s="29"/>
      <c r="IB1365" s="29"/>
      <c r="IC1365" s="29"/>
      <c r="ID1365" s="29"/>
      <c r="IE1365" s="29"/>
      <c r="IF1365" s="29"/>
      <c r="IG1365" s="29"/>
      <c r="IH1365" s="29"/>
      <c r="II1365" s="29"/>
      <c r="IJ1365" s="29"/>
      <c r="IK1365" s="29"/>
      <c r="IL1365" s="29"/>
      <c r="IM1365" s="29"/>
      <c r="IN1365" s="29"/>
      <c r="IO1365" s="29"/>
      <c r="IP1365" s="29"/>
      <c r="IQ1365" s="29"/>
      <c r="IR1365" s="29"/>
      <c r="IS1365" s="29"/>
      <c r="IT1365" s="29"/>
      <c r="IU1365" s="29"/>
      <c r="IV1365" s="29"/>
      <c r="IW1365" s="29"/>
      <c r="IX1365" s="29"/>
      <c r="IY1365" s="29"/>
      <c r="IZ1365" s="29"/>
      <c r="JA1365" s="29"/>
      <c r="JB1365" s="29"/>
      <c r="JC1365" s="29"/>
      <c r="JD1365" s="29"/>
      <c r="JE1365" s="29"/>
      <c r="JF1365" s="29"/>
      <c r="JG1365" s="29"/>
      <c r="JH1365" s="29"/>
      <c r="JI1365" s="29"/>
      <c r="JJ1365" s="29"/>
      <c r="JK1365" s="29"/>
      <c r="JL1365" s="29"/>
      <c r="JM1365" s="29"/>
      <c r="JN1365" s="29"/>
      <c r="JO1365" s="29"/>
      <c r="JP1365" s="29"/>
      <c r="JQ1365" s="29"/>
      <c r="JR1365" s="29"/>
      <c r="JS1365" s="29"/>
      <c r="JT1365" s="29"/>
      <c r="JU1365" s="29"/>
      <c r="JV1365" s="29"/>
      <c r="JW1365" s="29"/>
      <c r="JX1365" s="29"/>
      <c r="JY1365" s="29"/>
      <c r="JZ1365" s="29"/>
      <c r="KA1365" s="29"/>
      <c r="KB1365" s="29"/>
      <c r="KC1365" s="29"/>
      <c r="KD1365" s="29"/>
      <c r="KE1365" s="29"/>
      <c r="KF1365" s="29"/>
      <c r="KG1365" s="29"/>
      <c r="KH1365" s="29"/>
      <c r="KI1365" s="29"/>
      <c r="KJ1365" s="29"/>
      <c r="KK1365" s="29"/>
      <c r="KL1365" s="29"/>
      <c r="KM1365" s="29"/>
      <c r="KN1365" s="29"/>
      <c r="KO1365" s="29"/>
      <c r="KP1365" s="29"/>
      <c r="KQ1365" s="29"/>
      <c r="KR1365" s="29"/>
      <c r="KS1365" s="29"/>
      <c r="KT1365" s="29"/>
      <c r="KU1365" s="29"/>
      <c r="KV1365" s="29"/>
      <c r="KW1365" s="29"/>
      <c r="KX1365" s="29"/>
      <c r="KY1365" s="29"/>
      <c r="KZ1365" s="29"/>
      <c r="LA1365" s="29"/>
      <c r="LB1365" s="29"/>
      <c r="LC1365" s="29"/>
      <c r="LD1365" s="29"/>
      <c r="LE1365" s="29"/>
      <c r="LF1365" s="29"/>
      <c r="LG1365" s="29"/>
      <c r="LH1365" s="29"/>
      <c r="LI1365" s="29"/>
      <c r="LJ1365" s="29"/>
      <c r="LK1365" s="29"/>
      <c r="LL1365" s="29"/>
      <c r="LM1365" s="29"/>
      <c r="LN1365" s="29"/>
      <c r="LO1365" s="29"/>
      <c r="LP1365" s="29"/>
      <c r="LQ1365" s="29"/>
      <c r="LR1365" s="29"/>
      <c r="LS1365" s="29"/>
      <c r="LT1365" s="29"/>
      <c r="LU1365" s="29"/>
      <c r="LV1365" s="29"/>
      <c r="LW1365" s="29"/>
      <c r="LX1365" s="29"/>
      <c r="LY1365" s="29"/>
      <c r="LZ1365" s="29"/>
      <c r="MA1365" s="29"/>
      <c r="MB1365" s="29"/>
      <c r="MC1365" s="29"/>
      <c r="MD1365" s="29"/>
      <c r="ME1365" s="29"/>
      <c r="MF1365" s="29"/>
      <c r="MG1365" s="29"/>
      <c r="MH1365" s="29"/>
      <c r="MI1365" s="29"/>
      <c r="MJ1365" s="29"/>
      <c r="MK1365" s="29"/>
      <c r="ML1365" s="29"/>
      <c r="MM1365" s="29"/>
      <c r="MN1365" s="29"/>
      <c r="MO1365" s="29"/>
      <c r="MP1365" s="29"/>
      <c r="MQ1365" s="29"/>
      <c r="MR1365" s="29"/>
      <c r="MS1365" s="29"/>
      <c r="MT1365" s="29"/>
      <c r="MU1365" s="29"/>
      <c r="MV1365" s="29"/>
      <c r="MW1365" s="29"/>
      <c r="MX1365" s="29"/>
      <c r="MY1365" s="29"/>
      <c r="MZ1365" s="29"/>
      <c r="NA1365" s="29"/>
      <c r="NB1365" s="29"/>
      <c r="NC1365" s="29"/>
      <c r="ND1365" s="29"/>
      <c r="NE1365" s="29"/>
      <c r="NF1365" s="29"/>
      <c r="NG1365" s="29"/>
      <c r="NH1365" s="29"/>
      <c r="NI1365" s="29"/>
      <c r="NJ1365" s="29"/>
      <c r="NK1365" s="29"/>
      <c r="NL1365" s="29"/>
      <c r="NM1365" s="29"/>
      <c r="NN1365" s="29"/>
      <c r="NO1365" s="29"/>
      <c r="NP1365" s="29"/>
      <c r="NQ1365" s="29"/>
      <c r="NR1365" s="29"/>
      <c r="NS1365" s="29"/>
      <c r="NT1365" s="29"/>
      <c r="NU1365" s="29"/>
      <c r="NV1365" s="29"/>
      <c r="NW1365" s="29"/>
      <c r="NX1365" s="29"/>
      <c r="NY1365" s="29"/>
      <c r="NZ1365" s="29"/>
      <c r="OA1365" s="29"/>
      <c r="OB1365" s="29"/>
      <c r="OC1365" s="29"/>
      <c r="OD1365" s="29"/>
      <c r="OE1365" s="29"/>
      <c r="OF1365" s="29"/>
      <c r="OG1365" s="29"/>
      <c r="OH1365" s="29"/>
      <c r="OI1365" s="29"/>
      <c r="OJ1365" s="29"/>
      <c r="OK1365" s="29"/>
      <c r="OL1365" s="29"/>
      <c r="OM1365" s="29"/>
      <c r="ON1365" s="29"/>
      <c r="OO1365" s="29"/>
      <c r="OP1365" s="29"/>
      <c r="OQ1365" s="29"/>
      <c r="OR1365" s="29"/>
      <c r="OS1365" s="29"/>
      <c r="OT1365" s="29"/>
      <c r="OU1365" s="29"/>
      <c r="OV1365" s="29"/>
      <c r="OW1365" s="29"/>
      <c r="OX1365" s="29"/>
      <c r="OY1365" s="29"/>
      <c r="OZ1365" s="29"/>
      <c r="PA1365" s="29"/>
      <c r="PB1365" s="29"/>
      <c r="PC1365" s="29"/>
      <c r="PD1365" s="29"/>
      <c r="PE1365" s="29"/>
      <c r="PF1365" s="29"/>
      <c r="PG1365" s="29"/>
      <c r="PH1365" s="29"/>
      <c r="PI1365" s="29"/>
      <c r="PJ1365" s="29"/>
      <c r="PK1365" s="29"/>
      <c r="PL1365" s="29"/>
      <c r="PM1365" s="29"/>
      <c r="PN1365" s="29"/>
      <c r="PO1365" s="29"/>
      <c r="PP1365" s="29"/>
      <c r="PQ1365" s="29"/>
      <c r="PR1365" s="29"/>
      <c r="PS1365" s="29"/>
      <c r="PT1365" s="29"/>
      <c r="PU1365" s="29"/>
      <c r="PV1365" s="29"/>
      <c r="PW1365" s="29"/>
      <c r="PX1365" s="29"/>
      <c r="PY1365" s="29"/>
      <c r="PZ1365" s="29"/>
      <c r="QA1365" s="29"/>
      <c r="QB1365" s="29"/>
      <c r="QC1365" s="29"/>
      <c r="QD1365" s="29"/>
      <c r="QE1365" s="29"/>
      <c r="QF1365" s="29"/>
      <c r="QG1365" s="29"/>
      <c r="QH1365" s="29"/>
      <c r="QI1365" s="29"/>
      <c r="QJ1365" s="29"/>
      <c r="QK1365" s="29"/>
      <c r="QL1365" s="29"/>
      <c r="QM1365" s="29"/>
      <c r="QN1365" s="29"/>
      <c r="QO1365" s="29"/>
      <c r="QP1365" s="29"/>
      <c r="QQ1365" s="29"/>
      <c r="QR1365" s="29"/>
      <c r="QS1365" s="29"/>
      <c r="QT1365" s="29"/>
      <c r="QU1365" s="29"/>
      <c r="QV1365" s="29"/>
      <c r="QW1365" s="29"/>
      <c r="QX1365" s="29"/>
      <c r="QY1365" s="29"/>
      <c r="QZ1365" s="29"/>
      <c r="RA1365" s="29"/>
      <c r="RB1365" s="29"/>
      <c r="RC1365" s="29"/>
      <c r="RD1365" s="29"/>
      <c r="RE1365" s="29"/>
      <c r="RF1365" s="29"/>
      <c r="RG1365" s="29"/>
      <c r="RH1365" s="29"/>
      <c r="RI1365" s="29"/>
      <c r="RJ1365" s="29"/>
      <c r="RK1365" s="29"/>
      <c r="RL1365" s="29"/>
      <c r="RM1365" s="29"/>
      <c r="RN1365" s="29"/>
      <c r="RO1365" s="29"/>
      <c r="RP1365" s="29"/>
      <c r="RQ1365" s="29"/>
      <c r="RR1365" s="29"/>
      <c r="RS1365" s="29"/>
      <c r="RT1365" s="29"/>
      <c r="RU1365" s="29"/>
      <c r="RV1365" s="29"/>
      <c r="RW1365" s="29"/>
      <c r="RX1365" s="29"/>
      <c r="RY1365" s="29"/>
      <c r="RZ1365" s="29"/>
      <c r="SA1365" s="29"/>
      <c r="SB1365" s="29"/>
      <c r="SC1365" s="29"/>
      <c r="SD1365" s="29"/>
      <c r="SE1365" s="29"/>
      <c r="SF1365" s="29"/>
      <c r="SG1365" s="29"/>
      <c r="SH1365" s="29"/>
      <c r="SI1365" s="29"/>
      <c r="SJ1365" s="29"/>
      <c r="SK1365" s="29"/>
      <c r="SL1365" s="29"/>
      <c r="SM1365" s="29"/>
      <c r="SN1365" s="29"/>
      <c r="SO1365" s="29"/>
      <c r="SP1365" s="29"/>
      <c r="SQ1365" s="29"/>
      <c r="SR1365" s="29"/>
      <c r="SS1365" s="29"/>
      <c r="ST1365" s="29"/>
      <c r="SU1365" s="29"/>
      <c r="SV1365" s="29"/>
      <c r="SW1365" s="29"/>
      <c r="SX1365" s="29"/>
      <c r="SY1365" s="29"/>
      <c r="SZ1365" s="29"/>
      <c r="TA1365" s="29"/>
      <c r="TB1365" s="29"/>
      <c r="TC1365" s="29"/>
      <c r="TD1365" s="29"/>
      <c r="TE1365" s="29"/>
      <c r="TF1365" s="29"/>
      <c r="TG1365" s="29"/>
      <c r="TH1365" s="29"/>
      <c r="TI1365" s="29"/>
      <c r="TJ1365" s="29"/>
      <c r="TK1365" s="29"/>
      <c r="TL1365" s="29"/>
      <c r="TM1365" s="29"/>
      <c r="TN1365" s="29"/>
      <c r="TO1365" s="29"/>
      <c r="TP1365" s="29"/>
      <c r="TQ1365" s="29"/>
      <c r="TR1365" s="29"/>
      <c r="TS1365" s="29"/>
      <c r="TT1365" s="29"/>
      <c r="TU1365" s="29"/>
      <c r="TV1365" s="29"/>
      <c r="TW1365" s="29"/>
      <c r="TX1365" s="29"/>
      <c r="TY1365" s="29"/>
      <c r="TZ1365" s="29"/>
      <c r="UA1365" s="29"/>
      <c r="UB1365" s="29"/>
      <c r="UC1365" s="29"/>
      <c r="UD1365" s="29"/>
      <c r="UE1365" s="29"/>
      <c r="UF1365" s="29"/>
      <c r="UG1365" s="29"/>
    </row>
    <row r="1366" spans="1:553" ht="51.75" customHeight="1">
      <c r="A1366" s="356" t="s">
        <v>58</v>
      </c>
      <c r="B1366" s="356"/>
      <c r="C1366" s="1413" t="s">
        <v>59</v>
      </c>
      <c r="D1366" s="1389"/>
      <c r="E1366" s="1389"/>
      <c r="F1366" s="1390"/>
      <c r="G1366" s="366"/>
      <c r="H1366" s="370"/>
      <c r="I1366" s="370"/>
      <c r="J1366" s="368"/>
      <c r="K1366" s="371"/>
      <c r="L1366" s="645">
        <f>SUM(L1367:L1375)</f>
        <v>551116100</v>
      </c>
      <c r="M1366" s="356"/>
      <c r="N1366" s="356"/>
      <c r="O1366" s="356"/>
      <c r="P1366" s="356">
        <f>L1366</f>
        <v>551116100</v>
      </c>
      <c r="Q1366" s="610"/>
      <c r="R1366" s="421"/>
      <c r="S1366" s="308"/>
      <c r="T1366" s="308"/>
      <c r="U1366" s="308"/>
      <c r="V1366" s="308"/>
      <c r="W1366" s="308"/>
      <c r="X1366" s="308"/>
      <c r="Y1366" s="308"/>
      <c r="Z1366" s="604"/>
      <c r="AA1366" s="308"/>
      <c r="AB1366" s="308"/>
      <c r="AC1366" s="486"/>
      <c r="AD1366" s="486"/>
      <c r="AE1366" s="486"/>
      <c r="AF1366" s="486"/>
      <c r="AG1366" s="486"/>
      <c r="AH1366" s="486"/>
      <c r="AI1366" s="486"/>
      <c r="AJ1366" s="486"/>
      <c r="AK1366" s="486"/>
      <c r="AL1366" s="206"/>
      <c r="AM1366" s="29"/>
      <c r="AN1366" s="29"/>
      <c r="AO1366" s="29"/>
      <c r="AP1366" s="29"/>
      <c r="AQ1366" s="29"/>
      <c r="AR1366" s="29"/>
      <c r="AS1366" s="29"/>
      <c r="AT1366" s="29"/>
      <c r="AU1366" s="29"/>
      <c r="AV1366" s="29"/>
      <c r="AW1366" s="29"/>
      <c r="AX1366" s="29"/>
      <c r="AY1366" s="29"/>
      <c r="AZ1366" s="29"/>
      <c r="BA1366" s="29"/>
      <c r="BB1366" s="29"/>
      <c r="BC1366" s="29"/>
      <c r="BD1366" s="29"/>
      <c r="BE1366" s="29"/>
      <c r="BF1366" s="29"/>
      <c r="BG1366" s="29"/>
      <c r="BH1366" s="29"/>
      <c r="BI1366" s="29"/>
      <c r="BJ1366" s="29"/>
      <c r="BK1366" s="29"/>
      <c r="BL1366" s="29"/>
      <c r="BM1366" s="29"/>
      <c r="BN1366" s="29"/>
      <c r="BO1366" s="29"/>
      <c r="BP1366" s="29"/>
      <c r="BQ1366" s="29"/>
      <c r="BR1366" s="29"/>
      <c r="BS1366" s="29"/>
      <c r="BT1366" s="29"/>
      <c r="BU1366" s="29"/>
      <c r="BV1366" s="29"/>
      <c r="BW1366" s="29"/>
      <c r="BX1366" s="29"/>
      <c r="BY1366" s="29"/>
      <c r="BZ1366" s="29"/>
      <c r="CA1366" s="29"/>
      <c r="CB1366" s="29"/>
      <c r="CC1366" s="29"/>
      <c r="CD1366" s="29"/>
      <c r="CE1366" s="29"/>
      <c r="CF1366" s="29"/>
      <c r="CG1366" s="29"/>
      <c r="CH1366" s="29"/>
      <c r="CI1366" s="29"/>
      <c r="CJ1366" s="29"/>
      <c r="CK1366" s="29"/>
      <c r="CL1366" s="29"/>
      <c r="CM1366" s="29"/>
      <c r="CN1366" s="29"/>
      <c r="CO1366" s="29"/>
      <c r="CP1366" s="29"/>
      <c r="CQ1366" s="29"/>
      <c r="CR1366" s="29"/>
      <c r="CS1366" s="29"/>
      <c r="CT1366" s="29"/>
      <c r="CU1366" s="29"/>
      <c r="CV1366" s="29"/>
      <c r="CW1366" s="29"/>
      <c r="CX1366" s="29"/>
      <c r="CY1366" s="29"/>
      <c r="CZ1366" s="29"/>
      <c r="DA1366" s="29"/>
      <c r="DB1366" s="29"/>
      <c r="DC1366" s="29"/>
      <c r="DD1366" s="29"/>
      <c r="DE1366" s="29"/>
      <c r="DF1366" s="29"/>
      <c r="DG1366" s="29"/>
      <c r="DH1366" s="29"/>
      <c r="DI1366" s="29"/>
      <c r="DJ1366" s="29"/>
      <c r="DK1366" s="29"/>
      <c r="DL1366" s="29"/>
      <c r="DM1366" s="29"/>
      <c r="DN1366" s="29"/>
      <c r="DO1366" s="29"/>
      <c r="DP1366" s="29"/>
      <c r="DQ1366" s="29"/>
      <c r="DR1366" s="29"/>
      <c r="DS1366" s="29"/>
      <c r="DT1366" s="29"/>
      <c r="DU1366" s="29"/>
      <c r="DV1366" s="29"/>
      <c r="DW1366" s="29"/>
      <c r="DX1366" s="29"/>
      <c r="DY1366" s="29"/>
      <c r="DZ1366" s="29"/>
      <c r="EA1366" s="29"/>
      <c r="EB1366" s="29"/>
      <c r="EC1366" s="29"/>
      <c r="ED1366" s="29"/>
      <c r="EE1366" s="29"/>
      <c r="EF1366" s="29"/>
      <c r="EG1366" s="29"/>
      <c r="EH1366" s="29"/>
      <c r="EI1366" s="29"/>
      <c r="EJ1366" s="29"/>
      <c r="EK1366" s="29"/>
      <c r="EL1366" s="29"/>
      <c r="EM1366" s="29"/>
      <c r="EN1366" s="29"/>
      <c r="EO1366" s="29"/>
      <c r="EP1366" s="29"/>
      <c r="EQ1366" s="29"/>
      <c r="ER1366" s="29"/>
      <c r="ES1366" s="29"/>
      <c r="ET1366" s="29"/>
      <c r="EU1366" s="29"/>
      <c r="EV1366" s="29"/>
      <c r="EW1366" s="29"/>
      <c r="EX1366" s="29"/>
      <c r="EY1366" s="29"/>
      <c r="EZ1366" s="29"/>
      <c r="FA1366" s="29"/>
      <c r="FB1366" s="29"/>
      <c r="FC1366" s="29"/>
      <c r="FD1366" s="29"/>
      <c r="FE1366" s="29"/>
      <c r="FF1366" s="29"/>
      <c r="FG1366" s="29"/>
      <c r="FH1366" s="29"/>
      <c r="FI1366" s="29"/>
      <c r="FJ1366" s="29"/>
      <c r="FK1366" s="29"/>
      <c r="FL1366" s="29"/>
      <c r="FM1366" s="29"/>
      <c r="FN1366" s="29"/>
      <c r="FO1366" s="29"/>
      <c r="FP1366" s="29"/>
      <c r="FQ1366" s="29"/>
      <c r="FR1366" s="29"/>
      <c r="FS1366" s="29"/>
      <c r="FT1366" s="29"/>
      <c r="FU1366" s="29"/>
      <c r="FV1366" s="29"/>
      <c r="FW1366" s="29"/>
      <c r="FX1366" s="29"/>
      <c r="FY1366" s="29"/>
      <c r="FZ1366" s="29"/>
      <c r="GA1366" s="29"/>
      <c r="GB1366" s="29"/>
      <c r="GC1366" s="29"/>
      <c r="GD1366" s="29"/>
      <c r="GE1366" s="29"/>
      <c r="GF1366" s="29"/>
      <c r="GG1366" s="29"/>
      <c r="GH1366" s="29"/>
      <c r="GI1366" s="29"/>
      <c r="GJ1366" s="29"/>
      <c r="GK1366" s="29"/>
      <c r="GL1366" s="29"/>
      <c r="GM1366" s="29"/>
      <c r="GN1366" s="29"/>
      <c r="GO1366" s="29"/>
      <c r="GP1366" s="29"/>
      <c r="GQ1366" s="29"/>
      <c r="GR1366" s="29"/>
      <c r="GS1366" s="29"/>
      <c r="GT1366" s="29"/>
      <c r="GU1366" s="29"/>
      <c r="GV1366" s="29"/>
      <c r="GW1366" s="29"/>
      <c r="GX1366" s="29"/>
      <c r="GY1366" s="29"/>
      <c r="GZ1366" s="29"/>
      <c r="HA1366" s="29"/>
      <c r="HB1366" s="29"/>
      <c r="HC1366" s="29"/>
      <c r="HD1366" s="29"/>
      <c r="HE1366" s="29"/>
      <c r="HF1366" s="29"/>
      <c r="HG1366" s="29"/>
      <c r="HH1366" s="29"/>
      <c r="HI1366" s="29"/>
      <c r="HJ1366" s="29"/>
      <c r="HK1366" s="29"/>
      <c r="HL1366" s="29"/>
      <c r="HM1366" s="29"/>
      <c r="HN1366" s="29"/>
      <c r="HO1366" s="29"/>
      <c r="HP1366" s="29"/>
      <c r="HQ1366" s="29"/>
      <c r="HR1366" s="29"/>
      <c r="HS1366" s="29"/>
      <c r="HT1366" s="29"/>
      <c r="HU1366" s="29"/>
      <c r="HV1366" s="29"/>
      <c r="HW1366" s="29"/>
      <c r="HX1366" s="29"/>
      <c r="HY1366" s="29"/>
      <c r="HZ1366" s="29"/>
      <c r="IA1366" s="29"/>
      <c r="IB1366" s="29"/>
      <c r="IC1366" s="29"/>
      <c r="ID1366" s="29"/>
      <c r="IE1366" s="29"/>
      <c r="IF1366" s="29"/>
      <c r="IG1366" s="29"/>
      <c r="IH1366" s="29"/>
      <c r="II1366" s="29"/>
      <c r="IJ1366" s="29"/>
      <c r="IK1366" s="29"/>
      <c r="IL1366" s="29"/>
      <c r="IM1366" s="29"/>
      <c r="IN1366" s="29"/>
      <c r="IO1366" s="29"/>
      <c r="IP1366" s="29"/>
      <c r="IQ1366" s="29"/>
      <c r="IR1366" s="29"/>
      <c r="IS1366" s="29"/>
      <c r="IT1366" s="29"/>
      <c r="IU1366" s="29"/>
      <c r="IV1366" s="29"/>
      <c r="IW1366" s="29"/>
      <c r="IX1366" s="29"/>
      <c r="IY1366" s="29"/>
      <c r="IZ1366" s="29"/>
      <c r="JA1366" s="29"/>
      <c r="JB1366" s="29"/>
      <c r="JC1366" s="29"/>
      <c r="JD1366" s="29"/>
      <c r="JE1366" s="29"/>
      <c r="JF1366" s="29"/>
      <c r="JG1366" s="29"/>
      <c r="JH1366" s="29"/>
      <c r="JI1366" s="29"/>
      <c r="JJ1366" s="29"/>
      <c r="JK1366" s="29"/>
      <c r="JL1366" s="29"/>
      <c r="JM1366" s="29"/>
      <c r="JN1366" s="29"/>
      <c r="JO1366" s="29"/>
      <c r="JP1366" s="29"/>
      <c r="JQ1366" s="29"/>
      <c r="JR1366" s="29"/>
      <c r="JS1366" s="29"/>
      <c r="JT1366" s="29"/>
      <c r="JU1366" s="29"/>
      <c r="JV1366" s="29"/>
      <c r="JW1366" s="29"/>
      <c r="JX1366" s="29"/>
      <c r="JY1366" s="29"/>
      <c r="JZ1366" s="29"/>
      <c r="KA1366" s="29"/>
      <c r="KB1366" s="29"/>
      <c r="KC1366" s="29"/>
      <c r="KD1366" s="29"/>
      <c r="KE1366" s="29"/>
      <c r="KF1366" s="29"/>
      <c r="KG1366" s="29"/>
      <c r="KH1366" s="29"/>
      <c r="KI1366" s="29"/>
      <c r="KJ1366" s="29"/>
      <c r="KK1366" s="29"/>
      <c r="KL1366" s="29"/>
      <c r="KM1366" s="29"/>
      <c r="KN1366" s="29"/>
      <c r="KO1366" s="29"/>
      <c r="KP1366" s="29"/>
      <c r="KQ1366" s="29"/>
      <c r="KR1366" s="29"/>
      <c r="KS1366" s="29"/>
      <c r="KT1366" s="29"/>
      <c r="KU1366" s="29"/>
      <c r="KV1366" s="29"/>
      <c r="KW1366" s="29"/>
      <c r="KX1366" s="29"/>
      <c r="KY1366" s="29"/>
      <c r="KZ1366" s="29"/>
      <c r="LA1366" s="29"/>
      <c r="LB1366" s="29"/>
      <c r="LC1366" s="29"/>
      <c r="LD1366" s="29"/>
      <c r="LE1366" s="29"/>
      <c r="LF1366" s="29"/>
      <c r="LG1366" s="29"/>
      <c r="LH1366" s="29"/>
      <c r="LI1366" s="29"/>
      <c r="LJ1366" s="29"/>
      <c r="LK1366" s="29"/>
      <c r="LL1366" s="29"/>
      <c r="LM1366" s="29"/>
      <c r="LN1366" s="29"/>
      <c r="LO1366" s="29"/>
      <c r="LP1366" s="29"/>
      <c r="LQ1366" s="29"/>
      <c r="LR1366" s="29"/>
      <c r="LS1366" s="29"/>
      <c r="LT1366" s="29"/>
      <c r="LU1366" s="29"/>
      <c r="LV1366" s="29"/>
      <c r="LW1366" s="29"/>
      <c r="LX1366" s="29"/>
      <c r="LY1366" s="29"/>
      <c r="LZ1366" s="29"/>
      <c r="MA1366" s="29"/>
      <c r="MB1366" s="29"/>
      <c r="MC1366" s="29"/>
      <c r="MD1366" s="29"/>
      <c r="ME1366" s="29"/>
      <c r="MF1366" s="29"/>
      <c r="MG1366" s="29"/>
      <c r="MH1366" s="29"/>
      <c r="MI1366" s="29"/>
      <c r="MJ1366" s="29"/>
      <c r="MK1366" s="29"/>
      <c r="ML1366" s="29"/>
      <c r="MM1366" s="29"/>
      <c r="MN1366" s="29"/>
      <c r="MO1366" s="29"/>
      <c r="MP1366" s="29"/>
      <c r="MQ1366" s="29"/>
      <c r="MR1366" s="29"/>
      <c r="MS1366" s="29"/>
      <c r="MT1366" s="29"/>
      <c r="MU1366" s="29"/>
      <c r="MV1366" s="29"/>
      <c r="MW1366" s="29"/>
      <c r="MX1366" s="29"/>
      <c r="MY1366" s="29"/>
      <c r="MZ1366" s="29"/>
      <c r="NA1366" s="29"/>
      <c r="NB1366" s="29"/>
      <c r="NC1366" s="29"/>
      <c r="ND1366" s="29"/>
      <c r="NE1366" s="29"/>
      <c r="NF1366" s="29"/>
      <c r="NG1366" s="29"/>
      <c r="NH1366" s="29"/>
      <c r="NI1366" s="29"/>
      <c r="NJ1366" s="29"/>
      <c r="NK1366" s="29"/>
      <c r="NL1366" s="29"/>
      <c r="NM1366" s="29"/>
      <c r="NN1366" s="29"/>
      <c r="NO1366" s="29"/>
      <c r="NP1366" s="29"/>
      <c r="NQ1366" s="29"/>
      <c r="NR1366" s="29"/>
      <c r="NS1366" s="29"/>
      <c r="NT1366" s="29"/>
      <c r="NU1366" s="29"/>
      <c r="NV1366" s="29"/>
      <c r="NW1366" s="29"/>
      <c r="NX1366" s="29"/>
      <c r="NY1366" s="29"/>
      <c r="NZ1366" s="29"/>
      <c r="OA1366" s="29"/>
      <c r="OB1366" s="29"/>
      <c r="OC1366" s="29"/>
      <c r="OD1366" s="29"/>
      <c r="OE1366" s="29"/>
      <c r="OF1366" s="29"/>
      <c r="OG1366" s="29"/>
      <c r="OH1366" s="29"/>
      <c r="OI1366" s="29"/>
      <c r="OJ1366" s="29"/>
      <c r="OK1366" s="29"/>
      <c r="OL1366" s="29"/>
      <c r="OM1366" s="29"/>
      <c r="ON1366" s="29"/>
      <c r="OO1366" s="29"/>
      <c r="OP1366" s="29"/>
      <c r="OQ1366" s="29"/>
      <c r="OR1366" s="29"/>
      <c r="OS1366" s="29"/>
      <c r="OT1366" s="29"/>
      <c r="OU1366" s="29"/>
      <c r="OV1366" s="29"/>
      <c r="OW1366" s="29"/>
      <c r="OX1366" s="29"/>
      <c r="OY1366" s="29"/>
      <c r="OZ1366" s="29"/>
      <c r="PA1366" s="29"/>
      <c r="PB1366" s="29"/>
      <c r="PC1366" s="29"/>
      <c r="PD1366" s="29"/>
      <c r="PE1366" s="29"/>
      <c r="PF1366" s="29"/>
      <c r="PG1366" s="29"/>
      <c r="PH1366" s="29"/>
      <c r="PI1366" s="29"/>
      <c r="PJ1366" s="29"/>
      <c r="PK1366" s="29"/>
      <c r="PL1366" s="29"/>
      <c r="PM1366" s="29"/>
      <c r="PN1366" s="29"/>
      <c r="PO1366" s="29"/>
      <c r="PP1366" s="29"/>
      <c r="PQ1366" s="29"/>
      <c r="PR1366" s="29"/>
      <c r="PS1366" s="29"/>
      <c r="PT1366" s="29"/>
      <c r="PU1366" s="29"/>
      <c r="PV1366" s="29"/>
      <c r="PW1366" s="29"/>
      <c r="PX1366" s="29"/>
      <c r="PY1366" s="29"/>
      <c r="PZ1366" s="29"/>
      <c r="QA1366" s="29"/>
      <c r="QB1366" s="29"/>
      <c r="QC1366" s="29"/>
      <c r="QD1366" s="29"/>
      <c r="QE1366" s="29"/>
      <c r="QF1366" s="29"/>
      <c r="QG1366" s="29"/>
      <c r="QH1366" s="29"/>
      <c r="QI1366" s="29"/>
      <c r="QJ1366" s="29"/>
      <c r="QK1366" s="29"/>
      <c r="QL1366" s="29"/>
      <c r="QM1366" s="29"/>
      <c r="QN1366" s="29"/>
      <c r="QO1366" s="29"/>
      <c r="QP1366" s="29"/>
      <c r="QQ1366" s="29"/>
      <c r="QR1366" s="29"/>
      <c r="QS1366" s="29"/>
      <c r="QT1366" s="29"/>
      <c r="QU1366" s="29"/>
      <c r="QV1366" s="29"/>
      <c r="QW1366" s="29"/>
      <c r="QX1366" s="29"/>
      <c r="QY1366" s="29"/>
      <c r="QZ1366" s="29"/>
      <c r="RA1366" s="29"/>
      <c r="RB1366" s="29"/>
      <c r="RC1366" s="29"/>
      <c r="RD1366" s="29"/>
      <c r="RE1366" s="29"/>
      <c r="RF1366" s="29"/>
      <c r="RG1366" s="29"/>
      <c r="RH1366" s="29"/>
      <c r="RI1366" s="29"/>
      <c r="RJ1366" s="29"/>
      <c r="RK1366" s="29"/>
      <c r="RL1366" s="29"/>
      <c r="RM1366" s="29"/>
      <c r="RN1366" s="29"/>
      <c r="RO1366" s="29"/>
      <c r="RP1366" s="29"/>
      <c r="RQ1366" s="29"/>
      <c r="RR1366" s="29"/>
      <c r="RS1366" s="29"/>
      <c r="RT1366" s="29"/>
      <c r="RU1366" s="29"/>
      <c r="RV1366" s="29"/>
      <c r="RW1366" s="29"/>
      <c r="RX1366" s="29"/>
      <c r="RY1366" s="29"/>
      <c r="RZ1366" s="29"/>
      <c r="SA1366" s="29"/>
      <c r="SB1366" s="29"/>
      <c r="SC1366" s="29"/>
      <c r="SD1366" s="29"/>
      <c r="SE1366" s="29"/>
      <c r="SF1366" s="29"/>
      <c r="SG1366" s="29"/>
      <c r="SH1366" s="29"/>
      <c r="SI1366" s="29"/>
      <c r="SJ1366" s="29"/>
      <c r="SK1366" s="29"/>
      <c r="SL1366" s="29"/>
      <c r="SM1366" s="29"/>
      <c r="SN1366" s="29"/>
      <c r="SO1366" s="29"/>
      <c r="SP1366" s="29"/>
      <c r="SQ1366" s="29"/>
      <c r="SR1366" s="29"/>
      <c r="SS1366" s="29"/>
      <c r="ST1366" s="29"/>
      <c r="SU1366" s="29"/>
      <c r="SV1366" s="29"/>
      <c r="SW1366" s="29"/>
      <c r="SX1366" s="29"/>
      <c r="SY1366" s="29"/>
      <c r="SZ1366" s="29"/>
      <c r="TA1366" s="29"/>
      <c r="TB1366" s="29"/>
      <c r="TC1366" s="29"/>
      <c r="TD1366" s="29"/>
      <c r="TE1366" s="29"/>
      <c r="TF1366" s="29"/>
      <c r="TG1366" s="29"/>
      <c r="TH1366" s="29"/>
      <c r="TI1366" s="29"/>
      <c r="TJ1366" s="29"/>
      <c r="TK1366" s="29"/>
      <c r="TL1366" s="29"/>
      <c r="TM1366" s="29"/>
      <c r="TN1366" s="29"/>
      <c r="TO1366" s="29"/>
      <c r="TP1366" s="29"/>
      <c r="TQ1366" s="29"/>
      <c r="TR1366" s="29"/>
      <c r="TS1366" s="29"/>
      <c r="TT1366" s="29"/>
      <c r="TU1366" s="29"/>
      <c r="TV1366" s="29"/>
      <c r="TW1366" s="29"/>
      <c r="TX1366" s="29"/>
      <c r="TY1366" s="29"/>
      <c r="TZ1366" s="29"/>
      <c r="UA1366" s="29"/>
      <c r="UB1366" s="29"/>
      <c r="UC1366" s="29"/>
      <c r="UD1366" s="29"/>
      <c r="UE1366" s="29"/>
      <c r="UF1366" s="29"/>
      <c r="UG1366" s="29"/>
    </row>
    <row r="1367" spans="1:553" ht="39.75" customHeight="1">
      <c r="A1367" s="356" t="s">
        <v>15</v>
      </c>
      <c r="B1367" s="385"/>
      <c r="C1367" s="384" t="str">
        <f t="shared" ref="C1367:F1373" si="203">C1312</f>
        <v>Đất trồng cây lâu năm (CLN)</v>
      </c>
      <c r="D1367" s="376">
        <f t="shared" si="203"/>
        <v>1</v>
      </c>
      <c r="E1367" s="376">
        <f t="shared" si="203"/>
        <v>460</v>
      </c>
      <c r="F1367" s="386">
        <f t="shared" si="203"/>
        <v>1</v>
      </c>
      <c r="G1367" s="386" t="s">
        <v>935</v>
      </c>
      <c r="H1367" s="370"/>
      <c r="I1367" s="370">
        <f>681.1-70</f>
        <v>611.1</v>
      </c>
      <c r="J1367" s="368">
        <v>62000</v>
      </c>
      <c r="K1367" s="371">
        <v>1</v>
      </c>
      <c r="L1367" s="480">
        <f t="shared" ref="L1367:L1374" si="204">I1367*J1367*K1367</f>
        <v>37888200</v>
      </c>
      <c r="M1367" s="366"/>
      <c r="N1367" s="366"/>
      <c r="O1367" s="366"/>
      <c r="P1367" s="366"/>
      <c r="Q1367" s="812"/>
      <c r="R1367" s="1610" t="s">
        <v>928</v>
      </c>
      <c r="S1367" s="308"/>
      <c r="T1367" s="308"/>
      <c r="U1367" s="308"/>
      <c r="V1367" s="308"/>
      <c r="W1367" s="308"/>
      <c r="X1367" s="308"/>
      <c r="Y1367" s="308"/>
      <c r="Z1367" s="604"/>
      <c r="AA1367" s="308"/>
      <c r="AB1367" s="308"/>
      <c r="AC1367" s="486"/>
      <c r="AD1367" s="486"/>
      <c r="AE1367" s="486"/>
      <c r="AF1367" s="486"/>
      <c r="AG1367" s="486"/>
      <c r="AH1367" s="486"/>
      <c r="AI1367" s="486"/>
      <c r="AJ1367" s="486"/>
      <c r="AK1367" s="486"/>
      <c r="AL1367" s="206"/>
      <c r="AM1367" s="29"/>
      <c r="AN1367" s="29"/>
      <c r="AO1367" s="29"/>
      <c r="AP1367" s="29"/>
      <c r="AQ1367" s="29"/>
      <c r="AR1367" s="29"/>
      <c r="AS1367" s="29"/>
      <c r="AT1367" s="29"/>
      <c r="AU1367" s="29"/>
      <c r="AV1367" s="29"/>
      <c r="AW1367" s="29"/>
      <c r="AX1367" s="29"/>
      <c r="AY1367" s="29"/>
      <c r="AZ1367" s="29"/>
      <c r="BA1367" s="29"/>
      <c r="BB1367" s="29"/>
      <c r="BC1367" s="29"/>
      <c r="BD1367" s="29"/>
      <c r="BE1367" s="29"/>
      <c r="BF1367" s="29"/>
      <c r="BG1367" s="29"/>
      <c r="BH1367" s="29"/>
      <c r="BI1367" s="29"/>
      <c r="BJ1367" s="29"/>
      <c r="BK1367" s="29"/>
      <c r="BL1367" s="29"/>
      <c r="BM1367" s="29"/>
      <c r="BN1367" s="29"/>
      <c r="BO1367" s="29"/>
      <c r="BP1367" s="29"/>
      <c r="BQ1367" s="29"/>
      <c r="BR1367" s="29"/>
      <c r="BS1367" s="29"/>
      <c r="BT1367" s="29"/>
      <c r="BU1367" s="29"/>
      <c r="BV1367" s="29"/>
      <c r="BW1367" s="29"/>
      <c r="BX1367" s="29"/>
      <c r="BY1367" s="29"/>
      <c r="BZ1367" s="29"/>
      <c r="CA1367" s="29"/>
      <c r="CB1367" s="29"/>
      <c r="CC1367" s="29"/>
      <c r="CD1367" s="29"/>
      <c r="CE1367" s="29"/>
      <c r="CF1367" s="29"/>
      <c r="CG1367" s="29"/>
      <c r="CH1367" s="29"/>
      <c r="CI1367" s="29"/>
      <c r="CJ1367" s="29"/>
      <c r="CK1367" s="29"/>
      <c r="CL1367" s="29"/>
      <c r="CM1367" s="29"/>
      <c r="CN1367" s="29"/>
      <c r="CO1367" s="29"/>
      <c r="CP1367" s="29"/>
      <c r="CQ1367" s="29"/>
      <c r="CR1367" s="29"/>
      <c r="CS1367" s="29"/>
      <c r="CT1367" s="29"/>
      <c r="CU1367" s="29"/>
      <c r="CV1367" s="29"/>
      <c r="CW1367" s="29"/>
      <c r="CX1367" s="29"/>
      <c r="CY1367" s="29"/>
      <c r="CZ1367" s="29"/>
      <c r="DA1367" s="29"/>
      <c r="DB1367" s="29"/>
      <c r="DC1367" s="29"/>
      <c r="DD1367" s="29"/>
      <c r="DE1367" s="29"/>
      <c r="DF1367" s="29"/>
      <c r="DG1367" s="29"/>
      <c r="DH1367" s="29"/>
      <c r="DI1367" s="29"/>
      <c r="DJ1367" s="29"/>
      <c r="DK1367" s="29"/>
      <c r="DL1367" s="29"/>
      <c r="DM1367" s="29"/>
      <c r="DN1367" s="29"/>
      <c r="DO1367" s="29"/>
      <c r="DP1367" s="29"/>
      <c r="DQ1367" s="29"/>
      <c r="DR1367" s="29"/>
      <c r="DS1367" s="29"/>
      <c r="DT1367" s="29"/>
      <c r="DU1367" s="29"/>
      <c r="DV1367" s="29"/>
      <c r="DW1367" s="29"/>
      <c r="DX1367" s="29"/>
      <c r="DY1367" s="29"/>
      <c r="DZ1367" s="29"/>
      <c r="EA1367" s="29"/>
      <c r="EB1367" s="29"/>
      <c r="EC1367" s="29"/>
      <c r="ED1367" s="29"/>
      <c r="EE1367" s="29"/>
      <c r="EF1367" s="29"/>
      <c r="EG1367" s="29"/>
      <c r="EH1367" s="29"/>
      <c r="EI1367" s="29"/>
      <c r="EJ1367" s="29"/>
      <c r="EK1367" s="29"/>
      <c r="EL1367" s="29"/>
      <c r="EM1367" s="29"/>
      <c r="EN1367" s="29"/>
      <c r="EO1367" s="29"/>
      <c r="EP1367" s="29"/>
      <c r="EQ1367" s="29"/>
      <c r="ER1367" s="29"/>
      <c r="ES1367" s="29"/>
      <c r="ET1367" s="29"/>
      <c r="EU1367" s="29"/>
      <c r="EV1367" s="29"/>
      <c r="EW1367" s="29"/>
      <c r="EX1367" s="29"/>
      <c r="EY1367" s="29"/>
      <c r="EZ1367" s="29"/>
      <c r="FA1367" s="29"/>
      <c r="FB1367" s="29"/>
      <c r="FC1367" s="29"/>
      <c r="FD1367" s="29"/>
      <c r="FE1367" s="29"/>
      <c r="FF1367" s="29"/>
      <c r="FG1367" s="29"/>
      <c r="FH1367" s="29"/>
      <c r="FI1367" s="29"/>
      <c r="FJ1367" s="29"/>
      <c r="FK1367" s="29"/>
      <c r="FL1367" s="29"/>
      <c r="FM1367" s="29"/>
      <c r="FN1367" s="29"/>
      <c r="FO1367" s="29"/>
      <c r="FP1367" s="29"/>
      <c r="FQ1367" s="29"/>
      <c r="FR1367" s="29"/>
      <c r="FS1367" s="29"/>
      <c r="FT1367" s="29"/>
      <c r="FU1367" s="29"/>
      <c r="FV1367" s="29"/>
      <c r="FW1367" s="29"/>
      <c r="FX1367" s="29"/>
      <c r="FY1367" s="29"/>
      <c r="FZ1367" s="29"/>
      <c r="GA1367" s="29"/>
      <c r="GB1367" s="29"/>
      <c r="GC1367" s="29"/>
      <c r="GD1367" s="29"/>
      <c r="GE1367" s="29"/>
      <c r="GF1367" s="29"/>
      <c r="GG1367" s="29"/>
      <c r="GH1367" s="29"/>
      <c r="GI1367" s="29"/>
      <c r="GJ1367" s="29"/>
      <c r="GK1367" s="29"/>
      <c r="GL1367" s="29"/>
      <c r="GM1367" s="29"/>
      <c r="GN1367" s="29"/>
      <c r="GO1367" s="29"/>
      <c r="GP1367" s="29"/>
      <c r="GQ1367" s="29"/>
      <c r="GR1367" s="29"/>
      <c r="GS1367" s="29"/>
      <c r="GT1367" s="29"/>
      <c r="GU1367" s="29"/>
      <c r="GV1367" s="29"/>
      <c r="GW1367" s="29"/>
      <c r="GX1367" s="29"/>
      <c r="GY1367" s="29"/>
      <c r="GZ1367" s="29"/>
      <c r="HA1367" s="29"/>
      <c r="HB1367" s="29"/>
      <c r="HC1367" s="29"/>
      <c r="HD1367" s="29"/>
      <c r="HE1367" s="29"/>
      <c r="HF1367" s="29"/>
      <c r="HG1367" s="29"/>
      <c r="HH1367" s="29"/>
      <c r="HI1367" s="29"/>
      <c r="HJ1367" s="29"/>
      <c r="HK1367" s="29"/>
      <c r="HL1367" s="29"/>
      <c r="HM1367" s="29"/>
      <c r="HN1367" s="29"/>
      <c r="HO1367" s="29"/>
      <c r="HP1367" s="29"/>
      <c r="HQ1367" s="29"/>
      <c r="HR1367" s="29"/>
      <c r="HS1367" s="29"/>
      <c r="HT1367" s="29"/>
      <c r="HU1367" s="29"/>
      <c r="HV1367" s="29"/>
      <c r="HW1367" s="29"/>
      <c r="HX1367" s="29"/>
      <c r="HY1367" s="29"/>
      <c r="HZ1367" s="29"/>
      <c r="IA1367" s="29"/>
      <c r="IB1367" s="29"/>
      <c r="IC1367" s="29"/>
      <c r="ID1367" s="29"/>
      <c r="IE1367" s="29"/>
      <c r="IF1367" s="29"/>
      <c r="IG1367" s="29"/>
      <c r="IH1367" s="29"/>
      <c r="II1367" s="29"/>
      <c r="IJ1367" s="29"/>
      <c r="IK1367" s="29"/>
      <c r="IL1367" s="29"/>
      <c r="IM1367" s="29"/>
      <c r="IN1367" s="29"/>
      <c r="IO1367" s="29"/>
      <c r="IP1367" s="29"/>
      <c r="IQ1367" s="29"/>
      <c r="IR1367" s="29"/>
      <c r="IS1367" s="29"/>
      <c r="IT1367" s="29"/>
      <c r="IU1367" s="29"/>
      <c r="IV1367" s="29"/>
      <c r="IW1367" s="29"/>
      <c r="IX1367" s="29"/>
      <c r="IY1367" s="29"/>
      <c r="IZ1367" s="29"/>
      <c r="JA1367" s="29"/>
      <c r="JB1367" s="29"/>
      <c r="JC1367" s="29"/>
      <c r="JD1367" s="29"/>
      <c r="JE1367" s="29"/>
      <c r="JF1367" s="29"/>
      <c r="JG1367" s="29"/>
      <c r="JH1367" s="29"/>
      <c r="JI1367" s="29"/>
      <c r="JJ1367" s="29"/>
      <c r="JK1367" s="29"/>
      <c r="JL1367" s="29"/>
      <c r="JM1367" s="29"/>
      <c r="JN1367" s="29"/>
      <c r="JO1367" s="29"/>
      <c r="JP1367" s="29"/>
      <c r="JQ1367" s="29"/>
      <c r="JR1367" s="29"/>
      <c r="JS1367" s="29"/>
      <c r="JT1367" s="29"/>
      <c r="JU1367" s="29"/>
      <c r="JV1367" s="29"/>
      <c r="JW1367" s="29"/>
      <c r="JX1367" s="29"/>
      <c r="JY1367" s="29"/>
      <c r="JZ1367" s="29"/>
      <c r="KA1367" s="29"/>
      <c r="KB1367" s="29"/>
      <c r="KC1367" s="29"/>
      <c r="KD1367" s="29"/>
      <c r="KE1367" s="29"/>
      <c r="KF1367" s="29"/>
      <c r="KG1367" s="29"/>
      <c r="KH1367" s="29"/>
      <c r="KI1367" s="29"/>
      <c r="KJ1367" s="29"/>
      <c r="KK1367" s="29"/>
      <c r="KL1367" s="29"/>
      <c r="KM1367" s="29"/>
      <c r="KN1367" s="29"/>
      <c r="KO1367" s="29"/>
      <c r="KP1367" s="29"/>
      <c r="KQ1367" s="29"/>
      <c r="KR1367" s="29"/>
      <c r="KS1367" s="29"/>
      <c r="KT1367" s="29"/>
      <c r="KU1367" s="29"/>
      <c r="KV1367" s="29"/>
      <c r="KW1367" s="29"/>
      <c r="KX1367" s="29"/>
      <c r="KY1367" s="29"/>
      <c r="KZ1367" s="29"/>
      <c r="LA1367" s="29"/>
      <c r="LB1367" s="29"/>
      <c r="LC1367" s="29"/>
      <c r="LD1367" s="29"/>
      <c r="LE1367" s="29"/>
      <c r="LF1367" s="29"/>
      <c r="LG1367" s="29"/>
      <c r="LH1367" s="29"/>
      <c r="LI1367" s="29"/>
      <c r="LJ1367" s="29"/>
      <c r="LK1367" s="29"/>
      <c r="LL1367" s="29"/>
      <c r="LM1367" s="29"/>
      <c r="LN1367" s="29"/>
      <c r="LO1367" s="29"/>
      <c r="LP1367" s="29"/>
      <c r="LQ1367" s="29"/>
      <c r="LR1367" s="29"/>
      <c r="LS1367" s="29"/>
      <c r="LT1367" s="29"/>
      <c r="LU1367" s="29"/>
      <c r="LV1367" s="29"/>
      <c r="LW1367" s="29"/>
      <c r="LX1367" s="29"/>
      <c r="LY1367" s="29"/>
      <c r="LZ1367" s="29"/>
      <c r="MA1367" s="29"/>
      <c r="MB1367" s="29"/>
      <c r="MC1367" s="29"/>
      <c r="MD1367" s="29"/>
      <c r="ME1367" s="29"/>
      <c r="MF1367" s="29"/>
      <c r="MG1367" s="29"/>
      <c r="MH1367" s="29"/>
      <c r="MI1367" s="29"/>
      <c r="MJ1367" s="29"/>
      <c r="MK1367" s="29"/>
      <c r="ML1367" s="29"/>
      <c r="MM1367" s="29"/>
      <c r="MN1367" s="29"/>
      <c r="MO1367" s="29"/>
      <c r="MP1367" s="29"/>
      <c r="MQ1367" s="29"/>
      <c r="MR1367" s="29"/>
      <c r="MS1367" s="29"/>
      <c r="MT1367" s="29"/>
      <c r="MU1367" s="29"/>
      <c r="MV1367" s="29"/>
      <c r="MW1367" s="29"/>
      <c r="MX1367" s="29"/>
      <c r="MY1367" s="29"/>
      <c r="MZ1367" s="29"/>
      <c r="NA1367" s="29"/>
      <c r="NB1367" s="29"/>
      <c r="NC1367" s="29"/>
      <c r="ND1367" s="29"/>
      <c r="NE1367" s="29"/>
      <c r="NF1367" s="29"/>
      <c r="NG1367" s="29"/>
      <c r="NH1367" s="29"/>
      <c r="NI1367" s="29"/>
      <c r="NJ1367" s="29"/>
      <c r="NK1367" s="29"/>
      <c r="NL1367" s="29"/>
      <c r="NM1367" s="29"/>
      <c r="NN1367" s="29"/>
      <c r="NO1367" s="29"/>
      <c r="NP1367" s="29"/>
      <c r="NQ1367" s="29"/>
      <c r="NR1367" s="29"/>
      <c r="NS1367" s="29"/>
      <c r="NT1367" s="29"/>
      <c r="NU1367" s="29"/>
      <c r="NV1367" s="29"/>
      <c r="NW1367" s="29"/>
      <c r="NX1367" s="29"/>
      <c r="NY1367" s="29"/>
      <c r="NZ1367" s="29"/>
      <c r="OA1367" s="29"/>
      <c r="OB1367" s="29"/>
      <c r="OC1367" s="29"/>
      <c r="OD1367" s="29"/>
      <c r="OE1367" s="29"/>
      <c r="OF1367" s="29"/>
      <c r="OG1367" s="29"/>
      <c r="OH1367" s="29"/>
      <c r="OI1367" s="29"/>
      <c r="OJ1367" s="29"/>
      <c r="OK1367" s="29"/>
      <c r="OL1367" s="29"/>
      <c r="OM1367" s="29"/>
      <c r="ON1367" s="29"/>
      <c r="OO1367" s="29"/>
      <c r="OP1367" s="29"/>
      <c r="OQ1367" s="29"/>
      <c r="OR1367" s="29"/>
      <c r="OS1367" s="29"/>
      <c r="OT1367" s="29"/>
      <c r="OU1367" s="29"/>
      <c r="OV1367" s="29"/>
      <c r="OW1367" s="29"/>
      <c r="OX1367" s="29"/>
      <c r="OY1367" s="29"/>
      <c r="OZ1367" s="29"/>
      <c r="PA1367" s="29"/>
      <c r="PB1367" s="29"/>
      <c r="PC1367" s="29"/>
      <c r="PD1367" s="29"/>
      <c r="PE1367" s="29"/>
      <c r="PF1367" s="29"/>
      <c r="PG1367" s="29"/>
      <c r="PH1367" s="29"/>
      <c r="PI1367" s="29"/>
      <c r="PJ1367" s="29"/>
      <c r="PK1367" s="29"/>
      <c r="PL1367" s="29"/>
      <c r="PM1367" s="29"/>
      <c r="PN1367" s="29"/>
      <c r="PO1367" s="29"/>
      <c r="PP1367" s="29"/>
      <c r="PQ1367" s="29"/>
      <c r="PR1367" s="29"/>
      <c r="PS1367" s="29"/>
      <c r="PT1367" s="29"/>
      <c r="PU1367" s="29"/>
      <c r="PV1367" s="29"/>
      <c r="PW1367" s="29"/>
      <c r="PX1367" s="29"/>
      <c r="PY1367" s="29"/>
      <c r="PZ1367" s="29"/>
      <c r="QA1367" s="29"/>
      <c r="QB1367" s="29"/>
      <c r="QC1367" s="29"/>
      <c r="QD1367" s="29"/>
      <c r="QE1367" s="29"/>
      <c r="QF1367" s="29"/>
      <c r="QG1367" s="29"/>
      <c r="QH1367" s="29"/>
      <c r="QI1367" s="29"/>
      <c r="QJ1367" s="29"/>
      <c r="QK1367" s="29"/>
      <c r="QL1367" s="29"/>
      <c r="QM1367" s="29"/>
      <c r="QN1367" s="29"/>
      <c r="QO1367" s="29"/>
      <c r="QP1367" s="29"/>
      <c r="QQ1367" s="29"/>
      <c r="QR1367" s="29"/>
      <c r="QS1367" s="29"/>
      <c r="QT1367" s="29"/>
      <c r="QU1367" s="29"/>
      <c r="QV1367" s="29"/>
      <c r="QW1367" s="29"/>
      <c r="QX1367" s="29"/>
      <c r="QY1367" s="29"/>
      <c r="QZ1367" s="29"/>
      <c r="RA1367" s="29"/>
      <c r="RB1367" s="29"/>
      <c r="RC1367" s="29"/>
      <c r="RD1367" s="29"/>
      <c r="RE1367" s="29"/>
      <c r="RF1367" s="29"/>
      <c r="RG1367" s="29"/>
      <c r="RH1367" s="29"/>
      <c r="RI1367" s="29"/>
      <c r="RJ1367" s="29"/>
      <c r="RK1367" s="29"/>
      <c r="RL1367" s="29"/>
      <c r="RM1367" s="29"/>
      <c r="RN1367" s="29"/>
      <c r="RO1367" s="29"/>
      <c r="RP1367" s="29"/>
      <c r="RQ1367" s="29"/>
      <c r="RR1367" s="29"/>
      <c r="RS1367" s="29"/>
      <c r="RT1367" s="29"/>
      <c r="RU1367" s="29"/>
      <c r="RV1367" s="29"/>
      <c r="RW1367" s="29"/>
      <c r="RX1367" s="29"/>
      <c r="RY1367" s="29"/>
      <c r="RZ1367" s="29"/>
      <c r="SA1367" s="29"/>
      <c r="SB1367" s="29"/>
      <c r="SC1367" s="29"/>
      <c r="SD1367" s="29"/>
      <c r="SE1367" s="29"/>
      <c r="SF1367" s="29"/>
      <c r="SG1367" s="29"/>
      <c r="SH1367" s="29"/>
      <c r="SI1367" s="29"/>
      <c r="SJ1367" s="29"/>
      <c r="SK1367" s="29"/>
      <c r="SL1367" s="29"/>
      <c r="SM1367" s="29"/>
      <c r="SN1367" s="29"/>
      <c r="SO1367" s="29"/>
      <c r="SP1367" s="29"/>
      <c r="SQ1367" s="29"/>
      <c r="SR1367" s="29"/>
      <c r="SS1367" s="29"/>
      <c r="ST1367" s="29"/>
      <c r="SU1367" s="29"/>
      <c r="SV1367" s="29"/>
      <c r="SW1367" s="29"/>
      <c r="SX1367" s="29"/>
      <c r="SY1367" s="29"/>
      <c r="SZ1367" s="29"/>
      <c r="TA1367" s="29"/>
      <c r="TB1367" s="29"/>
      <c r="TC1367" s="29"/>
      <c r="TD1367" s="29"/>
      <c r="TE1367" s="29"/>
      <c r="TF1367" s="29"/>
      <c r="TG1367" s="29"/>
      <c r="TH1367" s="29"/>
      <c r="TI1367" s="29"/>
      <c r="TJ1367" s="29"/>
      <c r="TK1367" s="29"/>
      <c r="TL1367" s="29"/>
      <c r="TM1367" s="29"/>
      <c r="TN1367" s="29"/>
      <c r="TO1367" s="29"/>
      <c r="TP1367" s="29"/>
      <c r="TQ1367" s="29"/>
      <c r="TR1367" s="29"/>
      <c r="TS1367" s="29"/>
      <c r="TT1367" s="29"/>
      <c r="TU1367" s="29"/>
      <c r="TV1367" s="29"/>
      <c r="TW1367" s="29"/>
      <c r="TX1367" s="29"/>
      <c r="TY1367" s="29"/>
      <c r="TZ1367" s="29"/>
      <c r="UA1367" s="29"/>
      <c r="UB1367" s="29"/>
      <c r="UC1367" s="29"/>
      <c r="UD1367" s="29"/>
      <c r="UE1367" s="29"/>
      <c r="UF1367" s="29"/>
      <c r="UG1367" s="29"/>
    </row>
    <row r="1368" spans="1:553" ht="39.75" customHeight="1">
      <c r="A1368" s="356" t="s">
        <v>15</v>
      </c>
      <c r="B1368" s="356"/>
      <c r="C1368" s="427" t="str">
        <f t="shared" si="203"/>
        <v>Đất chuyên trồng lúa nước (LUC)</v>
      </c>
      <c r="D1368" s="376" t="str">
        <f t="shared" si="203"/>
        <v>1</v>
      </c>
      <c r="E1368" s="376" t="str">
        <f t="shared" si="203"/>
        <v>228</v>
      </c>
      <c r="F1368" s="386">
        <f t="shared" si="203"/>
        <v>1</v>
      </c>
      <c r="G1368" s="386" t="s">
        <v>935</v>
      </c>
      <c r="H1368" s="441"/>
      <c r="I1368" s="370">
        <f t="shared" ref="I1368:I1375" si="205">I1313</f>
        <v>285</v>
      </c>
      <c r="J1368" s="368">
        <v>72000</v>
      </c>
      <c r="K1368" s="371">
        <v>3</v>
      </c>
      <c r="L1368" s="480">
        <f t="shared" si="204"/>
        <v>61560000</v>
      </c>
      <c r="M1368" s="366"/>
      <c r="N1368" s="366"/>
      <c r="O1368" s="366"/>
      <c r="P1368" s="366"/>
      <c r="Q1368" s="813"/>
      <c r="R1368" s="1610"/>
      <c r="S1368" s="308"/>
      <c r="T1368" s="308"/>
      <c r="U1368" s="308"/>
      <c r="V1368" s="308"/>
      <c r="W1368" s="308"/>
      <c r="X1368" s="308"/>
      <c r="Y1368" s="308"/>
      <c r="Z1368" s="604"/>
      <c r="AA1368" s="308"/>
      <c r="AB1368" s="308"/>
      <c r="AC1368" s="486"/>
      <c r="AD1368" s="486"/>
      <c r="AE1368" s="486"/>
      <c r="AF1368" s="486"/>
      <c r="AG1368" s="486"/>
      <c r="AH1368" s="486"/>
      <c r="AI1368" s="486"/>
      <c r="AJ1368" s="486"/>
      <c r="AK1368" s="486"/>
      <c r="AL1368" s="206"/>
      <c r="AM1368" s="29"/>
      <c r="AN1368" s="29"/>
      <c r="AO1368" s="29"/>
      <c r="AP1368" s="29"/>
      <c r="AQ1368" s="29"/>
      <c r="AR1368" s="29"/>
      <c r="AS1368" s="29"/>
      <c r="AT1368" s="29"/>
      <c r="AU1368" s="29"/>
      <c r="AV1368" s="29"/>
      <c r="AW1368" s="29"/>
      <c r="AX1368" s="29"/>
      <c r="AY1368" s="29"/>
      <c r="AZ1368" s="29"/>
      <c r="BA1368" s="29"/>
      <c r="BB1368" s="29"/>
      <c r="BC1368" s="29"/>
      <c r="BD1368" s="29"/>
      <c r="BE1368" s="29"/>
      <c r="BF1368" s="29"/>
      <c r="BG1368" s="29"/>
      <c r="BH1368" s="29"/>
      <c r="BI1368" s="29"/>
      <c r="BJ1368" s="29"/>
      <c r="BK1368" s="29"/>
      <c r="BL1368" s="29"/>
      <c r="BM1368" s="29"/>
      <c r="BN1368" s="29"/>
      <c r="BO1368" s="29"/>
      <c r="BP1368" s="29"/>
      <c r="BQ1368" s="29"/>
      <c r="BR1368" s="29"/>
      <c r="BS1368" s="29"/>
      <c r="BT1368" s="29"/>
      <c r="BU1368" s="29"/>
      <c r="BV1368" s="29"/>
      <c r="BW1368" s="29"/>
      <c r="BX1368" s="29"/>
      <c r="BY1368" s="29"/>
      <c r="BZ1368" s="29"/>
      <c r="CA1368" s="29"/>
      <c r="CB1368" s="29"/>
      <c r="CC1368" s="29"/>
      <c r="CD1368" s="29"/>
      <c r="CE1368" s="29"/>
      <c r="CF1368" s="29"/>
      <c r="CG1368" s="29"/>
      <c r="CH1368" s="29"/>
      <c r="CI1368" s="29"/>
      <c r="CJ1368" s="29"/>
      <c r="CK1368" s="29"/>
      <c r="CL1368" s="29"/>
      <c r="CM1368" s="29"/>
      <c r="CN1368" s="29"/>
      <c r="CO1368" s="29"/>
      <c r="CP1368" s="29"/>
      <c r="CQ1368" s="29"/>
      <c r="CR1368" s="29"/>
      <c r="CS1368" s="29"/>
      <c r="CT1368" s="29"/>
      <c r="CU1368" s="29"/>
      <c r="CV1368" s="29"/>
      <c r="CW1368" s="29"/>
      <c r="CX1368" s="29"/>
      <c r="CY1368" s="29"/>
      <c r="CZ1368" s="29"/>
      <c r="DA1368" s="29"/>
      <c r="DB1368" s="29"/>
      <c r="DC1368" s="29"/>
      <c r="DD1368" s="29"/>
      <c r="DE1368" s="29"/>
      <c r="DF1368" s="29"/>
      <c r="DG1368" s="29"/>
      <c r="DH1368" s="29"/>
      <c r="DI1368" s="29"/>
      <c r="DJ1368" s="29"/>
      <c r="DK1368" s="29"/>
      <c r="DL1368" s="29"/>
      <c r="DM1368" s="29"/>
      <c r="DN1368" s="29"/>
      <c r="DO1368" s="29"/>
      <c r="DP1368" s="29"/>
      <c r="DQ1368" s="29"/>
      <c r="DR1368" s="29"/>
      <c r="DS1368" s="29"/>
      <c r="DT1368" s="29"/>
      <c r="DU1368" s="29"/>
      <c r="DV1368" s="29"/>
      <c r="DW1368" s="29"/>
      <c r="DX1368" s="29"/>
      <c r="DY1368" s="29"/>
      <c r="DZ1368" s="29"/>
      <c r="EA1368" s="29"/>
      <c r="EB1368" s="29"/>
      <c r="EC1368" s="29"/>
      <c r="ED1368" s="29"/>
      <c r="EE1368" s="29"/>
      <c r="EF1368" s="29"/>
      <c r="EG1368" s="29"/>
      <c r="EH1368" s="29"/>
      <c r="EI1368" s="29"/>
      <c r="EJ1368" s="29"/>
      <c r="EK1368" s="29"/>
      <c r="EL1368" s="29"/>
      <c r="EM1368" s="29"/>
      <c r="EN1368" s="29"/>
      <c r="EO1368" s="29"/>
      <c r="EP1368" s="29"/>
      <c r="EQ1368" s="29"/>
      <c r="ER1368" s="29"/>
      <c r="ES1368" s="29"/>
      <c r="ET1368" s="29"/>
      <c r="EU1368" s="29"/>
      <c r="EV1368" s="29"/>
      <c r="EW1368" s="29"/>
      <c r="EX1368" s="29"/>
      <c r="EY1368" s="29"/>
      <c r="EZ1368" s="29"/>
      <c r="FA1368" s="29"/>
      <c r="FB1368" s="29"/>
      <c r="FC1368" s="29"/>
      <c r="FD1368" s="29"/>
      <c r="FE1368" s="29"/>
      <c r="FF1368" s="29"/>
      <c r="FG1368" s="29"/>
      <c r="FH1368" s="29"/>
      <c r="FI1368" s="29"/>
      <c r="FJ1368" s="29"/>
      <c r="FK1368" s="29"/>
      <c r="FL1368" s="29"/>
      <c r="FM1368" s="29"/>
      <c r="FN1368" s="29"/>
      <c r="FO1368" s="29"/>
      <c r="FP1368" s="29"/>
      <c r="FQ1368" s="29"/>
      <c r="FR1368" s="29"/>
      <c r="FS1368" s="29"/>
      <c r="FT1368" s="29"/>
      <c r="FU1368" s="29"/>
      <c r="FV1368" s="29"/>
      <c r="FW1368" s="29"/>
      <c r="FX1368" s="29"/>
      <c r="FY1368" s="29"/>
      <c r="FZ1368" s="29"/>
      <c r="GA1368" s="29"/>
      <c r="GB1368" s="29"/>
      <c r="GC1368" s="29"/>
      <c r="GD1368" s="29"/>
      <c r="GE1368" s="29"/>
      <c r="GF1368" s="29"/>
      <c r="GG1368" s="29"/>
      <c r="GH1368" s="29"/>
      <c r="GI1368" s="29"/>
      <c r="GJ1368" s="29"/>
      <c r="GK1368" s="29"/>
      <c r="GL1368" s="29"/>
      <c r="GM1368" s="29"/>
      <c r="GN1368" s="29"/>
      <c r="GO1368" s="29"/>
      <c r="GP1368" s="29"/>
      <c r="GQ1368" s="29"/>
      <c r="GR1368" s="29"/>
      <c r="GS1368" s="29"/>
      <c r="GT1368" s="29"/>
      <c r="GU1368" s="29"/>
      <c r="GV1368" s="29"/>
      <c r="GW1368" s="29"/>
      <c r="GX1368" s="29"/>
      <c r="GY1368" s="29"/>
      <c r="GZ1368" s="29"/>
      <c r="HA1368" s="29"/>
      <c r="HB1368" s="29"/>
      <c r="HC1368" s="29"/>
      <c r="HD1368" s="29"/>
      <c r="HE1368" s="29"/>
      <c r="HF1368" s="29"/>
      <c r="HG1368" s="29"/>
      <c r="HH1368" s="29"/>
      <c r="HI1368" s="29"/>
      <c r="HJ1368" s="29"/>
      <c r="HK1368" s="29"/>
      <c r="HL1368" s="29"/>
      <c r="HM1368" s="29"/>
      <c r="HN1368" s="29"/>
      <c r="HO1368" s="29"/>
      <c r="HP1368" s="29"/>
      <c r="HQ1368" s="29"/>
      <c r="HR1368" s="29"/>
      <c r="HS1368" s="29"/>
      <c r="HT1368" s="29"/>
      <c r="HU1368" s="29"/>
      <c r="HV1368" s="29"/>
      <c r="HW1368" s="29"/>
      <c r="HX1368" s="29"/>
      <c r="HY1368" s="29"/>
      <c r="HZ1368" s="29"/>
      <c r="IA1368" s="29"/>
      <c r="IB1368" s="29"/>
      <c r="IC1368" s="29"/>
      <c r="ID1368" s="29"/>
      <c r="IE1368" s="29"/>
      <c r="IF1368" s="29"/>
      <c r="IG1368" s="29"/>
      <c r="IH1368" s="29"/>
      <c r="II1368" s="29"/>
      <c r="IJ1368" s="29"/>
      <c r="IK1368" s="29"/>
      <c r="IL1368" s="29"/>
      <c r="IM1368" s="29"/>
      <c r="IN1368" s="29"/>
      <c r="IO1368" s="29"/>
      <c r="IP1368" s="29"/>
      <c r="IQ1368" s="29"/>
      <c r="IR1368" s="29"/>
      <c r="IS1368" s="29"/>
      <c r="IT1368" s="29"/>
      <c r="IU1368" s="29"/>
      <c r="IV1368" s="29"/>
      <c r="IW1368" s="29"/>
      <c r="IX1368" s="29"/>
      <c r="IY1368" s="29"/>
      <c r="IZ1368" s="29"/>
      <c r="JA1368" s="29"/>
      <c r="JB1368" s="29"/>
      <c r="JC1368" s="29"/>
      <c r="JD1368" s="29"/>
      <c r="JE1368" s="29"/>
      <c r="JF1368" s="29"/>
      <c r="JG1368" s="29"/>
      <c r="JH1368" s="29"/>
      <c r="JI1368" s="29"/>
      <c r="JJ1368" s="29"/>
      <c r="JK1368" s="29"/>
      <c r="JL1368" s="29"/>
      <c r="JM1368" s="29"/>
      <c r="JN1368" s="29"/>
      <c r="JO1368" s="29"/>
      <c r="JP1368" s="29"/>
      <c r="JQ1368" s="29"/>
      <c r="JR1368" s="29"/>
      <c r="JS1368" s="29"/>
      <c r="JT1368" s="29"/>
      <c r="JU1368" s="29"/>
      <c r="JV1368" s="29"/>
      <c r="JW1368" s="29"/>
      <c r="JX1368" s="29"/>
      <c r="JY1368" s="29"/>
      <c r="JZ1368" s="29"/>
      <c r="KA1368" s="29"/>
      <c r="KB1368" s="29"/>
      <c r="KC1368" s="29"/>
      <c r="KD1368" s="29"/>
      <c r="KE1368" s="29"/>
      <c r="KF1368" s="29"/>
      <c r="KG1368" s="29"/>
      <c r="KH1368" s="29"/>
      <c r="KI1368" s="29"/>
      <c r="KJ1368" s="29"/>
      <c r="KK1368" s="29"/>
      <c r="KL1368" s="29"/>
      <c r="KM1368" s="29"/>
      <c r="KN1368" s="29"/>
      <c r="KO1368" s="29"/>
      <c r="KP1368" s="29"/>
      <c r="KQ1368" s="29"/>
      <c r="KR1368" s="29"/>
      <c r="KS1368" s="29"/>
      <c r="KT1368" s="29"/>
      <c r="KU1368" s="29"/>
      <c r="KV1368" s="29"/>
      <c r="KW1368" s="29"/>
      <c r="KX1368" s="29"/>
      <c r="KY1368" s="29"/>
      <c r="KZ1368" s="29"/>
      <c r="LA1368" s="29"/>
      <c r="LB1368" s="29"/>
      <c r="LC1368" s="29"/>
      <c r="LD1368" s="29"/>
      <c r="LE1368" s="29"/>
      <c r="LF1368" s="29"/>
      <c r="LG1368" s="29"/>
      <c r="LH1368" s="29"/>
      <c r="LI1368" s="29"/>
      <c r="LJ1368" s="29"/>
      <c r="LK1368" s="29"/>
      <c r="LL1368" s="29"/>
      <c r="LM1368" s="29"/>
      <c r="LN1368" s="29"/>
      <c r="LO1368" s="29"/>
      <c r="LP1368" s="29"/>
      <c r="LQ1368" s="29"/>
      <c r="LR1368" s="29"/>
      <c r="LS1368" s="29"/>
      <c r="LT1368" s="29"/>
      <c r="LU1368" s="29"/>
      <c r="LV1368" s="29"/>
      <c r="LW1368" s="29"/>
      <c r="LX1368" s="29"/>
      <c r="LY1368" s="29"/>
      <c r="LZ1368" s="29"/>
      <c r="MA1368" s="29"/>
      <c r="MB1368" s="29"/>
      <c r="MC1368" s="29"/>
      <c r="MD1368" s="29"/>
      <c r="ME1368" s="29"/>
      <c r="MF1368" s="29"/>
      <c r="MG1368" s="29"/>
      <c r="MH1368" s="29"/>
      <c r="MI1368" s="29"/>
      <c r="MJ1368" s="29"/>
      <c r="MK1368" s="29"/>
      <c r="ML1368" s="29"/>
      <c r="MM1368" s="29"/>
      <c r="MN1368" s="29"/>
      <c r="MO1368" s="29"/>
      <c r="MP1368" s="29"/>
      <c r="MQ1368" s="29"/>
      <c r="MR1368" s="29"/>
      <c r="MS1368" s="29"/>
      <c r="MT1368" s="29"/>
      <c r="MU1368" s="29"/>
      <c r="MV1368" s="29"/>
      <c r="MW1368" s="29"/>
      <c r="MX1368" s="29"/>
      <c r="MY1368" s="29"/>
      <c r="MZ1368" s="29"/>
      <c r="NA1368" s="29"/>
      <c r="NB1368" s="29"/>
      <c r="NC1368" s="29"/>
      <c r="ND1368" s="29"/>
      <c r="NE1368" s="29"/>
      <c r="NF1368" s="29"/>
      <c r="NG1368" s="29"/>
      <c r="NH1368" s="29"/>
      <c r="NI1368" s="29"/>
      <c r="NJ1368" s="29"/>
      <c r="NK1368" s="29"/>
      <c r="NL1368" s="29"/>
      <c r="NM1368" s="29"/>
      <c r="NN1368" s="29"/>
      <c r="NO1368" s="29"/>
      <c r="NP1368" s="29"/>
      <c r="NQ1368" s="29"/>
      <c r="NR1368" s="29"/>
      <c r="NS1368" s="29"/>
      <c r="NT1368" s="29"/>
      <c r="NU1368" s="29"/>
      <c r="NV1368" s="29"/>
      <c r="NW1368" s="29"/>
      <c r="NX1368" s="29"/>
      <c r="NY1368" s="29"/>
      <c r="NZ1368" s="29"/>
      <c r="OA1368" s="29"/>
      <c r="OB1368" s="29"/>
      <c r="OC1368" s="29"/>
      <c r="OD1368" s="29"/>
      <c r="OE1368" s="29"/>
      <c r="OF1368" s="29"/>
      <c r="OG1368" s="29"/>
      <c r="OH1368" s="29"/>
      <c r="OI1368" s="29"/>
      <c r="OJ1368" s="29"/>
      <c r="OK1368" s="29"/>
      <c r="OL1368" s="29"/>
      <c r="OM1368" s="29"/>
      <c r="ON1368" s="29"/>
      <c r="OO1368" s="29"/>
      <c r="OP1368" s="29"/>
      <c r="OQ1368" s="29"/>
      <c r="OR1368" s="29"/>
      <c r="OS1368" s="29"/>
      <c r="OT1368" s="29"/>
      <c r="OU1368" s="29"/>
      <c r="OV1368" s="29"/>
      <c r="OW1368" s="29"/>
      <c r="OX1368" s="29"/>
      <c r="OY1368" s="29"/>
      <c r="OZ1368" s="29"/>
      <c r="PA1368" s="29"/>
      <c r="PB1368" s="29"/>
      <c r="PC1368" s="29"/>
      <c r="PD1368" s="29"/>
      <c r="PE1368" s="29"/>
      <c r="PF1368" s="29"/>
      <c r="PG1368" s="29"/>
      <c r="PH1368" s="29"/>
      <c r="PI1368" s="29"/>
      <c r="PJ1368" s="29"/>
      <c r="PK1368" s="29"/>
      <c r="PL1368" s="29"/>
      <c r="PM1368" s="29"/>
      <c r="PN1368" s="29"/>
      <c r="PO1368" s="29"/>
      <c r="PP1368" s="29"/>
      <c r="PQ1368" s="29"/>
      <c r="PR1368" s="29"/>
      <c r="PS1368" s="29"/>
      <c r="PT1368" s="29"/>
      <c r="PU1368" s="29"/>
      <c r="PV1368" s="29"/>
      <c r="PW1368" s="29"/>
      <c r="PX1368" s="29"/>
      <c r="PY1368" s="29"/>
      <c r="PZ1368" s="29"/>
      <c r="QA1368" s="29"/>
      <c r="QB1368" s="29"/>
      <c r="QC1368" s="29"/>
      <c r="QD1368" s="29"/>
      <c r="QE1368" s="29"/>
      <c r="QF1368" s="29"/>
      <c r="QG1368" s="29"/>
      <c r="QH1368" s="29"/>
      <c r="QI1368" s="29"/>
      <c r="QJ1368" s="29"/>
      <c r="QK1368" s="29"/>
      <c r="QL1368" s="29"/>
      <c r="QM1368" s="29"/>
      <c r="QN1368" s="29"/>
      <c r="QO1368" s="29"/>
      <c r="QP1368" s="29"/>
      <c r="QQ1368" s="29"/>
      <c r="QR1368" s="29"/>
      <c r="QS1368" s="29"/>
      <c r="QT1368" s="29"/>
      <c r="QU1368" s="29"/>
      <c r="QV1368" s="29"/>
      <c r="QW1368" s="29"/>
      <c r="QX1368" s="29"/>
      <c r="QY1368" s="29"/>
      <c r="QZ1368" s="29"/>
      <c r="RA1368" s="29"/>
      <c r="RB1368" s="29"/>
      <c r="RC1368" s="29"/>
      <c r="RD1368" s="29"/>
      <c r="RE1368" s="29"/>
      <c r="RF1368" s="29"/>
      <c r="RG1368" s="29"/>
      <c r="RH1368" s="29"/>
      <c r="RI1368" s="29"/>
      <c r="RJ1368" s="29"/>
      <c r="RK1368" s="29"/>
      <c r="RL1368" s="29"/>
      <c r="RM1368" s="29"/>
      <c r="RN1368" s="29"/>
      <c r="RO1368" s="29"/>
      <c r="RP1368" s="29"/>
      <c r="RQ1368" s="29"/>
      <c r="RR1368" s="29"/>
      <c r="RS1368" s="29"/>
      <c r="RT1368" s="29"/>
      <c r="RU1368" s="29"/>
      <c r="RV1368" s="29"/>
      <c r="RW1368" s="29"/>
      <c r="RX1368" s="29"/>
      <c r="RY1368" s="29"/>
      <c r="RZ1368" s="29"/>
      <c r="SA1368" s="29"/>
      <c r="SB1368" s="29"/>
      <c r="SC1368" s="29"/>
      <c r="SD1368" s="29"/>
      <c r="SE1368" s="29"/>
      <c r="SF1368" s="29"/>
      <c r="SG1368" s="29"/>
      <c r="SH1368" s="29"/>
      <c r="SI1368" s="29"/>
      <c r="SJ1368" s="29"/>
      <c r="SK1368" s="29"/>
      <c r="SL1368" s="29"/>
      <c r="SM1368" s="29"/>
      <c r="SN1368" s="29"/>
      <c r="SO1368" s="29"/>
      <c r="SP1368" s="29"/>
      <c r="SQ1368" s="29"/>
      <c r="SR1368" s="29"/>
      <c r="SS1368" s="29"/>
      <c r="ST1368" s="29"/>
      <c r="SU1368" s="29"/>
      <c r="SV1368" s="29"/>
      <c r="SW1368" s="29"/>
      <c r="SX1368" s="29"/>
      <c r="SY1368" s="29"/>
      <c r="SZ1368" s="29"/>
      <c r="TA1368" s="29"/>
      <c r="TB1368" s="29"/>
      <c r="TC1368" s="29"/>
      <c r="TD1368" s="29"/>
      <c r="TE1368" s="29"/>
      <c r="TF1368" s="29"/>
      <c r="TG1368" s="29"/>
      <c r="TH1368" s="29"/>
      <c r="TI1368" s="29"/>
      <c r="TJ1368" s="29"/>
      <c r="TK1368" s="29"/>
      <c r="TL1368" s="29"/>
      <c r="TM1368" s="29"/>
      <c r="TN1368" s="29"/>
      <c r="TO1368" s="29"/>
      <c r="TP1368" s="29"/>
      <c r="TQ1368" s="29"/>
      <c r="TR1368" s="29"/>
      <c r="TS1368" s="29"/>
      <c r="TT1368" s="29"/>
      <c r="TU1368" s="29"/>
      <c r="TV1368" s="29"/>
      <c r="TW1368" s="29"/>
      <c r="TX1368" s="29"/>
      <c r="TY1368" s="29"/>
      <c r="TZ1368" s="29"/>
      <c r="UA1368" s="29"/>
      <c r="UB1368" s="29"/>
      <c r="UC1368" s="29"/>
      <c r="UD1368" s="29"/>
      <c r="UE1368" s="29"/>
      <c r="UF1368" s="29"/>
      <c r="UG1368" s="29"/>
    </row>
    <row r="1369" spans="1:553" ht="39.75" customHeight="1">
      <c r="A1369" s="356" t="s">
        <v>15</v>
      </c>
      <c r="B1369" s="356"/>
      <c r="C1369" s="427" t="str">
        <f t="shared" si="203"/>
        <v>Đất chuyên trồng lúa nước (LUC)</v>
      </c>
      <c r="D1369" s="376" t="str">
        <f t="shared" si="203"/>
        <v>1</v>
      </c>
      <c r="E1369" s="376" t="str">
        <f t="shared" si="203"/>
        <v>247</v>
      </c>
      <c r="F1369" s="386">
        <f t="shared" si="203"/>
        <v>1</v>
      </c>
      <c r="G1369" s="386" t="s">
        <v>935</v>
      </c>
      <c r="H1369" s="441"/>
      <c r="I1369" s="370">
        <f t="shared" si="205"/>
        <v>285.10000000000002</v>
      </c>
      <c r="J1369" s="368">
        <v>72000</v>
      </c>
      <c r="K1369" s="371">
        <v>3</v>
      </c>
      <c r="L1369" s="480">
        <f t="shared" si="204"/>
        <v>61581600</v>
      </c>
      <c r="M1369" s="366"/>
      <c r="N1369" s="366"/>
      <c r="O1369" s="366"/>
      <c r="P1369" s="366"/>
      <c r="Q1369" s="813"/>
      <c r="R1369" s="1610"/>
      <c r="S1369" s="308"/>
      <c r="T1369" s="308"/>
      <c r="U1369" s="308"/>
      <c r="V1369" s="308"/>
      <c r="W1369" s="308"/>
      <c r="X1369" s="308"/>
      <c r="Y1369" s="308"/>
      <c r="Z1369" s="604"/>
      <c r="AA1369" s="308"/>
      <c r="AB1369" s="308"/>
      <c r="AC1369" s="486"/>
      <c r="AD1369" s="486"/>
      <c r="AE1369" s="486"/>
      <c r="AF1369" s="486"/>
      <c r="AG1369" s="486"/>
      <c r="AH1369" s="486"/>
      <c r="AI1369" s="486"/>
      <c r="AJ1369" s="486"/>
      <c r="AK1369" s="486"/>
      <c r="AL1369" s="206"/>
      <c r="AM1369" s="29"/>
      <c r="AN1369" s="29"/>
      <c r="AO1369" s="29"/>
      <c r="AP1369" s="29"/>
      <c r="AQ1369" s="29"/>
      <c r="AR1369" s="29"/>
      <c r="AS1369" s="29"/>
      <c r="AT1369" s="29"/>
      <c r="AU1369" s="29"/>
      <c r="AV1369" s="29"/>
      <c r="AW1369" s="29"/>
      <c r="AX1369" s="29"/>
      <c r="AY1369" s="29"/>
      <c r="AZ1369" s="29"/>
      <c r="BA1369" s="29"/>
      <c r="BB1369" s="29"/>
      <c r="BC1369" s="29"/>
      <c r="BD1369" s="29"/>
      <c r="BE1369" s="29"/>
      <c r="BF1369" s="29"/>
      <c r="BG1369" s="29"/>
      <c r="BH1369" s="29"/>
      <c r="BI1369" s="29"/>
      <c r="BJ1369" s="29"/>
      <c r="BK1369" s="29"/>
      <c r="BL1369" s="29"/>
      <c r="BM1369" s="29"/>
      <c r="BN1369" s="29"/>
      <c r="BO1369" s="29"/>
      <c r="BP1369" s="29"/>
      <c r="BQ1369" s="29"/>
      <c r="BR1369" s="29"/>
      <c r="BS1369" s="29"/>
      <c r="BT1369" s="29"/>
      <c r="BU1369" s="29"/>
      <c r="BV1369" s="29"/>
      <c r="BW1369" s="29"/>
      <c r="BX1369" s="29"/>
      <c r="BY1369" s="29"/>
      <c r="BZ1369" s="29"/>
      <c r="CA1369" s="29"/>
      <c r="CB1369" s="29"/>
      <c r="CC1369" s="29"/>
      <c r="CD1369" s="29"/>
      <c r="CE1369" s="29"/>
      <c r="CF1369" s="29"/>
      <c r="CG1369" s="29"/>
      <c r="CH1369" s="29"/>
      <c r="CI1369" s="29"/>
      <c r="CJ1369" s="29"/>
      <c r="CK1369" s="29"/>
      <c r="CL1369" s="29"/>
      <c r="CM1369" s="29"/>
      <c r="CN1369" s="29"/>
      <c r="CO1369" s="29"/>
      <c r="CP1369" s="29"/>
      <c r="CQ1369" s="29"/>
      <c r="CR1369" s="29"/>
      <c r="CS1369" s="29"/>
      <c r="CT1369" s="29"/>
      <c r="CU1369" s="29"/>
      <c r="CV1369" s="29"/>
      <c r="CW1369" s="29"/>
      <c r="CX1369" s="29"/>
      <c r="CY1369" s="29"/>
      <c r="CZ1369" s="29"/>
      <c r="DA1369" s="29"/>
      <c r="DB1369" s="29"/>
      <c r="DC1369" s="29"/>
      <c r="DD1369" s="29"/>
      <c r="DE1369" s="29"/>
      <c r="DF1369" s="29"/>
      <c r="DG1369" s="29"/>
      <c r="DH1369" s="29"/>
      <c r="DI1369" s="29"/>
      <c r="DJ1369" s="29"/>
      <c r="DK1369" s="29"/>
      <c r="DL1369" s="29"/>
      <c r="DM1369" s="29"/>
      <c r="DN1369" s="29"/>
      <c r="DO1369" s="29"/>
      <c r="DP1369" s="29"/>
      <c r="DQ1369" s="29"/>
      <c r="DR1369" s="29"/>
      <c r="DS1369" s="29"/>
      <c r="DT1369" s="29"/>
      <c r="DU1369" s="29"/>
      <c r="DV1369" s="29"/>
      <c r="DW1369" s="29"/>
      <c r="DX1369" s="29"/>
      <c r="DY1369" s="29"/>
      <c r="DZ1369" s="29"/>
      <c r="EA1369" s="29"/>
      <c r="EB1369" s="29"/>
      <c r="EC1369" s="29"/>
      <c r="ED1369" s="29"/>
      <c r="EE1369" s="29"/>
      <c r="EF1369" s="29"/>
      <c r="EG1369" s="29"/>
      <c r="EH1369" s="29"/>
      <c r="EI1369" s="29"/>
      <c r="EJ1369" s="29"/>
      <c r="EK1369" s="29"/>
      <c r="EL1369" s="29"/>
      <c r="EM1369" s="29"/>
      <c r="EN1369" s="29"/>
      <c r="EO1369" s="29"/>
      <c r="EP1369" s="29"/>
      <c r="EQ1369" s="29"/>
      <c r="ER1369" s="29"/>
      <c r="ES1369" s="29"/>
      <c r="ET1369" s="29"/>
      <c r="EU1369" s="29"/>
      <c r="EV1369" s="29"/>
      <c r="EW1369" s="29"/>
      <c r="EX1369" s="29"/>
      <c r="EY1369" s="29"/>
      <c r="EZ1369" s="29"/>
      <c r="FA1369" s="29"/>
      <c r="FB1369" s="29"/>
      <c r="FC1369" s="29"/>
      <c r="FD1369" s="29"/>
      <c r="FE1369" s="29"/>
      <c r="FF1369" s="29"/>
      <c r="FG1369" s="29"/>
      <c r="FH1369" s="29"/>
      <c r="FI1369" s="29"/>
      <c r="FJ1369" s="29"/>
      <c r="FK1369" s="29"/>
      <c r="FL1369" s="29"/>
      <c r="FM1369" s="29"/>
      <c r="FN1369" s="29"/>
      <c r="FO1369" s="29"/>
      <c r="FP1369" s="29"/>
      <c r="FQ1369" s="29"/>
      <c r="FR1369" s="29"/>
      <c r="FS1369" s="29"/>
      <c r="FT1369" s="29"/>
      <c r="FU1369" s="29"/>
      <c r="FV1369" s="29"/>
      <c r="FW1369" s="29"/>
      <c r="FX1369" s="29"/>
      <c r="FY1369" s="29"/>
      <c r="FZ1369" s="29"/>
      <c r="GA1369" s="29"/>
      <c r="GB1369" s="29"/>
      <c r="GC1369" s="29"/>
      <c r="GD1369" s="29"/>
      <c r="GE1369" s="29"/>
      <c r="GF1369" s="29"/>
      <c r="GG1369" s="29"/>
      <c r="GH1369" s="29"/>
      <c r="GI1369" s="29"/>
      <c r="GJ1369" s="29"/>
      <c r="GK1369" s="29"/>
      <c r="GL1369" s="29"/>
      <c r="GM1369" s="29"/>
      <c r="GN1369" s="29"/>
      <c r="GO1369" s="29"/>
      <c r="GP1369" s="29"/>
      <c r="GQ1369" s="29"/>
      <c r="GR1369" s="29"/>
      <c r="GS1369" s="29"/>
      <c r="GT1369" s="29"/>
      <c r="GU1369" s="29"/>
      <c r="GV1369" s="29"/>
      <c r="GW1369" s="29"/>
      <c r="GX1369" s="29"/>
      <c r="GY1369" s="29"/>
      <c r="GZ1369" s="29"/>
      <c r="HA1369" s="29"/>
      <c r="HB1369" s="29"/>
      <c r="HC1369" s="29"/>
      <c r="HD1369" s="29"/>
      <c r="HE1369" s="29"/>
      <c r="HF1369" s="29"/>
      <c r="HG1369" s="29"/>
      <c r="HH1369" s="29"/>
      <c r="HI1369" s="29"/>
      <c r="HJ1369" s="29"/>
      <c r="HK1369" s="29"/>
      <c r="HL1369" s="29"/>
      <c r="HM1369" s="29"/>
      <c r="HN1369" s="29"/>
      <c r="HO1369" s="29"/>
      <c r="HP1369" s="29"/>
      <c r="HQ1369" s="29"/>
      <c r="HR1369" s="29"/>
      <c r="HS1369" s="29"/>
      <c r="HT1369" s="29"/>
      <c r="HU1369" s="29"/>
      <c r="HV1369" s="29"/>
      <c r="HW1369" s="29"/>
      <c r="HX1369" s="29"/>
      <c r="HY1369" s="29"/>
      <c r="HZ1369" s="29"/>
      <c r="IA1369" s="29"/>
      <c r="IB1369" s="29"/>
      <c r="IC1369" s="29"/>
      <c r="ID1369" s="29"/>
      <c r="IE1369" s="29"/>
      <c r="IF1369" s="29"/>
      <c r="IG1369" s="29"/>
      <c r="IH1369" s="29"/>
      <c r="II1369" s="29"/>
      <c r="IJ1369" s="29"/>
      <c r="IK1369" s="29"/>
      <c r="IL1369" s="29"/>
      <c r="IM1369" s="29"/>
      <c r="IN1369" s="29"/>
      <c r="IO1369" s="29"/>
      <c r="IP1369" s="29"/>
      <c r="IQ1369" s="29"/>
      <c r="IR1369" s="29"/>
      <c r="IS1369" s="29"/>
      <c r="IT1369" s="29"/>
      <c r="IU1369" s="29"/>
      <c r="IV1369" s="29"/>
      <c r="IW1369" s="29"/>
      <c r="IX1369" s="29"/>
      <c r="IY1369" s="29"/>
      <c r="IZ1369" s="29"/>
      <c r="JA1369" s="29"/>
      <c r="JB1369" s="29"/>
      <c r="JC1369" s="29"/>
      <c r="JD1369" s="29"/>
      <c r="JE1369" s="29"/>
      <c r="JF1369" s="29"/>
      <c r="JG1369" s="29"/>
      <c r="JH1369" s="29"/>
      <c r="JI1369" s="29"/>
      <c r="JJ1369" s="29"/>
      <c r="JK1369" s="29"/>
      <c r="JL1369" s="29"/>
      <c r="JM1369" s="29"/>
      <c r="JN1369" s="29"/>
      <c r="JO1369" s="29"/>
      <c r="JP1369" s="29"/>
      <c r="JQ1369" s="29"/>
      <c r="JR1369" s="29"/>
      <c r="JS1369" s="29"/>
      <c r="JT1369" s="29"/>
      <c r="JU1369" s="29"/>
      <c r="JV1369" s="29"/>
      <c r="JW1369" s="29"/>
      <c r="JX1369" s="29"/>
      <c r="JY1369" s="29"/>
      <c r="JZ1369" s="29"/>
      <c r="KA1369" s="29"/>
      <c r="KB1369" s="29"/>
      <c r="KC1369" s="29"/>
      <c r="KD1369" s="29"/>
      <c r="KE1369" s="29"/>
      <c r="KF1369" s="29"/>
      <c r="KG1369" s="29"/>
      <c r="KH1369" s="29"/>
      <c r="KI1369" s="29"/>
      <c r="KJ1369" s="29"/>
      <c r="KK1369" s="29"/>
      <c r="KL1369" s="29"/>
      <c r="KM1369" s="29"/>
      <c r="KN1369" s="29"/>
      <c r="KO1369" s="29"/>
      <c r="KP1369" s="29"/>
      <c r="KQ1369" s="29"/>
      <c r="KR1369" s="29"/>
      <c r="KS1369" s="29"/>
      <c r="KT1369" s="29"/>
      <c r="KU1369" s="29"/>
      <c r="KV1369" s="29"/>
      <c r="KW1369" s="29"/>
      <c r="KX1369" s="29"/>
      <c r="KY1369" s="29"/>
      <c r="KZ1369" s="29"/>
      <c r="LA1369" s="29"/>
      <c r="LB1369" s="29"/>
      <c r="LC1369" s="29"/>
      <c r="LD1369" s="29"/>
      <c r="LE1369" s="29"/>
      <c r="LF1369" s="29"/>
      <c r="LG1369" s="29"/>
      <c r="LH1369" s="29"/>
      <c r="LI1369" s="29"/>
      <c r="LJ1369" s="29"/>
      <c r="LK1369" s="29"/>
      <c r="LL1369" s="29"/>
      <c r="LM1369" s="29"/>
      <c r="LN1369" s="29"/>
      <c r="LO1369" s="29"/>
      <c r="LP1369" s="29"/>
      <c r="LQ1369" s="29"/>
      <c r="LR1369" s="29"/>
      <c r="LS1369" s="29"/>
      <c r="LT1369" s="29"/>
      <c r="LU1369" s="29"/>
      <c r="LV1369" s="29"/>
      <c r="LW1369" s="29"/>
      <c r="LX1369" s="29"/>
      <c r="LY1369" s="29"/>
      <c r="LZ1369" s="29"/>
      <c r="MA1369" s="29"/>
      <c r="MB1369" s="29"/>
      <c r="MC1369" s="29"/>
      <c r="MD1369" s="29"/>
      <c r="ME1369" s="29"/>
      <c r="MF1369" s="29"/>
      <c r="MG1369" s="29"/>
      <c r="MH1369" s="29"/>
      <c r="MI1369" s="29"/>
      <c r="MJ1369" s="29"/>
      <c r="MK1369" s="29"/>
      <c r="ML1369" s="29"/>
      <c r="MM1369" s="29"/>
      <c r="MN1369" s="29"/>
      <c r="MO1369" s="29"/>
      <c r="MP1369" s="29"/>
      <c r="MQ1369" s="29"/>
      <c r="MR1369" s="29"/>
      <c r="MS1369" s="29"/>
      <c r="MT1369" s="29"/>
      <c r="MU1369" s="29"/>
      <c r="MV1369" s="29"/>
      <c r="MW1369" s="29"/>
      <c r="MX1369" s="29"/>
      <c r="MY1369" s="29"/>
      <c r="MZ1369" s="29"/>
      <c r="NA1369" s="29"/>
      <c r="NB1369" s="29"/>
      <c r="NC1369" s="29"/>
      <c r="ND1369" s="29"/>
      <c r="NE1369" s="29"/>
      <c r="NF1369" s="29"/>
      <c r="NG1369" s="29"/>
      <c r="NH1369" s="29"/>
      <c r="NI1369" s="29"/>
      <c r="NJ1369" s="29"/>
      <c r="NK1369" s="29"/>
      <c r="NL1369" s="29"/>
      <c r="NM1369" s="29"/>
      <c r="NN1369" s="29"/>
      <c r="NO1369" s="29"/>
      <c r="NP1369" s="29"/>
      <c r="NQ1369" s="29"/>
      <c r="NR1369" s="29"/>
      <c r="NS1369" s="29"/>
      <c r="NT1369" s="29"/>
      <c r="NU1369" s="29"/>
      <c r="NV1369" s="29"/>
      <c r="NW1369" s="29"/>
      <c r="NX1369" s="29"/>
      <c r="NY1369" s="29"/>
      <c r="NZ1369" s="29"/>
      <c r="OA1369" s="29"/>
      <c r="OB1369" s="29"/>
      <c r="OC1369" s="29"/>
      <c r="OD1369" s="29"/>
      <c r="OE1369" s="29"/>
      <c r="OF1369" s="29"/>
      <c r="OG1369" s="29"/>
      <c r="OH1369" s="29"/>
      <c r="OI1369" s="29"/>
      <c r="OJ1369" s="29"/>
      <c r="OK1369" s="29"/>
      <c r="OL1369" s="29"/>
      <c r="OM1369" s="29"/>
      <c r="ON1369" s="29"/>
      <c r="OO1369" s="29"/>
      <c r="OP1369" s="29"/>
      <c r="OQ1369" s="29"/>
      <c r="OR1369" s="29"/>
      <c r="OS1369" s="29"/>
      <c r="OT1369" s="29"/>
      <c r="OU1369" s="29"/>
      <c r="OV1369" s="29"/>
      <c r="OW1369" s="29"/>
      <c r="OX1369" s="29"/>
      <c r="OY1369" s="29"/>
      <c r="OZ1369" s="29"/>
      <c r="PA1369" s="29"/>
      <c r="PB1369" s="29"/>
      <c r="PC1369" s="29"/>
      <c r="PD1369" s="29"/>
      <c r="PE1369" s="29"/>
      <c r="PF1369" s="29"/>
      <c r="PG1369" s="29"/>
      <c r="PH1369" s="29"/>
      <c r="PI1369" s="29"/>
      <c r="PJ1369" s="29"/>
      <c r="PK1369" s="29"/>
      <c r="PL1369" s="29"/>
      <c r="PM1369" s="29"/>
      <c r="PN1369" s="29"/>
      <c r="PO1369" s="29"/>
      <c r="PP1369" s="29"/>
      <c r="PQ1369" s="29"/>
      <c r="PR1369" s="29"/>
      <c r="PS1369" s="29"/>
      <c r="PT1369" s="29"/>
      <c r="PU1369" s="29"/>
      <c r="PV1369" s="29"/>
      <c r="PW1369" s="29"/>
      <c r="PX1369" s="29"/>
      <c r="PY1369" s="29"/>
      <c r="PZ1369" s="29"/>
      <c r="QA1369" s="29"/>
      <c r="QB1369" s="29"/>
      <c r="QC1369" s="29"/>
      <c r="QD1369" s="29"/>
      <c r="QE1369" s="29"/>
      <c r="QF1369" s="29"/>
      <c r="QG1369" s="29"/>
      <c r="QH1369" s="29"/>
      <c r="QI1369" s="29"/>
      <c r="QJ1369" s="29"/>
      <c r="QK1369" s="29"/>
      <c r="QL1369" s="29"/>
      <c r="QM1369" s="29"/>
      <c r="QN1369" s="29"/>
      <c r="QO1369" s="29"/>
      <c r="QP1369" s="29"/>
      <c r="QQ1369" s="29"/>
      <c r="QR1369" s="29"/>
      <c r="QS1369" s="29"/>
      <c r="QT1369" s="29"/>
      <c r="QU1369" s="29"/>
      <c r="QV1369" s="29"/>
      <c r="QW1369" s="29"/>
      <c r="QX1369" s="29"/>
      <c r="QY1369" s="29"/>
      <c r="QZ1369" s="29"/>
      <c r="RA1369" s="29"/>
      <c r="RB1369" s="29"/>
      <c r="RC1369" s="29"/>
      <c r="RD1369" s="29"/>
      <c r="RE1369" s="29"/>
      <c r="RF1369" s="29"/>
      <c r="RG1369" s="29"/>
      <c r="RH1369" s="29"/>
      <c r="RI1369" s="29"/>
      <c r="RJ1369" s="29"/>
      <c r="RK1369" s="29"/>
      <c r="RL1369" s="29"/>
      <c r="RM1369" s="29"/>
      <c r="RN1369" s="29"/>
      <c r="RO1369" s="29"/>
      <c r="RP1369" s="29"/>
      <c r="RQ1369" s="29"/>
      <c r="RR1369" s="29"/>
      <c r="RS1369" s="29"/>
      <c r="RT1369" s="29"/>
      <c r="RU1369" s="29"/>
      <c r="RV1369" s="29"/>
      <c r="RW1369" s="29"/>
      <c r="RX1369" s="29"/>
      <c r="RY1369" s="29"/>
      <c r="RZ1369" s="29"/>
      <c r="SA1369" s="29"/>
      <c r="SB1369" s="29"/>
      <c r="SC1369" s="29"/>
      <c r="SD1369" s="29"/>
      <c r="SE1369" s="29"/>
      <c r="SF1369" s="29"/>
      <c r="SG1369" s="29"/>
      <c r="SH1369" s="29"/>
      <c r="SI1369" s="29"/>
      <c r="SJ1369" s="29"/>
      <c r="SK1369" s="29"/>
      <c r="SL1369" s="29"/>
      <c r="SM1369" s="29"/>
      <c r="SN1369" s="29"/>
      <c r="SO1369" s="29"/>
      <c r="SP1369" s="29"/>
      <c r="SQ1369" s="29"/>
      <c r="SR1369" s="29"/>
      <c r="SS1369" s="29"/>
      <c r="ST1369" s="29"/>
      <c r="SU1369" s="29"/>
      <c r="SV1369" s="29"/>
      <c r="SW1369" s="29"/>
      <c r="SX1369" s="29"/>
      <c r="SY1369" s="29"/>
      <c r="SZ1369" s="29"/>
      <c r="TA1369" s="29"/>
      <c r="TB1369" s="29"/>
      <c r="TC1369" s="29"/>
      <c r="TD1369" s="29"/>
      <c r="TE1369" s="29"/>
      <c r="TF1369" s="29"/>
      <c r="TG1369" s="29"/>
      <c r="TH1369" s="29"/>
      <c r="TI1369" s="29"/>
      <c r="TJ1369" s="29"/>
      <c r="TK1369" s="29"/>
      <c r="TL1369" s="29"/>
      <c r="TM1369" s="29"/>
      <c r="TN1369" s="29"/>
      <c r="TO1369" s="29"/>
      <c r="TP1369" s="29"/>
      <c r="TQ1369" s="29"/>
      <c r="TR1369" s="29"/>
      <c r="TS1369" s="29"/>
      <c r="TT1369" s="29"/>
      <c r="TU1369" s="29"/>
      <c r="TV1369" s="29"/>
      <c r="TW1369" s="29"/>
      <c r="TX1369" s="29"/>
      <c r="TY1369" s="29"/>
      <c r="TZ1369" s="29"/>
      <c r="UA1369" s="29"/>
      <c r="UB1369" s="29"/>
      <c r="UC1369" s="29"/>
      <c r="UD1369" s="29"/>
      <c r="UE1369" s="29"/>
      <c r="UF1369" s="29"/>
      <c r="UG1369" s="29"/>
    </row>
    <row r="1370" spans="1:553" ht="39.75" customHeight="1">
      <c r="A1370" s="356" t="s">
        <v>15</v>
      </c>
      <c r="B1370" s="385"/>
      <c r="C1370" s="427" t="str">
        <f t="shared" si="203"/>
        <v>Đất chuyên trồng lúa nước (LUC)</v>
      </c>
      <c r="D1370" s="376" t="str">
        <f t="shared" si="203"/>
        <v>1</v>
      </c>
      <c r="E1370" s="376" t="str">
        <f t="shared" si="203"/>
        <v>261</v>
      </c>
      <c r="F1370" s="386">
        <f t="shared" si="203"/>
        <v>1</v>
      </c>
      <c r="G1370" s="386" t="s">
        <v>935</v>
      </c>
      <c r="H1370" s="370"/>
      <c r="I1370" s="370">
        <f t="shared" si="205"/>
        <v>952.1</v>
      </c>
      <c r="J1370" s="368">
        <v>72000</v>
      </c>
      <c r="K1370" s="371">
        <v>3</v>
      </c>
      <c r="L1370" s="480">
        <f t="shared" si="204"/>
        <v>205653600</v>
      </c>
      <c r="M1370" s="366"/>
      <c r="N1370" s="366"/>
      <c r="O1370" s="366"/>
      <c r="P1370" s="366"/>
      <c r="Q1370" s="812"/>
      <c r="R1370" s="1610"/>
      <c r="S1370" s="308"/>
      <c r="T1370" s="308"/>
      <c r="U1370" s="308"/>
      <c r="V1370" s="308"/>
      <c r="W1370" s="308"/>
      <c r="X1370" s="308"/>
      <c r="Y1370" s="308"/>
      <c r="Z1370" s="604"/>
      <c r="AA1370" s="308"/>
      <c r="AB1370" s="308"/>
      <c r="AC1370" s="486"/>
      <c r="AD1370" s="486"/>
      <c r="AE1370" s="486"/>
      <c r="AF1370" s="486"/>
      <c r="AG1370" s="486"/>
      <c r="AH1370" s="486"/>
      <c r="AI1370" s="486"/>
      <c r="AJ1370" s="486"/>
      <c r="AK1370" s="486"/>
      <c r="AL1370" s="206"/>
      <c r="AM1370" s="29"/>
      <c r="AN1370" s="29"/>
      <c r="AO1370" s="29"/>
      <c r="AP1370" s="29"/>
      <c r="AQ1370" s="29"/>
      <c r="AR1370" s="29"/>
      <c r="AS1370" s="29"/>
      <c r="AT1370" s="29"/>
      <c r="AU1370" s="29"/>
      <c r="AV1370" s="29"/>
      <c r="AW1370" s="29"/>
      <c r="AX1370" s="29"/>
      <c r="AY1370" s="29"/>
      <c r="AZ1370" s="29"/>
      <c r="BA1370" s="29"/>
      <c r="BB1370" s="29"/>
      <c r="BC1370" s="29"/>
      <c r="BD1370" s="29"/>
      <c r="BE1370" s="29"/>
      <c r="BF1370" s="29"/>
      <c r="BG1370" s="29"/>
      <c r="BH1370" s="29"/>
      <c r="BI1370" s="29"/>
      <c r="BJ1370" s="29"/>
      <c r="BK1370" s="29"/>
      <c r="BL1370" s="29"/>
      <c r="BM1370" s="29"/>
      <c r="BN1370" s="29"/>
      <c r="BO1370" s="29"/>
      <c r="BP1370" s="29"/>
      <c r="BQ1370" s="29"/>
      <c r="BR1370" s="29"/>
      <c r="BS1370" s="29"/>
      <c r="BT1370" s="29"/>
      <c r="BU1370" s="29"/>
      <c r="BV1370" s="29"/>
      <c r="BW1370" s="29"/>
      <c r="BX1370" s="29"/>
      <c r="BY1370" s="29"/>
      <c r="BZ1370" s="29"/>
      <c r="CA1370" s="29"/>
      <c r="CB1370" s="29"/>
      <c r="CC1370" s="29"/>
      <c r="CD1370" s="29"/>
      <c r="CE1370" s="29"/>
      <c r="CF1370" s="29"/>
      <c r="CG1370" s="29"/>
      <c r="CH1370" s="29"/>
      <c r="CI1370" s="29"/>
      <c r="CJ1370" s="29"/>
      <c r="CK1370" s="29"/>
      <c r="CL1370" s="29"/>
      <c r="CM1370" s="29"/>
      <c r="CN1370" s="29"/>
      <c r="CO1370" s="29"/>
      <c r="CP1370" s="29"/>
      <c r="CQ1370" s="29"/>
      <c r="CR1370" s="29"/>
      <c r="CS1370" s="29"/>
      <c r="CT1370" s="29"/>
      <c r="CU1370" s="29"/>
      <c r="CV1370" s="29"/>
      <c r="CW1370" s="29"/>
      <c r="CX1370" s="29"/>
      <c r="CY1370" s="29"/>
      <c r="CZ1370" s="29"/>
      <c r="DA1370" s="29"/>
      <c r="DB1370" s="29"/>
      <c r="DC1370" s="29"/>
      <c r="DD1370" s="29"/>
      <c r="DE1370" s="29"/>
      <c r="DF1370" s="29"/>
      <c r="DG1370" s="29"/>
      <c r="DH1370" s="29"/>
      <c r="DI1370" s="29"/>
      <c r="DJ1370" s="29"/>
      <c r="DK1370" s="29"/>
      <c r="DL1370" s="29"/>
      <c r="DM1370" s="29"/>
      <c r="DN1370" s="29"/>
      <c r="DO1370" s="29"/>
      <c r="DP1370" s="29"/>
      <c r="DQ1370" s="29"/>
      <c r="DR1370" s="29"/>
      <c r="DS1370" s="29"/>
      <c r="DT1370" s="29"/>
      <c r="DU1370" s="29"/>
      <c r="DV1370" s="29"/>
      <c r="DW1370" s="29"/>
      <c r="DX1370" s="29"/>
      <c r="DY1370" s="29"/>
      <c r="DZ1370" s="29"/>
      <c r="EA1370" s="29"/>
      <c r="EB1370" s="29"/>
      <c r="EC1370" s="29"/>
      <c r="ED1370" s="29"/>
      <c r="EE1370" s="29"/>
      <c r="EF1370" s="29"/>
      <c r="EG1370" s="29"/>
      <c r="EH1370" s="29"/>
      <c r="EI1370" s="29"/>
      <c r="EJ1370" s="29"/>
      <c r="EK1370" s="29"/>
      <c r="EL1370" s="29"/>
      <c r="EM1370" s="29"/>
      <c r="EN1370" s="29"/>
      <c r="EO1370" s="29"/>
      <c r="EP1370" s="29"/>
      <c r="EQ1370" s="29"/>
      <c r="ER1370" s="29"/>
      <c r="ES1370" s="29"/>
      <c r="ET1370" s="29"/>
      <c r="EU1370" s="29"/>
      <c r="EV1370" s="29"/>
      <c r="EW1370" s="29"/>
      <c r="EX1370" s="29"/>
      <c r="EY1370" s="29"/>
      <c r="EZ1370" s="29"/>
      <c r="FA1370" s="29"/>
      <c r="FB1370" s="29"/>
      <c r="FC1370" s="29"/>
      <c r="FD1370" s="29"/>
      <c r="FE1370" s="29"/>
      <c r="FF1370" s="29"/>
      <c r="FG1370" s="29"/>
      <c r="FH1370" s="29"/>
      <c r="FI1370" s="29"/>
      <c r="FJ1370" s="29"/>
      <c r="FK1370" s="29"/>
      <c r="FL1370" s="29"/>
      <c r="FM1370" s="29"/>
      <c r="FN1370" s="29"/>
      <c r="FO1370" s="29"/>
      <c r="FP1370" s="29"/>
      <c r="FQ1370" s="29"/>
      <c r="FR1370" s="29"/>
      <c r="FS1370" s="29"/>
      <c r="FT1370" s="29"/>
      <c r="FU1370" s="29"/>
      <c r="FV1370" s="29"/>
      <c r="FW1370" s="29"/>
      <c r="FX1370" s="29"/>
      <c r="FY1370" s="29"/>
      <c r="FZ1370" s="29"/>
      <c r="GA1370" s="29"/>
      <c r="GB1370" s="29"/>
      <c r="GC1370" s="29"/>
      <c r="GD1370" s="29"/>
      <c r="GE1370" s="29"/>
      <c r="GF1370" s="29"/>
      <c r="GG1370" s="29"/>
      <c r="GH1370" s="29"/>
      <c r="GI1370" s="29"/>
      <c r="GJ1370" s="29"/>
      <c r="GK1370" s="29"/>
      <c r="GL1370" s="29"/>
      <c r="GM1370" s="29"/>
      <c r="GN1370" s="29"/>
      <c r="GO1370" s="29"/>
      <c r="GP1370" s="29"/>
      <c r="GQ1370" s="29"/>
      <c r="GR1370" s="29"/>
      <c r="GS1370" s="29"/>
      <c r="GT1370" s="29"/>
      <c r="GU1370" s="29"/>
      <c r="GV1370" s="29"/>
      <c r="GW1370" s="29"/>
      <c r="GX1370" s="29"/>
      <c r="GY1370" s="29"/>
      <c r="GZ1370" s="29"/>
      <c r="HA1370" s="29"/>
      <c r="HB1370" s="29"/>
      <c r="HC1370" s="29"/>
      <c r="HD1370" s="29"/>
      <c r="HE1370" s="29"/>
      <c r="HF1370" s="29"/>
      <c r="HG1370" s="29"/>
      <c r="HH1370" s="29"/>
      <c r="HI1370" s="29"/>
      <c r="HJ1370" s="29"/>
      <c r="HK1370" s="29"/>
      <c r="HL1370" s="29"/>
      <c r="HM1370" s="29"/>
      <c r="HN1370" s="29"/>
      <c r="HO1370" s="29"/>
      <c r="HP1370" s="29"/>
      <c r="HQ1370" s="29"/>
      <c r="HR1370" s="29"/>
      <c r="HS1370" s="29"/>
      <c r="HT1370" s="29"/>
      <c r="HU1370" s="29"/>
      <c r="HV1370" s="29"/>
      <c r="HW1370" s="29"/>
      <c r="HX1370" s="29"/>
      <c r="HY1370" s="29"/>
      <c r="HZ1370" s="29"/>
      <c r="IA1370" s="29"/>
      <c r="IB1370" s="29"/>
      <c r="IC1370" s="29"/>
      <c r="ID1370" s="29"/>
      <c r="IE1370" s="29"/>
      <c r="IF1370" s="29"/>
      <c r="IG1370" s="29"/>
      <c r="IH1370" s="29"/>
      <c r="II1370" s="29"/>
      <c r="IJ1370" s="29"/>
      <c r="IK1370" s="29"/>
      <c r="IL1370" s="29"/>
      <c r="IM1370" s="29"/>
      <c r="IN1370" s="29"/>
      <c r="IO1370" s="29"/>
      <c r="IP1370" s="29"/>
      <c r="IQ1370" s="29"/>
      <c r="IR1370" s="29"/>
      <c r="IS1370" s="29"/>
      <c r="IT1370" s="29"/>
      <c r="IU1370" s="29"/>
      <c r="IV1370" s="29"/>
      <c r="IW1370" s="29"/>
      <c r="IX1370" s="29"/>
      <c r="IY1370" s="29"/>
      <c r="IZ1370" s="29"/>
      <c r="JA1370" s="29"/>
      <c r="JB1370" s="29"/>
      <c r="JC1370" s="29"/>
      <c r="JD1370" s="29"/>
      <c r="JE1370" s="29"/>
      <c r="JF1370" s="29"/>
      <c r="JG1370" s="29"/>
      <c r="JH1370" s="29"/>
      <c r="JI1370" s="29"/>
      <c r="JJ1370" s="29"/>
      <c r="JK1370" s="29"/>
      <c r="JL1370" s="29"/>
      <c r="JM1370" s="29"/>
      <c r="JN1370" s="29"/>
      <c r="JO1370" s="29"/>
      <c r="JP1370" s="29"/>
      <c r="JQ1370" s="29"/>
      <c r="JR1370" s="29"/>
      <c r="JS1370" s="29"/>
      <c r="JT1370" s="29"/>
      <c r="JU1370" s="29"/>
      <c r="JV1370" s="29"/>
      <c r="JW1370" s="29"/>
      <c r="JX1370" s="29"/>
      <c r="JY1370" s="29"/>
      <c r="JZ1370" s="29"/>
      <c r="KA1370" s="29"/>
      <c r="KB1370" s="29"/>
      <c r="KC1370" s="29"/>
      <c r="KD1370" s="29"/>
      <c r="KE1370" s="29"/>
      <c r="KF1370" s="29"/>
      <c r="KG1370" s="29"/>
      <c r="KH1370" s="29"/>
      <c r="KI1370" s="29"/>
      <c r="KJ1370" s="29"/>
      <c r="KK1370" s="29"/>
      <c r="KL1370" s="29"/>
      <c r="KM1370" s="29"/>
      <c r="KN1370" s="29"/>
      <c r="KO1370" s="29"/>
      <c r="KP1370" s="29"/>
      <c r="KQ1370" s="29"/>
      <c r="KR1370" s="29"/>
      <c r="KS1370" s="29"/>
      <c r="KT1370" s="29"/>
      <c r="KU1370" s="29"/>
      <c r="KV1370" s="29"/>
      <c r="KW1370" s="29"/>
      <c r="KX1370" s="29"/>
      <c r="KY1370" s="29"/>
      <c r="KZ1370" s="29"/>
      <c r="LA1370" s="29"/>
      <c r="LB1370" s="29"/>
      <c r="LC1370" s="29"/>
      <c r="LD1370" s="29"/>
      <c r="LE1370" s="29"/>
      <c r="LF1370" s="29"/>
      <c r="LG1370" s="29"/>
      <c r="LH1370" s="29"/>
      <c r="LI1370" s="29"/>
      <c r="LJ1370" s="29"/>
      <c r="LK1370" s="29"/>
      <c r="LL1370" s="29"/>
      <c r="LM1370" s="29"/>
      <c r="LN1370" s="29"/>
      <c r="LO1370" s="29"/>
      <c r="LP1370" s="29"/>
      <c r="LQ1370" s="29"/>
      <c r="LR1370" s="29"/>
      <c r="LS1370" s="29"/>
      <c r="LT1370" s="29"/>
      <c r="LU1370" s="29"/>
      <c r="LV1370" s="29"/>
      <c r="LW1370" s="29"/>
      <c r="LX1370" s="29"/>
      <c r="LY1370" s="29"/>
      <c r="LZ1370" s="29"/>
      <c r="MA1370" s="29"/>
      <c r="MB1370" s="29"/>
      <c r="MC1370" s="29"/>
      <c r="MD1370" s="29"/>
      <c r="ME1370" s="29"/>
      <c r="MF1370" s="29"/>
      <c r="MG1370" s="29"/>
      <c r="MH1370" s="29"/>
      <c r="MI1370" s="29"/>
      <c r="MJ1370" s="29"/>
      <c r="MK1370" s="29"/>
      <c r="ML1370" s="29"/>
      <c r="MM1370" s="29"/>
      <c r="MN1370" s="29"/>
      <c r="MO1370" s="29"/>
      <c r="MP1370" s="29"/>
      <c r="MQ1370" s="29"/>
      <c r="MR1370" s="29"/>
      <c r="MS1370" s="29"/>
      <c r="MT1370" s="29"/>
      <c r="MU1370" s="29"/>
      <c r="MV1370" s="29"/>
      <c r="MW1370" s="29"/>
      <c r="MX1370" s="29"/>
      <c r="MY1370" s="29"/>
      <c r="MZ1370" s="29"/>
      <c r="NA1370" s="29"/>
      <c r="NB1370" s="29"/>
      <c r="NC1370" s="29"/>
      <c r="ND1370" s="29"/>
      <c r="NE1370" s="29"/>
      <c r="NF1370" s="29"/>
      <c r="NG1370" s="29"/>
      <c r="NH1370" s="29"/>
      <c r="NI1370" s="29"/>
      <c r="NJ1370" s="29"/>
      <c r="NK1370" s="29"/>
      <c r="NL1370" s="29"/>
      <c r="NM1370" s="29"/>
      <c r="NN1370" s="29"/>
      <c r="NO1370" s="29"/>
      <c r="NP1370" s="29"/>
      <c r="NQ1370" s="29"/>
      <c r="NR1370" s="29"/>
      <c r="NS1370" s="29"/>
      <c r="NT1370" s="29"/>
      <c r="NU1370" s="29"/>
      <c r="NV1370" s="29"/>
      <c r="NW1370" s="29"/>
      <c r="NX1370" s="29"/>
      <c r="NY1370" s="29"/>
      <c r="NZ1370" s="29"/>
      <c r="OA1370" s="29"/>
      <c r="OB1370" s="29"/>
      <c r="OC1370" s="29"/>
      <c r="OD1370" s="29"/>
      <c r="OE1370" s="29"/>
      <c r="OF1370" s="29"/>
      <c r="OG1370" s="29"/>
      <c r="OH1370" s="29"/>
      <c r="OI1370" s="29"/>
      <c r="OJ1370" s="29"/>
      <c r="OK1370" s="29"/>
      <c r="OL1370" s="29"/>
      <c r="OM1370" s="29"/>
      <c r="ON1370" s="29"/>
      <c r="OO1370" s="29"/>
      <c r="OP1370" s="29"/>
      <c r="OQ1370" s="29"/>
      <c r="OR1370" s="29"/>
      <c r="OS1370" s="29"/>
      <c r="OT1370" s="29"/>
      <c r="OU1370" s="29"/>
      <c r="OV1370" s="29"/>
      <c r="OW1370" s="29"/>
      <c r="OX1370" s="29"/>
      <c r="OY1370" s="29"/>
      <c r="OZ1370" s="29"/>
      <c r="PA1370" s="29"/>
      <c r="PB1370" s="29"/>
      <c r="PC1370" s="29"/>
      <c r="PD1370" s="29"/>
      <c r="PE1370" s="29"/>
      <c r="PF1370" s="29"/>
      <c r="PG1370" s="29"/>
      <c r="PH1370" s="29"/>
      <c r="PI1370" s="29"/>
      <c r="PJ1370" s="29"/>
      <c r="PK1370" s="29"/>
      <c r="PL1370" s="29"/>
      <c r="PM1370" s="29"/>
      <c r="PN1370" s="29"/>
      <c r="PO1370" s="29"/>
      <c r="PP1370" s="29"/>
      <c r="PQ1370" s="29"/>
      <c r="PR1370" s="29"/>
      <c r="PS1370" s="29"/>
      <c r="PT1370" s="29"/>
      <c r="PU1370" s="29"/>
      <c r="PV1370" s="29"/>
      <c r="PW1370" s="29"/>
      <c r="PX1370" s="29"/>
      <c r="PY1370" s="29"/>
      <c r="PZ1370" s="29"/>
      <c r="QA1370" s="29"/>
      <c r="QB1370" s="29"/>
      <c r="QC1370" s="29"/>
      <c r="QD1370" s="29"/>
      <c r="QE1370" s="29"/>
      <c r="QF1370" s="29"/>
      <c r="QG1370" s="29"/>
      <c r="QH1370" s="29"/>
      <c r="QI1370" s="29"/>
      <c r="QJ1370" s="29"/>
      <c r="QK1370" s="29"/>
      <c r="QL1370" s="29"/>
      <c r="QM1370" s="29"/>
      <c r="QN1370" s="29"/>
      <c r="QO1370" s="29"/>
      <c r="QP1370" s="29"/>
      <c r="QQ1370" s="29"/>
      <c r="QR1370" s="29"/>
      <c r="QS1370" s="29"/>
      <c r="QT1370" s="29"/>
      <c r="QU1370" s="29"/>
      <c r="QV1370" s="29"/>
      <c r="QW1370" s="29"/>
      <c r="QX1370" s="29"/>
      <c r="QY1370" s="29"/>
      <c r="QZ1370" s="29"/>
      <c r="RA1370" s="29"/>
      <c r="RB1370" s="29"/>
      <c r="RC1370" s="29"/>
      <c r="RD1370" s="29"/>
      <c r="RE1370" s="29"/>
      <c r="RF1370" s="29"/>
      <c r="RG1370" s="29"/>
      <c r="RH1370" s="29"/>
      <c r="RI1370" s="29"/>
      <c r="RJ1370" s="29"/>
      <c r="RK1370" s="29"/>
      <c r="RL1370" s="29"/>
      <c r="RM1370" s="29"/>
      <c r="RN1370" s="29"/>
      <c r="RO1370" s="29"/>
      <c r="RP1370" s="29"/>
      <c r="RQ1370" s="29"/>
      <c r="RR1370" s="29"/>
      <c r="RS1370" s="29"/>
      <c r="RT1370" s="29"/>
      <c r="RU1370" s="29"/>
      <c r="RV1370" s="29"/>
      <c r="RW1370" s="29"/>
      <c r="RX1370" s="29"/>
      <c r="RY1370" s="29"/>
      <c r="RZ1370" s="29"/>
      <c r="SA1370" s="29"/>
      <c r="SB1370" s="29"/>
      <c r="SC1370" s="29"/>
      <c r="SD1370" s="29"/>
      <c r="SE1370" s="29"/>
      <c r="SF1370" s="29"/>
      <c r="SG1370" s="29"/>
      <c r="SH1370" s="29"/>
      <c r="SI1370" s="29"/>
      <c r="SJ1370" s="29"/>
      <c r="SK1370" s="29"/>
      <c r="SL1370" s="29"/>
      <c r="SM1370" s="29"/>
      <c r="SN1370" s="29"/>
      <c r="SO1370" s="29"/>
      <c r="SP1370" s="29"/>
      <c r="SQ1370" s="29"/>
      <c r="SR1370" s="29"/>
      <c r="SS1370" s="29"/>
      <c r="ST1370" s="29"/>
      <c r="SU1370" s="29"/>
      <c r="SV1370" s="29"/>
      <c r="SW1370" s="29"/>
      <c r="SX1370" s="29"/>
      <c r="SY1370" s="29"/>
      <c r="SZ1370" s="29"/>
      <c r="TA1370" s="29"/>
      <c r="TB1370" s="29"/>
      <c r="TC1370" s="29"/>
      <c r="TD1370" s="29"/>
      <c r="TE1370" s="29"/>
      <c r="TF1370" s="29"/>
      <c r="TG1370" s="29"/>
      <c r="TH1370" s="29"/>
      <c r="TI1370" s="29"/>
      <c r="TJ1370" s="29"/>
      <c r="TK1370" s="29"/>
      <c r="TL1370" s="29"/>
      <c r="TM1370" s="29"/>
      <c r="TN1370" s="29"/>
      <c r="TO1370" s="29"/>
      <c r="TP1370" s="29"/>
      <c r="TQ1370" s="29"/>
      <c r="TR1370" s="29"/>
      <c r="TS1370" s="29"/>
      <c r="TT1370" s="29"/>
      <c r="TU1370" s="29"/>
      <c r="TV1370" s="29"/>
      <c r="TW1370" s="29"/>
      <c r="TX1370" s="29"/>
      <c r="TY1370" s="29"/>
      <c r="TZ1370" s="29"/>
      <c r="UA1370" s="29"/>
      <c r="UB1370" s="29"/>
      <c r="UC1370" s="29"/>
      <c r="UD1370" s="29"/>
      <c r="UE1370" s="29"/>
      <c r="UF1370" s="29"/>
      <c r="UG1370" s="29"/>
    </row>
    <row r="1371" spans="1:553" ht="39.75" customHeight="1">
      <c r="A1371" s="356" t="s">
        <v>15</v>
      </c>
      <c r="B1371" s="385"/>
      <c r="C1371" s="384" t="str">
        <f t="shared" si="203"/>
        <v>Đất trồng cây lâu năm (CLN)</v>
      </c>
      <c r="D1371" s="376">
        <f t="shared" si="203"/>
        <v>2</v>
      </c>
      <c r="E1371" s="376">
        <f t="shared" si="203"/>
        <v>444</v>
      </c>
      <c r="F1371" s="386">
        <f t="shared" si="203"/>
        <v>1</v>
      </c>
      <c r="G1371" s="386" t="s">
        <v>935</v>
      </c>
      <c r="H1371" s="370"/>
      <c r="I1371" s="370">
        <f t="shared" si="205"/>
        <v>495.2</v>
      </c>
      <c r="J1371" s="368">
        <v>62000</v>
      </c>
      <c r="K1371" s="371">
        <v>1</v>
      </c>
      <c r="L1371" s="480">
        <f t="shared" si="204"/>
        <v>30702400</v>
      </c>
      <c r="M1371" s="366"/>
      <c r="N1371" s="366"/>
      <c r="O1371" s="366"/>
      <c r="P1371" s="366"/>
      <c r="Q1371" s="812"/>
      <c r="R1371" s="1610"/>
      <c r="S1371" s="308"/>
      <c r="T1371" s="308"/>
      <c r="U1371" s="308"/>
      <c r="V1371" s="308"/>
      <c r="W1371" s="308"/>
      <c r="X1371" s="308"/>
      <c r="Y1371" s="308"/>
      <c r="Z1371" s="604"/>
      <c r="AA1371" s="308"/>
      <c r="AB1371" s="308"/>
      <c r="AC1371" s="486"/>
      <c r="AD1371" s="486"/>
      <c r="AE1371" s="486"/>
      <c r="AF1371" s="486"/>
      <c r="AG1371" s="486"/>
      <c r="AH1371" s="486"/>
      <c r="AI1371" s="486"/>
      <c r="AJ1371" s="486"/>
      <c r="AK1371" s="486"/>
      <c r="AL1371" s="206"/>
      <c r="AM1371" s="29"/>
      <c r="AN1371" s="29"/>
      <c r="AO1371" s="29"/>
      <c r="AP1371" s="29"/>
      <c r="AQ1371" s="29"/>
      <c r="AR1371" s="29"/>
      <c r="AS1371" s="29"/>
      <c r="AT1371" s="29"/>
      <c r="AU1371" s="29"/>
      <c r="AV1371" s="29"/>
      <c r="AW1371" s="29"/>
      <c r="AX1371" s="29"/>
      <c r="AY1371" s="29"/>
      <c r="AZ1371" s="29"/>
      <c r="BA1371" s="29"/>
      <c r="BB1371" s="29"/>
      <c r="BC1371" s="29"/>
      <c r="BD1371" s="29"/>
      <c r="BE1371" s="29"/>
      <c r="BF1371" s="29"/>
      <c r="BG1371" s="29"/>
      <c r="BH1371" s="29"/>
      <c r="BI1371" s="29"/>
      <c r="BJ1371" s="29"/>
      <c r="BK1371" s="29"/>
      <c r="BL1371" s="29"/>
      <c r="BM1371" s="29"/>
      <c r="BN1371" s="29"/>
      <c r="BO1371" s="29"/>
      <c r="BP1371" s="29"/>
      <c r="BQ1371" s="29"/>
      <c r="BR1371" s="29"/>
      <c r="BS1371" s="29"/>
      <c r="BT1371" s="29"/>
      <c r="BU1371" s="29"/>
      <c r="BV1371" s="29"/>
      <c r="BW1371" s="29"/>
      <c r="BX1371" s="29"/>
      <c r="BY1371" s="29"/>
      <c r="BZ1371" s="29"/>
      <c r="CA1371" s="29"/>
      <c r="CB1371" s="29"/>
      <c r="CC1371" s="29"/>
      <c r="CD1371" s="29"/>
      <c r="CE1371" s="29"/>
      <c r="CF1371" s="29"/>
      <c r="CG1371" s="29"/>
      <c r="CH1371" s="29"/>
      <c r="CI1371" s="29"/>
      <c r="CJ1371" s="29"/>
      <c r="CK1371" s="29"/>
      <c r="CL1371" s="29"/>
      <c r="CM1371" s="29"/>
      <c r="CN1371" s="29"/>
      <c r="CO1371" s="29"/>
      <c r="CP1371" s="29"/>
      <c r="CQ1371" s="29"/>
      <c r="CR1371" s="29"/>
      <c r="CS1371" s="29"/>
      <c r="CT1371" s="29"/>
      <c r="CU1371" s="29"/>
      <c r="CV1371" s="29"/>
      <c r="CW1371" s="29"/>
      <c r="CX1371" s="29"/>
      <c r="CY1371" s="29"/>
      <c r="CZ1371" s="29"/>
      <c r="DA1371" s="29"/>
      <c r="DB1371" s="29"/>
      <c r="DC1371" s="29"/>
      <c r="DD1371" s="29"/>
      <c r="DE1371" s="29"/>
      <c r="DF1371" s="29"/>
      <c r="DG1371" s="29"/>
      <c r="DH1371" s="29"/>
      <c r="DI1371" s="29"/>
      <c r="DJ1371" s="29"/>
      <c r="DK1371" s="29"/>
      <c r="DL1371" s="29"/>
      <c r="DM1371" s="29"/>
      <c r="DN1371" s="29"/>
      <c r="DO1371" s="29"/>
      <c r="DP1371" s="29"/>
      <c r="DQ1371" s="29"/>
      <c r="DR1371" s="29"/>
      <c r="DS1371" s="29"/>
      <c r="DT1371" s="29"/>
      <c r="DU1371" s="29"/>
      <c r="DV1371" s="29"/>
      <c r="DW1371" s="29"/>
      <c r="DX1371" s="29"/>
      <c r="DY1371" s="29"/>
      <c r="DZ1371" s="29"/>
      <c r="EA1371" s="29"/>
      <c r="EB1371" s="29"/>
      <c r="EC1371" s="29"/>
      <c r="ED1371" s="29"/>
      <c r="EE1371" s="29"/>
      <c r="EF1371" s="29"/>
      <c r="EG1371" s="29"/>
      <c r="EH1371" s="29"/>
      <c r="EI1371" s="29"/>
      <c r="EJ1371" s="29"/>
      <c r="EK1371" s="29"/>
      <c r="EL1371" s="29"/>
      <c r="EM1371" s="29"/>
      <c r="EN1371" s="29"/>
      <c r="EO1371" s="29"/>
      <c r="EP1371" s="29"/>
      <c r="EQ1371" s="29"/>
      <c r="ER1371" s="29"/>
      <c r="ES1371" s="29"/>
      <c r="ET1371" s="29"/>
      <c r="EU1371" s="29"/>
      <c r="EV1371" s="29"/>
      <c r="EW1371" s="29"/>
      <c r="EX1371" s="29"/>
      <c r="EY1371" s="29"/>
      <c r="EZ1371" s="29"/>
      <c r="FA1371" s="29"/>
      <c r="FB1371" s="29"/>
      <c r="FC1371" s="29"/>
      <c r="FD1371" s="29"/>
      <c r="FE1371" s="29"/>
      <c r="FF1371" s="29"/>
      <c r="FG1371" s="29"/>
      <c r="FH1371" s="29"/>
      <c r="FI1371" s="29"/>
      <c r="FJ1371" s="29"/>
      <c r="FK1371" s="29"/>
      <c r="FL1371" s="29"/>
      <c r="FM1371" s="29"/>
      <c r="FN1371" s="29"/>
      <c r="FO1371" s="29"/>
      <c r="FP1371" s="29"/>
      <c r="FQ1371" s="29"/>
      <c r="FR1371" s="29"/>
      <c r="FS1371" s="29"/>
      <c r="FT1371" s="29"/>
      <c r="FU1371" s="29"/>
      <c r="FV1371" s="29"/>
      <c r="FW1371" s="29"/>
      <c r="FX1371" s="29"/>
      <c r="FY1371" s="29"/>
      <c r="FZ1371" s="29"/>
      <c r="GA1371" s="29"/>
      <c r="GB1371" s="29"/>
      <c r="GC1371" s="29"/>
      <c r="GD1371" s="29"/>
      <c r="GE1371" s="29"/>
      <c r="GF1371" s="29"/>
      <c r="GG1371" s="29"/>
      <c r="GH1371" s="29"/>
      <c r="GI1371" s="29"/>
      <c r="GJ1371" s="29"/>
      <c r="GK1371" s="29"/>
      <c r="GL1371" s="29"/>
      <c r="GM1371" s="29"/>
      <c r="GN1371" s="29"/>
      <c r="GO1371" s="29"/>
      <c r="GP1371" s="29"/>
      <c r="GQ1371" s="29"/>
      <c r="GR1371" s="29"/>
      <c r="GS1371" s="29"/>
      <c r="GT1371" s="29"/>
      <c r="GU1371" s="29"/>
      <c r="GV1371" s="29"/>
      <c r="GW1371" s="29"/>
      <c r="GX1371" s="29"/>
      <c r="GY1371" s="29"/>
      <c r="GZ1371" s="29"/>
      <c r="HA1371" s="29"/>
      <c r="HB1371" s="29"/>
      <c r="HC1371" s="29"/>
      <c r="HD1371" s="29"/>
      <c r="HE1371" s="29"/>
      <c r="HF1371" s="29"/>
      <c r="HG1371" s="29"/>
      <c r="HH1371" s="29"/>
      <c r="HI1371" s="29"/>
      <c r="HJ1371" s="29"/>
      <c r="HK1371" s="29"/>
      <c r="HL1371" s="29"/>
      <c r="HM1371" s="29"/>
      <c r="HN1371" s="29"/>
      <c r="HO1371" s="29"/>
      <c r="HP1371" s="29"/>
      <c r="HQ1371" s="29"/>
      <c r="HR1371" s="29"/>
      <c r="HS1371" s="29"/>
      <c r="HT1371" s="29"/>
      <c r="HU1371" s="29"/>
      <c r="HV1371" s="29"/>
      <c r="HW1371" s="29"/>
      <c r="HX1371" s="29"/>
      <c r="HY1371" s="29"/>
      <c r="HZ1371" s="29"/>
      <c r="IA1371" s="29"/>
      <c r="IB1371" s="29"/>
      <c r="IC1371" s="29"/>
      <c r="ID1371" s="29"/>
      <c r="IE1371" s="29"/>
      <c r="IF1371" s="29"/>
      <c r="IG1371" s="29"/>
      <c r="IH1371" s="29"/>
      <c r="II1371" s="29"/>
      <c r="IJ1371" s="29"/>
      <c r="IK1371" s="29"/>
      <c r="IL1371" s="29"/>
      <c r="IM1371" s="29"/>
      <c r="IN1371" s="29"/>
      <c r="IO1371" s="29"/>
      <c r="IP1371" s="29"/>
      <c r="IQ1371" s="29"/>
      <c r="IR1371" s="29"/>
      <c r="IS1371" s="29"/>
      <c r="IT1371" s="29"/>
      <c r="IU1371" s="29"/>
      <c r="IV1371" s="29"/>
      <c r="IW1371" s="29"/>
      <c r="IX1371" s="29"/>
      <c r="IY1371" s="29"/>
      <c r="IZ1371" s="29"/>
      <c r="JA1371" s="29"/>
      <c r="JB1371" s="29"/>
      <c r="JC1371" s="29"/>
      <c r="JD1371" s="29"/>
      <c r="JE1371" s="29"/>
      <c r="JF1371" s="29"/>
      <c r="JG1371" s="29"/>
      <c r="JH1371" s="29"/>
      <c r="JI1371" s="29"/>
      <c r="JJ1371" s="29"/>
      <c r="JK1371" s="29"/>
      <c r="JL1371" s="29"/>
      <c r="JM1371" s="29"/>
      <c r="JN1371" s="29"/>
      <c r="JO1371" s="29"/>
      <c r="JP1371" s="29"/>
      <c r="JQ1371" s="29"/>
      <c r="JR1371" s="29"/>
      <c r="JS1371" s="29"/>
      <c r="JT1371" s="29"/>
      <c r="JU1371" s="29"/>
      <c r="JV1371" s="29"/>
      <c r="JW1371" s="29"/>
      <c r="JX1371" s="29"/>
      <c r="JY1371" s="29"/>
      <c r="JZ1371" s="29"/>
      <c r="KA1371" s="29"/>
      <c r="KB1371" s="29"/>
      <c r="KC1371" s="29"/>
      <c r="KD1371" s="29"/>
      <c r="KE1371" s="29"/>
      <c r="KF1371" s="29"/>
      <c r="KG1371" s="29"/>
      <c r="KH1371" s="29"/>
      <c r="KI1371" s="29"/>
      <c r="KJ1371" s="29"/>
      <c r="KK1371" s="29"/>
      <c r="KL1371" s="29"/>
      <c r="KM1371" s="29"/>
      <c r="KN1371" s="29"/>
      <c r="KO1371" s="29"/>
      <c r="KP1371" s="29"/>
      <c r="KQ1371" s="29"/>
      <c r="KR1371" s="29"/>
      <c r="KS1371" s="29"/>
      <c r="KT1371" s="29"/>
      <c r="KU1371" s="29"/>
      <c r="KV1371" s="29"/>
      <c r="KW1371" s="29"/>
      <c r="KX1371" s="29"/>
      <c r="KY1371" s="29"/>
      <c r="KZ1371" s="29"/>
      <c r="LA1371" s="29"/>
      <c r="LB1371" s="29"/>
      <c r="LC1371" s="29"/>
      <c r="LD1371" s="29"/>
      <c r="LE1371" s="29"/>
      <c r="LF1371" s="29"/>
      <c r="LG1371" s="29"/>
      <c r="LH1371" s="29"/>
      <c r="LI1371" s="29"/>
      <c r="LJ1371" s="29"/>
      <c r="LK1371" s="29"/>
      <c r="LL1371" s="29"/>
      <c r="LM1371" s="29"/>
      <c r="LN1371" s="29"/>
      <c r="LO1371" s="29"/>
      <c r="LP1371" s="29"/>
      <c r="LQ1371" s="29"/>
      <c r="LR1371" s="29"/>
      <c r="LS1371" s="29"/>
      <c r="LT1371" s="29"/>
      <c r="LU1371" s="29"/>
      <c r="LV1371" s="29"/>
      <c r="LW1371" s="29"/>
      <c r="LX1371" s="29"/>
      <c r="LY1371" s="29"/>
      <c r="LZ1371" s="29"/>
      <c r="MA1371" s="29"/>
      <c r="MB1371" s="29"/>
      <c r="MC1371" s="29"/>
      <c r="MD1371" s="29"/>
      <c r="ME1371" s="29"/>
      <c r="MF1371" s="29"/>
      <c r="MG1371" s="29"/>
      <c r="MH1371" s="29"/>
      <c r="MI1371" s="29"/>
      <c r="MJ1371" s="29"/>
      <c r="MK1371" s="29"/>
      <c r="ML1371" s="29"/>
      <c r="MM1371" s="29"/>
      <c r="MN1371" s="29"/>
      <c r="MO1371" s="29"/>
      <c r="MP1371" s="29"/>
      <c r="MQ1371" s="29"/>
      <c r="MR1371" s="29"/>
      <c r="MS1371" s="29"/>
      <c r="MT1371" s="29"/>
      <c r="MU1371" s="29"/>
      <c r="MV1371" s="29"/>
      <c r="MW1371" s="29"/>
      <c r="MX1371" s="29"/>
      <c r="MY1371" s="29"/>
      <c r="MZ1371" s="29"/>
      <c r="NA1371" s="29"/>
      <c r="NB1371" s="29"/>
      <c r="NC1371" s="29"/>
      <c r="ND1371" s="29"/>
      <c r="NE1371" s="29"/>
      <c r="NF1371" s="29"/>
      <c r="NG1371" s="29"/>
      <c r="NH1371" s="29"/>
      <c r="NI1371" s="29"/>
      <c r="NJ1371" s="29"/>
      <c r="NK1371" s="29"/>
      <c r="NL1371" s="29"/>
      <c r="NM1371" s="29"/>
      <c r="NN1371" s="29"/>
      <c r="NO1371" s="29"/>
      <c r="NP1371" s="29"/>
      <c r="NQ1371" s="29"/>
      <c r="NR1371" s="29"/>
      <c r="NS1371" s="29"/>
      <c r="NT1371" s="29"/>
      <c r="NU1371" s="29"/>
      <c r="NV1371" s="29"/>
      <c r="NW1371" s="29"/>
      <c r="NX1371" s="29"/>
      <c r="NY1371" s="29"/>
      <c r="NZ1371" s="29"/>
      <c r="OA1371" s="29"/>
      <c r="OB1371" s="29"/>
      <c r="OC1371" s="29"/>
      <c r="OD1371" s="29"/>
      <c r="OE1371" s="29"/>
      <c r="OF1371" s="29"/>
      <c r="OG1371" s="29"/>
      <c r="OH1371" s="29"/>
      <c r="OI1371" s="29"/>
      <c r="OJ1371" s="29"/>
      <c r="OK1371" s="29"/>
      <c r="OL1371" s="29"/>
      <c r="OM1371" s="29"/>
      <c r="ON1371" s="29"/>
      <c r="OO1371" s="29"/>
      <c r="OP1371" s="29"/>
      <c r="OQ1371" s="29"/>
      <c r="OR1371" s="29"/>
      <c r="OS1371" s="29"/>
      <c r="OT1371" s="29"/>
      <c r="OU1371" s="29"/>
      <c r="OV1371" s="29"/>
      <c r="OW1371" s="29"/>
      <c r="OX1371" s="29"/>
      <c r="OY1371" s="29"/>
      <c r="OZ1371" s="29"/>
      <c r="PA1371" s="29"/>
      <c r="PB1371" s="29"/>
      <c r="PC1371" s="29"/>
      <c r="PD1371" s="29"/>
      <c r="PE1371" s="29"/>
      <c r="PF1371" s="29"/>
      <c r="PG1371" s="29"/>
      <c r="PH1371" s="29"/>
      <c r="PI1371" s="29"/>
      <c r="PJ1371" s="29"/>
      <c r="PK1371" s="29"/>
      <c r="PL1371" s="29"/>
      <c r="PM1371" s="29"/>
      <c r="PN1371" s="29"/>
      <c r="PO1371" s="29"/>
      <c r="PP1371" s="29"/>
      <c r="PQ1371" s="29"/>
      <c r="PR1371" s="29"/>
      <c r="PS1371" s="29"/>
      <c r="PT1371" s="29"/>
      <c r="PU1371" s="29"/>
      <c r="PV1371" s="29"/>
      <c r="PW1371" s="29"/>
      <c r="PX1371" s="29"/>
      <c r="PY1371" s="29"/>
      <c r="PZ1371" s="29"/>
      <c r="QA1371" s="29"/>
      <c r="QB1371" s="29"/>
      <c r="QC1371" s="29"/>
      <c r="QD1371" s="29"/>
      <c r="QE1371" s="29"/>
      <c r="QF1371" s="29"/>
      <c r="QG1371" s="29"/>
      <c r="QH1371" s="29"/>
      <c r="QI1371" s="29"/>
      <c r="QJ1371" s="29"/>
      <c r="QK1371" s="29"/>
      <c r="QL1371" s="29"/>
      <c r="QM1371" s="29"/>
      <c r="QN1371" s="29"/>
      <c r="QO1371" s="29"/>
      <c r="QP1371" s="29"/>
      <c r="QQ1371" s="29"/>
      <c r="QR1371" s="29"/>
      <c r="QS1371" s="29"/>
      <c r="QT1371" s="29"/>
      <c r="QU1371" s="29"/>
      <c r="QV1371" s="29"/>
      <c r="QW1371" s="29"/>
      <c r="QX1371" s="29"/>
      <c r="QY1371" s="29"/>
      <c r="QZ1371" s="29"/>
      <c r="RA1371" s="29"/>
      <c r="RB1371" s="29"/>
      <c r="RC1371" s="29"/>
      <c r="RD1371" s="29"/>
      <c r="RE1371" s="29"/>
      <c r="RF1371" s="29"/>
      <c r="RG1371" s="29"/>
      <c r="RH1371" s="29"/>
      <c r="RI1371" s="29"/>
      <c r="RJ1371" s="29"/>
      <c r="RK1371" s="29"/>
      <c r="RL1371" s="29"/>
      <c r="RM1371" s="29"/>
      <c r="RN1371" s="29"/>
      <c r="RO1371" s="29"/>
      <c r="RP1371" s="29"/>
      <c r="RQ1371" s="29"/>
      <c r="RR1371" s="29"/>
      <c r="RS1371" s="29"/>
      <c r="RT1371" s="29"/>
      <c r="RU1371" s="29"/>
      <c r="RV1371" s="29"/>
      <c r="RW1371" s="29"/>
      <c r="RX1371" s="29"/>
      <c r="RY1371" s="29"/>
      <c r="RZ1371" s="29"/>
      <c r="SA1371" s="29"/>
      <c r="SB1371" s="29"/>
      <c r="SC1371" s="29"/>
      <c r="SD1371" s="29"/>
      <c r="SE1371" s="29"/>
      <c r="SF1371" s="29"/>
      <c r="SG1371" s="29"/>
      <c r="SH1371" s="29"/>
      <c r="SI1371" s="29"/>
      <c r="SJ1371" s="29"/>
      <c r="SK1371" s="29"/>
      <c r="SL1371" s="29"/>
      <c r="SM1371" s="29"/>
      <c r="SN1371" s="29"/>
      <c r="SO1371" s="29"/>
      <c r="SP1371" s="29"/>
      <c r="SQ1371" s="29"/>
      <c r="SR1371" s="29"/>
      <c r="SS1371" s="29"/>
      <c r="ST1371" s="29"/>
      <c r="SU1371" s="29"/>
      <c r="SV1371" s="29"/>
      <c r="SW1371" s="29"/>
      <c r="SX1371" s="29"/>
      <c r="SY1371" s="29"/>
      <c r="SZ1371" s="29"/>
      <c r="TA1371" s="29"/>
      <c r="TB1371" s="29"/>
      <c r="TC1371" s="29"/>
      <c r="TD1371" s="29"/>
      <c r="TE1371" s="29"/>
      <c r="TF1371" s="29"/>
      <c r="TG1371" s="29"/>
      <c r="TH1371" s="29"/>
      <c r="TI1371" s="29"/>
      <c r="TJ1371" s="29"/>
      <c r="TK1371" s="29"/>
      <c r="TL1371" s="29"/>
      <c r="TM1371" s="29"/>
      <c r="TN1371" s="29"/>
      <c r="TO1371" s="29"/>
      <c r="TP1371" s="29"/>
      <c r="TQ1371" s="29"/>
      <c r="TR1371" s="29"/>
      <c r="TS1371" s="29"/>
      <c r="TT1371" s="29"/>
      <c r="TU1371" s="29"/>
      <c r="TV1371" s="29"/>
      <c r="TW1371" s="29"/>
      <c r="TX1371" s="29"/>
      <c r="TY1371" s="29"/>
      <c r="TZ1371" s="29"/>
      <c r="UA1371" s="29"/>
      <c r="UB1371" s="29"/>
      <c r="UC1371" s="29"/>
      <c r="UD1371" s="29"/>
      <c r="UE1371" s="29"/>
      <c r="UF1371" s="29"/>
      <c r="UG1371" s="29"/>
    </row>
    <row r="1372" spans="1:553" ht="39.75" customHeight="1">
      <c r="A1372" s="356" t="s">
        <v>15</v>
      </c>
      <c r="B1372" s="385"/>
      <c r="C1372" s="427" t="str">
        <f t="shared" si="203"/>
        <v>Đất trồng cây lâu năm (CLN)</v>
      </c>
      <c r="D1372" s="376" t="str">
        <f t="shared" si="203"/>
        <v>2</v>
      </c>
      <c r="E1372" s="376" t="str">
        <f t="shared" si="203"/>
        <v>454</v>
      </c>
      <c r="F1372" s="385">
        <f t="shared" si="203"/>
        <v>1</v>
      </c>
      <c r="G1372" s="386" t="s">
        <v>935</v>
      </c>
      <c r="H1372" s="370"/>
      <c r="I1372" s="370">
        <f t="shared" si="205"/>
        <v>154.9</v>
      </c>
      <c r="J1372" s="368">
        <v>62000</v>
      </c>
      <c r="K1372" s="371">
        <v>1</v>
      </c>
      <c r="L1372" s="480">
        <f t="shared" si="204"/>
        <v>9603800</v>
      </c>
      <c r="M1372" s="366"/>
      <c r="N1372" s="366"/>
      <c r="O1372" s="366"/>
      <c r="P1372" s="366"/>
      <c r="Q1372" s="812"/>
      <c r="R1372" s="1610"/>
      <c r="S1372" s="308"/>
      <c r="T1372" s="308"/>
      <c r="U1372" s="308"/>
      <c r="V1372" s="308"/>
      <c r="W1372" s="308"/>
      <c r="X1372" s="308"/>
      <c r="Y1372" s="308"/>
      <c r="Z1372" s="604"/>
      <c r="AA1372" s="308"/>
      <c r="AB1372" s="308"/>
      <c r="AC1372" s="486"/>
      <c r="AD1372" s="486"/>
      <c r="AE1372" s="486"/>
      <c r="AF1372" s="486"/>
      <c r="AG1372" s="486"/>
      <c r="AH1372" s="486"/>
      <c r="AI1372" s="486"/>
      <c r="AJ1372" s="486"/>
      <c r="AK1372" s="486"/>
      <c r="AL1372" s="206"/>
      <c r="AM1372" s="29"/>
      <c r="AN1372" s="29"/>
      <c r="AO1372" s="29"/>
      <c r="AP1372" s="29"/>
      <c r="AQ1372" s="29"/>
      <c r="AR1372" s="29"/>
      <c r="AS1372" s="29"/>
      <c r="AT1372" s="29"/>
      <c r="AU1372" s="29"/>
      <c r="AV1372" s="29"/>
      <c r="AW1372" s="29"/>
      <c r="AX1372" s="29"/>
      <c r="AY1372" s="29"/>
      <c r="AZ1372" s="29"/>
      <c r="BA1372" s="29"/>
      <c r="BB1372" s="29"/>
      <c r="BC1372" s="29"/>
      <c r="BD1372" s="29"/>
      <c r="BE1372" s="29"/>
      <c r="BF1372" s="29"/>
      <c r="BG1372" s="29"/>
      <c r="BH1372" s="29"/>
      <c r="BI1372" s="29"/>
      <c r="BJ1372" s="29"/>
      <c r="BK1372" s="29"/>
      <c r="BL1372" s="29"/>
      <c r="BM1372" s="29"/>
      <c r="BN1372" s="29"/>
      <c r="BO1372" s="29"/>
      <c r="BP1372" s="29"/>
      <c r="BQ1372" s="29"/>
      <c r="BR1372" s="29"/>
      <c r="BS1372" s="29"/>
      <c r="BT1372" s="29"/>
      <c r="BU1372" s="29"/>
      <c r="BV1372" s="29"/>
      <c r="BW1372" s="29"/>
      <c r="BX1372" s="29"/>
      <c r="BY1372" s="29"/>
      <c r="BZ1372" s="29"/>
      <c r="CA1372" s="29"/>
      <c r="CB1372" s="29"/>
      <c r="CC1372" s="29"/>
      <c r="CD1372" s="29"/>
      <c r="CE1372" s="29"/>
      <c r="CF1372" s="29"/>
      <c r="CG1372" s="29"/>
      <c r="CH1372" s="29"/>
      <c r="CI1372" s="29"/>
      <c r="CJ1372" s="29"/>
      <c r="CK1372" s="29"/>
      <c r="CL1372" s="29"/>
      <c r="CM1372" s="29"/>
      <c r="CN1372" s="29"/>
      <c r="CO1372" s="29"/>
      <c r="CP1372" s="29"/>
      <c r="CQ1372" s="29"/>
      <c r="CR1372" s="29"/>
      <c r="CS1372" s="29"/>
      <c r="CT1372" s="29"/>
      <c r="CU1372" s="29"/>
      <c r="CV1372" s="29"/>
      <c r="CW1372" s="29"/>
      <c r="CX1372" s="29"/>
      <c r="CY1372" s="29"/>
      <c r="CZ1372" s="29"/>
      <c r="DA1372" s="29"/>
      <c r="DB1372" s="29"/>
      <c r="DC1372" s="29"/>
      <c r="DD1372" s="29"/>
      <c r="DE1372" s="29"/>
      <c r="DF1372" s="29"/>
      <c r="DG1372" s="29"/>
      <c r="DH1372" s="29"/>
      <c r="DI1372" s="29"/>
      <c r="DJ1372" s="29"/>
      <c r="DK1372" s="29"/>
      <c r="DL1372" s="29"/>
      <c r="DM1372" s="29"/>
      <c r="DN1372" s="29"/>
      <c r="DO1372" s="29"/>
      <c r="DP1372" s="29"/>
      <c r="DQ1372" s="29"/>
      <c r="DR1372" s="29"/>
      <c r="DS1372" s="29"/>
      <c r="DT1372" s="29"/>
      <c r="DU1372" s="29"/>
      <c r="DV1372" s="29"/>
      <c r="DW1372" s="29"/>
      <c r="DX1372" s="29"/>
      <c r="DY1372" s="29"/>
      <c r="DZ1372" s="29"/>
      <c r="EA1372" s="29"/>
      <c r="EB1372" s="29"/>
      <c r="EC1372" s="29"/>
      <c r="ED1372" s="29"/>
      <c r="EE1372" s="29"/>
      <c r="EF1372" s="29"/>
      <c r="EG1372" s="29"/>
      <c r="EH1372" s="29"/>
      <c r="EI1372" s="29"/>
      <c r="EJ1372" s="29"/>
      <c r="EK1372" s="29"/>
      <c r="EL1372" s="29"/>
      <c r="EM1372" s="29"/>
      <c r="EN1372" s="29"/>
      <c r="EO1372" s="29"/>
      <c r="EP1372" s="29"/>
      <c r="EQ1372" s="29"/>
      <c r="ER1372" s="29"/>
      <c r="ES1372" s="29"/>
      <c r="ET1372" s="29"/>
      <c r="EU1372" s="29"/>
      <c r="EV1372" s="29"/>
      <c r="EW1372" s="29"/>
      <c r="EX1372" s="29"/>
      <c r="EY1372" s="29"/>
      <c r="EZ1372" s="29"/>
      <c r="FA1372" s="29"/>
      <c r="FB1372" s="29"/>
      <c r="FC1372" s="29"/>
      <c r="FD1372" s="29"/>
      <c r="FE1372" s="29"/>
      <c r="FF1372" s="29"/>
      <c r="FG1372" s="29"/>
      <c r="FH1372" s="29"/>
      <c r="FI1372" s="29"/>
      <c r="FJ1372" s="29"/>
      <c r="FK1372" s="29"/>
      <c r="FL1372" s="29"/>
      <c r="FM1372" s="29"/>
      <c r="FN1372" s="29"/>
      <c r="FO1372" s="29"/>
      <c r="FP1372" s="29"/>
      <c r="FQ1372" s="29"/>
      <c r="FR1372" s="29"/>
      <c r="FS1372" s="29"/>
      <c r="FT1372" s="29"/>
      <c r="FU1372" s="29"/>
      <c r="FV1372" s="29"/>
      <c r="FW1372" s="29"/>
      <c r="FX1372" s="29"/>
      <c r="FY1372" s="29"/>
      <c r="FZ1372" s="29"/>
      <c r="GA1372" s="29"/>
      <c r="GB1372" s="29"/>
      <c r="GC1372" s="29"/>
      <c r="GD1372" s="29"/>
      <c r="GE1372" s="29"/>
      <c r="GF1372" s="29"/>
      <c r="GG1372" s="29"/>
      <c r="GH1372" s="29"/>
      <c r="GI1372" s="29"/>
      <c r="GJ1372" s="29"/>
      <c r="GK1372" s="29"/>
      <c r="GL1372" s="29"/>
      <c r="GM1372" s="29"/>
      <c r="GN1372" s="29"/>
      <c r="GO1372" s="29"/>
      <c r="GP1372" s="29"/>
      <c r="GQ1372" s="29"/>
      <c r="GR1372" s="29"/>
      <c r="GS1372" s="29"/>
      <c r="GT1372" s="29"/>
      <c r="GU1372" s="29"/>
      <c r="GV1372" s="29"/>
      <c r="GW1372" s="29"/>
      <c r="GX1372" s="29"/>
      <c r="GY1372" s="29"/>
      <c r="GZ1372" s="29"/>
      <c r="HA1372" s="29"/>
      <c r="HB1372" s="29"/>
      <c r="HC1372" s="29"/>
      <c r="HD1372" s="29"/>
      <c r="HE1372" s="29"/>
      <c r="HF1372" s="29"/>
      <c r="HG1372" s="29"/>
      <c r="HH1372" s="29"/>
      <c r="HI1372" s="29"/>
      <c r="HJ1372" s="29"/>
      <c r="HK1372" s="29"/>
      <c r="HL1372" s="29"/>
      <c r="HM1372" s="29"/>
      <c r="HN1372" s="29"/>
      <c r="HO1372" s="29"/>
      <c r="HP1372" s="29"/>
      <c r="HQ1372" s="29"/>
      <c r="HR1372" s="29"/>
      <c r="HS1372" s="29"/>
      <c r="HT1372" s="29"/>
      <c r="HU1372" s="29"/>
      <c r="HV1372" s="29"/>
      <c r="HW1372" s="29"/>
      <c r="HX1372" s="29"/>
      <c r="HY1372" s="29"/>
      <c r="HZ1372" s="29"/>
      <c r="IA1372" s="29"/>
      <c r="IB1372" s="29"/>
      <c r="IC1372" s="29"/>
      <c r="ID1372" s="29"/>
      <c r="IE1372" s="29"/>
      <c r="IF1372" s="29"/>
      <c r="IG1372" s="29"/>
      <c r="IH1372" s="29"/>
      <c r="II1372" s="29"/>
      <c r="IJ1372" s="29"/>
      <c r="IK1372" s="29"/>
      <c r="IL1372" s="29"/>
      <c r="IM1372" s="29"/>
      <c r="IN1372" s="29"/>
      <c r="IO1372" s="29"/>
      <c r="IP1372" s="29"/>
      <c r="IQ1372" s="29"/>
      <c r="IR1372" s="29"/>
      <c r="IS1372" s="29"/>
      <c r="IT1372" s="29"/>
      <c r="IU1372" s="29"/>
      <c r="IV1372" s="29"/>
      <c r="IW1372" s="29"/>
      <c r="IX1372" s="29"/>
      <c r="IY1372" s="29"/>
      <c r="IZ1372" s="29"/>
      <c r="JA1372" s="29"/>
      <c r="JB1372" s="29"/>
      <c r="JC1372" s="29"/>
      <c r="JD1372" s="29"/>
      <c r="JE1372" s="29"/>
      <c r="JF1372" s="29"/>
      <c r="JG1372" s="29"/>
      <c r="JH1372" s="29"/>
      <c r="JI1372" s="29"/>
      <c r="JJ1372" s="29"/>
      <c r="JK1372" s="29"/>
      <c r="JL1372" s="29"/>
      <c r="JM1372" s="29"/>
      <c r="JN1372" s="29"/>
      <c r="JO1372" s="29"/>
      <c r="JP1372" s="29"/>
      <c r="JQ1372" s="29"/>
      <c r="JR1372" s="29"/>
      <c r="JS1372" s="29"/>
      <c r="JT1372" s="29"/>
      <c r="JU1372" s="29"/>
      <c r="JV1372" s="29"/>
      <c r="JW1372" s="29"/>
      <c r="JX1372" s="29"/>
      <c r="JY1372" s="29"/>
      <c r="JZ1372" s="29"/>
      <c r="KA1372" s="29"/>
      <c r="KB1372" s="29"/>
      <c r="KC1372" s="29"/>
      <c r="KD1372" s="29"/>
      <c r="KE1372" s="29"/>
      <c r="KF1372" s="29"/>
      <c r="KG1372" s="29"/>
      <c r="KH1372" s="29"/>
      <c r="KI1372" s="29"/>
      <c r="KJ1372" s="29"/>
      <c r="KK1372" s="29"/>
      <c r="KL1372" s="29"/>
      <c r="KM1372" s="29"/>
      <c r="KN1372" s="29"/>
      <c r="KO1372" s="29"/>
      <c r="KP1372" s="29"/>
      <c r="KQ1372" s="29"/>
      <c r="KR1372" s="29"/>
      <c r="KS1372" s="29"/>
      <c r="KT1372" s="29"/>
      <c r="KU1372" s="29"/>
      <c r="KV1372" s="29"/>
      <c r="KW1372" s="29"/>
      <c r="KX1372" s="29"/>
      <c r="KY1372" s="29"/>
      <c r="KZ1372" s="29"/>
      <c r="LA1372" s="29"/>
      <c r="LB1372" s="29"/>
      <c r="LC1372" s="29"/>
      <c r="LD1372" s="29"/>
      <c r="LE1372" s="29"/>
      <c r="LF1372" s="29"/>
      <c r="LG1372" s="29"/>
      <c r="LH1372" s="29"/>
      <c r="LI1372" s="29"/>
      <c r="LJ1372" s="29"/>
      <c r="LK1372" s="29"/>
      <c r="LL1372" s="29"/>
      <c r="LM1372" s="29"/>
      <c r="LN1372" s="29"/>
      <c r="LO1372" s="29"/>
      <c r="LP1372" s="29"/>
      <c r="LQ1372" s="29"/>
      <c r="LR1372" s="29"/>
      <c r="LS1372" s="29"/>
      <c r="LT1372" s="29"/>
      <c r="LU1372" s="29"/>
      <c r="LV1372" s="29"/>
      <c r="LW1372" s="29"/>
      <c r="LX1372" s="29"/>
      <c r="LY1372" s="29"/>
      <c r="LZ1372" s="29"/>
      <c r="MA1372" s="29"/>
      <c r="MB1372" s="29"/>
      <c r="MC1372" s="29"/>
      <c r="MD1372" s="29"/>
      <c r="ME1372" s="29"/>
      <c r="MF1372" s="29"/>
      <c r="MG1372" s="29"/>
      <c r="MH1372" s="29"/>
      <c r="MI1372" s="29"/>
      <c r="MJ1372" s="29"/>
      <c r="MK1372" s="29"/>
      <c r="ML1372" s="29"/>
      <c r="MM1372" s="29"/>
      <c r="MN1372" s="29"/>
      <c r="MO1372" s="29"/>
      <c r="MP1372" s="29"/>
      <c r="MQ1372" s="29"/>
      <c r="MR1372" s="29"/>
      <c r="MS1372" s="29"/>
      <c r="MT1372" s="29"/>
      <c r="MU1372" s="29"/>
      <c r="MV1372" s="29"/>
      <c r="MW1372" s="29"/>
      <c r="MX1372" s="29"/>
      <c r="MY1372" s="29"/>
      <c r="MZ1372" s="29"/>
      <c r="NA1372" s="29"/>
      <c r="NB1372" s="29"/>
      <c r="NC1372" s="29"/>
      <c r="ND1372" s="29"/>
      <c r="NE1372" s="29"/>
      <c r="NF1372" s="29"/>
      <c r="NG1372" s="29"/>
      <c r="NH1372" s="29"/>
      <c r="NI1372" s="29"/>
      <c r="NJ1372" s="29"/>
      <c r="NK1372" s="29"/>
      <c r="NL1372" s="29"/>
      <c r="NM1372" s="29"/>
      <c r="NN1372" s="29"/>
      <c r="NO1372" s="29"/>
      <c r="NP1372" s="29"/>
      <c r="NQ1372" s="29"/>
      <c r="NR1372" s="29"/>
      <c r="NS1372" s="29"/>
      <c r="NT1372" s="29"/>
      <c r="NU1372" s="29"/>
      <c r="NV1372" s="29"/>
      <c r="NW1372" s="29"/>
      <c r="NX1372" s="29"/>
      <c r="NY1372" s="29"/>
      <c r="NZ1372" s="29"/>
      <c r="OA1372" s="29"/>
      <c r="OB1372" s="29"/>
      <c r="OC1372" s="29"/>
      <c r="OD1372" s="29"/>
      <c r="OE1372" s="29"/>
      <c r="OF1372" s="29"/>
      <c r="OG1372" s="29"/>
      <c r="OH1372" s="29"/>
      <c r="OI1372" s="29"/>
      <c r="OJ1372" s="29"/>
      <c r="OK1372" s="29"/>
      <c r="OL1372" s="29"/>
      <c r="OM1372" s="29"/>
      <c r="ON1372" s="29"/>
      <c r="OO1372" s="29"/>
      <c r="OP1372" s="29"/>
      <c r="OQ1372" s="29"/>
      <c r="OR1372" s="29"/>
      <c r="OS1372" s="29"/>
      <c r="OT1372" s="29"/>
      <c r="OU1372" s="29"/>
      <c r="OV1372" s="29"/>
      <c r="OW1372" s="29"/>
      <c r="OX1372" s="29"/>
      <c r="OY1372" s="29"/>
      <c r="OZ1372" s="29"/>
      <c r="PA1372" s="29"/>
      <c r="PB1372" s="29"/>
      <c r="PC1372" s="29"/>
      <c r="PD1372" s="29"/>
      <c r="PE1372" s="29"/>
      <c r="PF1372" s="29"/>
      <c r="PG1372" s="29"/>
      <c r="PH1372" s="29"/>
      <c r="PI1372" s="29"/>
      <c r="PJ1372" s="29"/>
      <c r="PK1372" s="29"/>
      <c r="PL1372" s="29"/>
      <c r="PM1372" s="29"/>
      <c r="PN1372" s="29"/>
      <c r="PO1372" s="29"/>
      <c r="PP1372" s="29"/>
      <c r="PQ1372" s="29"/>
      <c r="PR1372" s="29"/>
      <c r="PS1372" s="29"/>
      <c r="PT1372" s="29"/>
      <c r="PU1372" s="29"/>
      <c r="PV1372" s="29"/>
      <c r="PW1372" s="29"/>
      <c r="PX1372" s="29"/>
      <c r="PY1372" s="29"/>
      <c r="PZ1372" s="29"/>
      <c r="QA1372" s="29"/>
      <c r="QB1372" s="29"/>
      <c r="QC1372" s="29"/>
      <c r="QD1372" s="29"/>
      <c r="QE1372" s="29"/>
      <c r="QF1372" s="29"/>
      <c r="QG1372" s="29"/>
      <c r="QH1372" s="29"/>
      <c r="QI1372" s="29"/>
      <c r="QJ1372" s="29"/>
      <c r="QK1372" s="29"/>
      <c r="QL1372" s="29"/>
      <c r="QM1372" s="29"/>
      <c r="QN1372" s="29"/>
      <c r="QO1372" s="29"/>
      <c r="QP1372" s="29"/>
      <c r="QQ1372" s="29"/>
      <c r="QR1372" s="29"/>
      <c r="QS1372" s="29"/>
      <c r="QT1372" s="29"/>
      <c r="QU1372" s="29"/>
      <c r="QV1372" s="29"/>
      <c r="QW1372" s="29"/>
      <c r="QX1372" s="29"/>
      <c r="QY1372" s="29"/>
      <c r="QZ1372" s="29"/>
      <c r="RA1372" s="29"/>
      <c r="RB1372" s="29"/>
      <c r="RC1372" s="29"/>
      <c r="RD1372" s="29"/>
      <c r="RE1372" s="29"/>
      <c r="RF1372" s="29"/>
      <c r="RG1372" s="29"/>
      <c r="RH1372" s="29"/>
      <c r="RI1372" s="29"/>
      <c r="RJ1372" s="29"/>
      <c r="RK1372" s="29"/>
      <c r="RL1372" s="29"/>
      <c r="RM1372" s="29"/>
      <c r="RN1372" s="29"/>
      <c r="RO1372" s="29"/>
      <c r="RP1372" s="29"/>
      <c r="RQ1372" s="29"/>
      <c r="RR1372" s="29"/>
      <c r="RS1372" s="29"/>
      <c r="RT1372" s="29"/>
      <c r="RU1372" s="29"/>
      <c r="RV1372" s="29"/>
      <c r="RW1372" s="29"/>
      <c r="RX1372" s="29"/>
      <c r="RY1372" s="29"/>
      <c r="RZ1372" s="29"/>
      <c r="SA1372" s="29"/>
      <c r="SB1372" s="29"/>
      <c r="SC1372" s="29"/>
      <c r="SD1372" s="29"/>
      <c r="SE1372" s="29"/>
      <c r="SF1372" s="29"/>
      <c r="SG1372" s="29"/>
      <c r="SH1372" s="29"/>
      <c r="SI1372" s="29"/>
      <c r="SJ1372" s="29"/>
      <c r="SK1372" s="29"/>
      <c r="SL1372" s="29"/>
      <c r="SM1372" s="29"/>
      <c r="SN1372" s="29"/>
      <c r="SO1372" s="29"/>
      <c r="SP1372" s="29"/>
      <c r="SQ1372" s="29"/>
      <c r="SR1372" s="29"/>
      <c r="SS1372" s="29"/>
      <c r="ST1372" s="29"/>
      <c r="SU1372" s="29"/>
      <c r="SV1372" s="29"/>
      <c r="SW1372" s="29"/>
      <c r="SX1372" s="29"/>
      <c r="SY1372" s="29"/>
      <c r="SZ1372" s="29"/>
      <c r="TA1372" s="29"/>
      <c r="TB1372" s="29"/>
      <c r="TC1372" s="29"/>
      <c r="TD1372" s="29"/>
      <c r="TE1372" s="29"/>
      <c r="TF1372" s="29"/>
      <c r="TG1372" s="29"/>
      <c r="TH1372" s="29"/>
      <c r="TI1372" s="29"/>
      <c r="TJ1372" s="29"/>
      <c r="TK1372" s="29"/>
      <c r="TL1372" s="29"/>
      <c r="TM1372" s="29"/>
      <c r="TN1372" s="29"/>
      <c r="TO1372" s="29"/>
      <c r="TP1372" s="29"/>
      <c r="TQ1372" s="29"/>
      <c r="TR1372" s="29"/>
      <c r="TS1372" s="29"/>
      <c r="TT1372" s="29"/>
      <c r="TU1372" s="29"/>
      <c r="TV1372" s="29"/>
      <c r="TW1372" s="29"/>
      <c r="TX1372" s="29"/>
      <c r="TY1372" s="29"/>
      <c r="TZ1372" s="29"/>
      <c r="UA1372" s="29"/>
      <c r="UB1372" s="29"/>
      <c r="UC1372" s="29"/>
      <c r="UD1372" s="29"/>
      <c r="UE1372" s="29"/>
      <c r="UF1372" s="29"/>
      <c r="UG1372" s="29"/>
    </row>
    <row r="1373" spans="1:553" ht="39.75" customHeight="1">
      <c r="A1373" s="356" t="s">
        <v>15</v>
      </c>
      <c r="B1373" s="356"/>
      <c r="C1373" s="427" t="str">
        <f t="shared" si="203"/>
        <v>Đất trồng cây lâu năm (CLN)</v>
      </c>
      <c r="D1373" s="376">
        <f t="shared" si="203"/>
        <v>2</v>
      </c>
      <c r="E1373" s="376">
        <f t="shared" si="203"/>
        <v>485</v>
      </c>
      <c r="F1373" s="385">
        <f t="shared" si="203"/>
        <v>1</v>
      </c>
      <c r="G1373" s="386" t="s">
        <v>935</v>
      </c>
      <c r="H1373" s="441"/>
      <c r="I1373" s="370">
        <f t="shared" si="205"/>
        <v>124</v>
      </c>
      <c r="J1373" s="368">
        <v>62000</v>
      </c>
      <c r="K1373" s="371">
        <v>1</v>
      </c>
      <c r="L1373" s="480">
        <f t="shared" si="204"/>
        <v>7688000</v>
      </c>
      <c r="M1373" s="366"/>
      <c r="N1373" s="366"/>
      <c r="O1373" s="366"/>
      <c r="P1373" s="366"/>
      <c r="Q1373" s="813"/>
      <c r="R1373" s="1610"/>
      <c r="S1373" s="308"/>
      <c r="T1373" s="308"/>
      <c r="U1373" s="308"/>
      <c r="V1373" s="308"/>
      <c r="W1373" s="308"/>
      <c r="X1373" s="308"/>
      <c r="Y1373" s="308"/>
      <c r="Z1373" s="604"/>
      <c r="AA1373" s="308"/>
      <c r="AB1373" s="308"/>
      <c r="AC1373" s="486"/>
      <c r="AD1373" s="486"/>
      <c r="AE1373" s="486"/>
      <c r="AF1373" s="486"/>
      <c r="AG1373" s="486"/>
      <c r="AH1373" s="486"/>
      <c r="AI1373" s="486"/>
      <c r="AJ1373" s="486"/>
      <c r="AK1373" s="486"/>
      <c r="AL1373" s="206"/>
      <c r="AM1373" s="29"/>
      <c r="AN1373" s="29"/>
      <c r="AO1373" s="29"/>
      <c r="AP1373" s="29"/>
      <c r="AQ1373" s="29"/>
      <c r="AR1373" s="29"/>
      <c r="AS1373" s="29"/>
      <c r="AT1373" s="29"/>
      <c r="AU1373" s="29"/>
      <c r="AV1373" s="29"/>
      <c r="AW1373" s="29"/>
      <c r="AX1373" s="29"/>
      <c r="AY1373" s="29"/>
      <c r="AZ1373" s="29"/>
      <c r="BA1373" s="29"/>
      <c r="BB1373" s="29"/>
      <c r="BC1373" s="29"/>
      <c r="BD1373" s="29"/>
      <c r="BE1373" s="29"/>
      <c r="BF1373" s="29"/>
      <c r="BG1373" s="29"/>
      <c r="BH1373" s="29"/>
      <c r="BI1373" s="29"/>
      <c r="BJ1373" s="29"/>
      <c r="BK1373" s="29"/>
      <c r="BL1373" s="29"/>
      <c r="BM1373" s="29"/>
      <c r="BN1373" s="29"/>
      <c r="BO1373" s="29"/>
      <c r="BP1373" s="29"/>
      <c r="BQ1373" s="29"/>
      <c r="BR1373" s="29"/>
      <c r="BS1373" s="29"/>
      <c r="BT1373" s="29"/>
      <c r="BU1373" s="29"/>
      <c r="BV1373" s="29"/>
      <c r="BW1373" s="29"/>
      <c r="BX1373" s="29"/>
      <c r="BY1373" s="29"/>
      <c r="BZ1373" s="29"/>
      <c r="CA1373" s="29"/>
      <c r="CB1373" s="29"/>
      <c r="CC1373" s="29"/>
      <c r="CD1373" s="29"/>
      <c r="CE1373" s="29"/>
      <c r="CF1373" s="29"/>
      <c r="CG1373" s="29"/>
      <c r="CH1373" s="29"/>
      <c r="CI1373" s="29"/>
      <c r="CJ1373" s="29"/>
      <c r="CK1373" s="29"/>
      <c r="CL1373" s="29"/>
      <c r="CM1373" s="29"/>
      <c r="CN1373" s="29"/>
      <c r="CO1373" s="29"/>
      <c r="CP1373" s="29"/>
      <c r="CQ1373" s="29"/>
      <c r="CR1373" s="29"/>
      <c r="CS1373" s="29"/>
      <c r="CT1373" s="29"/>
      <c r="CU1373" s="29"/>
      <c r="CV1373" s="29"/>
      <c r="CW1373" s="29"/>
      <c r="CX1373" s="29"/>
      <c r="CY1373" s="29"/>
      <c r="CZ1373" s="29"/>
      <c r="DA1373" s="29"/>
      <c r="DB1373" s="29"/>
      <c r="DC1373" s="29"/>
      <c r="DD1373" s="29"/>
      <c r="DE1373" s="29"/>
      <c r="DF1373" s="29"/>
      <c r="DG1373" s="29"/>
      <c r="DH1373" s="29"/>
      <c r="DI1373" s="29"/>
      <c r="DJ1373" s="29"/>
      <c r="DK1373" s="29"/>
      <c r="DL1373" s="29"/>
      <c r="DM1373" s="29"/>
      <c r="DN1373" s="29"/>
      <c r="DO1373" s="29"/>
      <c r="DP1373" s="29"/>
      <c r="DQ1373" s="29"/>
      <c r="DR1373" s="29"/>
      <c r="DS1373" s="29"/>
      <c r="DT1373" s="29"/>
      <c r="DU1373" s="29"/>
      <c r="DV1373" s="29"/>
      <c r="DW1373" s="29"/>
      <c r="DX1373" s="29"/>
      <c r="DY1373" s="29"/>
      <c r="DZ1373" s="29"/>
      <c r="EA1373" s="29"/>
      <c r="EB1373" s="29"/>
      <c r="EC1373" s="29"/>
      <c r="ED1373" s="29"/>
      <c r="EE1373" s="29"/>
      <c r="EF1373" s="29"/>
      <c r="EG1373" s="29"/>
      <c r="EH1373" s="29"/>
      <c r="EI1373" s="29"/>
      <c r="EJ1373" s="29"/>
      <c r="EK1373" s="29"/>
      <c r="EL1373" s="29"/>
      <c r="EM1373" s="29"/>
      <c r="EN1373" s="29"/>
      <c r="EO1373" s="29"/>
      <c r="EP1373" s="29"/>
      <c r="EQ1373" s="29"/>
      <c r="ER1373" s="29"/>
      <c r="ES1373" s="29"/>
      <c r="ET1373" s="29"/>
      <c r="EU1373" s="29"/>
      <c r="EV1373" s="29"/>
      <c r="EW1373" s="29"/>
      <c r="EX1373" s="29"/>
      <c r="EY1373" s="29"/>
      <c r="EZ1373" s="29"/>
      <c r="FA1373" s="29"/>
      <c r="FB1373" s="29"/>
      <c r="FC1373" s="29"/>
      <c r="FD1373" s="29"/>
      <c r="FE1373" s="29"/>
      <c r="FF1373" s="29"/>
      <c r="FG1373" s="29"/>
      <c r="FH1373" s="29"/>
      <c r="FI1373" s="29"/>
      <c r="FJ1373" s="29"/>
      <c r="FK1373" s="29"/>
      <c r="FL1373" s="29"/>
      <c r="FM1373" s="29"/>
      <c r="FN1373" s="29"/>
      <c r="FO1373" s="29"/>
      <c r="FP1373" s="29"/>
      <c r="FQ1373" s="29"/>
      <c r="FR1373" s="29"/>
      <c r="FS1373" s="29"/>
      <c r="FT1373" s="29"/>
      <c r="FU1373" s="29"/>
      <c r="FV1373" s="29"/>
      <c r="FW1373" s="29"/>
      <c r="FX1373" s="29"/>
      <c r="FY1373" s="29"/>
      <c r="FZ1373" s="29"/>
      <c r="GA1373" s="29"/>
      <c r="GB1373" s="29"/>
      <c r="GC1373" s="29"/>
      <c r="GD1373" s="29"/>
      <c r="GE1373" s="29"/>
      <c r="GF1373" s="29"/>
      <c r="GG1373" s="29"/>
      <c r="GH1373" s="29"/>
      <c r="GI1373" s="29"/>
      <c r="GJ1373" s="29"/>
      <c r="GK1373" s="29"/>
      <c r="GL1373" s="29"/>
      <c r="GM1373" s="29"/>
      <c r="GN1373" s="29"/>
      <c r="GO1373" s="29"/>
      <c r="GP1373" s="29"/>
      <c r="GQ1373" s="29"/>
      <c r="GR1373" s="29"/>
      <c r="GS1373" s="29"/>
      <c r="GT1373" s="29"/>
      <c r="GU1373" s="29"/>
      <c r="GV1373" s="29"/>
      <c r="GW1373" s="29"/>
      <c r="GX1373" s="29"/>
      <c r="GY1373" s="29"/>
      <c r="GZ1373" s="29"/>
      <c r="HA1373" s="29"/>
      <c r="HB1373" s="29"/>
      <c r="HC1373" s="29"/>
      <c r="HD1373" s="29"/>
      <c r="HE1373" s="29"/>
      <c r="HF1373" s="29"/>
      <c r="HG1373" s="29"/>
      <c r="HH1373" s="29"/>
      <c r="HI1373" s="29"/>
      <c r="HJ1373" s="29"/>
      <c r="HK1373" s="29"/>
      <c r="HL1373" s="29"/>
      <c r="HM1373" s="29"/>
      <c r="HN1373" s="29"/>
      <c r="HO1373" s="29"/>
      <c r="HP1373" s="29"/>
      <c r="HQ1373" s="29"/>
      <c r="HR1373" s="29"/>
      <c r="HS1373" s="29"/>
      <c r="HT1373" s="29"/>
      <c r="HU1373" s="29"/>
      <c r="HV1373" s="29"/>
      <c r="HW1373" s="29"/>
      <c r="HX1373" s="29"/>
      <c r="HY1373" s="29"/>
      <c r="HZ1373" s="29"/>
      <c r="IA1373" s="29"/>
      <c r="IB1373" s="29"/>
      <c r="IC1373" s="29"/>
      <c r="ID1373" s="29"/>
      <c r="IE1373" s="29"/>
      <c r="IF1373" s="29"/>
      <c r="IG1373" s="29"/>
      <c r="IH1373" s="29"/>
      <c r="II1373" s="29"/>
      <c r="IJ1373" s="29"/>
      <c r="IK1373" s="29"/>
      <c r="IL1373" s="29"/>
      <c r="IM1373" s="29"/>
      <c r="IN1373" s="29"/>
      <c r="IO1373" s="29"/>
      <c r="IP1373" s="29"/>
      <c r="IQ1373" s="29"/>
      <c r="IR1373" s="29"/>
      <c r="IS1373" s="29"/>
      <c r="IT1373" s="29"/>
      <c r="IU1373" s="29"/>
      <c r="IV1373" s="29"/>
      <c r="IW1373" s="29"/>
      <c r="IX1373" s="29"/>
      <c r="IY1373" s="29"/>
      <c r="IZ1373" s="29"/>
      <c r="JA1373" s="29"/>
      <c r="JB1373" s="29"/>
      <c r="JC1373" s="29"/>
      <c r="JD1373" s="29"/>
      <c r="JE1373" s="29"/>
      <c r="JF1373" s="29"/>
      <c r="JG1373" s="29"/>
      <c r="JH1373" s="29"/>
      <c r="JI1373" s="29"/>
      <c r="JJ1373" s="29"/>
      <c r="JK1373" s="29"/>
      <c r="JL1373" s="29"/>
      <c r="JM1373" s="29"/>
      <c r="JN1373" s="29"/>
      <c r="JO1373" s="29"/>
      <c r="JP1373" s="29"/>
      <c r="JQ1373" s="29"/>
      <c r="JR1373" s="29"/>
      <c r="JS1373" s="29"/>
      <c r="JT1373" s="29"/>
      <c r="JU1373" s="29"/>
      <c r="JV1373" s="29"/>
      <c r="JW1373" s="29"/>
      <c r="JX1373" s="29"/>
      <c r="JY1373" s="29"/>
      <c r="JZ1373" s="29"/>
      <c r="KA1373" s="29"/>
      <c r="KB1373" s="29"/>
      <c r="KC1373" s="29"/>
      <c r="KD1373" s="29"/>
      <c r="KE1373" s="29"/>
      <c r="KF1373" s="29"/>
      <c r="KG1373" s="29"/>
      <c r="KH1373" s="29"/>
      <c r="KI1373" s="29"/>
      <c r="KJ1373" s="29"/>
      <c r="KK1373" s="29"/>
      <c r="KL1373" s="29"/>
      <c r="KM1373" s="29"/>
      <c r="KN1373" s="29"/>
      <c r="KO1373" s="29"/>
      <c r="KP1373" s="29"/>
      <c r="KQ1373" s="29"/>
      <c r="KR1373" s="29"/>
      <c r="KS1373" s="29"/>
      <c r="KT1373" s="29"/>
      <c r="KU1373" s="29"/>
      <c r="KV1373" s="29"/>
      <c r="KW1373" s="29"/>
      <c r="KX1373" s="29"/>
      <c r="KY1373" s="29"/>
      <c r="KZ1373" s="29"/>
      <c r="LA1373" s="29"/>
      <c r="LB1373" s="29"/>
      <c r="LC1373" s="29"/>
      <c r="LD1373" s="29"/>
      <c r="LE1373" s="29"/>
      <c r="LF1373" s="29"/>
      <c r="LG1373" s="29"/>
      <c r="LH1373" s="29"/>
      <c r="LI1373" s="29"/>
      <c r="LJ1373" s="29"/>
      <c r="LK1373" s="29"/>
      <c r="LL1373" s="29"/>
      <c r="LM1373" s="29"/>
      <c r="LN1373" s="29"/>
      <c r="LO1373" s="29"/>
      <c r="LP1373" s="29"/>
      <c r="LQ1373" s="29"/>
      <c r="LR1373" s="29"/>
      <c r="LS1373" s="29"/>
      <c r="LT1373" s="29"/>
      <c r="LU1373" s="29"/>
      <c r="LV1373" s="29"/>
      <c r="LW1373" s="29"/>
      <c r="LX1373" s="29"/>
      <c r="LY1373" s="29"/>
      <c r="LZ1373" s="29"/>
      <c r="MA1373" s="29"/>
      <c r="MB1373" s="29"/>
      <c r="MC1373" s="29"/>
      <c r="MD1373" s="29"/>
      <c r="ME1373" s="29"/>
      <c r="MF1373" s="29"/>
      <c r="MG1373" s="29"/>
      <c r="MH1373" s="29"/>
      <c r="MI1373" s="29"/>
      <c r="MJ1373" s="29"/>
      <c r="MK1373" s="29"/>
      <c r="ML1373" s="29"/>
      <c r="MM1373" s="29"/>
      <c r="MN1373" s="29"/>
      <c r="MO1373" s="29"/>
      <c r="MP1373" s="29"/>
      <c r="MQ1373" s="29"/>
      <c r="MR1373" s="29"/>
      <c r="MS1373" s="29"/>
      <c r="MT1373" s="29"/>
      <c r="MU1373" s="29"/>
      <c r="MV1373" s="29"/>
      <c r="MW1373" s="29"/>
      <c r="MX1373" s="29"/>
      <c r="MY1373" s="29"/>
      <c r="MZ1373" s="29"/>
      <c r="NA1373" s="29"/>
      <c r="NB1373" s="29"/>
      <c r="NC1373" s="29"/>
      <c r="ND1373" s="29"/>
      <c r="NE1373" s="29"/>
      <c r="NF1373" s="29"/>
      <c r="NG1373" s="29"/>
      <c r="NH1373" s="29"/>
      <c r="NI1373" s="29"/>
      <c r="NJ1373" s="29"/>
      <c r="NK1373" s="29"/>
      <c r="NL1373" s="29"/>
      <c r="NM1373" s="29"/>
      <c r="NN1373" s="29"/>
      <c r="NO1373" s="29"/>
      <c r="NP1373" s="29"/>
      <c r="NQ1373" s="29"/>
      <c r="NR1373" s="29"/>
      <c r="NS1373" s="29"/>
      <c r="NT1373" s="29"/>
      <c r="NU1373" s="29"/>
      <c r="NV1373" s="29"/>
      <c r="NW1373" s="29"/>
      <c r="NX1373" s="29"/>
      <c r="NY1373" s="29"/>
      <c r="NZ1373" s="29"/>
      <c r="OA1373" s="29"/>
      <c r="OB1373" s="29"/>
      <c r="OC1373" s="29"/>
      <c r="OD1373" s="29"/>
      <c r="OE1373" s="29"/>
      <c r="OF1373" s="29"/>
      <c r="OG1373" s="29"/>
      <c r="OH1373" s="29"/>
      <c r="OI1373" s="29"/>
      <c r="OJ1373" s="29"/>
      <c r="OK1373" s="29"/>
      <c r="OL1373" s="29"/>
      <c r="OM1373" s="29"/>
      <c r="ON1373" s="29"/>
      <c r="OO1373" s="29"/>
      <c r="OP1373" s="29"/>
      <c r="OQ1373" s="29"/>
      <c r="OR1373" s="29"/>
      <c r="OS1373" s="29"/>
      <c r="OT1373" s="29"/>
      <c r="OU1373" s="29"/>
      <c r="OV1373" s="29"/>
      <c r="OW1373" s="29"/>
      <c r="OX1373" s="29"/>
      <c r="OY1373" s="29"/>
      <c r="OZ1373" s="29"/>
      <c r="PA1373" s="29"/>
      <c r="PB1373" s="29"/>
      <c r="PC1373" s="29"/>
      <c r="PD1373" s="29"/>
      <c r="PE1373" s="29"/>
      <c r="PF1373" s="29"/>
      <c r="PG1373" s="29"/>
      <c r="PH1373" s="29"/>
      <c r="PI1373" s="29"/>
      <c r="PJ1373" s="29"/>
      <c r="PK1373" s="29"/>
      <c r="PL1373" s="29"/>
      <c r="PM1373" s="29"/>
      <c r="PN1373" s="29"/>
      <c r="PO1373" s="29"/>
      <c r="PP1373" s="29"/>
      <c r="PQ1373" s="29"/>
      <c r="PR1373" s="29"/>
      <c r="PS1373" s="29"/>
      <c r="PT1373" s="29"/>
      <c r="PU1373" s="29"/>
      <c r="PV1373" s="29"/>
      <c r="PW1373" s="29"/>
      <c r="PX1373" s="29"/>
      <c r="PY1373" s="29"/>
      <c r="PZ1373" s="29"/>
      <c r="QA1373" s="29"/>
      <c r="QB1373" s="29"/>
      <c r="QC1373" s="29"/>
      <c r="QD1373" s="29"/>
      <c r="QE1373" s="29"/>
      <c r="QF1373" s="29"/>
      <c r="QG1373" s="29"/>
      <c r="QH1373" s="29"/>
      <c r="QI1373" s="29"/>
      <c r="QJ1373" s="29"/>
      <c r="QK1373" s="29"/>
      <c r="QL1373" s="29"/>
      <c r="QM1373" s="29"/>
      <c r="QN1373" s="29"/>
      <c r="QO1373" s="29"/>
      <c r="QP1373" s="29"/>
      <c r="QQ1373" s="29"/>
      <c r="QR1373" s="29"/>
      <c r="QS1373" s="29"/>
      <c r="QT1373" s="29"/>
      <c r="QU1373" s="29"/>
      <c r="QV1373" s="29"/>
      <c r="QW1373" s="29"/>
      <c r="QX1373" s="29"/>
      <c r="QY1373" s="29"/>
      <c r="QZ1373" s="29"/>
      <c r="RA1373" s="29"/>
      <c r="RB1373" s="29"/>
      <c r="RC1373" s="29"/>
      <c r="RD1373" s="29"/>
      <c r="RE1373" s="29"/>
      <c r="RF1373" s="29"/>
      <c r="RG1373" s="29"/>
      <c r="RH1373" s="29"/>
      <c r="RI1373" s="29"/>
      <c r="RJ1373" s="29"/>
      <c r="RK1373" s="29"/>
      <c r="RL1373" s="29"/>
      <c r="RM1373" s="29"/>
      <c r="RN1373" s="29"/>
      <c r="RO1373" s="29"/>
      <c r="RP1373" s="29"/>
      <c r="RQ1373" s="29"/>
      <c r="RR1373" s="29"/>
      <c r="RS1373" s="29"/>
      <c r="RT1373" s="29"/>
      <c r="RU1373" s="29"/>
      <c r="RV1373" s="29"/>
      <c r="RW1373" s="29"/>
      <c r="RX1373" s="29"/>
      <c r="RY1373" s="29"/>
      <c r="RZ1373" s="29"/>
      <c r="SA1373" s="29"/>
      <c r="SB1373" s="29"/>
      <c r="SC1373" s="29"/>
      <c r="SD1373" s="29"/>
      <c r="SE1373" s="29"/>
      <c r="SF1373" s="29"/>
      <c r="SG1373" s="29"/>
      <c r="SH1373" s="29"/>
      <c r="SI1373" s="29"/>
      <c r="SJ1373" s="29"/>
      <c r="SK1373" s="29"/>
      <c r="SL1373" s="29"/>
      <c r="SM1373" s="29"/>
      <c r="SN1373" s="29"/>
      <c r="SO1373" s="29"/>
      <c r="SP1373" s="29"/>
      <c r="SQ1373" s="29"/>
      <c r="SR1373" s="29"/>
      <c r="SS1373" s="29"/>
      <c r="ST1373" s="29"/>
      <c r="SU1373" s="29"/>
      <c r="SV1373" s="29"/>
      <c r="SW1373" s="29"/>
      <c r="SX1373" s="29"/>
      <c r="SY1373" s="29"/>
      <c r="SZ1373" s="29"/>
      <c r="TA1373" s="29"/>
      <c r="TB1373" s="29"/>
      <c r="TC1373" s="29"/>
      <c r="TD1373" s="29"/>
      <c r="TE1373" s="29"/>
      <c r="TF1373" s="29"/>
      <c r="TG1373" s="29"/>
      <c r="TH1373" s="29"/>
      <c r="TI1373" s="29"/>
      <c r="TJ1373" s="29"/>
      <c r="TK1373" s="29"/>
      <c r="TL1373" s="29"/>
      <c r="TM1373" s="29"/>
      <c r="TN1373" s="29"/>
      <c r="TO1373" s="29"/>
      <c r="TP1373" s="29"/>
      <c r="TQ1373" s="29"/>
      <c r="TR1373" s="29"/>
      <c r="TS1373" s="29"/>
      <c r="TT1373" s="29"/>
      <c r="TU1373" s="29"/>
      <c r="TV1373" s="29"/>
      <c r="TW1373" s="29"/>
      <c r="TX1373" s="29"/>
      <c r="TY1373" s="29"/>
      <c r="TZ1373" s="29"/>
      <c r="UA1373" s="29"/>
      <c r="UB1373" s="29"/>
      <c r="UC1373" s="29"/>
      <c r="UD1373" s="29"/>
      <c r="UE1373" s="29"/>
      <c r="UF1373" s="29"/>
      <c r="UG1373" s="29"/>
    </row>
    <row r="1374" spans="1:553" s="125" customFormat="1" ht="39.75" customHeight="1">
      <c r="A1374" s="431" t="s">
        <v>15</v>
      </c>
      <c r="B1374" s="814"/>
      <c r="C1374" s="700" t="s">
        <v>213</v>
      </c>
      <c r="D1374" s="1601">
        <v>1</v>
      </c>
      <c r="E1374" s="1597">
        <v>346</v>
      </c>
      <c r="F1374" s="1598">
        <v>1</v>
      </c>
      <c r="G1374" s="1599" t="s">
        <v>1245</v>
      </c>
      <c r="H1374" s="1600"/>
      <c r="I1374" s="543">
        <f t="shared" si="205"/>
        <v>520</v>
      </c>
      <c r="J1374" s="990">
        <v>66000</v>
      </c>
      <c r="K1374" s="584">
        <v>2.5</v>
      </c>
      <c r="L1374" s="1202">
        <f t="shared" si="204"/>
        <v>85800000</v>
      </c>
      <c r="M1374" s="431"/>
      <c r="N1374" s="431"/>
      <c r="O1374" s="431"/>
      <c r="P1374" s="431"/>
      <c r="Q1374" s="815"/>
      <c r="R1374" s="1610"/>
      <c r="S1374" s="308"/>
      <c r="T1374" s="308"/>
      <c r="U1374" s="308"/>
      <c r="V1374" s="308"/>
      <c r="W1374" s="308"/>
      <c r="X1374" s="308"/>
      <c r="Y1374" s="308"/>
      <c r="Z1374" s="604"/>
      <c r="AA1374" s="308"/>
      <c r="AB1374" s="308"/>
      <c r="AC1374" s="1228"/>
      <c r="AD1374" s="1228"/>
      <c r="AE1374" s="1228"/>
      <c r="AF1374" s="1228"/>
      <c r="AG1374" s="1228"/>
      <c r="AH1374" s="1228"/>
      <c r="AI1374" s="1228"/>
      <c r="AJ1374" s="1228"/>
      <c r="AK1374" s="1228"/>
      <c r="AL1374" s="228"/>
      <c r="AM1374" s="203"/>
      <c r="AN1374" s="203"/>
      <c r="AO1374" s="203"/>
      <c r="AP1374" s="203"/>
      <c r="AQ1374" s="203"/>
      <c r="AR1374" s="203"/>
      <c r="AS1374" s="203"/>
      <c r="AT1374" s="203"/>
      <c r="AU1374" s="203"/>
      <c r="AV1374" s="203"/>
      <c r="AW1374" s="203"/>
      <c r="AX1374" s="203"/>
      <c r="AY1374" s="203"/>
      <c r="AZ1374" s="203"/>
      <c r="BA1374" s="203"/>
      <c r="BB1374" s="203"/>
      <c r="BC1374" s="203"/>
      <c r="BD1374" s="203"/>
      <c r="BE1374" s="203"/>
      <c r="BF1374" s="203"/>
      <c r="BG1374" s="203"/>
      <c r="BH1374" s="203"/>
      <c r="BI1374" s="203"/>
      <c r="BJ1374" s="203"/>
      <c r="BK1374" s="203"/>
      <c r="BL1374" s="203"/>
      <c r="BM1374" s="203"/>
      <c r="BN1374" s="203"/>
      <c r="BO1374" s="203"/>
      <c r="BP1374" s="203"/>
      <c r="BQ1374" s="203"/>
      <c r="BR1374" s="203"/>
      <c r="BS1374" s="203"/>
      <c r="BT1374" s="203"/>
      <c r="BU1374" s="203"/>
      <c r="BV1374" s="203"/>
      <c r="BW1374" s="203"/>
      <c r="BX1374" s="203"/>
      <c r="BY1374" s="203"/>
      <c r="BZ1374" s="203"/>
      <c r="CA1374" s="203"/>
      <c r="CB1374" s="203"/>
      <c r="CC1374" s="203"/>
      <c r="CD1374" s="203"/>
      <c r="CE1374" s="203"/>
      <c r="CF1374" s="203"/>
      <c r="CG1374" s="203"/>
      <c r="CH1374" s="203"/>
      <c r="CI1374" s="203"/>
      <c r="CJ1374" s="203"/>
      <c r="CK1374" s="203"/>
      <c r="CL1374" s="203"/>
      <c r="CM1374" s="203"/>
      <c r="CN1374" s="203"/>
      <c r="CO1374" s="203"/>
      <c r="CP1374" s="203"/>
      <c r="CQ1374" s="203"/>
      <c r="CR1374" s="203"/>
      <c r="CS1374" s="203"/>
      <c r="CT1374" s="203"/>
      <c r="CU1374" s="203"/>
      <c r="CV1374" s="203"/>
      <c r="CW1374" s="203"/>
      <c r="CX1374" s="203"/>
      <c r="CY1374" s="203"/>
      <c r="CZ1374" s="203"/>
      <c r="DA1374" s="203"/>
      <c r="DB1374" s="203"/>
      <c r="DC1374" s="203"/>
      <c r="DD1374" s="203"/>
      <c r="DE1374" s="203"/>
      <c r="DF1374" s="203"/>
      <c r="DG1374" s="203"/>
      <c r="DH1374" s="203"/>
      <c r="DI1374" s="203"/>
      <c r="DJ1374" s="203"/>
      <c r="DK1374" s="203"/>
      <c r="DL1374" s="203"/>
      <c r="DM1374" s="203"/>
      <c r="DN1374" s="203"/>
      <c r="DO1374" s="203"/>
      <c r="DP1374" s="203"/>
      <c r="DQ1374" s="203"/>
      <c r="DR1374" s="203"/>
      <c r="DS1374" s="203"/>
      <c r="DT1374" s="203"/>
      <c r="DU1374" s="203"/>
      <c r="DV1374" s="203"/>
      <c r="DW1374" s="203"/>
      <c r="DX1374" s="203"/>
      <c r="DY1374" s="203"/>
      <c r="DZ1374" s="203"/>
      <c r="EA1374" s="203"/>
      <c r="EB1374" s="203"/>
      <c r="EC1374" s="203"/>
      <c r="ED1374" s="203"/>
      <c r="EE1374" s="203"/>
      <c r="EF1374" s="203"/>
      <c r="EG1374" s="203"/>
      <c r="EH1374" s="203"/>
      <c r="EI1374" s="203"/>
      <c r="EJ1374" s="203"/>
      <c r="EK1374" s="203"/>
      <c r="EL1374" s="203"/>
      <c r="EM1374" s="203"/>
      <c r="EN1374" s="203"/>
      <c r="EO1374" s="203"/>
      <c r="EP1374" s="203"/>
      <c r="EQ1374" s="203"/>
      <c r="ER1374" s="203"/>
      <c r="ES1374" s="203"/>
      <c r="ET1374" s="203"/>
      <c r="EU1374" s="203"/>
      <c r="EV1374" s="203"/>
      <c r="EW1374" s="203"/>
      <c r="EX1374" s="203"/>
      <c r="EY1374" s="203"/>
      <c r="EZ1374" s="203"/>
      <c r="FA1374" s="203"/>
      <c r="FB1374" s="203"/>
      <c r="FC1374" s="203"/>
      <c r="FD1374" s="203"/>
      <c r="FE1374" s="203"/>
      <c r="FF1374" s="203"/>
      <c r="FG1374" s="203"/>
      <c r="FH1374" s="203"/>
      <c r="FI1374" s="203"/>
      <c r="FJ1374" s="203"/>
      <c r="FK1374" s="203"/>
      <c r="FL1374" s="203"/>
      <c r="FM1374" s="203"/>
      <c r="FN1374" s="203"/>
      <c r="FO1374" s="203"/>
      <c r="FP1374" s="203"/>
      <c r="FQ1374" s="203"/>
      <c r="FR1374" s="203"/>
      <c r="FS1374" s="203"/>
      <c r="FT1374" s="203"/>
      <c r="FU1374" s="203"/>
      <c r="FV1374" s="203"/>
      <c r="FW1374" s="203"/>
      <c r="FX1374" s="203"/>
      <c r="FY1374" s="203"/>
      <c r="FZ1374" s="203"/>
      <c r="GA1374" s="203"/>
      <c r="GB1374" s="203"/>
      <c r="GC1374" s="203"/>
      <c r="GD1374" s="203"/>
      <c r="GE1374" s="203"/>
      <c r="GF1374" s="203"/>
      <c r="GG1374" s="203"/>
      <c r="GH1374" s="203"/>
      <c r="GI1374" s="203"/>
      <c r="GJ1374" s="203"/>
      <c r="GK1374" s="203"/>
      <c r="GL1374" s="203"/>
      <c r="GM1374" s="203"/>
      <c r="GN1374" s="203"/>
      <c r="GO1374" s="203"/>
      <c r="GP1374" s="203"/>
      <c r="GQ1374" s="203"/>
      <c r="GR1374" s="203"/>
      <c r="GS1374" s="203"/>
      <c r="GT1374" s="203"/>
      <c r="GU1374" s="203"/>
      <c r="GV1374" s="203"/>
      <c r="GW1374" s="203"/>
      <c r="GX1374" s="203"/>
      <c r="GY1374" s="203"/>
      <c r="GZ1374" s="203"/>
      <c r="HA1374" s="203"/>
      <c r="HB1374" s="203"/>
      <c r="HC1374" s="203"/>
      <c r="HD1374" s="203"/>
      <c r="HE1374" s="203"/>
      <c r="HF1374" s="203"/>
      <c r="HG1374" s="203"/>
      <c r="HH1374" s="203"/>
      <c r="HI1374" s="203"/>
      <c r="HJ1374" s="203"/>
      <c r="HK1374" s="203"/>
      <c r="HL1374" s="203"/>
      <c r="HM1374" s="203"/>
      <c r="HN1374" s="203"/>
      <c r="HO1374" s="203"/>
      <c r="HP1374" s="203"/>
      <c r="HQ1374" s="203"/>
      <c r="HR1374" s="203"/>
      <c r="HS1374" s="203"/>
      <c r="HT1374" s="203"/>
      <c r="HU1374" s="203"/>
      <c r="HV1374" s="203"/>
      <c r="HW1374" s="203"/>
      <c r="HX1374" s="203"/>
      <c r="HY1374" s="203"/>
      <c r="HZ1374" s="203"/>
      <c r="IA1374" s="203"/>
      <c r="IB1374" s="203"/>
      <c r="IC1374" s="203"/>
      <c r="ID1374" s="203"/>
      <c r="IE1374" s="203"/>
      <c r="IF1374" s="203"/>
      <c r="IG1374" s="203"/>
      <c r="IH1374" s="203"/>
      <c r="II1374" s="203"/>
      <c r="IJ1374" s="203"/>
      <c r="IK1374" s="203"/>
      <c r="IL1374" s="203"/>
      <c r="IM1374" s="203"/>
      <c r="IN1374" s="203"/>
      <c r="IO1374" s="203"/>
      <c r="IP1374" s="203"/>
      <c r="IQ1374" s="203"/>
      <c r="IR1374" s="203"/>
      <c r="IS1374" s="203"/>
      <c r="IT1374" s="203"/>
      <c r="IU1374" s="203"/>
      <c r="IV1374" s="203"/>
      <c r="IW1374" s="203"/>
      <c r="IX1374" s="203"/>
      <c r="IY1374" s="203"/>
      <c r="IZ1374" s="203"/>
      <c r="JA1374" s="203"/>
      <c r="JB1374" s="203"/>
      <c r="JC1374" s="203"/>
      <c r="JD1374" s="203"/>
      <c r="JE1374" s="203"/>
      <c r="JF1374" s="203"/>
      <c r="JG1374" s="203"/>
      <c r="JH1374" s="203"/>
      <c r="JI1374" s="203"/>
      <c r="JJ1374" s="203"/>
      <c r="JK1374" s="203"/>
      <c r="JL1374" s="203"/>
      <c r="JM1374" s="203"/>
      <c r="JN1374" s="203"/>
      <c r="JO1374" s="203"/>
      <c r="JP1374" s="203"/>
      <c r="JQ1374" s="203"/>
      <c r="JR1374" s="203"/>
      <c r="JS1374" s="203"/>
      <c r="JT1374" s="203"/>
      <c r="JU1374" s="203"/>
      <c r="JV1374" s="203"/>
      <c r="JW1374" s="203"/>
      <c r="JX1374" s="203"/>
      <c r="JY1374" s="203"/>
      <c r="JZ1374" s="203"/>
      <c r="KA1374" s="203"/>
      <c r="KB1374" s="203"/>
      <c r="KC1374" s="203"/>
      <c r="KD1374" s="203"/>
      <c r="KE1374" s="203"/>
      <c r="KF1374" s="203"/>
      <c r="KG1374" s="203"/>
      <c r="KH1374" s="203"/>
      <c r="KI1374" s="203"/>
      <c r="KJ1374" s="203"/>
      <c r="KK1374" s="203"/>
      <c r="KL1374" s="203"/>
      <c r="KM1374" s="203"/>
      <c r="KN1374" s="203"/>
      <c r="KO1374" s="203"/>
      <c r="KP1374" s="203"/>
      <c r="KQ1374" s="203"/>
      <c r="KR1374" s="203"/>
      <c r="KS1374" s="203"/>
      <c r="KT1374" s="203"/>
      <c r="KU1374" s="203"/>
      <c r="KV1374" s="203"/>
      <c r="KW1374" s="203"/>
      <c r="KX1374" s="203"/>
      <c r="KY1374" s="203"/>
      <c r="KZ1374" s="203"/>
      <c r="LA1374" s="203"/>
      <c r="LB1374" s="203"/>
      <c r="LC1374" s="203"/>
      <c r="LD1374" s="203"/>
      <c r="LE1374" s="203"/>
      <c r="LF1374" s="203"/>
      <c r="LG1374" s="203"/>
      <c r="LH1374" s="203"/>
      <c r="LI1374" s="203"/>
      <c r="LJ1374" s="203"/>
      <c r="LK1374" s="203"/>
      <c r="LL1374" s="203"/>
      <c r="LM1374" s="203"/>
      <c r="LN1374" s="203"/>
      <c r="LO1374" s="203"/>
      <c r="LP1374" s="203"/>
      <c r="LQ1374" s="203"/>
      <c r="LR1374" s="203"/>
      <c r="LS1374" s="203"/>
      <c r="LT1374" s="203"/>
      <c r="LU1374" s="203"/>
      <c r="LV1374" s="203"/>
      <c r="LW1374" s="203"/>
      <c r="LX1374" s="203"/>
      <c r="LY1374" s="203"/>
      <c r="LZ1374" s="203"/>
      <c r="MA1374" s="203"/>
      <c r="MB1374" s="203"/>
      <c r="MC1374" s="203"/>
      <c r="MD1374" s="203"/>
      <c r="ME1374" s="203"/>
      <c r="MF1374" s="203"/>
      <c r="MG1374" s="203"/>
      <c r="MH1374" s="203"/>
      <c r="MI1374" s="203"/>
      <c r="MJ1374" s="203"/>
      <c r="MK1374" s="203"/>
      <c r="ML1374" s="203"/>
      <c r="MM1374" s="203"/>
      <c r="MN1374" s="203"/>
      <c r="MO1374" s="203"/>
      <c r="MP1374" s="203"/>
      <c r="MQ1374" s="203"/>
      <c r="MR1374" s="203"/>
      <c r="MS1374" s="203"/>
      <c r="MT1374" s="203"/>
      <c r="MU1374" s="203"/>
      <c r="MV1374" s="203"/>
      <c r="MW1374" s="203"/>
      <c r="MX1374" s="203"/>
      <c r="MY1374" s="203"/>
      <c r="MZ1374" s="203"/>
      <c r="NA1374" s="203"/>
      <c r="NB1374" s="203"/>
      <c r="NC1374" s="203"/>
      <c r="ND1374" s="203"/>
      <c r="NE1374" s="203"/>
      <c r="NF1374" s="203"/>
      <c r="NG1374" s="203"/>
      <c r="NH1374" s="203"/>
      <c r="NI1374" s="203"/>
      <c r="NJ1374" s="203"/>
      <c r="NK1374" s="203"/>
      <c r="NL1374" s="203"/>
      <c r="NM1374" s="203"/>
      <c r="NN1374" s="203"/>
      <c r="NO1374" s="203"/>
      <c r="NP1374" s="203"/>
      <c r="NQ1374" s="203"/>
      <c r="NR1374" s="203"/>
      <c r="NS1374" s="203"/>
      <c r="NT1374" s="203"/>
      <c r="NU1374" s="203"/>
      <c r="NV1374" s="203"/>
      <c r="NW1374" s="203"/>
      <c r="NX1374" s="203"/>
      <c r="NY1374" s="203"/>
      <c r="NZ1374" s="203"/>
      <c r="OA1374" s="203"/>
      <c r="OB1374" s="203"/>
      <c r="OC1374" s="203"/>
      <c r="OD1374" s="203"/>
      <c r="OE1374" s="203"/>
      <c r="OF1374" s="203"/>
      <c r="OG1374" s="203"/>
      <c r="OH1374" s="203"/>
      <c r="OI1374" s="203"/>
      <c r="OJ1374" s="203"/>
      <c r="OK1374" s="203"/>
      <c r="OL1374" s="203"/>
      <c r="OM1374" s="203"/>
      <c r="ON1374" s="203"/>
      <c r="OO1374" s="203"/>
      <c r="OP1374" s="203"/>
      <c r="OQ1374" s="203"/>
      <c r="OR1374" s="203"/>
      <c r="OS1374" s="203"/>
      <c r="OT1374" s="203"/>
      <c r="OU1374" s="203"/>
      <c r="OV1374" s="203"/>
      <c r="OW1374" s="203"/>
      <c r="OX1374" s="203"/>
      <c r="OY1374" s="203"/>
      <c r="OZ1374" s="203"/>
      <c r="PA1374" s="203"/>
      <c r="PB1374" s="203"/>
      <c r="PC1374" s="203"/>
      <c r="PD1374" s="203"/>
      <c r="PE1374" s="203"/>
      <c r="PF1374" s="203"/>
      <c r="PG1374" s="203"/>
      <c r="PH1374" s="203"/>
      <c r="PI1374" s="203"/>
      <c r="PJ1374" s="203"/>
      <c r="PK1374" s="203"/>
      <c r="PL1374" s="203"/>
      <c r="PM1374" s="203"/>
      <c r="PN1374" s="203"/>
      <c r="PO1374" s="203"/>
      <c r="PP1374" s="203"/>
      <c r="PQ1374" s="203"/>
      <c r="PR1374" s="203"/>
      <c r="PS1374" s="203"/>
      <c r="PT1374" s="203"/>
      <c r="PU1374" s="203"/>
      <c r="PV1374" s="203"/>
      <c r="PW1374" s="203"/>
      <c r="PX1374" s="203"/>
      <c r="PY1374" s="203"/>
      <c r="PZ1374" s="203"/>
      <c r="QA1374" s="203"/>
      <c r="QB1374" s="203"/>
      <c r="QC1374" s="203"/>
      <c r="QD1374" s="203"/>
      <c r="QE1374" s="203"/>
      <c r="QF1374" s="203"/>
      <c r="QG1374" s="203"/>
      <c r="QH1374" s="203"/>
      <c r="QI1374" s="203"/>
      <c r="QJ1374" s="203"/>
      <c r="QK1374" s="203"/>
      <c r="QL1374" s="203"/>
      <c r="QM1374" s="203"/>
      <c r="QN1374" s="203"/>
      <c r="QO1374" s="203"/>
      <c r="QP1374" s="203"/>
      <c r="QQ1374" s="203"/>
      <c r="QR1374" s="203"/>
      <c r="QS1374" s="203"/>
      <c r="QT1374" s="203"/>
      <c r="QU1374" s="203"/>
      <c r="QV1374" s="203"/>
      <c r="QW1374" s="203"/>
      <c r="QX1374" s="203"/>
      <c r="QY1374" s="203"/>
      <c r="QZ1374" s="203"/>
      <c r="RA1374" s="203"/>
      <c r="RB1374" s="203"/>
      <c r="RC1374" s="203"/>
      <c r="RD1374" s="203"/>
      <c r="RE1374" s="203"/>
      <c r="RF1374" s="203"/>
      <c r="RG1374" s="203"/>
      <c r="RH1374" s="203"/>
      <c r="RI1374" s="203"/>
      <c r="RJ1374" s="203"/>
      <c r="RK1374" s="203"/>
      <c r="RL1374" s="203"/>
      <c r="RM1374" s="203"/>
      <c r="RN1374" s="203"/>
      <c r="RO1374" s="203"/>
      <c r="RP1374" s="203"/>
      <c r="RQ1374" s="203"/>
      <c r="RR1374" s="203"/>
      <c r="RS1374" s="203"/>
      <c r="RT1374" s="203"/>
      <c r="RU1374" s="203"/>
      <c r="RV1374" s="203"/>
      <c r="RW1374" s="203"/>
      <c r="RX1374" s="203"/>
      <c r="RY1374" s="203"/>
      <c r="RZ1374" s="203"/>
      <c r="SA1374" s="203"/>
      <c r="SB1374" s="203"/>
      <c r="SC1374" s="203"/>
      <c r="SD1374" s="203"/>
      <c r="SE1374" s="203"/>
      <c r="SF1374" s="203"/>
      <c r="SG1374" s="203"/>
      <c r="SH1374" s="203"/>
      <c r="SI1374" s="203"/>
      <c r="SJ1374" s="203"/>
      <c r="SK1374" s="203"/>
      <c r="SL1374" s="203"/>
      <c r="SM1374" s="203"/>
      <c r="SN1374" s="203"/>
      <c r="SO1374" s="203"/>
      <c r="SP1374" s="203"/>
      <c r="SQ1374" s="203"/>
      <c r="SR1374" s="203"/>
      <c r="SS1374" s="203"/>
      <c r="ST1374" s="203"/>
      <c r="SU1374" s="203"/>
      <c r="SV1374" s="203"/>
      <c r="SW1374" s="203"/>
      <c r="SX1374" s="203"/>
      <c r="SY1374" s="203"/>
      <c r="SZ1374" s="203"/>
      <c r="TA1374" s="203"/>
      <c r="TB1374" s="203"/>
      <c r="TC1374" s="203"/>
      <c r="TD1374" s="203"/>
      <c r="TE1374" s="203"/>
      <c r="TF1374" s="203"/>
      <c r="TG1374" s="203"/>
      <c r="TH1374" s="203"/>
      <c r="TI1374" s="203"/>
      <c r="TJ1374" s="203"/>
      <c r="TK1374" s="203"/>
      <c r="TL1374" s="203"/>
      <c r="TM1374" s="203"/>
      <c r="TN1374" s="203"/>
      <c r="TO1374" s="203"/>
      <c r="TP1374" s="203"/>
      <c r="TQ1374" s="203"/>
      <c r="TR1374" s="203"/>
      <c r="TS1374" s="203"/>
      <c r="TT1374" s="203"/>
      <c r="TU1374" s="203"/>
      <c r="TV1374" s="203"/>
      <c r="TW1374" s="203"/>
      <c r="TX1374" s="203"/>
      <c r="TY1374" s="203"/>
      <c r="TZ1374" s="203"/>
      <c r="UA1374" s="203"/>
      <c r="UB1374" s="203"/>
      <c r="UC1374" s="203"/>
      <c r="UD1374" s="203"/>
      <c r="UE1374" s="203"/>
      <c r="UF1374" s="203"/>
      <c r="UG1374" s="203"/>
    </row>
    <row r="1375" spans="1:553" s="125" customFormat="1" ht="39.75" customHeight="1">
      <c r="A1375" s="431" t="s">
        <v>15</v>
      </c>
      <c r="B1375" s="814"/>
      <c r="C1375" s="695" t="s">
        <v>719</v>
      </c>
      <c r="D1375" s="1433"/>
      <c r="E1375" s="1434"/>
      <c r="F1375" s="1433"/>
      <c r="G1375" s="1434"/>
      <c r="H1375" s="1433"/>
      <c r="I1375" s="543">
        <f t="shared" si="205"/>
        <v>326.70000000000005</v>
      </c>
      <c r="J1375" s="990">
        <v>62000</v>
      </c>
      <c r="K1375" s="584">
        <v>2.5</v>
      </c>
      <c r="L1375" s="1202">
        <f>I1375*J1375*K1375</f>
        <v>50638500.000000007</v>
      </c>
      <c r="M1375" s="431"/>
      <c r="N1375" s="431"/>
      <c r="O1375" s="431"/>
      <c r="P1375" s="431"/>
      <c r="Q1375" s="815"/>
      <c r="R1375" s="1610"/>
      <c r="S1375" s="308"/>
      <c r="T1375" s="308"/>
      <c r="U1375" s="308"/>
      <c r="V1375" s="308"/>
      <c r="W1375" s="308"/>
      <c r="X1375" s="308"/>
      <c r="Y1375" s="308"/>
      <c r="Z1375" s="604"/>
      <c r="AA1375" s="308"/>
      <c r="AB1375" s="308"/>
      <c r="AC1375" s="1228"/>
      <c r="AD1375" s="1228"/>
      <c r="AE1375" s="1228"/>
      <c r="AF1375" s="1228"/>
      <c r="AG1375" s="1228"/>
      <c r="AH1375" s="1228"/>
      <c r="AI1375" s="1228"/>
      <c r="AJ1375" s="1228"/>
      <c r="AK1375" s="1228"/>
      <c r="AL1375" s="228"/>
      <c r="AM1375" s="203"/>
      <c r="AN1375" s="203"/>
      <c r="AO1375" s="203"/>
      <c r="AP1375" s="203"/>
      <c r="AQ1375" s="203"/>
      <c r="AR1375" s="203"/>
      <c r="AS1375" s="203"/>
      <c r="AT1375" s="203"/>
      <c r="AU1375" s="203"/>
      <c r="AV1375" s="203"/>
      <c r="AW1375" s="203"/>
      <c r="AX1375" s="203"/>
      <c r="AY1375" s="203"/>
      <c r="AZ1375" s="203"/>
      <c r="BA1375" s="203"/>
      <c r="BB1375" s="203"/>
      <c r="BC1375" s="203"/>
      <c r="BD1375" s="203"/>
      <c r="BE1375" s="203"/>
      <c r="BF1375" s="203"/>
      <c r="BG1375" s="203"/>
      <c r="BH1375" s="203"/>
      <c r="BI1375" s="203"/>
      <c r="BJ1375" s="203"/>
      <c r="BK1375" s="203"/>
      <c r="BL1375" s="203"/>
      <c r="BM1375" s="203"/>
      <c r="BN1375" s="203"/>
      <c r="BO1375" s="203"/>
      <c r="BP1375" s="203"/>
      <c r="BQ1375" s="203"/>
      <c r="BR1375" s="203"/>
      <c r="BS1375" s="203"/>
      <c r="BT1375" s="203"/>
      <c r="BU1375" s="203"/>
      <c r="BV1375" s="203"/>
      <c r="BW1375" s="203"/>
      <c r="BX1375" s="203"/>
      <c r="BY1375" s="203"/>
      <c r="BZ1375" s="203"/>
      <c r="CA1375" s="203"/>
      <c r="CB1375" s="203"/>
      <c r="CC1375" s="203"/>
      <c r="CD1375" s="203"/>
      <c r="CE1375" s="203"/>
      <c r="CF1375" s="203"/>
      <c r="CG1375" s="203"/>
      <c r="CH1375" s="203"/>
      <c r="CI1375" s="203"/>
      <c r="CJ1375" s="203"/>
      <c r="CK1375" s="203"/>
      <c r="CL1375" s="203"/>
      <c r="CM1375" s="203"/>
      <c r="CN1375" s="203"/>
      <c r="CO1375" s="203"/>
      <c r="CP1375" s="203"/>
      <c r="CQ1375" s="203"/>
      <c r="CR1375" s="203"/>
      <c r="CS1375" s="203"/>
      <c r="CT1375" s="203"/>
      <c r="CU1375" s="203"/>
      <c r="CV1375" s="203"/>
      <c r="CW1375" s="203"/>
      <c r="CX1375" s="203"/>
      <c r="CY1375" s="203"/>
      <c r="CZ1375" s="203"/>
      <c r="DA1375" s="203"/>
      <c r="DB1375" s="203"/>
      <c r="DC1375" s="203"/>
      <c r="DD1375" s="203"/>
      <c r="DE1375" s="203"/>
      <c r="DF1375" s="203"/>
      <c r="DG1375" s="203"/>
      <c r="DH1375" s="203"/>
      <c r="DI1375" s="203"/>
      <c r="DJ1375" s="203"/>
      <c r="DK1375" s="203"/>
      <c r="DL1375" s="203"/>
      <c r="DM1375" s="203"/>
      <c r="DN1375" s="203"/>
      <c r="DO1375" s="203"/>
      <c r="DP1375" s="203"/>
      <c r="DQ1375" s="203"/>
      <c r="DR1375" s="203"/>
      <c r="DS1375" s="203"/>
      <c r="DT1375" s="203"/>
      <c r="DU1375" s="203"/>
      <c r="DV1375" s="203"/>
      <c r="DW1375" s="203"/>
      <c r="DX1375" s="203"/>
      <c r="DY1375" s="203"/>
      <c r="DZ1375" s="203"/>
      <c r="EA1375" s="203"/>
      <c r="EB1375" s="203"/>
      <c r="EC1375" s="203"/>
      <c r="ED1375" s="203"/>
      <c r="EE1375" s="203"/>
      <c r="EF1375" s="203"/>
      <c r="EG1375" s="203"/>
      <c r="EH1375" s="203"/>
      <c r="EI1375" s="203"/>
      <c r="EJ1375" s="203"/>
      <c r="EK1375" s="203"/>
      <c r="EL1375" s="203"/>
      <c r="EM1375" s="203"/>
      <c r="EN1375" s="203"/>
      <c r="EO1375" s="203"/>
      <c r="EP1375" s="203"/>
      <c r="EQ1375" s="203"/>
      <c r="ER1375" s="203"/>
      <c r="ES1375" s="203"/>
      <c r="ET1375" s="203"/>
      <c r="EU1375" s="203"/>
      <c r="EV1375" s="203"/>
      <c r="EW1375" s="203"/>
      <c r="EX1375" s="203"/>
      <c r="EY1375" s="203"/>
      <c r="EZ1375" s="203"/>
      <c r="FA1375" s="203"/>
      <c r="FB1375" s="203"/>
      <c r="FC1375" s="203"/>
      <c r="FD1375" s="203"/>
      <c r="FE1375" s="203"/>
      <c r="FF1375" s="203"/>
      <c r="FG1375" s="203"/>
      <c r="FH1375" s="203"/>
      <c r="FI1375" s="203"/>
      <c r="FJ1375" s="203"/>
      <c r="FK1375" s="203"/>
      <c r="FL1375" s="203"/>
      <c r="FM1375" s="203"/>
      <c r="FN1375" s="203"/>
      <c r="FO1375" s="203"/>
      <c r="FP1375" s="203"/>
      <c r="FQ1375" s="203"/>
      <c r="FR1375" s="203"/>
      <c r="FS1375" s="203"/>
      <c r="FT1375" s="203"/>
      <c r="FU1375" s="203"/>
      <c r="FV1375" s="203"/>
      <c r="FW1375" s="203"/>
      <c r="FX1375" s="203"/>
      <c r="FY1375" s="203"/>
      <c r="FZ1375" s="203"/>
      <c r="GA1375" s="203"/>
      <c r="GB1375" s="203"/>
      <c r="GC1375" s="203"/>
      <c r="GD1375" s="203"/>
      <c r="GE1375" s="203"/>
      <c r="GF1375" s="203"/>
      <c r="GG1375" s="203"/>
      <c r="GH1375" s="203"/>
      <c r="GI1375" s="203"/>
      <c r="GJ1375" s="203"/>
      <c r="GK1375" s="203"/>
      <c r="GL1375" s="203"/>
      <c r="GM1375" s="203"/>
      <c r="GN1375" s="203"/>
      <c r="GO1375" s="203"/>
      <c r="GP1375" s="203"/>
      <c r="GQ1375" s="203"/>
      <c r="GR1375" s="203"/>
      <c r="GS1375" s="203"/>
      <c r="GT1375" s="203"/>
      <c r="GU1375" s="203"/>
      <c r="GV1375" s="203"/>
      <c r="GW1375" s="203"/>
      <c r="GX1375" s="203"/>
      <c r="GY1375" s="203"/>
      <c r="GZ1375" s="203"/>
      <c r="HA1375" s="203"/>
      <c r="HB1375" s="203"/>
      <c r="HC1375" s="203"/>
      <c r="HD1375" s="203"/>
      <c r="HE1375" s="203"/>
      <c r="HF1375" s="203"/>
      <c r="HG1375" s="203"/>
      <c r="HH1375" s="203"/>
      <c r="HI1375" s="203"/>
      <c r="HJ1375" s="203"/>
      <c r="HK1375" s="203"/>
      <c r="HL1375" s="203"/>
      <c r="HM1375" s="203"/>
      <c r="HN1375" s="203"/>
      <c r="HO1375" s="203"/>
      <c r="HP1375" s="203"/>
      <c r="HQ1375" s="203"/>
      <c r="HR1375" s="203"/>
      <c r="HS1375" s="203"/>
      <c r="HT1375" s="203"/>
      <c r="HU1375" s="203"/>
      <c r="HV1375" s="203"/>
      <c r="HW1375" s="203"/>
      <c r="HX1375" s="203"/>
      <c r="HY1375" s="203"/>
      <c r="HZ1375" s="203"/>
      <c r="IA1375" s="203"/>
      <c r="IB1375" s="203"/>
      <c r="IC1375" s="203"/>
      <c r="ID1375" s="203"/>
      <c r="IE1375" s="203"/>
      <c r="IF1375" s="203"/>
      <c r="IG1375" s="203"/>
      <c r="IH1375" s="203"/>
      <c r="II1375" s="203"/>
      <c r="IJ1375" s="203"/>
      <c r="IK1375" s="203"/>
      <c r="IL1375" s="203"/>
      <c r="IM1375" s="203"/>
      <c r="IN1375" s="203"/>
      <c r="IO1375" s="203"/>
      <c r="IP1375" s="203"/>
      <c r="IQ1375" s="203"/>
      <c r="IR1375" s="203"/>
      <c r="IS1375" s="203"/>
      <c r="IT1375" s="203"/>
      <c r="IU1375" s="203"/>
      <c r="IV1375" s="203"/>
      <c r="IW1375" s="203"/>
      <c r="IX1375" s="203"/>
      <c r="IY1375" s="203"/>
      <c r="IZ1375" s="203"/>
      <c r="JA1375" s="203"/>
      <c r="JB1375" s="203"/>
      <c r="JC1375" s="203"/>
      <c r="JD1375" s="203"/>
      <c r="JE1375" s="203"/>
      <c r="JF1375" s="203"/>
      <c r="JG1375" s="203"/>
      <c r="JH1375" s="203"/>
      <c r="JI1375" s="203"/>
      <c r="JJ1375" s="203"/>
      <c r="JK1375" s="203"/>
      <c r="JL1375" s="203"/>
      <c r="JM1375" s="203"/>
      <c r="JN1375" s="203"/>
      <c r="JO1375" s="203"/>
      <c r="JP1375" s="203"/>
      <c r="JQ1375" s="203"/>
      <c r="JR1375" s="203"/>
      <c r="JS1375" s="203"/>
      <c r="JT1375" s="203"/>
      <c r="JU1375" s="203"/>
      <c r="JV1375" s="203"/>
      <c r="JW1375" s="203"/>
      <c r="JX1375" s="203"/>
      <c r="JY1375" s="203"/>
      <c r="JZ1375" s="203"/>
      <c r="KA1375" s="203"/>
      <c r="KB1375" s="203"/>
      <c r="KC1375" s="203"/>
      <c r="KD1375" s="203"/>
      <c r="KE1375" s="203"/>
      <c r="KF1375" s="203"/>
      <c r="KG1375" s="203"/>
      <c r="KH1375" s="203"/>
      <c r="KI1375" s="203"/>
      <c r="KJ1375" s="203"/>
      <c r="KK1375" s="203"/>
      <c r="KL1375" s="203"/>
      <c r="KM1375" s="203"/>
      <c r="KN1375" s="203"/>
      <c r="KO1375" s="203"/>
      <c r="KP1375" s="203"/>
      <c r="KQ1375" s="203"/>
      <c r="KR1375" s="203"/>
      <c r="KS1375" s="203"/>
      <c r="KT1375" s="203"/>
      <c r="KU1375" s="203"/>
      <c r="KV1375" s="203"/>
      <c r="KW1375" s="203"/>
      <c r="KX1375" s="203"/>
      <c r="KY1375" s="203"/>
      <c r="KZ1375" s="203"/>
      <c r="LA1375" s="203"/>
      <c r="LB1375" s="203"/>
      <c r="LC1375" s="203"/>
      <c r="LD1375" s="203"/>
      <c r="LE1375" s="203"/>
      <c r="LF1375" s="203"/>
      <c r="LG1375" s="203"/>
      <c r="LH1375" s="203"/>
      <c r="LI1375" s="203"/>
      <c r="LJ1375" s="203"/>
      <c r="LK1375" s="203"/>
      <c r="LL1375" s="203"/>
      <c r="LM1375" s="203"/>
      <c r="LN1375" s="203"/>
      <c r="LO1375" s="203"/>
      <c r="LP1375" s="203"/>
      <c r="LQ1375" s="203"/>
      <c r="LR1375" s="203"/>
      <c r="LS1375" s="203"/>
      <c r="LT1375" s="203"/>
      <c r="LU1375" s="203"/>
      <c r="LV1375" s="203"/>
      <c r="LW1375" s="203"/>
      <c r="LX1375" s="203"/>
      <c r="LY1375" s="203"/>
      <c r="LZ1375" s="203"/>
      <c r="MA1375" s="203"/>
      <c r="MB1375" s="203"/>
      <c r="MC1375" s="203"/>
      <c r="MD1375" s="203"/>
      <c r="ME1375" s="203"/>
      <c r="MF1375" s="203"/>
      <c r="MG1375" s="203"/>
      <c r="MH1375" s="203"/>
      <c r="MI1375" s="203"/>
      <c r="MJ1375" s="203"/>
      <c r="MK1375" s="203"/>
      <c r="ML1375" s="203"/>
      <c r="MM1375" s="203"/>
      <c r="MN1375" s="203"/>
      <c r="MO1375" s="203"/>
      <c r="MP1375" s="203"/>
      <c r="MQ1375" s="203"/>
      <c r="MR1375" s="203"/>
      <c r="MS1375" s="203"/>
      <c r="MT1375" s="203"/>
      <c r="MU1375" s="203"/>
      <c r="MV1375" s="203"/>
      <c r="MW1375" s="203"/>
      <c r="MX1375" s="203"/>
      <c r="MY1375" s="203"/>
      <c r="MZ1375" s="203"/>
      <c r="NA1375" s="203"/>
      <c r="NB1375" s="203"/>
      <c r="NC1375" s="203"/>
      <c r="ND1375" s="203"/>
      <c r="NE1375" s="203"/>
      <c r="NF1375" s="203"/>
      <c r="NG1375" s="203"/>
      <c r="NH1375" s="203"/>
      <c r="NI1375" s="203"/>
      <c r="NJ1375" s="203"/>
      <c r="NK1375" s="203"/>
      <c r="NL1375" s="203"/>
      <c r="NM1375" s="203"/>
      <c r="NN1375" s="203"/>
      <c r="NO1375" s="203"/>
      <c r="NP1375" s="203"/>
      <c r="NQ1375" s="203"/>
      <c r="NR1375" s="203"/>
      <c r="NS1375" s="203"/>
      <c r="NT1375" s="203"/>
      <c r="NU1375" s="203"/>
      <c r="NV1375" s="203"/>
      <c r="NW1375" s="203"/>
      <c r="NX1375" s="203"/>
      <c r="NY1375" s="203"/>
      <c r="NZ1375" s="203"/>
      <c r="OA1375" s="203"/>
      <c r="OB1375" s="203"/>
      <c r="OC1375" s="203"/>
      <c r="OD1375" s="203"/>
      <c r="OE1375" s="203"/>
      <c r="OF1375" s="203"/>
      <c r="OG1375" s="203"/>
      <c r="OH1375" s="203"/>
      <c r="OI1375" s="203"/>
      <c r="OJ1375" s="203"/>
      <c r="OK1375" s="203"/>
      <c r="OL1375" s="203"/>
      <c r="OM1375" s="203"/>
      <c r="ON1375" s="203"/>
      <c r="OO1375" s="203"/>
      <c r="OP1375" s="203"/>
      <c r="OQ1375" s="203"/>
      <c r="OR1375" s="203"/>
      <c r="OS1375" s="203"/>
      <c r="OT1375" s="203"/>
      <c r="OU1375" s="203"/>
      <c r="OV1375" s="203"/>
      <c r="OW1375" s="203"/>
      <c r="OX1375" s="203"/>
      <c r="OY1375" s="203"/>
      <c r="OZ1375" s="203"/>
      <c r="PA1375" s="203"/>
      <c r="PB1375" s="203"/>
      <c r="PC1375" s="203"/>
      <c r="PD1375" s="203"/>
      <c r="PE1375" s="203"/>
      <c r="PF1375" s="203"/>
      <c r="PG1375" s="203"/>
      <c r="PH1375" s="203"/>
      <c r="PI1375" s="203"/>
      <c r="PJ1375" s="203"/>
      <c r="PK1375" s="203"/>
      <c r="PL1375" s="203"/>
      <c r="PM1375" s="203"/>
      <c r="PN1375" s="203"/>
      <c r="PO1375" s="203"/>
      <c r="PP1375" s="203"/>
      <c r="PQ1375" s="203"/>
      <c r="PR1375" s="203"/>
      <c r="PS1375" s="203"/>
      <c r="PT1375" s="203"/>
      <c r="PU1375" s="203"/>
      <c r="PV1375" s="203"/>
      <c r="PW1375" s="203"/>
      <c r="PX1375" s="203"/>
      <c r="PY1375" s="203"/>
      <c r="PZ1375" s="203"/>
      <c r="QA1375" s="203"/>
      <c r="QB1375" s="203"/>
      <c r="QC1375" s="203"/>
      <c r="QD1375" s="203"/>
      <c r="QE1375" s="203"/>
      <c r="QF1375" s="203"/>
      <c r="QG1375" s="203"/>
      <c r="QH1375" s="203"/>
      <c r="QI1375" s="203"/>
      <c r="QJ1375" s="203"/>
      <c r="QK1375" s="203"/>
      <c r="QL1375" s="203"/>
      <c r="QM1375" s="203"/>
      <c r="QN1375" s="203"/>
      <c r="QO1375" s="203"/>
      <c r="QP1375" s="203"/>
      <c r="QQ1375" s="203"/>
      <c r="QR1375" s="203"/>
      <c r="QS1375" s="203"/>
      <c r="QT1375" s="203"/>
      <c r="QU1375" s="203"/>
      <c r="QV1375" s="203"/>
      <c r="QW1375" s="203"/>
      <c r="QX1375" s="203"/>
      <c r="QY1375" s="203"/>
      <c r="QZ1375" s="203"/>
      <c r="RA1375" s="203"/>
      <c r="RB1375" s="203"/>
      <c r="RC1375" s="203"/>
      <c r="RD1375" s="203"/>
      <c r="RE1375" s="203"/>
      <c r="RF1375" s="203"/>
      <c r="RG1375" s="203"/>
      <c r="RH1375" s="203"/>
      <c r="RI1375" s="203"/>
      <c r="RJ1375" s="203"/>
      <c r="RK1375" s="203"/>
      <c r="RL1375" s="203"/>
      <c r="RM1375" s="203"/>
      <c r="RN1375" s="203"/>
      <c r="RO1375" s="203"/>
      <c r="RP1375" s="203"/>
      <c r="RQ1375" s="203"/>
      <c r="RR1375" s="203"/>
      <c r="RS1375" s="203"/>
      <c r="RT1375" s="203"/>
      <c r="RU1375" s="203"/>
      <c r="RV1375" s="203"/>
      <c r="RW1375" s="203"/>
      <c r="RX1375" s="203"/>
      <c r="RY1375" s="203"/>
      <c r="RZ1375" s="203"/>
      <c r="SA1375" s="203"/>
      <c r="SB1375" s="203"/>
      <c r="SC1375" s="203"/>
      <c r="SD1375" s="203"/>
      <c r="SE1375" s="203"/>
      <c r="SF1375" s="203"/>
      <c r="SG1375" s="203"/>
      <c r="SH1375" s="203"/>
      <c r="SI1375" s="203"/>
      <c r="SJ1375" s="203"/>
      <c r="SK1375" s="203"/>
      <c r="SL1375" s="203"/>
      <c r="SM1375" s="203"/>
      <c r="SN1375" s="203"/>
      <c r="SO1375" s="203"/>
      <c r="SP1375" s="203"/>
      <c r="SQ1375" s="203"/>
      <c r="SR1375" s="203"/>
      <c r="SS1375" s="203"/>
      <c r="ST1375" s="203"/>
      <c r="SU1375" s="203"/>
      <c r="SV1375" s="203"/>
      <c r="SW1375" s="203"/>
      <c r="SX1375" s="203"/>
      <c r="SY1375" s="203"/>
      <c r="SZ1375" s="203"/>
      <c r="TA1375" s="203"/>
      <c r="TB1375" s="203"/>
      <c r="TC1375" s="203"/>
      <c r="TD1375" s="203"/>
      <c r="TE1375" s="203"/>
      <c r="TF1375" s="203"/>
      <c r="TG1375" s="203"/>
      <c r="TH1375" s="203"/>
      <c r="TI1375" s="203"/>
      <c r="TJ1375" s="203"/>
      <c r="TK1375" s="203"/>
      <c r="TL1375" s="203"/>
      <c r="TM1375" s="203"/>
      <c r="TN1375" s="203"/>
      <c r="TO1375" s="203"/>
      <c r="TP1375" s="203"/>
      <c r="TQ1375" s="203"/>
      <c r="TR1375" s="203"/>
      <c r="TS1375" s="203"/>
      <c r="TT1375" s="203"/>
      <c r="TU1375" s="203"/>
      <c r="TV1375" s="203"/>
      <c r="TW1375" s="203"/>
      <c r="TX1375" s="203"/>
      <c r="TY1375" s="203"/>
      <c r="TZ1375" s="203"/>
      <c r="UA1375" s="203"/>
      <c r="UB1375" s="203"/>
      <c r="UC1375" s="203"/>
      <c r="UD1375" s="203"/>
      <c r="UE1375" s="203"/>
      <c r="UF1375" s="203"/>
      <c r="UG1375" s="203"/>
    </row>
    <row r="1376" spans="1:553" s="182" customFormat="1" ht="27.65" customHeight="1">
      <c r="A1376" s="356" t="s">
        <v>61</v>
      </c>
      <c r="B1376" s="535"/>
      <c r="C1376" s="733" t="s">
        <v>1012</v>
      </c>
      <c r="D1376" s="537"/>
      <c r="E1376" s="537"/>
      <c r="F1376" s="428"/>
      <c r="G1376" s="429"/>
      <c r="H1376" s="359"/>
      <c r="I1376" s="788"/>
      <c r="J1376" s="999"/>
      <c r="K1376" s="816"/>
      <c r="L1376" s="1203">
        <f>SUM(L1377:L1378)</f>
        <v>5553900.0000000009</v>
      </c>
      <c r="M1376" s="356"/>
      <c r="N1376" s="356"/>
      <c r="O1376" s="356"/>
      <c r="P1376" s="356">
        <f>L1376</f>
        <v>5553900.0000000009</v>
      </c>
      <c r="Q1376" s="610"/>
      <c r="R1376" s="411"/>
      <c r="S1376" s="308"/>
      <c r="T1376" s="308"/>
      <c r="U1376" s="308"/>
      <c r="V1376" s="308"/>
      <c r="W1376" s="308"/>
      <c r="X1376" s="308"/>
      <c r="Y1376" s="308"/>
      <c r="Z1376" s="604"/>
      <c r="AA1376" s="308"/>
      <c r="AB1376" s="308"/>
      <c r="AC1376" s="454"/>
      <c r="AD1376" s="454"/>
      <c r="AE1376" s="454"/>
      <c r="AF1376" s="454"/>
      <c r="AG1376" s="454"/>
      <c r="AH1376" s="454"/>
      <c r="AI1376" s="454"/>
      <c r="AJ1376" s="454"/>
      <c r="AK1376" s="455"/>
      <c r="AL1376" s="110"/>
      <c r="AM1376" s="34"/>
      <c r="AN1376" s="34"/>
      <c r="AO1376" s="34"/>
      <c r="AP1376" s="34"/>
      <c r="AQ1376" s="34"/>
      <c r="AR1376" s="34"/>
      <c r="AS1376" s="35"/>
      <c r="AT1376" s="35"/>
      <c r="AU1376" s="35"/>
      <c r="AV1376" s="35"/>
      <c r="AW1376" s="35"/>
      <c r="AX1376" s="35"/>
      <c r="AY1376" s="35"/>
      <c r="AZ1376" s="35"/>
      <c r="BA1376" s="35"/>
      <c r="BB1376" s="35"/>
      <c r="BC1376" s="35"/>
      <c r="BD1376" s="35"/>
      <c r="BE1376" s="35"/>
      <c r="BF1376" s="35"/>
      <c r="BG1376" s="35"/>
      <c r="BH1376" s="35"/>
      <c r="BI1376" s="35"/>
      <c r="BJ1376" s="35"/>
      <c r="BK1376" s="35"/>
      <c r="BL1376" s="35"/>
      <c r="BM1376" s="35"/>
      <c r="BN1376" s="35"/>
      <c r="BO1376" s="35"/>
      <c r="BP1376" s="35"/>
      <c r="BQ1376" s="35"/>
      <c r="BR1376" s="35"/>
      <c r="BS1376" s="35"/>
      <c r="BT1376" s="35"/>
      <c r="BU1376" s="35"/>
      <c r="BV1376" s="35"/>
      <c r="BW1376" s="35"/>
      <c r="BX1376" s="35"/>
      <c r="BY1376" s="35"/>
      <c r="BZ1376" s="35"/>
      <c r="CA1376" s="35"/>
      <c r="CB1376" s="35"/>
      <c r="CC1376" s="35"/>
      <c r="CD1376" s="35"/>
      <c r="CE1376" s="35"/>
      <c r="CF1376" s="35"/>
      <c r="CG1376" s="35"/>
      <c r="CH1376" s="35"/>
      <c r="CI1376" s="35"/>
      <c r="CJ1376" s="35"/>
      <c r="CK1376" s="35"/>
      <c r="CL1376" s="35"/>
      <c r="CM1376" s="35"/>
      <c r="CN1376" s="35"/>
      <c r="CO1376" s="35"/>
      <c r="CP1376" s="35"/>
      <c r="CQ1376" s="35"/>
      <c r="CR1376" s="35"/>
      <c r="CS1376" s="35"/>
      <c r="CT1376" s="35"/>
      <c r="CU1376" s="35"/>
      <c r="CV1376" s="35"/>
      <c r="CW1376" s="35"/>
      <c r="CX1376" s="35"/>
      <c r="CY1376" s="35"/>
      <c r="CZ1376" s="35"/>
      <c r="DA1376" s="35"/>
      <c r="DB1376" s="35"/>
      <c r="DC1376" s="35"/>
      <c r="DD1376" s="35"/>
      <c r="DE1376" s="35"/>
      <c r="DF1376" s="35"/>
      <c r="DG1376" s="35"/>
      <c r="DH1376" s="35"/>
      <c r="DI1376" s="35"/>
      <c r="DJ1376" s="35"/>
      <c r="DK1376" s="35"/>
      <c r="DL1376" s="35"/>
      <c r="DM1376" s="35"/>
      <c r="DN1376" s="35"/>
      <c r="DO1376" s="35"/>
      <c r="DP1376" s="35"/>
      <c r="DQ1376" s="35"/>
      <c r="DR1376" s="35"/>
      <c r="DS1376" s="35"/>
      <c r="DT1376" s="35"/>
      <c r="DU1376" s="35"/>
      <c r="DV1376" s="35"/>
      <c r="DW1376" s="35"/>
      <c r="DX1376" s="35"/>
      <c r="DY1376" s="35"/>
      <c r="DZ1376" s="35"/>
      <c r="EA1376" s="35"/>
      <c r="EB1376" s="35"/>
      <c r="EC1376" s="35"/>
      <c r="ED1376" s="35"/>
      <c r="EE1376" s="35"/>
      <c r="EF1376" s="35"/>
      <c r="EG1376" s="35"/>
      <c r="EH1376" s="35"/>
      <c r="EI1376" s="35"/>
      <c r="EJ1376" s="35"/>
      <c r="EK1376" s="35"/>
      <c r="EL1376" s="35"/>
      <c r="EM1376" s="35"/>
      <c r="EN1376" s="35"/>
      <c r="EO1376" s="35"/>
      <c r="EP1376" s="35"/>
      <c r="EQ1376" s="35"/>
      <c r="ER1376" s="35"/>
      <c r="ES1376" s="35"/>
      <c r="ET1376" s="35"/>
      <c r="EU1376" s="35"/>
      <c r="EV1376" s="35"/>
      <c r="EW1376" s="35"/>
      <c r="EX1376" s="35"/>
      <c r="EY1376" s="35"/>
      <c r="EZ1376" s="35"/>
      <c r="FA1376" s="35"/>
      <c r="FB1376" s="35"/>
      <c r="FC1376" s="35"/>
      <c r="FD1376" s="35"/>
      <c r="FE1376" s="35"/>
      <c r="FF1376" s="35"/>
      <c r="FG1376" s="35"/>
      <c r="FH1376" s="35"/>
      <c r="FI1376" s="35"/>
      <c r="FJ1376" s="35"/>
      <c r="FK1376" s="35"/>
      <c r="FL1376" s="35"/>
      <c r="FM1376" s="35"/>
      <c r="FN1376" s="35"/>
      <c r="FO1376" s="35"/>
      <c r="FP1376" s="35"/>
      <c r="FQ1376" s="35"/>
      <c r="FR1376" s="35"/>
      <c r="FS1376" s="35"/>
      <c r="FT1376" s="35"/>
      <c r="FU1376" s="35"/>
      <c r="FV1376" s="35"/>
      <c r="FW1376" s="35"/>
      <c r="FX1376" s="35"/>
      <c r="FY1376" s="35"/>
      <c r="FZ1376" s="35"/>
      <c r="GA1376" s="35"/>
      <c r="GB1376" s="35"/>
      <c r="GC1376" s="35"/>
      <c r="GD1376" s="35"/>
      <c r="GE1376" s="35"/>
      <c r="GF1376" s="35"/>
      <c r="GG1376" s="35"/>
      <c r="GH1376" s="35"/>
      <c r="GI1376" s="35"/>
      <c r="GJ1376" s="35"/>
      <c r="GK1376" s="35"/>
      <c r="GL1376" s="35"/>
      <c r="GM1376" s="35"/>
      <c r="GN1376" s="35"/>
      <c r="GO1376" s="35"/>
      <c r="GP1376" s="35"/>
      <c r="GQ1376" s="35"/>
      <c r="GR1376" s="35"/>
      <c r="GS1376" s="35"/>
      <c r="GT1376" s="35"/>
      <c r="GU1376" s="35"/>
      <c r="GV1376" s="35"/>
      <c r="GW1376" s="35"/>
      <c r="GX1376" s="35"/>
      <c r="GY1376" s="35"/>
      <c r="GZ1376" s="35"/>
      <c r="HA1376" s="35"/>
      <c r="HB1376" s="35"/>
      <c r="HC1376" s="35"/>
      <c r="HD1376" s="35"/>
      <c r="HE1376" s="35"/>
      <c r="HF1376" s="35"/>
      <c r="HG1376" s="35"/>
      <c r="HH1376" s="35"/>
      <c r="HI1376" s="35"/>
      <c r="HJ1376" s="35"/>
      <c r="HK1376" s="35"/>
      <c r="HL1376" s="35"/>
      <c r="HM1376" s="35"/>
      <c r="HN1376" s="35"/>
      <c r="HO1376" s="35"/>
      <c r="HP1376" s="35"/>
      <c r="HQ1376" s="35"/>
      <c r="HR1376" s="35"/>
      <c r="HS1376" s="35"/>
      <c r="HT1376" s="35"/>
      <c r="HU1376" s="35"/>
      <c r="HV1376" s="35"/>
      <c r="HW1376" s="35"/>
      <c r="HX1376" s="35"/>
      <c r="HY1376" s="35"/>
      <c r="HZ1376" s="35"/>
      <c r="IA1376" s="35"/>
      <c r="IB1376" s="35"/>
      <c r="IC1376" s="35"/>
      <c r="ID1376" s="35"/>
      <c r="IE1376" s="35"/>
      <c r="IF1376" s="35"/>
      <c r="IG1376" s="35"/>
      <c r="IH1376" s="35"/>
      <c r="II1376" s="35"/>
      <c r="IJ1376" s="35"/>
      <c r="IK1376" s="35"/>
      <c r="IL1376" s="35"/>
      <c r="IM1376" s="35"/>
      <c r="IN1376" s="35"/>
      <c r="IO1376" s="35"/>
      <c r="IP1376" s="35"/>
      <c r="IQ1376" s="35"/>
      <c r="IR1376" s="35"/>
      <c r="IS1376" s="35"/>
      <c r="IT1376" s="35"/>
      <c r="IU1376" s="35"/>
      <c r="IV1376" s="35"/>
      <c r="IW1376" s="35"/>
      <c r="IX1376" s="35"/>
      <c r="IY1376" s="35"/>
      <c r="IZ1376" s="35"/>
      <c r="JA1376" s="35"/>
      <c r="JB1376" s="35"/>
      <c r="JC1376" s="35"/>
      <c r="JD1376" s="35"/>
      <c r="JE1376" s="35"/>
      <c r="JF1376" s="35"/>
      <c r="JG1376" s="35"/>
      <c r="JH1376" s="35"/>
      <c r="JI1376" s="35"/>
      <c r="JJ1376" s="35"/>
      <c r="JK1376" s="35"/>
      <c r="JL1376" s="35"/>
      <c r="JM1376" s="35"/>
      <c r="JN1376" s="35"/>
      <c r="JO1376" s="35"/>
      <c r="JP1376" s="35"/>
      <c r="JQ1376" s="35"/>
      <c r="JR1376" s="35"/>
      <c r="JS1376" s="35"/>
      <c r="JT1376" s="35"/>
      <c r="JU1376" s="35"/>
      <c r="JV1376" s="35"/>
      <c r="JW1376" s="35"/>
      <c r="JX1376" s="35"/>
      <c r="JY1376" s="35"/>
      <c r="JZ1376" s="35"/>
      <c r="KA1376" s="35"/>
      <c r="KB1376" s="35"/>
      <c r="KC1376" s="35"/>
      <c r="KD1376" s="35"/>
      <c r="KE1376" s="35"/>
      <c r="KF1376" s="35"/>
      <c r="KG1376" s="35"/>
      <c r="KH1376" s="35"/>
      <c r="KI1376" s="35"/>
      <c r="KJ1376" s="35"/>
      <c r="KK1376" s="35"/>
      <c r="KL1376" s="35"/>
      <c r="KM1376" s="35"/>
      <c r="KN1376" s="35"/>
      <c r="KO1376" s="35"/>
      <c r="KP1376" s="35"/>
      <c r="KQ1376" s="35"/>
      <c r="KR1376" s="35"/>
      <c r="KS1376" s="35"/>
      <c r="KT1376" s="35"/>
      <c r="KU1376" s="35"/>
      <c r="KV1376" s="35"/>
      <c r="KW1376" s="35"/>
      <c r="KX1376" s="35"/>
      <c r="KY1376" s="35"/>
      <c r="KZ1376" s="35"/>
      <c r="LA1376" s="35"/>
      <c r="LB1376" s="35"/>
      <c r="LC1376" s="35"/>
      <c r="LD1376" s="35"/>
      <c r="LE1376" s="35"/>
      <c r="LF1376" s="35"/>
      <c r="LG1376" s="35"/>
      <c r="LH1376" s="35"/>
      <c r="LI1376" s="35"/>
      <c r="LJ1376" s="35"/>
      <c r="LK1376" s="35"/>
      <c r="LL1376" s="35"/>
      <c r="LM1376" s="35"/>
      <c r="LN1376" s="35"/>
      <c r="LO1376" s="35"/>
      <c r="LP1376" s="35"/>
      <c r="LQ1376" s="35"/>
      <c r="LR1376" s="35"/>
      <c r="LS1376" s="35"/>
      <c r="LT1376" s="35"/>
      <c r="LU1376" s="35"/>
      <c r="LV1376" s="35"/>
      <c r="LW1376" s="35"/>
      <c r="LX1376" s="35"/>
      <c r="LY1376" s="35"/>
      <c r="LZ1376" s="35"/>
      <c r="MA1376" s="35"/>
      <c r="MB1376" s="35"/>
      <c r="MC1376" s="35"/>
      <c r="MD1376" s="35"/>
      <c r="ME1376" s="35"/>
      <c r="MF1376" s="35"/>
      <c r="MG1376" s="35"/>
      <c r="MH1376" s="35"/>
      <c r="MI1376" s="35"/>
      <c r="MJ1376" s="35"/>
      <c r="MK1376" s="35"/>
      <c r="ML1376" s="35"/>
      <c r="MM1376" s="35"/>
      <c r="MN1376" s="35"/>
      <c r="MO1376" s="35"/>
      <c r="MP1376" s="35"/>
      <c r="MQ1376" s="35"/>
      <c r="MR1376" s="35"/>
      <c r="MS1376" s="35"/>
      <c r="MT1376" s="35"/>
      <c r="MU1376" s="35"/>
      <c r="MV1376" s="35"/>
      <c r="MW1376" s="35"/>
      <c r="MX1376" s="35"/>
      <c r="MY1376" s="35"/>
      <c r="MZ1376" s="35"/>
      <c r="NA1376" s="35"/>
      <c r="NB1376" s="35"/>
      <c r="NC1376" s="35"/>
      <c r="ND1376" s="35"/>
      <c r="NE1376" s="35"/>
      <c r="NF1376" s="35"/>
      <c r="NG1376" s="35"/>
      <c r="NH1376" s="35"/>
      <c r="NI1376" s="35"/>
      <c r="NJ1376" s="35"/>
      <c r="NK1376" s="35"/>
      <c r="NL1376" s="35"/>
      <c r="NM1376" s="35"/>
      <c r="NN1376" s="35"/>
      <c r="NO1376" s="35"/>
      <c r="NP1376" s="35"/>
      <c r="NQ1376" s="35"/>
      <c r="NR1376" s="35"/>
      <c r="NS1376" s="35"/>
      <c r="NT1376" s="35"/>
      <c r="NU1376" s="35"/>
      <c r="NV1376" s="35"/>
      <c r="NW1376" s="35"/>
      <c r="NX1376" s="35"/>
      <c r="NY1376" s="35"/>
      <c r="NZ1376" s="35"/>
      <c r="OA1376" s="35"/>
      <c r="OB1376" s="35"/>
      <c r="OC1376" s="35"/>
      <c r="OD1376" s="35"/>
      <c r="OE1376" s="35"/>
      <c r="OF1376" s="35"/>
      <c r="OG1376" s="35"/>
      <c r="OH1376" s="35"/>
      <c r="OI1376" s="35"/>
      <c r="OJ1376" s="35"/>
      <c r="OK1376" s="35"/>
      <c r="OL1376" s="35"/>
      <c r="OM1376" s="35"/>
      <c r="ON1376" s="35"/>
      <c r="OO1376" s="35"/>
      <c r="OP1376" s="35"/>
      <c r="OQ1376" s="35"/>
      <c r="OR1376" s="35"/>
      <c r="OS1376" s="35"/>
      <c r="OT1376" s="35"/>
      <c r="OU1376" s="35"/>
      <c r="OV1376" s="35"/>
      <c r="OW1376" s="35"/>
      <c r="OX1376" s="35"/>
      <c r="OY1376" s="35"/>
      <c r="OZ1376" s="35"/>
      <c r="PA1376" s="35"/>
      <c r="PB1376" s="35"/>
      <c r="PC1376" s="35"/>
      <c r="PD1376" s="35"/>
      <c r="PE1376" s="35"/>
      <c r="PF1376" s="35"/>
      <c r="PG1376" s="35"/>
      <c r="PH1376" s="35"/>
      <c r="PI1376" s="35"/>
      <c r="PJ1376" s="35"/>
      <c r="PK1376" s="35"/>
      <c r="PL1376" s="35"/>
      <c r="PM1376" s="35"/>
      <c r="PN1376" s="35"/>
      <c r="PO1376" s="35"/>
      <c r="PP1376" s="35"/>
      <c r="PQ1376" s="35"/>
      <c r="PR1376" s="35"/>
      <c r="PS1376" s="35"/>
      <c r="PT1376" s="35"/>
      <c r="PU1376" s="35"/>
      <c r="PV1376" s="35"/>
      <c r="PW1376" s="35"/>
      <c r="PX1376" s="35"/>
      <c r="PY1376" s="35"/>
      <c r="PZ1376" s="35"/>
      <c r="QA1376" s="35"/>
      <c r="QB1376" s="35"/>
      <c r="QC1376" s="35"/>
      <c r="QD1376" s="35"/>
      <c r="QE1376" s="35"/>
      <c r="QF1376" s="35"/>
      <c r="QG1376" s="35"/>
      <c r="QH1376" s="35"/>
      <c r="QI1376" s="35"/>
      <c r="QJ1376" s="35"/>
      <c r="QK1376" s="35"/>
      <c r="QL1376" s="35"/>
      <c r="QM1376" s="35"/>
      <c r="QN1376" s="35"/>
      <c r="QO1376" s="35"/>
      <c r="QP1376" s="35"/>
      <c r="QQ1376" s="35"/>
      <c r="QR1376" s="35"/>
      <c r="QS1376" s="35"/>
      <c r="QT1376" s="35"/>
      <c r="QU1376" s="35"/>
      <c r="QV1376" s="35"/>
      <c r="QW1376" s="35"/>
      <c r="QX1376" s="35"/>
      <c r="QY1376" s="35"/>
      <c r="QZ1376" s="35"/>
      <c r="RA1376" s="35"/>
      <c r="RB1376" s="35"/>
      <c r="RC1376" s="35"/>
      <c r="RD1376" s="35"/>
      <c r="RE1376" s="35"/>
      <c r="RF1376" s="35"/>
      <c r="RG1376" s="35"/>
      <c r="RH1376" s="35"/>
      <c r="RI1376" s="35"/>
      <c r="RJ1376" s="35"/>
      <c r="RK1376" s="35"/>
      <c r="RL1376" s="35"/>
      <c r="RM1376" s="35"/>
      <c r="RN1376" s="35"/>
      <c r="RO1376" s="35"/>
      <c r="RP1376" s="35"/>
      <c r="RQ1376" s="35"/>
      <c r="RR1376" s="35"/>
      <c r="RS1376" s="35"/>
      <c r="RT1376" s="35"/>
      <c r="RU1376" s="35"/>
      <c r="RV1376" s="35"/>
      <c r="RW1376" s="35"/>
      <c r="RX1376" s="35"/>
      <c r="RY1376" s="35"/>
      <c r="RZ1376" s="35"/>
      <c r="SA1376" s="35"/>
      <c r="SB1376" s="35"/>
      <c r="SC1376" s="35"/>
      <c r="SD1376" s="35"/>
      <c r="SE1376" s="35"/>
      <c r="SF1376" s="35"/>
      <c r="SG1376" s="35"/>
      <c r="SH1376" s="35"/>
      <c r="SI1376" s="35"/>
      <c r="SJ1376" s="35"/>
      <c r="SK1376" s="35"/>
      <c r="SL1376" s="35"/>
      <c r="SM1376" s="35"/>
      <c r="SN1376" s="35"/>
      <c r="SO1376" s="35"/>
      <c r="SP1376" s="35"/>
      <c r="SQ1376" s="35"/>
      <c r="SR1376" s="35"/>
      <c r="SS1376" s="35"/>
      <c r="ST1376" s="35"/>
      <c r="SU1376" s="35"/>
      <c r="SV1376" s="35"/>
      <c r="SW1376" s="35"/>
      <c r="SX1376" s="35"/>
      <c r="SY1376" s="35"/>
      <c r="SZ1376" s="35"/>
      <c r="TA1376" s="35"/>
      <c r="TB1376" s="35"/>
      <c r="TC1376" s="35"/>
      <c r="TD1376" s="35"/>
      <c r="TE1376" s="35"/>
      <c r="TF1376" s="35"/>
      <c r="TG1376" s="35"/>
      <c r="TH1376" s="35"/>
      <c r="TI1376" s="35"/>
      <c r="TJ1376" s="35"/>
      <c r="TK1376" s="35"/>
      <c r="TL1376" s="35"/>
      <c r="TM1376" s="35"/>
      <c r="TN1376" s="35"/>
      <c r="TO1376" s="35"/>
      <c r="TP1376" s="35"/>
      <c r="TQ1376" s="35"/>
      <c r="TR1376" s="35"/>
      <c r="TS1376" s="35"/>
      <c r="TT1376" s="35"/>
      <c r="TU1376" s="35"/>
      <c r="TV1376" s="35"/>
      <c r="TW1376" s="35"/>
      <c r="TX1376" s="35"/>
      <c r="TY1376" s="35"/>
      <c r="TZ1376" s="35"/>
      <c r="UA1376" s="35"/>
      <c r="UB1376" s="35"/>
      <c r="UC1376" s="35"/>
      <c r="UD1376" s="35"/>
      <c r="UE1376" s="35"/>
      <c r="UF1376" s="35"/>
      <c r="UG1376" s="44"/>
    </row>
    <row r="1377" spans="1:553" ht="105" customHeight="1">
      <c r="A1377" s="356"/>
      <c r="B1377" s="385"/>
      <c r="C1377" s="384" t="s">
        <v>1298</v>
      </c>
      <c r="D1377" s="418">
        <f t="shared" ref="D1377:E1377" si="206">D1374</f>
        <v>1</v>
      </c>
      <c r="E1377" s="418">
        <f t="shared" si="206"/>
        <v>346</v>
      </c>
      <c r="F1377" s="385"/>
      <c r="G1377" s="386" t="s">
        <v>935</v>
      </c>
      <c r="H1377" s="370"/>
      <c r="I1377" s="1081">
        <f>I1375</f>
        <v>326.70000000000005</v>
      </c>
      <c r="J1377" s="993">
        <f>62000-55000</f>
        <v>7000</v>
      </c>
      <c r="K1377" s="435"/>
      <c r="L1377" s="679">
        <f t="shared" ref="L1377:L1378" si="207">I1377*J1377</f>
        <v>2286900.0000000005</v>
      </c>
      <c r="M1377" s="762"/>
      <c r="N1377" s="366"/>
      <c r="O1377" s="366"/>
      <c r="P1377" s="366"/>
      <c r="Q1377" s="812"/>
      <c r="R1377" s="1226"/>
      <c r="S1377" s="308"/>
      <c r="T1377" s="308"/>
      <c r="U1377" s="308"/>
      <c r="V1377" s="308"/>
      <c r="W1377" s="308"/>
      <c r="X1377" s="308"/>
      <c r="Y1377" s="308"/>
      <c r="Z1377" s="604"/>
      <c r="AA1377" s="308"/>
      <c r="AB1377" s="308"/>
      <c r="AC1377" s="449"/>
      <c r="AD1377" s="449"/>
      <c r="AE1377" s="449"/>
      <c r="AF1377" s="449"/>
      <c r="AG1377" s="449"/>
      <c r="AH1377" s="449"/>
      <c r="AI1377" s="449"/>
      <c r="AJ1377" s="449"/>
      <c r="AK1377" s="452"/>
      <c r="AL1377" s="104"/>
      <c r="AM1377" s="32"/>
      <c r="AN1377" s="32"/>
      <c r="AO1377" s="32"/>
      <c r="AP1377" s="32"/>
      <c r="AQ1377" s="32"/>
      <c r="AR1377" s="32"/>
      <c r="AS1377" s="31"/>
      <c r="AT1377" s="31"/>
      <c r="AU1377" s="31"/>
      <c r="AV1377" s="31"/>
      <c r="AW1377" s="31"/>
      <c r="AX1377" s="31"/>
      <c r="AY1377" s="31"/>
      <c r="AZ1377" s="31"/>
      <c r="BA1377" s="31"/>
      <c r="BB1377" s="31"/>
      <c r="BC1377" s="31"/>
      <c r="BD1377" s="31"/>
      <c r="BE1377" s="31"/>
      <c r="BF1377" s="31"/>
      <c r="BG1377" s="31"/>
      <c r="BH1377" s="31"/>
      <c r="BI1377" s="31"/>
      <c r="BJ1377" s="31"/>
      <c r="BK1377" s="31"/>
      <c r="BL1377" s="31"/>
      <c r="BM1377" s="31"/>
      <c r="BN1377" s="31"/>
      <c r="BO1377" s="31"/>
      <c r="BP1377" s="31"/>
      <c r="BQ1377" s="31"/>
      <c r="BR1377" s="31"/>
      <c r="BS1377" s="31"/>
      <c r="BT1377" s="31"/>
      <c r="BU1377" s="31"/>
      <c r="BV1377" s="31"/>
      <c r="BW1377" s="31"/>
      <c r="BX1377" s="31"/>
      <c r="BY1377" s="31"/>
      <c r="BZ1377" s="31"/>
      <c r="CA1377" s="31"/>
      <c r="CB1377" s="31"/>
      <c r="CC1377" s="31"/>
      <c r="CD1377" s="31"/>
      <c r="CE1377" s="31"/>
      <c r="CF1377" s="31"/>
      <c r="CG1377" s="31"/>
      <c r="CH1377" s="31"/>
      <c r="CI1377" s="31"/>
      <c r="CJ1377" s="31"/>
      <c r="CK1377" s="31"/>
      <c r="CL1377" s="31"/>
      <c r="CM1377" s="31"/>
      <c r="CN1377" s="31"/>
      <c r="CO1377" s="31"/>
      <c r="CP1377" s="31"/>
      <c r="CQ1377" s="31"/>
      <c r="CR1377" s="31"/>
      <c r="CS1377" s="31"/>
      <c r="CT1377" s="31"/>
      <c r="CU1377" s="31"/>
      <c r="CV1377" s="31"/>
      <c r="CW1377" s="31"/>
      <c r="CX1377" s="31"/>
      <c r="CY1377" s="31"/>
      <c r="CZ1377" s="31"/>
      <c r="DA1377" s="31"/>
      <c r="DB1377" s="31"/>
      <c r="DC1377" s="31"/>
      <c r="DD1377" s="31"/>
      <c r="DE1377" s="31"/>
      <c r="DF1377" s="31"/>
      <c r="DG1377" s="31"/>
      <c r="DH1377" s="31"/>
      <c r="DI1377" s="31"/>
      <c r="DJ1377" s="31"/>
      <c r="DK1377" s="31"/>
      <c r="DL1377" s="31"/>
      <c r="DM1377" s="31"/>
      <c r="DN1377" s="31"/>
      <c r="DO1377" s="31"/>
      <c r="DP1377" s="31"/>
      <c r="DQ1377" s="31"/>
      <c r="DR1377" s="31"/>
      <c r="DS1377" s="31"/>
      <c r="DT1377" s="31"/>
      <c r="DU1377" s="31"/>
      <c r="DV1377" s="31"/>
      <c r="DW1377" s="31"/>
      <c r="DX1377" s="31"/>
      <c r="DY1377" s="31"/>
      <c r="DZ1377" s="31"/>
      <c r="EA1377" s="31"/>
      <c r="EB1377" s="31"/>
      <c r="EC1377" s="31"/>
      <c r="ED1377" s="31"/>
      <c r="EE1377" s="31"/>
      <c r="EF1377" s="31"/>
      <c r="EG1377" s="31"/>
      <c r="EH1377" s="31"/>
      <c r="EI1377" s="31"/>
      <c r="EJ1377" s="31"/>
      <c r="EK1377" s="31"/>
      <c r="EL1377" s="31"/>
      <c r="EM1377" s="31"/>
      <c r="EN1377" s="31"/>
      <c r="EO1377" s="31"/>
      <c r="EP1377" s="31"/>
      <c r="EQ1377" s="31"/>
      <c r="ER1377" s="31"/>
      <c r="ES1377" s="31"/>
      <c r="ET1377" s="31"/>
      <c r="EU1377" s="31"/>
      <c r="EV1377" s="31"/>
      <c r="EW1377" s="31"/>
      <c r="EX1377" s="31"/>
      <c r="EY1377" s="31"/>
      <c r="EZ1377" s="31"/>
      <c r="FA1377" s="31"/>
      <c r="FB1377" s="31"/>
      <c r="FC1377" s="31"/>
      <c r="FD1377" s="31"/>
      <c r="FE1377" s="31"/>
      <c r="FF1377" s="31"/>
      <c r="FG1377" s="31"/>
      <c r="FH1377" s="31"/>
      <c r="FI1377" s="31"/>
      <c r="FJ1377" s="31"/>
      <c r="FK1377" s="31"/>
      <c r="FL1377" s="31"/>
      <c r="FM1377" s="31"/>
      <c r="FN1377" s="31"/>
      <c r="FO1377" s="31"/>
      <c r="FP1377" s="31"/>
      <c r="FQ1377" s="31"/>
      <c r="FR1377" s="31"/>
      <c r="FS1377" s="31"/>
      <c r="FT1377" s="31"/>
      <c r="FU1377" s="31"/>
      <c r="FV1377" s="31"/>
      <c r="FW1377" s="31"/>
      <c r="FX1377" s="31"/>
      <c r="FY1377" s="31"/>
      <c r="FZ1377" s="31"/>
      <c r="GA1377" s="31"/>
      <c r="GB1377" s="31"/>
      <c r="GC1377" s="31"/>
      <c r="GD1377" s="31"/>
      <c r="GE1377" s="31"/>
      <c r="GF1377" s="31"/>
      <c r="GG1377" s="31"/>
      <c r="GH1377" s="31"/>
      <c r="GI1377" s="31"/>
      <c r="GJ1377" s="31"/>
      <c r="GK1377" s="31"/>
      <c r="GL1377" s="31"/>
      <c r="GM1377" s="31"/>
      <c r="GN1377" s="31"/>
      <c r="GO1377" s="31"/>
      <c r="GP1377" s="31"/>
      <c r="GQ1377" s="31"/>
      <c r="GR1377" s="31"/>
      <c r="GS1377" s="31"/>
      <c r="GT1377" s="31"/>
      <c r="GU1377" s="31"/>
      <c r="GV1377" s="31"/>
      <c r="GW1377" s="31"/>
      <c r="GX1377" s="31"/>
      <c r="GY1377" s="31"/>
      <c r="GZ1377" s="31"/>
      <c r="HA1377" s="31"/>
      <c r="HB1377" s="31"/>
      <c r="HC1377" s="31"/>
      <c r="HD1377" s="31"/>
      <c r="HE1377" s="31"/>
      <c r="HF1377" s="31"/>
      <c r="HG1377" s="31"/>
      <c r="HH1377" s="31"/>
      <c r="HI1377" s="31"/>
      <c r="HJ1377" s="31"/>
      <c r="HK1377" s="31"/>
      <c r="HL1377" s="31"/>
      <c r="HM1377" s="31"/>
      <c r="HN1377" s="31"/>
      <c r="HO1377" s="31"/>
      <c r="HP1377" s="31"/>
      <c r="HQ1377" s="31"/>
      <c r="HR1377" s="31"/>
      <c r="HS1377" s="31"/>
      <c r="HT1377" s="31"/>
      <c r="HU1377" s="31"/>
      <c r="HV1377" s="31"/>
      <c r="HW1377" s="31"/>
      <c r="HX1377" s="31"/>
      <c r="HY1377" s="31"/>
      <c r="HZ1377" s="31"/>
      <c r="IA1377" s="31"/>
      <c r="IB1377" s="31"/>
      <c r="IC1377" s="31"/>
      <c r="ID1377" s="31"/>
      <c r="IE1377" s="31"/>
      <c r="IF1377" s="31"/>
      <c r="IG1377" s="31"/>
      <c r="IH1377" s="31"/>
      <c r="II1377" s="31"/>
      <c r="IJ1377" s="31"/>
      <c r="IK1377" s="31"/>
      <c r="IL1377" s="31"/>
      <c r="IM1377" s="31"/>
      <c r="IN1377" s="31"/>
      <c r="IO1377" s="31"/>
      <c r="IP1377" s="31"/>
      <c r="IQ1377" s="31"/>
      <c r="IR1377" s="31"/>
      <c r="IS1377" s="31"/>
      <c r="IT1377" s="31"/>
      <c r="IU1377" s="31"/>
      <c r="IV1377" s="31"/>
      <c r="IW1377" s="31"/>
      <c r="IX1377" s="31"/>
      <c r="IY1377" s="31"/>
      <c r="IZ1377" s="31"/>
      <c r="JA1377" s="31"/>
      <c r="JB1377" s="31"/>
      <c r="JC1377" s="31"/>
      <c r="JD1377" s="31"/>
      <c r="JE1377" s="31"/>
      <c r="JF1377" s="31"/>
      <c r="JG1377" s="31"/>
      <c r="JH1377" s="31"/>
      <c r="JI1377" s="31"/>
      <c r="JJ1377" s="31"/>
      <c r="JK1377" s="31"/>
      <c r="JL1377" s="31"/>
      <c r="JM1377" s="31"/>
      <c r="JN1377" s="31"/>
      <c r="JO1377" s="31"/>
      <c r="JP1377" s="31"/>
      <c r="JQ1377" s="31"/>
      <c r="JR1377" s="31"/>
      <c r="JS1377" s="31"/>
      <c r="JT1377" s="31"/>
      <c r="JU1377" s="31"/>
      <c r="JV1377" s="31"/>
      <c r="JW1377" s="31"/>
      <c r="JX1377" s="31"/>
      <c r="JY1377" s="31"/>
      <c r="JZ1377" s="31"/>
      <c r="KA1377" s="31"/>
      <c r="KB1377" s="31"/>
      <c r="KC1377" s="31"/>
      <c r="KD1377" s="31"/>
      <c r="KE1377" s="31"/>
      <c r="KF1377" s="31"/>
      <c r="KG1377" s="31"/>
      <c r="KH1377" s="31"/>
      <c r="KI1377" s="31"/>
      <c r="KJ1377" s="31"/>
      <c r="KK1377" s="31"/>
      <c r="KL1377" s="31"/>
      <c r="KM1377" s="31"/>
      <c r="KN1377" s="31"/>
      <c r="KO1377" s="31"/>
      <c r="KP1377" s="31"/>
      <c r="KQ1377" s="31"/>
      <c r="KR1377" s="31"/>
      <c r="KS1377" s="31"/>
      <c r="KT1377" s="31"/>
      <c r="KU1377" s="31"/>
      <c r="KV1377" s="31"/>
      <c r="KW1377" s="31"/>
      <c r="KX1377" s="31"/>
      <c r="KY1377" s="31"/>
      <c r="KZ1377" s="31"/>
      <c r="LA1377" s="31"/>
      <c r="LB1377" s="31"/>
      <c r="LC1377" s="31"/>
      <c r="LD1377" s="31"/>
      <c r="LE1377" s="31"/>
      <c r="LF1377" s="31"/>
      <c r="LG1377" s="31"/>
      <c r="LH1377" s="31"/>
      <c r="LI1377" s="31"/>
      <c r="LJ1377" s="31"/>
      <c r="LK1377" s="31"/>
      <c r="LL1377" s="31"/>
      <c r="LM1377" s="31"/>
      <c r="LN1377" s="31"/>
      <c r="LO1377" s="31"/>
      <c r="LP1377" s="31"/>
      <c r="LQ1377" s="31"/>
      <c r="LR1377" s="31"/>
      <c r="LS1377" s="31"/>
      <c r="LT1377" s="31"/>
      <c r="LU1377" s="31"/>
      <c r="LV1377" s="31"/>
      <c r="LW1377" s="31"/>
      <c r="LX1377" s="31"/>
      <c r="LY1377" s="31"/>
      <c r="LZ1377" s="31"/>
      <c r="MA1377" s="31"/>
      <c r="MB1377" s="31"/>
      <c r="MC1377" s="31"/>
      <c r="MD1377" s="31"/>
      <c r="ME1377" s="31"/>
      <c r="MF1377" s="31"/>
      <c r="MG1377" s="31"/>
      <c r="MH1377" s="31"/>
      <c r="MI1377" s="31"/>
      <c r="MJ1377" s="31"/>
      <c r="MK1377" s="31"/>
      <c r="ML1377" s="31"/>
      <c r="MM1377" s="31"/>
      <c r="MN1377" s="31"/>
      <c r="MO1377" s="31"/>
      <c r="MP1377" s="31"/>
      <c r="MQ1377" s="31"/>
      <c r="MR1377" s="31"/>
      <c r="MS1377" s="31"/>
      <c r="MT1377" s="31"/>
      <c r="MU1377" s="31"/>
      <c r="MV1377" s="31"/>
      <c r="MW1377" s="31"/>
      <c r="MX1377" s="31"/>
      <c r="MY1377" s="31"/>
      <c r="MZ1377" s="31"/>
      <c r="NA1377" s="31"/>
      <c r="NB1377" s="31"/>
      <c r="NC1377" s="31"/>
      <c r="ND1377" s="31"/>
      <c r="NE1377" s="31"/>
      <c r="NF1377" s="31"/>
      <c r="NG1377" s="31"/>
      <c r="NH1377" s="31"/>
      <c r="NI1377" s="31"/>
      <c r="NJ1377" s="31"/>
      <c r="NK1377" s="31"/>
      <c r="NL1377" s="31"/>
      <c r="NM1377" s="31"/>
      <c r="NN1377" s="31"/>
      <c r="NO1377" s="31"/>
      <c r="NP1377" s="31"/>
      <c r="NQ1377" s="31"/>
      <c r="NR1377" s="31"/>
      <c r="NS1377" s="31"/>
      <c r="NT1377" s="31"/>
      <c r="NU1377" s="31"/>
      <c r="NV1377" s="31"/>
      <c r="NW1377" s="31"/>
      <c r="NX1377" s="31"/>
      <c r="NY1377" s="31"/>
      <c r="NZ1377" s="31"/>
      <c r="OA1377" s="31"/>
      <c r="OB1377" s="31"/>
      <c r="OC1377" s="31"/>
      <c r="OD1377" s="31"/>
      <c r="OE1377" s="31"/>
      <c r="OF1377" s="31"/>
      <c r="OG1377" s="31"/>
      <c r="OH1377" s="31"/>
      <c r="OI1377" s="31"/>
      <c r="OJ1377" s="31"/>
      <c r="OK1377" s="31"/>
      <c r="OL1377" s="31"/>
      <c r="OM1377" s="31"/>
      <c r="ON1377" s="31"/>
      <c r="OO1377" s="31"/>
      <c r="OP1377" s="31"/>
      <c r="OQ1377" s="31"/>
      <c r="OR1377" s="31"/>
      <c r="OS1377" s="31"/>
      <c r="OT1377" s="31"/>
      <c r="OU1377" s="31"/>
      <c r="OV1377" s="31"/>
      <c r="OW1377" s="31"/>
      <c r="OX1377" s="31"/>
      <c r="OY1377" s="31"/>
      <c r="OZ1377" s="31"/>
      <c r="PA1377" s="31"/>
      <c r="PB1377" s="31"/>
      <c r="PC1377" s="31"/>
      <c r="PD1377" s="31"/>
      <c r="PE1377" s="31"/>
      <c r="PF1377" s="31"/>
      <c r="PG1377" s="31"/>
      <c r="PH1377" s="31"/>
      <c r="PI1377" s="31"/>
      <c r="PJ1377" s="31"/>
      <c r="PK1377" s="31"/>
      <c r="PL1377" s="31"/>
      <c r="PM1377" s="31"/>
      <c r="PN1377" s="31"/>
      <c r="PO1377" s="31"/>
      <c r="PP1377" s="31"/>
      <c r="PQ1377" s="31"/>
      <c r="PR1377" s="31"/>
      <c r="PS1377" s="31"/>
      <c r="PT1377" s="31"/>
      <c r="PU1377" s="31"/>
      <c r="PV1377" s="31"/>
      <c r="PW1377" s="31"/>
      <c r="PX1377" s="31"/>
      <c r="PY1377" s="31"/>
      <c r="PZ1377" s="31"/>
      <c r="QA1377" s="31"/>
      <c r="QB1377" s="31"/>
      <c r="QC1377" s="31"/>
      <c r="QD1377" s="31"/>
      <c r="QE1377" s="31"/>
      <c r="QF1377" s="31"/>
      <c r="QG1377" s="31"/>
      <c r="QH1377" s="31"/>
      <c r="QI1377" s="31"/>
      <c r="QJ1377" s="31"/>
      <c r="QK1377" s="31"/>
      <c r="QL1377" s="31"/>
      <c r="QM1377" s="31"/>
      <c r="QN1377" s="31"/>
      <c r="QO1377" s="31"/>
      <c r="QP1377" s="31"/>
      <c r="QQ1377" s="31"/>
      <c r="QR1377" s="31"/>
      <c r="QS1377" s="31"/>
      <c r="QT1377" s="31"/>
      <c r="QU1377" s="31"/>
      <c r="QV1377" s="31"/>
      <c r="QW1377" s="31"/>
      <c r="QX1377" s="31"/>
      <c r="QY1377" s="31"/>
      <c r="QZ1377" s="31"/>
      <c r="RA1377" s="31"/>
      <c r="RB1377" s="31"/>
      <c r="RC1377" s="31"/>
      <c r="RD1377" s="31"/>
      <c r="RE1377" s="31"/>
      <c r="RF1377" s="31"/>
      <c r="RG1377" s="31"/>
      <c r="RH1377" s="31"/>
      <c r="RI1377" s="31"/>
      <c r="RJ1377" s="31"/>
      <c r="RK1377" s="31"/>
      <c r="RL1377" s="31"/>
      <c r="RM1377" s="31"/>
      <c r="RN1377" s="31"/>
      <c r="RO1377" s="31"/>
      <c r="RP1377" s="31"/>
      <c r="RQ1377" s="31"/>
      <c r="RR1377" s="31"/>
      <c r="RS1377" s="31"/>
      <c r="RT1377" s="31"/>
      <c r="RU1377" s="31"/>
      <c r="RV1377" s="31"/>
      <c r="RW1377" s="31"/>
      <c r="RX1377" s="31"/>
      <c r="RY1377" s="31"/>
      <c r="RZ1377" s="31"/>
      <c r="SA1377" s="31"/>
      <c r="SB1377" s="31"/>
      <c r="SC1377" s="31"/>
      <c r="SD1377" s="31"/>
      <c r="SE1377" s="31"/>
      <c r="SF1377" s="31"/>
      <c r="SG1377" s="31"/>
      <c r="SH1377" s="31"/>
      <c r="SI1377" s="31"/>
      <c r="SJ1377" s="31"/>
      <c r="SK1377" s="31"/>
      <c r="SL1377" s="31"/>
      <c r="SM1377" s="31"/>
      <c r="SN1377" s="31"/>
      <c r="SO1377" s="31"/>
      <c r="SP1377" s="31"/>
      <c r="SQ1377" s="31"/>
      <c r="SR1377" s="31"/>
      <c r="SS1377" s="31"/>
      <c r="ST1377" s="31"/>
      <c r="SU1377" s="31"/>
      <c r="SV1377" s="31"/>
      <c r="SW1377" s="31"/>
      <c r="SX1377" s="31"/>
      <c r="SY1377" s="31"/>
      <c r="SZ1377" s="31"/>
      <c r="TA1377" s="31"/>
      <c r="TB1377" s="31"/>
      <c r="TC1377" s="31"/>
      <c r="TD1377" s="31"/>
      <c r="TE1377" s="31"/>
      <c r="TF1377" s="31"/>
      <c r="TG1377" s="31"/>
      <c r="TH1377" s="31"/>
      <c r="TI1377" s="31"/>
      <c r="TJ1377" s="31"/>
      <c r="TK1377" s="31"/>
      <c r="TL1377" s="31"/>
      <c r="TM1377" s="31"/>
      <c r="TN1377" s="31"/>
      <c r="TO1377" s="31"/>
      <c r="TP1377" s="31"/>
      <c r="TQ1377" s="31"/>
      <c r="TR1377" s="31"/>
      <c r="TS1377" s="31"/>
      <c r="TT1377" s="31"/>
      <c r="TU1377" s="31"/>
      <c r="TV1377" s="31"/>
      <c r="TW1377" s="31"/>
      <c r="TX1377" s="31"/>
      <c r="TY1377" s="31"/>
      <c r="TZ1377" s="31"/>
      <c r="UA1377" s="31"/>
      <c r="UB1377" s="31"/>
      <c r="UC1377" s="31"/>
      <c r="UD1377" s="31"/>
      <c r="UE1377" s="31"/>
      <c r="UF1377" s="31"/>
      <c r="UG1377" s="33"/>
    </row>
    <row r="1378" spans="1:553" ht="105" customHeight="1">
      <c r="A1378" s="356"/>
      <c r="B1378" s="385"/>
      <c r="C1378" s="384" t="s">
        <v>1019</v>
      </c>
      <c r="D1378" s="418">
        <f t="shared" ref="D1378:E1378" si="208">D1377</f>
        <v>1</v>
      </c>
      <c r="E1378" s="418">
        <f t="shared" si="208"/>
        <v>346</v>
      </c>
      <c r="F1378" s="385"/>
      <c r="G1378" s="386" t="s">
        <v>935</v>
      </c>
      <c r="H1378" s="370"/>
      <c r="I1378" s="1081">
        <f>I1375</f>
        <v>326.70000000000005</v>
      </c>
      <c r="J1378" s="993">
        <f>(66000*2.5)-(62000*2.5)</f>
        <v>10000</v>
      </c>
      <c r="K1378" s="435"/>
      <c r="L1378" s="679">
        <f t="shared" si="207"/>
        <v>3267000.0000000005</v>
      </c>
      <c r="M1378" s="762"/>
      <c r="N1378" s="366"/>
      <c r="O1378" s="366"/>
      <c r="P1378" s="366"/>
      <c r="Q1378" s="812"/>
      <c r="R1378" s="1226"/>
      <c r="S1378" s="308"/>
      <c r="T1378" s="308"/>
      <c r="U1378" s="308"/>
      <c r="V1378" s="308"/>
      <c r="W1378" s="308"/>
      <c r="X1378" s="308"/>
      <c r="Y1378" s="308"/>
      <c r="Z1378" s="604"/>
      <c r="AA1378" s="308"/>
      <c r="AB1378" s="308"/>
      <c r="AC1378" s="449"/>
      <c r="AD1378" s="449"/>
      <c r="AE1378" s="449"/>
      <c r="AF1378" s="449"/>
      <c r="AG1378" s="449"/>
      <c r="AH1378" s="449"/>
      <c r="AI1378" s="449"/>
      <c r="AJ1378" s="449"/>
      <c r="AK1378" s="452"/>
      <c r="AL1378" s="104"/>
      <c r="AM1378" s="32"/>
      <c r="AN1378" s="32"/>
      <c r="AO1378" s="32"/>
      <c r="AP1378" s="32"/>
      <c r="AQ1378" s="32"/>
      <c r="AR1378" s="32"/>
      <c r="AS1378" s="31"/>
      <c r="AT1378" s="31"/>
      <c r="AU1378" s="31"/>
      <c r="AV1378" s="31"/>
      <c r="AW1378" s="31"/>
      <c r="AX1378" s="31"/>
      <c r="AY1378" s="31"/>
      <c r="AZ1378" s="31"/>
      <c r="BA1378" s="31"/>
      <c r="BB1378" s="31"/>
      <c r="BC1378" s="31"/>
      <c r="BD1378" s="31"/>
      <c r="BE1378" s="31"/>
      <c r="BF1378" s="31"/>
      <c r="BG1378" s="31"/>
      <c r="BH1378" s="31"/>
      <c r="BI1378" s="31"/>
      <c r="BJ1378" s="31"/>
      <c r="BK1378" s="31"/>
      <c r="BL1378" s="31"/>
      <c r="BM1378" s="31"/>
      <c r="BN1378" s="31"/>
      <c r="BO1378" s="31"/>
      <c r="BP1378" s="31"/>
      <c r="BQ1378" s="31"/>
      <c r="BR1378" s="31"/>
      <c r="BS1378" s="31"/>
      <c r="BT1378" s="31"/>
      <c r="BU1378" s="31"/>
      <c r="BV1378" s="31"/>
      <c r="BW1378" s="31"/>
      <c r="BX1378" s="31"/>
      <c r="BY1378" s="31"/>
      <c r="BZ1378" s="31"/>
      <c r="CA1378" s="31"/>
      <c r="CB1378" s="31"/>
      <c r="CC1378" s="31"/>
      <c r="CD1378" s="31"/>
      <c r="CE1378" s="31"/>
      <c r="CF1378" s="31"/>
      <c r="CG1378" s="31"/>
      <c r="CH1378" s="31"/>
      <c r="CI1378" s="31"/>
      <c r="CJ1378" s="31"/>
      <c r="CK1378" s="31"/>
      <c r="CL1378" s="31"/>
      <c r="CM1378" s="31"/>
      <c r="CN1378" s="31"/>
      <c r="CO1378" s="31"/>
      <c r="CP1378" s="31"/>
      <c r="CQ1378" s="31"/>
      <c r="CR1378" s="31"/>
      <c r="CS1378" s="31"/>
      <c r="CT1378" s="31"/>
      <c r="CU1378" s="31"/>
      <c r="CV1378" s="31"/>
      <c r="CW1378" s="31"/>
      <c r="CX1378" s="31"/>
      <c r="CY1378" s="31"/>
      <c r="CZ1378" s="31"/>
      <c r="DA1378" s="31"/>
      <c r="DB1378" s="31"/>
      <c r="DC1378" s="31"/>
      <c r="DD1378" s="31"/>
      <c r="DE1378" s="31"/>
      <c r="DF1378" s="31"/>
      <c r="DG1378" s="31"/>
      <c r="DH1378" s="31"/>
      <c r="DI1378" s="31"/>
      <c r="DJ1378" s="31"/>
      <c r="DK1378" s="31"/>
      <c r="DL1378" s="31"/>
      <c r="DM1378" s="31"/>
      <c r="DN1378" s="31"/>
      <c r="DO1378" s="31"/>
      <c r="DP1378" s="31"/>
      <c r="DQ1378" s="31"/>
      <c r="DR1378" s="31"/>
      <c r="DS1378" s="31"/>
      <c r="DT1378" s="31"/>
      <c r="DU1378" s="31"/>
      <c r="DV1378" s="31"/>
      <c r="DW1378" s="31"/>
      <c r="DX1378" s="31"/>
      <c r="DY1378" s="31"/>
      <c r="DZ1378" s="31"/>
      <c r="EA1378" s="31"/>
      <c r="EB1378" s="31"/>
      <c r="EC1378" s="31"/>
      <c r="ED1378" s="31"/>
      <c r="EE1378" s="31"/>
      <c r="EF1378" s="31"/>
      <c r="EG1378" s="31"/>
      <c r="EH1378" s="31"/>
      <c r="EI1378" s="31"/>
      <c r="EJ1378" s="31"/>
      <c r="EK1378" s="31"/>
      <c r="EL1378" s="31"/>
      <c r="EM1378" s="31"/>
      <c r="EN1378" s="31"/>
      <c r="EO1378" s="31"/>
      <c r="EP1378" s="31"/>
      <c r="EQ1378" s="31"/>
      <c r="ER1378" s="31"/>
      <c r="ES1378" s="31"/>
      <c r="ET1378" s="31"/>
      <c r="EU1378" s="31"/>
      <c r="EV1378" s="31"/>
      <c r="EW1378" s="31"/>
      <c r="EX1378" s="31"/>
      <c r="EY1378" s="31"/>
      <c r="EZ1378" s="31"/>
      <c r="FA1378" s="31"/>
      <c r="FB1378" s="31"/>
      <c r="FC1378" s="31"/>
      <c r="FD1378" s="31"/>
      <c r="FE1378" s="31"/>
      <c r="FF1378" s="31"/>
      <c r="FG1378" s="31"/>
      <c r="FH1378" s="31"/>
      <c r="FI1378" s="31"/>
      <c r="FJ1378" s="31"/>
      <c r="FK1378" s="31"/>
      <c r="FL1378" s="31"/>
      <c r="FM1378" s="31"/>
      <c r="FN1378" s="31"/>
      <c r="FO1378" s="31"/>
      <c r="FP1378" s="31"/>
      <c r="FQ1378" s="31"/>
      <c r="FR1378" s="31"/>
      <c r="FS1378" s="31"/>
      <c r="FT1378" s="31"/>
      <c r="FU1378" s="31"/>
      <c r="FV1378" s="31"/>
      <c r="FW1378" s="31"/>
      <c r="FX1378" s="31"/>
      <c r="FY1378" s="31"/>
      <c r="FZ1378" s="31"/>
      <c r="GA1378" s="31"/>
      <c r="GB1378" s="31"/>
      <c r="GC1378" s="31"/>
      <c r="GD1378" s="31"/>
      <c r="GE1378" s="31"/>
      <c r="GF1378" s="31"/>
      <c r="GG1378" s="31"/>
      <c r="GH1378" s="31"/>
      <c r="GI1378" s="31"/>
      <c r="GJ1378" s="31"/>
      <c r="GK1378" s="31"/>
      <c r="GL1378" s="31"/>
      <c r="GM1378" s="31"/>
      <c r="GN1378" s="31"/>
      <c r="GO1378" s="31"/>
      <c r="GP1378" s="31"/>
      <c r="GQ1378" s="31"/>
      <c r="GR1378" s="31"/>
      <c r="GS1378" s="31"/>
      <c r="GT1378" s="31"/>
      <c r="GU1378" s="31"/>
      <c r="GV1378" s="31"/>
      <c r="GW1378" s="31"/>
      <c r="GX1378" s="31"/>
      <c r="GY1378" s="31"/>
      <c r="GZ1378" s="31"/>
      <c r="HA1378" s="31"/>
      <c r="HB1378" s="31"/>
      <c r="HC1378" s="31"/>
      <c r="HD1378" s="31"/>
      <c r="HE1378" s="31"/>
      <c r="HF1378" s="31"/>
      <c r="HG1378" s="31"/>
      <c r="HH1378" s="31"/>
      <c r="HI1378" s="31"/>
      <c r="HJ1378" s="31"/>
      <c r="HK1378" s="31"/>
      <c r="HL1378" s="31"/>
      <c r="HM1378" s="31"/>
      <c r="HN1378" s="31"/>
      <c r="HO1378" s="31"/>
      <c r="HP1378" s="31"/>
      <c r="HQ1378" s="31"/>
      <c r="HR1378" s="31"/>
      <c r="HS1378" s="31"/>
      <c r="HT1378" s="31"/>
      <c r="HU1378" s="31"/>
      <c r="HV1378" s="31"/>
      <c r="HW1378" s="31"/>
      <c r="HX1378" s="31"/>
      <c r="HY1378" s="31"/>
      <c r="HZ1378" s="31"/>
      <c r="IA1378" s="31"/>
      <c r="IB1378" s="31"/>
      <c r="IC1378" s="31"/>
      <c r="ID1378" s="31"/>
      <c r="IE1378" s="31"/>
      <c r="IF1378" s="31"/>
      <c r="IG1378" s="31"/>
      <c r="IH1378" s="31"/>
      <c r="II1378" s="31"/>
      <c r="IJ1378" s="31"/>
      <c r="IK1378" s="31"/>
      <c r="IL1378" s="31"/>
      <c r="IM1378" s="31"/>
      <c r="IN1378" s="31"/>
      <c r="IO1378" s="31"/>
      <c r="IP1378" s="31"/>
      <c r="IQ1378" s="31"/>
      <c r="IR1378" s="31"/>
      <c r="IS1378" s="31"/>
      <c r="IT1378" s="31"/>
      <c r="IU1378" s="31"/>
      <c r="IV1378" s="31"/>
      <c r="IW1378" s="31"/>
      <c r="IX1378" s="31"/>
      <c r="IY1378" s="31"/>
      <c r="IZ1378" s="31"/>
      <c r="JA1378" s="31"/>
      <c r="JB1378" s="31"/>
      <c r="JC1378" s="31"/>
      <c r="JD1378" s="31"/>
      <c r="JE1378" s="31"/>
      <c r="JF1378" s="31"/>
      <c r="JG1378" s="31"/>
      <c r="JH1378" s="31"/>
      <c r="JI1378" s="31"/>
      <c r="JJ1378" s="31"/>
      <c r="JK1378" s="31"/>
      <c r="JL1378" s="31"/>
      <c r="JM1378" s="31"/>
      <c r="JN1378" s="31"/>
      <c r="JO1378" s="31"/>
      <c r="JP1378" s="31"/>
      <c r="JQ1378" s="31"/>
      <c r="JR1378" s="31"/>
      <c r="JS1378" s="31"/>
      <c r="JT1378" s="31"/>
      <c r="JU1378" s="31"/>
      <c r="JV1378" s="31"/>
      <c r="JW1378" s="31"/>
      <c r="JX1378" s="31"/>
      <c r="JY1378" s="31"/>
      <c r="JZ1378" s="31"/>
      <c r="KA1378" s="31"/>
      <c r="KB1378" s="31"/>
      <c r="KC1378" s="31"/>
      <c r="KD1378" s="31"/>
      <c r="KE1378" s="31"/>
      <c r="KF1378" s="31"/>
      <c r="KG1378" s="31"/>
      <c r="KH1378" s="31"/>
      <c r="KI1378" s="31"/>
      <c r="KJ1378" s="31"/>
      <c r="KK1378" s="31"/>
      <c r="KL1378" s="31"/>
      <c r="KM1378" s="31"/>
      <c r="KN1378" s="31"/>
      <c r="KO1378" s="31"/>
      <c r="KP1378" s="31"/>
      <c r="KQ1378" s="31"/>
      <c r="KR1378" s="31"/>
      <c r="KS1378" s="31"/>
      <c r="KT1378" s="31"/>
      <c r="KU1378" s="31"/>
      <c r="KV1378" s="31"/>
      <c r="KW1378" s="31"/>
      <c r="KX1378" s="31"/>
      <c r="KY1378" s="31"/>
      <c r="KZ1378" s="31"/>
      <c r="LA1378" s="31"/>
      <c r="LB1378" s="31"/>
      <c r="LC1378" s="31"/>
      <c r="LD1378" s="31"/>
      <c r="LE1378" s="31"/>
      <c r="LF1378" s="31"/>
      <c r="LG1378" s="31"/>
      <c r="LH1378" s="31"/>
      <c r="LI1378" s="31"/>
      <c r="LJ1378" s="31"/>
      <c r="LK1378" s="31"/>
      <c r="LL1378" s="31"/>
      <c r="LM1378" s="31"/>
      <c r="LN1378" s="31"/>
      <c r="LO1378" s="31"/>
      <c r="LP1378" s="31"/>
      <c r="LQ1378" s="31"/>
      <c r="LR1378" s="31"/>
      <c r="LS1378" s="31"/>
      <c r="LT1378" s="31"/>
      <c r="LU1378" s="31"/>
      <c r="LV1378" s="31"/>
      <c r="LW1378" s="31"/>
      <c r="LX1378" s="31"/>
      <c r="LY1378" s="31"/>
      <c r="LZ1378" s="31"/>
      <c r="MA1378" s="31"/>
      <c r="MB1378" s="31"/>
      <c r="MC1378" s="31"/>
      <c r="MD1378" s="31"/>
      <c r="ME1378" s="31"/>
      <c r="MF1378" s="31"/>
      <c r="MG1378" s="31"/>
      <c r="MH1378" s="31"/>
      <c r="MI1378" s="31"/>
      <c r="MJ1378" s="31"/>
      <c r="MK1378" s="31"/>
      <c r="ML1378" s="31"/>
      <c r="MM1378" s="31"/>
      <c r="MN1378" s="31"/>
      <c r="MO1378" s="31"/>
      <c r="MP1378" s="31"/>
      <c r="MQ1378" s="31"/>
      <c r="MR1378" s="31"/>
      <c r="MS1378" s="31"/>
      <c r="MT1378" s="31"/>
      <c r="MU1378" s="31"/>
      <c r="MV1378" s="31"/>
      <c r="MW1378" s="31"/>
      <c r="MX1378" s="31"/>
      <c r="MY1378" s="31"/>
      <c r="MZ1378" s="31"/>
      <c r="NA1378" s="31"/>
      <c r="NB1378" s="31"/>
      <c r="NC1378" s="31"/>
      <c r="ND1378" s="31"/>
      <c r="NE1378" s="31"/>
      <c r="NF1378" s="31"/>
      <c r="NG1378" s="31"/>
      <c r="NH1378" s="31"/>
      <c r="NI1378" s="31"/>
      <c r="NJ1378" s="31"/>
      <c r="NK1378" s="31"/>
      <c r="NL1378" s="31"/>
      <c r="NM1378" s="31"/>
      <c r="NN1378" s="31"/>
      <c r="NO1378" s="31"/>
      <c r="NP1378" s="31"/>
      <c r="NQ1378" s="31"/>
      <c r="NR1378" s="31"/>
      <c r="NS1378" s="31"/>
      <c r="NT1378" s="31"/>
      <c r="NU1378" s="31"/>
      <c r="NV1378" s="31"/>
      <c r="NW1378" s="31"/>
      <c r="NX1378" s="31"/>
      <c r="NY1378" s="31"/>
      <c r="NZ1378" s="31"/>
      <c r="OA1378" s="31"/>
      <c r="OB1378" s="31"/>
      <c r="OC1378" s="31"/>
      <c r="OD1378" s="31"/>
      <c r="OE1378" s="31"/>
      <c r="OF1378" s="31"/>
      <c r="OG1378" s="31"/>
      <c r="OH1378" s="31"/>
      <c r="OI1378" s="31"/>
      <c r="OJ1378" s="31"/>
      <c r="OK1378" s="31"/>
      <c r="OL1378" s="31"/>
      <c r="OM1378" s="31"/>
      <c r="ON1378" s="31"/>
      <c r="OO1378" s="31"/>
      <c r="OP1378" s="31"/>
      <c r="OQ1378" s="31"/>
      <c r="OR1378" s="31"/>
      <c r="OS1378" s="31"/>
      <c r="OT1378" s="31"/>
      <c r="OU1378" s="31"/>
      <c r="OV1378" s="31"/>
      <c r="OW1378" s="31"/>
      <c r="OX1378" s="31"/>
      <c r="OY1378" s="31"/>
      <c r="OZ1378" s="31"/>
      <c r="PA1378" s="31"/>
      <c r="PB1378" s="31"/>
      <c r="PC1378" s="31"/>
      <c r="PD1378" s="31"/>
      <c r="PE1378" s="31"/>
      <c r="PF1378" s="31"/>
      <c r="PG1378" s="31"/>
      <c r="PH1378" s="31"/>
      <c r="PI1378" s="31"/>
      <c r="PJ1378" s="31"/>
      <c r="PK1378" s="31"/>
      <c r="PL1378" s="31"/>
      <c r="PM1378" s="31"/>
      <c r="PN1378" s="31"/>
      <c r="PO1378" s="31"/>
      <c r="PP1378" s="31"/>
      <c r="PQ1378" s="31"/>
      <c r="PR1378" s="31"/>
      <c r="PS1378" s="31"/>
      <c r="PT1378" s="31"/>
      <c r="PU1378" s="31"/>
      <c r="PV1378" s="31"/>
      <c r="PW1378" s="31"/>
      <c r="PX1378" s="31"/>
      <c r="PY1378" s="31"/>
      <c r="PZ1378" s="31"/>
      <c r="QA1378" s="31"/>
      <c r="QB1378" s="31"/>
      <c r="QC1378" s="31"/>
      <c r="QD1378" s="31"/>
      <c r="QE1378" s="31"/>
      <c r="QF1378" s="31"/>
      <c r="QG1378" s="31"/>
      <c r="QH1378" s="31"/>
      <c r="QI1378" s="31"/>
      <c r="QJ1378" s="31"/>
      <c r="QK1378" s="31"/>
      <c r="QL1378" s="31"/>
      <c r="QM1378" s="31"/>
      <c r="QN1378" s="31"/>
      <c r="QO1378" s="31"/>
      <c r="QP1378" s="31"/>
      <c r="QQ1378" s="31"/>
      <c r="QR1378" s="31"/>
      <c r="QS1378" s="31"/>
      <c r="QT1378" s="31"/>
      <c r="QU1378" s="31"/>
      <c r="QV1378" s="31"/>
      <c r="QW1378" s="31"/>
      <c r="QX1378" s="31"/>
      <c r="QY1378" s="31"/>
      <c r="QZ1378" s="31"/>
      <c r="RA1378" s="31"/>
      <c r="RB1378" s="31"/>
      <c r="RC1378" s="31"/>
      <c r="RD1378" s="31"/>
      <c r="RE1378" s="31"/>
      <c r="RF1378" s="31"/>
      <c r="RG1378" s="31"/>
      <c r="RH1378" s="31"/>
      <c r="RI1378" s="31"/>
      <c r="RJ1378" s="31"/>
      <c r="RK1378" s="31"/>
      <c r="RL1378" s="31"/>
      <c r="RM1378" s="31"/>
      <c r="RN1378" s="31"/>
      <c r="RO1378" s="31"/>
      <c r="RP1378" s="31"/>
      <c r="RQ1378" s="31"/>
      <c r="RR1378" s="31"/>
      <c r="RS1378" s="31"/>
      <c r="RT1378" s="31"/>
      <c r="RU1378" s="31"/>
      <c r="RV1378" s="31"/>
      <c r="RW1378" s="31"/>
      <c r="RX1378" s="31"/>
      <c r="RY1378" s="31"/>
      <c r="RZ1378" s="31"/>
      <c r="SA1378" s="31"/>
      <c r="SB1378" s="31"/>
      <c r="SC1378" s="31"/>
      <c r="SD1378" s="31"/>
      <c r="SE1378" s="31"/>
      <c r="SF1378" s="31"/>
      <c r="SG1378" s="31"/>
      <c r="SH1378" s="31"/>
      <c r="SI1378" s="31"/>
      <c r="SJ1378" s="31"/>
      <c r="SK1378" s="31"/>
      <c r="SL1378" s="31"/>
      <c r="SM1378" s="31"/>
      <c r="SN1378" s="31"/>
      <c r="SO1378" s="31"/>
      <c r="SP1378" s="31"/>
      <c r="SQ1378" s="31"/>
      <c r="SR1378" s="31"/>
      <c r="SS1378" s="31"/>
      <c r="ST1378" s="31"/>
      <c r="SU1378" s="31"/>
      <c r="SV1378" s="31"/>
      <c r="SW1378" s="31"/>
      <c r="SX1378" s="31"/>
      <c r="SY1378" s="31"/>
      <c r="SZ1378" s="31"/>
      <c r="TA1378" s="31"/>
      <c r="TB1378" s="31"/>
      <c r="TC1378" s="31"/>
      <c r="TD1378" s="31"/>
      <c r="TE1378" s="31"/>
      <c r="TF1378" s="31"/>
      <c r="TG1378" s="31"/>
      <c r="TH1378" s="31"/>
      <c r="TI1378" s="31"/>
      <c r="TJ1378" s="31"/>
      <c r="TK1378" s="31"/>
      <c r="TL1378" s="31"/>
      <c r="TM1378" s="31"/>
      <c r="TN1378" s="31"/>
      <c r="TO1378" s="31"/>
      <c r="TP1378" s="31"/>
      <c r="TQ1378" s="31"/>
      <c r="TR1378" s="31"/>
      <c r="TS1378" s="31"/>
      <c r="TT1378" s="31"/>
      <c r="TU1378" s="31"/>
      <c r="TV1378" s="31"/>
      <c r="TW1378" s="31"/>
      <c r="TX1378" s="31"/>
      <c r="TY1378" s="31"/>
      <c r="TZ1378" s="31"/>
      <c r="UA1378" s="31"/>
      <c r="UB1378" s="31"/>
      <c r="UC1378" s="31"/>
      <c r="UD1378" s="31"/>
      <c r="UE1378" s="31"/>
      <c r="UF1378" s="31"/>
      <c r="UG1378" s="33"/>
    </row>
    <row r="1379" spans="1:553" ht="43.5" customHeight="1">
      <c r="A1379" s="356" t="s">
        <v>66</v>
      </c>
      <c r="B1379" s="428"/>
      <c r="C1379" s="1491" t="s">
        <v>62</v>
      </c>
      <c r="D1379" s="1389"/>
      <c r="E1379" s="1389"/>
      <c r="F1379" s="1390"/>
      <c r="G1379" s="386"/>
      <c r="H1379" s="359"/>
      <c r="I1379" s="359"/>
      <c r="J1379" s="357"/>
      <c r="K1379" s="364"/>
      <c r="L1379" s="645">
        <v>0</v>
      </c>
      <c r="M1379" s="356"/>
      <c r="N1379" s="356"/>
      <c r="O1379" s="356"/>
      <c r="P1379" s="358">
        <f>L1379</f>
        <v>0</v>
      </c>
      <c r="Q1379" s="610"/>
      <c r="R1379" s="1226"/>
      <c r="S1379" s="308"/>
      <c r="T1379" s="308"/>
      <c r="U1379" s="308"/>
      <c r="V1379" s="308"/>
      <c r="W1379" s="308"/>
      <c r="X1379" s="308"/>
      <c r="Y1379" s="308"/>
      <c r="Z1379" s="604"/>
      <c r="AA1379" s="308"/>
      <c r="AB1379" s="308"/>
      <c r="AC1379" s="486"/>
      <c r="AD1379" s="486"/>
      <c r="AE1379" s="486"/>
      <c r="AF1379" s="486"/>
      <c r="AG1379" s="486"/>
      <c r="AH1379" s="486"/>
      <c r="AI1379" s="486"/>
      <c r="AJ1379" s="486"/>
      <c r="AK1379" s="486"/>
      <c r="AL1379" s="206"/>
      <c r="AM1379" s="29"/>
      <c r="AN1379" s="29"/>
      <c r="AO1379" s="29"/>
      <c r="AP1379" s="29"/>
      <c r="AQ1379" s="29"/>
      <c r="AR1379" s="29"/>
      <c r="AS1379" s="29"/>
      <c r="AT1379" s="29"/>
      <c r="AU1379" s="29"/>
      <c r="AV1379" s="29"/>
      <c r="AW1379" s="29"/>
      <c r="AX1379" s="29"/>
      <c r="AY1379" s="29"/>
      <c r="AZ1379" s="29"/>
      <c r="BA1379" s="29"/>
      <c r="BB1379" s="29"/>
      <c r="BC1379" s="29"/>
      <c r="BD1379" s="29"/>
      <c r="BE1379" s="29"/>
      <c r="BF1379" s="29"/>
      <c r="BG1379" s="29"/>
      <c r="BH1379" s="29"/>
      <c r="BI1379" s="29"/>
      <c r="BJ1379" s="29"/>
      <c r="BK1379" s="29"/>
      <c r="BL1379" s="29"/>
      <c r="BM1379" s="29"/>
      <c r="BN1379" s="29"/>
      <c r="BO1379" s="29"/>
      <c r="BP1379" s="29"/>
      <c r="BQ1379" s="29"/>
      <c r="BR1379" s="29"/>
      <c r="BS1379" s="29"/>
      <c r="BT1379" s="29"/>
      <c r="BU1379" s="29"/>
      <c r="BV1379" s="29"/>
      <c r="BW1379" s="29"/>
      <c r="BX1379" s="29"/>
      <c r="BY1379" s="29"/>
      <c r="BZ1379" s="29"/>
      <c r="CA1379" s="29"/>
      <c r="CB1379" s="29"/>
      <c r="CC1379" s="29"/>
      <c r="CD1379" s="29"/>
      <c r="CE1379" s="29"/>
      <c r="CF1379" s="29"/>
      <c r="CG1379" s="29"/>
      <c r="CH1379" s="29"/>
      <c r="CI1379" s="29"/>
      <c r="CJ1379" s="29"/>
      <c r="CK1379" s="29"/>
      <c r="CL1379" s="29"/>
      <c r="CM1379" s="29"/>
      <c r="CN1379" s="29"/>
      <c r="CO1379" s="29"/>
      <c r="CP1379" s="29"/>
      <c r="CQ1379" s="29"/>
      <c r="CR1379" s="29"/>
      <c r="CS1379" s="29"/>
      <c r="CT1379" s="29"/>
      <c r="CU1379" s="29"/>
      <c r="CV1379" s="29"/>
      <c r="CW1379" s="29"/>
      <c r="CX1379" s="29"/>
      <c r="CY1379" s="29"/>
      <c r="CZ1379" s="29"/>
      <c r="DA1379" s="29"/>
      <c r="DB1379" s="29"/>
      <c r="DC1379" s="29"/>
      <c r="DD1379" s="29"/>
      <c r="DE1379" s="29"/>
      <c r="DF1379" s="29"/>
      <c r="DG1379" s="29"/>
      <c r="DH1379" s="29"/>
      <c r="DI1379" s="29"/>
      <c r="DJ1379" s="29"/>
      <c r="DK1379" s="29"/>
      <c r="DL1379" s="29"/>
      <c r="DM1379" s="29"/>
      <c r="DN1379" s="29"/>
      <c r="DO1379" s="29"/>
      <c r="DP1379" s="29"/>
      <c r="DQ1379" s="29"/>
      <c r="DR1379" s="29"/>
      <c r="DS1379" s="29"/>
      <c r="DT1379" s="29"/>
      <c r="DU1379" s="29"/>
      <c r="DV1379" s="29"/>
      <c r="DW1379" s="29"/>
      <c r="DX1379" s="29"/>
      <c r="DY1379" s="29"/>
      <c r="DZ1379" s="29"/>
      <c r="EA1379" s="29"/>
      <c r="EB1379" s="29"/>
      <c r="EC1379" s="29"/>
      <c r="ED1379" s="29"/>
      <c r="EE1379" s="29"/>
      <c r="EF1379" s="29"/>
      <c r="EG1379" s="29"/>
      <c r="EH1379" s="29"/>
      <c r="EI1379" s="29"/>
      <c r="EJ1379" s="29"/>
      <c r="EK1379" s="29"/>
      <c r="EL1379" s="29"/>
      <c r="EM1379" s="29"/>
      <c r="EN1379" s="29"/>
      <c r="EO1379" s="29"/>
      <c r="EP1379" s="29"/>
      <c r="EQ1379" s="29"/>
      <c r="ER1379" s="29"/>
      <c r="ES1379" s="29"/>
      <c r="ET1379" s="29"/>
      <c r="EU1379" s="29"/>
      <c r="EV1379" s="29"/>
      <c r="EW1379" s="29"/>
      <c r="EX1379" s="29"/>
      <c r="EY1379" s="29"/>
      <c r="EZ1379" s="29"/>
      <c r="FA1379" s="29"/>
      <c r="FB1379" s="29"/>
      <c r="FC1379" s="29"/>
      <c r="FD1379" s="29"/>
      <c r="FE1379" s="29"/>
      <c r="FF1379" s="29"/>
      <c r="FG1379" s="29"/>
      <c r="FH1379" s="29"/>
      <c r="FI1379" s="29"/>
      <c r="FJ1379" s="29"/>
      <c r="FK1379" s="29"/>
      <c r="FL1379" s="29"/>
      <c r="FM1379" s="29"/>
      <c r="FN1379" s="29"/>
      <c r="FO1379" s="29"/>
      <c r="FP1379" s="29"/>
      <c r="FQ1379" s="29"/>
      <c r="FR1379" s="29"/>
      <c r="FS1379" s="29"/>
      <c r="FT1379" s="29"/>
      <c r="FU1379" s="29"/>
      <c r="FV1379" s="29"/>
      <c r="FW1379" s="29"/>
      <c r="FX1379" s="29"/>
      <c r="FY1379" s="29"/>
      <c r="FZ1379" s="29"/>
      <c r="GA1379" s="29"/>
      <c r="GB1379" s="29"/>
      <c r="GC1379" s="29"/>
      <c r="GD1379" s="29"/>
      <c r="GE1379" s="29"/>
      <c r="GF1379" s="29"/>
      <c r="GG1379" s="29"/>
      <c r="GH1379" s="29"/>
      <c r="GI1379" s="29"/>
      <c r="GJ1379" s="29"/>
      <c r="GK1379" s="29"/>
      <c r="GL1379" s="29"/>
      <c r="GM1379" s="29"/>
      <c r="GN1379" s="29"/>
      <c r="GO1379" s="29"/>
      <c r="GP1379" s="29"/>
      <c r="GQ1379" s="29"/>
      <c r="GR1379" s="29"/>
      <c r="GS1379" s="29"/>
      <c r="GT1379" s="29"/>
      <c r="GU1379" s="29"/>
      <c r="GV1379" s="29"/>
      <c r="GW1379" s="29"/>
      <c r="GX1379" s="29"/>
      <c r="GY1379" s="29"/>
      <c r="GZ1379" s="29"/>
      <c r="HA1379" s="29"/>
      <c r="HB1379" s="29"/>
      <c r="HC1379" s="29"/>
      <c r="HD1379" s="29"/>
      <c r="HE1379" s="29"/>
      <c r="HF1379" s="29"/>
      <c r="HG1379" s="29"/>
      <c r="HH1379" s="29"/>
      <c r="HI1379" s="29"/>
      <c r="HJ1379" s="29"/>
      <c r="HK1379" s="29"/>
      <c r="HL1379" s="29"/>
      <c r="HM1379" s="29"/>
      <c r="HN1379" s="29"/>
      <c r="HO1379" s="29"/>
      <c r="HP1379" s="29"/>
      <c r="HQ1379" s="29"/>
      <c r="HR1379" s="29"/>
      <c r="HS1379" s="29"/>
      <c r="HT1379" s="29"/>
      <c r="HU1379" s="29"/>
      <c r="HV1379" s="29"/>
      <c r="HW1379" s="29"/>
      <c r="HX1379" s="29"/>
      <c r="HY1379" s="29"/>
      <c r="HZ1379" s="29"/>
      <c r="IA1379" s="29"/>
      <c r="IB1379" s="29"/>
      <c r="IC1379" s="29"/>
      <c r="ID1379" s="29"/>
      <c r="IE1379" s="29"/>
      <c r="IF1379" s="29"/>
      <c r="IG1379" s="29"/>
      <c r="IH1379" s="29"/>
      <c r="II1379" s="29"/>
      <c r="IJ1379" s="29"/>
      <c r="IK1379" s="29"/>
      <c r="IL1379" s="29"/>
      <c r="IM1379" s="29"/>
      <c r="IN1379" s="29"/>
      <c r="IO1379" s="29"/>
      <c r="IP1379" s="29"/>
      <c r="IQ1379" s="29"/>
      <c r="IR1379" s="29"/>
      <c r="IS1379" s="29"/>
      <c r="IT1379" s="29"/>
      <c r="IU1379" s="29"/>
      <c r="IV1379" s="29"/>
      <c r="IW1379" s="29"/>
      <c r="IX1379" s="29"/>
      <c r="IY1379" s="29"/>
      <c r="IZ1379" s="29"/>
      <c r="JA1379" s="29"/>
      <c r="JB1379" s="29"/>
      <c r="JC1379" s="29"/>
      <c r="JD1379" s="29"/>
      <c r="JE1379" s="29"/>
      <c r="JF1379" s="29"/>
      <c r="JG1379" s="29"/>
      <c r="JH1379" s="29"/>
      <c r="JI1379" s="29"/>
      <c r="JJ1379" s="29"/>
      <c r="JK1379" s="29"/>
      <c r="JL1379" s="29"/>
      <c r="JM1379" s="29"/>
      <c r="JN1379" s="29"/>
      <c r="JO1379" s="29"/>
      <c r="JP1379" s="29"/>
      <c r="JQ1379" s="29"/>
      <c r="JR1379" s="29"/>
      <c r="JS1379" s="29"/>
      <c r="JT1379" s="29"/>
      <c r="JU1379" s="29"/>
      <c r="JV1379" s="29"/>
      <c r="JW1379" s="29"/>
      <c r="JX1379" s="29"/>
      <c r="JY1379" s="29"/>
      <c r="JZ1379" s="29"/>
      <c r="KA1379" s="29"/>
      <c r="KB1379" s="29"/>
      <c r="KC1379" s="29"/>
      <c r="KD1379" s="29"/>
      <c r="KE1379" s="29"/>
      <c r="KF1379" s="29"/>
      <c r="KG1379" s="29"/>
      <c r="KH1379" s="29"/>
      <c r="KI1379" s="29"/>
      <c r="KJ1379" s="29"/>
      <c r="KK1379" s="29"/>
      <c r="KL1379" s="29"/>
      <c r="KM1379" s="29"/>
      <c r="KN1379" s="29"/>
      <c r="KO1379" s="29"/>
      <c r="KP1379" s="29"/>
      <c r="KQ1379" s="29"/>
      <c r="KR1379" s="29"/>
      <c r="KS1379" s="29"/>
      <c r="KT1379" s="29"/>
      <c r="KU1379" s="29"/>
      <c r="KV1379" s="29"/>
      <c r="KW1379" s="29"/>
      <c r="KX1379" s="29"/>
      <c r="KY1379" s="29"/>
      <c r="KZ1379" s="29"/>
      <c r="LA1379" s="29"/>
      <c r="LB1379" s="29"/>
      <c r="LC1379" s="29"/>
      <c r="LD1379" s="29"/>
      <c r="LE1379" s="29"/>
      <c r="LF1379" s="29"/>
      <c r="LG1379" s="29"/>
      <c r="LH1379" s="29"/>
      <c r="LI1379" s="29"/>
      <c r="LJ1379" s="29"/>
      <c r="LK1379" s="29"/>
      <c r="LL1379" s="29"/>
      <c r="LM1379" s="29"/>
      <c r="LN1379" s="29"/>
      <c r="LO1379" s="29"/>
      <c r="LP1379" s="29"/>
      <c r="LQ1379" s="29"/>
      <c r="LR1379" s="29"/>
      <c r="LS1379" s="29"/>
      <c r="LT1379" s="29"/>
      <c r="LU1379" s="29"/>
      <c r="LV1379" s="29"/>
      <c r="LW1379" s="29"/>
      <c r="LX1379" s="29"/>
      <c r="LY1379" s="29"/>
      <c r="LZ1379" s="29"/>
      <c r="MA1379" s="29"/>
      <c r="MB1379" s="29"/>
      <c r="MC1379" s="29"/>
      <c r="MD1379" s="29"/>
      <c r="ME1379" s="29"/>
      <c r="MF1379" s="29"/>
      <c r="MG1379" s="29"/>
      <c r="MH1379" s="29"/>
      <c r="MI1379" s="29"/>
      <c r="MJ1379" s="29"/>
      <c r="MK1379" s="29"/>
      <c r="ML1379" s="29"/>
      <c r="MM1379" s="29"/>
      <c r="MN1379" s="29"/>
      <c r="MO1379" s="29"/>
      <c r="MP1379" s="29"/>
      <c r="MQ1379" s="29"/>
      <c r="MR1379" s="29"/>
      <c r="MS1379" s="29"/>
      <c r="MT1379" s="29"/>
      <c r="MU1379" s="29"/>
      <c r="MV1379" s="29"/>
      <c r="MW1379" s="29"/>
      <c r="MX1379" s="29"/>
      <c r="MY1379" s="29"/>
      <c r="MZ1379" s="29"/>
      <c r="NA1379" s="29"/>
      <c r="NB1379" s="29"/>
      <c r="NC1379" s="29"/>
      <c r="ND1379" s="29"/>
      <c r="NE1379" s="29"/>
      <c r="NF1379" s="29"/>
      <c r="NG1379" s="29"/>
      <c r="NH1379" s="29"/>
      <c r="NI1379" s="29"/>
      <c r="NJ1379" s="29"/>
      <c r="NK1379" s="29"/>
      <c r="NL1379" s="29"/>
      <c r="NM1379" s="29"/>
      <c r="NN1379" s="29"/>
      <c r="NO1379" s="29"/>
      <c r="NP1379" s="29"/>
      <c r="NQ1379" s="29"/>
      <c r="NR1379" s="29"/>
      <c r="NS1379" s="29"/>
      <c r="NT1379" s="29"/>
      <c r="NU1379" s="29"/>
      <c r="NV1379" s="29"/>
      <c r="NW1379" s="29"/>
      <c r="NX1379" s="29"/>
      <c r="NY1379" s="29"/>
      <c r="NZ1379" s="29"/>
      <c r="OA1379" s="29"/>
      <c r="OB1379" s="29"/>
      <c r="OC1379" s="29"/>
      <c r="OD1379" s="29"/>
      <c r="OE1379" s="29"/>
      <c r="OF1379" s="29"/>
      <c r="OG1379" s="29"/>
      <c r="OH1379" s="29"/>
      <c r="OI1379" s="29"/>
      <c r="OJ1379" s="29"/>
      <c r="OK1379" s="29"/>
      <c r="OL1379" s="29"/>
      <c r="OM1379" s="29"/>
      <c r="ON1379" s="29"/>
      <c r="OO1379" s="29"/>
      <c r="OP1379" s="29"/>
      <c r="OQ1379" s="29"/>
      <c r="OR1379" s="29"/>
      <c r="OS1379" s="29"/>
      <c r="OT1379" s="29"/>
      <c r="OU1379" s="29"/>
      <c r="OV1379" s="29"/>
      <c r="OW1379" s="29"/>
      <c r="OX1379" s="29"/>
      <c r="OY1379" s="29"/>
      <c r="OZ1379" s="29"/>
      <c r="PA1379" s="29"/>
      <c r="PB1379" s="29"/>
      <c r="PC1379" s="29"/>
      <c r="PD1379" s="29"/>
      <c r="PE1379" s="29"/>
      <c r="PF1379" s="29"/>
      <c r="PG1379" s="29"/>
      <c r="PH1379" s="29"/>
      <c r="PI1379" s="29"/>
      <c r="PJ1379" s="29"/>
      <c r="PK1379" s="29"/>
      <c r="PL1379" s="29"/>
      <c r="PM1379" s="29"/>
      <c r="PN1379" s="29"/>
      <c r="PO1379" s="29"/>
      <c r="PP1379" s="29"/>
      <c r="PQ1379" s="29"/>
      <c r="PR1379" s="29"/>
      <c r="PS1379" s="29"/>
      <c r="PT1379" s="29"/>
      <c r="PU1379" s="29"/>
      <c r="PV1379" s="29"/>
      <c r="PW1379" s="29"/>
      <c r="PX1379" s="29"/>
      <c r="PY1379" s="29"/>
      <c r="PZ1379" s="29"/>
      <c r="QA1379" s="29"/>
      <c r="QB1379" s="29"/>
      <c r="QC1379" s="29"/>
      <c r="QD1379" s="29"/>
      <c r="QE1379" s="29"/>
      <c r="QF1379" s="29"/>
      <c r="QG1379" s="29"/>
      <c r="QH1379" s="29"/>
      <c r="QI1379" s="29"/>
      <c r="QJ1379" s="29"/>
      <c r="QK1379" s="29"/>
      <c r="QL1379" s="29"/>
      <c r="QM1379" s="29"/>
      <c r="QN1379" s="29"/>
      <c r="QO1379" s="29"/>
      <c r="QP1379" s="29"/>
      <c r="QQ1379" s="29"/>
      <c r="QR1379" s="29"/>
      <c r="QS1379" s="29"/>
      <c r="QT1379" s="29"/>
      <c r="QU1379" s="29"/>
      <c r="QV1379" s="29"/>
      <c r="QW1379" s="29"/>
      <c r="QX1379" s="29"/>
      <c r="QY1379" s="29"/>
      <c r="QZ1379" s="29"/>
      <c r="RA1379" s="29"/>
      <c r="RB1379" s="29"/>
      <c r="RC1379" s="29"/>
      <c r="RD1379" s="29"/>
      <c r="RE1379" s="29"/>
      <c r="RF1379" s="29"/>
      <c r="RG1379" s="29"/>
      <c r="RH1379" s="29"/>
      <c r="RI1379" s="29"/>
      <c r="RJ1379" s="29"/>
      <c r="RK1379" s="29"/>
      <c r="RL1379" s="29"/>
      <c r="RM1379" s="29"/>
      <c r="RN1379" s="29"/>
      <c r="RO1379" s="29"/>
      <c r="RP1379" s="29"/>
      <c r="RQ1379" s="29"/>
      <c r="RR1379" s="29"/>
      <c r="RS1379" s="29"/>
      <c r="RT1379" s="29"/>
      <c r="RU1379" s="29"/>
      <c r="RV1379" s="29"/>
      <c r="RW1379" s="29"/>
      <c r="RX1379" s="29"/>
      <c r="RY1379" s="29"/>
      <c r="RZ1379" s="29"/>
      <c r="SA1379" s="29"/>
      <c r="SB1379" s="29"/>
      <c r="SC1379" s="29"/>
      <c r="SD1379" s="29"/>
      <c r="SE1379" s="29"/>
      <c r="SF1379" s="29"/>
      <c r="SG1379" s="29"/>
      <c r="SH1379" s="29"/>
      <c r="SI1379" s="29"/>
      <c r="SJ1379" s="29"/>
      <c r="SK1379" s="29"/>
      <c r="SL1379" s="29"/>
      <c r="SM1379" s="29"/>
      <c r="SN1379" s="29"/>
      <c r="SO1379" s="29"/>
      <c r="SP1379" s="29"/>
      <c r="SQ1379" s="29"/>
      <c r="SR1379" s="29"/>
      <c r="SS1379" s="29"/>
      <c r="ST1379" s="29"/>
      <c r="SU1379" s="29"/>
      <c r="SV1379" s="29"/>
      <c r="SW1379" s="29"/>
      <c r="SX1379" s="29"/>
      <c r="SY1379" s="29"/>
      <c r="SZ1379" s="29"/>
      <c r="TA1379" s="29"/>
      <c r="TB1379" s="29"/>
      <c r="TC1379" s="29"/>
      <c r="TD1379" s="29"/>
      <c r="TE1379" s="29"/>
      <c r="TF1379" s="29"/>
      <c r="TG1379" s="29"/>
      <c r="TH1379" s="29"/>
      <c r="TI1379" s="29"/>
      <c r="TJ1379" s="29"/>
      <c r="TK1379" s="29"/>
      <c r="TL1379" s="29"/>
      <c r="TM1379" s="29"/>
      <c r="TN1379" s="29"/>
      <c r="TO1379" s="29"/>
      <c r="TP1379" s="29"/>
      <c r="TQ1379" s="29"/>
      <c r="TR1379" s="29"/>
      <c r="TS1379" s="29"/>
      <c r="TT1379" s="29"/>
      <c r="TU1379" s="29"/>
      <c r="TV1379" s="29"/>
      <c r="TW1379" s="29"/>
      <c r="TX1379" s="29"/>
      <c r="TY1379" s="29"/>
      <c r="TZ1379" s="29"/>
      <c r="UA1379" s="29"/>
      <c r="UB1379" s="29"/>
      <c r="UC1379" s="29"/>
      <c r="UD1379" s="29"/>
      <c r="UE1379" s="29"/>
      <c r="UF1379" s="29"/>
      <c r="UG1379" s="29"/>
    </row>
    <row r="1380" spans="1:553" ht="35.25" customHeight="1">
      <c r="A1380" s="356" t="s">
        <v>80</v>
      </c>
      <c r="B1380" s="356"/>
      <c r="C1380" s="1491" t="s">
        <v>1043</v>
      </c>
      <c r="D1380" s="1389"/>
      <c r="E1380" s="1389"/>
      <c r="F1380" s="1390"/>
      <c r="G1380" s="356"/>
      <c r="H1380" s="359"/>
      <c r="I1380" s="359"/>
      <c r="J1380" s="357"/>
      <c r="K1380" s="364"/>
      <c r="L1380" s="645"/>
      <c r="M1380" s="356"/>
      <c r="N1380" s="356"/>
      <c r="O1380" s="356"/>
      <c r="P1380" s="356"/>
      <c r="Q1380" s="610"/>
      <c r="R1380" s="421"/>
      <c r="S1380" s="308"/>
      <c r="T1380" s="308"/>
      <c r="U1380" s="308"/>
      <c r="V1380" s="308"/>
      <c r="W1380" s="308"/>
      <c r="X1380" s="308"/>
      <c r="Y1380" s="308"/>
      <c r="Z1380" s="604"/>
      <c r="AA1380" s="308"/>
      <c r="AB1380" s="308"/>
      <c r="AC1380" s="486"/>
      <c r="AD1380" s="486"/>
      <c r="AE1380" s="486"/>
      <c r="AF1380" s="486"/>
      <c r="AG1380" s="486"/>
      <c r="AH1380" s="486"/>
      <c r="AI1380" s="486"/>
      <c r="AJ1380" s="486"/>
      <c r="AK1380" s="486"/>
      <c r="AL1380" s="206"/>
      <c r="AM1380" s="29"/>
      <c r="AN1380" s="29"/>
      <c r="AO1380" s="29"/>
      <c r="AP1380" s="29"/>
      <c r="AQ1380" s="29"/>
      <c r="AR1380" s="29"/>
      <c r="AS1380" s="29"/>
      <c r="AT1380" s="29"/>
      <c r="AU1380" s="29"/>
      <c r="AV1380" s="29"/>
      <c r="AW1380" s="29"/>
      <c r="AX1380" s="29"/>
      <c r="AY1380" s="29"/>
      <c r="AZ1380" s="29"/>
      <c r="BA1380" s="29"/>
      <c r="BB1380" s="29"/>
      <c r="BC1380" s="29"/>
      <c r="BD1380" s="29"/>
      <c r="BE1380" s="29"/>
      <c r="BF1380" s="29"/>
      <c r="BG1380" s="29"/>
      <c r="BH1380" s="29"/>
      <c r="BI1380" s="29"/>
      <c r="BJ1380" s="29"/>
      <c r="BK1380" s="29"/>
      <c r="BL1380" s="29"/>
      <c r="BM1380" s="29"/>
      <c r="BN1380" s="29"/>
      <c r="BO1380" s="29"/>
      <c r="BP1380" s="29"/>
      <c r="BQ1380" s="29"/>
      <c r="BR1380" s="29"/>
      <c r="BS1380" s="29"/>
      <c r="BT1380" s="29"/>
      <c r="BU1380" s="29"/>
      <c r="BV1380" s="29"/>
      <c r="BW1380" s="29"/>
      <c r="BX1380" s="29"/>
      <c r="BY1380" s="29"/>
      <c r="BZ1380" s="29"/>
      <c r="CA1380" s="29"/>
      <c r="CB1380" s="29"/>
      <c r="CC1380" s="29"/>
      <c r="CD1380" s="29"/>
      <c r="CE1380" s="29"/>
      <c r="CF1380" s="29"/>
      <c r="CG1380" s="29"/>
      <c r="CH1380" s="29"/>
      <c r="CI1380" s="29"/>
      <c r="CJ1380" s="29"/>
      <c r="CK1380" s="29"/>
      <c r="CL1380" s="29"/>
      <c r="CM1380" s="29"/>
      <c r="CN1380" s="29"/>
      <c r="CO1380" s="29"/>
      <c r="CP1380" s="29"/>
      <c r="CQ1380" s="29"/>
      <c r="CR1380" s="29"/>
      <c r="CS1380" s="29"/>
      <c r="CT1380" s="29"/>
      <c r="CU1380" s="29"/>
      <c r="CV1380" s="29"/>
      <c r="CW1380" s="29"/>
      <c r="CX1380" s="29"/>
      <c r="CY1380" s="29"/>
      <c r="CZ1380" s="29"/>
      <c r="DA1380" s="29"/>
      <c r="DB1380" s="29"/>
      <c r="DC1380" s="29"/>
      <c r="DD1380" s="29"/>
      <c r="DE1380" s="29"/>
      <c r="DF1380" s="29"/>
      <c r="DG1380" s="29"/>
      <c r="DH1380" s="29"/>
      <c r="DI1380" s="29"/>
      <c r="DJ1380" s="29"/>
      <c r="DK1380" s="29"/>
      <c r="DL1380" s="29"/>
      <c r="DM1380" s="29"/>
      <c r="DN1380" s="29"/>
      <c r="DO1380" s="29"/>
      <c r="DP1380" s="29"/>
      <c r="DQ1380" s="29"/>
      <c r="DR1380" s="29"/>
      <c r="DS1380" s="29"/>
      <c r="DT1380" s="29"/>
      <c r="DU1380" s="29"/>
      <c r="DV1380" s="29"/>
      <c r="DW1380" s="29"/>
      <c r="DX1380" s="29"/>
      <c r="DY1380" s="29"/>
      <c r="DZ1380" s="29"/>
      <c r="EA1380" s="29"/>
      <c r="EB1380" s="29"/>
      <c r="EC1380" s="29"/>
      <c r="ED1380" s="29"/>
      <c r="EE1380" s="29"/>
      <c r="EF1380" s="29"/>
      <c r="EG1380" s="29"/>
      <c r="EH1380" s="29"/>
      <c r="EI1380" s="29"/>
      <c r="EJ1380" s="29"/>
      <c r="EK1380" s="29"/>
      <c r="EL1380" s="29"/>
      <c r="EM1380" s="29"/>
      <c r="EN1380" s="29"/>
      <c r="EO1380" s="29"/>
      <c r="EP1380" s="29"/>
      <c r="EQ1380" s="29"/>
      <c r="ER1380" s="29"/>
      <c r="ES1380" s="29"/>
      <c r="ET1380" s="29"/>
      <c r="EU1380" s="29"/>
      <c r="EV1380" s="29"/>
      <c r="EW1380" s="29"/>
      <c r="EX1380" s="29"/>
      <c r="EY1380" s="29"/>
      <c r="EZ1380" s="29"/>
      <c r="FA1380" s="29"/>
      <c r="FB1380" s="29"/>
      <c r="FC1380" s="29"/>
      <c r="FD1380" s="29"/>
      <c r="FE1380" s="29"/>
      <c r="FF1380" s="29"/>
      <c r="FG1380" s="29"/>
      <c r="FH1380" s="29"/>
      <c r="FI1380" s="29"/>
      <c r="FJ1380" s="29"/>
      <c r="FK1380" s="29"/>
      <c r="FL1380" s="29"/>
      <c r="FM1380" s="29"/>
      <c r="FN1380" s="29"/>
      <c r="FO1380" s="29"/>
      <c r="FP1380" s="29"/>
      <c r="FQ1380" s="29"/>
      <c r="FR1380" s="29"/>
      <c r="FS1380" s="29"/>
      <c r="FT1380" s="29"/>
      <c r="FU1380" s="29"/>
      <c r="FV1380" s="29"/>
      <c r="FW1380" s="29"/>
      <c r="FX1380" s="29"/>
      <c r="FY1380" s="29"/>
      <c r="FZ1380" s="29"/>
      <c r="GA1380" s="29"/>
      <c r="GB1380" s="29"/>
      <c r="GC1380" s="29"/>
      <c r="GD1380" s="29"/>
      <c r="GE1380" s="29"/>
      <c r="GF1380" s="29"/>
      <c r="GG1380" s="29"/>
      <c r="GH1380" s="29"/>
      <c r="GI1380" s="29"/>
      <c r="GJ1380" s="29"/>
      <c r="GK1380" s="29"/>
      <c r="GL1380" s="29"/>
      <c r="GM1380" s="29"/>
      <c r="GN1380" s="29"/>
      <c r="GO1380" s="29"/>
      <c r="GP1380" s="29"/>
      <c r="GQ1380" s="29"/>
      <c r="GR1380" s="29"/>
      <c r="GS1380" s="29"/>
      <c r="GT1380" s="29"/>
      <c r="GU1380" s="29"/>
      <c r="GV1380" s="29"/>
      <c r="GW1380" s="29"/>
      <c r="GX1380" s="29"/>
      <c r="GY1380" s="29"/>
      <c r="GZ1380" s="29"/>
      <c r="HA1380" s="29"/>
      <c r="HB1380" s="29"/>
      <c r="HC1380" s="29"/>
      <c r="HD1380" s="29"/>
      <c r="HE1380" s="29"/>
      <c r="HF1380" s="29"/>
      <c r="HG1380" s="29"/>
      <c r="HH1380" s="29"/>
      <c r="HI1380" s="29"/>
      <c r="HJ1380" s="29"/>
      <c r="HK1380" s="29"/>
      <c r="HL1380" s="29"/>
      <c r="HM1380" s="29"/>
      <c r="HN1380" s="29"/>
      <c r="HO1380" s="29"/>
      <c r="HP1380" s="29"/>
      <c r="HQ1380" s="29"/>
      <c r="HR1380" s="29"/>
      <c r="HS1380" s="29"/>
      <c r="HT1380" s="29"/>
      <c r="HU1380" s="29"/>
      <c r="HV1380" s="29"/>
      <c r="HW1380" s="29"/>
      <c r="HX1380" s="29"/>
      <c r="HY1380" s="29"/>
      <c r="HZ1380" s="29"/>
      <c r="IA1380" s="29"/>
      <c r="IB1380" s="29"/>
      <c r="IC1380" s="29"/>
      <c r="ID1380" s="29"/>
      <c r="IE1380" s="29"/>
      <c r="IF1380" s="29"/>
      <c r="IG1380" s="29"/>
      <c r="IH1380" s="29"/>
      <c r="II1380" s="29"/>
      <c r="IJ1380" s="29"/>
      <c r="IK1380" s="29"/>
      <c r="IL1380" s="29"/>
      <c r="IM1380" s="29"/>
      <c r="IN1380" s="29"/>
      <c r="IO1380" s="29"/>
      <c r="IP1380" s="29"/>
      <c r="IQ1380" s="29"/>
      <c r="IR1380" s="29"/>
      <c r="IS1380" s="29"/>
      <c r="IT1380" s="29"/>
      <c r="IU1380" s="29"/>
      <c r="IV1380" s="29"/>
      <c r="IW1380" s="29"/>
      <c r="IX1380" s="29"/>
      <c r="IY1380" s="29"/>
      <c r="IZ1380" s="29"/>
      <c r="JA1380" s="29"/>
      <c r="JB1380" s="29"/>
      <c r="JC1380" s="29"/>
      <c r="JD1380" s="29"/>
      <c r="JE1380" s="29"/>
      <c r="JF1380" s="29"/>
      <c r="JG1380" s="29"/>
      <c r="JH1380" s="29"/>
      <c r="JI1380" s="29"/>
      <c r="JJ1380" s="29"/>
      <c r="JK1380" s="29"/>
      <c r="JL1380" s="29"/>
      <c r="JM1380" s="29"/>
      <c r="JN1380" s="29"/>
      <c r="JO1380" s="29"/>
      <c r="JP1380" s="29"/>
      <c r="JQ1380" s="29"/>
      <c r="JR1380" s="29"/>
      <c r="JS1380" s="29"/>
      <c r="JT1380" s="29"/>
      <c r="JU1380" s="29"/>
      <c r="JV1380" s="29"/>
      <c r="JW1380" s="29"/>
      <c r="JX1380" s="29"/>
      <c r="JY1380" s="29"/>
      <c r="JZ1380" s="29"/>
      <c r="KA1380" s="29"/>
      <c r="KB1380" s="29"/>
      <c r="KC1380" s="29"/>
      <c r="KD1380" s="29"/>
      <c r="KE1380" s="29"/>
      <c r="KF1380" s="29"/>
      <c r="KG1380" s="29"/>
      <c r="KH1380" s="29"/>
      <c r="KI1380" s="29"/>
      <c r="KJ1380" s="29"/>
      <c r="KK1380" s="29"/>
      <c r="KL1380" s="29"/>
      <c r="KM1380" s="29"/>
      <c r="KN1380" s="29"/>
      <c r="KO1380" s="29"/>
      <c r="KP1380" s="29"/>
      <c r="KQ1380" s="29"/>
      <c r="KR1380" s="29"/>
      <c r="KS1380" s="29"/>
      <c r="KT1380" s="29"/>
      <c r="KU1380" s="29"/>
      <c r="KV1380" s="29"/>
      <c r="KW1380" s="29"/>
      <c r="KX1380" s="29"/>
      <c r="KY1380" s="29"/>
      <c r="KZ1380" s="29"/>
      <c r="LA1380" s="29"/>
      <c r="LB1380" s="29"/>
      <c r="LC1380" s="29"/>
      <c r="LD1380" s="29"/>
      <c r="LE1380" s="29"/>
      <c r="LF1380" s="29"/>
      <c r="LG1380" s="29"/>
      <c r="LH1380" s="29"/>
      <c r="LI1380" s="29"/>
      <c r="LJ1380" s="29"/>
      <c r="LK1380" s="29"/>
      <c r="LL1380" s="29"/>
      <c r="LM1380" s="29"/>
      <c r="LN1380" s="29"/>
      <c r="LO1380" s="29"/>
      <c r="LP1380" s="29"/>
      <c r="LQ1380" s="29"/>
      <c r="LR1380" s="29"/>
      <c r="LS1380" s="29"/>
      <c r="LT1380" s="29"/>
      <c r="LU1380" s="29"/>
      <c r="LV1380" s="29"/>
      <c r="LW1380" s="29"/>
      <c r="LX1380" s="29"/>
      <c r="LY1380" s="29"/>
      <c r="LZ1380" s="29"/>
      <c r="MA1380" s="29"/>
      <c r="MB1380" s="29"/>
      <c r="MC1380" s="29"/>
      <c r="MD1380" s="29"/>
      <c r="ME1380" s="29"/>
      <c r="MF1380" s="29"/>
      <c r="MG1380" s="29"/>
      <c r="MH1380" s="29"/>
      <c r="MI1380" s="29"/>
      <c r="MJ1380" s="29"/>
      <c r="MK1380" s="29"/>
      <c r="ML1380" s="29"/>
      <c r="MM1380" s="29"/>
      <c r="MN1380" s="29"/>
      <c r="MO1380" s="29"/>
      <c r="MP1380" s="29"/>
      <c r="MQ1380" s="29"/>
      <c r="MR1380" s="29"/>
      <c r="MS1380" s="29"/>
      <c r="MT1380" s="29"/>
      <c r="MU1380" s="29"/>
      <c r="MV1380" s="29"/>
      <c r="MW1380" s="29"/>
      <c r="MX1380" s="29"/>
      <c r="MY1380" s="29"/>
      <c r="MZ1380" s="29"/>
      <c r="NA1380" s="29"/>
      <c r="NB1380" s="29"/>
      <c r="NC1380" s="29"/>
      <c r="ND1380" s="29"/>
      <c r="NE1380" s="29"/>
      <c r="NF1380" s="29"/>
      <c r="NG1380" s="29"/>
      <c r="NH1380" s="29"/>
      <c r="NI1380" s="29"/>
      <c r="NJ1380" s="29"/>
      <c r="NK1380" s="29"/>
      <c r="NL1380" s="29"/>
      <c r="NM1380" s="29"/>
      <c r="NN1380" s="29"/>
      <c r="NO1380" s="29"/>
      <c r="NP1380" s="29"/>
      <c r="NQ1380" s="29"/>
      <c r="NR1380" s="29"/>
      <c r="NS1380" s="29"/>
      <c r="NT1380" s="29"/>
      <c r="NU1380" s="29"/>
      <c r="NV1380" s="29"/>
      <c r="NW1380" s="29"/>
      <c r="NX1380" s="29"/>
      <c r="NY1380" s="29"/>
      <c r="NZ1380" s="29"/>
      <c r="OA1380" s="29"/>
      <c r="OB1380" s="29"/>
      <c r="OC1380" s="29"/>
      <c r="OD1380" s="29"/>
      <c r="OE1380" s="29"/>
      <c r="OF1380" s="29"/>
      <c r="OG1380" s="29"/>
      <c r="OH1380" s="29"/>
      <c r="OI1380" s="29"/>
      <c r="OJ1380" s="29"/>
      <c r="OK1380" s="29"/>
      <c r="OL1380" s="29"/>
      <c r="OM1380" s="29"/>
      <c r="ON1380" s="29"/>
      <c r="OO1380" s="29"/>
      <c r="OP1380" s="29"/>
      <c r="OQ1380" s="29"/>
      <c r="OR1380" s="29"/>
      <c r="OS1380" s="29"/>
      <c r="OT1380" s="29"/>
      <c r="OU1380" s="29"/>
      <c r="OV1380" s="29"/>
      <c r="OW1380" s="29"/>
      <c r="OX1380" s="29"/>
      <c r="OY1380" s="29"/>
      <c r="OZ1380" s="29"/>
      <c r="PA1380" s="29"/>
      <c r="PB1380" s="29"/>
      <c r="PC1380" s="29"/>
      <c r="PD1380" s="29"/>
      <c r="PE1380" s="29"/>
      <c r="PF1380" s="29"/>
      <c r="PG1380" s="29"/>
      <c r="PH1380" s="29"/>
      <c r="PI1380" s="29"/>
      <c r="PJ1380" s="29"/>
      <c r="PK1380" s="29"/>
      <c r="PL1380" s="29"/>
      <c r="PM1380" s="29"/>
      <c r="PN1380" s="29"/>
      <c r="PO1380" s="29"/>
      <c r="PP1380" s="29"/>
      <c r="PQ1380" s="29"/>
      <c r="PR1380" s="29"/>
      <c r="PS1380" s="29"/>
      <c r="PT1380" s="29"/>
      <c r="PU1380" s="29"/>
      <c r="PV1380" s="29"/>
      <c r="PW1380" s="29"/>
      <c r="PX1380" s="29"/>
      <c r="PY1380" s="29"/>
      <c r="PZ1380" s="29"/>
      <c r="QA1380" s="29"/>
      <c r="QB1380" s="29"/>
      <c r="QC1380" s="29"/>
      <c r="QD1380" s="29"/>
      <c r="QE1380" s="29"/>
      <c r="QF1380" s="29"/>
      <c r="QG1380" s="29"/>
      <c r="QH1380" s="29"/>
      <c r="QI1380" s="29"/>
      <c r="QJ1380" s="29"/>
      <c r="QK1380" s="29"/>
      <c r="QL1380" s="29"/>
      <c r="QM1380" s="29"/>
      <c r="QN1380" s="29"/>
      <c r="QO1380" s="29"/>
      <c r="QP1380" s="29"/>
      <c r="QQ1380" s="29"/>
      <c r="QR1380" s="29"/>
      <c r="QS1380" s="29"/>
      <c r="QT1380" s="29"/>
      <c r="QU1380" s="29"/>
      <c r="QV1380" s="29"/>
      <c r="QW1380" s="29"/>
      <c r="QX1380" s="29"/>
      <c r="QY1380" s="29"/>
      <c r="QZ1380" s="29"/>
      <c r="RA1380" s="29"/>
      <c r="RB1380" s="29"/>
      <c r="RC1380" s="29"/>
      <c r="RD1380" s="29"/>
      <c r="RE1380" s="29"/>
      <c r="RF1380" s="29"/>
      <c r="RG1380" s="29"/>
      <c r="RH1380" s="29"/>
      <c r="RI1380" s="29"/>
      <c r="RJ1380" s="29"/>
      <c r="RK1380" s="29"/>
      <c r="RL1380" s="29"/>
      <c r="RM1380" s="29"/>
      <c r="RN1380" s="29"/>
      <c r="RO1380" s="29"/>
      <c r="RP1380" s="29"/>
      <c r="RQ1380" s="29"/>
      <c r="RR1380" s="29"/>
      <c r="RS1380" s="29"/>
      <c r="RT1380" s="29"/>
      <c r="RU1380" s="29"/>
      <c r="RV1380" s="29"/>
      <c r="RW1380" s="29"/>
      <c r="RX1380" s="29"/>
      <c r="RY1380" s="29"/>
      <c r="RZ1380" s="29"/>
      <c r="SA1380" s="29"/>
      <c r="SB1380" s="29"/>
      <c r="SC1380" s="29"/>
      <c r="SD1380" s="29"/>
      <c r="SE1380" s="29"/>
      <c r="SF1380" s="29"/>
      <c r="SG1380" s="29"/>
      <c r="SH1380" s="29"/>
      <c r="SI1380" s="29"/>
      <c r="SJ1380" s="29"/>
      <c r="SK1380" s="29"/>
      <c r="SL1380" s="29"/>
      <c r="SM1380" s="29"/>
      <c r="SN1380" s="29"/>
      <c r="SO1380" s="29"/>
      <c r="SP1380" s="29"/>
      <c r="SQ1380" s="29"/>
      <c r="SR1380" s="29"/>
      <c r="SS1380" s="29"/>
      <c r="ST1380" s="29"/>
      <c r="SU1380" s="29"/>
      <c r="SV1380" s="29"/>
      <c r="SW1380" s="29"/>
      <c r="SX1380" s="29"/>
      <c r="SY1380" s="29"/>
      <c r="SZ1380" s="29"/>
      <c r="TA1380" s="29"/>
      <c r="TB1380" s="29"/>
      <c r="TC1380" s="29"/>
      <c r="TD1380" s="29"/>
      <c r="TE1380" s="29"/>
      <c r="TF1380" s="29"/>
      <c r="TG1380" s="29"/>
      <c r="TH1380" s="29"/>
      <c r="TI1380" s="29"/>
      <c r="TJ1380" s="29"/>
      <c r="TK1380" s="29"/>
      <c r="TL1380" s="29"/>
      <c r="TM1380" s="29"/>
      <c r="TN1380" s="29"/>
      <c r="TO1380" s="29"/>
      <c r="TP1380" s="29"/>
      <c r="TQ1380" s="29"/>
      <c r="TR1380" s="29"/>
      <c r="TS1380" s="29"/>
      <c r="TT1380" s="29"/>
      <c r="TU1380" s="29"/>
      <c r="TV1380" s="29"/>
      <c r="TW1380" s="29"/>
      <c r="TX1380" s="29"/>
      <c r="TY1380" s="29"/>
      <c r="TZ1380" s="29"/>
      <c r="UA1380" s="29"/>
      <c r="UB1380" s="29"/>
      <c r="UC1380" s="29"/>
      <c r="UD1380" s="29"/>
      <c r="UE1380" s="29"/>
      <c r="UF1380" s="29"/>
      <c r="UG1380" s="29"/>
    </row>
    <row r="1381" spans="1:553" s="845" customFormat="1" ht="80.25" customHeight="1">
      <c r="A1381" s="431">
        <v>15</v>
      </c>
      <c r="B1381" s="431"/>
      <c r="C1381" s="458" t="s">
        <v>1246</v>
      </c>
      <c r="D1381" s="1244"/>
      <c r="E1381" s="1244"/>
      <c r="F1381" s="1245"/>
      <c r="G1381" s="431"/>
      <c r="H1381" s="432"/>
      <c r="I1381" s="432"/>
      <c r="J1381" s="983"/>
      <c r="K1381" s="433"/>
      <c r="L1381" s="1196">
        <f>SUM(L1385:L1421)/2</f>
        <v>795473140</v>
      </c>
      <c r="M1381" s="431"/>
      <c r="N1381" s="431"/>
      <c r="O1381" s="431"/>
      <c r="P1381" s="431">
        <f>P1385+P1396+P1406+P1410</f>
        <v>795473140</v>
      </c>
      <c r="Q1381" s="815"/>
      <c r="R1381" s="914"/>
      <c r="S1381" s="435" t="s">
        <v>845</v>
      </c>
      <c r="T1381" s="846" t="s">
        <v>1326</v>
      </c>
      <c r="U1381" s="616">
        <f>H1385</f>
        <v>5918.5</v>
      </c>
      <c r="V1381" s="616">
        <f>I1385</f>
        <v>3438.9999999999995</v>
      </c>
      <c r="W1381" s="435">
        <f>SUM(W1383:W1395)</f>
        <v>1929.7</v>
      </c>
      <c r="X1381" s="435">
        <f t="shared" ref="X1381:AC1381" si="209">SUM(X1383:X1395)</f>
        <v>82.7</v>
      </c>
      <c r="Y1381" s="435">
        <f t="shared" si="209"/>
        <v>885.4</v>
      </c>
      <c r="Z1381" s="435">
        <f t="shared" si="209"/>
        <v>0</v>
      </c>
      <c r="AA1381" s="435">
        <f t="shared" si="209"/>
        <v>541.20000000000005</v>
      </c>
      <c r="AB1381" s="435">
        <f t="shared" si="209"/>
        <v>0</v>
      </c>
      <c r="AC1381" s="435">
        <f t="shared" si="209"/>
        <v>0</v>
      </c>
      <c r="AD1381" s="817">
        <f>L1385</f>
        <v>193160300</v>
      </c>
      <c r="AE1381" s="818">
        <f>L1396</f>
        <v>32899640</v>
      </c>
      <c r="AF1381" s="817">
        <f>L1406</f>
        <v>8659200</v>
      </c>
      <c r="AG1381" s="819">
        <f>L1409</f>
        <v>0</v>
      </c>
      <c r="AH1381" s="819">
        <f>L1410</f>
        <v>560754000</v>
      </c>
      <c r="AI1381" s="819">
        <f>L1421</f>
        <v>0</v>
      </c>
      <c r="AJ1381" s="820"/>
      <c r="AK1381" s="817">
        <f>SUM(AD1381:AJ1381)</f>
        <v>795473140</v>
      </c>
      <c r="AL1381" s="842"/>
      <c r="AM1381" s="843"/>
      <c r="AN1381" s="843"/>
      <c r="AO1381" s="843"/>
      <c r="AP1381" s="843"/>
      <c r="AQ1381" s="843"/>
      <c r="AR1381" s="843"/>
      <c r="AS1381" s="843"/>
      <c r="AT1381" s="843"/>
      <c r="AU1381" s="843"/>
      <c r="AV1381" s="843"/>
      <c r="AW1381" s="843"/>
      <c r="AX1381" s="843"/>
      <c r="AY1381" s="843"/>
      <c r="AZ1381" s="843"/>
      <c r="BA1381" s="843"/>
      <c r="BB1381" s="843"/>
      <c r="BC1381" s="843"/>
      <c r="BD1381" s="843"/>
      <c r="BE1381" s="843"/>
      <c r="BF1381" s="843"/>
      <c r="BG1381" s="843"/>
      <c r="BH1381" s="843"/>
      <c r="BI1381" s="843"/>
      <c r="BJ1381" s="843"/>
      <c r="BK1381" s="843"/>
      <c r="BL1381" s="843"/>
      <c r="BM1381" s="843"/>
      <c r="BN1381" s="843"/>
      <c r="BO1381" s="843"/>
      <c r="BP1381" s="843"/>
      <c r="BQ1381" s="843"/>
      <c r="BR1381" s="843"/>
      <c r="BS1381" s="843"/>
      <c r="BT1381" s="843"/>
      <c r="BU1381" s="843"/>
      <c r="BV1381" s="843"/>
      <c r="BW1381" s="843"/>
      <c r="BX1381" s="843"/>
      <c r="BY1381" s="843"/>
      <c r="BZ1381" s="843"/>
      <c r="CA1381" s="843"/>
      <c r="CB1381" s="843"/>
      <c r="CC1381" s="843"/>
      <c r="CD1381" s="843"/>
      <c r="CE1381" s="843"/>
      <c r="CF1381" s="843"/>
      <c r="CG1381" s="843"/>
      <c r="CH1381" s="843"/>
      <c r="CI1381" s="843"/>
      <c r="CJ1381" s="843"/>
      <c r="CK1381" s="843"/>
      <c r="CL1381" s="843"/>
      <c r="CM1381" s="843"/>
      <c r="CN1381" s="843"/>
      <c r="CO1381" s="843"/>
      <c r="CP1381" s="843"/>
      <c r="CQ1381" s="843"/>
      <c r="CR1381" s="843"/>
      <c r="CS1381" s="843"/>
      <c r="CT1381" s="843"/>
      <c r="CU1381" s="843"/>
      <c r="CV1381" s="843"/>
      <c r="CW1381" s="843"/>
      <c r="CX1381" s="843"/>
      <c r="CY1381" s="843"/>
      <c r="CZ1381" s="843"/>
      <c r="DA1381" s="843"/>
      <c r="DB1381" s="843"/>
      <c r="DC1381" s="843"/>
      <c r="DD1381" s="843"/>
      <c r="DE1381" s="843"/>
      <c r="DF1381" s="843"/>
      <c r="DG1381" s="843"/>
      <c r="DH1381" s="843"/>
      <c r="DI1381" s="843"/>
      <c r="DJ1381" s="843"/>
      <c r="DK1381" s="843"/>
      <c r="DL1381" s="843"/>
      <c r="DM1381" s="843"/>
      <c r="DN1381" s="843"/>
      <c r="DO1381" s="843"/>
      <c r="DP1381" s="843"/>
      <c r="DQ1381" s="843"/>
      <c r="DR1381" s="843"/>
      <c r="DS1381" s="843"/>
      <c r="DT1381" s="843"/>
      <c r="DU1381" s="843"/>
      <c r="DV1381" s="843"/>
      <c r="DW1381" s="843"/>
      <c r="DX1381" s="843"/>
      <c r="DY1381" s="843"/>
      <c r="DZ1381" s="843"/>
      <c r="EA1381" s="843"/>
      <c r="EB1381" s="843"/>
      <c r="EC1381" s="843"/>
      <c r="ED1381" s="843"/>
      <c r="EE1381" s="843"/>
      <c r="EF1381" s="843"/>
      <c r="EG1381" s="843"/>
      <c r="EH1381" s="843"/>
      <c r="EI1381" s="843"/>
      <c r="EJ1381" s="843"/>
      <c r="EK1381" s="843"/>
      <c r="EL1381" s="843"/>
      <c r="EM1381" s="843"/>
      <c r="EN1381" s="843"/>
      <c r="EO1381" s="843"/>
      <c r="EP1381" s="843"/>
      <c r="EQ1381" s="843"/>
      <c r="ER1381" s="843"/>
      <c r="ES1381" s="843"/>
      <c r="ET1381" s="843"/>
      <c r="EU1381" s="843"/>
      <c r="EV1381" s="843"/>
      <c r="EW1381" s="843"/>
      <c r="EX1381" s="843"/>
      <c r="EY1381" s="843"/>
      <c r="EZ1381" s="843"/>
      <c r="FA1381" s="843"/>
      <c r="FB1381" s="843"/>
      <c r="FC1381" s="843"/>
      <c r="FD1381" s="843"/>
      <c r="FE1381" s="843"/>
      <c r="FF1381" s="843"/>
      <c r="FG1381" s="843"/>
      <c r="FH1381" s="843"/>
      <c r="FI1381" s="843"/>
      <c r="FJ1381" s="843"/>
      <c r="FK1381" s="843"/>
      <c r="FL1381" s="843"/>
      <c r="FM1381" s="843"/>
      <c r="FN1381" s="843"/>
      <c r="FO1381" s="843"/>
      <c r="FP1381" s="843"/>
      <c r="FQ1381" s="843"/>
      <c r="FR1381" s="843"/>
      <c r="FS1381" s="843"/>
      <c r="FT1381" s="843"/>
      <c r="FU1381" s="843"/>
      <c r="FV1381" s="843"/>
      <c r="FW1381" s="843"/>
      <c r="FX1381" s="843"/>
      <c r="FY1381" s="843"/>
      <c r="FZ1381" s="843"/>
      <c r="GA1381" s="843"/>
      <c r="GB1381" s="843"/>
      <c r="GC1381" s="843"/>
      <c r="GD1381" s="843"/>
      <c r="GE1381" s="843"/>
      <c r="GF1381" s="843"/>
      <c r="GG1381" s="843"/>
      <c r="GH1381" s="843"/>
      <c r="GI1381" s="843"/>
      <c r="GJ1381" s="843"/>
      <c r="GK1381" s="843"/>
      <c r="GL1381" s="843"/>
      <c r="GM1381" s="843"/>
      <c r="GN1381" s="843"/>
      <c r="GO1381" s="843"/>
      <c r="GP1381" s="843"/>
      <c r="GQ1381" s="843"/>
      <c r="GR1381" s="843"/>
      <c r="GS1381" s="843"/>
      <c r="GT1381" s="843"/>
      <c r="GU1381" s="843"/>
      <c r="GV1381" s="843"/>
      <c r="GW1381" s="843"/>
      <c r="GX1381" s="843"/>
      <c r="GY1381" s="843"/>
      <c r="GZ1381" s="843"/>
      <c r="HA1381" s="843"/>
      <c r="HB1381" s="843"/>
      <c r="HC1381" s="843"/>
      <c r="HD1381" s="843"/>
      <c r="HE1381" s="843"/>
      <c r="HF1381" s="843"/>
      <c r="HG1381" s="843"/>
      <c r="HH1381" s="843"/>
      <c r="HI1381" s="843"/>
      <c r="HJ1381" s="843"/>
      <c r="HK1381" s="843"/>
      <c r="HL1381" s="843"/>
      <c r="HM1381" s="843"/>
      <c r="HN1381" s="843"/>
      <c r="HO1381" s="843"/>
      <c r="HP1381" s="843"/>
      <c r="HQ1381" s="843"/>
      <c r="HR1381" s="843"/>
      <c r="HS1381" s="843"/>
      <c r="HT1381" s="843"/>
      <c r="HU1381" s="843"/>
      <c r="HV1381" s="843"/>
      <c r="HW1381" s="843"/>
      <c r="HX1381" s="843"/>
      <c r="HY1381" s="843"/>
      <c r="HZ1381" s="843"/>
      <c r="IA1381" s="843"/>
      <c r="IB1381" s="843"/>
      <c r="IC1381" s="843"/>
      <c r="ID1381" s="843"/>
      <c r="IE1381" s="843"/>
      <c r="IF1381" s="843"/>
      <c r="IG1381" s="843"/>
      <c r="IH1381" s="843"/>
      <c r="II1381" s="843"/>
      <c r="IJ1381" s="843"/>
      <c r="IK1381" s="843"/>
      <c r="IL1381" s="843"/>
      <c r="IM1381" s="843"/>
      <c r="IN1381" s="843"/>
      <c r="IO1381" s="843"/>
      <c r="IP1381" s="843"/>
      <c r="IQ1381" s="843"/>
      <c r="IR1381" s="843"/>
      <c r="IS1381" s="843"/>
      <c r="IT1381" s="843"/>
      <c r="IU1381" s="843"/>
      <c r="IV1381" s="843"/>
      <c r="IW1381" s="843"/>
      <c r="IX1381" s="843"/>
      <c r="IY1381" s="843"/>
      <c r="IZ1381" s="843"/>
      <c r="JA1381" s="843"/>
      <c r="JB1381" s="843"/>
      <c r="JC1381" s="843"/>
      <c r="JD1381" s="843"/>
      <c r="JE1381" s="843"/>
      <c r="JF1381" s="843"/>
      <c r="JG1381" s="843"/>
      <c r="JH1381" s="843"/>
      <c r="JI1381" s="843"/>
      <c r="JJ1381" s="843"/>
      <c r="JK1381" s="843"/>
      <c r="JL1381" s="843"/>
      <c r="JM1381" s="843"/>
      <c r="JN1381" s="843"/>
      <c r="JO1381" s="843"/>
      <c r="JP1381" s="843"/>
      <c r="JQ1381" s="843"/>
      <c r="JR1381" s="843"/>
      <c r="JS1381" s="843"/>
      <c r="JT1381" s="843"/>
      <c r="JU1381" s="843"/>
      <c r="JV1381" s="843"/>
      <c r="JW1381" s="843"/>
      <c r="JX1381" s="843"/>
      <c r="JY1381" s="843"/>
      <c r="JZ1381" s="843"/>
      <c r="KA1381" s="843"/>
      <c r="KB1381" s="843"/>
      <c r="KC1381" s="843"/>
      <c r="KD1381" s="843"/>
      <c r="KE1381" s="843"/>
      <c r="KF1381" s="843"/>
      <c r="KG1381" s="843"/>
      <c r="KH1381" s="843"/>
      <c r="KI1381" s="843"/>
      <c r="KJ1381" s="843"/>
      <c r="KK1381" s="843"/>
      <c r="KL1381" s="843"/>
      <c r="KM1381" s="843"/>
      <c r="KN1381" s="843"/>
      <c r="KO1381" s="843"/>
      <c r="KP1381" s="843"/>
      <c r="KQ1381" s="843"/>
      <c r="KR1381" s="843"/>
      <c r="KS1381" s="843"/>
      <c r="KT1381" s="843"/>
      <c r="KU1381" s="843"/>
      <c r="KV1381" s="843"/>
      <c r="KW1381" s="843"/>
      <c r="KX1381" s="843"/>
      <c r="KY1381" s="843"/>
      <c r="KZ1381" s="843"/>
      <c r="LA1381" s="843"/>
      <c r="LB1381" s="843"/>
      <c r="LC1381" s="843"/>
      <c r="LD1381" s="843"/>
      <c r="LE1381" s="843"/>
      <c r="LF1381" s="843"/>
      <c r="LG1381" s="843"/>
      <c r="LH1381" s="843"/>
      <c r="LI1381" s="843"/>
      <c r="LJ1381" s="843"/>
      <c r="LK1381" s="843"/>
      <c r="LL1381" s="843"/>
      <c r="LM1381" s="843"/>
      <c r="LN1381" s="843"/>
      <c r="LO1381" s="843"/>
      <c r="LP1381" s="843"/>
      <c r="LQ1381" s="843"/>
      <c r="LR1381" s="843"/>
      <c r="LS1381" s="843"/>
      <c r="LT1381" s="843"/>
      <c r="LU1381" s="843"/>
      <c r="LV1381" s="843"/>
      <c r="LW1381" s="843"/>
      <c r="LX1381" s="843"/>
      <c r="LY1381" s="843"/>
      <c r="LZ1381" s="843"/>
      <c r="MA1381" s="843"/>
      <c r="MB1381" s="843"/>
      <c r="MC1381" s="843"/>
      <c r="MD1381" s="843"/>
      <c r="ME1381" s="843"/>
      <c r="MF1381" s="843"/>
      <c r="MG1381" s="843"/>
      <c r="MH1381" s="843"/>
      <c r="MI1381" s="843"/>
      <c r="MJ1381" s="843"/>
      <c r="MK1381" s="843"/>
      <c r="ML1381" s="843"/>
      <c r="MM1381" s="843"/>
      <c r="MN1381" s="843"/>
      <c r="MO1381" s="843"/>
      <c r="MP1381" s="843"/>
      <c r="MQ1381" s="843"/>
      <c r="MR1381" s="843"/>
      <c r="MS1381" s="843"/>
      <c r="MT1381" s="843"/>
      <c r="MU1381" s="843"/>
      <c r="MV1381" s="843"/>
      <c r="MW1381" s="843"/>
      <c r="MX1381" s="843"/>
      <c r="MY1381" s="843"/>
      <c r="MZ1381" s="843"/>
      <c r="NA1381" s="843"/>
      <c r="NB1381" s="843"/>
      <c r="NC1381" s="843"/>
      <c r="ND1381" s="843"/>
      <c r="NE1381" s="843"/>
      <c r="NF1381" s="843"/>
      <c r="NG1381" s="843"/>
      <c r="NH1381" s="843"/>
      <c r="NI1381" s="843"/>
      <c r="NJ1381" s="843"/>
      <c r="NK1381" s="843"/>
      <c r="NL1381" s="843"/>
      <c r="NM1381" s="843"/>
      <c r="NN1381" s="843"/>
      <c r="NO1381" s="843"/>
      <c r="NP1381" s="843"/>
      <c r="NQ1381" s="843"/>
      <c r="NR1381" s="843"/>
      <c r="NS1381" s="843"/>
      <c r="NT1381" s="843"/>
      <c r="NU1381" s="843"/>
      <c r="NV1381" s="843"/>
      <c r="NW1381" s="843"/>
      <c r="NX1381" s="843"/>
      <c r="NY1381" s="843"/>
      <c r="NZ1381" s="843"/>
      <c r="OA1381" s="843"/>
      <c r="OB1381" s="843"/>
      <c r="OC1381" s="843"/>
      <c r="OD1381" s="843"/>
      <c r="OE1381" s="843"/>
      <c r="OF1381" s="843"/>
      <c r="OG1381" s="843"/>
      <c r="OH1381" s="843"/>
      <c r="OI1381" s="843"/>
      <c r="OJ1381" s="843"/>
      <c r="OK1381" s="843"/>
      <c r="OL1381" s="843"/>
      <c r="OM1381" s="843"/>
      <c r="ON1381" s="843"/>
      <c r="OO1381" s="843"/>
      <c r="OP1381" s="843"/>
      <c r="OQ1381" s="843"/>
      <c r="OR1381" s="843"/>
      <c r="OS1381" s="843"/>
      <c r="OT1381" s="843"/>
      <c r="OU1381" s="843"/>
      <c r="OV1381" s="843"/>
      <c r="OW1381" s="843"/>
      <c r="OX1381" s="843"/>
      <c r="OY1381" s="843"/>
      <c r="OZ1381" s="843"/>
      <c r="PA1381" s="843"/>
      <c r="PB1381" s="843"/>
      <c r="PC1381" s="843"/>
      <c r="PD1381" s="843"/>
      <c r="PE1381" s="843"/>
      <c r="PF1381" s="843"/>
      <c r="PG1381" s="843"/>
      <c r="PH1381" s="843"/>
      <c r="PI1381" s="843"/>
      <c r="PJ1381" s="843"/>
      <c r="PK1381" s="843"/>
      <c r="PL1381" s="843"/>
      <c r="PM1381" s="843"/>
      <c r="PN1381" s="843"/>
      <c r="PO1381" s="843"/>
      <c r="PP1381" s="843"/>
      <c r="PQ1381" s="843"/>
      <c r="PR1381" s="843"/>
      <c r="PS1381" s="843"/>
      <c r="PT1381" s="843"/>
      <c r="PU1381" s="843"/>
      <c r="PV1381" s="843"/>
      <c r="PW1381" s="843"/>
      <c r="PX1381" s="843"/>
      <c r="PY1381" s="843"/>
      <c r="PZ1381" s="843"/>
      <c r="QA1381" s="843"/>
      <c r="QB1381" s="843"/>
      <c r="QC1381" s="843"/>
      <c r="QD1381" s="843"/>
      <c r="QE1381" s="843"/>
      <c r="QF1381" s="843"/>
      <c r="QG1381" s="843"/>
      <c r="QH1381" s="843"/>
      <c r="QI1381" s="843"/>
      <c r="QJ1381" s="843"/>
      <c r="QK1381" s="843"/>
      <c r="QL1381" s="843"/>
      <c r="QM1381" s="843"/>
      <c r="QN1381" s="843"/>
      <c r="QO1381" s="843"/>
      <c r="QP1381" s="843"/>
      <c r="QQ1381" s="843"/>
      <c r="QR1381" s="843"/>
      <c r="QS1381" s="843"/>
      <c r="QT1381" s="843"/>
      <c r="QU1381" s="843"/>
      <c r="QV1381" s="843"/>
      <c r="QW1381" s="843"/>
      <c r="QX1381" s="843"/>
      <c r="QY1381" s="843"/>
      <c r="QZ1381" s="843"/>
      <c r="RA1381" s="843"/>
      <c r="RB1381" s="843"/>
      <c r="RC1381" s="843"/>
      <c r="RD1381" s="843"/>
      <c r="RE1381" s="843"/>
      <c r="RF1381" s="843"/>
      <c r="RG1381" s="843"/>
      <c r="RH1381" s="843"/>
      <c r="RI1381" s="843"/>
      <c r="RJ1381" s="843"/>
      <c r="RK1381" s="843"/>
      <c r="RL1381" s="843"/>
      <c r="RM1381" s="843"/>
      <c r="RN1381" s="843"/>
      <c r="RO1381" s="843"/>
      <c r="RP1381" s="843"/>
      <c r="RQ1381" s="843"/>
      <c r="RR1381" s="843"/>
      <c r="RS1381" s="843"/>
      <c r="RT1381" s="843"/>
      <c r="RU1381" s="843"/>
      <c r="RV1381" s="843"/>
      <c r="RW1381" s="843"/>
      <c r="RX1381" s="843"/>
      <c r="RY1381" s="843"/>
      <c r="RZ1381" s="843"/>
      <c r="SA1381" s="843"/>
      <c r="SB1381" s="843"/>
      <c r="SC1381" s="843"/>
      <c r="SD1381" s="843"/>
      <c r="SE1381" s="843"/>
      <c r="SF1381" s="843"/>
      <c r="SG1381" s="843"/>
      <c r="SH1381" s="843"/>
      <c r="SI1381" s="843"/>
      <c r="SJ1381" s="843"/>
      <c r="SK1381" s="843"/>
      <c r="SL1381" s="843"/>
      <c r="SM1381" s="843"/>
      <c r="SN1381" s="843"/>
      <c r="SO1381" s="843"/>
      <c r="SP1381" s="843"/>
      <c r="SQ1381" s="843"/>
      <c r="SR1381" s="843"/>
      <c r="SS1381" s="843"/>
      <c r="ST1381" s="843"/>
      <c r="SU1381" s="843"/>
      <c r="SV1381" s="843"/>
      <c r="SW1381" s="843"/>
      <c r="SX1381" s="843"/>
      <c r="SY1381" s="843"/>
      <c r="SZ1381" s="843"/>
      <c r="TA1381" s="843"/>
      <c r="TB1381" s="843"/>
      <c r="TC1381" s="843"/>
      <c r="TD1381" s="843"/>
      <c r="TE1381" s="843"/>
      <c r="TF1381" s="843"/>
      <c r="TG1381" s="843"/>
      <c r="TH1381" s="843"/>
      <c r="TI1381" s="843"/>
      <c r="TJ1381" s="843"/>
      <c r="TK1381" s="843"/>
      <c r="TL1381" s="843"/>
      <c r="TM1381" s="843"/>
      <c r="TN1381" s="843"/>
      <c r="TO1381" s="843"/>
      <c r="TP1381" s="843"/>
      <c r="TQ1381" s="843"/>
      <c r="TR1381" s="843"/>
      <c r="TS1381" s="843"/>
      <c r="TT1381" s="843"/>
      <c r="TU1381" s="843"/>
      <c r="TV1381" s="843"/>
      <c r="TW1381" s="843"/>
      <c r="TX1381" s="843"/>
      <c r="TY1381" s="843"/>
      <c r="TZ1381" s="843"/>
      <c r="UA1381" s="843"/>
      <c r="UB1381" s="843"/>
      <c r="UC1381" s="843"/>
      <c r="UD1381" s="843"/>
      <c r="UE1381" s="843"/>
      <c r="UF1381" s="843"/>
      <c r="UG1381" s="844"/>
    </row>
    <row r="1382" spans="1:553" s="109" customFormat="1" ht="42.75" customHeight="1">
      <c r="A1382" s="356" t="s">
        <v>15</v>
      </c>
      <c r="B1382" s="366"/>
      <c r="C1382" s="1404" t="s">
        <v>733</v>
      </c>
      <c r="D1382" s="1389"/>
      <c r="E1382" s="1389"/>
      <c r="F1382" s="1390"/>
      <c r="G1382" s="366"/>
      <c r="H1382" s="370"/>
      <c r="I1382" s="439"/>
      <c r="J1382" s="368"/>
      <c r="K1382" s="371"/>
      <c r="L1382" s="480"/>
      <c r="M1382" s="366"/>
      <c r="N1382" s="366"/>
      <c r="O1382" s="366"/>
      <c r="P1382" s="366"/>
      <c r="Q1382" s="812"/>
      <c r="R1382" s="1226"/>
      <c r="S1382" s="308"/>
      <c r="T1382" s="308"/>
      <c r="U1382" s="308"/>
      <c r="V1382" s="308"/>
      <c r="W1382" s="308"/>
      <c r="X1382" s="308"/>
      <c r="Y1382" s="308"/>
      <c r="Z1382" s="604"/>
      <c r="AA1382" s="308"/>
      <c r="AB1382" s="308"/>
      <c r="AC1382" s="486"/>
      <c r="AD1382" s="486"/>
      <c r="AE1382" s="486"/>
      <c r="AF1382" s="486"/>
      <c r="AG1382" s="486"/>
      <c r="AH1382" s="486"/>
      <c r="AI1382" s="486"/>
      <c r="AJ1382" s="486"/>
      <c r="AK1382" s="486"/>
      <c r="AL1382" s="329"/>
      <c r="AM1382" s="155"/>
      <c r="AN1382" s="155"/>
      <c r="AO1382" s="155"/>
      <c r="AP1382" s="155"/>
      <c r="AQ1382" s="155"/>
      <c r="AR1382" s="155"/>
      <c r="AS1382" s="155"/>
      <c r="AT1382" s="155"/>
      <c r="AU1382" s="155"/>
      <c r="AV1382" s="155"/>
      <c r="AW1382" s="155"/>
      <c r="AX1382" s="155"/>
      <c r="AY1382" s="155"/>
      <c r="AZ1382" s="155"/>
      <c r="BA1382" s="155"/>
      <c r="BB1382" s="155"/>
      <c r="BC1382" s="155"/>
      <c r="BD1382" s="155"/>
      <c r="BE1382" s="155"/>
      <c r="BF1382" s="155"/>
      <c r="BG1382" s="155"/>
      <c r="BH1382" s="155"/>
      <c r="BI1382" s="155"/>
      <c r="BJ1382" s="155"/>
      <c r="BK1382" s="155"/>
      <c r="BL1382" s="155"/>
      <c r="BM1382" s="155"/>
      <c r="BN1382" s="155"/>
      <c r="BO1382" s="155"/>
      <c r="BP1382" s="155"/>
      <c r="BQ1382" s="155"/>
      <c r="BR1382" s="155"/>
      <c r="BS1382" s="155"/>
      <c r="BT1382" s="155"/>
      <c r="BU1382" s="155"/>
      <c r="BV1382" s="155"/>
      <c r="BW1382" s="155"/>
      <c r="BX1382" s="155"/>
      <c r="BY1382" s="155"/>
      <c r="BZ1382" s="155"/>
      <c r="CA1382" s="155"/>
      <c r="CB1382" s="155"/>
      <c r="CC1382" s="155"/>
      <c r="CD1382" s="155"/>
      <c r="CE1382" s="155"/>
      <c r="CF1382" s="155"/>
      <c r="CG1382" s="155"/>
      <c r="CH1382" s="155"/>
      <c r="CI1382" s="155"/>
      <c r="CJ1382" s="155"/>
      <c r="CK1382" s="155"/>
      <c r="CL1382" s="155"/>
      <c r="CM1382" s="155"/>
      <c r="CN1382" s="155"/>
      <c r="CO1382" s="155"/>
      <c r="CP1382" s="155"/>
      <c r="CQ1382" s="155"/>
      <c r="CR1382" s="155"/>
      <c r="CS1382" s="155"/>
      <c r="CT1382" s="155"/>
      <c r="CU1382" s="155"/>
      <c r="CV1382" s="155"/>
      <c r="CW1382" s="155"/>
      <c r="CX1382" s="155"/>
      <c r="CY1382" s="155"/>
      <c r="CZ1382" s="155"/>
      <c r="DA1382" s="155"/>
      <c r="DB1382" s="155"/>
      <c r="DC1382" s="155"/>
      <c r="DD1382" s="155"/>
      <c r="DE1382" s="155"/>
      <c r="DF1382" s="155"/>
      <c r="DG1382" s="155"/>
      <c r="DH1382" s="155"/>
      <c r="DI1382" s="155"/>
      <c r="DJ1382" s="155"/>
      <c r="DK1382" s="155"/>
      <c r="DL1382" s="155"/>
      <c r="DM1382" s="155"/>
      <c r="DN1382" s="155"/>
      <c r="DO1382" s="155"/>
      <c r="DP1382" s="155"/>
      <c r="DQ1382" s="155"/>
      <c r="DR1382" s="155"/>
      <c r="DS1382" s="155"/>
      <c r="DT1382" s="155"/>
      <c r="DU1382" s="155"/>
      <c r="DV1382" s="155"/>
      <c r="DW1382" s="155"/>
      <c r="DX1382" s="155"/>
      <c r="DY1382" s="155"/>
      <c r="DZ1382" s="155"/>
      <c r="EA1382" s="155"/>
      <c r="EB1382" s="155"/>
      <c r="EC1382" s="155"/>
      <c r="ED1382" s="155"/>
      <c r="EE1382" s="155"/>
      <c r="EF1382" s="155"/>
      <c r="EG1382" s="155"/>
      <c r="EH1382" s="155"/>
      <c r="EI1382" s="155"/>
      <c r="EJ1382" s="155"/>
      <c r="EK1382" s="155"/>
      <c r="EL1382" s="155"/>
      <c r="EM1382" s="155"/>
      <c r="EN1382" s="155"/>
      <c r="EO1382" s="155"/>
      <c r="EP1382" s="155"/>
      <c r="EQ1382" s="155"/>
      <c r="ER1382" s="155"/>
      <c r="ES1382" s="155"/>
      <c r="ET1382" s="155"/>
      <c r="EU1382" s="155"/>
      <c r="EV1382" s="155"/>
      <c r="EW1382" s="155"/>
      <c r="EX1382" s="155"/>
      <c r="EY1382" s="155"/>
      <c r="EZ1382" s="155"/>
      <c r="FA1382" s="155"/>
      <c r="FB1382" s="155"/>
      <c r="FC1382" s="155"/>
      <c r="FD1382" s="155"/>
      <c r="FE1382" s="155"/>
      <c r="FF1382" s="155"/>
      <c r="FG1382" s="155"/>
      <c r="FH1382" s="155"/>
      <c r="FI1382" s="155"/>
      <c r="FJ1382" s="155"/>
      <c r="FK1382" s="155"/>
      <c r="FL1382" s="155"/>
      <c r="FM1382" s="155"/>
      <c r="FN1382" s="155"/>
      <c r="FO1382" s="155"/>
      <c r="FP1382" s="155"/>
      <c r="FQ1382" s="155"/>
      <c r="FR1382" s="155"/>
      <c r="FS1382" s="155"/>
      <c r="FT1382" s="155"/>
      <c r="FU1382" s="155"/>
      <c r="FV1382" s="155"/>
      <c r="FW1382" s="155"/>
      <c r="FX1382" s="155"/>
      <c r="FY1382" s="155"/>
      <c r="FZ1382" s="155"/>
      <c r="GA1382" s="155"/>
      <c r="GB1382" s="155"/>
      <c r="GC1382" s="155"/>
      <c r="GD1382" s="155"/>
      <c r="GE1382" s="155"/>
      <c r="GF1382" s="155"/>
      <c r="GG1382" s="155"/>
      <c r="GH1382" s="155"/>
      <c r="GI1382" s="155"/>
      <c r="GJ1382" s="155"/>
      <c r="GK1382" s="155"/>
      <c r="GL1382" s="155"/>
      <c r="GM1382" s="155"/>
      <c r="GN1382" s="155"/>
      <c r="GO1382" s="155"/>
      <c r="GP1382" s="155"/>
      <c r="GQ1382" s="155"/>
      <c r="GR1382" s="155"/>
      <c r="GS1382" s="155"/>
      <c r="GT1382" s="155"/>
      <c r="GU1382" s="155"/>
      <c r="GV1382" s="155"/>
      <c r="GW1382" s="155"/>
      <c r="GX1382" s="155"/>
      <c r="GY1382" s="155"/>
      <c r="GZ1382" s="155"/>
      <c r="HA1382" s="155"/>
      <c r="HB1382" s="155"/>
      <c r="HC1382" s="155"/>
      <c r="HD1382" s="155"/>
      <c r="HE1382" s="155"/>
      <c r="HF1382" s="155"/>
      <c r="HG1382" s="155"/>
      <c r="HH1382" s="155"/>
      <c r="HI1382" s="155"/>
      <c r="HJ1382" s="155"/>
      <c r="HK1382" s="155"/>
      <c r="HL1382" s="155"/>
      <c r="HM1382" s="155"/>
      <c r="HN1382" s="155"/>
      <c r="HO1382" s="155"/>
      <c r="HP1382" s="155"/>
      <c r="HQ1382" s="155"/>
      <c r="HR1382" s="155"/>
      <c r="HS1382" s="155"/>
      <c r="HT1382" s="155"/>
      <c r="HU1382" s="155"/>
      <c r="HV1382" s="155"/>
      <c r="HW1382" s="155"/>
      <c r="HX1382" s="155"/>
      <c r="HY1382" s="155"/>
      <c r="HZ1382" s="155"/>
      <c r="IA1382" s="155"/>
      <c r="IB1382" s="155"/>
      <c r="IC1382" s="155"/>
      <c r="ID1382" s="155"/>
      <c r="IE1382" s="155"/>
      <c r="IF1382" s="155"/>
      <c r="IG1382" s="155"/>
      <c r="IH1382" s="155"/>
      <c r="II1382" s="155"/>
      <c r="IJ1382" s="155"/>
      <c r="IK1382" s="155"/>
      <c r="IL1382" s="155"/>
      <c r="IM1382" s="155"/>
      <c r="IN1382" s="155"/>
      <c r="IO1382" s="155"/>
      <c r="IP1382" s="155"/>
      <c r="IQ1382" s="155"/>
      <c r="IR1382" s="155"/>
      <c r="IS1382" s="155"/>
      <c r="IT1382" s="155"/>
      <c r="IU1382" s="155"/>
      <c r="IV1382" s="155"/>
      <c r="IW1382" s="155"/>
      <c r="IX1382" s="155"/>
      <c r="IY1382" s="155"/>
      <c r="IZ1382" s="155"/>
      <c r="JA1382" s="155"/>
      <c r="JB1382" s="155"/>
      <c r="JC1382" s="155"/>
      <c r="JD1382" s="155"/>
      <c r="JE1382" s="155"/>
      <c r="JF1382" s="155"/>
      <c r="JG1382" s="155"/>
      <c r="JH1382" s="155"/>
      <c r="JI1382" s="155"/>
      <c r="JJ1382" s="155"/>
      <c r="JK1382" s="155"/>
      <c r="JL1382" s="155"/>
      <c r="JM1382" s="155"/>
      <c r="JN1382" s="155"/>
      <c r="JO1382" s="155"/>
      <c r="JP1382" s="155"/>
      <c r="JQ1382" s="155"/>
      <c r="JR1382" s="155"/>
      <c r="JS1382" s="155"/>
      <c r="JT1382" s="155"/>
      <c r="JU1382" s="155"/>
      <c r="JV1382" s="155"/>
      <c r="JW1382" s="155"/>
      <c r="JX1382" s="155"/>
      <c r="JY1382" s="155"/>
      <c r="JZ1382" s="155"/>
      <c r="KA1382" s="155"/>
      <c r="KB1382" s="155"/>
      <c r="KC1382" s="155"/>
      <c r="KD1382" s="155"/>
      <c r="KE1382" s="155"/>
      <c r="KF1382" s="155"/>
      <c r="KG1382" s="155"/>
      <c r="KH1382" s="155"/>
      <c r="KI1382" s="155"/>
      <c r="KJ1382" s="155"/>
      <c r="KK1382" s="155"/>
      <c r="KL1382" s="155"/>
      <c r="KM1382" s="155"/>
      <c r="KN1382" s="155"/>
      <c r="KO1382" s="155"/>
      <c r="KP1382" s="155"/>
      <c r="KQ1382" s="155"/>
      <c r="KR1382" s="155"/>
      <c r="KS1382" s="155"/>
      <c r="KT1382" s="155"/>
      <c r="KU1382" s="155"/>
      <c r="KV1382" s="155"/>
      <c r="KW1382" s="155"/>
      <c r="KX1382" s="155"/>
      <c r="KY1382" s="155"/>
      <c r="KZ1382" s="155"/>
      <c r="LA1382" s="155"/>
      <c r="LB1382" s="155"/>
      <c r="LC1382" s="155"/>
      <c r="LD1382" s="155"/>
      <c r="LE1382" s="155"/>
      <c r="LF1382" s="155"/>
      <c r="LG1382" s="155"/>
      <c r="LH1382" s="155"/>
      <c r="LI1382" s="155"/>
      <c r="LJ1382" s="155"/>
      <c r="LK1382" s="155"/>
      <c r="LL1382" s="155"/>
      <c r="LM1382" s="155"/>
      <c r="LN1382" s="155"/>
      <c r="LO1382" s="155"/>
      <c r="LP1382" s="155"/>
      <c r="LQ1382" s="155"/>
      <c r="LR1382" s="155"/>
      <c r="LS1382" s="155"/>
      <c r="LT1382" s="155"/>
      <c r="LU1382" s="155"/>
      <c r="LV1382" s="155"/>
      <c r="LW1382" s="155"/>
      <c r="LX1382" s="155"/>
      <c r="LY1382" s="155"/>
      <c r="LZ1382" s="155"/>
      <c r="MA1382" s="155"/>
      <c r="MB1382" s="155"/>
      <c r="MC1382" s="155"/>
      <c r="MD1382" s="155"/>
      <c r="ME1382" s="155"/>
      <c r="MF1382" s="155"/>
      <c r="MG1382" s="155"/>
      <c r="MH1382" s="155"/>
      <c r="MI1382" s="155"/>
      <c r="MJ1382" s="155"/>
      <c r="MK1382" s="155"/>
      <c r="ML1382" s="155"/>
      <c r="MM1382" s="155"/>
      <c r="MN1382" s="155"/>
      <c r="MO1382" s="155"/>
      <c r="MP1382" s="155"/>
      <c r="MQ1382" s="155"/>
      <c r="MR1382" s="155"/>
      <c r="MS1382" s="155"/>
      <c r="MT1382" s="155"/>
      <c r="MU1382" s="155"/>
      <c r="MV1382" s="155"/>
      <c r="MW1382" s="155"/>
      <c r="MX1382" s="155"/>
      <c r="MY1382" s="155"/>
      <c r="MZ1382" s="155"/>
      <c r="NA1382" s="155"/>
      <c r="NB1382" s="155"/>
      <c r="NC1382" s="155"/>
      <c r="ND1382" s="155"/>
      <c r="NE1382" s="155"/>
      <c r="NF1382" s="155"/>
      <c r="NG1382" s="155"/>
      <c r="NH1382" s="155"/>
      <c r="NI1382" s="155"/>
      <c r="NJ1382" s="155"/>
      <c r="NK1382" s="155"/>
      <c r="NL1382" s="155"/>
      <c r="NM1382" s="155"/>
      <c r="NN1382" s="155"/>
      <c r="NO1382" s="155"/>
      <c r="NP1382" s="155"/>
      <c r="NQ1382" s="155"/>
      <c r="NR1382" s="155"/>
      <c r="NS1382" s="155"/>
      <c r="NT1382" s="155"/>
      <c r="NU1382" s="155"/>
      <c r="NV1382" s="155"/>
      <c r="NW1382" s="155"/>
      <c r="NX1382" s="155"/>
      <c r="NY1382" s="155"/>
      <c r="NZ1382" s="155"/>
      <c r="OA1382" s="155"/>
      <c r="OB1382" s="155"/>
      <c r="OC1382" s="155"/>
      <c r="OD1382" s="155"/>
      <c r="OE1382" s="155"/>
      <c r="OF1382" s="155"/>
      <c r="OG1382" s="155"/>
      <c r="OH1382" s="155"/>
      <c r="OI1382" s="155"/>
      <c r="OJ1382" s="155"/>
      <c r="OK1382" s="155"/>
      <c r="OL1382" s="155"/>
      <c r="OM1382" s="155"/>
      <c r="ON1382" s="155"/>
      <c r="OO1382" s="155"/>
      <c r="OP1382" s="155"/>
      <c r="OQ1382" s="155"/>
      <c r="OR1382" s="155"/>
      <c r="OS1382" s="155"/>
      <c r="OT1382" s="155"/>
      <c r="OU1382" s="155"/>
      <c r="OV1382" s="155"/>
      <c r="OW1382" s="155"/>
      <c r="OX1382" s="155"/>
      <c r="OY1382" s="155"/>
      <c r="OZ1382" s="155"/>
      <c r="PA1382" s="155"/>
      <c r="PB1382" s="155"/>
      <c r="PC1382" s="155"/>
      <c r="PD1382" s="155"/>
      <c r="PE1382" s="155"/>
      <c r="PF1382" s="155"/>
      <c r="PG1382" s="155"/>
      <c r="PH1382" s="155"/>
      <c r="PI1382" s="155"/>
      <c r="PJ1382" s="155"/>
      <c r="PK1382" s="155"/>
      <c r="PL1382" s="155"/>
      <c r="PM1382" s="155"/>
      <c r="PN1382" s="155"/>
      <c r="PO1382" s="155"/>
      <c r="PP1382" s="155"/>
      <c r="PQ1382" s="155"/>
      <c r="PR1382" s="155"/>
      <c r="PS1382" s="155"/>
      <c r="PT1382" s="155"/>
      <c r="PU1382" s="155"/>
      <c r="PV1382" s="155"/>
      <c r="PW1382" s="155"/>
      <c r="PX1382" s="155"/>
      <c r="PY1382" s="155"/>
      <c r="PZ1382" s="155"/>
      <c r="QA1382" s="155"/>
      <c r="QB1382" s="155"/>
      <c r="QC1382" s="155"/>
      <c r="QD1382" s="155"/>
      <c r="QE1382" s="155"/>
      <c r="QF1382" s="155"/>
      <c r="QG1382" s="155"/>
      <c r="QH1382" s="155"/>
      <c r="QI1382" s="155"/>
      <c r="QJ1382" s="155"/>
      <c r="QK1382" s="155"/>
      <c r="QL1382" s="155"/>
      <c r="QM1382" s="155"/>
      <c r="QN1382" s="155"/>
      <c r="QO1382" s="155"/>
      <c r="QP1382" s="155"/>
      <c r="QQ1382" s="155"/>
      <c r="QR1382" s="155"/>
      <c r="QS1382" s="155"/>
      <c r="QT1382" s="155"/>
      <c r="QU1382" s="155"/>
      <c r="QV1382" s="155"/>
      <c r="QW1382" s="155"/>
      <c r="QX1382" s="155"/>
      <c r="QY1382" s="155"/>
      <c r="QZ1382" s="155"/>
      <c r="RA1382" s="155"/>
      <c r="RB1382" s="155"/>
      <c r="RC1382" s="155"/>
      <c r="RD1382" s="155"/>
      <c r="RE1382" s="155"/>
      <c r="RF1382" s="155"/>
      <c r="RG1382" s="155"/>
      <c r="RH1382" s="155"/>
      <c r="RI1382" s="155"/>
      <c r="RJ1382" s="155"/>
      <c r="RK1382" s="155"/>
      <c r="RL1382" s="155"/>
      <c r="RM1382" s="155"/>
      <c r="RN1382" s="155"/>
      <c r="RO1382" s="155"/>
      <c r="RP1382" s="155"/>
      <c r="RQ1382" s="155"/>
      <c r="RR1382" s="155"/>
      <c r="RS1382" s="155"/>
      <c r="RT1382" s="155"/>
      <c r="RU1382" s="155"/>
      <c r="RV1382" s="155"/>
      <c r="RW1382" s="155"/>
      <c r="RX1382" s="155"/>
      <c r="RY1382" s="155"/>
      <c r="RZ1382" s="155"/>
      <c r="SA1382" s="155"/>
      <c r="SB1382" s="155"/>
      <c r="SC1382" s="155"/>
      <c r="SD1382" s="155"/>
      <c r="SE1382" s="155"/>
      <c r="SF1382" s="155"/>
      <c r="SG1382" s="155"/>
      <c r="SH1382" s="155"/>
      <c r="SI1382" s="155"/>
      <c r="SJ1382" s="155"/>
      <c r="SK1382" s="155"/>
      <c r="SL1382" s="155"/>
      <c r="SM1382" s="155"/>
      <c r="SN1382" s="155"/>
      <c r="SO1382" s="155"/>
      <c r="SP1382" s="155"/>
      <c r="SQ1382" s="155"/>
      <c r="SR1382" s="155"/>
      <c r="SS1382" s="155"/>
      <c r="ST1382" s="155"/>
      <c r="SU1382" s="155"/>
      <c r="SV1382" s="155"/>
      <c r="SW1382" s="155"/>
      <c r="SX1382" s="155"/>
      <c r="SY1382" s="155"/>
      <c r="SZ1382" s="155"/>
      <c r="TA1382" s="155"/>
      <c r="TB1382" s="155"/>
      <c r="TC1382" s="155"/>
      <c r="TD1382" s="155"/>
      <c r="TE1382" s="155"/>
      <c r="TF1382" s="155"/>
      <c r="TG1382" s="155"/>
      <c r="TH1382" s="155"/>
      <c r="TI1382" s="155"/>
      <c r="TJ1382" s="155"/>
      <c r="TK1382" s="155"/>
      <c r="TL1382" s="155"/>
      <c r="TM1382" s="155"/>
      <c r="TN1382" s="155"/>
      <c r="TO1382" s="155"/>
      <c r="TP1382" s="155"/>
      <c r="TQ1382" s="155"/>
      <c r="TR1382" s="155"/>
      <c r="TS1382" s="155"/>
      <c r="TT1382" s="155"/>
      <c r="TU1382" s="155"/>
      <c r="TV1382" s="155"/>
      <c r="TW1382" s="155"/>
      <c r="TX1382" s="155"/>
      <c r="TY1382" s="155"/>
      <c r="TZ1382" s="155"/>
      <c r="UA1382" s="155"/>
      <c r="UB1382" s="155"/>
      <c r="UC1382" s="155"/>
      <c r="UD1382" s="155"/>
      <c r="UE1382" s="155"/>
      <c r="UF1382" s="155"/>
      <c r="UG1382" s="155"/>
    </row>
    <row r="1383" spans="1:553" s="109" customFormat="1" ht="42.75" customHeight="1">
      <c r="A1383" s="356" t="s">
        <v>15</v>
      </c>
      <c r="B1383" s="366"/>
      <c r="C1383" s="1404" t="s">
        <v>16</v>
      </c>
      <c r="D1383" s="1389"/>
      <c r="E1383" s="1389"/>
      <c r="F1383" s="1390"/>
      <c r="G1383" s="366"/>
      <c r="H1383" s="439"/>
      <c r="I1383" s="370"/>
      <c r="J1383" s="368"/>
      <c r="K1383" s="371"/>
      <c r="L1383" s="480"/>
      <c r="M1383" s="366"/>
      <c r="N1383" s="366"/>
      <c r="O1383" s="366"/>
      <c r="P1383" s="366"/>
      <c r="Q1383" s="1036"/>
      <c r="R1383" s="1226"/>
      <c r="S1383" s="308"/>
      <c r="T1383" s="308"/>
      <c r="U1383" s="308"/>
      <c r="V1383" s="308"/>
      <c r="W1383" s="308"/>
      <c r="X1383" s="308"/>
      <c r="Y1383" s="308"/>
      <c r="Z1383" s="604"/>
      <c r="AA1383" s="308"/>
      <c r="AB1383" s="308"/>
      <c r="AC1383" s="486"/>
      <c r="AD1383" s="486"/>
      <c r="AE1383" s="486"/>
      <c r="AF1383" s="486"/>
      <c r="AG1383" s="486"/>
      <c r="AH1383" s="486"/>
      <c r="AI1383" s="486"/>
      <c r="AJ1383" s="486"/>
      <c r="AK1383" s="486"/>
      <c r="AL1383" s="329"/>
      <c r="AM1383" s="155"/>
      <c r="AN1383" s="155"/>
      <c r="AO1383" s="155"/>
      <c r="AP1383" s="155"/>
      <c r="AQ1383" s="155"/>
      <c r="AR1383" s="155"/>
      <c r="AS1383" s="155"/>
      <c r="AT1383" s="155"/>
      <c r="AU1383" s="155"/>
      <c r="AV1383" s="155"/>
      <c r="AW1383" s="155"/>
      <c r="AX1383" s="155"/>
      <c r="AY1383" s="155"/>
      <c r="AZ1383" s="155"/>
      <c r="BA1383" s="155"/>
      <c r="BB1383" s="155"/>
      <c r="BC1383" s="155"/>
      <c r="BD1383" s="155"/>
      <c r="BE1383" s="155"/>
      <c r="BF1383" s="155"/>
      <c r="BG1383" s="155"/>
      <c r="BH1383" s="155"/>
      <c r="BI1383" s="155"/>
      <c r="BJ1383" s="155"/>
      <c r="BK1383" s="155"/>
      <c r="BL1383" s="155"/>
      <c r="BM1383" s="155"/>
      <c r="BN1383" s="155"/>
      <c r="BO1383" s="155"/>
      <c r="BP1383" s="155"/>
      <c r="BQ1383" s="155"/>
      <c r="BR1383" s="155"/>
      <c r="BS1383" s="155"/>
      <c r="BT1383" s="155"/>
      <c r="BU1383" s="155"/>
      <c r="BV1383" s="155"/>
      <c r="BW1383" s="155"/>
      <c r="BX1383" s="155"/>
      <c r="BY1383" s="155"/>
      <c r="BZ1383" s="155"/>
      <c r="CA1383" s="155"/>
      <c r="CB1383" s="155"/>
      <c r="CC1383" s="155"/>
      <c r="CD1383" s="155"/>
      <c r="CE1383" s="155"/>
      <c r="CF1383" s="155"/>
      <c r="CG1383" s="155"/>
      <c r="CH1383" s="155"/>
      <c r="CI1383" s="155"/>
      <c r="CJ1383" s="155"/>
      <c r="CK1383" s="155"/>
      <c r="CL1383" s="155"/>
      <c r="CM1383" s="155"/>
      <c r="CN1383" s="155"/>
      <c r="CO1383" s="155"/>
      <c r="CP1383" s="155"/>
      <c r="CQ1383" s="155"/>
      <c r="CR1383" s="155"/>
      <c r="CS1383" s="155"/>
      <c r="CT1383" s="155"/>
      <c r="CU1383" s="155"/>
      <c r="CV1383" s="155"/>
      <c r="CW1383" s="155"/>
      <c r="CX1383" s="155"/>
      <c r="CY1383" s="155"/>
      <c r="CZ1383" s="155"/>
      <c r="DA1383" s="155"/>
      <c r="DB1383" s="155"/>
      <c r="DC1383" s="155"/>
      <c r="DD1383" s="155"/>
      <c r="DE1383" s="155"/>
      <c r="DF1383" s="155"/>
      <c r="DG1383" s="155"/>
      <c r="DH1383" s="155"/>
      <c r="DI1383" s="155"/>
      <c r="DJ1383" s="155"/>
      <c r="DK1383" s="155"/>
      <c r="DL1383" s="155"/>
      <c r="DM1383" s="155"/>
      <c r="DN1383" s="155"/>
      <c r="DO1383" s="155"/>
      <c r="DP1383" s="155"/>
      <c r="DQ1383" s="155"/>
      <c r="DR1383" s="155"/>
      <c r="DS1383" s="155"/>
      <c r="DT1383" s="155"/>
      <c r="DU1383" s="155"/>
      <c r="DV1383" s="155"/>
      <c r="DW1383" s="155"/>
      <c r="DX1383" s="155"/>
      <c r="DY1383" s="155"/>
      <c r="DZ1383" s="155"/>
      <c r="EA1383" s="155"/>
      <c r="EB1383" s="155"/>
      <c r="EC1383" s="155"/>
      <c r="ED1383" s="155"/>
      <c r="EE1383" s="155"/>
      <c r="EF1383" s="155"/>
      <c r="EG1383" s="155"/>
      <c r="EH1383" s="155"/>
      <c r="EI1383" s="155"/>
      <c r="EJ1383" s="155"/>
      <c r="EK1383" s="155"/>
      <c r="EL1383" s="155"/>
      <c r="EM1383" s="155"/>
      <c r="EN1383" s="155"/>
      <c r="EO1383" s="155"/>
      <c r="EP1383" s="155"/>
      <c r="EQ1383" s="155"/>
      <c r="ER1383" s="155"/>
      <c r="ES1383" s="155"/>
      <c r="ET1383" s="155"/>
      <c r="EU1383" s="155"/>
      <c r="EV1383" s="155"/>
      <c r="EW1383" s="155"/>
      <c r="EX1383" s="155"/>
      <c r="EY1383" s="155"/>
      <c r="EZ1383" s="155"/>
      <c r="FA1383" s="155"/>
      <c r="FB1383" s="155"/>
      <c r="FC1383" s="155"/>
      <c r="FD1383" s="155"/>
      <c r="FE1383" s="155"/>
      <c r="FF1383" s="155"/>
      <c r="FG1383" s="155"/>
      <c r="FH1383" s="155"/>
      <c r="FI1383" s="155"/>
      <c r="FJ1383" s="155"/>
      <c r="FK1383" s="155"/>
      <c r="FL1383" s="155"/>
      <c r="FM1383" s="155"/>
      <c r="FN1383" s="155"/>
      <c r="FO1383" s="155"/>
      <c r="FP1383" s="155"/>
      <c r="FQ1383" s="155"/>
      <c r="FR1383" s="155"/>
      <c r="FS1383" s="155"/>
      <c r="FT1383" s="155"/>
      <c r="FU1383" s="155"/>
      <c r="FV1383" s="155"/>
      <c r="FW1383" s="155"/>
      <c r="FX1383" s="155"/>
      <c r="FY1383" s="155"/>
      <c r="FZ1383" s="155"/>
      <c r="GA1383" s="155"/>
      <c r="GB1383" s="155"/>
      <c r="GC1383" s="155"/>
      <c r="GD1383" s="155"/>
      <c r="GE1383" s="155"/>
      <c r="GF1383" s="155"/>
      <c r="GG1383" s="155"/>
      <c r="GH1383" s="155"/>
      <c r="GI1383" s="155"/>
      <c r="GJ1383" s="155"/>
      <c r="GK1383" s="155"/>
      <c r="GL1383" s="155"/>
      <c r="GM1383" s="155"/>
      <c r="GN1383" s="155"/>
      <c r="GO1383" s="155"/>
      <c r="GP1383" s="155"/>
      <c r="GQ1383" s="155"/>
      <c r="GR1383" s="155"/>
      <c r="GS1383" s="155"/>
      <c r="GT1383" s="155"/>
      <c r="GU1383" s="155"/>
      <c r="GV1383" s="155"/>
      <c r="GW1383" s="155"/>
      <c r="GX1383" s="155"/>
      <c r="GY1383" s="155"/>
      <c r="GZ1383" s="155"/>
      <c r="HA1383" s="155"/>
      <c r="HB1383" s="155"/>
      <c r="HC1383" s="155"/>
      <c r="HD1383" s="155"/>
      <c r="HE1383" s="155"/>
      <c r="HF1383" s="155"/>
      <c r="HG1383" s="155"/>
      <c r="HH1383" s="155"/>
      <c r="HI1383" s="155"/>
      <c r="HJ1383" s="155"/>
      <c r="HK1383" s="155"/>
      <c r="HL1383" s="155"/>
      <c r="HM1383" s="155"/>
      <c r="HN1383" s="155"/>
      <c r="HO1383" s="155"/>
      <c r="HP1383" s="155"/>
      <c r="HQ1383" s="155"/>
      <c r="HR1383" s="155"/>
      <c r="HS1383" s="155"/>
      <c r="HT1383" s="155"/>
      <c r="HU1383" s="155"/>
      <c r="HV1383" s="155"/>
      <c r="HW1383" s="155"/>
      <c r="HX1383" s="155"/>
      <c r="HY1383" s="155"/>
      <c r="HZ1383" s="155"/>
      <c r="IA1383" s="155"/>
      <c r="IB1383" s="155"/>
      <c r="IC1383" s="155"/>
      <c r="ID1383" s="155"/>
      <c r="IE1383" s="155"/>
      <c r="IF1383" s="155"/>
      <c r="IG1383" s="155"/>
      <c r="IH1383" s="155"/>
      <c r="II1383" s="155"/>
      <c r="IJ1383" s="155"/>
      <c r="IK1383" s="155"/>
      <c r="IL1383" s="155"/>
      <c r="IM1383" s="155"/>
      <c r="IN1383" s="155"/>
      <c r="IO1383" s="155"/>
      <c r="IP1383" s="155"/>
      <c r="IQ1383" s="155"/>
      <c r="IR1383" s="155"/>
      <c r="IS1383" s="155"/>
      <c r="IT1383" s="155"/>
      <c r="IU1383" s="155"/>
      <c r="IV1383" s="155"/>
      <c r="IW1383" s="155"/>
      <c r="IX1383" s="155"/>
      <c r="IY1383" s="155"/>
      <c r="IZ1383" s="155"/>
      <c r="JA1383" s="155"/>
      <c r="JB1383" s="155"/>
      <c r="JC1383" s="155"/>
      <c r="JD1383" s="155"/>
      <c r="JE1383" s="155"/>
      <c r="JF1383" s="155"/>
      <c r="JG1383" s="155"/>
      <c r="JH1383" s="155"/>
      <c r="JI1383" s="155"/>
      <c r="JJ1383" s="155"/>
      <c r="JK1383" s="155"/>
      <c r="JL1383" s="155"/>
      <c r="JM1383" s="155"/>
      <c r="JN1383" s="155"/>
      <c r="JO1383" s="155"/>
      <c r="JP1383" s="155"/>
      <c r="JQ1383" s="155"/>
      <c r="JR1383" s="155"/>
      <c r="JS1383" s="155"/>
      <c r="JT1383" s="155"/>
      <c r="JU1383" s="155"/>
      <c r="JV1383" s="155"/>
      <c r="JW1383" s="155"/>
      <c r="JX1383" s="155"/>
      <c r="JY1383" s="155"/>
      <c r="JZ1383" s="155"/>
      <c r="KA1383" s="155"/>
      <c r="KB1383" s="155"/>
      <c r="KC1383" s="155"/>
      <c r="KD1383" s="155"/>
      <c r="KE1383" s="155"/>
      <c r="KF1383" s="155"/>
      <c r="KG1383" s="155"/>
      <c r="KH1383" s="155"/>
      <c r="KI1383" s="155"/>
      <c r="KJ1383" s="155"/>
      <c r="KK1383" s="155"/>
      <c r="KL1383" s="155"/>
      <c r="KM1383" s="155"/>
      <c r="KN1383" s="155"/>
      <c r="KO1383" s="155"/>
      <c r="KP1383" s="155"/>
      <c r="KQ1383" s="155"/>
      <c r="KR1383" s="155"/>
      <c r="KS1383" s="155"/>
      <c r="KT1383" s="155"/>
      <c r="KU1383" s="155"/>
      <c r="KV1383" s="155"/>
      <c r="KW1383" s="155"/>
      <c r="KX1383" s="155"/>
      <c r="KY1383" s="155"/>
      <c r="KZ1383" s="155"/>
      <c r="LA1383" s="155"/>
      <c r="LB1383" s="155"/>
      <c r="LC1383" s="155"/>
      <c r="LD1383" s="155"/>
      <c r="LE1383" s="155"/>
      <c r="LF1383" s="155"/>
      <c r="LG1383" s="155"/>
      <c r="LH1383" s="155"/>
      <c r="LI1383" s="155"/>
      <c r="LJ1383" s="155"/>
      <c r="LK1383" s="155"/>
      <c r="LL1383" s="155"/>
      <c r="LM1383" s="155"/>
      <c r="LN1383" s="155"/>
      <c r="LO1383" s="155"/>
      <c r="LP1383" s="155"/>
      <c r="LQ1383" s="155"/>
      <c r="LR1383" s="155"/>
      <c r="LS1383" s="155"/>
      <c r="LT1383" s="155"/>
      <c r="LU1383" s="155"/>
      <c r="LV1383" s="155"/>
      <c r="LW1383" s="155"/>
      <c r="LX1383" s="155"/>
      <c r="LY1383" s="155"/>
      <c r="LZ1383" s="155"/>
      <c r="MA1383" s="155"/>
      <c r="MB1383" s="155"/>
      <c r="MC1383" s="155"/>
      <c r="MD1383" s="155"/>
      <c r="ME1383" s="155"/>
      <c r="MF1383" s="155"/>
      <c r="MG1383" s="155"/>
      <c r="MH1383" s="155"/>
      <c r="MI1383" s="155"/>
      <c r="MJ1383" s="155"/>
      <c r="MK1383" s="155"/>
      <c r="ML1383" s="155"/>
      <c r="MM1383" s="155"/>
      <c r="MN1383" s="155"/>
      <c r="MO1383" s="155"/>
      <c r="MP1383" s="155"/>
      <c r="MQ1383" s="155"/>
      <c r="MR1383" s="155"/>
      <c r="MS1383" s="155"/>
      <c r="MT1383" s="155"/>
      <c r="MU1383" s="155"/>
      <c r="MV1383" s="155"/>
      <c r="MW1383" s="155"/>
      <c r="MX1383" s="155"/>
      <c r="MY1383" s="155"/>
      <c r="MZ1383" s="155"/>
      <c r="NA1383" s="155"/>
      <c r="NB1383" s="155"/>
      <c r="NC1383" s="155"/>
      <c r="ND1383" s="155"/>
      <c r="NE1383" s="155"/>
      <c r="NF1383" s="155"/>
      <c r="NG1383" s="155"/>
      <c r="NH1383" s="155"/>
      <c r="NI1383" s="155"/>
      <c r="NJ1383" s="155"/>
      <c r="NK1383" s="155"/>
      <c r="NL1383" s="155"/>
      <c r="NM1383" s="155"/>
      <c r="NN1383" s="155"/>
      <c r="NO1383" s="155"/>
      <c r="NP1383" s="155"/>
      <c r="NQ1383" s="155"/>
      <c r="NR1383" s="155"/>
      <c r="NS1383" s="155"/>
      <c r="NT1383" s="155"/>
      <c r="NU1383" s="155"/>
      <c r="NV1383" s="155"/>
      <c r="NW1383" s="155"/>
      <c r="NX1383" s="155"/>
      <c r="NY1383" s="155"/>
      <c r="NZ1383" s="155"/>
      <c r="OA1383" s="155"/>
      <c r="OB1383" s="155"/>
      <c r="OC1383" s="155"/>
      <c r="OD1383" s="155"/>
      <c r="OE1383" s="155"/>
      <c r="OF1383" s="155"/>
      <c r="OG1383" s="155"/>
      <c r="OH1383" s="155"/>
      <c r="OI1383" s="155"/>
      <c r="OJ1383" s="155"/>
      <c r="OK1383" s="155"/>
      <c r="OL1383" s="155"/>
      <c r="OM1383" s="155"/>
      <c r="ON1383" s="155"/>
      <c r="OO1383" s="155"/>
      <c r="OP1383" s="155"/>
      <c r="OQ1383" s="155"/>
      <c r="OR1383" s="155"/>
      <c r="OS1383" s="155"/>
      <c r="OT1383" s="155"/>
      <c r="OU1383" s="155"/>
      <c r="OV1383" s="155"/>
      <c r="OW1383" s="155"/>
      <c r="OX1383" s="155"/>
      <c r="OY1383" s="155"/>
      <c r="OZ1383" s="155"/>
      <c r="PA1383" s="155"/>
      <c r="PB1383" s="155"/>
      <c r="PC1383" s="155"/>
      <c r="PD1383" s="155"/>
      <c r="PE1383" s="155"/>
      <c r="PF1383" s="155"/>
      <c r="PG1383" s="155"/>
      <c r="PH1383" s="155"/>
      <c r="PI1383" s="155"/>
      <c r="PJ1383" s="155"/>
      <c r="PK1383" s="155"/>
      <c r="PL1383" s="155"/>
      <c r="PM1383" s="155"/>
      <c r="PN1383" s="155"/>
      <c r="PO1383" s="155"/>
      <c r="PP1383" s="155"/>
      <c r="PQ1383" s="155"/>
      <c r="PR1383" s="155"/>
      <c r="PS1383" s="155"/>
      <c r="PT1383" s="155"/>
      <c r="PU1383" s="155"/>
      <c r="PV1383" s="155"/>
      <c r="PW1383" s="155"/>
      <c r="PX1383" s="155"/>
      <c r="PY1383" s="155"/>
      <c r="PZ1383" s="155"/>
      <c r="QA1383" s="155"/>
      <c r="QB1383" s="155"/>
      <c r="QC1383" s="155"/>
      <c r="QD1383" s="155"/>
      <c r="QE1383" s="155"/>
      <c r="QF1383" s="155"/>
      <c r="QG1383" s="155"/>
      <c r="QH1383" s="155"/>
      <c r="QI1383" s="155"/>
      <c r="QJ1383" s="155"/>
      <c r="QK1383" s="155"/>
      <c r="QL1383" s="155"/>
      <c r="QM1383" s="155"/>
      <c r="QN1383" s="155"/>
      <c r="QO1383" s="155"/>
      <c r="QP1383" s="155"/>
      <c r="QQ1383" s="155"/>
      <c r="QR1383" s="155"/>
      <c r="QS1383" s="155"/>
      <c r="QT1383" s="155"/>
      <c r="QU1383" s="155"/>
      <c r="QV1383" s="155"/>
      <c r="QW1383" s="155"/>
      <c r="QX1383" s="155"/>
      <c r="QY1383" s="155"/>
      <c r="QZ1383" s="155"/>
      <c r="RA1383" s="155"/>
      <c r="RB1383" s="155"/>
      <c r="RC1383" s="155"/>
      <c r="RD1383" s="155"/>
      <c r="RE1383" s="155"/>
      <c r="RF1383" s="155"/>
      <c r="RG1383" s="155"/>
      <c r="RH1383" s="155"/>
      <c r="RI1383" s="155"/>
      <c r="RJ1383" s="155"/>
      <c r="RK1383" s="155"/>
      <c r="RL1383" s="155"/>
      <c r="RM1383" s="155"/>
      <c r="RN1383" s="155"/>
      <c r="RO1383" s="155"/>
      <c r="RP1383" s="155"/>
      <c r="RQ1383" s="155"/>
      <c r="RR1383" s="155"/>
      <c r="RS1383" s="155"/>
      <c r="RT1383" s="155"/>
      <c r="RU1383" s="155"/>
      <c r="RV1383" s="155"/>
      <c r="RW1383" s="155"/>
      <c r="RX1383" s="155"/>
      <c r="RY1383" s="155"/>
      <c r="RZ1383" s="155"/>
      <c r="SA1383" s="155"/>
      <c r="SB1383" s="155"/>
      <c r="SC1383" s="155"/>
      <c r="SD1383" s="155"/>
      <c r="SE1383" s="155"/>
      <c r="SF1383" s="155"/>
      <c r="SG1383" s="155"/>
      <c r="SH1383" s="155"/>
      <c r="SI1383" s="155"/>
      <c r="SJ1383" s="155"/>
      <c r="SK1383" s="155"/>
      <c r="SL1383" s="155"/>
      <c r="SM1383" s="155"/>
      <c r="SN1383" s="155"/>
      <c r="SO1383" s="155"/>
      <c r="SP1383" s="155"/>
      <c r="SQ1383" s="155"/>
      <c r="SR1383" s="155"/>
      <c r="SS1383" s="155"/>
      <c r="ST1383" s="155"/>
      <c r="SU1383" s="155"/>
      <c r="SV1383" s="155"/>
      <c r="SW1383" s="155"/>
      <c r="SX1383" s="155"/>
      <c r="SY1383" s="155"/>
      <c r="SZ1383" s="155"/>
      <c r="TA1383" s="155"/>
      <c r="TB1383" s="155"/>
      <c r="TC1383" s="155"/>
      <c r="TD1383" s="155"/>
      <c r="TE1383" s="155"/>
      <c r="TF1383" s="155"/>
      <c r="TG1383" s="155"/>
      <c r="TH1383" s="155"/>
      <c r="TI1383" s="155"/>
      <c r="TJ1383" s="155"/>
      <c r="TK1383" s="155"/>
      <c r="TL1383" s="155"/>
      <c r="TM1383" s="155"/>
      <c r="TN1383" s="155"/>
      <c r="TO1383" s="155"/>
      <c r="TP1383" s="155"/>
      <c r="TQ1383" s="155"/>
      <c r="TR1383" s="155"/>
      <c r="TS1383" s="155"/>
      <c r="TT1383" s="155"/>
      <c r="TU1383" s="155"/>
      <c r="TV1383" s="155"/>
      <c r="TW1383" s="155"/>
      <c r="TX1383" s="155"/>
      <c r="TY1383" s="155"/>
      <c r="TZ1383" s="155"/>
      <c r="UA1383" s="155"/>
      <c r="UB1383" s="155"/>
      <c r="UC1383" s="155"/>
      <c r="UD1383" s="155"/>
      <c r="UE1383" s="155"/>
      <c r="UF1383" s="155"/>
      <c r="UG1383" s="155"/>
    </row>
    <row r="1384" spans="1:553" s="109" customFormat="1" ht="42.75" customHeight="1">
      <c r="A1384" s="356" t="s">
        <v>15</v>
      </c>
      <c r="B1384" s="366"/>
      <c r="C1384" s="1404" t="s">
        <v>394</v>
      </c>
      <c r="D1384" s="1389"/>
      <c r="E1384" s="1389"/>
      <c r="F1384" s="1390"/>
      <c r="G1384" s="366"/>
      <c r="H1384" s="370"/>
      <c r="I1384" s="370"/>
      <c r="J1384" s="368"/>
      <c r="K1384" s="371"/>
      <c r="L1384" s="480"/>
      <c r="M1384" s="366"/>
      <c r="N1384" s="366"/>
      <c r="O1384" s="366"/>
      <c r="P1384" s="366"/>
      <c r="Q1384" s="1036"/>
      <c r="R1384" s="1226"/>
      <c r="S1384" s="308"/>
      <c r="T1384" s="308"/>
      <c r="U1384" s="308"/>
      <c r="V1384" s="308"/>
      <c r="W1384" s="308"/>
      <c r="X1384" s="308"/>
      <c r="Y1384" s="308"/>
      <c r="Z1384" s="604"/>
      <c r="AA1384" s="308"/>
      <c r="AB1384" s="308"/>
      <c r="AC1384" s="486"/>
      <c r="AD1384" s="486"/>
      <c r="AE1384" s="486"/>
      <c r="AF1384" s="486"/>
      <c r="AG1384" s="486"/>
      <c r="AH1384" s="486"/>
      <c r="AI1384" s="486"/>
      <c r="AJ1384" s="486"/>
      <c r="AK1384" s="486"/>
      <c r="AL1384" s="329"/>
      <c r="AM1384" s="155"/>
      <c r="AN1384" s="155"/>
      <c r="AO1384" s="155"/>
      <c r="AP1384" s="155"/>
      <c r="AQ1384" s="155"/>
      <c r="AR1384" s="155"/>
      <c r="AS1384" s="155"/>
      <c r="AT1384" s="155"/>
      <c r="AU1384" s="155"/>
      <c r="AV1384" s="155"/>
      <c r="AW1384" s="155"/>
      <c r="AX1384" s="155"/>
      <c r="AY1384" s="155"/>
      <c r="AZ1384" s="155"/>
      <c r="BA1384" s="155"/>
      <c r="BB1384" s="155"/>
      <c r="BC1384" s="155"/>
      <c r="BD1384" s="155"/>
      <c r="BE1384" s="155"/>
      <c r="BF1384" s="155"/>
      <c r="BG1384" s="155"/>
      <c r="BH1384" s="155"/>
      <c r="BI1384" s="155"/>
      <c r="BJ1384" s="155"/>
      <c r="BK1384" s="155"/>
      <c r="BL1384" s="155"/>
      <c r="BM1384" s="155"/>
      <c r="BN1384" s="155"/>
      <c r="BO1384" s="155"/>
      <c r="BP1384" s="155"/>
      <c r="BQ1384" s="155"/>
      <c r="BR1384" s="155"/>
      <c r="BS1384" s="155"/>
      <c r="BT1384" s="155"/>
      <c r="BU1384" s="155"/>
      <c r="BV1384" s="155"/>
      <c r="BW1384" s="155"/>
      <c r="BX1384" s="155"/>
      <c r="BY1384" s="155"/>
      <c r="BZ1384" s="155"/>
      <c r="CA1384" s="155"/>
      <c r="CB1384" s="155"/>
      <c r="CC1384" s="155"/>
      <c r="CD1384" s="155"/>
      <c r="CE1384" s="155"/>
      <c r="CF1384" s="155"/>
      <c r="CG1384" s="155"/>
      <c r="CH1384" s="155"/>
      <c r="CI1384" s="155"/>
      <c r="CJ1384" s="155"/>
      <c r="CK1384" s="155"/>
      <c r="CL1384" s="155"/>
      <c r="CM1384" s="155"/>
      <c r="CN1384" s="155"/>
      <c r="CO1384" s="155"/>
      <c r="CP1384" s="155"/>
      <c r="CQ1384" s="155"/>
      <c r="CR1384" s="155"/>
      <c r="CS1384" s="155"/>
      <c r="CT1384" s="155"/>
      <c r="CU1384" s="155"/>
      <c r="CV1384" s="155"/>
      <c r="CW1384" s="155"/>
      <c r="CX1384" s="155"/>
      <c r="CY1384" s="155"/>
      <c r="CZ1384" s="155"/>
      <c r="DA1384" s="155"/>
      <c r="DB1384" s="155"/>
      <c r="DC1384" s="155"/>
      <c r="DD1384" s="155"/>
      <c r="DE1384" s="155"/>
      <c r="DF1384" s="155"/>
      <c r="DG1384" s="155"/>
      <c r="DH1384" s="155"/>
      <c r="DI1384" s="155"/>
      <c r="DJ1384" s="155"/>
      <c r="DK1384" s="155"/>
      <c r="DL1384" s="155"/>
      <c r="DM1384" s="155"/>
      <c r="DN1384" s="155"/>
      <c r="DO1384" s="155"/>
      <c r="DP1384" s="155"/>
      <c r="DQ1384" s="155"/>
      <c r="DR1384" s="155"/>
      <c r="DS1384" s="155"/>
      <c r="DT1384" s="155"/>
      <c r="DU1384" s="155"/>
      <c r="DV1384" s="155"/>
      <c r="DW1384" s="155"/>
      <c r="DX1384" s="155"/>
      <c r="DY1384" s="155"/>
      <c r="DZ1384" s="155"/>
      <c r="EA1384" s="155"/>
      <c r="EB1384" s="155"/>
      <c r="EC1384" s="155"/>
      <c r="ED1384" s="155"/>
      <c r="EE1384" s="155"/>
      <c r="EF1384" s="155"/>
      <c r="EG1384" s="155"/>
      <c r="EH1384" s="155"/>
      <c r="EI1384" s="155"/>
      <c r="EJ1384" s="155"/>
      <c r="EK1384" s="155"/>
      <c r="EL1384" s="155"/>
      <c r="EM1384" s="155"/>
      <c r="EN1384" s="155"/>
      <c r="EO1384" s="155"/>
      <c r="EP1384" s="155"/>
      <c r="EQ1384" s="155"/>
      <c r="ER1384" s="155"/>
      <c r="ES1384" s="155"/>
      <c r="ET1384" s="155"/>
      <c r="EU1384" s="155"/>
      <c r="EV1384" s="155"/>
      <c r="EW1384" s="155"/>
      <c r="EX1384" s="155"/>
      <c r="EY1384" s="155"/>
      <c r="EZ1384" s="155"/>
      <c r="FA1384" s="155"/>
      <c r="FB1384" s="155"/>
      <c r="FC1384" s="155"/>
      <c r="FD1384" s="155"/>
      <c r="FE1384" s="155"/>
      <c r="FF1384" s="155"/>
      <c r="FG1384" s="155"/>
      <c r="FH1384" s="155"/>
      <c r="FI1384" s="155"/>
      <c r="FJ1384" s="155"/>
      <c r="FK1384" s="155"/>
      <c r="FL1384" s="155"/>
      <c r="FM1384" s="155"/>
      <c r="FN1384" s="155"/>
      <c r="FO1384" s="155"/>
      <c r="FP1384" s="155"/>
      <c r="FQ1384" s="155"/>
      <c r="FR1384" s="155"/>
      <c r="FS1384" s="155"/>
      <c r="FT1384" s="155"/>
      <c r="FU1384" s="155"/>
      <c r="FV1384" s="155"/>
      <c r="FW1384" s="155"/>
      <c r="FX1384" s="155"/>
      <c r="FY1384" s="155"/>
      <c r="FZ1384" s="155"/>
      <c r="GA1384" s="155"/>
      <c r="GB1384" s="155"/>
      <c r="GC1384" s="155"/>
      <c r="GD1384" s="155"/>
      <c r="GE1384" s="155"/>
      <c r="GF1384" s="155"/>
      <c r="GG1384" s="155"/>
      <c r="GH1384" s="155"/>
      <c r="GI1384" s="155"/>
      <c r="GJ1384" s="155"/>
      <c r="GK1384" s="155"/>
      <c r="GL1384" s="155"/>
      <c r="GM1384" s="155"/>
      <c r="GN1384" s="155"/>
      <c r="GO1384" s="155"/>
      <c r="GP1384" s="155"/>
      <c r="GQ1384" s="155"/>
      <c r="GR1384" s="155"/>
      <c r="GS1384" s="155"/>
      <c r="GT1384" s="155"/>
      <c r="GU1384" s="155"/>
      <c r="GV1384" s="155"/>
      <c r="GW1384" s="155"/>
      <c r="GX1384" s="155"/>
      <c r="GY1384" s="155"/>
      <c r="GZ1384" s="155"/>
      <c r="HA1384" s="155"/>
      <c r="HB1384" s="155"/>
      <c r="HC1384" s="155"/>
      <c r="HD1384" s="155"/>
      <c r="HE1384" s="155"/>
      <c r="HF1384" s="155"/>
      <c r="HG1384" s="155"/>
      <c r="HH1384" s="155"/>
      <c r="HI1384" s="155"/>
      <c r="HJ1384" s="155"/>
      <c r="HK1384" s="155"/>
      <c r="HL1384" s="155"/>
      <c r="HM1384" s="155"/>
      <c r="HN1384" s="155"/>
      <c r="HO1384" s="155"/>
      <c r="HP1384" s="155"/>
      <c r="HQ1384" s="155"/>
      <c r="HR1384" s="155"/>
      <c r="HS1384" s="155"/>
      <c r="HT1384" s="155"/>
      <c r="HU1384" s="155"/>
      <c r="HV1384" s="155"/>
      <c r="HW1384" s="155"/>
      <c r="HX1384" s="155"/>
      <c r="HY1384" s="155"/>
      <c r="HZ1384" s="155"/>
      <c r="IA1384" s="155"/>
      <c r="IB1384" s="155"/>
      <c r="IC1384" s="155"/>
      <c r="ID1384" s="155"/>
      <c r="IE1384" s="155"/>
      <c r="IF1384" s="155"/>
      <c r="IG1384" s="155"/>
      <c r="IH1384" s="155"/>
      <c r="II1384" s="155"/>
      <c r="IJ1384" s="155"/>
      <c r="IK1384" s="155"/>
      <c r="IL1384" s="155"/>
      <c r="IM1384" s="155"/>
      <c r="IN1384" s="155"/>
      <c r="IO1384" s="155"/>
      <c r="IP1384" s="155"/>
      <c r="IQ1384" s="155"/>
      <c r="IR1384" s="155"/>
      <c r="IS1384" s="155"/>
      <c r="IT1384" s="155"/>
      <c r="IU1384" s="155"/>
      <c r="IV1384" s="155"/>
      <c r="IW1384" s="155"/>
      <c r="IX1384" s="155"/>
      <c r="IY1384" s="155"/>
      <c r="IZ1384" s="155"/>
      <c r="JA1384" s="155"/>
      <c r="JB1384" s="155"/>
      <c r="JC1384" s="155"/>
      <c r="JD1384" s="155"/>
      <c r="JE1384" s="155"/>
      <c r="JF1384" s="155"/>
      <c r="JG1384" s="155"/>
      <c r="JH1384" s="155"/>
      <c r="JI1384" s="155"/>
      <c r="JJ1384" s="155"/>
      <c r="JK1384" s="155"/>
      <c r="JL1384" s="155"/>
      <c r="JM1384" s="155"/>
      <c r="JN1384" s="155"/>
      <c r="JO1384" s="155"/>
      <c r="JP1384" s="155"/>
      <c r="JQ1384" s="155"/>
      <c r="JR1384" s="155"/>
      <c r="JS1384" s="155"/>
      <c r="JT1384" s="155"/>
      <c r="JU1384" s="155"/>
      <c r="JV1384" s="155"/>
      <c r="JW1384" s="155"/>
      <c r="JX1384" s="155"/>
      <c r="JY1384" s="155"/>
      <c r="JZ1384" s="155"/>
      <c r="KA1384" s="155"/>
      <c r="KB1384" s="155"/>
      <c r="KC1384" s="155"/>
      <c r="KD1384" s="155"/>
      <c r="KE1384" s="155"/>
      <c r="KF1384" s="155"/>
      <c r="KG1384" s="155"/>
      <c r="KH1384" s="155"/>
      <c r="KI1384" s="155"/>
      <c r="KJ1384" s="155"/>
      <c r="KK1384" s="155"/>
      <c r="KL1384" s="155"/>
      <c r="KM1384" s="155"/>
      <c r="KN1384" s="155"/>
      <c r="KO1384" s="155"/>
      <c r="KP1384" s="155"/>
      <c r="KQ1384" s="155"/>
      <c r="KR1384" s="155"/>
      <c r="KS1384" s="155"/>
      <c r="KT1384" s="155"/>
      <c r="KU1384" s="155"/>
      <c r="KV1384" s="155"/>
      <c r="KW1384" s="155"/>
      <c r="KX1384" s="155"/>
      <c r="KY1384" s="155"/>
      <c r="KZ1384" s="155"/>
      <c r="LA1384" s="155"/>
      <c r="LB1384" s="155"/>
      <c r="LC1384" s="155"/>
      <c r="LD1384" s="155"/>
      <c r="LE1384" s="155"/>
      <c r="LF1384" s="155"/>
      <c r="LG1384" s="155"/>
      <c r="LH1384" s="155"/>
      <c r="LI1384" s="155"/>
      <c r="LJ1384" s="155"/>
      <c r="LK1384" s="155"/>
      <c r="LL1384" s="155"/>
      <c r="LM1384" s="155"/>
      <c r="LN1384" s="155"/>
      <c r="LO1384" s="155"/>
      <c r="LP1384" s="155"/>
      <c r="LQ1384" s="155"/>
      <c r="LR1384" s="155"/>
      <c r="LS1384" s="155"/>
      <c r="LT1384" s="155"/>
      <c r="LU1384" s="155"/>
      <c r="LV1384" s="155"/>
      <c r="LW1384" s="155"/>
      <c r="LX1384" s="155"/>
      <c r="LY1384" s="155"/>
      <c r="LZ1384" s="155"/>
      <c r="MA1384" s="155"/>
      <c r="MB1384" s="155"/>
      <c r="MC1384" s="155"/>
      <c r="MD1384" s="155"/>
      <c r="ME1384" s="155"/>
      <c r="MF1384" s="155"/>
      <c r="MG1384" s="155"/>
      <c r="MH1384" s="155"/>
      <c r="MI1384" s="155"/>
      <c r="MJ1384" s="155"/>
      <c r="MK1384" s="155"/>
      <c r="ML1384" s="155"/>
      <c r="MM1384" s="155"/>
      <c r="MN1384" s="155"/>
      <c r="MO1384" s="155"/>
      <c r="MP1384" s="155"/>
      <c r="MQ1384" s="155"/>
      <c r="MR1384" s="155"/>
      <c r="MS1384" s="155"/>
      <c r="MT1384" s="155"/>
      <c r="MU1384" s="155"/>
      <c r="MV1384" s="155"/>
      <c r="MW1384" s="155"/>
      <c r="MX1384" s="155"/>
      <c r="MY1384" s="155"/>
      <c r="MZ1384" s="155"/>
      <c r="NA1384" s="155"/>
      <c r="NB1384" s="155"/>
      <c r="NC1384" s="155"/>
      <c r="ND1384" s="155"/>
      <c r="NE1384" s="155"/>
      <c r="NF1384" s="155"/>
      <c r="NG1384" s="155"/>
      <c r="NH1384" s="155"/>
      <c r="NI1384" s="155"/>
      <c r="NJ1384" s="155"/>
      <c r="NK1384" s="155"/>
      <c r="NL1384" s="155"/>
      <c r="NM1384" s="155"/>
      <c r="NN1384" s="155"/>
      <c r="NO1384" s="155"/>
      <c r="NP1384" s="155"/>
      <c r="NQ1384" s="155"/>
      <c r="NR1384" s="155"/>
      <c r="NS1384" s="155"/>
      <c r="NT1384" s="155"/>
      <c r="NU1384" s="155"/>
      <c r="NV1384" s="155"/>
      <c r="NW1384" s="155"/>
      <c r="NX1384" s="155"/>
      <c r="NY1384" s="155"/>
      <c r="NZ1384" s="155"/>
      <c r="OA1384" s="155"/>
      <c r="OB1384" s="155"/>
      <c r="OC1384" s="155"/>
      <c r="OD1384" s="155"/>
      <c r="OE1384" s="155"/>
      <c r="OF1384" s="155"/>
      <c r="OG1384" s="155"/>
      <c r="OH1384" s="155"/>
      <c r="OI1384" s="155"/>
      <c r="OJ1384" s="155"/>
      <c r="OK1384" s="155"/>
      <c r="OL1384" s="155"/>
      <c r="OM1384" s="155"/>
      <c r="ON1384" s="155"/>
      <c r="OO1384" s="155"/>
      <c r="OP1384" s="155"/>
      <c r="OQ1384" s="155"/>
      <c r="OR1384" s="155"/>
      <c r="OS1384" s="155"/>
      <c r="OT1384" s="155"/>
      <c r="OU1384" s="155"/>
      <c r="OV1384" s="155"/>
      <c r="OW1384" s="155"/>
      <c r="OX1384" s="155"/>
      <c r="OY1384" s="155"/>
      <c r="OZ1384" s="155"/>
      <c r="PA1384" s="155"/>
      <c r="PB1384" s="155"/>
      <c r="PC1384" s="155"/>
      <c r="PD1384" s="155"/>
      <c r="PE1384" s="155"/>
      <c r="PF1384" s="155"/>
      <c r="PG1384" s="155"/>
      <c r="PH1384" s="155"/>
      <c r="PI1384" s="155"/>
      <c r="PJ1384" s="155"/>
      <c r="PK1384" s="155"/>
      <c r="PL1384" s="155"/>
      <c r="PM1384" s="155"/>
      <c r="PN1384" s="155"/>
      <c r="PO1384" s="155"/>
      <c r="PP1384" s="155"/>
      <c r="PQ1384" s="155"/>
      <c r="PR1384" s="155"/>
      <c r="PS1384" s="155"/>
      <c r="PT1384" s="155"/>
      <c r="PU1384" s="155"/>
      <c r="PV1384" s="155"/>
      <c r="PW1384" s="155"/>
      <c r="PX1384" s="155"/>
      <c r="PY1384" s="155"/>
      <c r="PZ1384" s="155"/>
      <c r="QA1384" s="155"/>
      <c r="QB1384" s="155"/>
      <c r="QC1384" s="155"/>
      <c r="QD1384" s="155"/>
      <c r="QE1384" s="155"/>
      <c r="QF1384" s="155"/>
      <c r="QG1384" s="155"/>
      <c r="QH1384" s="155"/>
      <c r="QI1384" s="155"/>
      <c r="QJ1384" s="155"/>
      <c r="QK1384" s="155"/>
      <c r="QL1384" s="155"/>
      <c r="QM1384" s="155"/>
      <c r="QN1384" s="155"/>
      <c r="QO1384" s="155"/>
      <c r="QP1384" s="155"/>
      <c r="QQ1384" s="155"/>
      <c r="QR1384" s="155"/>
      <c r="QS1384" s="155"/>
      <c r="QT1384" s="155"/>
      <c r="QU1384" s="155"/>
      <c r="QV1384" s="155"/>
      <c r="QW1384" s="155"/>
      <c r="QX1384" s="155"/>
      <c r="QY1384" s="155"/>
      <c r="QZ1384" s="155"/>
      <c r="RA1384" s="155"/>
      <c r="RB1384" s="155"/>
      <c r="RC1384" s="155"/>
      <c r="RD1384" s="155"/>
      <c r="RE1384" s="155"/>
      <c r="RF1384" s="155"/>
      <c r="RG1384" s="155"/>
      <c r="RH1384" s="155"/>
      <c r="RI1384" s="155"/>
      <c r="RJ1384" s="155"/>
      <c r="RK1384" s="155"/>
      <c r="RL1384" s="155"/>
      <c r="RM1384" s="155"/>
      <c r="RN1384" s="155"/>
      <c r="RO1384" s="155"/>
      <c r="RP1384" s="155"/>
      <c r="RQ1384" s="155"/>
      <c r="RR1384" s="155"/>
      <c r="RS1384" s="155"/>
      <c r="RT1384" s="155"/>
      <c r="RU1384" s="155"/>
      <c r="RV1384" s="155"/>
      <c r="RW1384" s="155"/>
      <c r="RX1384" s="155"/>
      <c r="RY1384" s="155"/>
      <c r="RZ1384" s="155"/>
      <c r="SA1384" s="155"/>
      <c r="SB1384" s="155"/>
      <c r="SC1384" s="155"/>
      <c r="SD1384" s="155"/>
      <c r="SE1384" s="155"/>
      <c r="SF1384" s="155"/>
      <c r="SG1384" s="155"/>
      <c r="SH1384" s="155"/>
      <c r="SI1384" s="155"/>
      <c r="SJ1384" s="155"/>
      <c r="SK1384" s="155"/>
      <c r="SL1384" s="155"/>
      <c r="SM1384" s="155"/>
      <c r="SN1384" s="155"/>
      <c r="SO1384" s="155"/>
      <c r="SP1384" s="155"/>
      <c r="SQ1384" s="155"/>
      <c r="SR1384" s="155"/>
      <c r="SS1384" s="155"/>
      <c r="ST1384" s="155"/>
      <c r="SU1384" s="155"/>
      <c r="SV1384" s="155"/>
      <c r="SW1384" s="155"/>
      <c r="SX1384" s="155"/>
      <c r="SY1384" s="155"/>
      <c r="SZ1384" s="155"/>
      <c r="TA1384" s="155"/>
      <c r="TB1384" s="155"/>
      <c r="TC1384" s="155"/>
      <c r="TD1384" s="155"/>
      <c r="TE1384" s="155"/>
      <c r="TF1384" s="155"/>
      <c r="TG1384" s="155"/>
      <c r="TH1384" s="155"/>
      <c r="TI1384" s="155"/>
      <c r="TJ1384" s="155"/>
      <c r="TK1384" s="155"/>
      <c r="TL1384" s="155"/>
      <c r="TM1384" s="155"/>
      <c r="TN1384" s="155"/>
      <c r="TO1384" s="155"/>
      <c r="TP1384" s="155"/>
      <c r="TQ1384" s="155"/>
      <c r="TR1384" s="155"/>
      <c r="TS1384" s="155"/>
      <c r="TT1384" s="155"/>
      <c r="TU1384" s="155"/>
      <c r="TV1384" s="155"/>
      <c r="TW1384" s="155"/>
      <c r="TX1384" s="155"/>
      <c r="TY1384" s="155"/>
      <c r="TZ1384" s="155"/>
      <c r="UA1384" s="155"/>
      <c r="UB1384" s="155"/>
      <c r="UC1384" s="155"/>
      <c r="UD1384" s="155"/>
      <c r="UE1384" s="155"/>
      <c r="UF1384" s="155"/>
      <c r="UG1384" s="155"/>
    </row>
    <row r="1385" spans="1:553" s="109" customFormat="1" ht="42.75" customHeight="1">
      <c r="A1385" s="356" t="s">
        <v>17</v>
      </c>
      <c r="B1385" s="356"/>
      <c r="C1385" s="1448" t="s">
        <v>18</v>
      </c>
      <c r="D1385" s="1389"/>
      <c r="E1385" s="1389"/>
      <c r="F1385" s="1390"/>
      <c r="G1385" s="356" t="s">
        <v>1393</v>
      </c>
      <c r="H1385" s="359">
        <f t="shared" ref="H1385:I1385" si="210">SUM(H1386:H1395)</f>
        <v>5918.5</v>
      </c>
      <c r="I1385" s="359">
        <f t="shared" si="210"/>
        <v>3438.9999999999995</v>
      </c>
      <c r="J1385" s="368"/>
      <c r="K1385" s="371"/>
      <c r="L1385" s="1199">
        <f>SUM(L1386:L1395)</f>
        <v>193160300</v>
      </c>
      <c r="M1385" s="356"/>
      <c r="N1385" s="356"/>
      <c r="O1385" s="356"/>
      <c r="P1385" s="356">
        <f>L1385</f>
        <v>193160300</v>
      </c>
      <c r="Q1385" s="1040"/>
      <c r="R1385" s="1226"/>
      <c r="S1385" s="308"/>
      <c r="T1385" s="308"/>
      <c r="U1385" s="308"/>
      <c r="V1385" s="308"/>
      <c r="W1385" s="308"/>
      <c r="X1385" s="308"/>
      <c r="Y1385" s="308"/>
      <c r="Z1385" s="604"/>
      <c r="AA1385" s="308"/>
      <c r="AB1385" s="308"/>
      <c r="AC1385" s="486"/>
      <c r="AD1385" s="486"/>
      <c r="AE1385" s="486"/>
      <c r="AF1385" s="486"/>
      <c r="AG1385" s="486"/>
      <c r="AH1385" s="486"/>
      <c r="AI1385" s="486"/>
      <c r="AJ1385" s="486"/>
      <c r="AK1385" s="486"/>
      <c r="AL1385" s="329"/>
      <c r="AM1385" s="155"/>
      <c r="AN1385" s="155"/>
      <c r="AO1385" s="155"/>
      <c r="AP1385" s="155"/>
      <c r="AQ1385" s="155"/>
      <c r="AR1385" s="155"/>
      <c r="AS1385" s="155"/>
      <c r="AT1385" s="155"/>
      <c r="AU1385" s="155"/>
      <c r="AV1385" s="155"/>
      <c r="AW1385" s="155"/>
      <c r="AX1385" s="155"/>
      <c r="AY1385" s="155"/>
      <c r="AZ1385" s="155"/>
      <c r="BA1385" s="155"/>
      <c r="BB1385" s="155"/>
      <c r="BC1385" s="155"/>
      <c r="BD1385" s="155"/>
      <c r="BE1385" s="155"/>
      <c r="BF1385" s="155"/>
      <c r="BG1385" s="155"/>
      <c r="BH1385" s="155"/>
      <c r="BI1385" s="155"/>
      <c r="BJ1385" s="155"/>
      <c r="BK1385" s="155"/>
      <c r="BL1385" s="155"/>
      <c r="BM1385" s="155"/>
      <c r="BN1385" s="155"/>
      <c r="BO1385" s="155"/>
      <c r="BP1385" s="155"/>
      <c r="BQ1385" s="155"/>
      <c r="BR1385" s="155"/>
      <c r="BS1385" s="155"/>
      <c r="BT1385" s="155"/>
      <c r="BU1385" s="155"/>
      <c r="BV1385" s="155"/>
      <c r="BW1385" s="155"/>
      <c r="BX1385" s="155"/>
      <c r="BY1385" s="155"/>
      <c r="BZ1385" s="155"/>
      <c r="CA1385" s="155"/>
      <c r="CB1385" s="155"/>
      <c r="CC1385" s="155"/>
      <c r="CD1385" s="155"/>
      <c r="CE1385" s="155"/>
      <c r="CF1385" s="155"/>
      <c r="CG1385" s="155"/>
      <c r="CH1385" s="155"/>
      <c r="CI1385" s="155"/>
      <c r="CJ1385" s="155"/>
      <c r="CK1385" s="155"/>
      <c r="CL1385" s="155"/>
      <c r="CM1385" s="155"/>
      <c r="CN1385" s="155"/>
      <c r="CO1385" s="155"/>
      <c r="CP1385" s="155"/>
      <c r="CQ1385" s="155"/>
      <c r="CR1385" s="155"/>
      <c r="CS1385" s="155"/>
      <c r="CT1385" s="155"/>
      <c r="CU1385" s="155"/>
      <c r="CV1385" s="155"/>
      <c r="CW1385" s="155"/>
      <c r="CX1385" s="155"/>
      <c r="CY1385" s="155"/>
      <c r="CZ1385" s="155"/>
      <c r="DA1385" s="155"/>
      <c r="DB1385" s="155"/>
      <c r="DC1385" s="155"/>
      <c r="DD1385" s="155"/>
      <c r="DE1385" s="155"/>
      <c r="DF1385" s="155"/>
      <c r="DG1385" s="155"/>
      <c r="DH1385" s="155"/>
      <c r="DI1385" s="155"/>
      <c r="DJ1385" s="155"/>
      <c r="DK1385" s="155"/>
      <c r="DL1385" s="155"/>
      <c r="DM1385" s="155"/>
      <c r="DN1385" s="155"/>
      <c r="DO1385" s="155"/>
      <c r="DP1385" s="155"/>
      <c r="DQ1385" s="155"/>
      <c r="DR1385" s="155"/>
      <c r="DS1385" s="155"/>
      <c r="DT1385" s="155"/>
      <c r="DU1385" s="155"/>
      <c r="DV1385" s="155"/>
      <c r="DW1385" s="155"/>
      <c r="DX1385" s="155"/>
      <c r="DY1385" s="155"/>
      <c r="DZ1385" s="155"/>
      <c r="EA1385" s="155"/>
      <c r="EB1385" s="155"/>
      <c r="EC1385" s="155"/>
      <c r="ED1385" s="155"/>
      <c r="EE1385" s="155"/>
      <c r="EF1385" s="155"/>
      <c r="EG1385" s="155"/>
      <c r="EH1385" s="155"/>
      <c r="EI1385" s="155"/>
      <c r="EJ1385" s="155"/>
      <c r="EK1385" s="155"/>
      <c r="EL1385" s="155"/>
      <c r="EM1385" s="155"/>
      <c r="EN1385" s="155"/>
      <c r="EO1385" s="155"/>
      <c r="EP1385" s="155"/>
      <c r="EQ1385" s="155"/>
      <c r="ER1385" s="155"/>
      <c r="ES1385" s="155"/>
      <c r="ET1385" s="155"/>
      <c r="EU1385" s="155"/>
      <c r="EV1385" s="155"/>
      <c r="EW1385" s="155"/>
      <c r="EX1385" s="155"/>
      <c r="EY1385" s="155"/>
      <c r="EZ1385" s="155"/>
      <c r="FA1385" s="155"/>
      <c r="FB1385" s="155"/>
      <c r="FC1385" s="155"/>
      <c r="FD1385" s="155"/>
      <c r="FE1385" s="155"/>
      <c r="FF1385" s="155"/>
      <c r="FG1385" s="155"/>
      <c r="FH1385" s="155"/>
      <c r="FI1385" s="155"/>
      <c r="FJ1385" s="155"/>
      <c r="FK1385" s="155"/>
      <c r="FL1385" s="155"/>
      <c r="FM1385" s="155"/>
      <c r="FN1385" s="155"/>
      <c r="FO1385" s="155"/>
      <c r="FP1385" s="155"/>
      <c r="FQ1385" s="155"/>
      <c r="FR1385" s="155"/>
      <c r="FS1385" s="155"/>
      <c r="FT1385" s="155"/>
      <c r="FU1385" s="155"/>
      <c r="FV1385" s="155"/>
      <c r="FW1385" s="155"/>
      <c r="FX1385" s="155"/>
      <c r="FY1385" s="155"/>
      <c r="FZ1385" s="155"/>
      <c r="GA1385" s="155"/>
      <c r="GB1385" s="155"/>
      <c r="GC1385" s="155"/>
      <c r="GD1385" s="155"/>
      <c r="GE1385" s="155"/>
      <c r="GF1385" s="155"/>
      <c r="GG1385" s="155"/>
      <c r="GH1385" s="155"/>
      <c r="GI1385" s="155"/>
      <c r="GJ1385" s="155"/>
      <c r="GK1385" s="155"/>
      <c r="GL1385" s="155"/>
      <c r="GM1385" s="155"/>
      <c r="GN1385" s="155"/>
      <c r="GO1385" s="155"/>
      <c r="GP1385" s="155"/>
      <c r="GQ1385" s="155"/>
      <c r="GR1385" s="155"/>
      <c r="GS1385" s="155"/>
      <c r="GT1385" s="155"/>
      <c r="GU1385" s="155"/>
      <c r="GV1385" s="155"/>
      <c r="GW1385" s="155"/>
      <c r="GX1385" s="155"/>
      <c r="GY1385" s="155"/>
      <c r="GZ1385" s="155"/>
      <c r="HA1385" s="155"/>
      <c r="HB1385" s="155"/>
      <c r="HC1385" s="155"/>
      <c r="HD1385" s="155"/>
      <c r="HE1385" s="155"/>
      <c r="HF1385" s="155"/>
      <c r="HG1385" s="155"/>
      <c r="HH1385" s="155"/>
      <c r="HI1385" s="155"/>
      <c r="HJ1385" s="155"/>
      <c r="HK1385" s="155"/>
      <c r="HL1385" s="155"/>
      <c r="HM1385" s="155"/>
      <c r="HN1385" s="155"/>
      <c r="HO1385" s="155"/>
      <c r="HP1385" s="155"/>
      <c r="HQ1385" s="155"/>
      <c r="HR1385" s="155"/>
      <c r="HS1385" s="155"/>
      <c r="HT1385" s="155"/>
      <c r="HU1385" s="155"/>
      <c r="HV1385" s="155"/>
      <c r="HW1385" s="155"/>
      <c r="HX1385" s="155"/>
      <c r="HY1385" s="155"/>
      <c r="HZ1385" s="155"/>
      <c r="IA1385" s="155"/>
      <c r="IB1385" s="155"/>
      <c r="IC1385" s="155"/>
      <c r="ID1385" s="155"/>
      <c r="IE1385" s="155"/>
      <c r="IF1385" s="155"/>
      <c r="IG1385" s="155"/>
      <c r="IH1385" s="155"/>
      <c r="II1385" s="155"/>
      <c r="IJ1385" s="155"/>
      <c r="IK1385" s="155"/>
      <c r="IL1385" s="155"/>
      <c r="IM1385" s="155"/>
      <c r="IN1385" s="155"/>
      <c r="IO1385" s="155"/>
      <c r="IP1385" s="155"/>
      <c r="IQ1385" s="155"/>
      <c r="IR1385" s="155"/>
      <c r="IS1385" s="155"/>
      <c r="IT1385" s="155"/>
      <c r="IU1385" s="155"/>
      <c r="IV1385" s="155"/>
      <c r="IW1385" s="155"/>
      <c r="IX1385" s="155"/>
      <c r="IY1385" s="155"/>
      <c r="IZ1385" s="155"/>
      <c r="JA1385" s="155"/>
      <c r="JB1385" s="155"/>
      <c r="JC1385" s="155"/>
      <c r="JD1385" s="155"/>
      <c r="JE1385" s="155"/>
      <c r="JF1385" s="155"/>
      <c r="JG1385" s="155"/>
      <c r="JH1385" s="155"/>
      <c r="JI1385" s="155"/>
      <c r="JJ1385" s="155"/>
      <c r="JK1385" s="155"/>
      <c r="JL1385" s="155"/>
      <c r="JM1385" s="155"/>
      <c r="JN1385" s="155"/>
      <c r="JO1385" s="155"/>
      <c r="JP1385" s="155"/>
      <c r="JQ1385" s="155"/>
      <c r="JR1385" s="155"/>
      <c r="JS1385" s="155"/>
      <c r="JT1385" s="155"/>
      <c r="JU1385" s="155"/>
      <c r="JV1385" s="155"/>
      <c r="JW1385" s="155"/>
      <c r="JX1385" s="155"/>
      <c r="JY1385" s="155"/>
      <c r="JZ1385" s="155"/>
      <c r="KA1385" s="155"/>
      <c r="KB1385" s="155"/>
      <c r="KC1385" s="155"/>
      <c r="KD1385" s="155"/>
      <c r="KE1385" s="155"/>
      <c r="KF1385" s="155"/>
      <c r="KG1385" s="155"/>
      <c r="KH1385" s="155"/>
      <c r="KI1385" s="155"/>
      <c r="KJ1385" s="155"/>
      <c r="KK1385" s="155"/>
      <c r="KL1385" s="155"/>
      <c r="KM1385" s="155"/>
      <c r="KN1385" s="155"/>
      <c r="KO1385" s="155"/>
      <c r="KP1385" s="155"/>
      <c r="KQ1385" s="155"/>
      <c r="KR1385" s="155"/>
      <c r="KS1385" s="155"/>
      <c r="KT1385" s="155"/>
      <c r="KU1385" s="155"/>
      <c r="KV1385" s="155"/>
      <c r="KW1385" s="155"/>
      <c r="KX1385" s="155"/>
      <c r="KY1385" s="155"/>
      <c r="KZ1385" s="155"/>
      <c r="LA1385" s="155"/>
      <c r="LB1385" s="155"/>
      <c r="LC1385" s="155"/>
      <c r="LD1385" s="155"/>
      <c r="LE1385" s="155"/>
      <c r="LF1385" s="155"/>
      <c r="LG1385" s="155"/>
      <c r="LH1385" s="155"/>
      <c r="LI1385" s="155"/>
      <c r="LJ1385" s="155"/>
      <c r="LK1385" s="155"/>
      <c r="LL1385" s="155"/>
      <c r="LM1385" s="155"/>
      <c r="LN1385" s="155"/>
      <c r="LO1385" s="155"/>
      <c r="LP1385" s="155"/>
      <c r="LQ1385" s="155"/>
      <c r="LR1385" s="155"/>
      <c r="LS1385" s="155"/>
      <c r="LT1385" s="155"/>
      <c r="LU1385" s="155"/>
      <c r="LV1385" s="155"/>
      <c r="LW1385" s="155"/>
      <c r="LX1385" s="155"/>
      <c r="LY1385" s="155"/>
      <c r="LZ1385" s="155"/>
      <c r="MA1385" s="155"/>
      <c r="MB1385" s="155"/>
      <c r="MC1385" s="155"/>
      <c r="MD1385" s="155"/>
      <c r="ME1385" s="155"/>
      <c r="MF1385" s="155"/>
      <c r="MG1385" s="155"/>
      <c r="MH1385" s="155"/>
      <c r="MI1385" s="155"/>
      <c r="MJ1385" s="155"/>
      <c r="MK1385" s="155"/>
      <c r="ML1385" s="155"/>
      <c r="MM1385" s="155"/>
      <c r="MN1385" s="155"/>
      <c r="MO1385" s="155"/>
      <c r="MP1385" s="155"/>
      <c r="MQ1385" s="155"/>
      <c r="MR1385" s="155"/>
      <c r="MS1385" s="155"/>
      <c r="MT1385" s="155"/>
      <c r="MU1385" s="155"/>
      <c r="MV1385" s="155"/>
      <c r="MW1385" s="155"/>
      <c r="MX1385" s="155"/>
      <c r="MY1385" s="155"/>
      <c r="MZ1385" s="155"/>
      <c r="NA1385" s="155"/>
      <c r="NB1385" s="155"/>
      <c r="NC1385" s="155"/>
      <c r="ND1385" s="155"/>
      <c r="NE1385" s="155"/>
      <c r="NF1385" s="155"/>
      <c r="NG1385" s="155"/>
      <c r="NH1385" s="155"/>
      <c r="NI1385" s="155"/>
      <c r="NJ1385" s="155"/>
      <c r="NK1385" s="155"/>
      <c r="NL1385" s="155"/>
      <c r="NM1385" s="155"/>
      <c r="NN1385" s="155"/>
      <c r="NO1385" s="155"/>
      <c r="NP1385" s="155"/>
      <c r="NQ1385" s="155"/>
      <c r="NR1385" s="155"/>
      <c r="NS1385" s="155"/>
      <c r="NT1385" s="155"/>
      <c r="NU1385" s="155"/>
      <c r="NV1385" s="155"/>
      <c r="NW1385" s="155"/>
      <c r="NX1385" s="155"/>
      <c r="NY1385" s="155"/>
      <c r="NZ1385" s="155"/>
      <c r="OA1385" s="155"/>
      <c r="OB1385" s="155"/>
      <c r="OC1385" s="155"/>
      <c r="OD1385" s="155"/>
      <c r="OE1385" s="155"/>
      <c r="OF1385" s="155"/>
      <c r="OG1385" s="155"/>
      <c r="OH1385" s="155"/>
      <c r="OI1385" s="155"/>
      <c r="OJ1385" s="155"/>
      <c r="OK1385" s="155"/>
      <c r="OL1385" s="155"/>
      <c r="OM1385" s="155"/>
      <c r="ON1385" s="155"/>
      <c r="OO1385" s="155"/>
      <c r="OP1385" s="155"/>
      <c r="OQ1385" s="155"/>
      <c r="OR1385" s="155"/>
      <c r="OS1385" s="155"/>
      <c r="OT1385" s="155"/>
      <c r="OU1385" s="155"/>
      <c r="OV1385" s="155"/>
      <c r="OW1385" s="155"/>
      <c r="OX1385" s="155"/>
      <c r="OY1385" s="155"/>
      <c r="OZ1385" s="155"/>
      <c r="PA1385" s="155"/>
      <c r="PB1385" s="155"/>
      <c r="PC1385" s="155"/>
      <c r="PD1385" s="155"/>
      <c r="PE1385" s="155"/>
      <c r="PF1385" s="155"/>
      <c r="PG1385" s="155"/>
      <c r="PH1385" s="155"/>
      <c r="PI1385" s="155"/>
      <c r="PJ1385" s="155"/>
      <c r="PK1385" s="155"/>
      <c r="PL1385" s="155"/>
      <c r="PM1385" s="155"/>
      <c r="PN1385" s="155"/>
      <c r="PO1385" s="155"/>
      <c r="PP1385" s="155"/>
      <c r="PQ1385" s="155"/>
      <c r="PR1385" s="155"/>
      <c r="PS1385" s="155"/>
      <c r="PT1385" s="155"/>
      <c r="PU1385" s="155"/>
      <c r="PV1385" s="155"/>
      <c r="PW1385" s="155"/>
      <c r="PX1385" s="155"/>
      <c r="PY1385" s="155"/>
      <c r="PZ1385" s="155"/>
      <c r="QA1385" s="155"/>
      <c r="QB1385" s="155"/>
      <c r="QC1385" s="155"/>
      <c r="QD1385" s="155"/>
      <c r="QE1385" s="155"/>
      <c r="QF1385" s="155"/>
      <c r="QG1385" s="155"/>
      <c r="QH1385" s="155"/>
      <c r="QI1385" s="155"/>
      <c r="QJ1385" s="155"/>
      <c r="QK1385" s="155"/>
      <c r="QL1385" s="155"/>
      <c r="QM1385" s="155"/>
      <c r="QN1385" s="155"/>
      <c r="QO1385" s="155"/>
      <c r="QP1385" s="155"/>
      <c r="QQ1385" s="155"/>
      <c r="QR1385" s="155"/>
      <c r="QS1385" s="155"/>
      <c r="QT1385" s="155"/>
      <c r="QU1385" s="155"/>
      <c r="QV1385" s="155"/>
      <c r="QW1385" s="155"/>
      <c r="QX1385" s="155"/>
      <c r="QY1385" s="155"/>
      <c r="QZ1385" s="155"/>
      <c r="RA1385" s="155"/>
      <c r="RB1385" s="155"/>
      <c r="RC1385" s="155"/>
      <c r="RD1385" s="155"/>
      <c r="RE1385" s="155"/>
      <c r="RF1385" s="155"/>
      <c r="RG1385" s="155"/>
      <c r="RH1385" s="155"/>
      <c r="RI1385" s="155"/>
      <c r="RJ1385" s="155"/>
      <c r="RK1385" s="155"/>
      <c r="RL1385" s="155"/>
      <c r="RM1385" s="155"/>
      <c r="RN1385" s="155"/>
      <c r="RO1385" s="155"/>
      <c r="RP1385" s="155"/>
      <c r="RQ1385" s="155"/>
      <c r="RR1385" s="155"/>
      <c r="RS1385" s="155"/>
      <c r="RT1385" s="155"/>
      <c r="RU1385" s="155"/>
      <c r="RV1385" s="155"/>
      <c r="RW1385" s="155"/>
      <c r="RX1385" s="155"/>
      <c r="RY1385" s="155"/>
      <c r="RZ1385" s="155"/>
      <c r="SA1385" s="155"/>
      <c r="SB1385" s="155"/>
      <c r="SC1385" s="155"/>
      <c r="SD1385" s="155"/>
      <c r="SE1385" s="155"/>
      <c r="SF1385" s="155"/>
      <c r="SG1385" s="155"/>
      <c r="SH1385" s="155"/>
      <c r="SI1385" s="155"/>
      <c r="SJ1385" s="155"/>
      <c r="SK1385" s="155"/>
      <c r="SL1385" s="155"/>
      <c r="SM1385" s="155"/>
      <c r="SN1385" s="155"/>
      <c r="SO1385" s="155"/>
      <c r="SP1385" s="155"/>
      <c r="SQ1385" s="155"/>
      <c r="SR1385" s="155"/>
      <c r="SS1385" s="155"/>
      <c r="ST1385" s="155"/>
      <c r="SU1385" s="155"/>
      <c r="SV1385" s="155"/>
      <c r="SW1385" s="155"/>
      <c r="SX1385" s="155"/>
      <c r="SY1385" s="155"/>
      <c r="SZ1385" s="155"/>
      <c r="TA1385" s="155"/>
      <c r="TB1385" s="155"/>
      <c r="TC1385" s="155"/>
      <c r="TD1385" s="155"/>
      <c r="TE1385" s="155"/>
      <c r="TF1385" s="155"/>
      <c r="TG1385" s="155"/>
      <c r="TH1385" s="155"/>
      <c r="TI1385" s="155"/>
      <c r="TJ1385" s="155"/>
      <c r="TK1385" s="155"/>
      <c r="TL1385" s="155"/>
      <c r="TM1385" s="155"/>
      <c r="TN1385" s="155"/>
      <c r="TO1385" s="155"/>
      <c r="TP1385" s="155"/>
      <c r="TQ1385" s="155"/>
      <c r="TR1385" s="155"/>
      <c r="TS1385" s="155"/>
      <c r="TT1385" s="155"/>
      <c r="TU1385" s="155"/>
      <c r="TV1385" s="155"/>
      <c r="TW1385" s="155"/>
      <c r="TX1385" s="155"/>
      <c r="TY1385" s="155"/>
      <c r="TZ1385" s="155"/>
      <c r="UA1385" s="155"/>
      <c r="UB1385" s="155"/>
      <c r="UC1385" s="155"/>
      <c r="UD1385" s="155"/>
      <c r="UE1385" s="155"/>
      <c r="UF1385" s="155"/>
      <c r="UG1385" s="155"/>
    </row>
    <row r="1386" spans="1:553" s="109" customFormat="1" ht="192.75" customHeight="1">
      <c r="A1386" s="356" t="s">
        <v>15</v>
      </c>
      <c r="B1386" s="835"/>
      <c r="C1386" s="1227" t="s">
        <v>26</v>
      </c>
      <c r="D1386" s="821">
        <v>2</v>
      </c>
      <c r="E1386" s="376">
        <v>472</v>
      </c>
      <c r="F1386" s="385"/>
      <c r="G1386" s="386" t="s">
        <v>935</v>
      </c>
      <c r="H1386" s="441">
        <v>3312.8</v>
      </c>
      <c r="I1386" s="441">
        <v>833.3</v>
      </c>
      <c r="J1386" s="1061">
        <v>40000</v>
      </c>
      <c r="K1386" s="388"/>
      <c r="L1386" s="480">
        <f t="shared" ref="L1386:L1395" si="211">PRODUCT(I1386:K1386)</f>
        <v>33332000</v>
      </c>
      <c r="M1386" s="366"/>
      <c r="N1386" s="366"/>
      <c r="O1386" s="366"/>
      <c r="P1386" s="366"/>
      <c r="Q1386" s="1036" t="s">
        <v>734</v>
      </c>
      <c r="R1386" s="1463" t="s">
        <v>931</v>
      </c>
      <c r="S1386" s="308"/>
      <c r="T1386" s="308"/>
      <c r="U1386" s="308"/>
      <c r="V1386" s="308"/>
      <c r="W1386" s="308"/>
      <c r="X1386" s="308"/>
      <c r="Y1386" s="307">
        <f>I1386</f>
        <v>833.3</v>
      </c>
      <c r="Z1386" s="604"/>
      <c r="AA1386" s="308"/>
      <c r="AB1386" s="308"/>
      <c r="AC1386" s="486"/>
      <c r="AD1386" s="486"/>
      <c r="AE1386" s="486"/>
      <c r="AF1386" s="486"/>
      <c r="AG1386" s="486"/>
      <c r="AH1386" s="486"/>
      <c r="AI1386" s="486"/>
      <c r="AJ1386" s="486"/>
      <c r="AK1386" s="486"/>
      <c r="AL1386" s="329"/>
      <c r="AM1386" s="155"/>
      <c r="AN1386" s="155"/>
      <c r="AO1386" s="155"/>
      <c r="AP1386" s="155"/>
      <c r="AQ1386" s="155"/>
      <c r="AR1386" s="155"/>
      <c r="AS1386" s="155"/>
      <c r="AT1386" s="155"/>
      <c r="AU1386" s="155"/>
      <c r="AV1386" s="155"/>
      <c r="AW1386" s="155"/>
      <c r="AX1386" s="155"/>
      <c r="AY1386" s="155"/>
      <c r="AZ1386" s="155"/>
      <c r="BA1386" s="155"/>
      <c r="BB1386" s="155"/>
      <c r="BC1386" s="155"/>
      <c r="BD1386" s="155"/>
      <c r="BE1386" s="155"/>
      <c r="BF1386" s="155"/>
      <c r="BG1386" s="155"/>
      <c r="BH1386" s="155"/>
      <c r="BI1386" s="155"/>
      <c r="BJ1386" s="155"/>
      <c r="BK1386" s="155"/>
      <c r="BL1386" s="155"/>
      <c r="BM1386" s="155"/>
      <c r="BN1386" s="155"/>
      <c r="BO1386" s="155"/>
      <c r="BP1386" s="155"/>
      <c r="BQ1386" s="155"/>
      <c r="BR1386" s="155"/>
      <c r="BS1386" s="155"/>
      <c r="BT1386" s="155"/>
      <c r="BU1386" s="155"/>
      <c r="BV1386" s="155"/>
      <c r="BW1386" s="155"/>
      <c r="BX1386" s="155"/>
      <c r="BY1386" s="155"/>
      <c r="BZ1386" s="155"/>
      <c r="CA1386" s="155"/>
      <c r="CB1386" s="155"/>
      <c r="CC1386" s="155"/>
      <c r="CD1386" s="155"/>
      <c r="CE1386" s="155"/>
      <c r="CF1386" s="155"/>
      <c r="CG1386" s="155"/>
      <c r="CH1386" s="155"/>
      <c r="CI1386" s="155"/>
      <c r="CJ1386" s="155"/>
      <c r="CK1386" s="155"/>
      <c r="CL1386" s="155"/>
      <c r="CM1386" s="155"/>
      <c r="CN1386" s="155"/>
      <c r="CO1386" s="155"/>
      <c r="CP1386" s="155"/>
      <c r="CQ1386" s="155"/>
      <c r="CR1386" s="155"/>
      <c r="CS1386" s="155"/>
      <c r="CT1386" s="155"/>
      <c r="CU1386" s="155"/>
      <c r="CV1386" s="155"/>
      <c r="CW1386" s="155"/>
      <c r="CX1386" s="155"/>
      <c r="CY1386" s="155"/>
      <c r="CZ1386" s="155"/>
      <c r="DA1386" s="155"/>
      <c r="DB1386" s="155"/>
      <c r="DC1386" s="155"/>
      <c r="DD1386" s="155"/>
      <c r="DE1386" s="155"/>
      <c r="DF1386" s="155"/>
      <c r="DG1386" s="155"/>
      <c r="DH1386" s="155"/>
      <c r="DI1386" s="155"/>
      <c r="DJ1386" s="155"/>
      <c r="DK1386" s="155"/>
      <c r="DL1386" s="155"/>
      <c r="DM1386" s="155"/>
      <c r="DN1386" s="155"/>
      <c r="DO1386" s="155"/>
      <c r="DP1386" s="155"/>
      <c r="DQ1386" s="155"/>
      <c r="DR1386" s="155"/>
      <c r="DS1386" s="155"/>
      <c r="DT1386" s="155"/>
      <c r="DU1386" s="155"/>
      <c r="DV1386" s="155"/>
      <c r="DW1386" s="155"/>
      <c r="DX1386" s="155"/>
      <c r="DY1386" s="155"/>
      <c r="DZ1386" s="155"/>
      <c r="EA1386" s="155"/>
      <c r="EB1386" s="155"/>
      <c r="EC1386" s="155"/>
      <c r="ED1386" s="155"/>
      <c r="EE1386" s="155"/>
      <c r="EF1386" s="155"/>
      <c r="EG1386" s="155"/>
      <c r="EH1386" s="155"/>
      <c r="EI1386" s="155"/>
      <c r="EJ1386" s="155"/>
      <c r="EK1386" s="155"/>
      <c r="EL1386" s="155"/>
      <c r="EM1386" s="155"/>
      <c r="EN1386" s="155"/>
      <c r="EO1386" s="155"/>
      <c r="EP1386" s="155"/>
      <c r="EQ1386" s="155"/>
      <c r="ER1386" s="155"/>
      <c r="ES1386" s="155"/>
      <c r="ET1386" s="155"/>
      <c r="EU1386" s="155"/>
      <c r="EV1386" s="155"/>
      <c r="EW1386" s="155"/>
      <c r="EX1386" s="155"/>
      <c r="EY1386" s="155"/>
      <c r="EZ1386" s="155"/>
      <c r="FA1386" s="155"/>
      <c r="FB1386" s="155"/>
      <c r="FC1386" s="155"/>
      <c r="FD1386" s="155"/>
      <c r="FE1386" s="155"/>
      <c r="FF1386" s="155"/>
      <c r="FG1386" s="155"/>
      <c r="FH1386" s="155"/>
      <c r="FI1386" s="155"/>
      <c r="FJ1386" s="155"/>
      <c r="FK1386" s="155"/>
      <c r="FL1386" s="155"/>
      <c r="FM1386" s="155"/>
      <c r="FN1386" s="155"/>
      <c r="FO1386" s="155"/>
      <c r="FP1386" s="155"/>
      <c r="FQ1386" s="155"/>
      <c r="FR1386" s="155"/>
      <c r="FS1386" s="155"/>
      <c r="FT1386" s="155"/>
      <c r="FU1386" s="155"/>
      <c r="FV1386" s="155"/>
      <c r="FW1386" s="155"/>
      <c r="FX1386" s="155"/>
      <c r="FY1386" s="155"/>
      <c r="FZ1386" s="155"/>
      <c r="GA1386" s="155"/>
      <c r="GB1386" s="155"/>
      <c r="GC1386" s="155"/>
      <c r="GD1386" s="155"/>
      <c r="GE1386" s="155"/>
      <c r="GF1386" s="155"/>
      <c r="GG1386" s="155"/>
      <c r="GH1386" s="155"/>
      <c r="GI1386" s="155"/>
      <c r="GJ1386" s="155"/>
      <c r="GK1386" s="155"/>
      <c r="GL1386" s="155"/>
      <c r="GM1386" s="155"/>
      <c r="GN1386" s="155"/>
      <c r="GO1386" s="155"/>
      <c r="GP1386" s="155"/>
      <c r="GQ1386" s="155"/>
      <c r="GR1386" s="155"/>
      <c r="GS1386" s="155"/>
      <c r="GT1386" s="155"/>
      <c r="GU1386" s="155"/>
      <c r="GV1386" s="155"/>
      <c r="GW1386" s="155"/>
      <c r="GX1386" s="155"/>
      <c r="GY1386" s="155"/>
      <c r="GZ1386" s="155"/>
      <c r="HA1386" s="155"/>
      <c r="HB1386" s="155"/>
      <c r="HC1386" s="155"/>
      <c r="HD1386" s="155"/>
      <c r="HE1386" s="155"/>
      <c r="HF1386" s="155"/>
      <c r="HG1386" s="155"/>
      <c r="HH1386" s="155"/>
      <c r="HI1386" s="155"/>
      <c r="HJ1386" s="155"/>
      <c r="HK1386" s="155"/>
      <c r="HL1386" s="155"/>
      <c r="HM1386" s="155"/>
      <c r="HN1386" s="155"/>
      <c r="HO1386" s="155"/>
      <c r="HP1386" s="155"/>
      <c r="HQ1386" s="155"/>
      <c r="HR1386" s="155"/>
      <c r="HS1386" s="155"/>
      <c r="HT1386" s="155"/>
      <c r="HU1386" s="155"/>
      <c r="HV1386" s="155"/>
      <c r="HW1386" s="155"/>
      <c r="HX1386" s="155"/>
      <c r="HY1386" s="155"/>
      <c r="HZ1386" s="155"/>
      <c r="IA1386" s="155"/>
      <c r="IB1386" s="155"/>
      <c r="IC1386" s="155"/>
      <c r="ID1386" s="155"/>
      <c r="IE1386" s="155"/>
      <c r="IF1386" s="155"/>
      <c r="IG1386" s="155"/>
      <c r="IH1386" s="155"/>
      <c r="II1386" s="155"/>
      <c r="IJ1386" s="155"/>
      <c r="IK1386" s="155"/>
      <c r="IL1386" s="155"/>
      <c r="IM1386" s="155"/>
      <c r="IN1386" s="155"/>
      <c r="IO1386" s="155"/>
      <c r="IP1386" s="155"/>
      <c r="IQ1386" s="155"/>
      <c r="IR1386" s="155"/>
      <c r="IS1386" s="155"/>
      <c r="IT1386" s="155"/>
      <c r="IU1386" s="155"/>
      <c r="IV1386" s="155"/>
      <c r="IW1386" s="155"/>
      <c r="IX1386" s="155"/>
      <c r="IY1386" s="155"/>
      <c r="IZ1386" s="155"/>
      <c r="JA1386" s="155"/>
      <c r="JB1386" s="155"/>
      <c r="JC1386" s="155"/>
      <c r="JD1386" s="155"/>
      <c r="JE1386" s="155"/>
      <c r="JF1386" s="155"/>
      <c r="JG1386" s="155"/>
      <c r="JH1386" s="155"/>
      <c r="JI1386" s="155"/>
      <c r="JJ1386" s="155"/>
      <c r="JK1386" s="155"/>
      <c r="JL1386" s="155"/>
      <c r="JM1386" s="155"/>
      <c r="JN1386" s="155"/>
      <c r="JO1386" s="155"/>
      <c r="JP1386" s="155"/>
      <c r="JQ1386" s="155"/>
      <c r="JR1386" s="155"/>
      <c r="JS1386" s="155"/>
      <c r="JT1386" s="155"/>
      <c r="JU1386" s="155"/>
      <c r="JV1386" s="155"/>
      <c r="JW1386" s="155"/>
      <c r="JX1386" s="155"/>
      <c r="JY1386" s="155"/>
      <c r="JZ1386" s="155"/>
      <c r="KA1386" s="155"/>
      <c r="KB1386" s="155"/>
      <c r="KC1386" s="155"/>
      <c r="KD1386" s="155"/>
      <c r="KE1386" s="155"/>
      <c r="KF1386" s="155"/>
      <c r="KG1386" s="155"/>
      <c r="KH1386" s="155"/>
      <c r="KI1386" s="155"/>
      <c r="KJ1386" s="155"/>
      <c r="KK1386" s="155"/>
      <c r="KL1386" s="155"/>
      <c r="KM1386" s="155"/>
      <c r="KN1386" s="155"/>
      <c r="KO1386" s="155"/>
      <c r="KP1386" s="155"/>
      <c r="KQ1386" s="155"/>
      <c r="KR1386" s="155"/>
      <c r="KS1386" s="155"/>
      <c r="KT1386" s="155"/>
      <c r="KU1386" s="155"/>
      <c r="KV1386" s="155"/>
      <c r="KW1386" s="155"/>
      <c r="KX1386" s="155"/>
      <c r="KY1386" s="155"/>
      <c r="KZ1386" s="155"/>
      <c r="LA1386" s="155"/>
      <c r="LB1386" s="155"/>
      <c r="LC1386" s="155"/>
      <c r="LD1386" s="155"/>
      <c r="LE1386" s="155"/>
      <c r="LF1386" s="155"/>
      <c r="LG1386" s="155"/>
      <c r="LH1386" s="155"/>
      <c r="LI1386" s="155"/>
      <c r="LJ1386" s="155"/>
      <c r="LK1386" s="155"/>
      <c r="LL1386" s="155"/>
      <c r="LM1386" s="155"/>
      <c r="LN1386" s="155"/>
      <c r="LO1386" s="155"/>
      <c r="LP1386" s="155"/>
      <c r="LQ1386" s="155"/>
      <c r="LR1386" s="155"/>
      <c r="LS1386" s="155"/>
      <c r="LT1386" s="155"/>
      <c r="LU1386" s="155"/>
      <c r="LV1386" s="155"/>
      <c r="LW1386" s="155"/>
      <c r="LX1386" s="155"/>
      <c r="LY1386" s="155"/>
      <c r="LZ1386" s="155"/>
      <c r="MA1386" s="155"/>
      <c r="MB1386" s="155"/>
      <c r="MC1386" s="155"/>
      <c r="MD1386" s="155"/>
      <c r="ME1386" s="155"/>
      <c r="MF1386" s="155"/>
      <c r="MG1386" s="155"/>
      <c r="MH1386" s="155"/>
      <c r="MI1386" s="155"/>
      <c r="MJ1386" s="155"/>
      <c r="MK1386" s="155"/>
      <c r="ML1386" s="155"/>
      <c r="MM1386" s="155"/>
      <c r="MN1386" s="155"/>
      <c r="MO1386" s="155"/>
      <c r="MP1386" s="155"/>
      <c r="MQ1386" s="155"/>
      <c r="MR1386" s="155"/>
      <c r="MS1386" s="155"/>
      <c r="MT1386" s="155"/>
      <c r="MU1386" s="155"/>
      <c r="MV1386" s="155"/>
      <c r="MW1386" s="155"/>
      <c r="MX1386" s="155"/>
      <c r="MY1386" s="155"/>
      <c r="MZ1386" s="155"/>
      <c r="NA1386" s="155"/>
      <c r="NB1386" s="155"/>
      <c r="NC1386" s="155"/>
      <c r="ND1386" s="155"/>
      <c r="NE1386" s="155"/>
      <c r="NF1386" s="155"/>
      <c r="NG1386" s="155"/>
      <c r="NH1386" s="155"/>
      <c r="NI1386" s="155"/>
      <c r="NJ1386" s="155"/>
      <c r="NK1386" s="155"/>
      <c r="NL1386" s="155"/>
      <c r="NM1386" s="155"/>
      <c r="NN1386" s="155"/>
      <c r="NO1386" s="155"/>
      <c r="NP1386" s="155"/>
      <c r="NQ1386" s="155"/>
      <c r="NR1386" s="155"/>
      <c r="NS1386" s="155"/>
      <c r="NT1386" s="155"/>
      <c r="NU1386" s="155"/>
      <c r="NV1386" s="155"/>
      <c r="NW1386" s="155"/>
      <c r="NX1386" s="155"/>
      <c r="NY1386" s="155"/>
      <c r="NZ1386" s="155"/>
      <c r="OA1386" s="155"/>
      <c r="OB1386" s="155"/>
      <c r="OC1386" s="155"/>
      <c r="OD1386" s="155"/>
      <c r="OE1386" s="155"/>
      <c r="OF1386" s="155"/>
      <c r="OG1386" s="155"/>
      <c r="OH1386" s="155"/>
      <c r="OI1386" s="155"/>
      <c r="OJ1386" s="155"/>
      <c r="OK1386" s="155"/>
      <c r="OL1386" s="155"/>
      <c r="OM1386" s="155"/>
      <c r="ON1386" s="155"/>
      <c r="OO1386" s="155"/>
      <c r="OP1386" s="155"/>
      <c r="OQ1386" s="155"/>
      <c r="OR1386" s="155"/>
      <c r="OS1386" s="155"/>
      <c r="OT1386" s="155"/>
      <c r="OU1386" s="155"/>
      <c r="OV1386" s="155"/>
      <c r="OW1386" s="155"/>
      <c r="OX1386" s="155"/>
      <c r="OY1386" s="155"/>
      <c r="OZ1386" s="155"/>
      <c r="PA1386" s="155"/>
      <c r="PB1386" s="155"/>
      <c r="PC1386" s="155"/>
      <c r="PD1386" s="155"/>
      <c r="PE1386" s="155"/>
      <c r="PF1386" s="155"/>
      <c r="PG1386" s="155"/>
      <c r="PH1386" s="155"/>
      <c r="PI1386" s="155"/>
      <c r="PJ1386" s="155"/>
      <c r="PK1386" s="155"/>
      <c r="PL1386" s="155"/>
      <c r="PM1386" s="155"/>
      <c r="PN1386" s="155"/>
      <c r="PO1386" s="155"/>
      <c r="PP1386" s="155"/>
      <c r="PQ1386" s="155"/>
      <c r="PR1386" s="155"/>
      <c r="PS1386" s="155"/>
      <c r="PT1386" s="155"/>
      <c r="PU1386" s="155"/>
      <c r="PV1386" s="155"/>
      <c r="PW1386" s="155"/>
      <c r="PX1386" s="155"/>
      <c r="PY1386" s="155"/>
      <c r="PZ1386" s="155"/>
      <c r="QA1386" s="155"/>
      <c r="QB1386" s="155"/>
      <c r="QC1386" s="155"/>
      <c r="QD1386" s="155"/>
      <c r="QE1386" s="155"/>
      <c r="QF1386" s="155"/>
      <c r="QG1386" s="155"/>
      <c r="QH1386" s="155"/>
      <c r="QI1386" s="155"/>
      <c r="QJ1386" s="155"/>
      <c r="QK1386" s="155"/>
      <c r="QL1386" s="155"/>
      <c r="QM1386" s="155"/>
      <c r="QN1386" s="155"/>
      <c r="QO1386" s="155"/>
      <c r="QP1386" s="155"/>
      <c r="QQ1386" s="155"/>
      <c r="QR1386" s="155"/>
      <c r="QS1386" s="155"/>
      <c r="QT1386" s="155"/>
      <c r="QU1386" s="155"/>
      <c r="QV1386" s="155"/>
      <c r="QW1386" s="155"/>
      <c r="QX1386" s="155"/>
      <c r="QY1386" s="155"/>
      <c r="QZ1386" s="155"/>
      <c r="RA1386" s="155"/>
      <c r="RB1386" s="155"/>
      <c r="RC1386" s="155"/>
      <c r="RD1386" s="155"/>
      <c r="RE1386" s="155"/>
      <c r="RF1386" s="155"/>
      <c r="RG1386" s="155"/>
      <c r="RH1386" s="155"/>
      <c r="RI1386" s="155"/>
      <c r="RJ1386" s="155"/>
      <c r="RK1386" s="155"/>
      <c r="RL1386" s="155"/>
      <c r="RM1386" s="155"/>
      <c r="RN1386" s="155"/>
      <c r="RO1386" s="155"/>
      <c r="RP1386" s="155"/>
      <c r="RQ1386" s="155"/>
      <c r="RR1386" s="155"/>
      <c r="RS1386" s="155"/>
      <c r="RT1386" s="155"/>
      <c r="RU1386" s="155"/>
      <c r="RV1386" s="155"/>
      <c r="RW1386" s="155"/>
      <c r="RX1386" s="155"/>
      <c r="RY1386" s="155"/>
      <c r="RZ1386" s="155"/>
      <c r="SA1386" s="155"/>
      <c r="SB1386" s="155"/>
      <c r="SC1386" s="155"/>
      <c r="SD1386" s="155"/>
      <c r="SE1386" s="155"/>
      <c r="SF1386" s="155"/>
      <c r="SG1386" s="155"/>
      <c r="SH1386" s="155"/>
      <c r="SI1386" s="155"/>
      <c r="SJ1386" s="155"/>
      <c r="SK1386" s="155"/>
      <c r="SL1386" s="155"/>
      <c r="SM1386" s="155"/>
      <c r="SN1386" s="155"/>
      <c r="SO1386" s="155"/>
      <c r="SP1386" s="155"/>
      <c r="SQ1386" s="155"/>
      <c r="SR1386" s="155"/>
      <c r="SS1386" s="155"/>
      <c r="ST1386" s="155"/>
      <c r="SU1386" s="155"/>
      <c r="SV1386" s="155"/>
      <c r="SW1386" s="155"/>
      <c r="SX1386" s="155"/>
      <c r="SY1386" s="155"/>
      <c r="SZ1386" s="155"/>
      <c r="TA1386" s="155"/>
      <c r="TB1386" s="155"/>
      <c r="TC1386" s="155"/>
      <c r="TD1386" s="155"/>
      <c r="TE1386" s="155"/>
      <c r="TF1386" s="155"/>
      <c r="TG1386" s="155"/>
      <c r="TH1386" s="155"/>
      <c r="TI1386" s="155"/>
      <c r="TJ1386" s="155"/>
      <c r="TK1386" s="155"/>
      <c r="TL1386" s="155"/>
      <c r="TM1386" s="155"/>
      <c r="TN1386" s="155"/>
      <c r="TO1386" s="155"/>
      <c r="TP1386" s="155"/>
      <c r="TQ1386" s="155"/>
      <c r="TR1386" s="155"/>
      <c r="TS1386" s="155"/>
      <c r="TT1386" s="155"/>
      <c r="TU1386" s="155"/>
      <c r="TV1386" s="155"/>
      <c r="TW1386" s="155"/>
      <c r="TX1386" s="155"/>
      <c r="TY1386" s="155"/>
      <c r="TZ1386" s="155"/>
      <c r="UA1386" s="155"/>
      <c r="UB1386" s="155"/>
      <c r="UC1386" s="155"/>
      <c r="UD1386" s="155"/>
      <c r="UE1386" s="155"/>
      <c r="UF1386" s="155"/>
      <c r="UG1386" s="155"/>
    </row>
    <row r="1387" spans="1:553" s="109" customFormat="1" ht="337.5" customHeight="1">
      <c r="A1387" s="356"/>
      <c r="B1387" s="835"/>
      <c r="C1387" s="1227" t="s">
        <v>23</v>
      </c>
      <c r="D1387" s="821" t="s">
        <v>70</v>
      </c>
      <c r="E1387" s="376" t="s">
        <v>735</v>
      </c>
      <c r="F1387" s="385"/>
      <c r="G1387" s="386" t="s">
        <v>935</v>
      </c>
      <c r="H1387" s="387">
        <v>119.7</v>
      </c>
      <c r="I1387" s="441">
        <v>119.7</v>
      </c>
      <c r="J1387" s="1061">
        <v>62000</v>
      </c>
      <c r="K1387" s="388"/>
      <c r="L1387" s="480">
        <f t="shared" si="211"/>
        <v>7421400</v>
      </c>
      <c r="M1387" s="366"/>
      <c r="N1387" s="366"/>
      <c r="O1387" s="366"/>
      <c r="P1387" s="366"/>
      <c r="Q1387" s="1160" t="s">
        <v>1252</v>
      </c>
      <c r="R1387" s="1463"/>
      <c r="S1387" s="308"/>
      <c r="T1387" s="308"/>
      <c r="U1387" s="308"/>
      <c r="V1387" s="308"/>
      <c r="W1387" s="307">
        <f>I1387</f>
        <v>119.7</v>
      </c>
      <c r="X1387" s="308"/>
      <c r="Y1387" s="308"/>
      <c r="Z1387" s="604"/>
      <c r="AA1387" s="308"/>
      <c r="AB1387" s="308"/>
      <c r="AC1387" s="486"/>
      <c r="AD1387" s="486"/>
      <c r="AE1387" s="486"/>
      <c r="AF1387" s="486"/>
      <c r="AG1387" s="486"/>
      <c r="AH1387" s="486"/>
      <c r="AI1387" s="486"/>
      <c r="AJ1387" s="486"/>
      <c r="AK1387" s="486"/>
      <c r="AL1387" s="329"/>
      <c r="AM1387" s="204"/>
      <c r="AN1387" s="204"/>
      <c r="AO1387" s="204"/>
      <c r="AP1387" s="204"/>
      <c r="AQ1387" s="204"/>
      <c r="AR1387" s="204"/>
      <c r="AS1387" s="204"/>
      <c r="AT1387" s="204"/>
      <c r="AU1387" s="204"/>
      <c r="AV1387" s="204"/>
      <c r="AW1387" s="204"/>
      <c r="AX1387" s="204"/>
      <c r="AY1387" s="204"/>
      <c r="AZ1387" s="204"/>
      <c r="BA1387" s="204"/>
      <c r="BB1387" s="204"/>
      <c r="BC1387" s="204"/>
      <c r="BD1387" s="204"/>
      <c r="BE1387" s="204"/>
      <c r="BF1387" s="204"/>
      <c r="BG1387" s="204"/>
      <c r="BH1387" s="204"/>
      <c r="BI1387" s="204"/>
      <c r="BJ1387" s="204"/>
      <c r="BK1387" s="204"/>
      <c r="BL1387" s="204"/>
      <c r="BM1387" s="204"/>
      <c r="BN1387" s="204"/>
      <c r="BO1387" s="204"/>
      <c r="BP1387" s="204"/>
      <c r="BQ1387" s="204"/>
      <c r="BR1387" s="204"/>
      <c r="BS1387" s="204"/>
      <c r="BT1387" s="204"/>
      <c r="BU1387" s="204"/>
      <c r="BV1387" s="204"/>
      <c r="BW1387" s="204"/>
      <c r="BX1387" s="204"/>
      <c r="BY1387" s="204"/>
      <c r="BZ1387" s="204"/>
      <c r="CA1387" s="204"/>
      <c r="CB1387" s="204"/>
      <c r="CC1387" s="204"/>
      <c r="CD1387" s="204"/>
      <c r="CE1387" s="204"/>
      <c r="CF1387" s="204"/>
      <c r="CG1387" s="204"/>
      <c r="CH1387" s="204"/>
      <c r="CI1387" s="204"/>
      <c r="CJ1387" s="204"/>
      <c r="CK1387" s="204"/>
      <c r="CL1387" s="204"/>
      <c r="CM1387" s="204"/>
      <c r="CN1387" s="204"/>
      <c r="CO1387" s="204"/>
      <c r="CP1387" s="204"/>
      <c r="CQ1387" s="204"/>
      <c r="CR1387" s="204"/>
      <c r="CS1387" s="204"/>
      <c r="CT1387" s="204"/>
      <c r="CU1387" s="204"/>
      <c r="CV1387" s="204"/>
      <c r="CW1387" s="204"/>
      <c r="CX1387" s="204"/>
      <c r="CY1387" s="204"/>
      <c r="CZ1387" s="204"/>
      <c r="DA1387" s="204"/>
      <c r="DB1387" s="204"/>
      <c r="DC1387" s="204"/>
      <c r="DD1387" s="204"/>
      <c r="DE1387" s="204"/>
      <c r="DF1387" s="204"/>
      <c r="DG1387" s="204"/>
      <c r="DH1387" s="204"/>
      <c r="DI1387" s="204"/>
      <c r="DJ1387" s="204"/>
      <c r="DK1387" s="204"/>
      <c r="DL1387" s="204"/>
      <c r="DM1387" s="204"/>
      <c r="DN1387" s="204"/>
      <c r="DO1387" s="204"/>
      <c r="DP1387" s="204"/>
      <c r="DQ1387" s="204"/>
      <c r="DR1387" s="204"/>
      <c r="DS1387" s="204"/>
      <c r="DT1387" s="204"/>
      <c r="DU1387" s="204"/>
      <c r="DV1387" s="204"/>
      <c r="DW1387" s="204"/>
      <c r="DX1387" s="204"/>
      <c r="DY1387" s="204"/>
      <c r="DZ1387" s="204"/>
      <c r="EA1387" s="204"/>
      <c r="EB1387" s="204"/>
      <c r="EC1387" s="204"/>
      <c r="ED1387" s="204"/>
      <c r="EE1387" s="204"/>
      <c r="EF1387" s="204"/>
      <c r="EG1387" s="204"/>
      <c r="EH1387" s="204"/>
      <c r="EI1387" s="204"/>
      <c r="EJ1387" s="204"/>
      <c r="EK1387" s="204"/>
      <c r="EL1387" s="204"/>
      <c r="EM1387" s="204"/>
      <c r="EN1387" s="204"/>
      <c r="EO1387" s="204"/>
      <c r="EP1387" s="204"/>
      <c r="EQ1387" s="204"/>
      <c r="ER1387" s="204"/>
      <c r="ES1387" s="204"/>
      <c r="ET1387" s="204"/>
      <c r="EU1387" s="204"/>
      <c r="EV1387" s="204"/>
      <c r="EW1387" s="204"/>
      <c r="EX1387" s="204"/>
      <c r="EY1387" s="204"/>
      <c r="EZ1387" s="204"/>
      <c r="FA1387" s="204"/>
      <c r="FB1387" s="204"/>
      <c r="FC1387" s="204"/>
      <c r="FD1387" s="204"/>
      <c r="FE1387" s="204"/>
      <c r="FF1387" s="204"/>
      <c r="FG1387" s="204"/>
      <c r="FH1387" s="204"/>
      <c r="FI1387" s="204"/>
      <c r="FJ1387" s="204"/>
      <c r="FK1387" s="204"/>
      <c r="FL1387" s="204"/>
      <c r="FM1387" s="204"/>
      <c r="FN1387" s="204"/>
      <c r="FO1387" s="204"/>
      <c r="FP1387" s="204"/>
      <c r="FQ1387" s="204"/>
      <c r="FR1387" s="204"/>
      <c r="FS1387" s="204"/>
      <c r="FT1387" s="204"/>
      <c r="FU1387" s="204"/>
      <c r="FV1387" s="204"/>
      <c r="FW1387" s="204"/>
      <c r="FX1387" s="204"/>
      <c r="FY1387" s="204"/>
      <c r="FZ1387" s="204"/>
      <c r="GA1387" s="204"/>
      <c r="GB1387" s="204"/>
      <c r="GC1387" s="204"/>
      <c r="GD1387" s="204"/>
      <c r="GE1387" s="204"/>
      <c r="GF1387" s="204"/>
      <c r="GG1387" s="204"/>
      <c r="GH1387" s="204"/>
      <c r="GI1387" s="204"/>
      <c r="GJ1387" s="204"/>
      <c r="GK1387" s="204"/>
      <c r="GL1387" s="204"/>
      <c r="GM1387" s="204"/>
      <c r="GN1387" s="204"/>
      <c r="GO1387" s="204"/>
      <c r="GP1387" s="204"/>
      <c r="GQ1387" s="204"/>
      <c r="GR1387" s="204"/>
      <c r="GS1387" s="204"/>
      <c r="GT1387" s="204"/>
      <c r="GU1387" s="204"/>
      <c r="GV1387" s="204"/>
      <c r="GW1387" s="204"/>
      <c r="GX1387" s="204"/>
      <c r="GY1387" s="204"/>
      <c r="GZ1387" s="204"/>
      <c r="HA1387" s="204"/>
      <c r="HB1387" s="204"/>
      <c r="HC1387" s="204"/>
      <c r="HD1387" s="204"/>
      <c r="HE1387" s="204"/>
      <c r="HF1387" s="204"/>
      <c r="HG1387" s="204"/>
      <c r="HH1387" s="204"/>
      <c r="HI1387" s="204"/>
      <c r="HJ1387" s="204"/>
      <c r="HK1387" s="204"/>
      <c r="HL1387" s="204"/>
      <c r="HM1387" s="204"/>
      <c r="HN1387" s="204"/>
      <c r="HO1387" s="204"/>
      <c r="HP1387" s="204"/>
      <c r="HQ1387" s="204"/>
      <c r="HR1387" s="204"/>
      <c r="HS1387" s="204"/>
      <c r="HT1387" s="204"/>
      <c r="HU1387" s="204"/>
      <c r="HV1387" s="204"/>
      <c r="HW1387" s="204"/>
      <c r="HX1387" s="204"/>
      <c r="HY1387" s="204"/>
      <c r="HZ1387" s="204"/>
      <c r="IA1387" s="204"/>
      <c r="IB1387" s="204"/>
      <c r="IC1387" s="204"/>
      <c r="ID1387" s="204"/>
      <c r="IE1387" s="204"/>
      <c r="IF1387" s="204"/>
      <c r="IG1387" s="204"/>
      <c r="IH1387" s="204"/>
      <c r="II1387" s="204"/>
      <c r="IJ1387" s="204"/>
      <c r="IK1387" s="204"/>
      <c r="IL1387" s="204"/>
      <c r="IM1387" s="204"/>
      <c r="IN1387" s="204"/>
      <c r="IO1387" s="204"/>
      <c r="IP1387" s="204"/>
      <c r="IQ1387" s="204"/>
      <c r="IR1387" s="204"/>
      <c r="IS1387" s="204"/>
      <c r="IT1387" s="204"/>
      <c r="IU1387" s="204"/>
      <c r="IV1387" s="204"/>
      <c r="IW1387" s="204"/>
      <c r="IX1387" s="204"/>
      <c r="IY1387" s="204"/>
      <c r="IZ1387" s="204"/>
      <c r="JA1387" s="204"/>
      <c r="JB1387" s="204"/>
      <c r="JC1387" s="204"/>
      <c r="JD1387" s="204"/>
      <c r="JE1387" s="204"/>
      <c r="JF1387" s="204"/>
      <c r="JG1387" s="204"/>
      <c r="JH1387" s="204"/>
      <c r="JI1387" s="204"/>
      <c r="JJ1387" s="204"/>
      <c r="JK1387" s="204"/>
      <c r="JL1387" s="204"/>
      <c r="JM1387" s="204"/>
      <c r="JN1387" s="204"/>
      <c r="JO1387" s="204"/>
      <c r="JP1387" s="204"/>
      <c r="JQ1387" s="204"/>
      <c r="JR1387" s="204"/>
      <c r="JS1387" s="204"/>
      <c r="JT1387" s="204"/>
      <c r="JU1387" s="204"/>
      <c r="JV1387" s="204"/>
      <c r="JW1387" s="204"/>
      <c r="JX1387" s="204"/>
      <c r="JY1387" s="204"/>
      <c r="JZ1387" s="204"/>
      <c r="KA1387" s="204"/>
      <c r="KB1387" s="204"/>
      <c r="KC1387" s="204"/>
      <c r="KD1387" s="204"/>
      <c r="KE1387" s="204"/>
      <c r="KF1387" s="204"/>
      <c r="KG1387" s="204"/>
      <c r="KH1387" s="204"/>
      <c r="KI1387" s="204"/>
      <c r="KJ1387" s="204"/>
      <c r="KK1387" s="204"/>
      <c r="KL1387" s="204"/>
      <c r="KM1387" s="204"/>
      <c r="KN1387" s="204"/>
      <c r="KO1387" s="204"/>
      <c r="KP1387" s="204"/>
      <c r="KQ1387" s="204"/>
      <c r="KR1387" s="204"/>
      <c r="KS1387" s="204"/>
      <c r="KT1387" s="204"/>
      <c r="KU1387" s="204"/>
      <c r="KV1387" s="204"/>
      <c r="KW1387" s="204"/>
      <c r="KX1387" s="204"/>
      <c r="KY1387" s="204"/>
      <c r="KZ1387" s="204"/>
      <c r="LA1387" s="204"/>
      <c r="LB1387" s="204"/>
      <c r="LC1387" s="204"/>
      <c r="LD1387" s="204"/>
      <c r="LE1387" s="204"/>
      <c r="LF1387" s="204"/>
      <c r="LG1387" s="204"/>
      <c r="LH1387" s="204"/>
      <c r="LI1387" s="204"/>
      <c r="LJ1387" s="204"/>
      <c r="LK1387" s="204"/>
      <c r="LL1387" s="204"/>
      <c r="LM1387" s="204"/>
      <c r="LN1387" s="204"/>
      <c r="LO1387" s="204"/>
      <c r="LP1387" s="204"/>
      <c r="LQ1387" s="204"/>
      <c r="LR1387" s="204"/>
      <c r="LS1387" s="204"/>
      <c r="LT1387" s="204"/>
      <c r="LU1387" s="204"/>
      <c r="LV1387" s="204"/>
      <c r="LW1387" s="204"/>
      <c r="LX1387" s="204"/>
      <c r="LY1387" s="204"/>
      <c r="LZ1387" s="204"/>
      <c r="MA1387" s="204"/>
      <c r="MB1387" s="204"/>
      <c r="MC1387" s="204"/>
      <c r="MD1387" s="204"/>
      <c r="ME1387" s="204"/>
      <c r="MF1387" s="204"/>
      <c r="MG1387" s="204"/>
      <c r="MH1387" s="204"/>
      <c r="MI1387" s="204"/>
      <c r="MJ1387" s="204"/>
      <c r="MK1387" s="204"/>
      <c r="ML1387" s="204"/>
      <c r="MM1387" s="204"/>
      <c r="MN1387" s="204"/>
      <c r="MO1387" s="204"/>
      <c r="MP1387" s="204"/>
      <c r="MQ1387" s="204"/>
      <c r="MR1387" s="204"/>
      <c r="MS1387" s="204"/>
      <c r="MT1387" s="204"/>
      <c r="MU1387" s="204"/>
      <c r="MV1387" s="204"/>
      <c r="MW1387" s="204"/>
      <c r="MX1387" s="204"/>
      <c r="MY1387" s="204"/>
      <c r="MZ1387" s="204"/>
      <c r="NA1387" s="204"/>
      <c r="NB1387" s="204"/>
      <c r="NC1387" s="204"/>
      <c r="ND1387" s="204"/>
      <c r="NE1387" s="204"/>
      <c r="NF1387" s="204"/>
      <c r="NG1387" s="204"/>
      <c r="NH1387" s="204"/>
      <c r="NI1387" s="204"/>
      <c r="NJ1387" s="204"/>
      <c r="NK1387" s="204"/>
      <c r="NL1387" s="204"/>
      <c r="NM1387" s="204"/>
      <c r="NN1387" s="204"/>
      <c r="NO1387" s="204"/>
      <c r="NP1387" s="204"/>
      <c r="NQ1387" s="204"/>
      <c r="NR1387" s="204"/>
      <c r="NS1387" s="204"/>
      <c r="NT1387" s="204"/>
      <c r="NU1387" s="204"/>
      <c r="NV1387" s="204"/>
      <c r="NW1387" s="204"/>
      <c r="NX1387" s="204"/>
      <c r="NY1387" s="204"/>
      <c r="NZ1387" s="204"/>
      <c r="OA1387" s="204"/>
      <c r="OB1387" s="204"/>
      <c r="OC1387" s="204"/>
      <c r="OD1387" s="204"/>
      <c r="OE1387" s="204"/>
      <c r="OF1387" s="204"/>
      <c r="OG1387" s="204"/>
      <c r="OH1387" s="204"/>
      <c r="OI1387" s="204"/>
      <c r="OJ1387" s="204"/>
      <c r="OK1387" s="204"/>
      <c r="OL1387" s="204"/>
      <c r="OM1387" s="204"/>
      <c r="ON1387" s="204"/>
      <c r="OO1387" s="204"/>
      <c r="OP1387" s="204"/>
      <c r="OQ1387" s="204"/>
      <c r="OR1387" s="204"/>
      <c r="OS1387" s="204"/>
      <c r="OT1387" s="204"/>
      <c r="OU1387" s="204"/>
      <c r="OV1387" s="204"/>
      <c r="OW1387" s="204"/>
      <c r="OX1387" s="204"/>
      <c r="OY1387" s="204"/>
      <c r="OZ1387" s="204"/>
      <c r="PA1387" s="204"/>
      <c r="PB1387" s="204"/>
      <c r="PC1387" s="204"/>
      <c r="PD1387" s="204"/>
      <c r="PE1387" s="204"/>
      <c r="PF1387" s="204"/>
      <c r="PG1387" s="204"/>
      <c r="PH1387" s="204"/>
      <c r="PI1387" s="204"/>
      <c r="PJ1387" s="204"/>
      <c r="PK1387" s="204"/>
      <c r="PL1387" s="204"/>
      <c r="PM1387" s="204"/>
      <c r="PN1387" s="204"/>
      <c r="PO1387" s="204"/>
      <c r="PP1387" s="204"/>
      <c r="PQ1387" s="204"/>
      <c r="PR1387" s="204"/>
      <c r="PS1387" s="204"/>
      <c r="PT1387" s="204"/>
      <c r="PU1387" s="204"/>
      <c r="PV1387" s="204"/>
      <c r="PW1387" s="204"/>
      <c r="PX1387" s="204"/>
      <c r="PY1387" s="204"/>
      <c r="PZ1387" s="204"/>
      <c r="QA1387" s="204"/>
      <c r="QB1387" s="204"/>
      <c r="QC1387" s="204"/>
      <c r="QD1387" s="204"/>
      <c r="QE1387" s="204"/>
      <c r="QF1387" s="204"/>
      <c r="QG1387" s="204"/>
      <c r="QH1387" s="204"/>
      <c r="QI1387" s="204"/>
      <c r="QJ1387" s="204"/>
      <c r="QK1387" s="204"/>
      <c r="QL1387" s="204"/>
      <c r="QM1387" s="204"/>
      <c r="QN1387" s="204"/>
      <c r="QO1387" s="204"/>
      <c r="QP1387" s="204"/>
      <c r="QQ1387" s="204"/>
      <c r="QR1387" s="204"/>
      <c r="QS1387" s="204"/>
      <c r="QT1387" s="204"/>
      <c r="QU1387" s="204"/>
      <c r="QV1387" s="204"/>
      <c r="QW1387" s="204"/>
      <c r="QX1387" s="204"/>
      <c r="QY1387" s="204"/>
      <c r="QZ1387" s="204"/>
      <c r="RA1387" s="204"/>
      <c r="RB1387" s="204"/>
      <c r="RC1387" s="204"/>
      <c r="RD1387" s="204"/>
      <c r="RE1387" s="204"/>
      <c r="RF1387" s="204"/>
      <c r="RG1387" s="204"/>
      <c r="RH1387" s="204"/>
      <c r="RI1387" s="204"/>
      <c r="RJ1387" s="204"/>
      <c r="RK1387" s="204"/>
      <c r="RL1387" s="204"/>
      <c r="RM1387" s="204"/>
      <c r="RN1387" s="204"/>
      <c r="RO1387" s="204"/>
      <c r="RP1387" s="204"/>
      <c r="RQ1387" s="204"/>
      <c r="RR1387" s="204"/>
      <c r="RS1387" s="204"/>
      <c r="RT1387" s="204"/>
      <c r="RU1387" s="204"/>
      <c r="RV1387" s="204"/>
      <c r="RW1387" s="204"/>
      <c r="RX1387" s="204"/>
      <c r="RY1387" s="204"/>
      <c r="RZ1387" s="204"/>
      <c r="SA1387" s="204"/>
      <c r="SB1387" s="204"/>
      <c r="SC1387" s="204"/>
      <c r="SD1387" s="204"/>
      <c r="SE1387" s="204"/>
      <c r="SF1387" s="204"/>
      <c r="SG1387" s="204"/>
      <c r="SH1387" s="204"/>
      <c r="SI1387" s="204"/>
      <c r="SJ1387" s="204"/>
      <c r="SK1387" s="204"/>
      <c r="SL1387" s="204"/>
      <c r="SM1387" s="204"/>
      <c r="SN1387" s="204"/>
      <c r="SO1387" s="204"/>
      <c r="SP1387" s="204"/>
      <c r="SQ1387" s="204"/>
      <c r="SR1387" s="204"/>
      <c r="SS1387" s="204"/>
      <c r="ST1387" s="204"/>
      <c r="SU1387" s="204"/>
      <c r="SV1387" s="204"/>
      <c r="SW1387" s="204"/>
      <c r="SX1387" s="204"/>
      <c r="SY1387" s="204"/>
      <c r="SZ1387" s="204"/>
      <c r="TA1387" s="204"/>
      <c r="TB1387" s="204"/>
      <c r="TC1387" s="204"/>
      <c r="TD1387" s="204"/>
      <c r="TE1387" s="204"/>
      <c r="TF1387" s="204"/>
      <c r="TG1387" s="204"/>
      <c r="TH1387" s="204"/>
      <c r="TI1387" s="204"/>
      <c r="TJ1387" s="204"/>
      <c r="TK1387" s="204"/>
      <c r="TL1387" s="204"/>
      <c r="TM1387" s="204"/>
      <c r="TN1387" s="204"/>
      <c r="TO1387" s="204"/>
      <c r="TP1387" s="204"/>
      <c r="TQ1387" s="204"/>
      <c r="TR1387" s="204"/>
      <c r="TS1387" s="204"/>
      <c r="TT1387" s="204"/>
      <c r="TU1387" s="204"/>
      <c r="TV1387" s="204"/>
      <c r="TW1387" s="204"/>
      <c r="TX1387" s="204"/>
      <c r="TY1387" s="204"/>
      <c r="TZ1387" s="204"/>
      <c r="UA1387" s="204"/>
      <c r="UB1387" s="204"/>
      <c r="UC1387" s="204"/>
      <c r="UD1387" s="204"/>
      <c r="UE1387" s="204"/>
      <c r="UF1387" s="204"/>
      <c r="UG1387" s="155"/>
    </row>
    <row r="1388" spans="1:553" s="109" customFormat="1" ht="365.25" customHeight="1">
      <c r="A1388" s="356"/>
      <c r="B1388" s="835"/>
      <c r="C1388" s="1227" t="s">
        <v>23</v>
      </c>
      <c r="D1388" s="821" t="s">
        <v>70</v>
      </c>
      <c r="E1388" s="376" t="s">
        <v>736</v>
      </c>
      <c r="F1388" s="385"/>
      <c r="G1388" s="386" t="s">
        <v>935</v>
      </c>
      <c r="H1388" s="387">
        <v>255.7</v>
      </c>
      <c r="I1388" s="441">
        <v>255.7</v>
      </c>
      <c r="J1388" s="1061">
        <v>62000</v>
      </c>
      <c r="K1388" s="388"/>
      <c r="L1388" s="480">
        <f t="shared" si="211"/>
        <v>15853400</v>
      </c>
      <c r="M1388" s="366"/>
      <c r="N1388" s="366"/>
      <c r="O1388" s="366"/>
      <c r="P1388" s="366"/>
      <c r="Q1388" s="759" t="s">
        <v>1253</v>
      </c>
      <c r="R1388" s="1463"/>
      <c r="S1388" s="308"/>
      <c r="T1388" s="308"/>
      <c r="U1388" s="308"/>
      <c r="V1388" s="308"/>
      <c r="W1388" s="307">
        <f>I1388</f>
        <v>255.7</v>
      </c>
      <c r="X1388" s="308"/>
      <c r="Y1388" s="308"/>
      <c r="Z1388" s="604"/>
      <c r="AA1388" s="308"/>
      <c r="AB1388" s="308"/>
      <c r="AC1388" s="486"/>
      <c r="AD1388" s="486"/>
      <c r="AE1388" s="486"/>
      <c r="AF1388" s="486"/>
      <c r="AG1388" s="486"/>
      <c r="AH1388" s="486"/>
      <c r="AI1388" s="486"/>
      <c r="AJ1388" s="486"/>
      <c r="AK1388" s="486"/>
      <c r="AL1388" s="329"/>
      <c r="AM1388" s="204"/>
      <c r="AN1388" s="204"/>
      <c r="AO1388" s="204"/>
      <c r="AP1388" s="204"/>
      <c r="AQ1388" s="204"/>
      <c r="AR1388" s="204"/>
      <c r="AS1388" s="204"/>
      <c r="AT1388" s="204"/>
      <c r="AU1388" s="204"/>
      <c r="AV1388" s="204"/>
      <c r="AW1388" s="204"/>
      <c r="AX1388" s="204"/>
      <c r="AY1388" s="204"/>
      <c r="AZ1388" s="204"/>
      <c r="BA1388" s="204"/>
      <c r="BB1388" s="204"/>
      <c r="BC1388" s="204"/>
      <c r="BD1388" s="204"/>
      <c r="BE1388" s="204"/>
      <c r="BF1388" s="204"/>
      <c r="BG1388" s="204"/>
      <c r="BH1388" s="204"/>
      <c r="BI1388" s="204"/>
      <c r="BJ1388" s="204"/>
      <c r="BK1388" s="204"/>
      <c r="BL1388" s="204"/>
      <c r="BM1388" s="204"/>
      <c r="BN1388" s="204"/>
      <c r="BO1388" s="204"/>
      <c r="BP1388" s="204"/>
      <c r="BQ1388" s="204"/>
      <c r="BR1388" s="204"/>
      <c r="BS1388" s="204"/>
      <c r="BT1388" s="204"/>
      <c r="BU1388" s="204"/>
      <c r="BV1388" s="204"/>
      <c r="BW1388" s="204"/>
      <c r="BX1388" s="204"/>
      <c r="BY1388" s="204"/>
      <c r="BZ1388" s="204"/>
      <c r="CA1388" s="204"/>
      <c r="CB1388" s="204"/>
      <c r="CC1388" s="204"/>
      <c r="CD1388" s="204"/>
      <c r="CE1388" s="204"/>
      <c r="CF1388" s="204"/>
      <c r="CG1388" s="204"/>
      <c r="CH1388" s="204"/>
      <c r="CI1388" s="204"/>
      <c r="CJ1388" s="204"/>
      <c r="CK1388" s="204"/>
      <c r="CL1388" s="204"/>
      <c r="CM1388" s="204"/>
      <c r="CN1388" s="204"/>
      <c r="CO1388" s="204"/>
      <c r="CP1388" s="204"/>
      <c r="CQ1388" s="204"/>
      <c r="CR1388" s="204"/>
      <c r="CS1388" s="204"/>
      <c r="CT1388" s="204"/>
      <c r="CU1388" s="204"/>
      <c r="CV1388" s="204"/>
      <c r="CW1388" s="204"/>
      <c r="CX1388" s="204"/>
      <c r="CY1388" s="204"/>
      <c r="CZ1388" s="204"/>
      <c r="DA1388" s="204"/>
      <c r="DB1388" s="204"/>
      <c r="DC1388" s="204"/>
      <c r="DD1388" s="204"/>
      <c r="DE1388" s="204"/>
      <c r="DF1388" s="204"/>
      <c r="DG1388" s="204"/>
      <c r="DH1388" s="204"/>
      <c r="DI1388" s="204"/>
      <c r="DJ1388" s="204"/>
      <c r="DK1388" s="204"/>
      <c r="DL1388" s="204"/>
      <c r="DM1388" s="204"/>
      <c r="DN1388" s="204"/>
      <c r="DO1388" s="204"/>
      <c r="DP1388" s="204"/>
      <c r="DQ1388" s="204"/>
      <c r="DR1388" s="204"/>
      <c r="DS1388" s="204"/>
      <c r="DT1388" s="204"/>
      <c r="DU1388" s="204"/>
      <c r="DV1388" s="204"/>
      <c r="DW1388" s="204"/>
      <c r="DX1388" s="204"/>
      <c r="DY1388" s="204"/>
      <c r="DZ1388" s="204"/>
      <c r="EA1388" s="204"/>
      <c r="EB1388" s="204"/>
      <c r="EC1388" s="204"/>
      <c r="ED1388" s="204"/>
      <c r="EE1388" s="204"/>
      <c r="EF1388" s="204"/>
      <c r="EG1388" s="204"/>
      <c r="EH1388" s="204"/>
      <c r="EI1388" s="204"/>
      <c r="EJ1388" s="204"/>
      <c r="EK1388" s="204"/>
      <c r="EL1388" s="204"/>
      <c r="EM1388" s="204"/>
      <c r="EN1388" s="204"/>
      <c r="EO1388" s="204"/>
      <c r="EP1388" s="204"/>
      <c r="EQ1388" s="204"/>
      <c r="ER1388" s="204"/>
      <c r="ES1388" s="204"/>
      <c r="ET1388" s="204"/>
      <c r="EU1388" s="204"/>
      <c r="EV1388" s="204"/>
      <c r="EW1388" s="204"/>
      <c r="EX1388" s="204"/>
      <c r="EY1388" s="204"/>
      <c r="EZ1388" s="204"/>
      <c r="FA1388" s="204"/>
      <c r="FB1388" s="204"/>
      <c r="FC1388" s="204"/>
      <c r="FD1388" s="204"/>
      <c r="FE1388" s="204"/>
      <c r="FF1388" s="204"/>
      <c r="FG1388" s="204"/>
      <c r="FH1388" s="204"/>
      <c r="FI1388" s="204"/>
      <c r="FJ1388" s="204"/>
      <c r="FK1388" s="204"/>
      <c r="FL1388" s="204"/>
      <c r="FM1388" s="204"/>
      <c r="FN1388" s="204"/>
      <c r="FO1388" s="204"/>
      <c r="FP1388" s="204"/>
      <c r="FQ1388" s="204"/>
      <c r="FR1388" s="204"/>
      <c r="FS1388" s="204"/>
      <c r="FT1388" s="204"/>
      <c r="FU1388" s="204"/>
      <c r="FV1388" s="204"/>
      <c r="FW1388" s="204"/>
      <c r="FX1388" s="204"/>
      <c r="FY1388" s="204"/>
      <c r="FZ1388" s="204"/>
      <c r="GA1388" s="204"/>
      <c r="GB1388" s="204"/>
      <c r="GC1388" s="204"/>
      <c r="GD1388" s="204"/>
      <c r="GE1388" s="204"/>
      <c r="GF1388" s="204"/>
      <c r="GG1388" s="204"/>
      <c r="GH1388" s="204"/>
      <c r="GI1388" s="204"/>
      <c r="GJ1388" s="204"/>
      <c r="GK1388" s="204"/>
      <c r="GL1388" s="204"/>
      <c r="GM1388" s="204"/>
      <c r="GN1388" s="204"/>
      <c r="GO1388" s="204"/>
      <c r="GP1388" s="204"/>
      <c r="GQ1388" s="204"/>
      <c r="GR1388" s="204"/>
      <c r="GS1388" s="204"/>
      <c r="GT1388" s="204"/>
      <c r="GU1388" s="204"/>
      <c r="GV1388" s="204"/>
      <c r="GW1388" s="204"/>
      <c r="GX1388" s="204"/>
      <c r="GY1388" s="204"/>
      <c r="GZ1388" s="204"/>
      <c r="HA1388" s="204"/>
      <c r="HB1388" s="204"/>
      <c r="HC1388" s="204"/>
      <c r="HD1388" s="204"/>
      <c r="HE1388" s="204"/>
      <c r="HF1388" s="204"/>
      <c r="HG1388" s="204"/>
      <c r="HH1388" s="204"/>
      <c r="HI1388" s="204"/>
      <c r="HJ1388" s="204"/>
      <c r="HK1388" s="204"/>
      <c r="HL1388" s="204"/>
      <c r="HM1388" s="204"/>
      <c r="HN1388" s="204"/>
      <c r="HO1388" s="204"/>
      <c r="HP1388" s="204"/>
      <c r="HQ1388" s="204"/>
      <c r="HR1388" s="204"/>
      <c r="HS1388" s="204"/>
      <c r="HT1388" s="204"/>
      <c r="HU1388" s="204"/>
      <c r="HV1388" s="204"/>
      <c r="HW1388" s="204"/>
      <c r="HX1388" s="204"/>
      <c r="HY1388" s="204"/>
      <c r="HZ1388" s="204"/>
      <c r="IA1388" s="204"/>
      <c r="IB1388" s="204"/>
      <c r="IC1388" s="204"/>
      <c r="ID1388" s="204"/>
      <c r="IE1388" s="204"/>
      <c r="IF1388" s="204"/>
      <c r="IG1388" s="204"/>
      <c r="IH1388" s="204"/>
      <c r="II1388" s="204"/>
      <c r="IJ1388" s="204"/>
      <c r="IK1388" s="204"/>
      <c r="IL1388" s="204"/>
      <c r="IM1388" s="204"/>
      <c r="IN1388" s="204"/>
      <c r="IO1388" s="204"/>
      <c r="IP1388" s="204"/>
      <c r="IQ1388" s="204"/>
      <c r="IR1388" s="204"/>
      <c r="IS1388" s="204"/>
      <c r="IT1388" s="204"/>
      <c r="IU1388" s="204"/>
      <c r="IV1388" s="204"/>
      <c r="IW1388" s="204"/>
      <c r="IX1388" s="204"/>
      <c r="IY1388" s="204"/>
      <c r="IZ1388" s="204"/>
      <c r="JA1388" s="204"/>
      <c r="JB1388" s="204"/>
      <c r="JC1388" s="204"/>
      <c r="JD1388" s="204"/>
      <c r="JE1388" s="204"/>
      <c r="JF1388" s="204"/>
      <c r="JG1388" s="204"/>
      <c r="JH1388" s="204"/>
      <c r="JI1388" s="204"/>
      <c r="JJ1388" s="204"/>
      <c r="JK1388" s="204"/>
      <c r="JL1388" s="204"/>
      <c r="JM1388" s="204"/>
      <c r="JN1388" s="204"/>
      <c r="JO1388" s="204"/>
      <c r="JP1388" s="204"/>
      <c r="JQ1388" s="204"/>
      <c r="JR1388" s="204"/>
      <c r="JS1388" s="204"/>
      <c r="JT1388" s="204"/>
      <c r="JU1388" s="204"/>
      <c r="JV1388" s="204"/>
      <c r="JW1388" s="204"/>
      <c r="JX1388" s="204"/>
      <c r="JY1388" s="204"/>
      <c r="JZ1388" s="204"/>
      <c r="KA1388" s="204"/>
      <c r="KB1388" s="204"/>
      <c r="KC1388" s="204"/>
      <c r="KD1388" s="204"/>
      <c r="KE1388" s="204"/>
      <c r="KF1388" s="204"/>
      <c r="KG1388" s="204"/>
      <c r="KH1388" s="204"/>
      <c r="KI1388" s="204"/>
      <c r="KJ1388" s="204"/>
      <c r="KK1388" s="204"/>
      <c r="KL1388" s="204"/>
      <c r="KM1388" s="204"/>
      <c r="KN1388" s="204"/>
      <c r="KO1388" s="204"/>
      <c r="KP1388" s="204"/>
      <c r="KQ1388" s="204"/>
      <c r="KR1388" s="204"/>
      <c r="KS1388" s="204"/>
      <c r="KT1388" s="204"/>
      <c r="KU1388" s="204"/>
      <c r="KV1388" s="204"/>
      <c r="KW1388" s="204"/>
      <c r="KX1388" s="204"/>
      <c r="KY1388" s="204"/>
      <c r="KZ1388" s="204"/>
      <c r="LA1388" s="204"/>
      <c r="LB1388" s="204"/>
      <c r="LC1388" s="204"/>
      <c r="LD1388" s="204"/>
      <c r="LE1388" s="204"/>
      <c r="LF1388" s="204"/>
      <c r="LG1388" s="204"/>
      <c r="LH1388" s="204"/>
      <c r="LI1388" s="204"/>
      <c r="LJ1388" s="204"/>
      <c r="LK1388" s="204"/>
      <c r="LL1388" s="204"/>
      <c r="LM1388" s="204"/>
      <c r="LN1388" s="204"/>
      <c r="LO1388" s="204"/>
      <c r="LP1388" s="204"/>
      <c r="LQ1388" s="204"/>
      <c r="LR1388" s="204"/>
      <c r="LS1388" s="204"/>
      <c r="LT1388" s="204"/>
      <c r="LU1388" s="204"/>
      <c r="LV1388" s="204"/>
      <c r="LW1388" s="204"/>
      <c r="LX1388" s="204"/>
      <c r="LY1388" s="204"/>
      <c r="LZ1388" s="204"/>
      <c r="MA1388" s="204"/>
      <c r="MB1388" s="204"/>
      <c r="MC1388" s="204"/>
      <c r="MD1388" s="204"/>
      <c r="ME1388" s="204"/>
      <c r="MF1388" s="204"/>
      <c r="MG1388" s="204"/>
      <c r="MH1388" s="204"/>
      <c r="MI1388" s="204"/>
      <c r="MJ1388" s="204"/>
      <c r="MK1388" s="204"/>
      <c r="ML1388" s="204"/>
      <c r="MM1388" s="204"/>
      <c r="MN1388" s="204"/>
      <c r="MO1388" s="204"/>
      <c r="MP1388" s="204"/>
      <c r="MQ1388" s="204"/>
      <c r="MR1388" s="204"/>
      <c r="MS1388" s="204"/>
      <c r="MT1388" s="204"/>
      <c r="MU1388" s="204"/>
      <c r="MV1388" s="204"/>
      <c r="MW1388" s="204"/>
      <c r="MX1388" s="204"/>
      <c r="MY1388" s="204"/>
      <c r="MZ1388" s="204"/>
      <c r="NA1388" s="204"/>
      <c r="NB1388" s="204"/>
      <c r="NC1388" s="204"/>
      <c r="ND1388" s="204"/>
      <c r="NE1388" s="204"/>
      <c r="NF1388" s="204"/>
      <c r="NG1388" s="204"/>
      <c r="NH1388" s="204"/>
      <c r="NI1388" s="204"/>
      <c r="NJ1388" s="204"/>
      <c r="NK1388" s="204"/>
      <c r="NL1388" s="204"/>
      <c r="NM1388" s="204"/>
      <c r="NN1388" s="204"/>
      <c r="NO1388" s="204"/>
      <c r="NP1388" s="204"/>
      <c r="NQ1388" s="204"/>
      <c r="NR1388" s="204"/>
      <c r="NS1388" s="204"/>
      <c r="NT1388" s="204"/>
      <c r="NU1388" s="204"/>
      <c r="NV1388" s="204"/>
      <c r="NW1388" s="204"/>
      <c r="NX1388" s="204"/>
      <c r="NY1388" s="204"/>
      <c r="NZ1388" s="204"/>
      <c r="OA1388" s="204"/>
      <c r="OB1388" s="204"/>
      <c r="OC1388" s="204"/>
      <c r="OD1388" s="204"/>
      <c r="OE1388" s="204"/>
      <c r="OF1388" s="204"/>
      <c r="OG1388" s="204"/>
      <c r="OH1388" s="204"/>
      <c r="OI1388" s="204"/>
      <c r="OJ1388" s="204"/>
      <c r="OK1388" s="204"/>
      <c r="OL1388" s="204"/>
      <c r="OM1388" s="204"/>
      <c r="ON1388" s="204"/>
      <c r="OO1388" s="204"/>
      <c r="OP1388" s="204"/>
      <c r="OQ1388" s="204"/>
      <c r="OR1388" s="204"/>
      <c r="OS1388" s="204"/>
      <c r="OT1388" s="204"/>
      <c r="OU1388" s="204"/>
      <c r="OV1388" s="204"/>
      <c r="OW1388" s="204"/>
      <c r="OX1388" s="204"/>
      <c r="OY1388" s="204"/>
      <c r="OZ1388" s="204"/>
      <c r="PA1388" s="204"/>
      <c r="PB1388" s="204"/>
      <c r="PC1388" s="204"/>
      <c r="PD1388" s="204"/>
      <c r="PE1388" s="204"/>
      <c r="PF1388" s="204"/>
      <c r="PG1388" s="204"/>
      <c r="PH1388" s="204"/>
      <c r="PI1388" s="204"/>
      <c r="PJ1388" s="204"/>
      <c r="PK1388" s="204"/>
      <c r="PL1388" s="204"/>
      <c r="PM1388" s="204"/>
      <c r="PN1388" s="204"/>
      <c r="PO1388" s="204"/>
      <c r="PP1388" s="204"/>
      <c r="PQ1388" s="204"/>
      <c r="PR1388" s="204"/>
      <c r="PS1388" s="204"/>
      <c r="PT1388" s="204"/>
      <c r="PU1388" s="204"/>
      <c r="PV1388" s="204"/>
      <c r="PW1388" s="204"/>
      <c r="PX1388" s="204"/>
      <c r="PY1388" s="204"/>
      <c r="PZ1388" s="204"/>
      <c r="QA1388" s="204"/>
      <c r="QB1388" s="204"/>
      <c r="QC1388" s="204"/>
      <c r="QD1388" s="204"/>
      <c r="QE1388" s="204"/>
      <c r="QF1388" s="204"/>
      <c r="QG1388" s="204"/>
      <c r="QH1388" s="204"/>
      <c r="QI1388" s="204"/>
      <c r="QJ1388" s="204"/>
      <c r="QK1388" s="204"/>
      <c r="QL1388" s="204"/>
      <c r="QM1388" s="204"/>
      <c r="QN1388" s="204"/>
      <c r="QO1388" s="204"/>
      <c r="QP1388" s="204"/>
      <c r="QQ1388" s="204"/>
      <c r="QR1388" s="204"/>
      <c r="QS1388" s="204"/>
      <c r="QT1388" s="204"/>
      <c r="QU1388" s="204"/>
      <c r="QV1388" s="204"/>
      <c r="QW1388" s="204"/>
      <c r="QX1388" s="204"/>
      <c r="QY1388" s="204"/>
      <c r="QZ1388" s="204"/>
      <c r="RA1388" s="204"/>
      <c r="RB1388" s="204"/>
      <c r="RC1388" s="204"/>
      <c r="RD1388" s="204"/>
      <c r="RE1388" s="204"/>
      <c r="RF1388" s="204"/>
      <c r="RG1388" s="204"/>
      <c r="RH1388" s="204"/>
      <c r="RI1388" s="204"/>
      <c r="RJ1388" s="204"/>
      <c r="RK1388" s="204"/>
      <c r="RL1388" s="204"/>
      <c r="RM1388" s="204"/>
      <c r="RN1388" s="204"/>
      <c r="RO1388" s="204"/>
      <c r="RP1388" s="204"/>
      <c r="RQ1388" s="204"/>
      <c r="RR1388" s="204"/>
      <c r="RS1388" s="204"/>
      <c r="RT1388" s="204"/>
      <c r="RU1388" s="204"/>
      <c r="RV1388" s="204"/>
      <c r="RW1388" s="204"/>
      <c r="RX1388" s="204"/>
      <c r="RY1388" s="204"/>
      <c r="RZ1388" s="204"/>
      <c r="SA1388" s="204"/>
      <c r="SB1388" s="204"/>
      <c r="SC1388" s="204"/>
      <c r="SD1388" s="204"/>
      <c r="SE1388" s="204"/>
      <c r="SF1388" s="204"/>
      <c r="SG1388" s="204"/>
      <c r="SH1388" s="204"/>
      <c r="SI1388" s="204"/>
      <c r="SJ1388" s="204"/>
      <c r="SK1388" s="204"/>
      <c r="SL1388" s="204"/>
      <c r="SM1388" s="204"/>
      <c r="SN1388" s="204"/>
      <c r="SO1388" s="204"/>
      <c r="SP1388" s="204"/>
      <c r="SQ1388" s="204"/>
      <c r="SR1388" s="204"/>
      <c r="SS1388" s="204"/>
      <c r="ST1388" s="204"/>
      <c r="SU1388" s="204"/>
      <c r="SV1388" s="204"/>
      <c r="SW1388" s="204"/>
      <c r="SX1388" s="204"/>
      <c r="SY1388" s="204"/>
      <c r="SZ1388" s="204"/>
      <c r="TA1388" s="204"/>
      <c r="TB1388" s="204"/>
      <c r="TC1388" s="204"/>
      <c r="TD1388" s="204"/>
      <c r="TE1388" s="204"/>
      <c r="TF1388" s="204"/>
      <c r="TG1388" s="204"/>
      <c r="TH1388" s="204"/>
      <c r="TI1388" s="204"/>
      <c r="TJ1388" s="204"/>
      <c r="TK1388" s="204"/>
      <c r="TL1388" s="204"/>
      <c r="TM1388" s="204"/>
      <c r="TN1388" s="204"/>
      <c r="TO1388" s="204"/>
      <c r="TP1388" s="204"/>
      <c r="TQ1388" s="204"/>
      <c r="TR1388" s="204"/>
      <c r="TS1388" s="204"/>
      <c r="TT1388" s="204"/>
      <c r="TU1388" s="204"/>
      <c r="TV1388" s="204"/>
      <c r="TW1388" s="204"/>
      <c r="TX1388" s="204"/>
      <c r="TY1388" s="204"/>
      <c r="TZ1388" s="204"/>
      <c r="UA1388" s="204"/>
      <c r="UB1388" s="204"/>
      <c r="UC1388" s="204"/>
      <c r="UD1388" s="204"/>
      <c r="UE1388" s="204"/>
      <c r="UF1388" s="204"/>
      <c r="UG1388" s="155"/>
    </row>
    <row r="1389" spans="1:553" s="109" customFormat="1" ht="296.25" customHeight="1">
      <c r="A1389" s="356"/>
      <c r="B1389" s="835"/>
      <c r="C1389" s="1227" t="s">
        <v>23</v>
      </c>
      <c r="D1389" s="821" t="s">
        <v>70</v>
      </c>
      <c r="E1389" s="376" t="s">
        <v>737</v>
      </c>
      <c r="F1389" s="385"/>
      <c r="G1389" s="386" t="s">
        <v>935</v>
      </c>
      <c r="H1389" s="387">
        <v>114.1</v>
      </c>
      <c r="I1389" s="441">
        <v>114.1</v>
      </c>
      <c r="J1389" s="1061">
        <v>62000</v>
      </c>
      <c r="K1389" s="388"/>
      <c r="L1389" s="480">
        <f t="shared" si="211"/>
        <v>7074200</v>
      </c>
      <c r="M1389" s="366"/>
      <c r="N1389" s="366"/>
      <c r="O1389" s="366"/>
      <c r="P1389" s="366"/>
      <c r="Q1389" s="759" t="s">
        <v>738</v>
      </c>
      <c r="R1389" s="1463"/>
      <c r="S1389" s="308"/>
      <c r="T1389" s="308"/>
      <c r="U1389" s="308"/>
      <c r="V1389" s="308"/>
      <c r="W1389" s="307">
        <f>I1389</f>
        <v>114.1</v>
      </c>
      <c r="X1389" s="308"/>
      <c r="Y1389" s="308"/>
      <c r="Z1389" s="604"/>
      <c r="AA1389" s="308"/>
      <c r="AB1389" s="308"/>
      <c r="AC1389" s="486"/>
      <c r="AD1389" s="486"/>
      <c r="AE1389" s="486"/>
      <c r="AF1389" s="486"/>
      <c r="AG1389" s="486"/>
      <c r="AH1389" s="486"/>
      <c r="AI1389" s="486"/>
      <c r="AJ1389" s="486"/>
      <c r="AK1389" s="486"/>
      <c r="AL1389" s="329"/>
      <c r="AM1389" s="204"/>
      <c r="AN1389" s="204"/>
      <c r="AO1389" s="204"/>
      <c r="AP1389" s="204"/>
      <c r="AQ1389" s="204"/>
      <c r="AR1389" s="204"/>
      <c r="AS1389" s="204"/>
      <c r="AT1389" s="204"/>
      <c r="AU1389" s="204"/>
      <c r="AV1389" s="204"/>
      <c r="AW1389" s="204"/>
      <c r="AX1389" s="204"/>
      <c r="AY1389" s="204"/>
      <c r="AZ1389" s="204"/>
      <c r="BA1389" s="204"/>
      <c r="BB1389" s="204"/>
      <c r="BC1389" s="204"/>
      <c r="BD1389" s="204"/>
      <c r="BE1389" s="204"/>
      <c r="BF1389" s="204"/>
      <c r="BG1389" s="204"/>
      <c r="BH1389" s="204"/>
      <c r="BI1389" s="204"/>
      <c r="BJ1389" s="204"/>
      <c r="BK1389" s="204"/>
      <c r="BL1389" s="204"/>
      <c r="BM1389" s="204"/>
      <c r="BN1389" s="204"/>
      <c r="BO1389" s="204"/>
      <c r="BP1389" s="204"/>
      <c r="BQ1389" s="204"/>
      <c r="BR1389" s="204"/>
      <c r="BS1389" s="204"/>
      <c r="BT1389" s="204"/>
      <c r="BU1389" s="204"/>
      <c r="BV1389" s="204"/>
      <c r="BW1389" s="204"/>
      <c r="BX1389" s="204"/>
      <c r="BY1389" s="204"/>
      <c r="BZ1389" s="204"/>
      <c r="CA1389" s="204"/>
      <c r="CB1389" s="204"/>
      <c r="CC1389" s="204"/>
      <c r="CD1389" s="204"/>
      <c r="CE1389" s="204"/>
      <c r="CF1389" s="204"/>
      <c r="CG1389" s="204"/>
      <c r="CH1389" s="204"/>
      <c r="CI1389" s="204"/>
      <c r="CJ1389" s="204"/>
      <c r="CK1389" s="204"/>
      <c r="CL1389" s="204"/>
      <c r="CM1389" s="204"/>
      <c r="CN1389" s="204"/>
      <c r="CO1389" s="204"/>
      <c r="CP1389" s="204"/>
      <c r="CQ1389" s="204"/>
      <c r="CR1389" s="204"/>
      <c r="CS1389" s="204"/>
      <c r="CT1389" s="204"/>
      <c r="CU1389" s="204"/>
      <c r="CV1389" s="204"/>
      <c r="CW1389" s="204"/>
      <c r="CX1389" s="204"/>
      <c r="CY1389" s="204"/>
      <c r="CZ1389" s="204"/>
      <c r="DA1389" s="204"/>
      <c r="DB1389" s="204"/>
      <c r="DC1389" s="204"/>
      <c r="DD1389" s="204"/>
      <c r="DE1389" s="204"/>
      <c r="DF1389" s="204"/>
      <c r="DG1389" s="204"/>
      <c r="DH1389" s="204"/>
      <c r="DI1389" s="204"/>
      <c r="DJ1389" s="204"/>
      <c r="DK1389" s="204"/>
      <c r="DL1389" s="204"/>
      <c r="DM1389" s="204"/>
      <c r="DN1389" s="204"/>
      <c r="DO1389" s="204"/>
      <c r="DP1389" s="204"/>
      <c r="DQ1389" s="204"/>
      <c r="DR1389" s="204"/>
      <c r="DS1389" s="204"/>
      <c r="DT1389" s="204"/>
      <c r="DU1389" s="204"/>
      <c r="DV1389" s="204"/>
      <c r="DW1389" s="204"/>
      <c r="DX1389" s="204"/>
      <c r="DY1389" s="204"/>
      <c r="DZ1389" s="204"/>
      <c r="EA1389" s="204"/>
      <c r="EB1389" s="204"/>
      <c r="EC1389" s="204"/>
      <c r="ED1389" s="204"/>
      <c r="EE1389" s="204"/>
      <c r="EF1389" s="204"/>
      <c r="EG1389" s="204"/>
      <c r="EH1389" s="204"/>
      <c r="EI1389" s="204"/>
      <c r="EJ1389" s="204"/>
      <c r="EK1389" s="204"/>
      <c r="EL1389" s="204"/>
      <c r="EM1389" s="204"/>
      <c r="EN1389" s="204"/>
      <c r="EO1389" s="204"/>
      <c r="EP1389" s="204"/>
      <c r="EQ1389" s="204"/>
      <c r="ER1389" s="204"/>
      <c r="ES1389" s="204"/>
      <c r="ET1389" s="204"/>
      <c r="EU1389" s="204"/>
      <c r="EV1389" s="204"/>
      <c r="EW1389" s="204"/>
      <c r="EX1389" s="204"/>
      <c r="EY1389" s="204"/>
      <c r="EZ1389" s="204"/>
      <c r="FA1389" s="204"/>
      <c r="FB1389" s="204"/>
      <c r="FC1389" s="204"/>
      <c r="FD1389" s="204"/>
      <c r="FE1389" s="204"/>
      <c r="FF1389" s="204"/>
      <c r="FG1389" s="204"/>
      <c r="FH1389" s="204"/>
      <c r="FI1389" s="204"/>
      <c r="FJ1389" s="204"/>
      <c r="FK1389" s="204"/>
      <c r="FL1389" s="204"/>
      <c r="FM1389" s="204"/>
      <c r="FN1389" s="204"/>
      <c r="FO1389" s="204"/>
      <c r="FP1389" s="204"/>
      <c r="FQ1389" s="204"/>
      <c r="FR1389" s="204"/>
      <c r="FS1389" s="204"/>
      <c r="FT1389" s="204"/>
      <c r="FU1389" s="204"/>
      <c r="FV1389" s="204"/>
      <c r="FW1389" s="204"/>
      <c r="FX1389" s="204"/>
      <c r="FY1389" s="204"/>
      <c r="FZ1389" s="204"/>
      <c r="GA1389" s="204"/>
      <c r="GB1389" s="204"/>
      <c r="GC1389" s="204"/>
      <c r="GD1389" s="204"/>
      <c r="GE1389" s="204"/>
      <c r="GF1389" s="204"/>
      <c r="GG1389" s="204"/>
      <c r="GH1389" s="204"/>
      <c r="GI1389" s="204"/>
      <c r="GJ1389" s="204"/>
      <c r="GK1389" s="204"/>
      <c r="GL1389" s="204"/>
      <c r="GM1389" s="204"/>
      <c r="GN1389" s="204"/>
      <c r="GO1389" s="204"/>
      <c r="GP1389" s="204"/>
      <c r="GQ1389" s="204"/>
      <c r="GR1389" s="204"/>
      <c r="GS1389" s="204"/>
      <c r="GT1389" s="204"/>
      <c r="GU1389" s="204"/>
      <c r="GV1389" s="204"/>
      <c r="GW1389" s="204"/>
      <c r="GX1389" s="204"/>
      <c r="GY1389" s="204"/>
      <c r="GZ1389" s="204"/>
      <c r="HA1389" s="204"/>
      <c r="HB1389" s="204"/>
      <c r="HC1389" s="204"/>
      <c r="HD1389" s="204"/>
      <c r="HE1389" s="204"/>
      <c r="HF1389" s="204"/>
      <c r="HG1389" s="204"/>
      <c r="HH1389" s="204"/>
      <c r="HI1389" s="204"/>
      <c r="HJ1389" s="204"/>
      <c r="HK1389" s="204"/>
      <c r="HL1389" s="204"/>
      <c r="HM1389" s="204"/>
      <c r="HN1389" s="204"/>
      <c r="HO1389" s="204"/>
      <c r="HP1389" s="204"/>
      <c r="HQ1389" s="204"/>
      <c r="HR1389" s="204"/>
      <c r="HS1389" s="204"/>
      <c r="HT1389" s="204"/>
      <c r="HU1389" s="204"/>
      <c r="HV1389" s="204"/>
      <c r="HW1389" s="204"/>
      <c r="HX1389" s="204"/>
      <c r="HY1389" s="204"/>
      <c r="HZ1389" s="204"/>
      <c r="IA1389" s="204"/>
      <c r="IB1389" s="204"/>
      <c r="IC1389" s="204"/>
      <c r="ID1389" s="204"/>
      <c r="IE1389" s="204"/>
      <c r="IF1389" s="204"/>
      <c r="IG1389" s="204"/>
      <c r="IH1389" s="204"/>
      <c r="II1389" s="204"/>
      <c r="IJ1389" s="204"/>
      <c r="IK1389" s="204"/>
      <c r="IL1389" s="204"/>
      <c r="IM1389" s="204"/>
      <c r="IN1389" s="204"/>
      <c r="IO1389" s="204"/>
      <c r="IP1389" s="204"/>
      <c r="IQ1389" s="204"/>
      <c r="IR1389" s="204"/>
      <c r="IS1389" s="204"/>
      <c r="IT1389" s="204"/>
      <c r="IU1389" s="204"/>
      <c r="IV1389" s="204"/>
      <c r="IW1389" s="204"/>
      <c r="IX1389" s="204"/>
      <c r="IY1389" s="204"/>
      <c r="IZ1389" s="204"/>
      <c r="JA1389" s="204"/>
      <c r="JB1389" s="204"/>
      <c r="JC1389" s="204"/>
      <c r="JD1389" s="204"/>
      <c r="JE1389" s="204"/>
      <c r="JF1389" s="204"/>
      <c r="JG1389" s="204"/>
      <c r="JH1389" s="204"/>
      <c r="JI1389" s="204"/>
      <c r="JJ1389" s="204"/>
      <c r="JK1389" s="204"/>
      <c r="JL1389" s="204"/>
      <c r="JM1389" s="204"/>
      <c r="JN1389" s="204"/>
      <c r="JO1389" s="204"/>
      <c r="JP1389" s="204"/>
      <c r="JQ1389" s="204"/>
      <c r="JR1389" s="204"/>
      <c r="JS1389" s="204"/>
      <c r="JT1389" s="204"/>
      <c r="JU1389" s="204"/>
      <c r="JV1389" s="204"/>
      <c r="JW1389" s="204"/>
      <c r="JX1389" s="204"/>
      <c r="JY1389" s="204"/>
      <c r="JZ1389" s="204"/>
      <c r="KA1389" s="204"/>
      <c r="KB1389" s="204"/>
      <c r="KC1389" s="204"/>
      <c r="KD1389" s="204"/>
      <c r="KE1389" s="204"/>
      <c r="KF1389" s="204"/>
      <c r="KG1389" s="204"/>
      <c r="KH1389" s="204"/>
      <c r="KI1389" s="204"/>
      <c r="KJ1389" s="204"/>
      <c r="KK1389" s="204"/>
      <c r="KL1389" s="204"/>
      <c r="KM1389" s="204"/>
      <c r="KN1389" s="204"/>
      <c r="KO1389" s="204"/>
      <c r="KP1389" s="204"/>
      <c r="KQ1389" s="204"/>
      <c r="KR1389" s="204"/>
      <c r="KS1389" s="204"/>
      <c r="KT1389" s="204"/>
      <c r="KU1389" s="204"/>
      <c r="KV1389" s="204"/>
      <c r="KW1389" s="204"/>
      <c r="KX1389" s="204"/>
      <c r="KY1389" s="204"/>
      <c r="KZ1389" s="204"/>
      <c r="LA1389" s="204"/>
      <c r="LB1389" s="204"/>
      <c r="LC1389" s="204"/>
      <c r="LD1389" s="204"/>
      <c r="LE1389" s="204"/>
      <c r="LF1389" s="204"/>
      <c r="LG1389" s="204"/>
      <c r="LH1389" s="204"/>
      <c r="LI1389" s="204"/>
      <c r="LJ1389" s="204"/>
      <c r="LK1389" s="204"/>
      <c r="LL1389" s="204"/>
      <c r="LM1389" s="204"/>
      <c r="LN1389" s="204"/>
      <c r="LO1389" s="204"/>
      <c r="LP1389" s="204"/>
      <c r="LQ1389" s="204"/>
      <c r="LR1389" s="204"/>
      <c r="LS1389" s="204"/>
      <c r="LT1389" s="204"/>
      <c r="LU1389" s="204"/>
      <c r="LV1389" s="204"/>
      <c r="LW1389" s="204"/>
      <c r="LX1389" s="204"/>
      <c r="LY1389" s="204"/>
      <c r="LZ1389" s="204"/>
      <c r="MA1389" s="204"/>
      <c r="MB1389" s="204"/>
      <c r="MC1389" s="204"/>
      <c r="MD1389" s="204"/>
      <c r="ME1389" s="204"/>
      <c r="MF1389" s="204"/>
      <c r="MG1389" s="204"/>
      <c r="MH1389" s="204"/>
      <c r="MI1389" s="204"/>
      <c r="MJ1389" s="204"/>
      <c r="MK1389" s="204"/>
      <c r="ML1389" s="204"/>
      <c r="MM1389" s="204"/>
      <c r="MN1389" s="204"/>
      <c r="MO1389" s="204"/>
      <c r="MP1389" s="204"/>
      <c r="MQ1389" s="204"/>
      <c r="MR1389" s="204"/>
      <c r="MS1389" s="204"/>
      <c r="MT1389" s="204"/>
      <c r="MU1389" s="204"/>
      <c r="MV1389" s="204"/>
      <c r="MW1389" s="204"/>
      <c r="MX1389" s="204"/>
      <c r="MY1389" s="204"/>
      <c r="MZ1389" s="204"/>
      <c r="NA1389" s="204"/>
      <c r="NB1389" s="204"/>
      <c r="NC1389" s="204"/>
      <c r="ND1389" s="204"/>
      <c r="NE1389" s="204"/>
      <c r="NF1389" s="204"/>
      <c r="NG1389" s="204"/>
      <c r="NH1389" s="204"/>
      <c r="NI1389" s="204"/>
      <c r="NJ1389" s="204"/>
      <c r="NK1389" s="204"/>
      <c r="NL1389" s="204"/>
      <c r="NM1389" s="204"/>
      <c r="NN1389" s="204"/>
      <c r="NO1389" s="204"/>
      <c r="NP1389" s="204"/>
      <c r="NQ1389" s="204"/>
      <c r="NR1389" s="204"/>
      <c r="NS1389" s="204"/>
      <c r="NT1389" s="204"/>
      <c r="NU1389" s="204"/>
      <c r="NV1389" s="204"/>
      <c r="NW1389" s="204"/>
      <c r="NX1389" s="204"/>
      <c r="NY1389" s="204"/>
      <c r="NZ1389" s="204"/>
      <c r="OA1389" s="204"/>
      <c r="OB1389" s="204"/>
      <c r="OC1389" s="204"/>
      <c r="OD1389" s="204"/>
      <c r="OE1389" s="204"/>
      <c r="OF1389" s="204"/>
      <c r="OG1389" s="204"/>
      <c r="OH1389" s="204"/>
      <c r="OI1389" s="204"/>
      <c r="OJ1389" s="204"/>
      <c r="OK1389" s="204"/>
      <c r="OL1389" s="204"/>
      <c r="OM1389" s="204"/>
      <c r="ON1389" s="204"/>
      <c r="OO1389" s="204"/>
      <c r="OP1389" s="204"/>
      <c r="OQ1389" s="204"/>
      <c r="OR1389" s="204"/>
      <c r="OS1389" s="204"/>
      <c r="OT1389" s="204"/>
      <c r="OU1389" s="204"/>
      <c r="OV1389" s="204"/>
      <c r="OW1389" s="204"/>
      <c r="OX1389" s="204"/>
      <c r="OY1389" s="204"/>
      <c r="OZ1389" s="204"/>
      <c r="PA1389" s="204"/>
      <c r="PB1389" s="204"/>
      <c r="PC1389" s="204"/>
      <c r="PD1389" s="204"/>
      <c r="PE1389" s="204"/>
      <c r="PF1389" s="204"/>
      <c r="PG1389" s="204"/>
      <c r="PH1389" s="204"/>
      <c r="PI1389" s="204"/>
      <c r="PJ1389" s="204"/>
      <c r="PK1389" s="204"/>
      <c r="PL1389" s="204"/>
      <c r="PM1389" s="204"/>
      <c r="PN1389" s="204"/>
      <c r="PO1389" s="204"/>
      <c r="PP1389" s="204"/>
      <c r="PQ1389" s="204"/>
      <c r="PR1389" s="204"/>
      <c r="PS1389" s="204"/>
      <c r="PT1389" s="204"/>
      <c r="PU1389" s="204"/>
      <c r="PV1389" s="204"/>
      <c r="PW1389" s="204"/>
      <c r="PX1389" s="204"/>
      <c r="PY1389" s="204"/>
      <c r="PZ1389" s="204"/>
      <c r="QA1389" s="204"/>
      <c r="QB1389" s="204"/>
      <c r="QC1389" s="204"/>
      <c r="QD1389" s="204"/>
      <c r="QE1389" s="204"/>
      <c r="QF1389" s="204"/>
      <c r="QG1389" s="204"/>
      <c r="QH1389" s="204"/>
      <c r="QI1389" s="204"/>
      <c r="QJ1389" s="204"/>
      <c r="QK1389" s="204"/>
      <c r="QL1389" s="204"/>
      <c r="QM1389" s="204"/>
      <c r="QN1389" s="204"/>
      <c r="QO1389" s="204"/>
      <c r="QP1389" s="204"/>
      <c r="QQ1389" s="204"/>
      <c r="QR1389" s="204"/>
      <c r="QS1389" s="204"/>
      <c r="QT1389" s="204"/>
      <c r="QU1389" s="204"/>
      <c r="QV1389" s="204"/>
      <c r="QW1389" s="204"/>
      <c r="QX1389" s="204"/>
      <c r="QY1389" s="204"/>
      <c r="QZ1389" s="204"/>
      <c r="RA1389" s="204"/>
      <c r="RB1389" s="204"/>
      <c r="RC1389" s="204"/>
      <c r="RD1389" s="204"/>
      <c r="RE1389" s="204"/>
      <c r="RF1389" s="204"/>
      <c r="RG1389" s="204"/>
      <c r="RH1389" s="204"/>
      <c r="RI1389" s="204"/>
      <c r="RJ1389" s="204"/>
      <c r="RK1389" s="204"/>
      <c r="RL1389" s="204"/>
      <c r="RM1389" s="204"/>
      <c r="RN1389" s="204"/>
      <c r="RO1389" s="204"/>
      <c r="RP1389" s="204"/>
      <c r="RQ1389" s="204"/>
      <c r="RR1389" s="204"/>
      <c r="RS1389" s="204"/>
      <c r="RT1389" s="204"/>
      <c r="RU1389" s="204"/>
      <c r="RV1389" s="204"/>
      <c r="RW1389" s="204"/>
      <c r="RX1389" s="204"/>
      <c r="RY1389" s="204"/>
      <c r="RZ1389" s="204"/>
      <c r="SA1389" s="204"/>
      <c r="SB1389" s="204"/>
      <c r="SC1389" s="204"/>
      <c r="SD1389" s="204"/>
      <c r="SE1389" s="204"/>
      <c r="SF1389" s="204"/>
      <c r="SG1389" s="204"/>
      <c r="SH1389" s="204"/>
      <c r="SI1389" s="204"/>
      <c r="SJ1389" s="204"/>
      <c r="SK1389" s="204"/>
      <c r="SL1389" s="204"/>
      <c r="SM1389" s="204"/>
      <c r="SN1389" s="204"/>
      <c r="SO1389" s="204"/>
      <c r="SP1389" s="204"/>
      <c r="SQ1389" s="204"/>
      <c r="SR1389" s="204"/>
      <c r="SS1389" s="204"/>
      <c r="ST1389" s="204"/>
      <c r="SU1389" s="204"/>
      <c r="SV1389" s="204"/>
      <c r="SW1389" s="204"/>
      <c r="SX1389" s="204"/>
      <c r="SY1389" s="204"/>
      <c r="SZ1389" s="204"/>
      <c r="TA1389" s="204"/>
      <c r="TB1389" s="204"/>
      <c r="TC1389" s="204"/>
      <c r="TD1389" s="204"/>
      <c r="TE1389" s="204"/>
      <c r="TF1389" s="204"/>
      <c r="TG1389" s="204"/>
      <c r="TH1389" s="204"/>
      <c r="TI1389" s="204"/>
      <c r="TJ1389" s="204"/>
      <c r="TK1389" s="204"/>
      <c r="TL1389" s="204"/>
      <c r="TM1389" s="204"/>
      <c r="TN1389" s="204"/>
      <c r="TO1389" s="204"/>
      <c r="TP1389" s="204"/>
      <c r="TQ1389" s="204"/>
      <c r="TR1389" s="204"/>
      <c r="TS1389" s="204"/>
      <c r="TT1389" s="204"/>
      <c r="TU1389" s="204"/>
      <c r="TV1389" s="204"/>
      <c r="TW1389" s="204"/>
      <c r="TX1389" s="204"/>
      <c r="TY1389" s="204"/>
      <c r="TZ1389" s="204"/>
      <c r="UA1389" s="204"/>
      <c r="UB1389" s="204"/>
      <c r="UC1389" s="204"/>
      <c r="UD1389" s="204"/>
      <c r="UE1389" s="204"/>
      <c r="UF1389" s="204"/>
      <c r="UG1389" s="155"/>
    </row>
    <row r="1390" spans="1:553" s="109" customFormat="1" ht="345.75" customHeight="1">
      <c r="A1390" s="356"/>
      <c r="B1390" s="835"/>
      <c r="C1390" s="1227" t="s">
        <v>23</v>
      </c>
      <c r="D1390" s="821" t="s">
        <v>70</v>
      </c>
      <c r="E1390" s="376" t="s">
        <v>739</v>
      </c>
      <c r="F1390" s="385"/>
      <c r="G1390" s="386" t="s">
        <v>935</v>
      </c>
      <c r="H1390" s="387">
        <v>578.9</v>
      </c>
      <c r="I1390" s="441">
        <v>578.9</v>
      </c>
      <c r="J1390" s="1061">
        <v>62000</v>
      </c>
      <c r="K1390" s="388"/>
      <c r="L1390" s="480">
        <f t="shared" si="211"/>
        <v>35891800</v>
      </c>
      <c r="M1390" s="366"/>
      <c r="N1390" s="366"/>
      <c r="O1390" s="366"/>
      <c r="P1390" s="366"/>
      <c r="Q1390" s="759" t="s">
        <v>740</v>
      </c>
      <c r="R1390" s="1463"/>
      <c r="S1390" s="308"/>
      <c r="T1390" s="308"/>
      <c r="U1390" s="308"/>
      <c r="V1390" s="308"/>
      <c r="W1390" s="307">
        <f>I1390</f>
        <v>578.9</v>
      </c>
      <c r="X1390" s="308"/>
      <c r="Y1390" s="308"/>
      <c r="Z1390" s="604"/>
      <c r="AA1390" s="308"/>
      <c r="AB1390" s="308"/>
      <c r="AC1390" s="486"/>
      <c r="AD1390" s="486"/>
      <c r="AE1390" s="486"/>
      <c r="AF1390" s="486"/>
      <c r="AG1390" s="486"/>
      <c r="AH1390" s="486"/>
      <c r="AI1390" s="486"/>
      <c r="AJ1390" s="486"/>
      <c r="AK1390" s="486"/>
      <c r="AL1390" s="329"/>
      <c r="AM1390" s="204"/>
      <c r="AN1390" s="204"/>
      <c r="AO1390" s="204"/>
      <c r="AP1390" s="204"/>
      <c r="AQ1390" s="204"/>
      <c r="AR1390" s="204"/>
      <c r="AS1390" s="204"/>
      <c r="AT1390" s="204"/>
      <c r="AU1390" s="204"/>
      <c r="AV1390" s="204"/>
      <c r="AW1390" s="204"/>
      <c r="AX1390" s="204"/>
      <c r="AY1390" s="204"/>
      <c r="AZ1390" s="204"/>
      <c r="BA1390" s="204"/>
      <c r="BB1390" s="204"/>
      <c r="BC1390" s="204"/>
      <c r="BD1390" s="204"/>
      <c r="BE1390" s="204"/>
      <c r="BF1390" s="204"/>
      <c r="BG1390" s="204"/>
      <c r="BH1390" s="204"/>
      <c r="BI1390" s="204"/>
      <c r="BJ1390" s="204"/>
      <c r="BK1390" s="204"/>
      <c r="BL1390" s="204"/>
      <c r="BM1390" s="204"/>
      <c r="BN1390" s="204"/>
      <c r="BO1390" s="204"/>
      <c r="BP1390" s="204"/>
      <c r="BQ1390" s="204"/>
      <c r="BR1390" s="204"/>
      <c r="BS1390" s="204"/>
      <c r="BT1390" s="204"/>
      <c r="BU1390" s="204"/>
      <c r="BV1390" s="204"/>
      <c r="BW1390" s="204"/>
      <c r="BX1390" s="204"/>
      <c r="BY1390" s="204"/>
      <c r="BZ1390" s="204"/>
      <c r="CA1390" s="204"/>
      <c r="CB1390" s="204"/>
      <c r="CC1390" s="204"/>
      <c r="CD1390" s="204"/>
      <c r="CE1390" s="204"/>
      <c r="CF1390" s="204"/>
      <c r="CG1390" s="204"/>
      <c r="CH1390" s="204"/>
      <c r="CI1390" s="204"/>
      <c r="CJ1390" s="204"/>
      <c r="CK1390" s="204"/>
      <c r="CL1390" s="204"/>
      <c r="CM1390" s="204"/>
      <c r="CN1390" s="204"/>
      <c r="CO1390" s="204"/>
      <c r="CP1390" s="204"/>
      <c r="CQ1390" s="204"/>
      <c r="CR1390" s="204"/>
      <c r="CS1390" s="204"/>
      <c r="CT1390" s="204"/>
      <c r="CU1390" s="204"/>
      <c r="CV1390" s="204"/>
      <c r="CW1390" s="204"/>
      <c r="CX1390" s="204"/>
      <c r="CY1390" s="204"/>
      <c r="CZ1390" s="204"/>
      <c r="DA1390" s="204"/>
      <c r="DB1390" s="204"/>
      <c r="DC1390" s="204"/>
      <c r="DD1390" s="204"/>
      <c r="DE1390" s="204"/>
      <c r="DF1390" s="204"/>
      <c r="DG1390" s="204"/>
      <c r="DH1390" s="204"/>
      <c r="DI1390" s="204"/>
      <c r="DJ1390" s="204"/>
      <c r="DK1390" s="204"/>
      <c r="DL1390" s="204"/>
      <c r="DM1390" s="204"/>
      <c r="DN1390" s="204"/>
      <c r="DO1390" s="204"/>
      <c r="DP1390" s="204"/>
      <c r="DQ1390" s="204"/>
      <c r="DR1390" s="204"/>
      <c r="DS1390" s="204"/>
      <c r="DT1390" s="204"/>
      <c r="DU1390" s="204"/>
      <c r="DV1390" s="204"/>
      <c r="DW1390" s="204"/>
      <c r="DX1390" s="204"/>
      <c r="DY1390" s="204"/>
      <c r="DZ1390" s="204"/>
      <c r="EA1390" s="204"/>
      <c r="EB1390" s="204"/>
      <c r="EC1390" s="204"/>
      <c r="ED1390" s="204"/>
      <c r="EE1390" s="204"/>
      <c r="EF1390" s="204"/>
      <c r="EG1390" s="204"/>
      <c r="EH1390" s="204"/>
      <c r="EI1390" s="204"/>
      <c r="EJ1390" s="204"/>
      <c r="EK1390" s="204"/>
      <c r="EL1390" s="204"/>
      <c r="EM1390" s="204"/>
      <c r="EN1390" s="204"/>
      <c r="EO1390" s="204"/>
      <c r="EP1390" s="204"/>
      <c r="EQ1390" s="204"/>
      <c r="ER1390" s="204"/>
      <c r="ES1390" s="204"/>
      <c r="ET1390" s="204"/>
      <c r="EU1390" s="204"/>
      <c r="EV1390" s="204"/>
      <c r="EW1390" s="204"/>
      <c r="EX1390" s="204"/>
      <c r="EY1390" s="204"/>
      <c r="EZ1390" s="204"/>
      <c r="FA1390" s="204"/>
      <c r="FB1390" s="204"/>
      <c r="FC1390" s="204"/>
      <c r="FD1390" s="204"/>
      <c r="FE1390" s="204"/>
      <c r="FF1390" s="204"/>
      <c r="FG1390" s="204"/>
      <c r="FH1390" s="204"/>
      <c r="FI1390" s="204"/>
      <c r="FJ1390" s="204"/>
      <c r="FK1390" s="204"/>
      <c r="FL1390" s="204"/>
      <c r="FM1390" s="204"/>
      <c r="FN1390" s="204"/>
      <c r="FO1390" s="204"/>
      <c r="FP1390" s="204"/>
      <c r="FQ1390" s="204"/>
      <c r="FR1390" s="204"/>
      <c r="FS1390" s="204"/>
      <c r="FT1390" s="204"/>
      <c r="FU1390" s="204"/>
      <c r="FV1390" s="204"/>
      <c r="FW1390" s="204"/>
      <c r="FX1390" s="204"/>
      <c r="FY1390" s="204"/>
      <c r="FZ1390" s="204"/>
      <c r="GA1390" s="204"/>
      <c r="GB1390" s="204"/>
      <c r="GC1390" s="204"/>
      <c r="GD1390" s="204"/>
      <c r="GE1390" s="204"/>
      <c r="GF1390" s="204"/>
      <c r="GG1390" s="204"/>
      <c r="GH1390" s="204"/>
      <c r="GI1390" s="204"/>
      <c r="GJ1390" s="204"/>
      <c r="GK1390" s="204"/>
      <c r="GL1390" s="204"/>
      <c r="GM1390" s="204"/>
      <c r="GN1390" s="204"/>
      <c r="GO1390" s="204"/>
      <c r="GP1390" s="204"/>
      <c r="GQ1390" s="204"/>
      <c r="GR1390" s="204"/>
      <c r="GS1390" s="204"/>
      <c r="GT1390" s="204"/>
      <c r="GU1390" s="204"/>
      <c r="GV1390" s="204"/>
      <c r="GW1390" s="204"/>
      <c r="GX1390" s="204"/>
      <c r="GY1390" s="204"/>
      <c r="GZ1390" s="204"/>
      <c r="HA1390" s="204"/>
      <c r="HB1390" s="204"/>
      <c r="HC1390" s="204"/>
      <c r="HD1390" s="204"/>
      <c r="HE1390" s="204"/>
      <c r="HF1390" s="204"/>
      <c r="HG1390" s="204"/>
      <c r="HH1390" s="204"/>
      <c r="HI1390" s="204"/>
      <c r="HJ1390" s="204"/>
      <c r="HK1390" s="204"/>
      <c r="HL1390" s="204"/>
      <c r="HM1390" s="204"/>
      <c r="HN1390" s="204"/>
      <c r="HO1390" s="204"/>
      <c r="HP1390" s="204"/>
      <c r="HQ1390" s="204"/>
      <c r="HR1390" s="204"/>
      <c r="HS1390" s="204"/>
      <c r="HT1390" s="204"/>
      <c r="HU1390" s="204"/>
      <c r="HV1390" s="204"/>
      <c r="HW1390" s="204"/>
      <c r="HX1390" s="204"/>
      <c r="HY1390" s="204"/>
      <c r="HZ1390" s="204"/>
      <c r="IA1390" s="204"/>
      <c r="IB1390" s="204"/>
      <c r="IC1390" s="204"/>
      <c r="ID1390" s="204"/>
      <c r="IE1390" s="204"/>
      <c r="IF1390" s="204"/>
      <c r="IG1390" s="204"/>
      <c r="IH1390" s="204"/>
      <c r="II1390" s="204"/>
      <c r="IJ1390" s="204"/>
      <c r="IK1390" s="204"/>
      <c r="IL1390" s="204"/>
      <c r="IM1390" s="204"/>
      <c r="IN1390" s="204"/>
      <c r="IO1390" s="204"/>
      <c r="IP1390" s="204"/>
      <c r="IQ1390" s="204"/>
      <c r="IR1390" s="204"/>
      <c r="IS1390" s="204"/>
      <c r="IT1390" s="204"/>
      <c r="IU1390" s="204"/>
      <c r="IV1390" s="204"/>
      <c r="IW1390" s="204"/>
      <c r="IX1390" s="204"/>
      <c r="IY1390" s="204"/>
      <c r="IZ1390" s="204"/>
      <c r="JA1390" s="204"/>
      <c r="JB1390" s="204"/>
      <c r="JC1390" s="204"/>
      <c r="JD1390" s="204"/>
      <c r="JE1390" s="204"/>
      <c r="JF1390" s="204"/>
      <c r="JG1390" s="204"/>
      <c r="JH1390" s="204"/>
      <c r="JI1390" s="204"/>
      <c r="JJ1390" s="204"/>
      <c r="JK1390" s="204"/>
      <c r="JL1390" s="204"/>
      <c r="JM1390" s="204"/>
      <c r="JN1390" s="204"/>
      <c r="JO1390" s="204"/>
      <c r="JP1390" s="204"/>
      <c r="JQ1390" s="204"/>
      <c r="JR1390" s="204"/>
      <c r="JS1390" s="204"/>
      <c r="JT1390" s="204"/>
      <c r="JU1390" s="204"/>
      <c r="JV1390" s="204"/>
      <c r="JW1390" s="204"/>
      <c r="JX1390" s="204"/>
      <c r="JY1390" s="204"/>
      <c r="JZ1390" s="204"/>
      <c r="KA1390" s="204"/>
      <c r="KB1390" s="204"/>
      <c r="KC1390" s="204"/>
      <c r="KD1390" s="204"/>
      <c r="KE1390" s="204"/>
      <c r="KF1390" s="204"/>
      <c r="KG1390" s="204"/>
      <c r="KH1390" s="204"/>
      <c r="KI1390" s="204"/>
      <c r="KJ1390" s="204"/>
      <c r="KK1390" s="204"/>
      <c r="KL1390" s="204"/>
      <c r="KM1390" s="204"/>
      <c r="KN1390" s="204"/>
      <c r="KO1390" s="204"/>
      <c r="KP1390" s="204"/>
      <c r="KQ1390" s="204"/>
      <c r="KR1390" s="204"/>
      <c r="KS1390" s="204"/>
      <c r="KT1390" s="204"/>
      <c r="KU1390" s="204"/>
      <c r="KV1390" s="204"/>
      <c r="KW1390" s="204"/>
      <c r="KX1390" s="204"/>
      <c r="KY1390" s="204"/>
      <c r="KZ1390" s="204"/>
      <c r="LA1390" s="204"/>
      <c r="LB1390" s="204"/>
      <c r="LC1390" s="204"/>
      <c r="LD1390" s="204"/>
      <c r="LE1390" s="204"/>
      <c r="LF1390" s="204"/>
      <c r="LG1390" s="204"/>
      <c r="LH1390" s="204"/>
      <c r="LI1390" s="204"/>
      <c r="LJ1390" s="204"/>
      <c r="LK1390" s="204"/>
      <c r="LL1390" s="204"/>
      <c r="LM1390" s="204"/>
      <c r="LN1390" s="204"/>
      <c r="LO1390" s="204"/>
      <c r="LP1390" s="204"/>
      <c r="LQ1390" s="204"/>
      <c r="LR1390" s="204"/>
      <c r="LS1390" s="204"/>
      <c r="LT1390" s="204"/>
      <c r="LU1390" s="204"/>
      <c r="LV1390" s="204"/>
      <c r="LW1390" s="204"/>
      <c r="LX1390" s="204"/>
      <c r="LY1390" s="204"/>
      <c r="LZ1390" s="204"/>
      <c r="MA1390" s="204"/>
      <c r="MB1390" s="204"/>
      <c r="MC1390" s="204"/>
      <c r="MD1390" s="204"/>
      <c r="ME1390" s="204"/>
      <c r="MF1390" s="204"/>
      <c r="MG1390" s="204"/>
      <c r="MH1390" s="204"/>
      <c r="MI1390" s="204"/>
      <c r="MJ1390" s="204"/>
      <c r="MK1390" s="204"/>
      <c r="ML1390" s="204"/>
      <c r="MM1390" s="204"/>
      <c r="MN1390" s="204"/>
      <c r="MO1390" s="204"/>
      <c r="MP1390" s="204"/>
      <c r="MQ1390" s="204"/>
      <c r="MR1390" s="204"/>
      <c r="MS1390" s="204"/>
      <c r="MT1390" s="204"/>
      <c r="MU1390" s="204"/>
      <c r="MV1390" s="204"/>
      <c r="MW1390" s="204"/>
      <c r="MX1390" s="204"/>
      <c r="MY1390" s="204"/>
      <c r="MZ1390" s="204"/>
      <c r="NA1390" s="204"/>
      <c r="NB1390" s="204"/>
      <c r="NC1390" s="204"/>
      <c r="ND1390" s="204"/>
      <c r="NE1390" s="204"/>
      <c r="NF1390" s="204"/>
      <c r="NG1390" s="204"/>
      <c r="NH1390" s="204"/>
      <c r="NI1390" s="204"/>
      <c r="NJ1390" s="204"/>
      <c r="NK1390" s="204"/>
      <c r="NL1390" s="204"/>
      <c r="NM1390" s="204"/>
      <c r="NN1390" s="204"/>
      <c r="NO1390" s="204"/>
      <c r="NP1390" s="204"/>
      <c r="NQ1390" s="204"/>
      <c r="NR1390" s="204"/>
      <c r="NS1390" s="204"/>
      <c r="NT1390" s="204"/>
      <c r="NU1390" s="204"/>
      <c r="NV1390" s="204"/>
      <c r="NW1390" s="204"/>
      <c r="NX1390" s="204"/>
      <c r="NY1390" s="204"/>
      <c r="NZ1390" s="204"/>
      <c r="OA1390" s="204"/>
      <c r="OB1390" s="204"/>
      <c r="OC1390" s="204"/>
      <c r="OD1390" s="204"/>
      <c r="OE1390" s="204"/>
      <c r="OF1390" s="204"/>
      <c r="OG1390" s="204"/>
      <c r="OH1390" s="204"/>
      <c r="OI1390" s="204"/>
      <c r="OJ1390" s="204"/>
      <c r="OK1390" s="204"/>
      <c r="OL1390" s="204"/>
      <c r="OM1390" s="204"/>
      <c r="ON1390" s="204"/>
      <c r="OO1390" s="204"/>
      <c r="OP1390" s="204"/>
      <c r="OQ1390" s="204"/>
      <c r="OR1390" s="204"/>
      <c r="OS1390" s="204"/>
      <c r="OT1390" s="204"/>
      <c r="OU1390" s="204"/>
      <c r="OV1390" s="204"/>
      <c r="OW1390" s="204"/>
      <c r="OX1390" s="204"/>
      <c r="OY1390" s="204"/>
      <c r="OZ1390" s="204"/>
      <c r="PA1390" s="204"/>
      <c r="PB1390" s="204"/>
      <c r="PC1390" s="204"/>
      <c r="PD1390" s="204"/>
      <c r="PE1390" s="204"/>
      <c r="PF1390" s="204"/>
      <c r="PG1390" s="204"/>
      <c r="PH1390" s="204"/>
      <c r="PI1390" s="204"/>
      <c r="PJ1390" s="204"/>
      <c r="PK1390" s="204"/>
      <c r="PL1390" s="204"/>
      <c r="PM1390" s="204"/>
      <c r="PN1390" s="204"/>
      <c r="PO1390" s="204"/>
      <c r="PP1390" s="204"/>
      <c r="PQ1390" s="204"/>
      <c r="PR1390" s="204"/>
      <c r="PS1390" s="204"/>
      <c r="PT1390" s="204"/>
      <c r="PU1390" s="204"/>
      <c r="PV1390" s="204"/>
      <c r="PW1390" s="204"/>
      <c r="PX1390" s="204"/>
      <c r="PY1390" s="204"/>
      <c r="PZ1390" s="204"/>
      <c r="QA1390" s="204"/>
      <c r="QB1390" s="204"/>
      <c r="QC1390" s="204"/>
      <c r="QD1390" s="204"/>
      <c r="QE1390" s="204"/>
      <c r="QF1390" s="204"/>
      <c r="QG1390" s="204"/>
      <c r="QH1390" s="204"/>
      <c r="QI1390" s="204"/>
      <c r="QJ1390" s="204"/>
      <c r="QK1390" s="204"/>
      <c r="QL1390" s="204"/>
      <c r="QM1390" s="204"/>
      <c r="QN1390" s="204"/>
      <c r="QO1390" s="204"/>
      <c r="QP1390" s="204"/>
      <c r="QQ1390" s="204"/>
      <c r="QR1390" s="204"/>
      <c r="QS1390" s="204"/>
      <c r="QT1390" s="204"/>
      <c r="QU1390" s="204"/>
      <c r="QV1390" s="204"/>
      <c r="QW1390" s="204"/>
      <c r="QX1390" s="204"/>
      <c r="QY1390" s="204"/>
      <c r="QZ1390" s="204"/>
      <c r="RA1390" s="204"/>
      <c r="RB1390" s="204"/>
      <c r="RC1390" s="204"/>
      <c r="RD1390" s="204"/>
      <c r="RE1390" s="204"/>
      <c r="RF1390" s="204"/>
      <c r="RG1390" s="204"/>
      <c r="RH1390" s="204"/>
      <c r="RI1390" s="204"/>
      <c r="RJ1390" s="204"/>
      <c r="RK1390" s="204"/>
      <c r="RL1390" s="204"/>
      <c r="RM1390" s="204"/>
      <c r="RN1390" s="204"/>
      <c r="RO1390" s="204"/>
      <c r="RP1390" s="204"/>
      <c r="RQ1390" s="204"/>
      <c r="RR1390" s="204"/>
      <c r="RS1390" s="204"/>
      <c r="RT1390" s="204"/>
      <c r="RU1390" s="204"/>
      <c r="RV1390" s="204"/>
      <c r="RW1390" s="204"/>
      <c r="RX1390" s="204"/>
      <c r="RY1390" s="204"/>
      <c r="RZ1390" s="204"/>
      <c r="SA1390" s="204"/>
      <c r="SB1390" s="204"/>
      <c r="SC1390" s="204"/>
      <c r="SD1390" s="204"/>
      <c r="SE1390" s="204"/>
      <c r="SF1390" s="204"/>
      <c r="SG1390" s="204"/>
      <c r="SH1390" s="204"/>
      <c r="SI1390" s="204"/>
      <c r="SJ1390" s="204"/>
      <c r="SK1390" s="204"/>
      <c r="SL1390" s="204"/>
      <c r="SM1390" s="204"/>
      <c r="SN1390" s="204"/>
      <c r="SO1390" s="204"/>
      <c r="SP1390" s="204"/>
      <c r="SQ1390" s="204"/>
      <c r="SR1390" s="204"/>
      <c r="SS1390" s="204"/>
      <c r="ST1390" s="204"/>
      <c r="SU1390" s="204"/>
      <c r="SV1390" s="204"/>
      <c r="SW1390" s="204"/>
      <c r="SX1390" s="204"/>
      <c r="SY1390" s="204"/>
      <c r="SZ1390" s="204"/>
      <c r="TA1390" s="204"/>
      <c r="TB1390" s="204"/>
      <c r="TC1390" s="204"/>
      <c r="TD1390" s="204"/>
      <c r="TE1390" s="204"/>
      <c r="TF1390" s="204"/>
      <c r="TG1390" s="204"/>
      <c r="TH1390" s="204"/>
      <c r="TI1390" s="204"/>
      <c r="TJ1390" s="204"/>
      <c r="TK1390" s="204"/>
      <c r="TL1390" s="204"/>
      <c r="TM1390" s="204"/>
      <c r="TN1390" s="204"/>
      <c r="TO1390" s="204"/>
      <c r="TP1390" s="204"/>
      <c r="TQ1390" s="204"/>
      <c r="TR1390" s="204"/>
      <c r="TS1390" s="204"/>
      <c r="TT1390" s="204"/>
      <c r="TU1390" s="204"/>
      <c r="TV1390" s="204"/>
      <c r="TW1390" s="204"/>
      <c r="TX1390" s="204"/>
      <c r="TY1390" s="204"/>
      <c r="TZ1390" s="204"/>
      <c r="UA1390" s="204"/>
      <c r="UB1390" s="204"/>
      <c r="UC1390" s="204"/>
      <c r="UD1390" s="204"/>
      <c r="UE1390" s="204"/>
      <c r="UF1390" s="204"/>
      <c r="UG1390" s="155"/>
    </row>
    <row r="1391" spans="1:553" s="109" customFormat="1" ht="370.5" customHeight="1">
      <c r="A1391" s="356"/>
      <c r="B1391" s="835"/>
      <c r="C1391" s="1227" t="s">
        <v>23</v>
      </c>
      <c r="D1391" s="821" t="s">
        <v>70</v>
      </c>
      <c r="E1391" s="376" t="s">
        <v>741</v>
      </c>
      <c r="F1391" s="385"/>
      <c r="G1391" s="386" t="s">
        <v>935</v>
      </c>
      <c r="H1391" s="387">
        <v>552.29999999999995</v>
      </c>
      <c r="I1391" s="441">
        <v>552.29999999999995</v>
      </c>
      <c r="J1391" s="1061">
        <v>62000</v>
      </c>
      <c r="K1391" s="388"/>
      <c r="L1391" s="480">
        <f t="shared" si="211"/>
        <v>34242600</v>
      </c>
      <c r="M1391" s="366"/>
      <c r="N1391" s="366"/>
      <c r="O1391" s="366"/>
      <c r="P1391" s="366"/>
      <c r="Q1391" s="759" t="s">
        <v>742</v>
      </c>
      <c r="R1391" s="1463"/>
      <c r="S1391" s="308"/>
      <c r="T1391" s="308"/>
      <c r="U1391" s="308"/>
      <c r="V1391" s="308"/>
      <c r="W1391" s="307">
        <f>I1391</f>
        <v>552.29999999999995</v>
      </c>
      <c r="X1391" s="308"/>
      <c r="Y1391" s="308"/>
      <c r="Z1391" s="604"/>
      <c r="AA1391" s="308"/>
      <c r="AB1391" s="308"/>
      <c r="AC1391" s="486"/>
      <c r="AD1391" s="486"/>
      <c r="AE1391" s="486"/>
      <c r="AF1391" s="486"/>
      <c r="AG1391" s="486"/>
      <c r="AH1391" s="486"/>
      <c r="AI1391" s="486"/>
      <c r="AJ1391" s="486"/>
      <c r="AK1391" s="486"/>
      <c r="AL1391" s="329"/>
      <c r="AM1391" s="204"/>
      <c r="AN1391" s="204"/>
      <c r="AO1391" s="204"/>
      <c r="AP1391" s="204"/>
      <c r="AQ1391" s="204"/>
      <c r="AR1391" s="204"/>
      <c r="AS1391" s="204"/>
      <c r="AT1391" s="204"/>
      <c r="AU1391" s="204"/>
      <c r="AV1391" s="204"/>
      <c r="AW1391" s="204"/>
      <c r="AX1391" s="204"/>
      <c r="AY1391" s="204"/>
      <c r="AZ1391" s="204"/>
      <c r="BA1391" s="204"/>
      <c r="BB1391" s="204"/>
      <c r="BC1391" s="204"/>
      <c r="BD1391" s="204"/>
      <c r="BE1391" s="204"/>
      <c r="BF1391" s="204"/>
      <c r="BG1391" s="204"/>
      <c r="BH1391" s="204"/>
      <c r="BI1391" s="204"/>
      <c r="BJ1391" s="204"/>
      <c r="BK1391" s="204"/>
      <c r="BL1391" s="204"/>
      <c r="BM1391" s="204"/>
      <c r="BN1391" s="204"/>
      <c r="BO1391" s="204"/>
      <c r="BP1391" s="204"/>
      <c r="BQ1391" s="204"/>
      <c r="BR1391" s="204"/>
      <c r="BS1391" s="204"/>
      <c r="BT1391" s="204"/>
      <c r="BU1391" s="204"/>
      <c r="BV1391" s="204"/>
      <c r="BW1391" s="204"/>
      <c r="BX1391" s="204"/>
      <c r="BY1391" s="204"/>
      <c r="BZ1391" s="204"/>
      <c r="CA1391" s="204"/>
      <c r="CB1391" s="204"/>
      <c r="CC1391" s="204"/>
      <c r="CD1391" s="204"/>
      <c r="CE1391" s="204"/>
      <c r="CF1391" s="204"/>
      <c r="CG1391" s="204"/>
      <c r="CH1391" s="204"/>
      <c r="CI1391" s="204"/>
      <c r="CJ1391" s="204"/>
      <c r="CK1391" s="204"/>
      <c r="CL1391" s="204"/>
      <c r="CM1391" s="204"/>
      <c r="CN1391" s="204"/>
      <c r="CO1391" s="204"/>
      <c r="CP1391" s="204"/>
      <c r="CQ1391" s="204"/>
      <c r="CR1391" s="204"/>
      <c r="CS1391" s="204"/>
      <c r="CT1391" s="204"/>
      <c r="CU1391" s="204"/>
      <c r="CV1391" s="204"/>
      <c r="CW1391" s="204"/>
      <c r="CX1391" s="204"/>
      <c r="CY1391" s="204"/>
      <c r="CZ1391" s="204"/>
      <c r="DA1391" s="204"/>
      <c r="DB1391" s="204"/>
      <c r="DC1391" s="204"/>
      <c r="DD1391" s="204"/>
      <c r="DE1391" s="204"/>
      <c r="DF1391" s="204"/>
      <c r="DG1391" s="204"/>
      <c r="DH1391" s="204"/>
      <c r="DI1391" s="204"/>
      <c r="DJ1391" s="204"/>
      <c r="DK1391" s="204"/>
      <c r="DL1391" s="204"/>
      <c r="DM1391" s="204"/>
      <c r="DN1391" s="204"/>
      <c r="DO1391" s="204"/>
      <c r="DP1391" s="204"/>
      <c r="DQ1391" s="204"/>
      <c r="DR1391" s="204"/>
      <c r="DS1391" s="204"/>
      <c r="DT1391" s="204"/>
      <c r="DU1391" s="204"/>
      <c r="DV1391" s="204"/>
      <c r="DW1391" s="204"/>
      <c r="DX1391" s="204"/>
      <c r="DY1391" s="204"/>
      <c r="DZ1391" s="204"/>
      <c r="EA1391" s="204"/>
      <c r="EB1391" s="204"/>
      <c r="EC1391" s="204"/>
      <c r="ED1391" s="204"/>
      <c r="EE1391" s="204"/>
      <c r="EF1391" s="204"/>
      <c r="EG1391" s="204"/>
      <c r="EH1391" s="204"/>
      <c r="EI1391" s="204"/>
      <c r="EJ1391" s="204"/>
      <c r="EK1391" s="204"/>
      <c r="EL1391" s="204"/>
      <c r="EM1391" s="204"/>
      <c r="EN1391" s="204"/>
      <c r="EO1391" s="204"/>
      <c r="EP1391" s="204"/>
      <c r="EQ1391" s="204"/>
      <c r="ER1391" s="204"/>
      <c r="ES1391" s="204"/>
      <c r="ET1391" s="204"/>
      <c r="EU1391" s="204"/>
      <c r="EV1391" s="204"/>
      <c r="EW1391" s="204"/>
      <c r="EX1391" s="204"/>
      <c r="EY1391" s="204"/>
      <c r="EZ1391" s="204"/>
      <c r="FA1391" s="204"/>
      <c r="FB1391" s="204"/>
      <c r="FC1391" s="204"/>
      <c r="FD1391" s="204"/>
      <c r="FE1391" s="204"/>
      <c r="FF1391" s="204"/>
      <c r="FG1391" s="204"/>
      <c r="FH1391" s="204"/>
      <c r="FI1391" s="204"/>
      <c r="FJ1391" s="204"/>
      <c r="FK1391" s="204"/>
      <c r="FL1391" s="204"/>
      <c r="FM1391" s="204"/>
      <c r="FN1391" s="204"/>
      <c r="FO1391" s="204"/>
      <c r="FP1391" s="204"/>
      <c r="FQ1391" s="204"/>
      <c r="FR1391" s="204"/>
      <c r="FS1391" s="204"/>
      <c r="FT1391" s="204"/>
      <c r="FU1391" s="204"/>
      <c r="FV1391" s="204"/>
      <c r="FW1391" s="204"/>
      <c r="FX1391" s="204"/>
      <c r="FY1391" s="204"/>
      <c r="FZ1391" s="204"/>
      <c r="GA1391" s="204"/>
      <c r="GB1391" s="204"/>
      <c r="GC1391" s="204"/>
      <c r="GD1391" s="204"/>
      <c r="GE1391" s="204"/>
      <c r="GF1391" s="204"/>
      <c r="GG1391" s="204"/>
      <c r="GH1391" s="204"/>
      <c r="GI1391" s="204"/>
      <c r="GJ1391" s="204"/>
      <c r="GK1391" s="204"/>
      <c r="GL1391" s="204"/>
      <c r="GM1391" s="204"/>
      <c r="GN1391" s="204"/>
      <c r="GO1391" s="204"/>
      <c r="GP1391" s="204"/>
      <c r="GQ1391" s="204"/>
      <c r="GR1391" s="204"/>
      <c r="GS1391" s="204"/>
      <c r="GT1391" s="204"/>
      <c r="GU1391" s="204"/>
      <c r="GV1391" s="204"/>
      <c r="GW1391" s="204"/>
      <c r="GX1391" s="204"/>
      <c r="GY1391" s="204"/>
      <c r="GZ1391" s="204"/>
      <c r="HA1391" s="204"/>
      <c r="HB1391" s="204"/>
      <c r="HC1391" s="204"/>
      <c r="HD1391" s="204"/>
      <c r="HE1391" s="204"/>
      <c r="HF1391" s="204"/>
      <c r="HG1391" s="204"/>
      <c r="HH1391" s="204"/>
      <c r="HI1391" s="204"/>
      <c r="HJ1391" s="204"/>
      <c r="HK1391" s="204"/>
      <c r="HL1391" s="204"/>
      <c r="HM1391" s="204"/>
      <c r="HN1391" s="204"/>
      <c r="HO1391" s="204"/>
      <c r="HP1391" s="204"/>
      <c r="HQ1391" s="204"/>
      <c r="HR1391" s="204"/>
      <c r="HS1391" s="204"/>
      <c r="HT1391" s="204"/>
      <c r="HU1391" s="204"/>
      <c r="HV1391" s="204"/>
      <c r="HW1391" s="204"/>
      <c r="HX1391" s="204"/>
      <c r="HY1391" s="204"/>
      <c r="HZ1391" s="204"/>
      <c r="IA1391" s="204"/>
      <c r="IB1391" s="204"/>
      <c r="IC1391" s="204"/>
      <c r="ID1391" s="204"/>
      <c r="IE1391" s="204"/>
      <c r="IF1391" s="204"/>
      <c r="IG1391" s="204"/>
      <c r="IH1391" s="204"/>
      <c r="II1391" s="204"/>
      <c r="IJ1391" s="204"/>
      <c r="IK1391" s="204"/>
      <c r="IL1391" s="204"/>
      <c r="IM1391" s="204"/>
      <c r="IN1391" s="204"/>
      <c r="IO1391" s="204"/>
      <c r="IP1391" s="204"/>
      <c r="IQ1391" s="204"/>
      <c r="IR1391" s="204"/>
      <c r="IS1391" s="204"/>
      <c r="IT1391" s="204"/>
      <c r="IU1391" s="204"/>
      <c r="IV1391" s="204"/>
      <c r="IW1391" s="204"/>
      <c r="IX1391" s="204"/>
      <c r="IY1391" s="204"/>
      <c r="IZ1391" s="204"/>
      <c r="JA1391" s="204"/>
      <c r="JB1391" s="204"/>
      <c r="JC1391" s="204"/>
      <c r="JD1391" s="204"/>
      <c r="JE1391" s="204"/>
      <c r="JF1391" s="204"/>
      <c r="JG1391" s="204"/>
      <c r="JH1391" s="204"/>
      <c r="JI1391" s="204"/>
      <c r="JJ1391" s="204"/>
      <c r="JK1391" s="204"/>
      <c r="JL1391" s="204"/>
      <c r="JM1391" s="204"/>
      <c r="JN1391" s="204"/>
      <c r="JO1391" s="204"/>
      <c r="JP1391" s="204"/>
      <c r="JQ1391" s="204"/>
      <c r="JR1391" s="204"/>
      <c r="JS1391" s="204"/>
      <c r="JT1391" s="204"/>
      <c r="JU1391" s="204"/>
      <c r="JV1391" s="204"/>
      <c r="JW1391" s="204"/>
      <c r="JX1391" s="204"/>
      <c r="JY1391" s="204"/>
      <c r="JZ1391" s="204"/>
      <c r="KA1391" s="204"/>
      <c r="KB1391" s="204"/>
      <c r="KC1391" s="204"/>
      <c r="KD1391" s="204"/>
      <c r="KE1391" s="204"/>
      <c r="KF1391" s="204"/>
      <c r="KG1391" s="204"/>
      <c r="KH1391" s="204"/>
      <c r="KI1391" s="204"/>
      <c r="KJ1391" s="204"/>
      <c r="KK1391" s="204"/>
      <c r="KL1391" s="204"/>
      <c r="KM1391" s="204"/>
      <c r="KN1391" s="204"/>
      <c r="KO1391" s="204"/>
      <c r="KP1391" s="204"/>
      <c r="KQ1391" s="204"/>
      <c r="KR1391" s="204"/>
      <c r="KS1391" s="204"/>
      <c r="KT1391" s="204"/>
      <c r="KU1391" s="204"/>
      <c r="KV1391" s="204"/>
      <c r="KW1391" s="204"/>
      <c r="KX1391" s="204"/>
      <c r="KY1391" s="204"/>
      <c r="KZ1391" s="204"/>
      <c r="LA1391" s="204"/>
      <c r="LB1391" s="204"/>
      <c r="LC1391" s="204"/>
      <c r="LD1391" s="204"/>
      <c r="LE1391" s="204"/>
      <c r="LF1391" s="204"/>
      <c r="LG1391" s="204"/>
      <c r="LH1391" s="204"/>
      <c r="LI1391" s="204"/>
      <c r="LJ1391" s="204"/>
      <c r="LK1391" s="204"/>
      <c r="LL1391" s="204"/>
      <c r="LM1391" s="204"/>
      <c r="LN1391" s="204"/>
      <c r="LO1391" s="204"/>
      <c r="LP1391" s="204"/>
      <c r="LQ1391" s="204"/>
      <c r="LR1391" s="204"/>
      <c r="LS1391" s="204"/>
      <c r="LT1391" s="204"/>
      <c r="LU1391" s="204"/>
      <c r="LV1391" s="204"/>
      <c r="LW1391" s="204"/>
      <c r="LX1391" s="204"/>
      <c r="LY1391" s="204"/>
      <c r="LZ1391" s="204"/>
      <c r="MA1391" s="204"/>
      <c r="MB1391" s="204"/>
      <c r="MC1391" s="204"/>
      <c r="MD1391" s="204"/>
      <c r="ME1391" s="204"/>
      <c r="MF1391" s="204"/>
      <c r="MG1391" s="204"/>
      <c r="MH1391" s="204"/>
      <c r="MI1391" s="204"/>
      <c r="MJ1391" s="204"/>
      <c r="MK1391" s="204"/>
      <c r="ML1391" s="204"/>
      <c r="MM1391" s="204"/>
      <c r="MN1391" s="204"/>
      <c r="MO1391" s="204"/>
      <c r="MP1391" s="204"/>
      <c r="MQ1391" s="204"/>
      <c r="MR1391" s="204"/>
      <c r="MS1391" s="204"/>
      <c r="MT1391" s="204"/>
      <c r="MU1391" s="204"/>
      <c r="MV1391" s="204"/>
      <c r="MW1391" s="204"/>
      <c r="MX1391" s="204"/>
      <c r="MY1391" s="204"/>
      <c r="MZ1391" s="204"/>
      <c r="NA1391" s="204"/>
      <c r="NB1391" s="204"/>
      <c r="NC1391" s="204"/>
      <c r="ND1391" s="204"/>
      <c r="NE1391" s="204"/>
      <c r="NF1391" s="204"/>
      <c r="NG1391" s="204"/>
      <c r="NH1391" s="204"/>
      <c r="NI1391" s="204"/>
      <c r="NJ1391" s="204"/>
      <c r="NK1391" s="204"/>
      <c r="NL1391" s="204"/>
      <c r="NM1391" s="204"/>
      <c r="NN1391" s="204"/>
      <c r="NO1391" s="204"/>
      <c r="NP1391" s="204"/>
      <c r="NQ1391" s="204"/>
      <c r="NR1391" s="204"/>
      <c r="NS1391" s="204"/>
      <c r="NT1391" s="204"/>
      <c r="NU1391" s="204"/>
      <c r="NV1391" s="204"/>
      <c r="NW1391" s="204"/>
      <c r="NX1391" s="204"/>
      <c r="NY1391" s="204"/>
      <c r="NZ1391" s="204"/>
      <c r="OA1391" s="204"/>
      <c r="OB1391" s="204"/>
      <c r="OC1391" s="204"/>
      <c r="OD1391" s="204"/>
      <c r="OE1391" s="204"/>
      <c r="OF1391" s="204"/>
      <c r="OG1391" s="204"/>
      <c r="OH1391" s="204"/>
      <c r="OI1391" s="204"/>
      <c r="OJ1391" s="204"/>
      <c r="OK1391" s="204"/>
      <c r="OL1391" s="204"/>
      <c r="OM1391" s="204"/>
      <c r="ON1391" s="204"/>
      <c r="OO1391" s="204"/>
      <c r="OP1391" s="204"/>
      <c r="OQ1391" s="204"/>
      <c r="OR1391" s="204"/>
      <c r="OS1391" s="204"/>
      <c r="OT1391" s="204"/>
      <c r="OU1391" s="204"/>
      <c r="OV1391" s="204"/>
      <c r="OW1391" s="204"/>
      <c r="OX1391" s="204"/>
      <c r="OY1391" s="204"/>
      <c r="OZ1391" s="204"/>
      <c r="PA1391" s="204"/>
      <c r="PB1391" s="204"/>
      <c r="PC1391" s="204"/>
      <c r="PD1391" s="204"/>
      <c r="PE1391" s="204"/>
      <c r="PF1391" s="204"/>
      <c r="PG1391" s="204"/>
      <c r="PH1391" s="204"/>
      <c r="PI1391" s="204"/>
      <c r="PJ1391" s="204"/>
      <c r="PK1391" s="204"/>
      <c r="PL1391" s="204"/>
      <c r="PM1391" s="204"/>
      <c r="PN1391" s="204"/>
      <c r="PO1391" s="204"/>
      <c r="PP1391" s="204"/>
      <c r="PQ1391" s="204"/>
      <c r="PR1391" s="204"/>
      <c r="PS1391" s="204"/>
      <c r="PT1391" s="204"/>
      <c r="PU1391" s="204"/>
      <c r="PV1391" s="204"/>
      <c r="PW1391" s="204"/>
      <c r="PX1391" s="204"/>
      <c r="PY1391" s="204"/>
      <c r="PZ1391" s="204"/>
      <c r="QA1391" s="204"/>
      <c r="QB1391" s="204"/>
      <c r="QC1391" s="204"/>
      <c r="QD1391" s="204"/>
      <c r="QE1391" s="204"/>
      <c r="QF1391" s="204"/>
      <c r="QG1391" s="204"/>
      <c r="QH1391" s="204"/>
      <c r="QI1391" s="204"/>
      <c r="QJ1391" s="204"/>
      <c r="QK1391" s="204"/>
      <c r="QL1391" s="204"/>
      <c r="QM1391" s="204"/>
      <c r="QN1391" s="204"/>
      <c r="QO1391" s="204"/>
      <c r="QP1391" s="204"/>
      <c r="QQ1391" s="204"/>
      <c r="QR1391" s="204"/>
      <c r="QS1391" s="204"/>
      <c r="QT1391" s="204"/>
      <c r="QU1391" s="204"/>
      <c r="QV1391" s="204"/>
      <c r="QW1391" s="204"/>
      <c r="QX1391" s="204"/>
      <c r="QY1391" s="204"/>
      <c r="QZ1391" s="204"/>
      <c r="RA1391" s="204"/>
      <c r="RB1391" s="204"/>
      <c r="RC1391" s="204"/>
      <c r="RD1391" s="204"/>
      <c r="RE1391" s="204"/>
      <c r="RF1391" s="204"/>
      <c r="RG1391" s="204"/>
      <c r="RH1391" s="204"/>
      <c r="RI1391" s="204"/>
      <c r="RJ1391" s="204"/>
      <c r="RK1391" s="204"/>
      <c r="RL1391" s="204"/>
      <c r="RM1391" s="204"/>
      <c r="RN1391" s="204"/>
      <c r="RO1391" s="204"/>
      <c r="RP1391" s="204"/>
      <c r="RQ1391" s="204"/>
      <c r="RR1391" s="204"/>
      <c r="RS1391" s="204"/>
      <c r="RT1391" s="204"/>
      <c r="RU1391" s="204"/>
      <c r="RV1391" s="204"/>
      <c r="RW1391" s="204"/>
      <c r="RX1391" s="204"/>
      <c r="RY1391" s="204"/>
      <c r="RZ1391" s="204"/>
      <c r="SA1391" s="204"/>
      <c r="SB1391" s="204"/>
      <c r="SC1391" s="204"/>
      <c r="SD1391" s="204"/>
      <c r="SE1391" s="204"/>
      <c r="SF1391" s="204"/>
      <c r="SG1391" s="204"/>
      <c r="SH1391" s="204"/>
      <c r="SI1391" s="204"/>
      <c r="SJ1391" s="204"/>
      <c r="SK1391" s="204"/>
      <c r="SL1391" s="204"/>
      <c r="SM1391" s="204"/>
      <c r="SN1391" s="204"/>
      <c r="SO1391" s="204"/>
      <c r="SP1391" s="204"/>
      <c r="SQ1391" s="204"/>
      <c r="SR1391" s="204"/>
      <c r="SS1391" s="204"/>
      <c r="ST1391" s="204"/>
      <c r="SU1391" s="204"/>
      <c r="SV1391" s="204"/>
      <c r="SW1391" s="204"/>
      <c r="SX1391" s="204"/>
      <c r="SY1391" s="204"/>
      <c r="SZ1391" s="204"/>
      <c r="TA1391" s="204"/>
      <c r="TB1391" s="204"/>
      <c r="TC1391" s="204"/>
      <c r="TD1391" s="204"/>
      <c r="TE1391" s="204"/>
      <c r="TF1391" s="204"/>
      <c r="TG1391" s="204"/>
      <c r="TH1391" s="204"/>
      <c r="TI1391" s="204"/>
      <c r="TJ1391" s="204"/>
      <c r="TK1391" s="204"/>
      <c r="TL1391" s="204"/>
      <c r="TM1391" s="204"/>
      <c r="TN1391" s="204"/>
      <c r="TO1391" s="204"/>
      <c r="TP1391" s="204"/>
      <c r="TQ1391" s="204"/>
      <c r="TR1391" s="204"/>
      <c r="TS1391" s="204"/>
      <c r="TT1391" s="204"/>
      <c r="TU1391" s="204"/>
      <c r="TV1391" s="204"/>
      <c r="TW1391" s="204"/>
      <c r="TX1391" s="204"/>
      <c r="TY1391" s="204"/>
      <c r="TZ1391" s="204"/>
      <c r="UA1391" s="204"/>
      <c r="UB1391" s="204"/>
      <c r="UC1391" s="204"/>
      <c r="UD1391" s="204"/>
      <c r="UE1391" s="204"/>
      <c r="UF1391" s="204"/>
      <c r="UG1391" s="155"/>
    </row>
    <row r="1392" spans="1:553" s="109" customFormat="1" ht="198.75" customHeight="1">
      <c r="A1392" s="356"/>
      <c r="B1392" s="835"/>
      <c r="C1392" s="1216" t="s">
        <v>25</v>
      </c>
      <c r="D1392" s="821" t="s">
        <v>20</v>
      </c>
      <c r="E1392" s="376" t="s">
        <v>743</v>
      </c>
      <c r="F1392" s="385"/>
      <c r="G1392" s="386" t="s">
        <v>935</v>
      </c>
      <c r="H1392" s="387">
        <v>541.20000000000005</v>
      </c>
      <c r="I1392" s="441">
        <v>541.20000000000005</v>
      </c>
      <c r="J1392" s="1061">
        <v>62000</v>
      </c>
      <c r="K1392" s="388"/>
      <c r="L1392" s="480">
        <f t="shared" si="211"/>
        <v>33554400.000000004</v>
      </c>
      <c r="M1392" s="366"/>
      <c r="N1392" s="366"/>
      <c r="O1392" s="366"/>
      <c r="P1392" s="366"/>
      <c r="Q1392" s="1213" t="s">
        <v>744</v>
      </c>
      <c r="R1392" s="1463"/>
      <c r="S1392" s="308"/>
      <c r="T1392" s="308"/>
      <c r="U1392" s="308"/>
      <c r="V1392" s="308"/>
      <c r="W1392" s="308"/>
      <c r="X1392" s="308"/>
      <c r="Y1392" s="308"/>
      <c r="Z1392" s="604"/>
      <c r="AA1392" s="307">
        <f>I1392</f>
        <v>541.20000000000005</v>
      </c>
      <c r="AB1392" s="308"/>
      <c r="AC1392" s="486"/>
      <c r="AD1392" s="486"/>
      <c r="AE1392" s="486"/>
      <c r="AF1392" s="486"/>
      <c r="AG1392" s="486"/>
      <c r="AH1392" s="486"/>
      <c r="AI1392" s="486"/>
      <c r="AJ1392" s="486"/>
      <c r="AK1392" s="486"/>
      <c r="AL1392" s="329"/>
      <c r="AM1392" s="204"/>
      <c r="AN1392" s="204"/>
      <c r="AO1392" s="204"/>
      <c r="AP1392" s="204"/>
      <c r="AQ1392" s="204"/>
      <c r="AR1392" s="204"/>
      <c r="AS1392" s="204"/>
      <c r="AT1392" s="204"/>
      <c r="AU1392" s="204"/>
      <c r="AV1392" s="204"/>
      <c r="AW1392" s="204"/>
      <c r="AX1392" s="204"/>
      <c r="AY1392" s="204"/>
      <c r="AZ1392" s="204"/>
      <c r="BA1392" s="204"/>
      <c r="BB1392" s="204"/>
      <c r="BC1392" s="204"/>
      <c r="BD1392" s="204"/>
      <c r="BE1392" s="204"/>
      <c r="BF1392" s="204"/>
      <c r="BG1392" s="204"/>
      <c r="BH1392" s="204"/>
      <c r="BI1392" s="204"/>
      <c r="BJ1392" s="204"/>
      <c r="BK1392" s="204"/>
      <c r="BL1392" s="204"/>
      <c r="BM1392" s="204"/>
      <c r="BN1392" s="204"/>
      <c r="BO1392" s="204"/>
      <c r="BP1392" s="204"/>
      <c r="BQ1392" s="204"/>
      <c r="BR1392" s="204"/>
      <c r="BS1392" s="204"/>
      <c r="BT1392" s="204"/>
      <c r="BU1392" s="204"/>
      <c r="BV1392" s="204"/>
      <c r="BW1392" s="204"/>
      <c r="BX1392" s="204"/>
      <c r="BY1392" s="204"/>
      <c r="BZ1392" s="204"/>
      <c r="CA1392" s="204"/>
      <c r="CB1392" s="204"/>
      <c r="CC1392" s="204"/>
      <c r="CD1392" s="204"/>
      <c r="CE1392" s="204"/>
      <c r="CF1392" s="204"/>
      <c r="CG1392" s="204"/>
      <c r="CH1392" s="204"/>
      <c r="CI1392" s="204"/>
      <c r="CJ1392" s="204"/>
      <c r="CK1392" s="204"/>
      <c r="CL1392" s="204"/>
      <c r="CM1392" s="204"/>
      <c r="CN1392" s="204"/>
      <c r="CO1392" s="204"/>
      <c r="CP1392" s="204"/>
      <c r="CQ1392" s="204"/>
      <c r="CR1392" s="204"/>
      <c r="CS1392" s="204"/>
      <c r="CT1392" s="204"/>
      <c r="CU1392" s="204"/>
      <c r="CV1392" s="204"/>
      <c r="CW1392" s="204"/>
      <c r="CX1392" s="204"/>
      <c r="CY1392" s="204"/>
      <c r="CZ1392" s="204"/>
      <c r="DA1392" s="204"/>
      <c r="DB1392" s="204"/>
      <c r="DC1392" s="204"/>
      <c r="DD1392" s="204"/>
      <c r="DE1392" s="204"/>
      <c r="DF1392" s="204"/>
      <c r="DG1392" s="204"/>
      <c r="DH1392" s="204"/>
      <c r="DI1392" s="204"/>
      <c r="DJ1392" s="204"/>
      <c r="DK1392" s="204"/>
      <c r="DL1392" s="204"/>
      <c r="DM1392" s="204"/>
      <c r="DN1392" s="204"/>
      <c r="DO1392" s="204"/>
      <c r="DP1392" s="204"/>
      <c r="DQ1392" s="204"/>
      <c r="DR1392" s="204"/>
      <c r="DS1392" s="204"/>
      <c r="DT1392" s="204"/>
      <c r="DU1392" s="204"/>
      <c r="DV1392" s="204"/>
      <c r="DW1392" s="204"/>
      <c r="DX1392" s="204"/>
      <c r="DY1392" s="204"/>
      <c r="DZ1392" s="204"/>
      <c r="EA1392" s="204"/>
      <c r="EB1392" s="204"/>
      <c r="EC1392" s="204"/>
      <c r="ED1392" s="204"/>
      <c r="EE1392" s="204"/>
      <c r="EF1392" s="204"/>
      <c r="EG1392" s="204"/>
      <c r="EH1392" s="204"/>
      <c r="EI1392" s="204"/>
      <c r="EJ1392" s="204"/>
      <c r="EK1392" s="204"/>
      <c r="EL1392" s="204"/>
      <c r="EM1392" s="204"/>
      <c r="EN1392" s="204"/>
      <c r="EO1392" s="204"/>
      <c r="EP1392" s="204"/>
      <c r="EQ1392" s="204"/>
      <c r="ER1392" s="204"/>
      <c r="ES1392" s="204"/>
      <c r="ET1392" s="204"/>
      <c r="EU1392" s="204"/>
      <c r="EV1392" s="204"/>
      <c r="EW1392" s="204"/>
      <c r="EX1392" s="204"/>
      <c r="EY1392" s="204"/>
      <c r="EZ1392" s="204"/>
      <c r="FA1392" s="204"/>
      <c r="FB1392" s="204"/>
      <c r="FC1392" s="204"/>
      <c r="FD1392" s="204"/>
      <c r="FE1392" s="204"/>
      <c r="FF1392" s="204"/>
      <c r="FG1392" s="204"/>
      <c r="FH1392" s="204"/>
      <c r="FI1392" s="204"/>
      <c r="FJ1392" s="204"/>
      <c r="FK1392" s="204"/>
      <c r="FL1392" s="204"/>
      <c r="FM1392" s="204"/>
      <c r="FN1392" s="204"/>
      <c r="FO1392" s="204"/>
      <c r="FP1392" s="204"/>
      <c r="FQ1392" s="204"/>
      <c r="FR1392" s="204"/>
      <c r="FS1392" s="204"/>
      <c r="FT1392" s="204"/>
      <c r="FU1392" s="204"/>
      <c r="FV1392" s="204"/>
      <c r="FW1392" s="204"/>
      <c r="FX1392" s="204"/>
      <c r="FY1392" s="204"/>
      <c r="FZ1392" s="204"/>
      <c r="GA1392" s="204"/>
      <c r="GB1392" s="204"/>
      <c r="GC1392" s="204"/>
      <c r="GD1392" s="204"/>
      <c r="GE1392" s="204"/>
      <c r="GF1392" s="204"/>
      <c r="GG1392" s="204"/>
      <c r="GH1392" s="204"/>
      <c r="GI1392" s="204"/>
      <c r="GJ1392" s="204"/>
      <c r="GK1392" s="204"/>
      <c r="GL1392" s="204"/>
      <c r="GM1392" s="204"/>
      <c r="GN1392" s="204"/>
      <c r="GO1392" s="204"/>
      <c r="GP1392" s="204"/>
      <c r="GQ1392" s="204"/>
      <c r="GR1392" s="204"/>
      <c r="GS1392" s="204"/>
      <c r="GT1392" s="204"/>
      <c r="GU1392" s="204"/>
      <c r="GV1392" s="204"/>
      <c r="GW1392" s="204"/>
      <c r="GX1392" s="204"/>
      <c r="GY1392" s="204"/>
      <c r="GZ1392" s="204"/>
      <c r="HA1392" s="204"/>
      <c r="HB1392" s="204"/>
      <c r="HC1392" s="204"/>
      <c r="HD1392" s="204"/>
      <c r="HE1392" s="204"/>
      <c r="HF1392" s="204"/>
      <c r="HG1392" s="204"/>
      <c r="HH1392" s="204"/>
      <c r="HI1392" s="204"/>
      <c r="HJ1392" s="204"/>
      <c r="HK1392" s="204"/>
      <c r="HL1392" s="204"/>
      <c r="HM1392" s="204"/>
      <c r="HN1392" s="204"/>
      <c r="HO1392" s="204"/>
      <c r="HP1392" s="204"/>
      <c r="HQ1392" s="204"/>
      <c r="HR1392" s="204"/>
      <c r="HS1392" s="204"/>
      <c r="HT1392" s="204"/>
      <c r="HU1392" s="204"/>
      <c r="HV1392" s="204"/>
      <c r="HW1392" s="204"/>
      <c r="HX1392" s="204"/>
      <c r="HY1392" s="204"/>
      <c r="HZ1392" s="204"/>
      <c r="IA1392" s="204"/>
      <c r="IB1392" s="204"/>
      <c r="IC1392" s="204"/>
      <c r="ID1392" s="204"/>
      <c r="IE1392" s="204"/>
      <c r="IF1392" s="204"/>
      <c r="IG1392" s="204"/>
      <c r="IH1392" s="204"/>
      <c r="II1392" s="204"/>
      <c r="IJ1392" s="204"/>
      <c r="IK1392" s="204"/>
      <c r="IL1392" s="204"/>
      <c r="IM1392" s="204"/>
      <c r="IN1392" s="204"/>
      <c r="IO1392" s="204"/>
      <c r="IP1392" s="204"/>
      <c r="IQ1392" s="204"/>
      <c r="IR1392" s="204"/>
      <c r="IS1392" s="204"/>
      <c r="IT1392" s="204"/>
      <c r="IU1392" s="204"/>
      <c r="IV1392" s="204"/>
      <c r="IW1392" s="204"/>
      <c r="IX1392" s="204"/>
      <c r="IY1392" s="204"/>
      <c r="IZ1392" s="204"/>
      <c r="JA1392" s="204"/>
      <c r="JB1392" s="204"/>
      <c r="JC1392" s="204"/>
      <c r="JD1392" s="204"/>
      <c r="JE1392" s="204"/>
      <c r="JF1392" s="204"/>
      <c r="JG1392" s="204"/>
      <c r="JH1392" s="204"/>
      <c r="JI1392" s="204"/>
      <c r="JJ1392" s="204"/>
      <c r="JK1392" s="204"/>
      <c r="JL1392" s="204"/>
      <c r="JM1392" s="204"/>
      <c r="JN1392" s="204"/>
      <c r="JO1392" s="204"/>
      <c r="JP1392" s="204"/>
      <c r="JQ1392" s="204"/>
      <c r="JR1392" s="204"/>
      <c r="JS1392" s="204"/>
      <c r="JT1392" s="204"/>
      <c r="JU1392" s="204"/>
      <c r="JV1392" s="204"/>
      <c r="JW1392" s="204"/>
      <c r="JX1392" s="204"/>
      <c r="JY1392" s="204"/>
      <c r="JZ1392" s="204"/>
      <c r="KA1392" s="204"/>
      <c r="KB1392" s="204"/>
      <c r="KC1392" s="204"/>
      <c r="KD1392" s="204"/>
      <c r="KE1392" s="204"/>
      <c r="KF1392" s="204"/>
      <c r="KG1392" s="204"/>
      <c r="KH1392" s="204"/>
      <c r="KI1392" s="204"/>
      <c r="KJ1392" s="204"/>
      <c r="KK1392" s="204"/>
      <c r="KL1392" s="204"/>
      <c r="KM1392" s="204"/>
      <c r="KN1392" s="204"/>
      <c r="KO1392" s="204"/>
      <c r="KP1392" s="204"/>
      <c r="KQ1392" s="204"/>
      <c r="KR1392" s="204"/>
      <c r="KS1392" s="204"/>
      <c r="KT1392" s="204"/>
      <c r="KU1392" s="204"/>
      <c r="KV1392" s="204"/>
      <c r="KW1392" s="204"/>
      <c r="KX1392" s="204"/>
      <c r="KY1392" s="204"/>
      <c r="KZ1392" s="204"/>
      <c r="LA1392" s="204"/>
      <c r="LB1392" s="204"/>
      <c r="LC1392" s="204"/>
      <c r="LD1392" s="204"/>
      <c r="LE1392" s="204"/>
      <c r="LF1392" s="204"/>
      <c r="LG1392" s="204"/>
      <c r="LH1392" s="204"/>
      <c r="LI1392" s="204"/>
      <c r="LJ1392" s="204"/>
      <c r="LK1392" s="204"/>
      <c r="LL1392" s="204"/>
      <c r="LM1392" s="204"/>
      <c r="LN1392" s="204"/>
      <c r="LO1392" s="204"/>
      <c r="LP1392" s="204"/>
      <c r="LQ1392" s="204"/>
      <c r="LR1392" s="204"/>
      <c r="LS1392" s="204"/>
      <c r="LT1392" s="204"/>
      <c r="LU1392" s="204"/>
      <c r="LV1392" s="204"/>
      <c r="LW1392" s="204"/>
      <c r="LX1392" s="204"/>
      <c r="LY1392" s="204"/>
      <c r="LZ1392" s="204"/>
      <c r="MA1392" s="204"/>
      <c r="MB1392" s="204"/>
      <c r="MC1392" s="204"/>
      <c r="MD1392" s="204"/>
      <c r="ME1392" s="204"/>
      <c r="MF1392" s="204"/>
      <c r="MG1392" s="204"/>
      <c r="MH1392" s="204"/>
      <c r="MI1392" s="204"/>
      <c r="MJ1392" s="204"/>
      <c r="MK1392" s="204"/>
      <c r="ML1392" s="204"/>
      <c r="MM1392" s="204"/>
      <c r="MN1392" s="204"/>
      <c r="MO1392" s="204"/>
      <c r="MP1392" s="204"/>
      <c r="MQ1392" s="204"/>
      <c r="MR1392" s="204"/>
      <c r="MS1392" s="204"/>
      <c r="MT1392" s="204"/>
      <c r="MU1392" s="204"/>
      <c r="MV1392" s="204"/>
      <c r="MW1392" s="204"/>
      <c r="MX1392" s="204"/>
      <c r="MY1392" s="204"/>
      <c r="MZ1392" s="204"/>
      <c r="NA1392" s="204"/>
      <c r="NB1392" s="204"/>
      <c r="NC1392" s="204"/>
      <c r="ND1392" s="204"/>
      <c r="NE1392" s="204"/>
      <c r="NF1392" s="204"/>
      <c r="NG1392" s="204"/>
      <c r="NH1392" s="204"/>
      <c r="NI1392" s="204"/>
      <c r="NJ1392" s="204"/>
      <c r="NK1392" s="204"/>
      <c r="NL1392" s="204"/>
      <c r="NM1392" s="204"/>
      <c r="NN1392" s="204"/>
      <c r="NO1392" s="204"/>
      <c r="NP1392" s="204"/>
      <c r="NQ1392" s="204"/>
      <c r="NR1392" s="204"/>
      <c r="NS1392" s="204"/>
      <c r="NT1392" s="204"/>
      <c r="NU1392" s="204"/>
      <c r="NV1392" s="204"/>
      <c r="NW1392" s="204"/>
      <c r="NX1392" s="204"/>
      <c r="NY1392" s="204"/>
      <c r="NZ1392" s="204"/>
      <c r="OA1392" s="204"/>
      <c r="OB1392" s="204"/>
      <c r="OC1392" s="204"/>
      <c r="OD1392" s="204"/>
      <c r="OE1392" s="204"/>
      <c r="OF1392" s="204"/>
      <c r="OG1392" s="204"/>
      <c r="OH1392" s="204"/>
      <c r="OI1392" s="204"/>
      <c r="OJ1392" s="204"/>
      <c r="OK1392" s="204"/>
      <c r="OL1392" s="204"/>
      <c r="OM1392" s="204"/>
      <c r="ON1392" s="204"/>
      <c r="OO1392" s="204"/>
      <c r="OP1392" s="204"/>
      <c r="OQ1392" s="204"/>
      <c r="OR1392" s="204"/>
      <c r="OS1392" s="204"/>
      <c r="OT1392" s="204"/>
      <c r="OU1392" s="204"/>
      <c r="OV1392" s="204"/>
      <c r="OW1392" s="204"/>
      <c r="OX1392" s="204"/>
      <c r="OY1392" s="204"/>
      <c r="OZ1392" s="204"/>
      <c r="PA1392" s="204"/>
      <c r="PB1392" s="204"/>
      <c r="PC1392" s="204"/>
      <c r="PD1392" s="204"/>
      <c r="PE1392" s="204"/>
      <c r="PF1392" s="204"/>
      <c r="PG1392" s="204"/>
      <c r="PH1392" s="204"/>
      <c r="PI1392" s="204"/>
      <c r="PJ1392" s="204"/>
      <c r="PK1392" s="204"/>
      <c r="PL1392" s="204"/>
      <c r="PM1392" s="204"/>
      <c r="PN1392" s="204"/>
      <c r="PO1392" s="204"/>
      <c r="PP1392" s="204"/>
      <c r="PQ1392" s="204"/>
      <c r="PR1392" s="204"/>
      <c r="PS1392" s="204"/>
      <c r="PT1392" s="204"/>
      <c r="PU1392" s="204"/>
      <c r="PV1392" s="204"/>
      <c r="PW1392" s="204"/>
      <c r="PX1392" s="204"/>
      <c r="PY1392" s="204"/>
      <c r="PZ1392" s="204"/>
      <c r="QA1392" s="204"/>
      <c r="QB1392" s="204"/>
      <c r="QC1392" s="204"/>
      <c r="QD1392" s="204"/>
      <c r="QE1392" s="204"/>
      <c r="QF1392" s="204"/>
      <c r="QG1392" s="204"/>
      <c r="QH1392" s="204"/>
      <c r="QI1392" s="204"/>
      <c r="QJ1392" s="204"/>
      <c r="QK1392" s="204"/>
      <c r="QL1392" s="204"/>
      <c r="QM1392" s="204"/>
      <c r="QN1392" s="204"/>
      <c r="QO1392" s="204"/>
      <c r="QP1392" s="204"/>
      <c r="QQ1392" s="204"/>
      <c r="QR1392" s="204"/>
      <c r="QS1392" s="204"/>
      <c r="QT1392" s="204"/>
      <c r="QU1392" s="204"/>
      <c r="QV1392" s="204"/>
      <c r="QW1392" s="204"/>
      <c r="QX1392" s="204"/>
      <c r="QY1392" s="204"/>
      <c r="QZ1392" s="204"/>
      <c r="RA1392" s="204"/>
      <c r="RB1392" s="204"/>
      <c r="RC1392" s="204"/>
      <c r="RD1392" s="204"/>
      <c r="RE1392" s="204"/>
      <c r="RF1392" s="204"/>
      <c r="RG1392" s="204"/>
      <c r="RH1392" s="204"/>
      <c r="RI1392" s="204"/>
      <c r="RJ1392" s="204"/>
      <c r="RK1392" s="204"/>
      <c r="RL1392" s="204"/>
      <c r="RM1392" s="204"/>
      <c r="RN1392" s="204"/>
      <c r="RO1392" s="204"/>
      <c r="RP1392" s="204"/>
      <c r="RQ1392" s="204"/>
      <c r="RR1392" s="204"/>
      <c r="RS1392" s="204"/>
      <c r="RT1392" s="204"/>
      <c r="RU1392" s="204"/>
      <c r="RV1392" s="204"/>
      <c r="RW1392" s="204"/>
      <c r="RX1392" s="204"/>
      <c r="RY1392" s="204"/>
      <c r="RZ1392" s="204"/>
      <c r="SA1392" s="204"/>
      <c r="SB1392" s="204"/>
      <c r="SC1392" s="204"/>
      <c r="SD1392" s="204"/>
      <c r="SE1392" s="204"/>
      <c r="SF1392" s="204"/>
      <c r="SG1392" s="204"/>
      <c r="SH1392" s="204"/>
      <c r="SI1392" s="204"/>
      <c r="SJ1392" s="204"/>
      <c r="SK1392" s="204"/>
      <c r="SL1392" s="204"/>
      <c r="SM1392" s="204"/>
      <c r="SN1392" s="204"/>
      <c r="SO1392" s="204"/>
      <c r="SP1392" s="204"/>
      <c r="SQ1392" s="204"/>
      <c r="SR1392" s="204"/>
      <c r="SS1392" s="204"/>
      <c r="ST1392" s="204"/>
      <c r="SU1392" s="204"/>
      <c r="SV1392" s="204"/>
      <c r="SW1392" s="204"/>
      <c r="SX1392" s="204"/>
      <c r="SY1392" s="204"/>
      <c r="SZ1392" s="204"/>
      <c r="TA1392" s="204"/>
      <c r="TB1392" s="204"/>
      <c r="TC1392" s="204"/>
      <c r="TD1392" s="204"/>
      <c r="TE1392" s="204"/>
      <c r="TF1392" s="204"/>
      <c r="TG1392" s="204"/>
      <c r="TH1392" s="204"/>
      <c r="TI1392" s="204"/>
      <c r="TJ1392" s="204"/>
      <c r="TK1392" s="204"/>
      <c r="TL1392" s="204"/>
      <c r="TM1392" s="204"/>
      <c r="TN1392" s="204"/>
      <c r="TO1392" s="204"/>
      <c r="TP1392" s="204"/>
      <c r="TQ1392" s="204"/>
      <c r="TR1392" s="204"/>
      <c r="TS1392" s="204"/>
      <c r="TT1392" s="204"/>
      <c r="TU1392" s="204"/>
      <c r="TV1392" s="204"/>
      <c r="TW1392" s="204"/>
      <c r="TX1392" s="204"/>
      <c r="TY1392" s="204"/>
      <c r="TZ1392" s="204"/>
      <c r="UA1392" s="204"/>
      <c r="UB1392" s="204"/>
      <c r="UC1392" s="204"/>
      <c r="UD1392" s="204"/>
      <c r="UE1392" s="204"/>
      <c r="UF1392" s="204"/>
      <c r="UG1392" s="155"/>
    </row>
    <row r="1393" spans="1:553" s="109" customFormat="1" ht="198.75" customHeight="1">
      <c r="A1393" s="356"/>
      <c r="B1393" s="835"/>
      <c r="C1393" s="1227" t="s">
        <v>23</v>
      </c>
      <c r="D1393" s="821" t="s">
        <v>20</v>
      </c>
      <c r="E1393" s="376" t="s">
        <v>745</v>
      </c>
      <c r="F1393" s="385"/>
      <c r="G1393" s="386" t="s">
        <v>935</v>
      </c>
      <c r="H1393" s="387">
        <v>309</v>
      </c>
      <c r="I1393" s="441">
        <v>309</v>
      </c>
      <c r="J1393" s="1061">
        <v>62000</v>
      </c>
      <c r="K1393" s="388"/>
      <c r="L1393" s="480">
        <f t="shared" si="211"/>
        <v>19158000</v>
      </c>
      <c r="M1393" s="366"/>
      <c r="N1393" s="366"/>
      <c r="O1393" s="366"/>
      <c r="P1393" s="366"/>
      <c r="Q1393" s="759" t="s">
        <v>746</v>
      </c>
      <c r="R1393" s="1463"/>
      <c r="S1393" s="308"/>
      <c r="T1393" s="308"/>
      <c r="U1393" s="308"/>
      <c r="V1393" s="308"/>
      <c r="W1393" s="307">
        <f>I1393</f>
        <v>309</v>
      </c>
      <c r="X1393" s="308"/>
      <c r="Y1393" s="308"/>
      <c r="Z1393" s="604"/>
      <c r="AA1393" s="308"/>
      <c r="AB1393" s="308"/>
      <c r="AC1393" s="486"/>
      <c r="AD1393" s="486"/>
      <c r="AE1393" s="486"/>
      <c r="AF1393" s="486"/>
      <c r="AG1393" s="486"/>
      <c r="AH1393" s="486"/>
      <c r="AI1393" s="486"/>
      <c r="AJ1393" s="486"/>
      <c r="AK1393" s="486"/>
      <c r="AL1393" s="329"/>
      <c r="AM1393" s="204"/>
      <c r="AN1393" s="204"/>
      <c r="AO1393" s="204"/>
      <c r="AP1393" s="204"/>
      <c r="AQ1393" s="204"/>
      <c r="AR1393" s="204"/>
      <c r="AS1393" s="204"/>
      <c r="AT1393" s="204"/>
      <c r="AU1393" s="204"/>
      <c r="AV1393" s="204"/>
      <c r="AW1393" s="204"/>
      <c r="AX1393" s="204"/>
      <c r="AY1393" s="204"/>
      <c r="AZ1393" s="204"/>
      <c r="BA1393" s="204"/>
      <c r="BB1393" s="204"/>
      <c r="BC1393" s="204"/>
      <c r="BD1393" s="204"/>
      <c r="BE1393" s="204"/>
      <c r="BF1393" s="204"/>
      <c r="BG1393" s="204"/>
      <c r="BH1393" s="204"/>
      <c r="BI1393" s="204"/>
      <c r="BJ1393" s="204"/>
      <c r="BK1393" s="204"/>
      <c r="BL1393" s="204"/>
      <c r="BM1393" s="204"/>
      <c r="BN1393" s="204"/>
      <c r="BO1393" s="204"/>
      <c r="BP1393" s="204"/>
      <c r="BQ1393" s="204"/>
      <c r="BR1393" s="204"/>
      <c r="BS1393" s="204"/>
      <c r="BT1393" s="204"/>
      <c r="BU1393" s="204"/>
      <c r="BV1393" s="204"/>
      <c r="BW1393" s="204"/>
      <c r="BX1393" s="204"/>
      <c r="BY1393" s="204"/>
      <c r="BZ1393" s="204"/>
      <c r="CA1393" s="204"/>
      <c r="CB1393" s="204"/>
      <c r="CC1393" s="204"/>
      <c r="CD1393" s="204"/>
      <c r="CE1393" s="204"/>
      <c r="CF1393" s="204"/>
      <c r="CG1393" s="204"/>
      <c r="CH1393" s="204"/>
      <c r="CI1393" s="204"/>
      <c r="CJ1393" s="204"/>
      <c r="CK1393" s="204"/>
      <c r="CL1393" s="204"/>
      <c r="CM1393" s="204"/>
      <c r="CN1393" s="204"/>
      <c r="CO1393" s="204"/>
      <c r="CP1393" s="204"/>
      <c r="CQ1393" s="204"/>
      <c r="CR1393" s="204"/>
      <c r="CS1393" s="204"/>
      <c r="CT1393" s="204"/>
      <c r="CU1393" s="204"/>
      <c r="CV1393" s="204"/>
      <c r="CW1393" s="204"/>
      <c r="CX1393" s="204"/>
      <c r="CY1393" s="204"/>
      <c r="CZ1393" s="204"/>
      <c r="DA1393" s="204"/>
      <c r="DB1393" s="204"/>
      <c r="DC1393" s="204"/>
      <c r="DD1393" s="204"/>
      <c r="DE1393" s="204"/>
      <c r="DF1393" s="204"/>
      <c r="DG1393" s="204"/>
      <c r="DH1393" s="204"/>
      <c r="DI1393" s="204"/>
      <c r="DJ1393" s="204"/>
      <c r="DK1393" s="204"/>
      <c r="DL1393" s="204"/>
      <c r="DM1393" s="204"/>
      <c r="DN1393" s="204"/>
      <c r="DO1393" s="204"/>
      <c r="DP1393" s="204"/>
      <c r="DQ1393" s="204"/>
      <c r="DR1393" s="204"/>
      <c r="DS1393" s="204"/>
      <c r="DT1393" s="204"/>
      <c r="DU1393" s="204"/>
      <c r="DV1393" s="204"/>
      <c r="DW1393" s="204"/>
      <c r="DX1393" s="204"/>
      <c r="DY1393" s="204"/>
      <c r="DZ1393" s="204"/>
      <c r="EA1393" s="204"/>
      <c r="EB1393" s="204"/>
      <c r="EC1393" s="204"/>
      <c r="ED1393" s="204"/>
      <c r="EE1393" s="204"/>
      <c r="EF1393" s="204"/>
      <c r="EG1393" s="204"/>
      <c r="EH1393" s="204"/>
      <c r="EI1393" s="204"/>
      <c r="EJ1393" s="204"/>
      <c r="EK1393" s="204"/>
      <c r="EL1393" s="204"/>
      <c r="EM1393" s="204"/>
      <c r="EN1393" s="204"/>
      <c r="EO1393" s="204"/>
      <c r="EP1393" s="204"/>
      <c r="EQ1393" s="204"/>
      <c r="ER1393" s="204"/>
      <c r="ES1393" s="204"/>
      <c r="ET1393" s="204"/>
      <c r="EU1393" s="204"/>
      <c r="EV1393" s="204"/>
      <c r="EW1393" s="204"/>
      <c r="EX1393" s="204"/>
      <c r="EY1393" s="204"/>
      <c r="EZ1393" s="204"/>
      <c r="FA1393" s="204"/>
      <c r="FB1393" s="204"/>
      <c r="FC1393" s="204"/>
      <c r="FD1393" s="204"/>
      <c r="FE1393" s="204"/>
      <c r="FF1393" s="204"/>
      <c r="FG1393" s="204"/>
      <c r="FH1393" s="204"/>
      <c r="FI1393" s="204"/>
      <c r="FJ1393" s="204"/>
      <c r="FK1393" s="204"/>
      <c r="FL1393" s="204"/>
      <c r="FM1393" s="204"/>
      <c r="FN1393" s="204"/>
      <c r="FO1393" s="204"/>
      <c r="FP1393" s="204"/>
      <c r="FQ1393" s="204"/>
      <c r="FR1393" s="204"/>
      <c r="FS1393" s="204"/>
      <c r="FT1393" s="204"/>
      <c r="FU1393" s="204"/>
      <c r="FV1393" s="204"/>
      <c r="FW1393" s="204"/>
      <c r="FX1393" s="204"/>
      <c r="FY1393" s="204"/>
      <c r="FZ1393" s="204"/>
      <c r="GA1393" s="204"/>
      <c r="GB1393" s="204"/>
      <c r="GC1393" s="204"/>
      <c r="GD1393" s="204"/>
      <c r="GE1393" s="204"/>
      <c r="GF1393" s="204"/>
      <c r="GG1393" s="204"/>
      <c r="GH1393" s="204"/>
      <c r="GI1393" s="204"/>
      <c r="GJ1393" s="204"/>
      <c r="GK1393" s="204"/>
      <c r="GL1393" s="204"/>
      <c r="GM1393" s="204"/>
      <c r="GN1393" s="204"/>
      <c r="GO1393" s="204"/>
      <c r="GP1393" s="204"/>
      <c r="GQ1393" s="204"/>
      <c r="GR1393" s="204"/>
      <c r="GS1393" s="204"/>
      <c r="GT1393" s="204"/>
      <c r="GU1393" s="204"/>
      <c r="GV1393" s="204"/>
      <c r="GW1393" s="204"/>
      <c r="GX1393" s="204"/>
      <c r="GY1393" s="204"/>
      <c r="GZ1393" s="204"/>
      <c r="HA1393" s="204"/>
      <c r="HB1393" s="204"/>
      <c r="HC1393" s="204"/>
      <c r="HD1393" s="204"/>
      <c r="HE1393" s="204"/>
      <c r="HF1393" s="204"/>
      <c r="HG1393" s="204"/>
      <c r="HH1393" s="204"/>
      <c r="HI1393" s="204"/>
      <c r="HJ1393" s="204"/>
      <c r="HK1393" s="204"/>
      <c r="HL1393" s="204"/>
      <c r="HM1393" s="204"/>
      <c r="HN1393" s="204"/>
      <c r="HO1393" s="204"/>
      <c r="HP1393" s="204"/>
      <c r="HQ1393" s="204"/>
      <c r="HR1393" s="204"/>
      <c r="HS1393" s="204"/>
      <c r="HT1393" s="204"/>
      <c r="HU1393" s="204"/>
      <c r="HV1393" s="204"/>
      <c r="HW1393" s="204"/>
      <c r="HX1393" s="204"/>
      <c r="HY1393" s="204"/>
      <c r="HZ1393" s="204"/>
      <c r="IA1393" s="204"/>
      <c r="IB1393" s="204"/>
      <c r="IC1393" s="204"/>
      <c r="ID1393" s="204"/>
      <c r="IE1393" s="204"/>
      <c r="IF1393" s="204"/>
      <c r="IG1393" s="204"/>
      <c r="IH1393" s="204"/>
      <c r="II1393" s="204"/>
      <c r="IJ1393" s="204"/>
      <c r="IK1393" s="204"/>
      <c r="IL1393" s="204"/>
      <c r="IM1393" s="204"/>
      <c r="IN1393" s="204"/>
      <c r="IO1393" s="204"/>
      <c r="IP1393" s="204"/>
      <c r="IQ1393" s="204"/>
      <c r="IR1393" s="204"/>
      <c r="IS1393" s="204"/>
      <c r="IT1393" s="204"/>
      <c r="IU1393" s="204"/>
      <c r="IV1393" s="204"/>
      <c r="IW1393" s="204"/>
      <c r="IX1393" s="204"/>
      <c r="IY1393" s="204"/>
      <c r="IZ1393" s="204"/>
      <c r="JA1393" s="204"/>
      <c r="JB1393" s="204"/>
      <c r="JC1393" s="204"/>
      <c r="JD1393" s="204"/>
      <c r="JE1393" s="204"/>
      <c r="JF1393" s="204"/>
      <c r="JG1393" s="204"/>
      <c r="JH1393" s="204"/>
      <c r="JI1393" s="204"/>
      <c r="JJ1393" s="204"/>
      <c r="JK1393" s="204"/>
      <c r="JL1393" s="204"/>
      <c r="JM1393" s="204"/>
      <c r="JN1393" s="204"/>
      <c r="JO1393" s="204"/>
      <c r="JP1393" s="204"/>
      <c r="JQ1393" s="204"/>
      <c r="JR1393" s="204"/>
      <c r="JS1393" s="204"/>
      <c r="JT1393" s="204"/>
      <c r="JU1393" s="204"/>
      <c r="JV1393" s="204"/>
      <c r="JW1393" s="204"/>
      <c r="JX1393" s="204"/>
      <c r="JY1393" s="204"/>
      <c r="JZ1393" s="204"/>
      <c r="KA1393" s="204"/>
      <c r="KB1393" s="204"/>
      <c r="KC1393" s="204"/>
      <c r="KD1393" s="204"/>
      <c r="KE1393" s="204"/>
      <c r="KF1393" s="204"/>
      <c r="KG1393" s="204"/>
      <c r="KH1393" s="204"/>
      <c r="KI1393" s="204"/>
      <c r="KJ1393" s="204"/>
      <c r="KK1393" s="204"/>
      <c r="KL1393" s="204"/>
      <c r="KM1393" s="204"/>
      <c r="KN1393" s="204"/>
      <c r="KO1393" s="204"/>
      <c r="KP1393" s="204"/>
      <c r="KQ1393" s="204"/>
      <c r="KR1393" s="204"/>
      <c r="KS1393" s="204"/>
      <c r="KT1393" s="204"/>
      <c r="KU1393" s="204"/>
      <c r="KV1393" s="204"/>
      <c r="KW1393" s="204"/>
      <c r="KX1393" s="204"/>
      <c r="KY1393" s="204"/>
      <c r="KZ1393" s="204"/>
      <c r="LA1393" s="204"/>
      <c r="LB1393" s="204"/>
      <c r="LC1393" s="204"/>
      <c r="LD1393" s="204"/>
      <c r="LE1393" s="204"/>
      <c r="LF1393" s="204"/>
      <c r="LG1393" s="204"/>
      <c r="LH1393" s="204"/>
      <c r="LI1393" s="204"/>
      <c r="LJ1393" s="204"/>
      <c r="LK1393" s="204"/>
      <c r="LL1393" s="204"/>
      <c r="LM1393" s="204"/>
      <c r="LN1393" s="204"/>
      <c r="LO1393" s="204"/>
      <c r="LP1393" s="204"/>
      <c r="LQ1393" s="204"/>
      <c r="LR1393" s="204"/>
      <c r="LS1393" s="204"/>
      <c r="LT1393" s="204"/>
      <c r="LU1393" s="204"/>
      <c r="LV1393" s="204"/>
      <c r="LW1393" s="204"/>
      <c r="LX1393" s="204"/>
      <c r="LY1393" s="204"/>
      <c r="LZ1393" s="204"/>
      <c r="MA1393" s="204"/>
      <c r="MB1393" s="204"/>
      <c r="MC1393" s="204"/>
      <c r="MD1393" s="204"/>
      <c r="ME1393" s="204"/>
      <c r="MF1393" s="204"/>
      <c r="MG1393" s="204"/>
      <c r="MH1393" s="204"/>
      <c r="MI1393" s="204"/>
      <c r="MJ1393" s="204"/>
      <c r="MK1393" s="204"/>
      <c r="ML1393" s="204"/>
      <c r="MM1393" s="204"/>
      <c r="MN1393" s="204"/>
      <c r="MO1393" s="204"/>
      <c r="MP1393" s="204"/>
      <c r="MQ1393" s="204"/>
      <c r="MR1393" s="204"/>
      <c r="MS1393" s="204"/>
      <c r="MT1393" s="204"/>
      <c r="MU1393" s="204"/>
      <c r="MV1393" s="204"/>
      <c r="MW1393" s="204"/>
      <c r="MX1393" s="204"/>
      <c r="MY1393" s="204"/>
      <c r="MZ1393" s="204"/>
      <c r="NA1393" s="204"/>
      <c r="NB1393" s="204"/>
      <c r="NC1393" s="204"/>
      <c r="ND1393" s="204"/>
      <c r="NE1393" s="204"/>
      <c r="NF1393" s="204"/>
      <c r="NG1393" s="204"/>
      <c r="NH1393" s="204"/>
      <c r="NI1393" s="204"/>
      <c r="NJ1393" s="204"/>
      <c r="NK1393" s="204"/>
      <c r="NL1393" s="204"/>
      <c r="NM1393" s="204"/>
      <c r="NN1393" s="204"/>
      <c r="NO1393" s="204"/>
      <c r="NP1393" s="204"/>
      <c r="NQ1393" s="204"/>
      <c r="NR1393" s="204"/>
      <c r="NS1393" s="204"/>
      <c r="NT1393" s="204"/>
      <c r="NU1393" s="204"/>
      <c r="NV1393" s="204"/>
      <c r="NW1393" s="204"/>
      <c r="NX1393" s="204"/>
      <c r="NY1393" s="204"/>
      <c r="NZ1393" s="204"/>
      <c r="OA1393" s="204"/>
      <c r="OB1393" s="204"/>
      <c r="OC1393" s="204"/>
      <c r="OD1393" s="204"/>
      <c r="OE1393" s="204"/>
      <c r="OF1393" s="204"/>
      <c r="OG1393" s="204"/>
      <c r="OH1393" s="204"/>
      <c r="OI1393" s="204"/>
      <c r="OJ1393" s="204"/>
      <c r="OK1393" s="204"/>
      <c r="OL1393" s="204"/>
      <c r="OM1393" s="204"/>
      <c r="ON1393" s="204"/>
      <c r="OO1393" s="204"/>
      <c r="OP1393" s="204"/>
      <c r="OQ1393" s="204"/>
      <c r="OR1393" s="204"/>
      <c r="OS1393" s="204"/>
      <c r="OT1393" s="204"/>
      <c r="OU1393" s="204"/>
      <c r="OV1393" s="204"/>
      <c r="OW1393" s="204"/>
      <c r="OX1393" s="204"/>
      <c r="OY1393" s="204"/>
      <c r="OZ1393" s="204"/>
      <c r="PA1393" s="204"/>
      <c r="PB1393" s="204"/>
      <c r="PC1393" s="204"/>
      <c r="PD1393" s="204"/>
      <c r="PE1393" s="204"/>
      <c r="PF1393" s="204"/>
      <c r="PG1393" s="204"/>
      <c r="PH1393" s="204"/>
      <c r="PI1393" s="204"/>
      <c r="PJ1393" s="204"/>
      <c r="PK1393" s="204"/>
      <c r="PL1393" s="204"/>
      <c r="PM1393" s="204"/>
      <c r="PN1393" s="204"/>
      <c r="PO1393" s="204"/>
      <c r="PP1393" s="204"/>
      <c r="PQ1393" s="204"/>
      <c r="PR1393" s="204"/>
      <c r="PS1393" s="204"/>
      <c r="PT1393" s="204"/>
      <c r="PU1393" s="204"/>
      <c r="PV1393" s="204"/>
      <c r="PW1393" s="204"/>
      <c r="PX1393" s="204"/>
      <c r="PY1393" s="204"/>
      <c r="PZ1393" s="204"/>
      <c r="QA1393" s="204"/>
      <c r="QB1393" s="204"/>
      <c r="QC1393" s="204"/>
      <c r="QD1393" s="204"/>
      <c r="QE1393" s="204"/>
      <c r="QF1393" s="204"/>
      <c r="QG1393" s="204"/>
      <c r="QH1393" s="204"/>
      <c r="QI1393" s="204"/>
      <c r="QJ1393" s="204"/>
      <c r="QK1393" s="204"/>
      <c r="QL1393" s="204"/>
      <c r="QM1393" s="204"/>
      <c r="QN1393" s="204"/>
      <c r="QO1393" s="204"/>
      <c r="QP1393" s="204"/>
      <c r="QQ1393" s="204"/>
      <c r="QR1393" s="204"/>
      <c r="QS1393" s="204"/>
      <c r="QT1393" s="204"/>
      <c r="QU1393" s="204"/>
      <c r="QV1393" s="204"/>
      <c r="QW1393" s="204"/>
      <c r="QX1393" s="204"/>
      <c r="QY1393" s="204"/>
      <c r="QZ1393" s="204"/>
      <c r="RA1393" s="204"/>
      <c r="RB1393" s="204"/>
      <c r="RC1393" s="204"/>
      <c r="RD1393" s="204"/>
      <c r="RE1393" s="204"/>
      <c r="RF1393" s="204"/>
      <c r="RG1393" s="204"/>
      <c r="RH1393" s="204"/>
      <c r="RI1393" s="204"/>
      <c r="RJ1393" s="204"/>
      <c r="RK1393" s="204"/>
      <c r="RL1393" s="204"/>
      <c r="RM1393" s="204"/>
      <c r="RN1393" s="204"/>
      <c r="RO1393" s="204"/>
      <c r="RP1393" s="204"/>
      <c r="RQ1393" s="204"/>
      <c r="RR1393" s="204"/>
      <c r="RS1393" s="204"/>
      <c r="RT1393" s="204"/>
      <c r="RU1393" s="204"/>
      <c r="RV1393" s="204"/>
      <c r="RW1393" s="204"/>
      <c r="RX1393" s="204"/>
      <c r="RY1393" s="204"/>
      <c r="RZ1393" s="204"/>
      <c r="SA1393" s="204"/>
      <c r="SB1393" s="204"/>
      <c r="SC1393" s="204"/>
      <c r="SD1393" s="204"/>
      <c r="SE1393" s="204"/>
      <c r="SF1393" s="204"/>
      <c r="SG1393" s="204"/>
      <c r="SH1393" s="204"/>
      <c r="SI1393" s="204"/>
      <c r="SJ1393" s="204"/>
      <c r="SK1393" s="204"/>
      <c r="SL1393" s="204"/>
      <c r="SM1393" s="204"/>
      <c r="SN1393" s="204"/>
      <c r="SO1393" s="204"/>
      <c r="SP1393" s="204"/>
      <c r="SQ1393" s="204"/>
      <c r="SR1393" s="204"/>
      <c r="SS1393" s="204"/>
      <c r="ST1393" s="204"/>
      <c r="SU1393" s="204"/>
      <c r="SV1393" s="204"/>
      <c r="SW1393" s="204"/>
      <c r="SX1393" s="204"/>
      <c r="SY1393" s="204"/>
      <c r="SZ1393" s="204"/>
      <c r="TA1393" s="204"/>
      <c r="TB1393" s="204"/>
      <c r="TC1393" s="204"/>
      <c r="TD1393" s="204"/>
      <c r="TE1393" s="204"/>
      <c r="TF1393" s="204"/>
      <c r="TG1393" s="204"/>
      <c r="TH1393" s="204"/>
      <c r="TI1393" s="204"/>
      <c r="TJ1393" s="204"/>
      <c r="TK1393" s="204"/>
      <c r="TL1393" s="204"/>
      <c r="TM1393" s="204"/>
      <c r="TN1393" s="204"/>
      <c r="TO1393" s="204"/>
      <c r="TP1393" s="204"/>
      <c r="TQ1393" s="204"/>
      <c r="TR1393" s="204"/>
      <c r="TS1393" s="204"/>
      <c r="TT1393" s="204"/>
      <c r="TU1393" s="204"/>
      <c r="TV1393" s="204"/>
      <c r="TW1393" s="204"/>
      <c r="TX1393" s="204"/>
      <c r="TY1393" s="204"/>
      <c r="TZ1393" s="204"/>
      <c r="UA1393" s="204"/>
      <c r="UB1393" s="204"/>
      <c r="UC1393" s="204"/>
      <c r="UD1393" s="204"/>
      <c r="UE1393" s="204"/>
      <c r="UF1393" s="204"/>
      <c r="UG1393" s="155"/>
    </row>
    <row r="1394" spans="1:553" s="109" customFormat="1" ht="198.75" customHeight="1">
      <c r="A1394" s="356"/>
      <c r="B1394" s="835"/>
      <c r="C1394" s="1227" t="s">
        <v>69</v>
      </c>
      <c r="D1394" s="821" t="s">
        <v>20</v>
      </c>
      <c r="E1394" s="376" t="s">
        <v>747</v>
      </c>
      <c r="F1394" s="385"/>
      <c r="G1394" s="386" t="s">
        <v>935</v>
      </c>
      <c r="H1394" s="387">
        <v>82.7</v>
      </c>
      <c r="I1394" s="441">
        <v>82.7</v>
      </c>
      <c r="J1394" s="1061">
        <v>55000</v>
      </c>
      <c r="K1394" s="388"/>
      <c r="L1394" s="480">
        <f t="shared" si="211"/>
        <v>4548500</v>
      </c>
      <c r="M1394" s="366"/>
      <c r="N1394" s="366"/>
      <c r="O1394" s="366"/>
      <c r="P1394" s="366"/>
      <c r="Q1394" s="1161" t="s">
        <v>748</v>
      </c>
      <c r="R1394" s="1463"/>
      <c r="S1394" s="308"/>
      <c r="T1394" s="308"/>
      <c r="U1394" s="308"/>
      <c r="V1394" s="308"/>
      <c r="W1394" s="308"/>
      <c r="X1394" s="307">
        <f>I1394</f>
        <v>82.7</v>
      </c>
      <c r="Y1394" s="308"/>
      <c r="Z1394" s="604"/>
      <c r="AA1394" s="308"/>
      <c r="AB1394" s="308"/>
      <c r="AC1394" s="486"/>
      <c r="AD1394" s="486"/>
      <c r="AE1394" s="486"/>
      <c r="AF1394" s="486"/>
      <c r="AG1394" s="486"/>
      <c r="AH1394" s="486"/>
      <c r="AI1394" s="486"/>
      <c r="AJ1394" s="486"/>
      <c r="AK1394" s="486"/>
      <c r="AL1394" s="329"/>
      <c r="AM1394" s="204"/>
      <c r="AN1394" s="204"/>
      <c r="AO1394" s="204"/>
      <c r="AP1394" s="204"/>
      <c r="AQ1394" s="204"/>
      <c r="AR1394" s="204"/>
      <c r="AS1394" s="204"/>
      <c r="AT1394" s="204"/>
      <c r="AU1394" s="204"/>
      <c r="AV1394" s="204"/>
      <c r="AW1394" s="204"/>
      <c r="AX1394" s="204"/>
      <c r="AY1394" s="204"/>
      <c r="AZ1394" s="204"/>
      <c r="BA1394" s="204"/>
      <c r="BB1394" s="204"/>
      <c r="BC1394" s="204"/>
      <c r="BD1394" s="204"/>
      <c r="BE1394" s="204"/>
      <c r="BF1394" s="204"/>
      <c r="BG1394" s="204"/>
      <c r="BH1394" s="204"/>
      <c r="BI1394" s="204"/>
      <c r="BJ1394" s="204"/>
      <c r="BK1394" s="204"/>
      <c r="BL1394" s="204"/>
      <c r="BM1394" s="204"/>
      <c r="BN1394" s="204"/>
      <c r="BO1394" s="204"/>
      <c r="BP1394" s="204"/>
      <c r="BQ1394" s="204"/>
      <c r="BR1394" s="204"/>
      <c r="BS1394" s="204"/>
      <c r="BT1394" s="204"/>
      <c r="BU1394" s="204"/>
      <c r="BV1394" s="204"/>
      <c r="BW1394" s="204"/>
      <c r="BX1394" s="204"/>
      <c r="BY1394" s="204"/>
      <c r="BZ1394" s="204"/>
      <c r="CA1394" s="204"/>
      <c r="CB1394" s="204"/>
      <c r="CC1394" s="204"/>
      <c r="CD1394" s="204"/>
      <c r="CE1394" s="204"/>
      <c r="CF1394" s="204"/>
      <c r="CG1394" s="204"/>
      <c r="CH1394" s="204"/>
      <c r="CI1394" s="204"/>
      <c r="CJ1394" s="204"/>
      <c r="CK1394" s="204"/>
      <c r="CL1394" s="204"/>
      <c r="CM1394" s="204"/>
      <c r="CN1394" s="204"/>
      <c r="CO1394" s="204"/>
      <c r="CP1394" s="204"/>
      <c r="CQ1394" s="204"/>
      <c r="CR1394" s="204"/>
      <c r="CS1394" s="204"/>
      <c r="CT1394" s="204"/>
      <c r="CU1394" s="204"/>
      <c r="CV1394" s="204"/>
      <c r="CW1394" s="204"/>
      <c r="CX1394" s="204"/>
      <c r="CY1394" s="204"/>
      <c r="CZ1394" s="204"/>
      <c r="DA1394" s="204"/>
      <c r="DB1394" s="204"/>
      <c r="DC1394" s="204"/>
      <c r="DD1394" s="204"/>
      <c r="DE1394" s="204"/>
      <c r="DF1394" s="204"/>
      <c r="DG1394" s="204"/>
      <c r="DH1394" s="204"/>
      <c r="DI1394" s="204"/>
      <c r="DJ1394" s="204"/>
      <c r="DK1394" s="204"/>
      <c r="DL1394" s="204"/>
      <c r="DM1394" s="204"/>
      <c r="DN1394" s="204"/>
      <c r="DO1394" s="204"/>
      <c r="DP1394" s="204"/>
      <c r="DQ1394" s="204"/>
      <c r="DR1394" s="204"/>
      <c r="DS1394" s="204"/>
      <c r="DT1394" s="204"/>
      <c r="DU1394" s="204"/>
      <c r="DV1394" s="204"/>
      <c r="DW1394" s="204"/>
      <c r="DX1394" s="204"/>
      <c r="DY1394" s="204"/>
      <c r="DZ1394" s="204"/>
      <c r="EA1394" s="204"/>
      <c r="EB1394" s="204"/>
      <c r="EC1394" s="204"/>
      <c r="ED1394" s="204"/>
      <c r="EE1394" s="204"/>
      <c r="EF1394" s="204"/>
      <c r="EG1394" s="204"/>
      <c r="EH1394" s="204"/>
      <c r="EI1394" s="204"/>
      <c r="EJ1394" s="204"/>
      <c r="EK1394" s="204"/>
      <c r="EL1394" s="204"/>
      <c r="EM1394" s="204"/>
      <c r="EN1394" s="204"/>
      <c r="EO1394" s="204"/>
      <c r="EP1394" s="204"/>
      <c r="EQ1394" s="204"/>
      <c r="ER1394" s="204"/>
      <c r="ES1394" s="204"/>
      <c r="ET1394" s="204"/>
      <c r="EU1394" s="204"/>
      <c r="EV1394" s="204"/>
      <c r="EW1394" s="204"/>
      <c r="EX1394" s="204"/>
      <c r="EY1394" s="204"/>
      <c r="EZ1394" s="204"/>
      <c r="FA1394" s="204"/>
      <c r="FB1394" s="204"/>
      <c r="FC1394" s="204"/>
      <c r="FD1394" s="204"/>
      <c r="FE1394" s="204"/>
      <c r="FF1394" s="204"/>
      <c r="FG1394" s="204"/>
      <c r="FH1394" s="204"/>
      <c r="FI1394" s="204"/>
      <c r="FJ1394" s="204"/>
      <c r="FK1394" s="204"/>
      <c r="FL1394" s="204"/>
      <c r="FM1394" s="204"/>
      <c r="FN1394" s="204"/>
      <c r="FO1394" s="204"/>
      <c r="FP1394" s="204"/>
      <c r="FQ1394" s="204"/>
      <c r="FR1394" s="204"/>
      <c r="FS1394" s="204"/>
      <c r="FT1394" s="204"/>
      <c r="FU1394" s="204"/>
      <c r="FV1394" s="204"/>
      <c r="FW1394" s="204"/>
      <c r="FX1394" s="204"/>
      <c r="FY1394" s="204"/>
      <c r="FZ1394" s="204"/>
      <c r="GA1394" s="204"/>
      <c r="GB1394" s="204"/>
      <c r="GC1394" s="204"/>
      <c r="GD1394" s="204"/>
      <c r="GE1394" s="204"/>
      <c r="GF1394" s="204"/>
      <c r="GG1394" s="204"/>
      <c r="GH1394" s="204"/>
      <c r="GI1394" s="204"/>
      <c r="GJ1394" s="204"/>
      <c r="GK1394" s="204"/>
      <c r="GL1394" s="204"/>
      <c r="GM1394" s="204"/>
      <c r="GN1394" s="204"/>
      <c r="GO1394" s="204"/>
      <c r="GP1394" s="204"/>
      <c r="GQ1394" s="204"/>
      <c r="GR1394" s="204"/>
      <c r="GS1394" s="204"/>
      <c r="GT1394" s="204"/>
      <c r="GU1394" s="204"/>
      <c r="GV1394" s="204"/>
      <c r="GW1394" s="204"/>
      <c r="GX1394" s="204"/>
      <c r="GY1394" s="204"/>
      <c r="GZ1394" s="204"/>
      <c r="HA1394" s="204"/>
      <c r="HB1394" s="204"/>
      <c r="HC1394" s="204"/>
      <c r="HD1394" s="204"/>
      <c r="HE1394" s="204"/>
      <c r="HF1394" s="204"/>
      <c r="HG1394" s="204"/>
      <c r="HH1394" s="204"/>
      <c r="HI1394" s="204"/>
      <c r="HJ1394" s="204"/>
      <c r="HK1394" s="204"/>
      <c r="HL1394" s="204"/>
      <c r="HM1394" s="204"/>
      <c r="HN1394" s="204"/>
      <c r="HO1394" s="204"/>
      <c r="HP1394" s="204"/>
      <c r="HQ1394" s="204"/>
      <c r="HR1394" s="204"/>
      <c r="HS1394" s="204"/>
      <c r="HT1394" s="204"/>
      <c r="HU1394" s="204"/>
      <c r="HV1394" s="204"/>
      <c r="HW1394" s="204"/>
      <c r="HX1394" s="204"/>
      <c r="HY1394" s="204"/>
      <c r="HZ1394" s="204"/>
      <c r="IA1394" s="204"/>
      <c r="IB1394" s="204"/>
      <c r="IC1394" s="204"/>
      <c r="ID1394" s="204"/>
      <c r="IE1394" s="204"/>
      <c r="IF1394" s="204"/>
      <c r="IG1394" s="204"/>
      <c r="IH1394" s="204"/>
      <c r="II1394" s="204"/>
      <c r="IJ1394" s="204"/>
      <c r="IK1394" s="204"/>
      <c r="IL1394" s="204"/>
      <c r="IM1394" s="204"/>
      <c r="IN1394" s="204"/>
      <c r="IO1394" s="204"/>
      <c r="IP1394" s="204"/>
      <c r="IQ1394" s="204"/>
      <c r="IR1394" s="204"/>
      <c r="IS1394" s="204"/>
      <c r="IT1394" s="204"/>
      <c r="IU1394" s="204"/>
      <c r="IV1394" s="204"/>
      <c r="IW1394" s="204"/>
      <c r="IX1394" s="204"/>
      <c r="IY1394" s="204"/>
      <c r="IZ1394" s="204"/>
      <c r="JA1394" s="204"/>
      <c r="JB1394" s="204"/>
      <c r="JC1394" s="204"/>
      <c r="JD1394" s="204"/>
      <c r="JE1394" s="204"/>
      <c r="JF1394" s="204"/>
      <c r="JG1394" s="204"/>
      <c r="JH1394" s="204"/>
      <c r="JI1394" s="204"/>
      <c r="JJ1394" s="204"/>
      <c r="JK1394" s="204"/>
      <c r="JL1394" s="204"/>
      <c r="JM1394" s="204"/>
      <c r="JN1394" s="204"/>
      <c r="JO1394" s="204"/>
      <c r="JP1394" s="204"/>
      <c r="JQ1394" s="204"/>
      <c r="JR1394" s="204"/>
      <c r="JS1394" s="204"/>
      <c r="JT1394" s="204"/>
      <c r="JU1394" s="204"/>
      <c r="JV1394" s="204"/>
      <c r="JW1394" s="204"/>
      <c r="JX1394" s="204"/>
      <c r="JY1394" s="204"/>
      <c r="JZ1394" s="204"/>
      <c r="KA1394" s="204"/>
      <c r="KB1394" s="204"/>
      <c r="KC1394" s="204"/>
      <c r="KD1394" s="204"/>
      <c r="KE1394" s="204"/>
      <c r="KF1394" s="204"/>
      <c r="KG1394" s="204"/>
      <c r="KH1394" s="204"/>
      <c r="KI1394" s="204"/>
      <c r="KJ1394" s="204"/>
      <c r="KK1394" s="204"/>
      <c r="KL1394" s="204"/>
      <c r="KM1394" s="204"/>
      <c r="KN1394" s="204"/>
      <c r="KO1394" s="204"/>
      <c r="KP1394" s="204"/>
      <c r="KQ1394" s="204"/>
      <c r="KR1394" s="204"/>
      <c r="KS1394" s="204"/>
      <c r="KT1394" s="204"/>
      <c r="KU1394" s="204"/>
      <c r="KV1394" s="204"/>
      <c r="KW1394" s="204"/>
      <c r="KX1394" s="204"/>
      <c r="KY1394" s="204"/>
      <c r="KZ1394" s="204"/>
      <c r="LA1394" s="204"/>
      <c r="LB1394" s="204"/>
      <c r="LC1394" s="204"/>
      <c r="LD1394" s="204"/>
      <c r="LE1394" s="204"/>
      <c r="LF1394" s="204"/>
      <c r="LG1394" s="204"/>
      <c r="LH1394" s="204"/>
      <c r="LI1394" s="204"/>
      <c r="LJ1394" s="204"/>
      <c r="LK1394" s="204"/>
      <c r="LL1394" s="204"/>
      <c r="LM1394" s="204"/>
      <c r="LN1394" s="204"/>
      <c r="LO1394" s="204"/>
      <c r="LP1394" s="204"/>
      <c r="LQ1394" s="204"/>
      <c r="LR1394" s="204"/>
      <c r="LS1394" s="204"/>
      <c r="LT1394" s="204"/>
      <c r="LU1394" s="204"/>
      <c r="LV1394" s="204"/>
      <c r="LW1394" s="204"/>
      <c r="LX1394" s="204"/>
      <c r="LY1394" s="204"/>
      <c r="LZ1394" s="204"/>
      <c r="MA1394" s="204"/>
      <c r="MB1394" s="204"/>
      <c r="MC1394" s="204"/>
      <c r="MD1394" s="204"/>
      <c r="ME1394" s="204"/>
      <c r="MF1394" s="204"/>
      <c r="MG1394" s="204"/>
      <c r="MH1394" s="204"/>
      <c r="MI1394" s="204"/>
      <c r="MJ1394" s="204"/>
      <c r="MK1394" s="204"/>
      <c r="ML1394" s="204"/>
      <c r="MM1394" s="204"/>
      <c r="MN1394" s="204"/>
      <c r="MO1394" s="204"/>
      <c r="MP1394" s="204"/>
      <c r="MQ1394" s="204"/>
      <c r="MR1394" s="204"/>
      <c r="MS1394" s="204"/>
      <c r="MT1394" s="204"/>
      <c r="MU1394" s="204"/>
      <c r="MV1394" s="204"/>
      <c r="MW1394" s="204"/>
      <c r="MX1394" s="204"/>
      <c r="MY1394" s="204"/>
      <c r="MZ1394" s="204"/>
      <c r="NA1394" s="204"/>
      <c r="NB1394" s="204"/>
      <c r="NC1394" s="204"/>
      <c r="ND1394" s="204"/>
      <c r="NE1394" s="204"/>
      <c r="NF1394" s="204"/>
      <c r="NG1394" s="204"/>
      <c r="NH1394" s="204"/>
      <c r="NI1394" s="204"/>
      <c r="NJ1394" s="204"/>
      <c r="NK1394" s="204"/>
      <c r="NL1394" s="204"/>
      <c r="NM1394" s="204"/>
      <c r="NN1394" s="204"/>
      <c r="NO1394" s="204"/>
      <c r="NP1394" s="204"/>
      <c r="NQ1394" s="204"/>
      <c r="NR1394" s="204"/>
      <c r="NS1394" s="204"/>
      <c r="NT1394" s="204"/>
      <c r="NU1394" s="204"/>
      <c r="NV1394" s="204"/>
      <c r="NW1394" s="204"/>
      <c r="NX1394" s="204"/>
      <c r="NY1394" s="204"/>
      <c r="NZ1394" s="204"/>
      <c r="OA1394" s="204"/>
      <c r="OB1394" s="204"/>
      <c r="OC1394" s="204"/>
      <c r="OD1394" s="204"/>
      <c r="OE1394" s="204"/>
      <c r="OF1394" s="204"/>
      <c r="OG1394" s="204"/>
      <c r="OH1394" s="204"/>
      <c r="OI1394" s="204"/>
      <c r="OJ1394" s="204"/>
      <c r="OK1394" s="204"/>
      <c r="OL1394" s="204"/>
      <c r="OM1394" s="204"/>
      <c r="ON1394" s="204"/>
      <c r="OO1394" s="204"/>
      <c r="OP1394" s="204"/>
      <c r="OQ1394" s="204"/>
      <c r="OR1394" s="204"/>
      <c r="OS1394" s="204"/>
      <c r="OT1394" s="204"/>
      <c r="OU1394" s="204"/>
      <c r="OV1394" s="204"/>
      <c r="OW1394" s="204"/>
      <c r="OX1394" s="204"/>
      <c r="OY1394" s="204"/>
      <c r="OZ1394" s="204"/>
      <c r="PA1394" s="204"/>
      <c r="PB1394" s="204"/>
      <c r="PC1394" s="204"/>
      <c r="PD1394" s="204"/>
      <c r="PE1394" s="204"/>
      <c r="PF1394" s="204"/>
      <c r="PG1394" s="204"/>
      <c r="PH1394" s="204"/>
      <c r="PI1394" s="204"/>
      <c r="PJ1394" s="204"/>
      <c r="PK1394" s="204"/>
      <c r="PL1394" s="204"/>
      <c r="PM1394" s="204"/>
      <c r="PN1394" s="204"/>
      <c r="PO1394" s="204"/>
      <c r="PP1394" s="204"/>
      <c r="PQ1394" s="204"/>
      <c r="PR1394" s="204"/>
      <c r="PS1394" s="204"/>
      <c r="PT1394" s="204"/>
      <c r="PU1394" s="204"/>
      <c r="PV1394" s="204"/>
      <c r="PW1394" s="204"/>
      <c r="PX1394" s="204"/>
      <c r="PY1394" s="204"/>
      <c r="PZ1394" s="204"/>
      <c r="QA1394" s="204"/>
      <c r="QB1394" s="204"/>
      <c r="QC1394" s="204"/>
      <c r="QD1394" s="204"/>
      <c r="QE1394" s="204"/>
      <c r="QF1394" s="204"/>
      <c r="QG1394" s="204"/>
      <c r="QH1394" s="204"/>
      <c r="QI1394" s="204"/>
      <c r="QJ1394" s="204"/>
      <c r="QK1394" s="204"/>
      <c r="QL1394" s="204"/>
      <c r="QM1394" s="204"/>
      <c r="QN1394" s="204"/>
      <c r="QO1394" s="204"/>
      <c r="QP1394" s="204"/>
      <c r="QQ1394" s="204"/>
      <c r="QR1394" s="204"/>
      <c r="QS1394" s="204"/>
      <c r="QT1394" s="204"/>
      <c r="QU1394" s="204"/>
      <c r="QV1394" s="204"/>
      <c r="QW1394" s="204"/>
      <c r="QX1394" s="204"/>
      <c r="QY1394" s="204"/>
      <c r="QZ1394" s="204"/>
      <c r="RA1394" s="204"/>
      <c r="RB1394" s="204"/>
      <c r="RC1394" s="204"/>
      <c r="RD1394" s="204"/>
      <c r="RE1394" s="204"/>
      <c r="RF1394" s="204"/>
      <c r="RG1394" s="204"/>
      <c r="RH1394" s="204"/>
      <c r="RI1394" s="204"/>
      <c r="RJ1394" s="204"/>
      <c r="RK1394" s="204"/>
      <c r="RL1394" s="204"/>
      <c r="RM1394" s="204"/>
      <c r="RN1394" s="204"/>
      <c r="RO1394" s="204"/>
      <c r="RP1394" s="204"/>
      <c r="RQ1394" s="204"/>
      <c r="RR1394" s="204"/>
      <c r="RS1394" s="204"/>
      <c r="RT1394" s="204"/>
      <c r="RU1394" s="204"/>
      <c r="RV1394" s="204"/>
      <c r="RW1394" s="204"/>
      <c r="RX1394" s="204"/>
      <c r="RY1394" s="204"/>
      <c r="RZ1394" s="204"/>
      <c r="SA1394" s="204"/>
      <c r="SB1394" s="204"/>
      <c r="SC1394" s="204"/>
      <c r="SD1394" s="204"/>
      <c r="SE1394" s="204"/>
      <c r="SF1394" s="204"/>
      <c r="SG1394" s="204"/>
      <c r="SH1394" s="204"/>
      <c r="SI1394" s="204"/>
      <c r="SJ1394" s="204"/>
      <c r="SK1394" s="204"/>
      <c r="SL1394" s="204"/>
      <c r="SM1394" s="204"/>
      <c r="SN1394" s="204"/>
      <c r="SO1394" s="204"/>
      <c r="SP1394" s="204"/>
      <c r="SQ1394" s="204"/>
      <c r="SR1394" s="204"/>
      <c r="SS1394" s="204"/>
      <c r="ST1394" s="204"/>
      <c r="SU1394" s="204"/>
      <c r="SV1394" s="204"/>
      <c r="SW1394" s="204"/>
      <c r="SX1394" s="204"/>
      <c r="SY1394" s="204"/>
      <c r="SZ1394" s="204"/>
      <c r="TA1394" s="204"/>
      <c r="TB1394" s="204"/>
      <c r="TC1394" s="204"/>
      <c r="TD1394" s="204"/>
      <c r="TE1394" s="204"/>
      <c r="TF1394" s="204"/>
      <c r="TG1394" s="204"/>
      <c r="TH1394" s="204"/>
      <c r="TI1394" s="204"/>
      <c r="TJ1394" s="204"/>
      <c r="TK1394" s="204"/>
      <c r="TL1394" s="204"/>
      <c r="TM1394" s="204"/>
      <c r="TN1394" s="204"/>
      <c r="TO1394" s="204"/>
      <c r="TP1394" s="204"/>
      <c r="TQ1394" s="204"/>
      <c r="TR1394" s="204"/>
      <c r="TS1394" s="204"/>
      <c r="TT1394" s="204"/>
      <c r="TU1394" s="204"/>
      <c r="TV1394" s="204"/>
      <c r="TW1394" s="204"/>
      <c r="TX1394" s="204"/>
      <c r="TY1394" s="204"/>
      <c r="TZ1394" s="204"/>
      <c r="UA1394" s="204"/>
      <c r="UB1394" s="204"/>
      <c r="UC1394" s="204"/>
      <c r="UD1394" s="204"/>
      <c r="UE1394" s="204"/>
      <c r="UF1394" s="204"/>
      <c r="UG1394" s="155"/>
    </row>
    <row r="1395" spans="1:553" s="109" customFormat="1" ht="198.75" customHeight="1">
      <c r="A1395" s="356"/>
      <c r="B1395" s="835"/>
      <c r="C1395" s="1227" t="s">
        <v>26</v>
      </c>
      <c r="D1395" s="821" t="s">
        <v>20</v>
      </c>
      <c r="E1395" s="376" t="s">
        <v>749</v>
      </c>
      <c r="F1395" s="385"/>
      <c r="G1395" s="386" t="s">
        <v>935</v>
      </c>
      <c r="H1395" s="387">
        <v>52.1</v>
      </c>
      <c r="I1395" s="441">
        <v>52.1</v>
      </c>
      <c r="J1395" s="1061">
        <v>40000</v>
      </c>
      <c r="K1395" s="388"/>
      <c r="L1395" s="480">
        <f t="shared" si="211"/>
        <v>2084000</v>
      </c>
      <c r="M1395" s="366"/>
      <c r="N1395" s="366"/>
      <c r="O1395" s="366"/>
      <c r="P1395" s="366"/>
      <c r="Q1395" s="1213" t="s">
        <v>750</v>
      </c>
      <c r="R1395" s="1463"/>
      <c r="S1395" s="308"/>
      <c r="T1395" s="308"/>
      <c r="U1395" s="308"/>
      <c r="V1395" s="308"/>
      <c r="W1395" s="308"/>
      <c r="X1395" s="308"/>
      <c r="Y1395" s="307">
        <f>I1395</f>
        <v>52.1</v>
      </c>
      <c r="Z1395" s="604"/>
      <c r="AA1395" s="308"/>
      <c r="AB1395" s="308"/>
      <c r="AC1395" s="486"/>
      <c r="AD1395" s="486"/>
      <c r="AE1395" s="486"/>
      <c r="AF1395" s="486"/>
      <c r="AG1395" s="486"/>
      <c r="AH1395" s="486"/>
      <c r="AI1395" s="486"/>
      <c r="AJ1395" s="486"/>
      <c r="AK1395" s="486"/>
      <c r="AL1395" s="329"/>
      <c r="AM1395" s="204"/>
      <c r="AN1395" s="204"/>
      <c r="AO1395" s="204"/>
      <c r="AP1395" s="204"/>
      <c r="AQ1395" s="204"/>
      <c r="AR1395" s="204"/>
      <c r="AS1395" s="204"/>
      <c r="AT1395" s="204"/>
      <c r="AU1395" s="204"/>
      <c r="AV1395" s="204"/>
      <c r="AW1395" s="204"/>
      <c r="AX1395" s="204"/>
      <c r="AY1395" s="204"/>
      <c r="AZ1395" s="204"/>
      <c r="BA1395" s="204"/>
      <c r="BB1395" s="204"/>
      <c r="BC1395" s="204"/>
      <c r="BD1395" s="204"/>
      <c r="BE1395" s="204"/>
      <c r="BF1395" s="204"/>
      <c r="BG1395" s="204"/>
      <c r="BH1395" s="204"/>
      <c r="BI1395" s="204"/>
      <c r="BJ1395" s="204"/>
      <c r="BK1395" s="204"/>
      <c r="BL1395" s="204"/>
      <c r="BM1395" s="204"/>
      <c r="BN1395" s="204"/>
      <c r="BO1395" s="204"/>
      <c r="BP1395" s="204"/>
      <c r="BQ1395" s="204"/>
      <c r="BR1395" s="204"/>
      <c r="BS1395" s="204"/>
      <c r="BT1395" s="204"/>
      <c r="BU1395" s="204"/>
      <c r="BV1395" s="204"/>
      <c r="BW1395" s="204"/>
      <c r="BX1395" s="204"/>
      <c r="BY1395" s="204"/>
      <c r="BZ1395" s="204"/>
      <c r="CA1395" s="204"/>
      <c r="CB1395" s="204"/>
      <c r="CC1395" s="204"/>
      <c r="CD1395" s="204"/>
      <c r="CE1395" s="204"/>
      <c r="CF1395" s="204"/>
      <c r="CG1395" s="204"/>
      <c r="CH1395" s="204"/>
      <c r="CI1395" s="204"/>
      <c r="CJ1395" s="204"/>
      <c r="CK1395" s="204"/>
      <c r="CL1395" s="204"/>
      <c r="CM1395" s="204"/>
      <c r="CN1395" s="204"/>
      <c r="CO1395" s="204"/>
      <c r="CP1395" s="204"/>
      <c r="CQ1395" s="204"/>
      <c r="CR1395" s="204"/>
      <c r="CS1395" s="204"/>
      <c r="CT1395" s="204"/>
      <c r="CU1395" s="204"/>
      <c r="CV1395" s="204"/>
      <c r="CW1395" s="204"/>
      <c r="CX1395" s="204"/>
      <c r="CY1395" s="204"/>
      <c r="CZ1395" s="204"/>
      <c r="DA1395" s="204"/>
      <c r="DB1395" s="204"/>
      <c r="DC1395" s="204"/>
      <c r="DD1395" s="204"/>
      <c r="DE1395" s="204"/>
      <c r="DF1395" s="204"/>
      <c r="DG1395" s="204"/>
      <c r="DH1395" s="204"/>
      <c r="DI1395" s="204"/>
      <c r="DJ1395" s="204"/>
      <c r="DK1395" s="204"/>
      <c r="DL1395" s="204"/>
      <c r="DM1395" s="204"/>
      <c r="DN1395" s="204"/>
      <c r="DO1395" s="204"/>
      <c r="DP1395" s="204"/>
      <c r="DQ1395" s="204"/>
      <c r="DR1395" s="204"/>
      <c r="DS1395" s="204"/>
      <c r="DT1395" s="204"/>
      <c r="DU1395" s="204"/>
      <c r="DV1395" s="204"/>
      <c r="DW1395" s="204"/>
      <c r="DX1395" s="204"/>
      <c r="DY1395" s="204"/>
      <c r="DZ1395" s="204"/>
      <c r="EA1395" s="204"/>
      <c r="EB1395" s="204"/>
      <c r="EC1395" s="204"/>
      <c r="ED1395" s="204"/>
      <c r="EE1395" s="204"/>
      <c r="EF1395" s="204"/>
      <c r="EG1395" s="204"/>
      <c r="EH1395" s="204"/>
      <c r="EI1395" s="204"/>
      <c r="EJ1395" s="204"/>
      <c r="EK1395" s="204"/>
      <c r="EL1395" s="204"/>
      <c r="EM1395" s="204"/>
      <c r="EN1395" s="204"/>
      <c r="EO1395" s="204"/>
      <c r="EP1395" s="204"/>
      <c r="EQ1395" s="204"/>
      <c r="ER1395" s="204"/>
      <c r="ES1395" s="204"/>
      <c r="ET1395" s="204"/>
      <c r="EU1395" s="204"/>
      <c r="EV1395" s="204"/>
      <c r="EW1395" s="204"/>
      <c r="EX1395" s="204"/>
      <c r="EY1395" s="204"/>
      <c r="EZ1395" s="204"/>
      <c r="FA1395" s="204"/>
      <c r="FB1395" s="204"/>
      <c r="FC1395" s="204"/>
      <c r="FD1395" s="204"/>
      <c r="FE1395" s="204"/>
      <c r="FF1395" s="204"/>
      <c r="FG1395" s="204"/>
      <c r="FH1395" s="204"/>
      <c r="FI1395" s="204"/>
      <c r="FJ1395" s="204"/>
      <c r="FK1395" s="204"/>
      <c r="FL1395" s="204"/>
      <c r="FM1395" s="204"/>
      <c r="FN1395" s="204"/>
      <c r="FO1395" s="204"/>
      <c r="FP1395" s="204"/>
      <c r="FQ1395" s="204"/>
      <c r="FR1395" s="204"/>
      <c r="FS1395" s="204"/>
      <c r="FT1395" s="204"/>
      <c r="FU1395" s="204"/>
      <c r="FV1395" s="204"/>
      <c r="FW1395" s="204"/>
      <c r="FX1395" s="204"/>
      <c r="FY1395" s="204"/>
      <c r="FZ1395" s="204"/>
      <c r="GA1395" s="204"/>
      <c r="GB1395" s="204"/>
      <c r="GC1395" s="204"/>
      <c r="GD1395" s="204"/>
      <c r="GE1395" s="204"/>
      <c r="GF1395" s="204"/>
      <c r="GG1395" s="204"/>
      <c r="GH1395" s="204"/>
      <c r="GI1395" s="204"/>
      <c r="GJ1395" s="204"/>
      <c r="GK1395" s="204"/>
      <c r="GL1395" s="204"/>
      <c r="GM1395" s="204"/>
      <c r="GN1395" s="204"/>
      <c r="GO1395" s="204"/>
      <c r="GP1395" s="204"/>
      <c r="GQ1395" s="204"/>
      <c r="GR1395" s="204"/>
      <c r="GS1395" s="204"/>
      <c r="GT1395" s="204"/>
      <c r="GU1395" s="204"/>
      <c r="GV1395" s="204"/>
      <c r="GW1395" s="204"/>
      <c r="GX1395" s="204"/>
      <c r="GY1395" s="204"/>
      <c r="GZ1395" s="204"/>
      <c r="HA1395" s="204"/>
      <c r="HB1395" s="204"/>
      <c r="HC1395" s="204"/>
      <c r="HD1395" s="204"/>
      <c r="HE1395" s="204"/>
      <c r="HF1395" s="204"/>
      <c r="HG1395" s="204"/>
      <c r="HH1395" s="204"/>
      <c r="HI1395" s="204"/>
      <c r="HJ1395" s="204"/>
      <c r="HK1395" s="204"/>
      <c r="HL1395" s="204"/>
      <c r="HM1395" s="204"/>
      <c r="HN1395" s="204"/>
      <c r="HO1395" s="204"/>
      <c r="HP1395" s="204"/>
      <c r="HQ1395" s="204"/>
      <c r="HR1395" s="204"/>
      <c r="HS1395" s="204"/>
      <c r="HT1395" s="204"/>
      <c r="HU1395" s="204"/>
      <c r="HV1395" s="204"/>
      <c r="HW1395" s="204"/>
      <c r="HX1395" s="204"/>
      <c r="HY1395" s="204"/>
      <c r="HZ1395" s="204"/>
      <c r="IA1395" s="204"/>
      <c r="IB1395" s="204"/>
      <c r="IC1395" s="204"/>
      <c r="ID1395" s="204"/>
      <c r="IE1395" s="204"/>
      <c r="IF1395" s="204"/>
      <c r="IG1395" s="204"/>
      <c r="IH1395" s="204"/>
      <c r="II1395" s="204"/>
      <c r="IJ1395" s="204"/>
      <c r="IK1395" s="204"/>
      <c r="IL1395" s="204"/>
      <c r="IM1395" s="204"/>
      <c r="IN1395" s="204"/>
      <c r="IO1395" s="204"/>
      <c r="IP1395" s="204"/>
      <c r="IQ1395" s="204"/>
      <c r="IR1395" s="204"/>
      <c r="IS1395" s="204"/>
      <c r="IT1395" s="204"/>
      <c r="IU1395" s="204"/>
      <c r="IV1395" s="204"/>
      <c r="IW1395" s="204"/>
      <c r="IX1395" s="204"/>
      <c r="IY1395" s="204"/>
      <c r="IZ1395" s="204"/>
      <c r="JA1395" s="204"/>
      <c r="JB1395" s="204"/>
      <c r="JC1395" s="204"/>
      <c r="JD1395" s="204"/>
      <c r="JE1395" s="204"/>
      <c r="JF1395" s="204"/>
      <c r="JG1395" s="204"/>
      <c r="JH1395" s="204"/>
      <c r="JI1395" s="204"/>
      <c r="JJ1395" s="204"/>
      <c r="JK1395" s="204"/>
      <c r="JL1395" s="204"/>
      <c r="JM1395" s="204"/>
      <c r="JN1395" s="204"/>
      <c r="JO1395" s="204"/>
      <c r="JP1395" s="204"/>
      <c r="JQ1395" s="204"/>
      <c r="JR1395" s="204"/>
      <c r="JS1395" s="204"/>
      <c r="JT1395" s="204"/>
      <c r="JU1395" s="204"/>
      <c r="JV1395" s="204"/>
      <c r="JW1395" s="204"/>
      <c r="JX1395" s="204"/>
      <c r="JY1395" s="204"/>
      <c r="JZ1395" s="204"/>
      <c r="KA1395" s="204"/>
      <c r="KB1395" s="204"/>
      <c r="KC1395" s="204"/>
      <c r="KD1395" s="204"/>
      <c r="KE1395" s="204"/>
      <c r="KF1395" s="204"/>
      <c r="KG1395" s="204"/>
      <c r="KH1395" s="204"/>
      <c r="KI1395" s="204"/>
      <c r="KJ1395" s="204"/>
      <c r="KK1395" s="204"/>
      <c r="KL1395" s="204"/>
      <c r="KM1395" s="204"/>
      <c r="KN1395" s="204"/>
      <c r="KO1395" s="204"/>
      <c r="KP1395" s="204"/>
      <c r="KQ1395" s="204"/>
      <c r="KR1395" s="204"/>
      <c r="KS1395" s="204"/>
      <c r="KT1395" s="204"/>
      <c r="KU1395" s="204"/>
      <c r="KV1395" s="204"/>
      <c r="KW1395" s="204"/>
      <c r="KX1395" s="204"/>
      <c r="KY1395" s="204"/>
      <c r="KZ1395" s="204"/>
      <c r="LA1395" s="204"/>
      <c r="LB1395" s="204"/>
      <c r="LC1395" s="204"/>
      <c r="LD1395" s="204"/>
      <c r="LE1395" s="204"/>
      <c r="LF1395" s="204"/>
      <c r="LG1395" s="204"/>
      <c r="LH1395" s="204"/>
      <c r="LI1395" s="204"/>
      <c r="LJ1395" s="204"/>
      <c r="LK1395" s="204"/>
      <c r="LL1395" s="204"/>
      <c r="LM1395" s="204"/>
      <c r="LN1395" s="204"/>
      <c r="LO1395" s="204"/>
      <c r="LP1395" s="204"/>
      <c r="LQ1395" s="204"/>
      <c r="LR1395" s="204"/>
      <c r="LS1395" s="204"/>
      <c r="LT1395" s="204"/>
      <c r="LU1395" s="204"/>
      <c r="LV1395" s="204"/>
      <c r="LW1395" s="204"/>
      <c r="LX1395" s="204"/>
      <c r="LY1395" s="204"/>
      <c r="LZ1395" s="204"/>
      <c r="MA1395" s="204"/>
      <c r="MB1395" s="204"/>
      <c r="MC1395" s="204"/>
      <c r="MD1395" s="204"/>
      <c r="ME1395" s="204"/>
      <c r="MF1395" s="204"/>
      <c r="MG1395" s="204"/>
      <c r="MH1395" s="204"/>
      <c r="MI1395" s="204"/>
      <c r="MJ1395" s="204"/>
      <c r="MK1395" s="204"/>
      <c r="ML1395" s="204"/>
      <c r="MM1395" s="204"/>
      <c r="MN1395" s="204"/>
      <c r="MO1395" s="204"/>
      <c r="MP1395" s="204"/>
      <c r="MQ1395" s="204"/>
      <c r="MR1395" s="204"/>
      <c r="MS1395" s="204"/>
      <c r="MT1395" s="204"/>
      <c r="MU1395" s="204"/>
      <c r="MV1395" s="204"/>
      <c r="MW1395" s="204"/>
      <c r="MX1395" s="204"/>
      <c r="MY1395" s="204"/>
      <c r="MZ1395" s="204"/>
      <c r="NA1395" s="204"/>
      <c r="NB1395" s="204"/>
      <c r="NC1395" s="204"/>
      <c r="ND1395" s="204"/>
      <c r="NE1395" s="204"/>
      <c r="NF1395" s="204"/>
      <c r="NG1395" s="204"/>
      <c r="NH1395" s="204"/>
      <c r="NI1395" s="204"/>
      <c r="NJ1395" s="204"/>
      <c r="NK1395" s="204"/>
      <c r="NL1395" s="204"/>
      <c r="NM1395" s="204"/>
      <c r="NN1395" s="204"/>
      <c r="NO1395" s="204"/>
      <c r="NP1395" s="204"/>
      <c r="NQ1395" s="204"/>
      <c r="NR1395" s="204"/>
      <c r="NS1395" s="204"/>
      <c r="NT1395" s="204"/>
      <c r="NU1395" s="204"/>
      <c r="NV1395" s="204"/>
      <c r="NW1395" s="204"/>
      <c r="NX1395" s="204"/>
      <c r="NY1395" s="204"/>
      <c r="NZ1395" s="204"/>
      <c r="OA1395" s="204"/>
      <c r="OB1395" s="204"/>
      <c r="OC1395" s="204"/>
      <c r="OD1395" s="204"/>
      <c r="OE1395" s="204"/>
      <c r="OF1395" s="204"/>
      <c r="OG1395" s="204"/>
      <c r="OH1395" s="204"/>
      <c r="OI1395" s="204"/>
      <c r="OJ1395" s="204"/>
      <c r="OK1395" s="204"/>
      <c r="OL1395" s="204"/>
      <c r="OM1395" s="204"/>
      <c r="ON1395" s="204"/>
      <c r="OO1395" s="204"/>
      <c r="OP1395" s="204"/>
      <c r="OQ1395" s="204"/>
      <c r="OR1395" s="204"/>
      <c r="OS1395" s="204"/>
      <c r="OT1395" s="204"/>
      <c r="OU1395" s="204"/>
      <c r="OV1395" s="204"/>
      <c r="OW1395" s="204"/>
      <c r="OX1395" s="204"/>
      <c r="OY1395" s="204"/>
      <c r="OZ1395" s="204"/>
      <c r="PA1395" s="204"/>
      <c r="PB1395" s="204"/>
      <c r="PC1395" s="204"/>
      <c r="PD1395" s="204"/>
      <c r="PE1395" s="204"/>
      <c r="PF1395" s="204"/>
      <c r="PG1395" s="204"/>
      <c r="PH1395" s="204"/>
      <c r="PI1395" s="204"/>
      <c r="PJ1395" s="204"/>
      <c r="PK1395" s="204"/>
      <c r="PL1395" s="204"/>
      <c r="PM1395" s="204"/>
      <c r="PN1395" s="204"/>
      <c r="PO1395" s="204"/>
      <c r="PP1395" s="204"/>
      <c r="PQ1395" s="204"/>
      <c r="PR1395" s="204"/>
      <c r="PS1395" s="204"/>
      <c r="PT1395" s="204"/>
      <c r="PU1395" s="204"/>
      <c r="PV1395" s="204"/>
      <c r="PW1395" s="204"/>
      <c r="PX1395" s="204"/>
      <c r="PY1395" s="204"/>
      <c r="PZ1395" s="204"/>
      <c r="QA1395" s="204"/>
      <c r="QB1395" s="204"/>
      <c r="QC1395" s="204"/>
      <c r="QD1395" s="204"/>
      <c r="QE1395" s="204"/>
      <c r="QF1395" s="204"/>
      <c r="QG1395" s="204"/>
      <c r="QH1395" s="204"/>
      <c r="QI1395" s="204"/>
      <c r="QJ1395" s="204"/>
      <c r="QK1395" s="204"/>
      <c r="QL1395" s="204"/>
      <c r="QM1395" s="204"/>
      <c r="QN1395" s="204"/>
      <c r="QO1395" s="204"/>
      <c r="QP1395" s="204"/>
      <c r="QQ1395" s="204"/>
      <c r="QR1395" s="204"/>
      <c r="QS1395" s="204"/>
      <c r="QT1395" s="204"/>
      <c r="QU1395" s="204"/>
      <c r="QV1395" s="204"/>
      <c r="QW1395" s="204"/>
      <c r="QX1395" s="204"/>
      <c r="QY1395" s="204"/>
      <c r="QZ1395" s="204"/>
      <c r="RA1395" s="204"/>
      <c r="RB1395" s="204"/>
      <c r="RC1395" s="204"/>
      <c r="RD1395" s="204"/>
      <c r="RE1395" s="204"/>
      <c r="RF1395" s="204"/>
      <c r="RG1395" s="204"/>
      <c r="RH1395" s="204"/>
      <c r="RI1395" s="204"/>
      <c r="RJ1395" s="204"/>
      <c r="RK1395" s="204"/>
      <c r="RL1395" s="204"/>
      <c r="RM1395" s="204"/>
      <c r="RN1395" s="204"/>
      <c r="RO1395" s="204"/>
      <c r="RP1395" s="204"/>
      <c r="RQ1395" s="204"/>
      <c r="RR1395" s="204"/>
      <c r="RS1395" s="204"/>
      <c r="RT1395" s="204"/>
      <c r="RU1395" s="204"/>
      <c r="RV1395" s="204"/>
      <c r="RW1395" s="204"/>
      <c r="RX1395" s="204"/>
      <c r="RY1395" s="204"/>
      <c r="RZ1395" s="204"/>
      <c r="SA1395" s="204"/>
      <c r="SB1395" s="204"/>
      <c r="SC1395" s="204"/>
      <c r="SD1395" s="204"/>
      <c r="SE1395" s="204"/>
      <c r="SF1395" s="204"/>
      <c r="SG1395" s="204"/>
      <c r="SH1395" s="204"/>
      <c r="SI1395" s="204"/>
      <c r="SJ1395" s="204"/>
      <c r="SK1395" s="204"/>
      <c r="SL1395" s="204"/>
      <c r="SM1395" s="204"/>
      <c r="SN1395" s="204"/>
      <c r="SO1395" s="204"/>
      <c r="SP1395" s="204"/>
      <c r="SQ1395" s="204"/>
      <c r="SR1395" s="204"/>
      <c r="SS1395" s="204"/>
      <c r="ST1395" s="204"/>
      <c r="SU1395" s="204"/>
      <c r="SV1395" s="204"/>
      <c r="SW1395" s="204"/>
      <c r="SX1395" s="204"/>
      <c r="SY1395" s="204"/>
      <c r="SZ1395" s="204"/>
      <c r="TA1395" s="204"/>
      <c r="TB1395" s="204"/>
      <c r="TC1395" s="204"/>
      <c r="TD1395" s="204"/>
      <c r="TE1395" s="204"/>
      <c r="TF1395" s="204"/>
      <c r="TG1395" s="204"/>
      <c r="TH1395" s="204"/>
      <c r="TI1395" s="204"/>
      <c r="TJ1395" s="204"/>
      <c r="TK1395" s="204"/>
      <c r="TL1395" s="204"/>
      <c r="TM1395" s="204"/>
      <c r="TN1395" s="204"/>
      <c r="TO1395" s="204"/>
      <c r="TP1395" s="204"/>
      <c r="TQ1395" s="204"/>
      <c r="TR1395" s="204"/>
      <c r="TS1395" s="204"/>
      <c r="TT1395" s="204"/>
      <c r="TU1395" s="204"/>
      <c r="TV1395" s="204"/>
      <c r="TW1395" s="204"/>
      <c r="TX1395" s="204"/>
      <c r="TY1395" s="204"/>
      <c r="TZ1395" s="204"/>
      <c r="UA1395" s="204"/>
      <c r="UB1395" s="204"/>
      <c r="UC1395" s="204"/>
      <c r="UD1395" s="204"/>
      <c r="UE1395" s="204"/>
      <c r="UF1395" s="204"/>
      <c r="UG1395" s="155"/>
    </row>
    <row r="1396" spans="1:553" ht="75.75" customHeight="1">
      <c r="A1396" s="356" t="s">
        <v>27</v>
      </c>
      <c r="B1396" s="356"/>
      <c r="C1396" s="1514" t="s">
        <v>28</v>
      </c>
      <c r="D1396" s="1389"/>
      <c r="E1396" s="1389"/>
      <c r="F1396" s="1390"/>
      <c r="G1396" s="366"/>
      <c r="H1396" s="370"/>
      <c r="I1396" s="359"/>
      <c r="J1396" s="368"/>
      <c r="K1396" s="371"/>
      <c r="L1396" s="645">
        <f>SUM(L1398:L1405)</f>
        <v>32899640</v>
      </c>
      <c r="M1396" s="356"/>
      <c r="N1396" s="356"/>
      <c r="O1396" s="356"/>
      <c r="P1396" s="356">
        <f>L1396</f>
        <v>32899640</v>
      </c>
      <c r="Q1396" s="610"/>
      <c r="R1396" s="1226" t="s">
        <v>1401</v>
      </c>
      <c r="S1396" s="308"/>
      <c r="T1396" s="308"/>
      <c r="U1396" s="308"/>
      <c r="V1396" s="308"/>
      <c r="W1396" s="308"/>
      <c r="X1396" s="308"/>
      <c r="Y1396" s="308"/>
      <c r="Z1396" s="604"/>
      <c r="AA1396" s="308"/>
      <c r="AB1396" s="308"/>
      <c r="AC1396" s="486"/>
      <c r="AD1396" s="486"/>
      <c r="AE1396" s="486"/>
      <c r="AF1396" s="486"/>
      <c r="AG1396" s="486"/>
      <c r="AH1396" s="486"/>
      <c r="AI1396" s="486"/>
      <c r="AJ1396" s="486"/>
      <c r="AK1396" s="486"/>
      <c r="AL1396" s="206"/>
      <c r="AM1396" s="28"/>
      <c r="AN1396" s="28"/>
      <c r="AO1396" s="28"/>
      <c r="AP1396" s="28"/>
      <c r="AQ1396" s="28"/>
      <c r="AR1396" s="28"/>
      <c r="AS1396" s="28"/>
      <c r="AT1396" s="28"/>
      <c r="AU1396" s="28"/>
      <c r="AV1396" s="28"/>
      <c r="AW1396" s="28"/>
      <c r="AX1396" s="28"/>
      <c r="AY1396" s="28"/>
      <c r="AZ1396" s="28"/>
      <c r="BA1396" s="28"/>
      <c r="BB1396" s="28"/>
      <c r="BC1396" s="28"/>
      <c r="BD1396" s="28"/>
      <c r="BE1396" s="28"/>
      <c r="BF1396" s="28"/>
      <c r="BG1396" s="28"/>
      <c r="BH1396" s="28"/>
      <c r="BI1396" s="28"/>
      <c r="BJ1396" s="28"/>
      <c r="BK1396" s="28"/>
      <c r="BL1396" s="28"/>
      <c r="BM1396" s="28"/>
      <c r="BN1396" s="28"/>
      <c r="BO1396" s="28"/>
      <c r="BP1396" s="28"/>
      <c r="BQ1396" s="28"/>
      <c r="BR1396" s="28"/>
      <c r="BS1396" s="28"/>
      <c r="BT1396" s="28"/>
      <c r="BU1396" s="28"/>
      <c r="BV1396" s="28"/>
      <c r="BW1396" s="28"/>
      <c r="BX1396" s="28"/>
      <c r="BY1396" s="28"/>
      <c r="BZ1396" s="28"/>
      <c r="CA1396" s="28"/>
      <c r="CB1396" s="28"/>
      <c r="CC1396" s="28"/>
      <c r="CD1396" s="28"/>
      <c r="CE1396" s="28"/>
      <c r="CF1396" s="28"/>
      <c r="CG1396" s="28"/>
      <c r="CH1396" s="28"/>
      <c r="CI1396" s="28"/>
      <c r="CJ1396" s="28"/>
      <c r="CK1396" s="28"/>
      <c r="CL1396" s="28"/>
      <c r="CM1396" s="28"/>
      <c r="CN1396" s="28"/>
      <c r="CO1396" s="28"/>
      <c r="CP1396" s="28"/>
      <c r="CQ1396" s="28"/>
      <c r="CR1396" s="28"/>
      <c r="CS1396" s="28"/>
      <c r="CT1396" s="28"/>
      <c r="CU1396" s="28"/>
      <c r="CV1396" s="28"/>
      <c r="CW1396" s="28"/>
      <c r="CX1396" s="28"/>
      <c r="CY1396" s="28"/>
      <c r="CZ1396" s="28"/>
      <c r="DA1396" s="28"/>
      <c r="DB1396" s="28"/>
      <c r="DC1396" s="28"/>
      <c r="DD1396" s="28"/>
      <c r="DE1396" s="28"/>
      <c r="DF1396" s="28"/>
      <c r="DG1396" s="28"/>
      <c r="DH1396" s="28"/>
      <c r="DI1396" s="28"/>
      <c r="DJ1396" s="28"/>
      <c r="DK1396" s="28"/>
      <c r="DL1396" s="28"/>
      <c r="DM1396" s="28"/>
      <c r="DN1396" s="28"/>
      <c r="DO1396" s="28"/>
      <c r="DP1396" s="28"/>
      <c r="DQ1396" s="28"/>
      <c r="DR1396" s="28"/>
      <c r="DS1396" s="28"/>
      <c r="DT1396" s="28"/>
      <c r="DU1396" s="28"/>
      <c r="DV1396" s="28"/>
      <c r="DW1396" s="28"/>
      <c r="DX1396" s="28"/>
      <c r="DY1396" s="28"/>
      <c r="DZ1396" s="28"/>
      <c r="EA1396" s="28"/>
      <c r="EB1396" s="28"/>
      <c r="EC1396" s="28"/>
      <c r="ED1396" s="28"/>
      <c r="EE1396" s="28"/>
      <c r="EF1396" s="28"/>
      <c r="EG1396" s="28"/>
      <c r="EH1396" s="28"/>
      <c r="EI1396" s="28"/>
      <c r="EJ1396" s="28"/>
      <c r="EK1396" s="28"/>
      <c r="EL1396" s="28"/>
      <c r="EM1396" s="28"/>
      <c r="EN1396" s="28"/>
      <c r="EO1396" s="28"/>
      <c r="EP1396" s="28"/>
      <c r="EQ1396" s="28"/>
      <c r="ER1396" s="28"/>
      <c r="ES1396" s="28"/>
      <c r="ET1396" s="28"/>
      <c r="EU1396" s="28"/>
      <c r="EV1396" s="28"/>
      <c r="EW1396" s="28"/>
      <c r="EX1396" s="28"/>
      <c r="EY1396" s="28"/>
      <c r="EZ1396" s="28"/>
      <c r="FA1396" s="28"/>
      <c r="FB1396" s="28"/>
      <c r="FC1396" s="28"/>
      <c r="FD1396" s="28"/>
      <c r="FE1396" s="28"/>
      <c r="FF1396" s="28"/>
      <c r="FG1396" s="28"/>
      <c r="FH1396" s="28"/>
      <c r="FI1396" s="28"/>
      <c r="FJ1396" s="28"/>
      <c r="FK1396" s="28"/>
      <c r="FL1396" s="28"/>
      <c r="FM1396" s="28"/>
      <c r="FN1396" s="28"/>
      <c r="FO1396" s="28"/>
      <c r="FP1396" s="28"/>
      <c r="FQ1396" s="28"/>
      <c r="FR1396" s="28"/>
      <c r="FS1396" s="28"/>
      <c r="FT1396" s="28"/>
      <c r="FU1396" s="28"/>
      <c r="FV1396" s="28"/>
      <c r="FW1396" s="28"/>
      <c r="FX1396" s="28"/>
      <c r="FY1396" s="28"/>
      <c r="FZ1396" s="28"/>
      <c r="GA1396" s="28"/>
      <c r="GB1396" s="28"/>
      <c r="GC1396" s="28"/>
      <c r="GD1396" s="28"/>
      <c r="GE1396" s="28"/>
      <c r="GF1396" s="28"/>
      <c r="GG1396" s="28"/>
      <c r="GH1396" s="28"/>
      <c r="GI1396" s="28"/>
      <c r="GJ1396" s="28"/>
      <c r="GK1396" s="28"/>
      <c r="GL1396" s="28"/>
      <c r="GM1396" s="28"/>
      <c r="GN1396" s="28"/>
      <c r="GO1396" s="28"/>
      <c r="GP1396" s="28"/>
      <c r="GQ1396" s="28"/>
      <c r="GR1396" s="28"/>
      <c r="GS1396" s="28"/>
      <c r="GT1396" s="28"/>
      <c r="GU1396" s="28"/>
      <c r="GV1396" s="28"/>
      <c r="GW1396" s="28"/>
      <c r="GX1396" s="28"/>
      <c r="GY1396" s="28"/>
      <c r="GZ1396" s="28"/>
      <c r="HA1396" s="28"/>
      <c r="HB1396" s="28"/>
      <c r="HC1396" s="28"/>
      <c r="HD1396" s="28"/>
      <c r="HE1396" s="28"/>
      <c r="HF1396" s="28"/>
      <c r="HG1396" s="28"/>
      <c r="HH1396" s="28"/>
      <c r="HI1396" s="28"/>
      <c r="HJ1396" s="28"/>
      <c r="HK1396" s="28"/>
      <c r="HL1396" s="28"/>
      <c r="HM1396" s="28"/>
      <c r="HN1396" s="28"/>
      <c r="HO1396" s="28"/>
      <c r="HP1396" s="28"/>
      <c r="HQ1396" s="28"/>
      <c r="HR1396" s="28"/>
      <c r="HS1396" s="28"/>
      <c r="HT1396" s="28"/>
      <c r="HU1396" s="28"/>
      <c r="HV1396" s="28"/>
      <c r="HW1396" s="28"/>
      <c r="HX1396" s="28"/>
      <c r="HY1396" s="28"/>
      <c r="HZ1396" s="28"/>
      <c r="IA1396" s="28"/>
      <c r="IB1396" s="28"/>
      <c r="IC1396" s="28"/>
      <c r="ID1396" s="28"/>
      <c r="IE1396" s="28"/>
      <c r="IF1396" s="28"/>
      <c r="IG1396" s="28"/>
      <c r="IH1396" s="28"/>
      <c r="II1396" s="28"/>
      <c r="IJ1396" s="28"/>
      <c r="IK1396" s="28"/>
      <c r="IL1396" s="28"/>
      <c r="IM1396" s="28"/>
      <c r="IN1396" s="28"/>
      <c r="IO1396" s="28"/>
      <c r="IP1396" s="28"/>
      <c r="IQ1396" s="28"/>
      <c r="IR1396" s="28"/>
      <c r="IS1396" s="28"/>
      <c r="IT1396" s="28"/>
      <c r="IU1396" s="28"/>
      <c r="IV1396" s="28"/>
      <c r="IW1396" s="28"/>
      <c r="IX1396" s="28"/>
      <c r="IY1396" s="28"/>
      <c r="IZ1396" s="28"/>
      <c r="JA1396" s="28"/>
      <c r="JB1396" s="28"/>
      <c r="JC1396" s="28"/>
      <c r="JD1396" s="28"/>
      <c r="JE1396" s="28"/>
      <c r="JF1396" s="28"/>
      <c r="JG1396" s="28"/>
      <c r="JH1396" s="28"/>
      <c r="JI1396" s="28"/>
      <c r="JJ1396" s="28"/>
      <c r="JK1396" s="28"/>
      <c r="JL1396" s="28"/>
      <c r="JM1396" s="28"/>
      <c r="JN1396" s="28"/>
      <c r="JO1396" s="28"/>
      <c r="JP1396" s="28"/>
      <c r="JQ1396" s="28"/>
      <c r="JR1396" s="28"/>
      <c r="JS1396" s="28"/>
      <c r="JT1396" s="28"/>
      <c r="JU1396" s="28"/>
      <c r="JV1396" s="28"/>
      <c r="JW1396" s="28"/>
      <c r="JX1396" s="28"/>
      <c r="JY1396" s="28"/>
      <c r="JZ1396" s="28"/>
      <c r="KA1396" s="28"/>
      <c r="KB1396" s="28"/>
      <c r="KC1396" s="28"/>
      <c r="KD1396" s="28"/>
      <c r="KE1396" s="28"/>
      <c r="KF1396" s="28"/>
      <c r="KG1396" s="28"/>
      <c r="KH1396" s="28"/>
      <c r="KI1396" s="28"/>
      <c r="KJ1396" s="28"/>
      <c r="KK1396" s="28"/>
      <c r="KL1396" s="28"/>
      <c r="KM1396" s="28"/>
      <c r="KN1396" s="28"/>
      <c r="KO1396" s="28"/>
      <c r="KP1396" s="28"/>
      <c r="KQ1396" s="28"/>
      <c r="KR1396" s="28"/>
      <c r="KS1396" s="28"/>
      <c r="KT1396" s="28"/>
      <c r="KU1396" s="28"/>
      <c r="KV1396" s="28"/>
      <c r="KW1396" s="28"/>
      <c r="KX1396" s="28"/>
      <c r="KY1396" s="28"/>
      <c r="KZ1396" s="28"/>
      <c r="LA1396" s="28"/>
      <c r="LB1396" s="28"/>
      <c r="LC1396" s="28"/>
      <c r="LD1396" s="28"/>
      <c r="LE1396" s="28"/>
      <c r="LF1396" s="28"/>
      <c r="LG1396" s="28"/>
      <c r="LH1396" s="28"/>
      <c r="LI1396" s="28"/>
      <c r="LJ1396" s="28"/>
      <c r="LK1396" s="28"/>
      <c r="LL1396" s="28"/>
      <c r="LM1396" s="28"/>
      <c r="LN1396" s="28"/>
      <c r="LO1396" s="28"/>
      <c r="LP1396" s="28"/>
      <c r="LQ1396" s="28"/>
      <c r="LR1396" s="28"/>
      <c r="LS1396" s="28"/>
      <c r="LT1396" s="28"/>
      <c r="LU1396" s="28"/>
      <c r="LV1396" s="28"/>
      <c r="LW1396" s="28"/>
      <c r="LX1396" s="28"/>
      <c r="LY1396" s="28"/>
      <c r="LZ1396" s="28"/>
      <c r="MA1396" s="28"/>
      <c r="MB1396" s="28"/>
      <c r="MC1396" s="28"/>
      <c r="MD1396" s="28"/>
      <c r="ME1396" s="28"/>
      <c r="MF1396" s="28"/>
      <c r="MG1396" s="28"/>
      <c r="MH1396" s="28"/>
      <c r="MI1396" s="28"/>
      <c r="MJ1396" s="28"/>
      <c r="MK1396" s="28"/>
      <c r="ML1396" s="28"/>
      <c r="MM1396" s="28"/>
      <c r="MN1396" s="28"/>
      <c r="MO1396" s="28"/>
      <c r="MP1396" s="28"/>
      <c r="MQ1396" s="28"/>
      <c r="MR1396" s="28"/>
      <c r="MS1396" s="28"/>
      <c r="MT1396" s="28"/>
      <c r="MU1396" s="28"/>
      <c r="MV1396" s="28"/>
      <c r="MW1396" s="28"/>
      <c r="MX1396" s="28"/>
      <c r="MY1396" s="28"/>
      <c r="MZ1396" s="28"/>
      <c r="NA1396" s="28"/>
      <c r="NB1396" s="28"/>
      <c r="NC1396" s="28"/>
      <c r="ND1396" s="28"/>
      <c r="NE1396" s="28"/>
      <c r="NF1396" s="28"/>
      <c r="NG1396" s="28"/>
      <c r="NH1396" s="28"/>
      <c r="NI1396" s="28"/>
      <c r="NJ1396" s="28"/>
      <c r="NK1396" s="28"/>
      <c r="NL1396" s="28"/>
      <c r="NM1396" s="28"/>
      <c r="NN1396" s="28"/>
      <c r="NO1396" s="28"/>
      <c r="NP1396" s="28"/>
      <c r="NQ1396" s="28"/>
      <c r="NR1396" s="28"/>
      <c r="NS1396" s="28"/>
      <c r="NT1396" s="28"/>
      <c r="NU1396" s="28"/>
      <c r="NV1396" s="28"/>
      <c r="NW1396" s="28"/>
      <c r="NX1396" s="28"/>
      <c r="NY1396" s="28"/>
      <c r="NZ1396" s="28"/>
      <c r="OA1396" s="28"/>
      <c r="OB1396" s="28"/>
      <c r="OC1396" s="28"/>
      <c r="OD1396" s="28"/>
      <c r="OE1396" s="28"/>
      <c r="OF1396" s="28"/>
      <c r="OG1396" s="28"/>
      <c r="OH1396" s="28"/>
      <c r="OI1396" s="28"/>
      <c r="OJ1396" s="28"/>
      <c r="OK1396" s="28"/>
      <c r="OL1396" s="28"/>
      <c r="OM1396" s="28"/>
      <c r="ON1396" s="28"/>
      <c r="OO1396" s="28"/>
      <c r="OP1396" s="28"/>
      <c r="OQ1396" s="28"/>
      <c r="OR1396" s="28"/>
      <c r="OS1396" s="28"/>
      <c r="OT1396" s="28"/>
      <c r="OU1396" s="28"/>
      <c r="OV1396" s="28"/>
      <c r="OW1396" s="28"/>
      <c r="OX1396" s="28"/>
      <c r="OY1396" s="28"/>
      <c r="OZ1396" s="28"/>
      <c r="PA1396" s="28"/>
      <c r="PB1396" s="28"/>
      <c r="PC1396" s="28"/>
      <c r="PD1396" s="28"/>
      <c r="PE1396" s="28"/>
      <c r="PF1396" s="28"/>
      <c r="PG1396" s="28"/>
      <c r="PH1396" s="28"/>
      <c r="PI1396" s="28"/>
      <c r="PJ1396" s="28"/>
      <c r="PK1396" s="28"/>
      <c r="PL1396" s="28"/>
      <c r="PM1396" s="28"/>
      <c r="PN1396" s="28"/>
      <c r="PO1396" s="28"/>
      <c r="PP1396" s="28"/>
      <c r="PQ1396" s="28"/>
      <c r="PR1396" s="28"/>
      <c r="PS1396" s="28"/>
      <c r="PT1396" s="28"/>
      <c r="PU1396" s="28"/>
      <c r="PV1396" s="28"/>
      <c r="PW1396" s="28"/>
      <c r="PX1396" s="28"/>
      <c r="PY1396" s="28"/>
      <c r="PZ1396" s="28"/>
      <c r="QA1396" s="28"/>
      <c r="QB1396" s="28"/>
      <c r="QC1396" s="28"/>
      <c r="QD1396" s="28"/>
      <c r="QE1396" s="28"/>
      <c r="QF1396" s="28"/>
      <c r="QG1396" s="28"/>
      <c r="QH1396" s="28"/>
      <c r="QI1396" s="28"/>
      <c r="QJ1396" s="28"/>
      <c r="QK1396" s="28"/>
      <c r="QL1396" s="28"/>
      <c r="QM1396" s="28"/>
      <c r="QN1396" s="28"/>
      <c r="QO1396" s="28"/>
      <c r="QP1396" s="28"/>
      <c r="QQ1396" s="28"/>
      <c r="QR1396" s="28"/>
      <c r="QS1396" s="28"/>
      <c r="QT1396" s="28"/>
      <c r="QU1396" s="28"/>
      <c r="QV1396" s="28"/>
      <c r="QW1396" s="28"/>
      <c r="QX1396" s="28"/>
      <c r="QY1396" s="28"/>
      <c r="QZ1396" s="28"/>
      <c r="RA1396" s="28"/>
      <c r="RB1396" s="28"/>
      <c r="RC1396" s="28"/>
      <c r="RD1396" s="28"/>
      <c r="RE1396" s="28"/>
      <c r="RF1396" s="28"/>
      <c r="RG1396" s="28"/>
      <c r="RH1396" s="28"/>
      <c r="RI1396" s="28"/>
      <c r="RJ1396" s="28"/>
      <c r="RK1396" s="28"/>
      <c r="RL1396" s="28"/>
      <c r="RM1396" s="28"/>
      <c r="RN1396" s="28"/>
      <c r="RO1396" s="28"/>
      <c r="RP1396" s="28"/>
      <c r="RQ1396" s="28"/>
      <c r="RR1396" s="28"/>
      <c r="RS1396" s="28"/>
      <c r="RT1396" s="28"/>
      <c r="RU1396" s="28"/>
      <c r="RV1396" s="28"/>
      <c r="RW1396" s="28"/>
      <c r="RX1396" s="28"/>
      <c r="RY1396" s="28"/>
      <c r="RZ1396" s="28"/>
      <c r="SA1396" s="28"/>
      <c r="SB1396" s="28"/>
      <c r="SC1396" s="28"/>
      <c r="SD1396" s="28"/>
      <c r="SE1396" s="28"/>
      <c r="SF1396" s="28"/>
      <c r="SG1396" s="28"/>
      <c r="SH1396" s="28"/>
      <c r="SI1396" s="28"/>
      <c r="SJ1396" s="28"/>
      <c r="SK1396" s="28"/>
      <c r="SL1396" s="28"/>
      <c r="SM1396" s="28"/>
      <c r="SN1396" s="28"/>
      <c r="SO1396" s="28"/>
      <c r="SP1396" s="28"/>
      <c r="SQ1396" s="28"/>
      <c r="SR1396" s="28"/>
      <c r="SS1396" s="28"/>
      <c r="ST1396" s="28"/>
      <c r="SU1396" s="28"/>
      <c r="SV1396" s="28"/>
      <c r="SW1396" s="28"/>
      <c r="SX1396" s="28"/>
      <c r="SY1396" s="28"/>
      <c r="SZ1396" s="28"/>
      <c r="TA1396" s="28"/>
      <c r="TB1396" s="28"/>
      <c r="TC1396" s="28"/>
      <c r="TD1396" s="28"/>
      <c r="TE1396" s="28"/>
      <c r="TF1396" s="28"/>
      <c r="TG1396" s="28"/>
      <c r="TH1396" s="28"/>
      <c r="TI1396" s="28"/>
      <c r="TJ1396" s="28"/>
      <c r="TK1396" s="28"/>
      <c r="TL1396" s="28"/>
      <c r="TM1396" s="28"/>
      <c r="TN1396" s="28"/>
      <c r="TO1396" s="28"/>
      <c r="TP1396" s="28"/>
      <c r="TQ1396" s="28"/>
      <c r="TR1396" s="28"/>
      <c r="TS1396" s="28"/>
      <c r="TT1396" s="28"/>
      <c r="TU1396" s="28"/>
      <c r="TV1396" s="28"/>
      <c r="TW1396" s="28"/>
      <c r="TX1396" s="28"/>
      <c r="TY1396" s="28"/>
      <c r="TZ1396" s="28"/>
      <c r="UA1396" s="28"/>
      <c r="UB1396" s="28"/>
      <c r="UC1396" s="28"/>
      <c r="UD1396" s="28"/>
      <c r="UE1396" s="28"/>
      <c r="UF1396" s="28"/>
      <c r="UG1396" s="29"/>
    </row>
    <row r="1397" spans="1:553" ht="35.25" customHeight="1">
      <c r="A1397" s="356"/>
      <c r="B1397" s="356"/>
      <c r="C1397" s="548" t="s">
        <v>751</v>
      </c>
      <c r="D1397" s="418"/>
      <c r="E1397" s="418"/>
      <c r="F1397" s="366"/>
      <c r="G1397" s="366"/>
      <c r="H1397" s="370"/>
      <c r="I1397" s="359"/>
      <c r="J1397" s="368"/>
      <c r="K1397" s="371"/>
      <c r="L1397" s="645"/>
      <c r="M1397" s="356"/>
      <c r="N1397" s="356"/>
      <c r="O1397" s="356"/>
      <c r="P1397" s="356"/>
      <c r="Q1397" s="610"/>
      <c r="R1397" s="1226"/>
      <c r="S1397" s="308"/>
      <c r="T1397" s="308"/>
      <c r="U1397" s="308"/>
      <c r="V1397" s="308"/>
      <c r="W1397" s="308"/>
      <c r="X1397" s="308"/>
      <c r="Y1397" s="308"/>
      <c r="Z1397" s="604"/>
      <c r="AA1397" s="308"/>
      <c r="AB1397" s="308"/>
      <c r="AC1397" s="486"/>
      <c r="AD1397" s="486"/>
      <c r="AE1397" s="486"/>
      <c r="AF1397" s="486"/>
      <c r="AG1397" s="486"/>
      <c r="AH1397" s="486"/>
      <c r="AI1397" s="486"/>
      <c r="AJ1397" s="486"/>
      <c r="AK1397" s="486"/>
      <c r="AL1397" s="206"/>
      <c r="AM1397" s="28"/>
      <c r="AN1397" s="28"/>
      <c r="AO1397" s="28"/>
      <c r="AP1397" s="28"/>
      <c r="AQ1397" s="28"/>
      <c r="AR1397" s="28"/>
      <c r="AS1397" s="28"/>
      <c r="AT1397" s="28"/>
      <c r="AU1397" s="28"/>
      <c r="AV1397" s="28"/>
      <c r="AW1397" s="28"/>
      <c r="AX1397" s="28"/>
      <c r="AY1397" s="28"/>
      <c r="AZ1397" s="28"/>
      <c r="BA1397" s="28"/>
      <c r="BB1397" s="28"/>
      <c r="BC1397" s="28"/>
      <c r="BD1397" s="28"/>
      <c r="BE1397" s="28"/>
      <c r="BF1397" s="28"/>
      <c r="BG1397" s="28"/>
      <c r="BH1397" s="28"/>
      <c r="BI1397" s="28"/>
      <c r="BJ1397" s="28"/>
      <c r="BK1397" s="28"/>
      <c r="BL1397" s="28"/>
      <c r="BM1397" s="28"/>
      <c r="BN1397" s="28"/>
      <c r="BO1397" s="28"/>
      <c r="BP1397" s="28"/>
      <c r="BQ1397" s="28"/>
      <c r="BR1397" s="28"/>
      <c r="BS1397" s="28"/>
      <c r="BT1397" s="28"/>
      <c r="BU1397" s="28"/>
      <c r="BV1397" s="28"/>
      <c r="BW1397" s="28"/>
      <c r="BX1397" s="28"/>
      <c r="BY1397" s="28"/>
      <c r="BZ1397" s="28"/>
      <c r="CA1397" s="28"/>
      <c r="CB1397" s="28"/>
      <c r="CC1397" s="28"/>
      <c r="CD1397" s="28"/>
      <c r="CE1397" s="28"/>
      <c r="CF1397" s="28"/>
      <c r="CG1397" s="28"/>
      <c r="CH1397" s="28"/>
      <c r="CI1397" s="28"/>
      <c r="CJ1397" s="28"/>
      <c r="CK1397" s="28"/>
      <c r="CL1397" s="28"/>
      <c r="CM1397" s="28"/>
      <c r="CN1397" s="28"/>
      <c r="CO1397" s="28"/>
      <c r="CP1397" s="28"/>
      <c r="CQ1397" s="28"/>
      <c r="CR1397" s="28"/>
      <c r="CS1397" s="28"/>
      <c r="CT1397" s="28"/>
      <c r="CU1397" s="28"/>
      <c r="CV1397" s="28"/>
      <c r="CW1397" s="28"/>
      <c r="CX1397" s="28"/>
      <c r="CY1397" s="28"/>
      <c r="CZ1397" s="28"/>
      <c r="DA1397" s="28"/>
      <c r="DB1397" s="28"/>
      <c r="DC1397" s="28"/>
      <c r="DD1397" s="28"/>
      <c r="DE1397" s="28"/>
      <c r="DF1397" s="28"/>
      <c r="DG1397" s="28"/>
      <c r="DH1397" s="28"/>
      <c r="DI1397" s="28"/>
      <c r="DJ1397" s="28"/>
      <c r="DK1397" s="28"/>
      <c r="DL1397" s="28"/>
      <c r="DM1397" s="28"/>
      <c r="DN1397" s="28"/>
      <c r="DO1397" s="28"/>
      <c r="DP1397" s="28"/>
      <c r="DQ1397" s="28"/>
      <c r="DR1397" s="28"/>
      <c r="DS1397" s="28"/>
      <c r="DT1397" s="28"/>
      <c r="DU1397" s="28"/>
      <c r="DV1397" s="28"/>
      <c r="DW1397" s="28"/>
      <c r="DX1397" s="28"/>
      <c r="DY1397" s="28"/>
      <c r="DZ1397" s="28"/>
      <c r="EA1397" s="28"/>
      <c r="EB1397" s="28"/>
      <c r="EC1397" s="28"/>
      <c r="ED1397" s="28"/>
      <c r="EE1397" s="28"/>
      <c r="EF1397" s="28"/>
      <c r="EG1397" s="28"/>
      <c r="EH1397" s="28"/>
      <c r="EI1397" s="28"/>
      <c r="EJ1397" s="28"/>
      <c r="EK1397" s="28"/>
      <c r="EL1397" s="28"/>
      <c r="EM1397" s="28"/>
      <c r="EN1397" s="28"/>
      <c r="EO1397" s="28"/>
      <c r="EP1397" s="28"/>
      <c r="EQ1397" s="28"/>
      <c r="ER1397" s="28"/>
      <c r="ES1397" s="28"/>
      <c r="ET1397" s="28"/>
      <c r="EU1397" s="28"/>
      <c r="EV1397" s="28"/>
      <c r="EW1397" s="28"/>
      <c r="EX1397" s="28"/>
      <c r="EY1397" s="28"/>
      <c r="EZ1397" s="28"/>
      <c r="FA1397" s="28"/>
      <c r="FB1397" s="28"/>
      <c r="FC1397" s="28"/>
      <c r="FD1397" s="28"/>
      <c r="FE1397" s="28"/>
      <c r="FF1397" s="28"/>
      <c r="FG1397" s="28"/>
      <c r="FH1397" s="28"/>
      <c r="FI1397" s="28"/>
      <c r="FJ1397" s="28"/>
      <c r="FK1397" s="28"/>
      <c r="FL1397" s="28"/>
      <c r="FM1397" s="28"/>
      <c r="FN1397" s="28"/>
      <c r="FO1397" s="28"/>
      <c r="FP1397" s="28"/>
      <c r="FQ1397" s="28"/>
      <c r="FR1397" s="28"/>
      <c r="FS1397" s="28"/>
      <c r="FT1397" s="28"/>
      <c r="FU1397" s="28"/>
      <c r="FV1397" s="28"/>
      <c r="FW1397" s="28"/>
      <c r="FX1397" s="28"/>
      <c r="FY1397" s="28"/>
      <c r="FZ1397" s="28"/>
      <c r="GA1397" s="28"/>
      <c r="GB1397" s="28"/>
      <c r="GC1397" s="28"/>
      <c r="GD1397" s="28"/>
      <c r="GE1397" s="28"/>
      <c r="GF1397" s="28"/>
      <c r="GG1397" s="28"/>
      <c r="GH1397" s="28"/>
      <c r="GI1397" s="28"/>
      <c r="GJ1397" s="28"/>
      <c r="GK1397" s="28"/>
      <c r="GL1397" s="28"/>
      <c r="GM1397" s="28"/>
      <c r="GN1397" s="28"/>
      <c r="GO1397" s="28"/>
      <c r="GP1397" s="28"/>
      <c r="GQ1397" s="28"/>
      <c r="GR1397" s="28"/>
      <c r="GS1397" s="28"/>
      <c r="GT1397" s="28"/>
      <c r="GU1397" s="28"/>
      <c r="GV1397" s="28"/>
      <c r="GW1397" s="28"/>
      <c r="GX1397" s="28"/>
      <c r="GY1397" s="28"/>
      <c r="GZ1397" s="28"/>
      <c r="HA1397" s="28"/>
      <c r="HB1397" s="28"/>
      <c r="HC1397" s="28"/>
      <c r="HD1397" s="28"/>
      <c r="HE1397" s="28"/>
      <c r="HF1397" s="28"/>
      <c r="HG1397" s="28"/>
      <c r="HH1397" s="28"/>
      <c r="HI1397" s="28"/>
      <c r="HJ1397" s="28"/>
      <c r="HK1397" s="28"/>
      <c r="HL1397" s="28"/>
      <c r="HM1397" s="28"/>
      <c r="HN1397" s="28"/>
      <c r="HO1397" s="28"/>
      <c r="HP1397" s="28"/>
      <c r="HQ1397" s="28"/>
      <c r="HR1397" s="28"/>
      <c r="HS1397" s="28"/>
      <c r="HT1397" s="28"/>
      <c r="HU1397" s="28"/>
      <c r="HV1397" s="28"/>
      <c r="HW1397" s="28"/>
      <c r="HX1397" s="28"/>
      <c r="HY1397" s="28"/>
      <c r="HZ1397" s="28"/>
      <c r="IA1397" s="28"/>
      <c r="IB1397" s="28"/>
      <c r="IC1397" s="28"/>
      <c r="ID1397" s="28"/>
      <c r="IE1397" s="28"/>
      <c r="IF1397" s="28"/>
      <c r="IG1397" s="28"/>
      <c r="IH1397" s="28"/>
      <c r="II1397" s="28"/>
      <c r="IJ1397" s="28"/>
      <c r="IK1397" s="28"/>
      <c r="IL1397" s="28"/>
      <c r="IM1397" s="28"/>
      <c r="IN1397" s="28"/>
      <c r="IO1397" s="28"/>
      <c r="IP1397" s="28"/>
      <c r="IQ1397" s="28"/>
      <c r="IR1397" s="28"/>
      <c r="IS1397" s="28"/>
      <c r="IT1397" s="28"/>
      <c r="IU1397" s="28"/>
      <c r="IV1397" s="28"/>
      <c r="IW1397" s="28"/>
      <c r="IX1397" s="28"/>
      <c r="IY1397" s="28"/>
      <c r="IZ1397" s="28"/>
      <c r="JA1397" s="28"/>
      <c r="JB1397" s="28"/>
      <c r="JC1397" s="28"/>
      <c r="JD1397" s="28"/>
      <c r="JE1397" s="28"/>
      <c r="JF1397" s="28"/>
      <c r="JG1397" s="28"/>
      <c r="JH1397" s="28"/>
      <c r="JI1397" s="28"/>
      <c r="JJ1397" s="28"/>
      <c r="JK1397" s="28"/>
      <c r="JL1397" s="28"/>
      <c r="JM1397" s="28"/>
      <c r="JN1397" s="28"/>
      <c r="JO1397" s="28"/>
      <c r="JP1397" s="28"/>
      <c r="JQ1397" s="28"/>
      <c r="JR1397" s="28"/>
      <c r="JS1397" s="28"/>
      <c r="JT1397" s="28"/>
      <c r="JU1397" s="28"/>
      <c r="JV1397" s="28"/>
      <c r="JW1397" s="28"/>
      <c r="JX1397" s="28"/>
      <c r="JY1397" s="28"/>
      <c r="JZ1397" s="28"/>
      <c r="KA1397" s="28"/>
      <c r="KB1397" s="28"/>
      <c r="KC1397" s="28"/>
      <c r="KD1397" s="28"/>
      <c r="KE1397" s="28"/>
      <c r="KF1397" s="28"/>
      <c r="KG1397" s="28"/>
      <c r="KH1397" s="28"/>
      <c r="KI1397" s="28"/>
      <c r="KJ1397" s="28"/>
      <c r="KK1397" s="28"/>
      <c r="KL1397" s="28"/>
      <c r="KM1397" s="28"/>
      <c r="KN1397" s="28"/>
      <c r="KO1397" s="28"/>
      <c r="KP1397" s="28"/>
      <c r="KQ1397" s="28"/>
      <c r="KR1397" s="28"/>
      <c r="KS1397" s="28"/>
      <c r="KT1397" s="28"/>
      <c r="KU1397" s="28"/>
      <c r="KV1397" s="28"/>
      <c r="KW1397" s="28"/>
      <c r="KX1397" s="28"/>
      <c r="KY1397" s="28"/>
      <c r="KZ1397" s="28"/>
      <c r="LA1397" s="28"/>
      <c r="LB1397" s="28"/>
      <c r="LC1397" s="28"/>
      <c r="LD1397" s="28"/>
      <c r="LE1397" s="28"/>
      <c r="LF1397" s="28"/>
      <c r="LG1397" s="28"/>
      <c r="LH1397" s="28"/>
      <c r="LI1397" s="28"/>
      <c r="LJ1397" s="28"/>
      <c r="LK1397" s="28"/>
      <c r="LL1397" s="28"/>
      <c r="LM1397" s="28"/>
      <c r="LN1397" s="28"/>
      <c r="LO1397" s="28"/>
      <c r="LP1397" s="28"/>
      <c r="LQ1397" s="28"/>
      <c r="LR1397" s="28"/>
      <c r="LS1397" s="28"/>
      <c r="LT1397" s="28"/>
      <c r="LU1397" s="28"/>
      <c r="LV1397" s="28"/>
      <c r="LW1397" s="28"/>
      <c r="LX1397" s="28"/>
      <c r="LY1397" s="28"/>
      <c r="LZ1397" s="28"/>
      <c r="MA1397" s="28"/>
      <c r="MB1397" s="28"/>
      <c r="MC1397" s="28"/>
      <c r="MD1397" s="28"/>
      <c r="ME1397" s="28"/>
      <c r="MF1397" s="28"/>
      <c r="MG1397" s="28"/>
      <c r="MH1397" s="28"/>
      <c r="MI1397" s="28"/>
      <c r="MJ1397" s="28"/>
      <c r="MK1397" s="28"/>
      <c r="ML1397" s="28"/>
      <c r="MM1397" s="28"/>
      <c r="MN1397" s="28"/>
      <c r="MO1397" s="28"/>
      <c r="MP1397" s="28"/>
      <c r="MQ1397" s="28"/>
      <c r="MR1397" s="28"/>
      <c r="MS1397" s="28"/>
      <c r="MT1397" s="28"/>
      <c r="MU1397" s="28"/>
      <c r="MV1397" s="28"/>
      <c r="MW1397" s="28"/>
      <c r="MX1397" s="28"/>
      <c r="MY1397" s="28"/>
      <c r="MZ1397" s="28"/>
      <c r="NA1397" s="28"/>
      <c r="NB1397" s="28"/>
      <c r="NC1397" s="28"/>
      <c r="ND1397" s="28"/>
      <c r="NE1397" s="28"/>
      <c r="NF1397" s="28"/>
      <c r="NG1397" s="28"/>
      <c r="NH1397" s="28"/>
      <c r="NI1397" s="28"/>
      <c r="NJ1397" s="28"/>
      <c r="NK1397" s="28"/>
      <c r="NL1397" s="28"/>
      <c r="NM1397" s="28"/>
      <c r="NN1397" s="28"/>
      <c r="NO1397" s="28"/>
      <c r="NP1397" s="28"/>
      <c r="NQ1397" s="28"/>
      <c r="NR1397" s="28"/>
      <c r="NS1397" s="28"/>
      <c r="NT1397" s="28"/>
      <c r="NU1397" s="28"/>
      <c r="NV1397" s="28"/>
      <c r="NW1397" s="28"/>
      <c r="NX1397" s="28"/>
      <c r="NY1397" s="28"/>
      <c r="NZ1397" s="28"/>
      <c r="OA1397" s="28"/>
      <c r="OB1397" s="28"/>
      <c r="OC1397" s="28"/>
      <c r="OD1397" s="28"/>
      <c r="OE1397" s="28"/>
      <c r="OF1397" s="28"/>
      <c r="OG1397" s="28"/>
      <c r="OH1397" s="28"/>
      <c r="OI1397" s="28"/>
      <c r="OJ1397" s="28"/>
      <c r="OK1397" s="28"/>
      <c r="OL1397" s="28"/>
      <c r="OM1397" s="28"/>
      <c r="ON1397" s="28"/>
      <c r="OO1397" s="28"/>
      <c r="OP1397" s="28"/>
      <c r="OQ1397" s="28"/>
      <c r="OR1397" s="28"/>
      <c r="OS1397" s="28"/>
      <c r="OT1397" s="28"/>
      <c r="OU1397" s="28"/>
      <c r="OV1397" s="28"/>
      <c r="OW1397" s="28"/>
      <c r="OX1397" s="28"/>
      <c r="OY1397" s="28"/>
      <c r="OZ1397" s="28"/>
      <c r="PA1397" s="28"/>
      <c r="PB1397" s="28"/>
      <c r="PC1397" s="28"/>
      <c r="PD1397" s="28"/>
      <c r="PE1397" s="28"/>
      <c r="PF1397" s="28"/>
      <c r="PG1397" s="28"/>
      <c r="PH1397" s="28"/>
      <c r="PI1397" s="28"/>
      <c r="PJ1397" s="28"/>
      <c r="PK1397" s="28"/>
      <c r="PL1397" s="28"/>
      <c r="PM1397" s="28"/>
      <c r="PN1397" s="28"/>
      <c r="PO1397" s="28"/>
      <c r="PP1397" s="28"/>
      <c r="PQ1397" s="28"/>
      <c r="PR1397" s="28"/>
      <c r="PS1397" s="28"/>
      <c r="PT1397" s="28"/>
      <c r="PU1397" s="28"/>
      <c r="PV1397" s="28"/>
      <c r="PW1397" s="28"/>
      <c r="PX1397" s="28"/>
      <c r="PY1397" s="28"/>
      <c r="PZ1397" s="28"/>
      <c r="QA1397" s="28"/>
      <c r="QB1397" s="28"/>
      <c r="QC1397" s="28"/>
      <c r="QD1397" s="28"/>
      <c r="QE1397" s="28"/>
      <c r="QF1397" s="28"/>
      <c r="QG1397" s="28"/>
      <c r="QH1397" s="28"/>
      <c r="QI1397" s="28"/>
      <c r="QJ1397" s="28"/>
      <c r="QK1397" s="28"/>
      <c r="QL1397" s="28"/>
      <c r="QM1397" s="28"/>
      <c r="QN1397" s="28"/>
      <c r="QO1397" s="28"/>
      <c r="QP1397" s="28"/>
      <c r="QQ1397" s="28"/>
      <c r="QR1397" s="28"/>
      <c r="QS1397" s="28"/>
      <c r="QT1397" s="28"/>
      <c r="QU1397" s="28"/>
      <c r="QV1397" s="28"/>
      <c r="QW1397" s="28"/>
      <c r="QX1397" s="28"/>
      <c r="QY1397" s="28"/>
      <c r="QZ1397" s="28"/>
      <c r="RA1397" s="28"/>
      <c r="RB1397" s="28"/>
      <c r="RC1397" s="28"/>
      <c r="RD1397" s="28"/>
      <c r="RE1397" s="28"/>
      <c r="RF1397" s="28"/>
      <c r="RG1397" s="28"/>
      <c r="RH1397" s="28"/>
      <c r="RI1397" s="28"/>
      <c r="RJ1397" s="28"/>
      <c r="RK1397" s="28"/>
      <c r="RL1397" s="28"/>
      <c r="RM1397" s="28"/>
      <c r="RN1397" s="28"/>
      <c r="RO1397" s="28"/>
      <c r="RP1397" s="28"/>
      <c r="RQ1397" s="28"/>
      <c r="RR1397" s="28"/>
      <c r="RS1397" s="28"/>
      <c r="RT1397" s="28"/>
      <c r="RU1397" s="28"/>
      <c r="RV1397" s="28"/>
      <c r="RW1397" s="28"/>
      <c r="RX1397" s="28"/>
      <c r="RY1397" s="28"/>
      <c r="RZ1397" s="28"/>
      <c r="SA1397" s="28"/>
      <c r="SB1397" s="28"/>
      <c r="SC1397" s="28"/>
      <c r="SD1397" s="28"/>
      <c r="SE1397" s="28"/>
      <c r="SF1397" s="28"/>
      <c r="SG1397" s="28"/>
      <c r="SH1397" s="28"/>
      <c r="SI1397" s="28"/>
      <c r="SJ1397" s="28"/>
      <c r="SK1397" s="28"/>
      <c r="SL1397" s="28"/>
      <c r="SM1397" s="28"/>
      <c r="SN1397" s="28"/>
      <c r="SO1397" s="28"/>
      <c r="SP1397" s="28"/>
      <c r="SQ1397" s="28"/>
      <c r="SR1397" s="28"/>
      <c r="SS1397" s="28"/>
      <c r="ST1397" s="28"/>
      <c r="SU1397" s="28"/>
      <c r="SV1397" s="28"/>
      <c r="SW1397" s="28"/>
      <c r="SX1397" s="28"/>
      <c r="SY1397" s="28"/>
      <c r="SZ1397" s="28"/>
      <c r="TA1397" s="28"/>
      <c r="TB1397" s="28"/>
      <c r="TC1397" s="28"/>
      <c r="TD1397" s="28"/>
      <c r="TE1397" s="28"/>
      <c r="TF1397" s="28"/>
      <c r="TG1397" s="28"/>
      <c r="TH1397" s="28"/>
      <c r="TI1397" s="28"/>
      <c r="TJ1397" s="28"/>
      <c r="TK1397" s="28"/>
      <c r="TL1397" s="28"/>
      <c r="TM1397" s="28"/>
      <c r="TN1397" s="28"/>
      <c r="TO1397" s="28"/>
      <c r="TP1397" s="28"/>
      <c r="TQ1397" s="28"/>
      <c r="TR1397" s="28"/>
      <c r="TS1397" s="28"/>
      <c r="TT1397" s="28"/>
      <c r="TU1397" s="28"/>
      <c r="TV1397" s="28"/>
      <c r="TW1397" s="28"/>
      <c r="TX1397" s="28"/>
      <c r="TY1397" s="28"/>
      <c r="TZ1397" s="28"/>
      <c r="UA1397" s="28"/>
      <c r="UB1397" s="28"/>
      <c r="UC1397" s="28"/>
      <c r="UD1397" s="28"/>
      <c r="UE1397" s="28"/>
      <c r="UF1397" s="28"/>
      <c r="UG1397" s="29"/>
    </row>
    <row r="1398" spans="1:553" ht="69" customHeight="1">
      <c r="A1398" s="356" t="s">
        <v>15</v>
      </c>
      <c r="B1398" s="673" t="s">
        <v>295</v>
      </c>
      <c r="C1398" s="1450" t="s">
        <v>752</v>
      </c>
      <c r="D1398" s="1389"/>
      <c r="E1398" s="1389"/>
      <c r="F1398" s="1390"/>
      <c r="G1398" s="397" t="s">
        <v>255</v>
      </c>
      <c r="H1398" s="370"/>
      <c r="I1398" s="490">
        <f>1.6*3.5</f>
        <v>5.6000000000000005</v>
      </c>
      <c r="J1398" s="368">
        <v>1000000</v>
      </c>
      <c r="K1398" s="419">
        <v>0.8</v>
      </c>
      <c r="L1398" s="487">
        <f>ROUND(PRODUCT(I1398:K1398),0)</f>
        <v>4480000</v>
      </c>
      <c r="M1398" s="395"/>
      <c r="N1398" s="395"/>
      <c r="O1398" s="366"/>
      <c r="P1398" s="396"/>
      <c r="Q1398" s="473"/>
      <c r="R1398" s="1226"/>
      <c r="S1398" s="308"/>
      <c r="T1398" s="308"/>
      <c r="U1398" s="308"/>
      <c r="V1398" s="308"/>
      <c r="W1398" s="308"/>
      <c r="X1398" s="308"/>
      <c r="Y1398" s="308"/>
      <c r="Z1398" s="604"/>
      <c r="AA1398" s="308"/>
      <c r="AB1398" s="308"/>
      <c r="AC1398" s="486"/>
      <c r="AD1398" s="486"/>
      <c r="AE1398" s="486"/>
      <c r="AF1398" s="486"/>
      <c r="AG1398" s="486"/>
      <c r="AH1398" s="486"/>
      <c r="AI1398" s="486"/>
      <c r="AJ1398" s="486"/>
      <c r="AK1398" s="486"/>
      <c r="AL1398" s="206"/>
      <c r="AM1398" s="28"/>
      <c r="AN1398" s="28"/>
      <c r="AO1398" s="28"/>
      <c r="AP1398" s="28"/>
      <c r="AQ1398" s="28"/>
      <c r="AR1398" s="28"/>
      <c r="AS1398" s="28"/>
      <c r="AT1398" s="28"/>
      <c r="AU1398" s="28"/>
      <c r="AV1398" s="28"/>
      <c r="AW1398" s="28"/>
      <c r="AX1398" s="28"/>
      <c r="AY1398" s="28"/>
      <c r="AZ1398" s="28"/>
      <c r="BA1398" s="28"/>
      <c r="BB1398" s="28"/>
      <c r="BC1398" s="28"/>
      <c r="BD1398" s="28"/>
      <c r="BE1398" s="28"/>
      <c r="BF1398" s="28"/>
      <c r="BG1398" s="28"/>
      <c r="BH1398" s="28"/>
      <c r="BI1398" s="28"/>
      <c r="BJ1398" s="28"/>
      <c r="BK1398" s="28"/>
      <c r="BL1398" s="28"/>
      <c r="BM1398" s="28"/>
      <c r="BN1398" s="28"/>
      <c r="BO1398" s="28"/>
      <c r="BP1398" s="28"/>
      <c r="BQ1398" s="28"/>
      <c r="BR1398" s="28"/>
      <c r="BS1398" s="28"/>
      <c r="BT1398" s="28"/>
      <c r="BU1398" s="28"/>
      <c r="BV1398" s="28"/>
      <c r="BW1398" s="28"/>
      <c r="BX1398" s="28"/>
      <c r="BY1398" s="28"/>
      <c r="BZ1398" s="28"/>
      <c r="CA1398" s="28"/>
      <c r="CB1398" s="28"/>
      <c r="CC1398" s="28"/>
      <c r="CD1398" s="28"/>
      <c r="CE1398" s="28"/>
      <c r="CF1398" s="28"/>
      <c r="CG1398" s="28"/>
      <c r="CH1398" s="28"/>
      <c r="CI1398" s="28"/>
      <c r="CJ1398" s="28"/>
      <c r="CK1398" s="28"/>
      <c r="CL1398" s="28"/>
      <c r="CM1398" s="28"/>
      <c r="CN1398" s="28"/>
      <c r="CO1398" s="28"/>
      <c r="CP1398" s="28"/>
      <c r="CQ1398" s="28"/>
      <c r="CR1398" s="28"/>
      <c r="CS1398" s="28"/>
      <c r="CT1398" s="28"/>
      <c r="CU1398" s="28"/>
      <c r="CV1398" s="28"/>
      <c r="CW1398" s="28"/>
      <c r="CX1398" s="28"/>
      <c r="CY1398" s="28"/>
      <c r="CZ1398" s="28"/>
      <c r="DA1398" s="28"/>
      <c r="DB1398" s="28"/>
      <c r="DC1398" s="28"/>
      <c r="DD1398" s="28"/>
      <c r="DE1398" s="28"/>
      <c r="DF1398" s="28"/>
      <c r="DG1398" s="28"/>
      <c r="DH1398" s="28"/>
      <c r="DI1398" s="28"/>
      <c r="DJ1398" s="28"/>
      <c r="DK1398" s="28"/>
      <c r="DL1398" s="28"/>
      <c r="DM1398" s="28"/>
      <c r="DN1398" s="28"/>
      <c r="DO1398" s="28"/>
      <c r="DP1398" s="28"/>
      <c r="DQ1398" s="28"/>
      <c r="DR1398" s="28"/>
      <c r="DS1398" s="28"/>
      <c r="DT1398" s="28"/>
      <c r="DU1398" s="28"/>
      <c r="DV1398" s="28"/>
      <c r="DW1398" s="28"/>
      <c r="DX1398" s="28"/>
      <c r="DY1398" s="28"/>
      <c r="DZ1398" s="28"/>
      <c r="EA1398" s="28"/>
      <c r="EB1398" s="28"/>
      <c r="EC1398" s="28"/>
      <c r="ED1398" s="28"/>
      <c r="EE1398" s="28"/>
      <c r="EF1398" s="28"/>
      <c r="EG1398" s="28"/>
      <c r="EH1398" s="28"/>
      <c r="EI1398" s="28"/>
      <c r="EJ1398" s="28"/>
      <c r="EK1398" s="28"/>
      <c r="EL1398" s="28"/>
      <c r="EM1398" s="28"/>
      <c r="EN1398" s="28"/>
      <c r="EO1398" s="28"/>
      <c r="EP1398" s="28"/>
      <c r="EQ1398" s="28"/>
      <c r="ER1398" s="28"/>
      <c r="ES1398" s="28"/>
      <c r="ET1398" s="28"/>
      <c r="EU1398" s="28"/>
      <c r="EV1398" s="28"/>
      <c r="EW1398" s="28"/>
      <c r="EX1398" s="28"/>
      <c r="EY1398" s="28"/>
      <c r="EZ1398" s="28"/>
      <c r="FA1398" s="28"/>
      <c r="FB1398" s="28"/>
      <c r="FC1398" s="28"/>
      <c r="FD1398" s="28"/>
      <c r="FE1398" s="28"/>
      <c r="FF1398" s="28"/>
      <c r="FG1398" s="28"/>
      <c r="FH1398" s="28"/>
      <c r="FI1398" s="28"/>
      <c r="FJ1398" s="28"/>
      <c r="FK1398" s="28"/>
      <c r="FL1398" s="28"/>
      <c r="FM1398" s="28"/>
      <c r="FN1398" s="28"/>
      <c r="FO1398" s="28"/>
      <c r="FP1398" s="28"/>
      <c r="FQ1398" s="28"/>
      <c r="FR1398" s="28"/>
      <c r="FS1398" s="28"/>
      <c r="FT1398" s="28"/>
      <c r="FU1398" s="28"/>
      <c r="FV1398" s="28"/>
      <c r="FW1398" s="28"/>
      <c r="FX1398" s="28"/>
      <c r="FY1398" s="28"/>
      <c r="FZ1398" s="28"/>
      <c r="GA1398" s="28"/>
      <c r="GB1398" s="28"/>
      <c r="GC1398" s="28"/>
      <c r="GD1398" s="28"/>
      <c r="GE1398" s="28"/>
      <c r="GF1398" s="28"/>
      <c r="GG1398" s="28"/>
      <c r="GH1398" s="28"/>
      <c r="GI1398" s="28"/>
      <c r="GJ1398" s="28"/>
      <c r="GK1398" s="28"/>
      <c r="GL1398" s="28"/>
      <c r="GM1398" s="28"/>
      <c r="GN1398" s="28"/>
      <c r="GO1398" s="28"/>
      <c r="GP1398" s="28"/>
      <c r="GQ1398" s="28"/>
      <c r="GR1398" s="28"/>
      <c r="GS1398" s="28"/>
      <c r="GT1398" s="28"/>
      <c r="GU1398" s="28"/>
      <c r="GV1398" s="28"/>
      <c r="GW1398" s="28"/>
      <c r="GX1398" s="28"/>
      <c r="GY1398" s="28"/>
      <c r="GZ1398" s="28"/>
      <c r="HA1398" s="28"/>
      <c r="HB1398" s="28"/>
      <c r="HC1398" s="28"/>
      <c r="HD1398" s="28"/>
      <c r="HE1398" s="28"/>
      <c r="HF1398" s="28"/>
      <c r="HG1398" s="28"/>
      <c r="HH1398" s="28"/>
      <c r="HI1398" s="28"/>
      <c r="HJ1398" s="28"/>
      <c r="HK1398" s="28"/>
      <c r="HL1398" s="28"/>
      <c r="HM1398" s="28"/>
      <c r="HN1398" s="28"/>
      <c r="HO1398" s="28"/>
      <c r="HP1398" s="28"/>
      <c r="HQ1398" s="28"/>
      <c r="HR1398" s="28"/>
      <c r="HS1398" s="28"/>
      <c r="HT1398" s="28"/>
      <c r="HU1398" s="28"/>
      <c r="HV1398" s="28"/>
      <c r="HW1398" s="28"/>
      <c r="HX1398" s="28"/>
      <c r="HY1398" s="28"/>
      <c r="HZ1398" s="28"/>
      <c r="IA1398" s="28"/>
      <c r="IB1398" s="28"/>
      <c r="IC1398" s="28"/>
      <c r="ID1398" s="28"/>
      <c r="IE1398" s="28"/>
      <c r="IF1398" s="28"/>
      <c r="IG1398" s="28"/>
      <c r="IH1398" s="28"/>
      <c r="II1398" s="28"/>
      <c r="IJ1398" s="28"/>
      <c r="IK1398" s="28"/>
      <c r="IL1398" s="28"/>
      <c r="IM1398" s="28"/>
      <c r="IN1398" s="28"/>
      <c r="IO1398" s="28"/>
      <c r="IP1398" s="28"/>
      <c r="IQ1398" s="28"/>
      <c r="IR1398" s="28"/>
      <c r="IS1398" s="28"/>
      <c r="IT1398" s="28"/>
      <c r="IU1398" s="28"/>
      <c r="IV1398" s="28"/>
      <c r="IW1398" s="28"/>
      <c r="IX1398" s="28"/>
      <c r="IY1398" s="28"/>
      <c r="IZ1398" s="28"/>
      <c r="JA1398" s="28"/>
      <c r="JB1398" s="28"/>
      <c r="JC1398" s="28"/>
      <c r="JD1398" s="28"/>
      <c r="JE1398" s="28"/>
      <c r="JF1398" s="28"/>
      <c r="JG1398" s="28"/>
      <c r="JH1398" s="28"/>
      <c r="JI1398" s="28"/>
      <c r="JJ1398" s="28"/>
      <c r="JK1398" s="28"/>
      <c r="JL1398" s="28"/>
      <c r="JM1398" s="28"/>
      <c r="JN1398" s="28"/>
      <c r="JO1398" s="28"/>
      <c r="JP1398" s="28"/>
      <c r="JQ1398" s="28"/>
      <c r="JR1398" s="28"/>
      <c r="JS1398" s="28"/>
      <c r="JT1398" s="28"/>
      <c r="JU1398" s="28"/>
      <c r="JV1398" s="28"/>
      <c r="JW1398" s="28"/>
      <c r="JX1398" s="28"/>
      <c r="JY1398" s="28"/>
      <c r="JZ1398" s="28"/>
      <c r="KA1398" s="28"/>
      <c r="KB1398" s="28"/>
      <c r="KC1398" s="28"/>
      <c r="KD1398" s="28"/>
      <c r="KE1398" s="28"/>
      <c r="KF1398" s="28"/>
      <c r="KG1398" s="28"/>
      <c r="KH1398" s="28"/>
      <c r="KI1398" s="28"/>
      <c r="KJ1398" s="28"/>
      <c r="KK1398" s="28"/>
      <c r="KL1398" s="28"/>
      <c r="KM1398" s="28"/>
      <c r="KN1398" s="28"/>
      <c r="KO1398" s="28"/>
      <c r="KP1398" s="28"/>
      <c r="KQ1398" s="28"/>
      <c r="KR1398" s="28"/>
      <c r="KS1398" s="28"/>
      <c r="KT1398" s="28"/>
      <c r="KU1398" s="28"/>
      <c r="KV1398" s="28"/>
      <c r="KW1398" s="28"/>
      <c r="KX1398" s="28"/>
      <c r="KY1398" s="28"/>
      <c r="KZ1398" s="28"/>
      <c r="LA1398" s="28"/>
      <c r="LB1398" s="28"/>
      <c r="LC1398" s="28"/>
      <c r="LD1398" s="28"/>
      <c r="LE1398" s="28"/>
      <c r="LF1398" s="28"/>
      <c r="LG1398" s="28"/>
      <c r="LH1398" s="28"/>
      <c r="LI1398" s="28"/>
      <c r="LJ1398" s="28"/>
      <c r="LK1398" s="28"/>
      <c r="LL1398" s="28"/>
      <c r="LM1398" s="28"/>
      <c r="LN1398" s="28"/>
      <c r="LO1398" s="28"/>
      <c r="LP1398" s="28"/>
      <c r="LQ1398" s="28"/>
      <c r="LR1398" s="28"/>
      <c r="LS1398" s="28"/>
      <c r="LT1398" s="28"/>
      <c r="LU1398" s="28"/>
      <c r="LV1398" s="28"/>
      <c r="LW1398" s="28"/>
      <c r="LX1398" s="28"/>
      <c r="LY1398" s="28"/>
      <c r="LZ1398" s="28"/>
      <c r="MA1398" s="28"/>
      <c r="MB1398" s="28"/>
      <c r="MC1398" s="28"/>
      <c r="MD1398" s="28"/>
      <c r="ME1398" s="28"/>
      <c r="MF1398" s="28"/>
      <c r="MG1398" s="28"/>
      <c r="MH1398" s="28"/>
      <c r="MI1398" s="28"/>
      <c r="MJ1398" s="28"/>
      <c r="MK1398" s="28"/>
      <c r="ML1398" s="28"/>
      <c r="MM1398" s="28"/>
      <c r="MN1398" s="28"/>
      <c r="MO1398" s="28"/>
      <c r="MP1398" s="28"/>
      <c r="MQ1398" s="28"/>
      <c r="MR1398" s="28"/>
      <c r="MS1398" s="28"/>
      <c r="MT1398" s="28"/>
      <c r="MU1398" s="28"/>
      <c r="MV1398" s="28"/>
      <c r="MW1398" s="28"/>
      <c r="MX1398" s="28"/>
      <c r="MY1398" s="28"/>
      <c r="MZ1398" s="28"/>
      <c r="NA1398" s="28"/>
      <c r="NB1398" s="28"/>
      <c r="NC1398" s="28"/>
      <c r="ND1398" s="28"/>
      <c r="NE1398" s="28"/>
      <c r="NF1398" s="28"/>
      <c r="NG1398" s="28"/>
      <c r="NH1398" s="28"/>
      <c r="NI1398" s="28"/>
      <c r="NJ1398" s="28"/>
      <c r="NK1398" s="28"/>
      <c r="NL1398" s="28"/>
      <c r="NM1398" s="28"/>
      <c r="NN1398" s="28"/>
      <c r="NO1398" s="28"/>
      <c r="NP1398" s="28"/>
      <c r="NQ1398" s="28"/>
      <c r="NR1398" s="28"/>
      <c r="NS1398" s="28"/>
      <c r="NT1398" s="28"/>
      <c r="NU1398" s="28"/>
      <c r="NV1398" s="28"/>
      <c r="NW1398" s="28"/>
      <c r="NX1398" s="28"/>
      <c r="NY1398" s="28"/>
      <c r="NZ1398" s="28"/>
      <c r="OA1398" s="28"/>
      <c r="OB1398" s="28"/>
      <c r="OC1398" s="28"/>
      <c r="OD1398" s="28"/>
      <c r="OE1398" s="28"/>
      <c r="OF1398" s="28"/>
      <c r="OG1398" s="28"/>
      <c r="OH1398" s="28"/>
      <c r="OI1398" s="28"/>
      <c r="OJ1398" s="28"/>
      <c r="OK1398" s="28"/>
      <c r="OL1398" s="28"/>
      <c r="OM1398" s="28"/>
      <c r="ON1398" s="28"/>
      <c r="OO1398" s="28"/>
      <c r="OP1398" s="28"/>
      <c r="OQ1398" s="28"/>
      <c r="OR1398" s="28"/>
      <c r="OS1398" s="28"/>
      <c r="OT1398" s="28"/>
      <c r="OU1398" s="28"/>
      <c r="OV1398" s="28"/>
      <c r="OW1398" s="28"/>
      <c r="OX1398" s="28"/>
      <c r="OY1398" s="28"/>
      <c r="OZ1398" s="28"/>
      <c r="PA1398" s="28"/>
      <c r="PB1398" s="28"/>
      <c r="PC1398" s="28"/>
      <c r="PD1398" s="28"/>
      <c r="PE1398" s="28"/>
      <c r="PF1398" s="28"/>
      <c r="PG1398" s="28"/>
      <c r="PH1398" s="28"/>
      <c r="PI1398" s="28"/>
      <c r="PJ1398" s="28"/>
      <c r="PK1398" s="28"/>
      <c r="PL1398" s="28"/>
      <c r="PM1398" s="28"/>
      <c r="PN1398" s="28"/>
      <c r="PO1398" s="28"/>
      <c r="PP1398" s="28"/>
      <c r="PQ1398" s="28"/>
      <c r="PR1398" s="28"/>
      <c r="PS1398" s="28"/>
      <c r="PT1398" s="28"/>
      <c r="PU1398" s="28"/>
      <c r="PV1398" s="28"/>
      <c r="PW1398" s="28"/>
      <c r="PX1398" s="28"/>
      <c r="PY1398" s="28"/>
      <c r="PZ1398" s="28"/>
      <c r="QA1398" s="28"/>
      <c r="QB1398" s="28"/>
      <c r="QC1398" s="28"/>
      <c r="QD1398" s="28"/>
      <c r="QE1398" s="28"/>
      <c r="QF1398" s="28"/>
      <c r="QG1398" s="28"/>
      <c r="QH1398" s="28"/>
      <c r="QI1398" s="28"/>
      <c r="QJ1398" s="28"/>
      <c r="QK1398" s="28"/>
      <c r="QL1398" s="28"/>
      <c r="QM1398" s="28"/>
      <c r="QN1398" s="28"/>
      <c r="QO1398" s="28"/>
      <c r="QP1398" s="28"/>
      <c r="QQ1398" s="28"/>
      <c r="QR1398" s="28"/>
      <c r="QS1398" s="28"/>
      <c r="QT1398" s="28"/>
      <c r="QU1398" s="28"/>
      <c r="QV1398" s="28"/>
      <c r="QW1398" s="28"/>
      <c r="QX1398" s="28"/>
      <c r="QY1398" s="28"/>
      <c r="QZ1398" s="28"/>
      <c r="RA1398" s="28"/>
      <c r="RB1398" s="28"/>
      <c r="RC1398" s="28"/>
      <c r="RD1398" s="28"/>
      <c r="RE1398" s="28"/>
      <c r="RF1398" s="28"/>
      <c r="RG1398" s="28"/>
      <c r="RH1398" s="28"/>
      <c r="RI1398" s="28"/>
      <c r="RJ1398" s="28"/>
      <c r="RK1398" s="28"/>
      <c r="RL1398" s="28"/>
      <c r="RM1398" s="28"/>
      <c r="RN1398" s="28"/>
      <c r="RO1398" s="28"/>
      <c r="RP1398" s="28"/>
      <c r="RQ1398" s="28"/>
      <c r="RR1398" s="28"/>
      <c r="RS1398" s="28"/>
      <c r="RT1398" s="28"/>
      <c r="RU1398" s="28"/>
      <c r="RV1398" s="28"/>
      <c r="RW1398" s="28"/>
      <c r="RX1398" s="28"/>
      <c r="RY1398" s="28"/>
      <c r="RZ1398" s="28"/>
      <c r="SA1398" s="28"/>
      <c r="SB1398" s="28"/>
      <c r="SC1398" s="28"/>
      <c r="SD1398" s="28"/>
      <c r="SE1398" s="28"/>
      <c r="SF1398" s="28"/>
      <c r="SG1398" s="28"/>
      <c r="SH1398" s="28"/>
      <c r="SI1398" s="28"/>
      <c r="SJ1398" s="28"/>
      <c r="SK1398" s="28"/>
      <c r="SL1398" s="28"/>
      <c r="SM1398" s="28"/>
      <c r="SN1398" s="28"/>
      <c r="SO1398" s="28"/>
      <c r="SP1398" s="28"/>
      <c r="SQ1398" s="28"/>
      <c r="SR1398" s="28"/>
      <c r="SS1398" s="28"/>
      <c r="ST1398" s="28"/>
      <c r="SU1398" s="28"/>
      <c r="SV1398" s="28"/>
      <c r="SW1398" s="28"/>
      <c r="SX1398" s="28"/>
      <c r="SY1398" s="28"/>
      <c r="SZ1398" s="28"/>
      <c r="TA1398" s="28"/>
      <c r="TB1398" s="28"/>
      <c r="TC1398" s="28"/>
      <c r="TD1398" s="28"/>
      <c r="TE1398" s="28"/>
      <c r="TF1398" s="28"/>
      <c r="TG1398" s="28"/>
      <c r="TH1398" s="28"/>
      <c r="TI1398" s="28"/>
      <c r="TJ1398" s="28"/>
      <c r="TK1398" s="28"/>
      <c r="TL1398" s="28"/>
      <c r="TM1398" s="28"/>
      <c r="TN1398" s="28"/>
      <c r="TO1398" s="28"/>
      <c r="TP1398" s="28"/>
      <c r="TQ1398" s="28"/>
      <c r="TR1398" s="28"/>
      <c r="TS1398" s="28"/>
      <c r="TT1398" s="28"/>
      <c r="TU1398" s="28"/>
      <c r="TV1398" s="28"/>
      <c r="TW1398" s="28"/>
      <c r="TX1398" s="28"/>
      <c r="TY1398" s="28"/>
      <c r="TZ1398" s="28"/>
      <c r="UA1398" s="28"/>
      <c r="UB1398" s="28"/>
      <c r="UC1398" s="28"/>
      <c r="UD1398" s="28"/>
      <c r="UE1398" s="28"/>
      <c r="UF1398" s="28"/>
      <c r="UG1398" s="29"/>
    </row>
    <row r="1399" spans="1:553" ht="69" customHeight="1">
      <c r="A1399" s="356" t="s">
        <v>15</v>
      </c>
      <c r="B1399" s="366" t="s">
        <v>753</v>
      </c>
      <c r="C1399" s="1450" t="s">
        <v>754</v>
      </c>
      <c r="D1399" s="1389"/>
      <c r="E1399" s="1389"/>
      <c r="F1399" s="1390"/>
      <c r="G1399" s="397" t="s">
        <v>255</v>
      </c>
      <c r="H1399" s="370"/>
      <c r="I1399" s="422">
        <f>4*4</f>
        <v>16</v>
      </c>
      <c r="J1399" s="368">
        <v>260400</v>
      </c>
      <c r="K1399" s="419">
        <v>0.8</v>
      </c>
      <c r="L1399" s="487">
        <f t="shared" ref="L1399:L1401" si="212">ROUND(PRODUCT(I1399:K1399),0)</f>
        <v>3333120</v>
      </c>
      <c r="M1399" s="395"/>
      <c r="N1399" s="395"/>
      <c r="O1399" s="366"/>
      <c r="P1399" s="396"/>
      <c r="Q1399" s="473"/>
      <c r="R1399" s="1226"/>
      <c r="S1399" s="308"/>
      <c r="T1399" s="308"/>
      <c r="U1399" s="308"/>
      <c r="V1399" s="308"/>
      <c r="W1399" s="308"/>
      <c r="X1399" s="308"/>
      <c r="Y1399" s="308"/>
      <c r="Z1399" s="604"/>
      <c r="AA1399" s="308"/>
      <c r="AB1399" s="308"/>
      <c r="AC1399" s="486"/>
      <c r="AD1399" s="486"/>
      <c r="AE1399" s="486"/>
      <c r="AF1399" s="486"/>
      <c r="AG1399" s="486"/>
      <c r="AH1399" s="486"/>
      <c r="AI1399" s="486"/>
      <c r="AJ1399" s="486"/>
      <c r="AK1399" s="486"/>
      <c r="AL1399" s="206"/>
      <c r="AM1399" s="28"/>
      <c r="AN1399" s="28"/>
      <c r="AO1399" s="28"/>
      <c r="AP1399" s="28"/>
      <c r="AQ1399" s="28"/>
      <c r="AR1399" s="28"/>
      <c r="AS1399" s="28"/>
      <c r="AT1399" s="28"/>
      <c r="AU1399" s="28"/>
      <c r="AV1399" s="28"/>
      <c r="AW1399" s="28"/>
      <c r="AX1399" s="28"/>
      <c r="AY1399" s="28"/>
      <c r="AZ1399" s="28"/>
      <c r="BA1399" s="28"/>
      <c r="BB1399" s="28"/>
      <c r="BC1399" s="28"/>
      <c r="BD1399" s="28"/>
      <c r="BE1399" s="28"/>
      <c r="BF1399" s="28"/>
      <c r="BG1399" s="28"/>
      <c r="BH1399" s="28"/>
      <c r="BI1399" s="28"/>
      <c r="BJ1399" s="28"/>
      <c r="BK1399" s="28"/>
      <c r="BL1399" s="28"/>
      <c r="BM1399" s="28"/>
      <c r="BN1399" s="28"/>
      <c r="BO1399" s="28"/>
      <c r="BP1399" s="28"/>
      <c r="BQ1399" s="28"/>
      <c r="BR1399" s="28"/>
      <c r="BS1399" s="28"/>
      <c r="BT1399" s="28"/>
      <c r="BU1399" s="28"/>
      <c r="BV1399" s="28"/>
      <c r="BW1399" s="28"/>
      <c r="BX1399" s="28"/>
      <c r="BY1399" s="28"/>
      <c r="BZ1399" s="28"/>
      <c r="CA1399" s="28"/>
      <c r="CB1399" s="28"/>
      <c r="CC1399" s="28"/>
      <c r="CD1399" s="28"/>
      <c r="CE1399" s="28"/>
      <c r="CF1399" s="28"/>
      <c r="CG1399" s="28"/>
      <c r="CH1399" s="28"/>
      <c r="CI1399" s="28"/>
      <c r="CJ1399" s="28"/>
      <c r="CK1399" s="28"/>
      <c r="CL1399" s="28"/>
      <c r="CM1399" s="28"/>
      <c r="CN1399" s="28"/>
      <c r="CO1399" s="28"/>
      <c r="CP1399" s="28"/>
      <c r="CQ1399" s="28"/>
      <c r="CR1399" s="28"/>
      <c r="CS1399" s="28"/>
      <c r="CT1399" s="28"/>
      <c r="CU1399" s="28"/>
      <c r="CV1399" s="28"/>
      <c r="CW1399" s="28"/>
      <c r="CX1399" s="28"/>
      <c r="CY1399" s="28"/>
      <c r="CZ1399" s="28"/>
      <c r="DA1399" s="28"/>
      <c r="DB1399" s="28"/>
      <c r="DC1399" s="28"/>
      <c r="DD1399" s="28"/>
      <c r="DE1399" s="28"/>
      <c r="DF1399" s="28"/>
      <c r="DG1399" s="28"/>
      <c r="DH1399" s="28"/>
      <c r="DI1399" s="28"/>
      <c r="DJ1399" s="28"/>
      <c r="DK1399" s="28"/>
      <c r="DL1399" s="28"/>
      <c r="DM1399" s="28"/>
      <c r="DN1399" s="28"/>
      <c r="DO1399" s="28"/>
      <c r="DP1399" s="28"/>
      <c r="DQ1399" s="28"/>
      <c r="DR1399" s="28"/>
      <c r="DS1399" s="28"/>
      <c r="DT1399" s="28"/>
      <c r="DU1399" s="28"/>
      <c r="DV1399" s="28"/>
      <c r="DW1399" s="28"/>
      <c r="DX1399" s="28"/>
      <c r="DY1399" s="28"/>
      <c r="DZ1399" s="28"/>
      <c r="EA1399" s="28"/>
      <c r="EB1399" s="28"/>
      <c r="EC1399" s="28"/>
      <c r="ED1399" s="28"/>
      <c r="EE1399" s="28"/>
      <c r="EF1399" s="28"/>
      <c r="EG1399" s="28"/>
      <c r="EH1399" s="28"/>
      <c r="EI1399" s="28"/>
      <c r="EJ1399" s="28"/>
      <c r="EK1399" s="28"/>
      <c r="EL1399" s="28"/>
      <c r="EM1399" s="28"/>
      <c r="EN1399" s="28"/>
      <c r="EO1399" s="28"/>
      <c r="EP1399" s="28"/>
      <c r="EQ1399" s="28"/>
      <c r="ER1399" s="28"/>
      <c r="ES1399" s="28"/>
      <c r="ET1399" s="28"/>
      <c r="EU1399" s="28"/>
      <c r="EV1399" s="28"/>
      <c r="EW1399" s="28"/>
      <c r="EX1399" s="28"/>
      <c r="EY1399" s="28"/>
      <c r="EZ1399" s="28"/>
      <c r="FA1399" s="28"/>
      <c r="FB1399" s="28"/>
      <c r="FC1399" s="28"/>
      <c r="FD1399" s="28"/>
      <c r="FE1399" s="28"/>
      <c r="FF1399" s="28"/>
      <c r="FG1399" s="28"/>
      <c r="FH1399" s="28"/>
      <c r="FI1399" s="28"/>
      <c r="FJ1399" s="28"/>
      <c r="FK1399" s="28"/>
      <c r="FL1399" s="28"/>
      <c r="FM1399" s="28"/>
      <c r="FN1399" s="28"/>
      <c r="FO1399" s="28"/>
      <c r="FP1399" s="28"/>
      <c r="FQ1399" s="28"/>
      <c r="FR1399" s="28"/>
      <c r="FS1399" s="28"/>
      <c r="FT1399" s="28"/>
      <c r="FU1399" s="28"/>
      <c r="FV1399" s="28"/>
      <c r="FW1399" s="28"/>
      <c r="FX1399" s="28"/>
      <c r="FY1399" s="28"/>
      <c r="FZ1399" s="28"/>
      <c r="GA1399" s="28"/>
      <c r="GB1399" s="28"/>
      <c r="GC1399" s="28"/>
      <c r="GD1399" s="28"/>
      <c r="GE1399" s="28"/>
      <c r="GF1399" s="28"/>
      <c r="GG1399" s="28"/>
      <c r="GH1399" s="28"/>
      <c r="GI1399" s="28"/>
      <c r="GJ1399" s="28"/>
      <c r="GK1399" s="28"/>
      <c r="GL1399" s="28"/>
      <c r="GM1399" s="28"/>
      <c r="GN1399" s="28"/>
      <c r="GO1399" s="28"/>
      <c r="GP1399" s="28"/>
      <c r="GQ1399" s="28"/>
      <c r="GR1399" s="28"/>
      <c r="GS1399" s="28"/>
      <c r="GT1399" s="28"/>
      <c r="GU1399" s="28"/>
      <c r="GV1399" s="28"/>
      <c r="GW1399" s="28"/>
      <c r="GX1399" s="28"/>
      <c r="GY1399" s="28"/>
      <c r="GZ1399" s="28"/>
      <c r="HA1399" s="28"/>
      <c r="HB1399" s="28"/>
      <c r="HC1399" s="28"/>
      <c r="HD1399" s="28"/>
      <c r="HE1399" s="28"/>
      <c r="HF1399" s="28"/>
      <c r="HG1399" s="28"/>
      <c r="HH1399" s="28"/>
      <c r="HI1399" s="28"/>
      <c r="HJ1399" s="28"/>
      <c r="HK1399" s="28"/>
      <c r="HL1399" s="28"/>
      <c r="HM1399" s="28"/>
      <c r="HN1399" s="28"/>
      <c r="HO1399" s="28"/>
      <c r="HP1399" s="28"/>
      <c r="HQ1399" s="28"/>
      <c r="HR1399" s="28"/>
      <c r="HS1399" s="28"/>
      <c r="HT1399" s="28"/>
      <c r="HU1399" s="28"/>
      <c r="HV1399" s="28"/>
      <c r="HW1399" s="28"/>
      <c r="HX1399" s="28"/>
      <c r="HY1399" s="28"/>
      <c r="HZ1399" s="28"/>
      <c r="IA1399" s="28"/>
      <c r="IB1399" s="28"/>
      <c r="IC1399" s="28"/>
      <c r="ID1399" s="28"/>
      <c r="IE1399" s="28"/>
      <c r="IF1399" s="28"/>
      <c r="IG1399" s="28"/>
      <c r="IH1399" s="28"/>
      <c r="II1399" s="28"/>
      <c r="IJ1399" s="28"/>
      <c r="IK1399" s="28"/>
      <c r="IL1399" s="28"/>
      <c r="IM1399" s="28"/>
      <c r="IN1399" s="28"/>
      <c r="IO1399" s="28"/>
      <c r="IP1399" s="28"/>
      <c r="IQ1399" s="28"/>
      <c r="IR1399" s="28"/>
      <c r="IS1399" s="28"/>
      <c r="IT1399" s="28"/>
      <c r="IU1399" s="28"/>
      <c r="IV1399" s="28"/>
      <c r="IW1399" s="28"/>
      <c r="IX1399" s="28"/>
      <c r="IY1399" s="28"/>
      <c r="IZ1399" s="28"/>
      <c r="JA1399" s="28"/>
      <c r="JB1399" s="28"/>
      <c r="JC1399" s="28"/>
      <c r="JD1399" s="28"/>
      <c r="JE1399" s="28"/>
      <c r="JF1399" s="28"/>
      <c r="JG1399" s="28"/>
      <c r="JH1399" s="28"/>
      <c r="JI1399" s="28"/>
      <c r="JJ1399" s="28"/>
      <c r="JK1399" s="28"/>
      <c r="JL1399" s="28"/>
      <c r="JM1399" s="28"/>
      <c r="JN1399" s="28"/>
      <c r="JO1399" s="28"/>
      <c r="JP1399" s="28"/>
      <c r="JQ1399" s="28"/>
      <c r="JR1399" s="28"/>
      <c r="JS1399" s="28"/>
      <c r="JT1399" s="28"/>
      <c r="JU1399" s="28"/>
      <c r="JV1399" s="28"/>
      <c r="JW1399" s="28"/>
      <c r="JX1399" s="28"/>
      <c r="JY1399" s="28"/>
      <c r="JZ1399" s="28"/>
      <c r="KA1399" s="28"/>
      <c r="KB1399" s="28"/>
      <c r="KC1399" s="28"/>
      <c r="KD1399" s="28"/>
      <c r="KE1399" s="28"/>
      <c r="KF1399" s="28"/>
      <c r="KG1399" s="28"/>
      <c r="KH1399" s="28"/>
      <c r="KI1399" s="28"/>
      <c r="KJ1399" s="28"/>
      <c r="KK1399" s="28"/>
      <c r="KL1399" s="28"/>
      <c r="KM1399" s="28"/>
      <c r="KN1399" s="28"/>
      <c r="KO1399" s="28"/>
      <c r="KP1399" s="28"/>
      <c r="KQ1399" s="28"/>
      <c r="KR1399" s="28"/>
      <c r="KS1399" s="28"/>
      <c r="KT1399" s="28"/>
      <c r="KU1399" s="28"/>
      <c r="KV1399" s="28"/>
      <c r="KW1399" s="28"/>
      <c r="KX1399" s="28"/>
      <c r="KY1399" s="28"/>
      <c r="KZ1399" s="28"/>
      <c r="LA1399" s="28"/>
      <c r="LB1399" s="28"/>
      <c r="LC1399" s="28"/>
      <c r="LD1399" s="28"/>
      <c r="LE1399" s="28"/>
      <c r="LF1399" s="28"/>
      <c r="LG1399" s="28"/>
      <c r="LH1399" s="28"/>
      <c r="LI1399" s="28"/>
      <c r="LJ1399" s="28"/>
      <c r="LK1399" s="28"/>
      <c r="LL1399" s="28"/>
      <c r="LM1399" s="28"/>
      <c r="LN1399" s="28"/>
      <c r="LO1399" s="28"/>
      <c r="LP1399" s="28"/>
      <c r="LQ1399" s="28"/>
      <c r="LR1399" s="28"/>
      <c r="LS1399" s="28"/>
      <c r="LT1399" s="28"/>
      <c r="LU1399" s="28"/>
      <c r="LV1399" s="28"/>
      <c r="LW1399" s="28"/>
      <c r="LX1399" s="28"/>
      <c r="LY1399" s="28"/>
      <c r="LZ1399" s="28"/>
      <c r="MA1399" s="28"/>
      <c r="MB1399" s="28"/>
      <c r="MC1399" s="28"/>
      <c r="MD1399" s="28"/>
      <c r="ME1399" s="28"/>
      <c r="MF1399" s="28"/>
      <c r="MG1399" s="28"/>
      <c r="MH1399" s="28"/>
      <c r="MI1399" s="28"/>
      <c r="MJ1399" s="28"/>
      <c r="MK1399" s="28"/>
      <c r="ML1399" s="28"/>
      <c r="MM1399" s="28"/>
      <c r="MN1399" s="28"/>
      <c r="MO1399" s="28"/>
      <c r="MP1399" s="28"/>
      <c r="MQ1399" s="28"/>
      <c r="MR1399" s="28"/>
      <c r="MS1399" s="28"/>
      <c r="MT1399" s="28"/>
      <c r="MU1399" s="28"/>
      <c r="MV1399" s="28"/>
      <c r="MW1399" s="28"/>
      <c r="MX1399" s="28"/>
      <c r="MY1399" s="28"/>
      <c r="MZ1399" s="28"/>
      <c r="NA1399" s="28"/>
      <c r="NB1399" s="28"/>
      <c r="NC1399" s="28"/>
      <c r="ND1399" s="28"/>
      <c r="NE1399" s="28"/>
      <c r="NF1399" s="28"/>
      <c r="NG1399" s="28"/>
      <c r="NH1399" s="28"/>
      <c r="NI1399" s="28"/>
      <c r="NJ1399" s="28"/>
      <c r="NK1399" s="28"/>
      <c r="NL1399" s="28"/>
      <c r="NM1399" s="28"/>
      <c r="NN1399" s="28"/>
      <c r="NO1399" s="28"/>
      <c r="NP1399" s="28"/>
      <c r="NQ1399" s="28"/>
      <c r="NR1399" s="28"/>
      <c r="NS1399" s="28"/>
      <c r="NT1399" s="28"/>
      <c r="NU1399" s="28"/>
      <c r="NV1399" s="28"/>
      <c r="NW1399" s="28"/>
      <c r="NX1399" s="28"/>
      <c r="NY1399" s="28"/>
      <c r="NZ1399" s="28"/>
      <c r="OA1399" s="28"/>
      <c r="OB1399" s="28"/>
      <c r="OC1399" s="28"/>
      <c r="OD1399" s="28"/>
      <c r="OE1399" s="28"/>
      <c r="OF1399" s="28"/>
      <c r="OG1399" s="28"/>
      <c r="OH1399" s="28"/>
      <c r="OI1399" s="28"/>
      <c r="OJ1399" s="28"/>
      <c r="OK1399" s="28"/>
      <c r="OL1399" s="28"/>
      <c r="OM1399" s="28"/>
      <c r="ON1399" s="28"/>
      <c r="OO1399" s="28"/>
      <c r="OP1399" s="28"/>
      <c r="OQ1399" s="28"/>
      <c r="OR1399" s="28"/>
      <c r="OS1399" s="28"/>
      <c r="OT1399" s="28"/>
      <c r="OU1399" s="28"/>
      <c r="OV1399" s="28"/>
      <c r="OW1399" s="28"/>
      <c r="OX1399" s="28"/>
      <c r="OY1399" s="28"/>
      <c r="OZ1399" s="28"/>
      <c r="PA1399" s="28"/>
      <c r="PB1399" s="28"/>
      <c r="PC1399" s="28"/>
      <c r="PD1399" s="28"/>
      <c r="PE1399" s="28"/>
      <c r="PF1399" s="28"/>
      <c r="PG1399" s="28"/>
      <c r="PH1399" s="28"/>
      <c r="PI1399" s="28"/>
      <c r="PJ1399" s="28"/>
      <c r="PK1399" s="28"/>
      <c r="PL1399" s="28"/>
      <c r="PM1399" s="28"/>
      <c r="PN1399" s="28"/>
      <c r="PO1399" s="28"/>
      <c r="PP1399" s="28"/>
      <c r="PQ1399" s="28"/>
      <c r="PR1399" s="28"/>
      <c r="PS1399" s="28"/>
      <c r="PT1399" s="28"/>
      <c r="PU1399" s="28"/>
      <c r="PV1399" s="28"/>
      <c r="PW1399" s="28"/>
      <c r="PX1399" s="28"/>
      <c r="PY1399" s="28"/>
      <c r="PZ1399" s="28"/>
      <c r="QA1399" s="28"/>
      <c r="QB1399" s="28"/>
      <c r="QC1399" s="28"/>
      <c r="QD1399" s="28"/>
      <c r="QE1399" s="28"/>
      <c r="QF1399" s="28"/>
      <c r="QG1399" s="28"/>
      <c r="QH1399" s="28"/>
      <c r="QI1399" s="28"/>
      <c r="QJ1399" s="28"/>
      <c r="QK1399" s="28"/>
      <c r="QL1399" s="28"/>
      <c r="QM1399" s="28"/>
      <c r="QN1399" s="28"/>
      <c r="QO1399" s="28"/>
      <c r="QP1399" s="28"/>
      <c r="QQ1399" s="28"/>
      <c r="QR1399" s="28"/>
      <c r="QS1399" s="28"/>
      <c r="QT1399" s="28"/>
      <c r="QU1399" s="28"/>
      <c r="QV1399" s="28"/>
      <c r="QW1399" s="28"/>
      <c r="QX1399" s="28"/>
      <c r="QY1399" s="28"/>
      <c r="QZ1399" s="28"/>
      <c r="RA1399" s="28"/>
      <c r="RB1399" s="28"/>
      <c r="RC1399" s="28"/>
      <c r="RD1399" s="28"/>
      <c r="RE1399" s="28"/>
      <c r="RF1399" s="28"/>
      <c r="RG1399" s="28"/>
      <c r="RH1399" s="28"/>
      <c r="RI1399" s="28"/>
      <c r="RJ1399" s="28"/>
      <c r="RK1399" s="28"/>
      <c r="RL1399" s="28"/>
      <c r="RM1399" s="28"/>
      <c r="RN1399" s="28"/>
      <c r="RO1399" s="28"/>
      <c r="RP1399" s="28"/>
      <c r="RQ1399" s="28"/>
      <c r="RR1399" s="28"/>
      <c r="RS1399" s="28"/>
      <c r="RT1399" s="28"/>
      <c r="RU1399" s="28"/>
      <c r="RV1399" s="28"/>
      <c r="RW1399" s="28"/>
      <c r="RX1399" s="28"/>
      <c r="RY1399" s="28"/>
      <c r="RZ1399" s="28"/>
      <c r="SA1399" s="28"/>
      <c r="SB1399" s="28"/>
      <c r="SC1399" s="28"/>
      <c r="SD1399" s="28"/>
      <c r="SE1399" s="28"/>
      <c r="SF1399" s="28"/>
      <c r="SG1399" s="28"/>
      <c r="SH1399" s="28"/>
      <c r="SI1399" s="28"/>
      <c r="SJ1399" s="28"/>
      <c r="SK1399" s="28"/>
      <c r="SL1399" s="28"/>
      <c r="SM1399" s="28"/>
      <c r="SN1399" s="28"/>
      <c r="SO1399" s="28"/>
      <c r="SP1399" s="28"/>
      <c r="SQ1399" s="28"/>
      <c r="SR1399" s="28"/>
      <c r="SS1399" s="28"/>
      <c r="ST1399" s="28"/>
      <c r="SU1399" s="28"/>
      <c r="SV1399" s="28"/>
      <c r="SW1399" s="28"/>
      <c r="SX1399" s="28"/>
      <c r="SY1399" s="28"/>
      <c r="SZ1399" s="28"/>
      <c r="TA1399" s="28"/>
      <c r="TB1399" s="28"/>
      <c r="TC1399" s="28"/>
      <c r="TD1399" s="28"/>
      <c r="TE1399" s="28"/>
      <c r="TF1399" s="28"/>
      <c r="TG1399" s="28"/>
      <c r="TH1399" s="28"/>
      <c r="TI1399" s="28"/>
      <c r="TJ1399" s="28"/>
      <c r="TK1399" s="28"/>
      <c r="TL1399" s="28"/>
      <c r="TM1399" s="28"/>
      <c r="TN1399" s="28"/>
      <c r="TO1399" s="28"/>
      <c r="TP1399" s="28"/>
      <c r="TQ1399" s="28"/>
      <c r="TR1399" s="28"/>
      <c r="TS1399" s="28"/>
      <c r="TT1399" s="28"/>
      <c r="TU1399" s="28"/>
      <c r="TV1399" s="28"/>
      <c r="TW1399" s="28"/>
      <c r="TX1399" s="28"/>
      <c r="TY1399" s="28"/>
      <c r="TZ1399" s="28"/>
      <c r="UA1399" s="28"/>
      <c r="UB1399" s="28"/>
      <c r="UC1399" s="28"/>
      <c r="UD1399" s="28"/>
      <c r="UE1399" s="28"/>
      <c r="UF1399" s="28"/>
      <c r="UG1399" s="29"/>
    </row>
    <row r="1400" spans="1:553" ht="69" customHeight="1">
      <c r="A1400" s="356" t="s">
        <v>15</v>
      </c>
      <c r="B1400" s="366" t="s">
        <v>37</v>
      </c>
      <c r="C1400" s="1450" t="s">
        <v>755</v>
      </c>
      <c r="D1400" s="1389"/>
      <c r="E1400" s="1389"/>
      <c r="F1400" s="1390"/>
      <c r="G1400" s="397" t="s">
        <v>255</v>
      </c>
      <c r="H1400" s="370"/>
      <c r="I1400" s="417">
        <f>4.6*4.2</f>
        <v>19.32</v>
      </c>
      <c r="J1400" s="797">
        <v>137200</v>
      </c>
      <c r="K1400" s="419">
        <v>0.8</v>
      </c>
      <c r="L1400" s="487">
        <f t="shared" si="212"/>
        <v>2120563</v>
      </c>
      <c r="M1400" s="395"/>
      <c r="N1400" s="395"/>
      <c r="O1400" s="366"/>
      <c r="P1400" s="396"/>
      <c r="Q1400" s="473"/>
      <c r="R1400" s="1039"/>
      <c r="S1400" s="308"/>
      <c r="T1400" s="308"/>
      <c r="U1400" s="308"/>
      <c r="V1400" s="308"/>
      <c r="W1400" s="308"/>
      <c r="X1400" s="308"/>
      <c r="Y1400" s="308"/>
      <c r="Z1400" s="604"/>
      <c r="AA1400" s="308"/>
      <c r="AB1400" s="308"/>
      <c r="AC1400" s="486"/>
      <c r="AD1400" s="486"/>
      <c r="AE1400" s="486"/>
      <c r="AF1400" s="486"/>
      <c r="AG1400" s="486"/>
      <c r="AH1400" s="486"/>
      <c r="AI1400" s="486"/>
      <c r="AJ1400" s="486"/>
      <c r="AK1400" s="486"/>
      <c r="AL1400" s="206"/>
      <c r="AM1400" s="28"/>
      <c r="AN1400" s="28"/>
      <c r="AO1400" s="28"/>
      <c r="AP1400" s="28"/>
      <c r="AQ1400" s="28"/>
      <c r="AR1400" s="28"/>
      <c r="AS1400" s="28"/>
      <c r="AT1400" s="28"/>
      <c r="AU1400" s="28"/>
      <c r="AV1400" s="28"/>
      <c r="AW1400" s="28"/>
      <c r="AX1400" s="28"/>
      <c r="AY1400" s="28"/>
      <c r="AZ1400" s="28"/>
      <c r="BA1400" s="28"/>
      <c r="BB1400" s="28"/>
      <c r="BC1400" s="28"/>
      <c r="BD1400" s="28"/>
      <c r="BE1400" s="28"/>
      <c r="BF1400" s="28"/>
      <c r="BG1400" s="28"/>
      <c r="BH1400" s="28"/>
      <c r="BI1400" s="28"/>
      <c r="BJ1400" s="28"/>
      <c r="BK1400" s="28"/>
      <c r="BL1400" s="28"/>
      <c r="BM1400" s="28"/>
      <c r="BN1400" s="28"/>
      <c r="BO1400" s="28"/>
      <c r="BP1400" s="28"/>
      <c r="BQ1400" s="28"/>
      <c r="BR1400" s="28"/>
      <c r="BS1400" s="28"/>
      <c r="BT1400" s="28"/>
      <c r="BU1400" s="28"/>
      <c r="BV1400" s="28"/>
      <c r="BW1400" s="28"/>
      <c r="BX1400" s="28"/>
      <c r="BY1400" s="28"/>
      <c r="BZ1400" s="28"/>
      <c r="CA1400" s="28"/>
      <c r="CB1400" s="28"/>
      <c r="CC1400" s="28"/>
      <c r="CD1400" s="28"/>
      <c r="CE1400" s="28"/>
      <c r="CF1400" s="28"/>
      <c r="CG1400" s="28"/>
      <c r="CH1400" s="28"/>
      <c r="CI1400" s="28"/>
      <c r="CJ1400" s="28"/>
      <c r="CK1400" s="28"/>
      <c r="CL1400" s="28"/>
      <c r="CM1400" s="28"/>
      <c r="CN1400" s="28"/>
      <c r="CO1400" s="28"/>
      <c r="CP1400" s="28"/>
      <c r="CQ1400" s="28"/>
      <c r="CR1400" s="28"/>
      <c r="CS1400" s="28"/>
      <c r="CT1400" s="28"/>
      <c r="CU1400" s="28"/>
      <c r="CV1400" s="28"/>
      <c r="CW1400" s="28"/>
      <c r="CX1400" s="28"/>
      <c r="CY1400" s="28"/>
      <c r="CZ1400" s="28"/>
      <c r="DA1400" s="28"/>
      <c r="DB1400" s="28"/>
      <c r="DC1400" s="28"/>
      <c r="DD1400" s="28"/>
      <c r="DE1400" s="28"/>
      <c r="DF1400" s="28"/>
      <c r="DG1400" s="28"/>
      <c r="DH1400" s="28"/>
      <c r="DI1400" s="28"/>
      <c r="DJ1400" s="28"/>
      <c r="DK1400" s="28"/>
      <c r="DL1400" s="28"/>
      <c r="DM1400" s="28"/>
      <c r="DN1400" s="28"/>
      <c r="DO1400" s="28"/>
      <c r="DP1400" s="28"/>
      <c r="DQ1400" s="28"/>
      <c r="DR1400" s="28"/>
      <c r="DS1400" s="28"/>
      <c r="DT1400" s="28"/>
      <c r="DU1400" s="28"/>
      <c r="DV1400" s="28"/>
      <c r="DW1400" s="28"/>
      <c r="DX1400" s="28"/>
      <c r="DY1400" s="28"/>
      <c r="DZ1400" s="28"/>
      <c r="EA1400" s="28"/>
      <c r="EB1400" s="28"/>
      <c r="EC1400" s="28"/>
      <c r="ED1400" s="28"/>
      <c r="EE1400" s="28"/>
      <c r="EF1400" s="28"/>
      <c r="EG1400" s="28"/>
      <c r="EH1400" s="28"/>
      <c r="EI1400" s="28"/>
      <c r="EJ1400" s="28"/>
      <c r="EK1400" s="28"/>
      <c r="EL1400" s="28"/>
      <c r="EM1400" s="28"/>
      <c r="EN1400" s="28"/>
      <c r="EO1400" s="28"/>
      <c r="EP1400" s="28"/>
      <c r="EQ1400" s="28"/>
      <c r="ER1400" s="28"/>
      <c r="ES1400" s="28"/>
      <c r="ET1400" s="28"/>
      <c r="EU1400" s="28"/>
      <c r="EV1400" s="28"/>
      <c r="EW1400" s="28"/>
      <c r="EX1400" s="28"/>
      <c r="EY1400" s="28"/>
      <c r="EZ1400" s="28"/>
      <c r="FA1400" s="28"/>
      <c r="FB1400" s="28"/>
      <c r="FC1400" s="28"/>
      <c r="FD1400" s="28"/>
      <c r="FE1400" s="28"/>
      <c r="FF1400" s="28"/>
      <c r="FG1400" s="28"/>
      <c r="FH1400" s="28"/>
      <c r="FI1400" s="28"/>
      <c r="FJ1400" s="28"/>
      <c r="FK1400" s="28"/>
      <c r="FL1400" s="28"/>
      <c r="FM1400" s="28"/>
      <c r="FN1400" s="28"/>
      <c r="FO1400" s="28"/>
      <c r="FP1400" s="28"/>
      <c r="FQ1400" s="28"/>
      <c r="FR1400" s="28"/>
      <c r="FS1400" s="28"/>
      <c r="FT1400" s="28"/>
      <c r="FU1400" s="28"/>
      <c r="FV1400" s="28"/>
      <c r="FW1400" s="28"/>
      <c r="FX1400" s="28"/>
      <c r="FY1400" s="28"/>
      <c r="FZ1400" s="28"/>
      <c r="GA1400" s="28"/>
      <c r="GB1400" s="28"/>
      <c r="GC1400" s="28"/>
      <c r="GD1400" s="28"/>
      <c r="GE1400" s="28"/>
      <c r="GF1400" s="28"/>
      <c r="GG1400" s="28"/>
      <c r="GH1400" s="28"/>
      <c r="GI1400" s="28"/>
      <c r="GJ1400" s="28"/>
      <c r="GK1400" s="28"/>
      <c r="GL1400" s="28"/>
      <c r="GM1400" s="28"/>
      <c r="GN1400" s="28"/>
      <c r="GO1400" s="28"/>
      <c r="GP1400" s="28"/>
      <c r="GQ1400" s="28"/>
      <c r="GR1400" s="28"/>
      <c r="GS1400" s="28"/>
      <c r="GT1400" s="28"/>
      <c r="GU1400" s="28"/>
      <c r="GV1400" s="28"/>
      <c r="GW1400" s="28"/>
      <c r="GX1400" s="28"/>
      <c r="GY1400" s="28"/>
      <c r="GZ1400" s="28"/>
      <c r="HA1400" s="28"/>
      <c r="HB1400" s="28"/>
      <c r="HC1400" s="28"/>
      <c r="HD1400" s="28"/>
      <c r="HE1400" s="28"/>
      <c r="HF1400" s="28"/>
      <c r="HG1400" s="28"/>
      <c r="HH1400" s="28"/>
      <c r="HI1400" s="28"/>
      <c r="HJ1400" s="28"/>
      <c r="HK1400" s="28"/>
      <c r="HL1400" s="28"/>
      <c r="HM1400" s="28"/>
      <c r="HN1400" s="28"/>
      <c r="HO1400" s="28"/>
      <c r="HP1400" s="28"/>
      <c r="HQ1400" s="28"/>
      <c r="HR1400" s="28"/>
      <c r="HS1400" s="28"/>
      <c r="HT1400" s="28"/>
      <c r="HU1400" s="28"/>
      <c r="HV1400" s="28"/>
      <c r="HW1400" s="28"/>
      <c r="HX1400" s="28"/>
      <c r="HY1400" s="28"/>
      <c r="HZ1400" s="28"/>
      <c r="IA1400" s="28"/>
      <c r="IB1400" s="28"/>
      <c r="IC1400" s="28"/>
      <c r="ID1400" s="28"/>
      <c r="IE1400" s="28"/>
      <c r="IF1400" s="28"/>
      <c r="IG1400" s="28"/>
      <c r="IH1400" s="28"/>
      <c r="II1400" s="28"/>
      <c r="IJ1400" s="28"/>
      <c r="IK1400" s="28"/>
      <c r="IL1400" s="28"/>
      <c r="IM1400" s="28"/>
      <c r="IN1400" s="28"/>
      <c r="IO1400" s="28"/>
      <c r="IP1400" s="28"/>
      <c r="IQ1400" s="28"/>
      <c r="IR1400" s="28"/>
      <c r="IS1400" s="28"/>
      <c r="IT1400" s="28"/>
      <c r="IU1400" s="28"/>
      <c r="IV1400" s="28"/>
      <c r="IW1400" s="28"/>
      <c r="IX1400" s="28"/>
      <c r="IY1400" s="28"/>
      <c r="IZ1400" s="28"/>
      <c r="JA1400" s="28"/>
      <c r="JB1400" s="28"/>
      <c r="JC1400" s="28"/>
      <c r="JD1400" s="28"/>
      <c r="JE1400" s="28"/>
      <c r="JF1400" s="28"/>
      <c r="JG1400" s="28"/>
      <c r="JH1400" s="28"/>
      <c r="JI1400" s="28"/>
      <c r="JJ1400" s="28"/>
      <c r="JK1400" s="28"/>
      <c r="JL1400" s="28"/>
      <c r="JM1400" s="28"/>
      <c r="JN1400" s="28"/>
      <c r="JO1400" s="28"/>
      <c r="JP1400" s="28"/>
      <c r="JQ1400" s="28"/>
      <c r="JR1400" s="28"/>
      <c r="JS1400" s="28"/>
      <c r="JT1400" s="28"/>
      <c r="JU1400" s="28"/>
      <c r="JV1400" s="28"/>
      <c r="JW1400" s="28"/>
      <c r="JX1400" s="28"/>
      <c r="JY1400" s="28"/>
      <c r="JZ1400" s="28"/>
      <c r="KA1400" s="28"/>
      <c r="KB1400" s="28"/>
      <c r="KC1400" s="28"/>
      <c r="KD1400" s="28"/>
      <c r="KE1400" s="28"/>
      <c r="KF1400" s="28"/>
      <c r="KG1400" s="28"/>
      <c r="KH1400" s="28"/>
      <c r="KI1400" s="28"/>
      <c r="KJ1400" s="28"/>
      <c r="KK1400" s="28"/>
      <c r="KL1400" s="28"/>
      <c r="KM1400" s="28"/>
      <c r="KN1400" s="28"/>
      <c r="KO1400" s="28"/>
      <c r="KP1400" s="28"/>
      <c r="KQ1400" s="28"/>
      <c r="KR1400" s="28"/>
      <c r="KS1400" s="28"/>
      <c r="KT1400" s="28"/>
      <c r="KU1400" s="28"/>
      <c r="KV1400" s="28"/>
      <c r="KW1400" s="28"/>
      <c r="KX1400" s="28"/>
      <c r="KY1400" s="28"/>
      <c r="KZ1400" s="28"/>
      <c r="LA1400" s="28"/>
      <c r="LB1400" s="28"/>
      <c r="LC1400" s="28"/>
      <c r="LD1400" s="28"/>
      <c r="LE1400" s="28"/>
      <c r="LF1400" s="28"/>
      <c r="LG1400" s="28"/>
      <c r="LH1400" s="28"/>
      <c r="LI1400" s="28"/>
      <c r="LJ1400" s="28"/>
      <c r="LK1400" s="28"/>
      <c r="LL1400" s="28"/>
      <c r="LM1400" s="28"/>
      <c r="LN1400" s="28"/>
      <c r="LO1400" s="28"/>
      <c r="LP1400" s="28"/>
      <c r="LQ1400" s="28"/>
      <c r="LR1400" s="28"/>
      <c r="LS1400" s="28"/>
      <c r="LT1400" s="28"/>
      <c r="LU1400" s="28"/>
      <c r="LV1400" s="28"/>
      <c r="LW1400" s="28"/>
      <c r="LX1400" s="28"/>
      <c r="LY1400" s="28"/>
      <c r="LZ1400" s="28"/>
      <c r="MA1400" s="28"/>
      <c r="MB1400" s="28"/>
      <c r="MC1400" s="28"/>
      <c r="MD1400" s="28"/>
      <c r="ME1400" s="28"/>
      <c r="MF1400" s="28"/>
      <c r="MG1400" s="28"/>
      <c r="MH1400" s="28"/>
      <c r="MI1400" s="28"/>
      <c r="MJ1400" s="28"/>
      <c r="MK1400" s="28"/>
      <c r="ML1400" s="28"/>
      <c r="MM1400" s="28"/>
      <c r="MN1400" s="28"/>
      <c r="MO1400" s="28"/>
      <c r="MP1400" s="28"/>
      <c r="MQ1400" s="28"/>
      <c r="MR1400" s="28"/>
      <c r="MS1400" s="28"/>
      <c r="MT1400" s="28"/>
      <c r="MU1400" s="28"/>
      <c r="MV1400" s="28"/>
      <c r="MW1400" s="28"/>
      <c r="MX1400" s="28"/>
      <c r="MY1400" s="28"/>
      <c r="MZ1400" s="28"/>
      <c r="NA1400" s="28"/>
      <c r="NB1400" s="28"/>
      <c r="NC1400" s="28"/>
      <c r="ND1400" s="28"/>
      <c r="NE1400" s="28"/>
      <c r="NF1400" s="28"/>
      <c r="NG1400" s="28"/>
      <c r="NH1400" s="28"/>
      <c r="NI1400" s="28"/>
      <c r="NJ1400" s="28"/>
      <c r="NK1400" s="28"/>
      <c r="NL1400" s="28"/>
      <c r="NM1400" s="28"/>
      <c r="NN1400" s="28"/>
      <c r="NO1400" s="28"/>
      <c r="NP1400" s="28"/>
      <c r="NQ1400" s="28"/>
      <c r="NR1400" s="28"/>
      <c r="NS1400" s="28"/>
      <c r="NT1400" s="28"/>
      <c r="NU1400" s="28"/>
      <c r="NV1400" s="28"/>
      <c r="NW1400" s="28"/>
      <c r="NX1400" s="28"/>
      <c r="NY1400" s="28"/>
      <c r="NZ1400" s="28"/>
      <c r="OA1400" s="28"/>
      <c r="OB1400" s="28"/>
      <c r="OC1400" s="28"/>
      <c r="OD1400" s="28"/>
      <c r="OE1400" s="28"/>
      <c r="OF1400" s="28"/>
      <c r="OG1400" s="28"/>
      <c r="OH1400" s="28"/>
      <c r="OI1400" s="28"/>
      <c r="OJ1400" s="28"/>
      <c r="OK1400" s="28"/>
      <c r="OL1400" s="28"/>
      <c r="OM1400" s="28"/>
      <c r="ON1400" s="28"/>
      <c r="OO1400" s="28"/>
      <c r="OP1400" s="28"/>
      <c r="OQ1400" s="28"/>
      <c r="OR1400" s="28"/>
      <c r="OS1400" s="28"/>
      <c r="OT1400" s="28"/>
      <c r="OU1400" s="28"/>
      <c r="OV1400" s="28"/>
      <c r="OW1400" s="28"/>
      <c r="OX1400" s="28"/>
      <c r="OY1400" s="28"/>
      <c r="OZ1400" s="28"/>
      <c r="PA1400" s="28"/>
      <c r="PB1400" s="28"/>
      <c r="PC1400" s="28"/>
      <c r="PD1400" s="28"/>
      <c r="PE1400" s="28"/>
      <c r="PF1400" s="28"/>
      <c r="PG1400" s="28"/>
      <c r="PH1400" s="28"/>
      <c r="PI1400" s="28"/>
      <c r="PJ1400" s="28"/>
      <c r="PK1400" s="28"/>
      <c r="PL1400" s="28"/>
      <c r="PM1400" s="28"/>
      <c r="PN1400" s="28"/>
      <c r="PO1400" s="28"/>
      <c r="PP1400" s="28"/>
      <c r="PQ1400" s="28"/>
      <c r="PR1400" s="28"/>
      <c r="PS1400" s="28"/>
      <c r="PT1400" s="28"/>
      <c r="PU1400" s="28"/>
      <c r="PV1400" s="28"/>
      <c r="PW1400" s="28"/>
      <c r="PX1400" s="28"/>
      <c r="PY1400" s="28"/>
      <c r="PZ1400" s="28"/>
      <c r="QA1400" s="28"/>
      <c r="QB1400" s="28"/>
      <c r="QC1400" s="28"/>
      <c r="QD1400" s="28"/>
      <c r="QE1400" s="28"/>
      <c r="QF1400" s="28"/>
      <c r="QG1400" s="28"/>
      <c r="QH1400" s="28"/>
      <c r="QI1400" s="28"/>
      <c r="QJ1400" s="28"/>
      <c r="QK1400" s="28"/>
      <c r="QL1400" s="28"/>
      <c r="QM1400" s="28"/>
      <c r="QN1400" s="28"/>
      <c r="QO1400" s="28"/>
      <c r="QP1400" s="28"/>
      <c r="QQ1400" s="28"/>
      <c r="QR1400" s="28"/>
      <c r="QS1400" s="28"/>
      <c r="QT1400" s="28"/>
      <c r="QU1400" s="28"/>
      <c r="QV1400" s="28"/>
      <c r="QW1400" s="28"/>
      <c r="QX1400" s="28"/>
      <c r="QY1400" s="28"/>
      <c r="QZ1400" s="28"/>
      <c r="RA1400" s="28"/>
      <c r="RB1400" s="28"/>
      <c r="RC1400" s="28"/>
      <c r="RD1400" s="28"/>
      <c r="RE1400" s="28"/>
      <c r="RF1400" s="28"/>
      <c r="RG1400" s="28"/>
      <c r="RH1400" s="28"/>
      <c r="RI1400" s="28"/>
      <c r="RJ1400" s="28"/>
      <c r="RK1400" s="28"/>
      <c r="RL1400" s="28"/>
      <c r="RM1400" s="28"/>
      <c r="RN1400" s="28"/>
      <c r="RO1400" s="28"/>
      <c r="RP1400" s="28"/>
      <c r="RQ1400" s="28"/>
      <c r="RR1400" s="28"/>
      <c r="RS1400" s="28"/>
      <c r="RT1400" s="28"/>
      <c r="RU1400" s="28"/>
      <c r="RV1400" s="28"/>
      <c r="RW1400" s="28"/>
      <c r="RX1400" s="28"/>
      <c r="RY1400" s="28"/>
      <c r="RZ1400" s="28"/>
      <c r="SA1400" s="28"/>
      <c r="SB1400" s="28"/>
      <c r="SC1400" s="28"/>
      <c r="SD1400" s="28"/>
      <c r="SE1400" s="28"/>
      <c r="SF1400" s="28"/>
      <c r="SG1400" s="28"/>
      <c r="SH1400" s="28"/>
      <c r="SI1400" s="28"/>
      <c r="SJ1400" s="28"/>
      <c r="SK1400" s="28"/>
      <c r="SL1400" s="28"/>
      <c r="SM1400" s="28"/>
      <c r="SN1400" s="28"/>
      <c r="SO1400" s="28"/>
      <c r="SP1400" s="28"/>
      <c r="SQ1400" s="28"/>
      <c r="SR1400" s="28"/>
      <c r="SS1400" s="28"/>
      <c r="ST1400" s="28"/>
      <c r="SU1400" s="28"/>
      <c r="SV1400" s="28"/>
      <c r="SW1400" s="28"/>
      <c r="SX1400" s="28"/>
      <c r="SY1400" s="28"/>
      <c r="SZ1400" s="28"/>
      <c r="TA1400" s="28"/>
      <c r="TB1400" s="28"/>
      <c r="TC1400" s="28"/>
      <c r="TD1400" s="28"/>
      <c r="TE1400" s="28"/>
      <c r="TF1400" s="28"/>
      <c r="TG1400" s="28"/>
      <c r="TH1400" s="28"/>
      <c r="TI1400" s="28"/>
      <c r="TJ1400" s="28"/>
      <c r="TK1400" s="28"/>
      <c r="TL1400" s="28"/>
      <c r="TM1400" s="28"/>
      <c r="TN1400" s="28"/>
      <c r="TO1400" s="28"/>
      <c r="TP1400" s="28"/>
      <c r="TQ1400" s="28"/>
      <c r="TR1400" s="28"/>
      <c r="TS1400" s="28"/>
      <c r="TT1400" s="28"/>
      <c r="TU1400" s="28"/>
      <c r="TV1400" s="28"/>
      <c r="TW1400" s="28"/>
      <c r="TX1400" s="28"/>
      <c r="TY1400" s="28"/>
      <c r="TZ1400" s="28"/>
      <c r="UA1400" s="28"/>
      <c r="UB1400" s="28"/>
      <c r="UC1400" s="28"/>
      <c r="UD1400" s="28"/>
      <c r="UE1400" s="28"/>
      <c r="UF1400" s="28"/>
      <c r="UG1400" s="29"/>
    </row>
    <row r="1401" spans="1:553" s="215" customFormat="1" ht="69" customHeight="1">
      <c r="A1401" s="356" t="s">
        <v>15</v>
      </c>
      <c r="B1401" s="366" t="s">
        <v>756</v>
      </c>
      <c r="C1401" s="1450" t="s">
        <v>1308</v>
      </c>
      <c r="D1401" s="1569"/>
      <c r="E1401" s="1569"/>
      <c r="F1401" s="1570"/>
      <c r="G1401" s="397" t="s">
        <v>113</v>
      </c>
      <c r="H1401" s="370"/>
      <c r="I1401" s="417">
        <f>20.5*0.45*1.5</f>
        <v>13.837499999999999</v>
      </c>
      <c r="J1401" s="368">
        <v>606342</v>
      </c>
      <c r="K1401" s="419">
        <v>0.8</v>
      </c>
      <c r="L1401" s="487">
        <f t="shared" si="212"/>
        <v>6712206</v>
      </c>
      <c r="M1401" s="395"/>
      <c r="N1401" s="395"/>
      <c r="O1401" s="366"/>
      <c r="P1401" s="396"/>
      <c r="Q1401" s="473"/>
      <c r="R1401" s="1039"/>
      <c r="S1401" s="308"/>
      <c r="T1401" s="308"/>
      <c r="U1401" s="308"/>
      <c r="V1401" s="308"/>
      <c r="W1401" s="308"/>
      <c r="X1401" s="308"/>
      <c r="Y1401" s="308"/>
      <c r="Z1401" s="604"/>
      <c r="AA1401" s="308"/>
      <c r="AB1401" s="308"/>
      <c r="AC1401" s="308"/>
      <c r="AD1401" s="308"/>
      <c r="AE1401" s="308"/>
      <c r="AF1401" s="308"/>
      <c r="AG1401" s="308"/>
      <c r="AH1401" s="308"/>
      <c r="AI1401" s="308"/>
      <c r="AJ1401" s="308"/>
      <c r="AK1401" s="308"/>
      <c r="AL1401" s="333"/>
      <c r="AM1401" s="216"/>
      <c r="AN1401" s="216"/>
      <c r="AO1401" s="216"/>
      <c r="AP1401" s="216"/>
      <c r="AQ1401" s="216"/>
      <c r="AR1401" s="216"/>
      <c r="AS1401" s="216"/>
      <c r="AT1401" s="216"/>
      <c r="AU1401" s="216"/>
      <c r="AV1401" s="216"/>
      <c r="AW1401" s="216"/>
      <c r="AX1401" s="216"/>
      <c r="AY1401" s="216"/>
      <c r="AZ1401" s="216"/>
      <c r="BA1401" s="216"/>
      <c r="BB1401" s="216"/>
      <c r="BC1401" s="216"/>
      <c r="BD1401" s="216"/>
      <c r="BE1401" s="216"/>
      <c r="BF1401" s="216"/>
      <c r="BG1401" s="216"/>
      <c r="BH1401" s="216"/>
      <c r="BI1401" s="216"/>
      <c r="BJ1401" s="216"/>
      <c r="BK1401" s="216"/>
      <c r="BL1401" s="216"/>
      <c r="BM1401" s="216"/>
      <c r="BN1401" s="216"/>
      <c r="BO1401" s="216"/>
      <c r="BP1401" s="216"/>
      <c r="BQ1401" s="216"/>
      <c r="BR1401" s="216"/>
      <c r="BS1401" s="216"/>
      <c r="BT1401" s="216"/>
      <c r="BU1401" s="216"/>
      <c r="BV1401" s="216"/>
      <c r="BW1401" s="216"/>
      <c r="BX1401" s="216"/>
      <c r="BY1401" s="216"/>
      <c r="BZ1401" s="216"/>
      <c r="CA1401" s="216"/>
      <c r="CB1401" s="216"/>
      <c r="CC1401" s="216"/>
      <c r="CD1401" s="216"/>
      <c r="CE1401" s="216"/>
      <c r="CF1401" s="216"/>
      <c r="CG1401" s="216"/>
      <c r="CH1401" s="216"/>
      <c r="CI1401" s="216"/>
      <c r="CJ1401" s="216"/>
      <c r="CK1401" s="216"/>
      <c r="CL1401" s="216"/>
      <c r="CM1401" s="216"/>
      <c r="CN1401" s="216"/>
      <c r="CO1401" s="216"/>
      <c r="CP1401" s="216"/>
      <c r="CQ1401" s="216"/>
      <c r="CR1401" s="216"/>
      <c r="CS1401" s="216"/>
      <c r="CT1401" s="216"/>
      <c r="CU1401" s="216"/>
      <c r="CV1401" s="216"/>
      <c r="CW1401" s="216"/>
      <c r="CX1401" s="216"/>
      <c r="CY1401" s="216"/>
      <c r="CZ1401" s="216"/>
      <c r="DA1401" s="216"/>
      <c r="DB1401" s="216"/>
      <c r="DC1401" s="216"/>
      <c r="DD1401" s="216"/>
      <c r="DE1401" s="216"/>
      <c r="DF1401" s="216"/>
      <c r="DG1401" s="216"/>
      <c r="DH1401" s="216"/>
      <c r="DI1401" s="216"/>
      <c r="DJ1401" s="216"/>
      <c r="DK1401" s="216"/>
      <c r="DL1401" s="216"/>
      <c r="DM1401" s="216"/>
      <c r="DN1401" s="216"/>
      <c r="DO1401" s="216"/>
      <c r="DP1401" s="216"/>
      <c r="DQ1401" s="216"/>
      <c r="DR1401" s="216"/>
      <c r="DS1401" s="216"/>
      <c r="DT1401" s="216"/>
      <c r="DU1401" s="216"/>
      <c r="DV1401" s="216"/>
      <c r="DW1401" s="216"/>
      <c r="DX1401" s="216"/>
      <c r="DY1401" s="216"/>
      <c r="DZ1401" s="216"/>
      <c r="EA1401" s="216"/>
      <c r="EB1401" s="216"/>
      <c r="EC1401" s="216"/>
      <c r="ED1401" s="216"/>
      <c r="EE1401" s="216"/>
      <c r="EF1401" s="216"/>
      <c r="EG1401" s="216"/>
      <c r="EH1401" s="216"/>
      <c r="EI1401" s="216"/>
      <c r="EJ1401" s="216"/>
      <c r="EK1401" s="216"/>
      <c r="EL1401" s="216"/>
      <c r="EM1401" s="216"/>
      <c r="EN1401" s="216"/>
      <c r="EO1401" s="216"/>
      <c r="EP1401" s="216"/>
      <c r="EQ1401" s="216"/>
      <c r="ER1401" s="216"/>
      <c r="ES1401" s="216"/>
      <c r="ET1401" s="216"/>
      <c r="EU1401" s="216"/>
      <c r="EV1401" s="216"/>
      <c r="EW1401" s="216"/>
      <c r="EX1401" s="216"/>
      <c r="EY1401" s="216"/>
      <c r="EZ1401" s="216"/>
      <c r="FA1401" s="216"/>
      <c r="FB1401" s="216"/>
      <c r="FC1401" s="216"/>
      <c r="FD1401" s="216"/>
      <c r="FE1401" s="216"/>
      <c r="FF1401" s="216"/>
      <c r="FG1401" s="216"/>
      <c r="FH1401" s="216"/>
      <c r="FI1401" s="216"/>
      <c r="FJ1401" s="216"/>
      <c r="FK1401" s="216"/>
      <c r="FL1401" s="216"/>
      <c r="FM1401" s="216"/>
      <c r="FN1401" s="216"/>
      <c r="FO1401" s="216"/>
      <c r="FP1401" s="216"/>
      <c r="FQ1401" s="216"/>
      <c r="FR1401" s="216"/>
      <c r="FS1401" s="216"/>
      <c r="FT1401" s="216"/>
      <c r="FU1401" s="216"/>
      <c r="FV1401" s="216"/>
      <c r="FW1401" s="216"/>
      <c r="FX1401" s="216"/>
      <c r="FY1401" s="216"/>
      <c r="FZ1401" s="216"/>
      <c r="GA1401" s="216"/>
      <c r="GB1401" s="216"/>
      <c r="GC1401" s="216"/>
      <c r="GD1401" s="216"/>
      <c r="GE1401" s="216"/>
      <c r="GF1401" s="216"/>
      <c r="GG1401" s="216"/>
      <c r="GH1401" s="216"/>
      <c r="GI1401" s="216"/>
      <c r="GJ1401" s="216"/>
      <c r="GK1401" s="216"/>
      <c r="GL1401" s="216"/>
      <c r="GM1401" s="216"/>
      <c r="GN1401" s="216"/>
      <c r="GO1401" s="216"/>
      <c r="GP1401" s="216"/>
      <c r="GQ1401" s="216"/>
      <c r="GR1401" s="216"/>
      <c r="GS1401" s="216"/>
      <c r="GT1401" s="216"/>
      <c r="GU1401" s="216"/>
      <c r="GV1401" s="216"/>
      <c r="GW1401" s="216"/>
      <c r="GX1401" s="216"/>
      <c r="GY1401" s="216"/>
      <c r="GZ1401" s="216"/>
      <c r="HA1401" s="216"/>
      <c r="HB1401" s="216"/>
      <c r="HC1401" s="216"/>
      <c r="HD1401" s="216"/>
      <c r="HE1401" s="216"/>
      <c r="HF1401" s="216"/>
      <c r="HG1401" s="216"/>
      <c r="HH1401" s="216"/>
      <c r="HI1401" s="216"/>
      <c r="HJ1401" s="216"/>
      <c r="HK1401" s="216"/>
      <c r="HL1401" s="216"/>
      <c r="HM1401" s="216"/>
      <c r="HN1401" s="216"/>
      <c r="HO1401" s="216"/>
      <c r="HP1401" s="216"/>
      <c r="HQ1401" s="216"/>
      <c r="HR1401" s="216"/>
      <c r="HS1401" s="216"/>
      <c r="HT1401" s="216"/>
      <c r="HU1401" s="216"/>
      <c r="HV1401" s="216"/>
      <c r="HW1401" s="216"/>
      <c r="HX1401" s="216"/>
      <c r="HY1401" s="216"/>
      <c r="HZ1401" s="216"/>
      <c r="IA1401" s="216"/>
      <c r="IB1401" s="216"/>
      <c r="IC1401" s="216"/>
      <c r="ID1401" s="216"/>
      <c r="IE1401" s="216"/>
      <c r="IF1401" s="216"/>
      <c r="IG1401" s="216"/>
      <c r="IH1401" s="216"/>
      <c r="II1401" s="216"/>
      <c r="IJ1401" s="216"/>
      <c r="IK1401" s="216"/>
      <c r="IL1401" s="216"/>
      <c r="IM1401" s="216"/>
      <c r="IN1401" s="216"/>
      <c r="IO1401" s="216"/>
      <c r="IP1401" s="216"/>
      <c r="IQ1401" s="216"/>
      <c r="IR1401" s="216"/>
      <c r="IS1401" s="216"/>
      <c r="IT1401" s="216"/>
      <c r="IU1401" s="216"/>
      <c r="IV1401" s="216"/>
      <c r="IW1401" s="216"/>
      <c r="IX1401" s="216"/>
      <c r="IY1401" s="216"/>
      <c r="IZ1401" s="216"/>
      <c r="JA1401" s="216"/>
      <c r="JB1401" s="216"/>
      <c r="JC1401" s="216"/>
      <c r="JD1401" s="216"/>
      <c r="JE1401" s="216"/>
      <c r="JF1401" s="216"/>
      <c r="JG1401" s="216"/>
      <c r="JH1401" s="216"/>
      <c r="JI1401" s="216"/>
      <c r="JJ1401" s="216"/>
      <c r="JK1401" s="216"/>
      <c r="JL1401" s="216"/>
      <c r="JM1401" s="216"/>
      <c r="JN1401" s="216"/>
      <c r="JO1401" s="216"/>
      <c r="JP1401" s="216"/>
      <c r="JQ1401" s="216"/>
      <c r="JR1401" s="216"/>
      <c r="JS1401" s="216"/>
      <c r="JT1401" s="216"/>
      <c r="JU1401" s="216"/>
      <c r="JV1401" s="216"/>
      <c r="JW1401" s="216"/>
      <c r="JX1401" s="216"/>
      <c r="JY1401" s="216"/>
      <c r="JZ1401" s="216"/>
      <c r="KA1401" s="216"/>
      <c r="KB1401" s="216"/>
      <c r="KC1401" s="216"/>
      <c r="KD1401" s="216"/>
      <c r="KE1401" s="216"/>
      <c r="KF1401" s="216"/>
      <c r="KG1401" s="216"/>
      <c r="KH1401" s="216"/>
      <c r="KI1401" s="216"/>
      <c r="KJ1401" s="216"/>
      <c r="KK1401" s="216"/>
      <c r="KL1401" s="216"/>
      <c r="KM1401" s="216"/>
      <c r="KN1401" s="216"/>
      <c r="KO1401" s="216"/>
      <c r="KP1401" s="216"/>
      <c r="KQ1401" s="216"/>
      <c r="KR1401" s="216"/>
      <c r="KS1401" s="216"/>
      <c r="KT1401" s="216"/>
      <c r="KU1401" s="216"/>
      <c r="KV1401" s="216"/>
      <c r="KW1401" s="216"/>
      <c r="KX1401" s="216"/>
      <c r="KY1401" s="216"/>
      <c r="KZ1401" s="216"/>
      <c r="LA1401" s="216"/>
      <c r="LB1401" s="216"/>
      <c r="LC1401" s="216"/>
      <c r="LD1401" s="216"/>
      <c r="LE1401" s="216"/>
      <c r="LF1401" s="216"/>
      <c r="LG1401" s="216"/>
      <c r="LH1401" s="216"/>
      <c r="LI1401" s="216"/>
      <c r="LJ1401" s="216"/>
      <c r="LK1401" s="216"/>
      <c r="LL1401" s="216"/>
      <c r="LM1401" s="216"/>
      <c r="LN1401" s="216"/>
      <c r="LO1401" s="216"/>
      <c r="LP1401" s="216"/>
      <c r="LQ1401" s="216"/>
      <c r="LR1401" s="216"/>
      <c r="LS1401" s="216"/>
      <c r="LT1401" s="216"/>
      <c r="LU1401" s="216"/>
      <c r="LV1401" s="216"/>
      <c r="LW1401" s="216"/>
      <c r="LX1401" s="216"/>
      <c r="LY1401" s="216"/>
      <c r="LZ1401" s="216"/>
      <c r="MA1401" s="216"/>
      <c r="MB1401" s="216"/>
      <c r="MC1401" s="216"/>
      <c r="MD1401" s="216"/>
      <c r="ME1401" s="216"/>
      <c r="MF1401" s="216"/>
      <c r="MG1401" s="216"/>
      <c r="MH1401" s="216"/>
      <c r="MI1401" s="216"/>
      <c r="MJ1401" s="216"/>
      <c r="MK1401" s="216"/>
      <c r="ML1401" s="216"/>
      <c r="MM1401" s="216"/>
      <c r="MN1401" s="216"/>
      <c r="MO1401" s="216"/>
      <c r="MP1401" s="216"/>
      <c r="MQ1401" s="216"/>
      <c r="MR1401" s="216"/>
      <c r="MS1401" s="216"/>
      <c r="MT1401" s="216"/>
      <c r="MU1401" s="216"/>
      <c r="MV1401" s="216"/>
      <c r="MW1401" s="216"/>
      <c r="MX1401" s="216"/>
      <c r="MY1401" s="216"/>
      <c r="MZ1401" s="216"/>
      <c r="NA1401" s="216"/>
      <c r="NB1401" s="216"/>
      <c r="NC1401" s="216"/>
      <c r="ND1401" s="216"/>
      <c r="NE1401" s="216"/>
      <c r="NF1401" s="216"/>
      <c r="NG1401" s="216"/>
      <c r="NH1401" s="216"/>
      <c r="NI1401" s="216"/>
      <c r="NJ1401" s="216"/>
      <c r="NK1401" s="216"/>
      <c r="NL1401" s="216"/>
      <c r="NM1401" s="216"/>
      <c r="NN1401" s="216"/>
      <c r="NO1401" s="216"/>
      <c r="NP1401" s="216"/>
      <c r="NQ1401" s="216"/>
      <c r="NR1401" s="216"/>
      <c r="NS1401" s="216"/>
      <c r="NT1401" s="216"/>
      <c r="NU1401" s="216"/>
      <c r="NV1401" s="216"/>
      <c r="NW1401" s="216"/>
      <c r="NX1401" s="216"/>
      <c r="NY1401" s="216"/>
      <c r="NZ1401" s="216"/>
      <c r="OA1401" s="216"/>
      <c r="OB1401" s="216"/>
      <c r="OC1401" s="216"/>
      <c r="OD1401" s="216"/>
      <c r="OE1401" s="216"/>
      <c r="OF1401" s="216"/>
      <c r="OG1401" s="216"/>
      <c r="OH1401" s="216"/>
      <c r="OI1401" s="216"/>
      <c r="OJ1401" s="216"/>
      <c r="OK1401" s="216"/>
      <c r="OL1401" s="216"/>
      <c r="OM1401" s="216"/>
      <c r="ON1401" s="216"/>
      <c r="OO1401" s="216"/>
      <c r="OP1401" s="216"/>
      <c r="OQ1401" s="216"/>
      <c r="OR1401" s="216"/>
      <c r="OS1401" s="216"/>
      <c r="OT1401" s="216"/>
      <c r="OU1401" s="216"/>
      <c r="OV1401" s="216"/>
      <c r="OW1401" s="216"/>
      <c r="OX1401" s="216"/>
      <c r="OY1401" s="216"/>
      <c r="OZ1401" s="216"/>
      <c r="PA1401" s="216"/>
      <c r="PB1401" s="216"/>
      <c r="PC1401" s="216"/>
      <c r="PD1401" s="216"/>
      <c r="PE1401" s="216"/>
      <c r="PF1401" s="216"/>
      <c r="PG1401" s="216"/>
      <c r="PH1401" s="216"/>
      <c r="PI1401" s="216"/>
      <c r="PJ1401" s="216"/>
      <c r="PK1401" s="216"/>
      <c r="PL1401" s="216"/>
      <c r="PM1401" s="216"/>
      <c r="PN1401" s="216"/>
      <c r="PO1401" s="216"/>
      <c r="PP1401" s="216"/>
      <c r="PQ1401" s="216"/>
      <c r="PR1401" s="216"/>
      <c r="PS1401" s="216"/>
      <c r="PT1401" s="216"/>
      <c r="PU1401" s="216"/>
      <c r="PV1401" s="216"/>
      <c r="PW1401" s="216"/>
      <c r="PX1401" s="216"/>
      <c r="PY1401" s="216"/>
      <c r="PZ1401" s="216"/>
      <c r="QA1401" s="216"/>
      <c r="QB1401" s="216"/>
      <c r="QC1401" s="216"/>
      <c r="QD1401" s="216"/>
      <c r="QE1401" s="216"/>
      <c r="QF1401" s="216"/>
      <c r="QG1401" s="216"/>
      <c r="QH1401" s="216"/>
      <c r="QI1401" s="216"/>
      <c r="QJ1401" s="216"/>
      <c r="QK1401" s="216"/>
      <c r="QL1401" s="216"/>
      <c r="QM1401" s="216"/>
      <c r="QN1401" s="216"/>
      <c r="QO1401" s="216"/>
      <c r="QP1401" s="216"/>
      <c r="QQ1401" s="216"/>
      <c r="QR1401" s="216"/>
      <c r="QS1401" s="216"/>
      <c r="QT1401" s="216"/>
      <c r="QU1401" s="216"/>
      <c r="QV1401" s="216"/>
      <c r="QW1401" s="216"/>
      <c r="QX1401" s="216"/>
      <c r="QY1401" s="216"/>
      <c r="QZ1401" s="216"/>
      <c r="RA1401" s="216"/>
      <c r="RB1401" s="216"/>
      <c r="RC1401" s="216"/>
      <c r="RD1401" s="216"/>
      <c r="RE1401" s="216"/>
      <c r="RF1401" s="216"/>
      <c r="RG1401" s="216"/>
      <c r="RH1401" s="216"/>
      <c r="RI1401" s="216"/>
      <c r="RJ1401" s="216"/>
      <c r="RK1401" s="216"/>
      <c r="RL1401" s="216"/>
      <c r="RM1401" s="216"/>
      <c r="RN1401" s="216"/>
      <c r="RO1401" s="216"/>
      <c r="RP1401" s="216"/>
      <c r="RQ1401" s="216"/>
      <c r="RR1401" s="216"/>
      <c r="RS1401" s="216"/>
      <c r="RT1401" s="216"/>
      <c r="RU1401" s="216"/>
      <c r="RV1401" s="216"/>
      <c r="RW1401" s="216"/>
      <c r="RX1401" s="216"/>
      <c r="RY1401" s="216"/>
      <c r="RZ1401" s="216"/>
      <c r="SA1401" s="216"/>
      <c r="SB1401" s="216"/>
      <c r="SC1401" s="216"/>
      <c r="SD1401" s="216"/>
      <c r="SE1401" s="216"/>
      <c r="SF1401" s="216"/>
      <c r="SG1401" s="216"/>
      <c r="SH1401" s="216"/>
      <c r="SI1401" s="216"/>
      <c r="SJ1401" s="216"/>
      <c r="SK1401" s="216"/>
      <c r="SL1401" s="216"/>
      <c r="SM1401" s="216"/>
      <c r="SN1401" s="216"/>
      <c r="SO1401" s="216"/>
      <c r="SP1401" s="216"/>
      <c r="SQ1401" s="216"/>
      <c r="SR1401" s="216"/>
      <c r="SS1401" s="216"/>
      <c r="ST1401" s="216"/>
      <c r="SU1401" s="216"/>
      <c r="SV1401" s="216"/>
      <c r="SW1401" s="216"/>
      <c r="SX1401" s="216"/>
      <c r="SY1401" s="216"/>
      <c r="SZ1401" s="216"/>
      <c r="TA1401" s="216"/>
      <c r="TB1401" s="216"/>
      <c r="TC1401" s="216"/>
      <c r="TD1401" s="216"/>
      <c r="TE1401" s="216"/>
      <c r="TF1401" s="216"/>
      <c r="TG1401" s="216"/>
      <c r="TH1401" s="216"/>
      <c r="TI1401" s="216"/>
      <c r="TJ1401" s="216"/>
      <c r="TK1401" s="216"/>
      <c r="TL1401" s="216"/>
      <c r="TM1401" s="216"/>
      <c r="TN1401" s="216"/>
      <c r="TO1401" s="216"/>
      <c r="TP1401" s="216"/>
      <c r="TQ1401" s="216"/>
      <c r="TR1401" s="216"/>
      <c r="TS1401" s="216"/>
      <c r="TT1401" s="216"/>
      <c r="TU1401" s="216"/>
      <c r="TV1401" s="216"/>
      <c r="TW1401" s="216"/>
      <c r="TX1401" s="216"/>
      <c r="TY1401" s="216"/>
      <c r="TZ1401" s="216"/>
      <c r="UA1401" s="216"/>
      <c r="UB1401" s="216"/>
      <c r="UC1401" s="216"/>
      <c r="UD1401" s="216"/>
      <c r="UE1401" s="216"/>
      <c r="UF1401" s="216"/>
      <c r="UG1401" s="217"/>
    </row>
    <row r="1402" spans="1:553" ht="69" customHeight="1">
      <c r="A1402" s="356" t="s">
        <v>15</v>
      </c>
      <c r="B1402" s="427" t="s">
        <v>720</v>
      </c>
      <c r="C1402" s="1450" t="s">
        <v>757</v>
      </c>
      <c r="D1402" s="1389"/>
      <c r="E1402" s="1389"/>
      <c r="F1402" s="1390"/>
      <c r="G1402" s="418" t="s">
        <v>255</v>
      </c>
      <c r="H1402" s="370"/>
      <c r="I1402" s="422">
        <f>6.2*4.8</f>
        <v>29.759999999999998</v>
      </c>
      <c r="J1402" s="368">
        <v>439100</v>
      </c>
      <c r="K1402" s="419">
        <v>0.8</v>
      </c>
      <c r="L1402" s="487">
        <f t="shared" ref="L1402:L1403" si="213">I1402*J1402</f>
        <v>13067616</v>
      </c>
      <c r="M1402" s="391"/>
      <c r="N1402" s="391"/>
      <c r="O1402" s="391"/>
      <c r="P1402" s="391"/>
      <c r="Q1402" s="1142"/>
      <c r="R1402" s="1226"/>
      <c r="S1402" s="308"/>
      <c r="T1402" s="308"/>
      <c r="U1402" s="308"/>
      <c r="V1402" s="308"/>
      <c r="W1402" s="308"/>
      <c r="X1402" s="308"/>
      <c r="Y1402" s="308"/>
      <c r="Z1402" s="604"/>
      <c r="AA1402" s="308"/>
      <c r="AB1402" s="308"/>
      <c r="AC1402" s="486"/>
      <c r="AD1402" s="486"/>
      <c r="AE1402" s="486"/>
      <c r="AF1402" s="486"/>
      <c r="AG1402" s="486"/>
      <c r="AH1402" s="486"/>
      <c r="AI1402" s="486"/>
      <c r="AJ1402" s="486"/>
      <c r="AK1402" s="486"/>
      <c r="AL1402" s="206"/>
      <c r="AM1402" s="28"/>
      <c r="AN1402" s="28"/>
      <c r="AO1402" s="28"/>
      <c r="AP1402" s="28"/>
      <c r="AQ1402" s="28"/>
      <c r="AR1402" s="28"/>
      <c r="AS1402" s="28"/>
      <c r="AT1402" s="28"/>
      <c r="AU1402" s="28"/>
      <c r="AV1402" s="28"/>
      <c r="AW1402" s="28"/>
      <c r="AX1402" s="28"/>
      <c r="AY1402" s="28"/>
      <c r="AZ1402" s="28"/>
      <c r="BA1402" s="28"/>
      <c r="BB1402" s="28"/>
      <c r="BC1402" s="28"/>
      <c r="BD1402" s="28"/>
      <c r="BE1402" s="28"/>
      <c r="BF1402" s="28"/>
      <c r="BG1402" s="28"/>
      <c r="BH1402" s="28"/>
      <c r="BI1402" s="28"/>
      <c r="BJ1402" s="28"/>
      <c r="BK1402" s="28"/>
      <c r="BL1402" s="28"/>
      <c r="BM1402" s="28"/>
      <c r="BN1402" s="28"/>
      <c r="BO1402" s="28"/>
      <c r="BP1402" s="28"/>
      <c r="BQ1402" s="28"/>
      <c r="BR1402" s="28"/>
      <c r="BS1402" s="28"/>
      <c r="BT1402" s="28"/>
      <c r="BU1402" s="28"/>
      <c r="BV1402" s="28"/>
      <c r="BW1402" s="28"/>
      <c r="BX1402" s="28"/>
      <c r="BY1402" s="28"/>
      <c r="BZ1402" s="28"/>
      <c r="CA1402" s="28"/>
      <c r="CB1402" s="28"/>
      <c r="CC1402" s="28"/>
      <c r="CD1402" s="28"/>
      <c r="CE1402" s="28"/>
      <c r="CF1402" s="28"/>
      <c r="CG1402" s="28"/>
      <c r="CH1402" s="28"/>
      <c r="CI1402" s="28"/>
      <c r="CJ1402" s="28"/>
      <c r="CK1402" s="28"/>
      <c r="CL1402" s="28"/>
      <c r="CM1402" s="28"/>
      <c r="CN1402" s="28"/>
      <c r="CO1402" s="28"/>
      <c r="CP1402" s="28"/>
      <c r="CQ1402" s="28"/>
      <c r="CR1402" s="28"/>
      <c r="CS1402" s="28"/>
      <c r="CT1402" s="28"/>
      <c r="CU1402" s="28"/>
      <c r="CV1402" s="28"/>
      <c r="CW1402" s="28"/>
      <c r="CX1402" s="28"/>
      <c r="CY1402" s="28"/>
      <c r="CZ1402" s="28"/>
      <c r="DA1402" s="28"/>
      <c r="DB1402" s="28"/>
      <c r="DC1402" s="28"/>
      <c r="DD1402" s="28"/>
      <c r="DE1402" s="28"/>
      <c r="DF1402" s="28"/>
      <c r="DG1402" s="28"/>
      <c r="DH1402" s="28"/>
      <c r="DI1402" s="28"/>
      <c r="DJ1402" s="28"/>
      <c r="DK1402" s="28"/>
      <c r="DL1402" s="28"/>
      <c r="DM1402" s="28"/>
      <c r="DN1402" s="28"/>
      <c r="DO1402" s="28"/>
      <c r="DP1402" s="28"/>
      <c r="DQ1402" s="28"/>
      <c r="DR1402" s="28"/>
      <c r="DS1402" s="28"/>
      <c r="DT1402" s="28"/>
      <c r="DU1402" s="28"/>
      <c r="DV1402" s="28"/>
      <c r="DW1402" s="28"/>
      <c r="DX1402" s="28"/>
      <c r="DY1402" s="28"/>
      <c r="DZ1402" s="28"/>
      <c r="EA1402" s="28"/>
      <c r="EB1402" s="28"/>
      <c r="EC1402" s="28"/>
      <c r="ED1402" s="28"/>
      <c r="EE1402" s="28"/>
      <c r="EF1402" s="28"/>
      <c r="EG1402" s="28"/>
      <c r="EH1402" s="28"/>
      <c r="EI1402" s="28"/>
      <c r="EJ1402" s="28"/>
      <c r="EK1402" s="28"/>
      <c r="EL1402" s="28"/>
      <c r="EM1402" s="28"/>
      <c r="EN1402" s="28"/>
      <c r="EO1402" s="28"/>
      <c r="EP1402" s="28"/>
      <c r="EQ1402" s="28"/>
      <c r="ER1402" s="28"/>
      <c r="ES1402" s="28"/>
      <c r="ET1402" s="28"/>
      <c r="EU1402" s="28"/>
      <c r="EV1402" s="28"/>
      <c r="EW1402" s="28"/>
      <c r="EX1402" s="28"/>
      <c r="EY1402" s="28"/>
      <c r="EZ1402" s="28"/>
      <c r="FA1402" s="28"/>
      <c r="FB1402" s="28"/>
      <c r="FC1402" s="28"/>
      <c r="FD1402" s="28"/>
      <c r="FE1402" s="28"/>
      <c r="FF1402" s="28"/>
      <c r="FG1402" s="28"/>
      <c r="FH1402" s="28"/>
      <c r="FI1402" s="28"/>
      <c r="FJ1402" s="28"/>
      <c r="FK1402" s="28"/>
      <c r="FL1402" s="28"/>
      <c r="FM1402" s="28"/>
      <c r="FN1402" s="28"/>
      <c r="FO1402" s="28"/>
      <c r="FP1402" s="28"/>
      <c r="FQ1402" s="28"/>
      <c r="FR1402" s="28"/>
      <c r="FS1402" s="28"/>
      <c r="FT1402" s="28"/>
      <c r="FU1402" s="28"/>
      <c r="FV1402" s="28"/>
      <c r="FW1402" s="28"/>
      <c r="FX1402" s="28"/>
      <c r="FY1402" s="28"/>
      <c r="FZ1402" s="28"/>
      <c r="GA1402" s="28"/>
      <c r="GB1402" s="28"/>
      <c r="GC1402" s="28"/>
      <c r="GD1402" s="28"/>
      <c r="GE1402" s="28"/>
      <c r="GF1402" s="28"/>
      <c r="GG1402" s="28"/>
      <c r="GH1402" s="28"/>
      <c r="GI1402" s="28"/>
      <c r="GJ1402" s="28"/>
      <c r="GK1402" s="28"/>
      <c r="GL1402" s="28"/>
      <c r="GM1402" s="28"/>
      <c r="GN1402" s="28"/>
      <c r="GO1402" s="28"/>
      <c r="GP1402" s="28"/>
      <c r="GQ1402" s="28"/>
      <c r="GR1402" s="28"/>
      <c r="GS1402" s="28"/>
      <c r="GT1402" s="28"/>
      <c r="GU1402" s="28"/>
      <c r="GV1402" s="28"/>
      <c r="GW1402" s="28"/>
      <c r="GX1402" s="28"/>
      <c r="GY1402" s="28"/>
      <c r="GZ1402" s="28"/>
      <c r="HA1402" s="28"/>
      <c r="HB1402" s="28"/>
      <c r="HC1402" s="28"/>
      <c r="HD1402" s="28"/>
      <c r="HE1402" s="28"/>
      <c r="HF1402" s="28"/>
      <c r="HG1402" s="28"/>
      <c r="HH1402" s="28"/>
      <c r="HI1402" s="28"/>
      <c r="HJ1402" s="28"/>
      <c r="HK1402" s="28"/>
      <c r="HL1402" s="28"/>
      <c r="HM1402" s="28"/>
      <c r="HN1402" s="28"/>
      <c r="HO1402" s="28"/>
      <c r="HP1402" s="28"/>
      <c r="HQ1402" s="28"/>
      <c r="HR1402" s="28"/>
      <c r="HS1402" s="28"/>
      <c r="HT1402" s="28"/>
      <c r="HU1402" s="28"/>
      <c r="HV1402" s="28"/>
      <c r="HW1402" s="28"/>
      <c r="HX1402" s="28"/>
      <c r="HY1402" s="28"/>
      <c r="HZ1402" s="28"/>
      <c r="IA1402" s="28"/>
      <c r="IB1402" s="28"/>
      <c r="IC1402" s="28"/>
      <c r="ID1402" s="28"/>
      <c r="IE1402" s="28"/>
      <c r="IF1402" s="28"/>
      <c r="IG1402" s="28"/>
      <c r="IH1402" s="28"/>
      <c r="II1402" s="28"/>
      <c r="IJ1402" s="28"/>
      <c r="IK1402" s="28"/>
      <c r="IL1402" s="28"/>
      <c r="IM1402" s="28"/>
      <c r="IN1402" s="28"/>
      <c r="IO1402" s="28"/>
      <c r="IP1402" s="28"/>
      <c r="IQ1402" s="28"/>
      <c r="IR1402" s="28"/>
      <c r="IS1402" s="28"/>
      <c r="IT1402" s="28"/>
      <c r="IU1402" s="28"/>
      <c r="IV1402" s="28"/>
      <c r="IW1402" s="28"/>
      <c r="IX1402" s="28"/>
      <c r="IY1402" s="28"/>
      <c r="IZ1402" s="28"/>
      <c r="JA1402" s="28"/>
      <c r="JB1402" s="28"/>
      <c r="JC1402" s="28"/>
      <c r="JD1402" s="28"/>
      <c r="JE1402" s="28"/>
      <c r="JF1402" s="28"/>
      <c r="JG1402" s="28"/>
      <c r="JH1402" s="28"/>
      <c r="JI1402" s="28"/>
      <c r="JJ1402" s="28"/>
      <c r="JK1402" s="28"/>
      <c r="JL1402" s="28"/>
      <c r="JM1402" s="28"/>
      <c r="JN1402" s="28"/>
      <c r="JO1402" s="28"/>
      <c r="JP1402" s="28"/>
      <c r="JQ1402" s="28"/>
      <c r="JR1402" s="28"/>
      <c r="JS1402" s="28"/>
      <c r="JT1402" s="28"/>
      <c r="JU1402" s="28"/>
      <c r="JV1402" s="28"/>
      <c r="JW1402" s="28"/>
      <c r="JX1402" s="28"/>
      <c r="JY1402" s="28"/>
      <c r="JZ1402" s="28"/>
      <c r="KA1402" s="28"/>
      <c r="KB1402" s="28"/>
      <c r="KC1402" s="28"/>
      <c r="KD1402" s="28"/>
      <c r="KE1402" s="28"/>
      <c r="KF1402" s="28"/>
      <c r="KG1402" s="28"/>
      <c r="KH1402" s="28"/>
      <c r="KI1402" s="28"/>
      <c r="KJ1402" s="28"/>
      <c r="KK1402" s="28"/>
      <c r="KL1402" s="28"/>
      <c r="KM1402" s="28"/>
      <c r="KN1402" s="28"/>
      <c r="KO1402" s="28"/>
      <c r="KP1402" s="28"/>
      <c r="KQ1402" s="28"/>
      <c r="KR1402" s="28"/>
      <c r="KS1402" s="28"/>
      <c r="KT1402" s="28"/>
      <c r="KU1402" s="28"/>
      <c r="KV1402" s="28"/>
      <c r="KW1402" s="28"/>
      <c r="KX1402" s="28"/>
      <c r="KY1402" s="28"/>
      <c r="KZ1402" s="28"/>
      <c r="LA1402" s="28"/>
      <c r="LB1402" s="28"/>
      <c r="LC1402" s="28"/>
      <c r="LD1402" s="28"/>
      <c r="LE1402" s="28"/>
      <c r="LF1402" s="28"/>
      <c r="LG1402" s="28"/>
      <c r="LH1402" s="28"/>
      <c r="LI1402" s="28"/>
      <c r="LJ1402" s="28"/>
      <c r="LK1402" s="28"/>
      <c r="LL1402" s="28"/>
      <c r="LM1402" s="28"/>
      <c r="LN1402" s="28"/>
      <c r="LO1402" s="28"/>
      <c r="LP1402" s="28"/>
      <c r="LQ1402" s="28"/>
      <c r="LR1402" s="28"/>
      <c r="LS1402" s="28"/>
      <c r="LT1402" s="28"/>
      <c r="LU1402" s="28"/>
      <c r="LV1402" s="28"/>
      <c r="LW1402" s="28"/>
      <c r="LX1402" s="28"/>
      <c r="LY1402" s="28"/>
      <c r="LZ1402" s="28"/>
      <c r="MA1402" s="28"/>
      <c r="MB1402" s="28"/>
      <c r="MC1402" s="28"/>
      <c r="MD1402" s="28"/>
      <c r="ME1402" s="28"/>
      <c r="MF1402" s="28"/>
      <c r="MG1402" s="28"/>
      <c r="MH1402" s="28"/>
      <c r="MI1402" s="28"/>
      <c r="MJ1402" s="28"/>
      <c r="MK1402" s="28"/>
      <c r="ML1402" s="28"/>
      <c r="MM1402" s="28"/>
      <c r="MN1402" s="28"/>
      <c r="MO1402" s="28"/>
      <c r="MP1402" s="28"/>
      <c r="MQ1402" s="28"/>
      <c r="MR1402" s="28"/>
      <c r="MS1402" s="28"/>
      <c r="MT1402" s="28"/>
      <c r="MU1402" s="28"/>
      <c r="MV1402" s="28"/>
      <c r="MW1402" s="28"/>
      <c r="MX1402" s="28"/>
      <c r="MY1402" s="28"/>
      <c r="MZ1402" s="28"/>
      <c r="NA1402" s="28"/>
      <c r="NB1402" s="28"/>
      <c r="NC1402" s="28"/>
      <c r="ND1402" s="28"/>
      <c r="NE1402" s="28"/>
      <c r="NF1402" s="28"/>
      <c r="NG1402" s="28"/>
      <c r="NH1402" s="28"/>
      <c r="NI1402" s="28"/>
      <c r="NJ1402" s="28"/>
      <c r="NK1402" s="28"/>
      <c r="NL1402" s="28"/>
      <c r="NM1402" s="28"/>
      <c r="NN1402" s="28"/>
      <c r="NO1402" s="28"/>
      <c r="NP1402" s="28"/>
      <c r="NQ1402" s="28"/>
      <c r="NR1402" s="28"/>
      <c r="NS1402" s="28"/>
      <c r="NT1402" s="28"/>
      <c r="NU1402" s="28"/>
      <c r="NV1402" s="28"/>
      <c r="NW1402" s="28"/>
      <c r="NX1402" s="28"/>
      <c r="NY1402" s="28"/>
      <c r="NZ1402" s="28"/>
      <c r="OA1402" s="28"/>
      <c r="OB1402" s="28"/>
      <c r="OC1402" s="28"/>
      <c r="OD1402" s="28"/>
      <c r="OE1402" s="28"/>
      <c r="OF1402" s="28"/>
      <c r="OG1402" s="28"/>
      <c r="OH1402" s="28"/>
      <c r="OI1402" s="28"/>
      <c r="OJ1402" s="28"/>
      <c r="OK1402" s="28"/>
      <c r="OL1402" s="28"/>
      <c r="OM1402" s="28"/>
      <c r="ON1402" s="28"/>
      <c r="OO1402" s="28"/>
      <c r="OP1402" s="28"/>
      <c r="OQ1402" s="28"/>
      <c r="OR1402" s="28"/>
      <c r="OS1402" s="28"/>
      <c r="OT1402" s="28"/>
      <c r="OU1402" s="28"/>
      <c r="OV1402" s="28"/>
      <c r="OW1402" s="28"/>
      <c r="OX1402" s="28"/>
      <c r="OY1402" s="28"/>
      <c r="OZ1402" s="28"/>
      <c r="PA1402" s="28"/>
      <c r="PB1402" s="28"/>
      <c r="PC1402" s="28"/>
      <c r="PD1402" s="28"/>
      <c r="PE1402" s="28"/>
      <c r="PF1402" s="28"/>
      <c r="PG1402" s="28"/>
      <c r="PH1402" s="28"/>
      <c r="PI1402" s="28"/>
      <c r="PJ1402" s="28"/>
      <c r="PK1402" s="28"/>
      <c r="PL1402" s="28"/>
      <c r="PM1402" s="28"/>
      <c r="PN1402" s="28"/>
      <c r="PO1402" s="28"/>
      <c r="PP1402" s="28"/>
      <c r="PQ1402" s="28"/>
      <c r="PR1402" s="28"/>
      <c r="PS1402" s="28"/>
      <c r="PT1402" s="28"/>
      <c r="PU1402" s="28"/>
      <c r="PV1402" s="28"/>
      <c r="PW1402" s="28"/>
      <c r="PX1402" s="28"/>
      <c r="PY1402" s="28"/>
      <c r="PZ1402" s="28"/>
      <c r="QA1402" s="28"/>
      <c r="QB1402" s="28"/>
      <c r="QC1402" s="28"/>
      <c r="QD1402" s="28"/>
      <c r="QE1402" s="28"/>
      <c r="QF1402" s="28"/>
      <c r="QG1402" s="28"/>
      <c r="QH1402" s="28"/>
      <c r="QI1402" s="28"/>
      <c r="QJ1402" s="28"/>
      <c r="QK1402" s="28"/>
      <c r="QL1402" s="28"/>
      <c r="QM1402" s="28"/>
      <c r="QN1402" s="28"/>
      <c r="QO1402" s="28"/>
      <c r="QP1402" s="28"/>
      <c r="QQ1402" s="28"/>
      <c r="QR1402" s="28"/>
      <c r="QS1402" s="28"/>
      <c r="QT1402" s="28"/>
      <c r="QU1402" s="28"/>
      <c r="QV1402" s="28"/>
      <c r="QW1402" s="28"/>
      <c r="QX1402" s="28"/>
      <c r="QY1402" s="28"/>
      <c r="QZ1402" s="28"/>
      <c r="RA1402" s="28"/>
      <c r="RB1402" s="28"/>
      <c r="RC1402" s="28"/>
      <c r="RD1402" s="28"/>
      <c r="RE1402" s="28"/>
      <c r="RF1402" s="28"/>
      <c r="RG1402" s="28"/>
      <c r="RH1402" s="28"/>
      <c r="RI1402" s="28"/>
      <c r="RJ1402" s="28"/>
      <c r="RK1402" s="28"/>
      <c r="RL1402" s="28"/>
      <c r="RM1402" s="28"/>
      <c r="RN1402" s="28"/>
      <c r="RO1402" s="28"/>
      <c r="RP1402" s="28"/>
      <c r="RQ1402" s="28"/>
      <c r="RR1402" s="28"/>
      <c r="RS1402" s="28"/>
      <c r="RT1402" s="28"/>
      <c r="RU1402" s="28"/>
      <c r="RV1402" s="28"/>
      <c r="RW1402" s="28"/>
      <c r="RX1402" s="28"/>
      <c r="RY1402" s="28"/>
      <c r="RZ1402" s="28"/>
      <c r="SA1402" s="28"/>
      <c r="SB1402" s="28"/>
      <c r="SC1402" s="28"/>
      <c r="SD1402" s="28"/>
      <c r="SE1402" s="28"/>
      <c r="SF1402" s="28"/>
      <c r="SG1402" s="28"/>
      <c r="SH1402" s="28"/>
      <c r="SI1402" s="28"/>
      <c r="SJ1402" s="28"/>
      <c r="SK1402" s="28"/>
      <c r="SL1402" s="28"/>
      <c r="SM1402" s="28"/>
      <c r="SN1402" s="28"/>
      <c r="SO1402" s="28"/>
      <c r="SP1402" s="28"/>
      <c r="SQ1402" s="28"/>
      <c r="SR1402" s="28"/>
      <c r="SS1402" s="28"/>
      <c r="ST1402" s="28"/>
      <c r="SU1402" s="28"/>
      <c r="SV1402" s="28"/>
      <c r="SW1402" s="28"/>
      <c r="SX1402" s="28"/>
      <c r="SY1402" s="28"/>
      <c r="SZ1402" s="28"/>
      <c r="TA1402" s="28"/>
      <c r="TB1402" s="28"/>
      <c r="TC1402" s="28"/>
      <c r="TD1402" s="28"/>
      <c r="TE1402" s="28"/>
      <c r="TF1402" s="28"/>
      <c r="TG1402" s="28"/>
      <c r="TH1402" s="28"/>
      <c r="TI1402" s="28"/>
      <c r="TJ1402" s="28"/>
      <c r="TK1402" s="28"/>
      <c r="TL1402" s="28"/>
      <c r="TM1402" s="28"/>
      <c r="TN1402" s="28"/>
      <c r="TO1402" s="28"/>
      <c r="TP1402" s="28"/>
      <c r="TQ1402" s="28"/>
      <c r="TR1402" s="28"/>
      <c r="TS1402" s="28"/>
      <c r="TT1402" s="28"/>
      <c r="TU1402" s="28"/>
      <c r="TV1402" s="28"/>
      <c r="TW1402" s="28"/>
      <c r="TX1402" s="28"/>
      <c r="TY1402" s="28"/>
      <c r="TZ1402" s="28"/>
      <c r="UA1402" s="28"/>
      <c r="UB1402" s="28"/>
      <c r="UC1402" s="28"/>
      <c r="UD1402" s="28"/>
      <c r="UE1402" s="28"/>
      <c r="UF1402" s="28"/>
      <c r="UG1402" s="29"/>
    </row>
    <row r="1403" spans="1:553" ht="69" customHeight="1">
      <c r="A1403" s="356" t="s">
        <v>15</v>
      </c>
      <c r="B1403" s="366" t="s">
        <v>362</v>
      </c>
      <c r="C1403" s="1450" t="s">
        <v>1244</v>
      </c>
      <c r="D1403" s="1389"/>
      <c r="E1403" s="1389"/>
      <c r="F1403" s="1390"/>
      <c r="G1403" s="418" t="s">
        <v>255</v>
      </c>
      <c r="H1403" s="370"/>
      <c r="I1403" s="422">
        <f>6*4</f>
        <v>24</v>
      </c>
      <c r="J1403" s="368">
        <v>62500</v>
      </c>
      <c r="K1403" s="419">
        <v>0.8</v>
      </c>
      <c r="L1403" s="487">
        <f t="shared" si="213"/>
        <v>1500000</v>
      </c>
      <c r="M1403" s="391"/>
      <c r="N1403" s="391"/>
      <c r="O1403" s="391"/>
      <c r="P1403" s="391"/>
      <c r="Q1403" s="1142"/>
      <c r="R1403" s="1226"/>
      <c r="S1403" s="308"/>
      <c r="T1403" s="308"/>
      <c r="U1403" s="308"/>
      <c r="V1403" s="308"/>
      <c r="W1403" s="308"/>
      <c r="X1403" s="308"/>
      <c r="Y1403" s="308"/>
      <c r="Z1403" s="604"/>
      <c r="AA1403" s="308"/>
      <c r="AB1403" s="308"/>
      <c r="AC1403" s="486"/>
      <c r="AD1403" s="486"/>
      <c r="AE1403" s="486"/>
      <c r="AF1403" s="486"/>
      <c r="AG1403" s="486"/>
      <c r="AH1403" s="486"/>
      <c r="AI1403" s="486"/>
      <c r="AJ1403" s="486"/>
      <c r="AK1403" s="486"/>
      <c r="AL1403" s="206"/>
      <c r="AM1403" s="28"/>
      <c r="AN1403" s="28"/>
      <c r="AO1403" s="28"/>
      <c r="AP1403" s="28"/>
      <c r="AQ1403" s="28"/>
      <c r="AR1403" s="28"/>
      <c r="AS1403" s="28"/>
      <c r="AT1403" s="28"/>
      <c r="AU1403" s="28"/>
      <c r="AV1403" s="28"/>
      <c r="AW1403" s="28"/>
      <c r="AX1403" s="28"/>
      <c r="AY1403" s="28"/>
      <c r="AZ1403" s="28"/>
      <c r="BA1403" s="28"/>
      <c r="BB1403" s="28"/>
      <c r="BC1403" s="28"/>
      <c r="BD1403" s="28"/>
      <c r="BE1403" s="28"/>
      <c r="BF1403" s="28"/>
      <c r="BG1403" s="28"/>
      <c r="BH1403" s="28"/>
      <c r="BI1403" s="28"/>
      <c r="BJ1403" s="28"/>
      <c r="BK1403" s="28"/>
      <c r="BL1403" s="28"/>
      <c r="BM1403" s="28"/>
      <c r="BN1403" s="28"/>
      <c r="BO1403" s="28"/>
      <c r="BP1403" s="28"/>
      <c r="BQ1403" s="28"/>
      <c r="BR1403" s="28"/>
      <c r="BS1403" s="28"/>
      <c r="BT1403" s="28"/>
      <c r="BU1403" s="28"/>
      <c r="BV1403" s="28"/>
      <c r="BW1403" s="28"/>
      <c r="BX1403" s="28"/>
      <c r="BY1403" s="28"/>
      <c r="BZ1403" s="28"/>
      <c r="CA1403" s="28"/>
      <c r="CB1403" s="28"/>
      <c r="CC1403" s="28"/>
      <c r="CD1403" s="28"/>
      <c r="CE1403" s="28"/>
      <c r="CF1403" s="28"/>
      <c r="CG1403" s="28"/>
      <c r="CH1403" s="28"/>
      <c r="CI1403" s="28"/>
      <c r="CJ1403" s="28"/>
      <c r="CK1403" s="28"/>
      <c r="CL1403" s="28"/>
      <c r="CM1403" s="28"/>
      <c r="CN1403" s="28"/>
      <c r="CO1403" s="28"/>
      <c r="CP1403" s="28"/>
      <c r="CQ1403" s="28"/>
      <c r="CR1403" s="28"/>
      <c r="CS1403" s="28"/>
      <c r="CT1403" s="28"/>
      <c r="CU1403" s="28"/>
      <c r="CV1403" s="28"/>
      <c r="CW1403" s="28"/>
      <c r="CX1403" s="28"/>
      <c r="CY1403" s="28"/>
      <c r="CZ1403" s="28"/>
      <c r="DA1403" s="28"/>
      <c r="DB1403" s="28"/>
      <c r="DC1403" s="28"/>
      <c r="DD1403" s="28"/>
      <c r="DE1403" s="28"/>
      <c r="DF1403" s="28"/>
      <c r="DG1403" s="28"/>
      <c r="DH1403" s="28"/>
      <c r="DI1403" s="28"/>
      <c r="DJ1403" s="28"/>
      <c r="DK1403" s="28"/>
      <c r="DL1403" s="28"/>
      <c r="DM1403" s="28"/>
      <c r="DN1403" s="28"/>
      <c r="DO1403" s="28"/>
      <c r="DP1403" s="28"/>
      <c r="DQ1403" s="28"/>
      <c r="DR1403" s="28"/>
      <c r="DS1403" s="28"/>
      <c r="DT1403" s="28"/>
      <c r="DU1403" s="28"/>
      <c r="DV1403" s="28"/>
      <c r="DW1403" s="28"/>
      <c r="DX1403" s="28"/>
      <c r="DY1403" s="28"/>
      <c r="DZ1403" s="28"/>
      <c r="EA1403" s="28"/>
      <c r="EB1403" s="28"/>
      <c r="EC1403" s="28"/>
      <c r="ED1403" s="28"/>
      <c r="EE1403" s="28"/>
      <c r="EF1403" s="28"/>
      <c r="EG1403" s="28"/>
      <c r="EH1403" s="28"/>
      <c r="EI1403" s="28"/>
      <c r="EJ1403" s="28"/>
      <c r="EK1403" s="28"/>
      <c r="EL1403" s="28"/>
      <c r="EM1403" s="28"/>
      <c r="EN1403" s="28"/>
      <c r="EO1403" s="28"/>
      <c r="EP1403" s="28"/>
      <c r="EQ1403" s="28"/>
      <c r="ER1403" s="28"/>
      <c r="ES1403" s="28"/>
      <c r="ET1403" s="28"/>
      <c r="EU1403" s="28"/>
      <c r="EV1403" s="28"/>
      <c r="EW1403" s="28"/>
      <c r="EX1403" s="28"/>
      <c r="EY1403" s="28"/>
      <c r="EZ1403" s="28"/>
      <c r="FA1403" s="28"/>
      <c r="FB1403" s="28"/>
      <c r="FC1403" s="28"/>
      <c r="FD1403" s="28"/>
      <c r="FE1403" s="28"/>
      <c r="FF1403" s="28"/>
      <c r="FG1403" s="28"/>
      <c r="FH1403" s="28"/>
      <c r="FI1403" s="28"/>
      <c r="FJ1403" s="28"/>
      <c r="FK1403" s="28"/>
      <c r="FL1403" s="28"/>
      <c r="FM1403" s="28"/>
      <c r="FN1403" s="28"/>
      <c r="FO1403" s="28"/>
      <c r="FP1403" s="28"/>
      <c r="FQ1403" s="28"/>
      <c r="FR1403" s="28"/>
      <c r="FS1403" s="28"/>
      <c r="FT1403" s="28"/>
      <c r="FU1403" s="28"/>
      <c r="FV1403" s="28"/>
      <c r="FW1403" s="28"/>
      <c r="FX1403" s="28"/>
      <c r="FY1403" s="28"/>
      <c r="FZ1403" s="28"/>
      <c r="GA1403" s="28"/>
      <c r="GB1403" s="28"/>
      <c r="GC1403" s="28"/>
      <c r="GD1403" s="28"/>
      <c r="GE1403" s="28"/>
      <c r="GF1403" s="28"/>
      <c r="GG1403" s="28"/>
      <c r="GH1403" s="28"/>
      <c r="GI1403" s="28"/>
      <c r="GJ1403" s="28"/>
      <c r="GK1403" s="28"/>
      <c r="GL1403" s="28"/>
      <c r="GM1403" s="28"/>
      <c r="GN1403" s="28"/>
      <c r="GO1403" s="28"/>
      <c r="GP1403" s="28"/>
      <c r="GQ1403" s="28"/>
      <c r="GR1403" s="28"/>
      <c r="GS1403" s="28"/>
      <c r="GT1403" s="28"/>
      <c r="GU1403" s="28"/>
      <c r="GV1403" s="28"/>
      <c r="GW1403" s="28"/>
      <c r="GX1403" s="28"/>
      <c r="GY1403" s="28"/>
      <c r="GZ1403" s="28"/>
      <c r="HA1403" s="28"/>
      <c r="HB1403" s="28"/>
      <c r="HC1403" s="28"/>
      <c r="HD1403" s="28"/>
      <c r="HE1403" s="28"/>
      <c r="HF1403" s="28"/>
      <c r="HG1403" s="28"/>
      <c r="HH1403" s="28"/>
      <c r="HI1403" s="28"/>
      <c r="HJ1403" s="28"/>
      <c r="HK1403" s="28"/>
      <c r="HL1403" s="28"/>
      <c r="HM1403" s="28"/>
      <c r="HN1403" s="28"/>
      <c r="HO1403" s="28"/>
      <c r="HP1403" s="28"/>
      <c r="HQ1403" s="28"/>
      <c r="HR1403" s="28"/>
      <c r="HS1403" s="28"/>
      <c r="HT1403" s="28"/>
      <c r="HU1403" s="28"/>
      <c r="HV1403" s="28"/>
      <c r="HW1403" s="28"/>
      <c r="HX1403" s="28"/>
      <c r="HY1403" s="28"/>
      <c r="HZ1403" s="28"/>
      <c r="IA1403" s="28"/>
      <c r="IB1403" s="28"/>
      <c r="IC1403" s="28"/>
      <c r="ID1403" s="28"/>
      <c r="IE1403" s="28"/>
      <c r="IF1403" s="28"/>
      <c r="IG1403" s="28"/>
      <c r="IH1403" s="28"/>
      <c r="II1403" s="28"/>
      <c r="IJ1403" s="28"/>
      <c r="IK1403" s="28"/>
      <c r="IL1403" s="28"/>
      <c r="IM1403" s="28"/>
      <c r="IN1403" s="28"/>
      <c r="IO1403" s="28"/>
      <c r="IP1403" s="28"/>
      <c r="IQ1403" s="28"/>
      <c r="IR1403" s="28"/>
      <c r="IS1403" s="28"/>
      <c r="IT1403" s="28"/>
      <c r="IU1403" s="28"/>
      <c r="IV1403" s="28"/>
      <c r="IW1403" s="28"/>
      <c r="IX1403" s="28"/>
      <c r="IY1403" s="28"/>
      <c r="IZ1403" s="28"/>
      <c r="JA1403" s="28"/>
      <c r="JB1403" s="28"/>
      <c r="JC1403" s="28"/>
      <c r="JD1403" s="28"/>
      <c r="JE1403" s="28"/>
      <c r="JF1403" s="28"/>
      <c r="JG1403" s="28"/>
      <c r="JH1403" s="28"/>
      <c r="JI1403" s="28"/>
      <c r="JJ1403" s="28"/>
      <c r="JK1403" s="28"/>
      <c r="JL1403" s="28"/>
      <c r="JM1403" s="28"/>
      <c r="JN1403" s="28"/>
      <c r="JO1403" s="28"/>
      <c r="JP1403" s="28"/>
      <c r="JQ1403" s="28"/>
      <c r="JR1403" s="28"/>
      <c r="JS1403" s="28"/>
      <c r="JT1403" s="28"/>
      <c r="JU1403" s="28"/>
      <c r="JV1403" s="28"/>
      <c r="JW1403" s="28"/>
      <c r="JX1403" s="28"/>
      <c r="JY1403" s="28"/>
      <c r="JZ1403" s="28"/>
      <c r="KA1403" s="28"/>
      <c r="KB1403" s="28"/>
      <c r="KC1403" s="28"/>
      <c r="KD1403" s="28"/>
      <c r="KE1403" s="28"/>
      <c r="KF1403" s="28"/>
      <c r="KG1403" s="28"/>
      <c r="KH1403" s="28"/>
      <c r="KI1403" s="28"/>
      <c r="KJ1403" s="28"/>
      <c r="KK1403" s="28"/>
      <c r="KL1403" s="28"/>
      <c r="KM1403" s="28"/>
      <c r="KN1403" s="28"/>
      <c r="KO1403" s="28"/>
      <c r="KP1403" s="28"/>
      <c r="KQ1403" s="28"/>
      <c r="KR1403" s="28"/>
      <c r="KS1403" s="28"/>
      <c r="KT1403" s="28"/>
      <c r="KU1403" s="28"/>
      <c r="KV1403" s="28"/>
      <c r="KW1403" s="28"/>
      <c r="KX1403" s="28"/>
      <c r="KY1403" s="28"/>
      <c r="KZ1403" s="28"/>
      <c r="LA1403" s="28"/>
      <c r="LB1403" s="28"/>
      <c r="LC1403" s="28"/>
      <c r="LD1403" s="28"/>
      <c r="LE1403" s="28"/>
      <c r="LF1403" s="28"/>
      <c r="LG1403" s="28"/>
      <c r="LH1403" s="28"/>
      <c r="LI1403" s="28"/>
      <c r="LJ1403" s="28"/>
      <c r="LK1403" s="28"/>
      <c r="LL1403" s="28"/>
      <c r="LM1403" s="28"/>
      <c r="LN1403" s="28"/>
      <c r="LO1403" s="28"/>
      <c r="LP1403" s="28"/>
      <c r="LQ1403" s="28"/>
      <c r="LR1403" s="28"/>
      <c r="LS1403" s="28"/>
      <c r="LT1403" s="28"/>
      <c r="LU1403" s="28"/>
      <c r="LV1403" s="28"/>
      <c r="LW1403" s="28"/>
      <c r="LX1403" s="28"/>
      <c r="LY1403" s="28"/>
      <c r="LZ1403" s="28"/>
      <c r="MA1403" s="28"/>
      <c r="MB1403" s="28"/>
      <c r="MC1403" s="28"/>
      <c r="MD1403" s="28"/>
      <c r="ME1403" s="28"/>
      <c r="MF1403" s="28"/>
      <c r="MG1403" s="28"/>
      <c r="MH1403" s="28"/>
      <c r="MI1403" s="28"/>
      <c r="MJ1403" s="28"/>
      <c r="MK1403" s="28"/>
      <c r="ML1403" s="28"/>
      <c r="MM1403" s="28"/>
      <c r="MN1403" s="28"/>
      <c r="MO1403" s="28"/>
      <c r="MP1403" s="28"/>
      <c r="MQ1403" s="28"/>
      <c r="MR1403" s="28"/>
      <c r="MS1403" s="28"/>
      <c r="MT1403" s="28"/>
      <c r="MU1403" s="28"/>
      <c r="MV1403" s="28"/>
      <c r="MW1403" s="28"/>
      <c r="MX1403" s="28"/>
      <c r="MY1403" s="28"/>
      <c r="MZ1403" s="28"/>
      <c r="NA1403" s="28"/>
      <c r="NB1403" s="28"/>
      <c r="NC1403" s="28"/>
      <c r="ND1403" s="28"/>
      <c r="NE1403" s="28"/>
      <c r="NF1403" s="28"/>
      <c r="NG1403" s="28"/>
      <c r="NH1403" s="28"/>
      <c r="NI1403" s="28"/>
      <c r="NJ1403" s="28"/>
      <c r="NK1403" s="28"/>
      <c r="NL1403" s="28"/>
      <c r="NM1403" s="28"/>
      <c r="NN1403" s="28"/>
      <c r="NO1403" s="28"/>
      <c r="NP1403" s="28"/>
      <c r="NQ1403" s="28"/>
      <c r="NR1403" s="28"/>
      <c r="NS1403" s="28"/>
      <c r="NT1403" s="28"/>
      <c r="NU1403" s="28"/>
      <c r="NV1403" s="28"/>
      <c r="NW1403" s="28"/>
      <c r="NX1403" s="28"/>
      <c r="NY1403" s="28"/>
      <c r="NZ1403" s="28"/>
      <c r="OA1403" s="28"/>
      <c r="OB1403" s="28"/>
      <c r="OC1403" s="28"/>
      <c r="OD1403" s="28"/>
      <c r="OE1403" s="28"/>
      <c r="OF1403" s="28"/>
      <c r="OG1403" s="28"/>
      <c r="OH1403" s="28"/>
      <c r="OI1403" s="28"/>
      <c r="OJ1403" s="28"/>
      <c r="OK1403" s="28"/>
      <c r="OL1403" s="28"/>
      <c r="OM1403" s="28"/>
      <c r="ON1403" s="28"/>
      <c r="OO1403" s="28"/>
      <c r="OP1403" s="28"/>
      <c r="OQ1403" s="28"/>
      <c r="OR1403" s="28"/>
      <c r="OS1403" s="28"/>
      <c r="OT1403" s="28"/>
      <c r="OU1403" s="28"/>
      <c r="OV1403" s="28"/>
      <c r="OW1403" s="28"/>
      <c r="OX1403" s="28"/>
      <c r="OY1403" s="28"/>
      <c r="OZ1403" s="28"/>
      <c r="PA1403" s="28"/>
      <c r="PB1403" s="28"/>
      <c r="PC1403" s="28"/>
      <c r="PD1403" s="28"/>
      <c r="PE1403" s="28"/>
      <c r="PF1403" s="28"/>
      <c r="PG1403" s="28"/>
      <c r="PH1403" s="28"/>
      <c r="PI1403" s="28"/>
      <c r="PJ1403" s="28"/>
      <c r="PK1403" s="28"/>
      <c r="PL1403" s="28"/>
      <c r="PM1403" s="28"/>
      <c r="PN1403" s="28"/>
      <c r="PO1403" s="28"/>
      <c r="PP1403" s="28"/>
      <c r="PQ1403" s="28"/>
      <c r="PR1403" s="28"/>
      <c r="PS1403" s="28"/>
      <c r="PT1403" s="28"/>
      <c r="PU1403" s="28"/>
      <c r="PV1403" s="28"/>
      <c r="PW1403" s="28"/>
      <c r="PX1403" s="28"/>
      <c r="PY1403" s="28"/>
      <c r="PZ1403" s="28"/>
      <c r="QA1403" s="28"/>
      <c r="QB1403" s="28"/>
      <c r="QC1403" s="28"/>
      <c r="QD1403" s="28"/>
      <c r="QE1403" s="28"/>
      <c r="QF1403" s="28"/>
      <c r="QG1403" s="28"/>
      <c r="QH1403" s="28"/>
      <c r="QI1403" s="28"/>
      <c r="QJ1403" s="28"/>
      <c r="QK1403" s="28"/>
      <c r="QL1403" s="28"/>
      <c r="QM1403" s="28"/>
      <c r="QN1403" s="28"/>
      <c r="QO1403" s="28"/>
      <c r="QP1403" s="28"/>
      <c r="QQ1403" s="28"/>
      <c r="QR1403" s="28"/>
      <c r="QS1403" s="28"/>
      <c r="QT1403" s="28"/>
      <c r="QU1403" s="28"/>
      <c r="QV1403" s="28"/>
      <c r="QW1403" s="28"/>
      <c r="QX1403" s="28"/>
      <c r="QY1403" s="28"/>
      <c r="QZ1403" s="28"/>
      <c r="RA1403" s="28"/>
      <c r="RB1403" s="28"/>
      <c r="RC1403" s="28"/>
      <c r="RD1403" s="28"/>
      <c r="RE1403" s="28"/>
      <c r="RF1403" s="28"/>
      <c r="RG1403" s="28"/>
      <c r="RH1403" s="28"/>
      <c r="RI1403" s="28"/>
      <c r="RJ1403" s="28"/>
      <c r="RK1403" s="28"/>
      <c r="RL1403" s="28"/>
      <c r="RM1403" s="28"/>
      <c r="RN1403" s="28"/>
      <c r="RO1403" s="28"/>
      <c r="RP1403" s="28"/>
      <c r="RQ1403" s="28"/>
      <c r="RR1403" s="28"/>
      <c r="RS1403" s="28"/>
      <c r="RT1403" s="28"/>
      <c r="RU1403" s="28"/>
      <c r="RV1403" s="28"/>
      <c r="RW1403" s="28"/>
      <c r="RX1403" s="28"/>
      <c r="RY1403" s="28"/>
      <c r="RZ1403" s="28"/>
      <c r="SA1403" s="28"/>
      <c r="SB1403" s="28"/>
      <c r="SC1403" s="28"/>
      <c r="SD1403" s="28"/>
      <c r="SE1403" s="28"/>
      <c r="SF1403" s="28"/>
      <c r="SG1403" s="28"/>
      <c r="SH1403" s="28"/>
      <c r="SI1403" s="28"/>
      <c r="SJ1403" s="28"/>
      <c r="SK1403" s="28"/>
      <c r="SL1403" s="28"/>
      <c r="SM1403" s="28"/>
      <c r="SN1403" s="28"/>
      <c r="SO1403" s="28"/>
      <c r="SP1403" s="28"/>
      <c r="SQ1403" s="28"/>
      <c r="SR1403" s="28"/>
      <c r="SS1403" s="28"/>
      <c r="ST1403" s="28"/>
      <c r="SU1403" s="28"/>
      <c r="SV1403" s="28"/>
      <c r="SW1403" s="28"/>
      <c r="SX1403" s="28"/>
      <c r="SY1403" s="28"/>
      <c r="SZ1403" s="28"/>
      <c r="TA1403" s="28"/>
      <c r="TB1403" s="28"/>
      <c r="TC1403" s="28"/>
      <c r="TD1403" s="28"/>
      <c r="TE1403" s="28"/>
      <c r="TF1403" s="28"/>
      <c r="TG1403" s="28"/>
      <c r="TH1403" s="28"/>
      <c r="TI1403" s="28"/>
      <c r="TJ1403" s="28"/>
      <c r="TK1403" s="28"/>
      <c r="TL1403" s="28"/>
      <c r="TM1403" s="28"/>
      <c r="TN1403" s="28"/>
      <c r="TO1403" s="28"/>
      <c r="TP1403" s="28"/>
      <c r="TQ1403" s="28"/>
      <c r="TR1403" s="28"/>
      <c r="TS1403" s="28"/>
      <c r="TT1403" s="28"/>
      <c r="TU1403" s="28"/>
      <c r="TV1403" s="28"/>
      <c r="TW1403" s="28"/>
      <c r="TX1403" s="28"/>
      <c r="TY1403" s="28"/>
      <c r="TZ1403" s="28"/>
      <c r="UA1403" s="28"/>
      <c r="UB1403" s="28"/>
      <c r="UC1403" s="28"/>
      <c r="UD1403" s="28"/>
      <c r="UE1403" s="28"/>
      <c r="UF1403" s="28"/>
      <c r="UG1403" s="29"/>
    </row>
    <row r="1404" spans="1:553" ht="69" customHeight="1">
      <c r="A1404" s="356" t="s">
        <v>15</v>
      </c>
      <c r="B1404" s="366" t="s">
        <v>245</v>
      </c>
      <c r="C1404" s="1450" t="s">
        <v>1248</v>
      </c>
      <c r="D1404" s="1389"/>
      <c r="E1404" s="1389"/>
      <c r="F1404" s="1390"/>
      <c r="G1404" s="417" t="s">
        <v>758</v>
      </c>
      <c r="H1404" s="370"/>
      <c r="I1404" s="422">
        <f>0.7*0.5*1.3</f>
        <v>0.45499999999999996</v>
      </c>
      <c r="J1404" s="368">
        <v>1040800</v>
      </c>
      <c r="K1404" s="419">
        <v>0.8</v>
      </c>
      <c r="L1404" s="487">
        <f>ROUND(PRODUCT(I1404:K1404),0)</f>
        <v>378851</v>
      </c>
      <c r="M1404" s="395"/>
      <c r="N1404" s="395"/>
      <c r="O1404" s="366"/>
      <c r="P1404" s="396"/>
      <c r="Q1404" s="473"/>
      <c r="R1404" s="1039"/>
      <c r="S1404" s="308"/>
      <c r="T1404" s="308"/>
      <c r="U1404" s="308"/>
      <c r="V1404" s="308"/>
      <c r="W1404" s="308"/>
      <c r="X1404" s="308"/>
      <c r="Y1404" s="308"/>
      <c r="Z1404" s="604"/>
      <c r="AA1404" s="308"/>
      <c r="AB1404" s="308"/>
      <c r="AC1404" s="486"/>
      <c r="AD1404" s="486"/>
      <c r="AE1404" s="486"/>
      <c r="AF1404" s="486"/>
      <c r="AG1404" s="486"/>
      <c r="AH1404" s="486"/>
      <c r="AI1404" s="486"/>
      <c r="AJ1404" s="486"/>
      <c r="AK1404" s="486"/>
      <c r="AL1404" s="206"/>
      <c r="AM1404" s="28"/>
      <c r="AN1404" s="28"/>
      <c r="AO1404" s="28"/>
      <c r="AP1404" s="28"/>
      <c r="AQ1404" s="28"/>
      <c r="AR1404" s="28"/>
      <c r="AS1404" s="28"/>
      <c r="AT1404" s="28"/>
      <c r="AU1404" s="28"/>
      <c r="AV1404" s="28"/>
      <c r="AW1404" s="28"/>
      <c r="AX1404" s="28"/>
      <c r="AY1404" s="28"/>
      <c r="AZ1404" s="28"/>
      <c r="BA1404" s="28"/>
      <c r="BB1404" s="28"/>
      <c r="BC1404" s="28"/>
      <c r="BD1404" s="28"/>
      <c r="BE1404" s="28"/>
      <c r="BF1404" s="28"/>
      <c r="BG1404" s="28"/>
      <c r="BH1404" s="28"/>
      <c r="BI1404" s="28"/>
      <c r="BJ1404" s="28"/>
      <c r="BK1404" s="28"/>
      <c r="BL1404" s="28"/>
      <c r="BM1404" s="28"/>
      <c r="BN1404" s="28"/>
      <c r="BO1404" s="28"/>
      <c r="BP1404" s="28"/>
      <c r="BQ1404" s="28"/>
      <c r="BR1404" s="28"/>
      <c r="BS1404" s="28"/>
      <c r="BT1404" s="28"/>
      <c r="BU1404" s="28"/>
      <c r="BV1404" s="28"/>
      <c r="BW1404" s="28"/>
      <c r="BX1404" s="28"/>
      <c r="BY1404" s="28"/>
      <c r="BZ1404" s="28"/>
      <c r="CA1404" s="28"/>
      <c r="CB1404" s="28"/>
      <c r="CC1404" s="28"/>
      <c r="CD1404" s="28"/>
      <c r="CE1404" s="28"/>
      <c r="CF1404" s="28"/>
      <c r="CG1404" s="28"/>
      <c r="CH1404" s="28"/>
      <c r="CI1404" s="28"/>
      <c r="CJ1404" s="28"/>
      <c r="CK1404" s="28"/>
      <c r="CL1404" s="28"/>
      <c r="CM1404" s="28"/>
      <c r="CN1404" s="28"/>
      <c r="CO1404" s="28"/>
      <c r="CP1404" s="28"/>
      <c r="CQ1404" s="28"/>
      <c r="CR1404" s="28"/>
      <c r="CS1404" s="28"/>
      <c r="CT1404" s="28"/>
      <c r="CU1404" s="28"/>
      <c r="CV1404" s="28"/>
      <c r="CW1404" s="28"/>
      <c r="CX1404" s="28"/>
      <c r="CY1404" s="28"/>
      <c r="CZ1404" s="28"/>
      <c r="DA1404" s="28"/>
      <c r="DB1404" s="28"/>
      <c r="DC1404" s="28"/>
      <c r="DD1404" s="28"/>
      <c r="DE1404" s="28"/>
      <c r="DF1404" s="28"/>
      <c r="DG1404" s="28"/>
      <c r="DH1404" s="28"/>
      <c r="DI1404" s="28"/>
      <c r="DJ1404" s="28"/>
      <c r="DK1404" s="28"/>
      <c r="DL1404" s="28"/>
      <c r="DM1404" s="28"/>
      <c r="DN1404" s="28"/>
      <c r="DO1404" s="28"/>
      <c r="DP1404" s="28"/>
      <c r="DQ1404" s="28"/>
      <c r="DR1404" s="28"/>
      <c r="DS1404" s="28"/>
      <c r="DT1404" s="28"/>
      <c r="DU1404" s="28"/>
      <c r="DV1404" s="28"/>
      <c r="DW1404" s="28"/>
      <c r="DX1404" s="28"/>
      <c r="DY1404" s="28"/>
      <c r="DZ1404" s="28"/>
      <c r="EA1404" s="28"/>
      <c r="EB1404" s="28"/>
      <c r="EC1404" s="28"/>
      <c r="ED1404" s="28"/>
      <c r="EE1404" s="28"/>
      <c r="EF1404" s="28"/>
      <c r="EG1404" s="28"/>
      <c r="EH1404" s="28"/>
      <c r="EI1404" s="28"/>
      <c r="EJ1404" s="28"/>
      <c r="EK1404" s="28"/>
      <c r="EL1404" s="28"/>
      <c r="EM1404" s="28"/>
      <c r="EN1404" s="28"/>
      <c r="EO1404" s="28"/>
      <c r="EP1404" s="28"/>
      <c r="EQ1404" s="28"/>
      <c r="ER1404" s="28"/>
      <c r="ES1404" s="28"/>
      <c r="ET1404" s="28"/>
      <c r="EU1404" s="28"/>
      <c r="EV1404" s="28"/>
      <c r="EW1404" s="28"/>
      <c r="EX1404" s="28"/>
      <c r="EY1404" s="28"/>
      <c r="EZ1404" s="28"/>
      <c r="FA1404" s="28"/>
      <c r="FB1404" s="28"/>
      <c r="FC1404" s="28"/>
      <c r="FD1404" s="28"/>
      <c r="FE1404" s="28"/>
      <c r="FF1404" s="28"/>
      <c r="FG1404" s="28"/>
      <c r="FH1404" s="28"/>
      <c r="FI1404" s="28"/>
      <c r="FJ1404" s="28"/>
      <c r="FK1404" s="28"/>
      <c r="FL1404" s="28"/>
      <c r="FM1404" s="28"/>
      <c r="FN1404" s="28"/>
      <c r="FO1404" s="28"/>
      <c r="FP1404" s="28"/>
      <c r="FQ1404" s="28"/>
      <c r="FR1404" s="28"/>
      <c r="FS1404" s="28"/>
      <c r="FT1404" s="28"/>
      <c r="FU1404" s="28"/>
      <c r="FV1404" s="28"/>
      <c r="FW1404" s="28"/>
      <c r="FX1404" s="28"/>
      <c r="FY1404" s="28"/>
      <c r="FZ1404" s="28"/>
      <c r="GA1404" s="28"/>
      <c r="GB1404" s="28"/>
      <c r="GC1404" s="28"/>
      <c r="GD1404" s="28"/>
      <c r="GE1404" s="28"/>
      <c r="GF1404" s="28"/>
      <c r="GG1404" s="28"/>
      <c r="GH1404" s="28"/>
      <c r="GI1404" s="28"/>
      <c r="GJ1404" s="28"/>
      <c r="GK1404" s="28"/>
      <c r="GL1404" s="28"/>
      <c r="GM1404" s="28"/>
      <c r="GN1404" s="28"/>
      <c r="GO1404" s="28"/>
      <c r="GP1404" s="28"/>
      <c r="GQ1404" s="28"/>
      <c r="GR1404" s="28"/>
      <c r="GS1404" s="28"/>
      <c r="GT1404" s="28"/>
      <c r="GU1404" s="28"/>
      <c r="GV1404" s="28"/>
      <c r="GW1404" s="28"/>
      <c r="GX1404" s="28"/>
      <c r="GY1404" s="28"/>
      <c r="GZ1404" s="28"/>
      <c r="HA1404" s="28"/>
      <c r="HB1404" s="28"/>
      <c r="HC1404" s="28"/>
      <c r="HD1404" s="28"/>
      <c r="HE1404" s="28"/>
      <c r="HF1404" s="28"/>
      <c r="HG1404" s="28"/>
      <c r="HH1404" s="28"/>
      <c r="HI1404" s="28"/>
      <c r="HJ1404" s="28"/>
      <c r="HK1404" s="28"/>
      <c r="HL1404" s="28"/>
      <c r="HM1404" s="28"/>
      <c r="HN1404" s="28"/>
      <c r="HO1404" s="28"/>
      <c r="HP1404" s="28"/>
      <c r="HQ1404" s="28"/>
      <c r="HR1404" s="28"/>
      <c r="HS1404" s="28"/>
      <c r="HT1404" s="28"/>
      <c r="HU1404" s="28"/>
      <c r="HV1404" s="28"/>
      <c r="HW1404" s="28"/>
      <c r="HX1404" s="28"/>
      <c r="HY1404" s="28"/>
      <c r="HZ1404" s="28"/>
      <c r="IA1404" s="28"/>
      <c r="IB1404" s="28"/>
      <c r="IC1404" s="28"/>
      <c r="ID1404" s="28"/>
      <c r="IE1404" s="28"/>
      <c r="IF1404" s="28"/>
      <c r="IG1404" s="28"/>
      <c r="IH1404" s="28"/>
      <c r="II1404" s="28"/>
      <c r="IJ1404" s="28"/>
      <c r="IK1404" s="28"/>
      <c r="IL1404" s="28"/>
      <c r="IM1404" s="28"/>
      <c r="IN1404" s="28"/>
      <c r="IO1404" s="28"/>
      <c r="IP1404" s="28"/>
      <c r="IQ1404" s="28"/>
      <c r="IR1404" s="28"/>
      <c r="IS1404" s="28"/>
      <c r="IT1404" s="28"/>
      <c r="IU1404" s="28"/>
      <c r="IV1404" s="28"/>
      <c r="IW1404" s="28"/>
      <c r="IX1404" s="28"/>
      <c r="IY1404" s="28"/>
      <c r="IZ1404" s="28"/>
      <c r="JA1404" s="28"/>
      <c r="JB1404" s="28"/>
      <c r="JC1404" s="28"/>
      <c r="JD1404" s="28"/>
      <c r="JE1404" s="28"/>
      <c r="JF1404" s="28"/>
      <c r="JG1404" s="28"/>
      <c r="JH1404" s="28"/>
      <c r="JI1404" s="28"/>
      <c r="JJ1404" s="28"/>
      <c r="JK1404" s="28"/>
      <c r="JL1404" s="28"/>
      <c r="JM1404" s="28"/>
      <c r="JN1404" s="28"/>
      <c r="JO1404" s="28"/>
      <c r="JP1404" s="28"/>
      <c r="JQ1404" s="28"/>
      <c r="JR1404" s="28"/>
      <c r="JS1404" s="28"/>
      <c r="JT1404" s="28"/>
      <c r="JU1404" s="28"/>
      <c r="JV1404" s="28"/>
      <c r="JW1404" s="28"/>
      <c r="JX1404" s="28"/>
      <c r="JY1404" s="28"/>
      <c r="JZ1404" s="28"/>
      <c r="KA1404" s="28"/>
      <c r="KB1404" s="28"/>
      <c r="KC1404" s="28"/>
      <c r="KD1404" s="28"/>
      <c r="KE1404" s="28"/>
      <c r="KF1404" s="28"/>
      <c r="KG1404" s="28"/>
      <c r="KH1404" s="28"/>
      <c r="KI1404" s="28"/>
      <c r="KJ1404" s="28"/>
      <c r="KK1404" s="28"/>
      <c r="KL1404" s="28"/>
      <c r="KM1404" s="28"/>
      <c r="KN1404" s="28"/>
      <c r="KO1404" s="28"/>
      <c r="KP1404" s="28"/>
      <c r="KQ1404" s="28"/>
      <c r="KR1404" s="28"/>
      <c r="KS1404" s="28"/>
      <c r="KT1404" s="28"/>
      <c r="KU1404" s="28"/>
      <c r="KV1404" s="28"/>
      <c r="KW1404" s="28"/>
      <c r="KX1404" s="28"/>
      <c r="KY1404" s="28"/>
      <c r="KZ1404" s="28"/>
      <c r="LA1404" s="28"/>
      <c r="LB1404" s="28"/>
      <c r="LC1404" s="28"/>
      <c r="LD1404" s="28"/>
      <c r="LE1404" s="28"/>
      <c r="LF1404" s="28"/>
      <c r="LG1404" s="28"/>
      <c r="LH1404" s="28"/>
      <c r="LI1404" s="28"/>
      <c r="LJ1404" s="28"/>
      <c r="LK1404" s="28"/>
      <c r="LL1404" s="28"/>
      <c r="LM1404" s="28"/>
      <c r="LN1404" s="28"/>
      <c r="LO1404" s="28"/>
      <c r="LP1404" s="28"/>
      <c r="LQ1404" s="28"/>
      <c r="LR1404" s="28"/>
      <c r="LS1404" s="28"/>
      <c r="LT1404" s="28"/>
      <c r="LU1404" s="28"/>
      <c r="LV1404" s="28"/>
      <c r="LW1404" s="28"/>
      <c r="LX1404" s="28"/>
      <c r="LY1404" s="28"/>
      <c r="LZ1404" s="28"/>
      <c r="MA1404" s="28"/>
      <c r="MB1404" s="28"/>
      <c r="MC1404" s="28"/>
      <c r="MD1404" s="28"/>
      <c r="ME1404" s="28"/>
      <c r="MF1404" s="28"/>
      <c r="MG1404" s="28"/>
      <c r="MH1404" s="28"/>
      <c r="MI1404" s="28"/>
      <c r="MJ1404" s="28"/>
      <c r="MK1404" s="28"/>
      <c r="ML1404" s="28"/>
      <c r="MM1404" s="28"/>
      <c r="MN1404" s="28"/>
      <c r="MO1404" s="28"/>
      <c r="MP1404" s="28"/>
      <c r="MQ1404" s="28"/>
      <c r="MR1404" s="28"/>
      <c r="MS1404" s="28"/>
      <c r="MT1404" s="28"/>
      <c r="MU1404" s="28"/>
      <c r="MV1404" s="28"/>
      <c r="MW1404" s="28"/>
      <c r="MX1404" s="28"/>
      <c r="MY1404" s="28"/>
      <c r="MZ1404" s="28"/>
      <c r="NA1404" s="28"/>
      <c r="NB1404" s="28"/>
      <c r="NC1404" s="28"/>
      <c r="ND1404" s="28"/>
      <c r="NE1404" s="28"/>
      <c r="NF1404" s="28"/>
      <c r="NG1404" s="28"/>
      <c r="NH1404" s="28"/>
      <c r="NI1404" s="28"/>
      <c r="NJ1404" s="28"/>
      <c r="NK1404" s="28"/>
      <c r="NL1404" s="28"/>
      <c r="NM1404" s="28"/>
      <c r="NN1404" s="28"/>
      <c r="NO1404" s="28"/>
      <c r="NP1404" s="28"/>
      <c r="NQ1404" s="28"/>
      <c r="NR1404" s="28"/>
      <c r="NS1404" s="28"/>
      <c r="NT1404" s="28"/>
      <c r="NU1404" s="28"/>
      <c r="NV1404" s="28"/>
      <c r="NW1404" s="28"/>
      <c r="NX1404" s="28"/>
      <c r="NY1404" s="28"/>
      <c r="NZ1404" s="28"/>
      <c r="OA1404" s="28"/>
      <c r="OB1404" s="28"/>
      <c r="OC1404" s="28"/>
      <c r="OD1404" s="28"/>
      <c r="OE1404" s="28"/>
      <c r="OF1404" s="28"/>
      <c r="OG1404" s="28"/>
      <c r="OH1404" s="28"/>
      <c r="OI1404" s="28"/>
      <c r="OJ1404" s="28"/>
      <c r="OK1404" s="28"/>
      <c r="OL1404" s="28"/>
      <c r="OM1404" s="28"/>
      <c r="ON1404" s="28"/>
      <c r="OO1404" s="28"/>
      <c r="OP1404" s="28"/>
      <c r="OQ1404" s="28"/>
      <c r="OR1404" s="28"/>
      <c r="OS1404" s="28"/>
      <c r="OT1404" s="28"/>
      <c r="OU1404" s="28"/>
      <c r="OV1404" s="28"/>
      <c r="OW1404" s="28"/>
      <c r="OX1404" s="28"/>
      <c r="OY1404" s="28"/>
      <c r="OZ1404" s="28"/>
      <c r="PA1404" s="28"/>
      <c r="PB1404" s="28"/>
      <c r="PC1404" s="28"/>
      <c r="PD1404" s="28"/>
      <c r="PE1404" s="28"/>
      <c r="PF1404" s="28"/>
      <c r="PG1404" s="28"/>
      <c r="PH1404" s="28"/>
      <c r="PI1404" s="28"/>
      <c r="PJ1404" s="28"/>
      <c r="PK1404" s="28"/>
      <c r="PL1404" s="28"/>
      <c r="PM1404" s="28"/>
      <c r="PN1404" s="28"/>
      <c r="PO1404" s="28"/>
      <c r="PP1404" s="28"/>
      <c r="PQ1404" s="28"/>
      <c r="PR1404" s="28"/>
      <c r="PS1404" s="28"/>
      <c r="PT1404" s="28"/>
      <c r="PU1404" s="28"/>
      <c r="PV1404" s="28"/>
      <c r="PW1404" s="28"/>
      <c r="PX1404" s="28"/>
      <c r="PY1404" s="28"/>
      <c r="PZ1404" s="28"/>
      <c r="QA1404" s="28"/>
      <c r="QB1404" s="28"/>
      <c r="QC1404" s="28"/>
      <c r="QD1404" s="28"/>
      <c r="QE1404" s="28"/>
      <c r="QF1404" s="28"/>
      <c r="QG1404" s="28"/>
      <c r="QH1404" s="28"/>
      <c r="QI1404" s="28"/>
      <c r="QJ1404" s="28"/>
      <c r="QK1404" s="28"/>
      <c r="QL1404" s="28"/>
      <c r="QM1404" s="28"/>
      <c r="QN1404" s="28"/>
      <c r="QO1404" s="28"/>
      <c r="QP1404" s="28"/>
      <c r="QQ1404" s="28"/>
      <c r="QR1404" s="28"/>
      <c r="QS1404" s="28"/>
      <c r="QT1404" s="28"/>
      <c r="QU1404" s="28"/>
      <c r="QV1404" s="28"/>
      <c r="QW1404" s="28"/>
      <c r="QX1404" s="28"/>
      <c r="QY1404" s="28"/>
      <c r="QZ1404" s="28"/>
      <c r="RA1404" s="28"/>
      <c r="RB1404" s="28"/>
      <c r="RC1404" s="28"/>
      <c r="RD1404" s="28"/>
      <c r="RE1404" s="28"/>
      <c r="RF1404" s="28"/>
      <c r="RG1404" s="28"/>
      <c r="RH1404" s="28"/>
      <c r="RI1404" s="28"/>
      <c r="RJ1404" s="28"/>
      <c r="RK1404" s="28"/>
      <c r="RL1404" s="28"/>
      <c r="RM1404" s="28"/>
      <c r="RN1404" s="28"/>
      <c r="RO1404" s="28"/>
      <c r="RP1404" s="28"/>
      <c r="RQ1404" s="28"/>
      <c r="RR1404" s="28"/>
      <c r="RS1404" s="28"/>
      <c r="RT1404" s="28"/>
      <c r="RU1404" s="28"/>
      <c r="RV1404" s="28"/>
      <c r="RW1404" s="28"/>
      <c r="RX1404" s="28"/>
      <c r="RY1404" s="28"/>
      <c r="RZ1404" s="28"/>
      <c r="SA1404" s="28"/>
      <c r="SB1404" s="28"/>
      <c r="SC1404" s="28"/>
      <c r="SD1404" s="28"/>
      <c r="SE1404" s="28"/>
      <c r="SF1404" s="28"/>
      <c r="SG1404" s="28"/>
      <c r="SH1404" s="28"/>
      <c r="SI1404" s="28"/>
      <c r="SJ1404" s="28"/>
      <c r="SK1404" s="28"/>
      <c r="SL1404" s="28"/>
      <c r="SM1404" s="28"/>
      <c r="SN1404" s="28"/>
      <c r="SO1404" s="28"/>
      <c r="SP1404" s="28"/>
      <c r="SQ1404" s="28"/>
      <c r="SR1404" s="28"/>
      <c r="SS1404" s="28"/>
      <c r="ST1404" s="28"/>
      <c r="SU1404" s="28"/>
      <c r="SV1404" s="28"/>
      <c r="SW1404" s="28"/>
      <c r="SX1404" s="28"/>
      <c r="SY1404" s="28"/>
      <c r="SZ1404" s="28"/>
      <c r="TA1404" s="28"/>
      <c r="TB1404" s="28"/>
      <c r="TC1404" s="28"/>
      <c r="TD1404" s="28"/>
      <c r="TE1404" s="28"/>
      <c r="TF1404" s="28"/>
      <c r="TG1404" s="28"/>
      <c r="TH1404" s="28"/>
      <c r="TI1404" s="28"/>
      <c r="TJ1404" s="28"/>
      <c r="TK1404" s="28"/>
      <c r="TL1404" s="28"/>
      <c r="TM1404" s="28"/>
      <c r="TN1404" s="28"/>
      <c r="TO1404" s="28"/>
      <c r="TP1404" s="28"/>
      <c r="TQ1404" s="28"/>
      <c r="TR1404" s="28"/>
      <c r="TS1404" s="28"/>
      <c r="TT1404" s="28"/>
      <c r="TU1404" s="28"/>
      <c r="TV1404" s="28"/>
      <c r="TW1404" s="28"/>
      <c r="TX1404" s="28"/>
      <c r="TY1404" s="28"/>
      <c r="TZ1404" s="28"/>
      <c r="UA1404" s="28"/>
      <c r="UB1404" s="28"/>
      <c r="UC1404" s="28"/>
      <c r="UD1404" s="28"/>
      <c r="UE1404" s="28"/>
      <c r="UF1404" s="28"/>
      <c r="UG1404" s="29"/>
    </row>
    <row r="1405" spans="1:553" ht="69" customHeight="1">
      <c r="A1405" s="356" t="s">
        <v>15</v>
      </c>
      <c r="B1405" s="366" t="s">
        <v>245</v>
      </c>
      <c r="C1405" s="1450" t="s">
        <v>1249</v>
      </c>
      <c r="D1405" s="1389"/>
      <c r="E1405" s="1389"/>
      <c r="F1405" s="1390"/>
      <c r="G1405" s="417" t="s">
        <v>758</v>
      </c>
      <c r="H1405" s="370"/>
      <c r="I1405" s="422">
        <f>1.1*1.1*1</f>
        <v>1.2100000000000002</v>
      </c>
      <c r="J1405" s="368">
        <v>1080400</v>
      </c>
      <c r="K1405" s="419">
        <v>0.8</v>
      </c>
      <c r="L1405" s="487">
        <f>I1405*J1405</f>
        <v>1307284.0000000002</v>
      </c>
      <c r="M1405" s="391"/>
      <c r="N1405" s="391"/>
      <c r="O1405" s="391"/>
      <c r="P1405" s="391"/>
      <c r="Q1405" s="1142"/>
      <c r="R1405" s="1226"/>
      <c r="S1405" s="308"/>
      <c r="T1405" s="308"/>
      <c r="U1405" s="308"/>
      <c r="V1405" s="308"/>
      <c r="W1405" s="308"/>
      <c r="X1405" s="308"/>
      <c r="Y1405" s="308"/>
      <c r="Z1405" s="604"/>
      <c r="AA1405" s="308"/>
      <c r="AB1405" s="308"/>
      <c r="AC1405" s="486"/>
      <c r="AD1405" s="486"/>
      <c r="AE1405" s="486"/>
      <c r="AF1405" s="486"/>
      <c r="AG1405" s="486"/>
      <c r="AH1405" s="486"/>
      <c r="AI1405" s="486"/>
      <c r="AJ1405" s="486"/>
      <c r="AK1405" s="486"/>
      <c r="AL1405" s="206"/>
      <c r="AM1405" s="28"/>
      <c r="AN1405" s="28"/>
      <c r="AO1405" s="28"/>
      <c r="AP1405" s="28"/>
      <c r="AQ1405" s="28"/>
      <c r="AR1405" s="28"/>
      <c r="AS1405" s="28"/>
      <c r="AT1405" s="28"/>
      <c r="AU1405" s="28"/>
      <c r="AV1405" s="28"/>
      <c r="AW1405" s="28"/>
      <c r="AX1405" s="28"/>
      <c r="AY1405" s="28"/>
      <c r="AZ1405" s="28"/>
      <c r="BA1405" s="28"/>
      <c r="BB1405" s="28"/>
      <c r="BC1405" s="28"/>
      <c r="BD1405" s="28"/>
      <c r="BE1405" s="28"/>
      <c r="BF1405" s="28"/>
      <c r="BG1405" s="28"/>
      <c r="BH1405" s="28"/>
      <c r="BI1405" s="28"/>
      <c r="BJ1405" s="28"/>
      <c r="BK1405" s="28"/>
      <c r="BL1405" s="28"/>
      <c r="BM1405" s="28"/>
      <c r="BN1405" s="28"/>
      <c r="BO1405" s="28"/>
      <c r="BP1405" s="28"/>
      <c r="BQ1405" s="28"/>
      <c r="BR1405" s="28"/>
      <c r="BS1405" s="28"/>
      <c r="BT1405" s="28"/>
      <c r="BU1405" s="28"/>
      <c r="BV1405" s="28"/>
      <c r="BW1405" s="28"/>
      <c r="BX1405" s="28"/>
      <c r="BY1405" s="28"/>
      <c r="BZ1405" s="28"/>
      <c r="CA1405" s="28"/>
      <c r="CB1405" s="28"/>
      <c r="CC1405" s="28"/>
      <c r="CD1405" s="28"/>
      <c r="CE1405" s="28"/>
      <c r="CF1405" s="28"/>
      <c r="CG1405" s="28"/>
      <c r="CH1405" s="28"/>
      <c r="CI1405" s="28"/>
      <c r="CJ1405" s="28"/>
      <c r="CK1405" s="28"/>
      <c r="CL1405" s="28"/>
      <c r="CM1405" s="28"/>
      <c r="CN1405" s="28"/>
      <c r="CO1405" s="28"/>
      <c r="CP1405" s="28"/>
      <c r="CQ1405" s="28"/>
      <c r="CR1405" s="28"/>
      <c r="CS1405" s="28"/>
      <c r="CT1405" s="28"/>
      <c r="CU1405" s="28"/>
      <c r="CV1405" s="28"/>
      <c r="CW1405" s="28"/>
      <c r="CX1405" s="28"/>
      <c r="CY1405" s="28"/>
      <c r="CZ1405" s="28"/>
      <c r="DA1405" s="28"/>
      <c r="DB1405" s="28"/>
      <c r="DC1405" s="28"/>
      <c r="DD1405" s="28"/>
      <c r="DE1405" s="28"/>
      <c r="DF1405" s="28"/>
      <c r="DG1405" s="28"/>
      <c r="DH1405" s="28"/>
      <c r="DI1405" s="28"/>
      <c r="DJ1405" s="28"/>
      <c r="DK1405" s="28"/>
      <c r="DL1405" s="28"/>
      <c r="DM1405" s="28"/>
      <c r="DN1405" s="28"/>
      <c r="DO1405" s="28"/>
      <c r="DP1405" s="28"/>
      <c r="DQ1405" s="28"/>
      <c r="DR1405" s="28"/>
      <c r="DS1405" s="28"/>
      <c r="DT1405" s="28"/>
      <c r="DU1405" s="28"/>
      <c r="DV1405" s="28"/>
      <c r="DW1405" s="28"/>
      <c r="DX1405" s="28"/>
      <c r="DY1405" s="28"/>
      <c r="DZ1405" s="28"/>
      <c r="EA1405" s="28"/>
      <c r="EB1405" s="28"/>
      <c r="EC1405" s="28"/>
      <c r="ED1405" s="28"/>
      <c r="EE1405" s="28"/>
      <c r="EF1405" s="28"/>
      <c r="EG1405" s="28"/>
      <c r="EH1405" s="28"/>
      <c r="EI1405" s="28"/>
      <c r="EJ1405" s="28"/>
      <c r="EK1405" s="28"/>
      <c r="EL1405" s="28"/>
      <c r="EM1405" s="28"/>
      <c r="EN1405" s="28"/>
      <c r="EO1405" s="28"/>
      <c r="EP1405" s="28"/>
      <c r="EQ1405" s="28"/>
      <c r="ER1405" s="28"/>
      <c r="ES1405" s="28"/>
      <c r="ET1405" s="28"/>
      <c r="EU1405" s="28"/>
      <c r="EV1405" s="28"/>
      <c r="EW1405" s="28"/>
      <c r="EX1405" s="28"/>
      <c r="EY1405" s="28"/>
      <c r="EZ1405" s="28"/>
      <c r="FA1405" s="28"/>
      <c r="FB1405" s="28"/>
      <c r="FC1405" s="28"/>
      <c r="FD1405" s="28"/>
      <c r="FE1405" s="28"/>
      <c r="FF1405" s="28"/>
      <c r="FG1405" s="28"/>
      <c r="FH1405" s="28"/>
      <c r="FI1405" s="28"/>
      <c r="FJ1405" s="28"/>
      <c r="FK1405" s="28"/>
      <c r="FL1405" s="28"/>
      <c r="FM1405" s="28"/>
      <c r="FN1405" s="28"/>
      <c r="FO1405" s="28"/>
      <c r="FP1405" s="28"/>
      <c r="FQ1405" s="28"/>
      <c r="FR1405" s="28"/>
      <c r="FS1405" s="28"/>
      <c r="FT1405" s="28"/>
      <c r="FU1405" s="28"/>
      <c r="FV1405" s="28"/>
      <c r="FW1405" s="28"/>
      <c r="FX1405" s="28"/>
      <c r="FY1405" s="28"/>
      <c r="FZ1405" s="28"/>
      <c r="GA1405" s="28"/>
      <c r="GB1405" s="28"/>
      <c r="GC1405" s="28"/>
      <c r="GD1405" s="28"/>
      <c r="GE1405" s="28"/>
      <c r="GF1405" s="28"/>
      <c r="GG1405" s="28"/>
      <c r="GH1405" s="28"/>
      <c r="GI1405" s="28"/>
      <c r="GJ1405" s="28"/>
      <c r="GK1405" s="28"/>
      <c r="GL1405" s="28"/>
      <c r="GM1405" s="28"/>
      <c r="GN1405" s="28"/>
      <c r="GO1405" s="28"/>
      <c r="GP1405" s="28"/>
      <c r="GQ1405" s="28"/>
      <c r="GR1405" s="28"/>
      <c r="GS1405" s="28"/>
      <c r="GT1405" s="28"/>
      <c r="GU1405" s="28"/>
      <c r="GV1405" s="28"/>
      <c r="GW1405" s="28"/>
      <c r="GX1405" s="28"/>
      <c r="GY1405" s="28"/>
      <c r="GZ1405" s="28"/>
      <c r="HA1405" s="28"/>
      <c r="HB1405" s="28"/>
      <c r="HC1405" s="28"/>
      <c r="HD1405" s="28"/>
      <c r="HE1405" s="28"/>
      <c r="HF1405" s="28"/>
      <c r="HG1405" s="28"/>
      <c r="HH1405" s="28"/>
      <c r="HI1405" s="28"/>
      <c r="HJ1405" s="28"/>
      <c r="HK1405" s="28"/>
      <c r="HL1405" s="28"/>
      <c r="HM1405" s="28"/>
      <c r="HN1405" s="28"/>
      <c r="HO1405" s="28"/>
      <c r="HP1405" s="28"/>
      <c r="HQ1405" s="28"/>
      <c r="HR1405" s="28"/>
      <c r="HS1405" s="28"/>
      <c r="HT1405" s="28"/>
      <c r="HU1405" s="28"/>
      <c r="HV1405" s="28"/>
      <c r="HW1405" s="28"/>
      <c r="HX1405" s="28"/>
      <c r="HY1405" s="28"/>
      <c r="HZ1405" s="28"/>
      <c r="IA1405" s="28"/>
      <c r="IB1405" s="28"/>
      <c r="IC1405" s="28"/>
      <c r="ID1405" s="28"/>
      <c r="IE1405" s="28"/>
      <c r="IF1405" s="28"/>
      <c r="IG1405" s="28"/>
      <c r="IH1405" s="28"/>
      <c r="II1405" s="28"/>
      <c r="IJ1405" s="28"/>
      <c r="IK1405" s="28"/>
      <c r="IL1405" s="28"/>
      <c r="IM1405" s="28"/>
      <c r="IN1405" s="28"/>
      <c r="IO1405" s="28"/>
      <c r="IP1405" s="28"/>
      <c r="IQ1405" s="28"/>
      <c r="IR1405" s="28"/>
      <c r="IS1405" s="28"/>
      <c r="IT1405" s="28"/>
      <c r="IU1405" s="28"/>
      <c r="IV1405" s="28"/>
      <c r="IW1405" s="28"/>
      <c r="IX1405" s="28"/>
      <c r="IY1405" s="28"/>
      <c r="IZ1405" s="28"/>
      <c r="JA1405" s="28"/>
      <c r="JB1405" s="28"/>
      <c r="JC1405" s="28"/>
      <c r="JD1405" s="28"/>
      <c r="JE1405" s="28"/>
      <c r="JF1405" s="28"/>
      <c r="JG1405" s="28"/>
      <c r="JH1405" s="28"/>
      <c r="JI1405" s="28"/>
      <c r="JJ1405" s="28"/>
      <c r="JK1405" s="28"/>
      <c r="JL1405" s="28"/>
      <c r="JM1405" s="28"/>
      <c r="JN1405" s="28"/>
      <c r="JO1405" s="28"/>
      <c r="JP1405" s="28"/>
      <c r="JQ1405" s="28"/>
      <c r="JR1405" s="28"/>
      <c r="JS1405" s="28"/>
      <c r="JT1405" s="28"/>
      <c r="JU1405" s="28"/>
      <c r="JV1405" s="28"/>
      <c r="JW1405" s="28"/>
      <c r="JX1405" s="28"/>
      <c r="JY1405" s="28"/>
      <c r="JZ1405" s="28"/>
      <c r="KA1405" s="28"/>
      <c r="KB1405" s="28"/>
      <c r="KC1405" s="28"/>
      <c r="KD1405" s="28"/>
      <c r="KE1405" s="28"/>
      <c r="KF1405" s="28"/>
      <c r="KG1405" s="28"/>
      <c r="KH1405" s="28"/>
      <c r="KI1405" s="28"/>
      <c r="KJ1405" s="28"/>
      <c r="KK1405" s="28"/>
      <c r="KL1405" s="28"/>
      <c r="KM1405" s="28"/>
      <c r="KN1405" s="28"/>
      <c r="KO1405" s="28"/>
      <c r="KP1405" s="28"/>
      <c r="KQ1405" s="28"/>
      <c r="KR1405" s="28"/>
      <c r="KS1405" s="28"/>
      <c r="KT1405" s="28"/>
      <c r="KU1405" s="28"/>
      <c r="KV1405" s="28"/>
      <c r="KW1405" s="28"/>
      <c r="KX1405" s="28"/>
      <c r="KY1405" s="28"/>
      <c r="KZ1405" s="28"/>
      <c r="LA1405" s="28"/>
      <c r="LB1405" s="28"/>
      <c r="LC1405" s="28"/>
      <c r="LD1405" s="28"/>
      <c r="LE1405" s="28"/>
      <c r="LF1405" s="28"/>
      <c r="LG1405" s="28"/>
      <c r="LH1405" s="28"/>
      <c r="LI1405" s="28"/>
      <c r="LJ1405" s="28"/>
      <c r="LK1405" s="28"/>
      <c r="LL1405" s="28"/>
      <c r="LM1405" s="28"/>
      <c r="LN1405" s="28"/>
      <c r="LO1405" s="28"/>
      <c r="LP1405" s="28"/>
      <c r="LQ1405" s="28"/>
      <c r="LR1405" s="28"/>
      <c r="LS1405" s="28"/>
      <c r="LT1405" s="28"/>
      <c r="LU1405" s="28"/>
      <c r="LV1405" s="28"/>
      <c r="LW1405" s="28"/>
      <c r="LX1405" s="28"/>
      <c r="LY1405" s="28"/>
      <c r="LZ1405" s="28"/>
      <c r="MA1405" s="28"/>
      <c r="MB1405" s="28"/>
      <c r="MC1405" s="28"/>
      <c r="MD1405" s="28"/>
      <c r="ME1405" s="28"/>
      <c r="MF1405" s="28"/>
      <c r="MG1405" s="28"/>
      <c r="MH1405" s="28"/>
      <c r="MI1405" s="28"/>
      <c r="MJ1405" s="28"/>
      <c r="MK1405" s="28"/>
      <c r="ML1405" s="28"/>
      <c r="MM1405" s="28"/>
      <c r="MN1405" s="28"/>
      <c r="MO1405" s="28"/>
      <c r="MP1405" s="28"/>
      <c r="MQ1405" s="28"/>
      <c r="MR1405" s="28"/>
      <c r="MS1405" s="28"/>
      <c r="MT1405" s="28"/>
      <c r="MU1405" s="28"/>
      <c r="MV1405" s="28"/>
      <c r="MW1405" s="28"/>
      <c r="MX1405" s="28"/>
      <c r="MY1405" s="28"/>
      <c r="MZ1405" s="28"/>
      <c r="NA1405" s="28"/>
      <c r="NB1405" s="28"/>
      <c r="NC1405" s="28"/>
      <c r="ND1405" s="28"/>
      <c r="NE1405" s="28"/>
      <c r="NF1405" s="28"/>
      <c r="NG1405" s="28"/>
      <c r="NH1405" s="28"/>
      <c r="NI1405" s="28"/>
      <c r="NJ1405" s="28"/>
      <c r="NK1405" s="28"/>
      <c r="NL1405" s="28"/>
      <c r="NM1405" s="28"/>
      <c r="NN1405" s="28"/>
      <c r="NO1405" s="28"/>
      <c r="NP1405" s="28"/>
      <c r="NQ1405" s="28"/>
      <c r="NR1405" s="28"/>
      <c r="NS1405" s="28"/>
      <c r="NT1405" s="28"/>
      <c r="NU1405" s="28"/>
      <c r="NV1405" s="28"/>
      <c r="NW1405" s="28"/>
      <c r="NX1405" s="28"/>
      <c r="NY1405" s="28"/>
      <c r="NZ1405" s="28"/>
      <c r="OA1405" s="28"/>
      <c r="OB1405" s="28"/>
      <c r="OC1405" s="28"/>
      <c r="OD1405" s="28"/>
      <c r="OE1405" s="28"/>
      <c r="OF1405" s="28"/>
      <c r="OG1405" s="28"/>
      <c r="OH1405" s="28"/>
      <c r="OI1405" s="28"/>
      <c r="OJ1405" s="28"/>
      <c r="OK1405" s="28"/>
      <c r="OL1405" s="28"/>
      <c r="OM1405" s="28"/>
      <c r="ON1405" s="28"/>
      <c r="OO1405" s="28"/>
      <c r="OP1405" s="28"/>
      <c r="OQ1405" s="28"/>
      <c r="OR1405" s="28"/>
      <c r="OS1405" s="28"/>
      <c r="OT1405" s="28"/>
      <c r="OU1405" s="28"/>
      <c r="OV1405" s="28"/>
      <c r="OW1405" s="28"/>
      <c r="OX1405" s="28"/>
      <c r="OY1405" s="28"/>
      <c r="OZ1405" s="28"/>
      <c r="PA1405" s="28"/>
      <c r="PB1405" s="28"/>
      <c r="PC1405" s="28"/>
      <c r="PD1405" s="28"/>
      <c r="PE1405" s="28"/>
      <c r="PF1405" s="28"/>
      <c r="PG1405" s="28"/>
      <c r="PH1405" s="28"/>
      <c r="PI1405" s="28"/>
      <c r="PJ1405" s="28"/>
      <c r="PK1405" s="28"/>
      <c r="PL1405" s="28"/>
      <c r="PM1405" s="28"/>
      <c r="PN1405" s="28"/>
      <c r="PO1405" s="28"/>
      <c r="PP1405" s="28"/>
      <c r="PQ1405" s="28"/>
      <c r="PR1405" s="28"/>
      <c r="PS1405" s="28"/>
      <c r="PT1405" s="28"/>
      <c r="PU1405" s="28"/>
      <c r="PV1405" s="28"/>
      <c r="PW1405" s="28"/>
      <c r="PX1405" s="28"/>
      <c r="PY1405" s="28"/>
      <c r="PZ1405" s="28"/>
      <c r="QA1405" s="28"/>
      <c r="QB1405" s="28"/>
      <c r="QC1405" s="28"/>
      <c r="QD1405" s="28"/>
      <c r="QE1405" s="28"/>
      <c r="QF1405" s="28"/>
      <c r="QG1405" s="28"/>
      <c r="QH1405" s="28"/>
      <c r="QI1405" s="28"/>
      <c r="QJ1405" s="28"/>
      <c r="QK1405" s="28"/>
      <c r="QL1405" s="28"/>
      <c r="QM1405" s="28"/>
      <c r="QN1405" s="28"/>
      <c r="QO1405" s="28"/>
      <c r="QP1405" s="28"/>
      <c r="QQ1405" s="28"/>
      <c r="QR1405" s="28"/>
      <c r="QS1405" s="28"/>
      <c r="QT1405" s="28"/>
      <c r="QU1405" s="28"/>
      <c r="QV1405" s="28"/>
      <c r="QW1405" s="28"/>
      <c r="QX1405" s="28"/>
      <c r="QY1405" s="28"/>
      <c r="QZ1405" s="28"/>
      <c r="RA1405" s="28"/>
      <c r="RB1405" s="28"/>
      <c r="RC1405" s="28"/>
      <c r="RD1405" s="28"/>
      <c r="RE1405" s="28"/>
      <c r="RF1405" s="28"/>
      <c r="RG1405" s="28"/>
      <c r="RH1405" s="28"/>
      <c r="RI1405" s="28"/>
      <c r="RJ1405" s="28"/>
      <c r="RK1405" s="28"/>
      <c r="RL1405" s="28"/>
      <c r="RM1405" s="28"/>
      <c r="RN1405" s="28"/>
      <c r="RO1405" s="28"/>
      <c r="RP1405" s="28"/>
      <c r="RQ1405" s="28"/>
      <c r="RR1405" s="28"/>
      <c r="RS1405" s="28"/>
      <c r="RT1405" s="28"/>
      <c r="RU1405" s="28"/>
      <c r="RV1405" s="28"/>
      <c r="RW1405" s="28"/>
      <c r="RX1405" s="28"/>
      <c r="RY1405" s="28"/>
      <c r="RZ1405" s="28"/>
      <c r="SA1405" s="28"/>
      <c r="SB1405" s="28"/>
      <c r="SC1405" s="28"/>
      <c r="SD1405" s="28"/>
      <c r="SE1405" s="28"/>
      <c r="SF1405" s="28"/>
      <c r="SG1405" s="28"/>
      <c r="SH1405" s="28"/>
      <c r="SI1405" s="28"/>
      <c r="SJ1405" s="28"/>
      <c r="SK1405" s="28"/>
      <c r="SL1405" s="28"/>
      <c r="SM1405" s="28"/>
      <c r="SN1405" s="28"/>
      <c r="SO1405" s="28"/>
      <c r="SP1405" s="28"/>
      <c r="SQ1405" s="28"/>
      <c r="SR1405" s="28"/>
      <c r="SS1405" s="28"/>
      <c r="ST1405" s="28"/>
      <c r="SU1405" s="28"/>
      <c r="SV1405" s="28"/>
      <c r="SW1405" s="28"/>
      <c r="SX1405" s="28"/>
      <c r="SY1405" s="28"/>
      <c r="SZ1405" s="28"/>
      <c r="TA1405" s="28"/>
      <c r="TB1405" s="28"/>
      <c r="TC1405" s="28"/>
      <c r="TD1405" s="28"/>
      <c r="TE1405" s="28"/>
      <c r="TF1405" s="28"/>
      <c r="TG1405" s="28"/>
      <c r="TH1405" s="28"/>
      <c r="TI1405" s="28"/>
      <c r="TJ1405" s="28"/>
      <c r="TK1405" s="28"/>
      <c r="TL1405" s="28"/>
      <c r="TM1405" s="28"/>
      <c r="TN1405" s="28"/>
      <c r="TO1405" s="28"/>
      <c r="TP1405" s="28"/>
      <c r="TQ1405" s="28"/>
      <c r="TR1405" s="28"/>
      <c r="TS1405" s="28"/>
      <c r="TT1405" s="28"/>
      <c r="TU1405" s="28"/>
      <c r="TV1405" s="28"/>
      <c r="TW1405" s="28"/>
      <c r="TX1405" s="28"/>
      <c r="TY1405" s="28"/>
      <c r="TZ1405" s="28"/>
      <c r="UA1405" s="28"/>
      <c r="UB1405" s="28"/>
      <c r="UC1405" s="28"/>
      <c r="UD1405" s="28"/>
      <c r="UE1405" s="28"/>
      <c r="UF1405" s="28"/>
      <c r="UG1405" s="29"/>
    </row>
    <row r="1406" spans="1:553" ht="45" customHeight="1">
      <c r="A1406" s="356" t="s">
        <v>43</v>
      </c>
      <c r="B1406" s="356"/>
      <c r="C1406" s="1413" t="s">
        <v>44</v>
      </c>
      <c r="D1406" s="1389"/>
      <c r="E1406" s="1389"/>
      <c r="F1406" s="1390"/>
      <c r="G1406" s="417"/>
      <c r="H1406" s="370"/>
      <c r="I1406" s="422"/>
      <c r="J1406" s="368"/>
      <c r="K1406" s="371"/>
      <c r="L1406" s="1198">
        <f>L1407</f>
        <v>8659200</v>
      </c>
      <c r="M1406" s="391"/>
      <c r="N1406" s="391"/>
      <c r="O1406" s="391"/>
      <c r="P1406" s="734">
        <f>L1406</f>
        <v>8659200</v>
      </c>
      <c r="Q1406" s="1142"/>
      <c r="R1406" s="1226"/>
      <c r="S1406" s="308"/>
      <c r="T1406" s="308"/>
      <c r="U1406" s="308"/>
      <c r="V1406" s="308"/>
      <c r="W1406" s="308"/>
      <c r="X1406" s="308"/>
      <c r="Y1406" s="308"/>
      <c r="Z1406" s="604"/>
      <c r="AA1406" s="308"/>
      <c r="AB1406" s="308"/>
      <c r="AC1406" s="486"/>
      <c r="AD1406" s="486"/>
      <c r="AE1406" s="486"/>
      <c r="AF1406" s="486"/>
      <c r="AG1406" s="486"/>
      <c r="AH1406" s="486"/>
      <c r="AI1406" s="486"/>
      <c r="AJ1406" s="486"/>
      <c r="AK1406" s="486"/>
      <c r="AL1406" s="206"/>
      <c r="AM1406" s="28"/>
      <c r="AN1406" s="28"/>
      <c r="AO1406" s="28"/>
      <c r="AP1406" s="28"/>
      <c r="AQ1406" s="28"/>
      <c r="AR1406" s="28"/>
      <c r="AS1406" s="28"/>
      <c r="AT1406" s="28"/>
      <c r="AU1406" s="28"/>
      <c r="AV1406" s="28"/>
      <c r="AW1406" s="28"/>
      <c r="AX1406" s="28"/>
      <c r="AY1406" s="28"/>
      <c r="AZ1406" s="28"/>
      <c r="BA1406" s="28"/>
      <c r="BB1406" s="28"/>
      <c r="BC1406" s="28"/>
      <c r="BD1406" s="28"/>
      <c r="BE1406" s="28"/>
      <c r="BF1406" s="28"/>
      <c r="BG1406" s="28"/>
      <c r="BH1406" s="28"/>
      <c r="BI1406" s="28"/>
      <c r="BJ1406" s="28"/>
      <c r="BK1406" s="28"/>
      <c r="BL1406" s="28"/>
      <c r="BM1406" s="28"/>
      <c r="BN1406" s="28"/>
      <c r="BO1406" s="28"/>
      <c r="BP1406" s="28"/>
      <c r="BQ1406" s="28"/>
      <c r="BR1406" s="28"/>
      <c r="BS1406" s="28"/>
      <c r="BT1406" s="28"/>
      <c r="BU1406" s="28"/>
      <c r="BV1406" s="28"/>
      <c r="BW1406" s="28"/>
      <c r="BX1406" s="28"/>
      <c r="BY1406" s="28"/>
      <c r="BZ1406" s="28"/>
      <c r="CA1406" s="28"/>
      <c r="CB1406" s="28"/>
      <c r="CC1406" s="28"/>
      <c r="CD1406" s="28"/>
      <c r="CE1406" s="28"/>
      <c r="CF1406" s="28"/>
      <c r="CG1406" s="28"/>
      <c r="CH1406" s="28"/>
      <c r="CI1406" s="28"/>
      <c r="CJ1406" s="28"/>
      <c r="CK1406" s="28"/>
      <c r="CL1406" s="28"/>
      <c r="CM1406" s="28"/>
      <c r="CN1406" s="28"/>
      <c r="CO1406" s="28"/>
      <c r="CP1406" s="28"/>
      <c r="CQ1406" s="28"/>
      <c r="CR1406" s="28"/>
      <c r="CS1406" s="28"/>
      <c r="CT1406" s="28"/>
      <c r="CU1406" s="28"/>
      <c r="CV1406" s="28"/>
      <c r="CW1406" s="28"/>
      <c r="CX1406" s="28"/>
      <c r="CY1406" s="28"/>
      <c r="CZ1406" s="28"/>
      <c r="DA1406" s="28"/>
      <c r="DB1406" s="28"/>
      <c r="DC1406" s="28"/>
      <c r="DD1406" s="28"/>
      <c r="DE1406" s="28"/>
      <c r="DF1406" s="28"/>
      <c r="DG1406" s="28"/>
      <c r="DH1406" s="28"/>
      <c r="DI1406" s="28"/>
      <c r="DJ1406" s="28"/>
      <c r="DK1406" s="28"/>
      <c r="DL1406" s="28"/>
      <c r="DM1406" s="28"/>
      <c r="DN1406" s="28"/>
      <c r="DO1406" s="28"/>
      <c r="DP1406" s="28"/>
      <c r="DQ1406" s="28"/>
      <c r="DR1406" s="28"/>
      <c r="DS1406" s="28"/>
      <c r="DT1406" s="28"/>
      <c r="DU1406" s="28"/>
      <c r="DV1406" s="28"/>
      <c r="DW1406" s="28"/>
      <c r="DX1406" s="28"/>
      <c r="DY1406" s="28"/>
      <c r="DZ1406" s="28"/>
      <c r="EA1406" s="28"/>
      <c r="EB1406" s="28"/>
      <c r="EC1406" s="28"/>
      <c r="ED1406" s="28"/>
      <c r="EE1406" s="28"/>
      <c r="EF1406" s="28"/>
      <c r="EG1406" s="28"/>
      <c r="EH1406" s="28"/>
      <c r="EI1406" s="28"/>
      <c r="EJ1406" s="28"/>
      <c r="EK1406" s="28"/>
      <c r="EL1406" s="28"/>
      <c r="EM1406" s="28"/>
      <c r="EN1406" s="28"/>
      <c r="EO1406" s="28"/>
      <c r="EP1406" s="28"/>
      <c r="EQ1406" s="28"/>
      <c r="ER1406" s="28"/>
      <c r="ES1406" s="28"/>
      <c r="ET1406" s="28"/>
      <c r="EU1406" s="28"/>
      <c r="EV1406" s="28"/>
      <c r="EW1406" s="28"/>
      <c r="EX1406" s="28"/>
      <c r="EY1406" s="28"/>
      <c r="EZ1406" s="28"/>
      <c r="FA1406" s="28"/>
      <c r="FB1406" s="28"/>
      <c r="FC1406" s="28"/>
      <c r="FD1406" s="28"/>
      <c r="FE1406" s="28"/>
      <c r="FF1406" s="28"/>
      <c r="FG1406" s="28"/>
      <c r="FH1406" s="28"/>
      <c r="FI1406" s="28"/>
      <c r="FJ1406" s="28"/>
      <c r="FK1406" s="28"/>
      <c r="FL1406" s="28"/>
      <c r="FM1406" s="28"/>
      <c r="FN1406" s="28"/>
      <c r="FO1406" s="28"/>
      <c r="FP1406" s="28"/>
      <c r="FQ1406" s="28"/>
      <c r="FR1406" s="28"/>
      <c r="FS1406" s="28"/>
      <c r="FT1406" s="28"/>
      <c r="FU1406" s="28"/>
      <c r="FV1406" s="28"/>
      <c r="FW1406" s="28"/>
      <c r="FX1406" s="28"/>
      <c r="FY1406" s="28"/>
      <c r="FZ1406" s="28"/>
      <c r="GA1406" s="28"/>
      <c r="GB1406" s="28"/>
      <c r="GC1406" s="28"/>
      <c r="GD1406" s="28"/>
      <c r="GE1406" s="28"/>
      <c r="GF1406" s="28"/>
      <c r="GG1406" s="28"/>
      <c r="GH1406" s="28"/>
      <c r="GI1406" s="28"/>
      <c r="GJ1406" s="28"/>
      <c r="GK1406" s="28"/>
      <c r="GL1406" s="28"/>
      <c r="GM1406" s="28"/>
      <c r="GN1406" s="28"/>
      <c r="GO1406" s="28"/>
      <c r="GP1406" s="28"/>
      <c r="GQ1406" s="28"/>
      <c r="GR1406" s="28"/>
      <c r="GS1406" s="28"/>
      <c r="GT1406" s="28"/>
      <c r="GU1406" s="28"/>
      <c r="GV1406" s="28"/>
      <c r="GW1406" s="28"/>
      <c r="GX1406" s="28"/>
      <c r="GY1406" s="28"/>
      <c r="GZ1406" s="28"/>
      <c r="HA1406" s="28"/>
      <c r="HB1406" s="28"/>
      <c r="HC1406" s="28"/>
      <c r="HD1406" s="28"/>
      <c r="HE1406" s="28"/>
      <c r="HF1406" s="28"/>
      <c r="HG1406" s="28"/>
      <c r="HH1406" s="28"/>
      <c r="HI1406" s="28"/>
      <c r="HJ1406" s="28"/>
      <c r="HK1406" s="28"/>
      <c r="HL1406" s="28"/>
      <c r="HM1406" s="28"/>
      <c r="HN1406" s="28"/>
      <c r="HO1406" s="28"/>
      <c r="HP1406" s="28"/>
      <c r="HQ1406" s="28"/>
      <c r="HR1406" s="28"/>
      <c r="HS1406" s="28"/>
      <c r="HT1406" s="28"/>
      <c r="HU1406" s="28"/>
      <c r="HV1406" s="28"/>
      <c r="HW1406" s="28"/>
      <c r="HX1406" s="28"/>
      <c r="HY1406" s="28"/>
      <c r="HZ1406" s="28"/>
      <c r="IA1406" s="28"/>
      <c r="IB1406" s="28"/>
      <c r="IC1406" s="28"/>
      <c r="ID1406" s="28"/>
      <c r="IE1406" s="28"/>
      <c r="IF1406" s="28"/>
      <c r="IG1406" s="28"/>
      <c r="IH1406" s="28"/>
      <c r="II1406" s="28"/>
      <c r="IJ1406" s="28"/>
      <c r="IK1406" s="28"/>
      <c r="IL1406" s="28"/>
      <c r="IM1406" s="28"/>
      <c r="IN1406" s="28"/>
      <c r="IO1406" s="28"/>
      <c r="IP1406" s="28"/>
      <c r="IQ1406" s="28"/>
      <c r="IR1406" s="28"/>
      <c r="IS1406" s="28"/>
      <c r="IT1406" s="28"/>
      <c r="IU1406" s="28"/>
      <c r="IV1406" s="28"/>
      <c r="IW1406" s="28"/>
      <c r="IX1406" s="28"/>
      <c r="IY1406" s="28"/>
      <c r="IZ1406" s="28"/>
      <c r="JA1406" s="28"/>
      <c r="JB1406" s="28"/>
      <c r="JC1406" s="28"/>
      <c r="JD1406" s="28"/>
      <c r="JE1406" s="28"/>
      <c r="JF1406" s="28"/>
      <c r="JG1406" s="28"/>
      <c r="JH1406" s="28"/>
      <c r="JI1406" s="28"/>
      <c r="JJ1406" s="28"/>
      <c r="JK1406" s="28"/>
      <c r="JL1406" s="28"/>
      <c r="JM1406" s="28"/>
      <c r="JN1406" s="28"/>
      <c r="JO1406" s="28"/>
      <c r="JP1406" s="28"/>
      <c r="JQ1406" s="28"/>
      <c r="JR1406" s="28"/>
      <c r="JS1406" s="28"/>
      <c r="JT1406" s="28"/>
      <c r="JU1406" s="28"/>
      <c r="JV1406" s="28"/>
      <c r="JW1406" s="28"/>
      <c r="JX1406" s="28"/>
      <c r="JY1406" s="28"/>
      <c r="JZ1406" s="28"/>
      <c r="KA1406" s="28"/>
      <c r="KB1406" s="28"/>
      <c r="KC1406" s="28"/>
      <c r="KD1406" s="28"/>
      <c r="KE1406" s="28"/>
      <c r="KF1406" s="28"/>
      <c r="KG1406" s="28"/>
      <c r="KH1406" s="28"/>
      <c r="KI1406" s="28"/>
      <c r="KJ1406" s="28"/>
      <c r="KK1406" s="28"/>
      <c r="KL1406" s="28"/>
      <c r="KM1406" s="28"/>
      <c r="KN1406" s="28"/>
      <c r="KO1406" s="28"/>
      <c r="KP1406" s="28"/>
      <c r="KQ1406" s="28"/>
      <c r="KR1406" s="28"/>
      <c r="KS1406" s="28"/>
      <c r="KT1406" s="28"/>
      <c r="KU1406" s="28"/>
      <c r="KV1406" s="28"/>
      <c r="KW1406" s="28"/>
      <c r="KX1406" s="28"/>
      <c r="KY1406" s="28"/>
      <c r="KZ1406" s="28"/>
      <c r="LA1406" s="28"/>
      <c r="LB1406" s="28"/>
      <c r="LC1406" s="28"/>
      <c r="LD1406" s="28"/>
      <c r="LE1406" s="28"/>
      <c r="LF1406" s="28"/>
      <c r="LG1406" s="28"/>
      <c r="LH1406" s="28"/>
      <c r="LI1406" s="28"/>
      <c r="LJ1406" s="28"/>
      <c r="LK1406" s="28"/>
      <c r="LL1406" s="28"/>
      <c r="LM1406" s="28"/>
      <c r="LN1406" s="28"/>
      <c r="LO1406" s="28"/>
      <c r="LP1406" s="28"/>
      <c r="LQ1406" s="28"/>
      <c r="LR1406" s="28"/>
      <c r="LS1406" s="28"/>
      <c r="LT1406" s="28"/>
      <c r="LU1406" s="28"/>
      <c r="LV1406" s="28"/>
      <c r="LW1406" s="28"/>
      <c r="LX1406" s="28"/>
      <c r="LY1406" s="28"/>
      <c r="LZ1406" s="28"/>
      <c r="MA1406" s="28"/>
      <c r="MB1406" s="28"/>
      <c r="MC1406" s="28"/>
      <c r="MD1406" s="28"/>
      <c r="ME1406" s="28"/>
      <c r="MF1406" s="28"/>
      <c r="MG1406" s="28"/>
      <c r="MH1406" s="28"/>
      <c r="MI1406" s="28"/>
      <c r="MJ1406" s="28"/>
      <c r="MK1406" s="28"/>
      <c r="ML1406" s="28"/>
      <c r="MM1406" s="28"/>
      <c r="MN1406" s="28"/>
      <c r="MO1406" s="28"/>
      <c r="MP1406" s="28"/>
      <c r="MQ1406" s="28"/>
      <c r="MR1406" s="28"/>
      <c r="MS1406" s="28"/>
      <c r="MT1406" s="28"/>
      <c r="MU1406" s="28"/>
      <c r="MV1406" s="28"/>
      <c r="MW1406" s="28"/>
      <c r="MX1406" s="28"/>
      <c r="MY1406" s="28"/>
      <c r="MZ1406" s="28"/>
      <c r="NA1406" s="28"/>
      <c r="NB1406" s="28"/>
      <c r="NC1406" s="28"/>
      <c r="ND1406" s="28"/>
      <c r="NE1406" s="28"/>
      <c r="NF1406" s="28"/>
      <c r="NG1406" s="28"/>
      <c r="NH1406" s="28"/>
      <c r="NI1406" s="28"/>
      <c r="NJ1406" s="28"/>
      <c r="NK1406" s="28"/>
      <c r="NL1406" s="28"/>
      <c r="NM1406" s="28"/>
      <c r="NN1406" s="28"/>
      <c r="NO1406" s="28"/>
      <c r="NP1406" s="28"/>
      <c r="NQ1406" s="28"/>
      <c r="NR1406" s="28"/>
      <c r="NS1406" s="28"/>
      <c r="NT1406" s="28"/>
      <c r="NU1406" s="28"/>
      <c r="NV1406" s="28"/>
      <c r="NW1406" s="28"/>
      <c r="NX1406" s="28"/>
      <c r="NY1406" s="28"/>
      <c r="NZ1406" s="28"/>
      <c r="OA1406" s="28"/>
      <c r="OB1406" s="28"/>
      <c r="OC1406" s="28"/>
      <c r="OD1406" s="28"/>
      <c r="OE1406" s="28"/>
      <c r="OF1406" s="28"/>
      <c r="OG1406" s="28"/>
      <c r="OH1406" s="28"/>
      <c r="OI1406" s="28"/>
      <c r="OJ1406" s="28"/>
      <c r="OK1406" s="28"/>
      <c r="OL1406" s="28"/>
      <c r="OM1406" s="28"/>
      <c r="ON1406" s="28"/>
      <c r="OO1406" s="28"/>
      <c r="OP1406" s="28"/>
      <c r="OQ1406" s="28"/>
      <c r="OR1406" s="28"/>
      <c r="OS1406" s="28"/>
      <c r="OT1406" s="28"/>
      <c r="OU1406" s="28"/>
      <c r="OV1406" s="28"/>
      <c r="OW1406" s="28"/>
      <c r="OX1406" s="28"/>
      <c r="OY1406" s="28"/>
      <c r="OZ1406" s="28"/>
      <c r="PA1406" s="28"/>
      <c r="PB1406" s="28"/>
      <c r="PC1406" s="28"/>
      <c r="PD1406" s="28"/>
      <c r="PE1406" s="28"/>
      <c r="PF1406" s="28"/>
      <c r="PG1406" s="28"/>
      <c r="PH1406" s="28"/>
      <c r="PI1406" s="28"/>
      <c r="PJ1406" s="28"/>
      <c r="PK1406" s="28"/>
      <c r="PL1406" s="28"/>
      <c r="PM1406" s="28"/>
      <c r="PN1406" s="28"/>
      <c r="PO1406" s="28"/>
      <c r="PP1406" s="28"/>
      <c r="PQ1406" s="28"/>
      <c r="PR1406" s="28"/>
      <c r="PS1406" s="28"/>
      <c r="PT1406" s="28"/>
      <c r="PU1406" s="28"/>
      <c r="PV1406" s="28"/>
      <c r="PW1406" s="28"/>
      <c r="PX1406" s="28"/>
      <c r="PY1406" s="28"/>
      <c r="PZ1406" s="28"/>
      <c r="QA1406" s="28"/>
      <c r="QB1406" s="28"/>
      <c r="QC1406" s="28"/>
      <c r="QD1406" s="28"/>
      <c r="QE1406" s="28"/>
      <c r="QF1406" s="28"/>
      <c r="QG1406" s="28"/>
      <c r="QH1406" s="28"/>
      <c r="QI1406" s="28"/>
      <c r="QJ1406" s="28"/>
      <c r="QK1406" s="28"/>
      <c r="QL1406" s="28"/>
      <c r="QM1406" s="28"/>
      <c r="QN1406" s="28"/>
      <c r="QO1406" s="28"/>
      <c r="QP1406" s="28"/>
      <c r="QQ1406" s="28"/>
      <c r="QR1406" s="28"/>
      <c r="QS1406" s="28"/>
      <c r="QT1406" s="28"/>
      <c r="QU1406" s="28"/>
      <c r="QV1406" s="28"/>
      <c r="QW1406" s="28"/>
      <c r="QX1406" s="28"/>
      <c r="QY1406" s="28"/>
      <c r="QZ1406" s="28"/>
      <c r="RA1406" s="28"/>
      <c r="RB1406" s="28"/>
      <c r="RC1406" s="28"/>
      <c r="RD1406" s="28"/>
      <c r="RE1406" s="28"/>
      <c r="RF1406" s="28"/>
      <c r="RG1406" s="28"/>
      <c r="RH1406" s="28"/>
      <c r="RI1406" s="28"/>
      <c r="RJ1406" s="28"/>
      <c r="RK1406" s="28"/>
      <c r="RL1406" s="28"/>
      <c r="RM1406" s="28"/>
      <c r="RN1406" s="28"/>
      <c r="RO1406" s="28"/>
      <c r="RP1406" s="28"/>
      <c r="RQ1406" s="28"/>
      <c r="RR1406" s="28"/>
      <c r="RS1406" s="28"/>
      <c r="RT1406" s="28"/>
      <c r="RU1406" s="28"/>
      <c r="RV1406" s="28"/>
      <c r="RW1406" s="28"/>
      <c r="RX1406" s="28"/>
      <c r="RY1406" s="28"/>
      <c r="RZ1406" s="28"/>
      <c r="SA1406" s="28"/>
      <c r="SB1406" s="28"/>
      <c r="SC1406" s="28"/>
      <c r="SD1406" s="28"/>
      <c r="SE1406" s="28"/>
      <c r="SF1406" s="28"/>
      <c r="SG1406" s="28"/>
      <c r="SH1406" s="28"/>
      <c r="SI1406" s="28"/>
      <c r="SJ1406" s="28"/>
      <c r="SK1406" s="28"/>
      <c r="SL1406" s="28"/>
      <c r="SM1406" s="28"/>
      <c r="SN1406" s="28"/>
      <c r="SO1406" s="28"/>
      <c r="SP1406" s="28"/>
      <c r="SQ1406" s="28"/>
      <c r="SR1406" s="28"/>
      <c r="SS1406" s="28"/>
      <c r="ST1406" s="28"/>
      <c r="SU1406" s="28"/>
      <c r="SV1406" s="28"/>
      <c r="SW1406" s="28"/>
      <c r="SX1406" s="28"/>
      <c r="SY1406" s="28"/>
      <c r="SZ1406" s="28"/>
      <c r="TA1406" s="28"/>
      <c r="TB1406" s="28"/>
      <c r="TC1406" s="28"/>
      <c r="TD1406" s="28"/>
      <c r="TE1406" s="28"/>
      <c r="TF1406" s="28"/>
      <c r="TG1406" s="28"/>
      <c r="TH1406" s="28"/>
      <c r="TI1406" s="28"/>
      <c r="TJ1406" s="28"/>
      <c r="TK1406" s="28"/>
      <c r="TL1406" s="28"/>
      <c r="TM1406" s="28"/>
      <c r="TN1406" s="28"/>
      <c r="TO1406" s="28"/>
      <c r="TP1406" s="28"/>
      <c r="TQ1406" s="28"/>
      <c r="TR1406" s="28"/>
      <c r="TS1406" s="28"/>
      <c r="TT1406" s="28"/>
      <c r="TU1406" s="28"/>
      <c r="TV1406" s="28"/>
      <c r="TW1406" s="28"/>
      <c r="TX1406" s="28"/>
      <c r="TY1406" s="28"/>
      <c r="TZ1406" s="28"/>
      <c r="UA1406" s="28"/>
      <c r="UB1406" s="28"/>
      <c r="UC1406" s="28"/>
      <c r="UD1406" s="28"/>
      <c r="UE1406" s="28"/>
      <c r="UF1406" s="28"/>
      <c r="UG1406" s="29"/>
    </row>
    <row r="1407" spans="1:553" ht="45" customHeight="1">
      <c r="A1407" s="356"/>
      <c r="B1407" s="356"/>
      <c r="C1407" s="444" t="s">
        <v>52</v>
      </c>
      <c r="D1407" s="418" t="str">
        <f t="shared" ref="D1407:E1407" si="214">D1392</f>
        <v>2</v>
      </c>
      <c r="E1407" s="418" t="str">
        <f t="shared" si="214"/>
        <v>403</v>
      </c>
      <c r="F1407" s="358"/>
      <c r="G1407" s="386" t="s">
        <v>935</v>
      </c>
      <c r="H1407" s="370"/>
      <c r="I1407" s="422">
        <f>I1392</f>
        <v>541.20000000000005</v>
      </c>
      <c r="J1407" s="368">
        <v>16000</v>
      </c>
      <c r="K1407" s="371"/>
      <c r="L1407" s="487">
        <f>I1407*J1407</f>
        <v>8659200</v>
      </c>
      <c r="M1407" s="391"/>
      <c r="N1407" s="391"/>
      <c r="O1407" s="391"/>
      <c r="P1407" s="391"/>
      <c r="Q1407" s="1142"/>
      <c r="R1407" s="1226"/>
      <c r="S1407" s="308"/>
      <c r="T1407" s="308"/>
      <c r="U1407" s="308"/>
      <c r="V1407" s="308"/>
      <c r="W1407" s="308"/>
      <c r="X1407" s="308"/>
      <c r="Y1407" s="308"/>
      <c r="Z1407" s="604"/>
      <c r="AA1407" s="308"/>
      <c r="AB1407" s="308"/>
      <c r="AC1407" s="486"/>
      <c r="AD1407" s="486"/>
      <c r="AE1407" s="486"/>
      <c r="AF1407" s="486"/>
      <c r="AG1407" s="486"/>
      <c r="AH1407" s="486"/>
      <c r="AI1407" s="486"/>
      <c r="AJ1407" s="486"/>
      <c r="AK1407" s="486"/>
      <c r="AL1407" s="206"/>
      <c r="AM1407" s="28"/>
      <c r="AN1407" s="28"/>
      <c r="AO1407" s="28"/>
      <c r="AP1407" s="28"/>
      <c r="AQ1407" s="28"/>
      <c r="AR1407" s="28"/>
      <c r="AS1407" s="28"/>
      <c r="AT1407" s="28"/>
      <c r="AU1407" s="28"/>
      <c r="AV1407" s="28"/>
      <c r="AW1407" s="28"/>
      <c r="AX1407" s="28"/>
      <c r="AY1407" s="28"/>
      <c r="AZ1407" s="28"/>
      <c r="BA1407" s="28"/>
      <c r="BB1407" s="28"/>
      <c r="BC1407" s="28"/>
      <c r="BD1407" s="28"/>
      <c r="BE1407" s="28"/>
      <c r="BF1407" s="28"/>
      <c r="BG1407" s="28"/>
      <c r="BH1407" s="28"/>
      <c r="BI1407" s="28"/>
      <c r="BJ1407" s="28"/>
      <c r="BK1407" s="28"/>
      <c r="BL1407" s="28"/>
      <c r="BM1407" s="28"/>
      <c r="BN1407" s="28"/>
      <c r="BO1407" s="28"/>
      <c r="BP1407" s="28"/>
      <c r="BQ1407" s="28"/>
      <c r="BR1407" s="28"/>
      <c r="BS1407" s="28"/>
      <c r="BT1407" s="28"/>
      <c r="BU1407" s="28"/>
      <c r="BV1407" s="28"/>
      <c r="BW1407" s="28"/>
      <c r="BX1407" s="28"/>
      <c r="BY1407" s="28"/>
      <c r="BZ1407" s="28"/>
      <c r="CA1407" s="28"/>
      <c r="CB1407" s="28"/>
      <c r="CC1407" s="28"/>
      <c r="CD1407" s="28"/>
      <c r="CE1407" s="28"/>
      <c r="CF1407" s="28"/>
      <c r="CG1407" s="28"/>
      <c r="CH1407" s="28"/>
      <c r="CI1407" s="28"/>
      <c r="CJ1407" s="28"/>
      <c r="CK1407" s="28"/>
      <c r="CL1407" s="28"/>
      <c r="CM1407" s="28"/>
      <c r="CN1407" s="28"/>
      <c r="CO1407" s="28"/>
      <c r="CP1407" s="28"/>
      <c r="CQ1407" s="28"/>
      <c r="CR1407" s="28"/>
      <c r="CS1407" s="28"/>
      <c r="CT1407" s="28"/>
      <c r="CU1407" s="28"/>
      <c r="CV1407" s="28"/>
      <c r="CW1407" s="28"/>
      <c r="CX1407" s="28"/>
      <c r="CY1407" s="28"/>
      <c r="CZ1407" s="28"/>
      <c r="DA1407" s="28"/>
      <c r="DB1407" s="28"/>
      <c r="DC1407" s="28"/>
      <c r="DD1407" s="28"/>
      <c r="DE1407" s="28"/>
      <c r="DF1407" s="28"/>
      <c r="DG1407" s="28"/>
      <c r="DH1407" s="28"/>
      <c r="DI1407" s="28"/>
      <c r="DJ1407" s="28"/>
      <c r="DK1407" s="28"/>
      <c r="DL1407" s="28"/>
      <c r="DM1407" s="28"/>
      <c r="DN1407" s="28"/>
      <c r="DO1407" s="28"/>
      <c r="DP1407" s="28"/>
      <c r="DQ1407" s="28"/>
      <c r="DR1407" s="28"/>
      <c r="DS1407" s="28"/>
      <c r="DT1407" s="28"/>
      <c r="DU1407" s="28"/>
      <c r="DV1407" s="28"/>
      <c r="DW1407" s="28"/>
      <c r="DX1407" s="28"/>
      <c r="DY1407" s="28"/>
      <c r="DZ1407" s="28"/>
      <c r="EA1407" s="28"/>
      <c r="EB1407" s="28"/>
      <c r="EC1407" s="28"/>
      <c r="ED1407" s="28"/>
      <c r="EE1407" s="28"/>
      <c r="EF1407" s="28"/>
      <c r="EG1407" s="28"/>
      <c r="EH1407" s="28"/>
      <c r="EI1407" s="28"/>
      <c r="EJ1407" s="28"/>
      <c r="EK1407" s="28"/>
      <c r="EL1407" s="28"/>
      <c r="EM1407" s="28"/>
      <c r="EN1407" s="28"/>
      <c r="EO1407" s="28"/>
      <c r="EP1407" s="28"/>
      <c r="EQ1407" s="28"/>
      <c r="ER1407" s="28"/>
      <c r="ES1407" s="28"/>
      <c r="ET1407" s="28"/>
      <c r="EU1407" s="28"/>
      <c r="EV1407" s="28"/>
      <c r="EW1407" s="28"/>
      <c r="EX1407" s="28"/>
      <c r="EY1407" s="28"/>
      <c r="EZ1407" s="28"/>
      <c r="FA1407" s="28"/>
      <c r="FB1407" s="28"/>
      <c r="FC1407" s="28"/>
      <c r="FD1407" s="28"/>
      <c r="FE1407" s="28"/>
      <c r="FF1407" s="28"/>
      <c r="FG1407" s="28"/>
      <c r="FH1407" s="28"/>
      <c r="FI1407" s="28"/>
      <c r="FJ1407" s="28"/>
      <c r="FK1407" s="28"/>
      <c r="FL1407" s="28"/>
      <c r="FM1407" s="28"/>
      <c r="FN1407" s="28"/>
      <c r="FO1407" s="28"/>
      <c r="FP1407" s="28"/>
      <c r="FQ1407" s="28"/>
      <c r="FR1407" s="28"/>
      <c r="FS1407" s="28"/>
      <c r="FT1407" s="28"/>
      <c r="FU1407" s="28"/>
      <c r="FV1407" s="28"/>
      <c r="FW1407" s="28"/>
      <c r="FX1407" s="28"/>
      <c r="FY1407" s="28"/>
      <c r="FZ1407" s="28"/>
      <c r="GA1407" s="28"/>
      <c r="GB1407" s="28"/>
      <c r="GC1407" s="28"/>
      <c r="GD1407" s="28"/>
      <c r="GE1407" s="28"/>
      <c r="GF1407" s="28"/>
      <c r="GG1407" s="28"/>
      <c r="GH1407" s="28"/>
      <c r="GI1407" s="28"/>
      <c r="GJ1407" s="28"/>
      <c r="GK1407" s="28"/>
      <c r="GL1407" s="28"/>
      <c r="GM1407" s="28"/>
      <c r="GN1407" s="28"/>
      <c r="GO1407" s="28"/>
      <c r="GP1407" s="28"/>
      <c r="GQ1407" s="28"/>
      <c r="GR1407" s="28"/>
      <c r="GS1407" s="28"/>
      <c r="GT1407" s="28"/>
      <c r="GU1407" s="28"/>
      <c r="GV1407" s="28"/>
      <c r="GW1407" s="28"/>
      <c r="GX1407" s="28"/>
      <c r="GY1407" s="28"/>
      <c r="GZ1407" s="28"/>
      <c r="HA1407" s="28"/>
      <c r="HB1407" s="28"/>
      <c r="HC1407" s="28"/>
      <c r="HD1407" s="28"/>
      <c r="HE1407" s="28"/>
      <c r="HF1407" s="28"/>
      <c r="HG1407" s="28"/>
      <c r="HH1407" s="28"/>
      <c r="HI1407" s="28"/>
      <c r="HJ1407" s="28"/>
      <c r="HK1407" s="28"/>
      <c r="HL1407" s="28"/>
      <c r="HM1407" s="28"/>
      <c r="HN1407" s="28"/>
      <c r="HO1407" s="28"/>
      <c r="HP1407" s="28"/>
      <c r="HQ1407" s="28"/>
      <c r="HR1407" s="28"/>
      <c r="HS1407" s="28"/>
      <c r="HT1407" s="28"/>
      <c r="HU1407" s="28"/>
      <c r="HV1407" s="28"/>
      <c r="HW1407" s="28"/>
      <c r="HX1407" s="28"/>
      <c r="HY1407" s="28"/>
      <c r="HZ1407" s="28"/>
      <c r="IA1407" s="28"/>
      <c r="IB1407" s="28"/>
      <c r="IC1407" s="28"/>
      <c r="ID1407" s="28"/>
      <c r="IE1407" s="28"/>
      <c r="IF1407" s="28"/>
      <c r="IG1407" s="28"/>
      <c r="IH1407" s="28"/>
      <c r="II1407" s="28"/>
      <c r="IJ1407" s="28"/>
      <c r="IK1407" s="28"/>
      <c r="IL1407" s="28"/>
      <c r="IM1407" s="28"/>
      <c r="IN1407" s="28"/>
      <c r="IO1407" s="28"/>
      <c r="IP1407" s="28"/>
      <c r="IQ1407" s="28"/>
      <c r="IR1407" s="28"/>
      <c r="IS1407" s="28"/>
      <c r="IT1407" s="28"/>
      <c r="IU1407" s="28"/>
      <c r="IV1407" s="28"/>
      <c r="IW1407" s="28"/>
      <c r="IX1407" s="28"/>
      <c r="IY1407" s="28"/>
      <c r="IZ1407" s="28"/>
      <c r="JA1407" s="28"/>
      <c r="JB1407" s="28"/>
      <c r="JC1407" s="28"/>
      <c r="JD1407" s="28"/>
      <c r="JE1407" s="28"/>
      <c r="JF1407" s="28"/>
      <c r="JG1407" s="28"/>
      <c r="JH1407" s="28"/>
      <c r="JI1407" s="28"/>
      <c r="JJ1407" s="28"/>
      <c r="JK1407" s="28"/>
      <c r="JL1407" s="28"/>
      <c r="JM1407" s="28"/>
      <c r="JN1407" s="28"/>
      <c r="JO1407" s="28"/>
      <c r="JP1407" s="28"/>
      <c r="JQ1407" s="28"/>
      <c r="JR1407" s="28"/>
      <c r="JS1407" s="28"/>
      <c r="JT1407" s="28"/>
      <c r="JU1407" s="28"/>
      <c r="JV1407" s="28"/>
      <c r="JW1407" s="28"/>
      <c r="JX1407" s="28"/>
      <c r="JY1407" s="28"/>
      <c r="JZ1407" s="28"/>
      <c r="KA1407" s="28"/>
      <c r="KB1407" s="28"/>
      <c r="KC1407" s="28"/>
      <c r="KD1407" s="28"/>
      <c r="KE1407" s="28"/>
      <c r="KF1407" s="28"/>
      <c r="KG1407" s="28"/>
      <c r="KH1407" s="28"/>
      <c r="KI1407" s="28"/>
      <c r="KJ1407" s="28"/>
      <c r="KK1407" s="28"/>
      <c r="KL1407" s="28"/>
      <c r="KM1407" s="28"/>
      <c r="KN1407" s="28"/>
      <c r="KO1407" s="28"/>
      <c r="KP1407" s="28"/>
      <c r="KQ1407" s="28"/>
      <c r="KR1407" s="28"/>
      <c r="KS1407" s="28"/>
      <c r="KT1407" s="28"/>
      <c r="KU1407" s="28"/>
      <c r="KV1407" s="28"/>
      <c r="KW1407" s="28"/>
      <c r="KX1407" s="28"/>
      <c r="KY1407" s="28"/>
      <c r="KZ1407" s="28"/>
      <c r="LA1407" s="28"/>
      <c r="LB1407" s="28"/>
      <c r="LC1407" s="28"/>
      <c r="LD1407" s="28"/>
      <c r="LE1407" s="28"/>
      <c r="LF1407" s="28"/>
      <c r="LG1407" s="28"/>
      <c r="LH1407" s="28"/>
      <c r="LI1407" s="28"/>
      <c r="LJ1407" s="28"/>
      <c r="LK1407" s="28"/>
      <c r="LL1407" s="28"/>
      <c r="LM1407" s="28"/>
      <c r="LN1407" s="28"/>
      <c r="LO1407" s="28"/>
      <c r="LP1407" s="28"/>
      <c r="LQ1407" s="28"/>
      <c r="LR1407" s="28"/>
      <c r="LS1407" s="28"/>
      <c r="LT1407" s="28"/>
      <c r="LU1407" s="28"/>
      <c r="LV1407" s="28"/>
      <c r="LW1407" s="28"/>
      <c r="LX1407" s="28"/>
      <c r="LY1407" s="28"/>
      <c r="LZ1407" s="28"/>
      <c r="MA1407" s="28"/>
      <c r="MB1407" s="28"/>
      <c r="MC1407" s="28"/>
      <c r="MD1407" s="28"/>
      <c r="ME1407" s="28"/>
      <c r="MF1407" s="28"/>
      <c r="MG1407" s="28"/>
      <c r="MH1407" s="28"/>
      <c r="MI1407" s="28"/>
      <c r="MJ1407" s="28"/>
      <c r="MK1407" s="28"/>
      <c r="ML1407" s="28"/>
      <c r="MM1407" s="28"/>
      <c r="MN1407" s="28"/>
      <c r="MO1407" s="28"/>
      <c r="MP1407" s="28"/>
      <c r="MQ1407" s="28"/>
      <c r="MR1407" s="28"/>
      <c r="MS1407" s="28"/>
      <c r="MT1407" s="28"/>
      <c r="MU1407" s="28"/>
      <c r="MV1407" s="28"/>
      <c r="MW1407" s="28"/>
      <c r="MX1407" s="28"/>
      <c r="MY1407" s="28"/>
      <c r="MZ1407" s="28"/>
      <c r="NA1407" s="28"/>
      <c r="NB1407" s="28"/>
      <c r="NC1407" s="28"/>
      <c r="ND1407" s="28"/>
      <c r="NE1407" s="28"/>
      <c r="NF1407" s="28"/>
      <c r="NG1407" s="28"/>
      <c r="NH1407" s="28"/>
      <c r="NI1407" s="28"/>
      <c r="NJ1407" s="28"/>
      <c r="NK1407" s="28"/>
      <c r="NL1407" s="28"/>
      <c r="NM1407" s="28"/>
      <c r="NN1407" s="28"/>
      <c r="NO1407" s="28"/>
      <c r="NP1407" s="28"/>
      <c r="NQ1407" s="28"/>
      <c r="NR1407" s="28"/>
      <c r="NS1407" s="28"/>
      <c r="NT1407" s="28"/>
      <c r="NU1407" s="28"/>
      <c r="NV1407" s="28"/>
      <c r="NW1407" s="28"/>
      <c r="NX1407" s="28"/>
      <c r="NY1407" s="28"/>
      <c r="NZ1407" s="28"/>
      <c r="OA1407" s="28"/>
      <c r="OB1407" s="28"/>
      <c r="OC1407" s="28"/>
      <c r="OD1407" s="28"/>
      <c r="OE1407" s="28"/>
      <c r="OF1407" s="28"/>
      <c r="OG1407" s="28"/>
      <c r="OH1407" s="28"/>
      <c r="OI1407" s="28"/>
      <c r="OJ1407" s="28"/>
      <c r="OK1407" s="28"/>
      <c r="OL1407" s="28"/>
      <c r="OM1407" s="28"/>
      <c r="ON1407" s="28"/>
      <c r="OO1407" s="28"/>
      <c r="OP1407" s="28"/>
      <c r="OQ1407" s="28"/>
      <c r="OR1407" s="28"/>
      <c r="OS1407" s="28"/>
      <c r="OT1407" s="28"/>
      <c r="OU1407" s="28"/>
      <c r="OV1407" s="28"/>
      <c r="OW1407" s="28"/>
      <c r="OX1407" s="28"/>
      <c r="OY1407" s="28"/>
      <c r="OZ1407" s="28"/>
      <c r="PA1407" s="28"/>
      <c r="PB1407" s="28"/>
      <c r="PC1407" s="28"/>
      <c r="PD1407" s="28"/>
      <c r="PE1407" s="28"/>
      <c r="PF1407" s="28"/>
      <c r="PG1407" s="28"/>
      <c r="PH1407" s="28"/>
      <c r="PI1407" s="28"/>
      <c r="PJ1407" s="28"/>
      <c r="PK1407" s="28"/>
      <c r="PL1407" s="28"/>
      <c r="PM1407" s="28"/>
      <c r="PN1407" s="28"/>
      <c r="PO1407" s="28"/>
      <c r="PP1407" s="28"/>
      <c r="PQ1407" s="28"/>
      <c r="PR1407" s="28"/>
      <c r="PS1407" s="28"/>
      <c r="PT1407" s="28"/>
      <c r="PU1407" s="28"/>
      <c r="PV1407" s="28"/>
      <c r="PW1407" s="28"/>
      <c r="PX1407" s="28"/>
      <c r="PY1407" s="28"/>
      <c r="PZ1407" s="28"/>
      <c r="QA1407" s="28"/>
      <c r="QB1407" s="28"/>
      <c r="QC1407" s="28"/>
      <c r="QD1407" s="28"/>
      <c r="QE1407" s="28"/>
      <c r="QF1407" s="28"/>
      <c r="QG1407" s="28"/>
      <c r="QH1407" s="28"/>
      <c r="QI1407" s="28"/>
      <c r="QJ1407" s="28"/>
      <c r="QK1407" s="28"/>
      <c r="QL1407" s="28"/>
      <c r="QM1407" s="28"/>
      <c r="QN1407" s="28"/>
      <c r="QO1407" s="28"/>
      <c r="QP1407" s="28"/>
      <c r="QQ1407" s="28"/>
      <c r="QR1407" s="28"/>
      <c r="QS1407" s="28"/>
      <c r="QT1407" s="28"/>
      <c r="QU1407" s="28"/>
      <c r="QV1407" s="28"/>
      <c r="QW1407" s="28"/>
      <c r="QX1407" s="28"/>
      <c r="QY1407" s="28"/>
      <c r="QZ1407" s="28"/>
      <c r="RA1407" s="28"/>
      <c r="RB1407" s="28"/>
      <c r="RC1407" s="28"/>
      <c r="RD1407" s="28"/>
      <c r="RE1407" s="28"/>
      <c r="RF1407" s="28"/>
      <c r="RG1407" s="28"/>
      <c r="RH1407" s="28"/>
      <c r="RI1407" s="28"/>
      <c r="RJ1407" s="28"/>
      <c r="RK1407" s="28"/>
      <c r="RL1407" s="28"/>
      <c r="RM1407" s="28"/>
      <c r="RN1407" s="28"/>
      <c r="RO1407" s="28"/>
      <c r="RP1407" s="28"/>
      <c r="RQ1407" s="28"/>
      <c r="RR1407" s="28"/>
      <c r="RS1407" s="28"/>
      <c r="RT1407" s="28"/>
      <c r="RU1407" s="28"/>
      <c r="RV1407" s="28"/>
      <c r="RW1407" s="28"/>
      <c r="RX1407" s="28"/>
      <c r="RY1407" s="28"/>
      <c r="RZ1407" s="28"/>
      <c r="SA1407" s="28"/>
      <c r="SB1407" s="28"/>
      <c r="SC1407" s="28"/>
      <c r="SD1407" s="28"/>
      <c r="SE1407" s="28"/>
      <c r="SF1407" s="28"/>
      <c r="SG1407" s="28"/>
      <c r="SH1407" s="28"/>
      <c r="SI1407" s="28"/>
      <c r="SJ1407" s="28"/>
      <c r="SK1407" s="28"/>
      <c r="SL1407" s="28"/>
      <c r="SM1407" s="28"/>
      <c r="SN1407" s="28"/>
      <c r="SO1407" s="28"/>
      <c r="SP1407" s="28"/>
      <c r="SQ1407" s="28"/>
      <c r="SR1407" s="28"/>
      <c r="SS1407" s="28"/>
      <c r="ST1407" s="28"/>
      <c r="SU1407" s="28"/>
      <c r="SV1407" s="28"/>
      <c r="SW1407" s="28"/>
      <c r="SX1407" s="28"/>
      <c r="SY1407" s="28"/>
      <c r="SZ1407" s="28"/>
      <c r="TA1407" s="28"/>
      <c r="TB1407" s="28"/>
      <c r="TC1407" s="28"/>
      <c r="TD1407" s="28"/>
      <c r="TE1407" s="28"/>
      <c r="TF1407" s="28"/>
      <c r="TG1407" s="28"/>
      <c r="TH1407" s="28"/>
      <c r="TI1407" s="28"/>
      <c r="TJ1407" s="28"/>
      <c r="TK1407" s="28"/>
      <c r="TL1407" s="28"/>
      <c r="TM1407" s="28"/>
      <c r="TN1407" s="28"/>
      <c r="TO1407" s="28"/>
      <c r="TP1407" s="28"/>
      <c r="TQ1407" s="28"/>
      <c r="TR1407" s="28"/>
      <c r="TS1407" s="28"/>
      <c r="TT1407" s="28"/>
      <c r="TU1407" s="28"/>
      <c r="TV1407" s="28"/>
      <c r="TW1407" s="28"/>
      <c r="TX1407" s="28"/>
      <c r="TY1407" s="28"/>
      <c r="TZ1407" s="28"/>
      <c r="UA1407" s="28"/>
      <c r="UB1407" s="28"/>
      <c r="UC1407" s="28"/>
      <c r="UD1407" s="28"/>
      <c r="UE1407" s="28"/>
      <c r="UF1407" s="28"/>
      <c r="UG1407" s="29"/>
    </row>
    <row r="1408" spans="1:553" ht="45" customHeight="1">
      <c r="A1408" s="356"/>
      <c r="B1408" s="356"/>
      <c r="C1408" s="1404" t="s">
        <v>367</v>
      </c>
      <c r="D1408" s="1389"/>
      <c r="E1408" s="1389"/>
      <c r="F1408" s="1390"/>
      <c r="G1408" s="386"/>
      <c r="H1408" s="370"/>
      <c r="I1408" s="422"/>
      <c r="J1408" s="368"/>
      <c r="K1408" s="371"/>
      <c r="L1408" s="487"/>
      <c r="M1408" s="391"/>
      <c r="N1408" s="391"/>
      <c r="O1408" s="391"/>
      <c r="P1408" s="391"/>
      <c r="Q1408" s="1142"/>
      <c r="R1408" s="1226"/>
      <c r="S1408" s="308"/>
      <c r="T1408" s="308"/>
      <c r="U1408" s="308"/>
      <c r="V1408" s="308"/>
      <c r="W1408" s="308"/>
      <c r="X1408" s="308"/>
      <c r="Y1408" s="308"/>
      <c r="Z1408" s="604"/>
      <c r="AA1408" s="308"/>
      <c r="AB1408" s="308"/>
      <c r="AC1408" s="486"/>
      <c r="AD1408" s="486"/>
      <c r="AE1408" s="486"/>
      <c r="AF1408" s="486"/>
      <c r="AG1408" s="486"/>
      <c r="AH1408" s="486"/>
      <c r="AI1408" s="486"/>
      <c r="AJ1408" s="486"/>
      <c r="AK1408" s="486"/>
      <c r="AL1408" s="206"/>
      <c r="AM1408" s="28"/>
      <c r="AN1408" s="28"/>
      <c r="AO1408" s="28"/>
      <c r="AP1408" s="28"/>
      <c r="AQ1408" s="28"/>
      <c r="AR1408" s="28"/>
      <c r="AS1408" s="28"/>
      <c r="AT1408" s="28"/>
      <c r="AU1408" s="28"/>
      <c r="AV1408" s="28"/>
      <c r="AW1408" s="28"/>
      <c r="AX1408" s="28"/>
      <c r="AY1408" s="28"/>
      <c r="AZ1408" s="28"/>
      <c r="BA1408" s="28"/>
      <c r="BB1408" s="28"/>
      <c r="BC1408" s="28"/>
      <c r="BD1408" s="28"/>
      <c r="BE1408" s="28"/>
      <c r="BF1408" s="28"/>
      <c r="BG1408" s="28"/>
      <c r="BH1408" s="28"/>
      <c r="BI1408" s="28"/>
      <c r="BJ1408" s="28"/>
      <c r="BK1408" s="28"/>
      <c r="BL1408" s="28"/>
      <c r="BM1408" s="28"/>
      <c r="BN1408" s="28"/>
      <c r="BO1408" s="28"/>
      <c r="BP1408" s="28"/>
      <c r="BQ1408" s="28"/>
      <c r="BR1408" s="28"/>
      <c r="BS1408" s="28"/>
      <c r="BT1408" s="28"/>
      <c r="BU1408" s="28"/>
      <c r="BV1408" s="28"/>
      <c r="BW1408" s="28"/>
      <c r="BX1408" s="28"/>
      <c r="BY1408" s="28"/>
      <c r="BZ1408" s="28"/>
      <c r="CA1408" s="28"/>
      <c r="CB1408" s="28"/>
      <c r="CC1408" s="28"/>
      <c r="CD1408" s="28"/>
      <c r="CE1408" s="28"/>
      <c r="CF1408" s="28"/>
      <c r="CG1408" s="28"/>
      <c r="CH1408" s="28"/>
      <c r="CI1408" s="28"/>
      <c r="CJ1408" s="28"/>
      <c r="CK1408" s="28"/>
      <c r="CL1408" s="28"/>
      <c r="CM1408" s="28"/>
      <c r="CN1408" s="28"/>
      <c r="CO1408" s="28"/>
      <c r="CP1408" s="28"/>
      <c r="CQ1408" s="28"/>
      <c r="CR1408" s="28"/>
      <c r="CS1408" s="28"/>
      <c r="CT1408" s="28"/>
      <c r="CU1408" s="28"/>
      <c r="CV1408" s="28"/>
      <c r="CW1408" s="28"/>
      <c r="CX1408" s="28"/>
      <c r="CY1408" s="28"/>
      <c r="CZ1408" s="28"/>
      <c r="DA1408" s="28"/>
      <c r="DB1408" s="28"/>
      <c r="DC1408" s="28"/>
      <c r="DD1408" s="28"/>
      <c r="DE1408" s="28"/>
      <c r="DF1408" s="28"/>
      <c r="DG1408" s="28"/>
      <c r="DH1408" s="28"/>
      <c r="DI1408" s="28"/>
      <c r="DJ1408" s="28"/>
      <c r="DK1408" s="28"/>
      <c r="DL1408" s="28"/>
      <c r="DM1408" s="28"/>
      <c r="DN1408" s="28"/>
      <c r="DO1408" s="28"/>
      <c r="DP1408" s="28"/>
      <c r="DQ1408" s="28"/>
      <c r="DR1408" s="28"/>
      <c r="DS1408" s="28"/>
      <c r="DT1408" s="28"/>
      <c r="DU1408" s="28"/>
      <c r="DV1408" s="28"/>
      <c r="DW1408" s="28"/>
      <c r="DX1408" s="28"/>
      <c r="DY1408" s="28"/>
      <c r="DZ1408" s="28"/>
      <c r="EA1408" s="28"/>
      <c r="EB1408" s="28"/>
      <c r="EC1408" s="28"/>
      <c r="ED1408" s="28"/>
      <c r="EE1408" s="28"/>
      <c r="EF1408" s="28"/>
      <c r="EG1408" s="28"/>
      <c r="EH1408" s="28"/>
      <c r="EI1408" s="28"/>
      <c r="EJ1408" s="28"/>
      <c r="EK1408" s="28"/>
      <c r="EL1408" s="28"/>
      <c r="EM1408" s="28"/>
      <c r="EN1408" s="28"/>
      <c r="EO1408" s="28"/>
      <c r="EP1408" s="28"/>
      <c r="EQ1408" s="28"/>
      <c r="ER1408" s="28"/>
      <c r="ES1408" s="28"/>
      <c r="ET1408" s="28"/>
      <c r="EU1408" s="28"/>
      <c r="EV1408" s="28"/>
      <c r="EW1408" s="28"/>
      <c r="EX1408" s="28"/>
      <c r="EY1408" s="28"/>
      <c r="EZ1408" s="28"/>
      <c r="FA1408" s="28"/>
      <c r="FB1408" s="28"/>
      <c r="FC1408" s="28"/>
      <c r="FD1408" s="28"/>
      <c r="FE1408" s="28"/>
      <c r="FF1408" s="28"/>
      <c r="FG1408" s="28"/>
      <c r="FH1408" s="28"/>
      <c r="FI1408" s="28"/>
      <c r="FJ1408" s="28"/>
      <c r="FK1408" s="28"/>
      <c r="FL1408" s="28"/>
      <c r="FM1408" s="28"/>
      <c r="FN1408" s="28"/>
      <c r="FO1408" s="28"/>
      <c r="FP1408" s="28"/>
      <c r="FQ1408" s="28"/>
      <c r="FR1408" s="28"/>
      <c r="FS1408" s="28"/>
      <c r="FT1408" s="28"/>
      <c r="FU1408" s="28"/>
      <c r="FV1408" s="28"/>
      <c r="FW1408" s="28"/>
      <c r="FX1408" s="28"/>
      <c r="FY1408" s="28"/>
      <c r="FZ1408" s="28"/>
      <c r="GA1408" s="28"/>
      <c r="GB1408" s="28"/>
      <c r="GC1408" s="28"/>
      <c r="GD1408" s="28"/>
      <c r="GE1408" s="28"/>
      <c r="GF1408" s="28"/>
      <c r="GG1408" s="28"/>
      <c r="GH1408" s="28"/>
      <c r="GI1408" s="28"/>
      <c r="GJ1408" s="28"/>
      <c r="GK1408" s="28"/>
      <c r="GL1408" s="28"/>
      <c r="GM1408" s="28"/>
      <c r="GN1408" s="28"/>
      <c r="GO1408" s="28"/>
      <c r="GP1408" s="28"/>
      <c r="GQ1408" s="28"/>
      <c r="GR1408" s="28"/>
      <c r="GS1408" s="28"/>
      <c r="GT1408" s="28"/>
      <c r="GU1408" s="28"/>
      <c r="GV1408" s="28"/>
      <c r="GW1408" s="28"/>
      <c r="GX1408" s="28"/>
      <c r="GY1408" s="28"/>
      <c r="GZ1408" s="28"/>
      <c r="HA1408" s="28"/>
      <c r="HB1408" s="28"/>
      <c r="HC1408" s="28"/>
      <c r="HD1408" s="28"/>
      <c r="HE1408" s="28"/>
      <c r="HF1408" s="28"/>
      <c r="HG1408" s="28"/>
      <c r="HH1408" s="28"/>
      <c r="HI1408" s="28"/>
      <c r="HJ1408" s="28"/>
      <c r="HK1408" s="28"/>
      <c r="HL1408" s="28"/>
      <c r="HM1408" s="28"/>
      <c r="HN1408" s="28"/>
      <c r="HO1408" s="28"/>
      <c r="HP1408" s="28"/>
      <c r="HQ1408" s="28"/>
      <c r="HR1408" s="28"/>
      <c r="HS1408" s="28"/>
      <c r="HT1408" s="28"/>
      <c r="HU1408" s="28"/>
      <c r="HV1408" s="28"/>
      <c r="HW1408" s="28"/>
      <c r="HX1408" s="28"/>
      <c r="HY1408" s="28"/>
      <c r="HZ1408" s="28"/>
      <c r="IA1408" s="28"/>
      <c r="IB1408" s="28"/>
      <c r="IC1408" s="28"/>
      <c r="ID1408" s="28"/>
      <c r="IE1408" s="28"/>
      <c r="IF1408" s="28"/>
      <c r="IG1408" s="28"/>
      <c r="IH1408" s="28"/>
      <c r="II1408" s="28"/>
      <c r="IJ1408" s="28"/>
      <c r="IK1408" s="28"/>
      <c r="IL1408" s="28"/>
      <c r="IM1408" s="28"/>
      <c r="IN1408" s="28"/>
      <c r="IO1408" s="28"/>
      <c r="IP1408" s="28"/>
      <c r="IQ1408" s="28"/>
      <c r="IR1408" s="28"/>
      <c r="IS1408" s="28"/>
      <c r="IT1408" s="28"/>
      <c r="IU1408" s="28"/>
      <c r="IV1408" s="28"/>
      <c r="IW1408" s="28"/>
      <c r="IX1408" s="28"/>
      <c r="IY1408" s="28"/>
      <c r="IZ1408" s="28"/>
      <c r="JA1408" s="28"/>
      <c r="JB1408" s="28"/>
      <c r="JC1408" s="28"/>
      <c r="JD1408" s="28"/>
      <c r="JE1408" s="28"/>
      <c r="JF1408" s="28"/>
      <c r="JG1408" s="28"/>
      <c r="JH1408" s="28"/>
      <c r="JI1408" s="28"/>
      <c r="JJ1408" s="28"/>
      <c r="JK1408" s="28"/>
      <c r="JL1408" s="28"/>
      <c r="JM1408" s="28"/>
      <c r="JN1408" s="28"/>
      <c r="JO1408" s="28"/>
      <c r="JP1408" s="28"/>
      <c r="JQ1408" s="28"/>
      <c r="JR1408" s="28"/>
      <c r="JS1408" s="28"/>
      <c r="JT1408" s="28"/>
      <c r="JU1408" s="28"/>
      <c r="JV1408" s="28"/>
      <c r="JW1408" s="28"/>
      <c r="JX1408" s="28"/>
      <c r="JY1408" s="28"/>
      <c r="JZ1408" s="28"/>
      <c r="KA1408" s="28"/>
      <c r="KB1408" s="28"/>
      <c r="KC1408" s="28"/>
      <c r="KD1408" s="28"/>
      <c r="KE1408" s="28"/>
      <c r="KF1408" s="28"/>
      <c r="KG1408" s="28"/>
      <c r="KH1408" s="28"/>
      <c r="KI1408" s="28"/>
      <c r="KJ1408" s="28"/>
      <c r="KK1408" s="28"/>
      <c r="KL1408" s="28"/>
      <c r="KM1408" s="28"/>
      <c r="KN1408" s="28"/>
      <c r="KO1408" s="28"/>
      <c r="KP1408" s="28"/>
      <c r="KQ1408" s="28"/>
      <c r="KR1408" s="28"/>
      <c r="KS1408" s="28"/>
      <c r="KT1408" s="28"/>
      <c r="KU1408" s="28"/>
      <c r="KV1408" s="28"/>
      <c r="KW1408" s="28"/>
      <c r="KX1408" s="28"/>
      <c r="KY1408" s="28"/>
      <c r="KZ1408" s="28"/>
      <c r="LA1408" s="28"/>
      <c r="LB1408" s="28"/>
      <c r="LC1408" s="28"/>
      <c r="LD1408" s="28"/>
      <c r="LE1408" s="28"/>
      <c r="LF1408" s="28"/>
      <c r="LG1408" s="28"/>
      <c r="LH1408" s="28"/>
      <c r="LI1408" s="28"/>
      <c r="LJ1408" s="28"/>
      <c r="LK1408" s="28"/>
      <c r="LL1408" s="28"/>
      <c r="LM1408" s="28"/>
      <c r="LN1408" s="28"/>
      <c r="LO1408" s="28"/>
      <c r="LP1408" s="28"/>
      <c r="LQ1408" s="28"/>
      <c r="LR1408" s="28"/>
      <c r="LS1408" s="28"/>
      <c r="LT1408" s="28"/>
      <c r="LU1408" s="28"/>
      <c r="LV1408" s="28"/>
      <c r="LW1408" s="28"/>
      <c r="LX1408" s="28"/>
      <c r="LY1408" s="28"/>
      <c r="LZ1408" s="28"/>
      <c r="MA1408" s="28"/>
      <c r="MB1408" s="28"/>
      <c r="MC1408" s="28"/>
      <c r="MD1408" s="28"/>
      <c r="ME1408" s="28"/>
      <c r="MF1408" s="28"/>
      <c r="MG1408" s="28"/>
      <c r="MH1408" s="28"/>
      <c r="MI1408" s="28"/>
      <c r="MJ1408" s="28"/>
      <c r="MK1408" s="28"/>
      <c r="ML1408" s="28"/>
      <c r="MM1408" s="28"/>
      <c r="MN1408" s="28"/>
      <c r="MO1408" s="28"/>
      <c r="MP1408" s="28"/>
      <c r="MQ1408" s="28"/>
      <c r="MR1408" s="28"/>
      <c r="MS1408" s="28"/>
      <c r="MT1408" s="28"/>
      <c r="MU1408" s="28"/>
      <c r="MV1408" s="28"/>
      <c r="MW1408" s="28"/>
      <c r="MX1408" s="28"/>
      <c r="MY1408" s="28"/>
      <c r="MZ1408" s="28"/>
      <c r="NA1408" s="28"/>
      <c r="NB1408" s="28"/>
      <c r="NC1408" s="28"/>
      <c r="ND1408" s="28"/>
      <c r="NE1408" s="28"/>
      <c r="NF1408" s="28"/>
      <c r="NG1408" s="28"/>
      <c r="NH1408" s="28"/>
      <c r="NI1408" s="28"/>
      <c r="NJ1408" s="28"/>
      <c r="NK1408" s="28"/>
      <c r="NL1408" s="28"/>
      <c r="NM1408" s="28"/>
      <c r="NN1408" s="28"/>
      <c r="NO1408" s="28"/>
      <c r="NP1408" s="28"/>
      <c r="NQ1408" s="28"/>
      <c r="NR1408" s="28"/>
      <c r="NS1408" s="28"/>
      <c r="NT1408" s="28"/>
      <c r="NU1408" s="28"/>
      <c r="NV1408" s="28"/>
      <c r="NW1408" s="28"/>
      <c r="NX1408" s="28"/>
      <c r="NY1408" s="28"/>
      <c r="NZ1408" s="28"/>
      <c r="OA1408" s="28"/>
      <c r="OB1408" s="28"/>
      <c r="OC1408" s="28"/>
      <c r="OD1408" s="28"/>
      <c r="OE1408" s="28"/>
      <c r="OF1408" s="28"/>
      <c r="OG1408" s="28"/>
      <c r="OH1408" s="28"/>
      <c r="OI1408" s="28"/>
      <c r="OJ1408" s="28"/>
      <c r="OK1408" s="28"/>
      <c r="OL1408" s="28"/>
      <c r="OM1408" s="28"/>
      <c r="ON1408" s="28"/>
      <c r="OO1408" s="28"/>
      <c r="OP1408" s="28"/>
      <c r="OQ1408" s="28"/>
      <c r="OR1408" s="28"/>
      <c r="OS1408" s="28"/>
      <c r="OT1408" s="28"/>
      <c r="OU1408" s="28"/>
      <c r="OV1408" s="28"/>
      <c r="OW1408" s="28"/>
      <c r="OX1408" s="28"/>
      <c r="OY1408" s="28"/>
      <c r="OZ1408" s="28"/>
      <c r="PA1408" s="28"/>
      <c r="PB1408" s="28"/>
      <c r="PC1408" s="28"/>
      <c r="PD1408" s="28"/>
      <c r="PE1408" s="28"/>
      <c r="PF1408" s="28"/>
      <c r="PG1408" s="28"/>
      <c r="PH1408" s="28"/>
      <c r="PI1408" s="28"/>
      <c r="PJ1408" s="28"/>
      <c r="PK1408" s="28"/>
      <c r="PL1408" s="28"/>
      <c r="PM1408" s="28"/>
      <c r="PN1408" s="28"/>
      <c r="PO1408" s="28"/>
      <c r="PP1408" s="28"/>
      <c r="PQ1408" s="28"/>
      <c r="PR1408" s="28"/>
      <c r="PS1408" s="28"/>
      <c r="PT1408" s="28"/>
      <c r="PU1408" s="28"/>
      <c r="PV1408" s="28"/>
      <c r="PW1408" s="28"/>
      <c r="PX1408" s="28"/>
      <c r="PY1408" s="28"/>
      <c r="PZ1408" s="28"/>
      <c r="QA1408" s="28"/>
      <c r="QB1408" s="28"/>
      <c r="QC1408" s="28"/>
      <c r="QD1408" s="28"/>
      <c r="QE1408" s="28"/>
      <c r="QF1408" s="28"/>
      <c r="QG1408" s="28"/>
      <c r="QH1408" s="28"/>
      <c r="QI1408" s="28"/>
      <c r="QJ1408" s="28"/>
      <c r="QK1408" s="28"/>
      <c r="QL1408" s="28"/>
      <c r="QM1408" s="28"/>
      <c r="QN1408" s="28"/>
      <c r="QO1408" s="28"/>
      <c r="QP1408" s="28"/>
      <c r="QQ1408" s="28"/>
      <c r="QR1408" s="28"/>
      <c r="QS1408" s="28"/>
      <c r="QT1408" s="28"/>
      <c r="QU1408" s="28"/>
      <c r="QV1408" s="28"/>
      <c r="QW1408" s="28"/>
      <c r="QX1408" s="28"/>
      <c r="QY1408" s="28"/>
      <c r="QZ1408" s="28"/>
      <c r="RA1408" s="28"/>
      <c r="RB1408" s="28"/>
      <c r="RC1408" s="28"/>
      <c r="RD1408" s="28"/>
      <c r="RE1408" s="28"/>
      <c r="RF1408" s="28"/>
      <c r="RG1408" s="28"/>
      <c r="RH1408" s="28"/>
      <c r="RI1408" s="28"/>
      <c r="RJ1408" s="28"/>
      <c r="RK1408" s="28"/>
      <c r="RL1408" s="28"/>
      <c r="RM1408" s="28"/>
      <c r="RN1408" s="28"/>
      <c r="RO1408" s="28"/>
      <c r="RP1408" s="28"/>
      <c r="RQ1408" s="28"/>
      <c r="RR1408" s="28"/>
      <c r="RS1408" s="28"/>
      <c r="RT1408" s="28"/>
      <c r="RU1408" s="28"/>
      <c r="RV1408" s="28"/>
      <c r="RW1408" s="28"/>
      <c r="RX1408" s="28"/>
      <c r="RY1408" s="28"/>
      <c r="RZ1408" s="28"/>
      <c r="SA1408" s="28"/>
      <c r="SB1408" s="28"/>
      <c r="SC1408" s="28"/>
      <c r="SD1408" s="28"/>
      <c r="SE1408" s="28"/>
      <c r="SF1408" s="28"/>
      <c r="SG1408" s="28"/>
      <c r="SH1408" s="28"/>
      <c r="SI1408" s="28"/>
      <c r="SJ1408" s="28"/>
      <c r="SK1408" s="28"/>
      <c r="SL1408" s="28"/>
      <c r="SM1408" s="28"/>
      <c r="SN1408" s="28"/>
      <c r="SO1408" s="28"/>
      <c r="SP1408" s="28"/>
      <c r="SQ1408" s="28"/>
      <c r="SR1408" s="28"/>
      <c r="SS1408" s="28"/>
      <c r="ST1408" s="28"/>
      <c r="SU1408" s="28"/>
      <c r="SV1408" s="28"/>
      <c r="SW1408" s="28"/>
      <c r="SX1408" s="28"/>
      <c r="SY1408" s="28"/>
      <c r="SZ1408" s="28"/>
      <c r="TA1408" s="28"/>
      <c r="TB1408" s="28"/>
      <c r="TC1408" s="28"/>
      <c r="TD1408" s="28"/>
      <c r="TE1408" s="28"/>
      <c r="TF1408" s="28"/>
      <c r="TG1408" s="28"/>
      <c r="TH1408" s="28"/>
      <c r="TI1408" s="28"/>
      <c r="TJ1408" s="28"/>
      <c r="TK1408" s="28"/>
      <c r="TL1408" s="28"/>
      <c r="TM1408" s="28"/>
      <c r="TN1408" s="28"/>
      <c r="TO1408" s="28"/>
      <c r="TP1408" s="28"/>
      <c r="TQ1408" s="28"/>
      <c r="TR1408" s="28"/>
      <c r="TS1408" s="28"/>
      <c r="TT1408" s="28"/>
      <c r="TU1408" s="28"/>
      <c r="TV1408" s="28"/>
      <c r="TW1408" s="28"/>
      <c r="TX1408" s="28"/>
      <c r="TY1408" s="28"/>
      <c r="TZ1408" s="28"/>
      <c r="UA1408" s="28"/>
      <c r="UB1408" s="28"/>
      <c r="UC1408" s="28"/>
      <c r="UD1408" s="28"/>
      <c r="UE1408" s="28"/>
      <c r="UF1408" s="28"/>
      <c r="UG1408" s="29"/>
    </row>
    <row r="1409" spans="1:553" ht="49.5" customHeight="1">
      <c r="A1409" s="356" t="s">
        <v>53</v>
      </c>
      <c r="B1409" s="356"/>
      <c r="C1409" s="1413" t="s">
        <v>759</v>
      </c>
      <c r="D1409" s="1389"/>
      <c r="E1409" s="1389"/>
      <c r="F1409" s="1390"/>
      <c r="G1409" s="356"/>
      <c r="H1409" s="424"/>
      <c r="I1409" s="424"/>
      <c r="J1409" s="357"/>
      <c r="K1409" s="358"/>
      <c r="L1409" s="645">
        <v>0</v>
      </c>
      <c r="M1409" s="356"/>
      <c r="N1409" s="356"/>
      <c r="O1409" s="356"/>
      <c r="P1409" s="356"/>
      <c r="Q1409" s="610"/>
      <c r="R1409" s="1226"/>
      <c r="S1409" s="308"/>
      <c r="T1409" s="308"/>
      <c r="U1409" s="308"/>
      <c r="V1409" s="308"/>
      <c r="W1409" s="308"/>
      <c r="X1409" s="308"/>
      <c r="Y1409" s="308"/>
      <c r="Z1409" s="604"/>
      <c r="AA1409" s="308"/>
      <c r="AB1409" s="308"/>
      <c r="AC1409" s="486"/>
      <c r="AD1409" s="486"/>
      <c r="AE1409" s="486"/>
      <c r="AF1409" s="486"/>
      <c r="AG1409" s="486"/>
      <c r="AH1409" s="486"/>
      <c r="AI1409" s="486"/>
      <c r="AJ1409" s="486"/>
      <c r="AK1409" s="486"/>
      <c r="AL1409" s="206"/>
      <c r="AM1409" s="28"/>
      <c r="AN1409" s="28"/>
      <c r="AO1409" s="28"/>
      <c r="AP1409" s="28"/>
      <c r="AQ1409" s="28"/>
      <c r="AR1409" s="28"/>
      <c r="AS1409" s="28"/>
      <c r="AT1409" s="28"/>
      <c r="AU1409" s="28"/>
      <c r="AV1409" s="28"/>
      <c r="AW1409" s="28"/>
      <c r="AX1409" s="28"/>
      <c r="AY1409" s="28"/>
      <c r="AZ1409" s="28"/>
      <c r="BA1409" s="28"/>
      <c r="BB1409" s="28"/>
      <c r="BC1409" s="28"/>
      <c r="BD1409" s="28"/>
      <c r="BE1409" s="28"/>
      <c r="BF1409" s="28"/>
      <c r="BG1409" s="28"/>
      <c r="BH1409" s="28"/>
      <c r="BI1409" s="28"/>
      <c r="BJ1409" s="28"/>
      <c r="BK1409" s="28"/>
      <c r="BL1409" s="28"/>
      <c r="BM1409" s="28"/>
      <c r="BN1409" s="28"/>
      <c r="BO1409" s="28"/>
      <c r="BP1409" s="28"/>
      <c r="BQ1409" s="28"/>
      <c r="BR1409" s="28"/>
      <c r="BS1409" s="28"/>
      <c r="BT1409" s="28"/>
      <c r="BU1409" s="28"/>
      <c r="BV1409" s="28"/>
      <c r="BW1409" s="28"/>
      <c r="BX1409" s="28"/>
      <c r="BY1409" s="28"/>
      <c r="BZ1409" s="28"/>
      <c r="CA1409" s="28"/>
      <c r="CB1409" s="28"/>
      <c r="CC1409" s="28"/>
      <c r="CD1409" s="28"/>
      <c r="CE1409" s="28"/>
      <c r="CF1409" s="28"/>
      <c r="CG1409" s="28"/>
      <c r="CH1409" s="28"/>
      <c r="CI1409" s="28"/>
      <c r="CJ1409" s="28"/>
      <c r="CK1409" s="28"/>
      <c r="CL1409" s="28"/>
      <c r="CM1409" s="28"/>
      <c r="CN1409" s="28"/>
      <c r="CO1409" s="28"/>
      <c r="CP1409" s="28"/>
      <c r="CQ1409" s="28"/>
      <c r="CR1409" s="28"/>
      <c r="CS1409" s="28"/>
      <c r="CT1409" s="28"/>
      <c r="CU1409" s="28"/>
      <c r="CV1409" s="28"/>
      <c r="CW1409" s="28"/>
      <c r="CX1409" s="28"/>
      <c r="CY1409" s="28"/>
      <c r="CZ1409" s="28"/>
      <c r="DA1409" s="28"/>
      <c r="DB1409" s="28"/>
      <c r="DC1409" s="28"/>
      <c r="DD1409" s="28"/>
      <c r="DE1409" s="28"/>
      <c r="DF1409" s="28"/>
      <c r="DG1409" s="28"/>
      <c r="DH1409" s="28"/>
      <c r="DI1409" s="28"/>
      <c r="DJ1409" s="28"/>
      <c r="DK1409" s="28"/>
      <c r="DL1409" s="28"/>
      <c r="DM1409" s="28"/>
      <c r="DN1409" s="28"/>
      <c r="DO1409" s="28"/>
      <c r="DP1409" s="28"/>
      <c r="DQ1409" s="28"/>
      <c r="DR1409" s="28"/>
      <c r="DS1409" s="28"/>
      <c r="DT1409" s="28"/>
      <c r="DU1409" s="28"/>
      <c r="DV1409" s="28"/>
      <c r="DW1409" s="28"/>
      <c r="DX1409" s="28"/>
      <c r="DY1409" s="28"/>
      <c r="DZ1409" s="28"/>
      <c r="EA1409" s="28"/>
      <c r="EB1409" s="28"/>
      <c r="EC1409" s="28"/>
      <c r="ED1409" s="28"/>
      <c r="EE1409" s="28"/>
      <c r="EF1409" s="28"/>
      <c r="EG1409" s="28"/>
      <c r="EH1409" s="28"/>
      <c r="EI1409" s="28"/>
      <c r="EJ1409" s="28"/>
      <c r="EK1409" s="28"/>
      <c r="EL1409" s="28"/>
      <c r="EM1409" s="28"/>
      <c r="EN1409" s="28"/>
      <c r="EO1409" s="28"/>
      <c r="EP1409" s="28"/>
      <c r="EQ1409" s="28"/>
      <c r="ER1409" s="28"/>
      <c r="ES1409" s="28"/>
      <c r="ET1409" s="28"/>
      <c r="EU1409" s="28"/>
      <c r="EV1409" s="28"/>
      <c r="EW1409" s="28"/>
      <c r="EX1409" s="28"/>
      <c r="EY1409" s="28"/>
      <c r="EZ1409" s="28"/>
      <c r="FA1409" s="28"/>
      <c r="FB1409" s="28"/>
      <c r="FC1409" s="28"/>
      <c r="FD1409" s="28"/>
      <c r="FE1409" s="28"/>
      <c r="FF1409" s="28"/>
      <c r="FG1409" s="28"/>
      <c r="FH1409" s="28"/>
      <c r="FI1409" s="28"/>
      <c r="FJ1409" s="28"/>
      <c r="FK1409" s="28"/>
      <c r="FL1409" s="28"/>
      <c r="FM1409" s="28"/>
      <c r="FN1409" s="28"/>
      <c r="FO1409" s="28"/>
      <c r="FP1409" s="28"/>
      <c r="FQ1409" s="28"/>
      <c r="FR1409" s="28"/>
      <c r="FS1409" s="28"/>
      <c r="FT1409" s="28"/>
      <c r="FU1409" s="28"/>
      <c r="FV1409" s="28"/>
      <c r="FW1409" s="28"/>
      <c r="FX1409" s="28"/>
      <c r="FY1409" s="28"/>
      <c r="FZ1409" s="28"/>
      <c r="GA1409" s="28"/>
      <c r="GB1409" s="28"/>
      <c r="GC1409" s="28"/>
      <c r="GD1409" s="28"/>
      <c r="GE1409" s="28"/>
      <c r="GF1409" s="28"/>
      <c r="GG1409" s="28"/>
      <c r="GH1409" s="28"/>
      <c r="GI1409" s="28"/>
      <c r="GJ1409" s="28"/>
      <c r="GK1409" s="28"/>
      <c r="GL1409" s="28"/>
      <c r="GM1409" s="28"/>
      <c r="GN1409" s="28"/>
      <c r="GO1409" s="28"/>
      <c r="GP1409" s="28"/>
      <c r="GQ1409" s="28"/>
      <c r="GR1409" s="28"/>
      <c r="GS1409" s="28"/>
      <c r="GT1409" s="28"/>
      <c r="GU1409" s="28"/>
      <c r="GV1409" s="28"/>
      <c r="GW1409" s="28"/>
      <c r="GX1409" s="28"/>
      <c r="GY1409" s="28"/>
      <c r="GZ1409" s="28"/>
      <c r="HA1409" s="28"/>
      <c r="HB1409" s="28"/>
      <c r="HC1409" s="28"/>
      <c r="HD1409" s="28"/>
      <c r="HE1409" s="28"/>
      <c r="HF1409" s="28"/>
      <c r="HG1409" s="28"/>
      <c r="HH1409" s="28"/>
      <c r="HI1409" s="28"/>
      <c r="HJ1409" s="28"/>
      <c r="HK1409" s="28"/>
      <c r="HL1409" s="28"/>
      <c r="HM1409" s="28"/>
      <c r="HN1409" s="28"/>
      <c r="HO1409" s="28"/>
      <c r="HP1409" s="28"/>
      <c r="HQ1409" s="28"/>
      <c r="HR1409" s="28"/>
      <c r="HS1409" s="28"/>
      <c r="HT1409" s="28"/>
      <c r="HU1409" s="28"/>
      <c r="HV1409" s="28"/>
      <c r="HW1409" s="28"/>
      <c r="HX1409" s="28"/>
      <c r="HY1409" s="28"/>
      <c r="HZ1409" s="28"/>
      <c r="IA1409" s="28"/>
      <c r="IB1409" s="28"/>
      <c r="IC1409" s="28"/>
      <c r="ID1409" s="28"/>
      <c r="IE1409" s="28"/>
      <c r="IF1409" s="28"/>
      <c r="IG1409" s="28"/>
      <c r="IH1409" s="28"/>
      <c r="II1409" s="28"/>
      <c r="IJ1409" s="28"/>
      <c r="IK1409" s="28"/>
      <c r="IL1409" s="28"/>
      <c r="IM1409" s="28"/>
      <c r="IN1409" s="28"/>
      <c r="IO1409" s="28"/>
      <c r="IP1409" s="28"/>
      <c r="IQ1409" s="28"/>
      <c r="IR1409" s="28"/>
      <c r="IS1409" s="28"/>
      <c r="IT1409" s="28"/>
      <c r="IU1409" s="28"/>
      <c r="IV1409" s="28"/>
      <c r="IW1409" s="28"/>
      <c r="IX1409" s="28"/>
      <c r="IY1409" s="28"/>
      <c r="IZ1409" s="28"/>
      <c r="JA1409" s="28"/>
      <c r="JB1409" s="28"/>
      <c r="JC1409" s="28"/>
      <c r="JD1409" s="28"/>
      <c r="JE1409" s="28"/>
      <c r="JF1409" s="28"/>
      <c r="JG1409" s="28"/>
      <c r="JH1409" s="28"/>
      <c r="JI1409" s="28"/>
      <c r="JJ1409" s="28"/>
      <c r="JK1409" s="28"/>
      <c r="JL1409" s="28"/>
      <c r="JM1409" s="28"/>
      <c r="JN1409" s="28"/>
      <c r="JO1409" s="28"/>
      <c r="JP1409" s="28"/>
      <c r="JQ1409" s="28"/>
      <c r="JR1409" s="28"/>
      <c r="JS1409" s="28"/>
      <c r="JT1409" s="28"/>
      <c r="JU1409" s="28"/>
      <c r="JV1409" s="28"/>
      <c r="JW1409" s="28"/>
      <c r="JX1409" s="28"/>
      <c r="JY1409" s="28"/>
      <c r="JZ1409" s="28"/>
      <c r="KA1409" s="28"/>
      <c r="KB1409" s="28"/>
      <c r="KC1409" s="28"/>
      <c r="KD1409" s="28"/>
      <c r="KE1409" s="28"/>
      <c r="KF1409" s="28"/>
      <c r="KG1409" s="28"/>
      <c r="KH1409" s="28"/>
      <c r="KI1409" s="28"/>
      <c r="KJ1409" s="28"/>
      <c r="KK1409" s="28"/>
      <c r="KL1409" s="28"/>
      <c r="KM1409" s="28"/>
      <c r="KN1409" s="28"/>
      <c r="KO1409" s="28"/>
      <c r="KP1409" s="28"/>
      <c r="KQ1409" s="28"/>
      <c r="KR1409" s="28"/>
      <c r="KS1409" s="28"/>
      <c r="KT1409" s="28"/>
      <c r="KU1409" s="28"/>
      <c r="KV1409" s="28"/>
      <c r="KW1409" s="28"/>
      <c r="KX1409" s="28"/>
      <c r="KY1409" s="28"/>
      <c r="KZ1409" s="28"/>
      <c r="LA1409" s="28"/>
      <c r="LB1409" s="28"/>
      <c r="LC1409" s="28"/>
      <c r="LD1409" s="28"/>
      <c r="LE1409" s="28"/>
      <c r="LF1409" s="28"/>
      <c r="LG1409" s="28"/>
      <c r="LH1409" s="28"/>
      <c r="LI1409" s="28"/>
      <c r="LJ1409" s="28"/>
      <c r="LK1409" s="28"/>
      <c r="LL1409" s="28"/>
      <c r="LM1409" s="28"/>
      <c r="LN1409" s="28"/>
      <c r="LO1409" s="28"/>
      <c r="LP1409" s="28"/>
      <c r="LQ1409" s="28"/>
      <c r="LR1409" s="28"/>
      <c r="LS1409" s="28"/>
      <c r="LT1409" s="28"/>
      <c r="LU1409" s="28"/>
      <c r="LV1409" s="28"/>
      <c r="LW1409" s="28"/>
      <c r="LX1409" s="28"/>
      <c r="LY1409" s="28"/>
      <c r="LZ1409" s="28"/>
      <c r="MA1409" s="28"/>
      <c r="MB1409" s="28"/>
      <c r="MC1409" s="28"/>
      <c r="MD1409" s="28"/>
      <c r="ME1409" s="28"/>
      <c r="MF1409" s="28"/>
      <c r="MG1409" s="28"/>
      <c r="MH1409" s="28"/>
      <c r="MI1409" s="28"/>
      <c r="MJ1409" s="28"/>
      <c r="MK1409" s="28"/>
      <c r="ML1409" s="28"/>
      <c r="MM1409" s="28"/>
      <c r="MN1409" s="28"/>
      <c r="MO1409" s="28"/>
      <c r="MP1409" s="28"/>
      <c r="MQ1409" s="28"/>
      <c r="MR1409" s="28"/>
      <c r="MS1409" s="28"/>
      <c r="MT1409" s="28"/>
      <c r="MU1409" s="28"/>
      <c r="MV1409" s="28"/>
      <c r="MW1409" s="28"/>
      <c r="MX1409" s="28"/>
      <c r="MY1409" s="28"/>
      <c r="MZ1409" s="28"/>
      <c r="NA1409" s="28"/>
      <c r="NB1409" s="28"/>
      <c r="NC1409" s="28"/>
      <c r="ND1409" s="28"/>
      <c r="NE1409" s="28"/>
      <c r="NF1409" s="28"/>
      <c r="NG1409" s="28"/>
      <c r="NH1409" s="28"/>
      <c r="NI1409" s="28"/>
      <c r="NJ1409" s="28"/>
      <c r="NK1409" s="28"/>
      <c r="NL1409" s="28"/>
      <c r="NM1409" s="28"/>
      <c r="NN1409" s="28"/>
      <c r="NO1409" s="28"/>
      <c r="NP1409" s="28"/>
      <c r="NQ1409" s="28"/>
      <c r="NR1409" s="28"/>
      <c r="NS1409" s="28"/>
      <c r="NT1409" s="28"/>
      <c r="NU1409" s="28"/>
      <c r="NV1409" s="28"/>
      <c r="NW1409" s="28"/>
      <c r="NX1409" s="28"/>
      <c r="NY1409" s="28"/>
      <c r="NZ1409" s="28"/>
      <c r="OA1409" s="28"/>
      <c r="OB1409" s="28"/>
      <c r="OC1409" s="28"/>
      <c r="OD1409" s="28"/>
      <c r="OE1409" s="28"/>
      <c r="OF1409" s="28"/>
      <c r="OG1409" s="28"/>
      <c r="OH1409" s="28"/>
      <c r="OI1409" s="28"/>
      <c r="OJ1409" s="28"/>
      <c r="OK1409" s="28"/>
      <c r="OL1409" s="28"/>
      <c r="OM1409" s="28"/>
      <c r="ON1409" s="28"/>
      <c r="OO1409" s="28"/>
      <c r="OP1409" s="28"/>
      <c r="OQ1409" s="28"/>
      <c r="OR1409" s="28"/>
      <c r="OS1409" s="28"/>
      <c r="OT1409" s="28"/>
      <c r="OU1409" s="28"/>
      <c r="OV1409" s="28"/>
      <c r="OW1409" s="28"/>
      <c r="OX1409" s="28"/>
      <c r="OY1409" s="28"/>
      <c r="OZ1409" s="28"/>
      <c r="PA1409" s="28"/>
      <c r="PB1409" s="28"/>
      <c r="PC1409" s="28"/>
      <c r="PD1409" s="28"/>
      <c r="PE1409" s="28"/>
      <c r="PF1409" s="28"/>
      <c r="PG1409" s="28"/>
      <c r="PH1409" s="28"/>
      <c r="PI1409" s="28"/>
      <c r="PJ1409" s="28"/>
      <c r="PK1409" s="28"/>
      <c r="PL1409" s="28"/>
      <c r="PM1409" s="28"/>
      <c r="PN1409" s="28"/>
      <c r="PO1409" s="28"/>
      <c r="PP1409" s="28"/>
      <c r="PQ1409" s="28"/>
      <c r="PR1409" s="28"/>
      <c r="PS1409" s="28"/>
      <c r="PT1409" s="28"/>
      <c r="PU1409" s="28"/>
      <c r="PV1409" s="28"/>
      <c r="PW1409" s="28"/>
      <c r="PX1409" s="28"/>
      <c r="PY1409" s="28"/>
      <c r="PZ1409" s="28"/>
      <c r="QA1409" s="28"/>
      <c r="QB1409" s="28"/>
      <c r="QC1409" s="28"/>
      <c r="QD1409" s="28"/>
      <c r="QE1409" s="28"/>
      <c r="QF1409" s="28"/>
      <c r="QG1409" s="28"/>
      <c r="QH1409" s="28"/>
      <c r="QI1409" s="28"/>
      <c r="QJ1409" s="28"/>
      <c r="QK1409" s="28"/>
      <c r="QL1409" s="28"/>
      <c r="QM1409" s="28"/>
      <c r="QN1409" s="28"/>
      <c r="QO1409" s="28"/>
      <c r="QP1409" s="28"/>
      <c r="QQ1409" s="28"/>
      <c r="QR1409" s="28"/>
      <c r="QS1409" s="28"/>
      <c r="QT1409" s="28"/>
      <c r="QU1409" s="28"/>
      <c r="QV1409" s="28"/>
      <c r="QW1409" s="28"/>
      <c r="QX1409" s="28"/>
      <c r="QY1409" s="28"/>
      <c r="QZ1409" s="28"/>
      <c r="RA1409" s="28"/>
      <c r="RB1409" s="28"/>
      <c r="RC1409" s="28"/>
      <c r="RD1409" s="28"/>
      <c r="RE1409" s="28"/>
      <c r="RF1409" s="28"/>
      <c r="RG1409" s="28"/>
      <c r="RH1409" s="28"/>
      <c r="RI1409" s="28"/>
      <c r="RJ1409" s="28"/>
      <c r="RK1409" s="28"/>
      <c r="RL1409" s="28"/>
      <c r="RM1409" s="28"/>
      <c r="RN1409" s="28"/>
      <c r="RO1409" s="28"/>
      <c r="RP1409" s="28"/>
      <c r="RQ1409" s="28"/>
      <c r="RR1409" s="28"/>
      <c r="RS1409" s="28"/>
      <c r="RT1409" s="28"/>
      <c r="RU1409" s="28"/>
      <c r="RV1409" s="28"/>
      <c r="RW1409" s="28"/>
      <c r="RX1409" s="28"/>
      <c r="RY1409" s="28"/>
      <c r="RZ1409" s="28"/>
      <c r="SA1409" s="28"/>
      <c r="SB1409" s="28"/>
      <c r="SC1409" s="28"/>
      <c r="SD1409" s="28"/>
      <c r="SE1409" s="28"/>
      <c r="SF1409" s="28"/>
      <c r="SG1409" s="28"/>
      <c r="SH1409" s="28"/>
      <c r="SI1409" s="28"/>
      <c r="SJ1409" s="28"/>
      <c r="SK1409" s="28"/>
      <c r="SL1409" s="28"/>
      <c r="SM1409" s="28"/>
      <c r="SN1409" s="28"/>
      <c r="SO1409" s="28"/>
      <c r="SP1409" s="28"/>
      <c r="SQ1409" s="28"/>
      <c r="SR1409" s="28"/>
      <c r="SS1409" s="28"/>
      <c r="ST1409" s="28"/>
      <c r="SU1409" s="28"/>
      <c r="SV1409" s="28"/>
      <c r="SW1409" s="28"/>
      <c r="SX1409" s="28"/>
      <c r="SY1409" s="28"/>
      <c r="SZ1409" s="28"/>
      <c r="TA1409" s="28"/>
      <c r="TB1409" s="28"/>
      <c r="TC1409" s="28"/>
      <c r="TD1409" s="28"/>
      <c r="TE1409" s="28"/>
      <c r="TF1409" s="28"/>
      <c r="TG1409" s="28"/>
      <c r="TH1409" s="28"/>
      <c r="TI1409" s="28"/>
      <c r="TJ1409" s="28"/>
      <c r="TK1409" s="28"/>
      <c r="TL1409" s="28"/>
      <c r="TM1409" s="28"/>
      <c r="TN1409" s="28"/>
      <c r="TO1409" s="28"/>
      <c r="TP1409" s="28"/>
      <c r="TQ1409" s="28"/>
      <c r="TR1409" s="28"/>
      <c r="TS1409" s="28"/>
      <c r="TT1409" s="28"/>
      <c r="TU1409" s="28"/>
      <c r="TV1409" s="28"/>
      <c r="TW1409" s="28"/>
      <c r="TX1409" s="28"/>
      <c r="TY1409" s="28"/>
      <c r="TZ1409" s="28"/>
      <c r="UA1409" s="28"/>
      <c r="UB1409" s="28"/>
      <c r="UC1409" s="28"/>
      <c r="UD1409" s="28"/>
      <c r="UE1409" s="28"/>
      <c r="UF1409" s="28"/>
      <c r="UG1409" s="29"/>
    </row>
    <row r="1410" spans="1:553" ht="49.5" customHeight="1">
      <c r="A1410" s="356" t="s">
        <v>58</v>
      </c>
      <c r="B1410" s="356"/>
      <c r="C1410" s="1413" t="s">
        <v>59</v>
      </c>
      <c r="D1410" s="1389"/>
      <c r="E1410" s="1389"/>
      <c r="F1410" s="1390"/>
      <c r="G1410" s="366"/>
      <c r="H1410" s="370"/>
      <c r="I1410" s="370"/>
      <c r="J1410" s="368"/>
      <c r="K1410" s="371"/>
      <c r="L1410" s="645">
        <f>SUM(L1411:L1420)</f>
        <v>560754000</v>
      </c>
      <c r="M1410" s="356"/>
      <c r="N1410" s="356"/>
      <c r="O1410" s="356"/>
      <c r="P1410" s="356">
        <f>L1410</f>
        <v>560754000</v>
      </c>
      <c r="Q1410" s="610"/>
      <c r="R1410" s="421"/>
      <c r="S1410" s="308"/>
      <c r="T1410" s="308"/>
      <c r="U1410" s="308"/>
      <c r="V1410" s="308"/>
      <c r="W1410" s="308"/>
      <c r="X1410" s="308"/>
      <c r="Y1410" s="308"/>
      <c r="Z1410" s="604"/>
      <c r="AA1410" s="308"/>
      <c r="AB1410" s="308"/>
      <c r="AC1410" s="486"/>
      <c r="AD1410" s="486"/>
      <c r="AE1410" s="486"/>
      <c r="AF1410" s="486"/>
      <c r="AG1410" s="486"/>
      <c r="AH1410" s="486"/>
      <c r="AI1410" s="486"/>
      <c r="AJ1410" s="486"/>
      <c r="AK1410" s="486"/>
      <c r="AL1410" s="206"/>
      <c r="AM1410" s="28"/>
      <c r="AN1410" s="28"/>
      <c r="AO1410" s="28"/>
      <c r="AP1410" s="28"/>
      <c r="AQ1410" s="28"/>
      <c r="AR1410" s="28"/>
      <c r="AS1410" s="28"/>
      <c r="AT1410" s="28"/>
      <c r="AU1410" s="28"/>
      <c r="AV1410" s="28"/>
      <c r="AW1410" s="28"/>
      <c r="AX1410" s="28"/>
      <c r="AY1410" s="28"/>
      <c r="AZ1410" s="28"/>
      <c r="BA1410" s="28"/>
      <c r="BB1410" s="28"/>
      <c r="BC1410" s="28"/>
      <c r="BD1410" s="28"/>
      <c r="BE1410" s="28"/>
      <c r="BF1410" s="28"/>
      <c r="BG1410" s="28"/>
      <c r="BH1410" s="28"/>
      <c r="BI1410" s="28"/>
      <c r="BJ1410" s="28"/>
      <c r="BK1410" s="28"/>
      <c r="BL1410" s="28"/>
      <c r="BM1410" s="28"/>
      <c r="BN1410" s="28"/>
      <c r="BO1410" s="28"/>
      <c r="BP1410" s="28"/>
      <c r="BQ1410" s="28"/>
      <c r="BR1410" s="28"/>
      <c r="BS1410" s="28"/>
      <c r="BT1410" s="28"/>
      <c r="BU1410" s="28"/>
      <c r="BV1410" s="28"/>
      <c r="BW1410" s="28"/>
      <c r="BX1410" s="28"/>
      <c r="BY1410" s="28"/>
      <c r="BZ1410" s="28"/>
      <c r="CA1410" s="28"/>
      <c r="CB1410" s="28"/>
      <c r="CC1410" s="28"/>
      <c r="CD1410" s="28"/>
      <c r="CE1410" s="28"/>
      <c r="CF1410" s="28"/>
      <c r="CG1410" s="28"/>
      <c r="CH1410" s="28"/>
      <c r="CI1410" s="28"/>
      <c r="CJ1410" s="28"/>
      <c r="CK1410" s="28"/>
      <c r="CL1410" s="28"/>
      <c r="CM1410" s="28"/>
      <c r="CN1410" s="28"/>
      <c r="CO1410" s="28"/>
      <c r="CP1410" s="28"/>
      <c r="CQ1410" s="28"/>
      <c r="CR1410" s="28"/>
      <c r="CS1410" s="28"/>
      <c r="CT1410" s="28"/>
      <c r="CU1410" s="28"/>
      <c r="CV1410" s="28"/>
      <c r="CW1410" s="28"/>
      <c r="CX1410" s="28"/>
      <c r="CY1410" s="28"/>
      <c r="CZ1410" s="28"/>
      <c r="DA1410" s="28"/>
      <c r="DB1410" s="28"/>
      <c r="DC1410" s="28"/>
      <c r="DD1410" s="28"/>
      <c r="DE1410" s="28"/>
      <c r="DF1410" s="28"/>
      <c r="DG1410" s="28"/>
      <c r="DH1410" s="28"/>
      <c r="DI1410" s="28"/>
      <c r="DJ1410" s="28"/>
      <c r="DK1410" s="28"/>
      <c r="DL1410" s="28"/>
      <c r="DM1410" s="28"/>
      <c r="DN1410" s="28"/>
      <c r="DO1410" s="28"/>
      <c r="DP1410" s="28"/>
      <c r="DQ1410" s="28"/>
      <c r="DR1410" s="28"/>
      <c r="DS1410" s="28"/>
      <c r="DT1410" s="28"/>
      <c r="DU1410" s="28"/>
      <c r="DV1410" s="28"/>
      <c r="DW1410" s="28"/>
      <c r="DX1410" s="28"/>
      <c r="DY1410" s="28"/>
      <c r="DZ1410" s="28"/>
      <c r="EA1410" s="28"/>
      <c r="EB1410" s="28"/>
      <c r="EC1410" s="28"/>
      <c r="ED1410" s="28"/>
      <c r="EE1410" s="28"/>
      <c r="EF1410" s="28"/>
      <c r="EG1410" s="28"/>
      <c r="EH1410" s="28"/>
      <c r="EI1410" s="28"/>
      <c r="EJ1410" s="28"/>
      <c r="EK1410" s="28"/>
      <c r="EL1410" s="28"/>
      <c r="EM1410" s="28"/>
      <c r="EN1410" s="28"/>
      <c r="EO1410" s="28"/>
      <c r="EP1410" s="28"/>
      <c r="EQ1410" s="28"/>
      <c r="ER1410" s="28"/>
      <c r="ES1410" s="28"/>
      <c r="ET1410" s="28"/>
      <c r="EU1410" s="28"/>
      <c r="EV1410" s="28"/>
      <c r="EW1410" s="28"/>
      <c r="EX1410" s="28"/>
      <c r="EY1410" s="28"/>
      <c r="EZ1410" s="28"/>
      <c r="FA1410" s="28"/>
      <c r="FB1410" s="28"/>
      <c r="FC1410" s="28"/>
      <c r="FD1410" s="28"/>
      <c r="FE1410" s="28"/>
      <c r="FF1410" s="28"/>
      <c r="FG1410" s="28"/>
      <c r="FH1410" s="28"/>
      <c r="FI1410" s="28"/>
      <c r="FJ1410" s="28"/>
      <c r="FK1410" s="28"/>
      <c r="FL1410" s="28"/>
      <c r="FM1410" s="28"/>
      <c r="FN1410" s="28"/>
      <c r="FO1410" s="28"/>
      <c r="FP1410" s="28"/>
      <c r="FQ1410" s="28"/>
      <c r="FR1410" s="28"/>
      <c r="FS1410" s="28"/>
      <c r="FT1410" s="28"/>
      <c r="FU1410" s="28"/>
      <c r="FV1410" s="28"/>
      <c r="FW1410" s="28"/>
      <c r="FX1410" s="28"/>
      <c r="FY1410" s="28"/>
      <c r="FZ1410" s="28"/>
      <c r="GA1410" s="28"/>
      <c r="GB1410" s="28"/>
      <c r="GC1410" s="28"/>
      <c r="GD1410" s="28"/>
      <c r="GE1410" s="28"/>
      <c r="GF1410" s="28"/>
      <c r="GG1410" s="28"/>
      <c r="GH1410" s="28"/>
      <c r="GI1410" s="28"/>
      <c r="GJ1410" s="28"/>
      <c r="GK1410" s="28"/>
      <c r="GL1410" s="28"/>
      <c r="GM1410" s="28"/>
      <c r="GN1410" s="28"/>
      <c r="GO1410" s="28"/>
      <c r="GP1410" s="28"/>
      <c r="GQ1410" s="28"/>
      <c r="GR1410" s="28"/>
      <c r="GS1410" s="28"/>
      <c r="GT1410" s="28"/>
      <c r="GU1410" s="28"/>
      <c r="GV1410" s="28"/>
      <c r="GW1410" s="28"/>
      <c r="GX1410" s="28"/>
      <c r="GY1410" s="28"/>
      <c r="GZ1410" s="28"/>
      <c r="HA1410" s="28"/>
      <c r="HB1410" s="28"/>
      <c r="HC1410" s="28"/>
      <c r="HD1410" s="28"/>
      <c r="HE1410" s="28"/>
      <c r="HF1410" s="28"/>
      <c r="HG1410" s="28"/>
      <c r="HH1410" s="28"/>
      <c r="HI1410" s="28"/>
      <c r="HJ1410" s="28"/>
      <c r="HK1410" s="28"/>
      <c r="HL1410" s="28"/>
      <c r="HM1410" s="28"/>
      <c r="HN1410" s="28"/>
      <c r="HO1410" s="28"/>
      <c r="HP1410" s="28"/>
      <c r="HQ1410" s="28"/>
      <c r="HR1410" s="28"/>
      <c r="HS1410" s="28"/>
      <c r="HT1410" s="28"/>
      <c r="HU1410" s="28"/>
      <c r="HV1410" s="28"/>
      <c r="HW1410" s="28"/>
      <c r="HX1410" s="28"/>
      <c r="HY1410" s="28"/>
      <c r="HZ1410" s="28"/>
      <c r="IA1410" s="28"/>
      <c r="IB1410" s="28"/>
      <c r="IC1410" s="28"/>
      <c r="ID1410" s="28"/>
      <c r="IE1410" s="28"/>
      <c r="IF1410" s="28"/>
      <c r="IG1410" s="28"/>
      <c r="IH1410" s="28"/>
      <c r="II1410" s="28"/>
      <c r="IJ1410" s="28"/>
      <c r="IK1410" s="28"/>
      <c r="IL1410" s="28"/>
      <c r="IM1410" s="28"/>
      <c r="IN1410" s="28"/>
      <c r="IO1410" s="28"/>
      <c r="IP1410" s="28"/>
      <c r="IQ1410" s="28"/>
      <c r="IR1410" s="28"/>
      <c r="IS1410" s="28"/>
      <c r="IT1410" s="28"/>
      <c r="IU1410" s="28"/>
      <c r="IV1410" s="28"/>
      <c r="IW1410" s="28"/>
      <c r="IX1410" s="28"/>
      <c r="IY1410" s="28"/>
      <c r="IZ1410" s="28"/>
      <c r="JA1410" s="28"/>
      <c r="JB1410" s="28"/>
      <c r="JC1410" s="28"/>
      <c r="JD1410" s="28"/>
      <c r="JE1410" s="28"/>
      <c r="JF1410" s="28"/>
      <c r="JG1410" s="28"/>
      <c r="JH1410" s="28"/>
      <c r="JI1410" s="28"/>
      <c r="JJ1410" s="28"/>
      <c r="JK1410" s="28"/>
      <c r="JL1410" s="28"/>
      <c r="JM1410" s="28"/>
      <c r="JN1410" s="28"/>
      <c r="JO1410" s="28"/>
      <c r="JP1410" s="28"/>
      <c r="JQ1410" s="28"/>
      <c r="JR1410" s="28"/>
      <c r="JS1410" s="28"/>
      <c r="JT1410" s="28"/>
      <c r="JU1410" s="28"/>
      <c r="JV1410" s="28"/>
      <c r="JW1410" s="28"/>
      <c r="JX1410" s="28"/>
      <c r="JY1410" s="28"/>
      <c r="JZ1410" s="28"/>
      <c r="KA1410" s="28"/>
      <c r="KB1410" s="28"/>
      <c r="KC1410" s="28"/>
      <c r="KD1410" s="28"/>
      <c r="KE1410" s="28"/>
      <c r="KF1410" s="28"/>
      <c r="KG1410" s="28"/>
      <c r="KH1410" s="28"/>
      <c r="KI1410" s="28"/>
      <c r="KJ1410" s="28"/>
      <c r="KK1410" s="28"/>
      <c r="KL1410" s="28"/>
      <c r="KM1410" s="28"/>
      <c r="KN1410" s="28"/>
      <c r="KO1410" s="28"/>
      <c r="KP1410" s="28"/>
      <c r="KQ1410" s="28"/>
      <c r="KR1410" s="28"/>
      <c r="KS1410" s="28"/>
      <c r="KT1410" s="28"/>
      <c r="KU1410" s="28"/>
      <c r="KV1410" s="28"/>
      <c r="KW1410" s="28"/>
      <c r="KX1410" s="28"/>
      <c r="KY1410" s="28"/>
      <c r="KZ1410" s="28"/>
      <c r="LA1410" s="28"/>
      <c r="LB1410" s="28"/>
      <c r="LC1410" s="28"/>
      <c r="LD1410" s="28"/>
      <c r="LE1410" s="28"/>
      <c r="LF1410" s="28"/>
      <c r="LG1410" s="28"/>
      <c r="LH1410" s="28"/>
      <c r="LI1410" s="28"/>
      <c r="LJ1410" s="28"/>
      <c r="LK1410" s="28"/>
      <c r="LL1410" s="28"/>
      <c r="LM1410" s="28"/>
      <c r="LN1410" s="28"/>
      <c r="LO1410" s="28"/>
      <c r="LP1410" s="28"/>
      <c r="LQ1410" s="28"/>
      <c r="LR1410" s="28"/>
      <c r="LS1410" s="28"/>
      <c r="LT1410" s="28"/>
      <c r="LU1410" s="28"/>
      <c r="LV1410" s="28"/>
      <c r="LW1410" s="28"/>
      <c r="LX1410" s="28"/>
      <c r="LY1410" s="28"/>
      <c r="LZ1410" s="28"/>
      <c r="MA1410" s="28"/>
      <c r="MB1410" s="28"/>
      <c r="MC1410" s="28"/>
      <c r="MD1410" s="28"/>
      <c r="ME1410" s="28"/>
      <c r="MF1410" s="28"/>
      <c r="MG1410" s="28"/>
      <c r="MH1410" s="28"/>
      <c r="MI1410" s="28"/>
      <c r="MJ1410" s="28"/>
      <c r="MK1410" s="28"/>
      <c r="ML1410" s="28"/>
      <c r="MM1410" s="28"/>
      <c r="MN1410" s="28"/>
      <c r="MO1410" s="28"/>
      <c r="MP1410" s="28"/>
      <c r="MQ1410" s="28"/>
      <c r="MR1410" s="28"/>
      <c r="MS1410" s="28"/>
      <c r="MT1410" s="28"/>
      <c r="MU1410" s="28"/>
      <c r="MV1410" s="28"/>
      <c r="MW1410" s="28"/>
      <c r="MX1410" s="28"/>
      <c r="MY1410" s="28"/>
      <c r="MZ1410" s="28"/>
      <c r="NA1410" s="28"/>
      <c r="NB1410" s="28"/>
      <c r="NC1410" s="28"/>
      <c r="ND1410" s="28"/>
      <c r="NE1410" s="28"/>
      <c r="NF1410" s="28"/>
      <c r="NG1410" s="28"/>
      <c r="NH1410" s="28"/>
      <c r="NI1410" s="28"/>
      <c r="NJ1410" s="28"/>
      <c r="NK1410" s="28"/>
      <c r="NL1410" s="28"/>
      <c r="NM1410" s="28"/>
      <c r="NN1410" s="28"/>
      <c r="NO1410" s="28"/>
      <c r="NP1410" s="28"/>
      <c r="NQ1410" s="28"/>
      <c r="NR1410" s="28"/>
      <c r="NS1410" s="28"/>
      <c r="NT1410" s="28"/>
      <c r="NU1410" s="28"/>
      <c r="NV1410" s="28"/>
      <c r="NW1410" s="28"/>
      <c r="NX1410" s="28"/>
      <c r="NY1410" s="28"/>
      <c r="NZ1410" s="28"/>
      <c r="OA1410" s="28"/>
      <c r="OB1410" s="28"/>
      <c r="OC1410" s="28"/>
      <c r="OD1410" s="28"/>
      <c r="OE1410" s="28"/>
      <c r="OF1410" s="28"/>
      <c r="OG1410" s="28"/>
      <c r="OH1410" s="28"/>
      <c r="OI1410" s="28"/>
      <c r="OJ1410" s="28"/>
      <c r="OK1410" s="28"/>
      <c r="OL1410" s="28"/>
      <c r="OM1410" s="28"/>
      <c r="ON1410" s="28"/>
      <c r="OO1410" s="28"/>
      <c r="OP1410" s="28"/>
      <c r="OQ1410" s="28"/>
      <c r="OR1410" s="28"/>
      <c r="OS1410" s="28"/>
      <c r="OT1410" s="28"/>
      <c r="OU1410" s="28"/>
      <c r="OV1410" s="28"/>
      <c r="OW1410" s="28"/>
      <c r="OX1410" s="28"/>
      <c r="OY1410" s="28"/>
      <c r="OZ1410" s="28"/>
      <c r="PA1410" s="28"/>
      <c r="PB1410" s="28"/>
      <c r="PC1410" s="28"/>
      <c r="PD1410" s="28"/>
      <c r="PE1410" s="28"/>
      <c r="PF1410" s="28"/>
      <c r="PG1410" s="28"/>
      <c r="PH1410" s="28"/>
      <c r="PI1410" s="28"/>
      <c r="PJ1410" s="28"/>
      <c r="PK1410" s="28"/>
      <c r="PL1410" s="28"/>
      <c r="PM1410" s="28"/>
      <c r="PN1410" s="28"/>
      <c r="PO1410" s="28"/>
      <c r="PP1410" s="28"/>
      <c r="PQ1410" s="28"/>
      <c r="PR1410" s="28"/>
      <c r="PS1410" s="28"/>
      <c r="PT1410" s="28"/>
      <c r="PU1410" s="28"/>
      <c r="PV1410" s="28"/>
      <c r="PW1410" s="28"/>
      <c r="PX1410" s="28"/>
      <c r="PY1410" s="28"/>
      <c r="PZ1410" s="28"/>
      <c r="QA1410" s="28"/>
      <c r="QB1410" s="28"/>
      <c r="QC1410" s="28"/>
      <c r="QD1410" s="28"/>
      <c r="QE1410" s="28"/>
      <c r="QF1410" s="28"/>
      <c r="QG1410" s="28"/>
      <c r="QH1410" s="28"/>
      <c r="QI1410" s="28"/>
      <c r="QJ1410" s="28"/>
      <c r="QK1410" s="28"/>
      <c r="QL1410" s="28"/>
      <c r="QM1410" s="28"/>
      <c r="QN1410" s="28"/>
      <c r="QO1410" s="28"/>
      <c r="QP1410" s="28"/>
      <c r="QQ1410" s="28"/>
      <c r="QR1410" s="28"/>
      <c r="QS1410" s="28"/>
      <c r="QT1410" s="28"/>
      <c r="QU1410" s="28"/>
      <c r="QV1410" s="28"/>
      <c r="QW1410" s="28"/>
      <c r="QX1410" s="28"/>
      <c r="QY1410" s="28"/>
      <c r="QZ1410" s="28"/>
      <c r="RA1410" s="28"/>
      <c r="RB1410" s="28"/>
      <c r="RC1410" s="28"/>
      <c r="RD1410" s="28"/>
      <c r="RE1410" s="28"/>
      <c r="RF1410" s="28"/>
      <c r="RG1410" s="28"/>
      <c r="RH1410" s="28"/>
      <c r="RI1410" s="28"/>
      <c r="RJ1410" s="28"/>
      <c r="RK1410" s="28"/>
      <c r="RL1410" s="28"/>
      <c r="RM1410" s="28"/>
      <c r="RN1410" s="28"/>
      <c r="RO1410" s="28"/>
      <c r="RP1410" s="28"/>
      <c r="RQ1410" s="28"/>
      <c r="RR1410" s="28"/>
      <c r="RS1410" s="28"/>
      <c r="RT1410" s="28"/>
      <c r="RU1410" s="28"/>
      <c r="RV1410" s="28"/>
      <c r="RW1410" s="28"/>
      <c r="RX1410" s="28"/>
      <c r="RY1410" s="28"/>
      <c r="RZ1410" s="28"/>
      <c r="SA1410" s="28"/>
      <c r="SB1410" s="28"/>
      <c r="SC1410" s="28"/>
      <c r="SD1410" s="28"/>
      <c r="SE1410" s="28"/>
      <c r="SF1410" s="28"/>
      <c r="SG1410" s="28"/>
      <c r="SH1410" s="28"/>
      <c r="SI1410" s="28"/>
      <c r="SJ1410" s="28"/>
      <c r="SK1410" s="28"/>
      <c r="SL1410" s="28"/>
      <c r="SM1410" s="28"/>
      <c r="SN1410" s="28"/>
      <c r="SO1410" s="28"/>
      <c r="SP1410" s="28"/>
      <c r="SQ1410" s="28"/>
      <c r="SR1410" s="28"/>
      <c r="SS1410" s="28"/>
      <c r="ST1410" s="28"/>
      <c r="SU1410" s="28"/>
      <c r="SV1410" s="28"/>
      <c r="SW1410" s="28"/>
      <c r="SX1410" s="28"/>
      <c r="SY1410" s="28"/>
      <c r="SZ1410" s="28"/>
      <c r="TA1410" s="28"/>
      <c r="TB1410" s="28"/>
      <c r="TC1410" s="28"/>
      <c r="TD1410" s="28"/>
      <c r="TE1410" s="28"/>
      <c r="TF1410" s="28"/>
      <c r="TG1410" s="28"/>
      <c r="TH1410" s="28"/>
      <c r="TI1410" s="28"/>
      <c r="TJ1410" s="28"/>
      <c r="TK1410" s="28"/>
      <c r="TL1410" s="28"/>
      <c r="TM1410" s="28"/>
      <c r="TN1410" s="28"/>
      <c r="TO1410" s="28"/>
      <c r="TP1410" s="28"/>
      <c r="TQ1410" s="28"/>
      <c r="TR1410" s="28"/>
      <c r="TS1410" s="28"/>
      <c r="TT1410" s="28"/>
      <c r="TU1410" s="28"/>
      <c r="TV1410" s="28"/>
      <c r="TW1410" s="28"/>
      <c r="TX1410" s="28"/>
      <c r="TY1410" s="28"/>
      <c r="TZ1410" s="28"/>
      <c r="UA1410" s="28"/>
      <c r="UB1410" s="28"/>
      <c r="UC1410" s="28"/>
      <c r="UD1410" s="28"/>
      <c r="UE1410" s="28"/>
      <c r="UF1410" s="28"/>
      <c r="UG1410" s="29"/>
    </row>
    <row r="1411" spans="1:553" ht="45.75" customHeight="1">
      <c r="A1411" s="356" t="s">
        <v>15</v>
      </c>
      <c r="B1411" s="385"/>
      <c r="C1411" s="384" t="str">
        <f t="shared" ref="C1411:C1420" si="215">C1386</f>
        <v>Đất trồng cây hàng năm khác (HNK)</v>
      </c>
      <c r="D1411" s="418">
        <v>2</v>
      </c>
      <c r="E1411" s="376">
        <f t="shared" ref="E1411:E1420" si="216">E1386</f>
        <v>472</v>
      </c>
      <c r="F1411" s="385"/>
      <c r="G1411" s="386" t="s">
        <v>935</v>
      </c>
      <c r="H1411" s="370"/>
      <c r="I1411" s="370">
        <f>833.3-96.3</f>
        <v>737</v>
      </c>
      <c r="J1411" s="368">
        <v>53000</v>
      </c>
      <c r="K1411" s="371">
        <v>1</v>
      </c>
      <c r="L1411" s="480">
        <f t="shared" ref="L1411:L1420" si="217">I1411*J1411*K1411</f>
        <v>39061000</v>
      </c>
      <c r="M1411" s="366"/>
      <c r="N1411" s="366"/>
      <c r="O1411" s="366"/>
      <c r="P1411" s="366"/>
      <c r="Q1411" s="812"/>
      <c r="R1411" s="1632" t="s">
        <v>60</v>
      </c>
      <c r="S1411" s="308"/>
      <c r="T1411" s="308"/>
      <c r="U1411" s="308"/>
      <c r="V1411" s="308"/>
      <c r="W1411" s="308"/>
      <c r="X1411" s="308"/>
      <c r="Y1411" s="308"/>
      <c r="Z1411" s="604"/>
      <c r="AA1411" s="308"/>
      <c r="AB1411" s="308"/>
      <c r="AC1411" s="486"/>
      <c r="AD1411" s="486"/>
      <c r="AE1411" s="486"/>
      <c r="AF1411" s="486"/>
      <c r="AG1411" s="486"/>
      <c r="AH1411" s="486"/>
      <c r="AI1411" s="486"/>
      <c r="AJ1411" s="486"/>
      <c r="AK1411" s="486"/>
      <c r="AL1411" s="206"/>
      <c r="AM1411" s="28"/>
      <c r="AN1411" s="28"/>
      <c r="AO1411" s="28"/>
      <c r="AP1411" s="28"/>
      <c r="AQ1411" s="28"/>
      <c r="AR1411" s="28"/>
      <c r="AS1411" s="28"/>
      <c r="AT1411" s="28"/>
      <c r="AU1411" s="28"/>
      <c r="AV1411" s="28"/>
      <c r="AW1411" s="28"/>
      <c r="AX1411" s="28"/>
      <c r="AY1411" s="28"/>
      <c r="AZ1411" s="28"/>
      <c r="BA1411" s="28"/>
      <c r="BB1411" s="28"/>
      <c r="BC1411" s="28"/>
      <c r="BD1411" s="28"/>
      <c r="BE1411" s="28"/>
      <c r="BF1411" s="28"/>
      <c r="BG1411" s="28"/>
      <c r="BH1411" s="28"/>
      <c r="BI1411" s="28"/>
      <c r="BJ1411" s="28"/>
      <c r="BK1411" s="28"/>
      <c r="BL1411" s="28"/>
      <c r="BM1411" s="28"/>
      <c r="BN1411" s="28"/>
      <c r="BO1411" s="28"/>
      <c r="BP1411" s="28"/>
      <c r="BQ1411" s="28"/>
      <c r="BR1411" s="28"/>
      <c r="BS1411" s="28"/>
      <c r="BT1411" s="28"/>
      <c r="BU1411" s="28"/>
      <c r="BV1411" s="28"/>
      <c r="BW1411" s="28"/>
      <c r="BX1411" s="28"/>
      <c r="BY1411" s="28"/>
      <c r="BZ1411" s="28"/>
      <c r="CA1411" s="28"/>
      <c r="CB1411" s="28"/>
      <c r="CC1411" s="28"/>
      <c r="CD1411" s="28"/>
      <c r="CE1411" s="28"/>
      <c r="CF1411" s="28"/>
      <c r="CG1411" s="28"/>
      <c r="CH1411" s="28"/>
      <c r="CI1411" s="28"/>
      <c r="CJ1411" s="28"/>
      <c r="CK1411" s="28"/>
      <c r="CL1411" s="28"/>
      <c r="CM1411" s="28"/>
      <c r="CN1411" s="28"/>
      <c r="CO1411" s="28"/>
      <c r="CP1411" s="28"/>
      <c r="CQ1411" s="28"/>
      <c r="CR1411" s="28"/>
      <c r="CS1411" s="28"/>
      <c r="CT1411" s="28"/>
      <c r="CU1411" s="28"/>
      <c r="CV1411" s="28"/>
      <c r="CW1411" s="28"/>
      <c r="CX1411" s="28"/>
      <c r="CY1411" s="28"/>
      <c r="CZ1411" s="28"/>
      <c r="DA1411" s="28"/>
      <c r="DB1411" s="28"/>
      <c r="DC1411" s="28"/>
      <c r="DD1411" s="28"/>
      <c r="DE1411" s="28"/>
      <c r="DF1411" s="28"/>
      <c r="DG1411" s="28"/>
      <c r="DH1411" s="28"/>
      <c r="DI1411" s="28"/>
      <c r="DJ1411" s="28"/>
      <c r="DK1411" s="28"/>
      <c r="DL1411" s="28"/>
      <c r="DM1411" s="28"/>
      <c r="DN1411" s="28"/>
      <c r="DO1411" s="28"/>
      <c r="DP1411" s="28"/>
      <c r="DQ1411" s="28"/>
      <c r="DR1411" s="28"/>
      <c r="DS1411" s="28"/>
      <c r="DT1411" s="28"/>
      <c r="DU1411" s="28"/>
      <c r="DV1411" s="28"/>
      <c r="DW1411" s="28"/>
      <c r="DX1411" s="28"/>
      <c r="DY1411" s="28"/>
      <c r="DZ1411" s="28"/>
      <c r="EA1411" s="28"/>
      <c r="EB1411" s="28"/>
      <c r="EC1411" s="28"/>
      <c r="ED1411" s="28"/>
      <c r="EE1411" s="28"/>
      <c r="EF1411" s="28"/>
      <c r="EG1411" s="28"/>
      <c r="EH1411" s="28"/>
      <c r="EI1411" s="28"/>
      <c r="EJ1411" s="28"/>
      <c r="EK1411" s="28"/>
      <c r="EL1411" s="28"/>
      <c r="EM1411" s="28"/>
      <c r="EN1411" s="28"/>
      <c r="EO1411" s="28"/>
      <c r="EP1411" s="28"/>
      <c r="EQ1411" s="28"/>
      <c r="ER1411" s="28"/>
      <c r="ES1411" s="28"/>
      <c r="ET1411" s="28"/>
      <c r="EU1411" s="28"/>
      <c r="EV1411" s="28"/>
      <c r="EW1411" s="28"/>
      <c r="EX1411" s="28"/>
      <c r="EY1411" s="28"/>
      <c r="EZ1411" s="28"/>
      <c r="FA1411" s="28"/>
      <c r="FB1411" s="28"/>
      <c r="FC1411" s="28"/>
      <c r="FD1411" s="28"/>
      <c r="FE1411" s="28"/>
      <c r="FF1411" s="28"/>
      <c r="FG1411" s="28"/>
      <c r="FH1411" s="28"/>
      <c r="FI1411" s="28"/>
      <c r="FJ1411" s="28"/>
      <c r="FK1411" s="28"/>
      <c r="FL1411" s="28"/>
      <c r="FM1411" s="28"/>
      <c r="FN1411" s="28"/>
      <c r="FO1411" s="28"/>
      <c r="FP1411" s="28"/>
      <c r="FQ1411" s="28"/>
      <c r="FR1411" s="28"/>
      <c r="FS1411" s="28"/>
      <c r="FT1411" s="28"/>
      <c r="FU1411" s="28"/>
      <c r="FV1411" s="28"/>
      <c r="FW1411" s="28"/>
      <c r="FX1411" s="28"/>
      <c r="FY1411" s="28"/>
      <c r="FZ1411" s="28"/>
      <c r="GA1411" s="28"/>
      <c r="GB1411" s="28"/>
      <c r="GC1411" s="28"/>
      <c r="GD1411" s="28"/>
      <c r="GE1411" s="28"/>
      <c r="GF1411" s="28"/>
      <c r="GG1411" s="28"/>
      <c r="GH1411" s="28"/>
      <c r="GI1411" s="28"/>
      <c r="GJ1411" s="28"/>
      <c r="GK1411" s="28"/>
      <c r="GL1411" s="28"/>
      <c r="GM1411" s="28"/>
      <c r="GN1411" s="28"/>
      <c r="GO1411" s="28"/>
      <c r="GP1411" s="28"/>
      <c r="GQ1411" s="28"/>
      <c r="GR1411" s="28"/>
      <c r="GS1411" s="28"/>
      <c r="GT1411" s="28"/>
      <c r="GU1411" s="28"/>
      <c r="GV1411" s="28"/>
      <c r="GW1411" s="28"/>
      <c r="GX1411" s="28"/>
      <c r="GY1411" s="28"/>
      <c r="GZ1411" s="28"/>
      <c r="HA1411" s="28"/>
      <c r="HB1411" s="28"/>
      <c r="HC1411" s="28"/>
      <c r="HD1411" s="28"/>
      <c r="HE1411" s="28"/>
      <c r="HF1411" s="28"/>
      <c r="HG1411" s="28"/>
      <c r="HH1411" s="28"/>
      <c r="HI1411" s="28"/>
      <c r="HJ1411" s="28"/>
      <c r="HK1411" s="28"/>
      <c r="HL1411" s="28"/>
      <c r="HM1411" s="28"/>
      <c r="HN1411" s="28"/>
      <c r="HO1411" s="28"/>
      <c r="HP1411" s="28"/>
      <c r="HQ1411" s="28"/>
      <c r="HR1411" s="28"/>
      <c r="HS1411" s="28"/>
      <c r="HT1411" s="28"/>
      <c r="HU1411" s="28"/>
      <c r="HV1411" s="28"/>
      <c r="HW1411" s="28"/>
      <c r="HX1411" s="28"/>
      <c r="HY1411" s="28"/>
      <c r="HZ1411" s="28"/>
      <c r="IA1411" s="28"/>
      <c r="IB1411" s="28"/>
      <c r="IC1411" s="28"/>
      <c r="ID1411" s="28"/>
      <c r="IE1411" s="28"/>
      <c r="IF1411" s="28"/>
      <c r="IG1411" s="28"/>
      <c r="IH1411" s="28"/>
      <c r="II1411" s="28"/>
      <c r="IJ1411" s="28"/>
      <c r="IK1411" s="28"/>
      <c r="IL1411" s="28"/>
      <c r="IM1411" s="28"/>
      <c r="IN1411" s="28"/>
      <c r="IO1411" s="28"/>
      <c r="IP1411" s="28"/>
      <c r="IQ1411" s="28"/>
      <c r="IR1411" s="28"/>
      <c r="IS1411" s="28"/>
      <c r="IT1411" s="28"/>
      <c r="IU1411" s="28"/>
      <c r="IV1411" s="28"/>
      <c r="IW1411" s="28"/>
      <c r="IX1411" s="28"/>
      <c r="IY1411" s="28"/>
      <c r="IZ1411" s="28"/>
      <c r="JA1411" s="28"/>
      <c r="JB1411" s="28"/>
      <c r="JC1411" s="28"/>
      <c r="JD1411" s="28"/>
      <c r="JE1411" s="28"/>
      <c r="JF1411" s="28"/>
      <c r="JG1411" s="28"/>
      <c r="JH1411" s="28"/>
      <c r="JI1411" s="28"/>
      <c r="JJ1411" s="28"/>
      <c r="JK1411" s="28"/>
      <c r="JL1411" s="28"/>
      <c r="JM1411" s="28"/>
      <c r="JN1411" s="28"/>
      <c r="JO1411" s="28"/>
      <c r="JP1411" s="28"/>
      <c r="JQ1411" s="28"/>
      <c r="JR1411" s="28"/>
      <c r="JS1411" s="28"/>
      <c r="JT1411" s="28"/>
      <c r="JU1411" s="28"/>
      <c r="JV1411" s="28"/>
      <c r="JW1411" s="28"/>
      <c r="JX1411" s="28"/>
      <c r="JY1411" s="28"/>
      <c r="JZ1411" s="28"/>
      <c r="KA1411" s="28"/>
      <c r="KB1411" s="28"/>
      <c r="KC1411" s="28"/>
      <c r="KD1411" s="28"/>
      <c r="KE1411" s="28"/>
      <c r="KF1411" s="28"/>
      <c r="KG1411" s="28"/>
      <c r="KH1411" s="28"/>
      <c r="KI1411" s="28"/>
      <c r="KJ1411" s="28"/>
      <c r="KK1411" s="28"/>
      <c r="KL1411" s="28"/>
      <c r="KM1411" s="28"/>
      <c r="KN1411" s="28"/>
      <c r="KO1411" s="28"/>
      <c r="KP1411" s="28"/>
      <c r="KQ1411" s="28"/>
      <c r="KR1411" s="28"/>
      <c r="KS1411" s="28"/>
      <c r="KT1411" s="28"/>
      <c r="KU1411" s="28"/>
      <c r="KV1411" s="28"/>
      <c r="KW1411" s="28"/>
      <c r="KX1411" s="28"/>
      <c r="KY1411" s="28"/>
      <c r="KZ1411" s="28"/>
      <c r="LA1411" s="28"/>
      <c r="LB1411" s="28"/>
      <c r="LC1411" s="28"/>
      <c r="LD1411" s="28"/>
      <c r="LE1411" s="28"/>
      <c r="LF1411" s="28"/>
      <c r="LG1411" s="28"/>
      <c r="LH1411" s="28"/>
      <c r="LI1411" s="28"/>
      <c r="LJ1411" s="28"/>
      <c r="LK1411" s="28"/>
      <c r="LL1411" s="28"/>
      <c r="LM1411" s="28"/>
      <c r="LN1411" s="28"/>
      <c r="LO1411" s="28"/>
      <c r="LP1411" s="28"/>
      <c r="LQ1411" s="28"/>
      <c r="LR1411" s="28"/>
      <c r="LS1411" s="28"/>
      <c r="LT1411" s="28"/>
      <c r="LU1411" s="28"/>
      <c r="LV1411" s="28"/>
      <c r="LW1411" s="28"/>
      <c r="LX1411" s="28"/>
      <c r="LY1411" s="28"/>
      <c r="LZ1411" s="28"/>
      <c r="MA1411" s="28"/>
      <c r="MB1411" s="28"/>
      <c r="MC1411" s="28"/>
      <c r="MD1411" s="28"/>
      <c r="ME1411" s="28"/>
      <c r="MF1411" s="28"/>
      <c r="MG1411" s="28"/>
      <c r="MH1411" s="28"/>
      <c r="MI1411" s="28"/>
      <c r="MJ1411" s="28"/>
      <c r="MK1411" s="28"/>
      <c r="ML1411" s="28"/>
      <c r="MM1411" s="28"/>
      <c r="MN1411" s="28"/>
      <c r="MO1411" s="28"/>
      <c r="MP1411" s="28"/>
      <c r="MQ1411" s="28"/>
      <c r="MR1411" s="28"/>
      <c r="MS1411" s="28"/>
      <c r="MT1411" s="28"/>
      <c r="MU1411" s="28"/>
      <c r="MV1411" s="28"/>
      <c r="MW1411" s="28"/>
      <c r="MX1411" s="28"/>
      <c r="MY1411" s="28"/>
      <c r="MZ1411" s="28"/>
      <c r="NA1411" s="28"/>
      <c r="NB1411" s="28"/>
      <c r="NC1411" s="28"/>
      <c r="ND1411" s="28"/>
      <c r="NE1411" s="28"/>
      <c r="NF1411" s="28"/>
      <c r="NG1411" s="28"/>
      <c r="NH1411" s="28"/>
      <c r="NI1411" s="28"/>
      <c r="NJ1411" s="28"/>
      <c r="NK1411" s="28"/>
      <c r="NL1411" s="28"/>
      <c r="NM1411" s="28"/>
      <c r="NN1411" s="28"/>
      <c r="NO1411" s="28"/>
      <c r="NP1411" s="28"/>
      <c r="NQ1411" s="28"/>
      <c r="NR1411" s="28"/>
      <c r="NS1411" s="28"/>
      <c r="NT1411" s="28"/>
      <c r="NU1411" s="28"/>
      <c r="NV1411" s="28"/>
      <c r="NW1411" s="28"/>
      <c r="NX1411" s="28"/>
      <c r="NY1411" s="28"/>
      <c r="NZ1411" s="28"/>
      <c r="OA1411" s="28"/>
      <c r="OB1411" s="28"/>
      <c r="OC1411" s="28"/>
      <c r="OD1411" s="28"/>
      <c r="OE1411" s="28"/>
      <c r="OF1411" s="28"/>
      <c r="OG1411" s="28"/>
      <c r="OH1411" s="28"/>
      <c r="OI1411" s="28"/>
      <c r="OJ1411" s="28"/>
      <c r="OK1411" s="28"/>
      <c r="OL1411" s="28"/>
      <c r="OM1411" s="28"/>
      <c r="ON1411" s="28"/>
      <c r="OO1411" s="28"/>
      <c r="OP1411" s="28"/>
      <c r="OQ1411" s="28"/>
      <c r="OR1411" s="28"/>
      <c r="OS1411" s="28"/>
      <c r="OT1411" s="28"/>
      <c r="OU1411" s="28"/>
      <c r="OV1411" s="28"/>
      <c r="OW1411" s="28"/>
      <c r="OX1411" s="28"/>
      <c r="OY1411" s="28"/>
      <c r="OZ1411" s="28"/>
      <c r="PA1411" s="28"/>
      <c r="PB1411" s="28"/>
      <c r="PC1411" s="28"/>
      <c r="PD1411" s="28"/>
      <c r="PE1411" s="28"/>
      <c r="PF1411" s="28"/>
      <c r="PG1411" s="28"/>
      <c r="PH1411" s="28"/>
      <c r="PI1411" s="28"/>
      <c r="PJ1411" s="28"/>
      <c r="PK1411" s="28"/>
      <c r="PL1411" s="28"/>
      <c r="PM1411" s="28"/>
      <c r="PN1411" s="28"/>
      <c r="PO1411" s="28"/>
      <c r="PP1411" s="28"/>
      <c r="PQ1411" s="28"/>
      <c r="PR1411" s="28"/>
      <c r="PS1411" s="28"/>
      <c r="PT1411" s="28"/>
      <c r="PU1411" s="28"/>
      <c r="PV1411" s="28"/>
      <c r="PW1411" s="28"/>
      <c r="PX1411" s="28"/>
      <c r="PY1411" s="28"/>
      <c r="PZ1411" s="28"/>
      <c r="QA1411" s="28"/>
      <c r="QB1411" s="28"/>
      <c r="QC1411" s="28"/>
      <c r="QD1411" s="28"/>
      <c r="QE1411" s="28"/>
      <c r="QF1411" s="28"/>
      <c r="QG1411" s="28"/>
      <c r="QH1411" s="28"/>
      <c r="QI1411" s="28"/>
      <c r="QJ1411" s="28"/>
      <c r="QK1411" s="28"/>
      <c r="QL1411" s="28"/>
      <c r="QM1411" s="28"/>
      <c r="QN1411" s="28"/>
      <c r="QO1411" s="28"/>
      <c r="QP1411" s="28"/>
      <c r="QQ1411" s="28"/>
      <c r="QR1411" s="28"/>
      <c r="QS1411" s="28"/>
      <c r="QT1411" s="28"/>
      <c r="QU1411" s="28"/>
      <c r="QV1411" s="28"/>
      <c r="QW1411" s="28"/>
      <c r="QX1411" s="28"/>
      <c r="QY1411" s="28"/>
      <c r="QZ1411" s="28"/>
      <c r="RA1411" s="28"/>
      <c r="RB1411" s="28"/>
      <c r="RC1411" s="28"/>
      <c r="RD1411" s="28"/>
      <c r="RE1411" s="28"/>
      <c r="RF1411" s="28"/>
      <c r="RG1411" s="28"/>
      <c r="RH1411" s="28"/>
      <c r="RI1411" s="28"/>
      <c r="RJ1411" s="28"/>
      <c r="RK1411" s="28"/>
      <c r="RL1411" s="28"/>
      <c r="RM1411" s="28"/>
      <c r="RN1411" s="28"/>
      <c r="RO1411" s="28"/>
      <c r="RP1411" s="28"/>
      <c r="RQ1411" s="28"/>
      <c r="RR1411" s="28"/>
      <c r="RS1411" s="28"/>
      <c r="RT1411" s="28"/>
      <c r="RU1411" s="28"/>
      <c r="RV1411" s="28"/>
      <c r="RW1411" s="28"/>
      <c r="RX1411" s="28"/>
      <c r="RY1411" s="28"/>
      <c r="RZ1411" s="28"/>
      <c r="SA1411" s="28"/>
      <c r="SB1411" s="28"/>
      <c r="SC1411" s="28"/>
      <c r="SD1411" s="28"/>
      <c r="SE1411" s="28"/>
      <c r="SF1411" s="28"/>
      <c r="SG1411" s="28"/>
      <c r="SH1411" s="28"/>
      <c r="SI1411" s="28"/>
      <c r="SJ1411" s="28"/>
      <c r="SK1411" s="28"/>
      <c r="SL1411" s="28"/>
      <c r="SM1411" s="28"/>
      <c r="SN1411" s="28"/>
      <c r="SO1411" s="28"/>
      <c r="SP1411" s="28"/>
      <c r="SQ1411" s="28"/>
      <c r="SR1411" s="28"/>
      <c r="SS1411" s="28"/>
      <c r="ST1411" s="28"/>
      <c r="SU1411" s="28"/>
      <c r="SV1411" s="28"/>
      <c r="SW1411" s="28"/>
      <c r="SX1411" s="28"/>
      <c r="SY1411" s="28"/>
      <c r="SZ1411" s="28"/>
      <c r="TA1411" s="28"/>
      <c r="TB1411" s="28"/>
      <c r="TC1411" s="28"/>
      <c r="TD1411" s="28"/>
      <c r="TE1411" s="28"/>
      <c r="TF1411" s="28"/>
      <c r="TG1411" s="28"/>
      <c r="TH1411" s="28"/>
      <c r="TI1411" s="28"/>
      <c r="TJ1411" s="28"/>
      <c r="TK1411" s="28"/>
      <c r="TL1411" s="28"/>
      <c r="TM1411" s="28"/>
      <c r="TN1411" s="28"/>
      <c r="TO1411" s="28"/>
      <c r="TP1411" s="28"/>
      <c r="TQ1411" s="28"/>
      <c r="TR1411" s="28"/>
      <c r="TS1411" s="28"/>
      <c r="TT1411" s="28"/>
      <c r="TU1411" s="28"/>
      <c r="TV1411" s="28"/>
      <c r="TW1411" s="28"/>
      <c r="TX1411" s="28"/>
      <c r="TY1411" s="28"/>
      <c r="TZ1411" s="28"/>
      <c r="UA1411" s="28"/>
      <c r="UB1411" s="28"/>
      <c r="UC1411" s="28"/>
      <c r="UD1411" s="28"/>
      <c r="UE1411" s="28"/>
      <c r="UF1411" s="28"/>
      <c r="UG1411" s="29"/>
    </row>
    <row r="1412" spans="1:553" ht="45.75" customHeight="1">
      <c r="A1412" s="356" t="s">
        <v>15</v>
      </c>
      <c r="B1412" s="385"/>
      <c r="C1412" s="384" t="str">
        <f t="shared" si="215"/>
        <v>Đất chuyên trồng lúa nước (LUC)</v>
      </c>
      <c r="D1412" s="418">
        <v>2</v>
      </c>
      <c r="E1412" s="376" t="str">
        <f t="shared" si="216"/>
        <v>182</v>
      </c>
      <c r="F1412" s="385"/>
      <c r="G1412" s="386" t="s">
        <v>935</v>
      </c>
      <c r="H1412" s="370"/>
      <c r="I1412" s="370">
        <f t="shared" ref="I1412:I1420" si="218">I1387</f>
        <v>119.7</v>
      </c>
      <c r="J1412" s="368">
        <v>72000</v>
      </c>
      <c r="K1412" s="371">
        <v>3</v>
      </c>
      <c r="L1412" s="480">
        <f t="shared" si="217"/>
        <v>25855200</v>
      </c>
      <c r="M1412" s="366"/>
      <c r="N1412" s="366"/>
      <c r="O1412" s="366"/>
      <c r="P1412" s="366"/>
      <c r="Q1412" s="812"/>
      <c r="R1412" s="1632"/>
      <c r="S1412" s="308"/>
      <c r="T1412" s="308"/>
      <c r="U1412" s="308"/>
      <c r="V1412" s="308"/>
      <c r="W1412" s="308"/>
      <c r="X1412" s="308"/>
      <c r="Y1412" s="308"/>
      <c r="Z1412" s="604"/>
      <c r="AA1412" s="308"/>
      <c r="AB1412" s="308"/>
      <c r="AC1412" s="486"/>
      <c r="AD1412" s="486"/>
      <c r="AE1412" s="486"/>
      <c r="AF1412" s="486"/>
      <c r="AG1412" s="486"/>
      <c r="AH1412" s="486"/>
      <c r="AI1412" s="486"/>
      <c r="AJ1412" s="486"/>
      <c r="AK1412" s="486"/>
      <c r="AL1412" s="206"/>
      <c r="AM1412" s="29"/>
      <c r="AN1412" s="29"/>
      <c r="AO1412" s="29"/>
      <c r="AP1412" s="29"/>
      <c r="AQ1412" s="29"/>
      <c r="AR1412" s="29"/>
      <c r="AS1412" s="29"/>
      <c r="AT1412" s="29"/>
      <c r="AU1412" s="29"/>
      <c r="AV1412" s="29"/>
      <c r="AW1412" s="29"/>
      <c r="AX1412" s="29"/>
      <c r="AY1412" s="29"/>
      <c r="AZ1412" s="29"/>
      <c r="BA1412" s="29"/>
      <c r="BB1412" s="29"/>
      <c r="BC1412" s="29"/>
      <c r="BD1412" s="29"/>
      <c r="BE1412" s="29"/>
      <c r="BF1412" s="29"/>
      <c r="BG1412" s="29"/>
      <c r="BH1412" s="29"/>
      <c r="BI1412" s="29"/>
      <c r="BJ1412" s="29"/>
      <c r="BK1412" s="29"/>
      <c r="BL1412" s="29"/>
      <c r="BM1412" s="29"/>
      <c r="BN1412" s="29"/>
      <c r="BO1412" s="29"/>
      <c r="BP1412" s="29"/>
      <c r="BQ1412" s="29"/>
      <c r="BR1412" s="29"/>
      <c r="BS1412" s="29"/>
      <c r="BT1412" s="29"/>
      <c r="BU1412" s="29"/>
      <c r="BV1412" s="29"/>
      <c r="BW1412" s="29"/>
      <c r="BX1412" s="29"/>
      <c r="BY1412" s="29"/>
      <c r="BZ1412" s="29"/>
      <c r="CA1412" s="29"/>
      <c r="CB1412" s="29"/>
      <c r="CC1412" s="29"/>
      <c r="CD1412" s="29"/>
      <c r="CE1412" s="29"/>
      <c r="CF1412" s="29"/>
      <c r="CG1412" s="29"/>
      <c r="CH1412" s="29"/>
      <c r="CI1412" s="29"/>
      <c r="CJ1412" s="29"/>
      <c r="CK1412" s="29"/>
      <c r="CL1412" s="29"/>
      <c r="CM1412" s="29"/>
      <c r="CN1412" s="29"/>
      <c r="CO1412" s="29"/>
      <c r="CP1412" s="29"/>
      <c r="CQ1412" s="29"/>
      <c r="CR1412" s="29"/>
      <c r="CS1412" s="29"/>
      <c r="CT1412" s="29"/>
      <c r="CU1412" s="29"/>
      <c r="CV1412" s="29"/>
      <c r="CW1412" s="29"/>
      <c r="CX1412" s="29"/>
      <c r="CY1412" s="29"/>
      <c r="CZ1412" s="29"/>
      <c r="DA1412" s="29"/>
      <c r="DB1412" s="29"/>
      <c r="DC1412" s="29"/>
      <c r="DD1412" s="29"/>
      <c r="DE1412" s="29"/>
      <c r="DF1412" s="29"/>
      <c r="DG1412" s="29"/>
      <c r="DH1412" s="29"/>
      <c r="DI1412" s="29"/>
      <c r="DJ1412" s="29"/>
      <c r="DK1412" s="29"/>
      <c r="DL1412" s="29"/>
      <c r="DM1412" s="29"/>
      <c r="DN1412" s="29"/>
      <c r="DO1412" s="29"/>
      <c r="DP1412" s="29"/>
      <c r="DQ1412" s="29"/>
      <c r="DR1412" s="29"/>
      <c r="DS1412" s="29"/>
      <c r="DT1412" s="29"/>
      <c r="DU1412" s="29"/>
      <c r="DV1412" s="29"/>
      <c r="DW1412" s="29"/>
      <c r="DX1412" s="29"/>
      <c r="DY1412" s="29"/>
      <c r="DZ1412" s="29"/>
      <c r="EA1412" s="29"/>
      <c r="EB1412" s="29"/>
      <c r="EC1412" s="29"/>
      <c r="ED1412" s="29"/>
      <c r="EE1412" s="29"/>
      <c r="EF1412" s="29"/>
      <c r="EG1412" s="29"/>
      <c r="EH1412" s="29"/>
      <c r="EI1412" s="29"/>
      <c r="EJ1412" s="29"/>
      <c r="EK1412" s="29"/>
      <c r="EL1412" s="29"/>
      <c r="EM1412" s="29"/>
      <c r="EN1412" s="29"/>
      <c r="EO1412" s="29"/>
      <c r="EP1412" s="29"/>
      <c r="EQ1412" s="29"/>
      <c r="ER1412" s="29"/>
      <c r="ES1412" s="29"/>
      <c r="ET1412" s="29"/>
      <c r="EU1412" s="29"/>
      <c r="EV1412" s="29"/>
      <c r="EW1412" s="29"/>
      <c r="EX1412" s="29"/>
      <c r="EY1412" s="29"/>
      <c r="EZ1412" s="29"/>
      <c r="FA1412" s="29"/>
      <c r="FB1412" s="29"/>
      <c r="FC1412" s="29"/>
      <c r="FD1412" s="29"/>
      <c r="FE1412" s="29"/>
      <c r="FF1412" s="29"/>
      <c r="FG1412" s="29"/>
      <c r="FH1412" s="29"/>
      <c r="FI1412" s="29"/>
      <c r="FJ1412" s="29"/>
      <c r="FK1412" s="29"/>
      <c r="FL1412" s="29"/>
      <c r="FM1412" s="29"/>
      <c r="FN1412" s="29"/>
      <c r="FO1412" s="29"/>
      <c r="FP1412" s="29"/>
      <c r="FQ1412" s="29"/>
      <c r="FR1412" s="29"/>
      <c r="FS1412" s="29"/>
      <c r="FT1412" s="29"/>
      <c r="FU1412" s="29"/>
      <c r="FV1412" s="29"/>
      <c r="FW1412" s="29"/>
      <c r="FX1412" s="29"/>
      <c r="FY1412" s="29"/>
      <c r="FZ1412" s="29"/>
      <c r="GA1412" s="29"/>
      <c r="GB1412" s="29"/>
      <c r="GC1412" s="29"/>
      <c r="GD1412" s="29"/>
      <c r="GE1412" s="29"/>
      <c r="GF1412" s="29"/>
      <c r="GG1412" s="29"/>
      <c r="GH1412" s="29"/>
      <c r="GI1412" s="29"/>
      <c r="GJ1412" s="29"/>
      <c r="GK1412" s="29"/>
      <c r="GL1412" s="29"/>
      <c r="GM1412" s="29"/>
      <c r="GN1412" s="29"/>
      <c r="GO1412" s="29"/>
      <c r="GP1412" s="29"/>
      <c r="GQ1412" s="29"/>
      <c r="GR1412" s="29"/>
      <c r="GS1412" s="29"/>
      <c r="GT1412" s="29"/>
      <c r="GU1412" s="29"/>
      <c r="GV1412" s="29"/>
      <c r="GW1412" s="29"/>
      <c r="GX1412" s="29"/>
      <c r="GY1412" s="29"/>
      <c r="GZ1412" s="29"/>
      <c r="HA1412" s="29"/>
      <c r="HB1412" s="29"/>
      <c r="HC1412" s="29"/>
      <c r="HD1412" s="29"/>
      <c r="HE1412" s="29"/>
      <c r="HF1412" s="29"/>
      <c r="HG1412" s="29"/>
      <c r="HH1412" s="29"/>
      <c r="HI1412" s="29"/>
      <c r="HJ1412" s="29"/>
      <c r="HK1412" s="29"/>
      <c r="HL1412" s="29"/>
      <c r="HM1412" s="29"/>
      <c r="HN1412" s="29"/>
      <c r="HO1412" s="29"/>
      <c r="HP1412" s="29"/>
      <c r="HQ1412" s="29"/>
      <c r="HR1412" s="29"/>
      <c r="HS1412" s="29"/>
      <c r="HT1412" s="29"/>
      <c r="HU1412" s="29"/>
      <c r="HV1412" s="29"/>
      <c r="HW1412" s="29"/>
      <c r="HX1412" s="29"/>
      <c r="HY1412" s="29"/>
      <c r="HZ1412" s="29"/>
      <c r="IA1412" s="29"/>
      <c r="IB1412" s="29"/>
      <c r="IC1412" s="29"/>
      <c r="ID1412" s="29"/>
      <c r="IE1412" s="29"/>
      <c r="IF1412" s="29"/>
      <c r="IG1412" s="29"/>
      <c r="IH1412" s="29"/>
      <c r="II1412" s="29"/>
      <c r="IJ1412" s="29"/>
      <c r="IK1412" s="29"/>
      <c r="IL1412" s="29"/>
      <c r="IM1412" s="29"/>
      <c r="IN1412" s="29"/>
      <c r="IO1412" s="29"/>
      <c r="IP1412" s="29"/>
      <c r="IQ1412" s="29"/>
      <c r="IR1412" s="29"/>
      <c r="IS1412" s="29"/>
      <c r="IT1412" s="29"/>
      <c r="IU1412" s="29"/>
      <c r="IV1412" s="29"/>
      <c r="IW1412" s="29"/>
      <c r="IX1412" s="29"/>
      <c r="IY1412" s="29"/>
      <c r="IZ1412" s="29"/>
      <c r="JA1412" s="29"/>
      <c r="JB1412" s="29"/>
      <c r="JC1412" s="29"/>
      <c r="JD1412" s="29"/>
      <c r="JE1412" s="29"/>
      <c r="JF1412" s="29"/>
      <c r="JG1412" s="29"/>
      <c r="JH1412" s="29"/>
      <c r="JI1412" s="29"/>
      <c r="JJ1412" s="29"/>
      <c r="JK1412" s="29"/>
      <c r="JL1412" s="29"/>
      <c r="JM1412" s="29"/>
      <c r="JN1412" s="29"/>
      <c r="JO1412" s="29"/>
      <c r="JP1412" s="29"/>
      <c r="JQ1412" s="29"/>
      <c r="JR1412" s="29"/>
      <c r="JS1412" s="29"/>
      <c r="JT1412" s="29"/>
      <c r="JU1412" s="29"/>
      <c r="JV1412" s="29"/>
      <c r="JW1412" s="29"/>
      <c r="JX1412" s="29"/>
      <c r="JY1412" s="29"/>
      <c r="JZ1412" s="29"/>
      <c r="KA1412" s="29"/>
      <c r="KB1412" s="29"/>
      <c r="KC1412" s="29"/>
      <c r="KD1412" s="29"/>
      <c r="KE1412" s="29"/>
      <c r="KF1412" s="29"/>
      <c r="KG1412" s="29"/>
      <c r="KH1412" s="29"/>
      <c r="KI1412" s="29"/>
      <c r="KJ1412" s="29"/>
      <c r="KK1412" s="29"/>
      <c r="KL1412" s="29"/>
      <c r="KM1412" s="29"/>
      <c r="KN1412" s="29"/>
      <c r="KO1412" s="29"/>
      <c r="KP1412" s="29"/>
      <c r="KQ1412" s="29"/>
      <c r="KR1412" s="29"/>
      <c r="KS1412" s="29"/>
      <c r="KT1412" s="29"/>
      <c r="KU1412" s="29"/>
      <c r="KV1412" s="29"/>
      <c r="KW1412" s="29"/>
      <c r="KX1412" s="29"/>
      <c r="KY1412" s="29"/>
      <c r="KZ1412" s="29"/>
      <c r="LA1412" s="29"/>
      <c r="LB1412" s="29"/>
      <c r="LC1412" s="29"/>
      <c r="LD1412" s="29"/>
      <c r="LE1412" s="29"/>
      <c r="LF1412" s="29"/>
      <c r="LG1412" s="29"/>
      <c r="LH1412" s="29"/>
      <c r="LI1412" s="29"/>
      <c r="LJ1412" s="29"/>
      <c r="LK1412" s="29"/>
      <c r="LL1412" s="29"/>
      <c r="LM1412" s="29"/>
      <c r="LN1412" s="29"/>
      <c r="LO1412" s="29"/>
      <c r="LP1412" s="29"/>
      <c r="LQ1412" s="29"/>
      <c r="LR1412" s="29"/>
      <c r="LS1412" s="29"/>
      <c r="LT1412" s="29"/>
      <c r="LU1412" s="29"/>
      <c r="LV1412" s="29"/>
      <c r="LW1412" s="29"/>
      <c r="LX1412" s="29"/>
      <c r="LY1412" s="29"/>
      <c r="LZ1412" s="29"/>
      <c r="MA1412" s="29"/>
      <c r="MB1412" s="29"/>
      <c r="MC1412" s="29"/>
      <c r="MD1412" s="29"/>
      <c r="ME1412" s="29"/>
      <c r="MF1412" s="29"/>
      <c r="MG1412" s="29"/>
      <c r="MH1412" s="29"/>
      <c r="MI1412" s="29"/>
      <c r="MJ1412" s="29"/>
      <c r="MK1412" s="29"/>
      <c r="ML1412" s="29"/>
      <c r="MM1412" s="29"/>
      <c r="MN1412" s="29"/>
      <c r="MO1412" s="29"/>
      <c r="MP1412" s="29"/>
      <c r="MQ1412" s="29"/>
      <c r="MR1412" s="29"/>
      <c r="MS1412" s="29"/>
      <c r="MT1412" s="29"/>
      <c r="MU1412" s="29"/>
      <c r="MV1412" s="29"/>
      <c r="MW1412" s="29"/>
      <c r="MX1412" s="29"/>
      <c r="MY1412" s="29"/>
      <c r="MZ1412" s="29"/>
      <c r="NA1412" s="29"/>
      <c r="NB1412" s="29"/>
      <c r="NC1412" s="29"/>
      <c r="ND1412" s="29"/>
      <c r="NE1412" s="29"/>
      <c r="NF1412" s="29"/>
      <c r="NG1412" s="29"/>
      <c r="NH1412" s="29"/>
      <c r="NI1412" s="29"/>
      <c r="NJ1412" s="29"/>
      <c r="NK1412" s="29"/>
      <c r="NL1412" s="29"/>
      <c r="NM1412" s="29"/>
      <c r="NN1412" s="29"/>
      <c r="NO1412" s="29"/>
      <c r="NP1412" s="29"/>
      <c r="NQ1412" s="29"/>
      <c r="NR1412" s="29"/>
      <c r="NS1412" s="29"/>
      <c r="NT1412" s="29"/>
      <c r="NU1412" s="29"/>
      <c r="NV1412" s="29"/>
      <c r="NW1412" s="29"/>
      <c r="NX1412" s="29"/>
      <c r="NY1412" s="29"/>
      <c r="NZ1412" s="29"/>
      <c r="OA1412" s="29"/>
      <c r="OB1412" s="29"/>
      <c r="OC1412" s="29"/>
      <c r="OD1412" s="29"/>
      <c r="OE1412" s="29"/>
      <c r="OF1412" s="29"/>
      <c r="OG1412" s="29"/>
      <c r="OH1412" s="29"/>
      <c r="OI1412" s="29"/>
      <c r="OJ1412" s="29"/>
      <c r="OK1412" s="29"/>
      <c r="OL1412" s="29"/>
      <c r="OM1412" s="29"/>
      <c r="ON1412" s="29"/>
      <c r="OO1412" s="29"/>
      <c r="OP1412" s="29"/>
      <c r="OQ1412" s="29"/>
      <c r="OR1412" s="29"/>
      <c r="OS1412" s="29"/>
      <c r="OT1412" s="29"/>
      <c r="OU1412" s="29"/>
      <c r="OV1412" s="29"/>
      <c r="OW1412" s="29"/>
      <c r="OX1412" s="29"/>
      <c r="OY1412" s="29"/>
      <c r="OZ1412" s="29"/>
      <c r="PA1412" s="29"/>
      <c r="PB1412" s="29"/>
      <c r="PC1412" s="29"/>
      <c r="PD1412" s="29"/>
      <c r="PE1412" s="29"/>
      <c r="PF1412" s="29"/>
      <c r="PG1412" s="29"/>
      <c r="PH1412" s="29"/>
      <c r="PI1412" s="29"/>
      <c r="PJ1412" s="29"/>
      <c r="PK1412" s="29"/>
      <c r="PL1412" s="29"/>
      <c r="PM1412" s="29"/>
      <c r="PN1412" s="29"/>
      <c r="PO1412" s="29"/>
      <c r="PP1412" s="29"/>
      <c r="PQ1412" s="29"/>
      <c r="PR1412" s="29"/>
      <c r="PS1412" s="29"/>
      <c r="PT1412" s="29"/>
      <c r="PU1412" s="29"/>
      <c r="PV1412" s="29"/>
      <c r="PW1412" s="29"/>
      <c r="PX1412" s="29"/>
      <c r="PY1412" s="29"/>
      <c r="PZ1412" s="29"/>
      <c r="QA1412" s="29"/>
      <c r="QB1412" s="29"/>
      <c r="QC1412" s="29"/>
      <c r="QD1412" s="29"/>
      <c r="QE1412" s="29"/>
      <c r="QF1412" s="29"/>
      <c r="QG1412" s="29"/>
      <c r="QH1412" s="29"/>
      <c r="QI1412" s="29"/>
      <c r="QJ1412" s="29"/>
      <c r="QK1412" s="29"/>
      <c r="QL1412" s="29"/>
      <c r="QM1412" s="29"/>
      <c r="QN1412" s="29"/>
      <c r="QO1412" s="29"/>
      <c r="QP1412" s="29"/>
      <c r="QQ1412" s="29"/>
      <c r="QR1412" s="29"/>
      <c r="QS1412" s="29"/>
      <c r="QT1412" s="29"/>
      <c r="QU1412" s="29"/>
      <c r="QV1412" s="29"/>
      <c r="QW1412" s="29"/>
      <c r="QX1412" s="29"/>
      <c r="QY1412" s="29"/>
      <c r="QZ1412" s="29"/>
      <c r="RA1412" s="29"/>
      <c r="RB1412" s="29"/>
      <c r="RC1412" s="29"/>
      <c r="RD1412" s="29"/>
      <c r="RE1412" s="29"/>
      <c r="RF1412" s="29"/>
      <c r="RG1412" s="29"/>
      <c r="RH1412" s="29"/>
      <c r="RI1412" s="29"/>
      <c r="RJ1412" s="29"/>
      <c r="RK1412" s="29"/>
      <c r="RL1412" s="29"/>
      <c r="RM1412" s="29"/>
      <c r="RN1412" s="29"/>
      <c r="RO1412" s="29"/>
      <c r="RP1412" s="29"/>
      <c r="RQ1412" s="29"/>
      <c r="RR1412" s="29"/>
      <c r="RS1412" s="29"/>
      <c r="RT1412" s="29"/>
      <c r="RU1412" s="29"/>
      <c r="RV1412" s="29"/>
      <c r="RW1412" s="29"/>
      <c r="RX1412" s="29"/>
      <c r="RY1412" s="29"/>
      <c r="RZ1412" s="29"/>
      <c r="SA1412" s="29"/>
      <c r="SB1412" s="29"/>
      <c r="SC1412" s="29"/>
      <c r="SD1412" s="29"/>
      <c r="SE1412" s="29"/>
      <c r="SF1412" s="29"/>
      <c r="SG1412" s="29"/>
      <c r="SH1412" s="29"/>
      <c r="SI1412" s="29"/>
      <c r="SJ1412" s="29"/>
      <c r="SK1412" s="29"/>
      <c r="SL1412" s="29"/>
      <c r="SM1412" s="29"/>
      <c r="SN1412" s="29"/>
      <c r="SO1412" s="29"/>
      <c r="SP1412" s="29"/>
      <c r="SQ1412" s="29"/>
      <c r="SR1412" s="29"/>
      <c r="SS1412" s="29"/>
      <c r="ST1412" s="29"/>
      <c r="SU1412" s="29"/>
      <c r="SV1412" s="29"/>
      <c r="SW1412" s="29"/>
      <c r="SX1412" s="29"/>
      <c r="SY1412" s="29"/>
      <c r="SZ1412" s="29"/>
      <c r="TA1412" s="29"/>
      <c r="TB1412" s="29"/>
      <c r="TC1412" s="29"/>
      <c r="TD1412" s="29"/>
      <c r="TE1412" s="29"/>
      <c r="TF1412" s="29"/>
      <c r="TG1412" s="29"/>
      <c r="TH1412" s="29"/>
      <c r="TI1412" s="29"/>
      <c r="TJ1412" s="29"/>
      <c r="TK1412" s="29"/>
      <c r="TL1412" s="29"/>
      <c r="TM1412" s="29"/>
      <c r="TN1412" s="29"/>
      <c r="TO1412" s="29"/>
      <c r="TP1412" s="29"/>
      <c r="TQ1412" s="29"/>
      <c r="TR1412" s="29"/>
      <c r="TS1412" s="29"/>
      <c r="TT1412" s="29"/>
      <c r="TU1412" s="29"/>
      <c r="TV1412" s="29"/>
      <c r="TW1412" s="29"/>
      <c r="TX1412" s="29"/>
      <c r="TY1412" s="29"/>
      <c r="TZ1412" s="29"/>
      <c r="UA1412" s="29"/>
      <c r="UB1412" s="29"/>
      <c r="UC1412" s="29"/>
      <c r="UD1412" s="29"/>
      <c r="UE1412" s="29"/>
      <c r="UF1412" s="29"/>
      <c r="UG1412" s="29"/>
    </row>
    <row r="1413" spans="1:553" ht="45.75" customHeight="1">
      <c r="A1413" s="356" t="s">
        <v>15</v>
      </c>
      <c r="B1413" s="385"/>
      <c r="C1413" s="384" t="str">
        <f t="shared" si="215"/>
        <v>Đất chuyên trồng lúa nước (LUC)</v>
      </c>
      <c r="D1413" s="418">
        <v>2</v>
      </c>
      <c r="E1413" s="376" t="str">
        <f t="shared" si="216"/>
        <v>200</v>
      </c>
      <c r="F1413" s="385"/>
      <c r="G1413" s="386" t="s">
        <v>935</v>
      </c>
      <c r="H1413" s="370"/>
      <c r="I1413" s="370">
        <f t="shared" si="218"/>
        <v>255.7</v>
      </c>
      <c r="J1413" s="368">
        <v>72000</v>
      </c>
      <c r="K1413" s="371">
        <v>3</v>
      </c>
      <c r="L1413" s="480">
        <f t="shared" si="217"/>
        <v>55231200</v>
      </c>
      <c r="M1413" s="366"/>
      <c r="N1413" s="366"/>
      <c r="O1413" s="366"/>
      <c r="P1413" s="366"/>
      <c r="Q1413" s="812"/>
      <c r="R1413" s="1632"/>
      <c r="S1413" s="308"/>
      <c r="T1413" s="308"/>
      <c r="U1413" s="308"/>
      <c r="V1413" s="308"/>
      <c r="W1413" s="308"/>
      <c r="X1413" s="308"/>
      <c r="Y1413" s="308"/>
      <c r="Z1413" s="604"/>
      <c r="AA1413" s="308"/>
      <c r="AB1413" s="308"/>
      <c r="AC1413" s="486"/>
      <c r="AD1413" s="486"/>
      <c r="AE1413" s="486"/>
      <c r="AF1413" s="486"/>
      <c r="AG1413" s="486"/>
      <c r="AH1413" s="486"/>
      <c r="AI1413" s="486"/>
      <c r="AJ1413" s="486"/>
      <c r="AK1413" s="486"/>
      <c r="AL1413" s="206"/>
      <c r="AM1413" s="29"/>
      <c r="AN1413" s="29"/>
      <c r="AO1413" s="29"/>
      <c r="AP1413" s="29"/>
      <c r="AQ1413" s="29"/>
      <c r="AR1413" s="29"/>
      <c r="AS1413" s="29"/>
      <c r="AT1413" s="29"/>
      <c r="AU1413" s="29"/>
      <c r="AV1413" s="29"/>
      <c r="AW1413" s="29"/>
      <c r="AX1413" s="29"/>
      <c r="AY1413" s="29"/>
      <c r="AZ1413" s="29"/>
      <c r="BA1413" s="29"/>
      <c r="BB1413" s="29"/>
      <c r="BC1413" s="29"/>
      <c r="BD1413" s="29"/>
      <c r="BE1413" s="29"/>
      <c r="BF1413" s="29"/>
      <c r="BG1413" s="29"/>
      <c r="BH1413" s="29"/>
      <c r="BI1413" s="29"/>
      <c r="BJ1413" s="29"/>
      <c r="BK1413" s="29"/>
      <c r="BL1413" s="29"/>
      <c r="BM1413" s="29"/>
      <c r="BN1413" s="29"/>
      <c r="BO1413" s="29"/>
      <c r="BP1413" s="29"/>
      <c r="BQ1413" s="29"/>
      <c r="BR1413" s="29"/>
      <c r="BS1413" s="29"/>
      <c r="BT1413" s="29"/>
      <c r="BU1413" s="29"/>
      <c r="BV1413" s="29"/>
      <c r="BW1413" s="29"/>
      <c r="BX1413" s="29"/>
      <c r="BY1413" s="29"/>
      <c r="BZ1413" s="29"/>
      <c r="CA1413" s="29"/>
      <c r="CB1413" s="29"/>
      <c r="CC1413" s="29"/>
      <c r="CD1413" s="29"/>
      <c r="CE1413" s="29"/>
      <c r="CF1413" s="29"/>
      <c r="CG1413" s="29"/>
      <c r="CH1413" s="29"/>
      <c r="CI1413" s="29"/>
      <c r="CJ1413" s="29"/>
      <c r="CK1413" s="29"/>
      <c r="CL1413" s="29"/>
      <c r="CM1413" s="29"/>
      <c r="CN1413" s="29"/>
      <c r="CO1413" s="29"/>
      <c r="CP1413" s="29"/>
      <c r="CQ1413" s="29"/>
      <c r="CR1413" s="29"/>
      <c r="CS1413" s="29"/>
      <c r="CT1413" s="29"/>
      <c r="CU1413" s="29"/>
      <c r="CV1413" s="29"/>
      <c r="CW1413" s="29"/>
      <c r="CX1413" s="29"/>
      <c r="CY1413" s="29"/>
      <c r="CZ1413" s="29"/>
      <c r="DA1413" s="29"/>
      <c r="DB1413" s="29"/>
      <c r="DC1413" s="29"/>
      <c r="DD1413" s="29"/>
      <c r="DE1413" s="29"/>
      <c r="DF1413" s="29"/>
      <c r="DG1413" s="29"/>
      <c r="DH1413" s="29"/>
      <c r="DI1413" s="29"/>
      <c r="DJ1413" s="29"/>
      <c r="DK1413" s="29"/>
      <c r="DL1413" s="29"/>
      <c r="DM1413" s="29"/>
      <c r="DN1413" s="29"/>
      <c r="DO1413" s="29"/>
      <c r="DP1413" s="29"/>
      <c r="DQ1413" s="29"/>
      <c r="DR1413" s="29"/>
      <c r="DS1413" s="29"/>
      <c r="DT1413" s="29"/>
      <c r="DU1413" s="29"/>
      <c r="DV1413" s="29"/>
      <c r="DW1413" s="29"/>
      <c r="DX1413" s="29"/>
      <c r="DY1413" s="29"/>
      <c r="DZ1413" s="29"/>
      <c r="EA1413" s="29"/>
      <c r="EB1413" s="29"/>
      <c r="EC1413" s="29"/>
      <c r="ED1413" s="29"/>
      <c r="EE1413" s="29"/>
      <c r="EF1413" s="29"/>
      <c r="EG1413" s="29"/>
      <c r="EH1413" s="29"/>
      <c r="EI1413" s="29"/>
      <c r="EJ1413" s="29"/>
      <c r="EK1413" s="29"/>
      <c r="EL1413" s="29"/>
      <c r="EM1413" s="29"/>
      <c r="EN1413" s="29"/>
      <c r="EO1413" s="29"/>
      <c r="EP1413" s="29"/>
      <c r="EQ1413" s="29"/>
      <c r="ER1413" s="29"/>
      <c r="ES1413" s="29"/>
      <c r="ET1413" s="29"/>
      <c r="EU1413" s="29"/>
      <c r="EV1413" s="29"/>
      <c r="EW1413" s="29"/>
      <c r="EX1413" s="29"/>
      <c r="EY1413" s="29"/>
      <c r="EZ1413" s="29"/>
      <c r="FA1413" s="29"/>
      <c r="FB1413" s="29"/>
      <c r="FC1413" s="29"/>
      <c r="FD1413" s="29"/>
      <c r="FE1413" s="29"/>
      <c r="FF1413" s="29"/>
      <c r="FG1413" s="29"/>
      <c r="FH1413" s="29"/>
      <c r="FI1413" s="29"/>
      <c r="FJ1413" s="29"/>
      <c r="FK1413" s="29"/>
      <c r="FL1413" s="29"/>
      <c r="FM1413" s="29"/>
      <c r="FN1413" s="29"/>
      <c r="FO1413" s="29"/>
      <c r="FP1413" s="29"/>
      <c r="FQ1413" s="29"/>
      <c r="FR1413" s="29"/>
      <c r="FS1413" s="29"/>
      <c r="FT1413" s="29"/>
      <c r="FU1413" s="29"/>
      <c r="FV1413" s="29"/>
      <c r="FW1413" s="29"/>
      <c r="FX1413" s="29"/>
      <c r="FY1413" s="29"/>
      <c r="FZ1413" s="29"/>
      <c r="GA1413" s="29"/>
      <c r="GB1413" s="29"/>
      <c r="GC1413" s="29"/>
      <c r="GD1413" s="29"/>
      <c r="GE1413" s="29"/>
      <c r="GF1413" s="29"/>
      <c r="GG1413" s="29"/>
      <c r="GH1413" s="29"/>
      <c r="GI1413" s="29"/>
      <c r="GJ1413" s="29"/>
      <c r="GK1413" s="29"/>
      <c r="GL1413" s="29"/>
      <c r="GM1413" s="29"/>
      <c r="GN1413" s="29"/>
      <c r="GO1413" s="29"/>
      <c r="GP1413" s="29"/>
      <c r="GQ1413" s="29"/>
      <c r="GR1413" s="29"/>
      <c r="GS1413" s="29"/>
      <c r="GT1413" s="29"/>
      <c r="GU1413" s="29"/>
      <c r="GV1413" s="29"/>
      <c r="GW1413" s="29"/>
      <c r="GX1413" s="29"/>
      <c r="GY1413" s="29"/>
      <c r="GZ1413" s="29"/>
      <c r="HA1413" s="29"/>
      <c r="HB1413" s="29"/>
      <c r="HC1413" s="29"/>
      <c r="HD1413" s="29"/>
      <c r="HE1413" s="29"/>
      <c r="HF1413" s="29"/>
      <c r="HG1413" s="29"/>
      <c r="HH1413" s="29"/>
      <c r="HI1413" s="29"/>
      <c r="HJ1413" s="29"/>
      <c r="HK1413" s="29"/>
      <c r="HL1413" s="29"/>
      <c r="HM1413" s="29"/>
      <c r="HN1413" s="29"/>
      <c r="HO1413" s="29"/>
      <c r="HP1413" s="29"/>
      <c r="HQ1413" s="29"/>
      <c r="HR1413" s="29"/>
      <c r="HS1413" s="29"/>
      <c r="HT1413" s="29"/>
      <c r="HU1413" s="29"/>
      <c r="HV1413" s="29"/>
      <c r="HW1413" s="29"/>
      <c r="HX1413" s="29"/>
      <c r="HY1413" s="29"/>
      <c r="HZ1413" s="29"/>
      <c r="IA1413" s="29"/>
      <c r="IB1413" s="29"/>
      <c r="IC1413" s="29"/>
      <c r="ID1413" s="29"/>
      <c r="IE1413" s="29"/>
      <c r="IF1413" s="29"/>
      <c r="IG1413" s="29"/>
      <c r="IH1413" s="29"/>
      <c r="II1413" s="29"/>
      <c r="IJ1413" s="29"/>
      <c r="IK1413" s="29"/>
      <c r="IL1413" s="29"/>
      <c r="IM1413" s="29"/>
      <c r="IN1413" s="29"/>
      <c r="IO1413" s="29"/>
      <c r="IP1413" s="29"/>
      <c r="IQ1413" s="29"/>
      <c r="IR1413" s="29"/>
      <c r="IS1413" s="29"/>
      <c r="IT1413" s="29"/>
      <c r="IU1413" s="29"/>
      <c r="IV1413" s="29"/>
      <c r="IW1413" s="29"/>
      <c r="IX1413" s="29"/>
      <c r="IY1413" s="29"/>
      <c r="IZ1413" s="29"/>
      <c r="JA1413" s="29"/>
      <c r="JB1413" s="29"/>
      <c r="JC1413" s="29"/>
      <c r="JD1413" s="29"/>
      <c r="JE1413" s="29"/>
      <c r="JF1413" s="29"/>
      <c r="JG1413" s="29"/>
      <c r="JH1413" s="29"/>
      <c r="JI1413" s="29"/>
      <c r="JJ1413" s="29"/>
      <c r="JK1413" s="29"/>
      <c r="JL1413" s="29"/>
      <c r="JM1413" s="29"/>
      <c r="JN1413" s="29"/>
      <c r="JO1413" s="29"/>
      <c r="JP1413" s="29"/>
      <c r="JQ1413" s="29"/>
      <c r="JR1413" s="29"/>
      <c r="JS1413" s="29"/>
      <c r="JT1413" s="29"/>
      <c r="JU1413" s="29"/>
      <c r="JV1413" s="29"/>
      <c r="JW1413" s="29"/>
      <c r="JX1413" s="29"/>
      <c r="JY1413" s="29"/>
      <c r="JZ1413" s="29"/>
      <c r="KA1413" s="29"/>
      <c r="KB1413" s="29"/>
      <c r="KC1413" s="29"/>
      <c r="KD1413" s="29"/>
      <c r="KE1413" s="29"/>
      <c r="KF1413" s="29"/>
      <c r="KG1413" s="29"/>
      <c r="KH1413" s="29"/>
      <c r="KI1413" s="29"/>
      <c r="KJ1413" s="29"/>
      <c r="KK1413" s="29"/>
      <c r="KL1413" s="29"/>
      <c r="KM1413" s="29"/>
      <c r="KN1413" s="29"/>
      <c r="KO1413" s="29"/>
      <c r="KP1413" s="29"/>
      <c r="KQ1413" s="29"/>
      <c r="KR1413" s="29"/>
      <c r="KS1413" s="29"/>
      <c r="KT1413" s="29"/>
      <c r="KU1413" s="29"/>
      <c r="KV1413" s="29"/>
      <c r="KW1413" s="29"/>
      <c r="KX1413" s="29"/>
      <c r="KY1413" s="29"/>
      <c r="KZ1413" s="29"/>
      <c r="LA1413" s="29"/>
      <c r="LB1413" s="29"/>
      <c r="LC1413" s="29"/>
      <c r="LD1413" s="29"/>
      <c r="LE1413" s="29"/>
      <c r="LF1413" s="29"/>
      <c r="LG1413" s="29"/>
      <c r="LH1413" s="29"/>
      <c r="LI1413" s="29"/>
      <c r="LJ1413" s="29"/>
      <c r="LK1413" s="29"/>
      <c r="LL1413" s="29"/>
      <c r="LM1413" s="29"/>
      <c r="LN1413" s="29"/>
      <c r="LO1413" s="29"/>
      <c r="LP1413" s="29"/>
      <c r="LQ1413" s="29"/>
      <c r="LR1413" s="29"/>
      <c r="LS1413" s="29"/>
      <c r="LT1413" s="29"/>
      <c r="LU1413" s="29"/>
      <c r="LV1413" s="29"/>
      <c r="LW1413" s="29"/>
      <c r="LX1413" s="29"/>
      <c r="LY1413" s="29"/>
      <c r="LZ1413" s="29"/>
      <c r="MA1413" s="29"/>
      <c r="MB1413" s="29"/>
      <c r="MC1413" s="29"/>
      <c r="MD1413" s="29"/>
      <c r="ME1413" s="29"/>
      <c r="MF1413" s="29"/>
      <c r="MG1413" s="29"/>
      <c r="MH1413" s="29"/>
      <c r="MI1413" s="29"/>
      <c r="MJ1413" s="29"/>
      <c r="MK1413" s="29"/>
      <c r="ML1413" s="29"/>
      <c r="MM1413" s="29"/>
      <c r="MN1413" s="29"/>
      <c r="MO1413" s="29"/>
      <c r="MP1413" s="29"/>
      <c r="MQ1413" s="29"/>
      <c r="MR1413" s="29"/>
      <c r="MS1413" s="29"/>
      <c r="MT1413" s="29"/>
      <c r="MU1413" s="29"/>
      <c r="MV1413" s="29"/>
      <c r="MW1413" s="29"/>
      <c r="MX1413" s="29"/>
      <c r="MY1413" s="29"/>
      <c r="MZ1413" s="29"/>
      <c r="NA1413" s="29"/>
      <c r="NB1413" s="29"/>
      <c r="NC1413" s="29"/>
      <c r="ND1413" s="29"/>
      <c r="NE1413" s="29"/>
      <c r="NF1413" s="29"/>
      <c r="NG1413" s="29"/>
      <c r="NH1413" s="29"/>
      <c r="NI1413" s="29"/>
      <c r="NJ1413" s="29"/>
      <c r="NK1413" s="29"/>
      <c r="NL1413" s="29"/>
      <c r="NM1413" s="29"/>
      <c r="NN1413" s="29"/>
      <c r="NO1413" s="29"/>
      <c r="NP1413" s="29"/>
      <c r="NQ1413" s="29"/>
      <c r="NR1413" s="29"/>
      <c r="NS1413" s="29"/>
      <c r="NT1413" s="29"/>
      <c r="NU1413" s="29"/>
      <c r="NV1413" s="29"/>
      <c r="NW1413" s="29"/>
      <c r="NX1413" s="29"/>
      <c r="NY1413" s="29"/>
      <c r="NZ1413" s="29"/>
      <c r="OA1413" s="29"/>
      <c r="OB1413" s="29"/>
      <c r="OC1413" s="29"/>
      <c r="OD1413" s="29"/>
      <c r="OE1413" s="29"/>
      <c r="OF1413" s="29"/>
      <c r="OG1413" s="29"/>
      <c r="OH1413" s="29"/>
      <c r="OI1413" s="29"/>
      <c r="OJ1413" s="29"/>
      <c r="OK1413" s="29"/>
      <c r="OL1413" s="29"/>
      <c r="OM1413" s="29"/>
      <c r="ON1413" s="29"/>
      <c r="OO1413" s="29"/>
      <c r="OP1413" s="29"/>
      <c r="OQ1413" s="29"/>
      <c r="OR1413" s="29"/>
      <c r="OS1413" s="29"/>
      <c r="OT1413" s="29"/>
      <c r="OU1413" s="29"/>
      <c r="OV1413" s="29"/>
      <c r="OW1413" s="29"/>
      <c r="OX1413" s="29"/>
      <c r="OY1413" s="29"/>
      <c r="OZ1413" s="29"/>
      <c r="PA1413" s="29"/>
      <c r="PB1413" s="29"/>
      <c r="PC1413" s="29"/>
      <c r="PD1413" s="29"/>
      <c r="PE1413" s="29"/>
      <c r="PF1413" s="29"/>
      <c r="PG1413" s="29"/>
      <c r="PH1413" s="29"/>
      <c r="PI1413" s="29"/>
      <c r="PJ1413" s="29"/>
      <c r="PK1413" s="29"/>
      <c r="PL1413" s="29"/>
      <c r="PM1413" s="29"/>
      <c r="PN1413" s="29"/>
      <c r="PO1413" s="29"/>
      <c r="PP1413" s="29"/>
      <c r="PQ1413" s="29"/>
      <c r="PR1413" s="29"/>
      <c r="PS1413" s="29"/>
      <c r="PT1413" s="29"/>
      <c r="PU1413" s="29"/>
      <c r="PV1413" s="29"/>
      <c r="PW1413" s="29"/>
      <c r="PX1413" s="29"/>
      <c r="PY1413" s="29"/>
      <c r="PZ1413" s="29"/>
      <c r="QA1413" s="29"/>
      <c r="QB1413" s="29"/>
      <c r="QC1413" s="29"/>
      <c r="QD1413" s="29"/>
      <c r="QE1413" s="29"/>
      <c r="QF1413" s="29"/>
      <c r="QG1413" s="29"/>
      <c r="QH1413" s="29"/>
      <c r="QI1413" s="29"/>
      <c r="QJ1413" s="29"/>
      <c r="QK1413" s="29"/>
      <c r="QL1413" s="29"/>
      <c r="QM1413" s="29"/>
      <c r="QN1413" s="29"/>
      <c r="QO1413" s="29"/>
      <c r="QP1413" s="29"/>
      <c r="QQ1413" s="29"/>
      <c r="QR1413" s="29"/>
      <c r="QS1413" s="29"/>
      <c r="QT1413" s="29"/>
      <c r="QU1413" s="29"/>
      <c r="QV1413" s="29"/>
      <c r="QW1413" s="29"/>
      <c r="QX1413" s="29"/>
      <c r="QY1413" s="29"/>
      <c r="QZ1413" s="29"/>
      <c r="RA1413" s="29"/>
      <c r="RB1413" s="29"/>
      <c r="RC1413" s="29"/>
      <c r="RD1413" s="29"/>
      <c r="RE1413" s="29"/>
      <c r="RF1413" s="29"/>
      <c r="RG1413" s="29"/>
      <c r="RH1413" s="29"/>
      <c r="RI1413" s="29"/>
      <c r="RJ1413" s="29"/>
      <c r="RK1413" s="29"/>
      <c r="RL1413" s="29"/>
      <c r="RM1413" s="29"/>
      <c r="RN1413" s="29"/>
      <c r="RO1413" s="29"/>
      <c r="RP1413" s="29"/>
      <c r="RQ1413" s="29"/>
      <c r="RR1413" s="29"/>
      <c r="RS1413" s="29"/>
      <c r="RT1413" s="29"/>
      <c r="RU1413" s="29"/>
      <c r="RV1413" s="29"/>
      <c r="RW1413" s="29"/>
      <c r="RX1413" s="29"/>
      <c r="RY1413" s="29"/>
      <c r="RZ1413" s="29"/>
      <c r="SA1413" s="29"/>
      <c r="SB1413" s="29"/>
      <c r="SC1413" s="29"/>
      <c r="SD1413" s="29"/>
      <c r="SE1413" s="29"/>
      <c r="SF1413" s="29"/>
      <c r="SG1413" s="29"/>
      <c r="SH1413" s="29"/>
      <c r="SI1413" s="29"/>
      <c r="SJ1413" s="29"/>
      <c r="SK1413" s="29"/>
      <c r="SL1413" s="29"/>
      <c r="SM1413" s="29"/>
      <c r="SN1413" s="29"/>
      <c r="SO1413" s="29"/>
      <c r="SP1413" s="29"/>
      <c r="SQ1413" s="29"/>
      <c r="SR1413" s="29"/>
      <c r="SS1413" s="29"/>
      <c r="ST1413" s="29"/>
      <c r="SU1413" s="29"/>
      <c r="SV1413" s="29"/>
      <c r="SW1413" s="29"/>
      <c r="SX1413" s="29"/>
      <c r="SY1413" s="29"/>
      <c r="SZ1413" s="29"/>
      <c r="TA1413" s="29"/>
      <c r="TB1413" s="29"/>
      <c r="TC1413" s="29"/>
      <c r="TD1413" s="29"/>
      <c r="TE1413" s="29"/>
      <c r="TF1413" s="29"/>
      <c r="TG1413" s="29"/>
      <c r="TH1413" s="29"/>
      <c r="TI1413" s="29"/>
      <c r="TJ1413" s="29"/>
      <c r="TK1413" s="29"/>
      <c r="TL1413" s="29"/>
      <c r="TM1413" s="29"/>
      <c r="TN1413" s="29"/>
      <c r="TO1413" s="29"/>
      <c r="TP1413" s="29"/>
      <c r="TQ1413" s="29"/>
      <c r="TR1413" s="29"/>
      <c r="TS1413" s="29"/>
      <c r="TT1413" s="29"/>
      <c r="TU1413" s="29"/>
      <c r="TV1413" s="29"/>
      <c r="TW1413" s="29"/>
      <c r="TX1413" s="29"/>
      <c r="TY1413" s="29"/>
      <c r="TZ1413" s="29"/>
      <c r="UA1413" s="29"/>
      <c r="UB1413" s="29"/>
      <c r="UC1413" s="29"/>
      <c r="UD1413" s="29"/>
      <c r="UE1413" s="29"/>
      <c r="UF1413" s="29"/>
      <c r="UG1413" s="29"/>
    </row>
    <row r="1414" spans="1:553" ht="45.75" customHeight="1">
      <c r="A1414" s="356" t="s">
        <v>15</v>
      </c>
      <c r="B1414" s="385"/>
      <c r="C1414" s="384" t="str">
        <f t="shared" si="215"/>
        <v>Đất chuyên trồng lúa nước (LUC)</v>
      </c>
      <c r="D1414" s="418">
        <v>2</v>
      </c>
      <c r="E1414" s="376" t="str">
        <f t="shared" si="216"/>
        <v>210</v>
      </c>
      <c r="F1414" s="385"/>
      <c r="G1414" s="386" t="s">
        <v>935</v>
      </c>
      <c r="H1414" s="370"/>
      <c r="I1414" s="370">
        <f t="shared" si="218"/>
        <v>114.1</v>
      </c>
      <c r="J1414" s="368">
        <v>72000</v>
      </c>
      <c r="K1414" s="371">
        <v>3</v>
      </c>
      <c r="L1414" s="480">
        <f t="shared" si="217"/>
        <v>24645600</v>
      </c>
      <c r="M1414" s="366"/>
      <c r="N1414" s="366"/>
      <c r="O1414" s="366"/>
      <c r="P1414" s="366"/>
      <c r="Q1414" s="812"/>
      <c r="R1414" s="1632"/>
      <c r="S1414" s="308"/>
      <c r="T1414" s="308"/>
      <c r="U1414" s="308"/>
      <c r="V1414" s="308"/>
      <c r="W1414" s="308"/>
      <c r="X1414" s="308"/>
      <c r="Y1414" s="308"/>
      <c r="Z1414" s="604"/>
      <c r="AA1414" s="308"/>
      <c r="AB1414" s="308"/>
      <c r="AC1414" s="486"/>
      <c r="AD1414" s="486"/>
      <c r="AE1414" s="486"/>
      <c r="AF1414" s="486"/>
      <c r="AG1414" s="486"/>
      <c r="AH1414" s="486"/>
      <c r="AI1414" s="486"/>
      <c r="AJ1414" s="486"/>
      <c r="AK1414" s="486"/>
      <c r="AL1414" s="206"/>
      <c r="AM1414" s="29"/>
      <c r="AN1414" s="29"/>
      <c r="AO1414" s="29"/>
      <c r="AP1414" s="29"/>
      <c r="AQ1414" s="29"/>
      <c r="AR1414" s="29"/>
      <c r="AS1414" s="29"/>
      <c r="AT1414" s="29"/>
      <c r="AU1414" s="29"/>
      <c r="AV1414" s="29"/>
      <c r="AW1414" s="29"/>
      <c r="AX1414" s="29"/>
      <c r="AY1414" s="29"/>
      <c r="AZ1414" s="29"/>
      <c r="BA1414" s="29"/>
      <c r="BB1414" s="29"/>
      <c r="BC1414" s="29"/>
      <c r="BD1414" s="29"/>
      <c r="BE1414" s="29"/>
      <c r="BF1414" s="29"/>
      <c r="BG1414" s="29"/>
      <c r="BH1414" s="29"/>
      <c r="BI1414" s="29"/>
      <c r="BJ1414" s="29"/>
      <c r="BK1414" s="29"/>
      <c r="BL1414" s="29"/>
      <c r="BM1414" s="29"/>
      <c r="BN1414" s="29"/>
      <c r="BO1414" s="29"/>
      <c r="BP1414" s="29"/>
      <c r="BQ1414" s="29"/>
      <c r="BR1414" s="29"/>
      <c r="BS1414" s="29"/>
      <c r="BT1414" s="29"/>
      <c r="BU1414" s="29"/>
      <c r="BV1414" s="29"/>
      <c r="BW1414" s="29"/>
      <c r="BX1414" s="29"/>
      <c r="BY1414" s="29"/>
      <c r="BZ1414" s="29"/>
      <c r="CA1414" s="29"/>
      <c r="CB1414" s="29"/>
      <c r="CC1414" s="29"/>
      <c r="CD1414" s="29"/>
      <c r="CE1414" s="29"/>
      <c r="CF1414" s="29"/>
      <c r="CG1414" s="29"/>
      <c r="CH1414" s="29"/>
      <c r="CI1414" s="29"/>
      <c r="CJ1414" s="29"/>
      <c r="CK1414" s="29"/>
      <c r="CL1414" s="29"/>
      <c r="CM1414" s="29"/>
      <c r="CN1414" s="29"/>
      <c r="CO1414" s="29"/>
      <c r="CP1414" s="29"/>
      <c r="CQ1414" s="29"/>
      <c r="CR1414" s="29"/>
      <c r="CS1414" s="29"/>
      <c r="CT1414" s="29"/>
      <c r="CU1414" s="29"/>
      <c r="CV1414" s="29"/>
      <c r="CW1414" s="29"/>
      <c r="CX1414" s="29"/>
      <c r="CY1414" s="29"/>
      <c r="CZ1414" s="29"/>
      <c r="DA1414" s="29"/>
      <c r="DB1414" s="29"/>
      <c r="DC1414" s="29"/>
      <c r="DD1414" s="29"/>
      <c r="DE1414" s="29"/>
      <c r="DF1414" s="29"/>
      <c r="DG1414" s="29"/>
      <c r="DH1414" s="29"/>
      <c r="DI1414" s="29"/>
      <c r="DJ1414" s="29"/>
      <c r="DK1414" s="29"/>
      <c r="DL1414" s="29"/>
      <c r="DM1414" s="29"/>
      <c r="DN1414" s="29"/>
      <c r="DO1414" s="29"/>
      <c r="DP1414" s="29"/>
      <c r="DQ1414" s="29"/>
      <c r="DR1414" s="29"/>
      <c r="DS1414" s="29"/>
      <c r="DT1414" s="29"/>
      <c r="DU1414" s="29"/>
      <c r="DV1414" s="29"/>
      <c r="DW1414" s="29"/>
      <c r="DX1414" s="29"/>
      <c r="DY1414" s="29"/>
      <c r="DZ1414" s="29"/>
      <c r="EA1414" s="29"/>
      <c r="EB1414" s="29"/>
      <c r="EC1414" s="29"/>
      <c r="ED1414" s="29"/>
      <c r="EE1414" s="29"/>
      <c r="EF1414" s="29"/>
      <c r="EG1414" s="29"/>
      <c r="EH1414" s="29"/>
      <c r="EI1414" s="29"/>
      <c r="EJ1414" s="29"/>
      <c r="EK1414" s="29"/>
      <c r="EL1414" s="29"/>
      <c r="EM1414" s="29"/>
      <c r="EN1414" s="29"/>
      <c r="EO1414" s="29"/>
      <c r="EP1414" s="29"/>
      <c r="EQ1414" s="29"/>
      <c r="ER1414" s="29"/>
      <c r="ES1414" s="29"/>
      <c r="ET1414" s="29"/>
      <c r="EU1414" s="29"/>
      <c r="EV1414" s="29"/>
      <c r="EW1414" s="29"/>
      <c r="EX1414" s="29"/>
      <c r="EY1414" s="29"/>
      <c r="EZ1414" s="29"/>
      <c r="FA1414" s="29"/>
      <c r="FB1414" s="29"/>
      <c r="FC1414" s="29"/>
      <c r="FD1414" s="29"/>
      <c r="FE1414" s="29"/>
      <c r="FF1414" s="29"/>
      <c r="FG1414" s="29"/>
      <c r="FH1414" s="29"/>
      <c r="FI1414" s="29"/>
      <c r="FJ1414" s="29"/>
      <c r="FK1414" s="29"/>
      <c r="FL1414" s="29"/>
      <c r="FM1414" s="29"/>
      <c r="FN1414" s="29"/>
      <c r="FO1414" s="29"/>
      <c r="FP1414" s="29"/>
      <c r="FQ1414" s="29"/>
      <c r="FR1414" s="29"/>
      <c r="FS1414" s="29"/>
      <c r="FT1414" s="29"/>
      <c r="FU1414" s="29"/>
      <c r="FV1414" s="29"/>
      <c r="FW1414" s="29"/>
      <c r="FX1414" s="29"/>
      <c r="FY1414" s="29"/>
      <c r="FZ1414" s="29"/>
      <c r="GA1414" s="29"/>
      <c r="GB1414" s="29"/>
      <c r="GC1414" s="29"/>
      <c r="GD1414" s="29"/>
      <c r="GE1414" s="29"/>
      <c r="GF1414" s="29"/>
      <c r="GG1414" s="29"/>
      <c r="GH1414" s="29"/>
      <c r="GI1414" s="29"/>
      <c r="GJ1414" s="29"/>
      <c r="GK1414" s="29"/>
      <c r="GL1414" s="29"/>
      <c r="GM1414" s="29"/>
      <c r="GN1414" s="29"/>
      <c r="GO1414" s="29"/>
      <c r="GP1414" s="29"/>
      <c r="GQ1414" s="29"/>
      <c r="GR1414" s="29"/>
      <c r="GS1414" s="29"/>
      <c r="GT1414" s="29"/>
      <c r="GU1414" s="29"/>
      <c r="GV1414" s="29"/>
      <c r="GW1414" s="29"/>
      <c r="GX1414" s="29"/>
      <c r="GY1414" s="29"/>
      <c r="GZ1414" s="29"/>
      <c r="HA1414" s="29"/>
      <c r="HB1414" s="29"/>
      <c r="HC1414" s="29"/>
      <c r="HD1414" s="29"/>
      <c r="HE1414" s="29"/>
      <c r="HF1414" s="29"/>
      <c r="HG1414" s="29"/>
      <c r="HH1414" s="29"/>
      <c r="HI1414" s="29"/>
      <c r="HJ1414" s="29"/>
      <c r="HK1414" s="29"/>
      <c r="HL1414" s="29"/>
      <c r="HM1414" s="29"/>
      <c r="HN1414" s="29"/>
      <c r="HO1414" s="29"/>
      <c r="HP1414" s="29"/>
      <c r="HQ1414" s="29"/>
      <c r="HR1414" s="29"/>
      <c r="HS1414" s="29"/>
      <c r="HT1414" s="29"/>
      <c r="HU1414" s="29"/>
      <c r="HV1414" s="29"/>
      <c r="HW1414" s="29"/>
      <c r="HX1414" s="29"/>
      <c r="HY1414" s="29"/>
      <c r="HZ1414" s="29"/>
      <c r="IA1414" s="29"/>
      <c r="IB1414" s="29"/>
      <c r="IC1414" s="29"/>
      <c r="ID1414" s="29"/>
      <c r="IE1414" s="29"/>
      <c r="IF1414" s="29"/>
      <c r="IG1414" s="29"/>
      <c r="IH1414" s="29"/>
      <c r="II1414" s="29"/>
      <c r="IJ1414" s="29"/>
      <c r="IK1414" s="29"/>
      <c r="IL1414" s="29"/>
      <c r="IM1414" s="29"/>
      <c r="IN1414" s="29"/>
      <c r="IO1414" s="29"/>
      <c r="IP1414" s="29"/>
      <c r="IQ1414" s="29"/>
      <c r="IR1414" s="29"/>
      <c r="IS1414" s="29"/>
      <c r="IT1414" s="29"/>
      <c r="IU1414" s="29"/>
      <c r="IV1414" s="29"/>
      <c r="IW1414" s="29"/>
      <c r="IX1414" s="29"/>
      <c r="IY1414" s="29"/>
      <c r="IZ1414" s="29"/>
      <c r="JA1414" s="29"/>
      <c r="JB1414" s="29"/>
      <c r="JC1414" s="29"/>
      <c r="JD1414" s="29"/>
      <c r="JE1414" s="29"/>
      <c r="JF1414" s="29"/>
      <c r="JG1414" s="29"/>
      <c r="JH1414" s="29"/>
      <c r="JI1414" s="29"/>
      <c r="JJ1414" s="29"/>
      <c r="JK1414" s="29"/>
      <c r="JL1414" s="29"/>
      <c r="JM1414" s="29"/>
      <c r="JN1414" s="29"/>
      <c r="JO1414" s="29"/>
      <c r="JP1414" s="29"/>
      <c r="JQ1414" s="29"/>
      <c r="JR1414" s="29"/>
      <c r="JS1414" s="29"/>
      <c r="JT1414" s="29"/>
      <c r="JU1414" s="29"/>
      <c r="JV1414" s="29"/>
      <c r="JW1414" s="29"/>
      <c r="JX1414" s="29"/>
      <c r="JY1414" s="29"/>
      <c r="JZ1414" s="29"/>
      <c r="KA1414" s="29"/>
      <c r="KB1414" s="29"/>
      <c r="KC1414" s="29"/>
      <c r="KD1414" s="29"/>
      <c r="KE1414" s="29"/>
      <c r="KF1414" s="29"/>
      <c r="KG1414" s="29"/>
      <c r="KH1414" s="29"/>
      <c r="KI1414" s="29"/>
      <c r="KJ1414" s="29"/>
      <c r="KK1414" s="29"/>
      <c r="KL1414" s="29"/>
      <c r="KM1414" s="29"/>
      <c r="KN1414" s="29"/>
      <c r="KO1414" s="29"/>
      <c r="KP1414" s="29"/>
      <c r="KQ1414" s="29"/>
      <c r="KR1414" s="29"/>
      <c r="KS1414" s="29"/>
      <c r="KT1414" s="29"/>
      <c r="KU1414" s="29"/>
      <c r="KV1414" s="29"/>
      <c r="KW1414" s="29"/>
      <c r="KX1414" s="29"/>
      <c r="KY1414" s="29"/>
      <c r="KZ1414" s="29"/>
      <c r="LA1414" s="29"/>
      <c r="LB1414" s="29"/>
      <c r="LC1414" s="29"/>
      <c r="LD1414" s="29"/>
      <c r="LE1414" s="29"/>
      <c r="LF1414" s="29"/>
      <c r="LG1414" s="29"/>
      <c r="LH1414" s="29"/>
      <c r="LI1414" s="29"/>
      <c r="LJ1414" s="29"/>
      <c r="LK1414" s="29"/>
      <c r="LL1414" s="29"/>
      <c r="LM1414" s="29"/>
      <c r="LN1414" s="29"/>
      <c r="LO1414" s="29"/>
      <c r="LP1414" s="29"/>
      <c r="LQ1414" s="29"/>
      <c r="LR1414" s="29"/>
      <c r="LS1414" s="29"/>
      <c r="LT1414" s="29"/>
      <c r="LU1414" s="29"/>
      <c r="LV1414" s="29"/>
      <c r="LW1414" s="29"/>
      <c r="LX1414" s="29"/>
      <c r="LY1414" s="29"/>
      <c r="LZ1414" s="29"/>
      <c r="MA1414" s="29"/>
      <c r="MB1414" s="29"/>
      <c r="MC1414" s="29"/>
      <c r="MD1414" s="29"/>
      <c r="ME1414" s="29"/>
      <c r="MF1414" s="29"/>
      <c r="MG1414" s="29"/>
      <c r="MH1414" s="29"/>
      <c r="MI1414" s="29"/>
      <c r="MJ1414" s="29"/>
      <c r="MK1414" s="29"/>
      <c r="ML1414" s="29"/>
      <c r="MM1414" s="29"/>
      <c r="MN1414" s="29"/>
      <c r="MO1414" s="29"/>
      <c r="MP1414" s="29"/>
      <c r="MQ1414" s="29"/>
      <c r="MR1414" s="29"/>
      <c r="MS1414" s="29"/>
      <c r="MT1414" s="29"/>
      <c r="MU1414" s="29"/>
      <c r="MV1414" s="29"/>
      <c r="MW1414" s="29"/>
      <c r="MX1414" s="29"/>
      <c r="MY1414" s="29"/>
      <c r="MZ1414" s="29"/>
      <c r="NA1414" s="29"/>
      <c r="NB1414" s="29"/>
      <c r="NC1414" s="29"/>
      <c r="ND1414" s="29"/>
      <c r="NE1414" s="29"/>
      <c r="NF1414" s="29"/>
      <c r="NG1414" s="29"/>
      <c r="NH1414" s="29"/>
      <c r="NI1414" s="29"/>
      <c r="NJ1414" s="29"/>
      <c r="NK1414" s="29"/>
      <c r="NL1414" s="29"/>
      <c r="NM1414" s="29"/>
      <c r="NN1414" s="29"/>
      <c r="NO1414" s="29"/>
      <c r="NP1414" s="29"/>
      <c r="NQ1414" s="29"/>
      <c r="NR1414" s="29"/>
      <c r="NS1414" s="29"/>
      <c r="NT1414" s="29"/>
      <c r="NU1414" s="29"/>
      <c r="NV1414" s="29"/>
      <c r="NW1414" s="29"/>
      <c r="NX1414" s="29"/>
      <c r="NY1414" s="29"/>
      <c r="NZ1414" s="29"/>
      <c r="OA1414" s="29"/>
      <c r="OB1414" s="29"/>
      <c r="OC1414" s="29"/>
      <c r="OD1414" s="29"/>
      <c r="OE1414" s="29"/>
      <c r="OF1414" s="29"/>
      <c r="OG1414" s="29"/>
      <c r="OH1414" s="29"/>
      <c r="OI1414" s="29"/>
      <c r="OJ1414" s="29"/>
      <c r="OK1414" s="29"/>
      <c r="OL1414" s="29"/>
      <c r="OM1414" s="29"/>
      <c r="ON1414" s="29"/>
      <c r="OO1414" s="29"/>
      <c r="OP1414" s="29"/>
      <c r="OQ1414" s="29"/>
      <c r="OR1414" s="29"/>
      <c r="OS1414" s="29"/>
      <c r="OT1414" s="29"/>
      <c r="OU1414" s="29"/>
      <c r="OV1414" s="29"/>
      <c r="OW1414" s="29"/>
      <c r="OX1414" s="29"/>
      <c r="OY1414" s="29"/>
      <c r="OZ1414" s="29"/>
      <c r="PA1414" s="29"/>
      <c r="PB1414" s="29"/>
      <c r="PC1414" s="29"/>
      <c r="PD1414" s="29"/>
      <c r="PE1414" s="29"/>
      <c r="PF1414" s="29"/>
      <c r="PG1414" s="29"/>
      <c r="PH1414" s="29"/>
      <c r="PI1414" s="29"/>
      <c r="PJ1414" s="29"/>
      <c r="PK1414" s="29"/>
      <c r="PL1414" s="29"/>
      <c r="PM1414" s="29"/>
      <c r="PN1414" s="29"/>
      <c r="PO1414" s="29"/>
      <c r="PP1414" s="29"/>
      <c r="PQ1414" s="29"/>
      <c r="PR1414" s="29"/>
      <c r="PS1414" s="29"/>
      <c r="PT1414" s="29"/>
      <c r="PU1414" s="29"/>
      <c r="PV1414" s="29"/>
      <c r="PW1414" s="29"/>
      <c r="PX1414" s="29"/>
      <c r="PY1414" s="29"/>
      <c r="PZ1414" s="29"/>
      <c r="QA1414" s="29"/>
      <c r="QB1414" s="29"/>
      <c r="QC1414" s="29"/>
      <c r="QD1414" s="29"/>
      <c r="QE1414" s="29"/>
      <c r="QF1414" s="29"/>
      <c r="QG1414" s="29"/>
      <c r="QH1414" s="29"/>
      <c r="QI1414" s="29"/>
      <c r="QJ1414" s="29"/>
      <c r="QK1414" s="29"/>
      <c r="QL1414" s="29"/>
      <c r="QM1414" s="29"/>
      <c r="QN1414" s="29"/>
      <c r="QO1414" s="29"/>
      <c r="QP1414" s="29"/>
      <c r="QQ1414" s="29"/>
      <c r="QR1414" s="29"/>
      <c r="QS1414" s="29"/>
      <c r="QT1414" s="29"/>
      <c r="QU1414" s="29"/>
      <c r="QV1414" s="29"/>
      <c r="QW1414" s="29"/>
      <c r="QX1414" s="29"/>
      <c r="QY1414" s="29"/>
      <c r="QZ1414" s="29"/>
      <c r="RA1414" s="29"/>
      <c r="RB1414" s="29"/>
      <c r="RC1414" s="29"/>
      <c r="RD1414" s="29"/>
      <c r="RE1414" s="29"/>
      <c r="RF1414" s="29"/>
      <c r="RG1414" s="29"/>
      <c r="RH1414" s="29"/>
      <c r="RI1414" s="29"/>
      <c r="RJ1414" s="29"/>
      <c r="RK1414" s="29"/>
      <c r="RL1414" s="29"/>
      <c r="RM1414" s="29"/>
      <c r="RN1414" s="29"/>
      <c r="RO1414" s="29"/>
      <c r="RP1414" s="29"/>
      <c r="RQ1414" s="29"/>
      <c r="RR1414" s="29"/>
      <c r="RS1414" s="29"/>
      <c r="RT1414" s="29"/>
      <c r="RU1414" s="29"/>
      <c r="RV1414" s="29"/>
      <c r="RW1414" s="29"/>
      <c r="RX1414" s="29"/>
      <c r="RY1414" s="29"/>
      <c r="RZ1414" s="29"/>
      <c r="SA1414" s="29"/>
      <c r="SB1414" s="29"/>
      <c r="SC1414" s="29"/>
      <c r="SD1414" s="29"/>
      <c r="SE1414" s="29"/>
      <c r="SF1414" s="29"/>
      <c r="SG1414" s="29"/>
      <c r="SH1414" s="29"/>
      <c r="SI1414" s="29"/>
      <c r="SJ1414" s="29"/>
      <c r="SK1414" s="29"/>
      <c r="SL1414" s="29"/>
      <c r="SM1414" s="29"/>
      <c r="SN1414" s="29"/>
      <c r="SO1414" s="29"/>
      <c r="SP1414" s="29"/>
      <c r="SQ1414" s="29"/>
      <c r="SR1414" s="29"/>
      <c r="SS1414" s="29"/>
      <c r="ST1414" s="29"/>
      <c r="SU1414" s="29"/>
      <c r="SV1414" s="29"/>
      <c r="SW1414" s="29"/>
      <c r="SX1414" s="29"/>
      <c r="SY1414" s="29"/>
      <c r="SZ1414" s="29"/>
      <c r="TA1414" s="29"/>
      <c r="TB1414" s="29"/>
      <c r="TC1414" s="29"/>
      <c r="TD1414" s="29"/>
      <c r="TE1414" s="29"/>
      <c r="TF1414" s="29"/>
      <c r="TG1414" s="29"/>
      <c r="TH1414" s="29"/>
      <c r="TI1414" s="29"/>
      <c r="TJ1414" s="29"/>
      <c r="TK1414" s="29"/>
      <c r="TL1414" s="29"/>
      <c r="TM1414" s="29"/>
      <c r="TN1414" s="29"/>
      <c r="TO1414" s="29"/>
      <c r="TP1414" s="29"/>
      <c r="TQ1414" s="29"/>
      <c r="TR1414" s="29"/>
      <c r="TS1414" s="29"/>
      <c r="TT1414" s="29"/>
      <c r="TU1414" s="29"/>
      <c r="TV1414" s="29"/>
      <c r="TW1414" s="29"/>
      <c r="TX1414" s="29"/>
      <c r="TY1414" s="29"/>
      <c r="TZ1414" s="29"/>
      <c r="UA1414" s="29"/>
      <c r="UB1414" s="29"/>
      <c r="UC1414" s="29"/>
      <c r="UD1414" s="29"/>
      <c r="UE1414" s="29"/>
      <c r="UF1414" s="29"/>
      <c r="UG1414" s="29"/>
    </row>
    <row r="1415" spans="1:553" ht="45.75" customHeight="1">
      <c r="A1415" s="356" t="s">
        <v>15</v>
      </c>
      <c r="B1415" s="385"/>
      <c r="C1415" s="384" t="str">
        <f t="shared" si="215"/>
        <v>Đất chuyên trồng lúa nước (LUC)</v>
      </c>
      <c r="D1415" s="418">
        <v>2</v>
      </c>
      <c r="E1415" s="376" t="str">
        <f t="shared" si="216"/>
        <v>213</v>
      </c>
      <c r="F1415" s="385"/>
      <c r="G1415" s="386" t="s">
        <v>935</v>
      </c>
      <c r="H1415" s="370"/>
      <c r="I1415" s="370">
        <f t="shared" si="218"/>
        <v>578.9</v>
      </c>
      <c r="J1415" s="368">
        <v>72000</v>
      </c>
      <c r="K1415" s="371">
        <v>3</v>
      </c>
      <c r="L1415" s="480">
        <f t="shared" si="217"/>
        <v>125042400</v>
      </c>
      <c r="M1415" s="366"/>
      <c r="N1415" s="366"/>
      <c r="O1415" s="366"/>
      <c r="P1415" s="366"/>
      <c r="Q1415" s="812"/>
      <c r="R1415" s="1632"/>
      <c r="S1415" s="308"/>
      <c r="T1415" s="308"/>
      <c r="U1415" s="308"/>
      <c r="V1415" s="308"/>
      <c r="W1415" s="308"/>
      <c r="X1415" s="308"/>
      <c r="Y1415" s="308"/>
      <c r="Z1415" s="604"/>
      <c r="AA1415" s="308"/>
      <c r="AB1415" s="308"/>
      <c r="AC1415" s="486"/>
      <c r="AD1415" s="486"/>
      <c r="AE1415" s="486"/>
      <c r="AF1415" s="486"/>
      <c r="AG1415" s="486"/>
      <c r="AH1415" s="486"/>
      <c r="AI1415" s="486"/>
      <c r="AJ1415" s="486"/>
      <c r="AK1415" s="486"/>
      <c r="AL1415" s="206"/>
      <c r="AM1415" s="29"/>
      <c r="AN1415" s="29"/>
      <c r="AO1415" s="29"/>
      <c r="AP1415" s="29"/>
      <c r="AQ1415" s="29"/>
      <c r="AR1415" s="29"/>
      <c r="AS1415" s="29"/>
      <c r="AT1415" s="29"/>
      <c r="AU1415" s="29"/>
      <c r="AV1415" s="29"/>
      <c r="AW1415" s="29"/>
      <c r="AX1415" s="29"/>
      <c r="AY1415" s="29"/>
      <c r="AZ1415" s="29"/>
      <c r="BA1415" s="29"/>
      <c r="BB1415" s="29"/>
      <c r="BC1415" s="29"/>
      <c r="BD1415" s="29"/>
      <c r="BE1415" s="29"/>
      <c r="BF1415" s="29"/>
      <c r="BG1415" s="29"/>
      <c r="BH1415" s="29"/>
      <c r="BI1415" s="29"/>
      <c r="BJ1415" s="29"/>
      <c r="BK1415" s="29"/>
      <c r="BL1415" s="29"/>
      <c r="BM1415" s="29"/>
      <c r="BN1415" s="29"/>
      <c r="BO1415" s="29"/>
      <c r="BP1415" s="29"/>
      <c r="BQ1415" s="29"/>
      <c r="BR1415" s="29"/>
      <c r="BS1415" s="29"/>
      <c r="BT1415" s="29"/>
      <c r="BU1415" s="29"/>
      <c r="BV1415" s="29"/>
      <c r="BW1415" s="29"/>
      <c r="BX1415" s="29"/>
      <c r="BY1415" s="29"/>
      <c r="BZ1415" s="29"/>
      <c r="CA1415" s="29"/>
      <c r="CB1415" s="29"/>
      <c r="CC1415" s="29"/>
      <c r="CD1415" s="29"/>
      <c r="CE1415" s="29"/>
      <c r="CF1415" s="29"/>
      <c r="CG1415" s="29"/>
      <c r="CH1415" s="29"/>
      <c r="CI1415" s="29"/>
      <c r="CJ1415" s="29"/>
      <c r="CK1415" s="29"/>
      <c r="CL1415" s="29"/>
      <c r="CM1415" s="29"/>
      <c r="CN1415" s="29"/>
      <c r="CO1415" s="29"/>
      <c r="CP1415" s="29"/>
      <c r="CQ1415" s="29"/>
      <c r="CR1415" s="29"/>
      <c r="CS1415" s="29"/>
      <c r="CT1415" s="29"/>
      <c r="CU1415" s="29"/>
      <c r="CV1415" s="29"/>
      <c r="CW1415" s="29"/>
      <c r="CX1415" s="29"/>
      <c r="CY1415" s="29"/>
      <c r="CZ1415" s="29"/>
      <c r="DA1415" s="29"/>
      <c r="DB1415" s="29"/>
      <c r="DC1415" s="29"/>
      <c r="DD1415" s="29"/>
      <c r="DE1415" s="29"/>
      <c r="DF1415" s="29"/>
      <c r="DG1415" s="29"/>
      <c r="DH1415" s="29"/>
      <c r="DI1415" s="29"/>
      <c r="DJ1415" s="29"/>
      <c r="DK1415" s="29"/>
      <c r="DL1415" s="29"/>
      <c r="DM1415" s="29"/>
      <c r="DN1415" s="29"/>
      <c r="DO1415" s="29"/>
      <c r="DP1415" s="29"/>
      <c r="DQ1415" s="29"/>
      <c r="DR1415" s="29"/>
      <c r="DS1415" s="29"/>
      <c r="DT1415" s="29"/>
      <c r="DU1415" s="29"/>
      <c r="DV1415" s="29"/>
      <c r="DW1415" s="29"/>
      <c r="DX1415" s="29"/>
      <c r="DY1415" s="29"/>
      <c r="DZ1415" s="29"/>
      <c r="EA1415" s="29"/>
      <c r="EB1415" s="29"/>
      <c r="EC1415" s="29"/>
      <c r="ED1415" s="29"/>
      <c r="EE1415" s="29"/>
      <c r="EF1415" s="29"/>
      <c r="EG1415" s="29"/>
      <c r="EH1415" s="29"/>
      <c r="EI1415" s="29"/>
      <c r="EJ1415" s="29"/>
      <c r="EK1415" s="29"/>
      <c r="EL1415" s="29"/>
      <c r="EM1415" s="29"/>
      <c r="EN1415" s="29"/>
      <c r="EO1415" s="29"/>
      <c r="EP1415" s="29"/>
      <c r="EQ1415" s="29"/>
      <c r="ER1415" s="29"/>
      <c r="ES1415" s="29"/>
      <c r="ET1415" s="29"/>
      <c r="EU1415" s="29"/>
      <c r="EV1415" s="29"/>
      <c r="EW1415" s="29"/>
      <c r="EX1415" s="29"/>
      <c r="EY1415" s="29"/>
      <c r="EZ1415" s="29"/>
      <c r="FA1415" s="29"/>
      <c r="FB1415" s="29"/>
      <c r="FC1415" s="29"/>
      <c r="FD1415" s="29"/>
      <c r="FE1415" s="29"/>
      <c r="FF1415" s="29"/>
      <c r="FG1415" s="29"/>
      <c r="FH1415" s="29"/>
      <c r="FI1415" s="29"/>
      <c r="FJ1415" s="29"/>
      <c r="FK1415" s="29"/>
      <c r="FL1415" s="29"/>
      <c r="FM1415" s="29"/>
      <c r="FN1415" s="29"/>
      <c r="FO1415" s="29"/>
      <c r="FP1415" s="29"/>
      <c r="FQ1415" s="29"/>
      <c r="FR1415" s="29"/>
      <c r="FS1415" s="29"/>
      <c r="FT1415" s="29"/>
      <c r="FU1415" s="29"/>
      <c r="FV1415" s="29"/>
      <c r="FW1415" s="29"/>
      <c r="FX1415" s="29"/>
      <c r="FY1415" s="29"/>
      <c r="FZ1415" s="29"/>
      <c r="GA1415" s="29"/>
      <c r="GB1415" s="29"/>
      <c r="GC1415" s="29"/>
      <c r="GD1415" s="29"/>
      <c r="GE1415" s="29"/>
      <c r="GF1415" s="29"/>
      <c r="GG1415" s="29"/>
      <c r="GH1415" s="29"/>
      <c r="GI1415" s="29"/>
      <c r="GJ1415" s="29"/>
      <c r="GK1415" s="29"/>
      <c r="GL1415" s="29"/>
      <c r="GM1415" s="29"/>
      <c r="GN1415" s="29"/>
      <c r="GO1415" s="29"/>
      <c r="GP1415" s="29"/>
      <c r="GQ1415" s="29"/>
      <c r="GR1415" s="29"/>
      <c r="GS1415" s="29"/>
      <c r="GT1415" s="29"/>
      <c r="GU1415" s="29"/>
      <c r="GV1415" s="29"/>
      <c r="GW1415" s="29"/>
      <c r="GX1415" s="29"/>
      <c r="GY1415" s="29"/>
      <c r="GZ1415" s="29"/>
      <c r="HA1415" s="29"/>
      <c r="HB1415" s="29"/>
      <c r="HC1415" s="29"/>
      <c r="HD1415" s="29"/>
      <c r="HE1415" s="29"/>
      <c r="HF1415" s="29"/>
      <c r="HG1415" s="29"/>
      <c r="HH1415" s="29"/>
      <c r="HI1415" s="29"/>
      <c r="HJ1415" s="29"/>
      <c r="HK1415" s="29"/>
      <c r="HL1415" s="29"/>
      <c r="HM1415" s="29"/>
      <c r="HN1415" s="29"/>
      <c r="HO1415" s="29"/>
      <c r="HP1415" s="29"/>
      <c r="HQ1415" s="29"/>
      <c r="HR1415" s="29"/>
      <c r="HS1415" s="29"/>
      <c r="HT1415" s="29"/>
      <c r="HU1415" s="29"/>
      <c r="HV1415" s="29"/>
      <c r="HW1415" s="29"/>
      <c r="HX1415" s="29"/>
      <c r="HY1415" s="29"/>
      <c r="HZ1415" s="29"/>
      <c r="IA1415" s="29"/>
      <c r="IB1415" s="29"/>
      <c r="IC1415" s="29"/>
      <c r="ID1415" s="29"/>
      <c r="IE1415" s="29"/>
      <c r="IF1415" s="29"/>
      <c r="IG1415" s="29"/>
      <c r="IH1415" s="29"/>
      <c r="II1415" s="29"/>
      <c r="IJ1415" s="29"/>
      <c r="IK1415" s="29"/>
      <c r="IL1415" s="29"/>
      <c r="IM1415" s="29"/>
      <c r="IN1415" s="29"/>
      <c r="IO1415" s="29"/>
      <c r="IP1415" s="29"/>
      <c r="IQ1415" s="29"/>
      <c r="IR1415" s="29"/>
      <c r="IS1415" s="29"/>
      <c r="IT1415" s="29"/>
      <c r="IU1415" s="29"/>
      <c r="IV1415" s="29"/>
      <c r="IW1415" s="29"/>
      <c r="IX1415" s="29"/>
      <c r="IY1415" s="29"/>
      <c r="IZ1415" s="29"/>
      <c r="JA1415" s="29"/>
      <c r="JB1415" s="29"/>
      <c r="JC1415" s="29"/>
      <c r="JD1415" s="29"/>
      <c r="JE1415" s="29"/>
      <c r="JF1415" s="29"/>
      <c r="JG1415" s="29"/>
      <c r="JH1415" s="29"/>
      <c r="JI1415" s="29"/>
      <c r="JJ1415" s="29"/>
      <c r="JK1415" s="29"/>
      <c r="JL1415" s="29"/>
      <c r="JM1415" s="29"/>
      <c r="JN1415" s="29"/>
      <c r="JO1415" s="29"/>
      <c r="JP1415" s="29"/>
      <c r="JQ1415" s="29"/>
      <c r="JR1415" s="29"/>
      <c r="JS1415" s="29"/>
      <c r="JT1415" s="29"/>
      <c r="JU1415" s="29"/>
      <c r="JV1415" s="29"/>
      <c r="JW1415" s="29"/>
      <c r="JX1415" s="29"/>
      <c r="JY1415" s="29"/>
      <c r="JZ1415" s="29"/>
      <c r="KA1415" s="29"/>
      <c r="KB1415" s="29"/>
      <c r="KC1415" s="29"/>
      <c r="KD1415" s="29"/>
      <c r="KE1415" s="29"/>
      <c r="KF1415" s="29"/>
      <c r="KG1415" s="29"/>
      <c r="KH1415" s="29"/>
      <c r="KI1415" s="29"/>
      <c r="KJ1415" s="29"/>
      <c r="KK1415" s="29"/>
      <c r="KL1415" s="29"/>
      <c r="KM1415" s="29"/>
      <c r="KN1415" s="29"/>
      <c r="KO1415" s="29"/>
      <c r="KP1415" s="29"/>
      <c r="KQ1415" s="29"/>
      <c r="KR1415" s="29"/>
      <c r="KS1415" s="29"/>
      <c r="KT1415" s="29"/>
      <c r="KU1415" s="29"/>
      <c r="KV1415" s="29"/>
      <c r="KW1415" s="29"/>
      <c r="KX1415" s="29"/>
      <c r="KY1415" s="29"/>
      <c r="KZ1415" s="29"/>
      <c r="LA1415" s="29"/>
      <c r="LB1415" s="29"/>
      <c r="LC1415" s="29"/>
      <c r="LD1415" s="29"/>
      <c r="LE1415" s="29"/>
      <c r="LF1415" s="29"/>
      <c r="LG1415" s="29"/>
      <c r="LH1415" s="29"/>
      <c r="LI1415" s="29"/>
      <c r="LJ1415" s="29"/>
      <c r="LK1415" s="29"/>
      <c r="LL1415" s="29"/>
      <c r="LM1415" s="29"/>
      <c r="LN1415" s="29"/>
      <c r="LO1415" s="29"/>
      <c r="LP1415" s="29"/>
      <c r="LQ1415" s="29"/>
      <c r="LR1415" s="29"/>
      <c r="LS1415" s="29"/>
      <c r="LT1415" s="29"/>
      <c r="LU1415" s="29"/>
      <c r="LV1415" s="29"/>
      <c r="LW1415" s="29"/>
      <c r="LX1415" s="29"/>
      <c r="LY1415" s="29"/>
      <c r="LZ1415" s="29"/>
      <c r="MA1415" s="29"/>
      <c r="MB1415" s="29"/>
      <c r="MC1415" s="29"/>
      <c r="MD1415" s="29"/>
      <c r="ME1415" s="29"/>
      <c r="MF1415" s="29"/>
      <c r="MG1415" s="29"/>
      <c r="MH1415" s="29"/>
      <c r="MI1415" s="29"/>
      <c r="MJ1415" s="29"/>
      <c r="MK1415" s="29"/>
      <c r="ML1415" s="29"/>
      <c r="MM1415" s="29"/>
      <c r="MN1415" s="29"/>
      <c r="MO1415" s="29"/>
      <c r="MP1415" s="29"/>
      <c r="MQ1415" s="29"/>
      <c r="MR1415" s="29"/>
      <c r="MS1415" s="29"/>
      <c r="MT1415" s="29"/>
      <c r="MU1415" s="29"/>
      <c r="MV1415" s="29"/>
      <c r="MW1415" s="29"/>
      <c r="MX1415" s="29"/>
      <c r="MY1415" s="29"/>
      <c r="MZ1415" s="29"/>
      <c r="NA1415" s="29"/>
      <c r="NB1415" s="29"/>
      <c r="NC1415" s="29"/>
      <c r="ND1415" s="29"/>
      <c r="NE1415" s="29"/>
      <c r="NF1415" s="29"/>
      <c r="NG1415" s="29"/>
      <c r="NH1415" s="29"/>
      <c r="NI1415" s="29"/>
      <c r="NJ1415" s="29"/>
      <c r="NK1415" s="29"/>
      <c r="NL1415" s="29"/>
      <c r="NM1415" s="29"/>
      <c r="NN1415" s="29"/>
      <c r="NO1415" s="29"/>
      <c r="NP1415" s="29"/>
      <c r="NQ1415" s="29"/>
      <c r="NR1415" s="29"/>
      <c r="NS1415" s="29"/>
      <c r="NT1415" s="29"/>
      <c r="NU1415" s="29"/>
      <c r="NV1415" s="29"/>
      <c r="NW1415" s="29"/>
      <c r="NX1415" s="29"/>
      <c r="NY1415" s="29"/>
      <c r="NZ1415" s="29"/>
      <c r="OA1415" s="29"/>
      <c r="OB1415" s="29"/>
      <c r="OC1415" s="29"/>
      <c r="OD1415" s="29"/>
      <c r="OE1415" s="29"/>
      <c r="OF1415" s="29"/>
      <c r="OG1415" s="29"/>
      <c r="OH1415" s="29"/>
      <c r="OI1415" s="29"/>
      <c r="OJ1415" s="29"/>
      <c r="OK1415" s="29"/>
      <c r="OL1415" s="29"/>
      <c r="OM1415" s="29"/>
      <c r="ON1415" s="29"/>
      <c r="OO1415" s="29"/>
      <c r="OP1415" s="29"/>
      <c r="OQ1415" s="29"/>
      <c r="OR1415" s="29"/>
      <c r="OS1415" s="29"/>
      <c r="OT1415" s="29"/>
      <c r="OU1415" s="29"/>
      <c r="OV1415" s="29"/>
      <c r="OW1415" s="29"/>
      <c r="OX1415" s="29"/>
      <c r="OY1415" s="29"/>
      <c r="OZ1415" s="29"/>
      <c r="PA1415" s="29"/>
      <c r="PB1415" s="29"/>
      <c r="PC1415" s="29"/>
      <c r="PD1415" s="29"/>
      <c r="PE1415" s="29"/>
      <c r="PF1415" s="29"/>
      <c r="PG1415" s="29"/>
      <c r="PH1415" s="29"/>
      <c r="PI1415" s="29"/>
      <c r="PJ1415" s="29"/>
      <c r="PK1415" s="29"/>
      <c r="PL1415" s="29"/>
      <c r="PM1415" s="29"/>
      <c r="PN1415" s="29"/>
      <c r="PO1415" s="29"/>
      <c r="PP1415" s="29"/>
      <c r="PQ1415" s="29"/>
      <c r="PR1415" s="29"/>
      <c r="PS1415" s="29"/>
      <c r="PT1415" s="29"/>
      <c r="PU1415" s="29"/>
      <c r="PV1415" s="29"/>
      <c r="PW1415" s="29"/>
      <c r="PX1415" s="29"/>
      <c r="PY1415" s="29"/>
      <c r="PZ1415" s="29"/>
      <c r="QA1415" s="29"/>
      <c r="QB1415" s="29"/>
      <c r="QC1415" s="29"/>
      <c r="QD1415" s="29"/>
      <c r="QE1415" s="29"/>
      <c r="QF1415" s="29"/>
      <c r="QG1415" s="29"/>
      <c r="QH1415" s="29"/>
      <c r="QI1415" s="29"/>
      <c r="QJ1415" s="29"/>
      <c r="QK1415" s="29"/>
      <c r="QL1415" s="29"/>
      <c r="QM1415" s="29"/>
      <c r="QN1415" s="29"/>
      <c r="QO1415" s="29"/>
      <c r="QP1415" s="29"/>
      <c r="QQ1415" s="29"/>
      <c r="QR1415" s="29"/>
      <c r="QS1415" s="29"/>
      <c r="QT1415" s="29"/>
      <c r="QU1415" s="29"/>
      <c r="QV1415" s="29"/>
      <c r="QW1415" s="29"/>
      <c r="QX1415" s="29"/>
      <c r="QY1415" s="29"/>
      <c r="QZ1415" s="29"/>
      <c r="RA1415" s="29"/>
      <c r="RB1415" s="29"/>
      <c r="RC1415" s="29"/>
      <c r="RD1415" s="29"/>
      <c r="RE1415" s="29"/>
      <c r="RF1415" s="29"/>
      <c r="RG1415" s="29"/>
      <c r="RH1415" s="29"/>
      <c r="RI1415" s="29"/>
      <c r="RJ1415" s="29"/>
      <c r="RK1415" s="29"/>
      <c r="RL1415" s="29"/>
      <c r="RM1415" s="29"/>
      <c r="RN1415" s="29"/>
      <c r="RO1415" s="29"/>
      <c r="RP1415" s="29"/>
      <c r="RQ1415" s="29"/>
      <c r="RR1415" s="29"/>
      <c r="RS1415" s="29"/>
      <c r="RT1415" s="29"/>
      <c r="RU1415" s="29"/>
      <c r="RV1415" s="29"/>
      <c r="RW1415" s="29"/>
      <c r="RX1415" s="29"/>
      <c r="RY1415" s="29"/>
      <c r="RZ1415" s="29"/>
      <c r="SA1415" s="29"/>
      <c r="SB1415" s="29"/>
      <c r="SC1415" s="29"/>
      <c r="SD1415" s="29"/>
      <c r="SE1415" s="29"/>
      <c r="SF1415" s="29"/>
      <c r="SG1415" s="29"/>
      <c r="SH1415" s="29"/>
      <c r="SI1415" s="29"/>
      <c r="SJ1415" s="29"/>
      <c r="SK1415" s="29"/>
      <c r="SL1415" s="29"/>
      <c r="SM1415" s="29"/>
      <c r="SN1415" s="29"/>
      <c r="SO1415" s="29"/>
      <c r="SP1415" s="29"/>
      <c r="SQ1415" s="29"/>
      <c r="SR1415" s="29"/>
      <c r="SS1415" s="29"/>
      <c r="ST1415" s="29"/>
      <c r="SU1415" s="29"/>
      <c r="SV1415" s="29"/>
      <c r="SW1415" s="29"/>
      <c r="SX1415" s="29"/>
      <c r="SY1415" s="29"/>
      <c r="SZ1415" s="29"/>
      <c r="TA1415" s="29"/>
      <c r="TB1415" s="29"/>
      <c r="TC1415" s="29"/>
      <c r="TD1415" s="29"/>
      <c r="TE1415" s="29"/>
      <c r="TF1415" s="29"/>
      <c r="TG1415" s="29"/>
      <c r="TH1415" s="29"/>
      <c r="TI1415" s="29"/>
      <c r="TJ1415" s="29"/>
      <c r="TK1415" s="29"/>
      <c r="TL1415" s="29"/>
      <c r="TM1415" s="29"/>
      <c r="TN1415" s="29"/>
      <c r="TO1415" s="29"/>
      <c r="TP1415" s="29"/>
      <c r="TQ1415" s="29"/>
      <c r="TR1415" s="29"/>
      <c r="TS1415" s="29"/>
      <c r="TT1415" s="29"/>
      <c r="TU1415" s="29"/>
      <c r="TV1415" s="29"/>
      <c r="TW1415" s="29"/>
      <c r="TX1415" s="29"/>
      <c r="TY1415" s="29"/>
      <c r="TZ1415" s="29"/>
      <c r="UA1415" s="29"/>
      <c r="UB1415" s="29"/>
      <c r="UC1415" s="29"/>
      <c r="UD1415" s="29"/>
      <c r="UE1415" s="29"/>
      <c r="UF1415" s="29"/>
      <c r="UG1415" s="29"/>
    </row>
    <row r="1416" spans="1:553" ht="45.75" customHeight="1">
      <c r="A1416" s="356" t="s">
        <v>15</v>
      </c>
      <c r="B1416" s="385"/>
      <c r="C1416" s="384" t="str">
        <f t="shared" si="215"/>
        <v>Đất chuyên trồng lúa nước (LUC)</v>
      </c>
      <c r="D1416" s="418">
        <v>2</v>
      </c>
      <c r="E1416" s="376" t="str">
        <f t="shared" si="216"/>
        <v>276</v>
      </c>
      <c r="F1416" s="385"/>
      <c r="G1416" s="386" t="s">
        <v>935</v>
      </c>
      <c r="H1416" s="370"/>
      <c r="I1416" s="370">
        <f t="shared" si="218"/>
        <v>552.29999999999995</v>
      </c>
      <c r="J1416" s="368">
        <v>72000</v>
      </c>
      <c r="K1416" s="371">
        <v>3</v>
      </c>
      <c r="L1416" s="480">
        <f t="shared" si="217"/>
        <v>119296800</v>
      </c>
      <c r="M1416" s="366"/>
      <c r="N1416" s="366"/>
      <c r="O1416" s="366"/>
      <c r="P1416" s="366"/>
      <c r="Q1416" s="812"/>
      <c r="R1416" s="1632"/>
      <c r="S1416" s="308"/>
      <c r="T1416" s="308"/>
      <c r="U1416" s="308"/>
      <c r="V1416" s="308"/>
      <c r="W1416" s="308"/>
      <c r="X1416" s="308"/>
      <c r="Y1416" s="308"/>
      <c r="Z1416" s="604"/>
      <c r="AA1416" s="308"/>
      <c r="AB1416" s="308"/>
      <c r="AC1416" s="486"/>
      <c r="AD1416" s="486"/>
      <c r="AE1416" s="486"/>
      <c r="AF1416" s="486"/>
      <c r="AG1416" s="486"/>
      <c r="AH1416" s="486"/>
      <c r="AI1416" s="486"/>
      <c r="AJ1416" s="486"/>
      <c r="AK1416" s="486"/>
      <c r="AL1416" s="206"/>
      <c r="AM1416" s="29"/>
      <c r="AN1416" s="29"/>
      <c r="AO1416" s="29"/>
      <c r="AP1416" s="29"/>
      <c r="AQ1416" s="29"/>
      <c r="AR1416" s="29"/>
      <c r="AS1416" s="29"/>
      <c r="AT1416" s="29"/>
      <c r="AU1416" s="29"/>
      <c r="AV1416" s="29"/>
      <c r="AW1416" s="29"/>
      <c r="AX1416" s="29"/>
      <c r="AY1416" s="29"/>
      <c r="AZ1416" s="29"/>
      <c r="BA1416" s="29"/>
      <c r="BB1416" s="29"/>
      <c r="BC1416" s="29"/>
      <c r="BD1416" s="29"/>
      <c r="BE1416" s="29"/>
      <c r="BF1416" s="29"/>
      <c r="BG1416" s="29"/>
      <c r="BH1416" s="29"/>
      <c r="BI1416" s="29"/>
      <c r="BJ1416" s="29"/>
      <c r="BK1416" s="29"/>
      <c r="BL1416" s="29"/>
      <c r="BM1416" s="29"/>
      <c r="BN1416" s="29"/>
      <c r="BO1416" s="29"/>
      <c r="BP1416" s="29"/>
      <c r="BQ1416" s="29"/>
      <c r="BR1416" s="29"/>
      <c r="BS1416" s="29"/>
      <c r="BT1416" s="29"/>
      <c r="BU1416" s="29"/>
      <c r="BV1416" s="29"/>
      <c r="BW1416" s="29"/>
      <c r="BX1416" s="29"/>
      <c r="BY1416" s="29"/>
      <c r="BZ1416" s="29"/>
      <c r="CA1416" s="29"/>
      <c r="CB1416" s="29"/>
      <c r="CC1416" s="29"/>
      <c r="CD1416" s="29"/>
      <c r="CE1416" s="29"/>
      <c r="CF1416" s="29"/>
      <c r="CG1416" s="29"/>
      <c r="CH1416" s="29"/>
      <c r="CI1416" s="29"/>
      <c r="CJ1416" s="29"/>
      <c r="CK1416" s="29"/>
      <c r="CL1416" s="29"/>
      <c r="CM1416" s="29"/>
      <c r="CN1416" s="29"/>
      <c r="CO1416" s="29"/>
      <c r="CP1416" s="29"/>
      <c r="CQ1416" s="29"/>
      <c r="CR1416" s="29"/>
      <c r="CS1416" s="29"/>
      <c r="CT1416" s="29"/>
      <c r="CU1416" s="29"/>
      <c r="CV1416" s="29"/>
      <c r="CW1416" s="29"/>
      <c r="CX1416" s="29"/>
      <c r="CY1416" s="29"/>
      <c r="CZ1416" s="29"/>
      <c r="DA1416" s="29"/>
      <c r="DB1416" s="29"/>
      <c r="DC1416" s="29"/>
      <c r="DD1416" s="29"/>
      <c r="DE1416" s="29"/>
      <c r="DF1416" s="29"/>
      <c r="DG1416" s="29"/>
      <c r="DH1416" s="29"/>
      <c r="DI1416" s="29"/>
      <c r="DJ1416" s="29"/>
      <c r="DK1416" s="29"/>
      <c r="DL1416" s="29"/>
      <c r="DM1416" s="29"/>
      <c r="DN1416" s="29"/>
      <c r="DO1416" s="29"/>
      <c r="DP1416" s="29"/>
      <c r="DQ1416" s="29"/>
      <c r="DR1416" s="29"/>
      <c r="DS1416" s="29"/>
      <c r="DT1416" s="29"/>
      <c r="DU1416" s="29"/>
      <c r="DV1416" s="29"/>
      <c r="DW1416" s="29"/>
      <c r="DX1416" s="29"/>
      <c r="DY1416" s="29"/>
      <c r="DZ1416" s="29"/>
      <c r="EA1416" s="29"/>
      <c r="EB1416" s="29"/>
      <c r="EC1416" s="29"/>
      <c r="ED1416" s="29"/>
      <c r="EE1416" s="29"/>
      <c r="EF1416" s="29"/>
      <c r="EG1416" s="29"/>
      <c r="EH1416" s="29"/>
      <c r="EI1416" s="29"/>
      <c r="EJ1416" s="29"/>
      <c r="EK1416" s="29"/>
      <c r="EL1416" s="29"/>
      <c r="EM1416" s="29"/>
      <c r="EN1416" s="29"/>
      <c r="EO1416" s="29"/>
      <c r="EP1416" s="29"/>
      <c r="EQ1416" s="29"/>
      <c r="ER1416" s="29"/>
      <c r="ES1416" s="29"/>
      <c r="ET1416" s="29"/>
      <c r="EU1416" s="29"/>
      <c r="EV1416" s="29"/>
      <c r="EW1416" s="29"/>
      <c r="EX1416" s="29"/>
      <c r="EY1416" s="29"/>
      <c r="EZ1416" s="29"/>
      <c r="FA1416" s="29"/>
      <c r="FB1416" s="29"/>
      <c r="FC1416" s="29"/>
      <c r="FD1416" s="29"/>
      <c r="FE1416" s="29"/>
      <c r="FF1416" s="29"/>
      <c r="FG1416" s="29"/>
      <c r="FH1416" s="29"/>
      <c r="FI1416" s="29"/>
      <c r="FJ1416" s="29"/>
      <c r="FK1416" s="29"/>
      <c r="FL1416" s="29"/>
      <c r="FM1416" s="29"/>
      <c r="FN1416" s="29"/>
      <c r="FO1416" s="29"/>
      <c r="FP1416" s="29"/>
      <c r="FQ1416" s="29"/>
      <c r="FR1416" s="29"/>
      <c r="FS1416" s="29"/>
      <c r="FT1416" s="29"/>
      <c r="FU1416" s="29"/>
      <c r="FV1416" s="29"/>
      <c r="FW1416" s="29"/>
      <c r="FX1416" s="29"/>
      <c r="FY1416" s="29"/>
      <c r="FZ1416" s="29"/>
      <c r="GA1416" s="29"/>
      <c r="GB1416" s="29"/>
      <c r="GC1416" s="29"/>
      <c r="GD1416" s="29"/>
      <c r="GE1416" s="29"/>
      <c r="GF1416" s="29"/>
      <c r="GG1416" s="29"/>
      <c r="GH1416" s="29"/>
      <c r="GI1416" s="29"/>
      <c r="GJ1416" s="29"/>
      <c r="GK1416" s="29"/>
      <c r="GL1416" s="29"/>
      <c r="GM1416" s="29"/>
      <c r="GN1416" s="29"/>
      <c r="GO1416" s="29"/>
      <c r="GP1416" s="29"/>
      <c r="GQ1416" s="29"/>
      <c r="GR1416" s="29"/>
      <c r="GS1416" s="29"/>
      <c r="GT1416" s="29"/>
      <c r="GU1416" s="29"/>
      <c r="GV1416" s="29"/>
      <c r="GW1416" s="29"/>
      <c r="GX1416" s="29"/>
      <c r="GY1416" s="29"/>
      <c r="GZ1416" s="29"/>
      <c r="HA1416" s="29"/>
      <c r="HB1416" s="29"/>
      <c r="HC1416" s="29"/>
      <c r="HD1416" s="29"/>
      <c r="HE1416" s="29"/>
      <c r="HF1416" s="29"/>
      <c r="HG1416" s="29"/>
      <c r="HH1416" s="29"/>
      <c r="HI1416" s="29"/>
      <c r="HJ1416" s="29"/>
      <c r="HK1416" s="29"/>
      <c r="HL1416" s="29"/>
      <c r="HM1416" s="29"/>
      <c r="HN1416" s="29"/>
      <c r="HO1416" s="29"/>
      <c r="HP1416" s="29"/>
      <c r="HQ1416" s="29"/>
      <c r="HR1416" s="29"/>
      <c r="HS1416" s="29"/>
      <c r="HT1416" s="29"/>
      <c r="HU1416" s="29"/>
      <c r="HV1416" s="29"/>
      <c r="HW1416" s="29"/>
      <c r="HX1416" s="29"/>
      <c r="HY1416" s="29"/>
      <c r="HZ1416" s="29"/>
      <c r="IA1416" s="29"/>
      <c r="IB1416" s="29"/>
      <c r="IC1416" s="29"/>
      <c r="ID1416" s="29"/>
      <c r="IE1416" s="29"/>
      <c r="IF1416" s="29"/>
      <c r="IG1416" s="29"/>
      <c r="IH1416" s="29"/>
      <c r="II1416" s="29"/>
      <c r="IJ1416" s="29"/>
      <c r="IK1416" s="29"/>
      <c r="IL1416" s="29"/>
      <c r="IM1416" s="29"/>
      <c r="IN1416" s="29"/>
      <c r="IO1416" s="29"/>
      <c r="IP1416" s="29"/>
      <c r="IQ1416" s="29"/>
      <c r="IR1416" s="29"/>
      <c r="IS1416" s="29"/>
      <c r="IT1416" s="29"/>
      <c r="IU1416" s="29"/>
      <c r="IV1416" s="29"/>
      <c r="IW1416" s="29"/>
      <c r="IX1416" s="29"/>
      <c r="IY1416" s="29"/>
      <c r="IZ1416" s="29"/>
      <c r="JA1416" s="29"/>
      <c r="JB1416" s="29"/>
      <c r="JC1416" s="29"/>
      <c r="JD1416" s="29"/>
      <c r="JE1416" s="29"/>
      <c r="JF1416" s="29"/>
      <c r="JG1416" s="29"/>
      <c r="JH1416" s="29"/>
      <c r="JI1416" s="29"/>
      <c r="JJ1416" s="29"/>
      <c r="JK1416" s="29"/>
      <c r="JL1416" s="29"/>
      <c r="JM1416" s="29"/>
      <c r="JN1416" s="29"/>
      <c r="JO1416" s="29"/>
      <c r="JP1416" s="29"/>
      <c r="JQ1416" s="29"/>
      <c r="JR1416" s="29"/>
      <c r="JS1416" s="29"/>
      <c r="JT1416" s="29"/>
      <c r="JU1416" s="29"/>
      <c r="JV1416" s="29"/>
      <c r="JW1416" s="29"/>
      <c r="JX1416" s="29"/>
      <c r="JY1416" s="29"/>
      <c r="JZ1416" s="29"/>
      <c r="KA1416" s="29"/>
      <c r="KB1416" s="29"/>
      <c r="KC1416" s="29"/>
      <c r="KD1416" s="29"/>
      <c r="KE1416" s="29"/>
      <c r="KF1416" s="29"/>
      <c r="KG1416" s="29"/>
      <c r="KH1416" s="29"/>
      <c r="KI1416" s="29"/>
      <c r="KJ1416" s="29"/>
      <c r="KK1416" s="29"/>
      <c r="KL1416" s="29"/>
      <c r="KM1416" s="29"/>
      <c r="KN1416" s="29"/>
      <c r="KO1416" s="29"/>
      <c r="KP1416" s="29"/>
      <c r="KQ1416" s="29"/>
      <c r="KR1416" s="29"/>
      <c r="KS1416" s="29"/>
      <c r="KT1416" s="29"/>
      <c r="KU1416" s="29"/>
      <c r="KV1416" s="29"/>
      <c r="KW1416" s="29"/>
      <c r="KX1416" s="29"/>
      <c r="KY1416" s="29"/>
      <c r="KZ1416" s="29"/>
      <c r="LA1416" s="29"/>
      <c r="LB1416" s="29"/>
      <c r="LC1416" s="29"/>
      <c r="LD1416" s="29"/>
      <c r="LE1416" s="29"/>
      <c r="LF1416" s="29"/>
      <c r="LG1416" s="29"/>
      <c r="LH1416" s="29"/>
      <c r="LI1416" s="29"/>
      <c r="LJ1416" s="29"/>
      <c r="LK1416" s="29"/>
      <c r="LL1416" s="29"/>
      <c r="LM1416" s="29"/>
      <c r="LN1416" s="29"/>
      <c r="LO1416" s="29"/>
      <c r="LP1416" s="29"/>
      <c r="LQ1416" s="29"/>
      <c r="LR1416" s="29"/>
      <c r="LS1416" s="29"/>
      <c r="LT1416" s="29"/>
      <c r="LU1416" s="29"/>
      <c r="LV1416" s="29"/>
      <c r="LW1416" s="29"/>
      <c r="LX1416" s="29"/>
      <c r="LY1416" s="29"/>
      <c r="LZ1416" s="29"/>
      <c r="MA1416" s="29"/>
      <c r="MB1416" s="29"/>
      <c r="MC1416" s="29"/>
      <c r="MD1416" s="29"/>
      <c r="ME1416" s="29"/>
      <c r="MF1416" s="29"/>
      <c r="MG1416" s="29"/>
      <c r="MH1416" s="29"/>
      <c r="MI1416" s="29"/>
      <c r="MJ1416" s="29"/>
      <c r="MK1416" s="29"/>
      <c r="ML1416" s="29"/>
      <c r="MM1416" s="29"/>
      <c r="MN1416" s="29"/>
      <c r="MO1416" s="29"/>
      <c r="MP1416" s="29"/>
      <c r="MQ1416" s="29"/>
      <c r="MR1416" s="29"/>
      <c r="MS1416" s="29"/>
      <c r="MT1416" s="29"/>
      <c r="MU1416" s="29"/>
      <c r="MV1416" s="29"/>
      <c r="MW1416" s="29"/>
      <c r="MX1416" s="29"/>
      <c r="MY1416" s="29"/>
      <c r="MZ1416" s="29"/>
      <c r="NA1416" s="29"/>
      <c r="NB1416" s="29"/>
      <c r="NC1416" s="29"/>
      <c r="ND1416" s="29"/>
      <c r="NE1416" s="29"/>
      <c r="NF1416" s="29"/>
      <c r="NG1416" s="29"/>
      <c r="NH1416" s="29"/>
      <c r="NI1416" s="29"/>
      <c r="NJ1416" s="29"/>
      <c r="NK1416" s="29"/>
      <c r="NL1416" s="29"/>
      <c r="NM1416" s="29"/>
      <c r="NN1416" s="29"/>
      <c r="NO1416" s="29"/>
      <c r="NP1416" s="29"/>
      <c r="NQ1416" s="29"/>
      <c r="NR1416" s="29"/>
      <c r="NS1416" s="29"/>
      <c r="NT1416" s="29"/>
      <c r="NU1416" s="29"/>
      <c r="NV1416" s="29"/>
      <c r="NW1416" s="29"/>
      <c r="NX1416" s="29"/>
      <c r="NY1416" s="29"/>
      <c r="NZ1416" s="29"/>
      <c r="OA1416" s="29"/>
      <c r="OB1416" s="29"/>
      <c r="OC1416" s="29"/>
      <c r="OD1416" s="29"/>
      <c r="OE1416" s="29"/>
      <c r="OF1416" s="29"/>
      <c r="OG1416" s="29"/>
      <c r="OH1416" s="29"/>
      <c r="OI1416" s="29"/>
      <c r="OJ1416" s="29"/>
      <c r="OK1416" s="29"/>
      <c r="OL1416" s="29"/>
      <c r="OM1416" s="29"/>
      <c r="ON1416" s="29"/>
      <c r="OO1416" s="29"/>
      <c r="OP1416" s="29"/>
      <c r="OQ1416" s="29"/>
      <c r="OR1416" s="29"/>
      <c r="OS1416" s="29"/>
      <c r="OT1416" s="29"/>
      <c r="OU1416" s="29"/>
      <c r="OV1416" s="29"/>
      <c r="OW1416" s="29"/>
      <c r="OX1416" s="29"/>
      <c r="OY1416" s="29"/>
      <c r="OZ1416" s="29"/>
      <c r="PA1416" s="29"/>
      <c r="PB1416" s="29"/>
      <c r="PC1416" s="29"/>
      <c r="PD1416" s="29"/>
      <c r="PE1416" s="29"/>
      <c r="PF1416" s="29"/>
      <c r="PG1416" s="29"/>
      <c r="PH1416" s="29"/>
      <c r="PI1416" s="29"/>
      <c r="PJ1416" s="29"/>
      <c r="PK1416" s="29"/>
      <c r="PL1416" s="29"/>
      <c r="PM1416" s="29"/>
      <c r="PN1416" s="29"/>
      <c r="PO1416" s="29"/>
      <c r="PP1416" s="29"/>
      <c r="PQ1416" s="29"/>
      <c r="PR1416" s="29"/>
      <c r="PS1416" s="29"/>
      <c r="PT1416" s="29"/>
      <c r="PU1416" s="29"/>
      <c r="PV1416" s="29"/>
      <c r="PW1416" s="29"/>
      <c r="PX1416" s="29"/>
      <c r="PY1416" s="29"/>
      <c r="PZ1416" s="29"/>
      <c r="QA1416" s="29"/>
      <c r="QB1416" s="29"/>
      <c r="QC1416" s="29"/>
      <c r="QD1416" s="29"/>
      <c r="QE1416" s="29"/>
      <c r="QF1416" s="29"/>
      <c r="QG1416" s="29"/>
      <c r="QH1416" s="29"/>
      <c r="QI1416" s="29"/>
      <c r="QJ1416" s="29"/>
      <c r="QK1416" s="29"/>
      <c r="QL1416" s="29"/>
      <c r="QM1416" s="29"/>
      <c r="QN1416" s="29"/>
      <c r="QO1416" s="29"/>
      <c r="QP1416" s="29"/>
      <c r="QQ1416" s="29"/>
      <c r="QR1416" s="29"/>
      <c r="QS1416" s="29"/>
      <c r="QT1416" s="29"/>
      <c r="QU1416" s="29"/>
      <c r="QV1416" s="29"/>
      <c r="QW1416" s="29"/>
      <c r="QX1416" s="29"/>
      <c r="QY1416" s="29"/>
      <c r="QZ1416" s="29"/>
      <c r="RA1416" s="29"/>
      <c r="RB1416" s="29"/>
      <c r="RC1416" s="29"/>
      <c r="RD1416" s="29"/>
      <c r="RE1416" s="29"/>
      <c r="RF1416" s="29"/>
      <c r="RG1416" s="29"/>
      <c r="RH1416" s="29"/>
      <c r="RI1416" s="29"/>
      <c r="RJ1416" s="29"/>
      <c r="RK1416" s="29"/>
      <c r="RL1416" s="29"/>
      <c r="RM1416" s="29"/>
      <c r="RN1416" s="29"/>
      <c r="RO1416" s="29"/>
      <c r="RP1416" s="29"/>
      <c r="RQ1416" s="29"/>
      <c r="RR1416" s="29"/>
      <c r="RS1416" s="29"/>
      <c r="RT1416" s="29"/>
      <c r="RU1416" s="29"/>
      <c r="RV1416" s="29"/>
      <c r="RW1416" s="29"/>
      <c r="RX1416" s="29"/>
      <c r="RY1416" s="29"/>
      <c r="RZ1416" s="29"/>
      <c r="SA1416" s="29"/>
      <c r="SB1416" s="29"/>
      <c r="SC1416" s="29"/>
      <c r="SD1416" s="29"/>
      <c r="SE1416" s="29"/>
      <c r="SF1416" s="29"/>
      <c r="SG1416" s="29"/>
      <c r="SH1416" s="29"/>
      <c r="SI1416" s="29"/>
      <c r="SJ1416" s="29"/>
      <c r="SK1416" s="29"/>
      <c r="SL1416" s="29"/>
      <c r="SM1416" s="29"/>
      <c r="SN1416" s="29"/>
      <c r="SO1416" s="29"/>
      <c r="SP1416" s="29"/>
      <c r="SQ1416" s="29"/>
      <c r="SR1416" s="29"/>
      <c r="SS1416" s="29"/>
      <c r="ST1416" s="29"/>
      <c r="SU1416" s="29"/>
      <c r="SV1416" s="29"/>
      <c r="SW1416" s="29"/>
      <c r="SX1416" s="29"/>
      <c r="SY1416" s="29"/>
      <c r="SZ1416" s="29"/>
      <c r="TA1416" s="29"/>
      <c r="TB1416" s="29"/>
      <c r="TC1416" s="29"/>
      <c r="TD1416" s="29"/>
      <c r="TE1416" s="29"/>
      <c r="TF1416" s="29"/>
      <c r="TG1416" s="29"/>
      <c r="TH1416" s="29"/>
      <c r="TI1416" s="29"/>
      <c r="TJ1416" s="29"/>
      <c r="TK1416" s="29"/>
      <c r="TL1416" s="29"/>
      <c r="TM1416" s="29"/>
      <c r="TN1416" s="29"/>
      <c r="TO1416" s="29"/>
      <c r="TP1416" s="29"/>
      <c r="TQ1416" s="29"/>
      <c r="TR1416" s="29"/>
      <c r="TS1416" s="29"/>
      <c r="TT1416" s="29"/>
      <c r="TU1416" s="29"/>
      <c r="TV1416" s="29"/>
      <c r="TW1416" s="29"/>
      <c r="TX1416" s="29"/>
      <c r="TY1416" s="29"/>
      <c r="TZ1416" s="29"/>
      <c r="UA1416" s="29"/>
      <c r="UB1416" s="29"/>
      <c r="UC1416" s="29"/>
      <c r="UD1416" s="29"/>
      <c r="UE1416" s="29"/>
      <c r="UF1416" s="29"/>
      <c r="UG1416" s="29"/>
    </row>
    <row r="1417" spans="1:553" ht="45.75" customHeight="1">
      <c r="A1417" s="356" t="s">
        <v>15</v>
      </c>
      <c r="B1417" s="385"/>
      <c r="C1417" s="384" t="str">
        <f t="shared" si="215"/>
        <v>Đất nuôi trồng thủy sản (NTS)</v>
      </c>
      <c r="D1417" s="418">
        <v>2</v>
      </c>
      <c r="E1417" s="376" t="str">
        <f t="shared" si="216"/>
        <v>403</v>
      </c>
      <c r="F1417" s="385"/>
      <c r="G1417" s="386" t="s">
        <v>935</v>
      </c>
      <c r="H1417" s="370"/>
      <c r="I1417" s="370">
        <f t="shared" si="218"/>
        <v>541.20000000000005</v>
      </c>
      <c r="J1417" s="368">
        <v>66000</v>
      </c>
      <c r="K1417" s="371">
        <v>2.5</v>
      </c>
      <c r="L1417" s="480">
        <f t="shared" si="217"/>
        <v>89298000</v>
      </c>
      <c r="M1417" s="366"/>
      <c r="N1417" s="366"/>
      <c r="O1417" s="366"/>
      <c r="P1417" s="366"/>
      <c r="Q1417" s="812"/>
      <c r="R1417" s="1632"/>
      <c r="S1417" s="308"/>
      <c r="T1417" s="308"/>
      <c r="U1417" s="308"/>
      <c r="V1417" s="308"/>
      <c r="W1417" s="308"/>
      <c r="X1417" s="308"/>
      <c r="Y1417" s="308"/>
      <c r="Z1417" s="604"/>
      <c r="AA1417" s="308"/>
      <c r="AB1417" s="308"/>
      <c r="AC1417" s="486"/>
      <c r="AD1417" s="486"/>
      <c r="AE1417" s="486"/>
      <c r="AF1417" s="486"/>
      <c r="AG1417" s="486"/>
      <c r="AH1417" s="486"/>
      <c r="AI1417" s="486"/>
      <c r="AJ1417" s="486"/>
      <c r="AK1417" s="486"/>
      <c r="AL1417" s="206"/>
      <c r="AM1417" s="29"/>
      <c r="AN1417" s="29"/>
      <c r="AO1417" s="29"/>
      <c r="AP1417" s="29"/>
      <c r="AQ1417" s="29"/>
      <c r="AR1417" s="29"/>
      <c r="AS1417" s="29"/>
      <c r="AT1417" s="29"/>
      <c r="AU1417" s="29"/>
      <c r="AV1417" s="29"/>
      <c r="AW1417" s="29"/>
      <c r="AX1417" s="29"/>
      <c r="AY1417" s="29"/>
      <c r="AZ1417" s="29"/>
      <c r="BA1417" s="29"/>
      <c r="BB1417" s="29"/>
      <c r="BC1417" s="29"/>
      <c r="BD1417" s="29"/>
      <c r="BE1417" s="29"/>
      <c r="BF1417" s="29"/>
      <c r="BG1417" s="29"/>
      <c r="BH1417" s="29"/>
      <c r="BI1417" s="29"/>
      <c r="BJ1417" s="29"/>
      <c r="BK1417" s="29"/>
      <c r="BL1417" s="29"/>
      <c r="BM1417" s="29"/>
      <c r="BN1417" s="29"/>
      <c r="BO1417" s="29"/>
      <c r="BP1417" s="29"/>
      <c r="BQ1417" s="29"/>
      <c r="BR1417" s="29"/>
      <c r="BS1417" s="29"/>
      <c r="BT1417" s="29"/>
      <c r="BU1417" s="29"/>
      <c r="BV1417" s="29"/>
      <c r="BW1417" s="29"/>
      <c r="BX1417" s="29"/>
      <c r="BY1417" s="29"/>
      <c r="BZ1417" s="29"/>
      <c r="CA1417" s="29"/>
      <c r="CB1417" s="29"/>
      <c r="CC1417" s="29"/>
      <c r="CD1417" s="29"/>
      <c r="CE1417" s="29"/>
      <c r="CF1417" s="29"/>
      <c r="CG1417" s="29"/>
      <c r="CH1417" s="29"/>
      <c r="CI1417" s="29"/>
      <c r="CJ1417" s="29"/>
      <c r="CK1417" s="29"/>
      <c r="CL1417" s="29"/>
      <c r="CM1417" s="29"/>
      <c r="CN1417" s="29"/>
      <c r="CO1417" s="29"/>
      <c r="CP1417" s="29"/>
      <c r="CQ1417" s="29"/>
      <c r="CR1417" s="29"/>
      <c r="CS1417" s="29"/>
      <c r="CT1417" s="29"/>
      <c r="CU1417" s="29"/>
      <c r="CV1417" s="29"/>
      <c r="CW1417" s="29"/>
      <c r="CX1417" s="29"/>
      <c r="CY1417" s="29"/>
      <c r="CZ1417" s="29"/>
      <c r="DA1417" s="29"/>
      <c r="DB1417" s="29"/>
      <c r="DC1417" s="29"/>
      <c r="DD1417" s="29"/>
      <c r="DE1417" s="29"/>
      <c r="DF1417" s="29"/>
      <c r="DG1417" s="29"/>
      <c r="DH1417" s="29"/>
      <c r="DI1417" s="29"/>
      <c r="DJ1417" s="29"/>
      <c r="DK1417" s="29"/>
      <c r="DL1417" s="29"/>
      <c r="DM1417" s="29"/>
      <c r="DN1417" s="29"/>
      <c r="DO1417" s="29"/>
      <c r="DP1417" s="29"/>
      <c r="DQ1417" s="29"/>
      <c r="DR1417" s="29"/>
      <c r="DS1417" s="29"/>
      <c r="DT1417" s="29"/>
      <c r="DU1417" s="29"/>
      <c r="DV1417" s="29"/>
      <c r="DW1417" s="29"/>
      <c r="DX1417" s="29"/>
      <c r="DY1417" s="29"/>
      <c r="DZ1417" s="29"/>
      <c r="EA1417" s="29"/>
      <c r="EB1417" s="29"/>
      <c r="EC1417" s="29"/>
      <c r="ED1417" s="29"/>
      <c r="EE1417" s="29"/>
      <c r="EF1417" s="29"/>
      <c r="EG1417" s="29"/>
      <c r="EH1417" s="29"/>
      <c r="EI1417" s="29"/>
      <c r="EJ1417" s="29"/>
      <c r="EK1417" s="29"/>
      <c r="EL1417" s="29"/>
      <c r="EM1417" s="29"/>
      <c r="EN1417" s="29"/>
      <c r="EO1417" s="29"/>
      <c r="EP1417" s="29"/>
      <c r="EQ1417" s="29"/>
      <c r="ER1417" s="29"/>
      <c r="ES1417" s="29"/>
      <c r="ET1417" s="29"/>
      <c r="EU1417" s="29"/>
      <c r="EV1417" s="29"/>
      <c r="EW1417" s="29"/>
      <c r="EX1417" s="29"/>
      <c r="EY1417" s="29"/>
      <c r="EZ1417" s="29"/>
      <c r="FA1417" s="29"/>
      <c r="FB1417" s="29"/>
      <c r="FC1417" s="29"/>
      <c r="FD1417" s="29"/>
      <c r="FE1417" s="29"/>
      <c r="FF1417" s="29"/>
      <c r="FG1417" s="29"/>
      <c r="FH1417" s="29"/>
      <c r="FI1417" s="29"/>
      <c r="FJ1417" s="29"/>
      <c r="FK1417" s="29"/>
      <c r="FL1417" s="29"/>
      <c r="FM1417" s="29"/>
      <c r="FN1417" s="29"/>
      <c r="FO1417" s="29"/>
      <c r="FP1417" s="29"/>
      <c r="FQ1417" s="29"/>
      <c r="FR1417" s="29"/>
      <c r="FS1417" s="29"/>
      <c r="FT1417" s="29"/>
      <c r="FU1417" s="29"/>
      <c r="FV1417" s="29"/>
      <c r="FW1417" s="29"/>
      <c r="FX1417" s="29"/>
      <c r="FY1417" s="29"/>
      <c r="FZ1417" s="29"/>
      <c r="GA1417" s="29"/>
      <c r="GB1417" s="29"/>
      <c r="GC1417" s="29"/>
      <c r="GD1417" s="29"/>
      <c r="GE1417" s="29"/>
      <c r="GF1417" s="29"/>
      <c r="GG1417" s="29"/>
      <c r="GH1417" s="29"/>
      <c r="GI1417" s="29"/>
      <c r="GJ1417" s="29"/>
      <c r="GK1417" s="29"/>
      <c r="GL1417" s="29"/>
      <c r="GM1417" s="29"/>
      <c r="GN1417" s="29"/>
      <c r="GO1417" s="29"/>
      <c r="GP1417" s="29"/>
      <c r="GQ1417" s="29"/>
      <c r="GR1417" s="29"/>
      <c r="GS1417" s="29"/>
      <c r="GT1417" s="29"/>
      <c r="GU1417" s="29"/>
      <c r="GV1417" s="29"/>
      <c r="GW1417" s="29"/>
      <c r="GX1417" s="29"/>
      <c r="GY1417" s="29"/>
      <c r="GZ1417" s="29"/>
      <c r="HA1417" s="29"/>
      <c r="HB1417" s="29"/>
      <c r="HC1417" s="29"/>
      <c r="HD1417" s="29"/>
      <c r="HE1417" s="29"/>
      <c r="HF1417" s="29"/>
      <c r="HG1417" s="29"/>
      <c r="HH1417" s="29"/>
      <c r="HI1417" s="29"/>
      <c r="HJ1417" s="29"/>
      <c r="HK1417" s="29"/>
      <c r="HL1417" s="29"/>
      <c r="HM1417" s="29"/>
      <c r="HN1417" s="29"/>
      <c r="HO1417" s="29"/>
      <c r="HP1417" s="29"/>
      <c r="HQ1417" s="29"/>
      <c r="HR1417" s="29"/>
      <c r="HS1417" s="29"/>
      <c r="HT1417" s="29"/>
      <c r="HU1417" s="29"/>
      <c r="HV1417" s="29"/>
      <c r="HW1417" s="29"/>
      <c r="HX1417" s="29"/>
      <c r="HY1417" s="29"/>
      <c r="HZ1417" s="29"/>
      <c r="IA1417" s="29"/>
      <c r="IB1417" s="29"/>
      <c r="IC1417" s="29"/>
      <c r="ID1417" s="29"/>
      <c r="IE1417" s="29"/>
      <c r="IF1417" s="29"/>
      <c r="IG1417" s="29"/>
      <c r="IH1417" s="29"/>
      <c r="II1417" s="29"/>
      <c r="IJ1417" s="29"/>
      <c r="IK1417" s="29"/>
      <c r="IL1417" s="29"/>
      <c r="IM1417" s="29"/>
      <c r="IN1417" s="29"/>
      <c r="IO1417" s="29"/>
      <c r="IP1417" s="29"/>
      <c r="IQ1417" s="29"/>
      <c r="IR1417" s="29"/>
      <c r="IS1417" s="29"/>
      <c r="IT1417" s="29"/>
      <c r="IU1417" s="29"/>
      <c r="IV1417" s="29"/>
      <c r="IW1417" s="29"/>
      <c r="IX1417" s="29"/>
      <c r="IY1417" s="29"/>
      <c r="IZ1417" s="29"/>
      <c r="JA1417" s="29"/>
      <c r="JB1417" s="29"/>
      <c r="JC1417" s="29"/>
      <c r="JD1417" s="29"/>
      <c r="JE1417" s="29"/>
      <c r="JF1417" s="29"/>
      <c r="JG1417" s="29"/>
      <c r="JH1417" s="29"/>
      <c r="JI1417" s="29"/>
      <c r="JJ1417" s="29"/>
      <c r="JK1417" s="29"/>
      <c r="JL1417" s="29"/>
      <c r="JM1417" s="29"/>
      <c r="JN1417" s="29"/>
      <c r="JO1417" s="29"/>
      <c r="JP1417" s="29"/>
      <c r="JQ1417" s="29"/>
      <c r="JR1417" s="29"/>
      <c r="JS1417" s="29"/>
      <c r="JT1417" s="29"/>
      <c r="JU1417" s="29"/>
      <c r="JV1417" s="29"/>
      <c r="JW1417" s="29"/>
      <c r="JX1417" s="29"/>
      <c r="JY1417" s="29"/>
      <c r="JZ1417" s="29"/>
      <c r="KA1417" s="29"/>
      <c r="KB1417" s="29"/>
      <c r="KC1417" s="29"/>
      <c r="KD1417" s="29"/>
      <c r="KE1417" s="29"/>
      <c r="KF1417" s="29"/>
      <c r="KG1417" s="29"/>
      <c r="KH1417" s="29"/>
      <c r="KI1417" s="29"/>
      <c r="KJ1417" s="29"/>
      <c r="KK1417" s="29"/>
      <c r="KL1417" s="29"/>
      <c r="KM1417" s="29"/>
      <c r="KN1417" s="29"/>
      <c r="KO1417" s="29"/>
      <c r="KP1417" s="29"/>
      <c r="KQ1417" s="29"/>
      <c r="KR1417" s="29"/>
      <c r="KS1417" s="29"/>
      <c r="KT1417" s="29"/>
      <c r="KU1417" s="29"/>
      <c r="KV1417" s="29"/>
      <c r="KW1417" s="29"/>
      <c r="KX1417" s="29"/>
      <c r="KY1417" s="29"/>
      <c r="KZ1417" s="29"/>
      <c r="LA1417" s="29"/>
      <c r="LB1417" s="29"/>
      <c r="LC1417" s="29"/>
      <c r="LD1417" s="29"/>
      <c r="LE1417" s="29"/>
      <c r="LF1417" s="29"/>
      <c r="LG1417" s="29"/>
      <c r="LH1417" s="29"/>
      <c r="LI1417" s="29"/>
      <c r="LJ1417" s="29"/>
      <c r="LK1417" s="29"/>
      <c r="LL1417" s="29"/>
      <c r="LM1417" s="29"/>
      <c r="LN1417" s="29"/>
      <c r="LO1417" s="29"/>
      <c r="LP1417" s="29"/>
      <c r="LQ1417" s="29"/>
      <c r="LR1417" s="29"/>
      <c r="LS1417" s="29"/>
      <c r="LT1417" s="29"/>
      <c r="LU1417" s="29"/>
      <c r="LV1417" s="29"/>
      <c r="LW1417" s="29"/>
      <c r="LX1417" s="29"/>
      <c r="LY1417" s="29"/>
      <c r="LZ1417" s="29"/>
      <c r="MA1417" s="29"/>
      <c r="MB1417" s="29"/>
      <c r="MC1417" s="29"/>
      <c r="MD1417" s="29"/>
      <c r="ME1417" s="29"/>
      <c r="MF1417" s="29"/>
      <c r="MG1417" s="29"/>
      <c r="MH1417" s="29"/>
      <c r="MI1417" s="29"/>
      <c r="MJ1417" s="29"/>
      <c r="MK1417" s="29"/>
      <c r="ML1417" s="29"/>
      <c r="MM1417" s="29"/>
      <c r="MN1417" s="29"/>
      <c r="MO1417" s="29"/>
      <c r="MP1417" s="29"/>
      <c r="MQ1417" s="29"/>
      <c r="MR1417" s="29"/>
      <c r="MS1417" s="29"/>
      <c r="MT1417" s="29"/>
      <c r="MU1417" s="29"/>
      <c r="MV1417" s="29"/>
      <c r="MW1417" s="29"/>
      <c r="MX1417" s="29"/>
      <c r="MY1417" s="29"/>
      <c r="MZ1417" s="29"/>
      <c r="NA1417" s="29"/>
      <c r="NB1417" s="29"/>
      <c r="NC1417" s="29"/>
      <c r="ND1417" s="29"/>
      <c r="NE1417" s="29"/>
      <c r="NF1417" s="29"/>
      <c r="NG1417" s="29"/>
      <c r="NH1417" s="29"/>
      <c r="NI1417" s="29"/>
      <c r="NJ1417" s="29"/>
      <c r="NK1417" s="29"/>
      <c r="NL1417" s="29"/>
      <c r="NM1417" s="29"/>
      <c r="NN1417" s="29"/>
      <c r="NO1417" s="29"/>
      <c r="NP1417" s="29"/>
      <c r="NQ1417" s="29"/>
      <c r="NR1417" s="29"/>
      <c r="NS1417" s="29"/>
      <c r="NT1417" s="29"/>
      <c r="NU1417" s="29"/>
      <c r="NV1417" s="29"/>
      <c r="NW1417" s="29"/>
      <c r="NX1417" s="29"/>
      <c r="NY1417" s="29"/>
      <c r="NZ1417" s="29"/>
      <c r="OA1417" s="29"/>
      <c r="OB1417" s="29"/>
      <c r="OC1417" s="29"/>
      <c r="OD1417" s="29"/>
      <c r="OE1417" s="29"/>
      <c r="OF1417" s="29"/>
      <c r="OG1417" s="29"/>
      <c r="OH1417" s="29"/>
      <c r="OI1417" s="29"/>
      <c r="OJ1417" s="29"/>
      <c r="OK1417" s="29"/>
      <c r="OL1417" s="29"/>
      <c r="OM1417" s="29"/>
      <c r="ON1417" s="29"/>
      <c r="OO1417" s="29"/>
      <c r="OP1417" s="29"/>
      <c r="OQ1417" s="29"/>
      <c r="OR1417" s="29"/>
      <c r="OS1417" s="29"/>
      <c r="OT1417" s="29"/>
      <c r="OU1417" s="29"/>
      <c r="OV1417" s="29"/>
      <c r="OW1417" s="29"/>
      <c r="OX1417" s="29"/>
      <c r="OY1417" s="29"/>
      <c r="OZ1417" s="29"/>
      <c r="PA1417" s="29"/>
      <c r="PB1417" s="29"/>
      <c r="PC1417" s="29"/>
      <c r="PD1417" s="29"/>
      <c r="PE1417" s="29"/>
      <c r="PF1417" s="29"/>
      <c r="PG1417" s="29"/>
      <c r="PH1417" s="29"/>
      <c r="PI1417" s="29"/>
      <c r="PJ1417" s="29"/>
      <c r="PK1417" s="29"/>
      <c r="PL1417" s="29"/>
      <c r="PM1417" s="29"/>
      <c r="PN1417" s="29"/>
      <c r="PO1417" s="29"/>
      <c r="PP1417" s="29"/>
      <c r="PQ1417" s="29"/>
      <c r="PR1417" s="29"/>
      <c r="PS1417" s="29"/>
      <c r="PT1417" s="29"/>
      <c r="PU1417" s="29"/>
      <c r="PV1417" s="29"/>
      <c r="PW1417" s="29"/>
      <c r="PX1417" s="29"/>
      <c r="PY1417" s="29"/>
      <c r="PZ1417" s="29"/>
      <c r="QA1417" s="29"/>
      <c r="QB1417" s="29"/>
      <c r="QC1417" s="29"/>
      <c r="QD1417" s="29"/>
      <c r="QE1417" s="29"/>
      <c r="QF1417" s="29"/>
      <c r="QG1417" s="29"/>
      <c r="QH1417" s="29"/>
      <c r="QI1417" s="29"/>
      <c r="QJ1417" s="29"/>
      <c r="QK1417" s="29"/>
      <c r="QL1417" s="29"/>
      <c r="QM1417" s="29"/>
      <c r="QN1417" s="29"/>
      <c r="QO1417" s="29"/>
      <c r="QP1417" s="29"/>
      <c r="QQ1417" s="29"/>
      <c r="QR1417" s="29"/>
      <c r="QS1417" s="29"/>
      <c r="QT1417" s="29"/>
      <c r="QU1417" s="29"/>
      <c r="QV1417" s="29"/>
      <c r="QW1417" s="29"/>
      <c r="QX1417" s="29"/>
      <c r="QY1417" s="29"/>
      <c r="QZ1417" s="29"/>
      <c r="RA1417" s="29"/>
      <c r="RB1417" s="29"/>
      <c r="RC1417" s="29"/>
      <c r="RD1417" s="29"/>
      <c r="RE1417" s="29"/>
      <c r="RF1417" s="29"/>
      <c r="RG1417" s="29"/>
      <c r="RH1417" s="29"/>
      <c r="RI1417" s="29"/>
      <c r="RJ1417" s="29"/>
      <c r="RK1417" s="29"/>
      <c r="RL1417" s="29"/>
      <c r="RM1417" s="29"/>
      <c r="RN1417" s="29"/>
      <c r="RO1417" s="29"/>
      <c r="RP1417" s="29"/>
      <c r="RQ1417" s="29"/>
      <c r="RR1417" s="29"/>
      <c r="RS1417" s="29"/>
      <c r="RT1417" s="29"/>
      <c r="RU1417" s="29"/>
      <c r="RV1417" s="29"/>
      <c r="RW1417" s="29"/>
      <c r="RX1417" s="29"/>
      <c r="RY1417" s="29"/>
      <c r="RZ1417" s="29"/>
      <c r="SA1417" s="29"/>
      <c r="SB1417" s="29"/>
      <c r="SC1417" s="29"/>
      <c r="SD1417" s="29"/>
      <c r="SE1417" s="29"/>
      <c r="SF1417" s="29"/>
      <c r="SG1417" s="29"/>
      <c r="SH1417" s="29"/>
      <c r="SI1417" s="29"/>
      <c r="SJ1417" s="29"/>
      <c r="SK1417" s="29"/>
      <c r="SL1417" s="29"/>
      <c r="SM1417" s="29"/>
      <c r="SN1417" s="29"/>
      <c r="SO1417" s="29"/>
      <c r="SP1417" s="29"/>
      <c r="SQ1417" s="29"/>
      <c r="SR1417" s="29"/>
      <c r="SS1417" s="29"/>
      <c r="ST1417" s="29"/>
      <c r="SU1417" s="29"/>
      <c r="SV1417" s="29"/>
      <c r="SW1417" s="29"/>
      <c r="SX1417" s="29"/>
      <c r="SY1417" s="29"/>
      <c r="SZ1417" s="29"/>
      <c r="TA1417" s="29"/>
      <c r="TB1417" s="29"/>
      <c r="TC1417" s="29"/>
      <c r="TD1417" s="29"/>
      <c r="TE1417" s="29"/>
      <c r="TF1417" s="29"/>
      <c r="TG1417" s="29"/>
      <c r="TH1417" s="29"/>
      <c r="TI1417" s="29"/>
      <c r="TJ1417" s="29"/>
      <c r="TK1417" s="29"/>
      <c r="TL1417" s="29"/>
      <c r="TM1417" s="29"/>
      <c r="TN1417" s="29"/>
      <c r="TO1417" s="29"/>
      <c r="TP1417" s="29"/>
      <c r="TQ1417" s="29"/>
      <c r="TR1417" s="29"/>
      <c r="TS1417" s="29"/>
      <c r="TT1417" s="29"/>
      <c r="TU1417" s="29"/>
      <c r="TV1417" s="29"/>
      <c r="TW1417" s="29"/>
      <c r="TX1417" s="29"/>
      <c r="TY1417" s="29"/>
      <c r="TZ1417" s="29"/>
      <c r="UA1417" s="29"/>
      <c r="UB1417" s="29"/>
      <c r="UC1417" s="29"/>
      <c r="UD1417" s="29"/>
      <c r="UE1417" s="29"/>
      <c r="UF1417" s="29"/>
      <c r="UG1417" s="29"/>
    </row>
    <row r="1418" spans="1:553" ht="45.75" customHeight="1">
      <c r="A1418" s="356" t="s">
        <v>15</v>
      </c>
      <c r="B1418" s="385"/>
      <c r="C1418" s="384" t="str">
        <f t="shared" si="215"/>
        <v>Đất chuyên trồng lúa nước (LUC)</v>
      </c>
      <c r="D1418" s="418">
        <v>2</v>
      </c>
      <c r="E1418" s="376" t="str">
        <f t="shared" si="216"/>
        <v>413</v>
      </c>
      <c r="F1418" s="385"/>
      <c r="G1418" s="386" t="s">
        <v>935</v>
      </c>
      <c r="H1418" s="370"/>
      <c r="I1418" s="370">
        <f t="shared" si="218"/>
        <v>309</v>
      </c>
      <c r="J1418" s="368">
        <v>72000</v>
      </c>
      <c r="K1418" s="371">
        <v>3</v>
      </c>
      <c r="L1418" s="480">
        <f t="shared" si="217"/>
        <v>66744000</v>
      </c>
      <c r="M1418" s="366"/>
      <c r="N1418" s="366"/>
      <c r="O1418" s="366"/>
      <c r="P1418" s="366"/>
      <c r="Q1418" s="812"/>
      <c r="R1418" s="1632"/>
      <c r="S1418" s="308"/>
      <c r="T1418" s="308"/>
      <c r="U1418" s="308"/>
      <c r="V1418" s="308"/>
      <c r="W1418" s="308"/>
      <c r="X1418" s="308"/>
      <c r="Y1418" s="308"/>
      <c r="Z1418" s="604"/>
      <c r="AA1418" s="308"/>
      <c r="AB1418" s="308"/>
      <c r="AC1418" s="486"/>
      <c r="AD1418" s="486"/>
      <c r="AE1418" s="486"/>
      <c r="AF1418" s="486"/>
      <c r="AG1418" s="486"/>
      <c r="AH1418" s="486"/>
      <c r="AI1418" s="486"/>
      <c r="AJ1418" s="486"/>
      <c r="AK1418" s="486"/>
      <c r="AL1418" s="206"/>
      <c r="AM1418" s="29"/>
      <c r="AN1418" s="29"/>
      <c r="AO1418" s="29"/>
      <c r="AP1418" s="29"/>
      <c r="AQ1418" s="29"/>
      <c r="AR1418" s="29"/>
      <c r="AS1418" s="29"/>
      <c r="AT1418" s="29"/>
      <c r="AU1418" s="29"/>
      <c r="AV1418" s="29"/>
      <c r="AW1418" s="29"/>
      <c r="AX1418" s="29"/>
      <c r="AY1418" s="29"/>
      <c r="AZ1418" s="29"/>
      <c r="BA1418" s="29"/>
      <c r="BB1418" s="29"/>
      <c r="BC1418" s="29"/>
      <c r="BD1418" s="29"/>
      <c r="BE1418" s="29"/>
      <c r="BF1418" s="29"/>
      <c r="BG1418" s="29"/>
      <c r="BH1418" s="29"/>
      <c r="BI1418" s="29"/>
      <c r="BJ1418" s="29"/>
      <c r="BK1418" s="29"/>
      <c r="BL1418" s="29"/>
      <c r="BM1418" s="29"/>
      <c r="BN1418" s="29"/>
      <c r="BO1418" s="29"/>
      <c r="BP1418" s="29"/>
      <c r="BQ1418" s="29"/>
      <c r="BR1418" s="29"/>
      <c r="BS1418" s="29"/>
      <c r="BT1418" s="29"/>
      <c r="BU1418" s="29"/>
      <c r="BV1418" s="29"/>
      <c r="BW1418" s="29"/>
      <c r="BX1418" s="29"/>
      <c r="BY1418" s="29"/>
      <c r="BZ1418" s="29"/>
      <c r="CA1418" s="29"/>
      <c r="CB1418" s="29"/>
      <c r="CC1418" s="29"/>
      <c r="CD1418" s="29"/>
      <c r="CE1418" s="29"/>
      <c r="CF1418" s="29"/>
      <c r="CG1418" s="29"/>
      <c r="CH1418" s="29"/>
      <c r="CI1418" s="29"/>
      <c r="CJ1418" s="29"/>
      <c r="CK1418" s="29"/>
      <c r="CL1418" s="29"/>
      <c r="CM1418" s="29"/>
      <c r="CN1418" s="29"/>
      <c r="CO1418" s="29"/>
      <c r="CP1418" s="29"/>
      <c r="CQ1418" s="29"/>
      <c r="CR1418" s="29"/>
      <c r="CS1418" s="29"/>
      <c r="CT1418" s="29"/>
      <c r="CU1418" s="29"/>
      <c r="CV1418" s="29"/>
      <c r="CW1418" s="29"/>
      <c r="CX1418" s="29"/>
      <c r="CY1418" s="29"/>
      <c r="CZ1418" s="29"/>
      <c r="DA1418" s="29"/>
      <c r="DB1418" s="29"/>
      <c r="DC1418" s="29"/>
      <c r="DD1418" s="29"/>
      <c r="DE1418" s="29"/>
      <c r="DF1418" s="29"/>
      <c r="DG1418" s="29"/>
      <c r="DH1418" s="29"/>
      <c r="DI1418" s="29"/>
      <c r="DJ1418" s="29"/>
      <c r="DK1418" s="29"/>
      <c r="DL1418" s="29"/>
      <c r="DM1418" s="29"/>
      <c r="DN1418" s="29"/>
      <c r="DO1418" s="29"/>
      <c r="DP1418" s="29"/>
      <c r="DQ1418" s="29"/>
      <c r="DR1418" s="29"/>
      <c r="DS1418" s="29"/>
      <c r="DT1418" s="29"/>
      <c r="DU1418" s="29"/>
      <c r="DV1418" s="29"/>
      <c r="DW1418" s="29"/>
      <c r="DX1418" s="29"/>
      <c r="DY1418" s="29"/>
      <c r="DZ1418" s="29"/>
      <c r="EA1418" s="29"/>
      <c r="EB1418" s="29"/>
      <c r="EC1418" s="29"/>
      <c r="ED1418" s="29"/>
      <c r="EE1418" s="29"/>
      <c r="EF1418" s="29"/>
      <c r="EG1418" s="29"/>
      <c r="EH1418" s="29"/>
      <c r="EI1418" s="29"/>
      <c r="EJ1418" s="29"/>
      <c r="EK1418" s="29"/>
      <c r="EL1418" s="29"/>
      <c r="EM1418" s="29"/>
      <c r="EN1418" s="29"/>
      <c r="EO1418" s="29"/>
      <c r="EP1418" s="29"/>
      <c r="EQ1418" s="29"/>
      <c r="ER1418" s="29"/>
      <c r="ES1418" s="29"/>
      <c r="ET1418" s="29"/>
      <c r="EU1418" s="29"/>
      <c r="EV1418" s="29"/>
      <c r="EW1418" s="29"/>
      <c r="EX1418" s="29"/>
      <c r="EY1418" s="29"/>
      <c r="EZ1418" s="29"/>
      <c r="FA1418" s="29"/>
      <c r="FB1418" s="29"/>
      <c r="FC1418" s="29"/>
      <c r="FD1418" s="29"/>
      <c r="FE1418" s="29"/>
      <c r="FF1418" s="29"/>
      <c r="FG1418" s="29"/>
      <c r="FH1418" s="29"/>
      <c r="FI1418" s="29"/>
      <c r="FJ1418" s="29"/>
      <c r="FK1418" s="29"/>
      <c r="FL1418" s="29"/>
      <c r="FM1418" s="29"/>
      <c r="FN1418" s="29"/>
      <c r="FO1418" s="29"/>
      <c r="FP1418" s="29"/>
      <c r="FQ1418" s="29"/>
      <c r="FR1418" s="29"/>
      <c r="FS1418" s="29"/>
      <c r="FT1418" s="29"/>
      <c r="FU1418" s="29"/>
      <c r="FV1418" s="29"/>
      <c r="FW1418" s="29"/>
      <c r="FX1418" s="29"/>
      <c r="FY1418" s="29"/>
      <c r="FZ1418" s="29"/>
      <c r="GA1418" s="29"/>
      <c r="GB1418" s="29"/>
      <c r="GC1418" s="29"/>
      <c r="GD1418" s="29"/>
      <c r="GE1418" s="29"/>
      <c r="GF1418" s="29"/>
      <c r="GG1418" s="29"/>
      <c r="GH1418" s="29"/>
      <c r="GI1418" s="29"/>
      <c r="GJ1418" s="29"/>
      <c r="GK1418" s="29"/>
      <c r="GL1418" s="29"/>
      <c r="GM1418" s="29"/>
      <c r="GN1418" s="29"/>
      <c r="GO1418" s="29"/>
      <c r="GP1418" s="29"/>
      <c r="GQ1418" s="29"/>
      <c r="GR1418" s="29"/>
      <c r="GS1418" s="29"/>
      <c r="GT1418" s="29"/>
      <c r="GU1418" s="29"/>
      <c r="GV1418" s="29"/>
      <c r="GW1418" s="29"/>
      <c r="GX1418" s="29"/>
      <c r="GY1418" s="29"/>
      <c r="GZ1418" s="29"/>
      <c r="HA1418" s="29"/>
      <c r="HB1418" s="29"/>
      <c r="HC1418" s="29"/>
      <c r="HD1418" s="29"/>
      <c r="HE1418" s="29"/>
      <c r="HF1418" s="29"/>
      <c r="HG1418" s="29"/>
      <c r="HH1418" s="29"/>
      <c r="HI1418" s="29"/>
      <c r="HJ1418" s="29"/>
      <c r="HK1418" s="29"/>
      <c r="HL1418" s="29"/>
      <c r="HM1418" s="29"/>
      <c r="HN1418" s="29"/>
      <c r="HO1418" s="29"/>
      <c r="HP1418" s="29"/>
      <c r="HQ1418" s="29"/>
      <c r="HR1418" s="29"/>
      <c r="HS1418" s="29"/>
      <c r="HT1418" s="29"/>
      <c r="HU1418" s="29"/>
      <c r="HV1418" s="29"/>
      <c r="HW1418" s="29"/>
      <c r="HX1418" s="29"/>
      <c r="HY1418" s="29"/>
      <c r="HZ1418" s="29"/>
      <c r="IA1418" s="29"/>
      <c r="IB1418" s="29"/>
      <c r="IC1418" s="29"/>
      <c r="ID1418" s="29"/>
      <c r="IE1418" s="29"/>
      <c r="IF1418" s="29"/>
      <c r="IG1418" s="29"/>
      <c r="IH1418" s="29"/>
      <c r="II1418" s="29"/>
      <c r="IJ1418" s="29"/>
      <c r="IK1418" s="29"/>
      <c r="IL1418" s="29"/>
      <c r="IM1418" s="29"/>
      <c r="IN1418" s="29"/>
      <c r="IO1418" s="29"/>
      <c r="IP1418" s="29"/>
      <c r="IQ1418" s="29"/>
      <c r="IR1418" s="29"/>
      <c r="IS1418" s="29"/>
      <c r="IT1418" s="29"/>
      <c r="IU1418" s="29"/>
      <c r="IV1418" s="29"/>
      <c r="IW1418" s="29"/>
      <c r="IX1418" s="29"/>
      <c r="IY1418" s="29"/>
      <c r="IZ1418" s="29"/>
      <c r="JA1418" s="29"/>
      <c r="JB1418" s="29"/>
      <c r="JC1418" s="29"/>
      <c r="JD1418" s="29"/>
      <c r="JE1418" s="29"/>
      <c r="JF1418" s="29"/>
      <c r="JG1418" s="29"/>
      <c r="JH1418" s="29"/>
      <c r="JI1418" s="29"/>
      <c r="JJ1418" s="29"/>
      <c r="JK1418" s="29"/>
      <c r="JL1418" s="29"/>
      <c r="JM1418" s="29"/>
      <c r="JN1418" s="29"/>
      <c r="JO1418" s="29"/>
      <c r="JP1418" s="29"/>
      <c r="JQ1418" s="29"/>
      <c r="JR1418" s="29"/>
      <c r="JS1418" s="29"/>
      <c r="JT1418" s="29"/>
      <c r="JU1418" s="29"/>
      <c r="JV1418" s="29"/>
      <c r="JW1418" s="29"/>
      <c r="JX1418" s="29"/>
      <c r="JY1418" s="29"/>
      <c r="JZ1418" s="29"/>
      <c r="KA1418" s="29"/>
      <c r="KB1418" s="29"/>
      <c r="KC1418" s="29"/>
      <c r="KD1418" s="29"/>
      <c r="KE1418" s="29"/>
      <c r="KF1418" s="29"/>
      <c r="KG1418" s="29"/>
      <c r="KH1418" s="29"/>
      <c r="KI1418" s="29"/>
      <c r="KJ1418" s="29"/>
      <c r="KK1418" s="29"/>
      <c r="KL1418" s="29"/>
      <c r="KM1418" s="29"/>
      <c r="KN1418" s="29"/>
      <c r="KO1418" s="29"/>
      <c r="KP1418" s="29"/>
      <c r="KQ1418" s="29"/>
      <c r="KR1418" s="29"/>
      <c r="KS1418" s="29"/>
      <c r="KT1418" s="29"/>
      <c r="KU1418" s="29"/>
      <c r="KV1418" s="29"/>
      <c r="KW1418" s="29"/>
      <c r="KX1418" s="29"/>
      <c r="KY1418" s="29"/>
      <c r="KZ1418" s="29"/>
      <c r="LA1418" s="29"/>
      <c r="LB1418" s="29"/>
      <c r="LC1418" s="29"/>
      <c r="LD1418" s="29"/>
      <c r="LE1418" s="29"/>
      <c r="LF1418" s="29"/>
      <c r="LG1418" s="29"/>
      <c r="LH1418" s="29"/>
      <c r="LI1418" s="29"/>
      <c r="LJ1418" s="29"/>
      <c r="LK1418" s="29"/>
      <c r="LL1418" s="29"/>
      <c r="LM1418" s="29"/>
      <c r="LN1418" s="29"/>
      <c r="LO1418" s="29"/>
      <c r="LP1418" s="29"/>
      <c r="LQ1418" s="29"/>
      <c r="LR1418" s="29"/>
      <c r="LS1418" s="29"/>
      <c r="LT1418" s="29"/>
      <c r="LU1418" s="29"/>
      <c r="LV1418" s="29"/>
      <c r="LW1418" s="29"/>
      <c r="LX1418" s="29"/>
      <c r="LY1418" s="29"/>
      <c r="LZ1418" s="29"/>
      <c r="MA1418" s="29"/>
      <c r="MB1418" s="29"/>
      <c r="MC1418" s="29"/>
      <c r="MD1418" s="29"/>
      <c r="ME1418" s="29"/>
      <c r="MF1418" s="29"/>
      <c r="MG1418" s="29"/>
      <c r="MH1418" s="29"/>
      <c r="MI1418" s="29"/>
      <c r="MJ1418" s="29"/>
      <c r="MK1418" s="29"/>
      <c r="ML1418" s="29"/>
      <c r="MM1418" s="29"/>
      <c r="MN1418" s="29"/>
      <c r="MO1418" s="29"/>
      <c r="MP1418" s="29"/>
      <c r="MQ1418" s="29"/>
      <c r="MR1418" s="29"/>
      <c r="MS1418" s="29"/>
      <c r="MT1418" s="29"/>
      <c r="MU1418" s="29"/>
      <c r="MV1418" s="29"/>
      <c r="MW1418" s="29"/>
      <c r="MX1418" s="29"/>
      <c r="MY1418" s="29"/>
      <c r="MZ1418" s="29"/>
      <c r="NA1418" s="29"/>
      <c r="NB1418" s="29"/>
      <c r="NC1418" s="29"/>
      <c r="ND1418" s="29"/>
      <c r="NE1418" s="29"/>
      <c r="NF1418" s="29"/>
      <c r="NG1418" s="29"/>
      <c r="NH1418" s="29"/>
      <c r="NI1418" s="29"/>
      <c r="NJ1418" s="29"/>
      <c r="NK1418" s="29"/>
      <c r="NL1418" s="29"/>
      <c r="NM1418" s="29"/>
      <c r="NN1418" s="29"/>
      <c r="NO1418" s="29"/>
      <c r="NP1418" s="29"/>
      <c r="NQ1418" s="29"/>
      <c r="NR1418" s="29"/>
      <c r="NS1418" s="29"/>
      <c r="NT1418" s="29"/>
      <c r="NU1418" s="29"/>
      <c r="NV1418" s="29"/>
      <c r="NW1418" s="29"/>
      <c r="NX1418" s="29"/>
      <c r="NY1418" s="29"/>
      <c r="NZ1418" s="29"/>
      <c r="OA1418" s="29"/>
      <c r="OB1418" s="29"/>
      <c r="OC1418" s="29"/>
      <c r="OD1418" s="29"/>
      <c r="OE1418" s="29"/>
      <c r="OF1418" s="29"/>
      <c r="OG1418" s="29"/>
      <c r="OH1418" s="29"/>
      <c r="OI1418" s="29"/>
      <c r="OJ1418" s="29"/>
      <c r="OK1418" s="29"/>
      <c r="OL1418" s="29"/>
      <c r="OM1418" s="29"/>
      <c r="ON1418" s="29"/>
      <c r="OO1418" s="29"/>
      <c r="OP1418" s="29"/>
      <c r="OQ1418" s="29"/>
      <c r="OR1418" s="29"/>
      <c r="OS1418" s="29"/>
      <c r="OT1418" s="29"/>
      <c r="OU1418" s="29"/>
      <c r="OV1418" s="29"/>
      <c r="OW1418" s="29"/>
      <c r="OX1418" s="29"/>
      <c r="OY1418" s="29"/>
      <c r="OZ1418" s="29"/>
      <c r="PA1418" s="29"/>
      <c r="PB1418" s="29"/>
      <c r="PC1418" s="29"/>
      <c r="PD1418" s="29"/>
      <c r="PE1418" s="29"/>
      <c r="PF1418" s="29"/>
      <c r="PG1418" s="29"/>
      <c r="PH1418" s="29"/>
      <c r="PI1418" s="29"/>
      <c r="PJ1418" s="29"/>
      <c r="PK1418" s="29"/>
      <c r="PL1418" s="29"/>
      <c r="PM1418" s="29"/>
      <c r="PN1418" s="29"/>
      <c r="PO1418" s="29"/>
      <c r="PP1418" s="29"/>
      <c r="PQ1418" s="29"/>
      <c r="PR1418" s="29"/>
      <c r="PS1418" s="29"/>
      <c r="PT1418" s="29"/>
      <c r="PU1418" s="29"/>
      <c r="PV1418" s="29"/>
      <c r="PW1418" s="29"/>
      <c r="PX1418" s="29"/>
      <c r="PY1418" s="29"/>
      <c r="PZ1418" s="29"/>
      <c r="QA1418" s="29"/>
      <c r="QB1418" s="29"/>
      <c r="QC1418" s="29"/>
      <c r="QD1418" s="29"/>
      <c r="QE1418" s="29"/>
      <c r="QF1418" s="29"/>
      <c r="QG1418" s="29"/>
      <c r="QH1418" s="29"/>
      <c r="QI1418" s="29"/>
      <c r="QJ1418" s="29"/>
      <c r="QK1418" s="29"/>
      <c r="QL1418" s="29"/>
      <c r="QM1418" s="29"/>
      <c r="QN1418" s="29"/>
      <c r="QO1418" s="29"/>
      <c r="QP1418" s="29"/>
      <c r="QQ1418" s="29"/>
      <c r="QR1418" s="29"/>
      <c r="QS1418" s="29"/>
      <c r="QT1418" s="29"/>
      <c r="QU1418" s="29"/>
      <c r="QV1418" s="29"/>
      <c r="QW1418" s="29"/>
      <c r="QX1418" s="29"/>
      <c r="QY1418" s="29"/>
      <c r="QZ1418" s="29"/>
      <c r="RA1418" s="29"/>
      <c r="RB1418" s="29"/>
      <c r="RC1418" s="29"/>
      <c r="RD1418" s="29"/>
      <c r="RE1418" s="29"/>
      <c r="RF1418" s="29"/>
      <c r="RG1418" s="29"/>
      <c r="RH1418" s="29"/>
      <c r="RI1418" s="29"/>
      <c r="RJ1418" s="29"/>
      <c r="RK1418" s="29"/>
      <c r="RL1418" s="29"/>
      <c r="RM1418" s="29"/>
      <c r="RN1418" s="29"/>
      <c r="RO1418" s="29"/>
      <c r="RP1418" s="29"/>
      <c r="RQ1418" s="29"/>
      <c r="RR1418" s="29"/>
      <c r="RS1418" s="29"/>
      <c r="RT1418" s="29"/>
      <c r="RU1418" s="29"/>
      <c r="RV1418" s="29"/>
      <c r="RW1418" s="29"/>
      <c r="RX1418" s="29"/>
      <c r="RY1418" s="29"/>
      <c r="RZ1418" s="29"/>
      <c r="SA1418" s="29"/>
      <c r="SB1418" s="29"/>
      <c r="SC1418" s="29"/>
      <c r="SD1418" s="29"/>
      <c r="SE1418" s="29"/>
      <c r="SF1418" s="29"/>
      <c r="SG1418" s="29"/>
      <c r="SH1418" s="29"/>
      <c r="SI1418" s="29"/>
      <c r="SJ1418" s="29"/>
      <c r="SK1418" s="29"/>
      <c r="SL1418" s="29"/>
      <c r="SM1418" s="29"/>
      <c r="SN1418" s="29"/>
      <c r="SO1418" s="29"/>
      <c r="SP1418" s="29"/>
      <c r="SQ1418" s="29"/>
      <c r="SR1418" s="29"/>
      <c r="SS1418" s="29"/>
      <c r="ST1418" s="29"/>
      <c r="SU1418" s="29"/>
      <c r="SV1418" s="29"/>
      <c r="SW1418" s="29"/>
      <c r="SX1418" s="29"/>
      <c r="SY1418" s="29"/>
      <c r="SZ1418" s="29"/>
      <c r="TA1418" s="29"/>
      <c r="TB1418" s="29"/>
      <c r="TC1418" s="29"/>
      <c r="TD1418" s="29"/>
      <c r="TE1418" s="29"/>
      <c r="TF1418" s="29"/>
      <c r="TG1418" s="29"/>
      <c r="TH1418" s="29"/>
      <c r="TI1418" s="29"/>
      <c r="TJ1418" s="29"/>
      <c r="TK1418" s="29"/>
      <c r="TL1418" s="29"/>
      <c r="TM1418" s="29"/>
      <c r="TN1418" s="29"/>
      <c r="TO1418" s="29"/>
      <c r="TP1418" s="29"/>
      <c r="TQ1418" s="29"/>
      <c r="TR1418" s="29"/>
      <c r="TS1418" s="29"/>
      <c r="TT1418" s="29"/>
      <c r="TU1418" s="29"/>
      <c r="TV1418" s="29"/>
      <c r="TW1418" s="29"/>
      <c r="TX1418" s="29"/>
      <c r="TY1418" s="29"/>
      <c r="TZ1418" s="29"/>
      <c r="UA1418" s="29"/>
      <c r="UB1418" s="29"/>
      <c r="UC1418" s="29"/>
      <c r="UD1418" s="29"/>
      <c r="UE1418" s="29"/>
      <c r="UF1418" s="29"/>
      <c r="UG1418" s="29"/>
    </row>
    <row r="1419" spans="1:553" ht="45.75" customHeight="1">
      <c r="A1419" s="356" t="s">
        <v>15</v>
      </c>
      <c r="B1419" s="385"/>
      <c r="C1419" s="384" t="str">
        <f t="shared" si="215"/>
        <v>Đất trồng lúa còn lại (LUK)</v>
      </c>
      <c r="D1419" s="418">
        <v>2</v>
      </c>
      <c r="E1419" s="376" t="str">
        <f t="shared" si="216"/>
        <v>420</v>
      </c>
      <c r="F1419" s="385"/>
      <c r="G1419" s="386" t="s">
        <v>935</v>
      </c>
      <c r="H1419" s="370"/>
      <c r="I1419" s="370">
        <f t="shared" si="218"/>
        <v>82.7</v>
      </c>
      <c r="J1419" s="368">
        <v>62000</v>
      </c>
      <c r="K1419" s="371">
        <v>2.5</v>
      </c>
      <c r="L1419" s="480">
        <f t="shared" si="217"/>
        <v>12818500</v>
      </c>
      <c r="M1419" s="366"/>
      <c r="N1419" s="366"/>
      <c r="O1419" s="366"/>
      <c r="P1419" s="366"/>
      <c r="Q1419" s="812"/>
      <c r="R1419" s="1632"/>
      <c r="S1419" s="308"/>
      <c r="T1419" s="308"/>
      <c r="U1419" s="308"/>
      <c r="V1419" s="308"/>
      <c r="W1419" s="308"/>
      <c r="X1419" s="308"/>
      <c r="Y1419" s="308"/>
      <c r="Z1419" s="604"/>
      <c r="AA1419" s="308"/>
      <c r="AB1419" s="308"/>
      <c r="AC1419" s="486"/>
      <c r="AD1419" s="486"/>
      <c r="AE1419" s="486"/>
      <c r="AF1419" s="486"/>
      <c r="AG1419" s="486"/>
      <c r="AH1419" s="486"/>
      <c r="AI1419" s="486"/>
      <c r="AJ1419" s="486"/>
      <c r="AK1419" s="486"/>
      <c r="AL1419" s="206"/>
      <c r="AM1419" s="29"/>
      <c r="AN1419" s="29"/>
      <c r="AO1419" s="29"/>
      <c r="AP1419" s="29"/>
      <c r="AQ1419" s="29"/>
      <c r="AR1419" s="29"/>
      <c r="AS1419" s="29"/>
      <c r="AT1419" s="29"/>
      <c r="AU1419" s="29"/>
      <c r="AV1419" s="29"/>
      <c r="AW1419" s="29"/>
      <c r="AX1419" s="29"/>
      <c r="AY1419" s="29"/>
      <c r="AZ1419" s="29"/>
      <c r="BA1419" s="29"/>
      <c r="BB1419" s="29"/>
      <c r="BC1419" s="29"/>
      <c r="BD1419" s="29"/>
      <c r="BE1419" s="29"/>
      <c r="BF1419" s="29"/>
      <c r="BG1419" s="29"/>
      <c r="BH1419" s="29"/>
      <c r="BI1419" s="29"/>
      <c r="BJ1419" s="29"/>
      <c r="BK1419" s="29"/>
      <c r="BL1419" s="29"/>
      <c r="BM1419" s="29"/>
      <c r="BN1419" s="29"/>
      <c r="BO1419" s="29"/>
      <c r="BP1419" s="29"/>
      <c r="BQ1419" s="29"/>
      <c r="BR1419" s="29"/>
      <c r="BS1419" s="29"/>
      <c r="BT1419" s="29"/>
      <c r="BU1419" s="29"/>
      <c r="BV1419" s="29"/>
      <c r="BW1419" s="29"/>
      <c r="BX1419" s="29"/>
      <c r="BY1419" s="29"/>
      <c r="BZ1419" s="29"/>
      <c r="CA1419" s="29"/>
      <c r="CB1419" s="29"/>
      <c r="CC1419" s="29"/>
      <c r="CD1419" s="29"/>
      <c r="CE1419" s="29"/>
      <c r="CF1419" s="29"/>
      <c r="CG1419" s="29"/>
      <c r="CH1419" s="29"/>
      <c r="CI1419" s="29"/>
      <c r="CJ1419" s="29"/>
      <c r="CK1419" s="29"/>
      <c r="CL1419" s="29"/>
      <c r="CM1419" s="29"/>
      <c r="CN1419" s="29"/>
      <c r="CO1419" s="29"/>
      <c r="CP1419" s="29"/>
      <c r="CQ1419" s="29"/>
      <c r="CR1419" s="29"/>
      <c r="CS1419" s="29"/>
      <c r="CT1419" s="29"/>
      <c r="CU1419" s="29"/>
      <c r="CV1419" s="29"/>
      <c r="CW1419" s="29"/>
      <c r="CX1419" s="29"/>
      <c r="CY1419" s="29"/>
      <c r="CZ1419" s="29"/>
      <c r="DA1419" s="29"/>
      <c r="DB1419" s="29"/>
      <c r="DC1419" s="29"/>
      <c r="DD1419" s="29"/>
      <c r="DE1419" s="29"/>
      <c r="DF1419" s="29"/>
      <c r="DG1419" s="29"/>
      <c r="DH1419" s="29"/>
      <c r="DI1419" s="29"/>
      <c r="DJ1419" s="29"/>
      <c r="DK1419" s="29"/>
      <c r="DL1419" s="29"/>
      <c r="DM1419" s="29"/>
      <c r="DN1419" s="29"/>
      <c r="DO1419" s="29"/>
      <c r="DP1419" s="29"/>
      <c r="DQ1419" s="29"/>
      <c r="DR1419" s="29"/>
      <c r="DS1419" s="29"/>
      <c r="DT1419" s="29"/>
      <c r="DU1419" s="29"/>
      <c r="DV1419" s="29"/>
      <c r="DW1419" s="29"/>
      <c r="DX1419" s="29"/>
      <c r="DY1419" s="29"/>
      <c r="DZ1419" s="29"/>
      <c r="EA1419" s="29"/>
      <c r="EB1419" s="29"/>
      <c r="EC1419" s="29"/>
      <c r="ED1419" s="29"/>
      <c r="EE1419" s="29"/>
      <c r="EF1419" s="29"/>
      <c r="EG1419" s="29"/>
      <c r="EH1419" s="29"/>
      <c r="EI1419" s="29"/>
      <c r="EJ1419" s="29"/>
      <c r="EK1419" s="29"/>
      <c r="EL1419" s="29"/>
      <c r="EM1419" s="29"/>
      <c r="EN1419" s="29"/>
      <c r="EO1419" s="29"/>
      <c r="EP1419" s="29"/>
      <c r="EQ1419" s="29"/>
      <c r="ER1419" s="29"/>
      <c r="ES1419" s="29"/>
      <c r="ET1419" s="29"/>
      <c r="EU1419" s="29"/>
      <c r="EV1419" s="29"/>
      <c r="EW1419" s="29"/>
      <c r="EX1419" s="29"/>
      <c r="EY1419" s="29"/>
      <c r="EZ1419" s="29"/>
      <c r="FA1419" s="29"/>
      <c r="FB1419" s="29"/>
      <c r="FC1419" s="29"/>
      <c r="FD1419" s="29"/>
      <c r="FE1419" s="29"/>
      <c r="FF1419" s="29"/>
      <c r="FG1419" s="29"/>
      <c r="FH1419" s="29"/>
      <c r="FI1419" s="29"/>
      <c r="FJ1419" s="29"/>
      <c r="FK1419" s="29"/>
      <c r="FL1419" s="29"/>
      <c r="FM1419" s="29"/>
      <c r="FN1419" s="29"/>
      <c r="FO1419" s="29"/>
      <c r="FP1419" s="29"/>
      <c r="FQ1419" s="29"/>
      <c r="FR1419" s="29"/>
      <c r="FS1419" s="29"/>
      <c r="FT1419" s="29"/>
      <c r="FU1419" s="29"/>
      <c r="FV1419" s="29"/>
      <c r="FW1419" s="29"/>
      <c r="FX1419" s="29"/>
      <c r="FY1419" s="29"/>
      <c r="FZ1419" s="29"/>
      <c r="GA1419" s="29"/>
      <c r="GB1419" s="29"/>
      <c r="GC1419" s="29"/>
      <c r="GD1419" s="29"/>
      <c r="GE1419" s="29"/>
      <c r="GF1419" s="29"/>
      <c r="GG1419" s="29"/>
      <c r="GH1419" s="29"/>
      <c r="GI1419" s="29"/>
      <c r="GJ1419" s="29"/>
      <c r="GK1419" s="29"/>
      <c r="GL1419" s="29"/>
      <c r="GM1419" s="29"/>
      <c r="GN1419" s="29"/>
      <c r="GO1419" s="29"/>
      <c r="GP1419" s="29"/>
      <c r="GQ1419" s="29"/>
      <c r="GR1419" s="29"/>
      <c r="GS1419" s="29"/>
      <c r="GT1419" s="29"/>
      <c r="GU1419" s="29"/>
      <c r="GV1419" s="29"/>
      <c r="GW1419" s="29"/>
      <c r="GX1419" s="29"/>
      <c r="GY1419" s="29"/>
      <c r="GZ1419" s="29"/>
      <c r="HA1419" s="29"/>
      <c r="HB1419" s="29"/>
      <c r="HC1419" s="29"/>
      <c r="HD1419" s="29"/>
      <c r="HE1419" s="29"/>
      <c r="HF1419" s="29"/>
      <c r="HG1419" s="29"/>
      <c r="HH1419" s="29"/>
      <c r="HI1419" s="29"/>
      <c r="HJ1419" s="29"/>
      <c r="HK1419" s="29"/>
      <c r="HL1419" s="29"/>
      <c r="HM1419" s="29"/>
      <c r="HN1419" s="29"/>
      <c r="HO1419" s="29"/>
      <c r="HP1419" s="29"/>
      <c r="HQ1419" s="29"/>
      <c r="HR1419" s="29"/>
      <c r="HS1419" s="29"/>
      <c r="HT1419" s="29"/>
      <c r="HU1419" s="29"/>
      <c r="HV1419" s="29"/>
      <c r="HW1419" s="29"/>
      <c r="HX1419" s="29"/>
      <c r="HY1419" s="29"/>
      <c r="HZ1419" s="29"/>
      <c r="IA1419" s="29"/>
      <c r="IB1419" s="29"/>
      <c r="IC1419" s="29"/>
      <c r="ID1419" s="29"/>
      <c r="IE1419" s="29"/>
      <c r="IF1419" s="29"/>
      <c r="IG1419" s="29"/>
      <c r="IH1419" s="29"/>
      <c r="II1419" s="29"/>
      <c r="IJ1419" s="29"/>
      <c r="IK1419" s="29"/>
      <c r="IL1419" s="29"/>
      <c r="IM1419" s="29"/>
      <c r="IN1419" s="29"/>
      <c r="IO1419" s="29"/>
      <c r="IP1419" s="29"/>
      <c r="IQ1419" s="29"/>
      <c r="IR1419" s="29"/>
      <c r="IS1419" s="29"/>
      <c r="IT1419" s="29"/>
      <c r="IU1419" s="29"/>
      <c r="IV1419" s="29"/>
      <c r="IW1419" s="29"/>
      <c r="IX1419" s="29"/>
      <c r="IY1419" s="29"/>
      <c r="IZ1419" s="29"/>
      <c r="JA1419" s="29"/>
      <c r="JB1419" s="29"/>
      <c r="JC1419" s="29"/>
      <c r="JD1419" s="29"/>
      <c r="JE1419" s="29"/>
      <c r="JF1419" s="29"/>
      <c r="JG1419" s="29"/>
      <c r="JH1419" s="29"/>
      <c r="JI1419" s="29"/>
      <c r="JJ1419" s="29"/>
      <c r="JK1419" s="29"/>
      <c r="JL1419" s="29"/>
      <c r="JM1419" s="29"/>
      <c r="JN1419" s="29"/>
      <c r="JO1419" s="29"/>
      <c r="JP1419" s="29"/>
      <c r="JQ1419" s="29"/>
      <c r="JR1419" s="29"/>
      <c r="JS1419" s="29"/>
      <c r="JT1419" s="29"/>
      <c r="JU1419" s="29"/>
      <c r="JV1419" s="29"/>
      <c r="JW1419" s="29"/>
      <c r="JX1419" s="29"/>
      <c r="JY1419" s="29"/>
      <c r="JZ1419" s="29"/>
      <c r="KA1419" s="29"/>
      <c r="KB1419" s="29"/>
      <c r="KC1419" s="29"/>
      <c r="KD1419" s="29"/>
      <c r="KE1419" s="29"/>
      <c r="KF1419" s="29"/>
      <c r="KG1419" s="29"/>
      <c r="KH1419" s="29"/>
      <c r="KI1419" s="29"/>
      <c r="KJ1419" s="29"/>
      <c r="KK1419" s="29"/>
      <c r="KL1419" s="29"/>
      <c r="KM1419" s="29"/>
      <c r="KN1419" s="29"/>
      <c r="KO1419" s="29"/>
      <c r="KP1419" s="29"/>
      <c r="KQ1419" s="29"/>
      <c r="KR1419" s="29"/>
      <c r="KS1419" s="29"/>
      <c r="KT1419" s="29"/>
      <c r="KU1419" s="29"/>
      <c r="KV1419" s="29"/>
      <c r="KW1419" s="29"/>
      <c r="KX1419" s="29"/>
      <c r="KY1419" s="29"/>
      <c r="KZ1419" s="29"/>
      <c r="LA1419" s="29"/>
      <c r="LB1419" s="29"/>
      <c r="LC1419" s="29"/>
      <c r="LD1419" s="29"/>
      <c r="LE1419" s="29"/>
      <c r="LF1419" s="29"/>
      <c r="LG1419" s="29"/>
      <c r="LH1419" s="29"/>
      <c r="LI1419" s="29"/>
      <c r="LJ1419" s="29"/>
      <c r="LK1419" s="29"/>
      <c r="LL1419" s="29"/>
      <c r="LM1419" s="29"/>
      <c r="LN1419" s="29"/>
      <c r="LO1419" s="29"/>
      <c r="LP1419" s="29"/>
      <c r="LQ1419" s="29"/>
      <c r="LR1419" s="29"/>
      <c r="LS1419" s="29"/>
      <c r="LT1419" s="29"/>
      <c r="LU1419" s="29"/>
      <c r="LV1419" s="29"/>
      <c r="LW1419" s="29"/>
      <c r="LX1419" s="29"/>
      <c r="LY1419" s="29"/>
      <c r="LZ1419" s="29"/>
      <c r="MA1419" s="29"/>
      <c r="MB1419" s="29"/>
      <c r="MC1419" s="29"/>
      <c r="MD1419" s="29"/>
      <c r="ME1419" s="29"/>
      <c r="MF1419" s="29"/>
      <c r="MG1419" s="29"/>
      <c r="MH1419" s="29"/>
      <c r="MI1419" s="29"/>
      <c r="MJ1419" s="29"/>
      <c r="MK1419" s="29"/>
      <c r="ML1419" s="29"/>
      <c r="MM1419" s="29"/>
      <c r="MN1419" s="29"/>
      <c r="MO1419" s="29"/>
      <c r="MP1419" s="29"/>
      <c r="MQ1419" s="29"/>
      <c r="MR1419" s="29"/>
      <c r="MS1419" s="29"/>
      <c r="MT1419" s="29"/>
      <c r="MU1419" s="29"/>
      <c r="MV1419" s="29"/>
      <c r="MW1419" s="29"/>
      <c r="MX1419" s="29"/>
      <c r="MY1419" s="29"/>
      <c r="MZ1419" s="29"/>
      <c r="NA1419" s="29"/>
      <c r="NB1419" s="29"/>
      <c r="NC1419" s="29"/>
      <c r="ND1419" s="29"/>
      <c r="NE1419" s="29"/>
      <c r="NF1419" s="29"/>
      <c r="NG1419" s="29"/>
      <c r="NH1419" s="29"/>
      <c r="NI1419" s="29"/>
      <c r="NJ1419" s="29"/>
      <c r="NK1419" s="29"/>
      <c r="NL1419" s="29"/>
      <c r="NM1419" s="29"/>
      <c r="NN1419" s="29"/>
      <c r="NO1419" s="29"/>
      <c r="NP1419" s="29"/>
      <c r="NQ1419" s="29"/>
      <c r="NR1419" s="29"/>
      <c r="NS1419" s="29"/>
      <c r="NT1419" s="29"/>
      <c r="NU1419" s="29"/>
      <c r="NV1419" s="29"/>
      <c r="NW1419" s="29"/>
      <c r="NX1419" s="29"/>
      <c r="NY1419" s="29"/>
      <c r="NZ1419" s="29"/>
      <c r="OA1419" s="29"/>
      <c r="OB1419" s="29"/>
      <c r="OC1419" s="29"/>
      <c r="OD1419" s="29"/>
      <c r="OE1419" s="29"/>
      <c r="OF1419" s="29"/>
      <c r="OG1419" s="29"/>
      <c r="OH1419" s="29"/>
      <c r="OI1419" s="29"/>
      <c r="OJ1419" s="29"/>
      <c r="OK1419" s="29"/>
      <c r="OL1419" s="29"/>
      <c r="OM1419" s="29"/>
      <c r="ON1419" s="29"/>
      <c r="OO1419" s="29"/>
      <c r="OP1419" s="29"/>
      <c r="OQ1419" s="29"/>
      <c r="OR1419" s="29"/>
      <c r="OS1419" s="29"/>
      <c r="OT1419" s="29"/>
      <c r="OU1419" s="29"/>
      <c r="OV1419" s="29"/>
      <c r="OW1419" s="29"/>
      <c r="OX1419" s="29"/>
      <c r="OY1419" s="29"/>
      <c r="OZ1419" s="29"/>
      <c r="PA1419" s="29"/>
      <c r="PB1419" s="29"/>
      <c r="PC1419" s="29"/>
      <c r="PD1419" s="29"/>
      <c r="PE1419" s="29"/>
      <c r="PF1419" s="29"/>
      <c r="PG1419" s="29"/>
      <c r="PH1419" s="29"/>
      <c r="PI1419" s="29"/>
      <c r="PJ1419" s="29"/>
      <c r="PK1419" s="29"/>
      <c r="PL1419" s="29"/>
      <c r="PM1419" s="29"/>
      <c r="PN1419" s="29"/>
      <c r="PO1419" s="29"/>
      <c r="PP1419" s="29"/>
      <c r="PQ1419" s="29"/>
      <c r="PR1419" s="29"/>
      <c r="PS1419" s="29"/>
      <c r="PT1419" s="29"/>
      <c r="PU1419" s="29"/>
      <c r="PV1419" s="29"/>
      <c r="PW1419" s="29"/>
      <c r="PX1419" s="29"/>
      <c r="PY1419" s="29"/>
      <c r="PZ1419" s="29"/>
      <c r="QA1419" s="29"/>
      <c r="QB1419" s="29"/>
      <c r="QC1419" s="29"/>
      <c r="QD1419" s="29"/>
      <c r="QE1419" s="29"/>
      <c r="QF1419" s="29"/>
      <c r="QG1419" s="29"/>
      <c r="QH1419" s="29"/>
      <c r="QI1419" s="29"/>
      <c r="QJ1419" s="29"/>
      <c r="QK1419" s="29"/>
      <c r="QL1419" s="29"/>
      <c r="QM1419" s="29"/>
      <c r="QN1419" s="29"/>
      <c r="QO1419" s="29"/>
      <c r="QP1419" s="29"/>
      <c r="QQ1419" s="29"/>
      <c r="QR1419" s="29"/>
      <c r="QS1419" s="29"/>
      <c r="QT1419" s="29"/>
      <c r="QU1419" s="29"/>
      <c r="QV1419" s="29"/>
      <c r="QW1419" s="29"/>
      <c r="QX1419" s="29"/>
      <c r="QY1419" s="29"/>
      <c r="QZ1419" s="29"/>
      <c r="RA1419" s="29"/>
      <c r="RB1419" s="29"/>
      <c r="RC1419" s="29"/>
      <c r="RD1419" s="29"/>
      <c r="RE1419" s="29"/>
      <c r="RF1419" s="29"/>
      <c r="RG1419" s="29"/>
      <c r="RH1419" s="29"/>
      <c r="RI1419" s="29"/>
      <c r="RJ1419" s="29"/>
      <c r="RK1419" s="29"/>
      <c r="RL1419" s="29"/>
      <c r="RM1419" s="29"/>
      <c r="RN1419" s="29"/>
      <c r="RO1419" s="29"/>
      <c r="RP1419" s="29"/>
      <c r="RQ1419" s="29"/>
      <c r="RR1419" s="29"/>
      <c r="RS1419" s="29"/>
      <c r="RT1419" s="29"/>
      <c r="RU1419" s="29"/>
      <c r="RV1419" s="29"/>
      <c r="RW1419" s="29"/>
      <c r="RX1419" s="29"/>
      <c r="RY1419" s="29"/>
      <c r="RZ1419" s="29"/>
      <c r="SA1419" s="29"/>
      <c r="SB1419" s="29"/>
      <c r="SC1419" s="29"/>
      <c r="SD1419" s="29"/>
      <c r="SE1419" s="29"/>
      <c r="SF1419" s="29"/>
      <c r="SG1419" s="29"/>
      <c r="SH1419" s="29"/>
      <c r="SI1419" s="29"/>
      <c r="SJ1419" s="29"/>
      <c r="SK1419" s="29"/>
      <c r="SL1419" s="29"/>
      <c r="SM1419" s="29"/>
      <c r="SN1419" s="29"/>
      <c r="SO1419" s="29"/>
      <c r="SP1419" s="29"/>
      <c r="SQ1419" s="29"/>
      <c r="SR1419" s="29"/>
      <c r="SS1419" s="29"/>
      <c r="ST1419" s="29"/>
      <c r="SU1419" s="29"/>
      <c r="SV1419" s="29"/>
      <c r="SW1419" s="29"/>
      <c r="SX1419" s="29"/>
      <c r="SY1419" s="29"/>
      <c r="SZ1419" s="29"/>
      <c r="TA1419" s="29"/>
      <c r="TB1419" s="29"/>
      <c r="TC1419" s="29"/>
      <c r="TD1419" s="29"/>
      <c r="TE1419" s="29"/>
      <c r="TF1419" s="29"/>
      <c r="TG1419" s="29"/>
      <c r="TH1419" s="29"/>
      <c r="TI1419" s="29"/>
      <c r="TJ1419" s="29"/>
      <c r="TK1419" s="29"/>
      <c r="TL1419" s="29"/>
      <c r="TM1419" s="29"/>
      <c r="TN1419" s="29"/>
      <c r="TO1419" s="29"/>
      <c r="TP1419" s="29"/>
      <c r="TQ1419" s="29"/>
      <c r="TR1419" s="29"/>
      <c r="TS1419" s="29"/>
      <c r="TT1419" s="29"/>
      <c r="TU1419" s="29"/>
      <c r="TV1419" s="29"/>
      <c r="TW1419" s="29"/>
      <c r="TX1419" s="29"/>
      <c r="TY1419" s="29"/>
      <c r="TZ1419" s="29"/>
      <c r="UA1419" s="29"/>
      <c r="UB1419" s="29"/>
      <c r="UC1419" s="29"/>
      <c r="UD1419" s="29"/>
      <c r="UE1419" s="29"/>
      <c r="UF1419" s="29"/>
      <c r="UG1419" s="29"/>
    </row>
    <row r="1420" spans="1:553" ht="45.75" customHeight="1">
      <c r="A1420" s="356" t="s">
        <v>15</v>
      </c>
      <c r="B1420" s="385"/>
      <c r="C1420" s="384" t="str">
        <f t="shared" si="215"/>
        <v>Đất trồng cây hàng năm khác (HNK)</v>
      </c>
      <c r="D1420" s="418">
        <v>2</v>
      </c>
      <c r="E1420" s="376" t="str">
        <f t="shared" si="216"/>
        <v>439</v>
      </c>
      <c r="F1420" s="385"/>
      <c r="G1420" s="386" t="s">
        <v>935</v>
      </c>
      <c r="H1420" s="370"/>
      <c r="I1420" s="370">
        <f t="shared" si="218"/>
        <v>52.1</v>
      </c>
      <c r="J1420" s="368">
        <v>53000</v>
      </c>
      <c r="K1420" s="371">
        <v>1</v>
      </c>
      <c r="L1420" s="480">
        <f t="shared" si="217"/>
        <v>2761300</v>
      </c>
      <c r="M1420" s="366"/>
      <c r="N1420" s="366"/>
      <c r="O1420" s="366"/>
      <c r="P1420" s="366"/>
      <c r="Q1420" s="812"/>
      <c r="R1420" s="1632"/>
      <c r="S1420" s="308"/>
      <c r="T1420" s="308"/>
      <c r="U1420" s="308"/>
      <c r="V1420" s="308"/>
      <c r="W1420" s="308"/>
      <c r="X1420" s="308"/>
      <c r="Y1420" s="308"/>
      <c r="Z1420" s="604"/>
      <c r="AA1420" s="308"/>
      <c r="AB1420" s="308"/>
      <c r="AC1420" s="486"/>
      <c r="AD1420" s="486"/>
      <c r="AE1420" s="486"/>
      <c r="AF1420" s="486"/>
      <c r="AG1420" s="486"/>
      <c r="AH1420" s="486"/>
      <c r="AI1420" s="486"/>
      <c r="AJ1420" s="486"/>
      <c r="AK1420" s="486"/>
      <c r="AL1420" s="206"/>
      <c r="AM1420" s="29"/>
      <c r="AN1420" s="29"/>
      <c r="AO1420" s="29"/>
      <c r="AP1420" s="29"/>
      <c r="AQ1420" s="29"/>
      <c r="AR1420" s="29"/>
      <c r="AS1420" s="29"/>
      <c r="AT1420" s="29"/>
      <c r="AU1420" s="29"/>
      <c r="AV1420" s="29"/>
      <c r="AW1420" s="29"/>
      <c r="AX1420" s="29"/>
      <c r="AY1420" s="29"/>
      <c r="AZ1420" s="29"/>
      <c r="BA1420" s="29"/>
      <c r="BB1420" s="29"/>
      <c r="BC1420" s="29"/>
      <c r="BD1420" s="29"/>
      <c r="BE1420" s="29"/>
      <c r="BF1420" s="29"/>
      <c r="BG1420" s="29"/>
      <c r="BH1420" s="29"/>
      <c r="BI1420" s="29"/>
      <c r="BJ1420" s="29"/>
      <c r="BK1420" s="29"/>
      <c r="BL1420" s="29"/>
      <c r="BM1420" s="29"/>
      <c r="BN1420" s="29"/>
      <c r="BO1420" s="29"/>
      <c r="BP1420" s="29"/>
      <c r="BQ1420" s="29"/>
      <c r="BR1420" s="29"/>
      <c r="BS1420" s="29"/>
      <c r="BT1420" s="29"/>
      <c r="BU1420" s="29"/>
      <c r="BV1420" s="29"/>
      <c r="BW1420" s="29"/>
      <c r="BX1420" s="29"/>
      <c r="BY1420" s="29"/>
      <c r="BZ1420" s="29"/>
      <c r="CA1420" s="29"/>
      <c r="CB1420" s="29"/>
      <c r="CC1420" s="29"/>
      <c r="CD1420" s="29"/>
      <c r="CE1420" s="29"/>
      <c r="CF1420" s="29"/>
      <c r="CG1420" s="29"/>
      <c r="CH1420" s="29"/>
      <c r="CI1420" s="29"/>
      <c r="CJ1420" s="29"/>
      <c r="CK1420" s="29"/>
      <c r="CL1420" s="29"/>
      <c r="CM1420" s="29"/>
      <c r="CN1420" s="29"/>
      <c r="CO1420" s="29"/>
      <c r="CP1420" s="29"/>
      <c r="CQ1420" s="29"/>
      <c r="CR1420" s="29"/>
      <c r="CS1420" s="29"/>
      <c r="CT1420" s="29"/>
      <c r="CU1420" s="29"/>
      <c r="CV1420" s="29"/>
      <c r="CW1420" s="29"/>
      <c r="CX1420" s="29"/>
      <c r="CY1420" s="29"/>
      <c r="CZ1420" s="29"/>
      <c r="DA1420" s="29"/>
      <c r="DB1420" s="29"/>
      <c r="DC1420" s="29"/>
      <c r="DD1420" s="29"/>
      <c r="DE1420" s="29"/>
      <c r="DF1420" s="29"/>
      <c r="DG1420" s="29"/>
      <c r="DH1420" s="29"/>
      <c r="DI1420" s="29"/>
      <c r="DJ1420" s="29"/>
      <c r="DK1420" s="29"/>
      <c r="DL1420" s="29"/>
      <c r="DM1420" s="29"/>
      <c r="DN1420" s="29"/>
      <c r="DO1420" s="29"/>
      <c r="DP1420" s="29"/>
      <c r="DQ1420" s="29"/>
      <c r="DR1420" s="29"/>
      <c r="DS1420" s="29"/>
      <c r="DT1420" s="29"/>
      <c r="DU1420" s="29"/>
      <c r="DV1420" s="29"/>
      <c r="DW1420" s="29"/>
      <c r="DX1420" s="29"/>
      <c r="DY1420" s="29"/>
      <c r="DZ1420" s="29"/>
      <c r="EA1420" s="29"/>
      <c r="EB1420" s="29"/>
      <c r="EC1420" s="29"/>
      <c r="ED1420" s="29"/>
      <c r="EE1420" s="29"/>
      <c r="EF1420" s="29"/>
      <c r="EG1420" s="29"/>
      <c r="EH1420" s="29"/>
      <c r="EI1420" s="29"/>
      <c r="EJ1420" s="29"/>
      <c r="EK1420" s="29"/>
      <c r="EL1420" s="29"/>
      <c r="EM1420" s="29"/>
      <c r="EN1420" s="29"/>
      <c r="EO1420" s="29"/>
      <c r="EP1420" s="29"/>
      <c r="EQ1420" s="29"/>
      <c r="ER1420" s="29"/>
      <c r="ES1420" s="29"/>
      <c r="ET1420" s="29"/>
      <c r="EU1420" s="29"/>
      <c r="EV1420" s="29"/>
      <c r="EW1420" s="29"/>
      <c r="EX1420" s="29"/>
      <c r="EY1420" s="29"/>
      <c r="EZ1420" s="29"/>
      <c r="FA1420" s="29"/>
      <c r="FB1420" s="29"/>
      <c r="FC1420" s="29"/>
      <c r="FD1420" s="29"/>
      <c r="FE1420" s="29"/>
      <c r="FF1420" s="29"/>
      <c r="FG1420" s="29"/>
      <c r="FH1420" s="29"/>
      <c r="FI1420" s="29"/>
      <c r="FJ1420" s="29"/>
      <c r="FK1420" s="29"/>
      <c r="FL1420" s="29"/>
      <c r="FM1420" s="29"/>
      <c r="FN1420" s="29"/>
      <c r="FO1420" s="29"/>
      <c r="FP1420" s="29"/>
      <c r="FQ1420" s="29"/>
      <c r="FR1420" s="29"/>
      <c r="FS1420" s="29"/>
      <c r="FT1420" s="29"/>
      <c r="FU1420" s="29"/>
      <c r="FV1420" s="29"/>
      <c r="FW1420" s="29"/>
      <c r="FX1420" s="29"/>
      <c r="FY1420" s="29"/>
      <c r="FZ1420" s="29"/>
      <c r="GA1420" s="29"/>
      <c r="GB1420" s="29"/>
      <c r="GC1420" s="29"/>
      <c r="GD1420" s="29"/>
      <c r="GE1420" s="29"/>
      <c r="GF1420" s="29"/>
      <c r="GG1420" s="29"/>
      <c r="GH1420" s="29"/>
      <c r="GI1420" s="29"/>
      <c r="GJ1420" s="29"/>
      <c r="GK1420" s="29"/>
      <c r="GL1420" s="29"/>
      <c r="GM1420" s="29"/>
      <c r="GN1420" s="29"/>
      <c r="GO1420" s="29"/>
      <c r="GP1420" s="29"/>
      <c r="GQ1420" s="29"/>
      <c r="GR1420" s="29"/>
      <c r="GS1420" s="29"/>
      <c r="GT1420" s="29"/>
      <c r="GU1420" s="29"/>
      <c r="GV1420" s="29"/>
      <c r="GW1420" s="29"/>
      <c r="GX1420" s="29"/>
      <c r="GY1420" s="29"/>
      <c r="GZ1420" s="29"/>
      <c r="HA1420" s="29"/>
      <c r="HB1420" s="29"/>
      <c r="HC1420" s="29"/>
      <c r="HD1420" s="29"/>
      <c r="HE1420" s="29"/>
      <c r="HF1420" s="29"/>
      <c r="HG1420" s="29"/>
      <c r="HH1420" s="29"/>
      <c r="HI1420" s="29"/>
      <c r="HJ1420" s="29"/>
      <c r="HK1420" s="29"/>
      <c r="HL1420" s="29"/>
      <c r="HM1420" s="29"/>
      <c r="HN1420" s="29"/>
      <c r="HO1420" s="29"/>
      <c r="HP1420" s="29"/>
      <c r="HQ1420" s="29"/>
      <c r="HR1420" s="29"/>
      <c r="HS1420" s="29"/>
      <c r="HT1420" s="29"/>
      <c r="HU1420" s="29"/>
      <c r="HV1420" s="29"/>
      <c r="HW1420" s="29"/>
      <c r="HX1420" s="29"/>
      <c r="HY1420" s="29"/>
      <c r="HZ1420" s="29"/>
      <c r="IA1420" s="29"/>
      <c r="IB1420" s="29"/>
      <c r="IC1420" s="29"/>
      <c r="ID1420" s="29"/>
      <c r="IE1420" s="29"/>
      <c r="IF1420" s="29"/>
      <c r="IG1420" s="29"/>
      <c r="IH1420" s="29"/>
      <c r="II1420" s="29"/>
      <c r="IJ1420" s="29"/>
      <c r="IK1420" s="29"/>
      <c r="IL1420" s="29"/>
      <c r="IM1420" s="29"/>
      <c r="IN1420" s="29"/>
      <c r="IO1420" s="29"/>
      <c r="IP1420" s="29"/>
      <c r="IQ1420" s="29"/>
      <c r="IR1420" s="29"/>
      <c r="IS1420" s="29"/>
      <c r="IT1420" s="29"/>
      <c r="IU1420" s="29"/>
      <c r="IV1420" s="29"/>
      <c r="IW1420" s="29"/>
      <c r="IX1420" s="29"/>
      <c r="IY1420" s="29"/>
      <c r="IZ1420" s="29"/>
      <c r="JA1420" s="29"/>
      <c r="JB1420" s="29"/>
      <c r="JC1420" s="29"/>
      <c r="JD1420" s="29"/>
      <c r="JE1420" s="29"/>
      <c r="JF1420" s="29"/>
      <c r="JG1420" s="29"/>
      <c r="JH1420" s="29"/>
      <c r="JI1420" s="29"/>
      <c r="JJ1420" s="29"/>
      <c r="JK1420" s="29"/>
      <c r="JL1420" s="29"/>
      <c r="JM1420" s="29"/>
      <c r="JN1420" s="29"/>
      <c r="JO1420" s="29"/>
      <c r="JP1420" s="29"/>
      <c r="JQ1420" s="29"/>
      <c r="JR1420" s="29"/>
      <c r="JS1420" s="29"/>
      <c r="JT1420" s="29"/>
      <c r="JU1420" s="29"/>
      <c r="JV1420" s="29"/>
      <c r="JW1420" s="29"/>
      <c r="JX1420" s="29"/>
      <c r="JY1420" s="29"/>
      <c r="JZ1420" s="29"/>
      <c r="KA1420" s="29"/>
      <c r="KB1420" s="29"/>
      <c r="KC1420" s="29"/>
      <c r="KD1420" s="29"/>
      <c r="KE1420" s="29"/>
      <c r="KF1420" s="29"/>
      <c r="KG1420" s="29"/>
      <c r="KH1420" s="29"/>
      <c r="KI1420" s="29"/>
      <c r="KJ1420" s="29"/>
      <c r="KK1420" s="29"/>
      <c r="KL1420" s="29"/>
      <c r="KM1420" s="29"/>
      <c r="KN1420" s="29"/>
      <c r="KO1420" s="29"/>
      <c r="KP1420" s="29"/>
      <c r="KQ1420" s="29"/>
      <c r="KR1420" s="29"/>
      <c r="KS1420" s="29"/>
      <c r="KT1420" s="29"/>
      <c r="KU1420" s="29"/>
      <c r="KV1420" s="29"/>
      <c r="KW1420" s="29"/>
      <c r="KX1420" s="29"/>
      <c r="KY1420" s="29"/>
      <c r="KZ1420" s="29"/>
      <c r="LA1420" s="29"/>
      <c r="LB1420" s="29"/>
      <c r="LC1420" s="29"/>
      <c r="LD1420" s="29"/>
      <c r="LE1420" s="29"/>
      <c r="LF1420" s="29"/>
      <c r="LG1420" s="29"/>
      <c r="LH1420" s="29"/>
      <c r="LI1420" s="29"/>
      <c r="LJ1420" s="29"/>
      <c r="LK1420" s="29"/>
      <c r="LL1420" s="29"/>
      <c r="LM1420" s="29"/>
      <c r="LN1420" s="29"/>
      <c r="LO1420" s="29"/>
      <c r="LP1420" s="29"/>
      <c r="LQ1420" s="29"/>
      <c r="LR1420" s="29"/>
      <c r="LS1420" s="29"/>
      <c r="LT1420" s="29"/>
      <c r="LU1420" s="29"/>
      <c r="LV1420" s="29"/>
      <c r="LW1420" s="29"/>
      <c r="LX1420" s="29"/>
      <c r="LY1420" s="29"/>
      <c r="LZ1420" s="29"/>
      <c r="MA1420" s="29"/>
      <c r="MB1420" s="29"/>
      <c r="MC1420" s="29"/>
      <c r="MD1420" s="29"/>
      <c r="ME1420" s="29"/>
      <c r="MF1420" s="29"/>
      <c r="MG1420" s="29"/>
      <c r="MH1420" s="29"/>
      <c r="MI1420" s="29"/>
      <c r="MJ1420" s="29"/>
      <c r="MK1420" s="29"/>
      <c r="ML1420" s="29"/>
      <c r="MM1420" s="29"/>
      <c r="MN1420" s="29"/>
      <c r="MO1420" s="29"/>
      <c r="MP1420" s="29"/>
      <c r="MQ1420" s="29"/>
      <c r="MR1420" s="29"/>
      <c r="MS1420" s="29"/>
      <c r="MT1420" s="29"/>
      <c r="MU1420" s="29"/>
      <c r="MV1420" s="29"/>
      <c r="MW1420" s="29"/>
      <c r="MX1420" s="29"/>
      <c r="MY1420" s="29"/>
      <c r="MZ1420" s="29"/>
      <c r="NA1420" s="29"/>
      <c r="NB1420" s="29"/>
      <c r="NC1420" s="29"/>
      <c r="ND1420" s="29"/>
      <c r="NE1420" s="29"/>
      <c r="NF1420" s="29"/>
      <c r="NG1420" s="29"/>
      <c r="NH1420" s="29"/>
      <c r="NI1420" s="29"/>
      <c r="NJ1420" s="29"/>
      <c r="NK1420" s="29"/>
      <c r="NL1420" s="29"/>
      <c r="NM1420" s="29"/>
      <c r="NN1420" s="29"/>
      <c r="NO1420" s="29"/>
      <c r="NP1420" s="29"/>
      <c r="NQ1420" s="29"/>
      <c r="NR1420" s="29"/>
      <c r="NS1420" s="29"/>
      <c r="NT1420" s="29"/>
      <c r="NU1420" s="29"/>
      <c r="NV1420" s="29"/>
      <c r="NW1420" s="29"/>
      <c r="NX1420" s="29"/>
      <c r="NY1420" s="29"/>
      <c r="NZ1420" s="29"/>
      <c r="OA1420" s="29"/>
      <c r="OB1420" s="29"/>
      <c r="OC1420" s="29"/>
      <c r="OD1420" s="29"/>
      <c r="OE1420" s="29"/>
      <c r="OF1420" s="29"/>
      <c r="OG1420" s="29"/>
      <c r="OH1420" s="29"/>
      <c r="OI1420" s="29"/>
      <c r="OJ1420" s="29"/>
      <c r="OK1420" s="29"/>
      <c r="OL1420" s="29"/>
      <c r="OM1420" s="29"/>
      <c r="ON1420" s="29"/>
      <c r="OO1420" s="29"/>
      <c r="OP1420" s="29"/>
      <c r="OQ1420" s="29"/>
      <c r="OR1420" s="29"/>
      <c r="OS1420" s="29"/>
      <c r="OT1420" s="29"/>
      <c r="OU1420" s="29"/>
      <c r="OV1420" s="29"/>
      <c r="OW1420" s="29"/>
      <c r="OX1420" s="29"/>
      <c r="OY1420" s="29"/>
      <c r="OZ1420" s="29"/>
      <c r="PA1420" s="29"/>
      <c r="PB1420" s="29"/>
      <c r="PC1420" s="29"/>
      <c r="PD1420" s="29"/>
      <c r="PE1420" s="29"/>
      <c r="PF1420" s="29"/>
      <c r="PG1420" s="29"/>
      <c r="PH1420" s="29"/>
      <c r="PI1420" s="29"/>
      <c r="PJ1420" s="29"/>
      <c r="PK1420" s="29"/>
      <c r="PL1420" s="29"/>
      <c r="PM1420" s="29"/>
      <c r="PN1420" s="29"/>
      <c r="PO1420" s="29"/>
      <c r="PP1420" s="29"/>
      <c r="PQ1420" s="29"/>
      <c r="PR1420" s="29"/>
      <c r="PS1420" s="29"/>
      <c r="PT1420" s="29"/>
      <c r="PU1420" s="29"/>
      <c r="PV1420" s="29"/>
      <c r="PW1420" s="29"/>
      <c r="PX1420" s="29"/>
      <c r="PY1420" s="29"/>
      <c r="PZ1420" s="29"/>
      <c r="QA1420" s="29"/>
      <c r="QB1420" s="29"/>
      <c r="QC1420" s="29"/>
      <c r="QD1420" s="29"/>
      <c r="QE1420" s="29"/>
      <c r="QF1420" s="29"/>
      <c r="QG1420" s="29"/>
      <c r="QH1420" s="29"/>
      <c r="QI1420" s="29"/>
      <c r="QJ1420" s="29"/>
      <c r="QK1420" s="29"/>
      <c r="QL1420" s="29"/>
      <c r="QM1420" s="29"/>
      <c r="QN1420" s="29"/>
      <c r="QO1420" s="29"/>
      <c r="QP1420" s="29"/>
      <c r="QQ1420" s="29"/>
      <c r="QR1420" s="29"/>
      <c r="QS1420" s="29"/>
      <c r="QT1420" s="29"/>
      <c r="QU1420" s="29"/>
      <c r="QV1420" s="29"/>
      <c r="QW1420" s="29"/>
      <c r="QX1420" s="29"/>
      <c r="QY1420" s="29"/>
      <c r="QZ1420" s="29"/>
      <c r="RA1420" s="29"/>
      <c r="RB1420" s="29"/>
      <c r="RC1420" s="29"/>
      <c r="RD1420" s="29"/>
      <c r="RE1420" s="29"/>
      <c r="RF1420" s="29"/>
      <c r="RG1420" s="29"/>
      <c r="RH1420" s="29"/>
      <c r="RI1420" s="29"/>
      <c r="RJ1420" s="29"/>
      <c r="RK1420" s="29"/>
      <c r="RL1420" s="29"/>
      <c r="RM1420" s="29"/>
      <c r="RN1420" s="29"/>
      <c r="RO1420" s="29"/>
      <c r="RP1420" s="29"/>
      <c r="RQ1420" s="29"/>
      <c r="RR1420" s="29"/>
      <c r="RS1420" s="29"/>
      <c r="RT1420" s="29"/>
      <c r="RU1420" s="29"/>
      <c r="RV1420" s="29"/>
      <c r="RW1420" s="29"/>
      <c r="RX1420" s="29"/>
      <c r="RY1420" s="29"/>
      <c r="RZ1420" s="29"/>
      <c r="SA1420" s="29"/>
      <c r="SB1420" s="29"/>
      <c r="SC1420" s="29"/>
      <c r="SD1420" s="29"/>
      <c r="SE1420" s="29"/>
      <c r="SF1420" s="29"/>
      <c r="SG1420" s="29"/>
      <c r="SH1420" s="29"/>
      <c r="SI1420" s="29"/>
      <c r="SJ1420" s="29"/>
      <c r="SK1420" s="29"/>
      <c r="SL1420" s="29"/>
      <c r="SM1420" s="29"/>
      <c r="SN1420" s="29"/>
      <c r="SO1420" s="29"/>
      <c r="SP1420" s="29"/>
      <c r="SQ1420" s="29"/>
      <c r="SR1420" s="29"/>
      <c r="SS1420" s="29"/>
      <c r="ST1420" s="29"/>
      <c r="SU1420" s="29"/>
      <c r="SV1420" s="29"/>
      <c r="SW1420" s="29"/>
      <c r="SX1420" s="29"/>
      <c r="SY1420" s="29"/>
      <c r="SZ1420" s="29"/>
      <c r="TA1420" s="29"/>
      <c r="TB1420" s="29"/>
      <c r="TC1420" s="29"/>
      <c r="TD1420" s="29"/>
      <c r="TE1420" s="29"/>
      <c r="TF1420" s="29"/>
      <c r="TG1420" s="29"/>
      <c r="TH1420" s="29"/>
      <c r="TI1420" s="29"/>
      <c r="TJ1420" s="29"/>
      <c r="TK1420" s="29"/>
      <c r="TL1420" s="29"/>
      <c r="TM1420" s="29"/>
      <c r="TN1420" s="29"/>
      <c r="TO1420" s="29"/>
      <c r="TP1420" s="29"/>
      <c r="TQ1420" s="29"/>
      <c r="TR1420" s="29"/>
      <c r="TS1420" s="29"/>
      <c r="TT1420" s="29"/>
      <c r="TU1420" s="29"/>
      <c r="TV1420" s="29"/>
      <c r="TW1420" s="29"/>
      <c r="TX1420" s="29"/>
      <c r="TY1420" s="29"/>
      <c r="TZ1420" s="29"/>
      <c r="UA1420" s="29"/>
      <c r="UB1420" s="29"/>
      <c r="UC1420" s="29"/>
      <c r="UD1420" s="29"/>
      <c r="UE1420" s="29"/>
      <c r="UF1420" s="29"/>
      <c r="UG1420" s="29"/>
    </row>
    <row r="1421" spans="1:553" ht="38.25" customHeight="1">
      <c r="A1421" s="356" t="s">
        <v>61</v>
      </c>
      <c r="B1421" s="428"/>
      <c r="C1421" s="1491" t="s">
        <v>62</v>
      </c>
      <c r="D1421" s="1389"/>
      <c r="E1421" s="1389"/>
      <c r="F1421" s="1390"/>
      <c r="G1421" s="429"/>
      <c r="H1421" s="359"/>
      <c r="I1421" s="359"/>
      <c r="J1421" s="357"/>
      <c r="K1421" s="364"/>
      <c r="L1421" s="645"/>
      <c r="M1421" s="356"/>
      <c r="N1421" s="356"/>
      <c r="O1421" s="356"/>
      <c r="P1421" s="358"/>
      <c r="Q1421" s="610"/>
      <c r="R1421" s="1226"/>
      <c r="S1421" s="308"/>
      <c r="T1421" s="308"/>
      <c r="U1421" s="308"/>
      <c r="V1421" s="308"/>
      <c r="W1421" s="308"/>
      <c r="X1421" s="308"/>
      <c r="Y1421" s="308"/>
      <c r="Z1421" s="604"/>
      <c r="AA1421" s="308"/>
      <c r="AB1421" s="308"/>
      <c r="AC1421" s="486"/>
      <c r="AD1421" s="486"/>
      <c r="AE1421" s="486"/>
      <c r="AF1421" s="486"/>
      <c r="AG1421" s="486"/>
      <c r="AH1421" s="486"/>
      <c r="AI1421" s="486"/>
      <c r="AJ1421" s="486"/>
      <c r="AK1421" s="486"/>
      <c r="AL1421" s="206"/>
      <c r="AM1421" s="29"/>
      <c r="AN1421" s="29"/>
      <c r="AO1421" s="29"/>
      <c r="AP1421" s="29"/>
      <c r="AQ1421" s="29"/>
      <c r="AR1421" s="29"/>
      <c r="AS1421" s="29"/>
      <c r="AT1421" s="29"/>
      <c r="AU1421" s="29"/>
      <c r="AV1421" s="29"/>
      <c r="AW1421" s="29"/>
      <c r="AX1421" s="29"/>
      <c r="AY1421" s="29"/>
      <c r="AZ1421" s="29"/>
      <c r="BA1421" s="29"/>
      <c r="BB1421" s="29"/>
      <c r="BC1421" s="29"/>
      <c r="BD1421" s="29"/>
      <c r="BE1421" s="29"/>
      <c r="BF1421" s="29"/>
      <c r="BG1421" s="29"/>
      <c r="BH1421" s="29"/>
      <c r="BI1421" s="29"/>
      <c r="BJ1421" s="29"/>
      <c r="BK1421" s="29"/>
      <c r="BL1421" s="29"/>
      <c r="BM1421" s="29"/>
      <c r="BN1421" s="29"/>
      <c r="BO1421" s="29"/>
      <c r="BP1421" s="29"/>
      <c r="BQ1421" s="29"/>
      <c r="BR1421" s="29"/>
      <c r="BS1421" s="29"/>
      <c r="BT1421" s="29"/>
      <c r="BU1421" s="29"/>
      <c r="BV1421" s="29"/>
      <c r="BW1421" s="29"/>
      <c r="BX1421" s="29"/>
      <c r="BY1421" s="29"/>
      <c r="BZ1421" s="29"/>
      <c r="CA1421" s="29"/>
      <c r="CB1421" s="29"/>
      <c r="CC1421" s="29"/>
      <c r="CD1421" s="29"/>
      <c r="CE1421" s="29"/>
      <c r="CF1421" s="29"/>
      <c r="CG1421" s="29"/>
      <c r="CH1421" s="29"/>
      <c r="CI1421" s="29"/>
      <c r="CJ1421" s="29"/>
      <c r="CK1421" s="29"/>
      <c r="CL1421" s="29"/>
      <c r="CM1421" s="29"/>
      <c r="CN1421" s="29"/>
      <c r="CO1421" s="29"/>
      <c r="CP1421" s="29"/>
      <c r="CQ1421" s="29"/>
      <c r="CR1421" s="29"/>
      <c r="CS1421" s="29"/>
      <c r="CT1421" s="29"/>
      <c r="CU1421" s="29"/>
      <c r="CV1421" s="29"/>
      <c r="CW1421" s="29"/>
      <c r="CX1421" s="29"/>
      <c r="CY1421" s="29"/>
      <c r="CZ1421" s="29"/>
      <c r="DA1421" s="29"/>
      <c r="DB1421" s="29"/>
      <c r="DC1421" s="29"/>
      <c r="DD1421" s="29"/>
      <c r="DE1421" s="29"/>
      <c r="DF1421" s="29"/>
      <c r="DG1421" s="29"/>
      <c r="DH1421" s="29"/>
      <c r="DI1421" s="29"/>
      <c r="DJ1421" s="29"/>
      <c r="DK1421" s="29"/>
      <c r="DL1421" s="29"/>
      <c r="DM1421" s="29"/>
      <c r="DN1421" s="29"/>
      <c r="DO1421" s="29"/>
      <c r="DP1421" s="29"/>
      <c r="DQ1421" s="29"/>
      <c r="DR1421" s="29"/>
      <c r="DS1421" s="29"/>
      <c r="DT1421" s="29"/>
      <c r="DU1421" s="29"/>
      <c r="DV1421" s="29"/>
      <c r="DW1421" s="29"/>
      <c r="DX1421" s="29"/>
      <c r="DY1421" s="29"/>
      <c r="DZ1421" s="29"/>
      <c r="EA1421" s="29"/>
      <c r="EB1421" s="29"/>
      <c r="EC1421" s="29"/>
      <c r="ED1421" s="29"/>
      <c r="EE1421" s="29"/>
      <c r="EF1421" s="29"/>
      <c r="EG1421" s="29"/>
      <c r="EH1421" s="29"/>
      <c r="EI1421" s="29"/>
      <c r="EJ1421" s="29"/>
      <c r="EK1421" s="29"/>
      <c r="EL1421" s="29"/>
      <c r="EM1421" s="29"/>
      <c r="EN1421" s="29"/>
      <c r="EO1421" s="29"/>
      <c r="EP1421" s="29"/>
      <c r="EQ1421" s="29"/>
      <c r="ER1421" s="29"/>
      <c r="ES1421" s="29"/>
      <c r="ET1421" s="29"/>
      <c r="EU1421" s="29"/>
      <c r="EV1421" s="29"/>
      <c r="EW1421" s="29"/>
      <c r="EX1421" s="29"/>
      <c r="EY1421" s="29"/>
      <c r="EZ1421" s="29"/>
      <c r="FA1421" s="29"/>
      <c r="FB1421" s="29"/>
      <c r="FC1421" s="29"/>
      <c r="FD1421" s="29"/>
      <c r="FE1421" s="29"/>
      <c r="FF1421" s="29"/>
      <c r="FG1421" s="29"/>
      <c r="FH1421" s="29"/>
      <c r="FI1421" s="29"/>
      <c r="FJ1421" s="29"/>
      <c r="FK1421" s="29"/>
      <c r="FL1421" s="29"/>
      <c r="FM1421" s="29"/>
      <c r="FN1421" s="29"/>
      <c r="FO1421" s="29"/>
      <c r="FP1421" s="29"/>
      <c r="FQ1421" s="29"/>
      <c r="FR1421" s="29"/>
      <c r="FS1421" s="29"/>
      <c r="FT1421" s="29"/>
      <c r="FU1421" s="29"/>
      <c r="FV1421" s="29"/>
      <c r="FW1421" s="29"/>
      <c r="FX1421" s="29"/>
      <c r="FY1421" s="29"/>
      <c r="FZ1421" s="29"/>
      <c r="GA1421" s="29"/>
      <c r="GB1421" s="29"/>
      <c r="GC1421" s="29"/>
      <c r="GD1421" s="29"/>
      <c r="GE1421" s="29"/>
      <c r="GF1421" s="29"/>
      <c r="GG1421" s="29"/>
      <c r="GH1421" s="29"/>
      <c r="GI1421" s="29"/>
      <c r="GJ1421" s="29"/>
      <c r="GK1421" s="29"/>
      <c r="GL1421" s="29"/>
      <c r="GM1421" s="29"/>
      <c r="GN1421" s="29"/>
      <c r="GO1421" s="29"/>
      <c r="GP1421" s="29"/>
      <c r="GQ1421" s="29"/>
      <c r="GR1421" s="29"/>
      <c r="GS1421" s="29"/>
      <c r="GT1421" s="29"/>
      <c r="GU1421" s="29"/>
      <c r="GV1421" s="29"/>
      <c r="GW1421" s="29"/>
      <c r="GX1421" s="29"/>
      <c r="GY1421" s="29"/>
      <c r="GZ1421" s="29"/>
      <c r="HA1421" s="29"/>
      <c r="HB1421" s="29"/>
      <c r="HC1421" s="29"/>
      <c r="HD1421" s="29"/>
      <c r="HE1421" s="29"/>
      <c r="HF1421" s="29"/>
      <c r="HG1421" s="29"/>
      <c r="HH1421" s="29"/>
      <c r="HI1421" s="29"/>
      <c r="HJ1421" s="29"/>
      <c r="HK1421" s="29"/>
      <c r="HL1421" s="29"/>
      <c r="HM1421" s="29"/>
      <c r="HN1421" s="29"/>
      <c r="HO1421" s="29"/>
      <c r="HP1421" s="29"/>
      <c r="HQ1421" s="29"/>
      <c r="HR1421" s="29"/>
      <c r="HS1421" s="29"/>
      <c r="HT1421" s="29"/>
      <c r="HU1421" s="29"/>
      <c r="HV1421" s="29"/>
      <c r="HW1421" s="29"/>
      <c r="HX1421" s="29"/>
      <c r="HY1421" s="29"/>
      <c r="HZ1421" s="29"/>
      <c r="IA1421" s="29"/>
      <c r="IB1421" s="29"/>
      <c r="IC1421" s="29"/>
      <c r="ID1421" s="29"/>
      <c r="IE1421" s="29"/>
      <c r="IF1421" s="29"/>
      <c r="IG1421" s="29"/>
      <c r="IH1421" s="29"/>
      <c r="II1421" s="29"/>
      <c r="IJ1421" s="29"/>
      <c r="IK1421" s="29"/>
      <c r="IL1421" s="29"/>
      <c r="IM1421" s="29"/>
      <c r="IN1421" s="29"/>
      <c r="IO1421" s="29"/>
      <c r="IP1421" s="29"/>
      <c r="IQ1421" s="29"/>
      <c r="IR1421" s="29"/>
      <c r="IS1421" s="29"/>
      <c r="IT1421" s="29"/>
      <c r="IU1421" s="29"/>
      <c r="IV1421" s="29"/>
      <c r="IW1421" s="29"/>
      <c r="IX1421" s="29"/>
      <c r="IY1421" s="29"/>
      <c r="IZ1421" s="29"/>
      <c r="JA1421" s="29"/>
      <c r="JB1421" s="29"/>
      <c r="JC1421" s="29"/>
      <c r="JD1421" s="29"/>
      <c r="JE1421" s="29"/>
      <c r="JF1421" s="29"/>
      <c r="JG1421" s="29"/>
      <c r="JH1421" s="29"/>
      <c r="JI1421" s="29"/>
      <c r="JJ1421" s="29"/>
      <c r="JK1421" s="29"/>
      <c r="JL1421" s="29"/>
      <c r="JM1421" s="29"/>
      <c r="JN1421" s="29"/>
      <c r="JO1421" s="29"/>
      <c r="JP1421" s="29"/>
      <c r="JQ1421" s="29"/>
      <c r="JR1421" s="29"/>
      <c r="JS1421" s="29"/>
      <c r="JT1421" s="29"/>
      <c r="JU1421" s="29"/>
      <c r="JV1421" s="29"/>
      <c r="JW1421" s="29"/>
      <c r="JX1421" s="29"/>
      <c r="JY1421" s="29"/>
      <c r="JZ1421" s="29"/>
      <c r="KA1421" s="29"/>
      <c r="KB1421" s="29"/>
      <c r="KC1421" s="29"/>
      <c r="KD1421" s="29"/>
      <c r="KE1421" s="29"/>
      <c r="KF1421" s="29"/>
      <c r="KG1421" s="29"/>
      <c r="KH1421" s="29"/>
      <c r="KI1421" s="29"/>
      <c r="KJ1421" s="29"/>
      <c r="KK1421" s="29"/>
      <c r="KL1421" s="29"/>
      <c r="KM1421" s="29"/>
      <c r="KN1421" s="29"/>
      <c r="KO1421" s="29"/>
      <c r="KP1421" s="29"/>
      <c r="KQ1421" s="29"/>
      <c r="KR1421" s="29"/>
      <c r="KS1421" s="29"/>
      <c r="KT1421" s="29"/>
      <c r="KU1421" s="29"/>
      <c r="KV1421" s="29"/>
      <c r="KW1421" s="29"/>
      <c r="KX1421" s="29"/>
      <c r="KY1421" s="29"/>
      <c r="KZ1421" s="29"/>
      <c r="LA1421" s="29"/>
      <c r="LB1421" s="29"/>
      <c r="LC1421" s="29"/>
      <c r="LD1421" s="29"/>
      <c r="LE1421" s="29"/>
      <c r="LF1421" s="29"/>
      <c r="LG1421" s="29"/>
      <c r="LH1421" s="29"/>
      <c r="LI1421" s="29"/>
      <c r="LJ1421" s="29"/>
      <c r="LK1421" s="29"/>
      <c r="LL1421" s="29"/>
      <c r="LM1421" s="29"/>
      <c r="LN1421" s="29"/>
      <c r="LO1421" s="29"/>
      <c r="LP1421" s="29"/>
      <c r="LQ1421" s="29"/>
      <c r="LR1421" s="29"/>
      <c r="LS1421" s="29"/>
      <c r="LT1421" s="29"/>
      <c r="LU1421" s="29"/>
      <c r="LV1421" s="29"/>
      <c r="LW1421" s="29"/>
      <c r="LX1421" s="29"/>
      <c r="LY1421" s="29"/>
      <c r="LZ1421" s="29"/>
      <c r="MA1421" s="29"/>
      <c r="MB1421" s="29"/>
      <c r="MC1421" s="29"/>
      <c r="MD1421" s="29"/>
      <c r="ME1421" s="29"/>
      <c r="MF1421" s="29"/>
      <c r="MG1421" s="29"/>
      <c r="MH1421" s="29"/>
      <c r="MI1421" s="29"/>
      <c r="MJ1421" s="29"/>
      <c r="MK1421" s="29"/>
      <c r="ML1421" s="29"/>
      <c r="MM1421" s="29"/>
      <c r="MN1421" s="29"/>
      <c r="MO1421" s="29"/>
      <c r="MP1421" s="29"/>
      <c r="MQ1421" s="29"/>
      <c r="MR1421" s="29"/>
      <c r="MS1421" s="29"/>
      <c r="MT1421" s="29"/>
      <c r="MU1421" s="29"/>
      <c r="MV1421" s="29"/>
      <c r="MW1421" s="29"/>
      <c r="MX1421" s="29"/>
      <c r="MY1421" s="29"/>
      <c r="MZ1421" s="29"/>
      <c r="NA1421" s="29"/>
      <c r="NB1421" s="29"/>
      <c r="NC1421" s="29"/>
      <c r="ND1421" s="29"/>
      <c r="NE1421" s="29"/>
      <c r="NF1421" s="29"/>
      <c r="NG1421" s="29"/>
      <c r="NH1421" s="29"/>
      <c r="NI1421" s="29"/>
      <c r="NJ1421" s="29"/>
      <c r="NK1421" s="29"/>
      <c r="NL1421" s="29"/>
      <c r="NM1421" s="29"/>
      <c r="NN1421" s="29"/>
      <c r="NO1421" s="29"/>
      <c r="NP1421" s="29"/>
      <c r="NQ1421" s="29"/>
      <c r="NR1421" s="29"/>
      <c r="NS1421" s="29"/>
      <c r="NT1421" s="29"/>
      <c r="NU1421" s="29"/>
      <c r="NV1421" s="29"/>
      <c r="NW1421" s="29"/>
      <c r="NX1421" s="29"/>
      <c r="NY1421" s="29"/>
      <c r="NZ1421" s="29"/>
      <c r="OA1421" s="29"/>
      <c r="OB1421" s="29"/>
      <c r="OC1421" s="29"/>
      <c r="OD1421" s="29"/>
      <c r="OE1421" s="29"/>
      <c r="OF1421" s="29"/>
      <c r="OG1421" s="29"/>
      <c r="OH1421" s="29"/>
      <c r="OI1421" s="29"/>
      <c r="OJ1421" s="29"/>
      <c r="OK1421" s="29"/>
      <c r="OL1421" s="29"/>
      <c r="OM1421" s="29"/>
      <c r="ON1421" s="29"/>
      <c r="OO1421" s="29"/>
      <c r="OP1421" s="29"/>
      <c r="OQ1421" s="29"/>
      <c r="OR1421" s="29"/>
      <c r="OS1421" s="29"/>
      <c r="OT1421" s="29"/>
      <c r="OU1421" s="29"/>
      <c r="OV1421" s="29"/>
      <c r="OW1421" s="29"/>
      <c r="OX1421" s="29"/>
      <c r="OY1421" s="29"/>
      <c r="OZ1421" s="29"/>
      <c r="PA1421" s="29"/>
      <c r="PB1421" s="29"/>
      <c r="PC1421" s="29"/>
      <c r="PD1421" s="29"/>
      <c r="PE1421" s="29"/>
      <c r="PF1421" s="29"/>
      <c r="PG1421" s="29"/>
      <c r="PH1421" s="29"/>
      <c r="PI1421" s="29"/>
      <c r="PJ1421" s="29"/>
      <c r="PK1421" s="29"/>
      <c r="PL1421" s="29"/>
      <c r="PM1421" s="29"/>
      <c r="PN1421" s="29"/>
      <c r="PO1421" s="29"/>
      <c r="PP1421" s="29"/>
      <c r="PQ1421" s="29"/>
      <c r="PR1421" s="29"/>
      <c r="PS1421" s="29"/>
      <c r="PT1421" s="29"/>
      <c r="PU1421" s="29"/>
      <c r="PV1421" s="29"/>
      <c r="PW1421" s="29"/>
      <c r="PX1421" s="29"/>
      <c r="PY1421" s="29"/>
      <c r="PZ1421" s="29"/>
      <c r="QA1421" s="29"/>
      <c r="QB1421" s="29"/>
      <c r="QC1421" s="29"/>
      <c r="QD1421" s="29"/>
      <c r="QE1421" s="29"/>
      <c r="QF1421" s="29"/>
      <c r="QG1421" s="29"/>
      <c r="QH1421" s="29"/>
      <c r="QI1421" s="29"/>
      <c r="QJ1421" s="29"/>
      <c r="QK1421" s="29"/>
      <c r="QL1421" s="29"/>
      <c r="QM1421" s="29"/>
      <c r="QN1421" s="29"/>
      <c r="QO1421" s="29"/>
      <c r="QP1421" s="29"/>
      <c r="QQ1421" s="29"/>
      <c r="QR1421" s="29"/>
      <c r="QS1421" s="29"/>
      <c r="QT1421" s="29"/>
      <c r="QU1421" s="29"/>
      <c r="QV1421" s="29"/>
      <c r="QW1421" s="29"/>
      <c r="QX1421" s="29"/>
      <c r="QY1421" s="29"/>
      <c r="QZ1421" s="29"/>
      <c r="RA1421" s="29"/>
      <c r="RB1421" s="29"/>
      <c r="RC1421" s="29"/>
      <c r="RD1421" s="29"/>
      <c r="RE1421" s="29"/>
      <c r="RF1421" s="29"/>
      <c r="RG1421" s="29"/>
      <c r="RH1421" s="29"/>
      <c r="RI1421" s="29"/>
      <c r="RJ1421" s="29"/>
      <c r="RK1421" s="29"/>
      <c r="RL1421" s="29"/>
      <c r="RM1421" s="29"/>
      <c r="RN1421" s="29"/>
      <c r="RO1421" s="29"/>
      <c r="RP1421" s="29"/>
      <c r="RQ1421" s="29"/>
      <c r="RR1421" s="29"/>
      <c r="RS1421" s="29"/>
      <c r="RT1421" s="29"/>
      <c r="RU1421" s="29"/>
      <c r="RV1421" s="29"/>
      <c r="RW1421" s="29"/>
      <c r="RX1421" s="29"/>
      <c r="RY1421" s="29"/>
      <c r="RZ1421" s="29"/>
      <c r="SA1421" s="29"/>
      <c r="SB1421" s="29"/>
      <c r="SC1421" s="29"/>
      <c r="SD1421" s="29"/>
      <c r="SE1421" s="29"/>
      <c r="SF1421" s="29"/>
      <c r="SG1421" s="29"/>
      <c r="SH1421" s="29"/>
      <c r="SI1421" s="29"/>
      <c r="SJ1421" s="29"/>
      <c r="SK1421" s="29"/>
      <c r="SL1421" s="29"/>
      <c r="SM1421" s="29"/>
      <c r="SN1421" s="29"/>
      <c r="SO1421" s="29"/>
      <c r="SP1421" s="29"/>
      <c r="SQ1421" s="29"/>
      <c r="SR1421" s="29"/>
      <c r="SS1421" s="29"/>
      <c r="ST1421" s="29"/>
      <c r="SU1421" s="29"/>
      <c r="SV1421" s="29"/>
      <c r="SW1421" s="29"/>
      <c r="SX1421" s="29"/>
      <c r="SY1421" s="29"/>
      <c r="SZ1421" s="29"/>
      <c r="TA1421" s="29"/>
      <c r="TB1421" s="29"/>
      <c r="TC1421" s="29"/>
      <c r="TD1421" s="29"/>
      <c r="TE1421" s="29"/>
      <c r="TF1421" s="29"/>
      <c r="TG1421" s="29"/>
      <c r="TH1421" s="29"/>
      <c r="TI1421" s="29"/>
      <c r="TJ1421" s="29"/>
      <c r="TK1421" s="29"/>
      <c r="TL1421" s="29"/>
      <c r="TM1421" s="29"/>
      <c r="TN1421" s="29"/>
      <c r="TO1421" s="29"/>
      <c r="TP1421" s="29"/>
      <c r="TQ1421" s="29"/>
      <c r="TR1421" s="29"/>
      <c r="TS1421" s="29"/>
      <c r="TT1421" s="29"/>
      <c r="TU1421" s="29"/>
      <c r="TV1421" s="29"/>
      <c r="TW1421" s="29"/>
      <c r="TX1421" s="29"/>
      <c r="TY1421" s="29"/>
      <c r="TZ1421" s="29"/>
      <c r="UA1421" s="29"/>
      <c r="UB1421" s="29"/>
      <c r="UC1421" s="29"/>
      <c r="UD1421" s="29"/>
      <c r="UE1421" s="29"/>
      <c r="UF1421" s="29"/>
      <c r="UG1421" s="29"/>
    </row>
    <row r="1422" spans="1:553" ht="38.25" customHeight="1">
      <c r="A1422" s="356" t="s">
        <v>66</v>
      </c>
      <c r="B1422" s="356"/>
      <c r="C1422" s="1491" t="s">
        <v>67</v>
      </c>
      <c r="D1422" s="1389"/>
      <c r="E1422" s="1389"/>
      <c r="F1422" s="1390"/>
      <c r="G1422" s="356"/>
      <c r="H1422" s="359"/>
      <c r="I1422" s="359"/>
      <c r="J1422" s="357"/>
      <c r="K1422" s="364"/>
      <c r="L1422" s="645"/>
      <c r="M1422" s="356"/>
      <c r="N1422" s="356"/>
      <c r="O1422" s="356"/>
      <c r="P1422" s="356"/>
      <c r="Q1422" s="610"/>
      <c r="R1422" s="1226"/>
      <c r="S1422" s="308"/>
      <c r="T1422" s="308"/>
      <c r="U1422" s="308"/>
      <c r="V1422" s="308"/>
      <c r="W1422" s="308"/>
      <c r="X1422" s="308"/>
      <c r="Y1422" s="308"/>
      <c r="Z1422" s="604"/>
      <c r="AA1422" s="308"/>
      <c r="AB1422" s="308"/>
      <c r="AC1422" s="486"/>
      <c r="AD1422" s="486"/>
      <c r="AE1422" s="486"/>
      <c r="AF1422" s="486"/>
      <c r="AG1422" s="486"/>
      <c r="AH1422" s="486"/>
      <c r="AI1422" s="486"/>
      <c r="AJ1422" s="486"/>
      <c r="AK1422" s="486"/>
      <c r="AL1422" s="206"/>
      <c r="AM1422" s="29"/>
      <c r="AN1422" s="29"/>
      <c r="AO1422" s="29"/>
      <c r="AP1422" s="29"/>
      <c r="AQ1422" s="29"/>
      <c r="AR1422" s="29"/>
      <c r="AS1422" s="29"/>
      <c r="AT1422" s="29"/>
      <c r="AU1422" s="29"/>
      <c r="AV1422" s="29"/>
      <c r="AW1422" s="29"/>
      <c r="AX1422" s="29"/>
      <c r="AY1422" s="29"/>
      <c r="AZ1422" s="29"/>
      <c r="BA1422" s="29"/>
      <c r="BB1422" s="29"/>
      <c r="BC1422" s="29"/>
      <c r="BD1422" s="29"/>
      <c r="BE1422" s="29"/>
      <c r="BF1422" s="29"/>
      <c r="BG1422" s="29"/>
      <c r="BH1422" s="29"/>
      <c r="BI1422" s="29"/>
      <c r="BJ1422" s="29"/>
      <c r="BK1422" s="29"/>
      <c r="BL1422" s="29"/>
      <c r="BM1422" s="29"/>
      <c r="BN1422" s="29"/>
      <c r="BO1422" s="29"/>
      <c r="BP1422" s="29"/>
      <c r="BQ1422" s="29"/>
      <c r="BR1422" s="29"/>
      <c r="BS1422" s="29"/>
      <c r="BT1422" s="29"/>
      <c r="BU1422" s="29"/>
      <c r="BV1422" s="29"/>
      <c r="BW1422" s="29"/>
      <c r="BX1422" s="29"/>
      <c r="BY1422" s="29"/>
      <c r="BZ1422" s="29"/>
      <c r="CA1422" s="29"/>
      <c r="CB1422" s="29"/>
      <c r="CC1422" s="29"/>
      <c r="CD1422" s="29"/>
      <c r="CE1422" s="29"/>
      <c r="CF1422" s="29"/>
      <c r="CG1422" s="29"/>
      <c r="CH1422" s="29"/>
      <c r="CI1422" s="29"/>
      <c r="CJ1422" s="29"/>
      <c r="CK1422" s="29"/>
      <c r="CL1422" s="29"/>
      <c r="CM1422" s="29"/>
      <c r="CN1422" s="29"/>
      <c r="CO1422" s="29"/>
      <c r="CP1422" s="29"/>
      <c r="CQ1422" s="29"/>
      <c r="CR1422" s="29"/>
      <c r="CS1422" s="29"/>
      <c r="CT1422" s="29"/>
      <c r="CU1422" s="29"/>
      <c r="CV1422" s="29"/>
      <c r="CW1422" s="29"/>
      <c r="CX1422" s="29"/>
      <c r="CY1422" s="29"/>
      <c r="CZ1422" s="29"/>
      <c r="DA1422" s="29"/>
      <c r="DB1422" s="29"/>
      <c r="DC1422" s="29"/>
      <c r="DD1422" s="29"/>
      <c r="DE1422" s="29"/>
      <c r="DF1422" s="29"/>
      <c r="DG1422" s="29"/>
      <c r="DH1422" s="29"/>
      <c r="DI1422" s="29"/>
      <c r="DJ1422" s="29"/>
      <c r="DK1422" s="29"/>
      <c r="DL1422" s="29"/>
      <c r="DM1422" s="29"/>
      <c r="DN1422" s="29"/>
      <c r="DO1422" s="29"/>
      <c r="DP1422" s="29"/>
      <c r="DQ1422" s="29"/>
      <c r="DR1422" s="29"/>
      <c r="DS1422" s="29"/>
      <c r="DT1422" s="29"/>
      <c r="DU1422" s="29"/>
      <c r="DV1422" s="29"/>
      <c r="DW1422" s="29"/>
      <c r="DX1422" s="29"/>
      <c r="DY1422" s="29"/>
      <c r="DZ1422" s="29"/>
      <c r="EA1422" s="29"/>
      <c r="EB1422" s="29"/>
      <c r="EC1422" s="29"/>
      <c r="ED1422" s="29"/>
      <c r="EE1422" s="29"/>
      <c r="EF1422" s="29"/>
      <c r="EG1422" s="29"/>
      <c r="EH1422" s="29"/>
      <c r="EI1422" s="29"/>
      <c r="EJ1422" s="29"/>
      <c r="EK1422" s="29"/>
      <c r="EL1422" s="29"/>
      <c r="EM1422" s="29"/>
      <c r="EN1422" s="29"/>
      <c r="EO1422" s="29"/>
      <c r="EP1422" s="29"/>
      <c r="EQ1422" s="29"/>
      <c r="ER1422" s="29"/>
      <c r="ES1422" s="29"/>
      <c r="ET1422" s="29"/>
      <c r="EU1422" s="29"/>
      <c r="EV1422" s="29"/>
      <c r="EW1422" s="29"/>
      <c r="EX1422" s="29"/>
      <c r="EY1422" s="29"/>
      <c r="EZ1422" s="29"/>
      <c r="FA1422" s="29"/>
      <c r="FB1422" s="29"/>
      <c r="FC1422" s="29"/>
      <c r="FD1422" s="29"/>
      <c r="FE1422" s="29"/>
      <c r="FF1422" s="29"/>
      <c r="FG1422" s="29"/>
      <c r="FH1422" s="29"/>
      <c r="FI1422" s="29"/>
      <c r="FJ1422" s="29"/>
      <c r="FK1422" s="29"/>
      <c r="FL1422" s="29"/>
      <c r="FM1422" s="29"/>
      <c r="FN1422" s="29"/>
      <c r="FO1422" s="29"/>
      <c r="FP1422" s="29"/>
      <c r="FQ1422" s="29"/>
      <c r="FR1422" s="29"/>
      <c r="FS1422" s="29"/>
      <c r="FT1422" s="29"/>
      <c r="FU1422" s="29"/>
      <c r="FV1422" s="29"/>
      <c r="FW1422" s="29"/>
      <c r="FX1422" s="29"/>
      <c r="FY1422" s="29"/>
      <c r="FZ1422" s="29"/>
      <c r="GA1422" s="29"/>
      <c r="GB1422" s="29"/>
      <c r="GC1422" s="29"/>
      <c r="GD1422" s="29"/>
      <c r="GE1422" s="29"/>
      <c r="GF1422" s="29"/>
      <c r="GG1422" s="29"/>
      <c r="GH1422" s="29"/>
      <c r="GI1422" s="29"/>
      <c r="GJ1422" s="29"/>
      <c r="GK1422" s="29"/>
      <c r="GL1422" s="29"/>
      <c r="GM1422" s="29"/>
      <c r="GN1422" s="29"/>
      <c r="GO1422" s="29"/>
      <c r="GP1422" s="29"/>
      <c r="GQ1422" s="29"/>
      <c r="GR1422" s="29"/>
      <c r="GS1422" s="29"/>
      <c r="GT1422" s="29"/>
      <c r="GU1422" s="29"/>
      <c r="GV1422" s="29"/>
      <c r="GW1422" s="29"/>
      <c r="GX1422" s="29"/>
      <c r="GY1422" s="29"/>
      <c r="GZ1422" s="29"/>
      <c r="HA1422" s="29"/>
      <c r="HB1422" s="29"/>
      <c r="HC1422" s="29"/>
      <c r="HD1422" s="29"/>
      <c r="HE1422" s="29"/>
      <c r="HF1422" s="29"/>
      <c r="HG1422" s="29"/>
      <c r="HH1422" s="29"/>
      <c r="HI1422" s="29"/>
      <c r="HJ1422" s="29"/>
      <c r="HK1422" s="29"/>
      <c r="HL1422" s="29"/>
      <c r="HM1422" s="29"/>
      <c r="HN1422" s="29"/>
      <c r="HO1422" s="29"/>
      <c r="HP1422" s="29"/>
      <c r="HQ1422" s="29"/>
      <c r="HR1422" s="29"/>
      <c r="HS1422" s="29"/>
      <c r="HT1422" s="29"/>
      <c r="HU1422" s="29"/>
      <c r="HV1422" s="29"/>
      <c r="HW1422" s="29"/>
      <c r="HX1422" s="29"/>
      <c r="HY1422" s="29"/>
      <c r="HZ1422" s="29"/>
      <c r="IA1422" s="29"/>
      <c r="IB1422" s="29"/>
      <c r="IC1422" s="29"/>
      <c r="ID1422" s="29"/>
      <c r="IE1422" s="29"/>
      <c r="IF1422" s="29"/>
      <c r="IG1422" s="29"/>
      <c r="IH1422" s="29"/>
      <c r="II1422" s="29"/>
      <c r="IJ1422" s="29"/>
      <c r="IK1422" s="29"/>
      <c r="IL1422" s="29"/>
      <c r="IM1422" s="29"/>
      <c r="IN1422" s="29"/>
      <c r="IO1422" s="29"/>
      <c r="IP1422" s="29"/>
      <c r="IQ1422" s="29"/>
      <c r="IR1422" s="29"/>
      <c r="IS1422" s="29"/>
      <c r="IT1422" s="29"/>
      <c r="IU1422" s="29"/>
      <c r="IV1422" s="29"/>
      <c r="IW1422" s="29"/>
      <c r="IX1422" s="29"/>
      <c r="IY1422" s="29"/>
      <c r="IZ1422" s="29"/>
      <c r="JA1422" s="29"/>
      <c r="JB1422" s="29"/>
      <c r="JC1422" s="29"/>
      <c r="JD1422" s="29"/>
      <c r="JE1422" s="29"/>
      <c r="JF1422" s="29"/>
      <c r="JG1422" s="29"/>
      <c r="JH1422" s="29"/>
      <c r="JI1422" s="29"/>
      <c r="JJ1422" s="29"/>
      <c r="JK1422" s="29"/>
      <c r="JL1422" s="29"/>
      <c r="JM1422" s="29"/>
      <c r="JN1422" s="29"/>
      <c r="JO1422" s="29"/>
      <c r="JP1422" s="29"/>
      <c r="JQ1422" s="29"/>
      <c r="JR1422" s="29"/>
      <c r="JS1422" s="29"/>
      <c r="JT1422" s="29"/>
      <c r="JU1422" s="29"/>
      <c r="JV1422" s="29"/>
      <c r="JW1422" s="29"/>
      <c r="JX1422" s="29"/>
      <c r="JY1422" s="29"/>
      <c r="JZ1422" s="29"/>
      <c r="KA1422" s="29"/>
      <c r="KB1422" s="29"/>
      <c r="KC1422" s="29"/>
      <c r="KD1422" s="29"/>
      <c r="KE1422" s="29"/>
      <c r="KF1422" s="29"/>
      <c r="KG1422" s="29"/>
      <c r="KH1422" s="29"/>
      <c r="KI1422" s="29"/>
      <c r="KJ1422" s="29"/>
      <c r="KK1422" s="29"/>
      <c r="KL1422" s="29"/>
      <c r="KM1422" s="29"/>
      <c r="KN1422" s="29"/>
      <c r="KO1422" s="29"/>
      <c r="KP1422" s="29"/>
      <c r="KQ1422" s="29"/>
      <c r="KR1422" s="29"/>
      <c r="KS1422" s="29"/>
      <c r="KT1422" s="29"/>
      <c r="KU1422" s="29"/>
      <c r="KV1422" s="29"/>
      <c r="KW1422" s="29"/>
      <c r="KX1422" s="29"/>
      <c r="KY1422" s="29"/>
      <c r="KZ1422" s="29"/>
      <c r="LA1422" s="29"/>
      <c r="LB1422" s="29"/>
      <c r="LC1422" s="29"/>
      <c r="LD1422" s="29"/>
      <c r="LE1422" s="29"/>
      <c r="LF1422" s="29"/>
      <c r="LG1422" s="29"/>
      <c r="LH1422" s="29"/>
      <c r="LI1422" s="29"/>
      <c r="LJ1422" s="29"/>
      <c r="LK1422" s="29"/>
      <c r="LL1422" s="29"/>
      <c r="LM1422" s="29"/>
      <c r="LN1422" s="29"/>
      <c r="LO1422" s="29"/>
      <c r="LP1422" s="29"/>
      <c r="LQ1422" s="29"/>
      <c r="LR1422" s="29"/>
      <c r="LS1422" s="29"/>
      <c r="LT1422" s="29"/>
      <c r="LU1422" s="29"/>
      <c r="LV1422" s="29"/>
      <c r="LW1422" s="29"/>
      <c r="LX1422" s="29"/>
      <c r="LY1422" s="29"/>
      <c r="LZ1422" s="29"/>
      <c r="MA1422" s="29"/>
      <c r="MB1422" s="29"/>
      <c r="MC1422" s="29"/>
      <c r="MD1422" s="29"/>
      <c r="ME1422" s="29"/>
      <c r="MF1422" s="29"/>
      <c r="MG1422" s="29"/>
      <c r="MH1422" s="29"/>
      <c r="MI1422" s="29"/>
      <c r="MJ1422" s="29"/>
      <c r="MK1422" s="29"/>
      <c r="ML1422" s="29"/>
      <c r="MM1422" s="29"/>
      <c r="MN1422" s="29"/>
      <c r="MO1422" s="29"/>
      <c r="MP1422" s="29"/>
      <c r="MQ1422" s="29"/>
      <c r="MR1422" s="29"/>
      <c r="MS1422" s="29"/>
      <c r="MT1422" s="29"/>
      <c r="MU1422" s="29"/>
      <c r="MV1422" s="29"/>
      <c r="MW1422" s="29"/>
      <c r="MX1422" s="29"/>
      <c r="MY1422" s="29"/>
      <c r="MZ1422" s="29"/>
      <c r="NA1422" s="29"/>
      <c r="NB1422" s="29"/>
      <c r="NC1422" s="29"/>
      <c r="ND1422" s="29"/>
      <c r="NE1422" s="29"/>
      <c r="NF1422" s="29"/>
      <c r="NG1422" s="29"/>
      <c r="NH1422" s="29"/>
      <c r="NI1422" s="29"/>
      <c r="NJ1422" s="29"/>
      <c r="NK1422" s="29"/>
      <c r="NL1422" s="29"/>
      <c r="NM1422" s="29"/>
      <c r="NN1422" s="29"/>
      <c r="NO1422" s="29"/>
      <c r="NP1422" s="29"/>
      <c r="NQ1422" s="29"/>
      <c r="NR1422" s="29"/>
      <c r="NS1422" s="29"/>
      <c r="NT1422" s="29"/>
      <c r="NU1422" s="29"/>
      <c r="NV1422" s="29"/>
      <c r="NW1422" s="29"/>
      <c r="NX1422" s="29"/>
      <c r="NY1422" s="29"/>
      <c r="NZ1422" s="29"/>
      <c r="OA1422" s="29"/>
      <c r="OB1422" s="29"/>
      <c r="OC1422" s="29"/>
      <c r="OD1422" s="29"/>
      <c r="OE1422" s="29"/>
      <c r="OF1422" s="29"/>
      <c r="OG1422" s="29"/>
      <c r="OH1422" s="29"/>
      <c r="OI1422" s="29"/>
      <c r="OJ1422" s="29"/>
      <c r="OK1422" s="29"/>
      <c r="OL1422" s="29"/>
      <c r="OM1422" s="29"/>
      <c r="ON1422" s="29"/>
      <c r="OO1422" s="29"/>
      <c r="OP1422" s="29"/>
      <c r="OQ1422" s="29"/>
      <c r="OR1422" s="29"/>
      <c r="OS1422" s="29"/>
      <c r="OT1422" s="29"/>
      <c r="OU1422" s="29"/>
      <c r="OV1422" s="29"/>
      <c r="OW1422" s="29"/>
      <c r="OX1422" s="29"/>
      <c r="OY1422" s="29"/>
      <c r="OZ1422" s="29"/>
      <c r="PA1422" s="29"/>
      <c r="PB1422" s="29"/>
      <c r="PC1422" s="29"/>
      <c r="PD1422" s="29"/>
      <c r="PE1422" s="29"/>
      <c r="PF1422" s="29"/>
      <c r="PG1422" s="29"/>
      <c r="PH1422" s="29"/>
      <c r="PI1422" s="29"/>
      <c r="PJ1422" s="29"/>
      <c r="PK1422" s="29"/>
      <c r="PL1422" s="29"/>
      <c r="PM1422" s="29"/>
      <c r="PN1422" s="29"/>
      <c r="PO1422" s="29"/>
      <c r="PP1422" s="29"/>
      <c r="PQ1422" s="29"/>
      <c r="PR1422" s="29"/>
      <c r="PS1422" s="29"/>
      <c r="PT1422" s="29"/>
      <c r="PU1422" s="29"/>
      <c r="PV1422" s="29"/>
      <c r="PW1422" s="29"/>
      <c r="PX1422" s="29"/>
      <c r="PY1422" s="29"/>
      <c r="PZ1422" s="29"/>
      <c r="QA1422" s="29"/>
      <c r="QB1422" s="29"/>
      <c r="QC1422" s="29"/>
      <c r="QD1422" s="29"/>
      <c r="QE1422" s="29"/>
      <c r="QF1422" s="29"/>
      <c r="QG1422" s="29"/>
      <c r="QH1422" s="29"/>
      <c r="QI1422" s="29"/>
      <c r="QJ1422" s="29"/>
      <c r="QK1422" s="29"/>
      <c r="QL1422" s="29"/>
      <c r="QM1422" s="29"/>
      <c r="QN1422" s="29"/>
      <c r="QO1422" s="29"/>
      <c r="QP1422" s="29"/>
      <c r="QQ1422" s="29"/>
      <c r="QR1422" s="29"/>
      <c r="QS1422" s="29"/>
      <c r="QT1422" s="29"/>
      <c r="QU1422" s="29"/>
      <c r="QV1422" s="29"/>
      <c r="QW1422" s="29"/>
      <c r="QX1422" s="29"/>
      <c r="QY1422" s="29"/>
      <c r="QZ1422" s="29"/>
      <c r="RA1422" s="29"/>
      <c r="RB1422" s="29"/>
      <c r="RC1422" s="29"/>
      <c r="RD1422" s="29"/>
      <c r="RE1422" s="29"/>
      <c r="RF1422" s="29"/>
      <c r="RG1422" s="29"/>
      <c r="RH1422" s="29"/>
      <c r="RI1422" s="29"/>
      <c r="RJ1422" s="29"/>
      <c r="RK1422" s="29"/>
      <c r="RL1422" s="29"/>
      <c r="RM1422" s="29"/>
      <c r="RN1422" s="29"/>
      <c r="RO1422" s="29"/>
      <c r="RP1422" s="29"/>
      <c r="RQ1422" s="29"/>
      <c r="RR1422" s="29"/>
      <c r="RS1422" s="29"/>
      <c r="RT1422" s="29"/>
      <c r="RU1422" s="29"/>
      <c r="RV1422" s="29"/>
      <c r="RW1422" s="29"/>
      <c r="RX1422" s="29"/>
      <c r="RY1422" s="29"/>
      <c r="RZ1422" s="29"/>
      <c r="SA1422" s="29"/>
      <c r="SB1422" s="29"/>
      <c r="SC1422" s="29"/>
      <c r="SD1422" s="29"/>
      <c r="SE1422" s="29"/>
      <c r="SF1422" s="29"/>
      <c r="SG1422" s="29"/>
      <c r="SH1422" s="29"/>
      <c r="SI1422" s="29"/>
      <c r="SJ1422" s="29"/>
      <c r="SK1422" s="29"/>
      <c r="SL1422" s="29"/>
      <c r="SM1422" s="29"/>
      <c r="SN1422" s="29"/>
      <c r="SO1422" s="29"/>
      <c r="SP1422" s="29"/>
      <c r="SQ1422" s="29"/>
      <c r="SR1422" s="29"/>
      <c r="SS1422" s="29"/>
      <c r="ST1422" s="29"/>
      <c r="SU1422" s="29"/>
      <c r="SV1422" s="29"/>
      <c r="SW1422" s="29"/>
      <c r="SX1422" s="29"/>
      <c r="SY1422" s="29"/>
      <c r="SZ1422" s="29"/>
      <c r="TA1422" s="29"/>
      <c r="TB1422" s="29"/>
      <c r="TC1422" s="29"/>
      <c r="TD1422" s="29"/>
      <c r="TE1422" s="29"/>
      <c r="TF1422" s="29"/>
      <c r="TG1422" s="29"/>
      <c r="TH1422" s="29"/>
      <c r="TI1422" s="29"/>
      <c r="TJ1422" s="29"/>
      <c r="TK1422" s="29"/>
      <c r="TL1422" s="29"/>
      <c r="TM1422" s="29"/>
      <c r="TN1422" s="29"/>
      <c r="TO1422" s="29"/>
      <c r="TP1422" s="29"/>
      <c r="TQ1422" s="29"/>
      <c r="TR1422" s="29"/>
      <c r="TS1422" s="29"/>
      <c r="TT1422" s="29"/>
      <c r="TU1422" s="29"/>
      <c r="TV1422" s="29"/>
      <c r="TW1422" s="29"/>
      <c r="TX1422" s="29"/>
      <c r="TY1422" s="29"/>
      <c r="TZ1422" s="29"/>
      <c r="UA1422" s="29"/>
      <c r="UB1422" s="29"/>
      <c r="UC1422" s="29"/>
      <c r="UD1422" s="29"/>
      <c r="UE1422" s="29"/>
      <c r="UF1422" s="29"/>
      <c r="UG1422" s="29"/>
    </row>
    <row r="1423" spans="1:553" s="169" customFormat="1" ht="51" customHeight="1">
      <c r="A1423" s="356">
        <v>16</v>
      </c>
      <c r="B1423" s="356"/>
      <c r="C1423" s="1210" t="s">
        <v>763</v>
      </c>
      <c r="D1423" s="1246"/>
      <c r="E1423" s="1246"/>
      <c r="F1423" s="1247"/>
      <c r="G1423" s="356"/>
      <c r="H1423" s="359"/>
      <c r="I1423" s="359"/>
      <c r="J1423" s="357"/>
      <c r="K1423" s="364"/>
      <c r="L1423" s="645">
        <f>SUM(L1424:L1505)/2</f>
        <v>1053707217.7647059</v>
      </c>
      <c r="M1423" s="356"/>
      <c r="N1423" s="356"/>
      <c r="O1423" s="356"/>
      <c r="P1423" s="356">
        <f>L1423-P1427</f>
        <v>1053707217.7647059</v>
      </c>
      <c r="Q1423" s="610"/>
      <c r="R1423" s="1226"/>
      <c r="S1423" s="435" t="s">
        <v>845</v>
      </c>
      <c r="T1423" s="841" t="s">
        <v>1325</v>
      </c>
      <c r="U1423" s="616">
        <f>H1427</f>
        <v>1792.8</v>
      </c>
      <c r="V1423" s="616">
        <f>I1427</f>
        <v>1510</v>
      </c>
      <c r="W1423" s="435">
        <f>SUM(W1425:W1433)</f>
        <v>1212.4000000000001</v>
      </c>
      <c r="X1423" s="435">
        <f t="shared" ref="X1423:AC1423" si="219">SUM(X1425:X1433)</f>
        <v>0</v>
      </c>
      <c r="Y1423" s="435">
        <f t="shared" si="219"/>
        <v>38.700000000000003</v>
      </c>
      <c r="Z1423" s="435">
        <f t="shared" si="219"/>
        <v>0</v>
      </c>
      <c r="AA1423" s="435">
        <f t="shared" si="219"/>
        <v>0</v>
      </c>
      <c r="AB1423" s="435">
        <f t="shared" si="219"/>
        <v>0</v>
      </c>
      <c r="AC1423" s="435">
        <f t="shared" si="219"/>
        <v>258.89999999999998</v>
      </c>
      <c r="AD1423" s="785">
        <f>L1427</f>
        <v>177687800</v>
      </c>
      <c r="AE1423" s="790">
        <f>L1434</f>
        <v>554313974.7647059</v>
      </c>
      <c r="AF1423" s="790">
        <f>L1478</f>
        <v>52775943</v>
      </c>
      <c r="AG1423" s="790">
        <f>L1494</f>
        <v>5000000</v>
      </c>
      <c r="AH1423" s="790">
        <f>L1496</f>
        <v>263929500</v>
      </c>
      <c r="AI1423" s="790">
        <f>L1502</f>
        <v>0</v>
      </c>
      <c r="AJ1423" s="837"/>
      <c r="AK1423" s="785">
        <f>SUM(AD1423:AJ1423)</f>
        <v>1053707217.7647059</v>
      </c>
      <c r="AL1423" s="334"/>
      <c r="AM1423" s="209"/>
      <c r="AN1423" s="209"/>
      <c r="AO1423" s="209"/>
      <c r="AP1423" s="209"/>
      <c r="AQ1423" s="209"/>
      <c r="AR1423" s="209"/>
      <c r="AS1423" s="209"/>
      <c r="AT1423" s="209"/>
      <c r="AU1423" s="209"/>
      <c r="AV1423" s="209"/>
      <c r="AW1423" s="209"/>
      <c r="AX1423" s="209"/>
      <c r="AY1423" s="209"/>
      <c r="AZ1423" s="209"/>
      <c r="BA1423" s="209"/>
      <c r="BB1423" s="209"/>
      <c r="BC1423" s="209"/>
      <c r="BD1423" s="209"/>
      <c r="BE1423" s="209"/>
      <c r="BF1423" s="209"/>
      <c r="BG1423" s="209"/>
      <c r="BH1423" s="209"/>
      <c r="BI1423" s="209"/>
      <c r="BJ1423" s="209"/>
      <c r="BK1423" s="209"/>
      <c r="BL1423" s="209"/>
      <c r="BM1423" s="209"/>
      <c r="BN1423" s="209"/>
      <c r="BO1423" s="209"/>
      <c r="BP1423" s="209"/>
      <c r="BQ1423" s="209"/>
      <c r="BR1423" s="209"/>
      <c r="BS1423" s="209"/>
      <c r="BT1423" s="209"/>
      <c r="BU1423" s="209"/>
      <c r="BV1423" s="209"/>
      <c r="BW1423" s="209"/>
      <c r="BX1423" s="209"/>
      <c r="BY1423" s="209"/>
      <c r="BZ1423" s="209"/>
      <c r="CA1423" s="209"/>
      <c r="CB1423" s="209"/>
      <c r="CC1423" s="209"/>
      <c r="CD1423" s="209"/>
      <c r="CE1423" s="209"/>
      <c r="CF1423" s="209"/>
      <c r="CG1423" s="209"/>
      <c r="CH1423" s="209"/>
      <c r="CI1423" s="209"/>
      <c r="CJ1423" s="209"/>
      <c r="CK1423" s="209"/>
      <c r="CL1423" s="209"/>
      <c r="CM1423" s="209"/>
      <c r="CN1423" s="209"/>
      <c r="CO1423" s="209"/>
      <c r="CP1423" s="209"/>
      <c r="CQ1423" s="209"/>
      <c r="CR1423" s="209"/>
      <c r="CS1423" s="209"/>
      <c r="CT1423" s="209"/>
      <c r="CU1423" s="209"/>
      <c r="CV1423" s="209"/>
      <c r="CW1423" s="209"/>
      <c r="CX1423" s="209"/>
      <c r="CY1423" s="209"/>
      <c r="CZ1423" s="209"/>
      <c r="DA1423" s="209"/>
      <c r="DB1423" s="209"/>
      <c r="DC1423" s="209"/>
      <c r="DD1423" s="209"/>
      <c r="DE1423" s="209"/>
      <c r="DF1423" s="209"/>
      <c r="DG1423" s="209"/>
      <c r="DH1423" s="209"/>
      <c r="DI1423" s="209"/>
      <c r="DJ1423" s="209"/>
      <c r="DK1423" s="209"/>
      <c r="DL1423" s="209"/>
      <c r="DM1423" s="209"/>
      <c r="DN1423" s="209"/>
      <c r="DO1423" s="209"/>
      <c r="DP1423" s="209"/>
      <c r="DQ1423" s="209"/>
      <c r="DR1423" s="209"/>
      <c r="DS1423" s="209"/>
      <c r="DT1423" s="209"/>
      <c r="DU1423" s="209"/>
      <c r="DV1423" s="209"/>
      <c r="DW1423" s="209"/>
      <c r="DX1423" s="209"/>
      <c r="DY1423" s="209"/>
      <c r="DZ1423" s="209"/>
      <c r="EA1423" s="209"/>
      <c r="EB1423" s="209"/>
      <c r="EC1423" s="209"/>
      <c r="ED1423" s="209"/>
      <c r="EE1423" s="209"/>
      <c r="EF1423" s="209"/>
      <c r="EG1423" s="209"/>
      <c r="EH1423" s="209"/>
      <c r="EI1423" s="209"/>
      <c r="EJ1423" s="209"/>
      <c r="EK1423" s="209"/>
      <c r="EL1423" s="209"/>
      <c r="EM1423" s="209"/>
      <c r="EN1423" s="209"/>
      <c r="EO1423" s="209"/>
      <c r="EP1423" s="209"/>
      <c r="EQ1423" s="209"/>
      <c r="ER1423" s="209"/>
      <c r="ES1423" s="209"/>
      <c r="ET1423" s="209"/>
      <c r="EU1423" s="209"/>
      <c r="EV1423" s="209"/>
      <c r="EW1423" s="209"/>
      <c r="EX1423" s="209"/>
      <c r="EY1423" s="209"/>
      <c r="EZ1423" s="209"/>
      <c r="FA1423" s="209"/>
      <c r="FB1423" s="209"/>
      <c r="FC1423" s="209"/>
      <c r="FD1423" s="209"/>
      <c r="FE1423" s="209"/>
      <c r="FF1423" s="209"/>
      <c r="FG1423" s="209"/>
      <c r="FH1423" s="209"/>
      <c r="FI1423" s="209"/>
      <c r="FJ1423" s="209"/>
      <c r="FK1423" s="209"/>
      <c r="FL1423" s="209"/>
      <c r="FM1423" s="209"/>
      <c r="FN1423" s="209"/>
      <c r="FO1423" s="209"/>
      <c r="FP1423" s="209"/>
      <c r="FQ1423" s="209"/>
      <c r="FR1423" s="209"/>
      <c r="FS1423" s="209"/>
      <c r="FT1423" s="209"/>
      <c r="FU1423" s="209"/>
      <c r="FV1423" s="209"/>
      <c r="FW1423" s="209"/>
      <c r="FX1423" s="209"/>
      <c r="FY1423" s="209"/>
      <c r="FZ1423" s="209"/>
      <c r="GA1423" s="209"/>
      <c r="GB1423" s="209"/>
      <c r="GC1423" s="209"/>
      <c r="GD1423" s="209"/>
      <c r="GE1423" s="209"/>
      <c r="GF1423" s="209"/>
      <c r="GG1423" s="209"/>
      <c r="GH1423" s="209"/>
      <c r="GI1423" s="209"/>
      <c r="GJ1423" s="209"/>
      <c r="GK1423" s="209"/>
      <c r="GL1423" s="209"/>
      <c r="GM1423" s="209"/>
      <c r="GN1423" s="209"/>
      <c r="GO1423" s="209"/>
      <c r="GP1423" s="209"/>
      <c r="GQ1423" s="209"/>
      <c r="GR1423" s="209"/>
      <c r="GS1423" s="209"/>
      <c r="GT1423" s="209"/>
      <c r="GU1423" s="209"/>
      <c r="GV1423" s="209"/>
      <c r="GW1423" s="209"/>
      <c r="GX1423" s="209"/>
      <c r="GY1423" s="209"/>
      <c r="GZ1423" s="209"/>
      <c r="HA1423" s="209"/>
      <c r="HB1423" s="209"/>
      <c r="HC1423" s="209"/>
      <c r="HD1423" s="209"/>
      <c r="HE1423" s="209"/>
      <c r="HF1423" s="209"/>
      <c r="HG1423" s="209"/>
      <c r="HH1423" s="209"/>
      <c r="HI1423" s="209"/>
      <c r="HJ1423" s="209"/>
      <c r="HK1423" s="209"/>
      <c r="HL1423" s="209"/>
      <c r="HM1423" s="209"/>
      <c r="HN1423" s="209"/>
      <c r="HO1423" s="209"/>
      <c r="HP1423" s="209"/>
      <c r="HQ1423" s="209"/>
      <c r="HR1423" s="209"/>
      <c r="HS1423" s="209"/>
      <c r="HT1423" s="209"/>
      <c r="HU1423" s="209"/>
      <c r="HV1423" s="209"/>
      <c r="HW1423" s="209"/>
      <c r="HX1423" s="209"/>
      <c r="HY1423" s="209"/>
      <c r="HZ1423" s="209"/>
      <c r="IA1423" s="209"/>
      <c r="IB1423" s="209"/>
      <c r="IC1423" s="209"/>
      <c r="ID1423" s="209"/>
      <c r="IE1423" s="209"/>
      <c r="IF1423" s="209"/>
      <c r="IG1423" s="209"/>
      <c r="IH1423" s="209"/>
      <c r="II1423" s="209"/>
      <c r="IJ1423" s="209"/>
      <c r="IK1423" s="209"/>
      <c r="IL1423" s="209"/>
      <c r="IM1423" s="209"/>
      <c r="IN1423" s="209"/>
      <c r="IO1423" s="209"/>
      <c r="IP1423" s="209"/>
      <c r="IQ1423" s="209"/>
      <c r="IR1423" s="209"/>
      <c r="IS1423" s="209"/>
      <c r="IT1423" s="209"/>
      <c r="IU1423" s="209"/>
      <c r="IV1423" s="209"/>
      <c r="IW1423" s="209"/>
      <c r="IX1423" s="209"/>
      <c r="IY1423" s="209"/>
      <c r="IZ1423" s="209"/>
      <c r="JA1423" s="209"/>
      <c r="JB1423" s="209"/>
      <c r="JC1423" s="209"/>
      <c r="JD1423" s="209"/>
      <c r="JE1423" s="209"/>
      <c r="JF1423" s="209"/>
      <c r="JG1423" s="209"/>
      <c r="JH1423" s="209"/>
      <c r="JI1423" s="209"/>
      <c r="JJ1423" s="209"/>
      <c r="JK1423" s="209"/>
      <c r="JL1423" s="209"/>
      <c r="JM1423" s="209"/>
      <c r="JN1423" s="209"/>
      <c r="JO1423" s="209"/>
      <c r="JP1423" s="209"/>
      <c r="JQ1423" s="209"/>
      <c r="JR1423" s="209"/>
      <c r="JS1423" s="209"/>
      <c r="JT1423" s="209"/>
      <c r="JU1423" s="209"/>
      <c r="JV1423" s="209"/>
      <c r="JW1423" s="209"/>
      <c r="JX1423" s="209"/>
      <c r="JY1423" s="209"/>
      <c r="JZ1423" s="209"/>
      <c r="KA1423" s="209"/>
      <c r="KB1423" s="209"/>
      <c r="KC1423" s="209"/>
      <c r="KD1423" s="209"/>
      <c r="KE1423" s="209"/>
      <c r="KF1423" s="209"/>
      <c r="KG1423" s="209"/>
      <c r="KH1423" s="209"/>
      <c r="KI1423" s="209"/>
      <c r="KJ1423" s="209"/>
      <c r="KK1423" s="209"/>
      <c r="KL1423" s="209"/>
      <c r="KM1423" s="209"/>
      <c r="KN1423" s="209"/>
      <c r="KO1423" s="209"/>
      <c r="KP1423" s="209"/>
      <c r="KQ1423" s="209"/>
      <c r="KR1423" s="209"/>
      <c r="KS1423" s="209"/>
      <c r="KT1423" s="209"/>
      <c r="KU1423" s="209"/>
      <c r="KV1423" s="209"/>
      <c r="KW1423" s="209"/>
      <c r="KX1423" s="209"/>
      <c r="KY1423" s="209"/>
      <c r="KZ1423" s="209"/>
      <c r="LA1423" s="209"/>
      <c r="LB1423" s="209"/>
      <c r="LC1423" s="209"/>
      <c r="LD1423" s="209"/>
      <c r="LE1423" s="209"/>
      <c r="LF1423" s="209"/>
      <c r="LG1423" s="209"/>
      <c r="LH1423" s="209"/>
      <c r="LI1423" s="209"/>
      <c r="LJ1423" s="209"/>
      <c r="LK1423" s="209"/>
      <c r="LL1423" s="209"/>
      <c r="LM1423" s="209"/>
      <c r="LN1423" s="209"/>
      <c r="LO1423" s="209"/>
      <c r="LP1423" s="209"/>
      <c r="LQ1423" s="209"/>
      <c r="LR1423" s="209"/>
      <c r="LS1423" s="209"/>
      <c r="LT1423" s="209"/>
      <c r="LU1423" s="209"/>
      <c r="LV1423" s="209"/>
      <c r="LW1423" s="209"/>
      <c r="LX1423" s="209"/>
      <c r="LY1423" s="209"/>
      <c r="LZ1423" s="209"/>
      <c r="MA1423" s="209"/>
      <c r="MB1423" s="209"/>
      <c r="MC1423" s="209"/>
      <c r="MD1423" s="209"/>
      <c r="ME1423" s="209"/>
      <c r="MF1423" s="209"/>
      <c r="MG1423" s="209"/>
      <c r="MH1423" s="209"/>
      <c r="MI1423" s="209"/>
      <c r="MJ1423" s="209"/>
      <c r="MK1423" s="209"/>
      <c r="ML1423" s="209"/>
      <c r="MM1423" s="209"/>
      <c r="MN1423" s="209"/>
      <c r="MO1423" s="209"/>
      <c r="MP1423" s="209"/>
      <c r="MQ1423" s="209"/>
      <c r="MR1423" s="209"/>
      <c r="MS1423" s="209"/>
      <c r="MT1423" s="209"/>
      <c r="MU1423" s="209"/>
      <c r="MV1423" s="209"/>
      <c r="MW1423" s="209"/>
      <c r="MX1423" s="209"/>
      <c r="MY1423" s="209"/>
      <c r="MZ1423" s="209"/>
      <c r="NA1423" s="209"/>
      <c r="NB1423" s="209"/>
      <c r="NC1423" s="209"/>
      <c r="ND1423" s="209"/>
      <c r="NE1423" s="209"/>
      <c r="NF1423" s="209"/>
      <c r="NG1423" s="209"/>
      <c r="NH1423" s="209"/>
      <c r="NI1423" s="209"/>
      <c r="NJ1423" s="209"/>
      <c r="NK1423" s="209"/>
      <c r="NL1423" s="209"/>
      <c r="NM1423" s="209"/>
      <c r="NN1423" s="209"/>
      <c r="NO1423" s="209"/>
      <c r="NP1423" s="209"/>
      <c r="NQ1423" s="209"/>
      <c r="NR1423" s="209"/>
      <c r="NS1423" s="209"/>
      <c r="NT1423" s="209"/>
      <c r="NU1423" s="209"/>
      <c r="NV1423" s="209"/>
      <c r="NW1423" s="209"/>
      <c r="NX1423" s="209"/>
      <c r="NY1423" s="209"/>
      <c r="NZ1423" s="209"/>
      <c r="OA1423" s="209"/>
      <c r="OB1423" s="209"/>
      <c r="OC1423" s="209"/>
      <c r="OD1423" s="209"/>
      <c r="OE1423" s="209"/>
      <c r="OF1423" s="209"/>
      <c r="OG1423" s="209"/>
      <c r="OH1423" s="209"/>
      <c r="OI1423" s="209"/>
      <c r="OJ1423" s="209"/>
      <c r="OK1423" s="209"/>
      <c r="OL1423" s="209"/>
      <c r="OM1423" s="209"/>
      <c r="ON1423" s="209"/>
      <c r="OO1423" s="209"/>
      <c r="OP1423" s="209"/>
      <c r="OQ1423" s="209"/>
      <c r="OR1423" s="209"/>
      <c r="OS1423" s="209"/>
      <c r="OT1423" s="209"/>
      <c r="OU1423" s="209"/>
      <c r="OV1423" s="209"/>
      <c r="OW1423" s="209"/>
      <c r="OX1423" s="209"/>
      <c r="OY1423" s="209"/>
      <c r="OZ1423" s="209"/>
      <c r="PA1423" s="209"/>
      <c r="PB1423" s="209"/>
      <c r="PC1423" s="209"/>
      <c r="PD1423" s="209"/>
      <c r="PE1423" s="209"/>
      <c r="PF1423" s="209"/>
      <c r="PG1423" s="209"/>
      <c r="PH1423" s="209"/>
      <c r="PI1423" s="209"/>
      <c r="PJ1423" s="209"/>
      <c r="PK1423" s="209"/>
      <c r="PL1423" s="209"/>
      <c r="PM1423" s="209"/>
      <c r="PN1423" s="209"/>
      <c r="PO1423" s="209"/>
      <c r="PP1423" s="209"/>
      <c r="PQ1423" s="209"/>
      <c r="PR1423" s="209"/>
      <c r="PS1423" s="209"/>
      <c r="PT1423" s="209"/>
      <c r="PU1423" s="209"/>
      <c r="PV1423" s="209"/>
      <c r="PW1423" s="209"/>
      <c r="PX1423" s="209"/>
      <c r="PY1423" s="209"/>
      <c r="PZ1423" s="209"/>
      <c r="QA1423" s="209"/>
      <c r="QB1423" s="209"/>
      <c r="QC1423" s="209"/>
      <c r="QD1423" s="209"/>
      <c r="QE1423" s="209"/>
      <c r="QF1423" s="209"/>
      <c r="QG1423" s="209"/>
      <c r="QH1423" s="209"/>
      <c r="QI1423" s="209"/>
      <c r="QJ1423" s="209"/>
      <c r="QK1423" s="209"/>
      <c r="QL1423" s="209"/>
      <c r="QM1423" s="209"/>
      <c r="QN1423" s="209"/>
      <c r="QO1423" s="209"/>
      <c r="QP1423" s="209"/>
      <c r="QQ1423" s="209"/>
      <c r="QR1423" s="209"/>
      <c r="QS1423" s="209"/>
      <c r="QT1423" s="209"/>
      <c r="QU1423" s="209"/>
      <c r="QV1423" s="209"/>
      <c r="QW1423" s="209"/>
      <c r="QX1423" s="209"/>
      <c r="QY1423" s="209"/>
      <c r="QZ1423" s="209"/>
      <c r="RA1423" s="209"/>
      <c r="RB1423" s="209"/>
      <c r="RC1423" s="209"/>
      <c r="RD1423" s="209"/>
      <c r="RE1423" s="209"/>
      <c r="RF1423" s="209"/>
      <c r="RG1423" s="209"/>
      <c r="RH1423" s="209"/>
      <c r="RI1423" s="209"/>
      <c r="RJ1423" s="209"/>
      <c r="RK1423" s="209"/>
      <c r="RL1423" s="209"/>
      <c r="RM1423" s="209"/>
      <c r="RN1423" s="209"/>
      <c r="RO1423" s="209"/>
      <c r="RP1423" s="209"/>
      <c r="RQ1423" s="209"/>
      <c r="RR1423" s="209"/>
      <c r="RS1423" s="209"/>
      <c r="RT1423" s="209"/>
      <c r="RU1423" s="209"/>
      <c r="RV1423" s="209"/>
      <c r="RW1423" s="209"/>
      <c r="RX1423" s="209"/>
      <c r="RY1423" s="209"/>
      <c r="RZ1423" s="209"/>
      <c r="SA1423" s="209"/>
      <c r="SB1423" s="209"/>
      <c r="SC1423" s="209"/>
      <c r="SD1423" s="209"/>
      <c r="SE1423" s="209"/>
      <c r="SF1423" s="209"/>
      <c r="SG1423" s="209"/>
      <c r="SH1423" s="209"/>
      <c r="SI1423" s="209"/>
      <c r="SJ1423" s="209"/>
      <c r="SK1423" s="209"/>
      <c r="SL1423" s="209"/>
      <c r="SM1423" s="209"/>
      <c r="SN1423" s="209"/>
      <c r="SO1423" s="209"/>
      <c r="SP1423" s="209"/>
      <c r="SQ1423" s="209"/>
      <c r="SR1423" s="209"/>
      <c r="SS1423" s="209"/>
      <c r="ST1423" s="209"/>
      <c r="SU1423" s="209"/>
      <c r="SV1423" s="209"/>
      <c r="SW1423" s="209"/>
      <c r="SX1423" s="209"/>
      <c r="SY1423" s="209"/>
      <c r="SZ1423" s="209"/>
      <c r="TA1423" s="209"/>
      <c r="TB1423" s="209"/>
      <c r="TC1423" s="209"/>
      <c r="TD1423" s="209"/>
      <c r="TE1423" s="209"/>
      <c r="TF1423" s="209"/>
      <c r="TG1423" s="209"/>
      <c r="TH1423" s="209"/>
      <c r="TI1423" s="209"/>
      <c r="TJ1423" s="209"/>
      <c r="TK1423" s="209"/>
      <c r="TL1423" s="209"/>
      <c r="TM1423" s="209"/>
      <c r="TN1423" s="209"/>
      <c r="TO1423" s="209"/>
      <c r="TP1423" s="209"/>
      <c r="TQ1423" s="209"/>
      <c r="TR1423" s="209"/>
      <c r="TS1423" s="209"/>
      <c r="TT1423" s="209"/>
      <c r="TU1423" s="209"/>
      <c r="TV1423" s="209"/>
      <c r="TW1423" s="209"/>
      <c r="TX1423" s="209"/>
      <c r="TY1423" s="209"/>
      <c r="TZ1423" s="209"/>
      <c r="UA1423" s="209"/>
      <c r="UB1423" s="209"/>
      <c r="UC1423" s="209"/>
      <c r="UD1423" s="209"/>
      <c r="UE1423" s="209"/>
      <c r="UF1423" s="209"/>
      <c r="UG1423" s="210"/>
    </row>
    <row r="1424" spans="1:553" ht="33" customHeight="1">
      <c r="A1424" s="356" t="s">
        <v>15</v>
      </c>
      <c r="B1424" s="366"/>
      <c r="C1424" s="1404" t="s">
        <v>82</v>
      </c>
      <c r="D1424" s="1389"/>
      <c r="E1424" s="1389"/>
      <c r="F1424" s="1390"/>
      <c r="G1424" s="366"/>
      <c r="H1424" s="370"/>
      <c r="I1424" s="439"/>
      <c r="J1424" s="368"/>
      <c r="K1424" s="371"/>
      <c r="L1424" s="480"/>
      <c r="M1424" s="366"/>
      <c r="N1424" s="366"/>
      <c r="O1424" s="366"/>
      <c r="P1424" s="366"/>
      <c r="Q1424" s="812"/>
      <c r="R1424" s="1226"/>
      <c r="S1424" s="308"/>
      <c r="T1424" s="308"/>
      <c r="U1424" s="308"/>
      <c r="V1424" s="308"/>
      <c r="W1424" s="308"/>
      <c r="X1424" s="308"/>
      <c r="Y1424" s="308"/>
      <c r="Z1424" s="604"/>
      <c r="AA1424" s="308"/>
      <c r="AB1424" s="308"/>
      <c r="AC1424" s="486"/>
      <c r="AD1424" s="486"/>
      <c r="AE1424" s="486"/>
      <c r="AF1424" s="486"/>
      <c r="AG1424" s="486"/>
      <c r="AH1424" s="486"/>
      <c r="AI1424" s="486"/>
      <c r="AJ1424" s="486"/>
      <c r="AK1424" s="486"/>
      <c r="AL1424" s="206"/>
      <c r="AM1424" s="29"/>
      <c r="AN1424" s="29"/>
      <c r="AO1424" s="29"/>
      <c r="AP1424" s="29"/>
      <c r="AQ1424" s="29"/>
      <c r="AR1424" s="29"/>
      <c r="AS1424" s="29"/>
      <c r="AT1424" s="29"/>
      <c r="AU1424" s="29"/>
      <c r="AV1424" s="29"/>
      <c r="AW1424" s="29"/>
      <c r="AX1424" s="29"/>
      <c r="AY1424" s="29"/>
      <c r="AZ1424" s="29"/>
      <c r="BA1424" s="29"/>
      <c r="BB1424" s="29"/>
      <c r="BC1424" s="29"/>
      <c r="BD1424" s="29"/>
      <c r="BE1424" s="29"/>
      <c r="BF1424" s="29"/>
      <c r="BG1424" s="29"/>
      <c r="BH1424" s="29"/>
      <c r="BI1424" s="29"/>
      <c r="BJ1424" s="29"/>
      <c r="BK1424" s="29"/>
      <c r="BL1424" s="29"/>
      <c r="BM1424" s="29"/>
      <c r="BN1424" s="29"/>
      <c r="BO1424" s="29"/>
      <c r="BP1424" s="29"/>
      <c r="BQ1424" s="29"/>
      <c r="BR1424" s="29"/>
      <c r="BS1424" s="29"/>
      <c r="BT1424" s="29"/>
      <c r="BU1424" s="29"/>
      <c r="BV1424" s="29"/>
      <c r="BW1424" s="29"/>
      <c r="BX1424" s="29"/>
      <c r="BY1424" s="29"/>
      <c r="BZ1424" s="29"/>
      <c r="CA1424" s="29"/>
      <c r="CB1424" s="29"/>
      <c r="CC1424" s="29"/>
      <c r="CD1424" s="29"/>
      <c r="CE1424" s="29"/>
      <c r="CF1424" s="29"/>
      <c r="CG1424" s="29"/>
      <c r="CH1424" s="29"/>
      <c r="CI1424" s="29"/>
      <c r="CJ1424" s="29"/>
      <c r="CK1424" s="29"/>
      <c r="CL1424" s="29"/>
      <c r="CM1424" s="29"/>
      <c r="CN1424" s="29"/>
      <c r="CO1424" s="29"/>
      <c r="CP1424" s="29"/>
      <c r="CQ1424" s="29"/>
      <c r="CR1424" s="29"/>
      <c r="CS1424" s="29"/>
      <c r="CT1424" s="29"/>
      <c r="CU1424" s="29"/>
      <c r="CV1424" s="29"/>
      <c r="CW1424" s="29"/>
      <c r="CX1424" s="29"/>
      <c r="CY1424" s="29"/>
      <c r="CZ1424" s="29"/>
      <c r="DA1424" s="29"/>
      <c r="DB1424" s="29"/>
      <c r="DC1424" s="29"/>
      <c r="DD1424" s="29"/>
      <c r="DE1424" s="29"/>
      <c r="DF1424" s="29"/>
      <c r="DG1424" s="29"/>
      <c r="DH1424" s="29"/>
      <c r="DI1424" s="29"/>
      <c r="DJ1424" s="29"/>
      <c r="DK1424" s="29"/>
      <c r="DL1424" s="29"/>
      <c r="DM1424" s="29"/>
      <c r="DN1424" s="29"/>
      <c r="DO1424" s="29"/>
      <c r="DP1424" s="29"/>
      <c r="DQ1424" s="29"/>
      <c r="DR1424" s="29"/>
      <c r="DS1424" s="29"/>
      <c r="DT1424" s="29"/>
      <c r="DU1424" s="29"/>
      <c r="DV1424" s="29"/>
      <c r="DW1424" s="29"/>
      <c r="DX1424" s="29"/>
      <c r="DY1424" s="29"/>
      <c r="DZ1424" s="29"/>
      <c r="EA1424" s="29"/>
      <c r="EB1424" s="29"/>
      <c r="EC1424" s="29"/>
      <c r="ED1424" s="29"/>
      <c r="EE1424" s="29"/>
      <c r="EF1424" s="29"/>
      <c r="EG1424" s="29"/>
      <c r="EH1424" s="29"/>
      <c r="EI1424" s="29"/>
      <c r="EJ1424" s="29"/>
      <c r="EK1424" s="29"/>
      <c r="EL1424" s="29"/>
      <c r="EM1424" s="29"/>
      <c r="EN1424" s="29"/>
      <c r="EO1424" s="29"/>
      <c r="EP1424" s="29"/>
      <c r="EQ1424" s="29"/>
      <c r="ER1424" s="29"/>
      <c r="ES1424" s="29"/>
      <c r="ET1424" s="29"/>
      <c r="EU1424" s="29"/>
      <c r="EV1424" s="29"/>
      <c r="EW1424" s="29"/>
      <c r="EX1424" s="29"/>
      <c r="EY1424" s="29"/>
      <c r="EZ1424" s="29"/>
      <c r="FA1424" s="29"/>
      <c r="FB1424" s="29"/>
      <c r="FC1424" s="29"/>
      <c r="FD1424" s="29"/>
      <c r="FE1424" s="29"/>
      <c r="FF1424" s="29"/>
      <c r="FG1424" s="29"/>
      <c r="FH1424" s="29"/>
      <c r="FI1424" s="29"/>
      <c r="FJ1424" s="29"/>
      <c r="FK1424" s="29"/>
      <c r="FL1424" s="29"/>
      <c r="FM1424" s="29"/>
      <c r="FN1424" s="29"/>
      <c r="FO1424" s="29"/>
      <c r="FP1424" s="29"/>
      <c r="FQ1424" s="29"/>
      <c r="FR1424" s="29"/>
      <c r="FS1424" s="29"/>
      <c r="FT1424" s="29"/>
      <c r="FU1424" s="29"/>
      <c r="FV1424" s="29"/>
      <c r="FW1424" s="29"/>
      <c r="FX1424" s="29"/>
      <c r="FY1424" s="29"/>
      <c r="FZ1424" s="29"/>
      <c r="GA1424" s="29"/>
      <c r="GB1424" s="29"/>
      <c r="GC1424" s="29"/>
      <c r="GD1424" s="29"/>
      <c r="GE1424" s="29"/>
      <c r="GF1424" s="29"/>
      <c r="GG1424" s="29"/>
      <c r="GH1424" s="29"/>
      <c r="GI1424" s="29"/>
      <c r="GJ1424" s="29"/>
      <c r="GK1424" s="29"/>
      <c r="GL1424" s="29"/>
      <c r="GM1424" s="29"/>
      <c r="GN1424" s="29"/>
      <c r="GO1424" s="29"/>
      <c r="GP1424" s="29"/>
      <c r="GQ1424" s="29"/>
      <c r="GR1424" s="29"/>
      <c r="GS1424" s="29"/>
      <c r="GT1424" s="29"/>
      <c r="GU1424" s="29"/>
      <c r="GV1424" s="29"/>
      <c r="GW1424" s="29"/>
      <c r="GX1424" s="29"/>
      <c r="GY1424" s="29"/>
      <c r="GZ1424" s="29"/>
      <c r="HA1424" s="29"/>
      <c r="HB1424" s="29"/>
      <c r="HC1424" s="29"/>
      <c r="HD1424" s="29"/>
      <c r="HE1424" s="29"/>
      <c r="HF1424" s="29"/>
      <c r="HG1424" s="29"/>
      <c r="HH1424" s="29"/>
      <c r="HI1424" s="29"/>
      <c r="HJ1424" s="29"/>
      <c r="HK1424" s="29"/>
      <c r="HL1424" s="29"/>
      <c r="HM1424" s="29"/>
      <c r="HN1424" s="29"/>
      <c r="HO1424" s="29"/>
      <c r="HP1424" s="29"/>
      <c r="HQ1424" s="29"/>
      <c r="HR1424" s="29"/>
      <c r="HS1424" s="29"/>
      <c r="HT1424" s="29"/>
      <c r="HU1424" s="29"/>
      <c r="HV1424" s="29"/>
      <c r="HW1424" s="29"/>
      <c r="HX1424" s="29"/>
      <c r="HY1424" s="29"/>
      <c r="HZ1424" s="29"/>
      <c r="IA1424" s="29"/>
      <c r="IB1424" s="29"/>
      <c r="IC1424" s="29"/>
      <c r="ID1424" s="29"/>
      <c r="IE1424" s="29"/>
      <c r="IF1424" s="29"/>
      <c r="IG1424" s="29"/>
      <c r="IH1424" s="29"/>
      <c r="II1424" s="29"/>
      <c r="IJ1424" s="29"/>
      <c r="IK1424" s="29"/>
      <c r="IL1424" s="29"/>
      <c r="IM1424" s="29"/>
      <c r="IN1424" s="29"/>
      <c r="IO1424" s="29"/>
      <c r="IP1424" s="29"/>
      <c r="IQ1424" s="29"/>
      <c r="IR1424" s="29"/>
      <c r="IS1424" s="29"/>
      <c r="IT1424" s="29"/>
      <c r="IU1424" s="29"/>
      <c r="IV1424" s="29"/>
      <c r="IW1424" s="29"/>
      <c r="IX1424" s="29"/>
      <c r="IY1424" s="29"/>
      <c r="IZ1424" s="29"/>
      <c r="JA1424" s="29"/>
      <c r="JB1424" s="29"/>
      <c r="JC1424" s="29"/>
      <c r="JD1424" s="29"/>
      <c r="JE1424" s="29"/>
      <c r="JF1424" s="29"/>
      <c r="JG1424" s="29"/>
      <c r="JH1424" s="29"/>
      <c r="JI1424" s="29"/>
      <c r="JJ1424" s="29"/>
      <c r="JK1424" s="29"/>
      <c r="JL1424" s="29"/>
      <c r="JM1424" s="29"/>
      <c r="JN1424" s="29"/>
      <c r="JO1424" s="29"/>
      <c r="JP1424" s="29"/>
      <c r="JQ1424" s="29"/>
      <c r="JR1424" s="29"/>
      <c r="JS1424" s="29"/>
      <c r="JT1424" s="29"/>
      <c r="JU1424" s="29"/>
      <c r="JV1424" s="29"/>
      <c r="JW1424" s="29"/>
      <c r="JX1424" s="29"/>
      <c r="JY1424" s="29"/>
      <c r="JZ1424" s="29"/>
      <c r="KA1424" s="29"/>
      <c r="KB1424" s="29"/>
      <c r="KC1424" s="29"/>
      <c r="KD1424" s="29"/>
      <c r="KE1424" s="29"/>
      <c r="KF1424" s="29"/>
      <c r="KG1424" s="29"/>
      <c r="KH1424" s="29"/>
      <c r="KI1424" s="29"/>
      <c r="KJ1424" s="29"/>
      <c r="KK1424" s="29"/>
      <c r="KL1424" s="29"/>
      <c r="KM1424" s="29"/>
      <c r="KN1424" s="29"/>
      <c r="KO1424" s="29"/>
      <c r="KP1424" s="29"/>
      <c r="KQ1424" s="29"/>
      <c r="KR1424" s="29"/>
      <c r="KS1424" s="29"/>
      <c r="KT1424" s="29"/>
      <c r="KU1424" s="29"/>
      <c r="KV1424" s="29"/>
      <c r="KW1424" s="29"/>
      <c r="KX1424" s="29"/>
      <c r="KY1424" s="29"/>
      <c r="KZ1424" s="29"/>
      <c r="LA1424" s="29"/>
      <c r="LB1424" s="29"/>
      <c r="LC1424" s="29"/>
      <c r="LD1424" s="29"/>
      <c r="LE1424" s="29"/>
      <c r="LF1424" s="29"/>
      <c r="LG1424" s="29"/>
      <c r="LH1424" s="29"/>
      <c r="LI1424" s="29"/>
      <c r="LJ1424" s="29"/>
      <c r="LK1424" s="29"/>
      <c r="LL1424" s="29"/>
      <c r="LM1424" s="29"/>
      <c r="LN1424" s="29"/>
      <c r="LO1424" s="29"/>
      <c r="LP1424" s="29"/>
      <c r="LQ1424" s="29"/>
      <c r="LR1424" s="29"/>
      <c r="LS1424" s="29"/>
      <c r="LT1424" s="29"/>
      <c r="LU1424" s="29"/>
      <c r="LV1424" s="29"/>
      <c r="LW1424" s="29"/>
      <c r="LX1424" s="29"/>
      <c r="LY1424" s="29"/>
      <c r="LZ1424" s="29"/>
      <c r="MA1424" s="29"/>
      <c r="MB1424" s="29"/>
      <c r="MC1424" s="29"/>
      <c r="MD1424" s="29"/>
      <c r="ME1424" s="29"/>
      <c r="MF1424" s="29"/>
      <c r="MG1424" s="29"/>
      <c r="MH1424" s="29"/>
      <c r="MI1424" s="29"/>
      <c r="MJ1424" s="29"/>
      <c r="MK1424" s="29"/>
      <c r="ML1424" s="29"/>
      <c r="MM1424" s="29"/>
      <c r="MN1424" s="29"/>
      <c r="MO1424" s="29"/>
      <c r="MP1424" s="29"/>
      <c r="MQ1424" s="29"/>
      <c r="MR1424" s="29"/>
      <c r="MS1424" s="29"/>
      <c r="MT1424" s="29"/>
      <c r="MU1424" s="29"/>
      <c r="MV1424" s="29"/>
      <c r="MW1424" s="29"/>
      <c r="MX1424" s="29"/>
      <c r="MY1424" s="29"/>
      <c r="MZ1424" s="29"/>
      <c r="NA1424" s="29"/>
      <c r="NB1424" s="29"/>
      <c r="NC1424" s="29"/>
      <c r="ND1424" s="29"/>
      <c r="NE1424" s="29"/>
      <c r="NF1424" s="29"/>
      <c r="NG1424" s="29"/>
      <c r="NH1424" s="29"/>
      <c r="NI1424" s="29"/>
      <c r="NJ1424" s="29"/>
      <c r="NK1424" s="29"/>
      <c r="NL1424" s="29"/>
      <c r="NM1424" s="29"/>
      <c r="NN1424" s="29"/>
      <c r="NO1424" s="29"/>
      <c r="NP1424" s="29"/>
      <c r="NQ1424" s="29"/>
      <c r="NR1424" s="29"/>
      <c r="NS1424" s="29"/>
      <c r="NT1424" s="29"/>
      <c r="NU1424" s="29"/>
      <c r="NV1424" s="29"/>
      <c r="NW1424" s="29"/>
      <c r="NX1424" s="29"/>
      <c r="NY1424" s="29"/>
      <c r="NZ1424" s="29"/>
      <c r="OA1424" s="29"/>
      <c r="OB1424" s="29"/>
      <c r="OC1424" s="29"/>
      <c r="OD1424" s="29"/>
      <c r="OE1424" s="29"/>
      <c r="OF1424" s="29"/>
      <c r="OG1424" s="29"/>
      <c r="OH1424" s="29"/>
      <c r="OI1424" s="29"/>
      <c r="OJ1424" s="29"/>
      <c r="OK1424" s="29"/>
      <c r="OL1424" s="29"/>
      <c r="OM1424" s="29"/>
      <c r="ON1424" s="29"/>
      <c r="OO1424" s="29"/>
      <c r="OP1424" s="29"/>
      <c r="OQ1424" s="29"/>
      <c r="OR1424" s="29"/>
      <c r="OS1424" s="29"/>
      <c r="OT1424" s="29"/>
      <c r="OU1424" s="29"/>
      <c r="OV1424" s="29"/>
      <c r="OW1424" s="29"/>
      <c r="OX1424" s="29"/>
      <c r="OY1424" s="29"/>
      <c r="OZ1424" s="29"/>
      <c r="PA1424" s="29"/>
      <c r="PB1424" s="29"/>
      <c r="PC1424" s="29"/>
      <c r="PD1424" s="29"/>
      <c r="PE1424" s="29"/>
      <c r="PF1424" s="29"/>
      <c r="PG1424" s="29"/>
      <c r="PH1424" s="29"/>
      <c r="PI1424" s="29"/>
      <c r="PJ1424" s="29"/>
      <c r="PK1424" s="29"/>
      <c r="PL1424" s="29"/>
      <c r="PM1424" s="29"/>
      <c r="PN1424" s="29"/>
      <c r="PO1424" s="29"/>
      <c r="PP1424" s="29"/>
      <c r="PQ1424" s="29"/>
      <c r="PR1424" s="29"/>
      <c r="PS1424" s="29"/>
      <c r="PT1424" s="29"/>
      <c r="PU1424" s="29"/>
      <c r="PV1424" s="29"/>
      <c r="PW1424" s="29"/>
      <c r="PX1424" s="29"/>
      <c r="PY1424" s="29"/>
      <c r="PZ1424" s="29"/>
      <c r="QA1424" s="29"/>
      <c r="QB1424" s="29"/>
      <c r="QC1424" s="29"/>
      <c r="QD1424" s="29"/>
      <c r="QE1424" s="29"/>
      <c r="QF1424" s="29"/>
      <c r="QG1424" s="29"/>
      <c r="QH1424" s="29"/>
      <c r="QI1424" s="29"/>
      <c r="QJ1424" s="29"/>
      <c r="QK1424" s="29"/>
      <c r="QL1424" s="29"/>
      <c r="QM1424" s="29"/>
      <c r="QN1424" s="29"/>
      <c r="QO1424" s="29"/>
      <c r="QP1424" s="29"/>
      <c r="QQ1424" s="29"/>
      <c r="QR1424" s="29"/>
      <c r="QS1424" s="29"/>
      <c r="QT1424" s="29"/>
      <c r="QU1424" s="29"/>
      <c r="QV1424" s="29"/>
      <c r="QW1424" s="29"/>
      <c r="QX1424" s="29"/>
      <c r="QY1424" s="29"/>
      <c r="QZ1424" s="29"/>
      <c r="RA1424" s="29"/>
      <c r="RB1424" s="29"/>
      <c r="RC1424" s="29"/>
      <c r="RD1424" s="29"/>
      <c r="RE1424" s="29"/>
      <c r="RF1424" s="29"/>
      <c r="RG1424" s="29"/>
      <c r="RH1424" s="29"/>
      <c r="RI1424" s="29"/>
      <c r="RJ1424" s="29"/>
      <c r="RK1424" s="29"/>
      <c r="RL1424" s="29"/>
      <c r="RM1424" s="29"/>
      <c r="RN1424" s="29"/>
      <c r="RO1424" s="29"/>
      <c r="RP1424" s="29"/>
      <c r="RQ1424" s="29"/>
      <c r="RR1424" s="29"/>
      <c r="RS1424" s="29"/>
      <c r="RT1424" s="29"/>
      <c r="RU1424" s="29"/>
      <c r="RV1424" s="29"/>
      <c r="RW1424" s="29"/>
      <c r="RX1424" s="29"/>
      <c r="RY1424" s="29"/>
      <c r="RZ1424" s="29"/>
      <c r="SA1424" s="29"/>
      <c r="SB1424" s="29"/>
      <c r="SC1424" s="29"/>
      <c r="SD1424" s="29"/>
      <c r="SE1424" s="29"/>
      <c r="SF1424" s="29"/>
      <c r="SG1424" s="29"/>
      <c r="SH1424" s="29"/>
      <c r="SI1424" s="29"/>
      <c r="SJ1424" s="29"/>
      <c r="SK1424" s="29"/>
      <c r="SL1424" s="29"/>
      <c r="SM1424" s="29"/>
      <c r="SN1424" s="29"/>
      <c r="SO1424" s="29"/>
      <c r="SP1424" s="29"/>
      <c r="SQ1424" s="29"/>
      <c r="SR1424" s="29"/>
      <c r="SS1424" s="29"/>
      <c r="ST1424" s="29"/>
      <c r="SU1424" s="29"/>
      <c r="SV1424" s="29"/>
      <c r="SW1424" s="29"/>
      <c r="SX1424" s="29"/>
      <c r="SY1424" s="29"/>
      <c r="SZ1424" s="29"/>
      <c r="TA1424" s="29"/>
      <c r="TB1424" s="29"/>
      <c r="TC1424" s="29"/>
      <c r="TD1424" s="29"/>
      <c r="TE1424" s="29"/>
      <c r="TF1424" s="29"/>
      <c r="TG1424" s="29"/>
      <c r="TH1424" s="29"/>
      <c r="TI1424" s="29"/>
      <c r="TJ1424" s="29"/>
      <c r="TK1424" s="29"/>
      <c r="TL1424" s="29"/>
      <c r="TM1424" s="29"/>
      <c r="TN1424" s="29"/>
      <c r="TO1424" s="29"/>
      <c r="TP1424" s="29"/>
      <c r="TQ1424" s="29"/>
      <c r="TR1424" s="29"/>
      <c r="TS1424" s="29"/>
      <c r="TT1424" s="29"/>
      <c r="TU1424" s="29"/>
      <c r="TV1424" s="29"/>
      <c r="TW1424" s="29"/>
      <c r="TX1424" s="29"/>
      <c r="TY1424" s="29"/>
      <c r="TZ1424" s="29"/>
      <c r="UA1424" s="29"/>
      <c r="UB1424" s="29"/>
      <c r="UC1424" s="29"/>
      <c r="UD1424" s="29"/>
      <c r="UE1424" s="29"/>
      <c r="UF1424" s="29"/>
      <c r="UG1424" s="29"/>
    </row>
    <row r="1425" spans="1:553" ht="33" customHeight="1">
      <c r="A1425" s="356" t="s">
        <v>15</v>
      </c>
      <c r="B1425" s="366"/>
      <c r="C1425" s="1404" t="s">
        <v>16</v>
      </c>
      <c r="D1425" s="1389"/>
      <c r="E1425" s="1389"/>
      <c r="F1425" s="1390"/>
      <c r="G1425" s="366"/>
      <c r="H1425" s="439"/>
      <c r="I1425" s="370"/>
      <c r="J1425" s="368"/>
      <c r="K1425" s="371"/>
      <c r="L1425" s="480"/>
      <c r="M1425" s="366"/>
      <c r="N1425" s="366"/>
      <c r="O1425" s="366"/>
      <c r="P1425" s="366"/>
      <c r="Q1425" s="1036"/>
      <c r="R1425" s="1226"/>
      <c r="S1425" s="308"/>
      <c r="T1425" s="308"/>
      <c r="U1425" s="308"/>
      <c r="V1425" s="308"/>
      <c r="W1425" s="308"/>
      <c r="X1425" s="308"/>
      <c r="Y1425" s="308"/>
      <c r="Z1425" s="604"/>
      <c r="AA1425" s="308"/>
      <c r="AB1425" s="308"/>
      <c r="AC1425" s="486"/>
      <c r="AD1425" s="486"/>
      <c r="AE1425" s="486"/>
      <c r="AF1425" s="486"/>
      <c r="AG1425" s="486"/>
      <c r="AH1425" s="486"/>
      <c r="AI1425" s="486"/>
      <c r="AJ1425" s="486"/>
      <c r="AK1425" s="486"/>
      <c r="AL1425" s="206"/>
      <c r="AM1425" s="29"/>
      <c r="AN1425" s="29"/>
      <c r="AO1425" s="29"/>
      <c r="AP1425" s="29"/>
      <c r="AQ1425" s="29"/>
      <c r="AR1425" s="29"/>
      <c r="AS1425" s="29"/>
      <c r="AT1425" s="29"/>
      <c r="AU1425" s="29"/>
      <c r="AV1425" s="29"/>
      <c r="AW1425" s="29"/>
      <c r="AX1425" s="29"/>
      <c r="AY1425" s="29"/>
      <c r="AZ1425" s="29"/>
      <c r="BA1425" s="29"/>
      <c r="BB1425" s="29"/>
      <c r="BC1425" s="29"/>
      <c r="BD1425" s="29"/>
      <c r="BE1425" s="29"/>
      <c r="BF1425" s="29"/>
      <c r="BG1425" s="29"/>
      <c r="BH1425" s="29"/>
      <c r="BI1425" s="29"/>
      <c r="BJ1425" s="29"/>
      <c r="BK1425" s="29"/>
      <c r="BL1425" s="29"/>
      <c r="BM1425" s="29"/>
      <c r="BN1425" s="29"/>
      <c r="BO1425" s="29"/>
      <c r="BP1425" s="29"/>
      <c r="BQ1425" s="29"/>
      <c r="BR1425" s="29"/>
      <c r="BS1425" s="29"/>
      <c r="BT1425" s="29"/>
      <c r="BU1425" s="29"/>
      <c r="BV1425" s="29"/>
      <c r="BW1425" s="29"/>
      <c r="BX1425" s="29"/>
      <c r="BY1425" s="29"/>
      <c r="BZ1425" s="29"/>
      <c r="CA1425" s="29"/>
      <c r="CB1425" s="29"/>
      <c r="CC1425" s="29"/>
      <c r="CD1425" s="29"/>
      <c r="CE1425" s="29"/>
      <c r="CF1425" s="29"/>
      <c r="CG1425" s="29"/>
      <c r="CH1425" s="29"/>
      <c r="CI1425" s="29"/>
      <c r="CJ1425" s="29"/>
      <c r="CK1425" s="29"/>
      <c r="CL1425" s="29"/>
      <c r="CM1425" s="29"/>
      <c r="CN1425" s="29"/>
      <c r="CO1425" s="29"/>
      <c r="CP1425" s="29"/>
      <c r="CQ1425" s="29"/>
      <c r="CR1425" s="29"/>
      <c r="CS1425" s="29"/>
      <c r="CT1425" s="29"/>
      <c r="CU1425" s="29"/>
      <c r="CV1425" s="29"/>
      <c r="CW1425" s="29"/>
      <c r="CX1425" s="29"/>
      <c r="CY1425" s="29"/>
      <c r="CZ1425" s="29"/>
      <c r="DA1425" s="29"/>
      <c r="DB1425" s="29"/>
      <c r="DC1425" s="29"/>
      <c r="DD1425" s="29"/>
      <c r="DE1425" s="29"/>
      <c r="DF1425" s="29"/>
      <c r="DG1425" s="29"/>
      <c r="DH1425" s="29"/>
      <c r="DI1425" s="29"/>
      <c r="DJ1425" s="29"/>
      <c r="DK1425" s="29"/>
      <c r="DL1425" s="29"/>
      <c r="DM1425" s="29"/>
      <c r="DN1425" s="29"/>
      <c r="DO1425" s="29"/>
      <c r="DP1425" s="29"/>
      <c r="DQ1425" s="29"/>
      <c r="DR1425" s="29"/>
      <c r="DS1425" s="29"/>
      <c r="DT1425" s="29"/>
      <c r="DU1425" s="29"/>
      <c r="DV1425" s="29"/>
      <c r="DW1425" s="29"/>
      <c r="DX1425" s="29"/>
      <c r="DY1425" s="29"/>
      <c r="DZ1425" s="29"/>
      <c r="EA1425" s="29"/>
      <c r="EB1425" s="29"/>
      <c r="EC1425" s="29"/>
      <c r="ED1425" s="29"/>
      <c r="EE1425" s="29"/>
      <c r="EF1425" s="29"/>
      <c r="EG1425" s="29"/>
      <c r="EH1425" s="29"/>
      <c r="EI1425" s="29"/>
      <c r="EJ1425" s="29"/>
      <c r="EK1425" s="29"/>
      <c r="EL1425" s="29"/>
      <c r="EM1425" s="29"/>
      <c r="EN1425" s="29"/>
      <c r="EO1425" s="29"/>
      <c r="EP1425" s="29"/>
      <c r="EQ1425" s="29"/>
      <c r="ER1425" s="29"/>
      <c r="ES1425" s="29"/>
      <c r="ET1425" s="29"/>
      <c r="EU1425" s="29"/>
      <c r="EV1425" s="29"/>
      <c r="EW1425" s="29"/>
      <c r="EX1425" s="29"/>
      <c r="EY1425" s="29"/>
      <c r="EZ1425" s="29"/>
      <c r="FA1425" s="29"/>
      <c r="FB1425" s="29"/>
      <c r="FC1425" s="29"/>
      <c r="FD1425" s="29"/>
      <c r="FE1425" s="29"/>
      <c r="FF1425" s="29"/>
      <c r="FG1425" s="29"/>
      <c r="FH1425" s="29"/>
      <c r="FI1425" s="29"/>
      <c r="FJ1425" s="29"/>
      <c r="FK1425" s="29"/>
      <c r="FL1425" s="29"/>
      <c r="FM1425" s="29"/>
      <c r="FN1425" s="29"/>
      <c r="FO1425" s="29"/>
      <c r="FP1425" s="29"/>
      <c r="FQ1425" s="29"/>
      <c r="FR1425" s="29"/>
      <c r="FS1425" s="29"/>
      <c r="FT1425" s="29"/>
      <c r="FU1425" s="29"/>
      <c r="FV1425" s="29"/>
      <c r="FW1425" s="29"/>
      <c r="FX1425" s="29"/>
      <c r="FY1425" s="29"/>
      <c r="FZ1425" s="29"/>
      <c r="GA1425" s="29"/>
      <c r="GB1425" s="29"/>
      <c r="GC1425" s="29"/>
      <c r="GD1425" s="29"/>
      <c r="GE1425" s="29"/>
      <c r="GF1425" s="29"/>
      <c r="GG1425" s="29"/>
      <c r="GH1425" s="29"/>
      <c r="GI1425" s="29"/>
      <c r="GJ1425" s="29"/>
      <c r="GK1425" s="29"/>
      <c r="GL1425" s="29"/>
      <c r="GM1425" s="29"/>
      <c r="GN1425" s="29"/>
      <c r="GO1425" s="29"/>
      <c r="GP1425" s="29"/>
      <c r="GQ1425" s="29"/>
      <c r="GR1425" s="29"/>
      <c r="GS1425" s="29"/>
      <c r="GT1425" s="29"/>
      <c r="GU1425" s="29"/>
      <c r="GV1425" s="29"/>
      <c r="GW1425" s="29"/>
      <c r="GX1425" s="29"/>
      <c r="GY1425" s="29"/>
      <c r="GZ1425" s="29"/>
      <c r="HA1425" s="29"/>
      <c r="HB1425" s="29"/>
      <c r="HC1425" s="29"/>
      <c r="HD1425" s="29"/>
      <c r="HE1425" s="29"/>
      <c r="HF1425" s="29"/>
      <c r="HG1425" s="29"/>
      <c r="HH1425" s="29"/>
      <c r="HI1425" s="29"/>
      <c r="HJ1425" s="29"/>
      <c r="HK1425" s="29"/>
      <c r="HL1425" s="29"/>
      <c r="HM1425" s="29"/>
      <c r="HN1425" s="29"/>
      <c r="HO1425" s="29"/>
      <c r="HP1425" s="29"/>
      <c r="HQ1425" s="29"/>
      <c r="HR1425" s="29"/>
      <c r="HS1425" s="29"/>
      <c r="HT1425" s="29"/>
      <c r="HU1425" s="29"/>
      <c r="HV1425" s="29"/>
      <c r="HW1425" s="29"/>
      <c r="HX1425" s="29"/>
      <c r="HY1425" s="29"/>
      <c r="HZ1425" s="29"/>
      <c r="IA1425" s="29"/>
      <c r="IB1425" s="29"/>
      <c r="IC1425" s="29"/>
      <c r="ID1425" s="29"/>
      <c r="IE1425" s="29"/>
      <c r="IF1425" s="29"/>
      <c r="IG1425" s="29"/>
      <c r="IH1425" s="29"/>
      <c r="II1425" s="29"/>
      <c r="IJ1425" s="29"/>
      <c r="IK1425" s="29"/>
      <c r="IL1425" s="29"/>
      <c r="IM1425" s="29"/>
      <c r="IN1425" s="29"/>
      <c r="IO1425" s="29"/>
      <c r="IP1425" s="29"/>
      <c r="IQ1425" s="29"/>
      <c r="IR1425" s="29"/>
      <c r="IS1425" s="29"/>
      <c r="IT1425" s="29"/>
      <c r="IU1425" s="29"/>
      <c r="IV1425" s="29"/>
      <c r="IW1425" s="29"/>
      <c r="IX1425" s="29"/>
      <c r="IY1425" s="29"/>
      <c r="IZ1425" s="29"/>
      <c r="JA1425" s="29"/>
      <c r="JB1425" s="29"/>
      <c r="JC1425" s="29"/>
      <c r="JD1425" s="29"/>
      <c r="JE1425" s="29"/>
      <c r="JF1425" s="29"/>
      <c r="JG1425" s="29"/>
      <c r="JH1425" s="29"/>
      <c r="JI1425" s="29"/>
      <c r="JJ1425" s="29"/>
      <c r="JK1425" s="29"/>
      <c r="JL1425" s="29"/>
      <c r="JM1425" s="29"/>
      <c r="JN1425" s="29"/>
      <c r="JO1425" s="29"/>
      <c r="JP1425" s="29"/>
      <c r="JQ1425" s="29"/>
      <c r="JR1425" s="29"/>
      <c r="JS1425" s="29"/>
      <c r="JT1425" s="29"/>
      <c r="JU1425" s="29"/>
      <c r="JV1425" s="29"/>
      <c r="JW1425" s="29"/>
      <c r="JX1425" s="29"/>
      <c r="JY1425" s="29"/>
      <c r="JZ1425" s="29"/>
      <c r="KA1425" s="29"/>
      <c r="KB1425" s="29"/>
      <c r="KC1425" s="29"/>
      <c r="KD1425" s="29"/>
      <c r="KE1425" s="29"/>
      <c r="KF1425" s="29"/>
      <c r="KG1425" s="29"/>
      <c r="KH1425" s="29"/>
      <c r="KI1425" s="29"/>
      <c r="KJ1425" s="29"/>
      <c r="KK1425" s="29"/>
      <c r="KL1425" s="29"/>
      <c r="KM1425" s="29"/>
      <c r="KN1425" s="29"/>
      <c r="KO1425" s="29"/>
      <c r="KP1425" s="29"/>
      <c r="KQ1425" s="29"/>
      <c r="KR1425" s="29"/>
      <c r="KS1425" s="29"/>
      <c r="KT1425" s="29"/>
      <c r="KU1425" s="29"/>
      <c r="KV1425" s="29"/>
      <c r="KW1425" s="29"/>
      <c r="KX1425" s="29"/>
      <c r="KY1425" s="29"/>
      <c r="KZ1425" s="29"/>
      <c r="LA1425" s="29"/>
      <c r="LB1425" s="29"/>
      <c r="LC1425" s="29"/>
      <c r="LD1425" s="29"/>
      <c r="LE1425" s="29"/>
      <c r="LF1425" s="29"/>
      <c r="LG1425" s="29"/>
      <c r="LH1425" s="29"/>
      <c r="LI1425" s="29"/>
      <c r="LJ1425" s="29"/>
      <c r="LK1425" s="29"/>
      <c r="LL1425" s="29"/>
      <c r="LM1425" s="29"/>
      <c r="LN1425" s="29"/>
      <c r="LO1425" s="29"/>
      <c r="LP1425" s="29"/>
      <c r="LQ1425" s="29"/>
      <c r="LR1425" s="29"/>
      <c r="LS1425" s="29"/>
      <c r="LT1425" s="29"/>
      <c r="LU1425" s="29"/>
      <c r="LV1425" s="29"/>
      <c r="LW1425" s="29"/>
      <c r="LX1425" s="29"/>
      <c r="LY1425" s="29"/>
      <c r="LZ1425" s="29"/>
      <c r="MA1425" s="29"/>
      <c r="MB1425" s="29"/>
      <c r="MC1425" s="29"/>
      <c r="MD1425" s="29"/>
      <c r="ME1425" s="29"/>
      <c r="MF1425" s="29"/>
      <c r="MG1425" s="29"/>
      <c r="MH1425" s="29"/>
      <c r="MI1425" s="29"/>
      <c r="MJ1425" s="29"/>
      <c r="MK1425" s="29"/>
      <c r="ML1425" s="29"/>
      <c r="MM1425" s="29"/>
      <c r="MN1425" s="29"/>
      <c r="MO1425" s="29"/>
      <c r="MP1425" s="29"/>
      <c r="MQ1425" s="29"/>
      <c r="MR1425" s="29"/>
      <c r="MS1425" s="29"/>
      <c r="MT1425" s="29"/>
      <c r="MU1425" s="29"/>
      <c r="MV1425" s="29"/>
      <c r="MW1425" s="29"/>
      <c r="MX1425" s="29"/>
      <c r="MY1425" s="29"/>
      <c r="MZ1425" s="29"/>
      <c r="NA1425" s="29"/>
      <c r="NB1425" s="29"/>
      <c r="NC1425" s="29"/>
      <c r="ND1425" s="29"/>
      <c r="NE1425" s="29"/>
      <c r="NF1425" s="29"/>
      <c r="NG1425" s="29"/>
      <c r="NH1425" s="29"/>
      <c r="NI1425" s="29"/>
      <c r="NJ1425" s="29"/>
      <c r="NK1425" s="29"/>
      <c r="NL1425" s="29"/>
      <c r="NM1425" s="29"/>
      <c r="NN1425" s="29"/>
      <c r="NO1425" s="29"/>
      <c r="NP1425" s="29"/>
      <c r="NQ1425" s="29"/>
      <c r="NR1425" s="29"/>
      <c r="NS1425" s="29"/>
      <c r="NT1425" s="29"/>
      <c r="NU1425" s="29"/>
      <c r="NV1425" s="29"/>
      <c r="NW1425" s="29"/>
      <c r="NX1425" s="29"/>
      <c r="NY1425" s="29"/>
      <c r="NZ1425" s="29"/>
      <c r="OA1425" s="29"/>
      <c r="OB1425" s="29"/>
      <c r="OC1425" s="29"/>
      <c r="OD1425" s="29"/>
      <c r="OE1425" s="29"/>
      <c r="OF1425" s="29"/>
      <c r="OG1425" s="29"/>
      <c r="OH1425" s="29"/>
      <c r="OI1425" s="29"/>
      <c r="OJ1425" s="29"/>
      <c r="OK1425" s="29"/>
      <c r="OL1425" s="29"/>
      <c r="OM1425" s="29"/>
      <c r="ON1425" s="29"/>
      <c r="OO1425" s="29"/>
      <c r="OP1425" s="29"/>
      <c r="OQ1425" s="29"/>
      <c r="OR1425" s="29"/>
      <c r="OS1425" s="29"/>
      <c r="OT1425" s="29"/>
      <c r="OU1425" s="29"/>
      <c r="OV1425" s="29"/>
      <c r="OW1425" s="29"/>
      <c r="OX1425" s="29"/>
      <c r="OY1425" s="29"/>
      <c r="OZ1425" s="29"/>
      <c r="PA1425" s="29"/>
      <c r="PB1425" s="29"/>
      <c r="PC1425" s="29"/>
      <c r="PD1425" s="29"/>
      <c r="PE1425" s="29"/>
      <c r="PF1425" s="29"/>
      <c r="PG1425" s="29"/>
      <c r="PH1425" s="29"/>
      <c r="PI1425" s="29"/>
      <c r="PJ1425" s="29"/>
      <c r="PK1425" s="29"/>
      <c r="PL1425" s="29"/>
      <c r="PM1425" s="29"/>
      <c r="PN1425" s="29"/>
      <c r="PO1425" s="29"/>
      <c r="PP1425" s="29"/>
      <c r="PQ1425" s="29"/>
      <c r="PR1425" s="29"/>
      <c r="PS1425" s="29"/>
      <c r="PT1425" s="29"/>
      <c r="PU1425" s="29"/>
      <c r="PV1425" s="29"/>
      <c r="PW1425" s="29"/>
      <c r="PX1425" s="29"/>
      <c r="PY1425" s="29"/>
      <c r="PZ1425" s="29"/>
      <c r="QA1425" s="29"/>
      <c r="QB1425" s="29"/>
      <c r="QC1425" s="29"/>
      <c r="QD1425" s="29"/>
      <c r="QE1425" s="29"/>
      <c r="QF1425" s="29"/>
      <c r="QG1425" s="29"/>
      <c r="QH1425" s="29"/>
      <c r="QI1425" s="29"/>
      <c r="QJ1425" s="29"/>
      <c r="QK1425" s="29"/>
      <c r="QL1425" s="29"/>
      <c r="QM1425" s="29"/>
      <c r="QN1425" s="29"/>
      <c r="QO1425" s="29"/>
      <c r="QP1425" s="29"/>
      <c r="QQ1425" s="29"/>
      <c r="QR1425" s="29"/>
      <c r="QS1425" s="29"/>
      <c r="QT1425" s="29"/>
      <c r="QU1425" s="29"/>
      <c r="QV1425" s="29"/>
      <c r="QW1425" s="29"/>
      <c r="QX1425" s="29"/>
      <c r="QY1425" s="29"/>
      <c r="QZ1425" s="29"/>
      <c r="RA1425" s="29"/>
      <c r="RB1425" s="29"/>
      <c r="RC1425" s="29"/>
      <c r="RD1425" s="29"/>
      <c r="RE1425" s="29"/>
      <c r="RF1425" s="29"/>
      <c r="RG1425" s="29"/>
      <c r="RH1425" s="29"/>
      <c r="RI1425" s="29"/>
      <c r="RJ1425" s="29"/>
      <c r="RK1425" s="29"/>
      <c r="RL1425" s="29"/>
      <c r="RM1425" s="29"/>
      <c r="RN1425" s="29"/>
      <c r="RO1425" s="29"/>
      <c r="RP1425" s="29"/>
      <c r="RQ1425" s="29"/>
      <c r="RR1425" s="29"/>
      <c r="RS1425" s="29"/>
      <c r="RT1425" s="29"/>
      <c r="RU1425" s="29"/>
      <c r="RV1425" s="29"/>
      <c r="RW1425" s="29"/>
      <c r="RX1425" s="29"/>
      <c r="RY1425" s="29"/>
      <c r="RZ1425" s="29"/>
      <c r="SA1425" s="29"/>
      <c r="SB1425" s="29"/>
      <c r="SC1425" s="29"/>
      <c r="SD1425" s="29"/>
      <c r="SE1425" s="29"/>
      <c r="SF1425" s="29"/>
      <c r="SG1425" s="29"/>
      <c r="SH1425" s="29"/>
      <c r="SI1425" s="29"/>
      <c r="SJ1425" s="29"/>
      <c r="SK1425" s="29"/>
      <c r="SL1425" s="29"/>
      <c r="SM1425" s="29"/>
      <c r="SN1425" s="29"/>
      <c r="SO1425" s="29"/>
      <c r="SP1425" s="29"/>
      <c r="SQ1425" s="29"/>
      <c r="SR1425" s="29"/>
      <c r="SS1425" s="29"/>
      <c r="ST1425" s="29"/>
      <c r="SU1425" s="29"/>
      <c r="SV1425" s="29"/>
      <c r="SW1425" s="29"/>
      <c r="SX1425" s="29"/>
      <c r="SY1425" s="29"/>
      <c r="SZ1425" s="29"/>
      <c r="TA1425" s="29"/>
      <c r="TB1425" s="29"/>
      <c r="TC1425" s="29"/>
      <c r="TD1425" s="29"/>
      <c r="TE1425" s="29"/>
      <c r="TF1425" s="29"/>
      <c r="TG1425" s="29"/>
      <c r="TH1425" s="29"/>
      <c r="TI1425" s="29"/>
      <c r="TJ1425" s="29"/>
      <c r="TK1425" s="29"/>
      <c r="TL1425" s="29"/>
      <c r="TM1425" s="29"/>
      <c r="TN1425" s="29"/>
      <c r="TO1425" s="29"/>
      <c r="TP1425" s="29"/>
      <c r="TQ1425" s="29"/>
      <c r="TR1425" s="29"/>
      <c r="TS1425" s="29"/>
      <c r="TT1425" s="29"/>
      <c r="TU1425" s="29"/>
      <c r="TV1425" s="29"/>
      <c r="TW1425" s="29"/>
      <c r="TX1425" s="29"/>
      <c r="TY1425" s="29"/>
      <c r="TZ1425" s="29"/>
      <c r="UA1425" s="29"/>
      <c r="UB1425" s="29"/>
      <c r="UC1425" s="29"/>
      <c r="UD1425" s="29"/>
      <c r="UE1425" s="29"/>
      <c r="UF1425" s="29"/>
      <c r="UG1425" s="29"/>
    </row>
    <row r="1426" spans="1:553" ht="33" customHeight="1">
      <c r="A1426" s="356" t="s">
        <v>15</v>
      </c>
      <c r="B1426" s="366"/>
      <c r="C1426" s="1404" t="s">
        <v>83</v>
      </c>
      <c r="D1426" s="1389"/>
      <c r="E1426" s="1389"/>
      <c r="F1426" s="1390"/>
      <c r="G1426" s="366"/>
      <c r="H1426" s="370"/>
      <c r="I1426" s="370"/>
      <c r="J1426" s="368"/>
      <c r="K1426" s="371"/>
      <c r="L1426" s="480"/>
      <c r="M1426" s="366"/>
      <c r="N1426" s="366"/>
      <c r="O1426" s="366"/>
      <c r="P1426" s="366"/>
      <c r="Q1426" s="1036"/>
      <c r="R1426" s="1226"/>
      <c r="S1426" s="308"/>
      <c r="T1426" s="308"/>
      <c r="U1426" s="308"/>
      <c r="V1426" s="308"/>
      <c r="W1426" s="308"/>
      <c r="X1426" s="308"/>
      <c r="Y1426" s="308"/>
      <c r="Z1426" s="604"/>
      <c r="AA1426" s="308"/>
      <c r="AB1426" s="308"/>
      <c r="AC1426" s="486"/>
      <c r="AD1426" s="486"/>
      <c r="AE1426" s="486"/>
      <c r="AF1426" s="486"/>
      <c r="AG1426" s="486"/>
      <c r="AH1426" s="486"/>
      <c r="AI1426" s="486"/>
      <c r="AJ1426" s="486"/>
      <c r="AK1426" s="486"/>
      <c r="AL1426" s="206"/>
      <c r="AM1426" s="29"/>
      <c r="AN1426" s="29"/>
      <c r="AO1426" s="29"/>
      <c r="AP1426" s="29"/>
      <c r="AQ1426" s="29"/>
      <c r="AR1426" s="29"/>
      <c r="AS1426" s="29"/>
      <c r="AT1426" s="29"/>
      <c r="AU1426" s="29"/>
      <c r="AV1426" s="29"/>
      <c r="AW1426" s="29"/>
      <c r="AX1426" s="29"/>
      <c r="AY1426" s="29"/>
      <c r="AZ1426" s="29"/>
      <c r="BA1426" s="29"/>
      <c r="BB1426" s="29"/>
      <c r="BC1426" s="29"/>
      <c r="BD1426" s="29"/>
      <c r="BE1426" s="29"/>
      <c r="BF1426" s="29"/>
      <c r="BG1426" s="29"/>
      <c r="BH1426" s="29"/>
      <c r="BI1426" s="29"/>
      <c r="BJ1426" s="29"/>
      <c r="BK1426" s="29"/>
      <c r="BL1426" s="29"/>
      <c r="BM1426" s="29"/>
      <c r="BN1426" s="29"/>
      <c r="BO1426" s="29"/>
      <c r="BP1426" s="29"/>
      <c r="BQ1426" s="29"/>
      <c r="BR1426" s="29"/>
      <c r="BS1426" s="29"/>
      <c r="BT1426" s="29"/>
      <c r="BU1426" s="29"/>
      <c r="BV1426" s="29"/>
      <c r="BW1426" s="29"/>
      <c r="BX1426" s="29"/>
      <c r="BY1426" s="29"/>
      <c r="BZ1426" s="29"/>
      <c r="CA1426" s="29"/>
      <c r="CB1426" s="29"/>
      <c r="CC1426" s="29"/>
      <c r="CD1426" s="29"/>
      <c r="CE1426" s="29"/>
      <c r="CF1426" s="29"/>
      <c r="CG1426" s="29"/>
      <c r="CH1426" s="29"/>
      <c r="CI1426" s="29"/>
      <c r="CJ1426" s="29"/>
      <c r="CK1426" s="29"/>
      <c r="CL1426" s="29"/>
      <c r="CM1426" s="29"/>
      <c r="CN1426" s="29"/>
      <c r="CO1426" s="29"/>
      <c r="CP1426" s="29"/>
      <c r="CQ1426" s="29"/>
      <c r="CR1426" s="29"/>
      <c r="CS1426" s="29"/>
      <c r="CT1426" s="29"/>
      <c r="CU1426" s="29"/>
      <c r="CV1426" s="29"/>
      <c r="CW1426" s="29"/>
      <c r="CX1426" s="29"/>
      <c r="CY1426" s="29"/>
      <c r="CZ1426" s="29"/>
      <c r="DA1426" s="29"/>
      <c r="DB1426" s="29"/>
      <c r="DC1426" s="29"/>
      <c r="DD1426" s="29"/>
      <c r="DE1426" s="29"/>
      <c r="DF1426" s="29"/>
      <c r="DG1426" s="29"/>
      <c r="DH1426" s="29"/>
      <c r="DI1426" s="29"/>
      <c r="DJ1426" s="29"/>
      <c r="DK1426" s="29"/>
      <c r="DL1426" s="29"/>
      <c r="DM1426" s="29"/>
      <c r="DN1426" s="29"/>
      <c r="DO1426" s="29"/>
      <c r="DP1426" s="29"/>
      <c r="DQ1426" s="29"/>
      <c r="DR1426" s="29"/>
      <c r="DS1426" s="29"/>
      <c r="DT1426" s="29"/>
      <c r="DU1426" s="29"/>
      <c r="DV1426" s="29"/>
      <c r="DW1426" s="29"/>
      <c r="DX1426" s="29"/>
      <c r="DY1426" s="29"/>
      <c r="DZ1426" s="29"/>
      <c r="EA1426" s="29"/>
      <c r="EB1426" s="29"/>
      <c r="EC1426" s="29"/>
      <c r="ED1426" s="29"/>
      <c r="EE1426" s="29"/>
      <c r="EF1426" s="29"/>
      <c r="EG1426" s="29"/>
      <c r="EH1426" s="29"/>
      <c r="EI1426" s="29"/>
      <c r="EJ1426" s="29"/>
      <c r="EK1426" s="29"/>
      <c r="EL1426" s="29"/>
      <c r="EM1426" s="29"/>
      <c r="EN1426" s="29"/>
      <c r="EO1426" s="29"/>
      <c r="EP1426" s="29"/>
      <c r="EQ1426" s="29"/>
      <c r="ER1426" s="29"/>
      <c r="ES1426" s="29"/>
      <c r="ET1426" s="29"/>
      <c r="EU1426" s="29"/>
      <c r="EV1426" s="29"/>
      <c r="EW1426" s="29"/>
      <c r="EX1426" s="29"/>
      <c r="EY1426" s="29"/>
      <c r="EZ1426" s="29"/>
      <c r="FA1426" s="29"/>
      <c r="FB1426" s="29"/>
      <c r="FC1426" s="29"/>
      <c r="FD1426" s="29"/>
      <c r="FE1426" s="29"/>
      <c r="FF1426" s="29"/>
      <c r="FG1426" s="29"/>
      <c r="FH1426" s="29"/>
      <c r="FI1426" s="29"/>
      <c r="FJ1426" s="29"/>
      <c r="FK1426" s="29"/>
      <c r="FL1426" s="29"/>
      <c r="FM1426" s="29"/>
      <c r="FN1426" s="29"/>
      <c r="FO1426" s="29"/>
      <c r="FP1426" s="29"/>
      <c r="FQ1426" s="29"/>
      <c r="FR1426" s="29"/>
      <c r="FS1426" s="29"/>
      <c r="FT1426" s="29"/>
      <c r="FU1426" s="29"/>
      <c r="FV1426" s="29"/>
      <c r="FW1426" s="29"/>
      <c r="FX1426" s="29"/>
      <c r="FY1426" s="29"/>
      <c r="FZ1426" s="29"/>
      <c r="GA1426" s="29"/>
      <c r="GB1426" s="29"/>
      <c r="GC1426" s="29"/>
      <c r="GD1426" s="29"/>
      <c r="GE1426" s="29"/>
      <c r="GF1426" s="29"/>
      <c r="GG1426" s="29"/>
      <c r="GH1426" s="29"/>
      <c r="GI1426" s="29"/>
      <c r="GJ1426" s="29"/>
      <c r="GK1426" s="29"/>
      <c r="GL1426" s="29"/>
      <c r="GM1426" s="29"/>
      <c r="GN1426" s="29"/>
      <c r="GO1426" s="29"/>
      <c r="GP1426" s="29"/>
      <c r="GQ1426" s="29"/>
      <c r="GR1426" s="29"/>
      <c r="GS1426" s="29"/>
      <c r="GT1426" s="29"/>
      <c r="GU1426" s="29"/>
      <c r="GV1426" s="29"/>
      <c r="GW1426" s="29"/>
      <c r="GX1426" s="29"/>
      <c r="GY1426" s="29"/>
      <c r="GZ1426" s="29"/>
      <c r="HA1426" s="29"/>
      <c r="HB1426" s="29"/>
      <c r="HC1426" s="29"/>
      <c r="HD1426" s="29"/>
      <c r="HE1426" s="29"/>
      <c r="HF1426" s="29"/>
      <c r="HG1426" s="29"/>
      <c r="HH1426" s="29"/>
      <c r="HI1426" s="29"/>
      <c r="HJ1426" s="29"/>
      <c r="HK1426" s="29"/>
      <c r="HL1426" s="29"/>
      <c r="HM1426" s="29"/>
      <c r="HN1426" s="29"/>
      <c r="HO1426" s="29"/>
      <c r="HP1426" s="29"/>
      <c r="HQ1426" s="29"/>
      <c r="HR1426" s="29"/>
      <c r="HS1426" s="29"/>
      <c r="HT1426" s="29"/>
      <c r="HU1426" s="29"/>
      <c r="HV1426" s="29"/>
      <c r="HW1426" s="29"/>
      <c r="HX1426" s="29"/>
      <c r="HY1426" s="29"/>
      <c r="HZ1426" s="29"/>
      <c r="IA1426" s="29"/>
      <c r="IB1426" s="29"/>
      <c r="IC1426" s="29"/>
      <c r="ID1426" s="29"/>
      <c r="IE1426" s="29"/>
      <c r="IF1426" s="29"/>
      <c r="IG1426" s="29"/>
      <c r="IH1426" s="29"/>
      <c r="II1426" s="29"/>
      <c r="IJ1426" s="29"/>
      <c r="IK1426" s="29"/>
      <c r="IL1426" s="29"/>
      <c r="IM1426" s="29"/>
      <c r="IN1426" s="29"/>
      <c r="IO1426" s="29"/>
      <c r="IP1426" s="29"/>
      <c r="IQ1426" s="29"/>
      <c r="IR1426" s="29"/>
      <c r="IS1426" s="29"/>
      <c r="IT1426" s="29"/>
      <c r="IU1426" s="29"/>
      <c r="IV1426" s="29"/>
      <c r="IW1426" s="29"/>
      <c r="IX1426" s="29"/>
      <c r="IY1426" s="29"/>
      <c r="IZ1426" s="29"/>
      <c r="JA1426" s="29"/>
      <c r="JB1426" s="29"/>
      <c r="JC1426" s="29"/>
      <c r="JD1426" s="29"/>
      <c r="JE1426" s="29"/>
      <c r="JF1426" s="29"/>
      <c r="JG1426" s="29"/>
      <c r="JH1426" s="29"/>
      <c r="JI1426" s="29"/>
      <c r="JJ1426" s="29"/>
      <c r="JK1426" s="29"/>
      <c r="JL1426" s="29"/>
      <c r="JM1426" s="29"/>
      <c r="JN1426" s="29"/>
      <c r="JO1426" s="29"/>
      <c r="JP1426" s="29"/>
      <c r="JQ1426" s="29"/>
      <c r="JR1426" s="29"/>
      <c r="JS1426" s="29"/>
      <c r="JT1426" s="29"/>
      <c r="JU1426" s="29"/>
      <c r="JV1426" s="29"/>
      <c r="JW1426" s="29"/>
      <c r="JX1426" s="29"/>
      <c r="JY1426" s="29"/>
      <c r="JZ1426" s="29"/>
      <c r="KA1426" s="29"/>
      <c r="KB1426" s="29"/>
      <c r="KC1426" s="29"/>
      <c r="KD1426" s="29"/>
      <c r="KE1426" s="29"/>
      <c r="KF1426" s="29"/>
      <c r="KG1426" s="29"/>
      <c r="KH1426" s="29"/>
      <c r="KI1426" s="29"/>
      <c r="KJ1426" s="29"/>
      <c r="KK1426" s="29"/>
      <c r="KL1426" s="29"/>
      <c r="KM1426" s="29"/>
      <c r="KN1426" s="29"/>
      <c r="KO1426" s="29"/>
      <c r="KP1426" s="29"/>
      <c r="KQ1426" s="29"/>
      <c r="KR1426" s="29"/>
      <c r="KS1426" s="29"/>
      <c r="KT1426" s="29"/>
      <c r="KU1426" s="29"/>
      <c r="KV1426" s="29"/>
      <c r="KW1426" s="29"/>
      <c r="KX1426" s="29"/>
      <c r="KY1426" s="29"/>
      <c r="KZ1426" s="29"/>
      <c r="LA1426" s="29"/>
      <c r="LB1426" s="29"/>
      <c r="LC1426" s="29"/>
      <c r="LD1426" s="29"/>
      <c r="LE1426" s="29"/>
      <c r="LF1426" s="29"/>
      <c r="LG1426" s="29"/>
      <c r="LH1426" s="29"/>
      <c r="LI1426" s="29"/>
      <c r="LJ1426" s="29"/>
      <c r="LK1426" s="29"/>
      <c r="LL1426" s="29"/>
      <c r="LM1426" s="29"/>
      <c r="LN1426" s="29"/>
      <c r="LO1426" s="29"/>
      <c r="LP1426" s="29"/>
      <c r="LQ1426" s="29"/>
      <c r="LR1426" s="29"/>
      <c r="LS1426" s="29"/>
      <c r="LT1426" s="29"/>
      <c r="LU1426" s="29"/>
      <c r="LV1426" s="29"/>
      <c r="LW1426" s="29"/>
      <c r="LX1426" s="29"/>
      <c r="LY1426" s="29"/>
      <c r="LZ1426" s="29"/>
      <c r="MA1426" s="29"/>
      <c r="MB1426" s="29"/>
      <c r="MC1426" s="29"/>
      <c r="MD1426" s="29"/>
      <c r="ME1426" s="29"/>
      <c r="MF1426" s="29"/>
      <c r="MG1426" s="29"/>
      <c r="MH1426" s="29"/>
      <c r="MI1426" s="29"/>
      <c r="MJ1426" s="29"/>
      <c r="MK1426" s="29"/>
      <c r="ML1426" s="29"/>
      <c r="MM1426" s="29"/>
      <c r="MN1426" s="29"/>
      <c r="MO1426" s="29"/>
      <c r="MP1426" s="29"/>
      <c r="MQ1426" s="29"/>
      <c r="MR1426" s="29"/>
      <c r="MS1426" s="29"/>
      <c r="MT1426" s="29"/>
      <c r="MU1426" s="29"/>
      <c r="MV1426" s="29"/>
      <c r="MW1426" s="29"/>
      <c r="MX1426" s="29"/>
      <c r="MY1426" s="29"/>
      <c r="MZ1426" s="29"/>
      <c r="NA1426" s="29"/>
      <c r="NB1426" s="29"/>
      <c r="NC1426" s="29"/>
      <c r="ND1426" s="29"/>
      <c r="NE1426" s="29"/>
      <c r="NF1426" s="29"/>
      <c r="NG1426" s="29"/>
      <c r="NH1426" s="29"/>
      <c r="NI1426" s="29"/>
      <c r="NJ1426" s="29"/>
      <c r="NK1426" s="29"/>
      <c r="NL1426" s="29"/>
      <c r="NM1426" s="29"/>
      <c r="NN1426" s="29"/>
      <c r="NO1426" s="29"/>
      <c r="NP1426" s="29"/>
      <c r="NQ1426" s="29"/>
      <c r="NR1426" s="29"/>
      <c r="NS1426" s="29"/>
      <c r="NT1426" s="29"/>
      <c r="NU1426" s="29"/>
      <c r="NV1426" s="29"/>
      <c r="NW1426" s="29"/>
      <c r="NX1426" s="29"/>
      <c r="NY1426" s="29"/>
      <c r="NZ1426" s="29"/>
      <c r="OA1426" s="29"/>
      <c r="OB1426" s="29"/>
      <c r="OC1426" s="29"/>
      <c r="OD1426" s="29"/>
      <c r="OE1426" s="29"/>
      <c r="OF1426" s="29"/>
      <c r="OG1426" s="29"/>
      <c r="OH1426" s="29"/>
      <c r="OI1426" s="29"/>
      <c r="OJ1426" s="29"/>
      <c r="OK1426" s="29"/>
      <c r="OL1426" s="29"/>
      <c r="OM1426" s="29"/>
      <c r="ON1426" s="29"/>
      <c r="OO1426" s="29"/>
      <c r="OP1426" s="29"/>
      <c r="OQ1426" s="29"/>
      <c r="OR1426" s="29"/>
      <c r="OS1426" s="29"/>
      <c r="OT1426" s="29"/>
      <c r="OU1426" s="29"/>
      <c r="OV1426" s="29"/>
      <c r="OW1426" s="29"/>
      <c r="OX1426" s="29"/>
      <c r="OY1426" s="29"/>
      <c r="OZ1426" s="29"/>
      <c r="PA1426" s="29"/>
      <c r="PB1426" s="29"/>
      <c r="PC1426" s="29"/>
      <c r="PD1426" s="29"/>
      <c r="PE1426" s="29"/>
      <c r="PF1426" s="29"/>
      <c r="PG1426" s="29"/>
      <c r="PH1426" s="29"/>
      <c r="PI1426" s="29"/>
      <c r="PJ1426" s="29"/>
      <c r="PK1426" s="29"/>
      <c r="PL1426" s="29"/>
      <c r="PM1426" s="29"/>
      <c r="PN1426" s="29"/>
      <c r="PO1426" s="29"/>
      <c r="PP1426" s="29"/>
      <c r="PQ1426" s="29"/>
      <c r="PR1426" s="29"/>
      <c r="PS1426" s="29"/>
      <c r="PT1426" s="29"/>
      <c r="PU1426" s="29"/>
      <c r="PV1426" s="29"/>
      <c r="PW1426" s="29"/>
      <c r="PX1426" s="29"/>
      <c r="PY1426" s="29"/>
      <c r="PZ1426" s="29"/>
      <c r="QA1426" s="29"/>
      <c r="QB1426" s="29"/>
      <c r="QC1426" s="29"/>
      <c r="QD1426" s="29"/>
      <c r="QE1426" s="29"/>
      <c r="QF1426" s="29"/>
      <c r="QG1426" s="29"/>
      <c r="QH1426" s="29"/>
      <c r="QI1426" s="29"/>
      <c r="QJ1426" s="29"/>
      <c r="QK1426" s="29"/>
      <c r="QL1426" s="29"/>
      <c r="QM1426" s="29"/>
      <c r="QN1426" s="29"/>
      <c r="QO1426" s="29"/>
      <c r="QP1426" s="29"/>
      <c r="QQ1426" s="29"/>
      <c r="QR1426" s="29"/>
      <c r="QS1426" s="29"/>
      <c r="QT1426" s="29"/>
      <c r="QU1426" s="29"/>
      <c r="QV1426" s="29"/>
      <c r="QW1426" s="29"/>
      <c r="QX1426" s="29"/>
      <c r="QY1426" s="29"/>
      <c r="QZ1426" s="29"/>
      <c r="RA1426" s="29"/>
      <c r="RB1426" s="29"/>
      <c r="RC1426" s="29"/>
      <c r="RD1426" s="29"/>
      <c r="RE1426" s="29"/>
      <c r="RF1426" s="29"/>
      <c r="RG1426" s="29"/>
      <c r="RH1426" s="29"/>
      <c r="RI1426" s="29"/>
      <c r="RJ1426" s="29"/>
      <c r="RK1426" s="29"/>
      <c r="RL1426" s="29"/>
      <c r="RM1426" s="29"/>
      <c r="RN1426" s="29"/>
      <c r="RO1426" s="29"/>
      <c r="RP1426" s="29"/>
      <c r="RQ1426" s="29"/>
      <c r="RR1426" s="29"/>
      <c r="RS1426" s="29"/>
      <c r="RT1426" s="29"/>
      <c r="RU1426" s="29"/>
      <c r="RV1426" s="29"/>
      <c r="RW1426" s="29"/>
      <c r="RX1426" s="29"/>
      <c r="RY1426" s="29"/>
      <c r="RZ1426" s="29"/>
      <c r="SA1426" s="29"/>
      <c r="SB1426" s="29"/>
      <c r="SC1426" s="29"/>
      <c r="SD1426" s="29"/>
      <c r="SE1426" s="29"/>
      <c r="SF1426" s="29"/>
      <c r="SG1426" s="29"/>
      <c r="SH1426" s="29"/>
      <c r="SI1426" s="29"/>
      <c r="SJ1426" s="29"/>
      <c r="SK1426" s="29"/>
      <c r="SL1426" s="29"/>
      <c r="SM1426" s="29"/>
      <c r="SN1426" s="29"/>
      <c r="SO1426" s="29"/>
      <c r="SP1426" s="29"/>
      <c r="SQ1426" s="29"/>
      <c r="SR1426" s="29"/>
      <c r="SS1426" s="29"/>
      <c r="ST1426" s="29"/>
      <c r="SU1426" s="29"/>
      <c r="SV1426" s="29"/>
      <c r="SW1426" s="29"/>
      <c r="SX1426" s="29"/>
      <c r="SY1426" s="29"/>
      <c r="SZ1426" s="29"/>
      <c r="TA1426" s="29"/>
      <c r="TB1426" s="29"/>
      <c r="TC1426" s="29"/>
      <c r="TD1426" s="29"/>
      <c r="TE1426" s="29"/>
      <c r="TF1426" s="29"/>
      <c r="TG1426" s="29"/>
      <c r="TH1426" s="29"/>
      <c r="TI1426" s="29"/>
      <c r="TJ1426" s="29"/>
      <c r="TK1426" s="29"/>
      <c r="TL1426" s="29"/>
      <c r="TM1426" s="29"/>
      <c r="TN1426" s="29"/>
      <c r="TO1426" s="29"/>
      <c r="TP1426" s="29"/>
      <c r="TQ1426" s="29"/>
      <c r="TR1426" s="29"/>
      <c r="TS1426" s="29"/>
      <c r="TT1426" s="29"/>
      <c r="TU1426" s="29"/>
      <c r="TV1426" s="29"/>
      <c r="TW1426" s="29"/>
      <c r="TX1426" s="29"/>
      <c r="TY1426" s="29"/>
      <c r="TZ1426" s="29"/>
      <c r="UA1426" s="29"/>
      <c r="UB1426" s="29"/>
      <c r="UC1426" s="29"/>
      <c r="UD1426" s="29"/>
      <c r="UE1426" s="29"/>
      <c r="UF1426" s="29"/>
      <c r="UG1426" s="29"/>
    </row>
    <row r="1427" spans="1:553" ht="33" customHeight="1">
      <c r="A1427" s="356" t="s">
        <v>17</v>
      </c>
      <c r="B1427" s="356"/>
      <c r="C1427" s="1404" t="s">
        <v>18</v>
      </c>
      <c r="D1427" s="1389"/>
      <c r="E1427" s="1389"/>
      <c r="F1427" s="1390"/>
      <c r="G1427" s="356" t="s">
        <v>1393</v>
      </c>
      <c r="H1427" s="359">
        <f t="shared" ref="H1427:I1427" si="220">SUM(H1428:H1433)</f>
        <v>1792.8</v>
      </c>
      <c r="I1427" s="359">
        <f t="shared" si="220"/>
        <v>1510</v>
      </c>
      <c r="J1427" s="368"/>
      <c r="K1427" s="371"/>
      <c r="L1427" s="1199">
        <f>SUM(L1428:L1433)</f>
        <v>177687800</v>
      </c>
      <c r="M1427" s="356"/>
      <c r="N1427" s="356"/>
      <c r="O1427" s="356"/>
      <c r="P1427" s="356"/>
      <c r="Q1427" s="1084"/>
      <c r="R1427" s="1447" t="s">
        <v>1251</v>
      </c>
      <c r="S1427" s="308"/>
      <c r="T1427" s="1240"/>
      <c r="U1427" s="838"/>
      <c r="V1427" s="839"/>
      <c r="W1427" s="839"/>
      <c r="X1427" s="839"/>
      <c r="Y1427" s="839"/>
      <c r="Z1427" s="839"/>
      <c r="AA1427" s="839"/>
      <c r="AB1427" s="839"/>
      <c r="AC1427" s="839"/>
      <c r="AD1427" s="486"/>
      <c r="AE1427" s="486"/>
      <c r="AF1427" s="486"/>
      <c r="AG1427" s="486"/>
      <c r="AH1427" s="486"/>
      <c r="AI1427" s="486"/>
      <c r="AJ1427" s="486"/>
      <c r="AK1427" s="486"/>
      <c r="AL1427" s="206"/>
      <c r="AM1427" s="29"/>
      <c r="AN1427" s="29"/>
      <c r="AO1427" s="29"/>
      <c r="AP1427" s="29"/>
      <c r="AQ1427" s="29"/>
      <c r="AR1427" s="29"/>
      <c r="AS1427" s="29"/>
      <c r="AT1427" s="29"/>
      <c r="AU1427" s="29"/>
      <c r="AV1427" s="29"/>
      <c r="AW1427" s="29"/>
      <c r="AX1427" s="29"/>
      <c r="AY1427" s="29"/>
      <c r="AZ1427" s="29"/>
      <c r="BA1427" s="29"/>
      <c r="BB1427" s="29"/>
      <c r="BC1427" s="29"/>
      <c r="BD1427" s="29"/>
      <c r="BE1427" s="29"/>
      <c r="BF1427" s="29"/>
      <c r="BG1427" s="29"/>
      <c r="BH1427" s="29"/>
      <c r="BI1427" s="29"/>
      <c r="BJ1427" s="29"/>
      <c r="BK1427" s="29"/>
      <c r="BL1427" s="29"/>
      <c r="BM1427" s="29"/>
      <c r="BN1427" s="29"/>
      <c r="BO1427" s="29"/>
      <c r="BP1427" s="29"/>
      <c r="BQ1427" s="29"/>
      <c r="BR1427" s="29"/>
      <c r="BS1427" s="29"/>
      <c r="BT1427" s="29"/>
      <c r="BU1427" s="29"/>
      <c r="BV1427" s="29"/>
      <c r="BW1427" s="29"/>
      <c r="BX1427" s="29"/>
      <c r="BY1427" s="29"/>
      <c r="BZ1427" s="29"/>
      <c r="CA1427" s="29"/>
      <c r="CB1427" s="29"/>
      <c r="CC1427" s="29"/>
      <c r="CD1427" s="29"/>
      <c r="CE1427" s="29"/>
      <c r="CF1427" s="29"/>
      <c r="CG1427" s="29"/>
      <c r="CH1427" s="29"/>
      <c r="CI1427" s="29"/>
      <c r="CJ1427" s="29"/>
      <c r="CK1427" s="29"/>
      <c r="CL1427" s="29"/>
      <c r="CM1427" s="29"/>
      <c r="CN1427" s="29"/>
      <c r="CO1427" s="29"/>
      <c r="CP1427" s="29"/>
      <c r="CQ1427" s="29"/>
      <c r="CR1427" s="29"/>
      <c r="CS1427" s="29"/>
      <c r="CT1427" s="29"/>
      <c r="CU1427" s="29"/>
      <c r="CV1427" s="29"/>
      <c r="CW1427" s="29"/>
      <c r="CX1427" s="29"/>
      <c r="CY1427" s="29"/>
      <c r="CZ1427" s="29"/>
      <c r="DA1427" s="29"/>
      <c r="DB1427" s="29"/>
      <c r="DC1427" s="29"/>
      <c r="DD1427" s="29"/>
      <c r="DE1427" s="29"/>
      <c r="DF1427" s="29"/>
      <c r="DG1427" s="29"/>
      <c r="DH1427" s="29"/>
      <c r="DI1427" s="29"/>
      <c r="DJ1427" s="29"/>
      <c r="DK1427" s="29"/>
      <c r="DL1427" s="29"/>
      <c r="DM1427" s="29"/>
      <c r="DN1427" s="29"/>
      <c r="DO1427" s="29"/>
      <c r="DP1427" s="29"/>
      <c r="DQ1427" s="29"/>
      <c r="DR1427" s="29"/>
      <c r="DS1427" s="29"/>
      <c r="DT1427" s="29"/>
      <c r="DU1427" s="29"/>
      <c r="DV1427" s="29"/>
      <c r="DW1427" s="29"/>
      <c r="DX1427" s="29"/>
      <c r="DY1427" s="29"/>
      <c r="DZ1427" s="29"/>
      <c r="EA1427" s="29"/>
      <c r="EB1427" s="29"/>
      <c r="EC1427" s="29"/>
      <c r="ED1427" s="29"/>
      <c r="EE1427" s="29"/>
      <c r="EF1427" s="29"/>
      <c r="EG1427" s="29"/>
      <c r="EH1427" s="29"/>
      <c r="EI1427" s="29"/>
      <c r="EJ1427" s="29"/>
      <c r="EK1427" s="29"/>
      <c r="EL1427" s="29"/>
      <c r="EM1427" s="29"/>
      <c r="EN1427" s="29"/>
      <c r="EO1427" s="29"/>
      <c r="EP1427" s="29"/>
      <c r="EQ1427" s="29"/>
      <c r="ER1427" s="29"/>
      <c r="ES1427" s="29"/>
      <c r="ET1427" s="29"/>
      <c r="EU1427" s="29"/>
      <c r="EV1427" s="29"/>
      <c r="EW1427" s="29"/>
      <c r="EX1427" s="29"/>
      <c r="EY1427" s="29"/>
      <c r="EZ1427" s="29"/>
      <c r="FA1427" s="29"/>
      <c r="FB1427" s="29"/>
      <c r="FC1427" s="29"/>
      <c r="FD1427" s="29"/>
      <c r="FE1427" s="29"/>
      <c r="FF1427" s="29"/>
      <c r="FG1427" s="29"/>
      <c r="FH1427" s="29"/>
      <c r="FI1427" s="29"/>
      <c r="FJ1427" s="29"/>
      <c r="FK1427" s="29"/>
      <c r="FL1427" s="29"/>
      <c r="FM1427" s="29"/>
      <c r="FN1427" s="29"/>
      <c r="FO1427" s="29"/>
      <c r="FP1427" s="29"/>
      <c r="FQ1427" s="29"/>
      <c r="FR1427" s="29"/>
      <c r="FS1427" s="29"/>
      <c r="FT1427" s="29"/>
      <c r="FU1427" s="29"/>
      <c r="FV1427" s="29"/>
      <c r="FW1427" s="29"/>
      <c r="FX1427" s="29"/>
      <c r="FY1427" s="29"/>
      <c r="FZ1427" s="29"/>
      <c r="GA1427" s="29"/>
      <c r="GB1427" s="29"/>
      <c r="GC1427" s="29"/>
      <c r="GD1427" s="29"/>
      <c r="GE1427" s="29"/>
      <c r="GF1427" s="29"/>
      <c r="GG1427" s="29"/>
      <c r="GH1427" s="29"/>
      <c r="GI1427" s="29"/>
      <c r="GJ1427" s="29"/>
      <c r="GK1427" s="29"/>
      <c r="GL1427" s="29"/>
      <c r="GM1427" s="29"/>
      <c r="GN1427" s="29"/>
      <c r="GO1427" s="29"/>
      <c r="GP1427" s="29"/>
      <c r="GQ1427" s="29"/>
      <c r="GR1427" s="29"/>
      <c r="GS1427" s="29"/>
      <c r="GT1427" s="29"/>
      <c r="GU1427" s="29"/>
      <c r="GV1427" s="29"/>
      <c r="GW1427" s="29"/>
      <c r="GX1427" s="29"/>
      <c r="GY1427" s="29"/>
      <c r="GZ1427" s="29"/>
      <c r="HA1427" s="29"/>
      <c r="HB1427" s="29"/>
      <c r="HC1427" s="29"/>
      <c r="HD1427" s="29"/>
      <c r="HE1427" s="29"/>
      <c r="HF1427" s="29"/>
      <c r="HG1427" s="29"/>
      <c r="HH1427" s="29"/>
      <c r="HI1427" s="29"/>
      <c r="HJ1427" s="29"/>
      <c r="HK1427" s="29"/>
      <c r="HL1427" s="29"/>
      <c r="HM1427" s="29"/>
      <c r="HN1427" s="29"/>
      <c r="HO1427" s="29"/>
      <c r="HP1427" s="29"/>
      <c r="HQ1427" s="29"/>
      <c r="HR1427" s="29"/>
      <c r="HS1427" s="29"/>
      <c r="HT1427" s="29"/>
      <c r="HU1427" s="29"/>
      <c r="HV1427" s="29"/>
      <c r="HW1427" s="29"/>
      <c r="HX1427" s="29"/>
      <c r="HY1427" s="29"/>
      <c r="HZ1427" s="29"/>
      <c r="IA1427" s="29"/>
      <c r="IB1427" s="29"/>
      <c r="IC1427" s="29"/>
      <c r="ID1427" s="29"/>
      <c r="IE1427" s="29"/>
      <c r="IF1427" s="29"/>
      <c r="IG1427" s="29"/>
      <c r="IH1427" s="29"/>
      <c r="II1427" s="29"/>
      <c r="IJ1427" s="29"/>
      <c r="IK1427" s="29"/>
      <c r="IL1427" s="29"/>
      <c r="IM1427" s="29"/>
      <c r="IN1427" s="29"/>
      <c r="IO1427" s="29"/>
      <c r="IP1427" s="29"/>
      <c r="IQ1427" s="29"/>
      <c r="IR1427" s="29"/>
      <c r="IS1427" s="29"/>
      <c r="IT1427" s="29"/>
      <c r="IU1427" s="29"/>
      <c r="IV1427" s="29"/>
      <c r="IW1427" s="29"/>
      <c r="IX1427" s="29"/>
      <c r="IY1427" s="29"/>
      <c r="IZ1427" s="29"/>
      <c r="JA1427" s="29"/>
      <c r="JB1427" s="29"/>
      <c r="JC1427" s="29"/>
      <c r="JD1427" s="29"/>
      <c r="JE1427" s="29"/>
      <c r="JF1427" s="29"/>
      <c r="JG1427" s="29"/>
      <c r="JH1427" s="29"/>
      <c r="JI1427" s="29"/>
      <c r="JJ1427" s="29"/>
      <c r="JK1427" s="29"/>
      <c r="JL1427" s="29"/>
      <c r="JM1427" s="29"/>
      <c r="JN1427" s="29"/>
      <c r="JO1427" s="29"/>
      <c r="JP1427" s="29"/>
      <c r="JQ1427" s="29"/>
      <c r="JR1427" s="29"/>
      <c r="JS1427" s="29"/>
      <c r="JT1427" s="29"/>
      <c r="JU1427" s="29"/>
      <c r="JV1427" s="29"/>
      <c r="JW1427" s="29"/>
      <c r="JX1427" s="29"/>
      <c r="JY1427" s="29"/>
      <c r="JZ1427" s="29"/>
      <c r="KA1427" s="29"/>
      <c r="KB1427" s="29"/>
      <c r="KC1427" s="29"/>
      <c r="KD1427" s="29"/>
      <c r="KE1427" s="29"/>
      <c r="KF1427" s="29"/>
      <c r="KG1427" s="29"/>
      <c r="KH1427" s="29"/>
      <c r="KI1427" s="29"/>
      <c r="KJ1427" s="29"/>
      <c r="KK1427" s="29"/>
      <c r="KL1427" s="29"/>
      <c r="KM1427" s="29"/>
      <c r="KN1427" s="29"/>
      <c r="KO1427" s="29"/>
      <c r="KP1427" s="29"/>
      <c r="KQ1427" s="29"/>
      <c r="KR1427" s="29"/>
      <c r="KS1427" s="29"/>
      <c r="KT1427" s="29"/>
      <c r="KU1427" s="29"/>
      <c r="KV1427" s="29"/>
      <c r="KW1427" s="29"/>
      <c r="KX1427" s="29"/>
      <c r="KY1427" s="29"/>
      <c r="KZ1427" s="29"/>
      <c r="LA1427" s="29"/>
      <c r="LB1427" s="29"/>
      <c r="LC1427" s="29"/>
      <c r="LD1427" s="29"/>
      <c r="LE1427" s="29"/>
      <c r="LF1427" s="29"/>
      <c r="LG1427" s="29"/>
      <c r="LH1427" s="29"/>
      <c r="LI1427" s="29"/>
      <c r="LJ1427" s="29"/>
      <c r="LK1427" s="29"/>
      <c r="LL1427" s="29"/>
      <c r="LM1427" s="29"/>
      <c r="LN1427" s="29"/>
      <c r="LO1427" s="29"/>
      <c r="LP1427" s="29"/>
      <c r="LQ1427" s="29"/>
      <c r="LR1427" s="29"/>
      <c r="LS1427" s="29"/>
      <c r="LT1427" s="29"/>
      <c r="LU1427" s="29"/>
      <c r="LV1427" s="29"/>
      <c r="LW1427" s="29"/>
      <c r="LX1427" s="29"/>
      <c r="LY1427" s="29"/>
      <c r="LZ1427" s="29"/>
      <c r="MA1427" s="29"/>
      <c r="MB1427" s="29"/>
      <c r="MC1427" s="29"/>
      <c r="MD1427" s="29"/>
      <c r="ME1427" s="29"/>
      <c r="MF1427" s="29"/>
      <c r="MG1427" s="29"/>
      <c r="MH1427" s="29"/>
      <c r="MI1427" s="29"/>
      <c r="MJ1427" s="29"/>
      <c r="MK1427" s="29"/>
      <c r="ML1427" s="29"/>
      <c r="MM1427" s="29"/>
      <c r="MN1427" s="29"/>
      <c r="MO1427" s="29"/>
      <c r="MP1427" s="29"/>
      <c r="MQ1427" s="29"/>
      <c r="MR1427" s="29"/>
      <c r="MS1427" s="29"/>
      <c r="MT1427" s="29"/>
      <c r="MU1427" s="29"/>
      <c r="MV1427" s="29"/>
      <c r="MW1427" s="29"/>
      <c r="MX1427" s="29"/>
      <c r="MY1427" s="29"/>
      <c r="MZ1427" s="29"/>
      <c r="NA1427" s="29"/>
      <c r="NB1427" s="29"/>
      <c r="NC1427" s="29"/>
      <c r="ND1427" s="29"/>
      <c r="NE1427" s="29"/>
      <c r="NF1427" s="29"/>
      <c r="NG1427" s="29"/>
      <c r="NH1427" s="29"/>
      <c r="NI1427" s="29"/>
      <c r="NJ1427" s="29"/>
      <c r="NK1427" s="29"/>
      <c r="NL1427" s="29"/>
      <c r="NM1427" s="29"/>
      <c r="NN1427" s="29"/>
      <c r="NO1427" s="29"/>
      <c r="NP1427" s="29"/>
      <c r="NQ1427" s="29"/>
      <c r="NR1427" s="29"/>
      <c r="NS1427" s="29"/>
      <c r="NT1427" s="29"/>
      <c r="NU1427" s="29"/>
      <c r="NV1427" s="29"/>
      <c r="NW1427" s="29"/>
      <c r="NX1427" s="29"/>
      <c r="NY1427" s="29"/>
      <c r="NZ1427" s="29"/>
      <c r="OA1427" s="29"/>
      <c r="OB1427" s="29"/>
      <c r="OC1427" s="29"/>
      <c r="OD1427" s="29"/>
      <c r="OE1427" s="29"/>
      <c r="OF1427" s="29"/>
      <c r="OG1427" s="29"/>
      <c r="OH1427" s="29"/>
      <c r="OI1427" s="29"/>
      <c r="OJ1427" s="29"/>
      <c r="OK1427" s="29"/>
      <c r="OL1427" s="29"/>
      <c r="OM1427" s="29"/>
      <c r="ON1427" s="29"/>
      <c r="OO1427" s="29"/>
      <c r="OP1427" s="29"/>
      <c r="OQ1427" s="29"/>
      <c r="OR1427" s="29"/>
      <c r="OS1427" s="29"/>
      <c r="OT1427" s="29"/>
      <c r="OU1427" s="29"/>
      <c r="OV1427" s="29"/>
      <c r="OW1427" s="29"/>
      <c r="OX1427" s="29"/>
      <c r="OY1427" s="29"/>
      <c r="OZ1427" s="29"/>
      <c r="PA1427" s="29"/>
      <c r="PB1427" s="29"/>
      <c r="PC1427" s="29"/>
      <c r="PD1427" s="29"/>
      <c r="PE1427" s="29"/>
      <c r="PF1427" s="29"/>
      <c r="PG1427" s="29"/>
      <c r="PH1427" s="29"/>
      <c r="PI1427" s="29"/>
      <c r="PJ1427" s="29"/>
      <c r="PK1427" s="29"/>
      <c r="PL1427" s="29"/>
      <c r="PM1427" s="29"/>
      <c r="PN1427" s="29"/>
      <c r="PO1427" s="29"/>
      <c r="PP1427" s="29"/>
      <c r="PQ1427" s="29"/>
      <c r="PR1427" s="29"/>
      <c r="PS1427" s="29"/>
      <c r="PT1427" s="29"/>
      <c r="PU1427" s="29"/>
      <c r="PV1427" s="29"/>
      <c r="PW1427" s="29"/>
      <c r="PX1427" s="29"/>
      <c r="PY1427" s="29"/>
      <c r="PZ1427" s="29"/>
      <c r="QA1427" s="29"/>
      <c r="QB1427" s="29"/>
      <c r="QC1427" s="29"/>
      <c r="QD1427" s="29"/>
      <c r="QE1427" s="29"/>
      <c r="QF1427" s="29"/>
      <c r="QG1427" s="29"/>
      <c r="QH1427" s="29"/>
      <c r="QI1427" s="29"/>
      <c r="QJ1427" s="29"/>
      <c r="QK1427" s="29"/>
      <c r="QL1427" s="29"/>
      <c r="QM1427" s="29"/>
      <c r="QN1427" s="29"/>
      <c r="QO1427" s="29"/>
      <c r="QP1427" s="29"/>
      <c r="QQ1427" s="29"/>
      <c r="QR1427" s="29"/>
      <c r="QS1427" s="29"/>
      <c r="QT1427" s="29"/>
      <c r="QU1427" s="29"/>
      <c r="QV1427" s="29"/>
      <c r="QW1427" s="29"/>
      <c r="QX1427" s="29"/>
      <c r="QY1427" s="29"/>
      <c r="QZ1427" s="29"/>
      <c r="RA1427" s="29"/>
      <c r="RB1427" s="29"/>
      <c r="RC1427" s="29"/>
      <c r="RD1427" s="29"/>
      <c r="RE1427" s="29"/>
      <c r="RF1427" s="29"/>
      <c r="RG1427" s="29"/>
      <c r="RH1427" s="29"/>
      <c r="RI1427" s="29"/>
      <c r="RJ1427" s="29"/>
      <c r="RK1427" s="29"/>
      <c r="RL1427" s="29"/>
      <c r="RM1427" s="29"/>
      <c r="RN1427" s="29"/>
      <c r="RO1427" s="29"/>
      <c r="RP1427" s="29"/>
      <c r="RQ1427" s="29"/>
      <c r="RR1427" s="29"/>
      <c r="RS1427" s="29"/>
      <c r="RT1427" s="29"/>
      <c r="RU1427" s="29"/>
      <c r="RV1427" s="29"/>
      <c r="RW1427" s="29"/>
      <c r="RX1427" s="29"/>
      <c r="RY1427" s="29"/>
      <c r="RZ1427" s="29"/>
      <c r="SA1427" s="29"/>
      <c r="SB1427" s="29"/>
      <c r="SC1427" s="29"/>
      <c r="SD1427" s="29"/>
      <c r="SE1427" s="29"/>
      <c r="SF1427" s="29"/>
      <c r="SG1427" s="29"/>
      <c r="SH1427" s="29"/>
      <c r="SI1427" s="29"/>
      <c r="SJ1427" s="29"/>
      <c r="SK1427" s="29"/>
      <c r="SL1427" s="29"/>
      <c r="SM1427" s="29"/>
      <c r="SN1427" s="29"/>
      <c r="SO1427" s="29"/>
      <c r="SP1427" s="29"/>
      <c r="SQ1427" s="29"/>
      <c r="SR1427" s="29"/>
      <c r="SS1427" s="29"/>
      <c r="ST1427" s="29"/>
      <c r="SU1427" s="29"/>
      <c r="SV1427" s="29"/>
      <c r="SW1427" s="29"/>
      <c r="SX1427" s="29"/>
      <c r="SY1427" s="29"/>
      <c r="SZ1427" s="29"/>
      <c r="TA1427" s="29"/>
      <c r="TB1427" s="29"/>
      <c r="TC1427" s="29"/>
      <c r="TD1427" s="29"/>
      <c r="TE1427" s="29"/>
      <c r="TF1427" s="29"/>
      <c r="TG1427" s="29"/>
      <c r="TH1427" s="29"/>
      <c r="TI1427" s="29"/>
      <c r="TJ1427" s="29"/>
      <c r="TK1427" s="29"/>
      <c r="TL1427" s="29"/>
      <c r="TM1427" s="29"/>
      <c r="TN1427" s="29"/>
      <c r="TO1427" s="29"/>
      <c r="TP1427" s="29"/>
      <c r="TQ1427" s="29"/>
      <c r="TR1427" s="29"/>
      <c r="TS1427" s="29"/>
      <c r="TT1427" s="29"/>
      <c r="TU1427" s="29"/>
      <c r="TV1427" s="29"/>
      <c r="TW1427" s="29"/>
      <c r="TX1427" s="29"/>
      <c r="TY1427" s="29"/>
      <c r="TZ1427" s="29"/>
      <c r="UA1427" s="29"/>
      <c r="UB1427" s="29"/>
      <c r="UC1427" s="29"/>
      <c r="UD1427" s="29"/>
      <c r="UE1427" s="29"/>
      <c r="UF1427" s="29"/>
      <c r="UG1427" s="29"/>
    </row>
    <row r="1428" spans="1:553" ht="124.5" customHeight="1">
      <c r="A1428" s="356" t="s">
        <v>15</v>
      </c>
      <c r="B1428" s="385"/>
      <c r="C1428" s="390" t="s">
        <v>19</v>
      </c>
      <c r="D1428" s="376" t="s">
        <v>20</v>
      </c>
      <c r="E1428" s="376">
        <v>487</v>
      </c>
      <c r="F1428" s="385"/>
      <c r="G1428" s="386" t="s">
        <v>935</v>
      </c>
      <c r="H1428" s="441">
        <v>533.79999999999995</v>
      </c>
      <c r="I1428" s="441">
        <v>258.89999999999998</v>
      </c>
      <c r="J1428" s="368">
        <v>390000</v>
      </c>
      <c r="K1428" s="371"/>
      <c r="L1428" s="487">
        <f t="shared" ref="L1428:L1433" si="221">ROUND(PRODUCT(I1428:K1428),0)</f>
        <v>100971000</v>
      </c>
      <c r="M1428" s="717">
        <v>0.2</v>
      </c>
      <c r="N1428" s="392">
        <v>198000</v>
      </c>
      <c r="O1428" s="366">
        <f>I1428*M1428*N1428</f>
        <v>10252440</v>
      </c>
      <c r="P1428" s="366"/>
      <c r="Q1428" s="1057" t="s">
        <v>764</v>
      </c>
      <c r="R1428" s="1452"/>
      <c r="S1428" s="308"/>
      <c r="T1428" s="308"/>
      <c r="U1428" s="308"/>
      <c r="V1428" s="308"/>
      <c r="W1428" s="308"/>
      <c r="X1428" s="308"/>
      <c r="Y1428" s="308"/>
      <c r="Z1428" s="604"/>
      <c r="AA1428" s="308"/>
      <c r="AB1428" s="308"/>
      <c r="AC1428" s="840">
        <f>I1428</f>
        <v>258.89999999999998</v>
      </c>
      <c r="AD1428" s="486"/>
      <c r="AE1428" s="486"/>
      <c r="AF1428" s="486"/>
      <c r="AG1428" s="486"/>
      <c r="AH1428" s="486"/>
      <c r="AI1428" s="486"/>
      <c r="AJ1428" s="486"/>
      <c r="AK1428" s="486"/>
      <c r="AL1428" s="206"/>
      <c r="AM1428" s="29"/>
      <c r="AN1428" s="29"/>
      <c r="AO1428" s="29"/>
      <c r="AP1428" s="29"/>
      <c r="AQ1428" s="29"/>
      <c r="AR1428" s="29"/>
      <c r="AS1428" s="29"/>
      <c r="AT1428" s="29"/>
      <c r="AU1428" s="29"/>
      <c r="AV1428" s="29"/>
      <c r="AW1428" s="29"/>
      <c r="AX1428" s="29"/>
      <c r="AY1428" s="29"/>
      <c r="AZ1428" s="29"/>
      <c r="BA1428" s="29"/>
      <c r="BB1428" s="29"/>
      <c r="BC1428" s="29"/>
      <c r="BD1428" s="29"/>
      <c r="BE1428" s="29"/>
      <c r="BF1428" s="29"/>
      <c r="BG1428" s="29"/>
      <c r="BH1428" s="29"/>
      <c r="BI1428" s="29"/>
      <c r="BJ1428" s="29"/>
      <c r="BK1428" s="29"/>
      <c r="BL1428" s="29"/>
      <c r="BM1428" s="29"/>
      <c r="BN1428" s="29"/>
      <c r="BO1428" s="29"/>
      <c r="BP1428" s="29"/>
      <c r="BQ1428" s="29"/>
      <c r="BR1428" s="29"/>
      <c r="BS1428" s="29"/>
      <c r="BT1428" s="29"/>
      <c r="BU1428" s="29"/>
      <c r="BV1428" s="29"/>
      <c r="BW1428" s="29"/>
      <c r="BX1428" s="29"/>
      <c r="BY1428" s="29"/>
      <c r="BZ1428" s="29"/>
      <c r="CA1428" s="29"/>
      <c r="CB1428" s="29"/>
      <c r="CC1428" s="29"/>
      <c r="CD1428" s="29"/>
      <c r="CE1428" s="29"/>
      <c r="CF1428" s="29"/>
      <c r="CG1428" s="29"/>
      <c r="CH1428" s="29"/>
      <c r="CI1428" s="29"/>
      <c r="CJ1428" s="29"/>
      <c r="CK1428" s="29"/>
      <c r="CL1428" s="29"/>
      <c r="CM1428" s="29"/>
      <c r="CN1428" s="29"/>
      <c r="CO1428" s="29"/>
      <c r="CP1428" s="29"/>
      <c r="CQ1428" s="29"/>
      <c r="CR1428" s="29"/>
      <c r="CS1428" s="29"/>
      <c r="CT1428" s="29"/>
      <c r="CU1428" s="29"/>
      <c r="CV1428" s="29"/>
      <c r="CW1428" s="29"/>
      <c r="CX1428" s="29"/>
      <c r="CY1428" s="29"/>
      <c r="CZ1428" s="29"/>
      <c r="DA1428" s="29"/>
      <c r="DB1428" s="29"/>
      <c r="DC1428" s="29"/>
      <c r="DD1428" s="29"/>
      <c r="DE1428" s="29"/>
      <c r="DF1428" s="29"/>
      <c r="DG1428" s="29"/>
      <c r="DH1428" s="29"/>
      <c r="DI1428" s="29"/>
      <c r="DJ1428" s="29"/>
      <c r="DK1428" s="29"/>
      <c r="DL1428" s="29"/>
      <c r="DM1428" s="29"/>
      <c r="DN1428" s="29"/>
      <c r="DO1428" s="29"/>
      <c r="DP1428" s="29"/>
      <c r="DQ1428" s="29"/>
      <c r="DR1428" s="29"/>
      <c r="DS1428" s="29"/>
      <c r="DT1428" s="29"/>
      <c r="DU1428" s="29"/>
      <c r="DV1428" s="29"/>
      <c r="DW1428" s="29"/>
      <c r="DX1428" s="29"/>
      <c r="DY1428" s="29"/>
      <c r="DZ1428" s="29"/>
      <c r="EA1428" s="29"/>
      <c r="EB1428" s="29"/>
      <c r="EC1428" s="29"/>
      <c r="ED1428" s="29"/>
      <c r="EE1428" s="29"/>
      <c r="EF1428" s="29"/>
      <c r="EG1428" s="29"/>
      <c r="EH1428" s="29"/>
      <c r="EI1428" s="29"/>
      <c r="EJ1428" s="29"/>
      <c r="EK1428" s="29"/>
      <c r="EL1428" s="29"/>
      <c r="EM1428" s="29"/>
      <c r="EN1428" s="29"/>
      <c r="EO1428" s="29"/>
      <c r="EP1428" s="29"/>
      <c r="EQ1428" s="29"/>
      <c r="ER1428" s="29"/>
      <c r="ES1428" s="29"/>
      <c r="ET1428" s="29"/>
      <c r="EU1428" s="29"/>
      <c r="EV1428" s="29"/>
      <c r="EW1428" s="29"/>
      <c r="EX1428" s="29"/>
      <c r="EY1428" s="29"/>
      <c r="EZ1428" s="29"/>
      <c r="FA1428" s="29"/>
      <c r="FB1428" s="29"/>
      <c r="FC1428" s="29"/>
      <c r="FD1428" s="29"/>
      <c r="FE1428" s="29"/>
      <c r="FF1428" s="29"/>
      <c r="FG1428" s="29"/>
      <c r="FH1428" s="29"/>
      <c r="FI1428" s="29"/>
      <c r="FJ1428" s="29"/>
      <c r="FK1428" s="29"/>
      <c r="FL1428" s="29"/>
      <c r="FM1428" s="29"/>
      <c r="FN1428" s="29"/>
      <c r="FO1428" s="29"/>
      <c r="FP1428" s="29"/>
      <c r="FQ1428" s="29"/>
      <c r="FR1428" s="29"/>
      <c r="FS1428" s="29"/>
      <c r="FT1428" s="29"/>
      <c r="FU1428" s="29"/>
      <c r="FV1428" s="29"/>
      <c r="FW1428" s="29"/>
      <c r="FX1428" s="29"/>
      <c r="FY1428" s="29"/>
      <c r="FZ1428" s="29"/>
      <c r="GA1428" s="29"/>
      <c r="GB1428" s="29"/>
      <c r="GC1428" s="29"/>
      <c r="GD1428" s="29"/>
      <c r="GE1428" s="29"/>
      <c r="GF1428" s="29"/>
      <c r="GG1428" s="29"/>
      <c r="GH1428" s="29"/>
      <c r="GI1428" s="29"/>
      <c r="GJ1428" s="29"/>
      <c r="GK1428" s="29"/>
      <c r="GL1428" s="29"/>
      <c r="GM1428" s="29"/>
      <c r="GN1428" s="29"/>
      <c r="GO1428" s="29"/>
      <c r="GP1428" s="29"/>
      <c r="GQ1428" s="29"/>
      <c r="GR1428" s="29"/>
      <c r="GS1428" s="29"/>
      <c r="GT1428" s="29"/>
      <c r="GU1428" s="29"/>
      <c r="GV1428" s="29"/>
      <c r="GW1428" s="29"/>
      <c r="GX1428" s="29"/>
      <c r="GY1428" s="29"/>
      <c r="GZ1428" s="29"/>
      <c r="HA1428" s="29"/>
      <c r="HB1428" s="29"/>
      <c r="HC1428" s="29"/>
      <c r="HD1428" s="29"/>
      <c r="HE1428" s="29"/>
      <c r="HF1428" s="29"/>
      <c r="HG1428" s="29"/>
      <c r="HH1428" s="29"/>
      <c r="HI1428" s="29"/>
      <c r="HJ1428" s="29"/>
      <c r="HK1428" s="29"/>
      <c r="HL1428" s="29"/>
      <c r="HM1428" s="29"/>
      <c r="HN1428" s="29"/>
      <c r="HO1428" s="29"/>
      <c r="HP1428" s="29"/>
      <c r="HQ1428" s="29"/>
      <c r="HR1428" s="29"/>
      <c r="HS1428" s="29"/>
      <c r="HT1428" s="29"/>
      <c r="HU1428" s="29"/>
      <c r="HV1428" s="29"/>
      <c r="HW1428" s="29"/>
      <c r="HX1428" s="29"/>
      <c r="HY1428" s="29"/>
      <c r="HZ1428" s="29"/>
      <c r="IA1428" s="29"/>
      <c r="IB1428" s="29"/>
      <c r="IC1428" s="29"/>
      <c r="ID1428" s="29"/>
      <c r="IE1428" s="29"/>
      <c r="IF1428" s="29"/>
      <c r="IG1428" s="29"/>
      <c r="IH1428" s="29"/>
      <c r="II1428" s="29"/>
      <c r="IJ1428" s="29"/>
      <c r="IK1428" s="29"/>
      <c r="IL1428" s="29"/>
      <c r="IM1428" s="29"/>
      <c r="IN1428" s="29"/>
      <c r="IO1428" s="29"/>
      <c r="IP1428" s="29"/>
      <c r="IQ1428" s="29"/>
      <c r="IR1428" s="29"/>
      <c r="IS1428" s="29"/>
      <c r="IT1428" s="29"/>
      <c r="IU1428" s="29"/>
      <c r="IV1428" s="29"/>
      <c r="IW1428" s="29"/>
      <c r="IX1428" s="29"/>
      <c r="IY1428" s="29"/>
      <c r="IZ1428" s="29"/>
      <c r="JA1428" s="29"/>
      <c r="JB1428" s="29"/>
      <c r="JC1428" s="29"/>
      <c r="JD1428" s="29"/>
      <c r="JE1428" s="29"/>
      <c r="JF1428" s="29"/>
      <c r="JG1428" s="29"/>
      <c r="JH1428" s="29"/>
      <c r="JI1428" s="29"/>
      <c r="JJ1428" s="29"/>
      <c r="JK1428" s="29"/>
      <c r="JL1428" s="29"/>
      <c r="JM1428" s="29"/>
      <c r="JN1428" s="29"/>
      <c r="JO1428" s="29"/>
      <c r="JP1428" s="29"/>
      <c r="JQ1428" s="29"/>
      <c r="JR1428" s="29"/>
      <c r="JS1428" s="29"/>
      <c r="JT1428" s="29"/>
      <c r="JU1428" s="29"/>
      <c r="JV1428" s="29"/>
      <c r="JW1428" s="29"/>
      <c r="JX1428" s="29"/>
      <c r="JY1428" s="29"/>
      <c r="JZ1428" s="29"/>
      <c r="KA1428" s="29"/>
      <c r="KB1428" s="29"/>
      <c r="KC1428" s="29"/>
      <c r="KD1428" s="29"/>
      <c r="KE1428" s="29"/>
      <c r="KF1428" s="29"/>
      <c r="KG1428" s="29"/>
      <c r="KH1428" s="29"/>
      <c r="KI1428" s="29"/>
      <c r="KJ1428" s="29"/>
      <c r="KK1428" s="29"/>
      <c r="KL1428" s="29"/>
      <c r="KM1428" s="29"/>
      <c r="KN1428" s="29"/>
      <c r="KO1428" s="29"/>
      <c r="KP1428" s="29"/>
      <c r="KQ1428" s="29"/>
      <c r="KR1428" s="29"/>
      <c r="KS1428" s="29"/>
      <c r="KT1428" s="29"/>
      <c r="KU1428" s="29"/>
      <c r="KV1428" s="29"/>
      <c r="KW1428" s="29"/>
      <c r="KX1428" s="29"/>
      <c r="KY1428" s="29"/>
      <c r="KZ1428" s="29"/>
      <c r="LA1428" s="29"/>
      <c r="LB1428" s="29"/>
      <c r="LC1428" s="29"/>
      <c r="LD1428" s="29"/>
      <c r="LE1428" s="29"/>
      <c r="LF1428" s="29"/>
      <c r="LG1428" s="29"/>
      <c r="LH1428" s="29"/>
      <c r="LI1428" s="29"/>
      <c r="LJ1428" s="29"/>
      <c r="LK1428" s="29"/>
      <c r="LL1428" s="29"/>
      <c r="LM1428" s="29"/>
      <c r="LN1428" s="29"/>
      <c r="LO1428" s="29"/>
      <c r="LP1428" s="29"/>
      <c r="LQ1428" s="29"/>
      <c r="LR1428" s="29"/>
      <c r="LS1428" s="29"/>
      <c r="LT1428" s="29"/>
      <c r="LU1428" s="29"/>
      <c r="LV1428" s="29"/>
      <c r="LW1428" s="29"/>
      <c r="LX1428" s="29"/>
      <c r="LY1428" s="29"/>
      <c r="LZ1428" s="29"/>
      <c r="MA1428" s="29"/>
      <c r="MB1428" s="29"/>
      <c r="MC1428" s="29"/>
      <c r="MD1428" s="29"/>
      <c r="ME1428" s="29"/>
      <c r="MF1428" s="29"/>
      <c r="MG1428" s="29"/>
      <c r="MH1428" s="29"/>
      <c r="MI1428" s="29"/>
      <c r="MJ1428" s="29"/>
      <c r="MK1428" s="29"/>
      <c r="ML1428" s="29"/>
      <c r="MM1428" s="29"/>
      <c r="MN1428" s="29"/>
      <c r="MO1428" s="29"/>
      <c r="MP1428" s="29"/>
      <c r="MQ1428" s="29"/>
      <c r="MR1428" s="29"/>
      <c r="MS1428" s="29"/>
      <c r="MT1428" s="29"/>
      <c r="MU1428" s="29"/>
      <c r="MV1428" s="29"/>
      <c r="MW1428" s="29"/>
      <c r="MX1428" s="29"/>
      <c r="MY1428" s="29"/>
      <c r="MZ1428" s="29"/>
      <c r="NA1428" s="29"/>
      <c r="NB1428" s="29"/>
      <c r="NC1428" s="29"/>
      <c r="ND1428" s="29"/>
      <c r="NE1428" s="29"/>
      <c r="NF1428" s="29"/>
      <c r="NG1428" s="29"/>
      <c r="NH1428" s="29"/>
      <c r="NI1428" s="29"/>
      <c r="NJ1428" s="29"/>
      <c r="NK1428" s="29"/>
      <c r="NL1428" s="29"/>
      <c r="NM1428" s="29"/>
      <c r="NN1428" s="29"/>
      <c r="NO1428" s="29"/>
      <c r="NP1428" s="29"/>
      <c r="NQ1428" s="29"/>
      <c r="NR1428" s="29"/>
      <c r="NS1428" s="29"/>
      <c r="NT1428" s="29"/>
      <c r="NU1428" s="29"/>
      <c r="NV1428" s="29"/>
      <c r="NW1428" s="29"/>
      <c r="NX1428" s="29"/>
      <c r="NY1428" s="29"/>
      <c r="NZ1428" s="29"/>
      <c r="OA1428" s="29"/>
      <c r="OB1428" s="29"/>
      <c r="OC1428" s="29"/>
      <c r="OD1428" s="29"/>
      <c r="OE1428" s="29"/>
      <c r="OF1428" s="29"/>
      <c r="OG1428" s="29"/>
      <c r="OH1428" s="29"/>
      <c r="OI1428" s="29"/>
      <c r="OJ1428" s="29"/>
      <c r="OK1428" s="29"/>
      <c r="OL1428" s="29"/>
      <c r="OM1428" s="29"/>
      <c r="ON1428" s="29"/>
      <c r="OO1428" s="29"/>
      <c r="OP1428" s="29"/>
      <c r="OQ1428" s="29"/>
      <c r="OR1428" s="29"/>
      <c r="OS1428" s="29"/>
      <c r="OT1428" s="29"/>
      <c r="OU1428" s="29"/>
      <c r="OV1428" s="29"/>
      <c r="OW1428" s="29"/>
      <c r="OX1428" s="29"/>
      <c r="OY1428" s="29"/>
      <c r="OZ1428" s="29"/>
      <c r="PA1428" s="29"/>
      <c r="PB1428" s="29"/>
      <c r="PC1428" s="29"/>
      <c r="PD1428" s="29"/>
      <c r="PE1428" s="29"/>
      <c r="PF1428" s="29"/>
      <c r="PG1428" s="29"/>
      <c r="PH1428" s="29"/>
      <c r="PI1428" s="29"/>
      <c r="PJ1428" s="29"/>
      <c r="PK1428" s="29"/>
      <c r="PL1428" s="29"/>
      <c r="PM1428" s="29"/>
      <c r="PN1428" s="29"/>
      <c r="PO1428" s="29"/>
      <c r="PP1428" s="29"/>
      <c r="PQ1428" s="29"/>
      <c r="PR1428" s="29"/>
      <c r="PS1428" s="29"/>
      <c r="PT1428" s="29"/>
      <c r="PU1428" s="29"/>
      <c r="PV1428" s="29"/>
      <c r="PW1428" s="29"/>
      <c r="PX1428" s="29"/>
      <c r="PY1428" s="29"/>
      <c r="PZ1428" s="29"/>
      <c r="QA1428" s="29"/>
      <c r="QB1428" s="29"/>
      <c r="QC1428" s="29"/>
      <c r="QD1428" s="29"/>
      <c r="QE1428" s="29"/>
      <c r="QF1428" s="29"/>
      <c r="QG1428" s="29"/>
      <c r="QH1428" s="29"/>
      <c r="QI1428" s="29"/>
      <c r="QJ1428" s="29"/>
      <c r="QK1428" s="29"/>
      <c r="QL1428" s="29"/>
      <c r="QM1428" s="29"/>
      <c r="QN1428" s="29"/>
      <c r="QO1428" s="29"/>
      <c r="QP1428" s="29"/>
      <c r="QQ1428" s="29"/>
      <c r="QR1428" s="29"/>
      <c r="QS1428" s="29"/>
      <c r="QT1428" s="29"/>
      <c r="QU1428" s="29"/>
      <c r="QV1428" s="29"/>
      <c r="QW1428" s="29"/>
      <c r="QX1428" s="29"/>
      <c r="QY1428" s="29"/>
      <c r="QZ1428" s="29"/>
      <c r="RA1428" s="29"/>
      <c r="RB1428" s="29"/>
      <c r="RC1428" s="29"/>
      <c r="RD1428" s="29"/>
      <c r="RE1428" s="29"/>
      <c r="RF1428" s="29"/>
      <c r="RG1428" s="29"/>
      <c r="RH1428" s="29"/>
      <c r="RI1428" s="29"/>
      <c r="RJ1428" s="29"/>
      <c r="RK1428" s="29"/>
      <c r="RL1428" s="29"/>
      <c r="RM1428" s="29"/>
      <c r="RN1428" s="29"/>
      <c r="RO1428" s="29"/>
      <c r="RP1428" s="29"/>
      <c r="RQ1428" s="29"/>
      <c r="RR1428" s="29"/>
      <c r="RS1428" s="29"/>
      <c r="RT1428" s="29"/>
      <c r="RU1428" s="29"/>
      <c r="RV1428" s="29"/>
      <c r="RW1428" s="29"/>
      <c r="RX1428" s="29"/>
      <c r="RY1428" s="29"/>
      <c r="RZ1428" s="29"/>
      <c r="SA1428" s="29"/>
      <c r="SB1428" s="29"/>
      <c r="SC1428" s="29"/>
      <c r="SD1428" s="29"/>
      <c r="SE1428" s="29"/>
      <c r="SF1428" s="29"/>
      <c r="SG1428" s="29"/>
      <c r="SH1428" s="29"/>
      <c r="SI1428" s="29"/>
      <c r="SJ1428" s="29"/>
      <c r="SK1428" s="29"/>
      <c r="SL1428" s="29"/>
      <c r="SM1428" s="29"/>
      <c r="SN1428" s="29"/>
      <c r="SO1428" s="29"/>
      <c r="SP1428" s="29"/>
      <c r="SQ1428" s="29"/>
      <c r="SR1428" s="29"/>
      <c r="SS1428" s="29"/>
      <c r="ST1428" s="29"/>
      <c r="SU1428" s="29"/>
      <c r="SV1428" s="29"/>
      <c r="SW1428" s="29"/>
      <c r="SX1428" s="29"/>
      <c r="SY1428" s="29"/>
      <c r="SZ1428" s="29"/>
      <c r="TA1428" s="29"/>
      <c r="TB1428" s="29"/>
      <c r="TC1428" s="29"/>
      <c r="TD1428" s="29"/>
      <c r="TE1428" s="29"/>
      <c r="TF1428" s="29"/>
      <c r="TG1428" s="29"/>
      <c r="TH1428" s="29"/>
      <c r="TI1428" s="29"/>
      <c r="TJ1428" s="29"/>
      <c r="TK1428" s="29"/>
      <c r="TL1428" s="29"/>
      <c r="TM1428" s="29"/>
      <c r="TN1428" s="29"/>
      <c r="TO1428" s="29"/>
      <c r="TP1428" s="29"/>
      <c r="TQ1428" s="29"/>
      <c r="TR1428" s="29"/>
      <c r="TS1428" s="29"/>
      <c r="TT1428" s="29"/>
      <c r="TU1428" s="29"/>
      <c r="TV1428" s="29"/>
      <c r="TW1428" s="29"/>
      <c r="TX1428" s="29"/>
      <c r="TY1428" s="29"/>
      <c r="TZ1428" s="29"/>
      <c r="UA1428" s="29"/>
      <c r="UB1428" s="29"/>
      <c r="UC1428" s="29"/>
      <c r="UD1428" s="29"/>
      <c r="UE1428" s="29"/>
      <c r="UF1428" s="29"/>
      <c r="UG1428" s="29"/>
    </row>
    <row r="1429" spans="1:553" ht="188.25" customHeight="1">
      <c r="A1429" s="356"/>
      <c r="B1429" s="385"/>
      <c r="C1429" s="384" t="s">
        <v>23</v>
      </c>
      <c r="D1429" s="376" t="s">
        <v>70</v>
      </c>
      <c r="E1429" s="376" t="s">
        <v>765</v>
      </c>
      <c r="F1429" s="385"/>
      <c r="G1429" s="386" t="s">
        <v>935</v>
      </c>
      <c r="H1429" s="387">
        <v>92.2</v>
      </c>
      <c r="I1429" s="490">
        <v>92.2</v>
      </c>
      <c r="J1429" s="368">
        <v>62000</v>
      </c>
      <c r="K1429" s="371"/>
      <c r="L1429" s="487">
        <f t="shared" si="221"/>
        <v>5716400</v>
      </c>
      <c r="M1429" s="392"/>
      <c r="N1429" s="392"/>
      <c r="O1429" s="366"/>
      <c r="P1429" s="366"/>
      <c r="Q1429" s="1213" t="s">
        <v>766</v>
      </c>
      <c r="R1429" s="1226"/>
      <c r="S1429" s="308"/>
      <c r="T1429" s="308"/>
      <c r="U1429" s="308"/>
      <c r="V1429" s="308"/>
      <c r="W1429" s="685">
        <f>I1429</f>
        <v>92.2</v>
      </c>
      <c r="X1429" s="308"/>
      <c r="Y1429" s="308"/>
      <c r="Z1429" s="604"/>
      <c r="AA1429" s="308"/>
      <c r="AB1429" s="308"/>
      <c r="AC1429" s="486"/>
      <c r="AD1429" s="486"/>
      <c r="AE1429" s="486"/>
      <c r="AF1429" s="486"/>
      <c r="AG1429" s="486"/>
      <c r="AH1429" s="486"/>
      <c r="AI1429" s="486"/>
      <c r="AJ1429" s="486"/>
      <c r="AK1429" s="486"/>
      <c r="AL1429" s="206"/>
      <c r="AM1429" s="29"/>
      <c r="AN1429" s="29"/>
      <c r="AO1429" s="29"/>
      <c r="AP1429" s="29"/>
      <c r="AQ1429" s="29"/>
      <c r="AR1429" s="29"/>
      <c r="AS1429" s="29"/>
      <c r="AT1429" s="29"/>
      <c r="AU1429" s="29"/>
      <c r="AV1429" s="29"/>
      <c r="AW1429" s="29"/>
      <c r="AX1429" s="29"/>
      <c r="AY1429" s="29"/>
      <c r="AZ1429" s="29"/>
      <c r="BA1429" s="29"/>
      <c r="BB1429" s="29"/>
      <c r="BC1429" s="29"/>
      <c r="BD1429" s="29"/>
      <c r="BE1429" s="29"/>
      <c r="BF1429" s="29"/>
      <c r="BG1429" s="29"/>
      <c r="BH1429" s="29"/>
      <c r="BI1429" s="29"/>
      <c r="BJ1429" s="29"/>
      <c r="BK1429" s="29"/>
      <c r="BL1429" s="29"/>
      <c r="BM1429" s="29"/>
      <c r="BN1429" s="29"/>
      <c r="BO1429" s="29"/>
      <c r="BP1429" s="29"/>
      <c r="BQ1429" s="29"/>
      <c r="BR1429" s="29"/>
      <c r="BS1429" s="29"/>
      <c r="BT1429" s="29"/>
      <c r="BU1429" s="29"/>
      <c r="BV1429" s="29"/>
      <c r="BW1429" s="29"/>
      <c r="BX1429" s="29"/>
      <c r="BY1429" s="29"/>
      <c r="BZ1429" s="29"/>
      <c r="CA1429" s="29"/>
      <c r="CB1429" s="29"/>
      <c r="CC1429" s="29"/>
      <c r="CD1429" s="29"/>
      <c r="CE1429" s="29"/>
      <c r="CF1429" s="29"/>
      <c r="CG1429" s="29"/>
      <c r="CH1429" s="29"/>
      <c r="CI1429" s="29"/>
      <c r="CJ1429" s="29"/>
      <c r="CK1429" s="29"/>
      <c r="CL1429" s="29"/>
      <c r="CM1429" s="29"/>
      <c r="CN1429" s="29"/>
      <c r="CO1429" s="29"/>
      <c r="CP1429" s="29"/>
      <c r="CQ1429" s="29"/>
      <c r="CR1429" s="29"/>
      <c r="CS1429" s="29"/>
      <c r="CT1429" s="29"/>
      <c r="CU1429" s="29"/>
      <c r="CV1429" s="29"/>
      <c r="CW1429" s="29"/>
      <c r="CX1429" s="29"/>
      <c r="CY1429" s="29"/>
      <c r="CZ1429" s="29"/>
      <c r="DA1429" s="29"/>
      <c r="DB1429" s="29"/>
      <c r="DC1429" s="29"/>
      <c r="DD1429" s="29"/>
      <c r="DE1429" s="29"/>
      <c r="DF1429" s="29"/>
      <c r="DG1429" s="29"/>
      <c r="DH1429" s="29"/>
      <c r="DI1429" s="29"/>
      <c r="DJ1429" s="29"/>
      <c r="DK1429" s="29"/>
      <c r="DL1429" s="29"/>
      <c r="DM1429" s="29"/>
      <c r="DN1429" s="29"/>
      <c r="DO1429" s="29"/>
      <c r="DP1429" s="29"/>
      <c r="DQ1429" s="29"/>
      <c r="DR1429" s="29"/>
      <c r="DS1429" s="29"/>
      <c r="DT1429" s="29"/>
      <c r="DU1429" s="29"/>
      <c r="DV1429" s="29"/>
      <c r="DW1429" s="29"/>
      <c r="DX1429" s="29"/>
      <c r="DY1429" s="29"/>
      <c r="DZ1429" s="29"/>
      <c r="EA1429" s="29"/>
      <c r="EB1429" s="29"/>
      <c r="EC1429" s="29"/>
      <c r="ED1429" s="29"/>
      <c r="EE1429" s="29"/>
      <c r="EF1429" s="29"/>
      <c r="EG1429" s="29"/>
      <c r="EH1429" s="29"/>
      <c r="EI1429" s="29"/>
      <c r="EJ1429" s="29"/>
      <c r="EK1429" s="29"/>
      <c r="EL1429" s="29"/>
      <c r="EM1429" s="29"/>
      <c r="EN1429" s="29"/>
      <c r="EO1429" s="29"/>
      <c r="EP1429" s="29"/>
      <c r="EQ1429" s="29"/>
      <c r="ER1429" s="29"/>
      <c r="ES1429" s="29"/>
      <c r="ET1429" s="29"/>
      <c r="EU1429" s="29"/>
      <c r="EV1429" s="29"/>
      <c r="EW1429" s="29"/>
      <c r="EX1429" s="29"/>
      <c r="EY1429" s="29"/>
      <c r="EZ1429" s="29"/>
      <c r="FA1429" s="29"/>
      <c r="FB1429" s="29"/>
      <c r="FC1429" s="29"/>
      <c r="FD1429" s="29"/>
      <c r="FE1429" s="29"/>
      <c r="FF1429" s="29"/>
      <c r="FG1429" s="29"/>
      <c r="FH1429" s="29"/>
      <c r="FI1429" s="29"/>
      <c r="FJ1429" s="29"/>
      <c r="FK1429" s="29"/>
      <c r="FL1429" s="29"/>
      <c r="FM1429" s="29"/>
      <c r="FN1429" s="29"/>
      <c r="FO1429" s="29"/>
      <c r="FP1429" s="29"/>
      <c r="FQ1429" s="29"/>
      <c r="FR1429" s="29"/>
      <c r="FS1429" s="29"/>
      <c r="FT1429" s="29"/>
      <c r="FU1429" s="29"/>
      <c r="FV1429" s="29"/>
      <c r="FW1429" s="29"/>
      <c r="FX1429" s="29"/>
      <c r="FY1429" s="29"/>
      <c r="FZ1429" s="29"/>
      <c r="GA1429" s="29"/>
      <c r="GB1429" s="29"/>
      <c r="GC1429" s="29"/>
      <c r="GD1429" s="29"/>
      <c r="GE1429" s="29"/>
      <c r="GF1429" s="29"/>
      <c r="GG1429" s="29"/>
      <c r="GH1429" s="29"/>
      <c r="GI1429" s="29"/>
      <c r="GJ1429" s="29"/>
      <c r="GK1429" s="29"/>
      <c r="GL1429" s="29"/>
      <c r="GM1429" s="29"/>
      <c r="GN1429" s="29"/>
      <c r="GO1429" s="29"/>
      <c r="GP1429" s="29"/>
      <c r="GQ1429" s="29"/>
      <c r="GR1429" s="29"/>
      <c r="GS1429" s="29"/>
      <c r="GT1429" s="29"/>
      <c r="GU1429" s="29"/>
      <c r="GV1429" s="29"/>
      <c r="GW1429" s="29"/>
      <c r="GX1429" s="29"/>
      <c r="GY1429" s="29"/>
      <c r="GZ1429" s="29"/>
      <c r="HA1429" s="29"/>
      <c r="HB1429" s="29"/>
      <c r="HC1429" s="29"/>
      <c r="HD1429" s="29"/>
      <c r="HE1429" s="29"/>
      <c r="HF1429" s="29"/>
      <c r="HG1429" s="29"/>
      <c r="HH1429" s="29"/>
      <c r="HI1429" s="29"/>
      <c r="HJ1429" s="29"/>
      <c r="HK1429" s="29"/>
      <c r="HL1429" s="29"/>
      <c r="HM1429" s="29"/>
      <c r="HN1429" s="29"/>
      <c r="HO1429" s="29"/>
      <c r="HP1429" s="29"/>
      <c r="HQ1429" s="29"/>
      <c r="HR1429" s="29"/>
      <c r="HS1429" s="29"/>
      <c r="HT1429" s="29"/>
      <c r="HU1429" s="29"/>
      <c r="HV1429" s="29"/>
      <c r="HW1429" s="29"/>
      <c r="HX1429" s="29"/>
      <c r="HY1429" s="29"/>
      <c r="HZ1429" s="29"/>
      <c r="IA1429" s="29"/>
      <c r="IB1429" s="29"/>
      <c r="IC1429" s="29"/>
      <c r="ID1429" s="29"/>
      <c r="IE1429" s="29"/>
      <c r="IF1429" s="29"/>
      <c r="IG1429" s="29"/>
      <c r="IH1429" s="29"/>
      <c r="II1429" s="29"/>
      <c r="IJ1429" s="29"/>
      <c r="IK1429" s="29"/>
      <c r="IL1429" s="29"/>
      <c r="IM1429" s="29"/>
      <c r="IN1429" s="29"/>
      <c r="IO1429" s="29"/>
      <c r="IP1429" s="29"/>
      <c r="IQ1429" s="29"/>
      <c r="IR1429" s="29"/>
      <c r="IS1429" s="29"/>
      <c r="IT1429" s="29"/>
      <c r="IU1429" s="29"/>
      <c r="IV1429" s="29"/>
      <c r="IW1429" s="29"/>
      <c r="IX1429" s="29"/>
      <c r="IY1429" s="29"/>
      <c r="IZ1429" s="29"/>
      <c r="JA1429" s="29"/>
      <c r="JB1429" s="29"/>
      <c r="JC1429" s="29"/>
      <c r="JD1429" s="29"/>
      <c r="JE1429" s="29"/>
      <c r="JF1429" s="29"/>
      <c r="JG1429" s="29"/>
      <c r="JH1429" s="29"/>
      <c r="JI1429" s="29"/>
      <c r="JJ1429" s="29"/>
      <c r="JK1429" s="29"/>
      <c r="JL1429" s="29"/>
      <c r="JM1429" s="29"/>
      <c r="JN1429" s="29"/>
      <c r="JO1429" s="29"/>
      <c r="JP1429" s="29"/>
      <c r="JQ1429" s="29"/>
      <c r="JR1429" s="29"/>
      <c r="JS1429" s="29"/>
      <c r="JT1429" s="29"/>
      <c r="JU1429" s="29"/>
      <c r="JV1429" s="29"/>
      <c r="JW1429" s="29"/>
      <c r="JX1429" s="29"/>
      <c r="JY1429" s="29"/>
      <c r="JZ1429" s="29"/>
      <c r="KA1429" s="29"/>
      <c r="KB1429" s="29"/>
      <c r="KC1429" s="29"/>
      <c r="KD1429" s="29"/>
      <c r="KE1429" s="29"/>
      <c r="KF1429" s="29"/>
      <c r="KG1429" s="29"/>
      <c r="KH1429" s="29"/>
      <c r="KI1429" s="29"/>
      <c r="KJ1429" s="29"/>
      <c r="KK1429" s="29"/>
      <c r="KL1429" s="29"/>
      <c r="KM1429" s="29"/>
      <c r="KN1429" s="29"/>
      <c r="KO1429" s="29"/>
      <c r="KP1429" s="29"/>
      <c r="KQ1429" s="29"/>
      <c r="KR1429" s="29"/>
      <c r="KS1429" s="29"/>
      <c r="KT1429" s="29"/>
      <c r="KU1429" s="29"/>
      <c r="KV1429" s="29"/>
      <c r="KW1429" s="29"/>
      <c r="KX1429" s="29"/>
      <c r="KY1429" s="29"/>
      <c r="KZ1429" s="29"/>
      <c r="LA1429" s="29"/>
      <c r="LB1429" s="29"/>
      <c r="LC1429" s="29"/>
      <c r="LD1429" s="29"/>
      <c r="LE1429" s="29"/>
      <c r="LF1429" s="29"/>
      <c r="LG1429" s="29"/>
      <c r="LH1429" s="29"/>
      <c r="LI1429" s="29"/>
      <c r="LJ1429" s="29"/>
      <c r="LK1429" s="29"/>
      <c r="LL1429" s="29"/>
      <c r="LM1429" s="29"/>
      <c r="LN1429" s="29"/>
      <c r="LO1429" s="29"/>
      <c r="LP1429" s="29"/>
      <c r="LQ1429" s="29"/>
      <c r="LR1429" s="29"/>
      <c r="LS1429" s="29"/>
      <c r="LT1429" s="29"/>
      <c r="LU1429" s="29"/>
      <c r="LV1429" s="29"/>
      <c r="LW1429" s="29"/>
      <c r="LX1429" s="29"/>
      <c r="LY1429" s="29"/>
      <c r="LZ1429" s="29"/>
      <c r="MA1429" s="29"/>
      <c r="MB1429" s="29"/>
      <c r="MC1429" s="29"/>
      <c r="MD1429" s="29"/>
      <c r="ME1429" s="29"/>
      <c r="MF1429" s="29"/>
      <c r="MG1429" s="29"/>
      <c r="MH1429" s="29"/>
      <c r="MI1429" s="29"/>
      <c r="MJ1429" s="29"/>
      <c r="MK1429" s="29"/>
      <c r="ML1429" s="29"/>
      <c r="MM1429" s="29"/>
      <c r="MN1429" s="29"/>
      <c r="MO1429" s="29"/>
      <c r="MP1429" s="29"/>
      <c r="MQ1429" s="29"/>
      <c r="MR1429" s="29"/>
      <c r="MS1429" s="29"/>
      <c r="MT1429" s="29"/>
      <c r="MU1429" s="29"/>
      <c r="MV1429" s="29"/>
      <c r="MW1429" s="29"/>
      <c r="MX1429" s="29"/>
      <c r="MY1429" s="29"/>
      <c r="MZ1429" s="29"/>
      <c r="NA1429" s="29"/>
      <c r="NB1429" s="29"/>
      <c r="NC1429" s="29"/>
      <c r="ND1429" s="29"/>
      <c r="NE1429" s="29"/>
      <c r="NF1429" s="29"/>
      <c r="NG1429" s="29"/>
      <c r="NH1429" s="29"/>
      <c r="NI1429" s="29"/>
      <c r="NJ1429" s="29"/>
      <c r="NK1429" s="29"/>
      <c r="NL1429" s="29"/>
      <c r="NM1429" s="29"/>
      <c r="NN1429" s="29"/>
      <c r="NO1429" s="29"/>
      <c r="NP1429" s="29"/>
      <c r="NQ1429" s="29"/>
      <c r="NR1429" s="29"/>
      <c r="NS1429" s="29"/>
      <c r="NT1429" s="29"/>
      <c r="NU1429" s="29"/>
      <c r="NV1429" s="29"/>
      <c r="NW1429" s="29"/>
      <c r="NX1429" s="29"/>
      <c r="NY1429" s="29"/>
      <c r="NZ1429" s="29"/>
      <c r="OA1429" s="29"/>
      <c r="OB1429" s="29"/>
      <c r="OC1429" s="29"/>
      <c r="OD1429" s="29"/>
      <c r="OE1429" s="29"/>
      <c r="OF1429" s="29"/>
      <c r="OG1429" s="29"/>
      <c r="OH1429" s="29"/>
      <c r="OI1429" s="29"/>
      <c r="OJ1429" s="29"/>
      <c r="OK1429" s="29"/>
      <c r="OL1429" s="29"/>
      <c r="OM1429" s="29"/>
      <c r="ON1429" s="29"/>
      <c r="OO1429" s="29"/>
      <c r="OP1429" s="29"/>
      <c r="OQ1429" s="29"/>
      <c r="OR1429" s="29"/>
      <c r="OS1429" s="29"/>
      <c r="OT1429" s="29"/>
      <c r="OU1429" s="29"/>
      <c r="OV1429" s="29"/>
      <c r="OW1429" s="29"/>
      <c r="OX1429" s="29"/>
      <c r="OY1429" s="29"/>
      <c r="OZ1429" s="29"/>
      <c r="PA1429" s="29"/>
      <c r="PB1429" s="29"/>
      <c r="PC1429" s="29"/>
      <c r="PD1429" s="29"/>
      <c r="PE1429" s="29"/>
      <c r="PF1429" s="29"/>
      <c r="PG1429" s="29"/>
      <c r="PH1429" s="29"/>
      <c r="PI1429" s="29"/>
      <c r="PJ1429" s="29"/>
      <c r="PK1429" s="29"/>
      <c r="PL1429" s="29"/>
      <c r="PM1429" s="29"/>
      <c r="PN1429" s="29"/>
      <c r="PO1429" s="29"/>
      <c r="PP1429" s="29"/>
      <c r="PQ1429" s="29"/>
      <c r="PR1429" s="29"/>
      <c r="PS1429" s="29"/>
      <c r="PT1429" s="29"/>
      <c r="PU1429" s="29"/>
      <c r="PV1429" s="29"/>
      <c r="PW1429" s="29"/>
      <c r="PX1429" s="29"/>
      <c r="PY1429" s="29"/>
      <c r="PZ1429" s="29"/>
      <c r="QA1429" s="29"/>
      <c r="QB1429" s="29"/>
      <c r="QC1429" s="29"/>
      <c r="QD1429" s="29"/>
      <c r="QE1429" s="29"/>
      <c r="QF1429" s="29"/>
      <c r="QG1429" s="29"/>
      <c r="QH1429" s="29"/>
      <c r="QI1429" s="29"/>
      <c r="QJ1429" s="29"/>
      <c r="QK1429" s="29"/>
      <c r="QL1429" s="29"/>
      <c r="QM1429" s="29"/>
      <c r="QN1429" s="29"/>
      <c r="QO1429" s="29"/>
      <c r="QP1429" s="29"/>
      <c r="QQ1429" s="29"/>
      <c r="QR1429" s="29"/>
      <c r="QS1429" s="29"/>
      <c r="QT1429" s="29"/>
      <c r="QU1429" s="29"/>
      <c r="QV1429" s="29"/>
      <c r="QW1429" s="29"/>
      <c r="QX1429" s="29"/>
      <c r="QY1429" s="29"/>
      <c r="QZ1429" s="29"/>
      <c r="RA1429" s="29"/>
      <c r="RB1429" s="29"/>
      <c r="RC1429" s="29"/>
      <c r="RD1429" s="29"/>
      <c r="RE1429" s="29"/>
      <c r="RF1429" s="29"/>
      <c r="RG1429" s="29"/>
      <c r="RH1429" s="29"/>
      <c r="RI1429" s="29"/>
      <c r="RJ1429" s="29"/>
      <c r="RK1429" s="29"/>
      <c r="RL1429" s="29"/>
      <c r="RM1429" s="29"/>
      <c r="RN1429" s="29"/>
      <c r="RO1429" s="29"/>
      <c r="RP1429" s="29"/>
      <c r="RQ1429" s="29"/>
      <c r="RR1429" s="29"/>
      <c r="RS1429" s="29"/>
      <c r="RT1429" s="29"/>
      <c r="RU1429" s="29"/>
      <c r="RV1429" s="29"/>
      <c r="RW1429" s="29"/>
      <c r="RX1429" s="29"/>
      <c r="RY1429" s="29"/>
      <c r="RZ1429" s="29"/>
      <c r="SA1429" s="29"/>
      <c r="SB1429" s="29"/>
      <c r="SC1429" s="29"/>
      <c r="SD1429" s="29"/>
      <c r="SE1429" s="29"/>
      <c r="SF1429" s="29"/>
      <c r="SG1429" s="29"/>
      <c r="SH1429" s="29"/>
      <c r="SI1429" s="29"/>
      <c r="SJ1429" s="29"/>
      <c r="SK1429" s="29"/>
      <c r="SL1429" s="29"/>
      <c r="SM1429" s="29"/>
      <c r="SN1429" s="29"/>
      <c r="SO1429" s="29"/>
      <c r="SP1429" s="29"/>
      <c r="SQ1429" s="29"/>
      <c r="SR1429" s="29"/>
      <c r="SS1429" s="29"/>
      <c r="ST1429" s="29"/>
      <c r="SU1429" s="29"/>
      <c r="SV1429" s="29"/>
      <c r="SW1429" s="29"/>
      <c r="SX1429" s="29"/>
      <c r="SY1429" s="29"/>
      <c r="SZ1429" s="29"/>
      <c r="TA1429" s="29"/>
      <c r="TB1429" s="29"/>
      <c r="TC1429" s="29"/>
      <c r="TD1429" s="29"/>
      <c r="TE1429" s="29"/>
      <c r="TF1429" s="29"/>
      <c r="TG1429" s="29"/>
      <c r="TH1429" s="29"/>
      <c r="TI1429" s="29"/>
      <c r="TJ1429" s="29"/>
      <c r="TK1429" s="29"/>
      <c r="TL1429" s="29"/>
      <c r="TM1429" s="29"/>
      <c r="TN1429" s="29"/>
      <c r="TO1429" s="29"/>
      <c r="TP1429" s="29"/>
      <c r="TQ1429" s="29"/>
      <c r="TR1429" s="29"/>
      <c r="TS1429" s="29"/>
      <c r="TT1429" s="29"/>
      <c r="TU1429" s="29"/>
      <c r="TV1429" s="29"/>
      <c r="TW1429" s="29"/>
      <c r="TX1429" s="29"/>
      <c r="TY1429" s="29"/>
      <c r="TZ1429" s="29"/>
      <c r="UA1429" s="29"/>
      <c r="UB1429" s="29"/>
      <c r="UC1429" s="29"/>
      <c r="UD1429" s="29"/>
      <c r="UE1429" s="29"/>
      <c r="UF1429" s="29"/>
      <c r="UG1429" s="29"/>
    </row>
    <row r="1430" spans="1:553" ht="327" customHeight="1">
      <c r="A1430" s="356"/>
      <c r="B1430" s="385"/>
      <c r="C1430" s="384" t="s">
        <v>23</v>
      </c>
      <c r="D1430" s="376" t="s">
        <v>70</v>
      </c>
      <c r="E1430" s="376" t="s">
        <v>281</v>
      </c>
      <c r="F1430" s="385"/>
      <c r="G1430" s="386" t="s">
        <v>935</v>
      </c>
      <c r="H1430" s="387">
        <v>401</v>
      </c>
      <c r="I1430" s="490">
        <v>401</v>
      </c>
      <c r="J1430" s="368">
        <v>62000</v>
      </c>
      <c r="K1430" s="371"/>
      <c r="L1430" s="487">
        <f t="shared" si="221"/>
        <v>24862000</v>
      </c>
      <c r="M1430" s="392"/>
      <c r="N1430" s="392"/>
      <c r="O1430" s="366"/>
      <c r="P1430" s="366"/>
      <c r="Q1430" s="1213" t="s">
        <v>767</v>
      </c>
      <c r="R1430" s="1226"/>
      <c r="S1430" s="308"/>
      <c r="T1430" s="308"/>
      <c r="U1430" s="308"/>
      <c r="V1430" s="308"/>
      <c r="W1430" s="685">
        <f>I1430</f>
        <v>401</v>
      </c>
      <c r="X1430" s="308"/>
      <c r="Y1430" s="308"/>
      <c r="Z1430" s="604"/>
      <c r="AA1430" s="308"/>
      <c r="AB1430" s="308"/>
      <c r="AC1430" s="486"/>
      <c r="AD1430" s="486"/>
      <c r="AE1430" s="486"/>
      <c r="AF1430" s="486"/>
      <c r="AG1430" s="486"/>
      <c r="AH1430" s="486"/>
      <c r="AI1430" s="486"/>
      <c r="AJ1430" s="486"/>
      <c r="AK1430" s="486"/>
      <c r="AL1430" s="206"/>
      <c r="AM1430" s="29"/>
      <c r="AN1430" s="29"/>
      <c r="AO1430" s="29"/>
      <c r="AP1430" s="29"/>
      <c r="AQ1430" s="29"/>
      <c r="AR1430" s="29"/>
      <c r="AS1430" s="29"/>
      <c r="AT1430" s="29"/>
      <c r="AU1430" s="29"/>
      <c r="AV1430" s="29"/>
      <c r="AW1430" s="29"/>
      <c r="AX1430" s="29"/>
      <c r="AY1430" s="29"/>
      <c r="AZ1430" s="29"/>
      <c r="BA1430" s="29"/>
      <c r="BB1430" s="29"/>
      <c r="BC1430" s="29"/>
      <c r="BD1430" s="29"/>
      <c r="BE1430" s="29"/>
      <c r="BF1430" s="29"/>
      <c r="BG1430" s="29"/>
      <c r="BH1430" s="29"/>
      <c r="BI1430" s="29"/>
      <c r="BJ1430" s="29"/>
      <c r="BK1430" s="29"/>
      <c r="BL1430" s="29"/>
      <c r="BM1430" s="29"/>
      <c r="BN1430" s="29"/>
      <c r="BO1430" s="29"/>
      <c r="BP1430" s="29"/>
      <c r="BQ1430" s="29"/>
      <c r="BR1430" s="29"/>
      <c r="BS1430" s="29"/>
      <c r="BT1430" s="29"/>
      <c r="BU1430" s="29"/>
      <c r="BV1430" s="29"/>
      <c r="BW1430" s="29"/>
      <c r="BX1430" s="29"/>
      <c r="BY1430" s="29"/>
      <c r="BZ1430" s="29"/>
      <c r="CA1430" s="29"/>
      <c r="CB1430" s="29"/>
      <c r="CC1430" s="29"/>
      <c r="CD1430" s="29"/>
      <c r="CE1430" s="29"/>
      <c r="CF1430" s="29"/>
      <c r="CG1430" s="29"/>
      <c r="CH1430" s="29"/>
      <c r="CI1430" s="29"/>
      <c r="CJ1430" s="29"/>
      <c r="CK1430" s="29"/>
      <c r="CL1430" s="29"/>
      <c r="CM1430" s="29"/>
      <c r="CN1430" s="29"/>
      <c r="CO1430" s="29"/>
      <c r="CP1430" s="29"/>
      <c r="CQ1430" s="29"/>
      <c r="CR1430" s="29"/>
      <c r="CS1430" s="29"/>
      <c r="CT1430" s="29"/>
      <c r="CU1430" s="29"/>
      <c r="CV1430" s="29"/>
      <c r="CW1430" s="29"/>
      <c r="CX1430" s="29"/>
      <c r="CY1430" s="29"/>
      <c r="CZ1430" s="29"/>
      <c r="DA1430" s="29"/>
      <c r="DB1430" s="29"/>
      <c r="DC1430" s="29"/>
      <c r="DD1430" s="29"/>
      <c r="DE1430" s="29"/>
      <c r="DF1430" s="29"/>
      <c r="DG1430" s="29"/>
      <c r="DH1430" s="29"/>
      <c r="DI1430" s="29"/>
      <c r="DJ1430" s="29"/>
      <c r="DK1430" s="29"/>
      <c r="DL1430" s="29"/>
      <c r="DM1430" s="29"/>
      <c r="DN1430" s="29"/>
      <c r="DO1430" s="29"/>
      <c r="DP1430" s="29"/>
      <c r="DQ1430" s="29"/>
      <c r="DR1430" s="29"/>
      <c r="DS1430" s="29"/>
      <c r="DT1430" s="29"/>
      <c r="DU1430" s="29"/>
      <c r="DV1430" s="29"/>
      <c r="DW1430" s="29"/>
      <c r="DX1430" s="29"/>
      <c r="DY1430" s="29"/>
      <c r="DZ1430" s="29"/>
      <c r="EA1430" s="29"/>
      <c r="EB1430" s="29"/>
      <c r="EC1430" s="29"/>
      <c r="ED1430" s="29"/>
      <c r="EE1430" s="29"/>
      <c r="EF1430" s="29"/>
      <c r="EG1430" s="29"/>
      <c r="EH1430" s="29"/>
      <c r="EI1430" s="29"/>
      <c r="EJ1430" s="29"/>
      <c r="EK1430" s="29"/>
      <c r="EL1430" s="29"/>
      <c r="EM1430" s="29"/>
      <c r="EN1430" s="29"/>
      <c r="EO1430" s="29"/>
      <c r="EP1430" s="29"/>
      <c r="EQ1430" s="29"/>
      <c r="ER1430" s="29"/>
      <c r="ES1430" s="29"/>
      <c r="ET1430" s="29"/>
      <c r="EU1430" s="29"/>
      <c r="EV1430" s="29"/>
      <c r="EW1430" s="29"/>
      <c r="EX1430" s="29"/>
      <c r="EY1430" s="29"/>
      <c r="EZ1430" s="29"/>
      <c r="FA1430" s="29"/>
      <c r="FB1430" s="29"/>
      <c r="FC1430" s="29"/>
      <c r="FD1430" s="29"/>
      <c r="FE1430" s="29"/>
      <c r="FF1430" s="29"/>
      <c r="FG1430" s="29"/>
      <c r="FH1430" s="29"/>
      <c r="FI1430" s="29"/>
      <c r="FJ1430" s="29"/>
      <c r="FK1430" s="29"/>
      <c r="FL1430" s="29"/>
      <c r="FM1430" s="29"/>
      <c r="FN1430" s="29"/>
      <c r="FO1430" s="29"/>
      <c r="FP1430" s="29"/>
      <c r="FQ1430" s="29"/>
      <c r="FR1430" s="29"/>
      <c r="FS1430" s="29"/>
      <c r="FT1430" s="29"/>
      <c r="FU1430" s="29"/>
      <c r="FV1430" s="29"/>
      <c r="FW1430" s="29"/>
      <c r="FX1430" s="29"/>
      <c r="FY1430" s="29"/>
      <c r="FZ1430" s="29"/>
      <c r="GA1430" s="29"/>
      <c r="GB1430" s="29"/>
      <c r="GC1430" s="29"/>
      <c r="GD1430" s="29"/>
      <c r="GE1430" s="29"/>
      <c r="GF1430" s="29"/>
      <c r="GG1430" s="29"/>
      <c r="GH1430" s="29"/>
      <c r="GI1430" s="29"/>
      <c r="GJ1430" s="29"/>
      <c r="GK1430" s="29"/>
      <c r="GL1430" s="29"/>
      <c r="GM1430" s="29"/>
      <c r="GN1430" s="29"/>
      <c r="GO1430" s="29"/>
      <c r="GP1430" s="29"/>
      <c r="GQ1430" s="29"/>
      <c r="GR1430" s="29"/>
      <c r="GS1430" s="29"/>
      <c r="GT1430" s="29"/>
      <c r="GU1430" s="29"/>
      <c r="GV1430" s="29"/>
      <c r="GW1430" s="29"/>
      <c r="GX1430" s="29"/>
      <c r="GY1430" s="29"/>
      <c r="GZ1430" s="29"/>
      <c r="HA1430" s="29"/>
      <c r="HB1430" s="29"/>
      <c r="HC1430" s="29"/>
      <c r="HD1430" s="29"/>
      <c r="HE1430" s="29"/>
      <c r="HF1430" s="29"/>
      <c r="HG1430" s="29"/>
      <c r="HH1430" s="29"/>
      <c r="HI1430" s="29"/>
      <c r="HJ1430" s="29"/>
      <c r="HK1430" s="29"/>
      <c r="HL1430" s="29"/>
      <c r="HM1430" s="29"/>
      <c r="HN1430" s="29"/>
      <c r="HO1430" s="29"/>
      <c r="HP1430" s="29"/>
      <c r="HQ1430" s="29"/>
      <c r="HR1430" s="29"/>
      <c r="HS1430" s="29"/>
      <c r="HT1430" s="29"/>
      <c r="HU1430" s="29"/>
      <c r="HV1430" s="29"/>
      <c r="HW1430" s="29"/>
      <c r="HX1430" s="29"/>
      <c r="HY1430" s="29"/>
      <c r="HZ1430" s="29"/>
      <c r="IA1430" s="29"/>
      <c r="IB1430" s="29"/>
      <c r="IC1430" s="29"/>
      <c r="ID1430" s="29"/>
      <c r="IE1430" s="29"/>
      <c r="IF1430" s="29"/>
      <c r="IG1430" s="29"/>
      <c r="IH1430" s="29"/>
      <c r="II1430" s="29"/>
      <c r="IJ1430" s="29"/>
      <c r="IK1430" s="29"/>
      <c r="IL1430" s="29"/>
      <c r="IM1430" s="29"/>
      <c r="IN1430" s="29"/>
      <c r="IO1430" s="29"/>
      <c r="IP1430" s="29"/>
      <c r="IQ1430" s="29"/>
      <c r="IR1430" s="29"/>
      <c r="IS1430" s="29"/>
      <c r="IT1430" s="29"/>
      <c r="IU1430" s="29"/>
      <c r="IV1430" s="29"/>
      <c r="IW1430" s="29"/>
      <c r="IX1430" s="29"/>
      <c r="IY1430" s="29"/>
      <c r="IZ1430" s="29"/>
      <c r="JA1430" s="29"/>
      <c r="JB1430" s="29"/>
      <c r="JC1430" s="29"/>
      <c r="JD1430" s="29"/>
      <c r="JE1430" s="29"/>
      <c r="JF1430" s="29"/>
      <c r="JG1430" s="29"/>
      <c r="JH1430" s="29"/>
      <c r="JI1430" s="29"/>
      <c r="JJ1430" s="29"/>
      <c r="JK1430" s="29"/>
      <c r="JL1430" s="29"/>
      <c r="JM1430" s="29"/>
      <c r="JN1430" s="29"/>
      <c r="JO1430" s="29"/>
      <c r="JP1430" s="29"/>
      <c r="JQ1430" s="29"/>
      <c r="JR1430" s="29"/>
      <c r="JS1430" s="29"/>
      <c r="JT1430" s="29"/>
      <c r="JU1430" s="29"/>
      <c r="JV1430" s="29"/>
      <c r="JW1430" s="29"/>
      <c r="JX1430" s="29"/>
      <c r="JY1430" s="29"/>
      <c r="JZ1430" s="29"/>
      <c r="KA1430" s="29"/>
      <c r="KB1430" s="29"/>
      <c r="KC1430" s="29"/>
      <c r="KD1430" s="29"/>
      <c r="KE1430" s="29"/>
      <c r="KF1430" s="29"/>
      <c r="KG1430" s="29"/>
      <c r="KH1430" s="29"/>
      <c r="KI1430" s="29"/>
      <c r="KJ1430" s="29"/>
      <c r="KK1430" s="29"/>
      <c r="KL1430" s="29"/>
      <c r="KM1430" s="29"/>
      <c r="KN1430" s="29"/>
      <c r="KO1430" s="29"/>
      <c r="KP1430" s="29"/>
      <c r="KQ1430" s="29"/>
      <c r="KR1430" s="29"/>
      <c r="KS1430" s="29"/>
      <c r="KT1430" s="29"/>
      <c r="KU1430" s="29"/>
      <c r="KV1430" s="29"/>
      <c r="KW1430" s="29"/>
      <c r="KX1430" s="29"/>
      <c r="KY1430" s="29"/>
      <c r="KZ1430" s="29"/>
      <c r="LA1430" s="29"/>
      <c r="LB1430" s="29"/>
      <c r="LC1430" s="29"/>
      <c r="LD1430" s="29"/>
      <c r="LE1430" s="29"/>
      <c r="LF1430" s="29"/>
      <c r="LG1430" s="29"/>
      <c r="LH1430" s="29"/>
      <c r="LI1430" s="29"/>
      <c r="LJ1430" s="29"/>
      <c r="LK1430" s="29"/>
      <c r="LL1430" s="29"/>
      <c r="LM1430" s="29"/>
      <c r="LN1430" s="29"/>
      <c r="LO1430" s="29"/>
      <c r="LP1430" s="29"/>
      <c r="LQ1430" s="29"/>
      <c r="LR1430" s="29"/>
      <c r="LS1430" s="29"/>
      <c r="LT1430" s="29"/>
      <c r="LU1430" s="29"/>
      <c r="LV1430" s="29"/>
      <c r="LW1430" s="29"/>
      <c r="LX1430" s="29"/>
      <c r="LY1430" s="29"/>
      <c r="LZ1430" s="29"/>
      <c r="MA1430" s="29"/>
      <c r="MB1430" s="29"/>
      <c r="MC1430" s="29"/>
      <c r="MD1430" s="29"/>
      <c r="ME1430" s="29"/>
      <c r="MF1430" s="29"/>
      <c r="MG1430" s="29"/>
      <c r="MH1430" s="29"/>
      <c r="MI1430" s="29"/>
      <c r="MJ1430" s="29"/>
      <c r="MK1430" s="29"/>
      <c r="ML1430" s="29"/>
      <c r="MM1430" s="29"/>
      <c r="MN1430" s="29"/>
      <c r="MO1430" s="29"/>
      <c r="MP1430" s="29"/>
      <c r="MQ1430" s="29"/>
      <c r="MR1430" s="29"/>
      <c r="MS1430" s="29"/>
      <c r="MT1430" s="29"/>
      <c r="MU1430" s="29"/>
      <c r="MV1430" s="29"/>
      <c r="MW1430" s="29"/>
      <c r="MX1430" s="29"/>
      <c r="MY1430" s="29"/>
      <c r="MZ1430" s="29"/>
      <c r="NA1430" s="29"/>
      <c r="NB1430" s="29"/>
      <c r="NC1430" s="29"/>
      <c r="ND1430" s="29"/>
      <c r="NE1430" s="29"/>
      <c r="NF1430" s="29"/>
      <c r="NG1430" s="29"/>
      <c r="NH1430" s="29"/>
      <c r="NI1430" s="29"/>
      <c r="NJ1430" s="29"/>
      <c r="NK1430" s="29"/>
      <c r="NL1430" s="29"/>
      <c r="NM1430" s="29"/>
      <c r="NN1430" s="29"/>
      <c r="NO1430" s="29"/>
      <c r="NP1430" s="29"/>
      <c r="NQ1430" s="29"/>
      <c r="NR1430" s="29"/>
      <c r="NS1430" s="29"/>
      <c r="NT1430" s="29"/>
      <c r="NU1430" s="29"/>
      <c r="NV1430" s="29"/>
      <c r="NW1430" s="29"/>
      <c r="NX1430" s="29"/>
      <c r="NY1430" s="29"/>
      <c r="NZ1430" s="29"/>
      <c r="OA1430" s="29"/>
      <c r="OB1430" s="29"/>
      <c r="OC1430" s="29"/>
      <c r="OD1430" s="29"/>
      <c r="OE1430" s="29"/>
      <c r="OF1430" s="29"/>
      <c r="OG1430" s="29"/>
      <c r="OH1430" s="29"/>
      <c r="OI1430" s="29"/>
      <c r="OJ1430" s="29"/>
      <c r="OK1430" s="29"/>
      <c r="OL1430" s="29"/>
      <c r="OM1430" s="29"/>
      <c r="ON1430" s="29"/>
      <c r="OO1430" s="29"/>
      <c r="OP1430" s="29"/>
      <c r="OQ1430" s="29"/>
      <c r="OR1430" s="29"/>
      <c r="OS1430" s="29"/>
      <c r="OT1430" s="29"/>
      <c r="OU1430" s="29"/>
      <c r="OV1430" s="29"/>
      <c r="OW1430" s="29"/>
      <c r="OX1430" s="29"/>
      <c r="OY1430" s="29"/>
      <c r="OZ1430" s="29"/>
      <c r="PA1430" s="29"/>
      <c r="PB1430" s="29"/>
      <c r="PC1430" s="29"/>
      <c r="PD1430" s="29"/>
      <c r="PE1430" s="29"/>
      <c r="PF1430" s="29"/>
      <c r="PG1430" s="29"/>
      <c r="PH1430" s="29"/>
      <c r="PI1430" s="29"/>
      <c r="PJ1430" s="29"/>
      <c r="PK1430" s="29"/>
      <c r="PL1430" s="29"/>
      <c r="PM1430" s="29"/>
      <c r="PN1430" s="29"/>
      <c r="PO1430" s="29"/>
      <c r="PP1430" s="29"/>
      <c r="PQ1430" s="29"/>
      <c r="PR1430" s="29"/>
      <c r="PS1430" s="29"/>
      <c r="PT1430" s="29"/>
      <c r="PU1430" s="29"/>
      <c r="PV1430" s="29"/>
      <c r="PW1430" s="29"/>
      <c r="PX1430" s="29"/>
      <c r="PY1430" s="29"/>
      <c r="PZ1430" s="29"/>
      <c r="QA1430" s="29"/>
      <c r="QB1430" s="29"/>
      <c r="QC1430" s="29"/>
      <c r="QD1430" s="29"/>
      <c r="QE1430" s="29"/>
      <c r="QF1430" s="29"/>
      <c r="QG1430" s="29"/>
      <c r="QH1430" s="29"/>
      <c r="QI1430" s="29"/>
      <c r="QJ1430" s="29"/>
      <c r="QK1430" s="29"/>
      <c r="QL1430" s="29"/>
      <c r="QM1430" s="29"/>
      <c r="QN1430" s="29"/>
      <c r="QO1430" s="29"/>
      <c r="QP1430" s="29"/>
      <c r="QQ1430" s="29"/>
      <c r="QR1430" s="29"/>
      <c r="QS1430" s="29"/>
      <c r="QT1430" s="29"/>
      <c r="QU1430" s="29"/>
      <c r="QV1430" s="29"/>
      <c r="QW1430" s="29"/>
      <c r="QX1430" s="29"/>
      <c r="QY1430" s="29"/>
      <c r="QZ1430" s="29"/>
      <c r="RA1430" s="29"/>
      <c r="RB1430" s="29"/>
      <c r="RC1430" s="29"/>
      <c r="RD1430" s="29"/>
      <c r="RE1430" s="29"/>
      <c r="RF1430" s="29"/>
      <c r="RG1430" s="29"/>
      <c r="RH1430" s="29"/>
      <c r="RI1430" s="29"/>
      <c r="RJ1430" s="29"/>
      <c r="RK1430" s="29"/>
      <c r="RL1430" s="29"/>
      <c r="RM1430" s="29"/>
      <c r="RN1430" s="29"/>
      <c r="RO1430" s="29"/>
      <c r="RP1430" s="29"/>
      <c r="RQ1430" s="29"/>
      <c r="RR1430" s="29"/>
      <c r="RS1430" s="29"/>
      <c r="RT1430" s="29"/>
      <c r="RU1430" s="29"/>
      <c r="RV1430" s="29"/>
      <c r="RW1430" s="29"/>
      <c r="RX1430" s="29"/>
      <c r="RY1430" s="29"/>
      <c r="RZ1430" s="29"/>
      <c r="SA1430" s="29"/>
      <c r="SB1430" s="29"/>
      <c r="SC1430" s="29"/>
      <c r="SD1430" s="29"/>
      <c r="SE1430" s="29"/>
      <c r="SF1430" s="29"/>
      <c r="SG1430" s="29"/>
      <c r="SH1430" s="29"/>
      <c r="SI1430" s="29"/>
      <c r="SJ1430" s="29"/>
      <c r="SK1430" s="29"/>
      <c r="SL1430" s="29"/>
      <c r="SM1430" s="29"/>
      <c r="SN1430" s="29"/>
      <c r="SO1430" s="29"/>
      <c r="SP1430" s="29"/>
      <c r="SQ1430" s="29"/>
      <c r="SR1430" s="29"/>
      <c r="SS1430" s="29"/>
      <c r="ST1430" s="29"/>
      <c r="SU1430" s="29"/>
      <c r="SV1430" s="29"/>
      <c r="SW1430" s="29"/>
      <c r="SX1430" s="29"/>
      <c r="SY1430" s="29"/>
      <c r="SZ1430" s="29"/>
      <c r="TA1430" s="29"/>
      <c r="TB1430" s="29"/>
      <c r="TC1430" s="29"/>
      <c r="TD1430" s="29"/>
      <c r="TE1430" s="29"/>
      <c r="TF1430" s="29"/>
      <c r="TG1430" s="29"/>
      <c r="TH1430" s="29"/>
      <c r="TI1430" s="29"/>
      <c r="TJ1430" s="29"/>
      <c r="TK1430" s="29"/>
      <c r="TL1430" s="29"/>
      <c r="TM1430" s="29"/>
      <c r="TN1430" s="29"/>
      <c r="TO1430" s="29"/>
      <c r="TP1430" s="29"/>
      <c r="TQ1430" s="29"/>
      <c r="TR1430" s="29"/>
      <c r="TS1430" s="29"/>
      <c r="TT1430" s="29"/>
      <c r="TU1430" s="29"/>
      <c r="TV1430" s="29"/>
      <c r="TW1430" s="29"/>
      <c r="TX1430" s="29"/>
      <c r="TY1430" s="29"/>
      <c r="TZ1430" s="29"/>
      <c r="UA1430" s="29"/>
      <c r="UB1430" s="29"/>
      <c r="UC1430" s="29"/>
      <c r="UD1430" s="29"/>
      <c r="UE1430" s="29"/>
      <c r="UF1430" s="29"/>
      <c r="UG1430" s="29"/>
    </row>
    <row r="1431" spans="1:553" ht="327" customHeight="1">
      <c r="A1431" s="356"/>
      <c r="B1431" s="385"/>
      <c r="C1431" s="384" t="s">
        <v>23</v>
      </c>
      <c r="D1431" s="376" t="s">
        <v>70</v>
      </c>
      <c r="E1431" s="376" t="s">
        <v>325</v>
      </c>
      <c r="F1431" s="385"/>
      <c r="G1431" s="386" t="s">
        <v>935</v>
      </c>
      <c r="H1431" s="387">
        <v>396</v>
      </c>
      <c r="I1431" s="490">
        <v>396</v>
      </c>
      <c r="J1431" s="368">
        <v>62000</v>
      </c>
      <c r="K1431" s="371"/>
      <c r="L1431" s="487">
        <f t="shared" si="221"/>
        <v>24552000</v>
      </c>
      <c r="M1431" s="392"/>
      <c r="N1431" s="392"/>
      <c r="O1431" s="366"/>
      <c r="P1431" s="366"/>
      <c r="Q1431" s="761" t="s">
        <v>768</v>
      </c>
      <c r="R1431" s="1226"/>
      <c r="S1431" s="308"/>
      <c r="T1431" s="308"/>
      <c r="U1431" s="308"/>
      <c r="V1431" s="308"/>
      <c r="W1431" s="685">
        <f>I1431</f>
        <v>396</v>
      </c>
      <c r="X1431" s="308"/>
      <c r="Y1431" s="308"/>
      <c r="Z1431" s="604"/>
      <c r="AA1431" s="308"/>
      <c r="AB1431" s="308"/>
      <c r="AC1431" s="486"/>
      <c r="AD1431" s="486"/>
      <c r="AE1431" s="486"/>
      <c r="AF1431" s="486"/>
      <c r="AG1431" s="486"/>
      <c r="AH1431" s="486"/>
      <c r="AI1431" s="486"/>
      <c r="AJ1431" s="486"/>
      <c r="AK1431" s="486"/>
      <c r="AL1431" s="206"/>
      <c r="AM1431" s="29"/>
      <c r="AN1431" s="29"/>
      <c r="AO1431" s="29"/>
      <c r="AP1431" s="29"/>
      <c r="AQ1431" s="29"/>
      <c r="AR1431" s="29"/>
      <c r="AS1431" s="29"/>
      <c r="AT1431" s="29"/>
      <c r="AU1431" s="29"/>
      <c r="AV1431" s="29"/>
      <c r="AW1431" s="29"/>
      <c r="AX1431" s="29"/>
      <c r="AY1431" s="29"/>
      <c r="AZ1431" s="29"/>
      <c r="BA1431" s="29"/>
      <c r="BB1431" s="29"/>
      <c r="BC1431" s="29"/>
      <c r="BD1431" s="29"/>
      <c r="BE1431" s="29"/>
      <c r="BF1431" s="29"/>
      <c r="BG1431" s="29"/>
      <c r="BH1431" s="29"/>
      <c r="BI1431" s="29"/>
      <c r="BJ1431" s="29"/>
      <c r="BK1431" s="29"/>
      <c r="BL1431" s="29"/>
      <c r="BM1431" s="29"/>
      <c r="BN1431" s="29"/>
      <c r="BO1431" s="29"/>
      <c r="BP1431" s="29"/>
      <c r="BQ1431" s="29"/>
      <c r="BR1431" s="29"/>
      <c r="BS1431" s="29"/>
      <c r="BT1431" s="29"/>
      <c r="BU1431" s="29"/>
      <c r="BV1431" s="29"/>
      <c r="BW1431" s="29"/>
      <c r="BX1431" s="29"/>
      <c r="BY1431" s="29"/>
      <c r="BZ1431" s="29"/>
      <c r="CA1431" s="29"/>
      <c r="CB1431" s="29"/>
      <c r="CC1431" s="29"/>
      <c r="CD1431" s="29"/>
      <c r="CE1431" s="29"/>
      <c r="CF1431" s="29"/>
      <c r="CG1431" s="29"/>
      <c r="CH1431" s="29"/>
      <c r="CI1431" s="29"/>
      <c r="CJ1431" s="29"/>
      <c r="CK1431" s="29"/>
      <c r="CL1431" s="29"/>
      <c r="CM1431" s="29"/>
      <c r="CN1431" s="29"/>
      <c r="CO1431" s="29"/>
      <c r="CP1431" s="29"/>
      <c r="CQ1431" s="29"/>
      <c r="CR1431" s="29"/>
      <c r="CS1431" s="29"/>
      <c r="CT1431" s="29"/>
      <c r="CU1431" s="29"/>
      <c r="CV1431" s="29"/>
      <c r="CW1431" s="29"/>
      <c r="CX1431" s="29"/>
      <c r="CY1431" s="29"/>
      <c r="CZ1431" s="29"/>
      <c r="DA1431" s="29"/>
      <c r="DB1431" s="29"/>
      <c r="DC1431" s="29"/>
      <c r="DD1431" s="29"/>
      <c r="DE1431" s="29"/>
      <c r="DF1431" s="29"/>
      <c r="DG1431" s="29"/>
      <c r="DH1431" s="29"/>
      <c r="DI1431" s="29"/>
      <c r="DJ1431" s="29"/>
      <c r="DK1431" s="29"/>
      <c r="DL1431" s="29"/>
      <c r="DM1431" s="29"/>
      <c r="DN1431" s="29"/>
      <c r="DO1431" s="29"/>
      <c r="DP1431" s="29"/>
      <c r="DQ1431" s="29"/>
      <c r="DR1431" s="29"/>
      <c r="DS1431" s="29"/>
      <c r="DT1431" s="29"/>
      <c r="DU1431" s="29"/>
      <c r="DV1431" s="29"/>
      <c r="DW1431" s="29"/>
      <c r="DX1431" s="29"/>
      <c r="DY1431" s="29"/>
      <c r="DZ1431" s="29"/>
      <c r="EA1431" s="29"/>
      <c r="EB1431" s="29"/>
      <c r="EC1431" s="29"/>
      <c r="ED1431" s="29"/>
      <c r="EE1431" s="29"/>
      <c r="EF1431" s="29"/>
      <c r="EG1431" s="29"/>
      <c r="EH1431" s="29"/>
      <c r="EI1431" s="29"/>
      <c r="EJ1431" s="29"/>
      <c r="EK1431" s="29"/>
      <c r="EL1431" s="29"/>
      <c r="EM1431" s="29"/>
      <c r="EN1431" s="29"/>
      <c r="EO1431" s="29"/>
      <c r="EP1431" s="29"/>
      <c r="EQ1431" s="29"/>
      <c r="ER1431" s="29"/>
      <c r="ES1431" s="29"/>
      <c r="ET1431" s="29"/>
      <c r="EU1431" s="29"/>
      <c r="EV1431" s="29"/>
      <c r="EW1431" s="29"/>
      <c r="EX1431" s="29"/>
      <c r="EY1431" s="29"/>
      <c r="EZ1431" s="29"/>
      <c r="FA1431" s="29"/>
      <c r="FB1431" s="29"/>
      <c r="FC1431" s="29"/>
      <c r="FD1431" s="29"/>
      <c r="FE1431" s="29"/>
      <c r="FF1431" s="29"/>
      <c r="FG1431" s="29"/>
      <c r="FH1431" s="29"/>
      <c r="FI1431" s="29"/>
      <c r="FJ1431" s="29"/>
      <c r="FK1431" s="29"/>
      <c r="FL1431" s="29"/>
      <c r="FM1431" s="29"/>
      <c r="FN1431" s="29"/>
      <c r="FO1431" s="29"/>
      <c r="FP1431" s="29"/>
      <c r="FQ1431" s="29"/>
      <c r="FR1431" s="29"/>
      <c r="FS1431" s="29"/>
      <c r="FT1431" s="29"/>
      <c r="FU1431" s="29"/>
      <c r="FV1431" s="29"/>
      <c r="FW1431" s="29"/>
      <c r="FX1431" s="29"/>
      <c r="FY1431" s="29"/>
      <c r="FZ1431" s="29"/>
      <c r="GA1431" s="29"/>
      <c r="GB1431" s="29"/>
      <c r="GC1431" s="29"/>
      <c r="GD1431" s="29"/>
      <c r="GE1431" s="29"/>
      <c r="GF1431" s="29"/>
      <c r="GG1431" s="29"/>
      <c r="GH1431" s="29"/>
      <c r="GI1431" s="29"/>
      <c r="GJ1431" s="29"/>
      <c r="GK1431" s="29"/>
      <c r="GL1431" s="29"/>
      <c r="GM1431" s="29"/>
      <c r="GN1431" s="29"/>
      <c r="GO1431" s="29"/>
      <c r="GP1431" s="29"/>
      <c r="GQ1431" s="29"/>
      <c r="GR1431" s="29"/>
      <c r="GS1431" s="29"/>
      <c r="GT1431" s="29"/>
      <c r="GU1431" s="29"/>
      <c r="GV1431" s="29"/>
      <c r="GW1431" s="29"/>
      <c r="GX1431" s="29"/>
      <c r="GY1431" s="29"/>
      <c r="GZ1431" s="29"/>
      <c r="HA1431" s="29"/>
      <c r="HB1431" s="29"/>
      <c r="HC1431" s="29"/>
      <c r="HD1431" s="29"/>
      <c r="HE1431" s="29"/>
      <c r="HF1431" s="29"/>
      <c r="HG1431" s="29"/>
      <c r="HH1431" s="29"/>
      <c r="HI1431" s="29"/>
      <c r="HJ1431" s="29"/>
      <c r="HK1431" s="29"/>
      <c r="HL1431" s="29"/>
      <c r="HM1431" s="29"/>
      <c r="HN1431" s="29"/>
      <c r="HO1431" s="29"/>
      <c r="HP1431" s="29"/>
      <c r="HQ1431" s="29"/>
      <c r="HR1431" s="29"/>
      <c r="HS1431" s="29"/>
      <c r="HT1431" s="29"/>
      <c r="HU1431" s="29"/>
      <c r="HV1431" s="29"/>
      <c r="HW1431" s="29"/>
      <c r="HX1431" s="29"/>
      <c r="HY1431" s="29"/>
      <c r="HZ1431" s="29"/>
      <c r="IA1431" s="29"/>
      <c r="IB1431" s="29"/>
      <c r="IC1431" s="29"/>
      <c r="ID1431" s="29"/>
      <c r="IE1431" s="29"/>
      <c r="IF1431" s="29"/>
      <c r="IG1431" s="29"/>
      <c r="IH1431" s="29"/>
      <c r="II1431" s="29"/>
      <c r="IJ1431" s="29"/>
      <c r="IK1431" s="29"/>
      <c r="IL1431" s="29"/>
      <c r="IM1431" s="29"/>
      <c r="IN1431" s="29"/>
      <c r="IO1431" s="29"/>
      <c r="IP1431" s="29"/>
      <c r="IQ1431" s="29"/>
      <c r="IR1431" s="29"/>
      <c r="IS1431" s="29"/>
      <c r="IT1431" s="29"/>
      <c r="IU1431" s="29"/>
      <c r="IV1431" s="29"/>
      <c r="IW1431" s="29"/>
      <c r="IX1431" s="29"/>
      <c r="IY1431" s="29"/>
      <c r="IZ1431" s="29"/>
      <c r="JA1431" s="29"/>
      <c r="JB1431" s="29"/>
      <c r="JC1431" s="29"/>
      <c r="JD1431" s="29"/>
      <c r="JE1431" s="29"/>
      <c r="JF1431" s="29"/>
      <c r="JG1431" s="29"/>
      <c r="JH1431" s="29"/>
      <c r="JI1431" s="29"/>
      <c r="JJ1431" s="29"/>
      <c r="JK1431" s="29"/>
      <c r="JL1431" s="29"/>
      <c r="JM1431" s="29"/>
      <c r="JN1431" s="29"/>
      <c r="JO1431" s="29"/>
      <c r="JP1431" s="29"/>
      <c r="JQ1431" s="29"/>
      <c r="JR1431" s="29"/>
      <c r="JS1431" s="29"/>
      <c r="JT1431" s="29"/>
      <c r="JU1431" s="29"/>
      <c r="JV1431" s="29"/>
      <c r="JW1431" s="29"/>
      <c r="JX1431" s="29"/>
      <c r="JY1431" s="29"/>
      <c r="JZ1431" s="29"/>
      <c r="KA1431" s="29"/>
      <c r="KB1431" s="29"/>
      <c r="KC1431" s="29"/>
      <c r="KD1431" s="29"/>
      <c r="KE1431" s="29"/>
      <c r="KF1431" s="29"/>
      <c r="KG1431" s="29"/>
      <c r="KH1431" s="29"/>
      <c r="KI1431" s="29"/>
      <c r="KJ1431" s="29"/>
      <c r="KK1431" s="29"/>
      <c r="KL1431" s="29"/>
      <c r="KM1431" s="29"/>
      <c r="KN1431" s="29"/>
      <c r="KO1431" s="29"/>
      <c r="KP1431" s="29"/>
      <c r="KQ1431" s="29"/>
      <c r="KR1431" s="29"/>
      <c r="KS1431" s="29"/>
      <c r="KT1431" s="29"/>
      <c r="KU1431" s="29"/>
      <c r="KV1431" s="29"/>
      <c r="KW1431" s="29"/>
      <c r="KX1431" s="29"/>
      <c r="KY1431" s="29"/>
      <c r="KZ1431" s="29"/>
      <c r="LA1431" s="29"/>
      <c r="LB1431" s="29"/>
      <c r="LC1431" s="29"/>
      <c r="LD1431" s="29"/>
      <c r="LE1431" s="29"/>
      <c r="LF1431" s="29"/>
      <c r="LG1431" s="29"/>
      <c r="LH1431" s="29"/>
      <c r="LI1431" s="29"/>
      <c r="LJ1431" s="29"/>
      <c r="LK1431" s="29"/>
      <c r="LL1431" s="29"/>
      <c r="LM1431" s="29"/>
      <c r="LN1431" s="29"/>
      <c r="LO1431" s="29"/>
      <c r="LP1431" s="29"/>
      <c r="LQ1431" s="29"/>
      <c r="LR1431" s="29"/>
      <c r="LS1431" s="29"/>
      <c r="LT1431" s="29"/>
      <c r="LU1431" s="29"/>
      <c r="LV1431" s="29"/>
      <c r="LW1431" s="29"/>
      <c r="LX1431" s="29"/>
      <c r="LY1431" s="29"/>
      <c r="LZ1431" s="29"/>
      <c r="MA1431" s="29"/>
      <c r="MB1431" s="29"/>
      <c r="MC1431" s="29"/>
      <c r="MD1431" s="29"/>
      <c r="ME1431" s="29"/>
      <c r="MF1431" s="29"/>
      <c r="MG1431" s="29"/>
      <c r="MH1431" s="29"/>
      <c r="MI1431" s="29"/>
      <c r="MJ1431" s="29"/>
      <c r="MK1431" s="29"/>
      <c r="ML1431" s="29"/>
      <c r="MM1431" s="29"/>
      <c r="MN1431" s="29"/>
      <c r="MO1431" s="29"/>
      <c r="MP1431" s="29"/>
      <c r="MQ1431" s="29"/>
      <c r="MR1431" s="29"/>
      <c r="MS1431" s="29"/>
      <c r="MT1431" s="29"/>
      <c r="MU1431" s="29"/>
      <c r="MV1431" s="29"/>
      <c r="MW1431" s="29"/>
      <c r="MX1431" s="29"/>
      <c r="MY1431" s="29"/>
      <c r="MZ1431" s="29"/>
      <c r="NA1431" s="29"/>
      <c r="NB1431" s="29"/>
      <c r="NC1431" s="29"/>
      <c r="ND1431" s="29"/>
      <c r="NE1431" s="29"/>
      <c r="NF1431" s="29"/>
      <c r="NG1431" s="29"/>
      <c r="NH1431" s="29"/>
      <c r="NI1431" s="29"/>
      <c r="NJ1431" s="29"/>
      <c r="NK1431" s="29"/>
      <c r="NL1431" s="29"/>
      <c r="NM1431" s="29"/>
      <c r="NN1431" s="29"/>
      <c r="NO1431" s="29"/>
      <c r="NP1431" s="29"/>
      <c r="NQ1431" s="29"/>
      <c r="NR1431" s="29"/>
      <c r="NS1431" s="29"/>
      <c r="NT1431" s="29"/>
      <c r="NU1431" s="29"/>
      <c r="NV1431" s="29"/>
      <c r="NW1431" s="29"/>
      <c r="NX1431" s="29"/>
      <c r="NY1431" s="29"/>
      <c r="NZ1431" s="29"/>
      <c r="OA1431" s="29"/>
      <c r="OB1431" s="29"/>
      <c r="OC1431" s="29"/>
      <c r="OD1431" s="29"/>
      <c r="OE1431" s="29"/>
      <c r="OF1431" s="29"/>
      <c r="OG1431" s="29"/>
      <c r="OH1431" s="29"/>
      <c r="OI1431" s="29"/>
      <c r="OJ1431" s="29"/>
      <c r="OK1431" s="29"/>
      <c r="OL1431" s="29"/>
      <c r="OM1431" s="29"/>
      <c r="ON1431" s="29"/>
      <c r="OO1431" s="29"/>
      <c r="OP1431" s="29"/>
      <c r="OQ1431" s="29"/>
      <c r="OR1431" s="29"/>
      <c r="OS1431" s="29"/>
      <c r="OT1431" s="29"/>
      <c r="OU1431" s="29"/>
      <c r="OV1431" s="29"/>
      <c r="OW1431" s="29"/>
      <c r="OX1431" s="29"/>
      <c r="OY1431" s="29"/>
      <c r="OZ1431" s="29"/>
      <c r="PA1431" s="29"/>
      <c r="PB1431" s="29"/>
      <c r="PC1431" s="29"/>
      <c r="PD1431" s="29"/>
      <c r="PE1431" s="29"/>
      <c r="PF1431" s="29"/>
      <c r="PG1431" s="29"/>
      <c r="PH1431" s="29"/>
      <c r="PI1431" s="29"/>
      <c r="PJ1431" s="29"/>
      <c r="PK1431" s="29"/>
      <c r="PL1431" s="29"/>
      <c r="PM1431" s="29"/>
      <c r="PN1431" s="29"/>
      <c r="PO1431" s="29"/>
      <c r="PP1431" s="29"/>
      <c r="PQ1431" s="29"/>
      <c r="PR1431" s="29"/>
      <c r="PS1431" s="29"/>
      <c r="PT1431" s="29"/>
      <c r="PU1431" s="29"/>
      <c r="PV1431" s="29"/>
      <c r="PW1431" s="29"/>
      <c r="PX1431" s="29"/>
      <c r="PY1431" s="29"/>
      <c r="PZ1431" s="29"/>
      <c r="QA1431" s="29"/>
      <c r="QB1431" s="29"/>
      <c r="QC1431" s="29"/>
      <c r="QD1431" s="29"/>
      <c r="QE1431" s="29"/>
      <c r="QF1431" s="29"/>
      <c r="QG1431" s="29"/>
      <c r="QH1431" s="29"/>
      <c r="QI1431" s="29"/>
      <c r="QJ1431" s="29"/>
      <c r="QK1431" s="29"/>
      <c r="QL1431" s="29"/>
      <c r="QM1431" s="29"/>
      <c r="QN1431" s="29"/>
      <c r="QO1431" s="29"/>
      <c r="QP1431" s="29"/>
      <c r="QQ1431" s="29"/>
      <c r="QR1431" s="29"/>
      <c r="QS1431" s="29"/>
      <c r="QT1431" s="29"/>
      <c r="QU1431" s="29"/>
      <c r="QV1431" s="29"/>
      <c r="QW1431" s="29"/>
      <c r="QX1431" s="29"/>
      <c r="QY1431" s="29"/>
      <c r="QZ1431" s="29"/>
      <c r="RA1431" s="29"/>
      <c r="RB1431" s="29"/>
      <c r="RC1431" s="29"/>
      <c r="RD1431" s="29"/>
      <c r="RE1431" s="29"/>
      <c r="RF1431" s="29"/>
      <c r="RG1431" s="29"/>
      <c r="RH1431" s="29"/>
      <c r="RI1431" s="29"/>
      <c r="RJ1431" s="29"/>
      <c r="RK1431" s="29"/>
      <c r="RL1431" s="29"/>
      <c r="RM1431" s="29"/>
      <c r="RN1431" s="29"/>
      <c r="RO1431" s="29"/>
      <c r="RP1431" s="29"/>
      <c r="RQ1431" s="29"/>
      <c r="RR1431" s="29"/>
      <c r="RS1431" s="29"/>
      <c r="RT1431" s="29"/>
      <c r="RU1431" s="29"/>
      <c r="RV1431" s="29"/>
      <c r="RW1431" s="29"/>
      <c r="RX1431" s="29"/>
      <c r="RY1431" s="29"/>
      <c r="RZ1431" s="29"/>
      <c r="SA1431" s="29"/>
      <c r="SB1431" s="29"/>
      <c r="SC1431" s="29"/>
      <c r="SD1431" s="29"/>
      <c r="SE1431" s="29"/>
      <c r="SF1431" s="29"/>
      <c r="SG1431" s="29"/>
      <c r="SH1431" s="29"/>
      <c r="SI1431" s="29"/>
      <c r="SJ1431" s="29"/>
      <c r="SK1431" s="29"/>
      <c r="SL1431" s="29"/>
      <c r="SM1431" s="29"/>
      <c r="SN1431" s="29"/>
      <c r="SO1431" s="29"/>
      <c r="SP1431" s="29"/>
      <c r="SQ1431" s="29"/>
      <c r="SR1431" s="29"/>
      <c r="SS1431" s="29"/>
      <c r="ST1431" s="29"/>
      <c r="SU1431" s="29"/>
      <c r="SV1431" s="29"/>
      <c r="SW1431" s="29"/>
      <c r="SX1431" s="29"/>
      <c r="SY1431" s="29"/>
      <c r="SZ1431" s="29"/>
      <c r="TA1431" s="29"/>
      <c r="TB1431" s="29"/>
      <c r="TC1431" s="29"/>
      <c r="TD1431" s="29"/>
      <c r="TE1431" s="29"/>
      <c r="TF1431" s="29"/>
      <c r="TG1431" s="29"/>
      <c r="TH1431" s="29"/>
      <c r="TI1431" s="29"/>
      <c r="TJ1431" s="29"/>
      <c r="TK1431" s="29"/>
      <c r="TL1431" s="29"/>
      <c r="TM1431" s="29"/>
      <c r="TN1431" s="29"/>
      <c r="TO1431" s="29"/>
      <c r="TP1431" s="29"/>
      <c r="TQ1431" s="29"/>
      <c r="TR1431" s="29"/>
      <c r="TS1431" s="29"/>
      <c r="TT1431" s="29"/>
      <c r="TU1431" s="29"/>
      <c r="TV1431" s="29"/>
      <c r="TW1431" s="29"/>
      <c r="TX1431" s="29"/>
      <c r="TY1431" s="29"/>
      <c r="TZ1431" s="29"/>
      <c r="UA1431" s="29"/>
      <c r="UB1431" s="29"/>
      <c r="UC1431" s="29"/>
      <c r="UD1431" s="29"/>
      <c r="UE1431" s="29"/>
      <c r="UF1431" s="29"/>
      <c r="UG1431" s="29"/>
    </row>
    <row r="1432" spans="1:553" ht="334.5" customHeight="1">
      <c r="A1432" s="356"/>
      <c r="B1432" s="385"/>
      <c r="C1432" s="384" t="s">
        <v>23</v>
      </c>
      <c r="D1432" s="376" t="s">
        <v>70</v>
      </c>
      <c r="E1432" s="376" t="s">
        <v>769</v>
      </c>
      <c r="F1432" s="385"/>
      <c r="G1432" s="386" t="s">
        <v>935</v>
      </c>
      <c r="H1432" s="387">
        <v>323.2</v>
      </c>
      <c r="I1432" s="490">
        <v>323.2</v>
      </c>
      <c r="J1432" s="368">
        <v>62000</v>
      </c>
      <c r="K1432" s="371"/>
      <c r="L1432" s="487">
        <f t="shared" si="221"/>
        <v>20038400</v>
      </c>
      <c r="M1432" s="392"/>
      <c r="N1432" s="392"/>
      <c r="O1432" s="366"/>
      <c r="P1432" s="366"/>
      <c r="Q1432" s="761" t="s">
        <v>770</v>
      </c>
      <c r="R1432" s="1226"/>
      <c r="S1432" s="308"/>
      <c r="T1432" s="308"/>
      <c r="U1432" s="308"/>
      <c r="V1432" s="308"/>
      <c r="W1432" s="685">
        <f>I1432</f>
        <v>323.2</v>
      </c>
      <c r="X1432" s="308"/>
      <c r="Y1432" s="308"/>
      <c r="Z1432" s="604"/>
      <c r="AA1432" s="308"/>
      <c r="AB1432" s="308"/>
      <c r="AC1432" s="486"/>
      <c r="AD1432" s="486"/>
      <c r="AE1432" s="486"/>
      <c r="AF1432" s="486"/>
      <c r="AG1432" s="486"/>
      <c r="AH1432" s="486"/>
      <c r="AI1432" s="486"/>
      <c r="AJ1432" s="486"/>
      <c r="AK1432" s="486"/>
      <c r="AL1432" s="206"/>
      <c r="AM1432" s="28"/>
      <c r="AN1432" s="28"/>
      <c r="AO1432" s="28"/>
      <c r="AP1432" s="28"/>
      <c r="AQ1432" s="28"/>
      <c r="AR1432" s="28"/>
      <c r="AS1432" s="28"/>
      <c r="AT1432" s="28"/>
      <c r="AU1432" s="28"/>
      <c r="AV1432" s="28"/>
      <c r="AW1432" s="28"/>
      <c r="AX1432" s="28"/>
      <c r="AY1432" s="28"/>
      <c r="AZ1432" s="28"/>
      <c r="BA1432" s="28"/>
      <c r="BB1432" s="28"/>
      <c r="BC1432" s="28"/>
      <c r="BD1432" s="28"/>
      <c r="BE1432" s="28"/>
      <c r="BF1432" s="28"/>
      <c r="BG1432" s="28"/>
      <c r="BH1432" s="28"/>
      <c r="BI1432" s="28"/>
      <c r="BJ1432" s="28"/>
      <c r="BK1432" s="28"/>
      <c r="BL1432" s="28"/>
      <c r="BM1432" s="28"/>
      <c r="BN1432" s="28"/>
      <c r="BO1432" s="28"/>
      <c r="BP1432" s="28"/>
      <c r="BQ1432" s="28"/>
      <c r="BR1432" s="28"/>
      <c r="BS1432" s="28"/>
      <c r="BT1432" s="28"/>
      <c r="BU1432" s="28"/>
      <c r="BV1432" s="28"/>
      <c r="BW1432" s="28"/>
      <c r="BX1432" s="28"/>
      <c r="BY1432" s="28"/>
      <c r="BZ1432" s="28"/>
      <c r="CA1432" s="28"/>
      <c r="CB1432" s="28"/>
      <c r="CC1432" s="28"/>
      <c r="CD1432" s="28"/>
      <c r="CE1432" s="28"/>
      <c r="CF1432" s="28"/>
      <c r="CG1432" s="28"/>
      <c r="CH1432" s="28"/>
      <c r="CI1432" s="28"/>
      <c r="CJ1432" s="28"/>
      <c r="CK1432" s="28"/>
      <c r="CL1432" s="28"/>
      <c r="CM1432" s="28"/>
      <c r="CN1432" s="28"/>
      <c r="CO1432" s="28"/>
      <c r="CP1432" s="28"/>
      <c r="CQ1432" s="28"/>
      <c r="CR1432" s="28"/>
      <c r="CS1432" s="28"/>
      <c r="CT1432" s="28"/>
      <c r="CU1432" s="28"/>
      <c r="CV1432" s="28"/>
      <c r="CW1432" s="28"/>
      <c r="CX1432" s="28"/>
      <c r="CY1432" s="28"/>
      <c r="CZ1432" s="28"/>
      <c r="DA1432" s="28"/>
      <c r="DB1432" s="28"/>
      <c r="DC1432" s="28"/>
      <c r="DD1432" s="28"/>
      <c r="DE1432" s="28"/>
      <c r="DF1432" s="28"/>
      <c r="DG1432" s="28"/>
      <c r="DH1432" s="28"/>
      <c r="DI1432" s="28"/>
      <c r="DJ1432" s="28"/>
      <c r="DK1432" s="28"/>
      <c r="DL1432" s="28"/>
      <c r="DM1432" s="28"/>
      <c r="DN1432" s="28"/>
      <c r="DO1432" s="28"/>
      <c r="DP1432" s="28"/>
      <c r="DQ1432" s="28"/>
      <c r="DR1432" s="28"/>
      <c r="DS1432" s="28"/>
      <c r="DT1432" s="28"/>
      <c r="DU1432" s="28"/>
      <c r="DV1432" s="28"/>
      <c r="DW1432" s="28"/>
      <c r="DX1432" s="28"/>
      <c r="DY1432" s="28"/>
      <c r="DZ1432" s="28"/>
      <c r="EA1432" s="28"/>
      <c r="EB1432" s="28"/>
      <c r="EC1432" s="28"/>
      <c r="ED1432" s="28"/>
      <c r="EE1432" s="28"/>
      <c r="EF1432" s="28"/>
      <c r="EG1432" s="28"/>
      <c r="EH1432" s="28"/>
      <c r="EI1432" s="28"/>
      <c r="EJ1432" s="28"/>
      <c r="EK1432" s="28"/>
      <c r="EL1432" s="28"/>
      <c r="EM1432" s="28"/>
      <c r="EN1432" s="28"/>
      <c r="EO1432" s="28"/>
      <c r="EP1432" s="28"/>
      <c r="EQ1432" s="28"/>
      <c r="ER1432" s="28"/>
      <c r="ES1432" s="28"/>
      <c r="ET1432" s="28"/>
      <c r="EU1432" s="28"/>
      <c r="EV1432" s="28"/>
      <c r="EW1432" s="28"/>
      <c r="EX1432" s="28"/>
      <c r="EY1432" s="28"/>
      <c r="EZ1432" s="28"/>
      <c r="FA1432" s="28"/>
      <c r="FB1432" s="28"/>
      <c r="FC1432" s="28"/>
      <c r="FD1432" s="28"/>
      <c r="FE1432" s="28"/>
      <c r="FF1432" s="28"/>
      <c r="FG1432" s="28"/>
      <c r="FH1432" s="28"/>
      <c r="FI1432" s="28"/>
      <c r="FJ1432" s="28"/>
      <c r="FK1432" s="28"/>
      <c r="FL1432" s="28"/>
      <c r="FM1432" s="28"/>
      <c r="FN1432" s="28"/>
      <c r="FO1432" s="28"/>
      <c r="FP1432" s="28"/>
      <c r="FQ1432" s="28"/>
      <c r="FR1432" s="28"/>
      <c r="FS1432" s="28"/>
      <c r="FT1432" s="28"/>
      <c r="FU1432" s="28"/>
      <c r="FV1432" s="28"/>
      <c r="FW1432" s="28"/>
      <c r="FX1432" s="28"/>
      <c r="FY1432" s="28"/>
      <c r="FZ1432" s="28"/>
      <c r="GA1432" s="28"/>
      <c r="GB1432" s="28"/>
      <c r="GC1432" s="28"/>
      <c r="GD1432" s="28"/>
      <c r="GE1432" s="28"/>
      <c r="GF1432" s="28"/>
      <c r="GG1432" s="28"/>
      <c r="GH1432" s="28"/>
      <c r="GI1432" s="28"/>
      <c r="GJ1432" s="28"/>
      <c r="GK1432" s="28"/>
      <c r="GL1432" s="28"/>
      <c r="GM1432" s="28"/>
      <c r="GN1432" s="28"/>
      <c r="GO1432" s="28"/>
      <c r="GP1432" s="28"/>
      <c r="GQ1432" s="28"/>
      <c r="GR1432" s="28"/>
      <c r="GS1432" s="28"/>
      <c r="GT1432" s="28"/>
      <c r="GU1432" s="28"/>
      <c r="GV1432" s="28"/>
      <c r="GW1432" s="28"/>
      <c r="GX1432" s="28"/>
      <c r="GY1432" s="28"/>
      <c r="GZ1432" s="28"/>
      <c r="HA1432" s="28"/>
      <c r="HB1432" s="28"/>
      <c r="HC1432" s="28"/>
      <c r="HD1432" s="28"/>
      <c r="HE1432" s="28"/>
      <c r="HF1432" s="28"/>
      <c r="HG1432" s="28"/>
      <c r="HH1432" s="28"/>
      <c r="HI1432" s="28"/>
      <c r="HJ1432" s="28"/>
      <c r="HK1432" s="28"/>
      <c r="HL1432" s="28"/>
      <c r="HM1432" s="28"/>
      <c r="HN1432" s="28"/>
      <c r="HO1432" s="28"/>
      <c r="HP1432" s="28"/>
      <c r="HQ1432" s="28"/>
      <c r="HR1432" s="28"/>
      <c r="HS1432" s="28"/>
      <c r="HT1432" s="28"/>
      <c r="HU1432" s="28"/>
      <c r="HV1432" s="28"/>
      <c r="HW1432" s="28"/>
      <c r="HX1432" s="28"/>
      <c r="HY1432" s="28"/>
      <c r="HZ1432" s="28"/>
      <c r="IA1432" s="28"/>
      <c r="IB1432" s="28"/>
      <c r="IC1432" s="28"/>
      <c r="ID1432" s="28"/>
      <c r="IE1432" s="28"/>
      <c r="IF1432" s="28"/>
      <c r="IG1432" s="28"/>
      <c r="IH1432" s="28"/>
      <c r="II1432" s="28"/>
      <c r="IJ1432" s="28"/>
      <c r="IK1432" s="28"/>
      <c r="IL1432" s="28"/>
      <c r="IM1432" s="28"/>
      <c r="IN1432" s="28"/>
      <c r="IO1432" s="28"/>
      <c r="IP1432" s="28"/>
      <c r="IQ1432" s="28"/>
      <c r="IR1432" s="28"/>
      <c r="IS1432" s="28"/>
      <c r="IT1432" s="28"/>
      <c r="IU1432" s="28"/>
      <c r="IV1432" s="28"/>
      <c r="IW1432" s="28"/>
      <c r="IX1432" s="28"/>
      <c r="IY1432" s="28"/>
      <c r="IZ1432" s="28"/>
      <c r="JA1432" s="28"/>
      <c r="JB1432" s="28"/>
      <c r="JC1432" s="28"/>
      <c r="JD1432" s="28"/>
      <c r="JE1432" s="28"/>
      <c r="JF1432" s="28"/>
      <c r="JG1432" s="28"/>
      <c r="JH1432" s="28"/>
      <c r="JI1432" s="28"/>
      <c r="JJ1432" s="28"/>
      <c r="JK1432" s="28"/>
      <c r="JL1432" s="28"/>
      <c r="JM1432" s="28"/>
      <c r="JN1432" s="28"/>
      <c r="JO1432" s="28"/>
      <c r="JP1432" s="28"/>
      <c r="JQ1432" s="28"/>
      <c r="JR1432" s="28"/>
      <c r="JS1432" s="28"/>
      <c r="JT1432" s="28"/>
      <c r="JU1432" s="28"/>
      <c r="JV1432" s="28"/>
      <c r="JW1432" s="28"/>
      <c r="JX1432" s="28"/>
      <c r="JY1432" s="28"/>
      <c r="JZ1432" s="28"/>
      <c r="KA1432" s="28"/>
      <c r="KB1432" s="28"/>
      <c r="KC1432" s="28"/>
      <c r="KD1432" s="28"/>
      <c r="KE1432" s="28"/>
      <c r="KF1432" s="28"/>
      <c r="KG1432" s="28"/>
      <c r="KH1432" s="28"/>
      <c r="KI1432" s="28"/>
      <c r="KJ1432" s="28"/>
      <c r="KK1432" s="28"/>
      <c r="KL1432" s="28"/>
      <c r="KM1432" s="28"/>
      <c r="KN1432" s="28"/>
      <c r="KO1432" s="28"/>
      <c r="KP1432" s="28"/>
      <c r="KQ1432" s="28"/>
      <c r="KR1432" s="28"/>
      <c r="KS1432" s="28"/>
      <c r="KT1432" s="28"/>
      <c r="KU1432" s="28"/>
      <c r="KV1432" s="28"/>
      <c r="KW1432" s="28"/>
      <c r="KX1432" s="28"/>
      <c r="KY1432" s="28"/>
      <c r="KZ1432" s="28"/>
      <c r="LA1432" s="28"/>
      <c r="LB1432" s="28"/>
      <c r="LC1432" s="28"/>
      <c r="LD1432" s="28"/>
      <c r="LE1432" s="28"/>
      <c r="LF1432" s="28"/>
      <c r="LG1432" s="28"/>
      <c r="LH1432" s="28"/>
      <c r="LI1432" s="28"/>
      <c r="LJ1432" s="28"/>
      <c r="LK1432" s="28"/>
      <c r="LL1432" s="28"/>
      <c r="LM1432" s="28"/>
      <c r="LN1432" s="28"/>
      <c r="LO1432" s="28"/>
      <c r="LP1432" s="28"/>
      <c r="LQ1432" s="28"/>
      <c r="LR1432" s="28"/>
      <c r="LS1432" s="28"/>
      <c r="LT1432" s="28"/>
      <c r="LU1432" s="28"/>
      <c r="LV1432" s="28"/>
      <c r="LW1432" s="28"/>
      <c r="LX1432" s="28"/>
      <c r="LY1432" s="28"/>
      <c r="LZ1432" s="28"/>
      <c r="MA1432" s="28"/>
      <c r="MB1432" s="28"/>
      <c r="MC1432" s="28"/>
      <c r="MD1432" s="28"/>
      <c r="ME1432" s="28"/>
      <c r="MF1432" s="28"/>
      <c r="MG1432" s="28"/>
      <c r="MH1432" s="28"/>
      <c r="MI1432" s="28"/>
      <c r="MJ1432" s="28"/>
      <c r="MK1432" s="28"/>
      <c r="ML1432" s="28"/>
      <c r="MM1432" s="28"/>
      <c r="MN1432" s="28"/>
      <c r="MO1432" s="28"/>
      <c r="MP1432" s="28"/>
      <c r="MQ1432" s="28"/>
      <c r="MR1432" s="28"/>
      <c r="MS1432" s="28"/>
      <c r="MT1432" s="28"/>
      <c r="MU1432" s="28"/>
      <c r="MV1432" s="28"/>
      <c r="MW1432" s="28"/>
      <c r="MX1432" s="28"/>
      <c r="MY1432" s="28"/>
      <c r="MZ1432" s="28"/>
      <c r="NA1432" s="28"/>
      <c r="NB1432" s="28"/>
      <c r="NC1432" s="28"/>
      <c r="ND1432" s="28"/>
      <c r="NE1432" s="28"/>
      <c r="NF1432" s="28"/>
      <c r="NG1432" s="28"/>
      <c r="NH1432" s="28"/>
      <c r="NI1432" s="28"/>
      <c r="NJ1432" s="28"/>
      <c r="NK1432" s="28"/>
      <c r="NL1432" s="28"/>
      <c r="NM1432" s="28"/>
      <c r="NN1432" s="28"/>
      <c r="NO1432" s="28"/>
      <c r="NP1432" s="28"/>
      <c r="NQ1432" s="28"/>
      <c r="NR1432" s="28"/>
      <c r="NS1432" s="28"/>
      <c r="NT1432" s="28"/>
      <c r="NU1432" s="28"/>
      <c r="NV1432" s="28"/>
      <c r="NW1432" s="28"/>
      <c r="NX1432" s="28"/>
      <c r="NY1432" s="28"/>
      <c r="NZ1432" s="28"/>
      <c r="OA1432" s="28"/>
      <c r="OB1432" s="28"/>
      <c r="OC1432" s="28"/>
      <c r="OD1432" s="28"/>
      <c r="OE1432" s="28"/>
      <c r="OF1432" s="28"/>
      <c r="OG1432" s="28"/>
      <c r="OH1432" s="28"/>
      <c r="OI1432" s="28"/>
      <c r="OJ1432" s="28"/>
      <c r="OK1432" s="28"/>
      <c r="OL1432" s="28"/>
      <c r="OM1432" s="28"/>
      <c r="ON1432" s="28"/>
      <c r="OO1432" s="28"/>
      <c r="OP1432" s="28"/>
      <c r="OQ1432" s="28"/>
      <c r="OR1432" s="28"/>
      <c r="OS1432" s="28"/>
      <c r="OT1432" s="28"/>
      <c r="OU1432" s="28"/>
      <c r="OV1432" s="28"/>
      <c r="OW1432" s="28"/>
      <c r="OX1432" s="28"/>
      <c r="OY1432" s="28"/>
      <c r="OZ1432" s="28"/>
      <c r="PA1432" s="28"/>
      <c r="PB1432" s="28"/>
      <c r="PC1432" s="28"/>
      <c r="PD1432" s="28"/>
      <c r="PE1432" s="28"/>
      <c r="PF1432" s="28"/>
      <c r="PG1432" s="28"/>
      <c r="PH1432" s="28"/>
      <c r="PI1432" s="28"/>
      <c r="PJ1432" s="28"/>
      <c r="PK1432" s="28"/>
      <c r="PL1432" s="28"/>
      <c r="PM1432" s="28"/>
      <c r="PN1432" s="28"/>
      <c r="PO1432" s="28"/>
      <c r="PP1432" s="28"/>
      <c r="PQ1432" s="28"/>
      <c r="PR1432" s="28"/>
      <c r="PS1432" s="28"/>
      <c r="PT1432" s="28"/>
      <c r="PU1432" s="28"/>
      <c r="PV1432" s="28"/>
      <c r="PW1432" s="28"/>
      <c r="PX1432" s="28"/>
      <c r="PY1432" s="28"/>
      <c r="PZ1432" s="28"/>
      <c r="QA1432" s="28"/>
      <c r="QB1432" s="28"/>
      <c r="QC1432" s="28"/>
      <c r="QD1432" s="28"/>
      <c r="QE1432" s="28"/>
      <c r="QF1432" s="28"/>
      <c r="QG1432" s="28"/>
      <c r="QH1432" s="28"/>
      <c r="QI1432" s="28"/>
      <c r="QJ1432" s="28"/>
      <c r="QK1432" s="28"/>
      <c r="QL1432" s="28"/>
      <c r="QM1432" s="28"/>
      <c r="QN1432" s="28"/>
      <c r="QO1432" s="28"/>
      <c r="QP1432" s="28"/>
      <c r="QQ1432" s="28"/>
      <c r="QR1432" s="28"/>
      <c r="QS1432" s="28"/>
      <c r="QT1432" s="28"/>
      <c r="QU1432" s="28"/>
      <c r="QV1432" s="28"/>
      <c r="QW1432" s="28"/>
      <c r="QX1432" s="28"/>
      <c r="QY1432" s="28"/>
      <c r="QZ1432" s="28"/>
      <c r="RA1432" s="28"/>
      <c r="RB1432" s="28"/>
      <c r="RC1432" s="28"/>
      <c r="RD1432" s="28"/>
      <c r="RE1432" s="28"/>
      <c r="RF1432" s="28"/>
      <c r="RG1432" s="28"/>
      <c r="RH1432" s="28"/>
      <c r="RI1432" s="28"/>
      <c r="RJ1432" s="28"/>
      <c r="RK1432" s="28"/>
      <c r="RL1432" s="28"/>
      <c r="RM1432" s="28"/>
      <c r="RN1432" s="28"/>
      <c r="RO1432" s="28"/>
      <c r="RP1432" s="28"/>
      <c r="RQ1432" s="28"/>
      <c r="RR1432" s="28"/>
      <c r="RS1432" s="28"/>
      <c r="RT1432" s="28"/>
      <c r="RU1432" s="28"/>
      <c r="RV1432" s="28"/>
      <c r="RW1432" s="28"/>
      <c r="RX1432" s="28"/>
      <c r="RY1432" s="28"/>
      <c r="RZ1432" s="28"/>
      <c r="SA1432" s="28"/>
      <c r="SB1432" s="28"/>
      <c r="SC1432" s="28"/>
      <c r="SD1432" s="28"/>
      <c r="SE1432" s="28"/>
      <c r="SF1432" s="28"/>
      <c r="SG1432" s="28"/>
      <c r="SH1432" s="28"/>
      <c r="SI1432" s="28"/>
      <c r="SJ1432" s="28"/>
      <c r="SK1432" s="28"/>
      <c r="SL1432" s="28"/>
      <c r="SM1432" s="28"/>
      <c r="SN1432" s="28"/>
      <c r="SO1432" s="28"/>
      <c r="SP1432" s="28"/>
      <c r="SQ1432" s="28"/>
      <c r="SR1432" s="28"/>
      <c r="SS1432" s="28"/>
      <c r="ST1432" s="28"/>
      <c r="SU1432" s="28"/>
      <c r="SV1432" s="28"/>
      <c r="SW1432" s="28"/>
      <c r="SX1432" s="28"/>
      <c r="SY1432" s="28"/>
      <c r="SZ1432" s="28"/>
      <c r="TA1432" s="28"/>
      <c r="TB1432" s="28"/>
      <c r="TC1432" s="28"/>
      <c r="TD1432" s="28"/>
      <c r="TE1432" s="28"/>
      <c r="TF1432" s="28"/>
      <c r="TG1432" s="28"/>
      <c r="TH1432" s="28"/>
      <c r="TI1432" s="28"/>
      <c r="TJ1432" s="28"/>
      <c r="TK1432" s="28"/>
      <c r="TL1432" s="28"/>
      <c r="TM1432" s="28"/>
      <c r="TN1432" s="28"/>
      <c r="TO1432" s="28"/>
      <c r="TP1432" s="28"/>
      <c r="TQ1432" s="28"/>
      <c r="TR1432" s="28"/>
      <c r="TS1432" s="28"/>
      <c r="TT1432" s="28"/>
      <c r="TU1432" s="28"/>
      <c r="TV1432" s="28"/>
      <c r="TW1432" s="28"/>
      <c r="TX1432" s="28"/>
      <c r="TY1432" s="28"/>
      <c r="TZ1432" s="28"/>
      <c r="UA1432" s="28"/>
      <c r="UB1432" s="28"/>
      <c r="UC1432" s="28"/>
      <c r="UD1432" s="28"/>
      <c r="UE1432" s="28"/>
      <c r="UF1432" s="28"/>
      <c r="UG1432" s="29"/>
    </row>
    <row r="1433" spans="1:553" ht="199.5" customHeight="1">
      <c r="A1433" s="356" t="s">
        <v>15</v>
      </c>
      <c r="B1433" s="356"/>
      <c r="C1433" s="384" t="s">
        <v>26</v>
      </c>
      <c r="D1433" s="376" t="s">
        <v>70</v>
      </c>
      <c r="E1433" s="376" t="s">
        <v>771</v>
      </c>
      <c r="F1433" s="385"/>
      <c r="G1433" s="386" t="s">
        <v>935</v>
      </c>
      <c r="H1433" s="387">
        <v>46.6</v>
      </c>
      <c r="I1433" s="490">
        <v>38.700000000000003</v>
      </c>
      <c r="J1433" s="1061">
        <v>40000</v>
      </c>
      <c r="K1433" s="388"/>
      <c r="L1433" s="487">
        <f t="shared" si="221"/>
        <v>1548000</v>
      </c>
      <c r="M1433" s="366"/>
      <c r="N1433" s="366"/>
      <c r="O1433" s="366"/>
      <c r="P1433" s="366"/>
      <c r="Q1433" s="1213" t="s">
        <v>772</v>
      </c>
      <c r="R1433" s="1230" t="s">
        <v>71</v>
      </c>
      <c r="S1433" s="308"/>
      <c r="T1433" s="308"/>
      <c r="U1433" s="308"/>
      <c r="V1433" s="308"/>
      <c r="W1433" s="308"/>
      <c r="X1433" s="308"/>
      <c r="Y1433" s="685">
        <f>I1433</f>
        <v>38.700000000000003</v>
      </c>
      <c r="Z1433" s="604"/>
      <c r="AA1433" s="308"/>
      <c r="AB1433" s="308"/>
      <c r="AC1433" s="486"/>
      <c r="AD1433" s="486"/>
      <c r="AE1433" s="486"/>
      <c r="AF1433" s="486"/>
      <c r="AG1433" s="486"/>
      <c r="AH1433" s="486"/>
      <c r="AI1433" s="486"/>
      <c r="AJ1433" s="486"/>
      <c r="AK1433" s="486"/>
      <c r="AL1433" s="206"/>
      <c r="AM1433" s="29"/>
      <c r="AN1433" s="29"/>
      <c r="AO1433" s="29"/>
      <c r="AP1433" s="29"/>
      <c r="AQ1433" s="29"/>
      <c r="AR1433" s="29"/>
      <c r="AS1433" s="29"/>
      <c r="AT1433" s="29"/>
      <c r="AU1433" s="29"/>
      <c r="AV1433" s="29"/>
      <c r="AW1433" s="29"/>
      <c r="AX1433" s="29"/>
      <c r="AY1433" s="29"/>
      <c r="AZ1433" s="29"/>
      <c r="BA1433" s="29"/>
      <c r="BB1433" s="29"/>
      <c r="BC1433" s="29"/>
      <c r="BD1433" s="29"/>
      <c r="BE1433" s="29"/>
      <c r="BF1433" s="29"/>
      <c r="BG1433" s="29"/>
      <c r="BH1433" s="29"/>
      <c r="BI1433" s="29"/>
      <c r="BJ1433" s="29"/>
      <c r="BK1433" s="29"/>
      <c r="BL1433" s="29"/>
      <c r="BM1433" s="29"/>
      <c r="BN1433" s="29"/>
      <c r="BO1433" s="29"/>
      <c r="BP1433" s="29"/>
      <c r="BQ1433" s="29"/>
      <c r="BR1433" s="29"/>
      <c r="BS1433" s="29"/>
      <c r="BT1433" s="29"/>
      <c r="BU1433" s="29"/>
      <c r="BV1433" s="29"/>
      <c r="BW1433" s="29"/>
      <c r="BX1433" s="29"/>
      <c r="BY1433" s="29"/>
      <c r="BZ1433" s="29"/>
      <c r="CA1433" s="29"/>
      <c r="CB1433" s="29"/>
      <c r="CC1433" s="29"/>
      <c r="CD1433" s="29"/>
      <c r="CE1433" s="29"/>
      <c r="CF1433" s="29"/>
      <c r="CG1433" s="29"/>
      <c r="CH1433" s="29"/>
      <c r="CI1433" s="29"/>
      <c r="CJ1433" s="29"/>
      <c r="CK1433" s="29"/>
      <c r="CL1433" s="29"/>
      <c r="CM1433" s="29"/>
      <c r="CN1433" s="29"/>
      <c r="CO1433" s="29"/>
      <c r="CP1433" s="29"/>
      <c r="CQ1433" s="29"/>
      <c r="CR1433" s="29"/>
      <c r="CS1433" s="29"/>
      <c r="CT1433" s="29"/>
      <c r="CU1433" s="29"/>
      <c r="CV1433" s="29"/>
      <c r="CW1433" s="29"/>
      <c r="CX1433" s="29"/>
      <c r="CY1433" s="29"/>
      <c r="CZ1433" s="29"/>
      <c r="DA1433" s="29"/>
      <c r="DB1433" s="29"/>
      <c r="DC1433" s="29"/>
      <c r="DD1433" s="29"/>
      <c r="DE1433" s="29"/>
      <c r="DF1433" s="29"/>
      <c r="DG1433" s="29"/>
      <c r="DH1433" s="29"/>
      <c r="DI1433" s="29"/>
      <c r="DJ1433" s="29"/>
      <c r="DK1433" s="29"/>
      <c r="DL1433" s="29"/>
      <c r="DM1433" s="29"/>
      <c r="DN1433" s="29"/>
      <c r="DO1433" s="29"/>
      <c r="DP1433" s="29"/>
      <c r="DQ1433" s="29"/>
      <c r="DR1433" s="29"/>
      <c r="DS1433" s="29"/>
      <c r="DT1433" s="29"/>
      <c r="DU1433" s="29"/>
      <c r="DV1433" s="29"/>
      <c r="DW1433" s="29"/>
      <c r="DX1433" s="29"/>
      <c r="DY1433" s="29"/>
      <c r="DZ1433" s="29"/>
      <c r="EA1433" s="29"/>
      <c r="EB1433" s="29"/>
      <c r="EC1433" s="29"/>
      <c r="ED1433" s="29"/>
      <c r="EE1433" s="29"/>
      <c r="EF1433" s="29"/>
      <c r="EG1433" s="29"/>
      <c r="EH1433" s="29"/>
      <c r="EI1433" s="29"/>
      <c r="EJ1433" s="29"/>
      <c r="EK1433" s="29"/>
      <c r="EL1433" s="29"/>
      <c r="EM1433" s="29"/>
      <c r="EN1433" s="29"/>
      <c r="EO1433" s="29"/>
      <c r="EP1433" s="29"/>
      <c r="EQ1433" s="29"/>
      <c r="ER1433" s="29"/>
      <c r="ES1433" s="29"/>
      <c r="ET1433" s="29"/>
      <c r="EU1433" s="29"/>
      <c r="EV1433" s="29"/>
      <c r="EW1433" s="29"/>
      <c r="EX1433" s="29"/>
      <c r="EY1433" s="29"/>
      <c r="EZ1433" s="29"/>
      <c r="FA1433" s="29"/>
      <c r="FB1433" s="29"/>
      <c r="FC1433" s="29"/>
      <c r="FD1433" s="29"/>
      <c r="FE1433" s="29"/>
      <c r="FF1433" s="29"/>
      <c r="FG1433" s="29"/>
      <c r="FH1433" s="29"/>
      <c r="FI1433" s="29"/>
      <c r="FJ1433" s="29"/>
      <c r="FK1433" s="29"/>
      <c r="FL1433" s="29"/>
      <c r="FM1433" s="29"/>
      <c r="FN1433" s="29"/>
      <c r="FO1433" s="29"/>
      <c r="FP1433" s="29"/>
      <c r="FQ1433" s="29"/>
      <c r="FR1433" s="29"/>
      <c r="FS1433" s="29"/>
      <c r="FT1433" s="29"/>
      <c r="FU1433" s="29"/>
      <c r="FV1433" s="29"/>
      <c r="FW1433" s="29"/>
      <c r="FX1433" s="29"/>
      <c r="FY1433" s="29"/>
      <c r="FZ1433" s="29"/>
      <c r="GA1433" s="29"/>
      <c r="GB1433" s="29"/>
      <c r="GC1433" s="29"/>
      <c r="GD1433" s="29"/>
      <c r="GE1433" s="29"/>
      <c r="GF1433" s="29"/>
      <c r="GG1433" s="29"/>
      <c r="GH1433" s="29"/>
      <c r="GI1433" s="29"/>
      <c r="GJ1433" s="29"/>
      <c r="GK1433" s="29"/>
      <c r="GL1433" s="29"/>
      <c r="GM1433" s="29"/>
      <c r="GN1433" s="29"/>
      <c r="GO1433" s="29"/>
      <c r="GP1433" s="29"/>
      <c r="GQ1433" s="29"/>
      <c r="GR1433" s="29"/>
      <c r="GS1433" s="29"/>
      <c r="GT1433" s="29"/>
      <c r="GU1433" s="29"/>
      <c r="GV1433" s="29"/>
      <c r="GW1433" s="29"/>
      <c r="GX1433" s="29"/>
      <c r="GY1433" s="29"/>
      <c r="GZ1433" s="29"/>
      <c r="HA1433" s="29"/>
      <c r="HB1433" s="29"/>
      <c r="HC1433" s="29"/>
      <c r="HD1433" s="29"/>
      <c r="HE1433" s="29"/>
      <c r="HF1433" s="29"/>
      <c r="HG1433" s="29"/>
      <c r="HH1433" s="29"/>
      <c r="HI1433" s="29"/>
      <c r="HJ1433" s="29"/>
      <c r="HK1433" s="29"/>
      <c r="HL1433" s="29"/>
      <c r="HM1433" s="29"/>
      <c r="HN1433" s="29"/>
      <c r="HO1433" s="29"/>
      <c r="HP1433" s="29"/>
      <c r="HQ1433" s="29"/>
      <c r="HR1433" s="29"/>
      <c r="HS1433" s="29"/>
      <c r="HT1433" s="29"/>
      <c r="HU1433" s="29"/>
      <c r="HV1433" s="29"/>
      <c r="HW1433" s="29"/>
      <c r="HX1433" s="29"/>
      <c r="HY1433" s="29"/>
      <c r="HZ1433" s="29"/>
      <c r="IA1433" s="29"/>
      <c r="IB1433" s="29"/>
      <c r="IC1433" s="29"/>
      <c r="ID1433" s="29"/>
      <c r="IE1433" s="29"/>
      <c r="IF1433" s="29"/>
      <c r="IG1433" s="29"/>
      <c r="IH1433" s="29"/>
      <c r="II1433" s="29"/>
      <c r="IJ1433" s="29"/>
      <c r="IK1433" s="29"/>
      <c r="IL1433" s="29"/>
      <c r="IM1433" s="29"/>
      <c r="IN1433" s="29"/>
      <c r="IO1433" s="29"/>
      <c r="IP1433" s="29"/>
      <c r="IQ1433" s="29"/>
      <c r="IR1433" s="29"/>
      <c r="IS1433" s="29"/>
      <c r="IT1433" s="29"/>
      <c r="IU1433" s="29"/>
      <c r="IV1433" s="29"/>
      <c r="IW1433" s="29"/>
      <c r="IX1433" s="29"/>
      <c r="IY1433" s="29"/>
      <c r="IZ1433" s="29"/>
      <c r="JA1433" s="29"/>
      <c r="JB1433" s="29"/>
      <c r="JC1433" s="29"/>
      <c r="JD1433" s="29"/>
      <c r="JE1433" s="29"/>
      <c r="JF1433" s="29"/>
      <c r="JG1433" s="29"/>
      <c r="JH1433" s="29"/>
      <c r="JI1433" s="29"/>
      <c r="JJ1433" s="29"/>
      <c r="JK1433" s="29"/>
      <c r="JL1433" s="29"/>
      <c r="JM1433" s="29"/>
      <c r="JN1433" s="29"/>
      <c r="JO1433" s="29"/>
      <c r="JP1433" s="29"/>
      <c r="JQ1433" s="29"/>
      <c r="JR1433" s="29"/>
      <c r="JS1433" s="29"/>
      <c r="JT1433" s="29"/>
      <c r="JU1433" s="29"/>
      <c r="JV1433" s="29"/>
      <c r="JW1433" s="29"/>
      <c r="JX1433" s="29"/>
      <c r="JY1433" s="29"/>
      <c r="JZ1433" s="29"/>
      <c r="KA1433" s="29"/>
      <c r="KB1433" s="29"/>
      <c r="KC1433" s="29"/>
      <c r="KD1433" s="29"/>
      <c r="KE1433" s="29"/>
      <c r="KF1433" s="29"/>
      <c r="KG1433" s="29"/>
      <c r="KH1433" s="29"/>
      <c r="KI1433" s="29"/>
      <c r="KJ1433" s="29"/>
      <c r="KK1433" s="29"/>
      <c r="KL1433" s="29"/>
      <c r="KM1433" s="29"/>
      <c r="KN1433" s="29"/>
      <c r="KO1433" s="29"/>
      <c r="KP1433" s="29"/>
      <c r="KQ1433" s="29"/>
      <c r="KR1433" s="29"/>
      <c r="KS1433" s="29"/>
      <c r="KT1433" s="29"/>
      <c r="KU1433" s="29"/>
      <c r="KV1433" s="29"/>
      <c r="KW1433" s="29"/>
      <c r="KX1433" s="29"/>
      <c r="KY1433" s="29"/>
      <c r="KZ1433" s="29"/>
      <c r="LA1433" s="29"/>
      <c r="LB1433" s="29"/>
      <c r="LC1433" s="29"/>
      <c r="LD1433" s="29"/>
      <c r="LE1433" s="29"/>
      <c r="LF1433" s="29"/>
      <c r="LG1433" s="29"/>
      <c r="LH1433" s="29"/>
      <c r="LI1433" s="29"/>
      <c r="LJ1433" s="29"/>
      <c r="LK1433" s="29"/>
      <c r="LL1433" s="29"/>
      <c r="LM1433" s="29"/>
      <c r="LN1433" s="29"/>
      <c r="LO1433" s="29"/>
      <c r="LP1433" s="29"/>
      <c r="LQ1433" s="29"/>
      <c r="LR1433" s="29"/>
      <c r="LS1433" s="29"/>
      <c r="LT1433" s="29"/>
      <c r="LU1433" s="29"/>
      <c r="LV1433" s="29"/>
      <c r="LW1433" s="29"/>
      <c r="LX1433" s="29"/>
      <c r="LY1433" s="29"/>
      <c r="LZ1433" s="29"/>
      <c r="MA1433" s="29"/>
      <c r="MB1433" s="29"/>
      <c r="MC1433" s="29"/>
      <c r="MD1433" s="29"/>
      <c r="ME1433" s="29"/>
      <c r="MF1433" s="29"/>
      <c r="MG1433" s="29"/>
      <c r="MH1433" s="29"/>
      <c r="MI1433" s="29"/>
      <c r="MJ1433" s="29"/>
      <c r="MK1433" s="29"/>
      <c r="ML1433" s="29"/>
      <c r="MM1433" s="29"/>
      <c r="MN1433" s="29"/>
      <c r="MO1433" s="29"/>
      <c r="MP1433" s="29"/>
      <c r="MQ1433" s="29"/>
      <c r="MR1433" s="29"/>
      <c r="MS1433" s="29"/>
      <c r="MT1433" s="29"/>
      <c r="MU1433" s="29"/>
      <c r="MV1433" s="29"/>
      <c r="MW1433" s="29"/>
      <c r="MX1433" s="29"/>
      <c r="MY1433" s="29"/>
      <c r="MZ1433" s="29"/>
      <c r="NA1433" s="29"/>
      <c r="NB1433" s="29"/>
      <c r="NC1433" s="29"/>
      <c r="ND1433" s="29"/>
      <c r="NE1433" s="29"/>
      <c r="NF1433" s="29"/>
      <c r="NG1433" s="29"/>
      <c r="NH1433" s="29"/>
      <c r="NI1433" s="29"/>
      <c r="NJ1433" s="29"/>
      <c r="NK1433" s="29"/>
      <c r="NL1433" s="29"/>
      <c r="NM1433" s="29"/>
      <c r="NN1433" s="29"/>
      <c r="NO1433" s="29"/>
      <c r="NP1433" s="29"/>
      <c r="NQ1433" s="29"/>
      <c r="NR1433" s="29"/>
      <c r="NS1433" s="29"/>
      <c r="NT1433" s="29"/>
      <c r="NU1433" s="29"/>
      <c r="NV1433" s="29"/>
      <c r="NW1433" s="29"/>
      <c r="NX1433" s="29"/>
      <c r="NY1433" s="29"/>
      <c r="NZ1433" s="29"/>
      <c r="OA1433" s="29"/>
      <c r="OB1433" s="29"/>
      <c r="OC1433" s="29"/>
      <c r="OD1433" s="29"/>
      <c r="OE1433" s="29"/>
      <c r="OF1433" s="29"/>
      <c r="OG1433" s="29"/>
      <c r="OH1433" s="29"/>
      <c r="OI1433" s="29"/>
      <c r="OJ1433" s="29"/>
      <c r="OK1433" s="29"/>
      <c r="OL1433" s="29"/>
      <c r="OM1433" s="29"/>
      <c r="ON1433" s="29"/>
      <c r="OO1433" s="29"/>
      <c r="OP1433" s="29"/>
      <c r="OQ1433" s="29"/>
      <c r="OR1433" s="29"/>
      <c r="OS1433" s="29"/>
      <c r="OT1433" s="29"/>
      <c r="OU1433" s="29"/>
      <c r="OV1433" s="29"/>
      <c r="OW1433" s="29"/>
      <c r="OX1433" s="29"/>
      <c r="OY1433" s="29"/>
      <c r="OZ1433" s="29"/>
      <c r="PA1433" s="29"/>
      <c r="PB1433" s="29"/>
      <c r="PC1433" s="29"/>
      <c r="PD1433" s="29"/>
      <c r="PE1433" s="29"/>
      <c r="PF1433" s="29"/>
      <c r="PG1433" s="29"/>
      <c r="PH1433" s="29"/>
      <c r="PI1433" s="29"/>
      <c r="PJ1433" s="29"/>
      <c r="PK1433" s="29"/>
      <c r="PL1433" s="29"/>
      <c r="PM1433" s="29"/>
      <c r="PN1433" s="29"/>
      <c r="PO1433" s="29"/>
      <c r="PP1433" s="29"/>
      <c r="PQ1433" s="29"/>
      <c r="PR1433" s="29"/>
      <c r="PS1433" s="29"/>
      <c r="PT1433" s="29"/>
      <c r="PU1433" s="29"/>
      <c r="PV1433" s="29"/>
      <c r="PW1433" s="29"/>
      <c r="PX1433" s="29"/>
      <c r="PY1433" s="29"/>
      <c r="PZ1433" s="29"/>
      <c r="QA1433" s="29"/>
      <c r="QB1433" s="29"/>
      <c r="QC1433" s="29"/>
      <c r="QD1433" s="29"/>
      <c r="QE1433" s="29"/>
      <c r="QF1433" s="29"/>
      <c r="QG1433" s="29"/>
      <c r="QH1433" s="29"/>
      <c r="QI1433" s="29"/>
      <c r="QJ1433" s="29"/>
      <c r="QK1433" s="29"/>
      <c r="QL1433" s="29"/>
      <c r="QM1433" s="29"/>
      <c r="QN1433" s="29"/>
      <c r="QO1433" s="29"/>
      <c r="QP1433" s="29"/>
      <c r="QQ1433" s="29"/>
      <c r="QR1433" s="29"/>
      <c r="QS1433" s="29"/>
      <c r="QT1433" s="29"/>
      <c r="QU1433" s="29"/>
      <c r="QV1433" s="29"/>
      <c r="QW1433" s="29"/>
      <c r="QX1433" s="29"/>
      <c r="QY1433" s="29"/>
      <c r="QZ1433" s="29"/>
      <c r="RA1433" s="29"/>
      <c r="RB1433" s="29"/>
      <c r="RC1433" s="29"/>
      <c r="RD1433" s="29"/>
      <c r="RE1433" s="29"/>
      <c r="RF1433" s="29"/>
      <c r="RG1433" s="29"/>
      <c r="RH1433" s="29"/>
      <c r="RI1433" s="29"/>
      <c r="RJ1433" s="29"/>
      <c r="RK1433" s="29"/>
      <c r="RL1433" s="29"/>
      <c r="RM1433" s="29"/>
      <c r="RN1433" s="29"/>
      <c r="RO1433" s="29"/>
      <c r="RP1433" s="29"/>
      <c r="RQ1433" s="29"/>
      <c r="RR1433" s="29"/>
      <c r="RS1433" s="29"/>
      <c r="RT1433" s="29"/>
      <c r="RU1433" s="29"/>
      <c r="RV1433" s="29"/>
      <c r="RW1433" s="29"/>
      <c r="RX1433" s="29"/>
      <c r="RY1433" s="29"/>
      <c r="RZ1433" s="29"/>
      <c r="SA1433" s="29"/>
      <c r="SB1433" s="29"/>
      <c r="SC1433" s="29"/>
      <c r="SD1433" s="29"/>
      <c r="SE1433" s="29"/>
      <c r="SF1433" s="29"/>
      <c r="SG1433" s="29"/>
      <c r="SH1433" s="29"/>
      <c r="SI1433" s="29"/>
      <c r="SJ1433" s="29"/>
      <c r="SK1433" s="29"/>
      <c r="SL1433" s="29"/>
      <c r="SM1433" s="29"/>
      <c r="SN1433" s="29"/>
      <c r="SO1433" s="29"/>
      <c r="SP1433" s="29"/>
      <c r="SQ1433" s="29"/>
      <c r="SR1433" s="29"/>
      <c r="SS1433" s="29"/>
      <c r="ST1433" s="29"/>
      <c r="SU1433" s="29"/>
      <c r="SV1433" s="29"/>
      <c r="SW1433" s="29"/>
      <c r="SX1433" s="29"/>
      <c r="SY1433" s="29"/>
      <c r="SZ1433" s="29"/>
      <c r="TA1433" s="29"/>
      <c r="TB1433" s="29"/>
      <c r="TC1433" s="29"/>
      <c r="TD1433" s="29"/>
      <c r="TE1433" s="29"/>
      <c r="TF1433" s="29"/>
      <c r="TG1433" s="29"/>
      <c r="TH1433" s="29"/>
      <c r="TI1433" s="29"/>
      <c r="TJ1433" s="29"/>
      <c r="TK1433" s="29"/>
      <c r="TL1433" s="29"/>
      <c r="TM1433" s="29"/>
      <c r="TN1433" s="29"/>
      <c r="TO1433" s="29"/>
      <c r="TP1433" s="29"/>
      <c r="TQ1433" s="29"/>
      <c r="TR1433" s="29"/>
      <c r="TS1433" s="29"/>
      <c r="TT1433" s="29"/>
      <c r="TU1433" s="29"/>
      <c r="TV1433" s="29"/>
      <c r="TW1433" s="29"/>
      <c r="TX1433" s="29"/>
      <c r="TY1433" s="29"/>
      <c r="TZ1433" s="29"/>
      <c r="UA1433" s="29"/>
      <c r="UB1433" s="29"/>
      <c r="UC1433" s="29"/>
      <c r="UD1433" s="29"/>
      <c r="UE1433" s="29"/>
      <c r="UF1433" s="29"/>
      <c r="UG1433" s="29"/>
    </row>
    <row r="1434" spans="1:553" ht="80.25" customHeight="1">
      <c r="A1434" s="356" t="s">
        <v>27</v>
      </c>
      <c r="B1434" s="356"/>
      <c r="C1434" s="1413" t="s">
        <v>28</v>
      </c>
      <c r="D1434" s="1389"/>
      <c r="E1434" s="1389"/>
      <c r="F1434" s="1390"/>
      <c r="G1434" s="366"/>
      <c r="H1434" s="370"/>
      <c r="I1434" s="359"/>
      <c r="J1434" s="368"/>
      <c r="K1434" s="371"/>
      <c r="L1434" s="645">
        <f>SUM(L1436:L1477)</f>
        <v>554313974.7647059</v>
      </c>
      <c r="M1434" s="356"/>
      <c r="N1434" s="356"/>
      <c r="O1434" s="356"/>
      <c r="P1434" s="356"/>
      <c r="Q1434" s="610"/>
      <c r="R1434" s="1226" t="s">
        <v>1401</v>
      </c>
      <c r="S1434" s="308"/>
      <c r="T1434" s="308"/>
      <c r="U1434" s="308"/>
      <c r="V1434" s="308"/>
      <c r="W1434" s="308"/>
      <c r="X1434" s="308"/>
      <c r="Y1434" s="308"/>
      <c r="Z1434" s="604"/>
      <c r="AA1434" s="308"/>
      <c r="AB1434" s="308"/>
      <c r="AC1434" s="486"/>
      <c r="AD1434" s="486"/>
      <c r="AE1434" s="486"/>
      <c r="AF1434" s="486"/>
      <c r="AG1434" s="486"/>
      <c r="AH1434" s="486"/>
      <c r="AI1434" s="486"/>
      <c r="AJ1434" s="486"/>
      <c r="AK1434" s="486"/>
      <c r="AL1434" s="206"/>
      <c r="AM1434" s="29"/>
      <c r="AN1434" s="29"/>
      <c r="AO1434" s="29"/>
      <c r="AP1434" s="29"/>
      <c r="AQ1434" s="29"/>
      <c r="AR1434" s="29"/>
      <c r="AS1434" s="29"/>
      <c r="AT1434" s="29"/>
      <c r="AU1434" s="29"/>
      <c r="AV1434" s="29"/>
      <c r="AW1434" s="29"/>
      <c r="AX1434" s="29"/>
      <c r="AY1434" s="29"/>
      <c r="AZ1434" s="29"/>
      <c r="BA1434" s="29"/>
      <c r="BB1434" s="29"/>
      <c r="BC1434" s="29"/>
      <c r="BD1434" s="29"/>
      <c r="BE1434" s="29"/>
      <c r="BF1434" s="29"/>
      <c r="BG1434" s="29"/>
      <c r="BH1434" s="29"/>
      <c r="BI1434" s="29"/>
      <c r="BJ1434" s="29"/>
      <c r="BK1434" s="29"/>
      <c r="BL1434" s="29"/>
      <c r="BM1434" s="29"/>
      <c r="BN1434" s="29"/>
      <c r="BO1434" s="29"/>
      <c r="BP1434" s="29"/>
      <c r="BQ1434" s="29"/>
      <c r="BR1434" s="29"/>
      <c r="BS1434" s="29"/>
      <c r="BT1434" s="29"/>
      <c r="BU1434" s="29"/>
      <c r="BV1434" s="29"/>
      <c r="BW1434" s="29"/>
      <c r="BX1434" s="29"/>
      <c r="BY1434" s="29"/>
      <c r="BZ1434" s="29"/>
      <c r="CA1434" s="29"/>
      <c r="CB1434" s="29"/>
      <c r="CC1434" s="29"/>
      <c r="CD1434" s="29"/>
      <c r="CE1434" s="29"/>
      <c r="CF1434" s="29"/>
      <c r="CG1434" s="29"/>
      <c r="CH1434" s="29"/>
      <c r="CI1434" s="29"/>
      <c r="CJ1434" s="29"/>
      <c r="CK1434" s="29"/>
      <c r="CL1434" s="29"/>
      <c r="CM1434" s="29"/>
      <c r="CN1434" s="29"/>
      <c r="CO1434" s="29"/>
      <c r="CP1434" s="29"/>
      <c r="CQ1434" s="29"/>
      <c r="CR1434" s="29"/>
      <c r="CS1434" s="29"/>
      <c r="CT1434" s="29"/>
      <c r="CU1434" s="29"/>
      <c r="CV1434" s="29"/>
      <c r="CW1434" s="29"/>
      <c r="CX1434" s="29"/>
      <c r="CY1434" s="29"/>
      <c r="CZ1434" s="29"/>
      <c r="DA1434" s="29"/>
      <c r="DB1434" s="29"/>
      <c r="DC1434" s="29"/>
      <c r="DD1434" s="29"/>
      <c r="DE1434" s="29"/>
      <c r="DF1434" s="29"/>
      <c r="DG1434" s="29"/>
      <c r="DH1434" s="29"/>
      <c r="DI1434" s="29"/>
      <c r="DJ1434" s="29"/>
      <c r="DK1434" s="29"/>
      <c r="DL1434" s="29"/>
      <c r="DM1434" s="29"/>
      <c r="DN1434" s="29"/>
      <c r="DO1434" s="29"/>
      <c r="DP1434" s="29"/>
      <c r="DQ1434" s="29"/>
      <c r="DR1434" s="29"/>
      <c r="DS1434" s="29"/>
      <c r="DT1434" s="29"/>
      <c r="DU1434" s="29"/>
      <c r="DV1434" s="29"/>
      <c r="DW1434" s="29"/>
      <c r="DX1434" s="29"/>
      <c r="DY1434" s="29"/>
      <c r="DZ1434" s="29"/>
      <c r="EA1434" s="29"/>
      <c r="EB1434" s="29"/>
      <c r="EC1434" s="29"/>
      <c r="ED1434" s="29"/>
      <c r="EE1434" s="29"/>
      <c r="EF1434" s="29"/>
      <c r="EG1434" s="29"/>
      <c r="EH1434" s="29"/>
      <c r="EI1434" s="29"/>
      <c r="EJ1434" s="29"/>
      <c r="EK1434" s="29"/>
      <c r="EL1434" s="29"/>
      <c r="EM1434" s="29"/>
      <c r="EN1434" s="29"/>
      <c r="EO1434" s="29"/>
      <c r="EP1434" s="29"/>
      <c r="EQ1434" s="29"/>
      <c r="ER1434" s="29"/>
      <c r="ES1434" s="29"/>
      <c r="ET1434" s="29"/>
      <c r="EU1434" s="29"/>
      <c r="EV1434" s="29"/>
      <c r="EW1434" s="29"/>
      <c r="EX1434" s="29"/>
      <c r="EY1434" s="29"/>
      <c r="EZ1434" s="29"/>
      <c r="FA1434" s="29"/>
      <c r="FB1434" s="29"/>
      <c r="FC1434" s="29"/>
      <c r="FD1434" s="29"/>
      <c r="FE1434" s="29"/>
      <c r="FF1434" s="29"/>
      <c r="FG1434" s="29"/>
      <c r="FH1434" s="29"/>
      <c r="FI1434" s="29"/>
      <c r="FJ1434" s="29"/>
      <c r="FK1434" s="29"/>
      <c r="FL1434" s="29"/>
      <c r="FM1434" s="29"/>
      <c r="FN1434" s="29"/>
      <c r="FO1434" s="29"/>
      <c r="FP1434" s="29"/>
      <c r="FQ1434" s="29"/>
      <c r="FR1434" s="29"/>
      <c r="FS1434" s="29"/>
      <c r="FT1434" s="29"/>
      <c r="FU1434" s="29"/>
      <c r="FV1434" s="29"/>
      <c r="FW1434" s="29"/>
      <c r="FX1434" s="29"/>
      <c r="FY1434" s="29"/>
      <c r="FZ1434" s="29"/>
      <c r="GA1434" s="29"/>
      <c r="GB1434" s="29"/>
      <c r="GC1434" s="29"/>
      <c r="GD1434" s="29"/>
      <c r="GE1434" s="29"/>
      <c r="GF1434" s="29"/>
      <c r="GG1434" s="29"/>
      <c r="GH1434" s="29"/>
      <c r="GI1434" s="29"/>
      <c r="GJ1434" s="29"/>
      <c r="GK1434" s="29"/>
      <c r="GL1434" s="29"/>
      <c r="GM1434" s="29"/>
      <c r="GN1434" s="29"/>
      <c r="GO1434" s="29"/>
      <c r="GP1434" s="29"/>
      <c r="GQ1434" s="29"/>
      <c r="GR1434" s="29"/>
      <c r="GS1434" s="29"/>
      <c r="GT1434" s="29"/>
      <c r="GU1434" s="29"/>
      <c r="GV1434" s="29"/>
      <c r="GW1434" s="29"/>
      <c r="GX1434" s="29"/>
      <c r="GY1434" s="29"/>
      <c r="GZ1434" s="29"/>
      <c r="HA1434" s="29"/>
      <c r="HB1434" s="29"/>
      <c r="HC1434" s="29"/>
      <c r="HD1434" s="29"/>
      <c r="HE1434" s="29"/>
      <c r="HF1434" s="29"/>
      <c r="HG1434" s="29"/>
      <c r="HH1434" s="29"/>
      <c r="HI1434" s="29"/>
      <c r="HJ1434" s="29"/>
      <c r="HK1434" s="29"/>
      <c r="HL1434" s="29"/>
      <c r="HM1434" s="29"/>
      <c r="HN1434" s="29"/>
      <c r="HO1434" s="29"/>
      <c r="HP1434" s="29"/>
      <c r="HQ1434" s="29"/>
      <c r="HR1434" s="29"/>
      <c r="HS1434" s="29"/>
      <c r="HT1434" s="29"/>
      <c r="HU1434" s="29"/>
      <c r="HV1434" s="29"/>
      <c r="HW1434" s="29"/>
      <c r="HX1434" s="29"/>
      <c r="HY1434" s="29"/>
      <c r="HZ1434" s="29"/>
      <c r="IA1434" s="29"/>
      <c r="IB1434" s="29"/>
      <c r="IC1434" s="29"/>
      <c r="ID1434" s="29"/>
      <c r="IE1434" s="29"/>
      <c r="IF1434" s="29"/>
      <c r="IG1434" s="29"/>
      <c r="IH1434" s="29"/>
      <c r="II1434" s="29"/>
      <c r="IJ1434" s="29"/>
      <c r="IK1434" s="29"/>
      <c r="IL1434" s="29"/>
      <c r="IM1434" s="29"/>
      <c r="IN1434" s="29"/>
      <c r="IO1434" s="29"/>
      <c r="IP1434" s="29"/>
      <c r="IQ1434" s="29"/>
      <c r="IR1434" s="29"/>
      <c r="IS1434" s="29"/>
      <c r="IT1434" s="29"/>
      <c r="IU1434" s="29"/>
      <c r="IV1434" s="29"/>
      <c r="IW1434" s="29"/>
      <c r="IX1434" s="29"/>
      <c r="IY1434" s="29"/>
      <c r="IZ1434" s="29"/>
      <c r="JA1434" s="29"/>
      <c r="JB1434" s="29"/>
      <c r="JC1434" s="29"/>
      <c r="JD1434" s="29"/>
      <c r="JE1434" s="29"/>
      <c r="JF1434" s="29"/>
      <c r="JG1434" s="29"/>
      <c r="JH1434" s="29"/>
      <c r="JI1434" s="29"/>
      <c r="JJ1434" s="29"/>
      <c r="JK1434" s="29"/>
      <c r="JL1434" s="29"/>
      <c r="JM1434" s="29"/>
      <c r="JN1434" s="29"/>
      <c r="JO1434" s="29"/>
      <c r="JP1434" s="29"/>
      <c r="JQ1434" s="29"/>
      <c r="JR1434" s="29"/>
      <c r="JS1434" s="29"/>
      <c r="JT1434" s="29"/>
      <c r="JU1434" s="29"/>
      <c r="JV1434" s="29"/>
      <c r="JW1434" s="29"/>
      <c r="JX1434" s="29"/>
      <c r="JY1434" s="29"/>
      <c r="JZ1434" s="29"/>
      <c r="KA1434" s="29"/>
      <c r="KB1434" s="29"/>
      <c r="KC1434" s="29"/>
      <c r="KD1434" s="29"/>
      <c r="KE1434" s="29"/>
      <c r="KF1434" s="29"/>
      <c r="KG1434" s="29"/>
      <c r="KH1434" s="29"/>
      <c r="KI1434" s="29"/>
      <c r="KJ1434" s="29"/>
      <c r="KK1434" s="29"/>
      <c r="KL1434" s="29"/>
      <c r="KM1434" s="29"/>
      <c r="KN1434" s="29"/>
      <c r="KO1434" s="29"/>
      <c r="KP1434" s="29"/>
      <c r="KQ1434" s="29"/>
      <c r="KR1434" s="29"/>
      <c r="KS1434" s="29"/>
      <c r="KT1434" s="29"/>
      <c r="KU1434" s="29"/>
      <c r="KV1434" s="29"/>
      <c r="KW1434" s="29"/>
      <c r="KX1434" s="29"/>
      <c r="KY1434" s="29"/>
      <c r="KZ1434" s="29"/>
      <c r="LA1434" s="29"/>
      <c r="LB1434" s="29"/>
      <c r="LC1434" s="29"/>
      <c r="LD1434" s="29"/>
      <c r="LE1434" s="29"/>
      <c r="LF1434" s="29"/>
      <c r="LG1434" s="29"/>
      <c r="LH1434" s="29"/>
      <c r="LI1434" s="29"/>
      <c r="LJ1434" s="29"/>
      <c r="LK1434" s="29"/>
      <c r="LL1434" s="29"/>
      <c r="LM1434" s="29"/>
      <c r="LN1434" s="29"/>
      <c r="LO1434" s="29"/>
      <c r="LP1434" s="29"/>
      <c r="LQ1434" s="29"/>
      <c r="LR1434" s="29"/>
      <c r="LS1434" s="29"/>
      <c r="LT1434" s="29"/>
      <c r="LU1434" s="29"/>
      <c r="LV1434" s="29"/>
      <c r="LW1434" s="29"/>
      <c r="LX1434" s="29"/>
      <c r="LY1434" s="29"/>
      <c r="LZ1434" s="29"/>
      <c r="MA1434" s="29"/>
      <c r="MB1434" s="29"/>
      <c r="MC1434" s="29"/>
      <c r="MD1434" s="29"/>
      <c r="ME1434" s="29"/>
      <c r="MF1434" s="29"/>
      <c r="MG1434" s="29"/>
      <c r="MH1434" s="29"/>
      <c r="MI1434" s="29"/>
      <c r="MJ1434" s="29"/>
      <c r="MK1434" s="29"/>
      <c r="ML1434" s="29"/>
      <c r="MM1434" s="29"/>
      <c r="MN1434" s="29"/>
      <c r="MO1434" s="29"/>
      <c r="MP1434" s="29"/>
      <c r="MQ1434" s="29"/>
      <c r="MR1434" s="29"/>
      <c r="MS1434" s="29"/>
      <c r="MT1434" s="29"/>
      <c r="MU1434" s="29"/>
      <c r="MV1434" s="29"/>
      <c r="MW1434" s="29"/>
      <c r="MX1434" s="29"/>
      <c r="MY1434" s="29"/>
      <c r="MZ1434" s="29"/>
      <c r="NA1434" s="29"/>
      <c r="NB1434" s="29"/>
      <c r="NC1434" s="29"/>
      <c r="ND1434" s="29"/>
      <c r="NE1434" s="29"/>
      <c r="NF1434" s="29"/>
      <c r="NG1434" s="29"/>
      <c r="NH1434" s="29"/>
      <c r="NI1434" s="29"/>
      <c r="NJ1434" s="29"/>
      <c r="NK1434" s="29"/>
      <c r="NL1434" s="29"/>
      <c r="NM1434" s="29"/>
      <c r="NN1434" s="29"/>
      <c r="NO1434" s="29"/>
      <c r="NP1434" s="29"/>
      <c r="NQ1434" s="29"/>
      <c r="NR1434" s="29"/>
      <c r="NS1434" s="29"/>
      <c r="NT1434" s="29"/>
      <c r="NU1434" s="29"/>
      <c r="NV1434" s="29"/>
      <c r="NW1434" s="29"/>
      <c r="NX1434" s="29"/>
      <c r="NY1434" s="29"/>
      <c r="NZ1434" s="29"/>
      <c r="OA1434" s="29"/>
      <c r="OB1434" s="29"/>
      <c r="OC1434" s="29"/>
      <c r="OD1434" s="29"/>
      <c r="OE1434" s="29"/>
      <c r="OF1434" s="29"/>
      <c r="OG1434" s="29"/>
      <c r="OH1434" s="29"/>
      <c r="OI1434" s="29"/>
      <c r="OJ1434" s="29"/>
      <c r="OK1434" s="29"/>
      <c r="OL1434" s="29"/>
      <c r="OM1434" s="29"/>
      <c r="ON1434" s="29"/>
      <c r="OO1434" s="29"/>
      <c r="OP1434" s="29"/>
      <c r="OQ1434" s="29"/>
      <c r="OR1434" s="29"/>
      <c r="OS1434" s="29"/>
      <c r="OT1434" s="29"/>
      <c r="OU1434" s="29"/>
      <c r="OV1434" s="29"/>
      <c r="OW1434" s="29"/>
      <c r="OX1434" s="29"/>
      <c r="OY1434" s="29"/>
      <c r="OZ1434" s="29"/>
      <c r="PA1434" s="29"/>
      <c r="PB1434" s="29"/>
      <c r="PC1434" s="29"/>
      <c r="PD1434" s="29"/>
      <c r="PE1434" s="29"/>
      <c r="PF1434" s="29"/>
      <c r="PG1434" s="29"/>
      <c r="PH1434" s="29"/>
      <c r="PI1434" s="29"/>
      <c r="PJ1434" s="29"/>
      <c r="PK1434" s="29"/>
      <c r="PL1434" s="29"/>
      <c r="PM1434" s="29"/>
      <c r="PN1434" s="29"/>
      <c r="PO1434" s="29"/>
      <c r="PP1434" s="29"/>
      <c r="PQ1434" s="29"/>
      <c r="PR1434" s="29"/>
      <c r="PS1434" s="29"/>
      <c r="PT1434" s="29"/>
      <c r="PU1434" s="29"/>
      <c r="PV1434" s="29"/>
      <c r="PW1434" s="29"/>
      <c r="PX1434" s="29"/>
      <c r="PY1434" s="29"/>
      <c r="PZ1434" s="29"/>
      <c r="QA1434" s="29"/>
      <c r="QB1434" s="29"/>
      <c r="QC1434" s="29"/>
      <c r="QD1434" s="29"/>
      <c r="QE1434" s="29"/>
      <c r="QF1434" s="29"/>
      <c r="QG1434" s="29"/>
      <c r="QH1434" s="29"/>
      <c r="QI1434" s="29"/>
      <c r="QJ1434" s="29"/>
      <c r="QK1434" s="29"/>
      <c r="QL1434" s="29"/>
      <c r="QM1434" s="29"/>
      <c r="QN1434" s="29"/>
      <c r="QO1434" s="29"/>
      <c r="QP1434" s="29"/>
      <c r="QQ1434" s="29"/>
      <c r="QR1434" s="29"/>
      <c r="QS1434" s="29"/>
      <c r="QT1434" s="29"/>
      <c r="QU1434" s="29"/>
      <c r="QV1434" s="29"/>
      <c r="QW1434" s="29"/>
      <c r="QX1434" s="29"/>
      <c r="QY1434" s="29"/>
      <c r="QZ1434" s="29"/>
      <c r="RA1434" s="29"/>
      <c r="RB1434" s="29"/>
      <c r="RC1434" s="29"/>
      <c r="RD1434" s="29"/>
      <c r="RE1434" s="29"/>
      <c r="RF1434" s="29"/>
      <c r="RG1434" s="29"/>
      <c r="RH1434" s="29"/>
      <c r="RI1434" s="29"/>
      <c r="RJ1434" s="29"/>
      <c r="RK1434" s="29"/>
      <c r="RL1434" s="29"/>
      <c r="RM1434" s="29"/>
      <c r="RN1434" s="29"/>
      <c r="RO1434" s="29"/>
      <c r="RP1434" s="29"/>
      <c r="RQ1434" s="29"/>
      <c r="RR1434" s="29"/>
      <c r="RS1434" s="29"/>
      <c r="RT1434" s="29"/>
      <c r="RU1434" s="29"/>
      <c r="RV1434" s="29"/>
      <c r="RW1434" s="29"/>
      <c r="RX1434" s="29"/>
      <c r="RY1434" s="29"/>
      <c r="RZ1434" s="29"/>
      <c r="SA1434" s="29"/>
      <c r="SB1434" s="29"/>
      <c r="SC1434" s="29"/>
      <c r="SD1434" s="29"/>
      <c r="SE1434" s="29"/>
      <c r="SF1434" s="29"/>
      <c r="SG1434" s="29"/>
      <c r="SH1434" s="29"/>
      <c r="SI1434" s="29"/>
      <c r="SJ1434" s="29"/>
      <c r="SK1434" s="29"/>
      <c r="SL1434" s="29"/>
      <c r="SM1434" s="29"/>
      <c r="SN1434" s="29"/>
      <c r="SO1434" s="29"/>
      <c r="SP1434" s="29"/>
      <c r="SQ1434" s="29"/>
      <c r="SR1434" s="29"/>
      <c r="SS1434" s="29"/>
      <c r="ST1434" s="29"/>
      <c r="SU1434" s="29"/>
      <c r="SV1434" s="29"/>
      <c r="SW1434" s="29"/>
      <c r="SX1434" s="29"/>
      <c r="SY1434" s="29"/>
      <c r="SZ1434" s="29"/>
      <c r="TA1434" s="29"/>
      <c r="TB1434" s="29"/>
      <c r="TC1434" s="29"/>
      <c r="TD1434" s="29"/>
      <c r="TE1434" s="29"/>
      <c r="TF1434" s="29"/>
      <c r="TG1434" s="29"/>
      <c r="TH1434" s="29"/>
      <c r="TI1434" s="29"/>
      <c r="TJ1434" s="29"/>
      <c r="TK1434" s="29"/>
      <c r="TL1434" s="29"/>
      <c r="TM1434" s="29"/>
      <c r="TN1434" s="29"/>
      <c r="TO1434" s="29"/>
      <c r="TP1434" s="29"/>
      <c r="TQ1434" s="29"/>
      <c r="TR1434" s="29"/>
      <c r="TS1434" s="29"/>
      <c r="TT1434" s="29"/>
      <c r="TU1434" s="29"/>
      <c r="TV1434" s="29"/>
      <c r="TW1434" s="29"/>
      <c r="TX1434" s="29"/>
      <c r="TY1434" s="29"/>
      <c r="TZ1434" s="29"/>
      <c r="UA1434" s="29"/>
      <c r="UB1434" s="29"/>
      <c r="UC1434" s="29"/>
      <c r="UD1434" s="29"/>
      <c r="UE1434" s="29"/>
      <c r="UF1434" s="29"/>
      <c r="UG1434" s="29"/>
    </row>
    <row r="1435" spans="1:553" ht="37.5" customHeight="1">
      <c r="A1435" s="356"/>
      <c r="B1435" s="356"/>
      <c r="C1435" s="548" t="s">
        <v>773</v>
      </c>
      <c r="D1435" s="418"/>
      <c r="E1435" s="418"/>
      <c r="F1435" s="366"/>
      <c r="G1435" s="366"/>
      <c r="H1435" s="370"/>
      <c r="I1435" s="359"/>
      <c r="J1435" s="368"/>
      <c r="K1435" s="371"/>
      <c r="L1435" s="645"/>
      <c r="M1435" s="356"/>
      <c r="N1435" s="356"/>
      <c r="O1435" s="356"/>
      <c r="P1435" s="356"/>
      <c r="Q1435" s="610"/>
      <c r="R1435" s="1226"/>
      <c r="S1435" s="308"/>
      <c r="T1435" s="308"/>
      <c r="U1435" s="308"/>
      <c r="V1435" s="308"/>
      <c r="W1435" s="308"/>
      <c r="X1435" s="308"/>
      <c r="Y1435" s="308"/>
      <c r="Z1435" s="604"/>
      <c r="AA1435" s="308"/>
      <c r="AB1435" s="308"/>
      <c r="AC1435" s="486"/>
      <c r="AD1435" s="486"/>
      <c r="AE1435" s="486"/>
      <c r="AF1435" s="486"/>
      <c r="AG1435" s="486"/>
      <c r="AH1435" s="486"/>
      <c r="AI1435" s="486"/>
      <c r="AJ1435" s="486"/>
      <c r="AK1435" s="486"/>
      <c r="AL1435" s="206"/>
      <c r="AM1435" s="29"/>
      <c r="AN1435" s="29"/>
      <c r="AO1435" s="29"/>
      <c r="AP1435" s="29"/>
      <c r="AQ1435" s="29"/>
      <c r="AR1435" s="29"/>
      <c r="AS1435" s="29"/>
      <c r="AT1435" s="29"/>
      <c r="AU1435" s="29"/>
      <c r="AV1435" s="29"/>
      <c r="AW1435" s="29"/>
      <c r="AX1435" s="29"/>
      <c r="AY1435" s="29"/>
      <c r="AZ1435" s="29"/>
      <c r="BA1435" s="29"/>
      <c r="BB1435" s="29"/>
      <c r="BC1435" s="29"/>
      <c r="BD1435" s="29"/>
      <c r="BE1435" s="29"/>
      <c r="BF1435" s="29"/>
      <c r="BG1435" s="29"/>
      <c r="BH1435" s="29"/>
      <c r="BI1435" s="29"/>
      <c r="BJ1435" s="29"/>
      <c r="BK1435" s="29"/>
      <c r="BL1435" s="29"/>
      <c r="BM1435" s="29"/>
      <c r="BN1435" s="29"/>
      <c r="BO1435" s="29"/>
      <c r="BP1435" s="29"/>
      <c r="BQ1435" s="29"/>
      <c r="BR1435" s="29"/>
      <c r="BS1435" s="29"/>
      <c r="BT1435" s="29"/>
      <c r="BU1435" s="29"/>
      <c r="BV1435" s="29"/>
      <c r="BW1435" s="29"/>
      <c r="BX1435" s="29"/>
      <c r="BY1435" s="29"/>
      <c r="BZ1435" s="29"/>
      <c r="CA1435" s="29"/>
      <c r="CB1435" s="29"/>
      <c r="CC1435" s="29"/>
      <c r="CD1435" s="29"/>
      <c r="CE1435" s="29"/>
      <c r="CF1435" s="29"/>
      <c r="CG1435" s="29"/>
      <c r="CH1435" s="29"/>
      <c r="CI1435" s="29"/>
      <c r="CJ1435" s="29"/>
      <c r="CK1435" s="29"/>
      <c r="CL1435" s="29"/>
      <c r="CM1435" s="29"/>
      <c r="CN1435" s="29"/>
      <c r="CO1435" s="29"/>
      <c r="CP1435" s="29"/>
      <c r="CQ1435" s="29"/>
      <c r="CR1435" s="29"/>
      <c r="CS1435" s="29"/>
      <c r="CT1435" s="29"/>
      <c r="CU1435" s="29"/>
      <c r="CV1435" s="29"/>
      <c r="CW1435" s="29"/>
      <c r="CX1435" s="29"/>
      <c r="CY1435" s="29"/>
      <c r="CZ1435" s="29"/>
      <c r="DA1435" s="29"/>
      <c r="DB1435" s="29"/>
      <c r="DC1435" s="29"/>
      <c r="DD1435" s="29"/>
      <c r="DE1435" s="29"/>
      <c r="DF1435" s="29"/>
      <c r="DG1435" s="29"/>
      <c r="DH1435" s="29"/>
      <c r="DI1435" s="29"/>
      <c r="DJ1435" s="29"/>
      <c r="DK1435" s="29"/>
      <c r="DL1435" s="29"/>
      <c r="DM1435" s="29"/>
      <c r="DN1435" s="29"/>
      <c r="DO1435" s="29"/>
      <c r="DP1435" s="29"/>
      <c r="DQ1435" s="29"/>
      <c r="DR1435" s="29"/>
      <c r="DS1435" s="29"/>
      <c r="DT1435" s="29"/>
      <c r="DU1435" s="29"/>
      <c r="DV1435" s="29"/>
      <c r="DW1435" s="29"/>
      <c r="DX1435" s="29"/>
      <c r="DY1435" s="29"/>
      <c r="DZ1435" s="29"/>
      <c r="EA1435" s="29"/>
      <c r="EB1435" s="29"/>
      <c r="EC1435" s="29"/>
      <c r="ED1435" s="29"/>
      <c r="EE1435" s="29"/>
      <c r="EF1435" s="29"/>
      <c r="EG1435" s="29"/>
      <c r="EH1435" s="29"/>
      <c r="EI1435" s="29"/>
      <c r="EJ1435" s="29"/>
      <c r="EK1435" s="29"/>
      <c r="EL1435" s="29"/>
      <c r="EM1435" s="29"/>
      <c r="EN1435" s="29"/>
      <c r="EO1435" s="29"/>
      <c r="EP1435" s="29"/>
      <c r="EQ1435" s="29"/>
      <c r="ER1435" s="29"/>
      <c r="ES1435" s="29"/>
      <c r="ET1435" s="29"/>
      <c r="EU1435" s="29"/>
      <c r="EV1435" s="29"/>
      <c r="EW1435" s="29"/>
      <c r="EX1435" s="29"/>
      <c r="EY1435" s="29"/>
      <c r="EZ1435" s="29"/>
      <c r="FA1435" s="29"/>
      <c r="FB1435" s="29"/>
      <c r="FC1435" s="29"/>
      <c r="FD1435" s="29"/>
      <c r="FE1435" s="29"/>
      <c r="FF1435" s="29"/>
      <c r="FG1435" s="29"/>
      <c r="FH1435" s="29"/>
      <c r="FI1435" s="29"/>
      <c r="FJ1435" s="29"/>
      <c r="FK1435" s="29"/>
      <c r="FL1435" s="29"/>
      <c r="FM1435" s="29"/>
      <c r="FN1435" s="29"/>
      <c r="FO1435" s="29"/>
      <c r="FP1435" s="29"/>
      <c r="FQ1435" s="29"/>
      <c r="FR1435" s="29"/>
      <c r="FS1435" s="29"/>
      <c r="FT1435" s="29"/>
      <c r="FU1435" s="29"/>
      <c r="FV1435" s="29"/>
      <c r="FW1435" s="29"/>
      <c r="FX1435" s="29"/>
      <c r="FY1435" s="29"/>
      <c r="FZ1435" s="29"/>
      <c r="GA1435" s="29"/>
      <c r="GB1435" s="29"/>
      <c r="GC1435" s="29"/>
      <c r="GD1435" s="29"/>
      <c r="GE1435" s="29"/>
      <c r="GF1435" s="29"/>
      <c r="GG1435" s="29"/>
      <c r="GH1435" s="29"/>
      <c r="GI1435" s="29"/>
      <c r="GJ1435" s="29"/>
      <c r="GK1435" s="29"/>
      <c r="GL1435" s="29"/>
      <c r="GM1435" s="29"/>
      <c r="GN1435" s="29"/>
      <c r="GO1435" s="29"/>
      <c r="GP1435" s="29"/>
      <c r="GQ1435" s="29"/>
      <c r="GR1435" s="29"/>
      <c r="GS1435" s="29"/>
      <c r="GT1435" s="29"/>
      <c r="GU1435" s="29"/>
      <c r="GV1435" s="29"/>
      <c r="GW1435" s="29"/>
      <c r="GX1435" s="29"/>
      <c r="GY1435" s="29"/>
      <c r="GZ1435" s="29"/>
      <c r="HA1435" s="29"/>
      <c r="HB1435" s="29"/>
      <c r="HC1435" s="29"/>
      <c r="HD1435" s="29"/>
      <c r="HE1435" s="29"/>
      <c r="HF1435" s="29"/>
      <c r="HG1435" s="29"/>
      <c r="HH1435" s="29"/>
      <c r="HI1435" s="29"/>
      <c r="HJ1435" s="29"/>
      <c r="HK1435" s="29"/>
      <c r="HL1435" s="29"/>
      <c r="HM1435" s="29"/>
      <c r="HN1435" s="29"/>
      <c r="HO1435" s="29"/>
      <c r="HP1435" s="29"/>
      <c r="HQ1435" s="29"/>
      <c r="HR1435" s="29"/>
      <c r="HS1435" s="29"/>
      <c r="HT1435" s="29"/>
      <c r="HU1435" s="29"/>
      <c r="HV1435" s="29"/>
      <c r="HW1435" s="29"/>
      <c r="HX1435" s="29"/>
      <c r="HY1435" s="29"/>
      <c r="HZ1435" s="29"/>
      <c r="IA1435" s="29"/>
      <c r="IB1435" s="29"/>
      <c r="IC1435" s="29"/>
      <c r="ID1435" s="29"/>
      <c r="IE1435" s="29"/>
      <c r="IF1435" s="29"/>
      <c r="IG1435" s="29"/>
      <c r="IH1435" s="29"/>
      <c r="II1435" s="29"/>
      <c r="IJ1435" s="29"/>
      <c r="IK1435" s="29"/>
      <c r="IL1435" s="29"/>
      <c r="IM1435" s="29"/>
      <c r="IN1435" s="29"/>
      <c r="IO1435" s="29"/>
      <c r="IP1435" s="29"/>
      <c r="IQ1435" s="29"/>
      <c r="IR1435" s="29"/>
      <c r="IS1435" s="29"/>
      <c r="IT1435" s="29"/>
      <c r="IU1435" s="29"/>
      <c r="IV1435" s="29"/>
      <c r="IW1435" s="29"/>
      <c r="IX1435" s="29"/>
      <c r="IY1435" s="29"/>
      <c r="IZ1435" s="29"/>
      <c r="JA1435" s="29"/>
      <c r="JB1435" s="29"/>
      <c r="JC1435" s="29"/>
      <c r="JD1435" s="29"/>
      <c r="JE1435" s="29"/>
      <c r="JF1435" s="29"/>
      <c r="JG1435" s="29"/>
      <c r="JH1435" s="29"/>
      <c r="JI1435" s="29"/>
      <c r="JJ1435" s="29"/>
      <c r="JK1435" s="29"/>
      <c r="JL1435" s="29"/>
      <c r="JM1435" s="29"/>
      <c r="JN1435" s="29"/>
      <c r="JO1435" s="29"/>
      <c r="JP1435" s="29"/>
      <c r="JQ1435" s="29"/>
      <c r="JR1435" s="29"/>
      <c r="JS1435" s="29"/>
      <c r="JT1435" s="29"/>
      <c r="JU1435" s="29"/>
      <c r="JV1435" s="29"/>
      <c r="JW1435" s="29"/>
      <c r="JX1435" s="29"/>
      <c r="JY1435" s="29"/>
      <c r="JZ1435" s="29"/>
      <c r="KA1435" s="29"/>
      <c r="KB1435" s="29"/>
      <c r="KC1435" s="29"/>
      <c r="KD1435" s="29"/>
      <c r="KE1435" s="29"/>
      <c r="KF1435" s="29"/>
      <c r="KG1435" s="29"/>
      <c r="KH1435" s="29"/>
      <c r="KI1435" s="29"/>
      <c r="KJ1435" s="29"/>
      <c r="KK1435" s="29"/>
      <c r="KL1435" s="29"/>
      <c r="KM1435" s="29"/>
      <c r="KN1435" s="29"/>
      <c r="KO1435" s="29"/>
      <c r="KP1435" s="29"/>
      <c r="KQ1435" s="29"/>
      <c r="KR1435" s="29"/>
      <c r="KS1435" s="29"/>
      <c r="KT1435" s="29"/>
      <c r="KU1435" s="29"/>
      <c r="KV1435" s="29"/>
      <c r="KW1435" s="29"/>
      <c r="KX1435" s="29"/>
      <c r="KY1435" s="29"/>
      <c r="KZ1435" s="29"/>
      <c r="LA1435" s="29"/>
      <c r="LB1435" s="29"/>
      <c r="LC1435" s="29"/>
      <c r="LD1435" s="29"/>
      <c r="LE1435" s="29"/>
      <c r="LF1435" s="29"/>
      <c r="LG1435" s="29"/>
      <c r="LH1435" s="29"/>
      <c r="LI1435" s="29"/>
      <c r="LJ1435" s="29"/>
      <c r="LK1435" s="29"/>
      <c r="LL1435" s="29"/>
      <c r="LM1435" s="29"/>
      <c r="LN1435" s="29"/>
      <c r="LO1435" s="29"/>
      <c r="LP1435" s="29"/>
      <c r="LQ1435" s="29"/>
      <c r="LR1435" s="29"/>
      <c r="LS1435" s="29"/>
      <c r="LT1435" s="29"/>
      <c r="LU1435" s="29"/>
      <c r="LV1435" s="29"/>
      <c r="LW1435" s="29"/>
      <c r="LX1435" s="29"/>
      <c r="LY1435" s="29"/>
      <c r="LZ1435" s="29"/>
      <c r="MA1435" s="29"/>
      <c r="MB1435" s="29"/>
      <c r="MC1435" s="29"/>
      <c r="MD1435" s="29"/>
      <c r="ME1435" s="29"/>
      <c r="MF1435" s="29"/>
      <c r="MG1435" s="29"/>
      <c r="MH1435" s="29"/>
      <c r="MI1435" s="29"/>
      <c r="MJ1435" s="29"/>
      <c r="MK1435" s="29"/>
      <c r="ML1435" s="29"/>
      <c r="MM1435" s="29"/>
      <c r="MN1435" s="29"/>
      <c r="MO1435" s="29"/>
      <c r="MP1435" s="29"/>
      <c r="MQ1435" s="29"/>
      <c r="MR1435" s="29"/>
      <c r="MS1435" s="29"/>
      <c r="MT1435" s="29"/>
      <c r="MU1435" s="29"/>
      <c r="MV1435" s="29"/>
      <c r="MW1435" s="29"/>
      <c r="MX1435" s="29"/>
      <c r="MY1435" s="29"/>
      <c r="MZ1435" s="29"/>
      <c r="NA1435" s="29"/>
      <c r="NB1435" s="29"/>
      <c r="NC1435" s="29"/>
      <c r="ND1435" s="29"/>
      <c r="NE1435" s="29"/>
      <c r="NF1435" s="29"/>
      <c r="NG1435" s="29"/>
      <c r="NH1435" s="29"/>
      <c r="NI1435" s="29"/>
      <c r="NJ1435" s="29"/>
      <c r="NK1435" s="29"/>
      <c r="NL1435" s="29"/>
      <c r="NM1435" s="29"/>
      <c r="NN1435" s="29"/>
      <c r="NO1435" s="29"/>
      <c r="NP1435" s="29"/>
      <c r="NQ1435" s="29"/>
      <c r="NR1435" s="29"/>
      <c r="NS1435" s="29"/>
      <c r="NT1435" s="29"/>
      <c r="NU1435" s="29"/>
      <c r="NV1435" s="29"/>
      <c r="NW1435" s="29"/>
      <c r="NX1435" s="29"/>
      <c r="NY1435" s="29"/>
      <c r="NZ1435" s="29"/>
      <c r="OA1435" s="29"/>
      <c r="OB1435" s="29"/>
      <c r="OC1435" s="29"/>
      <c r="OD1435" s="29"/>
      <c r="OE1435" s="29"/>
      <c r="OF1435" s="29"/>
      <c r="OG1435" s="29"/>
      <c r="OH1435" s="29"/>
      <c r="OI1435" s="29"/>
      <c r="OJ1435" s="29"/>
      <c r="OK1435" s="29"/>
      <c r="OL1435" s="29"/>
      <c r="OM1435" s="29"/>
      <c r="ON1435" s="29"/>
      <c r="OO1435" s="29"/>
      <c r="OP1435" s="29"/>
      <c r="OQ1435" s="29"/>
      <c r="OR1435" s="29"/>
      <c r="OS1435" s="29"/>
      <c r="OT1435" s="29"/>
      <c r="OU1435" s="29"/>
      <c r="OV1435" s="29"/>
      <c r="OW1435" s="29"/>
      <c r="OX1435" s="29"/>
      <c r="OY1435" s="29"/>
      <c r="OZ1435" s="29"/>
      <c r="PA1435" s="29"/>
      <c r="PB1435" s="29"/>
      <c r="PC1435" s="29"/>
      <c r="PD1435" s="29"/>
      <c r="PE1435" s="29"/>
      <c r="PF1435" s="29"/>
      <c r="PG1435" s="29"/>
      <c r="PH1435" s="29"/>
      <c r="PI1435" s="29"/>
      <c r="PJ1435" s="29"/>
      <c r="PK1435" s="29"/>
      <c r="PL1435" s="29"/>
      <c r="PM1435" s="29"/>
      <c r="PN1435" s="29"/>
      <c r="PO1435" s="29"/>
      <c r="PP1435" s="29"/>
      <c r="PQ1435" s="29"/>
      <c r="PR1435" s="29"/>
      <c r="PS1435" s="29"/>
      <c r="PT1435" s="29"/>
      <c r="PU1435" s="29"/>
      <c r="PV1435" s="29"/>
      <c r="PW1435" s="29"/>
      <c r="PX1435" s="29"/>
      <c r="PY1435" s="29"/>
      <c r="PZ1435" s="29"/>
      <c r="QA1435" s="29"/>
      <c r="QB1435" s="29"/>
      <c r="QC1435" s="29"/>
      <c r="QD1435" s="29"/>
      <c r="QE1435" s="29"/>
      <c r="QF1435" s="29"/>
      <c r="QG1435" s="29"/>
      <c r="QH1435" s="29"/>
      <c r="QI1435" s="29"/>
      <c r="QJ1435" s="29"/>
      <c r="QK1435" s="29"/>
      <c r="QL1435" s="29"/>
      <c r="QM1435" s="29"/>
      <c r="QN1435" s="29"/>
      <c r="QO1435" s="29"/>
      <c r="QP1435" s="29"/>
      <c r="QQ1435" s="29"/>
      <c r="QR1435" s="29"/>
      <c r="QS1435" s="29"/>
      <c r="QT1435" s="29"/>
      <c r="QU1435" s="29"/>
      <c r="QV1435" s="29"/>
      <c r="QW1435" s="29"/>
      <c r="QX1435" s="29"/>
      <c r="QY1435" s="29"/>
      <c r="QZ1435" s="29"/>
      <c r="RA1435" s="29"/>
      <c r="RB1435" s="29"/>
      <c r="RC1435" s="29"/>
      <c r="RD1435" s="29"/>
      <c r="RE1435" s="29"/>
      <c r="RF1435" s="29"/>
      <c r="RG1435" s="29"/>
      <c r="RH1435" s="29"/>
      <c r="RI1435" s="29"/>
      <c r="RJ1435" s="29"/>
      <c r="RK1435" s="29"/>
      <c r="RL1435" s="29"/>
      <c r="RM1435" s="29"/>
      <c r="RN1435" s="29"/>
      <c r="RO1435" s="29"/>
      <c r="RP1435" s="29"/>
      <c r="RQ1435" s="29"/>
      <c r="RR1435" s="29"/>
      <c r="RS1435" s="29"/>
      <c r="RT1435" s="29"/>
      <c r="RU1435" s="29"/>
      <c r="RV1435" s="29"/>
      <c r="RW1435" s="29"/>
      <c r="RX1435" s="29"/>
      <c r="RY1435" s="29"/>
      <c r="RZ1435" s="29"/>
      <c r="SA1435" s="29"/>
      <c r="SB1435" s="29"/>
      <c r="SC1435" s="29"/>
      <c r="SD1435" s="29"/>
      <c r="SE1435" s="29"/>
      <c r="SF1435" s="29"/>
      <c r="SG1435" s="29"/>
      <c r="SH1435" s="29"/>
      <c r="SI1435" s="29"/>
      <c r="SJ1435" s="29"/>
      <c r="SK1435" s="29"/>
      <c r="SL1435" s="29"/>
      <c r="SM1435" s="29"/>
      <c r="SN1435" s="29"/>
      <c r="SO1435" s="29"/>
      <c r="SP1435" s="29"/>
      <c r="SQ1435" s="29"/>
      <c r="SR1435" s="29"/>
      <c r="SS1435" s="29"/>
      <c r="ST1435" s="29"/>
      <c r="SU1435" s="29"/>
      <c r="SV1435" s="29"/>
      <c r="SW1435" s="29"/>
      <c r="SX1435" s="29"/>
      <c r="SY1435" s="29"/>
      <c r="SZ1435" s="29"/>
      <c r="TA1435" s="29"/>
      <c r="TB1435" s="29"/>
      <c r="TC1435" s="29"/>
      <c r="TD1435" s="29"/>
      <c r="TE1435" s="29"/>
      <c r="TF1435" s="29"/>
      <c r="TG1435" s="29"/>
      <c r="TH1435" s="29"/>
      <c r="TI1435" s="29"/>
      <c r="TJ1435" s="29"/>
      <c r="TK1435" s="29"/>
      <c r="TL1435" s="29"/>
      <c r="TM1435" s="29"/>
      <c r="TN1435" s="29"/>
      <c r="TO1435" s="29"/>
      <c r="TP1435" s="29"/>
      <c r="TQ1435" s="29"/>
      <c r="TR1435" s="29"/>
      <c r="TS1435" s="29"/>
      <c r="TT1435" s="29"/>
      <c r="TU1435" s="29"/>
      <c r="TV1435" s="29"/>
      <c r="TW1435" s="29"/>
      <c r="TX1435" s="29"/>
      <c r="TY1435" s="29"/>
      <c r="TZ1435" s="29"/>
      <c r="UA1435" s="29"/>
      <c r="UB1435" s="29"/>
      <c r="UC1435" s="29"/>
      <c r="UD1435" s="29"/>
      <c r="UE1435" s="29"/>
      <c r="UF1435" s="29"/>
      <c r="UG1435" s="29"/>
    </row>
    <row r="1436" spans="1:553" ht="103.9" customHeight="1">
      <c r="A1436" s="356" t="s">
        <v>15</v>
      </c>
      <c r="B1436" s="385" t="s">
        <v>29</v>
      </c>
      <c r="C1436" s="1535" t="s">
        <v>1302</v>
      </c>
      <c r="D1436" s="1389"/>
      <c r="E1436" s="1389"/>
      <c r="F1436" s="1390"/>
      <c r="G1436" s="417" t="s">
        <v>1303</v>
      </c>
      <c r="H1436" s="370"/>
      <c r="I1436" s="417">
        <f>13.5*10</f>
        <v>135</v>
      </c>
      <c r="J1436" s="368">
        <v>2204600</v>
      </c>
      <c r="K1436" s="371"/>
      <c r="L1436" s="487">
        <f t="shared" ref="L1436:L1475" si="222">ROUND(PRODUCT(I1436:K1436),0)</f>
        <v>297621000</v>
      </c>
      <c r="M1436" s="395"/>
      <c r="N1436" s="395"/>
      <c r="O1436" s="366"/>
      <c r="P1436" s="396"/>
      <c r="Q1436" s="473"/>
      <c r="R1436" s="1039"/>
      <c r="S1436" s="308"/>
      <c r="T1436" s="308"/>
      <c r="U1436" s="308"/>
      <c r="V1436" s="308"/>
      <c r="W1436" s="308"/>
      <c r="X1436" s="308"/>
      <c r="Y1436" s="308"/>
      <c r="Z1436" s="604"/>
      <c r="AA1436" s="308"/>
      <c r="AB1436" s="308"/>
      <c r="AC1436" s="486"/>
      <c r="AD1436" s="486"/>
      <c r="AE1436" s="486"/>
      <c r="AF1436" s="486"/>
      <c r="AG1436" s="486"/>
      <c r="AH1436" s="486"/>
      <c r="AI1436" s="486"/>
      <c r="AJ1436" s="486"/>
      <c r="AK1436" s="486"/>
      <c r="AL1436" s="206"/>
      <c r="AM1436" s="29"/>
      <c r="AN1436" s="29"/>
      <c r="AO1436" s="29"/>
      <c r="AP1436" s="29"/>
      <c r="AQ1436" s="29"/>
      <c r="AR1436" s="29"/>
      <c r="AS1436" s="29"/>
      <c r="AT1436" s="29"/>
      <c r="AU1436" s="29"/>
      <c r="AV1436" s="29"/>
      <c r="AW1436" s="29"/>
      <c r="AX1436" s="29"/>
      <c r="AY1436" s="29"/>
      <c r="AZ1436" s="29"/>
      <c r="BA1436" s="29"/>
      <c r="BB1436" s="29"/>
      <c r="BC1436" s="29"/>
      <c r="BD1436" s="29"/>
      <c r="BE1436" s="29"/>
      <c r="BF1436" s="29"/>
      <c r="BG1436" s="29"/>
      <c r="BH1436" s="29"/>
      <c r="BI1436" s="29"/>
      <c r="BJ1436" s="29"/>
      <c r="BK1436" s="29"/>
      <c r="BL1436" s="29"/>
      <c r="BM1436" s="29"/>
      <c r="BN1436" s="29"/>
      <c r="BO1436" s="29"/>
      <c r="BP1436" s="29"/>
      <c r="BQ1436" s="29"/>
      <c r="BR1436" s="29"/>
      <c r="BS1436" s="29"/>
      <c r="BT1436" s="29"/>
      <c r="BU1436" s="29"/>
      <c r="BV1436" s="29"/>
      <c r="BW1436" s="29"/>
      <c r="BX1436" s="29"/>
      <c r="BY1436" s="29"/>
      <c r="BZ1436" s="29"/>
      <c r="CA1436" s="29"/>
      <c r="CB1436" s="29"/>
      <c r="CC1436" s="29"/>
      <c r="CD1436" s="29"/>
      <c r="CE1436" s="29"/>
      <c r="CF1436" s="29"/>
      <c r="CG1436" s="29"/>
      <c r="CH1436" s="29"/>
      <c r="CI1436" s="29"/>
      <c r="CJ1436" s="29"/>
      <c r="CK1436" s="29"/>
      <c r="CL1436" s="29"/>
      <c r="CM1436" s="29"/>
      <c r="CN1436" s="29"/>
      <c r="CO1436" s="29"/>
      <c r="CP1436" s="29"/>
      <c r="CQ1436" s="29"/>
      <c r="CR1436" s="29"/>
      <c r="CS1436" s="29"/>
      <c r="CT1436" s="29"/>
      <c r="CU1436" s="29"/>
      <c r="CV1436" s="29"/>
      <c r="CW1436" s="29"/>
      <c r="CX1436" s="29"/>
      <c r="CY1436" s="29"/>
      <c r="CZ1436" s="29"/>
      <c r="DA1436" s="29"/>
      <c r="DB1436" s="29"/>
      <c r="DC1436" s="29"/>
      <c r="DD1436" s="29"/>
      <c r="DE1436" s="29"/>
      <c r="DF1436" s="29"/>
      <c r="DG1436" s="29"/>
      <c r="DH1436" s="29"/>
      <c r="DI1436" s="29"/>
      <c r="DJ1436" s="29"/>
      <c r="DK1436" s="29"/>
      <c r="DL1436" s="29"/>
      <c r="DM1436" s="29"/>
      <c r="DN1436" s="29"/>
      <c r="DO1436" s="29"/>
      <c r="DP1436" s="29"/>
      <c r="DQ1436" s="29"/>
      <c r="DR1436" s="29"/>
      <c r="DS1436" s="29"/>
      <c r="DT1436" s="29"/>
      <c r="DU1436" s="29"/>
      <c r="DV1436" s="29"/>
      <c r="DW1436" s="29"/>
      <c r="DX1436" s="29"/>
      <c r="DY1436" s="29"/>
      <c r="DZ1436" s="29"/>
      <c r="EA1436" s="29"/>
      <c r="EB1436" s="29"/>
      <c r="EC1436" s="29"/>
      <c r="ED1436" s="29"/>
      <c r="EE1436" s="29"/>
      <c r="EF1436" s="29"/>
      <c r="EG1436" s="29"/>
      <c r="EH1436" s="29"/>
      <c r="EI1436" s="29"/>
      <c r="EJ1436" s="29"/>
      <c r="EK1436" s="29"/>
      <c r="EL1436" s="29"/>
      <c r="EM1436" s="29"/>
      <c r="EN1436" s="29"/>
      <c r="EO1436" s="29"/>
      <c r="EP1436" s="29"/>
      <c r="EQ1436" s="29"/>
      <c r="ER1436" s="29"/>
      <c r="ES1436" s="29"/>
      <c r="ET1436" s="29"/>
      <c r="EU1436" s="29"/>
      <c r="EV1436" s="29"/>
      <c r="EW1436" s="29"/>
      <c r="EX1436" s="29"/>
      <c r="EY1436" s="29"/>
      <c r="EZ1436" s="29"/>
      <c r="FA1436" s="29"/>
      <c r="FB1436" s="29"/>
      <c r="FC1436" s="29"/>
      <c r="FD1436" s="29"/>
      <c r="FE1436" s="29"/>
      <c r="FF1436" s="29"/>
      <c r="FG1436" s="29"/>
      <c r="FH1436" s="29"/>
      <c r="FI1436" s="29"/>
      <c r="FJ1436" s="29"/>
      <c r="FK1436" s="29"/>
      <c r="FL1436" s="29"/>
      <c r="FM1436" s="29"/>
      <c r="FN1436" s="29"/>
      <c r="FO1436" s="29"/>
      <c r="FP1436" s="29"/>
      <c r="FQ1436" s="29"/>
      <c r="FR1436" s="29"/>
      <c r="FS1436" s="29"/>
      <c r="FT1436" s="29"/>
      <c r="FU1436" s="29"/>
      <c r="FV1436" s="29"/>
      <c r="FW1436" s="29"/>
      <c r="FX1436" s="29"/>
      <c r="FY1436" s="29"/>
      <c r="FZ1436" s="29"/>
      <c r="GA1436" s="29"/>
      <c r="GB1436" s="29"/>
      <c r="GC1436" s="29"/>
      <c r="GD1436" s="29"/>
      <c r="GE1436" s="29"/>
      <c r="GF1436" s="29"/>
      <c r="GG1436" s="29"/>
      <c r="GH1436" s="29"/>
      <c r="GI1436" s="29"/>
      <c r="GJ1436" s="29"/>
      <c r="GK1436" s="29"/>
      <c r="GL1436" s="29"/>
      <c r="GM1436" s="29"/>
      <c r="GN1436" s="29"/>
      <c r="GO1436" s="29"/>
      <c r="GP1436" s="29"/>
      <c r="GQ1436" s="29"/>
      <c r="GR1436" s="29"/>
      <c r="GS1436" s="29"/>
      <c r="GT1436" s="29"/>
      <c r="GU1436" s="29"/>
      <c r="GV1436" s="29"/>
      <c r="GW1436" s="29"/>
      <c r="GX1436" s="29"/>
      <c r="GY1436" s="29"/>
      <c r="GZ1436" s="29"/>
      <c r="HA1436" s="29"/>
      <c r="HB1436" s="29"/>
      <c r="HC1436" s="29"/>
      <c r="HD1436" s="29"/>
      <c r="HE1436" s="29"/>
      <c r="HF1436" s="29"/>
      <c r="HG1436" s="29"/>
      <c r="HH1436" s="29"/>
      <c r="HI1436" s="29"/>
      <c r="HJ1436" s="29"/>
      <c r="HK1436" s="29"/>
      <c r="HL1436" s="29"/>
      <c r="HM1436" s="29"/>
      <c r="HN1436" s="29"/>
      <c r="HO1436" s="29"/>
      <c r="HP1436" s="29"/>
      <c r="HQ1436" s="29"/>
      <c r="HR1436" s="29"/>
      <c r="HS1436" s="29"/>
      <c r="HT1436" s="29"/>
      <c r="HU1436" s="29"/>
      <c r="HV1436" s="29"/>
      <c r="HW1436" s="29"/>
      <c r="HX1436" s="29"/>
      <c r="HY1436" s="29"/>
      <c r="HZ1436" s="29"/>
      <c r="IA1436" s="29"/>
      <c r="IB1436" s="29"/>
      <c r="IC1436" s="29"/>
      <c r="ID1436" s="29"/>
      <c r="IE1436" s="29"/>
      <c r="IF1436" s="29"/>
      <c r="IG1436" s="29"/>
      <c r="IH1436" s="29"/>
      <c r="II1436" s="29"/>
      <c r="IJ1436" s="29"/>
      <c r="IK1436" s="29"/>
      <c r="IL1436" s="29"/>
      <c r="IM1436" s="29"/>
      <c r="IN1436" s="29"/>
      <c r="IO1436" s="29"/>
      <c r="IP1436" s="29"/>
      <c r="IQ1436" s="29"/>
      <c r="IR1436" s="29"/>
      <c r="IS1436" s="29"/>
      <c r="IT1436" s="29"/>
      <c r="IU1436" s="29"/>
      <c r="IV1436" s="29"/>
      <c r="IW1436" s="29"/>
      <c r="IX1436" s="29"/>
      <c r="IY1436" s="29"/>
      <c r="IZ1436" s="29"/>
      <c r="JA1436" s="29"/>
      <c r="JB1436" s="29"/>
      <c r="JC1436" s="29"/>
      <c r="JD1436" s="29"/>
      <c r="JE1436" s="29"/>
      <c r="JF1436" s="29"/>
      <c r="JG1436" s="29"/>
      <c r="JH1436" s="29"/>
      <c r="JI1436" s="29"/>
      <c r="JJ1436" s="29"/>
      <c r="JK1436" s="29"/>
      <c r="JL1436" s="29"/>
      <c r="JM1436" s="29"/>
      <c r="JN1436" s="29"/>
      <c r="JO1436" s="29"/>
      <c r="JP1436" s="29"/>
      <c r="JQ1436" s="29"/>
      <c r="JR1436" s="29"/>
      <c r="JS1436" s="29"/>
      <c r="JT1436" s="29"/>
      <c r="JU1436" s="29"/>
      <c r="JV1436" s="29"/>
      <c r="JW1436" s="29"/>
      <c r="JX1436" s="29"/>
      <c r="JY1436" s="29"/>
      <c r="JZ1436" s="29"/>
      <c r="KA1436" s="29"/>
      <c r="KB1436" s="29"/>
      <c r="KC1436" s="29"/>
      <c r="KD1436" s="29"/>
      <c r="KE1436" s="29"/>
      <c r="KF1436" s="29"/>
      <c r="KG1436" s="29"/>
      <c r="KH1436" s="29"/>
      <c r="KI1436" s="29"/>
      <c r="KJ1436" s="29"/>
      <c r="KK1436" s="29"/>
      <c r="KL1436" s="29"/>
      <c r="KM1436" s="29"/>
      <c r="KN1436" s="29"/>
      <c r="KO1436" s="29"/>
      <c r="KP1436" s="29"/>
      <c r="KQ1436" s="29"/>
      <c r="KR1436" s="29"/>
      <c r="KS1436" s="29"/>
      <c r="KT1436" s="29"/>
      <c r="KU1436" s="29"/>
      <c r="KV1436" s="29"/>
      <c r="KW1436" s="29"/>
      <c r="KX1436" s="29"/>
      <c r="KY1436" s="29"/>
      <c r="KZ1436" s="29"/>
      <c r="LA1436" s="29"/>
      <c r="LB1436" s="29"/>
      <c r="LC1436" s="29"/>
      <c r="LD1436" s="29"/>
      <c r="LE1436" s="29"/>
      <c r="LF1436" s="29"/>
      <c r="LG1436" s="29"/>
      <c r="LH1436" s="29"/>
      <c r="LI1436" s="29"/>
      <c r="LJ1436" s="29"/>
      <c r="LK1436" s="29"/>
      <c r="LL1436" s="29"/>
      <c r="LM1436" s="29"/>
      <c r="LN1436" s="29"/>
      <c r="LO1436" s="29"/>
      <c r="LP1436" s="29"/>
      <c r="LQ1436" s="29"/>
      <c r="LR1436" s="29"/>
      <c r="LS1436" s="29"/>
      <c r="LT1436" s="29"/>
      <c r="LU1436" s="29"/>
      <c r="LV1436" s="29"/>
      <c r="LW1436" s="29"/>
      <c r="LX1436" s="29"/>
      <c r="LY1436" s="29"/>
      <c r="LZ1436" s="29"/>
      <c r="MA1436" s="29"/>
      <c r="MB1436" s="29"/>
      <c r="MC1436" s="29"/>
      <c r="MD1436" s="29"/>
      <c r="ME1436" s="29"/>
      <c r="MF1436" s="29"/>
      <c r="MG1436" s="29"/>
      <c r="MH1436" s="29"/>
      <c r="MI1436" s="29"/>
      <c r="MJ1436" s="29"/>
      <c r="MK1436" s="29"/>
      <c r="ML1436" s="29"/>
      <c r="MM1436" s="29"/>
      <c r="MN1436" s="29"/>
      <c r="MO1436" s="29"/>
      <c r="MP1436" s="29"/>
      <c r="MQ1436" s="29"/>
      <c r="MR1436" s="29"/>
      <c r="MS1436" s="29"/>
      <c r="MT1436" s="29"/>
      <c r="MU1436" s="29"/>
      <c r="MV1436" s="29"/>
      <c r="MW1436" s="29"/>
      <c r="MX1436" s="29"/>
      <c r="MY1436" s="29"/>
      <c r="MZ1436" s="29"/>
      <c r="NA1436" s="29"/>
      <c r="NB1436" s="29"/>
      <c r="NC1436" s="29"/>
      <c r="ND1436" s="29"/>
      <c r="NE1436" s="29"/>
      <c r="NF1436" s="29"/>
      <c r="NG1436" s="29"/>
      <c r="NH1436" s="29"/>
      <c r="NI1436" s="29"/>
      <c r="NJ1436" s="29"/>
      <c r="NK1436" s="29"/>
      <c r="NL1436" s="29"/>
      <c r="NM1436" s="29"/>
      <c r="NN1436" s="29"/>
      <c r="NO1436" s="29"/>
      <c r="NP1436" s="29"/>
      <c r="NQ1436" s="29"/>
      <c r="NR1436" s="29"/>
      <c r="NS1436" s="29"/>
      <c r="NT1436" s="29"/>
      <c r="NU1436" s="29"/>
      <c r="NV1436" s="29"/>
      <c r="NW1436" s="29"/>
      <c r="NX1436" s="29"/>
      <c r="NY1436" s="29"/>
      <c r="NZ1436" s="29"/>
      <c r="OA1436" s="29"/>
      <c r="OB1436" s="29"/>
      <c r="OC1436" s="29"/>
      <c r="OD1436" s="29"/>
      <c r="OE1436" s="29"/>
      <c r="OF1436" s="29"/>
      <c r="OG1436" s="29"/>
      <c r="OH1436" s="29"/>
      <c r="OI1436" s="29"/>
      <c r="OJ1436" s="29"/>
      <c r="OK1436" s="29"/>
      <c r="OL1436" s="29"/>
      <c r="OM1436" s="29"/>
      <c r="ON1436" s="29"/>
      <c r="OO1436" s="29"/>
      <c r="OP1436" s="29"/>
      <c r="OQ1436" s="29"/>
      <c r="OR1436" s="29"/>
      <c r="OS1436" s="29"/>
      <c r="OT1436" s="29"/>
      <c r="OU1436" s="29"/>
      <c r="OV1436" s="29"/>
      <c r="OW1436" s="29"/>
      <c r="OX1436" s="29"/>
      <c r="OY1436" s="29"/>
      <c r="OZ1436" s="29"/>
      <c r="PA1436" s="29"/>
      <c r="PB1436" s="29"/>
      <c r="PC1436" s="29"/>
      <c r="PD1436" s="29"/>
      <c r="PE1436" s="29"/>
      <c r="PF1436" s="29"/>
      <c r="PG1436" s="29"/>
      <c r="PH1436" s="29"/>
      <c r="PI1436" s="29"/>
      <c r="PJ1436" s="29"/>
      <c r="PK1436" s="29"/>
      <c r="PL1436" s="29"/>
      <c r="PM1436" s="29"/>
      <c r="PN1436" s="29"/>
      <c r="PO1436" s="29"/>
      <c r="PP1436" s="29"/>
      <c r="PQ1436" s="29"/>
      <c r="PR1436" s="29"/>
      <c r="PS1436" s="29"/>
      <c r="PT1436" s="29"/>
      <c r="PU1436" s="29"/>
      <c r="PV1436" s="29"/>
      <c r="PW1436" s="29"/>
      <c r="PX1436" s="29"/>
      <c r="PY1436" s="29"/>
      <c r="PZ1436" s="29"/>
      <c r="QA1436" s="29"/>
      <c r="QB1436" s="29"/>
      <c r="QC1436" s="29"/>
      <c r="QD1436" s="29"/>
      <c r="QE1436" s="29"/>
      <c r="QF1436" s="29"/>
      <c r="QG1436" s="29"/>
      <c r="QH1436" s="29"/>
      <c r="QI1436" s="29"/>
      <c r="QJ1436" s="29"/>
      <c r="QK1436" s="29"/>
      <c r="QL1436" s="29"/>
      <c r="QM1436" s="29"/>
      <c r="QN1436" s="29"/>
      <c r="QO1436" s="29"/>
      <c r="QP1436" s="29"/>
      <c r="QQ1436" s="29"/>
      <c r="QR1436" s="29"/>
      <c r="QS1436" s="29"/>
      <c r="QT1436" s="29"/>
      <c r="QU1436" s="29"/>
      <c r="QV1436" s="29"/>
      <c r="QW1436" s="29"/>
      <c r="QX1436" s="29"/>
      <c r="QY1436" s="29"/>
      <c r="QZ1436" s="29"/>
      <c r="RA1436" s="29"/>
      <c r="RB1436" s="29"/>
      <c r="RC1436" s="29"/>
      <c r="RD1436" s="29"/>
      <c r="RE1436" s="29"/>
      <c r="RF1436" s="29"/>
      <c r="RG1436" s="29"/>
      <c r="RH1436" s="29"/>
      <c r="RI1436" s="29"/>
      <c r="RJ1436" s="29"/>
      <c r="RK1436" s="29"/>
      <c r="RL1436" s="29"/>
      <c r="RM1436" s="29"/>
      <c r="RN1436" s="29"/>
      <c r="RO1436" s="29"/>
      <c r="RP1436" s="29"/>
      <c r="RQ1436" s="29"/>
      <c r="RR1436" s="29"/>
      <c r="RS1436" s="29"/>
      <c r="RT1436" s="29"/>
      <c r="RU1436" s="29"/>
      <c r="RV1436" s="29"/>
      <c r="RW1436" s="29"/>
      <c r="RX1436" s="29"/>
      <c r="RY1436" s="29"/>
      <c r="RZ1436" s="29"/>
      <c r="SA1436" s="29"/>
      <c r="SB1436" s="29"/>
      <c r="SC1436" s="29"/>
      <c r="SD1436" s="29"/>
      <c r="SE1436" s="29"/>
      <c r="SF1436" s="29"/>
      <c r="SG1436" s="29"/>
      <c r="SH1436" s="29"/>
      <c r="SI1436" s="29"/>
      <c r="SJ1436" s="29"/>
      <c r="SK1436" s="29"/>
      <c r="SL1436" s="29"/>
      <c r="SM1436" s="29"/>
      <c r="SN1436" s="29"/>
      <c r="SO1436" s="29"/>
      <c r="SP1436" s="29"/>
      <c r="SQ1436" s="29"/>
      <c r="SR1436" s="29"/>
      <c r="SS1436" s="29"/>
      <c r="ST1436" s="29"/>
      <c r="SU1436" s="29"/>
      <c r="SV1436" s="29"/>
      <c r="SW1436" s="29"/>
      <c r="SX1436" s="29"/>
      <c r="SY1436" s="29"/>
      <c r="SZ1436" s="29"/>
      <c r="TA1436" s="29"/>
      <c r="TB1436" s="29"/>
      <c r="TC1436" s="29"/>
      <c r="TD1436" s="29"/>
      <c r="TE1436" s="29"/>
      <c r="TF1436" s="29"/>
      <c r="TG1436" s="29"/>
      <c r="TH1436" s="29"/>
      <c r="TI1436" s="29"/>
      <c r="TJ1436" s="29"/>
      <c r="TK1436" s="29"/>
      <c r="TL1436" s="29"/>
      <c r="TM1436" s="29"/>
      <c r="TN1436" s="29"/>
      <c r="TO1436" s="29"/>
      <c r="TP1436" s="29"/>
      <c r="TQ1436" s="29"/>
      <c r="TR1436" s="29"/>
      <c r="TS1436" s="29"/>
      <c r="TT1436" s="29"/>
      <c r="TU1436" s="29"/>
      <c r="TV1436" s="29"/>
      <c r="TW1436" s="29"/>
      <c r="TX1436" s="29"/>
      <c r="TY1436" s="29"/>
      <c r="TZ1436" s="29"/>
      <c r="UA1436" s="29"/>
      <c r="UB1436" s="29"/>
      <c r="UC1436" s="29"/>
      <c r="UD1436" s="29"/>
      <c r="UE1436" s="29"/>
      <c r="UF1436" s="29"/>
      <c r="UG1436" s="29"/>
    </row>
    <row r="1437" spans="1:553" ht="36.65" customHeight="1">
      <c r="A1437" s="356" t="s">
        <v>30</v>
      </c>
      <c r="B1437" s="822" t="s">
        <v>31</v>
      </c>
      <c r="C1437" s="1388" t="s">
        <v>1254</v>
      </c>
      <c r="D1437" s="1389"/>
      <c r="E1437" s="1389"/>
      <c r="F1437" s="1390"/>
      <c r="G1437" s="417" t="s">
        <v>1303</v>
      </c>
      <c r="H1437" s="370"/>
      <c r="I1437" s="834">
        <f>-13.5*10</f>
        <v>-135</v>
      </c>
      <c r="J1437" s="368">
        <f>185700-137200</f>
        <v>48500</v>
      </c>
      <c r="K1437" s="371"/>
      <c r="L1437" s="487">
        <f t="shared" si="222"/>
        <v>-6547500</v>
      </c>
      <c r="M1437" s="395"/>
      <c r="N1437" s="395"/>
      <c r="O1437" s="366"/>
      <c r="P1437" s="396"/>
      <c r="Q1437" s="473"/>
      <c r="R1437" s="1039"/>
      <c r="S1437" s="308"/>
      <c r="T1437" s="308"/>
      <c r="U1437" s="308"/>
      <c r="V1437" s="308"/>
      <c r="W1437" s="308"/>
      <c r="X1437" s="308"/>
      <c r="Y1437" s="308"/>
      <c r="Z1437" s="604"/>
      <c r="AA1437" s="308"/>
      <c r="AB1437" s="308"/>
      <c r="AC1437" s="486"/>
      <c r="AD1437" s="486"/>
      <c r="AE1437" s="486"/>
      <c r="AF1437" s="486"/>
      <c r="AG1437" s="486"/>
      <c r="AH1437" s="486"/>
      <c r="AI1437" s="486"/>
      <c r="AJ1437" s="486"/>
      <c r="AK1437" s="486"/>
      <c r="AL1437" s="206"/>
      <c r="AM1437" s="29"/>
      <c r="AN1437" s="29"/>
      <c r="AO1437" s="29"/>
      <c r="AP1437" s="29"/>
      <c r="AQ1437" s="29"/>
      <c r="AR1437" s="29"/>
      <c r="AS1437" s="29"/>
      <c r="AT1437" s="29"/>
      <c r="AU1437" s="29"/>
      <c r="AV1437" s="29"/>
      <c r="AW1437" s="29"/>
      <c r="AX1437" s="29"/>
      <c r="AY1437" s="29"/>
      <c r="AZ1437" s="29"/>
      <c r="BA1437" s="29"/>
      <c r="BB1437" s="29"/>
      <c r="BC1437" s="29"/>
      <c r="BD1437" s="29"/>
      <c r="BE1437" s="29"/>
      <c r="BF1437" s="29"/>
      <c r="BG1437" s="29"/>
      <c r="BH1437" s="29"/>
      <c r="BI1437" s="29"/>
      <c r="BJ1437" s="29"/>
      <c r="BK1437" s="29"/>
      <c r="BL1437" s="29"/>
      <c r="BM1437" s="29"/>
      <c r="BN1437" s="29"/>
      <c r="BO1437" s="29"/>
      <c r="BP1437" s="29"/>
      <c r="BQ1437" s="29"/>
      <c r="BR1437" s="29"/>
      <c r="BS1437" s="29"/>
      <c r="BT1437" s="29"/>
      <c r="BU1437" s="29"/>
      <c r="BV1437" s="29"/>
      <c r="BW1437" s="29"/>
      <c r="BX1437" s="29"/>
      <c r="BY1437" s="29"/>
      <c r="BZ1437" s="29"/>
      <c r="CA1437" s="29"/>
      <c r="CB1437" s="29"/>
      <c r="CC1437" s="29"/>
      <c r="CD1437" s="29"/>
      <c r="CE1437" s="29"/>
      <c r="CF1437" s="29"/>
      <c r="CG1437" s="29"/>
      <c r="CH1437" s="29"/>
      <c r="CI1437" s="29"/>
      <c r="CJ1437" s="29"/>
      <c r="CK1437" s="29"/>
      <c r="CL1437" s="29"/>
      <c r="CM1437" s="29"/>
      <c r="CN1437" s="29"/>
      <c r="CO1437" s="29"/>
      <c r="CP1437" s="29"/>
      <c r="CQ1437" s="29"/>
      <c r="CR1437" s="29"/>
      <c r="CS1437" s="29"/>
      <c r="CT1437" s="29"/>
      <c r="CU1437" s="29"/>
      <c r="CV1437" s="29"/>
      <c r="CW1437" s="29"/>
      <c r="CX1437" s="29"/>
      <c r="CY1437" s="29"/>
      <c r="CZ1437" s="29"/>
      <c r="DA1437" s="29"/>
      <c r="DB1437" s="29"/>
      <c r="DC1437" s="29"/>
      <c r="DD1437" s="29"/>
      <c r="DE1437" s="29"/>
      <c r="DF1437" s="29"/>
      <c r="DG1437" s="29"/>
      <c r="DH1437" s="29"/>
      <c r="DI1437" s="29"/>
      <c r="DJ1437" s="29"/>
      <c r="DK1437" s="29"/>
      <c r="DL1437" s="29"/>
      <c r="DM1437" s="29"/>
      <c r="DN1437" s="29"/>
      <c r="DO1437" s="29"/>
      <c r="DP1437" s="29"/>
      <c r="DQ1437" s="29"/>
      <c r="DR1437" s="29"/>
      <c r="DS1437" s="29"/>
      <c r="DT1437" s="29"/>
      <c r="DU1437" s="29"/>
      <c r="DV1437" s="29"/>
      <c r="DW1437" s="29"/>
      <c r="DX1437" s="29"/>
      <c r="DY1437" s="29"/>
      <c r="DZ1437" s="29"/>
      <c r="EA1437" s="29"/>
      <c r="EB1437" s="29"/>
      <c r="EC1437" s="29"/>
      <c r="ED1437" s="29"/>
      <c r="EE1437" s="29"/>
      <c r="EF1437" s="29"/>
      <c r="EG1437" s="29"/>
      <c r="EH1437" s="29"/>
      <c r="EI1437" s="29"/>
      <c r="EJ1437" s="29"/>
      <c r="EK1437" s="29"/>
      <c r="EL1437" s="29"/>
      <c r="EM1437" s="29"/>
      <c r="EN1437" s="29"/>
      <c r="EO1437" s="29"/>
      <c r="EP1437" s="29"/>
      <c r="EQ1437" s="29"/>
      <c r="ER1437" s="29"/>
      <c r="ES1437" s="29"/>
      <c r="ET1437" s="29"/>
      <c r="EU1437" s="29"/>
      <c r="EV1437" s="29"/>
      <c r="EW1437" s="29"/>
      <c r="EX1437" s="29"/>
      <c r="EY1437" s="29"/>
      <c r="EZ1437" s="29"/>
      <c r="FA1437" s="29"/>
      <c r="FB1437" s="29"/>
      <c r="FC1437" s="29"/>
      <c r="FD1437" s="29"/>
      <c r="FE1437" s="29"/>
      <c r="FF1437" s="29"/>
      <c r="FG1437" s="29"/>
      <c r="FH1437" s="29"/>
      <c r="FI1437" s="29"/>
      <c r="FJ1437" s="29"/>
      <c r="FK1437" s="29"/>
      <c r="FL1437" s="29"/>
      <c r="FM1437" s="29"/>
      <c r="FN1437" s="29"/>
      <c r="FO1437" s="29"/>
      <c r="FP1437" s="29"/>
      <c r="FQ1437" s="29"/>
      <c r="FR1437" s="29"/>
      <c r="FS1437" s="29"/>
      <c r="FT1437" s="29"/>
      <c r="FU1437" s="29"/>
      <c r="FV1437" s="29"/>
      <c r="FW1437" s="29"/>
      <c r="FX1437" s="29"/>
      <c r="FY1437" s="29"/>
      <c r="FZ1437" s="29"/>
      <c r="GA1437" s="29"/>
      <c r="GB1437" s="29"/>
      <c r="GC1437" s="29"/>
      <c r="GD1437" s="29"/>
      <c r="GE1437" s="29"/>
      <c r="GF1437" s="29"/>
      <c r="GG1437" s="29"/>
      <c r="GH1437" s="29"/>
      <c r="GI1437" s="29"/>
      <c r="GJ1437" s="29"/>
      <c r="GK1437" s="29"/>
      <c r="GL1437" s="29"/>
      <c r="GM1437" s="29"/>
      <c r="GN1437" s="29"/>
      <c r="GO1437" s="29"/>
      <c r="GP1437" s="29"/>
      <c r="GQ1437" s="29"/>
      <c r="GR1437" s="29"/>
      <c r="GS1437" s="29"/>
      <c r="GT1437" s="29"/>
      <c r="GU1437" s="29"/>
      <c r="GV1437" s="29"/>
      <c r="GW1437" s="29"/>
      <c r="GX1437" s="29"/>
      <c r="GY1437" s="29"/>
      <c r="GZ1437" s="29"/>
      <c r="HA1437" s="29"/>
      <c r="HB1437" s="29"/>
      <c r="HC1437" s="29"/>
      <c r="HD1437" s="29"/>
      <c r="HE1437" s="29"/>
      <c r="HF1437" s="29"/>
      <c r="HG1437" s="29"/>
      <c r="HH1437" s="29"/>
      <c r="HI1437" s="29"/>
      <c r="HJ1437" s="29"/>
      <c r="HK1437" s="29"/>
      <c r="HL1437" s="29"/>
      <c r="HM1437" s="29"/>
      <c r="HN1437" s="29"/>
      <c r="HO1437" s="29"/>
      <c r="HP1437" s="29"/>
      <c r="HQ1437" s="29"/>
      <c r="HR1437" s="29"/>
      <c r="HS1437" s="29"/>
      <c r="HT1437" s="29"/>
      <c r="HU1437" s="29"/>
      <c r="HV1437" s="29"/>
      <c r="HW1437" s="29"/>
      <c r="HX1437" s="29"/>
      <c r="HY1437" s="29"/>
      <c r="HZ1437" s="29"/>
      <c r="IA1437" s="29"/>
      <c r="IB1437" s="29"/>
      <c r="IC1437" s="29"/>
      <c r="ID1437" s="29"/>
      <c r="IE1437" s="29"/>
      <c r="IF1437" s="29"/>
      <c r="IG1437" s="29"/>
      <c r="IH1437" s="29"/>
      <c r="II1437" s="29"/>
      <c r="IJ1437" s="29"/>
      <c r="IK1437" s="29"/>
      <c r="IL1437" s="29"/>
      <c r="IM1437" s="29"/>
      <c r="IN1437" s="29"/>
      <c r="IO1437" s="29"/>
      <c r="IP1437" s="29"/>
      <c r="IQ1437" s="29"/>
      <c r="IR1437" s="29"/>
      <c r="IS1437" s="29"/>
      <c r="IT1437" s="29"/>
      <c r="IU1437" s="29"/>
      <c r="IV1437" s="29"/>
      <c r="IW1437" s="29"/>
      <c r="IX1437" s="29"/>
      <c r="IY1437" s="29"/>
      <c r="IZ1437" s="29"/>
      <c r="JA1437" s="29"/>
      <c r="JB1437" s="29"/>
      <c r="JC1437" s="29"/>
      <c r="JD1437" s="29"/>
      <c r="JE1437" s="29"/>
      <c r="JF1437" s="29"/>
      <c r="JG1437" s="29"/>
      <c r="JH1437" s="29"/>
      <c r="JI1437" s="29"/>
      <c r="JJ1437" s="29"/>
      <c r="JK1437" s="29"/>
      <c r="JL1437" s="29"/>
      <c r="JM1437" s="29"/>
      <c r="JN1437" s="29"/>
      <c r="JO1437" s="29"/>
      <c r="JP1437" s="29"/>
      <c r="JQ1437" s="29"/>
      <c r="JR1437" s="29"/>
      <c r="JS1437" s="29"/>
      <c r="JT1437" s="29"/>
      <c r="JU1437" s="29"/>
      <c r="JV1437" s="29"/>
      <c r="JW1437" s="29"/>
      <c r="JX1437" s="29"/>
      <c r="JY1437" s="29"/>
      <c r="JZ1437" s="29"/>
      <c r="KA1437" s="29"/>
      <c r="KB1437" s="29"/>
      <c r="KC1437" s="29"/>
      <c r="KD1437" s="29"/>
      <c r="KE1437" s="29"/>
      <c r="KF1437" s="29"/>
      <c r="KG1437" s="29"/>
      <c r="KH1437" s="29"/>
      <c r="KI1437" s="29"/>
      <c r="KJ1437" s="29"/>
      <c r="KK1437" s="29"/>
      <c r="KL1437" s="29"/>
      <c r="KM1437" s="29"/>
      <c r="KN1437" s="29"/>
      <c r="KO1437" s="29"/>
      <c r="KP1437" s="29"/>
      <c r="KQ1437" s="29"/>
      <c r="KR1437" s="29"/>
      <c r="KS1437" s="29"/>
      <c r="KT1437" s="29"/>
      <c r="KU1437" s="29"/>
      <c r="KV1437" s="29"/>
      <c r="KW1437" s="29"/>
      <c r="KX1437" s="29"/>
      <c r="KY1437" s="29"/>
      <c r="KZ1437" s="29"/>
      <c r="LA1437" s="29"/>
      <c r="LB1437" s="29"/>
      <c r="LC1437" s="29"/>
      <c r="LD1437" s="29"/>
      <c r="LE1437" s="29"/>
      <c r="LF1437" s="29"/>
      <c r="LG1437" s="29"/>
      <c r="LH1437" s="29"/>
      <c r="LI1437" s="29"/>
      <c r="LJ1437" s="29"/>
      <c r="LK1437" s="29"/>
      <c r="LL1437" s="29"/>
      <c r="LM1437" s="29"/>
      <c r="LN1437" s="29"/>
      <c r="LO1437" s="29"/>
      <c r="LP1437" s="29"/>
      <c r="LQ1437" s="29"/>
      <c r="LR1437" s="29"/>
      <c r="LS1437" s="29"/>
      <c r="LT1437" s="29"/>
      <c r="LU1437" s="29"/>
      <c r="LV1437" s="29"/>
      <c r="LW1437" s="29"/>
      <c r="LX1437" s="29"/>
      <c r="LY1437" s="29"/>
      <c r="LZ1437" s="29"/>
      <c r="MA1437" s="29"/>
      <c r="MB1437" s="29"/>
      <c r="MC1437" s="29"/>
      <c r="MD1437" s="29"/>
      <c r="ME1437" s="29"/>
      <c r="MF1437" s="29"/>
      <c r="MG1437" s="29"/>
      <c r="MH1437" s="29"/>
      <c r="MI1437" s="29"/>
      <c r="MJ1437" s="29"/>
      <c r="MK1437" s="29"/>
      <c r="ML1437" s="29"/>
      <c r="MM1437" s="29"/>
      <c r="MN1437" s="29"/>
      <c r="MO1437" s="29"/>
      <c r="MP1437" s="29"/>
      <c r="MQ1437" s="29"/>
      <c r="MR1437" s="29"/>
      <c r="MS1437" s="29"/>
      <c r="MT1437" s="29"/>
      <c r="MU1437" s="29"/>
      <c r="MV1437" s="29"/>
      <c r="MW1437" s="29"/>
      <c r="MX1437" s="29"/>
      <c r="MY1437" s="29"/>
      <c r="MZ1437" s="29"/>
      <c r="NA1437" s="29"/>
      <c r="NB1437" s="29"/>
      <c r="NC1437" s="29"/>
      <c r="ND1437" s="29"/>
      <c r="NE1437" s="29"/>
      <c r="NF1437" s="29"/>
      <c r="NG1437" s="29"/>
      <c r="NH1437" s="29"/>
      <c r="NI1437" s="29"/>
      <c r="NJ1437" s="29"/>
      <c r="NK1437" s="29"/>
      <c r="NL1437" s="29"/>
      <c r="NM1437" s="29"/>
      <c r="NN1437" s="29"/>
      <c r="NO1437" s="29"/>
      <c r="NP1437" s="29"/>
      <c r="NQ1437" s="29"/>
      <c r="NR1437" s="29"/>
      <c r="NS1437" s="29"/>
      <c r="NT1437" s="29"/>
      <c r="NU1437" s="29"/>
      <c r="NV1437" s="29"/>
      <c r="NW1437" s="29"/>
      <c r="NX1437" s="29"/>
      <c r="NY1437" s="29"/>
      <c r="NZ1437" s="29"/>
      <c r="OA1437" s="29"/>
      <c r="OB1437" s="29"/>
      <c r="OC1437" s="29"/>
      <c r="OD1437" s="29"/>
      <c r="OE1437" s="29"/>
      <c r="OF1437" s="29"/>
      <c r="OG1437" s="29"/>
      <c r="OH1437" s="29"/>
      <c r="OI1437" s="29"/>
      <c r="OJ1437" s="29"/>
      <c r="OK1437" s="29"/>
      <c r="OL1437" s="29"/>
      <c r="OM1437" s="29"/>
      <c r="ON1437" s="29"/>
      <c r="OO1437" s="29"/>
      <c r="OP1437" s="29"/>
      <c r="OQ1437" s="29"/>
      <c r="OR1437" s="29"/>
      <c r="OS1437" s="29"/>
      <c r="OT1437" s="29"/>
      <c r="OU1437" s="29"/>
      <c r="OV1437" s="29"/>
      <c r="OW1437" s="29"/>
      <c r="OX1437" s="29"/>
      <c r="OY1437" s="29"/>
      <c r="OZ1437" s="29"/>
      <c r="PA1437" s="29"/>
      <c r="PB1437" s="29"/>
      <c r="PC1437" s="29"/>
      <c r="PD1437" s="29"/>
      <c r="PE1437" s="29"/>
      <c r="PF1437" s="29"/>
      <c r="PG1437" s="29"/>
      <c r="PH1437" s="29"/>
      <c r="PI1437" s="29"/>
      <c r="PJ1437" s="29"/>
      <c r="PK1437" s="29"/>
      <c r="PL1437" s="29"/>
      <c r="PM1437" s="29"/>
      <c r="PN1437" s="29"/>
      <c r="PO1437" s="29"/>
      <c r="PP1437" s="29"/>
      <c r="PQ1437" s="29"/>
      <c r="PR1437" s="29"/>
      <c r="PS1437" s="29"/>
      <c r="PT1437" s="29"/>
      <c r="PU1437" s="29"/>
      <c r="PV1437" s="29"/>
      <c r="PW1437" s="29"/>
      <c r="PX1437" s="29"/>
      <c r="PY1437" s="29"/>
      <c r="PZ1437" s="29"/>
      <c r="QA1437" s="29"/>
      <c r="QB1437" s="29"/>
      <c r="QC1437" s="29"/>
      <c r="QD1437" s="29"/>
      <c r="QE1437" s="29"/>
      <c r="QF1437" s="29"/>
      <c r="QG1437" s="29"/>
      <c r="QH1437" s="29"/>
      <c r="QI1437" s="29"/>
      <c r="QJ1437" s="29"/>
      <c r="QK1437" s="29"/>
      <c r="QL1437" s="29"/>
      <c r="QM1437" s="29"/>
      <c r="QN1437" s="29"/>
      <c r="QO1437" s="29"/>
      <c r="QP1437" s="29"/>
      <c r="QQ1437" s="29"/>
      <c r="QR1437" s="29"/>
      <c r="QS1437" s="29"/>
      <c r="QT1437" s="29"/>
      <c r="QU1437" s="29"/>
      <c r="QV1437" s="29"/>
      <c r="QW1437" s="29"/>
      <c r="QX1437" s="29"/>
      <c r="QY1437" s="29"/>
      <c r="QZ1437" s="29"/>
      <c r="RA1437" s="29"/>
      <c r="RB1437" s="29"/>
      <c r="RC1437" s="29"/>
      <c r="RD1437" s="29"/>
      <c r="RE1437" s="29"/>
      <c r="RF1437" s="29"/>
      <c r="RG1437" s="29"/>
      <c r="RH1437" s="29"/>
      <c r="RI1437" s="29"/>
      <c r="RJ1437" s="29"/>
      <c r="RK1437" s="29"/>
      <c r="RL1437" s="29"/>
      <c r="RM1437" s="29"/>
      <c r="RN1437" s="29"/>
      <c r="RO1437" s="29"/>
      <c r="RP1437" s="29"/>
      <c r="RQ1437" s="29"/>
      <c r="RR1437" s="29"/>
      <c r="RS1437" s="29"/>
      <c r="RT1437" s="29"/>
      <c r="RU1437" s="29"/>
      <c r="RV1437" s="29"/>
      <c r="RW1437" s="29"/>
      <c r="RX1437" s="29"/>
      <c r="RY1437" s="29"/>
      <c r="RZ1437" s="29"/>
      <c r="SA1437" s="29"/>
      <c r="SB1437" s="29"/>
      <c r="SC1437" s="29"/>
      <c r="SD1437" s="29"/>
      <c r="SE1437" s="29"/>
      <c r="SF1437" s="29"/>
      <c r="SG1437" s="29"/>
      <c r="SH1437" s="29"/>
      <c r="SI1437" s="29"/>
      <c r="SJ1437" s="29"/>
      <c r="SK1437" s="29"/>
      <c r="SL1437" s="29"/>
      <c r="SM1437" s="29"/>
      <c r="SN1437" s="29"/>
      <c r="SO1437" s="29"/>
      <c r="SP1437" s="29"/>
      <c r="SQ1437" s="29"/>
      <c r="SR1437" s="29"/>
      <c r="SS1437" s="29"/>
      <c r="ST1437" s="29"/>
      <c r="SU1437" s="29"/>
      <c r="SV1437" s="29"/>
      <c r="SW1437" s="29"/>
      <c r="SX1437" s="29"/>
      <c r="SY1437" s="29"/>
      <c r="SZ1437" s="29"/>
      <c r="TA1437" s="29"/>
      <c r="TB1437" s="29"/>
      <c r="TC1437" s="29"/>
      <c r="TD1437" s="29"/>
      <c r="TE1437" s="29"/>
      <c r="TF1437" s="29"/>
      <c r="TG1437" s="29"/>
      <c r="TH1437" s="29"/>
      <c r="TI1437" s="29"/>
      <c r="TJ1437" s="29"/>
      <c r="TK1437" s="29"/>
      <c r="TL1437" s="29"/>
      <c r="TM1437" s="29"/>
      <c r="TN1437" s="29"/>
      <c r="TO1437" s="29"/>
      <c r="TP1437" s="29"/>
      <c r="TQ1437" s="29"/>
      <c r="TR1437" s="29"/>
      <c r="TS1437" s="29"/>
      <c r="TT1437" s="29"/>
      <c r="TU1437" s="29"/>
      <c r="TV1437" s="29"/>
      <c r="TW1437" s="29"/>
      <c r="TX1437" s="29"/>
      <c r="TY1437" s="29"/>
      <c r="TZ1437" s="29"/>
      <c r="UA1437" s="29"/>
      <c r="UB1437" s="29"/>
      <c r="UC1437" s="29"/>
      <c r="UD1437" s="29"/>
      <c r="UE1437" s="29"/>
      <c r="UF1437" s="29"/>
      <c r="UG1437" s="29"/>
    </row>
    <row r="1438" spans="1:553" ht="35.5" customHeight="1">
      <c r="A1438" s="356" t="s">
        <v>30</v>
      </c>
      <c r="B1438" s="822" t="s">
        <v>31</v>
      </c>
      <c r="C1438" s="1388" t="s">
        <v>774</v>
      </c>
      <c r="D1438" s="1389"/>
      <c r="E1438" s="1389"/>
      <c r="F1438" s="1390"/>
      <c r="G1438" s="417" t="s">
        <v>34</v>
      </c>
      <c r="H1438" s="370"/>
      <c r="I1438" s="834">
        <f>-34.6*2*0.22</f>
        <v>-15.224</v>
      </c>
      <c r="J1438" s="368">
        <v>1748702</v>
      </c>
      <c r="K1438" s="371"/>
      <c r="L1438" s="487">
        <f t="shared" si="222"/>
        <v>-26622239</v>
      </c>
      <c r="M1438" s="395"/>
      <c r="N1438" s="395"/>
      <c r="O1438" s="366"/>
      <c r="P1438" s="396"/>
      <c r="Q1438" s="473"/>
      <c r="R1438" s="1039"/>
      <c r="S1438" s="308"/>
      <c r="T1438" s="308"/>
      <c r="U1438" s="308"/>
      <c r="V1438" s="308"/>
      <c r="W1438" s="308"/>
      <c r="X1438" s="308"/>
      <c r="Y1438" s="308"/>
      <c r="Z1438" s="604"/>
      <c r="AA1438" s="308"/>
      <c r="AB1438" s="308"/>
      <c r="AC1438" s="486"/>
      <c r="AD1438" s="486"/>
      <c r="AE1438" s="486"/>
      <c r="AF1438" s="486"/>
      <c r="AG1438" s="486"/>
      <c r="AH1438" s="486"/>
      <c r="AI1438" s="486"/>
      <c r="AJ1438" s="486"/>
      <c r="AK1438" s="486"/>
      <c r="AL1438" s="206"/>
      <c r="AM1438" s="29"/>
      <c r="AN1438" s="29"/>
      <c r="AO1438" s="29"/>
      <c r="AP1438" s="29"/>
      <c r="AQ1438" s="29"/>
      <c r="AR1438" s="29"/>
      <c r="AS1438" s="29"/>
      <c r="AT1438" s="29"/>
      <c r="AU1438" s="29"/>
      <c r="AV1438" s="29"/>
      <c r="AW1438" s="29"/>
      <c r="AX1438" s="29"/>
      <c r="AY1438" s="29"/>
      <c r="AZ1438" s="29"/>
      <c r="BA1438" s="29"/>
      <c r="BB1438" s="29"/>
      <c r="BC1438" s="29"/>
      <c r="BD1438" s="29"/>
      <c r="BE1438" s="29"/>
      <c r="BF1438" s="29"/>
      <c r="BG1438" s="29"/>
      <c r="BH1438" s="29"/>
      <c r="BI1438" s="29"/>
      <c r="BJ1438" s="29"/>
      <c r="BK1438" s="29"/>
      <c r="BL1438" s="29"/>
      <c r="BM1438" s="29"/>
      <c r="BN1438" s="29"/>
      <c r="BO1438" s="29"/>
      <c r="BP1438" s="29"/>
      <c r="BQ1438" s="29"/>
      <c r="BR1438" s="29"/>
      <c r="BS1438" s="29"/>
      <c r="BT1438" s="29"/>
      <c r="BU1438" s="29"/>
      <c r="BV1438" s="29"/>
      <c r="BW1438" s="29"/>
      <c r="BX1438" s="29"/>
      <c r="BY1438" s="29"/>
      <c r="BZ1438" s="29"/>
      <c r="CA1438" s="29"/>
      <c r="CB1438" s="29"/>
      <c r="CC1438" s="29"/>
      <c r="CD1438" s="29"/>
      <c r="CE1438" s="29"/>
      <c r="CF1438" s="29"/>
      <c r="CG1438" s="29"/>
      <c r="CH1438" s="29"/>
      <c r="CI1438" s="29"/>
      <c r="CJ1438" s="29"/>
      <c r="CK1438" s="29"/>
      <c r="CL1438" s="29"/>
      <c r="CM1438" s="29"/>
      <c r="CN1438" s="29"/>
      <c r="CO1438" s="29"/>
      <c r="CP1438" s="29"/>
      <c r="CQ1438" s="29"/>
      <c r="CR1438" s="29"/>
      <c r="CS1438" s="29"/>
      <c r="CT1438" s="29"/>
      <c r="CU1438" s="29"/>
      <c r="CV1438" s="29"/>
      <c r="CW1438" s="29"/>
      <c r="CX1438" s="29"/>
      <c r="CY1438" s="29"/>
      <c r="CZ1438" s="29"/>
      <c r="DA1438" s="29"/>
      <c r="DB1438" s="29"/>
      <c r="DC1438" s="29"/>
      <c r="DD1438" s="29"/>
      <c r="DE1438" s="29"/>
      <c r="DF1438" s="29"/>
      <c r="DG1438" s="29"/>
      <c r="DH1438" s="29"/>
      <c r="DI1438" s="29"/>
      <c r="DJ1438" s="29"/>
      <c r="DK1438" s="29"/>
      <c r="DL1438" s="29"/>
      <c r="DM1438" s="29"/>
      <c r="DN1438" s="29"/>
      <c r="DO1438" s="29"/>
      <c r="DP1438" s="29"/>
      <c r="DQ1438" s="29"/>
      <c r="DR1438" s="29"/>
      <c r="DS1438" s="29"/>
      <c r="DT1438" s="29"/>
      <c r="DU1438" s="29"/>
      <c r="DV1438" s="29"/>
      <c r="DW1438" s="29"/>
      <c r="DX1438" s="29"/>
      <c r="DY1438" s="29"/>
      <c r="DZ1438" s="29"/>
      <c r="EA1438" s="29"/>
      <c r="EB1438" s="29"/>
      <c r="EC1438" s="29"/>
      <c r="ED1438" s="29"/>
      <c r="EE1438" s="29"/>
      <c r="EF1438" s="29"/>
      <c r="EG1438" s="29"/>
      <c r="EH1438" s="29"/>
      <c r="EI1438" s="29"/>
      <c r="EJ1438" s="29"/>
      <c r="EK1438" s="29"/>
      <c r="EL1438" s="29"/>
      <c r="EM1438" s="29"/>
      <c r="EN1438" s="29"/>
      <c r="EO1438" s="29"/>
      <c r="EP1438" s="29"/>
      <c r="EQ1438" s="29"/>
      <c r="ER1438" s="29"/>
      <c r="ES1438" s="29"/>
      <c r="ET1438" s="29"/>
      <c r="EU1438" s="29"/>
      <c r="EV1438" s="29"/>
      <c r="EW1438" s="29"/>
      <c r="EX1438" s="29"/>
      <c r="EY1438" s="29"/>
      <c r="EZ1438" s="29"/>
      <c r="FA1438" s="29"/>
      <c r="FB1438" s="29"/>
      <c r="FC1438" s="29"/>
      <c r="FD1438" s="29"/>
      <c r="FE1438" s="29"/>
      <c r="FF1438" s="29"/>
      <c r="FG1438" s="29"/>
      <c r="FH1438" s="29"/>
      <c r="FI1438" s="29"/>
      <c r="FJ1438" s="29"/>
      <c r="FK1438" s="29"/>
      <c r="FL1438" s="29"/>
      <c r="FM1438" s="29"/>
      <c r="FN1438" s="29"/>
      <c r="FO1438" s="29"/>
      <c r="FP1438" s="29"/>
      <c r="FQ1438" s="29"/>
      <c r="FR1438" s="29"/>
      <c r="FS1438" s="29"/>
      <c r="FT1438" s="29"/>
      <c r="FU1438" s="29"/>
      <c r="FV1438" s="29"/>
      <c r="FW1438" s="29"/>
      <c r="FX1438" s="29"/>
      <c r="FY1438" s="29"/>
      <c r="FZ1438" s="29"/>
      <c r="GA1438" s="29"/>
      <c r="GB1438" s="29"/>
      <c r="GC1438" s="29"/>
      <c r="GD1438" s="29"/>
      <c r="GE1438" s="29"/>
      <c r="GF1438" s="29"/>
      <c r="GG1438" s="29"/>
      <c r="GH1438" s="29"/>
      <c r="GI1438" s="29"/>
      <c r="GJ1438" s="29"/>
      <c r="GK1438" s="29"/>
      <c r="GL1438" s="29"/>
      <c r="GM1438" s="29"/>
      <c r="GN1438" s="29"/>
      <c r="GO1438" s="29"/>
      <c r="GP1438" s="29"/>
      <c r="GQ1438" s="29"/>
      <c r="GR1438" s="29"/>
      <c r="GS1438" s="29"/>
      <c r="GT1438" s="29"/>
      <c r="GU1438" s="29"/>
      <c r="GV1438" s="29"/>
      <c r="GW1438" s="29"/>
      <c r="GX1438" s="29"/>
      <c r="GY1438" s="29"/>
      <c r="GZ1438" s="29"/>
      <c r="HA1438" s="29"/>
      <c r="HB1438" s="29"/>
      <c r="HC1438" s="29"/>
      <c r="HD1438" s="29"/>
      <c r="HE1438" s="29"/>
      <c r="HF1438" s="29"/>
      <c r="HG1438" s="29"/>
      <c r="HH1438" s="29"/>
      <c r="HI1438" s="29"/>
      <c r="HJ1438" s="29"/>
      <c r="HK1438" s="29"/>
      <c r="HL1438" s="29"/>
      <c r="HM1438" s="29"/>
      <c r="HN1438" s="29"/>
      <c r="HO1438" s="29"/>
      <c r="HP1438" s="29"/>
      <c r="HQ1438" s="29"/>
      <c r="HR1438" s="29"/>
      <c r="HS1438" s="29"/>
      <c r="HT1438" s="29"/>
      <c r="HU1438" s="29"/>
      <c r="HV1438" s="29"/>
      <c r="HW1438" s="29"/>
      <c r="HX1438" s="29"/>
      <c r="HY1438" s="29"/>
      <c r="HZ1438" s="29"/>
      <c r="IA1438" s="29"/>
      <c r="IB1438" s="29"/>
      <c r="IC1438" s="29"/>
      <c r="ID1438" s="29"/>
      <c r="IE1438" s="29"/>
      <c r="IF1438" s="29"/>
      <c r="IG1438" s="29"/>
      <c r="IH1438" s="29"/>
      <c r="II1438" s="29"/>
      <c r="IJ1438" s="29"/>
      <c r="IK1438" s="29"/>
      <c r="IL1438" s="29"/>
      <c r="IM1438" s="29"/>
      <c r="IN1438" s="29"/>
      <c r="IO1438" s="29"/>
      <c r="IP1438" s="29"/>
      <c r="IQ1438" s="29"/>
      <c r="IR1438" s="29"/>
      <c r="IS1438" s="29"/>
      <c r="IT1438" s="29"/>
      <c r="IU1438" s="29"/>
      <c r="IV1438" s="29"/>
      <c r="IW1438" s="29"/>
      <c r="IX1438" s="29"/>
      <c r="IY1438" s="29"/>
      <c r="IZ1438" s="29"/>
      <c r="JA1438" s="29"/>
      <c r="JB1438" s="29"/>
      <c r="JC1438" s="29"/>
      <c r="JD1438" s="29"/>
      <c r="JE1438" s="29"/>
      <c r="JF1438" s="29"/>
      <c r="JG1438" s="29"/>
      <c r="JH1438" s="29"/>
      <c r="JI1438" s="29"/>
      <c r="JJ1438" s="29"/>
      <c r="JK1438" s="29"/>
      <c r="JL1438" s="29"/>
      <c r="JM1438" s="29"/>
      <c r="JN1438" s="29"/>
      <c r="JO1438" s="29"/>
      <c r="JP1438" s="29"/>
      <c r="JQ1438" s="29"/>
      <c r="JR1438" s="29"/>
      <c r="JS1438" s="29"/>
      <c r="JT1438" s="29"/>
      <c r="JU1438" s="29"/>
      <c r="JV1438" s="29"/>
      <c r="JW1438" s="29"/>
      <c r="JX1438" s="29"/>
      <c r="JY1438" s="29"/>
      <c r="JZ1438" s="29"/>
      <c r="KA1438" s="29"/>
      <c r="KB1438" s="29"/>
      <c r="KC1438" s="29"/>
      <c r="KD1438" s="29"/>
      <c r="KE1438" s="29"/>
      <c r="KF1438" s="29"/>
      <c r="KG1438" s="29"/>
      <c r="KH1438" s="29"/>
      <c r="KI1438" s="29"/>
      <c r="KJ1438" s="29"/>
      <c r="KK1438" s="29"/>
      <c r="KL1438" s="29"/>
      <c r="KM1438" s="29"/>
      <c r="KN1438" s="29"/>
      <c r="KO1438" s="29"/>
      <c r="KP1438" s="29"/>
      <c r="KQ1438" s="29"/>
      <c r="KR1438" s="29"/>
      <c r="KS1438" s="29"/>
      <c r="KT1438" s="29"/>
      <c r="KU1438" s="29"/>
      <c r="KV1438" s="29"/>
      <c r="KW1438" s="29"/>
      <c r="KX1438" s="29"/>
      <c r="KY1438" s="29"/>
      <c r="KZ1438" s="29"/>
      <c r="LA1438" s="29"/>
      <c r="LB1438" s="29"/>
      <c r="LC1438" s="29"/>
      <c r="LD1438" s="29"/>
      <c r="LE1438" s="29"/>
      <c r="LF1438" s="29"/>
      <c r="LG1438" s="29"/>
      <c r="LH1438" s="29"/>
      <c r="LI1438" s="29"/>
      <c r="LJ1438" s="29"/>
      <c r="LK1438" s="29"/>
      <c r="LL1438" s="29"/>
      <c r="LM1438" s="29"/>
      <c r="LN1438" s="29"/>
      <c r="LO1438" s="29"/>
      <c r="LP1438" s="29"/>
      <c r="LQ1438" s="29"/>
      <c r="LR1438" s="29"/>
      <c r="LS1438" s="29"/>
      <c r="LT1438" s="29"/>
      <c r="LU1438" s="29"/>
      <c r="LV1438" s="29"/>
      <c r="LW1438" s="29"/>
      <c r="LX1438" s="29"/>
      <c r="LY1438" s="29"/>
      <c r="LZ1438" s="29"/>
      <c r="MA1438" s="29"/>
      <c r="MB1438" s="29"/>
      <c r="MC1438" s="29"/>
      <c r="MD1438" s="29"/>
      <c r="ME1438" s="29"/>
      <c r="MF1438" s="29"/>
      <c r="MG1438" s="29"/>
      <c r="MH1438" s="29"/>
      <c r="MI1438" s="29"/>
      <c r="MJ1438" s="29"/>
      <c r="MK1438" s="29"/>
      <c r="ML1438" s="29"/>
      <c r="MM1438" s="29"/>
      <c r="MN1438" s="29"/>
      <c r="MO1438" s="29"/>
      <c r="MP1438" s="29"/>
      <c r="MQ1438" s="29"/>
      <c r="MR1438" s="29"/>
      <c r="MS1438" s="29"/>
      <c r="MT1438" s="29"/>
      <c r="MU1438" s="29"/>
      <c r="MV1438" s="29"/>
      <c r="MW1438" s="29"/>
      <c r="MX1438" s="29"/>
      <c r="MY1438" s="29"/>
      <c r="MZ1438" s="29"/>
      <c r="NA1438" s="29"/>
      <c r="NB1438" s="29"/>
      <c r="NC1438" s="29"/>
      <c r="ND1438" s="29"/>
      <c r="NE1438" s="29"/>
      <c r="NF1438" s="29"/>
      <c r="NG1438" s="29"/>
      <c r="NH1438" s="29"/>
      <c r="NI1438" s="29"/>
      <c r="NJ1438" s="29"/>
      <c r="NK1438" s="29"/>
      <c r="NL1438" s="29"/>
      <c r="NM1438" s="29"/>
      <c r="NN1438" s="29"/>
      <c r="NO1438" s="29"/>
      <c r="NP1438" s="29"/>
      <c r="NQ1438" s="29"/>
      <c r="NR1438" s="29"/>
      <c r="NS1438" s="29"/>
      <c r="NT1438" s="29"/>
      <c r="NU1438" s="29"/>
      <c r="NV1438" s="29"/>
      <c r="NW1438" s="29"/>
      <c r="NX1438" s="29"/>
      <c r="NY1438" s="29"/>
      <c r="NZ1438" s="29"/>
      <c r="OA1438" s="29"/>
      <c r="OB1438" s="29"/>
      <c r="OC1438" s="29"/>
      <c r="OD1438" s="29"/>
      <c r="OE1438" s="29"/>
      <c r="OF1438" s="29"/>
      <c r="OG1438" s="29"/>
      <c r="OH1438" s="29"/>
      <c r="OI1438" s="29"/>
      <c r="OJ1438" s="29"/>
      <c r="OK1438" s="29"/>
      <c r="OL1438" s="29"/>
      <c r="OM1438" s="29"/>
      <c r="ON1438" s="29"/>
      <c r="OO1438" s="29"/>
      <c r="OP1438" s="29"/>
      <c r="OQ1438" s="29"/>
      <c r="OR1438" s="29"/>
      <c r="OS1438" s="29"/>
      <c r="OT1438" s="29"/>
      <c r="OU1438" s="29"/>
      <c r="OV1438" s="29"/>
      <c r="OW1438" s="29"/>
      <c r="OX1438" s="29"/>
      <c r="OY1438" s="29"/>
      <c r="OZ1438" s="29"/>
      <c r="PA1438" s="29"/>
      <c r="PB1438" s="29"/>
      <c r="PC1438" s="29"/>
      <c r="PD1438" s="29"/>
      <c r="PE1438" s="29"/>
      <c r="PF1438" s="29"/>
      <c r="PG1438" s="29"/>
      <c r="PH1438" s="29"/>
      <c r="PI1438" s="29"/>
      <c r="PJ1438" s="29"/>
      <c r="PK1438" s="29"/>
      <c r="PL1438" s="29"/>
      <c r="PM1438" s="29"/>
      <c r="PN1438" s="29"/>
      <c r="PO1438" s="29"/>
      <c r="PP1438" s="29"/>
      <c r="PQ1438" s="29"/>
      <c r="PR1438" s="29"/>
      <c r="PS1438" s="29"/>
      <c r="PT1438" s="29"/>
      <c r="PU1438" s="29"/>
      <c r="PV1438" s="29"/>
      <c r="PW1438" s="29"/>
      <c r="PX1438" s="29"/>
      <c r="PY1438" s="29"/>
      <c r="PZ1438" s="29"/>
      <c r="QA1438" s="29"/>
      <c r="QB1438" s="29"/>
      <c r="QC1438" s="29"/>
      <c r="QD1438" s="29"/>
      <c r="QE1438" s="29"/>
      <c r="QF1438" s="29"/>
      <c r="QG1438" s="29"/>
      <c r="QH1438" s="29"/>
      <c r="QI1438" s="29"/>
      <c r="QJ1438" s="29"/>
      <c r="QK1438" s="29"/>
      <c r="QL1438" s="29"/>
      <c r="QM1438" s="29"/>
      <c r="QN1438" s="29"/>
      <c r="QO1438" s="29"/>
      <c r="QP1438" s="29"/>
      <c r="QQ1438" s="29"/>
      <c r="QR1438" s="29"/>
      <c r="QS1438" s="29"/>
      <c r="QT1438" s="29"/>
      <c r="QU1438" s="29"/>
      <c r="QV1438" s="29"/>
      <c r="QW1438" s="29"/>
      <c r="QX1438" s="29"/>
      <c r="QY1438" s="29"/>
      <c r="QZ1438" s="29"/>
      <c r="RA1438" s="29"/>
      <c r="RB1438" s="29"/>
      <c r="RC1438" s="29"/>
      <c r="RD1438" s="29"/>
      <c r="RE1438" s="29"/>
      <c r="RF1438" s="29"/>
      <c r="RG1438" s="29"/>
      <c r="RH1438" s="29"/>
      <c r="RI1438" s="29"/>
      <c r="RJ1438" s="29"/>
      <c r="RK1438" s="29"/>
      <c r="RL1438" s="29"/>
      <c r="RM1438" s="29"/>
      <c r="RN1438" s="29"/>
      <c r="RO1438" s="29"/>
      <c r="RP1438" s="29"/>
      <c r="RQ1438" s="29"/>
      <c r="RR1438" s="29"/>
      <c r="RS1438" s="29"/>
      <c r="RT1438" s="29"/>
      <c r="RU1438" s="29"/>
      <c r="RV1438" s="29"/>
      <c r="RW1438" s="29"/>
      <c r="RX1438" s="29"/>
      <c r="RY1438" s="29"/>
      <c r="RZ1438" s="29"/>
      <c r="SA1438" s="29"/>
      <c r="SB1438" s="29"/>
      <c r="SC1438" s="29"/>
      <c r="SD1438" s="29"/>
      <c r="SE1438" s="29"/>
      <c r="SF1438" s="29"/>
      <c r="SG1438" s="29"/>
      <c r="SH1438" s="29"/>
      <c r="SI1438" s="29"/>
      <c r="SJ1438" s="29"/>
      <c r="SK1438" s="29"/>
      <c r="SL1438" s="29"/>
      <c r="SM1438" s="29"/>
      <c r="SN1438" s="29"/>
      <c r="SO1438" s="29"/>
      <c r="SP1438" s="29"/>
      <c r="SQ1438" s="29"/>
      <c r="SR1438" s="29"/>
      <c r="SS1438" s="29"/>
      <c r="ST1438" s="29"/>
      <c r="SU1438" s="29"/>
      <c r="SV1438" s="29"/>
      <c r="SW1438" s="29"/>
      <c r="SX1438" s="29"/>
      <c r="SY1438" s="29"/>
      <c r="SZ1438" s="29"/>
      <c r="TA1438" s="29"/>
      <c r="TB1438" s="29"/>
      <c r="TC1438" s="29"/>
      <c r="TD1438" s="29"/>
      <c r="TE1438" s="29"/>
      <c r="TF1438" s="29"/>
      <c r="TG1438" s="29"/>
      <c r="TH1438" s="29"/>
      <c r="TI1438" s="29"/>
      <c r="TJ1438" s="29"/>
      <c r="TK1438" s="29"/>
      <c r="TL1438" s="29"/>
      <c r="TM1438" s="29"/>
      <c r="TN1438" s="29"/>
      <c r="TO1438" s="29"/>
      <c r="TP1438" s="29"/>
      <c r="TQ1438" s="29"/>
      <c r="TR1438" s="29"/>
      <c r="TS1438" s="29"/>
      <c r="TT1438" s="29"/>
      <c r="TU1438" s="29"/>
      <c r="TV1438" s="29"/>
      <c r="TW1438" s="29"/>
      <c r="TX1438" s="29"/>
      <c r="TY1438" s="29"/>
      <c r="TZ1438" s="29"/>
      <c r="UA1438" s="29"/>
      <c r="UB1438" s="29"/>
      <c r="UC1438" s="29"/>
      <c r="UD1438" s="29"/>
      <c r="UE1438" s="29"/>
      <c r="UF1438" s="29"/>
      <c r="UG1438" s="29"/>
    </row>
    <row r="1439" spans="1:553" ht="39" customHeight="1">
      <c r="A1439" s="356" t="s">
        <v>30</v>
      </c>
      <c r="B1439" s="822">
        <v>203</v>
      </c>
      <c r="C1439" s="1535" t="s">
        <v>775</v>
      </c>
      <c r="D1439" s="1389"/>
      <c r="E1439" s="1389"/>
      <c r="F1439" s="1390"/>
      <c r="G1439" s="417" t="s">
        <v>33</v>
      </c>
      <c r="H1439" s="370"/>
      <c r="I1439" s="834">
        <f>34.6*2/1.7</f>
        <v>40.705882352941181</v>
      </c>
      <c r="J1439" s="368">
        <v>815000</v>
      </c>
      <c r="K1439" s="371"/>
      <c r="L1439" s="487">
        <f t="shared" si="222"/>
        <v>33175294</v>
      </c>
      <c r="M1439" s="395"/>
      <c r="N1439" s="395"/>
      <c r="O1439" s="366"/>
      <c r="P1439" s="396"/>
      <c r="Q1439" s="473"/>
      <c r="R1439" s="1039"/>
      <c r="S1439" s="308"/>
      <c r="T1439" s="308"/>
      <c r="U1439" s="308"/>
      <c r="V1439" s="308"/>
      <c r="W1439" s="308"/>
      <c r="X1439" s="308"/>
      <c r="Y1439" s="308"/>
      <c r="Z1439" s="604"/>
      <c r="AA1439" s="308"/>
      <c r="AB1439" s="308"/>
      <c r="AC1439" s="486"/>
      <c r="AD1439" s="486"/>
      <c r="AE1439" s="486"/>
      <c r="AF1439" s="486"/>
      <c r="AG1439" s="486"/>
      <c r="AH1439" s="486"/>
      <c r="AI1439" s="486"/>
      <c r="AJ1439" s="486"/>
      <c r="AK1439" s="486"/>
      <c r="AL1439" s="206"/>
      <c r="AM1439" s="29"/>
      <c r="AN1439" s="29"/>
      <c r="AO1439" s="29"/>
      <c r="AP1439" s="29"/>
      <c r="AQ1439" s="29"/>
      <c r="AR1439" s="29"/>
      <c r="AS1439" s="29"/>
      <c r="AT1439" s="29"/>
      <c r="AU1439" s="29"/>
      <c r="AV1439" s="29"/>
      <c r="AW1439" s="29"/>
      <c r="AX1439" s="29"/>
      <c r="AY1439" s="29"/>
      <c r="AZ1439" s="29"/>
      <c r="BA1439" s="29"/>
      <c r="BB1439" s="29"/>
      <c r="BC1439" s="29"/>
      <c r="BD1439" s="29"/>
      <c r="BE1439" s="29"/>
      <c r="BF1439" s="29"/>
      <c r="BG1439" s="29"/>
      <c r="BH1439" s="29"/>
      <c r="BI1439" s="29"/>
      <c r="BJ1439" s="29"/>
      <c r="BK1439" s="29"/>
      <c r="BL1439" s="29"/>
      <c r="BM1439" s="29"/>
      <c r="BN1439" s="29"/>
      <c r="BO1439" s="29"/>
      <c r="BP1439" s="29"/>
      <c r="BQ1439" s="29"/>
      <c r="BR1439" s="29"/>
      <c r="BS1439" s="29"/>
      <c r="BT1439" s="29"/>
      <c r="BU1439" s="29"/>
      <c r="BV1439" s="29"/>
      <c r="BW1439" s="29"/>
      <c r="BX1439" s="29"/>
      <c r="BY1439" s="29"/>
      <c r="BZ1439" s="29"/>
      <c r="CA1439" s="29"/>
      <c r="CB1439" s="29"/>
      <c r="CC1439" s="29"/>
      <c r="CD1439" s="29"/>
      <c r="CE1439" s="29"/>
      <c r="CF1439" s="29"/>
      <c r="CG1439" s="29"/>
      <c r="CH1439" s="29"/>
      <c r="CI1439" s="29"/>
      <c r="CJ1439" s="29"/>
      <c r="CK1439" s="29"/>
      <c r="CL1439" s="29"/>
      <c r="CM1439" s="29"/>
      <c r="CN1439" s="29"/>
      <c r="CO1439" s="29"/>
      <c r="CP1439" s="29"/>
      <c r="CQ1439" s="29"/>
      <c r="CR1439" s="29"/>
      <c r="CS1439" s="29"/>
      <c r="CT1439" s="29"/>
      <c r="CU1439" s="29"/>
      <c r="CV1439" s="29"/>
      <c r="CW1439" s="29"/>
      <c r="CX1439" s="29"/>
      <c r="CY1439" s="29"/>
      <c r="CZ1439" s="29"/>
      <c r="DA1439" s="29"/>
      <c r="DB1439" s="29"/>
      <c r="DC1439" s="29"/>
      <c r="DD1439" s="29"/>
      <c r="DE1439" s="29"/>
      <c r="DF1439" s="29"/>
      <c r="DG1439" s="29"/>
      <c r="DH1439" s="29"/>
      <c r="DI1439" s="29"/>
      <c r="DJ1439" s="29"/>
      <c r="DK1439" s="29"/>
      <c r="DL1439" s="29"/>
      <c r="DM1439" s="29"/>
      <c r="DN1439" s="29"/>
      <c r="DO1439" s="29"/>
      <c r="DP1439" s="29"/>
      <c r="DQ1439" s="29"/>
      <c r="DR1439" s="29"/>
      <c r="DS1439" s="29"/>
      <c r="DT1439" s="29"/>
      <c r="DU1439" s="29"/>
      <c r="DV1439" s="29"/>
      <c r="DW1439" s="29"/>
      <c r="DX1439" s="29"/>
      <c r="DY1439" s="29"/>
      <c r="DZ1439" s="29"/>
      <c r="EA1439" s="29"/>
      <c r="EB1439" s="29"/>
      <c r="EC1439" s="29"/>
      <c r="ED1439" s="29"/>
      <c r="EE1439" s="29"/>
      <c r="EF1439" s="29"/>
      <c r="EG1439" s="29"/>
      <c r="EH1439" s="29"/>
      <c r="EI1439" s="29"/>
      <c r="EJ1439" s="29"/>
      <c r="EK1439" s="29"/>
      <c r="EL1439" s="29"/>
      <c r="EM1439" s="29"/>
      <c r="EN1439" s="29"/>
      <c r="EO1439" s="29"/>
      <c r="EP1439" s="29"/>
      <c r="EQ1439" s="29"/>
      <c r="ER1439" s="29"/>
      <c r="ES1439" s="29"/>
      <c r="ET1439" s="29"/>
      <c r="EU1439" s="29"/>
      <c r="EV1439" s="29"/>
      <c r="EW1439" s="29"/>
      <c r="EX1439" s="29"/>
      <c r="EY1439" s="29"/>
      <c r="EZ1439" s="29"/>
      <c r="FA1439" s="29"/>
      <c r="FB1439" s="29"/>
      <c r="FC1439" s="29"/>
      <c r="FD1439" s="29"/>
      <c r="FE1439" s="29"/>
      <c r="FF1439" s="29"/>
      <c r="FG1439" s="29"/>
      <c r="FH1439" s="29"/>
      <c r="FI1439" s="29"/>
      <c r="FJ1439" s="29"/>
      <c r="FK1439" s="29"/>
      <c r="FL1439" s="29"/>
      <c r="FM1439" s="29"/>
      <c r="FN1439" s="29"/>
      <c r="FO1439" s="29"/>
      <c r="FP1439" s="29"/>
      <c r="FQ1439" s="29"/>
      <c r="FR1439" s="29"/>
      <c r="FS1439" s="29"/>
      <c r="FT1439" s="29"/>
      <c r="FU1439" s="29"/>
      <c r="FV1439" s="29"/>
      <c r="FW1439" s="29"/>
      <c r="FX1439" s="29"/>
      <c r="FY1439" s="29"/>
      <c r="FZ1439" s="29"/>
      <c r="GA1439" s="29"/>
      <c r="GB1439" s="29"/>
      <c r="GC1439" s="29"/>
      <c r="GD1439" s="29"/>
      <c r="GE1439" s="29"/>
      <c r="GF1439" s="29"/>
      <c r="GG1439" s="29"/>
      <c r="GH1439" s="29"/>
      <c r="GI1439" s="29"/>
      <c r="GJ1439" s="29"/>
      <c r="GK1439" s="29"/>
      <c r="GL1439" s="29"/>
      <c r="GM1439" s="29"/>
      <c r="GN1439" s="29"/>
      <c r="GO1439" s="29"/>
      <c r="GP1439" s="29"/>
      <c r="GQ1439" s="29"/>
      <c r="GR1439" s="29"/>
      <c r="GS1439" s="29"/>
      <c r="GT1439" s="29"/>
      <c r="GU1439" s="29"/>
      <c r="GV1439" s="29"/>
      <c r="GW1439" s="29"/>
      <c r="GX1439" s="29"/>
      <c r="GY1439" s="29"/>
      <c r="GZ1439" s="29"/>
      <c r="HA1439" s="29"/>
      <c r="HB1439" s="29"/>
      <c r="HC1439" s="29"/>
      <c r="HD1439" s="29"/>
      <c r="HE1439" s="29"/>
      <c r="HF1439" s="29"/>
      <c r="HG1439" s="29"/>
      <c r="HH1439" s="29"/>
      <c r="HI1439" s="29"/>
      <c r="HJ1439" s="29"/>
      <c r="HK1439" s="29"/>
      <c r="HL1439" s="29"/>
      <c r="HM1439" s="29"/>
      <c r="HN1439" s="29"/>
      <c r="HO1439" s="29"/>
      <c r="HP1439" s="29"/>
      <c r="HQ1439" s="29"/>
      <c r="HR1439" s="29"/>
      <c r="HS1439" s="29"/>
      <c r="HT1439" s="29"/>
      <c r="HU1439" s="29"/>
      <c r="HV1439" s="29"/>
      <c r="HW1439" s="29"/>
      <c r="HX1439" s="29"/>
      <c r="HY1439" s="29"/>
      <c r="HZ1439" s="29"/>
      <c r="IA1439" s="29"/>
      <c r="IB1439" s="29"/>
      <c r="IC1439" s="29"/>
      <c r="ID1439" s="29"/>
      <c r="IE1439" s="29"/>
      <c r="IF1439" s="29"/>
      <c r="IG1439" s="29"/>
      <c r="IH1439" s="29"/>
      <c r="II1439" s="29"/>
      <c r="IJ1439" s="29"/>
      <c r="IK1439" s="29"/>
      <c r="IL1439" s="29"/>
      <c r="IM1439" s="29"/>
      <c r="IN1439" s="29"/>
      <c r="IO1439" s="29"/>
      <c r="IP1439" s="29"/>
      <c r="IQ1439" s="29"/>
      <c r="IR1439" s="29"/>
      <c r="IS1439" s="29"/>
      <c r="IT1439" s="29"/>
      <c r="IU1439" s="29"/>
      <c r="IV1439" s="29"/>
      <c r="IW1439" s="29"/>
      <c r="IX1439" s="29"/>
      <c r="IY1439" s="29"/>
      <c r="IZ1439" s="29"/>
      <c r="JA1439" s="29"/>
      <c r="JB1439" s="29"/>
      <c r="JC1439" s="29"/>
      <c r="JD1439" s="29"/>
      <c r="JE1439" s="29"/>
      <c r="JF1439" s="29"/>
      <c r="JG1439" s="29"/>
      <c r="JH1439" s="29"/>
      <c r="JI1439" s="29"/>
      <c r="JJ1439" s="29"/>
      <c r="JK1439" s="29"/>
      <c r="JL1439" s="29"/>
      <c r="JM1439" s="29"/>
      <c r="JN1439" s="29"/>
      <c r="JO1439" s="29"/>
      <c r="JP1439" s="29"/>
      <c r="JQ1439" s="29"/>
      <c r="JR1439" s="29"/>
      <c r="JS1439" s="29"/>
      <c r="JT1439" s="29"/>
      <c r="JU1439" s="29"/>
      <c r="JV1439" s="29"/>
      <c r="JW1439" s="29"/>
      <c r="JX1439" s="29"/>
      <c r="JY1439" s="29"/>
      <c r="JZ1439" s="29"/>
      <c r="KA1439" s="29"/>
      <c r="KB1439" s="29"/>
      <c r="KC1439" s="29"/>
      <c r="KD1439" s="29"/>
      <c r="KE1439" s="29"/>
      <c r="KF1439" s="29"/>
      <c r="KG1439" s="29"/>
      <c r="KH1439" s="29"/>
      <c r="KI1439" s="29"/>
      <c r="KJ1439" s="29"/>
      <c r="KK1439" s="29"/>
      <c r="KL1439" s="29"/>
      <c r="KM1439" s="29"/>
      <c r="KN1439" s="29"/>
      <c r="KO1439" s="29"/>
      <c r="KP1439" s="29"/>
      <c r="KQ1439" s="29"/>
      <c r="KR1439" s="29"/>
      <c r="KS1439" s="29"/>
      <c r="KT1439" s="29"/>
      <c r="KU1439" s="29"/>
      <c r="KV1439" s="29"/>
      <c r="KW1439" s="29"/>
      <c r="KX1439" s="29"/>
      <c r="KY1439" s="29"/>
      <c r="KZ1439" s="29"/>
      <c r="LA1439" s="29"/>
      <c r="LB1439" s="29"/>
      <c r="LC1439" s="29"/>
      <c r="LD1439" s="29"/>
      <c r="LE1439" s="29"/>
      <c r="LF1439" s="29"/>
      <c r="LG1439" s="29"/>
      <c r="LH1439" s="29"/>
      <c r="LI1439" s="29"/>
      <c r="LJ1439" s="29"/>
      <c r="LK1439" s="29"/>
      <c r="LL1439" s="29"/>
      <c r="LM1439" s="29"/>
      <c r="LN1439" s="29"/>
      <c r="LO1439" s="29"/>
      <c r="LP1439" s="29"/>
      <c r="LQ1439" s="29"/>
      <c r="LR1439" s="29"/>
      <c r="LS1439" s="29"/>
      <c r="LT1439" s="29"/>
      <c r="LU1439" s="29"/>
      <c r="LV1439" s="29"/>
      <c r="LW1439" s="29"/>
      <c r="LX1439" s="29"/>
      <c r="LY1439" s="29"/>
      <c r="LZ1439" s="29"/>
      <c r="MA1439" s="29"/>
      <c r="MB1439" s="29"/>
      <c r="MC1439" s="29"/>
      <c r="MD1439" s="29"/>
      <c r="ME1439" s="29"/>
      <c r="MF1439" s="29"/>
      <c r="MG1439" s="29"/>
      <c r="MH1439" s="29"/>
      <c r="MI1439" s="29"/>
      <c r="MJ1439" s="29"/>
      <c r="MK1439" s="29"/>
      <c r="ML1439" s="29"/>
      <c r="MM1439" s="29"/>
      <c r="MN1439" s="29"/>
      <c r="MO1439" s="29"/>
      <c r="MP1439" s="29"/>
      <c r="MQ1439" s="29"/>
      <c r="MR1439" s="29"/>
      <c r="MS1439" s="29"/>
      <c r="MT1439" s="29"/>
      <c r="MU1439" s="29"/>
      <c r="MV1439" s="29"/>
      <c r="MW1439" s="29"/>
      <c r="MX1439" s="29"/>
      <c r="MY1439" s="29"/>
      <c r="MZ1439" s="29"/>
      <c r="NA1439" s="29"/>
      <c r="NB1439" s="29"/>
      <c r="NC1439" s="29"/>
      <c r="ND1439" s="29"/>
      <c r="NE1439" s="29"/>
      <c r="NF1439" s="29"/>
      <c r="NG1439" s="29"/>
      <c r="NH1439" s="29"/>
      <c r="NI1439" s="29"/>
      <c r="NJ1439" s="29"/>
      <c r="NK1439" s="29"/>
      <c r="NL1439" s="29"/>
      <c r="NM1439" s="29"/>
      <c r="NN1439" s="29"/>
      <c r="NO1439" s="29"/>
      <c r="NP1439" s="29"/>
      <c r="NQ1439" s="29"/>
      <c r="NR1439" s="29"/>
      <c r="NS1439" s="29"/>
      <c r="NT1439" s="29"/>
      <c r="NU1439" s="29"/>
      <c r="NV1439" s="29"/>
      <c r="NW1439" s="29"/>
      <c r="NX1439" s="29"/>
      <c r="NY1439" s="29"/>
      <c r="NZ1439" s="29"/>
      <c r="OA1439" s="29"/>
      <c r="OB1439" s="29"/>
      <c r="OC1439" s="29"/>
      <c r="OD1439" s="29"/>
      <c r="OE1439" s="29"/>
      <c r="OF1439" s="29"/>
      <c r="OG1439" s="29"/>
      <c r="OH1439" s="29"/>
      <c r="OI1439" s="29"/>
      <c r="OJ1439" s="29"/>
      <c r="OK1439" s="29"/>
      <c r="OL1439" s="29"/>
      <c r="OM1439" s="29"/>
      <c r="ON1439" s="29"/>
      <c r="OO1439" s="29"/>
      <c r="OP1439" s="29"/>
      <c r="OQ1439" s="29"/>
      <c r="OR1439" s="29"/>
      <c r="OS1439" s="29"/>
      <c r="OT1439" s="29"/>
      <c r="OU1439" s="29"/>
      <c r="OV1439" s="29"/>
      <c r="OW1439" s="29"/>
      <c r="OX1439" s="29"/>
      <c r="OY1439" s="29"/>
      <c r="OZ1439" s="29"/>
      <c r="PA1439" s="29"/>
      <c r="PB1439" s="29"/>
      <c r="PC1439" s="29"/>
      <c r="PD1439" s="29"/>
      <c r="PE1439" s="29"/>
      <c r="PF1439" s="29"/>
      <c r="PG1439" s="29"/>
      <c r="PH1439" s="29"/>
      <c r="PI1439" s="29"/>
      <c r="PJ1439" s="29"/>
      <c r="PK1439" s="29"/>
      <c r="PL1439" s="29"/>
      <c r="PM1439" s="29"/>
      <c r="PN1439" s="29"/>
      <c r="PO1439" s="29"/>
      <c r="PP1439" s="29"/>
      <c r="PQ1439" s="29"/>
      <c r="PR1439" s="29"/>
      <c r="PS1439" s="29"/>
      <c r="PT1439" s="29"/>
      <c r="PU1439" s="29"/>
      <c r="PV1439" s="29"/>
      <c r="PW1439" s="29"/>
      <c r="PX1439" s="29"/>
      <c r="PY1439" s="29"/>
      <c r="PZ1439" s="29"/>
      <c r="QA1439" s="29"/>
      <c r="QB1439" s="29"/>
      <c r="QC1439" s="29"/>
      <c r="QD1439" s="29"/>
      <c r="QE1439" s="29"/>
      <c r="QF1439" s="29"/>
      <c r="QG1439" s="29"/>
      <c r="QH1439" s="29"/>
      <c r="QI1439" s="29"/>
      <c r="QJ1439" s="29"/>
      <c r="QK1439" s="29"/>
      <c r="QL1439" s="29"/>
      <c r="QM1439" s="29"/>
      <c r="QN1439" s="29"/>
      <c r="QO1439" s="29"/>
      <c r="QP1439" s="29"/>
      <c r="QQ1439" s="29"/>
      <c r="QR1439" s="29"/>
      <c r="QS1439" s="29"/>
      <c r="QT1439" s="29"/>
      <c r="QU1439" s="29"/>
      <c r="QV1439" s="29"/>
      <c r="QW1439" s="29"/>
      <c r="QX1439" s="29"/>
      <c r="QY1439" s="29"/>
      <c r="QZ1439" s="29"/>
      <c r="RA1439" s="29"/>
      <c r="RB1439" s="29"/>
      <c r="RC1439" s="29"/>
      <c r="RD1439" s="29"/>
      <c r="RE1439" s="29"/>
      <c r="RF1439" s="29"/>
      <c r="RG1439" s="29"/>
      <c r="RH1439" s="29"/>
      <c r="RI1439" s="29"/>
      <c r="RJ1439" s="29"/>
      <c r="RK1439" s="29"/>
      <c r="RL1439" s="29"/>
      <c r="RM1439" s="29"/>
      <c r="RN1439" s="29"/>
      <c r="RO1439" s="29"/>
      <c r="RP1439" s="29"/>
      <c r="RQ1439" s="29"/>
      <c r="RR1439" s="29"/>
      <c r="RS1439" s="29"/>
      <c r="RT1439" s="29"/>
      <c r="RU1439" s="29"/>
      <c r="RV1439" s="29"/>
      <c r="RW1439" s="29"/>
      <c r="RX1439" s="29"/>
      <c r="RY1439" s="29"/>
      <c r="RZ1439" s="29"/>
      <c r="SA1439" s="29"/>
      <c r="SB1439" s="29"/>
      <c r="SC1439" s="29"/>
      <c r="SD1439" s="29"/>
      <c r="SE1439" s="29"/>
      <c r="SF1439" s="29"/>
      <c r="SG1439" s="29"/>
      <c r="SH1439" s="29"/>
      <c r="SI1439" s="29"/>
      <c r="SJ1439" s="29"/>
      <c r="SK1439" s="29"/>
      <c r="SL1439" s="29"/>
      <c r="SM1439" s="29"/>
      <c r="SN1439" s="29"/>
      <c r="SO1439" s="29"/>
      <c r="SP1439" s="29"/>
      <c r="SQ1439" s="29"/>
      <c r="SR1439" s="29"/>
      <c r="SS1439" s="29"/>
      <c r="ST1439" s="29"/>
      <c r="SU1439" s="29"/>
      <c r="SV1439" s="29"/>
      <c r="SW1439" s="29"/>
      <c r="SX1439" s="29"/>
      <c r="SY1439" s="29"/>
      <c r="SZ1439" s="29"/>
      <c r="TA1439" s="29"/>
      <c r="TB1439" s="29"/>
      <c r="TC1439" s="29"/>
      <c r="TD1439" s="29"/>
      <c r="TE1439" s="29"/>
      <c r="TF1439" s="29"/>
      <c r="TG1439" s="29"/>
      <c r="TH1439" s="29"/>
      <c r="TI1439" s="29"/>
      <c r="TJ1439" s="29"/>
      <c r="TK1439" s="29"/>
      <c r="TL1439" s="29"/>
      <c r="TM1439" s="29"/>
      <c r="TN1439" s="29"/>
      <c r="TO1439" s="29"/>
      <c r="TP1439" s="29"/>
      <c r="TQ1439" s="29"/>
      <c r="TR1439" s="29"/>
      <c r="TS1439" s="29"/>
      <c r="TT1439" s="29"/>
      <c r="TU1439" s="29"/>
      <c r="TV1439" s="29"/>
      <c r="TW1439" s="29"/>
      <c r="TX1439" s="29"/>
      <c r="TY1439" s="29"/>
      <c r="TZ1439" s="29"/>
      <c r="UA1439" s="29"/>
      <c r="UB1439" s="29"/>
      <c r="UC1439" s="29"/>
      <c r="UD1439" s="29"/>
      <c r="UE1439" s="29"/>
      <c r="UF1439" s="29"/>
      <c r="UG1439" s="29"/>
    </row>
    <row r="1440" spans="1:553" s="214" customFormat="1" ht="34.5" customHeight="1">
      <c r="A1440" s="823" t="s">
        <v>30</v>
      </c>
      <c r="B1440" s="824">
        <v>2</v>
      </c>
      <c r="C1440" s="1602" t="s">
        <v>891</v>
      </c>
      <c r="D1440" s="1603"/>
      <c r="E1440" s="1603"/>
      <c r="F1440" s="1604"/>
      <c r="G1440" s="825" t="s">
        <v>33</v>
      </c>
      <c r="H1440" s="826"/>
      <c r="I1440" s="827">
        <f>-34.6*2*2</f>
        <v>-138.4</v>
      </c>
      <c r="J1440" s="1000">
        <v>52000</v>
      </c>
      <c r="K1440" s="829"/>
      <c r="L1440" s="1204">
        <f>J1440*I1440</f>
        <v>-7196800</v>
      </c>
      <c r="M1440" s="830"/>
      <c r="N1440" s="830"/>
      <c r="O1440" s="828"/>
      <c r="P1440" s="831"/>
      <c r="Q1440" s="1162"/>
      <c r="R1440" s="1169"/>
      <c r="S1440" s="308"/>
      <c r="T1440" s="308"/>
      <c r="U1440" s="308"/>
      <c r="V1440" s="308"/>
      <c r="W1440" s="308"/>
      <c r="X1440" s="308"/>
      <c r="Y1440" s="308"/>
      <c r="Z1440" s="604"/>
      <c r="AA1440" s="308"/>
      <c r="AB1440" s="308"/>
      <c r="AC1440" s="832"/>
      <c r="AD1440" s="832"/>
      <c r="AE1440" s="832"/>
      <c r="AF1440" s="832"/>
      <c r="AG1440" s="833"/>
      <c r="AH1440" s="833"/>
      <c r="AI1440" s="833"/>
      <c r="AJ1440" s="833"/>
      <c r="AK1440" s="833"/>
      <c r="AL1440" s="211"/>
      <c r="AM1440" s="211"/>
      <c r="AN1440" s="211"/>
      <c r="AO1440" s="211"/>
      <c r="AP1440" s="211"/>
      <c r="AQ1440" s="212"/>
      <c r="AR1440" s="212"/>
      <c r="AS1440" s="212"/>
      <c r="AT1440" s="212"/>
      <c r="AU1440" s="212"/>
      <c r="AV1440" s="212"/>
      <c r="AW1440" s="212"/>
      <c r="AX1440" s="212"/>
      <c r="AY1440" s="212"/>
      <c r="AZ1440" s="212"/>
      <c r="BA1440" s="212"/>
      <c r="BB1440" s="212"/>
      <c r="BC1440" s="212"/>
      <c r="BD1440" s="212"/>
      <c r="BE1440" s="212"/>
      <c r="BF1440" s="212"/>
      <c r="BG1440" s="212"/>
      <c r="BH1440" s="212"/>
      <c r="BI1440" s="212"/>
      <c r="BJ1440" s="212"/>
      <c r="BK1440" s="212"/>
      <c r="BL1440" s="212"/>
      <c r="BM1440" s="212"/>
      <c r="BN1440" s="212"/>
      <c r="BO1440" s="212"/>
      <c r="BP1440" s="212"/>
      <c r="BQ1440" s="212"/>
      <c r="BR1440" s="212"/>
      <c r="BS1440" s="212"/>
      <c r="BT1440" s="212"/>
      <c r="BU1440" s="212"/>
      <c r="BV1440" s="212"/>
      <c r="BW1440" s="212"/>
      <c r="BX1440" s="212"/>
      <c r="BY1440" s="212"/>
      <c r="BZ1440" s="212"/>
      <c r="CA1440" s="212"/>
      <c r="CB1440" s="212"/>
      <c r="CC1440" s="212"/>
      <c r="CD1440" s="212"/>
      <c r="CE1440" s="212"/>
      <c r="CF1440" s="212"/>
      <c r="CG1440" s="212"/>
      <c r="CH1440" s="212"/>
      <c r="CI1440" s="212"/>
      <c r="CJ1440" s="212"/>
      <c r="CK1440" s="212"/>
      <c r="CL1440" s="212"/>
      <c r="CM1440" s="212"/>
      <c r="CN1440" s="212"/>
      <c r="CO1440" s="212"/>
      <c r="CP1440" s="212"/>
      <c r="CQ1440" s="212"/>
      <c r="CR1440" s="212"/>
      <c r="CS1440" s="212"/>
      <c r="CT1440" s="212"/>
      <c r="CU1440" s="212"/>
      <c r="CV1440" s="212"/>
      <c r="CW1440" s="212"/>
      <c r="CX1440" s="212"/>
      <c r="CY1440" s="212"/>
      <c r="CZ1440" s="212"/>
      <c r="DA1440" s="212"/>
      <c r="DB1440" s="212"/>
      <c r="DC1440" s="212"/>
      <c r="DD1440" s="212"/>
      <c r="DE1440" s="212"/>
      <c r="DF1440" s="212"/>
      <c r="DG1440" s="212"/>
      <c r="DH1440" s="212"/>
      <c r="DI1440" s="212"/>
      <c r="DJ1440" s="212"/>
      <c r="DK1440" s="212"/>
      <c r="DL1440" s="212"/>
      <c r="DM1440" s="212"/>
      <c r="DN1440" s="212"/>
      <c r="DO1440" s="212"/>
      <c r="DP1440" s="212"/>
      <c r="DQ1440" s="212"/>
      <c r="DR1440" s="212"/>
      <c r="DS1440" s="212"/>
      <c r="DT1440" s="212"/>
      <c r="DU1440" s="212"/>
      <c r="DV1440" s="212"/>
      <c r="DW1440" s="212"/>
      <c r="DX1440" s="212"/>
      <c r="DY1440" s="212"/>
      <c r="DZ1440" s="212"/>
      <c r="EA1440" s="212"/>
      <c r="EB1440" s="212"/>
      <c r="EC1440" s="212"/>
      <c r="ED1440" s="212"/>
      <c r="EE1440" s="212"/>
      <c r="EF1440" s="212"/>
      <c r="EG1440" s="212"/>
      <c r="EH1440" s="212"/>
      <c r="EI1440" s="212"/>
      <c r="EJ1440" s="212"/>
      <c r="EK1440" s="212"/>
      <c r="EL1440" s="212"/>
      <c r="EM1440" s="212"/>
      <c r="EN1440" s="212"/>
      <c r="EO1440" s="212"/>
      <c r="EP1440" s="212"/>
      <c r="EQ1440" s="212"/>
      <c r="ER1440" s="212"/>
      <c r="ES1440" s="212"/>
      <c r="ET1440" s="212"/>
      <c r="EU1440" s="212"/>
      <c r="EV1440" s="212"/>
      <c r="EW1440" s="212"/>
      <c r="EX1440" s="212"/>
      <c r="EY1440" s="212"/>
      <c r="EZ1440" s="212"/>
      <c r="FA1440" s="212"/>
      <c r="FB1440" s="212"/>
      <c r="FC1440" s="212"/>
      <c r="FD1440" s="212"/>
      <c r="FE1440" s="212"/>
      <c r="FF1440" s="212"/>
      <c r="FG1440" s="212"/>
      <c r="FH1440" s="212"/>
      <c r="FI1440" s="212"/>
      <c r="FJ1440" s="212"/>
      <c r="FK1440" s="212"/>
      <c r="FL1440" s="212"/>
      <c r="FM1440" s="212"/>
      <c r="FN1440" s="212"/>
      <c r="FO1440" s="212"/>
      <c r="FP1440" s="212"/>
      <c r="FQ1440" s="212"/>
      <c r="FR1440" s="212"/>
      <c r="FS1440" s="212"/>
      <c r="FT1440" s="212"/>
      <c r="FU1440" s="212"/>
      <c r="FV1440" s="212"/>
      <c r="FW1440" s="212"/>
      <c r="FX1440" s="212"/>
      <c r="FY1440" s="212"/>
      <c r="FZ1440" s="212"/>
      <c r="GA1440" s="212"/>
      <c r="GB1440" s="212"/>
      <c r="GC1440" s="212"/>
      <c r="GD1440" s="212"/>
      <c r="GE1440" s="212"/>
      <c r="GF1440" s="212"/>
      <c r="GG1440" s="212"/>
      <c r="GH1440" s="212"/>
      <c r="GI1440" s="212"/>
      <c r="GJ1440" s="212"/>
      <c r="GK1440" s="212"/>
      <c r="GL1440" s="212"/>
      <c r="GM1440" s="212"/>
      <c r="GN1440" s="212"/>
      <c r="GO1440" s="212"/>
      <c r="GP1440" s="212"/>
      <c r="GQ1440" s="212"/>
      <c r="GR1440" s="212"/>
      <c r="GS1440" s="212"/>
      <c r="GT1440" s="212"/>
      <c r="GU1440" s="212"/>
      <c r="GV1440" s="212"/>
      <c r="GW1440" s="212"/>
      <c r="GX1440" s="212"/>
      <c r="GY1440" s="212"/>
      <c r="GZ1440" s="212"/>
      <c r="HA1440" s="212"/>
      <c r="HB1440" s="212"/>
      <c r="HC1440" s="212"/>
      <c r="HD1440" s="212"/>
      <c r="HE1440" s="212"/>
      <c r="HF1440" s="212"/>
      <c r="HG1440" s="212"/>
      <c r="HH1440" s="212"/>
      <c r="HI1440" s="212"/>
      <c r="HJ1440" s="212"/>
      <c r="HK1440" s="212"/>
      <c r="HL1440" s="212"/>
      <c r="HM1440" s="212"/>
      <c r="HN1440" s="212"/>
      <c r="HO1440" s="212"/>
      <c r="HP1440" s="212"/>
      <c r="HQ1440" s="212"/>
      <c r="HR1440" s="212"/>
      <c r="HS1440" s="212"/>
      <c r="HT1440" s="212"/>
      <c r="HU1440" s="212"/>
      <c r="HV1440" s="212"/>
      <c r="HW1440" s="212"/>
      <c r="HX1440" s="212"/>
      <c r="HY1440" s="212"/>
      <c r="HZ1440" s="212"/>
      <c r="IA1440" s="212"/>
      <c r="IB1440" s="212"/>
      <c r="IC1440" s="212"/>
      <c r="ID1440" s="212"/>
      <c r="IE1440" s="212"/>
      <c r="IF1440" s="212"/>
      <c r="IG1440" s="212"/>
      <c r="IH1440" s="212"/>
      <c r="II1440" s="212"/>
      <c r="IJ1440" s="212"/>
      <c r="IK1440" s="212"/>
      <c r="IL1440" s="212"/>
      <c r="IM1440" s="212"/>
      <c r="IN1440" s="212"/>
      <c r="IO1440" s="212"/>
      <c r="IP1440" s="212"/>
      <c r="IQ1440" s="212"/>
      <c r="IR1440" s="212"/>
      <c r="IS1440" s="212"/>
      <c r="IT1440" s="212"/>
      <c r="IU1440" s="212"/>
      <c r="IV1440" s="212"/>
      <c r="IW1440" s="212"/>
      <c r="IX1440" s="212"/>
      <c r="IY1440" s="212"/>
      <c r="IZ1440" s="212"/>
      <c r="JA1440" s="212"/>
      <c r="JB1440" s="212"/>
      <c r="JC1440" s="212"/>
      <c r="JD1440" s="212"/>
      <c r="JE1440" s="212"/>
      <c r="JF1440" s="212"/>
      <c r="JG1440" s="212"/>
      <c r="JH1440" s="212"/>
      <c r="JI1440" s="212"/>
      <c r="JJ1440" s="212"/>
      <c r="JK1440" s="212"/>
      <c r="JL1440" s="212"/>
      <c r="JM1440" s="212"/>
      <c r="JN1440" s="212"/>
      <c r="JO1440" s="212"/>
      <c r="JP1440" s="212"/>
      <c r="JQ1440" s="212"/>
      <c r="JR1440" s="212"/>
      <c r="JS1440" s="212"/>
      <c r="JT1440" s="212"/>
      <c r="JU1440" s="212"/>
      <c r="JV1440" s="212"/>
      <c r="JW1440" s="212"/>
      <c r="JX1440" s="212"/>
      <c r="JY1440" s="212"/>
      <c r="JZ1440" s="212"/>
      <c r="KA1440" s="212"/>
      <c r="KB1440" s="212"/>
      <c r="KC1440" s="212"/>
      <c r="KD1440" s="212"/>
      <c r="KE1440" s="212"/>
      <c r="KF1440" s="212"/>
      <c r="KG1440" s="212"/>
      <c r="KH1440" s="212"/>
      <c r="KI1440" s="212"/>
      <c r="KJ1440" s="212"/>
      <c r="KK1440" s="212"/>
      <c r="KL1440" s="212"/>
      <c r="KM1440" s="212"/>
      <c r="KN1440" s="212"/>
      <c r="KO1440" s="212"/>
      <c r="KP1440" s="212"/>
      <c r="KQ1440" s="212"/>
      <c r="KR1440" s="212"/>
      <c r="KS1440" s="212"/>
      <c r="KT1440" s="212"/>
      <c r="KU1440" s="212"/>
      <c r="KV1440" s="212"/>
      <c r="KW1440" s="212"/>
      <c r="KX1440" s="212"/>
      <c r="KY1440" s="212"/>
      <c r="KZ1440" s="212"/>
      <c r="LA1440" s="212"/>
      <c r="LB1440" s="212"/>
      <c r="LC1440" s="212"/>
      <c r="LD1440" s="212"/>
      <c r="LE1440" s="212"/>
      <c r="LF1440" s="212"/>
      <c r="LG1440" s="212"/>
      <c r="LH1440" s="212"/>
      <c r="LI1440" s="212"/>
      <c r="LJ1440" s="212"/>
      <c r="LK1440" s="212"/>
      <c r="LL1440" s="212"/>
      <c r="LM1440" s="212"/>
      <c r="LN1440" s="212"/>
      <c r="LO1440" s="212"/>
      <c r="LP1440" s="212"/>
      <c r="LQ1440" s="212"/>
      <c r="LR1440" s="212"/>
      <c r="LS1440" s="212"/>
      <c r="LT1440" s="212"/>
      <c r="LU1440" s="212"/>
      <c r="LV1440" s="212"/>
      <c r="LW1440" s="212"/>
      <c r="LX1440" s="212"/>
      <c r="LY1440" s="212"/>
      <c r="LZ1440" s="212"/>
      <c r="MA1440" s="212"/>
      <c r="MB1440" s="212"/>
      <c r="MC1440" s="212"/>
      <c r="MD1440" s="212"/>
      <c r="ME1440" s="212"/>
      <c r="MF1440" s="212"/>
      <c r="MG1440" s="212"/>
      <c r="MH1440" s="212"/>
      <c r="MI1440" s="212"/>
      <c r="MJ1440" s="212"/>
      <c r="MK1440" s="212"/>
      <c r="ML1440" s="212"/>
      <c r="MM1440" s="212"/>
      <c r="MN1440" s="212"/>
      <c r="MO1440" s="212"/>
      <c r="MP1440" s="212"/>
      <c r="MQ1440" s="212"/>
      <c r="MR1440" s="212"/>
      <c r="MS1440" s="212"/>
      <c r="MT1440" s="212"/>
      <c r="MU1440" s="212"/>
      <c r="MV1440" s="212"/>
      <c r="MW1440" s="212"/>
      <c r="MX1440" s="212"/>
      <c r="MY1440" s="212"/>
      <c r="MZ1440" s="212"/>
      <c r="NA1440" s="212"/>
      <c r="NB1440" s="212"/>
      <c r="NC1440" s="212"/>
      <c r="ND1440" s="212"/>
      <c r="NE1440" s="212"/>
      <c r="NF1440" s="212"/>
      <c r="NG1440" s="212"/>
      <c r="NH1440" s="212"/>
      <c r="NI1440" s="212"/>
      <c r="NJ1440" s="212"/>
      <c r="NK1440" s="212"/>
      <c r="NL1440" s="212"/>
      <c r="NM1440" s="212"/>
      <c r="NN1440" s="212"/>
      <c r="NO1440" s="212"/>
      <c r="NP1440" s="212"/>
      <c r="NQ1440" s="212"/>
      <c r="NR1440" s="212"/>
      <c r="NS1440" s="212"/>
      <c r="NT1440" s="212"/>
      <c r="NU1440" s="212"/>
      <c r="NV1440" s="212"/>
      <c r="NW1440" s="212"/>
      <c r="NX1440" s="212"/>
      <c r="NY1440" s="212"/>
      <c r="NZ1440" s="212"/>
      <c r="OA1440" s="212"/>
      <c r="OB1440" s="212"/>
      <c r="OC1440" s="212"/>
      <c r="OD1440" s="212"/>
      <c r="OE1440" s="212"/>
      <c r="OF1440" s="212"/>
      <c r="OG1440" s="212"/>
      <c r="OH1440" s="212"/>
      <c r="OI1440" s="212"/>
      <c r="OJ1440" s="212"/>
      <c r="OK1440" s="212"/>
      <c r="OL1440" s="212"/>
      <c r="OM1440" s="212"/>
      <c r="ON1440" s="212"/>
      <c r="OO1440" s="212"/>
      <c r="OP1440" s="212"/>
      <c r="OQ1440" s="212"/>
      <c r="OR1440" s="212"/>
      <c r="OS1440" s="212"/>
      <c r="OT1440" s="212"/>
      <c r="OU1440" s="212"/>
      <c r="OV1440" s="212"/>
      <c r="OW1440" s="212"/>
      <c r="OX1440" s="212"/>
      <c r="OY1440" s="212"/>
      <c r="OZ1440" s="212"/>
      <c r="PA1440" s="212"/>
      <c r="PB1440" s="212"/>
      <c r="PC1440" s="212"/>
      <c r="PD1440" s="212"/>
      <c r="PE1440" s="212"/>
      <c r="PF1440" s="212"/>
      <c r="PG1440" s="212"/>
      <c r="PH1440" s="212"/>
      <c r="PI1440" s="212"/>
      <c r="PJ1440" s="212"/>
      <c r="PK1440" s="212"/>
      <c r="PL1440" s="212"/>
      <c r="PM1440" s="212"/>
      <c r="PN1440" s="212"/>
      <c r="PO1440" s="212"/>
      <c r="PP1440" s="212"/>
      <c r="PQ1440" s="212"/>
      <c r="PR1440" s="212"/>
      <c r="PS1440" s="212"/>
      <c r="PT1440" s="212"/>
      <c r="PU1440" s="212"/>
      <c r="PV1440" s="212"/>
      <c r="PW1440" s="212"/>
      <c r="PX1440" s="212"/>
      <c r="PY1440" s="212"/>
      <c r="PZ1440" s="212"/>
      <c r="QA1440" s="212"/>
      <c r="QB1440" s="212"/>
      <c r="QC1440" s="212"/>
      <c r="QD1440" s="212"/>
      <c r="QE1440" s="212"/>
      <c r="QF1440" s="212"/>
      <c r="QG1440" s="212"/>
      <c r="QH1440" s="212"/>
      <c r="QI1440" s="212"/>
      <c r="QJ1440" s="212"/>
      <c r="QK1440" s="212"/>
      <c r="QL1440" s="212"/>
      <c r="QM1440" s="212"/>
      <c r="QN1440" s="212"/>
      <c r="QO1440" s="212"/>
      <c r="QP1440" s="212"/>
      <c r="QQ1440" s="212"/>
      <c r="QR1440" s="212"/>
      <c r="QS1440" s="212"/>
      <c r="QT1440" s="212"/>
      <c r="QU1440" s="212"/>
      <c r="QV1440" s="212"/>
      <c r="QW1440" s="212"/>
      <c r="QX1440" s="212"/>
      <c r="QY1440" s="212"/>
      <c r="QZ1440" s="212"/>
      <c r="RA1440" s="212"/>
      <c r="RB1440" s="212"/>
      <c r="RC1440" s="212"/>
      <c r="RD1440" s="212"/>
      <c r="RE1440" s="212"/>
      <c r="RF1440" s="212"/>
      <c r="RG1440" s="212"/>
      <c r="RH1440" s="212"/>
      <c r="RI1440" s="212"/>
      <c r="RJ1440" s="212"/>
      <c r="RK1440" s="212"/>
      <c r="RL1440" s="212"/>
      <c r="RM1440" s="212"/>
      <c r="RN1440" s="212"/>
      <c r="RO1440" s="212"/>
      <c r="RP1440" s="212"/>
      <c r="RQ1440" s="212"/>
      <c r="RR1440" s="212"/>
      <c r="RS1440" s="212"/>
      <c r="RT1440" s="212"/>
      <c r="RU1440" s="212"/>
      <c r="RV1440" s="212"/>
      <c r="RW1440" s="212"/>
      <c r="RX1440" s="212"/>
      <c r="RY1440" s="212"/>
      <c r="RZ1440" s="212"/>
      <c r="SA1440" s="212"/>
      <c r="SB1440" s="212"/>
      <c r="SC1440" s="212"/>
      <c r="SD1440" s="212"/>
      <c r="SE1440" s="212"/>
      <c r="SF1440" s="212"/>
      <c r="SG1440" s="212"/>
      <c r="SH1440" s="212"/>
      <c r="SI1440" s="212"/>
      <c r="SJ1440" s="212"/>
      <c r="SK1440" s="212"/>
      <c r="SL1440" s="212"/>
      <c r="SM1440" s="212"/>
      <c r="SN1440" s="212"/>
      <c r="SO1440" s="212"/>
      <c r="SP1440" s="212"/>
      <c r="SQ1440" s="212"/>
      <c r="SR1440" s="212"/>
      <c r="SS1440" s="212"/>
      <c r="ST1440" s="212"/>
      <c r="SU1440" s="212"/>
      <c r="SV1440" s="212"/>
      <c r="SW1440" s="212"/>
      <c r="SX1440" s="212"/>
      <c r="SY1440" s="212"/>
      <c r="SZ1440" s="212"/>
      <c r="TA1440" s="212"/>
      <c r="TB1440" s="212"/>
      <c r="TC1440" s="212"/>
      <c r="TD1440" s="212"/>
      <c r="TE1440" s="212"/>
      <c r="TF1440" s="212"/>
      <c r="TG1440" s="212"/>
      <c r="TH1440" s="212"/>
      <c r="TI1440" s="212"/>
      <c r="TJ1440" s="212"/>
      <c r="TK1440" s="212"/>
      <c r="TL1440" s="212"/>
      <c r="TM1440" s="212"/>
      <c r="TN1440" s="212"/>
      <c r="TO1440" s="212"/>
      <c r="TP1440" s="212"/>
      <c r="TQ1440" s="212"/>
      <c r="TR1440" s="212"/>
      <c r="TS1440" s="212"/>
      <c r="TT1440" s="212"/>
      <c r="TU1440" s="212"/>
      <c r="TV1440" s="212"/>
      <c r="TW1440" s="212"/>
      <c r="TX1440" s="212"/>
      <c r="TY1440" s="212"/>
      <c r="TZ1440" s="212"/>
      <c r="UA1440" s="212"/>
      <c r="UB1440" s="212"/>
      <c r="UC1440" s="212"/>
      <c r="UD1440" s="212"/>
      <c r="UE1440" s="212"/>
      <c r="UF1440" s="212"/>
      <c r="UG1440" s="213"/>
    </row>
    <row r="1441" spans="1:553" s="214" customFormat="1" ht="34.5" customHeight="1">
      <c r="A1441" s="823" t="s">
        <v>30</v>
      </c>
      <c r="B1441" s="824">
        <v>5</v>
      </c>
      <c r="C1441" s="1602" t="s">
        <v>892</v>
      </c>
      <c r="D1441" s="1603"/>
      <c r="E1441" s="1603"/>
      <c r="F1441" s="1604"/>
      <c r="G1441" s="825" t="s">
        <v>33</v>
      </c>
      <c r="H1441" s="826"/>
      <c r="I1441" s="827">
        <f>-34.6*2*2</f>
        <v>-138.4</v>
      </c>
      <c r="J1441" s="1000">
        <v>41700</v>
      </c>
      <c r="K1441" s="829"/>
      <c r="L1441" s="1204">
        <f>J1441*I1441</f>
        <v>-5771280</v>
      </c>
      <c r="M1441" s="830"/>
      <c r="N1441" s="830"/>
      <c r="O1441" s="828"/>
      <c r="P1441" s="831"/>
      <c r="Q1441" s="1162"/>
      <c r="R1441" s="1169"/>
      <c r="S1441" s="308"/>
      <c r="T1441" s="308"/>
      <c r="U1441" s="308"/>
      <c r="V1441" s="308"/>
      <c r="W1441" s="308"/>
      <c r="X1441" s="308"/>
      <c r="Y1441" s="308"/>
      <c r="Z1441" s="604"/>
      <c r="AA1441" s="308"/>
      <c r="AB1441" s="308"/>
      <c r="AC1441" s="832"/>
      <c r="AD1441" s="832"/>
      <c r="AE1441" s="832"/>
      <c r="AF1441" s="832"/>
      <c r="AG1441" s="833"/>
      <c r="AH1441" s="833"/>
      <c r="AI1441" s="833"/>
      <c r="AJ1441" s="833"/>
      <c r="AK1441" s="833"/>
      <c r="AL1441" s="211"/>
      <c r="AM1441" s="211"/>
      <c r="AN1441" s="211"/>
      <c r="AO1441" s="211"/>
      <c r="AP1441" s="211"/>
      <c r="AQ1441" s="212"/>
      <c r="AR1441" s="212"/>
      <c r="AS1441" s="212"/>
      <c r="AT1441" s="212"/>
      <c r="AU1441" s="212"/>
      <c r="AV1441" s="212"/>
      <c r="AW1441" s="212"/>
      <c r="AX1441" s="212"/>
      <c r="AY1441" s="212"/>
      <c r="AZ1441" s="212"/>
      <c r="BA1441" s="212"/>
      <c r="BB1441" s="212"/>
      <c r="BC1441" s="212"/>
      <c r="BD1441" s="212"/>
      <c r="BE1441" s="212"/>
      <c r="BF1441" s="212"/>
      <c r="BG1441" s="212"/>
      <c r="BH1441" s="212"/>
      <c r="BI1441" s="212"/>
      <c r="BJ1441" s="212"/>
      <c r="BK1441" s="212"/>
      <c r="BL1441" s="212"/>
      <c r="BM1441" s="212"/>
      <c r="BN1441" s="212"/>
      <c r="BO1441" s="212"/>
      <c r="BP1441" s="212"/>
      <c r="BQ1441" s="212"/>
      <c r="BR1441" s="212"/>
      <c r="BS1441" s="212"/>
      <c r="BT1441" s="212"/>
      <c r="BU1441" s="212"/>
      <c r="BV1441" s="212"/>
      <c r="BW1441" s="212"/>
      <c r="BX1441" s="212"/>
      <c r="BY1441" s="212"/>
      <c r="BZ1441" s="212"/>
      <c r="CA1441" s="212"/>
      <c r="CB1441" s="212"/>
      <c r="CC1441" s="212"/>
      <c r="CD1441" s="212"/>
      <c r="CE1441" s="212"/>
      <c r="CF1441" s="212"/>
      <c r="CG1441" s="212"/>
      <c r="CH1441" s="212"/>
      <c r="CI1441" s="212"/>
      <c r="CJ1441" s="212"/>
      <c r="CK1441" s="212"/>
      <c r="CL1441" s="212"/>
      <c r="CM1441" s="212"/>
      <c r="CN1441" s="212"/>
      <c r="CO1441" s="212"/>
      <c r="CP1441" s="212"/>
      <c r="CQ1441" s="212"/>
      <c r="CR1441" s="212"/>
      <c r="CS1441" s="212"/>
      <c r="CT1441" s="212"/>
      <c r="CU1441" s="212"/>
      <c r="CV1441" s="212"/>
      <c r="CW1441" s="212"/>
      <c r="CX1441" s="212"/>
      <c r="CY1441" s="212"/>
      <c r="CZ1441" s="212"/>
      <c r="DA1441" s="212"/>
      <c r="DB1441" s="212"/>
      <c r="DC1441" s="212"/>
      <c r="DD1441" s="212"/>
      <c r="DE1441" s="212"/>
      <c r="DF1441" s="212"/>
      <c r="DG1441" s="212"/>
      <c r="DH1441" s="212"/>
      <c r="DI1441" s="212"/>
      <c r="DJ1441" s="212"/>
      <c r="DK1441" s="212"/>
      <c r="DL1441" s="212"/>
      <c r="DM1441" s="212"/>
      <c r="DN1441" s="212"/>
      <c r="DO1441" s="212"/>
      <c r="DP1441" s="212"/>
      <c r="DQ1441" s="212"/>
      <c r="DR1441" s="212"/>
      <c r="DS1441" s="212"/>
      <c r="DT1441" s="212"/>
      <c r="DU1441" s="212"/>
      <c r="DV1441" s="212"/>
      <c r="DW1441" s="212"/>
      <c r="DX1441" s="212"/>
      <c r="DY1441" s="212"/>
      <c r="DZ1441" s="212"/>
      <c r="EA1441" s="212"/>
      <c r="EB1441" s="212"/>
      <c r="EC1441" s="212"/>
      <c r="ED1441" s="212"/>
      <c r="EE1441" s="212"/>
      <c r="EF1441" s="212"/>
      <c r="EG1441" s="212"/>
      <c r="EH1441" s="212"/>
      <c r="EI1441" s="212"/>
      <c r="EJ1441" s="212"/>
      <c r="EK1441" s="212"/>
      <c r="EL1441" s="212"/>
      <c r="EM1441" s="212"/>
      <c r="EN1441" s="212"/>
      <c r="EO1441" s="212"/>
      <c r="EP1441" s="212"/>
      <c r="EQ1441" s="212"/>
      <c r="ER1441" s="212"/>
      <c r="ES1441" s="212"/>
      <c r="ET1441" s="212"/>
      <c r="EU1441" s="212"/>
      <c r="EV1441" s="212"/>
      <c r="EW1441" s="212"/>
      <c r="EX1441" s="212"/>
      <c r="EY1441" s="212"/>
      <c r="EZ1441" s="212"/>
      <c r="FA1441" s="212"/>
      <c r="FB1441" s="212"/>
      <c r="FC1441" s="212"/>
      <c r="FD1441" s="212"/>
      <c r="FE1441" s="212"/>
      <c r="FF1441" s="212"/>
      <c r="FG1441" s="212"/>
      <c r="FH1441" s="212"/>
      <c r="FI1441" s="212"/>
      <c r="FJ1441" s="212"/>
      <c r="FK1441" s="212"/>
      <c r="FL1441" s="212"/>
      <c r="FM1441" s="212"/>
      <c r="FN1441" s="212"/>
      <c r="FO1441" s="212"/>
      <c r="FP1441" s="212"/>
      <c r="FQ1441" s="212"/>
      <c r="FR1441" s="212"/>
      <c r="FS1441" s="212"/>
      <c r="FT1441" s="212"/>
      <c r="FU1441" s="212"/>
      <c r="FV1441" s="212"/>
      <c r="FW1441" s="212"/>
      <c r="FX1441" s="212"/>
      <c r="FY1441" s="212"/>
      <c r="FZ1441" s="212"/>
      <c r="GA1441" s="212"/>
      <c r="GB1441" s="212"/>
      <c r="GC1441" s="212"/>
      <c r="GD1441" s="212"/>
      <c r="GE1441" s="212"/>
      <c r="GF1441" s="212"/>
      <c r="GG1441" s="212"/>
      <c r="GH1441" s="212"/>
      <c r="GI1441" s="212"/>
      <c r="GJ1441" s="212"/>
      <c r="GK1441" s="212"/>
      <c r="GL1441" s="212"/>
      <c r="GM1441" s="212"/>
      <c r="GN1441" s="212"/>
      <c r="GO1441" s="212"/>
      <c r="GP1441" s="212"/>
      <c r="GQ1441" s="212"/>
      <c r="GR1441" s="212"/>
      <c r="GS1441" s="212"/>
      <c r="GT1441" s="212"/>
      <c r="GU1441" s="212"/>
      <c r="GV1441" s="212"/>
      <c r="GW1441" s="212"/>
      <c r="GX1441" s="212"/>
      <c r="GY1441" s="212"/>
      <c r="GZ1441" s="212"/>
      <c r="HA1441" s="212"/>
      <c r="HB1441" s="212"/>
      <c r="HC1441" s="212"/>
      <c r="HD1441" s="212"/>
      <c r="HE1441" s="212"/>
      <c r="HF1441" s="212"/>
      <c r="HG1441" s="212"/>
      <c r="HH1441" s="212"/>
      <c r="HI1441" s="212"/>
      <c r="HJ1441" s="212"/>
      <c r="HK1441" s="212"/>
      <c r="HL1441" s="212"/>
      <c r="HM1441" s="212"/>
      <c r="HN1441" s="212"/>
      <c r="HO1441" s="212"/>
      <c r="HP1441" s="212"/>
      <c r="HQ1441" s="212"/>
      <c r="HR1441" s="212"/>
      <c r="HS1441" s="212"/>
      <c r="HT1441" s="212"/>
      <c r="HU1441" s="212"/>
      <c r="HV1441" s="212"/>
      <c r="HW1441" s="212"/>
      <c r="HX1441" s="212"/>
      <c r="HY1441" s="212"/>
      <c r="HZ1441" s="212"/>
      <c r="IA1441" s="212"/>
      <c r="IB1441" s="212"/>
      <c r="IC1441" s="212"/>
      <c r="ID1441" s="212"/>
      <c r="IE1441" s="212"/>
      <c r="IF1441" s="212"/>
      <c r="IG1441" s="212"/>
      <c r="IH1441" s="212"/>
      <c r="II1441" s="212"/>
      <c r="IJ1441" s="212"/>
      <c r="IK1441" s="212"/>
      <c r="IL1441" s="212"/>
      <c r="IM1441" s="212"/>
      <c r="IN1441" s="212"/>
      <c r="IO1441" s="212"/>
      <c r="IP1441" s="212"/>
      <c r="IQ1441" s="212"/>
      <c r="IR1441" s="212"/>
      <c r="IS1441" s="212"/>
      <c r="IT1441" s="212"/>
      <c r="IU1441" s="212"/>
      <c r="IV1441" s="212"/>
      <c r="IW1441" s="212"/>
      <c r="IX1441" s="212"/>
      <c r="IY1441" s="212"/>
      <c r="IZ1441" s="212"/>
      <c r="JA1441" s="212"/>
      <c r="JB1441" s="212"/>
      <c r="JC1441" s="212"/>
      <c r="JD1441" s="212"/>
      <c r="JE1441" s="212"/>
      <c r="JF1441" s="212"/>
      <c r="JG1441" s="212"/>
      <c r="JH1441" s="212"/>
      <c r="JI1441" s="212"/>
      <c r="JJ1441" s="212"/>
      <c r="JK1441" s="212"/>
      <c r="JL1441" s="212"/>
      <c r="JM1441" s="212"/>
      <c r="JN1441" s="212"/>
      <c r="JO1441" s="212"/>
      <c r="JP1441" s="212"/>
      <c r="JQ1441" s="212"/>
      <c r="JR1441" s="212"/>
      <c r="JS1441" s="212"/>
      <c r="JT1441" s="212"/>
      <c r="JU1441" s="212"/>
      <c r="JV1441" s="212"/>
      <c r="JW1441" s="212"/>
      <c r="JX1441" s="212"/>
      <c r="JY1441" s="212"/>
      <c r="JZ1441" s="212"/>
      <c r="KA1441" s="212"/>
      <c r="KB1441" s="212"/>
      <c r="KC1441" s="212"/>
      <c r="KD1441" s="212"/>
      <c r="KE1441" s="212"/>
      <c r="KF1441" s="212"/>
      <c r="KG1441" s="212"/>
      <c r="KH1441" s="212"/>
      <c r="KI1441" s="212"/>
      <c r="KJ1441" s="212"/>
      <c r="KK1441" s="212"/>
      <c r="KL1441" s="212"/>
      <c r="KM1441" s="212"/>
      <c r="KN1441" s="212"/>
      <c r="KO1441" s="212"/>
      <c r="KP1441" s="212"/>
      <c r="KQ1441" s="212"/>
      <c r="KR1441" s="212"/>
      <c r="KS1441" s="212"/>
      <c r="KT1441" s="212"/>
      <c r="KU1441" s="212"/>
      <c r="KV1441" s="212"/>
      <c r="KW1441" s="212"/>
      <c r="KX1441" s="212"/>
      <c r="KY1441" s="212"/>
      <c r="KZ1441" s="212"/>
      <c r="LA1441" s="212"/>
      <c r="LB1441" s="212"/>
      <c r="LC1441" s="212"/>
      <c r="LD1441" s="212"/>
      <c r="LE1441" s="212"/>
      <c r="LF1441" s="212"/>
      <c r="LG1441" s="212"/>
      <c r="LH1441" s="212"/>
      <c r="LI1441" s="212"/>
      <c r="LJ1441" s="212"/>
      <c r="LK1441" s="212"/>
      <c r="LL1441" s="212"/>
      <c r="LM1441" s="212"/>
      <c r="LN1441" s="212"/>
      <c r="LO1441" s="212"/>
      <c r="LP1441" s="212"/>
      <c r="LQ1441" s="212"/>
      <c r="LR1441" s="212"/>
      <c r="LS1441" s="212"/>
      <c r="LT1441" s="212"/>
      <c r="LU1441" s="212"/>
      <c r="LV1441" s="212"/>
      <c r="LW1441" s="212"/>
      <c r="LX1441" s="212"/>
      <c r="LY1441" s="212"/>
      <c r="LZ1441" s="212"/>
      <c r="MA1441" s="212"/>
      <c r="MB1441" s="212"/>
      <c r="MC1441" s="212"/>
      <c r="MD1441" s="212"/>
      <c r="ME1441" s="212"/>
      <c r="MF1441" s="212"/>
      <c r="MG1441" s="212"/>
      <c r="MH1441" s="212"/>
      <c r="MI1441" s="212"/>
      <c r="MJ1441" s="212"/>
      <c r="MK1441" s="212"/>
      <c r="ML1441" s="212"/>
      <c r="MM1441" s="212"/>
      <c r="MN1441" s="212"/>
      <c r="MO1441" s="212"/>
      <c r="MP1441" s="212"/>
      <c r="MQ1441" s="212"/>
      <c r="MR1441" s="212"/>
      <c r="MS1441" s="212"/>
      <c r="MT1441" s="212"/>
      <c r="MU1441" s="212"/>
      <c r="MV1441" s="212"/>
      <c r="MW1441" s="212"/>
      <c r="MX1441" s="212"/>
      <c r="MY1441" s="212"/>
      <c r="MZ1441" s="212"/>
      <c r="NA1441" s="212"/>
      <c r="NB1441" s="212"/>
      <c r="NC1441" s="212"/>
      <c r="ND1441" s="212"/>
      <c r="NE1441" s="212"/>
      <c r="NF1441" s="212"/>
      <c r="NG1441" s="212"/>
      <c r="NH1441" s="212"/>
      <c r="NI1441" s="212"/>
      <c r="NJ1441" s="212"/>
      <c r="NK1441" s="212"/>
      <c r="NL1441" s="212"/>
      <c r="NM1441" s="212"/>
      <c r="NN1441" s="212"/>
      <c r="NO1441" s="212"/>
      <c r="NP1441" s="212"/>
      <c r="NQ1441" s="212"/>
      <c r="NR1441" s="212"/>
      <c r="NS1441" s="212"/>
      <c r="NT1441" s="212"/>
      <c r="NU1441" s="212"/>
      <c r="NV1441" s="212"/>
      <c r="NW1441" s="212"/>
      <c r="NX1441" s="212"/>
      <c r="NY1441" s="212"/>
      <c r="NZ1441" s="212"/>
      <c r="OA1441" s="212"/>
      <c r="OB1441" s="212"/>
      <c r="OC1441" s="212"/>
      <c r="OD1441" s="212"/>
      <c r="OE1441" s="212"/>
      <c r="OF1441" s="212"/>
      <c r="OG1441" s="212"/>
      <c r="OH1441" s="212"/>
      <c r="OI1441" s="212"/>
      <c r="OJ1441" s="212"/>
      <c r="OK1441" s="212"/>
      <c r="OL1441" s="212"/>
      <c r="OM1441" s="212"/>
      <c r="ON1441" s="212"/>
      <c r="OO1441" s="212"/>
      <c r="OP1441" s="212"/>
      <c r="OQ1441" s="212"/>
      <c r="OR1441" s="212"/>
      <c r="OS1441" s="212"/>
      <c r="OT1441" s="212"/>
      <c r="OU1441" s="212"/>
      <c r="OV1441" s="212"/>
      <c r="OW1441" s="212"/>
      <c r="OX1441" s="212"/>
      <c r="OY1441" s="212"/>
      <c r="OZ1441" s="212"/>
      <c r="PA1441" s="212"/>
      <c r="PB1441" s="212"/>
      <c r="PC1441" s="212"/>
      <c r="PD1441" s="212"/>
      <c r="PE1441" s="212"/>
      <c r="PF1441" s="212"/>
      <c r="PG1441" s="212"/>
      <c r="PH1441" s="212"/>
      <c r="PI1441" s="212"/>
      <c r="PJ1441" s="212"/>
      <c r="PK1441" s="212"/>
      <c r="PL1441" s="212"/>
      <c r="PM1441" s="212"/>
      <c r="PN1441" s="212"/>
      <c r="PO1441" s="212"/>
      <c r="PP1441" s="212"/>
      <c r="PQ1441" s="212"/>
      <c r="PR1441" s="212"/>
      <c r="PS1441" s="212"/>
      <c r="PT1441" s="212"/>
      <c r="PU1441" s="212"/>
      <c r="PV1441" s="212"/>
      <c r="PW1441" s="212"/>
      <c r="PX1441" s="212"/>
      <c r="PY1441" s="212"/>
      <c r="PZ1441" s="212"/>
      <c r="QA1441" s="212"/>
      <c r="QB1441" s="212"/>
      <c r="QC1441" s="212"/>
      <c r="QD1441" s="212"/>
      <c r="QE1441" s="212"/>
      <c r="QF1441" s="212"/>
      <c r="QG1441" s="212"/>
      <c r="QH1441" s="212"/>
      <c r="QI1441" s="212"/>
      <c r="QJ1441" s="212"/>
      <c r="QK1441" s="212"/>
      <c r="QL1441" s="212"/>
      <c r="QM1441" s="212"/>
      <c r="QN1441" s="212"/>
      <c r="QO1441" s="212"/>
      <c r="QP1441" s="212"/>
      <c r="QQ1441" s="212"/>
      <c r="QR1441" s="212"/>
      <c r="QS1441" s="212"/>
      <c r="QT1441" s="212"/>
      <c r="QU1441" s="212"/>
      <c r="QV1441" s="212"/>
      <c r="QW1441" s="212"/>
      <c r="QX1441" s="212"/>
      <c r="QY1441" s="212"/>
      <c r="QZ1441" s="212"/>
      <c r="RA1441" s="212"/>
      <c r="RB1441" s="212"/>
      <c r="RC1441" s="212"/>
      <c r="RD1441" s="212"/>
      <c r="RE1441" s="212"/>
      <c r="RF1441" s="212"/>
      <c r="RG1441" s="212"/>
      <c r="RH1441" s="212"/>
      <c r="RI1441" s="212"/>
      <c r="RJ1441" s="212"/>
      <c r="RK1441" s="212"/>
      <c r="RL1441" s="212"/>
      <c r="RM1441" s="212"/>
      <c r="RN1441" s="212"/>
      <c r="RO1441" s="212"/>
      <c r="RP1441" s="212"/>
      <c r="RQ1441" s="212"/>
      <c r="RR1441" s="212"/>
      <c r="RS1441" s="212"/>
      <c r="RT1441" s="212"/>
      <c r="RU1441" s="212"/>
      <c r="RV1441" s="212"/>
      <c r="RW1441" s="212"/>
      <c r="RX1441" s="212"/>
      <c r="RY1441" s="212"/>
      <c r="RZ1441" s="212"/>
      <c r="SA1441" s="212"/>
      <c r="SB1441" s="212"/>
      <c r="SC1441" s="212"/>
      <c r="SD1441" s="212"/>
      <c r="SE1441" s="212"/>
      <c r="SF1441" s="212"/>
      <c r="SG1441" s="212"/>
      <c r="SH1441" s="212"/>
      <c r="SI1441" s="212"/>
      <c r="SJ1441" s="212"/>
      <c r="SK1441" s="212"/>
      <c r="SL1441" s="212"/>
      <c r="SM1441" s="212"/>
      <c r="SN1441" s="212"/>
      <c r="SO1441" s="212"/>
      <c r="SP1441" s="212"/>
      <c r="SQ1441" s="212"/>
      <c r="SR1441" s="212"/>
      <c r="SS1441" s="212"/>
      <c r="ST1441" s="212"/>
      <c r="SU1441" s="212"/>
      <c r="SV1441" s="212"/>
      <c r="SW1441" s="212"/>
      <c r="SX1441" s="212"/>
      <c r="SY1441" s="212"/>
      <c r="SZ1441" s="212"/>
      <c r="TA1441" s="212"/>
      <c r="TB1441" s="212"/>
      <c r="TC1441" s="212"/>
      <c r="TD1441" s="212"/>
      <c r="TE1441" s="212"/>
      <c r="TF1441" s="212"/>
      <c r="TG1441" s="212"/>
      <c r="TH1441" s="212"/>
      <c r="TI1441" s="212"/>
      <c r="TJ1441" s="212"/>
      <c r="TK1441" s="212"/>
      <c r="TL1441" s="212"/>
      <c r="TM1441" s="212"/>
      <c r="TN1441" s="212"/>
      <c r="TO1441" s="212"/>
      <c r="TP1441" s="212"/>
      <c r="TQ1441" s="212"/>
      <c r="TR1441" s="212"/>
      <c r="TS1441" s="212"/>
      <c r="TT1441" s="212"/>
      <c r="TU1441" s="212"/>
      <c r="TV1441" s="212"/>
      <c r="TW1441" s="212"/>
      <c r="TX1441" s="212"/>
      <c r="TY1441" s="212"/>
      <c r="TZ1441" s="212"/>
      <c r="UA1441" s="212"/>
      <c r="UB1441" s="212"/>
      <c r="UC1441" s="212"/>
      <c r="UD1441" s="212"/>
      <c r="UE1441" s="212"/>
      <c r="UF1441" s="212"/>
      <c r="UG1441" s="213"/>
    </row>
    <row r="1442" spans="1:553" ht="38.5" customHeight="1">
      <c r="A1442" s="356" t="s">
        <v>30</v>
      </c>
      <c r="B1442" s="385" t="s">
        <v>31</v>
      </c>
      <c r="C1442" s="1388" t="s">
        <v>91</v>
      </c>
      <c r="D1442" s="1389"/>
      <c r="E1442" s="1389"/>
      <c r="F1442" s="1390"/>
      <c r="G1442" s="417" t="s">
        <v>34</v>
      </c>
      <c r="H1442" s="370"/>
      <c r="I1442" s="422">
        <f>((0.11*0.11*3.14)-(0.15*0.15*3.14))*4.2*16</f>
        <v>-2.1944832000000005</v>
      </c>
      <c r="J1442" s="368">
        <v>4000000</v>
      </c>
      <c r="K1442" s="371"/>
      <c r="L1442" s="487">
        <f t="shared" si="222"/>
        <v>-8777933</v>
      </c>
      <c r="M1442" s="395"/>
      <c r="N1442" s="395"/>
      <c r="O1442" s="366"/>
      <c r="P1442" s="396"/>
      <c r="Q1442" s="473"/>
      <c r="R1442" s="1039"/>
      <c r="S1442" s="308"/>
      <c r="T1442" s="308"/>
      <c r="U1442" s="308"/>
      <c r="V1442" s="308"/>
      <c r="W1442" s="308"/>
      <c r="X1442" s="308"/>
      <c r="Y1442" s="308"/>
      <c r="Z1442" s="604"/>
      <c r="AA1442" s="308"/>
      <c r="AB1442" s="308"/>
      <c r="AC1442" s="486"/>
      <c r="AD1442" s="486"/>
      <c r="AE1442" s="486"/>
      <c r="AF1442" s="486"/>
      <c r="AG1442" s="486"/>
      <c r="AH1442" s="486"/>
      <c r="AI1442" s="486"/>
      <c r="AJ1442" s="486"/>
      <c r="AK1442" s="486"/>
      <c r="AL1442" s="206"/>
      <c r="AM1442" s="29"/>
      <c r="AN1442" s="29"/>
      <c r="AO1442" s="29"/>
      <c r="AP1442" s="29"/>
      <c r="AQ1442" s="29"/>
      <c r="AR1442" s="29"/>
      <c r="AS1442" s="29"/>
      <c r="AT1442" s="29"/>
      <c r="AU1442" s="29"/>
      <c r="AV1442" s="29"/>
      <c r="AW1442" s="29"/>
      <c r="AX1442" s="29"/>
      <c r="AY1442" s="29"/>
      <c r="AZ1442" s="29"/>
      <c r="BA1442" s="29"/>
      <c r="BB1442" s="29"/>
      <c r="BC1442" s="29"/>
      <c r="BD1442" s="29"/>
      <c r="BE1442" s="29"/>
      <c r="BF1442" s="29"/>
      <c r="BG1442" s="29"/>
      <c r="BH1442" s="29"/>
      <c r="BI1442" s="29"/>
      <c r="BJ1442" s="29"/>
      <c r="BK1442" s="29"/>
      <c r="BL1442" s="29"/>
      <c r="BM1442" s="29"/>
      <c r="BN1442" s="29"/>
      <c r="BO1442" s="29"/>
      <c r="BP1442" s="29"/>
      <c r="BQ1442" s="29"/>
      <c r="BR1442" s="29"/>
      <c r="BS1442" s="29"/>
      <c r="BT1442" s="29"/>
      <c r="BU1442" s="29"/>
      <c r="BV1442" s="29"/>
      <c r="BW1442" s="29"/>
      <c r="BX1442" s="29"/>
      <c r="BY1442" s="29"/>
      <c r="BZ1442" s="29"/>
      <c r="CA1442" s="29"/>
      <c r="CB1442" s="29"/>
      <c r="CC1442" s="29"/>
      <c r="CD1442" s="29"/>
      <c r="CE1442" s="29"/>
      <c r="CF1442" s="29"/>
      <c r="CG1442" s="29"/>
      <c r="CH1442" s="29"/>
      <c r="CI1442" s="29"/>
      <c r="CJ1442" s="29"/>
      <c r="CK1442" s="29"/>
      <c r="CL1442" s="29"/>
      <c r="CM1442" s="29"/>
      <c r="CN1442" s="29"/>
      <c r="CO1442" s="29"/>
      <c r="CP1442" s="29"/>
      <c r="CQ1442" s="29"/>
      <c r="CR1442" s="29"/>
      <c r="CS1442" s="29"/>
      <c r="CT1442" s="29"/>
      <c r="CU1442" s="29"/>
      <c r="CV1442" s="29"/>
      <c r="CW1442" s="29"/>
      <c r="CX1442" s="29"/>
      <c r="CY1442" s="29"/>
      <c r="CZ1442" s="29"/>
      <c r="DA1442" s="29"/>
      <c r="DB1442" s="29"/>
      <c r="DC1442" s="29"/>
      <c r="DD1442" s="29"/>
      <c r="DE1442" s="29"/>
      <c r="DF1442" s="29"/>
      <c r="DG1442" s="29"/>
      <c r="DH1442" s="29"/>
      <c r="DI1442" s="29"/>
      <c r="DJ1442" s="29"/>
      <c r="DK1442" s="29"/>
      <c r="DL1442" s="29"/>
      <c r="DM1442" s="29"/>
      <c r="DN1442" s="29"/>
      <c r="DO1442" s="29"/>
      <c r="DP1442" s="29"/>
      <c r="DQ1442" s="29"/>
      <c r="DR1442" s="29"/>
      <c r="DS1442" s="29"/>
      <c r="DT1442" s="29"/>
      <c r="DU1442" s="29"/>
      <c r="DV1442" s="29"/>
      <c r="DW1442" s="29"/>
      <c r="DX1442" s="29"/>
      <c r="DY1442" s="29"/>
      <c r="DZ1442" s="29"/>
      <c r="EA1442" s="29"/>
      <c r="EB1442" s="29"/>
      <c r="EC1442" s="29"/>
      <c r="ED1442" s="29"/>
      <c r="EE1442" s="29"/>
      <c r="EF1442" s="29"/>
      <c r="EG1442" s="29"/>
      <c r="EH1442" s="29"/>
      <c r="EI1442" s="29"/>
      <c r="EJ1442" s="29"/>
      <c r="EK1442" s="29"/>
      <c r="EL1442" s="29"/>
      <c r="EM1442" s="29"/>
      <c r="EN1442" s="29"/>
      <c r="EO1442" s="29"/>
      <c r="EP1442" s="29"/>
      <c r="EQ1442" s="29"/>
      <c r="ER1442" s="29"/>
      <c r="ES1442" s="29"/>
      <c r="ET1442" s="29"/>
      <c r="EU1442" s="29"/>
      <c r="EV1442" s="29"/>
      <c r="EW1442" s="29"/>
      <c r="EX1442" s="29"/>
      <c r="EY1442" s="29"/>
      <c r="EZ1442" s="29"/>
      <c r="FA1442" s="29"/>
      <c r="FB1442" s="29"/>
      <c r="FC1442" s="29"/>
      <c r="FD1442" s="29"/>
      <c r="FE1442" s="29"/>
      <c r="FF1442" s="29"/>
      <c r="FG1442" s="29"/>
      <c r="FH1442" s="29"/>
      <c r="FI1442" s="29"/>
      <c r="FJ1442" s="29"/>
      <c r="FK1442" s="29"/>
      <c r="FL1442" s="29"/>
      <c r="FM1442" s="29"/>
      <c r="FN1442" s="29"/>
      <c r="FO1442" s="29"/>
      <c r="FP1442" s="29"/>
      <c r="FQ1442" s="29"/>
      <c r="FR1442" s="29"/>
      <c r="FS1442" s="29"/>
      <c r="FT1442" s="29"/>
      <c r="FU1442" s="29"/>
      <c r="FV1442" s="29"/>
      <c r="FW1442" s="29"/>
      <c r="FX1442" s="29"/>
      <c r="FY1442" s="29"/>
      <c r="FZ1442" s="29"/>
      <c r="GA1442" s="29"/>
      <c r="GB1442" s="29"/>
      <c r="GC1442" s="29"/>
      <c r="GD1442" s="29"/>
      <c r="GE1442" s="29"/>
      <c r="GF1442" s="29"/>
      <c r="GG1442" s="29"/>
      <c r="GH1442" s="29"/>
      <c r="GI1442" s="29"/>
      <c r="GJ1442" s="29"/>
      <c r="GK1442" s="29"/>
      <c r="GL1442" s="29"/>
      <c r="GM1442" s="29"/>
      <c r="GN1442" s="29"/>
      <c r="GO1442" s="29"/>
      <c r="GP1442" s="29"/>
      <c r="GQ1442" s="29"/>
      <c r="GR1442" s="29"/>
      <c r="GS1442" s="29"/>
      <c r="GT1442" s="29"/>
      <c r="GU1442" s="29"/>
      <c r="GV1442" s="29"/>
      <c r="GW1442" s="29"/>
      <c r="GX1442" s="29"/>
      <c r="GY1442" s="29"/>
      <c r="GZ1442" s="29"/>
      <c r="HA1442" s="29"/>
      <c r="HB1442" s="29"/>
      <c r="HC1442" s="29"/>
      <c r="HD1442" s="29"/>
      <c r="HE1442" s="29"/>
      <c r="HF1442" s="29"/>
      <c r="HG1442" s="29"/>
      <c r="HH1442" s="29"/>
      <c r="HI1442" s="29"/>
      <c r="HJ1442" s="29"/>
      <c r="HK1442" s="29"/>
      <c r="HL1442" s="29"/>
      <c r="HM1442" s="29"/>
      <c r="HN1442" s="29"/>
      <c r="HO1442" s="29"/>
      <c r="HP1442" s="29"/>
      <c r="HQ1442" s="29"/>
      <c r="HR1442" s="29"/>
      <c r="HS1442" s="29"/>
      <c r="HT1442" s="29"/>
      <c r="HU1442" s="29"/>
      <c r="HV1442" s="29"/>
      <c r="HW1442" s="29"/>
      <c r="HX1442" s="29"/>
      <c r="HY1442" s="29"/>
      <c r="HZ1442" s="29"/>
      <c r="IA1442" s="29"/>
      <c r="IB1442" s="29"/>
      <c r="IC1442" s="29"/>
      <c r="ID1442" s="29"/>
      <c r="IE1442" s="29"/>
      <c r="IF1442" s="29"/>
      <c r="IG1442" s="29"/>
      <c r="IH1442" s="29"/>
      <c r="II1442" s="29"/>
      <c r="IJ1442" s="29"/>
      <c r="IK1442" s="29"/>
      <c r="IL1442" s="29"/>
      <c r="IM1442" s="29"/>
      <c r="IN1442" s="29"/>
      <c r="IO1442" s="29"/>
      <c r="IP1442" s="29"/>
      <c r="IQ1442" s="29"/>
      <c r="IR1442" s="29"/>
      <c r="IS1442" s="29"/>
      <c r="IT1442" s="29"/>
      <c r="IU1442" s="29"/>
      <c r="IV1442" s="29"/>
      <c r="IW1442" s="29"/>
      <c r="IX1442" s="29"/>
      <c r="IY1442" s="29"/>
      <c r="IZ1442" s="29"/>
      <c r="JA1442" s="29"/>
      <c r="JB1442" s="29"/>
      <c r="JC1442" s="29"/>
      <c r="JD1442" s="29"/>
      <c r="JE1442" s="29"/>
      <c r="JF1442" s="29"/>
      <c r="JG1442" s="29"/>
      <c r="JH1442" s="29"/>
      <c r="JI1442" s="29"/>
      <c r="JJ1442" s="29"/>
      <c r="JK1442" s="29"/>
      <c r="JL1442" s="29"/>
      <c r="JM1442" s="29"/>
      <c r="JN1442" s="29"/>
      <c r="JO1442" s="29"/>
      <c r="JP1442" s="29"/>
      <c r="JQ1442" s="29"/>
      <c r="JR1442" s="29"/>
      <c r="JS1442" s="29"/>
      <c r="JT1442" s="29"/>
      <c r="JU1442" s="29"/>
      <c r="JV1442" s="29"/>
      <c r="JW1442" s="29"/>
      <c r="JX1442" s="29"/>
      <c r="JY1442" s="29"/>
      <c r="JZ1442" s="29"/>
      <c r="KA1442" s="29"/>
      <c r="KB1442" s="29"/>
      <c r="KC1442" s="29"/>
      <c r="KD1442" s="29"/>
      <c r="KE1442" s="29"/>
      <c r="KF1442" s="29"/>
      <c r="KG1442" s="29"/>
      <c r="KH1442" s="29"/>
      <c r="KI1442" s="29"/>
      <c r="KJ1442" s="29"/>
      <c r="KK1442" s="29"/>
      <c r="KL1442" s="29"/>
      <c r="KM1442" s="29"/>
      <c r="KN1442" s="29"/>
      <c r="KO1442" s="29"/>
      <c r="KP1442" s="29"/>
      <c r="KQ1442" s="29"/>
      <c r="KR1442" s="29"/>
      <c r="KS1442" s="29"/>
      <c r="KT1442" s="29"/>
      <c r="KU1442" s="29"/>
      <c r="KV1442" s="29"/>
      <c r="KW1442" s="29"/>
      <c r="KX1442" s="29"/>
      <c r="KY1442" s="29"/>
      <c r="KZ1442" s="29"/>
      <c r="LA1442" s="29"/>
      <c r="LB1442" s="29"/>
      <c r="LC1442" s="29"/>
      <c r="LD1442" s="29"/>
      <c r="LE1442" s="29"/>
      <c r="LF1442" s="29"/>
      <c r="LG1442" s="29"/>
      <c r="LH1442" s="29"/>
      <c r="LI1442" s="29"/>
      <c r="LJ1442" s="29"/>
      <c r="LK1442" s="29"/>
      <c r="LL1442" s="29"/>
      <c r="LM1442" s="29"/>
      <c r="LN1442" s="29"/>
      <c r="LO1442" s="29"/>
      <c r="LP1442" s="29"/>
      <c r="LQ1442" s="29"/>
      <c r="LR1442" s="29"/>
      <c r="LS1442" s="29"/>
      <c r="LT1442" s="29"/>
      <c r="LU1442" s="29"/>
      <c r="LV1442" s="29"/>
      <c r="LW1442" s="29"/>
      <c r="LX1442" s="29"/>
      <c r="LY1442" s="29"/>
      <c r="LZ1442" s="29"/>
      <c r="MA1442" s="29"/>
      <c r="MB1442" s="29"/>
      <c r="MC1442" s="29"/>
      <c r="MD1442" s="29"/>
      <c r="ME1442" s="29"/>
      <c r="MF1442" s="29"/>
      <c r="MG1442" s="29"/>
      <c r="MH1442" s="29"/>
      <c r="MI1442" s="29"/>
      <c r="MJ1442" s="29"/>
      <c r="MK1442" s="29"/>
      <c r="ML1442" s="29"/>
      <c r="MM1442" s="29"/>
      <c r="MN1442" s="29"/>
      <c r="MO1442" s="29"/>
      <c r="MP1442" s="29"/>
      <c r="MQ1442" s="29"/>
      <c r="MR1442" s="29"/>
      <c r="MS1442" s="29"/>
      <c r="MT1442" s="29"/>
      <c r="MU1442" s="29"/>
      <c r="MV1442" s="29"/>
      <c r="MW1442" s="29"/>
      <c r="MX1442" s="29"/>
      <c r="MY1442" s="29"/>
      <c r="MZ1442" s="29"/>
      <c r="NA1442" s="29"/>
      <c r="NB1442" s="29"/>
      <c r="NC1442" s="29"/>
      <c r="ND1442" s="29"/>
      <c r="NE1442" s="29"/>
      <c r="NF1442" s="29"/>
      <c r="NG1442" s="29"/>
      <c r="NH1442" s="29"/>
      <c r="NI1442" s="29"/>
      <c r="NJ1442" s="29"/>
      <c r="NK1442" s="29"/>
      <c r="NL1442" s="29"/>
      <c r="NM1442" s="29"/>
      <c r="NN1442" s="29"/>
      <c r="NO1442" s="29"/>
      <c r="NP1442" s="29"/>
      <c r="NQ1442" s="29"/>
      <c r="NR1442" s="29"/>
      <c r="NS1442" s="29"/>
      <c r="NT1442" s="29"/>
      <c r="NU1442" s="29"/>
      <c r="NV1442" s="29"/>
      <c r="NW1442" s="29"/>
      <c r="NX1442" s="29"/>
      <c r="NY1442" s="29"/>
      <c r="NZ1442" s="29"/>
      <c r="OA1442" s="29"/>
      <c r="OB1442" s="29"/>
      <c r="OC1442" s="29"/>
      <c r="OD1442" s="29"/>
      <c r="OE1442" s="29"/>
      <c r="OF1442" s="29"/>
      <c r="OG1442" s="29"/>
      <c r="OH1442" s="29"/>
      <c r="OI1442" s="29"/>
      <c r="OJ1442" s="29"/>
      <c r="OK1442" s="29"/>
      <c r="OL1442" s="29"/>
      <c r="OM1442" s="29"/>
      <c r="ON1442" s="29"/>
      <c r="OO1442" s="29"/>
      <c r="OP1442" s="29"/>
      <c r="OQ1442" s="29"/>
      <c r="OR1442" s="29"/>
      <c r="OS1442" s="29"/>
      <c r="OT1442" s="29"/>
      <c r="OU1442" s="29"/>
      <c r="OV1442" s="29"/>
      <c r="OW1442" s="29"/>
      <c r="OX1442" s="29"/>
      <c r="OY1442" s="29"/>
      <c r="OZ1442" s="29"/>
      <c r="PA1442" s="29"/>
      <c r="PB1442" s="29"/>
      <c r="PC1442" s="29"/>
      <c r="PD1442" s="29"/>
      <c r="PE1442" s="29"/>
      <c r="PF1442" s="29"/>
      <c r="PG1442" s="29"/>
      <c r="PH1442" s="29"/>
      <c r="PI1442" s="29"/>
      <c r="PJ1442" s="29"/>
      <c r="PK1442" s="29"/>
      <c r="PL1442" s="29"/>
      <c r="PM1442" s="29"/>
      <c r="PN1442" s="29"/>
      <c r="PO1442" s="29"/>
      <c r="PP1442" s="29"/>
      <c r="PQ1442" s="29"/>
      <c r="PR1442" s="29"/>
      <c r="PS1442" s="29"/>
      <c r="PT1442" s="29"/>
      <c r="PU1442" s="29"/>
      <c r="PV1442" s="29"/>
      <c r="PW1442" s="29"/>
      <c r="PX1442" s="29"/>
      <c r="PY1442" s="29"/>
      <c r="PZ1442" s="29"/>
      <c r="QA1442" s="29"/>
      <c r="QB1442" s="29"/>
      <c r="QC1442" s="29"/>
      <c r="QD1442" s="29"/>
      <c r="QE1442" s="29"/>
      <c r="QF1442" s="29"/>
      <c r="QG1442" s="29"/>
      <c r="QH1442" s="29"/>
      <c r="QI1442" s="29"/>
      <c r="QJ1442" s="29"/>
      <c r="QK1442" s="29"/>
      <c r="QL1442" s="29"/>
      <c r="QM1442" s="29"/>
      <c r="QN1442" s="29"/>
      <c r="QO1442" s="29"/>
      <c r="QP1442" s="29"/>
      <c r="QQ1442" s="29"/>
      <c r="QR1442" s="29"/>
      <c r="QS1442" s="29"/>
      <c r="QT1442" s="29"/>
      <c r="QU1442" s="29"/>
      <c r="QV1442" s="29"/>
      <c r="QW1442" s="29"/>
      <c r="QX1442" s="29"/>
      <c r="QY1442" s="29"/>
      <c r="QZ1442" s="29"/>
      <c r="RA1442" s="29"/>
      <c r="RB1442" s="29"/>
      <c r="RC1442" s="29"/>
      <c r="RD1442" s="29"/>
      <c r="RE1442" s="29"/>
      <c r="RF1442" s="29"/>
      <c r="RG1442" s="29"/>
      <c r="RH1442" s="29"/>
      <c r="RI1442" s="29"/>
      <c r="RJ1442" s="29"/>
      <c r="RK1442" s="29"/>
      <c r="RL1442" s="29"/>
      <c r="RM1442" s="29"/>
      <c r="RN1442" s="29"/>
      <c r="RO1442" s="29"/>
      <c r="RP1442" s="29"/>
      <c r="RQ1442" s="29"/>
      <c r="RR1442" s="29"/>
      <c r="RS1442" s="29"/>
      <c r="RT1442" s="29"/>
      <c r="RU1442" s="29"/>
      <c r="RV1442" s="29"/>
      <c r="RW1442" s="29"/>
      <c r="RX1442" s="29"/>
      <c r="RY1442" s="29"/>
      <c r="RZ1442" s="29"/>
      <c r="SA1442" s="29"/>
      <c r="SB1442" s="29"/>
      <c r="SC1442" s="29"/>
      <c r="SD1442" s="29"/>
      <c r="SE1442" s="29"/>
      <c r="SF1442" s="29"/>
      <c r="SG1442" s="29"/>
      <c r="SH1442" s="29"/>
      <c r="SI1442" s="29"/>
      <c r="SJ1442" s="29"/>
      <c r="SK1442" s="29"/>
      <c r="SL1442" s="29"/>
      <c r="SM1442" s="29"/>
      <c r="SN1442" s="29"/>
      <c r="SO1442" s="29"/>
      <c r="SP1442" s="29"/>
      <c r="SQ1442" s="29"/>
      <c r="SR1442" s="29"/>
      <c r="SS1442" s="29"/>
      <c r="ST1442" s="29"/>
      <c r="SU1442" s="29"/>
      <c r="SV1442" s="29"/>
      <c r="SW1442" s="29"/>
      <c r="SX1442" s="29"/>
      <c r="SY1442" s="29"/>
      <c r="SZ1442" s="29"/>
      <c r="TA1442" s="29"/>
      <c r="TB1442" s="29"/>
      <c r="TC1442" s="29"/>
      <c r="TD1442" s="29"/>
      <c r="TE1442" s="29"/>
      <c r="TF1442" s="29"/>
      <c r="TG1442" s="29"/>
      <c r="TH1442" s="29"/>
      <c r="TI1442" s="29"/>
      <c r="TJ1442" s="29"/>
      <c r="TK1442" s="29"/>
      <c r="TL1442" s="29"/>
      <c r="TM1442" s="29"/>
      <c r="TN1442" s="29"/>
      <c r="TO1442" s="29"/>
      <c r="TP1442" s="29"/>
      <c r="TQ1442" s="29"/>
      <c r="TR1442" s="29"/>
      <c r="TS1442" s="29"/>
      <c r="TT1442" s="29"/>
      <c r="TU1442" s="29"/>
      <c r="TV1442" s="29"/>
      <c r="TW1442" s="29"/>
      <c r="TX1442" s="29"/>
      <c r="TY1442" s="29"/>
      <c r="TZ1442" s="29"/>
      <c r="UA1442" s="29"/>
      <c r="UB1442" s="29"/>
      <c r="UC1442" s="29"/>
      <c r="UD1442" s="29"/>
      <c r="UE1442" s="29"/>
      <c r="UF1442" s="29"/>
      <c r="UG1442" s="29"/>
    </row>
    <row r="1443" spans="1:553" ht="39.65" customHeight="1">
      <c r="A1443" s="356" t="s">
        <v>30</v>
      </c>
      <c r="B1443" s="385" t="s">
        <v>31</v>
      </c>
      <c r="C1443" s="1388" t="s">
        <v>92</v>
      </c>
      <c r="D1443" s="1389"/>
      <c r="E1443" s="1389"/>
      <c r="F1443" s="1390"/>
      <c r="G1443" s="417" t="s">
        <v>34</v>
      </c>
      <c r="H1443" s="370"/>
      <c r="I1443" s="422">
        <f>((0.11*0.11*3.14)-(0.1*0.15*3.14))*5.2*6</f>
        <v>-0.28410720000000012</v>
      </c>
      <c r="J1443" s="368">
        <v>4000000</v>
      </c>
      <c r="K1443" s="371"/>
      <c r="L1443" s="487">
        <f t="shared" si="222"/>
        <v>-1136429</v>
      </c>
      <c r="M1443" s="395"/>
      <c r="N1443" s="395"/>
      <c r="O1443" s="366"/>
      <c r="P1443" s="396"/>
      <c r="Q1443" s="473"/>
      <c r="R1443" s="1039"/>
      <c r="S1443" s="308"/>
      <c r="T1443" s="308"/>
      <c r="U1443" s="308"/>
      <c r="V1443" s="308"/>
      <c r="W1443" s="308"/>
      <c r="X1443" s="308"/>
      <c r="Y1443" s="308"/>
      <c r="Z1443" s="604"/>
      <c r="AA1443" s="308"/>
      <c r="AB1443" s="308"/>
      <c r="AC1443" s="486"/>
      <c r="AD1443" s="486"/>
      <c r="AE1443" s="486"/>
      <c r="AF1443" s="486"/>
      <c r="AG1443" s="486"/>
      <c r="AH1443" s="486"/>
      <c r="AI1443" s="486"/>
      <c r="AJ1443" s="486"/>
      <c r="AK1443" s="486"/>
      <c r="AL1443" s="206"/>
      <c r="AM1443" s="29"/>
      <c r="AN1443" s="29"/>
      <c r="AO1443" s="29"/>
      <c r="AP1443" s="29"/>
      <c r="AQ1443" s="29"/>
      <c r="AR1443" s="29"/>
      <c r="AS1443" s="29"/>
      <c r="AT1443" s="29"/>
      <c r="AU1443" s="29"/>
      <c r="AV1443" s="29"/>
      <c r="AW1443" s="29"/>
      <c r="AX1443" s="29"/>
      <c r="AY1443" s="29"/>
      <c r="AZ1443" s="29"/>
      <c r="BA1443" s="29"/>
      <c r="BB1443" s="29"/>
      <c r="BC1443" s="29"/>
      <c r="BD1443" s="29"/>
      <c r="BE1443" s="29"/>
      <c r="BF1443" s="29"/>
      <c r="BG1443" s="29"/>
      <c r="BH1443" s="29"/>
      <c r="BI1443" s="29"/>
      <c r="BJ1443" s="29"/>
      <c r="BK1443" s="29"/>
      <c r="BL1443" s="29"/>
      <c r="BM1443" s="29"/>
      <c r="BN1443" s="29"/>
      <c r="BO1443" s="29"/>
      <c r="BP1443" s="29"/>
      <c r="BQ1443" s="29"/>
      <c r="BR1443" s="29"/>
      <c r="BS1443" s="29"/>
      <c r="BT1443" s="29"/>
      <c r="BU1443" s="29"/>
      <c r="BV1443" s="29"/>
      <c r="BW1443" s="29"/>
      <c r="BX1443" s="29"/>
      <c r="BY1443" s="29"/>
      <c r="BZ1443" s="29"/>
      <c r="CA1443" s="29"/>
      <c r="CB1443" s="29"/>
      <c r="CC1443" s="29"/>
      <c r="CD1443" s="29"/>
      <c r="CE1443" s="29"/>
      <c r="CF1443" s="29"/>
      <c r="CG1443" s="29"/>
      <c r="CH1443" s="29"/>
      <c r="CI1443" s="29"/>
      <c r="CJ1443" s="29"/>
      <c r="CK1443" s="29"/>
      <c r="CL1443" s="29"/>
      <c r="CM1443" s="29"/>
      <c r="CN1443" s="29"/>
      <c r="CO1443" s="29"/>
      <c r="CP1443" s="29"/>
      <c r="CQ1443" s="29"/>
      <c r="CR1443" s="29"/>
      <c r="CS1443" s="29"/>
      <c r="CT1443" s="29"/>
      <c r="CU1443" s="29"/>
      <c r="CV1443" s="29"/>
      <c r="CW1443" s="29"/>
      <c r="CX1443" s="29"/>
      <c r="CY1443" s="29"/>
      <c r="CZ1443" s="29"/>
      <c r="DA1443" s="29"/>
      <c r="DB1443" s="29"/>
      <c r="DC1443" s="29"/>
      <c r="DD1443" s="29"/>
      <c r="DE1443" s="29"/>
      <c r="DF1443" s="29"/>
      <c r="DG1443" s="29"/>
      <c r="DH1443" s="29"/>
      <c r="DI1443" s="29"/>
      <c r="DJ1443" s="29"/>
      <c r="DK1443" s="29"/>
      <c r="DL1443" s="29"/>
      <c r="DM1443" s="29"/>
      <c r="DN1443" s="29"/>
      <c r="DO1443" s="29"/>
      <c r="DP1443" s="29"/>
      <c r="DQ1443" s="29"/>
      <c r="DR1443" s="29"/>
      <c r="DS1443" s="29"/>
      <c r="DT1443" s="29"/>
      <c r="DU1443" s="29"/>
      <c r="DV1443" s="29"/>
      <c r="DW1443" s="29"/>
      <c r="DX1443" s="29"/>
      <c r="DY1443" s="29"/>
      <c r="DZ1443" s="29"/>
      <c r="EA1443" s="29"/>
      <c r="EB1443" s="29"/>
      <c r="EC1443" s="29"/>
      <c r="ED1443" s="29"/>
      <c r="EE1443" s="29"/>
      <c r="EF1443" s="29"/>
      <c r="EG1443" s="29"/>
      <c r="EH1443" s="29"/>
      <c r="EI1443" s="29"/>
      <c r="EJ1443" s="29"/>
      <c r="EK1443" s="29"/>
      <c r="EL1443" s="29"/>
      <c r="EM1443" s="29"/>
      <c r="EN1443" s="29"/>
      <c r="EO1443" s="29"/>
      <c r="EP1443" s="29"/>
      <c r="EQ1443" s="29"/>
      <c r="ER1443" s="29"/>
      <c r="ES1443" s="29"/>
      <c r="ET1443" s="29"/>
      <c r="EU1443" s="29"/>
      <c r="EV1443" s="29"/>
      <c r="EW1443" s="29"/>
      <c r="EX1443" s="29"/>
      <c r="EY1443" s="29"/>
      <c r="EZ1443" s="29"/>
      <c r="FA1443" s="29"/>
      <c r="FB1443" s="29"/>
      <c r="FC1443" s="29"/>
      <c r="FD1443" s="29"/>
      <c r="FE1443" s="29"/>
      <c r="FF1443" s="29"/>
      <c r="FG1443" s="29"/>
      <c r="FH1443" s="29"/>
      <c r="FI1443" s="29"/>
      <c r="FJ1443" s="29"/>
      <c r="FK1443" s="29"/>
      <c r="FL1443" s="29"/>
      <c r="FM1443" s="29"/>
      <c r="FN1443" s="29"/>
      <c r="FO1443" s="29"/>
      <c r="FP1443" s="29"/>
      <c r="FQ1443" s="29"/>
      <c r="FR1443" s="29"/>
      <c r="FS1443" s="29"/>
      <c r="FT1443" s="29"/>
      <c r="FU1443" s="29"/>
      <c r="FV1443" s="29"/>
      <c r="FW1443" s="29"/>
      <c r="FX1443" s="29"/>
      <c r="FY1443" s="29"/>
      <c r="FZ1443" s="29"/>
      <c r="GA1443" s="29"/>
      <c r="GB1443" s="29"/>
      <c r="GC1443" s="29"/>
      <c r="GD1443" s="29"/>
      <c r="GE1443" s="29"/>
      <c r="GF1443" s="29"/>
      <c r="GG1443" s="29"/>
      <c r="GH1443" s="29"/>
      <c r="GI1443" s="29"/>
      <c r="GJ1443" s="29"/>
      <c r="GK1443" s="29"/>
      <c r="GL1443" s="29"/>
      <c r="GM1443" s="29"/>
      <c r="GN1443" s="29"/>
      <c r="GO1443" s="29"/>
      <c r="GP1443" s="29"/>
      <c r="GQ1443" s="29"/>
      <c r="GR1443" s="29"/>
      <c r="GS1443" s="29"/>
      <c r="GT1443" s="29"/>
      <c r="GU1443" s="29"/>
      <c r="GV1443" s="29"/>
      <c r="GW1443" s="29"/>
      <c r="GX1443" s="29"/>
      <c r="GY1443" s="29"/>
      <c r="GZ1443" s="29"/>
      <c r="HA1443" s="29"/>
      <c r="HB1443" s="29"/>
      <c r="HC1443" s="29"/>
      <c r="HD1443" s="29"/>
      <c r="HE1443" s="29"/>
      <c r="HF1443" s="29"/>
      <c r="HG1443" s="29"/>
      <c r="HH1443" s="29"/>
      <c r="HI1443" s="29"/>
      <c r="HJ1443" s="29"/>
      <c r="HK1443" s="29"/>
      <c r="HL1443" s="29"/>
      <c r="HM1443" s="29"/>
      <c r="HN1443" s="29"/>
      <c r="HO1443" s="29"/>
      <c r="HP1443" s="29"/>
      <c r="HQ1443" s="29"/>
      <c r="HR1443" s="29"/>
      <c r="HS1443" s="29"/>
      <c r="HT1443" s="29"/>
      <c r="HU1443" s="29"/>
      <c r="HV1443" s="29"/>
      <c r="HW1443" s="29"/>
      <c r="HX1443" s="29"/>
      <c r="HY1443" s="29"/>
      <c r="HZ1443" s="29"/>
      <c r="IA1443" s="29"/>
      <c r="IB1443" s="29"/>
      <c r="IC1443" s="29"/>
      <c r="ID1443" s="29"/>
      <c r="IE1443" s="29"/>
      <c r="IF1443" s="29"/>
      <c r="IG1443" s="29"/>
      <c r="IH1443" s="29"/>
      <c r="II1443" s="29"/>
      <c r="IJ1443" s="29"/>
      <c r="IK1443" s="29"/>
      <c r="IL1443" s="29"/>
      <c r="IM1443" s="29"/>
      <c r="IN1443" s="29"/>
      <c r="IO1443" s="29"/>
      <c r="IP1443" s="29"/>
      <c r="IQ1443" s="29"/>
      <c r="IR1443" s="29"/>
      <c r="IS1443" s="29"/>
      <c r="IT1443" s="29"/>
      <c r="IU1443" s="29"/>
      <c r="IV1443" s="29"/>
      <c r="IW1443" s="29"/>
      <c r="IX1443" s="29"/>
      <c r="IY1443" s="29"/>
      <c r="IZ1443" s="29"/>
      <c r="JA1443" s="29"/>
      <c r="JB1443" s="29"/>
      <c r="JC1443" s="29"/>
      <c r="JD1443" s="29"/>
      <c r="JE1443" s="29"/>
      <c r="JF1443" s="29"/>
      <c r="JG1443" s="29"/>
      <c r="JH1443" s="29"/>
      <c r="JI1443" s="29"/>
      <c r="JJ1443" s="29"/>
      <c r="JK1443" s="29"/>
      <c r="JL1443" s="29"/>
      <c r="JM1443" s="29"/>
      <c r="JN1443" s="29"/>
      <c r="JO1443" s="29"/>
      <c r="JP1443" s="29"/>
      <c r="JQ1443" s="29"/>
      <c r="JR1443" s="29"/>
      <c r="JS1443" s="29"/>
      <c r="JT1443" s="29"/>
      <c r="JU1443" s="29"/>
      <c r="JV1443" s="29"/>
      <c r="JW1443" s="29"/>
      <c r="JX1443" s="29"/>
      <c r="JY1443" s="29"/>
      <c r="JZ1443" s="29"/>
      <c r="KA1443" s="29"/>
      <c r="KB1443" s="29"/>
      <c r="KC1443" s="29"/>
      <c r="KD1443" s="29"/>
      <c r="KE1443" s="29"/>
      <c r="KF1443" s="29"/>
      <c r="KG1443" s="29"/>
      <c r="KH1443" s="29"/>
      <c r="KI1443" s="29"/>
      <c r="KJ1443" s="29"/>
      <c r="KK1443" s="29"/>
      <c r="KL1443" s="29"/>
      <c r="KM1443" s="29"/>
      <c r="KN1443" s="29"/>
      <c r="KO1443" s="29"/>
      <c r="KP1443" s="29"/>
      <c r="KQ1443" s="29"/>
      <c r="KR1443" s="29"/>
      <c r="KS1443" s="29"/>
      <c r="KT1443" s="29"/>
      <c r="KU1443" s="29"/>
      <c r="KV1443" s="29"/>
      <c r="KW1443" s="29"/>
      <c r="KX1443" s="29"/>
      <c r="KY1443" s="29"/>
      <c r="KZ1443" s="29"/>
      <c r="LA1443" s="29"/>
      <c r="LB1443" s="29"/>
      <c r="LC1443" s="29"/>
      <c r="LD1443" s="29"/>
      <c r="LE1443" s="29"/>
      <c r="LF1443" s="29"/>
      <c r="LG1443" s="29"/>
      <c r="LH1443" s="29"/>
      <c r="LI1443" s="29"/>
      <c r="LJ1443" s="29"/>
      <c r="LK1443" s="29"/>
      <c r="LL1443" s="29"/>
      <c r="LM1443" s="29"/>
      <c r="LN1443" s="29"/>
      <c r="LO1443" s="29"/>
      <c r="LP1443" s="29"/>
      <c r="LQ1443" s="29"/>
      <c r="LR1443" s="29"/>
      <c r="LS1443" s="29"/>
      <c r="LT1443" s="29"/>
      <c r="LU1443" s="29"/>
      <c r="LV1443" s="29"/>
      <c r="LW1443" s="29"/>
      <c r="LX1443" s="29"/>
      <c r="LY1443" s="29"/>
      <c r="LZ1443" s="29"/>
      <c r="MA1443" s="29"/>
      <c r="MB1443" s="29"/>
      <c r="MC1443" s="29"/>
      <c r="MD1443" s="29"/>
      <c r="ME1443" s="29"/>
      <c r="MF1443" s="29"/>
      <c r="MG1443" s="29"/>
      <c r="MH1443" s="29"/>
      <c r="MI1443" s="29"/>
      <c r="MJ1443" s="29"/>
      <c r="MK1443" s="29"/>
      <c r="ML1443" s="29"/>
      <c r="MM1443" s="29"/>
      <c r="MN1443" s="29"/>
      <c r="MO1443" s="29"/>
      <c r="MP1443" s="29"/>
      <c r="MQ1443" s="29"/>
      <c r="MR1443" s="29"/>
      <c r="MS1443" s="29"/>
      <c r="MT1443" s="29"/>
      <c r="MU1443" s="29"/>
      <c r="MV1443" s="29"/>
      <c r="MW1443" s="29"/>
      <c r="MX1443" s="29"/>
      <c r="MY1443" s="29"/>
      <c r="MZ1443" s="29"/>
      <c r="NA1443" s="29"/>
      <c r="NB1443" s="29"/>
      <c r="NC1443" s="29"/>
      <c r="ND1443" s="29"/>
      <c r="NE1443" s="29"/>
      <c r="NF1443" s="29"/>
      <c r="NG1443" s="29"/>
      <c r="NH1443" s="29"/>
      <c r="NI1443" s="29"/>
      <c r="NJ1443" s="29"/>
      <c r="NK1443" s="29"/>
      <c r="NL1443" s="29"/>
      <c r="NM1443" s="29"/>
      <c r="NN1443" s="29"/>
      <c r="NO1443" s="29"/>
      <c r="NP1443" s="29"/>
      <c r="NQ1443" s="29"/>
      <c r="NR1443" s="29"/>
      <c r="NS1443" s="29"/>
      <c r="NT1443" s="29"/>
      <c r="NU1443" s="29"/>
      <c r="NV1443" s="29"/>
      <c r="NW1443" s="29"/>
      <c r="NX1443" s="29"/>
      <c r="NY1443" s="29"/>
      <c r="NZ1443" s="29"/>
      <c r="OA1443" s="29"/>
      <c r="OB1443" s="29"/>
      <c r="OC1443" s="29"/>
      <c r="OD1443" s="29"/>
      <c r="OE1443" s="29"/>
      <c r="OF1443" s="29"/>
      <c r="OG1443" s="29"/>
      <c r="OH1443" s="29"/>
      <c r="OI1443" s="29"/>
      <c r="OJ1443" s="29"/>
      <c r="OK1443" s="29"/>
      <c r="OL1443" s="29"/>
      <c r="OM1443" s="29"/>
      <c r="ON1443" s="29"/>
      <c r="OO1443" s="29"/>
      <c r="OP1443" s="29"/>
      <c r="OQ1443" s="29"/>
      <c r="OR1443" s="29"/>
      <c r="OS1443" s="29"/>
      <c r="OT1443" s="29"/>
      <c r="OU1443" s="29"/>
      <c r="OV1443" s="29"/>
      <c r="OW1443" s="29"/>
      <c r="OX1443" s="29"/>
      <c r="OY1443" s="29"/>
      <c r="OZ1443" s="29"/>
      <c r="PA1443" s="29"/>
      <c r="PB1443" s="29"/>
      <c r="PC1443" s="29"/>
      <c r="PD1443" s="29"/>
      <c r="PE1443" s="29"/>
      <c r="PF1443" s="29"/>
      <c r="PG1443" s="29"/>
      <c r="PH1443" s="29"/>
      <c r="PI1443" s="29"/>
      <c r="PJ1443" s="29"/>
      <c r="PK1443" s="29"/>
      <c r="PL1443" s="29"/>
      <c r="PM1443" s="29"/>
      <c r="PN1443" s="29"/>
      <c r="PO1443" s="29"/>
      <c r="PP1443" s="29"/>
      <c r="PQ1443" s="29"/>
      <c r="PR1443" s="29"/>
      <c r="PS1443" s="29"/>
      <c r="PT1443" s="29"/>
      <c r="PU1443" s="29"/>
      <c r="PV1443" s="29"/>
      <c r="PW1443" s="29"/>
      <c r="PX1443" s="29"/>
      <c r="PY1443" s="29"/>
      <c r="PZ1443" s="29"/>
      <c r="QA1443" s="29"/>
      <c r="QB1443" s="29"/>
      <c r="QC1443" s="29"/>
      <c r="QD1443" s="29"/>
      <c r="QE1443" s="29"/>
      <c r="QF1443" s="29"/>
      <c r="QG1443" s="29"/>
      <c r="QH1443" s="29"/>
      <c r="QI1443" s="29"/>
      <c r="QJ1443" s="29"/>
      <c r="QK1443" s="29"/>
      <c r="QL1443" s="29"/>
      <c r="QM1443" s="29"/>
      <c r="QN1443" s="29"/>
      <c r="QO1443" s="29"/>
      <c r="QP1443" s="29"/>
      <c r="QQ1443" s="29"/>
      <c r="QR1443" s="29"/>
      <c r="QS1443" s="29"/>
      <c r="QT1443" s="29"/>
      <c r="QU1443" s="29"/>
      <c r="QV1443" s="29"/>
      <c r="QW1443" s="29"/>
      <c r="QX1443" s="29"/>
      <c r="QY1443" s="29"/>
      <c r="QZ1443" s="29"/>
      <c r="RA1443" s="29"/>
      <c r="RB1443" s="29"/>
      <c r="RC1443" s="29"/>
      <c r="RD1443" s="29"/>
      <c r="RE1443" s="29"/>
      <c r="RF1443" s="29"/>
      <c r="RG1443" s="29"/>
      <c r="RH1443" s="29"/>
      <c r="RI1443" s="29"/>
      <c r="RJ1443" s="29"/>
      <c r="RK1443" s="29"/>
      <c r="RL1443" s="29"/>
      <c r="RM1443" s="29"/>
      <c r="RN1443" s="29"/>
      <c r="RO1443" s="29"/>
      <c r="RP1443" s="29"/>
      <c r="RQ1443" s="29"/>
      <c r="RR1443" s="29"/>
      <c r="RS1443" s="29"/>
      <c r="RT1443" s="29"/>
      <c r="RU1443" s="29"/>
      <c r="RV1443" s="29"/>
      <c r="RW1443" s="29"/>
      <c r="RX1443" s="29"/>
      <c r="RY1443" s="29"/>
      <c r="RZ1443" s="29"/>
      <c r="SA1443" s="29"/>
      <c r="SB1443" s="29"/>
      <c r="SC1443" s="29"/>
      <c r="SD1443" s="29"/>
      <c r="SE1443" s="29"/>
      <c r="SF1443" s="29"/>
      <c r="SG1443" s="29"/>
      <c r="SH1443" s="29"/>
      <c r="SI1443" s="29"/>
      <c r="SJ1443" s="29"/>
      <c r="SK1443" s="29"/>
      <c r="SL1443" s="29"/>
      <c r="SM1443" s="29"/>
      <c r="SN1443" s="29"/>
      <c r="SO1443" s="29"/>
      <c r="SP1443" s="29"/>
      <c r="SQ1443" s="29"/>
      <c r="SR1443" s="29"/>
      <c r="SS1443" s="29"/>
      <c r="ST1443" s="29"/>
      <c r="SU1443" s="29"/>
      <c r="SV1443" s="29"/>
      <c r="SW1443" s="29"/>
      <c r="SX1443" s="29"/>
      <c r="SY1443" s="29"/>
      <c r="SZ1443" s="29"/>
      <c r="TA1443" s="29"/>
      <c r="TB1443" s="29"/>
      <c r="TC1443" s="29"/>
      <c r="TD1443" s="29"/>
      <c r="TE1443" s="29"/>
      <c r="TF1443" s="29"/>
      <c r="TG1443" s="29"/>
      <c r="TH1443" s="29"/>
      <c r="TI1443" s="29"/>
      <c r="TJ1443" s="29"/>
      <c r="TK1443" s="29"/>
      <c r="TL1443" s="29"/>
      <c r="TM1443" s="29"/>
      <c r="TN1443" s="29"/>
      <c r="TO1443" s="29"/>
      <c r="TP1443" s="29"/>
      <c r="TQ1443" s="29"/>
      <c r="TR1443" s="29"/>
      <c r="TS1443" s="29"/>
      <c r="TT1443" s="29"/>
      <c r="TU1443" s="29"/>
      <c r="TV1443" s="29"/>
      <c r="TW1443" s="29"/>
      <c r="TX1443" s="29"/>
      <c r="TY1443" s="29"/>
      <c r="TZ1443" s="29"/>
      <c r="UA1443" s="29"/>
      <c r="UB1443" s="29"/>
      <c r="UC1443" s="29"/>
      <c r="UD1443" s="29"/>
      <c r="UE1443" s="29"/>
      <c r="UF1443" s="29"/>
      <c r="UG1443" s="29"/>
    </row>
    <row r="1444" spans="1:553" ht="30" customHeight="1">
      <c r="A1444" s="356" t="s">
        <v>30</v>
      </c>
      <c r="B1444" s="385"/>
      <c r="C1444" s="1582" t="s">
        <v>1301</v>
      </c>
      <c r="D1444" s="1583"/>
      <c r="E1444" s="1583"/>
      <c r="F1444" s="1584"/>
      <c r="G1444" s="417" t="s">
        <v>33</v>
      </c>
      <c r="H1444" s="370"/>
      <c r="I1444" s="422">
        <f>I1436</f>
        <v>135</v>
      </c>
      <c r="J1444" s="368">
        <f>200600-124207</f>
        <v>76393</v>
      </c>
      <c r="K1444" s="371"/>
      <c r="L1444" s="487">
        <f t="shared" si="222"/>
        <v>10313055</v>
      </c>
      <c r="M1444" s="395"/>
      <c r="N1444" s="395"/>
      <c r="O1444" s="366"/>
      <c r="P1444" s="396"/>
      <c r="Q1444" s="473"/>
      <c r="R1444" s="1039"/>
      <c r="S1444" s="308"/>
      <c r="T1444" s="308"/>
      <c r="U1444" s="308"/>
      <c r="V1444" s="308"/>
      <c r="W1444" s="308"/>
      <c r="X1444" s="308"/>
      <c r="Y1444" s="308"/>
      <c r="Z1444" s="604"/>
      <c r="AA1444" s="308"/>
      <c r="AB1444" s="308"/>
      <c r="AC1444" s="486"/>
      <c r="AD1444" s="486"/>
      <c r="AE1444" s="486"/>
      <c r="AF1444" s="486"/>
      <c r="AG1444" s="486"/>
      <c r="AH1444" s="486"/>
      <c r="AI1444" s="486"/>
      <c r="AJ1444" s="486"/>
      <c r="AK1444" s="486"/>
      <c r="AL1444" s="206"/>
      <c r="AM1444" s="29"/>
      <c r="AN1444" s="29"/>
      <c r="AO1444" s="29"/>
      <c r="AP1444" s="29"/>
      <c r="AQ1444" s="29"/>
      <c r="AR1444" s="29"/>
      <c r="AS1444" s="29"/>
      <c r="AT1444" s="29"/>
      <c r="AU1444" s="29"/>
      <c r="AV1444" s="29"/>
      <c r="AW1444" s="29"/>
      <c r="AX1444" s="29"/>
      <c r="AY1444" s="29"/>
      <c r="AZ1444" s="29"/>
      <c r="BA1444" s="29"/>
      <c r="BB1444" s="29"/>
      <c r="BC1444" s="29"/>
      <c r="BD1444" s="29"/>
      <c r="BE1444" s="29"/>
      <c r="BF1444" s="29"/>
      <c r="BG1444" s="29"/>
      <c r="BH1444" s="29"/>
      <c r="BI1444" s="29"/>
      <c r="BJ1444" s="29"/>
      <c r="BK1444" s="29"/>
      <c r="BL1444" s="29"/>
      <c r="BM1444" s="29"/>
      <c r="BN1444" s="29"/>
      <c r="BO1444" s="29"/>
      <c r="BP1444" s="29"/>
      <c r="BQ1444" s="29"/>
      <c r="BR1444" s="29"/>
      <c r="BS1444" s="29"/>
      <c r="BT1444" s="29"/>
      <c r="BU1444" s="29"/>
      <c r="BV1444" s="29"/>
      <c r="BW1444" s="29"/>
      <c r="BX1444" s="29"/>
      <c r="BY1444" s="29"/>
      <c r="BZ1444" s="29"/>
      <c r="CA1444" s="29"/>
      <c r="CB1444" s="29"/>
      <c r="CC1444" s="29"/>
      <c r="CD1444" s="29"/>
      <c r="CE1444" s="29"/>
      <c r="CF1444" s="29"/>
      <c r="CG1444" s="29"/>
      <c r="CH1444" s="29"/>
      <c r="CI1444" s="29"/>
      <c r="CJ1444" s="29"/>
      <c r="CK1444" s="29"/>
      <c r="CL1444" s="29"/>
      <c r="CM1444" s="29"/>
      <c r="CN1444" s="29"/>
      <c r="CO1444" s="29"/>
      <c r="CP1444" s="29"/>
      <c r="CQ1444" s="29"/>
      <c r="CR1444" s="29"/>
      <c r="CS1444" s="29"/>
      <c r="CT1444" s="29"/>
      <c r="CU1444" s="29"/>
      <c r="CV1444" s="29"/>
      <c r="CW1444" s="29"/>
      <c r="CX1444" s="29"/>
      <c r="CY1444" s="29"/>
      <c r="CZ1444" s="29"/>
      <c r="DA1444" s="29"/>
      <c r="DB1444" s="29"/>
      <c r="DC1444" s="29"/>
      <c r="DD1444" s="29"/>
      <c r="DE1444" s="29"/>
      <c r="DF1444" s="29"/>
      <c r="DG1444" s="29"/>
      <c r="DH1444" s="29"/>
      <c r="DI1444" s="29"/>
      <c r="DJ1444" s="29"/>
      <c r="DK1444" s="29"/>
      <c r="DL1444" s="29"/>
      <c r="DM1444" s="29"/>
      <c r="DN1444" s="29"/>
      <c r="DO1444" s="29"/>
      <c r="DP1444" s="29"/>
      <c r="DQ1444" s="29"/>
      <c r="DR1444" s="29"/>
      <c r="DS1444" s="29"/>
      <c r="DT1444" s="29"/>
      <c r="DU1444" s="29"/>
      <c r="DV1444" s="29"/>
      <c r="DW1444" s="29"/>
      <c r="DX1444" s="29"/>
      <c r="DY1444" s="29"/>
      <c r="DZ1444" s="29"/>
      <c r="EA1444" s="29"/>
      <c r="EB1444" s="29"/>
      <c r="EC1444" s="29"/>
      <c r="ED1444" s="29"/>
      <c r="EE1444" s="29"/>
      <c r="EF1444" s="29"/>
      <c r="EG1444" s="29"/>
      <c r="EH1444" s="29"/>
      <c r="EI1444" s="29"/>
      <c r="EJ1444" s="29"/>
      <c r="EK1444" s="29"/>
      <c r="EL1444" s="29"/>
      <c r="EM1444" s="29"/>
      <c r="EN1444" s="29"/>
      <c r="EO1444" s="29"/>
      <c r="EP1444" s="29"/>
      <c r="EQ1444" s="29"/>
      <c r="ER1444" s="29"/>
      <c r="ES1444" s="29"/>
      <c r="ET1444" s="29"/>
      <c r="EU1444" s="29"/>
      <c r="EV1444" s="29"/>
      <c r="EW1444" s="29"/>
      <c r="EX1444" s="29"/>
      <c r="EY1444" s="29"/>
      <c r="EZ1444" s="29"/>
      <c r="FA1444" s="29"/>
      <c r="FB1444" s="29"/>
      <c r="FC1444" s="29"/>
      <c r="FD1444" s="29"/>
      <c r="FE1444" s="29"/>
      <c r="FF1444" s="29"/>
      <c r="FG1444" s="29"/>
      <c r="FH1444" s="29"/>
      <c r="FI1444" s="29"/>
      <c r="FJ1444" s="29"/>
      <c r="FK1444" s="29"/>
      <c r="FL1444" s="29"/>
      <c r="FM1444" s="29"/>
      <c r="FN1444" s="29"/>
      <c r="FO1444" s="29"/>
      <c r="FP1444" s="29"/>
      <c r="FQ1444" s="29"/>
      <c r="FR1444" s="29"/>
      <c r="FS1444" s="29"/>
      <c r="FT1444" s="29"/>
      <c r="FU1444" s="29"/>
      <c r="FV1444" s="29"/>
      <c r="FW1444" s="29"/>
      <c r="FX1444" s="29"/>
      <c r="FY1444" s="29"/>
      <c r="FZ1444" s="29"/>
      <c r="GA1444" s="29"/>
      <c r="GB1444" s="29"/>
      <c r="GC1444" s="29"/>
      <c r="GD1444" s="29"/>
      <c r="GE1444" s="29"/>
      <c r="GF1444" s="29"/>
      <c r="GG1444" s="29"/>
      <c r="GH1444" s="29"/>
      <c r="GI1444" s="29"/>
      <c r="GJ1444" s="29"/>
      <c r="GK1444" s="29"/>
      <c r="GL1444" s="29"/>
      <c r="GM1444" s="29"/>
      <c r="GN1444" s="29"/>
      <c r="GO1444" s="29"/>
      <c r="GP1444" s="29"/>
      <c r="GQ1444" s="29"/>
      <c r="GR1444" s="29"/>
      <c r="GS1444" s="29"/>
      <c r="GT1444" s="29"/>
      <c r="GU1444" s="29"/>
      <c r="GV1444" s="29"/>
      <c r="GW1444" s="29"/>
      <c r="GX1444" s="29"/>
      <c r="GY1444" s="29"/>
      <c r="GZ1444" s="29"/>
      <c r="HA1444" s="29"/>
      <c r="HB1444" s="29"/>
      <c r="HC1444" s="29"/>
      <c r="HD1444" s="29"/>
      <c r="HE1444" s="29"/>
      <c r="HF1444" s="29"/>
      <c r="HG1444" s="29"/>
      <c r="HH1444" s="29"/>
      <c r="HI1444" s="29"/>
      <c r="HJ1444" s="29"/>
      <c r="HK1444" s="29"/>
      <c r="HL1444" s="29"/>
      <c r="HM1444" s="29"/>
      <c r="HN1444" s="29"/>
      <c r="HO1444" s="29"/>
      <c r="HP1444" s="29"/>
      <c r="HQ1444" s="29"/>
      <c r="HR1444" s="29"/>
      <c r="HS1444" s="29"/>
      <c r="HT1444" s="29"/>
      <c r="HU1444" s="29"/>
      <c r="HV1444" s="29"/>
      <c r="HW1444" s="29"/>
      <c r="HX1444" s="29"/>
      <c r="HY1444" s="29"/>
      <c r="HZ1444" s="29"/>
      <c r="IA1444" s="29"/>
      <c r="IB1444" s="29"/>
      <c r="IC1444" s="29"/>
      <c r="ID1444" s="29"/>
      <c r="IE1444" s="29"/>
      <c r="IF1444" s="29"/>
      <c r="IG1444" s="29"/>
      <c r="IH1444" s="29"/>
      <c r="II1444" s="29"/>
      <c r="IJ1444" s="29"/>
      <c r="IK1444" s="29"/>
      <c r="IL1444" s="29"/>
      <c r="IM1444" s="29"/>
      <c r="IN1444" s="29"/>
      <c r="IO1444" s="29"/>
      <c r="IP1444" s="29"/>
      <c r="IQ1444" s="29"/>
      <c r="IR1444" s="29"/>
      <c r="IS1444" s="29"/>
      <c r="IT1444" s="29"/>
      <c r="IU1444" s="29"/>
      <c r="IV1444" s="29"/>
      <c r="IW1444" s="29"/>
      <c r="IX1444" s="29"/>
      <c r="IY1444" s="29"/>
      <c r="IZ1444" s="29"/>
      <c r="JA1444" s="29"/>
      <c r="JB1444" s="29"/>
      <c r="JC1444" s="29"/>
      <c r="JD1444" s="29"/>
      <c r="JE1444" s="29"/>
      <c r="JF1444" s="29"/>
      <c r="JG1444" s="29"/>
      <c r="JH1444" s="29"/>
      <c r="JI1444" s="29"/>
      <c r="JJ1444" s="29"/>
      <c r="JK1444" s="29"/>
      <c r="JL1444" s="29"/>
      <c r="JM1444" s="29"/>
      <c r="JN1444" s="29"/>
      <c r="JO1444" s="29"/>
      <c r="JP1444" s="29"/>
      <c r="JQ1444" s="29"/>
      <c r="JR1444" s="29"/>
      <c r="JS1444" s="29"/>
      <c r="JT1444" s="29"/>
      <c r="JU1444" s="29"/>
      <c r="JV1444" s="29"/>
      <c r="JW1444" s="29"/>
      <c r="JX1444" s="29"/>
      <c r="JY1444" s="29"/>
      <c r="JZ1444" s="29"/>
      <c r="KA1444" s="29"/>
      <c r="KB1444" s="29"/>
      <c r="KC1444" s="29"/>
      <c r="KD1444" s="29"/>
      <c r="KE1444" s="29"/>
      <c r="KF1444" s="29"/>
      <c r="KG1444" s="29"/>
      <c r="KH1444" s="29"/>
      <c r="KI1444" s="29"/>
      <c r="KJ1444" s="29"/>
      <c r="KK1444" s="29"/>
      <c r="KL1444" s="29"/>
      <c r="KM1444" s="29"/>
      <c r="KN1444" s="29"/>
      <c r="KO1444" s="29"/>
      <c r="KP1444" s="29"/>
      <c r="KQ1444" s="29"/>
      <c r="KR1444" s="29"/>
      <c r="KS1444" s="29"/>
      <c r="KT1444" s="29"/>
      <c r="KU1444" s="29"/>
      <c r="KV1444" s="29"/>
      <c r="KW1444" s="29"/>
      <c r="KX1444" s="29"/>
      <c r="KY1444" s="29"/>
      <c r="KZ1444" s="29"/>
      <c r="LA1444" s="29"/>
      <c r="LB1444" s="29"/>
      <c r="LC1444" s="29"/>
      <c r="LD1444" s="29"/>
      <c r="LE1444" s="29"/>
      <c r="LF1444" s="29"/>
      <c r="LG1444" s="29"/>
      <c r="LH1444" s="29"/>
      <c r="LI1444" s="29"/>
      <c r="LJ1444" s="29"/>
      <c r="LK1444" s="29"/>
      <c r="LL1444" s="29"/>
      <c r="LM1444" s="29"/>
      <c r="LN1444" s="29"/>
      <c r="LO1444" s="29"/>
      <c r="LP1444" s="29"/>
      <c r="LQ1444" s="29"/>
      <c r="LR1444" s="29"/>
      <c r="LS1444" s="29"/>
      <c r="LT1444" s="29"/>
      <c r="LU1444" s="29"/>
      <c r="LV1444" s="29"/>
      <c r="LW1444" s="29"/>
      <c r="LX1444" s="29"/>
      <c r="LY1444" s="29"/>
      <c r="LZ1444" s="29"/>
      <c r="MA1444" s="29"/>
      <c r="MB1444" s="29"/>
      <c r="MC1444" s="29"/>
      <c r="MD1444" s="29"/>
      <c r="ME1444" s="29"/>
      <c r="MF1444" s="29"/>
      <c r="MG1444" s="29"/>
      <c r="MH1444" s="29"/>
      <c r="MI1444" s="29"/>
      <c r="MJ1444" s="29"/>
      <c r="MK1444" s="29"/>
      <c r="ML1444" s="29"/>
      <c r="MM1444" s="29"/>
      <c r="MN1444" s="29"/>
      <c r="MO1444" s="29"/>
      <c r="MP1444" s="29"/>
      <c r="MQ1444" s="29"/>
      <c r="MR1444" s="29"/>
      <c r="MS1444" s="29"/>
      <c r="MT1444" s="29"/>
      <c r="MU1444" s="29"/>
      <c r="MV1444" s="29"/>
      <c r="MW1444" s="29"/>
      <c r="MX1444" s="29"/>
      <c r="MY1444" s="29"/>
      <c r="MZ1444" s="29"/>
      <c r="NA1444" s="29"/>
      <c r="NB1444" s="29"/>
      <c r="NC1444" s="29"/>
      <c r="ND1444" s="29"/>
      <c r="NE1444" s="29"/>
      <c r="NF1444" s="29"/>
      <c r="NG1444" s="29"/>
      <c r="NH1444" s="29"/>
      <c r="NI1444" s="29"/>
      <c r="NJ1444" s="29"/>
      <c r="NK1444" s="29"/>
      <c r="NL1444" s="29"/>
      <c r="NM1444" s="29"/>
      <c r="NN1444" s="29"/>
      <c r="NO1444" s="29"/>
      <c r="NP1444" s="29"/>
      <c r="NQ1444" s="29"/>
      <c r="NR1444" s="29"/>
      <c r="NS1444" s="29"/>
      <c r="NT1444" s="29"/>
      <c r="NU1444" s="29"/>
      <c r="NV1444" s="29"/>
      <c r="NW1444" s="29"/>
      <c r="NX1444" s="29"/>
      <c r="NY1444" s="29"/>
      <c r="NZ1444" s="29"/>
      <c r="OA1444" s="29"/>
      <c r="OB1444" s="29"/>
      <c r="OC1444" s="29"/>
      <c r="OD1444" s="29"/>
      <c r="OE1444" s="29"/>
      <c r="OF1444" s="29"/>
      <c r="OG1444" s="29"/>
      <c r="OH1444" s="29"/>
      <c r="OI1444" s="29"/>
      <c r="OJ1444" s="29"/>
      <c r="OK1444" s="29"/>
      <c r="OL1444" s="29"/>
      <c r="OM1444" s="29"/>
      <c r="ON1444" s="29"/>
      <c r="OO1444" s="29"/>
      <c r="OP1444" s="29"/>
      <c r="OQ1444" s="29"/>
      <c r="OR1444" s="29"/>
      <c r="OS1444" s="29"/>
      <c r="OT1444" s="29"/>
      <c r="OU1444" s="29"/>
      <c r="OV1444" s="29"/>
      <c r="OW1444" s="29"/>
      <c r="OX1444" s="29"/>
      <c r="OY1444" s="29"/>
      <c r="OZ1444" s="29"/>
      <c r="PA1444" s="29"/>
      <c r="PB1444" s="29"/>
      <c r="PC1444" s="29"/>
      <c r="PD1444" s="29"/>
      <c r="PE1444" s="29"/>
      <c r="PF1444" s="29"/>
      <c r="PG1444" s="29"/>
      <c r="PH1444" s="29"/>
      <c r="PI1444" s="29"/>
      <c r="PJ1444" s="29"/>
      <c r="PK1444" s="29"/>
      <c r="PL1444" s="29"/>
      <c r="PM1444" s="29"/>
      <c r="PN1444" s="29"/>
      <c r="PO1444" s="29"/>
      <c r="PP1444" s="29"/>
      <c r="PQ1444" s="29"/>
      <c r="PR1444" s="29"/>
      <c r="PS1444" s="29"/>
      <c r="PT1444" s="29"/>
      <c r="PU1444" s="29"/>
      <c r="PV1444" s="29"/>
      <c r="PW1444" s="29"/>
      <c r="PX1444" s="29"/>
      <c r="PY1444" s="29"/>
      <c r="PZ1444" s="29"/>
      <c r="QA1444" s="29"/>
      <c r="QB1444" s="29"/>
      <c r="QC1444" s="29"/>
      <c r="QD1444" s="29"/>
      <c r="QE1444" s="29"/>
      <c r="QF1444" s="29"/>
      <c r="QG1444" s="29"/>
      <c r="QH1444" s="29"/>
      <c r="QI1444" s="29"/>
      <c r="QJ1444" s="29"/>
      <c r="QK1444" s="29"/>
      <c r="QL1444" s="29"/>
      <c r="QM1444" s="29"/>
      <c r="QN1444" s="29"/>
      <c r="QO1444" s="29"/>
      <c r="QP1444" s="29"/>
      <c r="QQ1444" s="29"/>
      <c r="QR1444" s="29"/>
      <c r="QS1444" s="29"/>
      <c r="QT1444" s="29"/>
      <c r="QU1444" s="29"/>
      <c r="QV1444" s="29"/>
      <c r="QW1444" s="29"/>
      <c r="QX1444" s="29"/>
      <c r="QY1444" s="29"/>
      <c r="QZ1444" s="29"/>
      <c r="RA1444" s="29"/>
      <c r="RB1444" s="29"/>
      <c r="RC1444" s="29"/>
      <c r="RD1444" s="29"/>
      <c r="RE1444" s="29"/>
      <c r="RF1444" s="29"/>
      <c r="RG1444" s="29"/>
      <c r="RH1444" s="29"/>
      <c r="RI1444" s="29"/>
      <c r="RJ1444" s="29"/>
      <c r="RK1444" s="29"/>
      <c r="RL1444" s="29"/>
      <c r="RM1444" s="29"/>
      <c r="RN1444" s="29"/>
      <c r="RO1444" s="29"/>
      <c r="RP1444" s="29"/>
      <c r="RQ1444" s="29"/>
      <c r="RR1444" s="29"/>
      <c r="RS1444" s="29"/>
      <c r="RT1444" s="29"/>
      <c r="RU1444" s="29"/>
      <c r="RV1444" s="29"/>
      <c r="RW1444" s="29"/>
      <c r="RX1444" s="29"/>
      <c r="RY1444" s="29"/>
      <c r="RZ1444" s="29"/>
      <c r="SA1444" s="29"/>
      <c r="SB1444" s="29"/>
      <c r="SC1444" s="29"/>
      <c r="SD1444" s="29"/>
      <c r="SE1444" s="29"/>
      <c r="SF1444" s="29"/>
      <c r="SG1444" s="29"/>
      <c r="SH1444" s="29"/>
      <c r="SI1444" s="29"/>
      <c r="SJ1444" s="29"/>
      <c r="SK1444" s="29"/>
      <c r="SL1444" s="29"/>
      <c r="SM1444" s="29"/>
      <c r="SN1444" s="29"/>
      <c r="SO1444" s="29"/>
      <c r="SP1444" s="29"/>
      <c r="SQ1444" s="29"/>
      <c r="SR1444" s="29"/>
      <c r="SS1444" s="29"/>
      <c r="ST1444" s="29"/>
      <c r="SU1444" s="29"/>
      <c r="SV1444" s="29"/>
      <c r="SW1444" s="29"/>
      <c r="SX1444" s="29"/>
      <c r="SY1444" s="29"/>
      <c r="SZ1444" s="29"/>
      <c r="TA1444" s="29"/>
      <c r="TB1444" s="29"/>
      <c r="TC1444" s="29"/>
      <c r="TD1444" s="29"/>
      <c r="TE1444" s="29"/>
      <c r="TF1444" s="29"/>
      <c r="TG1444" s="29"/>
      <c r="TH1444" s="29"/>
      <c r="TI1444" s="29"/>
      <c r="TJ1444" s="29"/>
      <c r="TK1444" s="29"/>
      <c r="TL1444" s="29"/>
      <c r="TM1444" s="29"/>
      <c r="TN1444" s="29"/>
      <c r="TO1444" s="29"/>
      <c r="TP1444" s="29"/>
      <c r="TQ1444" s="29"/>
      <c r="TR1444" s="29"/>
      <c r="TS1444" s="29"/>
      <c r="TT1444" s="29"/>
      <c r="TU1444" s="29"/>
      <c r="TV1444" s="29"/>
      <c r="TW1444" s="29"/>
      <c r="TX1444" s="29"/>
      <c r="TY1444" s="29"/>
      <c r="TZ1444" s="29"/>
      <c r="UA1444" s="29"/>
      <c r="UB1444" s="29"/>
      <c r="UC1444" s="29"/>
      <c r="UD1444" s="29"/>
      <c r="UE1444" s="29"/>
      <c r="UF1444" s="29"/>
      <c r="UG1444" s="29"/>
    </row>
    <row r="1445" spans="1:553" s="208" customFormat="1" ht="45" customHeight="1">
      <c r="A1445" s="356" t="s">
        <v>15</v>
      </c>
      <c r="B1445" s="385" t="s">
        <v>1300</v>
      </c>
      <c r="C1445" s="1535" t="s">
        <v>1299</v>
      </c>
      <c r="D1445" s="1569"/>
      <c r="E1445" s="1569"/>
      <c r="F1445" s="1570"/>
      <c r="G1445" s="417" t="s">
        <v>1303</v>
      </c>
      <c r="H1445" s="370"/>
      <c r="I1445" s="834">
        <f>0.55*1.3*30</f>
        <v>21.450000000000003</v>
      </c>
      <c r="J1445" s="368">
        <f>600000-400000</f>
        <v>200000</v>
      </c>
      <c r="K1445" s="371"/>
      <c r="L1445" s="487">
        <f>ROUND(PRODUCT(I1445:K1445),0)</f>
        <v>4290000</v>
      </c>
      <c r="M1445" s="395"/>
      <c r="N1445" s="395"/>
      <c r="O1445" s="366"/>
      <c r="P1445" s="396"/>
      <c r="Q1445" s="473"/>
      <c r="R1445" s="1039"/>
      <c r="S1445" s="308"/>
      <c r="T1445" s="308"/>
      <c r="U1445" s="308"/>
      <c r="V1445" s="308"/>
      <c r="W1445" s="308"/>
      <c r="X1445" s="308"/>
      <c r="Y1445" s="308"/>
      <c r="Z1445" s="604"/>
      <c r="AA1445" s="308"/>
      <c r="AB1445" s="308"/>
      <c r="AC1445" s="308"/>
      <c r="AD1445" s="308"/>
      <c r="AE1445" s="308"/>
      <c r="AF1445" s="308"/>
      <c r="AG1445" s="308"/>
      <c r="AH1445" s="308"/>
      <c r="AI1445" s="308"/>
      <c r="AJ1445" s="308"/>
      <c r="AK1445" s="308"/>
      <c r="AL1445" s="205"/>
      <c r="AM1445" s="2"/>
      <c r="AN1445" s="2"/>
      <c r="AO1445" s="2"/>
      <c r="AP1445" s="2"/>
      <c r="AQ1445" s="2"/>
      <c r="AR1445" s="2"/>
      <c r="AS1445" s="2"/>
      <c r="AT1445" s="2"/>
      <c r="AU1445" s="2"/>
      <c r="AV1445" s="2"/>
      <c r="AW1445" s="2"/>
      <c r="AX1445" s="2"/>
      <c r="AY1445" s="2"/>
      <c r="AZ1445" s="2"/>
      <c r="BA1445" s="2"/>
      <c r="BB1445" s="2"/>
      <c r="BC1445" s="2"/>
      <c r="BD1445" s="2"/>
      <c r="BE1445" s="2"/>
      <c r="BF1445" s="2"/>
      <c r="BG1445" s="2"/>
      <c r="BH1445" s="2"/>
      <c r="BI1445" s="2"/>
      <c r="BJ1445" s="2"/>
      <c r="BK1445" s="2"/>
      <c r="BL1445" s="2"/>
      <c r="BM1445" s="2"/>
      <c r="BN1445" s="2"/>
      <c r="BO1445" s="2"/>
      <c r="BP1445" s="2"/>
      <c r="BQ1445" s="2"/>
      <c r="BR1445" s="2"/>
      <c r="BS1445" s="2"/>
      <c r="BT1445" s="2"/>
      <c r="BU1445" s="2"/>
      <c r="BV1445" s="2"/>
      <c r="BW1445" s="2"/>
      <c r="BX1445" s="2"/>
      <c r="BY1445" s="2"/>
      <c r="BZ1445" s="2"/>
      <c r="CA1445" s="2"/>
      <c r="CB1445" s="2"/>
      <c r="CC1445" s="2"/>
      <c r="CD1445" s="2"/>
      <c r="CE1445" s="2"/>
      <c r="CF1445" s="2"/>
      <c r="CG1445" s="2"/>
      <c r="CH1445" s="2"/>
      <c r="CI1445" s="2"/>
      <c r="CJ1445" s="2"/>
      <c r="CK1445" s="2"/>
      <c r="CL1445" s="2"/>
      <c r="CM1445" s="2"/>
      <c r="CN1445" s="2"/>
      <c r="CO1445" s="2"/>
      <c r="CP1445" s="2"/>
      <c r="CQ1445" s="2"/>
      <c r="CR1445" s="2"/>
      <c r="CS1445" s="2"/>
      <c r="CT1445" s="2"/>
      <c r="CU1445" s="2"/>
      <c r="CV1445" s="2"/>
      <c r="CW1445" s="2"/>
      <c r="CX1445" s="2"/>
      <c r="CY1445" s="2"/>
      <c r="CZ1445" s="2"/>
      <c r="DA1445" s="2"/>
      <c r="DB1445" s="2"/>
      <c r="DC1445" s="2"/>
      <c r="DD1445" s="2"/>
      <c r="DE1445" s="2"/>
      <c r="DF1445" s="2"/>
      <c r="DG1445" s="2"/>
      <c r="DH1445" s="2"/>
      <c r="DI1445" s="2"/>
      <c r="DJ1445" s="2"/>
      <c r="DK1445" s="2"/>
      <c r="DL1445" s="2"/>
      <c r="DM1445" s="2"/>
      <c r="DN1445" s="2"/>
      <c r="DO1445" s="2"/>
      <c r="DP1445" s="2"/>
      <c r="DQ1445" s="2"/>
      <c r="DR1445" s="2"/>
      <c r="DS1445" s="2"/>
      <c r="DT1445" s="2"/>
      <c r="DU1445" s="2"/>
      <c r="DV1445" s="2"/>
      <c r="DW1445" s="2"/>
      <c r="DX1445" s="2"/>
      <c r="DY1445" s="2"/>
      <c r="DZ1445" s="2"/>
      <c r="EA1445" s="2"/>
      <c r="EB1445" s="2"/>
      <c r="EC1445" s="2"/>
      <c r="ED1445" s="2"/>
      <c r="EE1445" s="2"/>
      <c r="EF1445" s="2"/>
      <c r="EG1445" s="2"/>
      <c r="EH1445" s="2"/>
      <c r="EI1445" s="2"/>
      <c r="EJ1445" s="2"/>
      <c r="EK1445" s="2"/>
      <c r="EL1445" s="2"/>
      <c r="EM1445" s="2"/>
      <c r="EN1445" s="2"/>
      <c r="EO1445" s="2"/>
      <c r="EP1445" s="2"/>
      <c r="EQ1445" s="2"/>
      <c r="ER1445" s="2"/>
      <c r="ES1445" s="2"/>
      <c r="ET1445" s="2"/>
      <c r="EU1445" s="2"/>
      <c r="EV1445" s="2"/>
      <c r="EW1445" s="2"/>
      <c r="EX1445" s="2"/>
      <c r="EY1445" s="2"/>
      <c r="EZ1445" s="2"/>
      <c r="FA1445" s="2"/>
      <c r="FB1445" s="2"/>
      <c r="FC1445" s="2"/>
      <c r="FD1445" s="2"/>
      <c r="FE1445" s="2"/>
      <c r="FF1445" s="2"/>
      <c r="FG1445" s="2"/>
      <c r="FH1445" s="2"/>
      <c r="FI1445" s="2"/>
      <c r="FJ1445" s="2"/>
      <c r="FK1445" s="2"/>
      <c r="FL1445" s="2"/>
      <c r="FM1445" s="2"/>
      <c r="FN1445" s="2"/>
      <c r="FO1445" s="2"/>
      <c r="FP1445" s="2"/>
      <c r="FQ1445" s="2"/>
      <c r="FR1445" s="2"/>
      <c r="FS1445" s="2"/>
      <c r="FT1445" s="2"/>
      <c r="FU1445" s="2"/>
      <c r="FV1445" s="2"/>
      <c r="FW1445" s="2"/>
      <c r="FX1445" s="2"/>
      <c r="FY1445" s="2"/>
      <c r="FZ1445" s="2"/>
      <c r="GA1445" s="2"/>
      <c r="GB1445" s="2"/>
      <c r="GC1445" s="2"/>
      <c r="GD1445" s="2"/>
      <c r="GE1445" s="2"/>
      <c r="GF1445" s="2"/>
      <c r="GG1445" s="2"/>
      <c r="GH1445" s="2"/>
      <c r="GI1445" s="2"/>
      <c r="GJ1445" s="2"/>
      <c r="GK1445" s="2"/>
      <c r="GL1445" s="2"/>
      <c r="GM1445" s="2"/>
      <c r="GN1445" s="2"/>
      <c r="GO1445" s="2"/>
      <c r="GP1445" s="2"/>
      <c r="GQ1445" s="2"/>
      <c r="GR1445" s="2"/>
      <c r="GS1445" s="2"/>
      <c r="GT1445" s="2"/>
      <c r="GU1445" s="2"/>
      <c r="GV1445" s="2"/>
      <c r="GW1445" s="2"/>
      <c r="GX1445" s="2"/>
      <c r="GY1445" s="2"/>
      <c r="GZ1445" s="2"/>
      <c r="HA1445" s="2"/>
      <c r="HB1445" s="2"/>
      <c r="HC1445" s="2"/>
      <c r="HD1445" s="2"/>
      <c r="HE1445" s="2"/>
      <c r="HF1445" s="2"/>
      <c r="HG1445" s="2"/>
      <c r="HH1445" s="2"/>
      <c r="HI1445" s="2"/>
      <c r="HJ1445" s="2"/>
      <c r="HK1445" s="2"/>
      <c r="HL1445" s="2"/>
      <c r="HM1445" s="2"/>
      <c r="HN1445" s="2"/>
      <c r="HO1445" s="2"/>
      <c r="HP1445" s="2"/>
      <c r="HQ1445" s="2"/>
      <c r="HR1445" s="2"/>
      <c r="HS1445" s="2"/>
      <c r="HT1445" s="2"/>
      <c r="HU1445" s="2"/>
      <c r="HV1445" s="2"/>
      <c r="HW1445" s="2"/>
      <c r="HX1445" s="2"/>
      <c r="HY1445" s="2"/>
      <c r="HZ1445" s="2"/>
      <c r="IA1445" s="2"/>
      <c r="IB1445" s="2"/>
      <c r="IC1445" s="2"/>
      <c r="ID1445" s="2"/>
      <c r="IE1445" s="2"/>
      <c r="IF1445" s="2"/>
      <c r="IG1445" s="2"/>
      <c r="IH1445" s="2"/>
      <c r="II1445" s="2"/>
      <c r="IJ1445" s="2"/>
      <c r="IK1445" s="2"/>
      <c r="IL1445" s="2"/>
      <c r="IM1445" s="2"/>
      <c r="IN1445" s="2"/>
      <c r="IO1445" s="2"/>
      <c r="IP1445" s="2"/>
      <c r="IQ1445" s="2"/>
      <c r="IR1445" s="2"/>
      <c r="IS1445" s="2"/>
      <c r="IT1445" s="2"/>
      <c r="IU1445" s="2"/>
      <c r="IV1445" s="2"/>
      <c r="IW1445" s="2"/>
      <c r="IX1445" s="2"/>
      <c r="IY1445" s="2"/>
      <c r="IZ1445" s="2"/>
      <c r="JA1445" s="2"/>
      <c r="JB1445" s="2"/>
      <c r="JC1445" s="2"/>
      <c r="JD1445" s="2"/>
      <c r="JE1445" s="2"/>
      <c r="JF1445" s="2"/>
      <c r="JG1445" s="2"/>
      <c r="JH1445" s="2"/>
      <c r="JI1445" s="2"/>
      <c r="JJ1445" s="2"/>
      <c r="JK1445" s="2"/>
      <c r="JL1445" s="2"/>
      <c r="JM1445" s="2"/>
      <c r="JN1445" s="2"/>
      <c r="JO1445" s="2"/>
      <c r="JP1445" s="2"/>
      <c r="JQ1445" s="2"/>
      <c r="JR1445" s="2"/>
      <c r="JS1445" s="2"/>
      <c r="JT1445" s="2"/>
      <c r="JU1445" s="2"/>
      <c r="JV1445" s="2"/>
      <c r="JW1445" s="2"/>
      <c r="JX1445" s="2"/>
      <c r="JY1445" s="2"/>
      <c r="JZ1445" s="2"/>
      <c r="KA1445" s="2"/>
      <c r="KB1445" s="2"/>
      <c r="KC1445" s="2"/>
      <c r="KD1445" s="2"/>
      <c r="KE1445" s="2"/>
      <c r="KF1445" s="2"/>
      <c r="KG1445" s="2"/>
      <c r="KH1445" s="2"/>
      <c r="KI1445" s="2"/>
      <c r="KJ1445" s="2"/>
      <c r="KK1445" s="2"/>
      <c r="KL1445" s="2"/>
      <c r="KM1445" s="2"/>
      <c r="KN1445" s="2"/>
      <c r="KO1445" s="2"/>
      <c r="KP1445" s="2"/>
      <c r="KQ1445" s="2"/>
      <c r="KR1445" s="2"/>
      <c r="KS1445" s="2"/>
      <c r="KT1445" s="2"/>
      <c r="KU1445" s="2"/>
      <c r="KV1445" s="2"/>
      <c r="KW1445" s="2"/>
      <c r="KX1445" s="2"/>
      <c r="KY1445" s="2"/>
      <c r="KZ1445" s="2"/>
      <c r="LA1445" s="2"/>
      <c r="LB1445" s="2"/>
      <c r="LC1445" s="2"/>
      <c r="LD1445" s="2"/>
      <c r="LE1445" s="2"/>
      <c r="LF1445" s="2"/>
      <c r="LG1445" s="2"/>
      <c r="LH1445" s="2"/>
      <c r="LI1445" s="2"/>
      <c r="LJ1445" s="2"/>
      <c r="LK1445" s="2"/>
      <c r="LL1445" s="2"/>
      <c r="LM1445" s="2"/>
      <c r="LN1445" s="2"/>
      <c r="LO1445" s="2"/>
      <c r="LP1445" s="2"/>
      <c r="LQ1445" s="2"/>
      <c r="LR1445" s="2"/>
      <c r="LS1445" s="2"/>
      <c r="LT1445" s="2"/>
      <c r="LU1445" s="2"/>
      <c r="LV1445" s="2"/>
      <c r="LW1445" s="2"/>
      <c r="LX1445" s="2"/>
      <c r="LY1445" s="2"/>
      <c r="LZ1445" s="2"/>
      <c r="MA1445" s="2"/>
      <c r="MB1445" s="2"/>
      <c r="MC1445" s="2"/>
      <c r="MD1445" s="2"/>
      <c r="ME1445" s="2"/>
      <c r="MF1445" s="2"/>
      <c r="MG1445" s="2"/>
      <c r="MH1445" s="2"/>
      <c r="MI1445" s="2"/>
      <c r="MJ1445" s="2"/>
      <c r="MK1445" s="2"/>
      <c r="ML1445" s="2"/>
      <c r="MM1445" s="2"/>
      <c r="MN1445" s="2"/>
      <c r="MO1445" s="2"/>
      <c r="MP1445" s="2"/>
      <c r="MQ1445" s="2"/>
      <c r="MR1445" s="2"/>
      <c r="MS1445" s="2"/>
      <c r="MT1445" s="2"/>
      <c r="MU1445" s="2"/>
      <c r="MV1445" s="2"/>
      <c r="MW1445" s="2"/>
      <c r="MX1445" s="2"/>
      <c r="MY1445" s="2"/>
      <c r="MZ1445" s="2"/>
      <c r="NA1445" s="2"/>
      <c r="NB1445" s="2"/>
      <c r="NC1445" s="2"/>
      <c r="ND1445" s="2"/>
      <c r="NE1445" s="2"/>
      <c r="NF1445" s="2"/>
      <c r="NG1445" s="2"/>
      <c r="NH1445" s="2"/>
      <c r="NI1445" s="2"/>
      <c r="NJ1445" s="2"/>
      <c r="NK1445" s="2"/>
      <c r="NL1445" s="2"/>
      <c r="NM1445" s="2"/>
      <c r="NN1445" s="2"/>
      <c r="NO1445" s="2"/>
      <c r="NP1445" s="2"/>
      <c r="NQ1445" s="2"/>
      <c r="NR1445" s="2"/>
      <c r="NS1445" s="2"/>
      <c r="NT1445" s="2"/>
      <c r="NU1445" s="2"/>
      <c r="NV1445" s="2"/>
      <c r="NW1445" s="2"/>
      <c r="NX1445" s="2"/>
      <c r="NY1445" s="2"/>
      <c r="NZ1445" s="2"/>
      <c r="OA1445" s="2"/>
      <c r="OB1445" s="2"/>
      <c r="OC1445" s="2"/>
      <c r="OD1445" s="2"/>
      <c r="OE1445" s="2"/>
      <c r="OF1445" s="2"/>
      <c r="OG1445" s="2"/>
      <c r="OH1445" s="2"/>
      <c r="OI1445" s="2"/>
      <c r="OJ1445" s="2"/>
      <c r="OK1445" s="2"/>
      <c r="OL1445" s="2"/>
      <c r="OM1445" s="2"/>
      <c r="ON1445" s="2"/>
      <c r="OO1445" s="2"/>
      <c r="OP1445" s="2"/>
      <c r="OQ1445" s="2"/>
      <c r="OR1445" s="2"/>
      <c r="OS1445" s="2"/>
      <c r="OT1445" s="2"/>
      <c r="OU1445" s="2"/>
      <c r="OV1445" s="2"/>
      <c r="OW1445" s="2"/>
      <c r="OX1445" s="2"/>
      <c r="OY1445" s="2"/>
      <c r="OZ1445" s="2"/>
      <c r="PA1445" s="2"/>
      <c r="PB1445" s="2"/>
      <c r="PC1445" s="2"/>
      <c r="PD1445" s="2"/>
      <c r="PE1445" s="2"/>
      <c r="PF1445" s="2"/>
      <c r="PG1445" s="2"/>
      <c r="PH1445" s="2"/>
      <c r="PI1445" s="2"/>
      <c r="PJ1445" s="2"/>
      <c r="PK1445" s="2"/>
      <c r="PL1445" s="2"/>
      <c r="PM1445" s="2"/>
      <c r="PN1445" s="2"/>
      <c r="PO1445" s="2"/>
      <c r="PP1445" s="2"/>
      <c r="PQ1445" s="2"/>
      <c r="PR1445" s="2"/>
      <c r="PS1445" s="2"/>
      <c r="PT1445" s="2"/>
      <c r="PU1445" s="2"/>
      <c r="PV1445" s="2"/>
      <c r="PW1445" s="2"/>
      <c r="PX1445" s="2"/>
      <c r="PY1445" s="2"/>
      <c r="PZ1445" s="2"/>
      <c r="QA1445" s="2"/>
      <c r="QB1445" s="2"/>
      <c r="QC1445" s="2"/>
      <c r="QD1445" s="2"/>
      <c r="QE1445" s="2"/>
      <c r="QF1445" s="2"/>
      <c r="QG1445" s="2"/>
      <c r="QH1445" s="2"/>
      <c r="QI1445" s="2"/>
      <c r="QJ1445" s="2"/>
      <c r="QK1445" s="2"/>
      <c r="QL1445" s="2"/>
      <c r="QM1445" s="2"/>
      <c r="QN1445" s="2"/>
      <c r="QO1445" s="2"/>
      <c r="QP1445" s="2"/>
      <c r="QQ1445" s="2"/>
      <c r="QR1445" s="2"/>
      <c r="QS1445" s="2"/>
      <c r="QT1445" s="2"/>
      <c r="QU1445" s="2"/>
      <c r="QV1445" s="2"/>
      <c r="QW1445" s="2"/>
      <c r="QX1445" s="2"/>
      <c r="QY1445" s="2"/>
      <c r="QZ1445" s="2"/>
      <c r="RA1445" s="2"/>
      <c r="RB1445" s="2"/>
      <c r="RC1445" s="2"/>
      <c r="RD1445" s="2"/>
      <c r="RE1445" s="2"/>
      <c r="RF1445" s="2"/>
      <c r="RG1445" s="2"/>
      <c r="RH1445" s="2"/>
      <c r="RI1445" s="2"/>
      <c r="RJ1445" s="2"/>
      <c r="RK1445" s="2"/>
      <c r="RL1445" s="2"/>
      <c r="RM1445" s="2"/>
      <c r="RN1445" s="2"/>
      <c r="RO1445" s="2"/>
      <c r="RP1445" s="2"/>
      <c r="RQ1445" s="2"/>
      <c r="RR1445" s="2"/>
      <c r="RS1445" s="2"/>
      <c r="RT1445" s="2"/>
      <c r="RU1445" s="2"/>
      <c r="RV1445" s="2"/>
      <c r="RW1445" s="2"/>
      <c r="RX1445" s="2"/>
      <c r="RY1445" s="2"/>
      <c r="RZ1445" s="2"/>
      <c r="SA1445" s="2"/>
      <c r="SB1445" s="2"/>
      <c r="SC1445" s="2"/>
      <c r="SD1445" s="2"/>
      <c r="SE1445" s="2"/>
      <c r="SF1445" s="2"/>
      <c r="SG1445" s="2"/>
      <c r="SH1445" s="2"/>
      <c r="SI1445" s="2"/>
      <c r="SJ1445" s="2"/>
      <c r="SK1445" s="2"/>
      <c r="SL1445" s="2"/>
      <c r="SM1445" s="2"/>
      <c r="SN1445" s="2"/>
      <c r="SO1445" s="2"/>
      <c r="SP1445" s="2"/>
      <c r="SQ1445" s="2"/>
      <c r="SR1445" s="2"/>
      <c r="SS1445" s="2"/>
      <c r="ST1445" s="2"/>
      <c r="SU1445" s="2"/>
      <c r="SV1445" s="2"/>
      <c r="SW1445" s="2"/>
      <c r="SX1445" s="2"/>
      <c r="SY1445" s="2"/>
      <c r="SZ1445" s="2"/>
      <c r="TA1445" s="2"/>
      <c r="TB1445" s="2"/>
      <c r="TC1445" s="2"/>
      <c r="TD1445" s="2"/>
      <c r="TE1445" s="2"/>
      <c r="TF1445" s="2"/>
      <c r="TG1445" s="2"/>
      <c r="TH1445" s="2"/>
      <c r="TI1445" s="2"/>
      <c r="TJ1445" s="2"/>
      <c r="TK1445" s="2"/>
      <c r="TL1445" s="2"/>
      <c r="TM1445" s="2"/>
      <c r="TN1445" s="2"/>
      <c r="TO1445" s="2"/>
      <c r="TP1445" s="2"/>
      <c r="TQ1445" s="2"/>
      <c r="TR1445" s="2"/>
      <c r="TS1445" s="2"/>
      <c r="TT1445" s="2"/>
      <c r="TU1445" s="2"/>
      <c r="TV1445" s="2"/>
      <c r="TW1445" s="2"/>
      <c r="TX1445" s="2"/>
      <c r="TY1445" s="2"/>
      <c r="TZ1445" s="2"/>
      <c r="UA1445" s="2"/>
      <c r="UB1445" s="2"/>
      <c r="UC1445" s="2"/>
      <c r="UD1445" s="2"/>
      <c r="UE1445" s="2"/>
      <c r="UF1445" s="2"/>
      <c r="UG1445" s="2"/>
    </row>
    <row r="1446" spans="1:553" ht="25.15" customHeight="1">
      <c r="A1446" s="356" t="s">
        <v>15</v>
      </c>
      <c r="B1446" s="385" t="s">
        <v>35</v>
      </c>
      <c r="C1446" s="1535" t="s">
        <v>776</v>
      </c>
      <c r="D1446" s="1389"/>
      <c r="E1446" s="1389"/>
      <c r="F1446" s="1390"/>
      <c r="G1446" s="417" t="s">
        <v>1303</v>
      </c>
      <c r="H1446" s="370"/>
      <c r="I1446" s="834">
        <f>0.34*11.6*13</f>
        <v>51.271999999999998</v>
      </c>
      <c r="J1446" s="368">
        <v>39000</v>
      </c>
      <c r="K1446" s="371"/>
      <c r="L1446" s="487">
        <f t="shared" si="222"/>
        <v>1999608</v>
      </c>
      <c r="M1446" s="395"/>
      <c r="N1446" s="395"/>
      <c r="O1446" s="366"/>
      <c r="P1446" s="396"/>
      <c r="Q1446" s="473"/>
      <c r="R1446" s="1039"/>
      <c r="S1446" s="308"/>
      <c r="T1446" s="308"/>
      <c r="U1446" s="308"/>
      <c r="V1446" s="308"/>
      <c r="W1446" s="308"/>
      <c r="X1446" s="308"/>
      <c r="Y1446" s="308"/>
      <c r="Z1446" s="604"/>
      <c r="AA1446" s="308"/>
      <c r="AB1446" s="308"/>
      <c r="AC1446" s="486"/>
      <c r="AD1446" s="486"/>
      <c r="AE1446" s="486"/>
      <c r="AF1446" s="486"/>
      <c r="AG1446" s="486"/>
      <c r="AH1446" s="486"/>
      <c r="AI1446" s="486"/>
      <c r="AJ1446" s="486"/>
      <c r="AK1446" s="486"/>
      <c r="AL1446" s="206"/>
      <c r="AM1446" s="29"/>
      <c r="AN1446" s="29"/>
      <c r="AO1446" s="29"/>
      <c r="AP1446" s="29"/>
      <c r="AQ1446" s="29"/>
      <c r="AR1446" s="29"/>
      <c r="AS1446" s="29"/>
      <c r="AT1446" s="29"/>
      <c r="AU1446" s="29"/>
      <c r="AV1446" s="29"/>
      <c r="AW1446" s="29"/>
      <c r="AX1446" s="29"/>
      <c r="AY1446" s="29"/>
      <c r="AZ1446" s="29"/>
      <c r="BA1446" s="29"/>
      <c r="BB1446" s="29"/>
      <c r="BC1446" s="29"/>
      <c r="BD1446" s="29"/>
      <c r="BE1446" s="29"/>
      <c r="BF1446" s="29"/>
      <c r="BG1446" s="29"/>
      <c r="BH1446" s="29"/>
      <c r="BI1446" s="29"/>
      <c r="BJ1446" s="29"/>
      <c r="BK1446" s="29"/>
      <c r="BL1446" s="29"/>
      <c r="BM1446" s="29"/>
      <c r="BN1446" s="29"/>
      <c r="BO1446" s="29"/>
      <c r="BP1446" s="29"/>
      <c r="BQ1446" s="29"/>
      <c r="BR1446" s="29"/>
      <c r="BS1446" s="29"/>
      <c r="BT1446" s="29"/>
      <c r="BU1446" s="29"/>
      <c r="BV1446" s="29"/>
      <c r="BW1446" s="29"/>
      <c r="BX1446" s="29"/>
      <c r="BY1446" s="29"/>
      <c r="BZ1446" s="29"/>
      <c r="CA1446" s="29"/>
      <c r="CB1446" s="29"/>
      <c r="CC1446" s="29"/>
      <c r="CD1446" s="29"/>
      <c r="CE1446" s="29"/>
      <c r="CF1446" s="29"/>
      <c r="CG1446" s="29"/>
      <c r="CH1446" s="29"/>
      <c r="CI1446" s="29"/>
      <c r="CJ1446" s="29"/>
      <c r="CK1446" s="29"/>
      <c r="CL1446" s="29"/>
      <c r="CM1446" s="29"/>
      <c r="CN1446" s="29"/>
      <c r="CO1446" s="29"/>
      <c r="CP1446" s="29"/>
      <c r="CQ1446" s="29"/>
      <c r="CR1446" s="29"/>
      <c r="CS1446" s="29"/>
      <c r="CT1446" s="29"/>
      <c r="CU1446" s="29"/>
      <c r="CV1446" s="29"/>
      <c r="CW1446" s="29"/>
      <c r="CX1446" s="29"/>
      <c r="CY1446" s="29"/>
      <c r="CZ1446" s="29"/>
      <c r="DA1446" s="29"/>
      <c r="DB1446" s="29"/>
      <c r="DC1446" s="29"/>
      <c r="DD1446" s="29"/>
      <c r="DE1446" s="29"/>
      <c r="DF1446" s="29"/>
      <c r="DG1446" s="29"/>
      <c r="DH1446" s="29"/>
      <c r="DI1446" s="29"/>
      <c r="DJ1446" s="29"/>
      <c r="DK1446" s="29"/>
      <c r="DL1446" s="29"/>
      <c r="DM1446" s="29"/>
      <c r="DN1446" s="29"/>
      <c r="DO1446" s="29"/>
      <c r="DP1446" s="29"/>
      <c r="DQ1446" s="29"/>
      <c r="DR1446" s="29"/>
      <c r="DS1446" s="29"/>
      <c r="DT1446" s="29"/>
      <c r="DU1446" s="29"/>
      <c r="DV1446" s="29"/>
      <c r="DW1446" s="29"/>
      <c r="DX1446" s="29"/>
      <c r="DY1446" s="29"/>
      <c r="DZ1446" s="29"/>
      <c r="EA1446" s="29"/>
      <c r="EB1446" s="29"/>
      <c r="EC1446" s="29"/>
      <c r="ED1446" s="29"/>
      <c r="EE1446" s="29"/>
      <c r="EF1446" s="29"/>
      <c r="EG1446" s="29"/>
      <c r="EH1446" s="29"/>
      <c r="EI1446" s="29"/>
      <c r="EJ1446" s="29"/>
      <c r="EK1446" s="29"/>
      <c r="EL1446" s="29"/>
      <c r="EM1446" s="29"/>
      <c r="EN1446" s="29"/>
      <c r="EO1446" s="29"/>
      <c r="EP1446" s="29"/>
      <c r="EQ1446" s="29"/>
      <c r="ER1446" s="29"/>
      <c r="ES1446" s="29"/>
      <c r="ET1446" s="29"/>
      <c r="EU1446" s="29"/>
      <c r="EV1446" s="29"/>
      <c r="EW1446" s="29"/>
      <c r="EX1446" s="29"/>
      <c r="EY1446" s="29"/>
      <c r="EZ1446" s="29"/>
      <c r="FA1446" s="29"/>
      <c r="FB1446" s="29"/>
      <c r="FC1446" s="29"/>
      <c r="FD1446" s="29"/>
      <c r="FE1446" s="29"/>
      <c r="FF1446" s="29"/>
      <c r="FG1446" s="29"/>
      <c r="FH1446" s="29"/>
      <c r="FI1446" s="29"/>
      <c r="FJ1446" s="29"/>
      <c r="FK1446" s="29"/>
      <c r="FL1446" s="29"/>
      <c r="FM1446" s="29"/>
      <c r="FN1446" s="29"/>
      <c r="FO1446" s="29"/>
      <c r="FP1446" s="29"/>
      <c r="FQ1446" s="29"/>
      <c r="FR1446" s="29"/>
      <c r="FS1446" s="29"/>
      <c r="FT1446" s="29"/>
      <c r="FU1446" s="29"/>
      <c r="FV1446" s="29"/>
      <c r="FW1446" s="29"/>
      <c r="FX1446" s="29"/>
      <c r="FY1446" s="29"/>
      <c r="FZ1446" s="29"/>
      <c r="GA1446" s="29"/>
      <c r="GB1446" s="29"/>
      <c r="GC1446" s="29"/>
      <c r="GD1446" s="29"/>
      <c r="GE1446" s="29"/>
      <c r="GF1446" s="29"/>
      <c r="GG1446" s="29"/>
      <c r="GH1446" s="29"/>
      <c r="GI1446" s="29"/>
      <c r="GJ1446" s="29"/>
      <c r="GK1446" s="29"/>
      <c r="GL1446" s="29"/>
      <c r="GM1446" s="29"/>
      <c r="GN1446" s="29"/>
      <c r="GO1446" s="29"/>
      <c r="GP1446" s="29"/>
      <c r="GQ1446" s="29"/>
      <c r="GR1446" s="29"/>
      <c r="GS1446" s="29"/>
      <c r="GT1446" s="29"/>
      <c r="GU1446" s="29"/>
      <c r="GV1446" s="29"/>
      <c r="GW1446" s="29"/>
      <c r="GX1446" s="29"/>
      <c r="GY1446" s="29"/>
      <c r="GZ1446" s="29"/>
      <c r="HA1446" s="29"/>
      <c r="HB1446" s="29"/>
      <c r="HC1446" s="29"/>
      <c r="HD1446" s="29"/>
      <c r="HE1446" s="29"/>
      <c r="HF1446" s="29"/>
      <c r="HG1446" s="29"/>
      <c r="HH1446" s="29"/>
      <c r="HI1446" s="29"/>
      <c r="HJ1446" s="29"/>
      <c r="HK1446" s="29"/>
      <c r="HL1446" s="29"/>
      <c r="HM1446" s="29"/>
      <c r="HN1446" s="29"/>
      <c r="HO1446" s="29"/>
      <c r="HP1446" s="29"/>
      <c r="HQ1446" s="29"/>
      <c r="HR1446" s="29"/>
      <c r="HS1446" s="29"/>
      <c r="HT1446" s="29"/>
      <c r="HU1446" s="29"/>
      <c r="HV1446" s="29"/>
      <c r="HW1446" s="29"/>
      <c r="HX1446" s="29"/>
      <c r="HY1446" s="29"/>
      <c r="HZ1446" s="29"/>
      <c r="IA1446" s="29"/>
      <c r="IB1446" s="29"/>
      <c r="IC1446" s="29"/>
      <c r="ID1446" s="29"/>
      <c r="IE1446" s="29"/>
      <c r="IF1446" s="29"/>
      <c r="IG1446" s="29"/>
      <c r="IH1446" s="29"/>
      <c r="II1446" s="29"/>
      <c r="IJ1446" s="29"/>
      <c r="IK1446" s="29"/>
      <c r="IL1446" s="29"/>
      <c r="IM1446" s="29"/>
      <c r="IN1446" s="29"/>
      <c r="IO1446" s="29"/>
      <c r="IP1446" s="29"/>
      <c r="IQ1446" s="29"/>
      <c r="IR1446" s="29"/>
      <c r="IS1446" s="29"/>
      <c r="IT1446" s="29"/>
      <c r="IU1446" s="29"/>
      <c r="IV1446" s="29"/>
      <c r="IW1446" s="29"/>
      <c r="IX1446" s="29"/>
      <c r="IY1446" s="29"/>
      <c r="IZ1446" s="29"/>
      <c r="JA1446" s="29"/>
      <c r="JB1446" s="29"/>
      <c r="JC1446" s="29"/>
      <c r="JD1446" s="29"/>
      <c r="JE1446" s="29"/>
      <c r="JF1446" s="29"/>
      <c r="JG1446" s="29"/>
      <c r="JH1446" s="29"/>
      <c r="JI1446" s="29"/>
      <c r="JJ1446" s="29"/>
      <c r="JK1446" s="29"/>
      <c r="JL1446" s="29"/>
      <c r="JM1446" s="29"/>
      <c r="JN1446" s="29"/>
      <c r="JO1446" s="29"/>
      <c r="JP1446" s="29"/>
      <c r="JQ1446" s="29"/>
      <c r="JR1446" s="29"/>
      <c r="JS1446" s="29"/>
      <c r="JT1446" s="29"/>
      <c r="JU1446" s="29"/>
      <c r="JV1446" s="29"/>
      <c r="JW1446" s="29"/>
      <c r="JX1446" s="29"/>
      <c r="JY1446" s="29"/>
      <c r="JZ1446" s="29"/>
      <c r="KA1446" s="29"/>
      <c r="KB1446" s="29"/>
      <c r="KC1446" s="29"/>
      <c r="KD1446" s="29"/>
      <c r="KE1446" s="29"/>
      <c r="KF1446" s="29"/>
      <c r="KG1446" s="29"/>
      <c r="KH1446" s="29"/>
      <c r="KI1446" s="29"/>
      <c r="KJ1446" s="29"/>
      <c r="KK1446" s="29"/>
      <c r="KL1446" s="29"/>
      <c r="KM1446" s="29"/>
      <c r="KN1446" s="29"/>
      <c r="KO1446" s="29"/>
      <c r="KP1446" s="29"/>
      <c r="KQ1446" s="29"/>
      <c r="KR1446" s="29"/>
      <c r="KS1446" s="29"/>
      <c r="KT1446" s="29"/>
      <c r="KU1446" s="29"/>
      <c r="KV1446" s="29"/>
      <c r="KW1446" s="29"/>
      <c r="KX1446" s="29"/>
      <c r="KY1446" s="29"/>
      <c r="KZ1446" s="29"/>
      <c r="LA1446" s="29"/>
      <c r="LB1446" s="29"/>
      <c r="LC1446" s="29"/>
      <c r="LD1446" s="29"/>
      <c r="LE1446" s="29"/>
      <c r="LF1446" s="29"/>
      <c r="LG1446" s="29"/>
      <c r="LH1446" s="29"/>
      <c r="LI1446" s="29"/>
      <c r="LJ1446" s="29"/>
      <c r="LK1446" s="29"/>
      <c r="LL1446" s="29"/>
      <c r="LM1446" s="29"/>
      <c r="LN1446" s="29"/>
      <c r="LO1446" s="29"/>
      <c r="LP1446" s="29"/>
      <c r="LQ1446" s="29"/>
      <c r="LR1446" s="29"/>
      <c r="LS1446" s="29"/>
      <c r="LT1446" s="29"/>
      <c r="LU1446" s="29"/>
      <c r="LV1446" s="29"/>
      <c r="LW1446" s="29"/>
      <c r="LX1446" s="29"/>
      <c r="LY1446" s="29"/>
      <c r="LZ1446" s="29"/>
      <c r="MA1446" s="29"/>
      <c r="MB1446" s="29"/>
      <c r="MC1446" s="29"/>
      <c r="MD1446" s="29"/>
      <c r="ME1446" s="29"/>
      <c r="MF1446" s="29"/>
      <c r="MG1446" s="29"/>
      <c r="MH1446" s="29"/>
      <c r="MI1446" s="29"/>
      <c r="MJ1446" s="29"/>
      <c r="MK1446" s="29"/>
      <c r="ML1446" s="29"/>
      <c r="MM1446" s="29"/>
      <c r="MN1446" s="29"/>
      <c r="MO1446" s="29"/>
      <c r="MP1446" s="29"/>
      <c r="MQ1446" s="29"/>
      <c r="MR1446" s="29"/>
      <c r="MS1446" s="29"/>
      <c r="MT1446" s="29"/>
      <c r="MU1446" s="29"/>
      <c r="MV1446" s="29"/>
      <c r="MW1446" s="29"/>
      <c r="MX1446" s="29"/>
      <c r="MY1446" s="29"/>
      <c r="MZ1446" s="29"/>
      <c r="NA1446" s="29"/>
      <c r="NB1446" s="29"/>
      <c r="NC1446" s="29"/>
      <c r="ND1446" s="29"/>
      <c r="NE1446" s="29"/>
      <c r="NF1446" s="29"/>
      <c r="NG1446" s="29"/>
      <c r="NH1446" s="29"/>
      <c r="NI1446" s="29"/>
      <c r="NJ1446" s="29"/>
      <c r="NK1446" s="29"/>
      <c r="NL1446" s="29"/>
      <c r="NM1446" s="29"/>
      <c r="NN1446" s="29"/>
      <c r="NO1446" s="29"/>
      <c r="NP1446" s="29"/>
      <c r="NQ1446" s="29"/>
      <c r="NR1446" s="29"/>
      <c r="NS1446" s="29"/>
      <c r="NT1446" s="29"/>
      <c r="NU1446" s="29"/>
      <c r="NV1446" s="29"/>
      <c r="NW1446" s="29"/>
      <c r="NX1446" s="29"/>
      <c r="NY1446" s="29"/>
      <c r="NZ1446" s="29"/>
      <c r="OA1446" s="29"/>
      <c r="OB1446" s="29"/>
      <c r="OC1446" s="29"/>
      <c r="OD1446" s="29"/>
      <c r="OE1446" s="29"/>
      <c r="OF1446" s="29"/>
      <c r="OG1446" s="29"/>
      <c r="OH1446" s="29"/>
      <c r="OI1446" s="29"/>
      <c r="OJ1446" s="29"/>
      <c r="OK1446" s="29"/>
      <c r="OL1446" s="29"/>
      <c r="OM1446" s="29"/>
      <c r="ON1446" s="29"/>
      <c r="OO1446" s="29"/>
      <c r="OP1446" s="29"/>
      <c r="OQ1446" s="29"/>
      <c r="OR1446" s="29"/>
      <c r="OS1446" s="29"/>
      <c r="OT1446" s="29"/>
      <c r="OU1446" s="29"/>
      <c r="OV1446" s="29"/>
      <c r="OW1446" s="29"/>
      <c r="OX1446" s="29"/>
      <c r="OY1446" s="29"/>
      <c r="OZ1446" s="29"/>
      <c r="PA1446" s="29"/>
      <c r="PB1446" s="29"/>
      <c r="PC1446" s="29"/>
      <c r="PD1446" s="29"/>
      <c r="PE1446" s="29"/>
      <c r="PF1446" s="29"/>
      <c r="PG1446" s="29"/>
      <c r="PH1446" s="29"/>
      <c r="PI1446" s="29"/>
      <c r="PJ1446" s="29"/>
      <c r="PK1446" s="29"/>
      <c r="PL1446" s="29"/>
      <c r="PM1446" s="29"/>
      <c r="PN1446" s="29"/>
      <c r="PO1446" s="29"/>
      <c r="PP1446" s="29"/>
      <c r="PQ1446" s="29"/>
      <c r="PR1446" s="29"/>
      <c r="PS1446" s="29"/>
      <c r="PT1446" s="29"/>
      <c r="PU1446" s="29"/>
      <c r="PV1446" s="29"/>
      <c r="PW1446" s="29"/>
      <c r="PX1446" s="29"/>
      <c r="PY1446" s="29"/>
      <c r="PZ1446" s="29"/>
      <c r="QA1446" s="29"/>
      <c r="QB1446" s="29"/>
      <c r="QC1446" s="29"/>
      <c r="QD1446" s="29"/>
      <c r="QE1446" s="29"/>
      <c r="QF1446" s="29"/>
      <c r="QG1446" s="29"/>
      <c r="QH1446" s="29"/>
      <c r="QI1446" s="29"/>
      <c r="QJ1446" s="29"/>
      <c r="QK1446" s="29"/>
      <c r="QL1446" s="29"/>
      <c r="QM1446" s="29"/>
      <c r="QN1446" s="29"/>
      <c r="QO1446" s="29"/>
      <c r="QP1446" s="29"/>
      <c r="QQ1446" s="29"/>
      <c r="QR1446" s="29"/>
      <c r="QS1446" s="29"/>
      <c r="QT1446" s="29"/>
      <c r="QU1446" s="29"/>
      <c r="QV1446" s="29"/>
      <c r="QW1446" s="29"/>
      <c r="QX1446" s="29"/>
      <c r="QY1446" s="29"/>
      <c r="QZ1446" s="29"/>
      <c r="RA1446" s="29"/>
      <c r="RB1446" s="29"/>
      <c r="RC1446" s="29"/>
      <c r="RD1446" s="29"/>
      <c r="RE1446" s="29"/>
      <c r="RF1446" s="29"/>
      <c r="RG1446" s="29"/>
      <c r="RH1446" s="29"/>
      <c r="RI1446" s="29"/>
      <c r="RJ1446" s="29"/>
      <c r="RK1446" s="29"/>
      <c r="RL1446" s="29"/>
      <c r="RM1446" s="29"/>
      <c r="RN1446" s="29"/>
      <c r="RO1446" s="29"/>
      <c r="RP1446" s="29"/>
      <c r="RQ1446" s="29"/>
      <c r="RR1446" s="29"/>
      <c r="RS1446" s="29"/>
      <c r="RT1446" s="29"/>
      <c r="RU1446" s="29"/>
      <c r="RV1446" s="29"/>
      <c r="RW1446" s="29"/>
      <c r="RX1446" s="29"/>
      <c r="RY1446" s="29"/>
      <c r="RZ1446" s="29"/>
      <c r="SA1446" s="29"/>
      <c r="SB1446" s="29"/>
      <c r="SC1446" s="29"/>
      <c r="SD1446" s="29"/>
      <c r="SE1446" s="29"/>
      <c r="SF1446" s="29"/>
      <c r="SG1446" s="29"/>
      <c r="SH1446" s="29"/>
      <c r="SI1446" s="29"/>
      <c r="SJ1446" s="29"/>
      <c r="SK1446" s="29"/>
      <c r="SL1446" s="29"/>
      <c r="SM1446" s="29"/>
      <c r="SN1446" s="29"/>
      <c r="SO1446" s="29"/>
      <c r="SP1446" s="29"/>
      <c r="SQ1446" s="29"/>
      <c r="SR1446" s="29"/>
      <c r="SS1446" s="29"/>
      <c r="ST1446" s="29"/>
      <c r="SU1446" s="29"/>
      <c r="SV1446" s="29"/>
      <c r="SW1446" s="29"/>
      <c r="SX1446" s="29"/>
      <c r="SY1446" s="29"/>
      <c r="SZ1446" s="29"/>
      <c r="TA1446" s="29"/>
      <c r="TB1446" s="29"/>
      <c r="TC1446" s="29"/>
      <c r="TD1446" s="29"/>
      <c r="TE1446" s="29"/>
      <c r="TF1446" s="29"/>
      <c r="TG1446" s="29"/>
      <c r="TH1446" s="29"/>
      <c r="TI1446" s="29"/>
      <c r="TJ1446" s="29"/>
      <c r="TK1446" s="29"/>
      <c r="TL1446" s="29"/>
      <c r="TM1446" s="29"/>
      <c r="TN1446" s="29"/>
      <c r="TO1446" s="29"/>
      <c r="TP1446" s="29"/>
      <c r="TQ1446" s="29"/>
      <c r="TR1446" s="29"/>
      <c r="TS1446" s="29"/>
      <c r="TT1446" s="29"/>
      <c r="TU1446" s="29"/>
      <c r="TV1446" s="29"/>
      <c r="TW1446" s="29"/>
      <c r="TX1446" s="29"/>
      <c r="TY1446" s="29"/>
      <c r="TZ1446" s="29"/>
      <c r="UA1446" s="29"/>
      <c r="UB1446" s="29"/>
      <c r="UC1446" s="29"/>
      <c r="UD1446" s="29"/>
      <c r="UE1446" s="29"/>
      <c r="UF1446" s="29"/>
      <c r="UG1446" s="29"/>
    </row>
    <row r="1447" spans="1:553" ht="25.15" customHeight="1">
      <c r="A1447" s="356" t="s">
        <v>15</v>
      </c>
      <c r="B1447" s="385" t="s">
        <v>35</v>
      </c>
      <c r="C1447" s="1535" t="s">
        <v>777</v>
      </c>
      <c r="D1447" s="1389"/>
      <c r="E1447" s="1389"/>
      <c r="F1447" s="1390"/>
      <c r="G1447" s="417" t="s">
        <v>1303</v>
      </c>
      <c r="H1447" s="370"/>
      <c r="I1447" s="422">
        <f>0.34*8.2*6</f>
        <v>16.727999999999998</v>
      </c>
      <c r="J1447" s="368">
        <v>39000</v>
      </c>
      <c r="K1447" s="371"/>
      <c r="L1447" s="487">
        <f t="shared" si="222"/>
        <v>652392</v>
      </c>
      <c r="M1447" s="395"/>
      <c r="N1447" s="395"/>
      <c r="O1447" s="366"/>
      <c r="P1447" s="396"/>
      <c r="Q1447" s="473"/>
      <c r="R1447" s="1039"/>
      <c r="S1447" s="308"/>
      <c r="T1447" s="308"/>
      <c r="U1447" s="308"/>
      <c r="V1447" s="308"/>
      <c r="W1447" s="308"/>
      <c r="X1447" s="308"/>
      <c r="Y1447" s="308"/>
      <c r="Z1447" s="604"/>
      <c r="AA1447" s="308"/>
      <c r="AB1447" s="308"/>
      <c r="AC1447" s="486"/>
      <c r="AD1447" s="486"/>
      <c r="AE1447" s="486"/>
      <c r="AF1447" s="486"/>
      <c r="AG1447" s="486"/>
      <c r="AH1447" s="486"/>
      <c r="AI1447" s="486"/>
      <c r="AJ1447" s="486"/>
      <c r="AK1447" s="486"/>
      <c r="AL1447" s="206"/>
      <c r="AM1447" s="29"/>
      <c r="AN1447" s="29"/>
      <c r="AO1447" s="29"/>
      <c r="AP1447" s="29"/>
      <c r="AQ1447" s="29"/>
      <c r="AR1447" s="29"/>
      <c r="AS1447" s="29"/>
      <c r="AT1447" s="29"/>
      <c r="AU1447" s="29"/>
      <c r="AV1447" s="29"/>
      <c r="AW1447" s="29"/>
      <c r="AX1447" s="29"/>
      <c r="AY1447" s="29"/>
      <c r="AZ1447" s="29"/>
      <c r="BA1447" s="29"/>
      <c r="BB1447" s="29"/>
      <c r="BC1447" s="29"/>
      <c r="BD1447" s="29"/>
      <c r="BE1447" s="29"/>
      <c r="BF1447" s="29"/>
      <c r="BG1447" s="29"/>
      <c r="BH1447" s="29"/>
      <c r="BI1447" s="29"/>
      <c r="BJ1447" s="29"/>
      <c r="BK1447" s="29"/>
      <c r="BL1447" s="29"/>
      <c r="BM1447" s="29"/>
      <c r="BN1447" s="29"/>
      <c r="BO1447" s="29"/>
      <c r="BP1447" s="29"/>
      <c r="BQ1447" s="29"/>
      <c r="BR1447" s="29"/>
      <c r="BS1447" s="29"/>
      <c r="BT1447" s="29"/>
      <c r="BU1447" s="29"/>
      <c r="BV1447" s="29"/>
      <c r="BW1447" s="29"/>
      <c r="BX1447" s="29"/>
      <c r="BY1447" s="29"/>
      <c r="BZ1447" s="29"/>
      <c r="CA1447" s="29"/>
      <c r="CB1447" s="29"/>
      <c r="CC1447" s="29"/>
      <c r="CD1447" s="29"/>
      <c r="CE1447" s="29"/>
      <c r="CF1447" s="29"/>
      <c r="CG1447" s="29"/>
      <c r="CH1447" s="29"/>
      <c r="CI1447" s="29"/>
      <c r="CJ1447" s="29"/>
      <c r="CK1447" s="29"/>
      <c r="CL1447" s="29"/>
      <c r="CM1447" s="29"/>
      <c r="CN1447" s="29"/>
      <c r="CO1447" s="29"/>
      <c r="CP1447" s="29"/>
      <c r="CQ1447" s="29"/>
      <c r="CR1447" s="29"/>
      <c r="CS1447" s="29"/>
      <c r="CT1447" s="29"/>
      <c r="CU1447" s="29"/>
      <c r="CV1447" s="29"/>
      <c r="CW1447" s="29"/>
      <c r="CX1447" s="29"/>
      <c r="CY1447" s="29"/>
      <c r="CZ1447" s="29"/>
      <c r="DA1447" s="29"/>
      <c r="DB1447" s="29"/>
      <c r="DC1447" s="29"/>
      <c r="DD1447" s="29"/>
      <c r="DE1447" s="29"/>
      <c r="DF1447" s="29"/>
      <c r="DG1447" s="29"/>
      <c r="DH1447" s="29"/>
      <c r="DI1447" s="29"/>
      <c r="DJ1447" s="29"/>
      <c r="DK1447" s="29"/>
      <c r="DL1447" s="29"/>
      <c r="DM1447" s="29"/>
      <c r="DN1447" s="29"/>
      <c r="DO1447" s="29"/>
      <c r="DP1447" s="29"/>
      <c r="DQ1447" s="29"/>
      <c r="DR1447" s="29"/>
      <c r="DS1447" s="29"/>
      <c r="DT1447" s="29"/>
      <c r="DU1447" s="29"/>
      <c r="DV1447" s="29"/>
      <c r="DW1447" s="29"/>
      <c r="DX1447" s="29"/>
      <c r="DY1447" s="29"/>
      <c r="DZ1447" s="29"/>
      <c r="EA1447" s="29"/>
      <c r="EB1447" s="29"/>
      <c r="EC1447" s="29"/>
      <c r="ED1447" s="29"/>
      <c r="EE1447" s="29"/>
      <c r="EF1447" s="29"/>
      <c r="EG1447" s="29"/>
      <c r="EH1447" s="29"/>
      <c r="EI1447" s="29"/>
      <c r="EJ1447" s="29"/>
      <c r="EK1447" s="29"/>
      <c r="EL1447" s="29"/>
      <c r="EM1447" s="29"/>
      <c r="EN1447" s="29"/>
      <c r="EO1447" s="29"/>
      <c r="EP1447" s="29"/>
      <c r="EQ1447" s="29"/>
      <c r="ER1447" s="29"/>
      <c r="ES1447" s="29"/>
      <c r="ET1447" s="29"/>
      <c r="EU1447" s="29"/>
      <c r="EV1447" s="29"/>
      <c r="EW1447" s="29"/>
      <c r="EX1447" s="29"/>
      <c r="EY1447" s="29"/>
      <c r="EZ1447" s="29"/>
      <c r="FA1447" s="29"/>
      <c r="FB1447" s="29"/>
      <c r="FC1447" s="29"/>
      <c r="FD1447" s="29"/>
      <c r="FE1447" s="29"/>
      <c r="FF1447" s="29"/>
      <c r="FG1447" s="29"/>
      <c r="FH1447" s="29"/>
      <c r="FI1447" s="29"/>
      <c r="FJ1447" s="29"/>
      <c r="FK1447" s="29"/>
      <c r="FL1447" s="29"/>
      <c r="FM1447" s="29"/>
      <c r="FN1447" s="29"/>
      <c r="FO1447" s="29"/>
      <c r="FP1447" s="29"/>
      <c r="FQ1447" s="29"/>
      <c r="FR1447" s="29"/>
      <c r="FS1447" s="29"/>
      <c r="FT1447" s="29"/>
      <c r="FU1447" s="29"/>
      <c r="FV1447" s="29"/>
      <c r="FW1447" s="29"/>
      <c r="FX1447" s="29"/>
      <c r="FY1447" s="29"/>
      <c r="FZ1447" s="29"/>
      <c r="GA1447" s="29"/>
      <c r="GB1447" s="29"/>
      <c r="GC1447" s="29"/>
      <c r="GD1447" s="29"/>
      <c r="GE1447" s="29"/>
      <c r="GF1447" s="29"/>
      <c r="GG1447" s="29"/>
      <c r="GH1447" s="29"/>
      <c r="GI1447" s="29"/>
      <c r="GJ1447" s="29"/>
      <c r="GK1447" s="29"/>
      <c r="GL1447" s="29"/>
      <c r="GM1447" s="29"/>
      <c r="GN1447" s="29"/>
      <c r="GO1447" s="29"/>
      <c r="GP1447" s="29"/>
      <c r="GQ1447" s="29"/>
      <c r="GR1447" s="29"/>
      <c r="GS1447" s="29"/>
      <c r="GT1447" s="29"/>
      <c r="GU1447" s="29"/>
      <c r="GV1447" s="29"/>
      <c r="GW1447" s="29"/>
      <c r="GX1447" s="29"/>
      <c r="GY1447" s="29"/>
      <c r="GZ1447" s="29"/>
      <c r="HA1447" s="29"/>
      <c r="HB1447" s="29"/>
      <c r="HC1447" s="29"/>
      <c r="HD1447" s="29"/>
      <c r="HE1447" s="29"/>
      <c r="HF1447" s="29"/>
      <c r="HG1447" s="29"/>
      <c r="HH1447" s="29"/>
      <c r="HI1447" s="29"/>
      <c r="HJ1447" s="29"/>
      <c r="HK1447" s="29"/>
      <c r="HL1447" s="29"/>
      <c r="HM1447" s="29"/>
      <c r="HN1447" s="29"/>
      <c r="HO1447" s="29"/>
      <c r="HP1447" s="29"/>
      <c r="HQ1447" s="29"/>
      <c r="HR1447" s="29"/>
      <c r="HS1447" s="29"/>
      <c r="HT1447" s="29"/>
      <c r="HU1447" s="29"/>
      <c r="HV1447" s="29"/>
      <c r="HW1447" s="29"/>
      <c r="HX1447" s="29"/>
      <c r="HY1447" s="29"/>
      <c r="HZ1447" s="29"/>
      <c r="IA1447" s="29"/>
      <c r="IB1447" s="29"/>
      <c r="IC1447" s="29"/>
      <c r="ID1447" s="29"/>
      <c r="IE1447" s="29"/>
      <c r="IF1447" s="29"/>
      <c r="IG1447" s="29"/>
      <c r="IH1447" s="29"/>
      <c r="II1447" s="29"/>
      <c r="IJ1447" s="29"/>
      <c r="IK1447" s="29"/>
      <c r="IL1447" s="29"/>
      <c r="IM1447" s="29"/>
      <c r="IN1447" s="29"/>
      <c r="IO1447" s="29"/>
      <c r="IP1447" s="29"/>
      <c r="IQ1447" s="29"/>
      <c r="IR1447" s="29"/>
      <c r="IS1447" s="29"/>
      <c r="IT1447" s="29"/>
      <c r="IU1447" s="29"/>
      <c r="IV1447" s="29"/>
      <c r="IW1447" s="29"/>
      <c r="IX1447" s="29"/>
      <c r="IY1447" s="29"/>
      <c r="IZ1447" s="29"/>
      <c r="JA1447" s="29"/>
      <c r="JB1447" s="29"/>
      <c r="JC1447" s="29"/>
      <c r="JD1447" s="29"/>
      <c r="JE1447" s="29"/>
      <c r="JF1447" s="29"/>
      <c r="JG1447" s="29"/>
      <c r="JH1447" s="29"/>
      <c r="JI1447" s="29"/>
      <c r="JJ1447" s="29"/>
      <c r="JK1447" s="29"/>
      <c r="JL1447" s="29"/>
      <c r="JM1447" s="29"/>
      <c r="JN1447" s="29"/>
      <c r="JO1447" s="29"/>
      <c r="JP1447" s="29"/>
      <c r="JQ1447" s="29"/>
      <c r="JR1447" s="29"/>
      <c r="JS1447" s="29"/>
      <c r="JT1447" s="29"/>
      <c r="JU1447" s="29"/>
      <c r="JV1447" s="29"/>
      <c r="JW1447" s="29"/>
      <c r="JX1447" s="29"/>
      <c r="JY1447" s="29"/>
      <c r="JZ1447" s="29"/>
      <c r="KA1447" s="29"/>
      <c r="KB1447" s="29"/>
      <c r="KC1447" s="29"/>
      <c r="KD1447" s="29"/>
      <c r="KE1447" s="29"/>
      <c r="KF1447" s="29"/>
      <c r="KG1447" s="29"/>
      <c r="KH1447" s="29"/>
      <c r="KI1447" s="29"/>
      <c r="KJ1447" s="29"/>
      <c r="KK1447" s="29"/>
      <c r="KL1447" s="29"/>
      <c r="KM1447" s="29"/>
      <c r="KN1447" s="29"/>
      <c r="KO1447" s="29"/>
      <c r="KP1447" s="29"/>
      <c r="KQ1447" s="29"/>
      <c r="KR1447" s="29"/>
      <c r="KS1447" s="29"/>
      <c r="KT1447" s="29"/>
      <c r="KU1447" s="29"/>
      <c r="KV1447" s="29"/>
      <c r="KW1447" s="29"/>
      <c r="KX1447" s="29"/>
      <c r="KY1447" s="29"/>
      <c r="KZ1447" s="29"/>
      <c r="LA1447" s="29"/>
      <c r="LB1447" s="29"/>
      <c r="LC1447" s="29"/>
      <c r="LD1447" s="29"/>
      <c r="LE1447" s="29"/>
      <c r="LF1447" s="29"/>
      <c r="LG1447" s="29"/>
      <c r="LH1447" s="29"/>
      <c r="LI1447" s="29"/>
      <c r="LJ1447" s="29"/>
      <c r="LK1447" s="29"/>
      <c r="LL1447" s="29"/>
      <c r="LM1447" s="29"/>
      <c r="LN1447" s="29"/>
      <c r="LO1447" s="29"/>
      <c r="LP1447" s="29"/>
      <c r="LQ1447" s="29"/>
      <c r="LR1447" s="29"/>
      <c r="LS1447" s="29"/>
      <c r="LT1447" s="29"/>
      <c r="LU1447" s="29"/>
      <c r="LV1447" s="29"/>
      <c r="LW1447" s="29"/>
      <c r="LX1447" s="29"/>
      <c r="LY1447" s="29"/>
      <c r="LZ1447" s="29"/>
      <c r="MA1447" s="29"/>
      <c r="MB1447" s="29"/>
      <c r="MC1447" s="29"/>
      <c r="MD1447" s="29"/>
      <c r="ME1447" s="29"/>
      <c r="MF1447" s="29"/>
      <c r="MG1447" s="29"/>
      <c r="MH1447" s="29"/>
      <c r="MI1447" s="29"/>
      <c r="MJ1447" s="29"/>
      <c r="MK1447" s="29"/>
      <c r="ML1447" s="29"/>
      <c r="MM1447" s="29"/>
      <c r="MN1447" s="29"/>
      <c r="MO1447" s="29"/>
      <c r="MP1447" s="29"/>
      <c r="MQ1447" s="29"/>
      <c r="MR1447" s="29"/>
      <c r="MS1447" s="29"/>
      <c r="MT1447" s="29"/>
      <c r="MU1447" s="29"/>
      <c r="MV1447" s="29"/>
      <c r="MW1447" s="29"/>
      <c r="MX1447" s="29"/>
      <c r="MY1447" s="29"/>
      <c r="MZ1447" s="29"/>
      <c r="NA1447" s="29"/>
      <c r="NB1447" s="29"/>
      <c r="NC1447" s="29"/>
      <c r="ND1447" s="29"/>
      <c r="NE1447" s="29"/>
      <c r="NF1447" s="29"/>
      <c r="NG1447" s="29"/>
      <c r="NH1447" s="29"/>
      <c r="NI1447" s="29"/>
      <c r="NJ1447" s="29"/>
      <c r="NK1447" s="29"/>
      <c r="NL1447" s="29"/>
      <c r="NM1447" s="29"/>
      <c r="NN1447" s="29"/>
      <c r="NO1447" s="29"/>
      <c r="NP1447" s="29"/>
      <c r="NQ1447" s="29"/>
      <c r="NR1447" s="29"/>
      <c r="NS1447" s="29"/>
      <c r="NT1447" s="29"/>
      <c r="NU1447" s="29"/>
      <c r="NV1447" s="29"/>
      <c r="NW1447" s="29"/>
      <c r="NX1447" s="29"/>
      <c r="NY1447" s="29"/>
      <c r="NZ1447" s="29"/>
      <c r="OA1447" s="29"/>
      <c r="OB1447" s="29"/>
      <c r="OC1447" s="29"/>
      <c r="OD1447" s="29"/>
      <c r="OE1447" s="29"/>
      <c r="OF1447" s="29"/>
      <c r="OG1447" s="29"/>
      <c r="OH1447" s="29"/>
      <c r="OI1447" s="29"/>
      <c r="OJ1447" s="29"/>
      <c r="OK1447" s="29"/>
      <c r="OL1447" s="29"/>
      <c r="OM1447" s="29"/>
      <c r="ON1447" s="29"/>
      <c r="OO1447" s="29"/>
      <c r="OP1447" s="29"/>
      <c r="OQ1447" s="29"/>
      <c r="OR1447" s="29"/>
      <c r="OS1447" s="29"/>
      <c r="OT1447" s="29"/>
      <c r="OU1447" s="29"/>
      <c r="OV1447" s="29"/>
      <c r="OW1447" s="29"/>
      <c r="OX1447" s="29"/>
      <c r="OY1447" s="29"/>
      <c r="OZ1447" s="29"/>
      <c r="PA1447" s="29"/>
      <c r="PB1447" s="29"/>
      <c r="PC1447" s="29"/>
      <c r="PD1447" s="29"/>
      <c r="PE1447" s="29"/>
      <c r="PF1447" s="29"/>
      <c r="PG1447" s="29"/>
      <c r="PH1447" s="29"/>
      <c r="PI1447" s="29"/>
      <c r="PJ1447" s="29"/>
      <c r="PK1447" s="29"/>
      <c r="PL1447" s="29"/>
      <c r="PM1447" s="29"/>
      <c r="PN1447" s="29"/>
      <c r="PO1447" s="29"/>
      <c r="PP1447" s="29"/>
      <c r="PQ1447" s="29"/>
      <c r="PR1447" s="29"/>
      <c r="PS1447" s="29"/>
      <c r="PT1447" s="29"/>
      <c r="PU1447" s="29"/>
      <c r="PV1447" s="29"/>
      <c r="PW1447" s="29"/>
      <c r="PX1447" s="29"/>
      <c r="PY1447" s="29"/>
      <c r="PZ1447" s="29"/>
      <c r="QA1447" s="29"/>
      <c r="QB1447" s="29"/>
      <c r="QC1447" s="29"/>
      <c r="QD1447" s="29"/>
      <c r="QE1447" s="29"/>
      <c r="QF1447" s="29"/>
      <c r="QG1447" s="29"/>
      <c r="QH1447" s="29"/>
      <c r="QI1447" s="29"/>
      <c r="QJ1447" s="29"/>
      <c r="QK1447" s="29"/>
      <c r="QL1447" s="29"/>
      <c r="QM1447" s="29"/>
      <c r="QN1447" s="29"/>
      <c r="QO1447" s="29"/>
      <c r="QP1447" s="29"/>
      <c r="QQ1447" s="29"/>
      <c r="QR1447" s="29"/>
      <c r="QS1447" s="29"/>
      <c r="QT1447" s="29"/>
      <c r="QU1447" s="29"/>
      <c r="QV1447" s="29"/>
      <c r="QW1447" s="29"/>
      <c r="QX1447" s="29"/>
      <c r="QY1447" s="29"/>
      <c r="QZ1447" s="29"/>
      <c r="RA1447" s="29"/>
      <c r="RB1447" s="29"/>
      <c r="RC1447" s="29"/>
      <c r="RD1447" s="29"/>
      <c r="RE1447" s="29"/>
      <c r="RF1447" s="29"/>
      <c r="RG1447" s="29"/>
      <c r="RH1447" s="29"/>
      <c r="RI1447" s="29"/>
      <c r="RJ1447" s="29"/>
      <c r="RK1447" s="29"/>
      <c r="RL1447" s="29"/>
      <c r="RM1447" s="29"/>
      <c r="RN1447" s="29"/>
      <c r="RO1447" s="29"/>
      <c r="RP1447" s="29"/>
      <c r="RQ1447" s="29"/>
      <c r="RR1447" s="29"/>
      <c r="RS1447" s="29"/>
      <c r="RT1447" s="29"/>
      <c r="RU1447" s="29"/>
      <c r="RV1447" s="29"/>
      <c r="RW1447" s="29"/>
      <c r="RX1447" s="29"/>
      <c r="RY1447" s="29"/>
      <c r="RZ1447" s="29"/>
      <c r="SA1447" s="29"/>
      <c r="SB1447" s="29"/>
      <c r="SC1447" s="29"/>
      <c r="SD1447" s="29"/>
      <c r="SE1447" s="29"/>
      <c r="SF1447" s="29"/>
      <c r="SG1447" s="29"/>
      <c r="SH1447" s="29"/>
      <c r="SI1447" s="29"/>
      <c r="SJ1447" s="29"/>
      <c r="SK1447" s="29"/>
      <c r="SL1447" s="29"/>
      <c r="SM1447" s="29"/>
      <c r="SN1447" s="29"/>
      <c r="SO1447" s="29"/>
      <c r="SP1447" s="29"/>
      <c r="SQ1447" s="29"/>
      <c r="SR1447" s="29"/>
      <c r="SS1447" s="29"/>
      <c r="ST1447" s="29"/>
      <c r="SU1447" s="29"/>
      <c r="SV1447" s="29"/>
      <c r="SW1447" s="29"/>
      <c r="SX1447" s="29"/>
      <c r="SY1447" s="29"/>
      <c r="SZ1447" s="29"/>
      <c r="TA1447" s="29"/>
      <c r="TB1447" s="29"/>
      <c r="TC1447" s="29"/>
      <c r="TD1447" s="29"/>
      <c r="TE1447" s="29"/>
      <c r="TF1447" s="29"/>
      <c r="TG1447" s="29"/>
      <c r="TH1447" s="29"/>
      <c r="TI1447" s="29"/>
      <c r="TJ1447" s="29"/>
      <c r="TK1447" s="29"/>
      <c r="TL1447" s="29"/>
      <c r="TM1447" s="29"/>
      <c r="TN1447" s="29"/>
      <c r="TO1447" s="29"/>
      <c r="TP1447" s="29"/>
      <c r="TQ1447" s="29"/>
      <c r="TR1447" s="29"/>
      <c r="TS1447" s="29"/>
      <c r="TT1447" s="29"/>
      <c r="TU1447" s="29"/>
      <c r="TV1447" s="29"/>
      <c r="TW1447" s="29"/>
      <c r="TX1447" s="29"/>
      <c r="TY1447" s="29"/>
      <c r="TZ1447" s="29"/>
      <c r="UA1447" s="29"/>
      <c r="UB1447" s="29"/>
      <c r="UC1447" s="29"/>
      <c r="UD1447" s="29"/>
      <c r="UE1447" s="29"/>
      <c r="UF1447" s="29"/>
      <c r="UG1447" s="29"/>
    </row>
    <row r="1448" spans="1:553" ht="25.15" customHeight="1">
      <c r="A1448" s="356" t="s">
        <v>15</v>
      </c>
      <c r="B1448" s="385" t="s">
        <v>35</v>
      </c>
      <c r="C1448" s="1535" t="s">
        <v>778</v>
      </c>
      <c r="D1448" s="1389"/>
      <c r="E1448" s="1389"/>
      <c r="F1448" s="1390"/>
      <c r="G1448" s="417" t="s">
        <v>1303</v>
      </c>
      <c r="H1448" s="370"/>
      <c r="I1448" s="422">
        <f>(0.2*3.14*3)*20</f>
        <v>37.680000000000007</v>
      </c>
      <c r="J1448" s="368">
        <v>39000</v>
      </c>
      <c r="K1448" s="371"/>
      <c r="L1448" s="487">
        <f t="shared" si="222"/>
        <v>1469520</v>
      </c>
      <c r="M1448" s="395"/>
      <c r="N1448" s="395"/>
      <c r="O1448" s="366"/>
      <c r="P1448" s="396"/>
      <c r="Q1448" s="473"/>
      <c r="R1448" s="1039"/>
      <c r="S1448" s="308"/>
      <c r="T1448" s="308"/>
      <c r="U1448" s="308"/>
      <c r="V1448" s="308"/>
      <c r="W1448" s="308"/>
      <c r="X1448" s="308"/>
      <c r="Y1448" s="308"/>
      <c r="Z1448" s="604"/>
      <c r="AA1448" s="308"/>
      <c r="AB1448" s="308"/>
      <c r="AC1448" s="486"/>
      <c r="AD1448" s="486"/>
      <c r="AE1448" s="486"/>
      <c r="AF1448" s="486"/>
      <c r="AG1448" s="486"/>
      <c r="AH1448" s="486"/>
      <c r="AI1448" s="486"/>
      <c r="AJ1448" s="486"/>
      <c r="AK1448" s="486"/>
      <c r="AL1448" s="206"/>
      <c r="AM1448" s="29"/>
      <c r="AN1448" s="29"/>
      <c r="AO1448" s="29"/>
      <c r="AP1448" s="29"/>
      <c r="AQ1448" s="29"/>
      <c r="AR1448" s="29"/>
      <c r="AS1448" s="29"/>
      <c r="AT1448" s="29"/>
      <c r="AU1448" s="29"/>
      <c r="AV1448" s="29"/>
      <c r="AW1448" s="29"/>
      <c r="AX1448" s="29"/>
      <c r="AY1448" s="29"/>
      <c r="AZ1448" s="29"/>
      <c r="BA1448" s="29"/>
      <c r="BB1448" s="29"/>
      <c r="BC1448" s="29"/>
      <c r="BD1448" s="29"/>
      <c r="BE1448" s="29"/>
      <c r="BF1448" s="29"/>
      <c r="BG1448" s="29"/>
      <c r="BH1448" s="29"/>
      <c r="BI1448" s="29"/>
      <c r="BJ1448" s="29"/>
      <c r="BK1448" s="29"/>
      <c r="BL1448" s="29"/>
      <c r="BM1448" s="29"/>
      <c r="BN1448" s="29"/>
      <c r="BO1448" s="29"/>
      <c r="BP1448" s="29"/>
      <c r="BQ1448" s="29"/>
      <c r="BR1448" s="29"/>
      <c r="BS1448" s="29"/>
      <c r="BT1448" s="29"/>
      <c r="BU1448" s="29"/>
      <c r="BV1448" s="29"/>
      <c r="BW1448" s="29"/>
      <c r="BX1448" s="29"/>
      <c r="BY1448" s="29"/>
      <c r="BZ1448" s="29"/>
      <c r="CA1448" s="29"/>
      <c r="CB1448" s="29"/>
      <c r="CC1448" s="29"/>
      <c r="CD1448" s="29"/>
      <c r="CE1448" s="29"/>
      <c r="CF1448" s="29"/>
      <c r="CG1448" s="29"/>
      <c r="CH1448" s="29"/>
      <c r="CI1448" s="29"/>
      <c r="CJ1448" s="29"/>
      <c r="CK1448" s="29"/>
      <c r="CL1448" s="29"/>
      <c r="CM1448" s="29"/>
      <c r="CN1448" s="29"/>
      <c r="CO1448" s="29"/>
      <c r="CP1448" s="29"/>
      <c r="CQ1448" s="29"/>
      <c r="CR1448" s="29"/>
      <c r="CS1448" s="29"/>
      <c r="CT1448" s="29"/>
      <c r="CU1448" s="29"/>
      <c r="CV1448" s="29"/>
      <c r="CW1448" s="29"/>
      <c r="CX1448" s="29"/>
      <c r="CY1448" s="29"/>
      <c r="CZ1448" s="29"/>
      <c r="DA1448" s="29"/>
      <c r="DB1448" s="29"/>
      <c r="DC1448" s="29"/>
      <c r="DD1448" s="29"/>
      <c r="DE1448" s="29"/>
      <c r="DF1448" s="29"/>
      <c r="DG1448" s="29"/>
      <c r="DH1448" s="29"/>
      <c r="DI1448" s="29"/>
      <c r="DJ1448" s="29"/>
      <c r="DK1448" s="29"/>
      <c r="DL1448" s="29"/>
      <c r="DM1448" s="29"/>
      <c r="DN1448" s="29"/>
      <c r="DO1448" s="29"/>
      <c r="DP1448" s="29"/>
      <c r="DQ1448" s="29"/>
      <c r="DR1448" s="29"/>
      <c r="DS1448" s="29"/>
      <c r="DT1448" s="29"/>
      <c r="DU1448" s="29"/>
      <c r="DV1448" s="29"/>
      <c r="DW1448" s="29"/>
      <c r="DX1448" s="29"/>
      <c r="DY1448" s="29"/>
      <c r="DZ1448" s="29"/>
      <c r="EA1448" s="29"/>
      <c r="EB1448" s="29"/>
      <c r="EC1448" s="29"/>
      <c r="ED1448" s="29"/>
      <c r="EE1448" s="29"/>
      <c r="EF1448" s="29"/>
      <c r="EG1448" s="29"/>
      <c r="EH1448" s="29"/>
      <c r="EI1448" s="29"/>
      <c r="EJ1448" s="29"/>
      <c r="EK1448" s="29"/>
      <c r="EL1448" s="29"/>
      <c r="EM1448" s="29"/>
      <c r="EN1448" s="29"/>
      <c r="EO1448" s="29"/>
      <c r="EP1448" s="29"/>
      <c r="EQ1448" s="29"/>
      <c r="ER1448" s="29"/>
      <c r="ES1448" s="29"/>
      <c r="ET1448" s="29"/>
      <c r="EU1448" s="29"/>
      <c r="EV1448" s="29"/>
      <c r="EW1448" s="29"/>
      <c r="EX1448" s="29"/>
      <c r="EY1448" s="29"/>
      <c r="EZ1448" s="29"/>
      <c r="FA1448" s="29"/>
      <c r="FB1448" s="29"/>
      <c r="FC1448" s="29"/>
      <c r="FD1448" s="29"/>
      <c r="FE1448" s="29"/>
      <c r="FF1448" s="29"/>
      <c r="FG1448" s="29"/>
      <c r="FH1448" s="29"/>
      <c r="FI1448" s="29"/>
      <c r="FJ1448" s="29"/>
      <c r="FK1448" s="29"/>
      <c r="FL1448" s="29"/>
      <c r="FM1448" s="29"/>
      <c r="FN1448" s="29"/>
      <c r="FO1448" s="29"/>
      <c r="FP1448" s="29"/>
      <c r="FQ1448" s="29"/>
      <c r="FR1448" s="29"/>
      <c r="FS1448" s="29"/>
      <c r="FT1448" s="29"/>
      <c r="FU1448" s="29"/>
      <c r="FV1448" s="29"/>
      <c r="FW1448" s="29"/>
      <c r="FX1448" s="29"/>
      <c r="FY1448" s="29"/>
      <c r="FZ1448" s="29"/>
      <c r="GA1448" s="29"/>
      <c r="GB1448" s="29"/>
      <c r="GC1448" s="29"/>
      <c r="GD1448" s="29"/>
      <c r="GE1448" s="29"/>
      <c r="GF1448" s="29"/>
      <c r="GG1448" s="29"/>
      <c r="GH1448" s="29"/>
      <c r="GI1448" s="29"/>
      <c r="GJ1448" s="29"/>
      <c r="GK1448" s="29"/>
      <c r="GL1448" s="29"/>
      <c r="GM1448" s="29"/>
      <c r="GN1448" s="29"/>
      <c r="GO1448" s="29"/>
      <c r="GP1448" s="29"/>
      <c r="GQ1448" s="29"/>
      <c r="GR1448" s="29"/>
      <c r="GS1448" s="29"/>
      <c r="GT1448" s="29"/>
      <c r="GU1448" s="29"/>
      <c r="GV1448" s="29"/>
      <c r="GW1448" s="29"/>
      <c r="GX1448" s="29"/>
      <c r="GY1448" s="29"/>
      <c r="GZ1448" s="29"/>
      <c r="HA1448" s="29"/>
      <c r="HB1448" s="29"/>
      <c r="HC1448" s="29"/>
      <c r="HD1448" s="29"/>
      <c r="HE1448" s="29"/>
      <c r="HF1448" s="29"/>
      <c r="HG1448" s="29"/>
      <c r="HH1448" s="29"/>
      <c r="HI1448" s="29"/>
      <c r="HJ1448" s="29"/>
      <c r="HK1448" s="29"/>
      <c r="HL1448" s="29"/>
      <c r="HM1448" s="29"/>
      <c r="HN1448" s="29"/>
      <c r="HO1448" s="29"/>
      <c r="HP1448" s="29"/>
      <c r="HQ1448" s="29"/>
      <c r="HR1448" s="29"/>
      <c r="HS1448" s="29"/>
      <c r="HT1448" s="29"/>
      <c r="HU1448" s="29"/>
      <c r="HV1448" s="29"/>
      <c r="HW1448" s="29"/>
      <c r="HX1448" s="29"/>
      <c r="HY1448" s="29"/>
      <c r="HZ1448" s="29"/>
      <c r="IA1448" s="29"/>
      <c r="IB1448" s="29"/>
      <c r="IC1448" s="29"/>
      <c r="ID1448" s="29"/>
      <c r="IE1448" s="29"/>
      <c r="IF1448" s="29"/>
      <c r="IG1448" s="29"/>
      <c r="IH1448" s="29"/>
      <c r="II1448" s="29"/>
      <c r="IJ1448" s="29"/>
      <c r="IK1448" s="29"/>
      <c r="IL1448" s="29"/>
      <c r="IM1448" s="29"/>
      <c r="IN1448" s="29"/>
      <c r="IO1448" s="29"/>
      <c r="IP1448" s="29"/>
      <c r="IQ1448" s="29"/>
      <c r="IR1448" s="29"/>
      <c r="IS1448" s="29"/>
      <c r="IT1448" s="29"/>
      <c r="IU1448" s="29"/>
      <c r="IV1448" s="29"/>
      <c r="IW1448" s="29"/>
      <c r="IX1448" s="29"/>
      <c r="IY1448" s="29"/>
      <c r="IZ1448" s="29"/>
      <c r="JA1448" s="29"/>
      <c r="JB1448" s="29"/>
      <c r="JC1448" s="29"/>
      <c r="JD1448" s="29"/>
      <c r="JE1448" s="29"/>
      <c r="JF1448" s="29"/>
      <c r="JG1448" s="29"/>
      <c r="JH1448" s="29"/>
      <c r="JI1448" s="29"/>
      <c r="JJ1448" s="29"/>
      <c r="JK1448" s="29"/>
      <c r="JL1448" s="29"/>
      <c r="JM1448" s="29"/>
      <c r="JN1448" s="29"/>
      <c r="JO1448" s="29"/>
      <c r="JP1448" s="29"/>
      <c r="JQ1448" s="29"/>
      <c r="JR1448" s="29"/>
      <c r="JS1448" s="29"/>
      <c r="JT1448" s="29"/>
      <c r="JU1448" s="29"/>
      <c r="JV1448" s="29"/>
      <c r="JW1448" s="29"/>
      <c r="JX1448" s="29"/>
      <c r="JY1448" s="29"/>
      <c r="JZ1448" s="29"/>
      <c r="KA1448" s="29"/>
      <c r="KB1448" s="29"/>
      <c r="KC1448" s="29"/>
      <c r="KD1448" s="29"/>
      <c r="KE1448" s="29"/>
      <c r="KF1448" s="29"/>
      <c r="KG1448" s="29"/>
      <c r="KH1448" s="29"/>
      <c r="KI1448" s="29"/>
      <c r="KJ1448" s="29"/>
      <c r="KK1448" s="29"/>
      <c r="KL1448" s="29"/>
      <c r="KM1448" s="29"/>
      <c r="KN1448" s="29"/>
      <c r="KO1448" s="29"/>
      <c r="KP1448" s="29"/>
      <c r="KQ1448" s="29"/>
      <c r="KR1448" s="29"/>
      <c r="KS1448" s="29"/>
      <c r="KT1448" s="29"/>
      <c r="KU1448" s="29"/>
      <c r="KV1448" s="29"/>
      <c r="KW1448" s="29"/>
      <c r="KX1448" s="29"/>
      <c r="KY1448" s="29"/>
      <c r="KZ1448" s="29"/>
      <c r="LA1448" s="29"/>
      <c r="LB1448" s="29"/>
      <c r="LC1448" s="29"/>
      <c r="LD1448" s="29"/>
      <c r="LE1448" s="29"/>
      <c r="LF1448" s="29"/>
      <c r="LG1448" s="29"/>
      <c r="LH1448" s="29"/>
      <c r="LI1448" s="29"/>
      <c r="LJ1448" s="29"/>
      <c r="LK1448" s="29"/>
      <c r="LL1448" s="29"/>
      <c r="LM1448" s="29"/>
      <c r="LN1448" s="29"/>
      <c r="LO1448" s="29"/>
      <c r="LP1448" s="29"/>
      <c r="LQ1448" s="29"/>
      <c r="LR1448" s="29"/>
      <c r="LS1448" s="29"/>
      <c r="LT1448" s="29"/>
      <c r="LU1448" s="29"/>
      <c r="LV1448" s="29"/>
      <c r="LW1448" s="29"/>
      <c r="LX1448" s="29"/>
      <c r="LY1448" s="29"/>
      <c r="LZ1448" s="29"/>
      <c r="MA1448" s="29"/>
      <c r="MB1448" s="29"/>
      <c r="MC1448" s="29"/>
      <c r="MD1448" s="29"/>
      <c r="ME1448" s="29"/>
      <c r="MF1448" s="29"/>
      <c r="MG1448" s="29"/>
      <c r="MH1448" s="29"/>
      <c r="MI1448" s="29"/>
      <c r="MJ1448" s="29"/>
      <c r="MK1448" s="29"/>
      <c r="ML1448" s="29"/>
      <c r="MM1448" s="29"/>
      <c r="MN1448" s="29"/>
      <c r="MO1448" s="29"/>
      <c r="MP1448" s="29"/>
      <c r="MQ1448" s="29"/>
      <c r="MR1448" s="29"/>
      <c r="MS1448" s="29"/>
      <c r="MT1448" s="29"/>
      <c r="MU1448" s="29"/>
      <c r="MV1448" s="29"/>
      <c r="MW1448" s="29"/>
      <c r="MX1448" s="29"/>
      <c r="MY1448" s="29"/>
      <c r="MZ1448" s="29"/>
      <c r="NA1448" s="29"/>
      <c r="NB1448" s="29"/>
      <c r="NC1448" s="29"/>
      <c r="ND1448" s="29"/>
      <c r="NE1448" s="29"/>
      <c r="NF1448" s="29"/>
      <c r="NG1448" s="29"/>
      <c r="NH1448" s="29"/>
      <c r="NI1448" s="29"/>
      <c r="NJ1448" s="29"/>
      <c r="NK1448" s="29"/>
      <c r="NL1448" s="29"/>
      <c r="NM1448" s="29"/>
      <c r="NN1448" s="29"/>
      <c r="NO1448" s="29"/>
      <c r="NP1448" s="29"/>
      <c r="NQ1448" s="29"/>
      <c r="NR1448" s="29"/>
      <c r="NS1448" s="29"/>
      <c r="NT1448" s="29"/>
      <c r="NU1448" s="29"/>
      <c r="NV1448" s="29"/>
      <c r="NW1448" s="29"/>
      <c r="NX1448" s="29"/>
      <c r="NY1448" s="29"/>
      <c r="NZ1448" s="29"/>
      <c r="OA1448" s="29"/>
      <c r="OB1448" s="29"/>
      <c r="OC1448" s="29"/>
      <c r="OD1448" s="29"/>
      <c r="OE1448" s="29"/>
      <c r="OF1448" s="29"/>
      <c r="OG1448" s="29"/>
      <c r="OH1448" s="29"/>
      <c r="OI1448" s="29"/>
      <c r="OJ1448" s="29"/>
      <c r="OK1448" s="29"/>
      <c r="OL1448" s="29"/>
      <c r="OM1448" s="29"/>
      <c r="ON1448" s="29"/>
      <c r="OO1448" s="29"/>
      <c r="OP1448" s="29"/>
      <c r="OQ1448" s="29"/>
      <c r="OR1448" s="29"/>
      <c r="OS1448" s="29"/>
      <c r="OT1448" s="29"/>
      <c r="OU1448" s="29"/>
      <c r="OV1448" s="29"/>
      <c r="OW1448" s="29"/>
      <c r="OX1448" s="29"/>
      <c r="OY1448" s="29"/>
      <c r="OZ1448" s="29"/>
      <c r="PA1448" s="29"/>
      <c r="PB1448" s="29"/>
      <c r="PC1448" s="29"/>
      <c r="PD1448" s="29"/>
      <c r="PE1448" s="29"/>
      <c r="PF1448" s="29"/>
      <c r="PG1448" s="29"/>
      <c r="PH1448" s="29"/>
      <c r="PI1448" s="29"/>
      <c r="PJ1448" s="29"/>
      <c r="PK1448" s="29"/>
      <c r="PL1448" s="29"/>
      <c r="PM1448" s="29"/>
      <c r="PN1448" s="29"/>
      <c r="PO1448" s="29"/>
      <c r="PP1448" s="29"/>
      <c r="PQ1448" s="29"/>
      <c r="PR1448" s="29"/>
      <c r="PS1448" s="29"/>
      <c r="PT1448" s="29"/>
      <c r="PU1448" s="29"/>
      <c r="PV1448" s="29"/>
      <c r="PW1448" s="29"/>
      <c r="PX1448" s="29"/>
      <c r="PY1448" s="29"/>
      <c r="PZ1448" s="29"/>
      <c r="QA1448" s="29"/>
      <c r="QB1448" s="29"/>
      <c r="QC1448" s="29"/>
      <c r="QD1448" s="29"/>
      <c r="QE1448" s="29"/>
      <c r="QF1448" s="29"/>
      <c r="QG1448" s="29"/>
      <c r="QH1448" s="29"/>
      <c r="QI1448" s="29"/>
      <c r="QJ1448" s="29"/>
      <c r="QK1448" s="29"/>
      <c r="QL1448" s="29"/>
      <c r="QM1448" s="29"/>
      <c r="QN1448" s="29"/>
      <c r="QO1448" s="29"/>
      <c r="QP1448" s="29"/>
      <c r="QQ1448" s="29"/>
      <c r="QR1448" s="29"/>
      <c r="QS1448" s="29"/>
      <c r="QT1448" s="29"/>
      <c r="QU1448" s="29"/>
      <c r="QV1448" s="29"/>
      <c r="QW1448" s="29"/>
      <c r="QX1448" s="29"/>
      <c r="QY1448" s="29"/>
      <c r="QZ1448" s="29"/>
      <c r="RA1448" s="29"/>
      <c r="RB1448" s="29"/>
      <c r="RC1448" s="29"/>
      <c r="RD1448" s="29"/>
      <c r="RE1448" s="29"/>
      <c r="RF1448" s="29"/>
      <c r="RG1448" s="29"/>
      <c r="RH1448" s="29"/>
      <c r="RI1448" s="29"/>
      <c r="RJ1448" s="29"/>
      <c r="RK1448" s="29"/>
      <c r="RL1448" s="29"/>
      <c r="RM1448" s="29"/>
      <c r="RN1448" s="29"/>
      <c r="RO1448" s="29"/>
      <c r="RP1448" s="29"/>
      <c r="RQ1448" s="29"/>
      <c r="RR1448" s="29"/>
      <c r="RS1448" s="29"/>
      <c r="RT1448" s="29"/>
      <c r="RU1448" s="29"/>
      <c r="RV1448" s="29"/>
      <c r="RW1448" s="29"/>
      <c r="RX1448" s="29"/>
      <c r="RY1448" s="29"/>
      <c r="RZ1448" s="29"/>
      <c r="SA1448" s="29"/>
      <c r="SB1448" s="29"/>
      <c r="SC1448" s="29"/>
      <c r="SD1448" s="29"/>
      <c r="SE1448" s="29"/>
      <c r="SF1448" s="29"/>
      <c r="SG1448" s="29"/>
      <c r="SH1448" s="29"/>
      <c r="SI1448" s="29"/>
      <c r="SJ1448" s="29"/>
      <c r="SK1448" s="29"/>
      <c r="SL1448" s="29"/>
      <c r="SM1448" s="29"/>
      <c r="SN1448" s="29"/>
      <c r="SO1448" s="29"/>
      <c r="SP1448" s="29"/>
      <c r="SQ1448" s="29"/>
      <c r="SR1448" s="29"/>
      <c r="SS1448" s="29"/>
      <c r="ST1448" s="29"/>
      <c r="SU1448" s="29"/>
      <c r="SV1448" s="29"/>
      <c r="SW1448" s="29"/>
      <c r="SX1448" s="29"/>
      <c r="SY1448" s="29"/>
      <c r="SZ1448" s="29"/>
      <c r="TA1448" s="29"/>
      <c r="TB1448" s="29"/>
      <c r="TC1448" s="29"/>
      <c r="TD1448" s="29"/>
      <c r="TE1448" s="29"/>
      <c r="TF1448" s="29"/>
      <c r="TG1448" s="29"/>
      <c r="TH1448" s="29"/>
      <c r="TI1448" s="29"/>
      <c r="TJ1448" s="29"/>
      <c r="TK1448" s="29"/>
      <c r="TL1448" s="29"/>
      <c r="TM1448" s="29"/>
      <c r="TN1448" s="29"/>
      <c r="TO1448" s="29"/>
      <c r="TP1448" s="29"/>
      <c r="TQ1448" s="29"/>
      <c r="TR1448" s="29"/>
      <c r="TS1448" s="29"/>
      <c r="TT1448" s="29"/>
      <c r="TU1448" s="29"/>
      <c r="TV1448" s="29"/>
      <c r="TW1448" s="29"/>
      <c r="TX1448" s="29"/>
      <c r="TY1448" s="29"/>
      <c r="TZ1448" s="29"/>
      <c r="UA1448" s="29"/>
      <c r="UB1448" s="29"/>
      <c r="UC1448" s="29"/>
      <c r="UD1448" s="29"/>
      <c r="UE1448" s="29"/>
      <c r="UF1448" s="29"/>
      <c r="UG1448" s="29"/>
    </row>
    <row r="1449" spans="1:553" ht="25.15" customHeight="1">
      <c r="A1449" s="356" t="s">
        <v>15</v>
      </c>
      <c r="B1449" s="385" t="s">
        <v>35</v>
      </c>
      <c r="C1449" s="1535" t="s">
        <v>779</v>
      </c>
      <c r="D1449" s="1389"/>
      <c r="E1449" s="1389"/>
      <c r="F1449" s="1390"/>
      <c r="G1449" s="417" t="s">
        <v>1303</v>
      </c>
      <c r="H1449" s="370"/>
      <c r="I1449" s="834">
        <f>0.44*6.9*4</f>
        <v>12.144</v>
      </c>
      <c r="J1449" s="368">
        <v>39000</v>
      </c>
      <c r="K1449" s="371"/>
      <c r="L1449" s="487">
        <f t="shared" si="222"/>
        <v>473616</v>
      </c>
      <c r="M1449" s="395"/>
      <c r="N1449" s="395"/>
      <c r="O1449" s="366"/>
      <c r="P1449" s="396"/>
      <c r="Q1449" s="473"/>
      <c r="R1449" s="1039"/>
      <c r="S1449" s="308"/>
      <c r="T1449" s="308"/>
      <c r="U1449" s="308"/>
      <c r="V1449" s="308"/>
      <c r="W1449" s="308"/>
      <c r="X1449" s="308"/>
      <c r="Y1449" s="308"/>
      <c r="Z1449" s="604"/>
      <c r="AA1449" s="308"/>
      <c r="AB1449" s="308"/>
      <c r="AC1449" s="486"/>
      <c r="AD1449" s="486"/>
      <c r="AE1449" s="486"/>
      <c r="AF1449" s="486"/>
      <c r="AG1449" s="486"/>
      <c r="AH1449" s="486"/>
      <c r="AI1449" s="486"/>
      <c r="AJ1449" s="486"/>
      <c r="AK1449" s="486"/>
      <c r="AL1449" s="206"/>
      <c r="AM1449" s="29"/>
      <c r="AN1449" s="29"/>
      <c r="AO1449" s="29"/>
      <c r="AP1449" s="29"/>
      <c r="AQ1449" s="29"/>
      <c r="AR1449" s="29"/>
      <c r="AS1449" s="29"/>
      <c r="AT1449" s="29"/>
      <c r="AU1449" s="29"/>
      <c r="AV1449" s="29"/>
      <c r="AW1449" s="29"/>
      <c r="AX1449" s="29"/>
      <c r="AY1449" s="29"/>
      <c r="AZ1449" s="29"/>
      <c r="BA1449" s="29"/>
      <c r="BB1449" s="29"/>
      <c r="BC1449" s="29"/>
      <c r="BD1449" s="29"/>
      <c r="BE1449" s="29"/>
      <c r="BF1449" s="29"/>
      <c r="BG1449" s="29"/>
      <c r="BH1449" s="29"/>
      <c r="BI1449" s="29"/>
      <c r="BJ1449" s="29"/>
      <c r="BK1449" s="29"/>
      <c r="BL1449" s="29"/>
      <c r="BM1449" s="29"/>
      <c r="BN1449" s="29"/>
      <c r="BO1449" s="29"/>
      <c r="BP1449" s="29"/>
      <c r="BQ1449" s="29"/>
      <c r="BR1449" s="29"/>
      <c r="BS1449" s="29"/>
      <c r="BT1449" s="29"/>
      <c r="BU1449" s="29"/>
      <c r="BV1449" s="29"/>
      <c r="BW1449" s="29"/>
      <c r="BX1449" s="29"/>
      <c r="BY1449" s="29"/>
      <c r="BZ1449" s="29"/>
      <c r="CA1449" s="29"/>
      <c r="CB1449" s="29"/>
      <c r="CC1449" s="29"/>
      <c r="CD1449" s="29"/>
      <c r="CE1449" s="29"/>
      <c r="CF1449" s="29"/>
      <c r="CG1449" s="29"/>
      <c r="CH1449" s="29"/>
      <c r="CI1449" s="29"/>
      <c r="CJ1449" s="29"/>
      <c r="CK1449" s="29"/>
      <c r="CL1449" s="29"/>
      <c r="CM1449" s="29"/>
      <c r="CN1449" s="29"/>
      <c r="CO1449" s="29"/>
      <c r="CP1449" s="29"/>
      <c r="CQ1449" s="29"/>
      <c r="CR1449" s="29"/>
      <c r="CS1449" s="29"/>
      <c r="CT1449" s="29"/>
      <c r="CU1449" s="29"/>
      <c r="CV1449" s="29"/>
      <c r="CW1449" s="29"/>
      <c r="CX1449" s="29"/>
      <c r="CY1449" s="29"/>
      <c r="CZ1449" s="29"/>
      <c r="DA1449" s="29"/>
      <c r="DB1449" s="29"/>
      <c r="DC1449" s="29"/>
      <c r="DD1449" s="29"/>
      <c r="DE1449" s="29"/>
      <c r="DF1449" s="29"/>
      <c r="DG1449" s="29"/>
      <c r="DH1449" s="29"/>
      <c r="DI1449" s="29"/>
      <c r="DJ1449" s="29"/>
      <c r="DK1449" s="29"/>
      <c r="DL1449" s="29"/>
      <c r="DM1449" s="29"/>
      <c r="DN1449" s="29"/>
      <c r="DO1449" s="29"/>
      <c r="DP1449" s="29"/>
      <c r="DQ1449" s="29"/>
      <c r="DR1449" s="29"/>
      <c r="DS1449" s="29"/>
      <c r="DT1449" s="29"/>
      <c r="DU1449" s="29"/>
      <c r="DV1449" s="29"/>
      <c r="DW1449" s="29"/>
      <c r="DX1449" s="29"/>
      <c r="DY1449" s="29"/>
      <c r="DZ1449" s="29"/>
      <c r="EA1449" s="29"/>
      <c r="EB1449" s="29"/>
      <c r="EC1449" s="29"/>
      <c r="ED1449" s="29"/>
      <c r="EE1449" s="29"/>
      <c r="EF1449" s="29"/>
      <c r="EG1449" s="29"/>
      <c r="EH1449" s="29"/>
      <c r="EI1449" s="29"/>
      <c r="EJ1449" s="29"/>
      <c r="EK1449" s="29"/>
      <c r="EL1449" s="29"/>
      <c r="EM1449" s="29"/>
      <c r="EN1449" s="29"/>
      <c r="EO1449" s="29"/>
      <c r="EP1449" s="29"/>
      <c r="EQ1449" s="29"/>
      <c r="ER1449" s="29"/>
      <c r="ES1449" s="29"/>
      <c r="ET1449" s="29"/>
      <c r="EU1449" s="29"/>
      <c r="EV1449" s="29"/>
      <c r="EW1449" s="29"/>
      <c r="EX1449" s="29"/>
      <c r="EY1449" s="29"/>
      <c r="EZ1449" s="29"/>
      <c r="FA1449" s="29"/>
      <c r="FB1449" s="29"/>
      <c r="FC1449" s="29"/>
      <c r="FD1449" s="29"/>
      <c r="FE1449" s="29"/>
      <c r="FF1449" s="29"/>
      <c r="FG1449" s="29"/>
      <c r="FH1449" s="29"/>
      <c r="FI1449" s="29"/>
      <c r="FJ1449" s="29"/>
      <c r="FK1449" s="29"/>
      <c r="FL1449" s="29"/>
      <c r="FM1449" s="29"/>
      <c r="FN1449" s="29"/>
      <c r="FO1449" s="29"/>
      <c r="FP1449" s="29"/>
      <c r="FQ1449" s="29"/>
      <c r="FR1449" s="29"/>
      <c r="FS1449" s="29"/>
      <c r="FT1449" s="29"/>
      <c r="FU1449" s="29"/>
      <c r="FV1449" s="29"/>
      <c r="FW1449" s="29"/>
      <c r="FX1449" s="29"/>
      <c r="FY1449" s="29"/>
      <c r="FZ1449" s="29"/>
      <c r="GA1449" s="29"/>
      <c r="GB1449" s="29"/>
      <c r="GC1449" s="29"/>
      <c r="GD1449" s="29"/>
      <c r="GE1449" s="29"/>
      <c r="GF1449" s="29"/>
      <c r="GG1449" s="29"/>
      <c r="GH1449" s="29"/>
      <c r="GI1449" s="29"/>
      <c r="GJ1449" s="29"/>
      <c r="GK1449" s="29"/>
      <c r="GL1449" s="29"/>
      <c r="GM1449" s="29"/>
      <c r="GN1449" s="29"/>
      <c r="GO1449" s="29"/>
      <c r="GP1449" s="29"/>
      <c r="GQ1449" s="29"/>
      <c r="GR1449" s="29"/>
      <c r="GS1449" s="29"/>
      <c r="GT1449" s="29"/>
      <c r="GU1449" s="29"/>
      <c r="GV1449" s="29"/>
      <c r="GW1449" s="29"/>
      <c r="GX1449" s="29"/>
      <c r="GY1449" s="29"/>
      <c r="GZ1449" s="29"/>
      <c r="HA1449" s="29"/>
      <c r="HB1449" s="29"/>
      <c r="HC1449" s="29"/>
      <c r="HD1449" s="29"/>
      <c r="HE1449" s="29"/>
      <c r="HF1449" s="29"/>
      <c r="HG1449" s="29"/>
      <c r="HH1449" s="29"/>
      <c r="HI1449" s="29"/>
      <c r="HJ1449" s="29"/>
      <c r="HK1449" s="29"/>
      <c r="HL1449" s="29"/>
      <c r="HM1449" s="29"/>
      <c r="HN1449" s="29"/>
      <c r="HO1449" s="29"/>
      <c r="HP1449" s="29"/>
      <c r="HQ1449" s="29"/>
      <c r="HR1449" s="29"/>
      <c r="HS1449" s="29"/>
      <c r="HT1449" s="29"/>
      <c r="HU1449" s="29"/>
      <c r="HV1449" s="29"/>
      <c r="HW1449" s="29"/>
      <c r="HX1449" s="29"/>
      <c r="HY1449" s="29"/>
      <c r="HZ1449" s="29"/>
      <c r="IA1449" s="29"/>
      <c r="IB1449" s="29"/>
      <c r="IC1449" s="29"/>
      <c r="ID1449" s="29"/>
      <c r="IE1449" s="29"/>
      <c r="IF1449" s="29"/>
      <c r="IG1449" s="29"/>
      <c r="IH1449" s="29"/>
      <c r="II1449" s="29"/>
      <c r="IJ1449" s="29"/>
      <c r="IK1449" s="29"/>
      <c r="IL1449" s="29"/>
      <c r="IM1449" s="29"/>
      <c r="IN1449" s="29"/>
      <c r="IO1449" s="29"/>
      <c r="IP1449" s="29"/>
      <c r="IQ1449" s="29"/>
      <c r="IR1449" s="29"/>
      <c r="IS1449" s="29"/>
      <c r="IT1449" s="29"/>
      <c r="IU1449" s="29"/>
      <c r="IV1449" s="29"/>
      <c r="IW1449" s="29"/>
      <c r="IX1449" s="29"/>
      <c r="IY1449" s="29"/>
      <c r="IZ1449" s="29"/>
      <c r="JA1449" s="29"/>
      <c r="JB1449" s="29"/>
      <c r="JC1449" s="29"/>
      <c r="JD1449" s="29"/>
      <c r="JE1449" s="29"/>
      <c r="JF1449" s="29"/>
      <c r="JG1449" s="29"/>
      <c r="JH1449" s="29"/>
      <c r="JI1449" s="29"/>
      <c r="JJ1449" s="29"/>
      <c r="JK1449" s="29"/>
      <c r="JL1449" s="29"/>
      <c r="JM1449" s="29"/>
      <c r="JN1449" s="29"/>
      <c r="JO1449" s="29"/>
      <c r="JP1449" s="29"/>
      <c r="JQ1449" s="29"/>
      <c r="JR1449" s="29"/>
      <c r="JS1449" s="29"/>
      <c r="JT1449" s="29"/>
      <c r="JU1449" s="29"/>
      <c r="JV1449" s="29"/>
      <c r="JW1449" s="29"/>
      <c r="JX1449" s="29"/>
      <c r="JY1449" s="29"/>
      <c r="JZ1449" s="29"/>
      <c r="KA1449" s="29"/>
      <c r="KB1449" s="29"/>
      <c r="KC1449" s="29"/>
      <c r="KD1449" s="29"/>
      <c r="KE1449" s="29"/>
      <c r="KF1449" s="29"/>
      <c r="KG1449" s="29"/>
      <c r="KH1449" s="29"/>
      <c r="KI1449" s="29"/>
      <c r="KJ1449" s="29"/>
      <c r="KK1449" s="29"/>
      <c r="KL1449" s="29"/>
      <c r="KM1449" s="29"/>
      <c r="KN1449" s="29"/>
      <c r="KO1449" s="29"/>
      <c r="KP1449" s="29"/>
      <c r="KQ1449" s="29"/>
      <c r="KR1449" s="29"/>
      <c r="KS1449" s="29"/>
      <c r="KT1449" s="29"/>
      <c r="KU1449" s="29"/>
      <c r="KV1449" s="29"/>
      <c r="KW1449" s="29"/>
      <c r="KX1449" s="29"/>
      <c r="KY1449" s="29"/>
      <c r="KZ1449" s="29"/>
      <c r="LA1449" s="29"/>
      <c r="LB1449" s="29"/>
      <c r="LC1449" s="29"/>
      <c r="LD1449" s="29"/>
      <c r="LE1449" s="29"/>
      <c r="LF1449" s="29"/>
      <c r="LG1449" s="29"/>
      <c r="LH1449" s="29"/>
      <c r="LI1449" s="29"/>
      <c r="LJ1449" s="29"/>
      <c r="LK1449" s="29"/>
      <c r="LL1449" s="29"/>
      <c r="LM1449" s="29"/>
      <c r="LN1449" s="29"/>
      <c r="LO1449" s="29"/>
      <c r="LP1449" s="29"/>
      <c r="LQ1449" s="29"/>
      <c r="LR1449" s="29"/>
      <c r="LS1449" s="29"/>
      <c r="LT1449" s="29"/>
      <c r="LU1449" s="29"/>
      <c r="LV1449" s="29"/>
      <c r="LW1449" s="29"/>
      <c r="LX1449" s="29"/>
      <c r="LY1449" s="29"/>
      <c r="LZ1449" s="29"/>
      <c r="MA1449" s="29"/>
      <c r="MB1449" s="29"/>
      <c r="MC1449" s="29"/>
      <c r="MD1449" s="29"/>
      <c r="ME1449" s="29"/>
      <c r="MF1449" s="29"/>
      <c r="MG1449" s="29"/>
      <c r="MH1449" s="29"/>
      <c r="MI1449" s="29"/>
      <c r="MJ1449" s="29"/>
      <c r="MK1449" s="29"/>
      <c r="ML1449" s="29"/>
      <c r="MM1449" s="29"/>
      <c r="MN1449" s="29"/>
      <c r="MO1449" s="29"/>
      <c r="MP1449" s="29"/>
      <c r="MQ1449" s="29"/>
      <c r="MR1449" s="29"/>
      <c r="MS1449" s="29"/>
      <c r="MT1449" s="29"/>
      <c r="MU1449" s="29"/>
      <c r="MV1449" s="29"/>
      <c r="MW1449" s="29"/>
      <c r="MX1449" s="29"/>
      <c r="MY1449" s="29"/>
      <c r="MZ1449" s="29"/>
      <c r="NA1449" s="29"/>
      <c r="NB1449" s="29"/>
      <c r="NC1449" s="29"/>
      <c r="ND1449" s="29"/>
      <c r="NE1449" s="29"/>
      <c r="NF1449" s="29"/>
      <c r="NG1449" s="29"/>
      <c r="NH1449" s="29"/>
      <c r="NI1449" s="29"/>
      <c r="NJ1449" s="29"/>
      <c r="NK1449" s="29"/>
      <c r="NL1449" s="29"/>
      <c r="NM1449" s="29"/>
      <c r="NN1449" s="29"/>
      <c r="NO1449" s="29"/>
      <c r="NP1449" s="29"/>
      <c r="NQ1449" s="29"/>
      <c r="NR1449" s="29"/>
      <c r="NS1449" s="29"/>
      <c r="NT1449" s="29"/>
      <c r="NU1449" s="29"/>
      <c r="NV1449" s="29"/>
      <c r="NW1449" s="29"/>
      <c r="NX1449" s="29"/>
      <c r="NY1449" s="29"/>
      <c r="NZ1449" s="29"/>
      <c r="OA1449" s="29"/>
      <c r="OB1449" s="29"/>
      <c r="OC1449" s="29"/>
      <c r="OD1449" s="29"/>
      <c r="OE1449" s="29"/>
      <c r="OF1449" s="29"/>
      <c r="OG1449" s="29"/>
      <c r="OH1449" s="29"/>
      <c r="OI1449" s="29"/>
      <c r="OJ1449" s="29"/>
      <c r="OK1449" s="29"/>
      <c r="OL1449" s="29"/>
      <c r="OM1449" s="29"/>
      <c r="ON1449" s="29"/>
      <c r="OO1449" s="29"/>
      <c r="OP1449" s="29"/>
      <c r="OQ1449" s="29"/>
      <c r="OR1449" s="29"/>
      <c r="OS1449" s="29"/>
      <c r="OT1449" s="29"/>
      <c r="OU1449" s="29"/>
      <c r="OV1449" s="29"/>
      <c r="OW1449" s="29"/>
      <c r="OX1449" s="29"/>
      <c r="OY1449" s="29"/>
      <c r="OZ1449" s="29"/>
      <c r="PA1449" s="29"/>
      <c r="PB1449" s="29"/>
      <c r="PC1449" s="29"/>
      <c r="PD1449" s="29"/>
      <c r="PE1449" s="29"/>
      <c r="PF1449" s="29"/>
      <c r="PG1449" s="29"/>
      <c r="PH1449" s="29"/>
      <c r="PI1449" s="29"/>
      <c r="PJ1449" s="29"/>
      <c r="PK1449" s="29"/>
      <c r="PL1449" s="29"/>
      <c r="PM1449" s="29"/>
      <c r="PN1449" s="29"/>
      <c r="PO1449" s="29"/>
      <c r="PP1449" s="29"/>
      <c r="PQ1449" s="29"/>
      <c r="PR1449" s="29"/>
      <c r="PS1449" s="29"/>
      <c r="PT1449" s="29"/>
      <c r="PU1449" s="29"/>
      <c r="PV1449" s="29"/>
      <c r="PW1449" s="29"/>
      <c r="PX1449" s="29"/>
      <c r="PY1449" s="29"/>
      <c r="PZ1449" s="29"/>
      <c r="QA1449" s="29"/>
      <c r="QB1449" s="29"/>
      <c r="QC1449" s="29"/>
      <c r="QD1449" s="29"/>
      <c r="QE1449" s="29"/>
      <c r="QF1449" s="29"/>
      <c r="QG1449" s="29"/>
      <c r="QH1449" s="29"/>
      <c r="QI1449" s="29"/>
      <c r="QJ1449" s="29"/>
      <c r="QK1449" s="29"/>
      <c r="QL1449" s="29"/>
      <c r="QM1449" s="29"/>
      <c r="QN1449" s="29"/>
      <c r="QO1449" s="29"/>
      <c r="QP1449" s="29"/>
      <c r="QQ1449" s="29"/>
      <c r="QR1449" s="29"/>
      <c r="QS1449" s="29"/>
      <c r="QT1449" s="29"/>
      <c r="QU1449" s="29"/>
      <c r="QV1449" s="29"/>
      <c r="QW1449" s="29"/>
      <c r="QX1449" s="29"/>
      <c r="QY1449" s="29"/>
      <c r="QZ1449" s="29"/>
      <c r="RA1449" s="29"/>
      <c r="RB1449" s="29"/>
      <c r="RC1449" s="29"/>
      <c r="RD1449" s="29"/>
      <c r="RE1449" s="29"/>
      <c r="RF1449" s="29"/>
      <c r="RG1449" s="29"/>
      <c r="RH1449" s="29"/>
      <c r="RI1449" s="29"/>
      <c r="RJ1449" s="29"/>
      <c r="RK1449" s="29"/>
      <c r="RL1449" s="29"/>
      <c r="RM1449" s="29"/>
      <c r="RN1449" s="29"/>
      <c r="RO1449" s="29"/>
      <c r="RP1449" s="29"/>
      <c r="RQ1449" s="29"/>
      <c r="RR1449" s="29"/>
      <c r="RS1449" s="29"/>
      <c r="RT1449" s="29"/>
      <c r="RU1449" s="29"/>
      <c r="RV1449" s="29"/>
      <c r="RW1449" s="29"/>
      <c r="RX1449" s="29"/>
      <c r="RY1449" s="29"/>
      <c r="RZ1449" s="29"/>
      <c r="SA1449" s="29"/>
      <c r="SB1449" s="29"/>
      <c r="SC1449" s="29"/>
      <c r="SD1449" s="29"/>
      <c r="SE1449" s="29"/>
      <c r="SF1449" s="29"/>
      <c r="SG1449" s="29"/>
      <c r="SH1449" s="29"/>
      <c r="SI1449" s="29"/>
      <c r="SJ1449" s="29"/>
      <c r="SK1449" s="29"/>
      <c r="SL1449" s="29"/>
      <c r="SM1449" s="29"/>
      <c r="SN1449" s="29"/>
      <c r="SO1449" s="29"/>
      <c r="SP1449" s="29"/>
      <c r="SQ1449" s="29"/>
      <c r="SR1449" s="29"/>
      <c r="SS1449" s="29"/>
      <c r="ST1449" s="29"/>
      <c r="SU1449" s="29"/>
      <c r="SV1449" s="29"/>
      <c r="SW1449" s="29"/>
      <c r="SX1449" s="29"/>
      <c r="SY1449" s="29"/>
      <c r="SZ1449" s="29"/>
      <c r="TA1449" s="29"/>
      <c r="TB1449" s="29"/>
      <c r="TC1449" s="29"/>
      <c r="TD1449" s="29"/>
      <c r="TE1449" s="29"/>
      <c r="TF1449" s="29"/>
      <c r="TG1449" s="29"/>
      <c r="TH1449" s="29"/>
      <c r="TI1449" s="29"/>
      <c r="TJ1449" s="29"/>
      <c r="TK1449" s="29"/>
      <c r="TL1449" s="29"/>
      <c r="TM1449" s="29"/>
      <c r="TN1449" s="29"/>
      <c r="TO1449" s="29"/>
      <c r="TP1449" s="29"/>
      <c r="TQ1449" s="29"/>
      <c r="TR1449" s="29"/>
      <c r="TS1449" s="29"/>
      <c r="TT1449" s="29"/>
      <c r="TU1449" s="29"/>
      <c r="TV1449" s="29"/>
      <c r="TW1449" s="29"/>
      <c r="TX1449" s="29"/>
      <c r="TY1449" s="29"/>
      <c r="TZ1449" s="29"/>
      <c r="UA1449" s="29"/>
      <c r="UB1449" s="29"/>
      <c r="UC1449" s="29"/>
      <c r="UD1449" s="29"/>
      <c r="UE1449" s="29"/>
      <c r="UF1449" s="29"/>
      <c r="UG1449" s="29"/>
    </row>
    <row r="1450" spans="1:553" ht="25.15" customHeight="1">
      <c r="A1450" s="356" t="s">
        <v>15</v>
      </c>
      <c r="B1450" s="385" t="s">
        <v>35</v>
      </c>
      <c r="C1450" s="1535" t="s">
        <v>780</v>
      </c>
      <c r="D1450" s="1389"/>
      <c r="E1450" s="1389"/>
      <c r="F1450" s="1390"/>
      <c r="G1450" s="417" t="s">
        <v>1303</v>
      </c>
      <c r="H1450" s="370"/>
      <c r="I1450" s="422">
        <f>0.4*2.4*6</f>
        <v>5.76</v>
      </c>
      <c r="J1450" s="368">
        <v>39000</v>
      </c>
      <c r="K1450" s="371"/>
      <c r="L1450" s="487">
        <f t="shared" si="222"/>
        <v>224640</v>
      </c>
      <c r="M1450" s="395"/>
      <c r="N1450" s="395"/>
      <c r="O1450" s="366"/>
      <c r="P1450" s="396"/>
      <c r="Q1450" s="473"/>
      <c r="R1450" s="1039"/>
      <c r="S1450" s="308"/>
      <c r="T1450" s="308"/>
      <c r="U1450" s="308"/>
      <c r="V1450" s="308"/>
      <c r="W1450" s="308"/>
      <c r="X1450" s="308"/>
      <c r="Y1450" s="308"/>
      <c r="Z1450" s="604"/>
      <c r="AA1450" s="308"/>
      <c r="AB1450" s="308"/>
      <c r="AC1450" s="486"/>
      <c r="AD1450" s="486"/>
      <c r="AE1450" s="486"/>
      <c r="AF1450" s="486"/>
      <c r="AG1450" s="486"/>
      <c r="AH1450" s="486"/>
      <c r="AI1450" s="486"/>
      <c r="AJ1450" s="486"/>
      <c r="AK1450" s="486"/>
      <c r="AL1450" s="206"/>
      <c r="AM1450" s="29"/>
      <c r="AN1450" s="29"/>
      <c r="AO1450" s="29"/>
      <c r="AP1450" s="29"/>
      <c r="AQ1450" s="29"/>
      <c r="AR1450" s="29"/>
      <c r="AS1450" s="29"/>
      <c r="AT1450" s="29"/>
      <c r="AU1450" s="29"/>
      <c r="AV1450" s="29"/>
      <c r="AW1450" s="29"/>
      <c r="AX1450" s="29"/>
      <c r="AY1450" s="29"/>
      <c r="AZ1450" s="29"/>
      <c r="BA1450" s="29"/>
      <c r="BB1450" s="29"/>
      <c r="BC1450" s="29"/>
      <c r="BD1450" s="29"/>
      <c r="BE1450" s="29"/>
      <c r="BF1450" s="29"/>
      <c r="BG1450" s="29"/>
      <c r="BH1450" s="29"/>
      <c r="BI1450" s="29"/>
      <c r="BJ1450" s="29"/>
      <c r="BK1450" s="29"/>
      <c r="BL1450" s="29"/>
      <c r="BM1450" s="29"/>
      <c r="BN1450" s="29"/>
      <c r="BO1450" s="29"/>
      <c r="BP1450" s="29"/>
      <c r="BQ1450" s="29"/>
      <c r="BR1450" s="29"/>
      <c r="BS1450" s="29"/>
      <c r="BT1450" s="29"/>
      <c r="BU1450" s="29"/>
      <c r="BV1450" s="29"/>
      <c r="BW1450" s="29"/>
      <c r="BX1450" s="29"/>
      <c r="BY1450" s="29"/>
      <c r="BZ1450" s="29"/>
      <c r="CA1450" s="29"/>
      <c r="CB1450" s="29"/>
      <c r="CC1450" s="29"/>
      <c r="CD1450" s="29"/>
      <c r="CE1450" s="29"/>
      <c r="CF1450" s="29"/>
      <c r="CG1450" s="29"/>
      <c r="CH1450" s="29"/>
      <c r="CI1450" s="29"/>
      <c r="CJ1450" s="29"/>
      <c r="CK1450" s="29"/>
      <c r="CL1450" s="29"/>
      <c r="CM1450" s="29"/>
      <c r="CN1450" s="29"/>
      <c r="CO1450" s="29"/>
      <c r="CP1450" s="29"/>
      <c r="CQ1450" s="29"/>
      <c r="CR1450" s="29"/>
      <c r="CS1450" s="29"/>
      <c r="CT1450" s="29"/>
      <c r="CU1450" s="29"/>
      <c r="CV1450" s="29"/>
      <c r="CW1450" s="29"/>
      <c r="CX1450" s="29"/>
      <c r="CY1450" s="29"/>
      <c r="CZ1450" s="29"/>
      <c r="DA1450" s="29"/>
      <c r="DB1450" s="29"/>
      <c r="DC1450" s="29"/>
      <c r="DD1450" s="29"/>
      <c r="DE1450" s="29"/>
      <c r="DF1450" s="29"/>
      <c r="DG1450" s="29"/>
      <c r="DH1450" s="29"/>
      <c r="DI1450" s="29"/>
      <c r="DJ1450" s="29"/>
      <c r="DK1450" s="29"/>
      <c r="DL1450" s="29"/>
      <c r="DM1450" s="29"/>
      <c r="DN1450" s="29"/>
      <c r="DO1450" s="29"/>
      <c r="DP1450" s="29"/>
      <c r="DQ1450" s="29"/>
      <c r="DR1450" s="29"/>
      <c r="DS1450" s="29"/>
      <c r="DT1450" s="29"/>
      <c r="DU1450" s="29"/>
      <c r="DV1450" s="29"/>
      <c r="DW1450" s="29"/>
      <c r="DX1450" s="29"/>
      <c r="DY1450" s="29"/>
      <c r="DZ1450" s="29"/>
      <c r="EA1450" s="29"/>
      <c r="EB1450" s="29"/>
      <c r="EC1450" s="29"/>
      <c r="ED1450" s="29"/>
      <c r="EE1450" s="29"/>
      <c r="EF1450" s="29"/>
      <c r="EG1450" s="29"/>
      <c r="EH1450" s="29"/>
      <c r="EI1450" s="29"/>
      <c r="EJ1450" s="29"/>
      <c r="EK1450" s="29"/>
      <c r="EL1450" s="29"/>
      <c r="EM1450" s="29"/>
      <c r="EN1450" s="29"/>
      <c r="EO1450" s="29"/>
      <c r="EP1450" s="29"/>
      <c r="EQ1450" s="29"/>
      <c r="ER1450" s="29"/>
      <c r="ES1450" s="29"/>
      <c r="ET1450" s="29"/>
      <c r="EU1450" s="29"/>
      <c r="EV1450" s="29"/>
      <c r="EW1450" s="29"/>
      <c r="EX1450" s="29"/>
      <c r="EY1450" s="29"/>
      <c r="EZ1450" s="29"/>
      <c r="FA1450" s="29"/>
      <c r="FB1450" s="29"/>
      <c r="FC1450" s="29"/>
      <c r="FD1450" s="29"/>
      <c r="FE1450" s="29"/>
      <c r="FF1450" s="29"/>
      <c r="FG1450" s="29"/>
      <c r="FH1450" s="29"/>
      <c r="FI1450" s="29"/>
      <c r="FJ1450" s="29"/>
      <c r="FK1450" s="29"/>
      <c r="FL1450" s="29"/>
      <c r="FM1450" s="29"/>
      <c r="FN1450" s="29"/>
      <c r="FO1450" s="29"/>
      <c r="FP1450" s="29"/>
      <c r="FQ1450" s="29"/>
      <c r="FR1450" s="29"/>
      <c r="FS1450" s="29"/>
      <c r="FT1450" s="29"/>
      <c r="FU1450" s="29"/>
      <c r="FV1450" s="29"/>
      <c r="FW1450" s="29"/>
      <c r="FX1450" s="29"/>
      <c r="FY1450" s="29"/>
      <c r="FZ1450" s="29"/>
      <c r="GA1450" s="29"/>
      <c r="GB1450" s="29"/>
      <c r="GC1450" s="29"/>
      <c r="GD1450" s="29"/>
      <c r="GE1450" s="29"/>
      <c r="GF1450" s="29"/>
      <c r="GG1450" s="29"/>
      <c r="GH1450" s="29"/>
      <c r="GI1450" s="29"/>
      <c r="GJ1450" s="29"/>
      <c r="GK1450" s="29"/>
      <c r="GL1450" s="29"/>
      <c r="GM1450" s="29"/>
      <c r="GN1450" s="29"/>
      <c r="GO1450" s="29"/>
      <c r="GP1450" s="29"/>
      <c r="GQ1450" s="29"/>
      <c r="GR1450" s="29"/>
      <c r="GS1450" s="29"/>
      <c r="GT1450" s="29"/>
      <c r="GU1450" s="29"/>
      <c r="GV1450" s="29"/>
      <c r="GW1450" s="29"/>
      <c r="GX1450" s="29"/>
      <c r="GY1450" s="29"/>
      <c r="GZ1450" s="29"/>
      <c r="HA1450" s="29"/>
      <c r="HB1450" s="29"/>
      <c r="HC1450" s="29"/>
      <c r="HD1450" s="29"/>
      <c r="HE1450" s="29"/>
      <c r="HF1450" s="29"/>
      <c r="HG1450" s="29"/>
      <c r="HH1450" s="29"/>
      <c r="HI1450" s="29"/>
      <c r="HJ1450" s="29"/>
      <c r="HK1450" s="29"/>
      <c r="HL1450" s="29"/>
      <c r="HM1450" s="29"/>
      <c r="HN1450" s="29"/>
      <c r="HO1450" s="29"/>
      <c r="HP1450" s="29"/>
      <c r="HQ1450" s="29"/>
      <c r="HR1450" s="29"/>
      <c r="HS1450" s="29"/>
      <c r="HT1450" s="29"/>
      <c r="HU1450" s="29"/>
      <c r="HV1450" s="29"/>
      <c r="HW1450" s="29"/>
      <c r="HX1450" s="29"/>
      <c r="HY1450" s="29"/>
      <c r="HZ1450" s="29"/>
      <c r="IA1450" s="29"/>
      <c r="IB1450" s="29"/>
      <c r="IC1450" s="29"/>
      <c r="ID1450" s="29"/>
      <c r="IE1450" s="29"/>
      <c r="IF1450" s="29"/>
      <c r="IG1450" s="29"/>
      <c r="IH1450" s="29"/>
      <c r="II1450" s="29"/>
      <c r="IJ1450" s="29"/>
      <c r="IK1450" s="29"/>
      <c r="IL1450" s="29"/>
      <c r="IM1450" s="29"/>
      <c r="IN1450" s="29"/>
      <c r="IO1450" s="29"/>
      <c r="IP1450" s="29"/>
      <c r="IQ1450" s="29"/>
      <c r="IR1450" s="29"/>
      <c r="IS1450" s="29"/>
      <c r="IT1450" s="29"/>
      <c r="IU1450" s="29"/>
      <c r="IV1450" s="29"/>
      <c r="IW1450" s="29"/>
      <c r="IX1450" s="29"/>
      <c r="IY1450" s="29"/>
      <c r="IZ1450" s="29"/>
      <c r="JA1450" s="29"/>
      <c r="JB1450" s="29"/>
      <c r="JC1450" s="29"/>
      <c r="JD1450" s="29"/>
      <c r="JE1450" s="29"/>
      <c r="JF1450" s="29"/>
      <c r="JG1450" s="29"/>
      <c r="JH1450" s="29"/>
      <c r="JI1450" s="29"/>
      <c r="JJ1450" s="29"/>
      <c r="JK1450" s="29"/>
      <c r="JL1450" s="29"/>
      <c r="JM1450" s="29"/>
      <c r="JN1450" s="29"/>
      <c r="JO1450" s="29"/>
      <c r="JP1450" s="29"/>
      <c r="JQ1450" s="29"/>
      <c r="JR1450" s="29"/>
      <c r="JS1450" s="29"/>
      <c r="JT1450" s="29"/>
      <c r="JU1450" s="29"/>
      <c r="JV1450" s="29"/>
      <c r="JW1450" s="29"/>
      <c r="JX1450" s="29"/>
      <c r="JY1450" s="29"/>
      <c r="JZ1450" s="29"/>
      <c r="KA1450" s="29"/>
      <c r="KB1450" s="29"/>
      <c r="KC1450" s="29"/>
      <c r="KD1450" s="29"/>
      <c r="KE1450" s="29"/>
      <c r="KF1450" s="29"/>
      <c r="KG1450" s="29"/>
      <c r="KH1450" s="29"/>
      <c r="KI1450" s="29"/>
      <c r="KJ1450" s="29"/>
      <c r="KK1450" s="29"/>
      <c r="KL1450" s="29"/>
      <c r="KM1450" s="29"/>
      <c r="KN1450" s="29"/>
      <c r="KO1450" s="29"/>
      <c r="KP1450" s="29"/>
      <c r="KQ1450" s="29"/>
      <c r="KR1450" s="29"/>
      <c r="KS1450" s="29"/>
      <c r="KT1450" s="29"/>
      <c r="KU1450" s="29"/>
      <c r="KV1450" s="29"/>
      <c r="KW1450" s="29"/>
      <c r="KX1450" s="29"/>
      <c r="KY1450" s="29"/>
      <c r="KZ1450" s="29"/>
      <c r="LA1450" s="29"/>
      <c r="LB1450" s="29"/>
      <c r="LC1450" s="29"/>
      <c r="LD1450" s="29"/>
      <c r="LE1450" s="29"/>
      <c r="LF1450" s="29"/>
      <c r="LG1450" s="29"/>
      <c r="LH1450" s="29"/>
      <c r="LI1450" s="29"/>
      <c r="LJ1450" s="29"/>
      <c r="LK1450" s="29"/>
      <c r="LL1450" s="29"/>
      <c r="LM1450" s="29"/>
      <c r="LN1450" s="29"/>
      <c r="LO1450" s="29"/>
      <c r="LP1450" s="29"/>
      <c r="LQ1450" s="29"/>
      <c r="LR1450" s="29"/>
      <c r="LS1450" s="29"/>
      <c r="LT1450" s="29"/>
      <c r="LU1450" s="29"/>
      <c r="LV1450" s="29"/>
      <c r="LW1450" s="29"/>
      <c r="LX1450" s="29"/>
      <c r="LY1450" s="29"/>
      <c r="LZ1450" s="29"/>
      <c r="MA1450" s="29"/>
      <c r="MB1450" s="29"/>
      <c r="MC1450" s="29"/>
      <c r="MD1450" s="29"/>
      <c r="ME1450" s="29"/>
      <c r="MF1450" s="29"/>
      <c r="MG1450" s="29"/>
      <c r="MH1450" s="29"/>
      <c r="MI1450" s="29"/>
      <c r="MJ1450" s="29"/>
      <c r="MK1450" s="29"/>
      <c r="ML1450" s="29"/>
      <c r="MM1450" s="29"/>
      <c r="MN1450" s="29"/>
      <c r="MO1450" s="29"/>
      <c r="MP1450" s="29"/>
      <c r="MQ1450" s="29"/>
      <c r="MR1450" s="29"/>
      <c r="MS1450" s="29"/>
      <c r="MT1450" s="29"/>
      <c r="MU1450" s="29"/>
      <c r="MV1450" s="29"/>
      <c r="MW1450" s="29"/>
      <c r="MX1450" s="29"/>
      <c r="MY1450" s="29"/>
      <c r="MZ1450" s="29"/>
      <c r="NA1450" s="29"/>
      <c r="NB1450" s="29"/>
      <c r="NC1450" s="29"/>
      <c r="ND1450" s="29"/>
      <c r="NE1450" s="29"/>
      <c r="NF1450" s="29"/>
      <c r="NG1450" s="29"/>
      <c r="NH1450" s="29"/>
      <c r="NI1450" s="29"/>
      <c r="NJ1450" s="29"/>
      <c r="NK1450" s="29"/>
      <c r="NL1450" s="29"/>
      <c r="NM1450" s="29"/>
      <c r="NN1450" s="29"/>
      <c r="NO1450" s="29"/>
      <c r="NP1450" s="29"/>
      <c r="NQ1450" s="29"/>
      <c r="NR1450" s="29"/>
      <c r="NS1450" s="29"/>
      <c r="NT1450" s="29"/>
      <c r="NU1450" s="29"/>
      <c r="NV1450" s="29"/>
      <c r="NW1450" s="29"/>
      <c r="NX1450" s="29"/>
      <c r="NY1450" s="29"/>
      <c r="NZ1450" s="29"/>
      <c r="OA1450" s="29"/>
      <c r="OB1450" s="29"/>
      <c r="OC1450" s="29"/>
      <c r="OD1450" s="29"/>
      <c r="OE1450" s="29"/>
      <c r="OF1450" s="29"/>
      <c r="OG1450" s="29"/>
      <c r="OH1450" s="29"/>
      <c r="OI1450" s="29"/>
      <c r="OJ1450" s="29"/>
      <c r="OK1450" s="29"/>
      <c r="OL1450" s="29"/>
      <c r="OM1450" s="29"/>
      <c r="ON1450" s="29"/>
      <c r="OO1450" s="29"/>
      <c r="OP1450" s="29"/>
      <c r="OQ1450" s="29"/>
      <c r="OR1450" s="29"/>
      <c r="OS1450" s="29"/>
      <c r="OT1450" s="29"/>
      <c r="OU1450" s="29"/>
      <c r="OV1450" s="29"/>
      <c r="OW1450" s="29"/>
      <c r="OX1450" s="29"/>
      <c r="OY1450" s="29"/>
      <c r="OZ1450" s="29"/>
      <c r="PA1450" s="29"/>
      <c r="PB1450" s="29"/>
      <c r="PC1450" s="29"/>
      <c r="PD1450" s="29"/>
      <c r="PE1450" s="29"/>
      <c r="PF1450" s="29"/>
      <c r="PG1450" s="29"/>
      <c r="PH1450" s="29"/>
      <c r="PI1450" s="29"/>
      <c r="PJ1450" s="29"/>
      <c r="PK1450" s="29"/>
      <c r="PL1450" s="29"/>
      <c r="PM1450" s="29"/>
      <c r="PN1450" s="29"/>
      <c r="PO1450" s="29"/>
      <c r="PP1450" s="29"/>
      <c r="PQ1450" s="29"/>
      <c r="PR1450" s="29"/>
      <c r="PS1450" s="29"/>
      <c r="PT1450" s="29"/>
      <c r="PU1450" s="29"/>
      <c r="PV1450" s="29"/>
      <c r="PW1450" s="29"/>
      <c r="PX1450" s="29"/>
      <c r="PY1450" s="29"/>
      <c r="PZ1450" s="29"/>
      <c r="QA1450" s="29"/>
      <c r="QB1450" s="29"/>
      <c r="QC1450" s="29"/>
      <c r="QD1450" s="29"/>
      <c r="QE1450" s="29"/>
      <c r="QF1450" s="29"/>
      <c r="QG1450" s="29"/>
      <c r="QH1450" s="29"/>
      <c r="QI1450" s="29"/>
      <c r="QJ1450" s="29"/>
      <c r="QK1450" s="29"/>
      <c r="QL1450" s="29"/>
      <c r="QM1450" s="29"/>
      <c r="QN1450" s="29"/>
      <c r="QO1450" s="29"/>
      <c r="QP1450" s="29"/>
      <c r="QQ1450" s="29"/>
      <c r="QR1450" s="29"/>
      <c r="QS1450" s="29"/>
      <c r="QT1450" s="29"/>
      <c r="QU1450" s="29"/>
      <c r="QV1450" s="29"/>
      <c r="QW1450" s="29"/>
      <c r="QX1450" s="29"/>
      <c r="QY1450" s="29"/>
      <c r="QZ1450" s="29"/>
      <c r="RA1450" s="29"/>
      <c r="RB1450" s="29"/>
      <c r="RC1450" s="29"/>
      <c r="RD1450" s="29"/>
      <c r="RE1450" s="29"/>
      <c r="RF1450" s="29"/>
      <c r="RG1450" s="29"/>
      <c r="RH1450" s="29"/>
      <c r="RI1450" s="29"/>
      <c r="RJ1450" s="29"/>
      <c r="RK1450" s="29"/>
      <c r="RL1450" s="29"/>
      <c r="RM1450" s="29"/>
      <c r="RN1450" s="29"/>
      <c r="RO1450" s="29"/>
      <c r="RP1450" s="29"/>
      <c r="RQ1450" s="29"/>
      <c r="RR1450" s="29"/>
      <c r="RS1450" s="29"/>
      <c r="RT1450" s="29"/>
      <c r="RU1450" s="29"/>
      <c r="RV1450" s="29"/>
      <c r="RW1450" s="29"/>
      <c r="RX1450" s="29"/>
      <c r="RY1450" s="29"/>
      <c r="RZ1450" s="29"/>
      <c r="SA1450" s="29"/>
      <c r="SB1450" s="29"/>
      <c r="SC1450" s="29"/>
      <c r="SD1450" s="29"/>
      <c r="SE1450" s="29"/>
      <c r="SF1450" s="29"/>
      <c r="SG1450" s="29"/>
      <c r="SH1450" s="29"/>
      <c r="SI1450" s="29"/>
      <c r="SJ1450" s="29"/>
      <c r="SK1450" s="29"/>
      <c r="SL1450" s="29"/>
      <c r="SM1450" s="29"/>
      <c r="SN1450" s="29"/>
      <c r="SO1450" s="29"/>
      <c r="SP1450" s="29"/>
      <c r="SQ1450" s="29"/>
      <c r="SR1450" s="29"/>
      <c r="SS1450" s="29"/>
      <c r="ST1450" s="29"/>
      <c r="SU1450" s="29"/>
      <c r="SV1450" s="29"/>
      <c r="SW1450" s="29"/>
      <c r="SX1450" s="29"/>
      <c r="SY1450" s="29"/>
      <c r="SZ1450" s="29"/>
      <c r="TA1450" s="29"/>
      <c r="TB1450" s="29"/>
      <c r="TC1450" s="29"/>
      <c r="TD1450" s="29"/>
      <c r="TE1450" s="29"/>
      <c r="TF1450" s="29"/>
      <c r="TG1450" s="29"/>
      <c r="TH1450" s="29"/>
      <c r="TI1450" s="29"/>
      <c r="TJ1450" s="29"/>
      <c r="TK1450" s="29"/>
      <c r="TL1450" s="29"/>
      <c r="TM1450" s="29"/>
      <c r="TN1450" s="29"/>
      <c r="TO1450" s="29"/>
      <c r="TP1450" s="29"/>
      <c r="TQ1450" s="29"/>
      <c r="TR1450" s="29"/>
      <c r="TS1450" s="29"/>
      <c r="TT1450" s="29"/>
      <c r="TU1450" s="29"/>
      <c r="TV1450" s="29"/>
      <c r="TW1450" s="29"/>
      <c r="TX1450" s="29"/>
      <c r="TY1450" s="29"/>
      <c r="TZ1450" s="29"/>
      <c r="UA1450" s="29"/>
      <c r="UB1450" s="29"/>
      <c r="UC1450" s="29"/>
      <c r="UD1450" s="29"/>
      <c r="UE1450" s="29"/>
      <c r="UF1450" s="29"/>
      <c r="UG1450" s="29"/>
    </row>
    <row r="1451" spans="1:553" ht="25.15" customHeight="1">
      <c r="A1451" s="356" t="s">
        <v>15</v>
      </c>
      <c r="B1451" s="385" t="s">
        <v>35</v>
      </c>
      <c r="C1451" s="1535" t="s">
        <v>781</v>
      </c>
      <c r="D1451" s="1389"/>
      <c r="E1451" s="1389"/>
      <c r="F1451" s="1390"/>
      <c r="G1451" s="417" t="s">
        <v>1303</v>
      </c>
      <c r="H1451" s="370"/>
      <c r="I1451" s="422">
        <f>0.4*2*6</f>
        <v>4.8000000000000007</v>
      </c>
      <c r="J1451" s="368">
        <v>39000</v>
      </c>
      <c r="K1451" s="371"/>
      <c r="L1451" s="487">
        <f t="shared" si="222"/>
        <v>187200</v>
      </c>
      <c r="M1451" s="395"/>
      <c r="N1451" s="395"/>
      <c r="O1451" s="366"/>
      <c r="P1451" s="396"/>
      <c r="Q1451" s="473"/>
      <c r="R1451" s="1039"/>
      <c r="S1451" s="308"/>
      <c r="T1451" s="308"/>
      <c r="U1451" s="308"/>
      <c r="V1451" s="308"/>
      <c r="W1451" s="308"/>
      <c r="X1451" s="308"/>
      <c r="Y1451" s="308"/>
      <c r="Z1451" s="604"/>
      <c r="AA1451" s="308"/>
      <c r="AB1451" s="308"/>
      <c r="AC1451" s="486"/>
      <c r="AD1451" s="486"/>
      <c r="AE1451" s="486"/>
      <c r="AF1451" s="486"/>
      <c r="AG1451" s="486"/>
      <c r="AH1451" s="486"/>
      <c r="AI1451" s="486"/>
      <c r="AJ1451" s="486"/>
      <c r="AK1451" s="486"/>
      <c r="AL1451" s="206"/>
      <c r="AM1451" s="29"/>
      <c r="AN1451" s="29"/>
      <c r="AO1451" s="29"/>
      <c r="AP1451" s="29"/>
      <c r="AQ1451" s="29"/>
      <c r="AR1451" s="29"/>
      <c r="AS1451" s="29"/>
      <c r="AT1451" s="29"/>
      <c r="AU1451" s="29"/>
      <c r="AV1451" s="29"/>
      <c r="AW1451" s="29"/>
      <c r="AX1451" s="29"/>
      <c r="AY1451" s="29"/>
      <c r="AZ1451" s="29"/>
      <c r="BA1451" s="29"/>
      <c r="BB1451" s="29"/>
      <c r="BC1451" s="29"/>
      <c r="BD1451" s="29"/>
      <c r="BE1451" s="29"/>
      <c r="BF1451" s="29"/>
      <c r="BG1451" s="29"/>
      <c r="BH1451" s="29"/>
      <c r="BI1451" s="29"/>
      <c r="BJ1451" s="29"/>
      <c r="BK1451" s="29"/>
      <c r="BL1451" s="29"/>
      <c r="BM1451" s="29"/>
      <c r="BN1451" s="29"/>
      <c r="BO1451" s="29"/>
      <c r="BP1451" s="29"/>
      <c r="BQ1451" s="29"/>
      <c r="BR1451" s="29"/>
      <c r="BS1451" s="29"/>
      <c r="BT1451" s="29"/>
      <c r="BU1451" s="29"/>
      <c r="BV1451" s="29"/>
      <c r="BW1451" s="29"/>
      <c r="BX1451" s="29"/>
      <c r="BY1451" s="29"/>
      <c r="BZ1451" s="29"/>
      <c r="CA1451" s="29"/>
      <c r="CB1451" s="29"/>
      <c r="CC1451" s="29"/>
      <c r="CD1451" s="29"/>
      <c r="CE1451" s="29"/>
      <c r="CF1451" s="29"/>
      <c r="CG1451" s="29"/>
      <c r="CH1451" s="29"/>
      <c r="CI1451" s="29"/>
      <c r="CJ1451" s="29"/>
      <c r="CK1451" s="29"/>
      <c r="CL1451" s="29"/>
      <c r="CM1451" s="29"/>
      <c r="CN1451" s="29"/>
      <c r="CO1451" s="29"/>
      <c r="CP1451" s="29"/>
      <c r="CQ1451" s="29"/>
      <c r="CR1451" s="29"/>
      <c r="CS1451" s="29"/>
      <c r="CT1451" s="29"/>
      <c r="CU1451" s="29"/>
      <c r="CV1451" s="29"/>
      <c r="CW1451" s="29"/>
      <c r="CX1451" s="29"/>
      <c r="CY1451" s="29"/>
      <c r="CZ1451" s="29"/>
      <c r="DA1451" s="29"/>
      <c r="DB1451" s="29"/>
      <c r="DC1451" s="29"/>
      <c r="DD1451" s="29"/>
      <c r="DE1451" s="29"/>
      <c r="DF1451" s="29"/>
      <c r="DG1451" s="29"/>
      <c r="DH1451" s="29"/>
      <c r="DI1451" s="29"/>
      <c r="DJ1451" s="29"/>
      <c r="DK1451" s="29"/>
      <c r="DL1451" s="29"/>
      <c r="DM1451" s="29"/>
      <c r="DN1451" s="29"/>
      <c r="DO1451" s="29"/>
      <c r="DP1451" s="29"/>
      <c r="DQ1451" s="29"/>
      <c r="DR1451" s="29"/>
      <c r="DS1451" s="29"/>
      <c r="DT1451" s="29"/>
      <c r="DU1451" s="29"/>
      <c r="DV1451" s="29"/>
      <c r="DW1451" s="29"/>
      <c r="DX1451" s="29"/>
      <c r="DY1451" s="29"/>
      <c r="DZ1451" s="29"/>
      <c r="EA1451" s="29"/>
      <c r="EB1451" s="29"/>
      <c r="EC1451" s="29"/>
      <c r="ED1451" s="29"/>
      <c r="EE1451" s="29"/>
      <c r="EF1451" s="29"/>
      <c r="EG1451" s="29"/>
      <c r="EH1451" s="29"/>
      <c r="EI1451" s="29"/>
      <c r="EJ1451" s="29"/>
      <c r="EK1451" s="29"/>
      <c r="EL1451" s="29"/>
      <c r="EM1451" s="29"/>
      <c r="EN1451" s="29"/>
      <c r="EO1451" s="29"/>
      <c r="EP1451" s="29"/>
      <c r="EQ1451" s="29"/>
      <c r="ER1451" s="29"/>
      <c r="ES1451" s="29"/>
      <c r="ET1451" s="29"/>
      <c r="EU1451" s="29"/>
      <c r="EV1451" s="29"/>
      <c r="EW1451" s="29"/>
      <c r="EX1451" s="29"/>
      <c r="EY1451" s="29"/>
      <c r="EZ1451" s="29"/>
      <c r="FA1451" s="29"/>
      <c r="FB1451" s="29"/>
      <c r="FC1451" s="29"/>
      <c r="FD1451" s="29"/>
      <c r="FE1451" s="29"/>
      <c r="FF1451" s="29"/>
      <c r="FG1451" s="29"/>
      <c r="FH1451" s="29"/>
      <c r="FI1451" s="29"/>
      <c r="FJ1451" s="29"/>
      <c r="FK1451" s="29"/>
      <c r="FL1451" s="29"/>
      <c r="FM1451" s="29"/>
      <c r="FN1451" s="29"/>
      <c r="FO1451" s="29"/>
      <c r="FP1451" s="29"/>
      <c r="FQ1451" s="29"/>
      <c r="FR1451" s="29"/>
      <c r="FS1451" s="29"/>
      <c r="FT1451" s="29"/>
      <c r="FU1451" s="29"/>
      <c r="FV1451" s="29"/>
      <c r="FW1451" s="29"/>
      <c r="FX1451" s="29"/>
      <c r="FY1451" s="29"/>
      <c r="FZ1451" s="29"/>
      <c r="GA1451" s="29"/>
      <c r="GB1451" s="29"/>
      <c r="GC1451" s="29"/>
      <c r="GD1451" s="29"/>
      <c r="GE1451" s="29"/>
      <c r="GF1451" s="29"/>
      <c r="GG1451" s="29"/>
      <c r="GH1451" s="29"/>
      <c r="GI1451" s="29"/>
      <c r="GJ1451" s="29"/>
      <c r="GK1451" s="29"/>
      <c r="GL1451" s="29"/>
      <c r="GM1451" s="29"/>
      <c r="GN1451" s="29"/>
      <c r="GO1451" s="29"/>
      <c r="GP1451" s="29"/>
      <c r="GQ1451" s="29"/>
      <c r="GR1451" s="29"/>
      <c r="GS1451" s="29"/>
      <c r="GT1451" s="29"/>
      <c r="GU1451" s="29"/>
      <c r="GV1451" s="29"/>
      <c r="GW1451" s="29"/>
      <c r="GX1451" s="29"/>
      <c r="GY1451" s="29"/>
      <c r="GZ1451" s="29"/>
      <c r="HA1451" s="29"/>
      <c r="HB1451" s="29"/>
      <c r="HC1451" s="29"/>
      <c r="HD1451" s="29"/>
      <c r="HE1451" s="29"/>
      <c r="HF1451" s="29"/>
      <c r="HG1451" s="29"/>
      <c r="HH1451" s="29"/>
      <c r="HI1451" s="29"/>
      <c r="HJ1451" s="29"/>
      <c r="HK1451" s="29"/>
      <c r="HL1451" s="29"/>
      <c r="HM1451" s="29"/>
      <c r="HN1451" s="29"/>
      <c r="HO1451" s="29"/>
      <c r="HP1451" s="29"/>
      <c r="HQ1451" s="29"/>
      <c r="HR1451" s="29"/>
      <c r="HS1451" s="29"/>
      <c r="HT1451" s="29"/>
      <c r="HU1451" s="29"/>
      <c r="HV1451" s="29"/>
      <c r="HW1451" s="29"/>
      <c r="HX1451" s="29"/>
      <c r="HY1451" s="29"/>
      <c r="HZ1451" s="29"/>
      <c r="IA1451" s="29"/>
      <c r="IB1451" s="29"/>
      <c r="IC1451" s="29"/>
      <c r="ID1451" s="29"/>
      <c r="IE1451" s="29"/>
      <c r="IF1451" s="29"/>
      <c r="IG1451" s="29"/>
      <c r="IH1451" s="29"/>
      <c r="II1451" s="29"/>
      <c r="IJ1451" s="29"/>
      <c r="IK1451" s="29"/>
      <c r="IL1451" s="29"/>
      <c r="IM1451" s="29"/>
      <c r="IN1451" s="29"/>
      <c r="IO1451" s="29"/>
      <c r="IP1451" s="29"/>
      <c r="IQ1451" s="29"/>
      <c r="IR1451" s="29"/>
      <c r="IS1451" s="29"/>
      <c r="IT1451" s="29"/>
      <c r="IU1451" s="29"/>
      <c r="IV1451" s="29"/>
      <c r="IW1451" s="29"/>
      <c r="IX1451" s="29"/>
      <c r="IY1451" s="29"/>
      <c r="IZ1451" s="29"/>
      <c r="JA1451" s="29"/>
      <c r="JB1451" s="29"/>
      <c r="JC1451" s="29"/>
      <c r="JD1451" s="29"/>
      <c r="JE1451" s="29"/>
      <c r="JF1451" s="29"/>
      <c r="JG1451" s="29"/>
      <c r="JH1451" s="29"/>
      <c r="JI1451" s="29"/>
      <c r="JJ1451" s="29"/>
      <c r="JK1451" s="29"/>
      <c r="JL1451" s="29"/>
      <c r="JM1451" s="29"/>
      <c r="JN1451" s="29"/>
      <c r="JO1451" s="29"/>
      <c r="JP1451" s="29"/>
      <c r="JQ1451" s="29"/>
      <c r="JR1451" s="29"/>
      <c r="JS1451" s="29"/>
      <c r="JT1451" s="29"/>
      <c r="JU1451" s="29"/>
      <c r="JV1451" s="29"/>
      <c r="JW1451" s="29"/>
      <c r="JX1451" s="29"/>
      <c r="JY1451" s="29"/>
      <c r="JZ1451" s="29"/>
      <c r="KA1451" s="29"/>
      <c r="KB1451" s="29"/>
      <c r="KC1451" s="29"/>
      <c r="KD1451" s="29"/>
      <c r="KE1451" s="29"/>
      <c r="KF1451" s="29"/>
      <c r="KG1451" s="29"/>
      <c r="KH1451" s="29"/>
      <c r="KI1451" s="29"/>
      <c r="KJ1451" s="29"/>
      <c r="KK1451" s="29"/>
      <c r="KL1451" s="29"/>
      <c r="KM1451" s="29"/>
      <c r="KN1451" s="29"/>
      <c r="KO1451" s="29"/>
      <c r="KP1451" s="29"/>
      <c r="KQ1451" s="29"/>
      <c r="KR1451" s="29"/>
      <c r="KS1451" s="29"/>
      <c r="KT1451" s="29"/>
      <c r="KU1451" s="29"/>
      <c r="KV1451" s="29"/>
      <c r="KW1451" s="29"/>
      <c r="KX1451" s="29"/>
      <c r="KY1451" s="29"/>
      <c r="KZ1451" s="29"/>
      <c r="LA1451" s="29"/>
      <c r="LB1451" s="29"/>
      <c r="LC1451" s="29"/>
      <c r="LD1451" s="29"/>
      <c r="LE1451" s="29"/>
      <c r="LF1451" s="29"/>
      <c r="LG1451" s="29"/>
      <c r="LH1451" s="29"/>
      <c r="LI1451" s="29"/>
      <c r="LJ1451" s="29"/>
      <c r="LK1451" s="29"/>
      <c r="LL1451" s="29"/>
      <c r="LM1451" s="29"/>
      <c r="LN1451" s="29"/>
      <c r="LO1451" s="29"/>
      <c r="LP1451" s="29"/>
      <c r="LQ1451" s="29"/>
      <c r="LR1451" s="29"/>
      <c r="LS1451" s="29"/>
      <c r="LT1451" s="29"/>
      <c r="LU1451" s="29"/>
      <c r="LV1451" s="29"/>
      <c r="LW1451" s="29"/>
      <c r="LX1451" s="29"/>
      <c r="LY1451" s="29"/>
      <c r="LZ1451" s="29"/>
      <c r="MA1451" s="29"/>
      <c r="MB1451" s="29"/>
      <c r="MC1451" s="29"/>
      <c r="MD1451" s="29"/>
      <c r="ME1451" s="29"/>
      <c r="MF1451" s="29"/>
      <c r="MG1451" s="29"/>
      <c r="MH1451" s="29"/>
      <c r="MI1451" s="29"/>
      <c r="MJ1451" s="29"/>
      <c r="MK1451" s="29"/>
      <c r="ML1451" s="29"/>
      <c r="MM1451" s="29"/>
      <c r="MN1451" s="29"/>
      <c r="MO1451" s="29"/>
      <c r="MP1451" s="29"/>
      <c r="MQ1451" s="29"/>
      <c r="MR1451" s="29"/>
      <c r="MS1451" s="29"/>
      <c r="MT1451" s="29"/>
      <c r="MU1451" s="29"/>
      <c r="MV1451" s="29"/>
      <c r="MW1451" s="29"/>
      <c r="MX1451" s="29"/>
      <c r="MY1451" s="29"/>
      <c r="MZ1451" s="29"/>
      <c r="NA1451" s="29"/>
      <c r="NB1451" s="29"/>
      <c r="NC1451" s="29"/>
      <c r="ND1451" s="29"/>
      <c r="NE1451" s="29"/>
      <c r="NF1451" s="29"/>
      <c r="NG1451" s="29"/>
      <c r="NH1451" s="29"/>
      <c r="NI1451" s="29"/>
      <c r="NJ1451" s="29"/>
      <c r="NK1451" s="29"/>
      <c r="NL1451" s="29"/>
      <c r="NM1451" s="29"/>
      <c r="NN1451" s="29"/>
      <c r="NO1451" s="29"/>
      <c r="NP1451" s="29"/>
      <c r="NQ1451" s="29"/>
      <c r="NR1451" s="29"/>
      <c r="NS1451" s="29"/>
      <c r="NT1451" s="29"/>
      <c r="NU1451" s="29"/>
      <c r="NV1451" s="29"/>
      <c r="NW1451" s="29"/>
      <c r="NX1451" s="29"/>
      <c r="NY1451" s="29"/>
      <c r="NZ1451" s="29"/>
      <c r="OA1451" s="29"/>
      <c r="OB1451" s="29"/>
      <c r="OC1451" s="29"/>
      <c r="OD1451" s="29"/>
      <c r="OE1451" s="29"/>
      <c r="OF1451" s="29"/>
      <c r="OG1451" s="29"/>
      <c r="OH1451" s="29"/>
      <c r="OI1451" s="29"/>
      <c r="OJ1451" s="29"/>
      <c r="OK1451" s="29"/>
      <c r="OL1451" s="29"/>
      <c r="OM1451" s="29"/>
      <c r="ON1451" s="29"/>
      <c r="OO1451" s="29"/>
      <c r="OP1451" s="29"/>
      <c r="OQ1451" s="29"/>
      <c r="OR1451" s="29"/>
      <c r="OS1451" s="29"/>
      <c r="OT1451" s="29"/>
      <c r="OU1451" s="29"/>
      <c r="OV1451" s="29"/>
      <c r="OW1451" s="29"/>
      <c r="OX1451" s="29"/>
      <c r="OY1451" s="29"/>
      <c r="OZ1451" s="29"/>
      <c r="PA1451" s="29"/>
      <c r="PB1451" s="29"/>
      <c r="PC1451" s="29"/>
      <c r="PD1451" s="29"/>
      <c r="PE1451" s="29"/>
      <c r="PF1451" s="29"/>
      <c r="PG1451" s="29"/>
      <c r="PH1451" s="29"/>
      <c r="PI1451" s="29"/>
      <c r="PJ1451" s="29"/>
      <c r="PK1451" s="29"/>
      <c r="PL1451" s="29"/>
      <c r="PM1451" s="29"/>
      <c r="PN1451" s="29"/>
      <c r="PO1451" s="29"/>
      <c r="PP1451" s="29"/>
      <c r="PQ1451" s="29"/>
      <c r="PR1451" s="29"/>
      <c r="PS1451" s="29"/>
      <c r="PT1451" s="29"/>
      <c r="PU1451" s="29"/>
      <c r="PV1451" s="29"/>
      <c r="PW1451" s="29"/>
      <c r="PX1451" s="29"/>
      <c r="PY1451" s="29"/>
      <c r="PZ1451" s="29"/>
      <c r="QA1451" s="29"/>
      <c r="QB1451" s="29"/>
      <c r="QC1451" s="29"/>
      <c r="QD1451" s="29"/>
      <c r="QE1451" s="29"/>
      <c r="QF1451" s="29"/>
      <c r="QG1451" s="29"/>
      <c r="QH1451" s="29"/>
      <c r="QI1451" s="29"/>
      <c r="QJ1451" s="29"/>
      <c r="QK1451" s="29"/>
      <c r="QL1451" s="29"/>
      <c r="QM1451" s="29"/>
      <c r="QN1451" s="29"/>
      <c r="QO1451" s="29"/>
      <c r="QP1451" s="29"/>
      <c r="QQ1451" s="29"/>
      <c r="QR1451" s="29"/>
      <c r="QS1451" s="29"/>
      <c r="QT1451" s="29"/>
      <c r="QU1451" s="29"/>
      <c r="QV1451" s="29"/>
      <c r="QW1451" s="29"/>
      <c r="QX1451" s="29"/>
      <c r="QY1451" s="29"/>
      <c r="QZ1451" s="29"/>
      <c r="RA1451" s="29"/>
      <c r="RB1451" s="29"/>
      <c r="RC1451" s="29"/>
      <c r="RD1451" s="29"/>
      <c r="RE1451" s="29"/>
      <c r="RF1451" s="29"/>
      <c r="RG1451" s="29"/>
      <c r="RH1451" s="29"/>
      <c r="RI1451" s="29"/>
      <c r="RJ1451" s="29"/>
      <c r="RK1451" s="29"/>
      <c r="RL1451" s="29"/>
      <c r="RM1451" s="29"/>
      <c r="RN1451" s="29"/>
      <c r="RO1451" s="29"/>
      <c r="RP1451" s="29"/>
      <c r="RQ1451" s="29"/>
      <c r="RR1451" s="29"/>
      <c r="RS1451" s="29"/>
      <c r="RT1451" s="29"/>
      <c r="RU1451" s="29"/>
      <c r="RV1451" s="29"/>
      <c r="RW1451" s="29"/>
      <c r="RX1451" s="29"/>
      <c r="RY1451" s="29"/>
      <c r="RZ1451" s="29"/>
      <c r="SA1451" s="29"/>
      <c r="SB1451" s="29"/>
      <c r="SC1451" s="29"/>
      <c r="SD1451" s="29"/>
      <c r="SE1451" s="29"/>
      <c r="SF1451" s="29"/>
      <c r="SG1451" s="29"/>
      <c r="SH1451" s="29"/>
      <c r="SI1451" s="29"/>
      <c r="SJ1451" s="29"/>
      <c r="SK1451" s="29"/>
      <c r="SL1451" s="29"/>
      <c r="SM1451" s="29"/>
      <c r="SN1451" s="29"/>
      <c r="SO1451" s="29"/>
      <c r="SP1451" s="29"/>
      <c r="SQ1451" s="29"/>
      <c r="SR1451" s="29"/>
      <c r="SS1451" s="29"/>
      <c r="ST1451" s="29"/>
      <c r="SU1451" s="29"/>
      <c r="SV1451" s="29"/>
      <c r="SW1451" s="29"/>
      <c r="SX1451" s="29"/>
      <c r="SY1451" s="29"/>
      <c r="SZ1451" s="29"/>
      <c r="TA1451" s="29"/>
      <c r="TB1451" s="29"/>
      <c r="TC1451" s="29"/>
      <c r="TD1451" s="29"/>
      <c r="TE1451" s="29"/>
      <c r="TF1451" s="29"/>
      <c r="TG1451" s="29"/>
      <c r="TH1451" s="29"/>
      <c r="TI1451" s="29"/>
      <c r="TJ1451" s="29"/>
      <c r="TK1451" s="29"/>
      <c r="TL1451" s="29"/>
      <c r="TM1451" s="29"/>
      <c r="TN1451" s="29"/>
      <c r="TO1451" s="29"/>
      <c r="TP1451" s="29"/>
      <c r="TQ1451" s="29"/>
      <c r="TR1451" s="29"/>
      <c r="TS1451" s="29"/>
      <c r="TT1451" s="29"/>
      <c r="TU1451" s="29"/>
      <c r="TV1451" s="29"/>
      <c r="TW1451" s="29"/>
      <c r="TX1451" s="29"/>
      <c r="TY1451" s="29"/>
      <c r="TZ1451" s="29"/>
      <c r="UA1451" s="29"/>
      <c r="UB1451" s="29"/>
      <c r="UC1451" s="29"/>
      <c r="UD1451" s="29"/>
      <c r="UE1451" s="29"/>
      <c r="UF1451" s="29"/>
      <c r="UG1451" s="29"/>
    </row>
    <row r="1452" spans="1:553" ht="25.15" customHeight="1">
      <c r="A1452" s="356" t="s">
        <v>15</v>
      </c>
      <c r="B1452" s="385" t="s">
        <v>35</v>
      </c>
      <c r="C1452" s="1535" t="s">
        <v>782</v>
      </c>
      <c r="D1452" s="1389"/>
      <c r="E1452" s="1389"/>
      <c r="F1452" s="1390"/>
      <c r="G1452" s="417" t="s">
        <v>1303</v>
      </c>
      <c r="H1452" s="370"/>
      <c r="I1452" s="834">
        <f>0.4*5.3*8</f>
        <v>16.96</v>
      </c>
      <c r="J1452" s="368">
        <v>39000</v>
      </c>
      <c r="K1452" s="371"/>
      <c r="L1452" s="487">
        <f t="shared" si="222"/>
        <v>661440</v>
      </c>
      <c r="M1452" s="395"/>
      <c r="N1452" s="395"/>
      <c r="O1452" s="366"/>
      <c r="P1452" s="396"/>
      <c r="Q1452" s="473"/>
      <c r="R1452" s="1039"/>
      <c r="S1452" s="308"/>
      <c r="T1452" s="308"/>
      <c r="U1452" s="308"/>
      <c r="V1452" s="308"/>
      <c r="W1452" s="308"/>
      <c r="X1452" s="308"/>
      <c r="Y1452" s="308"/>
      <c r="Z1452" s="604"/>
      <c r="AA1452" s="308"/>
      <c r="AB1452" s="308"/>
      <c r="AC1452" s="486"/>
      <c r="AD1452" s="486"/>
      <c r="AE1452" s="486"/>
      <c r="AF1452" s="486"/>
      <c r="AG1452" s="486"/>
      <c r="AH1452" s="486"/>
      <c r="AI1452" s="486"/>
      <c r="AJ1452" s="486"/>
      <c r="AK1452" s="486"/>
      <c r="AL1452" s="206"/>
      <c r="AM1452" s="29"/>
      <c r="AN1452" s="29"/>
      <c r="AO1452" s="29"/>
      <c r="AP1452" s="29"/>
      <c r="AQ1452" s="29"/>
      <c r="AR1452" s="29"/>
      <c r="AS1452" s="29"/>
      <c r="AT1452" s="29"/>
      <c r="AU1452" s="29"/>
      <c r="AV1452" s="29"/>
      <c r="AW1452" s="29"/>
      <c r="AX1452" s="29"/>
      <c r="AY1452" s="29"/>
      <c r="AZ1452" s="29"/>
      <c r="BA1452" s="29"/>
      <c r="BB1452" s="29"/>
      <c r="BC1452" s="29"/>
      <c r="BD1452" s="29"/>
      <c r="BE1452" s="29"/>
      <c r="BF1452" s="29"/>
      <c r="BG1452" s="29"/>
      <c r="BH1452" s="29"/>
      <c r="BI1452" s="29"/>
      <c r="BJ1452" s="29"/>
      <c r="BK1452" s="29"/>
      <c r="BL1452" s="29"/>
      <c r="BM1452" s="29"/>
      <c r="BN1452" s="29"/>
      <c r="BO1452" s="29"/>
      <c r="BP1452" s="29"/>
      <c r="BQ1452" s="29"/>
      <c r="BR1452" s="29"/>
      <c r="BS1452" s="29"/>
      <c r="BT1452" s="29"/>
      <c r="BU1452" s="29"/>
      <c r="BV1452" s="29"/>
      <c r="BW1452" s="29"/>
      <c r="BX1452" s="29"/>
      <c r="BY1452" s="29"/>
      <c r="BZ1452" s="29"/>
      <c r="CA1452" s="29"/>
      <c r="CB1452" s="29"/>
      <c r="CC1452" s="29"/>
      <c r="CD1452" s="29"/>
      <c r="CE1452" s="29"/>
      <c r="CF1452" s="29"/>
      <c r="CG1452" s="29"/>
      <c r="CH1452" s="29"/>
      <c r="CI1452" s="29"/>
      <c r="CJ1452" s="29"/>
      <c r="CK1452" s="29"/>
      <c r="CL1452" s="29"/>
      <c r="CM1452" s="29"/>
      <c r="CN1452" s="29"/>
      <c r="CO1452" s="29"/>
      <c r="CP1452" s="29"/>
      <c r="CQ1452" s="29"/>
      <c r="CR1452" s="29"/>
      <c r="CS1452" s="29"/>
      <c r="CT1452" s="29"/>
      <c r="CU1452" s="29"/>
      <c r="CV1452" s="29"/>
      <c r="CW1452" s="29"/>
      <c r="CX1452" s="29"/>
      <c r="CY1452" s="29"/>
      <c r="CZ1452" s="29"/>
      <c r="DA1452" s="29"/>
      <c r="DB1452" s="29"/>
      <c r="DC1452" s="29"/>
      <c r="DD1452" s="29"/>
      <c r="DE1452" s="29"/>
      <c r="DF1452" s="29"/>
      <c r="DG1452" s="29"/>
      <c r="DH1452" s="29"/>
      <c r="DI1452" s="29"/>
      <c r="DJ1452" s="29"/>
      <c r="DK1452" s="29"/>
      <c r="DL1452" s="29"/>
      <c r="DM1452" s="29"/>
      <c r="DN1452" s="29"/>
      <c r="DO1452" s="29"/>
      <c r="DP1452" s="29"/>
      <c r="DQ1452" s="29"/>
      <c r="DR1452" s="29"/>
      <c r="DS1452" s="29"/>
      <c r="DT1452" s="29"/>
      <c r="DU1452" s="29"/>
      <c r="DV1452" s="29"/>
      <c r="DW1452" s="29"/>
      <c r="DX1452" s="29"/>
      <c r="DY1452" s="29"/>
      <c r="DZ1452" s="29"/>
      <c r="EA1452" s="29"/>
      <c r="EB1452" s="29"/>
      <c r="EC1452" s="29"/>
      <c r="ED1452" s="29"/>
      <c r="EE1452" s="29"/>
      <c r="EF1452" s="29"/>
      <c r="EG1452" s="29"/>
      <c r="EH1452" s="29"/>
      <c r="EI1452" s="29"/>
      <c r="EJ1452" s="29"/>
      <c r="EK1452" s="29"/>
      <c r="EL1452" s="29"/>
      <c r="EM1452" s="29"/>
      <c r="EN1452" s="29"/>
      <c r="EO1452" s="29"/>
      <c r="EP1452" s="29"/>
      <c r="EQ1452" s="29"/>
      <c r="ER1452" s="29"/>
      <c r="ES1452" s="29"/>
      <c r="ET1452" s="29"/>
      <c r="EU1452" s="29"/>
      <c r="EV1452" s="29"/>
      <c r="EW1452" s="29"/>
      <c r="EX1452" s="29"/>
      <c r="EY1452" s="29"/>
      <c r="EZ1452" s="29"/>
      <c r="FA1452" s="29"/>
      <c r="FB1452" s="29"/>
      <c r="FC1452" s="29"/>
      <c r="FD1452" s="29"/>
      <c r="FE1452" s="29"/>
      <c r="FF1452" s="29"/>
      <c r="FG1452" s="29"/>
      <c r="FH1452" s="29"/>
      <c r="FI1452" s="29"/>
      <c r="FJ1452" s="29"/>
      <c r="FK1452" s="29"/>
      <c r="FL1452" s="29"/>
      <c r="FM1452" s="29"/>
      <c r="FN1452" s="29"/>
      <c r="FO1452" s="29"/>
      <c r="FP1452" s="29"/>
      <c r="FQ1452" s="29"/>
      <c r="FR1452" s="29"/>
      <c r="FS1452" s="29"/>
      <c r="FT1452" s="29"/>
      <c r="FU1452" s="29"/>
      <c r="FV1452" s="29"/>
      <c r="FW1452" s="29"/>
      <c r="FX1452" s="29"/>
      <c r="FY1452" s="29"/>
      <c r="FZ1452" s="29"/>
      <c r="GA1452" s="29"/>
      <c r="GB1452" s="29"/>
      <c r="GC1452" s="29"/>
      <c r="GD1452" s="29"/>
      <c r="GE1452" s="29"/>
      <c r="GF1452" s="29"/>
      <c r="GG1452" s="29"/>
      <c r="GH1452" s="29"/>
      <c r="GI1452" s="29"/>
      <c r="GJ1452" s="29"/>
      <c r="GK1452" s="29"/>
      <c r="GL1452" s="29"/>
      <c r="GM1452" s="29"/>
      <c r="GN1452" s="29"/>
      <c r="GO1452" s="29"/>
      <c r="GP1452" s="29"/>
      <c r="GQ1452" s="29"/>
      <c r="GR1452" s="29"/>
      <c r="GS1452" s="29"/>
      <c r="GT1452" s="29"/>
      <c r="GU1452" s="29"/>
      <c r="GV1452" s="29"/>
      <c r="GW1452" s="29"/>
      <c r="GX1452" s="29"/>
      <c r="GY1452" s="29"/>
      <c r="GZ1452" s="29"/>
      <c r="HA1452" s="29"/>
      <c r="HB1452" s="29"/>
      <c r="HC1452" s="29"/>
      <c r="HD1452" s="29"/>
      <c r="HE1452" s="29"/>
      <c r="HF1452" s="29"/>
      <c r="HG1452" s="29"/>
      <c r="HH1452" s="29"/>
      <c r="HI1452" s="29"/>
      <c r="HJ1452" s="29"/>
      <c r="HK1452" s="29"/>
      <c r="HL1452" s="29"/>
      <c r="HM1452" s="29"/>
      <c r="HN1452" s="29"/>
      <c r="HO1452" s="29"/>
      <c r="HP1452" s="29"/>
      <c r="HQ1452" s="29"/>
      <c r="HR1452" s="29"/>
      <c r="HS1452" s="29"/>
      <c r="HT1452" s="29"/>
      <c r="HU1452" s="29"/>
      <c r="HV1452" s="29"/>
      <c r="HW1452" s="29"/>
      <c r="HX1452" s="29"/>
      <c r="HY1452" s="29"/>
      <c r="HZ1452" s="29"/>
      <c r="IA1452" s="29"/>
      <c r="IB1452" s="29"/>
      <c r="IC1452" s="29"/>
      <c r="ID1452" s="29"/>
      <c r="IE1452" s="29"/>
      <c r="IF1452" s="29"/>
      <c r="IG1452" s="29"/>
      <c r="IH1452" s="29"/>
      <c r="II1452" s="29"/>
      <c r="IJ1452" s="29"/>
      <c r="IK1452" s="29"/>
      <c r="IL1452" s="29"/>
      <c r="IM1452" s="29"/>
      <c r="IN1452" s="29"/>
      <c r="IO1452" s="29"/>
      <c r="IP1452" s="29"/>
      <c r="IQ1452" s="29"/>
      <c r="IR1452" s="29"/>
      <c r="IS1452" s="29"/>
      <c r="IT1452" s="29"/>
      <c r="IU1452" s="29"/>
      <c r="IV1452" s="29"/>
      <c r="IW1452" s="29"/>
      <c r="IX1452" s="29"/>
      <c r="IY1452" s="29"/>
      <c r="IZ1452" s="29"/>
      <c r="JA1452" s="29"/>
      <c r="JB1452" s="29"/>
      <c r="JC1452" s="29"/>
      <c r="JD1452" s="29"/>
      <c r="JE1452" s="29"/>
      <c r="JF1452" s="29"/>
      <c r="JG1452" s="29"/>
      <c r="JH1452" s="29"/>
      <c r="JI1452" s="29"/>
      <c r="JJ1452" s="29"/>
      <c r="JK1452" s="29"/>
      <c r="JL1452" s="29"/>
      <c r="JM1452" s="29"/>
      <c r="JN1452" s="29"/>
      <c r="JO1452" s="29"/>
      <c r="JP1452" s="29"/>
      <c r="JQ1452" s="29"/>
      <c r="JR1452" s="29"/>
      <c r="JS1452" s="29"/>
      <c r="JT1452" s="29"/>
      <c r="JU1452" s="29"/>
      <c r="JV1452" s="29"/>
      <c r="JW1452" s="29"/>
      <c r="JX1452" s="29"/>
      <c r="JY1452" s="29"/>
      <c r="JZ1452" s="29"/>
      <c r="KA1452" s="29"/>
      <c r="KB1452" s="29"/>
      <c r="KC1452" s="29"/>
      <c r="KD1452" s="29"/>
      <c r="KE1452" s="29"/>
      <c r="KF1452" s="29"/>
      <c r="KG1452" s="29"/>
      <c r="KH1452" s="29"/>
      <c r="KI1452" s="29"/>
      <c r="KJ1452" s="29"/>
      <c r="KK1452" s="29"/>
      <c r="KL1452" s="29"/>
      <c r="KM1452" s="29"/>
      <c r="KN1452" s="29"/>
      <c r="KO1452" s="29"/>
      <c r="KP1452" s="29"/>
      <c r="KQ1452" s="29"/>
      <c r="KR1452" s="29"/>
      <c r="KS1452" s="29"/>
      <c r="KT1452" s="29"/>
      <c r="KU1452" s="29"/>
      <c r="KV1452" s="29"/>
      <c r="KW1452" s="29"/>
      <c r="KX1452" s="29"/>
      <c r="KY1452" s="29"/>
      <c r="KZ1452" s="29"/>
      <c r="LA1452" s="29"/>
      <c r="LB1452" s="29"/>
      <c r="LC1452" s="29"/>
      <c r="LD1452" s="29"/>
      <c r="LE1452" s="29"/>
      <c r="LF1452" s="29"/>
      <c r="LG1452" s="29"/>
      <c r="LH1452" s="29"/>
      <c r="LI1452" s="29"/>
      <c r="LJ1452" s="29"/>
      <c r="LK1452" s="29"/>
      <c r="LL1452" s="29"/>
      <c r="LM1452" s="29"/>
      <c r="LN1452" s="29"/>
      <c r="LO1452" s="29"/>
      <c r="LP1452" s="29"/>
      <c r="LQ1452" s="29"/>
      <c r="LR1452" s="29"/>
      <c r="LS1452" s="29"/>
      <c r="LT1452" s="29"/>
      <c r="LU1452" s="29"/>
      <c r="LV1452" s="29"/>
      <c r="LW1452" s="29"/>
      <c r="LX1452" s="29"/>
      <c r="LY1452" s="29"/>
      <c r="LZ1452" s="29"/>
      <c r="MA1452" s="29"/>
      <c r="MB1452" s="29"/>
      <c r="MC1452" s="29"/>
      <c r="MD1452" s="29"/>
      <c r="ME1452" s="29"/>
      <c r="MF1452" s="29"/>
      <c r="MG1452" s="29"/>
      <c r="MH1452" s="29"/>
      <c r="MI1452" s="29"/>
      <c r="MJ1452" s="29"/>
      <c r="MK1452" s="29"/>
      <c r="ML1452" s="29"/>
      <c r="MM1452" s="29"/>
      <c r="MN1452" s="29"/>
      <c r="MO1452" s="29"/>
      <c r="MP1452" s="29"/>
      <c r="MQ1452" s="29"/>
      <c r="MR1452" s="29"/>
      <c r="MS1452" s="29"/>
      <c r="MT1452" s="29"/>
      <c r="MU1452" s="29"/>
      <c r="MV1452" s="29"/>
      <c r="MW1452" s="29"/>
      <c r="MX1452" s="29"/>
      <c r="MY1452" s="29"/>
      <c r="MZ1452" s="29"/>
      <c r="NA1452" s="29"/>
      <c r="NB1452" s="29"/>
      <c r="NC1452" s="29"/>
      <c r="ND1452" s="29"/>
      <c r="NE1452" s="29"/>
      <c r="NF1452" s="29"/>
      <c r="NG1452" s="29"/>
      <c r="NH1452" s="29"/>
      <c r="NI1452" s="29"/>
      <c r="NJ1452" s="29"/>
      <c r="NK1452" s="29"/>
      <c r="NL1452" s="29"/>
      <c r="NM1452" s="29"/>
      <c r="NN1452" s="29"/>
      <c r="NO1452" s="29"/>
      <c r="NP1452" s="29"/>
      <c r="NQ1452" s="29"/>
      <c r="NR1452" s="29"/>
      <c r="NS1452" s="29"/>
      <c r="NT1452" s="29"/>
      <c r="NU1452" s="29"/>
      <c r="NV1452" s="29"/>
      <c r="NW1452" s="29"/>
      <c r="NX1452" s="29"/>
      <c r="NY1452" s="29"/>
      <c r="NZ1452" s="29"/>
      <c r="OA1452" s="29"/>
      <c r="OB1452" s="29"/>
      <c r="OC1452" s="29"/>
      <c r="OD1452" s="29"/>
      <c r="OE1452" s="29"/>
      <c r="OF1452" s="29"/>
      <c r="OG1452" s="29"/>
      <c r="OH1452" s="29"/>
      <c r="OI1452" s="29"/>
      <c r="OJ1452" s="29"/>
      <c r="OK1452" s="29"/>
      <c r="OL1452" s="29"/>
      <c r="OM1452" s="29"/>
      <c r="ON1452" s="29"/>
      <c r="OO1452" s="29"/>
      <c r="OP1452" s="29"/>
      <c r="OQ1452" s="29"/>
      <c r="OR1452" s="29"/>
      <c r="OS1452" s="29"/>
      <c r="OT1452" s="29"/>
      <c r="OU1452" s="29"/>
      <c r="OV1452" s="29"/>
      <c r="OW1452" s="29"/>
      <c r="OX1452" s="29"/>
      <c r="OY1452" s="29"/>
      <c r="OZ1452" s="29"/>
      <c r="PA1452" s="29"/>
      <c r="PB1452" s="29"/>
      <c r="PC1452" s="29"/>
      <c r="PD1452" s="29"/>
      <c r="PE1452" s="29"/>
      <c r="PF1452" s="29"/>
      <c r="PG1452" s="29"/>
      <c r="PH1452" s="29"/>
      <c r="PI1452" s="29"/>
      <c r="PJ1452" s="29"/>
      <c r="PK1452" s="29"/>
      <c r="PL1452" s="29"/>
      <c r="PM1452" s="29"/>
      <c r="PN1452" s="29"/>
      <c r="PO1452" s="29"/>
      <c r="PP1452" s="29"/>
      <c r="PQ1452" s="29"/>
      <c r="PR1452" s="29"/>
      <c r="PS1452" s="29"/>
      <c r="PT1452" s="29"/>
      <c r="PU1452" s="29"/>
      <c r="PV1452" s="29"/>
      <c r="PW1452" s="29"/>
      <c r="PX1452" s="29"/>
      <c r="PY1452" s="29"/>
      <c r="PZ1452" s="29"/>
      <c r="QA1452" s="29"/>
      <c r="QB1452" s="29"/>
      <c r="QC1452" s="29"/>
      <c r="QD1452" s="29"/>
      <c r="QE1452" s="29"/>
      <c r="QF1452" s="29"/>
      <c r="QG1452" s="29"/>
      <c r="QH1452" s="29"/>
      <c r="QI1452" s="29"/>
      <c r="QJ1452" s="29"/>
      <c r="QK1452" s="29"/>
      <c r="QL1452" s="29"/>
      <c r="QM1452" s="29"/>
      <c r="QN1452" s="29"/>
      <c r="QO1452" s="29"/>
      <c r="QP1452" s="29"/>
      <c r="QQ1452" s="29"/>
      <c r="QR1452" s="29"/>
      <c r="QS1452" s="29"/>
      <c r="QT1452" s="29"/>
      <c r="QU1452" s="29"/>
      <c r="QV1452" s="29"/>
      <c r="QW1452" s="29"/>
      <c r="QX1452" s="29"/>
      <c r="QY1452" s="29"/>
      <c r="QZ1452" s="29"/>
      <c r="RA1452" s="29"/>
      <c r="RB1452" s="29"/>
      <c r="RC1452" s="29"/>
      <c r="RD1452" s="29"/>
      <c r="RE1452" s="29"/>
      <c r="RF1452" s="29"/>
      <c r="RG1452" s="29"/>
      <c r="RH1452" s="29"/>
      <c r="RI1452" s="29"/>
      <c r="RJ1452" s="29"/>
      <c r="RK1452" s="29"/>
      <c r="RL1452" s="29"/>
      <c r="RM1452" s="29"/>
      <c r="RN1452" s="29"/>
      <c r="RO1452" s="29"/>
      <c r="RP1452" s="29"/>
      <c r="RQ1452" s="29"/>
      <c r="RR1452" s="29"/>
      <c r="RS1452" s="29"/>
      <c r="RT1452" s="29"/>
      <c r="RU1452" s="29"/>
      <c r="RV1452" s="29"/>
      <c r="RW1452" s="29"/>
      <c r="RX1452" s="29"/>
      <c r="RY1452" s="29"/>
      <c r="RZ1452" s="29"/>
      <c r="SA1452" s="29"/>
      <c r="SB1452" s="29"/>
      <c r="SC1452" s="29"/>
      <c r="SD1452" s="29"/>
      <c r="SE1452" s="29"/>
      <c r="SF1452" s="29"/>
      <c r="SG1452" s="29"/>
      <c r="SH1452" s="29"/>
      <c r="SI1452" s="29"/>
      <c r="SJ1452" s="29"/>
      <c r="SK1452" s="29"/>
      <c r="SL1452" s="29"/>
      <c r="SM1452" s="29"/>
      <c r="SN1452" s="29"/>
      <c r="SO1452" s="29"/>
      <c r="SP1452" s="29"/>
      <c r="SQ1452" s="29"/>
      <c r="SR1452" s="29"/>
      <c r="SS1452" s="29"/>
      <c r="ST1452" s="29"/>
      <c r="SU1452" s="29"/>
      <c r="SV1452" s="29"/>
      <c r="SW1452" s="29"/>
      <c r="SX1452" s="29"/>
      <c r="SY1452" s="29"/>
      <c r="SZ1452" s="29"/>
      <c r="TA1452" s="29"/>
      <c r="TB1452" s="29"/>
      <c r="TC1452" s="29"/>
      <c r="TD1452" s="29"/>
      <c r="TE1452" s="29"/>
      <c r="TF1452" s="29"/>
      <c r="TG1452" s="29"/>
      <c r="TH1452" s="29"/>
      <c r="TI1452" s="29"/>
      <c r="TJ1452" s="29"/>
      <c r="TK1452" s="29"/>
      <c r="TL1452" s="29"/>
      <c r="TM1452" s="29"/>
      <c r="TN1452" s="29"/>
      <c r="TO1452" s="29"/>
      <c r="TP1452" s="29"/>
      <c r="TQ1452" s="29"/>
      <c r="TR1452" s="29"/>
      <c r="TS1452" s="29"/>
      <c r="TT1452" s="29"/>
      <c r="TU1452" s="29"/>
      <c r="TV1452" s="29"/>
      <c r="TW1452" s="29"/>
      <c r="TX1452" s="29"/>
      <c r="TY1452" s="29"/>
      <c r="TZ1452" s="29"/>
      <c r="UA1452" s="29"/>
      <c r="UB1452" s="29"/>
      <c r="UC1452" s="29"/>
      <c r="UD1452" s="29"/>
      <c r="UE1452" s="29"/>
      <c r="UF1452" s="29"/>
      <c r="UG1452" s="29"/>
    </row>
    <row r="1453" spans="1:553" ht="25.15" customHeight="1">
      <c r="A1453" s="356" t="s">
        <v>15</v>
      </c>
      <c r="B1453" s="385" t="s">
        <v>35</v>
      </c>
      <c r="C1453" s="1535" t="s">
        <v>783</v>
      </c>
      <c r="D1453" s="1389"/>
      <c r="E1453" s="1389"/>
      <c r="F1453" s="1390"/>
      <c r="G1453" s="417" t="s">
        <v>1303</v>
      </c>
      <c r="H1453" s="370"/>
      <c r="I1453" s="834">
        <f>0.42*2.6*8</f>
        <v>8.7360000000000007</v>
      </c>
      <c r="J1453" s="368">
        <v>39000</v>
      </c>
      <c r="K1453" s="371"/>
      <c r="L1453" s="487">
        <f t="shared" si="222"/>
        <v>340704</v>
      </c>
      <c r="M1453" s="395"/>
      <c r="N1453" s="395"/>
      <c r="O1453" s="366"/>
      <c r="P1453" s="396"/>
      <c r="Q1453" s="473"/>
      <c r="R1453" s="1039"/>
      <c r="S1453" s="308"/>
      <c r="T1453" s="308"/>
      <c r="U1453" s="308"/>
      <c r="V1453" s="308"/>
      <c r="W1453" s="308"/>
      <c r="X1453" s="308"/>
      <c r="Y1453" s="308"/>
      <c r="Z1453" s="604"/>
      <c r="AA1453" s="308"/>
      <c r="AB1453" s="308"/>
      <c r="AC1453" s="486"/>
      <c r="AD1453" s="486"/>
      <c r="AE1453" s="486"/>
      <c r="AF1453" s="486"/>
      <c r="AG1453" s="486"/>
      <c r="AH1453" s="486"/>
      <c r="AI1453" s="486"/>
      <c r="AJ1453" s="486"/>
      <c r="AK1453" s="486"/>
      <c r="AL1453" s="206"/>
      <c r="AM1453" s="29"/>
      <c r="AN1453" s="29"/>
      <c r="AO1453" s="29"/>
      <c r="AP1453" s="29"/>
      <c r="AQ1453" s="29"/>
      <c r="AR1453" s="29"/>
      <c r="AS1453" s="29"/>
      <c r="AT1453" s="29"/>
      <c r="AU1453" s="29"/>
      <c r="AV1453" s="29"/>
      <c r="AW1453" s="29"/>
      <c r="AX1453" s="29"/>
      <c r="AY1453" s="29"/>
      <c r="AZ1453" s="29"/>
      <c r="BA1453" s="29"/>
      <c r="BB1453" s="29"/>
      <c r="BC1453" s="29"/>
      <c r="BD1453" s="29"/>
      <c r="BE1453" s="29"/>
      <c r="BF1453" s="29"/>
      <c r="BG1453" s="29"/>
      <c r="BH1453" s="29"/>
      <c r="BI1453" s="29"/>
      <c r="BJ1453" s="29"/>
      <c r="BK1453" s="29"/>
      <c r="BL1453" s="29"/>
      <c r="BM1453" s="29"/>
      <c r="BN1453" s="29"/>
      <c r="BO1453" s="29"/>
      <c r="BP1453" s="29"/>
      <c r="BQ1453" s="29"/>
      <c r="BR1453" s="29"/>
      <c r="BS1453" s="29"/>
      <c r="BT1453" s="29"/>
      <c r="BU1453" s="29"/>
      <c r="BV1453" s="29"/>
      <c r="BW1453" s="29"/>
      <c r="BX1453" s="29"/>
      <c r="BY1453" s="29"/>
      <c r="BZ1453" s="29"/>
      <c r="CA1453" s="29"/>
      <c r="CB1453" s="29"/>
      <c r="CC1453" s="29"/>
      <c r="CD1453" s="29"/>
      <c r="CE1453" s="29"/>
      <c r="CF1453" s="29"/>
      <c r="CG1453" s="29"/>
      <c r="CH1453" s="29"/>
      <c r="CI1453" s="29"/>
      <c r="CJ1453" s="29"/>
      <c r="CK1453" s="29"/>
      <c r="CL1453" s="29"/>
      <c r="CM1453" s="29"/>
      <c r="CN1453" s="29"/>
      <c r="CO1453" s="29"/>
      <c r="CP1453" s="29"/>
      <c r="CQ1453" s="29"/>
      <c r="CR1453" s="29"/>
      <c r="CS1453" s="29"/>
      <c r="CT1453" s="29"/>
      <c r="CU1453" s="29"/>
      <c r="CV1453" s="29"/>
      <c r="CW1453" s="29"/>
      <c r="CX1453" s="29"/>
      <c r="CY1453" s="29"/>
      <c r="CZ1453" s="29"/>
      <c r="DA1453" s="29"/>
      <c r="DB1453" s="29"/>
      <c r="DC1453" s="29"/>
      <c r="DD1453" s="29"/>
      <c r="DE1453" s="29"/>
      <c r="DF1453" s="29"/>
      <c r="DG1453" s="29"/>
      <c r="DH1453" s="29"/>
      <c r="DI1453" s="29"/>
      <c r="DJ1453" s="29"/>
      <c r="DK1453" s="29"/>
      <c r="DL1453" s="29"/>
      <c r="DM1453" s="29"/>
      <c r="DN1453" s="29"/>
      <c r="DO1453" s="29"/>
      <c r="DP1453" s="29"/>
      <c r="DQ1453" s="29"/>
      <c r="DR1453" s="29"/>
      <c r="DS1453" s="29"/>
      <c r="DT1453" s="29"/>
      <c r="DU1453" s="29"/>
      <c r="DV1453" s="29"/>
      <c r="DW1453" s="29"/>
      <c r="DX1453" s="29"/>
      <c r="DY1453" s="29"/>
      <c r="DZ1453" s="29"/>
      <c r="EA1453" s="29"/>
      <c r="EB1453" s="29"/>
      <c r="EC1453" s="29"/>
      <c r="ED1453" s="29"/>
      <c r="EE1453" s="29"/>
      <c r="EF1453" s="29"/>
      <c r="EG1453" s="29"/>
      <c r="EH1453" s="29"/>
      <c r="EI1453" s="29"/>
      <c r="EJ1453" s="29"/>
      <c r="EK1453" s="29"/>
      <c r="EL1453" s="29"/>
      <c r="EM1453" s="29"/>
      <c r="EN1453" s="29"/>
      <c r="EO1453" s="29"/>
      <c r="EP1453" s="29"/>
      <c r="EQ1453" s="29"/>
      <c r="ER1453" s="29"/>
      <c r="ES1453" s="29"/>
      <c r="ET1453" s="29"/>
      <c r="EU1453" s="29"/>
      <c r="EV1453" s="29"/>
      <c r="EW1453" s="29"/>
      <c r="EX1453" s="29"/>
      <c r="EY1453" s="29"/>
      <c r="EZ1453" s="29"/>
      <c r="FA1453" s="29"/>
      <c r="FB1453" s="29"/>
      <c r="FC1453" s="29"/>
      <c r="FD1453" s="29"/>
      <c r="FE1453" s="29"/>
      <c r="FF1453" s="29"/>
      <c r="FG1453" s="29"/>
      <c r="FH1453" s="29"/>
      <c r="FI1453" s="29"/>
      <c r="FJ1453" s="29"/>
      <c r="FK1453" s="29"/>
      <c r="FL1453" s="29"/>
      <c r="FM1453" s="29"/>
      <c r="FN1453" s="29"/>
      <c r="FO1453" s="29"/>
      <c r="FP1453" s="29"/>
      <c r="FQ1453" s="29"/>
      <c r="FR1453" s="29"/>
      <c r="FS1453" s="29"/>
      <c r="FT1453" s="29"/>
      <c r="FU1453" s="29"/>
      <c r="FV1453" s="29"/>
      <c r="FW1453" s="29"/>
      <c r="FX1453" s="29"/>
      <c r="FY1453" s="29"/>
      <c r="FZ1453" s="29"/>
      <c r="GA1453" s="29"/>
      <c r="GB1453" s="29"/>
      <c r="GC1453" s="29"/>
      <c r="GD1453" s="29"/>
      <c r="GE1453" s="29"/>
      <c r="GF1453" s="29"/>
      <c r="GG1453" s="29"/>
      <c r="GH1453" s="29"/>
      <c r="GI1453" s="29"/>
      <c r="GJ1453" s="29"/>
      <c r="GK1453" s="29"/>
      <c r="GL1453" s="29"/>
      <c r="GM1453" s="29"/>
      <c r="GN1453" s="29"/>
      <c r="GO1453" s="29"/>
      <c r="GP1453" s="29"/>
      <c r="GQ1453" s="29"/>
      <c r="GR1453" s="29"/>
      <c r="GS1453" s="29"/>
      <c r="GT1453" s="29"/>
      <c r="GU1453" s="29"/>
      <c r="GV1453" s="29"/>
      <c r="GW1453" s="29"/>
      <c r="GX1453" s="29"/>
      <c r="GY1453" s="29"/>
      <c r="GZ1453" s="29"/>
      <c r="HA1453" s="29"/>
      <c r="HB1453" s="29"/>
      <c r="HC1453" s="29"/>
      <c r="HD1453" s="29"/>
      <c r="HE1453" s="29"/>
      <c r="HF1453" s="29"/>
      <c r="HG1453" s="29"/>
      <c r="HH1453" s="29"/>
      <c r="HI1453" s="29"/>
      <c r="HJ1453" s="29"/>
      <c r="HK1453" s="29"/>
      <c r="HL1453" s="29"/>
      <c r="HM1453" s="29"/>
      <c r="HN1453" s="29"/>
      <c r="HO1453" s="29"/>
      <c r="HP1453" s="29"/>
      <c r="HQ1453" s="29"/>
      <c r="HR1453" s="29"/>
      <c r="HS1453" s="29"/>
      <c r="HT1453" s="29"/>
      <c r="HU1453" s="29"/>
      <c r="HV1453" s="29"/>
      <c r="HW1453" s="29"/>
      <c r="HX1453" s="29"/>
      <c r="HY1453" s="29"/>
      <c r="HZ1453" s="29"/>
      <c r="IA1453" s="29"/>
      <c r="IB1453" s="29"/>
      <c r="IC1453" s="29"/>
      <c r="ID1453" s="29"/>
      <c r="IE1453" s="29"/>
      <c r="IF1453" s="29"/>
      <c r="IG1453" s="29"/>
      <c r="IH1453" s="29"/>
      <c r="II1453" s="29"/>
      <c r="IJ1453" s="29"/>
      <c r="IK1453" s="29"/>
      <c r="IL1453" s="29"/>
      <c r="IM1453" s="29"/>
      <c r="IN1453" s="29"/>
      <c r="IO1453" s="29"/>
      <c r="IP1453" s="29"/>
      <c r="IQ1453" s="29"/>
      <c r="IR1453" s="29"/>
      <c r="IS1453" s="29"/>
      <c r="IT1453" s="29"/>
      <c r="IU1453" s="29"/>
      <c r="IV1453" s="29"/>
      <c r="IW1453" s="29"/>
      <c r="IX1453" s="29"/>
      <c r="IY1453" s="29"/>
      <c r="IZ1453" s="29"/>
      <c r="JA1453" s="29"/>
      <c r="JB1453" s="29"/>
      <c r="JC1453" s="29"/>
      <c r="JD1453" s="29"/>
      <c r="JE1453" s="29"/>
      <c r="JF1453" s="29"/>
      <c r="JG1453" s="29"/>
      <c r="JH1453" s="29"/>
      <c r="JI1453" s="29"/>
      <c r="JJ1453" s="29"/>
      <c r="JK1453" s="29"/>
      <c r="JL1453" s="29"/>
      <c r="JM1453" s="29"/>
      <c r="JN1453" s="29"/>
      <c r="JO1453" s="29"/>
      <c r="JP1453" s="29"/>
      <c r="JQ1453" s="29"/>
      <c r="JR1453" s="29"/>
      <c r="JS1453" s="29"/>
      <c r="JT1453" s="29"/>
      <c r="JU1453" s="29"/>
      <c r="JV1453" s="29"/>
      <c r="JW1453" s="29"/>
      <c r="JX1453" s="29"/>
      <c r="JY1453" s="29"/>
      <c r="JZ1453" s="29"/>
      <c r="KA1453" s="29"/>
      <c r="KB1453" s="29"/>
      <c r="KC1453" s="29"/>
      <c r="KD1453" s="29"/>
      <c r="KE1453" s="29"/>
      <c r="KF1453" s="29"/>
      <c r="KG1453" s="29"/>
      <c r="KH1453" s="29"/>
      <c r="KI1453" s="29"/>
      <c r="KJ1453" s="29"/>
      <c r="KK1453" s="29"/>
      <c r="KL1453" s="29"/>
      <c r="KM1453" s="29"/>
      <c r="KN1453" s="29"/>
      <c r="KO1453" s="29"/>
      <c r="KP1453" s="29"/>
      <c r="KQ1453" s="29"/>
      <c r="KR1453" s="29"/>
      <c r="KS1453" s="29"/>
      <c r="KT1453" s="29"/>
      <c r="KU1453" s="29"/>
      <c r="KV1453" s="29"/>
      <c r="KW1453" s="29"/>
      <c r="KX1453" s="29"/>
      <c r="KY1453" s="29"/>
      <c r="KZ1453" s="29"/>
      <c r="LA1453" s="29"/>
      <c r="LB1453" s="29"/>
      <c r="LC1453" s="29"/>
      <c r="LD1453" s="29"/>
      <c r="LE1453" s="29"/>
      <c r="LF1453" s="29"/>
      <c r="LG1453" s="29"/>
      <c r="LH1453" s="29"/>
      <c r="LI1453" s="29"/>
      <c r="LJ1453" s="29"/>
      <c r="LK1453" s="29"/>
      <c r="LL1453" s="29"/>
      <c r="LM1453" s="29"/>
      <c r="LN1453" s="29"/>
      <c r="LO1453" s="29"/>
      <c r="LP1453" s="29"/>
      <c r="LQ1453" s="29"/>
      <c r="LR1453" s="29"/>
      <c r="LS1453" s="29"/>
      <c r="LT1453" s="29"/>
      <c r="LU1453" s="29"/>
      <c r="LV1453" s="29"/>
      <c r="LW1453" s="29"/>
      <c r="LX1453" s="29"/>
      <c r="LY1453" s="29"/>
      <c r="LZ1453" s="29"/>
      <c r="MA1453" s="29"/>
      <c r="MB1453" s="29"/>
      <c r="MC1453" s="29"/>
      <c r="MD1453" s="29"/>
      <c r="ME1453" s="29"/>
      <c r="MF1453" s="29"/>
      <c r="MG1453" s="29"/>
      <c r="MH1453" s="29"/>
      <c r="MI1453" s="29"/>
      <c r="MJ1453" s="29"/>
      <c r="MK1453" s="29"/>
      <c r="ML1453" s="29"/>
      <c r="MM1453" s="29"/>
      <c r="MN1453" s="29"/>
      <c r="MO1453" s="29"/>
      <c r="MP1453" s="29"/>
      <c r="MQ1453" s="29"/>
      <c r="MR1453" s="29"/>
      <c r="MS1453" s="29"/>
      <c r="MT1453" s="29"/>
      <c r="MU1453" s="29"/>
      <c r="MV1453" s="29"/>
      <c r="MW1453" s="29"/>
      <c r="MX1453" s="29"/>
      <c r="MY1453" s="29"/>
      <c r="MZ1453" s="29"/>
      <c r="NA1453" s="29"/>
      <c r="NB1453" s="29"/>
      <c r="NC1453" s="29"/>
      <c r="ND1453" s="29"/>
      <c r="NE1453" s="29"/>
      <c r="NF1453" s="29"/>
      <c r="NG1453" s="29"/>
      <c r="NH1453" s="29"/>
      <c r="NI1453" s="29"/>
      <c r="NJ1453" s="29"/>
      <c r="NK1453" s="29"/>
      <c r="NL1453" s="29"/>
      <c r="NM1453" s="29"/>
      <c r="NN1453" s="29"/>
      <c r="NO1453" s="29"/>
      <c r="NP1453" s="29"/>
      <c r="NQ1453" s="29"/>
      <c r="NR1453" s="29"/>
      <c r="NS1453" s="29"/>
      <c r="NT1453" s="29"/>
      <c r="NU1453" s="29"/>
      <c r="NV1453" s="29"/>
      <c r="NW1453" s="29"/>
      <c r="NX1453" s="29"/>
      <c r="NY1453" s="29"/>
      <c r="NZ1453" s="29"/>
      <c r="OA1453" s="29"/>
      <c r="OB1453" s="29"/>
      <c r="OC1453" s="29"/>
      <c r="OD1453" s="29"/>
      <c r="OE1453" s="29"/>
      <c r="OF1453" s="29"/>
      <c r="OG1453" s="29"/>
      <c r="OH1453" s="29"/>
      <c r="OI1453" s="29"/>
      <c r="OJ1453" s="29"/>
      <c r="OK1453" s="29"/>
      <c r="OL1453" s="29"/>
      <c r="OM1453" s="29"/>
      <c r="ON1453" s="29"/>
      <c r="OO1453" s="29"/>
      <c r="OP1453" s="29"/>
      <c r="OQ1453" s="29"/>
      <c r="OR1453" s="29"/>
      <c r="OS1453" s="29"/>
      <c r="OT1453" s="29"/>
      <c r="OU1453" s="29"/>
      <c r="OV1453" s="29"/>
      <c r="OW1453" s="29"/>
      <c r="OX1453" s="29"/>
      <c r="OY1453" s="29"/>
      <c r="OZ1453" s="29"/>
      <c r="PA1453" s="29"/>
      <c r="PB1453" s="29"/>
      <c r="PC1453" s="29"/>
      <c r="PD1453" s="29"/>
      <c r="PE1453" s="29"/>
      <c r="PF1453" s="29"/>
      <c r="PG1453" s="29"/>
      <c r="PH1453" s="29"/>
      <c r="PI1453" s="29"/>
      <c r="PJ1453" s="29"/>
      <c r="PK1453" s="29"/>
      <c r="PL1453" s="29"/>
      <c r="PM1453" s="29"/>
      <c r="PN1453" s="29"/>
      <c r="PO1453" s="29"/>
      <c r="PP1453" s="29"/>
      <c r="PQ1453" s="29"/>
      <c r="PR1453" s="29"/>
      <c r="PS1453" s="29"/>
      <c r="PT1453" s="29"/>
      <c r="PU1453" s="29"/>
      <c r="PV1453" s="29"/>
      <c r="PW1453" s="29"/>
      <c r="PX1453" s="29"/>
      <c r="PY1453" s="29"/>
      <c r="PZ1453" s="29"/>
      <c r="QA1453" s="29"/>
      <c r="QB1453" s="29"/>
      <c r="QC1453" s="29"/>
      <c r="QD1453" s="29"/>
      <c r="QE1453" s="29"/>
      <c r="QF1453" s="29"/>
      <c r="QG1453" s="29"/>
      <c r="QH1453" s="29"/>
      <c r="QI1453" s="29"/>
      <c r="QJ1453" s="29"/>
      <c r="QK1453" s="29"/>
      <c r="QL1453" s="29"/>
      <c r="QM1453" s="29"/>
      <c r="QN1453" s="29"/>
      <c r="QO1453" s="29"/>
      <c r="QP1453" s="29"/>
      <c r="QQ1453" s="29"/>
      <c r="QR1453" s="29"/>
      <c r="QS1453" s="29"/>
      <c r="QT1453" s="29"/>
      <c r="QU1453" s="29"/>
      <c r="QV1453" s="29"/>
      <c r="QW1453" s="29"/>
      <c r="QX1453" s="29"/>
      <c r="QY1453" s="29"/>
      <c r="QZ1453" s="29"/>
      <c r="RA1453" s="29"/>
      <c r="RB1453" s="29"/>
      <c r="RC1453" s="29"/>
      <c r="RD1453" s="29"/>
      <c r="RE1453" s="29"/>
      <c r="RF1453" s="29"/>
      <c r="RG1453" s="29"/>
      <c r="RH1453" s="29"/>
      <c r="RI1453" s="29"/>
      <c r="RJ1453" s="29"/>
      <c r="RK1453" s="29"/>
      <c r="RL1453" s="29"/>
      <c r="RM1453" s="29"/>
      <c r="RN1453" s="29"/>
      <c r="RO1453" s="29"/>
      <c r="RP1453" s="29"/>
      <c r="RQ1453" s="29"/>
      <c r="RR1453" s="29"/>
      <c r="RS1453" s="29"/>
      <c r="RT1453" s="29"/>
      <c r="RU1453" s="29"/>
      <c r="RV1453" s="29"/>
      <c r="RW1453" s="29"/>
      <c r="RX1453" s="29"/>
      <c r="RY1453" s="29"/>
      <c r="RZ1453" s="29"/>
      <c r="SA1453" s="29"/>
      <c r="SB1453" s="29"/>
      <c r="SC1453" s="29"/>
      <c r="SD1453" s="29"/>
      <c r="SE1453" s="29"/>
      <c r="SF1453" s="29"/>
      <c r="SG1453" s="29"/>
      <c r="SH1453" s="29"/>
      <c r="SI1453" s="29"/>
      <c r="SJ1453" s="29"/>
      <c r="SK1453" s="29"/>
      <c r="SL1453" s="29"/>
      <c r="SM1453" s="29"/>
      <c r="SN1453" s="29"/>
      <c r="SO1453" s="29"/>
      <c r="SP1453" s="29"/>
      <c r="SQ1453" s="29"/>
      <c r="SR1453" s="29"/>
      <c r="SS1453" s="29"/>
      <c r="ST1453" s="29"/>
      <c r="SU1453" s="29"/>
      <c r="SV1453" s="29"/>
      <c r="SW1453" s="29"/>
      <c r="SX1453" s="29"/>
      <c r="SY1453" s="29"/>
      <c r="SZ1453" s="29"/>
      <c r="TA1453" s="29"/>
      <c r="TB1453" s="29"/>
      <c r="TC1453" s="29"/>
      <c r="TD1453" s="29"/>
      <c r="TE1453" s="29"/>
      <c r="TF1453" s="29"/>
      <c r="TG1453" s="29"/>
      <c r="TH1453" s="29"/>
      <c r="TI1453" s="29"/>
      <c r="TJ1453" s="29"/>
      <c r="TK1453" s="29"/>
      <c r="TL1453" s="29"/>
      <c r="TM1453" s="29"/>
      <c r="TN1453" s="29"/>
      <c r="TO1453" s="29"/>
      <c r="TP1453" s="29"/>
      <c r="TQ1453" s="29"/>
      <c r="TR1453" s="29"/>
      <c r="TS1453" s="29"/>
      <c r="TT1453" s="29"/>
      <c r="TU1453" s="29"/>
      <c r="TV1453" s="29"/>
      <c r="TW1453" s="29"/>
      <c r="TX1453" s="29"/>
      <c r="TY1453" s="29"/>
      <c r="TZ1453" s="29"/>
      <c r="UA1453" s="29"/>
      <c r="UB1453" s="29"/>
      <c r="UC1453" s="29"/>
      <c r="UD1453" s="29"/>
      <c r="UE1453" s="29"/>
      <c r="UF1453" s="29"/>
      <c r="UG1453" s="29"/>
    </row>
    <row r="1454" spans="1:553" ht="25.15" customHeight="1">
      <c r="A1454" s="356" t="s">
        <v>15</v>
      </c>
      <c r="B1454" s="385" t="s">
        <v>35</v>
      </c>
      <c r="C1454" s="1535" t="s">
        <v>784</v>
      </c>
      <c r="D1454" s="1389"/>
      <c r="E1454" s="1389"/>
      <c r="F1454" s="1390"/>
      <c r="G1454" s="417" t="s">
        <v>1303</v>
      </c>
      <c r="H1454" s="370"/>
      <c r="I1454" s="422">
        <f>10.9*1.9*2</f>
        <v>41.42</v>
      </c>
      <c r="J1454" s="368">
        <v>39000</v>
      </c>
      <c r="K1454" s="371"/>
      <c r="L1454" s="487">
        <f t="shared" si="222"/>
        <v>1615380</v>
      </c>
      <c r="M1454" s="395"/>
      <c r="N1454" s="395"/>
      <c r="O1454" s="366"/>
      <c r="P1454" s="396"/>
      <c r="Q1454" s="473"/>
      <c r="R1454" s="1039"/>
      <c r="S1454" s="308"/>
      <c r="T1454" s="308"/>
      <c r="U1454" s="308"/>
      <c r="V1454" s="308"/>
      <c r="W1454" s="308"/>
      <c r="X1454" s="308"/>
      <c r="Y1454" s="308"/>
      <c r="Z1454" s="604"/>
      <c r="AA1454" s="308"/>
      <c r="AB1454" s="308"/>
      <c r="AC1454" s="486"/>
      <c r="AD1454" s="486"/>
      <c r="AE1454" s="486"/>
      <c r="AF1454" s="486"/>
      <c r="AG1454" s="486"/>
      <c r="AH1454" s="486"/>
      <c r="AI1454" s="486"/>
      <c r="AJ1454" s="486"/>
      <c r="AK1454" s="486"/>
      <c r="AL1454" s="206"/>
      <c r="AM1454" s="29"/>
      <c r="AN1454" s="29"/>
      <c r="AO1454" s="29"/>
      <c r="AP1454" s="29"/>
      <c r="AQ1454" s="29"/>
      <c r="AR1454" s="29"/>
      <c r="AS1454" s="29"/>
      <c r="AT1454" s="29"/>
      <c r="AU1454" s="29"/>
      <c r="AV1454" s="29"/>
      <c r="AW1454" s="29"/>
      <c r="AX1454" s="29"/>
      <c r="AY1454" s="29"/>
      <c r="AZ1454" s="29"/>
      <c r="BA1454" s="29"/>
      <c r="BB1454" s="29"/>
      <c r="BC1454" s="29"/>
      <c r="BD1454" s="29"/>
      <c r="BE1454" s="29"/>
      <c r="BF1454" s="29"/>
      <c r="BG1454" s="29"/>
      <c r="BH1454" s="29"/>
      <c r="BI1454" s="29"/>
      <c r="BJ1454" s="29"/>
      <c r="BK1454" s="29"/>
      <c r="BL1454" s="29"/>
      <c r="BM1454" s="29"/>
      <c r="BN1454" s="29"/>
      <c r="BO1454" s="29"/>
      <c r="BP1454" s="29"/>
      <c r="BQ1454" s="29"/>
      <c r="BR1454" s="29"/>
      <c r="BS1454" s="29"/>
      <c r="BT1454" s="29"/>
      <c r="BU1454" s="29"/>
      <c r="BV1454" s="29"/>
      <c r="BW1454" s="29"/>
      <c r="BX1454" s="29"/>
      <c r="BY1454" s="29"/>
      <c r="BZ1454" s="29"/>
      <c r="CA1454" s="29"/>
      <c r="CB1454" s="29"/>
      <c r="CC1454" s="29"/>
      <c r="CD1454" s="29"/>
      <c r="CE1454" s="29"/>
      <c r="CF1454" s="29"/>
      <c r="CG1454" s="29"/>
      <c r="CH1454" s="29"/>
      <c r="CI1454" s="29"/>
      <c r="CJ1454" s="29"/>
      <c r="CK1454" s="29"/>
      <c r="CL1454" s="29"/>
      <c r="CM1454" s="29"/>
      <c r="CN1454" s="29"/>
      <c r="CO1454" s="29"/>
      <c r="CP1454" s="29"/>
      <c r="CQ1454" s="29"/>
      <c r="CR1454" s="29"/>
      <c r="CS1454" s="29"/>
      <c r="CT1454" s="29"/>
      <c r="CU1454" s="29"/>
      <c r="CV1454" s="29"/>
      <c r="CW1454" s="29"/>
      <c r="CX1454" s="29"/>
      <c r="CY1454" s="29"/>
      <c r="CZ1454" s="29"/>
      <c r="DA1454" s="29"/>
      <c r="DB1454" s="29"/>
      <c r="DC1454" s="29"/>
      <c r="DD1454" s="29"/>
      <c r="DE1454" s="29"/>
      <c r="DF1454" s="29"/>
      <c r="DG1454" s="29"/>
      <c r="DH1454" s="29"/>
      <c r="DI1454" s="29"/>
      <c r="DJ1454" s="29"/>
      <c r="DK1454" s="29"/>
      <c r="DL1454" s="29"/>
      <c r="DM1454" s="29"/>
      <c r="DN1454" s="29"/>
      <c r="DO1454" s="29"/>
      <c r="DP1454" s="29"/>
      <c r="DQ1454" s="29"/>
      <c r="DR1454" s="29"/>
      <c r="DS1454" s="29"/>
      <c r="DT1454" s="29"/>
      <c r="DU1454" s="29"/>
      <c r="DV1454" s="29"/>
      <c r="DW1454" s="29"/>
      <c r="DX1454" s="29"/>
      <c r="DY1454" s="29"/>
      <c r="DZ1454" s="29"/>
      <c r="EA1454" s="29"/>
      <c r="EB1454" s="29"/>
      <c r="EC1454" s="29"/>
      <c r="ED1454" s="29"/>
      <c r="EE1454" s="29"/>
      <c r="EF1454" s="29"/>
      <c r="EG1454" s="29"/>
      <c r="EH1454" s="29"/>
      <c r="EI1454" s="29"/>
      <c r="EJ1454" s="29"/>
      <c r="EK1454" s="29"/>
      <c r="EL1454" s="29"/>
      <c r="EM1454" s="29"/>
      <c r="EN1454" s="29"/>
      <c r="EO1454" s="29"/>
      <c r="EP1454" s="29"/>
      <c r="EQ1454" s="29"/>
      <c r="ER1454" s="29"/>
      <c r="ES1454" s="29"/>
      <c r="ET1454" s="29"/>
      <c r="EU1454" s="29"/>
      <c r="EV1454" s="29"/>
      <c r="EW1454" s="29"/>
      <c r="EX1454" s="29"/>
      <c r="EY1454" s="29"/>
      <c r="EZ1454" s="29"/>
      <c r="FA1454" s="29"/>
      <c r="FB1454" s="29"/>
      <c r="FC1454" s="29"/>
      <c r="FD1454" s="29"/>
      <c r="FE1454" s="29"/>
      <c r="FF1454" s="29"/>
      <c r="FG1454" s="29"/>
      <c r="FH1454" s="29"/>
      <c r="FI1454" s="29"/>
      <c r="FJ1454" s="29"/>
      <c r="FK1454" s="29"/>
      <c r="FL1454" s="29"/>
      <c r="FM1454" s="29"/>
      <c r="FN1454" s="29"/>
      <c r="FO1454" s="29"/>
      <c r="FP1454" s="29"/>
      <c r="FQ1454" s="29"/>
      <c r="FR1454" s="29"/>
      <c r="FS1454" s="29"/>
      <c r="FT1454" s="29"/>
      <c r="FU1454" s="29"/>
      <c r="FV1454" s="29"/>
      <c r="FW1454" s="29"/>
      <c r="FX1454" s="29"/>
      <c r="FY1454" s="29"/>
      <c r="FZ1454" s="29"/>
      <c r="GA1454" s="29"/>
      <c r="GB1454" s="29"/>
      <c r="GC1454" s="29"/>
      <c r="GD1454" s="29"/>
      <c r="GE1454" s="29"/>
      <c r="GF1454" s="29"/>
      <c r="GG1454" s="29"/>
      <c r="GH1454" s="29"/>
      <c r="GI1454" s="29"/>
      <c r="GJ1454" s="29"/>
      <c r="GK1454" s="29"/>
      <c r="GL1454" s="29"/>
      <c r="GM1454" s="29"/>
      <c r="GN1454" s="29"/>
      <c r="GO1454" s="29"/>
      <c r="GP1454" s="29"/>
      <c r="GQ1454" s="29"/>
      <c r="GR1454" s="29"/>
      <c r="GS1454" s="29"/>
      <c r="GT1454" s="29"/>
      <c r="GU1454" s="29"/>
      <c r="GV1454" s="29"/>
      <c r="GW1454" s="29"/>
      <c r="GX1454" s="29"/>
      <c r="GY1454" s="29"/>
      <c r="GZ1454" s="29"/>
      <c r="HA1454" s="29"/>
      <c r="HB1454" s="29"/>
      <c r="HC1454" s="29"/>
      <c r="HD1454" s="29"/>
      <c r="HE1454" s="29"/>
      <c r="HF1454" s="29"/>
      <c r="HG1454" s="29"/>
      <c r="HH1454" s="29"/>
      <c r="HI1454" s="29"/>
      <c r="HJ1454" s="29"/>
      <c r="HK1454" s="29"/>
      <c r="HL1454" s="29"/>
      <c r="HM1454" s="29"/>
      <c r="HN1454" s="29"/>
      <c r="HO1454" s="29"/>
      <c r="HP1454" s="29"/>
      <c r="HQ1454" s="29"/>
      <c r="HR1454" s="29"/>
      <c r="HS1454" s="29"/>
      <c r="HT1454" s="29"/>
      <c r="HU1454" s="29"/>
      <c r="HV1454" s="29"/>
      <c r="HW1454" s="29"/>
      <c r="HX1454" s="29"/>
      <c r="HY1454" s="29"/>
      <c r="HZ1454" s="29"/>
      <c r="IA1454" s="29"/>
      <c r="IB1454" s="29"/>
      <c r="IC1454" s="29"/>
      <c r="ID1454" s="29"/>
      <c r="IE1454" s="29"/>
      <c r="IF1454" s="29"/>
      <c r="IG1454" s="29"/>
      <c r="IH1454" s="29"/>
      <c r="II1454" s="29"/>
      <c r="IJ1454" s="29"/>
      <c r="IK1454" s="29"/>
      <c r="IL1454" s="29"/>
      <c r="IM1454" s="29"/>
      <c r="IN1454" s="29"/>
      <c r="IO1454" s="29"/>
      <c r="IP1454" s="29"/>
      <c r="IQ1454" s="29"/>
      <c r="IR1454" s="29"/>
      <c r="IS1454" s="29"/>
      <c r="IT1454" s="29"/>
      <c r="IU1454" s="29"/>
      <c r="IV1454" s="29"/>
      <c r="IW1454" s="29"/>
      <c r="IX1454" s="29"/>
      <c r="IY1454" s="29"/>
      <c r="IZ1454" s="29"/>
      <c r="JA1454" s="29"/>
      <c r="JB1454" s="29"/>
      <c r="JC1454" s="29"/>
      <c r="JD1454" s="29"/>
      <c r="JE1454" s="29"/>
      <c r="JF1454" s="29"/>
      <c r="JG1454" s="29"/>
      <c r="JH1454" s="29"/>
      <c r="JI1454" s="29"/>
      <c r="JJ1454" s="29"/>
      <c r="JK1454" s="29"/>
      <c r="JL1454" s="29"/>
      <c r="JM1454" s="29"/>
      <c r="JN1454" s="29"/>
      <c r="JO1454" s="29"/>
      <c r="JP1454" s="29"/>
      <c r="JQ1454" s="29"/>
      <c r="JR1454" s="29"/>
      <c r="JS1454" s="29"/>
      <c r="JT1454" s="29"/>
      <c r="JU1454" s="29"/>
      <c r="JV1454" s="29"/>
      <c r="JW1454" s="29"/>
      <c r="JX1454" s="29"/>
      <c r="JY1454" s="29"/>
      <c r="JZ1454" s="29"/>
      <c r="KA1454" s="29"/>
      <c r="KB1454" s="29"/>
      <c r="KC1454" s="29"/>
      <c r="KD1454" s="29"/>
      <c r="KE1454" s="29"/>
      <c r="KF1454" s="29"/>
      <c r="KG1454" s="29"/>
      <c r="KH1454" s="29"/>
      <c r="KI1454" s="29"/>
      <c r="KJ1454" s="29"/>
      <c r="KK1454" s="29"/>
      <c r="KL1454" s="29"/>
      <c r="KM1454" s="29"/>
      <c r="KN1454" s="29"/>
      <c r="KO1454" s="29"/>
      <c r="KP1454" s="29"/>
      <c r="KQ1454" s="29"/>
      <c r="KR1454" s="29"/>
      <c r="KS1454" s="29"/>
      <c r="KT1454" s="29"/>
      <c r="KU1454" s="29"/>
      <c r="KV1454" s="29"/>
      <c r="KW1454" s="29"/>
      <c r="KX1454" s="29"/>
      <c r="KY1454" s="29"/>
      <c r="KZ1454" s="29"/>
      <c r="LA1454" s="29"/>
      <c r="LB1454" s="29"/>
      <c r="LC1454" s="29"/>
      <c r="LD1454" s="29"/>
      <c r="LE1454" s="29"/>
      <c r="LF1454" s="29"/>
      <c r="LG1454" s="29"/>
      <c r="LH1454" s="29"/>
      <c r="LI1454" s="29"/>
      <c r="LJ1454" s="29"/>
      <c r="LK1454" s="29"/>
      <c r="LL1454" s="29"/>
      <c r="LM1454" s="29"/>
      <c r="LN1454" s="29"/>
      <c r="LO1454" s="29"/>
      <c r="LP1454" s="29"/>
      <c r="LQ1454" s="29"/>
      <c r="LR1454" s="29"/>
      <c r="LS1454" s="29"/>
      <c r="LT1454" s="29"/>
      <c r="LU1454" s="29"/>
      <c r="LV1454" s="29"/>
      <c r="LW1454" s="29"/>
      <c r="LX1454" s="29"/>
      <c r="LY1454" s="29"/>
      <c r="LZ1454" s="29"/>
      <c r="MA1454" s="29"/>
      <c r="MB1454" s="29"/>
      <c r="MC1454" s="29"/>
      <c r="MD1454" s="29"/>
      <c r="ME1454" s="29"/>
      <c r="MF1454" s="29"/>
      <c r="MG1454" s="29"/>
      <c r="MH1454" s="29"/>
      <c r="MI1454" s="29"/>
      <c r="MJ1454" s="29"/>
      <c r="MK1454" s="29"/>
      <c r="ML1454" s="29"/>
      <c r="MM1454" s="29"/>
      <c r="MN1454" s="29"/>
      <c r="MO1454" s="29"/>
      <c r="MP1454" s="29"/>
      <c r="MQ1454" s="29"/>
      <c r="MR1454" s="29"/>
      <c r="MS1454" s="29"/>
      <c r="MT1454" s="29"/>
      <c r="MU1454" s="29"/>
      <c r="MV1454" s="29"/>
      <c r="MW1454" s="29"/>
      <c r="MX1454" s="29"/>
      <c r="MY1454" s="29"/>
      <c r="MZ1454" s="29"/>
      <c r="NA1454" s="29"/>
      <c r="NB1454" s="29"/>
      <c r="NC1454" s="29"/>
      <c r="ND1454" s="29"/>
      <c r="NE1454" s="29"/>
      <c r="NF1454" s="29"/>
      <c r="NG1454" s="29"/>
      <c r="NH1454" s="29"/>
      <c r="NI1454" s="29"/>
      <c r="NJ1454" s="29"/>
      <c r="NK1454" s="29"/>
      <c r="NL1454" s="29"/>
      <c r="NM1454" s="29"/>
      <c r="NN1454" s="29"/>
      <c r="NO1454" s="29"/>
      <c r="NP1454" s="29"/>
      <c r="NQ1454" s="29"/>
      <c r="NR1454" s="29"/>
      <c r="NS1454" s="29"/>
      <c r="NT1454" s="29"/>
      <c r="NU1454" s="29"/>
      <c r="NV1454" s="29"/>
      <c r="NW1454" s="29"/>
      <c r="NX1454" s="29"/>
      <c r="NY1454" s="29"/>
      <c r="NZ1454" s="29"/>
      <c r="OA1454" s="29"/>
      <c r="OB1454" s="29"/>
      <c r="OC1454" s="29"/>
      <c r="OD1454" s="29"/>
      <c r="OE1454" s="29"/>
      <c r="OF1454" s="29"/>
      <c r="OG1454" s="29"/>
      <c r="OH1454" s="29"/>
      <c r="OI1454" s="29"/>
      <c r="OJ1454" s="29"/>
      <c r="OK1454" s="29"/>
      <c r="OL1454" s="29"/>
      <c r="OM1454" s="29"/>
      <c r="ON1454" s="29"/>
      <c r="OO1454" s="29"/>
      <c r="OP1454" s="29"/>
      <c r="OQ1454" s="29"/>
      <c r="OR1454" s="29"/>
      <c r="OS1454" s="29"/>
      <c r="OT1454" s="29"/>
      <c r="OU1454" s="29"/>
      <c r="OV1454" s="29"/>
      <c r="OW1454" s="29"/>
      <c r="OX1454" s="29"/>
      <c r="OY1454" s="29"/>
      <c r="OZ1454" s="29"/>
      <c r="PA1454" s="29"/>
      <c r="PB1454" s="29"/>
      <c r="PC1454" s="29"/>
      <c r="PD1454" s="29"/>
      <c r="PE1454" s="29"/>
      <c r="PF1454" s="29"/>
      <c r="PG1454" s="29"/>
      <c r="PH1454" s="29"/>
      <c r="PI1454" s="29"/>
      <c r="PJ1454" s="29"/>
      <c r="PK1454" s="29"/>
      <c r="PL1454" s="29"/>
      <c r="PM1454" s="29"/>
      <c r="PN1454" s="29"/>
      <c r="PO1454" s="29"/>
      <c r="PP1454" s="29"/>
      <c r="PQ1454" s="29"/>
      <c r="PR1454" s="29"/>
      <c r="PS1454" s="29"/>
      <c r="PT1454" s="29"/>
      <c r="PU1454" s="29"/>
      <c r="PV1454" s="29"/>
      <c r="PW1454" s="29"/>
      <c r="PX1454" s="29"/>
      <c r="PY1454" s="29"/>
      <c r="PZ1454" s="29"/>
      <c r="QA1454" s="29"/>
      <c r="QB1454" s="29"/>
      <c r="QC1454" s="29"/>
      <c r="QD1454" s="29"/>
      <c r="QE1454" s="29"/>
      <c r="QF1454" s="29"/>
      <c r="QG1454" s="29"/>
      <c r="QH1454" s="29"/>
      <c r="QI1454" s="29"/>
      <c r="QJ1454" s="29"/>
      <c r="QK1454" s="29"/>
      <c r="QL1454" s="29"/>
      <c r="QM1454" s="29"/>
      <c r="QN1454" s="29"/>
      <c r="QO1454" s="29"/>
      <c r="QP1454" s="29"/>
      <c r="QQ1454" s="29"/>
      <c r="QR1454" s="29"/>
      <c r="QS1454" s="29"/>
      <c r="QT1454" s="29"/>
      <c r="QU1454" s="29"/>
      <c r="QV1454" s="29"/>
      <c r="QW1454" s="29"/>
      <c r="QX1454" s="29"/>
      <c r="QY1454" s="29"/>
      <c r="QZ1454" s="29"/>
      <c r="RA1454" s="29"/>
      <c r="RB1454" s="29"/>
      <c r="RC1454" s="29"/>
      <c r="RD1454" s="29"/>
      <c r="RE1454" s="29"/>
      <c r="RF1454" s="29"/>
      <c r="RG1454" s="29"/>
      <c r="RH1454" s="29"/>
      <c r="RI1454" s="29"/>
      <c r="RJ1454" s="29"/>
      <c r="RK1454" s="29"/>
      <c r="RL1454" s="29"/>
      <c r="RM1454" s="29"/>
      <c r="RN1454" s="29"/>
      <c r="RO1454" s="29"/>
      <c r="RP1454" s="29"/>
      <c r="RQ1454" s="29"/>
      <c r="RR1454" s="29"/>
      <c r="RS1454" s="29"/>
      <c r="RT1454" s="29"/>
      <c r="RU1454" s="29"/>
      <c r="RV1454" s="29"/>
      <c r="RW1454" s="29"/>
      <c r="RX1454" s="29"/>
      <c r="RY1454" s="29"/>
      <c r="RZ1454" s="29"/>
      <c r="SA1454" s="29"/>
      <c r="SB1454" s="29"/>
      <c r="SC1454" s="29"/>
      <c r="SD1454" s="29"/>
      <c r="SE1454" s="29"/>
      <c r="SF1454" s="29"/>
      <c r="SG1454" s="29"/>
      <c r="SH1454" s="29"/>
      <c r="SI1454" s="29"/>
      <c r="SJ1454" s="29"/>
      <c r="SK1454" s="29"/>
      <c r="SL1454" s="29"/>
      <c r="SM1454" s="29"/>
      <c r="SN1454" s="29"/>
      <c r="SO1454" s="29"/>
      <c r="SP1454" s="29"/>
      <c r="SQ1454" s="29"/>
      <c r="SR1454" s="29"/>
      <c r="SS1454" s="29"/>
      <c r="ST1454" s="29"/>
      <c r="SU1454" s="29"/>
      <c r="SV1454" s="29"/>
      <c r="SW1454" s="29"/>
      <c r="SX1454" s="29"/>
      <c r="SY1454" s="29"/>
      <c r="SZ1454" s="29"/>
      <c r="TA1454" s="29"/>
      <c r="TB1454" s="29"/>
      <c r="TC1454" s="29"/>
      <c r="TD1454" s="29"/>
      <c r="TE1454" s="29"/>
      <c r="TF1454" s="29"/>
      <c r="TG1454" s="29"/>
      <c r="TH1454" s="29"/>
      <c r="TI1454" s="29"/>
      <c r="TJ1454" s="29"/>
      <c r="TK1454" s="29"/>
      <c r="TL1454" s="29"/>
      <c r="TM1454" s="29"/>
      <c r="TN1454" s="29"/>
      <c r="TO1454" s="29"/>
      <c r="TP1454" s="29"/>
      <c r="TQ1454" s="29"/>
      <c r="TR1454" s="29"/>
      <c r="TS1454" s="29"/>
      <c r="TT1454" s="29"/>
      <c r="TU1454" s="29"/>
      <c r="TV1454" s="29"/>
      <c r="TW1454" s="29"/>
      <c r="TX1454" s="29"/>
      <c r="TY1454" s="29"/>
      <c r="TZ1454" s="29"/>
      <c r="UA1454" s="29"/>
      <c r="UB1454" s="29"/>
      <c r="UC1454" s="29"/>
      <c r="UD1454" s="29"/>
      <c r="UE1454" s="29"/>
      <c r="UF1454" s="29"/>
      <c r="UG1454" s="29"/>
    </row>
    <row r="1455" spans="1:553" ht="25.15" customHeight="1">
      <c r="A1455" s="356" t="s">
        <v>15</v>
      </c>
      <c r="B1455" s="385" t="s">
        <v>35</v>
      </c>
      <c r="C1455" s="1535" t="s">
        <v>785</v>
      </c>
      <c r="D1455" s="1389"/>
      <c r="E1455" s="1389"/>
      <c r="F1455" s="1390"/>
      <c r="G1455" s="417" t="s">
        <v>1303</v>
      </c>
      <c r="H1455" s="370"/>
      <c r="I1455" s="422">
        <f>(10.9+4.6+4.6)*0.5*2</f>
        <v>20.100000000000001</v>
      </c>
      <c r="J1455" s="368">
        <v>39000</v>
      </c>
      <c r="K1455" s="371"/>
      <c r="L1455" s="487">
        <f t="shared" si="222"/>
        <v>783900</v>
      </c>
      <c r="M1455" s="395"/>
      <c r="N1455" s="395"/>
      <c r="O1455" s="366"/>
      <c r="P1455" s="396"/>
      <c r="Q1455" s="473"/>
      <c r="R1455" s="1039"/>
      <c r="S1455" s="308"/>
      <c r="T1455" s="308"/>
      <c r="U1455" s="308"/>
      <c r="V1455" s="308"/>
      <c r="W1455" s="308"/>
      <c r="X1455" s="308"/>
      <c r="Y1455" s="308"/>
      <c r="Z1455" s="604"/>
      <c r="AA1455" s="308"/>
      <c r="AB1455" s="308"/>
      <c r="AC1455" s="486"/>
      <c r="AD1455" s="486"/>
      <c r="AE1455" s="486"/>
      <c r="AF1455" s="486"/>
      <c r="AG1455" s="486"/>
      <c r="AH1455" s="486"/>
      <c r="AI1455" s="486"/>
      <c r="AJ1455" s="486"/>
      <c r="AK1455" s="486"/>
      <c r="AL1455" s="206"/>
      <c r="AM1455" s="29"/>
      <c r="AN1455" s="29"/>
      <c r="AO1455" s="29"/>
      <c r="AP1455" s="29"/>
      <c r="AQ1455" s="29"/>
      <c r="AR1455" s="29"/>
      <c r="AS1455" s="29"/>
      <c r="AT1455" s="29"/>
      <c r="AU1455" s="29"/>
      <c r="AV1455" s="29"/>
      <c r="AW1455" s="29"/>
      <c r="AX1455" s="29"/>
      <c r="AY1455" s="29"/>
      <c r="AZ1455" s="29"/>
      <c r="BA1455" s="29"/>
      <c r="BB1455" s="29"/>
      <c r="BC1455" s="29"/>
      <c r="BD1455" s="29"/>
      <c r="BE1455" s="29"/>
      <c r="BF1455" s="29"/>
      <c r="BG1455" s="29"/>
      <c r="BH1455" s="29"/>
      <c r="BI1455" s="29"/>
      <c r="BJ1455" s="29"/>
      <c r="BK1455" s="29"/>
      <c r="BL1455" s="29"/>
      <c r="BM1455" s="29"/>
      <c r="BN1455" s="29"/>
      <c r="BO1455" s="29"/>
      <c r="BP1455" s="29"/>
      <c r="BQ1455" s="29"/>
      <c r="BR1455" s="29"/>
      <c r="BS1455" s="29"/>
      <c r="BT1455" s="29"/>
      <c r="BU1455" s="29"/>
      <c r="BV1455" s="29"/>
      <c r="BW1455" s="29"/>
      <c r="BX1455" s="29"/>
      <c r="BY1455" s="29"/>
      <c r="BZ1455" s="29"/>
      <c r="CA1455" s="29"/>
      <c r="CB1455" s="29"/>
      <c r="CC1455" s="29"/>
      <c r="CD1455" s="29"/>
      <c r="CE1455" s="29"/>
      <c r="CF1455" s="29"/>
      <c r="CG1455" s="29"/>
      <c r="CH1455" s="29"/>
      <c r="CI1455" s="29"/>
      <c r="CJ1455" s="29"/>
      <c r="CK1455" s="29"/>
      <c r="CL1455" s="29"/>
      <c r="CM1455" s="29"/>
      <c r="CN1455" s="29"/>
      <c r="CO1455" s="29"/>
      <c r="CP1455" s="29"/>
      <c r="CQ1455" s="29"/>
      <c r="CR1455" s="29"/>
      <c r="CS1455" s="29"/>
      <c r="CT1455" s="29"/>
      <c r="CU1455" s="29"/>
      <c r="CV1455" s="29"/>
      <c r="CW1455" s="29"/>
      <c r="CX1455" s="29"/>
      <c r="CY1455" s="29"/>
      <c r="CZ1455" s="29"/>
      <c r="DA1455" s="29"/>
      <c r="DB1455" s="29"/>
      <c r="DC1455" s="29"/>
      <c r="DD1455" s="29"/>
      <c r="DE1455" s="29"/>
      <c r="DF1455" s="29"/>
      <c r="DG1455" s="29"/>
      <c r="DH1455" s="29"/>
      <c r="DI1455" s="29"/>
      <c r="DJ1455" s="29"/>
      <c r="DK1455" s="29"/>
      <c r="DL1455" s="29"/>
      <c r="DM1455" s="29"/>
      <c r="DN1455" s="29"/>
      <c r="DO1455" s="29"/>
      <c r="DP1455" s="29"/>
      <c r="DQ1455" s="29"/>
      <c r="DR1455" s="29"/>
      <c r="DS1455" s="29"/>
      <c r="DT1455" s="29"/>
      <c r="DU1455" s="29"/>
      <c r="DV1455" s="29"/>
      <c r="DW1455" s="29"/>
      <c r="DX1455" s="29"/>
      <c r="DY1455" s="29"/>
      <c r="DZ1455" s="29"/>
      <c r="EA1455" s="29"/>
      <c r="EB1455" s="29"/>
      <c r="EC1455" s="29"/>
      <c r="ED1455" s="29"/>
      <c r="EE1455" s="29"/>
      <c r="EF1455" s="29"/>
      <c r="EG1455" s="29"/>
      <c r="EH1455" s="29"/>
      <c r="EI1455" s="29"/>
      <c r="EJ1455" s="29"/>
      <c r="EK1455" s="29"/>
      <c r="EL1455" s="29"/>
      <c r="EM1455" s="29"/>
      <c r="EN1455" s="29"/>
      <c r="EO1455" s="29"/>
      <c r="EP1455" s="29"/>
      <c r="EQ1455" s="29"/>
      <c r="ER1455" s="29"/>
      <c r="ES1455" s="29"/>
      <c r="ET1455" s="29"/>
      <c r="EU1455" s="29"/>
      <c r="EV1455" s="29"/>
      <c r="EW1455" s="29"/>
      <c r="EX1455" s="29"/>
      <c r="EY1455" s="29"/>
      <c r="EZ1455" s="29"/>
      <c r="FA1455" s="29"/>
      <c r="FB1455" s="29"/>
      <c r="FC1455" s="29"/>
      <c r="FD1455" s="29"/>
      <c r="FE1455" s="29"/>
      <c r="FF1455" s="29"/>
      <c r="FG1455" s="29"/>
      <c r="FH1455" s="29"/>
      <c r="FI1455" s="29"/>
      <c r="FJ1455" s="29"/>
      <c r="FK1455" s="29"/>
      <c r="FL1455" s="29"/>
      <c r="FM1455" s="29"/>
      <c r="FN1455" s="29"/>
      <c r="FO1455" s="29"/>
      <c r="FP1455" s="29"/>
      <c r="FQ1455" s="29"/>
      <c r="FR1455" s="29"/>
      <c r="FS1455" s="29"/>
      <c r="FT1455" s="29"/>
      <c r="FU1455" s="29"/>
      <c r="FV1455" s="29"/>
      <c r="FW1455" s="29"/>
      <c r="FX1455" s="29"/>
      <c r="FY1455" s="29"/>
      <c r="FZ1455" s="29"/>
      <c r="GA1455" s="29"/>
      <c r="GB1455" s="29"/>
      <c r="GC1455" s="29"/>
      <c r="GD1455" s="29"/>
      <c r="GE1455" s="29"/>
      <c r="GF1455" s="29"/>
      <c r="GG1455" s="29"/>
      <c r="GH1455" s="29"/>
      <c r="GI1455" s="29"/>
      <c r="GJ1455" s="29"/>
      <c r="GK1455" s="29"/>
      <c r="GL1455" s="29"/>
      <c r="GM1455" s="29"/>
      <c r="GN1455" s="29"/>
      <c r="GO1455" s="29"/>
      <c r="GP1455" s="29"/>
      <c r="GQ1455" s="29"/>
      <c r="GR1455" s="29"/>
      <c r="GS1455" s="29"/>
      <c r="GT1455" s="29"/>
      <c r="GU1455" s="29"/>
      <c r="GV1455" s="29"/>
      <c r="GW1455" s="29"/>
      <c r="GX1455" s="29"/>
      <c r="GY1455" s="29"/>
      <c r="GZ1455" s="29"/>
      <c r="HA1455" s="29"/>
      <c r="HB1455" s="29"/>
      <c r="HC1455" s="29"/>
      <c r="HD1455" s="29"/>
      <c r="HE1455" s="29"/>
      <c r="HF1455" s="29"/>
      <c r="HG1455" s="29"/>
      <c r="HH1455" s="29"/>
      <c r="HI1455" s="29"/>
      <c r="HJ1455" s="29"/>
      <c r="HK1455" s="29"/>
      <c r="HL1455" s="29"/>
      <c r="HM1455" s="29"/>
      <c r="HN1455" s="29"/>
      <c r="HO1455" s="29"/>
      <c r="HP1455" s="29"/>
      <c r="HQ1455" s="29"/>
      <c r="HR1455" s="29"/>
      <c r="HS1455" s="29"/>
      <c r="HT1455" s="29"/>
      <c r="HU1455" s="29"/>
      <c r="HV1455" s="29"/>
      <c r="HW1455" s="29"/>
      <c r="HX1455" s="29"/>
      <c r="HY1455" s="29"/>
      <c r="HZ1455" s="29"/>
      <c r="IA1455" s="29"/>
      <c r="IB1455" s="29"/>
      <c r="IC1455" s="29"/>
      <c r="ID1455" s="29"/>
      <c r="IE1455" s="29"/>
      <c r="IF1455" s="29"/>
      <c r="IG1455" s="29"/>
      <c r="IH1455" s="29"/>
      <c r="II1455" s="29"/>
      <c r="IJ1455" s="29"/>
      <c r="IK1455" s="29"/>
      <c r="IL1455" s="29"/>
      <c r="IM1455" s="29"/>
      <c r="IN1455" s="29"/>
      <c r="IO1455" s="29"/>
      <c r="IP1455" s="29"/>
      <c r="IQ1455" s="29"/>
      <c r="IR1455" s="29"/>
      <c r="IS1455" s="29"/>
      <c r="IT1455" s="29"/>
      <c r="IU1455" s="29"/>
      <c r="IV1455" s="29"/>
      <c r="IW1455" s="29"/>
      <c r="IX1455" s="29"/>
      <c r="IY1455" s="29"/>
      <c r="IZ1455" s="29"/>
      <c r="JA1455" s="29"/>
      <c r="JB1455" s="29"/>
      <c r="JC1455" s="29"/>
      <c r="JD1455" s="29"/>
      <c r="JE1455" s="29"/>
      <c r="JF1455" s="29"/>
      <c r="JG1455" s="29"/>
      <c r="JH1455" s="29"/>
      <c r="JI1455" s="29"/>
      <c r="JJ1455" s="29"/>
      <c r="JK1455" s="29"/>
      <c r="JL1455" s="29"/>
      <c r="JM1455" s="29"/>
      <c r="JN1455" s="29"/>
      <c r="JO1455" s="29"/>
      <c r="JP1455" s="29"/>
      <c r="JQ1455" s="29"/>
      <c r="JR1455" s="29"/>
      <c r="JS1455" s="29"/>
      <c r="JT1455" s="29"/>
      <c r="JU1455" s="29"/>
      <c r="JV1455" s="29"/>
      <c r="JW1455" s="29"/>
      <c r="JX1455" s="29"/>
      <c r="JY1455" s="29"/>
      <c r="JZ1455" s="29"/>
      <c r="KA1455" s="29"/>
      <c r="KB1455" s="29"/>
      <c r="KC1455" s="29"/>
      <c r="KD1455" s="29"/>
      <c r="KE1455" s="29"/>
      <c r="KF1455" s="29"/>
      <c r="KG1455" s="29"/>
      <c r="KH1455" s="29"/>
      <c r="KI1455" s="29"/>
      <c r="KJ1455" s="29"/>
      <c r="KK1455" s="29"/>
      <c r="KL1455" s="29"/>
      <c r="KM1455" s="29"/>
      <c r="KN1455" s="29"/>
      <c r="KO1455" s="29"/>
      <c r="KP1455" s="29"/>
      <c r="KQ1455" s="29"/>
      <c r="KR1455" s="29"/>
      <c r="KS1455" s="29"/>
      <c r="KT1455" s="29"/>
      <c r="KU1455" s="29"/>
      <c r="KV1455" s="29"/>
      <c r="KW1455" s="29"/>
      <c r="KX1455" s="29"/>
      <c r="KY1455" s="29"/>
      <c r="KZ1455" s="29"/>
      <c r="LA1455" s="29"/>
      <c r="LB1455" s="29"/>
      <c r="LC1455" s="29"/>
      <c r="LD1455" s="29"/>
      <c r="LE1455" s="29"/>
      <c r="LF1455" s="29"/>
      <c r="LG1455" s="29"/>
      <c r="LH1455" s="29"/>
      <c r="LI1455" s="29"/>
      <c r="LJ1455" s="29"/>
      <c r="LK1455" s="29"/>
      <c r="LL1455" s="29"/>
      <c r="LM1455" s="29"/>
      <c r="LN1455" s="29"/>
      <c r="LO1455" s="29"/>
      <c r="LP1455" s="29"/>
      <c r="LQ1455" s="29"/>
      <c r="LR1455" s="29"/>
      <c r="LS1455" s="29"/>
      <c r="LT1455" s="29"/>
      <c r="LU1455" s="29"/>
      <c r="LV1455" s="29"/>
      <c r="LW1455" s="29"/>
      <c r="LX1455" s="29"/>
      <c r="LY1455" s="29"/>
      <c r="LZ1455" s="29"/>
      <c r="MA1455" s="29"/>
      <c r="MB1455" s="29"/>
      <c r="MC1455" s="29"/>
      <c r="MD1455" s="29"/>
      <c r="ME1455" s="29"/>
      <c r="MF1455" s="29"/>
      <c r="MG1455" s="29"/>
      <c r="MH1455" s="29"/>
      <c r="MI1455" s="29"/>
      <c r="MJ1455" s="29"/>
      <c r="MK1455" s="29"/>
      <c r="ML1455" s="29"/>
      <c r="MM1455" s="29"/>
      <c r="MN1455" s="29"/>
      <c r="MO1455" s="29"/>
      <c r="MP1455" s="29"/>
      <c r="MQ1455" s="29"/>
      <c r="MR1455" s="29"/>
      <c r="MS1455" s="29"/>
      <c r="MT1455" s="29"/>
      <c r="MU1455" s="29"/>
      <c r="MV1455" s="29"/>
      <c r="MW1455" s="29"/>
      <c r="MX1455" s="29"/>
      <c r="MY1455" s="29"/>
      <c r="MZ1455" s="29"/>
      <c r="NA1455" s="29"/>
      <c r="NB1455" s="29"/>
      <c r="NC1455" s="29"/>
      <c r="ND1455" s="29"/>
      <c r="NE1455" s="29"/>
      <c r="NF1455" s="29"/>
      <c r="NG1455" s="29"/>
      <c r="NH1455" s="29"/>
      <c r="NI1455" s="29"/>
      <c r="NJ1455" s="29"/>
      <c r="NK1455" s="29"/>
      <c r="NL1455" s="29"/>
      <c r="NM1455" s="29"/>
      <c r="NN1455" s="29"/>
      <c r="NO1455" s="29"/>
      <c r="NP1455" s="29"/>
      <c r="NQ1455" s="29"/>
      <c r="NR1455" s="29"/>
      <c r="NS1455" s="29"/>
      <c r="NT1455" s="29"/>
      <c r="NU1455" s="29"/>
      <c r="NV1455" s="29"/>
      <c r="NW1455" s="29"/>
      <c r="NX1455" s="29"/>
      <c r="NY1455" s="29"/>
      <c r="NZ1455" s="29"/>
      <c r="OA1455" s="29"/>
      <c r="OB1455" s="29"/>
      <c r="OC1455" s="29"/>
      <c r="OD1455" s="29"/>
      <c r="OE1455" s="29"/>
      <c r="OF1455" s="29"/>
      <c r="OG1455" s="29"/>
      <c r="OH1455" s="29"/>
      <c r="OI1455" s="29"/>
      <c r="OJ1455" s="29"/>
      <c r="OK1455" s="29"/>
      <c r="OL1455" s="29"/>
      <c r="OM1455" s="29"/>
      <c r="ON1455" s="29"/>
      <c r="OO1455" s="29"/>
      <c r="OP1455" s="29"/>
      <c r="OQ1455" s="29"/>
      <c r="OR1455" s="29"/>
      <c r="OS1455" s="29"/>
      <c r="OT1455" s="29"/>
      <c r="OU1455" s="29"/>
      <c r="OV1455" s="29"/>
      <c r="OW1455" s="29"/>
      <c r="OX1455" s="29"/>
      <c r="OY1455" s="29"/>
      <c r="OZ1455" s="29"/>
      <c r="PA1455" s="29"/>
      <c r="PB1455" s="29"/>
      <c r="PC1455" s="29"/>
      <c r="PD1455" s="29"/>
      <c r="PE1455" s="29"/>
      <c r="PF1455" s="29"/>
      <c r="PG1455" s="29"/>
      <c r="PH1455" s="29"/>
      <c r="PI1455" s="29"/>
      <c r="PJ1455" s="29"/>
      <c r="PK1455" s="29"/>
      <c r="PL1455" s="29"/>
      <c r="PM1455" s="29"/>
      <c r="PN1455" s="29"/>
      <c r="PO1455" s="29"/>
      <c r="PP1455" s="29"/>
      <c r="PQ1455" s="29"/>
      <c r="PR1455" s="29"/>
      <c r="PS1455" s="29"/>
      <c r="PT1455" s="29"/>
      <c r="PU1455" s="29"/>
      <c r="PV1455" s="29"/>
      <c r="PW1455" s="29"/>
      <c r="PX1455" s="29"/>
      <c r="PY1455" s="29"/>
      <c r="PZ1455" s="29"/>
      <c r="QA1455" s="29"/>
      <c r="QB1455" s="29"/>
      <c r="QC1455" s="29"/>
      <c r="QD1455" s="29"/>
      <c r="QE1455" s="29"/>
      <c r="QF1455" s="29"/>
      <c r="QG1455" s="29"/>
      <c r="QH1455" s="29"/>
      <c r="QI1455" s="29"/>
      <c r="QJ1455" s="29"/>
      <c r="QK1455" s="29"/>
      <c r="QL1455" s="29"/>
      <c r="QM1455" s="29"/>
      <c r="QN1455" s="29"/>
      <c r="QO1455" s="29"/>
      <c r="QP1455" s="29"/>
      <c r="QQ1455" s="29"/>
      <c r="QR1455" s="29"/>
      <c r="QS1455" s="29"/>
      <c r="QT1455" s="29"/>
      <c r="QU1455" s="29"/>
      <c r="QV1455" s="29"/>
      <c r="QW1455" s="29"/>
      <c r="QX1455" s="29"/>
      <c r="QY1455" s="29"/>
      <c r="QZ1455" s="29"/>
      <c r="RA1455" s="29"/>
      <c r="RB1455" s="29"/>
      <c r="RC1455" s="29"/>
      <c r="RD1455" s="29"/>
      <c r="RE1455" s="29"/>
      <c r="RF1455" s="29"/>
      <c r="RG1455" s="29"/>
      <c r="RH1455" s="29"/>
      <c r="RI1455" s="29"/>
      <c r="RJ1455" s="29"/>
      <c r="RK1455" s="29"/>
      <c r="RL1455" s="29"/>
      <c r="RM1455" s="29"/>
      <c r="RN1455" s="29"/>
      <c r="RO1455" s="29"/>
      <c r="RP1455" s="29"/>
      <c r="RQ1455" s="29"/>
      <c r="RR1455" s="29"/>
      <c r="RS1455" s="29"/>
      <c r="RT1455" s="29"/>
      <c r="RU1455" s="29"/>
      <c r="RV1455" s="29"/>
      <c r="RW1455" s="29"/>
      <c r="RX1455" s="29"/>
      <c r="RY1455" s="29"/>
      <c r="RZ1455" s="29"/>
      <c r="SA1455" s="29"/>
      <c r="SB1455" s="29"/>
      <c r="SC1455" s="29"/>
      <c r="SD1455" s="29"/>
      <c r="SE1455" s="29"/>
      <c r="SF1455" s="29"/>
      <c r="SG1455" s="29"/>
      <c r="SH1455" s="29"/>
      <c r="SI1455" s="29"/>
      <c r="SJ1455" s="29"/>
      <c r="SK1455" s="29"/>
      <c r="SL1455" s="29"/>
      <c r="SM1455" s="29"/>
      <c r="SN1455" s="29"/>
      <c r="SO1455" s="29"/>
      <c r="SP1455" s="29"/>
      <c r="SQ1455" s="29"/>
      <c r="SR1455" s="29"/>
      <c r="SS1455" s="29"/>
      <c r="ST1455" s="29"/>
      <c r="SU1455" s="29"/>
      <c r="SV1455" s="29"/>
      <c r="SW1455" s="29"/>
      <c r="SX1455" s="29"/>
      <c r="SY1455" s="29"/>
      <c r="SZ1455" s="29"/>
      <c r="TA1455" s="29"/>
      <c r="TB1455" s="29"/>
      <c r="TC1455" s="29"/>
      <c r="TD1455" s="29"/>
      <c r="TE1455" s="29"/>
      <c r="TF1455" s="29"/>
      <c r="TG1455" s="29"/>
      <c r="TH1455" s="29"/>
      <c r="TI1455" s="29"/>
      <c r="TJ1455" s="29"/>
      <c r="TK1455" s="29"/>
      <c r="TL1455" s="29"/>
      <c r="TM1455" s="29"/>
      <c r="TN1455" s="29"/>
      <c r="TO1455" s="29"/>
      <c r="TP1455" s="29"/>
      <c r="TQ1455" s="29"/>
      <c r="TR1455" s="29"/>
      <c r="TS1455" s="29"/>
      <c r="TT1455" s="29"/>
      <c r="TU1455" s="29"/>
      <c r="TV1455" s="29"/>
      <c r="TW1455" s="29"/>
      <c r="TX1455" s="29"/>
      <c r="TY1455" s="29"/>
      <c r="TZ1455" s="29"/>
      <c r="UA1455" s="29"/>
      <c r="UB1455" s="29"/>
      <c r="UC1455" s="29"/>
      <c r="UD1455" s="29"/>
      <c r="UE1455" s="29"/>
      <c r="UF1455" s="29"/>
      <c r="UG1455" s="29"/>
    </row>
    <row r="1456" spans="1:553" ht="25.15" customHeight="1">
      <c r="A1456" s="356" t="s">
        <v>15</v>
      </c>
      <c r="B1456" s="385" t="s">
        <v>35</v>
      </c>
      <c r="C1456" s="1535" t="s">
        <v>786</v>
      </c>
      <c r="D1456" s="1389"/>
      <c r="E1456" s="1389"/>
      <c r="F1456" s="1390"/>
      <c r="G1456" s="417" t="s">
        <v>1303</v>
      </c>
      <c r="H1456" s="370"/>
      <c r="I1456" s="834">
        <f>5.5*10.9*2</f>
        <v>119.9</v>
      </c>
      <c r="J1456" s="368">
        <v>39000</v>
      </c>
      <c r="K1456" s="371"/>
      <c r="L1456" s="487">
        <f t="shared" si="222"/>
        <v>4676100</v>
      </c>
      <c r="M1456" s="395"/>
      <c r="N1456" s="395"/>
      <c r="O1456" s="366"/>
      <c r="P1456" s="396"/>
      <c r="Q1456" s="473"/>
      <c r="R1456" s="1039"/>
      <c r="S1456" s="308"/>
      <c r="T1456" s="308"/>
      <c r="U1456" s="308"/>
      <c r="V1456" s="308"/>
      <c r="W1456" s="308"/>
      <c r="X1456" s="308"/>
      <c r="Y1456" s="308"/>
      <c r="Z1456" s="604"/>
      <c r="AA1456" s="308"/>
      <c r="AB1456" s="308"/>
      <c r="AC1456" s="486"/>
      <c r="AD1456" s="486"/>
      <c r="AE1456" s="486"/>
      <c r="AF1456" s="486"/>
      <c r="AG1456" s="486"/>
      <c r="AH1456" s="486"/>
      <c r="AI1456" s="486"/>
      <c r="AJ1456" s="486"/>
      <c r="AK1456" s="486"/>
      <c r="AL1456" s="206"/>
      <c r="AM1456" s="29"/>
      <c r="AN1456" s="29"/>
      <c r="AO1456" s="29"/>
      <c r="AP1456" s="29"/>
      <c r="AQ1456" s="29"/>
      <c r="AR1456" s="29"/>
      <c r="AS1456" s="29"/>
      <c r="AT1456" s="29"/>
      <c r="AU1456" s="29"/>
      <c r="AV1456" s="29"/>
      <c r="AW1456" s="29"/>
      <c r="AX1456" s="29"/>
      <c r="AY1456" s="29"/>
      <c r="AZ1456" s="29"/>
      <c r="BA1456" s="29"/>
      <c r="BB1456" s="29"/>
      <c r="BC1456" s="29"/>
      <c r="BD1456" s="29"/>
      <c r="BE1456" s="29"/>
      <c r="BF1456" s="29"/>
      <c r="BG1456" s="29"/>
      <c r="BH1456" s="29"/>
      <c r="BI1456" s="29"/>
      <c r="BJ1456" s="29"/>
      <c r="BK1456" s="29"/>
      <c r="BL1456" s="29"/>
      <c r="BM1456" s="29"/>
      <c r="BN1456" s="29"/>
      <c r="BO1456" s="29"/>
      <c r="BP1456" s="29"/>
      <c r="BQ1456" s="29"/>
      <c r="BR1456" s="29"/>
      <c r="BS1456" s="29"/>
      <c r="BT1456" s="29"/>
      <c r="BU1456" s="29"/>
      <c r="BV1456" s="29"/>
      <c r="BW1456" s="29"/>
      <c r="BX1456" s="29"/>
      <c r="BY1456" s="29"/>
      <c r="BZ1456" s="29"/>
      <c r="CA1456" s="29"/>
      <c r="CB1456" s="29"/>
      <c r="CC1456" s="29"/>
      <c r="CD1456" s="29"/>
      <c r="CE1456" s="29"/>
      <c r="CF1456" s="29"/>
      <c r="CG1456" s="29"/>
      <c r="CH1456" s="29"/>
      <c r="CI1456" s="29"/>
      <c r="CJ1456" s="29"/>
      <c r="CK1456" s="29"/>
      <c r="CL1456" s="29"/>
      <c r="CM1456" s="29"/>
      <c r="CN1456" s="29"/>
      <c r="CO1456" s="29"/>
      <c r="CP1456" s="29"/>
      <c r="CQ1456" s="29"/>
      <c r="CR1456" s="29"/>
      <c r="CS1456" s="29"/>
      <c r="CT1456" s="29"/>
      <c r="CU1456" s="29"/>
      <c r="CV1456" s="29"/>
      <c r="CW1456" s="29"/>
      <c r="CX1456" s="29"/>
      <c r="CY1456" s="29"/>
      <c r="CZ1456" s="29"/>
      <c r="DA1456" s="29"/>
      <c r="DB1456" s="29"/>
      <c r="DC1456" s="29"/>
      <c r="DD1456" s="29"/>
      <c r="DE1456" s="29"/>
      <c r="DF1456" s="29"/>
      <c r="DG1456" s="29"/>
      <c r="DH1456" s="29"/>
      <c r="DI1456" s="29"/>
      <c r="DJ1456" s="29"/>
      <c r="DK1456" s="29"/>
      <c r="DL1456" s="29"/>
      <c r="DM1456" s="29"/>
      <c r="DN1456" s="29"/>
      <c r="DO1456" s="29"/>
      <c r="DP1456" s="29"/>
      <c r="DQ1456" s="29"/>
      <c r="DR1456" s="29"/>
      <c r="DS1456" s="29"/>
      <c r="DT1456" s="29"/>
      <c r="DU1456" s="29"/>
      <c r="DV1456" s="29"/>
      <c r="DW1456" s="29"/>
      <c r="DX1456" s="29"/>
      <c r="DY1456" s="29"/>
      <c r="DZ1456" s="29"/>
      <c r="EA1456" s="29"/>
      <c r="EB1456" s="29"/>
      <c r="EC1456" s="29"/>
      <c r="ED1456" s="29"/>
      <c r="EE1456" s="29"/>
      <c r="EF1456" s="29"/>
      <c r="EG1456" s="29"/>
      <c r="EH1456" s="29"/>
      <c r="EI1456" s="29"/>
      <c r="EJ1456" s="29"/>
      <c r="EK1456" s="29"/>
      <c r="EL1456" s="29"/>
      <c r="EM1456" s="29"/>
      <c r="EN1456" s="29"/>
      <c r="EO1456" s="29"/>
      <c r="EP1456" s="29"/>
      <c r="EQ1456" s="29"/>
      <c r="ER1456" s="29"/>
      <c r="ES1456" s="29"/>
      <c r="ET1456" s="29"/>
      <c r="EU1456" s="29"/>
      <c r="EV1456" s="29"/>
      <c r="EW1456" s="29"/>
      <c r="EX1456" s="29"/>
      <c r="EY1456" s="29"/>
      <c r="EZ1456" s="29"/>
      <c r="FA1456" s="29"/>
      <c r="FB1456" s="29"/>
      <c r="FC1456" s="29"/>
      <c r="FD1456" s="29"/>
      <c r="FE1456" s="29"/>
      <c r="FF1456" s="29"/>
      <c r="FG1456" s="29"/>
      <c r="FH1456" s="29"/>
      <c r="FI1456" s="29"/>
      <c r="FJ1456" s="29"/>
      <c r="FK1456" s="29"/>
      <c r="FL1456" s="29"/>
      <c r="FM1456" s="29"/>
      <c r="FN1456" s="29"/>
      <c r="FO1456" s="29"/>
      <c r="FP1456" s="29"/>
      <c r="FQ1456" s="29"/>
      <c r="FR1456" s="29"/>
      <c r="FS1456" s="29"/>
      <c r="FT1456" s="29"/>
      <c r="FU1456" s="29"/>
      <c r="FV1456" s="29"/>
      <c r="FW1456" s="29"/>
      <c r="FX1456" s="29"/>
      <c r="FY1456" s="29"/>
      <c r="FZ1456" s="29"/>
      <c r="GA1456" s="29"/>
      <c r="GB1456" s="29"/>
      <c r="GC1456" s="29"/>
      <c r="GD1456" s="29"/>
      <c r="GE1456" s="29"/>
      <c r="GF1456" s="29"/>
      <c r="GG1456" s="29"/>
      <c r="GH1456" s="29"/>
      <c r="GI1456" s="29"/>
      <c r="GJ1456" s="29"/>
      <c r="GK1456" s="29"/>
      <c r="GL1456" s="29"/>
      <c r="GM1456" s="29"/>
      <c r="GN1456" s="29"/>
      <c r="GO1456" s="29"/>
      <c r="GP1456" s="29"/>
      <c r="GQ1456" s="29"/>
      <c r="GR1456" s="29"/>
      <c r="GS1456" s="29"/>
      <c r="GT1456" s="29"/>
      <c r="GU1456" s="29"/>
      <c r="GV1456" s="29"/>
      <c r="GW1456" s="29"/>
      <c r="GX1456" s="29"/>
      <c r="GY1456" s="29"/>
      <c r="GZ1456" s="29"/>
      <c r="HA1456" s="29"/>
      <c r="HB1456" s="29"/>
      <c r="HC1456" s="29"/>
      <c r="HD1456" s="29"/>
      <c r="HE1456" s="29"/>
      <c r="HF1456" s="29"/>
      <c r="HG1456" s="29"/>
      <c r="HH1456" s="29"/>
      <c r="HI1456" s="29"/>
      <c r="HJ1456" s="29"/>
      <c r="HK1456" s="29"/>
      <c r="HL1456" s="29"/>
      <c r="HM1456" s="29"/>
      <c r="HN1456" s="29"/>
      <c r="HO1456" s="29"/>
      <c r="HP1456" s="29"/>
      <c r="HQ1456" s="29"/>
      <c r="HR1456" s="29"/>
      <c r="HS1456" s="29"/>
      <c r="HT1456" s="29"/>
      <c r="HU1456" s="29"/>
      <c r="HV1456" s="29"/>
      <c r="HW1456" s="29"/>
      <c r="HX1456" s="29"/>
      <c r="HY1456" s="29"/>
      <c r="HZ1456" s="29"/>
      <c r="IA1456" s="29"/>
      <c r="IB1456" s="29"/>
      <c r="IC1456" s="29"/>
      <c r="ID1456" s="29"/>
      <c r="IE1456" s="29"/>
      <c r="IF1456" s="29"/>
      <c r="IG1456" s="29"/>
      <c r="IH1456" s="29"/>
      <c r="II1456" s="29"/>
      <c r="IJ1456" s="29"/>
      <c r="IK1456" s="29"/>
      <c r="IL1456" s="29"/>
      <c r="IM1456" s="29"/>
      <c r="IN1456" s="29"/>
      <c r="IO1456" s="29"/>
      <c r="IP1456" s="29"/>
      <c r="IQ1456" s="29"/>
      <c r="IR1456" s="29"/>
      <c r="IS1456" s="29"/>
      <c r="IT1456" s="29"/>
      <c r="IU1456" s="29"/>
      <c r="IV1456" s="29"/>
      <c r="IW1456" s="29"/>
      <c r="IX1456" s="29"/>
      <c r="IY1456" s="29"/>
      <c r="IZ1456" s="29"/>
      <c r="JA1456" s="29"/>
      <c r="JB1456" s="29"/>
      <c r="JC1456" s="29"/>
      <c r="JD1456" s="29"/>
      <c r="JE1456" s="29"/>
      <c r="JF1456" s="29"/>
      <c r="JG1456" s="29"/>
      <c r="JH1456" s="29"/>
      <c r="JI1456" s="29"/>
      <c r="JJ1456" s="29"/>
      <c r="JK1456" s="29"/>
      <c r="JL1456" s="29"/>
      <c r="JM1456" s="29"/>
      <c r="JN1456" s="29"/>
      <c r="JO1456" s="29"/>
      <c r="JP1456" s="29"/>
      <c r="JQ1456" s="29"/>
      <c r="JR1456" s="29"/>
      <c r="JS1456" s="29"/>
      <c r="JT1456" s="29"/>
      <c r="JU1456" s="29"/>
      <c r="JV1456" s="29"/>
      <c r="JW1456" s="29"/>
      <c r="JX1456" s="29"/>
      <c r="JY1456" s="29"/>
      <c r="JZ1456" s="29"/>
      <c r="KA1456" s="29"/>
      <c r="KB1456" s="29"/>
      <c r="KC1456" s="29"/>
      <c r="KD1456" s="29"/>
      <c r="KE1456" s="29"/>
      <c r="KF1456" s="29"/>
      <c r="KG1456" s="29"/>
      <c r="KH1456" s="29"/>
      <c r="KI1456" s="29"/>
      <c r="KJ1456" s="29"/>
      <c r="KK1456" s="29"/>
      <c r="KL1456" s="29"/>
      <c r="KM1456" s="29"/>
      <c r="KN1456" s="29"/>
      <c r="KO1456" s="29"/>
      <c r="KP1456" s="29"/>
      <c r="KQ1456" s="29"/>
      <c r="KR1456" s="29"/>
      <c r="KS1456" s="29"/>
      <c r="KT1456" s="29"/>
      <c r="KU1456" s="29"/>
      <c r="KV1456" s="29"/>
      <c r="KW1456" s="29"/>
      <c r="KX1456" s="29"/>
      <c r="KY1456" s="29"/>
      <c r="KZ1456" s="29"/>
      <c r="LA1456" s="29"/>
      <c r="LB1456" s="29"/>
      <c r="LC1456" s="29"/>
      <c r="LD1456" s="29"/>
      <c r="LE1456" s="29"/>
      <c r="LF1456" s="29"/>
      <c r="LG1456" s="29"/>
      <c r="LH1456" s="29"/>
      <c r="LI1456" s="29"/>
      <c r="LJ1456" s="29"/>
      <c r="LK1456" s="29"/>
      <c r="LL1456" s="29"/>
      <c r="LM1456" s="29"/>
      <c r="LN1456" s="29"/>
      <c r="LO1456" s="29"/>
      <c r="LP1456" s="29"/>
      <c r="LQ1456" s="29"/>
      <c r="LR1456" s="29"/>
      <c r="LS1456" s="29"/>
      <c r="LT1456" s="29"/>
      <c r="LU1456" s="29"/>
      <c r="LV1456" s="29"/>
      <c r="LW1456" s="29"/>
      <c r="LX1456" s="29"/>
      <c r="LY1456" s="29"/>
      <c r="LZ1456" s="29"/>
      <c r="MA1456" s="29"/>
      <c r="MB1456" s="29"/>
      <c r="MC1456" s="29"/>
      <c r="MD1456" s="29"/>
      <c r="ME1456" s="29"/>
      <c r="MF1456" s="29"/>
      <c r="MG1456" s="29"/>
      <c r="MH1456" s="29"/>
      <c r="MI1456" s="29"/>
      <c r="MJ1456" s="29"/>
      <c r="MK1456" s="29"/>
      <c r="ML1456" s="29"/>
      <c r="MM1456" s="29"/>
      <c r="MN1456" s="29"/>
      <c r="MO1456" s="29"/>
      <c r="MP1456" s="29"/>
      <c r="MQ1456" s="29"/>
      <c r="MR1456" s="29"/>
      <c r="MS1456" s="29"/>
      <c r="MT1456" s="29"/>
      <c r="MU1456" s="29"/>
      <c r="MV1456" s="29"/>
      <c r="MW1456" s="29"/>
      <c r="MX1456" s="29"/>
      <c r="MY1456" s="29"/>
      <c r="MZ1456" s="29"/>
      <c r="NA1456" s="29"/>
      <c r="NB1456" s="29"/>
      <c r="NC1456" s="29"/>
      <c r="ND1456" s="29"/>
      <c r="NE1456" s="29"/>
      <c r="NF1456" s="29"/>
      <c r="NG1456" s="29"/>
      <c r="NH1456" s="29"/>
      <c r="NI1456" s="29"/>
      <c r="NJ1456" s="29"/>
      <c r="NK1456" s="29"/>
      <c r="NL1456" s="29"/>
      <c r="NM1456" s="29"/>
      <c r="NN1456" s="29"/>
      <c r="NO1456" s="29"/>
      <c r="NP1456" s="29"/>
      <c r="NQ1456" s="29"/>
      <c r="NR1456" s="29"/>
      <c r="NS1456" s="29"/>
      <c r="NT1456" s="29"/>
      <c r="NU1456" s="29"/>
      <c r="NV1456" s="29"/>
      <c r="NW1456" s="29"/>
      <c r="NX1456" s="29"/>
      <c r="NY1456" s="29"/>
      <c r="NZ1456" s="29"/>
      <c r="OA1456" s="29"/>
      <c r="OB1456" s="29"/>
      <c r="OC1456" s="29"/>
      <c r="OD1456" s="29"/>
      <c r="OE1456" s="29"/>
      <c r="OF1456" s="29"/>
      <c r="OG1456" s="29"/>
      <c r="OH1456" s="29"/>
      <c r="OI1456" s="29"/>
      <c r="OJ1456" s="29"/>
      <c r="OK1456" s="29"/>
      <c r="OL1456" s="29"/>
      <c r="OM1456" s="29"/>
      <c r="ON1456" s="29"/>
      <c r="OO1456" s="29"/>
      <c r="OP1456" s="29"/>
      <c r="OQ1456" s="29"/>
      <c r="OR1456" s="29"/>
      <c r="OS1456" s="29"/>
      <c r="OT1456" s="29"/>
      <c r="OU1456" s="29"/>
      <c r="OV1456" s="29"/>
      <c r="OW1456" s="29"/>
      <c r="OX1456" s="29"/>
      <c r="OY1456" s="29"/>
      <c r="OZ1456" s="29"/>
      <c r="PA1456" s="29"/>
      <c r="PB1456" s="29"/>
      <c r="PC1456" s="29"/>
      <c r="PD1456" s="29"/>
      <c r="PE1456" s="29"/>
      <c r="PF1456" s="29"/>
      <c r="PG1456" s="29"/>
      <c r="PH1456" s="29"/>
      <c r="PI1456" s="29"/>
      <c r="PJ1456" s="29"/>
      <c r="PK1456" s="29"/>
      <c r="PL1456" s="29"/>
      <c r="PM1456" s="29"/>
      <c r="PN1456" s="29"/>
      <c r="PO1456" s="29"/>
      <c r="PP1456" s="29"/>
      <c r="PQ1456" s="29"/>
      <c r="PR1456" s="29"/>
      <c r="PS1456" s="29"/>
      <c r="PT1456" s="29"/>
      <c r="PU1456" s="29"/>
      <c r="PV1456" s="29"/>
      <c r="PW1456" s="29"/>
      <c r="PX1456" s="29"/>
      <c r="PY1456" s="29"/>
      <c r="PZ1456" s="29"/>
      <c r="QA1456" s="29"/>
      <c r="QB1456" s="29"/>
      <c r="QC1456" s="29"/>
      <c r="QD1456" s="29"/>
      <c r="QE1456" s="29"/>
      <c r="QF1456" s="29"/>
      <c r="QG1456" s="29"/>
      <c r="QH1456" s="29"/>
      <c r="QI1456" s="29"/>
      <c r="QJ1456" s="29"/>
      <c r="QK1456" s="29"/>
      <c r="QL1456" s="29"/>
      <c r="QM1456" s="29"/>
      <c r="QN1456" s="29"/>
      <c r="QO1456" s="29"/>
      <c r="QP1456" s="29"/>
      <c r="QQ1456" s="29"/>
      <c r="QR1456" s="29"/>
      <c r="QS1456" s="29"/>
      <c r="QT1456" s="29"/>
      <c r="QU1456" s="29"/>
      <c r="QV1456" s="29"/>
      <c r="QW1456" s="29"/>
      <c r="QX1456" s="29"/>
      <c r="QY1456" s="29"/>
      <c r="QZ1456" s="29"/>
      <c r="RA1456" s="29"/>
      <c r="RB1456" s="29"/>
      <c r="RC1456" s="29"/>
      <c r="RD1456" s="29"/>
      <c r="RE1456" s="29"/>
      <c r="RF1456" s="29"/>
      <c r="RG1456" s="29"/>
      <c r="RH1456" s="29"/>
      <c r="RI1456" s="29"/>
      <c r="RJ1456" s="29"/>
      <c r="RK1456" s="29"/>
      <c r="RL1456" s="29"/>
      <c r="RM1456" s="29"/>
      <c r="RN1456" s="29"/>
      <c r="RO1456" s="29"/>
      <c r="RP1456" s="29"/>
      <c r="RQ1456" s="29"/>
      <c r="RR1456" s="29"/>
      <c r="RS1456" s="29"/>
      <c r="RT1456" s="29"/>
      <c r="RU1456" s="29"/>
      <c r="RV1456" s="29"/>
      <c r="RW1456" s="29"/>
      <c r="RX1456" s="29"/>
      <c r="RY1456" s="29"/>
      <c r="RZ1456" s="29"/>
      <c r="SA1456" s="29"/>
      <c r="SB1456" s="29"/>
      <c r="SC1456" s="29"/>
      <c r="SD1456" s="29"/>
      <c r="SE1456" s="29"/>
      <c r="SF1456" s="29"/>
      <c r="SG1456" s="29"/>
      <c r="SH1456" s="29"/>
      <c r="SI1456" s="29"/>
      <c r="SJ1456" s="29"/>
      <c r="SK1456" s="29"/>
      <c r="SL1456" s="29"/>
      <c r="SM1456" s="29"/>
      <c r="SN1456" s="29"/>
      <c r="SO1456" s="29"/>
      <c r="SP1456" s="29"/>
      <c r="SQ1456" s="29"/>
      <c r="SR1456" s="29"/>
      <c r="SS1456" s="29"/>
      <c r="ST1456" s="29"/>
      <c r="SU1456" s="29"/>
      <c r="SV1456" s="29"/>
      <c r="SW1456" s="29"/>
      <c r="SX1456" s="29"/>
      <c r="SY1456" s="29"/>
      <c r="SZ1456" s="29"/>
      <c r="TA1456" s="29"/>
      <c r="TB1456" s="29"/>
      <c r="TC1456" s="29"/>
      <c r="TD1456" s="29"/>
      <c r="TE1456" s="29"/>
      <c r="TF1456" s="29"/>
      <c r="TG1456" s="29"/>
      <c r="TH1456" s="29"/>
      <c r="TI1456" s="29"/>
      <c r="TJ1456" s="29"/>
      <c r="TK1456" s="29"/>
      <c r="TL1456" s="29"/>
      <c r="TM1456" s="29"/>
      <c r="TN1456" s="29"/>
      <c r="TO1456" s="29"/>
      <c r="TP1456" s="29"/>
      <c r="TQ1456" s="29"/>
      <c r="TR1456" s="29"/>
      <c r="TS1456" s="29"/>
      <c r="TT1456" s="29"/>
      <c r="TU1456" s="29"/>
      <c r="TV1456" s="29"/>
      <c r="TW1456" s="29"/>
      <c r="TX1456" s="29"/>
      <c r="TY1456" s="29"/>
      <c r="TZ1456" s="29"/>
      <c r="UA1456" s="29"/>
      <c r="UB1456" s="29"/>
      <c r="UC1456" s="29"/>
      <c r="UD1456" s="29"/>
      <c r="UE1456" s="29"/>
      <c r="UF1456" s="29"/>
      <c r="UG1456" s="29"/>
    </row>
    <row r="1457" spans="1:553" ht="25.15" customHeight="1">
      <c r="A1457" s="356" t="s">
        <v>15</v>
      </c>
      <c r="B1457" s="385" t="s">
        <v>35</v>
      </c>
      <c r="C1457" s="1535" t="s">
        <v>787</v>
      </c>
      <c r="D1457" s="1389"/>
      <c r="E1457" s="1389"/>
      <c r="F1457" s="1390"/>
      <c r="G1457" s="417" t="s">
        <v>1303</v>
      </c>
      <c r="H1457" s="370"/>
      <c r="I1457" s="422">
        <f>0.22*3.14*5.5*6</f>
        <v>22.796400000000002</v>
      </c>
      <c r="J1457" s="368">
        <v>39000</v>
      </c>
      <c r="K1457" s="371"/>
      <c r="L1457" s="487">
        <f t="shared" si="222"/>
        <v>889060</v>
      </c>
      <c r="M1457" s="395"/>
      <c r="N1457" s="395"/>
      <c r="O1457" s="366"/>
      <c r="P1457" s="396"/>
      <c r="Q1457" s="473"/>
      <c r="R1457" s="1039"/>
      <c r="S1457" s="308"/>
      <c r="T1457" s="308"/>
      <c r="U1457" s="308"/>
      <c r="V1457" s="308"/>
      <c r="W1457" s="308"/>
      <c r="X1457" s="308"/>
      <c r="Y1457" s="308"/>
      <c r="Z1457" s="604"/>
      <c r="AA1457" s="308"/>
      <c r="AB1457" s="308"/>
      <c r="AC1457" s="486"/>
      <c r="AD1457" s="486"/>
      <c r="AE1457" s="486"/>
      <c r="AF1457" s="486"/>
      <c r="AG1457" s="486"/>
      <c r="AH1457" s="486"/>
      <c r="AI1457" s="486"/>
      <c r="AJ1457" s="486"/>
      <c r="AK1457" s="486"/>
      <c r="AL1457" s="206"/>
      <c r="AM1457" s="29"/>
      <c r="AN1457" s="29"/>
      <c r="AO1457" s="29"/>
      <c r="AP1457" s="29"/>
      <c r="AQ1457" s="29"/>
      <c r="AR1457" s="29"/>
      <c r="AS1457" s="29"/>
      <c r="AT1457" s="29"/>
      <c r="AU1457" s="29"/>
      <c r="AV1457" s="29"/>
      <c r="AW1457" s="29"/>
      <c r="AX1457" s="29"/>
      <c r="AY1457" s="29"/>
      <c r="AZ1457" s="29"/>
      <c r="BA1457" s="29"/>
      <c r="BB1457" s="29"/>
      <c r="BC1457" s="29"/>
      <c r="BD1457" s="29"/>
      <c r="BE1457" s="29"/>
      <c r="BF1457" s="29"/>
      <c r="BG1457" s="29"/>
      <c r="BH1457" s="29"/>
      <c r="BI1457" s="29"/>
      <c r="BJ1457" s="29"/>
      <c r="BK1457" s="29"/>
      <c r="BL1457" s="29"/>
      <c r="BM1457" s="29"/>
      <c r="BN1457" s="29"/>
      <c r="BO1457" s="29"/>
      <c r="BP1457" s="29"/>
      <c r="BQ1457" s="29"/>
      <c r="BR1457" s="29"/>
      <c r="BS1457" s="29"/>
      <c r="BT1457" s="29"/>
      <c r="BU1457" s="29"/>
      <c r="BV1457" s="29"/>
      <c r="BW1457" s="29"/>
      <c r="BX1457" s="29"/>
      <c r="BY1457" s="29"/>
      <c r="BZ1457" s="29"/>
      <c r="CA1457" s="29"/>
      <c r="CB1457" s="29"/>
      <c r="CC1457" s="29"/>
      <c r="CD1457" s="29"/>
      <c r="CE1457" s="29"/>
      <c r="CF1457" s="29"/>
      <c r="CG1457" s="29"/>
      <c r="CH1457" s="29"/>
      <c r="CI1457" s="29"/>
      <c r="CJ1457" s="29"/>
      <c r="CK1457" s="29"/>
      <c r="CL1457" s="29"/>
      <c r="CM1457" s="29"/>
      <c r="CN1457" s="29"/>
      <c r="CO1457" s="29"/>
      <c r="CP1457" s="29"/>
      <c r="CQ1457" s="29"/>
      <c r="CR1457" s="29"/>
      <c r="CS1457" s="29"/>
      <c r="CT1457" s="29"/>
      <c r="CU1457" s="29"/>
      <c r="CV1457" s="29"/>
      <c r="CW1457" s="29"/>
      <c r="CX1457" s="29"/>
      <c r="CY1457" s="29"/>
      <c r="CZ1457" s="29"/>
      <c r="DA1457" s="29"/>
      <c r="DB1457" s="29"/>
      <c r="DC1457" s="29"/>
      <c r="DD1457" s="29"/>
      <c r="DE1457" s="29"/>
      <c r="DF1457" s="29"/>
      <c r="DG1457" s="29"/>
      <c r="DH1457" s="29"/>
      <c r="DI1457" s="29"/>
      <c r="DJ1457" s="29"/>
      <c r="DK1457" s="29"/>
      <c r="DL1457" s="29"/>
      <c r="DM1457" s="29"/>
      <c r="DN1457" s="29"/>
      <c r="DO1457" s="29"/>
      <c r="DP1457" s="29"/>
      <c r="DQ1457" s="29"/>
      <c r="DR1457" s="29"/>
      <c r="DS1457" s="29"/>
      <c r="DT1457" s="29"/>
      <c r="DU1457" s="29"/>
      <c r="DV1457" s="29"/>
      <c r="DW1457" s="29"/>
      <c r="DX1457" s="29"/>
      <c r="DY1457" s="29"/>
      <c r="DZ1457" s="29"/>
      <c r="EA1457" s="29"/>
      <c r="EB1457" s="29"/>
      <c r="EC1457" s="29"/>
      <c r="ED1457" s="29"/>
      <c r="EE1457" s="29"/>
      <c r="EF1457" s="29"/>
      <c r="EG1457" s="29"/>
      <c r="EH1457" s="29"/>
      <c r="EI1457" s="29"/>
      <c r="EJ1457" s="29"/>
      <c r="EK1457" s="29"/>
      <c r="EL1457" s="29"/>
      <c r="EM1457" s="29"/>
      <c r="EN1457" s="29"/>
      <c r="EO1457" s="29"/>
      <c r="EP1457" s="29"/>
      <c r="EQ1457" s="29"/>
      <c r="ER1457" s="29"/>
      <c r="ES1457" s="29"/>
      <c r="ET1457" s="29"/>
      <c r="EU1457" s="29"/>
      <c r="EV1457" s="29"/>
      <c r="EW1457" s="29"/>
      <c r="EX1457" s="29"/>
      <c r="EY1457" s="29"/>
      <c r="EZ1457" s="29"/>
      <c r="FA1457" s="29"/>
      <c r="FB1457" s="29"/>
      <c r="FC1457" s="29"/>
      <c r="FD1457" s="29"/>
      <c r="FE1457" s="29"/>
      <c r="FF1457" s="29"/>
      <c r="FG1457" s="29"/>
      <c r="FH1457" s="29"/>
      <c r="FI1457" s="29"/>
      <c r="FJ1457" s="29"/>
      <c r="FK1457" s="29"/>
      <c r="FL1457" s="29"/>
      <c r="FM1457" s="29"/>
      <c r="FN1457" s="29"/>
      <c r="FO1457" s="29"/>
      <c r="FP1457" s="29"/>
      <c r="FQ1457" s="29"/>
      <c r="FR1457" s="29"/>
      <c r="FS1457" s="29"/>
      <c r="FT1457" s="29"/>
      <c r="FU1457" s="29"/>
      <c r="FV1457" s="29"/>
      <c r="FW1457" s="29"/>
      <c r="FX1457" s="29"/>
      <c r="FY1457" s="29"/>
      <c r="FZ1457" s="29"/>
      <c r="GA1457" s="29"/>
      <c r="GB1457" s="29"/>
      <c r="GC1457" s="29"/>
      <c r="GD1457" s="29"/>
      <c r="GE1457" s="29"/>
      <c r="GF1457" s="29"/>
      <c r="GG1457" s="29"/>
      <c r="GH1457" s="29"/>
      <c r="GI1457" s="29"/>
      <c r="GJ1457" s="29"/>
      <c r="GK1457" s="29"/>
      <c r="GL1457" s="29"/>
      <c r="GM1457" s="29"/>
      <c r="GN1457" s="29"/>
      <c r="GO1457" s="29"/>
      <c r="GP1457" s="29"/>
      <c r="GQ1457" s="29"/>
      <c r="GR1457" s="29"/>
      <c r="GS1457" s="29"/>
      <c r="GT1457" s="29"/>
      <c r="GU1457" s="29"/>
      <c r="GV1457" s="29"/>
      <c r="GW1457" s="29"/>
      <c r="GX1457" s="29"/>
      <c r="GY1457" s="29"/>
      <c r="GZ1457" s="29"/>
      <c r="HA1457" s="29"/>
      <c r="HB1457" s="29"/>
      <c r="HC1457" s="29"/>
      <c r="HD1457" s="29"/>
      <c r="HE1457" s="29"/>
      <c r="HF1457" s="29"/>
      <c r="HG1457" s="29"/>
      <c r="HH1457" s="29"/>
      <c r="HI1457" s="29"/>
      <c r="HJ1457" s="29"/>
      <c r="HK1457" s="29"/>
      <c r="HL1457" s="29"/>
      <c r="HM1457" s="29"/>
      <c r="HN1457" s="29"/>
      <c r="HO1457" s="29"/>
      <c r="HP1457" s="29"/>
      <c r="HQ1457" s="29"/>
      <c r="HR1457" s="29"/>
      <c r="HS1457" s="29"/>
      <c r="HT1457" s="29"/>
      <c r="HU1457" s="29"/>
      <c r="HV1457" s="29"/>
      <c r="HW1457" s="29"/>
      <c r="HX1457" s="29"/>
      <c r="HY1457" s="29"/>
      <c r="HZ1457" s="29"/>
      <c r="IA1457" s="29"/>
      <c r="IB1457" s="29"/>
      <c r="IC1457" s="29"/>
      <c r="ID1457" s="29"/>
      <c r="IE1457" s="29"/>
      <c r="IF1457" s="29"/>
      <c r="IG1457" s="29"/>
      <c r="IH1457" s="29"/>
      <c r="II1457" s="29"/>
      <c r="IJ1457" s="29"/>
      <c r="IK1457" s="29"/>
      <c r="IL1457" s="29"/>
      <c r="IM1457" s="29"/>
      <c r="IN1457" s="29"/>
      <c r="IO1457" s="29"/>
      <c r="IP1457" s="29"/>
      <c r="IQ1457" s="29"/>
      <c r="IR1457" s="29"/>
      <c r="IS1457" s="29"/>
      <c r="IT1457" s="29"/>
      <c r="IU1457" s="29"/>
      <c r="IV1457" s="29"/>
      <c r="IW1457" s="29"/>
      <c r="IX1457" s="29"/>
      <c r="IY1457" s="29"/>
      <c r="IZ1457" s="29"/>
      <c r="JA1457" s="29"/>
      <c r="JB1457" s="29"/>
      <c r="JC1457" s="29"/>
      <c r="JD1457" s="29"/>
      <c r="JE1457" s="29"/>
      <c r="JF1457" s="29"/>
      <c r="JG1457" s="29"/>
      <c r="JH1457" s="29"/>
      <c r="JI1457" s="29"/>
      <c r="JJ1457" s="29"/>
      <c r="JK1457" s="29"/>
      <c r="JL1457" s="29"/>
      <c r="JM1457" s="29"/>
      <c r="JN1457" s="29"/>
      <c r="JO1457" s="29"/>
      <c r="JP1457" s="29"/>
      <c r="JQ1457" s="29"/>
      <c r="JR1457" s="29"/>
      <c r="JS1457" s="29"/>
      <c r="JT1457" s="29"/>
      <c r="JU1457" s="29"/>
      <c r="JV1457" s="29"/>
      <c r="JW1457" s="29"/>
      <c r="JX1457" s="29"/>
      <c r="JY1457" s="29"/>
      <c r="JZ1457" s="29"/>
      <c r="KA1457" s="29"/>
      <c r="KB1457" s="29"/>
      <c r="KC1457" s="29"/>
      <c r="KD1457" s="29"/>
      <c r="KE1457" s="29"/>
      <c r="KF1457" s="29"/>
      <c r="KG1457" s="29"/>
      <c r="KH1457" s="29"/>
      <c r="KI1457" s="29"/>
      <c r="KJ1457" s="29"/>
      <c r="KK1457" s="29"/>
      <c r="KL1457" s="29"/>
      <c r="KM1457" s="29"/>
      <c r="KN1457" s="29"/>
      <c r="KO1457" s="29"/>
      <c r="KP1457" s="29"/>
      <c r="KQ1457" s="29"/>
      <c r="KR1457" s="29"/>
      <c r="KS1457" s="29"/>
      <c r="KT1457" s="29"/>
      <c r="KU1457" s="29"/>
      <c r="KV1457" s="29"/>
      <c r="KW1457" s="29"/>
      <c r="KX1457" s="29"/>
      <c r="KY1457" s="29"/>
      <c r="KZ1457" s="29"/>
      <c r="LA1457" s="29"/>
      <c r="LB1457" s="29"/>
      <c r="LC1457" s="29"/>
      <c r="LD1457" s="29"/>
      <c r="LE1457" s="29"/>
      <c r="LF1457" s="29"/>
      <c r="LG1457" s="29"/>
      <c r="LH1457" s="29"/>
      <c r="LI1457" s="29"/>
      <c r="LJ1457" s="29"/>
      <c r="LK1457" s="29"/>
      <c r="LL1457" s="29"/>
      <c r="LM1457" s="29"/>
      <c r="LN1457" s="29"/>
      <c r="LO1457" s="29"/>
      <c r="LP1457" s="29"/>
      <c r="LQ1457" s="29"/>
      <c r="LR1457" s="29"/>
      <c r="LS1457" s="29"/>
      <c r="LT1457" s="29"/>
      <c r="LU1457" s="29"/>
      <c r="LV1457" s="29"/>
      <c r="LW1457" s="29"/>
      <c r="LX1457" s="29"/>
      <c r="LY1457" s="29"/>
      <c r="LZ1457" s="29"/>
      <c r="MA1457" s="29"/>
      <c r="MB1457" s="29"/>
      <c r="MC1457" s="29"/>
      <c r="MD1457" s="29"/>
      <c r="ME1457" s="29"/>
      <c r="MF1457" s="29"/>
      <c r="MG1457" s="29"/>
      <c r="MH1457" s="29"/>
      <c r="MI1457" s="29"/>
      <c r="MJ1457" s="29"/>
      <c r="MK1457" s="29"/>
      <c r="ML1457" s="29"/>
      <c r="MM1457" s="29"/>
      <c r="MN1457" s="29"/>
      <c r="MO1457" s="29"/>
      <c r="MP1457" s="29"/>
      <c r="MQ1457" s="29"/>
      <c r="MR1457" s="29"/>
      <c r="MS1457" s="29"/>
      <c r="MT1457" s="29"/>
      <c r="MU1457" s="29"/>
      <c r="MV1457" s="29"/>
      <c r="MW1457" s="29"/>
      <c r="MX1457" s="29"/>
      <c r="MY1457" s="29"/>
      <c r="MZ1457" s="29"/>
      <c r="NA1457" s="29"/>
      <c r="NB1457" s="29"/>
      <c r="NC1457" s="29"/>
      <c r="ND1457" s="29"/>
      <c r="NE1457" s="29"/>
      <c r="NF1457" s="29"/>
      <c r="NG1457" s="29"/>
      <c r="NH1457" s="29"/>
      <c r="NI1457" s="29"/>
      <c r="NJ1457" s="29"/>
      <c r="NK1457" s="29"/>
      <c r="NL1457" s="29"/>
      <c r="NM1457" s="29"/>
      <c r="NN1457" s="29"/>
      <c r="NO1457" s="29"/>
      <c r="NP1457" s="29"/>
      <c r="NQ1457" s="29"/>
      <c r="NR1457" s="29"/>
      <c r="NS1457" s="29"/>
      <c r="NT1457" s="29"/>
      <c r="NU1457" s="29"/>
      <c r="NV1457" s="29"/>
      <c r="NW1457" s="29"/>
      <c r="NX1457" s="29"/>
      <c r="NY1457" s="29"/>
      <c r="NZ1457" s="29"/>
      <c r="OA1457" s="29"/>
      <c r="OB1457" s="29"/>
      <c r="OC1457" s="29"/>
      <c r="OD1457" s="29"/>
      <c r="OE1457" s="29"/>
      <c r="OF1457" s="29"/>
      <c r="OG1457" s="29"/>
      <c r="OH1457" s="29"/>
      <c r="OI1457" s="29"/>
      <c r="OJ1457" s="29"/>
      <c r="OK1457" s="29"/>
      <c r="OL1457" s="29"/>
      <c r="OM1457" s="29"/>
      <c r="ON1457" s="29"/>
      <c r="OO1457" s="29"/>
      <c r="OP1457" s="29"/>
      <c r="OQ1457" s="29"/>
      <c r="OR1457" s="29"/>
      <c r="OS1457" s="29"/>
      <c r="OT1457" s="29"/>
      <c r="OU1457" s="29"/>
      <c r="OV1457" s="29"/>
      <c r="OW1457" s="29"/>
      <c r="OX1457" s="29"/>
      <c r="OY1457" s="29"/>
      <c r="OZ1457" s="29"/>
      <c r="PA1457" s="29"/>
      <c r="PB1457" s="29"/>
      <c r="PC1457" s="29"/>
      <c r="PD1457" s="29"/>
      <c r="PE1457" s="29"/>
      <c r="PF1457" s="29"/>
      <c r="PG1457" s="29"/>
      <c r="PH1457" s="29"/>
      <c r="PI1457" s="29"/>
      <c r="PJ1457" s="29"/>
      <c r="PK1457" s="29"/>
      <c r="PL1457" s="29"/>
      <c r="PM1457" s="29"/>
      <c r="PN1457" s="29"/>
      <c r="PO1457" s="29"/>
      <c r="PP1457" s="29"/>
      <c r="PQ1457" s="29"/>
      <c r="PR1457" s="29"/>
      <c r="PS1457" s="29"/>
      <c r="PT1457" s="29"/>
      <c r="PU1457" s="29"/>
      <c r="PV1457" s="29"/>
      <c r="PW1457" s="29"/>
      <c r="PX1457" s="29"/>
      <c r="PY1457" s="29"/>
      <c r="PZ1457" s="29"/>
      <c r="QA1457" s="29"/>
      <c r="QB1457" s="29"/>
      <c r="QC1457" s="29"/>
      <c r="QD1457" s="29"/>
      <c r="QE1457" s="29"/>
      <c r="QF1457" s="29"/>
      <c r="QG1457" s="29"/>
      <c r="QH1457" s="29"/>
      <c r="QI1457" s="29"/>
      <c r="QJ1457" s="29"/>
      <c r="QK1457" s="29"/>
      <c r="QL1457" s="29"/>
      <c r="QM1457" s="29"/>
      <c r="QN1457" s="29"/>
      <c r="QO1457" s="29"/>
      <c r="QP1457" s="29"/>
      <c r="QQ1457" s="29"/>
      <c r="QR1457" s="29"/>
      <c r="QS1457" s="29"/>
      <c r="QT1457" s="29"/>
      <c r="QU1457" s="29"/>
      <c r="QV1457" s="29"/>
      <c r="QW1457" s="29"/>
      <c r="QX1457" s="29"/>
      <c r="QY1457" s="29"/>
      <c r="QZ1457" s="29"/>
      <c r="RA1457" s="29"/>
      <c r="RB1457" s="29"/>
      <c r="RC1457" s="29"/>
      <c r="RD1457" s="29"/>
      <c r="RE1457" s="29"/>
      <c r="RF1457" s="29"/>
      <c r="RG1457" s="29"/>
      <c r="RH1457" s="29"/>
      <c r="RI1457" s="29"/>
      <c r="RJ1457" s="29"/>
      <c r="RK1457" s="29"/>
      <c r="RL1457" s="29"/>
      <c r="RM1457" s="29"/>
      <c r="RN1457" s="29"/>
      <c r="RO1457" s="29"/>
      <c r="RP1457" s="29"/>
      <c r="RQ1457" s="29"/>
      <c r="RR1457" s="29"/>
      <c r="RS1457" s="29"/>
      <c r="RT1457" s="29"/>
      <c r="RU1457" s="29"/>
      <c r="RV1457" s="29"/>
      <c r="RW1457" s="29"/>
      <c r="RX1457" s="29"/>
      <c r="RY1457" s="29"/>
      <c r="RZ1457" s="29"/>
      <c r="SA1457" s="29"/>
      <c r="SB1457" s="29"/>
      <c r="SC1457" s="29"/>
      <c r="SD1457" s="29"/>
      <c r="SE1457" s="29"/>
      <c r="SF1457" s="29"/>
      <c r="SG1457" s="29"/>
      <c r="SH1457" s="29"/>
      <c r="SI1457" s="29"/>
      <c r="SJ1457" s="29"/>
      <c r="SK1457" s="29"/>
      <c r="SL1457" s="29"/>
      <c r="SM1457" s="29"/>
      <c r="SN1457" s="29"/>
      <c r="SO1457" s="29"/>
      <c r="SP1457" s="29"/>
      <c r="SQ1457" s="29"/>
      <c r="SR1457" s="29"/>
      <c r="SS1457" s="29"/>
      <c r="ST1457" s="29"/>
      <c r="SU1457" s="29"/>
      <c r="SV1457" s="29"/>
      <c r="SW1457" s="29"/>
      <c r="SX1457" s="29"/>
      <c r="SY1457" s="29"/>
      <c r="SZ1457" s="29"/>
      <c r="TA1457" s="29"/>
      <c r="TB1457" s="29"/>
      <c r="TC1457" s="29"/>
      <c r="TD1457" s="29"/>
      <c r="TE1457" s="29"/>
      <c r="TF1457" s="29"/>
      <c r="TG1457" s="29"/>
      <c r="TH1457" s="29"/>
      <c r="TI1457" s="29"/>
      <c r="TJ1457" s="29"/>
      <c r="TK1457" s="29"/>
      <c r="TL1457" s="29"/>
      <c r="TM1457" s="29"/>
      <c r="TN1457" s="29"/>
      <c r="TO1457" s="29"/>
      <c r="TP1457" s="29"/>
      <c r="TQ1457" s="29"/>
      <c r="TR1457" s="29"/>
      <c r="TS1457" s="29"/>
      <c r="TT1457" s="29"/>
      <c r="TU1457" s="29"/>
      <c r="TV1457" s="29"/>
      <c r="TW1457" s="29"/>
      <c r="TX1457" s="29"/>
      <c r="TY1457" s="29"/>
      <c r="TZ1457" s="29"/>
      <c r="UA1457" s="29"/>
      <c r="UB1457" s="29"/>
      <c r="UC1457" s="29"/>
      <c r="UD1457" s="29"/>
      <c r="UE1457" s="29"/>
      <c r="UF1457" s="29"/>
      <c r="UG1457" s="29"/>
    </row>
    <row r="1458" spans="1:553" ht="25.15" customHeight="1">
      <c r="A1458" s="356" t="s">
        <v>15</v>
      </c>
      <c r="B1458" s="385" t="s">
        <v>35</v>
      </c>
      <c r="C1458" s="1535" t="s">
        <v>788</v>
      </c>
      <c r="D1458" s="1389"/>
      <c r="E1458" s="1389"/>
      <c r="F1458" s="1390"/>
      <c r="G1458" s="417" t="s">
        <v>1303</v>
      </c>
      <c r="H1458" s="370"/>
      <c r="I1458" s="422">
        <f>0.22*4.4*16*3.14</f>
        <v>48.632320000000007</v>
      </c>
      <c r="J1458" s="368">
        <v>39000</v>
      </c>
      <c r="K1458" s="371"/>
      <c r="L1458" s="487">
        <f t="shared" si="222"/>
        <v>1896660</v>
      </c>
      <c r="M1458" s="395"/>
      <c r="N1458" s="395"/>
      <c r="O1458" s="366"/>
      <c r="P1458" s="396"/>
      <c r="Q1458" s="473"/>
      <c r="R1458" s="1039"/>
      <c r="S1458" s="308"/>
      <c r="T1458" s="308"/>
      <c r="U1458" s="308"/>
      <c r="V1458" s="308"/>
      <c r="W1458" s="308"/>
      <c r="X1458" s="308"/>
      <c r="Y1458" s="308"/>
      <c r="Z1458" s="604"/>
      <c r="AA1458" s="308"/>
      <c r="AB1458" s="308"/>
      <c r="AC1458" s="486"/>
      <c r="AD1458" s="486"/>
      <c r="AE1458" s="486"/>
      <c r="AF1458" s="486"/>
      <c r="AG1458" s="486"/>
      <c r="AH1458" s="486"/>
      <c r="AI1458" s="486"/>
      <c r="AJ1458" s="486"/>
      <c r="AK1458" s="486"/>
      <c r="AL1458" s="206"/>
      <c r="AM1458" s="29"/>
      <c r="AN1458" s="29"/>
      <c r="AO1458" s="29"/>
      <c r="AP1458" s="29"/>
      <c r="AQ1458" s="29"/>
      <c r="AR1458" s="29"/>
      <c r="AS1458" s="29"/>
      <c r="AT1458" s="29"/>
      <c r="AU1458" s="29"/>
      <c r="AV1458" s="29"/>
      <c r="AW1458" s="29"/>
      <c r="AX1458" s="29"/>
      <c r="AY1458" s="29"/>
      <c r="AZ1458" s="29"/>
      <c r="BA1458" s="29"/>
      <c r="BB1458" s="29"/>
      <c r="BC1458" s="29"/>
      <c r="BD1458" s="29"/>
      <c r="BE1458" s="29"/>
      <c r="BF1458" s="29"/>
      <c r="BG1458" s="29"/>
      <c r="BH1458" s="29"/>
      <c r="BI1458" s="29"/>
      <c r="BJ1458" s="29"/>
      <c r="BK1458" s="29"/>
      <c r="BL1458" s="29"/>
      <c r="BM1458" s="29"/>
      <c r="BN1458" s="29"/>
      <c r="BO1458" s="29"/>
      <c r="BP1458" s="29"/>
      <c r="BQ1458" s="29"/>
      <c r="BR1458" s="29"/>
      <c r="BS1458" s="29"/>
      <c r="BT1458" s="29"/>
      <c r="BU1458" s="29"/>
      <c r="BV1458" s="29"/>
      <c r="BW1458" s="29"/>
      <c r="BX1458" s="29"/>
      <c r="BY1458" s="29"/>
      <c r="BZ1458" s="29"/>
      <c r="CA1458" s="29"/>
      <c r="CB1458" s="29"/>
      <c r="CC1458" s="29"/>
      <c r="CD1458" s="29"/>
      <c r="CE1458" s="29"/>
      <c r="CF1458" s="29"/>
      <c r="CG1458" s="29"/>
      <c r="CH1458" s="29"/>
      <c r="CI1458" s="29"/>
      <c r="CJ1458" s="29"/>
      <c r="CK1458" s="29"/>
      <c r="CL1458" s="29"/>
      <c r="CM1458" s="29"/>
      <c r="CN1458" s="29"/>
      <c r="CO1458" s="29"/>
      <c r="CP1458" s="29"/>
      <c r="CQ1458" s="29"/>
      <c r="CR1458" s="29"/>
      <c r="CS1458" s="29"/>
      <c r="CT1458" s="29"/>
      <c r="CU1458" s="29"/>
      <c r="CV1458" s="29"/>
      <c r="CW1458" s="29"/>
      <c r="CX1458" s="29"/>
      <c r="CY1458" s="29"/>
      <c r="CZ1458" s="29"/>
      <c r="DA1458" s="29"/>
      <c r="DB1458" s="29"/>
      <c r="DC1458" s="29"/>
      <c r="DD1458" s="29"/>
      <c r="DE1458" s="29"/>
      <c r="DF1458" s="29"/>
      <c r="DG1458" s="29"/>
      <c r="DH1458" s="29"/>
      <c r="DI1458" s="29"/>
      <c r="DJ1458" s="29"/>
      <c r="DK1458" s="29"/>
      <c r="DL1458" s="29"/>
      <c r="DM1458" s="29"/>
      <c r="DN1458" s="29"/>
      <c r="DO1458" s="29"/>
      <c r="DP1458" s="29"/>
      <c r="DQ1458" s="29"/>
      <c r="DR1458" s="29"/>
      <c r="DS1458" s="29"/>
      <c r="DT1458" s="29"/>
      <c r="DU1458" s="29"/>
      <c r="DV1458" s="29"/>
      <c r="DW1458" s="29"/>
      <c r="DX1458" s="29"/>
      <c r="DY1458" s="29"/>
      <c r="DZ1458" s="29"/>
      <c r="EA1458" s="29"/>
      <c r="EB1458" s="29"/>
      <c r="EC1458" s="29"/>
      <c r="ED1458" s="29"/>
      <c r="EE1458" s="29"/>
      <c r="EF1458" s="29"/>
      <c r="EG1458" s="29"/>
      <c r="EH1458" s="29"/>
      <c r="EI1458" s="29"/>
      <c r="EJ1458" s="29"/>
      <c r="EK1458" s="29"/>
      <c r="EL1458" s="29"/>
      <c r="EM1458" s="29"/>
      <c r="EN1458" s="29"/>
      <c r="EO1458" s="29"/>
      <c r="EP1458" s="29"/>
      <c r="EQ1458" s="29"/>
      <c r="ER1458" s="29"/>
      <c r="ES1458" s="29"/>
      <c r="ET1458" s="29"/>
      <c r="EU1458" s="29"/>
      <c r="EV1458" s="29"/>
      <c r="EW1458" s="29"/>
      <c r="EX1458" s="29"/>
      <c r="EY1458" s="29"/>
      <c r="EZ1458" s="29"/>
      <c r="FA1458" s="29"/>
      <c r="FB1458" s="29"/>
      <c r="FC1458" s="29"/>
      <c r="FD1458" s="29"/>
      <c r="FE1458" s="29"/>
      <c r="FF1458" s="29"/>
      <c r="FG1458" s="29"/>
      <c r="FH1458" s="29"/>
      <c r="FI1458" s="29"/>
      <c r="FJ1458" s="29"/>
      <c r="FK1458" s="29"/>
      <c r="FL1458" s="29"/>
      <c r="FM1458" s="29"/>
      <c r="FN1458" s="29"/>
      <c r="FO1458" s="29"/>
      <c r="FP1458" s="29"/>
      <c r="FQ1458" s="29"/>
      <c r="FR1458" s="29"/>
      <c r="FS1458" s="29"/>
      <c r="FT1458" s="29"/>
      <c r="FU1458" s="29"/>
      <c r="FV1458" s="29"/>
      <c r="FW1458" s="29"/>
      <c r="FX1458" s="29"/>
      <c r="FY1458" s="29"/>
      <c r="FZ1458" s="29"/>
      <c r="GA1458" s="29"/>
      <c r="GB1458" s="29"/>
      <c r="GC1458" s="29"/>
      <c r="GD1458" s="29"/>
      <c r="GE1458" s="29"/>
      <c r="GF1458" s="29"/>
      <c r="GG1458" s="29"/>
      <c r="GH1458" s="29"/>
      <c r="GI1458" s="29"/>
      <c r="GJ1458" s="29"/>
      <c r="GK1458" s="29"/>
      <c r="GL1458" s="29"/>
      <c r="GM1458" s="29"/>
      <c r="GN1458" s="29"/>
      <c r="GO1458" s="29"/>
      <c r="GP1458" s="29"/>
      <c r="GQ1458" s="29"/>
      <c r="GR1458" s="29"/>
      <c r="GS1458" s="29"/>
      <c r="GT1458" s="29"/>
      <c r="GU1458" s="29"/>
      <c r="GV1458" s="29"/>
      <c r="GW1458" s="29"/>
      <c r="GX1458" s="29"/>
      <c r="GY1458" s="29"/>
      <c r="GZ1458" s="29"/>
      <c r="HA1458" s="29"/>
      <c r="HB1458" s="29"/>
      <c r="HC1458" s="29"/>
      <c r="HD1458" s="29"/>
      <c r="HE1458" s="29"/>
      <c r="HF1458" s="29"/>
      <c r="HG1458" s="29"/>
      <c r="HH1458" s="29"/>
      <c r="HI1458" s="29"/>
      <c r="HJ1458" s="29"/>
      <c r="HK1458" s="29"/>
      <c r="HL1458" s="29"/>
      <c r="HM1458" s="29"/>
      <c r="HN1458" s="29"/>
      <c r="HO1458" s="29"/>
      <c r="HP1458" s="29"/>
      <c r="HQ1458" s="29"/>
      <c r="HR1458" s="29"/>
      <c r="HS1458" s="29"/>
      <c r="HT1458" s="29"/>
      <c r="HU1458" s="29"/>
      <c r="HV1458" s="29"/>
      <c r="HW1458" s="29"/>
      <c r="HX1458" s="29"/>
      <c r="HY1458" s="29"/>
      <c r="HZ1458" s="29"/>
      <c r="IA1458" s="29"/>
      <c r="IB1458" s="29"/>
      <c r="IC1458" s="29"/>
      <c r="ID1458" s="29"/>
      <c r="IE1458" s="29"/>
      <c r="IF1458" s="29"/>
      <c r="IG1458" s="29"/>
      <c r="IH1458" s="29"/>
      <c r="II1458" s="29"/>
      <c r="IJ1458" s="29"/>
      <c r="IK1458" s="29"/>
      <c r="IL1458" s="29"/>
      <c r="IM1458" s="29"/>
      <c r="IN1458" s="29"/>
      <c r="IO1458" s="29"/>
      <c r="IP1458" s="29"/>
      <c r="IQ1458" s="29"/>
      <c r="IR1458" s="29"/>
      <c r="IS1458" s="29"/>
      <c r="IT1458" s="29"/>
      <c r="IU1458" s="29"/>
      <c r="IV1458" s="29"/>
      <c r="IW1458" s="29"/>
      <c r="IX1458" s="29"/>
      <c r="IY1458" s="29"/>
      <c r="IZ1458" s="29"/>
      <c r="JA1458" s="29"/>
      <c r="JB1458" s="29"/>
      <c r="JC1458" s="29"/>
      <c r="JD1458" s="29"/>
      <c r="JE1458" s="29"/>
      <c r="JF1458" s="29"/>
      <c r="JG1458" s="29"/>
      <c r="JH1458" s="29"/>
      <c r="JI1458" s="29"/>
      <c r="JJ1458" s="29"/>
      <c r="JK1458" s="29"/>
      <c r="JL1458" s="29"/>
      <c r="JM1458" s="29"/>
      <c r="JN1458" s="29"/>
      <c r="JO1458" s="29"/>
      <c r="JP1458" s="29"/>
      <c r="JQ1458" s="29"/>
      <c r="JR1458" s="29"/>
      <c r="JS1458" s="29"/>
      <c r="JT1458" s="29"/>
      <c r="JU1458" s="29"/>
      <c r="JV1458" s="29"/>
      <c r="JW1458" s="29"/>
      <c r="JX1458" s="29"/>
      <c r="JY1458" s="29"/>
      <c r="JZ1458" s="29"/>
      <c r="KA1458" s="29"/>
      <c r="KB1458" s="29"/>
      <c r="KC1458" s="29"/>
      <c r="KD1458" s="29"/>
      <c r="KE1458" s="29"/>
      <c r="KF1458" s="29"/>
      <c r="KG1458" s="29"/>
      <c r="KH1458" s="29"/>
      <c r="KI1458" s="29"/>
      <c r="KJ1458" s="29"/>
      <c r="KK1458" s="29"/>
      <c r="KL1458" s="29"/>
      <c r="KM1458" s="29"/>
      <c r="KN1458" s="29"/>
      <c r="KO1458" s="29"/>
      <c r="KP1458" s="29"/>
      <c r="KQ1458" s="29"/>
      <c r="KR1458" s="29"/>
      <c r="KS1458" s="29"/>
      <c r="KT1458" s="29"/>
      <c r="KU1458" s="29"/>
      <c r="KV1458" s="29"/>
      <c r="KW1458" s="29"/>
      <c r="KX1458" s="29"/>
      <c r="KY1458" s="29"/>
      <c r="KZ1458" s="29"/>
      <c r="LA1458" s="29"/>
      <c r="LB1458" s="29"/>
      <c r="LC1458" s="29"/>
      <c r="LD1458" s="29"/>
      <c r="LE1458" s="29"/>
      <c r="LF1458" s="29"/>
      <c r="LG1458" s="29"/>
      <c r="LH1458" s="29"/>
      <c r="LI1458" s="29"/>
      <c r="LJ1458" s="29"/>
      <c r="LK1458" s="29"/>
      <c r="LL1458" s="29"/>
      <c r="LM1458" s="29"/>
      <c r="LN1458" s="29"/>
      <c r="LO1458" s="29"/>
      <c r="LP1458" s="29"/>
      <c r="LQ1458" s="29"/>
      <c r="LR1458" s="29"/>
      <c r="LS1458" s="29"/>
      <c r="LT1458" s="29"/>
      <c r="LU1458" s="29"/>
      <c r="LV1458" s="29"/>
      <c r="LW1458" s="29"/>
      <c r="LX1458" s="29"/>
      <c r="LY1458" s="29"/>
      <c r="LZ1458" s="29"/>
      <c r="MA1458" s="29"/>
      <c r="MB1458" s="29"/>
      <c r="MC1458" s="29"/>
      <c r="MD1458" s="29"/>
      <c r="ME1458" s="29"/>
      <c r="MF1458" s="29"/>
      <c r="MG1458" s="29"/>
      <c r="MH1458" s="29"/>
      <c r="MI1458" s="29"/>
      <c r="MJ1458" s="29"/>
      <c r="MK1458" s="29"/>
      <c r="ML1458" s="29"/>
      <c r="MM1458" s="29"/>
      <c r="MN1458" s="29"/>
      <c r="MO1458" s="29"/>
      <c r="MP1458" s="29"/>
      <c r="MQ1458" s="29"/>
      <c r="MR1458" s="29"/>
      <c r="MS1458" s="29"/>
      <c r="MT1458" s="29"/>
      <c r="MU1458" s="29"/>
      <c r="MV1458" s="29"/>
      <c r="MW1458" s="29"/>
      <c r="MX1458" s="29"/>
      <c r="MY1458" s="29"/>
      <c r="MZ1458" s="29"/>
      <c r="NA1458" s="29"/>
      <c r="NB1458" s="29"/>
      <c r="NC1458" s="29"/>
      <c r="ND1458" s="29"/>
      <c r="NE1458" s="29"/>
      <c r="NF1458" s="29"/>
      <c r="NG1458" s="29"/>
      <c r="NH1458" s="29"/>
      <c r="NI1458" s="29"/>
      <c r="NJ1458" s="29"/>
      <c r="NK1458" s="29"/>
      <c r="NL1458" s="29"/>
      <c r="NM1458" s="29"/>
      <c r="NN1458" s="29"/>
      <c r="NO1458" s="29"/>
      <c r="NP1458" s="29"/>
      <c r="NQ1458" s="29"/>
      <c r="NR1458" s="29"/>
      <c r="NS1458" s="29"/>
      <c r="NT1458" s="29"/>
      <c r="NU1458" s="29"/>
      <c r="NV1458" s="29"/>
      <c r="NW1458" s="29"/>
      <c r="NX1458" s="29"/>
      <c r="NY1458" s="29"/>
      <c r="NZ1458" s="29"/>
      <c r="OA1458" s="29"/>
      <c r="OB1458" s="29"/>
      <c r="OC1458" s="29"/>
      <c r="OD1458" s="29"/>
      <c r="OE1458" s="29"/>
      <c r="OF1458" s="29"/>
      <c r="OG1458" s="29"/>
      <c r="OH1458" s="29"/>
      <c r="OI1458" s="29"/>
      <c r="OJ1458" s="29"/>
      <c r="OK1458" s="29"/>
      <c r="OL1458" s="29"/>
      <c r="OM1458" s="29"/>
      <c r="ON1458" s="29"/>
      <c r="OO1458" s="29"/>
      <c r="OP1458" s="29"/>
      <c r="OQ1458" s="29"/>
      <c r="OR1458" s="29"/>
      <c r="OS1458" s="29"/>
      <c r="OT1458" s="29"/>
      <c r="OU1458" s="29"/>
      <c r="OV1458" s="29"/>
      <c r="OW1458" s="29"/>
      <c r="OX1458" s="29"/>
      <c r="OY1458" s="29"/>
      <c r="OZ1458" s="29"/>
      <c r="PA1458" s="29"/>
      <c r="PB1458" s="29"/>
      <c r="PC1458" s="29"/>
      <c r="PD1458" s="29"/>
      <c r="PE1458" s="29"/>
      <c r="PF1458" s="29"/>
      <c r="PG1458" s="29"/>
      <c r="PH1458" s="29"/>
      <c r="PI1458" s="29"/>
      <c r="PJ1458" s="29"/>
      <c r="PK1458" s="29"/>
      <c r="PL1458" s="29"/>
      <c r="PM1458" s="29"/>
      <c r="PN1458" s="29"/>
      <c r="PO1458" s="29"/>
      <c r="PP1458" s="29"/>
      <c r="PQ1458" s="29"/>
      <c r="PR1458" s="29"/>
      <c r="PS1458" s="29"/>
      <c r="PT1458" s="29"/>
      <c r="PU1458" s="29"/>
      <c r="PV1458" s="29"/>
      <c r="PW1458" s="29"/>
      <c r="PX1458" s="29"/>
      <c r="PY1458" s="29"/>
      <c r="PZ1458" s="29"/>
      <c r="QA1458" s="29"/>
      <c r="QB1458" s="29"/>
      <c r="QC1458" s="29"/>
      <c r="QD1458" s="29"/>
      <c r="QE1458" s="29"/>
      <c r="QF1458" s="29"/>
      <c r="QG1458" s="29"/>
      <c r="QH1458" s="29"/>
      <c r="QI1458" s="29"/>
      <c r="QJ1458" s="29"/>
      <c r="QK1458" s="29"/>
      <c r="QL1458" s="29"/>
      <c r="QM1458" s="29"/>
      <c r="QN1458" s="29"/>
      <c r="QO1458" s="29"/>
      <c r="QP1458" s="29"/>
      <c r="QQ1458" s="29"/>
      <c r="QR1458" s="29"/>
      <c r="QS1458" s="29"/>
      <c r="QT1458" s="29"/>
      <c r="QU1458" s="29"/>
      <c r="QV1458" s="29"/>
      <c r="QW1458" s="29"/>
      <c r="QX1458" s="29"/>
      <c r="QY1458" s="29"/>
      <c r="QZ1458" s="29"/>
      <c r="RA1458" s="29"/>
      <c r="RB1458" s="29"/>
      <c r="RC1458" s="29"/>
      <c r="RD1458" s="29"/>
      <c r="RE1458" s="29"/>
      <c r="RF1458" s="29"/>
      <c r="RG1458" s="29"/>
      <c r="RH1458" s="29"/>
      <c r="RI1458" s="29"/>
      <c r="RJ1458" s="29"/>
      <c r="RK1458" s="29"/>
      <c r="RL1458" s="29"/>
      <c r="RM1458" s="29"/>
      <c r="RN1458" s="29"/>
      <c r="RO1458" s="29"/>
      <c r="RP1458" s="29"/>
      <c r="RQ1458" s="29"/>
      <c r="RR1458" s="29"/>
      <c r="RS1458" s="29"/>
      <c r="RT1458" s="29"/>
      <c r="RU1458" s="29"/>
      <c r="RV1458" s="29"/>
      <c r="RW1458" s="29"/>
      <c r="RX1458" s="29"/>
      <c r="RY1458" s="29"/>
      <c r="RZ1458" s="29"/>
      <c r="SA1458" s="29"/>
      <c r="SB1458" s="29"/>
      <c r="SC1458" s="29"/>
      <c r="SD1458" s="29"/>
      <c r="SE1458" s="29"/>
      <c r="SF1458" s="29"/>
      <c r="SG1458" s="29"/>
      <c r="SH1458" s="29"/>
      <c r="SI1458" s="29"/>
      <c r="SJ1458" s="29"/>
      <c r="SK1458" s="29"/>
      <c r="SL1458" s="29"/>
      <c r="SM1458" s="29"/>
      <c r="SN1458" s="29"/>
      <c r="SO1458" s="29"/>
      <c r="SP1458" s="29"/>
      <c r="SQ1458" s="29"/>
      <c r="SR1458" s="29"/>
      <c r="SS1458" s="29"/>
      <c r="ST1458" s="29"/>
      <c r="SU1458" s="29"/>
      <c r="SV1458" s="29"/>
      <c r="SW1458" s="29"/>
      <c r="SX1458" s="29"/>
      <c r="SY1458" s="29"/>
      <c r="SZ1458" s="29"/>
      <c r="TA1458" s="29"/>
      <c r="TB1458" s="29"/>
      <c r="TC1458" s="29"/>
      <c r="TD1458" s="29"/>
      <c r="TE1458" s="29"/>
      <c r="TF1458" s="29"/>
      <c r="TG1458" s="29"/>
      <c r="TH1458" s="29"/>
      <c r="TI1458" s="29"/>
      <c r="TJ1458" s="29"/>
      <c r="TK1458" s="29"/>
      <c r="TL1458" s="29"/>
      <c r="TM1458" s="29"/>
      <c r="TN1458" s="29"/>
      <c r="TO1458" s="29"/>
      <c r="TP1458" s="29"/>
      <c r="TQ1458" s="29"/>
      <c r="TR1458" s="29"/>
      <c r="TS1458" s="29"/>
      <c r="TT1458" s="29"/>
      <c r="TU1458" s="29"/>
      <c r="TV1458" s="29"/>
      <c r="TW1458" s="29"/>
      <c r="TX1458" s="29"/>
      <c r="TY1458" s="29"/>
      <c r="TZ1458" s="29"/>
      <c r="UA1458" s="29"/>
      <c r="UB1458" s="29"/>
      <c r="UC1458" s="29"/>
      <c r="UD1458" s="29"/>
      <c r="UE1458" s="29"/>
      <c r="UF1458" s="29"/>
      <c r="UG1458" s="29"/>
    </row>
    <row r="1459" spans="1:553" ht="25.15" customHeight="1">
      <c r="A1459" s="356" t="s">
        <v>15</v>
      </c>
      <c r="B1459" s="385" t="s">
        <v>35</v>
      </c>
      <c r="C1459" s="1535" t="s">
        <v>789</v>
      </c>
      <c r="D1459" s="1389"/>
      <c r="E1459" s="1389"/>
      <c r="F1459" s="1390"/>
      <c r="G1459" s="417" t="s">
        <v>1303</v>
      </c>
      <c r="H1459" s="370"/>
      <c r="I1459" s="834">
        <f>2.3*1.9*2</f>
        <v>8.7399999999999984</v>
      </c>
      <c r="J1459" s="368">
        <v>39000</v>
      </c>
      <c r="K1459" s="371"/>
      <c r="L1459" s="487">
        <f t="shared" si="222"/>
        <v>340860</v>
      </c>
      <c r="M1459" s="395"/>
      <c r="N1459" s="395"/>
      <c r="O1459" s="366"/>
      <c r="P1459" s="396"/>
      <c r="Q1459" s="473"/>
      <c r="R1459" s="1039"/>
      <c r="S1459" s="308"/>
      <c r="T1459" s="308"/>
      <c r="U1459" s="308"/>
      <c r="V1459" s="308"/>
      <c r="W1459" s="308"/>
      <c r="X1459" s="308"/>
      <c r="Y1459" s="308"/>
      <c r="Z1459" s="604"/>
      <c r="AA1459" s="308"/>
      <c r="AB1459" s="308"/>
      <c r="AC1459" s="486"/>
      <c r="AD1459" s="486"/>
      <c r="AE1459" s="486"/>
      <c r="AF1459" s="486"/>
      <c r="AG1459" s="486"/>
      <c r="AH1459" s="486"/>
      <c r="AI1459" s="486"/>
      <c r="AJ1459" s="486"/>
      <c r="AK1459" s="486"/>
      <c r="AL1459" s="206"/>
      <c r="AM1459" s="29"/>
      <c r="AN1459" s="29"/>
      <c r="AO1459" s="29"/>
      <c r="AP1459" s="29"/>
      <c r="AQ1459" s="29"/>
      <c r="AR1459" s="29"/>
      <c r="AS1459" s="29"/>
      <c r="AT1459" s="29"/>
      <c r="AU1459" s="29"/>
      <c r="AV1459" s="29"/>
      <c r="AW1459" s="29"/>
      <c r="AX1459" s="29"/>
      <c r="AY1459" s="29"/>
      <c r="AZ1459" s="29"/>
      <c r="BA1459" s="29"/>
      <c r="BB1459" s="29"/>
      <c r="BC1459" s="29"/>
      <c r="BD1459" s="29"/>
      <c r="BE1459" s="29"/>
      <c r="BF1459" s="29"/>
      <c r="BG1459" s="29"/>
      <c r="BH1459" s="29"/>
      <c r="BI1459" s="29"/>
      <c r="BJ1459" s="29"/>
      <c r="BK1459" s="29"/>
      <c r="BL1459" s="29"/>
      <c r="BM1459" s="29"/>
      <c r="BN1459" s="29"/>
      <c r="BO1459" s="29"/>
      <c r="BP1459" s="29"/>
      <c r="BQ1459" s="29"/>
      <c r="BR1459" s="29"/>
      <c r="BS1459" s="29"/>
      <c r="BT1459" s="29"/>
      <c r="BU1459" s="29"/>
      <c r="BV1459" s="29"/>
      <c r="BW1459" s="29"/>
      <c r="BX1459" s="29"/>
      <c r="BY1459" s="29"/>
      <c r="BZ1459" s="29"/>
      <c r="CA1459" s="29"/>
      <c r="CB1459" s="29"/>
      <c r="CC1459" s="29"/>
      <c r="CD1459" s="29"/>
      <c r="CE1459" s="29"/>
      <c r="CF1459" s="29"/>
      <c r="CG1459" s="29"/>
      <c r="CH1459" s="29"/>
      <c r="CI1459" s="29"/>
      <c r="CJ1459" s="29"/>
      <c r="CK1459" s="29"/>
      <c r="CL1459" s="29"/>
      <c r="CM1459" s="29"/>
      <c r="CN1459" s="29"/>
      <c r="CO1459" s="29"/>
      <c r="CP1459" s="29"/>
      <c r="CQ1459" s="29"/>
      <c r="CR1459" s="29"/>
      <c r="CS1459" s="29"/>
      <c r="CT1459" s="29"/>
      <c r="CU1459" s="29"/>
      <c r="CV1459" s="29"/>
      <c r="CW1459" s="29"/>
      <c r="CX1459" s="29"/>
      <c r="CY1459" s="29"/>
      <c r="CZ1459" s="29"/>
      <c r="DA1459" s="29"/>
      <c r="DB1459" s="29"/>
      <c r="DC1459" s="29"/>
      <c r="DD1459" s="29"/>
      <c r="DE1459" s="29"/>
      <c r="DF1459" s="29"/>
      <c r="DG1459" s="29"/>
      <c r="DH1459" s="29"/>
      <c r="DI1459" s="29"/>
      <c r="DJ1459" s="29"/>
      <c r="DK1459" s="29"/>
      <c r="DL1459" s="29"/>
      <c r="DM1459" s="29"/>
      <c r="DN1459" s="29"/>
      <c r="DO1459" s="29"/>
      <c r="DP1459" s="29"/>
      <c r="DQ1459" s="29"/>
      <c r="DR1459" s="29"/>
      <c r="DS1459" s="29"/>
      <c r="DT1459" s="29"/>
      <c r="DU1459" s="29"/>
      <c r="DV1459" s="29"/>
      <c r="DW1459" s="29"/>
      <c r="DX1459" s="29"/>
      <c r="DY1459" s="29"/>
      <c r="DZ1459" s="29"/>
      <c r="EA1459" s="29"/>
      <c r="EB1459" s="29"/>
      <c r="EC1459" s="29"/>
      <c r="ED1459" s="29"/>
      <c r="EE1459" s="29"/>
      <c r="EF1459" s="29"/>
      <c r="EG1459" s="29"/>
      <c r="EH1459" s="29"/>
      <c r="EI1459" s="29"/>
      <c r="EJ1459" s="29"/>
      <c r="EK1459" s="29"/>
      <c r="EL1459" s="29"/>
      <c r="EM1459" s="29"/>
      <c r="EN1459" s="29"/>
      <c r="EO1459" s="29"/>
      <c r="EP1459" s="29"/>
      <c r="EQ1459" s="29"/>
      <c r="ER1459" s="29"/>
      <c r="ES1459" s="29"/>
      <c r="ET1459" s="29"/>
      <c r="EU1459" s="29"/>
      <c r="EV1459" s="29"/>
      <c r="EW1459" s="29"/>
      <c r="EX1459" s="29"/>
      <c r="EY1459" s="29"/>
      <c r="EZ1459" s="29"/>
      <c r="FA1459" s="29"/>
      <c r="FB1459" s="29"/>
      <c r="FC1459" s="29"/>
      <c r="FD1459" s="29"/>
      <c r="FE1459" s="29"/>
      <c r="FF1459" s="29"/>
      <c r="FG1459" s="29"/>
      <c r="FH1459" s="29"/>
      <c r="FI1459" s="29"/>
      <c r="FJ1459" s="29"/>
      <c r="FK1459" s="29"/>
      <c r="FL1459" s="29"/>
      <c r="FM1459" s="29"/>
      <c r="FN1459" s="29"/>
      <c r="FO1459" s="29"/>
      <c r="FP1459" s="29"/>
      <c r="FQ1459" s="29"/>
      <c r="FR1459" s="29"/>
      <c r="FS1459" s="29"/>
      <c r="FT1459" s="29"/>
      <c r="FU1459" s="29"/>
      <c r="FV1459" s="29"/>
      <c r="FW1459" s="29"/>
      <c r="FX1459" s="29"/>
      <c r="FY1459" s="29"/>
      <c r="FZ1459" s="29"/>
      <c r="GA1459" s="29"/>
      <c r="GB1459" s="29"/>
      <c r="GC1459" s="29"/>
      <c r="GD1459" s="29"/>
      <c r="GE1459" s="29"/>
      <c r="GF1459" s="29"/>
      <c r="GG1459" s="29"/>
      <c r="GH1459" s="29"/>
      <c r="GI1459" s="29"/>
      <c r="GJ1459" s="29"/>
      <c r="GK1459" s="29"/>
      <c r="GL1459" s="29"/>
      <c r="GM1459" s="29"/>
      <c r="GN1459" s="29"/>
      <c r="GO1459" s="29"/>
      <c r="GP1459" s="29"/>
      <c r="GQ1459" s="29"/>
      <c r="GR1459" s="29"/>
      <c r="GS1459" s="29"/>
      <c r="GT1459" s="29"/>
      <c r="GU1459" s="29"/>
      <c r="GV1459" s="29"/>
      <c r="GW1459" s="29"/>
      <c r="GX1459" s="29"/>
      <c r="GY1459" s="29"/>
      <c r="GZ1459" s="29"/>
      <c r="HA1459" s="29"/>
      <c r="HB1459" s="29"/>
      <c r="HC1459" s="29"/>
      <c r="HD1459" s="29"/>
      <c r="HE1459" s="29"/>
      <c r="HF1459" s="29"/>
      <c r="HG1459" s="29"/>
      <c r="HH1459" s="29"/>
      <c r="HI1459" s="29"/>
      <c r="HJ1459" s="29"/>
      <c r="HK1459" s="29"/>
      <c r="HL1459" s="29"/>
      <c r="HM1459" s="29"/>
      <c r="HN1459" s="29"/>
      <c r="HO1459" s="29"/>
      <c r="HP1459" s="29"/>
      <c r="HQ1459" s="29"/>
      <c r="HR1459" s="29"/>
      <c r="HS1459" s="29"/>
      <c r="HT1459" s="29"/>
      <c r="HU1459" s="29"/>
      <c r="HV1459" s="29"/>
      <c r="HW1459" s="29"/>
      <c r="HX1459" s="29"/>
      <c r="HY1459" s="29"/>
      <c r="HZ1459" s="29"/>
      <c r="IA1459" s="29"/>
      <c r="IB1459" s="29"/>
      <c r="IC1459" s="29"/>
      <c r="ID1459" s="29"/>
      <c r="IE1459" s="29"/>
      <c r="IF1459" s="29"/>
      <c r="IG1459" s="29"/>
      <c r="IH1459" s="29"/>
      <c r="II1459" s="29"/>
      <c r="IJ1459" s="29"/>
      <c r="IK1459" s="29"/>
      <c r="IL1459" s="29"/>
      <c r="IM1459" s="29"/>
      <c r="IN1459" s="29"/>
      <c r="IO1459" s="29"/>
      <c r="IP1459" s="29"/>
      <c r="IQ1459" s="29"/>
      <c r="IR1459" s="29"/>
      <c r="IS1459" s="29"/>
      <c r="IT1459" s="29"/>
      <c r="IU1459" s="29"/>
      <c r="IV1459" s="29"/>
      <c r="IW1459" s="29"/>
      <c r="IX1459" s="29"/>
      <c r="IY1459" s="29"/>
      <c r="IZ1459" s="29"/>
      <c r="JA1459" s="29"/>
      <c r="JB1459" s="29"/>
      <c r="JC1459" s="29"/>
      <c r="JD1459" s="29"/>
      <c r="JE1459" s="29"/>
      <c r="JF1459" s="29"/>
      <c r="JG1459" s="29"/>
      <c r="JH1459" s="29"/>
      <c r="JI1459" s="29"/>
      <c r="JJ1459" s="29"/>
      <c r="JK1459" s="29"/>
      <c r="JL1459" s="29"/>
      <c r="JM1459" s="29"/>
      <c r="JN1459" s="29"/>
      <c r="JO1459" s="29"/>
      <c r="JP1459" s="29"/>
      <c r="JQ1459" s="29"/>
      <c r="JR1459" s="29"/>
      <c r="JS1459" s="29"/>
      <c r="JT1459" s="29"/>
      <c r="JU1459" s="29"/>
      <c r="JV1459" s="29"/>
      <c r="JW1459" s="29"/>
      <c r="JX1459" s="29"/>
      <c r="JY1459" s="29"/>
      <c r="JZ1459" s="29"/>
      <c r="KA1459" s="29"/>
      <c r="KB1459" s="29"/>
      <c r="KC1459" s="29"/>
      <c r="KD1459" s="29"/>
      <c r="KE1459" s="29"/>
      <c r="KF1459" s="29"/>
      <c r="KG1459" s="29"/>
      <c r="KH1459" s="29"/>
      <c r="KI1459" s="29"/>
      <c r="KJ1459" s="29"/>
      <c r="KK1459" s="29"/>
      <c r="KL1459" s="29"/>
      <c r="KM1459" s="29"/>
      <c r="KN1459" s="29"/>
      <c r="KO1459" s="29"/>
      <c r="KP1459" s="29"/>
      <c r="KQ1459" s="29"/>
      <c r="KR1459" s="29"/>
      <c r="KS1459" s="29"/>
      <c r="KT1459" s="29"/>
      <c r="KU1459" s="29"/>
      <c r="KV1459" s="29"/>
      <c r="KW1459" s="29"/>
      <c r="KX1459" s="29"/>
      <c r="KY1459" s="29"/>
      <c r="KZ1459" s="29"/>
      <c r="LA1459" s="29"/>
      <c r="LB1459" s="29"/>
      <c r="LC1459" s="29"/>
      <c r="LD1459" s="29"/>
      <c r="LE1459" s="29"/>
      <c r="LF1459" s="29"/>
      <c r="LG1459" s="29"/>
      <c r="LH1459" s="29"/>
      <c r="LI1459" s="29"/>
      <c r="LJ1459" s="29"/>
      <c r="LK1459" s="29"/>
      <c r="LL1459" s="29"/>
      <c r="LM1459" s="29"/>
      <c r="LN1459" s="29"/>
      <c r="LO1459" s="29"/>
      <c r="LP1459" s="29"/>
      <c r="LQ1459" s="29"/>
      <c r="LR1459" s="29"/>
      <c r="LS1459" s="29"/>
      <c r="LT1459" s="29"/>
      <c r="LU1459" s="29"/>
      <c r="LV1459" s="29"/>
      <c r="LW1459" s="29"/>
      <c r="LX1459" s="29"/>
      <c r="LY1459" s="29"/>
      <c r="LZ1459" s="29"/>
      <c r="MA1459" s="29"/>
      <c r="MB1459" s="29"/>
      <c r="MC1459" s="29"/>
      <c r="MD1459" s="29"/>
      <c r="ME1459" s="29"/>
      <c r="MF1459" s="29"/>
      <c r="MG1459" s="29"/>
      <c r="MH1459" s="29"/>
      <c r="MI1459" s="29"/>
      <c r="MJ1459" s="29"/>
      <c r="MK1459" s="29"/>
      <c r="ML1459" s="29"/>
      <c r="MM1459" s="29"/>
      <c r="MN1459" s="29"/>
      <c r="MO1459" s="29"/>
      <c r="MP1459" s="29"/>
      <c r="MQ1459" s="29"/>
      <c r="MR1459" s="29"/>
      <c r="MS1459" s="29"/>
      <c r="MT1459" s="29"/>
      <c r="MU1459" s="29"/>
      <c r="MV1459" s="29"/>
      <c r="MW1459" s="29"/>
      <c r="MX1459" s="29"/>
      <c r="MY1459" s="29"/>
      <c r="MZ1459" s="29"/>
      <c r="NA1459" s="29"/>
      <c r="NB1459" s="29"/>
      <c r="NC1459" s="29"/>
      <c r="ND1459" s="29"/>
      <c r="NE1459" s="29"/>
      <c r="NF1459" s="29"/>
      <c r="NG1459" s="29"/>
      <c r="NH1459" s="29"/>
      <c r="NI1459" s="29"/>
      <c r="NJ1459" s="29"/>
      <c r="NK1459" s="29"/>
      <c r="NL1459" s="29"/>
      <c r="NM1459" s="29"/>
      <c r="NN1459" s="29"/>
      <c r="NO1459" s="29"/>
      <c r="NP1459" s="29"/>
      <c r="NQ1459" s="29"/>
      <c r="NR1459" s="29"/>
      <c r="NS1459" s="29"/>
      <c r="NT1459" s="29"/>
      <c r="NU1459" s="29"/>
      <c r="NV1459" s="29"/>
      <c r="NW1459" s="29"/>
      <c r="NX1459" s="29"/>
      <c r="NY1459" s="29"/>
      <c r="NZ1459" s="29"/>
      <c r="OA1459" s="29"/>
      <c r="OB1459" s="29"/>
      <c r="OC1459" s="29"/>
      <c r="OD1459" s="29"/>
      <c r="OE1459" s="29"/>
      <c r="OF1459" s="29"/>
      <c r="OG1459" s="29"/>
      <c r="OH1459" s="29"/>
      <c r="OI1459" s="29"/>
      <c r="OJ1459" s="29"/>
      <c r="OK1459" s="29"/>
      <c r="OL1459" s="29"/>
      <c r="OM1459" s="29"/>
      <c r="ON1459" s="29"/>
      <c r="OO1459" s="29"/>
      <c r="OP1459" s="29"/>
      <c r="OQ1459" s="29"/>
      <c r="OR1459" s="29"/>
      <c r="OS1459" s="29"/>
      <c r="OT1459" s="29"/>
      <c r="OU1459" s="29"/>
      <c r="OV1459" s="29"/>
      <c r="OW1459" s="29"/>
      <c r="OX1459" s="29"/>
      <c r="OY1459" s="29"/>
      <c r="OZ1459" s="29"/>
      <c r="PA1459" s="29"/>
      <c r="PB1459" s="29"/>
      <c r="PC1459" s="29"/>
      <c r="PD1459" s="29"/>
      <c r="PE1459" s="29"/>
      <c r="PF1459" s="29"/>
      <c r="PG1459" s="29"/>
      <c r="PH1459" s="29"/>
      <c r="PI1459" s="29"/>
      <c r="PJ1459" s="29"/>
      <c r="PK1459" s="29"/>
      <c r="PL1459" s="29"/>
      <c r="PM1459" s="29"/>
      <c r="PN1459" s="29"/>
      <c r="PO1459" s="29"/>
      <c r="PP1459" s="29"/>
      <c r="PQ1459" s="29"/>
      <c r="PR1459" s="29"/>
      <c r="PS1459" s="29"/>
      <c r="PT1459" s="29"/>
      <c r="PU1459" s="29"/>
      <c r="PV1459" s="29"/>
      <c r="PW1459" s="29"/>
      <c r="PX1459" s="29"/>
      <c r="PY1459" s="29"/>
      <c r="PZ1459" s="29"/>
      <c r="QA1459" s="29"/>
      <c r="QB1459" s="29"/>
      <c r="QC1459" s="29"/>
      <c r="QD1459" s="29"/>
      <c r="QE1459" s="29"/>
      <c r="QF1459" s="29"/>
      <c r="QG1459" s="29"/>
      <c r="QH1459" s="29"/>
      <c r="QI1459" s="29"/>
      <c r="QJ1459" s="29"/>
      <c r="QK1459" s="29"/>
      <c r="QL1459" s="29"/>
      <c r="QM1459" s="29"/>
      <c r="QN1459" s="29"/>
      <c r="QO1459" s="29"/>
      <c r="QP1459" s="29"/>
      <c r="QQ1459" s="29"/>
      <c r="QR1459" s="29"/>
      <c r="QS1459" s="29"/>
      <c r="QT1459" s="29"/>
      <c r="QU1459" s="29"/>
      <c r="QV1459" s="29"/>
      <c r="QW1459" s="29"/>
      <c r="QX1459" s="29"/>
      <c r="QY1459" s="29"/>
      <c r="QZ1459" s="29"/>
      <c r="RA1459" s="29"/>
      <c r="RB1459" s="29"/>
      <c r="RC1459" s="29"/>
      <c r="RD1459" s="29"/>
      <c r="RE1459" s="29"/>
      <c r="RF1459" s="29"/>
      <c r="RG1459" s="29"/>
      <c r="RH1459" s="29"/>
      <c r="RI1459" s="29"/>
      <c r="RJ1459" s="29"/>
      <c r="RK1459" s="29"/>
      <c r="RL1459" s="29"/>
      <c r="RM1459" s="29"/>
      <c r="RN1459" s="29"/>
      <c r="RO1459" s="29"/>
      <c r="RP1459" s="29"/>
      <c r="RQ1459" s="29"/>
      <c r="RR1459" s="29"/>
      <c r="RS1459" s="29"/>
      <c r="RT1459" s="29"/>
      <c r="RU1459" s="29"/>
      <c r="RV1459" s="29"/>
      <c r="RW1459" s="29"/>
      <c r="RX1459" s="29"/>
      <c r="RY1459" s="29"/>
      <c r="RZ1459" s="29"/>
      <c r="SA1459" s="29"/>
      <c r="SB1459" s="29"/>
      <c r="SC1459" s="29"/>
      <c r="SD1459" s="29"/>
      <c r="SE1459" s="29"/>
      <c r="SF1459" s="29"/>
      <c r="SG1459" s="29"/>
      <c r="SH1459" s="29"/>
      <c r="SI1459" s="29"/>
      <c r="SJ1459" s="29"/>
      <c r="SK1459" s="29"/>
      <c r="SL1459" s="29"/>
      <c r="SM1459" s="29"/>
      <c r="SN1459" s="29"/>
      <c r="SO1459" s="29"/>
      <c r="SP1459" s="29"/>
      <c r="SQ1459" s="29"/>
      <c r="SR1459" s="29"/>
      <c r="SS1459" s="29"/>
      <c r="ST1459" s="29"/>
      <c r="SU1459" s="29"/>
      <c r="SV1459" s="29"/>
      <c r="SW1459" s="29"/>
      <c r="SX1459" s="29"/>
      <c r="SY1459" s="29"/>
      <c r="SZ1459" s="29"/>
      <c r="TA1459" s="29"/>
      <c r="TB1459" s="29"/>
      <c r="TC1459" s="29"/>
      <c r="TD1459" s="29"/>
      <c r="TE1459" s="29"/>
      <c r="TF1459" s="29"/>
      <c r="TG1459" s="29"/>
      <c r="TH1459" s="29"/>
      <c r="TI1459" s="29"/>
      <c r="TJ1459" s="29"/>
      <c r="TK1459" s="29"/>
      <c r="TL1459" s="29"/>
      <c r="TM1459" s="29"/>
      <c r="TN1459" s="29"/>
      <c r="TO1459" s="29"/>
      <c r="TP1459" s="29"/>
      <c r="TQ1459" s="29"/>
      <c r="TR1459" s="29"/>
      <c r="TS1459" s="29"/>
      <c r="TT1459" s="29"/>
      <c r="TU1459" s="29"/>
      <c r="TV1459" s="29"/>
      <c r="TW1459" s="29"/>
      <c r="TX1459" s="29"/>
      <c r="TY1459" s="29"/>
      <c r="TZ1459" s="29"/>
      <c r="UA1459" s="29"/>
      <c r="UB1459" s="29"/>
      <c r="UC1459" s="29"/>
      <c r="UD1459" s="29"/>
      <c r="UE1459" s="29"/>
      <c r="UF1459" s="29"/>
      <c r="UG1459" s="29"/>
    </row>
    <row r="1460" spans="1:553" ht="25.15" customHeight="1">
      <c r="A1460" s="356" t="s">
        <v>15</v>
      </c>
      <c r="B1460" s="385" t="s">
        <v>35</v>
      </c>
      <c r="C1460" s="1535" t="s">
        <v>790</v>
      </c>
      <c r="D1460" s="1389"/>
      <c r="E1460" s="1389"/>
      <c r="F1460" s="1390"/>
      <c r="G1460" s="417" t="s">
        <v>1303</v>
      </c>
      <c r="H1460" s="370"/>
      <c r="I1460" s="834">
        <f>0.22*3.14*1.3*2</f>
        <v>1.7960800000000003</v>
      </c>
      <c r="J1460" s="368">
        <v>39000</v>
      </c>
      <c r="K1460" s="371"/>
      <c r="L1460" s="487">
        <f t="shared" si="222"/>
        <v>70047</v>
      </c>
      <c r="M1460" s="395"/>
      <c r="N1460" s="395"/>
      <c r="O1460" s="366"/>
      <c r="P1460" s="396"/>
      <c r="Q1460" s="473"/>
      <c r="R1460" s="1039"/>
      <c r="S1460" s="308"/>
      <c r="T1460" s="308"/>
      <c r="U1460" s="308"/>
      <c r="V1460" s="308"/>
      <c r="W1460" s="308"/>
      <c r="X1460" s="308"/>
      <c r="Y1460" s="308"/>
      <c r="Z1460" s="604"/>
      <c r="AA1460" s="308"/>
      <c r="AB1460" s="308"/>
      <c r="AC1460" s="486"/>
      <c r="AD1460" s="486"/>
      <c r="AE1460" s="486"/>
      <c r="AF1460" s="486"/>
      <c r="AG1460" s="486"/>
      <c r="AH1460" s="486"/>
      <c r="AI1460" s="486"/>
      <c r="AJ1460" s="486"/>
      <c r="AK1460" s="486"/>
      <c r="AL1460" s="206"/>
      <c r="AM1460" s="29"/>
      <c r="AN1460" s="29"/>
      <c r="AO1460" s="29"/>
      <c r="AP1460" s="29"/>
      <c r="AQ1460" s="29"/>
      <c r="AR1460" s="29"/>
      <c r="AS1460" s="29"/>
      <c r="AT1460" s="29"/>
      <c r="AU1460" s="29"/>
      <c r="AV1460" s="29"/>
      <c r="AW1460" s="29"/>
      <c r="AX1460" s="29"/>
      <c r="AY1460" s="29"/>
      <c r="AZ1460" s="29"/>
      <c r="BA1460" s="29"/>
      <c r="BB1460" s="29"/>
      <c r="BC1460" s="29"/>
      <c r="BD1460" s="29"/>
      <c r="BE1460" s="29"/>
      <c r="BF1460" s="29"/>
      <c r="BG1460" s="29"/>
      <c r="BH1460" s="29"/>
      <c r="BI1460" s="29"/>
      <c r="BJ1460" s="29"/>
      <c r="BK1460" s="29"/>
      <c r="BL1460" s="29"/>
      <c r="BM1460" s="29"/>
      <c r="BN1460" s="29"/>
      <c r="BO1460" s="29"/>
      <c r="BP1460" s="29"/>
      <c r="BQ1460" s="29"/>
      <c r="BR1460" s="29"/>
      <c r="BS1460" s="29"/>
      <c r="BT1460" s="29"/>
      <c r="BU1460" s="29"/>
      <c r="BV1460" s="29"/>
      <c r="BW1460" s="29"/>
      <c r="BX1460" s="29"/>
      <c r="BY1460" s="29"/>
      <c r="BZ1460" s="29"/>
      <c r="CA1460" s="29"/>
      <c r="CB1460" s="29"/>
      <c r="CC1460" s="29"/>
      <c r="CD1460" s="29"/>
      <c r="CE1460" s="29"/>
      <c r="CF1460" s="29"/>
      <c r="CG1460" s="29"/>
      <c r="CH1460" s="29"/>
      <c r="CI1460" s="29"/>
      <c r="CJ1460" s="29"/>
      <c r="CK1460" s="29"/>
      <c r="CL1460" s="29"/>
      <c r="CM1460" s="29"/>
      <c r="CN1460" s="29"/>
      <c r="CO1460" s="29"/>
      <c r="CP1460" s="29"/>
      <c r="CQ1460" s="29"/>
      <c r="CR1460" s="29"/>
      <c r="CS1460" s="29"/>
      <c r="CT1460" s="29"/>
      <c r="CU1460" s="29"/>
      <c r="CV1460" s="29"/>
      <c r="CW1460" s="29"/>
      <c r="CX1460" s="29"/>
      <c r="CY1460" s="29"/>
      <c r="CZ1460" s="29"/>
      <c r="DA1460" s="29"/>
      <c r="DB1460" s="29"/>
      <c r="DC1460" s="29"/>
      <c r="DD1460" s="29"/>
      <c r="DE1460" s="29"/>
      <c r="DF1460" s="29"/>
      <c r="DG1460" s="29"/>
      <c r="DH1460" s="29"/>
      <c r="DI1460" s="29"/>
      <c r="DJ1460" s="29"/>
      <c r="DK1460" s="29"/>
      <c r="DL1460" s="29"/>
      <c r="DM1460" s="29"/>
      <c r="DN1460" s="29"/>
      <c r="DO1460" s="29"/>
      <c r="DP1460" s="29"/>
      <c r="DQ1460" s="29"/>
      <c r="DR1460" s="29"/>
      <c r="DS1460" s="29"/>
      <c r="DT1460" s="29"/>
      <c r="DU1460" s="29"/>
      <c r="DV1460" s="29"/>
      <c r="DW1460" s="29"/>
      <c r="DX1460" s="29"/>
      <c r="DY1460" s="29"/>
      <c r="DZ1460" s="29"/>
      <c r="EA1460" s="29"/>
      <c r="EB1460" s="29"/>
      <c r="EC1460" s="29"/>
      <c r="ED1460" s="29"/>
      <c r="EE1460" s="29"/>
      <c r="EF1460" s="29"/>
      <c r="EG1460" s="29"/>
      <c r="EH1460" s="29"/>
      <c r="EI1460" s="29"/>
      <c r="EJ1460" s="29"/>
      <c r="EK1460" s="29"/>
      <c r="EL1460" s="29"/>
      <c r="EM1460" s="29"/>
      <c r="EN1460" s="29"/>
      <c r="EO1460" s="29"/>
      <c r="EP1460" s="29"/>
      <c r="EQ1460" s="29"/>
      <c r="ER1460" s="29"/>
      <c r="ES1460" s="29"/>
      <c r="ET1460" s="29"/>
      <c r="EU1460" s="29"/>
      <c r="EV1460" s="29"/>
      <c r="EW1460" s="29"/>
      <c r="EX1460" s="29"/>
      <c r="EY1460" s="29"/>
      <c r="EZ1460" s="29"/>
      <c r="FA1460" s="29"/>
      <c r="FB1460" s="29"/>
      <c r="FC1460" s="29"/>
      <c r="FD1460" s="29"/>
      <c r="FE1460" s="29"/>
      <c r="FF1460" s="29"/>
      <c r="FG1460" s="29"/>
      <c r="FH1460" s="29"/>
      <c r="FI1460" s="29"/>
      <c r="FJ1460" s="29"/>
      <c r="FK1460" s="29"/>
      <c r="FL1460" s="29"/>
      <c r="FM1460" s="29"/>
      <c r="FN1460" s="29"/>
      <c r="FO1460" s="29"/>
      <c r="FP1460" s="29"/>
      <c r="FQ1460" s="29"/>
      <c r="FR1460" s="29"/>
      <c r="FS1460" s="29"/>
      <c r="FT1460" s="29"/>
      <c r="FU1460" s="29"/>
      <c r="FV1460" s="29"/>
      <c r="FW1460" s="29"/>
      <c r="FX1460" s="29"/>
      <c r="FY1460" s="29"/>
      <c r="FZ1460" s="29"/>
      <c r="GA1460" s="29"/>
      <c r="GB1460" s="29"/>
      <c r="GC1460" s="29"/>
      <c r="GD1460" s="29"/>
      <c r="GE1460" s="29"/>
      <c r="GF1460" s="29"/>
      <c r="GG1460" s="29"/>
      <c r="GH1460" s="29"/>
      <c r="GI1460" s="29"/>
      <c r="GJ1460" s="29"/>
      <c r="GK1460" s="29"/>
      <c r="GL1460" s="29"/>
      <c r="GM1460" s="29"/>
      <c r="GN1460" s="29"/>
      <c r="GO1460" s="29"/>
      <c r="GP1460" s="29"/>
      <c r="GQ1460" s="29"/>
      <c r="GR1460" s="29"/>
      <c r="GS1460" s="29"/>
      <c r="GT1460" s="29"/>
      <c r="GU1460" s="29"/>
      <c r="GV1460" s="29"/>
      <c r="GW1460" s="29"/>
      <c r="GX1460" s="29"/>
      <c r="GY1460" s="29"/>
      <c r="GZ1460" s="29"/>
      <c r="HA1460" s="29"/>
      <c r="HB1460" s="29"/>
      <c r="HC1460" s="29"/>
      <c r="HD1460" s="29"/>
      <c r="HE1460" s="29"/>
      <c r="HF1460" s="29"/>
      <c r="HG1460" s="29"/>
      <c r="HH1460" s="29"/>
      <c r="HI1460" s="29"/>
      <c r="HJ1460" s="29"/>
      <c r="HK1460" s="29"/>
      <c r="HL1460" s="29"/>
      <c r="HM1460" s="29"/>
      <c r="HN1460" s="29"/>
      <c r="HO1460" s="29"/>
      <c r="HP1460" s="29"/>
      <c r="HQ1460" s="29"/>
      <c r="HR1460" s="29"/>
      <c r="HS1460" s="29"/>
      <c r="HT1460" s="29"/>
      <c r="HU1460" s="29"/>
      <c r="HV1460" s="29"/>
      <c r="HW1460" s="29"/>
      <c r="HX1460" s="29"/>
      <c r="HY1460" s="29"/>
      <c r="HZ1460" s="29"/>
      <c r="IA1460" s="29"/>
      <c r="IB1460" s="29"/>
      <c r="IC1460" s="29"/>
      <c r="ID1460" s="29"/>
      <c r="IE1460" s="29"/>
      <c r="IF1460" s="29"/>
      <c r="IG1460" s="29"/>
      <c r="IH1460" s="29"/>
      <c r="II1460" s="29"/>
      <c r="IJ1460" s="29"/>
      <c r="IK1460" s="29"/>
      <c r="IL1460" s="29"/>
      <c r="IM1460" s="29"/>
      <c r="IN1460" s="29"/>
      <c r="IO1460" s="29"/>
      <c r="IP1460" s="29"/>
      <c r="IQ1460" s="29"/>
      <c r="IR1460" s="29"/>
      <c r="IS1460" s="29"/>
      <c r="IT1460" s="29"/>
      <c r="IU1460" s="29"/>
      <c r="IV1460" s="29"/>
      <c r="IW1460" s="29"/>
      <c r="IX1460" s="29"/>
      <c r="IY1460" s="29"/>
      <c r="IZ1460" s="29"/>
      <c r="JA1460" s="29"/>
      <c r="JB1460" s="29"/>
      <c r="JC1460" s="29"/>
      <c r="JD1460" s="29"/>
      <c r="JE1460" s="29"/>
      <c r="JF1460" s="29"/>
      <c r="JG1460" s="29"/>
      <c r="JH1460" s="29"/>
      <c r="JI1460" s="29"/>
      <c r="JJ1460" s="29"/>
      <c r="JK1460" s="29"/>
      <c r="JL1460" s="29"/>
      <c r="JM1460" s="29"/>
      <c r="JN1460" s="29"/>
      <c r="JO1460" s="29"/>
      <c r="JP1460" s="29"/>
      <c r="JQ1460" s="29"/>
      <c r="JR1460" s="29"/>
      <c r="JS1460" s="29"/>
      <c r="JT1460" s="29"/>
      <c r="JU1460" s="29"/>
      <c r="JV1460" s="29"/>
      <c r="JW1460" s="29"/>
      <c r="JX1460" s="29"/>
      <c r="JY1460" s="29"/>
      <c r="JZ1460" s="29"/>
      <c r="KA1460" s="29"/>
      <c r="KB1460" s="29"/>
      <c r="KC1460" s="29"/>
      <c r="KD1460" s="29"/>
      <c r="KE1460" s="29"/>
      <c r="KF1460" s="29"/>
      <c r="KG1460" s="29"/>
      <c r="KH1460" s="29"/>
      <c r="KI1460" s="29"/>
      <c r="KJ1460" s="29"/>
      <c r="KK1460" s="29"/>
      <c r="KL1460" s="29"/>
      <c r="KM1460" s="29"/>
      <c r="KN1460" s="29"/>
      <c r="KO1460" s="29"/>
      <c r="KP1460" s="29"/>
      <c r="KQ1460" s="29"/>
      <c r="KR1460" s="29"/>
      <c r="KS1460" s="29"/>
      <c r="KT1460" s="29"/>
      <c r="KU1460" s="29"/>
      <c r="KV1460" s="29"/>
      <c r="KW1460" s="29"/>
      <c r="KX1460" s="29"/>
      <c r="KY1460" s="29"/>
      <c r="KZ1460" s="29"/>
      <c r="LA1460" s="29"/>
      <c r="LB1460" s="29"/>
      <c r="LC1460" s="29"/>
      <c r="LD1460" s="29"/>
      <c r="LE1460" s="29"/>
      <c r="LF1460" s="29"/>
      <c r="LG1460" s="29"/>
      <c r="LH1460" s="29"/>
      <c r="LI1460" s="29"/>
      <c r="LJ1460" s="29"/>
      <c r="LK1460" s="29"/>
      <c r="LL1460" s="29"/>
      <c r="LM1460" s="29"/>
      <c r="LN1460" s="29"/>
      <c r="LO1460" s="29"/>
      <c r="LP1460" s="29"/>
      <c r="LQ1460" s="29"/>
      <c r="LR1460" s="29"/>
      <c r="LS1460" s="29"/>
      <c r="LT1460" s="29"/>
      <c r="LU1460" s="29"/>
      <c r="LV1460" s="29"/>
      <c r="LW1460" s="29"/>
      <c r="LX1460" s="29"/>
      <c r="LY1460" s="29"/>
      <c r="LZ1460" s="29"/>
      <c r="MA1460" s="29"/>
      <c r="MB1460" s="29"/>
      <c r="MC1460" s="29"/>
      <c r="MD1460" s="29"/>
      <c r="ME1460" s="29"/>
      <c r="MF1460" s="29"/>
      <c r="MG1460" s="29"/>
      <c r="MH1460" s="29"/>
      <c r="MI1460" s="29"/>
      <c r="MJ1460" s="29"/>
      <c r="MK1460" s="29"/>
      <c r="ML1460" s="29"/>
      <c r="MM1460" s="29"/>
      <c r="MN1460" s="29"/>
      <c r="MO1460" s="29"/>
      <c r="MP1460" s="29"/>
      <c r="MQ1460" s="29"/>
      <c r="MR1460" s="29"/>
      <c r="MS1460" s="29"/>
      <c r="MT1460" s="29"/>
      <c r="MU1460" s="29"/>
      <c r="MV1460" s="29"/>
      <c r="MW1460" s="29"/>
      <c r="MX1460" s="29"/>
      <c r="MY1460" s="29"/>
      <c r="MZ1460" s="29"/>
      <c r="NA1460" s="29"/>
      <c r="NB1460" s="29"/>
      <c r="NC1460" s="29"/>
      <c r="ND1460" s="29"/>
      <c r="NE1460" s="29"/>
      <c r="NF1460" s="29"/>
      <c r="NG1460" s="29"/>
      <c r="NH1460" s="29"/>
      <c r="NI1460" s="29"/>
      <c r="NJ1460" s="29"/>
      <c r="NK1460" s="29"/>
      <c r="NL1460" s="29"/>
      <c r="NM1460" s="29"/>
      <c r="NN1460" s="29"/>
      <c r="NO1460" s="29"/>
      <c r="NP1460" s="29"/>
      <c r="NQ1460" s="29"/>
      <c r="NR1460" s="29"/>
      <c r="NS1460" s="29"/>
      <c r="NT1460" s="29"/>
      <c r="NU1460" s="29"/>
      <c r="NV1460" s="29"/>
      <c r="NW1460" s="29"/>
      <c r="NX1460" s="29"/>
      <c r="NY1460" s="29"/>
      <c r="NZ1460" s="29"/>
      <c r="OA1460" s="29"/>
      <c r="OB1460" s="29"/>
      <c r="OC1460" s="29"/>
      <c r="OD1460" s="29"/>
      <c r="OE1460" s="29"/>
      <c r="OF1460" s="29"/>
      <c r="OG1460" s="29"/>
      <c r="OH1460" s="29"/>
      <c r="OI1460" s="29"/>
      <c r="OJ1460" s="29"/>
      <c r="OK1460" s="29"/>
      <c r="OL1460" s="29"/>
      <c r="OM1460" s="29"/>
      <c r="ON1460" s="29"/>
      <c r="OO1460" s="29"/>
      <c r="OP1460" s="29"/>
      <c r="OQ1460" s="29"/>
      <c r="OR1460" s="29"/>
      <c r="OS1460" s="29"/>
      <c r="OT1460" s="29"/>
      <c r="OU1460" s="29"/>
      <c r="OV1460" s="29"/>
      <c r="OW1460" s="29"/>
      <c r="OX1460" s="29"/>
      <c r="OY1460" s="29"/>
      <c r="OZ1460" s="29"/>
      <c r="PA1460" s="29"/>
      <c r="PB1460" s="29"/>
      <c r="PC1460" s="29"/>
      <c r="PD1460" s="29"/>
      <c r="PE1460" s="29"/>
      <c r="PF1460" s="29"/>
      <c r="PG1460" s="29"/>
      <c r="PH1460" s="29"/>
      <c r="PI1460" s="29"/>
      <c r="PJ1460" s="29"/>
      <c r="PK1460" s="29"/>
      <c r="PL1460" s="29"/>
      <c r="PM1460" s="29"/>
      <c r="PN1460" s="29"/>
      <c r="PO1460" s="29"/>
      <c r="PP1460" s="29"/>
      <c r="PQ1460" s="29"/>
      <c r="PR1460" s="29"/>
      <c r="PS1460" s="29"/>
      <c r="PT1460" s="29"/>
      <c r="PU1460" s="29"/>
      <c r="PV1460" s="29"/>
      <c r="PW1460" s="29"/>
      <c r="PX1460" s="29"/>
      <c r="PY1460" s="29"/>
      <c r="PZ1460" s="29"/>
      <c r="QA1460" s="29"/>
      <c r="QB1460" s="29"/>
      <c r="QC1460" s="29"/>
      <c r="QD1460" s="29"/>
      <c r="QE1460" s="29"/>
      <c r="QF1460" s="29"/>
      <c r="QG1460" s="29"/>
      <c r="QH1460" s="29"/>
      <c r="QI1460" s="29"/>
      <c r="QJ1460" s="29"/>
      <c r="QK1460" s="29"/>
      <c r="QL1460" s="29"/>
      <c r="QM1460" s="29"/>
      <c r="QN1460" s="29"/>
      <c r="QO1460" s="29"/>
      <c r="QP1460" s="29"/>
      <c r="QQ1460" s="29"/>
      <c r="QR1460" s="29"/>
      <c r="QS1460" s="29"/>
      <c r="QT1460" s="29"/>
      <c r="QU1460" s="29"/>
      <c r="QV1460" s="29"/>
      <c r="QW1460" s="29"/>
      <c r="QX1460" s="29"/>
      <c r="QY1460" s="29"/>
      <c r="QZ1460" s="29"/>
      <c r="RA1460" s="29"/>
      <c r="RB1460" s="29"/>
      <c r="RC1460" s="29"/>
      <c r="RD1460" s="29"/>
      <c r="RE1460" s="29"/>
      <c r="RF1460" s="29"/>
      <c r="RG1460" s="29"/>
      <c r="RH1460" s="29"/>
      <c r="RI1460" s="29"/>
      <c r="RJ1460" s="29"/>
      <c r="RK1460" s="29"/>
      <c r="RL1460" s="29"/>
      <c r="RM1460" s="29"/>
      <c r="RN1460" s="29"/>
      <c r="RO1460" s="29"/>
      <c r="RP1460" s="29"/>
      <c r="RQ1460" s="29"/>
      <c r="RR1460" s="29"/>
      <c r="RS1460" s="29"/>
      <c r="RT1460" s="29"/>
      <c r="RU1460" s="29"/>
      <c r="RV1460" s="29"/>
      <c r="RW1460" s="29"/>
      <c r="RX1460" s="29"/>
      <c r="RY1460" s="29"/>
      <c r="RZ1460" s="29"/>
      <c r="SA1460" s="29"/>
      <c r="SB1460" s="29"/>
      <c r="SC1460" s="29"/>
      <c r="SD1460" s="29"/>
      <c r="SE1460" s="29"/>
      <c r="SF1460" s="29"/>
      <c r="SG1460" s="29"/>
      <c r="SH1460" s="29"/>
      <c r="SI1460" s="29"/>
      <c r="SJ1460" s="29"/>
      <c r="SK1460" s="29"/>
      <c r="SL1460" s="29"/>
      <c r="SM1460" s="29"/>
      <c r="SN1460" s="29"/>
      <c r="SO1460" s="29"/>
      <c r="SP1460" s="29"/>
      <c r="SQ1460" s="29"/>
      <c r="SR1460" s="29"/>
      <c r="SS1460" s="29"/>
      <c r="ST1460" s="29"/>
      <c r="SU1460" s="29"/>
      <c r="SV1460" s="29"/>
      <c r="SW1460" s="29"/>
      <c r="SX1460" s="29"/>
      <c r="SY1460" s="29"/>
      <c r="SZ1460" s="29"/>
      <c r="TA1460" s="29"/>
      <c r="TB1460" s="29"/>
      <c r="TC1460" s="29"/>
      <c r="TD1460" s="29"/>
      <c r="TE1460" s="29"/>
      <c r="TF1460" s="29"/>
      <c r="TG1460" s="29"/>
      <c r="TH1460" s="29"/>
      <c r="TI1460" s="29"/>
      <c r="TJ1460" s="29"/>
      <c r="TK1460" s="29"/>
      <c r="TL1460" s="29"/>
      <c r="TM1460" s="29"/>
      <c r="TN1460" s="29"/>
      <c r="TO1460" s="29"/>
      <c r="TP1460" s="29"/>
      <c r="TQ1460" s="29"/>
      <c r="TR1460" s="29"/>
      <c r="TS1460" s="29"/>
      <c r="TT1460" s="29"/>
      <c r="TU1460" s="29"/>
      <c r="TV1460" s="29"/>
      <c r="TW1460" s="29"/>
      <c r="TX1460" s="29"/>
      <c r="TY1460" s="29"/>
      <c r="TZ1460" s="29"/>
      <c r="UA1460" s="29"/>
      <c r="UB1460" s="29"/>
      <c r="UC1460" s="29"/>
      <c r="UD1460" s="29"/>
      <c r="UE1460" s="29"/>
      <c r="UF1460" s="29"/>
      <c r="UG1460" s="29"/>
    </row>
    <row r="1461" spans="1:553" ht="23.5" customHeight="1">
      <c r="A1461" s="356" t="s">
        <v>15</v>
      </c>
      <c r="B1461" s="385" t="s">
        <v>791</v>
      </c>
      <c r="C1461" s="1535" t="s">
        <v>792</v>
      </c>
      <c r="D1461" s="1389"/>
      <c r="E1461" s="1389"/>
      <c r="F1461" s="1390"/>
      <c r="G1461" s="417" t="s">
        <v>1303</v>
      </c>
      <c r="H1461" s="370"/>
      <c r="I1461" s="422">
        <f>0.3*10</f>
        <v>3</v>
      </c>
      <c r="J1461" s="368">
        <v>240000</v>
      </c>
      <c r="K1461" s="371"/>
      <c r="L1461" s="487">
        <f t="shared" si="222"/>
        <v>720000</v>
      </c>
      <c r="M1461" s="395"/>
      <c r="N1461" s="395"/>
      <c r="O1461" s="366"/>
      <c r="P1461" s="396"/>
      <c r="Q1461" s="473"/>
      <c r="R1461" s="1039"/>
      <c r="S1461" s="308"/>
      <c r="T1461" s="308"/>
      <c r="U1461" s="308"/>
      <c r="V1461" s="308"/>
      <c r="W1461" s="308"/>
      <c r="X1461" s="308"/>
      <c r="Y1461" s="308"/>
      <c r="Z1461" s="604"/>
      <c r="AA1461" s="308"/>
      <c r="AB1461" s="308"/>
      <c r="AC1461" s="486"/>
      <c r="AD1461" s="486"/>
      <c r="AE1461" s="486"/>
      <c r="AF1461" s="486"/>
      <c r="AG1461" s="486"/>
      <c r="AH1461" s="486"/>
      <c r="AI1461" s="486"/>
      <c r="AJ1461" s="486"/>
      <c r="AK1461" s="486"/>
      <c r="AL1461" s="206"/>
      <c r="AM1461" s="29"/>
      <c r="AN1461" s="29"/>
      <c r="AO1461" s="29"/>
      <c r="AP1461" s="29"/>
      <c r="AQ1461" s="29"/>
      <c r="AR1461" s="29"/>
      <c r="AS1461" s="29"/>
      <c r="AT1461" s="29"/>
      <c r="AU1461" s="29"/>
      <c r="AV1461" s="29"/>
      <c r="AW1461" s="29"/>
      <c r="AX1461" s="29"/>
      <c r="AY1461" s="29"/>
      <c r="AZ1461" s="29"/>
      <c r="BA1461" s="29"/>
      <c r="BB1461" s="29"/>
      <c r="BC1461" s="29"/>
      <c r="BD1461" s="29"/>
      <c r="BE1461" s="29"/>
      <c r="BF1461" s="29"/>
      <c r="BG1461" s="29"/>
      <c r="BH1461" s="29"/>
      <c r="BI1461" s="29"/>
      <c r="BJ1461" s="29"/>
      <c r="BK1461" s="29"/>
      <c r="BL1461" s="29"/>
      <c r="BM1461" s="29"/>
      <c r="BN1461" s="29"/>
      <c r="BO1461" s="29"/>
      <c r="BP1461" s="29"/>
      <c r="BQ1461" s="29"/>
      <c r="BR1461" s="29"/>
      <c r="BS1461" s="29"/>
      <c r="BT1461" s="29"/>
      <c r="BU1461" s="29"/>
      <c r="BV1461" s="29"/>
      <c r="BW1461" s="29"/>
      <c r="BX1461" s="29"/>
      <c r="BY1461" s="29"/>
      <c r="BZ1461" s="29"/>
      <c r="CA1461" s="29"/>
      <c r="CB1461" s="29"/>
      <c r="CC1461" s="29"/>
      <c r="CD1461" s="29"/>
      <c r="CE1461" s="29"/>
      <c r="CF1461" s="29"/>
      <c r="CG1461" s="29"/>
      <c r="CH1461" s="29"/>
      <c r="CI1461" s="29"/>
      <c r="CJ1461" s="29"/>
      <c r="CK1461" s="29"/>
      <c r="CL1461" s="29"/>
      <c r="CM1461" s="29"/>
      <c r="CN1461" s="29"/>
      <c r="CO1461" s="29"/>
      <c r="CP1461" s="29"/>
      <c r="CQ1461" s="29"/>
      <c r="CR1461" s="29"/>
      <c r="CS1461" s="29"/>
      <c r="CT1461" s="29"/>
      <c r="CU1461" s="29"/>
      <c r="CV1461" s="29"/>
      <c r="CW1461" s="29"/>
      <c r="CX1461" s="29"/>
      <c r="CY1461" s="29"/>
      <c r="CZ1461" s="29"/>
      <c r="DA1461" s="29"/>
      <c r="DB1461" s="29"/>
      <c r="DC1461" s="29"/>
      <c r="DD1461" s="29"/>
      <c r="DE1461" s="29"/>
      <c r="DF1461" s="29"/>
      <c r="DG1461" s="29"/>
      <c r="DH1461" s="29"/>
      <c r="DI1461" s="29"/>
      <c r="DJ1461" s="29"/>
      <c r="DK1461" s="29"/>
      <c r="DL1461" s="29"/>
      <c r="DM1461" s="29"/>
      <c r="DN1461" s="29"/>
      <c r="DO1461" s="29"/>
      <c r="DP1461" s="29"/>
      <c r="DQ1461" s="29"/>
      <c r="DR1461" s="29"/>
      <c r="DS1461" s="29"/>
      <c r="DT1461" s="29"/>
      <c r="DU1461" s="29"/>
      <c r="DV1461" s="29"/>
      <c r="DW1461" s="29"/>
      <c r="DX1461" s="29"/>
      <c r="DY1461" s="29"/>
      <c r="DZ1461" s="29"/>
      <c r="EA1461" s="29"/>
      <c r="EB1461" s="29"/>
      <c r="EC1461" s="29"/>
      <c r="ED1461" s="29"/>
      <c r="EE1461" s="29"/>
      <c r="EF1461" s="29"/>
      <c r="EG1461" s="29"/>
      <c r="EH1461" s="29"/>
      <c r="EI1461" s="29"/>
      <c r="EJ1461" s="29"/>
      <c r="EK1461" s="29"/>
      <c r="EL1461" s="29"/>
      <c r="EM1461" s="29"/>
      <c r="EN1461" s="29"/>
      <c r="EO1461" s="29"/>
      <c r="EP1461" s="29"/>
      <c r="EQ1461" s="29"/>
      <c r="ER1461" s="29"/>
      <c r="ES1461" s="29"/>
      <c r="ET1461" s="29"/>
      <c r="EU1461" s="29"/>
      <c r="EV1461" s="29"/>
      <c r="EW1461" s="29"/>
      <c r="EX1461" s="29"/>
      <c r="EY1461" s="29"/>
      <c r="EZ1461" s="29"/>
      <c r="FA1461" s="29"/>
      <c r="FB1461" s="29"/>
      <c r="FC1461" s="29"/>
      <c r="FD1461" s="29"/>
      <c r="FE1461" s="29"/>
      <c r="FF1461" s="29"/>
      <c r="FG1461" s="29"/>
      <c r="FH1461" s="29"/>
      <c r="FI1461" s="29"/>
      <c r="FJ1461" s="29"/>
      <c r="FK1461" s="29"/>
      <c r="FL1461" s="29"/>
      <c r="FM1461" s="29"/>
      <c r="FN1461" s="29"/>
      <c r="FO1461" s="29"/>
      <c r="FP1461" s="29"/>
      <c r="FQ1461" s="29"/>
      <c r="FR1461" s="29"/>
      <c r="FS1461" s="29"/>
      <c r="FT1461" s="29"/>
      <c r="FU1461" s="29"/>
      <c r="FV1461" s="29"/>
      <c r="FW1461" s="29"/>
      <c r="FX1461" s="29"/>
      <c r="FY1461" s="29"/>
      <c r="FZ1461" s="29"/>
      <c r="GA1461" s="29"/>
      <c r="GB1461" s="29"/>
      <c r="GC1461" s="29"/>
      <c r="GD1461" s="29"/>
      <c r="GE1461" s="29"/>
      <c r="GF1461" s="29"/>
      <c r="GG1461" s="29"/>
      <c r="GH1461" s="29"/>
      <c r="GI1461" s="29"/>
      <c r="GJ1461" s="29"/>
      <c r="GK1461" s="29"/>
      <c r="GL1461" s="29"/>
      <c r="GM1461" s="29"/>
      <c r="GN1461" s="29"/>
      <c r="GO1461" s="29"/>
      <c r="GP1461" s="29"/>
      <c r="GQ1461" s="29"/>
      <c r="GR1461" s="29"/>
      <c r="GS1461" s="29"/>
      <c r="GT1461" s="29"/>
      <c r="GU1461" s="29"/>
      <c r="GV1461" s="29"/>
      <c r="GW1461" s="29"/>
      <c r="GX1461" s="29"/>
      <c r="GY1461" s="29"/>
      <c r="GZ1461" s="29"/>
      <c r="HA1461" s="29"/>
      <c r="HB1461" s="29"/>
      <c r="HC1461" s="29"/>
      <c r="HD1461" s="29"/>
      <c r="HE1461" s="29"/>
      <c r="HF1461" s="29"/>
      <c r="HG1461" s="29"/>
      <c r="HH1461" s="29"/>
      <c r="HI1461" s="29"/>
      <c r="HJ1461" s="29"/>
      <c r="HK1461" s="29"/>
      <c r="HL1461" s="29"/>
      <c r="HM1461" s="29"/>
      <c r="HN1461" s="29"/>
      <c r="HO1461" s="29"/>
      <c r="HP1461" s="29"/>
      <c r="HQ1461" s="29"/>
      <c r="HR1461" s="29"/>
      <c r="HS1461" s="29"/>
      <c r="HT1461" s="29"/>
      <c r="HU1461" s="29"/>
      <c r="HV1461" s="29"/>
      <c r="HW1461" s="29"/>
      <c r="HX1461" s="29"/>
      <c r="HY1461" s="29"/>
      <c r="HZ1461" s="29"/>
      <c r="IA1461" s="29"/>
      <c r="IB1461" s="29"/>
      <c r="IC1461" s="29"/>
      <c r="ID1461" s="29"/>
      <c r="IE1461" s="29"/>
      <c r="IF1461" s="29"/>
      <c r="IG1461" s="29"/>
      <c r="IH1461" s="29"/>
      <c r="II1461" s="29"/>
      <c r="IJ1461" s="29"/>
      <c r="IK1461" s="29"/>
      <c r="IL1461" s="29"/>
      <c r="IM1461" s="29"/>
      <c r="IN1461" s="29"/>
      <c r="IO1461" s="29"/>
      <c r="IP1461" s="29"/>
      <c r="IQ1461" s="29"/>
      <c r="IR1461" s="29"/>
      <c r="IS1461" s="29"/>
      <c r="IT1461" s="29"/>
      <c r="IU1461" s="29"/>
      <c r="IV1461" s="29"/>
      <c r="IW1461" s="29"/>
      <c r="IX1461" s="29"/>
      <c r="IY1461" s="29"/>
      <c r="IZ1461" s="29"/>
      <c r="JA1461" s="29"/>
      <c r="JB1461" s="29"/>
      <c r="JC1461" s="29"/>
      <c r="JD1461" s="29"/>
      <c r="JE1461" s="29"/>
      <c r="JF1461" s="29"/>
      <c r="JG1461" s="29"/>
      <c r="JH1461" s="29"/>
      <c r="JI1461" s="29"/>
      <c r="JJ1461" s="29"/>
      <c r="JK1461" s="29"/>
      <c r="JL1461" s="29"/>
      <c r="JM1461" s="29"/>
      <c r="JN1461" s="29"/>
      <c r="JO1461" s="29"/>
      <c r="JP1461" s="29"/>
      <c r="JQ1461" s="29"/>
      <c r="JR1461" s="29"/>
      <c r="JS1461" s="29"/>
      <c r="JT1461" s="29"/>
      <c r="JU1461" s="29"/>
      <c r="JV1461" s="29"/>
      <c r="JW1461" s="29"/>
      <c r="JX1461" s="29"/>
      <c r="JY1461" s="29"/>
      <c r="JZ1461" s="29"/>
      <c r="KA1461" s="29"/>
      <c r="KB1461" s="29"/>
      <c r="KC1461" s="29"/>
      <c r="KD1461" s="29"/>
      <c r="KE1461" s="29"/>
      <c r="KF1461" s="29"/>
      <c r="KG1461" s="29"/>
      <c r="KH1461" s="29"/>
      <c r="KI1461" s="29"/>
      <c r="KJ1461" s="29"/>
      <c r="KK1461" s="29"/>
      <c r="KL1461" s="29"/>
      <c r="KM1461" s="29"/>
      <c r="KN1461" s="29"/>
      <c r="KO1461" s="29"/>
      <c r="KP1461" s="29"/>
      <c r="KQ1461" s="29"/>
      <c r="KR1461" s="29"/>
      <c r="KS1461" s="29"/>
      <c r="KT1461" s="29"/>
      <c r="KU1461" s="29"/>
      <c r="KV1461" s="29"/>
      <c r="KW1461" s="29"/>
      <c r="KX1461" s="29"/>
      <c r="KY1461" s="29"/>
      <c r="KZ1461" s="29"/>
      <c r="LA1461" s="29"/>
      <c r="LB1461" s="29"/>
      <c r="LC1461" s="29"/>
      <c r="LD1461" s="29"/>
      <c r="LE1461" s="29"/>
      <c r="LF1461" s="29"/>
      <c r="LG1461" s="29"/>
      <c r="LH1461" s="29"/>
      <c r="LI1461" s="29"/>
      <c r="LJ1461" s="29"/>
      <c r="LK1461" s="29"/>
      <c r="LL1461" s="29"/>
      <c r="LM1461" s="29"/>
      <c r="LN1461" s="29"/>
      <c r="LO1461" s="29"/>
      <c r="LP1461" s="29"/>
      <c r="LQ1461" s="29"/>
      <c r="LR1461" s="29"/>
      <c r="LS1461" s="29"/>
      <c r="LT1461" s="29"/>
      <c r="LU1461" s="29"/>
      <c r="LV1461" s="29"/>
      <c r="LW1461" s="29"/>
      <c r="LX1461" s="29"/>
      <c r="LY1461" s="29"/>
      <c r="LZ1461" s="29"/>
      <c r="MA1461" s="29"/>
      <c r="MB1461" s="29"/>
      <c r="MC1461" s="29"/>
      <c r="MD1461" s="29"/>
      <c r="ME1461" s="29"/>
      <c r="MF1461" s="29"/>
      <c r="MG1461" s="29"/>
      <c r="MH1461" s="29"/>
      <c r="MI1461" s="29"/>
      <c r="MJ1461" s="29"/>
      <c r="MK1461" s="29"/>
      <c r="ML1461" s="29"/>
      <c r="MM1461" s="29"/>
      <c r="MN1461" s="29"/>
      <c r="MO1461" s="29"/>
      <c r="MP1461" s="29"/>
      <c r="MQ1461" s="29"/>
      <c r="MR1461" s="29"/>
      <c r="MS1461" s="29"/>
      <c r="MT1461" s="29"/>
      <c r="MU1461" s="29"/>
      <c r="MV1461" s="29"/>
      <c r="MW1461" s="29"/>
      <c r="MX1461" s="29"/>
      <c r="MY1461" s="29"/>
      <c r="MZ1461" s="29"/>
      <c r="NA1461" s="29"/>
      <c r="NB1461" s="29"/>
      <c r="NC1461" s="29"/>
      <c r="ND1461" s="29"/>
      <c r="NE1461" s="29"/>
      <c r="NF1461" s="29"/>
      <c r="NG1461" s="29"/>
      <c r="NH1461" s="29"/>
      <c r="NI1461" s="29"/>
      <c r="NJ1461" s="29"/>
      <c r="NK1461" s="29"/>
      <c r="NL1461" s="29"/>
      <c r="NM1461" s="29"/>
      <c r="NN1461" s="29"/>
      <c r="NO1461" s="29"/>
      <c r="NP1461" s="29"/>
      <c r="NQ1461" s="29"/>
      <c r="NR1461" s="29"/>
      <c r="NS1461" s="29"/>
      <c r="NT1461" s="29"/>
      <c r="NU1461" s="29"/>
      <c r="NV1461" s="29"/>
      <c r="NW1461" s="29"/>
      <c r="NX1461" s="29"/>
      <c r="NY1461" s="29"/>
      <c r="NZ1461" s="29"/>
      <c r="OA1461" s="29"/>
      <c r="OB1461" s="29"/>
      <c r="OC1461" s="29"/>
      <c r="OD1461" s="29"/>
      <c r="OE1461" s="29"/>
      <c r="OF1461" s="29"/>
      <c r="OG1461" s="29"/>
      <c r="OH1461" s="29"/>
      <c r="OI1461" s="29"/>
      <c r="OJ1461" s="29"/>
      <c r="OK1461" s="29"/>
      <c r="OL1461" s="29"/>
      <c r="OM1461" s="29"/>
      <c r="ON1461" s="29"/>
      <c r="OO1461" s="29"/>
      <c r="OP1461" s="29"/>
      <c r="OQ1461" s="29"/>
      <c r="OR1461" s="29"/>
      <c r="OS1461" s="29"/>
      <c r="OT1461" s="29"/>
      <c r="OU1461" s="29"/>
      <c r="OV1461" s="29"/>
      <c r="OW1461" s="29"/>
      <c r="OX1461" s="29"/>
      <c r="OY1461" s="29"/>
      <c r="OZ1461" s="29"/>
      <c r="PA1461" s="29"/>
      <c r="PB1461" s="29"/>
      <c r="PC1461" s="29"/>
      <c r="PD1461" s="29"/>
      <c r="PE1461" s="29"/>
      <c r="PF1461" s="29"/>
      <c r="PG1461" s="29"/>
      <c r="PH1461" s="29"/>
      <c r="PI1461" s="29"/>
      <c r="PJ1461" s="29"/>
      <c r="PK1461" s="29"/>
      <c r="PL1461" s="29"/>
      <c r="PM1461" s="29"/>
      <c r="PN1461" s="29"/>
      <c r="PO1461" s="29"/>
      <c r="PP1461" s="29"/>
      <c r="PQ1461" s="29"/>
      <c r="PR1461" s="29"/>
      <c r="PS1461" s="29"/>
      <c r="PT1461" s="29"/>
      <c r="PU1461" s="29"/>
      <c r="PV1461" s="29"/>
      <c r="PW1461" s="29"/>
      <c r="PX1461" s="29"/>
      <c r="PY1461" s="29"/>
      <c r="PZ1461" s="29"/>
      <c r="QA1461" s="29"/>
      <c r="QB1461" s="29"/>
      <c r="QC1461" s="29"/>
      <c r="QD1461" s="29"/>
      <c r="QE1461" s="29"/>
      <c r="QF1461" s="29"/>
      <c r="QG1461" s="29"/>
      <c r="QH1461" s="29"/>
      <c r="QI1461" s="29"/>
      <c r="QJ1461" s="29"/>
      <c r="QK1461" s="29"/>
      <c r="QL1461" s="29"/>
      <c r="QM1461" s="29"/>
      <c r="QN1461" s="29"/>
      <c r="QO1461" s="29"/>
      <c r="QP1461" s="29"/>
      <c r="QQ1461" s="29"/>
      <c r="QR1461" s="29"/>
      <c r="QS1461" s="29"/>
      <c r="QT1461" s="29"/>
      <c r="QU1461" s="29"/>
      <c r="QV1461" s="29"/>
      <c r="QW1461" s="29"/>
      <c r="QX1461" s="29"/>
      <c r="QY1461" s="29"/>
      <c r="QZ1461" s="29"/>
      <c r="RA1461" s="29"/>
      <c r="RB1461" s="29"/>
      <c r="RC1461" s="29"/>
      <c r="RD1461" s="29"/>
      <c r="RE1461" s="29"/>
      <c r="RF1461" s="29"/>
      <c r="RG1461" s="29"/>
      <c r="RH1461" s="29"/>
      <c r="RI1461" s="29"/>
      <c r="RJ1461" s="29"/>
      <c r="RK1461" s="29"/>
      <c r="RL1461" s="29"/>
      <c r="RM1461" s="29"/>
      <c r="RN1461" s="29"/>
      <c r="RO1461" s="29"/>
      <c r="RP1461" s="29"/>
      <c r="RQ1461" s="29"/>
      <c r="RR1461" s="29"/>
      <c r="RS1461" s="29"/>
      <c r="RT1461" s="29"/>
      <c r="RU1461" s="29"/>
      <c r="RV1461" s="29"/>
      <c r="RW1461" s="29"/>
      <c r="RX1461" s="29"/>
      <c r="RY1461" s="29"/>
      <c r="RZ1461" s="29"/>
      <c r="SA1461" s="29"/>
      <c r="SB1461" s="29"/>
      <c r="SC1461" s="29"/>
      <c r="SD1461" s="29"/>
      <c r="SE1461" s="29"/>
      <c r="SF1461" s="29"/>
      <c r="SG1461" s="29"/>
      <c r="SH1461" s="29"/>
      <c r="SI1461" s="29"/>
      <c r="SJ1461" s="29"/>
      <c r="SK1461" s="29"/>
      <c r="SL1461" s="29"/>
      <c r="SM1461" s="29"/>
      <c r="SN1461" s="29"/>
      <c r="SO1461" s="29"/>
      <c r="SP1461" s="29"/>
      <c r="SQ1461" s="29"/>
      <c r="SR1461" s="29"/>
      <c r="SS1461" s="29"/>
      <c r="ST1461" s="29"/>
      <c r="SU1461" s="29"/>
      <c r="SV1461" s="29"/>
      <c r="SW1461" s="29"/>
      <c r="SX1461" s="29"/>
      <c r="SY1461" s="29"/>
      <c r="SZ1461" s="29"/>
      <c r="TA1461" s="29"/>
      <c r="TB1461" s="29"/>
      <c r="TC1461" s="29"/>
      <c r="TD1461" s="29"/>
      <c r="TE1461" s="29"/>
      <c r="TF1461" s="29"/>
      <c r="TG1461" s="29"/>
      <c r="TH1461" s="29"/>
      <c r="TI1461" s="29"/>
      <c r="TJ1461" s="29"/>
      <c r="TK1461" s="29"/>
      <c r="TL1461" s="29"/>
      <c r="TM1461" s="29"/>
      <c r="TN1461" s="29"/>
      <c r="TO1461" s="29"/>
      <c r="TP1461" s="29"/>
      <c r="TQ1461" s="29"/>
      <c r="TR1461" s="29"/>
      <c r="TS1461" s="29"/>
      <c r="TT1461" s="29"/>
      <c r="TU1461" s="29"/>
      <c r="TV1461" s="29"/>
      <c r="TW1461" s="29"/>
      <c r="TX1461" s="29"/>
      <c r="TY1461" s="29"/>
      <c r="TZ1461" s="29"/>
      <c r="UA1461" s="29"/>
      <c r="UB1461" s="29"/>
      <c r="UC1461" s="29"/>
      <c r="UD1461" s="29"/>
      <c r="UE1461" s="29"/>
      <c r="UF1461" s="29"/>
      <c r="UG1461" s="29"/>
    </row>
    <row r="1462" spans="1:553" ht="73.900000000000006" customHeight="1">
      <c r="A1462" s="356" t="s">
        <v>15</v>
      </c>
      <c r="B1462" s="385" t="s">
        <v>793</v>
      </c>
      <c r="C1462" s="1397" t="s">
        <v>1304</v>
      </c>
      <c r="D1462" s="1389"/>
      <c r="E1462" s="1389"/>
      <c r="F1462" s="1390"/>
      <c r="G1462" s="417" t="s">
        <v>1303</v>
      </c>
      <c r="H1462" s="370"/>
      <c r="I1462" s="422">
        <f>13.5*4.5</f>
        <v>60.75</v>
      </c>
      <c r="J1462" s="368">
        <v>1076100</v>
      </c>
      <c r="K1462" s="371"/>
      <c r="L1462" s="487">
        <f t="shared" si="222"/>
        <v>65373075</v>
      </c>
      <c r="M1462" s="395"/>
      <c r="N1462" s="395"/>
      <c r="O1462" s="366"/>
      <c r="P1462" s="396"/>
      <c r="Q1462" s="473"/>
      <c r="R1462" s="1039"/>
      <c r="S1462" s="308"/>
      <c r="T1462" s="308"/>
      <c r="U1462" s="308"/>
      <c r="V1462" s="308"/>
      <c r="W1462" s="308"/>
      <c r="X1462" s="308"/>
      <c r="Y1462" s="308"/>
      <c r="Z1462" s="604"/>
      <c r="AA1462" s="308"/>
      <c r="AB1462" s="308"/>
      <c r="AC1462" s="486"/>
      <c r="AD1462" s="486"/>
      <c r="AE1462" s="486"/>
      <c r="AF1462" s="486"/>
      <c r="AG1462" s="486"/>
      <c r="AH1462" s="486"/>
      <c r="AI1462" s="486"/>
      <c r="AJ1462" s="486"/>
      <c r="AK1462" s="486"/>
      <c r="AL1462" s="206"/>
      <c r="AM1462" s="29"/>
      <c r="AN1462" s="29"/>
      <c r="AO1462" s="29"/>
      <c r="AP1462" s="29"/>
      <c r="AQ1462" s="29"/>
      <c r="AR1462" s="29"/>
      <c r="AS1462" s="29"/>
      <c r="AT1462" s="29"/>
      <c r="AU1462" s="29"/>
      <c r="AV1462" s="29"/>
      <c r="AW1462" s="29"/>
      <c r="AX1462" s="29"/>
      <c r="AY1462" s="29"/>
      <c r="AZ1462" s="29"/>
      <c r="BA1462" s="29"/>
      <c r="BB1462" s="29"/>
      <c r="BC1462" s="29"/>
      <c r="BD1462" s="29"/>
      <c r="BE1462" s="29"/>
      <c r="BF1462" s="29"/>
      <c r="BG1462" s="29"/>
      <c r="BH1462" s="29"/>
      <c r="BI1462" s="29"/>
      <c r="BJ1462" s="29"/>
      <c r="BK1462" s="29"/>
      <c r="BL1462" s="29"/>
      <c r="BM1462" s="29"/>
      <c r="BN1462" s="29"/>
      <c r="BO1462" s="29"/>
      <c r="BP1462" s="29"/>
      <c r="BQ1462" s="29"/>
      <c r="BR1462" s="29"/>
      <c r="BS1462" s="29"/>
      <c r="BT1462" s="29"/>
      <c r="BU1462" s="29"/>
      <c r="BV1462" s="29"/>
      <c r="BW1462" s="29"/>
      <c r="BX1462" s="29"/>
      <c r="BY1462" s="29"/>
      <c r="BZ1462" s="29"/>
      <c r="CA1462" s="29"/>
      <c r="CB1462" s="29"/>
      <c r="CC1462" s="29"/>
      <c r="CD1462" s="29"/>
      <c r="CE1462" s="29"/>
      <c r="CF1462" s="29"/>
      <c r="CG1462" s="29"/>
      <c r="CH1462" s="29"/>
      <c r="CI1462" s="29"/>
      <c r="CJ1462" s="29"/>
      <c r="CK1462" s="29"/>
      <c r="CL1462" s="29"/>
      <c r="CM1462" s="29"/>
      <c r="CN1462" s="29"/>
      <c r="CO1462" s="29"/>
      <c r="CP1462" s="29"/>
      <c r="CQ1462" s="29"/>
      <c r="CR1462" s="29"/>
      <c r="CS1462" s="29"/>
      <c r="CT1462" s="29"/>
      <c r="CU1462" s="29"/>
      <c r="CV1462" s="29"/>
      <c r="CW1462" s="29"/>
      <c r="CX1462" s="29"/>
      <c r="CY1462" s="29"/>
      <c r="CZ1462" s="29"/>
      <c r="DA1462" s="29"/>
      <c r="DB1462" s="29"/>
      <c r="DC1462" s="29"/>
      <c r="DD1462" s="29"/>
      <c r="DE1462" s="29"/>
      <c r="DF1462" s="29"/>
      <c r="DG1462" s="29"/>
      <c r="DH1462" s="29"/>
      <c r="DI1462" s="29"/>
      <c r="DJ1462" s="29"/>
      <c r="DK1462" s="29"/>
      <c r="DL1462" s="29"/>
      <c r="DM1462" s="29"/>
      <c r="DN1462" s="29"/>
      <c r="DO1462" s="29"/>
      <c r="DP1462" s="29"/>
      <c r="DQ1462" s="29"/>
      <c r="DR1462" s="29"/>
      <c r="DS1462" s="29"/>
      <c r="DT1462" s="29"/>
      <c r="DU1462" s="29"/>
      <c r="DV1462" s="29"/>
      <c r="DW1462" s="29"/>
      <c r="DX1462" s="29"/>
      <c r="DY1462" s="29"/>
      <c r="DZ1462" s="29"/>
      <c r="EA1462" s="29"/>
      <c r="EB1462" s="29"/>
      <c r="EC1462" s="29"/>
      <c r="ED1462" s="29"/>
      <c r="EE1462" s="29"/>
      <c r="EF1462" s="29"/>
      <c r="EG1462" s="29"/>
      <c r="EH1462" s="29"/>
      <c r="EI1462" s="29"/>
      <c r="EJ1462" s="29"/>
      <c r="EK1462" s="29"/>
      <c r="EL1462" s="29"/>
      <c r="EM1462" s="29"/>
      <c r="EN1462" s="29"/>
      <c r="EO1462" s="29"/>
      <c r="EP1462" s="29"/>
      <c r="EQ1462" s="29"/>
      <c r="ER1462" s="29"/>
      <c r="ES1462" s="29"/>
      <c r="ET1462" s="29"/>
      <c r="EU1462" s="29"/>
      <c r="EV1462" s="29"/>
      <c r="EW1462" s="29"/>
      <c r="EX1462" s="29"/>
      <c r="EY1462" s="29"/>
      <c r="EZ1462" s="29"/>
      <c r="FA1462" s="29"/>
      <c r="FB1462" s="29"/>
      <c r="FC1462" s="29"/>
      <c r="FD1462" s="29"/>
      <c r="FE1462" s="29"/>
      <c r="FF1462" s="29"/>
      <c r="FG1462" s="29"/>
      <c r="FH1462" s="29"/>
      <c r="FI1462" s="29"/>
      <c r="FJ1462" s="29"/>
      <c r="FK1462" s="29"/>
      <c r="FL1462" s="29"/>
      <c r="FM1462" s="29"/>
      <c r="FN1462" s="29"/>
      <c r="FO1462" s="29"/>
      <c r="FP1462" s="29"/>
      <c r="FQ1462" s="29"/>
      <c r="FR1462" s="29"/>
      <c r="FS1462" s="29"/>
      <c r="FT1462" s="29"/>
      <c r="FU1462" s="29"/>
      <c r="FV1462" s="29"/>
      <c r="FW1462" s="29"/>
      <c r="FX1462" s="29"/>
      <c r="FY1462" s="29"/>
      <c r="FZ1462" s="29"/>
      <c r="GA1462" s="29"/>
      <c r="GB1462" s="29"/>
      <c r="GC1462" s="29"/>
      <c r="GD1462" s="29"/>
      <c r="GE1462" s="29"/>
      <c r="GF1462" s="29"/>
      <c r="GG1462" s="29"/>
      <c r="GH1462" s="29"/>
      <c r="GI1462" s="29"/>
      <c r="GJ1462" s="29"/>
      <c r="GK1462" s="29"/>
      <c r="GL1462" s="29"/>
      <c r="GM1462" s="29"/>
      <c r="GN1462" s="29"/>
      <c r="GO1462" s="29"/>
      <c r="GP1462" s="29"/>
      <c r="GQ1462" s="29"/>
      <c r="GR1462" s="29"/>
      <c r="GS1462" s="29"/>
      <c r="GT1462" s="29"/>
      <c r="GU1462" s="29"/>
      <c r="GV1462" s="29"/>
      <c r="GW1462" s="29"/>
      <c r="GX1462" s="29"/>
      <c r="GY1462" s="29"/>
      <c r="GZ1462" s="29"/>
      <c r="HA1462" s="29"/>
      <c r="HB1462" s="29"/>
      <c r="HC1462" s="29"/>
      <c r="HD1462" s="29"/>
      <c r="HE1462" s="29"/>
      <c r="HF1462" s="29"/>
      <c r="HG1462" s="29"/>
      <c r="HH1462" s="29"/>
      <c r="HI1462" s="29"/>
      <c r="HJ1462" s="29"/>
      <c r="HK1462" s="29"/>
      <c r="HL1462" s="29"/>
      <c r="HM1462" s="29"/>
      <c r="HN1462" s="29"/>
      <c r="HO1462" s="29"/>
      <c r="HP1462" s="29"/>
      <c r="HQ1462" s="29"/>
      <c r="HR1462" s="29"/>
      <c r="HS1462" s="29"/>
      <c r="HT1462" s="29"/>
      <c r="HU1462" s="29"/>
      <c r="HV1462" s="29"/>
      <c r="HW1462" s="29"/>
      <c r="HX1462" s="29"/>
      <c r="HY1462" s="29"/>
      <c r="HZ1462" s="29"/>
      <c r="IA1462" s="29"/>
      <c r="IB1462" s="29"/>
      <c r="IC1462" s="29"/>
      <c r="ID1462" s="29"/>
      <c r="IE1462" s="29"/>
      <c r="IF1462" s="29"/>
      <c r="IG1462" s="29"/>
      <c r="IH1462" s="29"/>
      <c r="II1462" s="29"/>
      <c r="IJ1462" s="29"/>
      <c r="IK1462" s="29"/>
      <c r="IL1462" s="29"/>
      <c r="IM1462" s="29"/>
      <c r="IN1462" s="29"/>
      <c r="IO1462" s="29"/>
      <c r="IP1462" s="29"/>
      <c r="IQ1462" s="29"/>
      <c r="IR1462" s="29"/>
      <c r="IS1462" s="29"/>
      <c r="IT1462" s="29"/>
      <c r="IU1462" s="29"/>
      <c r="IV1462" s="29"/>
      <c r="IW1462" s="29"/>
      <c r="IX1462" s="29"/>
      <c r="IY1462" s="29"/>
      <c r="IZ1462" s="29"/>
      <c r="JA1462" s="29"/>
      <c r="JB1462" s="29"/>
      <c r="JC1462" s="29"/>
      <c r="JD1462" s="29"/>
      <c r="JE1462" s="29"/>
      <c r="JF1462" s="29"/>
      <c r="JG1462" s="29"/>
      <c r="JH1462" s="29"/>
      <c r="JI1462" s="29"/>
      <c r="JJ1462" s="29"/>
      <c r="JK1462" s="29"/>
      <c r="JL1462" s="29"/>
      <c r="JM1462" s="29"/>
      <c r="JN1462" s="29"/>
      <c r="JO1462" s="29"/>
      <c r="JP1462" s="29"/>
      <c r="JQ1462" s="29"/>
      <c r="JR1462" s="29"/>
      <c r="JS1462" s="29"/>
      <c r="JT1462" s="29"/>
      <c r="JU1462" s="29"/>
      <c r="JV1462" s="29"/>
      <c r="JW1462" s="29"/>
      <c r="JX1462" s="29"/>
      <c r="JY1462" s="29"/>
      <c r="JZ1462" s="29"/>
      <c r="KA1462" s="29"/>
      <c r="KB1462" s="29"/>
      <c r="KC1462" s="29"/>
      <c r="KD1462" s="29"/>
      <c r="KE1462" s="29"/>
      <c r="KF1462" s="29"/>
      <c r="KG1462" s="29"/>
      <c r="KH1462" s="29"/>
      <c r="KI1462" s="29"/>
      <c r="KJ1462" s="29"/>
      <c r="KK1462" s="29"/>
      <c r="KL1462" s="29"/>
      <c r="KM1462" s="29"/>
      <c r="KN1462" s="29"/>
      <c r="KO1462" s="29"/>
      <c r="KP1462" s="29"/>
      <c r="KQ1462" s="29"/>
      <c r="KR1462" s="29"/>
      <c r="KS1462" s="29"/>
      <c r="KT1462" s="29"/>
      <c r="KU1462" s="29"/>
      <c r="KV1462" s="29"/>
      <c r="KW1462" s="29"/>
      <c r="KX1462" s="29"/>
      <c r="KY1462" s="29"/>
      <c r="KZ1462" s="29"/>
      <c r="LA1462" s="29"/>
      <c r="LB1462" s="29"/>
      <c r="LC1462" s="29"/>
      <c r="LD1462" s="29"/>
      <c r="LE1462" s="29"/>
      <c r="LF1462" s="29"/>
      <c r="LG1462" s="29"/>
      <c r="LH1462" s="29"/>
      <c r="LI1462" s="29"/>
      <c r="LJ1462" s="29"/>
      <c r="LK1462" s="29"/>
      <c r="LL1462" s="29"/>
      <c r="LM1462" s="29"/>
      <c r="LN1462" s="29"/>
      <c r="LO1462" s="29"/>
      <c r="LP1462" s="29"/>
      <c r="LQ1462" s="29"/>
      <c r="LR1462" s="29"/>
      <c r="LS1462" s="29"/>
      <c r="LT1462" s="29"/>
      <c r="LU1462" s="29"/>
      <c r="LV1462" s="29"/>
      <c r="LW1462" s="29"/>
      <c r="LX1462" s="29"/>
      <c r="LY1462" s="29"/>
      <c r="LZ1462" s="29"/>
      <c r="MA1462" s="29"/>
      <c r="MB1462" s="29"/>
      <c r="MC1462" s="29"/>
      <c r="MD1462" s="29"/>
      <c r="ME1462" s="29"/>
      <c r="MF1462" s="29"/>
      <c r="MG1462" s="29"/>
      <c r="MH1462" s="29"/>
      <c r="MI1462" s="29"/>
      <c r="MJ1462" s="29"/>
      <c r="MK1462" s="29"/>
      <c r="ML1462" s="29"/>
      <c r="MM1462" s="29"/>
      <c r="MN1462" s="29"/>
      <c r="MO1462" s="29"/>
      <c r="MP1462" s="29"/>
      <c r="MQ1462" s="29"/>
      <c r="MR1462" s="29"/>
      <c r="MS1462" s="29"/>
      <c r="MT1462" s="29"/>
      <c r="MU1462" s="29"/>
      <c r="MV1462" s="29"/>
      <c r="MW1462" s="29"/>
      <c r="MX1462" s="29"/>
      <c r="MY1462" s="29"/>
      <c r="MZ1462" s="29"/>
      <c r="NA1462" s="29"/>
      <c r="NB1462" s="29"/>
      <c r="NC1462" s="29"/>
      <c r="ND1462" s="29"/>
      <c r="NE1462" s="29"/>
      <c r="NF1462" s="29"/>
      <c r="NG1462" s="29"/>
      <c r="NH1462" s="29"/>
      <c r="NI1462" s="29"/>
      <c r="NJ1462" s="29"/>
      <c r="NK1462" s="29"/>
      <c r="NL1462" s="29"/>
      <c r="NM1462" s="29"/>
      <c r="NN1462" s="29"/>
      <c r="NO1462" s="29"/>
      <c r="NP1462" s="29"/>
      <c r="NQ1462" s="29"/>
      <c r="NR1462" s="29"/>
      <c r="NS1462" s="29"/>
      <c r="NT1462" s="29"/>
      <c r="NU1462" s="29"/>
      <c r="NV1462" s="29"/>
      <c r="NW1462" s="29"/>
      <c r="NX1462" s="29"/>
      <c r="NY1462" s="29"/>
      <c r="NZ1462" s="29"/>
      <c r="OA1462" s="29"/>
      <c r="OB1462" s="29"/>
      <c r="OC1462" s="29"/>
      <c r="OD1462" s="29"/>
      <c r="OE1462" s="29"/>
      <c r="OF1462" s="29"/>
      <c r="OG1462" s="29"/>
      <c r="OH1462" s="29"/>
      <c r="OI1462" s="29"/>
      <c r="OJ1462" s="29"/>
      <c r="OK1462" s="29"/>
      <c r="OL1462" s="29"/>
      <c r="OM1462" s="29"/>
      <c r="ON1462" s="29"/>
      <c r="OO1462" s="29"/>
      <c r="OP1462" s="29"/>
      <c r="OQ1462" s="29"/>
      <c r="OR1462" s="29"/>
      <c r="OS1462" s="29"/>
      <c r="OT1462" s="29"/>
      <c r="OU1462" s="29"/>
      <c r="OV1462" s="29"/>
      <c r="OW1462" s="29"/>
      <c r="OX1462" s="29"/>
      <c r="OY1462" s="29"/>
      <c r="OZ1462" s="29"/>
      <c r="PA1462" s="29"/>
      <c r="PB1462" s="29"/>
      <c r="PC1462" s="29"/>
      <c r="PD1462" s="29"/>
      <c r="PE1462" s="29"/>
      <c r="PF1462" s="29"/>
      <c r="PG1462" s="29"/>
      <c r="PH1462" s="29"/>
      <c r="PI1462" s="29"/>
      <c r="PJ1462" s="29"/>
      <c r="PK1462" s="29"/>
      <c r="PL1462" s="29"/>
      <c r="PM1462" s="29"/>
      <c r="PN1462" s="29"/>
      <c r="PO1462" s="29"/>
      <c r="PP1462" s="29"/>
      <c r="PQ1462" s="29"/>
      <c r="PR1462" s="29"/>
      <c r="PS1462" s="29"/>
      <c r="PT1462" s="29"/>
      <c r="PU1462" s="29"/>
      <c r="PV1462" s="29"/>
      <c r="PW1462" s="29"/>
      <c r="PX1462" s="29"/>
      <c r="PY1462" s="29"/>
      <c r="PZ1462" s="29"/>
      <c r="QA1462" s="29"/>
      <c r="QB1462" s="29"/>
      <c r="QC1462" s="29"/>
      <c r="QD1462" s="29"/>
      <c r="QE1462" s="29"/>
      <c r="QF1462" s="29"/>
      <c r="QG1462" s="29"/>
      <c r="QH1462" s="29"/>
      <c r="QI1462" s="29"/>
      <c r="QJ1462" s="29"/>
      <c r="QK1462" s="29"/>
      <c r="QL1462" s="29"/>
      <c r="QM1462" s="29"/>
      <c r="QN1462" s="29"/>
      <c r="QO1462" s="29"/>
      <c r="QP1462" s="29"/>
      <c r="QQ1462" s="29"/>
      <c r="QR1462" s="29"/>
      <c r="QS1462" s="29"/>
      <c r="QT1462" s="29"/>
      <c r="QU1462" s="29"/>
      <c r="QV1462" s="29"/>
      <c r="QW1462" s="29"/>
      <c r="QX1462" s="29"/>
      <c r="QY1462" s="29"/>
      <c r="QZ1462" s="29"/>
      <c r="RA1462" s="29"/>
      <c r="RB1462" s="29"/>
      <c r="RC1462" s="29"/>
      <c r="RD1462" s="29"/>
      <c r="RE1462" s="29"/>
      <c r="RF1462" s="29"/>
      <c r="RG1462" s="29"/>
      <c r="RH1462" s="29"/>
      <c r="RI1462" s="29"/>
      <c r="RJ1462" s="29"/>
      <c r="RK1462" s="29"/>
      <c r="RL1462" s="29"/>
      <c r="RM1462" s="29"/>
      <c r="RN1462" s="29"/>
      <c r="RO1462" s="29"/>
      <c r="RP1462" s="29"/>
      <c r="RQ1462" s="29"/>
      <c r="RR1462" s="29"/>
      <c r="RS1462" s="29"/>
      <c r="RT1462" s="29"/>
      <c r="RU1462" s="29"/>
      <c r="RV1462" s="29"/>
      <c r="RW1462" s="29"/>
      <c r="RX1462" s="29"/>
      <c r="RY1462" s="29"/>
      <c r="RZ1462" s="29"/>
      <c r="SA1462" s="29"/>
      <c r="SB1462" s="29"/>
      <c r="SC1462" s="29"/>
      <c r="SD1462" s="29"/>
      <c r="SE1462" s="29"/>
      <c r="SF1462" s="29"/>
      <c r="SG1462" s="29"/>
      <c r="SH1462" s="29"/>
      <c r="SI1462" s="29"/>
      <c r="SJ1462" s="29"/>
      <c r="SK1462" s="29"/>
      <c r="SL1462" s="29"/>
      <c r="SM1462" s="29"/>
      <c r="SN1462" s="29"/>
      <c r="SO1462" s="29"/>
      <c r="SP1462" s="29"/>
      <c r="SQ1462" s="29"/>
      <c r="SR1462" s="29"/>
      <c r="SS1462" s="29"/>
      <c r="ST1462" s="29"/>
      <c r="SU1462" s="29"/>
      <c r="SV1462" s="29"/>
      <c r="SW1462" s="29"/>
      <c r="SX1462" s="29"/>
      <c r="SY1462" s="29"/>
      <c r="SZ1462" s="29"/>
      <c r="TA1462" s="29"/>
      <c r="TB1462" s="29"/>
      <c r="TC1462" s="29"/>
      <c r="TD1462" s="29"/>
      <c r="TE1462" s="29"/>
      <c r="TF1462" s="29"/>
      <c r="TG1462" s="29"/>
      <c r="TH1462" s="29"/>
      <c r="TI1462" s="29"/>
      <c r="TJ1462" s="29"/>
      <c r="TK1462" s="29"/>
      <c r="TL1462" s="29"/>
      <c r="TM1462" s="29"/>
      <c r="TN1462" s="29"/>
      <c r="TO1462" s="29"/>
      <c r="TP1462" s="29"/>
      <c r="TQ1462" s="29"/>
      <c r="TR1462" s="29"/>
      <c r="TS1462" s="29"/>
      <c r="TT1462" s="29"/>
      <c r="TU1462" s="29"/>
      <c r="TV1462" s="29"/>
      <c r="TW1462" s="29"/>
      <c r="TX1462" s="29"/>
      <c r="TY1462" s="29"/>
      <c r="TZ1462" s="29"/>
      <c r="UA1462" s="29"/>
      <c r="UB1462" s="29"/>
      <c r="UC1462" s="29"/>
      <c r="UD1462" s="29"/>
      <c r="UE1462" s="29"/>
      <c r="UF1462" s="29"/>
      <c r="UG1462" s="29"/>
    </row>
    <row r="1463" spans="1:553" ht="75" customHeight="1">
      <c r="A1463" s="356" t="s">
        <v>15</v>
      </c>
      <c r="B1463" s="385" t="s">
        <v>41</v>
      </c>
      <c r="C1463" s="1397" t="s">
        <v>1305</v>
      </c>
      <c r="D1463" s="1475"/>
      <c r="E1463" s="1475"/>
      <c r="F1463" s="1476"/>
      <c r="G1463" s="417" t="s">
        <v>1303</v>
      </c>
      <c r="H1463" s="370"/>
      <c r="I1463" s="834">
        <f>3.5*2.2</f>
        <v>7.7000000000000011</v>
      </c>
      <c r="J1463" s="368">
        <v>3900000</v>
      </c>
      <c r="K1463" s="371"/>
      <c r="L1463" s="487">
        <f t="shared" si="222"/>
        <v>30030000</v>
      </c>
      <c r="M1463" s="395"/>
      <c r="N1463" s="395"/>
      <c r="O1463" s="366"/>
      <c r="P1463" s="396"/>
      <c r="Q1463" s="473"/>
      <c r="R1463" s="1039"/>
      <c r="S1463" s="308"/>
      <c r="T1463" s="308"/>
      <c r="U1463" s="308"/>
      <c r="V1463" s="308"/>
      <c r="W1463" s="308"/>
      <c r="X1463" s="308"/>
      <c r="Y1463" s="308"/>
      <c r="Z1463" s="604"/>
      <c r="AA1463" s="308"/>
      <c r="AB1463" s="308"/>
      <c r="AC1463" s="486"/>
      <c r="AD1463" s="486"/>
      <c r="AE1463" s="486"/>
      <c r="AF1463" s="486"/>
      <c r="AG1463" s="486"/>
      <c r="AH1463" s="486"/>
      <c r="AI1463" s="486"/>
      <c r="AJ1463" s="486"/>
      <c r="AK1463" s="486"/>
      <c r="AL1463" s="206"/>
      <c r="AM1463" s="29"/>
      <c r="AN1463" s="29"/>
      <c r="AO1463" s="29"/>
      <c r="AP1463" s="29"/>
      <c r="AQ1463" s="29"/>
      <c r="AR1463" s="29"/>
      <c r="AS1463" s="29"/>
      <c r="AT1463" s="29"/>
      <c r="AU1463" s="29"/>
      <c r="AV1463" s="29"/>
      <c r="AW1463" s="29"/>
      <c r="AX1463" s="29"/>
      <c r="AY1463" s="29"/>
      <c r="AZ1463" s="29"/>
      <c r="BA1463" s="29"/>
      <c r="BB1463" s="29"/>
      <c r="BC1463" s="29"/>
      <c r="BD1463" s="29"/>
      <c r="BE1463" s="29"/>
      <c r="BF1463" s="29"/>
      <c r="BG1463" s="29"/>
      <c r="BH1463" s="29"/>
      <c r="BI1463" s="29"/>
      <c r="BJ1463" s="29"/>
      <c r="BK1463" s="29"/>
      <c r="BL1463" s="29"/>
      <c r="BM1463" s="29"/>
      <c r="BN1463" s="29"/>
      <c r="BO1463" s="29"/>
      <c r="BP1463" s="29"/>
      <c r="BQ1463" s="29"/>
      <c r="BR1463" s="29"/>
      <c r="BS1463" s="29"/>
      <c r="BT1463" s="29"/>
      <c r="BU1463" s="29"/>
      <c r="BV1463" s="29"/>
      <c r="BW1463" s="29"/>
      <c r="BX1463" s="29"/>
      <c r="BY1463" s="29"/>
      <c r="BZ1463" s="29"/>
      <c r="CA1463" s="29"/>
      <c r="CB1463" s="29"/>
      <c r="CC1463" s="29"/>
      <c r="CD1463" s="29"/>
      <c r="CE1463" s="29"/>
      <c r="CF1463" s="29"/>
      <c r="CG1463" s="29"/>
      <c r="CH1463" s="29"/>
      <c r="CI1463" s="29"/>
      <c r="CJ1463" s="29"/>
      <c r="CK1463" s="29"/>
      <c r="CL1463" s="29"/>
      <c r="CM1463" s="29"/>
      <c r="CN1463" s="29"/>
      <c r="CO1463" s="29"/>
      <c r="CP1463" s="29"/>
      <c r="CQ1463" s="29"/>
      <c r="CR1463" s="29"/>
      <c r="CS1463" s="29"/>
      <c r="CT1463" s="29"/>
      <c r="CU1463" s="29"/>
      <c r="CV1463" s="29"/>
      <c r="CW1463" s="29"/>
      <c r="CX1463" s="29"/>
      <c r="CY1463" s="29"/>
      <c r="CZ1463" s="29"/>
      <c r="DA1463" s="29"/>
      <c r="DB1463" s="29"/>
      <c r="DC1463" s="29"/>
      <c r="DD1463" s="29"/>
      <c r="DE1463" s="29"/>
      <c r="DF1463" s="29"/>
      <c r="DG1463" s="29"/>
      <c r="DH1463" s="29"/>
      <c r="DI1463" s="29"/>
      <c r="DJ1463" s="29"/>
      <c r="DK1463" s="29"/>
      <c r="DL1463" s="29"/>
      <c r="DM1463" s="29"/>
      <c r="DN1463" s="29"/>
      <c r="DO1463" s="29"/>
      <c r="DP1463" s="29"/>
      <c r="DQ1463" s="29"/>
      <c r="DR1463" s="29"/>
      <c r="DS1463" s="29"/>
      <c r="DT1463" s="29"/>
      <c r="DU1463" s="29"/>
      <c r="DV1463" s="29"/>
      <c r="DW1463" s="29"/>
      <c r="DX1463" s="29"/>
      <c r="DY1463" s="29"/>
      <c r="DZ1463" s="29"/>
      <c r="EA1463" s="29"/>
      <c r="EB1463" s="29"/>
      <c r="EC1463" s="29"/>
      <c r="ED1463" s="29"/>
      <c r="EE1463" s="29"/>
      <c r="EF1463" s="29"/>
      <c r="EG1463" s="29"/>
      <c r="EH1463" s="29"/>
      <c r="EI1463" s="29"/>
      <c r="EJ1463" s="29"/>
      <c r="EK1463" s="29"/>
      <c r="EL1463" s="29"/>
      <c r="EM1463" s="29"/>
      <c r="EN1463" s="29"/>
      <c r="EO1463" s="29"/>
      <c r="EP1463" s="29"/>
      <c r="EQ1463" s="29"/>
      <c r="ER1463" s="29"/>
      <c r="ES1463" s="29"/>
      <c r="ET1463" s="29"/>
      <c r="EU1463" s="29"/>
      <c r="EV1463" s="29"/>
      <c r="EW1463" s="29"/>
      <c r="EX1463" s="29"/>
      <c r="EY1463" s="29"/>
      <c r="EZ1463" s="29"/>
      <c r="FA1463" s="29"/>
      <c r="FB1463" s="29"/>
      <c r="FC1463" s="29"/>
      <c r="FD1463" s="29"/>
      <c r="FE1463" s="29"/>
      <c r="FF1463" s="29"/>
      <c r="FG1463" s="29"/>
      <c r="FH1463" s="29"/>
      <c r="FI1463" s="29"/>
      <c r="FJ1463" s="29"/>
      <c r="FK1463" s="29"/>
      <c r="FL1463" s="29"/>
      <c r="FM1463" s="29"/>
      <c r="FN1463" s="29"/>
      <c r="FO1463" s="29"/>
      <c r="FP1463" s="29"/>
      <c r="FQ1463" s="29"/>
      <c r="FR1463" s="29"/>
      <c r="FS1463" s="29"/>
      <c r="FT1463" s="29"/>
      <c r="FU1463" s="29"/>
      <c r="FV1463" s="29"/>
      <c r="FW1463" s="29"/>
      <c r="FX1463" s="29"/>
      <c r="FY1463" s="29"/>
      <c r="FZ1463" s="29"/>
      <c r="GA1463" s="29"/>
      <c r="GB1463" s="29"/>
      <c r="GC1463" s="29"/>
      <c r="GD1463" s="29"/>
      <c r="GE1463" s="29"/>
      <c r="GF1463" s="29"/>
      <c r="GG1463" s="29"/>
      <c r="GH1463" s="29"/>
      <c r="GI1463" s="29"/>
      <c r="GJ1463" s="29"/>
      <c r="GK1463" s="29"/>
      <c r="GL1463" s="29"/>
      <c r="GM1463" s="29"/>
      <c r="GN1463" s="29"/>
      <c r="GO1463" s="29"/>
      <c r="GP1463" s="29"/>
      <c r="GQ1463" s="29"/>
      <c r="GR1463" s="29"/>
      <c r="GS1463" s="29"/>
      <c r="GT1463" s="29"/>
      <c r="GU1463" s="29"/>
      <c r="GV1463" s="29"/>
      <c r="GW1463" s="29"/>
      <c r="GX1463" s="29"/>
      <c r="GY1463" s="29"/>
      <c r="GZ1463" s="29"/>
      <c r="HA1463" s="29"/>
      <c r="HB1463" s="29"/>
      <c r="HC1463" s="29"/>
      <c r="HD1463" s="29"/>
      <c r="HE1463" s="29"/>
      <c r="HF1463" s="29"/>
      <c r="HG1463" s="29"/>
      <c r="HH1463" s="29"/>
      <c r="HI1463" s="29"/>
      <c r="HJ1463" s="29"/>
      <c r="HK1463" s="29"/>
      <c r="HL1463" s="29"/>
      <c r="HM1463" s="29"/>
      <c r="HN1463" s="29"/>
      <c r="HO1463" s="29"/>
      <c r="HP1463" s="29"/>
      <c r="HQ1463" s="29"/>
      <c r="HR1463" s="29"/>
      <c r="HS1463" s="29"/>
      <c r="HT1463" s="29"/>
      <c r="HU1463" s="29"/>
      <c r="HV1463" s="29"/>
      <c r="HW1463" s="29"/>
      <c r="HX1463" s="29"/>
      <c r="HY1463" s="29"/>
      <c r="HZ1463" s="29"/>
      <c r="IA1463" s="29"/>
      <c r="IB1463" s="29"/>
      <c r="IC1463" s="29"/>
      <c r="ID1463" s="29"/>
      <c r="IE1463" s="29"/>
      <c r="IF1463" s="29"/>
      <c r="IG1463" s="29"/>
      <c r="IH1463" s="29"/>
      <c r="II1463" s="29"/>
      <c r="IJ1463" s="29"/>
      <c r="IK1463" s="29"/>
      <c r="IL1463" s="29"/>
      <c r="IM1463" s="29"/>
      <c r="IN1463" s="29"/>
      <c r="IO1463" s="29"/>
      <c r="IP1463" s="29"/>
      <c r="IQ1463" s="29"/>
      <c r="IR1463" s="29"/>
      <c r="IS1463" s="29"/>
      <c r="IT1463" s="29"/>
      <c r="IU1463" s="29"/>
      <c r="IV1463" s="29"/>
      <c r="IW1463" s="29"/>
      <c r="IX1463" s="29"/>
      <c r="IY1463" s="29"/>
      <c r="IZ1463" s="29"/>
      <c r="JA1463" s="29"/>
      <c r="JB1463" s="29"/>
      <c r="JC1463" s="29"/>
      <c r="JD1463" s="29"/>
      <c r="JE1463" s="29"/>
      <c r="JF1463" s="29"/>
      <c r="JG1463" s="29"/>
      <c r="JH1463" s="29"/>
      <c r="JI1463" s="29"/>
      <c r="JJ1463" s="29"/>
      <c r="JK1463" s="29"/>
      <c r="JL1463" s="29"/>
      <c r="JM1463" s="29"/>
      <c r="JN1463" s="29"/>
      <c r="JO1463" s="29"/>
      <c r="JP1463" s="29"/>
      <c r="JQ1463" s="29"/>
      <c r="JR1463" s="29"/>
      <c r="JS1463" s="29"/>
      <c r="JT1463" s="29"/>
      <c r="JU1463" s="29"/>
      <c r="JV1463" s="29"/>
      <c r="JW1463" s="29"/>
      <c r="JX1463" s="29"/>
      <c r="JY1463" s="29"/>
      <c r="JZ1463" s="29"/>
      <c r="KA1463" s="29"/>
      <c r="KB1463" s="29"/>
      <c r="KC1463" s="29"/>
      <c r="KD1463" s="29"/>
      <c r="KE1463" s="29"/>
      <c r="KF1463" s="29"/>
      <c r="KG1463" s="29"/>
      <c r="KH1463" s="29"/>
      <c r="KI1463" s="29"/>
      <c r="KJ1463" s="29"/>
      <c r="KK1463" s="29"/>
      <c r="KL1463" s="29"/>
      <c r="KM1463" s="29"/>
      <c r="KN1463" s="29"/>
      <c r="KO1463" s="29"/>
      <c r="KP1463" s="29"/>
      <c r="KQ1463" s="29"/>
      <c r="KR1463" s="29"/>
      <c r="KS1463" s="29"/>
      <c r="KT1463" s="29"/>
      <c r="KU1463" s="29"/>
      <c r="KV1463" s="29"/>
      <c r="KW1463" s="29"/>
      <c r="KX1463" s="29"/>
      <c r="KY1463" s="29"/>
      <c r="KZ1463" s="29"/>
      <c r="LA1463" s="29"/>
      <c r="LB1463" s="29"/>
      <c r="LC1463" s="29"/>
      <c r="LD1463" s="29"/>
      <c r="LE1463" s="29"/>
      <c r="LF1463" s="29"/>
      <c r="LG1463" s="29"/>
      <c r="LH1463" s="29"/>
      <c r="LI1463" s="29"/>
      <c r="LJ1463" s="29"/>
      <c r="LK1463" s="29"/>
      <c r="LL1463" s="29"/>
      <c r="LM1463" s="29"/>
      <c r="LN1463" s="29"/>
      <c r="LO1463" s="29"/>
      <c r="LP1463" s="29"/>
      <c r="LQ1463" s="29"/>
      <c r="LR1463" s="29"/>
      <c r="LS1463" s="29"/>
      <c r="LT1463" s="29"/>
      <c r="LU1463" s="29"/>
      <c r="LV1463" s="29"/>
      <c r="LW1463" s="29"/>
      <c r="LX1463" s="29"/>
      <c r="LY1463" s="29"/>
      <c r="LZ1463" s="29"/>
      <c r="MA1463" s="29"/>
      <c r="MB1463" s="29"/>
      <c r="MC1463" s="29"/>
      <c r="MD1463" s="29"/>
      <c r="ME1463" s="29"/>
      <c r="MF1463" s="29"/>
      <c r="MG1463" s="29"/>
      <c r="MH1463" s="29"/>
      <c r="MI1463" s="29"/>
      <c r="MJ1463" s="29"/>
      <c r="MK1463" s="29"/>
      <c r="ML1463" s="29"/>
      <c r="MM1463" s="29"/>
      <c r="MN1463" s="29"/>
      <c r="MO1463" s="29"/>
      <c r="MP1463" s="29"/>
      <c r="MQ1463" s="29"/>
      <c r="MR1463" s="29"/>
      <c r="MS1463" s="29"/>
      <c r="MT1463" s="29"/>
      <c r="MU1463" s="29"/>
      <c r="MV1463" s="29"/>
      <c r="MW1463" s="29"/>
      <c r="MX1463" s="29"/>
      <c r="MY1463" s="29"/>
      <c r="MZ1463" s="29"/>
      <c r="NA1463" s="29"/>
      <c r="NB1463" s="29"/>
      <c r="NC1463" s="29"/>
      <c r="ND1463" s="29"/>
      <c r="NE1463" s="29"/>
      <c r="NF1463" s="29"/>
      <c r="NG1463" s="29"/>
      <c r="NH1463" s="29"/>
      <c r="NI1463" s="29"/>
      <c r="NJ1463" s="29"/>
      <c r="NK1463" s="29"/>
      <c r="NL1463" s="29"/>
      <c r="NM1463" s="29"/>
      <c r="NN1463" s="29"/>
      <c r="NO1463" s="29"/>
      <c r="NP1463" s="29"/>
      <c r="NQ1463" s="29"/>
      <c r="NR1463" s="29"/>
      <c r="NS1463" s="29"/>
      <c r="NT1463" s="29"/>
      <c r="NU1463" s="29"/>
      <c r="NV1463" s="29"/>
      <c r="NW1463" s="29"/>
      <c r="NX1463" s="29"/>
      <c r="NY1463" s="29"/>
      <c r="NZ1463" s="29"/>
      <c r="OA1463" s="29"/>
      <c r="OB1463" s="29"/>
      <c r="OC1463" s="29"/>
      <c r="OD1463" s="29"/>
      <c r="OE1463" s="29"/>
      <c r="OF1463" s="29"/>
      <c r="OG1463" s="29"/>
      <c r="OH1463" s="29"/>
      <c r="OI1463" s="29"/>
      <c r="OJ1463" s="29"/>
      <c r="OK1463" s="29"/>
      <c r="OL1463" s="29"/>
      <c r="OM1463" s="29"/>
      <c r="ON1463" s="29"/>
      <c r="OO1463" s="29"/>
      <c r="OP1463" s="29"/>
      <c r="OQ1463" s="29"/>
      <c r="OR1463" s="29"/>
      <c r="OS1463" s="29"/>
      <c r="OT1463" s="29"/>
      <c r="OU1463" s="29"/>
      <c r="OV1463" s="29"/>
      <c r="OW1463" s="29"/>
      <c r="OX1463" s="29"/>
      <c r="OY1463" s="29"/>
      <c r="OZ1463" s="29"/>
      <c r="PA1463" s="29"/>
      <c r="PB1463" s="29"/>
      <c r="PC1463" s="29"/>
      <c r="PD1463" s="29"/>
      <c r="PE1463" s="29"/>
      <c r="PF1463" s="29"/>
      <c r="PG1463" s="29"/>
      <c r="PH1463" s="29"/>
      <c r="PI1463" s="29"/>
      <c r="PJ1463" s="29"/>
      <c r="PK1463" s="29"/>
      <c r="PL1463" s="29"/>
      <c r="PM1463" s="29"/>
      <c r="PN1463" s="29"/>
      <c r="PO1463" s="29"/>
      <c r="PP1463" s="29"/>
      <c r="PQ1463" s="29"/>
      <c r="PR1463" s="29"/>
      <c r="PS1463" s="29"/>
      <c r="PT1463" s="29"/>
      <c r="PU1463" s="29"/>
      <c r="PV1463" s="29"/>
      <c r="PW1463" s="29"/>
      <c r="PX1463" s="29"/>
      <c r="PY1463" s="29"/>
      <c r="PZ1463" s="29"/>
      <c r="QA1463" s="29"/>
      <c r="QB1463" s="29"/>
      <c r="QC1463" s="29"/>
      <c r="QD1463" s="29"/>
      <c r="QE1463" s="29"/>
      <c r="QF1463" s="29"/>
      <c r="QG1463" s="29"/>
      <c r="QH1463" s="29"/>
      <c r="QI1463" s="29"/>
      <c r="QJ1463" s="29"/>
      <c r="QK1463" s="29"/>
      <c r="QL1463" s="29"/>
      <c r="QM1463" s="29"/>
      <c r="QN1463" s="29"/>
      <c r="QO1463" s="29"/>
      <c r="QP1463" s="29"/>
      <c r="QQ1463" s="29"/>
      <c r="QR1463" s="29"/>
      <c r="QS1463" s="29"/>
      <c r="QT1463" s="29"/>
      <c r="QU1463" s="29"/>
      <c r="QV1463" s="29"/>
      <c r="QW1463" s="29"/>
      <c r="QX1463" s="29"/>
      <c r="QY1463" s="29"/>
      <c r="QZ1463" s="29"/>
      <c r="RA1463" s="29"/>
      <c r="RB1463" s="29"/>
      <c r="RC1463" s="29"/>
      <c r="RD1463" s="29"/>
      <c r="RE1463" s="29"/>
      <c r="RF1463" s="29"/>
      <c r="RG1463" s="29"/>
      <c r="RH1463" s="29"/>
      <c r="RI1463" s="29"/>
      <c r="RJ1463" s="29"/>
      <c r="RK1463" s="29"/>
      <c r="RL1463" s="29"/>
      <c r="RM1463" s="29"/>
      <c r="RN1463" s="29"/>
      <c r="RO1463" s="29"/>
      <c r="RP1463" s="29"/>
      <c r="RQ1463" s="29"/>
      <c r="RR1463" s="29"/>
      <c r="RS1463" s="29"/>
      <c r="RT1463" s="29"/>
      <c r="RU1463" s="29"/>
      <c r="RV1463" s="29"/>
      <c r="RW1463" s="29"/>
      <c r="RX1463" s="29"/>
      <c r="RY1463" s="29"/>
      <c r="RZ1463" s="29"/>
      <c r="SA1463" s="29"/>
      <c r="SB1463" s="29"/>
      <c r="SC1463" s="29"/>
      <c r="SD1463" s="29"/>
      <c r="SE1463" s="29"/>
      <c r="SF1463" s="29"/>
      <c r="SG1463" s="29"/>
      <c r="SH1463" s="29"/>
      <c r="SI1463" s="29"/>
      <c r="SJ1463" s="29"/>
      <c r="SK1463" s="29"/>
      <c r="SL1463" s="29"/>
      <c r="SM1463" s="29"/>
      <c r="SN1463" s="29"/>
      <c r="SO1463" s="29"/>
      <c r="SP1463" s="29"/>
      <c r="SQ1463" s="29"/>
      <c r="SR1463" s="29"/>
      <c r="SS1463" s="29"/>
      <c r="ST1463" s="29"/>
      <c r="SU1463" s="29"/>
      <c r="SV1463" s="29"/>
      <c r="SW1463" s="29"/>
      <c r="SX1463" s="29"/>
      <c r="SY1463" s="29"/>
      <c r="SZ1463" s="29"/>
      <c r="TA1463" s="29"/>
      <c r="TB1463" s="29"/>
      <c r="TC1463" s="29"/>
      <c r="TD1463" s="29"/>
      <c r="TE1463" s="29"/>
      <c r="TF1463" s="29"/>
      <c r="TG1463" s="29"/>
      <c r="TH1463" s="29"/>
      <c r="TI1463" s="29"/>
      <c r="TJ1463" s="29"/>
      <c r="TK1463" s="29"/>
      <c r="TL1463" s="29"/>
      <c r="TM1463" s="29"/>
      <c r="TN1463" s="29"/>
      <c r="TO1463" s="29"/>
      <c r="TP1463" s="29"/>
      <c r="TQ1463" s="29"/>
      <c r="TR1463" s="29"/>
      <c r="TS1463" s="29"/>
      <c r="TT1463" s="29"/>
      <c r="TU1463" s="29"/>
      <c r="TV1463" s="29"/>
      <c r="TW1463" s="29"/>
      <c r="TX1463" s="29"/>
      <c r="TY1463" s="29"/>
      <c r="TZ1463" s="29"/>
      <c r="UA1463" s="29"/>
      <c r="UB1463" s="29"/>
      <c r="UC1463" s="29"/>
      <c r="UD1463" s="29"/>
      <c r="UE1463" s="29"/>
      <c r="UF1463" s="29"/>
      <c r="UG1463" s="29"/>
    </row>
    <row r="1464" spans="1:553" ht="54.65" customHeight="1">
      <c r="A1464" s="356" t="s">
        <v>15</v>
      </c>
      <c r="B1464" s="385" t="s">
        <v>183</v>
      </c>
      <c r="C1464" s="1397" t="s">
        <v>794</v>
      </c>
      <c r="D1464" s="1398"/>
      <c r="E1464" s="1398"/>
      <c r="F1464" s="1399"/>
      <c r="G1464" s="417" t="s">
        <v>1303</v>
      </c>
      <c r="H1464" s="370"/>
      <c r="I1464" s="422">
        <f>3.5*3.6</f>
        <v>12.6</v>
      </c>
      <c r="J1464" s="368">
        <v>3904400</v>
      </c>
      <c r="K1464" s="371"/>
      <c r="L1464" s="487">
        <f t="shared" si="222"/>
        <v>49195440</v>
      </c>
      <c r="M1464" s="395"/>
      <c r="N1464" s="395"/>
      <c r="O1464" s="366"/>
      <c r="P1464" s="396"/>
      <c r="Q1464" s="473"/>
      <c r="R1464" s="1039"/>
      <c r="S1464" s="308"/>
      <c r="T1464" s="308"/>
      <c r="U1464" s="308"/>
      <c r="V1464" s="308"/>
      <c r="W1464" s="308"/>
      <c r="X1464" s="308"/>
      <c r="Y1464" s="308"/>
      <c r="Z1464" s="604"/>
      <c r="AA1464" s="308"/>
      <c r="AB1464" s="308"/>
      <c r="AC1464" s="486"/>
      <c r="AD1464" s="486"/>
      <c r="AE1464" s="486"/>
      <c r="AF1464" s="486"/>
      <c r="AG1464" s="486"/>
      <c r="AH1464" s="486"/>
      <c r="AI1464" s="486"/>
      <c r="AJ1464" s="486"/>
      <c r="AK1464" s="486"/>
      <c r="AL1464" s="206"/>
      <c r="AM1464" s="29"/>
      <c r="AN1464" s="29"/>
      <c r="AO1464" s="29"/>
      <c r="AP1464" s="29"/>
      <c r="AQ1464" s="29"/>
      <c r="AR1464" s="29"/>
      <c r="AS1464" s="29"/>
      <c r="AT1464" s="29"/>
      <c r="AU1464" s="29"/>
      <c r="AV1464" s="29"/>
      <c r="AW1464" s="29"/>
      <c r="AX1464" s="29"/>
      <c r="AY1464" s="29"/>
      <c r="AZ1464" s="29"/>
      <c r="BA1464" s="29"/>
      <c r="BB1464" s="29"/>
      <c r="BC1464" s="29"/>
      <c r="BD1464" s="29"/>
      <c r="BE1464" s="29"/>
      <c r="BF1464" s="29"/>
      <c r="BG1464" s="29"/>
      <c r="BH1464" s="29"/>
      <c r="BI1464" s="29"/>
      <c r="BJ1464" s="29"/>
      <c r="BK1464" s="29"/>
      <c r="BL1464" s="29"/>
      <c r="BM1464" s="29"/>
      <c r="BN1464" s="29"/>
      <c r="BO1464" s="29"/>
      <c r="BP1464" s="29"/>
      <c r="BQ1464" s="29"/>
      <c r="BR1464" s="29"/>
      <c r="BS1464" s="29"/>
      <c r="BT1464" s="29"/>
      <c r="BU1464" s="29"/>
      <c r="BV1464" s="29"/>
      <c r="BW1464" s="29"/>
      <c r="BX1464" s="29"/>
      <c r="BY1464" s="29"/>
      <c r="BZ1464" s="29"/>
      <c r="CA1464" s="29"/>
      <c r="CB1464" s="29"/>
      <c r="CC1464" s="29"/>
      <c r="CD1464" s="29"/>
      <c r="CE1464" s="29"/>
      <c r="CF1464" s="29"/>
      <c r="CG1464" s="29"/>
      <c r="CH1464" s="29"/>
      <c r="CI1464" s="29"/>
      <c r="CJ1464" s="29"/>
      <c r="CK1464" s="29"/>
      <c r="CL1464" s="29"/>
      <c r="CM1464" s="29"/>
      <c r="CN1464" s="29"/>
      <c r="CO1464" s="29"/>
      <c r="CP1464" s="29"/>
      <c r="CQ1464" s="29"/>
      <c r="CR1464" s="29"/>
      <c r="CS1464" s="29"/>
      <c r="CT1464" s="29"/>
      <c r="CU1464" s="29"/>
      <c r="CV1464" s="29"/>
      <c r="CW1464" s="29"/>
      <c r="CX1464" s="29"/>
      <c r="CY1464" s="29"/>
      <c r="CZ1464" s="29"/>
      <c r="DA1464" s="29"/>
      <c r="DB1464" s="29"/>
      <c r="DC1464" s="29"/>
      <c r="DD1464" s="29"/>
      <c r="DE1464" s="29"/>
      <c r="DF1464" s="29"/>
      <c r="DG1464" s="29"/>
      <c r="DH1464" s="29"/>
      <c r="DI1464" s="29"/>
      <c r="DJ1464" s="29"/>
      <c r="DK1464" s="29"/>
      <c r="DL1464" s="29"/>
      <c r="DM1464" s="29"/>
      <c r="DN1464" s="29"/>
      <c r="DO1464" s="29"/>
      <c r="DP1464" s="29"/>
      <c r="DQ1464" s="29"/>
      <c r="DR1464" s="29"/>
      <c r="DS1464" s="29"/>
      <c r="DT1464" s="29"/>
      <c r="DU1464" s="29"/>
      <c r="DV1464" s="29"/>
      <c r="DW1464" s="29"/>
      <c r="DX1464" s="29"/>
      <c r="DY1464" s="29"/>
      <c r="DZ1464" s="29"/>
      <c r="EA1464" s="29"/>
      <c r="EB1464" s="29"/>
      <c r="EC1464" s="29"/>
      <c r="ED1464" s="29"/>
      <c r="EE1464" s="29"/>
      <c r="EF1464" s="29"/>
      <c r="EG1464" s="29"/>
      <c r="EH1464" s="29"/>
      <c r="EI1464" s="29"/>
      <c r="EJ1464" s="29"/>
      <c r="EK1464" s="29"/>
      <c r="EL1464" s="29"/>
      <c r="EM1464" s="29"/>
      <c r="EN1464" s="29"/>
      <c r="EO1464" s="29"/>
      <c r="EP1464" s="29"/>
      <c r="EQ1464" s="29"/>
      <c r="ER1464" s="29"/>
      <c r="ES1464" s="29"/>
      <c r="ET1464" s="29"/>
      <c r="EU1464" s="29"/>
      <c r="EV1464" s="29"/>
      <c r="EW1464" s="29"/>
      <c r="EX1464" s="29"/>
      <c r="EY1464" s="29"/>
      <c r="EZ1464" s="29"/>
      <c r="FA1464" s="29"/>
      <c r="FB1464" s="29"/>
      <c r="FC1464" s="29"/>
      <c r="FD1464" s="29"/>
      <c r="FE1464" s="29"/>
      <c r="FF1464" s="29"/>
      <c r="FG1464" s="29"/>
      <c r="FH1464" s="29"/>
      <c r="FI1464" s="29"/>
      <c r="FJ1464" s="29"/>
      <c r="FK1464" s="29"/>
      <c r="FL1464" s="29"/>
      <c r="FM1464" s="29"/>
      <c r="FN1464" s="29"/>
      <c r="FO1464" s="29"/>
      <c r="FP1464" s="29"/>
      <c r="FQ1464" s="29"/>
      <c r="FR1464" s="29"/>
      <c r="FS1464" s="29"/>
      <c r="FT1464" s="29"/>
      <c r="FU1464" s="29"/>
      <c r="FV1464" s="29"/>
      <c r="FW1464" s="29"/>
      <c r="FX1464" s="29"/>
      <c r="FY1464" s="29"/>
      <c r="FZ1464" s="29"/>
      <c r="GA1464" s="29"/>
      <c r="GB1464" s="29"/>
      <c r="GC1464" s="29"/>
      <c r="GD1464" s="29"/>
      <c r="GE1464" s="29"/>
      <c r="GF1464" s="29"/>
      <c r="GG1464" s="29"/>
      <c r="GH1464" s="29"/>
      <c r="GI1464" s="29"/>
      <c r="GJ1464" s="29"/>
      <c r="GK1464" s="29"/>
      <c r="GL1464" s="29"/>
      <c r="GM1464" s="29"/>
      <c r="GN1464" s="29"/>
      <c r="GO1464" s="29"/>
      <c r="GP1464" s="29"/>
      <c r="GQ1464" s="29"/>
      <c r="GR1464" s="29"/>
      <c r="GS1464" s="29"/>
      <c r="GT1464" s="29"/>
      <c r="GU1464" s="29"/>
      <c r="GV1464" s="29"/>
      <c r="GW1464" s="29"/>
      <c r="GX1464" s="29"/>
      <c r="GY1464" s="29"/>
      <c r="GZ1464" s="29"/>
      <c r="HA1464" s="29"/>
      <c r="HB1464" s="29"/>
      <c r="HC1464" s="29"/>
      <c r="HD1464" s="29"/>
      <c r="HE1464" s="29"/>
      <c r="HF1464" s="29"/>
      <c r="HG1464" s="29"/>
      <c r="HH1464" s="29"/>
      <c r="HI1464" s="29"/>
      <c r="HJ1464" s="29"/>
      <c r="HK1464" s="29"/>
      <c r="HL1464" s="29"/>
      <c r="HM1464" s="29"/>
      <c r="HN1464" s="29"/>
      <c r="HO1464" s="29"/>
      <c r="HP1464" s="29"/>
      <c r="HQ1464" s="29"/>
      <c r="HR1464" s="29"/>
      <c r="HS1464" s="29"/>
      <c r="HT1464" s="29"/>
      <c r="HU1464" s="29"/>
      <c r="HV1464" s="29"/>
      <c r="HW1464" s="29"/>
      <c r="HX1464" s="29"/>
      <c r="HY1464" s="29"/>
      <c r="HZ1464" s="29"/>
      <c r="IA1464" s="29"/>
      <c r="IB1464" s="29"/>
      <c r="IC1464" s="29"/>
      <c r="ID1464" s="29"/>
      <c r="IE1464" s="29"/>
      <c r="IF1464" s="29"/>
      <c r="IG1464" s="29"/>
      <c r="IH1464" s="29"/>
      <c r="II1464" s="29"/>
      <c r="IJ1464" s="29"/>
      <c r="IK1464" s="29"/>
      <c r="IL1464" s="29"/>
      <c r="IM1464" s="29"/>
      <c r="IN1464" s="29"/>
      <c r="IO1464" s="29"/>
      <c r="IP1464" s="29"/>
      <c r="IQ1464" s="29"/>
      <c r="IR1464" s="29"/>
      <c r="IS1464" s="29"/>
      <c r="IT1464" s="29"/>
      <c r="IU1464" s="29"/>
      <c r="IV1464" s="29"/>
      <c r="IW1464" s="29"/>
      <c r="IX1464" s="29"/>
      <c r="IY1464" s="29"/>
      <c r="IZ1464" s="29"/>
      <c r="JA1464" s="29"/>
      <c r="JB1464" s="29"/>
      <c r="JC1464" s="29"/>
      <c r="JD1464" s="29"/>
      <c r="JE1464" s="29"/>
      <c r="JF1464" s="29"/>
      <c r="JG1464" s="29"/>
      <c r="JH1464" s="29"/>
      <c r="JI1464" s="29"/>
      <c r="JJ1464" s="29"/>
      <c r="JK1464" s="29"/>
      <c r="JL1464" s="29"/>
      <c r="JM1464" s="29"/>
      <c r="JN1464" s="29"/>
      <c r="JO1464" s="29"/>
      <c r="JP1464" s="29"/>
      <c r="JQ1464" s="29"/>
      <c r="JR1464" s="29"/>
      <c r="JS1464" s="29"/>
      <c r="JT1464" s="29"/>
      <c r="JU1464" s="29"/>
      <c r="JV1464" s="29"/>
      <c r="JW1464" s="29"/>
      <c r="JX1464" s="29"/>
      <c r="JY1464" s="29"/>
      <c r="JZ1464" s="29"/>
      <c r="KA1464" s="29"/>
      <c r="KB1464" s="29"/>
      <c r="KC1464" s="29"/>
      <c r="KD1464" s="29"/>
      <c r="KE1464" s="29"/>
      <c r="KF1464" s="29"/>
      <c r="KG1464" s="29"/>
      <c r="KH1464" s="29"/>
      <c r="KI1464" s="29"/>
      <c r="KJ1464" s="29"/>
      <c r="KK1464" s="29"/>
      <c r="KL1464" s="29"/>
      <c r="KM1464" s="29"/>
      <c r="KN1464" s="29"/>
      <c r="KO1464" s="29"/>
      <c r="KP1464" s="29"/>
      <c r="KQ1464" s="29"/>
      <c r="KR1464" s="29"/>
      <c r="KS1464" s="29"/>
      <c r="KT1464" s="29"/>
      <c r="KU1464" s="29"/>
      <c r="KV1464" s="29"/>
      <c r="KW1464" s="29"/>
      <c r="KX1464" s="29"/>
      <c r="KY1464" s="29"/>
      <c r="KZ1464" s="29"/>
      <c r="LA1464" s="29"/>
      <c r="LB1464" s="29"/>
      <c r="LC1464" s="29"/>
      <c r="LD1464" s="29"/>
      <c r="LE1464" s="29"/>
      <c r="LF1464" s="29"/>
      <c r="LG1464" s="29"/>
      <c r="LH1464" s="29"/>
      <c r="LI1464" s="29"/>
      <c r="LJ1464" s="29"/>
      <c r="LK1464" s="29"/>
      <c r="LL1464" s="29"/>
      <c r="LM1464" s="29"/>
      <c r="LN1464" s="29"/>
      <c r="LO1464" s="29"/>
      <c r="LP1464" s="29"/>
      <c r="LQ1464" s="29"/>
      <c r="LR1464" s="29"/>
      <c r="LS1464" s="29"/>
      <c r="LT1464" s="29"/>
      <c r="LU1464" s="29"/>
      <c r="LV1464" s="29"/>
      <c r="LW1464" s="29"/>
      <c r="LX1464" s="29"/>
      <c r="LY1464" s="29"/>
      <c r="LZ1464" s="29"/>
      <c r="MA1464" s="29"/>
      <c r="MB1464" s="29"/>
      <c r="MC1464" s="29"/>
      <c r="MD1464" s="29"/>
      <c r="ME1464" s="29"/>
      <c r="MF1464" s="29"/>
      <c r="MG1464" s="29"/>
      <c r="MH1464" s="29"/>
      <c r="MI1464" s="29"/>
      <c r="MJ1464" s="29"/>
      <c r="MK1464" s="29"/>
      <c r="ML1464" s="29"/>
      <c r="MM1464" s="29"/>
      <c r="MN1464" s="29"/>
      <c r="MO1464" s="29"/>
      <c r="MP1464" s="29"/>
      <c r="MQ1464" s="29"/>
      <c r="MR1464" s="29"/>
      <c r="MS1464" s="29"/>
      <c r="MT1464" s="29"/>
      <c r="MU1464" s="29"/>
      <c r="MV1464" s="29"/>
      <c r="MW1464" s="29"/>
      <c r="MX1464" s="29"/>
      <c r="MY1464" s="29"/>
      <c r="MZ1464" s="29"/>
      <c r="NA1464" s="29"/>
      <c r="NB1464" s="29"/>
      <c r="NC1464" s="29"/>
      <c r="ND1464" s="29"/>
      <c r="NE1464" s="29"/>
      <c r="NF1464" s="29"/>
      <c r="NG1464" s="29"/>
      <c r="NH1464" s="29"/>
      <c r="NI1464" s="29"/>
      <c r="NJ1464" s="29"/>
      <c r="NK1464" s="29"/>
      <c r="NL1464" s="29"/>
      <c r="NM1464" s="29"/>
      <c r="NN1464" s="29"/>
      <c r="NO1464" s="29"/>
      <c r="NP1464" s="29"/>
      <c r="NQ1464" s="29"/>
      <c r="NR1464" s="29"/>
      <c r="NS1464" s="29"/>
      <c r="NT1464" s="29"/>
      <c r="NU1464" s="29"/>
      <c r="NV1464" s="29"/>
      <c r="NW1464" s="29"/>
      <c r="NX1464" s="29"/>
      <c r="NY1464" s="29"/>
      <c r="NZ1464" s="29"/>
      <c r="OA1464" s="29"/>
      <c r="OB1464" s="29"/>
      <c r="OC1464" s="29"/>
      <c r="OD1464" s="29"/>
      <c r="OE1464" s="29"/>
      <c r="OF1464" s="29"/>
      <c r="OG1464" s="29"/>
      <c r="OH1464" s="29"/>
      <c r="OI1464" s="29"/>
      <c r="OJ1464" s="29"/>
      <c r="OK1464" s="29"/>
      <c r="OL1464" s="29"/>
      <c r="OM1464" s="29"/>
      <c r="ON1464" s="29"/>
      <c r="OO1464" s="29"/>
      <c r="OP1464" s="29"/>
      <c r="OQ1464" s="29"/>
      <c r="OR1464" s="29"/>
      <c r="OS1464" s="29"/>
      <c r="OT1464" s="29"/>
      <c r="OU1464" s="29"/>
      <c r="OV1464" s="29"/>
      <c r="OW1464" s="29"/>
      <c r="OX1464" s="29"/>
      <c r="OY1464" s="29"/>
      <c r="OZ1464" s="29"/>
      <c r="PA1464" s="29"/>
      <c r="PB1464" s="29"/>
      <c r="PC1464" s="29"/>
      <c r="PD1464" s="29"/>
      <c r="PE1464" s="29"/>
      <c r="PF1464" s="29"/>
      <c r="PG1464" s="29"/>
      <c r="PH1464" s="29"/>
      <c r="PI1464" s="29"/>
      <c r="PJ1464" s="29"/>
      <c r="PK1464" s="29"/>
      <c r="PL1464" s="29"/>
      <c r="PM1464" s="29"/>
      <c r="PN1464" s="29"/>
      <c r="PO1464" s="29"/>
      <c r="PP1464" s="29"/>
      <c r="PQ1464" s="29"/>
      <c r="PR1464" s="29"/>
      <c r="PS1464" s="29"/>
      <c r="PT1464" s="29"/>
      <c r="PU1464" s="29"/>
      <c r="PV1464" s="29"/>
      <c r="PW1464" s="29"/>
      <c r="PX1464" s="29"/>
      <c r="PY1464" s="29"/>
      <c r="PZ1464" s="29"/>
      <c r="QA1464" s="29"/>
      <c r="QB1464" s="29"/>
      <c r="QC1464" s="29"/>
      <c r="QD1464" s="29"/>
      <c r="QE1464" s="29"/>
      <c r="QF1464" s="29"/>
      <c r="QG1464" s="29"/>
      <c r="QH1464" s="29"/>
      <c r="QI1464" s="29"/>
      <c r="QJ1464" s="29"/>
      <c r="QK1464" s="29"/>
      <c r="QL1464" s="29"/>
      <c r="QM1464" s="29"/>
      <c r="QN1464" s="29"/>
      <c r="QO1464" s="29"/>
      <c r="QP1464" s="29"/>
      <c r="QQ1464" s="29"/>
      <c r="QR1464" s="29"/>
      <c r="QS1464" s="29"/>
      <c r="QT1464" s="29"/>
      <c r="QU1464" s="29"/>
      <c r="QV1464" s="29"/>
      <c r="QW1464" s="29"/>
      <c r="QX1464" s="29"/>
      <c r="QY1464" s="29"/>
      <c r="QZ1464" s="29"/>
      <c r="RA1464" s="29"/>
      <c r="RB1464" s="29"/>
      <c r="RC1464" s="29"/>
      <c r="RD1464" s="29"/>
      <c r="RE1464" s="29"/>
      <c r="RF1464" s="29"/>
      <c r="RG1464" s="29"/>
      <c r="RH1464" s="29"/>
      <c r="RI1464" s="29"/>
      <c r="RJ1464" s="29"/>
      <c r="RK1464" s="29"/>
      <c r="RL1464" s="29"/>
      <c r="RM1464" s="29"/>
      <c r="RN1464" s="29"/>
      <c r="RO1464" s="29"/>
      <c r="RP1464" s="29"/>
      <c r="RQ1464" s="29"/>
      <c r="RR1464" s="29"/>
      <c r="RS1464" s="29"/>
      <c r="RT1464" s="29"/>
      <c r="RU1464" s="29"/>
      <c r="RV1464" s="29"/>
      <c r="RW1464" s="29"/>
      <c r="RX1464" s="29"/>
      <c r="RY1464" s="29"/>
      <c r="RZ1464" s="29"/>
      <c r="SA1464" s="29"/>
      <c r="SB1464" s="29"/>
      <c r="SC1464" s="29"/>
      <c r="SD1464" s="29"/>
      <c r="SE1464" s="29"/>
      <c r="SF1464" s="29"/>
      <c r="SG1464" s="29"/>
      <c r="SH1464" s="29"/>
      <c r="SI1464" s="29"/>
      <c r="SJ1464" s="29"/>
      <c r="SK1464" s="29"/>
      <c r="SL1464" s="29"/>
      <c r="SM1464" s="29"/>
      <c r="SN1464" s="29"/>
      <c r="SO1464" s="29"/>
      <c r="SP1464" s="29"/>
      <c r="SQ1464" s="29"/>
      <c r="SR1464" s="29"/>
      <c r="SS1464" s="29"/>
      <c r="ST1464" s="29"/>
      <c r="SU1464" s="29"/>
      <c r="SV1464" s="29"/>
      <c r="SW1464" s="29"/>
      <c r="SX1464" s="29"/>
      <c r="SY1464" s="29"/>
      <c r="SZ1464" s="29"/>
      <c r="TA1464" s="29"/>
      <c r="TB1464" s="29"/>
      <c r="TC1464" s="29"/>
      <c r="TD1464" s="29"/>
      <c r="TE1464" s="29"/>
      <c r="TF1464" s="29"/>
      <c r="TG1464" s="29"/>
      <c r="TH1464" s="29"/>
      <c r="TI1464" s="29"/>
      <c r="TJ1464" s="29"/>
      <c r="TK1464" s="29"/>
      <c r="TL1464" s="29"/>
      <c r="TM1464" s="29"/>
      <c r="TN1464" s="29"/>
      <c r="TO1464" s="29"/>
      <c r="TP1464" s="29"/>
      <c r="TQ1464" s="29"/>
      <c r="TR1464" s="29"/>
      <c r="TS1464" s="29"/>
      <c r="TT1464" s="29"/>
      <c r="TU1464" s="29"/>
      <c r="TV1464" s="29"/>
      <c r="TW1464" s="29"/>
      <c r="TX1464" s="29"/>
      <c r="TY1464" s="29"/>
      <c r="TZ1464" s="29"/>
      <c r="UA1464" s="29"/>
      <c r="UB1464" s="29"/>
      <c r="UC1464" s="29"/>
      <c r="UD1464" s="29"/>
      <c r="UE1464" s="29"/>
      <c r="UF1464" s="29"/>
      <c r="UG1464" s="29"/>
    </row>
    <row r="1465" spans="1:553" ht="28.15" customHeight="1">
      <c r="A1465" s="356" t="s">
        <v>30</v>
      </c>
      <c r="B1465" s="385"/>
      <c r="C1465" s="1397" t="s">
        <v>1257</v>
      </c>
      <c r="D1465" s="1389"/>
      <c r="E1465" s="1389"/>
      <c r="F1465" s="1390"/>
      <c r="G1465" s="417" t="s">
        <v>33</v>
      </c>
      <c r="H1465" s="370"/>
      <c r="I1465" s="422">
        <f>-1.3*2</f>
        <v>-2.6</v>
      </c>
      <c r="J1465" s="368">
        <v>500000</v>
      </c>
      <c r="K1465" s="371"/>
      <c r="L1465" s="487">
        <f t="shared" si="222"/>
        <v>-1300000</v>
      </c>
      <c r="M1465" s="395"/>
      <c r="N1465" s="395"/>
      <c r="O1465" s="366"/>
      <c r="P1465" s="396"/>
      <c r="Q1465" s="473"/>
      <c r="R1465" s="1039"/>
      <c r="S1465" s="308"/>
      <c r="T1465" s="308"/>
      <c r="U1465" s="308"/>
      <c r="V1465" s="308"/>
      <c r="W1465" s="308"/>
      <c r="X1465" s="308"/>
      <c r="Y1465" s="308"/>
      <c r="Z1465" s="604"/>
      <c r="AA1465" s="308"/>
      <c r="AB1465" s="308"/>
      <c r="AC1465" s="486"/>
      <c r="AD1465" s="486"/>
      <c r="AE1465" s="486"/>
      <c r="AF1465" s="486"/>
      <c r="AG1465" s="486"/>
      <c r="AH1465" s="486"/>
      <c r="AI1465" s="486"/>
      <c r="AJ1465" s="486"/>
      <c r="AK1465" s="486"/>
      <c r="AL1465" s="206"/>
      <c r="AM1465" s="29"/>
      <c r="AN1465" s="29"/>
      <c r="AO1465" s="29"/>
      <c r="AP1465" s="29"/>
      <c r="AQ1465" s="29"/>
      <c r="AR1465" s="29"/>
      <c r="AS1465" s="29"/>
      <c r="AT1465" s="29"/>
      <c r="AU1465" s="29"/>
      <c r="AV1465" s="29"/>
      <c r="AW1465" s="29"/>
      <c r="AX1465" s="29"/>
      <c r="AY1465" s="29"/>
      <c r="AZ1465" s="29"/>
      <c r="BA1465" s="29"/>
      <c r="BB1465" s="29"/>
      <c r="BC1465" s="29"/>
      <c r="BD1465" s="29"/>
      <c r="BE1465" s="29"/>
      <c r="BF1465" s="29"/>
      <c r="BG1465" s="29"/>
      <c r="BH1465" s="29"/>
      <c r="BI1465" s="29"/>
      <c r="BJ1465" s="29"/>
      <c r="BK1465" s="29"/>
      <c r="BL1465" s="29"/>
      <c r="BM1465" s="29"/>
      <c r="BN1465" s="29"/>
      <c r="BO1465" s="29"/>
      <c r="BP1465" s="29"/>
      <c r="BQ1465" s="29"/>
      <c r="BR1465" s="29"/>
      <c r="BS1465" s="29"/>
      <c r="BT1465" s="29"/>
      <c r="BU1465" s="29"/>
      <c r="BV1465" s="29"/>
      <c r="BW1465" s="29"/>
      <c r="BX1465" s="29"/>
      <c r="BY1465" s="29"/>
      <c r="BZ1465" s="29"/>
      <c r="CA1465" s="29"/>
      <c r="CB1465" s="29"/>
      <c r="CC1465" s="29"/>
      <c r="CD1465" s="29"/>
      <c r="CE1465" s="29"/>
      <c r="CF1465" s="29"/>
      <c r="CG1465" s="29"/>
      <c r="CH1465" s="29"/>
      <c r="CI1465" s="29"/>
      <c r="CJ1465" s="29"/>
      <c r="CK1465" s="29"/>
      <c r="CL1465" s="29"/>
      <c r="CM1465" s="29"/>
      <c r="CN1465" s="29"/>
      <c r="CO1465" s="29"/>
      <c r="CP1465" s="29"/>
      <c r="CQ1465" s="29"/>
      <c r="CR1465" s="29"/>
      <c r="CS1465" s="29"/>
      <c r="CT1465" s="29"/>
      <c r="CU1465" s="29"/>
      <c r="CV1465" s="29"/>
      <c r="CW1465" s="29"/>
      <c r="CX1465" s="29"/>
      <c r="CY1465" s="29"/>
      <c r="CZ1465" s="29"/>
      <c r="DA1465" s="29"/>
      <c r="DB1465" s="29"/>
      <c r="DC1465" s="29"/>
      <c r="DD1465" s="29"/>
      <c r="DE1465" s="29"/>
      <c r="DF1465" s="29"/>
      <c r="DG1465" s="29"/>
      <c r="DH1465" s="29"/>
      <c r="DI1465" s="29"/>
      <c r="DJ1465" s="29"/>
      <c r="DK1465" s="29"/>
      <c r="DL1465" s="29"/>
      <c r="DM1465" s="29"/>
      <c r="DN1465" s="29"/>
      <c r="DO1465" s="29"/>
      <c r="DP1465" s="29"/>
      <c r="DQ1465" s="29"/>
      <c r="DR1465" s="29"/>
      <c r="DS1465" s="29"/>
      <c r="DT1465" s="29"/>
      <c r="DU1465" s="29"/>
      <c r="DV1465" s="29"/>
      <c r="DW1465" s="29"/>
      <c r="DX1465" s="29"/>
      <c r="DY1465" s="29"/>
      <c r="DZ1465" s="29"/>
      <c r="EA1465" s="29"/>
      <c r="EB1465" s="29"/>
      <c r="EC1465" s="29"/>
      <c r="ED1465" s="29"/>
      <c r="EE1465" s="29"/>
      <c r="EF1465" s="29"/>
      <c r="EG1465" s="29"/>
      <c r="EH1465" s="29"/>
      <c r="EI1465" s="29"/>
      <c r="EJ1465" s="29"/>
      <c r="EK1465" s="29"/>
      <c r="EL1465" s="29"/>
      <c r="EM1465" s="29"/>
      <c r="EN1465" s="29"/>
      <c r="EO1465" s="29"/>
      <c r="EP1465" s="29"/>
      <c r="EQ1465" s="29"/>
      <c r="ER1465" s="29"/>
      <c r="ES1465" s="29"/>
      <c r="ET1465" s="29"/>
      <c r="EU1465" s="29"/>
      <c r="EV1465" s="29"/>
      <c r="EW1465" s="29"/>
      <c r="EX1465" s="29"/>
      <c r="EY1465" s="29"/>
      <c r="EZ1465" s="29"/>
      <c r="FA1465" s="29"/>
      <c r="FB1465" s="29"/>
      <c r="FC1465" s="29"/>
      <c r="FD1465" s="29"/>
      <c r="FE1465" s="29"/>
      <c r="FF1465" s="29"/>
      <c r="FG1465" s="29"/>
      <c r="FH1465" s="29"/>
      <c r="FI1465" s="29"/>
      <c r="FJ1465" s="29"/>
      <c r="FK1465" s="29"/>
      <c r="FL1465" s="29"/>
      <c r="FM1465" s="29"/>
      <c r="FN1465" s="29"/>
      <c r="FO1465" s="29"/>
      <c r="FP1465" s="29"/>
      <c r="FQ1465" s="29"/>
      <c r="FR1465" s="29"/>
      <c r="FS1465" s="29"/>
      <c r="FT1465" s="29"/>
      <c r="FU1465" s="29"/>
      <c r="FV1465" s="29"/>
      <c r="FW1465" s="29"/>
      <c r="FX1465" s="29"/>
      <c r="FY1465" s="29"/>
      <c r="FZ1465" s="29"/>
      <c r="GA1465" s="29"/>
      <c r="GB1465" s="29"/>
      <c r="GC1465" s="29"/>
      <c r="GD1465" s="29"/>
      <c r="GE1465" s="29"/>
      <c r="GF1465" s="29"/>
      <c r="GG1465" s="29"/>
      <c r="GH1465" s="29"/>
      <c r="GI1465" s="29"/>
      <c r="GJ1465" s="29"/>
      <c r="GK1465" s="29"/>
      <c r="GL1465" s="29"/>
      <c r="GM1465" s="29"/>
      <c r="GN1465" s="29"/>
      <c r="GO1465" s="29"/>
      <c r="GP1465" s="29"/>
      <c r="GQ1465" s="29"/>
      <c r="GR1465" s="29"/>
      <c r="GS1465" s="29"/>
      <c r="GT1465" s="29"/>
      <c r="GU1465" s="29"/>
      <c r="GV1465" s="29"/>
      <c r="GW1465" s="29"/>
      <c r="GX1465" s="29"/>
      <c r="GY1465" s="29"/>
      <c r="GZ1465" s="29"/>
      <c r="HA1465" s="29"/>
      <c r="HB1465" s="29"/>
      <c r="HC1465" s="29"/>
      <c r="HD1465" s="29"/>
      <c r="HE1465" s="29"/>
      <c r="HF1465" s="29"/>
      <c r="HG1465" s="29"/>
      <c r="HH1465" s="29"/>
      <c r="HI1465" s="29"/>
      <c r="HJ1465" s="29"/>
      <c r="HK1465" s="29"/>
      <c r="HL1465" s="29"/>
      <c r="HM1465" s="29"/>
      <c r="HN1465" s="29"/>
      <c r="HO1465" s="29"/>
      <c r="HP1465" s="29"/>
      <c r="HQ1465" s="29"/>
      <c r="HR1465" s="29"/>
      <c r="HS1465" s="29"/>
      <c r="HT1465" s="29"/>
      <c r="HU1465" s="29"/>
      <c r="HV1465" s="29"/>
      <c r="HW1465" s="29"/>
      <c r="HX1465" s="29"/>
      <c r="HY1465" s="29"/>
      <c r="HZ1465" s="29"/>
      <c r="IA1465" s="29"/>
      <c r="IB1465" s="29"/>
      <c r="IC1465" s="29"/>
      <c r="ID1465" s="29"/>
      <c r="IE1465" s="29"/>
      <c r="IF1465" s="29"/>
      <c r="IG1465" s="29"/>
      <c r="IH1465" s="29"/>
      <c r="II1465" s="29"/>
      <c r="IJ1465" s="29"/>
      <c r="IK1465" s="29"/>
      <c r="IL1465" s="29"/>
      <c r="IM1465" s="29"/>
      <c r="IN1465" s="29"/>
      <c r="IO1465" s="29"/>
      <c r="IP1465" s="29"/>
      <c r="IQ1465" s="29"/>
      <c r="IR1465" s="29"/>
      <c r="IS1465" s="29"/>
      <c r="IT1465" s="29"/>
      <c r="IU1465" s="29"/>
      <c r="IV1465" s="29"/>
      <c r="IW1465" s="29"/>
      <c r="IX1465" s="29"/>
      <c r="IY1465" s="29"/>
      <c r="IZ1465" s="29"/>
      <c r="JA1465" s="29"/>
      <c r="JB1465" s="29"/>
      <c r="JC1465" s="29"/>
      <c r="JD1465" s="29"/>
      <c r="JE1465" s="29"/>
      <c r="JF1465" s="29"/>
      <c r="JG1465" s="29"/>
      <c r="JH1465" s="29"/>
      <c r="JI1465" s="29"/>
      <c r="JJ1465" s="29"/>
      <c r="JK1465" s="29"/>
      <c r="JL1465" s="29"/>
      <c r="JM1465" s="29"/>
      <c r="JN1465" s="29"/>
      <c r="JO1465" s="29"/>
      <c r="JP1465" s="29"/>
      <c r="JQ1465" s="29"/>
      <c r="JR1465" s="29"/>
      <c r="JS1465" s="29"/>
      <c r="JT1465" s="29"/>
      <c r="JU1465" s="29"/>
      <c r="JV1465" s="29"/>
      <c r="JW1465" s="29"/>
      <c r="JX1465" s="29"/>
      <c r="JY1465" s="29"/>
      <c r="JZ1465" s="29"/>
      <c r="KA1465" s="29"/>
      <c r="KB1465" s="29"/>
      <c r="KC1465" s="29"/>
      <c r="KD1465" s="29"/>
      <c r="KE1465" s="29"/>
      <c r="KF1465" s="29"/>
      <c r="KG1465" s="29"/>
      <c r="KH1465" s="29"/>
      <c r="KI1465" s="29"/>
      <c r="KJ1465" s="29"/>
      <c r="KK1465" s="29"/>
      <c r="KL1465" s="29"/>
      <c r="KM1465" s="29"/>
      <c r="KN1465" s="29"/>
      <c r="KO1465" s="29"/>
      <c r="KP1465" s="29"/>
      <c r="KQ1465" s="29"/>
      <c r="KR1465" s="29"/>
      <c r="KS1465" s="29"/>
      <c r="KT1465" s="29"/>
      <c r="KU1465" s="29"/>
      <c r="KV1465" s="29"/>
      <c r="KW1465" s="29"/>
      <c r="KX1465" s="29"/>
      <c r="KY1465" s="29"/>
      <c r="KZ1465" s="29"/>
      <c r="LA1465" s="29"/>
      <c r="LB1465" s="29"/>
      <c r="LC1465" s="29"/>
      <c r="LD1465" s="29"/>
      <c r="LE1465" s="29"/>
      <c r="LF1465" s="29"/>
      <c r="LG1465" s="29"/>
      <c r="LH1465" s="29"/>
      <c r="LI1465" s="29"/>
      <c r="LJ1465" s="29"/>
      <c r="LK1465" s="29"/>
      <c r="LL1465" s="29"/>
      <c r="LM1465" s="29"/>
      <c r="LN1465" s="29"/>
      <c r="LO1465" s="29"/>
      <c r="LP1465" s="29"/>
      <c r="LQ1465" s="29"/>
      <c r="LR1465" s="29"/>
      <c r="LS1465" s="29"/>
      <c r="LT1465" s="29"/>
      <c r="LU1465" s="29"/>
      <c r="LV1465" s="29"/>
      <c r="LW1465" s="29"/>
      <c r="LX1465" s="29"/>
      <c r="LY1465" s="29"/>
      <c r="LZ1465" s="29"/>
      <c r="MA1465" s="29"/>
      <c r="MB1465" s="29"/>
      <c r="MC1465" s="29"/>
      <c r="MD1465" s="29"/>
      <c r="ME1465" s="29"/>
      <c r="MF1465" s="29"/>
      <c r="MG1465" s="29"/>
      <c r="MH1465" s="29"/>
      <c r="MI1465" s="29"/>
      <c r="MJ1465" s="29"/>
      <c r="MK1465" s="29"/>
      <c r="ML1465" s="29"/>
      <c r="MM1465" s="29"/>
      <c r="MN1465" s="29"/>
      <c r="MO1465" s="29"/>
      <c r="MP1465" s="29"/>
      <c r="MQ1465" s="29"/>
      <c r="MR1465" s="29"/>
      <c r="MS1465" s="29"/>
      <c r="MT1465" s="29"/>
      <c r="MU1465" s="29"/>
      <c r="MV1465" s="29"/>
      <c r="MW1465" s="29"/>
      <c r="MX1465" s="29"/>
      <c r="MY1465" s="29"/>
      <c r="MZ1465" s="29"/>
      <c r="NA1465" s="29"/>
      <c r="NB1465" s="29"/>
      <c r="NC1465" s="29"/>
      <c r="ND1465" s="29"/>
      <c r="NE1465" s="29"/>
      <c r="NF1465" s="29"/>
      <c r="NG1465" s="29"/>
      <c r="NH1465" s="29"/>
      <c r="NI1465" s="29"/>
      <c r="NJ1465" s="29"/>
      <c r="NK1465" s="29"/>
      <c r="NL1465" s="29"/>
      <c r="NM1465" s="29"/>
      <c r="NN1465" s="29"/>
      <c r="NO1465" s="29"/>
      <c r="NP1465" s="29"/>
      <c r="NQ1465" s="29"/>
      <c r="NR1465" s="29"/>
      <c r="NS1465" s="29"/>
      <c r="NT1465" s="29"/>
      <c r="NU1465" s="29"/>
      <c r="NV1465" s="29"/>
      <c r="NW1465" s="29"/>
      <c r="NX1465" s="29"/>
      <c r="NY1465" s="29"/>
      <c r="NZ1465" s="29"/>
      <c r="OA1465" s="29"/>
      <c r="OB1465" s="29"/>
      <c r="OC1465" s="29"/>
      <c r="OD1465" s="29"/>
      <c r="OE1465" s="29"/>
      <c r="OF1465" s="29"/>
      <c r="OG1465" s="29"/>
      <c r="OH1465" s="29"/>
      <c r="OI1465" s="29"/>
      <c r="OJ1465" s="29"/>
      <c r="OK1465" s="29"/>
      <c r="OL1465" s="29"/>
      <c r="OM1465" s="29"/>
      <c r="ON1465" s="29"/>
      <c r="OO1465" s="29"/>
      <c r="OP1465" s="29"/>
      <c r="OQ1465" s="29"/>
      <c r="OR1465" s="29"/>
      <c r="OS1465" s="29"/>
      <c r="OT1465" s="29"/>
      <c r="OU1465" s="29"/>
      <c r="OV1465" s="29"/>
      <c r="OW1465" s="29"/>
      <c r="OX1465" s="29"/>
      <c r="OY1465" s="29"/>
      <c r="OZ1465" s="29"/>
      <c r="PA1465" s="29"/>
      <c r="PB1465" s="29"/>
      <c r="PC1465" s="29"/>
      <c r="PD1465" s="29"/>
      <c r="PE1465" s="29"/>
      <c r="PF1465" s="29"/>
      <c r="PG1465" s="29"/>
      <c r="PH1465" s="29"/>
      <c r="PI1465" s="29"/>
      <c r="PJ1465" s="29"/>
      <c r="PK1465" s="29"/>
      <c r="PL1465" s="29"/>
      <c r="PM1465" s="29"/>
      <c r="PN1465" s="29"/>
      <c r="PO1465" s="29"/>
      <c r="PP1465" s="29"/>
      <c r="PQ1465" s="29"/>
      <c r="PR1465" s="29"/>
      <c r="PS1465" s="29"/>
      <c r="PT1465" s="29"/>
      <c r="PU1465" s="29"/>
      <c r="PV1465" s="29"/>
      <c r="PW1465" s="29"/>
      <c r="PX1465" s="29"/>
      <c r="PY1465" s="29"/>
      <c r="PZ1465" s="29"/>
      <c r="QA1465" s="29"/>
      <c r="QB1465" s="29"/>
      <c r="QC1465" s="29"/>
      <c r="QD1465" s="29"/>
      <c r="QE1465" s="29"/>
      <c r="QF1465" s="29"/>
      <c r="QG1465" s="29"/>
      <c r="QH1465" s="29"/>
      <c r="QI1465" s="29"/>
      <c r="QJ1465" s="29"/>
      <c r="QK1465" s="29"/>
      <c r="QL1465" s="29"/>
      <c r="QM1465" s="29"/>
      <c r="QN1465" s="29"/>
      <c r="QO1465" s="29"/>
      <c r="QP1465" s="29"/>
      <c r="QQ1465" s="29"/>
      <c r="QR1465" s="29"/>
      <c r="QS1465" s="29"/>
      <c r="QT1465" s="29"/>
      <c r="QU1465" s="29"/>
      <c r="QV1465" s="29"/>
      <c r="QW1465" s="29"/>
      <c r="QX1465" s="29"/>
      <c r="QY1465" s="29"/>
      <c r="QZ1465" s="29"/>
      <c r="RA1465" s="29"/>
      <c r="RB1465" s="29"/>
      <c r="RC1465" s="29"/>
      <c r="RD1465" s="29"/>
      <c r="RE1465" s="29"/>
      <c r="RF1465" s="29"/>
      <c r="RG1465" s="29"/>
      <c r="RH1465" s="29"/>
      <c r="RI1465" s="29"/>
      <c r="RJ1465" s="29"/>
      <c r="RK1465" s="29"/>
      <c r="RL1465" s="29"/>
      <c r="RM1465" s="29"/>
      <c r="RN1465" s="29"/>
      <c r="RO1465" s="29"/>
      <c r="RP1465" s="29"/>
      <c r="RQ1465" s="29"/>
      <c r="RR1465" s="29"/>
      <c r="RS1465" s="29"/>
      <c r="RT1465" s="29"/>
      <c r="RU1465" s="29"/>
      <c r="RV1465" s="29"/>
      <c r="RW1465" s="29"/>
      <c r="RX1465" s="29"/>
      <c r="RY1465" s="29"/>
      <c r="RZ1465" s="29"/>
      <c r="SA1465" s="29"/>
      <c r="SB1465" s="29"/>
      <c r="SC1465" s="29"/>
      <c r="SD1465" s="29"/>
      <c r="SE1465" s="29"/>
      <c r="SF1465" s="29"/>
      <c r="SG1465" s="29"/>
      <c r="SH1465" s="29"/>
      <c r="SI1465" s="29"/>
      <c r="SJ1465" s="29"/>
      <c r="SK1465" s="29"/>
      <c r="SL1465" s="29"/>
      <c r="SM1465" s="29"/>
      <c r="SN1465" s="29"/>
      <c r="SO1465" s="29"/>
      <c r="SP1465" s="29"/>
      <c r="SQ1465" s="29"/>
      <c r="SR1465" s="29"/>
      <c r="SS1465" s="29"/>
      <c r="ST1465" s="29"/>
      <c r="SU1465" s="29"/>
      <c r="SV1465" s="29"/>
      <c r="SW1465" s="29"/>
      <c r="SX1465" s="29"/>
      <c r="SY1465" s="29"/>
      <c r="SZ1465" s="29"/>
      <c r="TA1465" s="29"/>
      <c r="TB1465" s="29"/>
      <c r="TC1465" s="29"/>
      <c r="TD1465" s="29"/>
      <c r="TE1465" s="29"/>
      <c r="TF1465" s="29"/>
      <c r="TG1465" s="29"/>
      <c r="TH1465" s="29"/>
      <c r="TI1465" s="29"/>
      <c r="TJ1465" s="29"/>
      <c r="TK1465" s="29"/>
      <c r="TL1465" s="29"/>
      <c r="TM1465" s="29"/>
      <c r="TN1465" s="29"/>
      <c r="TO1465" s="29"/>
      <c r="TP1465" s="29"/>
      <c r="TQ1465" s="29"/>
      <c r="TR1465" s="29"/>
      <c r="TS1465" s="29"/>
      <c r="TT1465" s="29"/>
      <c r="TU1465" s="29"/>
      <c r="TV1465" s="29"/>
      <c r="TW1465" s="29"/>
      <c r="TX1465" s="29"/>
      <c r="TY1465" s="29"/>
      <c r="TZ1465" s="29"/>
      <c r="UA1465" s="29"/>
      <c r="UB1465" s="29"/>
      <c r="UC1465" s="29"/>
      <c r="UD1465" s="29"/>
      <c r="UE1465" s="29"/>
      <c r="UF1465" s="29"/>
      <c r="UG1465" s="29"/>
    </row>
    <row r="1466" spans="1:553" ht="29.5" customHeight="1">
      <c r="A1466" s="356" t="s">
        <v>30</v>
      </c>
      <c r="B1466" s="385" t="s">
        <v>795</v>
      </c>
      <c r="C1466" s="1397" t="s">
        <v>796</v>
      </c>
      <c r="D1466" s="1389"/>
      <c r="E1466" s="1389"/>
      <c r="F1466" s="1390"/>
      <c r="G1466" s="417" t="s">
        <v>1303</v>
      </c>
      <c r="H1466" s="370"/>
      <c r="I1466" s="422">
        <f>-7.8*2</f>
        <v>-15.6</v>
      </c>
      <c r="J1466" s="368">
        <v>41700</v>
      </c>
      <c r="K1466" s="371"/>
      <c r="L1466" s="487">
        <f t="shared" si="222"/>
        <v>-650520</v>
      </c>
      <c r="M1466" s="395"/>
      <c r="N1466" s="395"/>
      <c r="O1466" s="366"/>
      <c r="P1466" s="396"/>
      <c r="Q1466" s="473"/>
      <c r="R1466" s="1039"/>
      <c r="S1466" s="308"/>
      <c r="T1466" s="308"/>
      <c r="U1466" s="308"/>
      <c r="V1466" s="308"/>
      <c r="W1466" s="308"/>
      <c r="X1466" s="308"/>
      <c r="Y1466" s="308"/>
      <c r="Z1466" s="604"/>
      <c r="AA1466" s="308"/>
      <c r="AB1466" s="308"/>
      <c r="AC1466" s="486"/>
      <c r="AD1466" s="486"/>
      <c r="AE1466" s="486"/>
      <c r="AF1466" s="486"/>
      <c r="AG1466" s="486"/>
      <c r="AH1466" s="486"/>
      <c r="AI1466" s="486"/>
      <c r="AJ1466" s="486"/>
      <c r="AK1466" s="486"/>
      <c r="AL1466" s="206"/>
      <c r="AM1466" s="29"/>
      <c r="AN1466" s="29"/>
      <c r="AO1466" s="29"/>
      <c r="AP1466" s="29"/>
      <c r="AQ1466" s="29"/>
      <c r="AR1466" s="29"/>
      <c r="AS1466" s="29"/>
      <c r="AT1466" s="29"/>
      <c r="AU1466" s="29"/>
      <c r="AV1466" s="29"/>
      <c r="AW1466" s="29"/>
      <c r="AX1466" s="29"/>
      <c r="AY1466" s="29"/>
      <c r="AZ1466" s="29"/>
      <c r="BA1466" s="29"/>
      <c r="BB1466" s="29"/>
      <c r="BC1466" s="29"/>
      <c r="BD1466" s="29"/>
      <c r="BE1466" s="29"/>
      <c r="BF1466" s="29"/>
      <c r="BG1466" s="29"/>
      <c r="BH1466" s="29"/>
      <c r="BI1466" s="29"/>
      <c r="BJ1466" s="29"/>
      <c r="BK1466" s="29"/>
      <c r="BL1466" s="29"/>
      <c r="BM1466" s="29"/>
      <c r="BN1466" s="29"/>
      <c r="BO1466" s="29"/>
      <c r="BP1466" s="29"/>
      <c r="BQ1466" s="29"/>
      <c r="BR1466" s="29"/>
      <c r="BS1466" s="29"/>
      <c r="BT1466" s="29"/>
      <c r="BU1466" s="29"/>
      <c r="BV1466" s="29"/>
      <c r="BW1466" s="29"/>
      <c r="BX1466" s="29"/>
      <c r="BY1466" s="29"/>
      <c r="BZ1466" s="29"/>
      <c r="CA1466" s="29"/>
      <c r="CB1466" s="29"/>
      <c r="CC1466" s="29"/>
      <c r="CD1466" s="29"/>
      <c r="CE1466" s="29"/>
      <c r="CF1466" s="29"/>
      <c r="CG1466" s="29"/>
      <c r="CH1466" s="29"/>
      <c r="CI1466" s="29"/>
      <c r="CJ1466" s="29"/>
      <c r="CK1466" s="29"/>
      <c r="CL1466" s="29"/>
      <c r="CM1466" s="29"/>
      <c r="CN1466" s="29"/>
      <c r="CO1466" s="29"/>
      <c r="CP1466" s="29"/>
      <c r="CQ1466" s="29"/>
      <c r="CR1466" s="29"/>
      <c r="CS1466" s="29"/>
      <c r="CT1466" s="29"/>
      <c r="CU1466" s="29"/>
      <c r="CV1466" s="29"/>
      <c r="CW1466" s="29"/>
      <c r="CX1466" s="29"/>
      <c r="CY1466" s="29"/>
      <c r="CZ1466" s="29"/>
      <c r="DA1466" s="29"/>
      <c r="DB1466" s="29"/>
      <c r="DC1466" s="29"/>
      <c r="DD1466" s="29"/>
      <c r="DE1466" s="29"/>
      <c r="DF1466" s="29"/>
      <c r="DG1466" s="29"/>
      <c r="DH1466" s="29"/>
      <c r="DI1466" s="29"/>
      <c r="DJ1466" s="29"/>
      <c r="DK1466" s="29"/>
      <c r="DL1466" s="29"/>
      <c r="DM1466" s="29"/>
      <c r="DN1466" s="29"/>
      <c r="DO1466" s="29"/>
      <c r="DP1466" s="29"/>
      <c r="DQ1466" s="29"/>
      <c r="DR1466" s="29"/>
      <c r="DS1466" s="29"/>
      <c r="DT1466" s="29"/>
      <c r="DU1466" s="29"/>
      <c r="DV1466" s="29"/>
      <c r="DW1466" s="29"/>
      <c r="DX1466" s="29"/>
      <c r="DY1466" s="29"/>
      <c r="DZ1466" s="29"/>
      <c r="EA1466" s="29"/>
      <c r="EB1466" s="29"/>
      <c r="EC1466" s="29"/>
      <c r="ED1466" s="29"/>
      <c r="EE1466" s="29"/>
      <c r="EF1466" s="29"/>
      <c r="EG1466" s="29"/>
      <c r="EH1466" s="29"/>
      <c r="EI1466" s="29"/>
      <c r="EJ1466" s="29"/>
      <c r="EK1466" s="29"/>
      <c r="EL1466" s="29"/>
      <c r="EM1466" s="29"/>
      <c r="EN1466" s="29"/>
      <c r="EO1466" s="29"/>
      <c r="EP1466" s="29"/>
      <c r="EQ1466" s="29"/>
      <c r="ER1466" s="29"/>
      <c r="ES1466" s="29"/>
      <c r="ET1466" s="29"/>
      <c r="EU1466" s="29"/>
      <c r="EV1466" s="29"/>
      <c r="EW1466" s="29"/>
      <c r="EX1466" s="29"/>
      <c r="EY1466" s="29"/>
      <c r="EZ1466" s="29"/>
      <c r="FA1466" s="29"/>
      <c r="FB1466" s="29"/>
      <c r="FC1466" s="29"/>
      <c r="FD1466" s="29"/>
      <c r="FE1466" s="29"/>
      <c r="FF1466" s="29"/>
      <c r="FG1466" s="29"/>
      <c r="FH1466" s="29"/>
      <c r="FI1466" s="29"/>
      <c r="FJ1466" s="29"/>
      <c r="FK1466" s="29"/>
      <c r="FL1466" s="29"/>
      <c r="FM1466" s="29"/>
      <c r="FN1466" s="29"/>
      <c r="FO1466" s="29"/>
      <c r="FP1466" s="29"/>
      <c r="FQ1466" s="29"/>
      <c r="FR1466" s="29"/>
      <c r="FS1466" s="29"/>
      <c r="FT1466" s="29"/>
      <c r="FU1466" s="29"/>
      <c r="FV1466" s="29"/>
      <c r="FW1466" s="29"/>
      <c r="FX1466" s="29"/>
      <c r="FY1466" s="29"/>
      <c r="FZ1466" s="29"/>
      <c r="GA1466" s="29"/>
      <c r="GB1466" s="29"/>
      <c r="GC1466" s="29"/>
      <c r="GD1466" s="29"/>
      <c r="GE1466" s="29"/>
      <c r="GF1466" s="29"/>
      <c r="GG1466" s="29"/>
      <c r="GH1466" s="29"/>
      <c r="GI1466" s="29"/>
      <c r="GJ1466" s="29"/>
      <c r="GK1466" s="29"/>
      <c r="GL1466" s="29"/>
      <c r="GM1466" s="29"/>
      <c r="GN1466" s="29"/>
      <c r="GO1466" s="29"/>
      <c r="GP1466" s="29"/>
      <c r="GQ1466" s="29"/>
      <c r="GR1466" s="29"/>
      <c r="GS1466" s="29"/>
      <c r="GT1466" s="29"/>
      <c r="GU1466" s="29"/>
      <c r="GV1466" s="29"/>
      <c r="GW1466" s="29"/>
      <c r="GX1466" s="29"/>
      <c r="GY1466" s="29"/>
      <c r="GZ1466" s="29"/>
      <c r="HA1466" s="29"/>
      <c r="HB1466" s="29"/>
      <c r="HC1466" s="29"/>
      <c r="HD1466" s="29"/>
      <c r="HE1466" s="29"/>
      <c r="HF1466" s="29"/>
      <c r="HG1466" s="29"/>
      <c r="HH1466" s="29"/>
      <c r="HI1466" s="29"/>
      <c r="HJ1466" s="29"/>
      <c r="HK1466" s="29"/>
      <c r="HL1466" s="29"/>
      <c r="HM1466" s="29"/>
      <c r="HN1466" s="29"/>
      <c r="HO1466" s="29"/>
      <c r="HP1466" s="29"/>
      <c r="HQ1466" s="29"/>
      <c r="HR1466" s="29"/>
      <c r="HS1466" s="29"/>
      <c r="HT1466" s="29"/>
      <c r="HU1466" s="29"/>
      <c r="HV1466" s="29"/>
      <c r="HW1466" s="29"/>
      <c r="HX1466" s="29"/>
      <c r="HY1466" s="29"/>
      <c r="HZ1466" s="29"/>
      <c r="IA1466" s="29"/>
      <c r="IB1466" s="29"/>
      <c r="IC1466" s="29"/>
      <c r="ID1466" s="29"/>
      <c r="IE1466" s="29"/>
      <c r="IF1466" s="29"/>
      <c r="IG1466" s="29"/>
      <c r="IH1466" s="29"/>
      <c r="II1466" s="29"/>
      <c r="IJ1466" s="29"/>
      <c r="IK1466" s="29"/>
      <c r="IL1466" s="29"/>
      <c r="IM1466" s="29"/>
      <c r="IN1466" s="29"/>
      <c r="IO1466" s="29"/>
      <c r="IP1466" s="29"/>
      <c r="IQ1466" s="29"/>
      <c r="IR1466" s="29"/>
      <c r="IS1466" s="29"/>
      <c r="IT1466" s="29"/>
      <c r="IU1466" s="29"/>
      <c r="IV1466" s="29"/>
      <c r="IW1466" s="29"/>
      <c r="IX1466" s="29"/>
      <c r="IY1466" s="29"/>
      <c r="IZ1466" s="29"/>
      <c r="JA1466" s="29"/>
      <c r="JB1466" s="29"/>
      <c r="JC1466" s="29"/>
      <c r="JD1466" s="29"/>
      <c r="JE1466" s="29"/>
      <c r="JF1466" s="29"/>
      <c r="JG1466" s="29"/>
      <c r="JH1466" s="29"/>
      <c r="JI1466" s="29"/>
      <c r="JJ1466" s="29"/>
      <c r="JK1466" s="29"/>
      <c r="JL1466" s="29"/>
      <c r="JM1466" s="29"/>
      <c r="JN1466" s="29"/>
      <c r="JO1466" s="29"/>
      <c r="JP1466" s="29"/>
      <c r="JQ1466" s="29"/>
      <c r="JR1466" s="29"/>
      <c r="JS1466" s="29"/>
      <c r="JT1466" s="29"/>
      <c r="JU1466" s="29"/>
      <c r="JV1466" s="29"/>
      <c r="JW1466" s="29"/>
      <c r="JX1466" s="29"/>
      <c r="JY1466" s="29"/>
      <c r="JZ1466" s="29"/>
      <c r="KA1466" s="29"/>
      <c r="KB1466" s="29"/>
      <c r="KC1466" s="29"/>
      <c r="KD1466" s="29"/>
      <c r="KE1466" s="29"/>
      <c r="KF1466" s="29"/>
      <c r="KG1466" s="29"/>
      <c r="KH1466" s="29"/>
      <c r="KI1466" s="29"/>
      <c r="KJ1466" s="29"/>
      <c r="KK1466" s="29"/>
      <c r="KL1466" s="29"/>
      <c r="KM1466" s="29"/>
      <c r="KN1466" s="29"/>
      <c r="KO1466" s="29"/>
      <c r="KP1466" s="29"/>
      <c r="KQ1466" s="29"/>
      <c r="KR1466" s="29"/>
      <c r="KS1466" s="29"/>
      <c r="KT1466" s="29"/>
      <c r="KU1466" s="29"/>
      <c r="KV1466" s="29"/>
      <c r="KW1466" s="29"/>
      <c r="KX1466" s="29"/>
      <c r="KY1466" s="29"/>
      <c r="KZ1466" s="29"/>
      <c r="LA1466" s="29"/>
      <c r="LB1466" s="29"/>
      <c r="LC1466" s="29"/>
      <c r="LD1466" s="29"/>
      <c r="LE1466" s="29"/>
      <c r="LF1466" s="29"/>
      <c r="LG1466" s="29"/>
      <c r="LH1466" s="29"/>
      <c r="LI1466" s="29"/>
      <c r="LJ1466" s="29"/>
      <c r="LK1466" s="29"/>
      <c r="LL1466" s="29"/>
      <c r="LM1466" s="29"/>
      <c r="LN1466" s="29"/>
      <c r="LO1466" s="29"/>
      <c r="LP1466" s="29"/>
      <c r="LQ1466" s="29"/>
      <c r="LR1466" s="29"/>
      <c r="LS1466" s="29"/>
      <c r="LT1466" s="29"/>
      <c r="LU1466" s="29"/>
      <c r="LV1466" s="29"/>
      <c r="LW1466" s="29"/>
      <c r="LX1466" s="29"/>
      <c r="LY1466" s="29"/>
      <c r="LZ1466" s="29"/>
      <c r="MA1466" s="29"/>
      <c r="MB1466" s="29"/>
      <c r="MC1466" s="29"/>
      <c r="MD1466" s="29"/>
      <c r="ME1466" s="29"/>
      <c r="MF1466" s="29"/>
      <c r="MG1466" s="29"/>
      <c r="MH1466" s="29"/>
      <c r="MI1466" s="29"/>
      <c r="MJ1466" s="29"/>
      <c r="MK1466" s="29"/>
      <c r="ML1466" s="29"/>
      <c r="MM1466" s="29"/>
      <c r="MN1466" s="29"/>
      <c r="MO1466" s="29"/>
      <c r="MP1466" s="29"/>
      <c r="MQ1466" s="29"/>
      <c r="MR1466" s="29"/>
      <c r="MS1466" s="29"/>
      <c r="MT1466" s="29"/>
      <c r="MU1466" s="29"/>
      <c r="MV1466" s="29"/>
      <c r="MW1466" s="29"/>
      <c r="MX1466" s="29"/>
      <c r="MY1466" s="29"/>
      <c r="MZ1466" s="29"/>
      <c r="NA1466" s="29"/>
      <c r="NB1466" s="29"/>
      <c r="NC1466" s="29"/>
      <c r="ND1466" s="29"/>
      <c r="NE1466" s="29"/>
      <c r="NF1466" s="29"/>
      <c r="NG1466" s="29"/>
      <c r="NH1466" s="29"/>
      <c r="NI1466" s="29"/>
      <c r="NJ1466" s="29"/>
      <c r="NK1466" s="29"/>
      <c r="NL1466" s="29"/>
      <c r="NM1466" s="29"/>
      <c r="NN1466" s="29"/>
      <c r="NO1466" s="29"/>
      <c r="NP1466" s="29"/>
      <c r="NQ1466" s="29"/>
      <c r="NR1466" s="29"/>
      <c r="NS1466" s="29"/>
      <c r="NT1466" s="29"/>
      <c r="NU1466" s="29"/>
      <c r="NV1466" s="29"/>
      <c r="NW1466" s="29"/>
      <c r="NX1466" s="29"/>
      <c r="NY1466" s="29"/>
      <c r="NZ1466" s="29"/>
      <c r="OA1466" s="29"/>
      <c r="OB1466" s="29"/>
      <c r="OC1466" s="29"/>
      <c r="OD1466" s="29"/>
      <c r="OE1466" s="29"/>
      <c r="OF1466" s="29"/>
      <c r="OG1466" s="29"/>
      <c r="OH1466" s="29"/>
      <c r="OI1466" s="29"/>
      <c r="OJ1466" s="29"/>
      <c r="OK1466" s="29"/>
      <c r="OL1466" s="29"/>
      <c r="OM1466" s="29"/>
      <c r="ON1466" s="29"/>
      <c r="OO1466" s="29"/>
      <c r="OP1466" s="29"/>
      <c r="OQ1466" s="29"/>
      <c r="OR1466" s="29"/>
      <c r="OS1466" s="29"/>
      <c r="OT1466" s="29"/>
      <c r="OU1466" s="29"/>
      <c r="OV1466" s="29"/>
      <c r="OW1466" s="29"/>
      <c r="OX1466" s="29"/>
      <c r="OY1466" s="29"/>
      <c r="OZ1466" s="29"/>
      <c r="PA1466" s="29"/>
      <c r="PB1466" s="29"/>
      <c r="PC1466" s="29"/>
      <c r="PD1466" s="29"/>
      <c r="PE1466" s="29"/>
      <c r="PF1466" s="29"/>
      <c r="PG1466" s="29"/>
      <c r="PH1466" s="29"/>
      <c r="PI1466" s="29"/>
      <c r="PJ1466" s="29"/>
      <c r="PK1466" s="29"/>
      <c r="PL1466" s="29"/>
      <c r="PM1466" s="29"/>
      <c r="PN1466" s="29"/>
      <c r="PO1466" s="29"/>
      <c r="PP1466" s="29"/>
      <c r="PQ1466" s="29"/>
      <c r="PR1466" s="29"/>
      <c r="PS1466" s="29"/>
      <c r="PT1466" s="29"/>
      <c r="PU1466" s="29"/>
      <c r="PV1466" s="29"/>
      <c r="PW1466" s="29"/>
      <c r="PX1466" s="29"/>
      <c r="PY1466" s="29"/>
      <c r="PZ1466" s="29"/>
      <c r="QA1466" s="29"/>
      <c r="QB1466" s="29"/>
      <c r="QC1466" s="29"/>
      <c r="QD1466" s="29"/>
      <c r="QE1466" s="29"/>
      <c r="QF1466" s="29"/>
      <c r="QG1466" s="29"/>
      <c r="QH1466" s="29"/>
      <c r="QI1466" s="29"/>
      <c r="QJ1466" s="29"/>
      <c r="QK1466" s="29"/>
      <c r="QL1466" s="29"/>
      <c r="QM1466" s="29"/>
      <c r="QN1466" s="29"/>
      <c r="QO1466" s="29"/>
      <c r="QP1466" s="29"/>
      <c r="QQ1466" s="29"/>
      <c r="QR1466" s="29"/>
      <c r="QS1466" s="29"/>
      <c r="QT1466" s="29"/>
      <c r="QU1466" s="29"/>
      <c r="QV1466" s="29"/>
      <c r="QW1466" s="29"/>
      <c r="QX1466" s="29"/>
      <c r="QY1466" s="29"/>
      <c r="QZ1466" s="29"/>
      <c r="RA1466" s="29"/>
      <c r="RB1466" s="29"/>
      <c r="RC1466" s="29"/>
      <c r="RD1466" s="29"/>
      <c r="RE1466" s="29"/>
      <c r="RF1466" s="29"/>
      <c r="RG1466" s="29"/>
      <c r="RH1466" s="29"/>
      <c r="RI1466" s="29"/>
      <c r="RJ1466" s="29"/>
      <c r="RK1466" s="29"/>
      <c r="RL1466" s="29"/>
      <c r="RM1466" s="29"/>
      <c r="RN1466" s="29"/>
      <c r="RO1466" s="29"/>
      <c r="RP1466" s="29"/>
      <c r="RQ1466" s="29"/>
      <c r="RR1466" s="29"/>
      <c r="RS1466" s="29"/>
      <c r="RT1466" s="29"/>
      <c r="RU1466" s="29"/>
      <c r="RV1466" s="29"/>
      <c r="RW1466" s="29"/>
      <c r="RX1466" s="29"/>
      <c r="RY1466" s="29"/>
      <c r="RZ1466" s="29"/>
      <c r="SA1466" s="29"/>
      <c r="SB1466" s="29"/>
      <c r="SC1466" s="29"/>
      <c r="SD1466" s="29"/>
      <c r="SE1466" s="29"/>
      <c r="SF1466" s="29"/>
      <c r="SG1466" s="29"/>
      <c r="SH1466" s="29"/>
      <c r="SI1466" s="29"/>
      <c r="SJ1466" s="29"/>
      <c r="SK1466" s="29"/>
      <c r="SL1466" s="29"/>
      <c r="SM1466" s="29"/>
      <c r="SN1466" s="29"/>
      <c r="SO1466" s="29"/>
      <c r="SP1466" s="29"/>
      <c r="SQ1466" s="29"/>
      <c r="SR1466" s="29"/>
      <c r="SS1466" s="29"/>
      <c r="ST1466" s="29"/>
      <c r="SU1466" s="29"/>
      <c r="SV1466" s="29"/>
      <c r="SW1466" s="29"/>
      <c r="SX1466" s="29"/>
      <c r="SY1466" s="29"/>
      <c r="SZ1466" s="29"/>
      <c r="TA1466" s="29"/>
      <c r="TB1466" s="29"/>
      <c r="TC1466" s="29"/>
      <c r="TD1466" s="29"/>
      <c r="TE1466" s="29"/>
      <c r="TF1466" s="29"/>
      <c r="TG1466" s="29"/>
      <c r="TH1466" s="29"/>
      <c r="TI1466" s="29"/>
      <c r="TJ1466" s="29"/>
      <c r="TK1466" s="29"/>
      <c r="TL1466" s="29"/>
      <c r="TM1466" s="29"/>
      <c r="TN1466" s="29"/>
      <c r="TO1466" s="29"/>
      <c r="TP1466" s="29"/>
      <c r="TQ1466" s="29"/>
      <c r="TR1466" s="29"/>
      <c r="TS1466" s="29"/>
      <c r="TT1466" s="29"/>
      <c r="TU1466" s="29"/>
      <c r="TV1466" s="29"/>
      <c r="TW1466" s="29"/>
      <c r="TX1466" s="29"/>
      <c r="TY1466" s="29"/>
      <c r="TZ1466" s="29"/>
      <c r="UA1466" s="29"/>
      <c r="UB1466" s="29"/>
      <c r="UC1466" s="29"/>
      <c r="UD1466" s="29"/>
      <c r="UE1466" s="29"/>
      <c r="UF1466" s="29"/>
      <c r="UG1466" s="29"/>
    </row>
    <row r="1467" spans="1:553" ht="29.5" customHeight="1">
      <c r="A1467" s="356" t="s">
        <v>15</v>
      </c>
      <c r="B1467" s="385" t="s">
        <v>37</v>
      </c>
      <c r="C1467" s="1397" t="s">
        <v>797</v>
      </c>
      <c r="D1467" s="1389"/>
      <c r="E1467" s="1389"/>
      <c r="F1467" s="1390"/>
      <c r="G1467" s="417" t="s">
        <v>1303</v>
      </c>
      <c r="H1467" s="370"/>
      <c r="I1467" s="422">
        <f>15*8</f>
        <v>120</v>
      </c>
      <c r="J1467" s="368">
        <v>137200</v>
      </c>
      <c r="K1467" s="371"/>
      <c r="L1467" s="487">
        <f t="shared" si="222"/>
        <v>16464000</v>
      </c>
      <c r="M1467" s="395"/>
      <c r="N1467" s="395"/>
      <c r="O1467" s="366"/>
      <c r="P1467" s="396"/>
      <c r="Q1467" s="473"/>
      <c r="R1467" s="1039"/>
      <c r="S1467" s="308"/>
      <c r="T1467" s="308"/>
      <c r="U1467" s="308"/>
      <c r="V1467" s="308"/>
      <c r="W1467" s="308"/>
      <c r="X1467" s="308"/>
      <c r="Y1467" s="308"/>
      <c r="Z1467" s="604"/>
      <c r="AA1467" s="308"/>
      <c r="AB1467" s="308"/>
      <c r="AC1467" s="486"/>
      <c r="AD1467" s="486"/>
      <c r="AE1467" s="486"/>
      <c r="AF1467" s="486"/>
      <c r="AG1467" s="486"/>
      <c r="AH1467" s="486"/>
      <c r="AI1467" s="486"/>
      <c r="AJ1467" s="486"/>
      <c r="AK1467" s="486"/>
      <c r="AL1467" s="206"/>
      <c r="AM1467" s="29"/>
      <c r="AN1467" s="29"/>
      <c r="AO1467" s="29"/>
      <c r="AP1467" s="29"/>
      <c r="AQ1467" s="29"/>
      <c r="AR1467" s="29"/>
      <c r="AS1467" s="29"/>
      <c r="AT1467" s="29"/>
      <c r="AU1467" s="29"/>
      <c r="AV1467" s="29"/>
      <c r="AW1467" s="29"/>
      <c r="AX1467" s="29"/>
      <c r="AY1467" s="29"/>
      <c r="AZ1467" s="29"/>
      <c r="BA1467" s="29"/>
      <c r="BB1467" s="29"/>
      <c r="BC1467" s="29"/>
      <c r="BD1467" s="29"/>
      <c r="BE1467" s="29"/>
      <c r="BF1467" s="29"/>
      <c r="BG1467" s="29"/>
      <c r="BH1467" s="29"/>
      <c r="BI1467" s="29"/>
      <c r="BJ1467" s="29"/>
      <c r="BK1467" s="29"/>
      <c r="BL1467" s="29"/>
      <c r="BM1467" s="29"/>
      <c r="BN1467" s="29"/>
      <c r="BO1467" s="29"/>
      <c r="BP1467" s="29"/>
      <c r="BQ1467" s="29"/>
      <c r="BR1467" s="29"/>
      <c r="BS1467" s="29"/>
      <c r="BT1467" s="29"/>
      <c r="BU1467" s="29"/>
      <c r="BV1467" s="29"/>
      <c r="BW1467" s="29"/>
      <c r="BX1467" s="29"/>
      <c r="BY1467" s="29"/>
      <c r="BZ1467" s="29"/>
      <c r="CA1467" s="29"/>
      <c r="CB1467" s="29"/>
      <c r="CC1467" s="29"/>
      <c r="CD1467" s="29"/>
      <c r="CE1467" s="29"/>
      <c r="CF1467" s="29"/>
      <c r="CG1467" s="29"/>
      <c r="CH1467" s="29"/>
      <c r="CI1467" s="29"/>
      <c r="CJ1467" s="29"/>
      <c r="CK1467" s="29"/>
      <c r="CL1467" s="29"/>
      <c r="CM1467" s="29"/>
      <c r="CN1467" s="29"/>
      <c r="CO1467" s="29"/>
      <c r="CP1467" s="29"/>
      <c r="CQ1467" s="29"/>
      <c r="CR1467" s="29"/>
      <c r="CS1467" s="29"/>
      <c r="CT1467" s="29"/>
      <c r="CU1467" s="29"/>
      <c r="CV1467" s="29"/>
      <c r="CW1467" s="29"/>
      <c r="CX1467" s="29"/>
      <c r="CY1467" s="29"/>
      <c r="CZ1467" s="29"/>
      <c r="DA1467" s="29"/>
      <c r="DB1467" s="29"/>
      <c r="DC1467" s="29"/>
      <c r="DD1467" s="29"/>
      <c r="DE1467" s="29"/>
      <c r="DF1467" s="29"/>
      <c r="DG1467" s="29"/>
      <c r="DH1467" s="29"/>
      <c r="DI1467" s="29"/>
      <c r="DJ1467" s="29"/>
      <c r="DK1467" s="29"/>
      <c r="DL1467" s="29"/>
      <c r="DM1467" s="29"/>
      <c r="DN1467" s="29"/>
      <c r="DO1467" s="29"/>
      <c r="DP1467" s="29"/>
      <c r="DQ1467" s="29"/>
      <c r="DR1467" s="29"/>
      <c r="DS1467" s="29"/>
      <c r="DT1467" s="29"/>
      <c r="DU1467" s="29"/>
      <c r="DV1467" s="29"/>
      <c r="DW1467" s="29"/>
      <c r="DX1467" s="29"/>
      <c r="DY1467" s="29"/>
      <c r="DZ1467" s="29"/>
      <c r="EA1467" s="29"/>
      <c r="EB1467" s="29"/>
      <c r="EC1467" s="29"/>
      <c r="ED1467" s="29"/>
      <c r="EE1467" s="29"/>
      <c r="EF1467" s="29"/>
      <c r="EG1467" s="29"/>
      <c r="EH1467" s="29"/>
      <c r="EI1467" s="29"/>
      <c r="EJ1467" s="29"/>
      <c r="EK1467" s="29"/>
      <c r="EL1467" s="29"/>
      <c r="EM1467" s="29"/>
      <c r="EN1467" s="29"/>
      <c r="EO1467" s="29"/>
      <c r="EP1467" s="29"/>
      <c r="EQ1467" s="29"/>
      <c r="ER1467" s="29"/>
      <c r="ES1467" s="29"/>
      <c r="ET1467" s="29"/>
      <c r="EU1467" s="29"/>
      <c r="EV1467" s="29"/>
      <c r="EW1467" s="29"/>
      <c r="EX1467" s="29"/>
      <c r="EY1467" s="29"/>
      <c r="EZ1467" s="29"/>
      <c r="FA1467" s="29"/>
      <c r="FB1467" s="29"/>
      <c r="FC1467" s="29"/>
      <c r="FD1467" s="29"/>
      <c r="FE1467" s="29"/>
      <c r="FF1467" s="29"/>
      <c r="FG1467" s="29"/>
      <c r="FH1467" s="29"/>
      <c r="FI1467" s="29"/>
      <c r="FJ1467" s="29"/>
      <c r="FK1467" s="29"/>
      <c r="FL1467" s="29"/>
      <c r="FM1467" s="29"/>
      <c r="FN1467" s="29"/>
      <c r="FO1467" s="29"/>
      <c r="FP1467" s="29"/>
      <c r="FQ1467" s="29"/>
      <c r="FR1467" s="29"/>
      <c r="FS1467" s="29"/>
      <c r="FT1467" s="29"/>
      <c r="FU1467" s="29"/>
      <c r="FV1467" s="29"/>
      <c r="FW1467" s="29"/>
      <c r="FX1467" s="29"/>
      <c r="FY1467" s="29"/>
      <c r="FZ1467" s="29"/>
      <c r="GA1467" s="29"/>
      <c r="GB1467" s="29"/>
      <c r="GC1467" s="29"/>
      <c r="GD1467" s="29"/>
      <c r="GE1467" s="29"/>
      <c r="GF1467" s="29"/>
      <c r="GG1467" s="29"/>
      <c r="GH1467" s="29"/>
      <c r="GI1467" s="29"/>
      <c r="GJ1467" s="29"/>
      <c r="GK1467" s="29"/>
      <c r="GL1467" s="29"/>
      <c r="GM1467" s="29"/>
      <c r="GN1467" s="29"/>
      <c r="GO1467" s="29"/>
      <c r="GP1467" s="29"/>
      <c r="GQ1467" s="29"/>
      <c r="GR1467" s="29"/>
      <c r="GS1467" s="29"/>
      <c r="GT1467" s="29"/>
      <c r="GU1467" s="29"/>
      <c r="GV1467" s="29"/>
      <c r="GW1467" s="29"/>
      <c r="GX1467" s="29"/>
      <c r="GY1467" s="29"/>
      <c r="GZ1467" s="29"/>
      <c r="HA1467" s="29"/>
      <c r="HB1467" s="29"/>
      <c r="HC1467" s="29"/>
      <c r="HD1467" s="29"/>
      <c r="HE1467" s="29"/>
      <c r="HF1467" s="29"/>
      <c r="HG1467" s="29"/>
      <c r="HH1467" s="29"/>
      <c r="HI1467" s="29"/>
      <c r="HJ1467" s="29"/>
      <c r="HK1467" s="29"/>
      <c r="HL1467" s="29"/>
      <c r="HM1467" s="29"/>
      <c r="HN1467" s="29"/>
      <c r="HO1467" s="29"/>
      <c r="HP1467" s="29"/>
      <c r="HQ1467" s="29"/>
      <c r="HR1467" s="29"/>
      <c r="HS1467" s="29"/>
      <c r="HT1467" s="29"/>
      <c r="HU1467" s="29"/>
      <c r="HV1467" s="29"/>
      <c r="HW1467" s="29"/>
      <c r="HX1467" s="29"/>
      <c r="HY1467" s="29"/>
      <c r="HZ1467" s="29"/>
      <c r="IA1467" s="29"/>
      <c r="IB1467" s="29"/>
      <c r="IC1467" s="29"/>
      <c r="ID1467" s="29"/>
      <c r="IE1467" s="29"/>
      <c r="IF1467" s="29"/>
      <c r="IG1467" s="29"/>
      <c r="IH1467" s="29"/>
      <c r="II1467" s="29"/>
      <c r="IJ1467" s="29"/>
      <c r="IK1467" s="29"/>
      <c r="IL1467" s="29"/>
      <c r="IM1467" s="29"/>
      <c r="IN1467" s="29"/>
      <c r="IO1467" s="29"/>
      <c r="IP1467" s="29"/>
      <c r="IQ1467" s="29"/>
      <c r="IR1467" s="29"/>
      <c r="IS1467" s="29"/>
      <c r="IT1467" s="29"/>
      <c r="IU1467" s="29"/>
      <c r="IV1467" s="29"/>
      <c r="IW1467" s="29"/>
      <c r="IX1467" s="29"/>
      <c r="IY1467" s="29"/>
      <c r="IZ1467" s="29"/>
      <c r="JA1467" s="29"/>
      <c r="JB1467" s="29"/>
      <c r="JC1467" s="29"/>
      <c r="JD1467" s="29"/>
      <c r="JE1467" s="29"/>
      <c r="JF1467" s="29"/>
      <c r="JG1467" s="29"/>
      <c r="JH1467" s="29"/>
      <c r="JI1467" s="29"/>
      <c r="JJ1467" s="29"/>
      <c r="JK1467" s="29"/>
      <c r="JL1467" s="29"/>
      <c r="JM1467" s="29"/>
      <c r="JN1467" s="29"/>
      <c r="JO1467" s="29"/>
      <c r="JP1467" s="29"/>
      <c r="JQ1467" s="29"/>
      <c r="JR1467" s="29"/>
      <c r="JS1467" s="29"/>
      <c r="JT1467" s="29"/>
      <c r="JU1467" s="29"/>
      <c r="JV1467" s="29"/>
      <c r="JW1467" s="29"/>
      <c r="JX1467" s="29"/>
      <c r="JY1467" s="29"/>
      <c r="JZ1467" s="29"/>
      <c r="KA1467" s="29"/>
      <c r="KB1467" s="29"/>
      <c r="KC1467" s="29"/>
      <c r="KD1467" s="29"/>
      <c r="KE1467" s="29"/>
      <c r="KF1467" s="29"/>
      <c r="KG1467" s="29"/>
      <c r="KH1467" s="29"/>
      <c r="KI1467" s="29"/>
      <c r="KJ1467" s="29"/>
      <c r="KK1467" s="29"/>
      <c r="KL1467" s="29"/>
      <c r="KM1467" s="29"/>
      <c r="KN1467" s="29"/>
      <c r="KO1467" s="29"/>
      <c r="KP1467" s="29"/>
      <c r="KQ1467" s="29"/>
      <c r="KR1467" s="29"/>
      <c r="KS1467" s="29"/>
      <c r="KT1467" s="29"/>
      <c r="KU1467" s="29"/>
      <c r="KV1467" s="29"/>
      <c r="KW1467" s="29"/>
      <c r="KX1467" s="29"/>
      <c r="KY1467" s="29"/>
      <c r="KZ1467" s="29"/>
      <c r="LA1467" s="29"/>
      <c r="LB1467" s="29"/>
      <c r="LC1467" s="29"/>
      <c r="LD1467" s="29"/>
      <c r="LE1467" s="29"/>
      <c r="LF1467" s="29"/>
      <c r="LG1467" s="29"/>
      <c r="LH1467" s="29"/>
      <c r="LI1467" s="29"/>
      <c r="LJ1467" s="29"/>
      <c r="LK1467" s="29"/>
      <c r="LL1467" s="29"/>
      <c r="LM1467" s="29"/>
      <c r="LN1467" s="29"/>
      <c r="LO1467" s="29"/>
      <c r="LP1467" s="29"/>
      <c r="LQ1467" s="29"/>
      <c r="LR1467" s="29"/>
      <c r="LS1467" s="29"/>
      <c r="LT1467" s="29"/>
      <c r="LU1467" s="29"/>
      <c r="LV1467" s="29"/>
      <c r="LW1467" s="29"/>
      <c r="LX1467" s="29"/>
      <c r="LY1467" s="29"/>
      <c r="LZ1467" s="29"/>
      <c r="MA1467" s="29"/>
      <c r="MB1467" s="29"/>
      <c r="MC1467" s="29"/>
      <c r="MD1467" s="29"/>
      <c r="ME1467" s="29"/>
      <c r="MF1467" s="29"/>
      <c r="MG1467" s="29"/>
      <c r="MH1467" s="29"/>
      <c r="MI1467" s="29"/>
      <c r="MJ1467" s="29"/>
      <c r="MK1467" s="29"/>
      <c r="ML1467" s="29"/>
      <c r="MM1467" s="29"/>
      <c r="MN1467" s="29"/>
      <c r="MO1467" s="29"/>
      <c r="MP1467" s="29"/>
      <c r="MQ1467" s="29"/>
      <c r="MR1467" s="29"/>
      <c r="MS1467" s="29"/>
      <c r="MT1467" s="29"/>
      <c r="MU1467" s="29"/>
      <c r="MV1467" s="29"/>
      <c r="MW1467" s="29"/>
      <c r="MX1467" s="29"/>
      <c r="MY1467" s="29"/>
      <c r="MZ1467" s="29"/>
      <c r="NA1467" s="29"/>
      <c r="NB1467" s="29"/>
      <c r="NC1467" s="29"/>
      <c r="ND1467" s="29"/>
      <c r="NE1467" s="29"/>
      <c r="NF1467" s="29"/>
      <c r="NG1467" s="29"/>
      <c r="NH1467" s="29"/>
      <c r="NI1467" s="29"/>
      <c r="NJ1467" s="29"/>
      <c r="NK1467" s="29"/>
      <c r="NL1467" s="29"/>
      <c r="NM1467" s="29"/>
      <c r="NN1467" s="29"/>
      <c r="NO1467" s="29"/>
      <c r="NP1467" s="29"/>
      <c r="NQ1467" s="29"/>
      <c r="NR1467" s="29"/>
      <c r="NS1467" s="29"/>
      <c r="NT1467" s="29"/>
      <c r="NU1467" s="29"/>
      <c r="NV1467" s="29"/>
      <c r="NW1467" s="29"/>
      <c r="NX1467" s="29"/>
      <c r="NY1467" s="29"/>
      <c r="NZ1467" s="29"/>
      <c r="OA1467" s="29"/>
      <c r="OB1467" s="29"/>
      <c r="OC1467" s="29"/>
      <c r="OD1467" s="29"/>
      <c r="OE1467" s="29"/>
      <c r="OF1467" s="29"/>
      <c r="OG1467" s="29"/>
      <c r="OH1467" s="29"/>
      <c r="OI1467" s="29"/>
      <c r="OJ1467" s="29"/>
      <c r="OK1467" s="29"/>
      <c r="OL1467" s="29"/>
      <c r="OM1467" s="29"/>
      <c r="ON1467" s="29"/>
      <c r="OO1467" s="29"/>
      <c r="OP1467" s="29"/>
      <c r="OQ1467" s="29"/>
      <c r="OR1467" s="29"/>
      <c r="OS1467" s="29"/>
      <c r="OT1467" s="29"/>
      <c r="OU1467" s="29"/>
      <c r="OV1467" s="29"/>
      <c r="OW1467" s="29"/>
      <c r="OX1467" s="29"/>
      <c r="OY1467" s="29"/>
      <c r="OZ1467" s="29"/>
      <c r="PA1467" s="29"/>
      <c r="PB1467" s="29"/>
      <c r="PC1467" s="29"/>
      <c r="PD1467" s="29"/>
      <c r="PE1467" s="29"/>
      <c r="PF1467" s="29"/>
      <c r="PG1467" s="29"/>
      <c r="PH1467" s="29"/>
      <c r="PI1467" s="29"/>
      <c r="PJ1467" s="29"/>
      <c r="PK1467" s="29"/>
      <c r="PL1467" s="29"/>
      <c r="PM1467" s="29"/>
      <c r="PN1467" s="29"/>
      <c r="PO1467" s="29"/>
      <c r="PP1467" s="29"/>
      <c r="PQ1467" s="29"/>
      <c r="PR1467" s="29"/>
      <c r="PS1467" s="29"/>
      <c r="PT1467" s="29"/>
      <c r="PU1467" s="29"/>
      <c r="PV1467" s="29"/>
      <c r="PW1467" s="29"/>
      <c r="PX1467" s="29"/>
      <c r="PY1467" s="29"/>
      <c r="PZ1467" s="29"/>
      <c r="QA1467" s="29"/>
      <c r="QB1467" s="29"/>
      <c r="QC1467" s="29"/>
      <c r="QD1467" s="29"/>
      <c r="QE1467" s="29"/>
      <c r="QF1467" s="29"/>
      <c r="QG1467" s="29"/>
      <c r="QH1467" s="29"/>
      <c r="QI1467" s="29"/>
      <c r="QJ1467" s="29"/>
      <c r="QK1467" s="29"/>
      <c r="QL1467" s="29"/>
      <c r="QM1467" s="29"/>
      <c r="QN1467" s="29"/>
      <c r="QO1467" s="29"/>
      <c r="QP1467" s="29"/>
      <c r="QQ1467" s="29"/>
      <c r="QR1467" s="29"/>
      <c r="QS1467" s="29"/>
      <c r="QT1467" s="29"/>
      <c r="QU1467" s="29"/>
      <c r="QV1467" s="29"/>
      <c r="QW1467" s="29"/>
      <c r="QX1467" s="29"/>
      <c r="QY1467" s="29"/>
      <c r="QZ1467" s="29"/>
      <c r="RA1467" s="29"/>
      <c r="RB1467" s="29"/>
      <c r="RC1467" s="29"/>
      <c r="RD1467" s="29"/>
      <c r="RE1467" s="29"/>
      <c r="RF1467" s="29"/>
      <c r="RG1467" s="29"/>
      <c r="RH1467" s="29"/>
      <c r="RI1467" s="29"/>
      <c r="RJ1467" s="29"/>
      <c r="RK1467" s="29"/>
      <c r="RL1467" s="29"/>
      <c r="RM1467" s="29"/>
      <c r="RN1467" s="29"/>
      <c r="RO1467" s="29"/>
      <c r="RP1467" s="29"/>
      <c r="RQ1467" s="29"/>
      <c r="RR1467" s="29"/>
      <c r="RS1467" s="29"/>
      <c r="RT1467" s="29"/>
      <c r="RU1467" s="29"/>
      <c r="RV1467" s="29"/>
      <c r="RW1467" s="29"/>
      <c r="RX1467" s="29"/>
      <c r="RY1467" s="29"/>
      <c r="RZ1467" s="29"/>
      <c r="SA1467" s="29"/>
      <c r="SB1467" s="29"/>
      <c r="SC1467" s="29"/>
      <c r="SD1467" s="29"/>
      <c r="SE1467" s="29"/>
      <c r="SF1467" s="29"/>
      <c r="SG1467" s="29"/>
      <c r="SH1467" s="29"/>
      <c r="SI1467" s="29"/>
      <c r="SJ1467" s="29"/>
      <c r="SK1467" s="29"/>
      <c r="SL1467" s="29"/>
      <c r="SM1467" s="29"/>
      <c r="SN1467" s="29"/>
      <c r="SO1467" s="29"/>
      <c r="SP1467" s="29"/>
      <c r="SQ1467" s="29"/>
      <c r="SR1467" s="29"/>
      <c r="SS1467" s="29"/>
      <c r="ST1467" s="29"/>
      <c r="SU1467" s="29"/>
      <c r="SV1467" s="29"/>
      <c r="SW1467" s="29"/>
      <c r="SX1467" s="29"/>
      <c r="SY1467" s="29"/>
      <c r="SZ1467" s="29"/>
      <c r="TA1467" s="29"/>
      <c r="TB1467" s="29"/>
      <c r="TC1467" s="29"/>
      <c r="TD1467" s="29"/>
      <c r="TE1467" s="29"/>
      <c r="TF1467" s="29"/>
      <c r="TG1467" s="29"/>
      <c r="TH1467" s="29"/>
      <c r="TI1467" s="29"/>
      <c r="TJ1467" s="29"/>
      <c r="TK1467" s="29"/>
      <c r="TL1467" s="29"/>
      <c r="TM1467" s="29"/>
      <c r="TN1467" s="29"/>
      <c r="TO1467" s="29"/>
      <c r="TP1467" s="29"/>
      <c r="TQ1467" s="29"/>
      <c r="TR1467" s="29"/>
      <c r="TS1467" s="29"/>
      <c r="TT1467" s="29"/>
      <c r="TU1467" s="29"/>
      <c r="TV1467" s="29"/>
      <c r="TW1467" s="29"/>
      <c r="TX1467" s="29"/>
      <c r="TY1467" s="29"/>
      <c r="TZ1467" s="29"/>
      <c r="UA1467" s="29"/>
      <c r="UB1467" s="29"/>
      <c r="UC1467" s="29"/>
      <c r="UD1467" s="29"/>
      <c r="UE1467" s="29"/>
      <c r="UF1467" s="29"/>
      <c r="UG1467" s="29"/>
    </row>
    <row r="1468" spans="1:553" ht="37.15" customHeight="1">
      <c r="A1468" s="356" t="s">
        <v>15</v>
      </c>
      <c r="B1468" s="385" t="s">
        <v>40</v>
      </c>
      <c r="C1468" s="1397" t="s">
        <v>798</v>
      </c>
      <c r="D1468" s="1389"/>
      <c r="E1468" s="1389"/>
      <c r="F1468" s="1390"/>
      <c r="G1468" s="417" t="s">
        <v>1303</v>
      </c>
      <c r="H1468" s="370"/>
      <c r="I1468" s="834">
        <f>8*6</f>
        <v>48</v>
      </c>
      <c r="J1468" s="368">
        <v>173400</v>
      </c>
      <c r="K1468" s="371"/>
      <c r="L1468" s="487">
        <f t="shared" si="222"/>
        <v>8323200</v>
      </c>
      <c r="M1468" s="395"/>
      <c r="N1468" s="395"/>
      <c r="O1468" s="366"/>
      <c r="P1468" s="396"/>
      <c r="Q1468" s="473"/>
      <c r="R1468" s="1039"/>
      <c r="S1468" s="308"/>
      <c r="T1468" s="308"/>
      <c r="U1468" s="308"/>
      <c r="V1468" s="308"/>
      <c r="W1468" s="308"/>
      <c r="X1468" s="308"/>
      <c r="Y1468" s="308"/>
      <c r="Z1468" s="604"/>
      <c r="AA1468" s="308"/>
      <c r="AB1468" s="308"/>
      <c r="AC1468" s="486"/>
      <c r="AD1468" s="486"/>
      <c r="AE1468" s="486"/>
      <c r="AF1468" s="486"/>
      <c r="AG1468" s="486"/>
      <c r="AH1468" s="486"/>
      <c r="AI1468" s="486"/>
      <c r="AJ1468" s="486"/>
      <c r="AK1468" s="486"/>
      <c r="AL1468" s="206"/>
      <c r="AM1468" s="29"/>
      <c r="AN1468" s="29"/>
      <c r="AO1468" s="29"/>
      <c r="AP1468" s="29"/>
      <c r="AQ1468" s="29"/>
      <c r="AR1468" s="29"/>
      <c r="AS1468" s="29"/>
      <c r="AT1468" s="29"/>
      <c r="AU1468" s="29"/>
      <c r="AV1468" s="29"/>
      <c r="AW1468" s="29"/>
      <c r="AX1468" s="29"/>
      <c r="AY1468" s="29"/>
      <c r="AZ1468" s="29"/>
      <c r="BA1468" s="29"/>
      <c r="BB1468" s="29"/>
      <c r="BC1468" s="29"/>
      <c r="BD1468" s="29"/>
      <c r="BE1468" s="29"/>
      <c r="BF1468" s="29"/>
      <c r="BG1468" s="29"/>
      <c r="BH1468" s="29"/>
      <c r="BI1468" s="29"/>
      <c r="BJ1468" s="29"/>
      <c r="BK1468" s="29"/>
      <c r="BL1468" s="29"/>
      <c r="BM1468" s="29"/>
      <c r="BN1468" s="29"/>
      <c r="BO1468" s="29"/>
      <c r="BP1468" s="29"/>
      <c r="BQ1468" s="29"/>
      <c r="BR1468" s="29"/>
      <c r="BS1468" s="29"/>
      <c r="BT1468" s="29"/>
      <c r="BU1468" s="29"/>
      <c r="BV1468" s="29"/>
      <c r="BW1468" s="29"/>
      <c r="BX1468" s="29"/>
      <c r="BY1468" s="29"/>
      <c r="BZ1468" s="29"/>
      <c r="CA1468" s="29"/>
      <c r="CB1468" s="29"/>
      <c r="CC1468" s="29"/>
      <c r="CD1468" s="29"/>
      <c r="CE1468" s="29"/>
      <c r="CF1468" s="29"/>
      <c r="CG1468" s="29"/>
      <c r="CH1468" s="29"/>
      <c r="CI1468" s="29"/>
      <c r="CJ1468" s="29"/>
      <c r="CK1468" s="29"/>
      <c r="CL1468" s="29"/>
      <c r="CM1468" s="29"/>
      <c r="CN1468" s="29"/>
      <c r="CO1468" s="29"/>
      <c r="CP1468" s="29"/>
      <c r="CQ1468" s="29"/>
      <c r="CR1468" s="29"/>
      <c r="CS1468" s="29"/>
      <c r="CT1468" s="29"/>
      <c r="CU1468" s="29"/>
      <c r="CV1468" s="29"/>
      <c r="CW1468" s="29"/>
      <c r="CX1468" s="29"/>
      <c r="CY1468" s="29"/>
      <c r="CZ1468" s="29"/>
      <c r="DA1468" s="29"/>
      <c r="DB1468" s="29"/>
      <c r="DC1468" s="29"/>
      <c r="DD1468" s="29"/>
      <c r="DE1468" s="29"/>
      <c r="DF1468" s="29"/>
      <c r="DG1468" s="29"/>
      <c r="DH1468" s="29"/>
      <c r="DI1468" s="29"/>
      <c r="DJ1468" s="29"/>
      <c r="DK1468" s="29"/>
      <c r="DL1468" s="29"/>
      <c r="DM1468" s="29"/>
      <c r="DN1468" s="29"/>
      <c r="DO1468" s="29"/>
      <c r="DP1468" s="29"/>
      <c r="DQ1468" s="29"/>
      <c r="DR1468" s="29"/>
      <c r="DS1468" s="29"/>
      <c r="DT1468" s="29"/>
      <c r="DU1468" s="29"/>
      <c r="DV1468" s="29"/>
      <c r="DW1468" s="29"/>
      <c r="DX1468" s="29"/>
      <c r="DY1468" s="29"/>
      <c r="DZ1468" s="29"/>
      <c r="EA1468" s="29"/>
      <c r="EB1468" s="29"/>
      <c r="EC1468" s="29"/>
      <c r="ED1468" s="29"/>
      <c r="EE1468" s="29"/>
      <c r="EF1468" s="29"/>
      <c r="EG1468" s="29"/>
      <c r="EH1468" s="29"/>
      <c r="EI1468" s="29"/>
      <c r="EJ1468" s="29"/>
      <c r="EK1468" s="29"/>
      <c r="EL1468" s="29"/>
      <c r="EM1468" s="29"/>
      <c r="EN1468" s="29"/>
      <c r="EO1468" s="29"/>
      <c r="EP1468" s="29"/>
      <c r="EQ1468" s="29"/>
      <c r="ER1468" s="29"/>
      <c r="ES1468" s="29"/>
      <c r="ET1468" s="29"/>
      <c r="EU1468" s="29"/>
      <c r="EV1468" s="29"/>
      <c r="EW1468" s="29"/>
      <c r="EX1468" s="29"/>
      <c r="EY1468" s="29"/>
      <c r="EZ1468" s="29"/>
      <c r="FA1468" s="29"/>
      <c r="FB1468" s="29"/>
      <c r="FC1468" s="29"/>
      <c r="FD1468" s="29"/>
      <c r="FE1468" s="29"/>
      <c r="FF1468" s="29"/>
      <c r="FG1468" s="29"/>
      <c r="FH1468" s="29"/>
      <c r="FI1468" s="29"/>
      <c r="FJ1468" s="29"/>
      <c r="FK1468" s="29"/>
      <c r="FL1468" s="29"/>
      <c r="FM1468" s="29"/>
      <c r="FN1468" s="29"/>
      <c r="FO1468" s="29"/>
      <c r="FP1468" s="29"/>
      <c r="FQ1468" s="29"/>
      <c r="FR1468" s="29"/>
      <c r="FS1468" s="29"/>
      <c r="FT1468" s="29"/>
      <c r="FU1468" s="29"/>
      <c r="FV1468" s="29"/>
      <c r="FW1468" s="29"/>
      <c r="FX1468" s="29"/>
      <c r="FY1468" s="29"/>
      <c r="FZ1468" s="29"/>
      <c r="GA1468" s="29"/>
      <c r="GB1468" s="29"/>
      <c r="GC1468" s="29"/>
      <c r="GD1468" s="29"/>
      <c r="GE1468" s="29"/>
      <c r="GF1468" s="29"/>
      <c r="GG1468" s="29"/>
      <c r="GH1468" s="29"/>
      <c r="GI1468" s="29"/>
      <c r="GJ1468" s="29"/>
      <c r="GK1468" s="29"/>
      <c r="GL1468" s="29"/>
      <c r="GM1468" s="29"/>
      <c r="GN1468" s="29"/>
      <c r="GO1468" s="29"/>
      <c r="GP1468" s="29"/>
      <c r="GQ1468" s="29"/>
      <c r="GR1468" s="29"/>
      <c r="GS1468" s="29"/>
      <c r="GT1468" s="29"/>
      <c r="GU1468" s="29"/>
      <c r="GV1468" s="29"/>
      <c r="GW1468" s="29"/>
      <c r="GX1468" s="29"/>
      <c r="GY1468" s="29"/>
      <c r="GZ1468" s="29"/>
      <c r="HA1468" s="29"/>
      <c r="HB1468" s="29"/>
      <c r="HC1468" s="29"/>
      <c r="HD1468" s="29"/>
      <c r="HE1468" s="29"/>
      <c r="HF1468" s="29"/>
      <c r="HG1468" s="29"/>
      <c r="HH1468" s="29"/>
      <c r="HI1468" s="29"/>
      <c r="HJ1468" s="29"/>
      <c r="HK1468" s="29"/>
      <c r="HL1468" s="29"/>
      <c r="HM1468" s="29"/>
      <c r="HN1468" s="29"/>
      <c r="HO1468" s="29"/>
      <c r="HP1468" s="29"/>
      <c r="HQ1468" s="29"/>
      <c r="HR1468" s="29"/>
      <c r="HS1468" s="29"/>
      <c r="HT1468" s="29"/>
      <c r="HU1468" s="29"/>
      <c r="HV1468" s="29"/>
      <c r="HW1468" s="29"/>
      <c r="HX1468" s="29"/>
      <c r="HY1468" s="29"/>
      <c r="HZ1468" s="29"/>
      <c r="IA1468" s="29"/>
      <c r="IB1468" s="29"/>
      <c r="IC1468" s="29"/>
      <c r="ID1468" s="29"/>
      <c r="IE1468" s="29"/>
      <c r="IF1468" s="29"/>
      <c r="IG1468" s="29"/>
      <c r="IH1468" s="29"/>
      <c r="II1468" s="29"/>
      <c r="IJ1468" s="29"/>
      <c r="IK1468" s="29"/>
      <c r="IL1468" s="29"/>
      <c r="IM1468" s="29"/>
      <c r="IN1468" s="29"/>
      <c r="IO1468" s="29"/>
      <c r="IP1468" s="29"/>
      <c r="IQ1468" s="29"/>
      <c r="IR1468" s="29"/>
      <c r="IS1468" s="29"/>
      <c r="IT1468" s="29"/>
      <c r="IU1468" s="29"/>
      <c r="IV1468" s="29"/>
      <c r="IW1468" s="29"/>
      <c r="IX1468" s="29"/>
      <c r="IY1468" s="29"/>
      <c r="IZ1468" s="29"/>
      <c r="JA1468" s="29"/>
      <c r="JB1468" s="29"/>
      <c r="JC1468" s="29"/>
      <c r="JD1468" s="29"/>
      <c r="JE1468" s="29"/>
      <c r="JF1468" s="29"/>
      <c r="JG1468" s="29"/>
      <c r="JH1468" s="29"/>
      <c r="JI1468" s="29"/>
      <c r="JJ1468" s="29"/>
      <c r="JK1468" s="29"/>
      <c r="JL1468" s="29"/>
      <c r="JM1468" s="29"/>
      <c r="JN1468" s="29"/>
      <c r="JO1468" s="29"/>
      <c r="JP1468" s="29"/>
      <c r="JQ1468" s="29"/>
      <c r="JR1468" s="29"/>
      <c r="JS1468" s="29"/>
      <c r="JT1468" s="29"/>
      <c r="JU1468" s="29"/>
      <c r="JV1468" s="29"/>
      <c r="JW1468" s="29"/>
      <c r="JX1468" s="29"/>
      <c r="JY1468" s="29"/>
      <c r="JZ1468" s="29"/>
      <c r="KA1468" s="29"/>
      <c r="KB1468" s="29"/>
      <c r="KC1468" s="29"/>
      <c r="KD1468" s="29"/>
      <c r="KE1468" s="29"/>
      <c r="KF1468" s="29"/>
      <c r="KG1468" s="29"/>
      <c r="KH1468" s="29"/>
      <c r="KI1468" s="29"/>
      <c r="KJ1468" s="29"/>
      <c r="KK1468" s="29"/>
      <c r="KL1468" s="29"/>
      <c r="KM1468" s="29"/>
      <c r="KN1468" s="29"/>
      <c r="KO1468" s="29"/>
      <c r="KP1468" s="29"/>
      <c r="KQ1468" s="29"/>
      <c r="KR1468" s="29"/>
      <c r="KS1468" s="29"/>
      <c r="KT1468" s="29"/>
      <c r="KU1468" s="29"/>
      <c r="KV1468" s="29"/>
      <c r="KW1468" s="29"/>
      <c r="KX1468" s="29"/>
      <c r="KY1468" s="29"/>
      <c r="KZ1468" s="29"/>
      <c r="LA1468" s="29"/>
      <c r="LB1468" s="29"/>
      <c r="LC1468" s="29"/>
      <c r="LD1468" s="29"/>
      <c r="LE1468" s="29"/>
      <c r="LF1468" s="29"/>
      <c r="LG1468" s="29"/>
      <c r="LH1468" s="29"/>
      <c r="LI1468" s="29"/>
      <c r="LJ1468" s="29"/>
      <c r="LK1468" s="29"/>
      <c r="LL1468" s="29"/>
      <c r="LM1468" s="29"/>
      <c r="LN1468" s="29"/>
      <c r="LO1468" s="29"/>
      <c r="LP1468" s="29"/>
      <c r="LQ1468" s="29"/>
      <c r="LR1468" s="29"/>
      <c r="LS1468" s="29"/>
      <c r="LT1468" s="29"/>
      <c r="LU1468" s="29"/>
      <c r="LV1468" s="29"/>
      <c r="LW1468" s="29"/>
      <c r="LX1468" s="29"/>
      <c r="LY1468" s="29"/>
      <c r="LZ1468" s="29"/>
      <c r="MA1468" s="29"/>
      <c r="MB1468" s="29"/>
      <c r="MC1468" s="29"/>
      <c r="MD1468" s="29"/>
      <c r="ME1468" s="29"/>
      <c r="MF1468" s="29"/>
      <c r="MG1468" s="29"/>
      <c r="MH1468" s="29"/>
      <c r="MI1468" s="29"/>
      <c r="MJ1468" s="29"/>
      <c r="MK1468" s="29"/>
      <c r="ML1468" s="29"/>
      <c r="MM1468" s="29"/>
      <c r="MN1468" s="29"/>
      <c r="MO1468" s="29"/>
      <c r="MP1468" s="29"/>
      <c r="MQ1468" s="29"/>
      <c r="MR1468" s="29"/>
      <c r="MS1468" s="29"/>
      <c r="MT1468" s="29"/>
      <c r="MU1468" s="29"/>
      <c r="MV1468" s="29"/>
      <c r="MW1468" s="29"/>
      <c r="MX1468" s="29"/>
      <c r="MY1468" s="29"/>
      <c r="MZ1468" s="29"/>
      <c r="NA1468" s="29"/>
      <c r="NB1468" s="29"/>
      <c r="NC1468" s="29"/>
      <c r="ND1468" s="29"/>
      <c r="NE1468" s="29"/>
      <c r="NF1468" s="29"/>
      <c r="NG1468" s="29"/>
      <c r="NH1468" s="29"/>
      <c r="NI1468" s="29"/>
      <c r="NJ1468" s="29"/>
      <c r="NK1468" s="29"/>
      <c r="NL1468" s="29"/>
      <c r="NM1468" s="29"/>
      <c r="NN1468" s="29"/>
      <c r="NO1468" s="29"/>
      <c r="NP1468" s="29"/>
      <c r="NQ1468" s="29"/>
      <c r="NR1468" s="29"/>
      <c r="NS1468" s="29"/>
      <c r="NT1468" s="29"/>
      <c r="NU1468" s="29"/>
      <c r="NV1468" s="29"/>
      <c r="NW1468" s="29"/>
      <c r="NX1468" s="29"/>
      <c r="NY1468" s="29"/>
      <c r="NZ1468" s="29"/>
      <c r="OA1468" s="29"/>
      <c r="OB1468" s="29"/>
      <c r="OC1468" s="29"/>
      <c r="OD1468" s="29"/>
      <c r="OE1468" s="29"/>
      <c r="OF1468" s="29"/>
      <c r="OG1468" s="29"/>
      <c r="OH1468" s="29"/>
      <c r="OI1468" s="29"/>
      <c r="OJ1468" s="29"/>
      <c r="OK1468" s="29"/>
      <c r="OL1468" s="29"/>
      <c r="OM1468" s="29"/>
      <c r="ON1468" s="29"/>
      <c r="OO1468" s="29"/>
      <c r="OP1468" s="29"/>
      <c r="OQ1468" s="29"/>
      <c r="OR1468" s="29"/>
      <c r="OS1468" s="29"/>
      <c r="OT1468" s="29"/>
      <c r="OU1468" s="29"/>
      <c r="OV1468" s="29"/>
      <c r="OW1468" s="29"/>
      <c r="OX1468" s="29"/>
      <c r="OY1468" s="29"/>
      <c r="OZ1468" s="29"/>
      <c r="PA1468" s="29"/>
      <c r="PB1468" s="29"/>
      <c r="PC1468" s="29"/>
      <c r="PD1468" s="29"/>
      <c r="PE1468" s="29"/>
      <c r="PF1468" s="29"/>
      <c r="PG1468" s="29"/>
      <c r="PH1468" s="29"/>
      <c r="PI1468" s="29"/>
      <c r="PJ1468" s="29"/>
      <c r="PK1468" s="29"/>
      <c r="PL1468" s="29"/>
      <c r="PM1468" s="29"/>
      <c r="PN1468" s="29"/>
      <c r="PO1468" s="29"/>
      <c r="PP1468" s="29"/>
      <c r="PQ1468" s="29"/>
      <c r="PR1468" s="29"/>
      <c r="PS1468" s="29"/>
      <c r="PT1468" s="29"/>
      <c r="PU1468" s="29"/>
      <c r="PV1468" s="29"/>
      <c r="PW1468" s="29"/>
      <c r="PX1468" s="29"/>
      <c r="PY1468" s="29"/>
      <c r="PZ1468" s="29"/>
      <c r="QA1468" s="29"/>
      <c r="QB1468" s="29"/>
      <c r="QC1468" s="29"/>
      <c r="QD1468" s="29"/>
      <c r="QE1468" s="29"/>
      <c r="QF1468" s="29"/>
      <c r="QG1468" s="29"/>
      <c r="QH1468" s="29"/>
      <c r="QI1468" s="29"/>
      <c r="QJ1468" s="29"/>
      <c r="QK1468" s="29"/>
      <c r="QL1468" s="29"/>
      <c r="QM1468" s="29"/>
      <c r="QN1468" s="29"/>
      <c r="QO1468" s="29"/>
      <c r="QP1468" s="29"/>
      <c r="QQ1468" s="29"/>
      <c r="QR1468" s="29"/>
      <c r="QS1468" s="29"/>
      <c r="QT1468" s="29"/>
      <c r="QU1468" s="29"/>
      <c r="QV1468" s="29"/>
      <c r="QW1468" s="29"/>
      <c r="QX1468" s="29"/>
      <c r="QY1468" s="29"/>
      <c r="QZ1468" s="29"/>
      <c r="RA1468" s="29"/>
      <c r="RB1468" s="29"/>
      <c r="RC1468" s="29"/>
      <c r="RD1468" s="29"/>
      <c r="RE1468" s="29"/>
      <c r="RF1468" s="29"/>
      <c r="RG1468" s="29"/>
      <c r="RH1468" s="29"/>
      <c r="RI1468" s="29"/>
      <c r="RJ1468" s="29"/>
      <c r="RK1468" s="29"/>
      <c r="RL1468" s="29"/>
      <c r="RM1468" s="29"/>
      <c r="RN1468" s="29"/>
      <c r="RO1468" s="29"/>
      <c r="RP1468" s="29"/>
      <c r="RQ1468" s="29"/>
      <c r="RR1468" s="29"/>
      <c r="RS1468" s="29"/>
      <c r="RT1468" s="29"/>
      <c r="RU1468" s="29"/>
      <c r="RV1468" s="29"/>
      <c r="RW1468" s="29"/>
      <c r="RX1468" s="29"/>
      <c r="RY1468" s="29"/>
      <c r="RZ1468" s="29"/>
      <c r="SA1468" s="29"/>
      <c r="SB1468" s="29"/>
      <c r="SC1468" s="29"/>
      <c r="SD1468" s="29"/>
      <c r="SE1468" s="29"/>
      <c r="SF1468" s="29"/>
      <c r="SG1468" s="29"/>
      <c r="SH1468" s="29"/>
      <c r="SI1468" s="29"/>
      <c r="SJ1468" s="29"/>
      <c r="SK1468" s="29"/>
      <c r="SL1468" s="29"/>
      <c r="SM1468" s="29"/>
      <c r="SN1468" s="29"/>
      <c r="SO1468" s="29"/>
      <c r="SP1468" s="29"/>
      <c r="SQ1468" s="29"/>
      <c r="SR1468" s="29"/>
      <c r="SS1468" s="29"/>
      <c r="ST1468" s="29"/>
      <c r="SU1468" s="29"/>
      <c r="SV1468" s="29"/>
      <c r="SW1468" s="29"/>
      <c r="SX1468" s="29"/>
      <c r="SY1468" s="29"/>
      <c r="SZ1468" s="29"/>
      <c r="TA1468" s="29"/>
      <c r="TB1468" s="29"/>
      <c r="TC1468" s="29"/>
      <c r="TD1468" s="29"/>
      <c r="TE1468" s="29"/>
      <c r="TF1468" s="29"/>
      <c r="TG1468" s="29"/>
      <c r="TH1468" s="29"/>
      <c r="TI1468" s="29"/>
      <c r="TJ1468" s="29"/>
      <c r="TK1468" s="29"/>
      <c r="TL1468" s="29"/>
      <c r="TM1468" s="29"/>
      <c r="TN1468" s="29"/>
      <c r="TO1468" s="29"/>
      <c r="TP1468" s="29"/>
      <c r="TQ1468" s="29"/>
      <c r="TR1468" s="29"/>
      <c r="TS1468" s="29"/>
      <c r="TT1468" s="29"/>
      <c r="TU1468" s="29"/>
      <c r="TV1468" s="29"/>
      <c r="TW1468" s="29"/>
      <c r="TX1468" s="29"/>
      <c r="TY1468" s="29"/>
      <c r="TZ1468" s="29"/>
      <c r="UA1468" s="29"/>
      <c r="UB1468" s="29"/>
      <c r="UC1468" s="29"/>
      <c r="UD1468" s="29"/>
      <c r="UE1468" s="29"/>
      <c r="UF1468" s="29"/>
      <c r="UG1468" s="29"/>
    </row>
    <row r="1469" spans="1:553" ht="37.15" customHeight="1">
      <c r="A1469" s="356" t="s">
        <v>15</v>
      </c>
      <c r="B1469" s="385" t="s">
        <v>75</v>
      </c>
      <c r="C1469" s="1397" t="s">
        <v>1256</v>
      </c>
      <c r="D1469" s="1389"/>
      <c r="E1469" s="1389"/>
      <c r="F1469" s="1390"/>
      <c r="G1469" s="417" t="s">
        <v>1303</v>
      </c>
      <c r="H1469" s="370"/>
      <c r="I1469" s="422">
        <f>2*2.3</f>
        <v>4.5999999999999996</v>
      </c>
      <c r="J1469" s="368">
        <v>569800</v>
      </c>
      <c r="K1469" s="371"/>
      <c r="L1469" s="487">
        <f t="shared" si="222"/>
        <v>2621080</v>
      </c>
      <c r="M1469" s="395"/>
      <c r="N1469" s="395"/>
      <c r="O1469" s="366"/>
      <c r="P1469" s="396"/>
      <c r="Q1469" s="473"/>
      <c r="R1469" s="1039"/>
      <c r="S1469" s="308"/>
      <c r="T1469" s="308"/>
      <c r="U1469" s="308"/>
      <c r="V1469" s="308"/>
      <c r="W1469" s="308"/>
      <c r="X1469" s="308"/>
      <c r="Y1469" s="308"/>
      <c r="Z1469" s="604"/>
      <c r="AA1469" s="308"/>
      <c r="AB1469" s="308"/>
      <c r="AC1469" s="486"/>
      <c r="AD1469" s="486"/>
      <c r="AE1469" s="486"/>
      <c r="AF1469" s="486"/>
      <c r="AG1469" s="486"/>
      <c r="AH1469" s="486"/>
      <c r="AI1469" s="486"/>
      <c r="AJ1469" s="486"/>
      <c r="AK1469" s="486"/>
      <c r="AL1469" s="206"/>
      <c r="AM1469" s="29"/>
      <c r="AN1469" s="29"/>
      <c r="AO1469" s="29"/>
      <c r="AP1469" s="29"/>
      <c r="AQ1469" s="29"/>
      <c r="AR1469" s="29"/>
      <c r="AS1469" s="29"/>
      <c r="AT1469" s="29"/>
      <c r="AU1469" s="29"/>
      <c r="AV1469" s="29"/>
      <c r="AW1469" s="29"/>
      <c r="AX1469" s="29"/>
      <c r="AY1469" s="29"/>
      <c r="AZ1469" s="29"/>
      <c r="BA1469" s="29"/>
      <c r="BB1469" s="29"/>
      <c r="BC1469" s="29"/>
      <c r="BD1469" s="29"/>
      <c r="BE1469" s="29"/>
      <c r="BF1469" s="29"/>
      <c r="BG1469" s="29"/>
      <c r="BH1469" s="29"/>
      <c r="BI1469" s="29"/>
      <c r="BJ1469" s="29"/>
      <c r="BK1469" s="29"/>
      <c r="BL1469" s="29"/>
      <c r="BM1469" s="29"/>
      <c r="BN1469" s="29"/>
      <c r="BO1469" s="29"/>
      <c r="BP1469" s="29"/>
      <c r="BQ1469" s="29"/>
      <c r="BR1469" s="29"/>
      <c r="BS1469" s="29"/>
      <c r="BT1469" s="29"/>
      <c r="BU1469" s="29"/>
      <c r="BV1469" s="29"/>
      <c r="BW1469" s="29"/>
      <c r="BX1469" s="29"/>
      <c r="BY1469" s="29"/>
      <c r="BZ1469" s="29"/>
      <c r="CA1469" s="29"/>
      <c r="CB1469" s="29"/>
      <c r="CC1469" s="29"/>
      <c r="CD1469" s="29"/>
      <c r="CE1469" s="29"/>
      <c r="CF1469" s="29"/>
      <c r="CG1469" s="29"/>
      <c r="CH1469" s="29"/>
      <c r="CI1469" s="29"/>
      <c r="CJ1469" s="29"/>
      <c r="CK1469" s="29"/>
      <c r="CL1469" s="29"/>
      <c r="CM1469" s="29"/>
      <c r="CN1469" s="29"/>
      <c r="CO1469" s="29"/>
      <c r="CP1469" s="29"/>
      <c r="CQ1469" s="29"/>
      <c r="CR1469" s="29"/>
      <c r="CS1469" s="29"/>
      <c r="CT1469" s="29"/>
      <c r="CU1469" s="29"/>
      <c r="CV1469" s="29"/>
      <c r="CW1469" s="29"/>
      <c r="CX1469" s="29"/>
      <c r="CY1469" s="29"/>
      <c r="CZ1469" s="29"/>
      <c r="DA1469" s="29"/>
      <c r="DB1469" s="29"/>
      <c r="DC1469" s="29"/>
      <c r="DD1469" s="29"/>
      <c r="DE1469" s="29"/>
      <c r="DF1469" s="29"/>
      <c r="DG1469" s="29"/>
      <c r="DH1469" s="29"/>
      <c r="DI1469" s="29"/>
      <c r="DJ1469" s="29"/>
      <c r="DK1469" s="29"/>
      <c r="DL1469" s="29"/>
      <c r="DM1469" s="29"/>
      <c r="DN1469" s="29"/>
      <c r="DO1469" s="29"/>
      <c r="DP1469" s="29"/>
      <c r="DQ1469" s="29"/>
      <c r="DR1469" s="29"/>
      <c r="DS1469" s="29"/>
      <c r="DT1469" s="29"/>
      <c r="DU1469" s="29"/>
      <c r="DV1469" s="29"/>
      <c r="DW1469" s="29"/>
      <c r="DX1469" s="29"/>
      <c r="DY1469" s="29"/>
      <c r="DZ1469" s="29"/>
      <c r="EA1469" s="29"/>
      <c r="EB1469" s="29"/>
      <c r="EC1469" s="29"/>
      <c r="ED1469" s="29"/>
      <c r="EE1469" s="29"/>
      <c r="EF1469" s="29"/>
      <c r="EG1469" s="29"/>
      <c r="EH1469" s="29"/>
      <c r="EI1469" s="29"/>
      <c r="EJ1469" s="29"/>
      <c r="EK1469" s="29"/>
      <c r="EL1469" s="29"/>
      <c r="EM1469" s="29"/>
      <c r="EN1469" s="29"/>
      <c r="EO1469" s="29"/>
      <c r="EP1469" s="29"/>
      <c r="EQ1469" s="29"/>
      <c r="ER1469" s="29"/>
      <c r="ES1469" s="29"/>
      <c r="ET1469" s="29"/>
      <c r="EU1469" s="29"/>
      <c r="EV1469" s="29"/>
      <c r="EW1469" s="29"/>
      <c r="EX1469" s="29"/>
      <c r="EY1469" s="29"/>
      <c r="EZ1469" s="29"/>
      <c r="FA1469" s="29"/>
      <c r="FB1469" s="29"/>
      <c r="FC1469" s="29"/>
      <c r="FD1469" s="29"/>
      <c r="FE1469" s="29"/>
      <c r="FF1469" s="29"/>
      <c r="FG1469" s="29"/>
      <c r="FH1469" s="29"/>
      <c r="FI1469" s="29"/>
      <c r="FJ1469" s="29"/>
      <c r="FK1469" s="29"/>
      <c r="FL1469" s="29"/>
      <c r="FM1469" s="29"/>
      <c r="FN1469" s="29"/>
      <c r="FO1469" s="29"/>
      <c r="FP1469" s="29"/>
      <c r="FQ1469" s="29"/>
      <c r="FR1469" s="29"/>
      <c r="FS1469" s="29"/>
      <c r="FT1469" s="29"/>
      <c r="FU1469" s="29"/>
      <c r="FV1469" s="29"/>
      <c r="FW1469" s="29"/>
      <c r="FX1469" s="29"/>
      <c r="FY1469" s="29"/>
      <c r="FZ1469" s="29"/>
      <c r="GA1469" s="29"/>
      <c r="GB1469" s="29"/>
      <c r="GC1469" s="29"/>
      <c r="GD1469" s="29"/>
      <c r="GE1469" s="29"/>
      <c r="GF1469" s="29"/>
      <c r="GG1469" s="29"/>
      <c r="GH1469" s="29"/>
      <c r="GI1469" s="29"/>
      <c r="GJ1469" s="29"/>
      <c r="GK1469" s="29"/>
      <c r="GL1469" s="29"/>
      <c r="GM1469" s="29"/>
      <c r="GN1469" s="29"/>
      <c r="GO1469" s="29"/>
      <c r="GP1469" s="29"/>
      <c r="GQ1469" s="29"/>
      <c r="GR1469" s="29"/>
      <c r="GS1469" s="29"/>
      <c r="GT1469" s="29"/>
      <c r="GU1469" s="29"/>
      <c r="GV1469" s="29"/>
      <c r="GW1469" s="29"/>
      <c r="GX1469" s="29"/>
      <c r="GY1469" s="29"/>
      <c r="GZ1469" s="29"/>
      <c r="HA1469" s="29"/>
      <c r="HB1469" s="29"/>
      <c r="HC1469" s="29"/>
      <c r="HD1469" s="29"/>
      <c r="HE1469" s="29"/>
      <c r="HF1469" s="29"/>
      <c r="HG1469" s="29"/>
      <c r="HH1469" s="29"/>
      <c r="HI1469" s="29"/>
      <c r="HJ1469" s="29"/>
      <c r="HK1469" s="29"/>
      <c r="HL1469" s="29"/>
      <c r="HM1469" s="29"/>
      <c r="HN1469" s="29"/>
      <c r="HO1469" s="29"/>
      <c r="HP1469" s="29"/>
      <c r="HQ1469" s="29"/>
      <c r="HR1469" s="29"/>
      <c r="HS1469" s="29"/>
      <c r="HT1469" s="29"/>
      <c r="HU1469" s="29"/>
      <c r="HV1469" s="29"/>
      <c r="HW1469" s="29"/>
      <c r="HX1469" s="29"/>
      <c r="HY1469" s="29"/>
      <c r="HZ1469" s="29"/>
      <c r="IA1469" s="29"/>
      <c r="IB1469" s="29"/>
      <c r="IC1469" s="29"/>
      <c r="ID1469" s="29"/>
      <c r="IE1469" s="29"/>
      <c r="IF1469" s="29"/>
      <c r="IG1469" s="29"/>
      <c r="IH1469" s="29"/>
      <c r="II1469" s="29"/>
      <c r="IJ1469" s="29"/>
      <c r="IK1469" s="29"/>
      <c r="IL1469" s="29"/>
      <c r="IM1469" s="29"/>
      <c r="IN1469" s="29"/>
      <c r="IO1469" s="29"/>
      <c r="IP1469" s="29"/>
      <c r="IQ1469" s="29"/>
      <c r="IR1469" s="29"/>
      <c r="IS1469" s="29"/>
      <c r="IT1469" s="29"/>
      <c r="IU1469" s="29"/>
      <c r="IV1469" s="29"/>
      <c r="IW1469" s="29"/>
      <c r="IX1469" s="29"/>
      <c r="IY1469" s="29"/>
      <c r="IZ1469" s="29"/>
      <c r="JA1469" s="29"/>
      <c r="JB1469" s="29"/>
      <c r="JC1469" s="29"/>
      <c r="JD1469" s="29"/>
      <c r="JE1469" s="29"/>
      <c r="JF1469" s="29"/>
      <c r="JG1469" s="29"/>
      <c r="JH1469" s="29"/>
      <c r="JI1469" s="29"/>
      <c r="JJ1469" s="29"/>
      <c r="JK1469" s="29"/>
      <c r="JL1469" s="29"/>
      <c r="JM1469" s="29"/>
      <c r="JN1469" s="29"/>
      <c r="JO1469" s="29"/>
      <c r="JP1469" s="29"/>
      <c r="JQ1469" s="29"/>
      <c r="JR1469" s="29"/>
      <c r="JS1469" s="29"/>
      <c r="JT1469" s="29"/>
      <c r="JU1469" s="29"/>
      <c r="JV1469" s="29"/>
      <c r="JW1469" s="29"/>
      <c r="JX1469" s="29"/>
      <c r="JY1469" s="29"/>
      <c r="JZ1469" s="29"/>
      <c r="KA1469" s="29"/>
      <c r="KB1469" s="29"/>
      <c r="KC1469" s="29"/>
      <c r="KD1469" s="29"/>
      <c r="KE1469" s="29"/>
      <c r="KF1469" s="29"/>
      <c r="KG1469" s="29"/>
      <c r="KH1469" s="29"/>
      <c r="KI1469" s="29"/>
      <c r="KJ1469" s="29"/>
      <c r="KK1469" s="29"/>
      <c r="KL1469" s="29"/>
      <c r="KM1469" s="29"/>
      <c r="KN1469" s="29"/>
      <c r="KO1469" s="29"/>
      <c r="KP1469" s="29"/>
      <c r="KQ1469" s="29"/>
      <c r="KR1469" s="29"/>
      <c r="KS1469" s="29"/>
      <c r="KT1469" s="29"/>
      <c r="KU1469" s="29"/>
      <c r="KV1469" s="29"/>
      <c r="KW1469" s="29"/>
      <c r="KX1469" s="29"/>
      <c r="KY1469" s="29"/>
      <c r="KZ1469" s="29"/>
      <c r="LA1469" s="29"/>
      <c r="LB1469" s="29"/>
      <c r="LC1469" s="29"/>
      <c r="LD1469" s="29"/>
      <c r="LE1469" s="29"/>
      <c r="LF1469" s="29"/>
      <c r="LG1469" s="29"/>
      <c r="LH1469" s="29"/>
      <c r="LI1469" s="29"/>
      <c r="LJ1469" s="29"/>
      <c r="LK1469" s="29"/>
      <c r="LL1469" s="29"/>
      <c r="LM1469" s="29"/>
      <c r="LN1469" s="29"/>
      <c r="LO1469" s="29"/>
      <c r="LP1469" s="29"/>
      <c r="LQ1469" s="29"/>
      <c r="LR1469" s="29"/>
      <c r="LS1469" s="29"/>
      <c r="LT1469" s="29"/>
      <c r="LU1469" s="29"/>
      <c r="LV1469" s="29"/>
      <c r="LW1469" s="29"/>
      <c r="LX1469" s="29"/>
      <c r="LY1469" s="29"/>
      <c r="LZ1469" s="29"/>
      <c r="MA1469" s="29"/>
      <c r="MB1469" s="29"/>
      <c r="MC1469" s="29"/>
      <c r="MD1469" s="29"/>
      <c r="ME1469" s="29"/>
      <c r="MF1469" s="29"/>
      <c r="MG1469" s="29"/>
      <c r="MH1469" s="29"/>
      <c r="MI1469" s="29"/>
      <c r="MJ1469" s="29"/>
      <c r="MK1469" s="29"/>
      <c r="ML1469" s="29"/>
      <c r="MM1469" s="29"/>
      <c r="MN1469" s="29"/>
      <c r="MO1469" s="29"/>
      <c r="MP1469" s="29"/>
      <c r="MQ1469" s="29"/>
      <c r="MR1469" s="29"/>
      <c r="MS1469" s="29"/>
      <c r="MT1469" s="29"/>
      <c r="MU1469" s="29"/>
      <c r="MV1469" s="29"/>
      <c r="MW1469" s="29"/>
      <c r="MX1469" s="29"/>
      <c r="MY1469" s="29"/>
      <c r="MZ1469" s="29"/>
      <c r="NA1469" s="29"/>
      <c r="NB1469" s="29"/>
      <c r="NC1469" s="29"/>
      <c r="ND1469" s="29"/>
      <c r="NE1469" s="29"/>
      <c r="NF1469" s="29"/>
      <c r="NG1469" s="29"/>
      <c r="NH1469" s="29"/>
      <c r="NI1469" s="29"/>
      <c r="NJ1469" s="29"/>
      <c r="NK1469" s="29"/>
      <c r="NL1469" s="29"/>
      <c r="NM1469" s="29"/>
      <c r="NN1469" s="29"/>
      <c r="NO1469" s="29"/>
      <c r="NP1469" s="29"/>
      <c r="NQ1469" s="29"/>
      <c r="NR1469" s="29"/>
      <c r="NS1469" s="29"/>
      <c r="NT1469" s="29"/>
      <c r="NU1469" s="29"/>
      <c r="NV1469" s="29"/>
      <c r="NW1469" s="29"/>
      <c r="NX1469" s="29"/>
      <c r="NY1469" s="29"/>
      <c r="NZ1469" s="29"/>
      <c r="OA1469" s="29"/>
      <c r="OB1469" s="29"/>
      <c r="OC1469" s="29"/>
      <c r="OD1469" s="29"/>
      <c r="OE1469" s="29"/>
      <c r="OF1469" s="29"/>
      <c r="OG1469" s="29"/>
      <c r="OH1469" s="29"/>
      <c r="OI1469" s="29"/>
      <c r="OJ1469" s="29"/>
      <c r="OK1469" s="29"/>
      <c r="OL1469" s="29"/>
      <c r="OM1469" s="29"/>
      <c r="ON1469" s="29"/>
      <c r="OO1469" s="29"/>
      <c r="OP1469" s="29"/>
      <c r="OQ1469" s="29"/>
      <c r="OR1469" s="29"/>
      <c r="OS1469" s="29"/>
      <c r="OT1469" s="29"/>
      <c r="OU1469" s="29"/>
      <c r="OV1469" s="29"/>
      <c r="OW1469" s="29"/>
      <c r="OX1469" s="29"/>
      <c r="OY1469" s="29"/>
      <c r="OZ1469" s="29"/>
      <c r="PA1469" s="29"/>
      <c r="PB1469" s="29"/>
      <c r="PC1469" s="29"/>
      <c r="PD1469" s="29"/>
      <c r="PE1469" s="29"/>
      <c r="PF1469" s="29"/>
      <c r="PG1469" s="29"/>
      <c r="PH1469" s="29"/>
      <c r="PI1469" s="29"/>
      <c r="PJ1469" s="29"/>
      <c r="PK1469" s="29"/>
      <c r="PL1469" s="29"/>
      <c r="PM1469" s="29"/>
      <c r="PN1469" s="29"/>
      <c r="PO1469" s="29"/>
      <c r="PP1469" s="29"/>
      <c r="PQ1469" s="29"/>
      <c r="PR1469" s="29"/>
      <c r="PS1469" s="29"/>
      <c r="PT1469" s="29"/>
      <c r="PU1469" s="29"/>
      <c r="PV1469" s="29"/>
      <c r="PW1469" s="29"/>
      <c r="PX1469" s="29"/>
      <c r="PY1469" s="29"/>
      <c r="PZ1469" s="29"/>
      <c r="QA1469" s="29"/>
      <c r="QB1469" s="29"/>
      <c r="QC1469" s="29"/>
      <c r="QD1469" s="29"/>
      <c r="QE1469" s="29"/>
      <c r="QF1469" s="29"/>
      <c r="QG1469" s="29"/>
      <c r="QH1469" s="29"/>
      <c r="QI1469" s="29"/>
      <c r="QJ1469" s="29"/>
      <c r="QK1469" s="29"/>
      <c r="QL1469" s="29"/>
      <c r="QM1469" s="29"/>
      <c r="QN1469" s="29"/>
      <c r="QO1469" s="29"/>
      <c r="QP1469" s="29"/>
      <c r="QQ1469" s="29"/>
      <c r="QR1469" s="29"/>
      <c r="QS1469" s="29"/>
      <c r="QT1469" s="29"/>
      <c r="QU1469" s="29"/>
      <c r="QV1469" s="29"/>
      <c r="QW1469" s="29"/>
      <c r="QX1469" s="29"/>
      <c r="QY1469" s="29"/>
      <c r="QZ1469" s="29"/>
      <c r="RA1469" s="29"/>
      <c r="RB1469" s="29"/>
      <c r="RC1469" s="29"/>
      <c r="RD1469" s="29"/>
      <c r="RE1469" s="29"/>
      <c r="RF1469" s="29"/>
      <c r="RG1469" s="29"/>
      <c r="RH1469" s="29"/>
      <c r="RI1469" s="29"/>
      <c r="RJ1469" s="29"/>
      <c r="RK1469" s="29"/>
      <c r="RL1469" s="29"/>
      <c r="RM1469" s="29"/>
      <c r="RN1469" s="29"/>
      <c r="RO1469" s="29"/>
      <c r="RP1469" s="29"/>
      <c r="RQ1469" s="29"/>
      <c r="RR1469" s="29"/>
      <c r="RS1469" s="29"/>
      <c r="RT1469" s="29"/>
      <c r="RU1469" s="29"/>
      <c r="RV1469" s="29"/>
      <c r="RW1469" s="29"/>
      <c r="RX1469" s="29"/>
      <c r="RY1469" s="29"/>
      <c r="RZ1469" s="29"/>
      <c r="SA1469" s="29"/>
      <c r="SB1469" s="29"/>
      <c r="SC1469" s="29"/>
      <c r="SD1469" s="29"/>
      <c r="SE1469" s="29"/>
      <c r="SF1469" s="29"/>
      <c r="SG1469" s="29"/>
      <c r="SH1469" s="29"/>
      <c r="SI1469" s="29"/>
      <c r="SJ1469" s="29"/>
      <c r="SK1469" s="29"/>
      <c r="SL1469" s="29"/>
      <c r="SM1469" s="29"/>
      <c r="SN1469" s="29"/>
      <c r="SO1469" s="29"/>
      <c r="SP1469" s="29"/>
      <c r="SQ1469" s="29"/>
      <c r="SR1469" s="29"/>
      <c r="SS1469" s="29"/>
      <c r="ST1469" s="29"/>
      <c r="SU1469" s="29"/>
      <c r="SV1469" s="29"/>
      <c r="SW1469" s="29"/>
      <c r="SX1469" s="29"/>
      <c r="SY1469" s="29"/>
      <c r="SZ1469" s="29"/>
      <c r="TA1469" s="29"/>
      <c r="TB1469" s="29"/>
      <c r="TC1469" s="29"/>
      <c r="TD1469" s="29"/>
      <c r="TE1469" s="29"/>
      <c r="TF1469" s="29"/>
      <c r="TG1469" s="29"/>
      <c r="TH1469" s="29"/>
      <c r="TI1469" s="29"/>
      <c r="TJ1469" s="29"/>
      <c r="TK1469" s="29"/>
      <c r="TL1469" s="29"/>
      <c r="TM1469" s="29"/>
      <c r="TN1469" s="29"/>
      <c r="TO1469" s="29"/>
      <c r="TP1469" s="29"/>
      <c r="TQ1469" s="29"/>
      <c r="TR1469" s="29"/>
      <c r="TS1469" s="29"/>
      <c r="TT1469" s="29"/>
      <c r="TU1469" s="29"/>
      <c r="TV1469" s="29"/>
      <c r="TW1469" s="29"/>
      <c r="TX1469" s="29"/>
      <c r="TY1469" s="29"/>
      <c r="TZ1469" s="29"/>
      <c r="UA1469" s="29"/>
      <c r="UB1469" s="29"/>
      <c r="UC1469" s="29"/>
      <c r="UD1469" s="29"/>
      <c r="UE1469" s="29"/>
      <c r="UF1469" s="29"/>
      <c r="UG1469" s="29"/>
    </row>
    <row r="1470" spans="1:553" ht="55.15" customHeight="1">
      <c r="A1470" s="356" t="s">
        <v>15</v>
      </c>
      <c r="B1470" s="385" t="s">
        <v>77</v>
      </c>
      <c r="C1470" s="1397" t="s">
        <v>1306</v>
      </c>
      <c r="D1470" s="1475"/>
      <c r="E1470" s="1475"/>
      <c r="F1470" s="1476"/>
      <c r="G1470" s="417" t="s">
        <v>1303</v>
      </c>
      <c r="H1470" s="370"/>
      <c r="I1470" s="422">
        <f>3.3*6+6*4</f>
        <v>43.8</v>
      </c>
      <c r="J1470" s="368">
        <v>743600</v>
      </c>
      <c r="K1470" s="371"/>
      <c r="L1470" s="487">
        <f t="shared" si="222"/>
        <v>32569680</v>
      </c>
      <c r="M1470" s="395"/>
      <c r="N1470" s="395"/>
      <c r="O1470" s="366"/>
      <c r="P1470" s="396"/>
      <c r="Q1470" s="473"/>
      <c r="R1470" s="1039"/>
      <c r="S1470" s="308"/>
      <c r="T1470" s="308"/>
      <c r="U1470" s="308"/>
      <c r="V1470" s="308"/>
      <c r="W1470" s="308"/>
      <c r="X1470" s="308"/>
      <c r="Y1470" s="308"/>
      <c r="Z1470" s="604"/>
      <c r="AA1470" s="308"/>
      <c r="AB1470" s="308"/>
      <c r="AC1470" s="486"/>
      <c r="AD1470" s="486"/>
      <c r="AE1470" s="486"/>
      <c r="AF1470" s="486"/>
      <c r="AG1470" s="486"/>
      <c r="AH1470" s="486"/>
      <c r="AI1470" s="486"/>
      <c r="AJ1470" s="486"/>
      <c r="AK1470" s="486"/>
      <c r="AL1470" s="206"/>
      <c r="AM1470" s="29"/>
      <c r="AN1470" s="29"/>
      <c r="AO1470" s="29"/>
      <c r="AP1470" s="29"/>
      <c r="AQ1470" s="29"/>
      <c r="AR1470" s="29"/>
      <c r="AS1470" s="29"/>
      <c r="AT1470" s="29"/>
      <c r="AU1470" s="29"/>
      <c r="AV1470" s="29"/>
      <c r="AW1470" s="29"/>
      <c r="AX1470" s="29"/>
      <c r="AY1470" s="29"/>
      <c r="AZ1470" s="29"/>
      <c r="BA1470" s="29"/>
      <c r="BB1470" s="29"/>
      <c r="BC1470" s="29"/>
      <c r="BD1470" s="29"/>
      <c r="BE1470" s="29"/>
      <c r="BF1470" s="29"/>
      <c r="BG1470" s="29"/>
      <c r="BH1470" s="29"/>
      <c r="BI1470" s="29"/>
      <c r="BJ1470" s="29"/>
      <c r="BK1470" s="29"/>
      <c r="BL1470" s="29"/>
      <c r="BM1470" s="29"/>
      <c r="BN1470" s="29"/>
      <c r="BO1470" s="29"/>
      <c r="BP1470" s="29"/>
      <c r="BQ1470" s="29"/>
      <c r="BR1470" s="29"/>
      <c r="BS1470" s="29"/>
      <c r="BT1470" s="29"/>
      <c r="BU1470" s="29"/>
      <c r="BV1470" s="29"/>
      <c r="BW1470" s="29"/>
      <c r="BX1470" s="29"/>
      <c r="BY1470" s="29"/>
      <c r="BZ1470" s="29"/>
      <c r="CA1470" s="29"/>
      <c r="CB1470" s="29"/>
      <c r="CC1470" s="29"/>
      <c r="CD1470" s="29"/>
      <c r="CE1470" s="29"/>
      <c r="CF1470" s="29"/>
      <c r="CG1470" s="29"/>
      <c r="CH1470" s="29"/>
      <c r="CI1470" s="29"/>
      <c r="CJ1470" s="29"/>
      <c r="CK1470" s="29"/>
      <c r="CL1470" s="29"/>
      <c r="CM1470" s="29"/>
      <c r="CN1470" s="29"/>
      <c r="CO1470" s="29"/>
      <c r="CP1470" s="29"/>
      <c r="CQ1470" s="29"/>
      <c r="CR1470" s="29"/>
      <c r="CS1470" s="29"/>
      <c r="CT1470" s="29"/>
      <c r="CU1470" s="29"/>
      <c r="CV1470" s="29"/>
      <c r="CW1470" s="29"/>
      <c r="CX1470" s="29"/>
      <c r="CY1470" s="29"/>
      <c r="CZ1470" s="29"/>
      <c r="DA1470" s="29"/>
      <c r="DB1470" s="29"/>
      <c r="DC1470" s="29"/>
      <c r="DD1470" s="29"/>
      <c r="DE1470" s="29"/>
      <c r="DF1470" s="29"/>
      <c r="DG1470" s="29"/>
      <c r="DH1470" s="29"/>
      <c r="DI1470" s="29"/>
      <c r="DJ1470" s="29"/>
      <c r="DK1470" s="29"/>
      <c r="DL1470" s="29"/>
      <c r="DM1470" s="29"/>
      <c r="DN1470" s="29"/>
      <c r="DO1470" s="29"/>
      <c r="DP1470" s="29"/>
      <c r="DQ1470" s="29"/>
      <c r="DR1470" s="29"/>
      <c r="DS1470" s="29"/>
      <c r="DT1470" s="29"/>
      <c r="DU1470" s="29"/>
      <c r="DV1470" s="29"/>
      <c r="DW1470" s="29"/>
      <c r="DX1470" s="29"/>
      <c r="DY1470" s="29"/>
      <c r="DZ1470" s="29"/>
      <c r="EA1470" s="29"/>
      <c r="EB1470" s="29"/>
      <c r="EC1470" s="29"/>
      <c r="ED1470" s="29"/>
      <c r="EE1470" s="29"/>
      <c r="EF1470" s="29"/>
      <c r="EG1470" s="29"/>
      <c r="EH1470" s="29"/>
      <c r="EI1470" s="29"/>
      <c r="EJ1470" s="29"/>
      <c r="EK1470" s="29"/>
      <c r="EL1470" s="29"/>
      <c r="EM1470" s="29"/>
      <c r="EN1470" s="29"/>
      <c r="EO1470" s="29"/>
      <c r="EP1470" s="29"/>
      <c r="EQ1470" s="29"/>
      <c r="ER1470" s="29"/>
      <c r="ES1470" s="29"/>
      <c r="ET1470" s="29"/>
      <c r="EU1470" s="29"/>
      <c r="EV1470" s="29"/>
      <c r="EW1470" s="29"/>
      <c r="EX1470" s="29"/>
      <c r="EY1470" s="29"/>
      <c r="EZ1470" s="29"/>
      <c r="FA1470" s="29"/>
      <c r="FB1470" s="29"/>
      <c r="FC1470" s="29"/>
      <c r="FD1470" s="29"/>
      <c r="FE1470" s="29"/>
      <c r="FF1470" s="29"/>
      <c r="FG1470" s="29"/>
      <c r="FH1470" s="29"/>
      <c r="FI1470" s="29"/>
      <c r="FJ1470" s="29"/>
      <c r="FK1470" s="29"/>
      <c r="FL1470" s="29"/>
      <c r="FM1470" s="29"/>
      <c r="FN1470" s="29"/>
      <c r="FO1470" s="29"/>
      <c r="FP1470" s="29"/>
      <c r="FQ1470" s="29"/>
      <c r="FR1470" s="29"/>
      <c r="FS1470" s="29"/>
      <c r="FT1470" s="29"/>
      <c r="FU1470" s="29"/>
      <c r="FV1470" s="29"/>
      <c r="FW1470" s="29"/>
      <c r="FX1470" s="29"/>
      <c r="FY1470" s="29"/>
      <c r="FZ1470" s="29"/>
      <c r="GA1470" s="29"/>
      <c r="GB1470" s="29"/>
      <c r="GC1470" s="29"/>
      <c r="GD1470" s="29"/>
      <c r="GE1470" s="29"/>
      <c r="GF1470" s="29"/>
      <c r="GG1470" s="29"/>
      <c r="GH1470" s="29"/>
      <c r="GI1470" s="29"/>
      <c r="GJ1470" s="29"/>
      <c r="GK1470" s="29"/>
      <c r="GL1470" s="29"/>
      <c r="GM1470" s="29"/>
      <c r="GN1470" s="29"/>
      <c r="GO1470" s="29"/>
      <c r="GP1470" s="29"/>
      <c r="GQ1470" s="29"/>
      <c r="GR1470" s="29"/>
      <c r="GS1470" s="29"/>
      <c r="GT1470" s="29"/>
      <c r="GU1470" s="29"/>
      <c r="GV1470" s="29"/>
      <c r="GW1470" s="29"/>
      <c r="GX1470" s="29"/>
      <c r="GY1470" s="29"/>
      <c r="GZ1470" s="29"/>
      <c r="HA1470" s="29"/>
      <c r="HB1470" s="29"/>
      <c r="HC1470" s="29"/>
      <c r="HD1470" s="29"/>
      <c r="HE1470" s="29"/>
      <c r="HF1470" s="29"/>
      <c r="HG1470" s="29"/>
      <c r="HH1470" s="29"/>
      <c r="HI1470" s="29"/>
      <c r="HJ1470" s="29"/>
      <c r="HK1470" s="29"/>
      <c r="HL1470" s="29"/>
      <c r="HM1470" s="29"/>
      <c r="HN1470" s="29"/>
      <c r="HO1470" s="29"/>
      <c r="HP1470" s="29"/>
      <c r="HQ1470" s="29"/>
      <c r="HR1470" s="29"/>
      <c r="HS1470" s="29"/>
      <c r="HT1470" s="29"/>
      <c r="HU1470" s="29"/>
      <c r="HV1470" s="29"/>
      <c r="HW1470" s="29"/>
      <c r="HX1470" s="29"/>
      <c r="HY1470" s="29"/>
      <c r="HZ1470" s="29"/>
      <c r="IA1470" s="29"/>
      <c r="IB1470" s="29"/>
      <c r="IC1470" s="29"/>
      <c r="ID1470" s="29"/>
      <c r="IE1470" s="29"/>
      <c r="IF1470" s="29"/>
      <c r="IG1470" s="29"/>
      <c r="IH1470" s="29"/>
      <c r="II1470" s="29"/>
      <c r="IJ1470" s="29"/>
      <c r="IK1470" s="29"/>
      <c r="IL1470" s="29"/>
      <c r="IM1470" s="29"/>
      <c r="IN1470" s="29"/>
      <c r="IO1470" s="29"/>
      <c r="IP1470" s="29"/>
      <c r="IQ1470" s="29"/>
      <c r="IR1470" s="29"/>
      <c r="IS1470" s="29"/>
      <c r="IT1470" s="29"/>
      <c r="IU1470" s="29"/>
      <c r="IV1470" s="29"/>
      <c r="IW1470" s="29"/>
      <c r="IX1470" s="29"/>
      <c r="IY1470" s="29"/>
      <c r="IZ1470" s="29"/>
      <c r="JA1470" s="29"/>
      <c r="JB1470" s="29"/>
      <c r="JC1470" s="29"/>
      <c r="JD1470" s="29"/>
      <c r="JE1470" s="29"/>
      <c r="JF1470" s="29"/>
      <c r="JG1470" s="29"/>
      <c r="JH1470" s="29"/>
      <c r="JI1470" s="29"/>
      <c r="JJ1470" s="29"/>
      <c r="JK1470" s="29"/>
      <c r="JL1470" s="29"/>
      <c r="JM1470" s="29"/>
      <c r="JN1470" s="29"/>
      <c r="JO1470" s="29"/>
      <c r="JP1470" s="29"/>
      <c r="JQ1470" s="29"/>
      <c r="JR1470" s="29"/>
      <c r="JS1470" s="29"/>
      <c r="JT1470" s="29"/>
      <c r="JU1470" s="29"/>
      <c r="JV1470" s="29"/>
      <c r="JW1470" s="29"/>
      <c r="JX1470" s="29"/>
      <c r="JY1470" s="29"/>
      <c r="JZ1470" s="29"/>
      <c r="KA1470" s="29"/>
      <c r="KB1470" s="29"/>
      <c r="KC1470" s="29"/>
      <c r="KD1470" s="29"/>
      <c r="KE1470" s="29"/>
      <c r="KF1470" s="29"/>
      <c r="KG1470" s="29"/>
      <c r="KH1470" s="29"/>
      <c r="KI1470" s="29"/>
      <c r="KJ1470" s="29"/>
      <c r="KK1470" s="29"/>
      <c r="KL1470" s="29"/>
      <c r="KM1470" s="29"/>
      <c r="KN1470" s="29"/>
      <c r="KO1470" s="29"/>
      <c r="KP1470" s="29"/>
      <c r="KQ1470" s="29"/>
      <c r="KR1470" s="29"/>
      <c r="KS1470" s="29"/>
      <c r="KT1470" s="29"/>
      <c r="KU1470" s="29"/>
      <c r="KV1470" s="29"/>
      <c r="KW1470" s="29"/>
      <c r="KX1470" s="29"/>
      <c r="KY1470" s="29"/>
      <c r="KZ1470" s="29"/>
      <c r="LA1470" s="29"/>
      <c r="LB1470" s="29"/>
      <c r="LC1470" s="29"/>
      <c r="LD1470" s="29"/>
      <c r="LE1470" s="29"/>
      <c r="LF1470" s="29"/>
      <c r="LG1470" s="29"/>
      <c r="LH1470" s="29"/>
      <c r="LI1470" s="29"/>
      <c r="LJ1470" s="29"/>
      <c r="LK1470" s="29"/>
      <c r="LL1470" s="29"/>
      <c r="LM1470" s="29"/>
      <c r="LN1470" s="29"/>
      <c r="LO1470" s="29"/>
      <c r="LP1470" s="29"/>
      <c r="LQ1470" s="29"/>
      <c r="LR1470" s="29"/>
      <c r="LS1470" s="29"/>
      <c r="LT1470" s="29"/>
      <c r="LU1470" s="29"/>
      <c r="LV1470" s="29"/>
      <c r="LW1470" s="29"/>
      <c r="LX1470" s="29"/>
      <c r="LY1470" s="29"/>
      <c r="LZ1470" s="29"/>
      <c r="MA1470" s="29"/>
      <c r="MB1470" s="29"/>
      <c r="MC1470" s="29"/>
      <c r="MD1470" s="29"/>
      <c r="ME1470" s="29"/>
      <c r="MF1470" s="29"/>
      <c r="MG1470" s="29"/>
      <c r="MH1470" s="29"/>
      <c r="MI1470" s="29"/>
      <c r="MJ1470" s="29"/>
      <c r="MK1470" s="29"/>
      <c r="ML1470" s="29"/>
      <c r="MM1470" s="29"/>
      <c r="MN1470" s="29"/>
      <c r="MO1470" s="29"/>
      <c r="MP1470" s="29"/>
      <c r="MQ1470" s="29"/>
      <c r="MR1470" s="29"/>
      <c r="MS1470" s="29"/>
      <c r="MT1470" s="29"/>
      <c r="MU1470" s="29"/>
      <c r="MV1470" s="29"/>
      <c r="MW1470" s="29"/>
      <c r="MX1470" s="29"/>
      <c r="MY1470" s="29"/>
      <c r="MZ1470" s="29"/>
      <c r="NA1470" s="29"/>
      <c r="NB1470" s="29"/>
      <c r="NC1470" s="29"/>
      <c r="ND1470" s="29"/>
      <c r="NE1470" s="29"/>
      <c r="NF1470" s="29"/>
      <c r="NG1470" s="29"/>
      <c r="NH1470" s="29"/>
      <c r="NI1470" s="29"/>
      <c r="NJ1470" s="29"/>
      <c r="NK1470" s="29"/>
      <c r="NL1470" s="29"/>
      <c r="NM1470" s="29"/>
      <c r="NN1470" s="29"/>
      <c r="NO1470" s="29"/>
      <c r="NP1470" s="29"/>
      <c r="NQ1470" s="29"/>
      <c r="NR1470" s="29"/>
      <c r="NS1470" s="29"/>
      <c r="NT1470" s="29"/>
      <c r="NU1470" s="29"/>
      <c r="NV1470" s="29"/>
      <c r="NW1470" s="29"/>
      <c r="NX1470" s="29"/>
      <c r="NY1470" s="29"/>
      <c r="NZ1470" s="29"/>
      <c r="OA1470" s="29"/>
      <c r="OB1470" s="29"/>
      <c r="OC1470" s="29"/>
      <c r="OD1470" s="29"/>
      <c r="OE1470" s="29"/>
      <c r="OF1470" s="29"/>
      <c r="OG1470" s="29"/>
      <c r="OH1470" s="29"/>
      <c r="OI1470" s="29"/>
      <c r="OJ1470" s="29"/>
      <c r="OK1470" s="29"/>
      <c r="OL1470" s="29"/>
      <c r="OM1470" s="29"/>
      <c r="ON1470" s="29"/>
      <c r="OO1470" s="29"/>
      <c r="OP1470" s="29"/>
      <c r="OQ1470" s="29"/>
      <c r="OR1470" s="29"/>
      <c r="OS1470" s="29"/>
      <c r="OT1470" s="29"/>
      <c r="OU1470" s="29"/>
      <c r="OV1470" s="29"/>
      <c r="OW1470" s="29"/>
      <c r="OX1470" s="29"/>
      <c r="OY1470" s="29"/>
      <c r="OZ1470" s="29"/>
      <c r="PA1470" s="29"/>
      <c r="PB1470" s="29"/>
      <c r="PC1470" s="29"/>
      <c r="PD1470" s="29"/>
      <c r="PE1470" s="29"/>
      <c r="PF1470" s="29"/>
      <c r="PG1470" s="29"/>
      <c r="PH1470" s="29"/>
      <c r="PI1470" s="29"/>
      <c r="PJ1470" s="29"/>
      <c r="PK1470" s="29"/>
      <c r="PL1470" s="29"/>
      <c r="PM1470" s="29"/>
      <c r="PN1470" s="29"/>
      <c r="PO1470" s="29"/>
      <c r="PP1470" s="29"/>
      <c r="PQ1470" s="29"/>
      <c r="PR1470" s="29"/>
      <c r="PS1470" s="29"/>
      <c r="PT1470" s="29"/>
      <c r="PU1470" s="29"/>
      <c r="PV1470" s="29"/>
      <c r="PW1470" s="29"/>
      <c r="PX1470" s="29"/>
      <c r="PY1470" s="29"/>
      <c r="PZ1470" s="29"/>
      <c r="QA1470" s="29"/>
      <c r="QB1470" s="29"/>
      <c r="QC1470" s="29"/>
      <c r="QD1470" s="29"/>
      <c r="QE1470" s="29"/>
      <c r="QF1470" s="29"/>
      <c r="QG1470" s="29"/>
      <c r="QH1470" s="29"/>
      <c r="QI1470" s="29"/>
      <c r="QJ1470" s="29"/>
      <c r="QK1470" s="29"/>
      <c r="QL1470" s="29"/>
      <c r="QM1470" s="29"/>
      <c r="QN1470" s="29"/>
      <c r="QO1470" s="29"/>
      <c r="QP1470" s="29"/>
      <c r="QQ1470" s="29"/>
      <c r="QR1470" s="29"/>
      <c r="QS1470" s="29"/>
      <c r="QT1470" s="29"/>
      <c r="QU1470" s="29"/>
      <c r="QV1470" s="29"/>
      <c r="QW1470" s="29"/>
      <c r="QX1470" s="29"/>
      <c r="QY1470" s="29"/>
      <c r="QZ1470" s="29"/>
      <c r="RA1470" s="29"/>
      <c r="RB1470" s="29"/>
      <c r="RC1470" s="29"/>
      <c r="RD1470" s="29"/>
      <c r="RE1470" s="29"/>
      <c r="RF1470" s="29"/>
      <c r="RG1470" s="29"/>
      <c r="RH1470" s="29"/>
      <c r="RI1470" s="29"/>
      <c r="RJ1470" s="29"/>
      <c r="RK1470" s="29"/>
      <c r="RL1470" s="29"/>
      <c r="RM1470" s="29"/>
      <c r="RN1470" s="29"/>
      <c r="RO1470" s="29"/>
      <c r="RP1470" s="29"/>
      <c r="RQ1470" s="29"/>
      <c r="RR1470" s="29"/>
      <c r="RS1470" s="29"/>
      <c r="RT1470" s="29"/>
      <c r="RU1470" s="29"/>
      <c r="RV1470" s="29"/>
      <c r="RW1470" s="29"/>
      <c r="RX1470" s="29"/>
      <c r="RY1470" s="29"/>
      <c r="RZ1470" s="29"/>
      <c r="SA1470" s="29"/>
      <c r="SB1470" s="29"/>
      <c r="SC1470" s="29"/>
      <c r="SD1470" s="29"/>
      <c r="SE1470" s="29"/>
      <c r="SF1470" s="29"/>
      <c r="SG1470" s="29"/>
      <c r="SH1470" s="29"/>
      <c r="SI1470" s="29"/>
      <c r="SJ1470" s="29"/>
      <c r="SK1470" s="29"/>
      <c r="SL1470" s="29"/>
      <c r="SM1470" s="29"/>
      <c r="SN1470" s="29"/>
      <c r="SO1470" s="29"/>
      <c r="SP1470" s="29"/>
      <c r="SQ1470" s="29"/>
      <c r="SR1470" s="29"/>
      <c r="SS1470" s="29"/>
      <c r="ST1470" s="29"/>
      <c r="SU1470" s="29"/>
      <c r="SV1470" s="29"/>
      <c r="SW1470" s="29"/>
      <c r="SX1470" s="29"/>
      <c r="SY1470" s="29"/>
      <c r="SZ1470" s="29"/>
      <c r="TA1470" s="29"/>
      <c r="TB1470" s="29"/>
      <c r="TC1470" s="29"/>
      <c r="TD1470" s="29"/>
      <c r="TE1470" s="29"/>
      <c r="TF1470" s="29"/>
      <c r="TG1470" s="29"/>
      <c r="TH1470" s="29"/>
      <c r="TI1470" s="29"/>
      <c r="TJ1470" s="29"/>
      <c r="TK1470" s="29"/>
      <c r="TL1470" s="29"/>
      <c r="TM1470" s="29"/>
      <c r="TN1470" s="29"/>
      <c r="TO1470" s="29"/>
      <c r="TP1470" s="29"/>
      <c r="TQ1470" s="29"/>
      <c r="TR1470" s="29"/>
      <c r="TS1470" s="29"/>
      <c r="TT1470" s="29"/>
      <c r="TU1470" s="29"/>
      <c r="TV1470" s="29"/>
      <c r="TW1470" s="29"/>
      <c r="TX1470" s="29"/>
      <c r="TY1470" s="29"/>
      <c r="TZ1470" s="29"/>
      <c r="UA1470" s="29"/>
      <c r="UB1470" s="29"/>
      <c r="UC1470" s="29"/>
      <c r="UD1470" s="29"/>
      <c r="UE1470" s="29"/>
      <c r="UF1470" s="29"/>
      <c r="UG1470" s="29"/>
    </row>
    <row r="1471" spans="1:553" ht="52.9" customHeight="1">
      <c r="A1471" s="356" t="s">
        <v>15</v>
      </c>
      <c r="B1471" s="385" t="s">
        <v>799</v>
      </c>
      <c r="C1471" s="1397" t="s">
        <v>800</v>
      </c>
      <c r="D1471" s="1389"/>
      <c r="E1471" s="1389"/>
      <c r="F1471" s="1390"/>
      <c r="G1471" s="417" t="s">
        <v>1303</v>
      </c>
      <c r="H1471" s="370"/>
      <c r="I1471" s="422">
        <f>3*7+3*5</f>
        <v>36</v>
      </c>
      <c r="J1471" s="368">
        <v>411000</v>
      </c>
      <c r="K1471" s="371"/>
      <c r="L1471" s="487">
        <f t="shared" si="222"/>
        <v>14796000</v>
      </c>
      <c r="M1471" s="395"/>
      <c r="N1471" s="395"/>
      <c r="O1471" s="366"/>
      <c r="P1471" s="396"/>
      <c r="Q1471" s="473"/>
      <c r="R1471" s="1039"/>
      <c r="S1471" s="308"/>
      <c r="T1471" s="308"/>
      <c r="U1471" s="308"/>
      <c r="V1471" s="308"/>
      <c r="W1471" s="308"/>
      <c r="X1471" s="308"/>
      <c r="Y1471" s="308"/>
      <c r="Z1471" s="604"/>
      <c r="AA1471" s="308"/>
      <c r="AB1471" s="308"/>
      <c r="AC1471" s="486"/>
      <c r="AD1471" s="486"/>
      <c r="AE1471" s="486"/>
      <c r="AF1471" s="486"/>
      <c r="AG1471" s="486"/>
      <c r="AH1471" s="486"/>
      <c r="AI1471" s="486"/>
      <c r="AJ1471" s="486"/>
      <c r="AK1471" s="486"/>
      <c r="AL1471" s="206"/>
      <c r="AM1471" s="29"/>
      <c r="AN1471" s="29"/>
      <c r="AO1471" s="29"/>
      <c r="AP1471" s="29"/>
      <c r="AQ1471" s="29"/>
      <c r="AR1471" s="29"/>
      <c r="AS1471" s="29"/>
      <c r="AT1471" s="29"/>
      <c r="AU1471" s="29"/>
      <c r="AV1471" s="29"/>
      <c r="AW1471" s="29"/>
      <c r="AX1471" s="29"/>
      <c r="AY1471" s="29"/>
      <c r="AZ1471" s="29"/>
      <c r="BA1471" s="29"/>
      <c r="BB1471" s="29"/>
      <c r="BC1471" s="29"/>
      <c r="BD1471" s="29"/>
      <c r="BE1471" s="29"/>
      <c r="BF1471" s="29"/>
      <c r="BG1471" s="29"/>
      <c r="BH1471" s="29"/>
      <c r="BI1471" s="29"/>
      <c r="BJ1471" s="29"/>
      <c r="BK1471" s="29"/>
      <c r="BL1471" s="29"/>
      <c r="BM1471" s="29"/>
      <c r="BN1471" s="29"/>
      <c r="BO1471" s="29"/>
      <c r="BP1471" s="29"/>
      <c r="BQ1471" s="29"/>
      <c r="BR1471" s="29"/>
      <c r="BS1471" s="29"/>
      <c r="BT1471" s="29"/>
      <c r="BU1471" s="29"/>
      <c r="BV1471" s="29"/>
      <c r="BW1471" s="29"/>
      <c r="BX1471" s="29"/>
      <c r="BY1471" s="29"/>
      <c r="BZ1471" s="29"/>
      <c r="CA1471" s="29"/>
      <c r="CB1471" s="29"/>
      <c r="CC1471" s="29"/>
      <c r="CD1471" s="29"/>
      <c r="CE1471" s="29"/>
      <c r="CF1471" s="29"/>
      <c r="CG1471" s="29"/>
      <c r="CH1471" s="29"/>
      <c r="CI1471" s="29"/>
      <c r="CJ1471" s="29"/>
      <c r="CK1471" s="29"/>
      <c r="CL1471" s="29"/>
      <c r="CM1471" s="29"/>
      <c r="CN1471" s="29"/>
      <c r="CO1471" s="29"/>
      <c r="CP1471" s="29"/>
      <c r="CQ1471" s="29"/>
      <c r="CR1471" s="29"/>
      <c r="CS1471" s="29"/>
      <c r="CT1471" s="29"/>
      <c r="CU1471" s="29"/>
      <c r="CV1471" s="29"/>
      <c r="CW1471" s="29"/>
      <c r="CX1471" s="29"/>
      <c r="CY1471" s="29"/>
      <c r="CZ1471" s="29"/>
      <c r="DA1471" s="29"/>
      <c r="DB1471" s="29"/>
      <c r="DC1471" s="29"/>
      <c r="DD1471" s="29"/>
      <c r="DE1471" s="29"/>
      <c r="DF1471" s="29"/>
      <c r="DG1471" s="29"/>
      <c r="DH1471" s="29"/>
      <c r="DI1471" s="29"/>
      <c r="DJ1471" s="29"/>
      <c r="DK1471" s="29"/>
      <c r="DL1471" s="29"/>
      <c r="DM1471" s="29"/>
      <c r="DN1471" s="29"/>
      <c r="DO1471" s="29"/>
      <c r="DP1471" s="29"/>
      <c r="DQ1471" s="29"/>
      <c r="DR1471" s="29"/>
      <c r="DS1471" s="29"/>
      <c r="DT1471" s="29"/>
      <c r="DU1471" s="29"/>
      <c r="DV1471" s="29"/>
      <c r="DW1471" s="29"/>
      <c r="DX1471" s="29"/>
      <c r="DY1471" s="29"/>
      <c r="DZ1471" s="29"/>
      <c r="EA1471" s="29"/>
      <c r="EB1471" s="29"/>
      <c r="EC1471" s="29"/>
      <c r="ED1471" s="29"/>
      <c r="EE1471" s="29"/>
      <c r="EF1471" s="29"/>
      <c r="EG1471" s="29"/>
      <c r="EH1471" s="29"/>
      <c r="EI1471" s="29"/>
      <c r="EJ1471" s="29"/>
      <c r="EK1471" s="29"/>
      <c r="EL1471" s="29"/>
      <c r="EM1471" s="29"/>
      <c r="EN1471" s="29"/>
      <c r="EO1471" s="29"/>
      <c r="EP1471" s="29"/>
      <c r="EQ1471" s="29"/>
      <c r="ER1471" s="29"/>
      <c r="ES1471" s="29"/>
      <c r="ET1471" s="29"/>
      <c r="EU1471" s="29"/>
      <c r="EV1471" s="29"/>
      <c r="EW1471" s="29"/>
      <c r="EX1471" s="29"/>
      <c r="EY1471" s="29"/>
      <c r="EZ1471" s="29"/>
      <c r="FA1471" s="29"/>
      <c r="FB1471" s="29"/>
      <c r="FC1471" s="29"/>
      <c r="FD1471" s="29"/>
      <c r="FE1471" s="29"/>
      <c r="FF1471" s="29"/>
      <c r="FG1471" s="29"/>
      <c r="FH1471" s="29"/>
      <c r="FI1471" s="29"/>
      <c r="FJ1471" s="29"/>
      <c r="FK1471" s="29"/>
      <c r="FL1471" s="29"/>
      <c r="FM1471" s="29"/>
      <c r="FN1471" s="29"/>
      <c r="FO1471" s="29"/>
      <c r="FP1471" s="29"/>
      <c r="FQ1471" s="29"/>
      <c r="FR1471" s="29"/>
      <c r="FS1471" s="29"/>
      <c r="FT1471" s="29"/>
      <c r="FU1471" s="29"/>
      <c r="FV1471" s="29"/>
      <c r="FW1471" s="29"/>
      <c r="FX1471" s="29"/>
      <c r="FY1471" s="29"/>
      <c r="FZ1471" s="29"/>
      <c r="GA1471" s="29"/>
      <c r="GB1471" s="29"/>
      <c r="GC1471" s="29"/>
      <c r="GD1471" s="29"/>
      <c r="GE1471" s="29"/>
      <c r="GF1471" s="29"/>
      <c r="GG1471" s="29"/>
      <c r="GH1471" s="29"/>
      <c r="GI1471" s="29"/>
      <c r="GJ1471" s="29"/>
      <c r="GK1471" s="29"/>
      <c r="GL1471" s="29"/>
      <c r="GM1471" s="29"/>
      <c r="GN1471" s="29"/>
      <c r="GO1471" s="29"/>
      <c r="GP1471" s="29"/>
      <c r="GQ1471" s="29"/>
      <c r="GR1471" s="29"/>
      <c r="GS1471" s="29"/>
      <c r="GT1471" s="29"/>
      <c r="GU1471" s="29"/>
      <c r="GV1471" s="29"/>
      <c r="GW1471" s="29"/>
      <c r="GX1471" s="29"/>
      <c r="GY1471" s="29"/>
      <c r="GZ1471" s="29"/>
      <c r="HA1471" s="29"/>
      <c r="HB1471" s="29"/>
      <c r="HC1471" s="29"/>
      <c r="HD1471" s="29"/>
      <c r="HE1471" s="29"/>
      <c r="HF1471" s="29"/>
      <c r="HG1471" s="29"/>
      <c r="HH1471" s="29"/>
      <c r="HI1471" s="29"/>
      <c r="HJ1471" s="29"/>
      <c r="HK1471" s="29"/>
      <c r="HL1471" s="29"/>
      <c r="HM1471" s="29"/>
      <c r="HN1471" s="29"/>
      <c r="HO1471" s="29"/>
      <c r="HP1471" s="29"/>
      <c r="HQ1471" s="29"/>
      <c r="HR1471" s="29"/>
      <c r="HS1471" s="29"/>
      <c r="HT1471" s="29"/>
      <c r="HU1471" s="29"/>
      <c r="HV1471" s="29"/>
      <c r="HW1471" s="29"/>
      <c r="HX1471" s="29"/>
      <c r="HY1471" s="29"/>
      <c r="HZ1471" s="29"/>
      <c r="IA1471" s="29"/>
      <c r="IB1471" s="29"/>
      <c r="IC1471" s="29"/>
      <c r="ID1471" s="29"/>
      <c r="IE1471" s="29"/>
      <c r="IF1471" s="29"/>
      <c r="IG1471" s="29"/>
      <c r="IH1471" s="29"/>
      <c r="II1471" s="29"/>
      <c r="IJ1471" s="29"/>
      <c r="IK1471" s="29"/>
      <c r="IL1471" s="29"/>
      <c r="IM1471" s="29"/>
      <c r="IN1471" s="29"/>
      <c r="IO1471" s="29"/>
      <c r="IP1471" s="29"/>
      <c r="IQ1471" s="29"/>
      <c r="IR1471" s="29"/>
      <c r="IS1471" s="29"/>
      <c r="IT1471" s="29"/>
      <c r="IU1471" s="29"/>
      <c r="IV1471" s="29"/>
      <c r="IW1471" s="29"/>
      <c r="IX1471" s="29"/>
      <c r="IY1471" s="29"/>
      <c r="IZ1471" s="29"/>
      <c r="JA1471" s="29"/>
      <c r="JB1471" s="29"/>
      <c r="JC1471" s="29"/>
      <c r="JD1471" s="29"/>
      <c r="JE1471" s="29"/>
      <c r="JF1471" s="29"/>
      <c r="JG1471" s="29"/>
      <c r="JH1471" s="29"/>
      <c r="JI1471" s="29"/>
      <c r="JJ1471" s="29"/>
      <c r="JK1471" s="29"/>
      <c r="JL1471" s="29"/>
      <c r="JM1471" s="29"/>
      <c r="JN1471" s="29"/>
      <c r="JO1471" s="29"/>
      <c r="JP1471" s="29"/>
      <c r="JQ1471" s="29"/>
      <c r="JR1471" s="29"/>
      <c r="JS1471" s="29"/>
      <c r="JT1471" s="29"/>
      <c r="JU1471" s="29"/>
      <c r="JV1471" s="29"/>
      <c r="JW1471" s="29"/>
      <c r="JX1471" s="29"/>
      <c r="JY1471" s="29"/>
      <c r="JZ1471" s="29"/>
      <c r="KA1471" s="29"/>
      <c r="KB1471" s="29"/>
      <c r="KC1471" s="29"/>
      <c r="KD1471" s="29"/>
      <c r="KE1471" s="29"/>
      <c r="KF1471" s="29"/>
      <c r="KG1471" s="29"/>
      <c r="KH1471" s="29"/>
      <c r="KI1471" s="29"/>
      <c r="KJ1471" s="29"/>
      <c r="KK1471" s="29"/>
      <c r="KL1471" s="29"/>
      <c r="KM1471" s="29"/>
      <c r="KN1471" s="29"/>
      <c r="KO1471" s="29"/>
      <c r="KP1471" s="29"/>
      <c r="KQ1471" s="29"/>
      <c r="KR1471" s="29"/>
      <c r="KS1471" s="29"/>
      <c r="KT1471" s="29"/>
      <c r="KU1471" s="29"/>
      <c r="KV1471" s="29"/>
      <c r="KW1471" s="29"/>
      <c r="KX1471" s="29"/>
      <c r="KY1471" s="29"/>
      <c r="KZ1471" s="29"/>
      <c r="LA1471" s="29"/>
      <c r="LB1471" s="29"/>
      <c r="LC1471" s="29"/>
      <c r="LD1471" s="29"/>
      <c r="LE1471" s="29"/>
      <c r="LF1471" s="29"/>
      <c r="LG1471" s="29"/>
      <c r="LH1471" s="29"/>
      <c r="LI1471" s="29"/>
      <c r="LJ1471" s="29"/>
      <c r="LK1471" s="29"/>
      <c r="LL1471" s="29"/>
      <c r="LM1471" s="29"/>
      <c r="LN1471" s="29"/>
      <c r="LO1471" s="29"/>
      <c r="LP1471" s="29"/>
      <c r="LQ1471" s="29"/>
      <c r="LR1471" s="29"/>
      <c r="LS1471" s="29"/>
      <c r="LT1471" s="29"/>
      <c r="LU1471" s="29"/>
      <c r="LV1471" s="29"/>
      <c r="LW1471" s="29"/>
      <c r="LX1471" s="29"/>
      <c r="LY1471" s="29"/>
      <c r="LZ1471" s="29"/>
      <c r="MA1471" s="29"/>
      <c r="MB1471" s="29"/>
      <c r="MC1471" s="29"/>
      <c r="MD1471" s="29"/>
      <c r="ME1471" s="29"/>
      <c r="MF1471" s="29"/>
      <c r="MG1471" s="29"/>
      <c r="MH1471" s="29"/>
      <c r="MI1471" s="29"/>
      <c r="MJ1471" s="29"/>
      <c r="MK1471" s="29"/>
      <c r="ML1471" s="29"/>
      <c r="MM1471" s="29"/>
      <c r="MN1471" s="29"/>
      <c r="MO1471" s="29"/>
      <c r="MP1471" s="29"/>
      <c r="MQ1471" s="29"/>
      <c r="MR1471" s="29"/>
      <c r="MS1471" s="29"/>
      <c r="MT1471" s="29"/>
      <c r="MU1471" s="29"/>
      <c r="MV1471" s="29"/>
      <c r="MW1471" s="29"/>
      <c r="MX1471" s="29"/>
      <c r="MY1471" s="29"/>
      <c r="MZ1471" s="29"/>
      <c r="NA1471" s="29"/>
      <c r="NB1471" s="29"/>
      <c r="NC1471" s="29"/>
      <c r="ND1471" s="29"/>
      <c r="NE1471" s="29"/>
      <c r="NF1471" s="29"/>
      <c r="NG1471" s="29"/>
      <c r="NH1471" s="29"/>
      <c r="NI1471" s="29"/>
      <c r="NJ1471" s="29"/>
      <c r="NK1471" s="29"/>
      <c r="NL1471" s="29"/>
      <c r="NM1471" s="29"/>
      <c r="NN1471" s="29"/>
      <c r="NO1471" s="29"/>
      <c r="NP1471" s="29"/>
      <c r="NQ1471" s="29"/>
      <c r="NR1471" s="29"/>
      <c r="NS1471" s="29"/>
      <c r="NT1471" s="29"/>
      <c r="NU1471" s="29"/>
      <c r="NV1471" s="29"/>
      <c r="NW1471" s="29"/>
      <c r="NX1471" s="29"/>
      <c r="NY1471" s="29"/>
      <c r="NZ1471" s="29"/>
      <c r="OA1471" s="29"/>
      <c r="OB1471" s="29"/>
      <c r="OC1471" s="29"/>
      <c r="OD1471" s="29"/>
      <c r="OE1471" s="29"/>
      <c r="OF1471" s="29"/>
      <c r="OG1471" s="29"/>
      <c r="OH1471" s="29"/>
      <c r="OI1471" s="29"/>
      <c r="OJ1471" s="29"/>
      <c r="OK1471" s="29"/>
      <c r="OL1471" s="29"/>
      <c r="OM1471" s="29"/>
      <c r="ON1471" s="29"/>
      <c r="OO1471" s="29"/>
      <c r="OP1471" s="29"/>
      <c r="OQ1471" s="29"/>
      <c r="OR1471" s="29"/>
      <c r="OS1471" s="29"/>
      <c r="OT1471" s="29"/>
      <c r="OU1471" s="29"/>
      <c r="OV1471" s="29"/>
      <c r="OW1471" s="29"/>
      <c r="OX1471" s="29"/>
      <c r="OY1471" s="29"/>
      <c r="OZ1471" s="29"/>
      <c r="PA1471" s="29"/>
      <c r="PB1471" s="29"/>
      <c r="PC1471" s="29"/>
      <c r="PD1471" s="29"/>
      <c r="PE1471" s="29"/>
      <c r="PF1471" s="29"/>
      <c r="PG1471" s="29"/>
      <c r="PH1471" s="29"/>
      <c r="PI1471" s="29"/>
      <c r="PJ1471" s="29"/>
      <c r="PK1471" s="29"/>
      <c r="PL1471" s="29"/>
      <c r="PM1471" s="29"/>
      <c r="PN1471" s="29"/>
      <c r="PO1471" s="29"/>
      <c r="PP1471" s="29"/>
      <c r="PQ1471" s="29"/>
      <c r="PR1471" s="29"/>
      <c r="PS1471" s="29"/>
      <c r="PT1471" s="29"/>
      <c r="PU1471" s="29"/>
      <c r="PV1471" s="29"/>
      <c r="PW1471" s="29"/>
      <c r="PX1471" s="29"/>
      <c r="PY1471" s="29"/>
      <c r="PZ1471" s="29"/>
      <c r="QA1471" s="29"/>
      <c r="QB1471" s="29"/>
      <c r="QC1471" s="29"/>
      <c r="QD1471" s="29"/>
      <c r="QE1471" s="29"/>
      <c r="QF1471" s="29"/>
      <c r="QG1471" s="29"/>
      <c r="QH1471" s="29"/>
      <c r="QI1471" s="29"/>
      <c r="QJ1471" s="29"/>
      <c r="QK1471" s="29"/>
      <c r="QL1471" s="29"/>
      <c r="QM1471" s="29"/>
      <c r="QN1471" s="29"/>
      <c r="QO1471" s="29"/>
      <c r="QP1471" s="29"/>
      <c r="QQ1471" s="29"/>
      <c r="QR1471" s="29"/>
      <c r="QS1471" s="29"/>
      <c r="QT1471" s="29"/>
      <c r="QU1471" s="29"/>
      <c r="QV1471" s="29"/>
      <c r="QW1471" s="29"/>
      <c r="QX1471" s="29"/>
      <c r="QY1471" s="29"/>
      <c r="QZ1471" s="29"/>
      <c r="RA1471" s="29"/>
      <c r="RB1471" s="29"/>
      <c r="RC1471" s="29"/>
      <c r="RD1471" s="29"/>
      <c r="RE1471" s="29"/>
      <c r="RF1471" s="29"/>
      <c r="RG1471" s="29"/>
      <c r="RH1471" s="29"/>
      <c r="RI1471" s="29"/>
      <c r="RJ1471" s="29"/>
      <c r="RK1471" s="29"/>
      <c r="RL1471" s="29"/>
      <c r="RM1471" s="29"/>
      <c r="RN1471" s="29"/>
      <c r="RO1471" s="29"/>
      <c r="RP1471" s="29"/>
      <c r="RQ1471" s="29"/>
      <c r="RR1471" s="29"/>
      <c r="RS1471" s="29"/>
      <c r="RT1471" s="29"/>
      <c r="RU1471" s="29"/>
      <c r="RV1471" s="29"/>
      <c r="RW1471" s="29"/>
      <c r="RX1471" s="29"/>
      <c r="RY1471" s="29"/>
      <c r="RZ1471" s="29"/>
      <c r="SA1471" s="29"/>
      <c r="SB1471" s="29"/>
      <c r="SC1471" s="29"/>
      <c r="SD1471" s="29"/>
      <c r="SE1471" s="29"/>
      <c r="SF1471" s="29"/>
      <c r="SG1471" s="29"/>
      <c r="SH1471" s="29"/>
      <c r="SI1471" s="29"/>
      <c r="SJ1471" s="29"/>
      <c r="SK1471" s="29"/>
      <c r="SL1471" s="29"/>
      <c r="SM1471" s="29"/>
      <c r="SN1471" s="29"/>
      <c r="SO1471" s="29"/>
      <c r="SP1471" s="29"/>
      <c r="SQ1471" s="29"/>
      <c r="SR1471" s="29"/>
      <c r="SS1471" s="29"/>
      <c r="ST1471" s="29"/>
      <c r="SU1471" s="29"/>
      <c r="SV1471" s="29"/>
      <c r="SW1471" s="29"/>
      <c r="SX1471" s="29"/>
      <c r="SY1471" s="29"/>
      <c r="SZ1471" s="29"/>
      <c r="TA1471" s="29"/>
      <c r="TB1471" s="29"/>
      <c r="TC1471" s="29"/>
      <c r="TD1471" s="29"/>
      <c r="TE1471" s="29"/>
      <c r="TF1471" s="29"/>
      <c r="TG1471" s="29"/>
      <c r="TH1471" s="29"/>
      <c r="TI1471" s="29"/>
      <c r="TJ1471" s="29"/>
      <c r="TK1471" s="29"/>
      <c r="TL1471" s="29"/>
      <c r="TM1471" s="29"/>
      <c r="TN1471" s="29"/>
      <c r="TO1471" s="29"/>
      <c r="TP1471" s="29"/>
      <c r="TQ1471" s="29"/>
      <c r="TR1471" s="29"/>
      <c r="TS1471" s="29"/>
      <c r="TT1471" s="29"/>
      <c r="TU1471" s="29"/>
      <c r="TV1471" s="29"/>
      <c r="TW1471" s="29"/>
      <c r="TX1471" s="29"/>
      <c r="TY1471" s="29"/>
      <c r="TZ1471" s="29"/>
      <c r="UA1471" s="29"/>
      <c r="UB1471" s="29"/>
      <c r="UC1471" s="29"/>
      <c r="UD1471" s="29"/>
      <c r="UE1471" s="29"/>
      <c r="UF1471" s="29"/>
      <c r="UG1471" s="29"/>
    </row>
    <row r="1472" spans="1:553" ht="31.9" customHeight="1">
      <c r="A1472" s="356" t="s">
        <v>15</v>
      </c>
      <c r="B1472" s="385" t="s">
        <v>74</v>
      </c>
      <c r="C1472" s="1397" t="s">
        <v>1258</v>
      </c>
      <c r="D1472" s="1389"/>
      <c r="E1472" s="1389"/>
      <c r="F1472" s="1390"/>
      <c r="G1472" s="417" t="s">
        <v>1303</v>
      </c>
      <c r="H1472" s="370"/>
      <c r="I1472" s="422">
        <v>20</v>
      </c>
      <c r="J1472" s="368">
        <v>292400</v>
      </c>
      <c r="K1472" s="371"/>
      <c r="L1472" s="487">
        <f t="shared" si="222"/>
        <v>5848000</v>
      </c>
      <c r="M1472" s="395"/>
      <c r="N1472" s="395"/>
      <c r="O1472" s="366"/>
      <c r="P1472" s="396"/>
      <c r="Q1472" s="473"/>
      <c r="R1472" s="1039"/>
      <c r="S1472" s="308"/>
      <c r="T1472" s="308"/>
      <c r="U1472" s="308"/>
      <c r="V1472" s="308"/>
      <c r="W1472" s="308"/>
      <c r="X1472" s="308"/>
      <c r="Y1472" s="308"/>
      <c r="Z1472" s="604"/>
      <c r="AA1472" s="308"/>
      <c r="AB1472" s="308"/>
      <c r="AC1472" s="486"/>
      <c r="AD1472" s="486"/>
      <c r="AE1472" s="486"/>
      <c r="AF1472" s="486"/>
      <c r="AG1472" s="486"/>
      <c r="AH1472" s="486"/>
      <c r="AI1472" s="486"/>
      <c r="AJ1472" s="486"/>
      <c r="AK1472" s="486"/>
      <c r="AL1472" s="206"/>
      <c r="AM1472" s="29"/>
      <c r="AN1472" s="29"/>
      <c r="AO1472" s="29"/>
      <c r="AP1472" s="29"/>
      <c r="AQ1472" s="29"/>
      <c r="AR1472" s="29"/>
      <c r="AS1472" s="29"/>
      <c r="AT1472" s="29"/>
      <c r="AU1472" s="29"/>
      <c r="AV1472" s="29"/>
      <c r="AW1472" s="29"/>
      <c r="AX1472" s="29"/>
      <c r="AY1472" s="29"/>
      <c r="AZ1472" s="29"/>
      <c r="BA1472" s="29"/>
      <c r="BB1472" s="29"/>
      <c r="BC1472" s="29"/>
      <c r="BD1472" s="29"/>
      <c r="BE1472" s="29"/>
      <c r="BF1472" s="29"/>
      <c r="BG1472" s="29"/>
      <c r="BH1472" s="29"/>
      <c r="BI1472" s="29"/>
      <c r="BJ1472" s="29"/>
      <c r="BK1472" s="29"/>
      <c r="BL1472" s="29"/>
      <c r="BM1472" s="29"/>
      <c r="BN1472" s="29"/>
      <c r="BO1472" s="29"/>
      <c r="BP1472" s="29"/>
      <c r="BQ1472" s="29"/>
      <c r="BR1472" s="29"/>
      <c r="BS1472" s="29"/>
      <c r="BT1472" s="29"/>
      <c r="BU1472" s="29"/>
      <c r="BV1472" s="29"/>
      <c r="BW1472" s="29"/>
      <c r="BX1472" s="29"/>
      <c r="BY1472" s="29"/>
      <c r="BZ1472" s="29"/>
      <c r="CA1472" s="29"/>
      <c r="CB1472" s="29"/>
      <c r="CC1472" s="29"/>
      <c r="CD1472" s="29"/>
      <c r="CE1472" s="29"/>
      <c r="CF1472" s="29"/>
      <c r="CG1472" s="29"/>
      <c r="CH1472" s="29"/>
      <c r="CI1472" s="29"/>
      <c r="CJ1472" s="29"/>
      <c r="CK1472" s="29"/>
      <c r="CL1472" s="29"/>
      <c r="CM1472" s="29"/>
      <c r="CN1472" s="29"/>
      <c r="CO1472" s="29"/>
      <c r="CP1472" s="29"/>
      <c r="CQ1472" s="29"/>
      <c r="CR1472" s="29"/>
      <c r="CS1472" s="29"/>
      <c r="CT1472" s="29"/>
      <c r="CU1472" s="29"/>
      <c r="CV1472" s="29"/>
      <c r="CW1472" s="29"/>
      <c r="CX1472" s="29"/>
      <c r="CY1472" s="29"/>
      <c r="CZ1472" s="29"/>
      <c r="DA1472" s="29"/>
      <c r="DB1472" s="29"/>
      <c r="DC1472" s="29"/>
      <c r="DD1472" s="29"/>
      <c r="DE1472" s="29"/>
      <c r="DF1472" s="29"/>
      <c r="DG1472" s="29"/>
      <c r="DH1472" s="29"/>
      <c r="DI1472" s="29"/>
      <c r="DJ1472" s="29"/>
      <c r="DK1472" s="29"/>
      <c r="DL1472" s="29"/>
      <c r="DM1472" s="29"/>
      <c r="DN1472" s="29"/>
      <c r="DO1472" s="29"/>
      <c r="DP1472" s="29"/>
      <c r="DQ1472" s="29"/>
      <c r="DR1472" s="29"/>
      <c r="DS1472" s="29"/>
      <c r="DT1472" s="29"/>
      <c r="DU1472" s="29"/>
      <c r="DV1472" s="29"/>
      <c r="DW1472" s="29"/>
      <c r="DX1472" s="29"/>
      <c r="DY1472" s="29"/>
      <c r="DZ1472" s="29"/>
      <c r="EA1472" s="29"/>
      <c r="EB1472" s="29"/>
      <c r="EC1472" s="29"/>
      <c r="ED1472" s="29"/>
      <c r="EE1472" s="29"/>
      <c r="EF1472" s="29"/>
      <c r="EG1472" s="29"/>
      <c r="EH1472" s="29"/>
      <c r="EI1472" s="29"/>
      <c r="EJ1472" s="29"/>
      <c r="EK1472" s="29"/>
      <c r="EL1472" s="29"/>
      <c r="EM1472" s="29"/>
      <c r="EN1472" s="29"/>
      <c r="EO1472" s="29"/>
      <c r="EP1472" s="29"/>
      <c r="EQ1472" s="29"/>
      <c r="ER1472" s="29"/>
      <c r="ES1472" s="29"/>
      <c r="ET1472" s="29"/>
      <c r="EU1472" s="29"/>
      <c r="EV1472" s="29"/>
      <c r="EW1472" s="29"/>
      <c r="EX1472" s="29"/>
      <c r="EY1472" s="29"/>
      <c r="EZ1472" s="29"/>
      <c r="FA1472" s="29"/>
      <c r="FB1472" s="29"/>
      <c r="FC1472" s="29"/>
      <c r="FD1472" s="29"/>
      <c r="FE1472" s="29"/>
      <c r="FF1472" s="29"/>
      <c r="FG1472" s="29"/>
      <c r="FH1472" s="29"/>
      <c r="FI1472" s="29"/>
      <c r="FJ1472" s="29"/>
      <c r="FK1472" s="29"/>
      <c r="FL1472" s="29"/>
      <c r="FM1472" s="29"/>
      <c r="FN1472" s="29"/>
      <c r="FO1472" s="29"/>
      <c r="FP1472" s="29"/>
      <c r="FQ1472" s="29"/>
      <c r="FR1472" s="29"/>
      <c r="FS1472" s="29"/>
      <c r="FT1472" s="29"/>
      <c r="FU1472" s="29"/>
      <c r="FV1472" s="29"/>
      <c r="FW1472" s="29"/>
      <c r="FX1472" s="29"/>
      <c r="FY1472" s="29"/>
      <c r="FZ1472" s="29"/>
      <c r="GA1472" s="29"/>
      <c r="GB1472" s="29"/>
      <c r="GC1472" s="29"/>
      <c r="GD1472" s="29"/>
      <c r="GE1472" s="29"/>
      <c r="GF1472" s="29"/>
      <c r="GG1472" s="29"/>
      <c r="GH1472" s="29"/>
      <c r="GI1472" s="29"/>
      <c r="GJ1472" s="29"/>
      <c r="GK1472" s="29"/>
      <c r="GL1472" s="29"/>
      <c r="GM1472" s="29"/>
      <c r="GN1472" s="29"/>
      <c r="GO1472" s="29"/>
      <c r="GP1472" s="29"/>
      <c r="GQ1472" s="29"/>
      <c r="GR1472" s="29"/>
      <c r="GS1472" s="29"/>
      <c r="GT1472" s="29"/>
      <c r="GU1472" s="29"/>
      <c r="GV1472" s="29"/>
      <c r="GW1472" s="29"/>
      <c r="GX1472" s="29"/>
      <c r="GY1472" s="29"/>
      <c r="GZ1472" s="29"/>
      <c r="HA1472" s="29"/>
      <c r="HB1472" s="29"/>
      <c r="HC1472" s="29"/>
      <c r="HD1472" s="29"/>
      <c r="HE1472" s="29"/>
      <c r="HF1472" s="29"/>
      <c r="HG1472" s="29"/>
      <c r="HH1472" s="29"/>
      <c r="HI1472" s="29"/>
      <c r="HJ1472" s="29"/>
      <c r="HK1472" s="29"/>
      <c r="HL1472" s="29"/>
      <c r="HM1472" s="29"/>
      <c r="HN1472" s="29"/>
      <c r="HO1472" s="29"/>
      <c r="HP1472" s="29"/>
      <c r="HQ1472" s="29"/>
      <c r="HR1472" s="29"/>
      <c r="HS1472" s="29"/>
      <c r="HT1472" s="29"/>
      <c r="HU1472" s="29"/>
      <c r="HV1472" s="29"/>
      <c r="HW1472" s="29"/>
      <c r="HX1472" s="29"/>
      <c r="HY1472" s="29"/>
      <c r="HZ1472" s="29"/>
      <c r="IA1472" s="29"/>
      <c r="IB1472" s="29"/>
      <c r="IC1472" s="29"/>
      <c r="ID1472" s="29"/>
      <c r="IE1472" s="29"/>
      <c r="IF1472" s="29"/>
      <c r="IG1472" s="29"/>
      <c r="IH1472" s="29"/>
      <c r="II1472" s="29"/>
      <c r="IJ1472" s="29"/>
      <c r="IK1472" s="29"/>
      <c r="IL1472" s="29"/>
      <c r="IM1472" s="29"/>
      <c r="IN1472" s="29"/>
      <c r="IO1472" s="29"/>
      <c r="IP1472" s="29"/>
      <c r="IQ1472" s="29"/>
      <c r="IR1472" s="29"/>
      <c r="IS1472" s="29"/>
      <c r="IT1472" s="29"/>
      <c r="IU1472" s="29"/>
      <c r="IV1472" s="29"/>
      <c r="IW1472" s="29"/>
      <c r="IX1472" s="29"/>
      <c r="IY1472" s="29"/>
      <c r="IZ1472" s="29"/>
      <c r="JA1472" s="29"/>
      <c r="JB1472" s="29"/>
      <c r="JC1472" s="29"/>
      <c r="JD1472" s="29"/>
      <c r="JE1472" s="29"/>
      <c r="JF1472" s="29"/>
      <c r="JG1472" s="29"/>
      <c r="JH1472" s="29"/>
      <c r="JI1472" s="29"/>
      <c r="JJ1472" s="29"/>
      <c r="JK1472" s="29"/>
      <c r="JL1472" s="29"/>
      <c r="JM1472" s="29"/>
      <c r="JN1472" s="29"/>
      <c r="JO1472" s="29"/>
      <c r="JP1472" s="29"/>
      <c r="JQ1472" s="29"/>
      <c r="JR1472" s="29"/>
      <c r="JS1472" s="29"/>
      <c r="JT1472" s="29"/>
      <c r="JU1472" s="29"/>
      <c r="JV1472" s="29"/>
      <c r="JW1472" s="29"/>
      <c r="JX1472" s="29"/>
      <c r="JY1472" s="29"/>
      <c r="JZ1472" s="29"/>
      <c r="KA1472" s="29"/>
      <c r="KB1472" s="29"/>
      <c r="KC1472" s="29"/>
      <c r="KD1472" s="29"/>
      <c r="KE1472" s="29"/>
      <c r="KF1472" s="29"/>
      <c r="KG1472" s="29"/>
      <c r="KH1472" s="29"/>
      <c r="KI1472" s="29"/>
      <c r="KJ1472" s="29"/>
      <c r="KK1472" s="29"/>
      <c r="KL1472" s="29"/>
      <c r="KM1472" s="29"/>
      <c r="KN1472" s="29"/>
      <c r="KO1472" s="29"/>
      <c r="KP1472" s="29"/>
      <c r="KQ1472" s="29"/>
      <c r="KR1472" s="29"/>
      <c r="KS1472" s="29"/>
      <c r="KT1472" s="29"/>
      <c r="KU1472" s="29"/>
      <c r="KV1472" s="29"/>
      <c r="KW1472" s="29"/>
      <c r="KX1472" s="29"/>
      <c r="KY1472" s="29"/>
      <c r="KZ1472" s="29"/>
      <c r="LA1472" s="29"/>
      <c r="LB1472" s="29"/>
      <c r="LC1472" s="29"/>
      <c r="LD1472" s="29"/>
      <c r="LE1472" s="29"/>
      <c r="LF1472" s="29"/>
      <c r="LG1472" s="29"/>
      <c r="LH1472" s="29"/>
      <c r="LI1472" s="29"/>
      <c r="LJ1472" s="29"/>
      <c r="LK1472" s="29"/>
      <c r="LL1472" s="29"/>
      <c r="LM1472" s="29"/>
      <c r="LN1472" s="29"/>
      <c r="LO1472" s="29"/>
      <c r="LP1472" s="29"/>
      <c r="LQ1472" s="29"/>
      <c r="LR1472" s="29"/>
      <c r="LS1472" s="29"/>
      <c r="LT1472" s="29"/>
      <c r="LU1472" s="29"/>
      <c r="LV1472" s="29"/>
      <c r="LW1472" s="29"/>
      <c r="LX1472" s="29"/>
      <c r="LY1472" s="29"/>
      <c r="LZ1472" s="29"/>
      <c r="MA1472" s="29"/>
      <c r="MB1472" s="29"/>
      <c r="MC1472" s="29"/>
      <c r="MD1472" s="29"/>
      <c r="ME1472" s="29"/>
      <c r="MF1472" s="29"/>
      <c r="MG1472" s="29"/>
      <c r="MH1472" s="29"/>
      <c r="MI1472" s="29"/>
      <c r="MJ1472" s="29"/>
      <c r="MK1472" s="29"/>
      <c r="ML1472" s="29"/>
      <c r="MM1472" s="29"/>
      <c r="MN1472" s="29"/>
      <c r="MO1472" s="29"/>
      <c r="MP1472" s="29"/>
      <c r="MQ1472" s="29"/>
      <c r="MR1472" s="29"/>
      <c r="MS1472" s="29"/>
      <c r="MT1472" s="29"/>
      <c r="MU1472" s="29"/>
      <c r="MV1472" s="29"/>
      <c r="MW1472" s="29"/>
      <c r="MX1472" s="29"/>
      <c r="MY1472" s="29"/>
      <c r="MZ1472" s="29"/>
      <c r="NA1472" s="29"/>
      <c r="NB1472" s="29"/>
      <c r="NC1472" s="29"/>
      <c r="ND1472" s="29"/>
      <c r="NE1472" s="29"/>
      <c r="NF1472" s="29"/>
      <c r="NG1472" s="29"/>
      <c r="NH1472" s="29"/>
      <c r="NI1472" s="29"/>
      <c r="NJ1472" s="29"/>
      <c r="NK1472" s="29"/>
      <c r="NL1472" s="29"/>
      <c r="NM1472" s="29"/>
      <c r="NN1472" s="29"/>
      <c r="NO1472" s="29"/>
      <c r="NP1472" s="29"/>
      <c r="NQ1472" s="29"/>
      <c r="NR1472" s="29"/>
      <c r="NS1472" s="29"/>
      <c r="NT1472" s="29"/>
      <c r="NU1472" s="29"/>
      <c r="NV1472" s="29"/>
      <c r="NW1472" s="29"/>
      <c r="NX1472" s="29"/>
      <c r="NY1472" s="29"/>
      <c r="NZ1472" s="29"/>
      <c r="OA1472" s="29"/>
      <c r="OB1472" s="29"/>
      <c r="OC1472" s="29"/>
      <c r="OD1472" s="29"/>
      <c r="OE1472" s="29"/>
      <c r="OF1472" s="29"/>
      <c r="OG1472" s="29"/>
      <c r="OH1472" s="29"/>
      <c r="OI1472" s="29"/>
      <c r="OJ1472" s="29"/>
      <c r="OK1472" s="29"/>
      <c r="OL1472" s="29"/>
      <c r="OM1472" s="29"/>
      <c r="ON1472" s="29"/>
      <c r="OO1472" s="29"/>
      <c r="OP1472" s="29"/>
      <c r="OQ1472" s="29"/>
      <c r="OR1472" s="29"/>
      <c r="OS1472" s="29"/>
      <c r="OT1472" s="29"/>
      <c r="OU1472" s="29"/>
      <c r="OV1472" s="29"/>
      <c r="OW1472" s="29"/>
      <c r="OX1472" s="29"/>
      <c r="OY1472" s="29"/>
      <c r="OZ1472" s="29"/>
      <c r="PA1472" s="29"/>
      <c r="PB1472" s="29"/>
      <c r="PC1472" s="29"/>
      <c r="PD1472" s="29"/>
      <c r="PE1472" s="29"/>
      <c r="PF1472" s="29"/>
      <c r="PG1472" s="29"/>
      <c r="PH1472" s="29"/>
      <c r="PI1472" s="29"/>
      <c r="PJ1472" s="29"/>
      <c r="PK1472" s="29"/>
      <c r="PL1472" s="29"/>
      <c r="PM1472" s="29"/>
      <c r="PN1472" s="29"/>
      <c r="PO1472" s="29"/>
      <c r="PP1472" s="29"/>
      <c r="PQ1472" s="29"/>
      <c r="PR1472" s="29"/>
      <c r="PS1472" s="29"/>
      <c r="PT1472" s="29"/>
      <c r="PU1472" s="29"/>
      <c r="PV1472" s="29"/>
      <c r="PW1472" s="29"/>
      <c r="PX1472" s="29"/>
      <c r="PY1472" s="29"/>
      <c r="PZ1472" s="29"/>
      <c r="QA1472" s="29"/>
      <c r="QB1472" s="29"/>
      <c r="QC1472" s="29"/>
      <c r="QD1472" s="29"/>
      <c r="QE1472" s="29"/>
      <c r="QF1472" s="29"/>
      <c r="QG1472" s="29"/>
      <c r="QH1472" s="29"/>
      <c r="QI1472" s="29"/>
      <c r="QJ1472" s="29"/>
      <c r="QK1472" s="29"/>
      <c r="QL1472" s="29"/>
      <c r="QM1472" s="29"/>
      <c r="QN1472" s="29"/>
      <c r="QO1472" s="29"/>
      <c r="QP1472" s="29"/>
      <c r="QQ1472" s="29"/>
      <c r="QR1472" s="29"/>
      <c r="QS1472" s="29"/>
      <c r="QT1472" s="29"/>
      <c r="QU1472" s="29"/>
      <c r="QV1472" s="29"/>
      <c r="QW1472" s="29"/>
      <c r="QX1472" s="29"/>
      <c r="QY1472" s="29"/>
      <c r="QZ1472" s="29"/>
      <c r="RA1472" s="29"/>
      <c r="RB1472" s="29"/>
      <c r="RC1472" s="29"/>
      <c r="RD1472" s="29"/>
      <c r="RE1472" s="29"/>
      <c r="RF1472" s="29"/>
      <c r="RG1472" s="29"/>
      <c r="RH1472" s="29"/>
      <c r="RI1472" s="29"/>
      <c r="RJ1472" s="29"/>
      <c r="RK1472" s="29"/>
      <c r="RL1472" s="29"/>
      <c r="RM1472" s="29"/>
      <c r="RN1472" s="29"/>
      <c r="RO1472" s="29"/>
      <c r="RP1472" s="29"/>
      <c r="RQ1472" s="29"/>
      <c r="RR1472" s="29"/>
      <c r="RS1472" s="29"/>
      <c r="RT1472" s="29"/>
      <c r="RU1472" s="29"/>
      <c r="RV1472" s="29"/>
      <c r="RW1472" s="29"/>
      <c r="RX1472" s="29"/>
      <c r="RY1472" s="29"/>
      <c r="RZ1472" s="29"/>
      <c r="SA1472" s="29"/>
      <c r="SB1472" s="29"/>
      <c r="SC1472" s="29"/>
      <c r="SD1472" s="29"/>
      <c r="SE1472" s="29"/>
      <c r="SF1472" s="29"/>
      <c r="SG1472" s="29"/>
      <c r="SH1472" s="29"/>
      <c r="SI1472" s="29"/>
      <c r="SJ1472" s="29"/>
      <c r="SK1472" s="29"/>
      <c r="SL1472" s="29"/>
      <c r="SM1472" s="29"/>
      <c r="SN1472" s="29"/>
      <c r="SO1472" s="29"/>
      <c r="SP1472" s="29"/>
      <c r="SQ1472" s="29"/>
      <c r="SR1472" s="29"/>
      <c r="SS1472" s="29"/>
      <c r="ST1472" s="29"/>
      <c r="SU1472" s="29"/>
      <c r="SV1472" s="29"/>
      <c r="SW1472" s="29"/>
      <c r="SX1472" s="29"/>
      <c r="SY1472" s="29"/>
      <c r="SZ1472" s="29"/>
      <c r="TA1472" s="29"/>
      <c r="TB1472" s="29"/>
      <c r="TC1472" s="29"/>
      <c r="TD1472" s="29"/>
      <c r="TE1472" s="29"/>
      <c r="TF1472" s="29"/>
      <c r="TG1472" s="29"/>
      <c r="TH1472" s="29"/>
      <c r="TI1472" s="29"/>
      <c r="TJ1472" s="29"/>
      <c r="TK1472" s="29"/>
      <c r="TL1472" s="29"/>
      <c r="TM1472" s="29"/>
      <c r="TN1472" s="29"/>
      <c r="TO1472" s="29"/>
      <c r="TP1472" s="29"/>
      <c r="TQ1472" s="29"/>
      <c r="TR1472" s="29"/>
      <c r="TS1472" s="29"/>
      <c r="TT1472" s="29"/>
      <c r="TU1472" s="29"/>
      <c r="TV1472" s="29"/>
      <c r="TW1472" s="29"/>
      <c r="TX1472" s="29"/>
      <c r="TY1472" s="29"/>
      <c r="TZ1472" s="29"/>
      <c r="UA1472" s="29"/>
      <c r="UB1472" s="29"/>
      <c r="UC1472" s="29"/>
      <c r="UD1472" s="29"/>
      <c r="UE1472" s="29"/>
      <c r="UF1472" s="29"/>
      <c r="UG1472" s="29"/>
    </row>
    <row r="1473" spans="1:553" ht="31.9" customHeight="1">
      <c r="A1473" s="356" t="s">
        <v>15</v>
      </c>
      <c r="B1473" s="385" t="s">
        <v>31</v>
      </c>
      <c r="C1473" s="1397" t="s">
        <v>1255</v>
      </c>
      <c r="D1473" s="1389"/>
      <c r="E1473" s="1389"/>
      <c r="F1473" s="1390"/>
      <c r="G1473" s="417" t="s">
        <v>1397</v>
      </c>
      <c r="H1473" s="370"/>
      <c r="I1473" s="422">
        <f>0.3*1.2*25</f>
        <v>9</v>
      </c>
      <c r="J1473" s="368">
        <v>606342</v>
      </c>
      <c r="K1473" s="371"/>
      <c r="L1473" s="487">
        <f t="shared" si="222"/>
        <v>5457078</v>
      </c>
      <c r="M1473" s="395"/>
      <c r="N1473" s="395"/>
      <c r="O1473" s="366"/>
      <c r="P1473" s="396"/>
      <c r="Q1473" s="473"/>
      <c r="R1473" s="1039"/>
      <c r="S1473" s="308"/>
      <c r="T1473" s="308"/>
      <c r="U1473" s="308"/>
      <c r="V1473" s="308"/>
      <c r="W1473" s="308"/>
      <c r="X1473" s="308"/>
      <c r="Y1473" s="308"/>
      <c r="Z1473" s="604"/>
      <c r="AA1473" s="308"/>
      <c r="AB1473" s="308"/>
      <c r="AC1473" s="486"/>
      <c r="AD1473" s="486"/>
      <c r="AE1473" s="486"/>
      <c r="AF1473" s="486"/>
      <c r="AG1473" s="486"/>
      <c r="AH1473" s="486"/>
      <c r="AI1473" s="486"/>
      <c r="AJ1473" s="486"/>
      <c r="AK1473" s="486"/>
      <c r="AL1473" s="206"/>
      <c r="AM1473" s="29"/>
      <c r="AN1473" s="29"/>
      <c r="AO1473" s="29"/>
      <c r="AP1473" s="29"/>
      <c r="AQ1473" s="29"/>
      <c r="AR1473" s="29"/>
      <c r="AS1473" s="29"/>
      <c r="AT1473" s="29"/>
      <c r="AU1473" s="29"/>
      <c r="AV1473" s="29"/>
      <c r="AW1473" s="29"/>
      <c r="AX1473" s="29"/>
      <c r="AY1473" s="29"/>
      <c r="AZ1473" s="29"/>
      <c r="BA1473" s="29"/>
      <c r="BB1473" s="29"/>
      <c r="BC1473" s="29"/>
      <c r="BD1473" s="29"/>
      <c r="BE1473" s="29"/>
      <c r="BF1473" s="29"/>
      <c r="BG1473" s="29"/>
      <c r="BH1473" s="29"/>
      <c r="BI1473" s="29"/>
      <c r="BJ1473" s="29"/>
      <c r="BK1473" s="29"/>
      <c r="BL1473" s="29"/>
      <c r="BM1473" s="29"/>
      <c r="BN1473" s="29"/>
      <c r="BO1473" s="29"/>
      <c r="BP1473" s="29"/>
      <c r="BQ1473" s="29"/>
      <c r="BR1473" s="29"/>
      <c r="BS1473" s="29"/>
      <c r="BT1473" s="29"/>
      <c r="BU1473" s="29"/>
      <c r="BV1473" s="29"/>
      <c r="BW1473" s="29"/>
      <c r="BX1473" s="29"/>
      <c r="BY1473" s="29"/>
      <c r="BZ1473" s="29"/>
      <c r="CA1473" s="29"/>
      <c r="CB1473" s="29"/>
      <c r="CC1473" s="29"/>
      <c r="CD1473" s="29"/>
      <c r="CE1473" s="29"/>
      <c r="CF1473" s="29"/>
      <c r="CG1473" s="29"/>
      <c r="CH1473" s="29"/>
      <c r="CI1473" s="29"/>
      <c r="CJ1473" s="29"/>
      <c r="CK1473" s="29"/>
      <c r="CL1473" s="29"/>
      <c r="CM1473" s="29"/>
      <c r="CN1473" s="29"/>
      <c r="CO1473" s="29"/>
      <c r="CP1473" s="29"/>
      <c r="CQ1473" s="29"/>
      <c r="CR1473" s="29"/>
      <c r="CS1473" s="29"/>
      <c r="CT1473" s="29"/>
      <c r="CU1473" s="29"/>
      <c r="CV1473" s="29"/>
      <c r="CW1473" s="29"/>
      <c r="CX1473" s="29"/>
      <c r="CY1473" s="29"/>
      <c r="CZ1473" s="29"/>
      <c r="DA1473" s="29"/>
      <c r="DB1473" s="29"/>
      <c r="DC1473" s="29"/>
      <c r="DD1473" s="29"/>
      <c r="DE1473" s="29"/>
      <c r="DF1473" s="29"/>
      <c r="DG1473" s="29"/>
      <c r="DH1473" s="29"/>
      <c r="DI1473" s="29"/>
      <c r="DJ1473" s="29"/>
      <c r="DK1473" s="29"/>
      <c r="DL1473" s="29"/>
      <c r="DM1473" s="29"/>
      <c r="DN1473" s="29"/>
      <c r="DO1473" s="29"/>
      <c r="DP1473" s="29"/>
      <c r="DQ1473" s="29"/>
      <c r="DR1473" s="29"/>
      <c r="DS1473" s="29"/>
      <c r="DT1473" s="29"/>
      <c r="DU1473" s="29"/>
      <c r="DV1473" s="29"/>
      <c r="DW1473" s="29"/>
      <c r="DX1473" s="29"/>
      <c r="DY1473" s="29"/>
      <c r="DZ1473" s="29"/>
      <c r="EA1473" s="29"/>
      <c r="EB1473" s="29"/>
      <c r="EC1473" s="29"/>
      <c r="ED1473" s="29"/>
      <c r="EE1473" s="29"/>
      <c r="EF1473" s="29"/>
      <c r="EG1473" s="29"/>
      <c r="EH1473" s="29"/>
      <c r="EI1473" s="29"/>
      <c r="EJ1473" s="29"/>
      <c r="EK1473" s="29"/>
      <c r="EL1473" s="29"/>
      <c r="EM1473" s="29"/>
      <c r="EN1473" s="29"/>
      <c r="EO1473" s="29"/>
      <c r="EP1473" s="29"/>
      <c r="EQ1473" s="29"/>
      <c r="ER1473" s="29"/>
      <c r="ES1473" s="29"/>
      <c r="ET1473" s="29"/>
      <c r="EU1473" s="29"/>
      <c r="EV1473" s="29"/>
      <c r="EW1473" s="29"/>
      <c r="EX1473" s="29"/>
      <c r="EY1473" s="29"/>
      <c r="EZ1473" s="29"/>
      <c r="FA1473" s="29"/>
      <c r="FB1473" s="29"/>
      <c r="FC1473" s="29"/>
      <c r="FD1473" s="29"/>
      <c r="FE1473" s="29"/>
      <c r="FF1473" s="29"/>
      <c r="FG1473" s="29"/>
      <c r="FH1473" s="29"/>
      <c r="FI1473" s="29"/>
      <c r="FJ1473" s="29"/>
      <c r="FK1473" s="29"/>
      <c r="FL1473" s="29"/>
      <c r="FM1473" s="29"/>
      <c r="FN1473" s="29"/>
      <c r="FO1473" s="29"/>
      <c r="FP1473" s="29"/>
      <c r="FQ1473" s="29"/>
      <c r="FR1473" s="29"/>
      <c r="FS1473" s="29"/>
      <c r="FT1473" s="29"/>
      <c r="FU1473" s="29"/>
      <c r="FV1473" s="29"/>
      <c r="FW1473" s="29"/>
      <c r="FX1473" s="29"/>
      <c r="FY1473" s="29"/>
      <c r="FZ1473" s="29"/>
      <c r="GA1473" s="29"/>
      <c r="GB1473" s="29"/>
      <c r="GC1473" s="29"/>
      <c r="GD1473" s="29"/>
      <c r="GE1473" s="29"/>
      <c r="GF1473" s="29"/>
      <c r="GG1473" s="29"/>
      <c r="GH1473" s="29"/>
      <c r="GI1473" s="29"/>
      <c r="GJ1473" s="29"/>
      <c r="GK1473" s="29"/>
      <c r="GL1473" s="29"/>
      <c r="GM1473" s="29"/>
      <c r="GN1473" s="29"/>
      <c r="GO1473" s="29"/>
      <c r="GP1473" s="29"/>
      <c r="GQ1473" s="29"/>
      <c r="GR1473" s="29"/>
      <c r="GS1473" s="29"/>
      <c r="GT1473" s="29"/>
      <c r="GU1473" s="29"/>
      <c r="GV1473" s="29"/>
      <c r="GW1473" s="29"/>
      <c r="GX1473" s="29"/>
      <c r="GY1473" s="29"/>
      <c r="GZ1473" s="29"/>
      <c r="HA1473" s="29"/>
      <c r="HB1473" s="29"/>
      <c r="HC1473" s="29"/>
      <c r="HD1473" s="29"/>
      <c r="HE1473" s="29"/>
      <c r="HF1473" s="29"/>
      <c r="HG1473" s="29"/>
      <c r="HH1473" s="29"/>
      <c r="HI1473" s="29"/>
      <c r="HJ1473" s="29"/>
      <c r="HK1473" s="29"/>
      <c r="HL1473" s="29"/>
      <c r="HM1473" s="29"/>
      <c r="HN1473" s="29"/>
      <c r="HO1473" s="29"/>
      <c r="HP1473" s="29"/>
      <c r="HQ1473" s="29"/>
      <c r="HR1473" s="29"/>
      <c r="HS1473" s="29"/>
      <c r="HT1473" s="29"/>
      <c r="HU1473" s="29"/>
      <c r="HV1473" s="29"/>
      <c r="HW1473" s="29"/>
      <c r="HX1473" s="29"/>
      <c r="HY1473" s="29"/>
      <c r="HZ1473" s="29"/>
      <c r="IA1473" s="29"/>
      <c r="IB1473" s="29"/>
      <c r="IC1473" s="29"/>
      <c r="ID1473" s="29"/>
      <c r="IE1473" s="29"/>
      <c r="IF1473" s="29"/>
      <c r="IG1473" s="29"/>
      <c r="IH1473" s="29"/>
      <c r="II1473" s="29"/>
      <c r="IJ1473" s="29"/>
      <c r="IK1473" s="29"/>
      <c r="IL1473" s="29"/>
      <c r="IM1473" s="29"/>
      <c r="IN1473" s="29"/>
      <c r="IO1473" s="29"/>
      <c r="IP1473" s="29"/>
      <c r="IQ1473" s="29"/>
      <c r="IR1473" s="29"/>
      <c r="IS1473" s="29"/>
      <c r="IT1473" s="29"/>
      <c r="IU1473" s="29"/>
      <c r="IV1473" s="29"/>
      <c r="IW1473" s="29"/>
      <c r="IX1473" s="29"/>
      <c r="IY1473" s="29"/>
      <c r="IZ1473" s="29"/>
      <c r="JA1473" s="29"/>
      <c r="JB1473" s="29"/>
      <c r="JC1473" s="29"/>
      <c r="JD1473" s="29"/>
      <c r="JE1473" s="29"/>
      <c r="JF1473" s="29"/>
      <c r="JG1473" s="29"/>
      <c r="JH1473" s="29"/>
      <c r="JI1473" s="29"/>
      <c r="JJ1473" s="29"/>
      <c r="JK1473" s="29"/>
      <c r="JL1473" s="29"/>
      <c r="JM1473" s="29"/>
      <c r="JN1473" s="29"/>
      <c r="JO1473" s="29"/>
      <c r="JP1473" s="29"/>
      <c r="JQ1473" s="29"/>
      <c r="JR1473" s="29"/>
      <c r="JS1473" s="29"/>
      <c r="JT1473" s="29"/>
      <c r="JU1473" s="29"/>
      <c r="JV1473" s="29"/>
      <c r="JW1473" s="29"/>
      <c r="JX1473" s="29"/>
      <c r="JY1473" s="29"/>
      <c r="JZ1473" s="29"/>
      <c r="KA1473" s="29"/>
      <c r="KB1473" s="29"/>
      <c r="KC1473" s="29"/>
      <c r="KD1473" s="29"/>
      <c r="KE1473" s="29"/>
      <c r="KF1473" s="29"/>
      <c r="KG1473" s="29"/>
      <c r="KH1473" s="29"/>
      <c r="KI1473" s="29"/>
      <c r="KJ1473" s="29"/>
      <c r="KK1473" s="29"/>
      <c r="KL1473" s="29"/>
      <c r="KM1473" s="29"/>
      <c r="KN1473" s="29"/>
      <c r="KO1473" s="29"/>
      <c r="KP1473" s="29"/>
      <c r="KQ1473" s="29"/>
      <c r="KR1473" s="29"/>
      <c r="KS1473" s="29"/>
      <c r="KT1473" s="29"/>
      <c r="KU1473" s="29"/>
      <c r="KV1473" s="29"/>
      <c r="KW1473" s="29"/>
      <c r="KX1473" s="29"/>
      <c r="KY1473" s="29"/>
      <c r="KZ1473" s="29"/>
      <c r="LA1473" s="29"/>
      <c r="LB1473" s="29"/>
      <c r="LC1473" s="29"/>
      <c r="LD1473" s="29"/>
      <c r="LE1473" s="29"/>
      <c r="LF1473" s="29"/>
      <c r="LG1473" s="29"/>
      <c r="LH1473" s="29"/>
      <c r="LI1473" s="29"/>
      <c r="LJ1473" s="29"/>
      <c r="LK1473" s="29"/>
      <c r="LL1473" s="29"/>
      <c r="LM1473" s="29"/>
      <c r="LN1473" s="29"/>
      <c r="LO1473" s="29"/>
      <c r="LP1473" s="29"/>
      <c r="LQ1473" s="29"/>
      <c r="LR1473" s="29"/>
      <c r="LS1473" s="29"/>
      <c r="LT1473" s="29"/>
      <c r="LU1473" s="29"/>
      <c r="LV1473" s="29"/>
      <c r="LW1473" s="29"/>
      <c r="LX1473" s="29"/>
      <c r="LY1473" s="29"/>
      <c r="LZ1473" s="29"/>
      <c r="MA1473" s="29"/>
      <c r="MB1473" s="29"/>
      <c r="MC1473" s="29"/>
      <c r="MD1473" s="29"/>
      <c r="ME1473" s="29"/>
      <c r="MF1473" s="29"/>
      <c r="MG1473" s="29"/>
      <c r="MH1473" s="29"/>
      <c r="MI1473" s="29"/>
      <c r="MJ1473" s="29"/>
      <c r="MK1473" s="29"/>
      <c r="ML1473" s="29"/>
      <c r="MM1473" s="29"/>
      <c r="MN1473" s="29"/>
      <c r="MO1473" s="29"/>
      <c r="MP1473" s="29"/>
      <c r="MQ1473" s="29"/>
      <c r="MR1473" s="29"/>
      <c r="MS1473" s="29"/>
      <c r="MT1473" s="29"/>
      <c r="MU1473" s="29"/>
      <c r="MV1473" s="29"/>
      <c r="MW1473" s="29"/>
      <c r="MX1473" s="29"/>
      <c r="MY1473" s="29"/>
      <c r="MZ1473" s="29"/>
      <c r="NA1473" s="29"/>
      <c r="NB1473" s="29"/>
      <c r="NC1473" s="29"/>
      <c r="ND1473" s="29"/>
      <c r="NE1473" s="29"/>
      <c r="NF1473" s="29"/>
      <c r="NG1473" s="29"/>
      <c r="NH1473" s="29"/>
      <c r="NI1473" s="29"/>
      <c r="NJ1473" s="29"/>
      <c r="NK1473" s="29"/>
      <c r="NL1473" s="29"/>
      <c r="NM1473" s="29"/>
      <c r="NN1473" s="29"/>
      <c r="NO1473" s="29"/>
      <c r="NP1473" s="29"/>
      <c r="NQ1473" s="29"/>
      <c r="NR1473" s="29"/>
      <c r="NS1473" s="29"/>
      <c r="NT1473" s="29"/>
      <c r="NU1473" s="29"/>
      <c r="NV1473" s="29"/>
      <c r="NW1473" s="29"/>
      <c r="NX1473" s="29"/>
      <c r="NY1473" s="29"/>
      <c r="NZ1473" s="29"/>
      <c r="OA1473" s="29"/>
      <c r="OB1473" s="29"/>
      <c r="OC1473" s="29"/>
      <c r="OD1473" s="29"/>
      <c r="OE1473" s="29"/>
      <c r="OF1473" s="29"/>
      <c r="OG1473" s="29"/>
      <c r="OH1473" s="29"/>
      <c r="OI1473" s="29"/>
      <c r="OJ1473" s="29"/>
      <c r="OK1473" s="29"/>
      <c r="OL1473" s="29"/>
      <c r="OM1473" s="29"/>
      <c r="ON1473" s="29"/>
      <c r="OO1473" s="29"/>
      <c r="OP1473" s="29"/>
      <c r="OQ1473" s="29"/>
      <c r="OR1473" s="29"/>
      <c r="OS1473" s="29"/>
      <c r="OT1473" s="29"/>
      <c r="OU1473" s="29"/>
      <c r="OV1473" s="29"/>
      <c r="OW1473" s="29"/>
      <c r="OX1473" s="29"/>
      <c r="OY1473" s="29"/>
      <c r="OZ1473" s="29"/>
      <c r="PA1473" s="29"/>
      <c r="PB1473" s="29"/>
      <c r="PC1473" s="29"/>
      <c r="PD1473" s="29"/>
      <c r="PE1473" s="29"/>
      <c r="PF1473" s="29"/>
      <c r="PG1473" s="29"/>
      <c r="PH1473" s="29"/>
      <c r="PI1473" s="29"/>
      <c r="PJ1473" s="29"/>
      <c r="PK1473" s="29"/>
      <c r="PL1473" s="29"/>
      <c r="PM1473" s="29"/>
      <c r="PN1473" s="29"/>
      <c r="PO1473" s="29"/>
      <c r="PP1473" s="29"/>
      <c r="PQ1473" s="29"/>
      <c r="PR1473" s="29"/>
      <c r="PS1473" s="29"/>
      <c r="PT1473" s="29"/>
      <c r="PU1473" s="29"/>
      <c r="PV1473" s="29"/>
      <c r="PW1473" s="29"/>
      <c r="PX1473" s="29"/>
      <c r="PY1473" s="29"/>
      <c r="PZ1473" s="29"/>
      <c r="QA1473" s="29"/>
      <c r="QB1473" s="29"/>
      <c r="QC1473" s="29"/>
      <c r="QD1473" s="29"/>
      <c r="QE1473" s="29"/>
      <c r="QF1473" s="29"/>
      <c r="QG1473" s="29"/>
      <c r="QH1473" s="29"/>
      <c r="QI1473" s="29"/>
      <c r="QJ1473" s="29"/>
      <c r="QK1473" s="29"/>
      <c r="QL1473" s="29"/>
      <c r="QM1473" s="29"/>
      <c r="QN1473" s="29"/>
      <c r="QO1473" s="29"/>
      <c r="QP1473" s="29"/>
      <c r="QQ1473" s="29"/>
      <c r="QR1473" s="29"/>
      <c r="QS1473" s="29"/>
      <c r="QT1473" s="29"/>
      <c r="QU1473" s="29"/>
      <c r="QV1473" s="29"/>
      <c r="QW1473" s="29"/>
      <c r="QX1473" s="29"/>
      <c r="QY1473" s="29"/>
      <c r="QZ1473" s="29"/>
      <c r="RA1473" s="29"/>
      <c r="RB1473" s="29"/>
      <c r="RC1473" s="29"/>
      <c r="RD1473" s="29"/>
      <c r="RE1473" s="29"/>
      <c r="RF1473" s="29"/>
      <c r="RG1473" s="29"/>
      <c r="RH1473" s="29"/>
      <c r="RI1473" s="29"/>
      <c r="RJ1473" s="29"/>
      <c r="RK1473" s="29"/>
      <c r="RL1473" s="29"/>
      <c r="RM1473" s="29"/>
      <c r="RN1473" s="29"/>
      <c r="RO1473" s="29"/>
      <c r="RP1473" s="29"/>
      <c r="RQ1473" s="29"/>
      <c r="RR1473" s="29"/>
      <c r="RS1473" s="29"/>
      <c r="RT1473" s="29"/>
      <c r="RU1473" s="29"/>
      <c r="RV1473" s="29"/>
      <c r="RW1473" s="29"/>
      <c r="RX1473" s="29"/>
      <c r="RY1473" s="29"/>
      <c r="RZ1473" s="29"/>
      <c r="SA1473" s="29"/>
      <c r="SB1473" s="29"/>
      <c r="SC1473" s="29"/>
      <c r="SD1473" s="29"/>
      <c r="SE1473" s="29"/>
      <c r="SF1473" s="29"/>
      <c r="SG1473" s="29"/>
      <c r="SH1473" s="29"/>
      <c r="SI1473" s="29"/>
      <c r="SJ1473" s="29"/>
      <c r="SK1473" s="29"/>
      <c r="SL1473" s="29"/>
      <c r="SM1473" s="29"/>
      <c r="SN1473" s="29"/>
      <c r="SO1473" s="29"/>
      <c r="SP1473" s="29"/>
      <c r="SQ1473" s="29"/>
      <c r="SR1473" s="29"/>
      <c r="SS1473" s="29"/>
      <c r="ST1473" s="29"/>
      <c r="SU1473" s="29"/>
      <c r="SV1473" s="29"/>
      <c r="SW1473" s="29"/>
      <c r="SX1473" s="29"/>
      <c r="SY1473" s="29"/>
      <c r="SZ1473" s="29"/>
      <c r="TA1473" s="29"/>
      <c r="TB1473" s="29"/>
      <c r="TC1473" s="29"/>
      <c r="TD1473" s="29"/>
      <c r="TE1473" s="29"/>
      <c r="TF1473" s="29"/>
      <c r="TG1473" s="29"/>
      <c r="TH1473" s="29"/>
      <c r="TI1473" s="29"/>
      <c r="TJ1473" s="29"/>
      <c r="TK1473" s="29"/>
      <c r="TL1473" s="29"/>
      <c r="TM1473" s="29"/>
      <c r="TN1473" s="29"/>
      <c r="TO1473" s="29"/>
      <c r="TP1473" s="29"/>
      <c r="TQ1473" s="29"/>
      <c r="TR1473" s="29"/>
      <c r="TS1473" s="29"/>
      <c r="TT1473" s="29"/>
      <c r="TU1473" s="29"/>
      <c r="TV1473" s="29"/>
      <c r="TW1473" s="29"/>
      <c r="TX1473" s="29"/>
      <c r="TY1473" s="29"/>
      <c r="TZ1473" s="29"/>
      <c r="UA1473" s="29"/>
      <c r="UB1473" s="29"/>
      <c r="UC1473" s="29"/>
      <c r="UD1473" s="29"/>
      <c r="UE1473" s="29"/>
      <c r="UF1473" s="29"/>
      <c r="UG1473" s="29"/>
    </row>
    <row r="1474" spans="1:553" ht="31.9" customHeight="1">
      <c r="A1474" s="356" t="s">
        <v>15</v>
      </c>
      <c r="B1474" s="385" t="s">
        <v>252</v>
      </c>
      <c r="C1474" s="1582" t="s">
        <v>550</v>
      </c>
      <c r="D1474" s="1389"/>
      <c r="E1474" s="1389"/>
      <c r="F1474" s="1390"/>
      <c r="G1474" s="417" t="s">
        <v>113</v>
      </c>
      <c r="H1474" s="370"/>
      <c r="I1474" s="422">
        <v>65</v>
      </c>
      <c r="J1474" s="368">
        <v>114600</v>
      </c>
      <c r="K1474" s="371"/>
      <c r="L1474" s="487">
        <f t="shared" si="222"/>
        <v>7449000</v>
      </c>
      <c r="M1474" s="395"/>
      <c r="N1474" s="395"/>
      <c r="O1474" s="366"/>
      <c r="P1474" s="396"/>
      <c r="Q1474" s="473"/>
      <c r="R1474" s="1039"/>
      <c r="S1474" s="308"/>
      <c r="T1474" s="308"/>
      <c r="U1474" s="308"/>
      <c r="V1474" s="308"/>
      <c r="W1474" s="308"/>
      <c r="X1474" s="308"/>
      <c r="Y1474" s="308"/>
      <c r="Z1474" s="604"/>
      <c r="AA1474" s="308"/>
      <c r="AB1474" s="308"/>
      <c r="AC1474" s="486"/>
      <c r="AD1474" s="486"/>
      <c r="AE1474" s="486"/>
      <c r="AF1474" s="486"/>
      <c r="AG1474" s="486"/>
      <c r="AH1474" s="486"/>
      <c r="AI1474" s="486"/>
      <c r="AJ1474" s="486"/>
      <c r="AK1474" s="486"/>
      <c r="AL1474" s="206"/>
      <c r="AM1474" s="29"/>
      <c r="AN1474" s="29"/>
      <c r="AO1474" s="29"/>
      <c r="AP1474" s="29"/>
      <c r="AQ1474" s="29"/>
      <c r="AR1474" s="29"/>
      <c r="AS1474" s="29"/>
      <c r="AT1474" s="29"/>
      <c r="AU1474" s="29"/>
      <c r="AV1474" s="29"/>
      <c r="AW1474" s="29"/>
      <c r="AX1474" s="29"/>
      <c r="AY1474" s="29"/>
      <c r="AZ1474" s="29"/>
      <c r="BA1474" s="29"/>
      <c r="BB1474" s="29"/>
      <c r="BC1474" s="29"/>
      <c r="BD1474" s="29"/>
      <c r="BE1474" s="29"/>
      <c r="BF1474" s="29"/>
      <c r="BG1474" s="29"/>
      <c r="BH1474" s="29"/>
      <c r="BI1474" s="29"/>
      <c r="BJ1474" s="29"/>
      <c r="BK1474" s="29"/>
      <c r="BL1474" s="29"/>
      <c r="BM1474" s="29"/>
      <c r="BN1474" s="29"/>
      <c r="BO1474" s="29"/>
      <c r="BP1474" s="29"/>
      <c r="BQ1474" s="29"/>
      <c r="BR1474" s="29"/>
      <c r="BS1474" s="29"/>
      <c r="BT1474" s="29"/>
      <c r="BU1474" s="29"/>
      <c r="BV1474" s="29"/>
      <c r="BW1474" s="29"/>
      <c r="BX1474" s="29"/>
      <c r="BY1474" s="29"/>
      <c r="BZ1474" s="29"/>
      <c r="CA1474" s="29"/>
      <c r="CB1474" s="29"/>
      <c r="CC1474" s="29"/>
      <c r="CD1474" s="29"/>
      <c r="CE1474" s="29"/>
      <c r="CF1474" s="29"/>
      <c r="CG1474" s="29"/>
      <c r="CH1474" s="29"/>
      <c r="CI1474" s="29"/>
      <c r="CJ1474" s="29"/>
      <c r="CK1474" s="29"/>
      <c r="CL1474" s="29"/>
      <c r="CM1474" s="29"/>
      <c r="CN1474" s="29"/>
      <c r="CO1474" s="29"/>
      <c r="CP1474" s="29"/>
      <c r="CQ1474" s="29"/>
      <c r="CR1474" s="29"/>
      <c r="CS1474" s="29"/>
      <c r="CT1474" s="29"/>
      <c r="CU1474" s="29"/>
      <c r="CV1474" s="29"/>
      <c r="CW1474" s="29"/>
      <c r="CX1474" s="29"/>
      <c r="CY1474" s="29"/>
      <c r="CZ1474" s="29"/>
      <c r="DA1474" s="29"/>
      <c r="DB1474" s="29"/>
      <c r="DC1474" s="29"/>
      <c r="DD1474" s="29"/>
      <c r="DE1474" s="29"/>
      <c r="DF1474" s="29"/>
      <c r="DG1474" s="29"/>
      <c r="DH1474" s="29"/>
      <c r="DI1474" s="29"/>
      <c r="DJ1474" s="29"/>
      <c r="DK1474" s="29"/>
      <c r="DL1474" s="29"/>
      <c r="DM1474" s="29"/>
      <c r="DN1474" s="29"/>
      <c r="DO1474" s="29"/>
      <c r="DP1474" s="29"/>
      <c r="DQ1474" s="29"/>
      <c r="DR1474" s="29"/>
      <c r="DS1474" s="29"/>
      <c r="DT1474" s="29"/>
      <c r="DU1474" s="29"/>
      <c r="DV1474" s="29"/>
      <c r="DW1474" s="29"/>
      <c r="DX1474" s="29"/>
      <c r="DY1474" s="29"/>
      <c r="DZ1474" s="29"/>
      <c r="EA1474" s="29"/>
      <c r="EB1474" s="29"/>
      <c r="EC1474" s="29"/>
      <c r="ED1474" s="29"/>
      <c r="EE1474" s="29"/>
      <c r="EF1474" s="29"/>
      <c r="EG1474" s="29"/>
      <c r="EH1474" s="29"/>
      <c r="EI1474" s="29"/>
      <c r="EJ1474" s="29"/>
      <c r="EK1474" s="29"/>
      <c r="EL1474" s="29"/>
      <c r="EM1474" s="29"/>
      <c r="EN1474" s="29"/>
      <c r="EO1474" s="29"/>
      <c r="EP1474" s="29"/>
      <c r="EQ1474" s="29"/>
      <c r="ER1474" s="29"/>
      <c r="ES1474" s="29"/>
      <c r="ET1474" s="29"/>
      <c r="EU1474" s="29"/>
      <c r="EV1474" s="29"/>
      <c r="EW1474" s="29"/>
      <c r="EX1474" s="29"/>
      <c r="EY1474" s="29"/>
      <c r="EZ1474" s="29"/>
      <c r="FA1474" s="29"/>
      <c r="FB1474" s="29"/>
      <c r="FC1474" s="29"/>
      <c r="FD1474" s="29"/>
      <c r="FE1474" s="29"/>
      <c r="FF1474" s="29"/>
      <c r="FG1474" s="29"/>
      <c r="FH1474" s="29"/>
      <c r="FI1474" s="29"/>
      <c r="FJ1474" s="29"/>
      <c r="FK1474" s="29"/>
      <c r="FL1474" s="29"/>
      <c r="FM1474" s="29"/>
      <c r="FN1474" s="29"/>
      <c r="FO1474" s="29"/>
      <c r="FP1474" s="29"/>
      <c r="FQ1474" s="29"/>
      <c r="FR1474" s="29"/>
      <c r="FS1474" s="29"/>
      <c r="FT1474" s="29"/>
      <c r="FU1474" s="29"/>
      <c r="FV1474" s="29"/>
      <c r="FW1474" s="29"/>
      <c r="FX1474" s="29"/>
      <c r="FY1474" s="29"/>
      <c r="FZ1474" s="29"/>
      <c r="GA1474" s="29"/>
      <c r="GB1474" s="29"/>
      <c r="GC1474" s="29"/>
      <c r="GD1474" s="29"/>
      <c r="GE1474" s="29"/>
      <c r="GF1474" s="29"/>
      <c r="GG1474" s="29"/>
      <c r="GH1474" s="29"/>
      <c r="GI1474" s="29"/>
      <c r="GJ1474" s="29"/>
      <c r="GK1474" s="29"/>
      <c r="GL1474" s="29"/>
      <c r="GM1474" s="29"/>
      <c r="GN1474" s="29"/>
      <c r="GO1474" s="29"/>
      <c r="GP1474" s="29"/>
      <c r="GQ1474" s="29"/>
      <c r="GR1474" s="29"/>
      <c r="GS1474" s="29"/>
      <c r="GT1474" s="29"/>
      <c r="GU1474" s="29"/>
      <c r="GV1474" s="29"/>
      <c r="GW1474" s="29"/>
      <c r="GX1474" s="29"/>
      <c r="GY1474" s="29"/>
      <c r="GZ1474" s="29"/>
      <c r="HA1474" s="29"/>
      <c r="HB1474" s="29"/>
      <c r="HC1474" s="29"/>
      <c r="HD1474" s="29"/>
      <c r="HE1474" s="29"/>
      <c r="HF1474" s="29"/>
      <c r="HG1474" s="29"/>
      <c r="HH1474" s="29"/>
      <c r="HI1474" s="29"/>
      <c r="HJ1474" s="29"/>
      <c r="HK1474" s="29"/>
      <c r="HL1474" s="29"/>
      <c r="HM1474" s="29"/>
      <c r="HN1474" s="29"/>
      <c r="HO1474" s="29"/>
      <c r="HP1474" s="29"/>
      <c r="HQ1474" s="29"/>
      <c r="HR1474" s="29"/>
      <c r="HS1474" s="29"/>
      <c r="HT1474" s="29"/>
      <c r="HU1474" s="29"/>
      <c r="HV1474" s="29"/>
      <c r="HW1474" s="29"/>
      <c r="HX1474" s="29"/>
      <c r="HY1474" s="29"/>
      <c r="HZ1474" s="29"/>
      <c r="IA1474" s="29"/>
      <c r="IB1474" s="29"/>
      <c r="IC1474" s="29"/>
      <c r="ID1474" s="29"/>
      <c r="IE1474" s="29"/>
      <c r="IF1474" s="29"/>
      <c r="IG1474" s="29"/>
      <c r="IH1474" s="29"/>
      <c r="II1474" s="29"/>
      <c r="IJ1474" s="29"/>
      <c r="IK1474" s="29"/>
      <c r="IL1474" s="29"/>
      <c r="IM1474" s="29"/>
      <c r="IN1474" s="29"/>
      <c r="IO1474" s="29"/>
      <c r="IP1474" s="29"/>
      <c r="IQ1474" s="29"/>
      <c r="IR1474" s="29"/>
      <c r="IS1474" s="29"/>
      <c r="IT1474" s="29"/>
      <c r="IU1474" s="29"/>
      <c r="IV1474" s="29"/>
      <c r="IW1474" s="29"/>
      <c r="IX1474" s="29"/>
      <c r="IY1474" s="29"/>
      <c r="IZ1474" s="29"/>
      <c r="JA1474" s="29"/>
      <c r="JB1474" s="29"/>
      <c r="JC1474" s="29"/>
      <c r="JD1474" s="29"/>
      <c r="JE1474" s="29"/>
      <c r="JF1474" s="29"/>
      <c r="JG1474" s="29"/>
      <c r="JH1474" s="29"/>
      <c r="JI1474" s="29"/>
      <c r="JJ1474" s="29"/>
      <c r="JK1474" s="29"/>
      <c r="JL1474" s="29"/>
      <c r="JM1474" s="29"/>
      <c r="JN1474" s="29"/>
      <c r="JO1474" s="29"/>
      <c r="JP1474" s="29"/>
      <c r="JQ1474" s="29"/>
      <c r="JR1474" s="29"/>
      <c r="JS1474" s="29"/>
      <c r="JT1474" s="29"/>
      <c r="JU1474" s="29"/>
      <c r="JV1474" s="29"/>
      <c r="JW1474" s="29"/>
      <c r="JX1474" s="29"/>
      <c r="JY1474" s="29"/>
      <c r="JZ1474" s="29"/>
      <c r="KA1474" s="29"/>
      <c r="KB1474" s="29"/>
      <c r="KC1474" s="29"/>
      <c r="KD1474" s="29"/>
      <c r="KE1474" s="29"/>
      <c r="KF1474" s="29"/>
      <c r="KG1474" s="29"/>
      <c r="KH1474" s="29"/>
      <c r="KI1474" s="29"/>
      <c r="KJ1474" s="29"/>
      <c r="KK1474" s="29"/>
      <c r="KL1474" s="29"/>
      <c r="KM1474" s="29"/>
      <c r="KN1474" s="29"/>
      <c r="KO1474" s="29"/>
      <c r="KP1474" s="29"/>
      <c r="KQ1474" s="29"/>
      <c r="KR1474" s="29"/>
      <c r="KS1474" s="29"/>
      <c r="KT1474" s="29"/>
      <c r="KU1474" s="29"/>
      <c r="KV1474" s="29"/>
      <c r="KW1474" s="29"/>
      <c r="KX1474" s="29"/>
      <c r="KY1474" s="29"/>
      <c r="KZ1474" s="29"/>
      <c r="LA1474" s="29"/>
      <c r="LB1474" s="29"/>
      <c r="LC1474" s="29"/>
      <c r="LD1474" s="29"/>
      <c r="LE1474" s="29"/>
      <c r="LF1474" s="29"/>
      <c r="LG1474" s="29"/>
      <c r="LH1474" s="29"/>
      <c r="LI1474" s="29"/>
      <c r="LJ1474" s="29"/>
      <c r="LK1474" s="29"/>
      <c r="LL1474" s="29"/>
      <c r="LM1474" s="29"/>
      <c r="LN1474" s="29"/>
      <c r="LO1474" s="29"/>
      <c r="LP1474" s="29"/>
      <c r="LQ1474" s="29"/>
      <c r="LR1474" s="29"/>
      <c r="LS1474" s="29"/>
      <c r="LT1474" s="29"/>
      <c r="LU1474" s="29"/>
      <c r="LV1474" s="29"/>
      <c r="LW1474" s="29"/>
      <c r="LX1474" s="29"/>
      <c r="LY1474" s="29"/>
      <c r="LZ1474" s="29"/>
      <c r="MA1474" s="29"/>
      <c r="MB1474" s="29"/>
      <c r="MC1474" s="29"/>
      <c r="MD1474" s="29"/>
      <c r="ME1474" s="29"/>
      <c r="MF1474" s="29"/>
      <c r="MG1474" s="29"/>
      <c r="MH1474" s="29"/>
      <c r="MI1474" s="29"/>
      <c r="MJ1474" s="29"/>
      <c r="MK1474" s="29"/>
      <c r="ML1474" s="29"/>
      <c r="MM1474" s="29"/>
      <c r="MN1474" s="29"/>
      <c r="MO1474" s="29"/>
      <c r="MP1474" s="29"/>
      <c r="MQ1474" s="29"/>
      <c r="MR1474" s="29"/>
      <c r="MS1474" s="29"/>
      <c r="MT1474" s="29"/>
      <c r="MU1474" s="29"/>
      <c r="MV1474" s="29"/>
      <c r="MW1474" s="29"/>
      <c r="MX1474" s="29"/>
      <c r="MY1474" s="29"/>
      <c r="MZ1474" s="29"/>
      <c r="NA1474" s="29"/>
      <c r="NB1474" s="29"/>
      <c r="NC1474" s="29"/>
      <c r="ND1474" s="29"/>
      <c r="NE1474" s="29"/>
      <c r="NF1474" s="29"/>
      <c r="NG1474" s="29"/>
      <c r="NH1474" s="29"/>
      <c r="NI1474" s="29"/>
      <c r="NJ1474" s="29"/>
      <c r="NK1474" s="29"/>
      <c r="NL1474" s="29"/>
      <c r="NM1474" s="29"/>
      <c r="NN1474" s="29"/>
      <c r="NO1474" s="29"/>
      <c r="NP1474" s="29"/>
      <c r="NQ1474" s="29"/>
      <c r="NR1474" s="29"/>
      <c r="NS1474" s="29"/>
      <c r="NT1474" s="29"/>
      <c r="NU1474" s="29"/>
      <c r="NV1474" s="29"/>
      <c r="NW1474" s="29"/>
      <c r="NX1474" s="29"/>
      <c r="NY1474" s="29"/>
      <c r="NZ1474" s="29"/>
      <c r="OA1474" s="29"/>
      <c r="OB1474" s="29"/>
      <c r="OC1474" s="29"/>
      <c r="OD1474" s="29"/>
      <c r="OE1474" s="29"/>
      <c r="OF1474" s="29"/>
      <c r="OG1474" s="29"/>
      <c r="OH1474" s="29"/>
      <c r="OI1474" s="29"/>
      <c r="OJ1474" s="29"/>
      <c r="OK1474" s="29"/>
      <c r="OL1474" s="29"/>
      <c r="OM1474" s="29"/>
      <c r="ON1474" s="29"/>
      <c r="OO1474" s="29"/>
      <c r="OP1474" s="29"/>
      <c r="OQ1474" s="29"/>
      <c r="OR1474" s="29"/>
      <c r="OS1474" s="29"/>
      <c r="OT1474" s="29"/>
      <c r="OU1474" s="29"/>
      <c r="OV1474" s="29"/>
      <c r="OW1474" s="29"/>
      <c r="OX1474" s="29"/>
      <c r="OY1474" s="29"/>
      <c r="OZ1474" s="29"/>
      <c r="PA1474" s="29"/>
      <c r="PB1474" s="29"/>
      <c r="PC1474" s="29"/>
      <c r="PD1474" s="29"/>
      <c r="PE1474" s="29"/>
      <c r="PF1474" s="29"/>
      <c r="PG1474" s="29"/>
      <c r="PH1474" s="29"/>
      <c r="PI1474" s="29"/>
      <c r="PJ1474" s="29"/>
      <c r="PK1474" s="29"/>
      <c r="PL1474" s="29"/>
      <c r="PM1474" s="29"/>
      <c r="PN1474" s="29"/>
      <c r="PO1474" s="29"/>
      <c r="PP1474" s="29"/>
      <c r="PQ1474" s="29"/>
      <c r="PR1474" s="29"/>
      <c r="PS1474" s="29"/>
      <c r="PT1474" s="29"/>
      <c r="PU1474" s="29"/>
      <c r="PV1474" s="29"/>
      <c r="PW1474" s="29"/>
      <c r="PX1474" s="29"/>
      <c r="PY1474" s="29"/>
      <c r="PZ1474" s="29"/>
      <c r="QA1474" s="29"/>
      <c r="QB1474" s="29"/>
      <c r="QC1474" s="29"/>
      <c r="QD1474" s="29"/>
      <c r="QE1474" s="29"/>
      <c r="QF1474" s="29"/>
      <c r="QG1474" s="29"/>
      <c r="QH1474" s="29"/>
      <c r="QI1474" s="29"/>
      <c r="QJ1474" s="29"/>
      <c r="QK1474" s="29"/>
      <c r="QL1474" s="29"/>
      <c r="QM1474" s="29"/>
      <c r="QN1474" s="29"/>
      <c r="QO1474" s="29"/>
      <c r="QP1474" s="29"/>
      <c r="QQ1474" s="29"/>
      <c r="QR1474" s="29"/>
      <c r="QS1474" s="29"/>
      <c r="QT1474" s="29"/>
      <c r="QU1474" s="29"/>
      <c r="QV1474" s="29"/>
      <c r="QW1474" s="29"/>
      <c r="QX1474" s="29"/>
      <c r="QY1474" s="29"/>
      <c r="QZ1474" s="29"/>
      <c r="RA1474" s="29"/>
      <c r="RB1474" s="29"/>
      <c r="RC1474" s="29"/>
      <c r="RD1474" s="29"/>
      <c r="RE1474" s="29"/>
      <c r="RF1474" s="29"/>
      <c r="RG1474" s="29"/>
      <c r="RH1474" s="29"/>
      <c r="RI1474" s="29"/>
      <c r="RJ1474" s="29"/>
      <c r="RK1474" s="29"/>
      <c r="RL1474" s="29"/>
      <c r="RM1474" s="29"/>
      <c r="RN1474" s="29"/>
      <c r="RO1474" s="29"/>
      <c r="RP1474" s="29"/>
      <c r="RQ1474" s="29"/>
      <c r="RR1474" s="29"/>
      <c r="RS1474" s="29"/>
      <c r="RT1474" s="29"/>
      <c r="RU1474" s="29"/>
      <c r="RV1474" s="29"/>
      <c r="RW1474" s="29"/>
      <c r="RX1474" s="29"/>
      <c r="RY1474" s="29"/>
      <c r="RZ1474" s="29"/>
      <c r="SA1474" s="29"/>
      <c r="SB1474" s="29"/>
      <c r="SC1474" s="29"/>
      <c r="SD1474" s="29"/>
      <c r="SE1474" s="29"/>
      <c r="SF1474" s="29"/>
      <c r="SG1474" s="29"/>
      <c r="SH1474" s="29"/>
      <c r="SI1474" s="29"/>
      <c r="SJ1474" s="29"/>
      <c r="SK1474" s="29"/>
      <c r="SL1474" s="29"/>
      <c r="SM1474" s="29"/>
      <c r="SN1474" s="29"/>
      <c r="SO1474" s="29"/>
      <c r="SP1474" s="29"/>
      <c r="SQ1474" s="29"/>
      <c r="SR1474" s="29"/>
      <c r="SS1474" s="29"/>
      <c r="ST1474" s="29"/>
      <c r="SU1474" s="29"/>
      <c r="SV1474" s="29"/>
      <c r="SW1474" s="29"/>
      <c r="SX1474" s="29"/>
      <c r="SY1474" s="29"/>
      <c r="SZ1474" s="29"/>
      <c r="TA1474" s="29"/>
      <c r="TB1474" s="29"/>
      <c r="TC1474" s="29"/>
      <c r="TD1474" s="29"/>
      <c r="TE1474" s="29"/>
      <c r="TF1474" s="29"/>
      <c r="TG1474" s="29"/>
      <c r="TH1474" s="29"/>
      <c r="TI1474" s="29"/>
      <c r="TJ1474" s="29"/>
      <c r="TK1474" s="29"/>
      <c r="TL1474" s="29"/>
      <c r="TM1474" s="29"/>
      <c r="TN1474" s="29"/>
      <c r="TO1474" s="29"/>
      <c r="TP1474" s="29"/>
      <c r="TQ1474" s="29"/>
      <c r="TR1474" s="29"/>
      <c r="TS1474" s="29"/>
      <c r="TT1474" s="29"/>
      <c r="TU1474" s="29"/>
      <c r="TV1474" s="29"/>
      <c r="TW1474" s="29"/>
      <c r="TX1474" s="29"/>
      <c r="TY1474" s="29"/>
      <c r="TZ1474" s="29"/>
      <c r="UA1474" s="29"/>
      <c r="UB1474" s="29"/>
      <c r="UC1474" s="29"/>
      <c r="UD1474" s="29"/>
      <c r="UE1474" s="29"/>
      <c r="UF1474" s="29"/>
      <c r="UG1474" s="29"/>
    </row>
    <row r="1475" spans="1:553" ht="31.9" customHeight="1">
      <c r="A1475" s="356" t="s">
        <v>15</v>
      </c>
      <c r="B1475" s="385">
        <v>203</v>
      </c>
      <c r="C1475" s="1582" t="s">
        <v>801</v>
      </c>
      <c r="D1475" s="1389"/>
      <c r="E1475" s="1389"/>
      <c r="F1475" s="1390"/>
      <c r="G1475" s="417" t="s">
        <v>113</v>
      </c>
      <c r="H1475" s="370"/>
      <c r="I1475" s="422">
        <f>24*1.4/1.7</f>
        <v>19.764705882352938</v>
      </c>
      <c r="J1475" s="368">
        <v>815000</v>
      </c>
      <c r="K1475" s="371"/>
      <c r="L1475" s="487">
        <f t="shared" si="222"/>
        <v>16108235</v>
      </c>
      <c r="M1475" s="395"/>
      <c r="N1475" s="395"/>
      <c r="O1475" s="366"/>
      <c r="P1475" s="396"/>
      <c r="Q1475" s="473"/>
      <c r="R1475" s="1039"/>
      <c r="S1475" s="308"/>
      <c r="T1475" s="308"/>
      <c r="U1475" s="308"/>
      <c r="V1475" s="308"/>
      <c r="W1475" s="308"/>
      <c r="X1475" s="308"/>
      <c r="Y1475" s="308"/>
      <c r="Z1475" s="604"/>
      <c r="AA1475" s="308"/>
      <c r="AB1475" s="308"/>
      <c r="AC1475" s="486"/>
      <c r="AD1475" s="486"/>
      <c r="AE1475" s="486"/>
      <c r="AF1475" s="486"/>
      <c r="AG1475" s="486"/>
      <c r="AH1475" s="486"/>
      <c r="AI1475" s="486"/>
      <c r="AJ1475" s="486"/>
      <c r="AK1475" s="486"/>
      <c r="AL1475" s="206"/>
      <c r="AM1475" s="29"/>
      <c r="AN1475" s="29"/>
      <c r="AO1475" s="29"/>
      <c r="AP1475" s="29"/>
      <c r="AQ1475" s="29"/>
      <c r="AR1475" s="29"/>
      <c r="AS1475" s="29"/>
      <c r="AT1475" s="29"/>
      <c r="AU1475" s="29"/>
      <c r="AV1475" s="29"/>
      <c r="AW1475" s="29"/>
      <c r="AX1475" s="29"/>
      <c r="AY1475" s="29"/>
      <c r="AZ1475" s="29"/>
      <c r="BA1475" s="29"/>
      <c r="BB1475" s="29"/>
      <c r="BC1475" s="29"/>
      <c r="BD1475" s="29"/>
      <c r="BE1475" s="29"/>
      <c r="BF1475" s="29"/>
      <c r="BG1475" s="29"/>
      <c r="BH1475" s="29"/>
      <c r="BI1475" s="29"/>
      <c r="BJ1475" s="29"/>
      <c r="BK1475" s="29"/>
      <c r="BL1475" s="29"/>
      <c r="BM1475" s="29"/>
      <c r="BN1475" s="29"/>
      <c r="BO1475" s="29"/>
      <c r="BP1475" s="29"/>
      <c r="BQ1475" s="29"/>
      <c r="BR1475" s="29"/>
      <c r="BS1475" s="29"/>
      <c r="BT1475" s="29"/>
      <c r="BU1475" s="29"/>
      <c r="BV1475" s="29"/>
      <c r="BW1475" s="29"/>
      <c r="BX1475" s="29"/>
      <c r="BY1475" s="29"/>
      <c r="BZ1475" s="29"/>
      <c r="CA1475" s="29"/>
      <c r="CB1475" s="29"/>
      <c r="CC1475" s="29"/>
      <c r="CD1475" s="29"/>
      <c r="CE1475" s="29"/>
      <c r="CF1475" s="29"/>
      <c r="CG1475" s="29"/>
      <c r="CH1475" s="29"/>
      <c r="CI1475" s="29"/>
      <c r="CJ1475" s="29"/>
      <c r="CK1475" s="29"/>
      <c r="CL1475" s="29"/>
      <c r="CM1475" s="29"/>
      <c r="CN1475" s="29"/>
      <c r="CO1475" s="29"/>
      <c r="CP1475" s="29"/>
      <c r="CQ1475" s="29"/>
      <c r="CR1475" s="29"/>
      <c r="CS1475" s="29"/>
      <c r="CT1475" s="29"/>
      <c r="CU1475" s="29"/>
      <c r="CV1475" s="29"/>
      <c r="CW1475" s="29"/>
      <c r="CX1475" s="29"/>
      <c r="CY1475" s="29"/>
      <c r="CZ1475" s="29"/>
      <c r="DA1475" s="29"/>
      <c r="DB1475" s="29"/>
      <c r="DC1475" s="29"/>
      <c r="DD1475" s="29"/>
      <c r="DE1475" s="29"/>
      <c r="DF1475" s="29"/>
      <c r="DG1475" s="29"/>
      <c r="DH1475" s="29"/>
      <c r="DI1475" s="29"/>
      <c r="DJ1475" s="29"/>
      <c r="DK1475" s="29"/>
      <c r="DL1475" s="29"/>
      <c r="DM1475" s="29"/>
      <c r="DN1475" s="29"/>
      <c r="DO1475" s="29"/>
      <c r="DP1475" s="29"/>
      <c r="DQ1475" s="29"/>
      <c r="DR1475" s="29"/>
      <c r="DS1475" s="29"/>
      <c r="DT1475" s="29"/>
      <c r="DU1475" s="29"/>
      <c r="DV1475" s="29"/>
      <c r="DW1475" s="29"/>
      <c r="DX1475" s="29"/>
      <c r="DY1475" s="29"/>
      <c r="DZ1475" s="29"/>
      <c r="EA1475" s="29"/>
      <c r="EB1475" s="29"/>
      <c r="EC1475" s="29"/>
      <c r="ED1475" s="29"/>
      <c r="EE1475" s="29"/>
      <c r="EF1475" s="29"/>
      <c r="EG1475" s="29"/>
      <c r="EH1475" s="29"/>
      <c r="EI1475" s="29"/>
      <c r="EJ1475" s="29"/>
      <c r="EK1475" s="29"/>
      <c r="EL1475" s="29"/>
      <c r="EM1475" s="29"/>
      <c r="EN1475" s="29"/>
      <c r="EO1475" s="29"/>
      <c r="EP1475" s="29"/>
      <c r="EQ1475" s="29"/>
      <c r="ER1475" s="29"/>
      <c r="ES1475" s="29"/>
      <c r="ET1475" s="29"/>
      <c r="EU1475" s="29"/>
      <c r="EV1475" s="29"/>
      <c r="EW1475" s="29"/>
      <c r="EX1475" s="29"/>
      <c r="EY1475" s="29"/>
      <c r="EZ1475" s="29"/>
      <c r="FA1475" s="29"/>
      <c r="FB1475" s="29"/>
      <c r="FC1475" s="29"/>
      <c r="FD1475" s="29"/>
      <c r="FE1475" s="29"/>
      <c r="FF1475" s="29"/>
      <c r="FG1475" s="29"/>
      <c r="FH1475" s="29"/>
      <c r="FI1475" s="29"/>
      <c r="FJ1475" s="29"/>
      <c r="FK1475" s="29"/>
      <c r="FL1475" s="29"/>
      <c r="FM1475" s="29"/>
      <c r="FN1475" s="29"/>
      <c r="FO1475" s="29"/>
      <c r="FP1475" s="29"/>
      <c r="FQ1475" s="29"/>
      <c r="FR1475" s="29"/>
      <c r="FS1475" s="29"/>
      <c r="FT1475" s="29"/>
      <c r="FU1475" s="29"/>
      <c r="FV1475" s="29"/>
      <c r="FW1475" s="29"/>
      <c r="FX1475" s="29"/>
      <c r="FY1475" s="29"/>
      <c r="FZ1475" s="29"/>
      <c r="GA1475" s="29"/>
      <c r="GB1475" s="29"/>
      <c r="GC1475" s="29"/>
      <c r="GD1475" s="29"/>
      <c r="GE1475" s="29"/>
      <c r="GF1475" s="29"/>
      <c r="GG1475" s="29"/>
      <c r="GH1475" s="29"/>
      <c r="GI1475" s="29"/>
      <c r="GJ1475" s="29"/>
      <c r="GK1475" s="29"/>
      <c r="GL1475" s="29"/>
      <c r="GM1475" s="29"/>
      <c r="GN1475" s="29"/>
      <c r="GO1475" s="29"/>
      <c r="GP1475" s="29"/>
      <c r="GQ1475" s="29"/>
      <c r="GR1475" s="29"/>
      <c r="GS1475" s="29"/>
      <c r="GT1475" s="29"/>
      <c r="GU1475" s="29"/>
      <c r="GV1475" s="29"/>
      <c r="GW1475" s="29"/>
      <c r="GX1475" s="29"/>
      <c r="GY1475" s="29"/>
      <c r="GZ1475" s="29"/>
      <c r="HA1475" s="29"/>
      <c r="HB1475" s="29"/>
      <c r="HC1475" s="29"/>
      <c r="HD1475" s="29"/>
      <c r="HE1475" s="29"/>
      <c r="HF1475" s="29"/>
      <c r="HG1475" s="29"/>
      <c r="HH1475" s="29"/>
      <c r="HI1475" s="29"/>
      <c r="HJ1475" s="29"/>
      <c r="HK1475" s="29"/>
      <c r="HL1475" s="29"/>
      <c r="HM1475" s="29"/>
      <c r="HN1475" s="29"/>
      <c r="HO1475" s="29"/>
      <c r="HP1475" s="29"/>
      <c r="HQ1475" s="29"/>
      <c r="HR1475" s="29"/>
      <c r="HS1475" s="29"/>
      <c r="HT1475" s="29"/>
      <c r="HU1475" s="29"/>
      <c r="HV1475" s="29"/>
      <c r="HW1475" s="29"/>
      <c r="HX1475" s="29"/>
      <c r="HY1475" s="29"/>
      <c r="HZ1475" s="29"/>
      <c r="IA1475" s="29"/>
      <c r="IB1475" s="29"/>
      <c r="IC1475" s="29"/>
      <c r="ID1475" s="29"/>
      <c r="IE1475" s="29"/>
      <c r="IF1475" s="29"/>
      <c r="IG1475" s="29"/>
      <c r="IH1475" s="29"/>
      <c r="II1475" s="29"/>
      <c r="IJ1475" s="29"/>
      <c r="IK1475" s="29"/>
      <c r="IL1475" s="29"/>
      <c r="IM1475" s="29"/>
      <c r="IN1475" s="29"/>
      <c r="IO1475" s="29"/>
      <c r="IP1475" s="29"/>
      <c r="IQ1475" s="29"/>
      <c r="IR1475" s="29"/>
      <c r="IS1475" s="29"/>
      <c r="IT1475" s="29"/>
      <c r="IU1475" s="29"/>
      <c r="IV1475" s="29"/>
      <c r="IW1475" s="29"/>
      <c r="IX1475" s="29"/>
      <c r="IY1475" s="29"/>
      <c r="IZ1475" s="29"/>
      <c r="JA1475" s="29"/>
      <c r="JB1475" s="29"/>
      <c r="JC1475" s="29"/>
      <c r="JD1475" s="29"/>
      <c r="JE1475" s="29"/>
      <c r="JF1475" s="29"/>
      <c r="JG1475" s="29"/>
      <c r="JH1475" s="29"/>
      <c r="JI1475" s="29"/>
      <c r="JJ1475" s="29"/>
      <c r="JK1475" s="29"/>
      <c r="JL1475" s="29"/>
      <c r="JM1475" s="29"/>
      <c r="JN1475" s="29"/>
      <c r="JO1475" s="29"/>
      <c r="JP1475" s="29"/>
      <c r="JQ1475" s="29"/>
      <c r="JR1475" s="29"/>
      <c r="JS1475" s="29"/>
      <c r="JT1475" s="29"/>
      <c r="JU1475" s="29"/>
      <c r="JV1475" s="29"/>
      <c r="JW1475" s="29"/>
      <c r="JX1475" s="29"/>
      <c r="JY1475" s="29"/>
      <c r="JZ1475" s="29"/>
      <c r="KA1475" s="29"/>
      <c r="KB1475" s="29"/>
      <c r="KC1475" s="29"/>
      <c r="KD1475" s="29"/>
      <c r="KE1475" s="29"/>
      <c r="KF1475" s="29"/>
      <c r="KG1475" s="29"/>
      <c r="KH1475" s="29"/>
      <c r="KI1475" s="29"/>
      <c r="KJ1475" s="29"/>
      <c r="KK1475" s="29"/>
      <c r="KL1475" s="29"/>
      <c r="KM1475" s="29"/>
      <c r="KN1475" s="29"/>
      <c r="KO1475" s="29"/>
      <c r="KP1475" s="29"/>
      <c r="KQ1475" s="29"/>
      <c r="KR1475" s="29"/>
      <c r="KS1475" s="29"/>
      <c r="KT1475" s="29"/>
      <c r="KU1475" s="29"/>
      <c r="KV1475" s="29"/>
      <c r="KW1475" s="29"/>
      <c r="KX1475" s="29"/>
      <c r="KY1475" s="29"/>
      <c r="KZ1475" s="29"/>
      <c r="LA1475" s="29"/>
      <c r="LB1475" s="29"/>
      <c r="LC1475" s="29"/>
      <c r="LD1475" s="29"/>
      <c r="LE1475" s="29"/>
      <c r="LF1475" s="29"/>
      <c r="LG1475" s="29"/>
      <c r="LH1475" s="29"/>
      <c r="LI1475" s="29"/>
      <c r="LJ1475" s="29"/>
      <c r="LK1475" s="29"/>
      <c r="LL1475" s="29"/>
      <c r="LM1475" s="29"/>
      <c r="LN1475" s="29"/>
      <c r="LO1475" s="29"/>
      <c r="LP1475" s="29"/>
      <c r="LQ1475" s="29"/>
      <c r="LR1475" s="29"/>
      <c r="LS1475" s="29"/>
      <c r="LT1475" s="29"/>
      <c r="LU1475" s="29"/>
      <c r="LV1475" s="29"/>
      <c r="LW1475" s="29"/>
      <c r="LX1475" s="29"/>
      <c r="LY1475" s="29"/>
      <c r="LZ1475" s="29"/>
      <c r="MA1475" s="29"/>
      <c r="MB1475" s="29"/>
      <c r="MC1475" s="29"/>
      <c r="MD1475" s="29"/>
      <c r="ME1475" s="29"/>
      <c r="MF1475" s="29"/>
      <c r="MG1475" s="29"/>
      <c r="MH1475" s="29"/>
      <c r="MI1475" s="29"/>
      <c r="MJ1475" s="29"/>
      <c r="MK1475" s="29"/>
      <c r="ML1475" s="29"/>
      <c r="MM1475" s="29"/>
      <c r="MN1475" s="29"/>
      <c r="MO1475" s="29"/>
      <c r="MP1475" s="29"/>
      <c r="MQ1475" s="29"/>
      <c r="MR1475" s="29"/>
      <c r="MS1475" s="29"/>
      <c r="MT1475" s="29"/>
      <c r="MU1475" s="29"/>
      <c r="MV1475" s="29"/>
      <c r="MW1475" s="29"/>
      <c r="MX1475" s="29"/>
      <c r="MY1475" s="29"/>
      <c r="MZ1475" s="29"/>
      <c r="NA1475" s="29"/>
      <c r="NB1475" s="29"/>
      <c r="NC1475" s="29"/>
      <c r="ND1475" s="29"/>
      <c r="NE1475" s="29"/>
      <c r="NF1475" s="29"/>
      <c r="NG1475" s="29"/>
      <c r="NH1475" s="29"/>
      <c r="NI1475" s="29"/>
      <c r="NJ1475" s="29"/>
      <c r="NK1475" s="29"/>
      <c r="NL1475" s="29"/>
      <c r="NM1475" s="29"/>
      <c r="NN1475" s="29"/>
      <c r="NO1475" s="29"/>
      <c r="NP1475" s="29"/>
      <c r="NQ1475" s="29"/>
      <c r="NR1475" s="29"/>
      <c r="NS1475" s="29"/>
      <c r="NT1475" s="29"/>
      <c r="NU1475" s="29"/>
      <c r="NV1475" s="29"/>
      <c r="NW1475" s="29"/>
      <c r="NX1475" s="29"/>
      <c r="NY1475" s="29"/>
      <c r="NZ1475" s="29"/>
      <c r="OA1475" s="29"/>
      <c r="OB1475" s="29"/>
      <c r="OC1475" s="29"/>
      <c r="OD1475" s="29"/>
      <c r="OE1475" s="29"/>
      <c r="OF1475" s="29"/>
      <c r="OG1475" s="29"/>
      <c r="OH1475" s="29"/>
      <c r="OI1475" s="29"/>
      <c r="OJ1475" s="29"/>
      <c r="OK1475" s="29"/>
      <c r="OL1475" s="29"/>
      <c r="OM1475" s="29"/>
      <c r="ON1475" s="29"/>
      <c r="OO1475" s="29"/>
      <c r="OP1475" s="29"/>
      <c r="OQ1475" s="29"/>
      <c r="OR1475" s="29"/>
      <c r="OS1475" s="29"/>
      <c r="OT1475" s="29"/>
      <c r="OU1475" s="29"/>
      <c r="OV1475" s="29"/>
      <c r="OW1475" s="29"/>
      <c r="OX1475" s="29"/>
      <c r="OY1475" s="29"/>
      <c r="OZ1475" s="29"/>
      <c r="PA1475" s="29"/>
      <c r="PB1475" s="29"/>
      <c r="PC1475" s="29"/>
      <c r="PD1475" s="29"/>
      <c r="PE1475" s="29"/>
      <c r="PF1475" s="29"/>
      <c r="PG1475" s="29"/>
      <c r="PH1475" s="29"/>
      <c r="PI1475" s="29"/>
      <c r="PJ1475" s="29"/>
      <c r="PK1475" s="29"/>
      <c r="PL1475" s="29"/>
      <c r="PM1475" s="29"/>
      <c r="PN1475" s="29"/>
      <c r="PO1475" s="29"/>
      <c r="PP1475" s="29"/>
      <c r="PQ1475" s="29"/>
      <c r="PR1475" s="29"/>
      <c r="PS1475" s="29"/>
      <c r="PT1475" s="29"/>
      <c r="PU1475" s="29"/>
      <c r="PV1475" s="29"/>
      <c r="PW1475" s="29"/>
      <c r="PX1475" s="29"/>
      <c r="PY1475" s="29"/>
      <c r="PZ1475" s="29"/>
      <c r="QA1475" s="29"/>
      <c r="QB1475" s="29"/>
      <c r="QC1475" s="29"/>
      <c r="QD1475" s="29"/>
      <c r="QE1475" s="29"/>
      <c r="QF1475" s="29"/>
      <c r="QG1475" s="29"/>
      <c r="QH1475" s="29"/>
      <c r="QI1475" s="29"/>
      <c r="QJ1475" s="29"/>
      <c r="QK1475" s="29"/>
      <c r="QL1475" s="29"/>
      <c r="QM1475" s="29"/>
      <c r="QN1475" s="29"/>
      <c r="QO1475" s="29"/>
      <c r="QP1475" s="29"/>
      <c r="QQ1475" s="29"/>
      <c r="QR1475" s="29"/>
      <c r="QS1475" s="29"/>
      <c r="QT1475" s="29"/>
      <c r="QU1475" s="29"/>
      <c r="QV1475" s="29"/>
      <c r="QW1475" s="29"/>
      <c r="QX1475" s="29"/>
      <c r="QY1475" s="29"/>
      <c r="QZ1475" s="29"/>
      <c r="RA1475" s="29"/>
      <c r="RB1475" s="29"/>
      <c r="RC1475" s="29"/>
      <c r="RD1475" s="29"/>
      <c r="RE1475" s="29"/>
      <c r="RF1475" s="29"/>
      <c r="RG1475" s="29"/>
      <c r="RH1475" s="29"/>
      <c r="RI1475" s="29"/>
      <c r="RJ1475" s="29"/>
      <c r="RK1475" s="29"/>
      <c r="RL1475" s="29"/>
      <c r="RM1475" s="29"/>
      <c r="RN1475" s="29"/>
      <c r="RO1475" s="29"/>
      <c r="RP1475" s="29"/>
      <c r="RQ1475" s="29"/>
      <c r="RR1475" s="29"/>
      <c r="RS1475" s="29"/>
      <c r="RT1475" s="29"/>
      <c r="RU1475" s="29"/>
      <c r="RV1475" s="29"/>
      <c r="RW1475" s="29"/>
      <c r="RX1475" s="29"/>
      <c r="RY1475" s="29"/>
      <c r="RZ1475" s="29"/>
      <c r="SA1475" s="29"/>
      <c r="SB1475" s="29"/>
      <c r="SC1475" s="29"/>
      <c r="SD1475" s="29"/>
      <c r="SE1475" s="29"/>
      <c r="SF1475" s="29"/>
      <c r="SG1475" s="29"/>
      <c r="SH1475" s="29"/>
      <c r="SI1475" s="29"/>
      <c r="SJ1475" s="29"/>
      <c r="SK1475" s="29"/>
      <c r="SL1475" s="29"/>
      <c r="SM1475" s="29"/>
      <c r="SN1475" s="29"/>
      <c r="SO1475" s="29"/>
      <c r="SP1475" s="29"/>
      <c r="SQ1475" s="29"/>
      <c r="SR1475" s="29"/>
      <c r="SS1475" s="29"/>
      <c r="ST1475" s="29"/>
      <c r="SU1475" s="29"/>
      <c r="SV1475" s="29"/>
      <c r="SW1475" s="29"/>
      <c r="SX1475" s="29"/>
      <c r="SY1475" s="29"/>
      <c r="SZ1475" s="29"/>
      <c r="TA1475" s="29"/>
      <c r="TB1475" s="29"/>
      <c r="TC1475" s="29"/>
      <c r="TD1475" s="29"/>
      <c r="TE1475" s="29"/>
      <c r="TF1475" s="29"/>
      <c r="TG1475" s="29"/>
      <c r="TH1475" s="29"/>
      <c r="TI1475" s="29"/>
      <c r="TJ1475" s="29"/>
      <c r="TK1475" s="29"/>
      <c r="TL1475" s="29"/>
      <c r="TM1475" s="29"/>
      <c r="TN1475" s="29"/>
      <c r="TO1475" s="29"/>
      <c r="TP1475" s="29"/>
      <c r="TQ1475" s="29"/>
      <c r="TR1475" s="29"/>
      <c r="TS1475" s="29"/>
      <c r="TT1475" s="29"/>
      <c r="TU1475" s="29"/>
      <c r="TV1475" s="29"/>
      <c r="TW1475" s="29"/>
      <c r="TX1475" s="29"/>
      <c r="TY1475" s="29"/>
      <c r="TZ1475" s="29"/>
      <c r="UA1475" s="29"/>
      <c r="UB1475" s="29"/>
      <c r="UC1475" s="29"/>
      <c r="UD1475" s="29"/>
      <c r="UE1475" s="29"/>
      <c r="UF1475" s="29"/>
      <c r="UG1475" s="29"/>
    </row>
    <row r="1476" spans="1:553" s="214" customFormat="1" ht="28.9" customHeight="1">
      <c r="A1476" s="823" t="s">
        <v>30</v>
      </c>
      <c r="B1476" s="824">
        <v>2</v>
      </c>
      <c r="C1476" s="1602" t="s">
        <v>891</v>
      </c>
      <c r="D1476" s="1603"/>
      <c r="E1476" s="1603"/>
      <c r="F1476" s="1604"/>
      <c r="G1476" s="825" t="s">
        <v>33</v>
      </c>
      <c r="H1476" s="826"/>
      <c r="I1476" s="743">
        <f>-24*1.4*2</f>
        <v>-67.199999999999989</v>
      </c>
      <c r="J1476" s="1000">
        <v>52000</v>
      </c>
      <c r="K1476" s="829"/>
      <c r="L1476" s="1204">
        <f>J1476*I1476</f>
        <v>-3494399.9999999995</v>
      </c>
      <c r="M1476" s="830"/>
      <c r="N1476" s="830"/>
      <c r="O1476" s="828"/>
      <c r="P1476" s="831"/>
      <c r="Q1476" s="1162"/>
      <c r="R1476" s="1169"/>
      <c r="S1476" s="308"/>
      <c r="T1476" s="308"/>
      <c r="U1476" s="308"/>
      <c r="V1476" s="308"/>
      <c r="W1476" s="308"/>
      <c r="X1476" s="308"/>
      <c r="Y1476" s="308"/>
      <c r="Z1476" s="604"/>
      <c r="AA1476" s="308"/>
      <c r="AB1476" s="308"/>
      <c r="AC1476" s="832"/>
      <c r="AD1476" s="832"/>
      <c r="AE1476" s="832"/>
      <c r="AF1476" s="832"/>
      <c r="AG1476" s="833"/>
      <c r="AH1476" s="833"/>
      <c r="AI1476" s="833"/>
      <c r="AJ1476" s="833"/>
      <c r="AK1476" s="833"/>
      <c r="AL1476" s="211"/>
      <c r="AM1476" s="211"/>
      <c r="AN1476" s="211"/>
      <c r="AO1476" s="211"/>
      <c r="AP1476" s="211"/>
      <c r="AQ1476" s="212"/>
      <c r="AR1476" s="212"/>
      <c r="AS1476" s="212"/>
      <c r="AT1476" s="212"/>
      <c r="AU1476" s="212"/>
      <c r="AV1476" s="212"/>
      <c r="AW1476" s="212"/>
      <c r="AX1476" s="212"/>
      <c r="AY1476" s="212"/>
      <c r="AZ1476" s="212"/>
      <c r="BA1476" s="212"/>
      <c r="BB1476" s="212"/>
      <c r="BC1476" s="212"/>
      <c r="BD1476" s="212"/>
      <c r="BE1476" s="212"/>
      <c r="BF1476" s="212"/>
      <c r="BG1476" s="212"/>
      <c r="BH1476" s="212"/>
      <c r="BI1476" s="212"/>
      <c r="BJ1476" s="212"/>
      <c r="BK1476" s="212"/>
      <c r="BL1476" s="212"/>
      <c r="BM1476" s="212"/>
      <c r="BN1476" s="212"/>
      <c r="BO1476" s="212"/>
      <c r="BP1476" s="212"/>
      <c r="BQ1476" s="212"/>
      <c r="BR1476" s="212"/>
      <c r="BS1476" s="212"/>
      <c r="BT1476" s="212"/>
      <c r="BU1476" s="212"/>
      <c r="BV1476" s="212"/>
      <c r="BW1476" s="212"/>
      <c r="BX1476" s="212"/>
      <c r="BY1476" s="212"/>
      <c r="BZ1476" s="212"/>
      <c r="CA1476" s="212"/>
      <c r="CB1476" s="212"/>
      <c r="CC1476" s="212"/>
      <c r="CD1476" s="212"/>
      <c r="CE1476" s="212"/>
      <c r="CF1476" s="212"/>
      <c r="CG1476" s="212"/>
      <c r="CH1476" s="212"/>
      <c r="CI1476" s="212"/>
      <c r="CJ1476" s="212"/>
      <c r="CK1476" s="212"/>
      <c r="CL1476" s="212"/>
      <c r="CM1476" s="212"/>
      <c r="CN1476" s="212"/>
      <c r="CO1476" s="212"/>
      <c r="CP1476" s="212"/>
      <c r="CQ1476" s="212"/>
      <c r="CR1476" s="212"/>
      <c r="CS1476" s="212"/>
      <c r="CT1476" s="212"/>
      <c r="CU1476" s="212"/>
      <c r="CV1476" s="212"/>
      <c r="CW1476" s="212"/>
      <c r="CX1476" s="212"/>
      <c r="CY1476" s="212"/>
      <c r="CZ1476" s="212"/>
      <c r="DA1476" s="212"/>
      <c r="DB1476" s="212"/>
      <c r="DC1476" s="212"/>
      <c r="DD1476" s="212"/>
      <c r="DE1476" s="212"/>
      <c r="DF1476" s="212"/>
      <c r="DG1476" s="212"/>
      <c r="DH1476" s="212"/>
      <c r="DI1476" s="212"/>
      <c r="DJ1476" s="212"/>
      <c r="DK1476" s="212"/>
      <c r="DL1476" s="212"/>
      <c r="DM1476" s="212"/>
      <c r="DN1476" s="212"/>
      <c r="DO1476" s="212"/>
      <c r="DP1476" s="212"/>
      <c r="DQ1476" s="212"/>
      <c r="DR1476" s="212"/>
      <c r="DS1476" s="212"/>
      <c r="DT1476" s="212"/>
      <c r="DU1476" s="212"/>
      <c r="DV1476" s="212"/>
      <c r="DW1476" s="212"/>
      <c r="DX1476" s="212"/>
      <c r="DY1476" s="212"/>
      <c r="DZ1476" s="212"/>
      <c r="EA1476" s="212"/>
      <c r="EB1476" s="212"/>
      <c r="EC1476" s="212"/>
      <c r="ED1476" s="212"/>
      <c r="EE1476" s="212"/>
      <c r="EF1476" s="212"/>
      <c r="EG1476" s="212"/>
      <c r="EH1476" s="212"/>
      <c r="EI1476" s="212"/>
      <c r="EJ1476" s="212"/>
      <c r="EK1476" s="212"/>
      <c r="EL1476" s="212"/>
      <c r="EM1476" s="212"/>
      <c r="EN1476" s="212"/>
      <c r="EO1476" s="212"/>
      <c r="EP1476" s="212"/>
      <c r="EQ1476" s="212"/>
      <c r="ER1476" s="212"/>
      <c r="ES1476" s="212"/>
      <c r="ET1476" s="212"/>
      <c r="EU1476" s="212"/>
      <c r="EV1476" s="212"/>
      <c r="EW1476" s="212"/>
      <c r="EX1476" s="212"/>
      <c r="EY1476" s="212"/>
      <c r="EZ1476" s="212"/>
      <c r="FA1476" s="212"/>
      <c r="FB1476" s="212"/>
      <c r="FC1476" s="212"/>
      <c r="FD1476" s="212"/>
      <c r="FE1476" s="212"/>
      <c r="FF1476" s="212"/>
      <c r="FG1476" s="212"/>
      <c r="FH1476" s="212"/>
      <c r="FI1476" s="212"/>
      <c r="FJ1476" s="212"/>
      <c r="FK1476" s="212"/>
      <c r="FL1476" s="212"/>
      <c r="FM1476" s="212"/>
      <c r="FN1476" s="212"/>
      <c r="FO1476" s="212"/>
      <c r="FP1476" s="212"/>
      <c r="FQ1476" s="212"/>
      <c r="FR1476" s="212"/>
      <c r="FS1476" s="212"/>
      <c r="FT1476" s="212"/>
      <c r="FU1476" s="212"/>
      <c r="FV1476" s="212"/>
      <c r="FW1476" s="212"/>
      <c r="FX1476" s="212"/>
      <c r="FY1476" s="212"/>
      <c r="FZ1476" s="212"/>
      <c r="GA1476" s="212"/>
      <c r="GB1476" s="212"/>
      <c r="GC1476" s="212"/>
      <c r="GD1476" s="212"/>
      <c r="GE1476" s="212"/>
      <c r="GF1476" s="212"/>
      <c r="GG1476" s="212"/>
      <c r="GH1476" s="212"/>
      <c r="GI1476" s="212"/>
      <c r="GJ1476" s="212"/>
      <c r="GK1476" s="212"/>
      <c r="GL1476" s="212"/>
      <c r="GM1476" s="212"/>
      <c r="GN1476" s="212"/>
      <c r="GO1476" s="212"/>
      <c r="GP1476" s="212"/>
      <c r="GQ1476" s="212"/>
      <c r="GR1476" s="212"/>
      <c r="GS1476" s="212"/>
      <c r="GT1476" s="212"/>
      <c r="GU1476" s="212"/>
      <c r="GV1476" s="212"/>
      <c r="GW1476" s="212"/>
      <c r="GX1476" s="212"/>
      <c r="GY1476" s="212"/>
      <c r="GZ1476" s="212"/>
      <c r="HA1476" s="212"/>
      <c r="HB1476" s="212"/>
      <c r="HC1476" s="212"/>
      <c r="HD1476" s="212"/>
      <c r="HE1476" s="212"/>
      <c r="HF1476" s="212"/>
      <c r="HG1476" s="212"/>
      <c r="HH1476" s="212"/>
      <c r="HI1476" s="212"/>
      <c r="HJ1476" s="212"/>
      <c r="HK1476" s="212"/>
      <c r="HL1476" s="212"/>
      <c r="HM1476" s="212"/>
      <c r="HN1476" s="212"/>
      <c r="HO1476" s="212"/>
      <c r="HP1476" s="212"/>
      <c r="HQ1476" s="212"/>
      <c r="HR1476" s="212"/>
      <c r="HS1476" s="212"/>
      <c r="HT1476" s="212"/>
      <c r="HU1476" s="212"/>
      <c r="HV1476" s="212"/>
      <c r="HW1476" s="212"/>
      <c r="HX1476" s="212"/>
      <c r="HY1476" s="212"/>
      <c r="HZ1476" s="212"/>
      <c r="IA1476" s="212"/>
      <c r="IB1476" s="212"/>
      <c r="IC1476" s="212"/>
      <c r="ID1476" s="212"/>
      <c r="IE1476" s="212"/>
      <c r="IF1476" s="212"/>
      <c r="IG1476" s="212"/>
      <c r="IH1476" s="212"/>
      <c r="II1476" s="212"/>
      <c r="IJ1476" s="212"/>
      <c r="IK1476" s="212"/>
      <c r="IL1476" s="212"/>
      <c r="IM1476" s="212"/>
      <c r="IN1476" s="212"/>
      <c r="IO1476" s="212"/>
      <c r="IP1476" s="212"/>
      <c r="IQ1476" s="212"/>
      <c r="IR1476" s="212"/>
      <c r="IS1476" s="212"/>
      <c r="IT1476" s="212"/>
      <c r="IU1476" s="212"/>
      <c r="IV1476" s="212"/>
      <c r="IW1476" s="212"/>
      <c r="IX1476" s="212"/>
      <c r="IY1476" s="212"/>
      <c r="IZ1476" s="212"/>
      <c r="JA1476" s="212"/>
      <c r="JB1476" s="212"/>
      <c r="JC1476" s="212"/>
      <c r="JD1476" s="212"/>
      <c r="JE1476" s="212"/>
      <c r="JF1476" s="212"/>
      <c r="JG1476" s="212"/>
      <c r="JH1476" s="212"/>
      <c r="JI1476" s="212"/>
      <c r="JJ1476" s="212"/>
      <c r="JK1476" s="212"/>
      <c r="JL1476" s="212"/>
      <c r="JM1476" s="212"/>
      <c r="JN1476" s="212"/>
      <c r="JO1476" s="212"/>
      <c r="JP1476" s="212"/>
      <c r="JQ1476" s="212"/>
      <c r="JR1476" s="212"/>
      <c r="JS1476" s="212"/>
      <c r="JT1476" s="212"/>
      <c r="JU1476" s="212"/>
      <c r="JV1476" s="212"/>
      <c r="JW1476" s="212"/>
      <c r="JX1476" s="212"/>
      <c r="JY1476" s="212"/>
      <c r="JZ1476" s="212"/>
      <c r="KA1476" s="212"/>
      <c r="KB1476" s="212"/>
      <c r="KC1476" s="212"/>
      <c r="KD1476" s="212"/>
      <c r="KE1476" s="212"/>
      <c r="KF1476" s="212"/>
      <c r="KG1476" s="212"/>
      <c r="KH1476" s="212"/>
      <c r="KI1476" s="212"/>
      <c r="KJ1476" s="212"/>
      <c r="KK1476" s="212"/>
      <c r="KL1476" s="212"/>
      <c r="KM1476" s="212"/>
      <c r="KN1476" s="212"/>
      <c r="KO1476" s="212"/>
      <c r="KP1476" s="212"/>
      <c r="KQ1476" s="212"/>
      <c r="KR1476" s="212"/>
      <c r="KS1476" s="212"/>
      <c r="KT1476" s="212"/>
      <c r="KU1476" s="212"/>
      <c r="KV1476" s="212"/>
      <c r="KW1476" s="212"/>
      <c r="KX1476" s="212"/>
      <c r="KY1476" s="212"/>
      <c r="KZ1476" s="212"/>
      <c r="LA1476" s="212"/>
      <c r="LB1476" s="212"/>
      <c r="LC1476" s="212"/>
      <c r="LD1476" s="212"/>
      <c r="LE1476" s="212"/>
      <c r="LF1476" s="212"/>
      <c r="LG1476" s="212"/>
      <c r="LH1476" s="212"/>
      <c r="LI1476" s="212"/>
      <c r="LJ1476" s="212"/>
      <c r="LK1476" s="212"/>
      <c r="LL1476" s="212"/>
      <c r="LM1476" s="212"/>
      <c r="LN1476" s="212"/>
      <c r="LO1476" s="212"/>
      <c r="LP1476" s="212"/>
      <c r="LQ1476" s="212"/>
      <c r="LR1476" s="212"/>
      <c r="LS1476" s="212"/>
      <c r="LT1476" s="212"/>
      <c r="LU1476" s="212"/>
      <c r="LV1476" s="212"/>
      <c r="LW1476" s="212"/>
      <c r="LX1476" s="212"/>
      <c r="LY1476" s="212"/>
      <c r="LZ1476" s="212"/>
      <c r="MA1476" s="212"/>
      <c r="MB1476" s="212"/>
      <c r="MC1476" s="212"/>
      <c r="MD1476" s="212"/>
      <c r="ME1476" s="212"/>
      <c r="MF1476" s="212"/>
      <c r="MG1476" s="212"/>
      <c r="MH1476" s="212"/>
      <c r="MI1476" s="212"/>
      <c r="MJ1476" s="212"/>
      <c r="MK1476" s="212"/>
      <c r="ML1476" s="212"/>
      <c r="MM1476" s="212"/>
      <c r="MN1476" s="212"/>
      <c r="MO1476" s="212"/>
      <c r="MP1476" s="212"/>
      <c r="MQ1476" s="212"/>
      <c r="MR1476" s="212"/>
      <c r="MS1476" s="212"/>
      <c r="MT1476" s="212"/>
      <c r="MU1476" s="212"/>
      <c r="MV1476" s="212"/>
      <c r="MW1476" s="212"/>
      <c r="MX1476" s="212"/>
      <c r="MY1476" s="212"/>
      <c r="MZ1476" s="212"/>
      <c r="NA1476" s="212"/>
      <c r="NB1476" s="212"/>
      <c r="NC1476" s="212"/>
      <c r="ND1476" s="212"/>
      <c r="NE1476" s="212"/>
      <c r="NF1476" s="212"/>
      <c r="NG1476" s="212"/>
      <c r="NH1476" s="212"/>
      <c r="NI1476" s="212"/>
      <c r="NJ1476" s="212"/>
      <c r="NK1476" s="212"/>
      <c r="NL1476" s="212"/>
      <c r="NM1476" s="212"/>
      <c r="NN1476" s="212"/>
      <c r="NO1476" s="212"/>
      <c r="NP1476" s="212"/>
      <c r="NQ1476" s="212"/>
      <c r="NR1476" s="212"/>
      <c r="NS1476" s="212"/>
      <c r="NT1476" s="212"/>
      <c r="NU1476" s="212"/>
      <c r="NV1476" s="212"/>
      <c r="NW1476" s="212"/>
      <c r="NX1476" s="212"/>
      <c r="NY1476" s="212"/>
      <c r="NZ1476" s="212"/>
      <c r="OA1476" s="212"/>
      <c r="OB1476" s="212"/>
      <c r="OC1476" s="212"/>
      <c r="OD1476" s="212"/>
      <c r="OE1476" s="212"/>
      <c r="OF1476" s="212"/>
      <c r="OG1476" s="212"/>
      <c r="OH1476" s="212"/>
      <c r="OI1476" s="212"/>
      <c r="OJ1476" s="212"/>
      <c r="OK1476" s="212"/>
      <c r="OL1476" s="212"/>
      <c r="OM1476" s="212"/>
      <c r="ON1476" s="212"/>
      <c r="OO1476" s="212"/>
      <c r="OP1476" s="212"/>
      <c r="OQ1476" s="212"/>
      <c r="OR1476" s="212"/>
      <c r="OS1476" s="212"/>
      <c r="OT1476" s="212"/>
      <c r="OU1476" s="212"/>
      <c r="OV1476" s="212"/>
      <c r="OW1476" s="212"/>
      <c r="OX1476" s="212"/>
      <c r="OY1476" s="212"/>
      <c r="OZ1476" s="212"/>
      <c r="PA1476" s="212"/>
      <c r="PB1476" s="212"/>
      <c r="PC1476" s="212"/>
      <c r="PD1476" s="212"/>
      <c r="PE1476" s="212"/>
      <c r="PF1476" s="212"/>
      <c r="PG1476" s="212"/>
      <c r="PH1476" s="212"/>
      <c r="PI1476" s="212"/>
      <c r="PJ1476" s="212"/>
      <c r="PK1476" s="212"/>
      <c r="PL1476" s="212"/>
      <c r="PM1476" s="212"/>
      <c r="PN1476" s="212"/>
      <c r="PO1476" s="212"/>
      <c r="PP1476" s="212"/>
      <c r="PQ1476" s="212"/>
      <c r="PR1476" s="212"/>
      <c r="PS1476" s="212"/>
      <c r="PT1476" s="212"/>
      <c r="PU1476" s="212"/>
      <c r="PV1476" s="212"/>
      <c r="PW1476" s="212"/>
      <c r="PX1476" s="212"/>
      <c r="PY1476" s="212"/>
      <c r="PZ1476" s="212"/>
      <c r="QA1476" s="212"/>
      <c r="QB1476" s="212"/>
      <c r="QC1476" s="212"/>
      <c r="QD1476" s="212"/>
      <c r="QE1476" s="212"/>
      <c r="QF1476" s="212"/>
      <c r="QG1476" s="212"/>
      <c r="QH1476" s="212"/>
      <c r="QI1476" s="212"/>
      <c r="QJ1476" s="212"/>
      <c r="QK1476" s="212"/>
      <c r="QL1476" s="212"/>
      <c r="QM1476" s="212"/>
      <c r="QN1476" s="212"/>
      <c r="QO1476" s="212"/>
      <c r="QP1476" s="212"/>
      <c r="QQ1476" s="212"/>
      <c r="QR1476" s="212"/>
      <c r="QS1476" s="212"/>
      <c r="QT1476" s="212"/>
      <c r="QU1476" s="212"/>
      <c r="QV1476" s="212"/>
      <c r="QW1476" s="212"/>
      <c r="QX1476" s="212"/>
      <c r="QY1476" s="212"/>
      <c r="QZ1476" s="212"/>
      <c r="RA1476" s="212"/>
      <c r="RB1476" s="212"/>
      <c r="RC1476" s="212"/>
      <c r="RD1476" s="212"/>
      <c r="RE1476" s="212"/>
      <c r="RF1476" s="212"/>
      <c r="RG1476" s="212"/>
      <c r="RH1476" s="212"/>
      <c r="RI1476" s="212"/>
      <c r="RJ1476" s="212"/>
      <c r="RK1476" s="212"/>
      <c r="RL1476" s="212"/>
      <c r="RM1476" s="212"/>
      <c r="RN1476" s="212"/>
      <c r="RO1476" s="212"/>
      <c r="RP1476" s="212"/>
      <c r="RQ1476" s="212"/>
      <c r="RR1476" s="212"/>
      <c r="RS1476" s="212"/>
      <c r="RT1476" s="212"/>
      <c r="RU1476" s="212"/>
      <c r="RV1476" s="212"/>
      <c r="RW1476" s="212"/>
      <c r="RX1476" s="212"/>
      <c r="RY1476" s="212"/>
      <c r="RZ1476" s="212"/>
      <c r="SA1476" s="212"/>
      <c r="SB1476" s="212"/>
      <c r="SC1476" s="212"/>
      <c r="SD1476" s="212"/>
      <c r="SE1476" s="212"/>
      <c r="SF1476" s="212"/>
      <c r="SG1476" s="212"/>
      <c r="SH1476" s="212"/>
      <c r="SI1476" s="212"/>
      <c r="SJ1476" s="212"/>
      <c r="SK1476" s="212"/>
      <c r="SL1476" s="212"/>
      <c r="SM1476" s="212"/>
      <c r="SN1476" s="212"/>
      <c r="SO1476" s="212"/>
      <c r="SP1476" s="212"/>
      <c r="SQ1476" s="212"/>
      <c r="SR1476" s="212"/>
      <c r="SS1476" s="212"/>
      <c r="ST1476" s="212"/>
      <c r="SU1476" s="212"/>
      <c r="SV1476" s="212"/>
      <c r="SW1476" s="212"/>
      <c r="SX1476" s="212"/>
      <c r="SY1476" s="212"/>
      <c r="SZ1476" s="212"/>
      <c r="TA1476" s="212"/>
      <c r="TB1476" s="212"/>
      <c r="TC1476" s="212"/>
      <c r="TD1476" s="212"/>
      <c r="TE1476" s="212"/>
      <c r="TF1476" s="212"/>
      <c r="TG1476" s="212"/>
      <c r="TH1476" s="212"/>
      <c r="TI1476" s="212"/>
      <c r="TJ1476" s="212"/>
      <c r="TK1476" s="212"/>
      <c r="TL1476" s="212"/>
      <c r="TM1476" s="212"/>
      <c r="TN1476" s="212"/>
      <c r="TO1476" s="212"/>
      <c r="TP1476" s="212"/>
      <c r="TQ1476" s="212"/>
      <c r="TR1476" s="212"/>
      <c r="TS1476" s="212"/>
      <c r="TT1476" s="212"/>
      <c r="TU1476" s="212"/>
      <c r="TV1476" s="212"/>
      <c r="TW1476" s="212"/>
      <c r="TX1476" s="212"/>
      <c r="TY1476" s="212"/>
      <c r="TZ1476" s="212"/>
      <c r="UA1476" s="212"/>
      <c r="UB1476" s="212"/>
      <c r="UC1476" s="212"/>
      <c r="UD1476" s="212"/>
      <c r="UE1476" s="212"/>
      <c r="UF1476" s="212"/>
      <c r="UG1476" s="213"/>
    </row>
    <row r="1477" spans="1:553" s="214" customFormat="1" ht="28.9" customHeight="1">
      <c r="A1477" s="823" t="s">
        <v>30</v>
      </c>
      <c r="B1477" s="824">
        <v>5</v>
      </c>
      <c r="C1477" s="1602" t="s">
        <v>892</v>
      </c>
      <c r="D1477" s="1603"/>
      <c r="E1477" s="1603"/>
      <c r="F1477" s="1604"/>
      <c r="G1477" s="825" t="s">
        <v>33</v>
      </c>
      <c r="H1477" s="826"/>
      <c r="I1477" s="743">
        <f>-24*1.4/1.7</f>
        <v>-19.764705882352938</v>
      </c>
      <c r="J1477" s="1000">
        <v>41700</v>
      </c>
      <c r="K1477" s="829"/>
      <c r="L1477" s="1204">
        <f>J1477*I1477</f>
        <v>-824188.23529411748</v>
      </c>
      <c r="M1477" s="830"/>
      <c r="N1477" s="830"/>
      <c r="O1477" s="828"/>
      <c r="P1477" s="831"/>
      <c r="Q1477" s="1162"/>
      <c r="R1477" s="1169"/>
      <c r="S1477" s="308"/>
      <c r="T1477" s="308"/>
      <c r="U1477" s="308"/>
      <c r="V1477" s="308"/>
      <c r="W1477" s="308"/>
      <c r="X1477" s="308"/>
      <c r="Y1477" s="308"/>
      <c r="Z1477" s="604"/>
      <c r="AA1477" s="308"/>
      <c r="AB1477" s="308"/>
      <c r="AC1477" s="832"/>
      <c r="AD1477" s="832"/>
      <c r="AE1477" s="832"/>
      <c r="AF1477" s="832"/>
      <c r="AG1477" s="833"/>
      <c r="AH1477" s="833"/>
      <c r="AI1477" s="833"/>
      <c r="AJ1477" s="833"/>
      <c r="AK1477" s="833"/>
      <c r="AL1477" s="211"/>
      <c r="AM1477" s="211"/>
      <c r="AN1477" s="211"/>
      <c r="AO1477" s="211"/>
      <c r="AP1477" s="211"/>
      <c r="AQ1477" s="212"/>
      <c r="AR1477" s="212"/>
      <c r="AS1477" s="212"/>
      <c r="AT1477" s="212"/>
      <c r="AU1477" s="212"/>
      <c r="AV1477" s="212"/>
      <c r="AW1477" s="212"/>
      <c r="AX1477" s="212"/>
      <c r="AY1477" s="212"/>
      <c r="AZ1477" s="212"/>
      <c r="BA1477" s="212"/>
      <c r="BB1477" s="212"/>
      <c r="BC1477" s="212"/>
      <c r="BD1477" s="212"/>
      <c r="BE1477" s="212"/>
      <c r="BF1477" s="212"/>
      <c r="BG1477" s="212"/>
      <c r="BH1477" s="212"/>
      <c r="BI1477" s="212"/>
      <c r="BJ1477" s="212"/>
      <c r="BK1477" s="212"/>
      <c r="BL1477" s="212"/>
      <c r="BM1477" s="212"/>
      <c r="BN1477" s="212"/>
      <c r="BO1477" s="212"/>
      <c r="BP1477" s="212"/>
      <c r="BQ1477" s="212"/>
      <c r="BR1477" s="212"/>
      <c r="BS1477" s="212"/>
      <c r="BT1477" s="212"/>
      <c r="BU1477" s="212"/>
      <c r="BV1477" s="212"/>
      <c r="BW1477" s="212"/>
      <c r="BX1477" s="212"/>
      <c r="BY1477" s="212"/>
      <c r="BZ1477" s="212"/>
      <c r="CA1477" s="212"/>
      <c r="CB1477" s="212"/>
      <c r="CC1477" s="212"/>
      <c r="CD1477" s="212"/>
      <c r="CE1477" s="212"/>
      <c r="CF1477" s="212"/>
      <c r="CG1477" s="212"/>
      <c r="CH1477" s="212"/>
      <c r="CI1477" s="212"/>
      <c r="CJ1477" s="212"/>
      <c r="CK1477" s="212"/>
      <c r="CL1477" s="212"/>
      <c r="CM1477" s="212"/>
      <c r="CN1477" s="212"/>
      <c r="CO1477" s="212"/>
      <c r="CP1477" s="212"/>
      <c r="CQ1477" s="212"/>
      <c r="CR1477" s="212"/>
      <c r="CS1477" s="212"/>
      <c r="CT1477" s="212"/>
      <c r="CU1477" s="212"/>
      <c r="CV1477" s="212"/>
      <c r="CW1477" s="212"/>
      <c r="CX1477" s="212"/>
      <c r="CY1477" s="212"/>
      <c r="CZ1477" s="212"/>
      <c r="DA1477" s="212"/>
      <c r="DB1477" s="212"/>
      <c r="DC1477" s="212"/>
      <c r="DD1477" s="212"/>
      <c r="DE1477" s="212"/>
      <c r="DF1477" s="212"/>
      <c r="DG1477" s="212"/>
      <c r="DH1477" s="212"/>
      <c r="DI1477" s="212"/>
      <c r="DJ1477" s="212"/>
      <c r="DK1477" s="212"/>
      <c r="DL1477" s="212"/>
      <c r="DM1477" s="212"/>
      <c r="DN1477" s="212"/>
      <c r="DO1477" s="212"/>
      <c r="DP1477" s="212"/>
      <c r="DQ1477" s="212"/>
      <c r="DR1477" s="212"/>
      <c r="DS1477" s="212"/>
      <c r="DT1477" s="212"/>
      <c r="DU1477" s="212"/>
      <c r="DV1477" s="212"/>
      <c r="DW1477" s="212"/>
      <c r="DX1477" s="212"/>
      <c r="DY1477" s="212"/>
      <c r="DZ1477" s="212"/>
      <c r="EA1477" s="212"/>
      <c r="EB1477" s="212"/>
      <c r="EC1477" s="212"/>
      <c r="ED1477" s="212"/>
      <c r="EE1477" s="212"/>
      <c r="EF1477" s="212"/>
      <c r="EG1477" s="212"/>
      <c r="EH1477" s="212"/>
      <c r="EI1477" s="212"/>
      <c r="EJ1477" s="212"/>
      <c r="EK1477" s="212"/>
      <c r="EL1477" s="212"/>
      <c r="EM1477" s="212"/>
      <c r="EN1477" s="212"/>
      <c r="EO1477" s="212"/>
      <c r="EP1477" s="212"/>
      <c r="EQ1477" s="212"/>
      <c r="ER1477" s="212"/>
      <c r="ES1477" s="212"/>
      <c r="ET1477" s="212"/>
      <c r="EU1477" s="212"/>
      <c r="EV1477" s="212"/>
      <c r="EW1477" s="212"/>
      <c r="EX1477" s="212"/>
      <c r="EY1477" s="212"/>
      <c r="EZ1477" s="212"/>
      <c r="FA1477" s="212"/>
      <c r="FB1477" s="212"/>
      <c r="FC1477" s="212"/>
      <c r="FD1477" s="212"/>
      <c r="FE1477" s="212"/>
      <c r="FF1477" s="212"/>
      <c r="FG1477" s="212"/>
      <c r="FH1477" s="212"/>
      <c r="FI1477" s="212"/>
      <c r="FJ1477" s="212"/>
      <c r="FK1477" s="212"/>
      <c r="FL1477" s="212"/>
      <c r="FM1477" s="212"/>
      <c r="FN1477" s="212"/>
      <c r="FO1477" s="212"/>
      <c r="FP1477" s="212"/>
      <c r="FQ1477" s="212"/>
      <c r="FR1477" s="212"/>
      <c r="FS1477" s="212"/>
      <c r="FT1477" s="212"/>
      <c r="FU1477" s="212"/>
      <c r="FV1477" s="212"/>
      <c r="FW1477" s="212"/>
      <c r="FX1477" s="212"/>
      <c r="FY1477" s="212"/>
      <c r="FZ1477" s="212"/>
      <c r="GA1477" s="212"/>
      <c r="GB1477" s="212"/>
      <c r="GC1477" s="212"/>
      <c r="GD1477" s="212"/>
      <c r="GE1477" s="212"/>
      <c r="GF1477" s="212"/>
      <c r="GG1477" s="212"/>
      <c r="GH1477" s="212"/>
      <c r="GI1477" s="212"/>
      <c r="GJ1477" s="212"/>
      <c r="GK1477" s="212"/>
      <c r="GL1477" s="212"/>
      <c r="GM1477" s="212"/>
      <c r="GN1477" s="212"/>
      <c r="GO1477" s="212"/>
      <c r="GP1477" s="212"/>
      <c r="GQ1477" s="212"/>
      <c r="GR1477" s="212"/>
      <c r="GS1477" s="212"/>
      <c r="GT1477" s="212"/>
      <c r="GU1477" s="212"/>
      <c r="GV1477" s="212"/>
      <c r="GW1477" s="212"/>
      <c r="GX1477" s="212"/>
      <c r="GY1477" s="212"/>
      <c r="GZ1477" s="212"/>
      <c r="HA1477" s="212"/>
      <c r="HB1477" s="212"/>
      <c r="HC1477" s="212"/>
      <c r="HD1477" s="212"/>
      <c r="HE1477" s="212"/>
      <c r="HF1477" s="212"/>
      <c r="HG1477" s="212"/>
      <c r="HH1477" s="212"/>
      <c r="HI1477" s="212"/>
      <c r="HJ1477" s="212"/>
      <c r="HK1477" s="212"/>
      <c r="HL1477" s="212"/>
      <c r="HM1477" s="212"/>
      <c r="HN1477" s="212"/>
      <c r="HO1477" s="212"/>
      <c r="HP1477" s="212"/>
      <c r="HQ1477" s="212"/>
      <c r="HR1477" s="212"/>
      <c r="HS1477" s="212"/>
      <c r="HT1477" s="212"/>
      <c r="HU1477" s="212"/>
      <c r="HV1477" s="212"/>
      <c r="HW1477" s="212"/>
      <c r="HX1477" s="212"/>
      <c r="HY1477" s="212"/>
      <c r="HZ1477" s="212"/>
      <c r="IA1477" s="212"/>
      <c r="IB1477" s="212"/>
      <c r="IC1477" s="212"/>
      <c r="ID1477" s="212"/>
      <c r="IE1477" s="212"/>
      <c r="IF1477" s="212"/>
      <c r="IG1477" s="212"/>
      <c r="IH1477" s="212"/>
      <c r="II1477" s="212"/>
      <c r="IJ1477" s="212"/>
      <c r="IK1477" s="212"/>
      <c r="IL1477" s="212"/>
      <c r="IM1477" s="212"/>
      <c r="IN1477" s="212"/>
      <c r="IO1477" s="212"/>
      <c r="IP1477" s="212"/>
      <c r="IQ1477" s="212"/>
      <c r="IR1477" s="212"/>
      <c r="IS1477" s="212"/>
      <c r="IT1477" s="212"/>
      <c r="IU1477" s="212"/>
      <c r="IV1477" s="212"/>
      <c r="IW1477" s="212"/>
      <c r="IX1477" s="212"/>
      <c r="IY1477" s="212"/>
      <c r="IZ1477" s="212"/>
      <c r="JA1477" s="212"/>
      <c r="JB1477" s="212"/>
      <c r="JC1477" s="212"/>
      <c r="JD1477" s="212"/>
      <c r="JE1477" s="212"/>
      <c r="JF1477" s="212"/>
      <c r="JG1477" s="212"/>
      <c r="JH1477" s="212"/>
      <c r="JI1477" s="212"/>
      <c r="JJ1477" s="212"/>
      <c r="JK1477" s="212"/>
      <c r="JL1477" s="212"/>
      <c r="JM1477" s="212"/>
      <c r="JN1477" s="212"/>
      <c r="JO1477" s="212"/>
      <c r="JP1477" s="212"/>
      <c r="JQ1477" s="212"/>
      <c r="JR1477" s="212"/>
      <c r="JS1477" s="212"/>
      <c r="JT1477" s="212"/>
      <c r="JU1477" s="212"/>
      <c r="JV1477" s="212"/>
      <c r="JW1477" s="212"/>
      <c r="JX1477" s="212"/>
      <c r="JY1477" s="212"/>
      <c r="JZ1477" s="212"/>
      <c r="KA1477" s="212"/>
      <c r="KB1477" s="212"/>
      <c r="KC1477" s="212"/>
      <c r="KD1477" s="212"/>
      <c r="KE1477" s="212"/>
      <c r="KF1477" s="212"/>
      <c r="KG1477" s="212"/>
      <c r="KH1477" s="212"/>
      <c r="KI1477" s="212"/>
      <c r="KJ1477" s="212"/>
      <c r="KK1477" s="212"/>
      <c r="KL1477" s="212"/>
      <c r="KM1477" s="212"/>
      <c r="KN1477" s="212"/>
      <c r="KO1477" s="212"/>
      <c r="KP1477" s="212"/>
      <c r="KQ1477" s="212"/>
      <c r="KR1477" s="212"/>
      <c r="KS1477" s="212"/>
      <c r="KT1477" s="212"/>
      <c r="KU1477" s="212"/>
      <c r="KV1477" s="212"/>
      <c r="KW1477" s="212"/>
      <c r="KX1477" s="212"/>
      <c r="KY1477" s="212"/>
      <c r="KZ1477" s="212"/>
      <c r="LA1477" s="212"/>
      <c r="LB1477" s="212"/>
      <c r="LC1477" s="212"/>
      <c r="LD1477" s="212"/>
      <c r="LE1477" s="212"/>
      <c r="LF1477" s="212"/>
      <c r="LG1477" s="212"/>
      <c r="LH1477" s="212"/>
      <c r="LI1477" s="212"/>
      <c r="LJ1477" s="212"/>
      <c r="LK1477" s="212"/>
      <c r="LL1477" s="212"/>
      <c r="LM1477" s="212"/>
      <c r="LN1477" s="212"/>
      <c r="LO1477" s="212"/>
      <c r="LP1477" s="212"/>
      <c r="LQ1477" s="212"/>
      <c r="LR1477" s="212"/>
      <c r="LS1477" s="212"/>
      <c r="LT1477" s="212"/>
      <c r="LU1477" s="212"/>
      <c r="LV1477" s="212"/>
      <c r="LW1477" s="212"/>
      <c r="LX1477" s="212"/>
      <c r="LY1477" s="212"/>
      <c r="LZ1477" s="212"/>
      <c r="MA1477" s="212"/>
      <c r="MB1477" s="212"/>
      <c r="MC1477" s="212"/>
      <c r="MD1477" s="212"/>
      <c r="ME1477" s="212"/>
      <c r="MF1477" s="212"/>
      <c r="MG1477" s="212"/>
      <c r="MH1477" s="212"/>
      <c r="MI1477" s="212"/>
      <c r="MJ1477" s="212"/>
      <c r="MK1477" s="212"/>
      <c r="ML1477" s="212"/>
      <c r="MM1477" s="212"/>
      <c r="MN1477" s="212"/>
      <c r="MO1477" s="212"/>
      <c r="MP1477" s="212"/>
      <c r="MQ1477" s="212"/>
      <c r="MR1477" s="212"/>
      <c r="MS1477" s="212"/>
      <c r="MT1477" s="212"/>
      <c r="MU1477" s="212"/>
      <c r="MV1477" s="212"/>
      <c r="MW1477" s="212"/>
      <c r="MX1477" s="212"/>
      <c r="MY1477" s="212"/>
      <c r="MZ1477" s="212"/>
      <c r="NA1477" s="212"/>
      <c r="NB1477" s="212"/>
      <c r="NC1477" s="212"/>
      <c r="ND1477" s="212"/>
      <c r="NE1477" s="212"/>
      <c r="NF1477" s="212"/>
      <c r="NG1477" s="212"/>
      <c r="NH1477" s="212"/>
      <c r="NI1477" s="212"/>
      <c r="NJ1477" s="212"/>
      <c r="NK1477" s="212"/>
      <c r="NL1477" s="212"/>
      <c r="NM1477" s="212"/>
      <c r="NN1477" s="212"/>
      <c r="NO1477" s="212"/>
      <c r="NP1477" s="212"/>
      <c r="NQ1477" s="212"/>
      <c r="NR1477" s="212"/>
      <c r="NS1477" s="212"/>
      <c r="NT1477" s="212"/>
      <c r="NU1477" s="212"/>
      <c r="NV1477" s="212"/>
      <c r="NW1477" s="212"/>
      <c r="NX1477" s="212"/>
      <c r="NY1477" s="212"/>
      <c r="NZ1477" s="212"/>
      <c r="OA1477" s="212"/>
      <c r="OB1477" s="212"/>
      <c r="OC1477" s="212"/>
      <c r="OD1477" s="212"/>
      <c r="OE1477" s="212"/>
      <c r="OF1477" s="212"/>
      <c r="OG1477" s="212"/>
      <c r="OH1477" s="212"/>
      <c r="OI1477" s="212"/>
      <c r="OJ1477" s="212"/>
      <c r="OK1477" s="212"/>
      <c r="OL1477" s="212"/>
      <c r="OM1477" s="212"/>
      <c r="ON1477" s="212"/>
      <c r="OO1477" s="212"/>
      <c r="OP1477" s="212"/>
      <c r="OQ1477" s="212"/>
      <c r="OR1477" s="212"/>
      <c r="OS1477" s="212"/>
      <c r="OT1477" s="212"/>
      <c r="OU1477" s="212"/>
      <c r="OV1477" s="212"/>
      <c r="OW1477" s="212"/>
      <c r="OX1477" s="212"/>
      <c r="OY1477" s="212"/>
      <c r="OZ1477" s="212"/>
      <c r="PA1477" s="212"/>
      <c r="PB1477" s="212"/>
      <c r="PC1477" s="212"/>
      <c r="PD1477" s="212"/>
      <c r="PE1477" s="212"/>
      <c r="PF1477" s="212"/>
      <c r="PG1477" s="212"/>
      <c r="PH1477" s="212"/>
      <c r="PI1477" s="212"/>
      <c r="PJ1477" s="212"/>
      <c r="PK1477" s="212"/>
      <c r="PL1477" s="212"/>
      <c r="PM1477" s="212"/>
      <c r="PN1477" s="212"/>
      <c r="PO1477" s="212"/>
      <c r="PP1477" s="212"/>
      <c r="PQ1477" s="212"/>
      <c r="PR1477" s="212"/>
      <c r="PS1477" s="212"/>
      <c r="PT1477" s="212"/>
      <c r="PU1477" s="212"/>
      <c r="PV1477" s="212"/>
      <c r="PW1477" s="212"/>
      <c r="PX1477" s="212"/>
      <c r="PY1477" s="212"/>
      <c r="PZ1477" s="212"/>
      <c r="QA1477" s="212"/>
      <c r="QB1477" s="212"/>
      <c r="QC1477" s="212"/>
      <c r="QD1477" s="212"/>
      <c r="QE1477" s="212"/>
      <c r="QF1477" s="212"/>
      <c r="QG1477" s="212"/>
      <c r="QH1477" s="212"/>
      <c r="QI1477" s="212"/>
      <c r="QJ1477" s="212"/>
      <c r="QK1477" s="212"/>
      <c r="QL1477" s="212"/>
      <c r="QM1477" s="212"/>
      <c r="QN1477" s="212"/>
      <c r="QO1477" s="212"/>
      <c r="QP1477" s="212"/>
      <c r="QQ1477" s="212"/>
      <c r="QR1477" s="212"/>
      <c r="QS1477" s="212"/>
      <c r="QT1477" s="212"/>
      <c r="QU1477" s="212"/>
      <c r="QV1477" s="212"/>
      <c r="QW1477" s="212"/>
      <c r="QX1477" s="212"/>
      <c r="QY1477" s="212"/>
      <c r="QZ1477" s="212"/>
      <c r="RA1477" s="212"/>
      <c r="RB1477" s="212"/>
      <c r="RC1477" s="212"/>
      <c r="RD1477" s="212"/>
      <c r="RE1477" s="212"/>
      <c r="RF1477" s="212"/>
      <c r="RG1477" s="212"/>
      <c r="RH1477" s="212"/>
      <c r="RI1477" s="212"/>
      <c r="RJ1477" s="212"/>
      <c r="RK1477" s="212"/>
      <c r="RL1477" s="212"/>
      <c r="RM1477" s="212"/>
      <c r="RN1477" s="212"/>
      <c r="RO1477" s="212"/>
      <c r="RP1477" s="212"/>
      <c r="RQ1477" s="212"/>
      <c r="RR1477" s="212"/>
      <c r="RS1477" s="212"/>
      <c r="RT1477" s="212"/>
      <c r="RU1477" s="212"/>
      <c r="RV1477" s="212"/>
      <c r="RW1477" s="212"/>
      <c r="RX1477" s="212"/>
      <c r="RY1477" s="212"/>
      <c r="RZ1477" s="212"/>
      <c r="SA1477" s="212"/>
      <c r="SB1477" s="212"/>
      <c r="SC1477" s="212"/>
      <c r="SD1477" s="212"/>
      <c r="SE1477" s="212"/>
      <c r="SF1477" s="212"/>
      <c r="SG1477" s="212"/>
      <c r="SH1477" s="212"/>
      <c r="SI1477" s="212"/>
      <c r="SJ1477" s="212"/>
      <c r="SK1477" s="212"/>
      <c r="SL1477" s="212"/>
      <c r="SM1477" s="212"/>
      <c r="SN1477" s="212"/>
      <c r="SO1477" s="212"/>
      <c r="SP1477" s="212"/>
      <c r="SQ1477" s="212"/>
      <c r="SR1477" s="212"/>
      <c r="SS1477" s="212"/>
      <c r="ST1477" s="212"/>
      <c r="SU1477" s="212"/>
      <c r="SV1477" s="212"/>
      <c r="SW1477" s="212"/>
      <c r="SX1477" s="212"/>
      <c r="SY1477" s="212"/>
      <c r="SZ1477" s="212"/>
      <c r="TA1477" s="212"/>
      <c r="TB1477" s="212"/>
      <c r="TC1477" s="212"/>
      <c r="TD1477" s="212"/>
      <c r="TE1477" s="212"/>
      <c r="TF1477" s="212"/>
      <c r="TG1477" s="212"/>
      <c r="TH1477" s="212"/>
      <c r="TI1477" s="212"/>
      <c r="TJ1477" s="212"/>
      <c r="TK1477" s="212"/>
      <c r="TL1477" s="212"/>
      <c r="TM1477" s="212"/>
      <c r="TN1477" s="212"/>
      <c r="TO1477" s="212"/>
      <c r="TP1477" s="212"/>
      <c r="TQ1477" s="212"/>
      <c r="TR1477" s="212"/>
      <c r="TS1477" s="212"/>
      <c r="TT1477" s="212"/>
      <c r="TU1477" s="212"/>
      <c r="TV1477" s="212"/>
      <c r="TW1477" s="212"/>
      <c r="TX1477" s="212"/>
      <c r="TY1477" s="212"/>
      <c r="TZ1477" s="212"/>
      <c r="UA1477" s="212"/>
      <c r="UB1477" s="212"/>
      <c r="UC1477" s="212"/>
      <c r="UD1477" s="212"/>
      <c r="UE1477" s="212"/>
      <c r="UF1477" s="212"/>
      <c r="UG1477" s="213"/>
    </row>
    <row r="1478" spans="1:553" ht="19.149999999999999" customHeight="1">
      <c r="A1478" s="356" t="s">
        <v>43</v>
      </c>
      <c r="B1478" s="356"/>
      <c r="C1478" s="1413" t="s">
        <v>44</v>
      </c>
      <c r="D1478" s="1389"/>
      <c r="E1478" s="1389"/>
      <c r="F1478" s="1390"/>
      <c r="G1478" s="366"/>
      <c r="H1478" s="370"/>
      <c r="I1478" s="370"/>
      <c r="J1478" s="368"/>
      <c r="K1478" s="371"/>
      <c r="L1478" s="645">
        <f>SUM(L1479:L1493)</f>
        <v>52775943</v>
      </c>
      <c r="M1478" s="356"/>
      <c r="N1478" s="356"/>
      <c r="O1478" s="356"/>
      <c r="P1478" s="356"/>
      <c r="Q1478" s="610"/>
      <c r="R1478" s="1447" t="s">
        <v>45</v>
      </c>
      <c r="S1478" s="308"/>
      <c r="T1478" s="308"/>
      <c r="U1478" s="308"/>
      <c r="V1478" s="308"/>
      <c r="W1478" s="308"/>
      <c r="X1478" s="308"/>
      <c r="Y1478" s="308"/>
      <c r="Z1478" s="604"/>
      <c r="AA1478" s="308"/>
      <c r="AB1478" s="308"/>
      <c r="AC1478" s="486"/>
      <c r="AD1478" s="486"/>
      <c r="AE1478" s="486"/>
      <c r="AF1478" s="486"/>
      <c r="AG1478" s="486"/>
      <c r="AH1478" s="486"/>
      <c r="AI1478" s="486"/>
      <c r="AJ1478" s="486"/>
      <c r="AK1478" s="486"/>
      <c r="AL1478" s="206"/>
      <c r="AM1478" s="29"/>
      <c r="AN1478" s="29"/>
      <c r="AO1478" s="29"/>
      <c r="AP1478" s="29"/>
      <c r="AQ1478" s="29"/>
      <c r="AR1478" s="29"/>
      <c r="AS1478" s="29"/>
      <c r="AT1478" s="29"/>
      <c r="AU1478" s="29"/>
      <c r="AV1478" s="29"/>
      <c r="AW1478" s="29"/>
      <c r="AX1478" s="29"/>
      <c r="AY1478" s="29"/>
      <c r="AZ1478" s="29"/>
      <c r="BA1478" s="29"/>
      <c r="BB1478" s="29"/>
      <c r="BC1478" s="29"/>
      <c r="BD1478" s="29"/>
      <c r="BE1478" s="29"/>
      <c r="BF1478" s="29"/>
      <c r="BG1478" s="29"/>
      <c r="BH1478" s="29"/>
      <c r="BI1478" s="29"/>
      <c r="BJ1478" s="29"/>
      <c r="BK1478" s="29"/>
      <c r="BL1478" s="29"/>
      <c r="BM1478" s="29"/>
      <c r="BN1478" s="29"/>
      <c r="BO1478" s="29"/>
      <c r="BP1478" s="29"/>
      <c r="BQ1478" s="29"/>
      <c r="BR1478" s="29"/>
      <c r="BS1478" s="29"/>
      <c r="BT1478" s="29"/>
      <c r="BU1478" s="29"/>
      <c r="BV1478" s="29"/>
      <c r="BW1478" s="29"/>
      <c r="BX1478" s="29"/>
      <c r="BY1478" s="29"/>
      <c r="BZ1478" s="29"/>
      <c r="CA1478" s="29"/>
      <c r="CB1478" s="29"/>
      <c r="CC1478" s="29"/>
      <c r="CD1478" s="29"/>
      <c r="CE1478" s="29"/>
      <c r="CF1478" s="29"/>
      <c r="CG1478" s="29"/>
      <c r="CH1478" s="29"/>
      <c r="CI1478" s="29"/>
      <c r="CJ1478" s="29"/>
      <c r="CK1478" s="29"/>
      <c r="CL1478" s="29"/>
      <c r="CM1478" s="29"/>
      <c r="CN1478" s="29"/>
      <c r="CO1478" s="29"/>
      <c r="CP1478" s="29"/>
      <c r="CQ1478" s="29"/>
      <c r="CR1478" s="29"/>
      <c r="CS1478" s="29"/>
      <c r="CT1478" s="29"/>
      <c r="CU1478" s="29"/>
      <c r="CV1478" s="29"/>
      <c r="CW1478" s="29"/>
      <c r="CX1478" s="29"/>
      <c r="CY1478" s="29"/>
      <c r="CZ1478" s="29"/>
      <c r="DA1478" s="29"/>
      <c r="DB1478" s="29"/>
      <c r="DC1478" s="29"/>
      <c r="DD1478" s="29"/>
      <c r="DE1478" s="29"/>
      <c r="DF1478" s="29"/>
      <c r="DG1478" s="29"/>
      <c r="DH1478" s="29"/>
      <c r="DI1478" s="29"/>
      <c r="DJ1478" s="29"/>
      <c r="DK1478" s="29"/>
      <c r="DL1478" s="29"/>
      <c r="DM1478" s="29"/>
      <c r="DN1478" s="29"/>
      <c r="DO1478" s="29"/>
      <c r="DP1478" s="29"/>
      <c r="DQ1478" s="29"/>
      <c r="DR1478" s="29"/>
      <c r="DS1478" s="29"/>
      <c r="DT1478" s="29"/>
      <c r="DU1478" s="29"/>
      <c r="DV1478" s="29"/>
      <c r="DW1478" s="29"/>
      <c r="DX1478" s="29"/>
      <c r="DY1478" s="29"/>
      <c r="DZ1478" s="29"/>
      <c r="EA1478" s="29"/>
      <c r="EB1478" s="29"/>
      <c r="EC1478" s="29"/>
      <c r="ED1478" s="29"/>
      <c r="EE1478" s="29"/>
      <c r="EF1478" s="29"/>
      <c r="EG1478" s="29"/>
      <c r="EH1478" s="29"/>
      <c r="EI1478" s="29"/>
      <c r="EJ1478" s="29"/>
      <c r="EK1478" s="29"/>
      <c r="EL1478" s="29"/>
      <c r="EM1478" s="29"/>
      <c r="EN1478" s="29"/>
      <c r="EO1478" s="29"/>
      <c r="EP1478" s="29"/>
      <c r="EQ1478" s="29"/>
      <c r="ER1478" s="29"/>
      <c r="ES1478" s="29"/>
      <c r="ET1478" s="29"/>
      <c r="EU1478" s="29"/>
      <c r="EV1478" s="29"/>
      <c r="EW1478" s="29"/>
      <c r="EX1478" s="29"/>
      <c r="EY1478" s="29"/>
      <c r="EZ1478" s="29"/>
      <c r="FA1478" s="29"/>
      <c r="FB1478" s="29"/>
      <c r="FC1478" s="29"/>
      <c r="FD1478" s="29"/>
      <c r="FE1478" s="29"/>
      <c r="FF1478" s="29"/>
      <c r="FG1478" s="29"/>
      <c r="FH1478" s="29"/>
      <c r="FI1478" s="29"/>
      <c r="FJ1478" s="29"/>
      <c r="FK1478" s="29"/>
      <c r="FL1478" s="29"/>
      <c r="FM1478" s="29"/>
      <c r="FN1478" s="29"/>
      <c r="FO1478" s="29"/>
      <c r="FP1478" s="29"/>
      <c r="FQ1478" s="29"/>
      <c r="FR1478" s="29"/>
      <c r="FS1478" s="29"/>
      <c r="FT1478" s="29"/>
      <c r="FU1478" s="29"/>
      <c r="FV1478" s="29"/>
      <c r="FW1478" s="29"/>
      <c r="FX1478" s="29"/>
      <c r="FY1478" s="29"/>
      <c r="FZ1478" s="29"/>
      <c r="GA1478" s="29"/>
      <c r="GB1478" s="29"/>
      <c r="GC1478" s="29"/>
      <c r="GD1478" s="29"/>
      <c r="GE1478" s="29"/>
      <c r="GF1478" s="29"/>
      <c r="GG1478" s="29"/>
      <c r="GH1478" s="29"/>
      <c r="GI1478" s="29"/>
      <c r="GJ1478" s="29"/>
      <c r="GK1478" s="29"/>
      <c r="GL1478" s="29"/>
      <c r="GM1478" s="29"/>
      <c r="GN1478" s="29"/>
      <c r="GO1478" s="29"/>
      <c r="GP1478" s="29"/>
      <c r="GQ1478" s="29"/>
      <c r="GR1478" s="29"/>
      <c r="GS1478" s="29"/>
      <c r="GT1478" s="29"/>
      <c r="GU1478" s="29"/>
      <c r="GV1478" s="29"/>
      <c r="GW1478" s="29"/>
      <c r="GX1478" s="29"/>
      <c r="GY1478" s="29"/>
      <c r="GZ1478" s="29"/>
      <c r="HA1478" s="29"/>
      <c r="HB1478" s="29"/>
      <c r="HC1478" s="29"/>
      <c r="HD1478" s="29"/>
      <c r="HE1478" s="29"/>
      <c r="HF1478" s="29"/>
      <c r="HG1478" s="29"/>
      <c r="HH1478" s="29"/>
      <c r="HI1478" s="29"/>
      <c r="HJ1478" s="29"/>
      <c r="HK1478" s="29"/>
      <c r="HL1478" s="29"/>
      <c r="HM1478" s="29"/>
      <c r="HN1478" s="29"/>
      <c r="HO1478" s="29"/>
      <c r="HP1478" s="29"/>
      <c r="HQ1478" s="29"/>
      <c r="HR1478" s="29"/>
      <c r="HS1478" s="29"/>
      <c r="HT1478" s="29"/>
      <c r="HU1478" s="29"/>
      <c r="HV1478" s="29"/>
      <c r="HW1478" s="29"/>
      <c r="HX1478" s="29"/>
      <c r="HY1478" s="29"/>
      <c r="HZ1478" s="29"/>
      <c r="IA1478" s="29"/>
      <c r="IB1478" s="29"/>
      <c r="IC1478" s="29"/>
      <c r="ID1478" s="29"/>
      <c r="IE1478" s="29"/>
      <c r="IF1478" s="29"/>
      <c r="IG1478" s="29"/>
      <c r="IH1478" s="29"/>
      <c r="II1478" s="29"/>
      <c r="IJ1478" s="29"/>
      <c r="IK1478" s="29"/>
      <c r="IL1478" s="29"/>
      <c r="IM1478" s="29"/>
      <c r="IN1478" s="29"/>
      <c r="IO1478" s="29"/>
      <c r="IP1478" s="29"/>
      <c r="IQ1478" s="29"/>
      <c r="IR1478" s="29"/>
      <c r="IS1478" s="29"/>
      <c r="IT1478" s="29"/>
      <c r="IU1478" s="29"/>
      <c r="IV1478" s="29"/>
      <c r="IW1478" s="29"/>
      <c r="IX1478" s="29"/>
      <c r="IY1478" s="29"/>
      <c r="IZ1478" s="29"/>
      <c r="JA1478" s="29"/>
      <c r="JB1478" s="29"/>
      <c r="JC1478" s="29"/>
      <c r="JD1478" s="29"/>
      <c r="JE1478" s="29"/>
      <c r="JF1478" s="29"/>
      <c r="JG1478" s="29"/>
      <c r="JH1478" s="29"/>
      <c r="JI1478" s="29"/>
      <c r="JJ1478" s="29"/>
      <c r="JK1478" s="29"/>
      <c r="JL1478" s="29"/>
      <c r="JM1478" s="29"/>
      <c r="JN1478" s="29"/>
      <c r="JO1478" s="29"/>
      <c r="JP1478" s="29"/>
      <c r="JQ1478" s="29"/>
      <c r="JR1478" s="29"/>
      <c r="JS1478" s="29"/>
      <c r="JT1478" s="29"/>
      <c r="JU1478" s="29"/>
      <c r="JV1478" s="29"/>
      <c r="JW1478" s="29"/>
      <c r="JX1478" s="29"/>
      <c r="JY1478" s="29"/>
      <c r="JZ1478" s="29"/>
      <c r="KA1478" s="29"/>
      <c r="KB1478" s="29"/>
      <c r="KC1478" s="29"/>
      <c r="KD1478" s="29"/>
      <c r="KE1478" s="29"/>
      <c r="KF1478" s="29"/>
      <c r="KG1478" s="29"/>
      <c r="KH1478" s="29"/>
      <c r="KI1478" s="29"/>
      <c r="KJ1478" s="29"/>
      <c r="KK1478" s="29"/>
      <c r="KL1478" s="29"/>
      <c r="KM1478" s="29"/>
      <c r="KN1478" s="29"/>
      <c r="KO1478" s="29"/>
      <c r="KP1478" s="29"/>
      <c r="KQ1478" s="29"/>
      <c r="KR1478" s="29"/>
      <c r="KS1478" s="29"/>
      <c r="KT1478" s="29"/>
      <c r="KU1478" s="29"/>
      <c r="KV1478" s="29"/>
      <c r="KW1478" s="29"/>
      <c r="KX1478" s="29"/>
      <c r="KY1478" s="29"/>
      <c r="KZ1478" s="29"/>
      <c r="LA1478" s="29"/>
      <c r="LB1478" s="29"/>
      <c r="LC1478" s="29"/>
      <c r="LD1478" s="29"/>
      <c r="LE1478" s="29"/>
      <c r="LF1478" s="29"/>
      <c r="LG1478" s="29"/>
      <c r="LH1478" s="29"/>
      <c r="LI1478" s="29"/>
      <c r="LJ1478" s="29"/>
      <c r="LK1478" s="29"/>
      <c r="LL1478" s="29"/>
      <c r="LM1478" s="29"/>
      <c r="LN1478" s="29"/>
      <c r="LO1478" s="29"/>
      <c r="LP1478" s="29"/>
      <c r="LQ1478" s="29"/>
      <c r="LR1478" s="29"/>
      <c r="LS1478" s="29"/>
      <c r="LT1478" s="29"/>
      <c r="LU1478" s="29"/>
      <c r="LV1478" s="29"/>
      <c r="LW1478" s="29"/>
      <c r="LX1478" s="29"/>
      <c r="LY1478" s="29"/>
      <c r="LZ1478" s="29"/>
      <c r="MA1478" s="29"/>
      <c r="MB1478" s="29"/>
      <c r="MC1478" s="29"/>
      <c r="MD1478" s="29"/>
      <c r="ME1478" s="29"/>
      <c r="MF1478" s="29"/>
      <c r="MG1478" s="29"/>
      <c r="MH1478" s="29"/>
      <c r="MI1478" s="29"/>
      <c r="MJ1478" s="29"/>
      <c r="MK1478" s="29"/>
      <c r="ML1478" s="29"/>
      <c r="MM1478" s="29"/>
      <c r="MN1478" s="29"/>
      <c r="MO1478" s="29"/>
      <c r="MP1478" s="29"/>
      <c r="MQ1478" s="29"/>
      <c r="MR1478" s="29"/>
      <c r="MS1478" s="29"/>
      <c r="MT1478" s="29"/>
      <c r="MU1478" s="29"/>
      <c r="MV1478" s="29"/>
      <c r="MW1478" s="29"/>
      <c r="MX1478" s="29"/>
      <c r="MY1478" s="29"/>
      <c r="MZ1478" s="29"/>
      <c r="NA1478" s="29"/>
      <c r="NB1478" s="29"/>
      <c r="NC1478" s="29"/>
      <c r="ND1478" s="29"/>
      <c r="NE1478" s="29"/>
      <c r="NF1478" s="29"/>
      <c r="NG1478" s="29"/>
      <c r="NH1478" s="29"/>
      <c r="NI1478" s="29"/>
      <c r="NJ1478" s="29"/>
      <c r="NK1478" s="29"/>
      <c r="NL1478" s="29"/>
      <c r="NM1478" s="29"/>
      <c r="NN1478" s="29"/>
      <c r="NO1478" s="29"/>
      <c r="NP1478" s="29"/>
      <c r="NQ1478" s="29"/>
      <c r="NR1478" s="29"/>
      <c r="NS1478" s="29"/>
      <c r="NT1478" s="29"/>
      <c r="NU1478" s="29"/>
      <c r="NV1478" s="29"/>
      <c r="NW1478" s="29"/>
      <c r="NX1478" s="29"/>
      <c r="NY1478" s="29"/>
      <c r="NZ1478" s="29"/>
      <c r="OA1478" s="29"/>
      <c r="OB1478" s="29"/>
      <c r="OC1478" s="29"/>
      <c r="OD1478" s="29"/>
      <c r="OE1478" s="29"/>
      <c r="OF1478" s="29"/>
      <c r="OG1478" s="29"/>
      <c r="OH1478" s="29"/>
      <c r="OI1478" s="29"/>
      <c r="OJ1478" s="29"/>
      <c r="OK1478" s="29"/>
      <c r="OL1478" s="29"/>
      <c r="OM1478" s="29"/>
      <c r="ON1478" s="29"/>
      <c r="OO1478" s="29"/>
      <c r="OP1478" s="29"/>
      <c r="OQ1478" s="29"/>
      <c r="OR1478" s="29"/>
      <c r="OS1478" s="29"/>
      <c r="OT1478" s="29"/>
      <c r="OU1478" s="29"/>
      <c r="OV1478" s="29"/>
      <c r="OW1478" s="29"/>
      <c r="OX1478" s="29"/>
      <c r="OY1478" s="29"/>
      <c r="OZ1478" s="29"/>
      <c r="PA1478" s="29"/>
      <c r="PB1478" s="29"/>
      <c r="PC1478" s="29"/>
      <c r="PD1478" s="29"/>
      <c r="PE1478" s="29"/>
      <c r="PF1478" s="29"/>
      <c r="PG1478" s="29"/>
      <c r="PH1478" s="29"/>
      <c r="PI1478" s="29"/>
      <c r="PJ1478" s="29"/>
      <c r="PK1478" s="29"/>
      <c r="PL1478" s="29"/>
      <c r="PM1478" s="29"/>
      <c r="PN1478" s="29"/>
      <c r="PO1478" s="29"/>
      <c r="PP1478" s="29"/>
      <c r="PQ1478" s="29"/>
      <c r="PR1478" s="29"/>
      <c r="PS1478" s="29"/>
      <c r="PT1478" s="29"/>
      <c r="PU1478" s="29"/>
      <c r="PV1478" s="29"/>
      <c r="PW1478" s="29"/>
      <c r="PX1478" s="29"/>
      <c r="PY1478" s="29"/>
      <c r="PZ1478" s="29"/>
      <c r="QA1478" s="29"/>
      <c r="QB1478" s="29"/>
      <c r="QC1478" s="29"/>
      <c r="QD1478" s="29"/>
      <c r="QE1478" s="29"/>
      <c r="QF1478" s="29"/>
      <c r="QG1478" s="29"/>
      <c r="QH1478" s="29"/>
      <c r="QI1478" s="29"/>
      <c r="QJ1478" s="29"/>
      <c r="QK1478" s="29"/>
      <c r="QL1478" s="29"/>
      <c r="QM1478" s="29"/>
      <c r="QN1478" s="29"/>
      <c r="QO1478" s="29"/>
      <c r="QP1478" s="29"/>
      <c r="QQ1478" s="29"/>
      <c r="QR1478" s="29"/>
      <c r="QS1478" s="29"/>
      <c r="QT1478" s="29"/>
      <c r="QU1478" s="29"/>
      <c r="QV1478" s="29"/>
      <c r="QW1478" s="29"/>
      <c r="QX1478" s="29"/>
      <c r="QY1478" s="29"/>
      <c r="QZ1478" s="29"/>
      <c r="RA1478" s="29"/>
      <c r="RB1478" s="29"/>
      <c r="RC1478" s="29"/>
      <c r="RD1478" s="29"/>
      <c r="RE1478" s="29"/>
      <c r="RF1478" s="29"/>
      <c r="RG1478" s="29"/>
      <c r="RH1478" s="29"/>
      <c r="RI1478" s="29"/>
      <c r="RJ1478" s="29"/>
      <c r="RK1478" s="29"/>
      <c r="RL1478" s="29"/>
      <c r="RM1478" s="29"/>
      <c r="RN1478" s="29"/>
      <c r="RO1478" s="29"/>
      <c r="RP1478" s="29"/>
      <c r="RQ1478" s="29"/>
      <c r="RR1478" s="29"/>
      <c r="RS1478" s="29"/>
      <c r="RT1478" s="29"/>
      <c r="RU1478" s="29"/>
      <c r="RV1478" s="29"/>
      <c r="RW1478" s="29"/>
      <c r="RX1478" s="29"/>
      <c r="RY1478" s="29"/>
      <c r="RZ1478" s="29"/>
      <c r="SA1478" s="29"/>
      <c r="SB1478" s="29"/>
      <c r="SC1478" s="29"/>
      <c r="SD1478" s="29"/>
      <c r="SE1478" s="29"/>
      <c r="SF1478" s="29"/>
      <c r="SG1478" s="29"/>
      <c r="SH1478" s="29"/>
      <c r="SI1478" s="29"/>
      <c r="SJ1478" s="29"/>
      <c r="SK1478" s="29"/>
      <c r="SL1478" s="29"/>
      <c r="SM1478" s="29"/>
      <c r="SN1478" s="29"/>
      <c r="SO1478" s="29"/>
      <c r="SP1478" s="29"/>
      <c r="SQ1478" s="29"/>
      <c r="SR1478" s="29"/>
      <c r="SS1478" s="29"/>
      <c r="ST1478" s="29"/>
      <c r="SU1478" s="29"/>
      <c r="SV1478" s="29"/>
      <c r="SW1478" s="29"/>
      <c r="SX1478" s="29"/>
      <c r="SY1478" s="29"/>
      <c r="SZ1478" s="29"/>
      <c r="TA1478" s="29"/>
      <c r="TB1478" s="29"/>
      <c r="TC1478" s="29"/>
      <c r="TD1478" s="29"/>
      <c r="TE1478" s="29"/>
      <c r="TF1478" s="29"/>
      <c r="TG1478" s="29"/>
      <c r="TH1478" s="29"/>
      <c r="TI1478" s="29"/>
      <c r="TJ1478" s="29"/>
      <c r="TK1478" s="29"/>
      <c r="TL1478" s="29"/>
      <c r="TM1478" s="29"/>
      <c r="TN1478" s="29"/>
      <c r="TO1478" s="29"/>
      <c r="TP1478" s="29"/>
      <c r="TQ1478" s="29"/>
      <c r="TR1478" s="29"/>
      <c r="TS1478" s="29"/>
      <c r="TT1478" s="29"/>
      <c r="TU1478" s="29"/>
      <c r="TV1478" s="29"/>
      <c r="TW1478" s="29"/>
      <c r="TX1478" s="29"/>
      <c r="TY1478" s="29"/>
      <c r="TZ1478" s="29"/>
      <c r="UA1478" s="29"/>
      <c r="UB1478" s="29"/>
      <c r="UC1478" s="29"/>
      <c r="UD1478" s="29"/>
      <c r="UE1478" s="29"/>
      <c r="UF1478" s="29"/>
      <c r="UG1478" s="29"/>
    </row>
    <row r="1479" spans="1:553" s="1262" customFormat="1" ht="19.149999999999999" customHeight="1">
      <c r="A1479" s="356" t="s">
        <v>15</v>
      </c>
      <c r="B1479" s="356"/>
      <c r="C1479" s="1586" t="s">
        <v>258</v>
      </c>
      <c r="D1479" s="1389"/>
      <c r="E1479" s="1389"/>
      <c r="F1479" s="1390"/>
      <c r="G1479" s="418" t="s">
        <v>46</v>
      </c>
      <c r="H1479" s="370"/>
      <c r="I1479" s="794">
        <f>(95.03*100/500)*(23-(5-3))*1</f>
        <v>399.12599999999998</v>
      </c>
      <c r="J1479" s="368">
        <v>11000</v>
      </c>
      <c r="K1479" s="565">
        <v>0.7</v>
      </c>
      <c r="L1479" s="571">
        <f>ROUND(PRODUCT(I1479:K1479),0)</f>
        <v>3073270</v>
      </c>
      <c r="M1479" s="356"/>
      <c r="N1479" s="356"/>
      <c r="O1479" s="356"/>
      <c r="P1479" s="356"/>
      <c r="Q1479" s="610"/>
      <c r="R1479" s="1452"/>
      <c r="S1479" s="308"/>
      <c r="T1479" s="308"/>
      <c r="U1479" s="308"/>
      <c r="V1479" s="308"/>
      <c r="W1479" s="308"/>
      <c r="X1479" s="308"/>
      <c r="Y1479" s="308"/>
      <c r="Z1479" s="604"/>
      <c r="AA1479" s="308"/>
      <c r="AB1479" s="308"/>
      <c r="AC1479" s="486"/>
      <c r="AD1479" s="486"/>
      <c r="AE1479" s="486"/>
      <c r="AF1479" s="486"/>
      <c r="AG1479" s="486"/>
      <c r="AH1479" s="486"/>
      <c r="AI1479" s="486"/>
      <c r="AJ1479" s="486"/>
      <c r="AK1479" s="486"/>
      <c r="AL1479" s="1267"/>
      <c r="AM1479" s="1268"/>
      <c r="AN1479" s="1268"/>
      <c r="AO1479" s="1268"/>
      <c r="AP1479" s="1268"/>
      <c r="AQ1479" s="1268"/>
      <c r="AR1479" s="1268"/>
      <c r="AS1479" s="1268"/>
      <c r="AT1479" s="1268"/>
      <c r="AU1479" s="1268"/>
      <c r="AV1479" s="1268"/>
      <c r="AW1479" s="1268"/>
      <c r="AX1479" s="1268"/>
      <c r="AY1479" s="1268"/>
      <c r="AZ1479" s="1268"/>
      <c r="BA1479" s="1268"/>
      <c r="BB1479" s="1268"/>
      <c r="BC1479" s="1268"/>
      <c r="BD1479" s="1268"/>
      <c r="BE1479" s="1268"/>
      <c r="BF1479" s="1268"/>
      <c r="BG1479" s="1268"/>
      <c r="BH1479" s="1268"/>
      <c r="BI1479" s="1268"/>
      <c r="BJ1479" s="1268"/>
      <c r="BK1479" s="1268"/>
      <c r="BL1479" s="1268"/>
      <c r="BM1479" s="1268"/>
      <c r="BN1479" s="1268"/>
      <c r="BO1479" s="1268"/>
      <c r="BP1479" s="1268"/>
      <c r="BQ1479" s="1268"/>
      <c r="BR1479" s="1268"/>
      <c r="BS1479" s="1268"/>
      <c r="BT1479" s="1268"/>
      <c r="BU1479" s="1268"/>
      <c r="BV1479" s="1268"/>
      <c r="BW1479" s="1268"/>
      <c r="BX1479" s="1268"/>
      <c r="BY1479" s="1268"/>
      <c r="BZ1479" s="1268"/>
      <c r="CA1479" s="1268"/>
      <c r="CB1479" s="1268"/>
      <c r="CC1479" s="1268"/>
      <c r="CD1479" s="1268"/>
      <c r="CE1479" s="1268"/>
      <c r="CF1479" s="1268"/>
      <c r="CG1479" s="1268"/>
      <c r="CH1479" s="1268"/>
      <c r="CI1479" s="1268"/>
      <c r="CJ1479" s="1268"/>
      <c r="CK1479" s="1268"/>
      <c r="CL1479" s="1268"/>
      <c r="CM1479" s="1268"/>
      <c r="CN1479" s="1268"/>
      <c r="CO1479" s="1268"/>
      <c r="CP1479" s="1268"/>
      <c r="CQ1479" s="1268"/>
      <c r="CR1479" s="1268"/>
      <c r="CS1479" s="1268"/>
      <c r="CT1479" s="1268"/>
      <c r="CU1479" s="1268"/>
      <c r="CV1479" s="1268"/>
      <c r="CW1479" s="1268"/>
      <c r="CX1479" s="1268"/>
      <c r="CY1479" s="1268"/>
      <c r="CZ1479" s="1268"/>
      <c r="DA1479" s="1268"/>
      <c r="DB1479" s="1268"/>
      <c r="DC1479" s="1268"/>
      <c r="DD1479" s="1268"/>
      <c r="DE1479" s="1268"/>
      <c r="DF1479" s="1268"/>
      <c r="DG1479" s="1268"/>
      <c r="DH1479" s="1268"/>
      <c r="DI1479" s="1268"/>
      <c r="DJ1479" s="1268"/>
      <c r="DK1479" s="1268"/>
      <c r="DL1479" s="1268"/>
      <c r="DM1479" s="1268"/>
      <c r="DN1479" s="1268"/>
      <c r="DO1479" s="1268"/>
      <c r="DP1479" s="1268"/>
      <c r="DQ1479" s="1268"/>
      <c r="DR1479" s="1268"/>
      <c r="DS1479" s="1268"/>
      <c r="DT1479" s="1268"/>
      <c r="DU1479" s="1268"/>
      <c r="DV1479" s="1268"/>
      <c r="DW1479" s="1268"/>
      <c r="DX1479" s="1268"/>
      <c r="DY1479" s="1268"/>
      <c r="DZ1479" s="1268"/>
      <c r="EA1479" s="1268"/>
      <c r="EB1479" s="1268"/>
      <c r="EC1479" s="1268"/>
      <c r="ED1479" s="1268"/>
      <c r="EE1479" s="1268"/>
      <c r="EF1479" s="1268"/>
      <c r="EG1479" s="1268"/>
      <c r="EH1479" s="1268"/>
      <c r="EI1479" s="1268"/>
      <c r="EJ1479" s="1268"/>
      <c r="EK1479" s="1268"/>
      <c r="EL1479" s="1268"/>
      <c r="EM1479" s="1268"/>
      <c r="EN1479" s="1268"/>
      <c r="EO1479" s="1268"/>
      <c r="EP1479" s="1268"/>
      <c r="EQ1479" s="1268"/>
      <c r="ER1479" s="1268"/>
      <c r="ES1479" s="1268"/>
      <c r="ET1479" s="1268"/>
      <c r="EU1479" s="1268"/>
      <c r="EV1479" s="1268"/>
      <c r="EW1479" s="1268"/>
      <c r="EX1479" s="1268"/>
      <c r="EY1479" s="1268"/>
      <c r="EZ1479" s="1268"/>
      <c r="FA1479" s="1268"/>
      <c r="FB1479" s="1268"/>
      <c r="FC1479" s="1268"/>
      <c r="FD1479" s="1268"/>
      <c r="FE1479" s="1268"/>
      <c r="FF1479" s="1268"/>
      <c r="FG1479" s="1268"/>
      <c r="FH1479" s="1268"/>
      <c r="FI1479" s="1268"/>
      <c r="FJ1479" s="1268"/>
      <c r="FK1479" s="1268"/>
      <c r="FL1479" s="1268"/>
      <c r="FM1479" s="1268"/>
      <c r="FN1479" s="1268"/>
      <c r="FO1479" s="1268"/>
      <c r="FP1479" s="1268"/>
      <c r="FQ1479" s="1268"/>
      <c r="FR1479" s="1268"/>
      <c r="FS1479" s="1268"/>
      <c r="FT1479" s="1268"/>
      <c r="FU1479" s="1268"/>
      <c r="FV1479" s="1268"/>
      <c r="FW1479" s="1268"/>
      <c r="FX1479" s="1268"/>
      <c r="FY1479" s="1268"/>
      <c r="FZ1479" s="1268"/>
      <c r="GA1479" s="1268"/>
      <c r="GB1479" s="1268"/>
      <c r="GC1479" s="1268"/>
      <c r="GD1479" s="1268"/>
      <c r="GE1479" s="1268"/>
      <c r="GF1479" s="1268"/>
      <c r="GG1479" s="1268"/>
      <c r="GH1479" s="1268"/>
      <c r="GI1479" s="1268"/>
      <c r="GJ1479" s="1268"/>
      <c r="GK1479" s="1268"/>
      <c r="GL1479" s="1268"/>
      <c r="GM1479" s="1268"/>
      <c r="GN1479" s="1268"/>
      <c r="GO1479" s="1268"/>
      <c r="GP1479" s="1268"/>
      <c r="GQ1479" s="1268"/>
      <c r="GR1479" s="1268"/>
      <c r="GS1479" s="1268"/>
      <c r="GT1479" s="1268"/>
      <c r="GU1479" s="1268"/>
      <c r="GV1479" s="1268"/>
      <c r="GW1479" s="1268"/>
      <c r="GX1479" s="1268"/>
      <c r="GY1479" s="1268"/>
      <c r="GZ1479" s="1268"/>
      <c r="HA1479" s="1268"/>
      <c r="HB1479" s="1268"/>
      <c r="HC1479" s="1268"/>
      <c r="HD1479" s="1268"/>
      <c r="HE1479" s="1268"/>
      <c r="HF1479" s="1268"/>
      <c r="HG1479" s="1268"/>
      <c r="HH1479" s="1268"/>
      <c r="HI1479" s="1268"/>
      <c r="HJ1479" s="1268"/>
      <c r="HK1479" s="1268"/>
      <c r="HL1479" s="1268"/>
      <c r="HM1479" s="1268"/>
      <c r="HN1479" s="1268"/>
      <c r="HO1479" s="1268"/>
      <c r="HP1479" s="1268"/>
      <c r="HQ1479" s="1268"/>
      <c r="HR1479" s="1268"/>
      <c r="HS1479" s="1268"/>
      <c r="HT1479" s="1268"/>
      <c r="HU1479" s="1268"/>
      <c r="HV1479" s="1268"/>
      <c r="HW1479" s="1268"/>
      <c r="HX1479" s="1268"/>
      <c r="HY1479" s="1268"/>
      <c r="HZ1479" s="1268"/>
      <c r="IA1479" s="1268"/>
      <c r="IB1479" s="1268"/>
      <c r="IC1479" s="1268"/>
      <c r="ID1479" s="1268"/>
      <c r="IE1479" s="1268"/>
      <c r="IF1479" s="1268"/>
      <c r="IG1479" s="1268"/>
      <c r="IH1479" s="1268"/>
      <c r="II1479" s="1268"/>
      <c r="IJ1479" s="1268"/>
      <c r="IK1479" s="1268"/>
      <c r="IL1479" s="1268"/>
      <c r="IM1479" s="1268"/>
      <c r="IN1479" s="1268"/>
      <c r="IO1479" s="1268"/>
      <c r="IP1479" s="1268"/>
      <c r="IQ1479" s="1268"/>
      <c r="IR1479" s="1268"/>
      <c r="IS1479" s="1268"/>
      <c r="IT1479" s="1268"/>
      <c r="IU1479" s="1268"/>
      <c r="IV1479" s="1268"/>
      <c r="IW1479" s="1268"/>
      <c r="IX1479" s="1268"/>
      <c r="IY1479" s="1268"/>
      <c r="IZ1479" s="1268"/>
      <c r="JA1479" s="1268"/>
      <c r="JB1479" s="1268"/>
      <c r="JC1479" s="1268"/>
      <c r="JD1479" s="1268"/>
      <c r="JE1479" s="1268"/>
      <c r="JF1479" s="1268"/>
      <c r="JG1479" s="1268"/>
      <c r="JH1479" s="1268"/>
      <c r="JI1479" s="1268"/>
      <c r="JJ1479" s="1268"/>
      <c r="JK1479" s="1268"/>
      <c r="JL1479" s="1268"/>
      <c r="JM1479" s="1268"/>
      <c r="JN1479" s="1268"/>
      <c r="JO1479" s="1268"/>
      <c r="JP1479" s="1268"/>
      <c r="JQ1479" s="1268"/>
      <c r="JR1479" s="1268"/>
      <c r="JS1479" s="1268"/>
      <c r="JT1479" s="1268"/>
      <c r="JU1479" s="1268"/>
      <c r="JV1479" s="1268"/>
      <c r="JW1479" s="1268"/>
      <c r="JX1479" s="1268"/>
      <c r="JY1479" s="1268"/>
      <c r="JZ1479" s="1268"/>
      <c r="KA1479" s="1268"/>
      <c r="KB1479" s="1268"/>
      <c r="KC1479" s="1268"/>
      <c r="KD1479" s="1268"/>
      <c r="KE1479" s="1268"/>
      <c r="KF1479" s="1268"/>
      <c r="KG1479" s="1268"/>
      <c r="KH1479" s="1268"/>
      <c r="KI1479" s="1268"/>
      <c r="KJ1479" s="1268"/>
      <c r="KK1479" s="1268"/>
      <c r="KL1479" s="1268"/>
      <c r="KM1479" s="1268"/>
      <c r="KN1479" s="1268"/>
      <c r="KO1479" s="1268"/>
      <c r="KP1479" s="1268"/>
      <c r="KQ1479" s="1268"/>
      <c r="KR1479" s="1268"/>
      <c r="KS1479" s="1268"/>
      <c r="KT1479" s="1268"/>
      <c r="KU1479" s="1268"/>
      <c r="KV1479" s="1268"/>
      <c r="KW1479" s="1268"/>
      <c r="KX1479" s="1268"/>
      <c r="KY1479" s="1268"/>
      <c r="KZ1479" s="1268"/>
      <c r="LA1479" s="1268"/>
      <c r="LB1479" s="1268"/>
      <c r="LC1479" s="1268"/>
      <c r="LD1479" s="1268"/>
      <c r="LE1479" s="1268"/>
      <c r="LF1479" s="1268"/>
      <c r="LG1479" s="1268"/>
      <c r="LH1479" s="1268"/>
      <c r="LI1479" s="1268"/>
      <c r="LJ1479" s="1268"/>
      <c r="LK1479" s="1268"/>
      <c r="LL1479" s="1268"/>
      <c r="LM1479" s="1268"/>
      <c r="LN1479" s="1268"/>
      <c r="LO1479" s="1268"/>
      <c r="LP1479" s="1268"/>
      <c r="LQ1479" s="1268"/>
      <c r="LR1479" s="1268"/>
      <c r="LS1479" s="1268"/>
      <c r="LT1479" s="1268"/>
      <c r="LU1479" s="1268"/>
      <c r="LV1479" s="1268"/>
      <c r="LW1479" s="1268"/>
      <c r="LX1479" s="1268"/>
      <c r="LY1479" s="1268"/>
      <c r="LZ1479" s="1268"/>
      <c r="MA1479" s="1268"/>
      <c r="MB1479" s="1268"/>
      <c r="MC1479" s="1268"/>
      <c r="MD1479" s="1268"/>
      <c r="ME1479" s="1268"/>
      <c r="MF1479" s="1268"/>
      <c r="MG1479" s="1268"/>
      <c r="MH1479" s="1268"/>
      <c r="MI1479" s="1268"/>
      <c r="MJ1479" s="1268"/>
      <c r="MK1479" s="1268"/>
      <c r="ML1479" s="1268"/>
      <c r="MM1479" s="1268"/>
      <c r="MN1479" s="1268"/>
      <c r="MO1479" s="1268"/>
      <c r="MP1479" s="1268"/>
      <c r="MQ1479" s="1268"/>
      <c r="MR1479" s="1268"/>
      <c r="MS1479" s="1268"/>
      <c r="MT1479" s="1268"/>
      <c r="MU1479" s="1268"/>
      <c r="MV1479" s="1268"/>
      <c r="MW1479" s="1268"/>
      <c r="MX1479" s="1268"/>
      <c r="MY1479" s="1268"/>
      <c r="MZ1479" s="1268"/>
      <c r="NA1479" s="1268"/>
      <c r="NB1479" s="1268"/>
      <c r="NC1479" s="1268"/>
      <c r="ND1479" s="1268"/>
      <c r="NE1479" s="1268"/>
      <c r="NF1479" s="1268"/>
      <c r="NG1479" s="1268"/>
      <c r="NH1479" s="1268"/>
      <c r="NI1479" s="1268"/>
      <c r="NJ1479" s="1268"/>
      <c r="NK1479" s="1268"/>
      <c r="NL1479" s="1268"/>
      <c r="NM1479" s="1268"/>
      <c r="NN1479" s="1268"/>
      <c r="NO1479" s="1268"/>
      <c r="NP1479" s="1268"/>
      <c r="NQ1479" s="1268"/>
      <c r="NR1479" s="1268"/>
      <c r="NS1479" s="1268"/>
      <c r="NT1479" s="1268"/>
      <c r="NU1479" s="1268"/>
      <c r="NV1479" s="1268"/>
      <c r="NW1479" s="1268"/>
      <c r="NX1479" s="1268"/>
      <c r="NY1479" s="1268"/>
      <c r="NZ1479" s="1268"/>
      <c r="OA1479" s="1268"/>
      <c r="OB1479" s="1268"/>
      <c r="OC1479" s="1268"/>
      <c r="OD1479" s="1268"/>
      <c r="OE1479" s="1268"/>
      <c r="OF1479" s="1268"/>
      <c r="OG1479" s="1268"/>
      <c r="OH1479" s="1268"/>
      <c r="OI1479" s="1268"/>
      <c r="OJ1479" s="1268"/>
      <c r="OK1479" s="1268"/>
      <c r="OL1479" s="1268"/>
      <c r="OM1479" s="1268"/>
      <c r="ON1479" s="1268"/>
      <c r="OO1479" s="1268"/>
      <c r="OP1479" s="1268"/>
      <c r="OQ1479" s="1268"/>
      <c r="OR1479" s="1268"/>
      <c r="OS1479" s="1268"/>
      <c r="OT1479" s="1268"/>
      <c r="OU1479" s="1268"/>
      <c r="OV1479" s="1268"/>
      <c r="OW1479" s="1268"/>
      <c r="OX1479" s="1268"/>
      <c r="OY1479" s="1268"/>
      <c r="OZ1479" s="1268"/>
      <c r="PA1479" s="1268"/>
      <c r="PB1479" s="1268"/>
      <c r="PC1479" s="1268"/>
      <c r="PD1479" s="1268"/>
      <c r="PE1479" s="1268"/>
      <c r="PF1479" s="1268"/>
      <c r="PG1479" s="1268"/>
      <c r="PH1479" s="1268"/>
      <c r="PI1479" s="1268"/>
      <c r="PJ1479" s="1268"/>
      <c r="PK1479" s="1268"/>
      <c r="PL1479" s="1268"/>
      <c r="PM1479" s="1268"/>
      <c r="PN1479" s="1268"/>
      <c r="PO1479" s="1268"/>
      <c r="PP1479" s="1268"/>
      <c r="PQ1479" s="1268"/>
      <c r="PR1479" s="1268"/>
      <c r="PS1479" s="1268"/>
      <c r="PT1479" s="1268"/>
      <c r="PU1479" s="1268"/>
      <c r="PV1479" s="1268"/>
      <c r="PW1479" s="1268"/>
      <c r="PX1479" s="1268"/>
      <c r="PY1479" s="1268"/>
      <c r="PZ1479" s="1268"/>
      <c r="QA1479" s="1268"/>
      <c r="QB1479" s="1268"/>
      <c r="QC1479" s="1268"/>
      <c r="QD1479" s="1268"/>
      <c r="QE1479" s="1268"/>
      <c r="QF1479" s="1268"/>
      <c r="QG1479" s="1268"/>
      <c r="QH1479" s="1268"/>
      <c r="QI1479" s="1268"/>
      <c r="QJ1479" s="1268"/>
      <c r="QK1479" s="1268"/>
      <c r="QL1479" s="1268"/>
      <c r="QM1479" s="1268"/>
      <c r="QN1479" s="1268"/>
      <c r="QO1479" s="1268"/>
      <c r="QP1479" s="1268"/>
      <c r="QQ1479" s="1268"/>
      <c r="QR1479" s="1268"/>
      <c r="QS1479" s="1268"/>
      <c r="QT1479" s="1268"/>
      <c r="QU1479" s="1268"/>
      <c r="QV1479" s="1268"/>
      <c r="QW1479" s="1268"/>
      <c r="QX1479" s="1268"/>
      <c r="QY1479" s="1268"/>
      <c r="QZ1479" s="1268"/>
      <c r="RA1479" s="1268"/>
      <c r="RB1479" s="1268"/>
      <c r="RC1479" s="1268"/>
      <c r="RD1479" s="1268"/>
      <c r="RE1479" s="1268"/>
      <c r="RF1479" s="1268"/>
      <c r="RG1479" s="1268"/>
      <c r="RH1479" s="1268"/>
      <c r="RI1479" s="1268"/>
      <c r="RJ1479" s="1268"/>
      <c r="RK1479" s="1268"/>
      <c r="RL1479" s="1268"/>
      <c r="RM1479" s="1268"/>
      <c r="RN1479" s="1268"/>
      <c r="RO1479" s="1268"/>
      <c r="RP1479" s="1268"/>
      <c r="RQ1479" s="1268"/>
      <c r="RR1479" s="1268"/>
      <c r="RS1479" s="1268"/>
      <c r="RT1479" s="1268"/>
      <c r="RU1479" s="1268"/>
      <c r="RV1479" s="1268"/>
      <c r="RW1479" s="1268"/>
      <c r="RX1479" s="1268"/>
      <c r="RY1479" s="1268"/>
      <c r="RZ1479" s="1268"/>
      <c r="SA1479" s="1268"/>
      <c r="SB1479" s="1268"/>
      <c r="SC1479" s="1268"/>
      <c r="SD1479" s="1268"/>
      <c r="SE1479" s="1268"/>
      <c r="SF1479" s="1268"/>
      <c r="SG1479" s="1268"/>
      <c r="SH1479" s="1268"/>
      <c r="SI1479" s="1268"/>
      <c r="SJ1479" s="1268"/>
      <c r="SK1479" s="1268"/>
      <c r="SL1479" s="1268"/>
      <c r="SM1479" s="1268"/>
      <c r="SN1479" s="1268"/>
      <c r="SO1479" s="1268"/>
      <c r="SP1479" s="1268"/>
      <c r="SQ1479" s="1268"/>
      <c r="SR1479" s="1268"/>
      <c r="SS1479" s="1268"/>
      <c r="ST1479" s="1268"/>
      <c r="SU1479" s="1268"/>
      <c r="SV1479" s="1268"/>
      <c r="SW1479" s="1268"/>
      <c r="SX1479" s="1268"/>
      <c r="SY1479" s="1268"/>
      <c r="SZ1479" s="1268"/>
      <c r="TA1479" s="1268"/>
      <c r="TB1479" s="1268"/>
      <c r="TC1479" s="1268"/>
      <c r="TD1479" s="1268"/>
      <c r="TE1479" s="1268"/>
      <c r="TF1479" s="1268"/>
      <c r="TG1479" s="1268"/>
      <c r="TH1479" s="1268"/>
      <c r="TI1479" s="1268"/>
      <c r="TJ1479" s="1268"/>
      <c r="TK1479" s="1268"/>
      <c r="TL1479" s="1268"/>
      <c r="TM1479" s="1268"/>
      <c r="TN1479" s="1268"/>
      <c r="TO1479" s="1268"/>
      <c r="TP1479" s="1268"/>
      <c r="TQ1479" s="1268"/>
      <c r="TR1479" s="1268"/>
      <c r="TS1479" s="1268"/>
      <c r="TT1479" s="1268"/>
      <c r="TU1479" s="1268"/>
      <c r="TV1479" s="1268"/>
      <c r="TW1479" s="1268"/>
      <c r="TX1479" s="1268"/>
      <c r="TY1479" s="1268"/>
      <c r="TZ1479" s="1268"/>
      <c r="UA1479" s="1268"/>
      <c r="UB1479" s="1268"/>
      <c r="UC1479" s="1268"/>
      <c r="UD1479" s="1268"/>
      <c r="UE1479" s="1268"/>
      <c r="UF1479" s="1268"/>
      <c r="UG1479" s="1268"/>
    </row>
    <row r="1480" spans="1:553" s="1262" customFormat="1" ht="19.149999999999999" customHeight="1">
      <c r="A1480" s="356" t="s">
        <v>15</v>
      </c>
      <c r="B1480" s="356"/>
      <c r="C1480" s="1586" t="s">
        <v>47</v>
      </c>
      <c r="D1480" s="1389"/>
      <c r="E1480" s="1389"/>
      <c r="F1480" s="1390"/>
      <c r="G1480" s="740" t="s">
        <v>46</v>
      </c>
      <c r="H1480" s="370"/>
      <c r="I1480" s="423">
        <f>(206.62*100/2000)*37</f>
        <v>382.24699999999996</v>
      </c>
      <c r="J1480" s="1014">
        <v>6200</v>
      </c>
      <c r="K1480" s="565"/>
      <c r="L1480" s="679">
        <f>ROUND(PRODUCT(I1480:K1480),0)</f>
        <v>2369931</v>
      </c>
      <c r="M1480" s="356"/>
      <c r="N1480" s="356"/>
      <c r="O1480" s="356"/>
      <c r="P1480" s="356"/>
      <c r="Q1480" s="610"/>
      <c r="R1480" s="1452"/>
      <c r="S1480" s="308"/>
      <c r="T1480" s="308"/>
      <c r="U1480" s="308"/>
      <c r="V1480" s="308"/>
      <c r="W1480" s="308"/>
      <c r="X1480" s="308"/>
      <c r="Y1480" s="308"/>
      <c r="Z1480" s="604"/>
      <c r="AA1480" s="308"/>
      <c r="AB1480" s="308"/>
      <c r="AC1480" s="486"/>
      <c r="AD1480" s="486"/>
      <c r="AE1480" s="486"/>
      <c r="AF1480" s="486"/>
      <c r="AG1480" s="486"/>
      <c r="AH1480" s="486"/>
      <c r="AI1480" s="486"/>
      <c r="AJ1480" s="486"/>
      <c r="AK1480" s="486"/>
      <c r="AL1480" s="1267"/>
      <c r="AM1480" s="1268"/>
      <c r="AN1480" s="1268"/>
      <c r="AO1480" s="1268"/>
      <c r="AP1480" s="1268"/>
      <c r="AQ1480" s="1268"/>
      <c r="AR1480" s="1268"/>
      <c r="AS1480" s="1268"/>
      <c r="AT1480" s="1268"/>
      <c r="AU1480" s="1268"/>
      <c r="AV1480" s="1268"/>
      <c r="AW1480" s="1268"/>
      <c r="AX1480" s="1268"/>
      <c r="AY1480" s="1268"/>
      <c r="AZ1480" s="1268"/>
      <c r="BA1480" s="1268"/>
      <c r="BB1480" s="1268"/>
      <c r="BC1480" s="1268"/>
      <c r="BD1480" s="1268"/>
      <c r="BE1480" s="1268"/>
      <c r="BF1480" s="1268"/>
      <c r="BG1480" s="1268"/>
      <c r="BH1480" s="1268"/>
      <c r="BI1480" s="1268"/>
      <c r="BJ1480" s="1268"/>
      <c r="BK1480" s="1268"/>
      <c r="BL1480" s="1268"/>
      <c r="BM1480" s="1268"/>
      <c r="BN1480" s="1268"/>
      <c r="BO1480" s="1268"/>
      <c r="BP1480" s="1268"/>
      <c r="BQ1480" s="1268"/>
      <c r="BR1480" s="1268"/>
      <c r="BS1480" s="1268"/>
      <c r="BT1480" s="1268"/>
      <c r="BU1480" s="1268"/>
      <c r="BV1480" s="1268"/>
      <c r="BW1480" s="1268"/>
      <c r="BX1480" s="1268"/>
      <c r="BY1480" s="1268"/>
      <c r="BZ1480" s="1268"/>
      <c r="CA1480" s="1268"/>
      <c r="CB1480" s="1268"/>
      <c r="CC1480" s="1268"/>
      <c r="CD1480" s="1268"/>
      <c r="CE1480" s="1268"/>
      <c r="CF1480" s="1268"/>
      <c r="CG1480" s="1268"/>
      <c r="CH1480" s="1268"/>
      <c r="CI1480" s="1268"/>
      <c r="CJ1480" s="1268"/>
      <c r="CK1480" s="1268"/>
      <c r="CL1480" s="1268"/>
      <c r="CM1480" s="1268"/>
      <c r="CN1480" s="1268"/>
      <c r="CO1480" s="1268"/>
      <c r="CP1480" s="1268"/>
      <c r="CQ1480" s="1268"/>
      <c r="CR1480" s="1268"/>
      <c r="CS1480" s="1268"/>
      <c r="CT1480" s="1268"/>
      <c r="CU1480" s="1268"/>
      <c r="CV1480" s="1268"/>
      <c r="CW1480" s="1268"/>
      <c r="CX1480" s="1268"/>
      <c r="CY1480" s="1268"/>
      <c r="CZ1480" s="1268"/>
      <c r="DA1480" s="1268"/>
      <c r="DB1480" s="1268"/>
      <c r="DC1480" s="1268"/>
      <c r="DD1480" s="1268"/>
      <c r="DE1480" s="1268"/>
      <c r="DF1480" s="1268"/>
      <c r="DG1480" s="1268"/>
      <c r="DH1480" s="1268"/>
      <c r="DI1480" s="1268"/>
      <c r="DJ1480" s="1268"/>
      <c r="DK1480" s="1268"/>
      <c r="DL1480" s="1268"/>
      <c r="DM1480" s="1268"/>
      <c r="DN1480" s="1268"/>
      <c r="DO1480" s="1268"/>
      <c r="DP1480" s="1268"/>
      <c r="DQ1480" s="1268"/>
      <c r="DR1480" s="1268"/>
      <c r="DS1480" s="1268"/>
      <c r="DT1480" s="1268"/>
      <c r="DU1480" s="1268"/>
      <c r="DV1480" s="1268"/>
      <c r="DW1480" s="1268"/>
      <c r="DX1480" s="1268"/>
      <c r="DY1480" s="1268"/>
      <c r="DZ1480" s="1268"/>
      <c r="EA1480" s="1268"/>
      <c r="EB1480" s="1268"/>
      <c r="EC1480" s="1268"/>
      <c r="ED1480" s="1268"/>
      <c r="EE1480" s="1268"/>
      <c r="EF1480" s="1268"/>
      <c r="EG1480" s="1268"/>
      <c r="EH1480" s="1268"/>
      <c r="EI1480" s="1268"/>
      <c r="EJ1480" s="1268"/>
      <c r="EK1480" s="1268"/>
      <c r="EL1480" s="1268"/>
      <c r="EM1480" s="1268"/>
      <c r="EN1480" s="1268"/>
      <c r="EO1480" s="1268"/>
      <c r="EP1480" s="1268"/>
      <c r="EQ1480" s="1268"/>
      <c r="ER1480" s="1268"/>
      <c r="ES1480" s="1268"/>
      <c r="ET1480" s="1268"/>
      <c r="EU1480" s="1268"/>
      <c r="EV1480" s="1268"/>
      <c r="EW1480" s="1268"/>
      <c r="EX1480" s="1268"/>
      <c r="EY1480" s="1268"/>
      <c r="EZ1480" s="1268"/>
      <c r="FA1480" s="1268"/>
      <c r="FB1480" s="1268"/>
      <c r="FC1480" s="1268"/>
      <c r="FD1480" s="1268"/>
      <c r="FE1480" s="1268"/>
      <c r="FF1480" s="1268"/>
      <c r="FG1480" s="1268"/>
      <c r="FH1480" s="1268"/>
      <c r="FI1480" s="1268"/>
      <c r="FJ1480" s="1268"/>
      <c r="FK1480" s="1268"/>
      <c r="FL1480" s="1268"/>
      <c r="FM1480" s="1268"/>
      <c r="FN1480" s="1268"/>
      <c r="FO1480" s="1268"/>
      <c r="FP1480" s="1268"/>
      <c r="FQ1480" s="1268"/>
      <c r="FR1480" s="1268"/>
      <c r="FS1480" s="1268"/>
      <c r="FT1480" s="1268"/>
      <c r="FU1480" s="1268"/>
      <c r="FV1480" s="1268"/>
      <c r="FW1480" s="1268"/>
      <c r="FX1480" s="1268"/>
      <c r="FY1480" s="1268"/>
      <c r="FZ1480" s="1268"/>
      <c r="GA1480" s="1268"/>
      <c r="GB1480" s="1268"/>
      <c r="GC1480" s="1268"/>
      <c r="GD1480" s="1268"/>
      <c r="GE1480" s="1268"/>
      <c r="GF1480" s="1268"/>
      <c r="GG1480" s="1268"/>
      <c r="GH1480" s="1268"/>
      <c r="GI1480" s="1268"/>
      <c r="GJ1480" s="1268"/>
      <c r="GK1480" s="1268"/>
      <c r="GL1480" s="1268"/>
      <c r="GM1480" s="1268"/>
      <c r="GN1480" s="1268"/>
      <c r="GO1480" s="1268"/>
      <c r="GP1480" s="1268"/>
      <c r="GQ1480" s="1268"/>
      <c r="GR1480" s="1268"/>
      <c r="GS1480" s="1268"/>
      <c r="GT1480" s="1268"/>
      <c r="GU1480" s="1268"/>
      <c r="GV1480" s="1268"/>
      <c r="GW1480" s="1268"/>
      <c r="GX1480" s="1268"/>
      <c r="GY1480" s="1268"/>
      <c r="GZ1480" s="1268"/>
      <c r="HA1480" s="1268"/>
      <c r="HB1480" s="1268"/>
      <c r="HC1480" s="1268"/>
      <c r="HD1480" s="1268"/>
      <c r="HE1480" s="1268"/>
      <c r="HF1480" s="1268"/>
      <c r="HG1480" s="1268"/>
      <c r="HH1480" s="1268"/>
      <c r="HI1480" s="1268"/>
      <c r="HJ1480" s="1268"/>
      <c r="HK1480" s="1268"/>
      <c r="HL1480" s="1268"/>
      <c r="HM1480" s="1268"/>
      <c r="HN1480" s="1268"/>
      <c r="HO1480" s="1268"/>
      <c r="HP1480" s="1268"/>
      <c r="HQ1480" s="1268"/>
      <c r="HR1480" s="1268"/>
      <c r="HS1480" s="1268"/>
      <c r="HT1480" s="1268"/>
      <c r="HU1480" s="1268"/>
      <c r="HV1480" s="1268"/>
      <c r="HW1480" s="1268"/>
      <c r="HX1480" s="1268"/>
      <c r="HY1480" s="1268"/>
      <c r="HZ1480" s="1268"/>
      <c r="IA1480" s="1268"/>
      <c r="IB1480" s="1268"/>
      <c r="IC1480" s="1268"/>
      <c r="ID1480" s="1268"/>
      <c r="IE1480" s="1268"/>
      <c r="IF1480" s="1268"/>
      <c r="IG1480" s="1268"/>
      <c r="IH1480" s="1268"/>
      <c r="II1480" s="1268"/>
      <c r="IJ1480" s="1268"/>
      <c r="IK1480" s="1268"/>
      <c r="IL1480" s="1268"/>
      <c r="IM1480" s="1268"/>
      <c r="IN1480" s="1268"/>
      <c r="IO1480" s="1268"/>
      <c r="IP1480" s="1268"/>
      <c r="IQ1480" s="1268"/>
      <c r="IR1480" s="1268"/>
      <c r="IS1480" s="1268"/>
      <c r="IT1480" s="1268"/>
      <c r="IU1480" s="1268"/>
      <c r="IV1480" s="1268"/>
      <c r="IW1480" s="1268"/>
      <c r="IX1480" s="1268"/>
      <c r="IY1480" s="1268"/>
      <c r="IZ1480" s="1268"/>
      <c r="JA1480" s="1268"/>
      <c r="JB1480" s="1268"/>
      <c r="JC1480" s="1268"/>
      <c r="JD1480" s="1268"/>
      <c r="JE1480" s="1268"/>
      <c r="JF1480" s="1268"/>
      <c r="JG1480" s="1268"/>
      <c r="JH1480" s="1268"/>
      <c r="JI1480" s="1268"/>
      <c r="JJ1480" s="1268"/>
      <c r="JK1480" s="1268"/>
      <c r="JL1480" s="1268"/>
      <c r="JM1480" s="1268"/>
      <c r="JN1480" s="1268"/>
      <c r="JO1480" s="1268"/>
      <c r="JP1480" s="1268"/>
      <c r="JQ1480" s="1268"/>
      <c r="JR1480" s="1268"/>
      <c r="JS1480" s="1268"/>
      <c r="JT1480" s="1268"/>
      <c r="JU1480" s="1268"/>
      <c r="JV1480" s="1268"/>
      <c r="JW1480" s="1268"/>
      <c r="JX1480" s="1268"/>
      <c r="JY1480" s="1268"/>
      <c r="JZ1480" s="1268"/>
      <c r="KA1480" s="1268"/>
      <c r="KB1480" s="1268"/>
      <c r="KC1480" s="1268"/>
      <c r="KD1480" s="1268"/>
      <c r="KE1480" s="1268"/>
      <c r="KF1480" s="1268"/>
      <c r="KG1480" s="1268"/>
      <c r="KH1480" s="1268"/>
      <c r="KI1480" s="1268"/>
      <c r="KJ1480" s="1268"/>
      <c r="KK1480" s="1268"/>
      <c r="KL1480" s="1268"/>
      <c r="KM1480" s="1268"/>
      <c r="KN1480" s="1268"/>
      <c r="KO1480" s="1268"/>
      <c r="KP1480" s="1268"/>
      <c r="KQ1480" s="1268"/>
      <c r="KR1480" s="1268"/>
      <c r="KS1480" s="1268"/>
      <c r="KT1480" s="1268"/>
      <c r="KU1480" s="1268"/>
      <c r="KV1480" s="1268"/>
      <c r="KW1480" s="1268"/>
      <c r="KX1480" s="1268"/>
      <c r="KY1480" s="1268"/>
      <c r="KZ1480" s="1268"/>
      <c r="LA1480" s="1268"/>
      <c r="LB1480" s="1268"/>
      <c r="LC1480" s="1268"/>
      <c r="LD1480" s="1268"/>
      <c r="LE1480" s="1268"/>
      <c r="LF1480" s="1268"/>
      <c r="LG1480" s="1268"/>
      <c r="LH1480" s="1268"/>
      <c r="LI1480" s="1268"/>
      <c r="LJ1480" s="1268"/>
      <c r="LK1480" s="1268"/>
      <c r="LL1480" s="1268"/>
      <c r="LM1480" s="1268"/>
      <c r="LN1480" s="1268"/>
      <c r="LO1480" s="1268"/>
      <c r="LP1480" s="1268"/>
      <c r="LQ1480" s="1268"/>
      <c r="LR1480" s="1268"/>
      <c r="LS1480" s="1268"/>
      <c r="LT1480" s="1268"/>
      <c r="LU1480" s="1268"/>
      <c r="LV1480" s="1268"/>
      <c r="LW1480" s="1268"/>
      <c r="LX1480" s="1268"/>
      <c r="LY1480" s="1268"/>
      <c r="LZ1480" s="1268"/>
      <c r="MA1480" s="1268"/>
      <c r="MB1480" s="1268"/>
      <c r="MC1480" s="1268"/>
      <c r="MD1480" s="1268"/>
      <c r="ME1480" s="1268"/>
      <c r="MF1480" s="1268"/>
      <c r="MG1480" s="1268"/>
      <c r="MH1480" s="1268"/>
      <c r="MI1480" s="1268"/>
      <c r="MJ1480" s="1268"/>
      <c r="MK1480" s="1268"/>
      <c r="ML1480" s="1268"/>
      <c r="MM1480" s="1268"/>
      <c r="MN1480" s="1268"/>
      <c r="MO1480" s="1268"/>
      <c r="MP1480" s="1268"/>
      <c r="MQ1480" s="1268"/>
      <c r="MR1480" s="1268"/>
      <c r="MS1480" s="1268"/>
      <c r="MT1480" s="1268"/>
      <c r="MU1480" s="1268"/>
      <c r="MV1480" s="1268"/>
      <c r="MW1480" s="1268"/>
      <c r="MX1480" s="1268"/>
      <c r="MY1480" s="1268"/>
      <c r="MZ1480" s="1268"/>
      <c r="NA1480" s="1268"/>
      <c r="NB1480" s="1268"/>
      <c r="NC1480" s="1268"/>
      <c r="ND1480" s="1268"/>
      <c r="NE1480" s="1268"/>
      <c r="NF1480" s="1268"/>
      <c r="NG1480" s="1268"/>
      <c r="NH1480" s="1268"/>
      <c r="NI1480" s="1268"/>
      <c r="NJ1480" s="1268"/>
      <c r="NK1480" s="1268"/>
      <c r="NL1480" s="1268"/>
      <c r="NM1480" s="1268"/>
      <c r="NN1480" s="1268"/>
      <c r="NO1480" s="1268"/>
      <c r="NP1480" s="1268"/>
      <c r="NQ1480" s="1268"/>
      <c r="NR1480" s="1268"/>
      <c r="NS1480" s="1268"/>
      <c r="NT1480" s="1268"/>
      <c r="NU1480" s="1268"/>
      <c r="NV1480" s="1268"/>
      <c r="NW1480" s="1268"/>
      <c r="NX1480" s="1268"/>
      <c r="NY1480" s="1268"/>
      <c r="NZ1480" s="1268"/>
      <c r="OA1480" s="1268"/>
      <c r="OB1480" s="1268"/>
      <c r="OC1480" s="1268"/>
      <c r="OD1480" s="1268"/>
      <c r="OE1480" s="1268"/>
      <c r="OF1480" s="1268"/>
      <c r="OG1480" s="1268"/>
      <c r="OH1480" s="1268"/>
      <c r="OI1480" s="1268"/>
      <c r="OJ1480" s="1268"/>
      <c r="OK1480" s="1268"/>
      <c r="OL1480" s="1268"/>
      <c r="OM1480" s="1268"/>
      <c r="ON1480" s="1268"/>
      <c r="OO1480" s="1268"/>
      <c r="OP1480" s="1268"/>
      <c r="OQ1480" s="1268"/>
      <c r="OR1480" s="1268"/>
      <c r="OS1480" s="1268"/>
      <c r="OT1480" s="1268"/>
      <c r="OU1480" s="1268"/>
      <c r="OV1480" s="1268"/>
      <c r="OW1480" s="1268"/>
      <c r="OX1480" s="1268"/>
      <c r="OY1480" s="1268"/>
      <c r="OZ1480" s="1268"/>
      <c r="PA1480" s="1268"/>
      <c r="PB1480" s="1268"/>
      <c r="PC1480" s="1268"/>
      <c r="PD1480" s="1268"/>
      <c r="PE1480" s="1268"/>
      <c r="PF1480" s="1268"/>
      <c r="PG1480" s="1268"/>
      <c r="PH1480" s="1268"/>
      <c r="PI1480" s="1268"/>
      <c r="PJ1480" s="1268"/>
      <c r="PK1480" s="1268"/>
      <c r="PL1480" s="1268"/>
      <c r="PM1480" s="1268"/>
      <c r="PN1480" s="1268"/>
      <c r="PO1480" s="1268"/>
      <c r="PP1480" s="1268"/>
      <c r="PQ1480" s="1268"/>
      <c r="PR1480" s="1268"/>
      <c r="PS1480" s="1268"/>
      <c r="PT1480" s="1268"/>
      <c r="PU1480" s="1268"/>
      <c r="PV1480" s="1268"/>
      <c r="PW1480" s="1268"/>
      <c r="PX1480" s="1268"/>
      <c r="PY1480" s="1268"/>
      <c r="PZ1480" s="1268"/>
      <c r="QA1480" s="1268"/>
      <c r="QB1480" s="1268"/>
      <c r="QC1480" s="1268"/>
      <c r="QD1480" s="1268"/>
      <c r="QE1480" s="1268"/>
      <c r="QF1480" s="1268"/>
      <c r="QG1480" s="1268"/>
      <c r="QH1480" s="1268"/>
      <c r="QI1480" s="1268"/>
      <c r="QJ1480" s="1268"/>
      <c r="QK1480" s="1268"/>
      <c r="QL1480" s="1268"/>
      <c r="QM1480" s="1268"/>
      <c r="QN1480" s="1268"/>
      <c r="QO1480" s="1268"/>
      <c r="QP1480" s="1268"/>
      <c r="QQ1480" s="1268"/>
      <c r="QR1480" s="1268"/>
      <c r="QS1480" s="1268"/>
      <c r="QT1480" s="1268"/>
      <c r="QU1480" s="1268"/>
      <c r="QV1480" s="1268"/>
      <c r="QW1480" s="1268"/>
      <c r="QX1480" s="1268"/>
      <c r="QY1480" s="1268"/>
      <c r="QZ1480" s="1268"/>
      <c r="RA1480" s="1268"/>
      <c r="RB1480" s="1268"/>
      <c r="RC1480" s="1268"/>
      <c r="RD1480" s="1268"/>
      <c r="RE1480" s="1268"/>
      <c r="RF1480" s="1268"/>
      <c r="RG1480" s="1268"/>
      <c r="RH1480" s="1268"/>
      <c r="RI1480" s="1268"/>
      <c r="RJ1480" s="1268"/>
      <c r="RK1480" s="1268"/>
      <c r="RL1480" s="1268"/>
      <c r="RM1480" s="1268"/>
      <c r="RN1480" s="1268"/>
      <c r="RO1480" s="1268"/>
      <c r="RP1480" s="1268"/>
      <c r="RQ1480" s="1268"/>
      <c r="RR1480" s="1268"/>
      <c r="RS1480" s="1268"/>
      <c r="RT1480" s="1268"/>
      <c r="RU1480" s="1268"/>
      <c r="RV1480" s="1268"/>
      <c r="RW1480" s="1268"/>
      <c r="RX1480" s="1268"/>
      <c r="RY1480" s="1268"/>
      <c r="RZ1480" s="1268"/>
      <c r="SA1480" s="1268"/>
      <c r="SB1480" s="1268"/>
      <c r="SC1480" s="1268"/>
      <c r="SD1480" s="1268"/>
      <c r="SE1480" s="1268"/>
      <c r="SF1480" s="1268"/>
      <c r="SG1480" s="1268"/>
      <c r="SH1480" s="1268"/>
      <c r="SI1480" s="1268"/>
      <c r="SJ1480" s="1268"/>
      <c r="SK1480" s="1268"/>
      <c r="SL1480" s="1268"/>
      <c r="SM1480" s="1268"/>
      <c r="SN1480" s="1268"/>
      <c r="SO1480" s="1268"/>
      <c r="SP1480" s="1268"/>
      <c r="SQ1480" s="1268"/>
      <c r="SR1480" s="1268"/>
      <c r="SS1480" s="1268"/>
      <c r="ST1480" s="1268"/>
      <c r="SU1480" s="1268"/>
      <c r="SV1480" s="1268"/>
      <c r="SW1480" s="1268"/>
      <c r="SX1480" s="1268"/>
      <c r="SY1480" s="1268"/>
      <c r="SZ1480" s="1268"/>
      <c r="TA1480" s="1268"/>
      <c r="TB1480" s="1268"/>
      <c r="TC1480" s="1268"/>
      <c r="TD1480" s="1268"/>
      <c r="TE1480" s="1268"/>
      <c r="TF1480" s="1268"/>
      <c r="TG1480" s="1268"/>
      <c r="TH1480" s="1268"/>
      <c r="TI1480" s="1268"/>
      <c r="TJ1480" s="1268"/>
      <c r="TK1480" s="1268"/>
      <c r="TL1480" s="1268"/>
      <c r="TM1480" s="1268"/>
      <c r="TN1480" s="1268"/>
      <c r="TO1480" s="1268"/>
      <c r="TP1480" s="1268"/>
      <c r="TQ1480" s="1268"/>
      <c r="TR1480" s="1268"/>
      <c r="TS1480" s="1268"/>
      <c r="TT1480" s="1268"/>
      <c r="TU1480" s="1268"/>
      <c r="TV1480" s="1268"/>
      <c r="TW1480" s="1268"/>
      <c r="TX1480" s="1268"/>
      <c r="TY1480" s="1268"/>
      <c r="TZ1480" s="1268"/>
      <c r="UA1480" s="1268"/>
      <c r="UB1480" s="1268"/>
      <c r="UC1480" s="1268"/>
      <c r="UD1480" s="1268"/>
      <c r="UE1480" s="1268"/>
      <c r="UF1480" s="1268"/>
      <c r="UG1480" s="1268"/>
    </row>
    <row r="1481" spans="1:553" s="1262" customFormat="1" ht="19.149999999999999" customHeight="1">
      <c r="A1481" s="356" t="s">
        <v>15</v>
      </c>
      <c r="B1481" s="356"/>
      <c r="C1481" s="1586" t="s">
        <v>802</v>
      </c>
      <c r="D1481" s="1389"/>
      <c r="E1481" s="1389"/>
      <c r="F1481" s="1390"/>
      <c r="G1481" s="418" t="s">
        <v>48</v>
      </c>
      <c r="H1481" s="370"/>
      <c r="I1481" s="646">
        <v>3</v>
      </c>
      <c r="J1481" s="368">
        <v>219200</v>
      </c>
      <c r="K1481" s="565">
        <v>0.7</v>
      </c>
      <c r="L1481" s="571">
        <f t="shared" ref="L1481:L1493" si="223">ROUND(PRODUCT(I1481:K1481),0)</f>
        <v>460320</v>
      </c>
      <c r="M1481" s="356"/>
      <c r="N1481" s="356"/>
      <c r="O1481" s="356"/>
      <c r="P1481" s="356"/>
      <c r="Q1481" s="610"/>
      <c r="R1481" s="1452"/>
      <c r="S1481" s="308"/>
      <c r="T1481" s="308"/>
      <c r="U1481" s="308"/>
      <c r="V1481" s="308"/>
      <c r="W1481" s="308"/>
      <c r="X1481" s="308"/>
      <c r="Y1481" s="308"/>
      <c r="Z1481" s="604"/>
      <c r="AA1481" s="308"/>
      <c r="AB1481" s="308"/>
      <c r="AC1481" s="486"/>
      <c r="AD1481" s="486"/>
      <c r="AE1481" s="486"/>
      <c r="AF1481" s="486"/>
      <c r="AG1481" s="486"/>
      <c r="AH1481" s="486"/>
      <c r="AI1481" s="486"/>
      <c r="AJ1481" s="486"/>
      <c r="AK1481" s="486"/>
      <c r="AL1481" s="1267"/>
      <c r="AM1481" s="1268"/>
      <c r="AN1481" s="1268"/>
      <c r="AO1481" s="1268"/>
      <c r="AP1481" s="1268"/>
      <c r="AQ1481" s="1268"/>
      <c r="AR1481" s="1268"/>
      <c r="AS1481" s="1268"/>
      <c r="AT1481" s="1268"/>
      <c r="AU1481" s="1268"/>
      <c r="AV1481" s="1268"/>
      <c r="AW1481" s="1268"/>
      <c r="AX1481" s="1268"/>
      <c r="AY1481" s="1268"/>
      <c r="AZ1481" s="1268"/>
      <c r="BA1481" s="1268"/>
      <c r="BB1481" s="1268"/>
      <c r="BC1481" s="1268"/>
      <c r="BD1481" s="1268"/>
      <c r="BE1481" s="1268"/>
      <c r="BF1481" s="1268"/>
      <c r="BG1481" s="1268"/>
      <c r="BH1481" s="1268"/>
      <c r="BI1481" s="1268"/>
      <c r="BJ1481" s="1268"/>
      <c r="BK1481" s="1268"/>
      <c r="BL1481" s="1268"/>
      <c r="BM1481" s="1268"/>
      <c r="BN1481" s="1268"/>
      <c r="BO1481" s="1268"/>
      <c r="BP1481" s="1268"/>
      <c r="BQ1481" s="1268"/>
      <c r="BR1481" s="1268"/>
      <c r="BS1481" s="1268"/>
      <c r="BT1481" s="1268"/>
      <c r="BU1481" s="1268"/>
      <c r="BV1481" s="1268"/>
      <c r="BW1481" s="1268"/>
      <c r="BX1481" s="1268"/>
      <c r="BY1481" s="1268"/>
      <c r="BZ1481" s="1268"/>
      <c r="CA1481" s="1268"/>
      <c r="CB1481" s="1268"/>
      <c r="CC1481" s="1268"/>
      <c r="CD1481" s="1268"/>
      <c r="CE1481" s="1268"/>
      <c r="CF1481" s="1268"/>
      <c r="CG1481" s="1268"/>
      <c r="CH1481" s="1268"/>
      <c r="CI1481" s="1268"/>
      <c r="CJ1481" s="1268"/>
      <c r="CK1481" s="1268"/>
      <c r="CL1481" s="1268"/>
      <c r="CM1481" s="1268"/>
      <c r="CN1481" s="1268"/>
      <c r="CO1481" s="1268"/>
      <c r="CP1481" s="1268"/>
      <c r="CQ1481" s="1268"/>
      <c r="CR1481" s="1268"/>
      <c r="CS1481" s="1268"/>
      <c r="CT1481" s="1268"/>
      <c r="CU1481" s="1268"/>
      <c r="CV1481" s="1268"/>
      <c r="CW1481" s="1268"/>
      <c r="CX1481" s="1268"/>
      <c r="CY1481" s="1268"/>
      <c r="CZ1481" s="1268"/>
      <c r="DA1481" s="1268"/>
      <c r="DB1481" s="1268"/>
      <c r="DC1481" s="1268"/>
      <c r="DD1481" s="1268"/>
      <c r="DE1481" s="1268"/>
      <c r="DF1481" s="1268"/>
      <c r="DG1481" s="1268"/>
      <c r="DH1481" s="1268"/>
      <c r="DI1481" s="1268"/>
      <c r="DJ1481" s="1268"/>
      <c r="DK1481" s="1268"/>
      <c r="DL1481" s="1268"/>
      <c r="DM1481" s="1268"/>
      <c r="DN1481" s="1268"/>
      <c r="DO1481" s="1268"/>
      <c r="DP1481" s="1268"/>
      <c r="DQ1481" s="1268"/>
      <c r="DR1481" s="1268"/>
      <c r="DS1481" s="1268"/>
      <c r="DT1481" s="1268"/>
      <c r="DU1481" s="1268"/>
      <c r="DV1481" s="1268"/>
      <c r="DW1481" s="1268"/>
      <c r="DX1481" s="1268"/>
      <c r="DY1481" s="1268"/>
      <c r="DZ1481" s="1268"/>
      <c r="EA1481" s="1268"/>
      <c r="EB1481" s="1268"/>
      <c r="EC1481" s="1268"/>
      <c r="ED1481" s="1268"/>
      <c r="EE1481" s="1268"/>
      <c r="EF1481" s="1268"/>
      <c r="EG1481" s="1268"/>
      <c r="EH1481" s="1268"/>
      <c r="EI1481" s="1268"/>
      <c r="EJ1481" s="1268"/>
      <c r="EK1481" s="1268"/>
      <c r="EL1481" s="1268"/>
      <c r="EM1481" s="1268"/>
      <c r="EN1481" s="1268"/>
      <c r="EO1481" s="1268"/>
      <c r="EP1481" s="1268"/>
      <c r="EQ1481" s="1268"/>
      <c r="ER1481" s="1268"/>
      <c r="ES1481" s="1268"/>
      <c r="ET1481" s="1268"/>
      <c r="EU1481" s="1268"/>
      <c r="EV1481" s="1268"/>
      <c r="EW1481" s="1268"/>
      <c r="EX1481" s="1268"/>
      <c r="EY1481" s="1268"/>
      <c r="EZ1481" s="1268"/>
      <c r="FA1481" s="1268"/>
      <c r="FB1481" s="1268"/>
      <c r="FC1481" s="1268"/>
      <c r="FD1481" s="1268"/>
      <c r="FE1481" s="1268"/>
      <c r="FF1481" s="1268"/>
      <c r="FG1481" s="1268"/>
      <c r="FH1481" s="1268"/>
      <c r="FI1481" s="1268"/>
      <c r="FJ1481" s="1268"/>
      <c r="FK1481" s="1268"/>
      <c r="FL1481" s="1268"/>
      <c r="FM1481" s="1268"/>
      <c r="FN1481" s="1268"/>
      <c r="FO1481" s="1268"/>
      <c r="FP1481" s="1268"/>
      <c r="FQ1481" s="1268"/>
      <c r="FR1481" s="1268"/>
      <c r="FS1481" s="1268"/>
      <c r="FT1481" s="1268"/>
      <c r="FU1481" s="1268"/>
      <c r="FV1481" s="1268"/>
      <c r="FW1481" s="1268"/>
      <c r="FX1481" s="1268"/>
      <c r="FY1481" s="1268"/>
      <c r="FZ1481" s="1268"/>
      <c r="GA1481" s="1268"/>
      <c r="GB1481" s="1268"/>
      <c r="GC1481" s="1268"/>
      <c r="GD1481" s="1268"/>
      <c r="GE1481" s="1268"/>
      <c r="GF1481" s="1268"/>
      <c r="GG1481" s="1268"/>
      <c r="GH1481" s="1268"/>
      <c r="GI1481" s="1268"/>
      <c r="GJ1481" s="1268"/>
      <c r="GK1481" s="1268"/>
      <c r="GL1481" s="1268"/>
      <c r="GM1481" s="1268"/>
      <c r="GN1481" s="1268"/>
      <c r="GO1481" s="1268"/>
      <c r="GP1481" s="1268"/>
      <c r="GQ1481" s="1268"/>
      <c r="GR1481" s="1268"/>
      <c r="GS1481" s="1268"/>
      <c r="GT1481" s="1268"/>
      <c r="GU1481" s="1268"/>
      <c r="GV1481" s="1268"/>
      <c r="GW1481" s="1268"/>
      <c r="GX1481" s="1268"/>
      <c r="GY1481" s="1268"/>
      <c r="GZ1481" s="1268"/>
      <c r="HA1481" s="1268"/>
      <c r="HB1481" s="1268"/>
      <c r="HC1481" s="1268"/>
      <c r="HD1481" s="1268"/>
      <c r="HE1481" s="1268"/>
      <c r="HF1481" s="1268"/>
      <c r="HG1481" s="1268"/>
      <c r="HH1481" s="1268"/>
      <c r="HI1481" s="1268"/>
      <c r="HJ1481" s="1268"/>
      <c r="HK1481" s="1268"/>
      <c r="HL1481" s="1268"/>
      <c r="HM1481" s="1268"/>
      <c r="HN1481" s="1268"/>
      <c r="HO1481" s="1268"/>
      <c r="HP1481" s="1268"/>
      <c r="HQ1481" s="1268"/>
      <c r="HR1481" s="1268"/>
      <c r="HS1481" s="1268"/>
      <c r="HT1481" s="1268"/>
      <c r="HU1481" s="1268"/>
      <c r="HV1481" s="1268"/>
      <c r="HW1481" s="1268"/>
      <c r="HX1481" s="1268"/>
      <c r="HY1481" s="1268"/>
      <c r="HZ1481" s="1268"/>
      <c r="IA1481" s="1268"/>
      <c r="IB1481" s="1268"/>
      <c r="IC1481" s="1268"/>
      <c r="ID1481" s="1268"/>
      <c r="IE1481" s="1268"/>
      <c r="IF1481" s="1268"/>
      <c r="IG1481" s="1268"/>
      <c r="IH1481" s="1268"/>
      <c r="II1481" s="1268"/>
      <c r="IJ1481" s="1268"/>
      <c r="IK1481" s="1268"/>
      <c r="IL1481" s="1268"/>
      <c r="IM1481" s="1268"/>
      <c r="IN1481" s="1268"/>
      <c r="IO1481" s="1268"/>
      <c r="IP1481" s="1268"/>
      <c r="IQ1481" s="1268"/>
      <c r="IR1481" s="1268"/>
      <c r="IS1481" s="1268"/>
      <c r="IT1481" s="1268"/>
      <c r="IU1481" s="1268"/>
      <c r="IV1481" s="1268"/>
      <c r="IW1481" s="1268"/>
      <c r="IX1481" s="1268"/>
      <c r="IY1481" s="1268"/>
      <c r="IZ1481" s="1268"/>
      <c r="JA1481" s="1268"/>
      <c r="JB1481" s="1268"/>
      <c r="JC1481" s="1268"/>
      <c r="JD1481" s="1268"/>
      <c r="JE1481" s="1268"/>
      <c r="JF1481" s="1268"/>
      <c r="JG1481" s="1268"/>
      <c r="JH1481" s="1268"/>
      <c r="JI1481" s="1268"/>
      <c r="JJ1481" s="1268"/>
      <c r="JK1481" s="1268"/>
      <c r="JL1481" s="1268"/>
      <c r="JM1481" s="1268"/>
      <c r="JN1481" s="1268"/>
      <c r="JO1481" s="1268"/>
      <c r="JP1481" s="1268"/>
      <c r="JQ1481" s="1268"/>
      <c r="JR1481" s="1268"/>
      <c r="JS1481" s="1268"/>
      <c r="JT1481" s="1268"/>
      <c r="JU1481" s="1268"/>
      <c r="JV1481" s="1268"/>
      <c r="JW1481" s="1268"/>
      <c r="JX1481" s="1268"/>
      <c r="JY1481" s="1268"/>
      <c r="JZ1481" s="1268"/>
      <c r="KA1481" s="1268"/>
      <c r="KB1481" s="1268"/>
      <c r="KC1481" s="1268"/>
      <c r="KD1481" s="1268"/>
      <c r="KE1481" s="1268"/>
      <c r="KF1481" s="1268"/>
      <c r="KG1481" s="1268"/>
      <c r="KH1481" s="1268"/>
      <c r="KI1481" s="1268"/>
      <c r="KJ1481" s="1268"/>
      <c r="KK1481" s="1268"/>
      <c r="KL1481" s="1268"/>
      <c r="KM1481" s="1268"/>
      <c r="KN1481" s="1268"/>
      <c r="KO1481" s="1268"/>
      <c r="KP1481" s="1268"/>
      <c r="KQ1481" s="1268"/>
      <c r="KR1481" s="1268"/>
      <c r="KS1481" s="1268"/>
      <c r="KT1481" s="1268"/>
      <c r="KU1481" s="1268"/>
      <c r="KV1481" s="1268"/>
      <c r="KW1481" s="1268"/>
      <c r="KX1481" s="1268"/>
      <c r="KY1481" s="1268"/>
      <c r="KZ1481" s="1268"/>
      <c r="LA1481" s="1268"/>
      <c r="LB1481" s="1268"/>
      <c r="LC1481" s="1268"/>
      <c r="LD1481" s="1268"/>
      <c r="LE1481" s="1268"/>
      <c r="LF1481" s="1268"/>
      <c r="LG1481" s="1268"/>
      <c r="LH1481" s="1268"/>
      <c r="LI1481" s="1268"/>
      <c r="LJ1481" s="1268"/>
      <c r="LK1481" s="1268"/>
      <c r="LL1481" s="1268"/>
      <c r="LM1481" s="1268"/>
      <c r="LN1481" s="1268"/>
      <c r="LO1481" s="1268"/>
      <c r="LP1481" s="1268"/>
      <c r="LQ1481" s="1268"/>
      <c r="LR1481" s="1268"/>
      <c r="LS1481" s="1268"/>
      <c r="LT1481" s="1268"/>
      <c r="LU1481" s="1268"/>
      <c r="LV1481" s="1268"/>
      <c r="LW1481" s="1268"/>
      <c r="LX1481" s="1268"/>
      <c r="LY1481" s="1268"/>
      <c r="LZ1481" s="1268"/>
      <c r="MA1481" s="1268"/>
      <c r="MB1481" s="1268"/>
      <c r="MC1481" s="1268"/>
      <c r="MD1481" s="1268"/>
      <c r="ME1481" s="1268"/>
      <c r="MF1481" s="1268"/>
      <c r="MG1481" s="1268"/>
      <c r="MH1481" s="1268"/>
      <c r="MI1481" s="1268"/>
      <c r="MJ1481" s="1268"/>
      <c r="MK1481" s="1268"/>
      <c r="ML1481" s="1268"/>
      <c r="MM1481" s="1268"/>
      <c r="MN1481" s="1268"/>
      <c r="MO1481" s="1268"/>
      <c r="MP1481" s="1268"/>
      <c r="MQ1481" s="1268"/>
      <c r="MR1481" s="1268"/>
      <c r="MS1481" s="1268"/>
      <c r="MT1481" s="1268"/>
      <c r="MU1481" s="1268"/>
      <c r="MV1481" s="1268"/>
      <c r="MW1481" s="1268"/>
      <c r="MX1481" s="1268"/>
      <c r="MY1481" s="1268"/>
      <c r="MZ1481" s="1268"/>
      <c r="NA1481" s="1268"/>
      <c r="NB1481" s="1268"/>
      <c r="NC1481" s="1268"/>
      <c r="ND1481" s="1268"/>
      <c r="NE1481" s="1268"/>
      <c r="NF1481" s="1268"/>
      <c r="NG1481" s="1268"/>
      <c r="NH1481" s="1268"/>
      <c r="NI1481" s="1268"/>
      <c r="NJ1481" s="1268"/>
      <c r="NK1481" s="1268"/>
      <c r="NL1481" s="1268"/>
      <c r="NM1481" s="1268"/>
      <c r="NN1481" s="1268"/>
      <c r="NO1481" s="1268"/>
      <c r="NP1481" s="1268"/>
      <c r="NQ1481" s="1268"/>
      <c r="NR1481" s="1268"/>
      <c r="NS1481" s="1268"/>
      <c r="NT1481" s="1268"/>
      <c r="NU1481" s="1268"/>
      <c r="NV1481" s="1268"/>
      <c r="NW1481" s="1268"/>
      <c r="NX1481" s="1268"/>
      <c r="NY1481" s="1268"/>
      <c r="NZ1481" s="1268"/>
      <c r="OA1481" s="1268"/>
      <c r="OB1481" s="1268"/>
      <c r="OC1481" s="1268"/>
      <c r="OD1481" s="1268"/>
      <c r="OE1481" s="1268"/>
      <c r="OF1481" s="1268"/>
      <c r="OG1481" s="1268"/>
      <c r="OH1481" s="1268"/>
      <c r="OI1481" s="1268"/>
      <c r="OJ1481" s="1268"/>
      <c r="OK1481" s="1268"/>
      <c r="OL1481" s="1268"/>
      <c r="OM1481" s="1268"/>
      <c r="ON1481" s="1268"/>
      <c r="OO1481" s="1268"/>
      <c r="OP1481" s="1268"/>
      <c r="OQ1481" s="1268"/>
      <c r="OR1481" s="1268"/>
      <c r="OS1481" s="1268"/>
      <c r="OT1481" s="1268"/>
      <c r="OU1481" s="1268"/>
      <c r="OV1481" s="1268"/>
      <c r="OW1481" s="1268"/>
      <c r="OX1481" s="1268"/>
      <c r="OY1481" s="1268"/>
      <c r="OZ1481" s="1268"/>
      <c r="PA1481" s="1268"/>
      <c r="PB1481" s="1268"/>
      <c r="PC1481" s="1268"/>
      <c r="PD1481" s="1268"/>
      <c r="PE1481" s="1268"/>
      <c r="PF1481" s="1268"/>
      <c r="PG1481" s="1268"/>
      <c r="PH1481" s="1268"/>
      <c r="PI1481" s="1268"/>
      <c r="PJ1481" s="1268"/>
      <c r="PK1481" s="1268"/>
      <c r="PL1481" s="1268"/>
      <c r="PM1481" s="1268"/>
      <c r="PN1481" s="1268"/>
      <c r="PO1481" s="1268"/>
      <c r="PP1481" s="1268"/>
      <c r="PQ1481" s="1268"/>
      <c r="PR1481" s="1268"/>
      <c r="PS1481" s="1268"/>
      <c r="PT1481" s="1268"/>
      <c r="PU1481" s="1268"/>
      <c r="PV1481" s="1268"/>
      <c r="PW1481" s="1268"/>
      <c r="PX1481" s="1268"/>
      <c r="PY1481" s="1268"/>
      <c r="PZ1481" s="1268"/>
      <c r="QA1481" s="1268"/>
      <c r="QB1481" s="1268"/>
      <c r="QC1481" s="1268"/>
      <c r="QD1481" s="1268"/>
      <c r="QE1481" s="1268"/>
      <c r="QF1481" s="1268"/>
      <c r="QG1481" s="1268"/>
      <c r="QH1481" s="1268"/>
      <c r="QI1481" s="1268"/>
      <c r="QJ1481" s="1268"/>
      <c r="QK1481" s="1268"/>
      <c r="QL1481" s="1268"/>
      <c r="QM1481" s="1268"/>
      <c r="QN1481" s="1268"/>
      <c r="QO1481" s="1268"/>
      <c r="QP1481" s="1268"/>
      <c r="QQ1481" s="1268"/>
      <c r="QR1481" s="1268"/>
      <c r="QS1481" s="1268"/>
      <c r="QT1481" s="1268"/>
      <c r="QU1481" s="1268"/>
      <c r="QV1481" s="1268"/>
      <c r="QW1481" s="1268"/>
      <c r="QX1481" s="1268"/>
      <c r="QY1481" s="1268"/>
      <c r="QZ1481" s="1268"/>
      <c r="RA1481" s="1268"/>
      <c r="RB1481" s="1268"/>
      <c r="RC1481" s="1268"/>
      <c r="RD1481" s="1268"/>
      <c r="RE1481" s="1268"/>
      <c r="RF1481" s="1268"/>
      <c r="RG1481" s="1268"/>
      <c r="RH1481" s="1268"/>
      <c r="RI1481" s="1268"/>
      <c r="RJ1481" s="1268"/>
      <c r="RK1481" s="1268"/>
      <c r="RL1481" s="1268"/>
      <c r="RM1481" s="1268"/>
      <c r="RN1481" s="1268"/>
      <c r="RO1481" s="1268"/>
      <c r="RP1481" s="1268"/>
      <c r="RQ1481" s="1268"/>
      <c r="RR1481" s="1268"/>
      <c r="RS1481" s="1268"/>
      <c r="RT1481" s="1268"/>
      <c r="RU1481" s="1268"/>
      <c r="RV1481" s="1268"/>
      <c r="RW1481" s="1268"/>
      <c r="RX1481" s="1268"/>
      <c r="RY1481" s="1268"/>
      <c r="RZ1481" s="1268"/>
      <c r="SA1481" s="1268"/>
      <c r="SB1481" s="1268"/>
      <c r="SC1481" s="1268"/>
      <c r="SD1481" s="1268"/>
      <c r="SE1481" s="1268"/>
      <c r="SF1481" s="1268"/>
      <c r="SG1481" s="1268"/>
      <c r="SH1481" s="1268"/>
      <c r="SI1481" s="1268"/>
      <c r="SJ1481" s="1268"/>
      <c r="SK1481" s="1268"/>
      <c r="SL1481" s="1268"/>
      <c r="SM1481" s="1268"/>
      <c r="SN1481" s="1268"/>
      <c r="SO1481" s="1268"/>
      <c r="SP1481" s="1268"/>
      <c r="SQ1481" s="1268"/>
      <c r="SR1481" s="1268"/>
      <c r="SS1481" s="1268"/>
      <c r="ST1481" s="1268"/>
      <c r="SU1481" s="1268"/>
      <c r="SV1481" s="1268"/>
      <c r="SW1481" s="1268"/>
      <c r="SX1481" s="1268"/>
      <c r="SY1481" s="1268"/>
      <c r="SZ1481" s="1268"/>
      <c r="TA1481" s="1268"/>
      <c r="TB1481" s="1268"/>
      <c r="TC1481" s="1268"/>
      <c r="TD1481" s="1268"/>
      <c r="TE1481" s="1268"/>
      <c r="TF1481" s="1268"/>
      <c r="TG1481" s="1268"/>
      <c r="TH1481" s="1268"/>
      <c r="TI1481" s="1268"/>
      <c r="TJ1481" s="1268"/>
      <c r="TK1481" s="1268"/>
      <c r="TL1481" s="1268"/>
      <c r="TM1481" s="1268"/>
      <c r="TN1481" s="1268"/>
      <c r="TO1481" s="1268"/>
      <c r="TP1481" s="1268"/>
      <c r="TQ1481" s="1268"/>
      <c r="TR1481" s="1268"/>
      <c r="TS1481" s="1268"/>
      <c r="TT1481" s="1268"/>
      <c r="TU1481" s="1268"/>
      <c r="TV1481" s="1268"/>
      <c r="TW1481" s="1268"/>
      <c r="TX1481" s="1268"/>
      <c r="TY1481" s="1268"/>
      <c r="TZ1481" s="1268"/>
      <c r="UA1481" s="1268"/>
      <c r="UB1481" s="1268"/>
      <c r="UC1481" s="1268"/>
      <c r="UD1481" s="1268"/>
      <c r="UE1481" s="1268"/>
      <c r="UF1481" s="1268"/>
      <c r="UG1481" s="1268"/>
    </row>
    <row r="1482" spans="1:553" s="1262" customFormat="1" ht="19.149999999999999" customHeight="1">
      <c r="A1482" s="356" t="s">
        <v>15</v>
      </c>
      <c r="B1482" s="356"/>
      <c r="C1482" s="1586" t="s">
        <v>803</v>
      </c>
      <c r="D1482" s="1389"/>
      <c r="E1482" s="1389"/>
      <c r="F1482" s="1390"/>
      <c r="G1482" s="418" t="s">
        <v>46</v>
      </c>
      <c r="H1482" s="370"/>
      <c r="I1482" s="646">
        <f>(82.5*100/500)*(17-(8-3)*1)</f>
        <v>198</v>
      </c>
      <c r="J1482" s="368">
        <v>10800</v>
      </c>
      <c r="K1482" s="565">
        <v>0.7</v>
      </c>
      <c r="L1482" s="571">
        <f>ROUND(PRODUCT(I1482:K1482),0)</f>
        <v>1496880</v>
      </c>
      <c r="M1482" s="356"/>
      <c r="N1482" s="356"/>
      <c r="O1482" s="356"/>
      <c r="P1482" s="356"/>
      <c r="Q1482" s="610"/>
      <c r="R1482" s="1452"/>
      <c r="S1482" s="308"/>
      <c r="T1482" s="308"/>
      <c r="U1482" s="308"/>
      <c r="V1482" s="308"/>
      <c r="W1482" s="308"/>
      <c r="X1482" s="308"/>
      <c r="Y1482" s="308"/>
      <c r="Z1482" s="604"/>
      <c r="AA1482" s="308"/>
      <c r="AB1482" s="308"/>
      <c r="AC1482" s="486"/>
      <c r="AD1482" s="486"/>
      <c r="AE1482" s="486"/>
      <c r="AF1482" s="486"/>
      <c r="AG1482" s="486"/>
      <c r="AH1482" s="486"/>
      <c r="AI1482" s="486"/>
      <c r="AJ1482" s="486"/>
      <c r="AK1482" s="486"/>
      <c r="AL1482" s="1267"/>
      <c r="AM1482" s="1268"/>
      <c r="AN1482" s="1268"/>
      <c r="AO1482" s="1268"/>
      <c r="AP1482" s="1268"/>
      <c r="AQ1482" s="1268"/>
      <c r="AR1482" s="1268"/>
      <c r="AS1482" s="1268"/>
      <c r="AT1482" s="1268"/>
      <c r="AU1482" s="1268"/>
      <c r="AV1482" s="1268"/>
      <c r="AW1482" s="1268"/>
      <c r="AX1482" s="1268"/>
      <c r="AY1482" s="1268"/>
      <c r="AZ1482" s="1268"/>
      <c r="BA1482" s="1268"/>
      <c r="BB1482" s="1268"/>
      <c r="BC1482" s="1268"/>
      <c r="BD1482" s="1268"/>
      <c r="BE1482" s="1268"/>
      <c r="BF1482" s="1268"/>
      <c r="BG1482" s="1268"/>
      <c r="BH1482" s="1268"/>
      <c r="BI1482" s="1268"/>
      <c r="BJ1482" s="1268"/>
      <c r="BK1482" s="1268"/>
      <c r="BL1482" s="1268"/>
      <c r="BM1482" s="1268"/>
      <c r="BN1482" s="1268"/>
      <c r="BO1482" s="1268"/>
      <c r="BP1482" s="1268"/>
      <c r="BQ1482" s="1268"/>
      <c r="BR1482" s="1268"/>
      <c r="BS1482" s="1268"/>
      <c r="BT1482" s="1268"/>
      <c r="BU1482" s="1268"/>
      <c r="BV1482" s="1268"/>
      <c r="BW1482" s="1268"/>
      <c r="BX1482" s="1268"/>
      <c r="BY1482" s="1268"/>
      <c r="BZ1482" s="1268"/>
      <c r="CA1482" s="1268"/>
      <c r="CB1482" s="1268"/>
      <c r="CC1482" s="1268"/>
      <c r="CD1482" s="1268"/>
      <c r="CE1482" s="1268"/>
      <c r="CF1482" s="1268"/>
      <c r="CG1482" s="1268"/>
      <c r="CH1482" s="1268"/>
      <c r="CI1482" s="1268"/>
      <c r="CJ1482" s="1268"/>
      <c r="CK1482" s="1268"/>
      <c r="CL1482" s="1268"/>
      <c r="CM1482" s="1268"/>
      <c r="CN1482" s="1268"/>
      <c r="CO1482" s="1268"/>
      <c r="CP1482" s="1268"/>
      <c r="CQ1482" s="1268"/>
      <c r="CR1482" s="1268"/>
      <c r="CS1482" s="1268"/>
      <c r="CT1482" s="1268"/>
      <c r="CU1482" s="1268"/>
      <c r="CV1482" s="1268"/>
      <c r="CW1482" s="1268"/>
      <c r="CX1482" s="1268"/>
      <c r="CY1482" s="1268"/>
      <c r="CZ1482" s="1268"/>
      <c r="DA1482" s="1268"/>
      <c r="DB1482" s="1268"/>
      <c r="DC1482" s="1268"/>
      <c r="DD1482" s="1268"/>
      <c r="DE1482" s="1268"/>
      <c r="DF1482" s="1268"/>
      <c r="DG1482" s="1268"/>
      <c r="DH1482" s="1268"/>
      <c r="DI1482" s="1268"/>
      <c r="DJ1482" s="1268"/>
      <c r="DK1482" s="1268"/>
      <c r="DL1482" s="1268"/>
      <c r="DM1482" s="1268"/>
      <c r="DN1482" s="1268"/>
      <c r="DO1482" s="1268"/>
      <c r="DP1482" s="1268"/>
      <c r="DQ1482" s="1268"/>
      <c r="DR1482" s="1268"/>
      <c r="DS1482" s="1268"/>
      <c r="DT1482" s="1268"/>
      <c r="DU1482" s="1268"/>
      <c r="DV1482" s="1268"/>
      <c r="DW1482" s="1268"/>
      <c r="DX1482" s="1268"/>
      <c r="DY1482" s="1268"/>
      <c r="DZ1482" s="1268"/>
      <c r="EA1482" s="1268"/>
      <c r="EB1482" s="1268"/>
      <c r="EC1482" s="1268"/>
      <c r="ED1482" s="1268"/>
      <c r="EE1482" s="1268"/>
      <c r="EF1482" s="1268"/>
      <c r="EG1482" s="1268"/>
      <c r="EH1482" s="1268"/>
      <c r="EI1482" s="1268"/>
      <c r="EJ1482" s="1268"/>
      <c r="EK1482" s="1268"/>
      <c r="EL1482" s="1268"/>
      <c r="EM1482" s="1268"/>
      <c r="EN1482" s="1268"/>
      <c r="EO1482" s="1268"/>
      <c r="EP1482" s="1268"/>
      <c r="EQ1482" s="1268"/>
      <c r="ER1482" s="1268"/>
      <c r="ES1482" s="1268"/>
      <c r="ET1482" s="1268"/>
      <c r="EU1482" s="1268"/>
      <c r="EV1482" s="1268"/>
      <c r="EW1482" s="1268"/>
      <c r="EX1482" s="1268"/>
      <c r="EY1482" s="1268"/>
      <c r="EZ1482" s="1268"/>
      <c r="FA1482" s="1268"/>
      <c r="FB1482" s="1268"/>
      <c r="FC1482" s="1268"/>
      <c r="FD1482" s="1268"/>
      <c r="FE1482" s="1268"/>
      <c r="FF1482" s="1268"/>
      <c r="FG1482" s="1268"/>
      <c r="FH1482" s="1268"/>
      <c r="FI1482" s="1268"/>
      <c r="FJ1482" s="1268"/>
      <c r="FK1482" s="1268"/>
      <c r="FL1482" s="1268"/>
      <c r="FM1482" s="1268"/>
      <c r="FN1482" s="1268"/>
      <c r="FO1482" s="1268"/>
      <c r="FP1482" s="1268"/>
      <c r="FQ1482" s="1268"/>
      <c r="FR1482" s="1268"/>
      <c r="FS1482" s="1268"/>
      <c r="FT1482" s="1268"/>
      <c r="FU1482" s="1268"/>
      <c r="FV1482" s="1268"/>
      <c r="FW1482" s="1268"/>
      <c r="FX1482" s="1268"/>
      <c r="FY1482" s="1268"/>
      <c r="FZ1482" s="1268"/>
      <c r="GA1482" s="1268"/>
      <c r="GB1482" s="1268"/>
      <c r="GC1482" s="1268"/>
      <c r="GD1482" s="1268"/>
      <c r="GE1482" s="1268"/>
      <c r="GF1482" s="1268"/>
      <c r="GG1482" s="1268"/>
      <c r="GH1482" s="1268"/>
      <c r="GI1482" s="1268"/>
      <c r="GJ1482" s="1268"/>
      <c r="GK1482" s="1268"/>
      <c r="GL1482" s="1268"/>
      <c r="GM1482" s="1268"/>
      <c r="GN1482" s="1268"/>
      <c r="GO1482" s="1268"/>
      <c r="GP1482" s="1268"/>
      <c r="GQ1482" s="1268"/>
      <c r="GR1482" s="1268"/>
      <c r="GS1482" s="1268"/>
      <c r="GT1482" s="1268"/>
      <c r="GU1482" s="1268"/>
      <c r="GV1482" s="1268"/>
      <c r="GW1482" s="1268"/>
      <c r="GX1482" s="1268"/>
      <c r="GY1482" s="1268"/>
      <c r="GZ1482" s="1268"/>
      <c r="HA1482" s="1268"/>
      <c r="HB1482" s="1268"/>
      <c r="HC1482" s="1268"/>
      <c r="HD1482" s="1268"/>
      <c r="HE1482" s="1268"/>
      <c r="HF1482" s="1268"/>
      <c r="HG1482" s="1268"/>
      <c r="HH1482" s="1268"/>
      <c r="HI1482" s="1268"/>
      <c r="HJ1482" s="1268"/>
      <c r="HK1482" s="1268"/>
      <c r="HL1482" s="1268"/>
      <c r="HM1482" s="1268"/>
      <c r="HN1482" s="1268"/>
      <c r="HO1482" s="1268"/>
      <c r="HP1482" s="1268"/>
      <c r="HQ1482" s="1268"/>
      <c r="HR1482" s="1268"/>
      <c r="HS1482" s="1268"/>
      <c r="HT1482" s="1268"/>
      <c r="HU1482" s="1268"/>
      <c r="HV1482" s="1268"/>
      <c r="HW1482" s="1268"/>
      <c r="HX1482" s="1268"/>
      <c r="HY1482" s="1268"/>
      <c r="HZ1482" s="1268"/>
      <c r="IA1482" s="1268"/>
      <c r="IB1482" s="1268"/>
      <c r="IC1482" s="1268"/>
      <c r="ID1482" s="1268"/>
      <c r="IE1482" s="1268"/>
      <c r="IF1482" s="1268"/>
      <c r="IG1482" s="1268"/>
      <c r="IH1482" s="1268"/>
      <c r="II1482" s="1268"/>
      <c r="IJ1482" s="1268"/>
      <c r="IK1482" s="1268"/>
      <c r="IL1482" s="1268"/>
      <c r="IM1482" s="1268"/>
      <c r="IN1482" s="1268"/>
      <c r="IO1482" s="1268"/>
      <c r="IP1482" s="1268"/>
      <c r="IQ1482" s="1268"/>
      <c r="IR1482" s="1268"/>
      <c r="IS1482" s="1268"/>
      <c r="IT1482" s="1268"/>
      <c r="IU1482" s="1268"/>
      <c r="IV1482" s="1268"/>
      <c r="IW1482" s="1268"/>
      <c r="IX1482" s="1268"/>
      <c r="IY1482" s="1268"/>
      <c r="IZ1482" s="1268"/>
      <c r="JA1482" s="1268"/>
      <c r="JB1482" s="1268"/>
      <c r="JC1482" s="1268"/>
      <c r="JD1482" s="1268"/>
      <c r="JE1482" s="1268"/>
      <c r="JF1482" s="1268"/>
      <c r="JG1482" s="1268"/>
      <c r="JH1482" s="1268"/>
      <c r="JI1482" s="1268"/>
      <c r="JJ1482" s="1268"/>
      <c r="JK1482" s="1268"/>
      <c r="JL1482" s="1268"/>
      <c r="JM1482" s="1268"/>
      <c r="JN1482" s="1268"/>
      <c r="JO1482" s="1268"/>
      <c r="JP1482" s="1268"/>
      <c r="JQ1482" s="1268"/>
      <c r="JR1482" s="1268"/>
      <c r="JS1482" s="1268"/>
      <c r="JT1482" s="1268"/>
      <c r="JU1482" s="1268"/>
      <c r="JV1482" s="1268"/>
      <c r="JW1482" s="1268"/>
      <c r="JX1482" s="1268"/>
      <c r="JY1482" s="1268"/>
      <c r="JZ1482" s="1268"/>
      <c r="KA1482" s="1268"/>
      <c r="KB1482" s="1268"/>
      <c r="KC1482" s="1268"/>
      <c r="KD1482" s="1268"/>
      <c r="KE1482" s="1268"/>
      <c r="KF1482" s="1268"/>
      <c r="KG1482" s="1268"/>
      <c r="KH1482" s="1268"/>
      <c r="KI1482" s="1268"/>
      <c r="KJ1482" s="1268"/>
      <c r="KK1482" s="1268"/>
      <c r="KL1482" s="1268"/>
      <c r="KM1482" s="1268"/>
      <c r="KN1482" s="1268"/>
      <c r="KO1482" s="1268"/>
      <c r="KP1482" s="1268"/>
      <c r="KQ1482" s="1268"/>
      <c r="KR1482" s="1268"/>
      <c r="KS1482" s="1268"/>
      <c r="KT1482" s="1268"/>
      <c r="KU1482" s="1268"/>
      <c r="KV1482" s="1268"/>
      <c r="KW1482" s="1268"/>
      <c r="KX1482" s="1268"/>
      <c r="KY1482" s="1268"/>
      <c r="KZ1482" s="1268"/>
      <c r="LA1482" s="1268"/>
      <c r="LB1482" s="1268"/>
      <c r="LC1482" s="1268"/>
      <c r="LD1482" s="1268"/>
      <c r="LE1482" s="1268"/>
      <c r="LF1482" s="1268"/>
      <c r="LG1482" s="1268"/>
      <c r="LH1482" s="1268"/>
      <c r="LI1482" s="1268"/>
      <c r="LJ1482" s="1268"/>
      <c r="LK1482" s="1268"/>
      <c r="LL1482" s="1268"/>
      <c r="LM1482" s="1268"/>
      <c r="LN1482" s="1268"/>
      <c r="LO1482" s="1268"/>
      <c r="LP1482" s="1268"/>
      <c r="LQ1482" s="1268"/>
      <c r="LR1482" s="1268"/>
      <c r="LS1482" s="1268"/>
      <c r="LT1482" s="1268"/>
      <c r="LU1482" s="1268"/>
      <c r="LV1482" s="1268"/>
      <c r="LW1482" s="1268"/>
      <c r="LX1482" s="1268"/>
      <c r="LY1482" s="1268"/>
      <c r="LZ1482" s="1268"/>
      <c r="MA1482" s="1268"/>
      <c r="MB1482" s="1268"/>
      <c r="MC1482" s="1268"/>
      <c r="MD1482" s="1268"/>
      <c r="ME1482" s="1268"/>
      <c r="MF1482" s="1268"/>
      <c r="MG1482" s="1268"/>
      <c r="MH1482" s="1268"/>
      <c r="MI1482" s="1268"/>
      <c r="MJ1482" s="1268"/>
      <c r="MK1482" s="1268"/>
      <c r="ML1482" s="1268"/>
      <c r="MM1482" s="1268"/>
      <c r="MN1482" s="1268"/>
      <c r="MO1482" s="1268"/>
      <c r="MP1482" s="1268"/>
      <c r="MQ1482" s="1268"/>
      <c r="MR1482" s="1268"/>
      <c r="MS1482" s="1268"/>
      <c r="MT1482" s="1268"/>
      <c r="MU1482" s="1268"/>
      <c r="MV1482" s="1268"/>
      <c r="MW1482" s="1268"/>
      <c r="MX1482" s="1268"/>
      <c r="MY1482" s="1268"/>
      <c r="MZ1482" s="1268"/>
      <c r="NA1482" s="1268"/>
      <c r="NB1482" s="1268"/>
      <c r="NC1482" s="1268"/>
      <c r="ND1482" s="1268"/>
      <c r="NE1482" s="1268"/>
      <c r="NF1482" s="1268"/>
      <c r="NG1482" s="1268"/>
      <c r="NH1482" s="1268"/>
      <c r="NI1482" s="1268"/>
      <c r="NJ1482" s="1268"/>
      <c r="NK1482" s="1268"/>
      <c r="NL1482" s="1268"/>
      <c r="NM1482" s="1268"/>
      <c r="NN1482" s="1268"/>
      <c r="NO1482" s="1268"/>
      <c r="NP1482" s="1268"/>
      <c r="NQ1482" s="1268"/>
      <c r="NR1482" s="1268"/>
      <c r="NS1482" s="1268"/>
      <c r="NT1482" s="1268"/>
      <c r="NU1482" s="1268"/>
      <c r="NV1482" s="1268"/>
      <c r="NW1482" s="1268"/>
      <c r="NX1482" s="1268"/>
      <c r="NY1482" s="1268"/>
      <c r="NZ1482" s="1268"/>
      <c r="OA1482" s="1268"/>
      <c r="OB1482" s="1268"/>
      <c r="OC1482" s="1268"/>
      <c r="OD1482" s="1268"/>
      <c r="OE1482" s="1268"/>
      <c r="OF1482" s="1268"/>
      <c r="OG1482" s="1268"/>
      <c r="OH1482" s="1268"/>
      <c r="OI1482" s="1268"/>
      <c r="OJ1482" s="1268"/>
      <c r="OK1482" s="1268"/>
      <c r="OL1482" s="1268"/>
      <c r="OM1482" s="1268"/>
      <c r="ON1482" s="1268"/>
      <c r="OO1482" s="1268"/>
      <c r="OP1482" s="1268"/>
      <c r="OQ1482" s="1268"/>
      <c r="OR1482" s="1268"/>
      <c r="OS1482" s="1268"/>
      <c r="OT1482" s="1268"/>
      <c r="OU1482" s="1268"/>
      <c r="OV1482" s="1268"/>
      <c r="OW1482" s="1268"/>
      <c r="OX1482" s="1268"/>
      <c r="OY1482" s="1268"/>
      <c r="OZ1482" s="1268"/>
      <c r="PA1482" s="1268"/>
      <c r="PB1482" s="1268"/>
      <c r="PC1482" s="1268"/>
      <c r="PD1482" s="1268"/>
      <c r="PE1482" s="1268"/>
      <c r="PF1482" s="1268"/>
      <c r="PG1482" s="1268"/>
      <c r="PH1482" s="1268"/>
      <c r="PI1482" s="1268"/>
      <c r="PJ1482" s="1268"/>
      <c r="PK1482" s="1268"/>
      <c r="PL1482" s="1268"/>
      <c r="PM1482" s="1268"/>
      <c r="PN1482" s="1268"/>
      <c r="PO1482" s="1268"/>
      <c r="PP1482" s="1268"/>
      <c r="PQ1482" s="1268"/>
      <c r="PR1482" s="1268"/>
      <c r="PS1482" s="1268"/>
      <c r="PT1482" s="1268"/>
      <c r="PU1482" s="1268"/>
      <c r="PV1482" s="1268"/>
      <c r="PW1482" s="1268"/>
      <c r="PX1482" s="1268"/>
      <c r="PY1482" s="1268"/>
      <c r="PZ1482" s="1268"/>
      <c r="QA1482" s="1268"/>
      <c r="QB1482" s="1268"/>
      <c r="QC1482" s="1268"/>
      <c r="QD1482" s="1268"/>
      <c r="QE1482" s="1268"/>
      <c r="QF1482" s="1268"/>
      <c r="QG1482" s="1268"/>
      <c r="QH1482" s="1268"/>
      <c r="QI1482" s="1268"/>
      <c r="QJ1482" s="1268"/>
      <c r="QK1482" s="1268"/>
      <c r="QL1482" s="1268"/>
      <c r="QM1482" s="1268"/>
      <c r="QN1482" s="1268"/>
      <c r="QO1482" s="1268"/>
      <c r="QP1482" s="1268"/>
      <c r="QQ1482" s="1268"/>
      <c r="QR1482" s="1268"/>
      <c r="QS1482" s="1268"/>
      <c r="QT1482" s="1268"/>
      <c r="QU1482" s="1268"/>
      <c r="QV1482" s="1268"/>
      <c r="QW1482" s="1268"/>
      <c r="QX1482" s="1268"/>
      <c r="QY1482" s="1268"/>
      <c r="QZ1482" s="1268"/>
      <c r="RA1482" s="1268"/>
      <c r="RB1482" s="1268"/>
      <c r="RC1482" s="1268"/>
      <c r="RD1482" s="1268"/>
      <c r="RE1482" s="1268"/>
      <c r="RF1482" s="1268"/>
      <c r="RG1482" s="1268"/>
      <c r="RH1482" s="1268"/>
      <c r="RI1482" s="1268"/>
      <c r="RJ1482" s="1268"/>
      <c r="RK1482" s="1268"/>
      <c r="RL1482" s="1268"/>
      <c r="RM1482" s="1268"/>
      <c r="RN1482" s="1268"/>
      <c r="RO1482" s="1268"/>
      <c r="RP1482" s="1268"/>
      <c r="RQ1482" s="1268"/>
      <c r="RR1482" s="1268"/>
      <c r="RS1482" s="1268"/>
      <c r="RT1482" s="1268"/>
      <c r="RU1482" s="1268"/>
      <c r="RV1482" s="1268"/>
      <c r="RW1482" s="1268"/>
      <c r="RX1482" s="1268"/>
      <c r="RY1482" s="1268"/>
      <c r="RZ1482" s="1268"/>
      <c r="SA1482" s="1268"/>
      <c r="SB1482" s="1268"/>
      <c r="SC1482" s="1268"/>
      <c r="SD1482" s="1268"/>
      <c r="SE1482" s="1268"/>
      <c r="SF1482" s="1268"/>
      <c r="SG1482" s="1268"/>
      <c r="SH1482" s="1268"/>
      <c r="SI1482" s="1268"/>
      <c r="SJ1482" s="1268"/>
      <c r="SK1482" s="1268"/>
      <c r="SL1482" s="1268"/>
      <c r="SM1482" s="1268"/>
      <c r="SN1482" s="1268"/>
      <c r="SO1482" s="1268"/>
      <c r="SP1482" s="1268"/>
      <c r="SQ1482" s="1268"/>
      <c r="SR1482" s="1268"/>
      <c r="SS1482" s="1268"/>
      <c r="ST1482" s="1268"/>
      <c r="SU1482" s="1268"/>
      <c r="SV1482" s="1268"/>
      <c r="SW1482" s="1268"/>
      <c r="SX1482" s="1268"/>
      <c r="SY1482" s="1268"/>
      <c r="SZ1482" s="1268"/>
      <c r="TA1482" s="1268"/>
      <c r="TB1482" s="1268"/>
      <c r="TC1482" s="1268"/>
      <c r="TD1482" s="1268"/>
      <c r="TE1482" s="1268"/>
      <c r="TF1482" s="1268"/>
      <c r="TG1482" s="1268"/>
      <c r="TH1482" s="1268"/>
      <c r="TI1482" s="1268"/>
      <c r="TJ1482" s="1268"/>
      <c r="TK1482" s="1268"/>
      <c r="TL1482" s="1268"/>
      <c r="TM1482" s="1268"/>
      <c r="TN1482" s="1268"/>
      <c r="TO1482" s="1268"/>
      <c r="TP1482" s="1268"/>
      <c r="TQ1482" s="1268"/>
      <c r="TR1482" s="1268"/>
      <c r="TS1482" s="1268"/>
      <c r="TT1482" s="1268"/>
      <c r="TU1482" s="1268"/>
      <c r="TV1482" s="1268"/>
      <c r="TW1482" s="1268"/>
      <c r="TX1482" s="1268"/>
      <c r="TY1482" s="1268"/>
      <c r="TZ1482" s="1268"/>
      <c r="UA1482" s="1268"/>
      <c r="UB1482" s="1268"/>
      <c r="UC1482" s="1268"/>
      <c r="UD1482" s="1268"/>
      <c r="UE1482" s="1268"/>
      <c r="UF1482" s="1268"/>
      <c r="UG1482" s="1268"/>
    </row>
    <row r="1483" spans="1:553" s="1262" customFormat="1" ht="19.149999999999999" customHeight="1">
      <c r="A1483" s="356" t="s">
        <v>15</v>
      </c>
      <c r="B1483" s="356"/>
      <c r="C1483" s="1586" t="s">
        <v>804</v>
      </c>
      <c r="D1483" s="1389"/>
      <c r="E1483" s="1389"/>
      <c r="F1483" s="1390"/>
      <c r="G1483" s="418" t="s">
        <v>48</v>
      </c>
      <c r="H1483" s="370"/>
      <c r="I1483" s="422">
        <f>(54.93*100/500)*(17-(4-3))*1</f>
        <v>175.77600000000001</v>
      </c>
      <c r="J1483" s="368">
        <v>271100</v>
      </c>
      <c r="K1483" s="565">
        <v>0.7</v>
      </c>
      <c r="L1483" s="571">
        <f t="shared" si="223"/>
        <v>33357012</v>
      </c>
      <c r="M1483" s="356"/>
      <c r="N1483" s="356"/>
      <c r="O1483" s="356"/>
      <c r="P1483" s="356"/>
      <c r="Q1483" s="610"/>
      <c r="R1483" s="1452"/>
      <c r="S1483" s="308"/>
      <c r="T1483" s="308"/>
      <c r="U1483" s="308"/>
      <c r="V1483" s="308"/>
      <c r="W1483" s="308"/>
      <c r="X1483" s="308"/>
      <c r="Y1483" s="308"/>
      <c r="Z1483" s="604"/>
      <c r="AA1483" s="308"/>
      <c r="AB1483" s="308"/>
      <c r="AC1483" s="486"/>
      <c r="AD1483" s="486"/>
      <c r="AE1483" s="486"/>
      <c r="AF1483" s="486"/>
      <c r="AG1483" s="486"/>
      <c r="AH1483" s="486"/>
      <c r="AI1483" s="486"/>
      <c r="AJ1483" s="486"/>
      <c r="AK1483" s="486"/>
      <c r="AL1483" s="1267"/>
      <c r="AM1483" s="1268"/>
      <c r="AN1483" s="1268"/>
      <c r="AO1483" s="1268"/>
      <c r="AP1483" s="1268"/>
      <c r="AQ1483" s="1268"/>
      <c r="AR1483" s="1268"/>
      <c r="AS1483" s="1268"/>
      <c r="AT1483" s="1268"/>
      <c r="AU1483" s="1268"/>
      <c r="AV1483" s="1268"/>
      <c r="AW1483" s="1268"/>
      <c r="AX1483" s="1268"/>
      <c r="AY1483" s="1268"/>
      <c r="AZ1483" s="1268"/>
      <c r="BA1483" s="1268"/>
      <c r="BB1483" s="1268"/>
      <c r="BC1483" s="1268"/>
      <c r="BD1483" s="1268"/>
      <c r="BE1483" s="1268"/>
      <c r="BF1483" s="1268"/>
      <c r="BG1483" s="1268"/>
      <c r="BH1483" s="1268"/>
      <c r="BI1483" s="1268"/>
      <c r="BJ1483" s="1268"/>
      <c r="BK1483" s="1268"/>
      <c r="BL1483" s="1268"/>
      <c r="BM1483" s="1268"/>
      <c r="BN1483" s="1268"/>
      <c r="BO1483" s="1268"/>
      <c r="BP1483" s="1268"/>
      <c r="BQ1483" s="1268"/>
      <c r="BR1483" s="1268"/>
      <c r="BS1483" s="1268"/>
      <c r="BT1483" s="1268"/>
      <c r="BU1483" s="1268"/>
      <c r="BV1483" s="1268"/>
      <c r="BW1483" s="1268"/>
      <c r="BX1483" s="1268"/>
      <c r="BY1483" s="1268"/>
      <c r="BZ1483" s="1268"/>
      <c r="CA1483" s="1268"/>
      <c r="CB1483" s="1268"/>
      <c r="CC1483" s="1268"/>
      <c r="CD1483" s="1268"/>
      <c r="CE1483" s="1268"/>
      <c r="CF1483" s="1268"/>
      <c r="CG1483" s="1268"/>
      <c r="CH1483" s="1268"/>
      <c r="CI1483" s="1268"/>
      <c r="CJ1483" s="1268"/>
      <c r="CK1483" s="1268"/>
      <c r="CL1483" s="1268"/>
      <c r="CM1483" s="1268"/>
      <c r="CN1483" s="1268"/>
      <c r="CO1483" s="1268"/>
      <c r="CP1483" s="1268"/>
      <c r="CQ1483" s="1268"/>
      <c r="CR1483" s="1268"/>
      <c r="CS1483" s="1268"/>
      <c r="CT1483" s="1268"/>
      <c r="CU1483" s="1268"/>
      <c r="CV1483" s="1268"/>
      <c r="CW1483" s="1268"/>
      <c r="CX1483" s="1268"/>
      <c r="CY1483" s="1268"/>
      <c r="CZ1483" s="1268"/>
      <c r="DA1483" s="1268"/>
      <c r="DB1483" s="1268"/>
      <c r="DC1483" s="1268"/>
      <c r="DD1483" s="1268"/>
      <c r="DE1483" s="1268"/>
      <c r="DF1483" s="1268"/>
      <c r="DG1483" s="1268"/>
      <c r="DH1483" s="1268"/>
      <c r="DI1483" s="1268"/>
      <c r="DJ1483" s="1268"/>
      <c r="DK1483" s="1268"/>
      <c r="DL1483" s="1268"/>
      <c r="DM1483" s="1268"/>
      <c r="DN1483" s="1268"/>
      <c r="DO1483" s="1268"/>
      <c r="DP1483" s="1268"/>
      <c r="DQ1483" s="1268"/>
      <c r="DR1483" s="1268"/>
      <c r="DS1483" s="1268"/>
      <c r="DT1483" s="1268"/>
      <c r="DU1483" s="1268"/>
      <c r="DV1483" s="1268"/>
      <c r="DW1483" s="1268"/>
      <c r="DX1483" s="1268"/>
      <c r="DY1483" s="1268"/>
      <c r="DZ1483" s="1268"/>
      <c r="EA1483" s="1268"/>
      <c r="EB1483" s="1268"/>
      <c r="EC1483" s="1268"/>
      <c r="ED1483" s="1268"/>
      <c r="EE1483" s="1268"/>
      <c r="EF1483" s="1268"/>
      <c r="EG1483" s="1268"/>
      <c r="EH1483" s="1268"/>
      <c r="EI1483" s="1268"/>
      <c r="EJ1483" s="1268"/>
      <c r="EK1483" s="1268"/>
      <c r="EL1483" s="1268"/>
      <c r="EM1483" s="1268"/>
      <c r="EN1483" s="1268"/>
      <c r="EO1483" s="1268"/>
      <c r="EP1483" s="1268"/>
      <c r="EQ1483" s="1268"/>
      <c r="ER1483" s="1268"/>
      <c r="ES1483" s="1268"/>
      <c r="ET1483" s="1268"/>
      <c r="EU1483" s="1268"/>
      <c r="EV1483" s="1268"/>
      <c r="EW1483" s="1268"/>
      <c r="EX1483" s="1268"/>
      <c r="EY1483" s="1268"/>
      <c r="EZ1483" s="1268"/>
      <c r="FA1483" s="1268"/>
      <c r="FB1483" s="1268"/>
      <c r="FC1483" s="1268"/>
      <c r="FD1483" s="1268"/>
      <c r="FE1483" s="1268"/>
      <c r="FF1483" s="1268"/>
      <c r="FG1483" s="1268"/>
      <c r="FH1483" s="1268"/>
      <c r="FI1483" s="1268"/>
      <c r="FJ1483" s="1268"/>
      <c r="FK1483" s="1268"/>
      <c r="FL1483" s="1268"/>
      <c r="FM1483" s="1268"/>
      <c r="FN1483" s="1268"/>
      <c r="FO1483" s="1268"/>
      <c r="FP1483" s="1268"/>
      <c r="FQ1483" s="1268"/>
      <c r="FR1483" s="1268"/>
      <c r="FS1483" s="1268"/>
      <c r="FT1483" s="1268"/>
      <c r="FU1483" s="1268"/>
      <c r="FV1483" s="1268"/>
      <c r="FW1483" s="1268"/>
      <c r="FX1483" s="1268"/>
      <c r="FY1483" s="1268"/>
      <c r="FZ1483" s="1268"/>
      <c r="GA1483" s="1268"/>
      <c r="GB1483" s="1268"/>
      <c r="GC1483" s="1268"/>
      <c r="GD1483" s="1268"/>
      <c r="GE1483" s="1268"/>
      <c r="GF1483" s="1268"/>
      <c r="GG1483" s="1268"/>
      <c r="GH1483" s="1268"/>
      <c r="GI1483" s="1268"/>
      <c r="GJ1483" s="1268"/>
      <c r="GK1483" s="1268"/>
      <c r="GL1483" s="1268"/>
      <c r="GM1483" s="1268"/>
      <c r="GN1483" s="1268"/>
      <c r="GO1483" s="1268"/>
      <c r="GP1483" s="1268"/>
      <c r="GQ1483" s="1268"/>
      <c r="GR1483" s="1268"/>
      <c r="GS1483" s="1268"/>
      <c r="GT1483" s="1268"/>
      <c r="GU1483" s="1268"/>
      <c r="GV1483" s="1268"/>
      <c r="GW1483" s="1268"/>
      <c r="GX1483" s="1268"/>
      <c r="GY1483" s="1268"/>
      <c r="GZ1483" s="1268"/>
      <c r="HA1483" s="1268"/>
      <c r="HB1483" s="1268"/>
      <c r="HC1483" s="1268"/>
      <c r="HD1483" s="1268"/>
      <c r="HE1483" s="1268"/>
      <c r="HF1483" s="1268"/>
      <c r="HG1483" s="1268"/>
      <c r="HH1483" s="1268"/>
      <c r="HI1483" s="1268"/>
      <c r="HJ1483" s="1268"/>
      <c r="HK1483" s="1268"/>
      <c r="HL1483" s="1268"/>
      <c r="HM1483" s="1268"/>
      <c r="HN1483" s="1268"/>
      <c r="HO1483" s="1268"/>
      <c r="HP1483" s="1268"/>
      <c r="HQ1483" s="1268"/>
      <c r="HR1483" s="1268"/>
      <c r="HS1483" s="1268"/>
      <c r="HT1483" s="1268"/>
      <c r="HU1483" s="1268"/>
      <c r="HV1483" s="1268"/>
      <c r="HW1483" s="1268"/>
      <c r="HX1483" s="1268"/>
      <c r="HY1483" s="1268"/>
      <c r="HZ1483" s="1268"/>
      <c r="IA1483" s="1268"/>
      <c r="IB1483" s="1268"/>
      <c r="IC1483" s="1268"/>
      <c r="ID1483" s="1268"/>
      <c r="IE1483" s="1268"/>
      <c r="IF1483" s="1268"/>
      <c r="IG1483" s="1268"/>
      <c r="IH1483" s="1268"/>
      <c r="II1483" s="1268"/>
      <c r="IJ1483" s="1268"/>
      <c r="IK1483" s="1268"/>
      <c r="IL1483" s="1268"/>
      <c r="IM1483" s="1268"/>
      <c r="IN1483" s="1268"/>
      <c r="IO1483" s="1268"/>
      <c r="IP1483" s="1268"/>
      <c r="IQ1483" s="1268"/>
      <c r="IR1483" s="1268"/>
      <c r="IS1483" s="1268"/>
      <c r="IT1483" s="1268"/>
      <c r="IU1483" s="1268"/>
      <c r="IV1483" s="1268"/>
      <c r="IW1483" s="1268"/>
      <c r="IX1483" s="1268"/>
      <c r="IY1483" s="1268"/>
      <c r="IZ1483" s="1268"/>
      <c r="JA1483" s="1268"/>
      <c r="JB1483" s="1268"/>
      <c r="JC1483" s="1268"/>
      <c r="JD1483" s="1268"/>
      <c r="JE1483" s="1268"/>
      <c r="JF1483" s="1268"/>
      <c r="JG1483" s="1268"/>
      <c r="JH1483" s="1268"/>
      <c r="JI1483" s="1268"/>
      <c r="JJ1483" s="1268"/>
      <c r="JK1483" s="1268"/>
      <c r="JL1483" s="1268"/>
      <c r="JM1483" s="1268"/>
      <c r="JN1483" s="1268"/>
      <c r="JO1483" s="1268"/>
      <c r="JP1483" s="1268"/>
      <c r="JQ1483" s="1268"/>
      <c r="JR1483" s="1268"/>
      <c r="JS1483" s="1268"/>
      <c r="JT1483" s="1268"/>
      <c r="JU1483" s="1268"/>
      <c r="JV1483" s="1268"/>
      <c r="JW1483" s="1268"/>
      <c r="JX1483" s="1268"/>
      <c r="JY1483" s="1268"/>
      <c r="JZ1483" s="1268"/>
      <c r="KA1483" s="1268"/>
      <c r="KB1483" s="1268"/>
      <c r="KC1483" s="1268"/>
      <c r="KD1483" s="1268"/>
      <c r="KE1483" s="1268"/>
      <c r="KF1483" s="1268"/>
      <c r="KG1483" s="1268"/>
      <c r="KH1483" s="1268"/>
      <c r="KI1483" s="1268"/>
      <c r="KJ1483" s="1268"/>
      <c r="KK1483" s="1268"/>
      <c r="KL1483" s="1268"/>
      <c r="KM1483" s="1268"/>
      <c r="KN1483" s="1268"/>
      <c r="KO1483" s="1268"/>
      <c r="KP1483" s="1268"/>
      <c r="KQ1483" s="1268"/>
      <c r="KR1483" s="1268"/>
      <c r="KS1483" s="1268"/>
      <c r="KT1483" s="1268"/>
      <c r="KU1483" s="1268"/>
      <c r="KV1483" s="1268"/>
      <c r="KW1483" s="1268"/>
      <c r="KX1483" s="1268"/>
      <c r="KY1483" s="1268"/>
      <c r="KZ1483" s="1268"/>
      <c r="LA1483" s="1268"/>
      <c r="LB1483" s="1268"/>
      <c r="LC1483" s="1268"/>
      <c r="LD1483" s="1268"/>
      <c r="LE1483" s="1268"/>
      <c r="LF1483" s="1268"/>
      <c r="LG1483" s="1268"/>
      <c r="LH1483" s="1268"/>
      <c r="LI1483" s="1268"/>
      <c r="LJ1483" s="1268"/>
      <c r="LK1483" s="1268"/>
      <c r="LL1483" s="1268"/>
      <c r="LM1483" s="1268"/>
      <c r="LN1483" s="1268"/>
      <c r="LO1483" s="1268"/>
      <c r="LP1483" s="1268"/>
      <c r="LQ1483" s="1268"/>
      <c r="LR1483" s="1268"/>
      <c r="LS1483" s="1268"/>
      <c r="LT1483" s="1268"/>
      <c r="LU1483" s="1268"/>
      <c r="LV1483" s="1268"/>
      <c r="LW1483" s="1268"/>
      <c r="LX1483" s="1268"/>
      <c r="LY1483" s="1268"/>
      <c r="LZ1483" s="1268"/>
      <c r="MA1483" s="1268"/>
      <c r="MB1483" s="1268"/>
      <c r="MC1483" s="1268"/>
      <c r="MD1483" s="1268"/>
      <c r="ME1483" s="1268"/>
      <c r="MF1483" s="1268"/>
      <c r="MG1483" s="1268"/>
      <c r="MH1483" s="1268"/>
      <c r="MI1483" s="1268"/>
      <c r="MJ1483" s="1268"/>
      <c r="MK1483" s="1268"/>
      <c r="ML1483" s="1268"/>
      <c r="MM1483" s="1268"/>
      <c r="MN1483" s="1268"/>
      <c r="MO1483" s="1268"/>
      <c r="MP1483" s="1268"/>
      <c r="MQ1483" s="1268"/>
      <c r="MR1483" s="1268"/>
      <c r="MS1483" s="1268"/>
      <c r="MT1483" s="1268"/>
      <c r="MU1483" s="1268"/>
      <c r="MV1483" s="1268"/>
      <c r="MW1483" s="1268"/>
      <c r="MX1483" s="1268"/>
      <c r="MY1483" s="1268"/>
      <c r="MZ1483" s="1268"/>
      <c r="NA1483" s="1268"/>
      <c r="NB1483" s="1268"/>
      <c r="NC1483" s="1268"/>
      <c r="ND1483" s="1268"/>
      <c r="NE1483" s="1268"/>
      <c r="NF1483" s="1268"/>
      <c r="NG1483" s="1268"/>
      <c r="NH1483" s="1268"/>
      <c r="NI1483" s="1268"/>
      <c r="NJ1483" s="1268"/>
      <c r="NK1483" s="1268"/>
      <c r="NL1483" s="1268"/>
      <c r="NM1483" s="1268"/>
      <c r="NN1483" s="1268"/>
      <c r="NO1483" s="1268"/>
      <c r="NP1483" s="1268"/>
      <c r="NQ1483" s="1268"/>
      <c r="NR1483" s="1268"/>
      <c r="NS1483" s="1268"/>
      <c r="NT1483" s="1268"/>
      <c r="NU1483" s="1268"/>
      <c r="NV1483" s="1268"/>
      <c r="NW1483" s="1268"/>
      <c r="NX1483" s="1268"/>
      <c r="NY1483" s="1268"/>
      <c r="NZ1483" s="1268"/>
      <c r="OA1483" s="1268"/>
      <c r="OB1483" s="1268"/>
      <c r="OC1483" s="1268"/>
      <c r="OD1483" s="1268"/>
      <c r="OE1483" s="1268"/>
      <c r="OF1483" s="1268"/>
      <c r="OG1483" s="1268"/>
      <c r="OH1483" s="1268"/>
      <c r="OI1483" s="1268"/>
      <c r="OJ1483" s="1268"/>
      <c r="OK1483" s="1268"/>
      <c r="OL1483" s="1268"/>
      <c r="OM1483" s="1268"/>
      <c r="ON1483" s="1268"/>
      <c r="OO1483" s="1268"/>
      <c r="OP1483" s="1268"/>
      <c r="OQ1483" s="1268"/>
      <c r="OR1483" s="1268"/>
      <c r="OS1483" s="1268"/>
      <c r="OT1483" s="1268"/>
      <c r="OU1483" s="1268"/>
      <c r="OV1483" s="1268"/>
      <c r="OW1483" s="1268"/>
      <c r="OX1483" s="1268"/>
      <c r="OY1483" s="1268"/>
      <c r="OZ1483" s="1268"/>
      <c r="PA1483" s="1268"/>
      <c r="PB1483" s="1268"/>
      <c r="PC1483" s="1268"/>
      <c r="PD1483" s="1268"/>
      <c r="PE1483" s="1268"/>
      <c r="PF1483" s="1268"/>
      <c r="PG1483" s="1268"/>
      <c r="PH1483" s="1268"/>
      <c r="PI1483" s="1268"/>
      <c r="PJ1483" s="1268"/>
      <c r="PK1483" s="1268"/>
      <c r="PL1483" s="1268"/>
      <c r="PM1483" s="1268"/>
      <c r="PN1483" s="1268"/>
      <c r="PO1483" s="1268"/>
      <c r="PP1483" s="1268"/>
      <c r="PQ1483" s="1268"/>
      <c r="PR1483" s="1268"/>
      <c r="PS1483" s="1268"/>
      <c r="PT1483" s="1268"/>
      <c r="PU1483" s="1268"/>
      <c r="PV1483" s="1268"/>
      <c r="PW1483" s="1268"/>
      <c r="PX1483" s="1268"/>
      <c r="PY1483" s="1268"/>
      <c r="PZ1483" s="1268"/>
      <c r="QA1483" s="1268"/>
      <c r="QB1483" s="1268"/>
      <c r="QC1483" s="1268"/>
      <c r="QD1483" s="1268"/>
      <c r="QE1483" s="1268"/>
      <c r="QF1483" s="1268"/>
      <c r="QG1483" s="1268"/>
      <c r="QH1483" s="1268"/>
      <c r="QI1483" s="1268"/>
      <c r="QJ1483" s="1268"/>
      <c r="QK1483" s="1268"/>
      <c r="QL1483" s="1268"/>
      <c r="QM1483" s="1268"/>
      <c r="QN1483" s="1268"/>
      <c r="QO1483" s="1268"/>
      <c r="QP1483" s="1268"/>
      <c r="QQ1483" s="1268"/>
      <c r="QR1483" s="1268"/>
      <c r="QS1483" s="1268"/>
      <c r="QT1483" s="1268"/>
      <c r="QU1483" s="1268"/>
      <c r="QV1483" s="1268"/>
      <c r="QW1483" s="1268"/>
      <c r="QX1483" s="1268"/>
      <c r="QY1483" s="1268"/>
      <c r="QZ1483" s="1268"/>
      <c r="RA1483" s="1268"/>
      <c r="RB1483" s="1268"/>
      <c r="RC1483" s="1268"/>
      <c r="RD1483" s="1268"/>
      <c r="RE1483" s="1268"/>
      <c r="RF1483" s="1268"/>
      <c r="RG1483" s="1268"/>
      <c r="RH1483" s="1268"/>
      <c r="RI1483" s="1268"/>
      <c r="RJ1483" s="1268"/>
      <c r="RK1483" s="1268"/>
      <c r="RL1483" s="1268"/>
      <c r="RM1483" s="1268"/>
      <c r="RN1483" s="1268"/>
      <c r="RO1483" s="1268"/>
      <c r="RP1483" s="1268"/>
      <c r="RQ1483" s="1268"/>
      <c r="RR1483" s="1268"/>
      <c r="RS1483" s="1268"/>
      <c r="RT1483" s="1268"/>
      <c r="RU1483" s="1268"/>
      <c r="RV1483" s="1268"/>
      <c r="RW1483" s="1268"/>
      <c r="RX1483" s="1268"/>
      <c r="RY1483" s="1268"/>
      <c r="RZ1483" s="1268"/>
      <c r="SA1483" s="1268"/>
      <c r="SB1483" s="1268"/>
      <c r="SC1483" s="1268"/>
      <c r="SD1483" s="1268"/>
      <c r="SE1483" s="1268"/>
      <c r="SF1483" s="1268"/>
      <c r="SG1483" s="1268"/>
      <c r="SH1483" s="1268"/>
      <c r="SI1483" s="1268"/>
      <c r="SJ1483" s="1268"/>
      <c r="SK1483" s="1268"/>
      <c r="SL1483" s="1268"/>
      <c r="SM1483" s="1268"/>
      <c r="SN1483" s="1268"/>
      <c r="SO1483" s="1268"/>
      <c r="SP1483" s="1268"/>
      <c r="SQ1483" s="1268"/>
      <c r="SR1483" s="1268"/>
      <c r="SS1483" s="1268"/>
      <c r="ST1483" s="1268"/>
      <c r="SU1483" s="1268"/>
      <c r="SV1483" s="1268"/>
      <c r="SW1483" s="1268"/>
      <c r="SX1483" s="1268"/>
      <c r="SY1483" s="1268"/>
      <c r="SZ1483" s="1268"/>
      <c r="TA1483" s="1268"/>
      <c r="TB1483" s="1268"/>
      <c r="TC1483" s="1268"/>
      <c r="TD1483" s="1268"/>
      <c r="TE1483" s="1268"/>
      <c r="TF1483" s="1268"/>
      <c r="TG1483" s="1268"/>
      <c r="TH1483" s="1268"/>
      <c r="TI1483" s="1268"/>
      <c r="TJ1483" s="1268"/>
      <c r="TK1483" s="1268"/>
      <c r="TL1483" s="1268"/>
      <c r="TM1483" s="1268"/>
      <c r="TN1483" s="1268"/>
      <c r="TO1483" s="1268"/>
      <c r="TP1483" s="1268"/>
      <c r="TQ1483" s="1268"/>
      <c r="TR1483" s="1268"/>
      <c r="TS1483" s="1268"/>
      <c r="TT1483" s="1268"/>
      <c r="TU1483" s="1268"/>
      <c r="TV1483" s="1268"/>
      <c r="TW1483" s="1268"/>
      <c r="TX1483" s="1268"/>
      <c r="TY1483" s="1268"/>
      <c r="TZ1483" s="1268"/>
      <c r="UA1483" s="1268"/>
      <c r="UB1483" s="1268"/>
      <c r="UC1483" s="1268"/>
      <c r="UD1483" s="1268"/>
      <c r="UE1483" s="1268"/>
      <c r="UF1483" s="1268"/>
      <c r="UG1483" s="1268"/>
    </row>
    <row r="1484" spans="1:553" s="1262" customFormat="1" ht="19.149999999999999" customHeight="1">
      <c r="A1484" s="356" t="s">
        <v>15</v>
      </c>
      <c r="B1484" s="356"/>
      <c r="C1484" s="1586" t="s">
        <v>805</v>
      </c>
      <c r="D1484" s="1389"/>
      <c r="E1484" s="1389"/>
      <c r="F1484" s="1390"/>
      <c r="G1484" s="418" t="s">
        <v>46</v>
      </c>
      <c r="H1484" s="370"/>
      <c r="I1484" s="422">
        <f>(54.93*100/500)*(17-(6-3))*2</f>
        <v>307.608</v>
      </c>
      <c r="J1484" s="368">
        <v>10800</v>
      </c>
      <c r="K1484" s="565">
        <v>0.7</v>
      </c>
      <c r="L1484" s="571">
        <f>ROUND(PRODUCT(I1484:K1484),0)</f>
        <v>2325516</v>
      </c>
      <c r="M1484" s="356"/>
      <c r="N1484" s="356"/>
      <c r="O1484" s="356"/>
      <c r="P1484" s="356"/>
      <c r="Q1484" s="610"/>
      <c r="R1484" s="1452"/>
      <c r="S1484" s="308"/>
      <c r="T1484" s="308"/>
      <c r="U1484" s="308"/>
      <c r="V1484" s="308"/>
      <c r="W1484" s="308"/>
      <c r="X1484" s="308"/>
      <c r="Y1484" s="308"/>
      <c r="Z1484" s="604"/>
      <c r="AA1484" s="308"/>
      <c r="AB1484" s="308"/>
      <c r="AC1484" s="486"/>
      <c r="AD1484" s="486"/>
      <c r="AE1484" s="486"/>
      <c r="AF1484" s="486"/>
      <c r="AG1484" s="486"/>
      <c r="AH1484" s="486"/>
      <c r="AI1484" s="486"/>
      <c r="AJ1484" s="486"/>
      <c r="AK1484" s="486"/>
      <c r="AL1484" s="1267"/>
      <c r="AM1484" s="1268"/>
      <c r="AN1484" s="1268"/>
      <c r="AO1484" s="1268"/>
      <c r="AP1484" s="1268"/>
      <c r="AQ1484" s="1268"/>
      <c r="AR1484" s="1268"/>
      <c r="AS1484" s="1268"/>
      <c r="AT1484" s="1268"/>
      <c r="AU1484" s="1268"/>
      <c r="AV1484" s="1268"/>
      <c r="AW1484" s="1268"/>
      <c r="AX1484" s="1268"/>
      <c r="AY1484" s="1268"/>
      <c r="AZ1484" s="1268"/>
      <c r="BA1484" s="1268"/>
      <c r="BB1484" s="1268"/>
      <c r="BC1484" s="1268"/>
      <c r="BD1484" s="1268"/>
      <c r="BE1484" s="1268"/>
      <c r="BF1484" s="1268"/>
      <c r="BG1484" s="1268"/>
      <c r="BH1484" s="1268"/>
      <c r="BI1484" s="1268"/>
      <c r="BJ1484" s="1268"/>
      <c r="BK1484" s="1268"/>
      <c r="BL1484" s="1268"/>
      <c r="BM1484" s="1268"/>
      <c r="BN1484" s="1268"/>
      <c r="BO1484" s="1268"/>
      <c r="BP1484" s="1268"/>
      <c r="BQ1484" s="1268"/>
      <c r="BR1484" s="1268"/>
      <c r="BS1484" s="1268"/>
      <c r="BT1484" s="1268"/>
      <c r="BU1484" s="1268"/>
      <c r="BV1484" s="1268"/>
      <c r="BW1484" s="1268"/>
      <c r="BX1484" s="1268"/>
      <c r="BY1484" s="1268"/>
      <c r="BZ1484" s="1268"/>
      <c r="CA1484" s="1268"/>
      <c r="CB1484" s="1268"/>
      <c r="CC1484" s="1268"/>
      <c r="CD1484" s="1268"/>
      <c r="CE1484" s="1268"/>
      <c r="CF1484" s="1268"/>
      <c r="CG1484" s="1268"/>
      <c r="CH1484" s="1268"/>
      <c r="CI1484" s="1268"/>
      <c r="CJ1484" s="1268"/>
      <c r="CK1484" s="1268"/>
      <c r="CL1484" s="1268"/>
      <c r="CM1484" s="1268"/>
      <c r="CN1484" s="1268"/>
      <c r="CO1484" s="1268"/>
      <c r="CP1484" s="1268"/>
      <c r="CQ1484" s="1268"/>
      <c r="CR1484" s="1268"/>
      <c r="CS1484" s="1268"/>
      <c r="CT1484" s="1268"/>
      <c r="CU1484" s="1268"/>
      <c r="CV1484" s="1268"/>
      <c r="CW1484" s="1268"/>
      <c r="CX1484" s="1268"/>
      <c r="CY1484" s="1268"/>
      <c r="CZ1484" s="1268"/>
      <c r="DA1484" s="1268"/>
      <c r="DB1484" s="1268"/>
      <c r="DC1484" s="1268"/>
      <c r="DD1484" s="1268"/>
      <c r="DE1484" s="1268"/>
      <c r="DF1484" s="1268"/>
      <c r="DG1484" s="1268"/>
      <c r="DH1484" s="1268"/>
      <c r="DI1484" s="1268"/>
      <c r="DJ1484" s="1268"/>
      <c r="DK1484" s="1268"/>
      <c r="DL1484" s="1268"/>
      <c r="DM1484" s="1268"/>
      <c r="DN1484" s="1268"/>
      <c r="DO1484" s="1268"/>
      <c r="DP1484" s="1268"/>
      <c r="DQ1484" s="1268"/>
      <c r="DR1484" s="1268"/>
      <c r="DS1484" s="1268"/>
      <c r="DT1484" s="1268"/>
      <c r="DU1484" s="1268"/>
      <c r="DV1484" s="1268"/>
      <c r="DW1484" s="1268"/>
      <c r="DX1484" s="1268"/>
      <c r="DY1484" s="1268"/>
      <c r="DZ1484" s="1268"/>
      <c r="EA1484" s="1268"/>
      <c r="EB1484" s="1268"/>
      <c r="EC1484" s="1268"/>
      <c r="ED1484" s="1268"/>
      <c r="EE1484" s="1268"/>
      <c r="EF1484" s="1268"/>
      <c r="EG1484" s="1268"/>
      <c r="EH1484" s="1268"/>
      <c r="EI1484" s="1268"/>
      <c r="EJ1484" s="1268"/>
      <c r="EK1484" s="1268"/>
      <c r="EL1484" s="1268"/>
      <c r="EM1484" s="1268"/>
      <c r="EN1484" s="1268"/>
      <c r="EO1484" s="1268"/>
      <c r="EP1484" s="1268"/>
      <c r="EQ1484" s="1268"/>
      <c r="ER1484" s="1268"/>
      <c r="ES1484" s="1268"/>
      <c r="ET1484" s="1268"/>
      <c r="EU1484" s="1268"/>
      <c r="EV1484" s="1268"/>
      <c r="EW1484" s="1268"/>
      <c r="EX1484" s="1268"/>
      <c r="EY1484" s="1268"/>
      <c r="EZ1484" s="1268"/>
      <c r="FA1484" s="1268"/>
      <c r="FB1484" s="1268"/>
      <c r="FC1484" s="1268"/>
      <c r="FD1484" s="1268"/>
      <c r="FE1484" s="1268"/>
      <c r="FF1484" s="1268"/>
      <c r="FG1484" s="1268"/>
      <c r="FH1484" s="1268"/>
      <c r="FI1484" s="1268"/>
      <c r="FJ1484" s="1268"/>
      <c r="FK1484" s="1268"/>
      <c r="FL1484" s="1268"/>
      <c r="FM1484" s="1268"/>
      <c r="FN1484" s="1268"/>
      <c r="FO1484" s="1268"/>
      <c r="FP1484" s="1268"/>
      <c r="FQ1484" s="1268"/>
      <c r="FR1484" s="1268"/>
      <c r="FS1484" s="1268"/>
      <c r="FT1484" s="1268"/>
      <c r="FU1484" s="1268"/>
      <c r="FV1484" s="1268"/>
      <c r="FW1484" s="1268"/>
      <c r="FX1484" s="1268"/>
      <c r="FY1484" s="1268"/>
      <c r="FZ1484" s="1268"/>
      <c r="GA1484" s="1268"/>
      <c r="GB1484" s="1268"/>
      <c r="GC1484" s="1268"/>
      <c r="GD1484" s="1268"/>
      <c r="GE1484" s="1268"/>
      <c r="GF1484" s="1268"/>
      <c r="GG1484" s="1268"/>
      <c r="GH1484" s="1268"/>
      <c r="GI1484" s="1268"/>
      <c r="GJ1484" s="1268"/>
      <c r="GK1484" s="1268"/>
      <c r="GL1484" s="1268"/>
      <c r="GM1484" s="1268"/>
      <c r="GN1484" s="1268"/>
      <c r="GO1484" s="1268"/>
      <c r="GP1484" s="1268"/>
      <c r="GQ1484" s="1268"/>
      <c r="GR1484" s="1268"/>
      <c r="GS1484" s="1268"/>
      <c r="GT1484" s="1268"/>
      <c r="GU1484" s="1268"/>
      <c r="GV1484" s="1268"/>
      <c r="GW1484" s="1268"/>
      <c r="GX1484" s="1268"/>
      <c r="GY1484" s="1268"/>
      <c r="GZ1484" s="1268"/>
      <c r="HA1484" s="1268"/>
      <c r="HB1484" s="1268"/>
      <c r="HC1484" s="1268"/>
      <c r="HD1484" s="1268"/>
      <c r="HE1484" s="1268"/>
      <c r="HF1484" s="1268"/>
      <c r="HG1484" s="1268"/>
      <c r="HH1484" s="1268"/>
      <c r="HI1484" s="1268"/>
      <c r="HJ1484" s="1268"/>
      <c r="HK1484" s="1268"/>
      <c r="HL1484" s="1268"/>
      <c r="HM1484" s="1268"/>
      <c r="HN1484" s="1268"/>
      <c r="HO1484" s="1268"/>
      <c r="HP1484" s="1268"/>
      <c r="HQ1484" s="1268"/>
      <c r="HR1484" s="1268"/>
      <c r="HS1484" s="1268"/>
      <c r="HT1484" s="1268"/>
      <c r="HU1484" s="1268"/>
      <c r="HV1484" s="1268"/>
      <c r="HW1484" s="1268"/>
      <c r="HX1484" s="1268"/>
      <c r="HY1484" s="1268"/>
      <c r="HZ1484" s="1268"/>
      <c r="IA1484" s="1268"/>
      <c r="IB1484" s="1268"/>
      <c r="IC1484" s="1268"/>
      <c r="ID1484" s="1268"/>
      <c r="IE1484" s="1268"/>
      <c r="IF1484" s="1268"/>
      <c r="IG1484" s="1268"/>
      <c r="IH1484" s="1268"/>
      <c r="II1484" s="1268"/>
      <c r="IJ1484" s="1268"/>
      <c r="IK1484" s="1268"/>
      <c r="IL1484" s="1268"/>
      <c r="IM1484" s="1268"/>
      <c r="IN1484" s="1268"/>
      <c r="IO1484" s="1268"/>
      <c r="IP1484" s="1268"/>
      <c r="IQ1484" s="1268"/>
      <c r="IR1484" s="1268"/>
      <c r="IS1484" s="1268"/>
      <c r="IT1484" s="1268"/>
      <c r="IU1484" s="1268"/>
      <c r="IV1484" s="1268"/>
      <c r="IW1484" s="1268"/>
      <c r="IX1484" s="1268"/>
      <c r="IY1484" s="1268"/>
      <c r="IZ1484" s="1268"/>
      <c r="JA1484" s="1268"/>
      <c r="JB1484" s="1268"/>
      <c r="JC1484" s="1268"/>
      <c r="JD1484" s="1268"/>
      <c r="JE1484" s="1268"/>
      <c r="JF1484" s="1268"/>
      <c r="JG1484" s="1268"/>
      <c r="JH1484" s="1268"/>
      <c r="JI1484" s="1268"/>
      <c r="JJ1484" s="1268"/>
      <c r="JK1484" s="1268"/>
      <c r="JL1484" s="1268"/>
      <c r="JM1484" s="1268"/>
      <c r="JN1484" s="1268"/>
      <c r="JO1484" s="1268"/>
      <c r="JP1484" s="1268"/>
      <c r="JQ1484" s="1268"/>
      <c r="JR1484" s="1268"/>
      <c r="JS1484" s="1268"/>
      <c r="JT1484" s="1268"/>
      <c r="JU1484" s="1268"/>
      <c r="JV1484" s="1268"/>
      <c r="JW1484" s="1268"/>
      <c r="JX1484" s="1268"/>
      <c r="JY1484" s="1268"/>
      <c r="JZ1484" s="1268"/>
      <c r="KA1484" s="1268"/>
      <c r="KB1484" s="1268"/>
      <c r="KC1484" s="1268"/>
      <c r="KD1484" s="1268"/>
      <c r="KE1484" s="1268"/>
      <c r="KF1484" s="1268"/>
      <c r="KG1484" s="1268"/>
      <c r="KH1484" s="1268"/>
      <c r="KI1484" s="1268"/>
      <c r="KJ1484" s="1268"/>
      <c r="KK1484" s="1268"/>
      <c r="KL1484" s="1268"/>
      <c r="KM1484" s="1268"/>
      <c r="KN1484" s="1268"/>
      <c r="KO1484" s="1268"/>
      <c r="KP1484" s="1268"/>
      <c r="KQ1484" s="1268"/>
      <c r="KR1484" s="1268"/>
      <c r="KS1484" s="1268"/>
      <c r="KT1484" s="1268"/>
      <c r="KU1484" s="1268"/>
      <c r="KV1484" s="1268"/>
      <c r="KW1484" s="1268"/>
      <c r="KX1484" s="1268"/>
      <c r="KY1484" s="1268"/>
      <c r="KZ1484" s="1268"/>
      <c r="LA1484" s="1268"/>
      <c r="LB1484" s="1268"/>
      <c r="LC1484" s="1268"/>
      <c r="LD1484" s="1268"/>
      <c r="LE1484" s="1268"/>
      <c r="LF1484" s="1268"/>
      <c r="LG1484" s="1268"/>
      <c r="LH1484" s="1268"/>
      <c r="LI1484" s="1268"/>
      <c r="LJ1484" s="1268"/>
      <c r="LK1484" s="1268"/>
      <c r="LL1484" s="1268"/>
      <c r="LM1484" s="1268"/>
      <c r="LN1484" s="1268"/>
      <c r="LO1484" s="1268"/>
      <c r="LP1484" s="1268"/>
      <c r="LQ1484" s="1268"/>
      <c r="LR1484" s="1268"/>
      <c r="LS1484" s="1268"/>
      <c r="LT1484" s="1268"/>
      <c r="LU1484" s="1268"/>
      <c r="LV1484" s="1268"/>
      <c r="LW1484" s="1268"/>
      <c r="LX1484" s="1268"/>
      <c r="LY1484" s="1268"/>
      <c r="LZ1484" s="1268"/>
      <c r="MA1484" s="1268"/>
      <c r="MB1484" s="1268"/>
      <c r="MC1484" s="1268"/>
      <c r="MD1484" s="1268"/>
      <c r="ME1484" s="1268"/>
      <c r="MF1484" s="1268"/>
      <c r="MG1484" s="1268"/>
      <c r="MH1484" s="1268"/>
      <c r="MI1484" s="1268"/>
      <c r="MJ1484" s="1268"/>
      <c r="MK1484" s="1268"/>
      <c r="ML1484" s="1268"/>
      <c r="MM1484" s="1268"/>
      <c r="MN1484" s="1268"/>
      <c r="MO1484" s="1268"/>
      <c r="MP1484" s="1268"/>
      <c r="MQ1484" s="1268"/>
      <c r="MR1484" s="1268"/>
      <c r="MS1484" s="1268"/>
      <c r="MT1484" s="1268"/>
      <c r="MU1484" s="1268"/>
      <c r="MV1484" s="1268"/>
      <c r="MW1484" s="1268"/>
      <c r="MX1484" s="1268"/>
      <c r="MY1484" s="1268"/>
      <c r="MZ1484" s="1268"/>
      <c r="NA1484" s="1268"/>
      <c r="NB1484" s="1268"/>
      <c r="NC1484" s="1268"/>
      <c r="ND1484" s="1268"/>
      <c r="NE1484" s="1268"/>
      <c r="NF1484" s="1268"/>
      <c r="NG1484" s="1268"/>
      <c r="NH1484" s="1268"/>
      <c r="NI1484" s="1268"/>
      <c r="NJ1484" s="1268"/>
      <c r="NK1484" s="1268"/>
      <c r="NL1484" s="1268"/>
      <c r="NM1484" s="1268"/>
      <c r="NN1484" s="1268"/>
      <c r="NO1484" s="1268"/>
      <c r="NP1484" s="1268"/>
      <c r="NQ1484" s="1268"/>
      <c r="NR1484" s="1268"/>
      <c r="NS1484" s="1268"/>
      <c r="NT1484" s="1268"/>
      <c r="NU1484" s="1268"/>
      <c r="NV1484" s="1268"/>
      <c r="NW1484" s="1268"/>
      <c r="NX1484" s="1268"/>
      <c r="NY1484" s="1268"/>
      <c r="NZ1484" s="1268"/>
      <c r="OA1484" s="1268"/>
      <c r="OB1484" s="1268"/>
      <c r="OC1484" s="1268"/>
      <c r="OD1484" s="1268"/>
      <c r="OE1484" s="1268"/>
      <c r="OF1484" s="1268"/>
      <c r="OG1484" s="1268"/>
      <c r="OH1484" s="1268"/>
      <c r="OI1484" s="1268"/>
      <c r="OJ1484" s="1268"/>
      <c r="OK1484" s="1268"/>
      <c r="OL1484" s="1268"/>
      <c r="OM1484" s="1268"/>
      <c r="ON1484" s="1268"/>
      <c r="OO1484" s="1268"/>
      <c r="OP1484" s="1268"/>
      <c r="OQ1484" s="1268"/>
      <c r="OR1484" s="1268"/>
      <c r="OS1484" s="1268"/>
      <c r="OT1484" s="1268"/>
      <c r="OU1484" s="1268"/>
      <c r="OV1484" s="1268"/>
      <c r="OW1484" s="1268"/>
      <c r="OX1484" s="1268"/>
      <c r="OY1484" s="1268"/>
      <c r="OZ1484" s="1268"/>
      <c r="PA1484" s="1268"/>
      <c r="PB1484" s="1268"/>
      <c r="PC1484" s="1268"/>
      <c r="PD1484" s="1268"/>
      <c r="PE1484" s="1268"/>
      <c r="PF1484" s="1268"/>
      <c r="PG1484" s="1268"/>
      <c r="PH1484" s="1268"/>
      <c r="PI1484" s="1268"/>
      <c r="PJ1484" s="1268"/>
      <c r="PK1484" s="1268"/>
      <c r="PL1484" s="1268"/>
      <c r="PM1484" s="1268"/>
      <c r="PN1484" s="1268"/>
      <c r="PO1484" s="1268"/>
      <c r="PP1484" s="1268"/>
      <c r="PQ1484" s="1268"/>
      <c r="PR1484" s="1268"/>
      <c r="PS1484" s="1268"/>
      <c r="PT1484" s="1268"/>
      <c r="PU1484" s="1268"/>
      <c r="PV1484" s="1268"/>
      <c r="PW1484" s="1268"/>
      <c r="PX1484" s="1268"/>
      <c r="PY1484" s="1268"/>
      <c r="PZ1484" s="1268"/>
      <c r="QA1484" s="1268"/>
      <c r="QB1484" s="1268"/>
      <c r="QC1484" s="1268"/>
      <c r="QD1484" s="1268"/>
      <c r="QE1484" s="1268"/>
      <c r="QF1484" s="1268"/>
      <c r="QG1484" s="1268"/>
      <c r="QH1484" s="1268"/>
      <c r="QI1484" s="1268"/>
      <c r="QJ1484" s="1268"/>
      <c r="QK1484" s="1268"/>
      <c r="QL1484" s="1268"/>
      <c r="QM1484" s="1268"/>
      <c r="QN1484" s="1268"/>
      <c r="QO1484" s="1268"/>
      <c r="QP1484" s="1268"/>
      <c r="QQ1484" s="1268"/>
      <c r="QR1484" s="1268"/>
      <c r="QS1484" s="1268"/>
      <c r="QT1484" s="1268"/>
      <c r="QU1484" s="1268"/>
      <c r="QV1484" s="1268"/>
      <c r="QW1484" s="1268"/>
      <c r="QX1484" s="1268"/>
      <c r="QY1484" s="1268"/>
      <c r="QZ1484" s="1268"/>
      <c r="RA1484" s="1268"/>
      <c r="RB1484" s="1268"/>
      <c r="RC1484" s="1268"/>
      <c r="RD1484" s="1268"/>
      <c r="RE1484" s="1268"/>
      <c r="RF1484" s="1268"/>
      <c r="RG1484" s="1268"/>
      <c r="RH1484" s="1268"/>
      <c r="RI1484" s="1268"/>
      <c r="RJ1484" s="1268"/>
      <c r="RK1484" s="1268"/>
      <c r="RL1484" s="1268"/>
      <c r="RM1484" s="1268"/>
      <c r="RN1484" s="1268"/>
      <c r="RO1484" s="1268"/>
      <c r="RP1484" s="1268"/>
      <c r="RQ1484" s="1268"/>
      <c r="RR1484" s="1268"/>
      <c r="RS1484" s="1268"/>
      <c r="RT1484" s="1268"/>
      <c r="RU1484" s="1268"/>
      <c r="RV1484" s="1268"/>
      <c r="RW1484" s="1268"/>
      <c r="RX1484" s="1268"/>
      <c r="RY1484" s="1268"/>
      <c r="RZ1484" s="1268"/>
      <c r="SA1484" s="1268"/>
      <c r="SB1484" s="1268"/>
      <c r="SC1484" s="1268"/>
      <c r="SD1484" s="1268"/>
      <c r="SE1484" s="1268"/>
      <c r="SF1484" s="1268"/>
      <c r="SG1484" s="1268"/>
      <c r="SH1484" s="1268"/>
      <c r="SI1484" s="1268"/>
      <c r="SJ1484" s="1268"/>
      <c r="SK1484" s="1268"/>
      <c r="SL1484" s="1268"/>
      <c r="SM1484" s="1268"/>
      <c r="SN1484" s="1268"/>
      <c r="SO1484" s="1268"/>
      <c r="SP1484" s="1268"/>
      <c r="SQ1484" s="1268"/>
      <c r="SR1484" s="1268"/>
      <c r="SS1484" s="1268"/>
      <c r="ST1484" s="1268"/>
      <c r="SU1484" s="1268"/>
      <c r="SV1484" s="1268"/>
      <c r="SW1484" s="1268"/>
      <c r="SX1484" s="1268"/>
      <c r="SY1484" s="1268"/>
      <c r="SZ1484" s="1268"/>
      <c r="TA1484" s="1268"/>
      <c r="TB1484" s="1268"/>
      <c r="TC1484" s="1268"/>
      <c r="TD1484" s="1268"/>
      <c r="TE1484" s="1268"/>
      <c r="TF1484" s="1268"/>
      <c r="TG1484" s="1268"/>
      <c r="TH1484" s="1268"/>
      <c r="TI1484" s="1268"/>
      <c r="TJ1484" s="1268"/>
      <c r="TK1484" s="1268"/>
      <c r="TL1484" s="1268"/>
      <c r="TM1484" s="1268"/>
      <c r="TN1484" s="1268"/>
      <c r="TO1484" s="1268"/>
      <c r="TP1484" s="1268"/>
      <c r="TQ1484" s="1268"/>
      <c r="TR1484" s="1268"/>
      <c r="TS1484" s="1268"/>
      <c r="TT1484" s="1268"/>
      <c r="TU1484" s="1268"/>
      <c r="TV1484" s="1268"/>
      <c r="TW1484" s="1268"/>
      <c r="TX1484" s="1268"/>
      <c r="TY1484" s="1268"/>
      <c r="TZ1484" s="1268"/>
      <c r="UA1484" s="1268"/>
      <c r="UB1484" s="1268"/>
      <c r="UC1484" s="1268"/>
      <c r="UD1484" s="1268"/>
      <c r="UE1484" s="1268"/>
      <c r="UF1484" s="1268"/>
      <c r="UG1484" s="1268"/>
    </row>
    <row r="1485" spans="1:553" s="1262" customFormat="1" ht="19.149999999999999" customHeight="1">
      <c r="A1485" s="356" t="s">
        <v>15</v>
      </c>
      <c r="B1485" s="356"/>
      <c r="C1485" s="1586" t="s">
        <v>49</v>
      </c>
      <c r="D1485" s="1389"/>
      <c r="E1485" s="1389"/>
      <c r="F1485" s="1390"/>
      <c r="G1485" s="418" t="s">
        <v>46</v>
      </c>
      <c r="H1485" s="370"/>
      <c r="I1485" s="607">
        <f>(132.2*100/1200)*1</f>
        <v>11.016666666666666</v>
      </c>
      <c r="J1485" s="368">
        <v>6600</v>
      </c>
      <c r="K1485" s="418"/>
      <c r="L1485" s="571">
        <f t="shared" si="223"/>
        <v>72710</v>
      </c>
      <c r="M1485" s="356"/>
      <c r="N1485" s="356"/>
      <c r="O1485" s="356"/>
      <c r="P1485" s="356"/>
      <c r="Q1485" s="610"/>
      <c r="R1485" s="1452"/>
      <c r="S1485" s="308"/>
      <c r="T1485" s="308"/>
      <c r="U1485" s="308"/>
      <c r="V1485" s="308"/>
      <c r="W1485" s="308"/>
      <c r="X1485" s="308"/>
      <c r="Y1485" s="308"/>
      <c r="Z1485" s="604"/>
      <c r="AA1485" s="308"/>
      <c r="AB1485" s="308"/>
      <c r="AC1485" s="486"/>
      <c r="AD1485" s="486"/>
      <c r="AE1485" s="486"/>
      <c r="AF1485" s="486"/>
      <c r="AG1485" s="486"/>
      <c r="AH1485" s="486"/>
      <c r="AI1485" s="486"/>
      <c r="AJ1485" s="486"/>
      <c r="AK1485" s="486"/>
      <c r="AL1485" s="1267"/>
      <c r="AM1485" s="1268"/>
      <c r="AN1485" s="1268"/>
      <c r="AO1485" s="1268"/>
      <c r="AP1485" s="1268"/>
      <c r="AQ1485" s="1268"/>
      <c r="AR1485" s="1268"/>
      <c r="AS1485" s="1268"/>
      <c r="AT1485" s="1268"/>
      <c r="AU1485" s="1268"/>
      <c r="AV1485" s="1268"/>
      <c r="AW1485" s="1268"/>
      <c r="AX1485" s="1268"/>
      <c r="AY1485" s="1268"/>
      <c r="AZ1485" s="1268"/>
      <c r="BA1485" s="1268"/>
      <c r="BB1485" s="1268"/>
      <c r="BC1485" s="1268"/>
      <c r="BD1485" s="1268"/>
      <c r="BE1485" s="1268"/>
      <c r="BF1485" s="1268"/>
      <c r="BG1485" s="1268"/>
      <c r="BH1485" s="1268"/>
      <c r="BI1485" s="1268"/>
      <c r="BJ1485" s="1268"/>
      <c r="BK1485" s="1268"/>
      <c r="BL1485" s="1268"/>
      <c r="BM1485" s="1268"/>
      <c r="BN1485" s="1268"/>
      <c r="BO1485" s="1268"/>
      <c r="BP1485" s="1268"/>
      <c r="BQ1485" s="1268"/>
      <c r="BR1485" s="1268"/>
      <c r="BS1485" s="1268"/>
      <c r="BT1485" s="1268"/>
      <c r="BU1485" s="1268"/>
      <c r="BV1485" s="1268"/>
      <c r="BW1485" s="1268"/>
      <c r="BX1485" s="1268"/>
      <c r="BY1485" s="1268"/>
      <c r="BZ1485" s="1268"/>
      <c r="CA1485" s="1268"/>
      <c r="CB1485" s="1268"/>
      <c r="CC1485" s="1268"/>
      <c r="CD1485" s="1268"/>
      <c r="CE1485" s="1268"/>
      <c r="CF1485" s="1268"/>
      <c r="CG1485" s="1268"/>
      <c r="CH1485" s="1268"/>
      <c r="CI1485" s="1268"/>
      <c r="CJ1485" s="1268"/>
      <c r="CK1485" s="1268"/>
      <c r="CL1485" s="1268"/>
      <c r="CM1485" s="1268"/>
      <c r="CN1485" s="1268"/>
      <c r="CO1485" s="1268"/>
      <c r="CP1485" s="1268"/>
      <c r="CQ1485" s="1268"/>
      <c r="CR1485" s="1268"/>
      <c r="CS1485" s="1268"/>
      <c r="CT1485" s="1268"/>
      <c r="CU1485" s="1268"/>
      <c r="CV1485" s="1268"/>
      <c r="CW1485" s="1268"/>
      <c r="CX1485" s="1268"/>
      <c r="CY1485" s="1268"/>
      <c r="CZ1485" s="1268"/>
      <c r="DA1485" s="1268"/>
      <c r="DB1485" s="1268"/>
      <c r="DC1485" s="1268"/>
      <c r="DD1485" s="1268"/>
      <c r="DE1485" s="1268"/>
      <c r="DF1485" s="1268"/>
      <c r="DG1485" s="1268"/>
      <c r="DH1485" s="1268"/>
      <c r="DI1485" s="1268"/>
      <c r="DJ1485" s="1268"/>
      <c r="DK1485" s="1268"/>
      <c r="DL1485" s="1268"/>
      <c r="DM1485" s="1268"/>
      <c r="DN1485" s="1268"/>
      <c r="DO1485" s="1268"/>
      <c r="DP1485" s="1268"/>
      <c r="DQ1485" s="1268"/>
      <c r="DR1485" s="1268"/>
      <c r="DS1485" s="1268"/>
      <c r="DT1485" s="1268"/>
      <c r="DU1485" s="1268"/>
      <c r="DV1485" s="1268"/>
      <c r="DW1485" s="1268"/>
      <c r="DX1485" s="1268"/>
      <c r="DY1485" s="1268"/>
      <c r="DZ1485" s="1268"/>
      <c r="EA1485" s="1268"/>
      <c r="EB1485" s="1268"/>
      <c r="EC1485" s="1268"/>
      <c r="ED1485" s="1268"/>
      <c r="EE1485" s="1268"/>
      <c r="EF1485" s="1268"/>
      <c r="EG1485" s="1268"/>
      <c r="EH1485" s="1268"/>
      <c r="EI1485" s="1268"/>
      <c r="EJ1485" s="1268"/>
      <c r="EK1485" s="1268"/>
      <c r="EL1485" s="1268"/>
      <c r="EM1485" s="1268"/>
      <c r="EN1485" s="1268"/>
      <c r="EO1485" s="1268"/>
      <c r="EP1485" s="1268"/>
      <c r="EQ1485" s="1268"/>
      <c r="ER1485" s="1268"/>
      <c r="ES1485" s="1268"/>
      <c r="ET1485" s="1268"/>
      <c r="EU1485" s="1268"/>
      <c r="EV1485" s="1268"/>
      <c r="EW1485" s="1268"/>
      <c r="EX1485" s="1268"/>
      <c r="EY1485" s="1268"/>
      <c r="EZ1485" s="1268"/>
      <c r="FA1485" s="1268"/>
      <c r="FB1485" s="1268"/>
      <c r="FC1485" s="1268"/>
      <c r="FD1485" s="1268"/>
      <c r="FE1485" s="1268"/>
      <c r="FF1485" s="1268"/>
      <c r="FG1485" s="1268"/>
      <c r="FH1485" s="1268"/>
      <c r="FI1485" s="1268"/>
      <c r="FJ1485" s="1268"/>
      <c r="FK1485" s="1268"/>
      <c r="FL1485" s="1268"/>
      <c r="FM1485" s="1268"/>
      <c r="FN1485" s="1268"/>
      <c r="FO1485" s="1268"/>
      <c r="FP1485" s="1268"/>
      <c r="FQ1485" s="1268"/>
      <c r="FR1485" s="1268"/>
      <c r="FS1485" s="1268"/>
      <c r="FT1485" s="1268"/>
      <c r="FU1485" s="1268"/>
      <c r="FV1485" s="1268"/>
      <c r="FW1485" s="1268"/>
      <c r="FX1485" s="1268"/>
      <c r="FY1485" s="1268"/>
      <c r="FZ1485" s="1268"/>
      <c r="GA1485" s="1268"/>
      <c r="GB1485" s="1268"/>
      <c r="GC1485" s="1268"/>
      <c r="GD1485" s="1268"/>
      <c r="GE1485" s="1268"/>
      <c r="GF1485" s="1268"/>
      <c r="GG1485" s="1268"/>
      <c r="GH1485" s="1268"/>
      <c r="GI1485" s="1268"/>
      <c r="GJ1485" s="1268"/>
      <c r="GK1485" s="1268"/>
      <c r="GL1485" s="1268"/>
      <c r="GM1485" s="1268"/>
      <c r="GN1485" s="1268"/>
      <c r="GO1485" s="1268"/>
      <c r="GP1485" s="1268"/>
      <c r="GQ1485" s="1268"/>
      <c r="GR1485" s="1268"/>
      <c r="GS1485" s="1268"/>
      <c r="GT1485" s="1268"/>
      <c r="GU1485" s="1268"/>
      <c r="GV1485" s="1268"/>
      <c r="GW1485" s="1268"/>
      <c r="GX1485" s="1268"/>
      <c r="GY1485" s="1268"/>
      <c r="GZ1485" s="1268"/>
      <c r="HA1485" s="1268"/>
      <c r="HB1485" s="1268"/>
      <c r="HC1485" s="1268"/>
      <c r="HD1485" s="1268"/>
      <c r="HE1485" s="1268"/>
      <c r="HF1485" s="1268"/>
      <c r="HG1485" s="1268"/>
      <c r="HH1485" s="1268"/>
      <c r="HI1485" s="1268"/>
      <c r="HJ1485" s="1268"/>
      <c r="HK1485" s="1268"/>
      <c r="HL1485" s="1268"/>
      <c r="HM1485" s="1268"/>
      <c r="HN1485" s="1268"/>
      <c r="HO1485" s="1268"/>
      <c r="HP1485" s="1268"/>
      <c r="HQ1485" s="1268"/>
      <c r="HR1485" s="1268"/>
      <c r="HS1485" s="1268"/>
      <c r="HT1485" s="1268"/>
      <c r="HU1485" s="1268"/>
      <c r="HV1485" s="1268"/>
      <c r="HW1485" s="1268"/>
      <c r="HX1485" s="1268"/>
      <c r="HY1485" s="1268"/>
      <c r="HZ1485" s="1268"/>
      <c r="IA1485" s="1268"/>
      <c r="IB1485" s="1268"/>
      <c r="IC1485" s="1268"/>
      <c r="ID1485" s="1268"/>
      <c r="IE1485" s="1268"/>
      <c r="IF1485" s="1268"/>
      <c r="IG1485" s="1268"/>
      <c r="IH1485" s="1268"/>
      <c r="II1485" s="1268"/>
      <c r="IJ1485" s="1268"/>
      <c r="IK1485" s="1268"/>
      <c r="IL1485" s="1268"/>
      <c r="IM1485" s="1268"/>
      <c r="IN1485" s="1268"/>
      <c r="IO1485" s="1268"/>
      <c r="IP1485" s="1268"/>
      <c r="IQ1485" s="1268"/>
      <c r="IR1485" s="1268"/>
      <c r="IS1485" s="1268"/>
      <c r="IT1485" s="1268"/>
      <c r="IU1485" s="1268"/>
      <c r="IV1485" s="1268"/>
      <c r="IW1485" s="1268"/>
      <c r="IX1485" s="1268"/>
      <c r="IY1485" s="1268"/>
      <c r="IZ1485" s="1268"/>
      <c r="JA1485" s="1268"/>
      <c r="JB1485" s="1268"/>
      <c r="JC1485" s="1268"/>
      <c r="JD1485" s="1268"/>
      <c r="JE1485" s="1268"/>
      <c r="JF1485" s="1268"/>
      <c r="JG1485" s="1268"/>
      <c r="JH1485" s="1268"/>
      <c r="JI1485" s="1268"/>
      <c r="JJ1485" s="1268"/>
      <c r="JK1485" s="1268"/>
      <c r="JL1485" s="1268"/>
      <c r="JM1485" s="1268"/>
      <c r="JN1485" s="1268"/>
      <c r="JO1485" s="1268"/>
      <c r="JP1485" s="1268"/>
      <c r="JQ1485" s="1268"/>
      <c r="JR1485" s="1268"/>
      <c r="JS1485" s="1268"/>
      <c r="JT1485" s="1268"/>
      <c r="JU1485" s="1268"/>
      <c r="JV1485" s="1268"/>
      <c r="JW1485" s="1268"/>
      <c r="JX1485" s="1268"/>
      <c r="JY1485" s="1268"/>
      <c r="JZ1485" s="1268"/>
      <c r="KA1485" s="1268"/>
      <c r="KB1485" s="1268"/>
      <c r="KC1485" s="1268"/>
      <c r="KD1485" s="1268"/>
      <c r="KE1485" s="1268"/>
      <c r="KF1485" s="1268"/>
      <c r="KG1485" s="1268"/>
      <c r="KH1485" s="1268"/>
      <c r="KI1485" s="1268"/>
      <c r="KJ1485" s="1268"/>
      <c r="KK1485" s="1268"/>
      <c r="KL1485" s="1268"/>
      <c r="KM1485" s="1268"/>
      <c r="KN1485" s="1268"/>
      <c r="KO1485" s="1268"/>
      <c r="KP1485" s="1268"/>
      <c r="KQ1485" s="1268"/>
      <c r="KR1485" s="1268"/>
      <c r="KS1485" s="1268"/>
      <c r="KT1485" s="1268"/>
      <c r="KU1485" s="1268"/>
      <c r="KV1485" s="1268"/>
      <c r="KW1485" s="1268"/>
      <c r="KX1485" s="1268"/>
      <c r="KY1485" s="1268"/>
      <c r="KZ1485" s="1268"/>
      <c r="LA1485" s="1268"/>
      <c r="LB1485" s="1268"/>
      <c r="LC1485" s="1268"/>
      <c r="LD1485" s="1268"/>
      <c r="LE1485" s="1268"/>
      <c r="LF1485" s="1268"/>
      <c r="LG1485" s="1268"/>
      <c r="LH1485" s="1268"/>
      <c r="LI1485" s="1268"/>
      <c r="LJ1485" s="1268"/>
      <c r="LK1485" s="1268"/>
      <c r="LL1485" s="1268"/>
      <c r="LM1485" s="1268"/>
      <c r="LN1485" s="1268"/>
      <c r="LO1485" s="1268"/>
      <c r="LP1485" s="1268"/>
      <c r="LQ1485" s="1268"/>
      <c r="LR1485" s="1268"/>
      <c r="LS1485" s="1268"/>
      <c r="LT1485" s="1268"/>
      <c r="LU1485" s="1268"/>
      <c r="LV1485" s="1268"/>
      <c r="LW1485" s="1268"/>
      <c r="LX1485" s="1268"/>
      <c r="LY1485" s="1268"/>
      <c r="LZ1485" s="1268"/>
      <c r="MA1485" s="1268"/>
      <c r="MB1485" s="1268"/>
      <c r="MC1485" s="1268"/>
      <c r="MD1485" s="1268"/>
      <c r="ME1485" s="1268"/>
      <c r="MF1485" s="1268"/>
      <c r="MG1485" s="1268"/>
      <c r="MH1485" s="1268"/>
      <c r="MI1485" s="1268"/>
      <c r="MJ1485" s="1268"/>
      <c r="MK1485" s="1268"/>
      <c r="ML1485" s="1268"/>
      <c r="MM1485" s="1268"/>
      <c r="MN1485" s="1268"/>
      <c r="MO1485" s="1268"/>
      <c r="MP1485" s="1268"/>
      <c r="MQ1485" s="1268"/>
      <c r="MR1485" s="1268"/>
      <c r="MS1485" s="1268"/>
      <c r="MT1485" s="1268"/>
      <c r="MU1485" s="1268"/>
      <c r="MV1485" s="1268"/>
      <c r="MW1485" s="1268"/>
      <c r="MX1485" s="1268"/>
      <c r="MY1485" s="1268"/>
      <c r="MZ1485" s="1268"/>
      <c r="NA1485" s="1268"/>
      <c r="NB1485" s="1268"/>
      <c r="NC1485" s="1268"/>
      <c r="ND1485" s="1268"/>
      <c r="NE1485" s="1268"/>
      <c r="NF1485" s="1268"/>
      <c r="NG1485" s="1268"/>
      <c r="NH1485" s="1268"/>
      <c r="NI1485" s="1268"/>
      <c r="NJ1485" s="1268"/>
      <c r="NK1485" s="1268"/>
      <c r="NL1485" s="1268"/>
      <c r="NM1485" s="1268"/>
      <c r="NN1485" s="1268"/>
      <c r="NO1485" s="1268"/>
      <c r="NP1485" s="1268"/>
      <c r="NQ1485" s="1268"/>
      <c r="NR1485" s="1268"/>
      <c r="NS1485" s="1268"/>
      <c r="NT1485" s="1268"/>
      <c r="NU1485" s="1268"/>
      <c r="NV1485" s="1268"/>
      <c r="NW1485" s="1268"/>
      <c r="NX1485" s="1268"/>
      <c r="NY1485" s="1268"/>
      <c r="NZ1485" s="1268"/>
      <c r="OA1485" s="1268"/>
      <c r="OB1485" s="1268"/>
      <c r="OC1485" s="1268"/>
      <c r="OD1485" s="1268"/>
      <c r="OE1485" s="1268"/>
      <c r="OF1485" s="1268"/>
      <c r="OG1485" s="1268"/>
      <c r="OH1485" s="1268"/>
      <c r="OI1485" s="1268"/>
      <c r="OJ1485" s="1268"/>
      <c r="OK1485" s="1268"/>
      <c r="OL1485" s="1268"/>
      <c r="OM1485" s="1268"/>
      <c r="ON1485" s="1268"/>
      <c r="OO1485" s="1268"/>
      <c r="OP1485" s="1268"/>
      <c r="OQ1485" s="1268"/>
      <c r="OR1485" s="1268"/>
      <c r="OS1485" s="1268"/>
      <c r="OT1485" s="1268"/>
      <c r="OU1485" s="1268"/>
      <c r="OV1485" s="1268"/>
      <c r="OW1485" s="1268"/>
      <c r="OX1485" s="1268"/>
      <c r="OY1485" s="1268"/>
      <c r="OZ1485" s="1268"/>
      <c r="PA1485" s="1268"/>
      <c r="PB1485" s="1268"/>
      <c r="PC1485" s="1268"/>
      <c r="PD1485" s="1268"/>
      <c r="PE1485" s="1268"/>
      <c r="PF1485" s="1268"/>
      <c r="PG1485" s="1268"/>
      <c r="PH1485" s="1268"/>
      <c r="PI1485" s="1268"/>
      <c r="PJ1485" s="1268"/>
      <c r="PK1485" s="1268"/>
      <c r="PL1485" s="1268"/>
      <c r="PM1485" s="1268"/>
      <c r="PN1485" s="1268"/>
      <c r="PO1485" s="1268"/>
      <c r="PP1485" s="1268"/>
      <c r="PQ1485" s="1268"/>
      <c r="PR1485" s="1268"/>
      <c r="PS1485" s="1268"/>
      <c r="PT1485" s="1268"/>
      <c r="PU1485" s="1268"/>
      <c r="PV1485" s="1268"/>
      <c r="PW1485" s="1268"/>
      <c r="PX1485" s="1268"/>
      <c r="PY1485" s="1268"/>
      <c r="PZ1485" s="1268"/>
      <c r="QA1485" s="1268"/>
      <c r="QB1485" s="1268"/>
      <c r="QC1485" s="1268"/>
      <c r="QD1485" s="1268"/>
      <c r="QE1485" s="1268"/>
      <c r="QF1485" s="1268"/>
      <c r="QG1485" s="1268"/>
      <c r="QH1485" s="1268"/>
      <c r="QI1485" s="1268"/>
      <c r="QJ1485" s="1268"/>
      <c r="QK1485" s="1268"/>
      <c r="QL1485" s="1268"/>
      <c r="QM1485" s="1268"/>
      <c r="QN1485" s="1268"/>
      <c r="QO1485" s="1268"/>
      <c r="QP1485" s="1268"/>
      <c r="QQ1485" s="1268"/>
      <c r="QR1485" s="1268"/>
      <c r="QS1485" s="1268"/>
      <c r="QT1485" s="1268"/>
      <c r="QU1485" s="1268"/>
      <c r="QV1485" s="1268"/>
      <c r="QW1485" s="1268"/>
      <c r="QX1485" s="1268"/>
      <c r="QY1485" s="1268"/>
      <c r="QZ1485" s="1268"/>
      <c r="RA1485" s="1268"/>
      <c r="RB1485" s="1268"/>
      <c r="RC1485" s="1268"/>
      <c r="RD1485" s="1268"/>
      <c r="RE1485" s="1268"/>
      <c r="RF1485" s="1268"/>
      <c r="RG1485" s="1268"/>
      <c r="RH1485" s="1268"/>
      <c r="RI1485" s="1268"/>
      <c r="RJ1485" s="1268"/>
      <c r="RK1485" s="1268"/>
      <c r="RL1485" s="1268"/>
      <c r="RM1485" s="1268"/>
      <c r="RN1485" s="1268"/>
      <c r="RO1485" s="1268"/>
      <c r="RP1485" s="1268"/>
      <c r="RQ1485" s="1268"/>
      <c r="RR1485" s="1268"/>
      <c r="RS1485" s="1268"/>
      <c r="RT1485" s="1268"/>
      <c r="RU1485" s="1268"/>
      <c r="RV1485" s="1268"/>
      <c r="RW1485" s="1268"/>
      <c r="RX1485" s="1268"/>
      <c r="RY1485" s="1268"/>
      <c r="RZ1485" s="1268"/>
      <c r="SA1485" s="1268"/>
      <c r="SB1485" s="1268"/>
      <c r="SC1485" s="1268"/>
      <c r="SD1485" s="1268"/>
      <c r="SE1485" s="1268"/>
      <c r="SF1485" s="1268"/>
      <c r="SG1485" s="1268"/>
      <c r="SH1485" s="1268"/>
      <c r="SI1485" s="1268"/>
      <c r="SJ1485" s="1268"/>
      <c r="SK1485" s="1268"/>
      <c r="SL1485" s="1268"/>
      <c r="SM1485" s="1268"/>
      <c r="SN1485" s="1268"/>
      <c r="SO1485" s="1268"/>
      <c r="SP1485" s="1268"/>
      <c r="SQ1485" s="1268"/>
      <c r="SR1485" s="1268"/>
      <c r="SS1485" s="1268"/>
      <c r="ST1485" s="1268"/>
      <c r="SU1485" s="1268"/>
      <c r="SV1485" s="1268"/>
      <c r="SW1485" s="1268"/>
      <c r="SX1485" s="1268"/>
      <c r="SY1485" s="1268"/>
      <c r="SZ1485" s="1268"/>
      <c r="TA1485" s="1268"/>
      <c r="TB1485" s="1268"/>
      <c r="TC1485" s="1268"/>
      <c r="TD1485" s="1268"/>
      <c r="TE1485" s="1268"/>
      <c r="TF1485" s="1268"/>
      <c r="TG1485" s="1268"/>
      <c r="TH1485" s="1268"/>
      <c r="TI1485" s="1268"/>
      <c r="TJ1485" s="1268"/>
      <c r="TK1485" s="1268"/>
      <c r="TL1485" s="1268"/>
      <c r="TM1485" s="1268"/>
      <c r="TN1485" s="1268"/>
      <c r="TO1485" s="1268"/>
      <c r="TP1485" s="1268"/>
      <c r="TQ1485" s="1268"/>
      <c r="TR1485" s="1268"/>
      <c r="TS1485" s="1268"/>
      <c r="TT1485" s="1268"/>
      <c r="TU1485" s="1268"/>
      <c r="TV1485" s="1268"/>
      <c r="TW1485" s="1268"/>
      <c r="TX1485" s="1268"/>
      <c r="TY1485" s="1268"/>
      <c r="TZ1485" s="1268"/>
      <c r="UA1485" s="1268"/>
      <c r="UB1485" s="1268"/>
      <c r="UC1485" s="1268"/>
      <c r="UD1485" s="1268"/>
      <c r="UE1485" s="1268"/>
      <c r="UF1485" s="1268"/>
      <c r="UG1485" s="1268"/>
    </row>
    <row r="1486" spans="1:553" s="1262" customFormat="1" ht="19.149999999999999" customHeight="1">
      <c r="A1486" s="356" t="s">
        <v>15</v>
      </c>
      <c r="B1486" s="356"/>
      <c r="C1486" s="1586" t="s">
        <v>1407</v>
      </c>
      <c r="D1486" s="1389"/>
      <c r="E1486" s="1389"/>
      <c r="F1486" s="1390"/>
      <c r="G1486" s="418" t="s">
        <v>50</v>
      </c>
      <c r="H1486" s="370"/>
      <c r="I1486" s="417">
        <v>5</v>
      </c>
      <c r="J1486" s="368">
        <v>43000</v>
      </c>
      <c r="K1486" s="418"/>
      <c r="L1486" s="571">
        <f t="shared" si="223"/>
        <v>215000</v>
      </c>
      <c r="M1486" s="356"/>
      <c r="N1486" s="356"/>
      <c r="O1486" s="356"/>
      <c r="P1486" s="356"/>
      <c r="Q1486" s="610"/>
      <c r="R1486" s="1452"/>
      <c r="S1486" s="308"/>
      <c r="T1486" s="308"/>
      <c r="U1486" s="308"/>
      <c r="V1486" s="308"/>
      <c r="W1486" s="308"/>
      <c r="X1486" s="308"/>
      <c r="Y1486" s="308"/>
      <c r="Z1486" s="604"/>
      <c r="AA1486" s="308"/>
      <c r="AB1486" s="308"/>
      <c r="AC1486" s="486"/>
      <c r="AD1486" s="486"/>
      <c r="AE1486" s="486"/>
      <c r="AF1486" s="486"/>
      <c r="AG1486" s="486"/>
      <c r="AH1486" s="486"/>
      <c r="AI1486" s="486"/>
      <c r="AJ1486" s="486"/>
      <c r="AK1486" s="486"/>
      <c r="AL1486" s="1267"/>
      <c r="AM1486" s="1268"/>
      <c r="AN1486" s="1268"/>
      <c r="AO1486" s="1268"/>
      <c r="AP1486" s="1268"/>
      <c r="AQ1486" s="1268"/>
      <c r="AR1486" s="1268"/>
      <c r="AS1486" s="1268"/>
      <c r="AT1486" s="1268"/>
      <c r="AU1486" s="1268"/>
      <c r="AV1486" s="1268"/>
      <c r="AW1486" s="1268"/>
      <c r="AX1486" s="1268"/>
      <c r="AY1486" s="1268"/>
      <c r="AZ1486" s="1268"/>
      <c r="BA1486" s="1268"/>
      <c r="BB1486" s="1268"/>
      <c r="BC1486" s="1268"/>
      <c r="BD1486" s="1268"/>
      <c r="BE1486" s="1268"/>
      <c r="BF1486" s="1268"/>
      <c r="BG1486" s="1268"/>
      <c r="BH1486" s="1268"/>
      <c r="BI1486" s="1268"/>
      <c r="BJ1486" s="1268"/>
      <c r="BK1486" s="1268"/>
      <c r="BL1486" s="1268"/>
      <c r="BM1486" s="1268"/>
      <c r="BN1486" s="1268"/>
      <c r="BO1486" s="1268"/>
      <c r="BP1486" s="1268"/>
      <c r="BQ1486" s="1268"/>
      <c r="BR1486" s="1268"/>
      <c r="BS1486" s="1268"/>
      <c r="BT1486" s="1268"/>
      <c r="BU1486" s="1268"/>
      <c r="BV1486" s="1268"/>
      <c r="BW1486" s="1268"/>
      <c r="BX1486" s="1268"/>
      <c r="BY1486" s="1268"/>
      <c r="BZ1486" s="1268"/>
      <c r="CA1486" s="1268"/>
      <c r="CB1486" s="1268"/>
      <c r="CC1486" s="1268"/>
      <c r="CD1486" s="1268"/>
      <c r="CE1486" s="1268"/>
      <c r="CF1486" s="1268"/>
      <c r="CG1486" s="1268"/>
      <c r="CH1486" s="1268"/>
      <c r="CI1486" s="1268"/>
      <c r="CJ1486" s="1268"/>
      <c r="CK1486" s="1268"/>
      <c r="CL1486" s="1268"/>
      <c r="CM1486" s="1268"/>
      <c r="CN1486" s="1268"/>
      <c r="CO1486" s="1268"/>
      <c r="CP1486" s="1268"/>
      <c r="CQ1486" s="1268"/>
      <c r="CR1486" s="1268"/>
      <c r="CS1486" s="1268"/>
      <c r="CT1486" s="1268"/>
      <c r="CU1486" s="1268"/>
      <c r="CV1486" s="1268"/>
      <c r="CW1486" s="1268"/>
      <c r="CX1486" s="1268"/>
      <c r="CY1486" s="1268"/>
      <c r="CZ1486" s="1268"/>
      <c r="DA1486" s="1268"/>
      <c r="DB1486" s="1268"/>
      <c r="DC1486" s="1268"/>
      <c r="DD1486" s="1268"/>
      <c r="DE1486" s="1268"/>
      <c r="DF1486" s="1268"/>
      <c r="DG1486" s="1268"/>
      <c r="DH1486" s="1268"/>
      <c r="DI1486" s="1268"/>
      <c r="DJ1486" s="1268"/>
      <c r="DK1486" s="1268"/>
      <c r="DL1486" s="1268"/>
      <c r="DM1486" s="1268"/>
      <c r="DN1486" s="1268"/>
      <c r="DO1486" s="1268"/>
      <c r="DP1486" s="1268"/>
      <c r="DQ1486" s="1268"/>
      <c r="DR1486" s="1268"/>
      <c r="DS1486" s="1268"/>
      <c r="DT1486" s="1268"/>
      <c r="DU1486" s="1268"/>
      <c r="DV1486" s="1268"/>
      <c r="DW1486" s="1268"/>
      <c r="DX1486" s="1268"/>
      <c r="DY1486" s="1268"/>
      <c r="DZ1486" s="1268"/>
      <c r="EA1486" s="1268"/>
      <c r="EB1486" s="1268"/>
      <c r="EC1486" s="1268"/>
      <c r="ED1486" s="1268"/>
      <c r="EE1486" s="1268"/>
      <c r="EF1486" s="1268"/>
      <c r="EG1486" s="1268"/>
      <c r="EH1486" s="1268"/>
      <c r="EI1486" s="1268"/>
      <c r="EJ1486" s="1268"/>
      <c r="EK1486" s="1268"/>
      <c r="EL1486" s="1268"/>
      <c r="EM1486" s="1268"/>
      <c r="EN1486" s="1268"/>
      <c r="EO1486" s="1268"/>
      <c r="EP1486" s="1268"/>
      <c r="EQ1486" s="1268"/>
      <c r="ER1486" s="1268"/>
      <c r="ES1486" s="1268"/>
      <c r="ET1486" s="1268"/>
      <c r="EU1486" s="1268"/>
      <c r="EV1486" s="1268"/>
      <c r="EW1486" s="1268"/>
      <c r="EX1486" s="1268"/>
      <c r="EY1486" s="1268"/>
      <c r="EZ1486" s="1268"/>
      <c r="FA1486" s="1268"/>
      <c r="FB1486" s="1268"/>
      <c r="FC1486" s="1268"/>
      <c r="FD1486" s="1268"/>
      <c r="FE1486" s="1268"/>
      <c r="FF1486" s="1268"/>
      <c r="FG1486" s="1268"/>
      <c r="FH1486" s="1268"/>
      <c r="FI1486" s="1268"/>
      <c r="FJ1486" s="1268"/>
      <c r="FK1486" s="1268"/>
      <c r="FL1486" s="1268"/>
      <c r="FM1486" s="1268"/>
      <c r="FN1486" s="1268"/>
      <c r="FO1486" s="1268"/>
      <c r="FP1486" s="1268"/>
      <c r="FQ1486" s="1268"/>
      <c r="FR1486" s="1268"/>
      <c r="FS1486" s="1268"/>
      <c r="FT1486" s="1268"/>
      <c r="FU1486" s="1268"/>
      <c r="FV1486" s="1268"/>
      <c r="FW1486" s="1268"/>
      <c r="FX1486" s="1268"/>
      <c r="FY1486" s="1268"/>
      <c r="FZ1486" s="1268"/>
      <c r="GA1486" s="1268"/>
      <c r="GB1486" s="1268"/>
      <c r="GC1486" s="1268"/>
      <c r="GD1486" s="1268"/>
      <c r="GE1486" s="1268"/>
      <c r="GF1486" s="1268"/>
      <c r="GG1486" s="1268"/>
      <c r="GH1486" s="1268"/>
      <c r="GI1486" s="1268"/>
      <c r="GJ1486" s="1268"/>
      <c r="GK1486" s="1268"/>
      <c r="GL1486" s="1268"/>
      <c r="GM1486" s="1268"/>
      <c r="GN1486" s="1268"/>
      <c r="GO1486" s="1268"/>
      <c r="GP1486" s="1268"/>
      <c r="GQ1486" s="1268"/>
      <c r="GR1486" s="1268"/>
      <c r="GS1486" s="1268"/>
      <c r="GT1486" s="1268"/>
      <c r="GU1486" s="1268"/>
      <c r="GV1486" s="1268"/>
      <c r="GW1486" s="1268"/>
      <c r="GX1486" s="1268"/>
      <c r="GY1486" s="1268"/>
      <c r="GZ1486" s="1268"/>
      <c r="HA1486" s="1268"/>
      <c r="HB1486" s="1268"/>
      <c r="HC1486" s="1268"/>
      <c r="HD1486" s="1268"/>
      <c r="HE1486" s="1268"/>
      <c r="HF1486" s="1268"/>
      <c r="HG1486" s="1268"/>
      <c r="HH1486" s="1268"/>
      <c r="HI1486" s="1268"/>
      <c r="HJ1486" s="1268"/>
      <c r="HK1486" s="1268"/>
      <c r="HL1486" s="1268"/>
      <c r="HM1486" s="1268"/>
      <c r="HN1486" s="1268"/>
      <c r="HO1486" s="1268"/>
      <c r="HP1486" s="1268"/>
      <c r="HQ1486" s="1268"/>
      <c r="HR1486" s="1268"/>
      <c r="HS1486" s="1268"/>
      <c r="HT1486" s="1268"/>
      <c r="HU1486" s="1268"/>
      <c r="HV1486" s="1268"/>
      <c r="HW1486" s="1268"/>
      <c r="HX1486" s="1268"/>
      <c r="HY1486" s="1268"/>
      <c r="HZ1486" s="1268"/>
      <c r="IA1486" s="1268"/>
      <c r="IB1486" s="1268"/>
      <c r="IC1486" s="1268"/>
      <c r="ID1486" s="1268"/>
      <c r="IE1486" s="1268"/>
      <c r="IF1486" s="1268"/>
      <c r="IG1486" s="1268"/>
      <c r="IH1486" s="1268"/>
      <c r="II1486" s="1268"/>
      <c r="IJ1486" s="1268"/>
      <c r="IK1486" s="1268"/>
      <c r="IL1486" s="1268"/>
      <c r="IM1486" s="1268"/>
      <c r="IN1486" s="1268"/>
      <c r="IO1486" s="1268"/>
      <c r="IP1486" s="1268"/>
      <c r="IQ1486" s="1268"/>
      <c r="IR1486" s="1268"/>
      <c r="IS1486" s="1268"/>
      <c r="IT1486" s="1268"/>
      <c r="IU1486" s="1268"/>
      <c r="IV1486" s="1268"/>
      <c r="IW1486" s="1268"/>
      <c r="IX1486" s="1268"/>
      <c r="IY1486" s="1268"/>
      <c r="IZ1486" s="1268"/>
      <c r="JA1486" s="1268"/>
      <c r="JB1486" s="1268"/>
      <c r="JC1486" s="1268"/>
      <c r="JD1486" s="1268"/>
      <c r="JE1486" s="1268"/>
      <c r="JF1486" s="1268"/>
      <c r="JG1486" s="1268"/>
      <c r="JH1486" s="1268"/>
      <c r="JI1486" s="1268"/>
      <c r="JJ1486" s="1268"/>
      <c r="JK1486" s="1268"/>
      <c r="JL1486" s="1268"/>
      <c r="JM1486" s="1268"/>
      <c r="JN1486" s="1268"/>
      <c r="JO1486" s="1268"/>
      <c r="JP1486" s="1268"/>
      <c r="JQ1486" s="1268"/>
      <c r="JR1486" s="1268"/>
      <c r="JS1486" s="1268"/>
      <c r="JT1486" s="1268"/>
      <c r="JU1486" s="1268"/>
      <c r="JV1486" s="1268"/>
      <c r="JW1486" s="1268"/>
      <c r="JX1486" s="1268"/>
      <c r="JY1486" s="1268"/>
      <c r="JZ1486" s="1268"/>
      <c r="KA1486" s="1268"/>
      <c r="KB1486" s="1268"/>
      <c r="KC1486" s="1268"/>
      <c r="KD1486" s="1268"/>
      <c r="KE1486" s="1268"/>
      <c r="KF1486" s="1268"/>
      <c r="KG1486" s="1268"/>
      <c r="KH1486" s="1268"/>
      <c r="KI1486" s="1268"/>
      <c r="KJ1486" s="1268"/>
      <c r="KK1486" s="1268"/>
      <c r="KL1486" s="1268"/>
      <c r="KM1486" s="1268"/>
      <c r="KN1486" s="1268"/>
      <c r="KO1486" s="1268"/>
      <c r="KP1486" s="1268"/>
      <c r="KQ1486" s="1268"/>
      <c r="KR1486" s="1268"/>
      <c r="KS1486" s="1268"/>
      <c r="KT1486" s="1268"/>
      <c r="KU1486" s="1268"/>
      <c r="KV1486" s="1268"/>
      <c r="KW1486" s="1268"/>
      <c r="KX1486" s="1268"/>
      <c r="KY1486" s="1268"/>
      <c r="KZ1486" s="1268"/>
      <c r="LA1486" s="1268"/>
      <c r="LB1486" s="1268"/>
      <c r="LC1486" s="1268"/>
      <c r="LD1486" s="1268"/>
      <c r="LE1486" s="1268"/>
      <c r="LF1486" s="1268"/>
      <c r="LG1486" s="1268"/>
      <c r="LH1486" s="1268"/>
      <c r="LI1486" s="1268"/>
      <c r="LJ1486" s="1268"/>
      <c r="LK1486" s="1268"/>
      <c r="LL1486" s="1268"/>
      <c r="LM1486" s="1268"/>
      <c r="LN1486" s="1268"/>
      <c r="LO1486" s="1268"/>
      <c r="LP1486" s="1268"/>
      <c r="LQ1486" s="1268"/>
      <c r="LR1486" s="1268"/>
      <c r="LS1486" s="1268"/>
      <c r="LT1486" s="1268"/>
      <c r="LU1486" s="1268"/>
      <c r="LV1486" s="1268"/>
      <c r="LW1486" s="1268"/>
      <c r="LX1486" s="1268"/>
      <c r="LY1486" s="1268"/>
      <c r="LZ1486" s="1268"/>
      <c r="MA1486" s="1268"/>
      <c r="MB1486" s="1268"/>
      <c r="MC1486" s="1268"/>
      <c r="MD1486" s="1268"/>
      <c r="ME1486" s="1268"/>
      <c r="MF1486" s="1268"/>
      <c r="MG1486" s="1268"/>
      <c r="MH1486" s="1268"/>
      <c r="MI1486" s="1268"/>
      <c r="MJ1486" s="1268"/>
      <c r="MK1486" s="1268"/>
      <c r="ML1486" s="1268"/>
      <c r="MM1486" s="1268"/>
      <c r="MN1486" s="1268"/>
      <c r="MO1486" s="1268"/>
      <c r="MP1486" s="1268"/>
      <c r="MQ1486" s="1268"/>
      <c r="MR1486" s="1268"/>
      <c r="MS1486" s="1268"/>
      <c r="MT1486" s="1268"/>
      <c r="MU1486" s="1268"/>
      <c r="MV1486" s="1268"/>
      <c r="MW1486" s="1268"/>
      <c r="MX1486" s="1268"/>
      <c r="MY1486" s="1268"/>
      <c r="MZ1486" s="1268"/>
      <c r="NA1486" s="1268"/>
      <c r="NB1486" s="1268"/>
      <c r="NC1486" s="1268"/>
      <c r="ND1486" s="1268"/>
      <c r="NE1486" s="1268"/>
      <c r="NF1486" s="1268"/>
      <c r="NG1486" s="1268"/>
      <c r="NH1486" s="1268"/>
      <c r="NI1486" s="1268"/>
      <c r="NJ1486" s="1268"/>
      <c r="NK1486" s="1268"/>
      <c r="NL1486" s="1268"/>
      <c r="NM1486" s="1268"/>
      <c r="NN1486" s="1268"/>
      <c r="NO1486" s="1268"/>
      <c r="NP1486" s="1268"/>
      <c r="NQ1486" s="1268"/>
      <c r="NR1486" s="1268"/>
      <c r="NS1486" s="1268"/>
      <c r="NT1486" s="1268"/>
      <c r="NU1486" s="1268"/>
      <c r="NV1486" s="1268"/>
      <c r="NW1486" s="1268"/>
      <c r="NX1486" s="1268"/>
      <c r="NY1486" s="1268"/>
      <c r="NZ1486" s="1268"/>
      <c r="OA1486" s="1268"/>
      <c r="OB1486" s="1268"/>
      <c r="OC1486" s="1268"/>
      <c r="OD1486" s="1268"/>
      <c r="OE1486" s="1268"/>
      <c r="OF1486" s="1268"/>
      <c r="OG1486" s="1268"/>
      <c r="OH1486" s="1268"/>
      <c r="OI1486" s="1268"/>
      <c r="OJ1486" s="1268"/>
      <c r="OK1486" s="1268"/>
      <c r="OL1486" s="1268"/>
      <c r="OM1486" s="1268"/>
      <c r="ON1486" s="1268"/>
      <c r="OO1486" s="1268"/>
      <c r="OP1486" s="1268"/>
      <c r="OQ1486" s="1268"/>
      <c r="OR1486" s="1268"/>
      <c r="OS1486" s="1268"/>
      <c r="OT1486" s="1268"/>
      <c r="OU1486" s="1268"/>
      <c r="OV1486" s="1268"/>
      <c r="OW1486" s="1268"/>
      <c r="OX1486" s="1268"/>
      <c r="OY1486" s="1268"/>
      <c r="OZ1486" s="1268"/>
      <c r="PA1486" s="1268"/>
      <c r="PB1486" s="1268"/>
      <c r="PC1486" s="1268"/>
      <c r="PD1486" s="1268"/>
      <c r="PE1486" s="1268"/>
      <c r="PF1486" s="1268"/>
      <c r="PG1486" s="1268"/>
      <c r="PH1486" s="1268"/>
      <c r="PI1486" s="1268"/>
      <c r="PJ1486" s="1268"/>
      <c r="PK1486" s="1268"/>
      <c r="PL1486" s="1268"/>
      <c r="PM1486" s="1268"/>
      <c r="PN1486" s="1268"/>
      <c r="PO1486" s="1268"/>
      <c r="PP1486" s="1268"/>
      <c r="PQ1486" s="1268"/>
      <c r="PR1486" s="1268"/>
      <c r="PS1486" s="1268"/>
      <c r="PT1486" s="1268"/>
      <c r="PU1486" s="1268"/>
      <c r="PV1486" s="1268"/>
      <c r="PW1486" s="1268"/>
      <c r="PX1486" s="1268"/>
      <c r="PY1486" s="1268"/>
      <c r="PZ1486" s="1268"/>
      <c r="QA1486" s="1268"/>
      <c r="QB1486" s="1268"/>
      <c r="QC1486" s="1268"/>
      <c r="QD1486" s="1268"/>
      <c r="QE1486" s="1268"/>
      <c r="QF1486" s="1268"/>
      <c r="QG1486" s="1268"/>
      <c r="QH1486" s="1268"/>
      <c r="QI1486" s="1268"/>
      <c r="QJ1486" s="1268"/>
      <c r="QK1486" s="1268"/>
      <c r="QL1486" s="1268"/>
      <c r="QM1486" s="1268"/>
      <c r="QN1486" s="1268"/>
      <c r="QO1486" s="1268"/>
      <c r="QP1486" s="1268"/>
      <c r="QQ1486" s="1268"/>
      <c r="QR1486" s="1268"/>
      <c r="QS1486" s="1268"/>
      <c r="QT1486" s="1268"/>
      <c r="QU1486" s="1268"/>
      <c r="QV1486" s="1268"/>
      <c r="QW1486" s="1268"/>
      <c r="QX1486" s="1268"/>
      <c r="QY1486" s="1268"/>
      <c r="QZ1486" s="1268"/>
      <c r="RA1486" s="1268"/>
      <c r="RB1486" s="1268"/>
      <c r="RC1486" s="1268"/>
      <c r="RD1486" s="1268"/>
      <c r="RE1486" s="1268"/>
      <c r="RF1486" s="1268"/>
      <c r="RG1486" s="1268"/>
      <c r="RH1486" s="1268"/>
      <c r="RI1486" s="1268"/>
      <c r="RJ1486" s="1268"/>
      <c r="RK1486" s="1268"/>
      <c r="RL1486" s="1268"/>
      <c r="RM1486" s="1268"/>
      <c r="RN1486" s="1268"/>
      <c r="RO1486" s="1268"/>
      <c r="RP1486" s="1268"/>
      <c r="RQ1486" s="1268"/>
      <c r="RR1486" s="1268"/>
      <c r="RS1486" s="1268"/>
      <c r="RT1486" s="1268"/>
      <c r="RU1486" s="1268"/>
      <c r="RV1486" s="1268"/>
      <c r="RW1486" s="1268"/>
      <c r="RX1486" s="1268"/>
      <c r="RY1486" s="1268"/>
      <c r="RZ1486" s="1268"/>
      <c r="SA1486" s="1268"/>
      <c r="SB1486" s="1268"/>
      <c r="SC1486" s="1268"/>
      <c r="SD1486" s="1268"/>
      <c r="SE1486" s="1268"/>
      <c r="SF1486" s="1268"/>
      <c r="SG1486" s="1268"/>
      <c r="SH1486" s="1268"/>
      <c r="SI1486" s="1268"/>
      <c r="SJ1486" s="1268"/>
      <c r="SK1486" s="1268"/>
      <c r="SL1486" s="1268"/>
      <c r="SM1486" s="1268"/>
      <c r="SN1486" s="1268"/>
      <c r="SO1486" s="1268"/>
      <c r="SP1486" s="1268"/>
      <c r="SQ1486" s="1268"/>
      <c r="SR1486" s="1268"/>
      <c r="SS1486" s="1268"/>
      <c r="ST1486" s="1268"/>
      <c r="SU1486" s="1268"/>
      <c r="SV1486" s="1268"/>
      <c r="SW1486" s="1268"/>
      <c r="SX1486" s="1268"/>
      <c r="SY1486" s="1268"/>
      <c r="SZ1486" s="1268"/>
      <c r="TA1486" s="1268"/>
      <c r="TB1486" s="1268"/>
      <c r="TC1486" s="1268"/>
      <c r="TD1486" s="1268"/>
      <c r="TE1486" s="1268"/>
      <c r="TF1486" s="1268"/>
      <c r="TG1486" s="1268"/>
      <c r="TH1486" s="1268"/>
      <c r="TI1486" s="1268"/>
      <c r="TJ1486" s="1268"/>
      <c r="TK1486" s="1268"/>
      <c r="TL1486" s="1268"/>
      <c r="TM1486" s="1268"/>
      <c r="TN1486" s="1268"/>
      <c r="TO1486" s="1268"/>
      <c r="TP1486" s="1268"/>
      <c r="TQ1486" s="1268"/>
      <c r="TR1486" s="1268"/>
      <c r="TS1486" s="1268"/>
      <c r="TT1486" s="1268"/>
      <c r="TU1486" s="1268"/>
      <c r="TV1486" s="1268"/>
      <c r="TW1486" s="1268"/>
      <c r="TX1486" s="1268"/>
      <c r="TY1486" s="1268"/>
      <c r="TZ1486" s="1268"/>
      <c r="UA1486" s="1268"/>
      <c r="UB1486" s="1268"/>
      <c r="UC1486" s="1268"/>
      <c r="UD1486" s="1268"/>
      <c r="UE1486" s="1268"/>
      <c r="UF1486" s="1268"/>
      <c r="UG1486" s="1268"/>
    </row>
    <row r="1487" spans="1:553" s="1262" customFormat="1" ht="19.149999999999999" customHeight="1">
      <c r="A1487" s="356" t="s">
        <v>15</v>
      </c>
      <c r="B1487" s="356"/>
      <c r="C1487" s="1586" t="s">
        <v>806</v>
      </c>
      <c r="D1487" s="1389"/>
      <c r="E1487" s="1389"/>
      <c r="F1487" s="1390"/>
      <c r="G1487" s="418" t="s">
        <v>46</v>
      </c>
      <c r="H1487" s="370"/>
      <c r="I1487" s="370">
        <f>(161.02*100/400)*(12-(5-3))*1</f>
        <v>402.55</v>
      </c>
      <c r="J1487" s="368">
        <v>10600</v>
      </c>
      <c r="K1487" s="565">
        <v>0.7</v>
      </c>
      <c r="L1487" s="571">
        <f t="shared" si="223"/>
        <v>2986921</v>
      </c>
      <c r="M1487" s="356"/>
      <c r="N1487" s="356"/>
      <c r="O1487" s="356"/>
      <c r="P1487" s="356"/>
      <c r="Q1487" s="610"/>
      <c r="R1487" s="1452"/>
      <c r="S1487" s="308"/>
      <c r="T1487" s="308"/>
      <c r="U1487" s="308"/>
      <c r="V1487" s="308"/>
      <c r="W1487" s="308"/>
      <c r="X1487" s="308"/>
      <c r="Y1487" s="308"/>
      <c r="Z1487" s="604"/>
      <c r="AA1487" s="308"/>
      <c r="AB1487" s="308"/>
      <c r="AC1487" s="486"/>
      <c r="AD1487" s="486"/>
      <c r="AE1487" s="486"/>
      <c r="AF1487" s="486"/>
      <c r="AG1487" s="486"/>
      <c r="AH1487" s="486"/>
      <c r="AI1487" s="486"/>
      <c r="AJ1487" s="486"/>
      <c r="AK1487" s="486"/>
      <c r="AL1487" s="1267"/>
      <c r="AM1487" s="1268"/>
      <c r="AN1487" s="1268"/>
      <c r="AO1487" s="1268"/>
      <c r="AP1487" s="1268"/>
      <c r="AQ1487" s="1268"/>
      <c r="AR1487" s="1268"/>
      <c r="AS1487" s="1268"/>
      <c r="AT1487" s="1268"/>
      <c r="AU1487" s="1268"/>
      <c r="AV1487" s="1268"/>
      <c r="AW1487" s="1268"/>
      <c r="AX1487" s="1268"/>
      <c r="AY1487" s="1268"/>
      <c r="AZ1487" s="1268"/>
      <c r="BA1487" s="1268"/>
      <c r="BB1487" s="1268"/>
      <c r="BC1487" s="1268"/>
      <c r="BD1487" s="1268"/>
      <c r="BE1487" s="1268"/>
      <c r="BF1487" s="1268"/>
      <c r="BG1487" s="1268"/>
      <c r="BH1487" s="1268"/>
      <c r="BI1487" s="1268"/>
      <c r="BJ1487" s="1268"/>
      <c r="BK1487" s="1268"/>
      <c r="BL1487" s="1268"/>
      <c r="BM1487" s="1268"/>
      <c r="BN1487" s="1268"/>
      <c r="BO1487" s="1268"/>
      <c r="BP1487" s="1268"/>
      <c r="BQ1487" s="1268"/>
      <c r="BR1487" s="1268"/>
      <c r="BS1487" s="1268"/>
      <c r="BT1487" s="1268"/>
      <c r="BU1487" s="1268"/>
      <c r="BV1487" s="1268"/>
      <c r="BW1487" s="1268"/>
      <c r="BX1487" s="1268"/>
      <c r="BY1487" s="1268"/>
      <c r="BZ1487" s="1268"/>
      <c r="CA1487" s="1268"/>
      <c r="CB1487" s="1268"/>
      <c r="CC1487" s="1268"/>
      <c r="CD1487" s="1268"/>
      <c r="CE1487" s="1268"/>
      <c r="CF1487" s="1268"/>
      <c r="CG1487" s="1268"/>
      <c r="CH1487" s="1268"/>
      <c r="CI1487" s="1268"/>
      <c r="CJ1487" s="1268"/>
      <c r="CK1487" s="1268"/>
      <c r="CL1487" s="1268"/>
      <c r="CM1487" s="1268"/>
      <c r="CN1487" s="1268"/>
      <c r="CO1487" s="1268"/>
      <c r="CP1487" s="1268"/>
      <c r="CQ1487" s="1268"/>
      <c r="CR1487" s="1268"/>
      <c r="CS1487" s="1268"/>
      <c r="CT1487" s="1268"/>
      <c r="CU1487" s="1268"/>
      <c r="CV1487" s="1268"/>
      <c r="CW1487" s="1268"/>
      <c r="CX1487" s="1268"/>
      <c r="CY1487" s="1268"/>
      <c r="CZ1487" s="1268"/>
      <c r="DA1487" s="1268"/>
      <c r="DB1487" s="1268"/>
      <c r="DC1487" s="1268"/>
      <c r="DD1487" s="1268"/>
      <c r="DE1487" s="1268"/>
      <c r="DF1487" s="1268"/>
      <c r="DG1487" s="1268"/>
      <c r="DH1487" s="1268"/>
      <c r="DI1487" s="1268"/>
      <c r="DJ1487" s="1268"/>
      <c r="DK1487" s="1268"/>
      <c r="DL1487" s="1268"/>
      <c r="DM1487" s="1268"/>
      <c r="DN1487" s="1268"/>
      <c r="DO1487" s="1268"/>
      <c r="DP1487" s="1268"/>
      <c r="DQ1487" s="1268"/>
      <c r="DR1487" s="1268"/>
      <c r="DS1487" s="1268"/>
      <c r="DT1487" s="1268"/>
      <c r="DU1487" s="1268"/>
      <c r="DV1487" s="1268"/>
      <c r="DW1487" s="1268"/>
      <c r="DX1487" s="1268"/>
      <c r="DY1487" s="1268"/>
      <c r="DZ1487" s="1268"/>
      <c r="EA1487" s="1268"/>
      <c r="EB1487" s="1268"/>
      <c r="EC1487" s="1268"/>
      <c r="ED1487" s="1268"/>
      <c r="EE1487" s="1268"/>
      <c r="EF1487" s="1268"/>
      <c r="EG1487" s="1268"/>
      <c r="EH1487" s="1268"/>
      <c r="EI1487" s="1268"/>
      <c r="EJ1487" s="1268"/>
      <c r="EK1487" s="1268"/>
      <c r="EL1487" s="1268"/>
      <c r="EM1487" s="1268"/>
      <c r="EN1487" s="1268"/>
      <c r="EO1487" s="1268"/>
      <c r="EP1487" s="1268"/>
      <c r="EQ1487" s="1268"/>
      <c r="ER1487" s="1268"/>
      <c r="ES1487" s="1268"/>
      <c r="ET1487" s="1268"/>
      <c r="EU1487" s="1268"/>
      <c r="EV1487" s="1268"/>
      <c r="EW1487" s="1268"/>
      <c r="EX1487" s="1268"/>
      <c r="EY1487" s="1268"/>
      <c r="EZ1487" s="1268"/>
      <c r="FA1487" s="1268"/>
      <c r="FB1487" s="1268"/>
      <c r="FC1487" s="1268"/>
      <c r="FD1487" s="1268"/>
      <c r="FE1487" s="1268"/>
      <c r="FF1487" s="1268"/>
      <c r="FG1487" s="1268"/>
      <c r="FH1487" s="1268"/>
      <c r="FI1487" s="1268"/>
      <c r="FJ1487" s="1268"/>
      <c r="FK1487" s="1268"/>
      <c r="FL1487" s="1268"/>
      <c r="FM1487" s="1268"/>
      <c r="FN1487" s="1268"/>
      <c r="FO1487" s="1268"/>
      <c r="FP1487" s="1268"/>
      <c r="FQ1487" s="1268"/>
      <c r="FR1487" s="1268"/>
      <c r="FS1487" s="1268"/>
      <c r="FT1487" s="1268"/>
      <c r="FU1487" s="1268"/>
      <c r="FV1487" s="1268"/>
      <c r="FW1487" s="1268"/>
      <c r="FX1487" s="1268"/>
      <c r="FY1487" s="1268"/>
      <c r="FZ1487" s="1268"/>
      <c r="GA1487" s="1268"/>
      <c r="GB1487" s="1268"/>
      <c r="GC1487" s="1268"/>
      <c r="GD1487" s="1268"/>
      <c r="GE1487" s="1268"/>
      <c r="GF1487" s="1268"/>
      <c r="GG1487" s="1268"/>
      <c r="GH1487" s="1268"/>
      <c r="GI1487" s="1268"/>
      <c r="GJ1487" s="1268"/>
      <c r="GK1487" s="1268"/>
      <c r="GL1487" s="1268"/>
      <c r="GM1487" s="1268"/>
      <c r="GN1487" s="1268"/>
      <c r="GO1487" s="1268"/>
      <c r="GP1487" s="1268"/>
      <c r="GQ1487" s="1268"/>
      <c r="GR1487" s="1268"/>
      <c r="GS1487" s="1268"/>
      <c r="GT1487" s="1268"/>
      <c r="GU1487" s="1268"/>
      <c r="GV1487" s="1268"/>
      <c r="GW1487" s="1268"/>
      <c r="GX1487" s="1268"/>
      <c r="GY1487" s="1268"/>
      <c r="GZ1487" s="1268"/>
      <c r="HA1487" s="1268"/>
      <c r="HB1487" s="1268"/>
      <c r="HC1487" s="1268"/>
      <c r="HD1487" s="1268"/>
      <c r="HE1487" s="1268"/>
      <c r="HF1487" s="1268"/>
      <c r="HG1487" s="1268"/>
      <c r="HH1487" s="1268"/>
      <c r="HI1487" s="1268"/>
      <c r="HJ1487" s="1268"/>
      <c r="HK1487" s="1268"/>
      <c r="HL1487" s="1268"/>
      <c r="HM1487" s="1268"/>
      <c r="HN1487" s="1268"/>
      <c r="HO1487" s="1268"/>
      <c r="HP1487" s="1268"/>
      <c r="HQ1487" s="1268"/>
      <c r="HR1487" s="1268"/>
      <c r="HS1487" s="1268"/>
      <c r="HT1487" s="1268"/>
      <c r="HU1487" s="1268"/>
      <c r="HV1487" s="1268"/>
      <c r="HW1487" s="1268"/>
      <c r="HX1487" s="1268"/>
      <c r="HY1487" s="1268"/>
      <c r="HZ1487" s="1268"/>
      <c r="IA1487" s="1268"/>
      <c r="IB1487" s="1268"/>
      <c r="IC1487" s="1268"/>
      <c r="ID1487" s="1268"/>
      <c r="IE1487" s="1268"/>
      <c r="IF1487" s="1268"/>
      <c r="IG1487" s="1268"/>
      <c r="IH1487" s="1268"/>
      <c r="II1487" s="1268"/>
      <c r="IJ1487" s="1268"/>
      <c r="IK1487" s="1268"/>
      <c r="IL1487" s="1268"/>
      <c r="IM1487" s="1268"/>
      <c r="IN1487" s="1268"/>
      <c r="IO1487" s="1268"/>
      <c r="IP1487" s="1268"/>
      <c r="IQ1487" s="1268"/>
      <c r="IR1487" s="1268"/>
      <c r="IS1487" s="1268"/>
      <c r="IT1487" s="1268"/>
      <c r="IU1487" s="1268"/>
      <c r="IV1487" s="1268"/>
      <c r="IW1487" s="1268"/>
      <c r="IX1487" s="1268"/>
      <c r="IY1487" s="1268"/>
      <c r="IZ1487" s="1268"/>
      <c r="JA1487" s="1268"/>
      <c r="JB1487" s="1268"/>
      <c r="JC1487" s="1268"/>
      <c r="JD1487" s="1268"/>
      <c r="JE1487" s="1268"/>
      <c r="JF1487" s="1268"/>
      <c r="JG1487" s="1268"/>
      <c r="JH1487" s="1268"/>
      <c r="JI1487" s="1268"/>
      <c r="JJ1487" s="1268"/>
      <c r="JK1487" s="1268"/>
      <c r="JL1487" s="1268"/>
      <c r="JM1487" s="1268"/>
      <c r="JN1487" s="1268"/>
      <c r="JO1487" s="1268"/>
      <c r="JP1487" s="1268"/>
      <c r="JQ1487" s="1268"/>
      <c r="JR1487" s="1268"/>
      <c r="JS1487" s="1268"/>
      <c r="JT1487" s="1268"/>
      <c r="JU1487" s="1268"/>
      <c r="JV1487" s="1268"/>
      <c r="JW1487" s="1268"/>
      <c r="JX1487" s="1268"/>
      <c r="JY1487" s="1268"/>
      <c r="JZ1487" s="1268"/>
      <c r="KA1487" s="1268"/>
      <c r="KB1487" s="1268"/>
      <c r="KC1487" s="1268"/>
      <c r="KD1487" s="1268"/>
      <c r="KE1487" s="1268"/>
      <c r="KF1487" s="1268"/>
      <c r="KG1487" s="1268"/>
      <c r="KH1487" s="1268"/>
      <c r="KI1487" s="1268"/>
      <c r="KJ1487" s="1268"/>
      <c r="KK1487" s="1268"/>
      <c r="KL1487" s="1268"/>
      <c r="KM1487" s="1268"/>
      <c r="KN1487" s="1268"/>
      <c r="KO1487" s="1268"/>
      <c r="KP1487" s="1268"/>
      <c r="KQ1487" s="1268"/>
      <c r="KR1487" s="1268"/>
      <c r="KS1487" s="1268"/>
      <c r="KT1487" s="1268"/>
      <c r="KU1487" s="1268"/>
      <c r="KV1487" s="1268"/>
      <c r="KW1487" s="1268"/>
      <c r="KX1487" s="1268"/>
      <c r="KY1487" s="1268"/>
      <c r="KZ1487" s="1268"/>
      <c r="LA1487" s="1268"/>
      <c r="LB1487" s="1268"/>
      <c r="LC1487" s="1268"/>
      <c r="LD1487" s="1268"/>
      <c r="LE1487" s="1268"/>
      <c r="LF1487" s="1268"/>
      <c r="LG1487" s="1268"/>
      <c r="LH1487" s="1268"/>
      <c r="LI1487" s="1268"/>
      <c r="LJ1487" s="1268"/>
      <c r="LK1487" s="1268"/>
      <c r="LL1487" s="1268"/>
      <c r="LM1487" s="1268"/>
      <c r="LN1487" s="1268"/>
      <c r="LO1487" s="1268"/>
      <c r="LP1487" s="1268"/>
      <c r="LQ1487" s="1268"/>
      <c r="LR1487" s="1268"/>
      <c r="LS1487" s="1268"/>
      <c r="LT1487" s="1268"/>
      <c r="LU1487" s="1268"/>
      <c r="LV1487" s="1268"/>
      <c r="LW1487" s="1268"/>
      <c r="LX1487" s="1268"/>
      <c r="LY1487" s="1268"/>
      <c r="LZ1487" s="1268"/>
      <c r="MA1487" s="1268"/>
      <c r="MB1487" s="1268"/>
      <c r="MC1487" s="1268"/>
      <c r="MD1487" s="1268"/>
      <c r="ME1487" s="1268"/>
      <c r="MF1487" s="1268"/>
      <c r="MG1487" s="1268"/>
      <c r="MH1487" s="1268"/>
      <c r="MI1487" s="1268"/>
      <c r="MJ1487" s="1268"/>
      <c r="MK1487" s="1268"/>
      <c r="ML1487" s="1268"/>
      <c r="MM1487" s="1268"/>
      <c r="MN1487" s="1268"/>
      <c r="MO1487" s="1268"/>
      <c r="MP1487" s="1268"/>
      <c r="MQ1487" s="1268"/>
      <c r="MR1487" s="1268"/>
      <c r="MS1487" s="1268"/>
      <c r="MT1487" s="1268"/>
      <c r="MU1487" s="1268"/>
      <c r="MV1487" s="1268"/>
      <c r="MW1487" s="1268"/>
      <c r="MX1487" s="1268"/>
      <c r="MY1487" s="1268"/>
      <c r="MZ1487" s="1268"/>
      <c r="NA1487" s="1268"/>
      <c r="NB1487" s="1268"/>
      <c r="NC1487" s="1268"/>
      <c r="ND1487" s="1268"/>
      <c r="NE1487" s="1268"/>
      <c r="NF1487" s="1268"/>
      <c r="NG1487" s="1268"/>
      <c r="NH1487" s="1268"/>
      <c r="NI1487" s="1268"/>
      <c r="NJ1487" s="1268"/>
      <c r="NK1487" s="1268"/>
      <c r="NL1487" s="1268"/>
      <c r="NM1487" s="1268"/>
      <c r="NN1487" s="1268"/>
      <c r="NO1487" s="1268"/>
      <c r="NP1487" s="1268"/>
      <c r="NQ1487" s="1268"/>
      <c r="NR1487" s="1268"/>
      <c r="NS1487" s="1268"/>
      <c r="NT1487" s="1268"/>
      <c r="NU1487" s="1268"/>
      <c r="NV1487" s="1268"/>
      <c r="NW1487" s="1268"/>
      <c r="NX1487" s="1268"/>
      <c r="NY1487" s="1268"/>
      <c r="NZ1487" s="1268"/>
      <c r="OA1487" s="1268"/>
      <c r="OB1487" s="1268"/>
      <c r="OC1487" s="1268"/>
      <c r="OD1487" s="1268"/>
      <c r="OE1487" s="1268"/>
      <c r="OF1487" s="1268"/>
      <c r="OG1487" s="1268"/>
      <c r="OH1487" s="1268"/>
      <c r="OI1487" s="1268"/>
      <c r="OJ1487" s="1268"/>
      <c r="OK1487" s="1268"/>
      <c r="OL1487" s="1268"/>
      <c r="OM1487" s="1268"/>
      <c r="ON1487" s="1268"/>
      <c r="OO1487" s="1268"/>
      <c r="OP1487" s="1268"/>
      <c r="OQ1487" s="1268"/>
      <c r="OR1487" s="1268"/>
      <c r="OS1487" s="1268"/>
      <c r="OT1487" s="1268"/>
      <c r="OU1487" s="1268"/>
      <c r="OV1487" s="1268"/>
      <c r="OW1487" s="1268"/>
      <c r="OX1487" s="1268"/>
      <c r="OY1487" s="1268"/>
      <c r="OZ1487" s="1268"/>
      <c r="PA1487" s="1268"/>
      <c r="PB1487" s="1268"/>
      <c r="PC1487" s="1268"/>
      <c r="PD1487" s="1268"/>
      <c r="PE1487" s="1268"/>
      <c r="PF1487" s="1268"/>
      <c r="PG1487" s="1268"/>
      <c r="PH1487" s="1268"/>
      <c r="PI1487" s="1268"/>
      <c r="PJ1487" s="1268"/>
      <c r="PK1487" s="1268"/>
      <c r="PL1487" s="1268"/>
      <c r="PM1487" s="1268"/>
      <c r="PN1487" s="1268"/>
      <c r="PO1487" s="1268"/>
      <c r="PP1487" s="1268"/>
      <c r="PQ1487" s="1268"/>
      <c r="PR1487" s="1268"/>
      <c r="PS1487" s="1268"/>
      <c r="PT1487" s="1268"/>
      <c r="PU1487" s="1268"/>
      <c r="PV1487" s="1268"/>
      <c r="PW1487" s="1268"/>
      <c r="PX1487" s="1268"/>
      <c r="PY1487" s="1268"/>
      <c r="PZ1487" s="1268"/>
      <c r="QA1487" s="1268"/>
      <c r="QB1487" s="1268"/>
      <c r="QC1487" s="1268"/>
      <c r="QD1487" s="1268"/>
      <c r="QE1487" s="1268"/>
      <c r="QF1487" s="1268"/>
      <c r="QG1487" s="1268"/>
      <c r="QH1487" s="1268"/>
      <c r="QI1487" s="1268"/>
      <c r="QJ1487" s="1268"/>
      <c r="QK1487" s="1268"/>
      <c r="QL1487" s="1268"/>
      <c r="QM1487" s="1268"/>
      <c r="QN1487" s="1268"/>
      <c r="QO1487" s="1268"/>
      <c r="QP1487" s="1268"/>
      <c r="QQ1487" s="1268"/>
      <c r="QR1487" s="1268"/>
      <c r="QS1487" s="1268"/>
      <c r="QT1487" s="1268"/>
      <c r="QU1487" s="1268"/>
      <c r="QV1487" s="1268"/>
      <c r="QW1487" s="1268"/>
      <c r="QX1487" s="1268"/>
      <c r="QY1487" s="1268"/>
      <c r="QZ1487" s="1268"/>
      <c r="RA1487" s="1268"/>
      <c r="RB1487" s="1268"/>
      <c r="RC1487" s="1268"/>
      <c r="RD1487" s="1268"/>
      <c r="RE1487" s="1268"/>
      <c r="RF1487" s="1268"/>
      <c r="RG1487" s="1268"/>
      <c r="RH1487" s="1268"/>
      <c r="RI1487" s="1268"/>
      <c r="RJ1487" s="1268"/>
      <c r="RK1487" s="1268"/>
      <c r="RL1487" s="1268"/>
      <c r="RM1487" s="1268"/>
      <c r="RN1487" s="1268"/>
      <c r="RO1487" s="1268"/>
      <c r="RP1487" s="1268"/>
      <c r="RQ1487" s="1268"/>
      <c r="RR1487" s="1268"/>
      <c r="RS1487" s="1268"/>
      <c r="RT1487" s="1268"/>
      <c r="RU1487" s="1268"/>
      <c r="RV1487" s="1268"/>
      <c r="RW1487" s="1268"/>
      <c r="RX1487" s="1268"/>
      <c r="RY1487" s="1268"/>
      <c r="RZ1487" s="1268"/>
      <c r="SA1487" s="1268"/>
      <c r="SB1487" s="1268"/>
      <c r="SC1487" s="1268"/>
      <c r="SD1487" s="1268"/>
      <c r="SE1487" s="1268"/>
      <c r="SF1487" s="1268"/>
      <c r="SG1487" s="1268"/>
      <c r="SH1487" s="1268"/>
      <c r="SI1487" s="1268"/>
      <c r="SJ1487" s="1268"/>
      <c r="SK1487" s="1268"/>
      <c r="SL1487" s="1268"/>
      <c r="SM1487" s="1268"/>
      <c r="SN1487" s="1268"/>
      <c r="SO1487" s="1268"/>
      <c r="SP1487" s="1268"/>
      <c r="SQ1487" s="1268"/>
      <c r="SR1487" s="1268"/>
      <c r="SS1487" s="1268"/>
      <c r="ST1487" s="1268"/>
      <c r="SU1487" s="1268"/>
      <c r="SV1487" s="1268"/>
      <c r="SW1487" s="1268"/>
      <c r="SX1487" s="1268"/>
      <c r="SY1487" s="1268"/>
      <c r="SZ1487" s="1268"/>
      <c r="TA1487" s="1268"/>
      <c r="TB1487" s="1268"/>
      <c r="TC1487" s="1268"/>
      <c r="TD1487" s="1268"/>
      <c r="TE1487" s="1268"/>
      <c r="TF1487" s="1268"/>
      <c r="TG1487" s="1268"/>
      <c r="TH1487" s="1268"/>
      <c r="TI1487" s="1268"/>
      <c r="TJ1487" s="1268"/>
      <c r="TK1487" s="1268"/>
      <c r="TL1487" s="1268"/>
      <c r="TM1487" s="1268"/>
      <c r="TN1487" s="1268"/>
      <c r="TO1487" s="1268"/>
      <c r="TP1487" s="1268"/>
      <c r="TQ1487" s="1268"/>
      <c r="TR1487" s="1268"/>
      <c r="TS1487" s="1268"/>
      <c r="TT1487" s="1268"/>
      <c r="TU1487" s="1268"/>
      <c r="TV1487" s="1268"/>
      <c r="TW1487" s="1268"/>
      <c r="TX1487" s="1268"/>
      <c r="TY1487" s="1268"/>
      <c r="TZ1487" s="1268"/>
      <c r="UA1487" s="1268"/>
      <c r="UB1487" s="1268"/>
      <c r="UC1487" s="1268"/>
      <c r="UD1487" s="1268"/>
      <c r="UE1487" s="1268"/>
      <c r="UF1487" s="1268"/>
      <c r="UG1487" s="1268"/>
    </row>
    <row r="1488" spans="1:553" s="1262" customFormat="1" ht="19.149999999999999" customHeight="1">
      <c r="A1488" s="356" t="s">
        <v>15</v>
      </c>
      <c r="B1488" s="356"/>
      <c r="C1488" s="1586" t="s">
        <v>807</v>
      </c>
      <c r="D1488" s="1389"/>
      <c r="E1488" s="1389"/>
      <c r="F1488" s="1390"/>
      <c r="G1488" s="418" t="s">
        <v>46</v>
      </c>
      <c r="H1488" s="370"/>
      <c r="I1488" s="1293">
        <f>(157.21*100/1100)*(12-(5-2))*2</f>
        <v>257.25272727272727</v>
      </c>
      <c r="J1488" s="368">
        <v>15400</v>
      </c>
      <c r="K1488" s="565">
        <v>0.7</v>
      </c>
      <c r="L1488" s="571">
        <f>ROUND(PRODUCT(I1488:K1488),0)</f>
        <v>2773184</v>
      </c>
      <c r="M1488" s="356"/>
      <c r="N1488" s="356"/>
      <c r="O1488" s="356"/>
      <c r="P1488" s="356"/>
      <c r="Q1488" s="610"/>
      <c r="R1488" s="1452"/>
      <c r="S1488" s="308"/>
      <c r="T1488" s="308"/>
      <c r="U1488" s="308"/>
      <c r="V1488" s="308"/>
      <c r="W1488" s="308"/>
      <c r="X1488" s="308"/>
      <c r="Y1488" s="308"/>
      <c r="Z1488" s="604"/>
      <c r="AA1488" s="308"/>
      <c r="AB1488" s="308"/>
      <c r="AC1488" s="486"/>
      <c r="AD1488" s="486"/>
      <c r="AE1488" s="486"/>
      <c r="AF1488" s="486"/>
      <c r="AG1488" s="486"/>
      <c r="AH1488" s="486"/>
      <c r="AI1488" s="486"/>
      <c r="AJ1488" s="486"/>
      <c r="AK1488" s="486"/>
      <c r="AL1488" s="1267"/>
      <c r="AM1488" s="1268"/>
      <c r="AN1488" s="1268"/>
      <c r="AO1488" s="1268"/>
      <c r="AP1488" s="1268"/>
      <c r="AQ1488" s="1268"/>
      <c r="AR1488" s="1268"/>
      <c r="AS1488" s="1268"/>
      <c r="AT1488" s="1268"/>
      <c r="AU1488" s="1268"/>
      <c r="AV1488" s="1268"/>
      <c r="AW1488" s="1268"/>
      <c r="AX1488" s="1268"/>
      <c r="AY1488" s="1268"/>
      <c r="AZ1488" s="1268"/>
      <c r="BA1488" s="1268"/>
      <c r="BB1488" s="1268"/>
      <c r="BC1488" s="1268"/>
      <c r="BD1488" s="1268"/>
      <c r="BE1488" s="1268"/>
      <c r="BF1488" s="1268"/>
      <c r="BG1488" s="1268"/>
      <c r="BH1488" s="1268"/>
      <c r="BI1488" s="1268"/>
      <c r="BJ1488" s="1268"/>
      <c r="BK1488" s="1268"/>
      <c r="BL1488" s="1268"/>
      <c r="BM1488" s="1268"/>
      <c r="BN1488" s="1268"/>
      <c r="BO1488" s="1268"/>
      <c r="BP1488" s="1268"/>
      <c r="BQ1488" s="1268"/>
      <c r="BR1488" s="1268"/>
      <c r="BS1488" s="1268"/>
      <c r="BT1488" s="1268"/>
      <c r="BU1488" s="1268"/>
      <c r="BV1488" s="1268"/>
      <c r="BW1488" s="1268"/>
      <c r="BX1488" s="1268"/>
      <c r="BY1488" s="1268"/>
      <c r="BZ1488" s="1268"/>
      <c r="CA1488" s="1268"/>
      <c r="CB1488" s="1268"/>
      <c r="CC1488" s="1268"/>
      <c r="CD1488" s="1268"/>
      <c r="CE1488" s="1268"/>
      <c r="CF1488" s="1268"/>
      <c r="CG1488" s="1268"/>
      <c r="CH1488" s="1268"/>
      <c r="CI1488" s="1268"/>
      <c r="CJ1488" s="1268"/>
      <c r="CK1488" s="1268"/>
      <c r="CL1488" s="1268"/>
      <c r="CM1488" s="1268"/>
      <c r="CN1488" s="1268"/>
      <c r="CO1488" s="1268"/>
      <c r="CP1488" s="1268"/>
      <c r="CQ1488" s="1268"/>
      <c r="CR1488" s="1268"/>
      <c r="CS1488" s="1268"/>
      <c r="CT1488" s="1268"/>
      <c r="CU1488" s="1268"/>
      <c r="CV1488" s="1268"/>
      <c r="CW1488" s="1268"/>
      <c r="CX1488" s="1268"/>
      <c r="CY1488" s="1268"/>
      <c r="CZ1488" s="1268"/>
      <c r="DA1488" s="1268"/>
      <c r="DB1488" s="1268"/>
      <c r="DC1488" s="1268"/>
      <c r="DD1488" s="1268"/>
      <c r="DE1488" s="1268"/>
      <c r="DF1488" s="1268"/>
      <c r="DG1488" s="1268"/>
      <c r="DH1488" s="1268"/>
      <c r="DI1488" s="1268"/>
      <c r="DJ1488" s="1268"/>
      <c r="DK1488" s="1268"/>
      <c r="DL1488" s="1268"/>
      <c r="DM1488" s="1268"/>
      <c r="DN1488" s="1268"/>
      <c r="DO1488" s="1268"/>
      <c r="DP1488" s="1268"/>
      <c r="DQ1488" s="1268"/>
      <c r="DR1488" s="1268"/>
      <c r="DS1488" s="1268"/>
      <c r="DT1488" s="1268"/>
      <c r="DU1488" s="1268"/>
      <c r="DV1488" s="1268"/>
      <c r="DW1488" s="1268"/>
      <c r="DX1488" s="1268"/>
      <c r="DY1488" s="1268"/>
      <c r="DZ1488" s="1268"/>
      <c r="EA1488" s="1268"/>
      <c r="EB1488" s="1268"/>
      <c r="EC1488" s="1268"/>
      <c r="ED1488" s="1268"/>
      <c r="EE1488" s="1268"/>
      <c r="EF1488" s="1268"/>
      <c r="EG1488" s="1268"/>
      <c r="EH1488" s="1268"/>
      <c r="EI1488" s="1268"/>
      <c r="EJ1488" s="1268"/>
      <c r="EK1488" s="1268"/>
      <c r="EL1488" s="1268"/>
      <c r="EM1488" s="1268"/>
      <c r="EN1488" s="1268"/>
      <c r="EO1488" s="1268"/>
      <c r="EP1488" s="1268"/>
      <c r="EQ1488" s="1268"/>
      <c r="ER1488" s="1268"/>
      <c r="ES1488" s="1268"/>
      <c r="ET1488" s="1268"/>
      <c r="EU1488" s="1268"/>
      <c r="EV1488" s="1268"/>
      <c r="EW1488" s="1268"/>
      <c r="EX1488" s="1268"/>
      <c r="EY1488" s="1268"/>
      <c r="EZ1488" s="1268"/>
      <c r="FA1488" s="1268"/>
      <c r="FB1488" s="1268"/>
      <c r="FC1488" s="1268"/>
      <c r="FD1488" s="1268"/>
      <c r="FE1488" s="1268"/>
      <c r="FF1488" s="1268"/>
      <c r="FG1488" s="1268"/>
      <c r="FH1488" s="1268"/>
      <c r="FI1488" s="1268"/>
      <c r="FJ1488" s="1268"/>
      <c r="FK1488" s="1268"/>
      <c r="FL1488" s="1268"/>
      <c r="FM1488" s="1268"/>
      <c r="FN1488" s="1268"/>
      <c r="FO1488" s="1268"/>
      <c r="FP1488" s="1268"/>
      <c r="FQ1488" s="1268"/>
      <c r="FR1488" s="1268"/>
      <c r="FS1488" s="1268"/>
      <c r="FT1488" s="1268"/>
      <c r="FU1488" s="1268"/>
      <c r="FV1488" s="1268"/>
      <c r="FW1488" s="1268"/>
      <c r="FX1488" s="1268"/>
      <c r="FY1488" s="1268"/>
      <c r="FZ1488" s="1268"/>
      <c r="GA1488" s="1268"/>
      <c r="GB1488" s="1268"/>
      <c r="GC1488" s="1268"/>
      <c r="GD1488" s="1268"/>
      <c r="GE1488" s="1268"/>
      <c r="GF1488" s="1268"/>
      <c r="GG1488" s="1268"/>
      <c r="GH1488" s="1268"/>
      <c r="GI1488" s="1268"/>
      <c r="GJ1488" s="1268"/>
      <c r="GK1488" s="1268"/>
      <c r="GL1488" s="1268"/>
      <c r="GM1488" s="1268"/>
      <c r="GN1488" s="1268"/>
      <c r="GO1488" s="1268"/>
      <c r="GP1488" s="1268"/>
      <c r="GQ1488" s="1268"/>
      <c r="GR1488" s="1268"/>
      <c r="GS1488" s="1268"/>
      <c r="GT1488" s="1268"/>
      <c r="GU1488" s="1268"/>
      <c r="GV1488" s="1268"/>
      <c r="GW1488" s="1268"/>
      <c r="GX1488" s="1268"/>
      <c r="GY1488" s="1268"/>
      <c r="GZ1488" s="1268"/>
      <c r="HA1488" s="1268"/>
      <c r="HB1488" s="1268"/>
      <c r="HC1488" s="1268"/>
      <c r="HD1488" s="1268"/>
      <c r="HE1488" s="1268"/>
      <c r="HF1488" s="1268"/>
      <c r="HG1488" s="1268"/>
      <c r="HH1488" s="1268"/>
      <c r="HI1488" s="1268"/>
      <c r="HJ1488" s="1268"/>
      <c r="HK1488" s="1268"/>
      <c r="HL1488" s="1268"/>
      <c r="HM1488" s="1268"/>
      <c r="HN1488" s="1268"/>
      <c r="HO1488" s="1268"/>
      <c r="HP1488" s="1268"/>
      <c r="HQ1488" s="1268"/>
      <c r="HR1488" s="1268"/>
      <c r="HS1488" s="1268"/>
      <c r="HT1488" s="1268"/>
      <c r="HU1488" s="1268"/>
      <c r="HV1488" s="1268"/>
      <c r="HW1488" s="1268"/>
      <c r="HX1488" s="1268"/>
      <c r="HY1488" s="1268"/>
      <c r="HZ1488" s="1268"/>
      <c r="IA1488" s="1268"/>
      <c r="IB1488" s="1268"/>
      <c r="IC1488" s="1268"/>
      <c r="ID1488" s="1268"/>
      <c r="IE1488" s="1268"/>
      <c r="IF1488" s="1268"/>
      <c r="IG1488" s="1268"/>
      <c r="IH1488" s="1268"/>
      <c r="II1488" s="1268"/>
      <c r="IJ1488" s="1268"/>
      <c r="IK1488" s="1268"/>
      <c r="IL1488" s="1268"/>
      <c r="IM1488" s="1268"/>
      <c r="IN1488" s="1268"/>
      <c r="IO1488" s="1268"/>
      <c r="IP1488" s="1268"/>
      <c r="IQ1488" s="1268"/>
      <c r="IR1488" s="1268"/>
      <c r="IS1488" s="1268"/>
      <c r="IT1488" s="1268"/>
      <c r="IU1488" s="1268"/>
      <c r="IV1488" s="1268"/>
      <c r="IW1488" s="1268"/>
      <c r="IX1488" s="1268"/>
      <c r="IY1488" s="1268"/>
      <c r="IZ1488" s="1268"/>
      <c r="JA1488" s="1268"/>
      <c r="JB1488" s="1268"/>
      <c r="JC1488" s="1268"/>
      <c r="JD1488" s="1268"/>
      <c r="JE1488" s="1268"/>
      <c r="JF1488" s="1268"/>
      <c r="JG1488" s="1268"/>
      <c r="JH1488" s="1268"/>
      <c r="JI1488" s="1268"/>
      <c r="JJ1488" s="1268"/>
      <c r="JK1488" s="1268"/>
      <c r="JL1488" s="1268"/>
      <c r="JM1488" s="1268"/>
      <c r="JN1488" s="1268"/>
      <c r="JO1488" s="1268"/>
      <c r="JP1488" s="1268"/>
      <c r="JQ1488" s="1268"/>
      <c r="JR1488" s="1268"/>
      <c r="JS1488" s="1268"/>
      <c r="JT1488" s="1268"/>
      <c r="JU1488" s="1268"/>
      <c r="JV1488" s="1268"/>
      <c r="JW1488" s="1268"/>
      <c r="JX1488" s="1268"/>
      <c r="JY1488" s="1268"/>
      <c r="JZ1488" s="1268"/>
      <c r="KA1488" s="1268"/>
      <c r="KB1488" s="1268"/>
      <c r="KC1488" s="1268"/>
      <c r="KD1488" s="1268"/>
      <c r="KE1488" s="1268"/>
      <c r="KF1488" s="1268"/>
      <c r="KG1488" s="1268"/>
      <c r="KH1488" s="1268"/>
      <c r="KI1488" s="1268"/>
      <c r="KJ1488" s="1268"/>
      <c r="KK1488" s="1268"/>
      <c r="KL1488" s="1268"/>
      <c r="KM1488" s="1268"/>
      <c r="KN1488" s="1268"/>
      <c r="KO1488" s="1268"/>
      <c r="KP1488" s="1268"/>
      <c r="KQ1488" s="1268"/>
      <c r="KR1488" s="1268"/>
      <c r="KS1488" s="1268"/>
      <c r="KT1488" s="1268"/>
      <c r="KU1488" s="1268"/>
      <c r="KV1488" s="1268"/>
      <c r="KW1488" s="1268"/>
      <c r="KX1488" s="1268"/>
      <c r="KY1488" s="1268"/>
      <c r="KZ1488" s="1268"/>
      <c r="LA1488" s="1268"/>
      <c r="LB1488" s="1268"/>
      <c r="LC1488" s="1268"/>
      <c r="LD1488" s="1268"/>
      <c r="LE1488" s="1268"/>
      <c r="LF1488" s="1268"/>
      <c r="LG1488" s="1268"/>
      <c r="LH1488" s="1268"/>
      <c r="LI1488" s="1268"/>
      <c r="LJ1488" s="1268"/>
      <c r="LK1488" s="1268"/>
      <c r="LL1488" s="1268"/>
      <c r="LM1488" s="1268"/>
      <c r="LN1488" s="1268"/>
      <c r="LO1488" s="1268"/>
      <c r="LP1488" s="1268"/>
      <c r="LQ1488" s="1268"/>
      <c r="LR1488" s="1268"/>
      <c r="LS1488" s="1268"/>
      <c r="LT1488" s="1268"/>
      <c r="LU1488" s="1268"/>
      <c r="LV1488" s="1268"/>
      <c r="LW1488" s="1268"/>
      <c r="LX1488" s="1268"/>
      <c r="LY1488" s="1268"/>
      <c r="LZ1488" s="1268"/>
      <c r="MA1488" s="1268"/>
      <c r="MB1488" s="1268"/>
      <c r="MC1488" s="1268"/>
      <c r="MD1488" s="1268"/>
      <c r="ME1488" s="1268"/>
      <c r="MF1488" s="1268"/>
      <c r="MG1488" s="1268"/>
      <c r="MH1488" s="1268"/>
      <c r="MI1488" s="1268"/>
      <c r="MJ1488" s="1268"/>
      <c r="MK1488" s="1268"/>
      <c r="ML1488" s="1268"/>
      <c r="MM1488" s="1268"/>
      <c r="MN1488" s="1268"/>
      <c r="MO1488" s="1268"/>
      <c r="MP1488" s="1268"/>
      <c r="MQ1488" s="1268"/>
      <c r="MR1488" s="1268"/>
      <c r="MS1488" s="1268"/>
      <c r="MT1488" s="1268"/>
      <c r="MU1488" s="1268"/>
      <c r="MV1488" s="1268"/>
      <c r="MW1488" s="1268"/>
      <c r="MX1488" s="1268"/>
      <c r="MY1488" s="1268"/>
      <c r="MZ1488" s="1268"/>
      <c r="NA1488" s="1268"/>
      <c r="NB1488" s="1268"/>
      <c r="NC1488" s="1268"/>
      <c r="ND1488" s="1268"/>
      <c r="NE1488" s="1268"/>
      <c r="NF1488" s="1268"/>
      <c r="NG1488" s="1268"/>
      <c r="NH1488" s="1268"/>
      <c r="NI1488" s="1268"/>
      <c r="NJ1488" s="1268"/>
      <c r="NK1488" s="1268"/>
      <c r="NL1488" s="1268"/>
      <c r="NM1488" s="1268"/>
      <c r="NN1488" s="1268"/>
      <c r="NO1488" s="1268"/>
      <c r="NP1488" s="1268"/>
      <c r="NQ1488" s="1268"/>
      <c r="NR1488" s="1268"/>
      <c r="NS1488" s="1268"/>
      <c r="NT1488" s="1268"/>
      <c r="NU1488" s="1268"/>
      <c r="NV1488" s="1268"/>
      <c r="NW1488" s="1268"/>
      <c r="NX1488" s="1268"/>
      <c r="NY1488" s="1268"/>
      <c r="NZ1488" s="1268"/>
      <c r="OA1488" s="1268"/>
      <c r="OB1488" s="1268"/>
      <c r="OC1488" s="1268"/>
      <c r="OD1488" s="1268"/>
      <c r="OE1488" s="1268"/>
      <c r="OF1488" s="1268"/>
      <c r="OG1488" s="1268"/>
      <c r="OH1488" s="1268"/>
      <c r="OI1488" s="1268"/>
      <c r="OJ1488" s="1268"/>
      <c r="OK1488" s="1268"/>
      <c r="OL1488" s="1268"/>
      <c r="OM1488" s="1268"/>
      <c r="ON1488" s="1268"/>
      <c r="OO1488" s="1268"/>
      <c r="OP1488" s="1268"/>
      <c r="OQ1488" s="1268"/>
      <c r="OR1488" s="1268"/>
      <c r="OS1488" s="1268"/>
      <c r="OT1488" s="1268"/>
      <c r="OU1488" s="1268"/>
      <c r="OV1488" s="1268"/>
      <c r="OW1488" s="1268"/>
      <c r="OX1488" s="1268"/>
      <c r="OY1488" s="1268"/>
      <c r="OZ1488" s="1268"/>
      <c r="PA1488" s="1268"/>
      <c r="PB1488" s="1268"/>
      <c r="PC1488" s="1268"/>
      <c r="PD1488" s="1268"/>
      <c r="PE1488" s="1268"/>
      <c r="PF1488" s="1268"/>
      <c r="PG1488" s="1268"/>
      <c r="PH1488" s="1268"/>
      <c r="PI1488" s="1268"/>
      <c r="PJ1488" s="1268"/>
      <c r="PK1488" s="1268"/>
      <c r="PL1488" s="1268"/>
      <c r="PM1488" s="1268"/>
      <c r="PN1488" s="1268"/>
      <c r="PO1488" s="1268"/>
      <c r="PP1488" s="1268"/>
      <c r="PQ1488" s="1268"/>
      <c r="PR1488" s="1268"/>
      <c r="PS1488" s="1268"/>
      <c r="PT1488" s="1268"/>
      <c r="PU1488" s="1268"/>
      <c r="PV1488" s="1268"/>
      <c r="PW1488" s="1268"/>
      <c r="PX1488" s="1268"/>
      <c r="PY1488" s="1268"/>
      <c r="PZ1488" s="1268"/>
      <c r="QA1488" s="1268"/>
      <c r="QB1488" s="1268"/>
      <c r="QC1488" s="1268"/>
      <c r="QD1488" s="1268"/>
      <c r="QE1488" s="1268"/>
      <c r="QF1488" s="1268"/>
      <c r="QG1488" s="1268"/>
      <c r="QH1488" s="1268"/>
      <c r="QI1488" s="1268"/>
      <c r="QJ1488" s="1268"/>
      <c r="QK1488" s="1268"/>
      <c r="QL1488" s="1268"/>
      <c r="QM1488" s="1268"/>
      <c r="QN1488" s="1268"/>
      <c r="QO1488" s="1268"/>
      <c r="QP1488" s="1268"/>
      <c r="QQ1488" s="1268"/>
      <c r="QR1488" s="1268"/>
      <c r="QS1488" s="1268"/>
      <c r="QT1488" s="1268"/>
      <c r="QU1488" s="1268"/>
      <c r="QV1488" s="1268"/>
      <c r="QW1488" s="1268"/>
      <c r="QX1488" s="1268"/>
      <c r="QY1488" s="1268"/>
      <c r="QZ1488" s="1268"/>
      <c r="RA1488" s="1268"/>
      <c r="RB1488" s="1268"/>
      <c r="RC1488" s="1268"/>
      <c r="RD1488" s="1268"/>
      <c r="RE1488" s="1268"/>
      <c r="RF1488" s="1268"/>
      <c r="RG1488" s="1268"/>
      <c r="RH1488" s="1268"/>
      <c r="RI1488" s="1268"/>
      <c r="RJ1488" s="1268"/>
      <c r="RK1488" s="1268"/>
      <c r="RL1488" s="1268"/>
      <c r="RM1488" s="1268"/>
      <c r="RN1488" s="1268"/>
      <c r="RO1488" s="1268"/>
      <c r="RP1488" s="1268"/>
      <c r="RQ1488" s="1268"/>
      <c r="RR1488" s="1268"/>
      <c r="RS1488" s="1268"/>
      <c r="RT1488" s="1268"/>
      <c r="RU1488" s="1268"/>
      <c r="RV1488" s="1268"/>
      <c r="RW1488" s="1268"/>
      <c r="RX1488" s="1268"/>
      <c r="RY1488" s="1268"/>
      <c r="RZ1488" s="1268"/>
      <c r="SA1488" s="1268"/>
      <c r="SB1488" s="1268"/>
      <c r="SC1488" s="1268"/>
      <c r="SD1488" s="1268"/>
      <c r="SE1488" s="1268"/>
      <c r="SF1488" s="1268"/>
      <c r="SG1488" s="1268"/>
      <c r="SH1488" s="1268"/>
      <c r="SI1488" s="1268"/>
      <c r="SJ1488" s="1268"/>
      <c r="SK1488" s="1268"/>
      <c r="SL1488" s="1268"/>
      <c r="SM1488" s="1268"/>
      <c r="SN1488" s="1268"/>
      <c r="SO1488" s="1268"/>
      <c r="SP1488" s="1268"/>
      <c r="SQ1488" s="1268"/>
      <c r="SR1488" s="1268"/>
      <c r="SS1488" s="1268"/>
      <c r="ST1488" s="1268"/>
      <c r="SU1488" s="1268"/>
      <c r="SV1488" s="1268"/>
      <c r="SW1488" s="1268"/>
      <c r="SX1488" s="1268"/>
      <c r="SY1488" s="1268"/>
      <c r="SZ1488" s="1268"/>
      <c r="TA1488" s="1268"/>
      <c r="TB1488" s="1268"/>
      <c r="TC1488" s="1268"/>
      <c r="TD1488" s="1268"/>
      <c r="TE1488" s="1268"/>
      <c r="TF1488" s="1268"/>
      <c r="TG1488" s="1268"/>
      <c r="TH1488" s="1268"/>
      <c r="TI1488" s="1268"/>
      <c r="TJ1488" s="1268"/>
      <c r="TK1488" s="1268"/>
      <c r="TL1488" s="1268"/>
      <c r="TM1488" s="1268"/>
      <c r="TN1488" s="1268"/>
      <c r="TO1488" s="1268"/>
      <c r="TP1488" s="1268"/>
      <c r="TQ1488" s="1268"/>
      <c r="TR1488" s="1268"/>
      <c r="TS1488" s="1268"/>
      <c r="TT1488" s="1268"/>
      <c r="TU1488" s="1268"/>
      <c r="TV1488" s="1268"/>
      <c r="TW1488" s="1268"/>
      <c r="TX1488" s="1268"/>
      <c r="TY1488" s="1268"/>
      <c r="TZ1488" s="1268"/>
      <c r="UA1488" s="1268"/>
      <c r="UB1488" s="1268"/>
      <c r="UC1488" s="1268"/>
      <c r="UD1488" s="1268"/>
      <c r="UE1488" s="1268"/>
      <c r="UF1488" s="1268"/>
      <c r="UG1488" s="1268"/>
    </row>
    <row r="1489" spans="1:553" s="1262" customFormat="1" ht="19.149999999999999" customHeight="1">
      <c r="A1489" s="356" t="s">
        <v>15</v>
      </c>
      <c r="B1489" s="356"/>
      <c r="C1489" s="1586" t="s">
        <v>259</v>
      </c>
      <c r="D1489" s="1389"/>
      <c r="E1489" s="1389"/>
      <c r="F1489" s="1390"/>
      <c r="G1489" s="418" t="s">
        <v>46</v>
      </c>
      <c r="H1489" s="370"/>
      <c r="I1489" s="504">
        <f>(31.98*100/400)*(17-(5-3))*2</f>
        <v>239.85</v>
      </c>
      <c r="J1489" s="368">
        <v>5800</v>
      </c>
      <c r="K1489" s="565">
        <v>0.7</v>
      </c>
      <c r="L1489" s="368">
        <f>ROUND(PRODUCT(I1489:K1489),0)</f>
        <v>973791</v>
      </c>
      <c r="M1489" s="356"/>
      <c r="N1489" s="356"/>
      <c r="O1489" s="356"/>
      <c r="P1489" s="356"/>
      <c r="Q1489" s="610"/>
      <c r="R1489" s="1452"/>
      <c r="S1489" s="308"/>
      <c r="T1489" s="308"/>
      <c r="U1489" s="308"/>
      <c r="V1489" s="308"/>
      <c r="W1489" s="308"/>
      <c r="X1489" s="308"/>
      <c r="Y1489" s="308"/>
      <c r="Z1489" s="604"/>
      <c r="AA1489" s="308"/>
      <c r="AB1489" s="308"/>
      <c r="AC1489" s="486"/>
      <c r="AD1489" s="486"/>
      <c r="AE1489" s="486"/>
      <c r="AF1489" s="486"/>
      <c r="AG1489" s="486"/>
      <c r="AH1489" s="486"/>
      <c r="AI1489" s="486"/>
      <c r="AJ1489" s="486"/>
      <c r="AK1489" s="486"/>
      <c r="AL1489" s="1267"/>
      <c r="AM1489" s="1268"/>
      <c r="AN1489" s="1268"/>
      <c r="AO1489" s="1268"/>
      <c r="AP1489" s="1268"/>
      <c r="AQ1489" s="1268"/>
      <c r="AR1489" s="1268"/>
      <c r="AS1489" s="1268"/>
      <c r="AT1489" s="1268"/>
      <c r="AU1489" s="1268"/>
      <c r="AV1489" s="1268"/>
      <c r="AW1489" s="1268"/>
      <c r="AX1489" s="1268"/>
      <c r="AY1489" s="1268"/>
      <c r="AZ1489" s="1268"/>
      <c r="BA1489" s="1268"/>
      <c r="BB1489" s="1268"/>
      <c r="BC1489" s="1268"/>
      <c r="BD1489" s="1268"/>
      <c r="BE1489" s="1268"/>
      <c r="BF1489" s="1268"/>
      <c r="BG1489" s="1268"/>
      <c r="BH1489" s="1268"/>
      <c r="BI1489" s="1268"/>
      <c r="BJ1489" s="1268"/>
      <c r="BK1489" s="1268"/>
      <c r="BL1489" s="1268"/>
      <c r="BM1489" s="1268"/>
      <c r="BN1489" s="1268"/>
      <c r="BO1489" s="1268"/>
      <c r="BP1489" s="1268"/>
      <c r="BQ1489" s="1268"/>
      <c r="BR1489" s="1268"/>
      <c r="BS1489" s="1268"/>
      <c r="BT1489" s="1268"/>
      <c r="BU1489" s="1268"/>
      <c r="BV1489" s="1268"/>
      <c r="BW1489" s="1268"/>
      <c r="BX1489" s="1268"/>
      <c r="BY1489" s="1268"/>
      <c r="BZ1489" s="1268"/>
      <c r="CA1489" s="1268"/>
      <c r="CB1489" s="1268"/>
      <c r="CC1489" s="1268"/>
      <c r="CD1489" s="1268"/>
      <c r="CE1489" s="1268"/>
      <c r="CF1489" s="1268"/>
      <c r="CG1489" s="1268"/>
      <c r="CH1489" s="1268"/>
      <c r="CI1489" s="1268"/>
      <c r="CJ1489" s="1268"/>
      <c r="CK1489" s="1268"/>
      <c r="CL1489" s="1268"/>
      <c r="CM1489" s="1268"/>
      <c r="CN1489" s="1268"/>
      <c r="CO1489" s="1268"/>
      <c r="CP1489" s="1268"/>
      <c r="CQ1489" s="1268"/>
      <c r="CR1489" s="1268"/>
      <c r="CS1489" s="1268"/>
      <c r="CT1489" s="1268"/>
      <c r="CU1489" s="1268"/>
      <c r="CV1489" s="1268"/>
      <c r="CW1489" s="1268"/>
      <c r="CX1489" s="1268"/>
      <c r="CY1489" s="1268"/>
      <c r="CZ1489" s="1268"/>
      <c r="DA1489" s="1268"/>
      <c r="DB1489" s="1268"/>
      <c r="DC1489" s="1268"/>
      <c r="DD1489" s="1268"/>
      <c r="DE1489" s="1268"/>
      <c r="DF1489" s="1268"/>
      <c r="DG1489" s="1268"/>
      <c r="DH1489" s="1268"/>
      <c r="DI1489" s="1268"/>
      <c r="DJ1489" s="1268"/>
      <c r="DK1489" s="1268"/>
      <c r="DL1489" s="1268"/>
      <c r="DM1489" s="1268"/>
      <c r="DN1489" s="1268"/>
      <c r="DO1489" s="1268"/>
      <c r="DP1489" s="1268"/>
      <c r="DQ1489" s="1268"/>
      <c r="DR1489" s="1268"/>
      <c r="DS1489" s="1268"/>
      <c r="DT1489" s="1268"/>
      <c r="DU1489" s="1268"/>
      <c r="DV1489" s="1268"/>
      <c r="DW1489" s="1268"/>
      <c r="DX1489" s="1268"/>
      <c r="DY1489" s="1268"/>
      <c r="DZ1489" s="1268"/>
      <c r="EA1489" s="1268"/>
      <c r="EB1489" s="1268"/>
      <c r="EC1489" s="1268"/>
      <c r="ED1489" s="1268"/>
      <c r="EE1489" s="1268"/>
      <c r="EF1489" s="1268"/>
      <c r="EG1489" s="1268"/>
      <c r="EH1489" s="1268"/>
      <c r="EI1489" s="1268"/>
      <c r="EJ1489" s="1268"/>
      <c r="EK1489" s="1268"/>
      <c r="EL1489" s="1268"/>
      <c r="EM1489" s="1268"/>
      <c r="EN1489" s="1268"/>
      <c r="EO1489" s="1268"/>
      <c r="EP1489" s="1268"/>
      <c r="EQ1489" s="1268"/>
      <c r="ER1489" s="1268"/>
      <c r="ES1489" s="1268"/>
      <c r="ET1489" s="1268"/>
      <c r="EU1489" s="1268"/>
      <c r="EV1489" s="1268"/>
      <c r="EW1489" s="1268"/>
      <c r="EX1489" s="1268"/>
      <c r="EY1489" s="1268"/>
      <c r="EZ1489" s="1268"/>
      <c r="FA1489" s="1268"/>
      <c r="FB1489" s="1268"/>
      <c r="FC1489" s="1268"/>
      <c r="FD1489" s="1268"/>
      <c r="FE1489" s="1268"/>
      <c r="FF1489" s="1268"/>
      <c r="FG1489" s="1268"/>
      <c r="FH1489" s="1268"/>
      <c r="FI1489" s="1268"/>
      <c r="FJ1489" s="1268"/>
      <c r="FK1489" s="1268"/>
      <c r="FL1489" s="1268"/>
      <c r="FM1489" s="1268"/>
      <c r="FN1489" s="1268"/>
      <c r="FO1489" s="1268"/>
      <c r="FP1489" s="1268"/>
      <c r="FQ1489" s="1268"/>
      <c r="FR1489" s="1268"/>
      <c r="FS1489" s="1268"/>
      <c r="FT1489" s="1268"/>
      <c r="FU1489" s="1268"/>
      <c r="FV1489" s="1268"/>
      <c r="FW1489" s="1268"/>
      <c r="FX1489" s="1268"/>
      <c r="FY1489" s="1268"/>
      <c r="FZ1489" s="1268"/>
      <c r="GA1489" s="1268"/>
      <c r="GB1489" s="1268"/>
      <c r="GC1489" s="1268"/>
      <c r="GD1489" s="1268"/>
      <c r="GE1489" s="1268"/>
      <c r="GF1489" s="1268"/>
      <c r="GG1489" s="1268"/>
      <c r="GH1489" s="1268"/>
      <c r="GI1489" s="1268"/>
      <c r="GJ1489" s="1268"/>
      <c r="GK1489" s="1268"/>
      <c r="GL1489" s="1268"/>
      <c r="GM1489" s="1268"/>
      <c r="GN1489" s="1268"/>
      <c r="GO1489" s="1268"/>
      <c r="GP1489" s="1268"/>
      <c r="GQ1489" s="1268"/>
      <c r="GR1489" s="1268"/>
      <c r="GS1489" s="1268"/>
      <c r="GT1489" s="1268"/>
      <c r="GU1489" s="1268"/>
      <c r="GV1489" s="1268"/>
      <c r="GW1489" s="1268"/>
      <c r="GX1489" s="1268"/>
      <c r="GY1489" s="1268"/>
      <c r="GZ1489" s="1268"/>
      <c r="HA1489" s="1268"/>
      <c r="HB1489" s="1268"/>
      <c r="HC1489" s="1268"/>
      <c r="HD1489" s="1268"/>
      <c r="HE1489" s="1268"/>
      <c r="HF1489" s="1268"/>
      <c r="HG1489" s="1268"/>
      <c r="HH1489" s="1268"/>
      <c r="HI1489" s="1268"/>
      <c r="HJ1489" s="1268"/>
      <c r="HK1489" s="1268"/>
      <c r="HL1489" s="1268"/>
      <c r="HM1489" s="1268"/>
      <c r="HN1489" s="1268"/>
      <c r="HO1489" s="1268"/>
      <c r="HP1489" s="1268"/>
      <c r="HQ1489" s="1268"/>
      <c r="HR1489" s="1268"/>
      <c r="HS1489" s="1268"/>
      <c r="HT1489" s="1268"/>
      <c r="HU1489" s="1268"/>
      <c r="HV1489" s="1268"/>
      <c r="HW1489" s="1268"/>
      <c r="HX1489" s="1268"/>
      <c r="HY1489" s="1268"/>
      <c r="HZ1489" s="1268"/>
      <c r="IA1489" s="1268"/>
      <c r="IB1489" s="1268"/>
      <c r="IC1489" s="1268"/>
      <c r="ID1489" s="1268"/>
      <c r="IE1489" s="1268"/>
      <c r="IF1489" s="1268"/>
      <c r="IG1489" s="1268"/>
      <c r="IH1489" s="1268"/>
      <c r="II1489" s="1268"/>
      <c r="IJ1489" s="1268"/>
      <c r="IK1489" s="1268"/>
      <c r="IL1489" s="1268"/>
      <c r="IM1489" s="1268"/>
      <c r="IN1489" s="1268"/>
      <c r="IO1489" s="1268"/>
      <c r="IP1489" s="1268"/>
      <c r="IQ1489" s="1268"/>
      <c r="IR1489" s="1268"/>
      <c r="IS1489" s="1268"/>
      <c r="IT1489" s="1268"/>
      <c r="IU1489" s="1268"/>
      <c r="IV1489" s="1268"/>
      <c r="IW1489" s="1268"/>
      <c r="IX1489" s="1268"/>
      <c r="IY1489" s="1268"/>
      <c r="IZ1489" s="1268"/>
      <c r="JA1489" s="1268"/>
      <c r="JB1489" s="1268"/>
      <c r="JC1489" s="1268"/>
      <c r="JD1489" s="1268"/>
      <c r="JE1489" s="1268"/>
      <c r="JF1489" s="1268"/>
      <c r="JG1489" s="1268"/>
      <c r="JH1489" s="1268"/>
      <c r="JI1489" s="1268"/>
      <c r="JJ1489" s="1268"/>
      <c r="JK1489" s="1268"/>
      <c r="JL1489" s="1268"/>
      <c r="JM1489" s="1268"/>
      <c r="JN1489" s="1268"/>
      <c r="JO1489" s="1268"/>
      <c r="JP1489" s="1268"/>
      <c r="JQ1489" s="1268"/>
      <c r="JR1489" s="1268"/>
      <c r="JS1489" s="1268"/>
      <c r="JT1489" s="1268"/>
      <c r="JU1489" s="1268"/>
      <c r="JV1489" s="1268"/>
      <c r="JW1489" s="1268"/>
      <c r="JX1489" s="1268"/>
      <c r="JY1489" s="1268"/>
      <c r="JZ1489" s="1268"/>
      <c r="KA1489" s="1268"/>
      <c r="KB1489" s="1268"/>
      <c r="KC1489" s="1268"/>
      <c r="KD1489" s="1268"/>
      <c r="KE1489" s="1268"/>
      <c r="KF1489" s="1268"/>
      <c r="KG1489" s="1268"/>
      <c r="KH1489" s="1268"/>
      <c r="KI1489" s="1268"/>
      <c r="KJ1489" s="1268"/>
      <c r="KK1489" s="1268"/>
      <c r="KL1489" s="1268"/>
      <c r="KM1489" s="1268"/>
      <c r="KN1489" s="1268"/>
      <c r="KO1489" s="1268"/>
      <c r="KP1489" s="1268"/>
      <c r="KQ1489" s="1268"/>
      <c r="KR1489" s="1268"/>
      <c r="KS1489" s="1268"/>
      <c r="KT1489" s="1268"/>
      <c r="KU1489" s="1268"/>
      <c r="KV1489" s="1268"/>
      <c r="KW1489" s="1268"/>
      <c r="KX1489" s="1268"/>
      <c r="KY1489" s="1268"/>
      <c r="KZ1489" s="1268"/>
      <c r="LA1489" s="1268"/>
      <c r="LB1489" s="1268"/>
      <c r="LC1489" s="1268"/>
      <c r="LD1489" s="1268"/>
      <c r="LE1489" s="1268"/>
      <c r="LF1489" s="1268"/>
      <c r="LG1489" s="1268"/>
      <c r="LH1489" s="1268"/>
      <c r="LI1489" s="1268"/>
      <c r="LJ1489" s="1268"/>
      <c r="LK1489" s="1268"/>
      <c r="LL1489" s="1268"/>
      <c r="LM1489" s="1268"/>
      <c r="LN1489" s="1268"/>
      <c r="LO1489" s="1268"/>
      <c r="LP1489" s="1268"/>
      <c r="LQ1489" s="1268"/>
      <c r="LR1489" s="1268"/>
      <c r="LS1489" s="1268"/>
      <c r="LT1489" s="1268"/>
      <c r="LU1489" s="1268"/>
      <c r="LV1489" s="1268"/>
      <c r="LW1489" s="1268"/>
      <c r="LX1489" s="1268"/>
      <c r="LY1489" s="1268"/>
      <c r="LZ1489" s="1268"/>
      <c r="MA1489" s="1268"/>
      <c r="MB1489" s="1268"/>
      <c r="MC1489" s="1268"/>
      <c r="MD1489" s="1268"/>
      <c r="ME1489" s="1268"/>
      <c r="MF1489" s="1268"/>
      <c r="MG1489" s="1268"/>
      <c r="MH1489" s="1268"/>
      <c r="MI1489" s="1268"/>
      <c r="MJ1489" s="1268"/>
      <c r="MK1489" s="1268"/>
      <c r="ML1489" s="1268"/>
      <c r="MM1489" s="1268"/>
      <c r="MN1489" s="1268"/>
      <c r="MO1489" s="1268"/>
      <c r="MP1489" s="1268"/>
      <c r="MQ1489" s="1268"/>
      <c r="MR1489" s="1268"/>
      <c r="MS1489" s="1268"/>
      <c r="MT1489" s="1268"/>
      <c r="MU1489" s="1268"/>
      <c r="MV1489" s="1268"/>
      <c r="MW1489" s="1268"/>
      <c r="MX1489" s="1268"/>
      <c r="MY1489" s="1268"/>
      <c r="MZ1489" s="1268"/>
      <c r="NA1489" s="1268"/>
      <c r="NB1489" s="1268"/>
      <c r="NC1489" s="1268"/>
      <c r="ND1489" s="1268"/>
      <c r="NE1489" s="1268"/>
      <c r="NF1489" s="1268"/>
      <c r="NG1489" s="1268"/>
      <c r="NH1489" s="1268"/>
      <c r="NI1489" s="1268"/>
      <c r="NJ1489" s="1268"/>
      <c r="NK1489" s="1268"/>
      <c r="NL1489" s="1268"/>
      <c r="NM1489" s="1268"/>
      <c r="NN1489" s="1268"/>
      <c r="NO1489" s="1268"/>
      <c r="NP1489" s="1268"/>
      <c r="NQ1489" s="1268"/>
      <c r="NR1489" s="1268"/>
      <c r="NS1489" s="1268"/>
      <c r="NT1489" s="1268"/>
      <c r="NU1489" s="1268"/>
      <c r="NV1489" s="1268"/>
      <c r="NW1489" s="1268"/>
      <c r="NX1489" s="1268"/>
      <c r="NY1489" s="1268"/>
      <c r="NZ1489" s="1268"/>
      <c r="OA1489" s="1268"/>
      <c r="OB1489" s="1268"/>
      <c r="OC1489" s="1268"/>
      <c r="OD1489" s="1268"/>
      <c r="OE1489" s="1268"/>
      <c r="OF1489" s="1268"/>
      <c r="OG1489" s="1268"/>
      <c r="OH1489" s="1268"/>
      <c r="OI1489" s="1268"/>
      <c r="OJ1489" s="1268"/>
      <c r="OK1489" s="1268"/>
      <c r="OL1489" s="1268"/>
      <c r="OM1489" s="1268"/>
      <c r="ON1489" s="1268"/>
      <c r="OO1489" s="1268"/>
      <c r="OP1489" s="1268"/>
      <c r="OQ1489" s="1268"/>
      <c r="OR1489" s="1268"/>
      <c r="OS1489" s="1268"/>
      <c r="OT1489" s="1268"/>
      <c r="OU1489" s="1268"/>
      <c r="OV1489" s="1268"/>
      <c r="OW1489" s="1268"/>
      <c r="OX1489" s="1268"/>
      <c r="OY1489" s="1268"/>
      <c r="OZ1489" s="1268"/>
      <c r="PA1489" s="1268"/>
      <c r="PB1489" s="1268"/>
      <c r="PC1489" s="1268"/>
      <c r="PD1489" s="1268"/>
      <c r="PE1489" s="1268"/>
      <c r="PF1489" s="1268"/>
      <c r="PG1489" s="1268"/>
      <c r="PH1489" s="1268"/>
      <c r="PI1489" s="1268"/>
      <c r="PJ1489" s="1268"/>
      <c r="PK1489" s="1268"/>
      <c r="PL1489" s="1268"/>
      <c r="PM1489" s="1268"/>
      <c r="PN1489" s="1268"/>
      <c r="PO1489" s="1268"/>
      <c r="PP1489" s="1268"/>
      <c r="PQ1489" s="1268"/>
      <c r="PR1489" s="1268"/>
      <c r="PS1489" s="1268"/>
      <c r="PT1489" s="1268"/>
      <c r="PU1489" s="1268"/>
      <c r="PV1489" s="1268"/>
      <c r="PW1489" s="1268"/>
      <c r="PX1489" s="1268"/>
      <c r="PY1489" s="1268"/>
      <c r="PZ1489" s="1268"/>
      <c r="QA1489" s="1268"/>
      <c r="QB1489" s="1268"/>
      <c r="QC1489" s="1268"/>
      <c r="QD1489" s="1268"/>
      <c r="QE1489" s="1268"/>
      <c r="QF1489" s="1268"/>
      <c r="QG1489" s="1268"/>
      <c r="QH1489" s="1268"/>
      <c r="QI1489" s="1268"/>
      <c r="QJ1489" s="1268"/>
      <c r="QK1489" s="1268"/>
      <c r="QL1489" s="1268"/>
      <c r="QM1489" s="1268"/>
      <c r="QN1489" s="1268"/>
      <c r="QO1489" s="1268"/>
      <c r="QP1489" s="1268"/>
      <c r="QQ1489" s="1268"/>
      <c r="QR1489" s="1268"/>
      <c r="QS1489" s="1268"/>
      <c r="QT1489" s="1268"/>
      <c r="QU1489" s="1268"/>
      <c r="QV1489" s="1268"/>
      <c r="QW1489" s="1268"/>
      <c r="QX1489" s="1268"/>
      <c r="QY1489" s="1268"/>
      <c r="QZ1489" s="1268"/>
      <c r="RA1489" s="1268"/>
      <c r="RB1489" s="1268"/>
      <c r="RC1489" s="1268"/>
      <c r="RD1489" s="1268"/>
      <c r="RE1489" s="1268"/>
      <c r="RF1489" s="1268"/>
      <c r="RG1489" s="1268"/>
      <c r="RH1489" s="1268"/>
      <c r="RI1489" s="1268"/>
      <c r="RJ1489" s="1268"/>
      <c r="RK1489" s="1268"/>
      <c r="RL1489" s="1268"/>
      <c r="RM1489" s="1268"/>
      <c r="RN1489" s="1268"/>
      <c r="RO1489" s="1268"/>
      <c r="RP1489" s="1268"/>
      <c r="RQ1489" s="1268"/>
      <c r="RR1489" s="1268"/>
      <c r="RS1489" s="1268"/>
      <c r="RT1489" s="1268"/>
      <c r="RU1489" s="1268"/>
      <c r="RV1489" s="1268"/>
      <c r="RW1489" s="1268"/>
      <c r="RX1489" s="1268"/>
      <c r="RY1489" s="1268"/>
      <c r="RZ1489" s="1268"/>
      <c r="SA1489" s="1268"/>
      <c r="SB1489" s="1268"/>
      <c r="SC1489" s="1268"/>
      <c r="SD1489" s="1268"/>
      <c r="SE1489" s="1268"/>
      <c r="SF1489" s="1268"/>
      <c r="SG1489" s="1268"/>
      <c r="SH1489" s="1268"/>
      <c r="SI1489" s="1268"/>
      <c r="SJ1489" s="1268"/>
      <c r="SK1489" s="1268"/>
      <c r="SL1489" s="1268"/>
      <c r="SM1489" s="1268"/>
      <c r="SN1489" s="1268"/>
      <c r="SO1489" s="1268"/>
      <c r="SP1489" s="1268"/>
      <c r="SQ1489" s="1268"/>
      <c r="SR1489" s="1268"/>
      <c r="SS1489" s="1268"/>
      <c r="ST1489" s="1268"/>
      <c r="SU1489" s="1268"/>
      <c r="SV1489" s="1268"/>
      <c r="SW1489" s="1268"/>
      <c r="SX1489" s="1268"/>
      <c r="SY1489" s="1268"/>
      <c r="SZ1489" s="1268"/>
      <c r="TA1489" s="1268"/>
      <c r="TB1489" s="1268"/>
      <c r="TC1489" s="1268"/>
      <c r="TD1489" s="1268"/>
      <c r="TE1489" s="1268"/>
      <c r="TF1489" s="1268"/>
      <c r="TG1489" s="1268"/>
      <c r="TH1489" s="1268"/>
      <c r="TI1489" s="1268"/>
      <c r="TJ1489" s="1268"/>
      <c r="TK1489" s="1268"/>
      <c r="TL1489" s="1268"/>
      <c r="TM1489" s="1268"/>
      <c r="TN1489" s="1268"/>
      <c r="TO1489" s="1268"/>
      <c r="TP1489" s="1268"/>
      <c r="TQ1489" s="1268"/>
      <c r="TR1489" s="1268"/>
      <c r="TS1489" s="1268"/>
      <c r="TT1489" s="1268"/>
      <c r="TU1489" s="1268"/>
      <c r="TV1489" s="1268"/>
      <c r="TW1489" s="1268"/>
      <c r="TX1489" s="1268"/>
      <c r="TY1489" s="1268"/>
      <c r="TZ1489" s="1268"/>
      <c r="UA1489" s="1268"/>
      <c r="UB1489" s="1268"/>
      <c r="UC1489" s="1268"/>
      <c r="UD1489" s="1268"/>
      <c r="UE1489" s="1268"/>
      <c r="UF1489" s="1268"/>
      <c r="UG1489" s="1268"/>
    </row>
    <row r="1490" spans="1:553" s="1262" customFormat="1" ht="19.149999999999999" customHeight="1">
      <c r="A1490" s="356" t="s">
        <v>15</v>
      </c>
      <c r="B1490" s="356"/>
      <c r="C1490" s="1586" t="s">
        <v>808</v>
      </c>
      <c r="D1490" s="1389"/>
      <c r="E1490" s="1389"/>
      <c r="F1490" s="1390"/>
      <c r="G1490" s="418" t="s">
        <v>48</v>
      </c>
      <c r="H1490" s="370"/>
      <c r="I1490" s="417">
        <v>1</v>
      </c>
      <c r="J1490" s="1065">
        <v>164200</v>
      </c>
      <c r="K1490" s="565">
        <v>0.7</v>
      </c>
      <c r="L1490" s="571">
        <f>ROUND(PRODUCT(I1490:K1490),0)</f>
        <v>114940</v>
      </c>
      <c r="M1490" s="356"/>
      <c r="N1490" s="356"/>
      <c r="O1490" s="356"/>
      <c r="P1490" s="356"/>
      <c r="Q1490" s="610"/>
      <c r="R1490" s="1452"/>
      <c r="S1490" s="308"/>
      <c r="T1490" s="308"/>
      <c r="U1490" s="308"/>
      <c r="V1490" s="308"/>
      <c r="W1490" s="308"/>
      <c r="X1490" s="308"/>
      <c r="Y1490" s="308"/>
      <c r="Z1490" s="604"/>
      <c r="AA1490" s="308"/>
      <c r="AB1490" s="308"/>
      <c r="AC1490" s="486"/>
      <c r="AD1490" s="486"/>
      <c r="AE1490" s="486"/>
      <c r="AF1490" s="486"/>
      <c r="AG1490" s="486"/>
      <c r="AH1490" s="486"/>
      <c r="AI1490" s="486"/>
      <c r="AJ1490" s="486"/>
      <c r="AK1490" s="486"/>
      <c r="AL1490" s="1267"/>
      <c r="AM1490" s="1268"/>
      <c r="AN1490" s="1268"/>
      <c r="AO1490" s="1268"/>
      <c r="AP1490" s="1268"/>
      <c r="AQ1490" s="1268"/>
      <c r="AR1490" s="1268"/>
      <c r="AS1490" s="1268"/>
      <c r="AT1490" s="1268"/>
      <c r="AU1490" s="1268"/>
      <c r="AV1490" s="1268"/>
      <c r="AW1490" s="1268"/>
      <c r="AX1490" s="1268"/>
      <c r="AY1490" s="1268"/>
      <c r="AZ1490" s="1268"/>
      <c r="BA1490" s="1268"/>
      <c r="BB1490" s="1268"/>
      <c r="BC1490" s="1268"/>
      <c r="BD1490" s="1268"/>
      <c r="BE1490" s="1268"/>
      <c r="BF1490" s="1268"/>
      <c r="BG1490" s="1268"/>
      <c r="BH1490" s="1268"/>
      <c r="BI1490" s="1268"/>
      <c r="BJ1490" s="1268"/>
      <c r="BK1490" s="1268"/>
      <c r="BL1490" s="1268"/>
      <c r="BM1490" s="1268"/>
      <c r="BN1490" s="1268"/>
      <c r="BO1490" s="1268"/>
      <c r="BP1490" s="1268"/>
      <c r="BQ1490" s="1268"/>
      <c r="BR1490" s="1268"/>
      <c r="BS1490" s="1268"/>
      <c r="BT1490" s="1268"/>
      <c r="BU1490" s="1268"/>
      <c r="BV1490" s="1268"/>
      <c r="BW1490" s="1268"/>
      <c r="BX1490" s="1268"/>
      <c r="BY1490" s="1268"/>
      <c r="BZ1490" s="1268"/>
      <c r="CA1490" s="1268"/>
      <c r="CB1490" s="1268"/>
      <c r="CC1490" s="1268"/>
      <c r="CD1490" s="1268"/>
      <c r="CE1490" s="1268"/>
      <c r="CF1490" s="1268"/>
      <c r="CG1490" s="1268"/>
      <c r="CH1490" s="1268"/>
      <c r="CI1490" s="1268"/>
      <c r="CJ1490" s="1268"/>
      <c r="CK1490" s="1268"/>
      <c r="CL1490" s="1268"/>
      <c r="CM1490" s="1268"/>
      <c r="CN1490" s="1268"/>
      <c r="CO1490" s="1268"/>
      <c r="CP1490" s="1268"/>
      <c r="CQ1490" s="1268"/>
      <c r="CR1490" s="1268"/>
      <c r="CS1490" s="1268"/>
      <c r="CT1490" s="1268"/>
      <c r="CU1490" s="1268"/>
      <c r="CV1490" s="1268"/>
      <c r="CW1490" s="1268"/>
      <c r="CX1490" s="1268"/>
      <c r="CY1490" s="1268"/>
      <c r="CZ1490" s="1268"/>
      <c r="DA1490" s="1268"/>
      <c r="DB1490" s="1268"/>
      <c r="DC1490" s="1268"/>
      <c r="DD1490" s="1268"/>
      <c r="DE1490" s="1268"/>
      <c r="DF1490" s="1268"/>
      <c r="DG1490" s="1268"/>
      <c r="DH1490" s="1268"/>
      <c r="DI1490" s="1268"/>
      <c r="DJ1490" s="1268"/>
      <c r="DK1490" s="1268"/>
      <c r="DL1490" s="1268"/>
      <c r="DM1490" s="1268"/>
      <c r="DN1490" s="1268"/>
      <c r="DO1490" s="1268"/>
      <c r="DP1490" s="1268"/>
      <c r="DQ1490" s="1268"/>
      <c r="DR1490" s="1268"/>
      <c r="DS1490" s="1268"/>
      <c r="DT1490" s="1268"/>
      <c r="DU1490" s="1268"/>
      <c r="DV1490" s="1268"/>
      <c r="DW1490" s="1268"/>
      <c r="DX1490" s="1268"/>
      <c r="DY1490" s="1268"/>
      <c r="DZ1490" s="1268"/>
      <c r="EA1490" s="1268"/>
      <c r="EB1490" s="1268"/>
      <c r="EC1490" s="1268"/>
      <c r="ED1490" s="1268"/>
      <c r="EE1490" s="1268"/>
      <c r="EF1490" s="1268"/>
      <c r="EG1490" s="1268"/>
      <c r="EH1490" s="1268"/>
      <c r="EI1490" s="1268"/>
      <c r="EJ1490" s="1268"/>
      <c r="EK1490" s="1268"/>
      <c r="EL1490" s="1268"/>
      <c r="EM1490" s="1268"/>
      <c r="EN1490" s="1268"/>
      <c r="EO1490" s="1268"/>
      <c r="EP1490" s="1268"/>
      <c r="EQ1490" s="1268"/>
      <c r="ER1490" s="1268"/>
      <c r="ES1490" s="1268"/>
      <c r="ET1490" s="1268"/>
      <c r="EU1490" s="1268"/>
      <c r="EV1490" s="1268"/>
      <c r="EW1490" s="1268"/>
      <c r="EX1490" s="1268"/>
      <c r="EY1490" s="1268"/>
      <c r="EZ1490" s="1268"/>
      <c r="FA1490" s="1268"/>
      <c r="FB1490" s="1268"/>
      <c r="FC1490" s="1268"/>
      <c r="FD1490" s="1268"/>
      <c r="FE1490" s="1268"/>
      <c r="FF1490" s="1268"/>
      <c r="FG1490" s="1268"/>
      <c r="FH1490" s="1268"/>
      <c r="FI1490" s="1268"/>
      <c r="FJ1490" s="1268"/>
      <c r="FK1490" s="1268"/>
      <c r="FL1490" s="1268"/>
      <c r="FM1490" s="1268"/>
      <c r="FN1490" s="1268"/>
      <c r="FO1490" s="1268"/>
      <c r="FP1490" s="1268"/>
      <c r="FQ1490" s="1268"/>
      <c r="FR1490" s="1268"/>
      <c r="FS1490" s="1268"/>
      <c r="FT1490" s="1268"/>
      <c r="FU1490" s="1268"/>
      <c r="FV1490" s="1268"/>
      <c r="FW1490" s="1268"/>
      <c r="FX1490" s="1268"/>
      <c r="FY1490" s="1268"/>
      <c r="FZ1490" s="1268"/>
      <c r="GA1490" s="1268"/>
      <c r="GB1490" s="1268"/>
      <c r="GC1490" s="1268"/>
      <c r="GD1490" s="1268"/>
      <c r="GE1490" s="1268"/>
      <c r="GF1490" s="1268"/>
      <c r="GG1490" s="1268"/>
      <c r="GH1490" s="1268"/>
      <c r="GI1490" s="1268"/>
      <c r="GJ1490" s="1268"/>
      <c r="GK1490" s="1268"/>
      <c r="GL1490" s="1268"/>
      <c r="GM1490" s="1268"/>
      <c r="GN1490" s="1268"/>
      <c r="GO1490" s="1268"/>
      <c r="GP1490" s="1268"/>
      <c r="GQ1490" s="1268"/>
      <c r="GR1490" s="1268"/>
      <c r="GS1490" s="1268"/>
      <c r="GT1490" s="1268"/>
      <c r="GU1490" s="1268"/>
      <c r="GV1490" s="1268"/>
      <c r="GW1490" s="1268"/>
      <c r="GX1490" s="1268"/>
      <c r="GY1490" s="1268"/>
      <c r="GZ1490" s="1268"/>
      <c r="HA1490" s="1268"/>
      <c r="HB1490" s="1268"/>
      <c r="HC1490" s="1268"/>
      <c r="HD1490" s="1268"/>
      <c r="HE1490" s="1268"/>
      <c r="HF1490" s="1268"/>
      <c r="HG1490" s="1268"/>
      <c r="HH1490" s="1268"/>
      <c r="HI1490" s="1268"/>
      <c r="HJ1490" s="1268"/>
      <c r="HK1490" s="1268"/>
      <c r="HL1490" s="1268"/>
      <c r="HM1490" s="1268"/>
      <c r="HN1490" s="1268"/>
      <c r="HO1490" s="1268"/>
      <c r="HP1490" s="1268"/>
      <c r="HQ1490" s="1268"/>
      <c r="HR1490" s="1268"/>
      <c r="HS1490" s="1268"/>
      <c r="HT1490" s="1268"/>
      <c r="HU1490" s="1268"/>
      <c r="HV1490" s="1268"/>
      <c r="HW1490" s="1268"/>
      <c r="HX1490" s="1268"/>
      <c r="HY1490" s="1268"/>
      <c r="HZ1490" s="1268"/>
      <c r="IA1490" s="1268"/>
      <c r="IB1490" s="1268"/>
      <c r="IC1490" s="1268"/>
      <c r="ID1490" s="1268"/>
      <c r="IE1490" s="1268"/>
      <c r="IF1490" s="1268"/>
      <c r="IG1490" s="1268"/>
      <c r="IH1490" s="1268"/>
      <c r="II1490" s="1268"/>
      <c r="IJ1490" s="1268"/>
      <c r="IK1490" s="1268"/>
      <c r="IL1490" s="1268"/>
      <c r="IM1490" s="1268"/>
      <c r="IN1490" s="1268"/>
      <c r="IO1490" s="1268"/>
      <c r="IP1490" s="1268"/>
      <c r="IQ1490" s="1268"/>
      <c r="IR1490" s="1268"/>
      <c r="IS1490" s="1268"/>
      <c r="IT1490" s="1268"/>
      <c r="IU1490" s="1268"/>
      <c r="IV1490" s="1268"/>
      <c r="IW1490" s="1268"/>
      <c r="IX1490" s="1268"/>
      <c r="IY1490" s="1268"/>
      <c r="IZ1490" s="1268"/>
      <c r="JA1490" s="1268"/>
      <c r="JB1490" s="1268"/>
      <c r="JC1490" s="1268"/>
      <c r="JD1490" s="1268"/>
      <c r="JE1490" s="1268"/>
      <c r="JF1490" s="1268"/>
      <c r="JG1490" s="1268"/>
      <c r="JH1490" s="1268"/>
      <c r="JI1490" s="1268"/>
      <c r="JJ1490" s="1268"/>
      <c r="JK1490" s="1268"/>
      <c r="JL1490" s="1268"/>
      <c r="JM1490" s="1268"/>
      <c r="JN1490" s="1268"/>
      <c r="JO1490" s="1268"/>
      <c r="JP1490" s="1268"/>
      <c r="JQ1490" s="1268"/>
      <c r="JR1490" s="1268"/>
      <c r="JS1490" s="1268"/>
      <c r="JT1490" s="1268"/>
      <c r="JU1490" s="1268"/>
      <c r="JV1490" s="1268"/>
      <c r="JW1490" s="1268"/>
      <c r="JX1490" s="1268"/>
      <c r="JY1490" s="1268"/>
      <c r="JZ1490" s="1268"/>
      <c r="KA1490" s="1268"/>
      <c r="KB1490" s="1268"/>
      <c r="KC1490" s="1268"/>
      <c r="KD1490" s="1268"/>
      <c r="KE1490" s="1268"/>
      <c r="KF1490" s="1268"/>
      <c r="KG1490" s="1268"/>
      <c r="KH1490" s="1268"/>
      <c r="KI1490" s="1268"/>
      <c r="KJ1490" s="1268"/>
      <c r="KK1490" s="1268"/>
      <c r="KL1490" s="1268"/>
      <c r="KM1490" s="1268"/>
      <c r="KN1490" s="1268"/>
      <c r="KO1490" s="1268"/>
      <c r="KP1490" s="1268"/>
      <c r="KQ1490" s="1268"/>
      <c r="KR1490" s="1268"/>
      <c r="KS1490" s="1268"/>
      <c r="KT1490" s="1268"/>
      <c r="KU1490" s="1268"/>
      <c r="KV1490" s="1268"/>
      <c r="KW1490" s="1268"/>
      <c r="KX1490" s="1268"/>
      <c r="KY1490" s="1268"/>
      <c r="KZ1490" s="1268"/>
      <c r="LA1490" s="1268"/>
      <c r="LB1490" s="1268"/>
      <c r="LC1490" s="1268"/>
      <c r="LD1490" s="1268"/>
      <c r="LE1490" s="1268"/>
      <c r="LF1490" s="1268"/>
      <c r="LG1490" s="1268"/>
      <c r="LH1490" s="1268"/>
      <c r="LI1490" s="1268"/>
      <c r="LJ1490" s="1268"/>
      <c r="LK1490" s="1268"/>
      <c r="LL1490" s="1268"/>
      <c r="LM1490" s="1268"/>
      <c r="LN1490" s="1268"/>
      <c r="LO1490" s="1268"/>
      <c r="LP1490" s="1268"/>
      <c r="LQ1490" s="1268"/>
      <c r="LR1490" s="1268"/>
      <c r="LS1490" s="1268"/>
      <c r="LT1490" s="1268"/>
      <c r="LU1490" s="1268"/>
      <c r="LV1490" s="1268"/>
      <c r="LW1490" s="1268"/>
      <c r="LX1490" s="1268"/>
      <c r="LY1490" s="1268"/>
      <c r="LZ1490" s="1268"/>
      <c r="MA1490" s="1268"/>
      <c r="MB1490" s="1268"/>
      <c r="MC1490" s="1268"/>
      <c r="MD1490" s="1268"/>
      <c r="ME1490" s="1268"/>
      <c r="MF1490" s="1268"/>
      <c r="MG1490" s="1268"/>
      <c r="MH1490" s="1268"/>
      <c r="MI1490" s="1268"/>
      <c r="MJ1490" s="1268"/>
      <c r="MK1490" s="1268"/>
      <c r="ML1490" s="1268"/>
      <c r="MM1490" s="1268"/>
      <c r="MN1490" s="1268"/>
      <c r="MO1490" s="1268"/>
      <c r="MP1490" s="1268"/>
      <c r="MQ1490" s="1268"/>
      <c r="MR1490" s="1268"/>
      <c r="MS1490" s="1268"/>
      <c r="MT1490" s="1268"/>
      <c r="MU1490" s="1268"/>
      <c r="MV1490" s="1268"/>
      <c r="MW1490" s="1268"/>
      <c r="MX1490" s="1268"/>
      <c r="MY1490" s="1268"/>
      <c r="MZ1490" s="1268"/>
      <c r="NA1490" s="1268"/>
      <c r="NB1490" s="1268"/>
      <c r="NC1490" s="1268"/>
      <c r="ND1490" s="1268"/>
      <c r="NE1490" s="1268"/>
      <c r="NF1490" s="1268"/>
      <c r="NG1490" s="1268"/>
      <c r="NH1490" s="1268"/>
      <c r="NI1490" s="1268"/>
      <c r="NJ1490" s="1268"/>
      <c r="NK1490" s="1268"/>
      <c r="NL1490" s="1268"/>
      <c r="NM1490" s="1268"/>
      <c r="NN1490" s="1268"/>
      <c r="NO1490" s="1268"/>
      <c r="NP1490" s="1268"/>
      <c r="NQ1490" s="1268"/>
      <c r="NR1490" s="1268"/>
      <c r="NS1490" s="1268"/>
      <c r="NT1490" s="1268"/>
      <c r="NU1490" s="1268"/>
      <c r="NV1490" s="1268"/>
      <c r="NW1490" s="1268"/>
      <c r="NX1490" s="1268"/>
      <c r="NY1490" s="1268"/>
      <c r="NZ1490" s="1268"/>
      <c r="OA1490" s="1268"/>
      <c r="OB1490" s="1268"/>
      <c r="OC1490" s="1268"/>
      <c r="OD1490" s="1268"/>
      <c r="OE1490" s="1268"/>
      <c r="OF1490" s="1268"/>
      <c r="OG1490" s="1268"/>
      <c r="OH1490" s="1268"/>
      <c r="OI1490" s="1268"/>
      <c r="OJ1490" s="1268"/>
      <c r="OK1490" s="1268"/>
      <c r="OL1490" s="1268"/>
      <c r="OM1490" s="1268"/>
      <c r="ON1490" s="1268"/>
      <c r="OO1490" s="1268"/>
      <c r="OP1490" s="1268"/>
      <c r="OQ1490" s="1268"/>
      <c r="OR1490" s="1268"/>
      <c r="OS1490" s="1268"/>
      <c r="OT1490" s="1268"/>
      <c r="OU1490" s="1268"/>
      <c r="OV1490" s="1268"/>
      <c r="OW1490" s="1268"/>
      <c r="OX1490" s="1268"/>
      <c r="OY1490" s="1268"/>
      <c r="OZ1490" s="1268"/>
      <c r="PA1490" s="1268"/>
      <c r="PB1490" s="1268"/>
      <c r="PC1490" s="1268"/>
      <c r="PD1490" s="1268"/>
      <c r="PE1490" s="1268"/>
      <c r="PF1490" s="1268"/>
      <c r="PG1490" s="1268"/>
      <c r="PH1490" s="1268"/>
      <c r="PI1490" s="1268"/>
      <c r="PJ1490" s="1268"/>
      <c r="PK1490" s="1268"/>
      <c r="PL1490" s="1268"/>
      <c r="PM1490" s="1268"/>
      <c r="PN1490" s="1268"/>
      <c r="PO1490" s="1268"/>
      <c r="PP1490" s="1268"/>
      <c r="PQ1490" s="1268"/>
      <c r="PR1490" s="1268"/>
      <c r="PS1490" s="1268"/>
      <c r="PT1490" s="1268"/>
      <c r="PU1490" s="1268"/>
      <c r="PV1490" s="1268"/>
      <c r="PW1490" s="1268"/>
      <c r="PX1490" s="1268"/>
      <c r="PY1490" s="1268"/>
      <c r="PZ1490" s="1268"/>
      <c r="QA1490" s="1268"/>
      <c r="QB1490" s="1268"/>
      <c r="QC1490" s="1268"/>
      <c r="QD1490" s="1268"/>
      <c r="QE1490" s="1268"/>
      <c r="QF1490" s="1268"/>
      <c r="QG1490" s="1268"/>
      <c r="QH1490" s="1268"/>
      <c r="QI1490" s="1268"/>
      <c r="QJ1490" s="1268"/>
      <c r="QK1490" s="1268"/>
      <c r="QL1490" s="1268"/>
      <c r="QM1490" s="1268"/>
      <c r="QN1490" s="1268"/>
      <c r="QO1490" s="1268"/>
      <c r="QP1490" s="1268"/>
      <c r="QQ1490" s="1268"/>
      <c r="QR1490" s="1268"/>
      <c r="QS1490" s="1268"/>
      <c r="QT1490" s="1268"/>
      <c r="QU1490" s="1268"/>
      <c r="QV1490" s="1268"/>
      <c r="QW1490" s="1268"/>
      <c r="QX1490" s="1268"/>
      <c r="QY1490" s="1268"/>
      <c r="QZ1490" s="1268"/>
      <c r="RA1490" s="1268"/>
      <c r="RB1490" s="1268"/>
      <c r="RC1490" s="1268"/>
      <c r="RD1490" s="1268"/>
      <c r="RE1490" s="1268"/>
      <c r="RF1490" s="1268"/>
      <c r="RG1490" s="1268"/>
      <c r="RH1490" s="1268"/>
      <c r="RI1490" s="1268"/>
      <c r="RJ1490" s="1268"/>
      <c r="RK1490" s="1268"/>
      <c r="RL1490" s="1268"/>
      <c r="RM1490" s="1268"/>
      <c r="RN1490" s="1268"/>
      <c r="RO1490" s="1268"/>
      <c r="RP1490" s="1268"/>
      <c r="RQ1490" s="1268"/>
      <c r="RR1490" s="1268"/>
      <c r="RS1490" s="1268"/>
      <c r="RT1490" s="1268"/>
      <c r="RU1490" s="1268"/>
      <c r="RV1490" s="1268"/>
      <c r="RW1490" s="1268"/>
      <c r="RX1490" s="1268"/>
      <c r="RY1490" s="1268"/>
      <c r="RZ1490" s="1268"/>
      <c r="SA1490" s="1268"/>
      <c r="SB1490" s="1268"/>
      <c r="SC1490" s="1268"/>
      <c r="SD1490" s="1268"/>
      <c r="SE1490" s="1268"/>
      <c r="SF1490" s="1268"/>
      <c r="SG1490" s="1268"/>
      <c r="SH1490" s="1268"/>
      <c r="SI1490" s="1268"/>
      <c r="SJ1490" s="1268"/>
      <c r="SK1490" s="1268"/>
      <c r="SL1490" s="1268"/>
      <c r="SM1490" s="1268"/>
      <c r="SN1490" s="1268"/>
      <c r="SO1490" s="1268"/>
      <c r="SP1490" s="1268"/>
      <c r="SQ1490" s="1268"/>
      <c r="SR1490" s="1268"/>
      <c r="SS1490" s="1268"/>
      <c r="ST1490" s="1268"/>
      <c r="SU1490" s="1268"/>
      <c r="SV1490" s="1268"/>
      <c r="SW1490" s="1268"/>
      <c r="SX1490" s="1268"/>
      <c r="SY1490" s="1268"/>
      <c r="SZ1490" s="1268"/>
      <c r="TA1490" s="1268"/>
      <c r="TB1490" s="1268"/>
      <c r="TC1490" s="1268"/>
      <c r="TD1490" s="1268"/>
      <c r="TE1490" s="1268"/>
      <c r="TF1490" s="1268"/>
      <c r="TG1490" s="1268"/>
      <c r="TH1490" s="1268"/>
      <c r="TI1490" s="1268"/>
      <c r="TJ1490" s="1268"/>
      <c r="TK1490" s="1268"/>
      <c r="TL1490" s="1268"/>
      <c r="TM1490" s="1268"/>
      <c r="TN1490" s="1268"/>
      <c r="TO1490" s="1268"/>
      <c r="TP1490" s="1268"/>
      <c r="TQ1490" s="1268"/>
      <c r="TR1490" s="1268"/>
      <c r="TS1490" s="1268"/>
      <c r="TT1490" s="1268"/>
      <c r="TU1490" s="1268"/>
      <c r="TV1490" s="1268"/>
      <c r="TW1490" s="1268"/>
      <c r="TX1490" s="1268"/>
      <c r="TY1490" s="1268"/>
      <c r="TZ1490" s="1268"/>
      <c r="UA1490" s="1268"/>
      <c r="UB1490" s="1268"/>
      <c r="UC1490" s="1268"/>
      <c r="UD1490" s="1268"/>
      <c r="UE1490" s="1268"/>
      <c r="UF1490" s="1268"/>
      <c r="UG1490" s="1268"/>
    </row>
    <row r="1491" spans="1:553" s="1262" customFormat="1" ht="19.149999999999999" customHeight="1">
      <c r="A1491" s="356" t="s">
        <v>15</v>
      </c>
      <c r="B1491" s="356"/>
      <c r="C1491" s="1586" t="s">
        <v>809</v>
      </c>
      <c r="D1491" s="1389"/>
      <c r="E1491" s="1389"/>
      <c r="F1491" s="1390"/>
      <c r="G1491" s="418" t="s">
        <v>46</v>
      </c>
      <c r="H1491" s="370"/>
      <c r="I1491" s="1313">
        <f>(20.51*100/400)*(12-(4-3)*1)</f>
        <v>56.402500000000003</v>
      </c>
      <c r="J1491" s="368">
        <v>3100</v>
      </c>
      <c r="K1491" s="565">
        <v>0.7</v>
      </c>
      <c r="L1491" s="571">
        <f t="shared" si="223"/>
        <v>122393</v>
      </c>
      <c r="M1491" s="356"/>
      <c r="N1491" s="356"/>
      <c r="O1491" s="356"/>
      <c r="P1491" s="356"/>
      <c r="Q1491" s="610"/>
      <c r="R1491" s="1452"/>
      <c r="S1491" s="308"/>
      <c r="T1491" s="308"/>
      <c r="U1491" s="308"/>
      <c r="V1491" s="308"/>
      <c r="W1491" s="308"/>
      <c r="X1491" s="308"/>
      <c r="Y1491" s="308"/>
      <c r="Z1491" s="604"/>
      <c r="AA1491" s="308"/>
      <c r="AB1491" s="308"/>
      <c r="AC1491" s="486"/>
      <c r="AD1491" s="486"/>
      <c r="AE1491" s="486"/>
      <c r="AF1491" s="486"/>
      <c r="AG1491" s="486"/>
      <c r="AH1491" s="486"/>
      <c r="AI1491" s="486"/>
      <c r="AJ1491" s="486"/>
      <c r="AK1491" s="486"/>
      <c r="AL1491" s="1267"/>
      <c r="AM1491" s="1268"/>
      <c r="AN1491" s="1268"/>
      <c r="AO1491" s="1268"/>
      <c r="AP1491" s="1268"/>
      <c r="AQ1491" s="1268"/>
      <c r="AR1491" s="1268"/>
      <c r="AS1491" s="1268"/>
      <c r="AT1491" s="1268"/>
      <c r="AU1491" s="1268"/>
      <c r="AV1491" s="1268"/>
      <c r="AW1491" s="1268"/>
      <c r="AX1491" s="1268"/>
      <c r="AY1491" s="1268"/>
      <c r="AZ1491" s="1268"/>
      <c r="BA1491" s="1268"/>
      <c r="BB1491" s="1268"/>
      <c r="BC1491" s="1268"/>
      <c r="BD1491" s="1268"/>
      <c r="BE1491" s="1268"/>
      <c r="BF1491" s="1268"/>
      <c r="BG1491" s="1268"/>
      <c r="BH1491" s="1268"/>
      <c r="BI1491" s="1268"/>
      <c r="BJ1491" s="1268"/>
      <c r="BK1491" s="1268"/>
      <c r="BL1491" s="1268"/>
      <c r="BM1491" s="1268"/>
      <c r="BN1491" s="1268"/>
      <c r="BO1491" s="1268"/>
      <c r="BP1491" s="1268"/>
      <c r="BQ1491" s="1268"/>
      <c r="BR1491" s="1268"/>
      <c r="BS1491" s="1268"/>
      <c r="BT1491" s="1268"/>
      <c r="BU1491" s="1268"/>
      <c r="BV1491" s="1268"/>
      <c r="BW1491" s="1268"/>
      <c r="BX1491" s="1268"/>
      <c r="BY1491" s="1268"/>
      <c r="BZ1491" s="1268"/>
      <c r="CA1491" s="1268"/>
      <c r="CB1491" s="1268"/>
      <c r="CC1491" s="1268"/>
      <c r="CD1491" s="1268"/>
      <c r="CE1491" s="1268"/>
      <c r="CF1491" s="1268"/>
      <c r="CG1491" s="1268"/>
      <c r="CH1491" s="1268"/>
      <c r="CI1491" s="1268"/>
      <c r="CJ1491" s="1268"/>
      <c r="CK1491" s="1268"/>
      <c r="CL1491" s="1268"/>
      <c r="CM1491" s="1268"/>
      <c r="CN1491" s="1268"/>
      <c r="CO1491" s="1268"/>
      <c r="CP1491" s="1268"/>
      <c r="CQ1491" s="1268"/>
      <c r="CR1491" s="1268"/>
      <c r="CS1491" s="1268"/>
      <c r="CT1491" s="1268"/>
      <c r="CU1491" s="1268"/>
      <c r="CV1491" s="1268"/>
      <c r="CW1491" s="1268"/>
      <c r="CX1491" s="1268"/>
      <c r="CY1491" s="1268"/>
      <c r="CZ1491" s="1268"/>
      <c r="DA1491" s="1268"/>
      <c r="DB1491" s="1268"/>
      <c r="DC1491" s="1268"/>
      <c r="DD1491" s="1268"/>
      <c r="DE1491" s="1268"/>
      <c r="DF1491" s="1268"/>
      <c r="DG1491" s="1268"/>
      <c r="DH1491" s="1268"/>
      <c r="DI1491" s="1268"/>
      <c r="DJ1491" s="1268"/>
      <c r="DK1491" s="1268"/>
      <c r="DL1491" s="1268"/>
      <c r="DM1491" s="1268"/>
      <c r="DN1491" s="1268"/>
      <c r="DO1491" s="1268"/>
      <c r="DP1491" s="1268"/>
      <c r="DQ1491" s="1268"/>
      <c r="DR1491" s="1268"/>
      <c r="DS1491" s="1268"/>
      <c r="DT1491" s="1268"/>
      <c r="DU1491" s="1268"/>
      <c r="DV1491" s="1268"/>
      <c r="DW1491" s="1268"/>
      <c r="DX1491" s="1268"/>
      <c r="DY1491" s="1268"/>
      <c r="DZ1491" s="1268"/>
      <c r="EA1491" s="1268"/>
      <c r="EB1491" s="1268"/>
      <c r="EC1491" s="1268"/>
      <c r="ED1491" s="1268"/>
      <c r="EE1491" s="1268"/>
      <c r="EF1491" s="1268"/>
      <c r="EG1491" s="1268"/>
      <c r="EH1491" s="1268"/>
      <c r="EI1491" s="1268"/>
      <c r="EJ1491" s="1268"/>
      <c r="EK1491" s="1268"/>
      <c r="EL1491" s="1268"/>
      <c r="EM1491" s="1268"/>
      <c r="EN1491" s="1268"/>
      <c r="EO1491" s="1268"/>
      <c r="EP1491" s="1268"/>
      <c r="EQ1491" s="1268"/>
      <c r="ER1491" s="1268"/>
      <c r="ES1491" s="1268"/>
      <c r="ET1491" s="1268"/>
      <c r="EU1491" s="1268"/>
      <c r="EV1491" s="1268"/>
      <c r="EW1491" s="1268"/>
      <c r="EX1491" s="1268"/>
      <c r="EY1491" s="1268"/>
      <c r="EZ1491" s="1268"/>
      <c r="FA1491" s="1268"/>
      <c r="FB1491" s="1268"/>
      <c r="FC1491" s="1268"/>
      <c r="FD1491" s="1268"/>
      <c r="FE1491" s="1268"/>
      <c r="FF1491" s="1268"/>
      <c r="FG1491" s="1268"/>
      <c r="FH1491" s="1268"/>
      <c r="FI1491" s="1268"/>
      <c r="FJ1491" s="1268"/>
      <c r="FK1491" s="1268"/>
      <c r="FL1491" s="1268"/>
      <c r="FM1491" s="1268"/>
      <c r="FN1491" s="1268"/>
      <c r="FO1491" s="1268"/>
      <c r="FP1491" s="1268"/>
      <c r="FQ1491" s="1268"/>
      <c r="FR1491" s="1268"/>
      <c r="FS1491" s="1268"/>
      <c r="FT1491" s="1268"/>
      <c r="FU1491" s="1268"/>
      <c r="FV1491" s="1268"/>
      <c r="FW1491" s="1268"/>
      <c r="FX1491" s="1268"/>
      <c r="FY1491" s="1268"/>
      <c r="FZ1491" s="1268"/>
      <c r="GA1491" s="1268"/>
      <c r="GB1491" s="1268"/>
      <c r="GC1491" s="1268"/>
      <c r="GD1491" s="1268"/>
      <c r="GE1491" s="1268"/>
      <c r="GF1491" s="1268"/>
      <c r="GG1491" s="1268"/>
      <c r="GH1491" s="1268"/>
      <c r="GI1491" s="1268"/>
      <c r="GJ1491" s="1268"/>
      <c r="GK1491" s="1268"/>
      <c r="GL1491" s="1268"/>
      <c r="GM1491" s="1268"/>
      <c r="GN1491" s="1268"/>
      <c r="GO1491" s="1268"/>
      <c r="GP1491" s="1268"/>
      <c r="GQ1491" s="1268"/>
      <c r="GR1491" s="1268"/>
      <c r="GS1491" s="1268"/>
      <c r="GT1491" s="1268"/>
      <c r="GU1491" s="1268"/>
      <c r="GV1491" s="1268"/>
      <c r="GW1491" s="1268"/>
      <c r="GX1491" s="1268"/>
      <c r="GY1491" s="1268"/>
      <c r="GZ1491" s="1268"/>
      <c r="HA1491" s="1268"/>
      <c r="HB1491" s="1268"/>
      <c r="HC1491" s="1268"/>
      <c r="HD1491" s="1268"/>
      <c r="HE1491" s="1268"/>
      <c r="HF1491" s="1268"/>
      <c r="HG1491" s="1268"/>
      <c r="HH1491" s="1268"/>
      <c r="HI1491" s="1268"/>
      <c r="HJ1491" s="1268"/>
      <c r="HK1491" s="1268"/>
      <c r="HL1491" s="1268"/>
      <c r="HM1491" s="1268"/>
      <c r="HN1491" s="1268"/>
      <c r="HO1491" s="1268"/>
      <c r="HP1491" s="1268"/>
      <c r="HQ1491" s="1268"/>
      <c r="HR1491" s="1268"/>
      <c r="HS1491" s="1268"/>
      <c r="HT1491" s="1268"/>
      <c r="HU1491" s="1268"/>
      <c r="HV1491" s="1268"/>
      <c r="HW1491" s="1268"/>
      <c r="HX1491" s="1268"/>
      <c r="HY1491" s="1268"/>
      <c r="HZ1491" s="1268"/>
      <c r="IA1491" s="1268"/>
      <c r="IB1491" s="1268"/>
      <c r="IC1491" s="1268"/>
      <c r="ID1491" s="1268"/>
      <c r="IE1491" s="1268"/>
      <c r="IF1491" s="1268"/>
      <c r="IG1491" s="1268"/>
      <c r="IH1491" s="1268"/>
      <c r="II1491" s="1268"/>
      <c r="IJ1491" s="1268"/>
      <c r="IK1491" s="1268"/>
      <c r="IL1491" s="1268"/>
      <c r="IM1491" s="1268"/>
      <c r="IN1491" s="1268"/>
      <c r="IO1491" s="1268"/>
      <c r="IP1491" s="1268"/>
      <c r="IQ1491" s="1268"/>
      <c r="IR1491" s="1268"/>
      <c r="IS1491" s="1268"/>
      <c r="IT1491" s="1268"/>
      <c r="IU1491" s="1268"/>
      <c r="IV1491" s="1268"/>
      <c r="IW1491" s="1268"/>
      <c r="IX1491" s="1268"/>
      <c r="IY1491" s="1268"/>
      <c r="IZ1491" s="1268"/>
      <c r="JA1491" s="1268"/>
      <c r="JB1491" s="1268"/>
      <c r="JC1491" s="1268"/>
      <c r="JD1491" s="1268"/>
      <c r="JE1491" s="1268"/>
      <c r="JF1491" s="1268"/>
      <c r="JG1491" s="1268"/>
      <c r="JH1491" s="1268"/>
      <c r="JI1491" s="1268"/>
      <c r="JJ1491" s="1268"/>
      <c r="JK1491" s="1268"/>
      <c r="JL1491" s="1268"/>
      <c r="JM1491" s="1268"/>
      <c r="JN1491" s="1268"/>
      <c r="JO1491" s="1268"/>
      <c r="JP1491" s="1268"/>
      <c r="JQ1491" s="1268"/>
      <c r="JR1491" s="1268"/>
      <c r="JS1491" s="1268"/>
      <c r="JT1491" s="1268"/>
      <c r="JU1491" s="1268"/>
      <c r="JV1491" s="1268"/>
      <c r="JW1491" s="1268"/>
      <c r="JX1491" s="1268"/>
      <c r="JY1491" s="1268"/>
      <c r="JZ1491" s="1268"/>
      <c r="KA1491" s="1268"/>
      <c r="KB1491" s="1268"/>
      <c r="KC1491" s="1268"/>
      <c r="KD1491" s="1268"/>
      <c r="KE1491" s="1268"/>
      <c r="KF1491" s="1268"/>
      <c r="KG1491" s="1268"/>
      <c r="KH1491" s="1268"/>
      <c r="KI1491" s="1268"/>
      <c r="KJ1491" s="1268"/>
      <c r="KK1491" s="1268"/>
      <c r="KL1491" s="1268"/>
      <c r="KM1491" s="1268"/>
      <c r="KN1491" s="1268"/>
      <c r="KO1491" s="1268"/>
      <c r="KP1491" s="1268"/>
      <c r="KQ1491" s="1268"/>
      <c r="KR1491" s="1268"/>
      <c r="KS1491" s="1268"/>
      <c r="KT1491" s="1268"/>
      <c r="KU1491" s="1268"/>
      <c r="KV1491" s="1268"/>
      <c r="KW1491" s="1268"/>
      <c r="KX1491" s="1268"/>
      <c r="KY1491" s="1268"/>
      <c r="KZ1491" s="1268"/>
      <c r="LA1491" s="1268"/>
      <c r="LB1491" s="1268"/>
      <c r="LC1491" s="1268"/>
      <c r="LD1491" s="1268"/>
      <c r="LE1491" s="1268"/>
      <c r="LF1491" s="1268"/>
      <c r="LG1491" s="1268"/>
      <c r="LH1491" s="1268"/>
      <c r="LI1491" s="1268"/>
      <c r="LJ1491" s="1268"/>
      <c r="LK1491" s="1268"/>
      <c r="LL1491" s="1268"/>
      <c r="LM1491" s="1268"/>
      <c r="LN1491" s="1268"/>
      <c r="LO1491" s="1268"/>
      <c r="LP1491" s="1268"/>
      <c r="LQ1491" s="1268"/>
      <c r="LR1491" s="1268"/>
      <c r="LS1491" s="1268"/>
      <c r="LT1491" s="1268"/>
      <c r="LU1491" s="1268"/>
      <c r="LV1491" s="1268"/>
      <c r="LW1491" s="1268"/>
      <c r="LX1491" s="1268"/>
      <c r="LY1491" s="1268"/>
      <c r="LZ1491" s="1268"/>
      <c r="MA1491" s="1268"/>
      <c r="MB1491" s="1268"/>
      <c r="MC1491" s="1268"/>
      <c r="MD1491" s="1268"/>
      <c r="ME1491" s="1268"/>
      <c r="MF1491" s="1268"/>
      <c r="MG1491" s="1268"/>
      <c r="MH1491" s="1268"/>
      <c r="MI1491" s="1268"/>
      <c r="MJ1491" s="1268"/>
      <c r="MK1491" s="1268"/>
      <c r="ML1491" s="1268"/>
      <c r="MM1491" s="1268"/>
      <c r="MN1491" s="1268"/>
      <c r="MO1491" s="1268"/>
      <c r="MP1491" s="1268"/>
      <c r="MQ1491" s="1268"/>
      <c r="MR1491" s="1268"/>
      <c r="MS1491" s="1268"/>
      <c r="MT1491" s="1268"/>
      <c r="MU1491" s="1268"/>
      <c r="MV1491" s="1268"/>
      <c r="MW1491" s="1268"/>
      <c r="MX1491" s="1268"/>
      <c r="MY1491" s="1268"/>
      <c r="MZ1491" s="1268"/>
      <c r="NA1491" s="1268"/>
      <c r="NB1491" s="1268"/>
      <c r="NC1491" s="1268"/>
      <c r="ND1491" s="1268"/>
      <c r="NE1491" s="1268"/>
      <c r="NF1491" s="1268"/>
      <c r="NG1491" s="1268"/>
      <c r="NH1491" s="1268"/>
      <c r="NI1491" s="1268"/>
      <c r="NJ1491" s="1268"/>
      <c r="NK1491" s="1268"/>
      <c r="NL1491" s="1268"/>
      <c r="NM1491" s="1268"/>
      <c r="NN1491" s="1268"/>
      <c r="NO1491" s="1268"/>
      <c r="NP1491" s="1268"/>
      <c r="NQ1491" s="1268"/>
      <c r="NR1491" s="1268"/>
      <c r="NS1491" s="1268"/>
      <c r="NT1491" s="1268"/>
      <c r="NU1491" s="1268"/>
      <c r="NV1491" s="1268"/>
      <c r="NW1491" s="1268"/>
      <c r="NX1491" s="1268"/>
      <c r="NY1491" s="1268"/>
      <c r="NZ1491" s="1268"/>
      <c r="OA1491" s="1268"/>
      <c r="OB1491" s="1268"/>
      <c r="OC1491" s="1268"/>
      <c r="OD1491" s="1268"/>
      <c r="OE1491" s="1268"/>
      <c r="OF1491" s="1268"/>
      <c r="OG1491" s="1268"/>
      <c r="OH1491" s="1268"/>
      <c r="OI1491" s="1268"/>
      <c r="OJ1491" s="1268"/>
      <c r="OK1491" s="1268"/>
      <c r="OL1491" s="1268"/>
      <c r="OM1491" s="1268"/>
      <c r="ON1491" s="1268"/>
      <c r="OO1491" s="1268"/>
      <c r="OP1491" s="1268"/>
      <c r="OQ1491" s="1268"/>
      <c r="OR1491" s="1268"/>
      <c r="OS1491" s="1268"/>
      <c r="OT1491" s="1268"/>
      <c r="OU1491" s="1268"/>
      <c r="OV1491" s="1268"/>
      <c r="OW1491" s="1268"/>
      <c r="OX1491" s="1268"/>
      <c r="OY1491" s="1268"/>
      <c r="OZ1491" s="1268"/>
      <c r="PA1491" s="1268"/>
      <c r="PB1491" s="1268"/>
      <c r="PC1491" s="1268"/>
      <c r="PD1491" s="1268"/>
      <c r="PE1491" s="1268"/>
      <c r="PF1491" s="1268"/>
      <c r="PG1491" s="1268"/>
      <c r="PH1491" s="1268"/>
      <c r="PI1491" s="1268"/>
      <c r="PJ1491" s="1268"/>
      <c r="PK1491" s="1268"/>
      <c r="PL1491" s="1268"/>
      <c r="PM1491" s="1268"/>
      <c r="PN1491" s="1268"/>
      <c r="PO1491" s="1268"/>
      <c r="PP1491" s="1268"/>
      <c r="PQ1491" s="1268"/>
      <c r="PR1491" s="1268"/>
      <c r="PS1491" s="1268"/>
      <c r="PT1491" s="1268"/>
      <c r="PU1491" s="1268"/>
      <c r="PV1491" s="1268"/>
      <c r="PW1491" s="1268"/>
      <c r="PX1491" s="1268"/>
      <c r="PY1491" s="1268"/>
      <c r="PZ1491" s="1268"/>
      <c r="QA1491" s="1268"/>
      <c r="QB1491" s="1268"/>
      <c r="QC1491" s="1268"/>
      <c r="QD1491" s="1268"/>
      <c r="QE1491" s="1268"/>
      <c r="QF1491" s="1268"/>
      <c r="QG1491" s="1268"/>
      <c r="QH1491" s="1268"/>
      <c r="QI1491" s="1268"/>
      <c r="QJ1491" s="1268"/>
      <c r="QK1491" s="1268"/>
      <c r="QL1491" s="1268"/>
      <c r="QM1491" s="1268"/>
      <c r="QN1491" s="1268"/>
      <c r="QO1491" s="1268"/>
      <c r="QP1491" s="1268"/>
      <c r="QQ1491" s="1268"/>
      <c r="QR1491" s="1268"/>
      <c r="QS1491" s="1268"/>
      <c r="QT1491" s="1268"/>
      <c r="QU1491" s="1268"/>
      <c r="QV1491" s="1268"/>
      <c r="QW1491" s="1268"/>
      <c r="QX1491" s="1268"/>
      <c r="QY1491" s="1268"/>
      <c r="QZ1491" s="1268"/>
      <c r="RA1491" s="1268"/>
      <c r="RB1491" s="1268"/>
      <c r="RC1491" s="1268"/>
      <c r="RD1491" s="1268"/>
      <c r="RE1491" s="1268"/>
      <c r="RF1491" s="1268"/>
      <c r="RG1491" s="1268"/>
      <c r="RH1491" s="1268"/>
      <c r="RI1491" s="1268"/>
      <c r="RJ1491" s="1268"/>
      <c r="RK1491" s="1268"/>
      <c r="RL1491" s="1268"/>
      <c r="RM1491" s="1268"/>
      <c r="RN1491" s="1268"/>
      <c r="RO1491" s="1268"/>
      <c r="RP1491" s="1268"/>
      <c r="RQ1491" s="1268"/>
      <c r="RR1491" s="1268"/>
      <c r="RS1491" s="1268"/>
      <c r="RT1491" s="1268"/>
      <c r="RU1491" s="1268"/>
      <c r="RV1491" s="1268"/>
      <c r="RW1491" s="1268"/>
      <c r="RX1491" s="1268"/>
      <c r="RY1491" s="1268"/>
      <c r="RZ1491" s="1268"/>
      <c r="SA1491" s="1268"/>
      <c r="SB1491" s="1268"/>
      <c r="SC1491" s="1268"/>
      <c r="SD1491" s="1268"/>
      <c r="SE1491" s="1268"/>
      <c r="SF1491" s="1268"/>
      <c r="SG1491" s="1268"/>
      <c r="SH1491" s="1268"/>
      <c r="SI1491" s="1268"/>
      <c r="SJ1491" s="1268"/>
      <c r="SK1491" s="1268"/>
      <c r="SL1491" s="1268"/>
      <c r="SM1491" s="1268"/>
      <c r="SN1491" s="1268"/>
      <c r="SO1491" s="1268"/>
      <c r="SP1491" s="1268"/>
      <c r="SQ1491" s="1268"/>
      <c r="SR1491" s="1268"/>
      <c r="SS1491" s="1268"/>
      <c r="ST1491" s="1268"/>
      <c r="SU1491" s="1268"/>
      <c r="SV1491" s="1268"/>
      <c r="SW1491" s="1268"/>
      <c r="SX1491" s="1268"/>
      <c r="SY1491" s="1268"/>
      <c r="SZ1491" s="1268"/>
      <c r="TA1491" s="1268"/>
      <c r="TB1491" s="1268"/>
      <c r="TC1491" s="1268"/>
      <c r="TD1491" s="1268"/>
      <c r="TE1491" s="1268"/>
      <c r="TF1491" s="1268"/>
      <c r="TG1491" s="1268"/>
      <c r="TH1491" s="1268"/>
      <c r="TI1491" s="1268"/>
      <c r="TJ1491" s="1268"/>
      <c r="TK1491" s="1268"/>
      <c r="TL1491" s="1268"/>
      <c r="TM1491" s="1268"/>
      <c r="TN1491" s="1268"/>
      <c r="TO1491" s="1268"/>
      <c r="TP1491" s="1268"/>
      <c r="TQ1491" s="1268"/>
      <c r="TR1491" s="1268"/>
      <c r="TS1491" s="1268"/>
      <c r="TT1491" s="1268"/>
      <c r="TU1491" s="1268"/>
      <c r="TV1491" s="1268"/>
      <c r="TW1491" s="1268"/>
      <c r="TX1491" s="1268"/>
      <c r="TY1491" s="1268"/>
      <c r="TZ1491" s="1268"/>
      <c r="UA1491" s="1268"/>
      <c r="UB1491" s="1268"/>
      <c r="UC1491" s="1268"/>
      <c r="UD1491" s="1268"/>
      <c r="UE1491" s="1268"/>
      <c r="UF1491" s="1268"/>
      <c r="UG1491" s="1268"/>
    </row>
    <row r="1492" spans="1:553" s="1262" customFormat="1" ht="19.149999999999999" customHeight="1">
      <c r="A1492" s="356" t="s">
        <v>15</v>
      </c>
      <c r="B1492" s="356"/>
      <c r="C1492" s="1586" t="s">
        <v>195</v>
      </c>
      <c r="D1492" s="1389"/>
      <c r="E1492" s="1389"/>
      <c r="F1492" s="1390"/>
      <c r="G1492" s="418" t="s">
        <v>46</v>
      </c>
      <c r="H1492" s="370"/>
      <c r="I1492" s="422">
        <f>(55.03*100/400)*(32-(5-3))*1</f>
        <v>412.72500000000002</v>
      </c>
      <c r="J1492" s="368">
        <v>7300</v>
      </c>
      <c r="K1492" s="565">
        <v>0.7</v>
      </c>
      <c r="L1492" s="368">
        <f>ROUND(PRODUCT(I1492:K1492),0)</f>
        <v>2109025</v>
      </c>
      <c r="M1492" s="356"/>
      <c r="N1492" s="356"/>
      <c r="O1492" s="356"/>
      <c r="P1492" s="356"/>
      <c r="Q1492" s="610"/>
      <c r="R1492" s="1452"/>
      <c r="S1492" s="308"/>
      <c r="T1492" s="308"/>
      <c r="U1492" s="308"/>
      <c r="V1492" s="308"/>
      <c r="W1492" s="308"/>
      <c r="X1492" s="308"/>
      <c r="Y1492" s="308"/>
      <c r="Z1492" s="604"/>
      <c r="AA1492" s="308"/>
      <c r="AB1492" s="308"/>
      <c r="AC1492" s="486"/>
      <c r="AD1492" s="486"/>
      <c r="AE1492" s="486"/>
      <c r="AF1492" s="486"/>
      <c r="AG1492" s="486"/>
      <c r="AH1492" s="486"/>
      <c r="AI1492" s="486"/>
      <c r="AJ1492" s="486"/>
      <c r="AK1492" s="486"/>
      <c r="AL1492" s="1267"/>
      <c r="AM1492" s="1268"/>
      <c r="AN1492" s="1268"/>
      <c r="AO1492" s="1268"/>
      <c r="AP1492" s="1268"/>
      <c r="AQ1492" s="1268"/>
      <c r="AR1492" s="1268"/>
      <c r="AS1492" s="1268"/>
      <c r="AT1492" s="1268"/>
      <c r="AU1492" s="1268"/>
      <c r="AV1492" s="1268"/>
      <c r="AW1492" s="1268"/>
      <c r="AX1492" s="1268"/>
      <c r="AY1492" s="1268"/>
      <c r="AZ1492" s="1268"/>
      <c r="BA1492" s="1268"/>
      <c r="BB1492" s="1268"/>
      <c r="BC1492" s="1268"/>
      <c r="BD1492" s="1268"/>
      <c r="BE1492" s="1268"/>
      <c r="BF1492" s="1268"/>
      <c r="BG1492" s="1268"/>
      <c r="BH1492" s="1268"/>
      <c r="BI1492" s="1268"/>
      <c r="BJ1492" s="1268"/>
      <c r="BK1492" s="1268"/>
      <c r="BL1492" s="1268"/>
      <c r="BM1492" s="1268"/>
      <c r="BN1492" s="1268"/>
      <c r="BO1492" s="1268"/>
      <c r="BP1492" s="1268"/>
      <c r="BQ1492" s="1268"/>
      <c r="BR1492" s="1268"/>
      <c r="BS1492" s="1268"/>
      <c r="BT1492" s="1268"/>
      <c r="BU1492" s="1268"/>
      <c r="BV1492" s="1268"/>
      <c r="BW1492" s="1268"/>
      <c r="BX1492" s="1268"/>
      <c r="BY1492" s="1268"/>
      <c r="BZ1492" s="1268"/>
      <c r="CA1492" s="1268"/>
      <c r="CB1492" s="1268"/>
      <c r="CC1492" s="1268"/>
      <c r="CD1492" s="1268"/>
      <c r="CE1492" s="1268"/>
      <c r="CF1492" s="1268"/>
      <c r="CG1492" s="1268"/>
      <c r="CH1492" s="1268"/>
      <c r="CI1492" s="1268"/>
      <c r="CJ1492" s="1268"/>
      <c r="CK1492" s="1268"/>
      <c r="CL1492" s="1268"/>
      <c r="CM1492" s="1268"/>
      <c r="CN1492" s="1268"/>
      <c r="CO1492" s="1268"/>
      <c r="CP1492" s="1268"/>
      <c r="CQ1492" s="1268"/>
      <c r="CR1492" s="1268"/>
      <c r="CS1492" s="1268"/>
      <c r="CT1492" s="1268"/>
      <c r="CU1492" s="1268"/>
      <c r="CV1492" s="1268"/>
      <c r="CW1492" s="1268"/>
      <c r="CX1492" s="1268"/>
      <c r="CY1492" s="1268"/>
      <c r="CZ1492" s="1268"/>
      <c r="DA1492" s="1268"/>
      <c r="DB1492" s="1268"/>
      <c r="DC1492" s="1268"/>
      <c r="DD1492" s="1268"/>
      <c r="DE1492" s="1268"/>
      <c r="DF1492" s="1268"/>
      <c r="DG1492" s="1268"/>
      <c r="DH1492" s="1268"/>
      <c r="DI1492" s="1268"/>
      <c r="DJ1492" s="1268"/>
      <c r="DK1492" s="1268"/>
      <c r="DL1492" s="1268"/>
      <c r="DM1492" s="1268"/>
      <c r="DN1492" s="1268"/>
      <c r="DO1492" s="1268"/>
      <c r="DP1492" s="1268"/>
      <c r="DQ1492" s="1268"/>
      <c r="DR1492" s="1268"/>
      <c r="DS1492" s="1268"/>
      <c r="DT1492" s="1268"/>
      <c r="DU1492" s="1268"/>
      <c r="DV1492" s="1268"/>
      <c r="DW1492" s="1268"/>
      <c r="DX1492" s="1268"/>
      <c r="DY1492" s="1268"/>
      <c r="DZ1492" s="1268"/>
      <c r="EA1492" s="1268"/>
      <c r="EB1492" s="1268"/>
      <c r="EC1492" s="1268"/>
      <c r="ED1492" s="1268"/>
      <c r="EE1492" s="1268"/>
      <c r="EF1492" s="1268"/>
      <c r="EG1492" s="1268"/>
      <c r="EH1492" s="1268"/>
      <c r="EI1492" s="1268"/>
      <c r="EJ1492" s="1268"/>
      <c r="EK1492" s="1268"/>
      <c r="EL1492" s="1268"/>
      <c r="EM1492" s="1268"/>
      <c r="EN1492" s="1268"/>
      <c r="EO1492" s="1268"/>
      <c r="EP1492" s="1268"/>
      <c r="EQ1492" s="1268"/>
      <c r="ER1492" s="1268"/>
      <c r="ES1492" s="1268"/>
      <c r="ET1492" s="1268"/>
      <c r="EU1492" s="1268"/>
      <c r="EV1492" s="1268"/>
      <c r="EW1492" s="1268"/>
      <c r="EX1492" s="1268"/>
      <c r="EY1492" s="1268"/>
      <c r="EZ1492" s="1268"/>
      <c r="FA1492" s="1268"/>
      <c r="FB1492" s="1268"/>
      <c r="FC1492" s="1268"/>
      <c r="FD1492" s="1268"/>
      <c r="FE1492" s="1268"/>
      <c r="FF1492" s="1268"/>
      <c r="FG1492" s="1268"/>
      <c r="FH1492" s="1268"/>
      <c r="FI1492" s="1268"/>
      <c r="FJ1492" s="1268"/>
      <c r="FK1492" s="1268"/>
      <c r="FL1492" s="1268"/>
      <c r="FM1492" s="1268"/>
      <c r="FN1492" s="1268"/>
      <c r="FO1492" s="1268"/>
      <c r="FP1492" s="1268"/>
      <c r="FQ1492" s="1268"/>
      <c r="FR1492" s="1268"/>
      <c r="FS1492" s="1268"/>
      <c r="FT1492" s="1268"/>
      <c r="FU1492" s="1268"/>
      <c r="FV1492" s="1268"/>
      <c r="FW1492" s="1268"/>
      <c r="FX1492" s="1268"/>
      <c r="FY1492" s="1268"/>
      <c r="FZ1492" s="1268"/>
      <c r="GA1492" s="1268"/>
      <c r="GB1492" s="1268"/>
      <c r="GC1492" s="1268"/>
      <c r="GD1492" s="1268"/>
      <c r="GE1492" s="1268"/>
      <c r="GF1492" s="1268"/>
      <c r="GG1492" s="1268"/>
      <c r="GH1492" s="1268"/>
      <c r="GI1492" s="1268"/>
      <c r="GJ1492" s="1268"/>
      <c r="GK1492" s="1268"/>
      <c r="GL1492" s="1268"/>
      <c r="GM1492" s="1268"/>
      <c r="GN1492" s="1268"/>
      <c r="GO1492" s="1268"/>
      <c r="GP1492" s="1268"/>
      <c r="GQ1492" s="1268"/>
      <c r="GR1492" s="1268"/>
      <c r="GS1492" s="1268"/>
      <c r="GT1492" s="1268"/>
      <c r="GU1492" s="1268"/>
      <c r="GV1492" s="1268"/>
      <c r="GW1492" s="1268"/>
      <c r="GX1492" s="1268"/>
      <c r="GY1492" s="1268"/>
      <c r="GZ1492" s="1268"/>
      <c r="HA1492" s="1268"/>
      <c r="HB1492" s="1268"/>
      <c r="HC1492" s="1268"/>
      <c r="HD1492" s="1268"/>
      <c r="HE1492" s="1268"/>
      <c r="HF1492" s="1268"/>
      <c r="HG1492" s="1268"/>
      <c r="HH1492" s="1268"/>
      <c r="HI1492" s="1268"/>
      <c r="HJ1492" s="1268"/>
      <c r="HK1492" s="1268"/>
      <c r="HL1492" s="1268"/>
      <c r="HM1492" s="1268"/>
      <c r="HN1492" s="1268"/>
      <c r="HO1492" s="1268"/>
      <c r="HP1492" s="1268"/>
      <c r="HQ1492" s="1268"/>
      <c r="HR1492" s="1268"/>
      <c r="HS1492" s="1268"/>
      <c r="HT1492" s="1268"/>
      <c r="HU1492" s="1268"/>
      <c r="HV1492" s="1268"/>
      <c r="HW1492" s="1268"/>
      <c r="HX1492" s="1268"/>
      <c r="HY1492" s="1268"/>
      <c r="HZ1492" s="1268"/>
      <c r="IA1492" s="1268"/>
      <c r="IB1492" s="1268"/>
      <c r="IC1492" s="1268"/>
      <c r="ID1492" s="1268"/>
      <c r="IE1492" s="1268"/>
      <c r="IF1492" s="1268"/>
      <c r="IG1492" s="1268"/>
      <c r="IH1492" s="1268"/>
      <c r="II1492" s="1268"/>
      <c r="IJ1492" s="1268"/>
      <c r="IK1492" s="1268"/>
      <c r="IL1492" s="1268"/>
      <c r="IM1492" s="1268"/>
      <c r="IN1492" s="1268"/>
      <c r="IO1492" s="1268"/>
      <c r="IP1492" s="1268"/>
      <c r="IQ1492" s="1268"/>
      <c r="IR1492" s="1268"/>
      <c r="IS1492" s="1268"/>
      <c r="IT1492" s="1268"/>
      <c r="IU1492" s="1268"/>
      <c r="IV1492" s="1268"/>
      <c r="IW1492" s="1268"/>
      <c r="IX1492" s="1268"/>
      <c r="IY1492" s="1268"/>
      <c r="IZ1492" s="1268"/>
      <c r="JA1492" s="1268"/>
      <c r="JB1492" s="1268"/>
      <c r="JC1492" s="1268"/>
      <c r="JD1492" s="1268"/>
      <c r="JE1492" s="1268"/>
      <c r="JF1492" s="1268"/>
      <c r="JG1492" s="1268"/>
      <c r="JH1492" s="1268"/>
      <c r="JI1492" s="1268"/>
      <c r="JJ1492" s="1268"/>
      <c r="JK1492" s="1268"/>
      <c r="JL1492" s="1268"/>
      <c r="JM1492" s="1268"/>
      <c r="JN1492" s="1268"/>
      <c r="JO1492" s="1268"/>
      <c r="JP1492" s="1268"/>
      <c r="JQ1492" s="1268"/>
      <c r="JR1492" s="1268"/>
      <c r="JS1492" s="1268"/>
      <c r="JT1492" s="1268"/>
      <c r="JU1492" s="1268"/>
      <c r="JV1492" s="1268"/>
      <c r="JW1492" s="1268"/>
      <c r="JX1492" s="1268"/>
      <c r="JY1492" s="1268"/>
      <c r="JZ1492" s="1268"/>
      <c r="KA1492" s="1268"/>
      <c r="KB1492" s="1268"/>
      <c r="KC1492" s="1268"/>
      <c r="KD1492" s="1268"/>
      <c r="KE1492" s="1268"/>
      <c r="KF1492" s="1268"/>
      <c r="KG1492" s="1268"/>
      <c r="KH1492" s="1268"/>
      <c r="KI1492" s="1268"/>
      <c r="KJ1492" s="1268"/>
      <c r="KK1492" s="1268"/>
      <c r="KL1492" s="1268"/>
      <c r="KM1492" s="1268"/>
      <c r="KN1492" s="1268"/>
      <c r="KO1492" s="1268"/>
      <c r="KP1492" s="1268"/>
      <c r="KQ1492" s="1268"/>
      <c r="KR1492" s="1268"/>
      <c r="KS1492" s="1268"/>
      <c r="KT1492" s="1268"/>
      <c r="KU1492" s="1268"/>
      <c r="KV1492" s="1268"/>
      <c r="KW1492" s="1268"/>
      <c r="KX1492" s="1268"/>
      <c r="KY1492" s="1268"/>
      <c r="KZ1492" s="1268"/>
      <c r="LA1492" s="1268"/>
      <c r="LB1492" s="1268"/>
      <c r="LC1492" s="1268"/>
      <c r="LD1492" s="1268"/>
      <c r="LE1492" s="1268"/>
      <c r="LF1492" s="1268"/>
      <c r="LG1492" s="1268"/>
      <c r="LH1492" s="1268"/>
      <c r="LI1492" s="1268"/>
      <c r="LJ1492" s="1268"/>
      <c r="LK1492" s="1268"/>
      <c r="LL1492" s="1268"/>
      <c r="LM1492" s="1268"/>
      <c r="LN1492" s="1268"/>
      <c r="LO1492" s="1268"/>
      <c r="LP1492" s="1268"/>
      <c r="LQ1492" s="1268"/>
      <c r="LR1492" s="1268"/>
      <c r="LS1492" s="1268"/>
      <c r="LT1492" s="1268"/>
      <c r="LU1492" s="1268"/>
      <c r="LV1492" s="1268"/>
      <c r="LW1492" s="1268"/>
      <c r="LX1492" s="1268"/>
      <c r="LY1492" s="1268"/>
      <c r="LZ1492" s="1268"/>
      <c r="MA1492" s="1268"/>
      <c r="MB1492" s="1268"/>
      <c r="MC1492" s="1268"/>
      <c r="MD1492" s="1268"/>
      <c r="ME1492" s="1268"/>
      <c r="MF1492" s="1268"/>
      <c r="MG1492" s="1268"/>
      <c r="MH1492" s="1268"/>
      <c r="MI1492" s="1268"/>
      <c r="MJ1492" s="1268"/>
      <c r="MK1492" s="1268"/>
      <c r="ML1492" s="1268"/>
      <c r="MM1492" s="1268"/>
      <c r="MN1492" s="1268"/>
      <c r="MO1492" s="1268"/>
      <c r="MP1492" s="1268"/>
      <c r="MQ1492" s="1268"/>
      <c r="MR1492" s="1268"/>
      <c r="MS1492" s="1268"/>
      <c r="MT1492" s="1268"/>
      <c r="MU1492" s="1268"/>
      <c r="MV1492" s="1268"/>
      <c r="MW1492" s="1268"/>
      <c r="MX1492" s="1268"/>
      <c r="MY1492" s="1268"/>
      <c r="MZ1492" s="1268"/>
      <c r="NA1492" s="1268"/>
      <c r="NB1492" s="1268"/>
      <c r="NC1492" s="1268"/>
      <c r="ND1492" s="1268"/>
      <c r="NE1492" s="1268"/>
      <c r="NF1492" s="1268"/>
      <c r="NG1492" s="1268"/>
      <c r="NH1492" s="1268"/>
      <c r="NI1492" s="1268"/>
      <c r="NJ1492" s="1268"/>
      <c r="NK1492" s="1268"/>
      <c r="NL1492" s="1268"/>
      <c r="NM1492" s="1268"/>
      <c r="NN1492" s="1268"/>
      <c r="NO1492" s="1268"/>
      <c r="NP1492" s="1268"/>
      <c r="NQ1492" s="1268"/>
      <c r="NR1492" s="1268"/>
      <c r="NS1492" s="1268"/>
      <c r="NT1492" s="1268"/>
      <c r="NU1492" s="1268"/>
      <c r="NV1492" s="1268"/>
      <c r="NW1492" s="1268"/>
      <c r="NX1492" s="1268"/>
      <c r="NY1492" s="1268"/>
      <c r="NZ1492" s="1268"/>
      <c r="OA1492" s="1268"/>
      <c r="OB1492" s="1268"/>
      <c r="OC1492" s="1268"/>
      <c r="OD1492" s="1268"/>
      <c r="OE1492" s="1268"/>
      <c r="OF1492" s="1268"/>
      <c r="OG1492" s="1268"/>
      <c r="OH1492" s="1268"/>
      <c r="OI1492" s="1268"/>
      <c r="OJ1492" s="1268"/>
      <c r="OK1492" s="1268"/>
      <c r="OL1492" s="1268"/>
      <c r="OM1492" s="1268"/>
      <c r="ON1492" s="1268"/>
      <c r="OO1492" s="1268"/>
      <c r="OP1492" s="1268"/>
      <c r="OQ1492" s="1268"/>
      <c r="OR1492" s="1268"/>
      <c r="OS1492" s="1268"/>
      <c r="OT1492" s="1268"/>
      <c r="OU1492" s="1268"/>
      <c r="OV1492" s="1268"/>
      <c r="OW1492" s="1268"/>
      <c r="OX1492" s="1268"/>
      <c r="OY1492" s="1268"/>
      <c r="OZ1492" s="1268"/>
      <c r="PA1492" s="1268"/>
      <c r="PB1492" s="1268"/>
      <c r="PC1492" s="1268"/>
      <c r="PD1492" s="1268"/>
      <c r="PE1492" s="1268"/>
      <c r="PF1492" s="1268"/>
      <c r="PG1492" s="1268"/>
      <c r="PH1492" s="1268"/>
      <c r="PI1492" s="1268"/>
      <c r="PJ1492" s="1268"/>
      <c r="PK1492" s="1268"/>
      <c r="PL1492" s="1268"/>
      <c r="PM1492" s="1268"/>
      <c r="PN1492" s="1268"/>
      <c r="PO1492" s="1268"/>
      <c r="PP1492" s="1268"/>
      <c r="PQ1492" s="1268"/>
      <c r="PR1492" s="1268"/>
      <c r="PS1492" s="1268"/>
      <c r="PT1492" s="1268"/>
      <c r="PU1492" s="1268"/>
      <c r="PV1492" s="1268"/>
      <c r="PW1492" s="1268"/>
      <c r="PX1492" s="1268"/>
      <c r="PY1492" s="1268"/>
      <c r="PZ1492" s="1268"/>
      <c r="QA1492" s="1268"/>
      <c r="QB1492" s="1268"/>
      <c r="QC1492" s="1268"/>
      <c r="QD1492" s="1268"/>
      <c r="QE1492" s="1268"/>
      <c r="QF1492" s="1268"/>
      <c r="QG1492" s="1268"/>
      <c r="QH1492" s="1268"/>
      <c r="QI1492" s="1268"/>
      <c r="QJ1492" s="1268"/>
      <c r="QK1492" s="1268"/>
      <c r="QL1492" s="1268"/>
      <c r="QM1492" s="1268"/>
      <c r="QN1492" s="1268"/>
      <c r="QO1492" s="1268"/>
      <c r="QP1492" s="1268"/>
      <c r="QQ1492" s="1268"/>
      <c r="QR1492" s="1268"/>
      <c r="QS1492" s="1268"/>
      <c r="QT1492" s="1268"/>
      <c r="QU1492" s="1268"/>
      <c r="QV1492" s="1268"/>
      <c r="QW1492" s="1268"/>
      <c r="QX1492" s="1268"/>
      <c r="QY1492" s="1268"/>
      <c r="QZ1492" s="1268"/>
      <c r="RA1492" s="1268"/>
      <c r="RB1492" s="1268"/>
      <c r="RC1492" s="1268"/>
      <c r="RD1492" s="1268"/>
      <c r="RE1492" s="1268"/>
      <c r="RF1492" s="1268"/>
      <c r="RG1492" s="1268"/>
      <c r="RH1492" s="1268"/>
      <c r="RI1492" s="1268"/>
      <c r="RJ1492" s="1268"/>
      <c r="RK1492" s="1268"/>
      <c r="RL1492" s="1268"/>
      <c r="RM1492" s="1268"/>
      <c r="RN1492" s="1268"/>
      <c r="RO1492" s="1268"/>
      <c r="RP1492" s="1268"/>
      <c r="RQ1492" s="1268"/>
      <c r="RR1492" s="1268"/>
      <c r="RS1492" s="1268"/>
      <c r="RT1492" s="1268"/>
      <c r="RU1492" s="1268"/>
      <c r="RV1492" s="1268"/>
      <c r="RW1492" s="1268"/>
      <c r="RX1492" s="1268"/>
      <c r="RY1492" s="1268"/>
      <c r="RZ1492" s="1268"/>
      <c r="SA1492" s="1268"/>
      <c r="SB1492" s="1268"/>
      <c r="SC1492" s="1268"/>
      <c r="SD1492" s="1268"/>
      <c r="SE1492" s="1268"/>
      <c r="SF1492" s="1268"/>
      <c r="SG1492" s="1268"/>
      <c r="SH1492" s="1268"/>
      <c r="SI1492" s="1268"/>
      <c r="SJ1492" s="1268"/>
      <c r="SK1492" s="1268"/>
      <c r="SL1492" s="1268"/>
      <c r="SM1492" s="1268"/>
      <c r="SN1492" s="1268"/>
      <c r="SO1492" s="1268"/>
      <c r="SP1492" s="1268"/>
      <c r="SQ1492" s="1268"/>
      <c r="SR1492" s="1268"/>
      <c r="SS1492" s="1268"/>
      <c r="ST1492" s="1268"/>
      <c r="SU1492" s="1268"/>
      <c r="SV1492" s="1268"/>
      <c r="SW1492" s="1268"/>
      <c r="SX1492" s="1268"/>
      <c r="SY1492" s="1268"/>
      <c r="SZ1492" s="1268"/>
      <c r="TA1492" s="1268"/>
      <c r="TB1492" s="1268"/>
      <c r="TC1492" s="1268"/>
      <c r="TD1492" s="1268"/>
      <c r="TE1492" s="1268"/>
      <c r="TF1492" s="1268"/>
      <c r="TG1492" s="1268"/>
      <c r="TH1492" s="1268"/>
      <c r="TI1492" s="1268"/>
      <c r="TJ1492" s="1268"/>
      <c r="TK1492" s="1268"/>
      <c r="TL1492" s="1268"/>
      <c r="TM1492" s="1268"/>
      <c r="TN1492" s="1268"/>
      <c r="TO1492" s="1268"/>
      <c r="TP1492" s="1268"/>
      <c r="TQ1492" s="1268"/>
      <c r="TR1492" s="1268"/>
      <c r="TS1492" s="1268"/>
      <c r="TT1492" s="1268"/>
      <c r="TU1492" s="1268"/>
      <c r="TV1492" s="1268"/>
      <c r="TW1492" s="1268"/>
      <c r="TX1492" s="1268"/>
      <c r="TY1492" s="1268"/>
      <c r="TZ1492" s="1268"/>
      <c r="UA1492" s="1268"/>
      <c r="UB1492" s="1268"/>
      <c r="UC1492" s="1268"/>
      <c r="UD1492" s="1268"/>
      <c r="UE1492" s="1268"/>
      <c r="UF1492" s="1268"/>
      <c r="UG1492" s="1268"/>
    </row>
    <row r="1493" spans="1:553" s="1262" customFormat="1" ht="54" customHeight="1">
      <c r="A1493" s="356" t="s">
        <v>15</v>
      </c>
      <c r="B1493" s="356"/>
      <c r="C1493" s="1586" t="s">
        <v>1412</v>
      </c>
      <c r="D1493" s="1389"/>
      <c r="E1493" s="1389"/>
      <c r="F1493" s="1390"/>
      <c r="G1493" s="418" t="s">
        <v>51</v>
      </c>
      <c r="H1493" s="370"/>
      <c r="I1493" s="646">
        <v>15</v>
      </c>
      <c r="J1493" s="368">
        <v>21670</v>
      </c>
      <c r="K1493" s="418"/>
      <c r="L1493" s="571">
        <f t="shared" si="223"/>
        <v>325050</v>
      </c>
      <c r="M1493" s="356"/>
      <c r="N1493" s="356"/>
      <c r="O1493" s="356"/>
      <c r="P1493" s="356"/>
      <c r="Q1493" s="610"/>
      <c r="R1493" s="1452"/>
      <c r="S1493" s="308"/>
      <c r="T1493" s="308"/>
      <c r="U1493" s="308"/>
      <c r="V1493" s="308"/>
      <c r="W1493" s="308"/>
      <c r="X1493" s="308"/>
      <c r="Y1493" s="308"/>
      <c r="Z1493" s="604"/>
      <c r="AA1493" s="308"/>
      <c r="AB1493" s="308"/>
      <c r="AC1493" s="486"/>
      <c r="AD1493" s="486"/>
      <c r="AE1493" s="486"/>
      <c r="AF1493" s="486"/>
      <c r="AG1493" s="486"/>
      <c r="AH1493" s="486"/>
      <c r="AI1493" s="486"/>
      <c r="AJ1493" s="486"/>
      <c r="AK1493" s="486"/>
      <c r="AL1493" s="1267"/>
      <c r="AM1493" s="1268"/>
      <c r="AN1493" s="1268"/>
      <c r="AO1493" s="1268"/>
      <c r="AP1493" s="1268"/>
      <c r="AQ1493" s="1268"/>
      <c r="AR1493" s="1268"/>
      <c r="AS1493" s="1268"/>
      <c r="AT1493" s="1268"/>
      <c r="AU1493" s="1268"/>
      <c r="AV1493" s="1268"/>
      <c r="AW1493" s="1268"/>
      <c r="AX1493" s="1268"/>
      <c r="AY1493" s="1268"/>
      <c r="AZ1493" s="1268"/>
      <c r="BA1493" s="1268"/>
      <c r="BB1493" s="1268"/>
      <c r="BC1493" s="1268"/>
      <c r="BD1493" s="1268"/>
      <c r="BE1493" s="1268"/>
      <c r="BF1493" s="1268"/>
      <c r="BG1493" s="1268"/>
      <c r="BH1493" s="1268"/>
      <c r="BI1493" s="1268"/>
      <c r="BJ1493" s="1268"/>
      <c r="BK1493" s="1268"/>
      <c r="BL1493" s="1268"/>
      <c r="BM1493" s="1268"/>
      <c r="BN1493" s="1268"/>
      <c r="BO1493" s="1268"/>
      <c r="BP1493" s="1268"/>
      <c r="BQ1493" s="1268"/>
      <c r="BR1493" s="1268"/>
      <c r="BS1493" s="1268"/>
      <c r="BT1493" s="1268"/>
      <c r="BU1493" s="1268"/>
      <c r="BV1493" s="1268"/>
      <c r="BW1493" s="1268"/>
      <c r="BX1493" s="1268"/>
      <c r="BY1493" s="1268"/>
      <c r="BZ1493" s="1268"/>
      <c r="CA1493" s="1268"/>
      <c r="CB1493" s="1268"/>
      <c r="CC1493" s="1268"/>
      <c r="CD1493" s="1268"/>
      <c r="CE1493" s="1268"/>
      <c r="CF1493" s="1268"/>
      <c r="CG1493" s="1268"/>
      <c r="CH1493" s="1268"/>
      <c r="CI1493" s="1268"/>
      <c r="CJ1493" s="1268"/>
      <c r="CK1493" s="1268"/>
      <c r="CL1493" s="1268"/>
      <c r="CM1493" s="1268"/>
      <c r="CN1493" s="1268"/>
      <c r="CO1493" s="1268"/>
      <c r="CP1493" s="1268"/>
      <c r="CQ1493" s="1268"/>
      <c r="CR1493" s="1268"/>
      <c r="CS1493" s="1268"/>
      <c r="CT1493" s="1268"/>
      <c r="CU1493" s="1268"/>
      <c r="CV1493" s="1268"/>
      <c r="CW1493" s="1268"/>
      <c r="CX1493" s="1268"/>
      <c r="CY1493" s="1268"/>
      <c r="CZ1493" s="1268"/>
      <c r="DA1493" s="1268"/>
      <c r="DB1493" s="1268"/>
      <c r="DC1493" s="1268"/>
      <c r="DD1493" s="1268"/>
      <c r="DE1493" s="1268"/>
      <c r="DF1493" s="1268"/>
      <c r="DG1493" s="1268"/>
      <c r="DH1493" s="1268"/>
      <c r="DI1493" s="1268"/>
      <c r="DJ1493" s="1268"/>
      <c r="DK1493" s="1268"/>
      <c r="DL1493" s="1268"/>
      <c r="DM1493" s="1268"/>
      <c r="DN1493" s="1268"/>
      <c r="DO1493" s="1268"/>
      <c r="DP1493" s="1268"/>
      <c r="DQ1493" s="1268"/>
      <c r="DR1493" s="1268"/>
      <c r="DS1493" s="1268"/>
      <c r="DT1493" s="1268"/>
      <c r="DU1493" s="1268"/>
      <c r="DV1493" s="1268"/>
      <c r="DW1493" s="1268"/>
      <c r="DX1493" s="1268"/>
      <c r="DY1493" s="1268"/>
      <c r="DZ1493" s="1268"/>
      <c r="EA1493" s="1268"/>
      <c r="EB1493" s="1268"/>
      <c r="EC1493" s="1268"/>
      <c r="ED1493" s="1268"/>
      <c r="EE1493" s="1268"/>
      <c r="EF1493" s="1268"/>
      <c r="EG1493" s="1268"/>
      <c r="EH1493" s="1268"/>
      <c r="EI1493" s="1268"/>
      <c r="EJ1493" s="1268"/>
      <c r="EK1493" s="1268"/>
      <c r="EL1493" s="1268"/>
      <c r="EM1493" s="1268"/>
      <c r="EN1493" s="1268"/>
      <c r="EO1493" s="1268"/>
      <c r="EP1493" s="1268"/>
      <c r="EQ1493" s="1268"/>
      <c r="ER1493" s="1268"/>
      <c r="ES1493" s="1268"/>
      <c r="ET1493" s="1268"/>
      <c r="EU1493" s="1268"/>
      <c r="EV1493" s="1268"/>
      <c r="EW1493" s="1268"/>
      <c r="EX1493" s="1268"/>
      <c r="EY1493" s="1268"/>
      <c r="EZ1493" s="1268"/>
      <c r="FA1493" s="1268"/>
      <c r="FB1493" s="1268"/>
      <c r="FC1493" s="1268"/>
      <c r="FD1493" s="1268"/>
      <c r="FE1493" s="1268"/>
      <c r="FF1493" s="1268"/>
      <c r="FG1493" s="1268"/>
      <c r="FH1493" s="1268"/>
      <c r="FI1493" s="1268"/>
      <c r="FJ1493" s="1268"/>
      <c r="FK1493" s="1268"/>
      <c r="FL1493" s="1268"/>
      <c r="FM1493" s="1268"/>
      <c r="FN1493" s="1268"/>
      <c r="FO1493" s="1268"/>
      <c r="FP1493" s="1268"/>
      <c r="FQ1493" s="1268"/>
      <c r="FR1493" s="1268"/>
      <c r="FS1493" s="1268"/>
      <c r="FT1493" s="1268"/>
      <c r="FU1493" s="1268"/>
      <c r="FV1493" s="1268"/>
      <c r="FW1493" s="1268"/>
      <c r="FX1493" s="1268"/>
      <c r="FY1493" s="1268"/>
      <c r="FZ1493" s="1268"/>
      <c r="GA1493" s="1268"/>
      <c r="GB1493" s="1268"/>
      <c r="GC1493" s="1268"/>
      <c r="GD1493" s="1268"/>
      <c r="GE1493" s="1268"/>
      <c r="GF1493" s="1268"/>
      <c r="GG1493" s="1268"/>
      <c r="GH1493" s="1268"/>
      <c r="GI1493" s="1268"/>
      <c r="GJ1493" s="1268"/>
      <c r="GK1493" s="1268"/>
      <c r="GL1493" s="1268"/>
      <c r="GM1493" s="1268"/>
      <c r="GN1493" s="1268"/>
      <c r="GO1493" s="1268"/>
      <c r="GP1493" s="1268"/>
      <c r="GQ1493" s="1268"/>
      <c r="GR1493" s="1268"/>
      <c r="GS1493" s="1268"/>
      <c r="GT1493" s="1268"/>
      <c r="GU1493" s="1268"/>
      <c r="GV1493" s="1268"/>
      <c r="GW1493" s="1268"/>
      <c r="GX1493" s="1268"/>
      <c r="GY1493" s="1268"/>
      <c r="GZ1493" s="1268"/>
      <c r="HA1493" s="1268"/>
      <c r="HB1493" s="1268"/>
      <c r="HC1493" s="1268"/>
      <c r="HD1493" s="1268"/>
      <c r="HE1493" s="1268"/>
      <c r="HF1493" s="1268"/>
      <c r="HG1493" s="1268"/>
      <c r="HH1493" s="1268"/>
      <c r="HI1493" s="1268"/>
      <c r="HJ1493" s="1268"/>
      <c r="HK1493" s="1268"/>
      <c r="HL1493" s="1268"/>
      <c r="HM1493" s="1268"/>
      <c r="HN1493" s="1268"/>
      <c r="HO1493" s="1268"/>
      <c r="HP1493" s="1268"/>
      <c r="HQ1493" s="1268"/>
      <c r="HR1493" s="1268"/>
      <c r="HS1493" s="1268"/>
      <c r="HT1493" s="1268"/>
      <c r="HU1493" s="1268"/>
      <c r="HV1493" s="1268"/>
      <c r="HW1493" s="1268"/>
      <c r="HX1493" s="1268"/>
      <c r="HY1493" s="1268"/>
      <c r="HZ1493" s="1268"/>
      <c r="IA1493" s="1268"/>
      <c r="IB1493" s="1268"/>
      <c r="IC1493" s="1268"/>
      <c r="ID1493" s="1268"/>
      <c r="IE1493" s="1268"/>
      <c r="IF1493" s="1268"/>
      <c r="IG1493" s="1268"/>
      <c r="IH1493" s="1268"/>
      <c r="II1493" s="1268"/>
      <c r="IJ1493" s="1268"/>
      <c r="IK1493" s="1268"/>
      <c r="IL1493" s="1268"/>
      <c r="IM1493" s="1268"/>
      <c r="IN1493" s="1268"/>
      <c r="IO1493" s="1268"/>
      <c r="IP1493" s="1268"/>
      <c r="IQ1493" s="1268"/>
      <c r="IR1493" s="1268"/>
      <c r="IS1493" s="1268"/>
      <c r="IT1493" s="1268"/>
      <c r="IU1493" s="1268"/>
      <c r="IV1493" s="1268"/>
      <c r="IW1493" s="1268"/>
      <c r="IX1493" s="1268"/>
      <c r="IY1493" s="1268"/>
      <c r="IZ1493" s="1268"/>
      <c r="JA1493" s="1268"/>
      <c r="JB1493" s="1268"/>
      <c r="JC1493" s="1268"/>
      <c r="JD1493" s="1268"/>
      <c r="JE1493" s="1268"/>
      <c r="JF1493" s="1268"/>
      <c r="JG1493" s="1268"/>
      <c r="JH1493" s="1268"/>
      <c r="JI1493" s="1268"/>
      <c r="JJ1493" s="1268"/>
      <c r="JK1493" s="1268"/>
      <c r="JL1493" s="1268"/>
      <c r="JM1493" s="1268"/>
      <c r="JN1493" s="1268"/>
      <c r="JO1493" s="1268"/>
      <c r="JP1493" s="1268"/>
      <c r="JQ1493" s="1268"/>
      <c r="JR1493" s="1268"/>
      <c r="JS1493" s="1268"/>
      <c r="JT1493" s="1268"/>
      <c r="JU1493" s="1268"/>
      <c r="JV1493" s="1268"/>
      <c r="JW1493" s="1268"/>
      <c r="JX1493" s="1268"/>
      <c r="JY1493" s="1268"/>
      <c r="JZ1493" s="1268"/>
      <c r="KA1493" s="1268"/>
      <c r="KB1493" s="1268"/>
      <c r="KC1493" s="1268"/>
      <c r="KD1493" s="1268"/>
      <c r="KE1493" s="1268"/>
      <c r="KF1493" s="1268"/>
      <c r="KG1493" s="1268"/>
      <c r="KH1493" s="1268"/>
      <c r="KI1493" s="1268"/>
      <c r="KJ1493" s="1268"/>
      <c r="KK1493" s="1268"/>
      <c r="KL1493" s="1268"/>
      <c r="KM1493" s="1268"/>
      <c r="KN1493" s="1268"/>
      <c r="KO1493" s="1268"/>
      <c r="KP1493" s="1268"/>
      <c r="KQ1493" s="1268"/>
      <c r="KR1493" s="1268"/>
      <c r="KS1493" s="1268"/>
      <c r="KT1493" s="1268"/>
      <c r="KU1493" s="1268"/>
      <c r="KV1493" s="1268"/>
      <c r="KW1493" s="1268"/>
      <c r="KX1493" s="1268"/>
      <c r="KY1493" s="1268"/>
      <c r="KZ1493" s="1268"/>
      <c r="LA1493" s="1268"/>
      <c r="LB1493" s="1268"/>
      <c r="LC1493" s="1268"/>
      <c r="LD1493" s="1268"/>
      <c r="LE1493" s="1268"/>
      <c r="LF1493" s="1268"/>
      <c r="LG1493" s="1268"/>
      <c r="LH1493" s="1268"/>
      <c r="LI1493" s="1268"/>
      <c r="LJ1493" s="1268"/>
      <c r="LK1493" s="1268"/>
      <c r="LL1493" s="1268"/>
      <c r="LM1493" s="1268"/>
      <c r="LN1493" s="1268"/>
      <c r="LO1493" s="1268"/>
      <c r="LP1493" s="1268"/>
      <c r="LQ1493" s="1268"/>
      <c r="LR1493" s="1268"/>
      <c r="LS1493" s="1268"/>
      <c r="LT1493" s="1268"/>
      <c r="LU1493" s="1268"/>
      <c r="LV1493" s="1268"/>
      <c r="LW1493" s="1268"/>
      <c r="LX1493" s="1268"/>
      <c r="LY1493" s="1268"/>
      <c r="LZ1493" s="1268"/>
      <c r="MA1493" s="1268"/>
      <c r="MB1493" s="1268"/>
      <c r="MC1493" s="1268"/>
      <c r="MD1493" s="1268"/>
      <c r="ME1493" s="1268"/>
      <c r="MF1493" s="1268"/>
      <c r="MG1493" s="1268"/>
      <c r="MH1493" s="1268"/>
      <c r="MI1493" s="1268"/>
      <c r="MJ1493" s="1268"/>
      <c r="MK1493" s="1268"/>
      <c r="ML1493" s="1268"/>
      <c r="MM1493" s="1268"/>
      <c r="MN1493" s="1268"/>
      <c r="MO1493" s="1268"/>
      <c r="MP1493" s="1268"/>
      <c r="MQ1493" s="1268"/>
      <c r="MR1493" s="1268"/>
      <c r="MS1493" s="1268"/>
      <c r="MT1493" s="1268"/>
      <c r="MU1493" s="1268"/>
      <c r="MV1493" s="1268"/>
      <c r="MW1493" s="1268"/>
      <c r="MX1493" s="1268"/>
      <c r="MY1493" s="1268"/>
      <c r="MZ1493" s="1268"/>
      <c r="NA1493" s="1268"/>
      <c r="NB1493" s="1268"/>
      <c r="NC1493" s="1268"/>
      <c r="ND1493" s="1268"/>
      <c r="NE1493" s="1268"/>
      <c r="NF1493" s="1268"/>
      <c r="NG1493" s="1268"/>
      <c r="NH1493" s="1268"/>
      <c r="NI1493" s="1268"/>
      <c r="NJ1493" s="1268"/>
      <c r="NK1493" s="1268"/>
      <c r="NL1493" s="1268"/>
      <c r="NM1493" s="1268"/>
      <c r="NN1493" s="1268"/>
      <c r="NO1493" s="1268"/>
      <c r="NP1493" s="1268"/>
      <c r="NQ1493" s="1268"/>
      <c r="NR1493" s="1268"/>
      <c r="NS1493" s="1268"/>
      <c r="NT1493" s="1268"/>
      <c r="NU1493" s="1268"/>
      <c r="NV1493" s="1268"/>
      <c r="NW1493" s="1268"/>
      <c r="NX1493" s="1268"/>
      <c r="NY1493" s="1268"/>
      <c r="NZ1493" s="1268"/>
      <c r="OA1493" s="1268"/>
      <c r="OB1493" s="1268"/>
      <c r="OC1493" s="1268"/>
      <c r="OD1493" s="1268"/>
      <c r="OE1493" s="1268"/>
      <c r="OF1493" s="1268"/>
      <c r="OG1493" s="1268"/>
      <c r="OH1493" s="1268"/>
      <c r="OI1493" s="1268"/>
      <c r="OJ1493" s="1268"/>
      <c r="OK1493" s="1268"/>
      <c r="OL1493" s="1268"/>
      <c r="OM1493" s="1268"/>
      <c r="ON1493" s="1268"/>
      <c r="OO1493" s="1268"/>
      <c r="OP1493" s="1268"/>
      <c r="OQ1493" s="1268"/>
      <c r="OR1493" s="1268"/>
      <c r="OS1493" s="1268"/>
      <c r="OT1493" s="1268"/>
      <c r="OU1493" s="1268"/>
      <c r="OV1493" s="1268"/>
      <c r="OW1493" s="1268"/>
      <c r="OX1493" s="1268"/>
      <c r="OY1493" s="1268"/>
      <c r="OZ1493" s="1268"/>
      <c r="PA1493" s="1268"/>
      <c r="PB1493" s="1268"/>
      <c r="PC1493" s="1268"/>
      <c r="PD1493" s="1268"/>
      <c r="PE1493" s="1268"/>
      <c r="PF1493" s="1268"/>
      <c r="PG1493" s="1268"/>
      <c r="PH1493" s="1268"/>
      <c r="PI1493" s="1268"/>
      <c r="PJ1493" s="1268"/>
      <c r="PK1493" s="1268"/>
      <c r="PL1493" s="1268"/>
      <c r="PM1493" s="1268"/>
      <c r="PN1493" s="1268"/>
      <c r="PO1493" s="1268"/>
      <c r="PP1493" s="1268"/>
      <c r="PQ1493" s="1268"/>
      <c r="PR1493" s="1268"/>
      <c r="PS1493" s="1268"/>
      <c r="PT1493" s="1268"/>
      <c r="PU1493" s="1268"/>
      <c r="PV1493" s="1268"/>
      <c r="PW1493" s="1268"/>
      <c r="PX1493" s="1268"/>
      <c r="PY1493" s="1268"/>
      <c r="PZ1493" s="1268"/>
      <c r="QA1493" s="1268"/>
      <c r="QB1493" s="1268"/>
      <c r="QC1493" s="1268"/>
      <c r="QD1493" s="1268"/>
      <c r="QE1493" s="1268"/>
      <c r="QF1493" s="1268"/>
      <c r="QG1493" s="1268"/>
      <c r="QH1493" s="1268"/>
      <c r="QI1493" s="1268"/>
      <c r="QJ1493" s="1268"/>
      <c r="QK1493" s="1268"/>
      <c r="QL1493" s="1268"/>
      <c r="QM1493" s="1268"/>
      <c r="QN1493" s="1268"/>
      <c r="QO1493" s="1268"/>
      <c r="QP1493" s="1268"/>
      <c r="QQ1493" s="1268"/>
      <c r="QR1493" s="1268"/>
      <c r="QS1493" s="1268"/>
      <c r="QT1493" s="1268"/>
      <c r="QU1493" s="1268"/>
      <c r="QV1493" s="1268"/>
      <c r="QW1493" s="1268"/>
      <c r="QX1493" s="1268"/>
      <c r="QY1493" s="1268"/>
      <c r="QZ1493" s="1268"/>
      <c r="RA1493" s="1268"/>
      <c r="RB1493" s="1268"/>
      <c r="RC1493" s="1268"/>
      <c r="RD1493" s="1268"/>
      <c r="RE1493" s="1268"/>
      <c r="RF1493" s="1268"/>
      <c r="RG1493" s="1268"/>
      <c r="RH1493" s="1268"/>
      <c r="RI1493" s="1268"/>
      <c r="RJ1493" s="1268"/>
      <c r="RK1493" s="1268"/>
      <c r="RL1493" s="1268"/>
      <c r="RM1493" s="1268"/>
      <c r="RN1493" s="1268"/>
      <c r="RO1493" s="1268"/>
      <c r="RP1493" s="1268"/>
      <c r="RQ1493" s="1268"/>
      <c r="RR1493" s="1268"/>
      <c r="RS1493" s="1268"/>
      <c r="RT1493" s="1268"/>
      <c r="RU1493" s="1268"/>
      <c r="RV1493" s="1268"/>
      <c r="RW1493" s="1268"/>
      <c r="RX1493" s="1268"/>
      <c r="RY1493" s="1268"/>
      <c r="RZ1493" s="1268"/>
      <c r="SA1493" s="1268"/>
      <c r="SB1493" s="1268"/>
      <c r="SC1493" s="1268"/>
      <c r="SD1493" s="1268"/>
      <c r="SE1493" s="1268"/>
      <c r="SF1493" s="1268"/>
      <c r="SG1493" s="1268"/>
      <c r="SH1493" s="1268"/>
      <c r="SI1493" s="1268"/>
      <c r="SJ1493" s="1268"/>
      <c r="SK1493" s="1268"/>
      <c r="SL1493" s="1268"/>
      <c r="SM1493" s="1268"/>
      <c r="SN1493" s="1268"/>
      <c r="SO1493" s="1268"/>
      <c r="SP1493" s="1268"/>
      <c r="SQ1493" s="1268"/>
      <c r="SR1493" s="1268"/>
      <c r="SS1493" s="1268"/>
      <c r="ST1493" s="1268"/>
      <c r="SU1493" s="1268"/>
      <c r="SV1493" s="1268"/>
      <c r="SW1493" s="1268"/>
      <c r="SX1493" s="1268"/>
      <c r="SY1493" s="1268"/>
      <c r="SZ1493" s="1268"/>
      <c r="TA1493" s="1268"/>
      <c r="TB1493" s="1268"/>
      <c r="TC1493" s="1268"/>
      <c r="TD1493" s="1268"/>
      <c r="TE1493" s="1268"/>
      <c r="TF1493" s="1268"/>
      <c r="TG1493" s="1268"/>
      <c r="TH1493" s="1268"/>
      <c r="TI1493" s="1268"/>
      <c r="TJ1493" s="1268"/>
      <c r="TK1493" s="1268"/>
      <c r="TL1493" s="1268"/>
      <c r="TM1493" s="1268"/>
      <c r="TN1493" s="1268"/>
      <c r="TO1493" s="1268"/>
      <c r="TP1493" s="1268"/>
      <c r="TQ1493" s="1268"/>
      <c r="TR1493" s="1268"/>
      <c r="TS1493" s="1268"/>
      <c r="TT1493" s="1268"/>
      <c r="TU1493" s="1268"/>
      <c r="TV1493" s="1268"/>
      <c r="TW1493" s="1268"/>
      <c r="TX1493" s="1268"/>
      <c r="TY1493" s="1268"/>
      <c r="TZ1493" s="1268"/>
      <c r="UA1493" s="1268"/>
      <c r="UB1493" s="1268"/>
      <c r="UC1493" s="1268"/>
      <c r="UD1493" s="1268"/>
      <c r="UE1493" s="1268"/>
      <c r="UF1493" s="1268"/>
      <c r="UG1493" s="1268"/>
    </row>
    <row r="1494" spans="1:553" ht="59.25" customHeight="1">
      <c r="A1494" s="356" t="s">
        <v>53</v>
      </c>
      <c r="B1494" s="356"/>
      <c r="C1494" s="1413" t="s">
        <v>54</v>
      </c>
      <c r="D1494" s="1389"/>
      <c r="E1494" s="1389"/>
      <c r="F1494" s="1390"/>
      <c r="G1494" s="356"/>
      <c r="H1494" s="424"/>
      <c r="I1494" s="424"/>
      <c r="J1494" s="357"/>
      <c r="K1494" s="358"/>
      <c r="L1494" s="645">
        <f>L1495</f>
        <v>5000000</v>
      </c>
      <c r="M1494" s="356"/>
      <c r="N1494" s="356"/>
      <c r="O1494" s="356"/>
      <c r="P1494" s="356"/>
      <c r="Q1494" s="610"/>
      <c r="R1494" s="1447" t="s">
        <v>55</v>
      </c>
      <c r="S1494" s="308"/>
      <c r="T1494" s="308"/>
      <c r="U1494" s="308"/>
      <c r="V1494" s="308"/>
      <c r="W1494" s="308"/>
      <c r="X1494" s="308"/>
      <c r="Y1494" s="308"/>
      <c r="Z1494" s="604"/>
      <c r="AA1494" s="308"/>
      <c r="AB1494" s="308"/>
      <c r="AC1494" s="486"/>
      <c r="AD1494" s="486"/>
      <c r="AE1494" s="486"/>
      <c r="AF1494" s="486"/>
      <c r="AG1494" s="486"/>
      <c r="AH1494" s="486"/>
      <c r="AI1494" s="486"/>
      <c r="AJ1494" s="486"/>
      <c r="AK1494" s="486"/>
      <c r="AL1494" s="206"/>
      <c r="AM1494" s="29"/>
      <c r="AN1494" s="29"/>
      <c r="AO1494" s="29"/>
      <c r="AP1494" s="29"/>
      <c r="AQ1494" s="29"/>
      <c r="AR1494" s="29"/>
      <c r="AS1494" s="29"/>
      <c r="AT1494" s="29"/>
      <c r="AU1494" s="29"/>
      <c r="AV1494" s="29"/>
      <c r="AW1494" s="29"/>
      <c r="AX1494" s="29"/>
      <c r="AY1494" s="29"/>
      <c r="AZ1494" s="29"/>
      <c r="BA1494" s="29"/>
      <c r="BB1494" s="29"/>
      <c r="BC1494" s="29"/>
      <c r="BD1494" s="29"/>
      <c r="BE1494" s="29"/>
      <c r="BF1494" s="29"/>
      <c r="BG1494" s="29"/>
      <c r="BH1494" s="29"/>
      <c r="BI1494" s="29"/>
      <c r="BJ1494" s="29"/>
      <c r="BK1494" s="29"/>
      <c r="BL1494" s="29"/>
      <c r="BM1494" s="29"/>
      <c r="BN1494" s="29"/>
      <c r="BO1494" s="29"/>
      <c r="BP1494" s="29"/>
      <c r="BQ1494" s="29"/>
      <c r="BR1494" s="29"/>
      <c r="BS1494" s="29"/>
      <c r="BT1494" s="29"/>
      <c r="BU1494" s="29"/>
      <c r="BV1494" s="29"/>
      <c r="BW1494" s="29"/>
      <c r="BX1494" s="29"/>
      <c r="BY1494" s="29"/>
      <c r="BZ1494" s="29"/>
      <c r="CA1494" s="29"/>
      <c r="CB1494" s="29"/>
      <c r="CC1494" s="29"/>
      <c r="CD1494" s="29"/>
      <c r="CE1494" s="29"/>
      <c r="CF1494" s="29"/>
      <c r="CG1494" s="29"/>
      <c r="CH1494" s="29"/>
      <c r="CI1494" s="29"/>
      <c r="CJ1494" s="29"/>
      <c r="CK1494" s="29"/>
      <c r="CL1494" s="29"/>
      <c r="CM1494" s="29"/>
      <c r="CN1494" s="29"/>
      <c r="CO1494" s="29"/>
      <c r="CP1494" s="29"/>
      <c r="CQ1494" s="29"/>
      <c r="CR1494" s="29"/>
      <c r="CS1494" s="29"/>
      <c r="CT1494" s="29"/>
      <c r="CU1494" s="29"/>
      <c r="CV1494" s="29"/>
      <c r="CW1494" s="29"/>
      <c r="CX1494" s="29"/>
      <c r="CY1494" s="29"/>
      <c r="CZ1494" s="29"/>
      <c r="DA1494" s="29"/>
      <c r="DB1494" s="29"/>
      <c r="DC1494" s="29"/>
      <c r="DD1494" s="29"/>
      <c r="DE1494" s="29"/>
      <c r="DF1494" s="29"/>
      <c r="DG1494" s="29"/>
      <c r="DH1494" s="29"/>
      <c r="DI1494" s="29"/>
      <c r="DJ1494" s="29"/>
      <c r="DK1494" s="29"/>
      <c r="DL1494" s="29"/>
      <c r="DM1494" s="29"/>
      <c r="DN1494" s="29"/>
      <c r="DO1494" s="29"/>
      <c r="DP1494" s="29"/>
      <c r="DQ1494" s="29"/>
      <c r="DR1494" s="29"/>
      <c r="DS1494" s="29"/>
      <c r="DT1494" s="29"/>
      <c r="DU1494" s="29"/>
      <c r="DV1494" s="29"/>
      <c r="DW1494" s="29"/>
      <c r="DX1494" s="29"/>
      <c r="DY1494" s="29"/>
      <c r="DZ1494" s="29"/>
      <c r="EA1494" s="29"/>
      <c r="EB1494" s="29"/>
      <c r="EC1494" s="29"/>
      <c r="ED1494" s="29"/>
      <c r="EE1494" s="29"/>
      <c r="EF1494" s="29"/>
      <c r="EG1494" s="29"/>
      <c r="EH1494" s="29"/>
      <c r="EI1494" s="29"/>
      <c r="EJ1494" s="29"/>
      <c r="EK1494" s="29"/>
      <c r="EL1494" s="29"/>
      <c r="EM1494" s="29"/>
      <c r="EN1494" s="29"/>
      <c r="EO1494" s="29"/>
      <c r="EP1494" s="29"/>
      <c r="EQ1494" s="29"/>
      <c r="ER1494" s="29"/>
      <c r="ES1494" s="29"/>
      <c r="ET1494" s="29"/>
      <c r="EU1494" s="29"/>
      <c r="EV1494" s="29"/>
      <c r="EW1494" s="29"/>
      <c r="EX1494" s="29"/>
      <c r="EY1494" s="29"/>
      <c r="EZ1494" s="29"/>
      <c r="FA1494" s="29"/>
      <c r="FB1494" s="29"/>
      <c r="FC1494" s="29"/>
      <c r="FD1494" s="29"/>
      <c r="FE1494" s="29"/>
      <c r="FF1494" s="29"/>
      <c r="FG1494" s="29"/>
      <c r="FH1494" s="29"/>
      <c r="FI1494" s="29"/>
      <c r="FJ1494" s="29"/>
      <c r="FK1494" s="29"/>
      <c r="FL1494" s="29"/>
      <c r="FM1494" s="29"/>
      <c r="FN1494" s="29"/>
      <c r="FO1494" s="29"/>
      <c r="FP1494" s="29"/>
      <c r="FQ1494" s="29"/>
      <c r="FR1494" s="29"/>
      <c r="FS1494" s="29"/>
      <c r="FT1494" s="29"/>
      <c r="FU1494" s="29"/>
      <c r="FV1494" s="29"/>
      <c r="FW1494" s="29"/>
      <c r="FX1494" s="29"/>
      <c r="FY1494" s="29"/>
      <c r="FZ1494" s="29"/>
      <c r="GA1494" s="29"/>
      <c r="GB1494" s="29"/>
      <c r="GC1494" s="29"/>
      <c r="GD1494" s="29"/>
      <c r="GE1494" s="29"/>
      <c r="GF1494" s="29"/>
      <c r="GG1494" s="29"/>
      <c r="GH1494" s="29"/>
      <c r="GI1494" s="29"/>
      <c r="GJ1494" s="29"/>
      <c r="GK1494" s="29"/>
      <c r="GL1494" s="29"/>
      <c r="GM1494" s="29"/>
      <c r="GN1494" s="29"/>
      <c r="GO1494" s="29"/>
      <c r="GP1494" s="29"/>
      <c r="GQ1494" s="29"/>
      <c r="GR1494" s="29"/>
      <c r="GS1494" s="29"/>
      <c r="GT1494" s="29"/>
      <c r="GU1494" s="29"/>
      <c r="GV1494" s="29"/>
      <c r="GW1494" s="29"/>
      <c r="GX1494" s="29"/>
      <c r="GY1494" s="29"/>
      <c r="GZ1494" s="29"/>
      <c r="HA1494" s="29"/>
      <c r="HB1494" s="29"/>
      <c r="HC1494" s="29"/>
      <c r="HD1494" s="29"/>
      <c r="HE1494" s="29"/>
      <c r="HF1494" s="29"/>
      <c r="HG1494" s="29"/>
      <c r="HH1494" s="29"/>
      <c r="HI1494" s="29"/>
      <c r="HJ1494" s="29"/>
      <c r="HK1494" s="29"/>
      <c r="HL1494" s="29"/>
      <c r="HM1494" s="29"/>
      <c r="HN1494" s="29"/>
      <c r="HO1494" s="29"/>
      <c r="HP1494" s="29"/>
      <c r="HQ1494" s="29"/>
      <c r="HR1494" s="29"/>
      <c r="HS1494" s="29"/>
      <c r="HT1494" s="29"/>
      <c r="HU1494" s="29"/>
      <c r="HV1494" s="29"/>
      <c r="HW1494" s="29"/>
      <c r="HX1494" s="29"/>
      <c r="HY1494" s="29"/>
      <c r="HZ1494" s="29"/>
      <c r="IA1494" s="29"/>
      <c r="IB1494" s="29"/>
      <c r="IC1494" s="29"/>
      <c r="ID1494" s="29"/>
      <c r="IE1494" s="29"/>
      <c r="IF1494" s="29"/>
      <c r="IG1494" s="29"/>
      <c r="IH1494" s="29"/>
      <c r="II1494" s="29"/>
      <c r="IJ1494" s="29"/>
      <c r="IK1494" s="29"/>
      <c r="IL1494" s="29"/>
      <c r="IM1494" s="29"/>
      <c r="IN1494" s="29"/>
      <c r="IO1494" s="29"/>
      <c r="IP1494" s="29"/>
      <c r="IQ1494" s="29"/>
      <c r="IR1494" s="29"/>
      <c r="IS1494" s="29"/>
      <c r="IT1494" s="29"/>
      <c r="IU1494" s="29"/>
      <c r="IV1494" s="29"/>
      <c r="IW1494" s="29"/>
      <c r="IX1494" s="29"/>
      <c r="IY1494" s="29"/>
      <c r="IZ1494" s="29"/>
      <c r="JA1494" s="29"/>
      <c r="JB1494" s="29"/>
      <c r="JC1494" s="29"/>
      <c r="JD1494" s="29"/>
      <c r="JE1494" s="29"/>
      <c r="JF1494" s="29"/>
      <c r="JG1494" s="29"/>
      <c r="JH1494" s="29"/>
      <c r="JI1494" s="29"/>
      <c r="JJ1494" s="29"/>
      <c r="JK1494" s="29"/>
      <c r="JL1494" s="29"/>
      <c r="JM1494" s="29"/>
      <c r="JN1494" s="29"/>
      <c r="JO1494" s="29"/>
      <c r="JP1494" s="29"/>
      <c r="JQ1494" s="29"/>
      <c r="JR1494" s="29"/>
      <c r="JS1494" s="29"/>
      <c r="JT1494" s="29"/>
      <c r="JU1494" s="29"/>
      <c r="JV1494" s="29"/>
      <c r="JW1494" s="29"/>
      <c r="JX1494" s="29"/>
      <c r="JY1494" s="29"/>
      <c r="JZ1494" s="29"/>
      <c r="KA1494" s="29"/>
      <c r="KB1494" s="29"/>
      <c r="KC1494" s="29"/>
      <c r="KD1494" s="29"/>
      <c r="KE1494" s="29"/>
      <c r="KF1494" s="29"/>
      <c r="KG1494" s="29"/>
      <c r="KH1494" s="29"/>
      <c r="KI1494" s="29"/>
      <c r="KJ1494" s="29"/>
      <c r="KK1494" s="29"/>
      <c r="KL1494" s="29"/>
      <c r="KM1494" s="29"/>
      <c r="KN1494" s="29"/>
      <c r="KO1494" s="29"/>
      <c r="KP1494" s="29"/>
      <c r="KQ1494" s="29"/>
      <c r="KR1494" s="29"/>
      <c r="KS1494" s="29"/>
      <c r="KT1494" s="29"/>
      <c r="KU1494" s="29"/>
      <c r="KV1494" s="29"/>
      <c r="KW1494" s="29"/>
      <c r="KX1494" s="29"/>
      <c r="KY1494" s="29"/>
      <c r="KZ1494" s="29"/>
      <c r="LA1494" s="29"/>
      <c r="LB1494" s="29"/>
      <c r="LC1494" s="29"/>
      <c r="LD1494" s="29"/>
      <c r="LE1494" s="29"/>
      <c r="LF1494" s="29"/>
      <c r="LG1494" s="29"/>
      <c r="LH1494" s="29"/>
      <c r="LI1494" s="29"/>
      <c r="LJ1494" s="29"/>
      <c r="LK1494" s="29"/>
      <c r="LL1494" s="29"/>
      <c r="LM1494" s="29"/>
      <c r="LN1494" s="29"/>
      <c r="LO1494" s="29"/>
      <c r="LP1494" s="29"/>
      <c r="LQ1494" s="29"/>
      <c r="LR1494" s="29"/>
      <c r="LS1494" s="29"/>
      <c r="LT1494" s="29"/>
      <c r="LU1494" s="29"/>
      <c r="LV1494" s="29"/>
      <c r="LW1494" s="29"/>
      <c r="LX1494" s="29"/>
      <c r="LY1494" s="29"/>
      <c r="LZ1494" s="29"/>
      <c r="MA1494" s="29"/>
      <c r="MB1494" s="29"/>
      <c r="MC1494" s="29"/>
      <c r="MD1494" s="29"/>
      <c r="ME1494" s="29"/>
      <c r="MF1494" s="29"/>
      <c r="MG1494" s="29"/>
      <c r="MH1494" s="29"/>
      <c r="MI1494" s="29"/>
      <c r="MJ1494" s="29"/>
      <c r="MK1494" s="29"/>
      <c r="ML1494" s="29"/>
      <c r="MM1494" s="29"/>
      <c r="MN1494" s="29"/>
      <c r="MO1494" s="29"/>
      <c r="MP1494" s="29"/>
      <c r="MQ1494" s="29"/>
      <c r="MR1494" s="29"/>
      <c r="MS1494" s="29"/>
      <c r="MT1494" s="29"/>
      <c r="MU1494" s="29"/>
      <c r="MV1494" s="29"/>
      <c r="MW1494" s="29"/>
      <c r="MX1494" s="29"/>
      <c r="MY1494" s="29"/>
      <c r="MZ1494" s="29"/>
      <c r="NA1494" s="29"/>
      <c r="NB1494" s="29"/>
      <c r="NC1494" s="29"/>
      <c r="ND1494" s="29"/>
      <c r="NE1494" s="29"/>
      <c r="NF1494" s="29"/>
      <c r="NG1494" s="29"/>
      <c r="NH1494" s="29"/>
      <c r="NI1494" s="29"/>
      <c r="NJ1494" s="29"/>
      <c r="NK1494" s="29"/>
      <c r="NL1494" s="29"/>
      <c r="NM1494" s="29"/>
      <c r="NN1494" s="29"/>
      <c r="NO1494" s="29"/>
      <c r="NP1494" s="29"/>
      <c r="NQ1494" s="29"/>
      <c r="NR1494" s="29"/>
      <c r="NS1494" s="29"/>
      <c r="NT1494" s="29"/>
      <c r="NU1494" s="29"/>
      <c r="NV1494" s="29"/>
      <c r="NW1494" s="29"/>
      <c r="NX1494" s="29"/>
      <c r="NY1494" s="29"/>
      <c r="NZ1494" s="29"/>
      <c r="OA1494" s="29"/>
      <c r="OB1494" s="29"/>
      <c r="OC1494" s="29"/>
      <c r="OD1494" s="29"/>
      <c r="OE1494" s="29"/>
      <c r="OF1494" s="29"/>
      <c r="OG1494" s="29"/>
      <c r="OH1494" s="29"/>
      <c r="OI1494" s="29"/>
      <c r="OJ1494" s="29"/>
      <c r="OK1494" s="29"/>
      <c r="OL1494" s="29"/>
      <c r="OM1494" s="29"/>
      <c r="ON1494" s="29"/>
      <c r="OO1494" s="29"/>
      <c r="OP1494" s="29"/>
      <c r="OQ1494" s="29"/>
      <c r="OR1494" s="29"/>
      <c r="OS1494" s="29"/>
      <c r="OT1494" s="29"/>
      <c r="OU1494" s="29"/>
      <c r="OV1494" s="29"/>
      <c r="OW1494" s="29"/>
      <c r="OX1494" s="29"/>
      <c r="OY1494" s="29"/>
      <c r="OZ1494" s="29"/>
      <c r="PA1494" s="29"/>
      <c r="PB1494" s="29"/>
      <c r="PC1494" s="29"/>
      <c r="PD1494" s="29"/>
      <c r="PE1494" s="29"/>
      <c r="PF1494" s="29"/>
      <c r="PG1494" s="29"/>
      <c r="PH1494" s="29"/>
      <c r="PI1494" s="29"/>
      <c r="PJ1494" s="29"/>
      <c r="PK1494" s="29"/>
      <c r="PL1494" s="29"/>
      <c r="PM1494" s="29"/>
      <c r="PN1494" s="29"/>
      <c r="PO1494" s="29"/>
      <c r="PP1494" s="29"/>
      <c r="PQ1494" s="29"/>
      <c r="PR1494" s="29"/>
      <c r="PS1494" s="29"/>
      <c r="PT1494" s="29"/>
      <c r="PU1494" s="29"/>
      <c r="PV1494" s="29"/>
      <c r="PW1494" s="29"/>
      <c r="PX1494" s="29"/>
      <c r="PY1494" s="29"/>
      <c r="PZ1494" s="29"/>
      <c r="QA1494" s="29"/>
      <c r="QB1494" s="29"/>
      <c r="QC1494" s="29"/>
      <c r="QD1494" s="29"/>
      <c r="QE1494" s="29"/>
      <c r="QF1494" s="29"/>
      <c r="QG1494" s="29"/>
      <c r="QH1494" s="29"/>
      <c r="QI1494" s="29"/>
      <c r="QJ1494" s="29"/>
      <c r="QK1494" s="29"/>
      <c r="QL1494" s="29"/>
      <c r="QM1494" s="29"/>
      <c r="QN1494" s="29"/>
      <c r="QO1494" s="29"/>
      <c r="QP1494" s="29"/>
      <c r="QQ1494" s="29"/>
      <c r="QR1494" s="29"/>
      <c r="QS1494" s="29"/>
      <c r="QT1494" s="29"/>
      <c r="QU1494" s="29"/>
      <c r="QV1494" s="29"/>
      <c r="QW1494" s="29"/>
      <c r="QX1494" s="29"/>
      <c r="QY1494" s="29"/>
      <c r="QZ1494" s="29"/>
      <c r="RA1494" s="29"/>
      <c r="RB1494" s="29"/>
      <c r="RC1494" s="29"/>
      <c r="RD1494" s="29"/>
      <c r="RE1494" s="29"/>
      <c r="RF1494" s="29"/>
      <c r="RG1494" s="29"/>
      <c r="RH1494" s="29"/>
      <c r="RI1494" s="29"/>
      <c r="RJ1494" s="29"/>
      <c r="RK1494" s="29"/>
      <c r="RL1494" s="29"/>
      <c r="RM1494" s="29"/>
      <c r="RN1494" s="29"/>
      <c r="RO1494" s="29"/>
      <c r="RP1494" s="29"/>
      <c r="RQ1494" s="29"/>
      <c r="RR1494" s="29"/>
      <c r="RS1494" s="29"/>
      <c r="RT1494" s="29"/>
      <c r="RU1494" s="29"/>
      <c r="RV1494" s="29"/>
      <c r="RW1494" s="29"/>
      <c r="RX1494" s="29"/>
      <c r="RY1494" s="29"/>
      <c r="RZ1494" s="29"/>
      <c r="SA1494" s="29"/>
      <c r="SB1494" s="29"/>
      <c r="SC1494" s="29"/>
      <c r="SD1494" s="29"/>
      <c r="SE1494" s="29"/>
      <c r="SF1494" s="29"/>
      <c r="SG1494" s="29"/>
      <c r="SH1494" s="29"/>
      <c r="SI1494" s="29"/>
      <c r="SJ1494" s="29"/>
      <c r="SK1494" s="29"/>
      <c r="SL1494" s="29"/>
      <c r="SM1494" s="29"/>
      <c r="SN1494" s="29"/>
      <c r="SO1494" s="29"/>
      <c r="SP1494" s="29"/>
      <c r="SQ1494" s="29"/>
      <c r="SR1494" s="29"/>
      <c r="SS1494" s="29"/>
      <c r="ST1494" s="29"/>
      <c r="SU1494" s="29"/>
      <c r="SV1494" s="29"/>
      <c r="SW1494" s="29"/>
      <c r="SX1494" s="29"/>
      <c r="SY1494" s="29"/>
      <c r="SZ1494" s="29"/>
      <c r="TA1494" s="29"/>
      <c r="TB1494" s="29"/>
      <c r="TC1494" s="29"/>
      <c r="TD1494" s="29"/>
      <c r="TE1494" s="29"/>
      <c r="TF1494" s="29"/>
      <c r="TG1494" s="29"/>
      <c r="TH1494" s="29"/>
      <c r="TI1494" s="29"/>
      <c r="TJ1494" s="29"/>
      <c r="TK1494" s="29"/>
      <c r="TL1494" s="29"/>
      <c r="TM1494" s="29"/>
      <c r="TN1494" s="29"/>
      <c r="TO1494" s="29"/>
      <c r="TP1494" s="29"/>
      <c r="TQ1494" s="29"/>
      <c r="TR1494" s="29"/>
      <c r="TS1494" s="29"/>
      <c r="TT1494" s="29"/>
      <c r="TU1494" s="29"/>
      <c r="TV1494" s="29"/>
      <c r="TW1494" s="29"/>
      <c r="TX1494" s="29"/>
      <c r="TY1494" s="29"/>
      <c r="TZ1494" s="29"/>
      <c r="UA1494" s="29"/>
      <c r="UB1494" s="29"/>
      <c r="UC1494" s="29"/>
      <c r="UD1494" s="29"/>
      <c r="UE1494" s="29"/>
      <c r="UF1494" s="29"/>
      <c r="UG1494" s="29"/>
    </row>
    <row r="1495" spans="1:553" ht="42" customHeight="1">
      <c r="A1495" s="356"/>
      <c r="B1495" s="356"/>
      <c r="C1495" s="1404" t="s">
        <v>56</v>
      </c>
      <c r="D1495" s="1389"/>
      <c r="E1495" s="1389"/>
      <c r="F1495" s="1390"/>
      <c r="G1495" s="366" t="s">
        <v>57</v>
      </c>
      <c r="H1495" s="417"/>
      <c r="I1495" s="417">
        <v>1</v>
      </c>
      <c r="J1495" s="368">
        <v>5000000</v>
      </c>
      <c r="K1495" s="369"/>
      <c r="L1495" s="480">
        <f>I1495*J1495</f>
        <v>5000000</v>
      </c>
      <c r="M1495" s="356"/>
      <c r="N1495" s="356"/>
      <c r="O1495" s="356"/>
      <c r="P1495" s="356"/>
      <c r="Q1495" s="610"/>
      <c r="R1495" s="1452"/>
      <c r="S1495" s="308"/>
      <c r="T1495" s="308"/>
      <c r="U1495" s="308"/>
      <c r="V1495" s="308"/>
      <c r="W1495" s="308"/>
      <c r="X1495" s="308"/>
      <c r="Y1495" s="308"/>
      <c r="Z1495" s="604"/>
      <c r="AA1495" s="308"/>
      <c r="AB1495" s="308"/>
      <c r="AC1495" s="486"/>
      <c r="AD1495" s="486"/>
      <c r="AE1495" s="486"/>
      <c r="AF1495" s="486"/>
      <c r="AG1495" s="486"/>
      <c r="AH1495" s="486"/>
      <c r="AI1495" s="486"/>
      <c r="AJ1495" s="486"/>
      <c r="AK1495" s="486"/>
      <c r="AL1495" s="206"/>
      <c r="AM1495" s="29"/>
      <c r="AN1495" s="29"/>
      <c r="AO1495" s="29"/>
      <c r="AP1495" s="29"/>
      <c r="AQ1495" s="29"/>
      <c r="AR1495" s="29"/>
      <c r="AS1495" s="29"/>
      <c r="AT1495" s="29"/>
      <c r="AU1495" s="29"/>
      <c r="AV1495" s="29"/>
      <c r="AW1495" s="29"/>
      <c r="AX1495" s="29"/>
      <c r="AY1495" s="29"/>
      <c r="AZ1495" s="29"/>
      <c r="BA1495" s="29"/>
      <c r="BB1495" s="29"/>
      <c r="BC1495" s="29"/>
      <c r="BD1495" s="29"/>
      <c r="BE1495" s="29"/>
      <c r="BF1495" s="29"/>
      <c r="BG1495" s="29"/>
      <c r="BH1495" s="29"/>
      <c r="BI1495" s="29"/>
      <c r="BJ1495" s="29"/>
      <c r="BK1495" s="29"/>
      <c r="BL1495" s="29"/>
      <c r="BM1495" s="29"/>
      <c r="BN1495" s="29"/>
      <c r="BO1495" s="29"/>
      <c r="BP1495" s="29"/>
      <c r="BQ1495" s="29"/>
      <c r="BR1495" s="29"/>
      <c r="BS1495" s="29"/>
      <c r="BT1495" s="29"/>
      <c r="BU1495" s="29"/>
      <c r="BV1495" s="29"/>
      <c r="BW1495" s="29"/>
      <c r="BX1495" s="29"/>
      <c r="BY1495" s="29"/>
      <c r="BZ1495" s="29"/>
      <c r="CA1495" s="29"/>
      <c r="CB1495" s="29"/>
      <c r="CC1495" s="29"/>
      <c r="CD1495" s="29"/>
      <c r="CE1495" s="29"/>
      <c r="CF1495" s="29"/>
      <c r="CG1495" s="29"/>
      <c r="CH1495" s="29"/>
      <c r="CI1495" s="29"/>
      <c r="CJ1495" s="29"/>
      <c r="CK1495" s="29"/>
      <c r="CL1495" s="29"/>
      <c r="CM1495" s="29"/>
      <c r="CN1495" s="29"/>
      <c r="CO1495" s="29"/>
      <c r="CP1495" s="29"/>
      <c r="CQ1495" s="29"/>
      <c r="CR1495" s="29"/>
      <c r="CS1495" s="29"/>
      <c r="CT1495" s="29"/>
      <c r="CU1495" s="29"/>
      <c r="CV1495" s="29"/>
      <c r="CW1495" s="29"/>
      <c r="CX1495" s="29"/>
      <c r="CY1495" s="29"/>
      <c r="CZ1495" s="29"/>
      <c r="DA1495" s="29"/>
      <c r="DB1495" s="29"/>
      <c r="DC1495" s="29"/>
      <c r="DD1495" s="29"/>
      <c r="DE1495" s="29"/>
      <c r="DF1495" s="29"/>
      <c r="DG1495" s="29"/>
      <c r="DH1495" s="29"/>
      <c r="DI1495" s="29"/>
      <c r="DJ1495" s="29"/>
      <c r="DK1495" s="29"/>
      <c r="DL1495" s="29"/>
      <c r="DM1495" s="29"/>
      <c r="DN1495" s="29"/>
      <c r="DO1495" s="29"/>
      <c r="DP1495" s="29"/>
      <c r="DQ1495" s="29"/>
      <c r="DR1495" s="29"/>
      <c r="DS1495" s="29"/>
      <c r="DT1495" s="29"/>
      <c r="DU1495" s="29"/>
      <c r="DV1495" s="29"/>
      <c r="DW1495" s="29"/>
      <c r="DX1495" s="29"/>
      <c r="DY1495" s="29"/>
      <c r="DZ1495" s="29"/>
      <c r="EA1495" s="29"/>
      <c r="EB1495" s="29"/>
      <c r="EC1495" s="29"/>
      <c r="ED1495" s="29"/>
      <c r="EE1495" s="29"/>
      <c r="EF1495" s="29"/>
      <c r="EG1495" s="29"/>
      <c r="EH1495" s="29"/>
      <c r="EI1495" s="29"/>
      <c r="EJ1495" s="29"/>
      <c r="EK1495" s="29"/>
      <c r="EL1495" s="29"/>
      <c r="EM1495" s="29"/>
      <c r="EN1495" s="29"/>
      <c r="EO1495" s="29"/>
      <c r="EP1495" s="29"/>
      <c r="EQ1495" s="29"/>
      <c r="ER1495" s="29"/>
      <c r="ES1495" s="29"/>
      <c r="ET1495" s="29"/>
      <c r="EU1495" s="29"/>
      <c r="EV1495" s="29"/>
      <c r="EW1495" s="29"/>
      <c r="EX1495" s="29"/>
      <c r="EY1495" s="29"/>
      <c r="EZ1495" s="29"/>
      <c r="FA1495" s="29"/>
      <c r="FB1495" s="29"/>
      <c r="FC1495" s="29"/>
      <c r="FD1495" s="29"/>
      <c r="FE1495" s="29"/>
      <c r="FF1495" s="29"/>
      <c r="FG1495" s="29"/>
      <c r="FH1495" s="29"/>
      <c r="FI1495" s="29"/>
      <c r="FJ1495" s="29"/>
      <c r="FK1495" s="29"/>
      <c r="FL1495" s="29"/>
      <c r="FM1495" s="29"/>
      <c r="FN1495" s="29"/>
      <c r="FO1495" s="29"/>
      <c r="FP1495" s="29"/>
      <c r="FQ1495" s="29"/>
      <c r="FR1495" s="29"/>
      <c r="FS1495" s="29"/>
      <c r="FT1495" s="29"/>
      <c r="FU1495" s="29"/>
      <c r="FV1495" s="29"/>
      <c r="FW1495" s="29"/>
      <c r="FX1495" s="29"/>
      <c r="FY1495" s="29"/>
      <c r="FZ1495" s="29"/>
      <c r="GA1495" s="29"/>
      <c r="GB1495" s="29"/>
      <c r="GC1495" s="29"/>
      <c r="GD1495" s="29"/>
      <c r="GE1495" s="29"/>
      <c r="GF1495" s="29"/>
      <c r="GG1495" s="29"/>
      <c r="GH1495" s="29"/>
      <c r="GI1495" s="29"/>
      <c r="GJ1495" s="29"/>
      <c r="GK1495" s="29"/>
      <c r="GL1495" s="29"/>
      <c r="GM1495" s="29"/>
      <c r="GN1495" s="29"/>
      <c r="GO1495" s="29"/>
      <c r="GP1495" s="29"/>
      <c r="GQ1495" s="29"/>
      <c r="GR1495" s="29"/>
      <c r="GS1495" s="29"/>
      <c r="GT1495" s="29"/>
      <c r="GU1495" s="29"/>
      <c r="GV1495" s="29"/>
      <c r="GW1495" s="29"/>
      <c r="GX1495" s="29"/>
      <c r="GY1495" s="29"/>
      <c r="GZ1495" s="29"/>
      <c r="HA1495" s="29"/>
      <c r="HB1495" s="29"/>
      <c r="HC1495" s="29"/>
      <c r="HD1495" s="29"/>
      <c r="HE1495" s="29"/>
      <c r="HF1495" s="29"/>
      <c r="HG1495" s="29"/>
      <c r="HH1495" s="29"/>
      <c r="HI1495" s="29"/>
      <c r="HJ1495" s="29"/>
      <c r="HK1495" s="29"/>
      <c r="HL1495" s="29"/>
      <c r="HM1495" s="29"/>
      <c r="HN1495" s="29"/>
      <c r="HO1495" s="29"/>
      <c r="HP1495" s="29"/>
      <c r="HQ1495" s="29"/>
      <c r="HR1495" s="29"/>
      <c r="HS1495" s="29"/>
      <c r="HT1495" s="29"/>
      <c r="HU1495" s="29"/>
      <c r="HV1495" s="29"/>
      <c r="HW1495" s="29"/>
      <c r="HX1495" s="29"/>
      <c r="HY1495" s="29"/>
      <c r="HZ1495" s="29"/>
      <c r="IA1495" s="29"/>
      <c r="IB1495" s="29"/>
      <c r="IC1495" s="29"/>
      <c r="ID1495" s="29"/>
      <c r="IE1495" s="29"/>
      <c r="IF1495" s="29"/>
      <c r="IG1495" s="29"/>
      <c r="IH1495" s="29"/>
      <c r="II1495" s="29"/>
      <c r="IJ1495" s="29"/>
      <c r="IK1495" s="29"/>
      <c r="IL1495" s="29"/>
      <c r="IM1495" s="29"/>
      <c r="IN1495" s="29"/>
      <c r="IO1495" s="29"/>
      <c r="IP1495" s="29"/>
      <c r="IQ1495" s="29"/>
      <c r="IR1495" s="29"/>
      <c r="IS1495" s="29"/>
      <c r="IT1495" s="29"/>
      <c r="IU1495" s="29"/>
      <c r="IV1495" s="29"/>
      <c r="IW1495" s="29"/>
      <c r="IX1495" s="29"/>
      <c r="IY1495" s="29"/>
      <c r="IZ1495" s="29"/>
      <c r="JA1495" s="29"/>
      <c r="JB1495" s="29"/>
      <c r="JC1495" s="29"/>
      <c r="JD1495" s="29"/>
      <c r="JE1495" s="29"/>
      <c r="JF1495" s="29"/>
      <c r="JG1495" s="29"/>
      <c r="JH1495" s="29"/>
      <c r="JI1495" s="29"/>
      <c r="JJ1495" s="29"/>
      <c r="JK1495" s="29"/>
      <c r="JL1495" s="29"/>
      <c r="JM1495" s="29"/>
      <c r="JN1495" s="29"/>
      <c r="JO1495" s="29"/>
      <c r="JP1495" s="29"/>
      <c r="JQ1495" s="29"/>
      <c r="JR1495" s="29"/>
      <c r="JS1495" s="29"/>
      <c r="JT1495" s="29"/>
      <c r="JU1495" s="29"/>
      <c r="JV1495" s="29"/>
      <c r="JW1495" s="29"/>
      <c r="JX1495" s="29"/>
      <c r="JY1495" s="29"/>
      <c r="JZ1495" s="29"/>
      <c r="KA1495" s="29"/>
      <c r="KB1495" s="29"/>
      <c r="KC1495" s="29"/>
      <c r="KD1495" s="29"/>
      <c r="KE1495" s="29"/>
      <c r="KF1495" s="29"/>
      <c r="KG1495" s="29"/>
      <c r="KH1495" s="29"/>
      <c r="KI1495" s="29"/>
      <c r="KJ1495" s="29"/>
      <c r="KK1495" s="29"/>
      <c r="KL1495" s="29"/>
      <c r="KM1495" s="29"/>
      <c r="KN1495" s="29"/>
      <c r="KO1495" s="29"/>
      <c r="KP1495" s="29"/>
      <c r="KQ1495" s="29"/>
      <c r="KR1495" s="29"/>
      <c r="KS1495" s="29"/>
      <c r="KT1495" s="29"/>
      <c r="KU1495" s="29"/>
      <c r="KV1495" s="29"/>
      <c r="KW1495" s="29"/>
      <c r="KX1495" s="29"/>
      <c r="KY1495" s="29"/>
      <c r="KZ1495" s="29"/>
      <c r="LA1495" s="29"/>
      <c r="LB1495" s="29"/>
      <c r="LC1495" s="29"/>
      <c r="LD1495" s="29"/>
      <c r="LE1495" s="29"/>
      <c r="LF1495" s="29"/>
      <c r="LG1495" s="29"/>
      <c r="LH1495" s="29"/>
      <c r="LI1495" s="29"/>
      <c r="LJ1495" s="29"/>
      <c r="LK1495" s="29"/>
      <c r="LL1495" s="29"/>
      <c r="LM1495" s="29"/>
      <c r="LN1495" s="29"/>
      <c r="LO1495" s="29"/>
      <c r="LP1495" s="29"/>
      <c r="LQ1495" s="29"/>
      <c r="LR1495" s="29"/>
      <c r="LS1495" s="29"/>
      <c r="LT1495" s="29"/>
      <c r="LU1495" s="29"/>
      <c r="LV1495" s="29"/>
      <c r="LW1495" s="29"/>
      <c r="LX1495" s="29"/>
      <c r="LY1495" s="29"/>
      <c r="LZ1495" s="29"/>
      <c r="MA1495" s="29"/>
      <c r="MB1495" s="29"/>
      <c r="MC1495" s="29"/>
      <c r="MD1495" s="29"/>
      <c r="ME1495" s="29"/>
      <c r="MF1495" s="29"/>
      <c r="MG1495" s="29"/>
      <c r="MH1495" s="29"/>
      <c r="MI1495" s="29"/>
      <c r="MJ1495" s="29"/>
      <c r="MK1495" s="29"/>
      <c r="ML1495" s="29"/>
      <c r="MM1495" s="29"/>
      <c r="MN1495" s="29"/>
      <c r="MO1495" s="29"/>
      <c r="MP1495" s="29"/>
      <c r="MQ1495" s="29"/>
      <c r="MR1495" s="29"/>
      <c r="MS1495" s="29"/>
      <c r="MT1495" s="29"/>
      <c r="MU1495" s="29"/>
      <c r="MV1495" s="29"/>
      <c r="MW1495" s="29"/>
      <c r="MX1495" s="29"/>
      <c r="MY1495" s="29"/>
      <c r="MZ1495" s="29"/>
      <c r="NA1495" s="29"/>
      <c r="NB1495" s="29"/>
      <c r="NC1495" s="29"/>
      <c r="ND1495" s="29"/>
      <c r="NE1495" s="29"/>
      <c r="NF1495" s="29"/>
      <c r="NG1495" s="29"/>
      <c r="NH1495" s="29"/>
      <c r="NI1495" s="29"/>
      <c r="NJ1495" s="29"/>
      <c r="NK1495" s="29"/>
      <c r="NL1495" s="29"/>
      <c r="NM1495" s="29"/>
      <c r="NN1495" s="29"/>
      <c r="NO1495" s="29"/>
      <c r="NP1495" s="29"/>
      <c r="NQ1495" s="29"/>
      <c r="NR1495" s="29"/>
      <c r="NS1495" s="29"/>
      <c r="NT1495" s="29"/>
      <c r="NU1495" s="29"/>
      <c r="NV1495" s="29"/>
      <c r="NW1495" s="29"/>
      <c r="NX1495" s="29"/>
      <c r="NY1495" s="29"/>
      <c r="NZ1495" s="29"/>
      <c r="OA1495" s="29"/>
      <c r="OB1495" s="29"/>
      <c r="OC1495" s="29"/>
      <c r="OD1495" s="29"/>
      <c r="OE1495" s="29"/>
      <c r="OF1495" s="29"/>
      <c r="OG1495" s="29"/>
      <c r="OH1495" s="29"/>
      <c r="OI1495" s="29"/>
      <c r="OJ1495" s="29"/>
      <c r="OK1495" s="29"/>
      <c r="OL1495" s="29"/>
      <c r="OM1495" s="29"/>
      <c r="ON1495" s="29"/>
      <c r="OO1495" s="29"/>
      <c r="OP1495" s="29"/>
      <c r="OQ1495" s="29"/>
      <c r="OR1495" s="29"/>
      <c r="OS1495" s="29"/>
      <c r="OT1495" s="29"/>
      <c r="OU1495" s="29"/>
      <c r="OV1495" s="29"/>
      <c r="OW1495" s="29"/>
      <c r="OX1495" s="29"/>
      <c r="OY1495" s="29"/>
      <c r="OZ1495" s="29"/>
      <c r="PA1495" s="29"/>
      <c r="PB1495" s="29"/>
      <c r="PC1495" s="29"/>
      <c r="PD1495" s="29"/>
      <c r="PE1495" s="29"/>
      <c r="PF1495" s="29"/>
      <c r="PG1495" s="29"/>
      <c r="PH1495" s="29"/>
      <c r="PI1495" s="29"/>
      <c r="PJ1495" s="29"/>
      <c r="PK1495" s="29"/>
      <c r="PL1495" s="29"/>
      <c r="PM1495" s="29"/>
      <c r="PN1495" s="29"/>
      <c r="PO1495" s="29"/>
      <c r="PP1495" s="29"/>
      <c r="PQ1495" s="29"/>
      <c r="PR1495" s="29"/>
      <c r="PS1495" s="29"/>
      <c r="PT1495" s="29"/>
      <c r="PU1495" s="29"/>
      <c r="PV1495" s="29"/>
      <c r="PW1495" s="29"/>
      <c r="PX1495" s="29"/>
      <c r="PY1495" s="29"/>
      <c r="PZ1495" s="29"/>
      <c r="QA1495" s="29"/>
      <c r="QB1495" s="29"/>
      <c r="QC1495" s="29"/>
      <c r="QD1495" s="29"/>
      <c r="QE1495" s="29"/>
      <c r="QF1495" s="29"/>
      <c r="QG1495" s="29"/>
      <c r="QH1495" s="29"/>
      <c r="QI1495" s="29"/>
      <c r="QJ1495" s="29"/>
      <c r="QK1495" s="29"/>
      <c r="QL1495" s="29"/>
      <c r="QM1495" s="29"/>
      <c r="QN1495" s="29"/>
      <c r="QO1495" s="29"/>
      <c r="QP1495" s="29"/>
      <c r="QQ1495" s="29"/>
      <c r="QR1495" s="29"/>
      <c r="QS1495" s="29"/>
      <c r="QT1495" s="29"/>
      <c r="QU1495" s="29"/>
      <c r="QV1495" s="29"/>
      <c r="QW1495" s="29"/>
      <c r="QX1495" s="29"/>
      <c r="QY1495" s="29"/>
      <c r="QZ1495" s="29"/>
      <c r="RA1495" s="29"/>
      <c r="RB1495" s="29"/>
      <c r="RC1495" s="29"/>
      <c r="RD1495" s="29"/>
      <c r="RE1495" s="29"/>
      <c r="RF1495" s="29"/>
      <c r="RG1495" s="29"/>
      <c r="RH1495" s="29"/>
      <c r="RI1495" s="29"/>
      <c r="RJ1495" s="29"/>
      <c r="RK1495" s="29"/>
      <c r="RL1495" s="29"/>
      <c r="RM1495" s="29"/>
      <c r="RN1495" s="29"/>
      <c r="RO1495" s="29"/>
      <c r="RP1495" s="29"/>
      <c r="RQ1495" s="29"/>
      <c r="RR1495" s="29"/>
      <c r="RS1495" s="29"/>
      <c r="RT1495" s="29"/>
      <c r="RU1495" s="29"/>
      <c r="RV1495" s="29"/>
      <c r="RW1495" s="29"/>
      <c r="RX1495" s="29"/>
      <c r="RY1495" s="29"/>
      <c r="RZ1495" s="29"/>
      <c r="SA1495" s="29"/>
      <c r="SB1495" s="29"/>
      <c r="SC1495" s="29"/>
      <c r="SD1495" s="29"/>
      <c r="SE1495" s="29"/>
      <c r="SF1495" s="29"/>
      <c r="SG1495" s="29"/>
      <c r="SH1495" s="29"/>
      <c r="SI1495" s="29"/>
      <c r="SJ1495" s="29"/>
      <c r="SK1495" s="29"/>
      <c r="SL1495" s="29"/>
      <c r="SM1495" s="29"/>
      <c r="SN1495" s="29"/>
      <c r="SO1495" s="29"/>
      <c r="SP1495" s="29"/>
      <c r="SQ1495" s="29"/>
      <c r="SR1495" s="29"/>
      <c r="SS1495" s="29"/>
      <c r="ST1495" s="29"/>
      <c r="SU1495" s="29"/>
      <c r="SV1495" s="29"/>
      <c r="SW1495" s="29"/>
      <c r="SX1495" s="29"/>
      <c r="SY1495" s="29"/>
      <c r="SZ1495" s="29"/>
      <c r="TA1495" s="29"/>
      <c r="TB1495" s="29"/>
      <c r="TC1495" s="29"/>
      <c r="TD1495" s="29"/>
      <c r="TE1495" s="29"/>
      <c r="TF1495" s="29"/>
      <c r="TG1495" s="29"/>
      <c r="TH1495" s="29"/>
      <c r="TI1495" s="29"/>
      <c r="TJ1495" s="29"/>
      <c r="TK1495" s="29"/>
      <c r="TL1495" s="29"/>
      <c r="TM1495" s="29"/>
      <c r="TN1495" s="29"/>
      <c r="TO1495" s="29"/>
      <c r="TP1495" s="29"/>
      <c r="TQ1495" s="29"/>
      <c r="TR1495" s="29"/>
      <c r="TS1495" s="29"/>
      <c r="TT1495" s="29"/>
      <c r="TU1495" s="29"/>
      <c r="TV1495" s="29"/>
      <c r="TW1495" s="29"/>
      <c r="TX1495" s="29"/>
      <c r="TY1495" s="29"/>
      <c r="TZ1495" s="29"/>
      <c r="UA1495" s="29"/>
      <c r="UB1495" s="29"/>
      <c r="UC1495" s="29"/>
      <c r="UD1495" s="29"/>
      <c r="UE1495" s="29"/>
      <c r="UF1495" s="29"/>
      <c r="UG1495" s="29"/>
    </row>
    <row r="1496" spans="1:553" ht="45.75" customHeight="1">
      <c r="A1496" s="356" t="s">
        <v>58</v>
      </c>
      <c r="B1496" s="356"/>
      <c r="C1496" s="1413" t="s">
        <v>59</v>
      </c>
      <c r="D1496" s="1389"/>
      <c r="E1496" s="1389"/>
      <c r="F1496" s="1390"/>
      <c r="G1496" s="366"/>
      <c r="H1496" s="370"/>
      <c r="I1496" s="370"/>
      <c r="J1496" s="368"/>
      <c r="K1496" s="371"/>
      <c r="L1496" s="645">
        <f>SUM(L1497:L1501)</f>
        <v>263929500</v>
      </c>
      <c r="M1496" s="356"/>
      <c r="N1496" s="356"/>
      <c r="O1496" s="356"/>
      <c r="P1496" s="356"/>
      <c r="Q1496" s="610"/>
      <c r="R1496" s="1447" t="s">
        <v>60</v>
      </c>
      <c r="S1496" s="308"/>
      <c r="T1496" s="308"/>
      <c r="U1496" s="308"/>
      <c r="V1496" s="308"/>
      <c r="W1496" s="308"/>
      <c r="X1496" s="308"/>
      <c r="Y1496" s="308"/>
      <c r="Z1496" s="604"/>
      <c r="AA1496" s="308"/>
      <c r="AB1496" s="308"/>
      <c r="AC1496" s="486"/>
      <c r="AD1496" s="486"/>
      <c r="AE1496" s="486"/>
      <c r="AF1496" s="486"/>
      <c r="AG1496" s="486"/>
      <c r="AH1496" s="486"/>
      <c r="AI1496" s="486"/>
      <c r="AJ1496" s="486"/>
      <c r="AK1496" s="486"/>
      <c r="AL1496" s="206"/>
      <c r="AM1496" s="29"/>
      <c r="AN1496" s="29"/>
      <c r="AO1496" s="29"/>
      <c r="AP1496" s="29"/>
      <c r="AQ1496" s="29"/>
      <c r="AR1496" s="29"/>
      <c r="AS1496" s="29"/>
      <c r="AT1496" s="29"/>
      <c r="AU1496" s="29"/>
      <c r="AV1496" s="29"/>
      <c r="AW1496" s="29"/>
      <c r="AX1496" s="29"/>
      <c r="AY1496" s="29"/>
      <c r="AZ1496" s="29"/>
      <c r="BA1496" s="29"/>
      <c r="BB1496" s="29"/>
      <c r="BC1496" s="29"/>
      <c r="BD1496" s="29"/>
      <c r="BE1496" s="29"/>
      <c r="BF1496" s="29"/>
      <c r="BG1496" s="29"/>
      <c r="BH1496" s="29"/>
      <c r="BI1496" s="29"/>
      <c r="BJ1496" s="29"/>
      <c r="BK1496" s="29"/>
      <c r="BL1496" s="29"/>
      <c r="BM1496" s="29"/>
      <c r="BN1496" s="29"/>
      <c r="BO1496" s="29"/>
      <c r="BP1496" s="29"/>
      <c r="BQ1496" s="29"/>
      <c r="BR1496" s="29"/>
      <c r="BS1496" s="29"/>
      <c r="BT1496" s="29"/>
      <c r="BU1496" s="29"/>
      <c r="BV1496" s="29"/>
      <c r="BW1496" s="29"/>
      <c r="BX1496" s="29"/>
      <c r="BY1496" s="29"/>
      <c r="BZ1496" s="29"/>
      <c r="CA1496" s="29"/>
      <c r="CB1496" s="29"/>
      <c r="CC1496" s="29"/>
      <c r="CD1496" s="29"/>
      <c r="CE1496" s="29"/>
      <c r="CF1496" s="29"/>
      <c r="CG1496" s="29"/>
      <c r="CH1496" s="29"/>
      <c r="CI1496" s="29"/>
      <c r="CJ1496" s="29"/>
      <c r="CK1496" s="29"/>
      <c r="CL1496" s="29"/>
      <c r="CM1496" s="29"/>
      <c r="CN1496" s="29"/>
      <c r="CO1496" s="29"/>
      <c r="CP1496" s="29"/>
      <c r="CQ1496" s="29"/>
      <c r="CR1496" s="29"/>
      <c r="CS1496" s="29"/>
      <c r="CT1496" s="29"/>
      <c r="CU1496" s="29"/>
      <c r="CV1496" s="29"/>
      <c r="CW1496" s="29"/>
      <c r="CX1496" s="29"/>
      <c r="CY1496" s="29"/>
      <c r="CZ1496" s="29"/>
      <c r="DA1496" s="29"/>
      <c r="DB1496" s="29"/>
      <c r="DC1496" s="29"/>
      <c r="DD1496" s="29"/>
      <c r="DE1496" s="29"/>
      <c r="DF1496" s="29"/>
      <c r="DG1496" s="29"/>
      <c r="DH1496" s="29"/>
      <c r="DI1496" s="29"/>
      <c r="DJ1496" s="29"/>
      <c r="DK1496" s="29"/>
      <c r="DL1496" s="29"/>
      <c r="DM1496" s="29"/>
      <c r="DN1496" s="29"/>
      <c r="DO1496" s="29"/>
      <c r="DP1496" s="29"/>
      <c r="DQ1496" s="29"/>
      <c r="DR1496" s="29"/>
      <c r="DS1496" s="29"/>
      <c r="DT1496" s="29"/>
      <c r="DU1496" s="29"/>
      <c r="DV1496" s="29"/>
      <c r="DW1496" s="29"/>
      <c r="DX1496" s="29"/>
      <c r="DY1496" s="29"/>
      <c r="DZ1496" s="29"/>
      <c r="EA1496" s="29"/>
      <c r="EB1496" s="29"/>
      <c r="EC1496" s="29"/>
      <c r="ED1496" s="29"/>
      <c r="EE1496" s="29"/>
      <c r="EF1496" s="29"/>
      <c r="EG1496" s="29"/>
      <c r="EH1496" s="29"/>
      <c r="EI1496" s="29"/>
      <c r="EJ1496" s="29"/>
      <c r="EK1496" s="29"/>
      <c r="EL1496" s="29"/>
      <c r="EM1496" s="29"/>
      <c r="EN1496" s="29"/>
      <c r="EO1496" s="29"/>
      <c r="EP1496" s="29"/>
      <c r="EQ1496" s="29"/>
      <c r="ER1496" s="29"/>
      <c r="ES1496" s="29"/>
      <c r="ET1496" s="29"/>
      <c r="EU1496" s="29"/>
      <c r="EV1496" s="29"/>
      <c r="EW1496" s="29"/>
      <c r="EX1496" s="29"/>
      <c r="EY1496" s="29"/>
      <c r="EZ1496" s="29"/>
      <c r="FA1496" s="29"/>
      <c r="FB1496" s="29"/>
      <c r="FC1496" s="29"/>
      <c r="FD1496" s="29"/>
      <c r="FE1496" s="29"/>
      <c r="FF1496" s="29"/>
      <c r="FG1496" s="29"/>
      <c r="FH1496" s="29"/>
      <c r="FI1496" s="29"/>
      <c r="FJ1496" s="29"/>
      <c r="FK1496" s="29"/>
      <c r="FL1496" s="29"/>
      <c r="FM1496" s="29"/>
      <c r="FN1496" s="29"/>
      <c r="FO1496" s="29"/>
      <c r="FP1496" s="29"/>
      <c r="FQ1496" s="29"/>
      <c r="FR1496" s="29"/>
      <c r="FS1496" s="29"/>
      <c r="FT1496" s="29"/>
      <c r="FU1496" s="29"/>
      <c r="FV1496" s="29"/>
      <c r="FW1496" s="29"/>
      <c r="FX1496" s="29"/>
      <c r="FY1496" s="29"/>
      <c r="FZ1496" s="29"/>
      <c r="GA1496" s="29"/>
      <c r="GB1496" s="29"/>
      <c r="GC1496" s="29"/>
      <c r="GD1496" s="29"/>
      <c r="GE1496" s="29"/>
      <c r="GF1496" s="29"/>
      <c r="GG1496" s="29"/>
      <c r="GH1496" s="29"/>
      <c r="GI1496" s="29"/>
      <c r="GJ1496" s="29"/>
      <c r="GK1496" s="29"/>
      <c r="GL1496" s="29"/>
      <c r="GM1496" s="29"/>
      <c r="GN1496" s="29"/>
      <c r="GO1496" s="29"/>
      <c r="GP1496" s="29"/>
      <c r="GQ1496" s="29"/>
      <c r="GR1496" s="29"/>
      <c r="GS1496" s="29"/>
      <c r="GT1496" s="29"/>
      <c r="GU1496" s="29"/>
      <c r="GV1496" s="29"/>
      <c r="GW1496" s="29"/>
      <c r="GX1496" s="29"/>
      <c r="GY1496" s="29"/>
      <c r="GZ1496" s="29"/>
      <c r="HA1496" s="29"/>
      <c r="HB1496" s="29"/>
      <c r="HC1496" s="29"/>
      <c r="HD1496" s="29"/>
      <c r="HE1496" s="29"/>
      <c r="HF1496" s="29"/>
      <c r="HG1496" s="29"/>
      <c r="HH1496" s="29"/>
      <c r="HI1496" s="29"/>
      <c r="HJ1496" s="29"/>
      <c r="HK1496" s="29"/>
      <c r="HL1496" s="29"/>
      <c r="HM1496" s="29"/>
      <c r="HN1496" s="29"/>
      <c r="HO1496" s="29"/>
      <c r="HP1496" s="29"/>
      <c r="HQ1496" s="29"/>
      <c r="HR1496" s="29"/>
      <c r="HS1496" s="29"/>
      <c r="HT1496" s="29"/>
      <c r="HU1496" s="29"/>
      <c r="HV1496" s="29"/>
      <c r="HW1496" s="29"/>
      <c r="HX1496" s="29"/>
      <c r="HY1496" s="29"/>
      <c r="HZ1496" s="29"/>
      <c r="IA1496" s="29"/>
      <c r="IB1496" s="29"/>
      <c r="IC1496" s="29"/>
      <c r="ID1496" s="29"/>
      <c r="IE1496" s="29"/>
      <c r="IF1496" s="29"/>
      <c r="IG1496" s="29"/>
      <c r="IH1496" s="29"/>
      <c r="II1496" s="29"/>
      <c r="IJ1496" s="29"/>
      <c r="IK1496" s="29"/>
      <c r="IL1496" s="29"/>
      <c r="IM1496" s="29"/>
      <c r="IN1496" s="29"/>
      <c r="IO1496" s="29"/>
      <c r="IP1496" s="29"/>
      <c r="IQ1496" s="29"/>
      <c r="IR1496" s="29"/>
      <c r="IS1496" s="29"/>
      <c r="IT1496" s="29"/>
      <c r="IU1496" s="29"/>
      <c r="IV1496" s="29"/>
      <c r="IW1496" s="29"/>
      <c r="IX1496" s="29"/>
      <c r="IY1496" s="29"/>
      <c r="IZ1496" s="29"/>
      <c r="JA1496" s="29"/>
      <c r="JB1496" s="29"/>
      <c r="JC1496" s="29"/>
      <c r="JD1496" s="29"/>
      <c r="JE1496" s="29"/>
      <c r="JF1496" s="29"/>
      <c r="JG1496" s="29"/>
      <c r="JH1496" s="29"/>
      <c r="JI1496" s="29"/>
      <c r="JJ1496" s="29"/>
      <c r="JK1496" s="29"/>
      <c r="JL1496" s="29"/>
      <c r="JM1496" s="29"/>
      <c r="JN1496" s="29"/>
      <c r="JO1496" s="29"/>
      <c r="JP1496" s="29"/>
      <c r="JQ1496" s="29"/>
      <c r="JR1496" s="29"/>
      <c r="JS1496" s="29"/>
      <c r="JT1496" s="29"/>
      <c r="JU1496" s="29"/>
      <c r="JV1496" s="29"/>
      <c r="JW1496" s="29"/>
      <c r="JX1496" s="29"/>
      <c r="JY1496" s="29"/>
      <c r="JZ1496" s="29"/>
      <c r="KA1496" s="29"/>
      <c r="KB1496" s="29"/>
      <c r="KC1496" s="29"/>
      <c r="KD1496" s="29"/>
      <c r="KE1496" s="29"/>
      <c r="KF1496" s="29"/>
      <c r="KG1496" s="29"/>
      <c r="KH1496" s="29"/>
      <c r="KI1496" s="29"/>
      <c r="KJ1496" s="29"/>
      <c r="KK1496" s="29"/>
      <c r="KL1496" s="29"/>
      <c r="KM1496" s="29"/>
      <c r="KN1496" s="29"/>
      <c r="KO1496" s="29"/>
      <c r="KP1496" s="29"/>
      <c r="KQ1496" s="29"/>
      <c r="KR1496" s="29"/>
      <c r="KS1496" s="29"/>
      <c r="KT1496" s="29"/>
      <c r="KU1496" s="29"/>
      <c r="KV1496" s="29"/>
      <c r="KW1496" s="29"/>
      <c r="KX1496" s="29"/>
      <c r="KY1496" s="29"/>
      <c r="KZ1496" s="29"/>
      <c r="LA1496" s="29"/>
      <c r="LB1496" s="29"/>
      <c r="LC1496" s="29"/>
      <c r="LD1496" s="29"/>
      <c r="LE1496" s="29"/>
      <c r="LF1496" s="29"/>
      <c r="LG1496" s="29"/>
      <c r="LH1496" s="29"/>
      <c r="LI1496" s="29"/>
      <c r="LJ1496" s="29"/>
      <c r="LK1496" s="29"/>
      <c r="LL1496" s="29"/>
      <c r="LM1496" s="29"/>
      <c r="LN1496" s="29"/>
      <c r="LO1496" s="29"/>
      <c r="LP1496" s="29"/>
      <c r="LQ1496" s="29"/>
      <c r="LR1496" s="29"/>
      <c r="LS1496" s="29"/>
      <c r="LT1496" s="29"/>
      <c r="LU1496" s="29"/>
      <c r="LV1496" s="29"/>
      <c r="LW1496" s="29"/>
      <c r="LX1496" s="29"/>
      <c r="LY1496" s="29"/>
      <c r="LZ1496" s="29"/>
      <c r="MA1496" s="29"/>
      <c r="MB1496" s="29"/>
      <c r="MC1496" s="29"/>
      <c r="MD1496" s="29"/>
      <c r="ME1496" s="29"/>
      <c r="MF1496" s="29"/>
      <c r="MG1496" s="29"/>
      <c r="MH1496" s="29"/>
      <c r="MI1496" s="29"/>
      <c r="MJ1496" s="29"/>
      <c r="MK1496" s="29"/>
      <c r="ML1496" s="29"/>
      <c r="MM1496" s="29"/>
      <c r="MN1496" s="29"/>
      <c r="MO1496" s="29"/>
      <c r="MP1496" s="29"/>
      <c r="MQ1496" s="29"/>
      <c r="MR1496" s="29"/>
      <c r="MS1496" s="29"/>
      <c r="MT1496" s="29"/>
      <c r="MU1496" s="29"/>
      <c r="MV1496" s="29"/>
      <c r="MW1496" s="29"/>
      <c r="MX1496" s="29"/>
      <c r="MY1496" s="29"/>
      <c r="MZ1496" s="29"/>
      <c r="NA1496" s="29"/>
      <c r="NB1496" s="29"/>
      <c r="NC1496" s="29"/>
      <c r="ND1496" s="29"/>
      <c r="NE1496" s="29"/>
      <c r="NF1496" s="29"/>
      <c r="NG1496" s="29"/>
      <c r="NH1496" s="29"/>
      <c r="NI1496" s="29"/>
      <c r="NJ1496" s="29"/>
      <c r="NK1496" s="29"/>
      <c r="NL1496" s="29"/>
      <c r="NM1496" s="29"/>
      <c r="NN1496" s="29"/>
      <c r="NO1496" s="29"/>
      <c r="NP1496" s="29"/>
      <c r="NQ1496" s="29"/>
      <c r="NR1496" s="29"/>
      <c r="NS1496" s="29"/>
      <c r="NT1496" s="29"/>
      <c r="NU1496" s="29"/>
      <c r="NV1496" s="29"/>
      <c r="NW1496" s="29"/>
      <c r="NX1496" s="29"/>
      <c r="NY1496" s="29"/>
      <c r="NZ1496" s="29"/>
      <c r="OA1496" s="29"/>
      <c r="OB1496" s="29"/>
      <c r="OC1496" s="29"/>
      <c r="OD1496" s="29"/>
      <c r="OE1496" s="29"/>
      <c r="OF1496" s="29"/>
      <c r="OG1496" s="29"/>
      <c r="OH1496" s="29"/>
      <c r="OI1496" s="29"/>
      <c r="OJ1496" s="29"/>
      <c r="OK1496" s="29"/>
      <c r="OL1496" s="29"/>
      <c r="OM1496" s="29"/>
      <c r="ON1496" s="29"/>
      <c r="OO1496" s="29"/>
      <c r="OP1496" s="29"/>
      <c r="OQ1496" s="29"/>
      <c r="OR1496" s="29"/>
      <c r="OS1496" s="29"/>
      <c r="OT1496" s="29"/>
      <c r="OU1496" s="29"/>
      <c r="OV1496" s="29"/>
      <c r="OW1496" s="29"/>
      <c r="OX1496" s="29"/>
      <c r="OY1496" s="29"/>
      <c r="OZ1496" s="29"/>
      <c r="PA1496" s="29"/>
      <c r="PB1496" s="29"/>
      <c r="PC1496" s="29"/>
      <c r="PD1496" s="29"/>
      <c r="PE1496" s="29"/>
      <c r="PF1496" s="29"/>
      <c r="PG1496" s="29"/>
      <c r="PH1496" s="29"/>
      <c r="PI1496" s="29"/>
      <c r="PJ1496" s="29"/>
      <c r="PK1496" s="29"/>
      <c r="PL1496" s="29"/>
      <c r="PM1496" s="29"/>
      <c r="PN1496" s="29"/>
      <c r="PO1496" s="29"/>
      <c r="PP1496" s="29"/>
      <c r="PQ1496" s="29"/>
      <c r="PR1496" s="29"/>
      <c r="PS1496" s="29"/>
      <c r="PT1496" s="29"/>
      <c r="PU1496" s="29"/>
      <c r="PV1496" s="29"/>
      <c r="PW1496" s="29"/>
      <c r="PX1496" s="29"/>
      <c r="PY1496" s="29"/>
      <c r="PZ1496" s="29"/>
      <c r="QA1496" s="29"/>
      <c r="QB1496" s="29"/>
      <c r="QC1496" s="29"/>
      <c r="QD1496" s="29"/>
      <c r="QE1496" s="29"/>
      <c r="QF1496" s="29"/>
      <c r="QG1496" s="29"/>
      <c r="QH1496" s="29"/>
      <c r="QI1496" s="29"/>
      <c r="QJ1496" s="29"/>
      <c r="QK1496" s="29"/>
      <c r="QL1496" s="29"/>
      <c r="QM1496" s="29"/>
      <c r="QN1496" s="29"/>
      <c r="QO1496" s="29"/>
      <c r="QP1496" s="29"/>
      <c r="QQ1496" s="29"/>
      <c r="QR1496" s="29"/>
      <c r="QS1496" s="29"/>
      <c r="QT1496" s="29"/>
      <c r="QU1496" s="29"/>
      <c r="QV1496" s="29"/>
      <c r="QW1496" s="29"/>
      <c r="QX1496" s="29"/>
      <c r="QY1496" s="29"/>
      <c r="QZ1496" s="29"/>
      <c r="RA1496" s="29"/>
      <c r="RB1496" s="29"/>
      <c r="RC1496" s="29"/>
      <c r="RD1496" s="29"/>
      <c r="RE1496" s="29"/>
      <c r="RF1496" s="29"/>
      <c r="RG1496" s="29"/>
      <c r="RH1496" s="29"/>
      <c r="RI1496" s="29"/>
      <c r="RJ1496" s="29"/>
      <c r="RK1496" s="29"/>
      <c r="RL1496" s="29"/>
      <c r="RM1496" s="29"/>
      <c r="RN1496" s="29"/>
      <c r="RO1496" s="29"/>
      <c r="RP1496" s="29"/>
      <c r="RQ1496" s="29"/>
      <c r="RR1496" s="29"/>
      <c r="RS1496" s="29"/>
      <c r="RT1496" s="29"/>
      <c r="RU1496" s="29"/>
      <c r="RV1496" s="29"/>
      <c r="RW1496" s="29"/>
      <c r="RX1496" s="29"/>
      <c r="RY1496" s="29"/>
      <c r="RZ1496" s="29"/>
      <c r="SA1496" s="29"/>
      <c r="SB1496" s="29"/>
      <c r="SC1496" s="29"/>
      <c r="SD1496" s="29"/>
      <c r="SE1496" s="29"/>
      <c r="SF1496" s="29"/>
      <c r="SG1496" s="29"/>
      <c r="SH1496" s="29"/>
      <c r="SI1496" s="29"/>
      <c r="SJ1496" s="29"/>
      <c r="SK1496" s="29"/>
      <c r="SL1496" s="29"/>
      <c r="SM1496" s="29"/>
      <c r="SN1496" s="29"/>
      <c r="SO1496" s="29"/>
      <c r="SP1496" s="29"/>
      <c r="SQ1496" s="29"/>
      <c r="SR1496" s="29"/>
      <c r="SS1496" s="29"/>
      <c r="ST1496" s="29"/>
      <c r="SU1496" s="29"/>
      <c r="SV1496" s="29"/>
      <c r="SW1496" s="29"/>
      <c r="SX1496" s="29"/>
      <c r="SY1496" s="29"/>
      <c r="SZ1496" s="29"/>
      <c r="TA1496" s="29"/>
      <c r="TB1496" s="29"/>
      <c r="TC1496" s="29"/>
      <c r="TD1496" s="29"/>
      <c r="TE1496" s="29"/>
      <c r="TF1496" s="29"/>
      <c r="TG1496" s="29"/>
      <c r="TH1496" s="29"/>
      <c r="TI1496" s="29"/>
      <c r="TJ1496" s="29"/>
      <c r="TK1496" s="29"/>
      <c r="TL1496" s="29"/>
      <c r="TM1496" s="29"/>
      <c r="TN1496" s="29"/>
      <c r="TO1496" s="29"/>
      <c r="TP1496" s="29"/>
      <c r="TQ1496" s="29"/>
      <c r="TR1496" s="29"/>
      <c r="TS1496" s="29"/>
      <c r="TT1496" s="29"/>
      <c r="TU1496" s="29"/>
      <c r="TV1496" s="29"/>
      <c r="TW1496" s="29"/>
      <c r="TX1496" s="29"/>
      <c r="TY1496" s="29"/>
      <c r="TZ1496" s="29"/>
      <c r="UA1496" s="29"/>
      <c r="UB1496" s="29"/>
      <c r="UC1496" s="29"/>
      <c r="UD1496" s="29"/>
      <c r="UE1496" s="29"/>
      <c r="UF1496" s="29"/>
      <c r="UG1496" s="29"/>
    </row>
    <row r="1497" spans="1:553" ht="45.75" customHeight="1">
      <c r="A1497" s="356" t="s">
        <v>15</v>
      </c>
      <c r="B1497" s="385"/>
      <c r="C1497" s="384" t="str">
        <f t="shared" ref="C1497:E1501" si="224">C1429</f>
        <v>Đất chuyên trồng lúa nước (LUC)</v>
      </c>
      <c r="D1497" s="376" t="str">
        <f t="shared" si="224"/>
        <v>1</v>
      </c>
      <c r="E1497" s="376" t="str">
        <f t="shared" si="224"/>
        <v>366</v>
      </c>
      <c r="F1497" s="385"/>
      <c r="G1497" s="386" t="s">
        <v>935</v>
      </c>
      <c r="H1497" s="370"/>
      <c r="I1497" s="422">
        <v>92.2</v>
      </c>
      <c r="J1497" s="368">
        <v>72000</v>
      </c>
      <c r="K1497" s="388">
        <v>3</v>
      </c>
      <c r="L1497" s="480">
        <f t="shared" ref="L1497:L1501" si="225">I1497*J1497*K1497</f>
        <v>19915200</v>
      </c>
      <c r="M1497" s="366"/>
      <c r="N1497" s="366"/>
      <c r="O1497" s="366"/>
      <c r="P1497" s="366"/>
      <c r="Q1497" s="812"/>
      <c r="R1497" s="1447"/>
      <c r="S1497" s="308"/>
      <c r="T1497" s="308"/>
      <c r="U1497" s="308"/>
      <c r="V1497" s="308"/>
      <c r="W1497" s="308"/>
      <c r="X1497" s="308"/>
      <c r="Y1497" s="308"/>
      <c r="Z1497" s="604"/>
      <c r="AA1497" s="308"/>
      <c r="AB1497" s="308"/>
      <c r="AC1497" s="486"/>
      <c r="AD1497" s="486"/>
      <c r="AE1497" s="486"/>
      <c r="AF1497" s="486"/>
      <c r="AG1497" s="486"/>
      <c r="AH1497" s="486"/>
      <c r="AI1497" s="486"/>
      <c r="AJ1497" s="486"/>
      <c r="AK1497" s="486"/>
      <c r="AL1497" s="206"/>
      <c r="AM1497" s="29"/>
      <c r="AN1497" s="29"/>
      <c r="AO1497" s="29"/>
      <c r="AP1497" s="29"/>
      <c r="AQ1497" s="29"/>
      <c r="AR1497" s="29"/>
      <c r="AS1497" s="29"/>
      <c r="AT1497" s="29"/>
      <c r="AU1497" s="29"/>
      <c r="AV1497" s="29"/>
      <c r="AW1497" s="29"/>
      <c r="AX1497" s="29"/>
      <c r="AY1497" s="29"/>
      <c r="AZ1497" s="29"/>
      <c r="BA1497" s="29"/>
      <c r="BB1497" s="29"/>
      <c r="BC1497" s="29"/>
      <c r="BD1497" s="29"/>
      <c r="BE1497" s="29"/>
      <c r="BF1497" s="29"/>
      <c r="BG1497" s="29"/>
      <c r="BH1497" s="29"/>
      <c r="BI1497" s="29"/>
      <c r="BJ1497" s="29"/>
      <c r="BK1497" s="29"/>
      <c r="BL1497" s="29"/>
      <c r="BM1497" s="29"/>
      <c r="BN1497" s="29"/>
      <c r="BO1497" s="29"/>
      <c r="BP1497" s="29"/>
      <c r="BQ1497" s="29"/>
      <c r="BR1497" s="29"/>
      <c r="BS1497" s="29"/>
      <c r="BT1497" s="29"/>
      <c r="BU1497" s="29"/>
      <c r="BV1497" s="29"/>
      <c r="BW1497" s="29"/>
      <c r="BX1497" s="29"/>
      <c r="BY1497" s="29"/>
      <c r="BZ1497" s="29"/>
      <c r="CA1497" s="29"/>
      <c r="CB1497" s="29"/>
      <c r="CC1497" s="29"/>
      <c r="CD1497" s="29"/>
      <c r="CE1497" s="29"/>
      <c r="CF1497" s="29"/>
      <c r="CG1497" s="29"/>
      <c r="CH1497" s="29"/>
      <c r="CI1497" s="29"/>
      <c r="CJ1497" s="29"/>
      <c r="CK1497" s="29"/>
      <c r="CL1497" s="29"/>
      <c r="CM1497" s="29"/>
      <c r="CN1497" s="29"/>
      <c r="CO1497" s="29"/>
      <c r="CP1497" s="29"/>
      <c r="CQ1497" s="29"/>
      <c r="CR1497" s="29"/>
      <c r="CS1497" s="29"/>
      <c r="CT1497" s="29"/>
      <c r="CU1497" s="29"/>
      <c r="CV1497" s="29"/>
      <c r="CW1497" s="29"/>
      <c r="CX1497" s="29"/>
      <c r="CY1497" s="29"/>
      <c r="CZ1497" s="29"/>
      <c r="DA1497" s="29"/>
      <c r="DB1497" s="29"/>
      <c r="DC1497" s="29"/>
      <c r="DD1497" s="29"/>
      <c r="DE1497" s="29"/>
      <c r="DF1497" s="29"/>
      <c r="DG1497" s="29"/>
      <c r="DH1497" s="29"/>
      <c r="DI1497" s="29"/>
      <c r="DJ1497" s="29"/>
      <c r="DK1497" s="29"/>
      <c r="DL1497" s="29"/>
      <c r="DM1497" s="29"/>
      <c r="DN1497" s="29"/>
      <c r="DO1497" s="29"/>
      <c r="DP1497" s="29"/>
      <c r="DQ1497" s="29"/>
      <c r="DR1497" s="29"/>
      <c r="DS1497" s="29"/>
      <c r="DT1497" s="29"/>
      <c r="DU1497" s="29"/>
      <c r="DV1497" s="29"/>
      <c r="DW1497" s="29"/>
      <c r="DX1497" s="29"/>
      <c r="DY1497" s="29"/>
      <c r="DZ1497" s="29"/>
      <c r="EA1497" s="29"/>
      <c r="EB1497" s="29"/>
      <c r="EC1497" s="29"/>
      <c r="ED1497" s="29"/>
      <c r="EE1497" s="29"/>
      <c r="EF1497" s="29"/>
      <c r="EG1497" s="29"/>
      <c r="EH1497" s="29"/>
      <c r="EI1497" s="29"/>
      <c r="EJ1497" s="29"/>
      <c r="EK1497" s="29"/>
      <c r="EL1497" s="29"/>
      <c r="EM1497" s="29"/>
      <c r="EN1497" s="29"/>
      <c r="EO1497" s="29"/>
      <c r="EP1497" s="29"/>
      <c r="EQ1497" s="29"/>
      <c r="ER1497" s="29"/>
      <c r="ES1497" s="29"/>
      <c r="ET1497" s="29"/>
      <c r="EU1497" s="29"/>
      <c r="EV1497" s="29"/>
      <c r="EW1497" s="29"/>
      <c r="EX1497" s="29"/>
      <c r="EY1497" s="29"/>
      <c r="EZ1497" s="29"/>
      <c r="FA1497" s="29"/>
      <c r="FB1497" s="29"/>
      <c r="FC1497" s="29"/>
      <c r="FD1497" s="29"/>
      <c r="FE1497" s="29"/>
      <c r="FF1497" s="29"/>
      <c r="FG1497" s="29"/>
      <c r="FH1497" s="29"/>
      <c r="FI1497" s="29"/>
      <c r="FJ1497" s="29"/>
      <c r="FK1497" s="29"/>
      <c r="FL1497" s="29"/>
      <c r="FM1497" s="29"/>
      <c r="FN1497" s="29"/>
      <c r="FO1497" s="29"/>
      <c r="FP1497" s="29"/>
      <c r="FQ1497" s="29"/>
      <c r="FR1497" s="29"/>
      <c r="FS1497" s="29"/>
      <c r="FT1497" s="29"/>
      <c r="FU1497" s="29"/>
      <c r="FV1497" s="29"/>
      <c r="FW1497" s="29"/>
      <c r="FX1497" s="29"/>
      <c r="FY1497" s="29"/>
      <c r="FZ1497" s="29"/>
      <c r="GA1497" s="29"/>
      <c r="GB1497" s="29"/>
      <c r="GC1497" s="29"/>
      <c r="GD1497" s="29"/>
      <c r="GE1497" s="29"/>
      <c r="GF1497" s="29"/>
      <c r="GG1497" s="29"/>
      <c r="GH1497" s="29"/>
      <c r="GI1497" s="29"/>
      <c r="GJ1497" s="29"/>
      <c r="GK1497" s="29"/>
      <c r="GL1497" s="29"/>
      <c r="GM1497" s="29"/>
      <c r="GN1497" s="29"/>
      <c r="GO1497" s="29"/>
      <c r="GP1497" s="29"/>
      <c r="GQ1497" s="29"/>
      <c r="GR1497" s="29"/>
      <c r="GS1497" s="29"/>
      <c r="GT1497" s="29"/>
      <c r="GU1497" s="29"/>
      <c r="GV1497" s="29"/>
      <c r="GW1497" s="29"/>
      <c r="GX1497" s="29"/>
      <c r="GY1497" s="29"/>
      <c r="GZ1497" s="29"/>
      <c r="HA1497" s="29"/>
      <c r="HB1497" s="29"/>
      <c r="HC1497" s="29"/>
      <c r="HD1497" s="29"/>
      <c r="HE1497" s="29"/>
      <c r="HF1497" s="29"/>
      <c r="HG1497" s="29"/>
      <c r="HH1497" s="29"/>
      <c r="HI1497" s="29"/>
      <c r="HJ1497" s="29"/>
      <c r="HK1497" s="29"/>
      <c r="HL1497" s="29"/>
      <c r="HM1497" s="29"/>
      <c r="HN1497" s="29"/>
      <c r="HO1497" s="29"/>
      <c r="HP1497" s="29"/>
      <c r="HQ1497" s="29"/>
      <c r="HR1497" s="29"/>
      <c r="HS1497" s="29"/>
      <c r="HT1497" s="29"/>
      <c r="HU1497" s="29"/>
      <c r="HV1497" s="29"/>
      <c r="HW1497" s="29"/>
      <c r="HX1497" s="29"/>
      <c r="HY1497" s="29"/>
      <c r="HZ1497" s="29"/>
      <c r="IA1497" s="29"/>
      <c r="IB1497" s="29"/>
      <c r="IC1497" s="29"/>
      <c r="ID1497" s="29"/>
      <c r="IE1497" s="29"/>
      <c r="IF1497" s="29"/>
      <c r="IG1497" s="29"/>
      <c r="IH1497" s="29"/>
      <c r="II1497" s="29"/>
      <c r="IJ1497" s="29"/>
      <c r="IK1497" s="29"/>
      <c r="IL1497" s="29"/>
      <c r="IM1497" s="29"/>
      <c r="IN1497" s="29"/>
      <c r="IO1497" s="29"/>
      <c r="IP1497" s="29"/>
      <c r="IQ1497" s="29"/>
      <c r="IR1497" s="29"/>
      <c r="IS1497" s="29"/>
      <c r="IT1497" s="29"/>
      <c r="IU1497" s="29"/>
      <c r="IV1497" s="29"/>
      <c r="IW1497" s="29"/>
      <c r="IX1497" s="29"/>
      <c r="IY1497" s="29"/>
      <c r="IZ1497" s="29"/>
      <c r="JA1497" s="29"/>
      <c r="JB1497" s="29"/>
      <c r="JC1497" s="29"/>
      <c r="JD1497" s="29"/>
      <c r="JE1497" s="29"/>
      <c r="JF1497" s="29"/>
      <c r="JG1497" s="29"/>
      <c r="JH1497" s="29"/>
      <c r="JI1497" s="29"/>
      <c r="JJ1497" s="29"/>
      <c r="JK1497" s="29"/>
      <c r="JL1497" s="29"/>
      <c r="JM1497" s="29"/>
      <c r="JN1497" s="29"/>
      <c r="JO1497" s="29"/>
      <c r="JP1497" s="29"/>
      <c r="JQ1497" s="29"/>
      <c r="JR1497" s="29"/>
      <c r="JS1497" s="29"/>
      <c r="JT1497" s="29"/>
      <c r="JU1497" s="29"/>
      <c r="JV1497" s="29"/>
      <c r="JW1497" s="29"/>
      <c r="JX1497" s="29"/>
      <c r="JY1497" s="29"/>
      <c r="JZ1497" s="29"/>
      <c r="KA1497" s="29"/>
      <c r="KB1497" s="29"/>
      <c r="KC1497" s="29"/>
      <c r="KD1497" s="29"/>
      <c r="KE1497" s="29"/>
      <c r="KF1497" s="29"/>
      <c r="KG1497" s="29"/>
      <c r="KH1497" s="29"/>
      <c r="KI1497" s="29"/>
      <c r="KJ1497" s="29"/>
      <c r="KK1497" s="29"/>
      <c r="KL1497" s="29"/>
      <c r="KM1497" s="29"/>
      <c r="KN1497" s="29"/>
      <c r="KO1497" s="29"/>
      <c r="KP1497" s="29"/>
      <c r="KQ1497" s="29"/>
      <c r="KR1497" s="29"/>
      <c r="KS1497" s="29"/>
      <c r="KT1497" s="29"/>
      <c r="KU1497" s="29"/>
      <c r="KV1497" s="29"/>
      <c r="KW1497" s="29"/>
      <c r="KX1497" s="29"/>
      <c r="KY1497" s="29"/>
      <c r="KZ1497" s="29"/>
      <c r="LA1497" s="29"/>
      <c r="LB1497" s="29"/>
      <c r="LC1497" s="29"/>
      <c r="LD1497" s="29"/>
      <c r="LE1497" s="29"/>
      <c r="LF1497" s="29"/>
      <c r="LG1497" s="29"/>
      <c r="LH1497" s="29"/>
      <c r="LI1497" s="29"/>
      <c r="LJ1497" s="29"/>
      <c r="LK1497" s="29"/>
      <c r="LL1497" s="29"/>
      <c r="LM1497" s="29"/>
      <c r="LN1497" s="29"/>
      <c r="LO1497" s="29"/>
      <c r="LP1497" s="29"/>
      <c r="LQ1497" s="29"/>
      <c r="LR1497" s="29"/>
      <c r="LS1497" s="29"/>
      <c r="LT1497" s="29"/>
      <c r="LU1497" s="29"/>
      <c r="LV1497" s="29"/>
      <c r="LW1497" s="29"/>
      <c r="LX1497" s="29"/>
      <c r="LY1497" s="29"/>
      <c r="LZ1497" s="29"/>
      <c r="MA1497" s="29"/>
      <c r="MB1497" s="29"/>
      <c r="MC1497" s="29"/>
      <c r="MD1497" s="29"/>
      <c r="ME1497" s="29"/>
      <c r="MF1497" s="29"/>
      <c r="MG1497" s="29"/>
      <c r="MH1497" s="29"/>
      <c r="MI1497" s="29"/>
      <c r="MJ1497" s="29"/>
      <c r="MK1497" s="29"/>
      <c r="ML1497" s="29"/>
      <c r="MM1497" s="29"/>
      <c r="MN1497" s="29"/>
      <c r="MO1497" s="29"/>
      <c r="MP1497" s="29"/>
      <c r="MQ1497" s="29"/>
      <c r="MR1497" s="29"/>
      <c r="MS1497" s="29"/>
      <c r="MT1497" s="29"/>
      <c r="MU1497" s="29"/>
      <c r="MV1497" s="29"/>
      <c r="MW1497" s="29"/>
      <c r="MX1497" s="29"/>
      <c r="MY1497" s="29"/>
      <c r="MZ1497" s="29"/>
      <c r="NA1497" s="29"/>
      <c r="NB1497" s="29"/>
      <c r="NC1497" s="29"/>
      <c r="ND1497" s="29"/>
      <c r="NE1497" s="29"/>
      <c r="NF1497" s="29"/>
      <c r="NG1497" s="29"/>
      <c r="NH1497" s="29"/>
      <c r="NI1497" s="29"/>
      <c r="NJ1497" s="29"/>
      <c r="NK1497" s="29"/>
      <c r="NL1497" s="29"/>
      <c r="NM1497" s="29"/>
      <c r="NN1497" s="29"/>
      <c r="NO1497" s="29"/>
      <c r="NP1497" s="29"/>
      <c r="NQ1497" s="29"/>
      <c r="NR1497" s="29"/>
      <c r="NS1497" s="29"/>
      <c r="NT1497" s="29"/>
      <c r="NU1497" s="29"/>
      <c r="NV1497" s="29"/>
      <c r="NW1497" s="29"/>
      <c r="NX1497" s="29"/>
      <c r="NY1497" s="29"/>
      <c r="NZ1497" s="29"/>
      <c r="OA1497" s="29"/>
      <c r="OB1497" s="29"/>
      <c r="OC1497" s="29"/>
      <c r="OD1497" s="29"/>
      <c r="OE1497" s="29"/>
      <c r="OF1497" s="29"/>
      <c r="OG1497" s="29"/>
      <c r="OH1497" s="29"/>
      <c r="OI1497" s="29"/>
      <c r="OJ1497" s="29"/>
      <c r="OK1497" s="29"/>
      <c r="OL1497" s="29"/>
      <c r="OM1497" s="29"/>
      <c r="ON1497" s="29"/>
      <c r="OO1497" s="29"/>
      <c r="OP1497" s="29"/>
      <c r="OQ1497" s="29"/>
      <c r="OR1497" s="29"/>
      <c r="OS1497" s="29"/>
      <c r="OT1497" s="29"/>
      <c r="OU1497" s="29"/>
      <c r="OV1497" s="29"/>
      <c r="OW1497" s="29"/>
      <c r="OX1497" s="29"/>
      <c r="OY1497" s="29"/>
      <c r="OZ1497" s="29"/>
      <c r="PA1497" s="29"/>
      <c r="PB1497" s="29"/>
      <c r="PC1497" s="29"/>
      <c r="PD1497" s="29"/>
      <c r="PE1497" s="29"/>
      <c r="PF1497" s="29"/>
      <c r="PG1497" s="29"/>
      <c r="PH1497" s="29"/>
      <c r="PI1497" s="29"/>
      <c r="PJ1497" s="29"/>
      <c r="PK1497" s="29"/>
      <c r="PL1497" s="29"/>
      <c r="PM1497" s="29"/>
      <c r="PN1497" s="29"/>
      <c r="PO1497" s="29"/>
      <c r="PP1497" s="29"/>
      <c r="PQ1497" s="29"/>
      <c r="PR1497" s="29"/>
      <c r="PS1497" s="29"/>
      <c r="PT1497" s="29"/>
      <c r="PU1497" s="29"/>
      <c r="PV1497" s="29"/>
      <c r="PW1497" s="29"/>
      <c r="PX1497" s="29"/>
      <c r="PY1497" s="29"/>
      <c r="PZ1497" s="29"/>
      <c r="QA1497" s="29"/>
      <c r="QB1497" s="29"/>
      <c r="QC1497" s="29"/>
      <c r="QD1497" s="29"/>
      <c r="QE1497" s="29"/>
      <c r="QF1497" s="29"/>
      <c r="QG1497" s="29"/>
      <c r="QH1497" s="29"/>
      <c r="QI1497" s="29"/>
      <c r="QJ1497" s="29"/>
      <c r="QK1497" s="29"/>
      <c r="QL1497" s="29"/>
      <c r="QM1497" s="29"/>
      <c r="QN1497" s="29"/>
      <c r="QO1497" s="29"/>
      <c r="QP1497" s="29"/>
      <c r="QQ1497" s="29"/>
      <c r="QR1497" s="29"/>
      <c r="QS1497" s="29"/>
      <c r="QT1497" s="29"/>
      <c r="QU1497" s="29"/>
      <c r="QV1497" s="29"/>
      <c r="QW1497" s="29"/>
      <c r="QX1497" s="29"/>
      <c r="QY1497" s="29"/>
      <c r="QZ1497" s="29"/>
      <c r="RA1497" s="29"/>
      <c r="RB1497" s="29"/>
      <c r="RC1497" s="29"/>
      <c r="RD1497" s="29"/>
      <c r="RE1497" s="29"/>
      <c r="RF1497" s="29"/>
      <c r="RG1497" s="29"/>
      <c r="RH1497" s="29"/>
      <c r="RI1497" s="29"/>
      <c r="RJ1497" s="29"/>
      <c r="RK1497" s="29"/>
      <c r="RL1497" s="29"/>
      <c r="RM1497" s="29"/>
      <c r="RN1497" s="29"/>
      <c r="RO1497" s="29"/>
      <c r="RP1497" s="29"/>
      <c r="RQ1497" s="29"/>
      <c r="RR1497" s="29"/>
      <c r="RS1497" s="29"/>
      <c r="RT1497" s="29"/>
      <c r="RU1497" s="29"/>
      <c r="RV1497" s="29"/>
      <c r="RW1497" s="29"/>
      <c r="RX1497" s="29"/>
      <c r="RY1497" s="29"/>
      <c r="RZ1497" s="29"/>
      <c r="SA1497" s="29"/>
      <c r="SB1497" s="29"/>
      <c r="SC1497" s="29"/>
      <c r="SD1497" s="29"/>
      <c r="SE1497" s="29"/>
      <c r="SF1497" s="29"/>
      <c r="SG1497" s="29"/>
      <c r="SH1497" s="29"/>
      <c r="SI1497" s="29"/>
      <c r="SJ1497" s="29"/>
      <c r="SK1497" s="29"/>
      <c r="SL1497" s="29"/>
      <c r="SM1497" s="29"/>
      <c r="SN1497" s="29"/>
      <c r="SO1497" s="29"/>
      <c r="SP1497" s="29"/>
      <c r="SQ1497" s="29"/>
      <c r="SR1497" s="29"/>
      <c r="SS1497" s="29"/>
      <c r="ST1497" s="29"/>
      <c r="SU1497" s="29"/>
      <c r="SV1497" s="29"/>
      <c r="SW1497" s="29"/>
      <c r="SX1497" s="29"/>
      <c r="SY1497" s="29"/>
      <c r="SZ1497" s="29"/>
      <c r="TA1497" s="29"/>
      <c r="TB1497" s="29"/>
      <c r="TC1497" s="29"/>
      <c r="TD1497" s="29"/>
      <c r="TE1497" s="29"/>
      <c r="TF1497" s="29"/>
      <c r="TG1497" s="29"/>
      <c r="TH1497" s="29"/>
      <c r="TI1497" s="29"/>
      <c r="TJ1497" s="29"/>
      <c r="TK1497" s="29"/>
      <c r="TL1497" s="29"/>
      <c r="TM1497" s="29"/>
      <c r="TN1497" s="29"/>
      <c r="TO1497" s="29"/>
      <c r="TP1497" s="29"/>
      <c r="TQ1497" s="29"/>
      <c r="TR1497" s="29"/>
      <c r="TS1497" s="29"/>
      <c r="TT1497" s="29"/>
      <c r="TU1497" s="29"/>
      <c r="TV1497" s="29"/>
      <c r="TW1497" s="29"/>
      <c r="TX1497" s="29"/>
      <c r="TY1497" s="29"/>
      <c r="TZ1497" s="29"/>
      <c r="UA1497" s="29"/>
      <c r="UB1497" s="29"/>
      <c r="UC1497" s="29"/>
      <c r="UD1497" s="29"/>
      <c r="UE1497" s="29"/>
      <c r="UF1497" s="29"/>
      <c r="UG1497" s="29"/>
    </row>
    <row r="1498" spans="1:553" ht="45.75" customHeight="1">
      <c r="A1498" s="356" t="s">
        <v>15</v>
      </c>
      <c r="B1498" s="356"/>
      <c r="C1498" s="384" t="str">
        <f t="shared" si="224"/>
        <v>Đất chuyên trồng lúa nước (LUC)</v>
      </c>
      <c r="D1498" s="376" t="str">
        <f t="shared" si="224"/>
        <v>1</v>
      </c>
      <c r="E1498" s="376" t="str">
        <f t="shared" si="224"/>
        <v>377</v>
      </c>
      <c r="F1498" s="385"/>
      <c r="G1498" s="386" t="s">
        <v>935</v>
      </c>
      <c r="H1498" s="441"/>
      <c r="I1498" s="422">
        <v>401</v>
      </c>
      <c r="J1498" s="368">
        <v>72000</v>
      </c>
      <c r="K1498" s="388">
        <v>3</v>
      </c>
      <c r="L1498" s="480">
        <f t="shared" si="225"/>
        <v>86616000</v>
      </c>
      <c r="M1498" s="366"/>
      <c r="N1498" s="366"/>
      <c r="O1498" s="366"/>
      <c r="P1498" s="366"/>
      <c r="Q1498" s="813"/>
      <c r="R1498" s="1447"/>
      <c r="S1498" s="308"/>
      <c r="T1498" s="308"/>
      <c r="U1498" s="308"/>
      <c r="V1498" s="308"/>
      <c r="W1498" s="308"/>
      <c r="X1498" s="308"/>
      <c r="Y1498" s="308"/>
      <c r="Z1498" s="604"/>
      <c r="AA1498" s="308"/>
      <c r="AB1498" s="308"/>
      <c r="AC1498" s="486"/>
      <c r="AD1498" s="486"/>
      <c r="AE1498" s="486"/>
      <c r="AF1498" s="486"/>
      <c r="AG1498" s="486"/>
      <c r="AH1498" s="486"/>
      <c r="AI1498" s="486"/>
      <c r="AJ1498" s="486"/>
      <c r="AK1498" s="486"/>
      <c r="AL1498" s="206"/>
      <c r="AM1498" s="29"/>
      <c r="AN1498" s="29"/>
      <c r="AO1498" s="29"/>
      <c r="AP1498" s="29"/>
      <c r="AQ1498" s="29"/>
      <c r="AR1498" s="29"/>
      <c r="AS1498" s="29"/>
      <c r="AT1498" s="29"/>
      <c r="AU1498" s="29"/>
      <c r="AV1498" s="29"/>
      <c r="AW1498" s="29"/>
      <c r="AX1498" s="29"/>
      <c r="AY1498" s="29"/>
      <c r="AZ1498" s="29"/>
      <c r="BA1498" s="29"/>
      <c r="BB1498" s="29"/>
      <c r="BC1498" s="29"/>
      <c r="BD1498" s="29"/>
      <c r="BE1498" s="29"/>
      <c r="BF1498" s="29"/>
      <c r="BG1498" s="29"/>
      <c r="BH1498" s="29"/>
      <c r="BI1498" s="29"/>
      <c r="BJ1498" s="29"/>
      <c r="BK1498" s="29"/>
      <c r="BL1498" s="29"/>
      <c r="BM1498" s="29"/>
      <c r="BN1498" s="29"/>
      <c r="BO1498" s="29"/>
      <c r="BP1498" s="29"/>
      <c r="BQ1498" s="29"/>
      <c r="BR1498" s="29"/>
      <c r="BS1498" s="29"/>
      <c r="BT1498" s="29"/>
      <c r="BU1498" s="29"/>
      <c r="BV1498" s="29"/>
      <c r="BW1498" s="29"/>
      <c r="BX1498" s="29"/>
      <c r="BY1498" s="29"/>
      <c r="BZ1498" s="29"/>
      <c r="CA1498" s="29"/>
      <c r="CB1498" s="29"/>
      <c r="CC1498" s="29"/>
      <c r="CD1498" s="29"/>
      <c r="CE1498" s="29"/>
      <c r="CF1498" s="29"/>
      <c r="CG1498" s="29"/>
      <c r="CH1498" s="29"/>
      <c r="CI1498" s="29"/>
      <c r="CJ1498" s="29"/>
      <c r="CK1498" s="29"/>
      <c r="CL1498" s="29"/>
      <c r="CM1498" s="29"/>
      <c r="CN1498" s="29"/>
      <c r="CO1498" s="29"/>
      <c r="CP1498" s="29"/>
      <c r="CQ1498" s="29"/>
      <c r="CR1498" s="29"/>
      <c r="CS1498" s="29"/>
      <c r="CT1498" s="29"/>
      <c r="CU1498" s="29"/>
      <c r="CV1498" s="29"/>
      <c r="CW1498" s="29"/>
      <c r="CX1498" s="29"/>
      <c r="CY1498" s="29"/>
      <c r="CZ1498" s="29"/>
      <c r="DA1498" s="29"/>
      <c r="DB1498" s="29"/>
      <c r="DC1498" s="29"/>
      <c r="DD1498" s="29"/>
      <c r="DE1498" s="29"/>
      <c r="DF1498" s="29"/>
      <c r="DG1498" s="29"/>
      <c r="DH1498" s="29"/>
      <c r="DI1498" s="29"/>
      <c r="DJ1498" s="29"/>
      <c r="DK1498" s="29"/>
      <c r="DL1498" s="29"/>
      <c r="DM1498" s="29"/>
      <c r="DN1498" s="29"/>
      <c r="DO1498" s="29"/>
      <c r="DP1498" s="29"/>
      <c r="DQ1498" s="29"/>
      <c r="DR1498" s="29"/>
      <c r="DS1498" s="29"/>
      <c r="DT1498" s="29"/>
      <c r="DU1498" s="29"/>
      <c r="DV1498" s="29"/>
      <c r="DW1498" s="29"/>
      <c r="DX1498" s="29"/>
      <c r="DY1498" s="29"/>
      <c r="DZ1498" s="29"/>
      <c r="EA1498" s="29"/>
      <c r="EB1498" s="29"/>
      <c r="EC1498" s="29"/>
      <c r="ED1498" s="29"/>
      <c r="EE1498" s="29"/>
      <c r="EF1498" s="29"/>
      <c r="EG1498" s="29"/>
      <c r="EH1498" s="29"/>
      <c r="EI1498" s="29"/>
      <c r="EJ1498" s="29"/>
      <c r="EK1498" s="29"/>
      <c r="EL1498" s="29"/>
      <c r="EM1498" s="29"/>
      <c r="EN1498" s="29"/>
      <c r="EO1498" s="29"/>
      <c r="EP1498" s="29"/>
      <c r="EQ1498" s="29"/>
      <c r="ER1498" s="29"/>
      <c r="ES1498" s="29"/>
      <c r="ET1498" s="29"/>
      <c r="EU1498" s="29"/>
      <c r="EV1498" s="29"/>
      <c r="EW1498" s="29"/>
      <c r="EX1498" s="29"/>
      <c r="EY1498" s="29"/>
      <c r="EZ1498" s="29"/>
      <c r="FA1498" s="29"/>
      <c r="FB1498" s="29"/>
      <c r="FC1498" s="29"/>
      <c r="FD1498" s="29"/>
      <c r="FE1498" s="29"/>
      <c r="FF1498" s="29"/>
      <c r="FG1498" s="29"/>
      <c r="FH1498" s="29"/>
      <c r="FI1498" s="29"/>
      <c r="FJ1498" s="29"/>
      <c r="FK1498" s="29"/>
      <c r="FL1498" s="29"/>
      <c r="FM1498" s="29"/>
      <c r="FN1498" s="29"/>
      <c r="FO1498" s="29"/>
      <c r="FP1498" s="29"/>
      <c r="FQ1498" s="29"/>
      <c r="FR1498" s="29"/>
      <c r="FS1498" s="29"/>
      <c r="FT1498" s="29"/>
      <c r="FU1498" s="29"/>
      <c r="FV1498" s="29"/>
      <c r="FW1498" s="29"/>
      <c r="FX1498" s="29"/>
      <c r="FY1498" s="29"/>
      <c r="FZ1498" s="29"/>
      <c r="GA1498" s="29"/>
      <c r="GB1498" s="29"/>
      <c r="GC1498" s="29"/>
      <c r="GD1498" s="29"/>
      <c r="GE1498" s="29"/>
      <c r="GF1498" s="29"/>
      <c r="GG1498" s="29"/>
      <c r="GH1498" s="29"/>
      <c r="GI1498" s="29"/>
      <c r="GJ1498" s="29"/>
      <c r="GK1498" s="29"/>
      <c r="GL1498" s="29"/>
      <c r="GM1498" s="29"/>
      <c r="GN1498" s="29"/>
      <c r="GO1498" s="29"/>
      <c r="GP1498" s="29"/>
      <c r="GQ1498" s="29"/>
      <c r="GR1498" s="29"/>
      <c r="GS1498" s="29"/>
      <c r="GT1498" s="29"/>
      <c r="GU1498" s="29"/>
      <c r="GV1498" s="29"/>
      <c r="GW1498" s="29"/>
      <c r="GX1498" s="29"/>
      <c r="GY1498" s="29"/>
      <c r="GZ1498" s="29"/>
      <c r="HA1498" s="29"/>
      <c r="HB1498" s="29"/>
      <c r="HC1498" s="29"/>
      <c r="HD1498" s="29"/>
      <c r="HE1498" s="29"/>
      <c r="HF1498" s="29"/>
      <c r="HG1498" s="29"/>
      <c r="HH1498" s="29"/>
      <c r="HI1498" s="29"/>
      <c r="HJ1498" s="29"/>
      <c r="HK1498" s="29"/>
      <c r="HL1498" s="29"/>
      <c r="HM1498" s="29"/>
      <c r="HN1498" s="29"/>
      <c r="HO1498" s="29"/>
      <c r="HP1498" s="29"/>
      <c r="HQ1498" s="29"/>
      <c r="HR1498" s="29"/>
      <c r="HS1498" s="29"/>
      <c r="HT1498" s="29"/>
      <c r="HU1498" s="29"/>
      <c r="HV1498" s="29"/>
      <c r="HW1498" s="29"/>
      <c r="HX1498" s="29"/>
      <c r="HY1498" s="29"/>
      <c r="HZ1498" s="29"/>
      <c r="IA1498" s="29"/>
      <c r="IB1498" s="29"/>
      <c r="IC1498" s="29"/>
      <c r="ID1498" s="29"/>
      <c r="IE1498" s="29"/>
      <c r="IF1498" s="29"/>
      <c r="IG1498" s="29"/>
      <c r="IH1498" s="29"/>
      <c r="II1498" s="29"/>
      <c r="IJ1498" s="29"/>
      <c r="IK1498" s="29"/>
      <c r="IL1498" s="29"/>
      <c r="IM1498" s="29"/>
      <c r="IN1498" s="29"/>
      <c r="IO1498" s="29"/>
      <c r="IP1498" s="29"/>
      <c r="IQ1498" s="29"/>
      <c r="IR1498" s="29"/>
      <c r="IS1498" s="29"/>
      <c r="IT1498" s="29"/>
      <c r="IU1498" s="29"/>
      <c r="IV1498" s="29"/>
      <c r="IW1498" s="29"/>
      <c r="IX1498" s="29"/>
      <c r="IY1498" s="29"/>
      <c r="IZ1498" s="29"/>
      <c r="JA1498" s="29"/>
      <c r="JB1498" s="29"/>
      <c r="JC1498" s="29"/>
      <c r="JD1498" s="29"/>
      <c r="JE1498" s="29"/>
      <c r="JF1498" s="29"/>
      <c r="JG1498" s="29"/>
      <c r="JH1498" s="29"/>
      <c r="JI1498" s="29"/>
      <c r="JJ1498" s="29"/>
      <c r="JK1498" s="29"/>
      <c r="JL1498" s="29"/>
      <c r="JM1498" s="29"/>
      <c r="JN1498" s="29"/>
      <c r="JO1498" s="29"/>
      <c r="JP1498" s="29"/>
      <c r="JQ1498" s="29"/>
      <c r="JR1498" s="29"/>
      <c r="JS1498" s="29"/>
      <c r="JT1498" s="29"/>
      <c r="JU1498" s="29"/>
      <c r="JV1498" s="29"/>
      <c r="JW1498" s="29"/>
      <c r="JX1498" s="29"/>
      <c r="JY1498" s="29"/>
      <c r="JZ1498" s="29"/>
      <c r="KA1498" s="29"/>
      <c r="KB1498" s="29"/>
      <c r="KC1498" s="29"/>
      <c r="KD1498" s="29"/>
      <c r="KE1498" s="29"/>
      <c r="KF1498" s="29"/>
      <c r="KG1498" s="29"/>
      <c r="KH1498" s="29"/>
      <c r="KI1498" s="29"/>
      <c r="KJ1498" s="29"/>
      <c r="KK1498" s="29"/>
      <c r="KL1498" s="29"/>
      <c r="KM1498" s="29"/>
      <c r="KN1498" s="29"/>
      <c r="KO1498" s="29"/>
      <c r="KP1498" s="29"/>
      <c r="KQ1498" s="29"/>
      <c r="KR1498" s="29"/>
      <c r="KS1498" s="29"/>
      <c r="KT1498" s="29"/>
      <c r="KU1498" s="29"/>
      <c r="KV1498" s="29"/>
      <c r="KW1498" s="29"/>
      <c r="KX1498" s="29"/>
      <c r="KY1498" s="29"/>
      <c r="KZ1498" s="29"/>
      <c r="LA1498" s="29"/>
      <c r="LB1498" s="29"/>
      <c r="LC1498" s="29"/>
      <c r="LD1498" s="29"/>
      <c r="LE1498" s="29"/>
      <c r="LF1498" s="29"/>
      <c r="LG1498" s="29"/>
      <c r="LH1498" s="29"/>
      <c r="LI1498" s="29"/>
      <c r="LJ1498" s="29"/>
      <c r="LK1498" s="29"/>
      <c r="LL1498" s="29"/>
      <c r="LM1498" s="29"/>
      <c r="LN1498" s="29"/>
      <c r="LO1498" s="29"/>
      <c r="LP1498" s="29"/>
      <c r="LQ1498" s="29"/>
      <c r="LR1498" s="29"/>
      <c r="LS1498" s="29"/>
      <c r="LT1498" s="29"/>
      <c r="LU1498" s="29"/>
      <c r="LV1498" s="29"/>
      <c r="LW1498" s="29"/>
      <c r="LX1498" s="29"/>
      <c r="LY1498" s="29"/>
      <c r="LZ1498" s="29"/>
      <c r="MA1498" s="29"/>
      <c r="MB1498" s="29"/>
      <c r="MC1498" s="29"/>
      <c r="MD1498" s="29"/>
      <c r="ME1498" s="29"/>
      <c r="MF1498" s="29"/>
      <c r="MG1498" s="29"/>
      <c r="MH1498" s="29"/>
      <c r="MI1498" s="29"/>
      <c r="MJ1498" s="29"/>
      <c r="MK1498" s="29"/>
      <c r="ML1498" s="29"/>
      <c r="MM1498" s="29"/>
      <c r="MN1498" s="29"/>
      <c r="MO1498" s="29"/>
      <c r="MP1498" s="29"/>
      <c r="MQ1498" s="29"/>
      <c r="MR1498" s="29"/>
      <c r="MS1498" s="29"/>
      <c r="MT1498" s="29"/>
      <c r="MU1498" s="29"/>
      <c r="MV1498" s="29"/>
      <c r="MW1498" s="29"/>
      <c r="MX1498" s="29"/>
      <c r="MY1498" s="29"/>
      <c r="MZ1498" s="29"/>
      <c r="NA1498" s="29"/>
      <c r="NB1498" s="29"/>
      <c r="NC1498" s="29"/>
      <c r="ND1498" s="29"/>
      <c r="NE1498" s="29"/>
      <c r="NF1498" s="29"/>
      <c r="NG1498" s="29"/>
      <c r="NH1498" s="29"/>
      <c r="NI1498" s="29"/>
      <c r="NJ1498" s="29"/>
      <c r="NK1498" s="29"/>
      <c r="NL1498" s="29"/>
      <c r="NM1498" s="29"/>
      <c r="NN1498" s="29"/>
      <c r="NO1498" s="29"/>
      <c r="NP1498" s="29"/>
      <c r="NQ1498" s="29"/>
      <c r="NR1498" s="29"/>
      <c r="NS1498" s="29"/>
      <c r="NT1498" s="29"/>
      <c r="NU1498" s="29"/>
      <c r="NV1498" s="29"/>
      <c r="NW1498" s="29"/>
      <c r="NX1498" s="29"/>
      <c r="NY1498" s="29"/>
      <c r="NZ1498" s="29"/>
      <c r="OA1498" s="29"/>
      <c r="OB1498" s="29"/>
      <c r="OC1498" s="29"/>
      <c r="OD1498" s="29"/>
      <c r="OE1498" s="29"/>
      <c r="OF1498" s="29"/>
      <c r="OG1498" s="29"/>
      <c r="OH1498" s="29"/>
      <c r="OI1498" s="29"/>
      <c r="OJ1498" s="29"/>
      <c r="OK1498" s="29"/>
      <c r="OL1498" s="29"/>
      <c r="OM1498" s="29"/>
      <c r="ON1498" s="29"/>
      <c r="OO1498" s="29"/>
      <c r="OP1498" s="29"/>
      <c r="OQ1498" s="29"/>
      <c r="OR1498" s="29"/>
      <c r="OS1498" s="29"/>
      <c r="OT1498" s="29"/>
      <c r="OU1498" s="29"/>
      <c r="OV1498" s="29"/>
      <c r="OW1498" s="29"/>
      <c r="OX1498" s="29"/>
      <c r="OY1498" s="29"/>
      <c r="OZ1498" s="29"/>
      <c r="PA1498" s="29"/>
      <c r="PB1498" s="29"/>
      <c r="PC1498" s="29"/>
      <c r="PD1498" s="29"/>
      <c r="PE1498" s="29"/>
      <c r="PF1498" s="29"/>
      <c r="PG1498" s="29"/>
      <c r="PH1498" s="29"/>
      <c r="PI1498" s="29"/>
      <c r="PJ1498" s="29"/>
      <c r="PK1498" s="29"/>
      <c r="PL1498" s="29"/>
      <c r="PM1498" s="29"/>
      <c r="PN1498" s="29"/>
      <c r="PO1498" s="29"/>
      <c r="PP1498" s="29"/>
      <c r="PQ1498" s="29"/>
      <c r="PR1498" s="29"/>
      <c r="PS1498" s="29"/>
      <c r="PT1498" s="29"/>
      <c r="PU1498" s="29"/>
      <c r="PV1498" s="29"/>
      <c r="PW1498" s="29"/>
      <c r="PX1498" s="29"/>
      <c r="PY1498" s="29"/>
      <c r="PZ1498" s="29"/>
      <c r="QA1498" s="29"/>
      <c r="QB1498" s="29"/>
      <c r="QC1498" s="29"/>
      <c r="QD1498" s="29"/>
      <c r="QE1498" s="29"/>
      <c r="QF1498" s="29"/>
      <c r="QG1498" s="29"/>
      <c r="QH1498" s="29"/>
      <c r="QI1498" s="29"/>
      <c r="QJ1498" s="29"/>
      <c r="QK1498" s="29"/>
      <c r="QL1498" s="29"/>
      <c r="QM1498" s="29"/>
      <c r="QN1498" s="29"/>
      <c r="QO1498" s="29"/>
      <c r="QP1498" s="29"/>
      <c r="QQ1498" s="29"/>
      <c r="QR1498" s="29"/>
      <c r="QS1498" s="29"/>
      <c r="QT1498" s="29"/>
      <c r="QU1498" s="29"/>
      <c r="QV1498" s="29"/>
      <c r="QW1498" s="29"/>
      <c r="QX1498" s="29"/>
      <c r="QY1498" s="29"/>
      <c r="QZ1498" s="29"/>
      <c r="RA1498" s="29"/>
      <c r="RB1498" s="29"/>
      <c r="RC1498" s="29"/>
      <c r="RD1498" s="29"/>
      <c r="RE1498" s="29"/>
      <c r="RF1498" s="29"/>
      <c r="RG1498" s="29"/>
      <c r="RH1498" s="29"/>
      <c r="RI1498" s="29"/>
      <c r="RJ1498" s="29"/>
      <c r="RK1498" s="29"/>
      <c r="RL1498" s="29"/>
      <c r="RM1498" s="29"/>
      <c r="RN1498" s="29"/>
      <c r="RO1498" s="29"/>
      <c r="RP1498" s="29"/>
      <c r="RQ1498" s="29"/>
      <c r="RR1498" s="29"/>
      <c r="RS1498" s="29"/>
      <c r="RT1498" s="29"/>
      <c r="RU1498" s="29"/>
      <c r="RV1498" s="29"/>
      <c r="RW1498" s="29"/>
      <c r="RX1498" s="29"/>
      <c r="RY1498" s="29"/>
      <c r="RZ1498" s="29"/>
      <c r="SA1498" s="29"/>
      <c r="SB1498" s="29"/>
      <c r="SC1498" s="29"/>
      <c r="SD1498" s="29"/>
      <c r="SE1498" s="29"/>
      <c r="SF1498" s="29"/>
      <c r="SG1498" s="29"/>
      <c r="SH1498" s="29"/>
      <c r="SI1498" s="29"/>
      <c r="SJ1498" s="29"/>
      <c r="SK1498" s="29"/>
      <c r="SL1498" s="29"/>
      <c r="SM1498" s="29"/>
      <c r="SN1498" s="29"/>
      <c r="SO1498" s="29"/>
      <c r="SP1498" s="29"/>
      <c r="SQ1498" s="29"/>
      <c r="SR1498" s="29"/>
      <c r="SS1498" s="29"/>
      <c r="ST1498" s="29"/>
      <c r="SU1498" s="29"/>
      <c r="SV1498" s="29"/>
      <c r="SW1498" s="29"/>
      <c r="SX1498" s="29"/>
      <c r="SY1498" s="29"/>
      <c r="SZ1498" s="29"/>
      <c r="TA1498" s="29"/>
      <c r="TB1498" s="29"/>
      <c r="TC1498" s="29"/>
      <c r="TD1498" s="29"/>
      <c r="TE1498" s="29"/>
      <c r="TF1498" s="29"/>
      <c r="TG1498" s="29"/>
      <c r="TH1498" s="29"/>
      <c r="TI1498" s="29"/>
      <c r="TJ1498" s="29"/>
      <c r="TK1498" s="29"/>
      <c r="TL1498" s="29"/>
      <c r="TM1498" s="29"/>
      <c r="TN1498" s="29"/>
      <c r="TO1498" s="29"/>
      <c r="TP1498" s="29"/>
      <c r="TQ1498" s="29"/>
      <c r="TR1498" s="29"/>
      <c r="TS1498" s="29"/>
      <c r="TT1498" s="29"/>
      <c r="TU1498" s="29"/>
      <c r="TV1498" s="29"/>
      <c r="TW1498" s="29"/>
      <c r="TX1498" s="29"/>
      <c r="TY1498" s="29"/>
      <c r="TZ1498" s="29"/>
      <c r="UA1498" s="29"/>
      <c r="UB1498" s="29"/>
      <c r="UC1498" s="29"/>
      <c r="UD1498" s="29"/>
      <c r="UE1498" s="29"/>
      <c r="UF1498" s="29"/>
      <c r="UG1498" s="29"/>
    </row>
    <row r="1499" spans="1:553" ht="45.75" customHeight="1">
      <c r="A1499" s="356" t="s">
        <v>15</v>
      </c>
      <c r="B1499" s="356"/>
      <c r="C1499" s="384" t="str">
        <f t="shared" si="224"/>
        <v>Đất chuyên trồng lúa nước (LUC)</v>
      </c>
      <c r="D1499" s="376" t="str">
        <f t="shared" si="224"/>
        <v>1</v>
      </c>
      <c r="E1499" s="376" t="str">
        <f t="shared" si="224"/>
        <v>378</v>
      </c>
      <c r="F1499" s="385"/>
      <c r="G1499" s="386" t="s">
        <v>935</v>
      </c>
      <c r="H1499" s="441"/>
      <c r="I1499" s="422">
        <v>396</v>
      </c>
      <c r="J1499" s="368">
        <v>72000</v>
      </c>
      <c r="K1499" s="388">
        <v>3</v>
      </c>
      <c r="L1499" s="480">
        <f t="shared" si="225"/>
        <v>85536000</v>
      </c>
      <c r="M1499" s="366"/>
      <c r="N1499" s="366"/>
      <c r="O1499" s="366"/>
      <c r="P1499" s="366"/>
      <c r="Q1499" s="813"/>
      <c r="R1499" s="1447"/>
      <c r="S1499" s="308"/>
      <c r="T1499" s="308"/>
      <c r="U1499" s="308"/>
      <c r="V1499" s="308"/>
      <c r="W1499" s="308"/>
      <c r="X1499" s="308"/>
      <c r="Y1499" s="308"/>
      <c r="Z1499" s="604"/>
      <c r="AA1499" s="308"/>
      <c r="AB1499" s="308"/>
      <c r="AC1499" s="486"/>
      <c r="AD1499" s="486"/>
      <c r="AE1499" s="486"/>
      <c r="AF1499" s="486"/>
      <c r="AG1499" s="486"/>
      <c r="AH1499" s="486"/>
      <c r="AI1499" s="486"/>
      <c r="AJ1499" s="486"/>
      <c r="AK1499" s="486"/>
      <c r="AL1499" s="206"/>
      <c r="AM1499" s="29"/>
      <c r="AN1499" s="29"/>
      <c r="AO1499" s="29"/>
      <c r="AP1499" s="29"/>
      <c r="AQ1499" s="29"/>
      <c r="AR1499" s="29"/>
      <c r="AS1499" s="29"/>
      <c r="AT1499" s="29"/>
      <c r="AU1499" s="29"/>
      <c r="AV1499" s="29"/>
      <c r="AW1499" s="29"/>
      <c r="AX1499" s="29"/>
      <c r="AY1499" s="29"/>
      <c r="AZ1499" s="29"/>
      <c r="BA1499" s="29"/>
      <c r="BB1499" s="29"/>
      <c r="BC1499" s="29"/>
      <c r="BD1499" s="29"/>
      <c r="BE1499" s="29"/>
      <c r="BF1499" s="29"/>
      <c r="BG1499" s="29"/>
      <c r="BH1499" s="29"/>
      <c r="BI1499" s="29"/>
      <c r="BJ1499" s="29"/>
      <c r="BK1499" s="29"/>
      <c r="BL1499" s="29"/>
      <c r="BM1499" s="29"/>
      <c r="BN1499" s="29"/>
      <c r="BO1499" s="29"/>
      <c r="BP1499" s="29"/>
      <c r="BQ1499" s="29"/>
      <c r="BR1499" s="29"/>
      <c r="BS1499" s="29"/>
      <c r="BT1499" s="29"/>
      <c r="BU1499" s="29"/>
      <c r="BV1499" s="29"/>
      <c r="BW1499" s="29"/>
      <c r="BX1499" s="29"/>
      <c r="BY1499" s="29"/>
      <c r="BZ1499" s="29"/>
      <c r="CA1499" s="29"/>
      <c r="CB1499" s="29"/>
      <c r="CC1499" s="29"/>
      <c r="CD1499" s="29"/>
      <c r="CE1499" s="29"/>
      <c r="CF1499" s="29"/>
      <c r="CG1499" s="29"/>
      <c r="CH1499" s="29"/>
      <c r="CI1499" s="29"/>
      <c r="CJ1499" s="29"/>
      <c r="CK1499" s="29"/>
      <c r="CL1499" s="29"/>
      <c r="CM1499" s="29"/>
      <c r="CN1499" s="29"/>
      <c r="CO1499" s="29"/>
      <c r="CP1499" s="29"/>
      <c r="CQ1499" s="29"/>
      <c r="CR1499" s="29"/>
      <c r="CS1499" s="29"/>
      <c r="CT1499" s="29"/>
      <c r="CU1499" s="29"/>
      <c r="CV1499" s="29"/>
      <c r="CW1499" s="29"/>
      <c r="CX1499" s="29"/>
      <c r="CY1499" s="29"/>
      <c r="CZ1499" s="29"/>
      <c r="DA1499" s="29"/>
      <c r="DB1499" s="29"/>
      <c r="DC1499" s="29"/>
      <c r="DD1499" s="29"/>
      <c r="DE1499" s="29"/>
      <c r="DF1499" s="29"/>
      <c r="DG1499" s="29"/>
      <c r="DH1499" s="29"/>
      <c r="DI1499" s="29"/>
      <c r="DJ1499" s="29"/>
      <c r="DK1499" s="29"/>
      <c r="DL1499" s="29"/>
      <c r="DM1499" s="29"/>
      <c r="DN1499" s="29"/>
      <c r="DO1499" s="29"/>
      <c r="DP1499" s="29"/>
      <c r="DQ1499" s="29"/>
      <c r="DR1499" s="29"/>
      <c r="DS1499" s="29"/>
      <c r="DT1499" s="29"/>
      <c r="DU1499" s="29"/>
      <c r="DV1499" s="29"/>
      <c r="DW1499" s="29"/>
      <c r="DX1499" s="29"/>
      <c r="DY1499" s="29"/>
      <c r="DZ1499" s="29"/>
      <c r="EA1499" s="29"/>
      <c r="EB1499" s="29"/>
      <c r="EC1499" s="29"/>
      <c r="ED1499" s="29"/>
      <c r="EE1499" s="29"/>
      <c r="EF1499" s="29"/>
      <c r="EG1499" s="29"/>
      <c r="EH1499" s="29"/>
      <c r="EI1499" s="29"/>
      <c r="EJ1499" s="29"/>
      <c r="EK1499" s="29"/>
      <c r="EL1499" s="29"/>
      <c r="EM1499" s="29"/>
      <c r="EN1499" s="29"/>
      <c r="EO1499" s="29"/>
      <c r="EP1499" s="29"/>
      <c r="EQ1499" s="29"/>
      <c r="ER1499" s="29"/>
      <c r="ES1499" s="29"/>
      <c r="ET1499" s="29"/>
      <c r="EU1499" s="29"/>
      <c r="EV1499" s="29"/>
      <c r="EW1499" s="29"/>
      <c r="EX1499" s="29"/>
      <c r="EY1499" s="29"/>
      <c r="EZ1499" s="29"/>
      <c r="FA1499" s="29"/>
      <c r="FB1499" s="29"/>
      <c r="FC1499" s="29"/>
      <c r="FD1499" s="29"/>
      <c r="FE1499" s="29"/>
      <c r="FF1499" s="29"/>
      <c r="FG1499" s="29"/>
      <c r="FH1499" s="29"/>
      <c r="FI1499" s="29"/>
      <c r="FJ1499" s="29"/>
      <c r="FK1499" s="29"/>
      <c r="FL1499" s="29"/>
      <c r="FM1499" s="29"/>
      <c r="FN1499" s="29"/>
      <c r="FO1499" s="29"/>
      <c r="FP1499" s="29"/>
      <c r="FQ1499" s="29"/>
      <c r="FR1499" s="29"/>
      <c r="FS1499" s="29"/>
      <c r="FT1499" s="29"/>
      <c r="FU1499" s="29"/>
      <c r="FV1499" s="29"/>
      <c r="FW1499" s="29"/>
      <c r="FX1499" s="29"/>
      <c r="FY1499" s="29"/>
      <c r="FZ1499" s="29"/>
      <c r="GA1499" s="29"/>
      <c r="GB1499" s="29"/>
      <c r="GC1499" s="29"/>
      <c r="GD1499" s="29"/>
      <c r="GE1499" s="29"/>
      <c r="GF1499" s="29"/>
      <c r="GG1499" s="29"/>
      <c r="GH1499" s="29"/>
      <c r="GI1499" s="29"/>
      <c r="GJ1499" s="29"/>
      <c r="GK1499" s="29"/>
      <c r="GL1499" s="29"/>
      <c r="GM1499" s="29"/>
      <c r="GN1499" s="29"/>
      <c r="GO1499" s="29"/>
      <c r="GP1499" s="29"/>
      <c r="GQ1499" s="29"/>
      <c r="GR1499" s="29"/>
      <c r="GS1499" s="29"/>
      <c r="GT1499" s="29"/>
      <c r="GU1499" s="29"/>
      <c r="GV1499" s="29"/>
      <c r="GW1499" s="29"/>
      <c r="GX1499" s="29"/>
      <c r="GY1499" s="29"/>
      <c r="GZ1499" s="29"/>
      <c r="HA1499" s="29"/>
      <c r="HB1499" s="29"/>
      <c r="HC1499" s="29"/>
      <c r="HD1499" s="29"/>
      <c r="HE1499" s="29"/>
      <c r="HF1499" s="29"/>
      <c r="HG1499" s="29"/>
      <c r="HH1499" s="29"/>
      <c r="HI1499" s="29"/>
      <c r="HJ1499" s="29"/>
      <c r="HK1499" s="29"/>
      <c r="HL1499" s="29"/>
      <c r="HM1499" s="29"/>
      <c r="HN1499" s="29"/>
      <c r="HO1499" s="29"/>
      <c r="HP1499" s="29"/>
      <c r="HQ1499" s="29"/>
      <c r="HR1499" s="29"/>
      <c r="HS1499" s="29"/>
      <c r="HT1499" s="29"/>
      <c r="HU1499" s="29"/>
      <c r="HV1499" s="29"/>
      <c r="HW1499" s="29"/>
      <c r="HX1499" s="29"/>
      <c r="HY1499" s="29"/>
      <c r="HZ1499" s="29"/>
      <c r="IA1499" s="29"/>
      <c r="IB1499" s="29"/>
      <c r="IC1499" s="29"/>
      <c r="ID1499" s="29"/>
      <c r="IE1499" s="29"/>
      <c r="IF1499" s="29"/>
      <c r="IG1499" s="29"/>
      <c r="IH1499" s="29"/>
      <c r="II1499" s="29"/>
      <c r="IJ1499" s="29"/>
      <c r="IK1499" s="29"/>
      <c r="IL1499" s="29"/>
      <c r="IM1499" s="29"/>
      <c r="IN1499" s="29"/>
      <c r="IO1499" s="29"/>
      <c r="IP1499" s="29"/>
      <c r="IQ1499" s="29"/>
      <c r="IR1499" s="29"/>
      <c r="IS1499" s="29"/>
      <c r="IT1499" s="29"/>
      <c r="IU1499" s="29"/>
      <c r="IV1499" s="29"/>
      <c r="IW1499" s="29"/>
      <c r="IX1499" s="29"/>
      <c r="IY1499" s="29"/>
      <c r="IZ1499" s="29"/>
      <c r="JA1499" s="29"/>
      <c r="JB1499" s="29"/>
      <c r="JC1499" s="29"/>
      <c r="JD1499" s="29"/>
      <c r="JE1499" s="29"/>
      <c r="JF1499" s="29"/>
      <c r="JG1499" s="29"/>
      <c r="JH1499" s="29"/>
      <c r="JI1499" s="29"/>
      <c r="JJ1499" s="29"/>
      <c r="JK1499" s="29"/>
      <c r="JL1499" s="29"/>
      <c r="JM1499" s="29"/>
      <c r="JN1499" s="29"/>
      <c r="JO1499" s="29"/>
      <c r="JP1499" s="29"/>
      <c r="JQ1499" s="29"/>
      <c r="JR1499" s="29"/>
      <c r="JS1499" s="29"/>
      <c r="JT1499" s="29"/>
      <c r="JU1499" s="29"/>
      <c r="JV1499" s="29"/>
      <c r="JW1499" s="29"/>
      <c r="JX1499" s="29"/>
      <c r="JY1499" s="29"/>
      <c r="JZ1499" s="29"/>
      <c r="KA1499" s="29"/>
      <c r="KB1499" s="29"/>
      <c r="KC1499" s="29"/>
      <c r="KD1499" s="29"/>
      <c r="KE1499" s="29"/>
      <c r="KF1499" s="29"/>
      <c r="KG1499" s="29"/>
      <c r="KH1499" s="29"/>
      <c r="KI1499" s="29"/>
      <c r="KJ1499" s="29"/>
      <c r="KK1499" s="29"/>
      <c r="KL1499" s="29"/>
      <c r="KM1499" s="29"/>
      <c r="KN1499" s="29"/>
      <c r="KO1499" s="29"/>
      <c r="KP1499" s="29"/>
      <c r="KQ1499" s="29"/>
      <c r="KR1499" s="29"/>
      <c r="KS1499" s="29"/>
      <c r="KT1499" s="29"/>
      <c r="KU1499" s="29"/>
      <c r="KV1499" s="29"/>
      <c r="KW1499" s="29"/>
      <c r="KX1499" s="29"/>
      <c r="KY1499" s="29"/>
      <c r="KZ1499" s="29"/>
      <c r="LA1499" s="29"/>
      <c r="LB1499" s="29"/>
      <c r="LC1499" s="29"/>
      <c r="LD1499" s="29"/>
      <c r="LE1499" s="29"/>
      <c r="LF1499" s="29"/>
      <c r="LG1499" s="29"/>
      <c r="LH1499" s="29"/>
      <c r="LI1499" s="29"/>
      <c r="LJ1499" s="29"/>
      <c r="LK1499" s="29"/>
      <c r="LL1499" s="29"/>
      <c r="LM1499" s="29"/>
      <c r="LN1499" s="29"/>
      <c r="LO1499" s="29"/>
      <c r="LP1499" s="29"/>
      <c r="LQ1499" s="29"/>
      <c r="LR1499" s="29"/>
      <c r="LS1499" s="29"/>
      <c r="LT1499" s="29"/>
      <c r="LU1499" s="29"/>
      <c r="LV1499" s="29"/>
      <c r="LW1499" s="29"/>
      <c r="LX1499" s="29"/>
      <c r="LY1499" s="29"/>
      <c r="LZ1499" s="29"/>
      <c r="MA1499" s="29"/>
      <c r="MB1499" s="29"/>
      <c r="MC1499" s="29"/>
      <c r="MD1499" s="29"/>
      <c r="ME1499" s="29"/>
      <c r="MF1499" s="29"/>
      <c r="MG1499" s="29"/>
      <c r="MH1499" s="29"/>
      <c r="MI1499" s="29"/>
      <c r="MJ1499" s="29"/>
      <c r="MK1499" s="29"/>
      <c r="ML1499" s="29"/>
      <c r="MM1499" s="29"/>
      <c r="MN1499" s="29"/>
      <c r="MO1499" s="29"/>
      <c r="MP1499" s="29"/>
      <c r="MQ1499" s="29"/>
      <c r="MR1499" s="29"/>
      <c r="MS1499" s="29"/>
      <c r="MT1499" s="29"/>
      <c r="MU1499" s="29"/>
      <c r="MV1499" s="29"/>
      <c r="MW1499" s="29"/>
      <c r="MX1499" s="29"/>
      <c r="MY1499" s="29"/>
      <c r="MZ1499" s="29"/>
      <c r="NA1499" s="29"/>
      <c r="NB1499" s="29"/>
      <c r="NC1499" s="29"/>
      <c r="ND1499" s="29"/>
      <c r="NE1499" s="29"/>
      <c r="NF1499" s="29"/>
      <c r="NG1499" s="29"/>
      <c r="NH1499" s="29"/>
      <c r="NI1499" s="29"/>
      <c r="NJ1499" s="29"/>
      <c r="NK1499" s="29"/>
      <c r="NL1499" s="29"/>
      <c r="NM1499" s="29"/>
      <c r="NN1499" s="29"/>
      <c r="NO1499" s="29"/>
      <c r="NP1499" s="29"/>
      <c r="NQ1499" s="29"/>
      <c r="NR1499" s="29"/>
      <c r="NS1499" s="29"/>
      <c r="NT1499" s="29"/>
      <c r="NU1499" s="29"/>
      <c r="NV1499" s="29"/>
      <c r="NW1499" s="29"/>
      <c r="NX1499" s="29"/>
      <c r="NY1499" s="29"/>
      <c r="NZ1499" s="29"/>
      <c r="OA1499" s="29"/>
      <c r="OB1499" s="29"/>
      <c r="OC1499" s="29"/>
      <c r="OD1499" s="29"/>
      <c r="OE1499" s="29"/>
      <c r="OF1499" s="29"/>
      <c r="OG1499" s="29"/>
      <c r="OH1499" s="29"/>
      <c r="OI1499" s="29"/>
      <c r="OJ1499" s="29"/>
      <c r="OK1499" s="29"/>
      <c r="OL1499" s="29"/>
      <c r="OM1499" s="29"/>
      <c r="ON1499" s="29"/>
      <c r="OO1499" s="29"/>
      <c r="OP1499" s="29"/>
      <c r="OQ1499" s="29"/>
      <c r="OR1499" s="29"/>
      <c r="OS1499" s="29"/>
      <c r="OT1499" s="29"/>
      <c r="OU1499" s="29"/>
      <c r="OV1499" s="29"/>
      <c r="OW1499" s="29"/>
      <c r="OX1499" s="29"/>
      <c r="OY1499" s="29"/>
      <c r="OZ1499" s="29"/>
      <c r="PA1499" s="29"/>
      <c r="PB1499" s="29"/>
      <c r="PC1499" s="29"/>
      <c r="PD1499" s="29"/>
      <c r="PE1499" s="29"/>
      <c r="PF1499" s="29"/>
      <c r="PG1499" s="29"/>
      <c r="PH1499" s="29"/>
      <c r="PI1499" s="29"/>
      <c r="PJ1499" s="29"/>
      <c r="PK1499" s="29"/>
      <c r="PL1499" s="29"/>
      <c r="PM1499" s="29"/>
      <c r="PN1499" s="29"/>
      <c r="PO1499" s="29"/>
      <c r="PP1499" s="29"/>
      <c r="PQ1499" s="29"/>
      <c r="PR1499" s="29"/>
      <c r="PS1499" s="29"/>
      <c r="PT1499" s="29"/>
      <c r="PU1499" s="29"/>
      <c r="PV1499" s="29"/>
      <c r="PW1499" s="29"/>
      <c r="PX1499" s="29"/>
      <c r="PY1499" s="29"/>
      <c r="PZ1499" s="29"/>
      <c r="QA1499" s="29"/>
      <c r="QB1499" s="29"/>
      <c r="QC1499" s="29"/>
      <c r="QD1499" s="29"/>
      <c r="QE1499" s="29"/>
      <c r="QF1499" s="29"/>
      <c r="QG1499" s="29"/>
      <c r="QH1499" s="29"/>
      <c r="QI1499" s="29"/>
      <c r="QJ1499" s="29"/>
      <c r="QK1499" s="29"/>
      <c r="QL1499" s="29"/>
      <c r="QM1499" s="29"/>
      <c r="QN1499" s="29"/>
      <c r="QO1499" s="29"/>
      <c r="QP1499" s="29"/>
      <c r="QQ1499" s="29"/>
      <c r="QR1499" s="29"/>
      <c r="QS1499" s="29"/>
      <c r="QT1499" s="29"/>
      <c r="QU1499" s="29"/>
      <c r="QV1499" s="29"/>
      <c r="QW1499" s="29"/>
      <c r="QX1499" s="29"/>
      <c r="QY1499" s="29"/>
      <c r="QZ1499" s="29"/>
      <c r="RA1499" s="29"/>
      <c r="RB1499" s="29"/>
      <c r="RC1499" s="29"/>
      <c r="RD1499" s="29"/>
      <c r="RE1499" s="29"/>
      <c r="RF1499" s="29"/>
      <c r="RG1499" s="29"/>
      <c r="RH1499" s="29"/>
      <c r="RI1499" s="29"/>
      <c r="RJ1499" s="29"/>
      <c r="RK1499" s="29"/>
      <c r="RL1499" s="29"/>
      <c r="RM1499" s="29"/>
      <c r="RN1499" s="29"/>
      <c r="RO1499" s="29"/>
      <c r="RP1499" s="29"/>
      <c r="RQ1499" s="29"/>
      <c r="RR1499" s="29"/>
      <c r="RS1499" s="29"/>
      <c r="RT1499" s="29"/>
      <c r="RU1499" s="29"/>
      <c r="RV1499" s="29"/>
      <c r="RW1499" s="29"/>
      <c r="RX1499" s="29"/>
      <c r="RY1499" s="29"/>
      <c r="RZ1499" s="29"/>
      <c r="SA1499" s="29"/>
      <c r="SB1499" s="29"/>
      <c r="SC1499" s="29"/>
      <c r="SD1499" s="29"/>
      <c r="SE1499" s="29"/>
      <c r="SF1499" s="29"/>
      <c r="SG1499" s="29"/>
      <c r="SH1499" s="29"/>
      <c r="SI1499" s="29"/>
      <c r="SJ1499" s="29"/>
      <c r="SK1499" s="29"/>
      <c r="SL1499" s="29"/>
      <c r="SM1499" s="29"/>
      <c r="SN1499" s="29"/>
      <c r="SO1499" s="29"/>
      <c r="SP1499" s="29"/>
      <c r="SQ1499" s="29"/>
      <c r="SR1499" s="29"/>
      <c r="SS1499" s="29"/>
      <c r="ST1499" s="29"/>
      <c r="SU1499" s="29"/>
      <c r="SV1499" s="29"/>
      <c r="SW1499" s="29"/>
      <c r="SX1499" s="29"/>
      <c r="SY1499" s="29"/>
      <c r="SZ1499" s="29"/>
      <c r="TA1499" s="29"/>
      <c r="TB1499" s="29"/>
      <c r="TC1499" s="29"/>
      <c r="TD1499" s="29"/>
      <c r="TE1499" s="29"/>
      <c r="TF1499" s="29"/>
      <c r="TG1499" s="29"/>
      <c r="TH1499" s="29"/>
      <c r="TI1499" s="29"/>
      <c r="TJ1499" s="29"/>
      <c r="TK1499" s="29"/>
      <c r="TL1499" s="29"/>
      <c r="TM1499" s="29"/>
      <c r="TN1499" s="29"/>
      <c r="TO1499" s="29"/>
      <c r="TP1499" s="29"/>
      <c r="TQ1499" s="29"/>
      <c r="TR1499" s="29"/>
      <c r="TS1499" s="29"/>
      <c r="TT1499" s="29"/>
      <c r="TU1499" s="29"/>
      <c r="TV1499" s="29"/>
      <c r="TW1499" s="29"/>
      <c r="TX1499" s="29"/>
      <c r="TY1499" s="29"/>
      <c r="TZ1499" s="29"/>
      <c r="UA1499" s="29"/>
      <c r="UB1499" s="29"/>
      <c r="UC1499" s="29"/>
      <c r="UD1499" s="29"/>
      <c r="UE1499" s="29"/>
      <c r="UF1499" s="29"/>
      <c r="UG1499" s="29"/>
    </row>
    <row r="1500" spans="1:553" ht="45.75" customHeight="1">
      <c r="A1500" s="356" t="s">
        <v>15</v>
      </c>
      <c r="B1500" s="385"/>
      <c r="C1500" s="384" t="str">
        <f t="shared" si="224"/>
        <v>Đất chuyên trồng lúa nước (LUC)</v>
      </c>
      <c r="D1500" s="376" t="str">
        <f t="shared" si="224"/>
        <v>1</v>
      </c>
      <c r="E1500" s="376" t="str">
        <f t="shared" si="224"/>
        <v>381</v>
      </c>
      <c r="F1500" s="385"/>
      <c r="G1500" s="386" t="s">
        <v>935</v>
      </c>
      <c r="H1500" s="370"/>
      <c r="I1500" s="422">
        <v>323.2</v>
      </c>
      <c r="J1500" s="368">
        <v>72000</v>
      </c>
      <c r="K1500" s="388">
        <v>3</v>
      </c>
      <c r="L1500" s="480">
        <f t="shared" si="225"/>
        <v>69811200</v>
      </c>
      <c r="M1500" s="366"/>
      <c r="N1500" s="366"/>
      <c r="O1500" s="366"/>
      <c r="P1500" s="366"/>
      <c r="Q1500" s="812"/>
      <c r="R1500" s="1447"/>
      <c r="S1500" s="308"/>
      <c r="T1500" s="308"/>
      <c r="U1500" s="308"/>
      <c r="V1500" s="308"/>
      <c r="W1500" s="308"/>
      <c r="X1500" s="308"/>
      <c r="Y1500" s="308"/>
      <c r="Z1500" s="604"/>
      <c r="AA1500" s="308"/>
      <c r="AB1500" s="308"/>
      <c r="AC1500" s="486"/>
      <c r="AD1500" s="486"/>
      <c r="AE1500" s="486"/>
      <c r="AF1500" s="486"/>
      <c r="AG1500" s="486"/>
      <c r="AH1500" s="486"/>
      <c r="AI1500" s="486"/>
      <c r="AJ1500" s="486"/>
      <c r="AK1500" s="486"/>
      <c r="AL1500" s="206"/>
      <c r="AM1500" s="29"/>
      <c r="AN1500" s="29"/>
      <c r="AO1500" s="29"/>
      <c r="AP1500" s="29"/>
      <c r="AQ1500" s="29"/>
      <c r="AR1500" s="29"/>
      <c r="AS1500" s="29"/>
      <c r="AT1500" s="29"/>
      <c r="AU1500" s="29"/>
      <c r="AV1500" s="29"/>
      <c r="AW1500" s="29"/>
      <c r="AX1500" s="29"/>
      <c r="AY1500" s="29"/>
      <c r="AZ1500" s="29"/>
      <c r="BA1500" s="29"/>
      <c r="BB1500" s="29"/>
      <c r="BC1500" s="29"/>
      <c r="BD1500" s="29"/>
      <c r="BE1500" s="29"/>
      <c r="BF1500" s="29"/>
      <c r="BG1500" s="29"/>
      <c r="BH1500" s="29"/>
      <c r="BI1500" s="29"/>
      <c r="BJ1500" s="29"/>
      <c r="BK1500" s="29"/>
      <c r="BL1500" s="29"/>
      <c r="BM1500" s="29"/>
      <c r="BN1500" s="29"/>
      <c r="BO1500" s="29"/>
      <c r="BP1500" s="29"/>
      <c r="BQ1500" s="29"/>
      <c r="BR1500" s="29"/>
      <c r="BS1500" s="29"/>
      <c r="BT1500" s="29"/>
      <c r="BU1500" s="29"/>
      <c r="BV1500" s="29"/>
      <c r="BW1500" s="29"/>
      <c r="BX1500" s="29"/>
      <c r="BY1500" s="29"/>
      <c r="BZ1500" s="29"/>
      <c r="CA1500" s="29"/>
      <c r="CB1500" s="29"/>
      <c r="CC1500" s="29"/>
      <c r="CD1500" s="29"/>
      <c r="CE1500" s="29"/>
      <c r="CF1500" s="29"/>
      <c r="CG1500" s="29"/>
      <c r="CH1500" s="29"/>
      <c r="CI1500" s="29"/>
      <c r="CJ1500" s="29"/>
      <c r="CK1500" s="29"/>
      <c r="CL1500" s="29"/>
      <c r="CM1500" s="29"/>
      <c r="CN1500" s="29"/>
      <c r="CO1500" s="29"/>
      <c r="CP1500" s="29"/>
      <c r="CQ1500" s="29"/>
      <c r="CR1500" s="29"/>
      <c r="CS1500" s="29"/>
      <c r="CT1500" s="29"/>
      <c r="CU1500" s="29"/>
      <c r="CV1500" s="29"/>
      <c r="CW1500" s="29"/>
      <c r="CX1500" s="29"/>
      <c r="CY1500" s="29"/>
      <c r="CZ1500" s="29"/>
      <c r="DA1500" s="29"/>
      <c r="DB1500" s="29"/>
      <c r="DC1500" s="29"/>
      <c r="DD1500" s="29"/>
      <c r="DE1500" s="29"/>
      <c r="DF1500" s="29"/>
      <c r="DG1500" s="29"/>
      <c r="DH1500" s="29"/>
      <c r="DI1500" s="29"/>
      <c r="DJ1500" s="29"/>
      <c r="DK1500" s="29"/>
      <c r="DL1500" s="29"/>
      <c r="DM1500" s="29"/>
      <c r="DN1500" s="29"/>
      <c r="DO1500" s="29"/>
      <c r="DP1500" s="29"/>
      <c r="DQ1500" s="29"/>
      <c r="DR1500" s="29"/>
      <c r="DS1500" s="29"/>
      <c r="DT1500" s="29"/>
      <c r="DU1500" s="29"/>
      <c r="DV1500" s="29"/>
      <c r="DW1500" s="29"/>
      <c r="DX1500" s="29"/>
      <c r="DY1500" s="29"/>
      <c r="DZ1500" s="29"/>
      <c r="EA1500" s="29"/>
      <c r="EB1500" s="29"/>
      <c r="EC1500" s="29"/>
      <c r="ED1500" s="29"/>
      <c r="EE1500" s="29"/>
      <c r="EF1500" s="29"/>
      <c r="EG1500" s="29"/>
      <c r="EH1500" s="29"/>
      <c r="EI1500" s="29"/>
      <c r="EJ1500" s="29"/>
      <c r="EK1500" s="29"/>
      <c r="EL1500" s="29"/>
      <c r="EM1500" s="29"/>
      <c r="EN1500" s="29"/>
      <c r="EO1500" s="29"/>
      <c r="EP1500" s="29"/>
      <c r="EQ1500" s="29"/>
      <c r="ER1500" s="29"/>
      <c r="ES1500" s="29"/>
      <c r="ET1500" s="29"/>
      <c r="EU1500" s="29"/>
      <c r="EV1500" s="29"/>
      <c r="EW1500" s="29"/>
      <c r="EX1500" s="29"/>
      <c r="EY1500" s="29"/>
      <c r="EZ1500" s="29"/>
      <c r="FA1500" s="29"/>
      <c r="FB1500" s="29"/>
      <c r="FC1500" s="29"/>
      <c r="FD1500" s="29"/>
      <c r="FE1500" s="29"/>
      <c r="FF1500" s="29"/>
      <c r="FG1500" s="29"/>
      <c r="FH1500" s="29"/>
      <c r="FI1500" s="29"/>
      <c r="FJ1500" s="29"/>
      <c r="FK1500" s="29"/>
      <c r="FL1500" s="29"/>
      <c r="FM1500" s="29"/>
      <c r="FN1500" s="29"/>
      <c r="FO1500" s="29"/>
      <c r="FP1500" s="29"/>
      <c r="FQ1500" s="29"/>
      <c r="FR1500" s="29"/>
      <c r="FS1500" s="29"/>
      <c r="FT1500" s="29"/>
      <c r="FU1500" s="29"/>
      <c r="FV1500" s="29"/>
      <c r="FW1500" s="29"/>
      <c r="FX1500" s="29"/>
      <c r="FY1500" s="29"/>
      <c r="FZ1500" s="29"/>
      <c r="GA1500" s="29"/>
      <c r="GB1500" s="29"/>
      <c r="GC1500" s="29"/>
      <c r="GD1500" s="29"/>
      <c r="GE1500" s="29"/>
      <c r="GF1500" s="29"/>
      <c r="GG1500" s="29"/>
      <c r="GH1500" s="29"/>
      <c r="GI1500" s="29"/>
      <c r="GJ1500" s="29"/>
      <c r="GK1500" s="29"/>
      <c r="GL1500" s="29"/>
      <c r="GM1500" s="29"/>
      <c r="GN1500" s="29"/>
      <c r="GO1500" s="29"/>
      <c r="GP1500" s="29"/>
      <c r="GQ1500" s="29"/>
      <c r="GR1500" s="29"/>
      <c r="GS1500" s="29"/>
      <c r="GT1500" s="29"/>
      <c r="GU1500" s="29"/>
      <c r="GV1500" s="29"/>
      <c r="GW1500" s="29"/>
      <c r="GX1500" s="29"/>
      <c r="GY1500" s="29"/>
      <c r="GZ1500" s="29"/>
      <c r="HA1500" s="29"/>
      <c r="HB1500" s="29"/>
      <c r="HC1500" s="29"/>
      <c r="HD1500" s="29"/>
      <c r="HE1500" s="29"/>
      <c r="HF1500" s="29"/>
      <c r="HG1500" s="29"/>
      <c r="HH1500" s="29"/>
      <c r="HI1500" s="29"/>
      <c r="HJ1500" s="29"/>
      <c r="HK1500" s="29"/>
      <c r="HL1500" s="29"/>
      <c r="HM1500" s="29"/>
      <c r="HN1500" s="29"/>
      <c r="HO1500" s="29"/>
      <c r="HP1500" s="29"/>
      <c r="HQ1500" s="29"/>
      <c r="HR1500" s="29"/>
      <c r="HS1500" s="29"/>
      <c r="HT1500" s="29"/>
      <c r="HU1500" s="29"/>
      <c r="HV1500" s="29"/>
      <c r="HW1500" s="29"/>
      <c r="HX1500" s="29"/>
      <c r="HY1500" s="29"/>
      <c r="HZ1500" s="29"/>
      <c r="IA1500" s="29"/>
      <c r="IB1500" s="29"/>
      <c r="IC1500" s="29"/>
      <c r="ID1500" s="29"/>
      <c r="IE1500" s="29"/>
      <c r="IF1500" s="29"/>
      <c r="IG1500" s="29"/>
      <c r="IH1500" s="29"/>
      <c r="II1500" s="29"/>
      <c r="IJ1500" s="29"/>
      <c r="IK1500" s="29"/>
      <c r="IL1500" s="29"/>
      <c r="IM1500" s="29"/>
      <c r="IN1500" s="29"/>
      <c r="IO1500" s="29"/>
      <c r="IP1500" s="29"/>
      <c r="IQ1500" s="29"/>
      <c r="IR1500" s="29"/>
      <c r="IS1500" s="29"/>
      <c r="IT1500" s="29"/>
      <c r="IU1500" s="29"/>
      <c r="IV1500" s="29"/>
      <c r="IW1500" s="29"/>
      <c r="IX1500" s="29"/>
      <c r="IY1500" s="29"/>
      <c r="IZ1500" s="29"/>
      <c r="JA1500" s="29"/>
      <c r="JB1500" s="29"/>
      <c r="JC1500" s="29"/>
      <c r="JD1500" s="29"/>
      <c r="JE1500" s="29"/>
      <c r="JF1500" s="29"/>
      <c r="JG1500" s="29"/>
      <c r="JH1500" s="29"/>
      <c r="JI1500" s="29"/>
      <c r="JJ1500" s="29"/>
      <c r="JK1500" s="29"/>
      <c r="JL1500" s="29"/>
      <c r="JM1500" s="29"/>
      <c r="JN1500" s="29"/>
      <c r="JO1500" s="29"/>
      <c r="JP1500" s="29"/>
      <c r="JQ1500" s="29"/>
      <c r="JR1500" s="29"/>
      <c r="JS1500" s="29"/>
      <c r="JT1500" s="29"/>
      <c r="JU1500" s="29"/>
      <c r="JV1500" s="29"/>
      <c r="JW1500" s="29"/>
      <c r="JX1500" s="29"/>
      <c r="JY1500" s="29"/>
      <c r="JZ1500" s="29"/>
      <c r="KA1500" s="29"/>
      <c r="KB1500" s="29"/>
      <c r="KC1500" s="29"/>
      <c r="KD1500" s="29"/>
      <c r="KE1500" s="29"/>
      <c r="KF1500" s="29"/>
      <c r="KG1500" s="29"/>
      <c r="KH1500" s="29"/>
      <c r="KI1500" s="29"/>
      <c r="KJ1500" s="29"/>
      <c r="KK1500" s="29"/>
      <c r="KL1500" s="29"/>
      <c r="KM1500" s="29"/>
      <c r="KN1500" s="29"/>
      <c r="KO1500" s="29"/>
      <c r="KP1500" s="29"/>
      <c r="KQ1500" s="29"/>
      <c r="KR1500" s="29"/>
      <c r="KS1500" s="29"/>
      <c r="KT1500" s="29"/>
      <c r="KU1500" s="29"/>
      <c r="KV1500" s="29"/>
      <c r="KW1500" s="29"/>
      <c r="KX1500" s="29"/>
      <c r="KY1500" s="29"/>
      <c r="KZ1500" s="29"/>
      <c r="LA1500" s="29"/>
      <c r="LB1500" s="29"/>
      <c r="LC1500" s="29"/>
      <c r="LD1500" s="29"/>
      <c r="LE1500" s="29"/>
      <c r="LF1500" s="29"/>
      <c r="LG1500" s="29"/>
      <c r="LH1500" s="29"/>
      <c r="LI1500" s="29"/>
      <c r="LJ1500" s="29"/>
      <c r="LK1500" s="29"/>
      <c r="LL1500" s="29"/>
      <c r="LM1500" s="29"/>
      <c r="LN1500" s="29"/>
      <c r="LO1500" s="29"/>
      <c r="LP1500" s="29"/>
      <c r="LQ1500" s="29"/>
      <c r="LR1500" s="29"/>
      <c r="LS1500" s="29"/>
      <c r="LT1500" s="29"/>
      <c r="LU1500" s="29"/>
      <c r="LV1500" s="29"/>
      <c r="LW1500" s="29"/>
      <c r="LX1500" s="29"/>
      <c r="LY1500" s="29"/>
      <c r="LZ1500" s="29"/>
      <c r="MA1500" s="29"/>
      <c r="MB1500" s="29"/>
      <c r="MC1500" s="29"/>
      <c r="MD1500" s="29"/>
      <c r="ME1500" s="29"/>
      <c r="MF1500" s="29"/>
      <c r="MG1500" s="29"/>
      <c r="MH1500" s="29"/>
      <c r="MI1500" s="29"/>
      <c r="MJ1500" s="29"/>
      <c r="MK1500" s="29"/>
      <c r="ML1500" s="29"/>
      <c r="MM1500" s="29"/>
      <c r="MN1500" s="29"/>
      <c r="MO1500" s="29"/>
      <c r="MP1500" s="29"/>
      <c r="MQ1500" s="29"/>
      <c r="MR1500" s="29"/>
      <c r="MS1500" s="29"/>
      <c r="MT1500" s="29"/>
      <c r="MU1500" s="29"/>
      <c r="MV1500" s="29"/>
      <c r="MW1500" s="29"/>
      <c r="MX1500" s="29"/>
      <c r="MY1500" s="29"/>
      <c r="MZ1500" s="29"/>
      <c r="NA1500" s="29"/>
      <c r="NB1500" s="29"/>
      <c r="NC1500" s="29"/>
      <c r="ND1500" s="29"/>
      <c r="NE1500" s="29"/>
      <c r="NF1500" s="29"/>
      <c r="NG1500" s="29"/>
      <c r="NH1500" s="29"/>
      <c r="NI1500" s="29"/>
      <c r="NJ1500" s="29"/>
      <c r="NK1500" s="29"/>
      <c r="NL1500" s="29"/>
      <c r="NM1500" s="29"/>
      <c r="NN1500" s="29"/>
      <c r="NO1500" s="29"/>
      <c r="NP1500" s="29"/>
      <c r="NQ1500" s="29"/>
      <c r="NR1500" s="29"/>
      <c r="NS1500" s="29"/>
      <c r="NT1500" s="29"/>
      <c r="NU1500" s="29"/>
      <c r="NV1500" s="29"/>
      <c r="NW1500" s="29"/>
      <c r="NX1500" s="29"/>
      <c r="NY1500" s="29"/>
      <c r="NZ1500" s="29"/>
      <c r="OA1500" s="29"/>
      <c r="OB1500" s="29"/>
      <c r="OC1500" s="29"/>
      <c r="OD1500" s="29"/>
      <c r="OE1500" s="29"/>
      <c r="OF1500" s="29"/>
      <c r="OG1500" s="29"/>
      <c r="OH1500" s="29"/>
      <c r="OI1500" s="29"/>
      <c r="OJ1500" s="29"/>
      <c r="OK1500" s="29"/>
      <c r="OL1500" s="29"/>
      <c r="OM1500" s="29"/>
      <c r="ON1500" s="29"/>
      <c r="OO1500" s="29"/>
      <c r="OP1500" s="29"/>
      <c r="OQ1500" s="29"/>
      <c r="OR1500" s="29"/>
      <c r="OS1500" s="29"/>
      <c r="OT1500" s="29"/>
      <c r="OU1500" s="29"/>
      <c r="OV1500" s="29"/>
      <c r="OW1500" s="29"/>
      <c r="OX1500" s="29"/>
      <c r="OY1500" s="29"/>
      <c r="OZ1500" s="29"/>
      <c r="PA1500" s="29"/>
      <c r="PB1500" s="29"/>
      <c r="PC1500" s="29"/>
      <c r="PD1500" s="29"/>
      <c r="PE1500" s="29"/>
      <c r="PF1500" s="29"/>
      <c r="PG1500" s="29"/>
      <c r="PH1500" s="29"/>
      <c r="PI1500" s="29"/>
      <c r="PJ1500" s="29"/>
      <c r="PK1500" s="29"/>
      <c r="PL1500" s="29"/>
      <c r="PM1500" s="29"/>
      <c r="PN1500" s="29"/>
      <c r="PO1500" s="29"/>
      <c r="PP1500" s="29"/>
      <c r="PQ1500" s="29"/>
      <c r="PR1500" s="29"/>
      <c r="PS1500" s="29"/>
      <c r="PT1500" s="29"/>
      <c r="PU1500" s="29"/>
      <c r="PV1500" s="29"/>
      <c r="PW1500" s="29"/>
      <c r="PX1500" s="29"/>
      <c r="PY1500" s="29"/>
      <c r="PZ1500" s="29"/>
      <c r="QA1500" s="29"/>
      <c r="QB1500" s="29"/>
      <c r="QC1500" s="29"/>
      <c r="QD1500" s="29"/>
      <c r="QE1500" s="29"/>
      <c r="QF1500" s="29"/>
      <c r="QG1500" s="29"/>
      <c r="QH1500" s="29"/>
      <c r="QI1500" s="29"/>
      <c r="QJ1500" s="29"/>
      <c r="QK1500" s="29"/>
      <c r="QL1500" s="29"/>
      <c r="QM1500" s="29"/>
      <c r="QN1500" s="29"/>
      <c r="QO1500" s="29"/>
      <c r="QP1500" s="29"/>
      <c r="QQ1500" s="29"/>
      <c r="QR1500" s="29"/>
      <c r="QS1500" s="29"/>
      <c r="QT1500" s="29"/>
      <c r="QU1500" s="29"/>
      <c r="QV1500" s="29"/>
      <c r="QW1500" s="29"/>
      <c r="QX1500" s="29"/>
      <c r="QY1500" s="29"/>
      <c r="QZ1500" s="29"/>
      <c r="RA1500" s="29"/>
      <c r="RB1500" s="29"/>
      <c r="RC1500" s="29"/>
      <c r="RD1500" s="29"/>
      <c r="RE1500" s="29"/>
      <c r="RF1500" s="29"/>
      <c r="RG1500" s="29"/>
      <c r="RH1500" s="29"/>
      <c r="RI1500" s="29"/>
      <c r="RJ1500" s="29"/>
      <c r="RK1500" s="29"/>
      <c r="RL1500" s="29"/>
      <c r="RM1500" s="29"/>
      <c r="RN1500" s="29"/>
      <c r="RO1500" s="29"/>
      <c r="RP1500" s="29"/>
      <c r="RQ1500" s="29"/>
      <c r="RR1500" s="29"/>
      <c r="RS1500" s="29"/>
      <c r="RT1500" s="29"/>
      <c r="RU1500" s="29"/>
      <c r="RV1500" s="29"/>
      <c r="RW1500" s="29"/>
      <c r="RX1500" s="29"/>
      <c r="RY1500" s="29"/>
      <c r="RZ1500" s="29"/>
      <c r="SA1500" s="29"/>
      <c r="SB1500" s="29"/>
      <c r="SC1500" s="29"/>
      <c r="SD1500" s="29"/>
      <c r="SE1500" s="29"/>
      <c r="SF1500" s="29"/>
      <c r="SG1500" s="29"/>
      <c r="SH1500" s="29"/>
      <c r="SI1500" s="29"/>
      <c r="SJ1500" s="29"/>
      <c r="SK1500" s="29"/>
      <c r="SL1500" s="29"/>
      <c r="SM1500" s="29"/>
      <c r="SN1500" s="29"/>
      <c r="SO1500" s="29"/>
      <c r="SP1500" s="29"/>
      <c r="SQ1500" s="29"/>
      <c r="SR1500" s="29"/>
      <c r="SS1500" s="29"/>
      <c r="ST1500" s="29"/>
      <c r="SU1500" s="29"/>
      <c r="SV1500" s="29"/>
      <c r="SW1500" s="29"/>
      <c r="SX1500" s="29"/>
      <c r="SY1500" s="29"/>
      <c r="SZ1500" s="29"/>
      <c r="TA1500" s="29"/>
      <c r="TB1500" s="29"/>
      <c r="TC1500" s="29"/>
      <c r="TD1500" s="29"/>
      <c r="TE1500" s="29"/>
      <c r="TF1500" s="29"/>
      <c r="TG1500" s="29"/>
      <c r="TH1500" s="29"/>
      <c r="TI1500" s="29"/>
      <c r="TJ1500" s="29"/>
      <c r="TK1500" s="29"/>
      <c r="TL1500" s="29"/>
      <c r="TM1500" s="29"/>
      <c r="TN1500" s="29"/>
      <c r="TO1500" s="29"/>
      <c r="TP1500" s="29"/>
      <c r="TQ1500" s="29"/>
      <c r="TR1500" s="29"/>
      <c r="TS1500" s="29"/>
      <c r="TT1500" s="29"/>
      <c r="TU1500" s="29"/>
      <c r="TV1500" s="29"/>
      <c r="TW1500" s="29"/>
      <c r="TX1500" s="29"/>
      <c r="TY1500" s="29"/>
      <c r="TZ1500" s="29"/>
      <c r="UA1500" s="29"/>
      <c r="UB1500" s="29"/>
      <c r="UC1500" s="29"/>
      <c r="UD1500" s="29"/>
      <c r="UE1500" s="29"/>
      <c r="UF1500" s="29"/>
      <c r="UG1500" s="29"/>
    </row>
    <row r="1501" spans="1:553" ht="45.75" customHeight="1">
      <c r="A1501" s="356" t="s">
        <v>15</v>
      </c>
      <c r="B1501" s="356"/>
      <c r="C1501" s="384" t="str">
        <f t="shared" si="224"/>
        <v>Đất trồng cây hàng năm khác (HNK)</v>
      </c>
      <c r="D1501" s="376" t="str">
        <f t="shared" si="224"/>
        <v>1</v>
      </c>
      <c r="E1501" s="376" t="str">
        <f t="shared" si="224"/>
        <v>491</v>
      </c>
      <c r="F1501" s="385"/>
      <c r="G1501" s="386" t="s">
        <v>935</v>
      </c>
      <c r="H1501" s="441"/>
      <c r="I1501" s="422">
        <v>38.700000000000003</v>
      </c>
      <c r="J1501" s="368">
        <v>53000</v>
      </c>
      <c r="K1501" s="388">
        <v>1</v>
      </c>
      <c r="L1501" s="480">
        <f t="shared" si="225"/>
        <v>2051100.0000000002</v>
      </c>
      <c r="M1501" s="366"/>
      <c r="N1501" s="366"/>
      <c r="O1501" s="366"/>
      <c r="P1501" s="366"/>
      <c r="Q1501" s="813"/>
      <c r="R1501" s="1447"/>
      <c r="S1501" s="308"/>
      <c r="T1501" s="308"/>
      <c r="U1501" s="308"/>
      <c r="V1501" s="308"/>
      <c r="W1501" s="308"/>
      <c r="X1501" s="308"/>
      <c r="Y1501" s="308"/>
      <c r="Z1501" s="604"/>
      <c r="AA1501" s="308"/>
      <c r="AB1501" s="308"/>
      <c r="AC1501" s="486"/>
      <c r="AD1501" s="486"/>
      <c r="AE1501" s="486"/>
      <c r="AF1501" s="486"/>
      <c r="AG1501" s="486"/>
      <c r="AH1501" s="486"/>
      <c r="AI1501" s="486"/>
      <c r="AJ1501" s="486"/>
      <c r="AK1501" s="486"/>
      <c r="AL1501" s="206"/>
      <c r="AM1501" s="29"/>
      <c r="AN1501" s="29"/>
      <c r="AO1501" s="29"/>
      <c r="AP1501" s="29"/>
      <c r="AQ1501" s="29"/>
      <c r="AR1501" s="29"/>
      <c r="AS1501" s="29"/>
      <c r="AT1501" s="29"/>
      <c r="AU1501" s="29"/>
      <c r="AV1501" s="29"/>
      <c r="AW1501" s="29"/>
      <c r="AX1501" s="29"/>
      <c r="AY1501" s="29"/>
      <c r="AZ1501" s="29"/>
      <c r="BA1501" s="29"/>
      <c r="BB1501" s="29"/>
      <c r="BC1501" s="29"/>
      <c r="BD1501" s="29"/>
      <c r="BE1501" s="29"/>
      <c r="BF1501" s="29"/>
      <c r="BG1501" s="29"/>
      <c r="BH1501" s="29"/>
      <c r="BI1501" s="29"/>
      <c r="BJ1501" s="29"/>
      <c r="BK1501" s="29"/>
      <c r="BL1501" s="29"/>
      <c r="BM1501" s="29"/>
      <c r="BN1501" s="29"/>
      <c r="BO1501" s="29"/>
      <c r="BP1501" s="29"/>
      <c r="BQ1501" s="29"/>
      <c r="BR1501" s="29"/>
      <c r="BS1501" s="29"/>
      <c r="BT1501" s="29"/>
      <c r="BU1501" s="29"/>
      <c r="BV1501" s="29"/>
      <c r="BW1501" s="29"/>
      <c r="BX1501" s="29"/>
      <c r="BY1501" s="29"/>
      <c r="BZ1501" s="29"/>
      <c r="CA1501" s="29"/>
      <c r="CB1501" s="29"/>
      <c r="CC1501" s="29"/>
      <c r="CD1501" s="29"/>
      <c r="CE1501" s="29"/>
      <c r="CF1501" s="29"/>
      <c r="CG1501" s="29"/>
      <c r="CH1501" s="29"/>
      <c r="CI1501" s="29"/>
      <c r="CJ1501" s="29"/>
      <c r="CK1501" s="29"/>
      <c r="CL1501" s="29"/>
      <c r="CM1501" s="29"/>
      <c r="CN1501" s="29"/>
      <c r="CO1501" s="29"/>
      <c r="CP1501" s="29"/>
      <c r="CQ1501" s="29"/>
      <c r="CR1501" s="29"/>
      <c r="CS1501" s="29"/>
      <c r="CT1501" s="29"/>
      <c r="CU1501" s="29"/>
      <c r="CV1501" s="29"/>
      <c r="CW1501" s="29"/>
      <c r="CX1501" s="29"/>
      <c r="CY1501" s="29"/>
      <c r="CZ1501" s="29"/>
      <c r="DA1501" s="29"/>
      <c r="DB1501" s="29"/>
      <c r="DC1501" s="29"/>
      <c r="DD1501" s="29"/>
      <c r="DE1501" s="29"/>
      <c r="DF1501" s="29"/>
      <c r="DG1501" s="29"/>
      <c r="DH1501" s="29"/>
      <c r="DI1501" s="29"/>
      <c r="DJ1501" s="29"/>
      <c r="DK1501" s="29"/>
      <c r="DL1501" s="29"/>
      <c r="DM1501" s="29"/>
      <c r="DN1501" s="29"/>
      <c r="DO1501" s="29"/>
      <c r="DP1501" s="29"/>
      <c r="DQ1501" s="29"/>
      <c r="DR1501" s="29"/>
      <c r="DS1501" s="29"/>
      <c r="DT1501" s="29"/>
      <c r="DU1501" s="29"/>
      <c r="DV1501" s="29"/>
      <c r="DW1501" s="29"/>
      <c r="DX1501" s="29"/>
      <c r="DY1501" s="29"/>
      <c r="DZ1501" s="29"/>
      <c r="EA1501" s="29"/>
      <c r="EB1501" s="29"/>
      <c r="EC1501" s="29"/>
      <c r="ED1501" s="29"/>
      <c r="EE1501" s="29"/>
      <c r="EF1501" s="29"/>
      <c r="EG1501" s="29"/>
      <c r="EH1501" s="29"/>
      <c r="EI1501" s="29"/>
      <c r="EJ1501" s="29"/>
      <c r="EK1501" s="29"/>
      <c r="EL1501" s="29"/>
      <c r="EM1501" s="29"/>
      <c r="EN1501" s="29"/>
      <c r="EO1501" s="29"/>
      <c r="EP1501" s="29"/>
      <c r="EQ1501" s="29"/>
      <c r="ER1501" s="29"/>
      <c r="ES1501" s="29"/>
      <c r="ET1501" s="29"/>
      <c r="EU1501" s="29"/>
      <c r="EV1501" s="29"/>
      <c r="EW1501" s="29"/>
      <c r="EX1501" s="29"/>
      <c r="EY1501" s="29"/>
      <c r="EZ1501" s="29"/>
      <c r="FA1501" s="29"/>
      <c r="FB1501" s="29"/>
      <c r="FC1501" s="29"/>
      <c r="FD1501" s="29"/>
      <c r="FE1501" s="29"/>
      <c r="FF1501" s="29"/>
      <c r="FG1501" s="29"/>
      <c r="FH1501" s="29"/>
      <c r="FI1501" s="29"/>
      <c r="FJ1501" s="29"/>
      <c r="FK1501" s="29"/>
      <c r="FL1501" s="29"/>
      <c r="FM1501" s="29"/>
      <c r="FN1501" s="29"/>
      <c r="FO1501" s="29"/>
      <c r="FP1501" s="29"/>
      <c r="FQ1501" s="29"/>
      <c r="FR1501" s="29"/>
      <c r="FS1501" s="29"/>
      <c r="FT1501" s="29"/>
      <c r="FU1501" s="29"/>
      <c r="FV1501" s="29"/>
      <c r="FW1501" s="29"/>
      <c r="FX1501" s="29"/>
      <c r="FY1501" s="29"/>
      <c r="FZ1501" s="29"/>
      <c r="GA1501" s="29"/>
      <c r="GB1501" s="29"/>
      <c r="GC1501" s="29"/>
      <c r="GD1501" s="29"/>
      <c r="GE1501" s="29"/>
      <c r="GF1501" s="29"/>
      <c r="GG1501" s="29"/>
      <c r="GH1501" s="29"/>
      <c r="GI1501" s="29"/>
      <c r="GJ1501" s="29"/>
      <c r="GK1501" s="29"/>
      <c r="GL1501" s="29"/>
      <c r="GM1501" s="29"/>
      <c r="GN1501" s="29"/>
      <c r="GO1501" s="29"/>
      <c r="GP1501" s="29"/>
      <c r="GQ1501" s="29"/>
      <c r="GR1501" s="29"/>
      <c r="GS1501" s="29"/>
      <c r="GT1501" s="29"/>
      <c r="GU1501" s="29"/>
      <c r="GV1501" s="29"/>
      <c r="GW1501" s="29"/>
      <c r="GX1501" s="29"/>
      <c r="GY1501" s="29"/>
      <c r="GZ1501" s="29"/>
      <c r="HA1501" s="29"/>
      <c r="HB1501" s="29"/>
      <c r="HC1501" s="29"/>
      <c r="HD1501" s="29"/>
      <c r="HE1501" s="29"/>
      <c r="HF1501" s="29"/>
      <c r="HG1501" s="29"/>
      <c r="HH1501" s="29"/>
      <c r="HI1501" s="29"/>
      <c r="HJ1501" s="29"/>
      <c r="HK1501" s="29"/>
      <c r="HL1501" s="29"/>
      <c r="HM1501" s="29"/>
      <c r="HN1501" s="29"/>
      <c r="HO1501" s="29"/>
      <c r="HP1501" s="29"/>
      <c r="HQ1501" s="29"/>
      <c r="HR1501" s="29"/>
      <c r="HS1501" s="29"/>
      <c r="HT1501" s="29"/>
      <c r="HU1501" s="29"/>
      <c r="HV1501" s="29"/>
      <c r="HW1501" s="29"/>
      <c r="HX1501" s="29"/>
      <c r="HY1501" s="29"/>
      <c r="HZ1501" s="29"/>
      <c r="IA1501" s="29"/>
      <c r="IB1501" s="29"/>
      <c r="IC1501" s="29"/>
      <c r="ID1501" s="29"/>
      <c r="IE1501" s="29"/>
      <c r="IF1501" s="29"/>
      <c r="IG1501" s="29"/>
      <c r="IH1501" s="29"/>
      <c r="II1501" s="29"/>
      <c r="IJ1501" s="29"/>
      <c r="IK1501" s="29"/>
      <c r="IL1501" s="29"/>
      <c r="IM1501" s="29"/>
      <c r="IN1501" s="29"/>
      <c r="IO1501" s="29"/>
      <c r="IP1501" s="29"/>
      <c r="IQ1501" s="29"/>
      <c r="IR1501" s="29"/>
      <c r="IS1501" s="29"/>
      <c r="IT1501" s="29"/>
      <c r="IU1501" s="29"/>
      <c r="IV1501" s="29"/>
      <c r="IW1501" s="29"/>
      <c r="IX1501" s="29"/>
      <c r="IY1501" s="29"/>
      <c r="IZ1501" s="29"/>
      <c r="JA1501" s="29"/>
      <c r="JB1501" s="29"/>
      <c r="JC1501" s="29"/>
      <c r="JD1501" s="29"/>
      <c r="JE1501" s="29"/>
      <c r="JF1501" s="29"/>
      <c r="JG1501" s="29"/>
      <c r="JH1501" s="29"/>
      <c r="JI1501" s="29"/>
      <c r="JJ1501" s="29"/>
      <c r="JK1501" s="29"/>
      <c r="JL1501" s="29"/>
      <c r="JM1501" s="29"/>
      <c r="JN1501" s="29"/>
      <c r="JO1501" s="29"/>
      <c r="JP1501" s="29"/>
      <c r="JQ1501" s="29"/>
      <c r="JR1501" s="29"/>
      <c r="JS1501" s="29"/>
      <c r="JT1501" s="29"/>
      <c r="JU1501" s="29"/>
      <c r="JV1501" s="29"/>
      <c r="JW1501" s="29"/>
      <c r="JX1501" s="29"/>
      <c r="JY1501" s="29"/>
      <c r="JZ1501" s="29"/>
      <c r="KA1501" s="29"/>
      <c r="KB1501" s="29"/>
      <c r="KC1501" s="29"/>
      <c r="KD1501" s="29"/>
      <c r="KE1501" s="29"/>
      <c r="KF1501" s="29"/>
      <c r="KG1501" s="29"/>
      <c r="KH1501" s="29"/>
      <c r="KI1501" s="29"/>
      <c r="KJ1501" s="29"/>
      <c r="KK1501" s="29"/>
      <c r="KL1501" s="29"/>
      <c r="KM1501" s="29"/>
      <c r="KN1501" s="29"/>
      <c r="KO1501" s="29"/>
      <c r="KP1501" s="29"/>
      <c r="KQ1501" s="29"/>
      <c r="KR1501" s="29"/>
      <c r="KS1501" s="29"/>
      <c r="KT1501" s="29"/>
      <c r="KU1501" s="29"/>
      <c r="KV1501" s="29"/>
      <c r="KW1501" s="29"/>
      <c r="KX1501" s="29"/>
      <c r="KY1501" s="29"/>
      <c r="KZ1501" s="29"/>
      <c r="LA1501" s="29"/>
      <c r="LB1501" s="29"/>
      <c r="LC1501" s="29"/>
      <c r="LD1501" s="29"/>
      <c r="LE1501" s="29"/>
      <c r="LF1501" s="29"/>
      <c r="LG1501" s="29"/>
      <c r="LH1501" s="29"/>
      <c r="LI1501" s="29"/>
      <c r="LJ1501" s="29"/>
      <c r="LK1501" s="29"/>
      <c r="LL1501" s="29"/>
      <c r="LM1501" s="29"/>
      <c r="LN1501" s="29"/>
      <c r="LO1501" s="29"/>
      <c r="LP1501" s="29"/>
      <c r="LQ1501" s="29"/>
      <c r="LR1501" s="29"/>
      <c r="LS1501" s="29"/>
      <c r="LT1501" s="29"/>
      <c r="LU1501" s="29"/>
      <c r="LV1501" s="29"/>
      <c r="LW1501" s="29"/>
      <c r="LX1501" s="29"/>
      <c r="LY1501" s="29"/>
      <c r="LZ1501" s="29"/>
      <c r="MA1501" s="29"/>
      <c r="MB1501" s="29"/>
      <c r="MC1501" s="29"/>
      <c r="MD1501" s="29"/>
      <c r="ME1501" s="29"/>
      <c r="MF1501" s="29"/>
      <c r="MG1501" s="29"/>
      <c r="MH1501" s="29"/>
      <c r="MI1501" s="29"/>
      <c r="MJ1501" s="29"/>
      <c r="MK1501" s="29"/>
      <c r="ML1501" s="29"/>
      <c r="MM1501" s="29"/>
      <c r="MN1501" s="29"/>
      <c r="MO1501" s="29"/>
      <c r="MP1501" s="29"/>
      <c r="MQ1501" s="29"/>
      <c r="MR1501" s="29"/>
      <c r="MS1501" s="29"/>
      <c r="MT1501" s="29"/>
      <c r="MU1501" s="29"/>
      <c r="MV1501" s="29"/>
      <c r="MW1501" s="29"/>
      <c r="MX1501" s="29"/>
      <c r="MY1501" s="29"/>
      <c r="MZ1501" s="29"/>
      <c r="NA1501" s="29"/>
      <c r="NB1501" s="29"/>
      <c r="NC1501" s="29"/>
      <c r="ND1501" s="29"/>
      <c r="NE1501" s="29"/>
      <c r="NF1501" s="29"/>
      <c r="NG1501" s="29"/>
      <c r="NH1501" s="29"/>
      <c r="NI1501" s="29"/>
      <c r="NJ1501" s="29"/>
      <c r="NK1501" s="29"/>
      <c r="NL1501" s="29"/>
      <c r="NM1501" s="29"/>
      <c r="NN1501" s="29"/>
      <c r="NO1501" s="29"/>
      <c r="NP1501" s="29"/>
      <c r="NQ1501" s="29"/>
      <c r="NR1501" s="29"/>
      <c r="NS1501" s="29"/>
      <c r="NT1501" s="29"/>
      <c r="NU1501" s="29"/>
      <c r="NV1501" s="29"/>
      <c r="NW1501" s="29"/>
      <c r="NX1501" s="29"/>
      <c r="NY1501" s="29"/>
      <c r="NZ1501" s="29"/>
      <c r="OA1501" s="29"/>
      <c r="OB1501" s="29"/>
      <c r="OC1501" s="29"/>
      <c r="OD1501" s="29"/>
      <c r="OE1501" s="29"/>
      <c r="OF1501" s="29"/>
      <c r="OG1501" s="29"/>
      <c r="OH1501" s="29"/>
      <c r="OI1501" s="29"/>
      <c r="OJ1501" s="29"/>
      <c r="OK1501" s="29"/>
      <c r="OL1501" s="29"/>
      <c r="OM1501" s="29"/>
      <c r="ON1501" s="29"/>
      <c r="OO1501" s="29"/>
      <c r="OP1501" s="29"/>
      <c r="OQ1501" s="29"/>
      <c r="OR1501" s="29"/>
      <c r="OS1501" s="29"/>
      <c r="OT1501" s="29"/>
      <c r="OU1501" s="29"/>
      <c r="OV1501" s="29"/>
      <c r="OW1501" s="29"/>
      <c r="OX1501" s="29"/>
      <c r="OY1501" s="29"/>
      <c r="OZ1501" s="29"/>
      <c r="PA1501" s="29"/>
      <c r="PB1501" s="29"/>
      <c r="PC1501" s="29"/>
      <c r="PD1501" s="29"/>
      <c r="PE1501" s="29"/>
      <c r="PF1501" s="29"/>
      <c r="PG1501" s="29"/>
      <c r="PH1501" s="29"/>
      <c r="PI1501" s="29"/>
      <c r="PJ1501" s="29"/>
      <c r="PK1501" s="29"/>
      <c r="PL1501" s="29"/>
      <c r="PM1501" s="29"/>
      <c r="PN1501" s="29"/>
      <c r="PO1501" s="29"/>
      <c r="PP1501" s="29"/>
      <c r="PQ1501" s="29"/>
      <c r="PR1501" s="29"/>
      <c r="PS1501" s="29"/>
      <c r="PT1501" s="29"/>
      <c r="PU1501" s="29"/>
      <c r="PV1501" s="29"/>
      <c r="PW1501" s="29"/>
      <c r="PX1501" s="29"/>
      <c r="PY1501" s="29"/>
      <c r="PZ1501" s="29"/>
      <c r="QA1501" s="29"/>
      <c r="QB1501" s="29"/>
      <c r="QC1501" s="29"/>
      <c r="QD1501" s="29"/>
      <c r="QE1501" s="29"/>
      <c r="QF1501" s="29"/>
      <c r="QG1501" s="29"/>
      <c r="QH1501" s="29"/>
      <c r="QI1501" s="29"/>
      <c r="QJ1501" s="29"/>
      <c r="QK1501" s="29"/>
      <c r="QL1501" s="29"/>
      <c r="QM1501" s="29"/>
      <c r="QN1501" s="29"/>
      <c r="QO1501" s="29"/>
      <c r="QP1501" s="29"/>
      <c r="QQ1501" s="29"/>
      <c r="QR1501" s="29"/>
      <c r="QS1501" s="29"/>
      <c r="QT1501" s="29"/>
      <c r="QU1501" s="29"/>
      <c r="QV1501" s="29"/>
      <c r="QW1501" s="29"/>
      <c r="QX1501" s="29"/>
      <c r="QY1501" s="29"/>
      <c r="QZ1501" s="29"/>
      <c r="RA1501" s="29"/>
      <c r="RB1501" s="29"/>
      <c r="RC1501" s="29"/>
      <c r="RD1501" s="29"/>
      <c r="RE1501" s="29"/>
      <c r="RF1501" s="29"/>
      <c r="RG1501" s="29"/>
      <c r="RH1501" s="29"/>
      <c r="RI1501" s="29"/>
      <c r="RJ1501" s="29"/>
      <c r="RK1501" s="29"/>
      <c r="RL1501" s="29"/>
      <c r="RM1501" s="29"/>
      <c r="RN1501" s="29"/>
      <c r="RO1501" s="29"/>
      <c r="RP1501" s="29"/>
      <c r="RQ1501" s="29"/>
      <c r="RR1501" s="29"/>
      <c r="RS1501" s="29"/>
      <c r="RT1501" s="29"/>
      <c r="RU1501" s="29"/>
      <c r="RV1501" s="29"/>
      <c r="RW1501" s="29"/>
      <c r="RX1501" s="29"/>
      <c r="RY1501" s="29"/>
      <c r="RZ1501" s="29"/>
      <c r="SA1501" s="29"/>
      <c r="SB1501" s="29"/>
      <c r="SC1501" s="29"/>
      <c r="SD1501" s="29"/>
      <c r="SE1501" s="29"/>
      <c r="SF1501" s="29"/>
      <c r="SG1501" s="29"/>
      <c r="SH1501" s="29"/>
      <c r="SI1501" s="29"/>
      <c r="SJ1501" s="29"/>
      <c r="SK1501" s="29"/>
      <c r="SL1501" s="29"/>
      <c r="SM1501" s="29"/>
      <c r="SN1501" s="29"/>
      <c r="SO1501" s="29"/>
      <c r="SP1501" s="29"/>
      <c r="SQ1501" s="29"/>
      <c r="SR1501" s="29"/>
      <c r="SS1501" s="29"/>
      <c r="ST1501" s="29"/>
      <c r="SU1501" s="29"/>
      <c r="SV1501" s="29"/>
      <c r="SW1501" s="29"/>
      <c r="SX1501" s="29"/>
      <c r="SY1501" s="29"/>
      <c r="SZ1501" s="29"/>
      <c r="TA1501" s="29"/>
      <c r="TB1501" s="29"/>
      <c r="TC1501" s="29"/>
      <c r="TD1501" s="29"/>
      <c r="TE1501" s="29"/>
      <c r="TF1501" s="29"/>
      <c r="TG1501" s="29"/>
      <c r="TH1501" s="29"/>
      <c r="TI1501" s="29"/>
      <c r="TJ1501" s="29"/>
      <c r="TK1501" s="29"/>
      <c r="TL1501" s="29"/>
      <c r="TM1501" s="29"/>
      <c r="TN1501" s="29"/>
      <c r="TO1501" s="29"/>
      <c r="TP1501" s="29"/>
      <c r="TQ1501" s="29"/>
      <c r="TR1501" s="29"/>
      <c r="TS1501" s="29"/>
      <c r="TT1501" s="29"/>
      <c r="TU1501" s="29"/>
      <c r="TV1501" s="29"/>
      <c r="TW1501" s="29"/>
      <c r="TX1501" s="29"/>
      <c r="TY1501" s="29"/>
      <c r="TZ1501" s="29"/>
      <c r="UA1501" s="29"/>
      <c r="UB1501" s="29"/>
      <c r="UC1501" s="29"/>
      <c r="UD1501" s="29"/>
      <c r="UE1501" s="29"/>
      <c r="UF1501" s="29"/>
      <c r="UG1501" s="29"/>
    </row>
    <row r="1502" spans="1:553" ht="52.9" customHeight="1">
      <c r="A1502" s="356" t="s">
        <v>61</v>
      </c>
      <c r="B1502" s="428"/>
      <c r="C1502" s="1491" t="s">
        <v>62</v>
      </c>
      <c r="D1502" s="1389"/>
      <c r="E1502" s="1389"/>
      <c r="F1502" s="1390"/>
      <c r="G1502" s="429"/>
      <c r="H1502" s="359"/>
      <c r="I1502" s="359"/>
      <c r="J1502" s="357"/>
      <c r="K1502" s="364"/>
      <c r="L1502" s="645"/>
      <c r="M1502" s="356"/>
      <c r="N1502" s="356"/>
      <c r="O1502" s="356"/>
      <c r="P1502" s="358"/>
      <c r="Q1502" s="610"/>
      <c r="R1502" s="1226" t="s">
        <v>63</v>
      </c>
      <c r="S1502" s="308"/>
      <c r="T1502" s="308"/>
      <c r="U1502" s="308"/>
      <c r="V1502" s="308"/>
      <c r="W1502" s="308"/>
      <c r="X1502" s="308"/>
      <c r="Y1502" s="308"/>
      <c r="Z1502" s="604"/>
      <c r="AA1502" s="308"/>
      <c r="AB1502" s="308"/>
      <c r="AC1502" s="486"/>
      <c r="AD1502" s="486"/>
      <c r="AE1502" s="486"/>
      <c r="AF1502" s="486"/>
      <c r="AG1502" s="486"/>
      <c r="AH1502" s="486"/>
      <c r="AI1502" s="486"/>
      <c r="AJ1502" s="486"/>
      <c r="AK1502" s="486"/>
      <c r="AL1502" s="206"/>
      <c r="AM1502" s="29"/>
      <c r="AN1502" s="29"/>
      <c r="AO1502" s="29"/>
      <c r="AP1502" s="29"/>
      <c r="AQ1502" s="29"/>
      <c r="AR1502" s="29"/>
      <c r="AS1502" s="29"/>
      <c r="AT1502" s="29"/>
      <c r="AU1502" s="29"/>
      <c r="AV1502" s="29"/>
      <c r="AW1502" s="29"/>
      <c r="AX1502" s="29"/>
      <c r="AY1502" s="29"/>
      <c r="AZ1502" s="29"/>
      <c r="BA1502" s="29"/>
      <c r="BB1502" s="29"/>
      <c r="BC1502" s="29"/>
      <c r="BD1502" s="29"/>
      <c r="BE1502" s="29"/>
      <c r="BF1502" s="29"/>
      <c r="BG1502" s="29"/>
      <c r="BH1502" s="29"/>
      <c r="BI1502" s="29"/>
      <c r="BJ1502" s="29"/>
      <c r="BK1502" s="29"/>
      <c r="BL1502" s="29"/>
      <c r="BM1502" s="29"/>
      <c r="BN1502" s="29"/>
      <c r="BO1502" s="29"/>
      <c r="BP1502" s="29"/>
      <c r="BQ1502" s="29"/>
      <c r="BR1502" s="29"/>
      <c r="BS1502" s="29"/>
      <c r="BT1502" s="29"/>
      <c r="BU1502" s="29"/>
      <c r="BV1502" s="29"/>
      <c r="BW1502" s="29"/>
      <c r="BX1502" s="29"/>
      <c r="BY1502" s="29"/>
      <c r="BZ1502" s="29"/>
      <c r="CA1502" s="29"/>
      <c r="CB1502" s="29"/>
      <c r="CC1502" s="29"/>
      <c r="CD1502" s="29"/>
      <c r="CE1502" s="29"/>
      <c r="CF1502" s="29"/>
      <c r="CG1502" s="29"/>
      <c r="CH1502" s="29"/>
      <c r="CI1502" s="29"/>
      <c r="CJ1502" s="29"/>
      <c r="CK1502" s="29"/>
      <c r="CL1502" s="29"/>
      <c r="CM1502" s="29"/>
      <c r="CN1502" s="29"/>
      <c r="CO1502" s="29"/>
      <c r="CP1502" s="29"/>
      <c r="CQ1502" s="29"/>
      <c r="CR1502" s="29"/>
      <c r="CS1502" s="29"/>
      <c r="CT1502" s="29"/>
      <c r="CU1502" s="29"/>
      <c r="CV1502" s="29"/>
      <c r="CW1502" s="29"/>
      <c r="CX1502" s="29"/>
      <c r="CY1502" s="29"/>
      <c r="CZ1502" s="29"/>
      <c r="DA1502" s="29"/>
      <c r="DB1502" s="29"/>
      <c r="DC1502" s="29"/>
      <c r="DD1502" s="29"/>
      <c r="DE1502" s="29"/>
      <c r="DF1502" s="29"/>
      <c r="DG1502" s="29"/>
      <c r="DH1502" s="29"/>
      <c r="DI1502" s="29"/>
      <c r="DJ1502" s="29"/>
      <c r="DK1502" s="29"/>
      <c r="DL1502" s="29"/>
      <c r="DM1502" s="29"/>
      <c r="DN1502" s="29"/>
      <c r="DO1502" s="29"/>
      <c r="DP1502" s="29"/>
      <c r="DQ1502" s="29"/>
      <c r="DR1502" s="29"/>
      <c r="DS1502" s="29"/>
      <c r="DT1502" s="29"/>
      <c r="DU1502" s="29"/>
      <c r="DV1502" s="29"/>
      <c r="DW1502" s="29"/>
      <c r="DX1502" s="29"/>
      <c r="DY1502" s="29"/>
      <c r="DZ1502" s="29"/>
      <c r="EA1502" s="29"/>
      <c r="EB1502" s="29"/>
      <c r="EC1502" s="29"/>
      <c r="ED1502" s="29"/>
      <c r="EE1502" s="29"/>
      <c r="EF1502" s="29"/>
      <c r="EG1502" s="29"/>
      <c r="EH1502" s="29"/>
      <c r="EI1502" s="29"/>
      <c r="EJ1502" s="29"/>
      <c r="EK1502" s="29"/>
      <c r="EL1502" s="29"/>
      <c r="EM1502" s="29"/>
      <c r="EN1502" s="29"/>
      <c r="EO1502" s="29"/>
      <c r="EP1502" s="29"/>
      <c r="EQ1502" s="29"/>
      <c r="ER1502" s="29"/>
      <c r="ES1502" s="29"/>
      <c r="ET1502" s="29"/>
      <c r="EU1502" s="29"/>
      <c r="EV1502" s="29"/>
      <c r="EW1502" s="29"/>
      <c r="EX1502" s="29"/>
      <c r="EY1502" s="29"/>
      <c r="EZ1502" s="29"/>
      <c r="FA1502" s="29"/>
      <c r="FB1502" s="29"/>
      <c r="FC1502" s="29"/>
      <c r="FD1502" s="29"/>
      <c r="FE1502" s="29"/>
      <c r="FF1502" s="29"/>
      <c r="FG1502" s="29"/>
      <c r="FH1502" s="29"/>
      <c r="FI1502" s="29"/>
      <c r="FJ1502" s="29"/>
      <c r="FK1502" s="29"/>
      <c r="FL1502" s="29"/>
      <c r="FM1502" s="29"/>
      <c r="FN1502" s="29"/>
      <c r="FO1502" s="29"/>
      <c r="FP1502" s="29"/>
      <c r="FQ1502" s="29"/>
      <c r="FR1502" s="29"/>
      <c r="FS1502" s="29"/>
      <c r="FT1502" s="29"/>
      <c r="FU1502" s="29"/>
      <c r="FV1502" s="29"/>
      <c r="FW1502" s="29"/>
      <c r="FX1502" s="29"/>
      <c r="FY1502" s="29"/>
      <c r="FZ1502" s="29"/>
      <c r="GA1502" s="29"/>
      <c r="GB1502" s="29"/>
      <c r="GC1502" s="29"/>
      <c r="GD1502" s="29"/>
      <c r="GE1502" s="29"/>
      <c r="GF1502" s="29"/>
      <c r="GG1502" s="29"/>
      <c r="GH1502" s="29"/>
      <c r="GI1502" s="29"/>
      <c r="GJ1502" s="29"/>
      <c r="GK1502" s="29"/>
      <c r="GL1502" s="29"/>
      <c r="GM1502" s="29"/>
      <c r="GN1502" s="29"/>
      <c r="GO1502" s="29"/>
      <c r="GP1502" s="29"/>
      <c r="GQ1502" s="29"/>
      <c r="GR1502" s="29"/>
      <c r="GS1502" s="29"/>
      <c r="GT1502" s="29"/>
      <c r="GU1502" s="29"/>
      <c r="GV1502" s="29"/>
      <c r="GW1502" s="29"/>
      <c r="GX1502" s="29"/>
      <c r="GY1502" s="29"/>
      <c r="GZ1502" s="29"/>
      <c r="HA1502" s="29"/>
      <c r="HB1502" s="29"/>
      <c r="HC1502" s="29"/>
      <c r="HD1502" s="29"/>
      <c r="HE1502" s="29"/>
      <c r="HF1502" s="29"/>
      <c r="HG1502" s="29"/>
      <c r="HH1502" s="29"/>
      <c r="HI1502" s="29"/>
      <c r="HJ1502" s="29"/>
      <c r="HK1502" s="29"/>
      <c r="HL1502" s="29"/>
      <c r="HM1502" s="29"/>
      <c r="HN1502" s="29"/>
      <c r="HO1502" s="29"/>
      <c r="HP1502" s="29"/>
      <c r="HQ1502" s="29"/>
      <c r="HR1502" s="29"/>
      <c r="HS1502" s="29"/>
      <c r="HT1502" s="29"/>
      <c r="HU1502" s="29"/>
      <c r="HV1502" s="29"/>
      <c r="HW1502" s="29"/>
      <c r="HX1502" s="29"/>
      <c r="HY1502" s="29"/>
      <c r="HZ1502" s="29"/>
      <c r="IA1502" s="29"/>
      <c r="IB1502" s="29"/>
      <c r="IC1502" s="29"/>
      <c r="ID1502" s="29"/>
      <c r="IE1502" s="29"/>
      <c r="IF1502" s="29"/>
      <c r="IG1502" s="29"/>
      <c r="IH1502" s="29"/>
      <c r="II1502" s="29"/>
      <c r="IJ1502" s="29"/>
      <c r="IK1502" s="29"/>
      <c r="IL1502" s="29"/>
      <c r="IM1502" s="29"/>
      <c r="IN1502" s="29"/>
      <c r="IO1502" s="29"/>
      <c r="IP1502" s="29"/>
      <c r="IQ1502" s="29"/>
      <c r="IR1502" s="29"/>
      <c r="IS1502" s="29"/>
      <c r="IT1502" s="29"/>
      <c r="IU1502" s="29"/>
      <c r="IV1502" s="29"/>
      <c r="IW1502" s="29"/>
      <c r="IX1502" s="29"/>
      <c r="IY1502" s="29"/>
      <c r="IZ1502" s="29"/>
      <c r="JA1502" s="29"/>
      <c r="JB1502" s="29"/>
      <c r="JC1502" s="29"/>
      <c r="JD1502" s="29"/>
      <c r="JE1502" s="29"/>
      <c r="JF1502" s="29"/>
      <c r="JG1502" s="29"/>
      <c r="JH1502" s="29"/>
      <c r="JI1502" s="29"/>
      <c r="JJ1502" s="29"/>
      <c r="JK1502" s="29"/>
      <c r="JL1502" s="29"/>
      <c r="JM1502" s="29"/>
      <c r="JN1502" s="29"/>
      <c r="JO1502" s="29"/>
      <c r="JP1502" s="29"/>
      <c r="JQ1502" s="29"/>
      <c r="JR1502" s="29"/>
      <c r="JS1502" s="29"/>
      <c r="JT1502" s="29"/>
      <c r="JU1502" s="29"/>
      <c r="JV1502" s="29"/>
      <c r="JW1502" s="29"/>
      <c r="JX1502" s="29"/>
      <c r="JY1502" s="29"/>
      <c r="JZ1502" s="29"/>
      <c r="KA1502" s="29"/>
      <c r="KB1502" s="29"/>
      <c r="KC1502" s="29"/>
      <c r="KD1502" s="29"/>
      <c r="KE1502" s="29"/>
      <c r="KF1502" s="29"/>
      <c r="KG1502" s="29"/>
      <c r="KH1502" s="29"/>
      <c r="KI1502" s="29"/>
      <c r="KJ1502" s="29"/>
      <c r="KK1502" s="29"/>
      <c r="KL1502" s="29"/>
      <c r="KM1502" s="29"/>
      <c r="KN1502" s="29"/>
      <c r="KO1502" s="29"/>
      <c r="KP1502" s="29"/>
      <c r="KQ1502" s="29"/>
      <c r="KR1502" s="29"/>
      <c r="KS1502" s="29"/>
      <c r="KT1502" s="29"/>
      <c r="KU1502" s="29"/>
      <c r="KV1502" s="29"/>
      <c r="KW1502" s="29"/>
      <c r="KX1502" s="29"/>
      <c r="KY1502" s="29"/>
      <c r="KZ1502" s="29"/>
      <c r="LA1502" s="29"/>
      <c r="LB1502" s="29"/>
      <c r="LC1502" s="29"/>
      <c r="LD1502" s="29"/>
      <c r="LE1502" s="29"/>
      <c r="LF1502" s="29"/>
      <c r="LG1502" s="29"/>
      <c r="LH1502" s="29"/>
      <c r="LI1502" s="29"/>
      <c r="LJ1502" s="29"/>
      <c r="LK1502" s="29"/>
      <c r="LL1502" s="29"/>
      <c r="LM1502" s="29"/>
      <c r="LN1502" s="29"/>
      <c r="LO1502" s="29"/>
      <c r="LP1502" s="29"/>
      <c r="LQ1502" s="29"/>
      <c r="LR1502" s="29"/>
      <c r="LS1502" s="29"/>
      <c r="LT1502" s="29"/>
      <c r="LU1502" s="29"/>
      <c r="LV1502" s="29"/>
      <c r="LW1502" s="29"/>
      <c r="LX1502" s="29"/>
      <c r="LY1502" s="29"/>
      <c r="LZ1502" s="29"/>
      <c r="MA1502" s="29"/>
      <c r="MB1502" s="29"/>
      <c r="MC1502" s="29"/>
      <c r="MD1502" s="29"/>
      <c r="ME1502" s="29"/>
      <c r="MF1502" s="29"/>
      <c r="MG1502" s="29"/>
      <c r="MH1502" s="29"/>
      <c r="MI1502" s="29"/>
      <c r="MJ1502" s="29"/>
      <c r="MK1502" s="29"/>
      <c r="ML1502" s="29"/>
      <c r="MM1502" s="29"/>
      <c r="MN1502" s="29"/>
      <c r="MO1502" s="29"/>
      <c r="MP1502" s="29"/>
      <c r="MQ1502" s="29"/>
      <c r="MR1502" s="29"/>
      <c r="MS1502" s="29"/>
      <c r="MT1502" s="29"/>
      <c r="MU1502" s="29"/>
      <c r="MV1502" s="29"/>
      <c r="MW1502" s="29"/>
      <c r="MX1502" s="29"/>
      <c r="MY1502" s="29"/>
      <c r="MZ1502" s="29"/>
      <c r="NA1502" s="29"/>
      <c r="NB1502" s="29"/>
      <c r="NC1502" s="29"/>
      <c r="ND1502" s="29"/>
      <c r="NE1502" s="29"/>
      <c r="NF1502" s="29"/>
      <c r="NG1502" s="29"/>
      <c r="NH1502" s="29"/>
      <c r="NI1502" s="29"/>
      <c r="NJ1502" s="29"/>
      <c r="NK1502" s="29"/>
      <c r="NL1502" s="29"/>
      <c r="NM1502" s="29"/>
      <c r="NN1502" s="29"/>
      <c r="NO1502" s="29"/>
      <c r="NP1502" s="29"/>
      <c r="NQ1502" s="29"/>
      <c r="NR1502" s="29"/>
      <c r="NS1502" s="29"/>
      <c r="NT1502" s="29"/>
      <c r="NU1502" s="29"/>
      <c r="NV1502" s="29"/>
      <c r="NW1502" s="29"/>
      <c r="NX1502" s="29"/>
      <c r="NY1502" s="29"/>
      <c r="NZ1502" s="29"/>
      <c r="OA1502" s="29"/>
      <c r="OB1502" s="29"/>
      <c r="OC1502" s="29"/>
      <c r="OD1502" s="29"/>
      <c r="OE1502" s="29"/>
      <c r="OF1502" s="29"/>
      <c r="OG1502" s="29"/>
      <c r="OH1502" s="29"/>
      <c r="OI1502" s="29"/>
      <c r="OJ1502" s="29"/>
      <c r="OK1502" s="29"/>
      <c r="OL1502" s="29"/>
      <c r="OM1502" s="29"/>
      <c r="ON1502" s="29"/>
      <c r="OO1502" s="29"/>
      <c r="OP1502" s="29"/>
      <c r="OQ1502" s="29"/>
      <c r="OR1502" s="29"/>
      <c r="OS1502" s="29"/>
      <c r="OT1502" s="29"/>
      <c r="OU1502" s="29"/>
      <c r="OV1502" s="29"/>
      <c r="OW1502" s="29"/>
      <c r="OX1502" s="29"/>
      <c r="OY1502" s="29"/>
      <c r="OZ1502" s="29"/>
      <c r="PA1502" s="29"/>
      <c r="PB1502" s="29"/>
      <c r="PC1502" s="29"/>
      <c r="PD1502" s="29"/>
      <c r="PE1502" s="29"/>
      <c r="PF1502" s="29"/>
      <c r="PG1502" s="29"/>
      <c r="PH1502" s="29"/>
      <c r="PI1502" s="29"/>
      <c r="PJ1502" s="29"/>
      <c r="PK1502" s="29"/>
      <c r="PL1502" s="29"/>
      <c r="PM1502" s="29"/>
      <c r="PN1502" s="29"/>
      <c r="PO1502" s="29"/>
      <c r="PP1502" s="29"/>
      <c r="PQ1502" s="29"/>
      <c r="PR1502" s="29"/>
      <c r="PS1502" s="29"/>
      <c r="PT1502" s="29"/>
      <c r="PU1502" s="29"/>
      <c r="PV1502" s="29"/>
      <c r="PW1502" s="29"/>
      <c r="PX1502" s="29"/>
      <c r="PY1502" s="29"/>
      <c r="PZ1502" s="29"/>
      <c r="QA1502" s="29"/>
      <c r="QB1502" s="29"/>
      <c r="QC1502" s="29"/>
      <c r="QD1502" s="29"/>
      <c r="QE1502" s="29"/>
      <c r="QF1502" s="29"/>
      <c r="QG1502" s="29"/>
      <c r="QH1502" s="29"/>
      <c r="QI1502" s="29"/>
      <c r="QJ1502" s="29"/>
      <c r="QK1502" s="29"/>
      <c r="QL1502" s="29"/>
      <c r="QM1502" s="29"/>
      <c r="QN1502" s="29"/>
      <c r="QO1502" s="29"/>
      <c r="QP1502" s="29"/>
      <c r="QQ1502" s="29"/>
      <c r="QR1502" s="29"/>
      <c r="QS1502" s="29"/>
      <c r="QT1502" s="29"/>
      <c r="QU1502" s="29"/>
      <c r="QV1502" s="29"/>
      <c r="QW1502" s="29"/>
      <c r="QX1502" s="29"/>
      <c r="QY1502" s="29"/>
      <c r="QZ1502" s="29"/>
      <c r="RA1502" s="29"/>
      <c r="RB1502" s="29"/>
      <c r="RC1502" s="29"/>
      <c r="RD1502" s="29"/>
      <c r="RE1502" s="29"/>
      <c r="RF1502" s="29"/>
      <c r="RG1502" s="29"/>
      <c r="RH1502" s="29"/>
      <c r="RI1502" s="29"/>
      <c r="RJ1502" s="29"/>
      <c r="RK1502" s="29"/>
      <c r="RL1502" s="29"/>
      <c r="RM1502" s="29"/>
      <c r="RN1502" s="29"/>
      <c r="RO1502" s="29"/>
      <c r="RP1502" s="29"/>
      <c r="RQ1502" s="29"/>
      <c r="RR1502" s="29"/>
      <c r="RS1502" s="29"/>
      <c r="RT1502" s="29"/>
      <c r="RU1502" s="29"/>
      <c r="RV1502" s="29"/>
      <c r="RW1502" s="29"/>
      <c r="RX1502" s="29"/>
      <c r="RY1502" s="29"/>
      <c r="RZ1502" s="29"/>
      <c r="SA1502" s="29"/>
      <c r="SB1502" s="29"/>
      <c r="SC1502" s="29"/>
      <c r="SD1502" s="29"/>
      <c r="SE1502" s="29"/>
      <c r="SF1502" s="29"/>
      <c r="SG1502" s="29"/>
      <c r="SH1502" s="29"/>
      <c r="SI1502" s="29"/>
      <c r="SJ1502" s="29"/>
      <c r="SK1502" s="29"/>
      <c r="SL1502" s="29"/>
      <c r="SM1502" s="29"/>
      <c r="SN1502" s="29"/>
      <c r="SO1502" s="29"/>
      <c r="SP1502" s="29"/>
      <c r="SQ1502" s="29"/>
      <c r="SR1502" s="29"/>
      <c r="SS1502" s="29"/>
      <c r="ST1502" s="29"/>
      <c r="SU1502" s="29"/>
      <c r="SV1502" s="29"/>
      <c r="SW1502" s="29"/>
      <c r="SX1502" s="29"/>
      <c r="SY1502" s="29"/>
      <c r="SZ1502" s="29"/>
      <c r="TA1502" s="29"/>
      <c r="TB1502" s="29"/>
      <c r="TC1502" s="29"/>
      <c r="TD1502" s="29"/>
      <c r="TE1502" s="29"/>
      <c r="TF1502" s="29"/>
      <c r="TG1502" s="29"/>
      <c r="TH1502" s="29"/>
      <c r="TI1502" s="29"/>
      <c r="TJ1502" s="29"/>
      <c r="TK1502" s="29"/>
      <c r="TL1502" s="29"/>
      <c r="TM1502" s="29"/>
      <c r="TN1502" s="29"/>
      <c r="TO1502" s="29"/>
      <c r="TP1502" s="29"/>
      <c r="TQ1502" s="29"/>
      <c r="TR1502" s="29"/>
      <c r="TS1502" s="29"/>
      <c r="TT1502" s="29"/>
      <c r="TU1502" s="29"/>
      <c r="TV1502" s="29"/>
      <c r="TW1502" s="29"/>
      <c r="TX1502" s="29"/>
      <c r="TY1502" s="29"/>
      <c r="TZ1502" s="29"/>
      <c r="UA1502" s="29"/>
      <c r="UB1502" s="29"/>
      <c r="UC1502" s="29"/>
      <c r="UD1502" s="29"/>
      <c r="UE1502" s="29"/>
      <c r="UF1502" s="29"/>
      <c r="UG1502" s="29"/>
    </row>
    <row r="1503" spans="1:553" ht="42" customHeight="1">
      <c r="A1503" s="356"/>
      <c r="B1503" s="428"/>
      <c r="C1503" s="1451" t="s">
        <v>64</v>
      </c>
      <c r="D1503" s="1389"/>
      <c r="E1503" s="1389"/>
      <c r="F1503" s="1390"/>
      <c r="G1503" s="386" t="s">
        <v>65</v>
      </c>
      <c r="H1503" s="370"/>
      <c r="I1503" s="1056"/>
      <c r="J1503" s="368"/>
      <c r="K1503" s="371"/>
      <c r="L1503" s="480"/>
      <c r="M1503" s="356"/>
      <c r="N1503" s="356"/>
      <c r="O1503" s="356"/>
      <c r="P1503" s="356"/>
      <c r="Q1503" s="610"/>
      <c r="R1503" s="1226"/>
      <c r="S1503" s="308"/>
      <c r="T1503" s="308"/>
      <c r="U1503" s="308"/>
      <c r="V1503" s="308"/>
      <c r="W1503" s="308"/>
      <c r="X1503" s="308"/>
      <c r="Y1503" s="308"/>
      <c r="Z1503" s="604"/>
      <c r="AA1503" s="308"/>
      <c r="AB1503" s="308"/>
      <c r="AC1503" s="486"/>
      <c r="AD1503" s="486"/>
      <c r="AE1503" s="486"/>
      <c r="AF1503" s="486"/>
      <c r="AG1503" s="486"/>
      <c r="AH1503" s="486"/>
      <c r="AI1503" s="486"/>
      <c r="AJ1503" s="486"/>
      <c r="AK1503" s="486"/>
      <c r="AL1503" s="206"/>
      <c r="AM1503" s="29"/>
      <c r="AN1503" s="29"/>
      <c r="AO1503" s="29"/>
      <c r="AP1503" s="29"/>
      <c r="AQ1503" s="29"/>
      <c r="AR1503" s="29"/>
      <c r="AS1503" s="29"/>
      <c r="AT1503" s="29"/>
      <c r="AU1503" s="29"/>
      <c r="AV1503" s="29"/>
      <c r="AW1503" s="29"/>
      <c r="AX1503" s="29"/>
      <c r="AY1503" s="29"/>
      <c r="AZ1503" s="29"/>
      <c r="BA1503" s="29"/>
      <c r="BB1503" s="29"/>
      <c r="BC1503" s="29"/>
      <c r="BD1503" s="29"/>
      <c r="BE1503" s="29"/>
      <c r="BF1503" s="29"/>
      <c r="BG1503" s="29"/>
      <c r="BH1503" s="29"/>
      <c r="BI1503" s="29"/>
      <c r="BJ1503" s="29"/>
      <c r="BK1503" s="29"/>
      <c r="BL1503" s="29"/>
      <c r="BM1503" s="29"/>
      <c r="BN1503" s="29"/>
      <c r="BO1503" s="29"/>
      <c r="BP1503" s="29"/>
      <c r="BQ1503" s="29"/>
      <c r="BR1503" s="29"/>
      <c r="BS1503" s="29"/>
      <c r="BT1503" s="29"/>
      <c r="BU1503" s="29"/>
      <c r="BV1503" s="29"/>
      <c r="BW1503" s="29"/>
      <c r="BX1503" s="29"/>
      <c r="BY1503" s="29"/>
      <c r="BZ1503" s="29"/>
      <c r="CA1503" s="29"/>
      <c r="CB1503" s="29"/>
      <c r="CC1503" s="29"/>
      <c r="CD1503" s="29"/>
      <c r="CE1503" s="29"/>
      <c r="CF1503" s="29"/>
      <c r="CG1503" s="29"/>
      <c r="CH1503" s="29"/>
      <c r="CI1503" s="29"/>
      <c r="CJ1503" s="29"/>
      <c r="CK1503" s="29"/>
      <c r="CL1503" s="29"/>
      <c r="CM1503" s="29"/>
      <c r="CN1503" s="29"/>
      <c r="CO1503" s="29"/>
      <c r="CP1503" s="29"/>
      <c r="CQ1503" s="29"/>
      <c r="CR1503" s="29"/>
      <c r="CS1503" s="29"/>
      <c r="CT1503" s="29"/>
      <c r="CU1503" s="29"/>
      <c r="CV1503" s="29"/>
      <c r="CW1503" s="29"/>
      <c r="CX1503" s="29"/>
      <c r="CY1503" s="29"/>
      <c r="CZ1503" s="29"/>
      <c r="DA1503" s="29"/>
      <c r="DB1503" s="29"/>
      <c r="DC1503" s="29"/>
      <c r="DD1503" s="29"/>
      <c r="DE1503" s="29"/>
      <c r="DF1503" s="29"/>
      <c r="DG1503" s="29"/>
      <c r="DH1503" s="29"/>
      <c r="DI1503" s="29"/>
      <c r="DJ1503" s="29"/>
      <c r="DK1503" s="29"/>
      <c r="DL1503" s="29"/>
      <c r="DM1503" s="29"/>
      <c r="DN1503" s="29"/>
      <c r="DO1503" s="29"/>
      <c r="DP1503" s="29"/>
      <c r="DQ1503" s="29"/>
      <c r="DR1503" s="29"/>
      <c r="DS1503" s="29"/>
      <c r="DT1503" s="29"/>
      <c r="DU1503" s="29"/>
      <c r="DV1503" s="29"/>
      <c r="DW1503" s="29"/>
      <c r="DX1503" s="29"/>
      <c r="DY1503" s="29"/>
      <c r="DZ1503" s="29"/>
      <c r="EA1503" s="29"/>
      <c r="EB1503" s="29"/>
      <c r="EC1503" s="29"/>
      <c r="ED1503" s="29"/>
      <c r="EE1503" s="29"/>
      <c r="EF1503" s="29"/>
      <c r="EG1503" s="29"/>
      <c r="EH1503" s="29"/>
      <c r="EI1503" s="29"/>
      <c r="EJ1503" s="29"/>
      <c r="EK1503" s="29"/>
      <c r="EL1503" s="29"/>
      <c r="EM1503" s="29"/>
      <c r="EN1503" s="29"/>
      <c r="EO1503" s="29"/>
      <c r="EP1503" s="29"/>
      <c r="EQ1503" s="29"/>
      <c r="ER1503" s="29"/>
      <c r="ES1503" s="29"/>
      <c r="ET1503" s="29"/>
      <c r="EU1503" s="29"/>
      <c r="EV1503" s="29"/>
      <c r="EW1503" s="29"/>
      <c r="EX1503" s="29"/>
      <c r="EY1503" s="29"/>
      <c r="EZ1503" s="29"/>
      <c r="FA1503" s="29"/>
      <c r="FB1503" s="29"/>
      <c r="FC1503" s="29"/>
      <c r="FD1503" s="29"/>
      <c r="FE1503" s="29"/>
      <c r="FF1503" s="29"/>
      <c r="FG1503" s="29"/>
      <c r="FH1503" s="29"/>
      <c r="FI1503" s="29"/>
      <c r="FJ1503" s="29"/>
      <c r="FK1503" s="29"/>
      <c r="FL1503" s="29"/>
      <c r="FM1503" s="29"/>
      <c r="FN1503" s="29"/>
      <c r="FO1503" s="29"/>
      <c r="FP1503" s="29"/>
      <c r="FQ1503" s="29"/>
      <c r="FR1503" s="29"/>
      <c r="FS1503" s="29"/>
      <c r="FT1503" s="29"/>
      <c r="FU1503" s="29"/>
      <c r="FV1503" s="29"/>
      <c r="FW1503" s="29"/>
      <c r="FX1503" s="29"/>
      <c r="FY1503" s="29"/>
      <c r="FZ1503" s="29"/>
      <c r="GA1503" s="29"/>
      <c r="GB1503" s="29"/>
      <c r="GC1503" s="29"/>
      <c r="GD1503" s="29"/>
      <c r="GE1503" s="29"/>
      <c r="GF1503" s="29"/>
      <c r="GG1503" s="29"/>
      <c r="GH1503" s="29"/>
      <c r="GI1503" s="29"/>
      <c r="GJ1503" s="29"/>
      <c r="GK1503" s="29"/>
      <c r="GL1503" s="29"/>
      <c r="GM1503" s="29"/>
      <c r="GN1503" s="29"/>
      <c r="GO1503" s="29"/>
      <c r="GP1503" s="29"/>
      <c r="GQ1503" s="29"/>
      <c r="GR1503" s="29"/>
      <c r="GS1503" s="29"/>
      <c r="GT1503" s="29"/>
      <c r="GU1503" s="29"/>
      <c r="GV1503" s="29"/>
      <c r="GW1503" s="29"/>
      <c r="GX1503" s="29"/>
      <c r="GY1503" s="29"/>
      <c r="GZ1503" s="29"/>
      <c r="HA1503" s="29"/>
      <c r="HB1503" s="29"/>
      <c r="HC1503" s="29"/>
      <c r="HD1503" s="29"/>
      <c r="HE1503" s="29"/>
      <c r="HF1503" s="29"/>
      <c r="HG1503" s="29"/>
      <c r="HH1503" s="29"/>
      <c r="HI1503" s="29"/>
      <c r="HJ1503" s="29"/>
      <c r="HK1503" s="29"/>
      <c r="HL1503" s="29"/>
      <c r="HM1503" s="29"/>
      <c r="HN1503" s="29"/>
      <c r="HO1503" s="29"/>
      <c r="HP1503" s="29"/>
      <c r="HQ1503" s="29"/>
      <c r="HR1503" s="29"/>
      <c r="HS1503" s="29"/>
      <c r="HT1503" s="29"/>
      <c r="HU1503" s="29"/>
      <c r="HV1503" s="29"/>
      <c r="HW1503" s="29"/>
      <c r="HX1503" s="29"/>
      <c r="HY1503" s="29"/>
      <c r="HZ1503" s="29"/>
      <c r="IA1503" s="29"/>
      <c r="IB1503" s="29"/>
      <c r="IC1503" s="29"/>
      <c r="ID1503" s="29"/>
      <c r="IE1503" s="29"/>
      <c r="IF1503" s="29"/>
      <c r="IG1503" s="29"/>
      <c r="IH1503" s="29"/>
      <c r="II1503" s="29"/>
      <c r="IJ1503" s="29"/>
      <c r="IK1503" s="29"/>
      <c r="IL1503" s="29"/>
      <c r="IM1503" s="29"/>
      <c r="IN1503" s="29"/>
      <c r="IO1503" s="29"/>
      <c r="IP1503" s="29"/>
      <c r="IQ1503" s="29"/>
      <c r="IR1503" s="29"/>
      <c r="IS1503" s="29"/>
      <c r="IT1503" s="29"/>
      <c r="IU1503" s="29"/>
      <c r="IV1503" s="29"/>
      <c r="IW1503" s="29"/>
      <c r="IX1503" s="29"/>
      <c r="IY1503" s="29"/>
      <c r="IZ1503" s="29"/>
      <c r="JA1503" s="29"/>
      <c r="JB1503" s="29"/>
      <c r="JC1503" s="29"/>
      <c r="JD1503" s="29"/>
      <c r="JE1503" s="29"/>
      <c r="JF1503" s="29"/>
      <c r="JG1503" s="29"/>
      <c r="JH1503" s="29"/>
      <c r="JI1503" s="29"/>
      <c r="JJ1503" s="29"/>
      <c r="JK1503" s="29"/>
      <c r="JL1503" s="29"/>
      <c r="JM1503" s="29"/>
      <c r="JN1503" s="29"/>
      <c r="JO1503" s="29"/>
      <c r="JP1503" s="29"/>
      <c r="JQ1503" s="29"/>
      <c r="JR1503" s="29"/>
      <c r="JS1503" s="29"/>
      <c r="JT1503" s="29"/>
      <c r="JU1503" s="29"/>
      <c r="JV1503" s="29"/>
      <c r="JW1503" s="29"/>
      <c r="JX1503" s="29"/>
      <c r="JY1503" s="29"/>
      <c r="JZ1503" s="29"/>
      <c r="KA1503" s="29"/>
      <c r="KB1503" s="29"/>
      <c r="KC1503" s="29"/>
      <c r="KD1503" s="29"/>
      <c r="KE1503" s="29"/>
      <c r="KF1503" s="29"/>
      <c r="KG1503" s="29"/>
      <c r="KH1503" s="29"/>
      <c r="KI1503" s="29"/>
      <c r="KJ1503" s="29"/>
      <c r="KK1503" s="29"/>
      <c r="KL1503" s="29"/>
      <c r="KM1503" s="29"/>
      <c r="KN1503" s="29"/>
      <c r="KO1503" s="29"/>
      <c r="KP1503" s="29"/>
      <c r="KQ1503" s="29"/>
      <c r="KR1503" s="29"/>
      <c r="KS1503" s="29"/>
      <c r="KT1503" s="29"/>
      <c r="KU1503" s="29"/>
      <c r="KV1503" s="29"/>
      <c r="KW1503" s="29"/>
      <c r="KX1503" s="29"/>
      <c r="KY1503" s="29"/>
      <c r="KZ1503" s="29"/>
      <c r="LA1503" s="29"/>
      <c r="LB1503" s="29"/>
      <c r="LC1503" s="29"/>
      <c r="LD1503" s="29"/>
      <c r="LE1503" s="29"/>
      <c r="LF1503" s="29"/>
      <c r="LG1503" s="29"/>
      <c r="LH1503" s="29"/>
      <c r="LI1503" s="29"/>
      <c r="LJ1503" s="29"/>
      <c r="LK1503" s="29"/>
      <c r="LL1503" s="29"/>
      <c r="LM1503" s="29"/>
      <c r="LN1503" s="29"/>
      <c r="LO1503" s="29"/>
      <c r="LP1503" s="29"/>
      <c r="LQ1503" s="29"/>
      <c r="LR1503" s="29"/>
      <c r="LS1503" s="29"/>
      <c r="LT1503" s="29"/>
      <c r="LU1503" s="29"/>
      <c r="LV1503" s="29"/>
      <c r="LW1503" s="29"/>
      <c r="LX1503" s="29"/>
      <c r="LY1503" s="29"/>
      <c r="LZ1503" s="29"/>
      <c r="MA1503" s="29"/>
      <c r="MB1503" s="29"/>
      <c r="MC1503" s="29"/>
      <c r="MD1503" s="29"/>
      <c r="ME1503" s="29"/>
      <c r="MF1503" s="29"/>
      <c r="MG1503" s="29"/>
      <c r="MH1503" s="29"/>
      <c r="MI1503" s="29"/>
      <c r="MJ1503" s="29"/>
      <c r="MK1503" s="29"/>
      <c r="ML1503" s="29"/>
      <c r="MM1503" s="29"/>
      <c r="MN1503" s="29"/>
      <c r="MO1503" s="29"/>
      <c r="MP1503" s="29"/>
      <c r="MQ1503" s="29"/>
      <c r="MR1503" s="29"/>
      <c r="MS1503" s="29"/>
      <c r="MT1503" s="29"/>
      <c r="MU1503" s="29"/>
      <c r="MV1503" s="29"/>
      <c r="MW1503" s="29"/>
      <c r="MX1503" s="29"/>
      <c r="MY1503" s="29"/>
      <c r="MZ1503" s="29"/>
      <c r="NA1503" s="29"/>
      <c r="NB1503" s="29"/>
      <c r="NC1503" s="29"/>
      <c r="ND1503" s="29"/>
      <c r="NE1503" s="29"/>
      <c r="NF1503" s="29"/>
      <c r="NG1503" s="29"/>
      <c r="NH1503" s="29"/>
      <c r="NI1503" s="29"/>
      <c r="NJ1503" s="29"/>
      <c r="NK1503" s="29"/>
      <c r="NL1503" s="29"/>
      <c r="NM1503" s="29"/>
      <c r="NN1503" s="29"/>
      <c r="NO1503" s="29"/>
      <c r="NP1503" s="29"/>
      <c r="NQ1503" s="29"/>
      <c r="NR1503" s="29"/>
      <c r="NS1503" s="29"/>
      <c r="NT1503" s="29"/>
      <c r="NU1503" s="29"/>
      <c r="NV1503" s="29"/>
      <c r="NW1503" s="29"/>
      <c r="NX1503" s="29"/>
      <c r="NY1503" s="29"/>
      <c r="NZ1503" s="29"/>
      <c r="OA1503" s="29"/>
      <c r="OB1503" s="29"/>
      <c r="OC1503" s="29"/>
      <c r="OD1503" s="29"/>
      <c r="OE1503" s="29"/>
      <c r="OF1503" s="29"/>
      <c r="OG1503" s="29"/>
      <c r="OH1503" s="29"/>
      <c r="OI1503" s="29"/>
      <c r="OJ1503" s="29"/>
      <c r="OK1503" s="29"/>
      <c r="OL1503" s="29"/>
      <c r="OM1503" s="29"/>
      <c r="ON1503" s="29"/>
      <c r="OO1503" s="29"/>
      <c r="OP1503" s="29"/>
      <c r="OQ1503" s="29"/>
      <c r="OR1503" s="29"/>
      <c r="OS1503" s="29"/>
      <c r="OT1503" s="29"/>
      <c r="OU1503" s="29"/>
      <c r="OV1503" s="29"/>
      <c r="OW1503" s="29"/>
      <c r="OX1503" s="29"/>
      <c r="OY1503" s="29"/>
      <c r="OZ1503" s="29"/>
      <c r="PA1503" s="29"/>
      <c r="PB1503" s="29"/>
      <c r="PC1503" s="29"/>
      <c r="PD1503" s="29"/>
      <c r="PE1503" s="29"/>
      <c r="PF1503" s="29"/>
      <c r="PG1503" s="29"/>
      <c r="PH1503" s="29"/>
      <c r="PI1503" s="29"/>
      <c r="PJ1503" s="29"/>
      <c r="PK1503" s="29"/>
      <c r="PL1503" s="29"/>
      <c r="PM1503" s="29"/>
      <c r="PN1503" s="29"/>
      <c r="PO1503" s="29"/>
      <c r="PP1503" s="29"/>
      <c r="PQ1503" s="29"/>
      <c r="PR1503" s="29"/>
      <c r="PS1503" s="29"/>
      <c r="PT1503" s="29"/>
      <c r="PU1503" s="29"/>
      <c r="PV1503" s="29"/>
      <c r="PW1503" s="29"/>
      <c r="PX1503" s="29"/>
      <c r="PY1503" s="29"/>
      <c r="PZ1503" s="29"/>
      <c r="QA1503" s="29"/>
      <c r="QB1503" s="29"/>
      <c r="QC1503" s="29"/>
      <c r="QD1503" s="29"/>
      <c r="QE1503" s="29"/>
      <c r="QF1503" s="29"/>
      <c r="QG1503" s="29"/>
      <c r="QH1503" s="29"/>
      <c r="QI1503" s="29"/>
      <c r="QJ1503" s="29"/>
      <c r="QK1503" s="29"/>
      <c r="QL1503" s="29"/>
      <c r="QM1503" s="29"/>
      <c r="QN1503" s="29"/>
      <c r="QO1503" s="29"/>
      <c r="QP1503" s="29"/>
      <c r="QQ1503" s="29"/>
      <c r="QR1503" s="29"/>
      <c r="QS1503" s="29"/>
      <c r="QT1503" s="29"/>
      <c r="QU1503" s="29"/>
      <c r="QV1503" s="29"/>
      <c r="QW1503" s="29"/>
      <c r="QX1503" s="29"/>
      <c r="QY1503" s="29"/>
      <c r="QZ1503" s="29"/>
      <c r="RA1503" s="29"/>
      <c r="RB1503" s="29"/>
      <c r="RC1503" s="29"/>
      <c r="RD1503" s="29"/>
      <c r="RE1503" s="29"/>
      <c r="RF1503" s="29"/>
      <c r="RG1503" s="29"/>
      <c r="RH1503" s="29"/>
      <c r="RI1503" s="29"/>
      <c r="RJ1503" s="29"/>
      <c r="RK1503" s="29"/>
      <c r="RL1503" s="29"/>
      <c r="RM1503" s="29"/>
      <c r="RN1503" s="29"/>
      <c r="RO1503" s="29"/>
      <c r="RP1503" s="29"/>
      <c r="RQ1503" s="29"/>
      <c r="RR1503" s="29"/>
      <c r="RS1503" s="29"/>
      <c r="RT1503" s="29"/>
      <c r="RU1503" s="29"/>
      <c r="RV1503" s="29"/>
      <c r="RW1503" s="29"/>
      <c r="RX1503" s="29"/>
      <c r="RY1503" s="29"/>
      <c r="RZ1503" s="29"/>
      <c r="SA1503" s="29"/>
      <c r="SB1503" s="29"/>
      <c r="SC1503" s="29"/>
      <c r="SD1503" s="29"/>
      <c r="SE1503" s="29"/>
      <c r="SF1503" s="29"/>
      <c r="SG1503" s="29"/>
      <c r="SH1503" s="29"/>
      <c r="SI1503" s="29"/>
      <c r="SJ1503" s="29"/>
      <c r="SK1503" s="29"/>
      <c r="SL1503" s="29"/>
      <c r="SM1503" s="29"/>
      <c r="SN1503" s="29"/>
      <c r="SO1503" s="29"/>
      <c r="SP1503" s="29"/>
      <c r="SQ1503" s="29"/>
      <c r="SR1503" s="29"/>
      <c r="SS1503" s="29"/>
      <c r="ST1503" s="29"/>
      <c r="SU1503" s="29"/>
      <c r="SV1503" s="29"/>
      <c r="SW1503" s="29"/>
      <c r="SX1503" s="29"/>
      <c r="SY1503" s="29"/>
      <c r="SZ1503" s="29"/>
      <c r="TA1503" s="29"/>
      <c r="TB1503" s="29"/>
      <c r="TC1503" s="29"/>
      <c r="TD1503" s="29"/>
      <c r="TE1503" s="29"/>
      <c r="TF1503" s="29"/>
      <c r="TG1503" s="29"/>
      <c r="TH1503" s="29"/>
      <c r="TI1503" s="29"/>
      <c r="TJ1503" s="29"/>
      <c r="TK1503" s="29"/>
      <c r="TL1503" s="29"/>
      <c r="TM1503" s="29"/>
      <c r="TN1503" s="29"/>
      <c r="TO1503" s="29"/>
      <c r="TP1503" s="29"/>
      <c r="TQ1503" s="29"/>
      <c r="TR1503" s="29"/>
      <c r="TS1503" s="29"/>
      <c r="TT1503" s="29"/>
      <c r="TU1503" s="29"/>
      <c r="TV1503" s="29"/>
      <c r="TW1503" s="29"/>
      <c r="TX1503" s="29"/>
      <c r="TY1503" s="29"/>
      <c r="TZ1503" s="29"/>
      <c r="UA1503" s="29"/>
      <c r="UB1503" s="29"/>
      <c r="UC1503" s="29"/>
      <c r="UD1503" s="29"/>
      <c r="UE1503" s="29"/>
      <c r="UF1503" s="29"/>
      <c r="UG1503" s="29"/>
    </row>
    <row r="1504" spans="1:553" ht="42" customHeight="1">
      <c r="A1504" s="356" t="s">
        <v>66</v>
      </c>
      <c r="B1504" s="356"/>
      <c r="C1504" s="1491" t="s">
        <v>67</v>
      </c>
      <c r="D1504" s="1389"/>
      <c r="E1504" s="1389"/>
      <c r="F1504" s="1390"/>
      <c r="G1504" s="356"/>
      <c r="H1504" s="359"/>
      <c r="I1504" s="359"/>
      <c r="J1504" s="357"/>
      <c r="K1504" s="364"/>
      <c r="L1504" s="645"/>
      <c r="M1504" s="356"/>
      <c r="N1504" s="356"/>
      <c r="O1504" s="356"/>
      <c r="P1504" s="356"/>
      <c r="Q1504" s="610"/>
      <c r="R1504" s="421"/>
      <c r="S1504" s="308"/>
      <c r="T1504" s="308"/>
      <c r="U1504" s="308"/>
      <c r="V1504" s="308"/>
      <c r="W1504" s="308"/>
      <c r="X1504" s="308"/>
      <c r="Y1504" s="308"/>
      <c r="Z1504" s="604"/>
      <c r="AA1504" s="308"/>
      <c r="AB1504" s="308"/>
      <c r="AC1504" s="486"/>
      <c r="AD1504" s="486"/>
      <c r="AE1504" s="486"/>
      <c r="AF1504" s="486"/>
      <c r="AG1504" s="486"/>
      <c r="AH1504" s="486"/>
      <c r="AI1504" s="486"/>
      <c r="AJ1504" s="486"/>
      <c r="AK1504" s="486"/>
      <c r="AL1504" s="206"/>
      <c r="AM1504" s="29"/>
      <c r="AN1504" s="29"/>
      <c r="AO1504" s="29"/>
      <c r="AP1504" s="29"/>
      <c r="AQ1504" s="29"/>
      <c r="AR1504" s="29"/>
      <c r="AS1504" s="29"/>
      <c r="AT1504" s="29"/>
      <c r="AU1504" s="29"/>
      <c r="AV1504" s="29"/>
      <c r="AW1504" s="29"/>
      <c r="AX1504" s="29"/>
      <c r="AY1504" s="29"/>
      <c r="AZ1504" s="29"/>
      <c r="BA1504" s="29"/>
      <c r="BB1504" s="29"/>
      <c r="BC1504" s="29"/>
      <c r="BD1504" s="29"/>
      <c r="BE1504" s="29"/>
      <c r="BF1504" s="29"/>
      <c r="BG1504" s="29"/>
      <c r="BH1504" s="29"/>
      <c r="BI1504" s="29"/>
      <c r="BJ1504" s="29"/>
      <c r="BK1504" s="29"/>
      <c r="BL1504" s="29"/>
      <c r="BM1504" s="29"/>
      <c r="BN1504" s="29"/>
      <c r="BO1504" s="29"/>
      <c r="BP1504" s="29"/>
      <c r="BQ1504" s="29"/>
      <c r="BR1504" s="29"/>
      <c r="BS1504" s="29"/>
      <c r="BT1504" s="29"/>
      <c r="BU1504" s="29"/>
      <c r="BV1504" s="29"/>
      <c r="BW1504" s="29"/>
      <c r="BX1504" s="29"/>
      <c r="BY1504" s="29"/>
      <c r="BZ1504" s="29"/>
      <c r="CA1504" s="29"/>
      <c r="CB1504" s="29"/>
      <c r="CC1504" s="29"/>
      <c r="CD1504" s="29"/>
      <c r="CE1504" s="29"/>
      <c r="CF1504" s="29"/>
      <c r="CG1504" s="29"/>
      <c r="CH1504" s="29"/>
      <c r="CI1504" s="29"/>
      <c r="CJ1504" s="29"/>
      <c r="CK1504" s="29"/>
      <c r="CL1504" s="29"/>
      <c r="CM1504" s="29"/>
      <c r="CN1504" s="29"/>
      <c r="CO1504" s="29"/>
      <c r="CP1504" s="29"/>
      <c r="CQ1504" s="29"/>
      <c r="CR1504" s="29"/>
      <c r="CS1504" s="29"/>
      <c r="CT1504" s="29"/>
      <c r="CU1504" s="29"/>
      <c r="CV1504" s="29"/>
      <c r="CW1504" s="29"/>
      <c r="CX1504" s="29"/>
      <c r="CY1504" s="29"/>
      <c r="CZ1504" s="29"/>
      <c r="DA1504" s="29"/>
      <c r="DB1504" s="29"/>
      <c r="DC1504" s="29"/>
      <c r="DD1504" s="29"/>
      <c r="DE1504" s="29"/>
      <c r="DF1504" s="29"/>
      <c r="DG1504" s="29"/>
      <c r="DH1504" s="29"/>
      <c r="DI1504" s="29"/>
      <c r="DJ1504" s="29"/>
      <c r="DK1504" s="29"/>
      <c r="DL1504" s="29"/>
      <c r="DM1504" s="29"/>
      <c r="DN1504" s="29"/>
      <c r="DO1504" s="29"/>
      <c r="DP1504" s="29"/>
      <c r="DQ1504" s="29"/>
      <c r="DR1504" s="29"/>
      <c r="DS1504" s="29"/>
      <c r="DT1504" s="29"/>
      <c r="DU1504" s="29"/>
      <c r="DV1504" s="29"/>
      <c r="DW1504" s="29"/>
      <c r="DX1504" s="29"/>
      <c r="DY1504" s="29"/>
      <c r="DZ1504" s="29"/>
      <c r="EA1504" s="29"/>
      <c r="EB1504" s="29"/>
      <c r="EC1504" s="29"/>
      <c r="ED1504" s="29"/>
      <c r="EE1504" s="29"/>
      <c r="EF1504" s="29"/>
      <c r="EG1504" s="29"/>
      <c r="EH1504" s="29"/>
      <c r="EI1504" s="29"/>
      <c r="EJ1504" s="29"/>
      <c r="EK1504" s="29"/>
      <c r="EL1504" s="29"/>
      <c r="EM1504" s="29"/>
      <c r="EN1504" s="29"/>
      <c r="EO1504" s="29"/>
      <c r="EP1504" s="29"/>
      <c r="EQ1504" s="29"/>
      <c r="ER1504" s="29"/>
      <c r="ES1504" s="29"/>
      <c r="ET1504" s="29"/>
      <c r="EU1504" s="29"/>
      <c r="EV1504" s="29"/>
      <c r="EW1504" s="29"/>
      <c r="EX1504" s="29"/>
      <c r="EY1504" s="29"/>
      <c r="EZ1504" s="29"/>
      <c r="FA1504" s="29"/>
      <c r="FB1504" s="29"/>
      <c r="FC1504" s="29"/>
      <c r="FD1504" s="29"/>
      <c r="FE1504" s="29"/>
      <c r="FF1504" s="29"/>
      <c r="FG1504" s="29"/>
      <c r="FH1504" s="29"/>
      <c r="FI1504" s="29"/>
      <c r="FJ1504" s="29"/>
      <c r="FK1504" s="29"/>
      <c r="FL1504" s="29"/>
      <c r="FM1504" s="29"/>
      <c r="FN1504" s="29"/>
      <c r="FO1504" s="29"/>
      <c r="FP1504" s="29"/>
      <c r="FQ1504" s="29"/>
      <c r="FR1504" s="29"/>
      <c r="FS1504" s="29"/>
      <c r="FT1504" s="29"/>
      <c r="FU1504" s="29"/>
      <c r="FV1504" s="29"/>
      <c r="FW1504" s="29"/>
      <c r="FX1504" s="29"/>
      <c r="FY1504" s="29"/>
      <c r="FZ1504" s="29"/>
      <c r="GA1504" s="29"/>
      <c r="GB1504" s="29"/>
      <c r="GC1504" s="29"/>
      <c r="GD1504" s="29"/>
      <c r="GE1504" s="29"/>
      <c r="GF1504" s="29"/>
      <c r="GG1504" s="29"/>
      <c r="GH1504" s="29"/>
      <c r="GI1504" s="29"/>
      <c r="GJ1504" s="29"/>
      <c r="GK1504" s="29"/>
      <c r="GL1504" s="29"/>
      <c r="GM1504" s="29"/>
      <c r="GN1504" s="29"/>
      <c r="GO1504" s="29"/>
      <c r="GP1504" s="29"/>
      <c r="GQ1504" s="29"/>
      <c r="GR1504" s="29"/>
      <c r="GS1504" s="29"/>
      <c r="GT1504" s="29"/>
      <c r="GU1504" s="29"/>
      <c r="GV1504" s="29"/>
      <c r="GW1504" s="29"/>
      <c r="GX1504" s="29"/>
      <c r="GY1504" s="29"/>
      <c r="GZ1504" s="29"/>
      <c r="HA1504" s="29"/>
      <c r="HB1504" s="29"/>
      <c r="HC1504" s="29"/>
      <c r="HD1504" s="29"/>
      <c r="HE1504" s="29"/>
      <c r="HF1504" s="29"/>
      <c r="HG1504" s="29"/>
      <c r="HH1504" s="29"/>
      <c r="HI1504" s="29"/>
      <c r="HJ1504" s="29"/>
      <c r="HK1504" s="29"/>
      <c r="HL1504" s="29"/>
      <c r="HM1504" s="29"/>
      <c r="HN1504" s="29"/>
      <c r="HO1504" s="29"/>
      <c r="HP1504" s="29"/>
      <c r="HQ1504" s="29"/>
      <c r="HR1504" s="29"/>
      <c r="HS1504" s="29"/>
      <c r="HT1504" s="29"/>
      <c r="HU1504" s="29"/>
      <c r="HV1504" s="29"/>
      <c r="HW1504" s="29"/>
      <c r="HX1504" s="29"/>
      <c r="HY1504" s="29"/>
      <c r="HZ1504" s="29"/>
      <c r="IA1504" s="29"/>
      <c r="IB1504" s="29"/>
      <c r="IC1504" s="29"/>
      <c r="ID1504" s="29"/>
      <c r="IE1504" s="29"/>
      <c r="IF1504" s="29"/>
      <c r="IG1504" s="29"/>
      <c r="IH1504" s="29"/>
      <c r="II1504" s="29"/>
      <c r="IJ1504" s="29"/>
      <c r="IK1504" s="29"/>
      <c r="IL1504" s="29"/>
      <c r="IM1504" s="29"/>
      <c r="IN1504" s="29"/>
      <c r="IO1504" s="29"/>
      <c r="IP1504" s="29"/>
      <c r="IQ1504" s="29"/>
      <c r="IR1504" s="29"/>
      <c r="IS1504" s="29"/>
      <c r="IT1504" s="29"/>
      <c r="IU1504" s="29"/>
      <c r="IV1504" s="29"/>
      <c r="IW1504" s="29"/>
      <c r="IX1504" s="29"/>
      <c r="IY1504" s="29"/>
      <c r="IZ1504" s="29"/>
      <c r="JA1504" s="29"/>
      <c r="JB1504" s="29"/>
      <c r="JC1504" s="29"/>
      <c r="JD1504" s="29"/>
      <c r="JE1504" s="29"/>
      <c r="JF1504" s="29"/>
      <c r="JG1504" s="29"/>
      <c r="JH1504" s="29"/>
      <c r="JI1504" s="29"/>
      <c r="JJ1504" s="29"/>
      <c r="JK1504" s="29"/>
      <c r="JL1504" s="29"/>
      <c r="JM1504" s="29"/>
      <c r="JN1504" s="29"/>
      <c r="JO1504" s="29"/>
      <c r="JP1504" s="29"/>
      <c r="JQ1504" s="29"/>
      <c r="JR1504" s="29"/>
      <c r="JS1504" s="29"/>
      <c r="JT1504" s="29"/>
      <c r="JU1504" s="29"/>
      <c r="JV1504" s="29"/>
      <c r="JW1504" s="29"/>
      <c r="JX1504" s="29"/>
      <c r="JY1504" s="29"/>
      <c r="JZ1504" s="29"/>
      <c r="KA1504" s="29"/>
      <c r="KB1504" s="29"/>
      <c r="KC1504" s="29"/>
      <c r="KD1504" s="29"/>
      <c r="KE1504" s="29"/>
      <c r="KF1504" s="29"/>
      <c r="KG1504" s="29"/>
      <c r="KH1504" s="29"/>
      <c r="KI1504" s="29"/>
      <c r="KJ1504" s="29"/>
      <c r="KK1504" s="29"/>
      <c r="KL1504" s="29"/>
      <c r="KM1504" s="29"/>
      <c r="KN1504" s="29"/>
      <c r="KO1504" s="29"/>
      <c r="KP1504" s="29"/>
      <c r="KQ1504" s="29"/>
      <c r="KR1504" s="29"/>
      <c r="KS1504" s="29"/>
      <c r="KT1504" s="29"/>
      <c r="KU1504" s="29"/>
      <c r="KV1504" s="29"/>
      <c r="KW1504" s="29"/>
      <c r="KX1504" s="29"/>
      <c r="KY1504" s="29"/>
      <c r="KZ1504" s="29"/>
      <c r="LA1504" s="29"/>
      <c r="LB1504" s="29"/>
      <c r="LC1504" s="29"/>
      <c r="LD1504" s="29"/>
      <c r="LE1504" s="29"/>
      <c r="LF1504" s="29"/>
      <c r="LG1504" s="29"/>
      <c r="LH1504" s="29"/>
      <c r="LI1504" s="29"/>
      <c r="LJ1504" s="29"/>
      <c r="LK1504" s="29"/>
      <c r="LL1504" s="29"/>
      <c r="LM1504" s="29"/>
      <c r="LN1504" s="29"/>
      <c r="LO1504" s="29"/>
      <c r="LP1504" s="29"/>
      <c r="LQ1504" s="29"/>
      <c r="LR1504" s="29"/>
      <c r="LS1504" s="29"/>
      <c r="LT1504" s="29"/>
      <c r="LU1504" s="29"/>
      <c r="LV1504" s="29"/>
      <c r="LW1504" s="29"/>
      <c r="LX1504" s="29"/>
      <c r="LY1504" s="29"/>
      <c r="LZ1504" s="29"/>
      <c r="MA1504" s="29"/>
      <c r="MB1504" s="29"/>
      <c r="MC1504" s="29"/>
      <c r="MD1504" s="29"/>
      <c r="ME1504" s="29"/>
      <c r="MF1504" s="29"/>
      <c r="MG1504" s="29"/>
      <c r="MH1504" s="29"/>
      <c r="MI1504" s="29"/>
      <c r="MJ1504" s="29"/>
      <c r="MK1504" s="29"/>
      <c r="ML1504" s="29"/>
      <c r="MM1504" s="29"/>
      <c r="MN1504" s="29"/>
      <c r="MO1504" s="29"/>
      <c r="MP1504" s="29"/>
      <c r="MQ1504" s="29"/>
      <c r="MR1504" s="29"/>
      <c r="MS1504" s="29"/>
      <c r="MT1504" s="29"/>
      <c r="MU1504" s="29"/>
      <c r="MV1504" s="29"/>
      <c r="MW1504" s="29"/>
      <c r="MX1504" s="29"/>
      <c r="MY1504" s="29"/>
      <c r="MZ1504" s="29"/>
      <c r="NA1504" s="29"/>
      <c r="NB1504" s="29"/>
      <c r="NC1504" s="29"/>
      <c r="ND1504" s="29"/>
      <c r="NE1504" s="29"/>
      <c r="NF1504" s="29"/>
      <c r="NG1504" s="29"/>
      <c r="NH1504" s="29"/>
      <c r="NI1504" s="29"/>
      <c r="NJ1504" s="29"/>
      <c r="NK1504" s="29"/>
      <c r="NL1504" s="29"/>
      <c r="NM1504" s="29"/>
      <c r="NN1504" s="29"/>
      <c r="NO1504" s="29"/>
      <c r="NP1504" s="29"/>
      <c r="NQ1504" s="29"/>
      <c r="NR1504" s="29"/>
      <c r="NS1504" s="29"/>
      <c r="NT1504" s="29"/>
      <c r="NU1504" s="29"/>
      <c r="NV1504" s="29"/>
      <c r="NW1504" s="29"/>
      <c r="NX1504" s="29"/>
      <c r="NY1504" s="29"/>
      <c r="NZ1504" s="29"/>
      <c r="OA1504" s="29"/>
      <c r="OB1504" s="29"/>
      <c r="OC1504" s="29"/>
      <c r="OD1504" s="29"/>
      <c r="OE1504" s="29"/>
      <c r="OF1504" s="29"/>
      <c r="OG1504" s="29"/>
      <c r="OH1504" s="29"/>
      <c r="OI1504" s="29"/>
      <c r="OJ1504" s="29"/>
      <c r="OK1504" s="29"/>
      <c r="OL1504" s="29"/>
      <c r="OM1504" s="29"/>
      <c r="ON1504" s="29"/>
      <c r="OO1504" s="29"/>
      <c r="OP1504" s="29"/>
      <c r="OQ1504" s="29"/>
      <c r="OR1504" s="29"/>
      <c r="OS1504" s="29"/>
      <c r="OT1504" s="29"/>
      <c r="OU1504" s="29"/>
      <c r="OV1504" s="29"/>
      <c r="OW1504" s="29"/>
      <c r="OX1504" s="29"/>
      <c r="OY1504" s="29"/>
      <c r="OZ1504" s="29"/>
      <c r="PA1504" s="29"/>
      <c r="PB1504" s="29"/>
      <c r="PC1504" s="29"/>
      <c r="PD1504" s="29"/>
      <c r="PE1504" s="29"/>
      <c r="PF1504" s="29"/>
      <c r="PG1504" s="29"/>
      <c r="PH1504" s="29"/>
      <c r="PI1504" s="29"/>
      <c r="PJ1504" s="29"/>
      <c r="PK1504" s="29"/>
      <c r="PL1504" s="29"/>
      <c r="PM1504" s="29"/>
      <c r="PN1504" s="29"/>
      <c r="PO1504" s="29"/>
      <c r="PP1504" s="29"/>
      <c r="PQ1504" s="29"/>
      <c r="PR1504" s="29"/>
      <c r="PS1504" s="29"/>
      <c r="PT1504" s="29"/>
      <c r="PU1504" s="29"/>
      <c r="PV1504" s="29"/>
      <c r="PW1504" s="29"/>
      <c r="PX1504" s="29"/>
      <c r="PY1504" s="29"/>
      <c r="PZ1504" s="29"/>
      <c r="QA1504" s="29"/>
      <c r="QB1504" s="29"/>
      <c r="QC1504" s="29"/>
      <c r="QD1504" s="29"/>
      <c r="QE1504" s="29"/>
      <c r="QF1504" s="29"/>
      <c r="QG1504" s="29"/>
      <c r="QH1504" s="29"/>
      <c r="QI1504" s="29"/>
      <c r="QJ1504" s="29"/>
      <c r="QK1504" s="29"/>
      <c r="QL1504" s="29"/>
      <c r="QM1504" s="29"/>
      <c r="QN1504" s="29"/>
      <c r="QO1504" s="29"/>
      <c r="QP1504" s="29"/>
      <c r="QQ1504" s="29"/>
      <c r="QR1504" s="29"/>
      <c r="QS1504" s="29"/>
      <c r="QT1504" s="29"/>
      <c r="QU1504" s="29"/>
      <c r="QV1504" s="29"/>
      <c r="QW1504" s="29"/>
      <c r="QX1504" s="29"/>
      <c r="QY1504" s="29"/>
      <c r="QZ1504" s="29"/>
      <c r="RA1504" s="29"/>
      <c r="RB1504" s="29"/>
      <c r="RC1504" s="29"/>
      <c r="RD1504" s="29"/>
      <c r="RE1504" s="29"/>
      <c r="RF1504" s="29"/>
      <c r="RG1504" s="29"/>
      <c r="RH1504" s="29"/>
      <c r="RI1504" s="29"/>
      <c r="RJ1504" s="29"/>
      <c r="RK1504" s="29"/>
      <c r="RL1504" s="29"/>
      <c r="RM1504" s="29"/>
      <c r="RN1504" s="29"/>
      <c r="RO1504" s="29"/>
      <c r="RP1504" s="29"/>
      <c r="RQ1504" s="29"/>
      <c r="RR1504" s="29"/>
      <c r="RS1504" s="29"/>
      <c r="RT1504" s="29"/>
      <c r="RU1504" s="29"/>
      <c r="RV1504" s="29"/>
      <c r="RW1504" s="29"/>
      <c r="RX1504" s="29"/>
      <c r="RY1504" s="29"/>
      <c r="RZ1504" s="29"/>
      <c r="SA1504" s="29"/>
      <c r="SB1504" s="29"/>
      <c r="SC1504" s="29"/>
      <c r="SD1504" s="29"/>
      <c r="SE1504" s="29"/>
      <c r="SF1504" s="29"/>
      <c r="SG1504" s="29"/>
      <c r="SH1504" s="29"/>
      <c r="SI1504" s="29"/>
      <c r="SJ1504" s="29"/>
      <c r="SK1504" s="29"/>
      <c r="SL1504" s="29"/>
      <c r="SM1504" s="29"/>
      <c r="SN1504" s="29"/>
      <c r="SO1504" s="29"/>
      <c r="SP1504" s="29"/>
      <c r="SQ1504" s="29"/>
      <c r="SR1504" s="29"/>
      <c r="SS1504" s="29"/>
      <c r="ST1504" s="29"/>
      <c r="SU1504" s="29"/>
      <c r="SV1504" s="29"/>
      <c r="SW1504" s="29"/>
      <c r="SX1504" s="29"/>
      <c r="SY1504" s="29"/>
      <c r="SZ1504" s="29"/>
      <c r="TA1504" s="29"/>
      <c r="TB1504" s="29"/>
      <c r="TC1504" s="29"/>
      <c r="TD1504" s="29"/>
      <c r="TE1504" s="29"/>
      <c r="TF1504" s="29"/>
      <c r="TG1504" s="29"/>
      <c r="TH1504" s="29"/>
      <c r="TI1504" s="29"/>
      <c r="TJ1504" s="29"/>
      <c r="TK1504" s="29"/>
      <c r="TL1504" s="29"/>
      <c r="TM1504" s="29"/>
      <c r="TN1504" s="29"/>
      <c r="TO1504" s="29"/>
      <c r="TP1504" s="29"/>
      <c r="TQ1504" s="29"/>
      <c r="TR1504" s="29"/>
      <c r="TS1504" s="29"/>
      <c r="TT1504" s="29"/>
      <c r="TU1504" s="29"/>
      <c r="TV1504" s="29"/>
      <c r="TW1504" s="29"/>
      <c r="TX1504" s="29"/>
      <c r="TY1504" s="29"/>
      <c r="TZ1504" s="29"/>
      <c r="UA1504" s="29"/>
      <c r="UB1504" s="29"/>
      <c r="UC1504" s="29"/>
      <c r="UD1504" s="29"/>
      <c r="UE1504" s="29"/>
      <c r="UF1504" s="29"/>
      <c r="UG1504" s="29"/>
    </row>
    <row r="1505" spans="1:553" ht="107.5" customHeight="1">
      <c r="A1505" s="356" t="s">
        <v>15</v>
      </c>
      <c r="B1505" s="366"/>
      <c r="C1505" s="1414" t="s">
        <v>818</v>
      </c>
      <c r="D1505" s="1389"/>
      <c r="E1505" s="1389"/>
      <c r="F1505" s="1390"/>
      <c r="G1505" s="366" t="s">
        <v>68</v>
      </c>
      <c r="H1505" s="370"/>
      <c r="I1505" s="370">
        <v>1</v>
      </c>
      <c r="J1505" s="368"/>
      <c r="K1505" s="371"/>
      <c r="L1505" s="480"/>
      <c r="M1505" s="366"/>
      <c r="N1505" s="366"/>
      <c r="O1505" s="366"/>
      <c r="P1505" s="366"/>
      <c r="Q1505" s="812"/>
      <c r="R1505" s="421" t="s">
        <v>1042</v>
      </c>
      <c r="S1505" s="308"/>
      <c r="T1505" s="308"/>
      <c r="U1505" s="308"/>
      <c r="V1505" s="308"/>
      <c r="W1505" s="308"/>
      <c r="X1505" s="308"/>
      <c r="Y1505" s="308"/>
      <c r="Z1505" s="604"/>
      <c r="AA1505" s="308"/>
      <c r="AB1505" s="308"/>
      <c r="AC1505" s="449"/>
      <c r="AD1505" s="449"/>
      <c r="AE1505" s="449"/>
      <c r="AF1505" s="449"/>
      <c r="AG1505" s="449"/>
      <c r="AH1505" s="449"/>
      <c r="AI1505" s="449"/>
      <c r="AJ1505" s="449"/>
      <c r="AK1505" s="452"/>
      <c r="AL1505" s="104"/>
      <c r="AM1505" s="32"/>
      <c r="AN1505" s="32"/>
      <c r="AO1505" s="32"/>
      <c r="AP1505" s="32"/>
      <c r="AQ1505" s="32"/>
      <c r="AR1505" s="32"/>
      <c r="AS1505" s="31"/>
      <c r="AT1505" s="31"/>
      <c r="AU1505" s="31"/>
      <c r="AV1505" s="31"/>
      <c r="AW1505" s="31"/>
      <c r="AX1505" s="31"/>
      <c r="AY1505" s="31"/>
      <c r="AZ1505" s="31"/>
      <c r="BA1505" s="31"/>
      <c r="BB1505" s="31"/>
      <c r="BC1505" s="31"/>
      <c r="BD1505" s="31"/>
      <c r="BE1505" s="31"/>
      <c r="BF1505" s="31"/>
      <c r="BG1505" s="31"/>
      <c r="BH1505" s="31"/>
      <c r="BI1505" s="31"/>
      <c r="BJ1505" s="31"/>
      <c r="BK1505" s="31"/>
      <c r="BL1505" s="31"/>
      <c r="BM1505" s="31"/>
      <c r="BN1505" s="31"/>
      <c r="BO1505" s="31"/>
      <c r="BP1505" s="25"/>
      <c r="BQ1505" s="25"/>
      <c r="BR1505" s="25"/>
      <c r="BS1505" s="25"/>
      <c r="BT1505" s="25"/>
      <c r="BU1505" s="25"/>
      <c r="BV1505" s="25"/>
      <c r="BW1505" s="25"/>
      <c r="BX1505" s="25"/>
      <c r="BY1505" s="25"/>
      <c r="BZ1505" s="25"/>
      <c r="CA1505" s="25"/>
      <c r="CB1505" s="25"/>
      <c r="CC1505" s="25"/>
      <c r="CD1505" s="25"/>
      <c r="CE1505" s="25"/>
      <c r="CF1505" s="25"/>
      <c r="CG1505" s="25"/>
      <c r="CH1505" s="25"/>
      <c r="CI1505" s="25"/>
      <c r="CJ1505" s="25"/>
      <c r="CK1505" s="25"/>
      <c r="CL1505" s="25"/>
      <c r="CM1505" s="25"/>
      <c r="CN1505" s="25"/>
      <c r="CO1505" s="25"/>
      <c r="CP1505" s="25"/>
      <c r="CQ1505" s="25"/>
      <c r="CR1505" s="25"/>
      <c r="CS1505" s="25"/>
      <c r="CT1505" s="25"/>
      <c r="CU1505" s="25"/>
      <c r="CV1505" s="25"/>
      <c r="CW1505" s="25"/>
      <c r="CX1505" s="25"/>
      <c r="CY1505" s="25"/>
      <c r="CZ1505" s="25"/>
      <c r="DA1505" s="25"/>
      <c r="DB1505" s="25"/>
      <c r="DC1505" s="25"/>
      <c r="DD1505" s="25"/>
      <c r="DE1505" s="25"/>
      <c r="DF1505" s="25"/>
      <c r="DG1505" s="25"/>
      <c r="DH1505" s="25"/>
      <c r="DI1505" s="25"/>
      <c r="DJ1505" s="25"/>
      <c r="DK1505" s="25"/>
      <c r="DL1505" s="25"/>
      <c r="DM1505" s="25"/>
      <c r="DN1505" s="25"/>
      <c r="DO1505" s="25"/>
      <c r="DP1505" s="25"/>
      <c r="DQ1505" s="25"/>
      <c r="DR1505" s="25"/>
      <c r="DS1505" s="25"/>
      <c r="DT1505" s="25"/>
      <c r="DU1505" s="25"/>
      <c r="DV1505" s="25"/>
      <c r="DW1505" s="25"/>
      <c r="DX1505" s="25"/>
      <c r="DY1505" s="25"/>
      <c r="DZ1505" s="25"/>
      <c r="EA1505" s="25"/>
      <c r="EB1505" s="25"/>
      <c r="EC1505" s="25"/>
      <c r="ED1505" s="25"/>
      <c r="EE1505" s="25"/>
      <c r="EF1505" s="25"/>
      <c r="EG1505" s="25"/>
      <c r="EH1505" s="25"/>
      <c r="EI1505" s="25"/>
      <c r="EJ1505" s="25"/>
      <c r="EK1505" s="25"/>
      <c r="EL1505" s="25"/>
      <c r="EM1505" s="25"/>
      <c r="EN1505" s="25"/>
      <c r="EO1505" s="25"/>
      <c r="EP1505" s="25"/>
      <c r="EQ1505" s="25"/>
      <c r="ER1505" s="25"/>
      <c r="ES1505" s="25"/>
      <c r="ET1505" s="25"/>
      <c r="EU1505" s="25"/>
      <c r="EV1505" s="25"/>
      <c r="EW1505" s="25"/>
      <c r="EX1505" s="25"/>
      <c r="EY1505" s="25"/>
      <c r="EZ1505" s="25"/>
      <c r="FA1505" s="25"/>
      <c r="FB1505" s="25"/>
      <c r="FC1505" s="25"/>
      <c r="FD1505" s="25"/>
      <c r="FE1505" s="25"/>
      <c r="FF1505" s="25"/>
      <c r="FG1505" s="25"/>
      <c r="FH1505" s="25"/>
      <c r="FI1505" s="25"/>
      <c r="FJ1505" s="25"/>
      <c r="FK1505" s="25"/>
      <c r="FL1505" s="25"/>
      <c r="FM1505" s="25"/>
      <c r="FN1505" s="25"/>
      <c r="FO1505" s="25"/>
      <c r="FP1505" s="25"/>
      <c r="FQ1505" s="25"/>
      <c r="FR1505" s="25"/>
      <c r="FS1505" s="25"/>
      <c r="FT1505" s="25"/>
      <c r="FU1505" s="25"/>
      <c r="FV1505" s="25"/>
      <c r="FW1505" s="25"/>
      <c r="FX1505" s="25"/>
      <c r="FY1505" s="25"/>
      <c r="FZ1505" s="25"/>
      <c r="GA1505" s="25"/>
      <c r="GB1505" s="25"/>
      <c r="GC1505" s="25"/>
      <c r="GD1505" s="25"/>
      <c r="GE1505" s="25"/>
      <c r="GF1505" s="25"/>
      <c r="GG1505" s="25"/>
      <c r="GH1505" s="25"/>
      <c r="GI1505" s="25"/>
      <c r="GJ1505" s="25"/>
      <c r="GK1505" s="25"/>
      <c r="GL1505" s="25"/>
      <c r="GM1505" s="25"/>
      <c r="GN1505" s="25"/>
      <c r="GO1505" s="25"/>
      <c r="GP1505" s="25"/>
      <c r="GQ1505" s="25"/>
      <c r="GR1505" s="25"/>
      <c r="GS1505" s="25"/>
      <c r="GT1505" s="25"/>
      <c r="GU1505" s="25"/>
      <c r="GV1505" s="25"/>
      <c r="GW1505" s="25"/>
      <c r="GX1505" s="25"/>
      <c r="GY1505" s="25"/>
      <c r="GZ1505" s="25"/>
      <c r="HA1505" s="25"/>
      <c r="HB1505" s="25"/>
      <c r="HC1505" s="25"/>
      <c r="HD1505" s="25"/>
      <c r="HE1505" s="25"/>
      <c r="HF1505" s="25"/>
      <c r="HG1505" s="25"/>
      <c r="HH1505" s="25"/>
      <c r="HI1505" s="25"/>
      <c r="HJ1505" s="25"/>
      <c r="HK1505" s="25"/>
      <c r="HL1505" s="25"/>
      <c r="HM1505" s="25"/>
      <c r="HN1505" s="25"/>
      <c r="HO1505" s="25"/>
      <c r="HP1505" s="25"/>
      <c r="HQ1505" s="25"/>
      <c r="HR1505" s="25"/>
      <c r="HS1505" s="25"/>
      <c r="HT1505" s="25"/>
      <c r="HU1505" s="25"/>
      <c r="HV1505" s="25"/>
      <c r="HW1505" s="25"/>
      <c r="HX1505" s="25"/>
      <c r="HY1505" s="25"/>
      <c r="HZ1505" s="25"/>
      <c r="IA1505" s="25"/>
      <c r="IB1505" s="25"/>
      <c r="IC1505" s="25"/>
      <c r="ID1505" s="25"/>
      <c r="IE1505" s="25"/>
      <c r="IF1505" s="25"/>
      <c r="IG1505" s="25"/>
      <c r="IH1505" s="25"/>
      <c r="II1505" s="25"/>
      <c r="IJ1505" s="25"/>
      <c r="IK1505" s="25"/>
      <c r="IL1505" s="25"/>
      <c r="IM1505" s="25"/>
      <c r="IN1505" s="25"/>
      <c r="IO1505" s="25"/>
      <c r="IP1505" s="25"/>
      <c r="IQ1505" s="25"/>
      <c r="IR1505" s="25"/>
      <c r="IS1505" s="25"/>
      <c r="IT1505" s="25"/>
      <c r="IU1505" s="25"/>
      <c r="IV1505" s="25"/>
      <c r="IW1505" s="25"/>
      <c r="IX1505" s="25"/>
      <c r="IY1505" s="25"/>
      <c r="IZ1505" s="25"/>
      <c r="JA1505" s="25"/>
      <c r="JB1505" s="25"/>
      <c r="JC1505" s="25"/>
      <c r="JD1505" s="25"/>
      <c r="JE1505" s="25"/>
      <c r="JF1505" s="25"/>
      <c r="JG1505" s="25"/>
      <c r="JH1505" s="25"/>
      <c r="JI1505" s="25"/>
      <c r="JJ1505" s="25"/>
      <c r="JK1505" s="25"/>
      <c r="JL1505" s="25"/>
      <c r="JM1505" s="25"/>
      <c r="JN1505" s="25"/>
      <c r="JO1505" s="25"/>
      <c r="JP1505" s="25"/>
      <c r="JQ1505" s="25"/>
      <c r="JR1505" s="25"/>
      <c r="JS1505" s="25"/>
      <c r="JT1505" s="25"/>
      <c r="JU1505" s="25"/>
      <c r="JV1505" s="25"/>
      <c r="JW1505" s="25"/>
      <c r="JX1505" s="25"/>
      <c r="JY1505" s="25"/>
      <c r="JZ1505" s="25"/>
      <c r="KA1505" s="25"/>
      <c r="KB1505" s="25"/>
      <c r="KC1505" s="25"/>
      <c r="KD1505" s="25"/>
      <c r="KE1505" s="25"/>
      <c r="KF1505" s="25"/>
      <c r="KG1505" s="25"/>
      <c r="KH1505" s="25"/>
      <c r="KI1505" s="25"/>
      <c r="KJ1505" s="25"/>
      <c r="KK1505" s="25"/>
      <c r="KL1505" s="25"/>
      <c r="KM1505" s="25"/>
      <c r="KN1505" s="25"/>
      <c r="KO1505" s="25"/>
      <c r="KP1505" s="25"/>
      <c r="KQ1505" s="25"/>
      <c r="KR1505" s="25"/>
      <c r="KS1505" s="25"/>
      <c r="KT1505" s="25"/>
      <c r="KU1505" s="25"/>
      <c r="KV1505" s="25"/>
      <c r="KW1505" s="25"/>
      <c r="KX1505" s="25"/>
      <c r="KY1505" s="25"/>
      <c r="KZ1505" s="25"/>
      <c r="LA1505" s="25"/>
      <c r="LB1505" s="25"/>
      <c r="LC1505" s="25"/>
      <c r="LD1505" s="25"/>
      <c r="LE1505" s="25"/>
      <c r="LF1505" s="25"/>
      <c r="LG1505" s="25"/>
      <c r="LH1505" s="25"/>
      <c r="LI1505" s="25"/>
      <c r="LJ1505" s="25"/>
      <c r="LK1505" s="25"/>
      <c r="LL1505" s="25"/>
      <c r="LM1505" s="25"/>
      <c r="LN1505" s="25"/>
      <c r="LO1505" s="25"/>
      <c r="LP1505" s="25"/>
      <c r="LQ1505" s="25"/>
      <c r="LR1505" s="25"/>
      <c r="LS1505" s="25"/>
      <c r="LT1505" s="25"/>
      <c r="LU1505" s="25"/>
      <c r="LV1505" s="25"/>
      <c r="LW1505" s="25"/>
      <c r="LX1505" s="25"/>
      <c r="LY1505" s="25"/>
      <c r="LZ1505" s="25"/>
      <c r="MA1505" s="25"/>
      <c r="MB1505" s="25"/>
      <c r="MC1505" s="25"/>
      <c r="MD1505" s="25"/>
      <c r="ME1505" s="25"/>
      <c r="MF1505" s="25"/>
      <c r="MG1505" s="25"/>
      <c r="MH1505" s="25"/>
      <c r="MI1505" s="25"/>
      <c r="MJ1505" s="25"/>
      <c r="MK1505" s="25"/>
      <c r="ML1505" s="25"/>
      <c r="MM1505" s="25"/>
      <c r="MN1505" s="25"/>
      <c r="MO1505" s="25"/>
      <c r="MP1505" s="25"/>
      <c r="MQ1505" s="25"/>
      <c r="MR1505" s="25"/>
      <c r="MS1505" s="25"/>
      <c r="MT1505" s="25"/>
      <c r="MU1505" s="25"/>
      <c r="MV1505" s="25"/>
      <c r="MW1505" s="25"/>
      <c r="MX1505" s="25"/>
      <c r="MY1505" s="25"/>
      <c r="MZ1505" s="25"/>
      <c r="NA1505" s="25"/>
      <c r="NB1505" s="25"/>
      <c r="NC1505" s="25"/>
      <c r="ND1505" s="25"/>
      <c r="NE1505" s="25"/>
      <c r="NF1505" s="25"/>
      <c r="NG1505" s="25"/>
      <c r="NH1505" s="25"/>
      <c r="NI1505" s="25"/>
      <c r="NJ1505" s="25"/>
      <c r="NK1505" s="25"/>
      <c r="NL1505" s="25"/>
      <c r="NM1505" s="25"/>
      <c r="NN1505" s="25"/>
      <c r="NO1505" s="25"/>
      <c r="NP1505" s="25"/>
      <c r="NQ1505" s="25"/>
      <c r="NR1505" s="25"/>
      <c r="NS1505" s="25"/>
      <c r="NT1505" s="25"/>
      <c r="NU1505" s="25"/>
      <c r="NV1505" s="25"/>
      <c r="NW1505" s="25"/>
      <c r="NX1505" s="25"/>
      <c r="NY1505" s="25"/>
      <c r="NZ1505" s="25"/>
      <c r="OA1505" s="25"/>
      <c r="OB1505" s="25"/>
      <c r="OC1505" s="25"/>
      <c r="OD1505" s="25"/>
      <c r="OE1505" s="25"/>
      <c r="OF1505" s="25"/>
      <c r="OG1505" s="25"/>
      <c r="OH1505" s="25"/>
      <c r="OI1505" s="25"/>
      <c r="OJ1505" s="25"/>
      <c r="OK1505" s="25"/>
      <c r="OL1505" s="25"/>
      <c r="OM1505" s="25"/>
      <c r="ON1505" s="25"/>
      <c r="OO1505" s="25"/>
      <c r="OP1505" s="25"/>
      <c r="OQ1505" s="25"/>
      <c r="OR1505" s="25"/>
      <c r="OS1505" s="25"/>
      <c r="OT1505" s="25"/>
      <c r="OU1505" s="25"/>
      <c r="OV1505" s="25"/>
      <c r="OW1505" s="25"/>
      <c r="OX1505" s="25"/>
      <c r="OY1505" s="25"/>
      <c r="OZ1505" s="25"/>
      <c r="PA1505" s="25"/>
      <c r="PB1505" s="25"/>
      <c r="PC1505" s="25"/>
      <c r="PD1505" s="25"/>
      <c r="PE1505" s="25"/>
      <c r="PF1505" s="25"/>
      <c r="PG1505" s="25"/>
      <c r="PH1505" s="25"/>
      <c r="PI1505" s="25"/>
      <c r="PJ1505" s="25"/>
      <c r="PK1505" s="25"/>
      <c r="PL1505" s="25"/>
      <c r="PM1505" s="25"/>
      <c r="PN1505" s="25"/>
      <c r="PO1505" s="25"/>
      <c r="PP1505" s="25"/>
      <c r="PQ1505" s="25"/>
      <c r="PR1505" s="25"/>
      <c r="PS1505" s="25"/>
      <c r="PT1505" s="25"/>
      <c r="PU1505" s="25"/>
      <c r="PV1505" s="25"/>
      <c r="PW1505" s="25"/>
      <c r="PX1505" s="25"/>
      <c r="PY1505" s="25"/>
      <c r="PZ1505" s="25"/>
      <c r="QA1505" s="25"/>
      <c r="QB1505" s="25"/>
      <c r="QC1505" s="25"/>
      <c r="QD1505" s="25"/>
      <c r="QE1505" s="25"/>
      <c r="QF1505" s="25"/>
      <c r="QG1505" s="25"/>
      <c r="QH1505" s="25"/>
      <c r="QI1505" s="25"/>
      <c r="QJ1505" s="25"/>
      <c r="QK1505" s="25"/>
      <c r="QL1505" s="25"/>
      <c r="QM1505" s="25"/>
      <c r="QN1505" s="25"/>
      <c r="QO1505" s="25"/>
      <c r="QP1505" s="25"/>
      <c r="QQ1505" s="25"/>
      <c r="QR1505" s="25"/>
      <c r="QS1505" s="25"/>
      <c r="QT1505" s="25"/>
      <c r="QU1505" s="25"/>
      <c r="QV1505" s="25"/>
      <c r="QW1505" s="25"/>
      <c r="QX1505" s="25"/>
      <c r="QY1505" s="25"/>
      <c r="QZ1505" s="25"/>
      <c r="RA1505" s="25"/>
      <c r="RB1505" s="25"/>
      <c r="RC1505" s="25"/>
      <c r="RD1505" s="25"/>
      <c r="RE1505" s="25"/>
      <c r="RF1505" s="25"/>
      <c r="RG1505" s="25"/>
      <c r="RH1505" s="25"/>
      <c r="RI1505" s="25"/>
      <c r="RJ1505" s="25"/>
      <c r="RK1505" s="25"/>
      <c r="RL1505" s="25"/>
      <c r="RM1505" s="25"/>
      <c r="RN1505" s="25"/>
      <c r="RO1505" s="25"/>
      <c r="RP1505" s="25"/>
      <c r="RQ1505" s="25"/>
      <c r="RR1505" s="25"/>
      <c r="RS1505" s="25"/>
      <c r="RT1505" s="25"/>
      <c r="RU1505" s="25"/>
      <c r="RV1505" s="25"/>
      <c r="RW1505" s="25"/>
      <c r="RX1505" s="25"/>
      <c r="RY1505" s="25"/>
      <c r="RZ1505" s="25"/>
      <c r="SA1505" s="25"/>
      <c r="SB1505" s="25"/>
      <c r="SC1505" s="25"/>
      <c r="SD1505" s="25"/>
      <c r="SE1505" s="25"/>
      <c r="SF1505" s="25"/>
      <c r="SG1505" s="25"/>
      <c r="SH1505" s="25"/>
      <c r="SI1505" s="25"/>
      <c r="SJ1505" s="25"/>
      <c r="SK1505" s="25"/>
      <c r="SL1505" s="25"/>
      <c r="SM1505" s="25"/>
      <c r="SN1505" s="25"/>
      <c r="SO1505" s="25"/>
      <c r="SP1505" s="25"/>
      <c r="SQ1505" s="25"/>
      <c r="SR1505" s="25"/>
      <c r="SS1505" s="25"/>
      <c r="ST1505" s="25"/>
      <c r="SU1505" s="25"/>
      <c r="SV1505" s="25"/>
      <c r="SW1505" s="25"/>
      <c r="SX1505" s="25"/>
      <c r="SY1505" s="25"/>
      <c r="SZ1505" s="25"/>
      <c r="TA1505" s="25"/>
      <c r="TB1505" s="25"/>
      <c r="TC1505" s="25"/>
      <c r="TD1505" s="25"/>
      <c r="TE1505" s="25"/>
      <c r="TF1505" s="25"/>
      <c r="TG1505" s="25"/>
      <c r="TH1505" s="25"/>
      <c r="TI1505" s="25"/>
      <c r="TJ1505" s="25"/>
      <c r="TK1505" s="25"/>
      <c r="TL1505" s="25"/>
      <c r="TM1505" s="25"/>
      <c r="TN1505" s="25"/>
      <c r="TO1505" s="25"/>
      <c r="TP1505" s="25"/>
      <c r="TQ1505" s="25"/>
      <c r="TR1505" s="25"/>
      <c r="TS1505" s="25"/>
      <c r="TT1505" s="25"/>
      <c r="TU1505" s="25"/>
      <c r="TV1505" s="25"/>
      <c r="TW1505" s="25"/>
      <c r="TX1505" s="25"/>
      <c r="TY1505" s="25"/>
      <c r="TZ1505" s="25"/>
      <c r="UA1505" s="25"/>
      <c r="UB1505" s="25"/>
      <c r="UC1505" s="25"/>
      <c r="UD1505" s="25"/>
      <c r="UE1505" s="25"/>
      <c r="UF1505" s="25"/>
      <c r="UG1505" s="26"/>
    </row>
    <row r="1506" spans="1:553" s="879" customFormat="1" ht="42" customHeight="1">
      <c r="A1506" s="913">
        <v>17</v>
      </c>
      <c r="B1506" s="914"/>
      <c r="C1506" s="915" t="s">
        <v>1329</v>
      </c>
      <c r="D1506" s="916"/>
      <c r="E1506" s="916"/>
      <c r="F1506" s="917"/>
      <c r="G1506" s="914"/>
      <c r="H1506" s="918"/>
      <c r="I1506" s="919"/>
      <c r="J1506" s="1001"/>
      <c r="K1506" s="920"/>
      <c r="L1506" s="1205">
        <f>SUM(L1510:L1523)/2</f>
        <v>229486500</v>
      </c>
      <c r="M1506" s="914"/>
      <c r="N1506" s="914"/>
      <c r="O1506" s="914"/>
      <c r="P1506" s="914">
        <f>L1506</f>
        <v>229486500</v>
      </c>
      <c r="Q1506" s="1170"/>
      <c r="R1506" s="914"/>
      <c r="S1506" s="921">
        <v>1</v>
      </c>
      <c r="T1506" s="922" t="s">
        <v>1385</v>
      </c>
      <c r="U1506" s="923">
        <f>H1510</f>
        <v>1889.9</v>
      </c>
      <c r="V1506" s="817">
        <f>I1510</f>
        <v>1438.9</v>
      </c>
      <c r="W1506" s="820">
        <f>SUM(W1509:W1515)</f>
        <v>481.20000000000005</v>
      </c>
      <c r="X1506" s="820">
        <f t="shared" ref="X1506:AF1506" si="226">SUM(X1509:X1515)</f>
        <v>0</v>
      </c>
      <c r="Y1506" s="820">
        <f t="shared" si="226"/>
        <v>728.5</v>
      </c>
      <c r="Z1506" s="820">
        <f t="shared" si="226"/>
        <v>0</v>
      </c>
      <c r="AA1506" s="820">
        <f t="shared" si="226"/>
        <v>0</v>
      </c>
      <c r="AB1506" s="820">
        <f t="shared" si="226"/>
        <v>229.2</v>
      </c>
      <c r="AC1506" s="820">
        <f t="shared" si="226"/>
        <v>0</v>
      </c>
      <c r="AD1506" s="817">
        <f>L1510</f>
        <v>72726400</v>
      </c>
      <c r="AE1506" s="820">
        <f t="shared" si="226"/>
        <v>0</v>
      </c>
      <c r="AF1506" s="820">
        <f t="shared" si="226"/>
        <v>0</v>
      </c>
      <c r="AG1506" s="819"/>
      <c r="AH1506" s="819">
        <f>L1518</f>
        <v>156760100</v>
      </c>
      <c r="AI1506" s="820"/>
      <c r="AJ1506" s="820"/>
      <c r="AK1506" s="817">
        <f>SUM(AD1506:AJ1506)</f>
        <v>229486500</v>
      </c>
      <c r="AL1506" s="878"/>
      <c r="AM1506" s="878"/>
      <c r="AN1506" s="878"/>
      <c r="AO1506" s="878"/>
      <c r="AP1506" s="878"/>
      <c r="AQ1506" s="878"/>
      <c r="AR1506" s="878"/>
      <c r="AS1506" s="878"/>
      <c r="AT1506" s="878"/>
      <c r="AU1506" s="878"/>
      <c r="AV1506" s="878"/>
      <c r="AW1506" s="878"/>
      <c r="AX1506" s="878"/>
      <c r="AY1506" s="878"/>
      <c r="AZ1506" s="878"/>
      <c r="BA1506" s="878"/>
      <c r="BB1506" s="878"/>
      <c r="BC1506" s="878"/>
      <c r="BD1506" s="878"/>
      <c r="BE1506" s="878"/>
      <c r="BF1506" s="878"/>
      <c r="BG1506" s="878"/>
      <c r="BH1506" s="878"/>
      <c r="BI1506" s="878"/>
      <c r="BJ1506" s="878"/>
      <c r="BK1506" s="878"/>
      <c r="BL1506" s="878"/>
      <c r="BM1506" s="878"/>
      <c r="BN1506" s="878"/>
      <c r="BO1506" s="878"/>
      <c r="BP1506" s="878"/>
      <c r="BQ1506" s="878"/>
      <c r="BR1506" s="878"/>
      <c r="BS1506" s="878"/>
      <c r="BT1506" s="878"/>
      <c r="BU1506" s="878"/>
      <c r="BV1506" s="878"/>
      <c r="BW1506" s="878"/>
      <c r="BX1506" s="878"/>
      <c r="BY1506" s="878"/>
      <c r="BZ1506" s="878"/>
      <c r="CA1506" s="878"/>
      <c r="CB1506" s="878"/>
      <c r="CC1506" s="878"/>
      <c r="CD1506" s="878"/>
      <c r="CE1506" s="878"/>
      <c r="CF1506" s="878"/>
      <c r="CG1506" s="878"/>
      <c r="CH1506" s="878"/>
      <c r="CI1506" s="878"/>
      <c r="CJ1506" s="878"/>
      <c r="CK1506" s="878"/>
      <c r="CL1506" s="878"/>
      <c r="CM1506" s="878"/>
      <c r="CN1506" s="878"/>
      <c r="CO1506" s="878"/>
      <c r="CP1506" s="878"/>
      <c r="CQ1506" s="878"/>
      <c r="CR1506" s="878"/>
      <c r="CS1506" s="878"/>
      <c r="CT1506" s="878"/>
      <c r="CU1506" s="878"/>
      <c r="CV1506" s="878"/>
      <c r="CW1506" s="878"/>
      <c r="CX1506" s="878"/>
      <c r="CY1506" s="878"/>
      <c r="CZ1506" s="878"/>
      <c r="DA1506" s="878"/>
      <c r="DB1506" s="878"/>
      <c r="DC1506" s="878"/>
      <c r="DD1506" s="878"/>
      <c r="DE1506" s="878"/>
      <c r="DF1506" s="878"/>
      <c r="DG1506" s="878"/>
      <c r="DH1506" s="878"/>
      <c r="DI1506" s="878"/>
      <c r="DJ1506" s="878"/>
      <c r="DK1506" s="878"/>
      <c r="DL1506" s="878"/>
      <c r="DM1506" s="878"/>
      <c r="DN1506" s="878"/>
      <c r="DO1506" s="878"/>
      <c r="DP1506" s="878"/>
      <c r="DQ1506" s="878"/>
      <c r="DR1506" s="878"/>
      <c r="DS1506" s="878"/>
      <c r="DT1506" s="878"/>
      <c r="DU1506" s="878"/>
      <c r="DV1506" s="878"/>
      <c r="DW1506" s="878"/>
      <c r="DX1506" s="878"/>
      <c r="DY1506" s="878"/>
      <c r="DZ1506" s="878"/>
      <c r="EA1506" s="878"/>
      <c r="EB1506" s="878"/>
      <c r="EC1506" s="878"/>
      <c r="ED1506" s="878"/>
      <c r="EE1506" s="878"/>
      <c r="EF1506" s="878"/>
      <c r="EG1506" s="878"/>
      <c r="EH1506" s="878"/>
      <c r="EI1506" s="878"/>
      <c r="EJ1506" s="878"/>
      <c r="EK1506" s="878"/>
      <c r="EL1506" s="878"/>
      <c r="EM1506" s="878"/>
      <c r="EN1506" s="878"/>
      <c r="EO1506" s="878"/>
      <c r="EP1506" s="878"/>
      <c r="EQ1506" s="878"/>
      <c r="ER1506" s="878"/>
      <c r="ES1506" s="878"/>
      <c r="ET1506" s="878"/>
      <c r="EU1506" s="878"/>
      <c r="EV1506" s="878"/>
      <c r="EW1506" s="878"/>
      <c r="EX1506" s="878"/>
      <c r="EY1506" s="878"/>
      <c r="EZ1506" s="878"/>
      <c r="FA1506" s="878"/>
      <c r="FB1506" s="878"/>
      <c r="FC1506" s="878"/>
      <c r="FD1506" s="878"/>
      <c r="FE1506" s="878"/>
      <c r="FF1506" s="878"/>
      <c r="FG1506" s="878"/>
      <c r="FH1506" s="878"/>
      <c r="FI1506" s="878"/>
      <c r="FJ1506" s="878"/>
      <c r="FK1506" s="878"/>
      <c r="FL1506" s="878"/>
      <c r="FM1506" s="878"/>
      <c r="FN1506" s="878"/>
      <c r="FO1506" s="878"/>
      <c r="FP1506" s="878"/>
      <c r="FQ1506" s="878"/>
      <c r="FR1506" s="878"/>
      <c r="FS1506" s="878"/>
      <c r="FT1506" s="878"/>
      <c r="FU1506" s="878"/>
      <c r="FV1506" s="878"/>
      <c r="FW1506" s="878"/>
      <c r="FX1506" s="878"/>
      <c r="FY1506" s="878"/>
      <c r="FZ1506" s="878"/>
      <c r="GA1506" s="878"/>
      <c r="GB1506" s="878"/>
      <c r="GC1506" s="878"/>
      <c r="GD1506" s="878"/>
      <c r="GE1506" s="878"/>
      <c r="GF1506" s="878"/>
      <c r="GG1506" s="878"/>
      <c r="GH1506" s="878"/>
      <c r="GI1506" s="878"/>
      <c r="GJ1506" s="878"/>
      <c r="GK1506" s="878"/>
      <c r="GL1506" s="878"/>
      <c r="GM1506" s="878"/>
      <c r="GN1506" s="878"/>
      <c r="GO1506" s="878"/>
      <c r="GP1506" s="878"/>
      <c r="GQ1506" s="878"/>
      <c r="GR1506" s="878"/>
      <c r="GS1506" s="878"/>
      <c r="GT1506" s="878"/>
      <c r="GU1506" s="878"/>
      <c r="GV1506" s="878"/>
      <c r="GW1506" s="878"/>
      <c r="GX1506" s="878"/>
      <c r="GY1506" s="878"/>
      <c r="GZ1506" s="878"/>
      <c r="HA1506" s="878"/>
      <c r="HB1506" s="878"/>
      <c r="HC1506" s="878"/>
      <c r="HD1506" s="878"/>
      <c r="HE1506" s="878"/>
      <c r="HF1506" s="878"/>
      <c r="HG1506" s="878"/>
      <c r="HH1506" s="878"/>
      <c r="HI1506" s="878"/>
      <c r="HJ1506" s="878"/>
      <c r="HK1506" s="878"/>
      <c r="HL1506" s="878"/>
      <c r="HM1506" s="878"/>
      <c r="HN1506" s="878"/>
      <c r="HO1506" s="878"/>
      <c r="HP1506" s="878"/>
      <c r="HQ1506" s="878"/>
      <c r="HR1506" s="878"/>
      <c r="HS1506" s="878"/>
      <c r="HT1506" s="878"/>
      <c r="HU1506" s="878"/>
      <c r="HV1506" s="878"/>
      <c r="HW1506" s="878"/>
      <c r="HX1506" s="878"/>
      <c r="HY1506" s="878"/>
      <c r="HZ1506" s="878"/>
      <c r="IA1506" s="878"/>
      <c r="IB1506" s="878"/>
      <c r="IC1506" s="878"/>
      <c r="ID1506" s="878"/>
      <c r="IE1506" s="878"/>
      <c r="IF1506" s="878"/>
      <c r="IG1506" s="878"/>
      <c r="IH1506" s="878"/>
      <c r="II1506" s="878"/>
      <c r="IJ1506" s="878"/>
      <c r="IK1506" s="878"/>
      <c r="IL1506" s="878"/>
      <c r="IM1506" s="878"/>
      <c r="IN1506" s="878"/>
      <c r="IO1506" s="878"/>
      <c r="IP1506" s="878"/>
      <c r="IQ1506" s="878"/>
      <c r="IR1506" s="878"/>
      <c r="IS1506" s="878"/>
      <c r="IT1506" s="878"/>
      <c r="IU1506" s="878"/>
      <c r="IV1506" s="878"/>
      <c r="IW1506" s="878"/>
      <c r="IX1506" s="878"/>
      <c r="IY1506" s="878"/>
      <c r="IZ1506" s="878"/>
      <c r="JA1506" s="878"/>
      <c r="JB1506" s="878"/>
      <c r="JC1506" s="878"/>
      <c r="JD1506" s="878"/>
      <c r="JE1506" s="878"/>
      <c r="JF1506" s="878"/>
      <c r="JG1506" s="878"/>
      <c r="JH1506" s="878"/>
      <c r="JI1506" s="878"/>
      <c r="JJ1506" s="878"/>
      <c r="JK1506" s="878"/>
      <c r="JL1506" s="878"/>
      <c r="JM1506" s="878"/>
      <c r="JN1506" s="878"/>
      <c r="JO1506" s="878"/>
      <c r="JP1506" s="878"/>
      <c r="JQ1506" s="878"/>
      <c r="JR1506" s="878"/>
      <c r="JS1506" s="878"/>
      <c r="JT1506" s="878"/>
      <c r="JU1506" s="878"/>
      <c r="JV1506" s="878"/>
      <c r="JW1506" s="878"/>
      <c r="JX1506" s="878"/>
      <c r="JY1506" s="878"/>
      <c r="JZ1506" s="878"/>
      <c r="KA1506" s="878"/>
      <c r="KB1506" s="878"/>
      <c r="KC1506" s="878"/>
      <c r="KD1506" s="878"/>
      <c r="KE1506" s="878"/>
      <c r="KF1506" s="878"/>
      <c r="KG1506" s="878"/>
      <c r="KH1506" s="878"/>
      <c r="KI1506" s="878"/>
      <c r="KJ1506" s="878"/>
      <c r="KK1506" s="878"/>
      <c r="KL1506" s="878"/>
      <c r="KM1506" s="878"/>
      <c r="KN1506" s="878"/>
      <c r="KO1506" s="878"/>
      <c r="KP1506" s="878"/>
      <c r="KQ1506" s="878"/>
      <c r="KR1506" s="878"/>
      <c r="KS1506" s="878"/>
      <c r="KT1506" s="878"/>
      <c r="KU1506" s="878"/>
      <c r="KV1506" s="878"/>
      <c r="KW1506" s="878"/>
      <c r="KX1506" s="878"/>
      <c r="KY1506" s="878"/>
      <c r="KZ1506" s="878"/>
      <c r="LA1506" s="878"/>
      <c r="LB1506" s="878"/>
      <c r="LC1506" s="878"/>
      <c r="LD1506" s="878"/>
      <c r="LE1506" s="878"/>
      <c r="LF1506" s="878"/>
      <c r="LG1506" s="878"/>
      <c r="LH1506" s="878"/>
      <c r="LI1506" s="878"/>
      <c r="LJ1506" s="878"/>
      <c r="LK1506" s="878"/>
      <c r="LL1506" s="878"/>
      <c r="LM1506" s="878"/>
      <c r="LN1506" s="878"/>
      <c r="LO1506" s="878"/>
      <c r="LP1506" s="878"/>
      <c r="LQ1506" s="878"/>
      <c r="LR1506" s="878"/>
      <c r="LS1506" s="878"/>
      <c r="LT1506" s="878"/>
      <c r="LU1506" s="878"/>
      <c r="LV1506" s="878"/>
      <c r="LW1506" s="878"/>
      <c r="LX1506" s="878"/>
      <c r="LY1506" s="878"/>
      <c r="LZ1506" s="878"/>
      <c r="MA1506" s="878"/>
      <c r="MB1506" s="878"/>
      <c r="MC1506" s="878"/>
      <c r="MD1506" s="878"/>
      <c r="ME1506" s="878"/>
      <c r="MF1506" s="878"/>
      <c r="MG1506" s="878"/>
      <c r="MH1506" s="878"/>
      <c r="MI1506" s="878"/>
      <c r="MJ1506" s="878"/>
      <c r="MK1506" s="878"/>
      <c r="ML1506" s="878"/>
      <c r="MM1506" s="878"/>
      <c r="MN1506" s="878"/>
      <c r="MO1506" s="878"/>
      <c r="MP1506" s="878"/>
      <c r="MQ1506" s="878"/>
      <c r="MR1506" s="878"/>
      <c r="MS1506" s="878"/>
      <c r="MT1506" s="878"/>
      <c r="MU1506" s="878"/>
      <c r="MV1506" s="878"/>
      <c r="MW1506" s="878"/>
      <c r="MX1506" s="878"/>
      <c r="MY1506" s="878"/>
      <c r="MZ1506" s="878"/>
      <c r="NA1506" s="878"/>
      <c r="NB1506" s="878"/>
      <c r="NC1506" s="878"/>
      <c r="ND1506" s="878"/>
      <c r="NE1506" s="878"/>
      <c r="NF1506" s="878"/>
      <c r="NG1506" s="878"/>
      <c r="NH1506" s="878"/>
      <c r="NI1506" s="878"/>
      <c r="NJ1506" s="878"/>
      <c r="NK1506" s="878"/>
      <c r="NL1506" s="878"/>
      <c r="NM1506" s="878"/>
      <c r="NN1506" s="878"/>
      <c r="NO1506" s="878"/>
      <c r="NP1506" s="878"/>
      <c r="NQ1506" s="878"/>
      <c r="NR1506" s="878"/>
      <c r="NS1506" s="878"/>
      <c r="NT1506" s="878"/>
      <c r="NU1506" s="878"/>
      <c r="NV1506" s="878"/>
      <c r="NW1506" s="878"/>
      <c r="NX1506" s="878"/>
      <c r="NY1506" s="878"/>
      <c r="NZ1506" s="878"/>
      <c r="OA1506" s="878"/>
      <c r="OB1506" s="878"/>
      <c r="OC1506" s="878"/>
      <c r="OD1506" s="878"/>
      <c r="OE1506" s="878"/>
      <c r="OF1506" s="878"/>
      <c r="OG1506" s="878"/>
      <c r="OH1506" s="878"/>
      <c r="OI1506" s="878"/>
      <c r="OJ1506" s="878"/>
      <c r="OK1506" s="878"/>
      <c r="OL1506" s="878"/>
      <c r="OM1506" s="878"/>
      <c r="ON1506" s="878"/>
      <c r="OO1506" s="878"/>
      <c r="OP1506" s="878"/>
      <c r="OQ1506" s="878"/>
      <c r="OR1506" s="878"/>
      <c r="OS1506" s="878"/>
      <c r="OT1506" s="878"/>
      <c r="OU1506" s="878"/>
      <c r="OV1506" s="878"/>
      <c r="OW1506" s="878"/>
      <c r="OX1506" s="878"/>
      <c r="OY1506" s="878"/>
      <c r="OZ1506" s="878"/>
      <c r="PA1506" s="878"/>
      <c r="PB1506" s="878"/>
      <c r="PC1506" s="878"/>
      <c r="PD1506" s="878"/>
      <c r="PE1506" s="878"/>
      <c r="PF1506" s="878"/>
      <c r="PG1506" s="878"/>
      <c r="PH1506" s="878"/>
      <c r="PI1506" s="878"/>
      <c r="PJ1506" s="878"/>
      <c r="PK1506" s="878"/>
      <c r="PL1506" s="878"/>
      <c r="PM1506" s="878"/>
      <c r="PN1506" s="878"/>
      <c r="PO1506" s="878"/>
      <c r="PP1506" s="878"/>
      <c r="PQ1506" s="878"/>
      <c r="PR1506" s="878"/>
      <c r="PS1506" s="878"/>
      <c r="PT1506" s="878"/>
      <c r="PU1506" s="878"/>
      <c r="PV1506" s="878"/>
      <c r="PW1506" s="878"/>
      <c r="PX1506" s="878"/>
      <c r="PY1506" s="878"/>
      <c r="PZ1506" s="878"/>
      <c r="QA1506" s="878"/>
      <c r="QB1506" s="878"/>
      <c r="QC1506" s="878"/>
      <c r="QD1506" s="878"/>
      <c r="QE1506" s="878"/>
      <c r="QF1506" s="878"/>
      <c r="QG1506" s="878"/>
      <c r="QH1506" s="878"/>
      <c r="QI1506" s="878"/>
      <c r="QJ1506" s="878"/>
      <c r="QK1506" s="878"/>
      <c r="QL1506" s="878"/>
      <c r="QM1506" s="878"/>
      <c r="QN1506" s="878"/>
      <c r="QO1506" s="878"/>
      <c r="QP1506" s="878"/>
      <c r="QQ1506" s="878"/>
      <c r="QR1506" s="878"/>
      <c r="QS1506" s="878"/>
      <c r="QT1506" s="878"/>
      <c r="QU1506" s="878"/>
      <c r="QV1506" s="878"/>
      <c r="QW1506" s="878"/>
      <c r="QX1506" s="878"/>
      <c r="QY1506" s="878"/>
      <c r="QZ1506" s="878"/>
      <c r="RA1506" s="878"/>
      <c r="RB1506" s="878"/>
      <c r="RC1506" s="878"/>
      <c r="RD1506" s="878"/>
      <c r="RE1506" s="878"/>
      <c r="RF1506" s="878"/>
      <c r="RG1506" s="878"/>
      <c r="RH1506" s="878"/>
      <c r="RI1506" s="878"/>
      <c r="RJ1506" s="878"/>
      <c r="RK1506" s="878"/>
      <c r="RL1506" s="878"/>
      <c r="RM1506" s="878"/>
      <c r="RN1506" s="878"/>
      <c r="RO1506" s="878"/>
      <c r="RP1506" s="878"/>
      <c r="RQ1506" s="878"/>
      <c r="RR1506" s="878"/>
      <c r="RS1506" s="878"/>
      <c r="RT1506" s="878"/>
      <c r="RU1506" s="878"/>
      <c r="RV1506" s="878"/>
      <c r="RW1506" s="878"/>
      <c r="RX1506" s="878"/>
      <c r="RY1506" s="878"/>
      <c r="RZ1506" s="878"/>
      <c r="SA1506" s="878"/>
      <c r="SB1506" s="878"/>
      <c r="SC1506" s="878"/>
      <c r="SD1506" s="878"/>
      <c r="SE1506" s="878"/>
      <c r="SF1506" s="878"/>
      <c r="SG1506" s="878"/>
      <c r="SH1506" s="878"/>
      <c r="SI1506" s="878"/>
      <c r="SJ1506" s="878"/>
      <c r="SK1506" s="878"/>
      <c r="SL1506" s="878"/>
      <c r="SM1506" s="878"/>
      <c r="SN1506" s="878"/>
      <c r="SO1506" s="878"/>
      <c r="SP1506" s="878"/>
      <c r="SQ1506" s="878"/>
      <c r="SR1506" s="878"/>
      <c r="SS1506" s="878"/>
      <c r="ST1506" s="878"/>
      <c r="SU1506" s="878"/>
      <c r="SV1506" s="878"/>
      <c r="SW1506" s="878"/>
      <c r="SX1506" s="878"/>
      <c r="SY1506" s="878"/>
      <c r="SZ1506" s="878"/>
      <c r="TA1506" s="878"/>
      <c r="TB1506" s="878"/>
      <c r="TC1506" s="878"/>
      <c r="TD1506" s="878"/>
      <c r="TE1506" s="878"/>
      <c r="TF1506" s="878"/>
      <c r="TG1506" s="878"/>
      <c r="TH1506" s="878"/>
      <c r="TI1506" s="878"/>
      <c r="TJ1506" s="878"/>
      <c r="TK1506" s="878"/>
      <c r="TL1506" s="878"/>
      <c r="TM1506" s="878"/>
      <c r="TN1506" s="878"/>
      <c r="TO1506" s="878"/>
      <c r="TP1506" s="878"/>
      <c r="TQ1506" s="878"/>
      <c r="TR1506" s="878"/>
      <c r="TS1506" s="878"/>
      <c r="TT1506" s="878"/>
      <c r="TU1506" s="878"/>
      <c r="TV1506" s="878"/>
      <c r="TW1506" s="878"/>
      <c r="TX1506" s="878"/>
      <c r="TY1506" s="878"/>
      <c r="TZ1506" s="878"/>
      <c r="UA1506" s="878"/>
      <c r="UB1506" s="878"/>
      <c r="UC1506" s="878"/>
      <c r="UD1506" s="878"/>
    </row>
    <row r="1507" spans="1:553" s="874" customFormat="1" ht="21.75" customHeight="1">
      <c r="A1507" s="924" t="s">
        <v>15</v>
      </c>
      <c r="B1507" s="1226"/>
      <c r="C1507" s="1632" t="s">
        <v>1330</v>
      </c>
      <c r="D1507" s="1452"/>
      <c r="E1507" s="1452"/>
      <c r="F1507" s="1452"/>
      <c r="G1507" s="1226"/>
      <c r="H1507" s="925"/>
      <c r="I1507" s="926"/>
      <c r="J1507" s="1243"/>
      <c r="K1507" s="809"/>
      <c r="L1507" s="679"/>
      <c r="M1507" s="1226"/>
      <c r="N1507" s="1226"/>
      <c r="O1507" s="1226"/>
      <c r="P1507" s="1226"/>
      <c r="Q1507" s="1134"/>
      <c r="R1507" s="1226"/>
      <c r="S1507" s="486"/>
      <c r="T1507" s="486"/>
      <c r="U1507" s="486"/>
      <c r="V1507" s="486"/>
      <c r="W1507" s="486"/>
      <c r="X1507" s="486"/>
      <c r="Y1507" s="486"/>
      <c r="Z1507" s="486"/>
      <c r="AA1507" s="486"/>
      <c r="AB1507" s="486"/>
      <c r="AC1507" s="486"/>
      <c r="AD1507" s="486"/>
      <c r="AE1507" s="486"/>
      <c r="AF1507" s="486"/>
      <c r="AG1507" s="486"/>
      <c r="AH1507" s="486"/>
      <c r="AI1507" s="486"/>
      <c r="AJ1507" s="486"/>
      <c r="AK1507" s="486"/>
      <c r="AL1507" s="206"/>
      <c r="AM1507" s="206"/>
      <c r="AN1507" s="206"/>
      <c r="AO1507" s="206"/>
      <c r="AP1507" s="206"/>
      <c r="AQ1507" s="206"/>
      <c r="AR1507" s="206"/>
      <c r="AS1507" s="206"/>
      <c r="AT1507" s="206"/>
      <c r="AU1507" s="206"/>
      <c r="AV1507" s="206"/>
      <c r="AW1507" s="206"/>
      <c r="AX1507" s="206"/>
      <c r="AY1507" s="206"/>
      <c r="AZ1507" s="206"/>
      <c r="BA1507" s="206"/>
      <c r="BB1507" s="206"/>
      <c r="BC1507" s="206"/>
      <c r="BD1507" s="206"/>
      <c r="BE1507" s="206"/>
      <c r="BF1507" s="206"/>
      <c r="BG1507" s="206"/>
      <c r="BH1507" s="206"/>
      <c r="BI1507" s="206"/>
      <c r="BJ1507" s="206"/>
      <c r="BK1507" s="206"/>
      <c r="BL1507" s="206"/>
      <c r="BM1507" s="206"/>
      <c r="BN1507" s="206"/>
      <c r="BO1507" s="206"/>
      <c r="BP1507" s="206"/>
      <c r="BQ1507" s="206"/>
      <c r="BR1507" s="206"/>
      <c r="BS1507" s="206"/>
      <c r="BT1507" s="206"/>
      <c r="BU1507" s="206"/>
      <c r="BV1507" s="206"/>
      <c r="BW1507" s="206"/>
      <c r="BX1507" s="206"/>
      <c r="BY1507" s="206"/>
      <c r="BZ1507" s="206"/>
      <c r="CA1507" s="206"/>
      <c r="CB1507" s="206"/>
      <c r="CC1507" s="206"/>
      <c r="CD1507" s="206"/>
      <c r="CE1507" s="206"/>
      <c r="CF1507" s="206"/>
      <c r="CG1507" s="206"/>
      <c r="CH1507" s="206"/>
      <c r="CI1507" s="206"/>
      <c r="CJ1507" s="206"/>
      <c r="CK1507" s="206"/>
      <c r="CL1507" s="206"/>
      <c r="CM1507" s="206"/>
      <c r="CN1507" s="206"/>
      <c r="CO1507" s="206"/>
      <c r="CP1507" s="206"/>
      <c r="CQ1507" s="206"/>
      <c r="CR1507" s="206"/>
      <c r="CS1507" s="206"/>
      <c r="CT1507" s="206"/>
      <c r="CU1507" s="206"/>
      <c r="CV1507" s="206"/>
      <c r="CW1507" s="206"/>
      <c r="CX1507" s="206"/>
      <c r="CY1507" s="206"/>
      <c r="CZ1507" s="206"/>
      <c r="DA1507" s="206"/>
      <c r="DB1507" s="206"/>
      <c r="DC1507" s="206"/>
      <c r="DD1507" s="206"/>
      <c r="DE1507" s="206"/>
      <c r="DF1507" s="206"/>
      <c r="DG1507" s="206"/>
      <c r="DH1507" s="206"/>
      <c r="DI1507" s="206"/>
      <c r="DJ1507" s="206"/>
      <c r="DK1507" s="206"/>
      <c r="DL1507" s="206"/>
      <c r="DM1507" s="206"/>
      <c r="DN1507" s="206"/>
      <c r="DO1507" s="206"/>
      <c r="DP1507" s="206"/>
      <c r="DQ1507" s="206"/>
      <c r="DR1507" s="206"/>
      <c r="DS1507" s="206"/>
      <c r="DT1507" s="206"/>
      <c r="DU1507" s="206"/>
      <c r="DV1507" s="206"/>
      <c r="DW1507" s="206"/>
      <c r="DX1507" s="206"/>
      <c r="DY1507" s="206"/>
      <c r="DZ1507" s="206"/>
      <c r="EA1507" s="206"/>
      <c r="EB1507" s="206"/>
      <c r="EC1507" s="206"/>
      <c r="ED1507" s="206"/>
      <c r="EE1507" s="206"/>
      <c r="EF1507" s="206"/>
      <c r="EG1507" s="206"/>
      <c r="EH1507" s="206"/>
      <c r="EI1507" s="206"/>
      <c r="EJ1507" s="206"/>
      <c r="EK1507" s="206"/>
      <c r="EL1507" s="206"/>
      <c r="EM1507" s="206"/>
      <c r="EN1507" s="206"/>
      <c r="EO1507" s="206"/>
      <c r="EP1507" s="206"/>
      <c r="EQ1507" s="206"/>
      <c r="ER1507" s="206"/>
      <c r="ES1507" s="206"/>
      <c r="ET1507" s="206"/>
      <c r="EU1507" s="206"/>
      <c r="EV1507" s="206"/>
      <c r="EW1507" s="206"/>
      <c r="EX1507" s="206"/>
      <c r="EY1507" s="206"/>
      <c r="EZ1507" s="206"/>
      <c r="FA1507" s="206"/>
      <c r="FB1507" s="206"/>
      <c r="FC1507" s="206"/>
      <c r="FD1507" s="206"/>
      <c r="FE1507" s="206"/>
      <c r="FF1507" s="206"/>
      <c r="FG1507" s="206"/>
      <c r="FH1507" s="206"/>
      <c r="FI1507" s="206"/>
      <c r="FJ1507" s="206"/>
      <c r="FK1507" s="206"/>
      <c r="FL1507" s="206"/>
      <c r="FM1507" s="206"/>
      <c r="FN1507" s="206"/>
      <c r="FO1507" s="206"/>
      <c r="FP1507" s="206"/>
      <c r="FQ1507" s="206"/>
      <c r="FR1507" s="206"/>
      <c r="FS1507" s="206"/>
      <c r="FT1507" s="206"/>
      <c r="FU1507" s="206"/>
      <c r="FV1507" s="206"/>
      <c r="FW1507" s="206"/>
      <c r="FX1507" s="206"/>
      <c r="FY1507" s="206"/>
      <c r="FZ1507" s="206"/>
      <c r="GA1507" s="206"/>
      <c r="GB1507" s="206"/>
      <c r="GC1507" s="206"/>
      <c r="GD1507" s="206"/>
      <c r="GE1507" s="206"/>
      <c r="GF1507" s="206"/>
      <c r="GG1507" s="206"/>
      <c r="GH1507" s="206"/>
      <c r="GI1507" s="206"/>
      <c r="GJ1507" s="206"/>
      <c r="GK1507" s="206"/>
      <c r="GL1507" s="206"/>
      <c r="GM1507" s="206"/>
      <c r="GN1507" s="206"/>
      <c r="GO1507" s="206"/>
      <c r="GP1507" s="206"/>
      <c r="GQ1507" s="206"/>
      <c r="GR1507" s="206"/>
      <c r="GS1507" s="206"/>
      <c r="GT1507" s="206"/>
      <c r="GU1507" s="206"/>
      <c r="GV1507" s="206"/>
      <c r="GW1507" s="206"/>
      <c r="GX1507" s="206"/>
      <c r="GY1507" s="206"/>
      <c r="GZ1507" s="206"/>
      <c r="HA1507" s="206"/>
      <c r="HB1507" s="206"/>
      <c r="HC1507" s="206"/>
      <c r="HD1507" s="206"/>
      <c r="HE1507" s="206"/>
      <c r="HF1507" s="206"/>
      <c r="HG1507" s="206"/>
      <c r="HH1507" s="206"/>
      <c r="HI1507" s="206"/>
      <c r="HJ1507" s="206"/>
      <c r="HK1507" s="206"/>
      <c r="HL1507" s="206"/>
      <c r="HM1507" s="206"/>
      <c r="HN1507" s="206"/>
      <c r="HO1507" s="206"/>
      <c r="HP1507" s="206"/>
      <c r="HQ1507" s="206"/>
      <c r="HR1507" s="206"/>
      <c r="HS1507" s="206"/>
      <c r="HT1507" s="206"/>
      <c r="HU1507" s="206"/>
      <c r="HV1507" s="206"/>
      <c r="HW1507" s="206"/>
      <c r="HX1507" s="206"/>
      <c r="HY1507" s="206"/>
      <c r="HZ1507" s="206"/>
      <c r="IA1507" s="206"/>
      <c r="IB1507" s="206"/>
      <c r="IC1507" s="206"/>
      <c r="ID1507" s="206"/>
      <c r="IE1507" s="206"/>
      <c r="IF1507" s="206"/>
      <c r="IG1507" s="206"/>
      <c r="IH1507" s="206"/>
      <c r="II1507" s="206"/>
      <c r="IJ1507" s="206"/>
      <c r="IK1507" s="206"/>
      <c r="IL1507" s="206"/>
      <c r="IM1507" s="206"/>
      <c r="IN1507" s="206"/>
      <c r="IO1507" s="206"/>
      <c r="IP1507" s="206"/>
      <c r="IQ1507" s="206"/>
      <c r="IR1507" s="206"/>
      <c r="IS1507" s="206"/>
      <c r="IT1507" s="206"/>
      <c r="IU1507" s="206"/>
      <c r="IV1507" s="206"/>
      <c r="IW1507" s="206"/>
      <c r="IX1507" s="206"/>
      <c r="IY1507" s="206"/>
      <c r="IZ1507" s="206"/>
      <c r="JA1507" s="206"/>
      <c r="JB1507" s="206"/>
      <c r="JC1507" s="206"/>
      <c r="JD1507" s="206"/>
      <c r="JE1507" s="206"/>
      <c r="JF1507" s="206"/>
      <c r="JG1507" s="206"/>
      <c r="JH1507" s="206"/>
      <c r="JI1507" s="206"/>
      <c r="JJ1507" s="206"/>
      <c r="JK1507" s="206"/>
      <c r="JL1507" s="206"/>
      <c r="JM1507" s="206"/>
      <c r="JN1507" s="206"/>
      <c r="JO1507" s="206"/>
      <c r="JP1507" s="206"/>
      <c r="JQ1507" s="206"/>
      <c r="JR1507" s="206"/>
      <c r="JS1507" s="206"/>
      <c r="JT1507" s="206"/>
      <c r="JU1507" s="206"/>
      <c r="JV1507" s="206"/>
      <c r="JW1507" s="206"/>
      <c r="JX1507" s="206"/>
      <c r="JY1507" s="206"/>
      <c r="JZ1507" s="206"/>
      <c r="KA1507" s="206"/>
      <c r="KB1507" s="206"/>
      <c r="KC1507" s="206"/>
      <c r="KD1507" s="206"/>
      <c r="KE1507" s="206"/>
      <c r="KF1507" s="206"/>
      <c r="KG1507" s="206"/>
      <c r="KH1507" s="206"/>
      <c r="KI1507" s="206"/>
      <c r="KJ1507" s="206"/>
      <c r="KK1507" s="206"/>
      <c r="KL1507" s="206"/>
      <c r="KM1507" s="206"/>
      <c r="KN1507" s="206"/>
      <c r="KO1507" s="206"/>
      <c r="KP1507" s="206"/>
      <c r="KQ1507" s="206"/>
      <c r="KR1507" s="206"/>
      <c r="KS1507" s="206"/>
      <c r="KT1507" s="206"/>
      <c r="KU1507" s="206"/>
      <c r="KV1507" s="206"/>
      <c r="KW1507" s="206"/>
      <c r="KX1507" s="206"/>
      <c r="KY1507" s="206"/>
      <c r="KZ1507" s="206"/>
      <c r="LA1507" s="206"/>
      <c r="LB1507" s="206"/>
      <c r="LC1507" s="206"/>
      <c r="LD1507" s="206"/>
      <c r="LE1507" s="206"/>
      <c r="LF1507" s="206"/>
      <c r="LG1507" s="206"/>
      <c r="LH1507" s="206"/>
      <c r="LI1507" s="206"/>
      <c r="LJ1507" s="206"/>
      <c r="LK1507" s="206"/>
      <c r="LL1507" s="206"/>
      <c r="LM1507" s="206"/>
      <c r="LN1507" s="206"/>
      <c r="LO1507" s="206"/>
      <c r="LP1507" s="206"/>
      <c r="LQ1507" s="206"/>
      <c r="LR1507" s="206"/>
      <c r="LS1507" s="206"/>
      <c r="LT1507" s="206"/>
      <c r="LU1507" s="206"/>
      <c r="LV1507" s="206"/>
      <c r="LW1507" s="206"/>
      <c r="LX1507" s="206"/>
      <c r="LY1507" s="206"/>
      <c r="LZ1507" s="206"/>
      <c r="MA1507" s="206"/>
      <c r="MB1507" s="206"/>
      <c r="MC1507" s="206"/>
      <c r="MD1507" s="206"/>
      <c r="ME1507" s="206"/>
      <c r="MF1507" s="206"/>
      <c r="MG1507" s="206"/>
      <c r="MH1507" s="206"/>
      <c r="MI1507" s="206"/>
      <c r="MJ1507" s="206"/>
      <c r="MK1507" s="206"/>
      <c r="ML1507" s="206"/>
      <c r="MM1507" s="206"/>
      <c r="MN1507" s="206"/>
      <c r="MO1507" s="206"/>
      <c r="MP1507" s="206"/>
      <c r="MQ1507" s="206"/>
      <c r="MR1507" s="206"/>
      <c r="MS1507" s="206"/>
      <c r="MT1507" s="206"/>
      <c r="MU1507" s="206"/>
      <c r="MV1507" s="206"/>
      <c r="MW1507" s="206"/>
      <c r="MX1507" s="206"/>
      <c r="MY1507" s="206"/>
      <c r="MZ1507" s="206"/>
      <c r="NA1507" s="206"/>
      <c r="NB1507" s="206"/>
      <c r="NC1507" s="206"/>
      <c r="ND1507" s="206"/>
      <c r="NE1507" s="206"/>
      <c r="NF1507" s="206"/>
      <c r="NG1507" s="206"/>
      <c r="NH1507" s="206"/>
      <c r="NI1507" s="206"/>
      <c r="NJ1507" s="206"/>
      <c r="NK1507" s="206"/>
      <c r="NL1507" s="206"/>
      <c r="NM1507" s="206"/>
      <c r="NN1507" s="206"/>
      <c r="NO1507" s="206"/>
      <c r="NP1507" s="206"/>
      <c r="NQ1507" s="206"/>
      <c r="NR1507" s="206"/>
      <c r="NS1507" s="206"/>
      <c r="NT1507" s="206"/>
      <c r="NU1507" s="206"/>
      <c r="NV1507" s="206"/>
      <c r="NW1507" s="206"/>
      <c r="NX1507" s="206"/>
      <c r="NY1507" s="206"/>
      <c r="NZ1507" s="206"/>
      <c r="OA1507" s="206"/>
      <c r="OB1507" s="206"/>
      <c r="OC1507" s="206"/>
      <c r="OD1507" s="206"/>
      <c r="OE1507" s="206"/>
      <c r="OF1507" s="206"/>
      <c r="OG1507" s="206"/>
      <c r="OH1507" s="206"/>
      <c r="OI1507" s="206"/>
      <c r="OJ1507" s="206"/>
      <c r="OK1507" s="206"/>
      <c r="OL1507" s="206"/>
      <c r="OM1507" s="206"/>
      <c r="ON1507" s="206"/>
      <c r="OO1507" s="206"/>
      <c r="OP1507" s="206"/>
      <c r="OQ1507" s="206"/>
      <c r="OR1507" s="206"/>
      <c r="OS1507" s="206"/>
      <c r="OT1507" s="206"/>
      <c r="OU1507" s="206"/>
      <c r="OV1507" s="206"/>
      <c r="OW1507" s="206"/>
      <c r="OX1507" s="206"/>
      <c r="OY1507" s="206"/>
      <c r="OZ1507" s="206"/>
      <c r="PA1507" s="206"/>
      <c r="PB1507" s="206"/>
      <c r="PC1507" s="206"/>
      <c r="PD1507" s="206"/>
      <c r="PE1507" s="206"/>
      <c r="PF1507" s="206"/>
      <c r="PG1507" s="206"/>
      <c r="PH1507" s="206"/>
      <c r="PI1507" s="206"/>
      <c r="PJ1507" s="206"/>
      <c r="PK1507" s="206"/>
      <c r="PL1507" s="206"/>
      <c r="PM1507" s="206"/>
      <c r="PN1507" s="206"/>
      <c r="PO1507" s="206"/>
      <c r="PP1507" s="206"/>
      <c r="PQ1507" s="206"/>
      <c r="PR1507" s="206"/>
      <c r="PS1507" s="206"/>
      <c r="PT1507" s="206"/>
      <c r="PU1507" s="206"/>
      <c r="PV1507" s="206"/>
      <c r="PW1507" s="206"/>
      <c r="PX1507" s="206"/>
      <c r="PY1507" s="206"/>
      <c r="PZ1507" s="206"/>
      <c r="QA1507" s="206"/>
      <c r="QB1507" s="206"/>
      <c r="QC1507" s="206"/>
      <c r="QD1507" s="206"/>
      <c r="QE1507" s="206"/>
      <c r="QF1507" s="206"/>
      <c r="QG1507" s="206"/>
      <c r="QH1507" s="206"/>
      <c r="QI1507" s="206"/>
      <c r="QJ1507" s="206"/>
      <c r="QK1507" s="206"/>
      <c r="QL1507" s="206"/>
      <c r="QM1507" s="206"/>
      <c r="QN1507" s="206"/>
      <c r="QO1507" s="206"/>
      <c r="QP1507" s="206"/>
      <c r="QQ1507" s="206"/>
      <c r="QR1507" s="206"/>
      <c r="QS1507" s="206"/>
      <c r="QT1507" s="206"/>
      <c r="QU1507" s="206"/>
      <c r="QV1507" s="206"/>
      <c r="QW1507" s="206"/>
      <c r="QX1507" s="206"/>
      <c r="QY1507" s="206"/>
      <c r="QZ1507" s="206"/>
      <c r="RA1507" s="206"/>
      <c r="RB1507" s="206"/>
      <c r="RC1507" s="206"/>
      <c r="RD1507" s="206"/>
      <c r="RE1507" s="206"/>
      <c r="RF1507" s="206"/>
      <c r="RG1507" s="206"/>
      <c r="RH1507" s="206"/>
      <c r="RI1507" s="206"/>
      <c r="RJ1507" s="206"/>
      <c r="RK1507" s="206"/>
      <c r="RL1507" s="206"/>
      <c r="RM1507" s="206"/>
      <c r="RN1507" s="206"/>
      <c r="RO1507" s="206"/>
      <c r="RP1507" s="206"/>
      <c r="RQ1507" s="206"/>
      <c r="RR1507" s="206"/>
      <c r="RS1507" s="206"/>
      <c r="RT1507" s="206"/>
      <c r="RU1507" s="206"/>
      <c r="RV1507" s="206"/>
      <c r="RW1507" s="206"/>
      <c r="RX1507" s="206"/>
      <c r="RY1507" s="206"/>
      <c r="RZ1507" s="206"/>
      <c r="SA1507" s="206"/>
      <c r="SB1507" s="206"/>
      <c r="SC1507" s="206"/>
      <c r="SD1507" s="206"/>
      <c r="SE1507" s="206"/>
      <c r="SF1507" s="206"/>
      <c r="SG1507" s="206"/>
      <c r="SH1507" s="206"/>
      <c r="SI1507" s="206"/>
      <c r="SJ1507" s="206"/>
      <c r="SK1507" s="206"/>
      <c r="SL1507" s="206"/>
      <c r="SM1507" s="206"/>
      <c r="SN1507" s="206"/>
      <c r="SO1507" s="206"/>
      <c r="SP1507" s="206"/>
      <c r="SQ1507" s="206"/>
      <c r="SR1507" s="206"/>
      <c r="SS1507" s="206"/>
      <c r="ST1507" s="206"/>
      <c r="SU1507" s="206"/>
      <c r="SV1507" s="206"/>
      <c r="SW1507" s="206"/>
      <c r="SX1507" s="206"/>
      <c r="SY1507" s="206"/>
      <c r="SZ1507" s="206"/>
      <c r="TA1507" s="206"/>
      <c r="TB1507" s="206"/>
      <c r="TC1507" s="206"/>
      <c r="TD1507" s="206"/>
      <c r="TE1507" s="206"/>
      <c r="TF1507" s="206"/>
      <c r="TG1507" s="206"/>
      <c r="TH1507" s="206"/>
      <c r="TI1507" s="206"/>
      <c r="TJ1507" s="206"/>
      <c r="TK1507" s="206"/>
      <c r="TL1507" s="206"/>
      <c r="TM1507" s="206"/>
      <c r="TN1507" s="206"/>
      <c r="TO1507" s="206"/>
      <c r="TP1507" s="206"/>
      <c r="TQ1507" s="206"/>
      <c r="TR1507" s="206"/>
      <c r="TS1507" s="206"/>
      <c r="TT1507" s="206"/>
      <c r="TU1507" s="206"/>
      <c r="TV1507" s="206"/>
      <c r="TW1507" s="206"/>
      <c r="TX1507" s="206"/>
      <c r="TY1507" s="206"/>
      <c r="TZ1507" s="206"/>
      <c r="UA1507" s="206"/>
      <c r="UB1507" s="206"/>
      <c r="UC1507" s="206"/>
      <c r="UD1507" s="206"/>
    </row>
    <row r="1508" spans="1:553" s="874" customFormat="1" ht="21.75" customHeight="1">
      <c r="A1508" s="924" t="s">
        <v>15</v>
      </c>
      <c r="B1508" s="1226"/>
      <c r="C1508" s="1632" t="s">
        <v>16</v>
      </c>
      <c r="D1508" s="1452"/>
      <c r="E1508" s="1452"/>
      <c r="F1508" s="1452"/>
      <c r="G1508" s="1226"/>
      <c r="H1508" s="925"/>
      <c r="I1508" s="502"/>
      <c r="J1508" s="1243"/>
      <c r="K1508" s="809"/>
      <c r="L1508" s="679"/>
      <c r="M1508" s="1226"/>
      <c r="N1508" s="1226"/>
      <c r="O1508" s="1226"/>
      <c r="P1508" s="1226"/>
      <c r="Q1508" s="1171"/>
      <c r="R1508" s="1226"/>
      <c r="S1508" s="486"/>
      <c r="T1508" s="486"/>
      <c r="U1508" s="486"/>
      <c r="V1508" s="486"/>
      <c r="W1508" s="486"/>
      <c r="X1508" s="486"/>
      <c r="Y1508" s="486"/>
      <c r="Z1508" s="486"/>
      <c r="AA1508" s="486"/>
      <c r="AB1508" s="486"/>
      <c r="AC1508" s="486"/>
      <c r="AD1508" s="486"/>
      <c r="AE1508" s="486"/>
      <c r="AF1508" s="486"/>
      <c r="AG1508" s="486"/>
      <c r="AH1508" s="486"/>
      <c r="AI1508" s="486"/>
      <c r="AJ1508" s="486"/>
      <c r="AK1508" s="486"/>
      <c r="AL1508" s="206"/>
      <c r="AM1508" s="206"/>
      <c r="AN1508" s="206"/>
      <c r="AO1508" s="206"/>
      <c r="AP1508" s="206"/>
      <c r="AQ1508" s="206"/>
      <c r="AR1508" s="206"/>
      <c r="AS1508" s="206"/>
      <c r="AT1508" s="206"/>
      <c r="AU1508" s="206"/>
      <c r="AV1508" s="206"/>
      <c r="AW1508" s="206"/>
      <c r="AX1508" s="206"/>
      <c r="AY1508" s="206"/>
      <c r="AZ1508" s="206"/>
      <c r="BA1508" s="206"/>
      <c r="BB1508" s="206"/>
      <c r="BC1508" s="206"/>
      <c r="BD1508" s="206"/>
      <c r="BE1508" s="206"/>
      <c r="BF1508" s="206"/>
      <c r="BG1508" s="206"/>
      <c r="BH1508" s="206"/>
      <c r="BI1508" s="206"/>
      <c r="BJ1508" s="206"/>
      <c r="BK1508" s="206"/>
      <c r="BL1508" s="206"/>
      <c r="BM1508" s="206"/>
      <c r="BN1508" s="206"/>
      <c r="BO1508" s="206"/>
      <c r="BP1508" s="206"/>
      <c r="BQ1508" s="206"/>
      <c r="BR1508" s="206"/>
      <c r="BS1508" s="206"/>
      <c r="BT1508" s="206"/>
      <c r="BU1508" s="206"/>
      <c r="BV1508" s="206"/>
      <c r="BW1508" s="206"/>
      <c r="BX1508" s="206"/>
      <c r="BY1508" s="206"/>
      <c r="BZ1508" s="206"/>
      <c r="CA1508" s="206"/>
      <c r="CB1508" s="206"/>
      <c r="CC1508" s="206"/>
      <c r="CD1508" s="206"/>
      <c r="CE1508" s="206"/>
      <c r="CF1508" s="206"/>
      <c r="CG1508" s="206"/>
      <c r="CH1508" s="206"/>
      <c r="CI1508" s="206"/>
      <c r="CJ1508" s="206"/>
      <c r="CK1508" s="206"/>
      <c r="CL1508" s="206"/>
      <c r="CM1508" s="206"/>
      <c r="CN1508" s="206"/>
      <c r="CO1508" s="206"/>
      <c r="CP1508" s="206"/>
      <c r="CQ1508" s="206"/>
      <c r="CR1508" s="206"/>
      <c r="CS1508" s="206"/>
      <c r="CT1508" s="206"/>
      <c r="CU1508" s="206"/>
      <c r="CV1508" s="206"/>
      <c r="CW1508" s="206"/>
      <c r="CX1508" s="206"/>
      <c r="CY1508" s="206"/>
      <c r="CZ1508" s="206"/>
      <c r="DA1508" s="206"/>
      <c r="DB1508" s="206"/>
      <c r="DC1508" s="206"/>
      <c r="DD1508" s="206"/>
      <c r="DE1508" s="206"/>
      <c r="DF1508" s="206"/>
      <c r="DG1508" s="206"/>
      <c r="DH1508" s="206"/>
      <c r="DI1508" s="206"/>
      <c r="DJ1508" s="206"/>
      <c r="DK1508" s="206"/>
      <c r="DL1508" s="206"/>
      <c r="DM1508" s="206"/>
      <c r="DN1508" s="206"/>
      <c r="DO1508" s="206"/>
      <c r="DP1508" s="206"/>
      <c r="DQ1508" s="206"/>
      <c r="DR1508" s="206"/>
      <c r="DS1508" s="206"/>
      <c r="DT1508" s="206"/>
      <c r="DU1508" s="206"/>
      <c r="DV1508" s="206"/>
      <c r="DW1508" s="206"/>
      <c r="DX1508" s="206"/>
      <c r="DY1508" s="206"/>
      <c r="DZ1508" s="206"/>
      <c r="EA1508" s="206"/>
      <c r="EB1508" s="206"/>
      <c r="EC1508" s="206"/>
      <c r="ED1508" s="206"/>
      <c r="EE1508" s="206"/>
      <c r="EF1508" s="206"/>
      <c r="EG1508" s="206"/>
      <c r="EH1508" s="206"/>
      <c r="EI1508" s="206"/>
      <c r="EJ1508" s="206"/>
      <c r="EK1508" s="206"/>
      <c r="EL1508" s="206"/>
      <c r="EM1508" s="206"/>
      <c r="EN1508" s="206"/>
      <c r="EO1508" s="206"/>
      <c r="EP1508" s="206"/>
      <c r="EQ1508" s="206"/>
      <c r="ER1508" s="206"/>
      <c r="ES1508" s="206"/>
      <c r="ET1508" s="206"/>
      <c r="EU1508" s="206"/>
      <c r="EV1508" s="206"/>
      <c r="EW1508" s="206"/>
      <c r="EX1508" s="206"/>
      <c r="EY1508" s="206"/>
      <c r="EZ1508" s="206"/>
      <c r="FA1508" s="206"/>
      <c r="FB1508" s="206"/>
      <c r="FC1508" s="206"/>
      <c r="FD1508" s="206"/>
      <c r="FE1508" s="206"/>
      <c r="FF1508" s="206"/>
      <c r="FG1508" s="206"/>
      <c r="FH1508" s="206"/>
      <c r="FI1508" s="206"/>
      <c r="FJ1508" s="206"/>
      <c r="FK1508" s="206"/>
      <c r="FL1508" s="206"/>
      <c r="FM1508" s="206"/>
      <c r="FN1508" s="206"/>
      <c r="FO1508" s="206"/>
      <c r="FP1508" s="206"/>
      <c r="FQ1508" s="206"/>
      <c r="FR1508" s="206"/>
      <c r="FS1508" s="206"/>
      <c r="FT1508" s="206"/>
      <c r="FU1508" s="206"/>
      <c r="FV1508" s="206"/>
      <c r="FW1508" s="206"/>
      <c r="FX1508" s="206"/>
      <c r="FY1508" s="206"/>
      <c r="FZ1508" s="206"/>
      <c r="GA1508" s="206"/>
      <c r="GB1508" s="206"/>
      <c r="GC1508" s="206"/>
      <c r="GD1508" s="206"/>
      <c r="GE1508" s="206"/>
      <c r="GF1508" s="206"/>
      <c r="GG1508" s="206"/>
      <c r="GH1508" s="206"/>
      <c r="GI1508" s="206"/>
      <c r="GJ1508" s="206"/>
      <c r="GK1508" s="206"/>
      <c r="GL1508" s="206"/>
      <c r="GM1508" s="206"/>
      <c r="GN1508" s="206"/>
      <c r="GO1508" s="206"/>
      <c r="GP1508" s="206"/>
      <c r="GQ1508" s="206"/>
      <c r="GR1508" s="206"/>
      <c r="GS1508" s="206"/>
      <c r="GT1508" s="206"/>
      <c r="GU1508" s="206"/>
      <c r="GV1508" s="206"/>
      <c r="GW1508" s="206"/>
      <c r="GX1508" s="206"/>
      <c r="GY1508" s="206"/>
      <c r="GZ1508" s="206"/>
      <c r="HA1508" s="206"/>
      <c r="HB1508" s="206"/>
      <c r="HC1508" s="206"/>
      <c r="HD1508" s="206"/>
      <c r="HE1508" s="206"/>
      <c r="HF1508" s="206"/>
      <c r="HG1508" s="206"/>
      <c r="HH1508" s="206"/>
      <c r="HI1508" s="206"/>
      <c r="HJ1508" s="206"/>
      <c r="HK1508" s="206"/>
      <c r="HL1508" s="206"/>
      <c r="HM1508" s="206"/>
      <c r="HN1508" s="206"/>
      <c r="HO1508" s="206"/>
      <c r="HP1508" s="206"/>
      <c r="HQ1508" s="206"/>
      <c r="HR1508" s="206"/>
      <c r="HS1508" s="206"/>
      <c r="HT1508" s="206"/>
      <c r="HU1508" s="206"/>
      <c r="HV1508" s="206"/>
      <c r="HW1508" s="206"/>
      <c r="HX1508" s="206"/>
      <c r="HY1508" s="206"/>
      <c r="HZ1508" s="206"/>
      <c r="IA1508" s="206"/>
      <c r="IB1508" s="206"/>
      <c r="IC1508" s="206"/>
      <c r="ID1508" s="206"/>
      <c r="IE1508" s="206"/>
      <c r="IF1508" s="206"/>
      <c r="IG1508" s="206"/>
      <c r="IH1508" s="206"/>
      <c r="II1508" s="206"/>
      <c r="IJ1508" s="206"/>
      <c r="IK1508" s="206"/>
      <c r="IL1508" s="206"/>
      <c r="IM1508" s="206"/>
      <c r="IN1508" s="206"/>
      <c r="IO1508" s="206"/>
      <c r="IP1508" s="206"/>
      <c r="IQ1508" s="206"/>
      <c r="IR1508" s="206"/>
      <c r="IS1508" s="206"/>
      <c r="IT1508" s="206"/>
      <c r="IU1508" s="206"/>
      <c r="IV1508" s="206"/>
      <c r="IW1508" s="206"/>
      <c r="IX1508" s="206"/>
      <c r="IY1508" s="206"/>
      <c r="IZ1508" s="206"/>
      <c r="JA1508" s="206"/>
      <c r="JB1508" s="206"/>
      <c r="JC1508" s="206"/>
      <c r="JD1508" s="206"/>
      <c r="JE1508" s="206"/>
      <c r="JF1508" s="206"/>
      <c r="JG1508" s="206"/>
      <c r="JH1508" s="206"/>
      <c r="JI1508" s="206"/>
      <c r="JJ1508" s="206"/>
      <c r="JK1508" s="206"/>
      <c r="JL1508" s="206"/>
      <c r="JM1508" s="206"/>
      <c r="JN1508" s="206"/>
      <c r="JO1508" s="206"/>
      <c r="JP1508" s="206"/>
      <c r="JQ1508" s="206"/>
      <c r="JR1508" s="206"/>
      <c r="JS1508" s="206"/>
      <c r="JT1508" s="206"/>
      <c r="JU1508" s="206"/>
      <c r="JV1508" s="206"/>
      <c r="JW1508" s="206"/>
      <c r="JX1508" s="206"/>
      <c r="JY1508" s="206"/>
      <c r="JZ1508" s="206"/>
      <c r="KA1508" s="206"/>
      <c r="KB1508" s="206"/>
      <c r="KC1508" s="206"/>
      <c r="KD1508" s="206"/>
      <c r="KE1508" s="206"/>
      <c r="KF1508" s="206"/>
      <c r="KG1508" s="206"/>
      <c r="KH1508" s="206"/>
      <c r="KI1508" s="206"/>
      <c r="KJ1508" s="206"/>
      <c r="KK1508" s="206"/>
      <c r="KL1508" s="206"/>
      <c r="KM1508" s="206"/>
      <c r="KN1508" s="206"/>
      <c r="KO1508" s="206"/>
      <c r="KP1508" s="206"/>
      <c r="KQ1508" s="206"/>
      <c r="KR1508" s="206"/>
      <c r="KS1508" s="206"/>
      <c r="KT1508" s="206"/>
      <c r="KU1508" s="206"/>
      <c r="KV1508" s="206"/>
      <c r="KW1508" s="206"/>
      <c r="KX1508" s="206"/>
      <c r="KY1508" s="206"/>
      <c r="KZ1508" s="206"/>
      <c r="LA1508" s="206"/>
      <c r="LB1508" s="206"/>
      <c r="LC1508" s="206"/>
      <c r="LD1508" s="206"/>
      <c r="LE1508" s="206"/>
      <c r="LF1508" s="206"/>
      <c r="LG1508" s="206"/>
      <c r="LH1508" s="206"/>
      <c r="LI1508" s="206"/>
      <c r="LJ1508" s="206"/>
      <c r="LK1508" s="206"/>
      <c r="LL1508" s="206"/>
      <c r="LM1508" s="206"/>
      <c r="LN1508" s="206"/>
      <c r="LO1508" s="206"/>
      <c r="LP1508" s="206"/>
      <c r="LQ1508" s="206"/>
      <c r="LR1508" s="206"/>
      <c r="LS1508" s="206"/>
      <c r="LT1508" s="206"/>
      <c r="LU1508" s="206"/>
      <c r="LV1508" s="206"/>
      <c r="LW1508" s="206"/>
      <c r="LX1508" s="206"/>
      <c r="LY1508" s="206"/>
      <c r="LZ1508" s="206"/>
      <c r="MA1508" s="206"/>
      <c r="MB1508" s="206"/>
      <c r="MC1508" s="206"/>
      <c r="MD1508" s="206"/>
      <c r="ME1508" s="206"/>
      <c r="MF1508" s="206"/>
      <c r="MG1508" s="206"/>
      <c r="MH1508" s="206"/>
      <c r="MI1508" s="206"/>
      <c r="MJ1508" s="206"/>
      <c r="MK1508" s="206"/>
      <c r="ML1508" s="206"/>
      <c r="MM1508" s="206"/>
      <c r="MN1508" s="206"/>
      <c r="MO1508" s="206"/>
      <c r="MP1508" s="206"/>
      <c r="MQ1508" s="206"/>
      <c r="MR1508" s="206"/>
      <c r="MS1508" s="206"/>
      <c r="MT1508" s="206"/>
      <c r="MU1508" s="206"/>
      <c r="MV1508" s="206"/>
      <c r="MW1508" s="206"/>
      <c r="MX1508" s="206"/>
      <c r="MY1508" s="206"/>
      <c r="MZ1508" s="206"/>
      <c r="NA1508" s="206"/>
      <c r="NB1508" s="206"/>
      <c r="NC1508" s="206"/>
      <c r="ND1508" s="206"/>
      <c r="NE1508" s="206"/>
      <c r="NF1508" s="206"/>
      <c r="NG1508" s="206"/>
      <c r="NH1508" s="206"/>
      <c r="NI1508" s="206"/>
      <c r="NJ1508" s="206"/>
      <c r="NK1508" s="206"/>
      <c r="NL1508" s="206"/>
      <c r="NM1508" s="206"/>
      <c r="NN1508" s="206"/>
      <c r="NO1508" s="206"/>
      <c r="NP1508" s="206"/>
      <c r="NQ1508" s="206"/>
      <c r="NR1508" s="206"/>
      <c r="NS1508" s="206"/>
      <c r="NT1508" s="206"/>
      <c r="NU1508" s="206"/>
      <c r="NV1508" s="206"/>
      <c r="NW1508" s="206"/>
      <c r="NX1508" s="206"/>
      <c r="NY1508" s="206"/>
      <c r="NZ1508" s="206"/>
      <c r="OA1508" s="206"/>
      <c r="OB1508" s="206"/>
      <c r="OC1508" s="206"/>
      <c r="OD1508" s="206"/>
      <c r="OE1508" s="206"/>
      <c r="OF1508" s="206"/>
      <c r="OG1508" s="206"/>
      <c r="OH1508" s="206"/>
      <c r="OI1508" s="206"/>
      <c r="OJ1508" s="206"/>
      <c r="OK1508" s="206"/>
      <c r="OL1508" s="206"/>
      <c r="OM1508" s="206"/>
      <c r="ON1508" s="206"/>
      <c r="OO1508" s="206"/>
      <c r="OP1508" s="206"/>
      <c r="OQ1508" s="206"/>
      <c r="OR1508" s="206"/>
      <c r="OS1508" s="206"/>
      <c r="OT1508" s="206"/>
      <c r="OU1508" s="206"/>
      <c r="OV1508" s="206"/>
      <c r="OW1508" s="206"/>
      <c r="OX1508" s="206"/>
      <c r="OY1508" s="206"/>
      <c r="OZ1508" s="206"/>
      <c r="PA1508" s="206"/>
      <c r="PB1508" s="206"/>
      <c r="PC1508" s="206"/>
      <c r="PD1508" s="206"/>
      <c r="PE1508" s="206"/>
      <c r="PF1508" s="206"/>
      <c r="PG1508" s="206"/>
      <c r="PH1508" s="206"/>
      <c r="PI1508" s="206"/>
      <c r="PJ1508" s="206"/>
      <c r="PK1508" s="206"/>
      <c r="PL1508" s="206"/>
      <c r="PM1508" s="206"/>
      <c r="PN1508" s="206"/>
      <c r="PO1508" s="206"/>
      <c r="PP1508" s="206"/>
      <c r="PQ1508" s="206"/>
      <c r="PR1508" s="206"/>
      <c r="PS1508" s="206"/>
      <c r="PT1508" s="206"/>
      <c r="PU1508" s="206"/>
      <c r="PV1508" s="206"/>
      <c r="PW1508" s="206"/>
      <c r="PX1508" s="206"/>
      <c r="PY1508" s="206"/>
      <c r="PZ1508" s="206"/>
      <c r="QA1508" s="206"/>
      <c r="QB1508" s="206"/>
      <c r="QC1508" s="206"/>
      <c r="QD1508" s="206"/>
      <c r="QE1508" s="206"/>
      <c r="QF1508" s="206"/>
      <c r="QG1508" s="206"/>
      <c r="QH1508" s="206"/>
      <c r="QI1508" s="206"/>
      <c r="QJ1508" s="206"/>
      <c r="QK1508" s="206"/>
      <c r="QL1508" s="206"/>
      <c r="QM1508" s="206"/>
      <c r="QN1508" s="206"/>
      <c r="QO1508" s="206"/>
      <c r="QP1508" s="206"/>
      <c r="QQ1508" s="206"/>
      <c r="QR1508" s="206"/>
      <c r="QS1508" s="206"/>
      <c r="QT1508" s="206"/>
      <c r="QU1508" s="206"/>
      <c r="QV1508" s="206"/>
      <c r="QW1508" s="206"/>
      <c r="QX1508" s="206"/>
      <c r="QY1508" s="206"/>
      <c r="QZ1508" s="206"/>
      <c r="RA1508" s="206"/>
      <c r="RB1508" s="206"/>
      <c r="RC1508" s="206"/>
      <c r="RD1508" s="206"/>
      <c r="RE1508" s="206"/>
      <c r="RF1508" s="206"/>
      <c r="RG1508" s="206"/>
      <c r="RH1508" s="206"/>
      <c r="RI1508" s="206"/>
      <c r="RJ1508" s="206"/>
      <c r="RK1508" s="206"/>
      <c r="RL1508" s="206"/>
      <c r="RM1508" s="206"/>
      <c r="RN1508" s="206"/>
      <c r="RO1508" s="206"/>
      <c r="RP1508" s="206"/>
      <c r="RQ1508" s="206"/>
      <c r="RR1508" s="206"/>
      <c r="RS1508" s="206"/>
      <c r="RT1508" s="206"/>
      <c r="RU1508" s="206"/>
      <c r="RV1508" s="206"/>
      <c r="RW1508" s="206"/>
      <c r="RX1508" s="206"/>
      <c r="RY1508" s="206"/>
      <c r="RZ1508" s="206"/>
      <c r="SA1508" s="206"/>
      <c r="SB1508" s="206"/>
      <c r="SC1508" s="206"/>
      <c r="SD1508" s="206"/>
      <c r="SE1508" s="206"/>
      <c r="SF1508" s="206"/>
      <c r="SG1508" s="206"/>
      <c r="SH1508" s="206"/>
      <c r="SI1508" s="206"/>
      <c r="SJ1508" s="206"/>
      <c r="SK1508" s="206"/>
      <c r="SL1508" s="206"/>
      <c r="SM1508" s="206"/>
      <c r="SN1508" s="206"/>
      <c r="SO1508" s="206"/>
      <c r="SP1508" s="206"/>
      <c r="SQ1508" s="206"/>
      <c r="SR1508" s="206"/>
      <c r="SS1508" s="206"/>
      <c r="ST1508" s="206"/>
      <c r="SU1508" s="206"/>
      <c r="SV1508" s="206"/>
      <c r="SW1508" s="206"/>
      <c r="SX1508" s="206"/>
      <c r="SY1508" s="206"/>
      <c r="SZ1508" s="206"/>
      <c r="TA1508" s="206"/>
      <c r="TB1508" s="206"/>
      <c r="TC1508" s="206"/>
      <c r="TD1508" s="206"/>
      <c r="TE1508" s="206"/>
      <c r="TF1508" s="206"/>
      <c r="TG1508" s="206"/>
      <c r="TH1508" s="206"/>
      <c r="TI1508" s="206"/>
      <c r="TJ1508" s="206"/>
      <c r="TK1508" s="206"/>
      <c r="TL1508" s="206"/>
      <c r="TM1508" s="206"/>
      <c r="TN1508" s="206"/>
      <c r="TO1508" s="206"/>
      <c r="TP1508" s="206"/>
      <c r="TQ1508" s="206"/>
      <c r="TR1508" s="206"/>
      <c r="TS1508" s="206"/>
      <c r="TT1508" s="206"/>
      <c r="TU1508" s="206"/>
      <c r="TV1508" s="206"/>
      <c r="TW1508" s="206"/>
      <c r="TX1508" s="206"/>
      <c r="TY1508" s="206"/>
      <c r="TZ1508" s="206"/>
      <c r="UA1508" s="206"/>
      <c r="UB1508" s="206"/>
      <c r="UC1508" s="206"/>
      <c r="UD1508" s="206"/>
    </row>
    <row r="1509" spans="1:553" s="874" customFormat="1" ht="21.75" customHeight="1">
      <c r="A1509" s="924" t="s">
        <v>15</v>
      </c>
      <c r="B1509" s="1226"/>
      <c r="C1509" s="1632" t="s">
        <v>1331</v>
      </c>
      <c r="D1509" s="1452"/>
      <c r="E1509" s="1452"/>
      <c r="F1509" s="1452"/>
      <c r="G1509" s="1226"/>
      <c r="H1509" s="925"/>
      <c r="I1509" s="502"/>
      <c r="J1509" s="1243"/>
      <c r="K1509" s="809"/>
      <c r="L1509" s="679"/>
      <c r="M1509" s="1226"/>
      <c r="N1509" s="1226"/>
      <c r="O1509" s="1226"/>
      <c r="P1509" s="1226"/>
      <c r="Q1509" s="1171"/>
      <c r="R1509" s="1226"/>
      <c r="S1509" s="486"/>
      <c r="T1509" s="486"/>
      <c r="U1509" s="486"/>
      <c r="V1509" s="486"/>
      <c r="W1509" s="486"/>
      <c r="X1509" s="486"/>
      <c r="Y1509" s="486"/>
      <c r="Z1509" s="486"/>
      <c r="AA1509" s="486"/>
      <c r="AB1509" s="486"/>
      <c r="AC1509" s="486"/>
      <c r="AD1509" s="486"/>
      <c r="AE1509" s="486"/>
      <c r="AF1509" s="486"/>
      <c r="AG1509" s="486"/>
      <c r="AH1509" s="486"/>
      <c r="AI1509" s="486"/>
      <c r="AJ1509" s="486"/>
      <c r="AK1509" s="486"/>
      <c r="AL1509" s="206"/>
      <c r="AM1509" s="206"/>
      <c r="AN1509" s="206"/>
      <c r="AO1509" s="206"/>
      <c r="AP1509" s="206"/>
      <c r="AQ1509" s="206"/>
      <c r="AR1509" s="206"/>
      <c r="AS1509" s="206"/>
      <c r="AT1509" s="206"/>
      <c r="AU1509" s="206"/>
      <c r="AV1509" s="206"/>
      <c r="AW1509" s="206"/>
      <c r="AX1509" s="206"/>
      <c r="AY1509" s="206"/>
      <c r="AZ1509" s="206"/>
      <c r="BA1509" s="206"/>
      <c r="BB1509" s="206"/>
      <c r="BC1509" s="206"/>
      <c r="BD1509" s="206"/>
      <c r="BE1509" s="206"/>
      <c r="BF1509" s="206"/>
      <c r="BG1509" s="206"/>
      <c r="BH1509" s="206"/>
      <c r="BI1509" s="206"/>
      <c r="BJ1509" s="206"/>
      <c r="BK1509" s="206"/>
      <c r="BL1509" s="206"/>
      <c r="BM1509" s="206"/>
      <c r="BN1509" s="206"/>
      <c r="BO1509" s="206"/>
      <c r="BP1509" s="206"/>
      <c r="BQ1509" s="206"/>
      <c r="BR1509" s="206"/>
      <c r="BS1509" s="206"/>
      <c r="BT1509" s="206"/>
      <c r="BU1509" s="206"/>
      <c r="BV1509" s="206"/>
      <c r="BW1509" s="206"/>
      <c r="BX1509" s="206"/>
      <c r="BY1509" s="206"/>
      <c r="BZ1509" s="206"/>
      <c r="CA1509" s="206"/>
      <c r="CB1509" s="206"/>
      <c r="CC1509" s="206"/>
      <c r="CD1509" s="206"/>
      <c r="CE1509" s="206"/>
      <c r="CF1509" s="206"/>
      <c r="CG1509" s="206"/>
      <c r="CH1509" s="206"/>
      <c r="CI1509" s="206"/>
      <c r="CJ1509" s="206"/>
      <c r="CK1509" s="206"/>
      <c r="CL1509" s="206"/>
      <c r="CM1509" s="206"/>
      <c r="CN1509" s="206"/>
      <c r="CO1509" s="206"/>
      <c r="CP1509" s="206"/>
      <c r="CQ1509" s="206"/>
      <c r="CR1509" s="206"/>
      <c r="CS1509" s="206"/>
      <c r="CT1509" s="206"/>
      <c r="CU1509" s="206"/>
      <c r="CV1509" s="206"/>
      <c r="CW1509" s="206"/>
      <c r="CX1509" s="206"/>
      <c r="CY1509" s="206"/>
      <c r="CZ1509" s="206"/>
      <c r="DA1509" s="206"/>
      <c r="DB1509" s="206"/>
      <c r="DC1509" s="206"/>
      <c r="DD1509" s="206"/>
      <c r="DE1509" s="206"/>
      <c r="DF1509" s="206"/>
      <c r="DG1509" s="206"/>
      <c r="DH1509" s="206"/>
      <c r="DI1509" s="206"/>
      <c r="DJ1509" s="206"/>
      <c r="DK1509" s="206"/>
      <c r="DL1509" s="206"/>
      <c r="DM1509" s="206"/>
      <c r="DN1509" s="206"/>
      <c r="DO1509" s="206"/>
      <c r="DP1509" s="206"/>
      <c r="DQ1509" s="206"/>
      <c r="DR1509" s="206"/>
      <c r="DS1509" s="206"/>
      <c r="DT1509" s="206"/>
      <c r="DU1509" s="206"/>
      <c r="DV1509" s="206"/>
      <c r="DW1509" s="206"/>
      <c r="DX1509" s="206"/>
      <c r="DY1509" s="206"/>
      <c r="DZ1509" s="206"/>
      <c r="EA1509" s="206"/>
      <c r="EB1509" s="206"/>
      <c r="EC1509" s="206"/>
      <c r="ED1509" s="206"/>
      <c r="EE1509" s="206"/>
      <c r="EF1509" s="206"/>
      <c r="EG1509" s="206"/>
      <c r="EH1509" s="206"/>
      <c r="EI1509" s="206"/>
      <c r="EJ1509" s="206"/>
      <c r="EK1509" s="206"/>
      <c r="EL1509" s="206"/>
      <c r="EM1509" s="206"/>
      <c r="EN1509" s="206"/>
      <c r="EO1509" s="206"/>
      <c r="EP1509" s="206"/>
      <c r="EQ1509" s="206"/>
      <c r="ER1509" s="206"/>
      <c r="ES1509" s="206"/>
      <c r="ET1509" s="206"/>
      <c r="EU1509" s="206"/>
      <c r="EV1509" s="206"/>
      <c r="EW1509" s="206"/>
      <c r="EX1509" s="206"/>
      <c r="EY1509" s="206"/>
      <c r="EZ1509" s="206"/>
      <c r="FA1509" s="206"/>
      <c r="FB1509" s="206"/>
      <c r="FC1509" s="206"/>
      <c r="FD1509" s="206"/>
      <c r="FE1509" s="206"/>
      <c r="FF1509" s="206"/>
      <c r="FG1509" s="206"/>
      <c r="FH1509" s="206"/>
      <c r="FI1509" s="206"/>
      <c r="FJ1509" s="206"/>
      <c r="FK1509" s="206"/>
      <c r="FL1509" s="206"/>
      <c r="FM1509" s="206"/>
      <c r="FN1509" s="206"/>
      <c r="FO1509" s="206"/>
      <c r="FP1509" s="206"/>
      <c r="FQ1509" s="206"/>
      <c r="FR1509" s="206"/>
      <c r="FS1509" s="206"/>
      <c r="FT1509" s="206"/>
      <c r="FU1509" s="206"/>
      <c r="FV1509" s="206"/>
      <c r="FW1509" s="206"/>
      <c r="FX1509" s="206"/>
      <c r="FY1509" s="206"/>
      <c r="FZ1509" s="206"/>
      <c r="GA1509" s="206"/>
      <c r="GB1509" s="206"/>
      <c r="GC1509" s="206"/>
      <c r="GD1509" s="206"/>
      <c r="GE1509" s="206"/>
      <c r="GF1509" s="206"/>
      <c r="GG1509" s="206"/>
      <c r="GH1509" s="206"/>
      <c r="GI1509" s="206"/>
      <c r="GJ1509" s="206"/>
      <c r="GK1509" s="206"/>
      <c r="GL1509" s="206"/>
      <c r="GM1509" s="206"/>
      <c r="GN1509" s="206"/>
      <c r="GO1509" s="206"/>
      <c r="GP1509" s="206"/>
      <c r="GQ1509" s="206"/>
      <c r="GR1509" s="206"/>
      <c r="GS1509" s="206"/>
      <c r="GT1509" s="206"/>
      <c r="GU1509" s="206"/>
      <c r="GV1509" s="206"/>
      <c r="GW1509" s="206"/>
      <c r="GX1509" s="206"/>
      <c r="GY1509" s="206"/>
      <c r="GZ1509" s="206"/>
      <c r="HA1509" s="206"/>
      <c r="HB1509" s="206"/>
      <c r="HC1509" s="206"/>
      <c r="HD1509" s="206"/>
      <c r="HE1509" s="206"/>
      <c r="HF1509" s="206"/>
      <c r="HG1509" s="206"/>
      <c r="HH1509" s="206"/>
      <c r="HI1509" s="206"/>
      <c r="HJ1509" s="206"/>
      <c r="HK1509" s="206"/>
      <c r="HL1509" s="206"/>
      <c r="HM1509" s="206"/>
      <c r="HN1509" s="206"/>
      <c r="HO1509" s="206"/>
      <c r="HP1509" s="206"/>
      <c r="HQ1509" s="206"/>
      <c r="HR1509" s="206"/>
      <c r="HS1509" s="206"/>
      <c r="HT1509" s="206"/>
      <c r="HU1509" s="206"/>
      <c r="HV1509" s="206"/>
      <c r="HW1509" s="206"/>
      <c r="HX1509" s="206"/>
      <c r="HY1509" s="206"/>
      <c r="HZ1509" s="206"/>
      <c r="IA1509" s="206"/>
      <c r="IB1509" s="206"/>
      <c r="IC1509" s="206"/>
      <c r="ID1509" s="206"/>
      <c r="IE1509" s="206"/>
      <c r="IF1509" s="206"/>
      <c r="IG1509" s="206"/>
      <c r="IH1509" s="206"/>
      <c r="II1509" s="206"/>
      <c r="IJ1509" s="206"/>
      <c r="IK1509" s="206"/>
      <c r="IL1509" s="206"/>
      <c r="IM1509" s="206"/>
      <c r="IN1509" s="206"/>
      <c r="IO1509" s="206"/>
      <c r="IP1509" s="206"/>
      <c r="IQ1509" s="206"/>
      <c r="IR1509" s="206"/>
      <c r="IS1509" s="206"/>
      <c r="IT1509" s="206"/>
      <c r="IU1509" s="206"/>
      <c r="IV1509" s="206"/>
      <c r="IW1509" s="206"/>
      <c r="IX1509" s="206"/>
      <c r="IY1509" s="206"/>
      <c r="IZ1509" s="206"/>
      <c r="JA1509" s="206"/>
      <c r="JB1509" s="206"/>
      <c r="JC1509" s="206"/>
      <c r="JD1509" s="206"/>
      <c r="JE1509" s="206"/>
      <c r="JF1509" s="206"/>
      <c r="JG1509" s="206"/>
      <c r="JH1509" s="206"/>
      <c r="JI1509" s="206"/>
      <c r="JJ1509" s="206"/>
      <c r="JK1509" s="206"/>
      <c r="JL1509" s="206"/>
      <c r="JM1509" s="206"/>
      <c r="JN1509" s="206"/>
      <c r="JO1509" s="206"/>
      <c r="JP1509" s="206"/>
      <c r="JQ1509" s="206"/>
      <c r="JR1509" s="206"/>
      <c r="JS1509" s="206"/>
      <c r="JT1509" s="206"/>
      <c r="JU1509" s="206"/>
      <c r="JV1509" s="206"/>
      <c r="JW1509" s="206"/>
      <c r="JX1509" s="206"/>
      <c r="JY1509" s="206"/>
      <c r="JZ1509" s="206"/>
      <c r="KA1509" s="206"/>
      <c r="KB1509" s="206"/>
      <c r="KC1509" s="206"/>
      <c r="KD1509" s="206"/>
      <c r="KE1509" s="206"/>
      <c r="KF1509" s="206"/>
      <c r="KG1509" s="206"/>
      <c r="KH1509" s="206"/>
      <c r="KI1509" s="206"/>
      <c r="KJ1509" s="206"/>
      <c r="KK1509" s="206"/>
      <c r="KL1509" s="206"/>
      <c r="KM1509" s="206"/>
      <c r="KN1509" s="206"/>
      <c r="KO1509" s="206"/>
      <c r="KP1509" s="206"/>
      <c r="KQ1509" s="206"/>
      <c r="KR1509" s="206"/>
      <c r="KS1509" s="206"/>
      <c r="KT1509" s="206"/>
      <c r="KU1509" s="206"/>
      <c r="KV1509" s="206"/>
      <c r="KW1509" s="206"/>
      <c r="KX1509" s="206"/>
      <c r="KY1509" s="206"/>
      <c r="KZ1509" s="206"/>
      <c r="LA1509" s="206"/>
      <c r="LB1509" s="206"/>
      <c r="LC1509" s="206"/>
      <c r="LD1509" s="206"/>
      <c r="LE1509" s="206"/>
      <c r="LF1509" s="206"/>
      <c r="LG1509" s="206"/>
      <c r="LH1509" s="206"/>
      <c r="LI1509" s="206"/>
      <c r="LJ1509" s="206"/>
      <c r="LK1509" s="206"/>
      <c r="LL1509" s="206"/>
      <c r="LM1509" s="206"/>
      <c r="LN1509" s="206"/>
      <c r="LO1509" s="206"/>
      <c r="LP1509" s="206"/>
      <c r="LQ1509" s="206"/>
      <c r="LR1509" s="206"/>
      <c r="LS1509" s="206"/>
      <c r="LT1509" s="206"/>
      <c r="LU1509" s="206"/>
      <c r="LV1509" s="206"/>
      <c r="LW1509" s="206"/>
      <c r="LX1509" s="206"/>
      <c r="LY1509" s="206"/>
      <c r="LZ1509" s="206"/>
      <c r="MA1509" s="206"/>
      <c r="MB1509" s="206"/>
      <c r="MC1509" s="206"/>
      <c r="MD1509" s="206"/>
      <c r="ME1509" s="206"/>
      <c r="MF1509" s="206"/>
      <c r="MG1509" s="206"/>
      <c r="MH1509" s="206"/>
      <c r="MI1509" s="206"/>
      <c r="MJ1509" s="206"/>
      <c r="MK1509" s="206"/>
      <c r="ML1509" s="206"/>
      <c r="MM1509" s="206"/>
      <c r="MN1509" s="206"/>
      <c r="MO1509" s="206"/>
      <c r="MP1509" s="206"/>
      <c r="MQ1509" s="206"/>
      <c r="MR1509" s="206"/>
      <c r="MS1509" s="206"/>
      <c r="MT1509" s="206"/>
      <c r="MU1509" s="206"/>
      <c r="MV1509" s="206"/>
      <c r="MW1509" s="206"/>
      <c r="MX1509" s="206"/>
      <c r="MY1509" s="206"/>
      <c r="MZ1509" s="206"/>
      <c r="NA1509" s="206"/>
      <c r="NB1509" s="206"/>
      <c r="NC1509" s="206"/>
      <c r="ND1509" s="206"/>
      <c r="NE1509" s="206"/>
      <c r="NF1509" s="206"/>
      <c r="NG1509" s="206"/>
      <c r="NH1509" s="206"/>
      <c r="NI1509" s="206"/>
      <c r="NJ1509" s="206"/>
      <c r="NK1509" s="206"/>
      <c r="NL1509" s="206"/>
      <c r="NM1509" s="206"/>
      <c r="NN1509" s="206"/>
      <c r="NO1509" s="206"/>
      <c r="NP1509" s="206"/>
      <c r="NQ1509" s="206"/>
      <c r="NR1509" s="206"/>
      <c r="NS1509" s="206"/>
      <c r="NT1509" s="206"/>
      <c r="NU1509" s="206"/>
      <c r="NV1509" s="206"/>
      <c r="NW1509" s="206"/>
      <c r="NX1509" s="206"/>
      <c r="NY1509" s="206"/>
      <c r="NZ1509" s="206"/>
      <c r="OA1509" s="206"/>
      <c r="OB1509" s="206"/>
      <c r="OC1509" s="206"/>
      <c r="OD1509" s="206"/>
      <c r="OE1509" s="206"/>
      <c r="OF1509" s="206"/>
      <c r="OG1509" s="206"/>
      <c r="OH1509" s="206"/>
      <c r="OI1509" s="206"/>
      <c r="OJ1509" s="206"/>
      <c r="OK1509" s="206"/>
      <c r="OL1509" s="206"/>
      <c r="OM1509" s="206"/>
      <c r="ON1509" s="206"/>
      <c r="OO1509" s="206"/>
      <c r="OP1509" s="206"/>
      <c r="OQ1509" s="206"/>
      <c r="OR1509" s="206"/>
      <c r="OS1509" s="206"/>
      <c r="OT1509" s="206"/>
      <c r="OU1509" s="206"/>
      <c r="OV1509" s="206"/>
      <c r="OW1509" s="206"/>
      <c r="OX1509" s="206"/>
      <c r="OY1509" s="206"/>
      <c r="OZ1509" s="206"/>
      <c r="PA1509" s="206"/>
      <c r="PB1509" s="206"/>
      <c r="PC1509" s="206"/>
      <c r="PD1509" s="206"/>
      <c r="PE1509" s="206"/>
      <c r="PF1509" s="206"/>
      <c r="PG1509" s="206"/>
      <c r="PH1509" s="206"/>
      <c r="PI1509" s="206"/>
      <c r="PJ1509" s="206"/>
      <c r="PK1509" s="206"/>
      <c r="PL1509" s="206"/>
      <c r="PM1509" s="206"/>
      <c r="PN1509" s="206"/>
      <c r="PO1509" s="206"/>
      <c r="PP1509" s="206"/>
      <c r="PQ1509" s="206"/>
      <c r="PR1509" s="206"/>
      <c r="PS1509" s="206"/>
      <c r="PT1509" s="206"/>
      <c r="PU1509" s="206"/>
      <c r="PV1509" s="206"/>
      <c r="PW1509" s="206"/>
      <c r="PX1509" s="206"/>
      <c r="PY1509" s="206"/>
      <c r="PZ1509" s="206"/>
      <c r="QA1509" s="206"/>
      <c r="QB1509" s="206"/>
      <c r="QC1509" s="206"/>
      <c r="QD1509" s="206"/>
      <c r="QE1509" s="206"/>
      <c r="QF1509" s="206"/>
      <c r="QG1509" s="206"/>
      <c r="QH1509" s="206"/>
      <c r="QI1509" s="206"/>
      <c r="QJ1509" s="206"/>
      <c r="QK1509" s="206"/>
      <c r="QL1509" s="206"/>
      <c r="QM1509" s="206"/>
      <c r="QN1509" s="206"/>
      <c r="QO1509" s="206"/>
      <c r="QP1509" s="206"/>
      <c r="QQ1509" s="206"/>
      <c r="QR1509" s="206"/>
      <c r="QS1509" s="206"/>
      <c r="QT1509" s="206"/>
      <c r="QU1509" s="206"/>
      <c r="QV1509" s="206"/>
      <c r="QW1509" s="206"/>
      <c r="QX1509" s="206"/>
      <c r="QY1509" s="206"/>
      <c r="QZ1509" s="206"/>
      <c r="RA1509" s="206"/>
      <c r="RB1509" s="206"/>
      <c r="RC1509" s="206"/>
      <c r="RD1509" s="206"/>
      <c r="RE1509" s="206"/>
      <c r="RF1509" s="206"/>
      <c r="RG1509" s="206"/>
      <c r="RH1509" s="206"/>
      <c r="RI1509" s="206"/>
      <c r="RJ1509" s="206"/>
      <c r="RK1509" s="206"/>
      <c r="RL1509" s="206"/>
      <c r="RM1509" s="206"/>
      <c r="RN1509" s="206"/>
      <c r="RO1509" s="206"/>
      <c r="RP1509" s="206"/>
      <c r="RQ1509" s="206"/>
      <c r="RR1509" s="206"/>
      <c r="RS1509" s="206"/>
      <c r="RT1509" s="206"/>
      <c r="RU1509" s="206"/>
      <c r="RV1509" s="206"/>
      <c r="RW1509" s="206"/>
      <c r="RX1509" s="206"/>
      <c r="RY1509" s="206"/>
      <c r="RZ1509" s="206"/>
      <c r="SA1509" s="206"/>
      <c r="SB1509" s="206"/>
      <c r="SC1509" s="206"/>
      <c r="SD1509" s="206"/>
      <c r="SE1509" s="206"/>
      <c r="SF1509" s="206"/>
      <c r="SG1509" s="206"/>
      <c r="SH1509" s="206"/>
      <c r="SI1509" s="206"/>
      <c r="SJ1509" s="206"/>
      <c r="SK1509" s="206"/>
      <c r="SL1509" s="206"/>
      <c r="SM1509" s="206"/>
      <c r="SN1509" s="206"/>
      <c r="SO1509" s="206"/>
      <c r="SP1509" s="206"/>
      <c r="SQ1509" s="206"/>
      <c r="SR1509" s="206"/>
      <c r="SS1509" s="206"/>
      <c r="ST1509" s="206"/>
      <c r="SU1509" s="206"/>
      <c r="SV1509" s="206"/>
      <c r="SW1509" s="206"/>
      <c r="SX1509" s="206"/>
      <c r="SY1509" s="206"/>
      <c r="SZ1509" s="206"/>
      <c r="TA1509" s="206"/>
      <c r="TB1509" s="206"/>
      <c r="TC1509" s="206"/>
      <c r="TD1509" s="206"/>
      <c r="TE1509" s="206"/>
      <c r="TF1509" s="206"/>
      <c r="TG1509" s="206"/>
      <c r="TH1509" s="206"/>
      <c r="TI1509" s="206"/>
      <c r="TJ1509" s="206"/>
      <c r="TK1509" s="206"/>
      <c r="TL1509" s="206"/>
      <c r="TM1509" s="206"/>
      <c r="TN1509" s="206"/>
      <c r="TO1509" s="206"/>
      <c r="TP1509" s="206"/>
      <c r="TQ1509" s="206"/>
      <c r="TR1509" s="206"/>
      <c r="TS1509" s="206"/>
      <c r="TT1509" s="206"/>
      <c r="TU1509" s="206"/>
      <c r="TV1509" s="206"/>
      <c r="TW1509" s="206"/>
      <c r="TX1509" s="206"/>
      <c r="TY1509" s="206"/>
      <c r="TZ1509" s="206"/>
      <c r="UA1509" s="206"/>
      <c r="UB1509" s="206"/>
      <c r="UC1509" s="206"/>
      <c r="UD1509" s="206"/>
    </row>
    <row r="1510" spans="1:553" s="874" customFormat="1" ht="21.75" customHeight="1">
      <c r="A1510" s="924" t="s">
        <v>17</v>
      </c>
      <c r="B1510" s="411"/>
      <c r="C1510" s="1632" t="s">
        <v>18</v>
      </c>
      <c r="D1510" s="1452"/>
      <c r="E1510" s="1452"/>
      <c r="F1510" s="1452"/>
      <c r="G1510" s="411" t="s">
        <v>1393</v>
      </c>
      <c r="H1510" s="927">
        <f>SUM(H1511:H1515)</f>
        <v>1889.9</v>
      </c>
      <c r="I1510" s="927">
        <f>SUM(I1511:I1515)</f>
        <v>1438.9</v>
      </c>
      <c r="J1510" s="1243"/>
      <c r="K1510" s="809"/>
      <c r="L1510" s="1206">
        <f>SUM(L1511:L1515)</f>
        <v>72726400</v>
      </c>
      <c r="M1510" s="411"/>
      <c r="N1510" s="411"/>
      <c r="O1510" s="411"/>
      <c r="P1510" s="411">
        <f>L1510</f>
        <v>72726400</v>
      </c>
      <c r="Q1510" s="1172"/>
      <c r="R1510" s="486"/>
      <c r="S1510" s="486"/>
      <c r="T1510" s="486"/>
      <c r="U1510" s="486"/>
      <c r="V1510" s="486"/>
      <c r="W1510" s="486"/>
      <c r="X1510" s="486"/>
      <c r="Y1510" s="486"/>
      <c r="Z1510" s="486"/>
      <c r="AA1510" s="486"/>
      <c r="AB1510" s="486"/>
      <c r="AC1510" s="486"/>
      <c r="AD1510" s="486"/>
      <c r="AE1510" s="486"/>
      <c r="AF1510" s="486"/>
      <c r="AG1510" s="486"/>
      <c r="AH1510" s="486"/>
      <c r="AI1510" s="486"/>
      <c r="AJ1510" s="486"/>
      <c r="AK1510" s="486"/>
      <c r="AL1510" s="206"/>
      <c r="AM1510" s="206"/>
      <c r="AN1510" s="206"/>
      <c r="AO1510" s="206"/>
      <c r="AP1510" s="206"/>
      <c r="AQ1510" s="206"/>
      <c r="AR1510" s="206"/>
      <c r="AS1510" s="206"/>
      <c r="AT1510" s="206"/>
      <c r="AU1510" s="206"/>
      <c r="AV1510" s="206"/>
      <c r="AW1510" s="206"/>
      <c r="AX1510" s="206"/>
      <c r="AY1510" s="206"/>
      <c r="AZ1510" s="206"/>
      <c r="BA1510" s="206"/>
      <c r="BB1510" s="206"/>
      <c r="BC1510" s="206"/>
      <c r="BD1510" s="206"/>
      <c r="BE1510" s="206"/>
      <c r="BF1510" s="206"/>
      <c r="BG1510" s="206"/>
      <c r="BH1510" s="206"/>
      <c r="BI1510" s="206"/>
      <c r="BJ1510" s="206"/>
      <c r="BK1510" s="206"/>
      <c r="BL1510" s="206"/>
      <c r="BM1510" s="206"/>
      <c r="BN1510" s="206"/>
      <c r="BO1510" s="206"/>
      <c r="BP1510" s="206"/>
      <c r="BQ1510" s="206"/>
      <c r="BR1510" s="206"/>
      <c r="BS1510" s="206"/>
      <c r="BT1510" s="206"/>
      <c r="BU1510" s="206"/>
      <c r="BV1510" s="206"/>
      <c r="BW1510" s="206"/>
      <c r="BX1510" s="206"/>
      <c r="BY1510" s="206"/>
      <c r="BZ1510" s="206"/>
      <c r="CA1510" s="206"/>
      <c r="CB1510" s="206"/>
      <c r="CC1510" s="206"/>
      <c r="CD1510" s="206"/>
      <c r="CE1510" s="206"/>
      <c r="CF1510" s="206"/>
      <c r="CG1510" s="206"/>
      <c r="CH1510" s="206"/>
      <c r="CI1510" s="206"/>
      <c r="CJ1510" s="206"/>
      <c r="CK1510" s="206"/>
      <c r="CL1510" s="206"/>
      <c r="CM1510" s="206"/>
      <c r="CN1510" s="206"/>
      <c r="CO1510" s="206"/>
      <c r="CP1510" s="206"/>
      <c r="CQ1510" s="206"/>
      <c r="CR1510" s="206"/>
      <c r="CS1510" s="206"/>
      <c r="CT1510" s="206"/>
      <c r="CU1510" s="206"/>
      <c r="CV1510" s="206"/>
      <c r="CW1510" s="206"/>
      <c r="CX1510" s="206"/>
      <c r="CY1510" s="206"/>
      <c r="CZ1510" s="206"/>
      <c r="DA1510" s="206"/>
      <c r="DB1510" s="206"/>
      <c r="DC1510" s="206"/>
      <c r="DD1510" s="206"/>
      <c r="DE1510" s="206"/>
      <c r="DF1510" s="206"/>
      <c r="DG1510" s="206"/>
      <c r="DH1510" s="206"/>
      <c r="DI1510" s="206"/>
      <c r="DJ1510" s="206"/>
      <c r="DK1510" s="206"/>
      <c r="DL1510" s="206"/>
      <c r="DM1510" s="206"/>
      <c r="DN1510" s="206"/>
      <c r="DO1510" s="206"/>
      <c r="DP1510" s="206"/>
      <c r="DQ1510" s="206"/>
      <c r="DR1510" s="206"/>
      <c r="DS1510" s="206"/>
      <c r="DT1510" s="206"/>
      <c r="DU1510" s="206"/>
      <c r="DV1510" s="206"/>
      <c r="DW1510" s="206"/>
      <c r="DX1510" s="206"/>
      <c r="DY1510" s="206"/>
      <c r="DZ1510" s="206"/>
      <c r="EA1510" s="206"/>
      <c r="EB1510" s="206"/>
      <c r="EC1510" s="206"/>
      <c r="ED1510" s="206"/>
      <c r="EE1510" s="206"/>
      <c r="EF1510" s="206"/>
      <c r="EG1510" s="206"/>
      <c r="EH1510" s="206"/>
      <c r="EI1510" s="206"/>
      <c r="EJ1510" s="206"/>
      <c r="EK1510" s="206"/>
      <c r="EL1510" s="206"/>
      <c r="EM1510" s="206"/>
      <c r="EN1510" s="206"/>
      <c r="EO1510" s="206"/>
      <c r="EP1510" s="206"/>
      <c r="EQ1510" s="206"/>
      <c r="ER1510" s="206"/>
      <c r="ES1510" s="206"/>
      <c r="ET1510" s="206"/>
      <c r="EU1510" s="206"/>
      <c r="EV1510" s="206"/>
      <c r="EW1510" s="206"/>
      <c r="EX1510" s="206"/>
      <c r="EY1510" s="206"/>
      <c r="EZ1510" s="206"/>
      <c r="FA1510" s="206"/>
      <c r="FB1510" s="206"/>
      <c r="FC1510" s="206"/>
      <c r="FD1510" s="206"/>
      <c r="FE1510" s="206"/>
      <c r="FF1510" s="206"/>
      <c r="FG1510" s="206"/>
      <c r="FH1510" s="206"/>
      <c r="FI1510" s="206"/>
      <c r="FJ1510" s="206"/>
      <c r="FK1510" s="206"/>
      <c r="FL1510" s="206"/>
      <c r="FM1510" s="206"/>
      <c r="FN1510" s="206"/>
      <c r="FO1510" s="206"/>
      <c r="FP1510" s="206"/>
      <c r="FQ1510" s="206"/>
      <c r="FR1510" s="206"/>
      <c r="FS1510" s="206"/>
      <c r="FT1510" s="206"/>
      <c r="FU1510" s="206"/>
      <c r="FV1510" s="206"/>
      <c r="FW1510" s="206"/>
      <c r="FX1510" s="206"/>
      <c r="FY1510" s="206"/>
      <c r="FZ1510" s="206"/>
      <c r="GA1510" s="206"/>
      <c r="GB1510" s="206"/>
      <c r="GC1510" s="206"/>
      <c r="GD1510" s="206"/>
      <c r="GE1510" s="206"/>
      <c r="GF1510" s="206"/>
      <c r="GG1510" s="206"/>
      <c r="GH1510" s="206"/>
      <c r="GI1510" s="206"/>
      <c r="GJ1510" s="206"/>
      <c r="GK1510" s="206"/>
      <c r="GL1510" s="206"/>
      <c r="GM1510" s="206"/>
      <c r="GN1510" s="206"/>
      <c r="GO1510" s="206"/>
      <c r="GP1510" s="206"/>
      <c r="GQ1510" s="206"/>
      <c r="GR1510" s="206"/>
      <c r="GS1510" s="206"/>
      <c r="GT1510" s="206"/>
      <c r="GU1510" s="206"/>
      <c r="GV1510" s="206"/>
      <c r="GW1510" s="206"/>
      <c r="GX1510" s="206"/>
      <c r="GY1510" s="206"/>
      <c r="GZ1510" s="206"/>
      <c r="HA1510" s="206"/>
      <c r="HB1510" s="206"/>
      <c r="HC1510" s="206"/>
      <c r="HD1510" s="206"/>
      <c r="HE1510" s="206"/>
      <c r="HF1510" s="206"/>
      <c r="HG1510" s="206"/>
      <c r="HH1510" s="206"/>
      <c r="HI1510" s="206"/>
      <c r="HJ1510" s="206"/>
      <c r="HK1510" s="206"/>
      <c r="HL1510" s="206"/>
      <c r="HM1510" s="206"/>
      <c r="HN1510" s="206"/>
      <c r="HO1510" s="206"/>
      <c r="HP1510" s="206"/>
      <c r="HQ1510" s="206"/>
      <c r="HR1510" s="206"/>
      <c r="HS1510" s="206"/>
      <c r="HT1510" s="206"/>
      <c r="HU1510" s="206"/>
      <c r="HV1510" s="206"/>
      <c r="HW1510" s="206"/>
      <c r="HX1510" s="206"/>
      <c r="HY1510" s="206"/>
      <c r="HZ1510" s="206"/>
      <c r="IA1510" s="206"/>
      <c r="IB1510" s="206"/>
      <c r="IC1510" s="206"/>
      <c r="ID1510" s="206"/>
      <c r="IE1510" s="206"/>
      <c r="IF1510" s="206"/>
      <c r="IG1510" s="206"/>
      <c r="IH1510" s="206"/>
      <c r="II1510" s="206"/>
      <c r="IJ1510" s="206"/>
      <c r="IK1510" s="206"/>
      <c r="IL1510" s="206"/>
      <c r="IM1510" s="206"/>
      <c r="IN1510" s="206"/>
      <c r="IO1510" s="206"/>
      <c r="IP1510" s="206"/>
      <c r="IQ1510" s="206"/>
      <c r="IR1510" s="206"/>
      <c r="IS1510" s="206"/>
      <c r="IT1510" s="206"/>
      <c r="IU1510" s="206"/>
      <c r="IV1510" s="206"/>
      <c r="IW1510" s="206"/>
      <c r="IX1510" s="206"/>
      <c r="IY1510" s="206"/>
      <c r="IZ1510" s="206"/>
      <c r="JA1510" s="206"/>
      <c r="JB1510" s="206"/>
      <c r="JC1510" s="206"/>
      <c r="JD1510" s="206"/>
      <c r="JE1510" s="206"/>
      <c r="JF1510" s="206"/>
      <c r="JG1510" s="206"/>
      <c r="JH1510" s="206"/>
      <c r="JI1510" s="206"/>
      <c r="JJ1510" s="206"/>
      <c r="JK1510" s="206"/>
      <c r="JL1510" s="206"/>
      <c r="JM1510" s="206"/>
      <c r="JN1510" s="206"/>
      <c r="JO1510" s="206"/>
      <c r="JP1510" s="206"/>
      <c r="JQ1510" s="206"/>
      <c r="JR1510" s="206"/>
      <c r="JS1510" s="206"/>
      <c r="JT1510" s="206"/>
      <c r="JU1510" s="206"/>
      <c r="JV1510" s="206"/>
      <c r="JW1510" s="206"/>
      <c r="JX1510" s="206"/>
      <c r="JY1510" s="206"/>
      <c r="JZ1510" s="206"/>
      <c r="KA1510" s="206"/>
      <c r="KB1510" s="206"/>
      <c r="KC1510" s="206"/>
      <c r="KD1510" s="206"/>
      <c r="KE1510" s="206"/>
      <c r="KF1510" s="206"/>
      <c r="KG1510" s="206"/>
      <c r="KH1510" s="206"/>
      <c r="KI1510" s="206"/>
      <c r="KJ1510" s="206"/>
      <c r="KK1510" s="206"/>
      <c r="KL1510" s="206"/>
      <c r="KM1510" s="206"/>
      <c r="KN1510" s="206"/>
      <c r="KO1510" s="206"/>
      <c r="KP1510" s="206"/>
      <c r="KQ1510" s="206"/>
      <c r="KR1510" s="206"/>
      <c r="KS1510" s="206"/>
      <c r="KT1510" s="206"/>
      <c r="KU1510" s="206"/>
      <c r="KV1510" s="206"/>
      <c r="KW1510" s="206"/>
      <c r="KX1510" s="206"/>
      <c r="KY1510" s="206"/>
      <c r="KZ1510" s="206"/>
      <c r="LA1510" s="206"/>
      <c r="LB1510" s="206"/>
      <c r="LC1510" s="206"/>
      <c r="LD1510" s="206"/>
      <c r="LE1510" s="206"/>
      <c r="LF1510" s="206"/>
      <c r="LG1510" s="206"/>
      <c r="LH1510" s="206"/>
      <c r="LI1510" s="206"/>
      <c r="LJ1510" s="206"/>
      <c r="LK1510" s="206"/>
      <c r="LL1510" s="206"/>
      <c r="LM1510" s="206"/>
      <c r="LN1510" s="206"/>
      <c r="LO1510" s="206"/>
      <c r="LP1510" s="206"/>
      <c r="LQ1510" s="206"/>
      <c r="LR1510" s="206"/>
      <c r="LS1510" s="206"/>
      <c r="LT1510" s="206"/>
      <c r="LU1510" s="206"/>
      <c r="LV1510" s="206"/>
      <c r="LW1510" s="206"/>
      <c r="LX1510" s="206"/>
      <c r="LY1510" s="206"/>
      <c r="LZ1510" s="206"/>
      <c r="MA1510" s="206"/>
      <c r="MB1510" s="206"/>
      <c r="MC1510" s="206"/>
      <c r="MD1510" s="206"/>
      <c r="ME1510" s="206"/>
      <c r="MF1510" s="206"/>
      <c r="MG1510" s="206"/>
      <c r="MH1510" s="206"/>
      <c r="MI1510" s="206"/>
      <c r="MJ1510" s="206"/>
      <c r="MK1510" s="206"/>
      <c r="ML1510" s="206"/>
      <c r="MM1510" s="206"/>
      <c r="MN1510" s="206"/>
      <c r="MO1510" s="206"/>
      <c r="MP1510" s="206"/>
      <c r="MQ1510" s="206"/>
      <c r="MR1510" s="206"/>
      <c r="MS1510" s="206"/>
      <c r="MT1510" s="206"/>
      <c r="MU1510" s="206"/>
      <c r="MV1510" s="206"/>
      <c r="MW1510" s="206"/>
      <c r="MX1510" s="206"/>
      <c r="MY1510" s="206"/>
      <c r="MZ1510" s="206"/>
      <c r="NA1510" s="206"/>
      <c r="NB1510" s="206"/>
      <c r="NC1510" s="206"/>
      <c r="ND1510" s="206"/>
      <c r="NE1510" s="206"/>
      <c r="NF1510" s="206"/>
      <c r="NG1510" s="206"/>
      <c r="NH1510" s="206"/>
      <c r="NI1510" s="206"/>
      <c r="NJ1510" s="206"/>
      <c r="NK1510" s="206"/>
      <c r="NL1510" s="206"/>
      <c r="NM1510" s="206"/>
      <c r="NN1510" s="206"/>
      <c r="NO1510" s="206"/>
      <c r="NP1510" s="206"/>
      <c r="NQ1510" s="206"/>
      <c r="NR1510" s="206"/>
      <c r="NS1510" s="206"/>
      <c r="NT1510" s="206"/>
      <c r="NU1510" s="206"/>
      <c r="NV1510" s="206"/>
      <c r="NW1510" s="206"/>
      <c r="NX1510" s="206"/>
      <c r="NY1510" s="206"/>
      <c r="NZ1510" s="206"/>
      <c r="OA1510" s="206"/>
      <c r="OB1510" s="206"/>
      <c r="OC1510" s="206"/>
      <c r="OD1510" s="206"/>
      <c r="OE1510" s="206"/>
      <c r="OF1510" s="206"/>
      <c r="OG1510" s="206"/>
      <c r="OH1510" s="206"/>
      <c r="OI1510" s="206"/>
      <c r="OJ1510" s="206"/>
      <c r="OK1510" s="206"/>
      <c r="OL1510" s="206"/>
      <c r="OM1510" s="206"/>
      <c r="ON1510" s="206"/>
      <c r="OO1510" s="206"/>
      <c r="OP1510" s="206"/>
      <c r="OQ1510" s="206"/>
      <c r="OR1510" s="206"/>
      <c r="OS1510" s="206"/>
      <c r="OT1510" s="206"/>
      <c r="OU1510" s="206"/>
      <c r="OV1510" s="206"/>
      <c r="OW1510" s="206"/>
      <c r="OX1510" s="206"/>
      <c r="OY1510" s="206"/>
      <c r="OZ1510" s="206"/>
      <c r="PA1510" s="206"/>
      <c r="PB1510" s="206"/>
      <c r="PC1510" s="206"/>
      <c r="PD1510" s="206"/>
      <c r="PE1510" s="206"/>
      <c r="PF1510" s="206"/>
      <c r="PG1510" s="206"/>
      <c r="PH1510" s="206"/>
      <c r="PI1510" s="206"/>
      <c r="PJ1510" s="206"/>
      <c r="PK1510" s="206"/>
      <c r="PL1510" s="206"/>
      <c r="PM1510" s="206"/>
      <c r="PN1510" s="206"/>
      <c r="PO1510" s="206"/>
      <c r="PP1510" s="206"/>
      <c r="PQ1510" s="206"/>
      <c r="PR1510" s="206"/>
      <c r="PS1510" s="206"/>
      <c r="PT1510" s="206"/>
      <c r="PU1510" s="206"/>
      <c r="PV1510" s="206"/>
      <c r="PW1510" s="206"/>
      <c r="PX1510" s="206"/>
      <c r="PY1510" s="206"/>
      <c r="PZ1510" s="206"/>
      <c r="QA1510" s="206"/>
      <c r="QB1510" s="206"/>
      <c r="QC1510" s="206"/>
      <c r="QD1510" s="206"/>
      <c r="QE1510" s="206"/>
      <c r="QF1510" s="206"/>
      <c r="QG1510" s="206"/>
      <c r="QH1510" s="206"/>
      <c r="QI1510" s="206"/>
      <c r="QJ1510" s="206"/>
      <c r="QK1510" s="206"/>
      <c r="QL1510" s="206"/>
      <c r="QM1510" s="206"/>
      <c r="QN1510" s="206"/>
      <c r="QO1510" s="206"/>
      <c r="QP1510" s="206"/>
      <c r="QQ1510" s="206"/>
      <c r="QR1510" s="206"/>
      <c r="QS1510" s="206"/>
      <c r="QT1510" s="206"/>
      <c r="QU1510" s="206"/>
      <c r="QV1510" s="206"/>
      <c r="QW1510" s="206"/>
      <c r="QX1510" s="206"/>
      <c r="QY1510" s="206"/>
      <c r="QZ1510" s="206"/>
      <c r="RA1510" s="206"/>
      <c r="RB1510" s="206"/>
      <c r="RC1510" s="206"/>
      <c r="RD1510" s="206"/>
      <c r="RE1510" s="206"/>
      <c r="RF1510" s="206"/>
      <c r="RG1510" s="206"/>
      <c r="RH1510" s="206"/>
      <c r="RI1510" s="206"/>
      <c r="RJ1510" s="206"/>
      <c r="RK1510" s="206"/>
      <c r="RL1510" s="206"/>
      <c r="RM1510" s="206"/>
      <c r="RN1510" s="206"/>
      <c r="RO1510" s="206"/>
      <c r="RP1510" s="206"/>
      <c r="RQ1510" s="206"/>
      <c r="RR1510" s="206"/>
      <c r="RS1510" s="206"/>
      <c r="RT1510" s="206"/>
      <c r="RU1510" s="206"/>
      <c r="RV1510" s="206"/>
      <c r="RW1510" s="206"/>
      <c r="RX1510" s="206"/>
      <c r="RY1510" s="206"/>
      <c r="RZ1510" s="206"/>
      <c r="SA1510" s="206"/>
      <c r="SB1510" s="206"/>
      <c r="SC1510" s="206"/>
      <c r="SD1510" s="206"/>
      <c r="SE1510" s="206"/>
      <c r="SF1510" s="206"/>
      <c r="SG1510" s="206"/>
      <c r="SH1510" s="206"/>
      <c r="SI1510" s="206"/>
      <c r="SJ1510" s="206"/>
      <c r="SK1510" s="206"/>
      <c r="SL1510" s="206"/>
      <c r="SM1510" s="206"/>
      <c r="SN1510" s="206"/>
      <c r="SO1510" s="206"/>
      <c r="SP1510" s="206"/>
      <c r="SQ1510" s="206"/>
      <c r="SR1510" s="206"/>
      <c r="SS1510" s="206"/>
      <c r="ST1510" s="206"/>
      <c r="SU1510" s="206"/>
      <c r="SV1510" s="206"/>
      <c r="SW1510" s="206"/>
      <c r="SX1510" s="206"/>
      <c r="SY1510" s="206"/>
      <c r="SZ1510" s="206"/>
      <c r="TA1510" s="206"/>
      <c r="TB1510" s="206"/>
      <c r="TC1510" s="206"/>
      <c r="TD1510" s="206"/>
      <c r="TE1510" s="206"/>
      <c r="TF1510" s="206"/>
      <c r="TG1510" s="206"/>
      <c r="TH1510" s="206"/>
      <c r="TI1510" s="206"/>
      <c r="TJ1510" s="206"/>
      <c r="TK1510" s="206"/>
      <c r="TL1510" s="206"/>
      <c r="TM1510" s="206"/>
      <c r="TN1510" s="206"/>
      <c r="TO1510" s="206"/>
      <c r="TP1510" s="206"/>
      <c r="TQ1510" s="206"/>
      <c r="TR1510" s="206"/>
      <c r="TS1510" s="206"/>
      <c r="TT1510" s="206"/>
      <c r="TU1510" s="206"/>
      <c r="TV1510" s="206"/>
      <c r="TW1510" s="206"/>
      <c r="TX1510" s="206"/>
      <c r="TY1510" s="206"/>
      <c r="TZ1510" s="206"/>
      <c r="UA1510" s="206"/>
      <c r="UB1510" s="206"/>
      <c r="UC1510" s="206"/>
      <c r="UD1510" s="206"/>
    </row>
    <row r="1511" spans="1:553" s="899" customFormat="1" ht="172.5" customHeight="1">
      <c r="A1511" s="929"/>
      <c r="B1511" s="1226"/>
      <c r="C1511" s="1227" t="s">
        <v>22</v>
      </c>
      <c r="D1511" s="1219">
        <v>1</v>
      </c>
      <c r="E1511" s="303">
        <v>441</v>
      </c>
      <c r="F1511" s="1253"/>
      <c r="G1511" s="1226"/>
      <c r="H1511" s="925">
        <v>491.9</v>
      </c>
      <c r="I1511" s="502">
        <v>56.5</v>
      </c>
      <c r="J1511" s="1243">
        <v>60000</v>
      </c>
      <c r="K1511" s="809"/>
      <c r="L1511" s="1207">
        <f>J1511*I1511</f>
        <v>3390000</v>
      </c>
      <c r="M1511" s="1226"/>
      <c r="N1511" s="1226"/>
      <c r="O1511" s="1226"/>
      <c r="P1511" s="1226"/>
      <c r="Q1511" s="1172" t="s">
        <v>1332</v>
      </c>
      <c r="R1511" s="1183" t="s">
        <v>1333</v>
      </c>
      <c r="S1511" s="486"/>
      <c r="T1511" s="486"/>
      <c r="U1511" s="486"/>
      <c r="V1511" s="486"/>
      <c r="W1511" s="486"/>
      <c r="X1511" s="486"/>
      <c r="Y1511" s="486"/>
      <c r="Z1511" s="486"/>
      <c r="AA1511" s="486"/>
      <c r="AB1511" s="1115">
        <f>I1511</f>
        <v>56.5</v>
      </c>
      <c r="AC1511" s="486"/>
      <c r="AD1511" s="486"/>
      <c r="AE1511" s="486"/>
      <c r="AF1511" s="486"/>
      <c r="AG1511" s="486"/>
      <c r="AH1511" s="486"/>
      <c r="AI1511" s="486"/>
      <c r="AJ1511" s="486"/>
      <c r="AK1511" s="486"/>
      <c r="AL1511" s="334"/>
      <c r="AM1511" s="334"/>
      <c r="AN1511" s="334"/>
      <c r="AO1511" s="334"/>
      <c r="AP1511" s="334"/>
      <c r="AQ1511" s="334"/>
      <c r="AR1511" s="334"/>
      <c r="AS1511" s="334"/>
      <c r="AT1511" s="334"/>
      <c r="AU1511" s="334"/>
      <c r="AV1511" s="334"/>
      <c r="AW1511" s="334"/>
      <c r="AX1511" s="334"/>
      <c r="AY1511" s="334"/>
      <c r="AZ1511" s="334"/>
      <c r="BA1511" s="334"/>
      <c r="BB1511" s="334"/>
      <c r="BC1511" s="334"/>
      <c r="BD1511" s="334"/>
      <c r="BE1511" s="334"/>
      <c r="BF1511" s="334"/>
      <c r="BG1511" s="334"/>
      <c r="BH1511" s="334"/>
      <c r="BI1511" s="334"/>
      <c r="BJ1511" s="334"/>
      <c r="BK1511" s="334"/>
      <c r="BL1511" s="334"/>
      <c r="BM1511" s="334"/>
      <c r="BN1511" s="334"/>
      <c r="BO1511" s="334"/>
      <c r="BP1511" s="334"/>
      <c r="BQ1511" s="334"/>
      <c r="BR1511" s="334"/>
      <c r="BS1511" s="334"/>
      <c r="BT1511" s="334"/>
      <c r="BU1511" s="334"/>
      <c r="BV1511" s="334"/>
      <c r="BW1511" s="334"/>
      <c r="BX1511" s="334"/>
      <c r="BY1511" s="334"/>
      <c r="BZ1511" s="334"/>
      <c r="CA1511" s="334"/>
      <c r="CB1511" s="334"/>
      <c r="CC1511" s="334"/>
      <c r="CD1511" s="334"/>
      <c r="CE1511" s="334"/>
      <c r="CF1511" s="334"/>
      <c r="CG1511" s="334"/>
      <c r="CH1511" s="334"/>
      <c r="CI1511" s="334"/>
      <c r="CJ1511" s="334"/>
      <c r="CK1511" s="334"/>
      <c r="CL1511" s="334"/>
      <c r="CM1511" s="334"/>
      <c r="CN1511" s="334"/>
      <c r="CO1511" s="334"/>
      <c r="CP1511" s="334"/>
      <c r="CQ1511" s="334"/>
      <c r="CR1511" s="334"/>
      <c r="CS1511" s="334"/>
      <c r="CT1511" s="334"/>
      <c r="CU1511" s="334"/>
      <c r="CV1511" s="334"/>
      <c r="CW1511" s="334"/>
      <c r="CX1511" s="334"/>
      <c r="CY1511" s="334"/>
      <c r="CZ1511" s="334"/>
      <c r="DA1511" s="334"/>
      <c r="DB1511" s="334"/>
      <c r="DC1511" s="334"/>
      <c r="DD1511" s="334"/>
      <c r="DE1511" s="334"/>
      <c r="DF1511" s="334"/>
      <c r="DG1511" s="334"/>
      <c r="DH1511" s="334"/>
      <c r="DI1511" s="334"/>
      <c r="DJ1511" s="334"/>
      <c r="DK1511" s="334"/>
      <c r="DL1511" s="334"/>
      <c r="DM1511" s="334"/>
      <c r="DN1511" s="334"/>
      <c r="DO1511" s="334"/>
      <c r="DP1511" s="334"/>
      <c r="DQ1511" s="334"/>
      <c r="DR1511" s="334"/>
      <c r="DS1511" s="334"/>
      <c r="DT1511" s="334"/>
      <c r="DU1511" s="334"/>
      <c r="DV1511" s="334"/>
      <c r="DW1511" s="334"/>
      <c r="DX1511" s="334"/>
      <c r="DY1511" s="334"/>
      <c r="DZ1511" s="334"/>
      <c r="EA1511" s="334"/>
      <c r="EB1511" s="334"/>
      <c r="EC1511" s="334"/>
      <c r="ED1511" s="334"/>
      <c r="EE1511" s="334"/>
      <c r="EF1511" s="334"/>
      <c r="EG1511" s="334"/>
      <c r="EH1511" s="334"/>
      <c r="EI1511" s="334"/>
      <c r="EJ1511" s="334"/>
      <c r="EK1511" s="334"/>
      <c r="EL1511" s="334"/>
      <c r="EM1511" s="334"/>
      <c r="EN1511" s="334"/>
      <c r="EO1511" s="334"/>
      <c r="EP1511" s="334"/>
      <c r="EQ1511" s="334"/>
      <c r="ER1511" s="334"/>
      <c r="ES1511" s="334"/>
      <c r="ET1511" s="334"/>
      <c r="EU1511" s="334"/>
      <c r="EV1511" s="334"/>
      <c r="EW1511" s="334"/>
      <c r="EX1511" s="334"/>
      <c r="EY1511" s="334"/>
      <c r="EZ1511" s="334"/>
      <c r="FA1511" s="334"/>
      <c r="FB1511" s="334"/>
      <c r="FC1511" s="334"/>
      <c r="FD1511" s="334"/>
      <c r="FE1511" s="334"/>
      <c r="FF1511" s="334"/>
      <c r="FG1511" s="334"/>
      <c r="FH1511" s="334"/>
      <c r="FI1511" s="334"/>
      <c r="FJ1511" s="334"/>
      <c r="FK1511" s="334"/>
      <c r="FL1511" s="334"/>
      <c r="FM1511" s="334"/>
      <c r="FN1511" s="334"/>
      <c r="FO1511" s="334"/>
      <c r="FP1511" s="334"/>
      <c r="FQ1511" s="334"/>
      <c r="FR1511" s="334"/>
      <c r="FS1511" s="334"/>
      <c r="FT1511" s="334"/>
      <c r="FU1511" s="334"/>
      <c r="FV1511" s="334"/>
      <c r="FW1511" s="334"/>
      <c r="FX1511" s="334"/>
      <c r="FY1511" s="334"/>
      <c r="FZ1511" s="334"/>
      <c r="GA1511" s="334"/>
      <c r="GB1511" s="334"/>
      <c r="GC1511" s="334"/>
      <c r="GD1511" s="334"/>
      <c r="GE1511" s="334"/>
      <c r="GF1511" s="334"/>
      <c r="GG1511" s="334"/>
      <c r="GH1511" s="334"/>
      <c r="GI1511" s="334"/>
      <c r="GJ1511" s="334"/>
      <c r="GK1511" s="334"/>
      <c r="GL1511" s="334"/>
      <c r="GM1511" s="334"/>
      <c r="GN1511" s="334"/>
      <c r="GO1511" s="334"/>
      <c r="GP1511" s="334"/>
      <c r="GQ1511" s="334"/>
      <c r="GR1511" s="334"/>
      <c r="GS1511" s="334"/>
      <c r="GT1511" s="334"/>
      <c r="GU1511" s="334"/>
      <c r="GV1511" s="334"/>
      <c r="GW1511" s="334"/>
      <c r="GX1511" s="334"/>
      <c r="GY1511" s="334"/>
      <c r="GZ1511" s="334"/>
      <c r="HA1511" s="334"/>
      <c r="HB1511" s="334"/>
      <c r="HC1511" s="334"/>
      <c r="HD1511" s="334"/>
      <c r="HE1511" s="334"/>
      <c r="HF1511" s="334"/>
      <c r="HG1511" s="334"/>
      <c r="HH1511" s="334"/>
      <c r="HI1511" s="334"/>
      <c r="HJ1511" s="334"/>
      <c r="HK1511" s="334"/>
      <c r="HL1511" s="334"/>
      <c r="HM1511" s="334"/>
      <c r="HN1511" s="334"/>
      <c r="HO1511" s="334"/>
      <c r="HP1511" s="334"/>
      <c r="HQ1511" s="334"/>
      <c r="HR1511" s="334"/>
      <c r="HS1511" s="334"/>
      <c r="HT1511" s="334"/>
      <c r="HU1511" s="334"/>
      <c r="HV1511" s="334"/>
      <c r="HW1511" s="334"/>
      <c r="HX1511" s="334"/>
      <c r="HY1511" s="334"/>
      <c r="HZ1511" s="334"/>
      <c r="IA1511" s="334"/>
      <c r="IB1511" s="334"/>
      <c r="IC1511" s="334"/>
      <c r="ID1511" s="334"/>
      <c r="IE1511" s="334"/>
      <c r="IF1511" s="334"/>
      <c r="IG1511" s="334"/>
      <c r="IH1511" s="334"/>
      <c r="II1511" s="334"/>
      <c r="IJ1511" s="334"/>
      <c r="IK1511" s="334"/>
      <c r="IL1511" s="334"/>
      <c r="IM1511" s="334"/>
      <c r="IN1511" s="334"/>
      <c r="IO1511" s="334"/>
      <c r="IP1511" s="334"/>
      <c r="IQ1511" s="334"/>
      <c r="IR1511" s="334"/>
      <c r="IS1511" s="334"/>
      <c r="IT1511" s="334"/>
      <c r="IU1511" s="334"/>
      <c r="IV1511" s="334"/>
      <c r="IW1511" s="334"/>
      <c r="IX1511" s="334"/>
      <c r="IY1511" s="334"/>
      <c r="IZ1511" s="334"/>
      <c r="JA1511" s="334"/>
      <c r="JB1511" s="334"/>
      <c r="JC1511" s="334"/>
      <c r="JD1511" s="334"/>
      <c r="JE1511" s="334"/>
      <c r="JF1511" s="334"/>
      <c r="JG1511" s="334"/>
      <c r="JH1511" s="334"/>
      <c r="JI1511" s="334"/>
      <c r="JJ1511" s="334"/>
      <c r="JK1511" s="334"/>
      <c r="JL1511" s="334"/>
      <c r="JM1511" s="334"/>
      <c r="JN1511" s="334"/>
      <c r="JO1511" s="334"/>
      <c r="JP1511" s="334"/>
      <c r="JQ1511" s="334"/>
      <c r="JR1511" s="334"/>
      <c r="JS1511" s="334"/>
      <c r="JT1511" s="334"/>
      <c r="JU1511" s="334"/>
      <c r="JV1511" s="334"/>
      <c r="JW1511" s="334"/>
      <c r="JX1511" s="334"/>
      <c r="JY1511" s="334"/>
      <c r="JZ1511" s="334"/>
      <c r="KA1511" s="334"/>
      <c r="KB1511" s="334"/>
      <c r="KC1511" s="334"/>
      <c r="KD1511" s="334"/>
      <c r="KE1511" s="334"/>
      <c r="KF1511" s="334"/>
      <c r="KG1511" s="334"/>
      <c r="KH1511" s="334"/>
      <c r="KI1511" s="334"/>
      <c r="KJ1511" s="334"/>
      <c r="KK1511" s="334"/>
      <c r="KL1511" s="334"/>
      <c r="KM1511" s="334"/>
      <c r="KN1511" s="334"/>
      <c r="KO1511" s="334"/>
      <c r="KP1511" s="334"/>
      <c r="KQ1511" s="334"/>
      <c r="KR1511" s="334"/>
      <c r="KS1511" s="334"/>
      <c r="KT1511" s="334"/>
      <c r="KU1511" s="334"/>
      <c r="KV1511" s="334"/>
      <c r="KW1511" s="334"/>
      <c r="KX1511" s="334"/>
      <c r="KY1511" s="334"/>
      <c r="KZ1511" s="334"/>
      <c r="LA1511" s="334"/>
      <c r="LB1511" s="334"/>
      <c r="LC1511" s="334"/>
      <c r="LD1511" s="334"/>
      <c r="LE1511" s="334"/>
      <c r="LF1511" s="334"/>
      <c r="LG1511" s="334"/>
      <c r="LH1511" s="334"/>
      <c r="LI1511" s="334"/>
      <c r="LJ1511" s="334"/>
      <c r="LK1511" s="334"/>
      <c r="LL1511" s="334"/>
      <c r="LM1511" s="334"/>
      <c r="LN1511" s="334"/>
      <c r="LO1511" s="334"/>
      <c r="LP1511" s="334"/>
      <c r="LQ1511" s="334"/>
      <c r="LR1511" s="334"/>
      <c r="LS1511" s="334"/>
      <c r="LT1511" s="334"/>
      <c r="LU1511" s="334"/>
      <c r="LV1511" s="334"/>
      <c r="LW1511" s="334"/>
      <c r="LX1511" s="334"/>
      <c r="LY1511" s="334"/>
      <c r="LZ1511" s="334"/>
      <c r="MA1511" s="334"/>
      <c r="MB1511" s="334"/>
      <c r="MC1511" s="334"/>
      <c r="MD1511" s="334"/>
      <c r="ME1511" s="334"/>
      <c r="MF1511" s="334"/>
      <c r="MG1511" s="334"/>
      <c r="MH1511" s="334"/>
      <c r="MI1511" s="334"/>
      <c r="MJ1511" s="334"/>
      <c r="MK1511" s="334"/>
      <c r="ML1511" s="334"/>
      <c r="MM1511" s="334"/>
      <c r="MN1511" s="334"/>
      <c r="MO1511" s="334"/>
      <c r="MP1511" s="334"/>
      <c r="MQ1511" s="334"/>
      <c r="MR1511" s="334"/>
      <c r="MS1511" s="334"/>
      <c r="MT1511" s="334"/>
      <c r="MU1511" s="334"/>
      <c r="MV1511" s="334"/>
      <c r="MW1511" s="334"/>
      <c r="MX1511" s="334"/>
      <c r="MY1511" s="334"/>
      <c r="MZ1511" s="334"/>
      <c r="NA1511" s="334"/>
      <c r="NB1511" s="334"/>
      <c r="NC1511" s="334"/>
      <c r="ND1511" s="334"/>
      <c r="NE1511" s="334"/>
      <c r="NF1511" s="334"/>
      <c r="NG1511" s="334"/>
      <c r="NH1511" s="334"/>
      <c r="NI1511" s="334"/>
      <c r="NJ1511" s="334"/>
      <c r="NK1511" s="334"/>
      <c r="NL1511" s="334"/>
      <c r="NM1511" s="334"/>
      <c r="NN1511" s="334"/>
      <c r="NO1511" s="334"/>
      <c r="NP1511" s="334"/>
      <c r="NQ1511" s="334"/>
      <c r="NR1511" s="334"/>
      <c r="NS1511" s="334"/>
      <c r="NT1511" s="334"/>
      <c r="NU1511" s="334"/>
      <c r="NV1511" s="334"/>
      <c r="NW1511" s="334"/>
      <c r="NX1511" s="334"/>
      <c r="NY1511" s="334"/>
      <c r="NZ1511" s="334"/>
      <c r="OA1511" s="334"/>
      <c r="OB1511" s="334"/>
      <c r="OC1511" s="334"/>
      <c r="OD1511" s="334"/>
      <c r="OE1511" s="334"/>
      <c r="OF1511" s="334"/>
      <c r="OG1511" s="334"/>
      <c r="OH1511" s="334"/>
      <c r="OI1511" s="334"/>
      <c r="OJ1511" s="334"/>
      <c r="OK1511" s="334"/>
      <c r="OL1511" s="334"/>
      <c r="OM1511" s="334"/>
      <c r="ON1511" s="334"/>
      <c r="OO1511" s="334"/>
      <c r="OP1511" s="334"/>
      <c r="OQ1511" s="334"/>
      <c r="OR1511" s="334"/>
      <c r="OS1511" s="334"/>
      <c r="OT1511" s="334"/>
      <c r="OU1511" s="334"/>
      <c r="OV1511" s="334"/>
      <c r="OW1511" s="334"/>
      <c r="OX1511" s="334"/>
      <c r="OY1511" s="334"/>
      <c r="OZ1511" s="334"/>
      <c r="PA1511" s="334"/>
      <c r="PB1511" s="334"/>
      <c r="PC1511" s="334"/>
      <c r="PD1511" s="334"/>
      <c r="PE1511" s="334"/>
      <c r="PF1511" s="334"/>
      <c r="PG1511" s="334"/>
      <c r="PH1511" s="334"/>
      <c r="PI1511" s="334"/>
      <c r="PJ1511" s="334"/>
      <c r="PK1511" s="334"/>
      <c r="PL1511" s="334"/>
      <c r="PM1511" s="334"/>
      <c r="PN1511" s="334"/>
      <c r="PO1511" s="334"/>
      <c r="PP1511" s="334"/>
      <c r="PQ1511" s="334"/>
      <c r="PR1511" s="334"/>
      <c r="PS1511" s="334"/>
      <c r="PT1511" s="334"/>
      <c r="PU1511" s="334"/>
      <c r="PV1511" s="334"/>
      <c r="PW1511" s="334"/>
      <c r="PX1511" s="334"/>
      <c r="PY1511" s="334"/>
      <c r="PZ1511" s="334"/>
      <c r="QA1511" s="334"/>
      <c r="QB1511" s="334"/>
      <c r="QC1511" s="334"/>
      <c r="QD1511" s="334"/>
      <c r="QE1511" s="334"/>
      <c r="QF1511" s="334"/>
      <c r="QG1511" s="334"/>
      <c r="QH1511" s="334"/>
      <c r="QI1511" s="334"/>
      <c r="QJ1511" s="334"/>
      <c r="QK1511" s="334"/>
      <c r="QL1511" s="334"/>
      <c r="QM1511" s="334"/>
      <c r="QN1511" s="334"/>
      <c r="QO1511" s="334"/>
      <c r="QP1511" s="334"/>
      <c r="QQ1511" s="334"/>
      <c r="QR1511" s="334"/>
      <c r="QS1511" s="334"/>
      <c r="QT1511" s="334"/>
      <c r="QU1511" s="334"/>
      <c r="QV1511" s="334"/>
      <c r="QW1511" s="334"/>
      <c r="QX1511" s="334"/>
      <c r="QY1511" s="334"/>
      <c r="QZ1511" s="334"/>
      <c r="RA1511" s="334"/>
      <c r="RB1511" s="334"/>
      <c r="RC1511" s="334"/>
      <c r="RD1511" s="334"/>
      <c r="RE1511" s="334"/>
      <c r="RF1511" s="334"/>
      <c r="RG1511" s="334"/>
      <c r="RH1511" s="334"/>
      <c r="RI1511" s="334"/>
      <c r="RJ1511" s="334"/>
      <c r="RK1511" s="334"/>
      <c r="RL1511" s="334"/>
      <c r="RM1511" s="334"/>
      <c r="RN1511" s="334"/>
      <c r="RO1511" s="334"/>
      <c r="RP1511" s="334"/>
      <c r="RQ1511" s="334"/>
      <c r="RR1511" s="334"/>
      <c r="RS1511" s="334"/>
      <c r="RT1511" s="334"/>
      <c r="RU1511" s="334"/>
      <c r="RV1511" s="334"/>
      <c r="RW1511" s="334"/>
      <c r="RX1511" s="334"/>
      <c r="RY1511" s="334"/>
      <c r="RZ1511" s="334"/>
      <c r="SA1511" s="334"/>
      <c r="SB1511" s="334"/>
      <c r="SC1511" s="334"/>
      <c r="SD1511" s="334"/>
      <c r="SE1511" s="334"/>
      <c r="SF1511" s="334"/>
      <c r="SG1511" s="334"/>
      <c r="SH1511" s="334"/>
      <c r="SI1511" s="334"/>
      <c r="SJ1511" s="334"/>
      <c r="SK1511" s="334"/>
      <c r="SL1511" s="334"/>
      <c r="SM1511" s="334"/>
      <c r="SN1511" s="334"/>
      <c r="SO1511" s="334"/>
      <c r="SP1511" s="334"/>
      <c r="SQ1511" s="334"/>
      <c r="SR1511" s="334"/>
      <c r="SS1511" s="334"/>
      <c r="ST1511" s="334"/>
      <c r="SU1511" s="334"/>
      <c r="SV1511" s="334"/>
      <c r="SW1511" s="334"/>
      <c r="SX1511" s="334"/>
      <c r="SY1511" s="334"/>
      <c r="SZ1511" s="334"/>
      <c r="TA1511" s="334"/>
      <c r="TB1511" s="334"/>
      <c r="TC1511" s="334"/>
      <c r="TD1511" s="334"/>
      <c r="TE1511" s="334"/>
      <c r="TF1511" s="334"/>
      <c r="TG1511" s="334"/>
      <c r="TH1511" s="334"/>
      <c r="TI1511" s="334"/>
      <c r="TJ1511" s="334"/>
      <c r="TK1511" s="334"/>
      <c r="TL1511" s="334"/>
      <c r="TM1511" s="334"/>
      <c r="TN1511" s="334"/>
      <c r="TO1511" s="334"/>
      <c r="TP1511" s="334"/>
      <c r="TQ1511" s="334"/>
      <c r="TR1511" s="334"/>
      <c r="TS1511" s="334"/>
      <c r="TT1511" s="334"/>
      <c r="TU1511" s="334"/>
      <c r="TV1511" s="334"/>
      <c r="TW1511" s="334"/>
      <c r="TX1511" s="334"/>
      <c r="TY1511" s="334"/>
      <c r="TZ1511" s="334"/>
      <c r="UA1511" s="334"/>
      <c r="UB1511" s="334"/>
      <c r="UC1511" s="334"/>
      <c r="UD1511" s="334"/>
    </row>
    <row r="1512" spans="1:553" s="874" customFormat="1" ht="319.5" customHeight="1">
      <c r="A1512" s="924"/>
      <c r="B1512" s="1230"/>
      <c r="C1512" s="1227" t="s">
        <v>23</v>
      </c>
      <c r="D1512" s="470" t="s">
        <v>70</v>
      </c>
      <c r="E1512" s="470" t="s">
        <v>1334</v>
      </c>
      <c r="F1512" s="1230"/>
      <c r="G1512" s="501" t="s">
        <v>935</v>
      </c>
      <c r="H1512" s="930">
        <v>245.3</v>
      </c>
      <c r="I1512" s="931">
        <v>245.3</v>
      </c>
      <c r="J1512" s="1243">
        <v>62000</v>
      </c>
      <c r="K1512" s="809"/>
      <c r="L1512" s="1208">
        <f>ROUND(PRODUCT(I1512:K1512),0)</f>
        <v>15208600</v>
      </c>
      <c r="M1512" s="933"/>
      <c r="N1512" s="933"/>
      <c r="O1512" s="1226"/>
      <c r="P1512" s="1226"/>
      <c r="Q1512" s="765" t="s">
        <v>1335</v>
      </c>
      <c r="R1512" s="1226" t="s">
        <v>947</v>
      </c>
      <c r="S1512" s="383"/>
      <c r="T1512" s="383"/>
      <c r="U1512" s="383"/>
      <c r="V1512" s="383"/>
      <c r="W1512" s="1116">
        <f>I1512</f>
        <v>245.3</v>
      </c>
      <c r="X1512" s="383"/>
      <c r="Y1512" s="383"/>
      <c r="Z1512" s="383"/>
      <c r="AA1512" s="383"/>
      <c r="AB1512" s="383"/>
      <c r="AC1512" s="383"/>
      <c r="AD1512" s="383"/>
      <c r="AE1512" s="383"/>
      <c r="AF1512" s="383"/>
      <c r="AG1512" s="383"/>
      <c r="AH1512" s="383"/>
      <c r="AI1512" s="383"/>
      <c r="AJ1512" s="383"/>
      <c r="AK1512" s="383"/>
      <c r="AL1512" s="107"/>
      <c r="AM1512" s="107"/>
      <c r="AN1512" s="107"/>
      <c r="AO1512" s="107"/>
      <c r="AP1512" s="107"/>
      <c r="AQ1512" s="107"/>
      <c r="AR1512" s="107"/>
      <c r="AS1512" s="107"/>
      <c r="AT1512" s="107"/>
      <c r="AU1512" s="107"/>
      <c r="AV1512" s="107"/>
      <c r="AW1512" s="107"/>
      <c r="AX1512" s="107"/>
      <c r="AY1512" s="107"/>
      <c r="AZ1512" s="107"/>
      <c r="BA1512" s="107"/>
      <c r="BB1512" s="107"/>
      <c r="BC1512" s="107"/>
      <c r="BD1512" s="107"/>
      <c r="BE1512" s="107"/>
      <c r="BF1512" s="107"/>
      <c r="BG1512" s="107"/>
      <c r="BH1512" s="107"/>
      <c r="BI1512" s="107"/>
      <c r="BJ1512" s="107"/>
      <c r="BK1512" s="107"/>
      <c r="BL1512" s="107"/>
      <c r="BM1512" s="107"/>
      <c r="BN1512" s="107"/>
      <c r="BO1512" s="107"/>
      <c r="BP1512" s="107"/>
      <c r="BQ1512" s="107"/>
      <c r="BR1512" s="107"/>
      <c r="BS1512" s="107"/>
      <c r="BT1512" s="107"/>
      <c r="BU1512" s="107"/>
      <c r="BV1512" s="107"/>
      <c r="BW1512" s="107"/>
      <c r="BX1512" s="107"/>
      <c r="BY1512" s="107"/>
      <c r="BZ1512" s="107"/>
      <c r="CA1512" s="107"/>
      <c r="CB1512" s="107"/>
      <c r="CC1512" s="107"/>
      <c r="CD1512" s="107"/>
      <c r="CE1512" s="107"/>
      <c r="CF1512" s="107"/>
      <c r="CG1512" s="107"/>
      <c r="CH1512" s="107"/>
      <c r="CI1512" s="107"/>
      <c r="CJ1512" s="107"/>
      <c r="CK1512" s="107"/>
      <c r="CL1512" s="107"/>
      <c r="CM1512" s="107"/>
      <c r="CN1512" s="107"/>
      <c r="CO1512" s="107"/>
      <c r="CP1512" s="107"/>
      <c r="CQ1512" s="107"/>
      <c r="CR1512" s="107"/>
      <c r="CS1512" s="107"/>
      <c r="CT1512" s="107"/>
      <c r="CU1512" s="107"/>
      <c r="CV1512" s="107"/>
      <c r="CW1512" s="107"/>
      <c r="CX1512" s="107"/>
      <c r="CY1512" s="107"/>
      <c r="CZ1512" s="107"/>
      <c r="DA1512" s="107"/>
      <c r="DB1512" s="107"/>
      <c r="DC1512" s="107"/>
      <c r="DD1512" s="107"/>
      <c r="DE1512" s="107"/>
      <c r="DF1512" s="107"/>
      <c r="DG1512" s="107"/>
      <c r="DH1512" s="107"/>
      <c r="DI1512" s="107"/>
      <c r="DJ1512" s="107"/>
      <c r="DK1512" s="107"/>
      <c r="DL1512" s="107"/>
      <c r="DM1512" s="107"/>
      <c r="DN1512" s="107"/>
      <c r="DO1512" s="107"/>
      <c r="DP1512" s="107"/>
      <c r="DQ1512" s="107"/>
      <c r="DR1512" s="107"/>
      <c r="DS1512" s="107"/>
      <c r="DT1512" s="107"/>
      <c r="DU1512" s="107"/>
      <c r="DV1512" s="107"/>
      <c r="DW1512" s="107"/>
      <c r="DX1512" s="107"/>
      <c r="DY1512" s="107"/>
      <c r="DZ1512" s="107"/>
      <c r="EA1512" s="107"/>
      <c r="EB1512" s="107"/>
      <c r="EC1512" s="107"/>
      <c r="ED1512" s="107"/>
      <c r="EE1512" s="107"/>
      <c r="EF1512" s="107"/>
      <c r="EG1512" s="107"/>
      <c r="EH1512" s="107"/>
      <c r="EI1512" s="107"/>
      <c r="EJ1512" s="107"/>
      <c r="EK1512" s="107"/>
      <c r="EL1512" s="107"/>
      <c r="EM1512" s="107"/>
      <c r="EN1512" s="107"/>
      <c r="EO1512" s="107"/>
      <c r="EP1512" s="107"/>
      <c r="EQ1512" s="107"/>
      <c r="ER1512" s="107"/>
      <c r="ES1512" s="107"/>
      <c r="ET1512" s="107"/>
      <c r="EU1512" s="107"/>
      <c r="EV1512" s="107"/>
      <c r="EW1512" s="107"/>
      <c r="EX1512" s="107"/>
      <c r="EY1512" s="107"/>
      <c r="EZ1512" s="107"/>
      <c r="FA1512" s="107"/>
      <c r="FB1512" s="107"/>
      <c r="FC1512" s="107"/>
      <c r="FD1512" s="107"/>
      <c r="FE1512" s="107"/>
      <c r="FF1512" s="107"/>
      <c r="FG1512" s="107"/>
      <c r="FH1512" s="107"/>
      <c r="FI1512" s="107"/>
      <c r="FJ1512" s="107"/>
      <c r="FK1512" s="107"/>
      <c r="FL1512" s="107"/>
      <c r="FM1512" s="107"/>
      <c r="FN1512" s="107"/>
      <c r="FO1512" s="107"/>
      <c r="FP1512" s="107"/>
      <c r="FQ1512" s="107"/>
      <c r="FR1512" s="107"/>
      <c r="FS1512" s="107"/>
      <c r="FT1512" s="107"/>
      <c r="FU1512" s="107"/>
      <c r="FV1512" s="107"/>
      <c r="FW1512" s="107"/>
      <c r="FX1512" s="107"/>
      <c r="FY1512" s="107"/>
      <c r="FZ1512" s="107"/>
      <c r="GA1512" s="107"/>
      <c r="GB1512" s="107"/>
      <c r="GC1512" s="107"/>
      <c r="GD1512" s="107"/>
      <c r="GE1512" s="107"/>
      <c r="GF1512" s="107"/>
      <c r="GG1512" s="107"/>
      <c r="GH1512" s="107"/>
      <c r="GI1512" s="107"/>
      <c r="GJ1512" s="107"/>
      <c r="GK1512" s="107"/>
      <c r="GL1512" s="107"/>
      <c r="GM1512" s="107"/>
      <c r="GN1512" s="107"/>
      <c r="GO1512" s="107"/>
      <c r="GP1512" s="107"/>
      <c r="GQ1512" s="107"/>
      <c r="GR1512" s="107"/>
      <c r="GS1512" s="107"/>
      <c r="GT1512" s="107"/>
      <c r="GU1512" s="107"/>
      <c r="GV1512" s="107"/>
      <c r="GW1512" s="107"/>
      <c r="GX1512" s="107"/>
      <c r="GY1512" s="107"/>
      <c r="GZ1512" s="107"/>
      <c r="HA1512" s="107"/>
      <c r="HB1512" s="107"/>
      <c r="HC1512" s="107"/>
      <c r="HD1512" s="107"/>
      <c r="HE1512" s="107"/>
      <c r="HF1512" s="107"/>
      <c r="HG1512" s="107"/>
      <c r="HH1512" s="107"/>
      <c r="HI1512" s="107"/>
      <c r="HJ1512" s="107"/>
      <c r="HK1512" s="107"/>
      <c r="HL1512" s="107"/>
      <c r="HM1512" s="107"/>
      <c r="HN1512" s="107"/>
      <c r="HO1512" s="107"/>
      <c r="HP1512" s="107"/>
      <c r="HQ1512" s="107"/>
      <c r="HR1512" s="107"/>
      <c r="HS1512" s="107"/>
      <c r="HT1512" s="107"/>
      <c r="HU1512" s="107"/>
      <c r="HV1512" s="107"/>
      <c r="HW1512" s="107"/>
      <c r="HX1512" s="107"/>
      <c r="HY1512" s="107"/>
      <c r="HZ1512" s="107"/>
      <c r="IA1512" s="107"/>
      <c r="IB1512" s="107"/>
      <c r="IC1512" s="107"/>
      <c r="ID1512" s="107"/>
      <c r="IE1512" s="107"/>
      <c r="IF1512" s="107"/>
      <c r="IG1512" s="107"/>
      <c r="IH1512" s="107"/>
      <c r="II1512" s="107"/>
      <c r="IJ1512" s="107"/>
      <c r="IK1512" s="107"/>
      <c r="IL1512" s="107"/>
      <c r="IM1512" s="107"/>
      <c r="IN1512" s="107"/>
      <c r="IO1512" s="107"/>
      <c r="IP1512" s="107"/>
      <c r="IQ1512" s="107"/>
      <c r="IR1512" s="107"/>
      <c r="IS1512" s="107"/>
      <c r="IT1512" s="107"/>
      <c r="IU1512" s="107"/>
      <c r="IV1512" s="107"/>
      <c r="IW1512" s="107"/>
      <c r="IX1512" s="107"/>
      <c r="IY1512" s="107"/>
      <c r="IZ1512" s="107"/>
      <c r="JA1512" s="107"/>
      <c r="JB1512" s="107"/>
      <c r="JC1512" s="107"/>
      <c r="JD1512" s="107"/>
      <c r="JE1512" s="107"/>
      <c r="JF1512" s="107"/>
      <c r="JG1512" s="107"/>
      <c r="JH1512" s="107"/>
      <c r="JI1512" s="107"/>
      <c r="JJ1512" s="107"/>
      <c r="JK1512" s="107"/>
      <c r="JL1512" s="107"/>
      <c r="JM1512" s="107"/>
      <c r="JN1512" s="107"/>
      <c r="JO1512" s="107"/>
      <c r="JP1512" s="107"/>
      <c r="JQ1512" s="107"/>
      <c r="JR1512" s="107"/>
      <c r="JS1512" s="107"/>
      <c r="JT1512" s="107"/>
      <c r="JU1512" s="107"/>
      <c r="JV1512" s="107"/>
      <c r="JW1512" s="107"/>
      <c r="JX1512" s="107"/>
      <c r="JY1512" s="107"/>
      <c r="JZ1512" s="107"/>
      <c r="KA1512" s="107"/>
      <c r="KB1512" s="107"/>
      <c r="KC1512" s="107"/>
      <c r="KD1512" s="107"/>
      <c r="KE1512" s="107"/>
      <c r="KF1512" s="107"/>
      <c r="KG1512" s="107"/>
      <c r="KH1512" s="107"/>
      <c r="KI1512" s="107"/>
      <c r="KJ1512" s="107"/>
      <c r="KK1512" s="107"/>
      <c r="KL1512" s="107"/>
      <c r="KM1512" s="107"/>
      <c r="KN1512" s="107"/>
      <c r="KO1512" s="107"/>
      <c r="KP1512" s="107"/>
      <c r="KQ1512" s="107"/>
      <c r="KR1512" s="107"/>
      <c r="KS1512" s="107"/>
      <c r="KT1512" s="107"/>
      <c r="KU1512" s="107"/>
      <c r="KV1512" s="107"/>
      <c r="KW1512" s="107"/>
      <c r="KX1512" s="107"/>
      <c r="KY1512" s="107"/>
      <c r="KZ1512" s="107"/>
      <c r="LA1512" s="107"/>
      <c r="LB1512" s="107"/>
      <c r="LC1512" s="107"/>
      <c r="LD1512" s="107"/>
      <c r="LE1512" s="107"/>
      <c r="LF1512" s="107"/>
      <c r="LG1512" s="107"/>
      <c r="LH1512" s="107"/>
      <c r="LI1512" s="107"/>
      <c r="LJ1512" s="107"/>
      <c r="LK1512" s="107"/>
      <c r="LL1512" s="107"/>
      <c r="LM1512" s="107"/>
      <c r="LN1512" s="107"/>
      <c r="LO1512" s="107"/>
      <c r="LP1512" s="107"/>
      <c r="LQ1512" s="107"/>
      <c r="LR1512" s="107"/>
      <c r="LS1512" s="107"/>
      <c r="LT1512" s="107"/>
      <c r="LU1512" s="107"/>
      <c r="LV1512" s="107"/>
      <c r="LW1512" s="107"/>
      <c r="LX1512" s="107"/>
      <c r="LY1512" s="107"/>
      <c r="LZ1512" s="107"/>
      <c r="MA1512" s="107"/>
      <c r="MB1512" s="107"/>
      <c r="MC1512" s="107"/>
      <c r="MD1512" s="107"/>
      <c r="ME1512" s="107"/>
      <c r="MF1512" s="107"/>
      <c r="MG1512" s="107"/>
      <c r="MH1512" s="107"/>
      <c r="MI1512" s="107"/>
      <c r="MJ1512" s="107"/>
      <c r="MK1512" s="107"/>
      <c r="ML1512" s="107"/>
      <c r="MM1512" s="107"/>
      <c r="MN1512" s="107"/>
      <c r="MO1512" s="107"/>
      <c r="MP1512" s="107"/>
      <c r="MQ1512" s="107"/>
      <c r="MR1512" s="107"/>
      <c r="MS1512" s="107"/>
      <c r="MT1512" s="107"/>
      <c r="MU1512" s="107"/>
      <c r="MV1512" s="107"/>
      <c r="MW1512" s="107"/>
      <c r="MX1512" s="107"/>
      <c r="MY1512" s="107"/>
      <c r="MZ1512" s="107"/>
      <c r="NA1512" s="107"/>
      <c r="NB1512" s="107"/>
      <c r="NC1512" s="107"/>
      <c r="ND1512" s="107"/>
      <c r="NE1512" s="107"/>
      <c r="NF1512" s="107"/>
      <c r="NG1512" s="107"/>
      <c r="NH1512" s="107"/>
      <c r="NI1512" s="107"/>
      <c r="NJ1512" s="107"/>
      <c r="NK1512" s="107"/>
      <c r="NL1512" s="107"/>
      <c r="NM1512" s="107"/>
      <c r="NN1512" s="107"/>
      <c r="NO1512" s="107"/>
      <c r="NP1512" s="107"/>
      <c r="NQ1512" s="107"/>
      <c r="NR1512" s="107"/>
      <c r="NS1512" s="107"/>
      <c r="NT1512" s="107"/>
      <c r="NU1512" s="107"/>
      <c r="NV1512" s="107"/>
      <c r="NW1512" s="107"/>
      <c r="NX1512" s="107"/>
      <c r="NY1512" s="107"/>
      <c r="NZ1512" s="107"/>
      <c r="OA1512" s="107"/>
      <c r="OB1512" s="107"/>
      <c r="OC1512" s="107"/>
      <c r="OD1512" s="107"/>
      <c r="OE1512" s="107"/>
      <c r="OF1512" s="107"/>
      <c r="OG1512" s="107"/>
      <c r="OH1512" s="107"/>
      <c r="OI1512" s="107"/>
      <c r="OJ1512" s="107"/>
      <c r="OK1512" s="107"/>
      <c r="OL1512" s="107"/>
      <c r="OM1512" s="107"/>
      <c r="ON1512" s="107"/>
      <c r="OO1512" s="107"/>
      <c r="OP1512" s="107"/>
      <c r="OQ1512" s="107"/>
      <c r="OR1512" s="107"/>
      <c r="OS1512" s="107"/>
      <c r="OT1512" s="107"/>
      <c r="OU1512" s="107"/>
      <c r="OV1512" s="107"/>
      <c r="OW1512" s="107"/>
      <c r="OX1512" s="107"/>
      <c r="OY1512" s="107"/>
      <c r="OZ1512" s="107"/>
      <c r="PA1512" s="107"/>
      <c r="PB1512" s="107"/>
      <c r="PC1512" s="107"/>
      <c r="PD1512" s="107"/>
      <c r="PE1512" s="107"/>
      <c r="PF1512" s="107"/>
      <c r="PG1512" s="107"/>
      <c r="PH1512" s="107"/>
      <c r="PI1512" s="107"/>
      <c r="PJ1512" s="107"/>
      <c r="PK1512" s="107"/>
      <c r="PL1512" s="107"/>
      <c r="PM1512" s="107"/>
      <c r="PN1512" s="107"/>
      <c r="PO1512" s="107"/>
      <c r="PP1512" s="107"/>
      <c r="PQ1512" s="107"/>
      <c r="PR1512" s="107"/>
      <c r="PS1512" s="107"/>
      <c r="PT1512" s="107"/>
      <c r="PU1512" s="107"/>
      <c r="PV1512" s="107"/>
      <c r="PW1512" s="107"/>
      <c r="PX1512" s="107"/>
      <c r="PY1512" s="107"/>
      <c r="PZ1512" s="107"/>
      <c r="QA1512" s="107"/>
      <c r="QB1512" s="107"/>
      <c r="QC1512" s="107"/>
      <c r="QD1512" s="107"/>
      <c r="QE1512" s="107"/>
      <c r="QF1512" s="107"/>
      <c r="QG1512" s="107"/>
      <c r="QH1512" s="107"/>
      <c r="QI1512" s="107"/>
      <c r="QJ1512" s="107"/>
      <c r="QK1512" s="107"/>
      <c r="QL1512" s="107"/>
      <c r="QM1512" s="107"/>
      <c r="QN1512" s="107"/>
      <c r="QO1512" s="107"/>
      <c r="QP1512" s="107"/>
      <c r="QQ1512" s="107"/>
      <c r="QR1512" s="107"/>
      <c r="QS1512" s="107"/>
      <c r="QT1512" s="107"/>
      <c r="QU1512" s="107"/>
      <c r="QV1512" s="107"/>
      <c r="QW1512" s="107"/>
      <c r="QX1512" s="107"/>
      <c r="QY1512" s="107"/>
      <c r="QZ1512" s="107"/>
      <c r="RA1512" s="107"/>
      <c r="RB1512" s="107"/>
      <c r="RC1512" s="107"/>
      <c r="RD1512" s="107"/>
      <c r="RE1512" s="107"/>
      <c r="RF1512" s="107"/>
      <c r="RG1512" s="107"/>
      <c r="RH1512" s="107"/>
      <c r="RI1512" s="107"/>
      <c r="RJ1512" s="107"/>
      <c r="RK1512" s="107"/>
      <c r="RL1512" s="107"/>
      <c r="RM1512" s="107"/>
      <c r="RN1512" s="107"/>
      <c r="RO1512" s="107"/>
      <c r="RP1512" s="107"/>
      <c r="RQ1512" s="107"/>
      <c r="RR1512" s="107"/>
      <c r="RS1512" s="107"/>
      <c r="RT1512" s="107"/>
      <c r="RU1512" s="107"/>
      <c r="RV1512" s="107"/>
      <c r="RW1512" s="107"/>
      <c r="RX1512" s="107"/>
      <c r="RY1512" s="107"/>
      <c r="RZ1512" s="107"/>
      <c r="SA1512" s="107"/>
      <c r="SB1512" s="107"/>
      <c r="SC1512" s="107"/>
      <c r="SD1512" s="107"/>
      <c r="SE1512" s="107"/>
      <c r="SF1512" s="107"/>
      <c r="SG1512" s="107"/>
      <c r="SH1512" s="107"/>
      <c r="SI1512" s="107"/>
      <c r="SJ1512" s="107"/>
      <c r="SK1512" s="107"/>
      <c r="SL1512" s="107"/>
      <c r="SM1512" s="107"/>
      <c r="SN1512" s="107"/>
      <c r="SO1512" s="107"/>
      <c r="SP1512" s="107"/>
      <c r="SQ1512" s="107"/>
      <c r="SR1512" s="107"/>
      <c r="SS1512" s="107"/>
      <c r="ST1512" s="107"/>
      <c r="SU1512" s="107"/>
      <c r="SV1512" s="107"/>
      <c r="SW1512" s="107"/>
      <c r="SX1512" s="107"/>
      <c r="SY1512" s="107"/>
      <c r="SZ1512" s="107"/>
      <c r="TA1512" s="107"/>
      <c r="TB1512" s="107"/>
      <c r="TC1512" s="107"/>
      <c r="TD1512" s="107"/>
      <c r="TE1512" s="107"/>
      <c r="TF1512" s="107"/>
      <c r="TG1512" s="107"/>
      <c r="TH1512" s="107"/>
      <c r="TI1512" s="107"/>
      <c r="TJ1512" s="107"/>
      <c r="TK1512" s="107"/>
      <c r="TL1512" s="107"/>
      <c r="TM1512" s="107"/>
      <c r="TN1512" s="107"/>
      <c r="TO1512" s="107"/>
      <c r="TP1512" s="107"/>
      <c r="TQ1512" s="107"/>
      <c r="TR1512" s="107"/>
      <c r="TS1512" s="107"/>
      <c r="TT1512" s="107"/>
      <c r="TU1512" s="107"/>
      <c r="TV1512" s="107"/>
      <c r="TW1512" s="107"/>
      <c r="TX1512" s="107"/>
      <c r="TY1512" s="107"/>
      <c r="TZ1512" s="107"/>
      <c r="UA1512" s="107"/>
      <c r="UB1512" s="107"/>
      <c r="UC1512" s="107"/>
      <c r="UD1512" s="107"/>
    </row>
    <row r="1513" spans="1:553" s="874" customFormat="1" ht="208.5" customHeight="1">
      <c r="A1513" s="924"/>
      <c r="B1513" s="1230"/>
      <c r="C1513" s="1227" t="s">
        <v>26</v>
      </c>
      <c r="D1513" s="470" t="s">
        <v>70</v>
      </c>
      <c r="E1513" s="470" t="s">
        <v>1336</v>
      </c>
      <c r="F1513" s="1230"/>
      <c r="G1513" s="501" t="s">
        <v>935</v>
      </c>
      <c r="H1513" s="930">
        <v>728.5</v>
      </c>
      <c r="I1513" s="931">
        <v>728.5</v>
      </c>
      <c r="J1513" s="1243">
        <v>40000</v>
      </c>
      <c r="K1513" s="809"/>
      <c r="L1513" s="1208">
        <f t="shared" ref="L1513" si="227">ROUND(PRODUCT(I1513:K1513),0)</f>
        <v>29140000</v>
      </c>
      <c r="M1513" s="933"/>
      <c r="N1513" s="933"/>
      <c r="O1513" s="1226"/>
      <c r="P1513" s="1226"/>
      <c r="Q1513" s="1173" t="s">
        <v>1337</v>
      </c>
      <c r="R1513" s="1447" t="s">
        <v>1338</v>
      </c>
      <c r="S1513" s="486"/>
      <c r="T1513" s="486"/>
      <c r="U1513" s="486"/>
      <c r="V1513" s="486"/>
      <c r="W1513" s="486"/>
      <c r="X1513" s="486"/>
      <c r="Y1513" s="1117">
        <f>I1513</f>
        <v>728.5</v>
      </c>
      <c r="Z1513" s="486"/>
      <c r="AA1513" s="486"/>
      <c r="AB1513" s="486"/>
      <c r="AC1513" s="486"/>
      <c r="AD1513" s="486"/>
      <c r="AE1513" s="486"/>
      <c r="AF1513" s="486"/>
      <c r="AG1513" s="486"/>
      <c r="AH1513" s="486"/>
      <c r="AI1513" s="486"/>
      <c r="AJ1513" s="486"/>
      <c r="AK1513" s="486"/>
      <c r="AL1513" s="206"/>
      <c r="AM1513" s="206"/>
      <c r="AN1513" s="206"/>
      <c r="AO1513" s="206"/>
      <c r="AP1513" s="206"/>
      <c r="AQ1513" s="206"/>
      <c r="AR1513" s="206"/>
      <c r="AS1513" s="206"/>
      <c r="AT1513" s="206"/>
      <c r="AU1513" s="206"/>
      <c r="AV1513" s="206"/>
      <c r="AW1513" s="206"/>
      <c r="AX1513" s="206"/>
      <c r="AY1513" s="206"/>
      <c r="AZ1513" s="206"/>
      <c r="BA1513" s="206"/>
      <c r="BB1513" s="206"/>
      <c r="BC1513" s="206"/>
      <c r="BD1513" s="206"/>
      <c r="BE1513" s="206"/>
      <c r="BF1513" s="206"/>
      <c r="BG1513" s="206"/>
      <c r="BH1513" s="206"/>
      <c r="BI1513" s="206"/>
      <c r="BJ1513" s="206"/>
      <c r="BK1513" s="206"/>
      <c r="BL1513" s="206"/>
      <c r="BM1513" s="206"/>
      <c r="BN1513" s="206"/>
      <c r="BO1513" s="206"/>
      <c r="BP1513" s="206"/>
      <c r="BQ1513" s="206"/>
      <c r="BR1513" s="206"/>
      <c r="BS1513" s="206"/>
      <c r="BT1513" s="206"/>
      <c r="BU1513" s="206"/>
      <c r="BV1513" s="206"/>
      <c r="BW1513" s="206"/>
      <c r="BX1513" s="206"/>
      <c r="BY1513" s="206"/>
      <c r="BZ1513" s="206"/>
      <c r="CA1513" s="206"/>
      <c r="CB1513" s="206"/>
      <c r="CC1513" s="206"/>
      <c r="CD1513" s="206"/>
      <c r="CE1513" s="206"/>
      <c r="CF1513" s="206"/>
      <c r="CG1513" s="206"/>
      <c r="CH1513" s="206"/>
      <c r="CI1513" s="206"/>
      <c r="CJ1513" s="206"/>
      <c r="CK1513" s="206"/>
      <c r="CL1513" s="206"/>
      <c r="CM1513" s="206"/>
      <c r="CN1513" s="206"/>
      <c r="CO1513" s="206"/>
      <c r="CP1513" s="206"/>
      <c r="CQ1513" s="206"/>
      <c r="CR1513" s="206"/>
      <c r="CS1513" s="206"/>
      <c r="CT1513" s="206"/>
      <c r="CU1513" s="206"/>
      <c r="CV1513" s="206"/>
      <c r="CW1513" s="206"/>
      <c r="CX1513" s="206"/>
      <c r="CY1513" s="206"/>
      <c r="CZ1513" s="206"/>
      <c r="DA1513" s="206"/>
      <c r="DB1513" s="206"/>
      <c r="DC1513" s="206"/>
      <c r="DD1513" s="206"/>
      <c r="DE1513" s="206"/>
      <c r="DF1513" s="206"/>
      <c r="DG1513" s="206"/>
      <c r="DH1513" s="206"/>
      <c r="DI1513" s="206"/>
      <c r="DJ1513" s="206"/>
      <c r="DK1513" s="206"/>
      <c r="DL1513" s="206"/>
      <c r="DM1513" s="206"/>
      <c r="DN1513" s="206"/>
      <c r="DO1513" s="206"/>
      <c r="DP1513" s="206"/>
      <c r="DQ1513" s="206"/>
      <c r="DR1513" s="206"/>
      <c r="DS1513" s="206"/>
      <c r="DT1513" s="206"/>
      <c r="DU1513" s="206"/>
      <c r="DV1513" s="206"/>
      <c r="DW1513" s="206"/>
      <c r="DX1513" s="206"/>
      <c r="DY1513" s="206"/>
      <c r="DZ1513" s="206"/>
      <c r="EA1513" s="206"/>
      <c r="EB1513" s="206"/>
      <c r="EC1513" s="206"/>
      <c r="ED1513" s="206"/>
      <c r="EE1513" s="206"/>
      <c r="EF1513" s="206"/>
      <c r="EG1513" s="206"/>
      <c r="EH1513" s="206"/>
      <c r="EI1513" s="206"/>
      <c r="EJ1513" s="206"/>
      <c r="EK1513" s="206"/>
      <c r="EL1513" s="206"/>
      <c r="EM1513" s="206"/>
      <c r="EN1513" s="206"/>
      <c r="EO1513" s="206"/>
      <c r="EP1513" s="206"/>
      <c r="EQ1513" s="206"/>
      <c r="ER1513" s="206"/>
      <c r="ES1513" s="206"/>
      <c r="ET1513" s="206"/>
      <c r="EU1513" s="206"/>
      <c r="EV1513" s="206"/>
      <c r="EW1513" s="206"/>
      <c r="EX1513" s="206"/>
      <c r="EY1513" s="206"/>
      <c r="EZ1513" s="206"/>
      <c r="FA1513" s="206"/>
      <c r="FB1513" s="206"/>
      <c r="FC1513" s="206"/>
      <c r="FD1513" s="206"/>
      <c r="FE1513" s="206"/>
      <c r="FF1513" s="206"/>
      <c r="FG1513" s="206"/>
      <c r="FH1513" s="206"/>
      <c r="FI1513" s="206"/>
      <c r="FJ1513" s="206"/>
      <c r="FK1513" s="206"/>
      <c r="FL1513" s="206"/>
      <c r="FM1513" s="206"/>
      <c r="FN1513" s="206"/>
      <c r="FO1513" s="206"/>
      <c r="FP1513" s="206"/>
      <c r="FQ1513" s="206"/>
      <c r="FR1513" s="206"/>
      <c r="FS1513" s="206"/>
      <c r="FT1513" s="206"/>
      <c r="FU1513" s="206"/>
      <c r="FV1513" s="206"/>
      <c r="FW1513" s="206"/>
      <c r="FX1513" s="206"/>
      <c r="FY1513" s="206"/>
      <c r="FZ1513" s="206"/>
      <c r="GA1513" s="206"/>
      <c r="GB1513" s="206"/>
      <c r="GC1513" s="206"/>
      <c r="GD1513" s="206"/>
      <c r="GE1513" s="206"/>
      <c r="GF1513" s="206"/>
      <c r="GG1513" s="206"/>
      <c r="GH1513" s="206"/>
      <c r="GI1513" s="206"/>
      <c r="GJ1513" s="206"/>
      <c r="GK1513" s="206"/>
      <c r="GL1513" s="206"/>
      <c r="GM1513" s="206"/>
      <c r="GN1513" s="206"/>
      <c r="GO1513" s="206"/>
      <c r="GP1513" s="206"/>
      <c r="GQ1513" s="206"/>
      <c r="GR1513" s="206"/>
      <c r="GS1513" s="206"/>
      <c r="GT1513" s="206"/>
      <c r="GU1513" s="206"/>
      <c r="GV1513" s="206"/>
      <c r="GW1513" s="206"/>
      <c r="GX1513" s="206"/>
      <c r="GY1513" s="206"/>
      <c r="GZ1513" s="206"/>
      <c r="HA1513" s="206"/>
      <c r="HB1513" s="206"/>
      <c r="HC1513" s="206"/>
      <c r="HD1513" s="206"/>
      <c r="HE1513" s="206"/>
      <c r="HF1513" s="206"/>
      <c r="HG1513" s="206"/>
      <c r="HH1513" s="206"/>
      <c r="HI1513" s="206"/>
      <c r="HJ1513" s="206"/>
      <c r="HK1513" s="206"/>
      <c r="HL1513" s="206"/>
      <c r="HM1513" s="206"/>
      <c r="HN1513" s="206"/>
      <c r="HO1513" s="206"/>
      <c r="HP1513" s="206"/>
      <c r="HQ1513" s="206"/>
      <c r="HR1513" s="206"/>
      <c r="HS1513" s="206"/>
      <c r="HT1513" s="206"/>
      <c r="HU1513" s="206"/>
      <c r="HV1513" s="206"/>
      <c r="HW1513" s="206"/>
      <c r="HX1513" s="206"/>
      <c r="HY1513" s="206"/>
      <c r="HZ1513" s="206"/>
      <c r="IA1513" s="206"/>
      <c r="IB1513" s="206"/>
      <c r="IC1513" s="206"/>
      <c r="ID1513" s="206"/>
      <c r="IE1513" s="206"/>
      <c r="IF1513" s="206"/>
      <c r="IG1513" s="206"/>
      <c r="IH1513" s="206"/>
      <c r="II1513" s="206"/>
      <c r="IJ1513" s="206"/>
      <c r="IK1513" s="206"/>
      <c r="IL1513" s="206"/>
      <c r="IM1513" s="206"/>
      <c r="IN1513" s="206"/>
      <c r="IO1513" s="206"/>
      <c r="IP1513" s="206"/>
      <c r="IQ1513" s="206"/>
      <c r="IR1513" s="206"/>
      <c r="IS1513" s="206"/>
      <c r="IT1513" s="206"/>
      <c r="IU1513" s="206"/>
      <c r="IV1513" s="206"/>
      <c r="IW1513" s="206"/>
      <c r="IX1513" s="206"/>
      <c r="IY1513" s="206"/>
      <c r="IZ1513" s="206"/>
      <c r="JA1513" s="206"/>
      <c r="JB1513" s="206"/>
      <c r="JC1513" s="206"/>
      <c r="JD1513" s="206"/>
      <c r="JE1513" s="206"/>
      <c r="JF1513" s="206"/>
      <c r="JG1513" s="206"/>
      <c r="JH1513" s="206"/>
      <c r="JI1513" s="206"/>
      <c r="JJ1513" s="206"/>
      <c r="JK1513" s="206"/>
      <c r="JL1513" s="206"/>
      <c r="JM1513" s="206"/>
      <c r="JN1513" s="206"/>
      <c r="JO1513" s="206"/>
      <c r="JP1513" s="206"/>
      <c r="JQ1513" s="206"/>
      <c r="JR1513" s="206"/>
      <c r="JS1513" s="206"/>
      <c r="JT1513" s="206"/>
      <c r="JU1513" s="206"/>
      <c r="JV1513" s="206"/>
      <c r="JW1513" s="206"/>
      <c r="JX1513" s="206"/>
      <c r="JY1513" s="206"/>
      <c r="JZ1513" s="206"/>
      <c r="KA1513" s="206"/>
      <c r="KB1513" s="206"/>
      <c r="KC1513" s="206"/>
      <c r="KD1513" s="206"/>
      <c r="KE1513" s="206"/>
      <c r="KF1513" s="206"/>
      <c r="KG1513" s="206"/>
      <c r="KH1513" s="206"/>
      <c r="KI1513" s="206"/>
      <c r="KJ1513" s="206"/>
      <c r="KK1513" s="206"/>
      <c r="KL1513" s="206"/>
      <c r="KM1513" s="206"/>
      <c r="KN1513" s="206"/>
      <c r="KO1513" s="206"/>
      <c r="KP1513" s="206"/>
      <c r="KQ1513" s="206"/>
      <c r="KR1513" s="206"/>
      <c r="KS1513" s="206"/>
      <c r="KT1513" s="206"/>
      <c r="KU1513" s="206"/>
      <c r="KV1513" s="206"/>
      <c r="KW1513" s="206"/>
      <c r="KX1513" s="206"/>
      <c r="KY1513" s="206"/>
      <c r="KZ1513" s="206"/>
      <c r="LA1513" s="206"/>
      <c r="LB1513" s="206"/>
      <c r="LC1513" s="206"/>
      <c r="LD1513" s="206"/>
      <c r="LE1513" s="206"/>
      <c r="LF1513" s="206"/>
      <c r="LG1513" s="206"/>
      <c r="LH1513" s="206"/>
      <c r="LI1513" s="206"/>
      <c r="LJ1513" s="206"/>
      <c r="LK1513" s="206"/>
      <c r="LL1513" s="206"/>
      <c r="LM1513" s="206"/>
      <c r="LN1513" s="206"/>
      <c r="LO1513" s="206"/>
      <c r="LP1513" s="206"/>
      <c r="LQ1513" s="206"/>
      <c r="LR1513" s="206"/>
      <c r="LS1513" s="206"/>
      <c r="LT1513" s="206"/>
      <c r="LU1513" s="206"/>
      <c r="LV1513" s="206"/>
      <c r="LW1513" s="206"/>
      <c r="LX1513" s="206"/>
      <c r="LY1513" s="206"/>
      <c r="LZ1513" s="206"/>
      <c r="MA1513" s="206"/>
      <c r="MB1513" s="206"/>
      <c r="MC1513" s="206"/>
      <c r="MD1513" s="206"/>
      <c r="ME1513" s="206"/>
      <c r="MF1513" s="206"/>
      <c r="MG1513" s="206"/>
      <c r="MH1513" s="206"/>
      <c r="MI1513" s="206"/>
      <c r="MJ1513" s="206"/>
      <c r="MK1513" s="206"/>
      <c r="ML1513" s="206"/>
      <c r="MM1513" s="206"/>
      <c r="MN1513" s="206"/>
      <c r="MO1513" s="206"/>
      <c r="MP1513" s="206"/>
      <c r="MQ1513" s="206"/>
      <c r="MR1513" s="206"/>
      <c r="MS1513" s="206"/>
      <c r="MT1513" s="206"/>
      <c r="MU1513" s="206"/>
      <c r="MV1513" s="206"/>
      <c r="MW1513" s="206"/>
      <c r="MX1513" s="206"/>
      <c r="MY1513" s="206"/>
      <c r="MZ1513" s="206"/>
      <c r="NA1513" s="206"/>
      <c r="NB1513" s="206"/>
      <c r="NC1513" s="206"/>
      <c r="ND1513" s="206"/>
      <c r="NE1513" s="206"/>
      <c r="NF1513" s="206"/>
      <c r="NG1513" s="206"/>
      <c r="NH1513" s="206"/>
      <c r="NI1513" s="206"/>
      <c r="NJ1513" s="206"/>
      <c r="NK1513" s="206"/>
      <c r="NL1513" s="206"/>
      <c r="NM1513" s="206"/>
      <c r="NN1513" s="206"/>
      <c r="NO1513" s="206"/>
      <c r="NP1513" s="206"/>
      <c r="NQ1513" s="206"/>
      <c r="NR1513" s="206"/>
      <c r="NS1513" s="206"/>
      <c r="NT1513" s="206"/>
      <c r="NU1513" s="206"/>
      <c r="NV1513" s="206"/>
      <c r="NW1513" s="206"/>
      <c r="NX1513" s="206"/>
      <c r="NY1513" s="206"/>
      <c r="NZ1513" s="206"/>
      <c r="OA1513" s="206"/>
      <c r="OB1513" s="206"/>
      <c r="OC1513" s="206"/>
      <c r="OD1513" s="206"/>
      <c r="OE1513" s="206"/>
      <c r="OF1513" s="206"/>
      <c r="OG1513" s="206"/>
      <c r="OH1513" s="206"/>
      <c r="OI1513" s="206"/>
      <c r="OJ1513" s="206"/>
      <c r="OK1513" s="206"/>
      <c r="OL1513" s="206"/>
      <c r="OM1513" s="206"/>
      <c r="ON1513" s="206"/>
      <c r="OO1513" s="206"/>
      <c r="OP1513" s="206"/>
      <c r="OQ1513" s="206"/>
      <c r="OR1513" s="206"/>
      <c r="OS1513" s="206"/>
      <c r="OT1513" s="206"/>
      <c r="OU1513" s="206"/>
      <c r="OV1513" s="206"/>
      <c r="OW1513" s="206"/>
      <c r="OX1513" s="206"/>
      <c r="OY1513" s="206"/>
      <c r="OZ1513" s="206"/>
      <c r="PA1513" s="206"/>
      <c r="PB1513" s="206"/>
      <c r="PC1513" s="206"/>
      <c r="PD1513" s="206"/>
      <c r="PE1513" s="206"/>
      <c r="PF1513" s="206"/>
      <c r="PG1513" s="206"/>
      <c r="PH1513" s="206"/>
      <c r="PI1513" s="206"/>
      <c r="PJ1513" s="206"/>
      <c r="PK1513" s="206"/>
      <c r="PL1513" s="206"/>
      <c r="PM1513" s="206"/>
      <c r="PN1513" s="206"/>
      <c r="PO1513" s="206"/>
      <c r="PP1513" s="206"/>
      <c r="PQ1513" s="206"/>
      <c r="PR1513" s="206"/>
      <c r="PS1513" s="206"/>
      <c r="PT1513" s="206"/>
      <c r="PU1513" s="206"/>
      <c r="PV1513" s="206"/>
      <c r="PW1513" s="206"/>
      <c r="PX1513" s="206"/>
      <c r="PY1513" s="206"/>
      <c r="PZ1513" s="206"/>
      <c r="QA1513" s="206"/>
      <c r="QB1513" s="206"/>
      <c r="QC1513" s="206"/>
      <c r="QD1513" s="206"/>
      <c r="QE1513" s="206"/>
      <c r="QF1513" s="206"/>
      <c r="QG1513" s="206"/>
      <c r="QH1513" s="206"/>
      <c r="QI1513" s="206"/>
      <c r="QJ1513" s="206"/>
      <c r="QK1513" s="206"/>
      <c r="QL1513" s="206"/>
      <c r="QM1513" s="206"/>
      <c r="QN1513" s="206"/>
      <c r="QO1513" s="206"/>
      <c r="QP1513" s="206"/>
      <c r="QQ1513" s="206"/>
      <c r="QR1513" s="206"/>
      <c r="QS1513" s="206"/>
      <c r="QT1513" s="206"/>
      <c r="QU1513" s="206"/>
      <c r="QV1513" s="206"/>
      <c r="QW1513" s="206"/>
      <c r="QX1513" s="206"/>
      <c r="QY1513" s="206"/>
      <c r="QZ1513" s="206"/>
      <c r="RA1513" s="206"/>
      <c r="RB1513" s="206"/>
      <c r="RC1513" s="206"/>
      <c r="RD1513" s="206"/>
      <c r="RE1513" s="206"/>
      <c r="RF1513" s="206"/>
      <c r="RG1513" s="206"/>
      <c r="RH1513" s="206"/>
      <c r="RI1513" s="206"/>
      <c r="RJ1513" s="206"/>
      <c r="RK1513" s="206"/>
      <c r="RL1513" s="206"/>
      <c r="RM1513" s="206"/>
      <c r="RN1513" s="206"/>
      <c r="RO1513" s="206"/>
      <c r="RP1513" s="206"/>
      <c r="RQ1513" s="206"/>
      <c r="RR1513" s="206"/>
      <c r="RS1513" s="206"/>
      <c r="RT1513" s="206"/>
      <c r="RU1513" s="206"/>
      <c r="RV1513" s="206"/>
      <c r="RW1513" s="206"/>
      <c r="RX1513" s="206"/>
      <c r="RY1513" s="206"/>
      <c r="RZ1513" s="206"/>
      <c r="SA1513" s="206"/>
      <c r="SB1513" s="206"/>
      <c r="SC1513" s="206"/>
      <c r="SD1513" s="206"/>
      <c r="SE1513" s="206"/>
      <c r="SF1513" s="206"/>
      <c r="SG1513" s="206"/>
      <c r="SH1513" s="206"/>
      <c r="SI1513" s="206"/>
      <c r="SJ1513" s="206"/>
      <c r="SK1513" s="206"/>
      <c r="SL1513" s="206"/>
      <c r="SM1513" s="206"/>
      <c r="SN1513" s="206"/>
      <c r="SO1513" s="206"/>
      <c r="SP1513" s="206"/>
      <c r="SQ1513" s="206"/>
      <c r="SR1513" s="206"/>
      <c r="SS1513" s="206"/>
      <c r="ST1513" s="206"/>
      <c r="SU1513" s="206"/>
      <c r="SV1513" s="206"/>
      <c r="SW1513" s="206"/>
      <c r="SX1513" s="206"/>
      <c r="SY1513" s="206"/>
      <c r="SZ1513" s="206"/>
      <c r="TA1513" s="206"/>
      <c r="TB1513" s="206"/>
      <c r="TC1513" s="206"/>
      <c r="TD1513" s="206"/>
      <c r="TE1513" s="206"/>
      <c r="TF1513" s="206"/>
      <c r="TG1513" s="206"/>
      <c r="TH1513" s="206"/>
      <c r="TI1513" s="206"/>
      <c r="TJ1513" s="206"/>
      <c r="TK1513" s="206"/>
      <c r="TL1513" s="206"/>
      <c r="TM1513" s="206"/>
      <c r="TN1513" s="206"/>
      <c r="TO1513" s="206"/>
      <c r="TP1513" s="206"/>
      <c r="TQ1513" s="206"/>
      <c r="TR1513" s="206"/>
      <c r="TS1513" s="206"/>
      <c r="TT1513" s="206"/>
      <c r="TU1513" s="206"/>
      <c r="TV1513" s="206"/>
      <c r="TW1513" s="206"/>
      <c r="TX1513" s="206"/>
      <c r="TY1513" s="206"/>
      <c r="TZ1513" s="206"/>
      <c r="UA1513" s="206"/>
      <c r="UB1513" s="206"/>
      <c r="UC1513" s="206"/>
      <c r="UD1513" s="206"/>
    </row>
    <row r="1514" spans="1:553" s="876" customFormat="1" ht="177.75" customHeight="1">
      <c r="A1514" s="924"/>
      <c r="B1514" s="1230"/>
      <c r="C1514" s="1227" t="s">
        <v>22</v>
      </c>
      <c r="D1514" s="470" t="s">
        <v>70</v>
      </c>
      <c r="E1514" s="470" t="s">
        <v>483</v>
      </c>
      <c r="F1514" s="1230"/>
      <c r="G1514" s="501" t="s">
        <v>935</v>
      </c>
      <c r="H1514" s="930">
        <v>188.3</v>
      </c>
      <c r="I1514" s="931">
        <v>172.7</v>
      </c>
      <c r="J1514" s="1243">
        <v>60000</v>
      </c>
      <c r="K1514" s="809"/>
      <c r="L1514" s="1208">
        <f>ROUND(PRODUCT(I1514:K1514),0)</f>
        <v>10362000</v>
      </c>
      <c r="M1514" s="933"/>
      <c r="N1514" s="933"/>
      <c r="O1514" s="1226"/>
      <c r="P1514" s="1226"/>
      <c r="Q1514" s="765" t="s">
        <v>1339</v>
      </c>
      <c r="R1514" s="1452"/>
      <c r="S1514" s="486"/>
      <c r="T1514" s="486"/>
      <c r="U1514" s="486"/>
      <c r="V1514" s="486"/>
      <c r="W1514" s="486"/>
      <c r="X1514" s="486"/>
      <c r="Y1514" s="486"/>
      <c r="Z1514" s="486"/>
      <c r="AA1514" s="486"/>
      <c r="AB1514" s="1117">
        <f>I1514</f>
        <v>172.7</v>
      </c>
      <c r="AC1514" s="486"/>
      <c r="AD1514" s="486"/>
      <c r="AE1514" s="486"/>
      <c r="AF1514" s="486"/>
      <c r="AG1514" s="486"/>
      <c r="AH1514" s="486"/>
      <c r="AI1514" s="486"/>
      <c r="AJ1514" s="486"/>
      <c r="AK1514" s="486"/>
      <c r="AL1514" s="334"/>
      <c r="AM1514" s="334"/>
      <c r="AN1514" s="334"/>
      <c r="AO1514" s="334"/>
      <c r="AP1514" s="334"/>
      <c r="AQ1514" s="334"/>
      <c r="AR1514" s="334"/>
      <c r="AS1514" s="334"/>
      <c r="AT1514" s="334"/>
      <c r="AU1514" s="334"/>
      <c r="AV1514" s="334"/>
      <c r="AW1514" s="334"/>
      <c r="AX1514" s="334"/>
      <c r="AY1514" s="334"/>
      <c r="AZ1514" s="334"/>
      <c r="BA1514" s="334"/>
      <c r="BB1514" s="334"/>
      <c r="BC1514" s="334"/>
      <c r="BD1514" s="334"/>
      <c r="BE1514" s="334"/>
      <c r="BF1514" s="334"/>
      <c r="BG1514" s="334"/>
      <c r="BH1514" s="334"/>
      <c r="BI1514" s="334"/>
      <c r="BJ1514" s="334"/>
      <c r="BK1514" s="334"/>
      <c r="BL1514" s="334"/>
      <c r="BM1514" s="334"/>
      <c r="BN1514" s="334"/>
      <c r="BO1514" s="334"/>
      <c r="BP1514" s="334"/>
      <c r="BQ1514" s="334"/>
      <c r="BR1514" s="334"/>
      <c r="BS1514" s="334"/>
      <c r="BT1514" s="334"/>
      <c r="BU1514" s="334"/>
      <c r="BV1514" s="334"/>
      <c r="BW1514" s="334"/>
      <c r="BX1514" s="334"/>
      <c r="BY1514" s="334"/>
      <c r="BZ1514" s="334"/>
      <c r="CA1514" s="334"/>
      <c r="CB1514" s="334"/>
      <c r="CC1514" s="334"/>
      <c r="CD1514" s="334"/>
      <c r="CE1514" s="334"/>
      <c r="CF1514" s="334"/>
      <c r="CG1514" s="334"/>
      <c r="CH1514" s="334"/>
      <c r="CI1514" s="334"/>
      <c r="CJ1514" s="334"/>
      <c r="CK1514" s="334"/>
      <c r="CL1514" s="334"/>
      <c r="CM1514" s="334"/>
      <c r="CN1514" s="334"/>
      <c r="CO1514" s="334"/>
      <c r="CP1514" s="334"/>
      <c r="CQ1514" s="334"/>
      <c r="CR1514" s="334"/>
      <c r="CS1514" s="334"/>
      <c r="CT1514" s="334"/>
      <c r="CU1514" s="334"/>
      <c r="CV1514" s="334"/>
      <c r="CW1514" s="334"/>
      <c r="CX1514" s="334"/>
      <c r="CY1514" s="334"/>
      <c r="CZ1514" s="334"/>
      <c r="DA1514" s="334"/>
      <c r="DB1514" s="334"/>
      <c r="DC1514" s="334"/>
      <c r="DD1514" s="334"/>
      <c r="DE1514" s="334"/>
      <c r="DF1514" s="334"/>
      <c r="DG1514" s="334"/>
      <c r="DH1514" s="334"/>
      <c r="DI1514" s="334"/>
      <c r="DJ1514" s="334"/>
      <c r="DK1514" s="334"/>
      <c r="DL1514" s="334"/>
      <c r="DM1514" s="334"/>
      <c r="DN1514" s="334"/>
      <c r="DO1514" s="334"/>
      <c r="DP1514" s="334"/>
      <c r="DQ1514" s="334"/>
      <c r="DR1514" s="334"/>
      <c r="DS1514" s="334"/>
      <c r="DT1514" s="334"/>
      <c r="DU1514" s="334"/>
      <c r="DV1514" s="334"/>
      <c r="DW1514" s="334"/>
      <c r="DX1514" s="334"/>
      <c r="DY1514" s="334"/>
      <c r="DZ1514" s="334"/>
      <c r="EA1514" s="334"/>
      <c r="EB1514" s="334"/>
      <c r="EC1514" s="334"/>
      <c r="ED1514" s="334"/>
      <c r="EE1514" s="334"/>
      <c r="EF1514" s="334"/>
      <c r="EG1514" s="334"/>
      <c r="EH1514" s="334"/>
      <c r="EI1514" s="334"/>
      <c r="EJ1514" s="334"/>
      <c r="EK1514" s="334"/>
      <c r="EL1514" s="334"/>
      <c r="EM1514" s="334"/>
      <c r="EN1514" s="334"/>
      <c r="EO1514" s="334"/>
      <c r="EP1514" s="334"/>
      <c r="EQ1514" s="334"/>
      <c r="ER1514" s="334"/>
      <c r="ES1514" s="334"/>
      <c r="ET1514" s="334"/>
      <c r="EU1514" s="334"/>
      <c r="EV1514" s="334"/>
      <c r="EW1514" s="334"/>
      <c r="EX1514" s="334"/>
      <c r="EY1514" s="334"/>
      <c r="EZ1514" s="334"/>
      <c r="FA1514" s="334"/>
      <c r="FB1514" s="334"/>
      <c r="FC1514" s="334"/>
      <c r="FD1514" s="334"/>
      <c r="FE1514" s="334"/>
      <c r="FF1514" s="334"/>
      <c r="FG1514" s="334"/>
      <c r="FH1514" s="334"/>
      <c r="FI1514" s="334"/>
      <c r="FJ1514" s="334"/>
      <c r="FK1514" s="334"/>
      <c r="FL1514" s="334"/>
      <c r="FM1514" s="334"/>
      <c r="FN1514" s="334"/>
      <c r="FO1514" s="334"/>
      <c r="FP1514" s="334"/>
      <c r="FQ1514" s="334"/>
      <c r="FR1514" s="334"/>
      <c r="FS1514" s="334"/>
      <c r="FT1514" s="334"/>
      <c r="FU1514" s="334"/>
      <c r="FV1514" s="334"/>
      <c r="FW1514" s="334"/>
      <c r="FX1514" s="334"/>
      <c r="FY1514" s="334"/>
      <c r="FZ1514" s="334"/>
      <c r="GA1514" s="334"/>
      <c r="GB1514" s="334"/>
      <c r="GC1514" s="334"/>
      <c r="GD1514" s="334"/>
      <c r="GE1514" s="334"/>
      <c r="GF1514" s="334"/>
      <c r="GG1514" s="334"/>
      <c r="GH1514" s="334"/>
      <c r="GI1514" s="334"/>
      <c r="GJ1514" s="334"/>
      <c r="GK1514" s="334"/>
      <c r="GL1514" s="334"/>
      <c r="GM1514" s="334"/>
      <c r="GN1514" s="334"/>
      <c r="GO1514" s="334"/>
      <c r="GP1514" s="334"/>
      <c r="GQ1514" s="334"/>
      <c r="GR1514" s="334"/>
      <c r="GS1514" s="334"/>
      <c r="GT1514" s="334"/>
      <c r="GU1514" s="334"/>
      <c r="GV1514" s="334"/>
      <c r="GW1514" s="334"/>
      <c r="GX1514" s="334"/>
      <c r="GY1514" s="334"/>
      <c r="GZ1514" s="334"/>
      <c r="HA1514" s="334"/>
      <c r="HB1514" s="334"/>
      <c r="HC1514" s="334"/>
      <c r="HD1514" s="334"/>
      <c r="HE1514" s="334"/>
      <c r="HF1514" s="334"/>
      <c r="HG1514" s="334"/>
      <c r="HH1514" s="334"/>
      <c r="HI1514" s="334"/>
      <c r="HJ1514" s="334"/>
      <c r="HK1514" s="334"/>
      <c r="HL1514" s="334"/>
      <c r="HM1514" s="334"/>
      <c r="HN1514" s="334"/>
      <c r="HO1514" s="334"/>
      <c r="HP1514" s="334"/>
      <c r="HQ1514" s="334"/>
      <c r="HR1514" s="334"/>
      <c r="HS1514" s="334"/>
      <c r="HT1514" s="334"/>
      <c r="HU1514" s="334"/>
      <c r="HV1514" s="334"/>
      <c r="HW1514" s="334"/>
      <c r="HX1514" s="334"/>
      <c r="HY1514" s="334"/>
      <c r="HZ1514" s="334"/>
      <c r="IA1514" s="334"/>
      <c r="IB1514" s="334"/>
      <c r="IC1514" s="334"/>
      <c r="ID1514" s="334"/>
      <c r="IE1514" s="334"/>
      <c r="IF1514" s="334"/>
      <c r="IG1514" s="334"/>
      <c r="IH1514" s="334"/>
      <c r="II1514" s="334"/>
      <c r="IJ1514" s="334"/>
      <c r="IK1514" s="334"/>
      <c r="IL1514" s="334"/>
      <c r="IM1514" s="334"/>
      <c r="IN1514" s="334"/>
      <c r="IO1514" s="334"/>
      <c r="IP1514" s="334"/>
      <c r="IQ1514" s="334"/>
      <c r="IR1514" s="334"/>
      <c r="IS1514" s="334"/>
      <c r="IT1514" s="334"/>
      <c r="IU1514" s="334"/>
      <c r="IV1514" s="334"/>
      <c r="IW1514" s="334"/>
      <c r="IX1514" s="334"/>
      <c r="IY1514" s="334"/>
      <c r="IZ1514" s="334"/>
      <c r="JA1514" s="334"/>
      <c r="JB1514" s="334"/>
      <c r="JC1514" s="334"/>
      <c r="JD1514" s="334"/>
      <c r="JE1514" s="334"/>
      <c r="JF1514" s="334"/>
      <c r="JG1514" s="334"/>
      <c r="JH1514" s="334"/>
      <c r="JI1514" s="334"/>
      <c r="JJ1514" s="334"/>
      <c r="JK1514" s="334"/>
      <c r="JL1514" s="334"/>
      <c r="JM1514" s="334"/>
      <c r="JN1514" s="334"/>
      <c r="JO1514" s="334"/>
      <c r="JP1514" s="334"/>
      <c r="JQ1514" s="334"/>
      <c r="JR1514" s="334"/>
      <c r="JS1514" s="334"/>
      <c r="JT1514" s="334"/>
      <c r="JU1514" s="334"/>
      <c r="JV1514" s="334"/>
      <c r="JW1514" s="334"/>
      <c r="JX1514" s="334"/>
      <c r="JY1514" s="334"/>
      <c r="JZ1514" s="334"/>
      <c r="KA1514" s="334"/>
      <c r="KB1514" s="334"/>
      <c r="KC1514" s="334"/>
      <c r="KD1514" s="334"/>
      <c r="KE1514" s="334"/>
      <c r="KF1514" s="334"/>
      <c r="KG1514" s="334"/>
      <c r="KH1514" s="334"/>
      <c r="KI1514" s="334"/>
      <c r="KJ1514" s="334"/>
      <c r="KK1514" s="334"/>
      <c r="KL1514" s="334"/>
      <c r="KM1514" s="334"/>
      <c r="KN1514" s="334"/>
      <c r="KO1514" s="334"/>
      <c r="KP1514" s="334"/>
      <c r="KQ1514" s="334"/>
      <c r="KR1514" s="334"/>
      <c r="KS1514" s="334"/>
      <c r="KT1514" s="334"/>
      <c r="KU1514" s="334"/>
      <c r="KV1514" s="334"/>
      <c r="KW1514" s="334"/>
      <c r="KX1514" s="334"/>
      <c r="KY1514" s="334"/>
      <c r="KZ1514" s="334"/>
      <c r="LA1514" s="334"/>
      <c r="LB1514" s="334"/>
      <c r="LC1514" s="334"/>
      <c r="LD1514" s="334"/>
      <c r="LE1514" s="334"/>
      <c r="LF1514" s="334"/>
      <c r="LG1514" s="334"/>
      <c r="LH1514" s="334"/>
      <c r="LI1514" s="334"/>
      <c r="LJ1514" s="334"/>
      <c r="LK1514" s="334"/>
      <c r="LL1514" s="334"/>
      <c r="LM1514" s="334"/>
      <c r="LN1514" s="334"/>
      <c r="LO1514" s="334"/>
      <c r="LP1514" s="334"/>
      <c r="LQ1514" s="334"/>
      <c r="LR1514" s="334"/>
      <c r="LS1514" s="334"/>
      <c r="LT1514" s="334"/>
      <c r="LU1514" s="334"/>
      <c r="LV1514" s="334"/>
      <c r="LW1514" s="334"/>
      <c r="LX1514" s="334"/>
      <c r="LY1514" s="334"/>
      <c r="LZ1514" s="334"/>
      <c r="MA1514" s="334"/>
      <c r="MB1514" s="334"/>
      <c r="MC1514" s="334"/>
      <c r="MD1514" s="334"/>
      <c r="ME1514" s="334"/>
      <c r="MF1514" s="334"/>
      <c r="MG1514" s="334"/>
      <c r="MH1514" s="334"/>
      <c r="MI1514" s="334"/>
      <c r="MJ1514" s="334"/>
      <c r="MK1514" s="334"/>
      <c r="ML1514" s="334"/>
      <c r="MM1514" s="334"/>
      <c r="MN1514" s="334"/>
      <c r="MO1514" s="334"/>
      <c r="MP1514" s="334"/>
      <c r="MQ1514" s="334"/>
      <c r="MR1514" s="334"/>
      <c r="MS1514" s="334"/>
      <c r="MT1514" s="334"/>
      <c r="MU1514" s="334"/>
      <c r="MV1514" s="334"/>
      <c r="MW1514" s="334"/>
      <c r="MX1514" s="334"/>
      <c r="MY1514" s="334"/>
      <c r="MZ1514" s="334"/>
      <c r="NA1514" s="334"/>
      <c r="NB1514" s="334"/>
      <c r="NC1514" s="334"/>
      <c r="ND1514" s="334"/>
      <c r="NE1514" s="334"/>
      <c r="NF1514" s="334"/>
      <c r="NG1514" s="334"/>
      <c r="NH1514" s="334"/>
      <c r="NI1514" s="334"/>
      <c r="NJ1514" s="334"/>
      <c r="NK1514" s="334"/>
      <c r="NL1514" s="334"/>
      <c r="NM1514" s="334"/>
      <c r="NN1514" s="334"/>
      <c r="NO1514" s="334"/>
      <c r="NP1514" s="334"/>
      <c r="NQ1514" s="334"/>
      <c r="NR1514" s="334"/>
      <c r="NS1514" s="334"/>
      <c r="NT1514" s="334"/>
      <c r="NU1514" s="334"/>
      <c r="NV1514" s="334"/>
      <c r="NW1514" s="334"/>
      <c r="NX1514" s="334"/>
      <c r="NY1514" s="334"/>
      <c r="NZ1514" s="334"/>
      <c r="OA1514" s="334"/>
      <c r="OB1514" s="334"/>
      <c r="OC1514" s="334"/>
      <c r="OD1514" s="334"/>
      <c r="OE1514" s="334"/>
      <c r="OF1514" s="334"/>
      <c r="OG1514" s="334"/>
      <c r="OH1514" s="334"/>
      <c r="OI1514" s="334"/>
      <c r="OJ1514" s="334"/>
      <c r="OK1514" s="334"/>
      <c r="OL1514" s="334"/>
      <c r="OM1514" s="334"/>
      <c r="ON1514" s="334"/>
      <c r="OO1514" s="334"/>
      <c r="OP1514" s="334"/>
      <c r="OQ1514" s="334"/>
      <c r="OR1514" s="334"/>
      <c r="OS1514" s="334"/>
      <c r="OT1514" s="334"/>
      <c r="OU1514" s="334"/>
      <c r="OV1514" s="334"/>
      <c r="OW1514" s="334"/>
      <c r="OX1514" s="334"/>
      <c r="OY1514" s="334"/>
      <c r="OZ1514" s="334"/>
      <c r="PA1514" s="334"/>
      <c r="PB1514" s="334"/>
      <c r="PC1514" s="334"/>
      <c r="PD1514" s="334"/>
      <c r="PE1514" s="334"/>
      <c r="PF1514" s="334"/>
      <c r="PG1514" s="334"/>
      <c r="PH1514" s="334"/>
      <c r="PI1514" s="334"/>
      <c r="PJ1514" s="334"/>
      <c r="PK1514" s="334"/>
      <c r="PL1514" s="334"/>
      <c r="PM1514" s="334"/>
      <c r="PN1514" s="334"/>
      <c r="PO1514" s="334"/>
      <c r="PP1514" s="334"/>
      <c r="PQ1514" s="334"/>
      <c r="PR1514" s="334"/>
      <c r="PS1514" s="334"/>
      <c r="PT1514" s="334"/>
      <c r="PU1514" s="334"/>
      <c r="PV1514" s="334"/>
      <c r="PW1514" s="334"/>
      <c r="PX1514" s="334"/>
      <c r="PY1514" s="334"/>
      <c r="PZ1514" s="334"/>
      <c r="QA1514" s="334"/>
      <c r="QB1514" s="334"/>
      <c r="QC1514" s="334"/>
      <c r="QD1514" s="334"/>
      <c r="QE1514" s="334"/>
      <c r="QF1514" s="334"/>
      <c r="QG1514" s="334"/>
      <c r="QH1514" s="334"/>
      <c r="QI1514" s="334"/>
      <c r="QJ1514" s="334"/>
      <c r="QK1514" s="334"/>
      <c r="QL1514" s="334"/>
      <c r="QM1514" s="334"/>
      <c r="QN1514" s="334"/>
      <c r="QO1514" s="334"/>
      <c r="QP1514" s="334"/>
      <c r="QQ1514" s="334"/>
      <c r="QR1514" s="334"/>
      <c r="QS1514" s="334"/>
      <c r="QT1514" s="334"/>
      <c r="QU1514" s="334"/>
      <c r="QV1514" s="334"/>
      <c r="QW1514" s="334"/>
      <c r="QX1514" s="334"/>
      <c r="QY1514" s="334"/>
      <c r="QZ1514" s="334"/>
      <c r="RA1514" s="334"/>
      <c r="RB1514" s="334"/>
      <c r="RC1514" s="334"/>
      <c r="RD1514" s="334"/>
      <c r="RE1514" s="334"/>
      <c r="RF1514" s="334"/>
      <c r="RG1514" s="334"/>
      <c r="RH1514" s="334"/>
      <c r="RI1514" s="334"/>
      <c r="RJ1514" s="334"/>
      <c r="RK1514" s="334"/>
      <c r="RL1514" s="334"/>
      <c r="RM1514" s="334"/>
      <c r="RN1514" s="334"/>
      <c r="RO1514" s="334"/>
      <c r="RP1514" s="334"/>
      <c r="RQ1514" s="334"/>
      <c r="RR1514" s="334"/>
      <c r="RS1514" s="334"/>
      <c r="RT1514" s="334"/>
      <c r="RU1514" s="334"/>
      <c r="RV1514" s="334"/>
      <c r="RW1514" s="334"/>
      <c r="RX1514" s="334"/>
      <c r="RY1514" s="334"/>
      <c r="RZ1514" s="334"/>
      <c r="SA1514" s="334"/>
      <c r="SB1514" s="334"/>
      <c r="SC1514" s="334"/>
      <c r="SD1514" s="334"/>
      <c r="SE1514" s="334"/>
      <c r="SF1514" s="334"/>
      <c r="SG1514" s="334"/>
      <c r="SH1514" s="334"/>
      <c r="SI1514" s="334"/>
      <c r="SJ1514" s="334"/>
      <c r="SK1514" s="334"/>
      <c r="SL1514" s="334"/>
      <c r="SM1514" s="334"/>
      <c r="SN1514" s="334"/>
      <c r="SO1514" s="334"/>
      <c r="SP1514" s="334"/>
      <c r="SQ1514" s="334"/>
      <c r="SR1514" s="334"/>
      <c r="SS1514" s="334"/>
      <c r="ST1514" s="334"/>
      <c r="SU1514" s="334"/>
      <c r="SV1514" s="334"/>
      <c r="SW1514" s="334"/>
      <c r="SX1514" s="334"/>
      <c r="SY1514" s="334"/>
      <c r="SZ1514" s="334"/>
      <c r="TA1514" s="334"/>
      <c r="TB1514" s="334"/>
      <c r="TC1514" s="334"/>
      <c r="TD1514" s="334"/>
      <c r="TE1514" s="334"/>
      <c r="TF1514" s="334"/>
      <c r="TG1514" s="334"/>
      <c r="TH1514" s="334"/>
      <c r="TI1514" s="334"/>
      <c r="TJ1514" s="334"/>
      <c r="TK1514" s="334"/>
      <c r="TL1514" s="334"/>
      <c r="TM1514" s="334"/>
      <c r="TN1514" s="334"/>
      <c r="TO1514" s="334"/>
      <c r="TP1514" s="334"/>
      <c r="TQ1514" s="334"/>
      <c r="TR1514" s="334"/>
      <c r="TS1514" s="334"/>
      <c r="TT1514" s="334"/>
      <c r="TU1514" s="334"/>
      <c r="TV1514" s="334"/>
      <c r="TW1514" s="334"/>
      <c r="TX1514" s="334"/>
      <c r="TY1514" s="334"/>
      <c r="TZ1514" s="334"/>
      <c r="UA1514" s="334"/>
      <c r="UB1514" s="334"/>
      <c r="UC1514" s="334"/>
      <c r="UD1514" s="334"/>
    </row>
    <row r="1515" spans="1:553" s="874" customFormat="1" ht="348.75" customHeight="1">
      <c r="A1515" s="924"/>
      <c r="B1515" s="1230"/>
      <c r="C1515" s="1227" t="s">
        <v>23</v>
      </c>
      <c r="D1515" s="470" t="s">
        <v>70</v>
      </c>
      <c r="E1515" s="470" t="s">
        <v>1340</v>
      </c>
      <c r="F1515" s="1230"/>
      <c r="G1515" s="501" t="s">
        <v>935</v>
      </c>
      <c r="H1515" s="930">
        <v>235.9</v>
      </c>
      <c r="I1515" s="931">
        <v>235.9</v>
      </c>
      <c r="J1515" s="1243">
        <v>62000</v>
      </c>
      <c r="K1515" s="809"/>
      <c r="L1515" s="1208">
        <f>ROUND(PRODUCT(I1515:K1515),0)</f>
        <v>14625800</v>
      </c>
      <c r="M1515" s="933"/>
      <c r="N1515" s="933"/>
      <c r="O1515" s="1226"/>
      <c r="P1515" s="1226"/>
      <c r="Q1515" s="765" t="s">
        <v>1341</v>
      </c>
      <c r="R1515" s="1226" t="s">
        <v>24</v>
      </c>
      <c r="S1515" s="486"/>
      <c r="T1515" s="486"/>
      <c r="U1515" s="486"/>
      <c r="V1515" s="486"/>
      <c r="W1515" s="1117">
        <f>I1515</f>
        <v>235.9</v>
      </c>
      <c r="X1515" s="486"/>
      <c r="Y1515" s="486"/>
      <c r="Z1515" s="486"/>
      <c r="AA1515" s="486"/>
      <c r="AB1515" s="486"/>
      <c r="AC1515" s="486"/>
      <c r="AD1515" s="486"/>
      <c r="AE1515" s="486"/>
      <c r="AF1515" s="486"/>
      <c r="AG1515" s="486"/>
      <c r="AH1515" s="486"/>
      <c r="AI1515" s="486"/>
      <c r="AJ1515" s="486"/>
      <c r="AK1515" s="486"/>
      <c r="AL1515" s="206"/>
      <c r="AM1515" s="206"/>
      <c r="AN1515" s="206"/>
      <c r="AO1515" s="206"/>
      <c r="AP1515" s="206"/>
      <c r="AQ1515" s="206"/>
      <c r="AR1515" s="206"/>
      <c r="AS1515" s="206"/>
      <c r="AT1515" s="206"/>
      <c r="AU1515" s="206"/>
      <c r="AV1515" s="206"/>
      <c r="AW1515" s="206"/>
      <c r="AX1515" s="206"/>
      <c r="AY1515" s="206"/>
      <c r="AZ1515" s="206"/>
      <c r="BA1515" s="206"/>
      <c r="BB1515" s="206"/>
      <c r="BC1515" s="206"/>
      <c r="BD1515" s="206"/>
      <c r="BE1515" s="206"/>
      <c r="BF1515" s="206"/>
      <c r="BG1515" s="206"/>
      <c r="BH1515" s="206"/>
      <c r="BI1515" s="206"/>
      <c r="BJ1515" s="206"/>
      <c r="BK1515" s="206"/>
      <c r="BL1515" s="206"/>
      <c r="BM1515" s="206"/>
      <c r="BN1515" s="206"/>
      <c r="BO1515" s="206"/>
      <c r="BP1515" s="206"/>
      <c r="BQ1515" s="206"/>
      <c r="BR1515" s="206"/>
      <c r="BS1515" s="206"/>
      <c r="BT1515" s="206"/>
      <c r="BU1515" s="206"/>
      <c r="BV1515" s="206"/>
      <c r="BW1515" s="206"/>
      <c r="BX1515" s="206"/>
      <c r="BY1515" s="206"/>
      <c r="BZ1515" s="206"/>
      <c r="CA1515" s="206"/>
      <c r="CB1515" s="206"/>
      <c r="CC1515" s="206"/>
      <c r="CD1515" s="206"/>
      <c r="CE1515" s="206"/>
      <c r="CF1515" s="206"/>
      <c r="CG1515" s="206"/>
      <c r="CH1515" s="206"/>
      <c r="CI1515" s="206"/>
      <c r="CJ1515" s="206"/>
      <c r="CK1515" s="206"/>
      <c r="CL1515" s="206"/>
      <c r="CM1515" s="206"/>
      <c r="CN1515" s="206"/>
      <c r="CO1515" s="206"/>
      <c r="CP1515" s="206"/>
      <c r="CQ1515" s="206"/>
      <c r="CR1515" s="206"/>
      <c r="CS1515" s="206"/>
      <c r="CT1515" s="206"/>
      <c r="CU1515" s="206"/>
      <c r="CV1515" s="206"/>
      <c r="CW1515" s="206"/>
      <c r="CX1515" s="206"/>
      <c r="CY1515" s="206"/>
      <c r="CZ1515" s="206"/>
      <c r="DA1515" s="206"/>
      <c r="DB1515" s="206"/>
      <c r="DC1515" s="206"/>
      <c r="DD1515" s="206"/>
      <c r="DE1515" s="206"/>
      <c r="DF1515" s="206"/>
      <c r="DG1515" s="206"/>
      <c r="DH1515" s="206"/>
      <c r="DI1515" s="206"/>
      <c r="DJ1515" s="206"/>
      <c r="DK1515" s="206"/>
      <c r="DL1515" s="206"/>
      <c r="DM1515" s="206"/>
      <c r="DN1515" s="206"/>
      <c r="DO1515" s="206"/>
      <c r="DP1515" s="206"/>
      <c r="DQ1515" s="206"/>
      <c r="DR1515" s="206"/>
      <c r="DS1515" s="206"/>
      <c r="DT1515" s="206"/>
      <c r="DU1515" s="206"/>
      <c r="DV1515" s="206"/>
      <c r="DW1515" s="206"/>
      <c r="DX1515" s="206"/>
      <c r="DY1515" s="206"/>
      <c r="DZ1515" s="206"/>
      <c r="EA1515" s="206"/>
      <c r="EB1515" s="206"/>
      <c r="EC1515" s="206"/>
      <c r="ED1515" s="206"/>
      <c r="EE1515" s="206"/>
      <c r="EF1515" s="206"/>
      <c r="EG1515" s="206"/>
      <c r="EH1515" s="206"/>
      <c r="EI1515" s="206"/>
      <c r="EJ1515" s="206"/>
      <c r="EK1515" s="206"/>
      <c r="EL1515" s="206"/>
      <c r="EM1515" s="206"/>
      <c r="EN1515" s="206"/>
      <c r="EO1515" s="206"/>
      <c r="EP1515" s="206"/>
      <c r="EQ1515" s="206"/>
      <c r="ER1515" s="206"/>
      <c r="ES1515" s="206"/>
      <c r="ET1515" s="206"/>
      <c r="EU1515" s="206"/>
      <c r="EV1515" s="206"/>
      <c r="EW1515" s="206"/>
      <c r="EX1515" s="206"/>
      <c r="EY1515" s="206"/>
      <c r="EZ1515" s="206"/>
      <c r="FA1515" s="206"/>
      <c r="FB1515" s="206"/>
      <c r="FC1515" s="206"/>
      <c r="FD1515" s="206"/>
      <c r="FE1515" s="206"/>
      <c r="FF1515" s="206"/>
      <c r="FG1515" s="206"/>
      <c r="FH1515" s="206"/>
      <c r="FI1515" s="206"/>
      <c r="FJ1515" s="206"/>
      <c r="FK1515" s="206"/>
      <c r="FL1515" s="206"/>
      <c r="FM1515" s="206"/>
      <c r="FN1515" s="206"/>
      <c r="FO1515" s="206"/>
      <c r="FP1515" s="206"/>
      <c r="FQ1515" s="206"/>
      <c r="FR1515" s="206"/>
      <c r="FS1515" s="206"/>
      <c r="FT1515" s="206"/>
      <c r="FU1515" s="206"/>
      <c r="FV1515" s="206"/>
      <c r="FW1515" s="206"/>
      <c r="FX1515" s="206"/>
      <c r="FY1515" s="206"/>
      <c r="FZ1515" s="206"/>
      <c r="GA1515" s="206"/>
      <c r="GB1515" s="206"/>
      <c r="GC1515" s="206"/>
      <c r="GD1515" s="206"/>
      <c r="GE1515" s="206"/>
      <c r="GF1515" s="206"/>
      <c r="GG1515" s="206"/>
      <c r="GH1515" s="206"/>
      <c r="GI1515" s="206"/>
      <c r="GJ1515" s="206"/>
      <c r="GK1515" s="206"/>
      <c r="GL1515" s="206"/>
      <c r="GM1515" s="206"/>
      <c r="GN1515" s="206"/>
      <c r="GO1515" s="206"/>
      <c r="GP1515" s="206"/>
      <c r="GQ1515" s="206"/>
      <c r="GR1515" s="206"/>
      <c r="GS1515" s="206"/>
      <c r="GT1515" s="206"/>
      <c r="GU1515" s="206"/>
      <c r="GV1515" s="206"/>
      <c r="GW1515" s="206"/>
      <c r="GX1515" s="206"/>
      <c r="GY1515" s="206"/>
      <c r="GZ1515" s="206"/>
      <c r="HA1515" s="206"/>
      <c r="HB1515" s="206"/>
      <c r="HC1515" s="206"/>
      <c r="HD1515" s="206"/>
      <c r="HE1515" s="206"/>
      <c r="HF1515" s="206"/>
      <c r="HG1515" s="206"/>
      <c r="HH1515" s="206"/>
      <c r="HI1515" s="206"/>
      <c r="HJ1515" s="206"/>
      <c r="HK1515" s="206"/>
      <c r="HL1515" s="206"/>
      <c r="HM1515" s="206"/>
      <c r="HN1515" s="206"/>
      <c r="HO1515" s="206"/>
      <c r="HP1515" s="206"/>
      <c r="HQ1515" s="206"/>
      <c r="HR1515" s="206"/>
      <c r="HS1515" s="206"/>
      <c r="HT1515" s="206"/>
      <c r="HU1515" s="206"/>
      <c r="HV1515" s="206"/>
      <c r="HW1515" s="206"/>
      <c r="HX1515" s="206"/>
      <c r="HY1515" s="206"/>
      <c r="HZ1515" s="206"/>
      <c r="IA1515" s="206"/>
      <c r="IB1515" s="206"/>
      <c r="IC1515" s="206"/>
      <c r="ID1515" s="206"/>
      <c r="IE1515" s="206"/>
      <c r="IF1515" s="206"/>
      <c r="IG1515" s="206"/>
      <c r="IH1515" s="206"/>
      <c r="II1515" s="206"/>
      <c r="IJ1515" s="206"/>
      <c r="IK1515" s="206"/>
      <c r="IL1515" s="206"/>
      <c r="IM1515" s="206"/>
      <c r="IN1515" s="206"/>
      <c r="IO1515" s="206"/>
      <c r="IP1515" s="206"/>
      <c r="IQ1515" s="206"/>
      <c r="IR1515" s="206"/>
      <c r="IS1515" s="206"/>
      <c r="IT1515" s="206"/>
      <c r="IU1515" s="206"/>
      <c r="IV1515" s="206"/>
      <c r="IW1515" s="206"/>
      <c r="IX1515" s="206"/>
      <c r="IY1515" s="206"/>
      <c r="IZ1515" s="206"/>
      <c r="JA1515" s="206"/>
      <c r="JB1515" s="206"/>
      <c r="JC1515" s="206"/>
      <c r="JD1515" s="206"/>
      <c r="JE1515" s="206"/>
      <c r="JF1515" s="206"/>
      <c r="JG1515" s="206"/>
      <c r="JH1515" s="206"/>
      <c r="JI1515" s="206"/>
      <c r="JJ1515" s="206"/>
      <c r="JK1515" s="206"/>
      <c r="JL1515" s="206"/>
      <c r="JM1515" s="206"/>
      <c r="JN1515" s="206"/>
      <c r="JO1515" s="206"/>
      <c r="JP1515" s="206"/>
      <c r="JQ1515" s="206"/>
      <c r="JR1515" s="206"/>
      <c r="JS1515" s="206"/>
      <c r="JT1515" s="206"/>
      <c r="JU1515" s="206"/>
      <c r="JV1515" s="206"/>
      <c r="JW1515" s="206"/>
      <c r="JX1515" s="206"/>
      <c r="JY1515" s="206"/>
      <c r="JZ1515" s="206"/>
      <c r="KA1515" s="206"/>
      <c r="KB1515" s="206"/>
      <c r="KC1515" s="206"/>
      <c r="KD1515" s="206"/>
      <c r="KE1515" s="206"/>
      <c r="KF1515" s="206"/>
      <c r="KG1515" s="206"/>
      <c r="KH1515" s="206"/>
      <c r="KI1515" s="206"/>
      <c r="KJ1515" s="206"/>
      <c r="KK1515" s="206"/>
      <c r="KL1515" s="206"/>
      <c r="KM1515" s="206"/>
      <c r="KN1515" s="206"/>
      <c r="KO1515" s="206"/>
      <c r="KP1515" s="206"/>
      <c r="KQ1515" s="206"/>
      <c r="KR1515" s="206"/>
      <c r="KS1515" s="206"/>
      <c r="KT1515" s="206"/>
      <c r="KU1515" s="206"/>
      <c r="KV1515" s="206"/>
      <c r="KW1515" s="206"/>
      <c r="KX1515" s="206"/>
      <c r="KY1515" s="206"/>
      <c r="KZ1515" s="206"/>
      <c r="LA1515" s="206"/>
      <c r="LB1515" s="206"/>
      <c r="LC1515" s="206"/>
      <c r="LD1515" s="206"/>
      <c r="LE1515" s="206"/>
      <c r="LF1515" s="206"/>
      <c r="LG1515" s="206"/>
      <c r="LH1515" s="206"/>
      <c r="LI1515" s="206"/>
      <c r="LJ1515" s="206"/>
      <c r="LK1515" s="206"/>
      <c r="LL1515" s="206"/>
      <c r="LM1515" s="206"/>
      <c r="LN1515" s="206"/>
      <c r="LO1515" s="206"/>
      <c r="LP1515" s="206"/>
      <c r="LQ1515" s="206"/>
      <c r="LR1515" s="206"/>
      <c r="LS1515" s="206"/>
      <c r="LT1515" s="206"/>
      <c r="LU1515" s="206"/>
      <c r="LV1515" s="206"/>
      <c r="LW1515" s="206"/>
      <c r="LX1515" s="206"/>
      <c r="LY1515" s="206"/>
      <c r="LZ1515" s="206"/>
      <c r="MA1515" s="206"/>
      <c r="MB1515" s="206"/>
      <c r="MC1515" s="206"/>
      <c r="MD1515" s="206"/>
      <c r="ME1515" s="206"/>
      <c r="MF1515" s="206"/>
      <c r="MG1515" s="206"/>
      <c r="MH1515" s="206"/>
      <c r="MI1515" s="206"/>
      <c r="MJ1515" s="206"/>
      <c r="MK1515" s="206"/>
      <c r="ML1515" s="206"/>
      <c r="MM1515" s="206"/>
      <c r="MN1515" s="206"/>
      <c r="MO1515" s="206"/>
      <c r="MP1515" s="206"/>
      <c r="MQ1515" s="206"/>
      <c r="MR1515" s="206"/>
      <c r="MS1515" s="206"/>
      <c r="MT1515" s="206"/>
      <c r="MU1515" s="206"/>
      <c r="MV1515" s="206"/>
      <c r="MW1515" s="206"/>
      <c r="MX1515" s="206"/>
      <c r="MY1515" s="206"/>
      <c r="MZ1515" s="206"/>
      <c r="NA1515" s="206"/>
      <c r="NB1515" s="206"/>
      <c r="NC1515" s="206"/>
      <c r="ND1515" s="206"/>
      <c r="NE1515" s="206"/>
      <c r="NF1515" s="206"/>
      <c r="NG1515" s="206"/>
      <c r="NH1515" s="206"/>
      <c r="NI1515" s="206"/>
      <c r="NJ1515" s="206"/>
      <c r="NK1515" s="206"/>
      <c r="NL1515" s="206"/>
      <c r="NM1515" s="206"/>
      <c r="NN1515" s="206"/>
      <c r="NO1515" s="206"/>
      <c r="NP1515" s="206"/>
      <c r="NQ1515" s="206"/>
      <c r="NR1515" s="206"/>
      <c r="NS1515" s="206"/>
      <c r="NT1515" s="206"/>
      <c r="NU1515" s="206"/>
      <c r="NV1515" s="206"/>
      <c r="NW1515" s="206"/>
      <c r="NX1515" s="206"/>
      <c r="NY1515" s="206"/>
      <c r="NZ1515" s="206"/>
      <c r="OA1515" s="206"/>
      <c r="OB1515" s="206"/>
      <c r="OC1515" s="206"/>
      <c r="OD1515" s="206"/>
      <c r="OE1515" s="206"/>
      <c r="OF1515" s="206"/>
      <c r="OG1515" s="206"/>
      <c r="OH1515" s="206"/>
      <c r="OI1515" s="206"/>
      <c r="OJ1515" s="206"/>
      <c r="OK1515" s="206"/>
      <c r="OL1515" s="206"/>
      <c r="OM1515" s="206"/>
      <c r="ON1515" s="206"/>
      <c r="OO1515" s="206"/>
      <c r="OP1515" s="206"/>
      <c r="OQ1515" s="206"/>
      <c r="OR1515" s="206"/>
      <c r="OS1515" s="206"/>
      <c r="OT1515" s="206"/>
      <c r="OU1515" s="206"/>
      <c r="OV1515" s="206"/>
      <c r="OW1515" s="206"/>
      <c r="OX1515" s="206"/>
      <c r="OY1515" s="206"/>
      <c r="OZ1515" s="206"/>
      <c r="PA1515" s="206"/>
      <c r="PB1515" s="206"/>
      <c r="PC1515" s="206"/>
      <c r="PD1515" s="206"/>
      <c r="PE1515" s="206"/>
      <c r="PF1515" s="206"/>
      <c r="PG1515" s="206"/>
      <c r="PH1515" s="206"/>
      <c r="PI1515" s="206"/>
      <c r="PJ1515" s="206"/>
      <c r="PK1515" s="206"/>
      <c r="PL1515" s="206"/>
      <c r="PM1515" s="206"/>
      <c r="PN1515" s="206"/>
      <c r="PO1515" s="206"/>
      <c r="PP1515" s="206"/>
      <c r="PQ1515" s="206"/>
      <c r="PR1515" s="206"/>
      <c r="PS1515" s="206"/>
      <c r="PT1515" s="206"/>
      <c r="PU1515" s="206"/>
      <c r="PV1515" s="206"/>
      <c r="PW1515" s="206"/>
      <c r="PX1515" s="206"/>
      <c r="PY1515" s="206"/>
      <c r="PZ1515" s="206"/>
      <c r="QA1515" s="206"/>
      <c r="QB1515" s="206"/>
      <c r="QC1515" s="206"/>
      <c r="QD1515" s="206"/>
      <c r="QE1515" s="206"/>
      <c r="QF1515" s="206"/>
      <c r="QG1515" s="206"/>
      <c r="QH1515" s="206"/>
      <c r="QI1515" s="206"/>
      <c r="QJ1515" s="206"/>
      <c r="QK1515" s="206"/>
      <c r="QL1515" s="206"/>
      <c r="QM1515" s="206"/>
      <c r="QN1515" s="206"/>
      <c r="QO1515" s="206"/>
      <c r="QP1515" s="206"/>
      <c r="QQ1515" s="206"/>
      <c r="QR1515" s="206"/>
      <c r="QS1515" s="206"/>
      <c r="QT1515" s="206"/>
      <c r="QU1515" s="206"/>
      <c r="QV1515" s="206"/>
      <c r="QW1515" s="206"/>
      <c r="QX1515" s="206"/>
      <c r="QY1515" s="206"/>
      <c r="QZ1515" s="206"/>
      <c r="RA1515" s="206"/>
      <c r="RB1515" s="206"/>
      <c r="RC1515" s="206"/>
      <c r="RD1515" s="206"/>
      <c r="RE1515" s="206"/>
      <c r="RF1515" s="206"/>
      <c r="RG1515" s="206"/>
      <c r="RH1515" s="206"/>
      <c r="RI1515" s="206"/>
      <c r="RJ1515" s="206"/>
      <c r="RK1515" s="206"/>
      <c r="RL1515" s="206"/>
      <c r="RM1515" s="206"/>
      <c r="RN1515" s="206"/>
      <c r="RO1515" s="206"/>
      <c r="RP1515" s="206"/>
      <c r="RQ1515" s="206"/>
      <c r="RR1515" s="206"/>
      <c r="RS1515" s="206"/>
      <c r="RT1515" s="206"/>
      <c r="RU1515" s="206"/>
      <c r="RV1515" s="206"/>
      <c r="RW1515" s="206"/>
      <c r="RX1515" s="206"/>
      <c r="RY1515" s="206"/>
      <c r="RZ1515" s="206"/>
      <c r="SA1515" s="206"/>
      <c r="SB1515" s="206"/>
      <c r="SC1515" s="206"/>
      <c r="SD1515" s="206"/>
      <c r="SE1515" s="206"/>
      <c r="SF1515" s="206"/>
      <c r="SG1515" s="206"/>
      <c r="SH1515" s="206"/>
      <c r="SI1515" s="206"/>
      <c r="SJ1515" s="206"/>
      <c r="SK1515" s="206"/>
      <c r="SL1515" s="206"/>
      <c r="SM1515" s="206"/>
      <c r="SN1515" s="206"/>
      <c r="SO1515" s="206"/>
      <c r="SP1515" s="206"/>
      <c r="SQ1515" s="206"/>
      <c r="SR1515" s="206"/>
      <c r="SS1515" s="206"/>
      <c r="ST1515" s="206"/>
      <c r="SU1515" s="206"/>
      <c r="SV1515" s="206"/>
      <c r="SW1515" s="206"/>
      <c r="SX1515" s="206"/>
      <c r="SY1515" s="206"/>
      <c r="SZ1515" s="206"/>
      <c r="TA1515" s="206"/>
      <c r="TB1515" s="206"/>
      <c r="TC1515" s="206"/>
      <c r="TD1515" s="206"/>
      <c r="TE1515" s="206"/>
      <c r="TF1515" s="206"/>
      <c r="TG1515" s="206"/>
      <c r="TH1515" s="206"/>
      <c r="TI1515" s="206"/>
      <c r="TJ1515" s="206"/>
      <c r="TK1515" s="206"/>
      <c r="TL1515" s="206"/>
      <c r="TM1515" s="206"/>
      <c r="TN1515" s="206"/>
      <c r="TO1515" s="206"/>
      <c r="TP1515" s="206"/>
      <c r="TQ1515" s="206"/>
      <c r="TR1515" s="206"/>
      <c r="TS1515" s="206"/>
      <c r="TT1515" s="206"/>
      <c r="TU1515" s="206"/>
      <c r="TV1515" s="206"/>
      <c r="TW1515" s="206"/>
      <c r="TX1515" s="206"/>
      <c r="TY1515" s="206"/>
      <c r="TZ1515" s="206"/>
      <c r="UA1515" s="206"/>
      <c r="UB1515" s="206"/>
      <c r="UC1515" s="206"/>
      <c r="UD1515" s="206"/>
    </row>
    <row r="1516" spans="1:553" s="874" customFormat="1" ht="34.15" customHeight="1">
      <c r="A1516" s="924" t="s">
        <v>27</v>
      </c>
      <c r="B1516" s="1230"/>
      <c r="C1516" s="1227" t="s">
        <v>1342</v>
      </c>
      <c r="D1516" s="470"/>
      <c r="E1516" s="470"/>
      <c r="F1516" s="1230"/>
      <c r="G1516" s="501"/>
      <c r="H1516" s="930"/>
      <c r="I1516" s="931"/>
      <c r="J1516" s="1243">
        <v>0</v>
      </c>
      <c r="K1516" s="809"/>
      <c r="L1516" s="1208">
        <v>0</v>
      </c>
      <c r="M1516" s="933"/>
      <c r="N1516" s="933"/>
      <c r="O1516" s="1226"/>
      <c r="P1516" s="1226"/>
      <c r="Q1516" s="765"/>
      <c r="R1516" s="1226"/>
      <c r="S1516" s="486"/>
      <c r="T1516" s="486"/>
      <c r="U1516" s="486"/>
      <c r="V1516" s="486"/>
      <c r="W1516" s="486"/>
      <c r="X1516" s="486"/>
      <c r="Y1516" s="486"/>
      <c r="Z1516" s="486"/>
      <c r="AA1516" s="486"/>
      <c r="AB1516" s="486"/>
      <c r="AC1516" s="486"/>
      <c r="AD1516" s="486"/>
      <c r="AE1516" s="486"/>
      <c r="AF1516" s="486"/>
      <c r="AG1516" s="486"/>
      <c r="AH1516" s="486"/>
      <c r="AI1516" s="486"/>
      <c r="AJ1516" s="486"/>
      <c r="AK1516" s="486"/>
      <c r="AL1516" s="206"/>
      <c r="AM1516" s="206"/>
      <c r="AN1516" s="206"/>
      <c r="AO1516" s="206"/>
      <c r="AP1516" s="206"/>
      <c r="AQ1516" s="206"/>
      <c r="AR1516" s="206"/>
      <c r="AS1516" s="206"/>
      <c r="AT1516" s="206"/>
      <c r="AU1516" s="206"/>
      <c r="AV1516" s="206"/>
      <c r="AW1516" s="206"/>
      <c r="AX1516" s="206"/>
      <c r="AY1516" s="206"/>
      <c r="AZ1516" s="206"/>
      <c r="BA1516" s="206"/>
      <c r="BB1516" s="206"/>
      <c r="BC1516" s="206"/>
      <c r="BD1516" s="206"/>
      <c r="BE1516" s="206"/>
      <c r="BF1516" s="206"/>
      <c r="BG1516" s="206"/>
      <c r="BH1516" s="206"/>
      <c r="BI1516" s="206"/>
      <c r="BJ1516" s="206"/>
      <c r="BK1516" s="206"/>
      <c r="BL1516" s="206"/>
      <c r="BM1516" s="206"/>
      <c r="BN1516" s="206"/>
      <c r="BO1516" s="206"/>
      <c r="BP1516" s="206"/>
      <c r="BQ1516" s="206"/>
      <c r="BR1516" s="206"/>
      <c r="BS1516" s="206"/>
      <c r="BT1516" s="206"/>
      <c r="BU1516" s="206"/>
      <c r="BV1516" s="206"/>
      <c r="BW1516" s="206"/>
      <c r="BX1516" s="206"/>
      <c r="BY1516" s="206"/>
      <c r="BZ1516" s="206"/>
      <c r="CA1516" s="206"/>
      <c r="CB1516" s="206"/>
      <c r="CC1516" s="206"/>
      <c r="CD1516" s="206"/>
      <c r="CE1516" s="206"/>
      <c r="CF1516" s="206"/>
      <c r="CG1516" s="206"/>
      <c r="CH1516" s="206"/>
      <c r="CI1516" s="206"/>
      <c r="CJ1516" s="206"/>
      <c r="CK1516" s="206"/>
      <c r="CL1516" s="206"/>
      <c r="CM1516" s="206"/>
      <c r="CN1516" s="206"/>
      <c r="CO1516" s="206"/>
      <c r="CP1516" s="206"/>
      <c r="CQ1516" s="206"/>
      <c r="CR1516" s="206"/>
      <c r="CS1516" s="206"/>
      <c r="CT1516" s="206"/>
      <c r="CU1516" s="206"/>
      <c r="CV1516" s="206"/>
      <c r="CW1516" s="206"/>
      <c r="CX1516" s="206"/>
      <c r="CY1516" s="206"/>
      <c r="CZ1516" s="206"/>
      <c r="DA1516" s="206"/>
      <c r="DB1516" s="206"/>
      <c r="DC1516" s="206"/>
      <c r="DD1516" s="206"/>
      <c r="DE1516" s="206"/>
      <c r="DF1516" s="206"/>
      <c r="DG1516" s="206"/>
      <c r="DH1516" s="206"/>
      <c r="DI1516" s="206"/>
      <c r="DJ1516" s="206"/>
      <c r="DK1516" s="206"/>
      <c r="DL1516" s="206"/>
      <c r="DM1516" s="206"/>
      <c r="DN1516" s="206"/>
      <c r="DO1516" s="206"/>
      <c r="DP1516" s="206"/>
      <c r="DQ1516" s="206"/>
      <c r="DR1516" s="206"/>
      <c r="DS1516" s="206"/>
      <c r="DT1516" s="206"/>
      <c r="DU1516" s="206"/>
      <c r="DV1516" s="206"/>
      <c r="DW1516" s="206"/>
      <c r="DX1516" s="206"/>
      <c r="DY1516" s="206"/>
      <c r="DZ1516" s="206"/>
      <c r="EA1516" s="206"/>
      <c r="EB1516" s="206"/>
      <c r="EC1516" s="206"/>
      <c r="ED1516" s="206"/>
      <c r="EE1516" s="206"/>
      <c r="EF1516" s="206"/>
      <c r="EG1516" s="206"/>
      <c r="EH1516" s="206"/>
      <c r="EI1516" s="206"/>
      <c r="EJ1516" s="206"/>
      <c r="EK1516" s="206"/>
      <c r="EL1516" s="206"/>
      <c r="EM1516" s="206"/>
      <c r="EN1516" s="206"/>
      <c r="EO1516" s="206"/>
      <c r="EP1516" s="206"/>
      <c r="EQ1516" s="206"/>
      <c r="ER1516" s="206"/>
      <c r="ES1516" s="206"/>
      <c r="ET1516" s="206"/>
      <c r="EU1516" s="206"/>
      <c r="EV1516" s="206"/>
      <c r="EW1516" s="206"/>
      <c r="EX1516" s="206"/>
      <c r="EY1516" s="206"/>
      <c r="EZ1516" s="206"/>
      <c r="FA1516" s="206"/>
      <c r="FB1516" s="206"/>
      <c r="FC1516" s="206"/>
      <c r="FD1516" s="206"/>
      <c r="FE1516" s="206"/>
      <c r="FF1516" s="206"/>
      <c r="FG1516" s="206"/>
      <c r="FH1516" s="206"/>
      <c r="FI1516" s="206"/>
      <c r="FJ1516" s="206"/>
      <c r="FK1516" s="206"/>
      <c r="FL1516" s="206"/>
      <c r="FM1516" s="206"/>
      <c r="FN1516" s="206"/>
      <c r="FO1516" s="206"/>
      <c r="FP1516" s="206"/>
      <c r="FQ1516" s="206"/>
      <c r="FR1516" s="206"/>
      <c r="FS1516" s="206"/>
      <c r="FT1516" s="206"/>
      <c r="FU1516" s="206"/>
      <c r="FV1516" s="206"/>
      <c r="FW1516" s="206"/>
      <c r="FX1516" s="206"/>
      <c r="FY1516" s="206"/>
      <c r="FZ1516" s="206"/>
      <c r="GA1516" s="206"/>
      <c r="GB1516" s="206"/>
      <c r="GC1516" s="206"/>
      <c r="GD1516" s="206"/>
      <c r="GE1516" s="206"/>
      <c r="GF1516" s="206"/>
      <c r="GG1516" s="206"/>
      <c r="GH1516" s="206"/>
      <c r="GI1516" s="206"/>
      <c r="GJ1516" s="206"/>
      <c r="GK1516" s="206"/>
      <c r="GL1516" s="206"/>
      <c r="GM1516" s="206"/>
      <c r="GN1516" s="206"/>
      <c r="GO1516" s="206"/>
      <c r="GP1516" s="206"/>
      <c r="GQ1516" s="206"/>
      <c r="GR1516" s="206"/>
      <c r="GS1516" s="206"/>
      <c r="GT1516" s="206"/>
      <c r="GU1516" s="206"/>
      <c r="GV1516" s="206"/>
      <c r="GW1516" s="206"/>
      <c r="GX1516" s="206"/>
      <c r="GY1516" s="206"/>
      <c r="GZ1516" s="206"/>
      <c r="HA1516" s="206"/>
      <c r="HB1516" s="206"/>
      <c r="HC1516" s="206"/>
      <c r="HD1516" s="206"/>
      <c r="HE1516" s="206"/>
      <c r="HF1516" s="206"/>
      <c r="HG1516" s="206"/>
      <c r="HH1516" s="206"/>
      <c r="HI1516" s="206"/>
      <c r="HJ1516" s="206"/>
      <c r="HK1516" s="206"/>
      <c r="HL1516" s="206"/>
      <c r="HM1516" s="206"/>
      <c r="HN1516" s="206"/>
      <c r="HO1516" s="206"/>
      <c r="HP1516" s="206"/>
      <c r="HQ1516" s="206"/>
      <c r="HR1516" s="206"/>
      <c r="HS1516" s="206"/>
      <c r="HT1516" s="206"/>
      <c r="HU1516" s="206"/>
      <c r="HV1516" s="206"/>
      <c r="HW1516" s="206"/>
      <c r="HX1516" s="206"/>
      <c r="HY1516" s="206"/>
      <c r="HZ1516" s="206"/>
      <c r="IA1516" s="206"/>
      <c r="IB1516" s="206"/>
      <c r="IC1516" s="206"/>
      <c r="ID1516" s="206"/>
      <c r="IE1516" s="206"/>
      <c r="IF1516" s="206"/>
      <c r="IG1516" s="206"/>
      <c r="IH1516" s="206"/>
      <c r="II1516" s="206"/>
      <c r="IJ1516" s="206"/>
      <c r="IK1516" s="206"/>
      <c r="IL1516" s="206"/>
      <c r="IM1516" s="206"/>
      <c r="IN1516" s="206"/>
      <c r="IO1516" s="206"/>
      <c r="IP1516" s="206"/>
      <c r="IQ1516" s="206"/>
      <c r="IR1516" s="206"/>
      <c r="IS1516" s="206"/>
      <c r="IT1516" s="206"/>
      <c r="IU1516" s="206"/>
      <c r="IV1516" s="206"/>
      <c r="IW1516" s="206"/>
      <c r="IX1516" s="206"/>
      <c r="IY1516" s="206"/>
      <c r="IZ1516" s="206"/>
      <c r="JA1516" s="206"/>
      <c r="JB1516" s="206"/>
      <c r="JC1516" s="206"/>
      <c r="JD1516" s="206"/>
      <c r="JE1516" s="206"/>
      <c r="JF1516" s="206"/>
      <c r="JG1516" s="206"/>
      <c r="JH1516" s="206"/>
      <c r="JI1516" s="206"/>
      <c r="JJ1516" s="206"/>
      <c r="JK1516" s="206"/>
      <c r="JL1516" s="206"/>
      <c r="JM1516" s="206"/>
      <c r="JN1516" s="206"/>
      <c r="JO1516" s="206"/>
      <c r="JP1516" s="206"/>
      <c r="JQ1516" s="206"/>
      <c r="JR1516" s="206"/>
      <c r="JS1516" s="206"/>
      <c r="JT1516" s="206"/>
      <c r="JU1516" s="206"/>
      <c r="JV1516" s="206"/>
      <c r="JW1516" s="206"/>
      <c r="JX1516" s="206"/>
      <c r="JY1516" s="206"/>
      <c r="JZ1516" s="206"/>
      <c r="KA1516" s="206"/>
      <c r="KB1516" s="206"/>
      <c r="KC1516" s="206"/>
      <c r="KD1516" s="206"/>
      <c r="KE1516" s="206"/>
      <c r="KF1516" s="206"/>
      <c r="KG1516" s="206"/>
      <c r="KH1516" s="206"/>
      <c r="KI1516" s="206"/>
      <c r="KJ1516" s="206"/>
      <c r="KK1516" s="206"/>
      <c r="KL1516" s="206"/>
      <c r="KM1516" s="206"/>
      <c r="KN1516" s="206"/>
      <c r="KO1516" s="206"/>
      <c r="KP1516" s="206"/>
      <c r="KQ1516" s="206"/>
      <c r="KR1516" s="206"/>
      <c r="KS1516" s="206"/>
      <c r="KT1516" s="206"/>
      <c r="KU1516" s="206"/>
      <c r="KV1516" s="206"/>
      <c r="KW1516" s="206"/>
      <c r="KX1516" s="206"/>
      <c r="KY1516" s="206"/>
      <c r="KZ1516" s="206"/>
      <c r="LA1516" s="206"/>
      <c r="LB1516" s="206"/>
      <c r="LC1516" s="206"/>
      <c r="LD1516" s="206"/>
      <c r="LE1516" s="206"/>
      <c r="LF1516" s="206"/>
      <c r="LG1516" s="206"/>
      <c r="LH1516" s="206"/>
      <c r="LI1516" s="206"/>
      <c r="LJ1516" s="206"/>
      <c r="LK1516" s="206"/>
      <c r="LL1516" s="206"/>
      <c r="LM1516" s="206"/>
      <c r="LN1516" s="206"/>
      <c r="LO1516" s="206"/>
      <c r="LP1516" s="206"/>
      <c r="LQ1516" s="206"/>
      <c r="LR1516" s="206"/>
      <c r="LS1516" s="206"/>
      <c r="LT1516" s="206"/>
      <c r="LU1516" s="206"/>
      <c r="LV1516" s="206"/>
      <c r="LW1516" s="206"/>
      <c r="LX1516" s="206"/>
      <c r="LY1516" s="206"/>
      <c r="LZ1516" s="206"/>
      <c r="MA1516" s="206"/>
      <c r="MB1516" s="206"/>
      <c r="MC1516" s="206"/>
      <c r="MD1516" s="206"/>
      <c r="ME1516" s="206"/>
      <c r="MF1516" s="206"/>
      <c r="MG1516" s="206"/>
      <c r="MH1516" s="206"/>
      <c r="MI1516" s="206"/>
      <c r="MJ1516" s="206"/>
      <c r="MK1516" s="206"/>
      <c r="ML1516" s="206"/>
      <c r="MM1516" s="206"/>
      <c r="MN1516" s="206"/>
      <c r="MO1516" s="206"/>
      <c r="MP1516" s="206"/>
      <c r="MQ1516" s="206"/>
      <c r="MR1516" s="206"/>
      <c r="MS1516" s="206"/>
      <c r="MT1516" s="206"/>
      <c r="MU1516" s="206"/>
      <c r="MV1516" s="206"/>
      <c r="MW1516" s="206"/>
      <c r="MX1516" s="206"/>
      <c r="MY1516" s="206"/>
      <c r="MZ1516" s="206"/>
      <c r="NA1516" s="206"/>
      <c r="NB1516" s="206"/>
      <c r="NC1516" s="206"/>
      <c r="ND1516" s="206"/>
      <c r="NE1516" s="206"/>
      <c r="NF1516" s="206"/>
      <c r="NG1516" s="206"/>
      <c r="NH1516" s="206"/>
      <c r="NI1516" s="206"/>
      <c r="NJ1516" s="206"/>
      <c r="NK1516" s="206"/>
      <c r="NL1516" s="206"/>
      <c r="NM1516" s="206"/>
      <c r="NN1516" s="206"/>
      <c r="NO1516" s="206"/>
      <c r="NP1516" s="206"/>
      <c r="NQ1516" s="206"/>
      <c r="NR1516" s="206"/>
      <c r="NS1516" s="206"/>
      <c r="NT1516" s="206"/>
      <c r="NU1516" s="206"/>
      <c r="NV1516" s="206"/>
      <c r="NW1516" s="206"/>
      <c r="NX1516" s="206"/>
      <c r="NY1516" s="206"/>
      <c r="NZ1516" s="206"/>
      <c r="OA1516" s="206"/>
      <c r="OB1516" s="206"/>
      <c r="OC1516" s="206"/>
      <c r="OD1516" s="206"/>
      <c r="OE1516" s="206"/>
      <c r="OF1516" s="206"/>
      <c r="OG1516" s="206"/>
      <c r="OH1516" s="206"/>
      <c r="OI1516" s="206"/>
      <c r="OJ1516" s="206"/>
      <c r="OK1516" s="206"/>
      <c r="OL1516" s="206"/>
      <c r="OM1516" s="206"/>
      <c r="ON1516" s="206"/>
      <c r="OO1516" s="206"/>
      <c r="OP1516" s="206"/>
      <c r="OQ1516" s="206"/>
      <c r="OR1516" s="206"/>
      <c r="OS1516" s="206"/>
      <c r="OT1516" s="206"/>
      <c r="OU1516" s="206"/>
      <c r="OV1516" s="206"/>
      <c r="OW1516" s="206"/>
      <c r="OX1516" s="206"/>
      <c r="OY1516" s="206"/>
      <c r="OZ1516" s="206"/>
      <c r="PA1516" s="206"/>
      <c r="PB1516" s="206"/>
      <c r="PC1516" s="206"/>
      <c r="PD1516" s="206"/>
      <c r="PE1516" s="206"/>
      <c r="PF1516" s="206"/>
      <c r="PG1516" s="206"/>
      <c r="PH1516" s="206"/>
      <c r="PI1516" s="206"/>
      <c r="PJ1516" s="206"/>
      <c r="PK1516" s="206"/>
      <c r="PL1516" s="206"/>
      <c r="PM1516" s="206"/>
      <c r="PN1516" s="206"/>
      <c r="PO1516" s="206"/>
      <c r="PP1516" s="206"/>
      <c r="PQ1516" s="206"/>
      <c r="PR1516" s="206"/>
      <c r="PS1516" s="206"/>
      <c r="PT1516" s="206"/>
      <c r="PU1516" s="206"/>
      <c r="PV1516" s="206"/>
      <c r="PW1516" s="206"/>
      <c r="PX1516" s="206"/>
      <c r="PY1516" s="206"/>
      <c r="PZ1516" s="206"/>
      <c r="QA1516" s="206"/>
      <c r="QB1516" s="206"/>
      <c r="QC1516" s="206"/>
      <c r="QD1516" s="206"/>
      <c r="QE1516" s="206"/>
      <c r="QF1516" s="206"/>
      <c r="QG1516" s="206"/>
      <c r="QH1516" s="206"/>
      <c r="QI1516" s="206"/>
      <c r="QJ1516" s="206"/>
      <c r="QK1516" s="206"/>
      <c r="QL1516" s="206"/>
      <c r="QM1516" s="206"/>
      <c r="QN1516" s="206"/>
      <c r="QO1516" s="206"/>
      <c r="QP1516" s="206"/>
      <c r="QQ1516" s="206"/>
      <c r="QR1516" s="206"/>
      <c r="QS1516" s="206"/>
      <c r="QT1516" s="206"/>
      <c r="QU1516" s="206"/>
      <c r="QV1516" s="206"/>
      <c r="QW1516" s="206"/>
      <c r="QX1516" s="206"/>
      <c r="QY1516" s="206"/>
      <c r="QZ1516" s="206"/>
      <c r="RA1516" s="206"/>
      <c r="RB1516" s="206"/>
      <c r="RC1516" s="206"/>
      <c r="RD1516" s="206"/>
      <c r="RE1516" s="206"/>
      <c r="RF1516" s="206"/>
      <c r="RG1516" s="206"/>
      <c r="RH1516" s="206"/>
      <c r="RI1516" s="206"/>
      <c r="RJ1516" s="206"/>
      <c r="RK1516" s="206"/>
      <c r="RL1516" s="206"/>
      <c r="RM1516" s="206"/>
      <c r="RN1516" s="206"/>
      <c r="RO1516" s="206"/>
      <c r="RP1516" s="206"/>
      <c r="RQ1516" s="206"/>
      <c r="RR1516" s="206"/>
      <c r="RS1516" s="206"/>
      <c r="RT1516" s="206"/>
      <c r="RU1516" s="206"/>
      <c r="RV1516" s="206"/>
      <c r="RW1516" s="206"/>
      <c r="RX1516" s="206"/>
      <c r="RY1516" s="206"/>
      <c r="RZ1516" s="206"/>
      <c r="SA1516" s="206"/>
      <c r="SB1516" s="206"/>
      <c r="SC1516" s="206"/>
      <c r="SD1516" s="206"/>
      <c r="SE1516" s="206"/>
      <c r="SF1516" s="206"/>
      <c r="SG1516" s="206"/>
      <c r="SH1516" s="206"/>
      <c r="SI1516" s="206"/>
      <c r="SJ1516" s="206"/>
      <c r="SK1516" s="206"/>
      <c r="SL1516" s="206"/>
      <c r="SM1516" s="206"/>
      <c r="SN1516" s="206"/>
      <c r="SO1516" s="206"/>
      <c r="SP1516" s="206"/>
      <c r="SQ1516" s="206"/>
      <c r="SR1516" s="206"/>
      <c r="SS1516" s="206"/>
      <c r="ST1516" s="206"/>
      <c r="SU1516" s="206"/>
      <c r="SV1516" s="206"/>
      <c r="SW1516" s="206"/>
      <c r="SX1516" s="206"/>
      <c r="SY1516" s="206"/>
      <c r="SZ1516" s="206"/>
      <c r="TA1516" s="206"/>
      <c r="TB1516" s="206"/>
      <c r="TC1516" s="206"/>
      <c r="TD1516" s="206"/>
      <c r="TE1516" s="206"/>
      <c r="TF1516" s="206"/>
      <c r="TG1516" s="206"/>
      <c r="TH1516" s="206"/>
      <c r="TI1516" s="206"/>
      <c r="TJ1516" s="206"/>
      <c r="TK1516" s="206"/>
      <c r="TL1516" s="206"/>
      <c r="TM1516" s="206"/>
      <c r="TN1516" s="206"/>
      <c r="TO1516" s="206"/>
      <c r="TP1516" s="206"/>
      <c r="TQ1516" s="206"/>
      <c r="TR1516" s="206"/>
      <c r="TS1516" s="206"/>
      <c r="TT1516" s="206"/>
      <c r="TU1516" s="206"/>
      <c r="TV1516" s="206"/>
      <c r="TW1516" s="206"/>
      <c r="TX1516" s="206"/>
      <c r="TY1516" s="206"/>
      <c r="TZ1516" s="206"/>
      <c r="UA1516" s="206"/>
      <c r="UB1516" s="206"/>
      <c r="UC1516" s="206"/>
      <c r="UD1516" s="206"/>
    </row>
    <row r="1517" spans="1:553" s="874" customFormat="1" ht="34.15" customHeight="1">
      <c r="A1517" s="924" t="s">
        <v>43</v>
      </c>
      <c r="B1517" s="411"/>
      <c r="C1517" s="1636" t="s">
        <v>44</v>
      </c>
      <c r="D1517" s="1452"/>
      <c r="E1517" s="1452"/>
      <c r="F1517" s="1452"/>
      <c r="G1517" s="1226"/>
      <c r="H1517" s="925"/>
      <c r="I1517" s="502"/>
      <c r="J1517" s="1243">
        <v>0</v>
      </c>
      <c r="K1517" s="809"/>
      <c r="L1517" s="411"/>
      <c r="M1517" s="411"/>
      <c r="N1517" s="411"/>
      <c r="O1517" s="411"/>
      <c r="P1517" s="411"/>
      <c r="Q1517" s="1174"/>
      <c r="R1517" s="1226"/>
      <c r="S1517" s="486"/>
      <c r="T1517" s="486"/>
      <c r="U1517" s="486"/>
      <c r="V1517" s="486"/>
      <c r="W1517" s="486"/>
      <c r="X1517" s="486"/>
      <c r="Y1517" s="486"/>
      <c r="Z1517" s="486"/>
      <c r="AA1517" s="486"/>
      <c r="AB1517" s="486"/>
      <c r="AC1517" s="486"/>
      <c r="AD1517" s="486"/>
      <c r="AE1517" s="486"/>
      <c r="AF1517" s="486"/>
      <c r="AG1517" s="486"/>
      <c r="AH1517" s="486"/>
      <c r="AI1517" s="486"/>
      <c r="AJ1517" s="486"/>
      <c r="AK1517" s="486"/>
      <c r="AL1517" s="206"/>
      <c r="AM1517" s="206"/>
      <c r="AN1517" s="206"/>
      <c r="AO1517" s="206"/>
      <c r="AP1517" s="206"/>
      <c r="AQ1517" s="206"/>
      <c r="AR1517" s="206"/>
      <c r="AS1517" s="206"/>
      <c r="AT1517" s="206"/>
      <c r="AU1517" s="206"/>
      <c r="AV1517" s="206"/>
      <c r="AW1517" s="206"/>
      <c r="AX1517" s="206"/>
      <c r="AY1517" s="206"/>
      <c r="AZ1517" s="206"/>
      <c r="BA1517" s="206"/>
      <c r="BB1517" s="206"/>
      <c r="BC1517" s="206"/>
      <c r="BD1517" s="206"/>
      <c r="BE1517" s="206"/>
      <c r="BF1517" s="206"/>
      <c r="BG1517" s="206"/>
      <c r="BH1517" s="206"/>
      <c r="BI1517" s="206"/>
      <c r="BJ1517" s="206"/>
      <c r="BK1517" s="206"/>
      <c r="BL1517" s="206"/>
      <c r="BM1517" s="206"/>
      <c r="BN1517" s="206"/>
      <c r="BO1517" s="206"/>
      <c r="BP1517" s="206"/>
      <c r="BQ1517" s="206"/>
      <c r="BR1517" s="206"/>
      <c r="BS1517" s="206"/>
      <c r="BT1517" s="206"/>
      <c r="BU1517" s="206"/>
      <c r="BV1517" s="206"/>
      <c r="BW1517" s="206"/>
      <c r="BX1517" s="206"/>
      <c r="BY1517" s="206"/>
      <c r="BZ1517" s="206"/>
      <c r="CA1517" s="206"/>
      <c r="CB1517" s="206"/>
      <c r="CC1517" s="206"/>
      <c r="CD1517" s="206"/>
      <c r="CE1517" s="206"/>
      <c r="CF1517" s="206"/>
      <c r="CG1517" s="206"/>
      <c r="CH1517" s="206"/>
      <c r="CI1517" s="206"/>
      <c r="CJ1517" s="206"/>
      <c r="CK1517" s="206"/>
      <c r="CL1517" s="206"/>
      <c r="CM1517" s="206"/>
      <c r="CN1517" s="206"/>
      <c r="CO1517" s="206"/>
      <c r="CP1517" s="206"/>
      <c r="CQ1517" s="206"/>
      <c r="CR1517" s="206"/>
      <c r="CS1517" s="206"/>
      <c r="CT1517" s="206"/>
      <c r="CU1517" s="206"/>
      <c r="CV1517" s="206"/>
      <c r="CW1517" s="206"/>
      <c r="CX1517" s="206"/>
      <c r="CY1517" s="206"/>
      <c r="CZ1517" s="206"/>
      <c r="DA1517" s="206"/>
      <c r="DB1517" s="206"/>
      <c r="DC1517" s="206"/>
      <c r="DD1517" s="206"/>
      <c r="DE1517" s="206"/>
      <c r="DF1517" s="206"/>
      <c r="DG1517" s="206"/>
      <c r="DH1517" s="206"/>
      <c r="DI1517" s="206"/>
      <c r="DJ1517" s="206"/>
      <c r="DK1517" s="206"/>
      <c r="DL1517" s="206"/>
      <c r="DM1517" s="206"/>
      <c r="DN1517" s="206"/>
      <c r="DO1517" s="206"/>
      <c r="DP1517" s="206"/>
      <c r="DQ1517" s="206"/>
      <c r="DR1517" s="206"/>
      <c r="DS1517" s="206"/>
      <c r="DT1517" s="206"/>
      <c r="DU1517" s="206"/>
      <c r="DV1517" s="206"/>
      <c r="DW1517" s="206"/>
      <c r="DX1517" s="206"/>
      <c r="DY1517" s="206"/>
      <c r="DZ1517" s="206"/>
      <c r="EA1517" s="206"/>
      <c r="EB1517" s="206"/>
      <c r="EC1517" s="206"/>
      <c r="ED1517" s="206"/>
      <c r="EE1517" s="206"/>
      <c r="EF1517" s="206"/>
      <c r="EG1517" s="206"/>
      <c r="EH1517" s="206"/>
      <c r="EI1517" s="206"/>
      <c r="EJ1517" s="206"/>
      <c r="EK1517" s="206"/>
      <c r="EL1517" s="206"/>
      <c r="EM1517" s="206"/>
      <c r="EN1517" s="206"/>
      <c r="EO1517" s="206"/>
      <c r="EP1517" s="206"/>
      <c r="EQ1517" s="206"/>
      <c r="ER1517" s="206"/>
      <c r="ES1517" s="206"/>
      <c r="ET1517" s="206"/>
      <c r="EU1517" s="206"/>
      <c r="EV1517" s="206"/>
      <c r="EW1517" s="206"/>
      <c r="EX1517" s="206"/>
      <c r="EY1517" s="206"/>
      <c r="EZ1517" s="206"/>
      <c r="FA1517" s="206"/>
      <c r="FB1517" s="206"/>
      <c r="FC1517" s="206"/>
      <c r="FD1517" s="206"/>
      <c r="FE1517" s="206"/>
      <c r="FF1517" s="206"/>
      <c r="FG1517" s="206"/>
      <c r="FH1517" s="206"/>
      <c r="FI1517" s="206"/>
      <c r="FJ1517" s="206"/>
      <c r="FK1517" s="206"/>
      <c r="FL1517" s="206"/>
      <c r="FM1517" s="206"/>
      <c r="FN1517" s="206"/>
      <c r="FO1517" s="206"/>
      <c r="FP1517" s="206"/>
      <c r="FQ1517" s="206"/>
      <c r="FR1517" s="206"/>
      <c r="FS1517" s="206"/>
      <c r="FT1517" s="206"/>
      <c r="FU1517" s="206"/>
      <c r="FV1517" s="206"/>
      <c r="FW1517" s="206"/>
      <c r="FX1517" s="206"/>
      <c r="FY1517" s="206"/>
      <c r="FZ1517" s="206"/>
      <c r="GA1517" s="206"/>
      <c r="GB1517" s="206"/>
      <c r="GC1517" s="206"/>
      <c r="GD1517" s="206"/>
      <c r="GE1517" s="206"/>
      <c r="GF1517" s="206"/>
      <c r="GG1517" s="206"/>
      <c r="GH1517" s="206"/>
      <c r="GI1517" s="206"/>
      <c r="GJ1517" s="206"/>
      <c r="GK1517" s="206"/>
      <c r="GL1517" s="206"/>
      <c r="GM1517" s="206"/>
      <c r="GN1517" s="206"/>
      <c r="GO1517" s="206"/>
      <c r="GP1517" s="206"/>
      <c r="GQ1517" s="206"/>
      <c r="GR1517" s="206"/>
      <c r="GS1517" s="206"/>
      <c r="GT1517" s="206"/>
      <c r="GU1517" s="206"/>
      <c r="GV1517" s="206"/>
      <c r="GW1517" s="206"/>
      <c r="GX1517" s="206"/>
      <c r="GY1517" s="206"/>
      <c r="GZ1517" s="206"/>
      <c r="HA1517" s="206"/>
      <c r="HB1517" s="206"/>
      <c r="HC1517" s="206"/>
      <c r="HD1517" s="206"/>
      <c r="HE1517" s="206"/>
      <c r="HF1517" s="206"/>
      <c r="HG1517" s="206"/>
      <c r="HH1517" s="206"/>
      <c r="HI1517" s="206"/>
      <c r="HJ1517" s="206"/>
      <c r="HK1517" s="206"/>
      <c r="HL1517" s="206"/>
      <c r="HM1517" s="206"/>
      <c r="HN1517" s="206"/>
      <c r="HO1517" s="206"/>
      <c r="HP1517" s="206"/>
      <c r="HQ1517" s="206"/>
      <c r="HR1517" s="206"/>
      <c r="HS1517" s="206"/>
      <c r="HT1517" s="206"/>
      <c r="HU1517" s="206"/>
      <c r="HV1517" s="206"/>
      <c r="HW1517" s="206"/>
      <c r="HX1517" s="206"/>
      <c r="HY1517" s="206"/>
      <c r="HZ1517" s="206"/>
      <c r="IA1517" s="206"/>
      <c r="IB1517" s="206"/>
      <c r="IC1517" s="206"/>
      <c r="ID1517" s="206"/>
      <c r="IE1517" s="206"/>
      <c r="IF1517" s="206"/>
      <c r="IG1517" s="206"/>
      <c r="IH1517" s="206"/>
      <c r="II1517" s="206"/>
      <c r="IJ1517" s="206"/>
      <c r="IK1517" s="206"/>
      <c r="IL1517" s="206"/>
      <c r="IM1517" s="206"/>
      <c r="IN1517" s="206"/>
      <c r="IO1517" s="206"/>
      <c r="IP1517" s="206"/>
      <c r="IQ1517" s="206"/>
      <c r="IR1517" s="206"/>
      <c r="IS1517" s="206"/>
      <c r="IT1517" s="206"/>
      <c r="IU1517" s="206"/>
      <c r="IV1517" s="206"/>
      <c r="IW1517" s="206"/>
      <c r="IX1517" s="206"/>
      <c r="IY1517" s="206"/>
      <c r="IZ1517" s="206"/>
      <c r="JA1517" s="206"/>
      <c r="JB1517" s="206"/>
      <c r="JC1517" s="206"/>
      <c r="JD1517" s="206"/>
      <c r="JE1517" s="206"/>
      <c r="JF1517" s="206"/>
      <c r="JG1517" s="206"/>
      <c r="JH1517" s="206"/>
      <c r="JI1517" s="206"/>
      <c r="JJ1517" s="206"/>
      <c r="JK1517" s="206"/>
      <c r="JL1517" s="206"/>
      <c r="JM1517" s="206"/>
      <c r="JN1517" s="206"/>
      <c r="JO1517" s="206"/>
      <c r="JP1517" s="206"/>
      <c r="JQ1517" s="206"/>
      <c r="JR1517" s="206"/>
      <c r="JS1517" s="206"/>
      <c r="JT1517" s="206"/>
      <c r="JU1517" s="206"/>
      <c r="JV1517" s="206"/>
      <c r="JW1517" s="206"/>
      <c r="JX1517" s="206"/>
      <c r="JY1517" s="206"/>
      <c r="JZ1517" s="206"/>
      <c r="KA1517" s="206"/>
      <c r="KB1517" s="206"/>
      <c r="KC1517" s="206"/>
      <c r="KD1517" s="206"/>
      <c r="KE1517" s="206"/>
      <c r="KF1517" s="206"/>
      <c r="KG1517" s="206"/>
      <c r="KH1517" s="206"/>
      <c r="KI1517" s="206"/>
      <c r="KJ1517" s="206"/>
      <c r="KK1517" s="206"/>
      <c r="KL1517" s="206"/>
      <c r="KM1517" s="206"/>
      <c r="KN1517" s="206"/>
      <c r="KO1517" s="206"/>
      <c r="KP1517" s="206"/>
      <c r="KQ1517" s="206"/>
      <c r="KR1517" s="206"/>
      <c r="KS1517" s="206"/>
      <c r="KT1517" s="206"/>
      <c r="KU1517" s="206"/>
      <c r="KV1517" s="206"/>
      <c r="KW1517" s="206"/>
      <c r="KX1517" s="206"/>
      <c r="KY1517" s="206"/>
      <c r="KZ1517" s="206"/>
      <c r="LA1517" s="206"/>
      <c r="LB1517" s="206"/>
      <c r="LC1517" s="206"/>
      <c r="LD1517" s="206"/>
      <c r="LE1517" s="206"/>
      <c r="LF1517" s="206"/>
      <c r="LG1517" s="206"/>
      <c r="LH1517" s="206"/>
      <c r="LI1517" s="206"/>
      <c r="LJ1517" s="206"/>
      <c r="LK1517" s="206"/>
      <c r="LL1517" s="206"/>
      <c r="LM1517" s="206"/>
      <c r="LN1517" s="206"/>
      <c r="LO1517" s="206"/>
      <c r="LP1517" s="206"/>
      <c r="LQ1517" s="206"/>
      <c r="LR1517" s="206"/>
      <c r="LS1517" s="206"/>
      <c r="LT1517" s="206"/>
      <c r="LU1517" s="206"/>
      <c r="LV1517" s="206"/>
      <c r="LW1517" s="206"/>
      <c r="LX1517" s="206"/>
      <c r="LY1517" s="206"/>
      <c r="LZ1517" s="206"/>
      <c r="MA1517" s="206"/>
      <c r="MB1517" s="206"/>
      <c r="MC1517" s="206"/>
      <c r="MD1517" s="206"/>
      <c r="ME1517" s="206"/>
      <c r="MF1517" s="206"/>
      <c r="MG1517" s="206"/>
      <c r="MH1517" s="206"/>
      <c r="MI1517" s="206"/>
      <c r="MJ1517" s="206"/>
      <c r="MK1517" s="206"/>
      <c r="ML1517" s="206"/>
      <c r="MM1517" s="206"/>
      <c r="MN1517" s="206"/>
      <c r="MO1517" s="206"/>
      <c r="MP1517" s="206"/>
      <c r="MQ1517" s="206"/>
      <c r="MR1517" s="206"/>
      <c r="MS1517" s="206"/>
      <c r="MT1517" s="206"/>
      <c r="MU1517" s="206"/>
      <c r="MV1517" s="206"/>
      <c r="MW1517" s="206"/>
      <c r="MX1517" s="206"/>
      <c r="MY1517" s="206"/>
      <c r="MZ1517" s="206"/>
      <c r="NA1517" s="206"/>
      <c r="NB1517" s="206"/>
      <c r="NC1517" s="206"/>
      <c r="ND1517" s="206"/>
      <c r="NE1517" s="206"/>
      <c r="NF1517" s="206"/>
      <c r="NG1517" s="206"/>
      <c r="NH1517" s="206"/>
      <c r="NI1517" s="206"/>
      <c r="NJ1517" s="206"/>
      <c r="NK1517" s="206"/>
      <c r="NL1517" s="206"/>
      <c r="NM1517" s="206"/>
      <c r="NN1517" s="206"/>
      <c r="NO1517" s="206"/>
      <c r="NP1517" s="206"/>
      <c r="NQ1517" s="206"/>
      <c r="NR1517" s="206"/>
      <c r="NS1517" s="206"/>
      <c r="NT1517" s="206"/>
      <c r="NU1517" s="206"/>
      <c r="NV1517" s="206"/>
      <c r="NW1517" s="206"/>
      <c r="NX1517" s="206"/>
      <c r="NY1517" s="206"/>
      <c r="NZ1517" s="206"/>
      <c r="OA1517" s="206"/>
      <c r="OB1517" s="206"/>
      <c r="OC1517" s="206"/>
      <c r="OD1517" s="206"/>
      <c r="OE1517" s="206"/>
      <c r="OF1517" s="206"/>
      <c r="OG1517" s="206"/>
      <c r="OH1517" s="206"/>
      <c r="OI1517" s="206"/>
      <c r="OJ1517" s="206"/>
      <c r="OK1517" s="206"/>
      <c r="OL1517" s="206"/>
      <c r="OM1517" s="206"/>
      <c r="ON1517" s="206"/>
      <c r="OO1517" s="206"/>
      <c r="OP1517" s="206"/>
      <c r="OQ1517" s="206"/>
      <c r="OR1517" s="206"/>
      <c r="OS1517" s="206"/>
      <c r="OT1517" s="206"/>
      <c r="OU1517" s="206"/>
      <c r="OV1517" s="206"/>
      <c r="OW1517" s="206"/>
      <c r="OX1517" s="206"/>
      <c r="OY1517" s="206"/>
      <c r="OZ1517" s="206"/>
      <c r="PA1517" s="206"/>
      <c r="PB1517" s="206"/>
      <c r="PC1517" s="206"/>
      <c r="PD1517" s="206"/>
      <c r="PE1517" s="206"/>
      <c r="PF1517" s="206"/>
      <c r="PG1517" s="206"/>
      <c r="PH1517" s="206"/>
      <c r="PI1517" s="206"/>
      <c r="PJ1517" s="206"/>
      <c r="PK1517" s="206"/>
      <c r="PL1517" s="206"/>
      <c r="PM1517" s="206"/>
      <c r="PN1517" s="206"/>
      <c r="PO1517" s="206"/>
      <c r="PP1517" s="206"/>
      <c r="PQ1517" s="206"/>
      <c r="PR1517" s="206"/>
      <c r="PS1517" s="206"/>
      <c r="PT1517" s="206"/>
      <c r="PU1517" s="206"/>
      <c r="PV1517" s="206"/>
      <c r="PW1517" s="206"/>
      <c r="PX1517" s="206"/>
      <c r="PY1517" s="206"/>
      <c r="PZ1517" s="206"/>
      <c r="QA1517" s="206"/>
      <c r="QB1517" s="206"/>
      <c r="QC1517" s="206"/>
      <c r="QD1517" s="206"/>
      <c r="QE1517" s="206"/>
      <c r="QF1517" s="206"/>
      <c r="QG1517" s="206"/>
      <c r="QH1517" s="206"/>
      <c r="QI1517" s="206"/>
      <c r="QJ1517" s="206"/>
      <c r="QK1517" s="206"/>
      <c r="QL1517" s="206"/>
      <c r="QM1517" s="206"/>
      <c r="QN1517" s="206"/>
      <c r="QO1517" s="206"/>
      <c r="QP1517" s="206"/>
      <c r="QQ1517" s="206"/>
      <c r="QR1517" s="206"/>
      <c r="QS1517" s="206"/>
      <c r="QT1517" s="206"/>
      <c r="QU1517" s="206"/>
      <c r="QV1517" s="206"/>
      <c r="QW1517" s="206"/>
      <c r="QX1517" s="206"/>
      <c r="QY1517" s="206"/>
      <c r="QZ1517" s="206"/>
      <c r="RA1517" s="206"/>
      <c r="RB1517" s="206"/>
      <c r="RC1517" s="206"/>
      <c r="RD1517" s="206"/>
      <c r="RE1517" s="206"/>
      <c r="RF1517" s="206"/>
      <c r="RG1517" s="206"/>
      <c r="RH1517" s="206"/>
      <c r="RI1517" s="206"/>
      <c r="RJ1517" s="206"/>
      <c r="RK1517" s="206"/>
      <c r="RL1517" s="206"/>
      <c r="RM1517" s="206"/>
      <c r="RN1517" s="206"/>
      <c r="RO1517" s="206"/>
      <c r="RP1517" s="206"/>
      <c r="RQ1517" s="206"/>
      <c r="RR1517" s="206"/>
      <c r="RS1517" s="206"/>
      <c r="RT1517" s="206"/>
      <c r="RU1517" s="206"/>
      <c r="RV1517" s="206"/>
      <c r="RW1517" s="206"/>
      <c r="RX1517" s="206"/>
      <c r="RY1517" s="206"/>
      <c r="RZ1517" s="206"/>
      <c r="SA1517" s="206"/>
      <c r="SB1517" s="206"/>
      <c r="SC1517" s="206"/>
      <c r="SD1517" s="206"/>
      <c r="SE1517" s="206"/>
      <c r="SF1517" s="206"/>
      <c r="SG1517" s="206"/>
      <c r="SH1517" s="206"/>
      <c r="SI1517" s="206"/>
      <c r="SJ1517" s="206"/>
      <c r="SK1517" s="206"/>
      <c r="SL1517" s="206"/>
      <c r="SM1517" s="206"/>
      <c r="SN1517" s="206"/>
      <c r="SO1517" s="206"/>
      <c r="SP1517" s="206"/>
      <c r="SQ1517" s="206"/>
      <c r="SR1517" s="206"/>
      <c r="SS1517" s="206"/>
      <c r="ST1517" s="206"/>
      <c r="SU1517" s="206"/>
      <c r="SV1517" s="206"/>
      <c r="SW1517" s="206"/>
      <c r="SX1517" s="206"/>
      <c r="SY1517" s="206"/>
      <c r="SZ1517" s="206"/>
      <c r="TA1517" s="206"/>
      <c r="TB1517" s="206"/>
      <c r="TC1517" s="206"/>
      <c r="TD1517" s="206"/>
      <c r="TE1517" s="206"/>
      <c r="TF1517" s="206"/>
      <c r="TG1517" s="206"/>
      <c r="TH1517" s="206"/>
      <c r="TI1517" s="206"/>
      <c r="TJ1517" s="206"/>
      <c r="TK1517" s="206"/>
      <c r="TL1517" s="206"/>
      <c r="TM1517" s="206"/>
      <c r="TN1517" s="206"/>
      <c r="TO1517" s="206"/>
      <c r="TP1517" s="206"/>
      <c r="TQ1517" s="206"/>
      <c r="TR1517" s="206"/>
      <c r="TS1517" s="206"/>
      <c r="TT1517" s="206"/>
      <c r="TU1517" s="206"/>
      <c r="TV1517" s="206"/>
      <c r="TW1517" s="206"/>
      <c r="TX1517" s="206"/>
      <c r="TY1517" s="206"/>
      <c r="TZ1517" s="206"/>
      <c r="UA1517" s="206"/>
      <c r="UB1517" s="206"/>
      <c r="UC1517" s="206"/>
      <c r="UD1517" s="206"/>
    </row>
    <row r="1518" spans="1:553" s="874" customFormat="1" ht="33.75" customHeight="1">
      <c r="A1518" s="924" t="s">
        <v>53</v>
      </c>
      <c r="B1518" s="411"/>
      <c r="C1518" s="1636" t="s">
        <v>59</v>
      </c>
      <c r="D1518" s="1452"/>
      <c r="E1518" s="1452"/>
      <c r="F1518" s="1452"/>
      <c r="G1518" s="1226"/>
      <c r="H1518" s="925"/>
      <c r="I1518" s="502"/>
      <c r="J1518" s="1243"/>
      <c r="K1518" s="809"/>
      <c r="L1518" s="411">
        <f>SUM(L1519:L1523)</f>
        <v>156760100</v>
      </c>
      <c r="M1518" s="411"/>
      <c r="N1518" s="411"/>
      <c r="O1518" s="411"/>
      <c r="P1518" s="411">
        <f>L1518</f>
        <v>156760100</v>
      </c>
      <c r="Q1518" s="1174"/>
      <c r="R1518" s="1447" t="s">
        <v>928</v>
      </c>
      <c r="S1518" s="486"/>
      <c r="T1518" s="486"/>
      <c r="U1518" s="486"/>
      <c r="V1518" s="486"/>
      <c r="W1518" s="486"/>
      <c r="X1518" s="486"/>
      <c r="Y1518" s="486"/>
      <c r="Z1518" s="486"/>
      <c r="AA1518" s="486"/>
      <c r="AB1518" s="486"/>
      <c r="AC1518" s="486"/>
      <c r="AD1518" s="486"/>
      <c r="AE1518" s="486"/>
      <c r="AF1518" s="486"/>
      <c r="AG1518" s="486"/>
      <c r="AH1518" s="486"/>
      <c r="AI1518" s="486"/>
      <c r="AJ1518" s="486"/>
      <c r="AK1518" s="486"/>
      <c r="AL1518" s="206"/>
      <c r="AM1518" s="206"/>
      <c r="AN1518" s="206"/>
      <c r="AO1518" s="206"/>
      <c r="AP1518" s="206"/>
      <c r="AQ1518" s="206"/>
      <c r="AR1518" s="206"/>
      <c r="AS1518" s="206"/>
      <c r="AT1518" s="206"/>
      <c r="AU1518" s="206"/>
      <c r="AV1518" s="206"/>
      <c r="AW1518" s="206"/>
      <c r="AX1518" s="206"/>
      <c r="AY1518" s="206"/>
      <c r="AZ1518" s="206"/>
      <c r="BA1518" s="206"/>
      <c r="BB1518" s="206"/>
      <c r="BC1518" s="206"/>
      <c r="BD1518" s="206"/>
      <c r="BE1518" s="206"/>
      <c r="BF1518" s="206"/>
      <c r="BG1518" s="206"/>
      <c r="BH1518" s="206"/>
      <c r="BI1518" s="206"/>
      <c r="BJ1518" s="206"/>
      <c r="BK1518" s="206"/>
      <c r="BL1518" s="206"/>
      <c r="BM1518" s="206"/>
      <c r="BN1518" s="206"/>
      <c r="BO1518" s="206"/>
      <c r="BP1518" s="206"/>
      <c r="BQ1518" s="206"/>
      <c r="BR1518" s="206"/>
      <c r="BS1518" s="206"/>
      <c r="BT1518" s="206"/>
      <c r="BU1518" s="206"/>
      <c r="BV1518" s="206"/>
      <c r="BW1518" s="206"/>
      <c r="BX1518" s="206"/>
      <c r="BY1518" s="206"/>
      <c r="BZ1518" s="206"/>
      <c r="CA1518" s="206"/>
      <c r="CB1518" s="206"/>
      <c r="CC1518" s="206"/>
      <c r="CD1518" s="206"/>
      <c r="CE1518" s="206"/>
      <c r="CF1518" s="206"/>
      <c r="CG1518" s="206"/>
      <c r="CH1518" s="206"/>
      <c r="CI1518" s="206"/>
      <c r="CJ1518" s="206"/>
      <c r="CK1518" s="206"/>
      <c r="CL1518" s="206"/>
      <c r="CM1518" s="206"/>
      <c r="CN1518" s="206"/>
      <c r="CO1518" s="206"/>
      <c r="CP1518" s="206"/>
      <c r="CQ1518" s="206"/>
      <c r="CR1518" s="206"/>
      <c r="CS1518" s="206"/>
      <c r="CT1518" s="206"/>
      <c r="CU1518" s="206"/>
      <c r="CV1518" s="206"/>
      <c r="CW1518" s="206"/>
      <c r="CX1518" s="206"/>
      <c r="CY1518" s="206"/>
      <c r="CZ1518" s="206"/>
      <c r="DA1518" s="206"/>
      <c r="DB1518" s="206"/>
      <c r="DC1518" s="206"/>
      <c r="DD1518" s="206"/>
      <c r="DE1518" s="206"/>
      <c r="DF1518" s="206"/>
      <c r="DG1518" s="206"/>
      <c r="DH1518" s="206"/>
      <c r="DI1518" s="206"/>
      <c r="DJ1518" s="206"/>
      <c r="DK1518" s="206"/>
      <c r="DL1518" s="206"/>
      <c r="DM1518" s="206"/>
      <c r="DN1518" s="206"/>
      <c r="DO1518" s="206"/>
      <c r="DP1518" s="206"/>
      <c r="DQ1518" s="206"/>
      <c r="DR1518" s="206"/>
      <c r="DS1518" s="206"/>
      <c r="DT1518" s="206"/>
      <c r="DU1518" s="206"/>
      <c r="DV1518" s="206"/>
      <c r="DW1518" s="206"/>
      <c r="DX1518" s="206"/>
      <c r="DY1518" s="206"/>
      <c r="DZ1518" s="206"/>
      <c r="EA1518" s="206"/>
      <c r="EB1518" s="206"/>
      <c r="EC1518" s="206"/>
      <c r="ED1518" s="206"/>
      <c r="EE1518" s="206"/>
      <c r="EF1518" s="206"/>
      <c r="EG1518" s="206"/>
      <c r="EH1518" s="206"/>
      <c r="EI1518" s="206"/>
      <c r="EJ1518" s="206"/>
      <c r="EK1518" s="206"/>
      <c r="EL1518" s="206"/>
      <c r="EM1518" s="206"/>
      <c r="EN1518" s="206"/>
      <c r="EO1518" s="206"/>
      <c r="EP1518" s="206"/>
      <c r="EQ1518" s="206"/>
      <c r="ER1518" s="206"/>
      <c r="ES1518" s="206"/>
      <c r="ET1518" s="206"/>
      <c r="EU1518" s="206"/>
      <c r="EV1518" s="206"/>
      <c r="EW1518" s="206"/>
      <c r="EX1518" s="206"/>
      <c r="EY1518" s="206"/>
      <c r="EZ1518" s="206"/>
      <c r="FA1518" s="206"/>
      <c r="FB1518" s="206"/>
      <c r="FC1518" s="206"/>
      <c r="FD1518" s="206"/>
      <c r="FE1518" s="206"/>
      <c r="FF1518" s="206"/>
      <c r="FG1518" s="206"/>
      <c r="FH1518" s="206"/>
      <c r="FI1518" s="206"/>
      <c r="FJ1518" s="206"/>
      <c r="FK1518" s="206"/>
      <c r="FL1518" s="206"/>
      <c r="FM1518" s="206"/>
      <c r="FN1518" s="206"/>
      <c r="FO1518" s="206"/>
      <c r="FP1518" s="206"/>
      <c r="FQ1518" s="206"/>
      <c r="FR1518" s="206"/>
      <c r="FS1518" s="206"/>
      <c r="FT1518" s="206"/>
      <c r="FU1518" s="206"/>
      <c r="FV1518" s="206"/>
      <c r="FW1518" s="206"/>
      <c r="FX1518" s="206"/>
      <c r="FY1518" s="206"/>
      <c r="FZ1518" s="206"/>
      <c r="GA1518" s="206"/>
      <c r="GB1518" s="206"/>
      <c r="GC1518" s="206"/>
      <c r="GD1518" s="206"/>
      <c r="GE1518" s="206"/>
      <c r="GF1518" s="206"/>
      <c r="GG1518" s="206"/>
      <c r="GH1518" s="206"/>
      <c r="GI1518" s="206"/>
      <c r="GJ1518" s="206"/>
      <c r="GK1518" s="206"/>
      <c r="GL1518" s="206"/>
      <c r="GM1518" s="206"/>
      <c r="GN1518" s="206"/>
      <c r="GO1518" s="206"/>
      <c r="GP1518" s="206"/>
      <c r="GQ1518" s="206"/>
      <c r="GR1518" s="206"/>
      <c r="GS1518" s="206"/>
      <c r="GT1518" s="206"/>
      <c r="GU1518" s="206"/>
      <c r="GV1518" s="206"/>
      <c r="GW1518" s="206"/>
      <c r="GX1518" s="206"/>
      <c r="GY1518" s="206"/>
      <c r="GZ1518" s="206"/>
      <c r="HA1518" s="206"/>
      <c r="HB1518" s="206"/>
      <c r="HC1518" s="206"/>
      <c r="HD1518" s="206"/>
      <c r="HE1518" s="206"/>
      <c r="HF1518" s="206"/>
      <c r="HG1518" s="206"/>
      <c r="HH1518" s="206"/>
      <c r="HI1518" s="206"/>
      <c r="HJ1518" s="206"/>
      <c r="HK1518" s="206"/>
      <c r="HL1518" s="206"/>
      <c r="HM1518" s="206"/>
      <c r="HN1518" s="206"/>
      <c r="HO1518" s="206"/>
      <c r="HP1518" s="206"/>
      <c r="HQ1518" s="206"/>
      <c r="HR1518" s="206"/>
      <c r="HS1518" s="206"/>
      <c r="HT1518" s="206"/>
      <c r="HU1518" s="206"/>
      <c r="HV1518" s="206"/>
      <c r="HW1518" s="206"/>
      <c r="HX1518" s="206"/>
      <c r="HY1518" s="206"/>
      <c r="HZ1518" s="206"/>
      <c r="IA1518" s="206"/>
      <c r="IB1518" s="206"/>
      <c r="IC1518" s="206"/>
      <c r="ID1518" s="206"/>
      <c r="IE1518" s="206"/>
      <c r="IF1518" s="206"/>
      <c r="IG1518" s="206"/>
      <c r="IH1518" s="206"/>
      <c r="II1518" s="206"/>
      <c r="IJ1518" s="206"/>
      <c r="IK1518" s="206"/>
      <c r="IL1518" s="206"/>
      <c r="IM1518" s="206"/>
      <c r="IN1518" s="206"/>
      <c r="IO1518" s="206"/>
      <c r="IP1518" s="206"/>
      <c r="IQ1518" s="206"/>
      <c r="IR1518" s="206"/>
      <c r="IS1518" s="206"/>
      <c r="IT1518" s="206"/>
      <c r="IU1518" s="206"/>
      <c r="IV1518" s="206"/>
      <c r="IW1518" s="206"/>
      <c r="IX1518" s="206"/>
      <c r="IY1518" s="206"/>
      <c r="IZ1518" s="206"/>
      <c r="JA1518" s="206"/>
      <c r="JB1518" s="206"/>
      <c r="JC1518" s="206"/>
      <c r="JD1518" s="206"/>
      <c r="JE1518" s="206"/>
      <c r="JF1518" s="206"/>
      <c r="JG1518" s="206"/>
      <c r="JH1518" s="206"/>
      <c r="JI1518" s="206"/>
      <c r="JJ1518" s="206"/>
      <c r="JK1518" s="206"/>
      <c r="JL1518" s="206"/>
      <c r="JM1518" s="206"/>
      <c r="JN1518" s="206"/>
      <c r="JO1518" s="206"/>
      <c r="JP1518" s="206"/>
      <c r="JQ1518" s="206"/>
      <c r="JR1518" s="206"/>
      <c r="JS1518" s="206"/>
      <c r="JT1518" s="206"/>
      <c r="JU1518" s="206"/>
      <c r="JV1518" s="206"/>
      <c r="JW1518" s="206"/>
      <c r="JX1518" s="206"/>
      <c r="JY1518" s="206"/>
      <c r="JZ1518" s="206"/>
      <c r="KA1518" s="206"/>
      <c r="KB1518" s="206"/>
      <c r="KC1518" s="206"/>
      <c r="KD1518" s="206"/>
      <c r="KE1518" s="206"/>
      <c r="KF1518" s="206"/>
      <c r="KG1518" s="206"/>
      <c r="KH1518" s="206"/>
      <c r="KI1518" s="206"/>
      <c r="KJ1518" s="206"/>
      <c r="KK1518" s="206"/>
      <c r="KL1518" s="206"/>
      <c r="KM1518" s="206"/>
      <c r="KN1518" s="206"/>
      <c r="KO1518" s="206"/>
      <c r="KP1518" s="206"/>
      <c r="KQ1518" s="206"/>
      <c r="KR1518" s="206"/>
      <c r="KS1518" s="206"/>
      <c r="KT1518" s="206"/>
      <c r="KU1518" s="206"/>
      <c r="KV1518" s="206"/>
      <c r="KW1518" s="206"/>
      <c r="KX1518" s="206"/>
      <c r="KY1518" s="206"/>
      <c r="KZ1518" s="206"/>
      <c r="LA1518" s="206"/>
      <c r="LB1518" s="206"/>
      <c r="LC1518" s="206"/>
      <c r="LD1518" s="206"/>
      <c r="LE1518" s="206"/>
      <c r="LF1518" s="206"/>
      <c r="LG1518" s="206"/>
      <c r="LH1518" s="206"/>
      <c r="LI1518" s="206"/>
      <c r="LJ1518" s="206"/>
      <c r="LK1518" s="206"/>
      <c r="LL1518" s="206"/>
      <c r="LM1518" s="206"/>
      <c r="LN1518" s="206"/>
      <c r="LO1518" s="206"/>
      <c r="LP1518" s="206"/>
      <c r="LQ1518" s="206"/>
      <c r="LR1518" s="206"/>
      <c r="LS1518" s="206"/>
      <c r="LT1518" s="206"/>
      <c r="LU1518" s="206"/>
      <c r="LV1518" s="206"/>
      <c r="LW1518" s="206"/>
      <c r="LX1518" s="206"/>
      <c r="LY1518" s="206"/>
      <c r="LZ1518" s="206"/>
      <c r="MA1518" s="206"/>
      <c r="MB1518" s="206"/>
      <c r="MC1518" s="206"/>
      <c r="MD1518" s="206"/>
      <c r="ME1518" s="206"/>
      <c r="MF1518" s="206"/>
      <c r="MG1518" s="206"/>
      <c r="MH1518" s="206"/>
      <c r="MI1518" s="206"/>
      <c r="MJ1518" s="206"/>
      <c r="MK1518" s="206"/>
      <c r="ML1518" s="206"/>
      <c r="MM1518" s="206"/>
      <c r="MN1518" s="206"/>
      <c r="MO1518" s="206"/>
      <c r="MP1518" s="206"/>
      <c r="MQ1518" s="206"/>
      <c r="MR1518" s="206"/>
      <c r="MS1518" s="206"/>
      <c r="MT1518" s="206"/>
      <c r="MU1518" s="206"/>
      <c r="MV1518" s="206"/>
      <c r="MW1518" s="206"/>
      <c r="MX1518" s="206"/>
      <c r="MY1518" s="206"/>
      <c r="MZ1518" s="206"/>
      <c r="NA1518" s="206"/>
      <c r="NB1518" s="206"/>
      <c r="NC1518" s="206"/>
      <c r="ND1518" s="206"/>
      <c r="NE1518" s="206"/>
      <c r="NF1518" s="206"/>
      <c r="NG1518" s="206"/>
      <c r="NH1518" s="206"/>
      <c r="NI1518" s="206"/>
      <c r="NJ1518" s="206"/>
      <c r="NK1518" s="206"/>
      <c r="NL1518" s="206"/>
      <c r="NM1518" s="206"/>
      <c r="NN1518" s="206"/>
      <c r="NO1518" s="206"/>
      <c r="NP1518" s="206"/>
      <c r="NQ1518" s="206"/>
      <c r="NR1518" s="206"/>
      <c r="NS1518" s="206"/>
      <c r="NT1518" s="206"/>
      <c r="NU1518" s="206"/>
      <c r="NV1518" s="206"/>
      <c r="NW1518" s="206"/>
      <c r="NX1518" s="206"/>
      <c r="NY1518" s="206"/>
      <c r="NZ1518" s="206"/>
      <c r="OA1518" s="206"/>
      <c r="OB1518" s="206"/>
      <c r="OC1518" s="206"/>
      <c r="OD1518" s="206"/>
      <c r="OE1518" s="206"/>
      <c r="OF1518" s="206"/>
      <c r="OG1518" s="206"/>
      <c r="OH1518" s="206"/>
      <c r="OI1518" s="206"/>
      <c r="OJ1518" s="206"/>
      <c r="OK1518" s="206"/>
      <c r="OL1518" s="206"/>
      <c r="OM1518" s="206"/>
      <c r="ON1518" s="206"/>
      <c r="OO1518" s="206"/>
      <c r="OP1518" s="206"/>
      <c r="OQ1518" s="206"/>
      <c r="OR1518" s="206"/>
      <c r="OS1518" s="206"/>
      <c r="OT1518" s="206"/>
      <c r="OU1518" s="206"/>
      <c r="OV1518" s="206"/>
      <c r="OW1518" s="206"/>
      <c r="OX1518" s="206"/>
      <c r="OY1518" s="206"/>
      <c r="OZ1518" s="206"/>
      <c r="PA1518" s="206"/>
      <c r="PB1518" s="206"/>
      <c r="PC1518" s="206"/>
      <c r="PD1518" s="206"/>
      <c r="PE1518" s="206"/>
      <c r="PF1518" s="206"/>
      <c r="PG1518" s="206"/>
      <c r="PH1518" s="206"/>
      <c r="PI1518" s="206"/>
      <c r="PJ1518" s="206"/>
      <c r="PK1518" s="206"/>
      <c r="PL1518" s="206"/>
      <c r="PM1518" s="206"/>
      <c r="PN1518" s="206"/>
      <c r="PO1518" s="206"/>
      <c r="PP1518" s="206"/>
      <c r="PQ1518" s="206"/>
      <c r="PR1518" s="206"/>
      <c r="PS1518" s="206"/>
      <c r="PT1518" s="206"/>
      <c r="PU1518" s="206"/>
      <c r="PV1518" s="206"/>
      <c r="PW1518" s="206"/>
      <c r="PX1518" s="206"/>
      <c r="PY1518" s="206"/>
      <c r="PZ1518" s="206"/>
      <c r="QA1518" s="206"/>
      <c r="QB1518" s="206"/>
      <c r="QC1518" s="206"/>
      <c r="QD1518" s="206"/>
      <c r="QE1518" s="206"/>
      <c r="QF1518" s="206"/>
      <c r="QG1518" s="206"/>
      <c r="QH1518" s="206"/>
      <c r="QI1518" s="206"/>
      <c r="QJ1518" s="206"/>
      <c r="QK1518" s="206"/>
      <c r="QL1518" s="206"/>
      <c r="QM1518" s="206"/>
      <c r="QN1518" s="206"/>
      <c r="QO1518" s="206"/>
      <c r="QP1518" s="206"/>
      <c r="QQ1518" s="206"/>
      <c r="QR1518" s="206"/>
      <c r="QS1518" s="206"/>
      <c r="QT1518" s="206"/>
      <c r="QU1518" s="206"/>
      <c r="QV1518" s="206"/>
      <c r="QW1518" s="206"/>
      <c r="QX1518" s="206"/>
      <c r="QY1518" s="206"/>
      <c r="QZ1518" s="206"/>
      <c r="RA1518" s="206"/>
      <c r="RB1518" s="206"/>
      <c r="RC1518" s="206"/>
      <c r="RD1518" s="206"/>
      <c r="RE1518" s="206"/>
      <c r="RF1518" s="206"/>
      <c r="RG1518" s="206"/>
      <c r="RH1518" s="206"/>
      <c r="RI1518" s="206"/>
      <c r="RJ1518" s="206"/>
      <c r="RK1518" s="206"/>
      <c r="RL1518" s="206"/>
      <c r="RM1518" s="206"/>
      <c r="RN1518" s="206"/>
      <c r="RO1518" s="206"/>
      <c r="RP1518" s="206"/>
      <c r="RQ1518" s="206"/>
      <c r="RR1518" s="206"/>
      <c r="RS1518" s="206"/>
      <c r="RT1518" s="206"/>
      <c r="RU1518" s="206"/>
      <c r="RV1518" s="206"/>
      <c r="RW1518" s="206"/>
      <c r="RX1518" s="206"/>
      <c r="RY1518" s="206"/>
      <c r="RZ1518" s="206"/>
      <c r="SA1518" s="206"/>
      <c r="SB1518" s="206"/>
      <c r="SC1518" s="206"/>
      <c r="SD1518" s="206"/>
      <c r="SE1518" s="206"/>
      <c r="SF1518" s="206"/>
      <c r="SG1518" s="206"/>
      <c r="SH1518" s="206"/>
      <c r="SI1518" s="206"/>
      <c r="SJ1518" s="206"/>
      <c r="SK1518" s="206"/>
      <c r="SL1518" s="206"/>
      <c r="SM1518" s="206"/>
      <c r="SN1518" s="206"/>
      <c r="SO1518" s="206"/>
      <c r="SP1518" s="206"/>
      <c r="SQ1518" s="206"/>
      <c r="SR1518" s="206"/>
      <c r="SS1518" s="206"/>
      <c r="ST1518" s="206"/>
      <c r="SU1518" s="206"/>
      <c r="SV1518" s="206"/>
      <c r="SW1518" s="206"/>
      <c r="SX1518" s="206"/>
      <c r="SY1518" s="206"/>
      <c r="SZ1518" s="206"/>
      <c r="TA1518" s="206"/>
      <c r="TB1518" s="206"/>
      <c r="TC1518" s="206"/>
      <c r="TD1518" s="206"/>
      <c r="TE1518" s="206"/>
      <c r="TF1518" s="206"/>
      <c r="TG1518" s="206"/>
      <c r="TH1518" s="206"/>
      <c r="TI1518" s="206"/>
      <c r="TJ1518" s="206"/>
      <c r="TK1518" s="206"/>
      <c r="TL1518" s="206"/>
      <c r="TM1518" s="206"/>
      <c r="TN1518" s="206"/>
      <c r="TO1518" s="206"/>
      <c r="TP1518" s="206"/>
      <c r="TQ1518" s="206"/>
      <c r="TR1518" s="206"/>
      <c r="TS1518" s="206"/>
      <c r="TT1518" s="206"/>
      <c r="TU1518" s="206"/>
      <c r="TV1518" s="206"/>
      <c r="TW1518" s="206"/>
      <c r="TX1518" s="206"/>
      <c r="TY1518" s="206"/>
      <c r="TZ1518" s="206"/>
      <c r="UA1518" s="206"/>
      <c r="UB1518" s="206"/>
      <c r="UC1518" s="206"/>
      <c r="UD1518" s="206"/>
    </row>
    <row r="1519" spans="1:553" s="875" customFormat="1" ht="33.75" customHeight="1">
      <c r="A1519" s="929"/>
      <c r="B1519" s="1226"/>
      <c r="C1519" s="1253" t="s">
        <v>22</v>
      </c>
      <c r="D1519" s="1118">
        <v>1</v>
      </c>
      <c r="E1519" s="1118">
        <v>441</v>
      </c>
      <c r="F1519" s="1228"/>
      <c r="G1519" s="1226" t="s">
        <v>33</v>
      </c>
      <c r="H1519" s="925"/>
      <c r="I1519" s="502">
        <f>I1511</f>
        <v>56.5</v>
      </c>
      <c r="J1519" s="1243">
        <v>62000</v>
      </c>
      <c r="K1519" s="809">
        <v>1</v>
      </c>
      <c r="L1519" s="1226">
        <f>K1519*J1519*I1519</f>
        <v>3503000</v>
      </c>
      <c r="M1519" s="1226"/>
      <c r="N1519" s="1226"/>
      <c r="O1519" s="1226"/>
      <c r="P1519" s="1226"/>
      <c r="Q1519" s="1134"/>
      <c r="R1519" s="1447"/>
      <c r="S1519" s="486"/>
      <c r="T1519" s="486"/>
      <c r="U1519" s="486"/>
      <c r="V1519" s="486"/>
      <c r="W1519" s="486"/>
      <c r="X1519" s="486"/>
      <c r="Y1519" s="486"/>
      <c r="Z1519" s="486"/>
      <c r="AA1519" s="486"/>
      <c r="AB1519" s="486"/>
      <c r="AC1519" s="486"/>
      <c r="AD1519" s="486"/>
      <c r="AE1519" s="486"/>
      <c r="AF1519" s="486"/>
      <c r="AG1519" s="486"/>
      <c r="AH1519" s="486"/>
      <c r="AI1519" s="486"/>
      <c r="AJ1519" s="486"/>
      <c r="AK1519" s="486"/>
      <c r="AL1519" s="206"/>
      <c r="AM1519" s="206"/>
      <c r="AN1519" s="206"/>
      <c r="AO1519" s="206"/>
      <c r="AP1519" s="206"/>
      <c r="AQ1519" s="206"/>
      <c r="AR1519" s="206"/>
      <c r="AS1519" s="206"/>
      <c r="AT1519" s="206"/>
      <c r="AU1519" s="206"/>
      <c r="AV1519" s="206"/>
      <c r="AW1519" s="206"/>
      <c r="AX1519" s="206"/>
      <c r="AY1519" s="206"/>
      <c r="AZ1519" s="206"/>
      <c r="BA1519" s="206"/>
      <c r="BB1519" s="206"/>
      <c r="BC1519" s="206"/>
      <c r="BD1519" s="206"/>
      <c r="BE1519" s="206"/>
      <c r="BF1519" s="206"/>
      <c r="BG1519" s="206"/>
      <c r="BH1519" s="206"/>
      <c r="BI1519" s="206"/>
      <c r="BJ1519" s="206"/>
      <c r="BK1519" s="206"/>
      <c r="BL1519" s="206"/>
      <c r="BM1519" s="206"/>
      <c r="BN1519" s="206"/>
      <c r="BO1519" s="206"/>
      <c r="BP1519" s="206"/>
      <c r="BQ1519" s="206"/>
      <c r="BR1519" s="206"/>
      <c r="BS1519" s="206"/>
      <c r="BT1519" s="206"/>
      <c r="BU1519" s="206"/>
      <c r="BV1519" s="206"/>
      <c r="BW1519" s="206"/>
      <c r="BX1519" s="206"/>
      <c r="BY1519" s="206"/>
      <c r="BZ1519" s="206"/>
      <c r="CA1519" s="206"/>
      <c r="CB1519" s="206"/>
      <c r="CC1519" s="206"/>
      <c r="CD1519" s="206"/>
      <c r="CE1519" s="206"/>
      <c r="CF1519" s="206"/>
      <c r="CG1519" s="206"/>
      <c r="CH1519" s="206"/>
      <c r="CI1519" s="206"/>
      <c r="CJ1519" s="206"/>
      <c r="CK1519" s="206"/>
      <c r="CL1519" s="206"/>
      <c r="CM1519" s="206"/>
      <c r="CN1519" s="206"/>
      <c r="CO1519" s="206"/>
      <c r="CP1519" s="206"/>
      <c r="CQ1519" s="206"/>
      <c r="CR1519" s="206"/>
      <c r="CS1519" s="206"/>
      <c r="CT1519" s="206"/>
      <c r="CU1519" s="206"/>
      <c r="CV1519" s="206"/>
      <c r="CW1519" s="206"/>
      <c r="CX1519" s="206"/>
      <c r="CY1519" s="206"/>
      <c r="CZ1519" s="206"/>
      <c r="DA1519" s="206"/>
      <c r="DB1519" s="206"/>
      <c r="DC1519" s="206"/>
      <c r="DD1519" s="206"/>
      <c r="DE1519" s="206"/>
      <c r="DF1519" s="206"/>
      <c r="DG1519" s="206"/>
      <c r="DH1519" s="206"/>
      <c r="DI1519" s="206"/>
      <c r="DJ1519" s="206"/>
      <c r="DK1519" s="206"/>
      <c r="DL1519" s="206"/>
      <c r="DM1519" s="206"/>
      <c r="DN1519" s="206"/>
      <c r="DO1519" s="206"/>
      <c r="DP1519" s="206"/>
      <c r="DQ1519" s="206"/>
      <c r="DR1519" s="206"/>
      <c r="DS1519" s="206"/>
      <c r="DT1519" s="206"/>
      <c r="DU1519" s="206"/>
      <c r="DV1519" s="206"/>
      <c r="DW1519" s="206"/>
      <c r="DX1519" s="206"/>
      <c r="DY1519" s="206"/>
      <c r="DZ1519" s="206"/>
      <c r="EA1519" s="206"/>
      <c r="EB1519" s="206"/>
      <c r="EC1519" s="206"/>
      <c r="ED1519" s="206"/>
      <c r="EE1519" s="206"/>
      <c r="EF1519" s="206"/>
      <c r="EG1519" s="206"/>
      <c r="EH1519" s="206"/>
      <c r="EI1519" s="206"/>
      <c r="EJ1519" s="206"/>
      <c r="EK1519" s="206"/>
      <c r="EL1519" s="206"/>
      <c r="EM1519" s="206"/>
      <c r="EN1519" s="206"/>
      <c r="EO1519" s="206"/>
      <c r="EP1519" s="206"/>
      <c r="EQ1519" s="206"/>
      <c r="ER1519" s="206"/>
      <c r="ES1519" s="206"/>
      <c r="ET1519" s="206"/>
      <c r="EU1519" s="206"/>
      <c r="EV1519" s="206"/>
      <c r="EW1519" s="206"/>
      <c r="EX1519" s="206"/>
      <c r="EY1519" s="206"/>
      <c r="EZ1519" s="206"/>
      <c r="FA1519" s="206"/>
      <c r="FB1519" s="206"/>
      <c r="FC1519" s="206"/>
      <c r="FD1519" s="206"/>
      <c r="FE1519" s="206"/>
      <c r="FF1519" s="206"/>
      <c r="FG1519" s="206"/>
      <c r="FH1519" s="206"/>
      <c r="FI1519" s="206"/>
      <c r="FJ1519" s="206"/>
      <c r="FK1519" s="206"/>
      <c r="FL1519" s="206"/>
      <c r="FM1519" s="206"/>
      <c r="FN1519" s="206"/>
      <c r="FO1519" s="206"/>
      <c r="FP1519" s="206"/>
      <c r="FQ1519" s="206"/>
      <c r="FR1519" s="206"/>
      <c r="FS1519" s="206"/>
      <c r="FT1519" s="206"/>
      <c r="FU1519" s="206"/>
      <c r="FV1519" s="206"/>
      <c r="FW1519" s="206"/>
      <c r="FX1519" s="206"/>
      <c r="FY1519" s="206"/>
      <c r="FZ1519" s="206"/>
      <c r="GA1519" s="206"/>
      <c r="GB1519" s="206"/>
      <c r="GC1519" s="206"/>
      <c r="GD1519" s="206"/>
      <c r="GE1519" s="206"/>
      <c r="GF1519" s="206"/>
      <c r="GG1519" s="206"/>
      <c r="GH1519" s="206"/>
      <c r="GI1519" s="206"/>
      <c r="GJ1519" s="206"/>
      <c r="GK1519" s="206"/>
      <c r="GL1519" s="206"/>
      <c r="GM1519" s="206"/>
      <c r="GN1519" s="206"/>
      <c r="GO1519" s="206"/>
      <c r="GP1519" s="206"/>
      <c r="GQ1519" s="206"/>
      <c r="GR1519" s="206"/>
      <c r="GS1519" s="206"/>
      <c r="GT1519" s="206"/>
      <c r="GU1519" s="206"/>
      <c r="GV1519" s="206"/>
      <c r="GW1519" s="206"/>
      <c r="GX1519" s="206"/>
      <c r="GY1519" s="206"/>
      <c r="GZ1519" s="206"/>
      <c r="HA1519" s="206"/>
      <c r="HB1519" s="206"/>
      <c r="HC1519" s="206"/>
      <c r="HD1519" s="206"/>
      <c r="HE1519" s="206"/>
      <c r="HF1519" s="206"/>
      <c r="HG1519" s="206"/>
      <c r="HH1519" s="206"/>
      <c r="HI1519" s="206"/>
      <c r="HJ1519" s="206"/>
      <c r="HK1519" s="206"/>
      <c r="HL1519" s="206"/>
      <c r="HM1519" s="206"/>
      <c r="HN1519" s="206"/>
      <c r="HO1519" s="206"/>
      <c r="HP1519" s="206"/>
      <c r="HQ1519" s="206"/>
      <c r="HR1519" s="206"/>
      <c r="HS1519" s="206"/>
      <c r="HT1519" s="206"/>
      <c r="HU1519" s="206"/>
      <c r="HV1519" s="206"/>
      <c r="HW1519" s="206"/>
      <c r="HX1519" s="206"/>
      <c r="HY1519" s="206"/>
      <c r="HZ1519" s="206"/>
      <c r="IA1519" s="206"/>
      <c r="IB1519" s="206"/>
      <c r="IC1519" s="206"/>
      <c r="ID1519" s="206"/>
      <c r="IE1519" s="206"/>
      <c r="IF1519" s="206"/>
      <c r="IG1519" s="206"/>
      <c r="IH1519" s="206"/>
      <c r="II1519" s="206"/>
      <c r="IJ1519" s="206"/>
      <c r="IK1519" s="206"/>
      <c r="IL1519" s="206"/>
      <c r="IM1519" s="206"/>
      <c r="IN1519" s="206"/>
      <c r="IO1519" s="206"/>
      <c r="IP1519" s="206"/>
      <c r="IQ1519" s="206"/>
      <c r="IR1519" s="206"/>
      <c r="IS1519" s="206"/>
      <c r="IT1519" s="206"/>
      <c r="IU1519" s="206"/>
      <c r="IV1519" s="206"/>
      <c r="IW1519" s="206"/>
      <c r="IX1519" s="206"/>
      <c r="IY1519" s="206"/>
      <c r="IZ1519" s="206"/>
      <c r="JA1519" s="206"/>
      <c r="JB1519" s="206"/>
      <c r="JC1519" s="206"/>
      <c r="JD1519" s="206"/>
      <c r="JE1519" s="206"/>
      <c r="JF1519" s="206"/>
      <c r="JG1519" s="206"/>
      <c r="JH1519" s="206"/>
      <c r="JI1519" s="206"/>
      <c r="JJ1519" s="206"/>
      <c r="JK1519" s="206"/>
      <c r="JL1519" s="206"/>
      <c r="JM1519" s="206"/>
      <c r="JN1519" s="206"/>
      <c r="JO1519" s="206"/>
      <c r="JP1519" s="206"/>
      <c r="JQ1519" s="206"/>
      <c r="JR1519" s="206"/>
      <c r="JS1519" s="206"/>
      <c r="JT1519" s="206"/>
      <c r="JU1519" s="206"/>
      <c r="JV1519" s="206"/>
      <c r="JW1519" s="206"/>
      <c r="JX1519" s="206"/>
      <c r="JY1519" s="206"/>
      <c r="JZ1519" s="206"/>
      <c r="KA1519" s="206"/>
      <c r="KB1519" s="206"/>
      <c r="KC1519" s="206"/>
      <c r="KD1519" s="206"/>
      <c r="KE1519" s="206"/>
      <c r="KF1519" s="206"/>
      <c r="KG1519" s="206"/>
      <c r="KH1519" s="206"/>
      <c r="KI1519" s="206"/>
      <c r="KJ1519" s="206"/>
      <c r="KK1519" s="206"/>
      <c r="KL1519" s="206"/>
      <c r="KM1519" s="206"/>
      <c r="KN1519" s="206"/>
      <c r="KO1519" s="206"/>
      <c r="KP1519" s="206"/>
      <c r="KQ1519" s="206"/>
      <c r="KR1519" s="206"/>
      <c r="KS1519" s="206"/>
      <c r="KT1519" s="206"/>
      <c r="KU1519" s="206"/>
      <c r="KV1519" s="206"/>
      <c r="KW1519" s="206"/>
      <c r="KX1519" s="206"/>
      <c r="KY1519" s="206"/>
      <c r="KZ1519" s="206"/>
      <c r="LA1519" s="206"/>
      <c r="LB1519" s="206"/>
      <c r="LC1519" s="206"/>
      <c r="LD1519" s="206"/>
      <c r="LE1519" s="206"/>
      <c r="LF1519" s="206"/>
      <c r="LG1519" s="206"/>
      <c r="LH1519" s="206"/>
      <c r="LI1519" s="206"/>
      <c r="LJ1519" s="206"/>
      <c r="LK1519" s="206"/>
      <c r="LL1519" s="206"/>
      <c r="LM1519" s="206"/>
      <c r="LN1519" s="206"/>
      <c r="LO1519" s="206"/>
      <c r="LP1519" s="206"/>
      <c r="LQ1519" s="206"/>
      <c r="LR1519" s="206"/>
      <c r="LS1519" s="206"/>
      <c r="LT1519" s="206"/>
      <c r="LU1519" s="206"/>
      <c r="LV1519" s="206"/>
      <c r="LW1519" s="206"/>
      <c r="LX1519" s="206"/>
      <c r="LY1519" s="206"/>
      <c r="LZ1519" s="206"/>
      <c r="MA1519" s="206"/>
      <c r="MB1519" s="206"/>
      <c r="MC1519" s="206"/>
      <c r="MD1519" s="206"/>
      <c r="ME1519" s="206"/>
      <c r="MF1519" s="206"/>
      <c r="MG1519" s="206"/>
      <c r="MH1519" s="206"/>
      <c r="MI1519" s="206"/>
      <c r="MJ1519" s="206"/>
      <c r="MK1519" s="206"/>
      <c r="ML1519" s="206"/>
      <c r="MM1519" s="206"/>
      <c r="MN1519" s="206"/>
      <c r="MO1519" s="206"/>
      <c r="MP1519" s="206"/>
      <c r="MQ1519" s="206"/>
      <c r="MR1519" s="206"/>
      <c r="MS1519" s="206"/>
      <c r="MT1519" s="206"/>
      <c r="MU1519" s="206"/>
      <c r="MV1519" s="206"/>
      <c r="MW1519" s="206"/>
      <c r="MX1519" s="206"/>
      <c r="MY1519" s="206"/>
      <c r="MZ1519" s="206"/>
      <c r="NA1519" s="206"/>
      <c r="NB1519" s="206"/>
      <c r="NC1519" s="206"/>
      <c r="ND1519" s="206"/>
      <c r="NE1519" s="206"/>
      <c r="NF1519" s="206"/>
      <c r="NG1519" s="206"/>
      <c r="NH1519" s="206"/>
      <c r="NI1519" s="206"/>
      <c r="NJ1519" s="206"/>
      <c r="NK1519" s="206"/>
      <c r="NL1519" s="206"/>
      <c r="NM1519" s="206"/>
      <c r="NN1519" s="206"/>
      <c r="NO1519" s="206"/>
      <c r="NP1519" s="206"/>
      <c r="NQ1519" s="206"/>
      <c r="NR1519" s="206"/>
      <c r="NS1519" s="206"/>
      <c r="NT1519" s="206"/>
      <c r="NU1519" s="206"/>
      <c r="NV1519" s="206"/>
      <c r="NW1519" s="206"/>
      <c r="NX1519" s="206"/>
      <c r="NY1519" s="206"/>
      <c r="NZ1519" s="206"/>
      <c r="OA1519" s="206"/>
      <c r="OB1519" s="206"/>
      <c r="OC1519" s="206"/>
      <c r="OD1519" s="206"/>
      <c r="OE1519" s="206"/>
      <c r="OF1519" s="206"/>
      <c r="OG1519" s="206"/>
      <c r="OH1519" s="206"/>
      <c r="OI1519" s="206"/>
      <c r="OJ1519" s="206"/>
      <c r="OK1519" s="206"/>
      <c r="OL1519" s="206"/>
      <c r="OM1519" s="206"/>
      <c r="ON1519" s="206"/>
      <c r="OO1519" s="206"/>
      <c r="OP1519" s="206"/>
      <c r="OQ1519" s="206"/>
      <c r="OR1519" s="206"/>
      <c r="OS1519" s="206"/>
      <c r="OT1519" s="206"/>
      <c r="OU1519" s="206"/>
      <c r="OV1519" s="206"/>
      <c r="OW1519" s="206"/>
      <c r="OX1519" s="206"/>
      <c r="OY1519" s="206"/>
      <c r="OZ1519" s="206"/>
      <c r="PA1519" s="206"/>
      <c r="PB1519" s="206"/>
      <c r="PC1519" s="206"/>
      <c r="PD1519" s="206"/>
      <c r="PE1519" s="206"/>
      <c r="PF1519" s="206"/>
      <c r="PG1519" s="206"/>
      <c r="PH1519" s="206"/>
      <c r="PI1519" s="206"/>
      <c r="PJ1519" s="206"/>
      <c r="PK1519" s="206"/>
      <c r="PL1519" s="206"/>
      <c r="PM1519" s="206"/>
      <c r="PN1519" s="206"/>
      <c r="PO1519" s="206"/>
      <c r="PP1519" s="206"/>
      <c r="PQ1519" s="206"/>
      <c r="PR1519" s="206"/>
      <c r="PS1519" s="206"/>
      <c r="PT1519" s="206"/>
      <c r="PU1519" s="206"/>
      <c r="PV1519" s="206"/>
      <c r="PW1519" s="206"/>
      <c r="PX1519" s="206"/>
      <c r="PY1519" s="206"/>
      <c r="PZ1519" s="206"/>
      <c r="QA1519" s="206"/>
      <c r="QB1519" s="206"/>
      <c r="QC1519" s="206"/>
      <c r="QD1519" s="206"/>
      <c r="QE1519" s="206"/>
      <c r="QF1519" s="206"/>
      <c r="QG1519" s="206"/>
      <c r="QH1519" s="206"/>
      <c r="QI1519" s="206"/>
      <c r="QJ1519" s="206"/>
      <c r="QK1519" s="206"/>
      <c r="QL1519" s="206"/>
      <c r="QM1519" s="206"/>
      <c r="QN1519" s="206"/>
      <c r="QO1519" s="206"/>
      <c r="QP1519" s="206"/>
      <c r="QQ1519" s="206"/>
      <c r="QR1519" s="206"/>
      <c r="QS1519" s="206"/>
      <c r="QT1519" s="206"/>
      <c r="QU1519" s="206"/>
      <c r="QV1519" s="206"/>
      <c r="QW1519" s="206"/>
      <c r="QX1519" s="206"/>
      <c r="QY1519" s="206"/>
      <c r="QZ1519" s="206"/>
      <c r="RA1519" s="206"/>
      <c r="RB1519" s="206"/>
      <c r="RC1519" s="206"/>
      <c r="RD1519" s="206"/>
      <c r="RE1519" s="206"/>
      <c r="RF1519" s="206"/>
      <c r="RG1519" s="206"/>
      <c r="RH1519" s="206"/>
      <c r="RI1519" s="206"/>
      <c r="RJ1519" s="206"/>
      <c r="RK1519" s="206"/>
      <c r="RL1519" s="206"/>
      <c r="RM1519" s="206"/>
      <c r="RN1519" s="206"/>
      <c r="RO1519" s="206"/>
      <c r="RP1519" s="206"/>
      <c r="RQ1519" s="206"/>
      <c r="RR1519" s="206"/>
      <c r="RS1519" s="206"/>
      <c r="RT1519" s="206"/>
      <c r="RU1519" s="206"/>
      <c r="RV1519" s="206"/>
      <c r="RW1519" s="206"/>
      <c r="RX1519" s="206"/>
      <c r="RY1519" s="206"/>
      <c r="RZ1519" s="206"/>
      <c r="SA1519" s="206"/>
      <c r="SB1519" s="206"/>
      <c r="SC1519" s="206"/>
      <c r="SD1519" s="206"/>
      <c r="SE1519" s="206"/>
      <c r="SF1519" s="206"/>
      <c r="SG1519" s="206"/>
      <c r="SH1519" s="206"/>
      <c r="SI1519" s="206"/>
      <c r="SJ1519" s="206"/>
      <c r="SK1519" s="206"/>
      <c r="SL1519" s="206"/>
      <c r="SM1519" s="206"/>
      <c r="SN1519" s="206"/>
      <c r="SO1519" s="206"/>
      <c r="SP1519" s="206"/>
      <c r="SQ1519" s="206"/>
      <c r="SR1519" s="206"/>
      <c r="SS1519" s="206"/>
      <c r="ST1519" s="206"/>
      <c r="SU1519" s="206"/>
      <c r="SV1519" s="206"/>
      <c r="SW1519" s="206"/>
      <c r="SX1519" s="206"/>
      <c r="SY1519" s="206"/>
      <c r="SZ1519" s="206"/>
      <c r="TA1519" s="206"/>
      <c r="TB1519" s="206"/>
      <c r="TC1519" s="206"/>
      <c r="TD1519" s="206"/>
      <c r="TE1519" s="206"/>
      <c r="TF1519" s="206"/>
      <c r="TG1519" s="206"/>
      <c r="TH1519" s="206"/>
      <c r="TI1519" s="206"/>
      <c r="TJ1519" s="206"/>
      <c r="TK1519" s="206"/>
      <c r="TL1519" s="206"/>
      <c r="TM1519" s="206"/>
      <c r="TN1519" s="206"/>
      <c r="TO1519" s="206"/>
      <c r="TP1519" s="206"/>
      <c r="TQ1519" s="206"/>
      <c r="TR1519" s="206"/>
      <c r="TS1519" s="206"/>
      <c r="TT1519" s="206"/>
      <c r="TU1519" s="206"/>
      <c r="TV1519" s="206"/>
      <c r="TW1519" s="206"/>
      <c r="TX1519" s="206"/>
      <c r="TY1519" s="206"/>
      <c r="TZ1519" s="206"/>
      <c r="UA1519" s="206"/>
      <c r="UB1519" s="206"/>
      <c r="UC1519" s="206"/>
      <c r="UD1519" s="206"/>
    </row>
    <row r="1520" spans="1:553" s="874" customFormat="1" ht="39" customHeight="1">
      <c r="A1520" s="924" t="s">
        <v>15</v>
      </c>
      <c r="B1520" s="1230"/>
      <c r="C1520" s="1227" t="str">
        <f t="shared" ref="C1520:E1522" si="228">C1512</f>
        <v>Đất chuyên trồng lúa nước (LUC)</v>
      </c>
      <c r="D1520" s="1216" t="str">
        <f t="shared" si="228"/>
        <v>1</v>
      </c>
      <c r="E1520" s="470" t="str">
        <f t="shared" si="228"/>
        <v>125</v>
      </c>
      <c r="F1520" s="1230"/>
      <c r="G1520" s="501" t="s">
        <v>935</v>
      </c>
      <c r="H1520" s="925"/>
      <c r="I1520" s="423">
        <f>I1512</f>
        <v>245.3</v>
      </c>
      <c r="J1520" s="1243">
        <v>72000</v>
      </c>
      <c r="K1520" s="1336">
        <v>3</v>
      </c>
      <c r="L1520" s="1226">
        <f>I1520*J1520*K1520</f>
        <v>52984800</v>
      </c>
      <c r="M1520" s="1226"/>
      <c r="N1520" s="1226"/>
      <c r="O1520" s="1226"/>
      <c r="P1520" s="1226"/>
      <c r="Q1520" s="1134"/>
      <c r="R1520" s="1452"/>
      <c r="S1520" s="486"/>
      <c r="T1520" s="486"/>
      <c r="U1520" s="486"/>
      <c r="V1520" s="486"/>
      <c r="W1520" s="486"/>
      <c r="X1520" s="486"/>
      <c r="Y1520" s="486"/>
      <c r="Z1520" s="486"/>
      <c r="AA1520" s="486"/>
      <c r="AB1520" s="486"/>
      <c r="AC1520" s="486"/>
      <c r="AD1520" s="486"/>
      <c r="AE1520" s="486"/>
      <c r="AF1520" s="486"/>
      <c r="AG1520" s="486"/>
      <c r="AH1520" s="486"/>
      <c r="AI1520" s="486"/>
      <c r="AJ1520" s="486"/>
      <c r="AK1520" s="486"/>
      <c r="AL1520" s="206"/>
      <c r="AM1520" s="206"/>
      <c r="AN1520" s="206"/>
      <c r="AO1520" s="206"/>
      <c r="AP1520" s="206"/>
      <c r="AQ1520" s="206"/>
      <c r="AR1520" s="206"/>
      <c r="AS1520" s="206"/>
      <c r="AT1520" s="206"/>
      <c r="AU1520" s="206"/>
      <c r="AV1520" s="206"/>
      <c r="AW1520" s="206"/>
      <c r="AX1520" s="206"/>
      <c r="AY1520" s="206"/>
      <c r="AZ1520" s="206"/>
      <c r="BA1520" s="206"/>
      <c r="BB1520" s="206"/>
      <c r="BC1520" s="206"/>
      <c r="BD1520" s="206"/>
      <c r="BE1520" s="206"/>
      <c r="BF1520" s="206"/>
      <c r="BG1520" s="206"/>
      <c r="BH1520" s="206"/>
      <c r="BI1520" s="206"/>
      <c r="BJ1520" s="206"/>
      <c r="BK1520" s="206"/>
      <c r="BL1520" s="206"/>
      <c r="BM1520" s="206"/>
      <c r="BN1520" s="206"/>
      <c r="BO1520" s="206"/>
      <c r="BP1520" s="206"/>
      <c r="BQ1520" s="206"/>
      <c r="BR1520" s="206"/>
      <c r="BS1520" s="206"/>
      <c r="BT1520" s="206"/>
      <c r="BU1520" s="206"/>
      <c r="BV1520" s="206"/>
      <c r="BW1520" s="206"/>
      <c r="BX1520" s="206"/>
      <c r="BY1520" s="206"/>
      <c r="BZ1520" s="206"/>
      <c r="CA1520" s="206"/>
      <c r="CB1520" s="206"/>
      <c r="CC1520" s="206"/>
      <c r="CD1520" s="206"/>
      <c r="CE1520" s="206"/>
      <c r="CF1520" s="206"/>
      <c r="CG1520" s="206"/>
      <c r="CH1520" s="206"/>
      <c r="CI1520" s="206"/>
      <c r="CJ1520" s="206"/>
      <c r="CK1520" s="206"/>
      <c r="CL1520" s="206"/>
      <c r="CM1520" s="206"/>
      <c r="CN1520" s="206"/>
      <c r="CO1520" s="206"/>
      <c r="CP1520" s="206"/>
      <c r="CQ1520" s="206"/>
      <c r="CR1520" s="206"/>
      <c r="CS1520" s="206"/>
      <c r="CT1520" s="206"/>
      <c r="CU1520" s="206"/>
      <c r="CV1520" s="206"/>
      <c r="CW1520" s="206"/>
      <c r="CX1520" s="206"/>
      <c r="CY1520" s="206"/>
      <c r="CZ1520" s="206"/>
      <c r="DA1520" s="206"/>
      <c r="DB1520" s="206"/>
      <c r="DC1520" s="206"/>
      <c r="DD1520" s="206"/>
      <c r="DE1520" s="206"/>
      <c r="DF1520" s="206"/>
      <c r="DG1520" s="206"/>
      <c r="DH1520" s="206"/>
      <c r="DI1520" s="206"/>
      <c r="DJ1520" s="206"/>
      <c r="DK1520" s="206"/>
      <c r="DL1520" s="206"/>
      <c r="DM1520" s="206"/>
      <c r="DN1520" s="206"/>
      <c r="DO1520" s="206"/>
      <c r="DP1520" s="206"/>
      <c r="DQ1520" s="206"/>
      <c r="DR1520" s="206"/>
      <c r="DS1520" s="206"/>
      <c r="DT1520" s="206"/>
      <c r="DU1520" s="206"/>
      <c r="DV1520" s="206"/>
      <c r="DW1520" s="206"/>
      <c r="DX1520" s="206"/>
      <c r="DY1520" s="206"/>
      <c r="DZ1520" s="206"/>
      <c r="EA1520" s="206"/>
      <c r="EB1520" s="206"/>
      <c r="EC1520" s="206"/>
      <c r="ED1520" s="206"/>
      <c r="EE1520" s="206"/>
      <c r="EF1520" s="206"/>
      <c r="EG1520" s="206"/>
      <c r="EH1520" s="206"/>
      <c r="EI1520" s="206"/>
      <c r="EJ1520" s="206"/>
      <c r="EK1520" s="206"/>
      <c r="EL1520" s="206"/>
      <c r="EM1520" s="206"/>
      <c r="EN1520" s="206"/>
      <c r="EO1520" s="206"/>
      <c r="EP1520" s="206"/>
      <c r="EQ1520" s="206"/>
      <c r="ER1520" s="206"/>
      <c r="ES1520" s="206"/>
      <c r="ET1520" s="206"/>
      <c r="EU1520" s="206"/>
      <c r="EV1520" s="206"/>
      <c r="EW1520" s="206"/>
      <c r="EX1520" s="206"/>
      <c r="EY1520" s="206"/>
      <c r="EZ1520" s="206"/>
      <c r="FA1520" s="206"/>
      <c r="FB1520" s="206"/>
      <c r="FC1520" s="206"/>
      <c r="FD1520" s="206"/>
      <c r="FE1520" s="206"/>
      <c r="FF1520" s="206"/>
      <c r="FG1520" s="206"/>
      <c r="FH1520" s="206"/>
      <c r="FI1520" s="206"/>
      <c r="FJ1520" s="206"/>
      <c r="FK1520" s="206"/>
      <c r="FL1520" s="206"/>
      <c r="FM1520" s="206"/>
      <c r="FN1520" s="206"/>
      <c r="FO1520" s="206"/>
      <c r="FP1520" s="206"/>
      <c r="FQ1520" s="206"/>
      <c r="FR1520" s="206"/>
      <c r="FS1520" s="206"/>
      <c r="FT1520" s="206"/>
      <c r="FU1520" s="206"/>
      <c r="FV1520" s="206"/>
      <c r="FW1520" s="206"/>
      <c r="FX1520" s="206"/>
      <c r="FY1520" s="206"/>
      <c r="FZ1520" s="206"/>
      <c r="GA1520" s="206"/>
      <c r="GB1520" s="206"/>
      <c r="GC1520" s="206"/>
      <c r="GD1520" s="206"/>
      <c r="GE1520" s="206"/>
      <c r="GF1520" s="206"/>
      <c r="GG1520" s="206"/>
      <c r="GH1520" s="206"/>
      <c r="GI1520" s="206"/>
      <c r="GJ1520" s="206"/>
      <c r="GK1520" s="206"/>
      <c r="GL1520" s="206"/>
      <c r="GM1520" s="206"/>
      <c r="GN1520" s="206"/>
      <c r="GO1520" s="206"/>
      <c r="GP1520" s="206"/>
      <c r="GQ1520" s="206"/>
      <c r="GR1520" s="206"/>
      <c r="GS1520" s="206"/>
      <c r="GT1520" s="206"/>
      <c r="GU1520" s="206"/>
      <c r="GV1520" s="206"/>
      <c r="GW1520" s="206"/>
      <c r="GX1520" s="206"/>
      <c r="GY1520" s="206"/>
      <c r="GZ1520" s="206"/>
      <c r="HA1520" s="206"/>
      <c r="HB1520" s="206"/>
      <c r="HC1520" s="206"/>
      <c r="HD1520" s="206"/>
      <c r="HE1520" s="206"/>
      <c r="HF1520" s="206"/>
      <c r="HG1520" s="206"/>
      <c r="HH1520" s="206"/>
      <c r="HI1520" s="206"/>
      <c r="HJ1520" s="206"/>
      <c r="HK1520" s="206"/>
      <c r="HL1520" s="206"/>
      <c r="HM1520" s="206"/>
      <c r="HN1520" s="206"/>
      <c r="HO1520" s="206"/>
      <c r="HP1520" s="206"/>
      <c r="HQ1520" s="206"/>
      <c r="HR1520" s="206"/>
      <c r="HS1520" s="206"/>
      <c r="HT1520" s="206"/>
      <c r="HU1520" s="206"/>
      <c r="HV1520" s="206"/>
      <c r="HW1520" s="206"/>
      <c r="HX1520" s="206"/>
      <c r="HY1520" s="206"/>
      <c r="HZ1520" s="206"/>
      <c r="IA1520" s="206"/>
      <c r="IB1520" s="206"/>
      <c r="IC1520" s="206"/>
      <c r="ID1520" s="206"/>
      <c r="IE1520" s="206"/>
      <c r="IF1520" s="206"/>
      <c r="IG1520" s="206"/>
      <c r="IH1520" s="206"/>
      <c r="II1520" s="206"/>
      <c r="IJ1520" s="206"/>
      <c r="IK1520" s="206"/>
      <c r="IL1520" s="206"/>
      <c r="IM1520" s="206"/>
      <c r="IN1520" s="206"/>
      <c r="IO1520" s="206"/>
      <c r="IP1520" s="206"/>
      <c r="IQ1520" s="206"/>
      <c r="IR1520" s="206"/>
      <c r="IS1520" s="206"/>
      <c r="IT1520" s="206"/>
      <c r="IU1520" s="206"/>
      <c r="IV1520" s="206"/>
      <c r="IW1520" s="206"/>
      <c r="IX1520" s="206"/>
      <c r="IY1520" s="206"/>
      <c r="IZ1520" s="206"/>
      <c r="JA1520" s="206"/>
      <c r="JB1520" s="206"/>
      <c r="JC1520" s="206"/>
      <c r="JD1520" s="206"/>
      <c r="JE1520" s="206"/>
      <c r="JF1520" s="206"/>
      <c r="JG1520" s="206"/>
      <c r="JH1520" s="206"/>
      <c r="JI1520" s="206"/>
      <c r="JJ1520" s="206"/>
      <c r="JK1520" s="206"/>
      <c r="JL1520" s="206"/>
      <c r="JM1520" s="206"/>
      <c r="JN1520" s="206"/>
      <c r="JO1520" s="206"/>
      <c r="JP1520" s="206"/>
      <c r="JQ1520" s="206"/>
      <c r="JR1520" s="206"/>
      <c r="JS1520" s="206"/>
      <c r="JT1520" s="206"/>
      <c r="JU1520" s="206"/>
      <c r="JV1520" s="206"/>
      <c r="JW1520" s="206"/>
      <c r="JX1520" s="206"/>
      <c r="JY1520" s="206"/>
      <c r="JZ1520" s="206"/>
      <c r="KA1520" s="206"/>
      <c r="KB1520" s="206"/>
      <c r="KC1520" s="206"/>
      <c r="KD1520" s="206"/>
      <c r="KE1520" s="206"/>
      <c r="KF1520" s="206"/>
      <c r="KG1520" s="206"/>
      <c r="KH1520" s="206"/>
      <c r="KI1520" s="206"/>
      <c r="KJ1520" s="206"/>
      <c r="KK1520" s="206"/>
      <c r="KL1520" s="206"/>
      <c r="KM1520" s="206"/>
      <c r="KN1520" s="206"/>
      <c r="KO1520" s="206"/>
      <c r="KP1520" s="206"/>
      <c r="KQ1520" s="206"/>
      <c r="KR1520" s="206"/>
      <c r="KS1520" s="206"/>
      <c r="KT1520" s="206"/>
      <c r="KU1520" s="206"/>
      <c r="KV1520" s="206"/>
      <c r="KW1520" s="206"/>
      <c r="KX1520" s="206"/>
      <c r="KY1520" s="206"/>
      <c r="KZ1520" s="206"/>
      <c r="LA1520" s="206"/>
      <c r="LB1520" s="206"/>
      <c r="LC1520" s="206"/>
      <c r="LD1520" s="206"/>
      <c r="LE1520" s="206"/>
      <c r="LF1520" s="206"/>
      <c r="LG1520" s="206"/>
      <c r="LH1520" s="206"/>
      <c r="LI1520" s="206"/>
      <c r="LJ1520" s="206"/>
      <c r="LK1520" s="206"/>
      <c r="LL1520" s="206"/>
      <c r="LM1520" s="206"/>
      <c r="LN1520" s="206"/>
      <c r="LO1520" s="206"/>
      <c r="LP1520" s="206"/>
      <c r="LQ1520" s="206"/>
      <c r="LR1520" s="206"/>
      <c r="LS1520" s="206"/>
      <c r="LT1520" s="206"/>
      <c r="LU1520" s="206"/>
      <c r="LV1520" s="206"/>
      <c r="LW1520" s="206"/>
      <c r="LX1520" s="206"/>
      <c r="LY1520" s="206"/>
      <c r="LZ1520" s="206"/>
      <c r="MA1520" s="206"/>
      <c r="MB1520" s="206"/>
      <c r="MC1520" s="206"/>
      <c r="MD1520" s="206"/>
      <c r="ME1520" s="206"/>
      <c r="MF1520" s="206"/>
      <c r="MG1520" s="206"/>
      <c r="MH1520" s="206"/>
      <c r="MI1520" s="206"/>
      <c r="MJ1520" s="206"/>
      <c r="MK1520" s="206"/>
      <c r="ML1520" s="206"/>
      <c r="MM1520" s="206"/>
      <c r="MN1520" s="206"/>
      <c r="MO1520" s="206"/>
      <c r="MP1520" s="206"/>
      <c r="MQ1520" s="206"/>
      <c r="MR1520" s="206"/>
      <c r="MS1520" s="206"/>
      <c r="MT1520" s="206"/>
      <c r="MU1520" s="206"/>
      <c r="MV1520" s="206"/>
      <c r="MW1520" s="206"/>
      <c r="MX1520" s="206"/>
      <c r="MY1520" s="206"/>
      <c r="MZ1520" s="206"/>
      <c r="NA1520" s="206"/>
      <c r="NB1520" s="206"/>
      <c r="NC1520" s="206"/>
      <c r="ND1520" s="206"/>
      <c r="NE1520" s="206"/>
      <c r="NF1520" s="206"/>
      <c r="NG1520" s="206"/>
      <c r="NH1520" s="206"/>
      <c r="NI1520" s="206"/>
      <c r="NJ1520" s="206"/>
      <c r="NK1520" s="206"/>
      <c r="NL1520" s="206"/>
      <c r="NM1520" s="206"/>
      <c r="NN1520" s="206"/>
      <c r="NO1520" s="206"/>
      <c r="NP1520" s="206"/>
      <c r="NQ1520" s="206"/>
      <c r="NR1520" s="206"/>
      <c r="NS1520" s="206"/>
      <c r="NT1520" s="206"/>
      <c r="NU1520" s="206"/>
      <c r="NV1520" s="206"/>
      <c r="NW1520" s="206"/>
      <c r="NX1520" s="206"/>
      <c r="NY1520" s="206"/>
      <c r="NZ1520" s="206"/>
      <c r="OA1520" s="206"/>
      <c r="OB1520" s="206"/>
      <c r="OC1520" s="206"/>
      <c r="OD1520" s="206"/>
      <c r="OE1520" s="206"/>
      <c r="OF1520" s="206"/>
      <c r="OG1520" s="206"/>
      <c r="OH1520" s="206"/>
      <c r="OI1520" s="206"/>
      <c r="OJ1520" s="206"/>
      <c r="OK1520" s="206"/>
      <c r="OL1520" s="206"/>
      <c r="OM1520" s="206"/>
      <c r="ON1520" s="206"/>
      <c r="OO1520" s="206"/>
      <c r="OP1520" s="206"/>
      <c r="OQ1520" s="206"/>
      <c r="OR1520" s="206"/>
      <c r="OS1520" s="206"/>
      <c r="OT1520" s="206"/>
      <c r="OU1520" s="206"/>
      <c r="OV1520" s="206"/>
      <c r="OW1520" s="206"/>
      <c r="OX1520" s="206"/>
      <c r="OY1520" s="206"/>
      <c r="OZ1520" s="206"/>
      <c r="PA1520" s="206"/>
      <c r="PB1520" s="206"/>
      <c r="PC1520" s="206"/>
      <c r="PD1520" s="206"/>
      <c r="PE1520" s="206"/>
      <c r="PF1520" s="206"/>
      <c r="PG1520" s="206"/>
      <c r="PH1520" s="206"/>
      <c r="PI1520" s="206"/>
      <c r="PJ1520" s="206"/>
      <c r="PK1520" s="206"/>
      <c r="PL1520" s="206"/>
      <c r="PM1520" s="206"/>
      <c r="PN1520" s="206"/>
      <c r="PO1520" s="206"/>
      <c r="PP1520" s="206"/>
      <c r="PQ1520" s="206"/>
      <c r="PR1520" s="206"/>
      <c r="PS1520" s="206"/>
      <c r="PT1520" s="206"/>
      <c r="PU1520" s="206"/>
      <c r="PV1520" s="206"/>
      <c r="PW1520" s="206"/>
      <c r="PX1520" s="206"/>
      <c r="PY1520" s="206"/>
      <c r="PZ1520" s="206"/>
      <c r="QA1520" s="206"/>
      <c r="QB1520" s="206"/>
      <c r="QC1520" s="206"/>
      <c r="QD1520" s="206"/>
      <c r="QE1520" s="206"/>
      <c r="QF1520" s="206"/>
      <c r="QG1520" s="206"/>
      <c r="QH1520" s="206"/>
      <c r="QI1520" s="206"/>
      <c r="QJ1520" s="206"/>
      <c r="QK1520" s="206"/>
      <c r="QL1520" s="206"/>
      <c r="QM1520" s="206"/>
      <c r="QN1520" s="206"/>
      <c r="QO1520" s="206"/>
      <c r="QP1520" s="206"/>
      <c r="QQ1520" s="206"/>
      <c r="QR1520" s="206"/>
      <c r="QS1520" s="206"/>
      <c r="QT1520" s="206"/>
      <c r="QU1520" s="206"/>
      <c r="QV1520" s="206"/>
      <c r="QW1520" s="206"/>
      <c r="QX1520" s="206"/>
      <c r="QY1520" s="206"/>
      <c r="QZ1520" s="206"/>
      <c r="RA1520" s="206"/>
      <c r="RB1520" s="206"/>
      <c r="RC1520" s="206"/>
      <c r="RD1520" s="206"/>
      <c r="RE1520" s="206"/>
      <c r="RF1520" s="206"/>
      <c r="RG1520" s="206"/>
      <c r="RH1520" s="206"/>
      <c r="RI1520" s="206"/>
      <c r="RJ1520" s="206"/>
      <c r="RK1520" s="206"/>
      <c r="RL1520" s="206"/>
      <c r="RM1520" s="206"/>
      <c r="RN1520" s="206"/>
      <c r="RO1520" s="206"/>
      <c r="RP1520" s="206"/>
      <c r="RQ1520" s="206"/>
      <c r="RR1520" s="206"/>
      <c r="RS1520" s="206"/>
      <c r="RT1520" s="206"/>
      <c r="RU1520" s="206"/>
      <c r="RV1520" s="206"/>
      <c r="RW1520" s="206"/>
      <c r="RX1520" s="206"/>
      <c r="RY1520" s="206"/>
      <c r="RZ1520" s="206"/>
      <c r="SA1520" s="206"/>
      <c r="SB1520" s="206"/>
      <c r="SC1520" s="206"/>
      <c r="SD1520" s="206"/>
      <c r="SE1520" s="206"/>
      <c r="SF1520" s="206"/>
      <c r="SG1520" s="206"/>
      <c r="SH1520" s="206"/>
      <c r="SI1520" s="206"/>
      <c r="SJ1520" s="206"/>
      <c r="SK1520" s="206"/>
      <c r="SL1520" s="206"/>
      <c r="SM1520" s="206"/>
      <c r="SN1520" s="206"/>
      <c r="SO1520" s="206"/>
      <c r="SP1520" s="206"/>
      <c r="SQ1520" s="206"/>
      <c r="SR1520" s="206"/>
      <c r="SS1520" s="206"/>
      <c r="ST1520" s="206"/>
      <c r="SU1520" s="206"/>
      <c r="SV1520" s="206"/>
      <c r="SW1520" s="206"/>
      <c r="SX1520" s="206"/>
      <c r="SY1520" s="206"/>
      <c r="SZ1520" s="206"/>
      <c r="TA1520" s="206"/>
      <c r="TB1520" s="206"/>
      <c r="TC1520" s="206"/>
      <c r="TD1520" s="206"/>
      <c r="TE1520" s="206"/>
      <c r="TF1520" s="206"/>
      <c r="TG1520" s="206"/>
      <c r="TH1520" s="206"/>
      <c r="TI1520" s="206"/>
      <c r="TJ1520" s="206"/>
      <c r="TK1520" s="206"/>
      <c r="TL1520" s="206"/>
      <c r="TM1520" s="206"/>
      <c r="TN1520" s="206"/>
      <c r="TO1520" s="206"/>
      <c r="TP1520" s="206"/>
      <c r="TQ1520" s="206"/>
      <c r="TR1520" s="206"/>
      <c r="TS1520" s="206"/>
      <c r="TT1520" s="206"/>
      <c r="TU1520" s="206"/>
      <c r="TV1520" s="206"/>
      <c r="TW1520" s="206"/>
      <c r="TX1520" s="206"/>
      <c r="TY1520" s="206"/>
      <c r="TZ1520" s="206"/>
      <c r="UA1520" s="206"/>
      <c r="UB1520" s="206"/>
      <c r="UC1520" s="206"/>
      <c r="UD1520" s="206"/>
    </row>
    <row r="1521" spans="1:550" s="874" customFormat="1" ht="39" customHeight="1">
      <c r="A1521" s="924" t="s">
        <v>15</v>
      </c>
      <c r="B1521" s="1230"/>
      <c r="C1521" s="1227" t="str">
        <f t="shared" si="228"/>
        <v>Đất trồng cây hàng năm khác (HNK)</v>
      </c>
      <c r="D1521" s="1216" t="str">
        <f t="shared" si="228"/>
        <v>1</v>
      </c>
      <c r="E1521" s="470" t="str">
        <f t="shared" si="228"/>
        <v>443</v>
      </c>
      <c r="F1521" s="1230"/>
      <c r="G1521" s="501" t="s">
        <v>935</v>
      </c>
      <c r="H1521" s="925"/>
      <c r="I1521" s="423">
        <f>I1513</f>
        <v>728.5</v>
      </c>
      <c r="J1521" s="1243">
        <v>53000</v>
      </c>
      <c r="K1521" s="1336">
        <v>1</v>
      </c>
      <c r="L1521" s="1226">
        <f>I1521*J1521*K1521</f>
        <v>38610500</v>
      </c>
      <c r="M1521" s="1226"/>
      <c r="N1521" s="1226"/>
      <c r="O1521" s="1226"/>
      <c r="P1521" s="1226"/>
      <c r="Q1521" s="1134"/>
      <c r="R1521" s="1452"/>
      <c r="S1521" s="486"/>
      <c r="T1521" s="486"/>
      <c r="U1521" s="486"/>
      <c r="V1521" s="486"/>
      <c r="W1521" s="486"/>
      <c r="X1521" s="486"/>
      <c r="Y1521" s="486"/>
      <c r="Z1521" s="486"/>
      <c r="AA1521" s="486"/>
      <c r="AB1521" s="486"/>
      <c r="AC1521" s="486"/>
      <c r="AD1521" s="486"/>
      <c r="AE1521" s="486"/>
      <c r="AF1521" s="486"/>
      <c r="AG1521" s="486"/>
      <c r="AH1521" s="486"/>
      <c r="AI1521" s="486"/>
      <c r="AJ1521" s="486"/>
      <c r="AK1521" s="486"/>
      <c r="AL1521" s="206"/>
      <c r="AM1521" s="206"/>
      <c r="AN1521" s="206"/>
      <c r="AO1521" s="206"/>
      <c r="AP1521" s="206"/>
      <c r="AQ1521" s="206"/>
      <c r="AR1521" s="206"/>
      <c r="AS1521" s="206"/>
      <c r="AT1521" s="206"/>
      <c r="AU1521" s="206"/>
      <c r="AV1521" s="206"/>
      <c r="AW1521" s="206"/>
      <c r="AX1521" s="206"/>
      <c r="AY1521" s="206"/>
      <c r="AZ1521" s="206"/>
      <c r="BA1521" s="206"/>
      <c r="BB1521" s="206"/>
      <c r="BC1521" s="206"/>
      <c r="BD1521" s="206"/>
      <c r="BE1521" s="206"/>
      <c r="BF1521" s="206"/>
      <c r="BG1521" s="206"/>
      <c r="BH1521" s="206"/>
      <c r="BI1521" s="206"/>
      <c r="BJ1521" s="206"/>
      <c r="BK1521" s="206"/>
      <c r="BL1521" s="206"/>
      <c r="BM1521" s="206"/>
      <c r="BN1521" s="206"/>
      <c r="BO1521" s="206"/>
      <c r="BP1521" s="206"/>
      <c r="BQ1521" s="206"/>
      <c r="BR1521" s="206"/>
      <c r="BS1521" s="206"/>
      <c r="BT1521" s="206"/>
      <c r="BU1521" s="206"/>
      <c r="BV1521" s="206"/>
      <c r="BW1521" s="206"/>
      <c r="BX1521" s="206"/>
      <c r="BY1521" s="206"/>
      <c r="BZ1521" s="206"/>
      <c r="CA1521" s="206"/>
      <c r="CB1521" s="206"/>
      <c r="CC1521" s="206"/>
      <c r="CD1521" s="206"/>
      <c r="CE1521" s="206"/>
      <c r="CF1521" s="206"/>
      <c r="CG1521" s="206"/>
      <c r="CH1521" s="206"/>
      <c r="CI1521" s="206"/>
      <c r="CJ1521" s="206"/>
      <c r="CK1521" s="206"/>
      <c r="CL1521" s="206"/>
      <c r="CM1521" s="206"/>
      <c r="CN1521" s="206"/>
      <c r="CO1521" s="206"/>
      <c r="CP1521" s="206"/>
      <c r="CQ1521" s="206"/>
      <c r="CR1521" s="206"/>
      <c r="CS1521" s="206"/>
      <c r="CT1521" s="206"/>
      <c r="CU1521" s="206"/>
      <c r="CV1521" s="206"/>
      <c r="CW1521" s="206"/>
      <c r="CX1521" s="206"/>
      <c r="CY1521" s="206"/>
      <c r="CZ1521" s="206"/>
      <c r="DA1521" s="206"/>
      <c r="DB1521" s="206"/>
      <c r="DC1521" s="206"/>
      <c r="DD1521" s="206"/>
      <c r="DE1521" s="206"/>
      <c r="DF1521" s="206"/>
      <c r="DG1521" s="206"/>
      <c r="DH1521" s="206"/>
      <c r="DI1521" s="206"/>
      <c r="DJ1521" s="206"/>
      <c r="DK1521" s="206"/>
      <c r="DL1521" s="206"/>
      <c r="DM1521" s="206"/>
      <c r="DN1521" s="206"/>
      <c r="DO1521" s="206"/>
      <c r="DP1521" s="206"/>
      <c r="DQ1521" s="206"/>
      <c r="DR1521" s="206"/>
      <c r="DS1521" s="206"/>
      <c r="DT1521" s="206"/>
      <c r="DU1521" s="206"/>
      <c r="DV1521" s="206"/>
      <c r="DW1521" s="206"/>
      <c r="DX1521" s="206"/>
      <c r="DY1521" s="206"/>
      <c r="DZ1521" s="206"/>
      <c r="EA1521" s="206"/>
      <c r="EB1521" s="206"/>
      <c r="EC1521" s="206"/>
      <c r="ED1521" s="206"/>
      <c r="EE1521" s="206"/>
      <c r="EF1521" s="206"/>
      <c r="EG1521" s="206"/>
      <c r="EH1521" s="206"/>
      <c r="EI1521" s="206"/>
      <c r="EJ1521" s="206"/>
      <c r="EK1521" s="206"/>
      <c r="EL1521" s="206"/>
      <c r="EM1521" s="206"/>
      <c r="EN1521" s="206"/>
      <c r="EO1521" s="206"/>
      <c r="EP1521" s="206"/>
      <c r="EQ1521" s="206"/>
      <c r="ER1521" s="206"/>
      <c r="ES1521" s="206"/>
      <c r="ET1521" s="206"/>
      <c r="EU1521" s="206"/>
      <c r="EV1521" s="206"/>
      <c r="EW1521" s="206"/>
      <c r="EX1521" s="206"/>
      <c r="EY1521" s="206"/>
      <c r="EZ1521" s="206"/>
      <c r="FA1521" s="206"/>
      <c r="FB1521" s="206"/>
      <c r="FC1521" s="206"/>
      <c r="FD1521" s="206"/>
      <c r="FE1521" s="206"/>
      <c r="FF1521" s="206"/>
      <c r="FG1521" s="206"/>
      <c r="FH1521" s="206"/>
      <c r="FI1521" s="206"/>
      <c r="FJ1521" s="206"/>
      <c r="FK1521" s="206"/>
      <c r="FL1521" s="206"/>
      <c r="FM1521" s="206"/>
      <c r="FN1521" s="206"/>
      <c r="FO1521" s="206"/>
      <c r="FP1521" s="206"/>
      <c r="FQ1521" s="206"/>
      <c r="FR1521" s="206"/>
      <c r="FS1521" s="206"/>
      <c r="FT1521" s="206"/>
      <c r="FU1521" s="206"/>
      <c r="FV1521" s="206"/>
      <c r="FW1521" s="206"/>
      <c r="FX1521" s="206"/>
      <c r="FY1521" s="206"/>
      <c r="FZ1521" s="206"/>
      <c r="GA1521" s="206"/>
      <c r="GB1521" s="206"/>
      <c r="GC1521" s="206"/>
      <c r="GD1521" s="206"/>
      <c r="GE1521" s="206"/>
      <c r="GF1521" s="206"/>
      <c r="GG1521" s="206"/>
      <c r="GH1521" s="206"/>
      <c r="GI1521" s="206"/>
      <c r="GJ1521" s="206"/>
      <c r="GK1521" s="206"/>
      <c r="GL1521" s="206"/>
      <c r="GM1521" s="206"/>
      <c r="GN1521" s="206"/>
      <c r="GO1521" s="206"/>
      <c r="GP1521" s="206"/>
      <c r="GQ1521" s="206"/>
      <c r="GR1521" s="206"/>
      <c r="GS1521" s="206"/>
      <c r="GT1521" s="206"/>
      <c r="GU1521" s="206"/>
      <c r="GV1521" s="206"/>
      <c r="GW1521" s="206"/>
      <c r="GX1521" s="206"/>
      <c r="GY1521" s="206"/>
      <c r="GZ1521" s="206"/>
      <c r="HA1521" s="206"/>
      <c r="HB1521" s="206"/>
      <c r="HC1521" s="206"/>
      <c r="HD1521" s="206"/>
      <c r="HE1521" s="206"/>
      <c r="HF1521" s="206"/>
      <c r="HG1521" s="206"/>
      <c r="HH1521" s="206"/>
      <c r="HI1521" s="206"/>
      <c r="HJ1521" s="206"/>
      <c r="HK1521" s="206"/>
      <c r="HL1521" s="206"/>
      <c r="HM1521" s="206"/>
      <c r="HN1521" s="206"/>
      <c r="HO1521" s="206"/>
      <c r="HP1521" s="206"/>
      <c r="HQ1521" s="206"/>
      <c r="HR1521" s="206"/>
      <c r="HS1521" s="206"/>
      <c r="HT1521" s="206"/>
      <c r="HU1521" s="206"/>
      <c r="HV1521" s="206"/>
      <c r="HW1521" s="206"/>
      <c r="HX1521" s="206"/>
      <c r="HY1521" s="206"/>
      <c r="HZ1521" s="206"/>
      <c r="IA1521" s="206"/>
      <c r="IB1521" s="206"/>
      <c r="IC1521" s="206"/>
      <c r="ID1521" s="206"/>
      <c r="IE1521" s="206"/>
      <c r="IF1521" s="206"/>
      <c r="IG1521" s="206"/>
      <c r="IH1521" s="206"/>
      <c r="II1521" s="206"/>
      <c r="IJ1521" s="206"/>
      <c r="IK1521" s="206"/>
      <c r="IL1521" s="206"/>
      <c r="IM1521" s="206"/>
      <c r="IN1521" s="206"/>
      <c r="IO1521" s="206"/>
      <c r="IP1521" s="206"/>
      <c r="IQ1521" s="206"/>
      <c r="IR1521" s="206"/>
      <c r="IS1521" s="206"/>
      <c r="IT1521" s="206"/>
      <c r="IU1521" s="206"/>
      <c r="IV1521" s="206"/>
      <c r="IW1521" s="206"/>
      <c r="IX1521" s="206"/>
      <c r="IY1521" s="206"/>
      <c r="IZ1521" s="206"/>
      <c r="JA1521" s="206"/>
      <c r="JB1521" s="206"/>
      <c r="JC1521" s="206"/>
      <c r="JD1521" s="206"/>
      <c r="JE1521" s="206"/>
      <c r="JF1521" s="206"/>
      <c r="JG1521" s="206"/>
      <c r="JH1521" s="206"/>
      <c r="JI1521" s="206"/>
      <c r="JJ1521" s="206"/>
      <c r="JK1521" s="206"/>
      <c r="JL1521" s="206"/>
      <c r="JM1521" s="206"/>
      <c r="JN1521" s="206"/>
      <c r="JO1521" s="206"/>
      <c r="JP1521" s="206"/>
      <c r="JQ1521" s="206"/>
      <c r="JR1521" s="206"/>
      <c r="JS1521" s="206"/>
      <c r="JT1521" s="206"/>
      <c r="JU1521" s="206"/>
      <c r="JV1521" s="206"/>
      <c r="JW1521" s="206"/>
      <c r="JX1521" s="206"/>
      <c r="JY1521" s="206"/>
      <c r="JZ1521" s="206"/>
      <c r="KA1521" s="206"/>
      <c r="KB1521" s="206"/>
      <c r="KC1521" s="206"/>
      <c r="KD1521" s="206"/>
      <c r="KE1521" s="206"/>
      <c r="KF1521" s="206"/>
      <c r="KG1521" s="206"/>
      <c r="KH1521" s="206"/>
      <c r="KI1521" s="206"/>
      <c r="KJ1521" s="206"/>
      <c r="KK1521" s="206"/>
      <c r="KL1521" s="206"/>
      <c r="KM1521" s="206"/>
      <c r="KN1521" s="206"/>
      <c r="KO1521" s="206"/>
      <c r="KP1521" s="206"/>
      <c r="KQ1521" s="206"/>
      <c r="KR1521" s="206"/>
      <c r="KS1521" s="206"/>
      <c r="KT1521" s="206"/>
      <c r="KU1521" s="206"/>
      <c r="KV1521" s="206"/>
      <c r="KW1521" s="206"/>
      <c r="KX1521" s="206"/>
      <c r="KY1521" s="206"/>
      <c r="KZ1521" s="206"/>
      <c r="LA1521" s="206"/>
      <c r="LB1521" s="206"/>
      <c r="LC1521" s="206"/>
      <c r="LD1521" s="206"/>
      <c r="LE1521" s="206"/>
      <c r="LF1521" s="206"/>
      <c r="LG1521" s="206"/>
      <c r="LH1521" s="206"/>
      <c r="LI1521" s="206"/>
      <c r="LJ1521" s="206"/>
      <c r="LK1521" s="206"/>
      <c r="LL1521" s="206"/>
      <c r="LM1521" s="206"/>
      <c r="LN1521" s="206"/>
      <c r="LO1521" s="206"/>
      <c r="LP1521" s="206"/>
      <c r="LQ1521" s="206"/>
      <c r="LR1521" s="206"/>
      <c r="LS1521" s="206"/>
      <c r="LT1521" s="206"/>
      <c r="LU1521" s="206"/>
      <c r="LV1521" s="206"/>
      <c r="LW1521" s="206"/>
      <c r="LX1521" s="206"/>
      <c r="LY1521" s="206"/>
      <c r="LZ1521" s="206"/>
      <c r="MA1521" s="206"/>
      <c r="MB1521" s="206"/>
      <c r="MC1521" s="206"/>
      <c r="MD1521" s="206"/>
      <c r="ME1521" s="206"/>
      <c r="MF1521" s="206"/>
      <c r="MG1521" s="206"/>
      <c r="MH1521" s="206"/>
      <c r="MI1521" s="206"/>
      <c r="MJ1521" s="206"/>
      <c r="MK1521" s="206"/>
      <c r="ML1521" s="206"/>
      <c r="MM1521" s="206"/>
      <c r="MN1521" s="206"/>
      <c r="MO1521" s="206"/>
      <c r="MP1521" s="206"/>
      <c r="MQ1521" s="206"/>
      <c r="MR1521" s="206"/>
      <c r="MS1521" s="206"/>
      <c r="MT1521" s="206"/>
      <c r="MU1521" s="206"/>
      <c r="MV1521" s="206"/>
      <c r="MW1521" s="206"/>
      <c r="MX1521" s="206"/>
      <c r="MY1521" s="206"/>
      <c r="MZ1521" s="206"/>
      <c r="NA1521" s="206"/>
      <c r="NB1521" s="206"/>
      <c r="NC1521" s="206"/>
      <c r="ND1521" s="206"/>
      <c r="NE1521" s="206"/>
      <c r="NF1521" s="206"/>
      <c r="NG1521" s="206"/>
      <c r="NH1521" s="206"/>
      <c r="NI1521" s="206"/>
      <c r="NJ1521" s="206"/>
      <c r="NK1521" s="206"/>
      <c r="NL1521" s="206"/>
      <c r="NM1521" s="206"/>
      <c r="NN1521" s="206"/>
      <c r="NO1521" s="206"/>
      <c r="NP1521" s="206"/>
      <c r="NQ1521" s="206"/>
      <c r="NR1521" s="206"/>
      <c r="NS1521" s="206"/>
      <c r="NT1521" s="206"/>
      <c r="NU1521" s="206"/>
      <c r="NV1521" s="206"/>
      <c r="NW1521" s="206"/>
      <c r="NX1521" s="206"/>
      <c r="NY1521" s="206"/>
      <c r="NZ1521" s="206"/>
      <c r="OA1521" s="206"/>
      <c r="OB1521" s="206"/>
      <c r="OC1521" s="206"/>
      <c r="OD1521" s="206"/>
      <c r="OE1521" s="206"/>
      <c r="OF1521" s="206"/>
      <c r="OG1521" s="206"/>
      <c r="OH1521" s="206"/>
      <c r="OI1521" s="206"/>
      <c r="OJ1521" s="206"/>
      <c r="OK1521" s="206"/>
      <c r="OL1521" s="206"/>
      <c r="OM1521" s="206"/>
      <c r="ON1521" s="206"/>
      <c r="OO1521" s="206"/>
      <c r="OP1521" s="206"/>
      <c r="OQ1521" s="206"/>
      <c r="OR1521" s="206"/>
      <c r="OS1521" s="206"/>
      <c r="OT1521" s="206"/>
      <c r="OU1521" s="206"/>
      <c r="OV1521" s="206"/>
      <c r="OW1521" s="206"/>
      <c r="OX1521" s="206"/>
      <c r="OY1521" s="206"/>
      <c r="OZ1521" s="206"/>
      <c r="PA1521" s="206"/>
      <c r="PB1521" s="206"/>
      <c r="PC1521" s="206"/>
      <c r="PD1521" s="206"/>
      <c r="PE1521" s="206"/>
      <c r="PF1521" s="206"/>
      <c r="PG1521" s="206"/>
      <c r="PH1521" s="206"/>
      <c r="PI1521" s="206"/>
      <c r="PJ1521" s="206"/>
      <c r="PK1521" s="206"/>
      <c r="PL1521" s="206"/>
      <c r="PM1521" s="206"/>
      <c r="PN1521" s="206"/>
      <c r="PO1521" s="206"/>
      <c r="PP1521" s="206"/>
      <c r="PQ1521" s="206"/>
      <c r="PR1521" s="206"/>
      <c r="PS1521" s="206"/>
      <c r="PT1521" s="206"/>
      <c r="PU1521" s="206"/>
      <c r="PV1521" s="206"/>
      <c r="PW1521" s="206"/>
      <c r="PX1521" s="206"/>
      <c r="PY1521" s="206"/>
      <c r="PZ1521" s="206"/>
      <c r="QA1521" s="206"/>
      <c r="QB1521" s="206"/>
      <c r="QC1521" s="206"/>
      <c r="QD1521" s="206"/>
      <c r="QE1521" s="206"/>
      <c r="QF1521" s="206"/>
      <c r="QG1521" s="206"/>
      <c r="QH1521" s="206"/>
      <c r="QI1521" s="206"/>
      <c r="QJ1521" s="206"/>
      <c r="QK1521" s="206"/>
      <c r="QL1521" s="206"/>
      <c r="QM1521" s="206"/>
      <c r="QN1521" s="206"/>
      <c r="QO1521" s="206"/>
      <c r="QP1521" s="206"/>
      <c r="QQ1521" s="206"/>
      <c r="QR1521" s="206"/>
      <c r="QS1521" s="206"/>
      <c r="QT1521" s="206"/>
      <c r="QU1521" s="206"/>
      <c r="QV1521" s="206"/>
      <c r="QW1521" s="206"/>
      <c r="QX1521" s="206"/>
      <c r="QY1521" s="206"/>
      <c r="QZ1521" s="206"/>
      <c r="RA1521" s="206"/>
      <c r="RB1521" s="206"/>
      <c r="RC1521" s="206"/>
      <c r="RD1521" s="206"/>
      <c r="RE1521" s="206"/>
      <c r="RF1521" s="206"/>
      <c r="RG1521" s="206"/>
      <c r="RH1521" s="206"/>
      <c r="RI1521" s="206"/>
      <c r="RJ1521" s="206"/>
      <c r="RK1521" s="206"/>
      <c r="RL1521" s="206"/>
      <c r="RM1521" s="206"/>
      <c r="RN1521" s="206"/>
      <c r="RO1521" s="206"/>
      <c r="RP1521" s="206"/>
      <c r="RQ1521" s="206"/>
      <c r="RR1521" s="206"/>
      <c r="RS1521" s="206"/>
      <c r="RT1521" s="206"/>
      <c r="RU1521" s="206"/>
      <c r="RV1521" s="206"/>
      <c r="RW1521" s="206"/>
      <c r="RX1521" s="206"/>
      <c r="RY1521" s="206"/>
      <c r="RZ1521" s="206"/>
      <c r="SA1521" s="206"/>
      <c r="SB1521" s="206"/>
      <c r="SC1521" s="206"/>
      <c r="SD1521" s="206"/>
      <c r="SE1521" s="206"/>
      <c r="SF1521" s="206"/>
      <c r="SG1521" s="206"/>
      <c r="SH1521" s="206"/>
      <c r="SI1521" s="206"/>
      <c r="SJ1521" s="206"/>
      <c r="SK1521" s="206"/>
      <c r="SL1521" s="206"/>
      <c r="SM1521" s="206"/>
      <c r="SN1521" s="206"/>
      <c r="SO1521" s="206"/>
      <c r="SP1521" s="206"/>
      <c r="SQ1521" s="206"/>
      <c r="SR1521" s="206"/>
      <c r="SS1521" s="206"/>
      <c r="ST1521" s="206"/>
      <c r="SU1521" s="206"/>
      <c r="SV1521" s="206"/>
      <c r="SW1521" s="206"/>
      <c r="SX1521" s="206"/>
      <c r="SY1521" s="206"/>
      <c r="SZ1521" s="206"/>
      <c r="TA1521" s="206"/>
      <c r="TB1521" s="206"/>
      <c r="TC1521" s="206"/>
      <c r="TD1521" s="206"/>
      <c r="TE1521" s="206"/>
      <c r="TF1521" s="206"/>
      <c r="TG1521" s="206"/>
      <c r="TH1521" s="206"/>
      <c r="TI1521" s="206"/>
      <c r="TJ1521" s="206"/>
      <c r="TK1521" s="206"/>
      <c r="TL1521" s="206"/>
      <c r="TM1521" s="206"/>
      <c r="TN1521" s="206"/>
      <c r="TO1521" s="206"/>
      <c r="TP1521" s="206"/>
      <c r="TQ1521" s="206"/>
      <c r="TR1521" s="206"/>
      <c r="TS1521" s="206"/>
      <c r="TT1521" s="206"/>
      <c r="TU1521" s="206"/>
      <c r="TV1521" s="206"/>
      <c r="TW1521" s="206"/>
      <c r="TX1521" s="206"/>
      <c r="TY1521" s="206"/>
      <c r="TZ1521" s="206"/>
      <c r="UA1521" s="206"/>
      <c r="UB1521" s="206"/>
      <c r="UC1521" s="206"/>
      <c r="UD1521" s="206"/>
    </row>
    <row r="1522" spans="1:550" s="874" customFormat="1" ht="39" customHeight="1">
      <c r="A1522" s="924" t="s">
        <v>15</v>
      </c>
      <c r="B1522" s="411"/>
      <c r="C1522" s="1227" t="s">
        <v>1343</v>
      </c>
      <c r="D1522" s="1216" t="str">
        <f t="shared" si="228"/>
        <v>1</v>
      </c>
      <c r="E1522" s="470" t="str">
        <f t="shared" si="228"/>
        <v>35</v>
      </c>
      <c r="F1522" s="1230"/>
      <c r="G1522" s="501" t="s">
        <v>935</v>
      </c>
      <c r="H1522" s="934"/>
      <c r="I1522" s="423">
        <f>I1514</f>
        <v>172.7</v>
      </c>
      <c r="J1522" s="1243">
        <v>62000</v>
      </c>
      <c r="K1522" s="1336">
        <v>1</v>
      </c>
      <c r="L1522" s="1226">
        <f>I1522*J1522*K1522</f>
        <v>10707400</v>
      </c>
      <c r="M1522" s="1226"/>
      <c r="N1522" s="1226"/>
      <c r="O1522" s="1226"/>
      <c r="P1522" s="1226"/>
      <c r="Q1522" s="1175"/>
      <c r="R1522" s="1452"/>
      <c r="S1522" s="486"/>
      <c r="T1522" s="486"/>
      <c r="U1522" s="486"/>
      <c r="V1522" s="486"/>
      <c r="W1522" s="486"/>
      <c r="X1522" s="486"/>
      <c r="Y1522" s="486"/>
      <c r="Z1522" s="486"/>
      <c r="AA1522" s="486"/>
      <c r="AB1522" s="486"/>
      <c r="AC1522" s="486"/>
      <c r="AD1522" s="486"/>
      <c r="AE1522" s="486"/>
      <c r="AF1522" s="486"/>
      <c r="AG1522" s="486"/>
      <c r="AH1522" s="486"/>
      <c r="AI1522" s="486"/>
      <c r="AJ1522" s="486"/>
      <c r="AK1522" s="486"/>
      <c r="AL1522" s="206"/>
      <c r="AM1522" s="206"/>
      <c r="AN1522" s="206"/>
      <c r="AO1522" s="206"/>
      <c r="AP1522" s="206"/>
      <c r="AQ1522" s="206"/>
      <c r="AR1522" s="206"/>
      <c r="AS1522" s="206"/>
      <c r="AT1522" s="206"/>
      <c r="AU1522" s="206"/>
      <c r="AV1522" s="206"/>
      <c r="AW1522" s="206"/>
      <c r="AX1522" s="206"/>
      <c r="AY1522" s="206"/>
      <c r="AZ1522" s="206"/>
      <c r="BA1522" s="206"/>
      <c r="BB1522" s="206"/>
      <c r="BC1522" s="206"/>
      <c r="BD1522" s="206"/>
      <c r="BE1522" s="206"/>
      <c r="BF1522" s="206"/>
      <c r="BG1522" s="206"/>
      <c r="BH1522" s="206"/>
      <c r="BI1522" s="206"/>
      <c r="BJ1522" s="206"/>
      <c r="BK1522" s="206"/>
      <c r="BL1522" s="206"/>
      <c r="BM1522" s="206"/>
      <c r="BN1522" s="206"/>
      <c r="BO1522" s="206"/>
      <c r="BP1522" s="206"/>
      <c r="BQ1522" s="206"/>
      <c r="BR1522" s="206"/>
      <c r="BS1522" s="206"/>
      <c r="BT1522" s="206"/>
      <c r="BU1522" s="206"/>
      <c r="BV1522" s="206"/>
      <c r="BW1522" s="206"/>
      <c r="BX1522" s="206"/>
      <c r="BY1522" s="206"/>
      <c r="BZ1522" s="206"/>
      <c r="CA1522" s="206"/>
      <c r="CB1522" s="206"/>
      <c r="CC1522" s="206"/>
      <c r="CD1522" s="206"/>
      <c r="CE1522" s="206"/>
      <c r="CF1522" s="206"/>
      <c r="CG1522" s="206"/>
      <c r="CH1522" s="206"/>
      <c r="CI1522" s="206"/>
      <c r="CJ1522" s="206"/>
      <c r="CK1522" s="206"/>
      <c r="CL1522" s="206"/>
      <c r="CM1522" s="206"/>
      <c r="CN1522" s="206"/>
      <c r="CO1522" s="206"/>
      <c r="CP1522" s="206"/>
      <c r="CQ1522" s="206"/>
      <c r="CR1522" s="206"/>
      <c r="CS1522" s="206"/>
      <c r="CT1522" s="206"/>
      <c r="CU1522" s="206"/>
      <c r="CV1522" s="206"/>
      <c r="CW1522" s="206"/>
      <c r="CX1522" s="206"/>
      <c r="CY1522" s="206"/>
      <c r="CZ1522" s="206"/>
      <c r="DA1522" s="206"/>
      <c r="DB1522" s="206"/>
      <c r="DC1522" s="206"/>
      <c r="DD1522" s="206"/>
      <c r="DE1522" s="206"/>
      <c r="DF1522" s="206"/>
      <c r="DG1522" s="206"/>
      <c r="DH1522" s="206"/>
      <c r="DI1522" s="206"/>
      <c r="DJ1522" s="206"/>
      <c r="DK1522" s="206"/>
      <c r="DL1522" s="206"/>
      <c r="DM1522" s="206"/>
      <c r="DN1522" s="206"/>
      <c r="DO1522" s="206"/>
      <c r="DP1522" s="206"/>
      <c r="DQ1522" s="206"/>
      <c r="DR1522" s="206"/>
      <c r="DS1522" s="206"/>
      <c r="DT1522" s="206"/>
      <c r="DU1522" s="206"/>
      <c r="DV1522" s="206"/>
      <c r="DW1522" s="206"/>
      <c r="DX1522" s="206"/>
      <c r="DY1522" s="206"/>
      <c r="DZ1522" s="206"/>
      <c r="EA1522" s="206"/>
      <c r="EB1522" s="206"/>
      <c r="EC1522" s="206"/>
      <c r="ED1522" s="206"/>
      <c r="EE1522" s="206"/>
      <c r="EF1522" s="206"/>
      <c r="EG1522" s="206"/>
      <c r="EH1522" s="206"/>
      <c r="EI1522" s="206"/>
      <c r="EJ1522" s="206"/>
      <c r="EK1522" s="206"/>
      <c r="EL1522" s="206"/>
      <c r="EM1522" s="206"/>
      <c r="EN1522" s="206"/>
      <c r="EO1522" s="206"/>
      <c r="EP1522" s="206"/>
      <c r="EQ1522" s="206"/>
      <c r="ER1522" s="206"/>
      <c r="ES1522" s="206"/>
      <c r="ET1522" s="206"/>
      <c r="EU1522" s="206"/>
      <c r="EV1522" s="206"/>
      <c r="EW1522" s="206"/>
      <c r="EX1522" s="206"/>
      <c r="EY1522" s="206"/>
      <c r="EZ1522" s="206"/>
      <c r="FA1522" s="206"/>
      <c r="FB1522" s="206"/>
      <c r="FC1522" s="206"/>
      <c r="FD1522" s="206"/>
      <c r="FE1522" s="206"/>
      <c r="FF1522" s="206"/>
      <c r="FG1522" s="206"/>
      <c r="FH1522" s="206"/>
      <c r="FI1522" s="206"/>
      <c r="FJ1522" s="206"/>
      <c r="FK1522" s="206"/>
      <c r="FL1522" s="206"/>
      <c r="FM1522" s="206"/>
      <c r="FN1522" s="206"/>
      <c r="FO1522" s="206"/>
      <c r="FP1522" s="206"/>
      <c r="FQ1522" s="206"/>
      <c r="FR1522" s="206"/>
      <c r="FS1522" s="206"/>
      <c r="FT1522" s="206"/>
      <c r="FU1522" s="206"/>
      <c r="FV1522" s="206"/>
      <c r="FW1522" s="206"/>
      <c r="FX1522" s="206"/>
      <c r="FY1522" s="206"/>
      <c r="FZ1522" s="206"/>
      <c r="GA1522" s="206"/>
      <c r="GB1522" s="206"/>
      <c r="GC1522" s="206"/>
      <c r="GD1522" s="206"/>
      <c r="GE1522" s="206"/>
      <c r="GF1522" s="206"/>
      <c r="GG1522" s="206"/>
      <c r="GH1522" s="206"/>
      <c r="GI1522" s="206"/>
      <c r="GJ1522" s="206"/>
      <c r="GK1522" s="206"/>
      <c r="GL1522" s="206"/>
      <c r="GM1522" s="206"/>
      <c r="GN1522" s="206"/>
      <c r="GO1522" s="206"/>
      <c r="GP1522" s="206"/>
      <c r="GQ1522" s="206"/>
      <c r="GR1522" s="206"/>
      <c r="GS1522" s="206"/>
      <c r="GT1522" s="206"/>
      <c r="GU1522" s="206"/>
      <c r="GV1522" s="206"/>
      <c r="GW1522" s="206"/>
      <c r="GX1522" s="206"/>
      <c r="GY1522" s="206"/>
      <c r="GZ1522" s="206"/>
      <c r="HA1522" s="206"/>
      <c r="HB1522" s="206"/>
      <c r="HC1522" s="206"/>
      <c r="HD1522" s="206"/>
      <c r="HE1522" s="206"/>
      <c r="HF1522" s="206"/>
      <c r="HG1522" s="206"/>
      <c r="HH1522" s="206"/>
      <c r="HI1522" s="206"/>
      <c r="HJ1522" s="206"/>
      <c r="HK1522" s="206"/>
      <c r="HL1522" s="206"/>
      <c r="HM1522" s="206"/>
      <c r="HN1522" s="206"/>
      <c r="HO1522" s="206"/>
      <c r="HP1522" s="206"/>
      <c r="HQ1522" s="206"/>
      <c r="HR1522" s="206"/>
      <c r="HS1522" s="206"/>
      <c r="HT1522" s="206"/>
      <c r="HU1522" s="206"/>
      <c r="HV1522" s="206"/>
      <c r="HW1522" s="206"/>
      <c r="HX1522" s="206"/>
      <c r="HY1522" s="206"/>
      <c r="HZ1522" s="206"/>
      <c r="IA1522" s="206"/>
      <c r="IB1522" s="206"/>
      <c r="IC1522" s="206"/>
      <c r="ID1522" s="206"/>
      <c r="IE1522" s="206"/>
      <c r="IF1522" s="206"/>
      <c r="IG1522" s="206"/>
      <c r="IH1522" s="206"/>
      <c r="II1522" s="206"/>
      <c r="IJ1522" s="206"/>
      <c r="IK1522" s="206"/>
      <c r="IL1522" s="206"/>
      <c r="IM1522" s="206"/>
      <c r="IN1522" s="206"/>
      <c r="IO1522" s="206"/>
      <c r="IP1522" s="206"/>
      <c r="IQ1522" s="206"/>
      <c r="IR1522" s="206"/>
      <c r="IS1522" s="206"/>
      <c r="IT1522" s="206"/>
      <c r="IU1522" s="206"/>
      <c r="IV1522" s="206"/>
      <c r="IW1522" s="206"/>
      <c r="IX1522" s="206"/>
      <c r="IY1522" s="206"/>
      <c r="IZ1522" s="206"/>
      <c r="JA1522" s="206"/>
      <c r="JB1522" s="206"/>
      <c r="JC1522" s="206"/>
      <c r="JD1522" s="206"/>
      <c r="JE1522" s="206"/>
      <c r="JF1522" s="206"/>
      <c r="JG1522" s="206"/>
      <c r="JH1522" s="206"/>
      <c r="JI1522" s="206"/>
      <c r="JJ1522" s="206"/>
      <c r="JK1522" s="206"/>
      <c r="JL1522" s="206"/>
      <c r="JM1522" s="206"/>
      <c r="JN1522" s="206"/>
      <c r="JO1522" s="206"/>
      <c r="JP1522" s="206"/>
      <c r="JQ1522" s="206"/>
      <c r="JR1522" s="206"/>
      <c r="JS1522" s="206"/>
      <c r="JT1522" s="206"/>
      <c r="JU1522" s="206"/>
      <c r="JV1522" s="206"/>
      <c r="JW1522" s="206"/>
      <c r="JX1522" s="206"/>
      <c r="JY1522" s="206"/>
      <c r="JZ1522" s="206"/>
      <c r="KA1522" s="206"/>
      <c r="KB1522" s="206"/>
      <c r="KC1522" s="206"/>
      <c r="KD1522" s="206"/>
      <c r="KE1522" s="206"/>
      <c r="KF1522" s="206"/>
      <c r="KG1522" s="206"/>
      <c r="KH1522" s="206"/>
      <c r="KI1522" s="206"/>
      <c r="KJ1522" s="206"/>
      <c r="KK1522" s="206"/>
      <c r="KL1522" s="206"/>
      <c r="KM1522" s="206"/>
      <c r="KN1522" s="206"/>
      <c r="KO1522" s="206"/>
      <c r="KP1522" s="206"/>
      <c r="KQ1522" s="206"/>
      <c r="KR1522" s="206"/>
      <c r="KS1522" s="206"/>
      <c r="KT1522" s="206"/>
      <c r="KU1522" s="206"/>
      <c r="KV1522" s="206"/>
      <c r="KW1522" s="206"/>
      <c r="KX1522" s="206"/>
      <c r="KY1522" s="206"/>
      <c r="KZ1522" s="206"/>
      <c r="LA1522" s="206"/>
      <c r="LB1522" s="206"/>
      <c r="LC1522" s="206"/>
      <c r="LD1522" s="206"/>
      <c r="LE1522" s="206"/>
      <c r="LF1522" s="206"/>
      <c r="LG1522" s="206"/>
      <c r="LH1522" s="206"/>
      <c r="LI1522" s="206"/>
      <c r="LJ1522" s="206"/>
      <c r="LK1522" s="206"/>
      <c r="LL1522" s="206"/>
      <c r="LM1522" s="206"/>
      <c r="LN1522" s="206"/>
      <c r="LO1522" s="206"/>
      <c r="LP1522" s="206"/>
      <c r="LQ1522" s="206"/>
      <c r="LR1522" s="206"/>
      <c r="LS1522" s="206"/>
      <c r="LT1522" s="206"/>
      <c r="LU1522" s="206"/>
      <c r="LV1522" s="206"/>
      <c r="LW1522" s="206"/>
      <c r="LX1522" s="206"/>
      <c r="LY1522" s="206"/>
      <c r="LZ1522" s="206"/>
      <c r="MA1522" s="206"/>
      <c r="MB1522" s="206"/>
      <c r="MC1522" s="206"/>
      <c r="MD1522" s="206"/>
      <c r="ME1522" s="206"/>
      <c r="MF1522" s="206"/>
      <c r="MG1522" s="206"/>
      <c r="MH1522" s="206"/>
      <c r="MI1522" s="206"/>
      <c r="MJ1522" s="206"/>
      <c r="MK1522" s="206"/>
      <c r="ML1522" s="206"/>
      <c r="MM1522" s="206"/>
      <c r="MN1522" s="206"/>
      <c r="MO1522" s="206"/>
      <c r="MP1522" s="206"/>
      <c r="MQ1522" s="206"/>
      <c r="MR1522" s="206"/>
      <c r="MS1522" s="206"/>
      <c r="MT1522" s="206"/>
      <c r="MU1522" s="206"/>
      <c r="MV1522" s="206"/>
      <c r="MW1522" s="206"/>
      <c r="MX1522" s="206"/>
      <c r="MY1522" s="206"/>
      <c r="MZ1522" s="206"/>
      <c r="NA1522" s="206"/>
      <c r="NB1522" s="206"/>
      <c r="NC1522" s="206"/>
      <c r="ND1522" s="206"/>
      <c r="NE1522" s="206"/>
      <c r="NF1522" s="206"/>
      <c r="NG1522" s="206"/>
      <c r="NH1522" s="206"/>
      <c r="NI1522" s="206"/>
      <c r="NJ1522" s="206"/>
      <c r="NK1522" s="206"/>
      <c r="NL1522" s="206"/>
      <c r="NM1522" s="206"/>
      <c r="NN1522" s="206"/>
      <c r="NO1522" s="206"/>
      <c r="NP1522" s="206"/>
      <c r="NQ1522" s="206"/>
      <c r="NR1522" s="206"/>
      <c r="NS1522" s="206"/>
      <c r="NT1522" s="206"/>
      <c r="NU1522" s="206"/>
      <c r="NV1522" s="206"/>
      <c r="NW1522" s="206"/>
      <c r="NX1522" s="206"/>
      <c r="NY1522" s="206"/>
      <c r="NZ1522" s="206"/>
      <c r="OA1522" s="206"/>
      <c r="OB1522" s="206"/>
      <c r="OC1522" s="206"/>
      <c r="OD1522" s="206"/>
      <c r="OE1522" s="206"/>
      <c r="OF1522" s="206"/>
      <c r="OG1522" s="206"/>
      <c r="OH1522" s="206"/>
      <c r="OI1522" s="206"/>
      <c r="OJ1522" s="206"/>
      <c r="OK1522" s="206"/>
      <c r="OL1522" s="206"/>
      <c r="OM1522" s="206"/>
      <c r="ON1522" s="206"/>
      <c r="OO1522" s="206"/>
      <c r="OP1522" s="206"/>
      <c r="OQ1522" s="206"/>
      <c r="OR1522" s="206"/>
      <c r="OS1522" s="206"/>
      <c r="OT1522" s="206"/>
      <c r="OU1522" s="206"/>
      <c r="OV1522" s="206"/>
      <c r="OW1522" s="206"/>
      <c r="OX1522" s="206"/>
      <c r="OY1522" s="206"/>
      <c r="OZ1522" s="206"/>
      <c r="PA1522" s="206"/>
      <c r="PB1522" s="206"/>
      <c r="PC1522" s="206"/>
      <c r="PD1522" s="206"/>
      <c r="PE1522" s="206"/>
      <c r="PF1522" s="206"/>
      <c r="PG1522" s="206"/>
      <c r="PH1522" s="206"/>
      <c r="PI1522" s="206"/>
      <c r="PJ1522" s="206"/>
      <c r="PK1522" s="206"/>
      <c r="PL1522" s="206"/>
      <c r="PM1522" s="206"/>
      <c r="PN1522" s="206"/>
      <c r="PO1522" s="206"/>
      <c r="PP1522" s="206"/>
      <c r="PQ1522" s="206"/>
      <c r="PR1522" s="206"/>
      <c r="PS1522" s="206"/>
      <c r="PT1522" s="206"/>
      <c r="PU1522" s="206"/>
      <c r="PV1522" s="206"/>
      <c r="PW1522" s="206"/>
      <c r="PX1522" s="206"/>
      <c r="PY1522" s="206"/>
      <c r="PZ1522" s="206"/>
      <c r="QA1522" s="206"/>
      <c r="QB1522" s="206"/>
      <c r="QC1522" s="206"/>
      <c r="QD1522" s="206"/>
      <c r="QE1522" s="206"/>
      <c r="QF1522" s="206"/>
      <c r="QG1522" s="206"/>
      <c r="QH1522" s="206"/>
      <c r="QI1522" s="206"/>
      <c r="QJ1522" s="206"/>
      <c r="QK1522" s="206"/>
      <c r="QL1522" s="206"/>
      <c r="QM1522" s="206"/>
      <c r="QN1522" s="206"/>
      <c r="QO1522" s="206"/>
      <c r="QP1522" s="206"/>
      <c r="QQ1522" s="206"/>
      <c r="QR1522" s="206"/>
      <c r="QS1522" s="206"/>
      <c r="QT1522" s="206"/>
      <c r="QU1522" s="206"/>
      <c r="QV1522" s="206"/>
      <c r="QW1522" s="206"/>
      <c r="QX1522" s="206"/>
      <c r="QY1522" s="206"/>
      <c r="QZ1522" s="206"/>
      <c r="RA1522" s="206"/>
      <c r="RB1522" s="206"/>
      <c r="RC1522" s="206"/>
      <c r="RD1522" s="206"/>
      <c r="RE1522" s="206"/>
      <c r="RF1522" s="206"/>
      <c r="RG1522" s="206"/>
      <c r="RH1522" s="206"/>
      <c r="RI1522" s="206"/>
      <c r="RJ1522" s="206"/>
      <c r="RK1522" s="206"/>
      <c r="RL1522" s="206"/>
      <c r="RM1522" s="206"/>
      <c r="RN1522" s="206"/>
      <c r="RO1522" s="206"/>
      <c r="RP1522" s="206"/>
      <c r="RQ1522" s="206"/>
      <c r="RR1522" s="206"/>
      <c r="RS1522" s="206"/>
      <c r="RT1522" s="206"/>
      <c r="RU1522" s="206"/>
      <c r="RV1522" s="206"/>
      <c r="RW1522" s="206"/>
      <c r="RX1522" s="206"/>
      <c r="RY1522" s="206"/>
      <c r="RZ1522" s="206"/>
      <c r="SA1522" s="206"/>
      <c r="SB1522" s="206"/>
      <c r="SC1522" s="206"/>
      <c r="SD1522" s="206"/>
      <c r="SE1522" s="206"/>
      <c r="SF1522" s="206"/>
      <c r="SG1522" s="206"/>
      <c r="SH1522" s="206"/>
      <c r="SI1522" s="206"/>
      <c r="SJ1522" s="206"/>
      <c r="SK1522" s="206"/>
      <c r="SL1522" s="206"/>
      <c r="SM1522" s="206"/>
      <c r="SN1522" s="206"/>
      <c r="SO1522" s="206"/>
      <c r="SP1522" s="206"/>
      <c r="SQ1522" s="206"/>
      <c r="SR1522" s="206"/>
      <c r="SS1522" s="206"/>
      <c r="ST1522" s="206"/>
      <c r="SU1522" s="206"/>
      <c r="SV1522" s="206"/>
      <c r="SW1522" s="206"/>
      <c r="SX1522" s="206"/>
      <c r="SY1522" s="206"/>
      <c r="SZ1522" s="206"/>
      <c r="TA1522" s="206"/>
      <c r="TB1522" s="206"/>
      <c r="TC1522" s="206"/>
      <c r="TD1522" s="206"/>
      <c r="TE1522" s="206"/>
      <c r="TF1522" s="206"/>
      <c r="TG1522" s="206"/>
      <c r="TH1522" s="206"/>
      <c r="TI1522" s="206"/>
      <c r="TJ1522" s="206"/>
      <c r="TK1522" s="206"/>
      <c r="TL1522" s="206"/>
      <c r="TM1522" s="206"/>
      <c r="TN1522" s="206"/>
      <c r="TO1522" s="206"/>
      <c r="TP1522" s="206"/>
      <c r="TQ1522" s="206"/>
      <c r="TR1522" s="206"/>
      <c r="TS1522" s="206"/>
      <c r="TT1522" s="206"/>
      <c r="TU1522" s="206"/>
      <c r="TV1522" s="206"/>
      <c r="TW1522" s="206"/>
      <c r="TX1522" s="206"/>
      <c r="TY1522" s="206"/>
      <c r="TZ1522" s="206"/>
      <c r="UA1522" s="206"/>
      <c r="UB1522" s="206"/>
      <c r="UC1522" s="206"/>
      <c r="UD1522" s="206"/>
    </row>
    <row r="1523" spans="1:550" s="874" customFormat="1" ht="39" customHeight="1">
      <c r="A1523" s="924" t="s">
        <v>15</v>
      </c>
      <c r="B1523" s="411"/>
      <c r="C1523" s="1227" t="str">
        <f t="shared" ref="C1523:E1523" si="229">C1515</f>
        <v>Đất chuyên trồng lúa nước (LUC)</v>
      </c>
      <c r="D1523" s="1216" t="str">
        <f t="shared" si="229"/>
        <v>1</v>
      </c>
      <c r="E1523" s="470" t="str">
        <f t="shared" si="229"/>
        <v>196</v>
      </c>
      <c r="F1523" s="1230"/>
      <c r="G1523" s="501" t="s">
        <v>935</v>
      </c>
      <c r="H1523" s="934"/>
      <c r="I1523" s="423">
        <f>I1515</f>
        <v>235.9</v>
      </c>
      <c r="J1523" s="1243">
        <v>72000</v>
      </c>
      <c r="K1523" s="1336">
        <v>3</v>
      </c>
      <c r="L1523" s="1226">
        <f>I1523*J1523*K1523</f>
        <v>50954400</v>
      </c>
      <c r="M1523" s="1226"/>
      <c r="N1523" s="1226"/>
      <c r="O1523" s="1226"/>
      <c r="P1523" s="1226"/>
      <c r="Q1523" s="1175"/>
      <c r="R1523" s="1452"/>
      <c r="S1523" s="486"/>
      <c r="T1523" s="486"/>
      <c r="U1523" s="486"/>
      <c r="V1523" s="486"/>
      <c r="W1523" s="486"/>
      <c r="X1523" s="486"/>
      <c r="Y1523" s="486"/>
      <c r="Z1523" s="486"/>
      <c r="AA1523" s="486"/>
      <c r="AB1523" s="486"/>
      <c r="AC1523" s="486"/>
      <c r="AD1523" s="486"/>
      <c r="AE1523" s="486"/>
      <c r="AF1523" s="486"/>
      <c r="AG1523" s="486"/>
      <c r="AH1523" s="486"/>
      <c r="AI1523" s="486"/>
      <c r="AJ1523" s="486"/>
      <c r="AK1523" s="486"/>
      <c r="AL1523" s="206"/>
      <c r="AM1523" s="206"/>
      <c r="AN1523" s="206"/>
      <c r="AO1523" s="206"/>
      <c r="AP1523" s="206"/>
      <c r="AQ1523" s="206"/>
      <c r="AR1523" s="206"/>
      <c r="AS1523" s="206"/>
      <c r="AT1523" s="206"/>
      <c r="AU1523" s="206"/>
      <c r="AV1523" s="206"/>
      <c r="AW1523" s="206"/>
      <c r="AX1523" s="206"/>
      <c r="AY1523" s="206"/>
      <c r="AZ1523" s="206"/>
      <c r="BA1523" s="206"/>
      <c r="BB1523" s="206"/>
      <c r="BC1523" s="206"/>
      <c r="BD1523" s="206"/>
      <c r="BE1523" s="206"/>
      <c r="BF1523" s="206"/>
      <c r="BG1523" s="206"/>
      <c r="BH1523" s="206"/>
      <c r="BI1523" s="206"/>
      <c r="BJ1523" s="206"/>
      <c r="BK1523" s="206"/>
      <c r="BL1523" s="206"/>
      <c r="BM1523" s="206"/>
      <c r="BN1523" s="206"/>
      <c r="BO1523" s="206"/>
      <c r="BP1523" s="206"/>
      <c r="BQ1523" s="206"/>
      <c r="BR1523" s="206"/>
      <c r="BS1523" s="206"/>
      <c r="BT1523" s="206"/>
      <c r="BU1523" s="206"/>
      <c r="BV1523" s="206"/>
      <c r="BW1523" s="206"/>
      <c r="BX1523" s="206"/>
      <c r="BY1523" s="206"/>
      <c r="BZ1523" s="206"/>
      <c r="CA1523" s="206"/>
      <c r="CB1523" s="206"/>
      <c r="CC1523" s="206"/>
      <c r="CD1523" s="206"/>
      <c r="CE1523" s="206"/>
      <c r="CF1523" s="206"/>
      <c r="CG1523" s="206"/>
      <c r="CH1523" s="206"/>
      <c r="CI1523" s="206"/>
      <c r="CJ1523" s="206"/>
      <c r="CK1523" s="206"/>
      <c r="CL1523" s="206"/>
      <c r="CM1523" s="206"/>
      <c r="CN1523" s="206"/>
      <c r="CO1523" s="206"/>
      <c r="CP1523" s="206"/>
      <c r="CQ1523" s="206"/>
      <c r="CR1523" s="206"/>
      <c r="CS1523" s="206"/>
      <c r="CT1523" s="206"/>
      <c r="CU1523" s="206"/>
      <c r="CV1523" s="206"/>
      <c r="CW1523" s="206"/>
      <c r="CX1523" s="206"/>
      <c r="CY1523" s="206"/>
      <c r="CZ1523" s="206"/>
      <c r="DA1523" s="206"/>
      <c r="DB1523" s="206"/>
      <c r="DC1523" s="206"/>
      <c r="DD1523" s="206"/>
      <c r="DE1523" s="206"/>
      <c r="DF1523" s="206"/>
      <c r="DG1523" s="206"/>
      <c r="DH1523" s="206"/>
      <c r="DI1523" s="206"/>
      <c r="DJ1523" s="206"/>
      <c r="DK1523" s="206"/>
      <c r="DL1523" s="206"/>
      <c r="DM1523" s="206"/>
      <c r="DN1523" s="206"/>
      <c r="DO1523" s="206"/>
      <c r="DP1523" s="206"/>
      <c r="DQ1523" s="206"/>
      <c r="DR1523" s="206"/>
      <c r="DS1523" s="206"/>
      <c r="DT1523" s="206"/>
      <c r="DU1523" s="206"/>
      <c r="DV1523" s="206"/>
      <c r="DW1523" s="206"/>
      <c r="DX1523" s="206"/>
      <c r="DY1523" s="206"/>
      <c r="DZ1523" s="206"/>
      <c r="EA1523" s="206"/>
      <c r="EB1523" s="206"/>
      <c r="EC1523" s="206"/>
      <c r="ED1523" s="206"/>
      <c r="EE1523" s="206"/>
      <c r="EF1523" s="206"/>
      <c r="EG1523" s="206"/>
      <c r="EH1523" s="206"/>
      <c r="EI1523" s="206"/>
      <c r="EJ1523" s="206"/>
      <c r="EK1523" s="206"/>
      <c r="EL1523" s="206"/>
      <c r="EM1523" s="206"/>
      <c r="EN1523" s="206"/>
      <c r="EO1523" s="206"/>
      <c r="EP1523" s="206"/>
      <c r="EQ1523" s="206"/>
      <c r="ER1523" s="206"/>
      <c r="ES1523" s="206"/>
      <c r="ET1523" s="206"/>
      <c r="EU1523" s="206"/>
      <c r="EV1523" s="206"/>
      <c r="EW1523" s="206"/>
      <c r="EX1523" s="206"/>
      <c r="EY1523" s="206"/>
      <c r="EZ1523" s="206"/>
      <c r="FA1523" s="206"/>
      <c r="FB1523" s="206"/>
      <c r="FC1523" s="206"/>
      <c r="FD1523" s="206"/>
      <c r="FE1523" s="206"/>
      <c r="FF1523" s="206"/>
      <c r="FG1523" s="206"/>
      <c r="FH1523" s="206"/>
      <c r="FI1523" s="206"/>
      <c r="FJ1523" s="206"/>
      <c r="FK1523" s="206"/>
      <c r="FL1523" s="206"/>
      <c r="FM1523" s="206"/>
      <c r="FN1523" s="206"/>
      <c r="FO1523" s="206"/>
      <c r="FP1523" s="206"/>
      <c r="FQ1523" s="206"/>
      <c r="FR1523" s="206"/>
      <c r="FS1523" s="206"/>
      <c r="FT1523" s="206"/>
      <c r="FU1523" s="206"/>
      <c r="FV1523" s="206"/>
      <c r="FW1523" s="206"/>
      <c r="FX1523" s="206"/>
      <c r="FY1523" s="206"/>
      <c r="FZ1523" s="206"/>
      <c r="GA1523" s="206"/>
      <c r="GB1523" s="206"/>
      <c r="GC1523" s="206"/>
      <c r="GD1523" s="206"/>
      <c r="GE1523" s="206"/>
      <c r="GF1523" s="206"/>
      <c r="GG1523" s="206"/>
      <c r="GH1523" s="206"/>
      <c r="GI1523" s="206"/>
      <c r="GJ1523" s="206"/>
      <c r="GK1523" s="206"/>
      <c r="GL1523" s="206"/>
      <c r="GM1523" s="206"/>
      <c r="GN1523" s="206"/>
      <c r="GO1523" s="206"/>
      <c r="GP1523" s="206"/>
      <c r="GQ1523" s="206"/>
      <c r="GR1523" s="206"/>
      <c r="GS1523" s="206"/>
      <c r="GT1523" s="206"/>
      <c r="GU1523" s="206"/>
      <c r="GV1523" s="206"/>
      <c r="GW1523" s="206"/>
      <c r="GX1523" s="206"/>
      <c r="GY1523" s="206"/>
      <c r="GZ1523" s="206"/>
      <c r="HA1523" s="206"/>
      <c r="HB1523" s="206"/>
      <c r="HC1523" s="206"/>
      <c r="HD1523" s="206"/>
      <c r="HE1523" s="206"/>
      <c r="HF1523" s="206"/>
      <c r="HG1523" s="206"/>
      <c r="HH1523" s="206"/>
      <c r="HI1523" s="206"/>
      <c r="HJ1523" s="206"/>
      <c r="HK1523" s="206"/>
      <c r="HL1523" s="206"/>
      <c r="HM1523" s="206"/>
      <c r="HN1523" s="206"/>
      <c r="HO1523" s="206"/>
      <c r="HP1523" s="206"/>
      <c r="HQ1523" s="206"/>
      <c r="HR1523" s="206"/>
      <c r="HS1523" s="206"/>
      <c r="HT1523" s="206"/>
      <c r="HU1523" s="206"/>
      <c r="HV1523" s="206"/>
      <c r="HW1523" s="206"/>
      <c r="HX1523" s="206"/>
      <c r="HY1523" s="206"/>
      <c r="HZ1523" s="206"/>
      <c r="IA1523" s="206"/>
      <c r="IB1523" s="206"/>
      <c r="IC1523" s="206"/>
      <c r="ID1523" s="206"/>
      <c r="IE1523" s="206"/>
      <c r="IF1523" s="206"/>
      <c r="IG1523" s="206"/>
      <c r="IH1523" s="206"/>
      <c r="II1523" s="206"/>
      <c r="IJ1523" s="206"/>
      <c r="IK1523" s="206"/>
      <c r="IL1523" s="206"/>
      <c r="IM1523" s="206"/>
      <c r="IN1523" s="206"/>
      <c r="IO1523" s="206"/>
      <c r="IP1523" s="206"/>
      <c r="IQ1523" s="206"/>
      <c r="IR1523" s="206"/>
      <c r="IS1523" s="206"/>
      <c r="IT1523" s="206"/>
      <c r="IU1523" s="206"/>
      <c r="IV1523" s="206"/>
      <c r="IW1523" s="206"/>
      <c r="IX1523" s="206"/>
      <c r="IY1523" s="206"/>
      <c r="IZ1523" s="206"/>
      <c r="JA1523" s="206"/>
      <c r="JB1523" s="206"/>
      <c r="JC1523" s="206"/>
      <c r="JD1523" s="206"/>
      <c r="JE1523" s="206"/>
      <c r="JF1523" s="206"/>
      <c r="JG1523" s="206"/>
      <c r="JH1523" s="206"/>
      <c r="JI1523" s="206"/>
      <c r="JJ1523" s="206"/>
      <c r="JK1523" s="206"/>
      <c r="JL1523" s="206"/>
      <c r="JM1523" s="206"/>
      <c r="JN1523" s="206"/>
      <c r="JO1523" s="206"/>
      <c r="JP1523" s="206"/>
      <c r="JQ1523" s="206"/>
      <c r="JR1523" s="206"/>
      <c r="JS1523" s="206"/>
      <c r="JT1523" s="206"/>
      <c r="JU1523" s="206"/>
      <c r="JV1523" s="206"/>
      <c r="JW1523" s="206"/>
      <c r="JX1523" s="206"/>
      <c r="JY1523" s="206"/>
      <c r="JZ1523" s="206"/>
      <c r="KA1523" s="206"/>
      <c r="KB1523" s="206"/>
      <c r="KC1523" s="206"/>
      <c r="KD1523" s="206"/>
      <c r="KE1523" s="206"/>
      <c r="KF1523" s="206"/>
      <c r="KG1523" s="206"/>
      <c r="KH1523" s="206"/>
      <c r="KI1523" s="206"/>
      <c r="KJ1523" s="206"/>
      <c r="KK1523" s="206"/>
      <c r="KL1523" s="206"/>
      <c r="KM1523" s="206"/>
      <c r="KN1523" s="206"/>
      <c r="KO1523" s="206"/>
      <c r="KP1523" s="206"/>
      <c r="KQ1523" s="206"/>
      <c r="KR1523" s="206"/>
      <c r="KS1523" s="206"/>
      <c r="KT1523" s="206"/>
      <c r="KU1523" s="206"/>
      <c r="KV1523" s="206"/>
      <c r="KW1523" s="206"/>
      <c r="KX1523" s="206"/>
      <c r="KY1523" s="206"/>
      <c r="KZ1523" s="206"/>
      <c r="LA1523" s="206"/>
      <c r="LB1523" s="206"/>
      <c r="LC1523" s="206"/>
      <c r="LD1523" s="206"/>
      <c r="LE1523" s="206"/>
      <c r="LF1523" s="206"/>
      <c r="LG1523" s="206"/>
      <c r="LH1523" s="206"/>
      <c r="LI1523" s="206"/>
      <c r="LJ1523" s="206"/>
      <c r="LK1523" s="206"/>
      <c r="LL1523" s="206"/>
      <c r="LM1523" s="206"/>
      <c r="LN1523" s="206"/>
      <c r="LO1523" s="206"/>
      <c r="LP1523" s="206"/>
      <c r="LQ1523" s="206"/>
      <c r="LR1523" s="206"/>
      <c r="LS1523" s="206"/>
      <c r="LT1523" s="206"/>
      <c r="LU1523" s="206"/>
      <c r="LV1523" s="206"/>
      <c r="LW1523" s="206"/>
      <c r="LX1523" s="206"/>
      <c r="LY1523" s="206"/>
      <c r="LZ1523" s="206"/>
      <c r="MA1523" s="206"/>
      <c r="MB1523" s="206"/>
      <c r="MC1523" s="206"/>
      <c r="MD1523" s="206"/>
      <c r="ME1523" s="206"/>
      <c r="MF1523" s="206"/>
      <c r="MG1523" s="206"/>
      <c r="MH1523" s="206"/>
      <c r="MI1523" s="206"/>
      <c r="MJ1523" s="206"/>
      <c r="MK1523" s="206"/>
      <c r="ML1523" s="206"/>
      <c r="MM1523" s="206"/>
      <c r="MN1523" s="206"/>
      <c r="MO1523" s="206"/>
      <c r="MP1523" s="206"/>
      <c r="MQ1523" s="206"/>
      <c r="MR1523" s="206"/>
      <c r="MS1523" s="206"/>
      <c r="MT1523" s="206"/>
      <c r="MU1523" s="206"/>
      <c r="MV1523" s="206"/>
      <c r="MW1523" s="206"/>
      <c r="MX1523" s="206"/>
      <c r="MY1523" s="206"/>
      <c r="MZ1523" s="206"/>
      <c r="NA1523" s="206"/>
      <c r="NB1523" s="206"/>
      <c r="NC1523" s="206"/>
      <c r="ND1523" s="206"/>
      <c r="NE1523" s="206"/>
      <c r="NF1523" s="206"/>
      <c r="NG1523" s="206"/>
      <c r="NH1523" s="206"/>
      <c r="NI1523" s="206"/>
      <c r="NJ1523" s="206"/>
      <c r="NK1523" s="206"/>
      <c r="NL1523" s="206"/>
      <c r="NM1523" s="206"/>
      <c r="NN1523" s="206"/>
      <c r="NO1523" s="206"/>
      <c r="NP1523" s="206"/>
      <c r="NQ1523" s="206"/>
      <c r="NR1523" s="206"/>
      <c r="NS1523" s="206"/>
      <c r="NT1523" s="206"/>
      <c r="NU1523" s="206"/>
      <c r="NV1523" s="206"/>
      <c r="NW1523" s="206"/>
      <c r="NX1523" s="206"/>
      <c r="NY1523" s="206"/>
      <c r="NZ1523" s="206"/>
      <c r="OA1523" s="206"/>
      <c r="OB1523" s="206"/>
      <c r="OC1523" s="206"/>
      <c r="OD1523" s="206"/>
      <c r="OE1523" s="206"/>
      <c r="OF1523" s="206"/>
      <c r="OG1523" s="206"/>
      <c r="OH1523" s="206"/>
      <c r="OI1523" s="206"/>
      <c r="OJ1523" s="206"/>
      <c r="OK1523" s="206"/>
      <c r="OL1523" s="206"/>
      <c r="OM1523" s="206"/>
      <c r="ON1523" s="206"/>
      <c r="OO1523" s="206"/>
      <c r="OP1523" s="206"/>
      <c r="OQ1523" s="206"/>
      <c r="OR1523" s="206"/>
      <c r="OS1523" s="206"/>
      <c r="OT1523" s="206"/>
      <c r="OU1523" s="206"/>
      <c r="OV1523" s="206"/>
      <c r="OW1523" s="206"/>
      <c r="OX1523" s="206"/>
      <c r="OY1523" s="206"/>
      <c r="OZ1523" s="206"/>
      <c r="PA1523" s="206"/>
      <c r="PB1523" s="206"/>
      <c r="PC1523" s="206"/>
      <c r="PD1523" s="206"/>
      <c r="PE1523" s="206"/>
      <c r="PF1523" s="206"/>
      <c r="PG1523" s="206"/>
      <c r="PH1523" s="206"/>
      <c r="PI1523" s="206"/>
      <c r="PJ1523" s="206"/>
      <c r="PK1523" s="206"/>
      <c r="PL1523" s="206"/>
      <c r="PM1523" s="206"/>
      <c r="PN1523" s="206"/>
      <c r="PO1523" s="206"/>
      <c r="PP1523" s="206"/>
      <c r="PQ1523" s="206"/>
      <c r="PR1523" s="206"/>
      <c r="PS1523" s="206"/>
      <c r="PT1523" s="206"/>
      <c r="PU1523" s="206"/>
      <c r="PV1523" s="206"/>
      <c r="PW1523" s="206"/>
      <c r="PX1523" s="206"/>
      <c r="PY1523" s="206"/>
      <c r="PZ1523" s="206"/>
      <c r="QA1523" s="206"/>
      <c r="QB1523" s="206"/>
      <c r="QC1523" s="206"/>
      <c r="QD1523" s="206"/>
      <c r="QE1523" s="206"/>
      <c r="QF1523" s="206"/>
      <c r="QG1523" s="206"/>
      <c r="QH1523" s="206"/>
      <c r="QI1523" s="206"/>
      <c r="QJ1523" s="206"/>
      <c r="QK1523" s="206"/>
      <c r="QL1523" s="206"/>
      <c r="QM1523" s="206"/>
      <c r="QN1523" s="206"/>
      <c r="QO1523" s="206"/>
      <c r="QP1523" s="206"/>
      <c r="QQ1523" s="206"/>
      <c r="QR1523" s="206"/>
      <c r="QS1523" s="206"/>
      <c r="QT1523" s="206"/>
      <c r="QU1523" s="206"/>
      <c r="QV1523" s="206"/>
      <c r="QW1523" s="206"/>
      <c r="QX1523" s="206"/>
      <c r="QY1523" s="206"/>
      <c r="QZ1523" s="206"/>
      <c r="RA1523" s="206"/>
      <c r="RB1523" s="206"/>
      <c r="RC1523" s="206"/>
      <c r="RD1523" s="206"/>
      <c r="RE1523" s="206"/>
      <c r="RF1523" s="206"/>
      <c r="RG1523" s="206"/>
      <c r="RH1523" s="206"/>
      <c r="RI1523" s="206"/>
      <c r="RJ1523" s="206"/>
      <c r="RK1523" s="206"/>
      <c r="RL1523" s="206"/>
      <c r="RM1523" s="206"/>
      <c r="RN1523" s="206"/>
      <c r="RO1523" s="206"/>
      <c r="RP1523" s="206"/>
      <c r="RQ1523" s="206"/>
      <c r="RR1523" s="206"/>
      <c r="RS1523" s="206"/>
      <c r="RT1523" s="206"/>
      <c r="RU1523" s="206"/>
      <c r="RV1523" s="206"/>
      <c r="RW1523" s="206"/>
      <c r="RX1523" s="206"/>
      <c r="RY1523" s="206"/>
      <c r="RZ1523" s="206"/>
      <c r="SA1523" s="206"/>
      <c r="SB1523" s="206"/>
      <c r="SC1523" s="206"/>
      <c r="SD1523" s="206"/>
      <c r="SE1523" s="206"/>
      <c r="SF1523" s="206"/>
      <c r="SG1523" s="206"/>
      <c r="SH1523" s="206"/>
      <c r="SI1523" s="206"/>
      <c r="SJ1523" s="206"/>
      <c r="SK1523" s="206"/>
      <c r="SL1523" s="206"/>
      <c r="SM1523" s="206"/>
      <c r="SN1523" s="206"/>
      <c r="SO1523" s="206"/>
      <c r="SP1523" s="206"/>
      <c r="SQ1523" s="206"/>
      <c r="SR1523" s="206"/>
      <c r="SS1523" s="206"/>
      <c r="ST1523" s="206"/>
      <c r="SU1523" s="206"/>
      <c r="SV1523" s="206"/>
      <c r="SW1523" s="206"/>
      <c r="SX1523" s="206"/>
      <c r="SY1523" s="206"/>
      <c r="SZ1523" s="206"/>
      <c r="TA1523" s="206"/>
      <c r="TB1523" s="206"/>
      <c r="TC1523" s="206"/>
      <c r="TD1523" s="206"/>
      <c r="TE1523" s="206"/>
      <c r="TF1523" s="206"/>
      <c r="TG1523" s="206"/>
      <c r="TH1523" s="206"/>
      <c r="TI1523" s="206"/>
      <c r="TJ1523" s="206"/>
      <c r="TK1523" s="206"/>
      <c r="TL1523" s="206"/>
      <c r="TM1523" s="206"/>
      <c r="TN1523" s="206"/>
      <c r="TO1523" s="206"/>
      <c r="TP1523" s="206"/>
      <c r="TQ1523" s="206"/>
      <c r="TR1523" s="206"/>
      <c r="TS1523" s="206"/>
      <c r="TT1523" s="206"/>
      <c r="TU1523" s="206"/>
      <c r="TV1523" s="206"/>
      <c r="TW1523" s="206"/>
      <c r="TX1523" s="206"/>
      <c r="TY1523" s="206"/>
      <c r="TZ1523" s="206"/>
      <c r="UA1523" s="206"/>
      <c r="UB1523" s="206"/>
      <c r="UC1523" s="206"/>
      <c r="UD1523" s="206"/>
    </row>
    <row r="1524" spans="1:550" s="876" customFormat="1" ht="42" customHeight="1">
      <c r="A1524" s="924">
        <v>18</v>
      </c>
      <c r="B1524" s="411"/>
      <c r="C1524" s="935" t="s">
        <v>1344</v>
      </c>
      <c r="D1524" s="1119"/>
      <c r="E1524" s="1119"/>
      <c r="F1524" s="1120"/>
      <c r="G1524" s="411"/>
      <c r="H1524" s="927"/>
      <c r="I1524" s="652"/>
      <c r="J1524" s="1002"/>
      <c r="K1524" s="936"/>
      <c r="L1524" s="411">
        <f>SUM(L1525:L1550)/2</f>
        <v>768915400</v>
      </c>
      <c r="M1524" s="411"/>
      <c r="N1524" s="411"/>
      <c r="O1524" s="411"/>
      <c r="P1524" s="411">
        <f>L1524</f>
        <v>768915400</v>
      </c>
      <c r="Q1524" s="1174"/>
      <c r="R1524" s="1226"/>
      <c r="S1524" s="837" t="s">
        <v>845</v>
      </c>
      <c r="T1524" s="937" t="s">
        <v>1386</v>
      </c>
      <c r="U1524" s="938">
        <f>H1528</f>
        <v>3242.2999999999997</v>
      </c>
      <c r="V1524" s="785">
        <f>I1528</f>
        <v>3242.2999999999997</v>
      </c>
      <c r="W1524" s="837">
        <f>SUM(W1528:W1536)</f>
        <v>1195.4000000000001</v>
      </c>
      <c r="X1524" s="837">
        <f t="shared" ref="X1524:AC1524" si="230">SUM(X1528:X1536)</f>
        <v>1842.4999999999998</v>
      </c>
      <c r="Y1524" s="837">
        <f t="shared" si="230"/>
        <v>0</v>
      </c>
      <c r="Z1524" s="837">
        <f t="shared" si="230"/>
        <v>0</v>
      </c>
      <c r="AA1524" s="837">
        <f t="shared" si="230"/>
        <v>204.4</v>
      </c>
      <c r="AB1524" s="837">
        <f t="shared" si="230"/>
        <v>0</v>
      </c>
      <c r="AC1524" s="837">
        <f t="shared" si="230"/>
        <v>0</v>
      </c>
      <c r="AD1524" s="785">
        <f>L1528</f>
        <v>188125100</v>
      </c>
      <c r="AE1524" s="790">
        <f>L1537</f>
        <v>0</v>
      </c>
      <c r="AF1524" s="790">
        <f>L1538</f>
        <v>3270400</v>
      </c>
      <c r="AG1524" s="790"/>
      <c r="AH1524" s="790">
        <f>L1540</f>
        <v>554008900</v>
      </c>
      <c r="AI1524" s="837"/>
      <c r="AJ1524" s="790">
        <f>L1549</f>
        <v>23511000</v>
      </c>
      <c r="AK1524" s="785">
        <f>SUM(AD1524:AJ1524)</f>
        <v>768915400</v>
      </c>
      <c r="AL1524" s="334"/>
      <c r="AM1524" s="334"/>
      <c r="AN1524" s="334"/>
      <c r="AO1524" s="334"/>
      <c r="AP1524" s="334"/>
      <c r="AQ1524" s="334"/>
      <c r="AR1524" s="334"/>
      <c r="AS1524" s="334"/>
      <c r="AT1524" s="334"/>
      <c r="AU1524" s="334"/>
      <c r="AV1524" s="334"/>
      <c r="AW1524" s="334"/>
      <c r="AX1524" s="334"/>
      <c r="AY1524" s="334"/>
      <c r="AZ1524" s="334"/>
      <c r="BA1524" s="334"/>
      <c r="BB1524" s="334"/>
      <c r="BC1524" s="334"/>
      <c r="BD1524" s="334"/>
      <c r="BE1524" s="334"/>
      <c r="BF1524" s="334"/>
      <c r="BG1524" s="334"/>
      <c r="BH1524" s="334"/>
      <c r="BI1524" s="334"/>
      <c r="BJ1524" s="334"/>
      <c r="BK1524" s="334"/>
      <c r="BL1524" s="334"/>
      <c r="BM1524" s="334"/>
      <c r="BN1524" s="334"/>
      <c r="BO1524" s="334"/>
      <c r="BP1524" s="334"/>
      <c r="BQ1524" s="334"/>
      <c r="BR1524" s="334"/>
      <c r="BS1524" s="334"/>
      <c r="BT1524" s="334"/>
      <c r="BU1524" s="334"/>
      <c r="BV1524" s="334"/>
      <c r="BW1524" s="334"/>
      <c r="BX1524" s="334"/>
      <c r="BY1524" s="334"/>
      <c r="BZ1524" s="334"/>
      <c r="CA1524" s="334"/>
      <c r="CB1524" s="334"/>
      <c r="CC1524" s="334"/>
      <c r="CD1524" s="334"/>
      <c r="CE1524" s="334"/>
      <c r="CF1524" s="334"/>
      <c r="CG1524" s="334"/>
      <c r="CH1524" s="334"/>
      <c r="CI1524" s="334"/>
      <c r="CJ1524" s="334"/>
      <c r="CK1524" s="334"/>
      <c r="CL1524" s="334"/>
      <c r="CM1524" s="334"/>
      <c r="CN1524" s="334"/>
      <c r="CO1524" s="334"/>
      <c r="CP1524" s="334"/>
      <c r="CQ1524" s="334"/>
      <c r="CR1524" s="334"/>
      <c r="CS1524" s="334"/>
      <c r="CT1524" s="334"/>
      <c r="CU1524" s="334"/>
      <c r="CV1524" s="334"/>
      <c r="CW1524" s="334"/>
      <c r="CX1524" s="334"/>
      <c r="CY1524" s="334"/>
      <c r="CZ1524" s="334"/>
      <c r="DA1524" s="334"/>
      <c r="DB1524" s="334"/>
      <c r="DC1524" s="334"/>
      <c r="DD1524" s="334"/>
      <c r="DE1524" s="334"/>
      <c r="DF1524" s="334"/>
      <c r="DG1524" s="334"/>
      <c r="DH1524" s="334"/>
      <c r="DI1524" s="334"/>
      <c r="DJ1524" s="334"/>
      <c r="DK1524" s="334"/>
      <c r="DL1524" s="334"/>
      <c r="DM1524" s="334"/>
      <c r="DN1524" s="334"/>
      <c r="DO1524" s="334"/>
      <c r="DP1524" s="334"/>
      <c r="DQ1524" s="334"/>
      <c r="DR1524" s="334"/>
      <c r="DS1524" s="334"/>
      <c r="DT1524" s="334"/>
      <c r="DU1524" s="334"/>
      <c r="DV1524" s="334"/>
      <c r="DW1524" s="334"/>
      <c r="DX1524" s="334"/>
      <c r="DY1524" s="334"/>
      <c r="DZ1524" s="334"/>
      <c r="EA1524" s="334"/>
      <c r="EB1524" s="334"/>
      <c r="EC1524" s="334"/>
      <c r="ED1524" s="334"/>
      <c r="EE1524" s="334"/>
      <c r="EF1524" s="334"/>
      <c r="EG1524" s="334"/>
      <c r="EH1524" s="334"/>
      <c r="EI1524" s="334"/>
      <c r="EJ1524" s="334"/>
      <c r="EK1524" s="334"/>
      <c r="EL1524" s="334"/>
      <c r="EM1524" s="334"/>
      <c r="EN1524" s="334"/>
      <c r="EO1524" s="334"/>
      <c r="EP1524" s="334"/>
      <c r="EQ1524" s="334"/>
      <c r="ER1524" s="334"/>
      <c r="ES1524" s="334"/>
      <c r="ET1524" s="334"/>
      <c r="EU1524" s="334"/>
      <c r="EV1524" s="334"/>
      <c r="EW1524" s="334"/>
      <c r="EX1524" s="334"/>
      <c r="EY1524" s="334"/>
      <c r="EZ1524" s="334"/>
      <c r="FA1524" s="334"/>
      <c r="FB1524" s="334"/>
      <c r="FC1524" s="334"/>
      <c r="FD1524" s="334"/>
      <c r="FE1524" s="334"/>
      <c r="FF1524" s="334"/>
      <c r="FG1524" s="334"/>
      <c r="FH1524" s="334"/>
      <c r="FI1524" s="334"/>
      <c r="FJ1524" s="334"/>
      <c r="FK1524" s="334"/>
      <c r="FL1524" s="334"/>
      <c r="FM1524" s="334"/>
      <c r="FN1524" s="334"/>
      <c r="FO1524" s="334"/>
      <c r="FP1524" s="334"/>
      <c r="FQ1524" s="334"/>
      <c r="FR1524" s="334"/>
      <c r="FS1524" s="334"/>
      <c r="FT1524" s="334"/>
      <c r="FU1524" s="334"/>
      <c r="FV1524" s="334"/>
      <c r="FW1524" s="334"/>
      <c r="FX1524" s="334"/>
      <c r="FY1524" s="334"/>
      <c r="FZ1524" s="334"/>
      <c r="GA1524" s="334"/>
      <c r="GB1524" s="334"/>
      <c r="GC1524" s="334"/>
      <c r="GD1524" s="334"/>
      <c r="GE1524" s="334"/>
      <c r="GF1524" s="334"/>
      <c r="GG1524" s="334"/>
      <c r="GH1524" s="334"/>
      <c r="GI1524" s="334"/>
      <c r="GJ1524" s="334"/>
      <c r="GK1524" s="334"/>
      <c r="GL1524" s="334"/>
      <c r="GM1524" s="334"/>
      <c r="GN1524" s="334"/>
      <c r="GO1524" s="334"/>
      <c r="GP1524" s="334"/>
      <c r="GQ1524" s="334"/>
      <c r="GR1524" s="334"/>
      <c r="GS1524" s="334"/>
      <c r="GT1524" s="334"/>
      <c r="GU1524" s="334"/>
      <c r="GV1524" s="334"/>
      <c r="GW1524" s="334"/>
      <c r="GX1524" s="334"/>
      <c r="GY1524" s="334"/>
      <c r="GZ1524" s="334"/>
      <c r="HA1524" s="334"/>
      <c r="HB1524" s="334"/>
      <c r="HC1524" s="334"/>
      <c r="HD1524" s="334"/>
      <c r="HE1524" s="334"/>
      <c r="HF1524" s="334"/>
      <c r="HG1524" s="334"/>
      <c r="HH1524" s="334"/>
      <c r="HI1524" s="334"/>
      <c r="HJ1524" s="334"/>
      <c r="HK1524" s="334"/>
      <c r="HL1524" s="334"/>
      <c r="HM1524" s="334"/>
      <c r="HN1524" s="334"/>
      <c r="HO1524" s="334"/>
      <c r="HP1524" s="334"/>
      <c r="HQ1524" s="334"/>
      <c r="HR1524" s="334"/>
      <c r="HS1524" s="334"/>
      <c r="HT1524" s="334"/>
      <c r="HU1524" s="334"/>
      <c r="HV1524" s="334"/>
      <c r="HW1524" s="334"/>
      <c r="HX1524" s="334"/>
      <c r="HY1524" s="334"/>
      <c r="HZ1524" s="334"/>
      <c r="IA1524" s="334"/>
      <c r="IB1524" s="334"/>
      <c r="IC1524" s="334"/>
      <c r="ID1524" s="334"/>
      <c r="IE1524" s="334"/>
      <c r="IF1524" s="334"/>
      <c r="IG1524" s="334"/>
      <c r="IH1524" s="334"/>
      <c r="II1524" s="334"/>
      <c r="IJ1524" s="334"/>
      <c r="IK1524" s="334"/>
      <c r="IL1524" s="334"/>
      <c r="IM1524" s="334"/>
      <c r="IN1524" s="334"/>
      <c r="IO1524" s="334"/>
      <c r="IP1524" s="334"/>
      <c r="IQ1524" s="334"/>
      <c r="IR1524" s="334"/>
      <c r="IS1524" s="334"/>
      <c r="IT1524" s="334"/>
      <c r="IU1524" s="334"/>
      <c r="IV1524" s="334"/>
      <c r="IW1524" s="334"/>
      <c r="IX1524" s="334"/>
      <c r="IY1524" s="334"/>
      <c r="IZ1524" s="334"/>
      <c r="JA1524" s="334"/>
      <c r="JB1524" s="334"/>
      <c r="JC1524" s="334"/>
      <c r="JD1524" s="334"/>
      <c r="JE1524" s="334"/>
      <c r="JF1524" s="334"/>
      <c r="JG1524" s="334"/>
      <c r="JH1524" s="334"/>
      <c r="JI1524" s="334"/>
      <c r="JJ1524" s="334"/>
      <c r="JK1524" s="334"/>
      <c r="JL1524" s="334"/>
      <c r="JM1524" s="334"/>
      <c r="JN1524" s="334"/>
      <c r="JO1524" s="334"/>
      <c r="JP1524" s="334"/>
      <c r="JQ1524" s="334"/>
      <c r="JR1524" s="334"/>
      <c r="JS1524" s="334"/>
      <c r="JT1524" s="334"/>
      <c r="JU1524" s="334"/>
      <c r="JV1524" s="334"/>
      <c r="JW1524" s="334"/>
      <c r="JX1524" s="334"/>
      <c r="JY1524" s="334"/>
      <c r="JZ1524" s="334"/>
      <c r="KA1524" s="334"/>
      <c r="KB1524" s="334"/>
      <c r="KC1524" s="334"/>
      <c r="KD1524" s="334"/>
      <c r="KE1524" s="334"/>
      <c r="KF1524" s="334"/>
      <c r="KG1524" s="334"/>
      <c r="KH1524" s="334"/>
      <c r="KI1524" s="334"/>
      <c r="KJ1524" s="334"/>
      <c r="KK1524" s="334"/>
      <c r="KL1524" s="334"/>
      <c r="KM1524" s="334"/>
      <c r="KN1524" s="334"/>
      <c r="KO1524" s="334"/>
      <c r="KP1524" s="334"/>
      <c r="KQ1524" s="334"/>
      <c r="KR1524" s="334"/>
      <c r="KS1524" s="334"/>
      <c r="KT1524" s="334"/>
      <c r="KU1524" s="334"/>
      <c r="KV1524" s="334"/>
      <c r="KW1524" s="334"/>
      <c r="KX1524" s="334"/>
      <c r="KY1524" s="334"/>
      <c r="KZ1524" s="334"/>
      <c r="LA1524" s="334"/>
      <c r="LB1524" s="334"/>
      <c r="LC1524" s="334"/>
      <c r="LD1524" s="334"/>
      <c r="LE1524" s="334"/>
      <c r="LF1524" s="334"/>
      <c r="LG1524" s="334"/>
      <c r="LH1524" s="334"/>
      <c r="LI1524" s="334"/>
      <c r="LJ1524" s="334"/>
      <c r="LK1524" s="334"/>
      <c r="LL1524" s="334"/>
      <c r="LM1524" s="334"/>
      <c r="LN1524" s="334"/>
      <c r="LO1524" s="334"/>
      <c r="LP1524" s="334"/>
      <c r="LQ1524" s="334"/>
      <c r="LR1524" s="334"/>
      <c r="LS1524" s="334"/>
      <c r="LT1524" s="334"/>
      <c r="LU1524" s="334"/>
      <c r="LV1524" s="334"/>
      <c r="LW1524" s="334"/>
      <c r="LX1524" s="334"/>
      <c r="LY1524" s="334"/>
      <c r="LZ1524" s="334"/>
      <c r="MA1524" s="334"/>
      <c r="MB1524" s="334"/>
      <c r="MC1524" s="334"/>
      <c r="MD1524" s="334"/>
      <c r="ME1524" s="334"/>
      <c r="MF1524" s="334"/>
      <c r="MG1524" s="334"/>
      <c r="MH1524" s="334"/>
      <c r="MI1524" s="334"/>
      <c r="MJ1524" s="334"/>
      <c r="MK1524" s="334"/>
      <c r="ML1524" s="334"/>
      <c r="MM1524" s="334"/>
      <c r="MN1524" s="334"/>
      <c r="MO1524" s="334"/>
      <c r="MP1524" s="334"/>
      <c r="MQ1524" s="334"/>
      <c r="MR1524" s="334"/>
      <c r="MS1524" s="334"/>
      <c r="MT1524" s="334"/>
      <c r="MU1524" s="334"/>
      <c r="MV1524" s="334"/>
      <c r="MW1524" s="334"/>
      <c r="MX1524" s="334"/>
      <c r="MY1524" s="334"/>
      <c r="MZ1524" s="334"/>
      <c r="NA1524" s="334"/>
      <c r="NB1524" s="334"/>
      <c r="NC1524" s="334"/>
      <c r="ND1524" s="334"/>
      <c r="NE1524" s="334"/>
      <c r="NF1524" s="334"/>
      <c r="NG1524" s="334"/>
      <c r="NH1524" s="334"/>
      <c r="NI1524" s="334"/>
      <c r="NJ1524" s="334"/>
      <c r="NK1524" s="334"/>
      <c r="NL1524" s="334"/>
      <c r="NM1524" s="334"/>
      <c r="NN1524" s="334"/>
      <c r="NO1524" s="334"/>
      <c r="NP1524" s="334"/>
      <c r="NQ1524" s="334"/>
      <c r="NR1524" s="334"/>
      <c r="NS1524" s="334"/>
      <c r="NT1524" s="334"/>
      <c r="NU1524" s="334"/>
      <c r="NV1524" s="334"/>
      <c r="NW1524" s="334"/>
      <c r="NX1524" s="334"/>
      <c r="NY1524" s="334"/>
      <c r="NZ1524" s="334"/>
      <c r="OA1524" s="334"/>
      <c r="OB1524" s="334"/>
      <c r="OC1524" s="334"/>
      <c r="OD1524" s="334"/>
      <c r="OE1524" s="334"/>
      <c r="OF1524" s="334"/>
      <c r="OG1524" s="334"/>
      <c r="OH1524" s="334"/>
      <c r="OI1524" s="334"/>
      <c r="OJ1524" s="334"/>
      <c r="OK1524" s="334"/>
      <c r="OL1524" s="334"/>
      <c r="OM1524" s="334"/>
      <c r="ON1524" s="334"/>
      <c r="OO1524" s="334"/>
      <c r="OP1524" s="334"/>
      <c r="OQ1524" s="334"/>
      <c r="OR1524" s="334"/>
      <c r="OS1524" s="334"/>
      <c r="OT1524" s="334"/>
      <c r="OU1524" s="334"/>
      <c r="OV1524" s="334"/>
      <c r="OW1524" s="334"/>
      <c r="OX1524" s="334"/>
      <c r="OY1524" s="334"/>
      <c r="OZ1524" s="334"/>
      <c r="PA1524" s="334"/>
      <c r="PB1524" s="334"/>
      <c r="PC1524" s="334"/>
      <c r="PD1524" s="334"/>
      <c r="PE1524" s="334"/>
      <c r="PF1524" s="334"/>
      <c r="PG1524" s="334"/>
      <c r="PH1524" s="334"/>
      <c r="PI1524" s="334"/>
      <c r="PJ1524" s="334"/>
      <c r="PK1524" s="334"/>
      <c r="PL1524" s="334"/>
      <c r="PM1524" s="334"/>
      <c r="PN1524" s="334"/>
      <c r="PO1524" s="334"/>
      <c r="PP1524" s="334"/>
      <c r="PQ1524" s="334"/>
      <c r="PR1524" s="334"/>
      <c r="PS1524" s="334"/>
      <c r="PT1524" s="334"/>
      <c r="PU1524" s="334"/>
      <c r="PV1524" s="334"/>
      <c r="PW1524" s="334"/>
      <c r="PX1524" s="334"/>
      <c r="PY1524" s="334"/>
      <c r="PZ1524" s="334"/>
      <c r="QA1524" s="334"/>
      <c r="QB1524" s="334"/>
      <c r="QC1524" s="334"/>
      <c r="QD1524" s="334"/>
      <c r="QE1524" s="334"/>
      <c r="QF1524" s="334"/>
      <c r="QG1524" s="334"/>
      <c r="QH1524" s="334"/>
      <c r="QI1524" s="334"/>
      <c r="QJ1524" s="334"/>
      <c r="QK1524" s="334"/>
      <c r="QL1524" s="334"/>
      <c r="QM1524" s="334"/>
      <c r="QN1524" s="334"/>
      <c r="QO1524" s="334"/>
      <c r="QP1524" s="334"/>
      <c r="QQ1524" s="334"/>
      <c r="QR1524" s="334"/>
      <c r="QS1524" s="334"/>
      <c r="QT1524" s="334"/>
      <c r="QU1524" s="334"/>
      <c r="QV1524" s="334"/>
      <c r="QW1524" s="334"/>
      <c r="QX1524" s="334"/>
      <c r="QY1524" s="334"/>
      <c r="QZ1524" s="334"/>
      <c r="RA1524" s="334"/>
      <c r="RB1524" s="334"/>
      <c r="RC1524" s="334"/>
      <c r="RD1524" s="334"/>
      <c r="RE1524" s="334"/>
      <c r="RF1524" s="334"/>
      <c r="RG1524" s="334"/>
      <c r="RH1524" s="334"/>
      <c r="RI1524" s="334"/>
      <c r="RJ1524" s="334"/>
      <c r="RK1524" s="334"/>
      <c r="RL1524" s="334"/>
      <c r="RM1524" s="334"/>
      <c r="RN1524" s="334"/>
      <c r="RO1524" s="334"/>
      <c r="RP1524" s="334"/>
      <c r="RQ1524" s="334"/>
      <c r="RR1524" s="334"/>
      <c r="RS1524" s="334"/>
      <c r="RT1524" s="334"/>
      <c r="RU1524" s="334"/>
      <c r="RV1524" s="334"/>
      <c r="RW1524" s="334"/>
      <c r="RX1524" s="334"/>
      <c r="RY1524" s="334"/>
      <c r="RZ1524" s="334"/>
      <c r="SA1524" s="334"/>
      <c r="SB1524" s="334"/>
      <c r="SC1524" s="334"/>
      <c r="SD1524" s="334"/>
      <c r="SE1524" s="334"/>
      <c r="SF1524" s="334"/>
      <c r="SG1524" s="334"/>
      <c r="SH1524" s="334"/>
      <c r="SI1524" s="334"/>
      <c r="SJ1524" s="334"/>
      <c r="SK1524" s="334"/>
      <c r="SL1524" s="334"/>
      <c r="SM1524" s="334"/>
      <c r="SN1524" s="334"/>
      <c r="SO1524" s="334"/>
      <c r="SP1524" s="334"/>
      <c r="SQ1524" s="334"/>
      <c r="SR1524" s="334"/>
      <c r="SS1524" s="334"/>
      <c r="ST1524" s="334"/>
      <c r="SU1524" s="334"/>
      <c r="SV1524" s="334"/>
      <c r="SW1524" s="334"/>
      <c r="SX1524" s="334"/>
      <c r="SY1524" s="334"/>
      <c r="SZ1524" s="334"/>
      <c r="TA1524" s="334"/>
      <c r="TB1524" s="334"/>
      <c r="TC1524" s="334"/>
      <c r="TD1524" s="334"/>
      <c r="TE1524" s="334"/>
      <c r="TF1524" s="334"/>
      <c r="TG1524" s="334"/>
      <c r="TH1524" s="334"/>
      <c r="TI1524" s="334"/>
      <c r="TJ1524" s="334"/>
      <c r="TK1524" s="334"/>
      <c r="TL1524" s="334"/>
      <c r="TM1524" s="334"/>
      <c r="TN1524" s="334"/>
      <c r="TO1524" s="334"/>
      <c r="TP1524" s="334"/>
      <c r="TQ1524" s="334"/>
      <c r="TR1524" s="334"/>
      <c r="TS1524" s="334"/>
      <c r="TT1524" s="334"/>
      <c r="TU1524" s="334"/>
      <c r="TV1524" s="334"/>
      <c r="TW1524" s="334"/>
      <c r="TX1524" s="334"/>
      <c r="TY1524" s="334"/>
      <c r="TZ1524" s="334"/>
      <c r="UA1524" s="334"/>
      <c r="UB1524" s="334"/>
      <c r="UC1524" s="334"/>
      <c r="UD1524" s="334"/>
    </row>
    <row r="1525" spans="1:550" s="874" customFormat="1" ht="21.75" customHeight="1">
      <c r="A1525" s="924" t="s">
        <v>15</v>
      </c>
      <c r="B1525" s="1226"/>
      <c r="C1525" s="1632" t="s">
        <v>1345</v>
      </c>
      <c r="D1525" s="1452"/>
      <c r="E1525" s="1452"/>
      <c r="F1525" s="1452"/>
      <c r="G1525" s="1226"/>
      <c r="H1525" s="925"/>
      <c r="I1525" s="926"/>
      <c r="J1525" s="1243"/>
      <c r="K1525" s="809"/>
      <c r="L1525" s="1226"/>
      <c r="M1525" s="1226"/>
      <c r="N1525" s="1226"/>
      <c r="O1525" s="1226"/>
      <c r="P1525" s="1226"/>
      <c r="Q1525" s="1134"/>
      <c r="R1525" s="1226"/>
      <c r="S1525" s="486"/>
      <c r="T1525" s="486"/>
      <c r="U1525" s="486"/>
      <c r="V1525" s="486"/>
      <c r="W1525" s="486"/>
      <c r="X1525" s="486"/>
      <c r="Y1525" s="486"/>
      <c r="Z1525" s="486"/>
      <c r="AA1525" s="486"/>
      <c r="AB1525" s="486"/>
      <c r="AC1525" s="486"/>
      <c r="AD1525" s="486"/>
      <c r="AE1525" s="486"/>
      <c r="AF1525" s="486"/>
      <c r="AG1525" s="486"/>
      <c r="AH1525" s="486"/>
      <c r="AI1525" s="486"/>
      <c r="AJ1525" s="486"/>
      <c r="AK1525" s="486"/>
      <c r="AL1525" s="206"/>
      <c r="AM1525" s="206"/>
      <c r="AN1525" s="206"/>
      <c r="AO1525" s="206"/>
      <c r="AP1525" s="206"/>
      <c r="AQ1525" s="206"/>
      <c r="AR1525" s="206"/>
      <c r="AS1525" s="206"/>
      <c r="AT1525" s="206"/>
      <c r="AU1525" s="206"/>
      <c r="AV1525" s="206"/>
      <c r="AW1525" s="206"/>
      <c r="AX1525" s="206"/>
      <c r="AY1525" s="206"/>
      <c r="AZ1525" s="206"/>
      <c r="BA1525" s="206"/>
      <c r="BB1525" s="206"/>
      <c r="BC1525" s="206"/>
      <c r="BD1525" s="206"/>
      <c r="BE1525" s="206"/>
      <c r="BF1525" s="206"/>
      <c r="BG1525" s="206"/>
      <c r="BH1525" s="206"/>
      <c r="BI1525" s="206"/>
      <c r="BJ1525" s="206"/>
      <c r="BK1525" s="206"/>
      <c r="BL1525" s="206"/>
      <c r="BM1525" s="206"/>
      <c r="BN1525" s="206"/>
      <c r="BO1525" s="206"/>
      <c r="BP1525" s="206"/>
      <c r="BQ1525" s="206"/>
      <c r="BR1525" s="206"/>
      <c r="BS1525" s="206"/>
      <c r="BT1525" s="206"/>
      <c r="BU1525" s="206"/>
      <c r="BV1525" s="206"/>
      <c r="BW1525" s="206"/>
      <c r="BX1525" s="206"/>
      <c r="BY1525" s="206"/>
      <c r="BZ1525" s="206"/>
      <c r="CA1525" s="206"/>
      <c r="CB1525" s="206"/>
      <c r="CC1525" s="206"/>
      <c r="CD1525" s="206"/>
      <c r="CE1525" s="206"/>
      <c r="CF1525" s="206"/>
      <c r="CG1525" s="206"/>
      <c r="CH1525" s="206"/>
      <c r="CI1525" s="206"/>
      <c r="CJ1525" s="206"/>
      <c r="CK1525" s="206"/>
      <c r="CL1525" s="206"/>
      <c r="CM1525" s="206"/>
      <c r="CN1525" s="206"/>
      <c r="CO1525" s="206"/>
      <c r="CP1525" s="206"/>
      <c r="CQ1525" s="206"/>
      <c r="CR1525" s="206"/>
      <c r="CS1525" s="206"/>
      <c r="CT1525" s="206"/>
      <c r="CU1525" s="206"/>
      <c r="CV1525" s="206"/>
      <c r="CW1525" s="206"/>
      <c r="CX1525" s="206"/>
      <c r="CY1525" s="206"/>
      <c r="CZ1525" s="206"/>
      <c r="DA1525" s="206"/>
      <c r="DB1525" s="206"/>
      <c r="DC1525" s="206"/>
      <c r="DD1525" s="206"/>
      <c r="DE1525" s="206"/>
      <c r="DF1525" s="206"/>
      <c r="DG1525" s="206"/>
      <c r="DH1525" s="206"/>
      <c r="DI1525" s="206"/>
      <c r="DJ1525" s="206"/>
      <c r="DK1525" s="206"/>
      <c r="DL1525" s="206"/>
      <c r="DM1525" s="206"/>
      <c r="DN1525" s="206"/>
      <c r="DO1525" s="206"/>
      <c r="DP1525" s="206"/>
      <c r="DQ1525" s="206"/>
      <c r="DR1525" s="206"/>
      <c r="DS1525" s="206"/>
      <c r="DT1525" s="206"/>
      <c r="DU1525" s="206"/>
      <c r="DV1525" s="206"/>
      <c r="DW1525" s="206"/>
      <c r="DX1525" s="206"/>
      <c r="DY1525" s="206"/>
      <c r="DZ1525" s="206"/>
      <c r="EA1525" s="206"/>
      <c r="EB1525" s="206"/>
      <c r="EC1525" s="206"/>
      <c r="ED1525" s="206"/>
      <c r="EE1525" s="206"/>
      <c r="EF1525" s="206"/>
      <c r="EG1525" s="206"/>
      <c r="EH1525" s="206"/>
      <c r="EI1525" s="206"/>
      <c r="EJ1525" s="206"/>
      <c r="EK1525" s="206"/>
      <c r="EL1525" s="206"/>
      <c r="EM1525" s="206"/>
      <c r="EN1525" s="206"/>
      <c r="EO1525" s="206"/>
      <c r="EP1525" s="206"/>
      <c r="EQ1525" s="206"/>
      <c r="ER1525" s="206"/>
      <c r="ES1525" s="206"/>
      <c r="ET1525" s="206"/>
      <c r="EU1525" s="206"/>
      <c r="EV1525" s="206"/>
      <c r="EW1525" s="206"/>
      <c r="EX1525" s="206"/>
      <c r="EY1525" s="206"/>
      <c r="EZ1525" s="206"/>
      <c r="FA1525" s="206"/>
      <c r="FB1525" s="206"/>
      <c r="FC1525" s="206"/>
      <c r="FD1525" s="206"/>
      <c r="FE1525" s="206"/>
      <c r="FF1525" s="206"/>
      <c r="FG1525" s="206"/>
      <c r="FH1525" s="206"/>
      <c r="FI1525" s="206"/>
      <c r="FJ1525" s="206"/>
      <c r="FK1525" s="206"/>
      <c r="FL1525" s="206"/>
      <c r="FM1525" s="206"/>
      <c r="FN1525" s="206"/>
      <c r="FO1525" s="206"/>
      <c r="FP1525" s="206"/>
      <c r="FQ1525" s="206"/>
      <c r="FR1525" s="206"/>
      <c r="FS1525" s="206"/>
      <c r="FT1525" s="206"/>
      <c r="FU1525" s="206"/>
      <c r="FV1525" s="206"/>
      <c r="FW1525" s="206"/>
      <c r="FX1525" s="206"/>
      <c r="FY1525" s="206"/>
      <c r="FZ1525" s="206"/>
      <c r="GA1525" s="206"/>
      <c r="GB1525" s="206"/>
      <c r="GC1525" s="206"/>
      <c r="GD1525" s="206"/>
      <c r="GE1525" s="206"/>
      <c r="GF1525" s="206"/>
      <c r="GG1525" s="206"/>
      <c r="GH1525" s="206"/>
      <c r="GI1525" s="206"/>
      <c r="GJ1525" s="206"/>
      <c r="GK1525" s="206"/>
      <c r="GL1525" s="206"/>
      <c r="GM1525" s="206"/>
      <c r="GN1525" s="206"/>
      <c r="GO1525" s="206"/>
      <c r="GP1525" s="206"/>
      <c r="GQ1525" s="206"/>
      <c r="GR1525" s="206"/>
      <c r="GS1525" s="206"/>
      <c r="GT1525" s="206"/>
      <c r="GU1525" s="206"/>
      <c r="GV1525" s="206"/>
      <c r="GW1525" s="206"/>
      <c r="GX1525" s="206"/>
      <c r="GY1525" s="206"/>
      <c r="GZ1525" s="206"/>
      <c r="HA1525" s="206"/>
      <c r="HB1525" s="206"/>
      <c r="HC1525" s="206"/>
      <c r="HD1525" s="206"/>
      <c r="HE1525" s="206"/>
      <c r="HF1525" s="206"/>
      <c r="HG1525" s="206"/>
      <c r="HH1525" s="206"/>
      <c r="HI1525" s="206"/>
      <c r="HJ1525" s="206"/>
      <c r="HK1525" s="206"/>
      <c r="HL1525" s="206"/>
      <c r="HM1525" s="206"/>
      <c r="HN1525" s="206"/>
      <c r="HO1525" s="206"/>
      <c r="HP1525" s="206"/>
      <c r="HQ1525" s="206"/>
      <c r="HR1525" s="206"/>
      <c r="HS1525" s="206"/>
      <c r="HT1525" s="206"/>
      <c r="HU1525" s="206"/>
      <c r="HV1525" s="206"/>
      <c r="HW1525" s="206"/>
      <c r="HX1525" s="206"/>
      <c r="HY1525" s="206"/>
      <c r="HZ1525" s="206"/>
      <c r="IA1525" s="206"/>
      <c r="IB1525" s="206"/>
      <c r="IC1525" s="206"/>
      <c r="ID1525" s="206"/>
      <c r="IE1525" s="206"/>
      <c r="IF1525" s="206"/>
      <c r="IG1525" s="206"/>
      <c r="IH1525" s="206"/>
      <c r="II1525" s="206"/>
      <c r="IJ1525" s="206"/>
      <c r="IK1525" s="206"/>
      <c r="IL1525" s="206"/>
      <c r="IM1525" s="206"/>
      <c r="IN1525" s="206"/>
      <c r="IO1525" s="206"/>
      <c r="IP1525" s="206"/>
      <c r="IQ1525" s="206"/>
      <c r="IR1525" s="206"/>
      <c r="IS1525" s="206"/>
      <c r="IT1525" s="206"/>
      <c r="IU1525" s="206"/>
      <c r="IV1525" s="206"/>
      <c r="IW1525" s="206"/>
      <c r="IX1525" s="206"/>
      <c r="IY1525" s="206"/>
      <c r="IZ1525" s="206"/>
      <c r="JA1525" s="206"/>
      <c r="JB1525" s="206"/>
      <c r="JC1525" s="206"/>
      <c r="JD1525" s="206"/>
      <c r="JE1525" s="206"/>
      <c r="JF1525" s="206"/>
      <c r="JG1525" s="206"/>
      <c r="JH1525" s="206"/>
      <c r="JI1525" s="206"/>
      <c r="JJ1525" s="206"/>
      <c r="JK1525" s="206"/>
      <c r="JL1525" s="206"/>
      <c r="JM1525" s="206"/>
      <c r="JN1525" s="206"/>
      <c r="JO1525" s="206"/>
      <c r="JP1525" s="206"/>
      <c r="JQ1525" s="206"/>
      <c r="JR1525" s="206"/>
      <c r="JS1525" s="206"/>
      <c r="JT1525" s="206"/>
      <c r="JU1525" s="206"/>
      <c r="JV1525" s="206"/>
      <c r="JW1525" s="206"/>
      <c r="JX1525" s="206"/>
      <c r="JY1525" s="206"/>
      <c r="JZ1525" s="206"/>
      <c r="KA1525" s="206"/>
      <c r="KB1525" s="206"/>
      <c r="KC1525" s="206"/>
      <c r="KD1525" s="206"/>
      <c r="KE1525" s="206"/>
      <c r="KF1525" s="206"/>
      <c r="KG1525" s="206"/>
      <c r="KH1525" s="206"/>
      <c r="KI1525" s="206"/>
      <c r="KJ1525" s="206"/>
      <c r="KK1525" s="206"/>
      <c r="KL1525" s="206"/>
      <c r="KM1525" s="206"/>
      <c r="KN1525" s="206"/>
      <c r="KO1525" s="206"/>
      <c r="KP1525" s="206"/>
      <c r="KQ1525" s="206"/>
      <c r="KR1525" s="206"/>
      <c r="KS1525" s="206"/>
      <c r="KT1525" s="206"/>
      <c r="KU1525" s="206"/>
      <c r="KV1525" s="206"/>
      <c r="KW1525" s="206"/>
      <c r="KX1525" s="206"/>
      <c r="KY1525" s="206"/>
      <c r="KZ1525" s="206"/>
      <c r="LA1525" s="206"/>
      <c r="LB1525" s="206"/>
      <c r="LC1525" s="206"/>
      <c r="LD1525" s="206"/>
      <c r="LE1525" s="206"/>
      <c r="LF1525" s="206"/>
      <c r="LG1525" s="206"/>
      <c r="LH1525" s="206"/>
      <c r="LI1525" s="206"/>
      <c r="LJ1525" s="206"/>
      <c r="LK1525" s="206"/>
      <c r="LL1525" s="206"/>
      <c r="LM1525" s="206"/>
      <c r="LN1525" s="206"/>
      <c r="LO1525" s="206"/>
      <c r="LP1525" s="206"/>
      <c r="LQ1525" s="206"/>
      <c r="LR1525" s="206"/>
      <c r="LS1525" s="206"/>
      <c r="LT1525" s="206"/>
      <c r="LU1525" s="206"/>
      <c r="LV1525" s="206"/>
      <c r="LW1525" s="206"/>
      <c r="LX1525" s="206"/>
      <c r="LY1525" s="206"/>
      <c r="LZ1525" s="206"/>
      <c r="MA1525" s="206"/>
      <c r="MB1525" s="206"/>
      <c r="MC1525" s="206"/>
      <c r="MD1525" s="206"/>
      <c r="ME1525" s="206"/>
      <c r="MF1525" s="206"/>
      <c r="MG1525" s="206"/>
      <c r="MH1525" s="206"/>
      <c r="MI1525" s="206"/>
      <c r="MJ1525" s="206"/>
      <c r="MK1525" s="206"/>
      <c r="ML1525" s="206"/>
      <c r="MM1525" s="206"/>
      <c r="MN1525" s="206"/>
      <c r="MO1525" s="206"/>
      <c r="MP1525" s="206"/>
      <c r="MQ1525" s="206"/>
      <c r="MR1525" s="206"/>
      <c r="MS1525" s="206"/>
      <c r="MT1525" s="206"/>
      <c r="MU1525" s="206"/>
      <c r="MV1525" s="206"/>
      <c r="MW1525" s="206"/>
      <c r="MX1525" s="206"/>
      <c r="MY1525" s="206"/>
      <c r="MZ1525" s="206"/>
      <c r="NA1525" s="206"/>
      <c r="NB1525" s="206"/>
      <c r="NC1525" s="206"/>
      <c r="ND1525" s="206"/>
      <c r="NE1525" s="206"/>
      <c r="NF1525" s="206"/>
      <c r="NG1525" s="206"/>
      <c r="NH1525" s="206"/>
      <c r="NI1525" s="206"/>
      <c r="NJ1525" s="206"/>
      <c r="NK1525" s="206"/>
      <c r="NL1525" s="206"/>
      <c r="NM1525" s="206"/>
      <c r="NN1525" s="206"/>
      <c r="NO1525" s="206"/>
      <c r="NP1525" s="206"/>
      <c r="NQ1525" s="206"/>
      <c r="NR1525" s="206"/>
      <c r="NS1525" s="206"/>
      <c r="NT1525" s="206"/>
      <c r="NU1525" s="206"/>
      <c r="NV1525" s="206"/>
      <c r="NW1525" s="206"/>
      <c r="NX1525" s="206"/>
      <c r="NY1525" s="206"/>
      <c r="NZ1525" s="206"/>
      <c r="OA1525" s="206"/>
      <c r="OB1525" s="206"/>
      <c r="OC1525" s="206"/>
      <c r="OD1525" s="206"/>
      <c r="OE1525" s="206"/>
      <c r="OF1525" s="206"/>
      <c r="OG1525" s="206"/>
      <c r="OH1525" s="206"/>
      <c r="OI1525" s="206"/>
      <c r="OJ1525" s="206"/>
      <c r="OK1525" s="206"/>
      <c r="OL1525" s="206"/>
      <c r="OM1525" s="206"/>
      <c r="ON1525" s="206"/>
      <c r="OO1525" s="206"/>
      <c r="OP1525" s="206"/>
      <c r="OQ1525" s="206"/>
      <c r="OR1525" s="206"/>
      <c r="OS1525" s="206"/>
      <c r="OT1525" s="206"/>
      <c r="OU1525" s="206"/>
      <c r="OV1525" s="206"/>
      <c r="OW1525" s="206"/>
      <c r="OX1525" s="206"/>
      <c r="OY1525" s="206"/>
      <c r="OZ1525" s="206"/>
      <c r="PA1525" s="206"/>
      <c r="PB1525" s="206"/>
      <c r="PC1525" s="206"/>
      <c r="PD1525" s="206"/>
      <c r="PE1525" s="206"/>
      <c r="PF1525" s="206"/>
      <c r="PG1525" s="206"/>
      <c r="PH1525" s="206"/>
      <c r="PI1525" s="206"/>
      <c r="PJ1525" s="206"/>
      <c r="PK1525" s="206"/>
      <c r="PL1525" s="206"/>
      <c r="PM1525" s="206"/>
      <c r="PN1525" s="206"/>
      <c r="PO1525" s="206"/>
      <c r="PP1525" s="206"/>
      <c r="PQ1525" s="206"/>
      <c r="PR1525" s="206"/>
      <c r="PS1525" s="206"/>
      <c r="PT1525" s="206"/>
      <c r="PU1525" s="206"/>
      <c r="PV1525" s="206"/>
      <c r="PW1525" s="206"/>
      <c r="PX1525" s="206"/>
      <c r="PY1525" s="206"/>
      <c r="PZ1525" s="206"/>
      <c r="QA1525" s="206"/>
      <c r="QB1525" s="206"/>
      <c r="QC1525" s="206"/>
      <c r="QD1525" s="206"/>
      <c r="QE1525" s="206"/>
      <c r="QF1525" s="206"/>
      <c r="QG1525" s="206"/>
      <c r="QH1525" s="206"/>
      <c r="QI1525" s="206"/>
      <c r="QJ1525" s="206"/>
      <c r="QK1525" s="206"/>
      <c r="QL1525" s="206"/>
      <c r="QM1525" s="206"/>
      <c r="QN1525" s="206"/>
      <c r="QO1525" s="206"/>
      <c r="QP1525" s="206"/>
      <c r="QQ1525" s="206"/>
      <c r="QR1525" s="206"/>
      <c r="QS1525" s="206"/>
      <c r="QT1525" s="206"/>
      <c r="QU1525" s="206"/>
      <c r="QV1525" s="206"/>
      <c r="QW1525" s="206"/>
      <c r="QX1525" s="206"/>
      <c r="QY1525" s="206"/>
      <c r="QZ1525" s="206"/>
      <c r="RA1525" s="206"/>
      <c r="RB1525" s="206"/>
      <c r="RC1525" s="206"/>
      <c r="RD1525" s="206"/>
      <c r="RE1525" s="206"/>
      <c r="RF1525" s="206"/>
      <c r="RG1525" s="206"/>
      <c r="RH1525" s="206"/>
      <c r="RI1525" s="206"/>
      <c r="RJ1525" s="206"/>
      <c r="RK1525" s="206"/>
      <c r="RL1525" s="206"/>
      <c r="RM1525" s="206"/>
      <c r="RN1525" s="206"/>
      <c r="RO1525" s="206"/>
      <c r="RP1525" s="206"/>
      <c r="RQ1525" s="206"/>
      <c r="RR1525" s="206"/>
      <c r="RS1525" s="206"/>
      <c r="RT1525" s="206"/>
      <c r="RU1525" s="206"/>
      <c r="RV1525" s="206"/>
      <c r="RW1525" s="206"/>
      <c r="RX1525" s="206"/>
      <c r="RY1525" s="206"/>
      <c r="RZ1525" s="206"/>
      <c r="SA1525" s="206"/>
      <c r="SB1525" s="206"/>
      <c r="SC1525" s="206"/>
      <c r="SD1525" s="206"/>
      <c r="SE1525" s="206"/>
      <c r="SF1525" s="206"/>
      <c r="SG1525" s="206"/>
      <c r="SH1525" s="206"/>
      <c r="SI1525" s="206"/>
      <c r="SJ1525" s="206"/>
      <c r="SK1525" s="206"/>
      <c r="SL1525" s="206"/>
      <c r="SM1525" s="206"/>
      <c r="SN1525" s="206"/>
      <c r="SO1525" s="206"/>
      <c r="SP1525" s="206"/>
      <c r="SQ1525" s="206"/>
      <c r="SR1525" s="206"/>
      <c r="SS1525" s="206"/>
      <c r="ST1525" s="206"/>
      <c r="SU1525" s="206"/>
      <c r="SV1525" s="206"/>
      <c r="SW1525" s="206"/>
      <c r="SX1525" s="206"/>
      <c r="SY1525" s="206"/>
      <c r="SZ1525" s="206"/>
      <c r="TA1525" s="206"/>
      <c r="TB1525" s="206"/>
      <c r="TC1525" s="206"/>
      <c r="TD1525" s="206"/>
      <c r="TE1525" s="206"/>
      <c r="TF1525" s="206"/>
      <c r="TG1525" s="206"/>
      <c r="TH1525" s="206"/>
      <c r="TI1525" s="206"/>
      <c r="TJ1525" s="206"/>
      <c r="TK1525" s="206"/>
      <c r="TL1525" s="206"/>
      <c r="TM1525" s="206"/>
      <c r="TN1525" s="206"/>
      <c r="TO1525" s="206"/>
      <c r="TP1525" s="206"/>
      <c r="TQ1525" s="206"/>
      <c r="TR1525" s="206"/>
      <c r="TS1525" s="206"/>
      <c r="TT1525" s="206"/>
      <c r="TU1525" s="206"/>
      <c r="TV1525" s="206"/>
      <c r="TW1525" s="206"/>
      <c r="TX1525" s="206"/>
      <c r="TY1525" s="206"/>
      <c r="TZ1525" s="206"/>
      <c r="UA1525" s="206"/>
      <c r="UB1525" s="206"/>
      <c r="UC1525" s="206"/>
      <c r="UD1525" s="206"/>
    </row>
    <row r="1526" spans="1:550" s="874" customFormat="1" ht="21.75" customHeight="1">
      <c r="A1526" s="924" t="s">
        <v>15</v>
      </c>
      <c r="B1526" s="1226"/>
      <c r="C1526" s="1632" t="s">
        <v>16</v>
      </c>
      <c r="D1526" s="1452"/>
      <c r="E1526" s="1452"/>
      <c r="F1526" s="1452"/>
      <c r="G1526" s="1226"/>
      <c r="H1526" s="925"/>
      <c r="I1526" s="502"/>
      <c r="J1526" s="1243"/>
      <c r="K1526" s="809"/>
      <c r="L1526" s="1226"/>
      <c r="M1526" s="1226"/>
      <c r="N1526" s="1226"/>
      <c r="O1526" s="1226"/>
      <c r="P1526" s="1226"/>
      <c r="Q1526" s="1171"/>
      <c r="R1526" s="1226"/>
      <c r="S1526" s="486"/>
      <c r="T1526" s="486"/>
      <c r="U1526" s="486"/>
      <c r="V1526" s="486"/>
      <c r="W1526" s="486"/>
      <c r="X1526" s="486"/>
      <c r="Y1526" s="486"/>
      <c r="Z1526" s="486"/>
      <c r="AA1526" s="486"/>
      <c r="AB1526" s="486"/>
      <c r="AC1526" s="486"/>
      <c r="AD1526" s="486"/>
      <c r="AE1526" s="486"/>
      <c r="AF1526" s="486"/>
      <c r="AG1526" s="486"/>
      <c r="AH1526" s="486"/>
      <c r="AI1526" s="486"/>
      <c r="AJ1526" s="486"/>
      <c r="AK1526" s="486"/>
      <c r="AL1526" s="206"/>
      <c r="AM1526" s="206"/>
      <c r="AN1526" s="206"/>
      <c r="AO1526" s="206"/>
      <c r="AP1526" s="206"/>
      <c r="AQ1526" s="206"/>
      <c r="AR1526" s="206"/>
      <c r="AS1526" s="206"/>
      <c r="AT1526" s="206"/>
      <c r="AU1526" s="206"/>
      <c r="AV1526" s="206"/>
      <c r="AW1526" s="206"/>
      <c r="AX1526" s="206"/>
      <c r="AY1526" s="206"/>
      <c r="AZ1526" s="206"/>
      <c r="BA1526" s="206"/>
      <c r="BB1526" s="206"/>
      <c r="BC1526" s="206"/>
      <c r="BD1526" s="206"/>
      <c r="BE1526" s="206"/>
      <c r="BF1526" s="206"/>
      <c r="BG1526" s="206"/>
      <c r="BH1526" s="206"/>
      <c r="BI1526" s="206"/>
      <c r="BJ1526" s="206"/>
      <c r="BK1526" s="206"/>
      <c r="BL1526" s="206"/>
      <c r="BM1526" s="206"/>
      <c r="BN1526" s="206"/>
      <c r="BO1526" s="206"/>
      <c r="BP1526" s="206"/>
      <c r="BQ1526" s="206"/>
      <c r="BR1526" s="206"/>
      <c r="BS1526" s="206"/>
      <c r="BT1526" s="206"/>
      <c r="BU1526" s="206"/>
      <c r="BV1526" s="206"/>
      <c r="BW1526" s="206"/>
      <c r="BX1526" s="206"/>
      <c r="BY1526" s="206"/>
      <c r="BZ1526" s="206"/>
      <c r="CA1526" s="206"/>
      <c r="CB1526" s="206"/>
      <c r="CC1526" s="206"/>
      <c r="CD1526" s="206"/>
      <c r="CE1526" s="206"/>
      <c r="CF1526" s="206"/>
      <c r="CG1526" s="206"/>
      <c r="CH1526" s="206"/>
      <c r="CI1526" s="206"/>
      <c r="CJ1526" s="206"/>
      <c r="CK1526" s="206"/>
      <c r="CL1526" s="206"/>
      <c r="CM1526" s="206"/>
      <c r="CN1526" s="206"/>
      <c r="CO1526" s="206"/>
      <c r="CP1526" s="206"/>
      <c r="CQ1526" s="206"/>
      <c r="CR1526" s="206"/>
      <c r="CS1526" s="206"/>
      <c r="CT1526" s="206"/>
      <c r="CU1526" s="206"/>
      <c r="CV1526" s="206"/>
      <c r="CW1526" s="206"/>
      <c r="CX1526" s="206"/>
      <c r="CY1526" s="206"/>
      <c r="CZ1526" s="206"/>
      <c r="DA1526" s="206"/>
      <c r="DB1526" s="206"/>
      <c r="DC1526" s="206"/>
      <c r="DD1526" s="206"/>
      <c r="DE1526" s="206"/>
      <c r="DF1526" s="206"/>
      <c r="DG1526" s="206"/>
      <c r="DH1526" s="206"/>
      <c r="DI1526" s="206"/>
      <c r="DJ1526" s="206"/>
      <c r="DK1526" s="206"/>
      <c r="DL1526" s="206"/>
      <c r="DM1526" s="206"/>
      <c r="DN1526" s="206"/>
      <c r="DO1526" s="206"/>
      <c r="DP1526" s="206"/>
      <c r="DQ1526" s="206"/>
      <c r="DR1526" s="206"/>
      <c r="DS1526" s="206"/>
      <c r="DT1526" s="206"/>
      <c r="DU1526" s="206"/>
      <c r="DV1526" s="206"/>
      <c r="DW1526" s="206"/>
      <c r="DX1526" s="206"/>
      <c r="DY1526" s="206"/>
      <c r="DZ1526" s="206"/>
      <c r="EA1526" s="206"/>
      <c r="EB1526" s="206"/>
      <c r="EC1526" s="206"/>
      <c r="ED1526" s="206"/>
      <c r="EE1526" s="206"/>
      <c r="EF1526" s="206"/>
      <c r="EG1526" s="206"/>
      <c r="EH1526" s="206"/>
      <c r="EI1526" s="206"/>
      <c r="EJ1526" s="206"/>
      <c r="EK1526" s="206"/>
      <c r="EL1526" s="206"/>
      <c r="EM1526" s="206"/>
      <c r="EN1526" s="206"/>
      <c r="EO1526" s="206"/>
      <c r="EP1526" s="206"/>
      <c r="EQ1526" s="206"/>
      <c r="ER1526" s="206"/>
      <c r="ES1526" s="206"/>
      <c r="ET1526" s="206"/>
      <c r="EU1526" s="206"/>
      <c r="EV1526" s="206"/>
      <c r="EW1526" s="206"/>
      <c r="EX1526" s="206"/>
      <c r="EY1526" s="206"/>
      <c r="EZ1526" s="206"/>
      <c r="FA1526" s="206"/>
      <c r="FB1526" s="206"/>
      <c r="FC1526" s="206"/>
      <c r="FD1526" s="206"/>
      <c r="FE1526" s="206"/>
      <c r="FF1526" s="206"/>
      <c r="FG1526" s="206"/>
      <c r="FH1526" s="206"/>
      <c r="FI1526" s="206"/>
      <c r="FJ1526" s="206"/>
      <c r="FK1526" s="206"/>
      <c r="FL1526" s="206"/>
      <c r="FM1526" s="206"/>
      <c r="FN1526" s="206"/>
      <c r="FO1526" s="206"/>
      <c r="FP1526" s="206"/>
      <c r="FQ1526" s="206"/>
      <c r="FR1526" s="206"/>
      <c r="FS1526" s="206"/>
      <c r="FT1526" s="206"/>
      <c r="FU1526" s="206"/>
      <c r="FV1526" s="206"/>
      <c r="FW1526" s="206"/>
      <c r="FX1526" s="206"/>
      <c r="FY1526" s="206"/>
      <c r="FZ1526" s="206"/>
      <c r="GA1526" s="206"/>
      <c r="GB1526" s="206"/>
      <c r="GC1526" s="206"/>
      <c r="GD1526" s="206"/>
      <c r="GE1526" s="206"/>
      <c r="GF1526" s="206"/>
      <c r="GG1526" s="206"/>
      <c r="GH1526" s="206"/>
      <c r="GI1526" s="206"/>
      <c r="GJ1526" s="206"/>
      <c r="GK1526" s="206"/>
      <c r="GL1526" s="206"/>
      <c r="GM1526" s="206"/>
      <c r="GN1526" s="206"/>
      <c r="GO1526" s="206"/>
      <c r="GP1526" s="206"/>
      <c r="GQ1526" s="206"/>
      <c r="GR1526" s="206"/>
      <c r="GS1526" s="206"/>
      <c r="GT1526" s="206"/>
      <c r="GU1526" s="206"/>
      <c r="GV1526" s="206"/>
      <c r="GW1526" s="206"/>
      <c r="GX1526" s="206"/>
      <c r="GY1526" s="206"/>
      <c r="GZ1526" s="206"/>
      <c r="HA1526" s="206"/>
      <c r="HB1526" s="206"/>
      <c r="HC1526" s="206"/>
      <c r="HD1526" s="206"/>
      <c r="HE1526" s="206"/>
      <c r="HF1526" s="206"/>
      <c r="HG1526" s="206"/>
      <c r="HH1526" s="206"/>
      <c r="HI1526" s="206"/>
      <c r="HJ1526" s="206"/>
      <c r="HK1526" s="206"/>
      <c r="HL1526" s="206"/>
      <c r="HM1526" s="206"/>
      <c r="HN1526" s="206"/>
      <c r="HO1526" s="206"/>
      <c r="HP1526" s="206"/>
      <c r="HQ1526" s="206"/>
      <c r="HR1526" s="206"/>
      <c r="HS1526" s="206"/>
      <c r="HT1526" s="206"/>
      <c r="HU1526" s="206"/>
      <c r="HV1526" s="206"/>
      <c r="HW1526" s="206"/>
      <c r="HX1526" s="206"/>
      <c r="HY1526" s="206"/>
      <c r="HZ1526" s="206"/>
      <c r="IA1526" s="206"/>
      <c r="IB1526" s="206"/>
      <c r="IC1526" s="206"/>
      <c r="ID1526" s="206"/>
      <c r="IE1526" s="206"/>
      <c r="IF1526" s="206"/>
      <c r="IG1526" s="206"/>
      <c r="IH1526" s="206"/>
      <c r="II1526" s="206"/>
      <c r="IJ1526" s="206"/>
      <c r="IK1526" s="206"/>
      <c r="IL1526" s="206"/>
      <c r="IM1526" s="206"/>
      <c r="IN1526" s="206"/>
      <c r="IO1526" s="206"/>
      <c r="IP1526" s="206"/>
      <c r="IQ1526" s="206"/>
      <c r="IR1526" s="206"/>
      <c r="IS1526" s="206"/>
      <c r="IT1526" s="206"/>
      <c r="IU1526" s="206"/>
      <c r="IV1526" s="206"/>
      <c r="IW1526" s="206"/>
      <c r="IX1526" s="206"/>
      <c r="IY1526" s="206"/>
      <c r="IZ1526" s="206"/>
      <c r="JA1526" s="206"/>
      <c r="JB1526" s="206"/>
      <c r="JC1526" s="206"/>
      <c r="JD1526" s="206"/>
      <c r="JE1526" s="206"/>
      <c r="JF1526" s="206"/>
      <c r="JG1526" s="206"/>
      <c r="JH1526" s="206"/>
      <c r="JI1526" s="206"/>
      <c r="JJ1526" s="206"/>
      <c r="JK1526" s="206"/>
      <c r="JL1526" s="206"/>
      <c r="JM1526" s="206"/>
      <c r="JN1526" s="206"/>
      <c r="JO1526" s="206"/>
      <c r="JP1526" s="206"/>
      <c r="JQ1526" s="206"/>
      <c r="JR1526" s="206"/>
      <c r="JS1526" s="206"/>
      <c r="JT1526" s="206"/>
      <c r="JU1526" s="206"/>
      <c r="JV1526" s="206"/>
      <c r="JW1526" s="206"/>
      <c r="JX1526" s="206"/>
      <c r="JY1526" s="206"/>
      <c r="JZ1526" s="206"/>
      <c r="KA1526" s="206"/>
      <c r="KB1526" s="206"/>
      <c r="KC1526" s="206"/>
      <c r="KD1526" s="206"/>
      <c r="KE1526" s="206"/>
      <c r="KF1526" s="206"/>
      <c r="KG1526" s="206"/>
      <c r="KH1526" s="206"/>
      <c r="KI1526" s="206"/>
      <c r="KJ1526" s="206"/>
      <c r="KK1526" s="206"/>
      <c r="KL1526" s="206"/>
      <c r="KM1526" s="206"/>
      <c r="KN1526" s="206"/>
      <c r="KO1526" s="206"/>
      <c r="KP1526" s="206"/>
      <c r="KQ1526" s="206"/>
      <c r="KR1526" s="206"/>
      <c r="KS1526" s="206"/>
      <c r="KT1526" s="206"/>
      <c r="KU1526" s="206"/>
      <c r="KV1526" s="206"/>
      <c r="KW1526" s="206"/>
      <c r="KX1526" s="206"/>
      <c r="KY1526" s="206"/>
      <c r="KZ1526" s="206"/>
      <c r="LA1526" s="206"/>
      <c r="LB1526" s="206"/>
      <c r="LC1526" s="206"/>
      <c r="LD1526" s="206"/>
      <c r="LE1526" s="206"/>
      <c r="LF1526" s="206"/>
      <c r="LG1526" s="206"/>
      <c r="LH1526" s="206"/>
      <c r="LI1526" s="206"/>
      <c r="LJ1526" s="206"/>
      <c r="LK1526" s="206"/>
      <c r="LL1526" s="206"/>
      <c r="LM1526" s="206"/>
      <c r="LN1526" s="206"/>
      <c r="LO1526" s="206"/>
      <c r="LP1526" s="206"/>
      <c r="LQ1526" s="206"/>
      <c r="LR1526" s="206"/>
      <c r="LS1526" s="206"/>
      <c r="LT1526" s="206"/>
      <c r="LU1526" s="206"/>
      <c r="LV1526" s="206"/>
      <c r="LW1526" s="206"/>
      <c r="LX1526" s="206"/>
      <c r="LY1526" s="206"/>
      <c r="LZ1526" s="206"/>
      <c r="MA1526" s="206"/>
      <c r="MB1526" s="206"/>
      <c r="MC1526" s="206"/>
      <c r="MD1526" s="206"/>
      <c r="ME1526" s="206"/>
      <c r="MF1526" s="206"/>
      <c r="MG1526" s="206"/>
      <c r="MH1526" s="206"/>
      <c r="MI1526" s="206"/>
      <c r="MJ1526" s="206"/>
      <c r="MK1526" s="206"/>
      <c r="ML1526" s="206"/>
      <c r="MM1526" s="206"/>
      <c r="MN1526" s="206"/>
      <c r="MO1526" s="206"/>
      <c r="MP1526" s="206"/>
      <c r="MQ1526" s="206"/>
      <c r="MR1526" s="206"/>
      <c r="MS1526" s="206"/>
      <c r="MT1526" s="206"/>
      <c r="MU1526" s="206"/>
      <c r="MV1526" s="206"/>
      <c r="MW1526" s="206"/>
      <c r="MX1526" s="206"/>
      <c r="MY1526" s="206"/>
      <c r="MZ1526" s="206"/>
      <c r="NA1526" s="206"/>
      <c r="NB1526" s="206"/>
      <c r="NC1526" s="206"/>
      <c r="ND1526" s="206"/>
      <c r="NE1526" s="206"/>
      <c r="NF1526" s="206"/>
      <c r="NG1526" s="206"/>
      <c r="NH1526" s="206"/>
      <c r="NI1526" s="206"/>
      <c r="NJ1526" s="206"/>
      <c r="NK1526" s="206"/>
      <c r="NL1526" s="206"/>
      <c r="NM1526" s="206"/>
      <c r="NN1526" s="206"/>
      <c r="NO1526" s="206"/>
      <c r="NP1526" s="206"/>
      <c r="NQ1526" s="206"/>
      <c r="NR1526" s="206"/>
      <c r="NS1526" s="206"/>
      <c r="NT1526" s="206"/>
      <c r="NU1526" s="206"/>
      <c r="NV1526" s="206"/>
      <c r="NW1526" s="206"/>
      <c r="NX1526" s="206"/>
      <c r="NY1526" s="206"/>
      <c r="NZ1526" s="206"/>
      <c r="OA1526" s="206"/>
      <c r="OB1526" s="206"/>
      <c r="OC1526" s="206"/>
      <c r="OD1526" s="206"/>
      <c r="OE1526" s="206"/>
      <c r="OF1526" s="206"/>
      <c r="OG1526" s="206"/>
      <c r="OH1526" s="206"/>
      <c r="OI1526" s="206"/>
      <c r="OJ1526" s="206"/>
      <c r="OK1526" s="206"/>
      <c r="OL1526" s="206"/>
      <c r="OM1526" s="206"/>
      <c r="ON1526" s="206"/>
      <c r="OO1526" s="206"/>
      <c r="OP1526" s="206"/>
      <c r="OQ1526" s="206"/>
      <c r="OR1526" s="206"/>
      <c r="OS1526" s="206"/>
      <c r="OT1526" s="206"/>
      <c r="OU1526" s="206"/>
      <c r="OV1526" s="206"/>
      <c r="OW1526" s="206"/>
      <c r="OX1526" s="206"/>
      <c r="OY1526" s="206"/>
      <c r="OZ1526" s="206"/>
      <c r="PA1526" s="206"/>
      <c r="PB1526" s="206"/>
      <c r="PC1526" s="206"/>
      <c r="PD1526" s="206"/>
      <c r="PE1526" s="206"/>
      <c r="PF1526" s="206"/>
      <c r="PG1526" s="206"/>
      <c r="PH1526" s="206"/>
      <c r="PI1526" s="206"/>
      <c r="PJ1526" s="206"/>
      <c r="PK1526" s="206"/>
      <c r="PL1526" s="206"/>
      <c r="PM1526" s="206"/>
      <c r="PN1526" s="206"/>
      <c r="PO1526" s="206"/>
      <c r="PP1526" s="206"/>
      <c r="PQ1526" s="206"/>
      <c r="PR1526" s="206"/>
      <c r="PS1526" s="206"/>
      <c r="PT1526" s="206"/>
      <c r="PU1526" s="206"/>
      <c r="PV1526" s="206"/>
      <c r="PW1526" s="206"/>
      <c r="PX1526" s="206"/>
      <c r="PY1526" s="206"/>
      <c r="PZ1526" s="206"/>
      <c r="QA1526" s="206"/>
      <c r="QB1526" s="206"/>
      <c r="QC1526" s="206"/>
      <c r="QD1526" s="206"/>
      <c r="QE1526" s="206"/>
      <c r="QF1526" s="206"/>
      <c r="QG1526" s="206"/>
      <c r="QH1526" s="206"/>
      <c r="QI1526" s="206"/>
      <c r="QJ1526" s="206"/>
      <c r="QK1526" s="206"/>
      <c r="QL1526" s="206"/>
      <c r="QM1526" s="206"/>
      <c r="QN1526" s="206"/>
      <c r="QO1526" s="206"/>
      <c r="QP1526" s="206"/>
      <c r="QQ1526" s="206"/>
      <c r="QR1526" s="206"/>
      <c r="QS1526" s="206"/>
      <c r="QT1526" s="206"/>
      <c r="QU1526" s="206"/>
      <c r="QV1526" s="206"/>
      <c r="QW1526" s="206"/>
      <c r="QX1526" s="206"/>
      <c r="QY1526" s="206"/>
      <c r="QZ1526" s="206"/>
      <c r="RA1526" s="206"/>
      <c r="RB1526" s="206"/>
      <c r="RC1526" s="206"/>
      <c r="RD1526" s="206"/>
      <c r="RE1526" s="206"/>
      <c r="RF1526" s="206"/>
      <c r="RG1526" s="206"/>
      <c r="RH1526" s="206"/>
      <c r="RI1526" s="206"/>
      <c r="RJ1526" s="206"/>
      <c r="RK1526" s="206"/>
      <c r="RL1526" s="206"/>
      <c r="RM1526" s="206"/>
      <c r="RN1526" s="206"/>
      <c r="RO1526" s="206"/>
      <c r="RP1526" s="206"/>
      <c r="RQ1526" s="206"/>
      <c r="RR1526" s="206"/>
      <c r="RS1526" s="206"/>
      <c r="RT1526" s="206"/>
      <c r="RU1526" s="206"/>
      <c r="RV1526" s="206"/>
      <c r="RW1526" s="206"/>
      <c r="RX1526" s="206"/>
      <c r="RY1526" s="206"/>
      <c r="RZ1526" s="206"/>
      <c r="SA1526" s="206"/>
      <c r="SB1526" s="206"/>
      <c r="SC1526" s="206"/>
      <c r="SD1526" s="206"/>
      <c r="SE1526" s="206"/>
      <c r="SF1526" s="206"/>
      <c r="SG1526" s="206"/>
      <c r="SH1526" s="206"/>
      <c r="SI1526" s="206"/>
      <c r="SJ1526" s="206"/>
      <c r="SK1526" s="206"/>
      <c r="SL1526" s="206"/>
      <c r="SM1526" s="206"/>
      <c r="SN1526" s="206"/>
      <c r="SO1526" s="206"/>
      <c r="SP1526" s="206"/>
      <c r="SQ1526" s="206"/>
      <c r="SR1526" s="206"/>
      <c r="SS1526" s="206"/>
      <c r="ST1526" s="206"/>
      <c r="SU1526" s="206"/>
      <c r="SV1526" s="206"/>
      <c r="SW1526" s="206"/>
      <c r="SX1526" s="206"/>
      <c r="SY1526" s="206"/>
      <c r="SZ1526" s="206"/>
      <c r="TA1526" s="206"/>
      <c r="TB1526" s="206"/>
      <c r="TC1526" s="206"/>
      <c r="TD1526" s="206"/>
      <c r="TE1526" s="206"/>
      <c r="TF1526" s="206"/>
      <c r="TG1526" s="206"/>
      <c r="TH1526" s="206"/>
      <c r="TI1526" s="206"/>
      <c r="TJ1526" s="206"/>
      <c r="TK1526" s="206"/>
      <c r="TL1526" s="206"/>
      <c r="TM1526" s="206"/>
      <c r="TN1526" s="206"/>
      <c r="TO1526" s="206"/>
      <c r="TP1526" s="206"/>
      <c r="TQ1526" s="206"/>
      <c r="TR1526" s="206"/>
      <c r="TS1526" s="206"/>
      <c r="TT1526" s="206"/>
      <c r="TU1526" s="206"/>
      <c r="TV1526" s="206"/>
      <c r="TW1526" s="206"/>
      <c r="TX1526" s="206"/>
      <c r="TY1526" s="206"/>
      <c r="TZ1526" s="206"/>
      <c r="UA1526" s="206"/>
      <c r="UB1526" s="206"/>
      <c r="UC1526" s="206"/>
      <c r="UD1526" s="206"/>
    </row>
    <row r="1527" spans="1:550" s="874" customFormat="1" ht="21.75" customHeight="1">
      <c r="A1527" s="924" t="s">
        <v>15</v>
      </c>
      <c r="B1527" s="1226"/>
      <c r="C1527" s="1632" t="s">
        <v>1331</v>
      </c>
      <c r="D1527" s="1452"/>
      <c r="E1527" s="1452"/>
      <c r="F1527" s="1452"/>
      <c r="G1527" s="1226"/>
      <c r="H1527" s="925"/>
      <c r="I1527" s="502"/>
      <c r="J1527" s="1243"/>
      <c r="K1527" s="809"/>
      <c r="L1527" s="1226"/>
      <c r="M1527" s="1226"/>
      <c r="N1527" s="1226"/>
      <c r="O1527" s="1226"/>
      <c r="P1527" s="1226"/>
      <c r="Q1527" s="1171"/>
      <c r="R1527" s="1226"/>
      <c r="S1527" s="486"/>
      <c r="T1527" s="486"/>
      <c r="U1527" s="486"/>
      <c r="V1527" s="486"/>
      <c r="W1527" s="486"/>
      <c r="X1527" s="486"/>
      <c r="Y1527" s="486"/>
      <c r="Z1527" s="486"/>
      <c r="AA1527" s="486"/>
      <c r="AB1527" s="486"/>
      <c r="AC1527" s="486"/>
      <c r="AD1527" s="486"/>
      <c r="AE1527" s="486"/>
      <c r="AF1527" s="486"/>
      <c r="AG1527" s="486"/>
      <c r="AH1527" s="486"/>
      <c r="AI1527" s="486"/>
      <c r="AJ1527" s="486"/>
      <c r="AK1527" s="486"/>
      <c r="AL1527" s="206"/>
      <c r="AM1527" s="206"/>
      <c r="AN1527" s="206"/>
      <c r="AO1527" s="206"/>
      <c r="AP1527" s="206"/>
      <c r="AQ1527" s="206"/>
      <c r="AR1527" s="206"/>
      <c r="AS1527" s="206"/>
      <c r="AT1527" s="206"/>
      <c r="AU1527" s="206"/>
      <c r="AV1527" s="206"/>
      <c r="AW1527" s="206"/>
      <c r="AX1527" s="206"/>
      <c r="AY1527" s="206"/>
      <c r="AZ1527" s="206"/>
      <c r="BA1527" s="206"/>
      <c r="BB1527" s="206"/>
      <c r="BC1527" s="206"/>
      <c r="BD1527" s="206"/>
      <c r="BE1527" s="206"/>
      <c r="BF1527" s="206"/>
      <c r="BG1527" s="206"/>
      <c r="BH1527" s="206"/>
      <c r="BI1527" s="206"/>
      <c r="BJ1527" s="206"/>
      <c r="BK1527" s="206"/>
      <c r="BL1527" s="206"/>
      <c r="BM1527" s="206"/>
      <c r="BN1527" s="206"/>
      <c r="BO1527" s="206"/>
      <c r="BP1527" s="206"/>
      <c r="BQ1527" s="206"/>
      <c r="BR1527" s="206"/>
      <c r="BS1527" s="206"/>
      <c r="BT1527" s="206"/>
      <c r="BU1527" s="206"/>
      <c r="BV1527" s="206"/>
      <c r="BW1527" s="206"/>
      <c r="BX1527" s="206"/>
      <c r="BY1527" s="206"/>
      <c r="BZ1527" s="206"/>
      <c r="CA1527" s="206"/>
      <c r="CB1527" s="206"/>
      <c r="CC1527" s="206"/>
      <c r="CD1527" s="206"/>
      <c r="CE1527" s="206"/>
      <c r="CF1527" s="206"/>
      <c r="CG1527" s="206"/>
      <c r="CH1527" s="206"/>
      <c r="CI1527" s="206"/>
      <c r="CJ1527" s="206"/>
      <c r="CK1527" s="206"/>
      <c r="CL1527" s="206"/>
      <c r="CM1527" s="206"/>
      <c r="CN1527" s="206"/>
      <c r="CO1527" s="206"/>
      <c r="CP1527" s="206"/>
      <c r="CQ1527" s="206"/>
      <c r="CR1527" s="206"/>
      <c r="CS1527" s="206"/>
      <c r="CT1527" s="206"/>
      <c r="CU1527" s="206"/>
      <c r="CV1527" s="206"/>
      <c r="CW1527" s="206"/>
      <c r="CX1527" s="206"/>
      <c r="CY1527" s="206"/>
      <c r="CZ1527" s="206"/>
      <c r="DA1527" s="206"/>
      <c r="DB1527" s="206"/>
      <c r="DC1527" s="206"/>
      <c r="DD1527" s="206"/>
      <c r="DE1527" s="206"/>
      <c r="DF1527" s="206"/>
      <c r="DG1527" s="206"/>
      <c r="DH1527" s="206"/>
      <c r="DI1527" s="206"/>
      <c r="DJ1527" s="206"/>
      <c r="DK1527" s="206"/>
      <c r="DL1527" s="206"/>
      <c r="DM1527" s="206"/>
      <c r="DN1527" s="206"/>
      <c r="DO1527" s="206"/>
      <c r="DP1527" s="206"/>
      <c r="DQ1527" s="206"/>
      <c r="DR1527" s="206"/>
      <c r="DS1527" s="206"/>
      <c r="DT1527" s="206"/>
      <c r="DU1527" s="206"/>
      <c r="DV1527" s="206"/>
      <c r="DW1527" s="206"/>
      <c r="DX1527" s="206"/>
      <c r="DY1527" s="206"/>
      <c r="DZ1527" s="206"/>
      <c r="EA1527" s="206"/>
      <c r="EB1527" s="206"/>
      <c r="EC1527" s="206"/>
      <c r="ED1527" s="206"/>
      <c r="EE1527" s="206"/>
      <c r="EF1527" s="206"/>
      <c r="EG1527" s="206"/>
      <c r="EH1527" s="206"/>
      <c r="EI1527" s="206"/>
      <c r="EJ1527" s="206"/>
      <c r="EK1527" s="206"/>
      <c r="EL1527" s="206"/>
      <c r="EM1527" s="206"/>
      <c r="EN1527" s="206"/>
      <c r="EO1527" s="206"/>
      <c r="EP1527" s="206"/>
      <c r="EQ1527" s="206"/>
      <c r="ER1527" s="206"/>
      <c r="ES1527" s="206"/>
      <c r="ET1527" s="206"/>
      <c r="EU1527" s="206"/>
      <c r="EV1527" s="206"/>
      <c r="EW1527" s="206"/>
      <c r="EX1527" s="206"/>
      <c r="EY1527" s="206"/>
      <c r="EZ1527" s="206"/>
      <c r="FA1527" s="206"/>
      <c r="FB1527" s="206"/>
      <c r="FC1527" s="206"/>
      <c r="FD1527" s="206"/>
      <c r="FE1527" s="206"/>
      <c r="FF1527" s="206"/>
      <c r="FG1527" s="206"/>
      <c r="FH1527" s="206"/>
      <c r="FI1527" s="206"/>
      <c r="FJ1527" s="206"/>
      <c r="FK1527" s="206"/>
      <c r="FL1527" s="206"/>
      <c r="FM1527" s="206"/>
      <c r="FN1527" s="206"/>
      <c r="FO1527" s="206"/>
      <c r="FP1527" s="206"/>
      <c r="FQ1527" s="206"/>
      <c r="FR1527" s="206"/>
      <c r="FS1527" s="206"/>
      <c r="FT1527" s="206"/>
      <c r="FU1527" s="206"/>
      <c r="FV1527" s="206"/>
      <c r="FW1527" s="206"/>
      <c r="FX1527" s="206"/>
      <c r="FY1527" s="206"/>
      <c r="FZ1527" s="206"/>
      <c r="GA1527" s="206"/>
      <c r="GB1527" s="206"/>
      <c r="GC1527" s="206"/>
      <c r="GD1527" s="206"/>
      <c r="GE1527" s="206"/>
      <c r="GF1527" s="206"/>
      <c r="GG1527" s="206"/>
      <c r="GH1527" s="206"/>
      <c r="GI1527" s="206"/>
      <c r="GJ1527" s="206"/>
      <c r="GK1527" s="206"/>
      <c r="GL1527" s="206"/>
      <c r="GM1527" s="206"/>
      <c r="GN1527" s="206"/>
      <c r="GO1527" s="206"/>
      <c r="GP1527" s="206"/>
      <c r="GQ1527" s="206"/>
      <c r="GR1527" s="206"/>
      <c r="GS1527" s="206"/>
      <c r="GT1527" s="206"/>
      <c r="GU1527" s="206"/>
      <c r="GV1527" s="206"/>
      <c r="GW1527" s="206"/>
      <c r="GX1527" s="206"/>
      <c r="GY1527" s="206"/>
      <c r="GZ1527" s="206"/>
      <c r="HA1527" s="206"/>
      <c r="HB1527" s="206"/>
      <c r="HC1527" s="206"/>
      <c r="HD1527" s="206"/>
      <c r="HE1527" s="206"/>
      <c r="HF1527" s="206"/>
      <c r="HG1527" s="206"/>
      <c r="HH1527" s="206"/>
      <c r="HI1527" s="206"/>
      <c r="HJ1527" s="206"/>
      <c r="HK1527" s="206"/>
      <c r="HL1527" s="206"/>
      <c r="HM1527" s="206"/>
      <c r="HN1527" s="206"/>
      <c r="HO1527" s="206"/>
      <c r="HP1527" s="206"/>
      <c r="HQ1527" s="206"/>
      <c r="HR1527" s="206"/>
      <c r="HS1527" s="206"/>
      <c r="HT1527" s="206"/>
      <c r="HU1527" s="206"/>
      <c r="HV1527" s="206"/>
      <c r="HW1527" s="206"/>
      <c r="HX1527" s="206"/>
      <c r="HY1527" s="206"/>
      <c r="HZ1527" s="206"/>
      <c r="IA1527" s="206"/>
      <c r="IB1527" s="206"/>
      <c r="IC1527" s="206"/>
      <c r="ID1527" s="206"/>
      <c r="IE1527" s="206"/>
      <c r="IF1527" s="206"/>
      <c r="IG1527" s="206"/>
      <c r="IH1527" s="206"/>
      <c r="II1527" s="206"/>
      <c r="IJ1527" s="206"/>
      <c r="IK1527" s="206"/>
      <c r="IL1527" s="206"/>
      <c r="IM1527" s="206"/>
      <c r="IN1527" s="206"/>
      <c r="IO1527" s="206"/>
      <c r="IP1527" s="206"/>
      <c r="IQ1527" s="206"/>
      <c r="IR1527" s="206"/>
      <c r="IS1527" s="206"/>
      <c r="IT1527" s="206"/>
      <c r="IU1527" s="206"/>
      <c r="IV1527" s="206"/>
      <c r="IW1527" s="206"/>
      <c r="IX1527" s="206"/>
      <c r="IY1527" s="206"/>
      <c r="IZ1527" s="206"/>
      <c r="JA1527" s="206"/>
      <c r="JB1527" s="206"/>
      <c r="JC1527" s="206"/>
      <c r="JD1527" s="206"/>
      <c r="JE1527" s="206"/>
      <c r="JF1527" s="206"/>
      <c r="JG1527" s="206"/>
      <c r="JH1527" s="206"/>
      <c r="JI1527" s="206"/>
      <c r="JJ1527" s="206"/>
      <c r="JK1527" s="206"/>
      <c r="JL1527" s="206"/>
      <c r="JM1527" s="206"/>
      <c r="JN1527" s="206"/>
      <c r="JO1527" s="206"/>
      <c r="JP1527" s="206"/>
      <c r="JQ1527" s="206"/>
      <c r="JR1527" s="206"/>
      <c r="JS1527" s="206"/>
      <c r="JT1527" s="206"/>
      <c r="JU1527" s="206"/>
      <c r="JV1527" s="206"/>
      <c r="JW1527" s="206"/>
      <c r="JX1527" s="206"/>
      <c r="JY1527" s="206"/>
      <c r="JZ1527" s="206"/>
      <c r="KA1527" s="206"/>
      <c r="KB1527" s="206"/>
      <c r="KC1527" s="206"/>
      <c r="KD1527" s="206"/>
      <c r="KE1527" s="206"/>
      <c r="KF1527" s="206"/>
      <c r="KG1527" s="206"/>
      <c r="KH1527" s="206"/>
      <c r="KI1527" s="206"/>
      <c r="KJ1527" s="206"/>
      <c r="KK1527" s="206"/>
      <c r="KL1527" s="206"/>
      <c r="KM1527" s="206"/>
      <c r="KN1527" s="206"/>
      <c r="KO1527" s="206"/>
      <c r="KP1527" s="206"/>
      <c r="KQ1527" s="206"/>
      <c r="KR1527" s="206"/>
      <c r="KS1527" s="206"/>
      <c r="KT1527" s="206"/>
      <c r="KU1527" s="206"/>
      <c r="KV1527" s="206"/>
      <c r="KW1527" s="206"/>
      <c r="KX1527" s="206"/>
      <c r="KY1527" s="206"/>
      <c r="KZ1527" s="206"/>
      <c r="LA1527" s="206"/>
      <c r="LB1527" s="206"/>
      <c r="LC1527" s="206"/>
      <c r="LD1527" s="206"/>
      <c r="LE1527" s="206"/>
      <c r="LF1527" s="206"/>
      <c r="LG1527" s="206"/>
      <c r="LH1527" s="206"/>
      <c r="LI1527" s="206"/>
      <c r="LJ1527" s="206"/>
      <c r="LK1527" s="206"/>
      <c r="LL1527" s="206"/>
      <c r="LM1527" s="206"/>
      <c r="LN1527" s="206"/>
      <c r="LO1527" s="206"/>
      <c r="LP1527" s="206"/>
      <c r="LQ1527" s="206"/>
      <c r="LR1527" s="206"/>
      <c r="LS1527" s="206"/>
      <c r="LT1527" s="206"/>
      <c r="LU1527" s="206"/>
      <c r="LV1527" s="206"/>
      <c r="LW1527" s="206"/>
      <c r="LX1527" s="206"/>
      <c r="LY1527" s="206"/>
      <c r="LZ1527" s="206"/>
      <c r="MA1527" s="206"/>
      <c r="MB1527" s="206"/>
      <c r="MC1527" s="206"/>
      <c r="MD1527" s="206"/>
      <c r="ME1527" s="206"/>
      <c r="MF1527" s="206"/>
      <c r="MG1527" s="206"/>
      <c r="MH1527" s="206"/>
      <c r="MI1527" s="206"/>
      <c r="MJ1527" s="206"/>
      <c r="MK1527" s="206"/>
      <c r="ML1527" s="206"/>
      <c r="MM1527" s="206"/>
      <c r="MN1527" s="206"/>
      <c r="MO1527" s="206"/>
      <c r="MP1527" s="206"/>
      <c r="MQ1527" s="206"/>
      <c r="MR1527" s="206"/>
      <c r="MS1527" s="206"/>
      <c r="MT1527" s="206"/>
      <c r="MU1527" s="206"/>
      <c r="MV1527" s="206"/>
      <c r="MW1527" s="206"/>
      <c r="MX1527" s="206"/>
      <c r="MY1527" s="206"/>
      <c r="MZ1527" s="206"/>
      <c r="NA1527" s="206"/>
      <c r="NB1527" s="206"/>
      <c r="NC1527" s="206"/>
      <c r="ND1527" s="206"/>
      <c r="NE1527" s="206"/>
      <c r="NF1527" s="206"/>
      <c r="NG1527" s="206"/>
      <c r="NH1527" s="206"/>
      <c r="NI1527" s="206"/>
      <c r="NJ1527" s="206"/>
      <c r="NK1527" s="206"/>
      <c r="NL1527" s="206"/>
      <c r="NM1527" s="206"/>
      <c r="NN1527" s="206"/>
      <c r="NO1527" s="206"/>
      <c r="NP1527" s="206"/>
      <c r="NQ1527" s="206"/>
      <c r="NR1527" s="206"/>
      <c r="NS1527" s="206"/>
      <c r="NT1527" s="206"/>
      <c r="NU1527" s="206"/>
      <c r="NV1527" s="206"/>
      <c r="NW1527" s="206"/>
      <c r="NX1527" s="206"/>
      <c r="NY1527" s="206"/>
      <c r="NZ1527" s="206"/>
      <c r="OA1527" s="206"/>
      <c r="OB1527" s="206"/>
      <c r="OC1527" s="206"/>
      <c r="OD1527" s="206"/>
      <c r="OE1527" s="206"/>
      <c r="OF1527" s="206"/>
      <c r="OG1527" s="206"/>
      <c r="OH1527" s="206"/>
      <c r="OI1527" s="206"/>
      <c r="OJ1527" s="206"/>
      <c r="OK1527" s="206"/>
      <c r="OL1527" s="206"/>
      <c r="OM1527" s="206"/>
      <c r="ON1527" s="206"/>
      <c r="OO1527" s="206"/>
      <c r="OP1527" s="206"/>
      <c r="OQ1527" s="206"/>
      <c r="OR1527" s="206"/>
      <c r="OS1527" s="206"/>
      <c r="OT1527" s="206"/>
      <c r="OU1527" s="206"/>
      <c r="OV1527" s="206"/>
      <c r="OW1527" s="206"/>
      <c r="OX1527" s="206"/>
      <c r="OY1527" s="206"/>
      <c r="OZ1527" s="206"/>
      <c r="PA1527" s="206"/>
      <c r="PB1527" s="206"/>
      <c r="PC1527" s="206"/>
      <c r="PD1527" s="206"/>
      <c r="PE1527" s="206"/>
      <c r="PF1527" s="206"/>
      <c r="PG1527" s="206"/>
      <c r="PH1527" s="206"/>
      <c r="PI1527" s="206"/>
      <c r="PJ1527" s="206"/>
      <c r="PK1527" s="206"/>
      <c r="PL1527" s="206"/>
      <c r="PM1527" s="206"/>
      <c r="PN1527" s="206"/>
      <c r="PO1527" s="206"/>
      <c r="PP1527" s="206"/>
      <c r="PQ1527" s="206"/>
      <c r="PR1527" s="206"/>
      <c r="PS1527" s="206"/>
      <c r="PT1527" s="206"/>
      <c r="PU1527" s="206"/>
      <c r="PV1527" s="206"/>
      <c r="PW1527" s="206"/>
      <c r="PX1527" s="206"/>
      <c r="PY1527" s="206"/>
      <c r="PZ1527" s="206"/>
      <c r="QA1527" s="206"/>
      <c r="QB1527" s="206"/>
      <c r="QC1527" s="206"/>
      <c r="QD1527" s="206"/>
      <c r="QE1527" s="206"/>
      <c r="QF1527" s="206"/>
      <c r="QG1527" s="206"/>
      <c r="QH1527" s="206"/>
      <c r="QI1527" s="206"/>
      <c r="QJ1527" s="206"/>
      <c r="QK1527" s="206"/>
      <c r="QL1527" s="206"/>
      <c r="QM1527" s="206"/>
      <c r="QN1527" s="206"/>
      <c r="QO1527" s="206"/>
      <c r="QP1527" s="206"/>
      <c r="QQ1527" s="206"/>
      <c r="QR1527" s="206"/>
      <c r="QS1527" s="206"/>
      <c r="QT1527" s="206"/>
      <c r="QU1527" s="206"/>
      <c r="QV1527" s="206"/>
      <c r="QW1527" s="206"/>
      <c r="QX1527" s="206"/>
      <c r="QY1527" s="206"/>
      <c r="QZ1527" s="206"/>
      <c r="RA1527" s="206"/>
      <c r="RB1527" s="206"/>
      <c r="RC1527" s="206"/>
      <c r="RD1527" s="206"/>
      <c r="RE1527" s="206"/>
      <c r="RF1527" s="206"/>
      <c r="RG1527" s="206"/>
      <c r="RH1527" s="206"/>
      <c r="RI1527" s="206"/>
      <c r="RJ1527" s="206"/>
      <c r="RK1527" s="206"/>
      <c r="RL1527" s="206"/>
      <c r="RM1527" s="206"/>
      <c r="RN1527" s="206"/>
      <c r="RO1527" s="206"/>
      <c r="RP1527" s="206"/>
      <c r="RQ1527" s="206"/>
      <c r="RR1527" s="206"/>
      <c r="RS1527" s="206"/>
      <c r="RT1527" s="206"/>
      <c r="RU1527" s="206"/>
      <c r="RV1527" s="206"/>
      <c r="RW1527" s="206"/>
      <c r="RX1527" s="206"/>
      <c r="RY1527" s="206"/>
      <c r="RZ1527" s="206"/>
      <c r="SA1527" s="206"/>
      <c r="SB1527" s="206"/>
      <c r="SC1527" s="206"/>
      <c r="SD1527" s="206"/>
      <c r="SE1527" s="206"/>
      <c r="SF1527" s="206"/>
      <c r="SG1527" s="206"/>
      <c r="SH1527" s="206"/>
      <c r="SI1527" s="206"/>
      <c r="SJ1527" s="206"/>
      <c r="SK1527" s="206"/>
      <c r="SL1527" s="206"/>
      <c r="SM1527" s="206"/>
      <c r="SN1527" s="206"/>
      <c r="SO1527" s="206"/>
      <c r="SP1527" s="206"/>
      <c r="SQ1527" s="206"/>
      <c r="SR1527" s="206"/>
      <c r="SS1527" s="206"/>
      <c r="ST1527" s="206"/>
      <c r="SU1527" s="206"/>
      <c r="SV1527" s="206"/>
      <c r="SW1527" s="206"/>
      <c r="SX1527" s="206"/>
      <c r="SY1527" s="206"/>
      <c r="SZ1527" s="206"/>
      <c r="TA1527" s="206"/>
      <c r="TB1527" s="206"/>
      <c r="TC1527" s="206"/>
      <c r="TD1527" s="206"/>
      <c r="TE1527" s="206"/>
      <c r="TF1527" s="206"/>
      <c r="TG1527" s="206"/>
      <c r="TH1527" s="206"/>
      <c r="TI1527" s="206"/>
      <c r="TJ1527" s="206"/>
      <c r="TK1527" s="206"/>
      <c r="TL1527" s="206"/>
      <c r="TM1527" s="206"/>
      <c r="TN1527" s="206"/>
      <c r="TO1527" s="206"/>
      <c r="TP1527" s="206"/>
      <c r="TQ1527" s="206"/>
      <c r="TR1527" s="206"/>
      <c r="TS1527" s="206"/>
      <c r="TT1527" s="206"/>
      <c r="TU1527" s="206"/>
      <c r="TV1527" s="206"/>
      <c r="TW1527" s="206"/>
      <c r="TX1527" s="206"/>
      <c r="TY1527" s="206"/>
      <c r="TZ1527" s="206"/>
      <c r="UA1527" s="206"/>
      <c r="UB1527" s="206"/>
      <c r="UC1527" s="206"/>
      <c r="UD1527" s="206"/>
    </row>
    <row r="1528" spans="1:550" s="874" customFormat="1" ht="21.75" customHeight="1">
      <c r="A1528" s="924" t="s">
        <v>17</v>
      </c>
      <c r="B1528" s="411"/>
      <c r="C1528" s="1632" t="s">
        <v>18</v>
      </c>
      <c r="D1528" s="1452"/>
      <c r="E1528" s="1452"/>
      <c r="F1528" s="1452"/>
      <c r="G1528" s="411" t="s">
        <v>1393</v>
      </c>
      <c r="H1528" s="927">
        <f>SUM(H1529:H1536)</f>
        <v>3242.2999999999997</v>
      </c>
      <c r="I1528" s="652">
        <f>SUM(I1529:I1536)</f>
        <v>3242.2999999999997</v>
      </c>
      <c r="J1528" s="1243"/>
      <c r="K1528" s="809"/>
      <c r="L1528" s="928">
        <f>SUM(L1529:L1536)</f>
        <v>188125100</v>
      </c>
      <c r="M1528" s="411"/>
      <c r="N1528" s="411"/>
      <c r="O1528" s="411"/>
      <c r="P1528" s="411"/>
      <c r="Q1528" s="1172"/>
      <c r="R1528" s="486"/>
      <c r="S1528" s="486"/>
      <c r="T1528" s="486"/>
      <c r="U1528" s="486"/>
      <c r="V1528" s="486"/>
      <c r="W1528" s="486"/>
      <c r="X1528" s="486"/>
      <c r="Y1528" s="486"/>
      <c r="Z1528" s="486"/>
      <c r="AA1528" s="486"/>
      <c r="AB1528" s="486"/>
      <c r="AC1528" s="486"/>
      <c r="AD1528" s="486"/>
      <c r="AE1528" s="486"/>
      <c r="AF1528" s="486"/>
      <c r="AG1528" s="486"/>
      <c r="AH1528" s="486"/>
      <c r="AI1528" s="486"/>
      <c r="AJ1528" s="486"/>
      <c r="AK1528" s="486"/>
      <c r="AL1528" s="206"/>
      <c r="AM1528" s="206"/>
      <c r="AN1528" s="206"/>
      <c r="AO1528" s="206"/>
      <c r="AP1528" s="206"/>
      <c r="AQ1528" s="206"/>
      <c r="AR1528" s="206"/>
      <c r="AS1528" s="206"/>
      <c r="AT1528" s="206"/>
      <c r="AU1528" s="206"/>
      <c r="AV1528" s="206"/>
      <c r="AW1528" s="206"/>
      <c r="AX1528" s="206"/>
      <c r="AY1528" s="206"/>
      <c r="AZ1528" s="206"/>
      <c r="BA1528" s="206"/>
      <c r="BB1528" s="206"/>
      <c r="BC1528" s="206"/>
      <c r="BD1528" s="206"/>
      <c r="BE1528" s="206"/>
      <c r="BF1528" s="206"/>
      <c r="BG1528" s="206"/>
      <c r="BH1528" s="206"/>
      <c r="BI1528" s="206"/>
      <c r="BJ1528" s="206"/>
      <c r="BK1528" s="206"/>
      <c r="BL1528" s="206"/>
      <c r="BM1528" s="206"/>
      <c r="BN1528" s="206"/>
      <c r="BO1528" s="206"/>
      <c r="BP1528" s="206"/>
      <c r="BQ1528" s="206"/>
      <c r="BR1528" s="206"/>
      <c r="BS1528" s="206"/>
      <c r="BT1528" s="206"/>
      <c r="BU1528" s="206"/>
      <c r="BV1528" s="206"/>
      <c r="BW1528" s="206"/>
      <c r="BX1528" s="206"/>
      <c r="BY1528" s="206"/>
      <c r="BZ1528" s="206"/>
      <c r="CA1528" s="206"/>
      <c r="CB1528" s="206"/>
      <c r="CC1528" s="206"/>
      <c r="CD1528" s="206"/>
      <c r="CE1528" s="206"/>
      <c r="CF1528" s="206"/>
      <c r="CG1528" s="206"/>
      <c r="CH1528" s="206"/>
      <c r="CI1528" s="206"/>
      <c r="CJ1528" s="206"/>
      <c r="CK1528" s="206"/>
      <c r="CL1528" s="206"/>
      <c r="CM1528" s="206"/>
      <c r="CN1528" s="206"/>
      <c r="CO1528" s="206"/>
      <c r="CP1528" s="206"/>
      <c r="CQ1528" s="206"/>
      <c r="CR1528" s="206"/>
      <c r="CS1528" s="206"/>
      <c r="CT1528" s="206"/>
      <c r="CU1528" s="206"/>
      <c r="CV1528" s="206"/>
      <c r="CW1528" s="206"/>
      <c r="CX1528" s="206"/>
      <c r="CY1528" s="206"/>
      <c r="CZ1528" s="206"/>
      <c r="DA1528" s="206"/>
      <c r="DB1528" s="206"/>
      <c r="DC1528" s="206"/>
      <c r="DD1528" s="206"/>
      <c r="DE1528" s="206"/>
      <c r="DF1528" s="206"/>
      <c r="DG1528" s="206"/>
      <c r="DH1528" s="206"/>
      <c r="DI1528" s="206"/>
      <c r="DJ1528" s="206"/>
      <c r="DK1528" s="206"/>
      <c r="DL1528" s="206"/>
      <c r="DM1528" s="206"/>
      <c r="DN1528" s="206"/>
      <c r="DO1528" s="206"/>
      <c r="DP1528" s="206"/>
      <c r="DQ1528" s="206"/>
      <c r="DR1528" s="206"/>
      <c r="DS1528" s="206"/>
      <c r="DT1528" s="206"/>
      <c r="DU1528" s="206"/>
      <c r="DV1528" s="206"/>
      <c r="DW1528" s="206"/>
      <c r="DX1528" s="206"/>
      <c r="DY1528" s="206"/>
      <c r="DZ1528" s="206"/>
      <c r="EA1528" s="206"/>
      <c r="EB1528" s="206"/>
      <c r="EC1528" s="206"/>
      <c r="ED1528" s="206"/>
      <c r="EE1528" s="206"/>
      <c r="EF1528" s="206"/>
      <c r="EG1528" s="206"/>
      <c r="EH1528" s="206"/>
      <c r="EI1528" s="206"/>
      <c r="EJ1528" s="206"/>
      <c r="EK1528" s="206"/>
      <c r="EL1528" s="206"/>
      <c r="EM1528" s="206"/>
      <c r="EN1528" s="206"/>
      <c r="EO1528" s="206"/>
      <c r="EP1528" s="206"/>
      <c r="EQ1528" s="206"/>
      <c r="ER1528" s="206"/>
      <c r="ES1528" s="206"/>
      <c r="ET1528" s="206"/>
      <c r="EU1528" s="206"/>
      <c r="EV1528" s="206"/>
      <c r="EW1528" s="206"/>
      <c r="EX1528" s="206"/>
      <c r="EY1528" s="206"/>
      <c r="EZ1528" s="206"/>
      <c r="FA1528" s="206"/>
      <c r="FB1528" s="206"/>
      <c r="FC1528" s="206"/>
      <c r="FD1528" s="206"/>
      <c r="FE1528" s="206"/>
      <c r="FF1528" s="206"/>
      <c r="FG1528" s="206"/>
      <c r="FH1528" s="206"/>
      <c r="FI1528" s="206"/>
      <c r="FJ1528" s="206"/>
      <c r="FK1528" s="206"/>
      <c r="FL1528" s="206"/>
      <c r="FM1528" s="206"/>
      <c r="FN1528" s="206"/>
      <c r="FO1528" s="206"/>
      <c r="FP1528" s="206"/>
      <c r="FQ1528" s="206"/>
      <c r="FR1528" s="206"/>
      <c r="FS1528" s="206"/>
      <c r="FT1528" s="206"/>
      <c r="FU1528" s="206"/>
      <c r="FV1528" s="206"/>
      <c r="FW1528" s="206"/>
      <c r="FX1528" s="206"/>
      <c r="FY1528" s="206"/>
      <c r="FZ1528" s="206"/>
      <c r="GA1528" s="206"/>
      <c r="GB1528" s="206"/>
      <c r="GC1528" s="206"/>
      <c r="GD1528" s="206"/>
      <c r="GE1528" s="206"/>
      <c r="GF1528" s="206"/>
      <c r="GG1528" s="206"/>
      <c r="GH1528" s="206"/>
      <c r="GI1528" s="206"/>
      <c r="GJ1528" s="206"/>
      <c r="GK1528" s="206"/>
      <c r="GL1528" s="206"/>
      <c r="GM1528" s="206"/>
      <c r="GN1528" s="206"/>
      <c r="GO1528" s="206"/>
      <c r="GP1528" s="206"/>
      <c r="GQ1528" s="206"/>
      <c r="GR1528" s="206"/>
      <c r="GS1528" s="206"/>
      <c r="GT1528" s="206"/>
      <c r="GU1528" s="206"/>
      <c r="GV1528" s="206"/>
      <c r="GW1528" s="206"/>
      <c r="GX1528" s="206"/>
      <c r="GY1528" s="206"/>
      <c r="GZ1528" s="206"/>
      <c r="HA1528" s="206"/>
      <c r="HB1528" s="206"/>
      <c r="HC1528" s="206"/>
      <c r="HD1528" s="206"/>
      <c r="HE1528" s="206"/>
      <c r="HF1528" s="206"/>
      <c r="HG1528" s="206"/>
      <c r="HH1528" s="206"/>
      <c r="HI1528" s="206"/>
      <c r="HJ1528" s="206"/>
      <c r="HK1528" s="206"/>
      <c r="HL1528" s="206"/>
      <c r="HM1528" s="206"/>
      <c r="HN1528" s="206"/>
      <c r="HO1528" s="206"/>
      <c r="HP1528" s="206"/>
      <c r="HQ1528" s="206"/>
      <c r="HR1528" s="206"/>
      <c r="HS1528" s="206"/>
      <c r="HT1528" s="206"/>
      <c r="HU1528" s="206"/>
      <c r="HV1528" s="206"/>
      <c r="HW1528" s="206"/>
      <c r="HX1528" s="206"/>
      <c r="HY1528" s="206"/>
      <c r="HZ1528" s="206"/>
      <c r="IA1528" s="206"/>
      <c r="IB1528" s="206"/>
      <c r="IC1528" s="206"/>
      <c r="ID1528" s="206"/>
      <c r="IE1528" s="206"/>
      <c r="IF1528" s="206"/>
      <c r="IG1528" s="206"/>
      <c r="IH1528" s="206"/>
      <c r="II1528" s="206"/>
      <c r="IJ1528" s="206"/>
      <c r="IK1528" s="206"/>
      <c r="IL1528" s="206"/>
      <c r="IM1528" s="206"/>
      <c r="IN1528" s="206"/>
      <c r="IO1528" s="206"/>
      <c r="IP1528" s="206"/>
      <c r="IQ1528" s="206"/>
      <c r="IR1528" s="206"/>
      <c r="IS1528" s="206"/>
      <c r="IT1528" s="206"/>
      <c r="IU1528" s="206"/>
      <c r="IV1528" s="206"/>
      <c r="IW1528" s="206"/>
      <c r="IX1528" s="206"/>
      <c r="IY1528" s="206"/>
      <c r="IZ1528" s="206"/>
      <c r="JA1528" s="206"/>
      <c r="JB1528" s="206"/>
      <c r="JC1528" s="206"/>
      <c r="JD1528" s="206"/>
      <c r="JE1528" s="206"/>
      <c r="JF1528" s="206"/>
      <c r="JG1528" s="206"/>
      <c r="JH1528" s="206"/>
      <c r="JI1528" s="206"/>
      <c r="JJ1528" s="206"/>
      <c r="JK1528" s="206"/>
      <c r="JL1528" s="206"/>
      <c r="JM1528" s="206"/>
      <c r="JN1528" s="206"/>
      <c r="JO1528" s="206"/>
      <c r="JP1528" s="206"/>
      <c r="JQ1528" s="206"/>
      <c r="JR1528" s="206"/>
      <c r="JS1528" s="206"/>
      <c r="JT1528" s="206"/>
      <c r="JU1528" s="206"/>
      <c r="JV1528" s="206"/>
      <c r="JW1528" s="206"/>
      <c r="JX1528" s="206"/>
      <c r="JY1528" s="206"/>
      <c r="JZ1528" s="206"/>
      <c r="KA1528" s="206"/>
      <c r="KB1528" s="206"/>
      <c r="KC1528" s="206"/>
      <c r="KD1528" s="206"/>
      <c r="KE1528" s="206"/>
      <c r="KF1528" s="206"/>
      <c r="KG1528" s="206"/>
      <c r="KH1528" s="206"/>
      <c r="KI1528" s="206"/>
      <c r="KJ1528" s="206"/>
      <c r="KK1528" s="206"/>
      <c r="KL1528" s="206"/>
      <c r="KM1528" s="206"/>
      <c r="KN1528" s="206"/>
      <c r="KO1528" s="206"/>
      <c r="KP1528" s="206"/>
      <c r="KQ1528" s="206"/>
      <c r="KR1528" s="206"/>
      <c r="KS1528" s="206"/>
      <c r="KT1528" s="206"/>
      <c r="KU1528" s="206"/>
      <c r="KV1528" s="206"/>
      <c r="KW1528" s="206"/>
      <c r="KX1528" s="206"/>
      <c r="KY1528" s="206"/>
      <c r="KZ1528" s="206"/>
      <c r="LA1528" s="206"/>
      <c r="LB1528" s="206"/>
      <c r="LC1528" s="206"/>
      <c r="LD1528" s="206"/>
      <c r="LE1528" s="206"/>
      <c r="LF1528" s="206"/>
      <c r="LG1528" s="206"/>
      <c r="LH1528" s="206"/>
      <c r="LI1528" s="206"/>
      <c r="LJ1528" s="206"/>
      <c r="LK1528" s="206"/>
      <c r="LL1528" s="206"/>
      <c r="LM1528" s="206"/>
      <c r="LN1528" s="206"/>
      <c r="LO1528" s="206"/>
      <c r="LP1528" s="206"/>
      <c r="LQ1528" s="206"/>
      <c r="LR1528" s="206"/>
      <c r="LS1528" s="206"/>
      <c r="LT1528" s="206"/>
      <c r="LU1528" s="206"/>
      <c r="LV1528" s="206"/>
      <c r="LW1528" s="206"/>
      <c r="LX1528" s="206"/>
      <c r="LY1528" s="206"/>
      <c r="LZ1528" s="206"/>
      <c r="MA1528" s="206"/>
      <c r="MB1528" s="206"/>
      <c r="MC1528" s="206"/>
      <c r="MD1528" s="206"/>
      <c r="ME1528" s="206"/>
      <c r="MF1528" s="206"/>
      <c r="MG1528" s="206"/>
      <c r="MH1528" s="206"/>
      <c r="MI1528" s="206"/>
      <c r="MJ1528" s="206"/>
      <c r="MK1528" s="206"/>
      <c r="ML1528" s="206"/>
      <c r="MM1528" s="206"/>
      <c r="MN1528" s="206"/>
      <c r="MO1528" s="206"/>
      <c r="MP1528" s="206"/>
      <c r="MQ1528" s="206"/>
      <c r="MR1528" s="206"/>
      <c r="MS1528" s="206"/>
      <c r="MT1528" s="206"/>
      <c r="MU1528" s="206"/>
      <c r="MV1528" s="206"/>
      <c r="MW1528" s="206"/>
      <c r="MX1528" s="206"/>
      <c r="MY1528" s="206"/>
      <c r="MZ1528" s="206"/>
      <c r="NA1528" s="206"/>
      <c r="NB1528" s="206"/>
      <c r="NC1528" s="206"/>
      <c r="ND1528" s="206"/>
      <c r="NE1528" s="206"/>
      <c r="NF1528" s="206"/>
      <c r="NG1528" s="206"/>
      <c r="NH1528" s="206"/>
      <c r="NI1528" s="206"/>
      <c r="NJ1528" s="206"/>
      <c r="NK1528" s="206"/>
      <c r="NL1528" s="206"/>
      <c r="NM1528" s="206"/>
      <c r="NN1528" s="206"/>
      <c r="NO1528" s="206"/>
      <c r="NP1528" s="206"/>
      <c r="NQ1528" s="206"/>
      <c r="NR1528" s="206"/>
      <c r="NS1528" s="206"/>
      <c r="NT1528" s="206"/>
      <c r="NU1528" s="206"/>
      <c r="NV1528" s="206"/>
      <c r="NW1528" s="206"/>
      <c r="NX1528" s="206"/>
      <c r="NY1528" s="206"/>
      <c r="NZ1528" s="206"/>
      <c r="OA1528" s="206"/>
      <c r="OB1528" s="206"/>
      <c r="OC1528" s="206"/>
      <c r="OD1528" s="206"/>
      <c r="OE1528" s="206"/>
      <c r="OF1528" s="206"/>
      <c r="OG1528" s="206"/>
      <c r="OH1528" s="206"/>
      <c r="OI1528" s="206"/>
      <c r="OJ1528" s="206"/>
      <c r="OK1528" s="206"/>
      <c r="OL1528" s="206"/>
      <c r="OM1528" s="206"/>
      <c r="ON1528" s="206"/>
      <c r="OO1528" s="206"/>
      <c r="OP1528" s="206"/>
      <c r="OQ1528" s="206"/>
      <c r="OR1528" s="206"/>
      <c r="OS1528" s="206"/>
      <c r="OT1528" s="206"/>
      <c r="OU1528" s="206"/>
      <c r="OV1528" s="206"/>
      <c r="OW1528" s="206"/>
      <c r="OX1528" s="206"/>
      <c r="OY1528" s="206"/>
      <c r="OZ1528" s="206"/>
      <c r="PA1528" s="206"/>
      <c r="PB1528" s="206"/>
      <c r="PC1528" s="206"/>
      <c r="PD1528" s="206"/>
      <c r="PE1528" s="206"/>
      <c r="PF1528" s="206"/>
      <c r="PG1528" s="206"/>
      <c r="PH1528" s="206"/>
      <c r="PI1528" s="206"/>
      <c r="PJ1528" s="206"/>
      <c r="PK1528" s="206"/>
      <c r="PL1528" s="206"/>
      <c r="PM1528" s="206"/>
      <c r="PN1528" s="206"/>
      <c r="PO1528" s="206"/>
      <c r="PP1528" s="206"/>
      <c r="PQ1528" s="206"/>
      <c r="PR1528" s="206"/>
      <c r="PS1528" s="206"/>
      <c r="PT1528" s="206"/>
      <c r="PU1528" s="206"/>
      <c r="PV1528" s="206"/>
      <c r="PW1528" s="206"/>
      <c r="PX1528" s="206"/>
      <c r="PY1528" s="206"/>
      <c r="PZ1528" s="206"/>
      <c r="QA1528" s="206"/>
      <c r="QB1528" s="206"/>
      <c r="QC1528" s="206"/>
      <c r="QD1528" s="206"/>
      <c r="QE1528" s="206"/>
      <c r="QF1528" s="206"/>
      <c r="QG1528" s="206"/>
      <c r="QH1528" s="206"/>
      <c r="QI1528" s="206"/>
      <c r="QJ1528" s="206"/>
      <c r="QK1528" s="206"/>
      <c r="QL1528" s="206"/>
      <c r="QM1528" s="206"/>
      <c r="QN1528" s="206"/>
      <c r="QO1528" s="206"/>
      <c r="QP1528" s="206"/>
      <c r="QQ1528" s="206"/>
      <c r="QR1528" s="206"/>
      <c r="QS1528" s="206"/>
      <c r="QT1528" s="206"/>
      <c r="QU1528" s="206"/>
      <c r="QV1528" s="206"/>
      <c r="QW1528" s="206"/>
      <c r="QX1528" s="206"/>
      <c r="QY1528" s="206"/>
      <c r="QZ1528" s="206"/>
      <c r="RA1528" s="206"/>
      <c r="RB1528" s="206"/>
      <c r="RC1528" s="206"/>
      <c r="RD1528" s="206"/>
      <c r="RE1528" s="206"/>
      <c r="RF1528" s="206"/>
      <c r="RG1528" s="206"/>
      <c r="RH1528" s="206"/>
      <c r="RI1528" s="206"/>
      <c r="RJ1528" s="206"/>
      <c r="RK1528" s="206"/>
      <c r="RL1528" s="206"/>
      <c r="RM1528" s="206"/>
      <c r="RN1528" s="206"/>
      <c r="RO1528" s="206"/>
      <c r="RP1528" s="206"/>
      <c r="RQ1528" s="206"/>
      <c r="RR1528" s="206"/>
      <c r="RS1528" s="206"/>
      <c r="RT1528" s="206"/>
      <c r="RU1528" s="206"/>
      <c r="RV1528" s="206"/>
      <c r="RW1528" s="206"/>
      <c r="RX1528" s="206"/>
      <c r="RY1528" s="206"/>
      <c r="RZ1528" s="206"/>
      <c r="SA1528" s="206"/>
      <c r="SB1528" s="206"/>
      <c r="SC1528" s="206"/>
      <c r="SD1528" s="206"/>
      <c r="SE1528" s="206"/>
      <c r="SF1528" s="206"/>
      <c r="SG1528" s="206"/>
      <c r="SH1528" s="206"/>
      <c r="SI1528" s="206"/>
      <c r="SJ1528" s="206"/>
      <c r="SK1528" s="206"/>
      <c r="SL1528" s="206"/>
      <c r="SM1528" s="206"/>
      <c r="SN1528" s="206"/>
      <c r="SO1528" s="206"/>
      <c r="SP1528" s="206"/>
      <c r="SQ1528" s="206"/>
      <c r="SR1528" s="206"/>
      <c r="SS1528" s="206"/>
      <c r="ST1528" s="206"/>
      <c r="SU1528" s="206"/>
      <c r="SV1528" s="206"/>
      <c r="SW1528" s="206"/>
      <c r="SX1528" s="206"/>
      <c r="SY1528" s="206"/>
      <c r="SZ1528" s="206"/>
      <c r="TA1528" s="206"/>
      <c r="TB1528" s="206"/>
      <c r="TC1528" s="206"/>
      <c r="TD1528" s="206"/>
      <c r="TE1528" s="206"/>
      <c r="TF1528" s="206"/>
      <c r="TG1528" s="206"/>
      <c r="TH1528" s="206"/>
      <c r="TI1528" s="206"/>
      <c r="TJ1528" s="206"/>
      <c r="TK1528" s="206"/>
      <c r="TL1528" s="206"/>
      <c r="TM1528" s="206"/>
      <c r="TN1528" s="206"/>
      <c r="TO1528" s="206"/>
      <c r="TP1528" s="206"/>
      <c r="TQ1528" s="206"/>
      <c r="TR1528" s="206"/>
      <c r="TS1528" s="206"/>
      <c r="TT1528" s="206"/>
      <c r="TU1528" s="206"/>
      <c r="TV1528" s="206"/>
      <c r="TW1528" s="206"/>
      <c r="TX1528" s="206"/>
      <c r="TY1528" s="206"/>
      <c r="TZ1528" s="206"/>
      <c r="UA1528" s="206"/>
      <c r="UB1528" s="206"/>
      <c r="UC1528" s="206"/>
      <c r="UD1528" s="206"/>
    </row>
    <row r="1529" spans="1:550" s="874" customFormat="1" ht="408.75" customHeight="1">
      <c r="A1529" s="924"/>
      <c r="B1529" s="1230"/>
      <c r="C1529" s="1227" t="s">
        <v>23</v>
      </c>
      <c r="D1529" s="470" t="s">
        <v>70</v>
      </c>
      <c r="E1529" s="470" t="s">
        <v>1346</v>
      </c>
      <c r="F1529" s="1230">
        <v>1</v>
      </c>
      <c r="G1529" s="501" t="s">
        <v>935</v>
      </c>
      <c r="H1529" s="930">
        <v>928.3</v>
      </c>
      <c r="I1529" s="931">
        <v>928.3</v>
      </c>
      <c r="J1529" s="993">
        <v>62000</v>
      </c>
      <c r="K1529" s="939"/>
      <c r="L1529" s="932">
        <f t="shared" ref="L1529:L1535" si="231">ROUND(PRODUCT(I1529:K1529),0)</f>
        <v>57554600</v>
      </c>
      <c r="M1529" s="933"/>
      <c r="N1529" s="933"/>
      <c r="O1529" s="1226"/>
      <c r="P1529" s="1226"/>
      <c r="Q1529" s="1258" t="s">
        <v>1347</v>
      </c>
      <c r="R1529" s="1447" t="s">
        <v>24</v>
      </c>
      <c r="S1529" s="486"/>
      <c r="T1529" s="486"/>
      <c r="U1529" s="486"/>
      <c r="V1529" s="486"/>
      <c r="W1529" s="1117">
        <f>I1529</f>
        <v>928.3</v>
      </c>
      <c r="X1529" s="486"/>
      <c r="Y1529" s="486"/>
      <c r="Z1529" s="486"/>
      <c r="AA1529" s="486"/>
      <c r="AB1529" s="486"/>
      <c r="AC1529" s="486"/>
      <c r="AD1529" s="486"/>
      <c r="AE1529" s="486"/>
      <c r="AF1529" s="486"/>
      <c r="AG1529" s="486"/>
      <c r="AH1529" s="486"/>
      <c r="AI1529" s="486"/>
      <c r="AJ1529" s="486"/>
      <c r="AK1529" s="486"/>
      <c r="AL1529" s="206"/>
      <c r="AM1529" s="206"/>
      <c r="AN1529" s="206"/>
      <c r="AO1529" s="206"/>
      <c r="AP1529" s="206"/>
      <c r="AQ1529" s="206"/>
      <c r="AR1529" s="206"/>
      <c r="AS1529" s="206"/>
      <c r="AT1529" s="206"/>
      <c r="AU1529" s="206"/>
      <c r="AV1529" s="206"/>
      <c r="AW1529" s="206"/>
      <c r="AX1529" s="206"/>
      <c r="AY1529" s="206"/>
      <c r="AZ1529" s="206"/>
      <c r="BA1529" s="206"/>
      <c r="BB1529" s="206"/>
      <c r="BC1529" s="206"/>
      <c r="BD1529" s="206"/>
      <c r="BE1529" s="206"/>
      <c r="BF1529" s="206"/>
      <c r="BG1529" s="206"/>
      <c r="BH1529" s="206"/>
      <c r="BI1529" s="206"/>
      <c r="BJ1529" s="206"/>
      <c r="BK1529" s="206"/>
      <c r="BL1529" s="206"/>
      <c r="BM1529" s="206"/>
      <c r="BN1529" s="206"/>
      <c r="BO1529" s="206"/>
      <c r="BP1529" s="206"/>
      <c r="BQ1529" s="206"/>
      <c r="BR1529" s="206"/>
      <c r="BS1529" s="206"/>
      <c r="BT1529" s="206"/>
      <c r="BU1529" s="206"/>
      <c r="BV1529" s="206"/>
      <c r="BW1529" s="206"/>
      <c r="BX1529" s="206"/>
      <c r="BY1529" s="206"/>
      <c r="BZ1529" s="206"/>
      <c r="CA1529" s="206"/>
      <c r="CB1529" s="206"/>
      <c r="CC1529" s="206"/>
      <c r="CD1529" s="206"/>
      <c r="CE1529" s="206"/>
      <c r="CF1529" s="206"/>
      <c r="CG1529" s="206"/>
      <c r="CH1529" s="206"/>
      <c r="CI1529" s="206"/>
      <c r="CJ1529" s="206"/>
      <c r="CK1529" s="206"/>
      <c r="CL1529" s="206"/>
      <c r="CM1529" s="206"/>
      <c r="CN1529" s="206"/>
      <c r="CO1529" s="206"/>
      <c r="CP1529" s="206"/>
      <c r="CQ1529" s="206"/>
      <c r="CR1529" s="206"/>
      <c r="CS1529" s="206"/>
      <c r="CT1529" s="206"/>
      <c r="CU1529" s="206"/>
      <c r="CV1529" s="206"/>
      <c r="CW1529" s="206"/>
      <c r="CX1529" s="206"/>
      <c r="CY1529" s="206"/>
      <c r="CZ1529" s="206"/>
      <c r="DA1529" s="206"/>
      <c r="DB1529" s="206"/>
      <c r="DC1529" s="206"/>
      <c r="DD1529" s="206"/>
      <c r="DE1529" s="206"/>
      <c r="DF1529" s="206"/>
      <c r="DG1529" s="206"/>
      <c r="DH1529" s="206"/>
      <c r="DI1529" s="206"/>
      <c r="DJ1529" s="206"/>
      <c r="DK1529" s="206"/>
      <c r="DL1529" s="206"/>
      <c r="DM1529" s="206"/>
      <c r="DN1529" s="206"/>
      <c r="DO1529" s="206"/>
      <c r="DP1529" s="206"/>
      <c r="DQ1529" s="206"/>
      <c r="DR1529" s="206"/>
      <c r="DS1529" s="206"/>
      <c r="DT1529" s="206"/>
      <c r="DU1529" s="206"/>
      <c r="DV1529" s="206"/>
      <c r="DW1529" s="206"/>
      <c r="DX1529" s="206"/>
      <c r="DY1529" s="206"/>
      <c r="DZ1529" s="206"/>
      <c r="EA1529" s="206"/>
      <c r="EB1529" s="206"/>
      <c r="EC1529" s="206"/>
      <c r="ED1529" s="206"/>
      <c r="EE1529" s="206"/>
      <c r="EF1529" s="206"/>
      <c r="EG1529" s="206"/>
      <c r="EH1529" s="206"/>
      <c r="EI1529" s="206"/>
      <c r="EJ1529" s="206"/>
      <c r="EK1529" s="206"/>
      <c r="EL1529" s="206"/>
      <c r="EM1529" s="206"/>
      <c r="EN1529" s="206"/>
      <c r="EO1529" s="206"/>
      <c r="EP1529" s="206"/>
      <c r="EQ1529" s="206"/>
      <c r="ER1529" s="206"/>
      <c r="ES1529" s="206"/>
      <c r="ET1529" s="206"/>
      <c r="EU1529" s="206"/>
      <c r="EV1529" s="206"/>
      <c r="EW1529" s="206"/>
      <c r="EX1529" s="206"/>
      <c r="EY1529" s="206"/>
      <c r="EZ1529" s="206"/>
      <c r="FA1529" s="206"/>
      <c r="FB1529" s="206"/>
      <c r="FC1529" s="206"/>
      <c r="FD1529" s="206"/>
      <c r="FE1529" s="206"/>
      <c r="FF1529" s="206"/>
      <c r="FG1529" s="206"/>
      <c r="FH1529" s="206"/>
      <c r="FI1529" s="206"/>
      <c r="FJ1529" s="206"/>
      <c r="FK1529" s="206"/>
      <c r="FL1529" s="206"/>
      <c r="FM1529" s="206"/>
      <c r="FN1529" s="206"/>
      <c r="FO1529" s="206"/>
      <c r="FP1529" s="206"/>
      <c r="FQ1529" s="206"/>
      <c r="FR1529" s="206"/>
      <c r="FS1529" s="206"/>
      <c r="FT1529" s="206"/>
      <c r="FU1529" s="206"/>
      <c r="FV1529" s="206"/>
      <c r="FW1529" s="206"/>
      <c r="FX1529" s="206"/>
      <c r="FY1529" s="206"/>
      <c r="FZ1529" s="206"/>
      <c r="GA1529" s="206"/>
      <c r="GB1529" s="206"/>
      <c r="GC1529" s="206"/>
      <c r="GD1529" s="206"/>
      <c r="GE1529" s="206"/>
      <c r="GF1529" s="206"/>
      <c r="GG1529" s="206"/>
      <c r="GH1529" s="206"/>
      <c r="GI1529" s="206"/>
      <c r="GJ1529" s="206"/>
      <c r="GK1529" s="206"/>
      <c r="GL1529" s="206"/>
      <c r="GM1529" s="206"/>
      <c r="GN1529" s="206"/>
      <c r="GO1529" s="206"/>
      <c r="GP1529" s="206"/>
      <c r="GQ1529" s="206"/>
      <c r="GR1529" s="206"/>
      <c r="GS1529" s="206"/>
      <c r="GT1529" s="206"/>
      <c r="GU1529" s="206"/>
      <c r="GV1529" s="206"/>
      <c r="GW1529" s="206"/>
      <c r="GX1529" s="206"/>
      <c r="GY1529" s="206"/>
      <c r="GZ1529" s="206"/>
      <c r="HA1529" s="206"/>
      <c r="HB1529" s="206"/>
      <c r="HC1529" s="206"/>
      <c r="HD1529" s="206"/>
      <c r="HE1529" s="206"/>
      <c r="HF1529" s="206"/>
      <c r="HG1529" s="206"/>
      <c r="HH1529" s="206"/>
      <c r="HI1529" s="206"/>
      <c r="HJ1529" s="206"/>
      <c r="HK1529" s="206"/>
      <c r="HL1529" s="206"/>
      <c r="HM1529" s="206"/>
      <c r="HN1529" s="206"/>
      <c r="HO1529" s="206"/>
      <c r="HP1529" s="206"/>
      <c r="HQ1529" s="206"/>
      <c r="HR1529" s="206"/>
      <c r="HS1529" s="206"/>
      <c r="HT1529" s="206"/>
      <c r="HU1529" s="206"/>
      <c r="HV1529" s="206"/>
      <c r="HW1529" s="206"/>
      <c r="HX1529" s="206"/>
      <c r="HY1529" s="206"/>
      <c r="HZ1529" s="206"/>
      <c r="IA1529" s="206"/>
      <c r="IB1529" s="206"/>
      <c r="IC1529" s="206"/>
      <c r="ID1529" s="206"/>
      <c r="IE1529" s="206"/>
      <c r="IF1529" s="206"/>
      <c r="IG1529" s="206"/>
      <c r="IH1529" s="206"/>
      <c r="II1529" s="206"/>
      <c r="IJ1529" s="206"/>
      <c r="IK1529" s="206"/>
      <c r="IL1529" s="206"/>
      <c r="IM1529" s="206"/>
      <c r="IN1529" s="206"/>
      <c r="IO1529" s="206"/>
      <c r="IP1529" s="206"/>
      <c r="IQ1529" s="206"/>
      <c r="IR1529" s="206"/>
      <c r="IS1529" s="206"/>
      <c r="IT1529" s="206"/>
      <c r="IU1529" s="206"/>
      <c r="IV1529" s="206"/>
      <c r="IW1529" s="206"/>
      <c r="IX1529" s="206"/>
      <c r="IY1529" s="206"/>
      <c r="IZ1529" s="206"/>
      <c r="JA1529" s="206"/>
      <c r="JB1529" s="206"/>
      <c r="JC1529" s="206"/>
      <c r="JD1529" s="206"/>
      <c r="JE1529" s="206"/>
      <c r="JF1529" s="206"/>
      <c r="JG1529" s="206"/>
      <c r="JH1529" s="206"/>
      <c r="JI1529" s="206"/>
      <c r="JJ1529" s="206"/>
      <c r="JK1529" s="206"/>
      <c r="JL1529" s="206"/>
      <c r="JM1529" s="206"/>
      <c r="JN1529" s="206"/>
      <c r="JO1529" s="206"/>
      <c r="JP1529" s="206"/>
      <c r="JQ1529" s="206"/>
      <c r="JR1529" s="206"/>
      <c r="JS1529" s="206"/>
      <c r="JT1529" s="206"/>
      <c r="JU1529" s="206"/>
      <c r="JV1529" s="206"/>
      <c r="JW1529" s="206"/>
      <c r="JX1529" s="206"/>
      <c r="JY1529" s="206"/>
      <c r="JZ1529" s="206"/>
      <c r="KA1529" s="206"/>
      <c r="KB1529" s="206"/>
      <c r="KC1529" s="206"/>
      <c r="KD1529" s="206"/>
      <c r="KE1529" s="206"/>
      <c r="KF1529" s="206"/>
      <c r="KG1529" s="206"/>
      <c r="KH1529" s="206"/>
      <c r="KI1529" s="206"/>
      <c r="KJ1529" s="206"/>
      <c r="KK1529" s="206"/>
      <c r="KL1529" s="206"/>
      <c r="KM1529" s="206"/>
      <c r="KN1529" s="206"/>
      <c r="KO1529" s="206"/>
      <c r="KP1529" s="206"/>
      <c r="KQ1529" s="206"/>
      <c r="KR1529" s="206"/>
      <c r="KS1529" s="206"/>
      <c r="KT1529" s="206"/>
      <c r="KU1529" s="206"/>
      <c r="KV1529" s="206"/>
      <c r="KW1529" s="206"/>
      <c r="KX1529" s="206"/>
      <c r="KY1529" s="206"/>
      <c r="KZ1529" s="206"/>
      <c r="LA1529" s="206"/>
      <c r="LB1529" s="206"/>
      <c r="LC1529" s="206"/>
      <c r="LD1529" s="206"/>
      <c r="LE1529" s="206"/>
      <c r="LF1529" s="206"/>
      <c r="LG1529" s="206"/>
      <c r="LH1529" s="206"/>
      <c r="LI1529" s="206"/>
      <c r="LJ1529" s="206"/>
      <c r="LK1529" s="206"/>
      <c r="LL1529" s="206"/>
      <c r="LM1529" s="206"/>
      <c r="LN1529" s="206"/>
      <c r="LO1529" s="206"/>
      <c r="LP1529" s="206"/>
      <c r="LQ1529" s="206"/>
      <c r="LR1529" s="206"/>
      <c r="LS1529" s="206"/>
      <c r="LT1529" s="206"/>
      <c r="LU1529" s="206"/>
      <c r="LV1529" s="206"/>
      <c r="LW1529" s="206"/>
      <c r="LX1529" s="206"/>
      <c r="LY1529" s="206"/>
      <c r="LZ1529" s="206"/>
      <c r="MA1529" s="206"/>
      <c r="MB1529" s="206"/>
      <c r="MC1529" s="206"/>
      <c r="MD1529" s="206"/>
      <c r="ME1529" s="206"/>
      <c r="MF1529" s="206"/>
      <c r="MG1529" s="206"/>
      <c r="MH1529" s="206"/>
      <c r="MI1529" s="206"/>
      <c r="MJ1529" s="206"/>
      <c r="MK1529" s="206"/>
      <c r="ML1529" s="206"/>
      <c r="MM1529" s="206"/>
      <c r="MN1529" s="206"/>
      <c r="MO1529" s="206"/>
      <c r="MP1529" s="206"/>
      <c r="MQ1529" s="206"/>
      <c r="MR1529" s="206"/>
      <c r="MS1529" s="206"/>
      <c r="MT1529" s="206"/>
      <c r="MU1529" s="206"/>
      <c r="MV1529" s="206"/>
      <c r="MW1529" s="206"/>
      <c r="MX1529" s="206"/>
      <c r="MY1529" s="206"/>
      <c r="MZ1529" s="206"/>
      <c r="NA1529" s="206"/>
      <c r="NB1529" s="206"/>
      <c r="NC1529" s="206"/>
      <c r="ND1529" s="206"/>
      <c r="NE1529" s="206"/>
      <c r="NF1529" s="206"/>
      <c r="NG1529" s="206"/>
      <c r="NH1529" s="206"/>
      <c r="NI1529" s="206"/>
      <c r="NJ1529" s="206"/>
      <c r="NK1529" s="206"/>
      <c r="NL1529" s="206"/>
      <c r="NM1529" s="206"/>
      <c r="NN1529" s="206"/>
      <c r="NO1529" s="206"/>
      <c r="NP1529" s="206"/>
      <c r="NQ1529" s="206"/>
      <c r="NR1529" s="206"/>
      <c r="NS1529" s="206"/>
      <c r="NT1529" s="206"/>
      <c r="NU1529" s="206"/>
      <c r="NV1529" s="206"/>
      <c r="NW1529" s="206"/>
      <c r="NX1529" s="206"/>
      <c r="NY1529" s="206"/>
      <c r="NZ1529" s="206"/>
      <c r="OA1529" s="206"/>
      <c r="OB1529" s="206"/>
      <c r="OC1529" s="206"/>
      <c r="OD1529" s="206"/>
      <c r="OE1529" s="206"/>
      <c r="OF1529" s="206"/>
      <c r="OG1529" s="206"/>
      <c r="OH1529" s="206"/>
      <c r="OI1529" s="206"/>
      <c r="OJ1529" s="206"/>
      <c r="OK1529" s="206"/>
      <c r="OL1529" s="206"/>
      <c r="OM1529" s="206"/>
      <c r="ON1529" s="206"/>
      <c r="OO1529" s="206"/>
      <c r="OP1529" s="206"/>
      <c r="OQ1529" s="206"/>
      <c r="OR1529" s="206"/>
      <c r="OS1529" s="206"/>
      <c r="OT1529" s="206"/>
      <c r="OU1529" s="206"/>
      <c r="OV1529" s="206"/>
      <c r="OW1529" s="206"/>
      <c r="OX1529" s="206"/>
      <c r="OY1529" s="206"/>
      <c r="OZ1529" s="206"/>
      <c r="PA1529" s="206"/>
      <c r="PB1529" s="206"/>
      <c r="PC1529" s="206"/>
      <c r="PD1529" s="206"/>
      <c r="PE1529" s="206"/>
      <c r="PF1529" s="206"/>
      <c r="PG1529" s="206"/>
      <c r="PH1529" s="206"/>
      <c r="PI1529" s="206"/>
      <c r="PJ1529" s="206"/>
      <c r="PK1529" s="206"/>
      <c r="PL1529" s="206"/>
      <c r="PM1529" s="206"/>
      <c r="PN1529" s="206"/>
      <c r="PO1529" s="206"/>
      <c r="PP1529" s="206"/>
      <c r="PQ1529" s="206"/>
      <c r="PR1529" s="206"/>
      <c r="PS1529" s="206"/>
      <c r="PT1529" s="206"/>
      <c r="PU1529" s="206"/>
      <c r="PV1529" s="206"/>
      <c r="PW1529" s="206"/>
      <c r="PX1529" s="206"/>
      <c r="PY1529" s="206"/>
      <c r="PZ1529" s="206"/>
      <c r="QA1529" s="206"/>
      <c r="QB1529" s="206"/>
      <c r="QC1529" s="206"/>
      <c r="QD1529" s="206"/>
      <c r="QE1529" s="206"/>
      <c r="QF1529" s="206"/>
      <c r="QG1529" s="206"/>
      <c r="QH1529" s="206"/>
      <c r="QI1529" s="206"/>
      <c r="QJ1529" s="206"/>
      <c r="QK1529" s="206"/>
      <c r="QL1529" s="206"/>
      <c r="QM1529" s="206"/>
      <c r="QN1529" s="206"/>
      <c r="QO1529" s="206"/>
      <c r="QP1529" s="206"/>
      <c r="QQ1529" s="206"/>
      <c r="QR1529" s="206"/>
      <c r="QS1529" s="206"/>
      <c r="QT1529" s="206"/>
      <c r="QU1529" s="206"/>
      <c r="QV1529" s="206"/>
      <c r="QW1529" s="206"/>
      <c r="QX1529" s="206"/>
      <c r="QY1529" s="206"/>
      <c r="QZ1529" s="206"/>
      <c r="RA1529" s="206"/>
      <c r="RB1529" s="206"/>
      <c r="RC1529" s="206"/>
      <c r="RD1529" s="206"/>
      <c r="RE1529" s="206"/>
      <c r="RF1529" s="206"/>
      <c r="RG1529" s="206"/>
      <c r="RH1529" s="206"/>
      <c r="RI1529" s="206"/>
      <c r="RJ1529" s="206"/>
      <c r="RK1529" s="206"/>
      <c r="RL1529" s="206"/>
      <c r="RM1529" s="206"/>
      <c r="RN1529" s="206"/>
      <c r="RO1529" s="206"/>
      <c r="RP1529" s="206"/>
      <c r="RQ1529" s="206"/>
      <c r="RR1529" s="206"/>
      <c r="RS1529" s="206"/>
      <c r="RT1529" s="206"/>
      <c r="RU1529" s="206"/>
      <c r="RV1529" s="206"/>
      <c r="RW1529" s="206"/>
      <c r="RX1529" s="206"/>
      <c r="RY1529" s="206"/>
      <c r="RZ1529" s="206"/>
      <c r="SA1529" s="206"/>
      <c r="SB1529" s="206"/>
      <c r="SC1529" s="206"/>
      <c r="SD1529" s="206"/>
      <c r="SE1529" s="206"/>
      <c r="SF1529" s="206"/>
      <c r="SG1529" s="206"/>
      <c r="SH1529" s="206"/>
      <c r="SI1529" s="206"/>
      <c r="SJ1529" s="206"/>
      <c r="SK1529" s="206"/>
      <c r="SL1529" s="206"/>
      <c r="SM1529" s="206"/>
      <c r="SN1529" s="206"/>
      <c r="SO1529" s="206"/>
      <c r="SP1529" s="206"/>
      <c r="SQ1529" s="206"/>
      <c r="SR1529" s="206"/>
      <c r="SS1529" s="206"/>
      <c r="ST1529" s="206"/>
      <c r="SU1529" s="206"/>
      <c r="SV1529" s="206"/>
      <c r="SW1529" s="206"/>
      <c r="SX1529" s="206"/>
      <c r="SY1529" s="206"/>
      <c r="SZ1529" s="206"/>
      <c r="TA1529" s="206"/>
      <c r="TB1529" s="206"/>
      <c r="TC1529" s="206"/>
      <c r="TD1529" s="206"/>
      <c r="TE1529" s="206"/>
      <c r="TF1529" s="206"/>
      <c r="TG1529" s="206"/>
      <c r="TH1529" s="206"/>
      <c r="TI1529" s="206"/>
      <c r="TJ1529" s="206"/>
      <c r="TK1529" s="206"/>
      <c r="TL1529" s="206"/>
      <c r="TM1529" s="206"/>
      <c r="TN1529" s="206"/>
      <c r="TO1529" s="206"/>
      <c r="TP1529" s="206"/>
      <c r="TQ1529" s="206"/>
      <c r="TR1529" s="206"/>
      <c r="TS1529" s="206"/>
      <c r="TT1529" s="206"/>
      <c r="TU1529" s="206"/>
      <c r="TV1529" s="206"/>
      <c r="TW1529" s="206"/>
      <c r="TX1529" s="206"/>
      <c r="TY1529" s="206"/>
      <c r="TZ1529" s="206"/>
      <c r="UA1529" s="206"/>
      <c r="UB1529" s="206"/>
      <c r="UC1529" s="206"/>
      <c r="UD1529" s="206"/>
    </row>
    <row r="1530" spans="1:550" s="874" customFormat="1" ht="321.75" customHeight="1">
      <c r="A1530" s="924"/>
      <c r="B1530" s="1230"/>
      <c r="C1530" s="1227" t="s">
        <v>23</v>
      </c>
      <c r="D1530" s="470" t="s">
        <v>70</v>
      </c>
      <c r="E1530" s="470" t="s">
        <v>1348</v>
      </c>
      <c r="F1530" s="1230">
        <v>1</v>
      </c>
      <c r="G1530" s="501" t="s">
        <v>935</v>
      </c>
      <c r="H1530" s="930">
        <v>267.10000000000002</v>
      </c>
      <c r="I1530" s="931">
        <v>267.10000000000002</v>
      </c>
      <c r="J1530" s="1243">
        <v>62000</v>
      </c>
      <c r="K1530" s="939"/>
      <c r="L1530" s="932">
        <f t="shared" si="231"/>
        <v>16560200</v>
      </c>
      <c r="M1530" s="933"/>
      <c r="N1530" s="933"/>
      <c r="O1530" s="1226"/>
      <c r="P1530" s="1226"/>
      <c r="Q1530" s="1318" t="s">
        <v>1349</v>
      </c>
      <c r="R1530" s="1447"/>
      <c r="S1530" s="486"/>
      <c r="T1530" s="486"/>
      <c r="U1530" s="486"/>
      <c r="V1530" s="486"/>
      <c r="W1530" s="1117">
        <f>I1530</f>
        <v>267.10000000000002</v>
      </c>
      <c r="X1530" s="486"/>
      <c r="Y1530" s="486"/>
      <c r="Z1530" s="486"/>
      <c r="AA1530" s="486"/>
      <c r="AB1530" s="486"/>
      <c r="AC1530" s="486"/>
      <c r="AD1530" s="486"/>
      <c r="AE1530" s="486"/>
      <c r="AF1530" s="486"/>
      <c r="AG1530" s="486"/>
      <c r="AH1530" s="486"/>
      <c r="AI1530" s="486"/>
      <c r="AJ1530" s="486"/>
      <c r="AK1530" s="486"/>
      <c r="AL1530" s="206"/>
      <c r="AM1530" s="206"/>
      <c r="AN1530" s="206"/>
      <c r="AO1530" s="206"/>
      <c r="AP1530" s="206"/>
      <c r="AQ1530" s="206"/>
      <c r="AR1530" s="206"/>
      <c r="AS1530" s="206"/>
      <c r="AT1530" s="206"/>
      <c r="AU1530" s="206"/>
      <c r="AV1530" s="206"/>
      <c r="AW1530" s="206"/>
      <c r="AX1530" s="206"/>
      <c r="AY1530" s="206"/>
      <c r="AZ1530" s="206"/>
      <c r="BA1530" s="206"/>
      <c r="BB1530" s="206"/>
      <c r="BC1530" s="206"/>
      <c r="BD1530" s="206"/>
      <c r="BE1530" s="206"/>
      <c r="BF1530" s="206"/>
      <c r="BG1530" s="206"/>
      <c r="BH1530" s="206"/>
      <c r="BI1530" s="206"/>
      <c r="BJ1530" s="206"/>
      <c r="BK1530" s="206"/>
      <c r="BL1530" s="206"/>
      <c r="BM1530" s="206"/>
      <c r="BN1530" s="206"/>
      <c r="BO1530" s="206"/>
      <c r="BP1530" s="206"/>
      <c r="BQ1530" s="206"/>
      <c r="BR1530" s="206"/>
      <c r="BS1530" s="206"/>
      <c r="BT1530" s="206"/>
      <c r="BU1530" s="206"/>
      <c r="BV1530" s="206"/>
      <c r="BW1530" s="206"/>
      <c r="BX1530" s="206"/>
      <c r="BY1530" s="206"/>
      <c r="BZ1530" s="206"/>
      <c r="CA1530" s="206"/>
      <c r="CB1530" s="206"/>
      <c r="CC1530" s="206"/>
      <c r="CD1530" s="206"/>
      <c r="CE1530" s="206"/>
      <c r="CF1530" s="206"/>
      <c r="CG1530" s="206"/>
      <c r="CH1530" s="206"/>
      <c r="CI1530" s="206"/>
      <c r="CJ1530" s="206"/>
      <c r="CK1530" s="206"/>
      <c r="CL1530" s="206"/>
      <c r="CM1530" s="206"/>
      <c r="CN1530" s="206"/>
      <c r="CO1530" s="206"/>
      <c r="CP1530" s="206"/>
      <c r="CQ1530" s="206"/>
      <c r="CR1530" s="206"/>
      <c r="CS1530" s="206"/>
      <c r="CT1530" s="206"/>
      <c r="CU1530" s="206"/>
      <c r="CV1530" s="206"/>
      <c r="CW1530" s="206"/>
      <c r="CX1530" s="206"/>
      <c r="CY1530" s="206"/>
      <c r="CZ1530" s="206"/>
      <c r="DA1530" s="206"/>
      <c r="DB1530" s="206"/>
      <c r="DC1530" s="206"/>
      <c r="DD1530" s="206"/>
      <c r="DE1530" s="206"/>
      <c r="DF1530" s="206"/>
      <c r="DG1530" s="206"/>
      <c r="DH1530" s="206"/>
      <c r="DI1530" s="206"/>
      <c r="DJ1530" s="206"/>
      <c r="DK1530" s="206"/>
      <c r="DL1530" s="206"/>
      <c r="DM1530" s="206"/>
      <c r="DN1530" s="206"/>
      <c r="DO1530" s="206"/>
      <c r="DP1530" s="206"/>
      <c r="DQ1530" s="206"/>
      <c r="DR1530" s="206"/>
      <c r="DS1530" s="206"/>
      <c r="DT1530" s="206"/>
      <c r="DU1530" s="206"/>
      <c r="DV1530" s="206"/>
      <c r="DW1530" s="206"/>
      <c r="DX1530" s="206"/>
      <c r="DY1530" s="206"/>
      <c r="DZ1530" s="206"/>
      <c r="EA1530" s="206"/>
      <c r="EB1530" s="206"/>
      <c r="EC1530" s="206"/>
      <c r="ED1530" s="206"/>
      <c r="EE1530" s="206"/>
      <c r="EF1530" s="206"/>
      <c r="EG1530" s="206"/>
      <c r="EH1530" s="206"/>
      <c r="EI1530" s="206"/>
      <c r="EJ1530" s="206"/>
      <c r="EK1530" s="206"/>
      <c r="EL1530" s="206"/>
      <c r="EM1530" s="206"/>
      <c r="EN1530" s="206"/>
      <c r="EO1530" s="206"/>
      <c r="EP1530" s="206"/>
      <c r="EQ1530" s="206"/>
      <c r="ER1530" s="206"/>
      <c r="ES1530" s="206"/>
      <c r="ET1530" s="206"/>
      <c r="EU1530" s="206"/>
      <c r="EV1530" s="206"/>
      <c r="EW1530" s="206"/>
      <c r="EX1530" s="206"/>
      <c r="EY1530" s="206"/>
      <c r="EZ1530" s="206"/>
      <c r="FA1530" s="206"/>
      <c r="FB1530" s="206"/>
      <c r="FC1530" s="206"/>
      <c r="FD1530" s="206"/>
      <c r="FE1530" s="206"/>
      <c r="FF1530" s="206"/>
      <c r="FG1530" s="206"/>
      <c r="FH1530" s="206"/>
      <c r="FI1530" s="206"/>
      <c r="FJ1530" s="206"/>
      <c r="FK1530" s="206"/>
      <c r="FL1530" s="206"/>
      <c r="FM1530" s="206"/>
      <c r="FN1530" s="206"/>
      <c r="FO1530" s="206"/>
      <c r="FP1530" s="206"/>
      <c r="FQ1530" s="206"/>
      <c r="FR1530" s="206"/>
      <c r="FS1530" s="206"/>
      <c r="FT1530" s="206"/>
      <c r="FU1530" s="206"/>
      <c r="FV1530" s="206"/>
      <c r="FW1530" s="206"/>
      <c r="FX1530" s="206"/>
      <c r="FY1530" s="206"/>
      <c r="FZ1530" s="206"/>
      <c r="GA1530" s="206"/>
      <c r="GB1530" s="206"/>
      <c r="GC1530" s="206"/>
      <c r="GD1530" s="206"/>
      <c r="GE1530" s="206"/>
      <c r="GF1530" s="206"/>
      <c r="GG1530" s="206"/>
      <c r="GH1530" s="206"/>
      <c r="GI1530" s="206"/>
      <c r="GJ1530" s="206"/>
      <c r="GK1530" s="206"/>
      <c r="GL1530" s="206"/>
      <c r="GM1530" s="206"/>
      <c r="GN1530" s="206"/>
      <c r="GO1530" s="206"/>
      <c r="GP1530" s="206"/>
      <c r="GQ1530" s="206"/>
      <c r="GR1530" s="206"/>
      <c r="GS1530" s="206"/>
      <c r="GT1530" s="206"/>
      <c r="GU1530" s="206"/>
      <c r="GV1530" s="206"/>
      <c r="GW1530" s="206"/>
      <c r="GX1530" s="206"/>
      <c r="GY1530" s="206"/>
      <c r="GZ1530" s="206"/>
      <c r="HA1530" s="206"/>
      <c r="HB1530" s="206"/>
      <c r="HC1530" s="206"/>
      <c r="HD1530" s="206"/>
      <c r="HE1530" s="206"/>
      <c r="HF1530" s="206"/>
      <c r="HG1530" s="206"/>
      <c r="HH1530" s="206"/>
      <c r="HI1530" s="206"/>
      <c r="HJ1530" s="206"/>
      <c r="HK1530" s="206"/>
      <c r="HL1530" s="206"/>
      <c r="HM1530" s="206"/>
      <c r="HN1530" s="206"/>
      <c r="HO1530" s="206"/>
      <c r="HP1530" s="206"/>
      <c r="HQ1530" s="206"/>
      <c r="HR1530" s="206"/>
      <c r="HS1530" s="206"/>
      <c r="HT1530" s="206"/>
      <c r="HU1530" s="206"/>
      <c r="HV1530" s="206"/>
      <c r="HW1530" s="206"/>
      <c r="HX1530" s="206"/>
      <c r="HY1530" s="206"/>
      <c r="HZ1530" s="206"/>
      <c r="IA1530" s="206"/>
      <c r="IB1530" s="206"/>
      <c r="IC1530" s="206"/>
      <c r="ID1530" s="206"/>
      <c r="IE1530" s="206"/>
      <c r="IF1530" s="206"/>
      <c r="IG1530" s="206"/>
      <c r="IH1530" s="206"/>
      <c r="II1530" s="206"/>
      <c r="IJ1530" s="206"/>
      <c r="IK1530" s="206"/>
      <c r="IL1530" s="206"/>
      <c r="IM1530" s="206"/>
      <c r="IN1530" s="206"/>
      <c r="IO1530" s="206"/>
      <c r="IP1530" s="206"/>
      <c r="IQ1530" s="206"/>
      <c r="IR1530" s="206"/>
      <c r="IS1530" s="206"/>
      <c r="IT1530" s="206"/>
      <c r="IU1530" s="206"/>
      <c r="IV1530" s="206"/>
      <c r="IW1530" s="206"/>
      <c r="IX1530" s="206"/>
      <c r="IY1530" s="206"/>
      <c r="IZ1530" s="206"/>
      <c r="JA1530" s="206"/>
      <c r="JB1530" s="206"/>
      <c r="JC1530" s="206"/>
      <c r="JD1530" s="206"/>
      <c r="JE1530" s="206"/>
      <c r="JF1530" s="206"/>
      <c r="JG1530" s="206"/>
      <c r="JH1530" s="206"/>
      <c r="JI1530" s="206"/>
      <c r="JJ1530" s="206"/>
      <c r="JK1530" s="206"/>
      <c r="JL1530" s="206"/>
      <c r="JM1530" s="206"/>
      <c r="JN1530" s="206"/>
      <c r="JO1530" s="206"/>
      <c r="JP1530" s="206"/>
      <c r="JQ1530" s="206"/>
      <c r="JR1530" s="206"/>
      <c r="JS1530" s="206"/>
      <c r="JT1530" s="206"/>
      <c r="JU1530" s="206"/>
      <c r="JV1530" s="206"/>
      <c r="JW1530" s="206"/>
      <c r="JX1530" s="206"/>
      <c r="JY1530" s="206"/>
      <c r="JZ1530" s="206"/>
      <c r="KA1530" s="206"/>
      <c r="KB1530" s="206"/>
      <c r="KC1530" s="206"/>
      <c r="KD1530" s="206"/>
      <c r="KE1530" s="206"/>
      <c r="KF1530" s="206"/>
      <c r="KG1530" s="206"/>
      <c r="KH1530" s="206"/>
      <c r="KI1530" s="206"/>
      <c r="KJ1530" s="206"/>
      <c r="KK1530" s="206"/>
      <c r="KL1530" s="206"/>
      <c r="KM1530" s="206"/>
      <c r="KN1530" s="206"/>
      <c r="KO1530" s="206"/>
      <c r="KP1530" s="206"/>
      <c r="KQ1530" s="206"/>
      <c r="KR1530" s="206"/>
      <c r="KS1530" s="206"/>
      <c r="KT1530" s="206"/>
      <c r="KU1530" s="206"/>
      <c r="KV1530" s="206"/>
      <c r="KW1530" s="206"/>
      <c r="KX1530" s="206"/>
      <c r="KY1530" s="206"/>
      <c r="KZ1530" s="206"/>
      <c r="LA1530" s="206"/>
      <c r="LB1530" s="206"/>
      <c r="LC1530" s="206"/>
      <c r="LD1530" s="206"/>
      <c r="LE1530" s="206"/>
      <c r="LF1530" s="206"/>
      <c r="LG1530" s="206"/>
      <c r="LH1530" s="206"/>
      <c r="LI1530" s="206"/>
      <c r="LJ1530" s="206"/>
      <c r="LK1530" s="206"/>
      <c r="LL1530" s="206"/>
      <c r="LM1530" s="206"/>
      <c r="LN1530" s="206"/>
      <c r="LO1530" s="206"/>
      <c r="LP1530" s="206"/>
      <c r="LQ1530" s="206"/>
      <c r="LR1530" s="206"/>
      <c r="LS1530" s="206"/>
      <c r="LT1530" s="206"/>
      <c r="LU1530" s="206"/>
      <c r="LV1530" s="206"/>
      <c r="LW1530" s="206"/>
      <c r="LX1530" s="206"/>
      <c r="LY1530" s="206"/>
      <c r="LZ1530" s="206"/>
      <c r="MA1530" s="206"/>
      <c r="MB1530" s="206"/>
      <c r="MC1530" s="206"/>
      <c r="MD1530" s="206"/>
      <c r="ME1530" s="206"/>
      <c r="MF1530" s="206"/>
      <c r="MG1530" s="206"/>
      <c r="MH1530" s="206"/>
      <c r="MI1530" s="206"/>
      <c r="MJ1530" s="206"/>
      <c r="MK1530" s="206"/>
      <c r="ML1530" s="206"/>
      <c r="MM1530" s="206"/>
      <c r="MN1530" s="206"/>
      <c r="MO1530" s="206"/>
      <c r="MP1530" s="206"/>
      <c r="MQ1530" s="206"/>
      <c r="MR1530" s="206"/>
      <c r="MS1530" s="206"/>
      <c r="MT1530" s="206"/>
      <c r="MU1530" s="206"/>
      <c r="MV1530" s="206"/>
      <c r="MW1530" s="206"/>
      <c r="MX1530" s="206"/>
      <c r="MY1530" s="206"/>
      <c r="MZ1530" s="206"/>
      <c r="NA1530" s="206"/>
      <c r="NB1530" s="206"/>
      <c r="NC1530" s="206"/>
      <c r="ND1530" s="206"/>
      <c r="NE1530" s="206"/>
      <c r="NF1530" s="206"/>
      <c r="NG1530" s="206"/>
      <c r="NH1530" s="206"/>
      <c r="NI1530" s="206"/>
      <c r="NJ1530" s="206"/>
      <c r="NK1530" s="206"/>
      <c r="NL1530" s="206"/>
      <c r="NM1530" s="206"/>
      <c r="NN1530" s="206"/>
      <c r="NO1530" s="206"/>
      <c r="NP1530" s="206"/>
      <c r="NQ1530" s="206"/>
      <c r="NR1530" s="206"/>
      <c r="NS1530" s="206"/>
      <c r="NT1530" s="206"/>
      <c r="NU1530" s="206"/>
      <c r="NV1530" s="206"/>
      <c r="NW1530" s="206"/>
      <c r="NX1530" s="206"/>
      <c r="NY1530" s="206"/>
      <c r="NZ1530" s="206"/>
      <c r="OA1530" s="206"/>
      <c r="OB1530" s="206"/>
      <c r="OC1530" s="206"/>
      <c r="OD1530" s="206"/>
      <c r="OE1530" s="206"/>
      <c r="OF1530" s="206"/>
      <c r="OG1530" s="206"/>
      <c r="OH1530" s="206"/>
      <c r="OI1530" s="206"/>
      <c r="OJ1530" s="206"/>
      <c r="OK1530" s="206"/>
      <c r="OL1530" s="206"/>
      <c r="OM1530" s="206"/>
      <c r="ON1530" s="206"/>
      <c r="OO1530" s="206"/>
      <c r="OP1530" s="206"/>
      <c r="OQ1530" s="206"/>
      <c r="OR1530" s="206"/>
      <c r="OS1530" s="206"/>
      <c r="OT1530" s="206"/>
      <c r="OU1530" s="206"/>
      <c r="OV1530" s="206"/>
      <c r="OW1530" s="206"/>
      <c r="OX1530" s="206"/>
      <c r="OY1530" s="206"/>
      <c r="OZ1530" s="206"/>
      <c r="PA1530" s="206"/>
      <c r="PB1530" s="206"/>
      <c r="PC1530" s="206"/>
      <c r="PD1530" s="206"/>
      <c r="PE1530" s="206"/>
      <c r="PF1530" s="206"/>
      <c r="PG1530" s="206"/>
      <c r="PH1530" s="206"/>
      <c r="PI1530" s="206"/>
      <c r="PJ1530" s="206"/>
      <c r="PK1530" s="206"/>
      <c r="PL1530" s="206"/>
      <c r="PM1530" s="206"/>
      <c r="PN1530" s="206"/>
      <c r="PO1530" s="206"/>
      <c r="PP1530" s="206"/>
      <c r="PQ1530" s="206"/>
      <c r="PR1530" s="206"/>
      <c r="PS1530" s="206"/>
      <c r="PT1530" s="206"/>
      <c r="PU1530" s="206"/>
      <c r="PV1530" s="206"/>
      <c r="PW1530" s="206"/>
      <c r="PX1530" s="206"/>
      <c r="PY1530" s="206"/>
      <c r="PZ1530" s="206"/>
      <c r="QA1530" s="206"/>
      <c r="QB1530" s="206"/>
      <c r="QC1530" s="206"/>
      <c r="QD1530" s="206"/>
      <c r="QE1530" s="206"/>
      <c r="QF1530" s="206"/>
      <c r="QG1530" s="206"/>
      <c r="QH1530" s="206"/>
      <c r="QI1530" s="206"/>
      <c r="QJ1530" s="206"/>
      <c r="QK1530" s="206"/>
      <c r="QL1530" s="206"/>
      <c r="QM1530" s="206"/>
      <c r="QN1530" s="206"/>
      <c r="QO1530" s="206"/>
      <c r="QP1530" s="206"/>
      <c r="QQ1530" s="206"/>
      <c r="QR1530" s="206"/>
      <c r="QS1530" s="206"/>
      <c r="QT1530" s="206"/>
      <c r="QU1530" s="206"/>
      <c r="QV1530" s="206"/>
      <c r="QW1530" s="206"/>
      <c r="QX1530" s="206"/>
      <c r="QY1530" s="206"/>
      <c r="QZ1530" s="206"/>
      <c r="RA1530" s="206"/>
      <c r="RB1530" s="206"/>
      <c r="RC1530" s="206"/>
      <c r="RD1530" s="206"/>
      <c r="RE1530" s="206"/>
      <c r="RF1530" s="206"/>
      <c r="RG1530" s="206"/>
      <c r="RH1530" s="206"/>
      <c r="RI1530" s="206"/>
      <c r="RJ1530" s="206"/>
      <c r="RK1530" s="206"/>
      <c r="RL1530" s="206"/>
      <c r="RM1530" s="206"/>
      <c r="RN1530" s="206"/>
      <c r="RO1530" s="206"/>
      <c r="RP1530" s="206"/>
      <c r="RQ1530" s="206"/>
      <c r="RR1530" s="206"/>
      <c r="RS1530" s="206"/>
      <c r="RT1530" s="206"/>
      <c r="RU1530" s="206"/>
      <c r="RV1530" s="206"/>
      <c r="RW1530" s="206"/>
      <c r="RX1530" s="206"/>
      <c r="RY1530" s="206"/>
      <c r="RZ1530" s="206"/>
      <c r="SA1530" s="206"/>
      <c r="SB1530" s="206"/>
      <c r="SC1530" s="206"/>
      <c r="SD1530" s="206"/>
      <c r="SE1530" s="206"/>
      <c r="SF1530" s="206"/>
      <c r="SG1530" s="206"/>
      <c r="SH1530" s="206"/>
      <c r="SI1530" s="206"/>
      <c r="SJ1530" s="206"/>
      <c r="SK1530" s="206"/>
      <c r="SL1530" s="206"/>
      <c r="SM1530" s="206"/>
      <c r="SN1530" s="206"/>
      <c r="SO1530" s="206"/>
      <c r="SP1530" s="206"/>
      <c r="SQ1530" s="206"/>
      <c r="SR1530" s="206"/>
      <c r="SS1530" s="206"/>
      <c r="ST1530" s="206"/>
      <c r="SU1530" s="206"/>
      <c r="SV1530" s="206"/>
      <c r="SW1530" s="206"/>
      <c r="SX1530" s="206"/>
      <c r="SY1530" s="206"/>
      <c r="SZ1530" s="206"/>
      <c r="TA1530" s="206"/>
      <c r="TB1530" s="206"/>
      <c r="TC1530" s="206"/>
      <c r="TD1530" s="206"/>
      <c r="TE1530" s="206"/>
      <c r="TF1530" s="206"/>
      <c r="TG1530" s="206"/>
      <c r="TH1530" s="206"/>
      <c r="TI1530" s="206"/>
      <c r="TJ1530" s="206"/>
      <c r="TK1530" s="206"/>
      <c r="TL1530" s="206"/>
      <c r="TM1530" s="206"/>
      <c r="TN1530" s="206"/>
      <c r="TO1530" s="206"/>
      <c r="TP1530" s="206"/>
      <c r="TQ1530" s="206"/>
      <c r="TR1530" s="206"/>
      <c r="TS1530" s="206"/>
      <c r="TT1530" s="206"/>
      <c r="TU1530" s="206"/>
      <c r="TV1530" s="206"/>
      <c r="TW1530" s="206"/>
      <c r="TX1530" s="206"/>
      <c r="TY1530" s="206"/>
      <c r="TZ1530" s="206"/>
      <c r="UA1530" s="206"/>
      <c r="UB1530" s="206"/>
      <c r="UC1530" s="206"/>
      <c r="UD1530" s="206"/>
    </row>
    <row r="1531" spans="1:550" s="874" customFormat="1" ht="343.5" customHeight="1">
      <c r="A1531" s="924"/>
      <c r="B1531" s="1230"/>
      <c r="C1531" s="1227" t="s">
        <v>69</v>
      </c>
      <c r="D1531" s="470" t="s">
        <v>70</v>
      </c>
      <c r="E1531" s="470" t="s">
        <v>749</v>
      </c>
      <c r="F1531" s="1230"/>
      <c r="G1531" s="501" t="s">
        <v>935</v>
      </c>
      <c r="H1531" s="930">
        <v>705.8</v>
      </c>
      <c r="I1531" s="931">
        <v>705.8</v>
      </c>
      <c r="J1531" s="1243">
        <v>55000</v>
      </c>
      <c r="K1531" s="809"/>
      <c r="L1531" s="932">
        <f t="shared" si="231"/>
        <v>38819000</v>
      </c>
      <c r="M1531" s="933"/>
      <c r="N1531" s="933"/>
      <c r="O1531" s="1226"/>
      <c r="P1531" s="1226"/>
      <c r="Q1531" s="1319" t="s">
        <v>1350</v>
      </c>
      <c r="R1531" s="1447"/>
      <c r="S1531" s="486"/>
      <c r="T1531" s="486"/>
      <c r="U1531" s="486"/>
      <c r="V1531" s="486"/>
      <c r="W1531" s="486"/>
      <c r="X1531" s="1117">
        <f>I1531</f>
        <v>705.8</v>
      </c>
      <c r="Y1531" s="486"/>
      <c r="Z1531" s="486"/>
      <c r="AA1531" s="486"/>
      <c r="AB1531" s="486"/>
      <c r="AC1531" s="486"/>
      <c r="AD1531" s="486"/>
      <c r="AE1531" s="486"/>
      <c r="AF1531" s="486"/>
      <c r="AG1531" s="486"/>
      <c r="AH1531" s="486"/>
      <c r="AI1531" s="486"/>
      <c r="AJ1531" s="486"/>
      <c r="AK1531" s="486"/>
      <c r="AL1531" s="206"/>
      <c r="AM1531" s="206"/>
      <c r="AN1531" s="206"/>
      <c r="AO1531" s="206"/>
      <c r="AP1531" s="206"/>
      <c r="AQ1531" s="206"/>
      <c r="AR1531" s="206"/>
      <c r="AS1531" s="206"/>
      <c r="AT1531" s="206"/>
      <c r="AU1531" s="206"/>
      <c r="AV1531" s="206"/>
      <c r="AW1531" s="206"/>
      <c r="AX1531" s="206"/>
      <c r="AY1531" s="206"/>
      <c r="AZ1531" s="206"/>
      <c r="BA1531" s="206"/>
      <c r="BB1531" s="206"/>
      <c r="BC1531" s="206"/>
      <c r="BD1531" s="206"/>
      <c r="BE1531" s="206"/>
      <c r="BF1531" s="206"/>
      <c r="BG1531" s="206"/>
      <c r="BH1531" s="206"/>
      <c r="BI1531" s="206"/>
      <c r="BJ1531" s="206"/>
      <c r="BK1531" s="206"/>
      <c r="BL1531" s="206"/>
      <c r="BM1531" s="206"/>
      <c r="BN1531" s="206"/>
      <c r="BO1531" s="206"/>
      <c r="BP1531" s="206"/>
      <c r="BQ1531" s="206"/>
      <c r="BR1531" s="206"/>
      <c r="BS1531" s="206"/>
      <c r="BT1531" s="206"/>
      <c r="BU1531" s="206"/>
      <c r="BV1531" s="206"/>
      <c r="BW1531" s="206"/>
      <c r="BX1531" s="206"/>
      <c r="BY1531" s="206"/>
      <c r="BZ1531" s="206"/>
      <c r="CA1531" s="206"/>
      <c r="CB1531" s="206"/>
      <c r="CC1531" s="206"/>
      <c r="CD1531" s="206"/>
      <c r="CE1531" s="206"/>
      <c r="CF1531" s="206"/>
      <c r="CG1531" s="206"/>
      <c r="CH1531" s="206"/>
      <c r="CI1531" s="206"/>
      <c r="CJ1531" s="206"/>
      <c r="CK1531" s="206"/>
      <c r="CL1531" s="206"/>
      <c r="CM1531" s="206"/>
      <c r="CN1531" s="206"/>
      <c r="CO1531" s="206"/>
      <c r="CP1531" s="206"/>
      <c r="CQ1531" s="206"/>
      <c r="CR1531" s="206"/>
      <c r="CS1531" s="206"/>
      <c r="CT1531" s="206"/>
      <c r="CU1531" s="206"/>
      <c r="CV1531" s="206"/>
      <c r="CW1531" s="206"/>
      <c r="CX1531" s="206"/>
      <c r="CY1531" s="206"/>
      <c r="CZ1531" s="206"/>
      <c r="DA1531" s="206"/>
      <c r="DB1531" s="206"/>
      <c r="DC1531" s="206"/>
      <c r="DD1531" s="206"/>
      <c r="DE1531" s="206"/>
      <c r="DF1531" s="206"/>
      <c r="DG1531" s="206"/>
      <c r="DH1531" s="206"/>
      <c r="DI1531" s="206"/>
      <c r="DJ1531" s="206"/>
      <c r="DK1531" s="206"/>
      <c r="DL1531" s="206"/>
      <c r="DM1531" s="206"/>
      <c r="DN1531" s="206"/>
      <c r="DO1531" s="206"/>
      <c r="DP1531" s="206"/>
      <c r="DQ1531" s="206"/>
      <c r="DR1531" s="206"/>
      <c r="DS1531" s="206"/>
      <c r="DT1531" s="206"/>
      <c r="DU1531" s="206"/>
      <c r="DV1531" s="206"/>
      <c r="DW1531" s="206"/>
      <c r="DX1531" s="206"/>
      <c r="DY1531" s="206"/>
      <c r="DZ1531" s="206"/>
      <c r="EA1531" s="206"/>
      <c r="EB1531" s="206"/>
      <c r="EC1531" s="206"/>
      <c r="ED1531" s="206"/>
      <c r="EE1531" s="206"/>
      <c r="EF1531" s="206"/>
      <c r="EG1531" s="206"/>
      <c r="EH1531" s="206"/>
      <c r="EI1531" s="206"/>
      <c r="EJ1531" s="206"/>
      <c r="EK1531" s="206"/>
      <c r="EL1531" s="206"/>
      <c r="EM1531" s="206"/>
      <c r="EN1531" s="206"/>
      <c r="EO1531" s="206"/>
      <c r="EP1531" s="206"/>
      <c r="EQ1531" s="206"/>
      <c r="ER1531" s="206"/>
      <c r="ES1531" s="206"/>
      <c r="ET1531" s="206"/>
      <c r="EU1531" s="206"/>
      <c r="EV1531" s="206"/>
      <c r="EW1531" s="206"/>
      <c r="EX1531" s="206"/>
      <c r="EY1531" s="206"/>
      <c r="EZ1531" s="206"/>
      <c r="FA1531" s="206"/>
      <c r="FB1531" s="206"/>
      <c r="FC1531" s="206"/>
      <c r="FD1531" s="206"/>
      <c r="FE1531" s="206"/>
      <c r="FF1531" s="206"/>
      <c r="FG1531" s="206"/>
      <c r="FH1531" s="206"/>
      <c r="FI1531" s="206"/>
      <c r="FJ1531" s="206"/>
      <c r="FK1531" s="206"/>
      <c r="FL1531" s="206"/>
      <c r="FM1531" s="206"/>
      <c r="FN1531" s="206"/>
      <c r="FO1531" s="206"/>
      <c r="FP1531" s="206"/>
      <c r="FQ1531" s="206"/>
      <c r="FR1531" s="206"/>
      <c r="FS1531" s="206"/>
      <c r="FT1531" s="206"/>
      <c r="FU1531" s="206"/>
      <c r="FV1531" s="206"/>
      <c r="FW1531" s="206"/>
      <c r="FX1531" s="206"/>
      <c r="FY1531" s="206"/>
      <c r="FZ1531" s="206"/>
      <c r="GA1531" s="206"/>
      <c r="GB1531" s="206"/>
      <c r="GC1531" s="206"/>
      <c r="GD1531" s="206"/>
      <c r="GE1531" s="206"/>
      <c r="GF1531" s="206"/>
      <c r="GG1531" s="206"/>
      <c r="GH1531" s="206"/>
      <c r="GI1531" s="206"/>
      <c r="GJ1531" s="206"/>
      <c r="GK1531" s="206"/>
      <c r="GL1531" s="206"/>
      <c r="GM1531" s="206"/>
      <c r="GN1531" s="206"/>
      <c r="GO1531" s="206"/>
      <c r="GP1531" s="206"/>
      <c r="GQ1531" s="206"/>
      <c r="GR1531" s="206"/>
      <c r="GS1531" s="206"/>
      <c r="GT1531" s="206"/>
      <c r="GU1531" s="206"/>
      <c r="GV1531" s="206"/>
      <c r="GW1531" s="206"/>
      <c r="GX1531" s="206"/>
      <c r="GY1531" s="206"/>
      <c r="GZ1531" s="206"/>
      <c r="HA1531" s="206"/>
      <c r="HB1531" s="206"/>
      <c r="HC1531" s="206"/>
      <c r="HD1531" s="206"/>
      <c r="HE1531" s="206"/>
      <c r="HF1531" s="206"/>
      <c r="HG1531" s="206"/>
      <c r="HH1531" s="206"/>
      <c r="HI1531" s="206"/>
      <c r="HJ1531" s="206"/>
      <c r="HK1531" s="206"/>
      <c r="HL1531" s="206"/>
      <c r="HM1531" s="206"/>
      <c r="HN1531" s="206"/>
      <c r="HO1531" s="206"/>
      <c r="HP1531" s="206"/>
      <c r="HQ1531" s="206"/>
      <c r="HR1531" s="206"/>
      <c r="HS1531" s="206"/>
      <c r="HT1531" s="206"/>
      <c r="HU1531" s="206"/>
      <c r="HV1531" s="206"/>
      <c r="HW1531" s="206"/>
      <c r="HX1531" s="206"/>
      <c r="HY1531" s="206"/>
      <c r="HZ1531" s="206"/>
      <c r="IA1531" s="206"/>
      <c r="IB1531" s="206"/>
      <c r="IC1531" s="206"/>
      <c r="ID1531" s="206"/>
      <c r="IE1531" s="206"/>
      <c r="IF1531" s="206"/>
      <c r="IG1531" s="206"/>
      <c r="IH1531" s="206"/>
      <c r="II1531" s="206"/>
      <c r="IJ1531" s="206"/>
      <c r="IK1531" s="206"/>
      <c r="IL1531" s="206"/>
      <c r="IM1531" s="206"/>
      <c r="IN1531" s="206"/>
      <c r="IO1531" s="206"/>
      <c r="IP1531" s="206"/>
      <c r="IQ1531" s="206"/>
      <c r="IR1531" s="206"/>
      <c r="IS1531" s="206"/>
      <c r="IT1531" s="206"/>
      <c r="IU1531" s="206"/>
      <c r="IV1531" s="206"/>
      <c r="IW1531" s="206"/>
      <c r="IX1531" s="206"/>
      <c r="IY1531" s="206"/>
      <c r="IZ1531" s="206"/>
      <c r="JA1531" s="206"/>
      <c r="JB1531" s="206"/>
      <c r="JC1531" s="206"/>
      <c r="JD1531" s="206"/>
      <c r="JE1531" s="206"/>
      <c r="JF1531" s="206"/>
      <c r="JG1531" s="206"/>
      <c r="JH1531" s="206"/>
      <c r="JI1531" s="206"/>
      <c r="JJ1531" s="206"/>
      <c r="JK1531" s="206"/>
      <c r="JL1531" s="206"/>
      <c r="JM1531" s="206"/>
      <c r="JN1531" s="206"/>
      <c r="JO1531" s="206"/>
      <c r="JP1531" s="206"/>
      <c r="JQ1531" s="206"/>
      <c r="JR1531" s="206"/>
      <c r="JS1531" s="206"/>
      <c r="JT1531" s="206"/>
      <c r="JU1531" s="206"/>
      <c r="JV1531" s="206"/>
      <c r="JW1531" s="206"/>
      <c r="JX1531" s="206"/>
      <c r="JY1531" s="206"/>
      <c r="JZ1531" s="206"/>
      <c r="KA1531" s="206"/>
      <c r="KB1531" s="206"/>
      <c r="KC1531" s="206"/>
      <c r="KD1531" s="206"/>
      <c r="KE1531" s="206"/>
      <c r="KF1531" s="206"/>
      <c r="KG1531" s="206"/>
      <c r="KH1531" s="206"/>
      <c r="KI1531" s="206"/>
      <c r="KJ1531" s="206"/>
      <c r="KK1531" s="206"/>
      <c r="KL1531" s="206"/>
      <c r="KM1531" s="206"/>
      <c r="KN1531" s="206"/>
      <c r="KO1531" s="206"/>
      <c r="KP1531" s="206"/>
      <c r="KQ1531" s="206"/>
      <c r="KR1531" s="206"/>
      <c r="KS1531" s="206"/>
      <c r="KT1531" s="206"/>
      <c r="KU1531" s="206"/>
      <c r="KV1531" s="206"/>
      <c r="KW1531" s="206"/>
      <c r="KX1531" s="206"/>
      <c r="KY1531" s="206"/>
      <c r="KZ1531" s="206"/>
      <c r="LA1531" s="206"/>
      <c r="LB1531" s="206"/>
      <c r="LC1531" s="206"/>
      <c r="LD1531" s="206"/>
      <c r="LE1531" s="206"/>
      <c r="LF1531" s="206"/>
      <c r="LG1531" s="206"/>
      <c r="LH1531" s="206"/>
      <c r="LI1531" s="206"/>
      <c r="LJ1531" s="206"/>
      <c r="LK1531" s="206"/>
      <c r="LL1531" s="206"/>
      <c r="LM1531" s="206"/>
      <c r="LN1531" s="206"/>
      <c r="LO1531" s="206"/>
      <c r="LP1531" s="206"/>
      <c r="LQ1531" s="206"/>
      <c r="LR1531" s="206"/>
      <c r="LS1531" s="206"/>
      <c r="LT1531" s="206"/>
      <c r="LU1531" s="206"/>
      <c r="LV1531" s="206"/>
      <c r="LW1531" s="206"/>
      <c r="LX1531" s="206"/>
      <c r="LY1531" s="206"/>
      <c r="LZ1531" s="206"/>
      <c r="MA1531" s="206"/>
      <c r="MB1531" s="206"/>
      <c r="MC1531" s="206"/>
      <c r="MD1531" s="206"/>
      <c r="ME1531" s="206"/>
      <c r="MF1531" s="206"/>
      <c r="MG1531" s="206"/>
      <c r="MH1531" s="206"/>
      <c r="MI1531" s="206"/>
      <c r="MJ1531" s="206"/>
      <c r="MK1531" s="206"/>
      <c r="ML1531" s="206"/>
      <c r="MM1531" s="206"/>
      <c r="MN1531" s="206"/>
      <c r="MO1531" s="206"/>
      <c r="MP1531" s="206"/>
      <c r="MQ1531" s="206"/>
      <c r="MR1531" s="206"/>
      <c r="MS1531" s="206"/>
      <c r="MT1531" s="206"/>
      <c r="MU1531" s="206"/>
      <c r="MV1531" s="206"/>
      <c r="MW1531" s="206"/>
      <c r="MX1531" s="206"/>
      <c r="MY1531" s="206"/>
      <c r="MZ1531" s="206"/>
      <c r="NA1531" s="206"/>
      <c r="NB1531" s="206"/>
      <c r="NC1531" s="206"/>
      <c r="ND1531" s="206"/>
      <c r="NE1531" s="206"/>
      <c r="NF1531" s="206"/>
      <c r="NG1531" s="206"/>
      <c r="NH1531" s="206"/>
      <c r="NI1531" s="206"/>
      <c r="NJ1531" s="206"/>
      <c r="NK1531" s="206"/>
      <c r="NL1531" s="206"/>
      <c r="NM1531" s="206"/>
      <c r="NN1531" s="206"/>
      <c r="NO1531" s="206"/>
      <c r="NP1531" s="206"/>
      <c r="NQ1531" s="206"/>
      <c r="NR1531" s="206"/>
      <c r="NS1531" s="206"/>
      <c r="NT1531" s="206"/>
      <c r="NU1531" s="206"/>
      <c r="NV1531" s="206"/>
      <c r="NW1531" s="206"/>
      <c r="NX1531" s="206"/>
      <c r="NY1531" s="206"/>
      <c r="NZ1531" s="206"/>
      <c r="OA1531" s="206"/>
      <c r="OB1531" s="206"/>
      <c r="OC1531" s="206"/>
      <c r="OD1531" s="206"/>
      <c r="OE1531" s="206"/>
      <c r="OF1531" s="206"/>
      <c r="OG1531" s="206"/>
      <c r="OH1531" s="206"/>
      <c r="OI1531" s="206"/>
      <c r="OJ1531" s="206"/>
      <c r="OK1531" s="206"/>
      <c r="OL1531" s="206"/>
      <c r="OM1531" s="206"/>
      <c r="ON1531" s="206"/>
      <c r="OO1531" s="206"/>
      <c r="OP1531" s="206"/>
      <c r="OQ1531" s="206"/>
      <c r="OR1531" s="206"/>
      <c r="OS1531" s="206"/>
      <c r="OT1531" s="206"/>
      <c r="OU1531" s="206"/>
      <c r="OV1531" s="206"/>
      <c r="OW1531" s="206"/>
      <c r="OX1531" s="206"/>
      <c r="OY1531" s="206"/>
      <c r="OZ1531" s="206"/>
      <c r="PA1531" s="206"/>
      <c r="PB1531" s="206"/>
      <c r="PC1531" s="206"/>
      <c r="PD1531" s="206"/>
      <c r="PE1531" s="206"/>
      <c r="PF1531" s="206"/>
      <c r="PG1531" s="206"/>
      <c r="PH1531" s="206"/>
      <c r="PI1531" s="206"/>
      <c r="PJ1531" s="206"/>
      <c r="PK1531" s="206"/>
      <c r="PL1531" s="206"/>
      <c r="PM1531" s="206"/>
      <c r="PN1531" s="206"/>
      <c r="PO1531" s="206"/>
      <c r="PP1531" s="206"/>
      <c r="PQ1531" s="206"/>
      <c r="PR1531" s="206"/>
      <c r="PS1531" s="206"/>
      <c r="PT1531" s="206"/>
      <c r="PU1531" s="206"/>
      <c r="PV1531" s="206"/>
      <c r="PW1531" s="206"/>
      <c r="PX1531" s="206"/>
      <c r="PY1531" s="206"/>
      <c r="PZ1531" s="206"/>
      <c r="QA1531" s="206"/>
      <c r="QB1531" s="206"/>
      <c r="QC1531" s="206"/>
      <c r="QD1531" s="206"/>
      <c r="QE1531" s="206"/>
      <c r="QF1531" s="206"/>
      <c r="QG1531" s="206"/>
      <c r="QH1531" s="206"/>
      <c r="QI1531" s="206"/>
      <c r="QJ1531" s="206"/>
      <c r="QK1531" s="206"/>
      <c r="QL1531" s="206"/>
      <c r="QM1531" s="206"/>
      <c r="QN1531" s="206"/>
      <c r="QO1531" s="206"/>
      <c r="QP1531" s="206"/>
      <c r="QQ1531" s="206"/>
      <c r="QR1531" s="206"/>
      <c r="QS1531" s="206"/>
      <c r="QT1531" s="206"/>
      <c r="QU1531" s="206"/>
      <c r="QV1531" s="206"/>
      <c r="QW1531" s="206"/>
      <c r="QX1531" s="206"/>
      <c r="QY1531" s="206"/>
      <c r="QZ1531" s="206"/>
      <c r="RA1531" s="206"/>
      <c r="RB1531" s="206"/>
      <c r="RC1531" s="206"/>
      <c r="RD1531" s="206"/>
      <c r="RE1531" s="206"/>
      <c r="RF1531" s="206"/>
      <c r="RG1531" s="206"/>
      <c r="RH1531" s="206"/>
      <c r="RI1531" s="206"/>
      <c r="RJ1531" s="206"/>
      <c r="RK1531" s="206"/>
      <c r="RL1531" s="206"/>
      <c r="RM1531" s="206"/>
      <c r="RN1531" s="206"/>
      <c r="RO1531" s="206"/>
      <c r="RP1531" s="206"/>
      <c r="RQ1531" s="206"/>
      <c r="RR1531" s="206"/>
      <c r="RS1531" s="206"/>
      <c r="RT1531" s="206"/>
      <c r="RU1531" s="206"/>
      <c r="RV1531" s="206"/>
      <c r="RW1531" s="206"/>
      <c r="RX1531" s="206"/>
      <c r="RY1531" s="206"/>
      <c r="RZ1531" s="206"/>
      <c r="SA1531" s="206"/>
      <c r="SB1531" s="206"/>
      <c r="SC1531" s="206"/>
      <c r="SD1531" s="206"/>
      <c r="SE1531" s="206"/>
      <c r="SF1531" s="206"/>
      <c r="SG1531" s="206"/>
      <c r="SH1531" s="206"/>
      <c r="SI1531" s="206"/>
      <c r="SJ1531" s="206"/>
      <c r="SK1531" s="206"/>
      <c r="SL1531" s="206"/>
      <c r="SM1531" s="206"/>
      <c r="SN1531" s="206"/>
      <c r="SO1531" s="206"/>
      <c r="SP1531" s="206"/>
      <c r="SQ1531" s="206"/>
      <c r="SR1531" s="206"/>
      <c r="SS1531" s="206"/>
      <c r="ST1531" s="206"/>
      <c r="SU1531" s="206"/>
      <c r="SV1531" s="206"/>
      <c r="SW1531" s="206"/>
      <c r="SX1531" s="206"/>
      <c r="SY1531" s="206"/>
      <c r="SZ1531" s="206"/>
      <c r="TA1531" s="206"/>
      <c r="TB1531" s="206"/>
      <c r="TC1531" s="206"/>
      <c r="TD1531" s="206"/>
      <c r="TE1531" s="206"/>
      <c r="TF1531" s="206"/>
      <c r="TG1531" s="206"/>
      <c r="TH1531" s="206"/>
      <c r="TI1531" s="206"/>
      <c r="TJ1531" s="206"/>
      <c r="TK1531" s="206"/>
      <c r="TL1531" s="206"/>
      <c r="TM1531" s="206"/>
      <c r="TN1531" s="206"/>
      <c r="TO1531" s="206"/>
      <c r="TP1531" s="206"/>
      <c r="TQ1531" s="206"/>
      <c r="TR1531" s="206"/>
      <c r="TS1531" s="206"/>
      <c r="TT1531" s="206"/>
      <c r="TU1531" s="206"/>
      <c r="TV1531" s="206"/>
      <c r="TW1531" s="206"/>
      <c r="TX1531" s="206"/>
      <c r="TY1531" s="206"/>
      <c r="TZ1531" s="206"/>
      <c r="UA1531" s="206"/>
      <c r="UB1531" s="206"/>
      <c r="UC1531" s="206"/>
      <c r="UD1531" s="206"/>
    </row>
    <row r="1532" spans="1:550" s="874" customFormat="1" ht="299.25" customHeight="1">
      <c r="A1532" s="924"/>
      <c r="B1532" s="1230"/>
      <c r="C1532" s="1227" t="s">
        <v>69</v>
      </c>
      <c r="D1532" s="470" t="s">
        <v>70</v>
      </c>
      <c r="E1532" s="470" t="s">
        <v>1351</v>
      </c>
      <c r="F1532" s="1230"/>
      <c r="G1532" s="501"/>
      <c r="H1532" s="930">
        <v>564.9</v>
      </c>
      <c r="I1532" s="931">
        <v>564.9</v>
      </c>
      <c r="J1532" s="1243">
        <v>55000</v>
      </c>
      <c r="K1532" s="809"/>
      <c r="L1532" s="932">
        <f t="shared" si="231"/>
        <v>31069500</v>
      </c>
      <c r="M1532" s="933"/>
      <c r="N1532" s="933"/>
      <c r="O1532" s="1226"/>
      <c r="P1532" s="1226"/>
      <c r="Q1532" s="1319" t="s">
        <v>1352</v>
      </c>
      <c r="R1532" s="1447"/>
      <c r="S1532" s="486"/>
      <c r="T1532" s="486"/>
      <c r="U1532" s="486"/>
      <c r="V1532" s="486"/>
      <c r="W1532" s="486"/>
      <c r="X1532" s="1117">
        <f>I1532</f>
        <v>564.9</v>
      </c>
      <c r="Y1532" s="486"/>
      <c r="Z1532" s="486"/>
      <c r="AA1532" s="486"/>
      <c r="AB1532" s="486"/>
      <c r="AC1532" s="486"/>
      <c r="AD1532" s="486"/>
      <c r="AE1532" s="486"/>
      <c r="AF1532" s="486"/>
      <c r="AG1532" s="486"/>
      <c r="AH1532" s="486"/>
      <c r="AI1532" s="486"/>
      <c r="AJ1532" s="486"/>
      <c r="AK1532" s="486"/>
      <c r="AL1532" s="206"/>
      <c r="AM1532" s="206"/>
      <c r="AN1532" s="206"/>
      <c r="AO1532" s="206"/>
      <c r="AP1532" s="206"/>
      <c r="AQ1532" s="206"/>
      <c r="AR1532" s="206"/>
      <c r="AS1532" s="206"/>
      <c r="AT1532" s="206"/>
      <c r="AU1532" s="206"/>
      <c r="AV1532" s="206"/>
      <c r="AW1532" s="206"/>
      <c r="AX1532" s="206"/>
      <c r="AY1532" s="206"/>
      <c r="AZ1532" s="206"/>
      <c r="BA1532" s="206"/>
      <c r="BB1532" s="206"/>
      <c r="BC1532" s="206"/>
      <c r="BD1532" s="206"/>
      <c r="BE1532" s="206"/>
      <c r="BF1532" s="206"/>
      <c r="BG1532" s="206"/>
      <c r="BH1532" s="206"/>
      <c r="BI1532" s="206"/>
      <c r="BJ1532" s="206"/>
      <c r="BK1532" s="206"/>
      <c r="BL1532" s="206"/>
      <c r="BM1532" s="206"/>
      <c r="BN1532" s="206"/>
      <c r="BO1532" s="206"/>
      <c r="BP1532" s="206"/>
      <c r="BQ1532" s="206"/>
      <c r="BR1532" s="206"/>
      <c r="BS1532" s="206"/>
      <c r="BT1532" s="206"/>
      <c r="BU1532" s="206"/>
      <c r="BV1532" s="206"/>
      <c r="BW1532" s="206"/>
      <c r="BX1532" s="206"/>
      <c r="BY1532" s="206"/>
      <c r="BZ1532" s="206"/>
      <c r="CA1532" s="206"/>
      <c r="CB1532" s="206"/>
      <c r="CC1532" s="206"/>
      <c r="CD1532" s="206"/>
      <c r="CE1532" s="206"/>
      <c r="CF1532" s="206"/>
      <c r="CG1532" s="206"/>
      <c r="CH1532" s="206"/>
      <c r="CI1532" s="206"/>
      <c r="CJ1532" s="206"/>
      <c r="CK1532" s="206"/>
      <c r="CL1532" s="206"/>
      <c r="CM1532" s="206"/>
      <c r="CN1532" s="206"/>
      <c r="CO1532" s="206"/>
      <c r="CP1532" s="206"/>
      <c r="CQ1532" s="206"/>
      <c r="CR1532" s="206"/>
      <c r="CS1532" s="206"/>
      <c r="CT1532" s="206"/>
      <c r="CU1532" s="206"/>
      <c r="CV1532" s="206"/>
      <c r="CW1532" s="206"/>
      <c r="CX1532" s="206"/>
      <c r="CY1532" s="206"/>
      <c r="CZ1532" s="206"/>
      <c r="DA1532" s="206"/>
      <c r="DB1532" s="206"/>
      <c r="DC1532" s="206"/>
      <c r="DD1532" s="206"/>
      <c r="DE1532" s="206"/>
      <c r="DF1532" s="206"/>
      <c r="DG1532" s="206"/>
      <c r="DH1532" s="206"/>
      <c r="DI1532" s="206"/>
      <c r="DJ1532" s="206"/>
      <c r="DK1532" s="206"/>
      <c r="DL1532" s="206"/>
      <c r="DM1532" s="206"/>
      <c r="DN1532" s="206"/>
      <c r="DO1532" s="206"/>
      <c r="DP1532" s="206"/>
      <c r="DQ1532" s="206"/>
      <c r="DR1532" s="206"/>
      <c r="DS1532" s="206"/>
      <c r="DT1532" s="206"/>
      <c r="DU1532" s="206"/>
      <c r="DV1532" s="206"/>
      <c r="DW1532" s="206"/>
      <c r="DX1532" s="206"/>
      <c r="DY1532" s="206"/>
      <c r="DZ1532" s="206"/>
      <c r="EA1532" s="206"/>
      <c r="EB1532" s="206"/>
      <c r="EC1532" s="206"/>
      <c r="ED1532" s="206"/>
      <c r="EE1532" s="206"/>
      <c r="EF1532" s="206"/>
      <c r="EG1532" s="206"/>
      <c r="EH1532" s="206"/>
      <c r="EI1532" s="206"/>
      <c r="EJ1532" s="206"/>
      <c r="EK1532" s="206"/>
      <c r="EL1532" s="206"/>
      <c r="EM1532" s="206"/>
      <c r="EN1532" s="206"/>
      <c r="EO1532" s="206"/>
      <c r="EP1532" s="206"/>
      <c r="EQ1532" s="206"/>
      <c r="ER1532" s="206"/>
      <c r="ES1532" s="206"/>
      <c r="ET1532" s="206"/>
      <c r="EU1532" s="206"/>
      <c r="EV1532" s="206"/>
      <c r="EW1532" s="206"/>
      <c r="EX1532" s="206"/>
      <c r="EY1532" s="206"/>
      <c r="EZ1532" s="206"/>
      <c r="FA1532" s="206"/>
      <c r="FB1532" s="206"/>
      <c r="FC1532" s="206"/>
      <c r="FD1532" s="206"/>
      <c r="FE1532" s="206"/>
      <c r="FF1532" s="206"/>
      <c r="FG1532" s="206"/>
      <c r="FH1532" s="206"/>
      <c r="FI1532" s="206"/>
      <c r="FJ1532" s="206"/>
      <c r="FK1532" s="206"/>
      <c r="FL1532" s="206"/>
      <c r="FM1532" s="206"/>
      <c r="FN1532" s="206"/>
      <c r="FO1532" s="206"/>
      <c r="FP1532" s="206"/>
      <c r="FQ1532" s="206"/>
      <c r="FR1532" s="206"/>
      <c r="FS1532" s="206"/>
      <c r="FT1532" s="206"/>
      <c r="FU1532" s="206"/>
      <c r="FV1532" s="206"/>
      <c r="FW1532" s="206"/>
      <c r="FX1532" s="206"/>
      <c r="FY1532" s="206"/>
      <c r="FZ1532" s="206"/>
      <c r="GA1532" s="206"/>
      <c r="GB1532" s="206"/>
      <c r="GC1532" s="206"/>
      <c r="GD1532" s="206"/>
      <c r="GE1532" s="206"/>
      <c r="GF1532" s="206"/>
      <c r="GG1532" s="206"/>
      <c r="GH1532" s="206"/>
      <c r="GI1532" s="206"/>
      <c r="GJ1532" s="206"/>
      <c r="GK1532" s="206"/>
      <c r="GL1532" s="206"/>
      <c r="GM1532" s="206"/>
      <c r="GN1532" s="206"/>
      <c r="GO1532" s="206"/>
      <c r="GP1532" s="206"/>
      <c r="GQ1532" s="206"/>
      <c r="GR1532" s="206"/>
      <c r="GS1532" s="206"/>
      <c r="GT1532" s="206"/>
      <c r="GU1532" s="206"/>
      <c r="GV1532" s="206"/>
      <c r="GW1532" s="206"/>
      <c r="GX1532" s="206"/>
      <c r="GY1532" s="206"/>
      <c r="GZ1532" s="206"/>
      <c r="HA1532" s="206"/>
      <c r="HB1532" s="206"/>
      <c r="HC1532" s="206"/>
      <c r="HD1532" s="206"/>
      <c r="HE1532" s="206"/>
      <c r="HF1532" s="206"/>
      <c r="HG1532" s="206"/>
      <c r="HH1532" s="206"/>
      <c r="HI1532" s="206"/>
      <c r="HJ1532" s="206"/>
      <c r="HK1532" s="206"/>
      <c r="HL1532" s="206"/>
      <c r="HM1532" s="206"/>
      <c r="HN1532" s="206"/>
      <c r="HO1532" s="206"/>
      <c r="HP1532" s="206"/>
      <c r="HQ1532" s="206"/>
      <c r="HR1532" s="206"/>
      <c r="HS1532" s="206"/>
      <c r="HT1532" s="206"/>
      <c r="HU1532" s="206"/>
      <c r="HV1532" s="206"/>
      <c r="HW1532" s="206"/>
      <c r="HX1532" s="206"/>
      <c r="HY1532" s="206"/>
      <c r="HZ1532" s="206"/>
      <c r="IA1532" s="206"/>
      <c r="IB1532" s="206"/>
      <c r="IC1532" s="206"/>
      <c r="ID1532" s="206"/>
      <c r="IE1532" s="206"/>
      <c r="IF1532" s="206"/>
      <c r="IG1532" s="206"/>
      <c r="IH1532" s="206"/>
      <c r="II1532" s="206"/>
      <c r="IJ1532" s="206"/>
      <c r="IK1532" s="206"/>
      <c r="IL1532" s="206"/>
      <c r="IM1532" s="206"/>
      <c r="IN1532" s="206"/>
      <c r="IO1532" s="206"/>
      <c r="IP1532" s="206"/>
      <c r="IQ1532" s="206"/>
      <c r="IR1532" s="206"/>
      <c r="IS1532" s="206"/>
      <c r="IT1532" s="206"/>
      <c r="IU1532" s="206"/>
      <c r="IV1532" s="206"/>
      <c r="IW1532" s="206"/>
      <c r="IX1532" s="206"/>
      <c r="IY1532" s="206"/>
      <c r="IZ1532" s="206"/>
      <c r="JA1532" s="206"/>
      <c r="JB1532" s="206"/>
      <c r="JC1532" s="206"/>
      <c r="JD1532" s="206"/>
      <c r="JE1532" s="206"/>
      <c r="JF1532" s="206"/>
      <c r="JG1532" s="206"/>
      <c r="JH1532" s="206"/>
      <c r="JI1532" s="206"/>
      <c r="JJ1532" s="206"/>
      <c r="JK1532" s="206"/>
      <c r="JL1532" s="206"/>
      <c r="JM1532" s="206"/>
      <c r="JN1532" s="206"/>
      <c r="JO1532" s="206"/>
      <c r="JP1532" s="206"/>
      <c r="JQ1532" s="206"/>
      <c r="JR1532" s="206"/>
      <c r="JS1532" s="206"/>
      <c r="JT1532" s="206"/>
      <c r="JU1532" s="206"/>
      <c r="JV1532" s="206"/>
      <c r="JW1532" s="206"/>
      <c r="JX1532" s="206"/>
      <c r="JY1532" s="206"/>
      <c r="JZ1532" s="206"/>
      <c r="KA1532" s="206"/>
      <c r="KB1532" s="206"/>
      <c r="KC1532" s="206"/>
      <c r="KD1532" s="206"/>
      <c r="KE1532" s="206"/>
      <c r="KF1532" s="206"/>
      <c r="KG1532" s="206"/>
      <c r="KH1532" s="206"/>
      <c r="KI1532" s="206"/>
      <c r="KJ1532" s="206"/>
      <c r="KK1532" s="206"/>
      <c r="KL1532" s="206"/>
      <c r="KM1532" s="206"/>
      <c r="KN1532" s="206"/>
      <c r="KO1532" s="206"/>
      <c r="KP1532" s="206"/>
      <c r="KQ1532" s="206"/>
      <c r="KR1532" s="206"/>
      <c r="KS1532" s="206"/>
      <c r="KT1532" s="206"/>
      <c r="KU1532" s="206"/>
      <c r="KV1532" s="206"/>
      <c r="KW1532" s="206"/>
      <c r="KX1532" s="206"/>
      <c r="KY1532" s="206"/>
      <c r="KZ1532" s="206"/>
      <c r="LA1532" s="206"/>
      <c r="LB1532" s="206"/>
      <c r="LC1532" s="206"/>
      <c r="LD1532" s="206"/>
      <c r="LE1532" s="206"/>
      <c r="LF1532" s="206"/>
      <c r="LG1532" s="206"/>
      <c r="LH1532" s="206"/>
      <c r="LI1532" s="206"/>
      <c r="LJ1532" s="206"/>
      <c r="LK1532" s="206"/>
      <c r="LL1532" s="206"/>
      <c r="LM1532" s="206"/>
      <c r="LN1532" s="206"/>
      <c r="LO1532" s="206"/>
      <c r="LP1532" s="206"/>
      <c r="LQ1532" s="206"/>
      <c r="LR1532" s="206"/>
      <c r="LS1532" s="206"/>
      <c r="LT1532" s="206"/>
      <c r="LU1532" s="206"/>
      <c r="LV1532" s="206"/>
      <c r="LW1532" s="206"/>
      <c r="LX1532" s="206"/>
      <c r="LY1532" s="206"/>
      <c r="LZ1532" s="206"/>
      <c r="MA1532" s="206"/>
      <c r="MB1532" s="206"/>
      <c r="MC1532" s="206"/>
      <c r="MD1532" s="206"/>
      <c r="ME1532" s="206"/>
      <c r="MF1532" s="206"/>
      <c r="MG1532" s="206"/>
      <c r="MH1532" s="206"/>
      <c r="MI1532" s="206"/>
      <c r="MJ1532" s="206"/>
      <c r="MK1532" s="206"/>
      <c r="ML1532" s="206"/>
      <c r="MM1532" s="206"/>
      <c r="MN1532" s="206"/>
      <c r="MO1532" s="206"/>
      <c r="MP1532" s="206"/>
      <c r="MQ1532" s="206"/>
      <c r="MR1532" s="206"/>
      <c r="MS1532" s="206"/>
      <c r="MT1532" s="206"/>
      <c r="MU1532" s="206"/>
      <c r="MV1532" s="206"/>
      <c r="MW1532" s="206"/>
      <c r="MX1532" s="206"/>
      <c r="MY1532" s="206"/>
      <c r="MZ1532" s="206"/>
      <c r="NA1532" s="206"/>
      <c r="NB1532" s="206"/>
      <c r="NC1532" s="206"/>
      <c r="ND1532" s="206"/>
      <c r="NE1532" s="206"/>
      <c r="NF1532" s="206"/>
      <c r="NG1532" s="206"/>
      <c r="NH1532" s="206"/>
      <c r="NI1532" s="206"/>
      <c r="NJ1532" s="206"/>
      <c r="NK1532" s="206"/>
      <c r="NL1532" s="206"/>
      <c r="NM1532" s="206"/>
      <c r="NN1532" s="206"/>
      <c r="NO1532" s="206"/>
      <c r="NP1532" s="206"/>
      <c r="NQ1532" s="206"/>
      <c r="NR1532" s="206"/>
      <c r="NS1532" s="206"/>
      <c r="NT1532" s="206"/>
      <c r="NU1532" s="206"/>
      <c r="NV1532" s="206"/>
      <c r="NW1532" s="206"/>
      <c r="NX1532" s="206"/>
      <c r="NY1532" s="206"/>
      <c r="NZ1532" s="206"/>
      <c r="OA1532" s="206"/>
      <c r="OB1532" s="206"/>
      <c r="OC1532" s="206"/>
      <c r="OD1532" s="206"/>
      <c r="OE1532" s="206"/>
      <c r="OF1532" s="206"/>
      <c r="OG1532" s="206"/>
      <c r="OH1532" s="206"/>
      <c r="OI1532" s="206"/>
      <c r="OJ1532" s="206"/>
      <c r="OK1532" s="206"/>
      <c r="OL1532" s="206"/>
      <c r="OM1532" s="206"/>
      <c r="ON1532" s="206"/>
      <c r="OO1532" s="206"/>
      <c r="OP1532" s="206"/>
      <c r="OQ1532" s="206"/>
      <c r="OR1532" s="206"/>
      <c r="OS1532" s="206"/>
      <c r="OT1532" s="206"/>
      <c r="OU1532" s="206"/>
      <c r="OV1532" s="206"/>
      <c r="OW1532" s="206"/>
      <c r="OX1532" s="206"/>
      <c r="OY1532" s="206"/>
      <c r="OZ1532" s="206"/>
      <c r="PA1532" s="206"/>
      <c r="PB1532" s="206"/>
      <c r="PC1532" s="206"/>
      <c r="PD1532" s="206"/>
      <c r="PE1532" s="206"/>
      <c r="PF1532" s="206"/>
      <c r="PG1532" s="206"/>
      <c r="PH1532" s="206"/>
      <c r="PI1532" s="206"/>
      <c r="PJ1532" s="206"/>
      <c r="PK1532" s="206"/>
      <c r="PL1532" s="206"/>
      <c r="PM1532" s="206"/>
      <c r="PN1532" s="206"/>
      <c r="PO1532" s="206"/>
      <c r="PP1532" s="206"/>
      <c r="PQ1532" s="206"/>
      <c r="PR1532" s="206"/>
      <c r="PS1532" s="206"/>
      <c r="PT1532" s="206"/>
      <c r="PU1532" s="206"/>
      <c r="PV1532" s="206"/>
      <c r="PW1532" s="206"/>
      <c r="PX1532" s="206"/>
      <c r="PY1532" s="206"/>
      <c r="PZ1532" s="206"/>
      <c r="QA1532" s="206"/>
      <c r="QB1532" s="206"/>
      <c r="QC1532" s="206"/>
      <c r="QD1532" s="206"/>
      <c r="QE1532" s="206"/>
      <c r="QF1532" s="206"/>
      <c r="QG1532" s="206"/>
      <c r="QH1532" s="206"/>
      <c r="QI1532" s="206"/>
      <c r="QJ1532" s="206"/>
      <c r="QK1532" s="206"/>
      <c r="QL1532" s="206"/>
      <c r="QM1532" s="206"/>
      <c r="QN1532" s="206"/>
      <c r="QO1532" s="206"/>
      <c r="QP1532" s="206"/>
      <c r="QQ1532" s="206"/>
      <c r="QR1532" s="206"/>
      <c r="QS1532" s="206"/>
      <c r="QT1532" s="206"/>
      <c r="QU1532" s="206"/>
      <c r="QV1532" s="206"/>
      <c r="QW1532" s="206"/>
      <c r="QX1532" s="206"/>
      <c r="QY1532" s="206"/>
      <c r="QZ1532" s="206"/>
      <c r="RA1532" s="206"/>
      <c r="RB1532" s="206"/>
      <c r="RC1532" s="206"/>
      <c r="RD1532" s="206"/>
      <c r="RE1532" s="206"/>
      <c r="RF1532" s="206"/>
      <c r="RG1532" s="206"/>
      <c r="RH1532" s="206"/>
      <c r="RI1532" s="206"/>
      <c r="RJ1532" s="206"/>
      <c r="RK1532" s="206"/>
      <c r="RL1532" s="206"/>
      <c r="RM1532" s="206"/>
      <c r="RN1532" s="206"/>
      <c r="RO1532" s="206"/>
      <c r="RP1532" s="206"/>
      <c r="RQ1532" s="206"/>
      <c r="RR1532" s="206"/>
      <c r="RS1532" s="206"/>
      <c r="RT1532" s="206"/>
      <c r="RU1532" s="206"/>
      <c r="RV1532" s="206"/>
      <c r="RW1532" s="206"/>
      <c r="RX1532" s="206"/>
      <c r="RY1532" s="206"/>
      <c r="RZ1532" s="206"/>
      <c r="SA1532" s="206"/>
      <c r="SB1532" s="206"/>
      <c r="SC1532" s="206"/>
      <c r="SD1532" s="206"/>
      <c r="SE1532" s="206"/>
      <c r="SF1532" s="206"/>
      <c r="SG1532" s="206"/>
      <c r="SH1532" s="206"/>
      <c r="SI1532" s="206"/>
      <c r="SJ1532" s="206"/>
      <c r="SK1532" s="206"/>
      <c r="SL1532" s="206"/>
      <c r="SM1532" s="206"/>
      <c r="SN1532" s="206"/>
      <c r="SO1532" s="206"/>
      <c r="SP1532" s="206"/>
      <c r="SQ1532" s="206"/>
      <c r="SR1532" s="206"/>
      <c r="SS1532" s="206"/>
      <c r="ST1532" s="206"/>
      <c r="SU1532" s="206"/>
      <c r="SV1532" s="206"/>
      <c r="SW1532" s="206"/>
      <c r="SX1532" s="206"/>
      <c r="SY1532" s="206"/>
      <c r="SZ1532" s="206"/>
      <c r="TA1532" s="206"/>
      <c r="TB1532" s="206"/>
      <c r="TC1532" s="206"/>
      <c r="TD1532" s="206"/>
      <c r="TE1532" s="206"/>
      <c r="TF1532" s="206"/>
      <c r="TG1532" s="206"/>
      <c r="TH1532" s="206"/>
      <c r="TI1532" s="206"/>
      <c r="TJ1532" s="206"/>
      <c r="TK1532" s="206"/>
      <c r="TL1532" s="206"/>
      <c r="TM1532" s="206"/>
      <c r="TN1532" s="206"/>
      <c r="TO1532" s="206"/>
      <c r="TP1532" s="206"/>
      <c r="TQ1532" s="206"/>
      <c r="TR1532" s="206"/>
      <c r="TS1532" s="206"/>
      <c r="TT1532" s="206"/>
      <c r="TU1532" s="206"/>
      <c r="TV1532" s="206"/>
      <c r="TW1532" s="206"/>
      <c r="TX1532" s="206"/>
      <c r="TY1532" s="206"/>
      <c r="TZ1532" s="206"/>
      <c r="UA1532" s="206"/>
      <c r="UB1532" s="206"/>
      <c r="UC1532" s="206"/>
      <c r="UD1532" s="206"/>
    </row>
    <row r="1533" spans="1:550" s="874" customFormat="1" ht="322.5" customHeight="1">
      <c r="A1533" s="924"/>
      <c r="B1533" s="1230"/>
      <c r="C1533" s="1227" t="s">
        <v>69</v>
      </c>
      <c r="D1533" s="470">
        <v>1</v>
      </c>
      <c r="E1533" s="940">
        <v>513</v>
      </c>
      <c r="F1533" s="1230"/>
      <c r="G1533" s="501"/>
      <c r="H1533" s="930">
        <v>230.5</v>
      </c>
      <c r="I1533" s="307">
        <v>230.5</v>
      </c>
      <c r="J1533" s="421">
        <v>55000</v>
      </c>
      <c r="K1533" s="509"/>
      <c r="L1533" s="932">
        <f>ROUND(PRODUCT(I1533:K1533),0)</f>
        <v>12677500</v>
      </c>
      <c r="M1533" s="933"/>
      <c r="N1533" s="933"/>
      <c r="O1533" s="1226"/>
      <c r="P1533" s="1226"/>
      <c r="Q1533" s="1319" t="s">
        <v>1353</v>
      </c>
      <c r="R1533" s="1447"/>
      <c r="S1533" s="486"/>
      <c r="T1533" s="486"/>
      <c r="U1533" s="486"/>
      <c r="V1533" s="486"/>
      <c r="W1533" s="486"/>
      <c r="X1533" s="1117">
        <f>I1533</f>
        <v>230.5</v>
      </c>
      <c r="Y1533" s="486"/>
      <c r="Z1533" s="486"/>
      <c r="AA1533" s="486"/>
      <c r="AB1533" s="486"/>
      <c r="AC1533" s="486"/>
      <c r="AD1533" s="486"/>
      <c r="AE1533" s="486"/>
      <c r="AF1533" s="486"/>
      <c r="AG1533" s="486"/>
      <c r="AH1533" s="486"/>
      <c r="AI1533" s="486"/>
      <c r="AJ1533" s="486"/>
      <c r="AK1533" s="486"/>
      <c r="AL1533" s="206"/>
      <c r="AM1533" s="206"/>
      <c r="AN1533" s="206"/>
      <c r="AO1533" s="206"/>
      <c r="AP1533" s="206"/>
      <c r="AQ1533" s="206"/>
      <c r="AR1533" s="206"/>
      <c r="AS1533" s="206"/>
      <c r="AT1533" s="206"/>
      <c r="AU1533" s="206"/>
      <c r="AV1533" s="206"/>
      <c r="AW1533" s="206"/>
      <c r="AX1533" s="206"/>
      <c r="AY1533" s="206"/>
      <c r="AZ1533" s="206"/>
      <c r="BA1533" s="206"/>
      <c r="BB1533" s="206"/>
      <c r="BC1533" s="206"/>
      <c r="BD1533" s="206"/>
      <c r="BE1533" s="206"/>
      <c r="BF1533" s="206"/>
      <c r="BG1533" s="206"/>
      <c r="BH1533" s="206"/>
      <c r="BI1533" s="206"/>
      <c r="BJ1533" s="206"/>
      <c r="BK1533" s="206"/>
      <c r="BL1533" s="206"/>
      <c r="BM1533" s="206"/>
      <c r="BN1533" s="206"/>
      <c r="BO1533" s="206"/>
      <c r="BP1533" s="206"/>
      <c r="BQ1533" s="206"/>
      <c r="BR1533" s="206"/>
      <c r="BS1533" s="206"/>
      <c r="BT1533" s="206"/>
      <c r="BU1533" s="206"/>
      <c r="BV1533" s="206"/>
      <c r="BW1533" s="206"/>
      <c r="BX1533" s="206"/>
      <c r="BY1533" s="206"/>
      <c r="BZ1533" s="206"/>
      <c r="CA1533" s="206"/>
      <c r="CB1533" s="206"/>
      <c r="CC1533" s="206"/>
      <c r="CD1533" s="206"/>
      <c r="CE1533" s="206"/>
      <c r="CF1533" s="206"/>
      <c r="CG1533" s="206"/>
      <c r="CH1533" s="206"/>
      <c r="CI1533" s="206"/>
      <c r="CJ1533" s="206"/>
      <c r="CK1533" s="206"/>
      <c r="CL1533" s="206"/>
      <c r="CM1533" s="206"/>
      <c r="CN1533" s="206"/>
      <c r="CO1533" s="206"/>
      <c r="CP1533" s="206"/>
      <c r="CQ1533" s="206"/>
      <c r="CR1533" s="206"/>
      <c r="CS1533" s="206"/>
      <c r="CT1533" s="206"/>
      <c r="CU1533" s="206"/>
      <c r="CV1533" s="206"/>
      <c r="CW1533" s="206"/>
      <c r="CX1533" s="206"/>
      <c r="CY1533" s="206"/>
      <c r="CZ1533" s="206"/>
      <c r="DA1533" s="206"/>
      <c r="DB1533" s="206"/>
      <c r="DC1533" s="206"/>
      <c r="DD1533" s="206"/>
      <c r="DE1533" s="206"/>
      <c r="DF1533" s="206"/>
      <c r="DG1533" s="206"/>
      <c r="DH1533" s="206"/>
      <c r="DI1533" s="206"/>
      <c r="DJ1533" s="206"/>
      <c r="DK1533" s="206"/>
      <c r="DL1533" s="206"/>
      <c r="DM1533" s="206"/>
      <c r="DN1533" s="206"/>
      <c r="DO1533" s="206"/>
      <c r="DP1533" s="206"/>
      <c r="DQ1533" s="206"/>
      <c r="DR1533" s="206"/>
      <c r="DS1533" s="206"/>
      <c r="DT1533" s="206"/>
      <c r="DU1533" s="206"/>
      <c r="DV1533" s="206"/>
      <c r="DW1533" s="206"/>
      <c r="DX1533" s="206"/>
      <c r="DY1533" s="206"/>
      <c r="DZ1533" s="206"/>
      <c r="EA1533" s="206"/>
      <c r="EB1533" s="206"/>
      <c r="EC1533" s="206"/>
      <c r="ED1533" s="206"/>
      <c r="EE1533" s="206"/>
      <c r="EF1533" s="206"/>
      <c r="EG1533" s="206"/>
      <c r="EH1533" s="206"/>
      <c r="EI1533" s="206"/>
      <c r="EJ1533" s="206"/>
      <c r="EK1533" s="206"/>
      <c r="EL1533" s="206"/>
      <c r="EM1533" s="206"/>
      <c r="EN1533" s="206"/>
      <c r="EO1533" s="206"/>
      <c r="EP1533" s="206"/>
      <c r="EQ1533" s="206"/>
      <c r="ER1533" s="206"/>
      <c r="ES1533" s="206"/>
      <c r="ET1533" s="206"/>
      <c r="EU1533" s="206"/>
      <c r="EV1533" s="206"/>
      <c r="EW1533" s="206"/>
      <c r="EX1533" s="206"/>
      <c r="EY1533" s="206"/>
      <c r="EZ1533" s="206"/>
      <c r="FA1533" s="206"/>
      <c r="FB1533" s="206"/>
      <c r="FC1533" s="206"/>
      <c r="FD1533" s="206"/>
      <c r="FE1533" s="206"/>
      <c r="FF1533" s="206"/>
      <c r="FG1533" s="206"/>
      <c r="FH1533" s="206"/>
      <c r="FI1533" s="206"/>
      <c r="FJ1533" s="206"/>
      <c r="FK1533" s="206"/>
      <c r="FL1533" s="206"/>
      <c r="FM1533" s="206"/>
      <c r="FN1533" s="206"/>
      <c r="FO1533" s="206"/>
      <c r="FP1533" s="206"/>
      <c r="FQ1533" s="206"/>
      <c r="FR1533" s="206"/>
      <c r="FS1533" s="206"/>
      <c r="FT1533" s="206"/>
      <c r="FU1533" s="206"/>
      <c r="FV1533" s="206"/>
      <c r="FW1533" s="206"/>
      <c r="FX1533" s="206"/>
      <c r="FY1533" s="206"/>
      <c r="FZ1533" s="206"/>
      <c r="GA1533" s="206"/>
      <c r="GB1533" s="206"/>
      <c r="GC1533" s="206"/>
      <c r="GD1533" s="206"/>
      <c r="GE1533" s="206"/>
      <c r="GF1533" s="206"/>
      <c r="GG1533" s="206"/>
      <c r="GH1533" s="206"/>
      <c r="GI1533" s="206"/>
      <c r="GJ1533" s="206"/>
      <c r="GK1533" s="206"/>
      <c r="GL1533" s="206"/>
      <c r="GM1533" s="206"/>
      <c r="GN1533" s="206"/>
      <c r="GO1533" s="206"/>
      <c r="GP1533" s="206"/>
      <c r="GQ1533" s="206"/>
      <c r="GR1533" s="206"/>
      <c r="GS1533" s="206"/>
      <c r="GT1533" s="206"/>
      <c r="GU1533" s="206"/>
      <c r="GV1533" s="206"/>
      <c r="GW1533" s="206"/>
      <c r="GX1533" s="206"/>
      <c r="GY1533" s="206"/>
      <c r="GZ1533" s="206"/>
      <c r="HA1533" s="206"/>
      <c r="HB1533" s="206"/>
      <c r="HC1533" s="206"/>
      <c r="HD1533" s="206"/>
      <c r="HE1533" s="206"/>
      <c r="HF1533" s="206"/>
      <c r="HG1533" s="206"/>
      <c r="HH1533" s="206"/>
      <c r="HI1533" s="206"/>
      <c r="HJ1533" s="206"/>
      <c r="HK1533" s="206"/>
      <c r="HL1533" s="206"/>
      <c r="HM1533" s="206"/>
      <c r="HN1533" s="206"/>
      <c r="HO1533" s="206"/>
      <c r="HP1533" s="206"/>
      <c r="HQ1533" s="206"/>
      <c r="HR1533" s="206"/>
      <c r="HS1533" s="206"/>
      <c r="HT1533" s="206"/>
      <c r="HU1533" s="206"/>
      <c r="HV1533" s="206"/>
      <c r="HW1533" s="206"/>
      <c r="HX1533" s="206"/>
      <c r="HY1533" s="206"/>
      <c r="HZ1533" s="206"/>
      <c r="IA1533" s="206"/>
      <c r="IB1533" s="206"/>
      <c r="IC1533" s="206"/>
      <c r="ID1533" s="206"/>
      <c r="IE1533" s="206"/>
      <c r="IF1533" s="206"/>
      <c r="IG1533" s="206"/>
      <c r="IH1533" s="206"/>
      <c r="II1533" s="206"/>
      <c r="IJ1533" s="206"/>
      <c r="IK1533" s="206"/>
      <c r="IL1533" s="206"/>
      <c r="IM1533" s="206"/>
      <c r="IN1533" s="206"/>
      <c r="IO1533" s="206"/>
      <c r="IP1533" s="206"/>
      <c r="IQ1533" s="206"/>
      <c r="IR1533" s="206"/>
      <c r="IS1533" s="206"/>
      <c r="IT1533" s="206"/>
      <c r="IU1533" s="206"/>
      <c r="IV1533" s="206"/>
      <c r="IW1533" s="206"/>
      <c r="IX1533" s="206"/>
      <c r="IY1533" s="206"/>
      <c r="IZ1533" s="206"/>
      <c r="JA1533" s="206"/>
      <c r="JB1533" s="206"/>
      <c r="JC1533" s="206"/>
      <c r="JD1533" s="206"/>
      <c r="JE1533" s="206"/>
      <c r="JF1533" s="206"/>
      <c r="JG1533" s="206"/>
      <c r="JH1533" s="206"/>
      <c r="JI1533" s="206"/>
      <c r="JJ1533" s="206"/>
      <c r="JK1533" s="206"/>
      <c r="JL1533" s="206"/>
      <c r="JM1533" s="206"/>
      <c r="JN1533" s="206"/>
      <c r="JO1533" s="206"/>
      <c r="JP1533" s="206"/>
      <c r="JQ1533" s="206"/>
      <c r="JR1533" s="206"/>
      <c r="JS1533" s="206"/>
      <c r="JT1533" s="206"/>
      <c r="JU1533" s="206"/>
      <c r="JV1533" s="206"/>
      <c r="JW1533" s="206"/>
      <c r="JX1533" s="206"/>
      <c r="JY1533" s="206"/>
      <c r="JZ1533" s="206"/>
      <c r="KA1533" s="206"/>
      <c r="KB1533" s="206"/>
      <c r="KC1533" s="206"/>
      <c r="KD1533" s="206"/>
      <c r="KE1533" s="206"/>
      <c r="KF1533" s="206"/>
      <c r="KG1533" s="206"/>
      <c r="KH1533" s="206"/>
      <c r="KI1533" s="206"/>
      <c r="KJ1533" s="206"/>
      <c r="KK1533" s="206"/>
      <c r="KL1533" s="206"/>
      <c r="KM1533" s="206"/>
      <c r="KN1533" s="206"/>
      <c r="KO1533" s="206"/>
      <c r="KP1533" s="206"/>
      <c r="KQ1533" s="206"/>
      <c r="KR1533" s="206"/>
      <c r="KS1533" s="206"/>
      <c r="KT1533" s="206"/>
      <c r="KU1533" s="206"/>
      <c r="KV1533" s="206"/>
      <c r="KW1533" s="206"/>
      <c r="KX1533" s="206"/>
      <c r="KY1533" s="206"/>
      <c r="KZ1533" s="206"/>
      <c r="LA1533" s="206"/>
      <c r="LB1533" s="206"/>
      <c r="LC1533" s="206"/>
      <c r="LD1533" s="206"/>
      <c r="LE1533" s="206"/>
      <c r="LF1533" s="206"/>
      <c r="LG1533" s="206"/>
      <c r="LH1533" s="206"/>
      <c r="LI1533" s="206"/>
      <c r="LJ1533" s="206"/>
      <c r="LK1533" s="206"/>
      <c r="LL1533" s="206"/>
      <c r="LM1533" s="206"/>
      <c r="LN1533" s="206"/>
      <c r="LO1533" s="206"/>
      <c r="LP1533" s="206"/>
      <c r="LQ1533" s="206"/>
      <c r="LR1533" s="206"/>
      <c r="LS1533" s="206"/>
      <c r="LT1533" s="206"/>
      <c r="LU1533" s="206"/>
      <c r="LV1533" s="206"/>
      <c r="LW1533" s="206"/>
      <c r="LX1533" s="206"/>
      <c r="LY1533" s="206"/>
      <c r="LZ1533" s="206"/>
      <c r="MA1533" s="206"/>
      <c r="MB1533" s="206"/>
      <c r="MC1533" s="206"/>
      <c r="MD1533" s="206"/>
      <c r="ME1533" s="206"/>
      <c r="MF1533" s="206"/>
      <c r="MG1533" s="206"/>
      <c r="MH1533" s="206"/>
      <c r="MI1533" s="206"/>
      <c r="MJ1533" s="206"/>
      <c r="MK1533" s="206"/>
      <c r="ML1533" s="206"/>
      <c r="MM1533" s="206"/>
      <c r="MN1533" s="206"/>
      <c r="MO1533" s="206"/>
      <c r="MP1533" s="206"/>
      <c r="MQ1533" s="206"/>
      <c r="MR1533" s="206"/>
      <c r="MS1533" s="206"/>
      <c r="MT1533" s="206"/>
      <c r="MU1533" s="206"/>
      <c r="MV1533" s="206"/>
      <c r="MW1533" s="206"/>
      <c r="MX1533" s="206"/>
      <c r="MY1533" s="206"/>
      <c r="MZ1533" s="206"/>
      <c r="NA1533" s="206"/>
      <c r="NB1533" s="206"/>
      <c r="NC1533" s="206"/>
      <c r="ND1533" s="206"/>
      <c r="NE1533" s="206"/>
      <c r="NF1533" s="206"/>
      <c r="NG1533" s="206"/>
      <c r="NH1533" s="206"/>
      <c r="NI1533" s="206"/>
      <c r="NJ1533" s="206"/>
      <c r="NK1533" s="206"/>
      <c r="NL1533" s="206"/>
      <c r="NM1533" s="206"/>
      <c r="NN1533" s="206"/>
      <c r="NO1533" s="206"/>
      <c r="NP1533" s="206"/>
      <c r="NQ1533" s="206"/>
      <c r="NR1533" s="206"/>
      <c r="NS1533" s="206"/>
      <c r="NT1533" s="206"/>
      <c r="NU1533" s="206"/>
      <c r="NV1533" s="206"/>
      <c r="NW1533" s="206"/>
      <c r="NX1533" s="206"/>
      <c r="NY1533" s="206"/>
      <c r="NZ1533" s="206"/>
      <c r="OA1533" s="206"/>
      <c r="OB1533" s="206"/>
      <c r="OC1533" s="206"/>
      <c r="OD1533" s="206"/>
      <c r="OE1533" s="206"/>
      <c r="OF1533" s="206"/>
      <c r="OG1533" s="206"/>
      <c r="OH1533" s="206"/>
      <c r="OI1533" s="206"/>
      <c r="OJ1533" s="206"/>
      <c r="OK1533" s="206"/>
      <c r="OL1533" s="206"/>
      <c r="OM1533" s="206"/>
      <c r="ON1533" s="206"/>
      <c r="OO1533" s="206"/>
      <c r="OP1533" s="206"/>
      <c r="OQ1533" s="206"/>
      <c r="OR1533" s="206"/>
      <c r="OS1533" s="206"/>
      <c r="OT1533" s="206"/>
      <c r="OU1533" s="206"/>
      <c r="OV1533" s="206"/>
      <c r="OW1533" s="206"/>
      <c r="OX1533" s="206"/>
      <c r="OY1533" s="206"/>
      <c r="OZ1533" s="206"/>
      <c r="PA1533" s="206"/>
      <c r="PB1533" s="206"/>
      <c r="PC1533" s="206"/>
      <c r="PD1533" s="206"/>
      <c r="PE1533" s="206"/>
      <c r="PF1533" s="206"/>
      <c r="PG1533" s="206"/>
      <c r="PH1533" s="206"/>
      <c r="PI1533" s="206"/>
      <c r="PJ1533" s="206"/>
      <c r="PK1533" s="206"/>
      <c r="PL1533" s="206"/>
      <c r="PM1533" s="206"/>
      <c r="PN1533" s="206"/>
      <c r="PO1533" s="206"/>
      <c r="PP1533" s="206"/>
      <c r="PQ1533" s="206"/>
      <c r="PR1533" s="206"/>
      <c r="PS1533" s="206"/>
      <c r="PT1533" s="206"/>
      <c r="PU1533" s="206"/>
      <c r="PV1533" s="206"/>
      <c r="PW1533" s="206"/>
      <c r="PX1533" s="206"/>
      <c r="PY1533" s="206"/>
      <c r="PZ1533" s="206"/>
      <c r="QA1533" s="206"/>
      <c r="QB1533" s="206"/>
      <c r="QC1533" s="206"/>
      <c r="QD1533" s="206"/>
      <c r="QE1533" s="206"/>
      <c r="QF1533" s="206"/>
      <c r="QG1533" s="206"/>
      <c r="QH1533" s="206"/>
      <c r="QI1533" s="206"/>
      <c r="QJ1533" s="206"/>
      <c r="QK1533" s="206"/>
      <c r="QL1533" s="206"/>
      <c r="QM1533" s="206"/>
      <c r="QN1533" s="206"/>
      <c r="QO1533" s="206"/>
      <c r="QP1533" s="206"/>
      <c r="QQ1533" s="206"/>
      <c r="QR1533" s="206"/>
      <c r="QS1533" s="206"/>
      <c r="QT1533" s="206"/>
      <c r="QU1533" s="206"/>
      <c r="QV1533" s="206"/>
      <c r="QW1533" s="206"/>
      <c r="QX1533" s="206"/>
      <c r="QY1533" s="206"/>
      <c r="QZ1533" s="206"/>
      <c r="RA1533" s="206"/>
      <c r="RB1533" s="206"/>
      <c r="RC1533" s="206"/>
      <c r="RD1533" s="206"/>
      <c r="RE1533" s="206"/>
      <c r="RF1533" s="206"/>
      <c r="RG1533" s="206"/>
      <c r="RH1533" s="206"/>
      <c r="RI1533" s="206"/>
      <c r="RJ1533" s="206"/>
      <c r="RK1533" s="206"/>
      <c r="RL1533" s="206"/>
      <c r="RM1533" s="206"/>
      <c r="RN1533" s="206"/>
      <c r="RO1533" s="206"/>
      <c r="RP1533" s="206"/>
      <c r="RQ1533" s="206"/>
      <c r="RR1533" s="206"/>
      <c r="RS1533" s="206"/>
      <c r="RT1533" s="206"/>
      <c r="RU1533" s="206"/>
      <c r="RV1533" s="206"/>
      <c r="RW1533" s="206"/>
      <c r="RX1533" s="206"/>
      <c r="RY1533" s="206"/>
      <c r="RZ1533" s="206"/>
      <c r="SA1533" s="206"/>
      <c r="SB1533" s="206"/>
      <c r="SC1533" s="206"/>
      <c r="SD1533" s="206"/>
      <c r="SE1533" s="206"/>
      <c r="SF1533" s="206"/>
      <c r="SG1533" s="206"/>
      <c r="SH1533" s="206"/>
      <c r="SI1533" s="206"/>
      <c r="SJ1533" s="206"/>
      <c r="SK1533" s="206"/>
      <c r="SL1533" s="206"/>
      <c r="SM1533" s="206"/>
      <c r="SN1533" s="206"/>
      <c r="SO1533" s="206"/>
      <c r="SP1533" s="206"/>
      <c r="SQ1533" s="206"/>
      <c r="SR1533" s="206"/>
      <c r="SS1533" s="206"/>
      <c r="ST1533" s="206"/>
      <c r="SU1533" s="206"/>
      <c r="SV1533" s="206"/>
      <c r="SW1533" s="206"/>
      <c r="SX1533" s="206"/>
      <c r="SY1533" s="206"/>
      <c r="SZ1533" s="206"/>
      <c r="TA1533" s="206"/>
      <c r="TB1533" s="206"/>
      <c r="TC1533" s="206"/>
      <c r="TD1533" s="206"/>
      <c r="TE1533" s="206"/>
      <c r="TF1533" s="206"/>
      <c r="TG1533" s="206"/>
      <c r="TH1533" s="206"/>
      <c r="TI1533" s="206"/>
      <c r="TJ1533" s="206"/>
      <c r="TK1533" s="206"/>
      <c r="TL1533" s="206"/>
      <c r="TM1533" s="206"/>
      <c r="TN1533" s="206"/>
      <c r="TO1533" s="206"/>
      <c r="TP1533" s="206"/>
      <c r="TQ1533" s="206"/>
      <c r="TR1533" s="206"/>
      <c r="TS1533" s="206"/>
      <c r="TT1533" s="206"/>
      <c r="TU1533" s="206"/>
      <c r="TV1533" s="206"/>
      <c r="TW1533" s="206"/>
      <c r="TX1533" s="206"/>
      <c r="TY1533" s="206"/>
      <c r="TZ1533" s="206"/>
      <c r="UA1533" s="206"/>
      <c r="UB1533" s="206"/>
      <c r="UC1533" s="206"/>
      <c r="UD1533" s="206"/>
    </row>
    <row r="1534" spans="1:550" s="874" customFormat="1" ht="409.5" customHeight="1">
      <c r="A1534" s="924"/>
      <c r="B1534" s="1230"/>
      <c r="C1534" s="1227" t="s">
        <v>69</v>
      </c>
      <c r="D1534" s="470" t="s">
        <v>70</v>
      </c>
      <c r="E1534" s="470" t="s">
        <v>1354</v>
      </c>
      <c r="F1534" s="1230">
        <v>1</v>
      </c>
      <c r="G1534" s="501" t="s">
        <v>935</v>
      </c>
      <c r="H1534" s="941">
        <v>134.69999999999999</v>
      </c>
      <c r="I1534" s="423">
        <v>134.69999999999999</v>
      </c>
      <c r="J1534" s="993">
        <v>55000</v>
      </c>
      <c r="K1534" s="809"/>
      <c r="L1534" s="932">
        <f t="shared" si="231"/>
        <v>7408500</v>
      </c>
      <c r="M1534" s="933"/>
      <c r="N1534" s="933"/>
      <c r="O1534" s="1226"/>
      <c r="P1534" s="1226"/>
      <c r="Q1534" s="1319" t="s">
        <v>1355</v>
      </c>
      <c r="R1534" s="1447"/>
      <c r="S1534" s="486"/>
      <c r="T1534" s="486"/>
      <c r="U1534" s="486"/>
      <c r="V1534" s="486"/>
      <c r="W1534" s="486"/>
      <c r="X1534" s="1121">
        <f>I1534</f>
        <v>134.69999999999999</v>
      </c>
      <c r="Y1534" s="486"/>
      <c r="Z1534" s="486"/>
      <c r="AA1534" s="486"/>
      <c r="AB1534" s="486"/>
      <c r="AC1534" s="486"/>
      <c r="AD1534" s="486"/>
      <c r="AE1534" s="486"/>
      <c r="AF1534" s="486"/>
      <c r="AG1534" s="486"/>
      <c r="AH1534" s="486"/>
      <c r="AI1534" s="486"/>
      <c r="AJ1534" s="486"/>
      <c r="AK1534" s="486"/>
      <c r="AL1534" s="206"/>
      <c r="AM1534" s="206"/>
      <c r="AN1534" s="206"/>
      <c r="AO1534" s="206"/>
      <c r="AP1534" s="206"/>
      <c r="AQ1534" s="206"/>
      <c r="AR1534" s="206"/>
      <c r="AS1534" s="206"/>
      <c r="AT1534" s="206"/>
      <c r="AU1534" s="206"/>
      <c r="AV1534" s="206"/>
      <c r="AW1534" s="206"/>
      <c r="AX1534" s="206"/>
      <c r="AY1534" s="206"/>
      <c r="AZ1534" s="206"/>
      <c r="BA1534" s="206"/>
      <c r="BB1534" s="206"/>
      <c r="BC1534" s="206"/>
      <c r="BD1534" s="206"/>
      <c r="BE1534" s="206"/>
      <c r="BF1534" s="206"/>
      <c r="BG1534" s="206"/>
      <c r="BH1534" s="206"/>
      <c r="BI1534" s="206"/>
      <c r="BJ1534" s="206"/>
      <c r="BK1534" s="206"/>
      <c r="BL1534" s="206"/>
      <c r="BM1534" s="206"/>
      <c r="BN1534" s="206"/>
      <c r="BO1534" s="206"/>
      <c r="BP1534" s="206"/>
      <c r="BQ1534" s="206"/>
      <c r="BR1534" s="206"/>
      <c r="BS1534" s="206"/>
      <c r="BT1534" s="206"/>
      <c r="BU1534" s="206"/>
      <c r="BV1534" s="206"/>
      <c r="BW1534" s="206"/>
      <c r="BX1534" s="206"/>
      <c r="BY1534" s="206"/>
      <c r="BZ1534" s="206"/>
      <c r="CA1534" s="206"/>
      <c r="CB1534" s="206"/>
      <c r="CC1534" s="206"/>
      <c r="CD1534" s="206"/>
      <c r="CE1534" s="206"/>
      <c r="CF1534" s="206"/>
      <c r="CG1534" s="206"/>
      <c r="CH1534" s="206"/>
      <c r="CI1534" s="206"/>
      <c r="CJ1534" s="206"/>
      <c r="CK1534" s="206"/>
      <c r="CL1534" s="206"/>
      <c r="CM1534" s="206"/>
      <c r="CN1534" s="206"/>
      <c r="CO1534" s="206"/>
      <c r="CP1534" s="206"/>
      <c r="CQ1534" s="206"/>
      <c r="CR1534" s="206"/>
      <c r="CS1534" s="206"/>
      <c r="CT1534" s="206"/>
      <c r="CU1534" s="206"/>
      <c r="CV1534" s="206"/>
      <c r="CW1534" s="206"/>
      <c r="CX1534" s="206"/>
      <c r="CY1534" s="206"/>
      <c r="CZ1534" s="206"/>
      <c r="DA1534" s="206"/>
      <c r="DB1534" s="206"/>
      <c r="DC1534" s="206"/>
      <c r="DD1534" s="206"/>
      <c r="DE1534" s="206"/>
      <c r="DF1534" s="206"/>
      <c r="DG1534" s="206"/>
      <c r="DH1534" s="206"/>
      <c r="DI1534" s="206"/>
      <c r="DJ1534" s="206"/>
      <c r="DK1534" s="206"/>
      <c r="DL1534" s="206"/>
      <c r="DM1534" s="206"/>
      <c r="DN1534" s="206"/>
      <c r="DO1534" s="206"/>
      <c r="DP1534" s="206"/>
      <c r="DQ1534" s="206"/>
      <c r="DR1534" s="206"/>
      <c r="DS1534" s="206"/>
      <c r="DT1534" s="206"/>
      <c r="DU1534" s="206"/>
      <c r="DV1534" s="206"/>
      <c r="DW1534" s="206"/>
      <c r="DX1534" s="206"/>
      <c r="DY1534" s="206"/>
      <c r="DZ1534" s="206"/>
      <c r="EA1534" s="206"/>
      <c r="EB1534" s="206"/>
      <c r="EC1534" s="206"/>
      <c r="ED1534" s="206"/>
      <c r="EE1534" s="206"/>
      <c r="EF1534" s="206"/>
      <c r="EG1534" s="206"/>
      <c r="EH1534" s="206"/>
      <c r="EI1534" s="206"/>
      <c r="EJ1534" s="206"/>
      <c r="EK1534" s="206"/>
      <c r="EL1534" s="206"/>
      <c r="EM1534" s="206"/>
      <c r="EN1534" s="206"/>
      <c r="EO1534" s="206"/>
      <c r="EP1534" s="206"/>
      <c r="EQ1534" s="206"/>
      <c r="ER1534" s="206"/>
      <c r="ES1534" s="206"/>
      <c r="ET1534" s="206"/>
      <c r="EU1534" s="206"/>
      <c r="EV1534" s="206"/>
      <c r="EW1534" s="206"/>
      <c r="EX1534" s="206"/>
      <c r="EY1534" s="206"/>
      <c r="EZ1534" s="206"/>
      <c r="FA1534" s="206"/>
      <c r="FB1534" s="206"/>
      <c r="FC1534" s="206"/>
      <c r="FD1534" s="206"/>
      <c r="FE1534" s="206"/>
      <c r="FF1534" s="206"/>
      <c r="FG1534" s="206"/>
      <c r="FH1534" s="206"/>
      <c r="FI1534" s="206"/>
      <c r="FJ1534" s="206"/>
      <c r="FK1534" s="206"/>
      <c r="FL1534" s="206"/>
      <c r="FM1534" s="206"/>
      <c r="FN1534" s="206"/>
      <c r="FO1534" s="206"/>
      <c r="FP1534" s="206"/>
      <c r="FQ1534" s="206"/>
      <c r="FR1534" s="206"/>
      <c r="FS1534" s="206"/>
      <c r="FT1534" s="206"/>
      <c r="FU1534" s="206"/>
      <c r="FV1534" s="206"/>
      <c r="FW1534" s="206"/>
      <c r="FX1534" s="206"/>
      <c r="FY1534" s="206"/>
      <c r="FZ1534" s="206"/>
      <c r="GA1534" s="206"/>
      <c r="GB1534" s="206"/>
      <c r="GC1534" s="206"/>
      <c r="GD1534" s="206"/>
      <c r="GE1534" s="206"/>
      <c r="GF1534" s="206"/>
      <c r="GG1534" s="206"/>
      <c r="GH1534" s="206"/>
      <c r="GI1534" s="206"/>
      <c r="GJ1534" s="206"/>
      <c r="GK1534" s="206"/>
      <c r="GL1534" s="206"/>
      <c r="GM1534" s="206"/>
      <c r="GN1534" s="206"/>
      <c r="GO1534" s="206"/>
      <c r="GP1534" s="206"/>
      <c r="GQ1534" s="206"/>
      <c r="GR1534" s="206"/>
      <c r="GS1534" s="206"/>
      <c r="GT1534" s="206"/>
      <c r="GU1534" s="206"/>
      <c r="GV1534" s="206"/>
      <c r="GW1534" s="206"/>
      <c r="GX1534" s="206"/>
      <c r="GY1534" s="206"/>
      <c r="GZ1534" s="206"/>
      <c r="HA1534" s="206"/>
      <c r="HB1534" s="206"/>
      <c r="HC1534" s="206"/>
      <c r="HD1534" s="206"/>
      <c r="HE1534" s="206"/>
      <c r="HF1534" s="206"/>
      <c r="HG1534" s="206"/>
      <c r="HH1534" s="206"/>
      <c r="HI1534" s="206"/>
      <c r="HJ1534" s="206"/>
      <c r="HK1534" s="206"/>
      <c r="HL1534" s="206"/>
      <c r="HM1534" s="206"/>
      <c r="HN1534" s="206"/>
      <c r="HO1534" s="206"/>
      <c r="HP1534" s="206"/>
      <c r="HQ1534" s="206"/>
      <c r="HR1534" s="206"/>
      <c r="HS1534" s="206"/>
      <c r="HT1534" s="206"/>
      <c r="HU1534" s="206"/>
      <c r="HV1534" s="206"/>
      <c r="HW1534" s="206"/>
      <c r="HX1534" s="206"/>
      <c r="HY1534" s="206"/>
      <c r="HZ1534" s="206"/>
      <c r="IA1534" s="206"/>
      <c r="IB1534" s="206"/>
      <c r="IC1534" s="206"/>
      <c r="ID1534" s="206"/>
      <c r="IE1534" s="206"/>
      <c r="IF1534" s="206"/>
      <c r="IG1534" s="206"/>
      <c r="IH1534" s="206"/>
      <c r="II1534" s="206"/>
      <c r="IJ1534" s="206"/>
      <c r="IK1534" s="206"/>
      <c r="IL1534" s="206"/>
      <c r="IM1534" s="206"/>
      <c r="IN1534" s="206"/>
      <c r="IO1534" s="206"/>
      <c r="IP1534" s="206"/>
      <c r="IQ1534" s="206"/>
      <c r="IR1534" s="206"/>
      <c r="IS1534" s="206"/>
      <c r="IT1534" s="206"/>
      <c r="IU1534" s="206"/>
      <c r="IV1534" s="206"/>
      <c r="IW1534" s="206"/>
      <c r="IX1534" s="206"/>
      <c r="IY1534" s="206"/>
      <c r="IZ1534" s="206"/>
      <c r="JA1534" s="206"/>
      <c r="JB1534" s="206"/>
      <c r="JC1534" s="206"/>
      <c r="JD1534" s="206"/>
      <c r="JE1534" s="206"/>
      <c r="JF1534" s="206"/>
      <c r="JG1534" s="206"/>
      <c r="JH1534" s="206"/>
      <c r="JI1534" s="206"/>
      <c r="JJ1534" s="206"/>
      <c r="JK1534" s="206"/>
      <c r="JL1534" s="206"/>
      <c r="JM1534" s="206"/>
      <c r="JN1534" s="206"/>
      <c r="JO1534" s="206"/>
      <c r="JP1534" s="206"/>
      <c r="JQ1534" s="206"/>
      <c r="JR1534" s="206"/>
      <c r="JS1534" s="206"/>
      <c r="JT1534" s="206"/>
      <c r="JU1534" s="206"/>
      <c r="JV1534" s="206"/>
      <c r="JW1534" s="206"/>
      <c r="JX1534" s="206"/>
      <c r="JY1534" s="206"/>
      <c r="JZ1534" s="206"/>
      <c r="KA1534" s="206"/>
      <c r="KB1534" s="206"/>
      <c r="KC1534" s="206"/>
      <c r="KD1534" s="206"/>
      <c r="KE1534" s="206"/>
      <c r="KF1534" s="206"/>
      <c r="KG1534" s="206"/>
      <c r="KH1534" s="206"/>
      <c r="KI1534" s="206"/>
      <c r="KJ1534" s="206"/>
      <c r="KK1534" s="206"/>
      <c r="KL1534" s="206"/>
      <c r="KM1534" s="206"/>
      <c r="KN1534" s="206"/>
      <c r="KO1534" s="206"/>
      <c r="KP1534" s="206"/>
      <c r="KQ1534" s="206"/>
      <c r="KR1534" s="206"/>
      <c r="KS1534" s="206"/>
      <c r="KT1534" s="206"/>
      <c r="KU1534" s="206"/>
      <c r="KV1534" s="206"/>
      <c r="KW1534" s="206"/>
      <c r="KX1534" s="206"/>
      <c r="KY1534" s="206"/>
      <c r="KZ1534" s="206"/>
      <c r="LA1534" s="206"/>
      <c r="LB1534" s="206"/>
      <c r="LC1534" s="206"/>
      <c r="LD1534" s="206"/>
      <c r="LE1534" s="206"/>
      <c r="LF1534" s="206"/>
      <c r="LG1534" s="206"/>
      <c r="LH1534" s="206"/>
      <c r="LI1534" s="206"/>
      <c r="LJ1534" s="206"/>
      <c r="LK1534" s="206"/>
      <c r="LL1534" s="206"/>
      <c r="LM1534" s="206"/>
      <c r="LN1534" s="206"/>
      <c r="LO1534" s="206"/>
      <c r="LP1534" s="206"/>
      <c r="LQ1534" s="206"/>
      <c r="LR1534" s="206"/>
      <c r="LS1534" s="206"/>
      <c r="LT1534" s="206"/>
      <c r="LU1534" s="206"/>
      <c r="LV1534" s="206"/>
      <c r="LW1534" s="206"/>
      <c r="LX1534" s="206"/>
      <c r="LY1534" s="206"/>
      <c r="LZ1534" s="206"/>
      <c r="MA1534" s="206"/>
      <c r="MB1534" s="206"/>
      <c r="MC1534" s="206"/>
      <c r="MD1534" s="206"/>
      <c r="ME1534" s="206"/>
      <c r="MF1534" s="206"/>
      <c r="MG1534" s="206"/>
      <c r="MH1534" s="206"/>
      <c r="MI1534" s="206"/>
      <c r="MJ1534" s="206"/>
      <c r="MK1534" s="206"/>
      <c r="ML1534" s="206"/>
      <c r="MM1534" s="206"/>
      <c r="MN1534" s="206"/>
      <c r="MO1534" s="206"/>
      <c r="MP1534" s="206"/>
      <c r="MQ1534" s="206"/>
      <c r="MR1534" s="206"/>
      <c r="MS1534" s="206"/>
      <c r="MT1534" s="206"/>
      <c r="MU1534" s="206"/>
      <c r="MV1534" s="206"/>
      <c r="MW1534" s="206"/>
      <c r="MX1534" s="206"/>
      <c r="MY1534" s="206"/>
      <c r="MZ1534" s="206"/>
      <c r="NA1534" s="206"/>
      <c r="NB1534" s="206"/>
      <c r="NC1534" s="206"/>
      <c r="ND1534" s="206"/>
      <c r="NE1534" s="206"/>
      <c r="NF1534" s="206"/>
      <c r="NG1534" s="206"/>
      <c r="NH1534" s="206"/>
      <c r="NI1534" s="206"/>
      <c r="NJ1534" s="206"/>
      <c r="NK1534" s="206"/>
      <c r="NL1534" s="206"/>
      <c r="NM1534" s="206"/>
      <c r="NN1534" s="206"/>
      <c r="NO1534" s="206"/>
      <c r="NP1534" s="206"/>
      <c r="NQ1534" s="206"/>
      <c r="NR1534" s="206"/>
      <c r="NS1534" s="206"/>
      <c r="NT1534" s="206"/>
      <c r="NU1534" s="206"/>
      <c r="NV1534" s="206"/>
      <c r="NW1534" s="206"/>
      <c r="NX1534" s="206"/>
      <c r="NY1534" s="206"/>
      <c r="NZ1534" s="206"/>
      <c r="OA1534" s="206"/>
      <c r="OB1534" s="206"/>
      <c r="OC1534" s="206"/>
      <c r="OD1534" s="206"/>
      <c r="OE1534" s="206"/>
      <c r="OF1534" s="206"/>
      <c r="OG1534" s="206"/>
      <c r="OH1534" s="206"/>
      <c r="OI1534" s="206"/>
      <c r="OJ1534" s="206"/>
      <c r="OK1534" s="206"/>
      <c r="OL1534" s="206"/>
      <c r="OM1534" s="206"/>
      <c r="ON1534" s="206"/>
      <c r="OO1534" s="206"/>
      <c r="OP1534" s="206"/>
      <c r="OQ1534" s="206"/>
      <c r="OR1534" s="206"/>
      <c r="OS1534" s="206"/>
      <c r="OT1534" s="206"/>
      <c r="OU1534" s="206"/>
      <c r="OV1534" s="206"/>
      <c r="OW1534" s="206"/>
      <c r="OX1534" s="206"/>
      <c r="OY1534" s="206"/>
      <c r="OZ1534" s="206"/>
      <c r="PA1534" s="206"/>
      <c r="PB1534" s="206"/>
      <c r="PC1534" s="206"/>
      <c r="PD1534" s="206"/>
      <c r="PE1534" s="206"/>
      <c r="PF1534" s="206"/>
      <c r="PG1534" s="206"/>
      <c r="PH1534" s="206"/>
      <c r="PI1534" s="206"/>
      <c r="PJ1534" s="206"/>
      <c r="PK1534" s="206"/>
      <c r="PL1534" s="206"/>
      <c r="PM1534" s="206"/>
      <c r="PN1534" s="206"/>
      <c r="PO1534" s="206"/>
      <c r="PP1534" s="206"/>
      <c r="PQ1534" s="206"/>
      <c r="PR1534" s="206"/>
      <c r="PS1534" s="206"/>
      <c r="PT1534" s="206"/>
      <c r="PU1534" s="206"/>
      <c r="PV1534" s="206"/>
      <c r="PW1534" s="206"/>
      <c r="PX1534" s="206"/>
      <c r="PY1534" s="206"/>
      <c r="PZ1534" s="206"/>
      <c r="QA1534" s="206"/>
      <c r="QB1534" s="206"/>
      <c r="QC1534" s="206"/>
      <c r="QD1534" s="206"/>
      <c r="QE1534" s="206"/>
      <c r="QF1534" s="206"/>
      <c r="QG1534" s="206"/>
      <c r="QH1534" s="206"/>
      <c r="QI1534" s="206"/>
      <c r="QJ1534" s="206"/>
      <c r="QK1534" s="206"/>
      <c r="QL1534" s="206"/>
      <c r="QM1534" s="206"/>
      <c r="QN1534" s="206"/>
      <c r="QO1534" s="206"/>
      <c r="QP1534" s="206"/>
      <c r="QQ1534" s="206"/>
      <c r="QR1534" s="206"/>
      <c r="QS1534" s="206"/>
      <c r="QT1534" s="206"/>
      <c r="QU1534" s="206"/>
      <c r="QV1534" s="206"/>
      <c r="QW1534" s="206"/>
      <c r="QX1534" s="206"/>
      <c r="QY1534" s="206"/>
      <c r="QZ1534" s="206"/>
      <c r="RA1534" s="206"/>
      <c r="RB1534" s="206"/>
      <c r="RC1534" s="206"/>
      <c r="RD1534" s="206"/>
      <c r="RE1534" s="206"/>
      <c r="RF1534" s="206"/>
      <c r="RG1534" s="206"/>
      <c r="RH1534" s="206"/>
      <c r="RI1534" s="206"/>
      <c r="RJ1534" s="206"/>
      <c r="RK1534" s="206"/>
      <c r="RL1534" s="206"/>
      <c r="RM1534" s="206"/>
      <c r="RN1534" s="206"/>
      <c r="RO1534" s="206"/>
      <c r="RP1534" s="206"/>
      <c r="RQ1534" s="206"/>
      <c r="RR1534" s="206"/>
      <c r="RS1534" s="206"/>
      <c r="RT1534" s="206"/>
      <c r="RU1534" s="206"/>
      <c r="RV1534" s="206"/>
      <c r="RW1534" s="206"/>
      <c r="RX1534" s="206"/>
      <c r="RY1534" s="206"/>
      <c r="RZ1534" s="206"/>
      <c r="SA1534" s="206"/>
      <c r="SB1534" s="206"/>
      <c r="SC1534" s="206"/>
      <c r="SD1534" s="206"/>
      <c r="SE1534" s="206"/>
      <c r="SF1534" s="206"/>
      <c r="SG1534" s="206"/>
      <c r="SH1534" s="206"/>
      <c r="SI1534" s="206"/>
      <c r="SJ1534" s="206"/>
      <c r="SK1534" s="206"/>
      <c r="SL1534" s="206"/>
      <c r="SM1534" s="206"/>
      <c r="SN1534" s="206"/>
      <c r="SO1534" s="206"/>
      <c r="SP1534" s="206"/>
      <c r="SQ1534" s="206"/>
      <c r="SR1534" s="206"/>
      <c r="SS1534" s="206"/>
      <c r="ST1534" s="206"/>
      <c r="SU1534" s="206"/>
      <c r="SV1534" s="206"/>
      <c r="SW1534" s="206"/>
      <c r="SX1534" s="206"/>
      <c r="SY1534" s="206"/>
      <c r="SZ1534" s="206"/>
      <c r="TA1534" s="206"/>
      <c r="TB1534" s="206"/>
      <c r="TC1534" s="206"/>
      <c r="TD1534" s="206"/>
      <c r="TE1534" s="206"/>
      <c r="TF1534" s="206"/>
      <c r="TG1534" s="206"/>
      <c r="TH1534" s="206"/>
      <c r="TI1534" s="206"/>
      <c r="TJ1534" s="206"/>
      <c r="TK1534" s="206"/>
      <c r="TL1534" s="206"/>
      <c r="TM1534" s="206"/>
      <c r="TN1534" s="206"/>
      <c r="TO1534" s="206"/>
      <c r="TP1534" s="206"/>
      <c r="TQ1534" s="206"/>
      <c r="TR1534" s="206"/>
      <c r="TS1534" s="206"/>
      <c r="TT1534" s="206"/>
      <c r="TU1534" s="206"/>
      <c r="TV1534" s="206"/>
      <c r="TW1534" s="206"/>
      <c r="TX1534" s="206"/>
      <c r="TY1534" s="206"/>
      <c r="TZ1534" s="206"/>
      <c r="UA1534" s="206"/>
      <c r="UB1534" s="206"/>
      <c r="UC1534" s="206"/>
      <c r="UD1534" s="206"/>
    </row>
    <row r="1535" spans="1:550" s="874" customFormat="1" ht="308.25" customHeight="1">
      <c r="A1535" s="924"/>
      <c r="B1535" s="940"/>
      <c r="C1535" s="942" t="s">
        <v>69</v>
      </c>
      <c r="D1535" s="940" t="s">
        <v>70</v>
      </c>
      <c r="E1535" s="940" t="s">
        <v>1356</v>
      </c>
      <c r="F1535" s="940">
        <v>1</v>
      </c>
      <c r="G1535" s="943" t="s">
        <v>1357</v>
      </c>
      <c r="H1535" s="944">
        <v>206.6</v>
      </c>
      <c r="I1535" s="945">
        <v>206.6</v>
      </c>
      <c r="J1535" s="959">
        <v>55000</v>
      </c>
      <c r="K1535" s="946">
        <v>1</v>
      </c>
      <c r="L1535" s="947">
        <f t="shared" si="231"/>
        <v>11363000</v>
      </c>
      <c r="M1535" s="948"/>
      <c r="N1535" s="948"/>
      <c r="O1535" s="949"/>
      <c r="P1535" s="949"/>
      <c r="Q1535" s="1319" t="s">
        <v>1358</v>
      </c>
      <c r="R1535" s="1447"/>
      <c r="S1535" s="486"/>
      <c r="T1535" s="486"/>
      <c r="U1535" s="486"/>
      <c r="V1535" s="486"/>
      <c r="W1535" s="486"/>
      <c r="X1535" s="1121">
        <f>I1535</f>
        <v>206.6</v>
      </c>
      <c r="Y1535" s="486"/>
      <c r="Z1535" s="486"/>
      <c r="AA1535" s="486"/>
      <c r="AB1535" s="486"/>
      <c r="AC1535" s="486"/>
      <c r="AD1535" s="486"/>
      <c r="AE1535" s="486"/>
      <c r="AF1535" s="486"/>
      <c r="AG1535" s="486"/>
      <c r="AH1535" s="486"/>
      <c r="AI1535" s="486"/>
      <c r="AJ1535" s="486"/>
      <c r="AK1535" s="486"/>
      <c r="AL1535" s="206"/>
      <c r="AM1535" s="206"/>
      <c r="AN1535" s="206"/>
      <c r="AO1535" s="206"/>
      <c r="AP1535" s="206"/>
      <c r="AQ1535" s="206"/>
      <c r="AR1535" s="206"/>
      <c r="AS1535" s="206"/>
      <c r="AT1535" s="206"/>
      <c r="AU1535" s="206"/>
      <c r="AV1535" s="206"/>
      <c r="AW1535" s="206"/>
      <c r="AX1535" s="206"/>
      <c r="AY1535" s="206"/>
      <c r="AZ1535" s="206"/>
      <c r="BA1535" s="206"/>
      <c r="BB1535" s="206"/>
      <c r="BC1535" s="206"/>
      <c r="BD1535" s="206"/>
      <c r="BE1535" s="206"/>
      <c r="BF1535" s="206"/>
      <c r="BG1535" s="206"/>
      <c r="BH1535" s="206"/>
      <c r="BI1535" s="206"/>
      <c r="BJ1535" s="206"/>
      <c r="BK1535" s="206"/>
      <c r="BL1535" s="206"/>
      <c r="BM1535" s="206"/>
      <c r="BN1535" s="206"/>
      <c r="BO1535" s="206"/>
      <c r="BP1535" s="206"/>
      <c r="BQ1535" s="206"/>
      <c r="BR1535" s="206"/>
      <c r="BS1535" s="206"/>
      <c r="BT1535" s="206"/>
      <c r="BU1535" s="206"/>
      <c r="BV1535" s="206"/>
      <c r="BW1535" s="206"/>
      <c r="BX1535" s="206"/>
      <c r="BY1535" s="206"/>
      <c r="BZ1535" s="206"/>
      <c r="CA1535" s="206"/>
      <c r="CB1535" s="206"/>
      <c r="CC1535" s="206"/>
      <c r="CD1535" s="206"/>
      <c r="CE1535" s="206"/>
      <c r="CF1535" s="206"/>
      <c r="CG1535" s="206"/>
      <c r="CH1535" s="206"/>
      <c r="CI1535" s="206"/>
      <c r="CJ1535" s="206"/>
      <c r="CK1535" s="206"/>
      <c r="CL1535" s="206"/>
      <c r="CM1535" s="206"/>
      <c r="CN1535" s="206"/>
      <c r="CO1535" s="206"/>
      <c r="CP1535" s="206"/>
      <c r="CQ1535" s="206"/>
      <c r="CR1535" s="206"/>
      <c r="CS1535" s="206"/>
      <c r="CT1535" s="206"/>
      <c r="CU1535" s="206"/>
      <c r="CV1535" s="206"/>
      <c r="CW1535" s="206"/>
      <c r="CX1535" s="206"/>
      <c r="CY1535" s="206"/>
      <c r="CZ1535" s="206"/>
      <c r="DA1535" s="206"/>
      <c r="DB1535" s="206"/>
      <c r="DC1535" s="206"/>
      <c r="DD1535" s="206"/>
      <c r="DE1535" s="206"/>
      <c r="DF1535" s="206"/>
      <c r="DG1535" s="206"/>
      <c r="DH1535" s="206"/>
      <c r="DI1535" s="206"/>
      <c r="DJ1535" s="206"/>
      <c r="DK1535" s="206"/>
      <c r="DL1535" s="206"/>
      <c r="DM1535" s="206"/>
      <c r="DN1535" s="206"/>
      <c r="DO1535" s="206"/>
      <c r="DP1535" s="206"/>
      <c r="DQ1535" s="206"/>
      <c r="DR1535" s="206"/>
      <c r="DS1535" s="206"/>
      <c r="DT1535" s="206"/>
      <c r="DU1535" s="206"/>
      <c r="DV1535" s="206"/>
      <c r="DW1535" s="206"/>
      <c r="DX1535" s="206"/>
      <c r="DY1535" s="206"/>
      <c r="DZ1535" s="206"/>
      <c r="EA1535" s="206"/>
      <c r="EB1535" s="206"/>
      <c r="EC1535" s="206"/>
      <c r="ED1535" s="206"/>
      <c r="EE1535" s="206"/>
      <c r="EF1535" s="206"/>
      <c r="EG1535" s="206"/>
      <c r="EH1535" s="206"/>
      <c r="EI1535" s="206"/>
      <c r="EJ1535" s="206"/>
      <c r="EK1535" s="206"/>
      <c r="EL1535" s="206"/>
      <c r="EM1535" s="206"/>
      <c r="EN1535" s="206"/>
      <c r="EO1535" s="206"/>
      <c r="EP1535" s="206"/>
      <c r="EQ1535" s="206"/>
      <c r="ER1535" s="206"/>
      <c r="ES1535" s="206"/>
      <c r="ET1535" s="206"/>
      <c r="EU1535" s="206"/>
      <c r="EV1535" s="206"/>
      <c r="EW1535" s="206"/>
      <c r="EX1535" s="206"/>
      <c r="EY1535" s="206"/>
      <c r="EZ1535" s="206"/>
      <c r="FA1535" s="206"/>
      <c r="FB1535" s="206"/>
      <c r="FC1535" s="206"/>
      <c r="FD1535" s="206"/>
      <c r="FE1535" s="206"/>
      <c r="FF1535" s="206"/>
      <c r="FG1535" s="206"/>
      <c r="FH1535" s="206"/>
      <c r="FI1535" s="206"/>
      <c r="FJ1535" s="206"/>
      <c r="FK1535" s="206"/>
      <c r="FL1535" s="206"/>
      <c r="FM1535" s="206"/>
      <c r="FN1535" s="206"/>
      <c r="FO1535" s="206"/>
      <c r="FP1535" s="206"/>
      <c r="FQ1535" s="206"/>
      <c r="FR1535" s="206"/>
      <c r="FS1535" s="206"/>
      <c r="FT1535" s="206"/>
      <c r="FU1535" s="206"/>
      <c r="FV1535" s="206"/>
      <c r="FW1535" s="206"/>
      <c r="FX1535" s="206"/>
      <c r="FY1535" s="206"/>
      <c r="FZ1535" s="206"/>
      <c r="GA1535" s="206"/>
      <c r="GB1535" s="206"/>
      <c r="GC1535" s="206"/>
      <c r="GD1535" s="206"/>
      <c r="GE1535" s="206"/>
      <c r="GF1535" s="206"/>
      <c r="GG1535" s="206"/>
      <c r="GH1535" s="206"/>
      <c r="GI1535" s="206"/>
      <c r="GJ1535" s="206"/>
      <c r="GK1535" s="206"/>
      <c r="GL1535" s="206"/>
      <c r="GM1535" s="206"/>
      <c r="GN1535" s="206"/>
      <c r="GO1535" s="206"/>
      <c r="GP1535" s="206"/>
      <c r="GQ1535" s="206"/>
      <c r="GR1535" s="206"/>
      <c r="GS1535" s="206"/>
      <c r="GT1535" s="206"/>
      <c r="GU1535" s="206"/>
      <c r="GV1535" s="206"/>
      <c r="GW1535" s="206"/>
      <c r="GX1535" s="206"/>
      <c r="GY1535" s="206"/>
      <c r="GZ1535" s="206"/>
      <c r="HA1535" s="206"/>
      <c r="HB1535" s="206"/>
      <c r="HC1535" s="206"/>
      <c r="HD1535" s="206"/>
      <c r="HE1535" s="206"/>
      <c r="HF1535" s="206"/>
      <c r="HG1535" s="206"/>
      <c r="HH1535" s="206"/>
      <c r="HI1535" s="206"/>
      <c r="HJ1535" s="206"/>
      <c r="HK1535" s="206"/>
      <c r="HL1535" s="206"/>
      <c r="HM1535" s="206"/>
      <c r="HN1535" s="206"/>
      <c r="HO1535" s="206"/>
      <c r="HP1535" s="206"/>
      <c r="HQ1535" s="206"/>
      <c r="HR1535" s="206"/>
      <c r="HS1535" s="206"/>
      <c r="HT1535" s="206"/>
      <c r="HU1535" s="206"/>
      <c r="HV1535" s="206"/>
      <c r="HW1535" s="206"/>
      <c r="HX1535" s="206"/>
      <c r="HY1535" s="206"/>
      <c r="HZ1535" s="206"/>
      <c r="IA1535" s="206"/>
      <c r="IB1535" s="206"/>
      <c r="IC1535" s="206"/>
      <c r="ID1535" s="206"/>
      <c r="IE1535" s="206"/>
      <c r="IF1535" s="206"/>
      <c r="IG1535" s="206"/>
      <c r="IH1535" s="206"/>
      <c r="II1535" s="206"/>
      <c r="IJ1535" s="206"/>
      <c r="IK1535" s="206"/>
      <c r="IL1535" s="206"/>
      <c r="IM1535" s="206"/>
      <c r="IN1535" s="206"/>
      <c r="IO1535" s="206"/>
      <c r="IP1535" s="206"/>
      <c r="IQ1535" s="206"/>
      <c r="IR1535" s="206"/>
      <c r="IS1535" s="206"/>
      <c r="IT1535" s="206"/>
      <c r="IU1535" s="206"/>
      <c r="IV1535" s="206"/>
      <c r="IW1535" s="206"/>
      <c r="IX1535" s="206"/>
      <c r="IY1535" s="206"/>
      <c r="IZ1535" s="206"/>
      <c r="JA1535" s="206"/>
      <c r="JB1535" s="206"/>
      <c r="JC1535" s="206"/>
      <c r="JD1535" s="206"/>
      <c r="JE1535" s="206"/>
      <c r="JF1535" s="206"/>
      <c r="JG1535" s="206"/>
      <c r="JH1535" s="206"/>
      <c r="JI1535" s="206"/>
      <c r="JJ1535" s="206"/>
      <c r="JK1535" s="206"/>
      <c r="JL1535" s="206"/>
      <c r="JM1535" s="206"/>
      <c r="JN1535" s="206"/>
      <c r="JO1535" s="206"/>
      <c r="JP1535" s="206"/>
      <c r="JQ1535" s="206"/>
      <c r="JR1535" s="206"/>
      <c r="JS1535" s="206"/>
      <c r="JT1535" s="206"/>
      <c r="JU1535" s="206"/>
      <c r="JV1535" s="206"/>
      <c r="JW1535" s="206"/>
      <c r="JX1535" s="206"/>
      <c r="JY1535" s="206"/>
      <c r="JZ1535" s="206"/>
      <c r="KA1535" s="206"/>
      <c r="KB1535" s="206"/>
      <c r="KC1535" s="206"/>
      <c r="KD1535" s="206"/>
      <c r="KE1535" s="206"/>
      <c r="KF1535" s="206"/>
      <c r="KG1535" s="206"/>
      <c r="KH1535" s="206"/>
      <c r="KI1535" s="206"/>
      <c r="KJ1535" s="206"/>
      <c r="KK1535" s="206"/>
      <c r="KL1535" s="206"/>
      <c r="KM1535" s="206"/>
      <c r="KN1535" s="206"/>
      <c r="KO1535" s="206"/>
      <c r="KP1535" s="206"/>
      <c r="KQ1535" s="206"/>
      <c r="KR1535" s="206"/>
      <c r="KS1535" s="206"/>
      <c r="KT1535" s="206"/>
      <c r="KU1535" s="206"/>
      <c r="KV1535" s="206"/>
      <c r="KW1535" s="206"/>
      <c r="KX1535" s="206"/>
      <c r="KY1535" s="206"/>
      <c r="KZ1535" s="206"/>
      <c r="LA1535" s="206"/>
      <c r="LB1535" s="206"/>
      <c r="LC1535" s="206"/>
      <c r="LD1535" s="206"/>
      <c r="LE1535" s="206"/>
      <c r="LF1535" s="206"/>
      <c r="LG1535" s="206"/>
      <c r="LH1535" s="206"/>
      <c r="LI1535" s="206"/>
      <c r="LJ1535" s="206"/>
      <c r="LK1535" s="206"/>
      <c r="LL1535" s="206"/>
      <c r="LM1535" s="206"/>
      <c r="LN1535" s="206"/>
      <c r="LO1535" s="206"/>
      <c r="LP1535" s="206"/>
      <c r="LQ1535" s="206"/>
      <c r="LR1535" s="206"/>
      <c r="LS1535" s="206"/>
      <c r="LT1535" s="206"/>
      <c r="LU1535" s="206"/>
      <c r="LV1535" s="206"/>
      <c r="LW1535" s="206"/>
      <c r="LX1535" s="206"/>
      <c r="LY1535" s="206"/>
      <c r="LZ1535" s="206"/>
      <c r="MA1535" s="206"/>
      <c r="MB1535" s="206"/>
      <c r="MC1535" s="206"/>
      <c r="MD1535" s="206"/>
      <c r="ME1535" s="206"/>
      <c r="MF1535" s="206"/>
      <c r="MG1535" s="206"/>
      <c r="MH1535" s="206"/>
      <c r="MI1535" s="206"/>
      <c r="MJ1535" s="206"/>
      <c r="MK1535" s="206"/>
      <c r="ML1535" s="206"/>
      <c r="MM1535" s="206"/>
      <c r="MN1535" s="206"/>
      <c r="MO1535" s="206"/>
      <c r="MP1535" s="206"/>
      <c r="MQ1535" s="206"/>
      <c r="MR1535" s="206"/>
      <c r="MS1535" s="206"/>
      <c r="MT1535" s="206"/>
      <c r="MU1535" s="206"/>
      <c r="MV1535" s="206"/>
      <c r="MW1535" s="206"/>
      <c r="MX1535" s="206"/>
      <c r="MY1535" s="206"/>
      <c r="MZ1535" s="206"/>
      <c r="NA1535" s="206"/>
      <c r="NB1535" s="206"/>
      <c r="NC1535" s="206"/>
      <c r="ND1535" s="206"/>
      <c r="NE1535" s="206"/>
      <c r="NF1535" s="206"/>
      <c r="NG1535" s="206"/>
      <c r="NH1535" s="206"/>
      <c r="NI1535" s="206"/>
      <c r="NJ1535" s="206"/>
      <c r="NK1535" s="206"/>
      <c r="NL1535" s="206"/>
      <c r="NM1535" s="206"/>
      <c r="NN1535" s="206"/>
      <c r="NO1535" s="206"/>
      <c r="NP1535" s="206"/>
      <c r="NQ1535" s="206"/>
      <c r="NR1535" s="206"/>
      <c r="NS1535" s="206"/>
      <c r="NT1535" s="206"/>
      <c r="NU1535" s="206"/>
      <c r="NV1535" s="206"/>
      <c r="NW1535" s="206"/>
      <c r="NX1535" s="206"/>
      <c r="NY1535" s="206"/>
      <c r="NZ1535" s="206"/>
      <c r="OA1535" s="206"/>
      <c r="OB1535" s="206"/>
      <c r="OC1535" s="206"/>
      <c r="OD1535" s="206"/>
      <c r="OE1535" s="206"/>
      <c r="OF1535" s="206"/>
      <c r="OG1535" s="206"/>
      <c r="OH1535" s="206"/>
      <c r="OI1535" s="206"/>
      <c r="OJ1535" s="206"/>
      <c r="OK1535" s="206"/>
      <c r="OL1535" s="206"/>
      <c r="OM1535" s="206"/>
      <c r="ON1535" s="206"/>
      <c r="OO1535" s="206"/>
      <c r="OP1535" s="206"/>
      <c r="OQ1535" s="206"/>
      <c r="OR1535" s="206"/>
      <c r="OS1535" s="206"/>
      <c r="OT1535" s="206"/>
      <c r="OU1535" s="206"/>
      <c r="OV1535" s="206"/>
      <c r="OW1535" s="206"/>
      <c r="OX1535" s="206"/>
      <c r="OY1535" s="206"/>
      <c r="OZ1535" s="206"/>
      <c r="PA1535" s="206"/>
      <c r="PB1535" s="206"/>
      <c r="PC1535" s="206"/>
      <c r="PD1535" s="206"/>
      <c r="PE1535" s="206"/>
      <c r="PF1535" s="206"/>
      <c r="PG1535" s="206"/>
      <c r="PH1535" s="206"/>
      <c r="PI1535" s="206"/>
      <c r="PJ1535" s="206"/>
      <c r="PK1535" s="206"/>
      <c r="PL1535" s="206"/>
      <c r="PM1535" s="206"/>
      <c r="PN1535" s="206"/>
      <c r="PO1535" s="206"/>
      <c r="PP1535" s="206"/>
      <c r="PQ1535" s="206"/>
      <c r="PR1535" s="206"/>
      <c r="PS1535" s="206"/>
      <c r="PT1535" s="206"/>
      <c r="PU1535" s="206"/>
      <c r="PV1535" s="206"/>
      <c r="PW1535" s="206"/>
      <c r="PX1535" s="206"/>
      <c r="PY1535" s="206"/>
      <c r="PZ1535" s="206"/>
      <c r="QA1535" s="206"/>
      <c r="QB1535" s="206"/>
      <c r="QC1535" s="206"/>
      <c r="QD1535" s="206"/>
      <c r="QE1535" s="206"/>
      <c r="QF1535" s="206"/>
      <c r="QG1535" s="206"/>
      <c r="QH1535" s="206"/>
      <c r="QI1535" s="206"/>
      <c r="QJ1535" s="206"/>
      <c r="QK1535" s="206"/>
      <c r="QL1535" s="206"/>
      <c r="QM1535" s="206"/>
      <c r="QN1535" s="206"/>
      <c r="QO1535" s="206"/>
      <c r="QP1535" s="206"/>
      <c r="QQ1535" s="206"/>
      <c r="QR1535" s="206"/>
      <c r="QS1535" s="206"/>
      <c r="QT1535" s="206"/>
      <c r="QU1535" s="206"/>
      <c r="QV1535" s="206"/>
      <c r="QW1535" s="206"/>
      <c r="QX1535" s="206"/>
      <c r="QY1535" s="206"/>
      <c r="QZ1535" s="206"/>
      <c r="RA1535" s="206"/>
      <c r="RB1535" s="206"/>
      <c r="RC1535" s="206"/>
      <c r="RD1535" s="206"/>
      <c r="RE1535" s="206"/>
      <c r="RF1535" s="206"/>
      <c r="RG1535" s="206"/>
      <c r="RH1535" s="206"/>
      <c r="RI1535" s="206"/>
      <c r="RJ1535" s="206"/>
      <c r="RK1535" s="206"/>
      <c r="RL1535" s="206"/>
      <c r="RM1535" s="206"/>
      <c r="RN1535" s="206"/>
      <c r="RO1535" s="206"/>
      <c r="RP1535" s="206"/>
      <c r="RQ1535" s="206"/>
      <c r="RR1535" s="206"/>
      <c r="RS1535" s="206"/>
      <c r="RT1535" s="206"/>
      <c r="RU1535" s="206"/>
      <c r="RV1535" s="206"/>
      <c r="RW1535" s="206"/>
      <c r="RX1535" s="206"/>
      <c r="RY1535" s="206"/>
      <c r="RZ1535" s="206"/>
      <c r="SA1535" s="206"/>
      <c r="SB1535" s="206"/>
      <c r="SC1535" s="206"/>
      <c r="SD1535" s="206"/>
      <c r="SE1535" s="206"/>
      <c r="SF1535" s="206"/>
      <c r="SG1535" s="206"/>
      <c r="SH1535" s="206"/>
      <c r="SI1535" s="206"/>
      <c r="SJ1535" s="206"/>
      <c r="SK1535" s="206"/>
      <c r="SL1535" s="206"/>
      <c r="SM1535" s="206"/>
      <c r="SN1535" s="206"/>
      <c r="SO1535" s="206"/>
      <c r="SP1535" s="206"/>
      <c r="SQ1535" s="206"/>
      <c r="SR1535" s="206"/>
      <c r="SS1535" s="206"/>
      <c r="ST1535" s="206"/>
      <c r="SU1535" s="206"/>
      <c r="SV1535" s="206"/>
      <c r="SW1535" s="206"/>
      <c r="SX1535" s="206"/>
      <c r="SY1535" s="206"/>
      <c r="SZ1535" s="206"/>
      <c r="TA1535" s="206"/>
      <c r="TB1535" s="206"/>
      <c r="TC1535" s="206"/>
      <c r="TD1535" s="206"/>
      <c r="TE1535" s="206"/>
      <c r="TF1535" s="206"/>
      <c r="TG1535" s="206"/>
      <c r="TH1535" s="206"/>
      <c r="TI1535" s="206"/>
      <c r="TJ1535" s="206"/>
      <c r="TK1535" s="206"/>
      <c r="TL1535" s="206"/>
      <c r="TM1535" s="206"/>
      <c r="TN1535" s="206"/>
      <c r="TO1535" s="206"/>
      <c r="TP1535" s="206"/>
      <c r="TQ1535" s="206"/>
      <c r="TR1535" s="206"/>
      <c r="TS1535" s="206"/>
      <c r="TT1535" s="206"/>
      <c r="TU1535" s="206"/>
      <c r="TV1535" s="206"/>
      <c r="TW1535" s="206"/>
      <c r="TX1535" s="206"/>
      <c r="TY1535" s="206"/>
      <c r="TZ1535" s="206"/>
      <c r="UA1535" s="206"/>
      <c r="UB1535" s="206"/>
      <c r="UC1535" s="206"/>
      <c r="UD1535" s="206"/>
    </row>
    <row r="1536" spans="1:550" s="874" customFormat="1" ht="313.5" customHeight="1">
      <c r="A1536" s="924"/>
      <c r="B1536" s="940"/>
      <c r="C1536" s="942" t="s">
        <v>213</v>
      </c>
      <c r="D1536" s="940" t="s">
        <v>20</v>
      </c>
      <c r="E1536" s="940" t="s">
        <v>1359</v>
      </c>
      <c r="F1536" s="940"/>
      <c r="G1536" s="943"/>
      <c r="H1536" s="950">
        <v>204.4</v>
      </c>
      <c r="I1536" s="951">
        <v>204.4</v>
      </c>
      <c r="J1536" s="1003">
        <v>62000</v>
      </c>
      <c r="K1536" s="952"/>
      <c r="L1536" s="947">
        <f>ROUND(PRODUCT(I1536:K1536),0)</f>
        <v>12672800</v>
      </c>
      <c r="M1536" s="948"/>
      <c r="N1536" s="948"/>
      <c r="O1536" s="949"/>
      <c r="P1536" s="949"/>
      <c r="Q1536" s="1319" t="s">
        <v>1360</v>
      </c>
      <c r="R1536" s="1447"/>
      <c r="S1536" s="486"/>
      <c r="T1536" s="486"/>
      <c r="U1536" s="486"/>
      <c r="V1536" s="486"/>
      <c r="W1536" s="486"/>
      <c r="X1536" s="486"/>
      <c r="Y1536" s="486"/>
      <c r="Z1536" s="486"/>
      <c r="AA1536" s="1117">
        <f>I1536</f>
        <v>204.4</v>
      </c>
      <c r="AB1536" s="486"/>
      <c r="AC1536" s="486"/>
      <c r="AD1536" s="486"/>
      <c r="AE1536" s="486"/>
      <c r="AF1536" s="486"/>
      <c r="AG1536" s="486"/>
      <c r="AH1536" s="486"/>
      <c r="AI1536" s="486"/>
      <c r="AJ1536" s="486"/>
      <c r="AK1536" s="486"/>
      <c r="AL1536" s="206"/>
      <c r="AM1536" s="206"/>
      <c r="AN1536" s="206"/>
      <c r="AO1536" s="206"/>
      <c r="AP1536" s="206"/>
      <c r="AQ1536" s="206"/>
      <c r="AR1536" s="206"/>
      <c r="AS1536" s="206"/>
      <c r="AT1536" s="206"/>
      <c r="AU1536" s="206"/>
      <c r="AV1536" s="206"/>
      <c r="AW1536" s="206"/>
      <c r="AX1536" s="206"/>
      <c r="AY1536" s="206"/>
      <c r="AZ1536" s="206"/>
      <c r="BA1536" s="206"/>
      <c r="BB1536" s="206"/>
      <c r="BC1536" s="206"/>
      <c r="BD1536" s="206"/>
      <c r="BE1536" s="206"/>
      <c r="BF1536" s="206"/>
      <c r="BG1536" s="206"/>
      <c r="BH1536" s="206"/>
      <c r="BI1536" s="206"/>
      <c r="BJ1536" s="206"/>
      <c r="BK1536" s="206"/>
      <c r="BL1536" s="206"/>
      <c r="BM1536" s="206"/>
      <c r="BN1536" s="206"/>
      <c r="BO1536" s="206"/>
      <c r="BP1536" s="206"/>
      <c r="BQ1536" s="206"/>
      <c r="BR1536" s="206"/>
      <c r="BS1536" s="206"/>
      <c r="BT1536" s="206"/>
      <c r="BU1536" s="206"/>
      <c r="BV1536" s="206"/>
      <c r="BW1536" s="206"/>
      <c r="BX1536" s="206"/>
      <c r="BY1536" s="206"/>
      <c r="BZ1536" s="206"/>
      <c r="CA1536" s="206"/>
      <c r="CB1536" s="206"/>
      <c r="CC1536" s="206"/>
      <c r="CD1536" s="206"/>
      <c r="CE1536" s="206"/>
      <c r="CF1536" s="206"/>
      <c r="CG1536" s="206"/>
      <c r="CH1536" s="206"/>
      <c r="CI1536" s="206"/>
      <c r="CJ1536" s="206"/>
      <c r="CK1536" s="206"/>
      <c r="CL1536" s="206"/>
      <c r="CM1536" s="206"/>
      <c r="CN1536" s="206"/>
      <c r="CO1536" s="206"/>
      <c r="CP1536" s="206"/>
      <c r="CQ1536" s="206"/>
      <c r="CR1536" s="206"/>
      <c r="CS1536" s="206"/>
      <c r="CT1536" s="206"/>
      <c r="CU1536" s="206"/>
      <c r="CV1536" s="206"/>
      <c r="CW1536" s="206"/>
      <c r="CX1536" s="206"/>
      <c r="CY1536" s="206"/>
      <c r="CZ1536" s="206"/>
      <c r="DA1536" s="206"/>
      <c r="DB1536" s="206"/>
      <c r="DC1536" s="206"/>
      <c r="DD1536" s="206"/>
      <c r="DE1536" s="206"/>
      <c r="DF1536" s="206"/>
      <c r="DG1536" s="206"/>
      <c r="DH1536" s="206"/>
      <c r="DI1536" s="206"/>
      <c r="DJ1536" s="206"/>
      <c r="DK1536" s="206"/>
      <c r="DL1536" s="206"/>
      <c r="DM1536" s="206"/>
      <c r="DN1536" s="206"/>
      <c r="DO1536" s="206"/>
      <c r="DP1536" s="206"/>
      <c r="DQ1536" s="206"/>
      <c r="DR1536" s="206"/>
      <c r="DS1536" s="206"/>
      <c r="DT1536" s="206"/>
      <c r="DU1536" s="206"/>
      <c r="DV1536" s="206"/>
      <c r="DW1536" s="206"/>
      <c r="DX1536" s="206"/>
      <c r="DY1536" s="206"/>
      <c r="DZ1536" s="206"/>
      <c r="EA1536" s="206"/>
      <c r="EB1536" s="206"/>
      <c r="EC1536" s="206"/>
      <c r="ED1536" s="206"/>
      <c r="EE1536" s="206"/>
      <c r="EF1536" s="206"/>
      <c r="EG1536" s="206"/>
      <c r="EH1536" s="206"/>
      <c r="EI1536" s="206"/>
      <c r="EJ1536" s="206"/>
      <c r="EK1536" s="206"/>
      <c r="EL1536" s="206"/>
      <c r="EM1536" s="206"/>
      <c r="EN1536" s="206"/>
      <c r="EO1536" s="206"/>
      <c r="EP1536" s="206"/>
      <c r="EQ1536" s="206"/>
      <c r="ER1536" s="206"/>
      <c r="ES1536" s="206"/>
      <c r="ET1536" s="206"/>
      <c r="EU1536" s="206"/>
      <c r="EV1536" s="206"/>
      <c r="EW1536" s="206"/>
      <c r="EX1536" s="206"/>
      <c r="EY1536" s="206"/>
      <c r="EZ1536" s="206"/>
      <c r="FA1536" s="206"/>
      <c r="FB1536" s="206"/>
      <c r="FC1536" s="206"/>
      <c r="FD1536" s="206"/>
      <c r="FE1536" s="206"/>
      <c r="FF1536" s="206"/>
      <c r="FG1536" s="206"/>
      <c r="FH1536" s="206"/>
      <c r="FI1536" s="206"/>
      <c r="FJ1536" s="206"/>
      <c r="FK1536" s="206"/>
      <c r="FL1536" s="206"/>
      <c r="FM1536" s="206"/>
      <c r="FN1536" s="206"/>
      <c r="FO1536" s="206"/>
      <c r="FP1536" s="206"/>
      <c r="FQ1536" s="206"/>
      <c r="FR1536" s="206"/>
      <c r="FS1536" s="206"/>
      <c r="FT1536" s="206"/>
      <c r="FU1536" s="206"/>
      <c r="FV1536" s="206"/>
      <c r="FW1536" s="206"/>
      <c r="FX1536" s="206"/>
      <c r="FY1536" s="206"/>
      <c r="FZ1536" s="206"/>
      <c r="GA1536" s="206"/>
      <c r="GB1536" s="206"/>
      <c r="GC1536" s="206"/>
      <c r="GD1536" s="206"/>
      <c r="GE1536" s="206"/>
      <c r="GF1536" s="206"/>
      <c r="GG1536" s="206"/>
      <c r="GH1536" s="206"/>
      <c r="GI1536" s="206"/>
      <c r="GJ1536" s="206"/>
      <c r="GK1536" s="206"/>
      <c r="GL1536" s="206"/>
      <c r="GM1536" s="206"/>
      <c r="GN1536" s="206"/>
      <c r="GO1536" s="206"/>
      <c r="GP1536" s="206"/>
      <c r="GQ1536" s="206"/>
      <c r="GR1536" s="206"/>
      <c r="GS1536" s="206"/>
      <c r="GT1536" s="206"/>
      <c r="GU1536" s="206"/>
      <c r="GV1536" s="206"/>
      <c r="GW1536" s="206"/>
      <c r="GX1536" s="206"/>
      <c r="GY1536" s="206"/>
      <c r="GZ1536" s="206"/>
      <c r="HA1536" s="206"/>
      <c r="HB1536" s="206"/>
      <c r="HC1536" s="206"/>
      <c r="HD1536" s="206"/>
      <c r="HE1536" s="206"/>
      <c r="HF1536" s="206"/>
      <c r="HG1536" s="206"/>
      <c r="HH1536" s="206"/>
      <c r="HI1536" s="206"/>
      <c r="HJ1536" s="206"/>
      <c r="HK1536" s="206"/>
      <c r="HL1536" s="206"/>
      <c r="HM1536" s="206"/>
      <c r="HN1536" s="206"/>
      <c r="HO1536" s="206"/>
      <c r="HP1536" s="206"/>
      <c r="HQ1536" s="206"/>
      <c r="HR1536" s="206"/>
      <c r="HS1536" s="206"/>
      <c r="HT1536" s="206"/>
      <c r="HU1536" s="206"/>
      <c r="HV1536" s="206"/>
      <c r="HW1536" s="206"/>
      <c r="HX1536" s="206"/>
      <c r="HY1536" s="206"/>
      <c r="HZ1536" s="206"/>
      <c r="IA1536" s="206"/>
      <c r="IB1536" s="206"/>
      <c r="IC1536" s="206"/>
      <c r="ID1536" s="206"/>
      <c r="IE1536" s="206"/>
      <c r="IF1536" s="206"/>
      <c r="IG1536" s="206"/>
      <c r="IH1536" s="206"/>
      <c r="II1536" s="206"/>
      <c r="IJ1536" s="206"/>
      <c r="IK1536" s="206"/>
      <c r="IL1536" s="206"/>
      <c r="IM1536" s="206"/>
      <c r="IN1536" s="206"/>
      <c r="IO1536" s="206"/>
      <c r="IP1536" s="206"/>
      <c r="IQ1536" s="206"/>
      <c r="IR1536" s="206"/>
      <c r="IS1536" s="206"/>
      <c r="IT1536" s="206"/>
      <c r="IU1536" s="206"/>
      <c r="IV1536" s="206"/>
      <c r="IW1536" s="206"/>
      <c r="IX1536" s="206"/>
      <c r="IY1536" s="206"/>
      <c r="IZ1536" s="206"/>
      <c r="JA1536" s="206"/>
      <c r="JB1536" s="206"/>
      <c r="JC1536" s="206"/>
      <c r="JD1536" s="206"/>
      <c r="JE1536" s="206"/>
      <c r="JF1536" s="206"/>
      <c r="JG1536" s="206"/>
      <c r="JH1536" s="206"/>
      <c r="JI1536" s="206"/>
      <c r="JJ1536" s="206"/>
      <c r="JK1536" s="206"/>
      <c r="JL1536" s="206"/>
      <c r="JM1536" s="206"/>
      <c r="JN1536" s="206"/>
      <c r="JO1536" s="206"/>
      <c r="JP1536" s="206"/>
      <c r="JQ1536" s="206"/>
      <c r="JR1536" s="206"/>
      <c r="JS1536" s="206"/>
      <c r="JT1536" s="206"/>
      <c r="JU1536" s="206"/>
      <c r="JV1536" s="206"/>
      <c r="JW1536" s="206"/>
      <c r="JX1536" s="206"/>
      <c r="JY1536" s="206"/>
      <c r="JZ1536" s="206"/>
      <c r="KA1536" s="206"/>
      <c r="KB1536" s="206"/>
      <c r="KC1536" s="206"/>
      <c r="KD1536" s="206"/>
      <c r="KE1536" s="206"/>
      <c r="KF1536" s="206"/>
      <c r="KG1536" s="206"/>
      <c r="KH1536" s="206"/>
      <c r="KI1536" s="206"/>
      <c r="KJ1536" s="206"/>
      <c r="KK1536" s="206"/>
      <c r="KL1536" s="206"/>
      <c r="KM1536" s="206"/>
      <c r="KN1536" s="206"/>
      <c r="KO1536" s="206"/>
      <c r="KP1536" s="206"/>
      <c r="KQ1536" s="206"/>
      <c r="KR1536" s="206"/>
      <c r="KS1536" s="206"/>
      <c r="KT1536" s="206"/>
      <c r="KU1536" s="206"/>
      <c r="KV1536" s="206"/>
      <c r="KW1536" s="206"/>
      <c r="KX1536" s="206"/>
      <c r="KY1536" s="206"/>
      <c r="KZ1536" s="206"/>
      <c r="LA1536" s="206"/>
      <c r="LB1536" s="206"/>
      <c r="LC1536" s="206"/>
      <c r="LD1536" s="206"/>
      <c r="LE1536" s="206"/>
      <c r="LF1536" s="206"/>
      <c r="LG1536" s="206"/>
      <c r="LH1536" s="206"/>
      <c r="LI1536" s="206"/>
      <c r="LJ1536" s="206"/>
      <c r="LK1536" s="206"/>
      <c r="LL1536" s="206"/>
      <c r="LM1536" s="206"/>
      <c r="LN1536" s="206"/>
      <c r="LO1536" s="206"/>
      <c r="LP1536" s="206"/>
      <c r="LQ1536" s="206"/>
      <c r="LR1536" s="206"/>
      <c r="LS1536" s="206"/>
      <c r="LT1536" s="206"/>
      <c r="LU1536" s="206"/>
      <c r="LV1536" s="206"/>
      <c r="LW1536" s="206"/>
      <c r="LX1536" s="206"/>
      <c r="LY1536" s="206"/>
      <c r="LZ1536" s="206"/>
      <c r="MA1536" s="206"/>
      <c r="MB1536" s="206"/>
      <c r="MC1536" s="206"/>
      <c r="MD1536" s="206"/>
      <c r="ME1536" s="206"/>
      <c r="MF1536" s="206"/>
      <c r="MG1536" s="206"/>
      <c r="MH1536" s="206"/>
      <c r="MI1536" s="206"/>
      <c r="MJ1536" s="206"/>
      <c r="MK1536" s="206"/>
      <c r="ML1536" s="206"/>
      <c r="MM1536" s="206"/>
      <c r="MN1536" s="206"/>
      <c r="MO1536" s="206"/>
      <c r="MP1536" s="206"/>
      <c r="MQ1536" s="206"/>
      <c r="MR1536" s="206"/>
      <c r="MS1536" s="206"/>
      <c r="MT1536" s="206"/>
      <c r="MU1536" s="206"/>
      <c r="MV1536" s="206"/>
      <c r="MW1536" s="206"/>
      <c r="MX1536" s="206"/>
      <c r="MY1536" s="206"/>
      <c r="MZ1536" s="206"/>
      <c r="NA1536" s="206"/>
      <c r="NB1536" s="206"/>
      <c r="NC1536" s="206"/>
      <c r="ND1536" s="206"/>
      <c r="NE1536" s="206"/>
      <c r="NF1536" s="206"/>
      <c r="NG1536" s="206"/>
      <c r="NH1536" s="206"/>
      <c r="NI1536" s="206"/>
      <c r="NJ1536" s="206"/>
      <c r="NK1536" s="206"/>
      <c r="NL1536" s="206"/>
      <c r="NM1536" s="206"/>
      <c r="NN1536" s="206"/>
      <c r="NO1536" s="206"/>
      <c r="NP1536" s="206"/>
      <c r="NQ1536" s="206"/>
      <c r="NR1536" s="206"/>
      <c r="NS1536" s="206"/>
      <c r="NT1536" s="206"/>
      <c r="NU1536" s="206"/>
      <c r="NV1536" s="206"/>
      <c r="NW1536" s="206"/>
      <c r="NX1536" s="206"/>
      <c r="NY1536" s="206"/>
      <c r="NZ1536" s="206"/>
      <c r="OA1536" s="206"/>
      <c r="OB1536" s="206"/>
      <c r="OC1536" s="206"/>
      <c r="OD1536" s="206"/>
      <c r="OE1536" s="206"/>
      <c r="OF1536" s="206"/>
      <c r="OG1536" s="206"/>
      <c r="OH1536" s="206"/>
      <c r="OI1536" s="206"/>
      <c r="OJ1536" s="206"/>
      <c r="OK1536" s="206"/>
      <c r="OL1536" s="206"/>
      <c r="OM1536" s="206"/>
      <c r="ON1536" s="206"/>
      <c r="OO1536" s="206"/>
      <c r="OP1536" s="206"/>
      <c r="OQ1536" s="206"/>
      <c r="OR1536" s="206"/>
      <c r="OS1536" s="206"/>
      <c r="OT1536" s="206"/>
      <c r="OU1536" s="206"/>
      <c r="OV1536" s="206"/>
      <c r="OW1536" s="206"/>
      <c r="OX1536" s="206"/>
      <c r="OY1536" s="206"/>
      <c r="OZ1536" s="206"/>
      <c r="PA1536" s="206"/>
      <c r="PB1536" s="206"/>
      <c r="PC1536" s="206"/>
      <c r="PD1536" s="206"/>
      <c r="PE1536" s="206"/>
      <c r="PF1536" s="206"/>
      <c r="PG1536" s="206"/>
      <c r="PH1536" s="206"/>
      <c r="PI1536" s="206"/>
      <c r="PJ1536" s="206"/>
      <c r="PK1536" s="206"/>
      <c r="PL1536" s="206"/>
      <c r="PM1536" s="206"/>
      <c r="PN1536" s="206"/>
      <c r="PO1536" s="206"/>
      <c r="PP1536" s="206"/>
      <c r="PQ1536" s="206"/>
      <c r="PR1536" s="206"/>
      <c r="PS1536" s="206"/>
      <c r="PT1536" s="206"/>
      <c r="PU1536" s="206"/>
      <c r="PV1536" s="206"/>
      <c r="PW1536" s="206"/>
      <c r="PX1536" s="206"/>
      <c r="PY1536" s="206"/>
      <c r="PZ1536" s="206"/>
      <c r="QA1536" s="206"/>
      <c r="QB1536" s="206"/>
      <c r="QC1536" s="206"/>
      <c r="QD1536" s="206"/>
      <c r="QE1536" s="206"/>
      <c r="QF1536" s="206"/>
      <c r="QG1536" s="206"/>
      <c r="QH1536" s="206"/>
      <c r="QI1536" s="206"/>
      <c r="QJ1536" s="206"/>
      <c r="QK1536" s="206"/>
      <c r="QL1536" s="206"/>
      <c r="QM1536" s="206"/>
      <c r="QN1536" s="206"/>
      <c r="QO1536" s="206"/>
      <c r="QP1536" s="206"/>
      <c r="QQ1536" s="206"/>
      <c r="QR1536" s="206"/>
      <c r="QS1536" s="206"/>
      <c r="QT1536" s="206"/>
      <c r="QU1536" s="206"/>
      <c r="QV1536" s="206"/>
      <c r="QW1536" s="206"/>
      <c r="QX1536" s="206"/>
      <c r="QY1536" s="206"/>
      <c r="QZ1536" s="206"/>
      <c r="RA1536" s="206"/>
      <c r="RB1536" s="206"/>
      <c r="RC1536" s="206"/>
      <c r="RD1536" s="206"/>
      <c r="RE1536" s="206"/>
      <c r="RF1536" s="206"/>
      <c r="RG1536" s="206"/>
      <c r="RH1536" s="206"/>
      <c r="RI1536" s="206"/>
      <c r="RJ1536" s="206"/>
      <c r="RK1536" s="206"/>
      <c r="RL1536" s="206"/>
      <c r="RM1536" s="206"/>
      <c r="RN1536" s="206"/>
      <c r="RO1536" s="206"/>
      <c r="RP1536" s="206"/>
      <c r="RQ1536" s="206"/>
      <c r="RR1536" s="206"/>
      <c r="RS1536" s="206"/>
      <c r="RT1536" s="206"/>
      <c r="RU1536" s="206"/>
      <c r="RV1536" s="206"/>
      <c r="RW1536" s="206"/>
      <c r="RX1536" s="206"/>
      <c r="RY1536" s="206"/>
      <c r="RZ1536" s="206"/>
      <c r="SA1536" s="206"/>
      <c r="SB1536" s="206"/>
      <c r="SC1536" s="206"/>
      <c r="SD1536" s="206"/>
      <c r="SE1536" s="206"/>
      <c r="SF1536" s="206"/>
      <c r="SG1536" s="206"/>
      <c r="SH1536" s="206"/>
      <c r="SI1536" s="206"/>
      <c r="SJ1536" s="206"/>
      <c r="SK1536" s="206"/>
      <c r="SL1536" s="206"/>
      <c r="SM1536" s="206"/>
      <c r="SN1536" s="206"/>
      <c r="SO1536" s="206"/>
      <c r="SP1536" s="206"/>
      <c r="SQ1536" s="206"/>
      <c r="SR1536" s="206"/>
      <c r="SS1536" s="206"/>
      <c r="ST1536" s="206"/>
      <c r="SU1536" s="206"/>
      <c r="SV1536" s="206"/>
      <c r="SW1536" s="206"/>
      <c r="SX1536" s="206"/>
      <c r="SY1536" s="206"/>
      <c r="SZ1536" s="206"/>
      <c r="TA1536" s="206"/>
      <c r="TB1536" s="206"/>
      <c r="TC1536" s="206"/>
      <c r="TD1536" s="206"/>
      <c r="TE1536" s="206"/>
      <c r="TF1536" s="206"/>
      <c r="TG1536" s="206"/>
      <c r="TH1536" s="206"/>
      <c r="TI1536" s="206"/>
      <c r="TJ1536" s="206"/>
      <c r="TK1536" s="206"/>
      <c r="TL1536" s="206"/>
      <c r="TM1536" s="206"/>
      <c r="TN1536" s="206"/>
      <c r="TO1536" s="206"/>
      <c r="TP1536" s="206"/>
      <c r="TQ1536" s="206"/>
      <c r="TR1536" s="206"/>
      <c r="TS1536" s="206"/>
      <c r="TT1536" s="206"/>
      <c r="TU1536" s="206"/>
      <c r="TV1536" s="206"/>
      <c r="TW1536" s="206"/>
      <c r="TX1536" s="206"/>
      <c r="TY1536" s="206"/>
      <c r="TZ1536" s="206"/>
      <c r="UA1536" s="206"/>
      <c r="UB1536" s="206"/>
      <c r="UC1536" s="206"/>
      <c r="UD1536" s="206"/>
    </row>
    <row r="1537" spans="1:550" s="874" customFormat="1" ht="69.75" customHeight="1">
      <c r="A1537" s="924" t="s">
        <v>27</v>
      </c>
      <c r="B1537" s="940"/>
      <c r="C1537" s="942" t="s">
        <v>1342</v>
      </c>
      <c r="D1537" s="940"/>
      <c r="E1537" s="940"/>
      <c r="F1537" s="940"/>
      <c r="G1537" s="943"/>
      <c r="H1537" s="950"/>
      <c r="I1537" s="951"/>
      <c r="J1537" s="1003"/>
      <c r="K1537" s="952"/>
      <c r="L1537" s="947"/>
      <c r="M1537" s="948"/>
      <c r="N1537" s="948"/>
      <c r="O1537" s="949"/>
      <c r="P1537" s="949"/>
      <c r="Q1537" s="1176"/>
      <c r="R1537" s="1226"/>
      <c r="S1537" s="486"/>
      <c r="T1537" s="486"/>
      <c r="U1537" s="486"/>
      <c r="V1537" s="486"/>
      <c r="W1537" s="486"/>
      <c r="X1537" s="486"/>
      <c r="Y1537" s="486"/>
      <c r="Z1537" s="486"/>
      <c r="AA1537" s="486"/>
      <c r="AB1537" s="486"/>
      <c r="AC1537" s="486"/>
      <c r="AD1537" s="486"/>
      <c r="AE1537" s="486"/>
      <c r="AF1537" s="486"/>
      <c r="AG1537" s="486"/>
      <c r="AH1537" s="486"/>
      <c r="AI1537" s="486"/>
      <c r="AJ1537" s="486"/>
      <c r="AK1537" s="486"/>
      <c r="AL1537" s="206"/>
      <c r="AM1537" s="206"/>
      <c r="AN1537" s="206"/>
      <c r="AO1537" s="206"/>
      <c r="AP1537" s="206"/>
      <c r="AQ1537" s="206"/>
      <c r="AR1537" s="206"/>
      <c r="AS1537" s="206"/>
      <c r="AT1537" s="206"/>
      <c r="AU1537" s="206"/>
      <c r="AV1537" s="206"/>
      <c r="AW1537" s="206"/>
      <c r="AX1537" s="206"/>
      <c r="AY1537" s="206"/>
      <c r="AZ1537" s="206"/>
      <c r="BA1537" s="206"/>
      <c r="BB1537" s="206"/>
      <c r="BC1537" s="206"/>
      <c r="BD1537" s="206"/>
      <c r="BE1537" s="206"/>
      <c r="BF1537" s="206"/>
      <c r="BG1537" s="206"/>
      <c r="BH1537" s="206"/>
      <c r="BI1537" s="206"/>
      <c r="BJ1537" s="206"/>
      <c r="BK1537" s="206"/>
      <c r="BL1537" s="206"/>
      <c r="BM1537" s="206"/>
      <c r="BN1537" s="206"/>
      <c r="BO1537" s="206"/>
      <c r="BP1537" s="206"/>
      <c r="BQ1537" s="206"/>
      <c r="BR1537" s="206"/>
      <c r="BS1537" s="206"/>
      <c r="BT1537" s="206"/>
      <c r="BU1537" s="206"/>
      <c r="BV1537" s="206"/>
      <c r="BW1537" s="206"/>
      <c r="BX1537" s="206"/>
      <c r="BY1537" s="206"/>
      <c r="BZ1537" s="206"/>
      <c r="CA1537" s="206"/>
      <c r="CB1537" s="206"/>
      <c r="CC1537" s="206"/>
      <c r="CD1537" s="206"/>
      <c r="CE1537" s="206"/>
      <c r="CF1537" s="206"/>
      <c r="CG1537" s="206"/>
      <c r="CH1537" s="206"/>
      <c r="CI1537" s="206"/>
      <c r="CJ1537" s="206"/>
      <c r="CK1537" s="206"/>
      <c r="CL1537" s="206"/>
      <c r="CM1537" s="206"/>
      <c r="CN1537" s="206"/>
      <c r="CO1537" s="206"/>
      <c r="CP1537" s="206"/>
      <c r="CQ1537" s="206"/>
      <c r="CR1537" s="206"/>
      <c r="CS1537" s="206"/>
      <c r="CT1537" s="206"/>
      <c r="CU1537" s="206"/>
      <c r="CV1537" s="206"/>
      <c r="CW1537" s="206"/>
      <c r="CX1537" s="206"/>
      <c r="CY1537" s="206"/>
      <c r="CZ1537" s="206"/>
      <c r="DA1537" s="206"/>
      <c r="DB1537" s="206"/>
      <c r="DC1537" s="206"/>
      <c r="DD1537" s="206"/>
      <c r="DE1537" s="206"/>
      <c r="DF1537" s="206"/>
      <c r="DG1537" s="206"/>
      <c r="DH1537" s="206"/>
      <c r="DI1537" s="206"/>
      <c r="DJ1537" s="206"/>
      <c r="DK1537" s="206"/>
      <c r="DL1537" s="206"/>
      <c r="DM1537" s="206"/>
      <c r="DN1537" s="206"/>
      <c r="DO1537" s="206"/>
      <c r="DP1537" s="206"/>
      <c r="DQ1537" s="206"/>
      <c r="DR1537" s="206"/>
      <c r="DS1537" s="206"/>
      <c r="DT1537" s="206"/>
      <c r="DU1537" s="206"/>
      <c r="DV1537" s="206"/>
      <c r="DW1537" s="206"/>
      <c r="DX1537" s="206"/>
      <c r="DY1537" s="206"/>
      <c r="DZ1537" s="206"/>
      <c r="EA1537" s="206"/>
      <c r="EB1537" s="206"/>
      <c r="EC1537" s="206"/>
      <c r="ED1537" s="206"/>
      <c r="EE1537" s="206"/>
      <c r="EF1537" s="206"/>
      <c r="EG1537" s="206"/>
      <c r="EH1537" s="206"/>
      <c r="EI1537" s="206"/>
      <c r="EJ1537" s="206"/>
      <c r="EK1537" s="206"/>
      <c r="EL1537" s="206"/>
      <c r="EM1537" s="206"/>
      <c r="EN1537" s="206"/>
      <c r="EO1537" s="206"/>
      <c r="EP1537" s="206"/>
      <c r="EQ1537" s="206"/>
      <c r="ER1537" s="206"/>
      <c r="ES1537" s="206"/>
      <c r="ET1537" s="206"/>
      <c r="EU1537" s="206"/>
      <c r="EV1537" s="206"/>
      <c r="EW1537" s="206"/>
      <c r="EX1537" s="206"/>
      <c r="EY1537" s="206"/>
      <c r="EZ1537" s="206"/>
      <c r="FA1537" s="206"/>
      <c r="FB1537" s="206"/>
      <c r="FC1537" s="206"/>
      <c r="FD1537" s="206"/>
      <c r="FE1537" s="206"/>
      <c r="FF1537" s="206"/>
      <c r="FG1537" s="206"/>
      <c r="FH1537" s="206"/>
      <c r="FI1537" s="206"/>
      <c r="FJ1537" s="206"/>
      <c r="FK1537" s="206"/>
      <c r="FL1537" s="206"/>
      <c r="FM1537" s="206"/>
      <c r="FN1537" s="206"/>
      <c r="FO1537" s="206"/>
      <c r="FP1537" s="206"/>
      <c r="FQ1537" s="206"/>
      <c r="FR1537" s="206"/>
      <c r="FS1537" s="206"/>
      <c r="FT1537" s="206"/>
      <c r="FU1537" s="206"/>
      <c r="FV1537" s="206"/>
      <c r="FW1537" s="206"/>
      <c r="FX1537" s="206"/>
      <c r="FY1537" s="206"/>
      <c r="FZ1537" s="206"/>
      <c r="GA1537" s="206"/>
      <c r="GB1537" s="206"/>
      <c r="GC1537" s="206"/>
      <c r="GD1537" s="206"/>
      <c r="GE1537" s="206"/>
      <c r="GF1537" s="206"/>
      <c r="GG1537" s="206"/>
      <c r="GH1537" s="206"/>
      <c r="GI1537" s="206"/>
      <c r="GJ1537" s="206"/>
      <c r="GK1537" s="206"/>
      <c r="GL1537" s="206"/>
      <c r="GM1537" s="206"/>
      <c r="GN1537" s="206"/>
      <c r="GO1537" s="206"/>
      <c r="GP1537" s="206"/>
      <c r="GQ1537" s="206"/>
      <c r="GR1537" s="206"/>
      <c r="GS1537" s="206"/>
      <c r="GT1537" s="206"/>
      <c r="GU1537" s="206"/>
      <c r="GV1537" s="206"/>
      <c r="GW1537" s="206"/>
      <c r="GX1537" s="206"/>
      <c r="GY1537" s="206"/>
      <c r="GZ1537" s="206"/>
      <c r="HA1537" s="206"/>
      <c r="HB1537" s="206"/>
      <c r="HC1537" s="206"/>
      <c r="HD1537" s="206"/>
      <c r="HE1537" s="206"/>
      <c r="HF1537" s="206"/>
      <c r="HG1537" s="206"/>
      <c r="HH1537" s="206"/>
      <c r="HI1537" s="206"/>
      <c r="HJ1537" s="206"/>
      <c r="HK1537" s="206"/>
      <c r="HL1537" s="206"/>
      <c r="HM1537" s="206"/>
      <c r="HN1537" s="206"/>
      <c r="HO1537" s="206"/>
      <c r="HP1537" s="206"/>
      <c r="HQ1537" s="206"/>
      <c r="HR1537" s="206"/>
      <c r="HS1537" s="206"/>
      <c r="HT1537" s="206"/>
      <c r="HU1537" s="206"/>
      <c r="HV1537" s="206"/>
      <c r="HW1537" s="206"/>
      <c r="HX1537" s="206"/>
      <c r="HY1537" s="206"/>
      <c r="HZ1537" s="206"/>
      <c r="IA1537" s="206"/>
      <c r="IB1537" s="206"/>
      <c r="IC1537" s="206"/>
      <c r="ID1537" s="206"/>
      <c r="IE1537" s="206"/>
      <c r="IF1537" s="206"/>
      <c r="IG1537" s="206"/>
      <c r="IH1537" s="206"/>
      <c r="II1537" s="206"/>
      <c r="IJ1537" s="206"/>
      <c r="IK1537" s="206"/>
      <c r="IL1537" s="206"/>
      <c r="IM1537" s="206"/>
      <c r="IN1537" s="206"/>
      <c r="IO1537" s="206"/>
      <c r="IP1537" s="206"/>
      <c r="IQ1537" s="206"/>
      <c r="IR1537" s="206"/>
      <c r="IS1537" s="206"/>
      <c r="IT1537" s="206"/>
      <c r="IU1537" s="206"/>
      <c r="IV1537" s="206"/>
      <c r="IW1537" s="206"/>
      <c r="IX1537" s="206"/>
      <c r="IY1537" s="206"/>
      <c r="IZ1537" s="206"/>
      <c r="JA1537" s="206"/>
      <c r="JB1537" s="206"/>
      <c r="JC1537" s="206"/>
      <c r="JD1537" s="206"/>
      <c r="JE1537" s="206"/>
      <c r="JF1537" s="206"/>
      <c r="JG1537" s="206"/>
      <c r="JH1537" s="206"/>
      <c r="JI1537" s="206"/>
      <c r="JJ1537" s="206"/>
      <c r="JK1537" s="206"/>
      <c r="JL1537" s="206"/>
      <c r="JM1537" s="206"/>
      <c r="JN1537" s="206"/>
      <c r="JO1537" s="206"/>
      <c r="JP1537" s="206"/>
      <c r="JQ1537" s="206"/>
      <c r="JR1537" s="206"/>
      <c r="JS1537" s="206"/>
      <c r="JT1537" s="206"/>
      <c r="JU1537" s="206"/>
      <c r="JV1537" s="206"/>
      <c r="JW1537" s="206"/>
      <c r="JX1537" s="206"/>
      <c r="JY1537" s="206"/>
      <c r="JZ1537" s="206"/>
      <c r="KA1537" s="206"/>
      <c r="KB1537" s="206"/>
      <c r="KC1537" s="206"/>
      <c r="KD1537" s="206"/>
      <c r="KE1537" s="206"/>
      <c r="KF1537" s="206"/>
      <c r="KG1537" s="206"/>
      <c r="KH1537" s="206"/>
      <c r="KI1537" s="206"/>
      <c r="KJ1537" s="206"/>
      <c r="KK1537" s="206"/>
      <c r="KL1537" s="206"/>
      <c r="KM1537" s="206"/>
      <c r="KN1537" s="206"/>
      <c r="KO1537" s="206"/>
      <c r="KP1537" s="206"/>
      <c r="KQ1537" s="206"/>
      <c r="KR1537" s="206"/>
      <c r="KS1537" s="206"/>
      <c r="KT1537" s="206"/>
      <c r="KU1537" s="206"/>
      <c r="KV1537" s="206"/>
      <c r="KW1537" s="206"/>
      <c r="KX1537" s="206"/>
      <c r="KY1537" s="206"/>
      <c r="KZ1537" s="206"/>
      <c r="LA1537" s="206"/>
      <c r="LB1537" s="206"/>
      <c r="LC1537" s="206"/>
      <c r="LD1537" s="206"/>
      <c r="LE1537" s="206"/>
      <c r="LF1537" s="206"/>
      <c r="LG1537" s="206"/>
      <c r="LH1537" s="206"/>
      <c r="LI1537" s="206"/>
      <c r="LJ1537" s="206"/>
      <c r="LK1537" s="206"/>
      <c r="LL1537" s="206"/>
      <c r="LM1537" s="206"/>
      <c r="LN1537" s="206"/>
      <c r="LO1537" s="206"/>
      <c r="LP1537" s="206"/>
      <c r="LQ1537" s="206"/>
      <c r="LR1537" s="206"/>
      <c r="LS1537" s="206"/>
      <c r="LT1537" s="206"/>
      <c r="LU1537" s="206"/>
      <c r="LV1537" s="206"/>
      <c r="LW1537" s="206"/>
      <c r="LX1537" s="206"/>
      <c r="LY1537" s="206"/>
      <c r="LZ1537" s="206"/>
      <c r="MA1537" s="206"/>
      <c r="MB1537" s="206"/>
      <c r="MC1537" s="206"/>
      <c r="MD1537" s="206"/>
      <c r="ME1537" s="206"/>
      <c r="MF1537" s="206"/>
      <c r="MG1537" s="206"/>
      <c r="MH1537" s="206"/>
      <c r="MI1537" s="206"/>
      <c r="MJ1537" s="206"/>
      <c r="MK1537" s="206"/>
      <c r="ML1537" s="206"/>
      <c r="MM1537" s="206"/>
      <c r="MN1537" s="206"/>
      <c r="MO1537" s="206"/>
      <c r="MP1537" s="206"/>
      <c r="MQ1537" s="206"/>
      <c r="MR1537" s="206"/>
      <c r="MS1537" s="206"/>
      <c r="MT1537" s="206"/>
      <c r="MU1537" s="206"/>
      <c r="MV1537" s="206"/>
      <c r="MW1537" s="206"/>
      <c r="MX1537" s="206"/>
      <c r="MY1537" s="206"/>
      <c r="MZ1537" s="206"/>
      <c r="NA1537" s="206"/>
      <c r="NB1537" s="206"/>
      <c r="NC1537" s="206"/>
      <c r="ND1537" s="206"/>
      <c r="NE1537" s="206"/>
      <c r="NF1537" s="206"/>
      <c r="NG1537" s="206"/>
      <c r="NH1537" s="206"/>
      <c r="NI1537" s="206"/>
      <c r="NJ1537" s="206"/>
      <c r="NK1537" s="206"/>
      <c r="NL1537" s="206"/>
      <c r="NM1537" s="206"/>
      <c r="NN1537" s="206"/>
      <c r="NO1537" s="206"/>
      <c r="NP1537" s="206"/>
      <c r="NQ1537" s="206"/>
      <c r="NR1537" s="206"/>
      <c r="NS1537" s="206"/>
      <c r="NT1537" s="206"/>
      <c r="NU1537" s="206"/>
      <c r="NV1537" s="206"/>
      <c r="NW1537" s="206"/>
      <c r="NX1537" s="206"/>
      <c r="NY1537" s="206"/>
      <c r="NZ1537" s="206"/>
      <c r="OA1537" s="206"/>
      <c r="OB1537" s="206"/>
      <c r="OC1537" s="206"/>
      <c r="OD1537" s="206"/>
      <c r="OE1537" s="206"/>
      <c r="OF1537" s="206"/>
      <c r="OG1537" s="206"/>
      <c r="OH1537" s="206"/>
      <c r="OI1537" s="206"/>
      <c r="OJ1537" s="206"/>
      <c r="OK1537" s="206"/>
      <c r="OL1537" s="206"/>
      <c r="OM1537" s="206"/>
      <c r="ON1537" s="206"/>
      <c r="OO1537" s="206"/>
      <c r="OP1537" s="206"/>
      <c r="OQ1537" s="206"/>
      <c r="OR1537" s="206"/>
      <c r="OS1537" s="206"/>
      <c r="OT1537" s="206"/>
      <c r="OU1537" s="206"/>
      <c r="OV1537" s="206"/>
      <c r="OW1537" s="206"/>
      <c r="OX1537" s="206"/>
      <c r="OY1537" s="206"/>
      <c r="OZ1537" s="206"/>
      <c r="PA1537" s="206"/>
      <c r="PB1537" s="206"/>
      <c r="PC1537" s="206"/>
      <c r="PD1537" s="206"/>
      <c r="PE1537" s="206"/>
      <c r="PF1537" s="206"/>
      <c r="PG1537" s="206"/>
      <c r="PH1537" s="206"/>
      <c r="PI1537" s="206"/>
      <c r="PJ1537" s="206"/>
      <c r="PK1537" s="206"/>
      <c r="PL1537" s="206"/>
      <c r="PM1537" s="206"/>
      <c r="PN1537" s="206"/>
      <c r="PO1537" s="206"/>
      <c r="PP1537" s="206"/>
      <c r="PQ1537" s="206"/>
      <c r="PR1537" s="206"/>
      <c r="PS1537" s="206"/>
      <c r="PT1537" s="206"/>
      <c r="PU1537" s="206"/>
      <c r="PV1537" s="206"/>
      <c r="PW1537" s="206"/>
      <c r="PX1537" s="206"/>
      <c r="PY1537" s="206"/>
      <c r="PZ1537" s="206"/>
      <c r="QA1537" s="206"/>
      <c r="QB1537" s="206"/>
      <c r="QC1537" s="206"/>
      <c r="QD1537" s="206"/>
      <c r="QE1537" s="206"/>
      <c r="QF1537" s="206"/>
      <c r="QG1537" s="206"/>
      <c r="QH1537" s="206"/>
      <c r="QI1537" s="206"/>
      <c r="QJ1537" s="206"/>
      <c r="QK1537" s="206"/>
      <c r="QL1537" s="206"/>
      <c r="QM1537" s="206"/>
      <c r="QN1537" s="206"/>
      <c r="QO1537" s="206"/>
      <c r="QP1537" s="206"/>
      <c r="QQ1537" s="206"/>
      <c r="QR1537" s="206"/>
      <c r="QS1537" s="206"/>
      <c r="QT1537" s="206"/>
      <c r="QU1537" s="206"/>
      <c r="QV1537" s="206"/>
      <c r="QW1537" s="206"/>
      <c r="QX1537" s="206"/>
      <c r="QY1537" s="206"/>
      <c r="QZ1537" s="206"/>
      <c r="RA1537" s="206"/>
      <c r="RB1537" s="206"/>
      <c r="RC1537" s="206"/>
      <c r="RD1537" s="206"/>
      <c r="RE1537" s="206"/>
      <c r="RF1537" s="206"/>
      <c r="RG1537" s="206"/>
      <c r="RH1537" s="206"/>
      <c r="RI1537" s="206"/>
      <c r="RJ1537" s="206"/>
      <c r="RK1537" s="206"/>
      <c r="RL1537" s="206"/>
      <c r="RM1537" s="206"/>
      <c r="RN1537" s="206"/>
      <c r="RO1537" s="206"/>
      <c r="RP1537" s="206"/>
      <c r="RQ1537" s="206"/>
      <c r="RR1537" s="206"/>
      <c r="RS1537" s="206"/>
      <c r="RT1537" s="206"/>
      <c r="RU1537" s="206"/>
      <c r="RV1537" s="206"/>
      <c r="RW1537" s="206"/>
      <c r="RX1537" s="206"/>
      <c r="RY1537" s="206"/>
      <c r="RZ1537" s="206"/>
      <c r="SA1537" s="206"/>
      <c r="SB1537" s="206"/>
      <c r="SC1537" s="206"/>
      <c r="SD1537" s="206"/>
      <c r="SE1537" s="206"/>
      <c r="SF1537" s="206"/>
      <c r="SG1537" s="206"/>
      <c r="SH1537" s="206"/>
      <c r="SI1537" s="206"/>
      <c r="SJ1537" s="206"/>
      <c r="SK1537" s="206"/>
      <c r="SL1537" s="206"/>
      <c r="SM1537" s="206"/>
      <c r="SN1537" s="206"/>
      <c r="SO1537" s="206"/>
      <c r="SP1537" s="206"/>
      <c r="SQ1537" s="206"/>
      <c r="SR1537" s="206"/>
      <c r="SS1537" s="206"/>
      <c r="ST1537" s="206"/>
      <c r="SU1537" s="206"/>
      <c r="SV1537" s="206"/>
      <c r="SW1537" s="206"/>
      <c r="SX1537" s="206"/>
      <c r="SY1537" s="206"/>
      <c r="SZ1537" s="206"/>
      <c r="TA1537" s="206"/>
      <c r="TB1537" s="206"/>
      <c r="TC1537" s="206"/>
      <c r="TD1537" s="206"/>
      <c r="TE1537" s="206"/>
      <c r="TF1537" s="206"/>
      <c r="TG1537" s="206"/>
      <c r="TH1537" s="206"/>
      <c r="TI1537" s="206"/>
      <c r="TJ1537" s="206"/>
      <c r="TK1537" s="206"/>
      <c r="TL1537" s="206"/>
      <c r="TM1537" s="206"/>
      <c r="TN1537" s="206"/>
      <c r="TO1537" s="206"/>
      <c r="TP1537" s="206"/>
      <c r="TQ1537" s="206"/>
      <c r="TR1537" s="206"/>
      <c r="TS1537" s="206"/>
      <c r="TT1537" s="206"/>
      <c r="TU1537" s="206"/>
      <c r="TV1537" s="206"/>
      <c r="TW1537" s="206"/>
      <c r="TX1537" s="206"/>
      <c r="TY1537" s="206"/>
      <c r="TZ1537" s="206"/>
      <c r="UA1537" s="206"/>
      <c r="UB1537" s="206"/>
      <c r="UC1537" s="206"/>
      <c r="UD1537" s="206"/>
    </row>
    <row r="1538" spans="1:550" s="874" customFormat="1" ht="64.900000000000006" customHeight="1">
      <c r="A1538" s="924" t="s">
        <v>43</v>
      </c>
      <c r="B1538" s="953"/>
      <c r="C1538" s="1630" t="s">
        <v>44</v>
      </c>
      <c r="D1538" s="1596"/>
      <c r="E1538" s="1596"/>
      <c r="F1538" s="1596"/>
      <c r="G1538" s="949"/>
      <c r="H1538" s="954"/>
      <c r="I1538" s="955"/>
      <c r="J1538" s="1003"/>
      <c r="K1538" s="952"/>
      <c r="L1538" s="953">
        <f>L1539</f>
        <v>3270400</v>
      </c>
      <c r="M1538" s="953"/>
      <c r="N1538" s="953"/>
      <c r="O1538" s="953"/>
      <c r="P1538" s="953"/>
      <c r="Q1538" s="1177"/>
      <c r="R1538" s="1226" t="s">
        <v>45</v>
      </c>
      <c r="S1538" s="486"/>
      <c r="T1538" s="486"/>
      <c r="U1538" s="486"/>
      <c r="V1538" s="486"/>
      <c r="W1538" s="486"/>
      <c r="X1538" s="486"/>
      <c r="Y1538" s="486"/>
      <c r="Z1538" s="486"/>
      <c r="AA1538" s="486"/>
      <c r="AB1538" s="486"/>
      <c r="AC1538" s="486"/>
      <c r="AD1538" s="486"/>
      <c r="AE1538" s="486"/>
      <c r="AF1538" s="486"/>
      <c r="AG1538" s="486"/>
      <c r="AH1538" s="486"/>
      <c r="AI1538" s="486"/>
      <c r="AJ1538" s="486"/>
      <c r="AK1538" s="486"/>
      <c r="AL1538" s="206"/>
      <c r="AM1538" s="206"/>
      <c r="AN1538" s="206"/>
      <c r="AO1538" s="206"/>
      <c r="AP1538" s="206"/>
      <c r="AQ1538" s="206"/>
      <c r="AR1538" s="206"/>
      <c r="AS1538" s="206"/>
      <c r="AT1538" s="206"/>
      <c r="AU1538" s="206"/>
      <c r="AV1538" s="206"/>
      <c r="AW1538" s="206"/>
      <c r="AX1538" s="206"/>
      <c r="AY1538" s="206"/>
      <c r="AZ1538" s="206"/>
      <c r="BA1538" s="206"/>
      <c r="BB1538" s="206"/>
      <c r="BC1538" s="206"/>
      <c r="BD1538" s="206"/>
      <c r="BE1538" s="206"/>
      <c r="BF1538" s="206"/>
      <c r="BG1538" s="206"/>
      <c r="BH1538" s="206"/>
      <c r="BI1538" s="206"/>
      <c r="BJ1538" s="206"/>
      <c r="BK1538" s="206"/>
      <c r="BL1538" s="206"/>
      <c r="BM1538" s="206"/>
      <c r="BN1538" s="206"/>
      <c r="BO1538" s="206"/>
      <c r="BP1538" s="206"/>
      <c r="BQ1538" s="206"/>
      <c r="BR1538" s="206"/>
      <c r="BS1538" s="206"/>
      <c r="BT1538" s="206"/>
      <c r="BU1538" s="206"/>
      <c r="BV1538" s="206"/>
      <c r="BW1538" s="206"/>
      <c r="BX1538" s="206"/>
      <c r="BY1538" s="206"/>
      <c r="BZ1538" s="206"/>
      <c r="CA1538" s="206"/>
      <c r="CB1538" s="206"/>
      <c r="CC1538" s="206"/>
      <c r="CD1538" s="206"/>
      <c r="CE1538" s="206"/>
      <c r="CF1538" s="206"/>
      <c r="CG1538" s="206"/>
      <c r="CH1538" s="206"/>
      <c r="CI1538" s="206"/>
      <c r="CJ1538" s="206"/>
      <c r="CK1538" s="206"/>
      <c r="CL1538" s="206"/>
      <c r="CM1538" s="206"/>
      <c r="CN1538" s="206"/>
      <c r="CO1538" s="206"/>
      <c r="CP1538" s="206"/>
      <c r="CQ1538" s="206"/>
      <c r="CR1538" s="206"/>
      <c r="CS1538" s="206"/>
      <c r="CT1538" s="206"/>
      <c r="CU1538" s="206"/>
      <c r="CV1538" s="206"/>
      <c r="CW1538" s="206"/>
      <c r="CX1538" s="206"/>
      <c r="CY1538" s="206"/>
      <c r="CZ1538" s="206"/>
      <c r="DA1538" s="206"/>
      <c r="DB1538" s="206"/>
      <c r="DC1538" s="206"/>
      <c r="DD1538" s="206"/>
      <c r="DE1538" s="206"/>
      <c r="DF1538" s="206"/>
      <c r="DG1538" s="206"/>
      <c r="DH1538" s="206"/>
      <c r="DI1538" s="206"/>
      <c r="DJ1538" s="206"/>
      <c r="DK1538" s="206"/>
      <c r="DL1538" s="206"/>
      <c r="DM1538" s="206"/>
      <c r="DN1538" s="206"/>
      <c r="DO1538" s="206"/>
      <c r="DP1538" s="206"/>
      <c r="DQ1538" s="206"/>
      <c r="DR1538" s="206"/>
      <c r="DS1538" s="206"/>
      <c r="DT1538" s="206"/>
      <c r="DU1538" s="206"/>
      <c r="DV1538" s="206"/>
      <c r="DW1538" s="206"/>
      <c r="DX1538" s="206"/>
      <c r="DY1538" s="206"/>
      <c r="DZ1538" s="206"/>
      <c r="EA1538" s="206"/>
      <c r="EB1538" s="206"/>
      <c r="EC1538" s="206"/>
      <c r="ED1538" s="206"/>
      <c r="EE1538" s="206"/>
      <c r="EF1538" s="206"/>
      <c r="EG1538" s="206"/>
      <c r="EH1538" s="206"/>
      <c r="EI1538" s="206"/>
      <c r="EJ1538" s="206"/>
      <c r="EK1538" s="206"/>
      <c r="EL1538" s="206"/>
      <c r="EM1538" s="206"/>
      <c r="EN1538" s="206"/>
      <c r="EO1538" s="206"/>
      <c r="EP1538" s="206"/>
      <c r="EQ1538" s="206"/>
      <c r="ER1538" s="206"/>
      <c r="ES1538" s="206"/>
      <c r="ET1538" s="206"/>
      <c r="EU1538" s="206"/>
      <c r="EV1538" s="206"/>
      <c r="EW1538" s="206"/>
      <c r="EX1538" s="206"/>
      <c r="EY1538" s="206"/>
      <c r="EZ1538" s="206"/>
      <c r="FA1538" s="206"/>
      <c r="FB1538" s="206"/>
      <c r="FC1538" s="206"/>
      <c r="FD1538" s="206"/>
      <c r="FE1538" s="206"/>
      <c r="FF1538" s="206"/>
      <c r="FG1538" s="206"/>
      <c r="FH1538" s="206"/>
      <c r="FI1538" s="206"/>
      <c r="FJ1538" s="206"/>
      <c r="FK1538" s="206"/>
      <c r="FL1538" s="206"/>
      <c r="FM1538" s="206"/>
      <c r="FN1538" s="206"/>
      <c r="FO1538" s="206"/>
      <c r="FP1538" s="206"/>
      <c r="FQ1538" s="206"/>
      <c r="FR1538" s="206"/>
      <c r="FS1538" s="206"/>
      <c r="FT1538" s="206"/>
      <c r="FU1538" s="206"/>
      <c r="FV1538" s="206"/>
      <c r="FW1538" s="206"/>
      <c r="FX1538" s="206"/>
      <c r="FY1538" s="206"/>
      <c r="FZ1538" s="206"/>
      <c r="GA1538" s="206"/>
      <c r="GB1538" s="206"/>
      <c r="GC1538" s="206"/>
      <c r="GD1538" s="206"/>
      <c r="GE1538" s="206"/>
      <c r="GF1538" s="206"/>
      <c r="GG1538" s="206"/>
      <c r="GH1538" s="206"/>
      <c r="GI1538" s="206"/>
      <c r="GJ1538" s="206"/>
      <c r="GK1538" s="206"/>
      <c r="GL1538" s="206"/>
      <c r="GM1538" s="206"/>
      <c r="GN1538" s="206"/>
      <c r="GO1538" s="206"/>
      <c r="GP1538" s="206"/>
      <c r="GQ1538" s="206"/>
      <c r="GR1538" s="206"/>
      <c r="GS1538" s="206"/>
      <c r="GT1538" s="206"/>
      <c r="GU1538" s="206"/>
      <c r="GV1538" s="206"/>
      <c r="GW1538" s="206"/>
      <c r="GX1538" s="206"/>
      <c r="GY1538" s="206"/>
      <c r="GZ1538" s="206"/>
      <c r="HA1538" s="206"/>
      <c r="HB1538" s="206"/>
      <c r="HC1538" s="206"/>
      <c r="HD1538" s="206"/>
      <c r="HE1538" s="206"/>
      <c r="HF1538" s="206"/>
      <c r="HG1538" s="206"/>
      <c r="HH1538" s="206"/>
      <c r="HI1538" s="206"/>
      <c r="HJ1538" s="206"/>
      <c r="HK1538" s="206"/>
      <c r="HL1538" s="206"/>
      <c r="HM1538" s="206"/>
      <c r="HN1538" s="206"/>
      <c r="HO1538" s="206"/>
      <c r="HP1538" s="206"/>
      <c r="HQ1538" s="206"/>
      <c r="HR1538" s="206"/>
      <c r="HS1538" s="206"/>
      <c r="HT1538" s="206"/>
      <c r="HU1538" s="206"/>
      <c r="HV1538" s="206"/>
      <c r="HW1538" s="206"/>
      <c r="HX1538" s="206"/>
      <c r="HY1538" s="206"/>
      <c r="HZ1538" s="206"/>
      <c r="IA1538" s="206"/>
      <c r="IB1538" s="206"/>
      <c r="IC1538" s="206"/>
      <c r="ID1538" s="206"/>
      <c r="IE1538" s="206"/>
      <c r="IF1538" s="206"/>
      <c r="IG1538" s="206"/>
      <c r="IH1538" s="206"/>
      <c r="II1538" s="206"/>
      <c r="IJ1538" s="206"/>
      <c r="IK1538" s="206"/>
      <c r="IL1538" s="206"/>
      <c r="IM1538" s="206"/>
      <c r="IN1538" s="206"/>
      <c r="IO1538" s="206"/>
      <c r="IP1538" s="206"/>
      <c r="IQ1538" s="206"/>
      <c r="IR1538" s="206"/>
      <c r="IS1538" s="206"/>
      <c r="IT1538" s="206"/>
      <c r="IU1538" s="206"/>
      <c r="IV1538" s="206"/>
      <c r="IW1538" s="206"/>
      <c r="IX1538" s="206"/>
      <c r="IY1538" s="206"/>
      <c r="IZ1538" s="206"/>
      <c r="JA1538" s="206"/>
      <c r="JB1538" s="206"/>
      <c r="JC1538" s="206"/>
      <c r="JD1538" s="206"/>
      <c r="JE1538" s="206"/>
      <c r="JF1538" s="206"/>
      <c r="JG1538" s="206"/>
      <c r="JH1538" s="206"/>
      <c r="JI1538" s="206"/>
      <c r="JJ1538" s="206"/>
      <c r="JK1538" s="206"/>
      <c r="JL1538" s="206"/>
      <c r="JM1538" s="206"/>
      <c r="JN1538" s="206"/>
      <c r="JO1538" s="206"/>
      <c r="JP1538" s="206"/>
      <c r="JQ1538" s="206"/>
      <c r="JR1538" s="206"/>
      <c r="JS1538" s="206"/>
      <c r="JT1538" s="206"/>
      <c r="JU1538" s="206"/>
      <c r="JV1538" s="206"/>
      <c r="JW1538" s="206"/>
      <c r="JX1538" s="206"/>
      <c r="JY1538" s="206"/>
      <c r="JZ1538" s="206"/>
      <c r="KA1538" s="206"/>
      <c r="KB1538" s="206"/>
      <c r="KC1538" s="206"/>
      <c r="KD1538" s="206"/>
      <c r="KE1538" s="206"/>
      <c r="KF1538" s="206"/>
      <c r="KG1538" s="206"/>
      <c r="KH1538" s="206"/>
      <c r="KI1538" s="206"/>
      <c r="KJ1538" s="206"/>
      <c r="KK1538" s="206"/>
      <c r="KL1538" s="206"/>
      <c r="KM1538" s="206"/>
      <c r="KN1538" s="206"/>
      <c r="KO1538" s="206"/>
      <c r="KP1538" s="206"/>
      <c r="KQ1538" s="206"/>
      <c r="KR1538" s="206"/>
      <c r="KS1538" s="206"/>
      <c r="KT1538" s="206"/>
      <c r="KU1538" s="206"/>
      <c r="KV1538" s="206"/>
      <c r="KW1538" s="206"/>
      <c r="KX1538" s="206"/>
      <c r="KY1538" s="206"/>
      <c r="KZ1538" s="206"/>
      <c r="LA1538" s="206"/>
      <c r="LB1538" s="206"/>
      <c r="LC1538" s="206"/>
      <c r="LD1538" s="206"/>
      <c r="LE1538" s="206"/>
      <c r="LF1538" s="206"/>
      <c r="LG1538" s="206"/>
      <c r="LH1538" s="206"/>
      <c r="LI1538" s="206"/>
      <c r="LJ1538" s="206"/>
      <c r="LK1538" s="206"/>
      <c r="LL1538" s="206"/>
      <c r="LM1538" s="206"/>
      <c r="LN1538" s="206"/>
      <c r="LO1538" s="206"/>
      <c r="LP1538" s="206"/>
      <c r="LQ1538" s="206"/>
      <c r="LR1538" s="206"/>
      <c r="LS1538" s="206"/>
      <c r="LT1538" s="206"/>
      <c r="LU1538" s="206"/>
      <c r="LV1538" s="206"/>
      <c r="LW1538" s="206"/>
      <c r="LX1538" s="206"/>
      <c r="LY1538" s="206"/>
      <c r="LZ1538" s="206"/>
      <c r="MA1538" s="206"/>
      <c r="MB1538" s="206"/>
      <c r="MC1538" s="206"/>
      <c r="MD1538" s="206"/>
      <c r="ME1538" s="206"/>
      <c r="MF1538" s="206"/>
      <c r="MG1538" s="206"/>
      <c r="MH1538" s="206"/>
      <c r="MI1538" s="206"/>
      <c r="MJ1538" s="206"/>
      <c r="MK1538" s="206"/>
      <c r="ML1538" s="206"/>
      <c r="MM1538" s="206"/>
      <c r="MN1538" s="206"/>
      <c r="MO1538" s="206"/>
      <c r="MP1538" s="206"/>
      <c r="MQ1538" s="206"/>
      <c r="MR1538" s="206"/>
      <c r="MS1538" s="206"/>
      <c r="MT1538" s="206"/>
      <c r="MU1538" s="206"/>
      <c r="MV1538" s="206"/>
      <c r="MW1538" s="206"/>
      <c r="MX1538" s="206"/>
      <c r="MY1538" s="206"/>
      <c r="MZ1538" s="206"/>
      <c r="NA1538" s="206"/>
      <c r="NB1538" s="206"/>
      <c r="NC1538" s="206"/>
      <c r="ND1538" s="206"/>
      <c r="NE1538" s="206"/>
      <c r="NF1538" s="206"/>
      <c r="NG1538" s="206"/>
      <c r="NH1538" s="206"/>
      <c r="NI1538" s="206"/>
      <c r="NJ1538" s="206"/>
      <c r="NK1538" s="206"/>
      <c r="NL1538" s="206"/>
      <c r="NM1538" s="206"/>
      <c r="NN1538" s="206"/>
      <c r="NO1538" s="206"/>
      <c r="NP1538" s="206"/>
      <c r="NQ1538" s="206"/>
      <c r="NR1538" s="206"/>
      <c r="NS1538" s="206"/>
      <c r="NT1538" s="206"/>
      <c r="NU1538" s="206"/>
      <c r="NV1538" s="206"/>
      <c r="NW1538" s="206"/>
      <c r="NX1538" s="206"/>
      <c r="NY1538" s="206"/>
      <c r="NZ1538" s="206"/>
      <c r="OA1538" s="206"/>
      <c r="OB1538" s="206"/>
      <c r="OC1538" s="206"/>
      <c r="OD1538" s="206"/>
      <c r="OE1538" s="206"/>
      <c r="OF1538" s="206"/>
      <c r="OG1538" s="206"/>
      <c r="OH1538" s="206"/>
      <c r="OI1538" s="206"/>
      <c r="OJ1538" s="206"/>
      <c r="OK1538" s="206"/>
      <c r="OL1538" s="206"/>
      <c r="OM1538" s="206"/>
      <c r="ON1538" s="206"/>
      <c r="OO1538" s="206"/>
      <c r="OP1538" s="206"/>
      <c r="OQ1538" s="206"/>
      <c r="OR1538" s="206"/>
      <c r="OS1538" s="206"/>
      <c r="OT1538" s="206"/>
      <c r="OU1538" s="206"/>
      <c r="OV1538" s="206"/>
      <c r="OW1538" s="206"/>
      <c r="OX1538" s="206"/>
      <c r="OY1538" s="206"/>
      <c r="OZ1538" s="206"/>
      <c r="PA1538" s="206"/>
      <c r="PB1538" s="206"/>
      <c r="PC1538" s="206"/>
      <c r="PD1538" s="206"/>
      <c r="PE1538" s="206"/>
      <c r="PF1538" s="206"/>
      <c r="PG1538" s="206"/>
      <c r="PH1538" s="206"/>
      <c r="PI1538" s="206"/>
      <c r="PJ1538" s="206"/>
      <c r="PK1538" s="206"/>
      <c r="PL1538" s="206"/>
      <c r="PM1538" s="206"/>
      <c r="PN1538" s="206"/>
      <c r="PO1538" s="206"/>
      <c r="PP1538" s="206"/>
      <c r="PQ1538" s="206"/>
      <c r="PR1538" s="206"/>
      <c r="PS1538" s="206"/>
      <c r="PT1538" s="206"/>
      <c r="PU1538" s="206"/>
      <c r="PV1538" s="206"/>
      <c r="PW1538" s="206"/>
      <c r="PX1538" s="206"/>
      <c r="PY1538" s="206"/>
      <c r="PZ1538" s="206"/>
      <c r="QA1538" s="206"/>
      <c r="QB1538" s="206"/>
      <c r="QC1538" s="206"/>
      <c r="QD1538" s="206"/>
      <c r="QE1538" s="206"/>
      <c r="QF1538" s="206"/>
      <c r="QG1538" s="206"/>
      <c r="QH1538" s="206"/>
      <c r="QI1538" s="206"/>
      <c r="QJ1538" s="206"/>
      <c r="QK1538" s="206"/>
      <c r="QL1538" s="206"/>
      <c r="QM1538" s="206"/>
      <c r="QN1538" s="206"/>
      <c r="QO1538" s="206"/>
      <c r="QP1538" s="206"/>
      <c r="QQ1538" s="206"/>
      <c r="QR1538" s="206"/>
      <c r="QS1538" s="206"/>
      <c r="QT1538" s="206"/>
      <c r="QU1538" s="206"/>
      <c r="QV1538" s="206"/>
      <c r="QW1538" s="206"/>
      <c r="QX1538" s="206"/>
      <c r="QY1538" s="206"/>
      <c r="QZ1538" s="206"/>
      <c r="RA1538" s="206"/>
      <c r="RB1538" s="206"/>
      <c r="RC1538" s="206"/>
      <c r="RD1538" s="206"/>
      <c r="RE1538" s="206"/>
      <c r="RF1538" s="206"/>
      <c r="RG1538" s="206"/>
      <c r="RH1538" s="206"/>
      <c r="RI1538" s="206"/>
      <c r="RJ1538" s="206"/>
      <c r="RK1538" s="206"/>
      <c r="RL1538" s="206"/>
      <c r="RM1538" s="206"/>
      <c r="RN1538" s="206"/>
      <c r="RO1538" s="206"/>
      <c r="RP1538" s="206"/>
      <c r="RQ1538" s="206"/>
      <c r="RR1538" s="206"/>
      <c r="RS1538" s="206"/>
      <c r="RT1538" s="206"/>
      <c r="RU1538" s="206"/>
      <c r="RV1538" s="206"/>
      <c r="RW1538" s="206"/>
      <c r="RX1538" s="206"/>
      <c r="RY1538" s="206"/>
      <c r="RZ1538" s="206"/>
      <c r="SA1538" s="206"/>
      <c r="SB1538" s="206"/>
      <c r="SC1538" s="206"/>
      <c r="SD1538" s="206"/>
      <c r="SE1538" s="206"/>
      <c r="SF1538" s="206"/>
      <c r="SG1538" s="206"/>
      <c r="SH1538" s="206"/>
      <c r="SI1538" s="206"/>
      <c r="SJ1538" s="206"/>
      <c r="SK1538" s="206"/>
      <c r="SL1538" s="206"/>
      <c r="SM1538" s="206"/>
      <c r="SN1538" s="206"/>
      <c r="SO1538" s="206"/>
      <c r="SP1538" s="206"/>
      <c r="SQ1538" s="206"/>
      <c r="SR1538" s="206"/>
      <c r="SS1538" s="206"/>
      <c r="ST1538" s="206"/>
      <c r="SU1538" s="206"/>
      <c r="SV1538" s="206"/>
      <c r="SW1538" s="206"/>
      <c r="SX1538" s="206"/>
      <c r="SY1538" s="206"/>
      <c r="SZ1538" s="206"/>
      <c r="TA1538" s="206"/>
      <c r="TB1538" s="206"/>
      <c r="TC1538" s="206"/>
      <c r="TD1538" s="206"/>
      <c r="TE1538" s="206"/>
      <c r="TF1538" s="206"/>
      <c r="TG1538" s="206"/>
      <c r="TH1538" s="206"/>
      <c r="TI1538" s="206"/>
      <c r="TJ1538" s="206"/>
      <c r="TK1538" s="206"/>
      <c r="TL1538" s="206"/>
      <c r="TM1538" s="206"/>
      <c r="TN1538" s="206"/>
      <c r="TO1538" s="206"/>
      <c r="TP1538" s="206"/>
      <c r="TQ1538" s="206"/>
      <c r="TR1538" s="206"/>
      <c r="TS1538" s="206"/>
      <c r="TT1538" s="206"/>
      <c r="TU1538" s="206"/>
      <c r="TV1538" s="206"/>
      <c r="TW1538" s="206"/>
      <c r="TX1538" s="206"/>
      <c r="TY1538" s="206"/>
      <c r="TZ1538" s="206"/>
      <c r="UA1538" s="206"/>
      <c r="UB1538" s="206"/>
      <c r="UC1538" s="206"/>
      <c r="UD1538" s="206"/>
    </row>
    <row r="1539" spans="1:550" s="875" customFormat="1" ht="34.5" customHeight="1">
      <c r="A1539" s="956"/>
      <c r="B1539" s="953"/>
      <c r="C1539" s="1249" t="s">
        <v>52</v>
      </c>
      <c r="D1539" s="949">
        <v>2</v>
      </c>
      <c r="E1539" s="949">
        <v>246</v>
      </c>
      <c r="F1539" s="1249"/>
      <c r="G1539" s="949"/>
      <c r="H1539" s="954"/>
      <c r="I1539" s="955">
        <v>204.4</v>
      </c>
      <c r="J1539" s="1003">
        <v>16000</v>
      </c>
      <c r="K1539" s="952"/>
      <c r="L1539" s="949">
        <f>I1539*J1539</f>
        <v>3270400</v>
      </c>
      <c r="M1539" s="953"/>
      <c r="N1539" s="953"/>
      <c r="O1539" s="953"/>
      <c r="P1539" s="953"/>
      <c r="Q1539" s="1177"/>
      <c r="R1539" s="303"/>
      <c r="S1539" s="486"/>
      <c r="T1539" s="486"/>
      <c r="U1539" s="486"/>
      <c r="V1539" s="486"/>
      <c r="W1539" s="486"/>
      <c r="X1539" s="486"/>
      <c r="Y1539" s="486"/>
      <c r="Z1539" s="486"/>
      <c r="AA1539" s="486"/>
      <c r="AB1539" s="486"/>
      <c r="AC1539" s="486"/>
      <c r="AD1539" s="486"/>
      <c r="AE1539" s="486"/>
      <c r="AF1539" s="486"/>
      <c r="AG1539" s="486"/>
      <c r="AH1539" s="486"/>
      <c r="AI1539" s="486"/>
      <c r="AJ1539" s="486"/>
      <c r="AK1539" s="486"/>
      <c r="AL1539" s="206"/>
      <c r="AM1539" s="206"/>
      <c r="AN1539" s="206"/>
      <c r="AO1539" s="206"/>
      <c r="AP1539" s="206"/>
      <c r="AQ1539" s="206"/>
      <c r="AR1539" s="206"/>
      <c r="AS1539" s="206"/>
      <c r="AT1539" s="206"/>
      <c r="AU1539" s="206"/>
      <c r="AV1539" s="206"/>
      <c r="AW1539" s="206"/>
      <c r="AX1539" s="206"/>
      <c r="AY1539" s="206"/>
      <c r="AZ1539" s="206"/>
      <c r="BA1539" s="206"/>
      <c r="BB1539" s="206"/>
      <c r="BC1539" s="206"/>
      <c r="BD1539" s="206"/>
      <c r="BE1539" s="206"/>
      <c r="BF1539" s="206"/>
      <c r="BG1539" s="206"/>
      <c r="BH1539" s="206"/>
      <c r="BI1539" s="206"/>
      <c r="BJ1539" s="206"/>
      <c r="BK1539" s="206"/>
      <c r="BL1539" s="206"/>
      <c r="BM1539" s="206"/>
      <c r="BN1539" s="206"/>
      <c r="BO1539" s="206"/>
      <c r="BP1539" s="206"/>
      <c r="BQ1539" s="206"/>
      <c r="BR1539" s="206"/>
      <c r="BS1539" s="206"/>
      <c r="BT1539" s="206"/>
      <c r="BU1539" s="206"/>
      <c r="BV1539" s="206"/>
      <c r="BW1539" s="206"/>
      <c r="BX1539" s="206"/>
      <c r="BY1539" s="206"/>
      <c r="BZ1539" s="206"/>
      <c r="CA1539" s="206"/>
      <c r="CB1539" s="206"/>
      <c r="CC1539" s="206"/>
      <c r="CD1539" s="206"/>
      <c r="CE1539" s="206"/>
      <c r="CF1539" s="206"/>
      <c r="CG1539" s="206"/>
      <c r="CH1539" s="206"/>
      <c r="CI1539" s="206"/>
      <c r="CJ1539" s="206"/>
      <c r="CK1539" s="206"/>
      <c r="CL1539" s="206"/>
      <c r="CM1539" s="206"/>
      <c r="CN1539" s="206"/>
      <c r="CO1539" s="206"/>
      <c r="CP1539" s="206"/>
      <c r="CQ1539" s="206"/>
      <c r="CR1539" s="206"/>
      <c r="CS1539" s="206"/>
      <c r="CT1539" s="206"/>
      <c r="CU1539" s="206"/>
      <c r="CV1539" s="206"/>
      <c r="CW1539" s="206"/>
      <c r="CX1539" s="206"/>
      <c r="CY1539" s="206"/>
      <c r="CZ1539" s="206"/>
      <c r="DA1539" s="206"/>
      <c r="DB1539" s="206"/>
      <c r="DC1539" s="206"/>
      <c r="DD1539" s="206"/>
      <c r="DE1539" s="206"/>
      <c r="DF1539" s="206"/>
      <c r="DG1539" s="206"/>
      <c r="DH1539" s="206"/>
      <c r="DI1539" s="206"/>
      <c r="DJ1539" s="206"/>
      <c r="DK1539" s="206"/>
      <c r="DL1539" s="206"/>
      <c r="DM1539" s="206"/>
      <c r="DN1539" s="206"/>
      <c r="DO1539" s="206"/>
      <c r="DP1539" s="206"/>
      <c r="DQ1539" s="206"/>
      <c r="DR1539" s="206"/>
      <c r="DS1539" s="206"/>
      <c r="DT1539" s="206"/>
      <c r="DU1539" s="206"/>
      <c r="DV1539" s="206"/>
      <c r="DW1539" s="206"/>
      <c r="DX1539" s="206"/>
      <c r="DY1539" s="206"/>
      <c r="DZ1539" s="206"/>
      <c r="EA1539" s="206"/>
      <c r="EB1539" s="206"/>
      <c r="EC1539" s="206"/>
      <c r="ED1539" s="206"/>
      <c r="EE1539" s="206"/>
      <c r="EF1539" s="206"/>
      <c r="EG1539" s="206"/>
      <c r="EH1539" s="206"/>
      <c r="EI1539" s="206"/>
      <c r="EJ1539" s="206"/>
      <c r="EK1539" s="206"/>
      <c r="EL1539" s="206"/>
      <c r="EM1539" s="206"/>
      <c r="EN1539" s="206"/>
      <c r="EO1539" s="206"/>
      <c r="EP1539" s="206"/>
      <c r="EQ1539" s="206"/>
      <c r="ER1539" s="206"/>
      <c r="ES1539" s="206"/>
      <c r="ET1539" s="206"/>
      <c r="EU1539" s="206"/>
      <c r="EV1539" s="206"/>
      <c r="EW1539" s="206"/>
      <c r="EX1539" s="206"/>
      <c r="EY1539" s="206"/>
      <c r="EZ1539" s="206"/>
      <c r="FA1539" s="206"/>
      <c r="FB1539" s="206"/>
      <c r="FC1539" s="206"/>
      <c r="FD1539" s="206"/>
      <c r="FE1539" s="206"/>
      <c r="FF1539" s="206"/>
      <c r="FG1539" s="206"/>
      <c r="FH1539" s="206"/>
      <c r="FI1539" s="206"/>
      <c r="FJ1539" s="206"/>
      <c r="FK1539" s="206"/>
      <c r="FL1539" s="206"/>
      <c r="FM1539" s="206"/>
      <c r="FN1539" s="206"/>
      <c r="FO1539" s="206"/>
      <c r="FP1539" s="206"/>
      <c r="FQ1539" s="206"/>
      <c r="FR1539" s="206"/>
      <c r="FS1539" s="206"/>
      <c r="FT1539" s="206"/>
      <c r="FU1539" s="206"/>
      <c r="FV1539" s="206"/>
      <c r="FW1539" s="206"/>
      <c r="FX1539" s="206"/>
      <c r="FY1539" s="206"/>
      <c r="FZ1539" s="206"/>
      <c r="GA1539" s="206"/>
      <c r="GB1539" s="206"/>
      <c r="GC1539" s="206"/>
      <c r="GD1539" s="206"/>
      <c r="GE1539" s="206"/>
      <c r="GF1539" s="206"/>
      <c r="GG1539" s="206"/>
      <c r="GH1539" s="206"/>
      <c r="GI1539" s="206"/>
      <c r="GJ1539" s="206"/>
      <c r="GK1539" s="206"/>
      <c r="GL1539" s="206"/>
      <c r="GM1539" s="206"/>
      <c r="GN1539" s="206"/>
      <c r="GO1539" s="206"/>
      <c r="GP1539" s="206"/>
      <c r="GQ1539" s="206"/>
      <c r="GR1539" s="206"/>
      <c r="GS1539" s="206"/>
      <c r="GT1539" s="206"/>
      <c r="GU1539" s="206"/>
      <c r="GV1539" s="206"/>
      <c r="GW1539" s="206"/>
      <c r="GX1539" s="206"/>
      <c r="GY1539" s="206"/>
      <c r="GZ1539" s="206"/>
      <c r="HA1539" s="206"/>
      <c r="HB1539" s="206"/>
      <c r="HC1539" s="206"/>
      <c r="HD1539" s="206"/>
      <c r="HE1539" s="206"/>
      <c r="HF1539" s="206"/>
      <c r="HG1539" s="206"/>
      <c r="HH1539" s="206"/>
      <c r="HI1539" s="206"/>
      <c r="HJ1539" s="206"/>
      <c r="HK1539" s="206"/>
      <c r="HL1539" s="206"/>
      <c r="HM1539" s="206"/>
      <c r="HN1539" s="206"/>
      <c r="HO1539" s="206"/>
      <c r="HP1539" s="206"/>
      <c r="HQ1539" s="206"/>
      <c r="HR1539" s="206"/>
      <c r="HS1539" s="206"/>
      <c r="HT1539" s="206"/>
      <c r="HU1539" s="206"/>
      <c r="HV1539" s="206"/>
      <c r="HW1539" s="206"/>
      <c r="HX1539" s="206"/>
      <c r="HY1539" s="206"/>
      <c r="HZ1539" s="206"/>
      <c r="IA1539" s="206"/>
      <c r="IB1539" s="206"/>
      <c r="IC1539" s="206"/>
      <c r="ID1539" s="206"/>
      <c r="IE1539" s="206"/>
      <c r="IF1539" s="206"/>
      <c r="IG1539" s="206"/>
      <c r="IH1539" s="206"/>
      <c r="II1539" s="206"/>
      <c r="IJ1539" s="206"/>
      <c r="IK1539" s="206"/>
      <c r="IL1539" s="206"/>
      <c r="IM1539" s="206"/>
      <c r="IN1539" s="206"/>
      <c r="IO1539" s="206"/>
      <c r="IP1539" s="206"/>
      <c r="IQ1539" s="206"/>
      <c r="IR1539" s="206"/>
      <c r="IS1539" s="206"/>
      <c r="IT1539" s="206"/>
      <c r="IU1539" s="206"/>
      <c r="IV1539" s="206"/>
      <c r="IW1539" s="206"/>
      <c r="IX1539" s="206"/>
      <c r="IY1539" s="206"/>
      <c r="IZ1539" s="206"/>
      <c r="JA1539" s="206"/>
      <c r="JB1539" s="206"/>
      <c r="JC1539" s="206"/>
      <c r="JD1539" s="206"/>
      <c r="JE1539" s="206"/>
      <c r="JF1539" s="206"/>
      <c r="JG1539" s="206"/>
      <c r="JH1539" s="206"/>
      <c r="JI1539" s="206"/>
      <c r="JJ1539" s="206"/>
      <c r="JK1539" s="206"/>
      <c r="JL1539" s="206"/>
      <c r="JM1539" s="206"/>
      <c r="JN1539" s="206"/>
      <c r="JO1539" s="206"/>
      <c r="JP1539" s="206"/>
      <c r="JQ1539" s="206"/>
      <c r="JR1539" s="206"/>
      <c r="JS1539" s="206"/>
      <c r="JT1539" s="206"/>
      <c r="JU1539" s="206"/>
      <c r="JV1539" s="206"/>
      <c r="JW1539" s="206"/>
      <c r="JX1539" s="206"/>
      <c r="JY1539" s="206"/>
      <c r="JZ1539" s="206"/>
      <c r="KA1539" s="206"/>
      <c r="KB1539" s="206"/>
      <c r="KC1539" s="206"/>
      <c r="KD1539" s="206"/>
      <c r="KE1539" s="206"/>
      <c r="KF1539" s="206"/>
      <c r="KG1539" s="206"/>
      <c r="KH1539" s="206"/>
      <c r="KI1539" s="206"/>
      <c r="KJ1539" s="206"/>
      <c r="KK1539" s="206"/>
      <c r="KL1539" s="206"/>
      <c r="KM1539" s="206"/>
      <c r="KN1539" s="206"/>
      <c r="KO1539" s="206"/>
      <c r="KP1539" s="206"/>
      <c r="KQ1539" s="206"/>
      <c r="KR1539" s="206"/>
      <c r="KS1539" s="206"/>
      <c r="KT1539" s="206"/>
      <c r="KU1539" s="206"/>
      <c r="KV1539" s="206"/>
      <c r="KW1539" s="206"/>
      <c r="KX1539" s="206"/>
      <c r="KY1539" s="206"/>
      <c r="KZ1539" s="206"/>
      <c r="LA1539" s="206"/>
      <c r="LB1539" s="206"/>
      <c r="LC1539" s="206"/>
      <c r="LD1539" s="206"/>
      <c r="LE1539" s="206"/>
      <c r="LF1539" s="206"/>
      <c r="LG1539" s="206"/>
      <c r="LH1539" s="206"/>
      <c r="LI1539" s="206"/>
      <c r="LJ1539" s="206"/>
      <c r="LK1539" s="206"/>
      <c r="LL1539" s="206"/>
      <c r="LM1539" s="206"/>
      <c r="LN1539" s="206"/>
      <c r="LO1539" s="206"/>
      <c r="LP1539" s="206"/>
      <c r="LQ1539" s="206"/>
      <c r="LR1539" s="206"/>
      <c r="LS1539" s="206"/>
      <c r="LT1539" s="206"/>
      <c r="LU1539" s="206"/>
      <c r="LV1539" s="206"/>
      <c r="LW1539" s="206"/>
      <c r="LX1539" s="206"/>
      <c r="LY1539" s="206"/>
      <c r="LZ1539" s="206"/>
      <c r="MA1539" s="206"/>
      <c r="MB1539" s="206"/>
      <c r="MC1539" s="206"/>
      <c r="MD1539" s="206"/>
      <c r="ME1539" s="206"/>
      <c r="MF1539" s="206"/>
      <c r="MG1539" s="206"/>
      <c r="MH1539" s="206"/>
      <c r="MI1539" s="206"/>
      <c r="MJ1539" s="206"/>
      <c r="MK1539" s="206"/>
      <c r="ML1539" s="206"/>
      <c r="MM1539" s="206"/>
      <c r="MN1539" s="206"/>
      <c r="MO1539" s="206"/>
      <c r="MP1539" s="206"/>
      <c r="MQ1539" s="206"/>
      <c r="MR1539" s="206"/>
      <c r="MS1539" s="206"/>
      <c r="MT1539" s="206"/>
      <c r="MU1539" s="206"/>
      <c r="MV1539" s="206"/>
      <c r="MW1539" s="206"/>
      <c r="MX1539" s="206"/>
      <c r="MY1539" s="206"/>
      <c r="MZ1539" s="206"/>
      <c r="NA1539" s="206"/>
      <c r="NB1539" s="206"/>
      <c r="NC1539" s="206"/>
      <c r="ND1539" s="206"/>
      <c r="NE1539" s="206"/>
      <c r="NF1539" s="206"/>
      <c r="NG1539" s="206"/>
      <c r="NH1539" s="206"/>
      <c r="NI1539" s="206"/>
      <c r="NJ1539" s="206"/>
      <c r="NK1539" s="206"/>
      <c r="NL1539" s="206"/>
      <c r="NM1539" s="206"/>
      <c r="NN1539" s="206"/>
      <c r="NO1539" s="206"/>
      <c r="NP1539" s="206"/>
      <c r="NQ1539" s="206"/>
      <c r="NR1539" s="206"/>
      <c r="NS1539" s="206"/>
      <c r="NT1539" s="206"/>
      <c r="NU1539" s="206"/>
      <c r="NV1539" s="206"/>
      <c r="NW1539" s="206"/>
      <c r="NX1539" s="206"/>
      <c r="NY1539" s="206"/>
      <c r="NZ1539" s="206"/>
      <c r="OA1539" s="206"/>
      <c r="OB1539" s="206"/>
      <c r="OC1539" s="206"/>
      <c r="OD1539" s="206"/>
      <c r="OE1539" s="206"/>
      <c r="OF1539" s="206"/>
      <c r="OG1539" s="206"/>
      <c r="OH1539" s="206"/>
      <c r="OI1539" s="206"/>
      <c r="OJ1539" s="206"/>
      <c r="OK1539" s="206"/>
      <c r="OL1539" s="206"/>
      <c r="OM1539" s="206"/>
      <c r="ON1539" s="206"/>
      <c r="OO1539" s="206"/>
      <c r="OP1539" s="206"/>
      <c r="OQ1539" s="206"/>
      <c r="OR1539" s="206"/>
      <c r="OS1539" s="206"/>
      <c r="OT1539" s="206"/>
      <c r="OU1539" s="206"/>
      <c r="OV1539" s="206"/>
      <c r="OW1539" s="206"/>
      <c r="OX1539" s="206"/>
      <c r="OY1539" s="206"/>
      <c r="OZ1539" s="206"/>
      <c r="PA1539" s="206"/>
      <c r="PB1539" s="206"/>
      <c r="PC1539" s="206"/>
      <c r="PD1539" s="206"/>
      <c r="PE1539" s="206"/>
      <c r="PF1539" s="206"/>
      <c r="PG1539" s="206"/>
      <c r="PH1539" s="206"/>
      <c r="PI1539" s="206"/>
      <c r="PJ1539" s="206"/>
      <c r="PK1539" s="206"/>
      <c r="PL1539" s="206"/>
      <c r="PM1539" s="206"/>
      <c r="PN1539" s="206"/>
      <c r="PO1539" s="206"/>
      <c r="PP1539" s="206"/>
      <c r="PQ1539" s="206"/>
      <c r="PR1539" s="206"/>
      <c r="PS1539" s="206"/>
      <c r="PT1539" s="206"/>
      <c r="PU1539" s="206"/>
      <c r="PV1539" s="206"/>
      <c r="PW1539" s="206"/>
      <c r="PX1539" s="206"/>
      <c r="PY1539" s="206"/>
      <c r="PZ1539" s="206"/>
      <c r="QA1539" s="206"/>
      <c r="QB1539" s="206"/>
      <c r="QC1539" s="206"/>
      <c r="QD1539" s="206"/>
      <c r="QE1539" s="206"/>
      <c r="QF1539" s="206"/>
      <c r="QG1539" s="206"/>
      <c r="QH1539" s="206"/>
      <c r="QI1539" s="206"/>
      <c r="QJ1539" s="206"/>
      <c r="QK1539" s="206"/>
      <c r="QL1539" s="206"/>
      <c r="QM1539" s="206"/>
      <c r="QN1539" s="206"/>
      <c r="QO1539" s="206"/>
      <c r="QP1539" s="206"/>
      <c r="QQ1539" s="206"/>
      <c r="QR1539" s="206"/>
      <c r="QS1539" s="206"/>
      <c r="QT1539" s="206"/>
      <c r="QU1539" s="206"/>
      <c r="QV1539" s="206"/>
      <c r="QW1539" s="206"/>
      <c r="QX1539" s="206"/>
      <c r="QY1539" s="206"/>
      <c r="QZ1539" s="206"/>
      <c r="RA1539" s="206"/>
      <c r="RB1539" s="206"/>
      <c r="RC1539" s="206"/>
      <c r="RD1539" s="206"/>
      <c r="RE1539" s="206"/>
      <c r="RF1539" s="206"/>
      <c r="RG1539" s="206"/>
      <c r="RH1539" s="206"/>
      <c r="RI1539" s="206"/>
      <c r="RJ1539" s="206"/>
      <c r="RK1539" s="206"/>
      <c r="RL1539" s="206"/>
      <c r="RM1539" s="206"/>
      <c r="RN1539" s="206"/>
      <c r="RO1539" s="206"/>
      <c r="RP1539" s="206"/>
      <c r="RQ1539" s="206"/>
      <c r="RR1539" s="206"/>
      <c r="RS1539" s="206"/>
      <c r="RT1539" s="206"/>
      <c r="RU1539" s="206"/>
      <c r="RV1539" s="206"/>
      <c r="RW1539" s="206"/>
      <c r="RX1539" s="206"/>
      <c r="RY1539" s="206"/>
      <c r="RZ1539" s="206"/>
      <c r="SA1539" s="206"/>
      <c r="SB1539" s="206"/>
      <c r="SC1539" s="206"/>
      <c r="SD1539" s="206"/>
      <c r="SE1539" s="206"/>
      <c r="SF1539" s="206"/>
      <c r="SG1539" s="206"/>
      <c r="SH1539" s="206"/>
      <c r="SI1539" s="206"/>
      <c r="SJ1539" s="206"/>
      <c r="SK1539" s="206"/>
      <c r="SL1539" s="206"/>
      <c r="SM1539" s="206"/>
      <c r="SN1539" s="206"/>
      <c r="SO1539" s="206"/>
      <c r="SP1539" s="206"/>
      <c r="SQ1539" s="206"/>
      <c r="SR1539" s="206"/>
      <c r="SS1539" s="206"/>
      <c r="ST1539" s="206"/>
      <c r="SU1539" s="206"/>
      <c r="SV1539" s="206"/>
      <c r="SW1539" s="206"/>
      <c r="SX1539" s="206"/>
      <c r="SY1539" s="206"/>
      <c r="SZ1539" s="206"/>
      <c r="TA1539" s="206"/>
      <c r="TB1539" s="206"/>
      <c r="TC1539" s="206"/>
      <c r="TD1539" s="206"/>
      <c r="TE1539" s="206"/>
      <c r="TF1539" s="206"/>
      <c r="TG1539" s="206"/>
      <c r="TH1539" s="206"/>
      <c r="TI1539" s="206"/>
      <c r="TJ1539" s="206"/>
      <c r="TK1539" s="206"/>
      <c r="TL1539" s="206"/>
      <c r="TM1539" s="206"/>
      <c r="TN1539" s="206"/>
      <c r="TO1539" s="206"/>
      <c r="TP1539" s="206"/>
      <c r="TQ1539" s="206"/>
      <c r="TR1539" s="206"/>
      <c r="TS1539" s="206"/>
      <c r="TT1539" s="206"/>
      <c r="TU1539" s="206"/>
      <c r="TV1539" s="206"/>
      <c r="TW1539" s="206"/>
      <c r="TX1539" s="206"/>
      <c r="TY1539" s="206"/>
      <c r="TZ1539" s="206"/>
      <c r="UA1539" s="206"/>
      <c r="UB1539" s="206"/>
      <c r="UC1539" s="206"/>
      <c r="UD1539" s="206"/>
    </row>
    <row r="1540" spans="1:550" s="874" customFormat="1" ht="37.5" customHeight="1">
      <c r="A1540" s="924" t="s">
        <v>53</v>
      </c>
      <c r="B1540" s="953"/>
      <c r="C1540" s="1630" t="s">
        <v>59</v>
      </c>
      <c r="D1540" s="1596"/>
      <c r="E1540" s="1596"/>
      <c r="F1540" s="1596"/>
      <c r="G1540" s="949"/>
      <c r="H1540" s="954"/>
      <c r="I1540" s="955"/>
      <c r="J1540" s="1003"/>
      <c r="K1540" s="952"/>
      <c r="L1540" s="953">
        <f>SUM(L1541:L1548)</f>
        <v>554008900</v>
      </c>
      <c r="M1540" s="953"/>
      <c r="N1540" s="953"/>
      <c r="O1540" s="953"/>
      <c r="P1540" s="953"/>
      <c r="Q1540" s="1177"/>
      <c r="R1540" s="486"/>
      <c r="S1540" s="486"/>
      <c r="T1540" s="486"/>
      <c r="U1540" s="486"/>
      <c r="V1540" s="486"/>
      <c r="W1540" s="486"/>
      <c r="X1540" s="486"/>
      <c r="Y1540" s="486"/>
      <c r="Z1540" s="486"/>
      <c r="AA1540" s="486"/>
      <c r="AB1540" s="486"/>
      <c r="AC1540" s="486"/>
      <c r="AD1540" s="486"/>
      <c r="AE1540" s="486"/>
      <c r="AF1540" s="486"/>
      <c r="AG1540" s="486"/>
      <c r="AH1540" s="486"/>
      <c r="AI1540" s="486"/>
      <c r="AJ1540" s="486"/>
      <c r="AK1540" s="486"/>
      <c r="AL1540" s="206"/>
      <c r="AM1540" s="206"/>
      <c r="AN1540" s="206"/>
      <c r="AO1540" s="206"/>
      <c r="AP1540" s="206"/>
      <c r="AQ1540" s="206"/>
      <c r="AR1540" s="206"/>
      <c r="AS1540" s="206"/>
      <c r="AT1540" s="206"/>
      <c r="AU1540" s="206"/>
      <c r="AV1540" s="206"/>
      <c r="AW1540" s="206"/>
      <c r="AX1540" s="206"/>
      <c r="AY1540" s="206"/>
      <c r="AZ1540" s="206"/>
      <c r="BA1540" s="206"/>
      <c r="BB1540" s="206"/>
      <c r="BC1540" s="206"/>
      <c r="BD1540" s="206"/>
      <c r="BE1540" s="206"/>
      <c r="BF1540" s="206"/>
      <c r="BG1540" s="206"/>
      <c r="BH1540" s="206"/>
      <c r="BI1540" s="206"/>
      <c r="BJ1540" s="206"/>
      <c r="BK1540" s="206"/>
      <c r="BL1540" s="206"/>
      <c r="BM1540" s="206"/>
      <c r="BN1540" s="206"/>
      <c r="BO1540" s="206"/>
      <c r="BP1540" s="206"/>
      <c r="BQ1540" s="206"/>
      <c r="BR1540" s="206"/>
      <c r="BS1540" s="206"/>
      <c r="BT1540" s="206"/>
      <c r="BU1540" s="206"/>
      <c r="BV1540" s="206"/>
      <c r="BW1540" s="206"/>
      <c r="BX1540" s="206"/>
      <c r="BY1540" s="206"/>
      <c r="BZ1540" s="206"/>
      <c r="CA1540" s="206"/>
      <c r="CB1540" s="206"/>
      <c r="CC1540" s="206"/>
      <c r="CD1540" s="206"/>
      <c r="CE1540" s="206"/>
      <c r="CF1540" s="206"/>
      <c r="CG1540" s="206"/>
      <c r="CH1540" s="206"/>
      <c r="CI1540" s="206"/>
      <c r="CJ1540" s="206"/>
      <c r="CK1540" s="206"/>
      <c r="CL1540" s="206"/>
      <c r="CM1540" s="206"/>
      <c r="CN1540" s="206"/>
      <c r="CO1540" s="206"/>
      <c r="CP1540" s="206"/>
      <c r="CQ1540" s="206"/>
      <c r="CR1540" s="206"/>
      <c r="CS1540" s="206"/>
      <c r="CT1540" s="206"/>
      <c r="CU1540" s="206"/>
      <c r="CV1540" s="206"/>
      <c r="CW1540" s="206"/>
      <c r="CX1540" s="206"/>
      <c r="CY1540" s="206"/>
      <c r="CZ1540" s="206"/>
      <c r="DA1540" s="206"/>
      <c r="DB1540" s="206"/>
      <c r="DC1540" s="206"/>
      <c r="DD1540" s="206"/>
      <c r="DE1540" s="206"/>
      <c r="DF1540" s="206"/>
      <c r="DG1540" s="206"/>
      <c r="DH1540" s="206"/>
      <c r="DI1540" s="206"/>
      <c r="DJ1540" s="206"/>
      <c r="DK1540" s="206"/>
      <c r="DL1540" s="206"/>
      <c r="DM1540" s="206"/>
      <c r="DN1540" s="206"/>
      <c r="DO1540" s="206"/>
      <c r="DP1540" s="206"/>
      <c r="DQ1540" s="206"/>
      <c r="DR1540" s="206"/>
      <c r="DS1540" s="206"/>
      <c r="DT1540" s="206"/>
      <c r="DU1540" s="206"/>
      <c r="DV1540" s="206"/>
      <c r="DW1540" s="206"/>
      <c r="DX1540" s="206"/>
      <c r="DY1540" s="206"/>
      <c r="DZ1540" s="206"/>
      <c r="EA1540" s="206"/>
      <c r="EB1540" s="206"/>
      <c r="EC1540" s="206"/>
      <c r="ED1540" s="206"/>
      <c r="EE1540" s="206"/>
      <c r="EF1540" s="206"/>
      <c r="EG1540" s="206"/>
      <c r="EH1540" s="206"/>
      <c r="EI1540" s="206"/>
      <c r="EJ1540" s="206"/>
      <c r="EK1540" s="206"/>
      <c r="EL1540" s="206"/>
      <c r="EM1540" s="206"/>
      <c r="EN1540" s="206"/>
      <c r="EO1540" s="206"/>
      <c r="EP1540" s="206"/>
      <c r="EQ1540" s="206"/>
      <c r="ER1540" s="206"/>
      <c r="ES1540" s="206"/>
      <c r="ET1540" s="206"/>
      <c r="EU1540" s="206"/>
      <c r="EV1540" s="206"/>
      <c r="EW1540" s="206"/>
      <c r="EX1540" s="206"/>
      <c r="EY1540" s="206"/>
      <c r="EZ1540" s="206"/>
      <c r="FA1540" s="206"/>
      <c r="FB1540" s="206"/>
      <c r="FC1540" s="206"/>
      <c r="FD1540" s="206"/>
      <c r="FE1540" s="206"/>
      <c r="FF1540" s="206"/>
      <c r="FG1540" s="206"/>
      <c r="FH1540" s="206"/>
      <c r="FI1540" s="206"/>
      <c r="FJ1540" s="206"/>
      <c r="FK1540" s="206"/>
      <c r="FL1540" s="206"/>
      <c r="FM1540" s="206"/>
      <c r="FN1540" s="206"/>
      <c r="FO1540" s="206"/>
      <c r="FP1540" s="206"/>
      <c r="FQ1540" s="206"/>
      <c r="FR1540" s="206"/>
      <c r="FS1540" s="206"/>
      <c r="FT1540" s="206"/>
      <c r="FU1540" s="206"/>
      <c r="FV1540" s="206"/>
      <c r="FW1540" s="206"/>
      <c r="FX1540" s="206"/>
      <c r="FY1540" s="206"/>
      <c r="FZ1540" s="206"/>
      <c r="GA1540" s="206"/>
      <c r="GB1540" s="206"/>
      <c r="GC1540" s="206"/>
      <c r="GD1540" s="206"/>
      <c r="GE1540" s="206"/>
      <c r="GF1540" s="206"/>
      <c r="GG1540" s="206"/>
      <c r="GH1540" s="206"/>
      <c r="GI1540" s="206"/>
      <c r="GJ1540" s="206"/>
      <c r="GK1540" s="206"/>
      <c r="GL1540" s="206"/>
      <c r="GM1540" s="206"/>
      <c r="GN1540" s="206"/>
      <c r="GO1540" s="206"/>
      <c r="GP1540" s="206"/>
      <c r="GQ1540" s="206"/>
      <c r="GR1540" s="206"/>
      <c r="GS1540" s="206"/>
      <c r="GT1540" s="206"/>
      <c r="GU1540" s="206"/>
      <c r="GV1540" s="206"/>
      <c r="GW1540" s="206"/>
      <c r="GX1540" s="206"/>
      <c r="GY1540" s="206"/>
      <c r="GZ1540" s="206"/>
      <c r="HA1540" s="206"/>
      <c r="HB1540" s="206"/>
      <c r="HC1540" s="206"/>
      <c r="HD1540" s="206"/>
      <c r="HE1540" s="206"/>
      <c r="HF1540" s="206"/>
      <c r="HG1540" s="206"/>
      <c r="HH1540" s="206"/>
      <c r="HI1540" s="206"/>
      <c r="HJ1540" s="206"/>
      <c r="HK1540" s="206"/>
      <c r="HL1540" s="206"/>
      <c r="HM1540" s="206"/>
      <c r="HN1540" s="206"/>
      <c r="HO1540" s="206"/>
      <c r="HP1540" s="206"/>
      <c r="HQ1540" s="206"/>
      <c r="HR1540" s="206"/>
      <c r="HS1540" s="206"/>
      <c r="HT1540" s="206"/>
      <c r="HU1540" s="206"/>
      <c r="HV1540" s="206"/>
      <c r="HW1540" s="206"/>
      <c r="HX1540" s="206"/>
      <c r="HY1540" s="206"/>
      <c r="HZ1540" s="206"/>
      <c r="IA1540" s="206"/>
      <c r="IB1540" s="206"/>
      <c r="IC1540" s="206"/>
      <c r="ID1540" s="206"/>
      <c r="IE1540" s="206"/>
      <c r="IF1540" s="206"/>
      <c r="IG1540" s="206"/>
      <c r="IH1540" s="206"/>
      <c r="II1540" s="206"/>
      <c r="IJ1540" s="206"/>
      <c r="IK1540" s="206"/>
      <c r="IL1540" s="206"/>
      <c r="IM1540" s="206"/>
      <c r="IN1540" s="206"/>
      <c r="IO1540" s="206"/>
      <c r="IP1540" s="206"/>
      <c r="IQ1540" s="206"/>
      <c r="IR1540" s="206"/>
      <c r="IS1540" s="206"/>
      <c r="IT1540" s="206"/>
      <c r="IU1540" s="206"/>
      <c r="IV1540" s="206"/>
      <c r="IW1540" s="206"/>
      <c r="IX1540" s="206"/>
      <c r="IY1540" s="206"/>
      <c r="IZ1540" s="206"/>
      <c r="JA1540" s="206"/>
      <c r="JB1540" s="206"/>
      <c r="JC1540" s="206"/>
      <c r="JD1540" s="206"/>
      <c r="JE1540" s="206"/>
      <c r="JF1540" s="206"/>
      <c r="JG1540" s="206"/>
      <c r="JH1540" s="206"/>
      <c r="JI1540" s="206"/>
      <c r="JJ1540" s="206"/>
      <c r="JK1540" s="206"/>
      <c r="JL1540" s="206"/>
      <c r="JM1540" s="206"/>
      <c r="JN1540" s="206"/>
      <c r="JO1540" s="206"/>
      <c r="JP1540" s="206"/>
      <c r="JQ1540" s="206"/>
      <c r="JR1540" s="206"/>
      <c r="JS1540" s="206"/>
      <c r="JT1540" s="206"/>
      <c r="JU1540" s="206"/>
      <c r="JV1540" s="206"/>
      <c r="JW1540" s="206"/>
      <c r="JX1540" s="206"/>
      <c r="JY1540" s="206"/>
      <c r="JZ1540" s="206"/>
      <c r="KA1540" s="206"/>
      <c r="KB1540" s="206"/>
      <c r="KC1540" s="206"/>
      <c r="KD1540" s="206"/>
      <c r="KE1540" s="206"/>
      <c r="KF1540" s="206"/>
      <c r="KG1540" s="206"/>
      <c r="KH1540" s="206"/>
      <c r="KI1540" s="206"/>
      <c r="KJ1540" s="206"/>
      <c r="KK1540" s="206"/>
      <c r="KL1540" s="206"/>
      <c r="KM1540" s="206"/>
      <c r="KN1540" s="206"/>
      <c r="KO1540" s="206"/>
      <c r="KP1540" s="206"/>
      <c r="KQ1540" s="206"/>
      <c r="KR1540" s="206"/>
      <c r="KS1540" s="206"/>
      <c r="KT1540" s="206"/>
      <c r="KU1540" s="206"/>
      <c r="KV1540" s="206"/>
      <c r="KW1540" s="206"/>
      <c r="KX1540" s="206"/>
      <c r="KY1540" s="206"/>
      <c r="KZ1540" s="206"/>
      <c r="LA1540" s="206"/>
      <c r="LB1540" s="206"/>
      <c r="LC1540" s="206"/>
      <c r="LD1540" s="206"/>
      <c r="LE1540" s="206"/>
      <c r="LF1540" s="206"/>
      <c r="LG1540" s="206"/>
      <c r="LH1540" s="206"/>
      <c r="LI1540" s="206"/>
      <c r="LJ1540" s="206"/>
      <c r="LK1540" s="206"/>
      <c r="LL1540" s="206"/>
      <c r="LM1540" s="206"/>
      <c r="LN1540" s="206"/>
      <c r="LO1540" s="206"/>
      <c r="LP1540" s="206"/>
      <c r="LQ1540" s="206"/>
      <c r="LR1540" s="206"/>
      <c r="LS1540" s="206"/>
      <c r="LT1540" s="206"/>
      <c r="LU1540" s="206"/>
      <c r="LV1540" s="206"/>
      <c r="LW1540" s="206"/>
      <c r="LX1540" s="206"/>
      <c r="LY1540" s="206"/>
      <c r="LZ1540" s="206"/>
      <c r="MA1540" s="206"/>
      <c r="MB1540" s="206"/>
      <c r="MC1540" s="206"/>
      <c r="MD1540" s="206"/>
      <c r="ME1540" s="206"/>
      <c r="MF1540" s="206"/>
      <c r="MG1540" s="206"/>
      <c r="MH1540" s="206"/>
      <c r="MI1540" s="206"/>
      <c r="MJ1540" s="206"/>
      <c r="MK1540" s="206"/>
      <c r="ML1540" s="206"/>
      <c r="MM1540" s="206"/>
      <c r="MN1540" s="206"/>
      <c r="MO1540" s="206"/>
      <c r="MP1540" s="206"/>
      <c r="MQ1540" s="206"/>
      <c r="MR1540" s="206"/>
      <c r="MS1540" s="206"/>
      <c r="MT1540" s="206"/>
      <c r="MU1540" s="206"/>
      <c r="MV1540" s="206"/>
      <c r="MW1540" s="206"/>
      <c r="MX1540" s="206"/>
      <c r="MY1540" s="206"/>
      <c r="MZ1540" s="206"/>
      <c r="NA1540" s="206"/>
      <c r="NB1540" s="206"/>
      <c r="NC1540" s="206"/>
      <c r="ND1540" s="206"/>
      <c r="NE1540" s="206"/>
      <c r="NF1540" s="206"/>
      <c r="NG1540" s="206"/>
      <c r="NH1540" s="206"/>
      <c r="NI1540" s="206"/>
      <c r="NJ1540" s="206"/>
      <c r="NK1540" s="206"/>
      <c r="NL1540" s="206"/>
      <c r="NM1540" s="206"/>
      <c r="NN1540" s="206"/>
      <c r="NO1540" s="206"/>
      <c r="NP1540" s="206"/>
      <c r="NQ1540" s="206"/>
      <c r="NR1540" s="206"/>
      <c r="NS1540" s="206"/>
      <c r="NT1540" s="206"/>
      <c r="NU1540" s="206"/>
      <c r="NV1540" s="206"/>
      <c r="NW1540" s="206"/>
      <c r="NX1540" s="206"/>
      <c r="NY1540" s="206"/>
      <c r="NZ1540" s="206"/>
      <c r="OA1540" s="206"/>
      <c r="OB1540" s="206"/>
      <c r="OC1540" s="206"/>
      <c r="OD1540" s="206"/>
      <c r="OE1540" s="206"/>
      <c r="OF1540" s="206"/>
      <c r="OG1540" s="206"/>
      <c r="OH1540" s="206"/>
      <c r="OI1540" s="206"/>
      <c r="OJ1540" s="206"/>
      <c r="OK1540" s="206"/>
      <c r="OL1540" s="206"/>
      <c r="OM1540" s="206"/>
      <c r="ON1540" s="206"/>
      <c r="OO1540" s="206"/>
      <c r="OP1540" s="206"/>
      <c r="OQ1540" s="206"/>
      <c r="OR1540" s="206"/>
      <c r="OS1540" s="206"/>
      <c r="OT1540" s="206"/>
      <c r="OU1540" s="206"/>
      <c r="OV1540" s="206"/>
      <c r="OW1540" s="206"/>
      <c r="OX1540" s="206"/>
      <c r="OY1540" s="206"/>
      <c r="OZ1540" s="206"/>
      <c r="PA1540" s="206"/>
      <c r="PB1540" s="206"/>
      <c r="PC1540" s="206"/>
      <c r="PD1540" s="206"/>
      <c r="PE1540" s="206"/>
      <c r="PF1540" s="206"/>
      <c r="PG1540" s="206"/>
      <c r="PH1540" s="206"/>
      <c r="PI1540" s="206"/>
      <c r="PJ1540" s="206"/>
      <c r="PK1540" s="206"/>
      <c r="PL1540" s="206"/>
      <c r="PM1540" s="206"/>
      <c r="PN1540" s="206"/>
      <c r="PO1540" s="206"/>
      <c r="PP1540" s="206"/>
      <c r="PQ1540" s="206"/>
      <c r="PR1540" s="206"/>
      <c r="PS1540" s="206"/>
      <c r="PT1540" s="206"/>
      <c r="PU1540" s="206"/>
      <c r="PV1540" s="206"/>
      <c r="PW1540" s="206"/>
      <c r="PX1540" s="206"/>
      <c r="PY1540" s="206"/>
      <c r="PZ1540" s="206"/>
      <c r="QA1540" s="206"/>
      <c r="QB1540" s="206"/>
      <c r="QC1540" s="206"/>
      <c r="QD1540" s="206"/>
      <c r="QE1540" s="206"/>
      <c r="QF1540" s="206"/>
      <c r="QG1540" s="206"/>
      <c r="QH1540" s="206"/>
      <c r="QI1540" s="206"/>
      <c r="QJ1540" s="206"/>
      <c r="QK1540" s="206"/>
      <c r="QL1540" s="206"/>
      <c r="QM1540" s="206"/>
      <c r="QN1540" s="206"/>
      <c r="QO1540" s="206"/>
      <c r="QP1540" s="206"/>
      <c r="QQ1540" s="206"/>
      <c r="QR1540" s="206"/>
      <c r="QS1540" s="206"/>
      <c r="QT1540" s="206"/>
      <c r="QU1540" s="206"/>
      <c r="QV1540" s="206"/>
      <c r="QW1540" s="206"/>
      <c r="QX1540" s="206"/>
      <c r="QY1540" s="206"/>
      <c r="QZ1540" s="206"/>
      <c r="RA1540" s="206"/>
      <c r="RB1540" s="206"/>
      <c r="RC1540" s="206"/>
      <c r="RD1540" s="206"/>
      <c r="RE1540" s="206"/>
      <c r="RF1540" s="206"/>
      <c r="RG1540" s="206"/>
      <c r="RH1540" s="206"/>
      <c r="RI1540" s="206"/>
      <c r="RJ1540" s="206"/>
      <c r="RK1540" s="206"/>
      <c r="RL1540" s="206"/>
      <c r="RM1540" s="206"/>
      <c r="RN1540" s="206"/>
      <c r="RO1540" s="206"/>
      <c r="RP1540" s="206"/>
      <c r="RQ1540" s="206"/>
      <c r="RR1540" s="206"/>
      <c r="RS1540" s="206"/>
      <c r="RT1540" s="206"/>
      <c r="RU1540" s="206"/>
      <c r="RV1540" s="206"/>
      <c r="RW1540" s="206"/>
      <c r="RX1540" s="206"/>
      <c r="RY1540" s="206"/>
      <c r="RZ1540" s="206"/>
      <c r="SA1540" s="206"/>
      <c r="SB1540" s="206"/>
      <c r="SC1540" s="206"/>
      <c r="SD1540" s="206"/>
      <c r="SE1540" s="206"/>
      <c r="SF1540" s="206"/>
      <c r="SG1540" s="206"/>
      <c r="SH1540" s="206"/>
      <c r="SI1540" s="206"/>
      <c r="SJ1540" s="206"/>
      <c r="SK1540" s="206"/>
      <c r="SL1540" s="206"/>
      <c r="SM1540" s="206"/>
      <c r="SN1540" s="206"/>
      <c r="SO1540" s="206"/>
      <c r="SP1540" s="206"/>
      <c r="SQ1540" s="206"/>
      <c r="SR1540" s="206"/>
      <c r="SS1540" s="206"/>
      <c r="ST1540" s="206"/>
      <c r="SU1540" s="206"/>
      <c r="SV1540" s="206"/>
      <c r="SW1540" s="206"/>
      <c r="SX1540" s="206"/>
      <c r="SY1540" s="206"/>
      <c r="SZ1540" s="206"/>
      <c r="TA1540" s="206"/>
      <c r="TB1540" s="206"/>
      <c r="TC1540" s="206"/>
      <c r="TD1540" s="206"/>
      <c r="TE1540" s="206"/>
      <c r="TF1540" s="206"/>
      <c r="TG1540" s="206"/>
      <c r="TH1540" s="206"/>
      <c r="TI1540" s="206"/>
      <c r="TJ1540" s="206"/>
      <c r="TK1540" s="206"/>
      <c r="TL1540" s="206"/>
      <c r="TM1540" s="206"/>
      <c r="TN1540" s="206"/>
      <c r="TO1540" s="206"/>
      <c r="TP1540" s="206"/>
      <c r="TQ1540" s="206"/>
      <c r="TR1540" s="206"/>
      <c r="TS1540" s="206"/>
      <c r="TT1540" s="206"/>
      <c r="TU1540" s="206"/>
      <c r="TV1540" s="206"/>
      <c r="TW1540" s="206"/>
      <c r="TX1540" s="206"/>
      <c r="TY1540" s="206"/>
      <c r="TZ1540" s="206"/>
      <c r="UA1540" s="206"/>
      <c r="UB1540" s="206"/>
      <c r="UC1540" s="206"/>
      <c r="UD1540" s="206"/>
    </row>
    <row r="1541" spans="1:550" s="874" customFormat="1" ht="39" customHeight="1">
      <c r="A1541" s="924" t="s">
        <v>15</v>
      </c>
      <c r="B1541" s="940"/>
      <c r="C1541" s="942" t="str">
        <f t="shared" ref="C1541:E1545" si="232">C1529</f>
        <v>Đất chuyên trồng lúa nước (LUC)</v>
      </c>
      <c r="D1541" s="942" t="str">
        <f t="shared" si="232"/>
        <v>1</v>
      </c>
      <c r="E1541" s="940" t="str">
        <f t="shared" si="232"/>
        <v>109</v>
      </c>
      <c r="F1541" s="940"/>
      <c r="G1541" s="943" t="s">
        <v>1357</v>
      </c>
      <c r="H1541" s="954"/>
      <c r="I1541" s="945">
        <f t="shared" ref="I1541:I1548" si="233">I1529</f>
        <v>928.3</v>
      </c>
      <c r="J1541" s="1003">
        <v>72000</v>
      </c>
      <c r="K1541" s="957">
        <v>3</v>
      </c>
      <c r="L1541" s="949">
        <f t="shared" ref="L1541:L1548" si="234">I1541*J1541*K1541</f>
        <v>200512800</v>
      </c>
      <c r="M1541" s="949"/>
      <c r="N1541" s="949"/>
      <c r="O1541" s="949"/>
      <c r="P1541" s="949"/>
      <c r="Q1541" s="1178"/>
      <c r="R1541" s="1447" t="s">
        <v>1361</v>
      </c>
      <c r="S1541" s="486"/>
      <c r="T1541" s="486"/>
      <c r="U1541" s="486"/>
      <c r="V1541" s="486"/>
      <c r="W1541" s="486"/>
      <c r="X1541" s="486"/>
      <c r="Y1541" s="486"/>
      <c r="Z1541" s="486"/>
      <c r="AA1541" s="486"/>
      <c r="AB1541" s="486"/>
      <c r="AC1541" s="486"/>
      <c r="AD1541" s="486"/>
      <c r="AE1541" s="486"/>
      <c r="AF1541" s="486"/>
      <c r="AG1541" s="486"/>
      <c r="AH1541" s="486"/>
      <c r="AI1541" s="486"/>
      <c r="AJ1541" s="486"/>
      <c r="AK1541" s="486"/>
      <c r="AL1541" s="206"/>
      <c r="AM1541" s="206"/>
      <c r="AN1541" s="206"/>
      <c r="AO1541" s="206"/>
      <c r="AP1541" s="206"/>
      <c r="AQ1541" s="206"/>
      <c r="AR1541" s="206"/>
      <c r="AS1541" s="206"/>
      <c r="AT1541" s="206"/>
      <c r="AU1541" s="206"/>
      <c r="AV1541" s="206"/>
      <c r="AW1541" s="206"/>
      <c r="AX1541" s="206"/>
      <c r="AY1541" s="206"/>
      <c r="AZ1541" s="206"/>
      <c r="BA1541" s="206"/>
      <c r="BB1541" s="206"/>
      <c r="BC1541" s="206"/>
      <c r="BD1541" s="206"/>
      <c r="BE1541" s="206"/>
      <c r="BF1541" s="206"/>
      <c r="BG1541" s="206"/>
      <c r="BH1541" s="206"/>
      <c r="BI1541" s="206"/>
      <c r="BJ1541" s="206"/>
      <c r="BK1541" s="206"/>
      <c r="BL1541" s="206"/>
      <c r="BM1541" s="206"/>
      <c r="BN1541" s="206"/>
      <c r="BO1541" s="206"/>
      <c r="BP1541" s="206"/>
      <c r="BQ1541" s="206"/>
      <c r="BR1541" s="206"/>
      <c r="BS1541" s="206"/>
      <c r="BT1541" s="206"/>
      <c r="BU1541" s="206"/>
      <c r="BV1541" s="206"/>
      <c r="BW1541" s="206"/>
      <c r="BX1541" s="206"/>
      <c r="BY1541" s="206"/>
      <c r="BZ1541" s="206"/>
      <c r="CA1541" s="206"/>
      <c r="CB1541" s="206"/>
      <c r="CC1541" s="206"/>
      <c r="CD1541" s="206"/>
      <c r="CE1541" s="206"/>
      <c r="CF1541" s="206"/>
      <c r="CG1541" s="206"/>
      <c r="CH1541" s="206"/>
      <c r="CI1541" s="206"/>
      <c r="CJ1541" s="206"/>
      <c r="CK1541" s="206"/>
      <c r="CL1541" s="206"/>
      <c r="CM1541" s="206"/>
      <c r="CN1541" s="206"/>
      <c r="CO1541" s="206"/>
      <c r="CP1541" s="206"/>
      <c r="CQ1541" s="206"/>
      <c r="CR1541" s="206"/>
      <c r="CS1541" s="206"/>
      <c r="CT1541" s="206"/>
      <c r="CU1541" s="206"/>
      <c r="CV1541" s="206"/>
      <c r="CW1541" s="206"/>
      <c r="CX1541" s="206"/>
      <c r="CY1541" s="206"/>
      <c r="CZ1541" s="206"/>
      <c r="DA1541" s="206"/>
      <c r="DB1541" s="206"/>
      <c r="DC1541" s="206"/>
      <c r="DD1541" s="206"/>
      <c r="DE1541" s="206"/>
      <c r="DF1541" s="206"/>
      <c r="DG1541" s="206"/>
      <c r="DH1541" s="206"/>
      <c r="DI1541" s="206"/>
      <c r="DJ1541" s="206"/>
      <c r="DK1541" s="206"/>
      <c r="DL1541" s="206"/>
      <c r="DM1541" s="206"/>
      <c r="DN1541" s="206"/>
      <c r="DO1541" s="206"/>
      <c r="DP1541" s="206"/>
      <c r="DQ1541" s="206"/>
      <c r="DR1541" s="206"/>
      <c r="DS1541" s="206"/>
      <c r="DT1541" s="206"/>
      <c r="DU1541" s="206"/>
      <c r="DV1541" s="206"/>
      <c r="DW1541" s="206"/>
      <c r="DX1541" s="206"/>
      <c r="DY1541" s="206"/>
      <c r="DZ1541" s="206"/>
      <c r="EA1541" s="206"/>
      <c r="EB1541" s="206"/>
      <c r="EC1541" s="206"/>
      <c r="ED1541" s="206"/>
      <c r="EE1541" s="206"/>
      <c r="EF1541" s="206"/>
      <c r="EG1541" s="206"/>
      <c r="EH1541" s="206"/>
      <c r="EI1541" s="206"/>
      <c r="EJ1541" s="206"/>
      <c r="EK1541" s="206"/>
      <c r="EL1541" s="206"/>
      <c r="EM1541" s="206"/>
      <c r="EN1541" s="206"/>
      <c r="EO1541" s="206"/>
      <c r="EP1541" s="206"/>
      <c r="EQ1541" s="206"/>
      <c r="ER1541" s="206"/>
      <c r="ES1541" s="206"/>
      <c r="ET1541" s="206"/>
      <c r="EU1541" s="206"/>
      <c r="EV1541" s="206"/>
      <c r="EW1541" s="206"/>
      <c r="EX1541" s="206"/>
      <c r="EY1541" s="206"/>
      <c r="EZ1541" s="206"/>
      <c r="FA1541" s="206"/>
      <c r="FB1541" s="206"/>
      <c r="FC1541" s="206"/>
      <c r="FD1541" s="206"/>
      <c r="FE1541" s="206"/>
      <c r="FF1541" s="206"/>
      <c r="FG1541" s="206"/>
      <c r="FH1541" s="206"/>
      <c r="FI1541" s="206"/>
      <c r="FJ1541" s="206"/>
      <c r="FK1541" s="206"/>
      <c r="FL1541" s="206"/>
      <c r="FM1541" s="206"/>
      <c r="FN1541" s="206"/>
      <c r="FO1541" s="206"/>
      <c r="FP1541" s="206"/>
      <c r="FQ1541" s="206"/>
      <c r="FR1541" s="206"/>
      <c r="FS1541" s="206"/>
      <c r="FT1541" s="206"/>
      <c r="FU1541" s="206"/>
      <c r="FV1541" s="206"/>
      <c r="FW1541" s="206"/>
      <c r="FX1541" s="206"/>
      <c r="FY1541" s="206"/>
      <c r="FZ1541" s="206"/>
      <c r="GA1541" s="206"/>
      <c r="GB1541" s="206"/>
      <c r="GC1541" s="206"/>
      <c r="GD1541" s="206"/>
      <c r="GE1541" s="206"/>
      <c r="GF1541" s="206"/>
      <c r="GG1541" s="206"/>
      <c r="GH1541" s="206"/>
      <c r="GI1541" s="206"/>
      <c r="GJ1541" s="206"/>
      <c r="GK1541" s="206"/>
      <c r="GL1541" s="206"/>
      <c r="GM1541" s="206"/>
      <c r="GN1541" s="206"/>
      <c r="GO1541" s="206"/>
      <c r="GP1541" s="206"/>
      <c r="GQ1541" s="206"/>
      <c r="GR1541" s="206"/>
      <c r="GS1541" s="206"/>
      <c r="GT1541" s="206"/>
      <c r="GU1541" s="206"/>
      <c r="GV1541" s="206"/>
      <c r="GW1541" s="206"/>
      <c r="GX1541" s="206"/>
      <c r="GY1541" s="206"/>
      <c r="GZ1541" s="206"/>
      <c r="HA1541" s="206"/>
      <c r="HB1541" s="206"/>
      <c r="HC1541" s="206"/>
      <c r="HD1541" s="206"/>
      <c r="HE1541" s="206"/>
      <c r="HF1541" s="206"/>
      <c r="HG1541" s="206"/>
      <c r="HH1541" s="206"/>
      <c r="HI1541" s="206"/>
      <c r="HJ1541" s="206"/>
      <c r="HK1541" s="206"/>
      <c r="HL1541" s="206"/>
      <c r="HM1541" s="206"/>
      <c r="HN1541" s="206"/>
      <c r="HO1541" s="206"/>
      <c r="HP1541" s="206"/>
      <c r="HQ1541" s="206"/>
      <c r="HR1541" s="206"/>
      <c r="HS1541" s="206"/>
      <c r="HT1541" s="206"/>
      <c r="HU1541" s="206"/>
      <c r="HV1541" s="206"/>
      <c r="HW1541" s="206"/>
      <c r="HX1541" s="206"/>
      <c r="HY1541" s="206"/>
      <c r="HZ1541" s="206"/>
      <c r="IA1541" s="206"/>
      <c r="IB1541" s="206"/>
      <c r="IC1541" s="206"/>
      <c r="ID1541" s="206"/>
      <c r="IE1541" s="206"/>
      <c r="IF1541" s="206"/>
      <c r="IG1541" s="206"/>
      <c r="IH1541" s="206"/>
      <c r="II1541" s="206"/>
      <c r="IJ1541" s="206"/>
      <c r="IK1541" s="206"/>
      <c r="IL1541" s="206"/>
      <c r="IM1541" s="206"/>
      <c r="IN1541" s="206"/>
      <c r="IO1541" s="206"/>
      <c r="IP1541" s="206"/>
      <c r="IQ1541" s="206"/>
      <c r="IR1541" s="206"/>
      <c r="IS1541" s="206"/>
      <c r="IT1541" s="206"/>
      <c r="IU1541" s="206"/>
      <c r="IV1541" s="206"/>
      <c r="IW1541" s="206"/>
      <c r="IX1541" s="206"/>
      <c r="IY1541" s="206"/>
      <c r="IZ1541" s="206"/>
      <c r="JA1541" s="206"/>
      <c r="JB1541" s="206"/>
      <c r="JC1541" s="206"/>
      <c r="JD1541" s="206"/>
      <c r="JE1541" s="206"/>
      <c r="JF1541" s="206"/>
      <c r="JG1541" s="206"/>
      <c r="JH1541" s="206"/>
      <c r="JI1541" s="206"/>
      <c r="JJ1541" s="206"/>
      <c r="JK1541" s="206"/>
      <c r="JL1541" s="206"/>
      <c r="JM1541" s="206"/>
      <c r="JN1541" s="206"/>
      <c r="JO1541" s="206"/>
      <c r="JP1541" s="206"/>
      <c r="JQ1541" s="206"/>
      <c r="JR1541" s="206"/>
      <c r="JS1541" s="206"/>
      <c r="JT1541" s="206"/>
      <c r="JU1541" s="206"/>
      <c r="JV1541" s="206"/>
      <c r="JW1541" s="206"/>
      <c r="JX1541" s="206"/>
      <c r="JY1541" s="206"/>
      <c r="JZ1541" s="206"/>
      <c r="KA1541" s="206"/>
      <c r="KB1541" s="206"/>
      <c r="KC1541" s="206"/>
      <c r="KD1541" s="206"/>
      <c r="KE1541" s="206"/>
      <c r="KF1541" s="206"/>
      <c r="KG1541" s="206"/>
      <c r="KH1541" s="206"/>
      <c r="KI1541" s="206"/>
      <c r="KJ1541" s="206"/>
      <c r="KK1541" s="206"/>
      <c r="KL1541" s="206"/>
      <c r="KM1541" s="206"/>
      <c r="KN1541" s="206"/>
      <c r="KO1541" s="206"/>
      <c r="KP1541" s="206"/>
      <c r="KQ1541" s="206"/>
      <c r="KR1541" s="206"/>
      <c r="KS1541" s="206"/>
      <c r="KT1541" s="206"/>
      <c r="KU1541" s="206"/>
      <c r="KV1541" s="206"/>
      <c r="KW1541" s="206"/>
      <c r="KX1541" s="206"/>
      <c r="KY1541" s="206"/>
      <c r="KZ1541" s="206"/>
      <c r="LA1541" s="206"/>
      <c r="LB1541" s="206"/>
      <c r="LC1541" s="206"/>
      <c r="LD1541" s="206"/>
      <c r="LE1541" s="206"/>
      <c r="LF1541" s="206"/>
      <c r="LG1541" s="206"/>
      <c r="LH1541" s="206"/>
      <c r="LI1541" s="206"/>
      <c r="LJ1541" s="206"/>
      <c r="LK1541" s="206"/>
      <c r="LL1541" s="206"/>
      <c r="LM1541" s="206"/>
      <c r="LN1541" s="206"/>
      <c r="LO1541" s="206"/>
      <c r="LP1541" s="206"/>
      <c r="LQ1541" s="206"/>
      <c r="LR1541" s="206"/>
      <c r="LS1541" s="206"/>
      <c r="LT1541" s="206"/>
      <c r="LU1541" s="206"/>
      <c r="LV1541" s="206"/>
      <c r="LW1541" s="206"/>
      <c r="LX1541" s="206"/>
      <c r="LY1541" s="206"/>
      <c r="LZ1541" s="206"/>
      <c r="MA1541" s="206"/>
      <c r="MB1541" s="206"/>
      <c r="MC1541" s="206"/>
      <c r="MD1541" s="206"/>
      <c r="ME1541" s="206"/>
      <c r="MF1541" s="206"/>
      <c r="MG1541" s="206"/>
      <c r="MH1541" s="206"/>
      <c r="MI1541" s="206"/>
      <c r="MJ1541" s="206"/>
      <c r="MK1541" s="206"/>
      <c r="ML1541" s="206"/>
      <c r="MM1541" s="206"/>
      <c r="MN1541" s="206"/>
      <c r="MO1541" s="206"/>
      <c r="MP1541" s="206"/>
      <c r="MQ1541" s="206"/>
      <c r="MR1541" s="206"/>
      <c r="MS1541" s="206"/>
      <c r="MT1541" s="206"/>
      <c r="MU1541" s="206"/>
      <c r="MV1541" s="206"/>
      <c r="MW1541" s="206"/>
      <c r="MX1541" s="206"/>
      <c r="MY1541" s="206"/>
      <c r="MZ1541" s="206"/>
      <c r="NA1541" s="206"/>
      <c r="NB1541" s="206"/>
      <c r="NC1541" s="206"/>
      <c r="ND1541" s="206"/>
      <c r="NE1541" s="206"/>
      <c r="NF1541" s="206"/>
      <c r="NG1541" s="206"/>
      <c r="NH1541" s="206"/>
      <c r="NI1541" s="206"/>
      <c r="NJ1541" s="206"/>
      <c r="NK1541" s="206"/>
      <c r="NL1541" s="206"/>
      <c r="NM1541" s="206"/>
      <c r="NN1541" s="206"/>
      <c r="NO1541" s="206"/>
      <c r="NP1541" s="206"/>
      <c r="NQ1541" s="206"/>
      <c r="NR1541" s="206"/>
      <c r="NS1541" s="206"/>
      <c r="NT1541" s="206"/>
      <c r="NU1541" s="206"/>
      <c r="NV1541" s="206"/>
      <c r="NW1541" s="206"/>
      <c r="NX1541" s="206"/>
      <c r="NY1541" s="206"/>
      <c r="NZ1541" s="206"/>
      <c r="OA1541" s="206"/>
      <c r="OB1541" s="206"/>
      <c r="OC1541" s="206"/>
      <c r="OD1541" s="206"/>
      <c r="OE1541" s="206"/>
      <c r="OF1541" s="206"/>
      <c r="OG1541" s="206"/>
      <c r="OH1541" s="206"/>
      <c r="OI1541" s="206"/>
      <c r="OJ1541" s="206"/>
      <c r="OK1541" s="206"/>
      <c r="OL1541" s="206"/>
      <c r="OM1541" s="206"/>
      <c r="ON1541" s="206"/>
      <c r="OO1541" s="206"/>
      <c r="OP1541" s="206"/>
      <c r="OQ1541" s="206"/>
      <c r="OR1541" s="206"/>
      <c r="OS1541" s="206"/>
      <c r="OT1541" s="206"/>
      <c r="OU1541" s="206"/>
      <c r="OV1541" s="206"/>
      <c r="OW1541" s="206"/>
      <c r="OX1541" s="206"/>
      <c r="OY1541" s="206"/>
      <c r="OZ1541" s="206"/>
      <c r="PA1541" s="206"/>
      <c r="PB1541" s="206"/>
      <c r="PC1541" s="206"/>
      <c r="PD1541" s="206"/>
      <c r="PE1541" s="206"/>
      <c r="PF1541" s="206"/>
      <c r="PG1541" s="206"/>
      <c r="PH1541" s="206"/>
      <c r="PI1541" s="206"/>
      <c r="PJ1541" s="206"/>
      <c r="PK1541" s="206"/>
      <c r="PL1541" s="206"/>
      <c r="PM1541" s="206"/>
      <c r="PN1541" s="206"/>
      <c r="PO1541" s="206"/>
      <c r="PP1541" s="206"/>
      <c r="PQ1541" s="206"/>
      <c r="PR1541" s="206"/>
      <c r="PS1541" s="206"/>
      <c r="PT1541" s="206"/>
      <c r="PU1541" s="206"/>
      <c r="PV1541" s="206"/>
      <c r="PW1541" s="206"/>
      <c r="PX1541" s="206"/>
      <c r="PY1541" s="206"/>
      <c r="PZ1541" s="206"/>
      <c r="QA1541" s="206"/>
      <c r="QB1541" s="206"/>
      <c r="QC1541" s="206"/>
      <c r="QD1541" s="206"/>
      <c r="QE1541" s="206"/>
      <c r="QF1541" s="206"/>
      <c r="QG1541" s="206"/>
      <c r="QH1541" s="206"/>
      <c r="QI1541" s="206"/>
      <c r="QJ1541" s="206"/>
      <c r="QK1541" s="206"/>
      <c r="QL1541" s="206"/>
      <c r="QM1541" s="206"/>
      <c r="QN1541" s="206"/>
      <c r="QO1541" s="206"/>
      <c r="QP1541" s="206"/>
      <c r="QQ1541" s="206"/>
      <c r="QR1541" s="206"/>
      <c r="QS1541" s="206"/>
      <c r="QT1541" s="206"/>
      <c r="QU1541" s="206"/>
      <c r="QV1541" s="206"/>
      <c r="QW1541" s="206"/>
      <c r="QX1541" s="206"/>
      <c r="QY1541" s="206"/>
      <c r="QZ1541" s="206"/>
      <c r="RA1541" s="206"/>
      <c r="RB1541" s="206"/>
      <c r="RC1541" s="206"/>
      <c r="RD1541" s="206"/>
      <c r="RE1541" s="206"/>
      <c r="RF1541" s="206"/>
      <c r="RG1541" s="206"/>
      <c r="RH1541" s="206"/>
      <c r="RI1541" s="206"/>
      <c r="RJ1541" s="206"/>
      <c r="RK1541" s="206"/>
      <c r="RL1541" s="206"/>
      <c r="RM1541" s="206"/>
      <c r="RN1541" s="206"/>
      <c r="RO1541" s="206"/>
      <c r="RP1541" s="206"/>
      <c r="RQ1541" s="206"/>
      <c r="RR1541" s="206"/>
      <c r="RS1541" s="206"/>
      <c r="RT1541" s="206"/>
      <c r="RU1541" s="206"/>
      <c r="RV1541" s="206"/>
      <c r="RW1541" s="206"/>
      <c r="RX1541" s="206"/>
      <c r="RY1541" s="206"/>
      <c r="RZ1541" s="206"/>
      <c r="SA1541" s="206"/>
      <c r="SB1541" s="206"/>
      <c r="SC1541" s="206"/>
      <c r="SD1541" s="206"/>
      <c r="SE1541" s="206"/>
      <c r="SF1541" s="206"/>
      <c r="SG1541" s="206"/>
      <c r="SH1541" s="206"/>
      <c r="SI1541" s="206"/>
      <c r="SJ1541" s="206"/>
      <c r="SK1541" s="206"/>
      <c r="SL1541" s="206"/>
      <c r="SM1541" s="206"/>
      <c r="SN1541" s="206"/>
      <c r="SO1541" s="206"/>
      <c r="SP1541" s="206"/>
      <c r="SQ1541" s="206"/>
      <c r="SR1541" s="206"/>
      <c r="SS1541" s="206"/>
      <c r="ST1541" s="206"/>
      <c r="SU1541" s="206"/>
      <c r="SV1541" s="206"/>
      <c r="SW1541" s="206"/>
      <c r="SX1541" s="206"/>
      <c r="SY1541" s="206"/>
      <c r="SZ1541" s="206"/>
      <c r="TA1541" s="206"/>
      <c r="TB1541" s="206"/>
      <c r="TC1541" s="206"/>
      <c r="TD1541" s="206"/>
      <c r="TE1541" s="206"/>
      <c r="TF1541" s="206"/>
      <c r="TG1541" s="206"/>
      <c r="TH1541" s="206"/>
      <c r="TI1541" s="206"/>
      <c r="TJ1541" s="206"/>
      <c r="TK1541" s="206"/>
      <c r="TL1541" s="206"/>
      <c r="TM1541" s="206"/>
      <c r="TN1541" s="206"/>
      <c r="TO1541" s="206"/>
      <c r="TP1541" s="206"/>
      <c r="TQ1541" s="206"/>
      <c r="TR1541" s="206"/>
      <c r="TS1541" s="206"/>
      <c r="TT1541" s="206"/>
      <c r="TU1541" s="206"/>
      <c r="TV1541" s="206"/>
      <c r="TW1541" s="206"/>
      <c r="TX1541" s="206"/>
      <c r="TY1541" s="206"/>
      <c r="TZ1541" s="206"/>
      <c r="UA1541" s="206"/>
      <c r="UB1541" s="206"/>
      <c r="UC1541" s="206"/>
      <c r="UD1541" s="206"/>
    </row>
    <row r="1542" spans="1:550" s="874" customFormat="1" ht="39" customHeight="1">
      <c r="A1542" s="924" t="s">
        <v>15</v>
      </c>
      <c r="B1542" s="940"/>
      <c r="C1542" s="942" t="str">
        <f t="shared" si="232"/>
        <v>Đất chuyên trồng lúa nước (LUC)</v>
      </c>
      <c r="D1542" s="942" t="str">
        <f t="shared" si="232"/>
        <v>1</v>
      </c>
      <c r="E1542" s="940" t="str">
        <f t="shared" si="232"/>
        <v>135</v>
      </c>
      <c r="F1542" s="940"/>
      <c r="G1542" s="943" t="s">
        <v>1357</v>
      </c>
      <c r="H1542" s="954"/>
      <c r="I1542" s="945">
        <f t="shared" si="233"/>
        <v>267.10000000000002</v>
      </c>
      <c r="J1542" s="1003">
        <v>72000</v>
      </c>
      <c r="K1542" s="957">
        <v>3</v>
      </c>
      <c r="L1542" s="949">
        <f t="shared" si="234"/>
        <v>57693600</v>
      </c>
      <c r="M1542" s="949"/>
      <c r="N1542" s="949"/>
      <c r="O1542" s="949"/>
      <c r="P1542" s="949"/>
      <c r="Q1542" s="1178"/>
      <c r="R1542" s="1447"/>
      <c r="S1542" s="486"/>
      <c r="T1542" s="486"/>
      <c r="U1542" s="486"/>
      <c r="V1542" s="486"/>
      <c r="W1542" s="486"/>
      <c r="X1542" s="486"/>
      <c r="Y1542" s="486"/>
      <c r="Z1542" s="486"/>
      <c r="AA1542" s="486"/>
      <c r="AB1542" s="486"/>
      <c r="AC1542" s="486"/>
      <c r="AD1542" s="486"/>
      <c r="AE1542" s="486"/>
      <c r="AF1542" s="486"/>
      <c r="AG1542" s="486"/>
      <c r="AH1542" s="486"/>
      <c r="AI1542" s="486"/>
      <c r="AJ1542" s="486"/>
      <c r="AK1542" s="486"/>
      <c r="AL1542" s="206"/>
      <c r="AM1542" s="206"/>
      <c r="AN1542" s="206"/>
      <c r="AO1542" s="206"/>
      <c r="AP1542" s="206"/>
      <c r="AQ1542" s="206"/>
      <c r="AR1542" s="206"/>
      <c r="AS1542" s="206"/>
      <c r="AT1542" s="206"/>
      <c r="AU1542" s="206"/>
      <c r="AV1542" s="206"/>
      <c r="AW1542" s="206"/>
      <c r="AX1542" s="206"/>
      <c r="AY1542" s="206"/>
      <c r="AZ1542" s="206"/>
      <c r="BA1542" s="206"/>
      <c r="BB1542" s="206"/>
      <c r="BC1542" s="206"/>
      <c r="BD1542" s="206"/>
      <c r="BE1542" s="206"/>
      <c r="BF1542" s="206"/>
      <c r="BG1542" s="206"/>
      <c r="BH1542" s="206"/>
      <c r="BI1542" s="206"/>
      <c r="BJ1542" s="206"/>
      <c r="BK1542" s="206"/>
      <c r="BL1542" s="206"/>
      <c r="BM1542" s="206"/>
      <c r="BN1542" s="206"/>
      <c r="BO1542" s="206"/>
      <c r="BP1542" s="206"/>
      <c r="BQ1542" s="206"/>
      <c r="BR1542" s="206"/>
      <c r="BS1542" s="206"/>
      <c r="BT1542" s="206"/>
      <c r="BU1542" s="206"/>
      <c r="BV1542" s="206"/>
      <c r="BW1542" s="206"/>
      <c r="BX1542" s="206"/>
      <c r="BY1542" s="206"/>
      <c r="BZ1542" s="206"/>
      <c r="CA1542" s="206"/>
      <c r="CB1542" s="206"/>
      <c r="CC1542" s="206"/>
      <c r="CD1542" s="206"/>
      <c r="CE1542" s="206"/>
      <c r="CF1542" s="206"/>
      <c r="CG1542" s="206"/>
      <c r="CH1542" s="206"/>
      <c r="CI1542" s="206"/>
      <c r="CJ1542" s="206"/>
      <c r="CK1542" s="206"/>
      <c r="CL1542" s="206"/>
      <c r="CM1542" s="206"/>
      <c r="CN1542" s="206"/>
      <c r="CO1542" s="206"/>
      <c r="CP1542" s="206"/>
      <c r="CQ1542" s="206"/>
      <c r="CR1542" s="206"/>
      <c r="CS1542" s="206"/>
      <c r="CT1542" s="206"/>
      <c r="CU1542" s="206"/>
      <c r="CV1542" s="206"/>
      <c r="CW1542" s="206"/>
      <c r="CX1542" s="206"/>
      <c r="CY1542" s="206"/>
      <c r="CZ1542" s="206"/>
      <c r="DA1542" s="206"/>
      <c r="DB1542" s="206"/>
      <c r="DC1542" s="206"/>
      <c r="DD1542" s="206"/>
      <c r="DE1542" s="206"/>
      <c r="DF1542" s="206"/>
      <c r="DG1542" s="206"/>
      <c r="DH1542" s="206"/>
      <c r="DI1542" s="206"/>
      <c r="DJ1542" s="206"/>
      <c r="DK1542" s="206"/>
      <c r="DL1542" s="206"/>
      <c r="DM1542" s="206"/>
      <c r="DN1542" s="206"/>
      <c r="DO1542" s="206"/>
      <c r="DP1542" s="206"/>
      <c r="DQ1542" s="206"/>
      <c r="DR1542" s="206"/>
      <c r="DS1542" s="206"/>
      <c r="DT1542" s="206"/>
      <c r="DU1542" s="206"/>
      <c r="DV1542" s="206"/>
      <c r="DW1542" s="206"/>
      <c r="DX1542" s="206"/>
      <c r="DY1542" s="206"/>
      <c r="DZ1542" s="206"/>
      <c r="EA1542" s="206"/>
      <c r="EB1542" s="206"/>
      <c r="EC1542" s="206"/>
      <c r="ED1542" s="206"/>
      <c r="EE1542" s="206"/>
      <c r="EF1542" s="206"/>
      <c r="EG1542" s="206"/>
      <c r="EH1542" s="206"/>
      <c r="EI1542" s="206"/>
      <c r="EJ1542" s="206"/>
      <c r="EK1542" s="206"/>
      <c r="EL1542" s="206"/>
      <c r="EM1542" s="206"/>
      <c r="EN1542" s="206"/>
      <c r="EO1542" s="206"/>
      <c r="EP1542" s="206"/>
      <c r="EQ1542" s="206"/>
      <c r="ER1542" s="206"/>
      <c r="ES1542" s="206"/>
      <c r="ET1542" s="206"/>
      <c r="EU1542" s="206"/>
      <c r="EV1542" s="206"/>
      <c r="EW1542" s="206"/>
      <c r="EX1542" s="206"/>
      <c r="EY1542" s="206"/>
      <c r="EZ1542" s="206"/>
      <c r="FA1542" s="206"/>
      <c r="FB1542" s="206"/>
      <c r="FC1542" s="206"/>
      <c r="FD1542" s="206"/>
      <c r="FE1542" s="206"/>
      <c r="FF1542" s="206"/>
      <c r="FG1542" s="206"/>
      <c r="FH1542" s="206"/>
      <c r="FI1542" s="206"/>
      <c r="FJ1542" s="206"/>
      <c r="FK1542" s="206"/>
      <c r="FL1542" s="206"/>
      <c r="FM1542" s="206"/>
      <c r="FN1542" s="206"/>
      <c r="FO1542" s="206"/>
      <c r="FP1542" s="206"/>
      <c r="FQ1542" s="206"/>
      <c r="FR1542" s="206"/>
      <c r="FS1542" s="206"/>
      <c r="FT1542" s="206"/>
      <c r="FU1542" s="206"/>
      <c r="FV1542" s="206"/>
      <c r="FW1542" s="206"/>
      <c r="FX1542" s="206"/>
      <c r="FY1542" s="206"/>
      <c r="FZ1542" s="206"/>
      <c r="GA1542" s="206"/>
      <c r="GB1542" s="206"/>
      <c r="GC1542" s="206"/>
      <c r="GD1542" s="206"/>
      <c r="GE1542" s="206"/>
      <c r="GF1542" s="206"/>
      <c r="GG1542" s="206"/>
      <c r="GH1542" s="206"/>
      <c r="GI1542" s="206"/>
      <c r="GJ1542" s="206"/>
      <c r="GK1542" s="206"/>
      <c r="GL1542" s="206"/>
      <c r="GM1542" s="206"/>
      <c r="GN1542" s="206"/>
      <c r="GO1542" s="206"/>
      <c r="GP1542" s="206"/>
      <c r="GQ1542" s="206"/>
      <c r="GR1542" s="206"/>
      <c r="GS1542" s="206"/>
      <c r="GT1542" s="206"/>
      <c r="GU1542" s="206"/>
      <c r="GV1542" s="206"/>
      <c r="GW1542" s="206"/>
      <c r="GX1542" s="206"/>
      <c r="GY1542" s="206"/>
      <c r="GZ1542" s="206"/>
      <c r="HA1542" s="206"/>
      <c r="HB1542" s="206"/>
      <c r="HC1542" s="206"/>
      <c r="HD1542" s="206"/>
      <c r="HE1542" s="206"/>
      <c r="HF1542" s="206"/>
      <c r="HG1542" s="206"/>
      <c r="HH1542" s="206"/>
      <c r="HI1542" s="206"/>
      <c r="HJ1542" s="206"/>
      <c r="HK1542" s="206"/>
      <c r="HL1542" s="206"/>
      <c r="HM1542" s="206"/>
      <c r="HN1542" s="206"/>
      <c r="HO1542" s="206"/>
      <c r="HP1542" s="206"/>
      <c r="HQ1542" s="206"/>
      <c r="HR1542" s="206"/>
      <c r="HS1542" s="206"/>
      <c r="HT1542" s="206"/>
      <c r="HU1542" s="206"/>
      <c r="HV1542" s="206"/>
      <c r="HW1542" s="206"/>
      <c r="HX1542" s="206"/>
      <c r="HY1542" s="206"/>
      <c r="HZ1542" s="206"/>
      <c r="IA1542" s="206"/>
      <c r="IB1542" s="206"/>
      <c r="IC1542" s="206"/>
      <c r="ID1542" s="206"/>
      <c r="IE1542" s="206"/>
      <c r="IF1542" s="206"/>
      <c r="IG1542" s="206"/>
      <c r="IH1542" s="206"/>
      <c r="II1542" s="206"/>
      <c r="IJ1542" s="206"/>
      <c r="IK1542" s="206"/>
      <c r="IL1542" s="206"/>
      <c r="IM1542" s="206"/>
      <c r="IN1542" s="206"/>
      <c r="IO1542" s="206"/>
      <c r="IP1542" s="206"/>
      <c r="IQ1542" s="206"/>
      <c r="IR1542" s="206"/>
      <c r="IS1542" s="206"/>
      <c r="IT1542" s="206"/>
      <c r="IU1542" s="206"/>
      <c r="IV1542" s="206"/>
      <c r="IW1542" s="206"/>
      <c r="IX1542" s="206"/>
      <c r="IY1542" s="206"/>
      <c r="IZ1542" s="206"/>
      <c r="JA1542" s="206"/>
      <c r="JB1542" s="206"/>
      <c r="JC1542" s="206"/>
      <c r="JD1542" s="206"/>
      <c r="JE1542" s="206"/>
      <c r="JF1542" s="206"/>
      <c r="JG1542" s="206"/>
      <c r="JH1542" s="206"/>
      <c r="JI1542" s="206"/>
      <c r="JJ1542" s="206"/>
      <c r="JK1542" s="206"/>
      <c r="JL1542" s="206"/>
      <c r="JM1542" s="206"/>
      <c r="JN1542" s="206"/>
      <c r="JO1542" s="206"/>
      <c r="JP1542" s="206"/>
      <c r="JQ1542" s="206"/>
      <c r="JR1542" s="206"/>
      <c r="JS1542" s="206"/>
      <c r="JT1542" s="206"/>
      <c r="JU1542" s="206"/>
      <c r="JV1542" s="206"/>
      <c r="JW1542" s="206"/>
      <c r="JX1542" s="206"/>
      <c r="JY1542" s="206"/>
      <c r="JZ1542" s="206"/>
      <c r="KA1542" s="206"/>
      <c r="KB1542" s="206"/>
      <c r="KC1542" s="206"/>
      <c r="KD1542" s="206"/>
      <c r="KE1542" s="206"/>
      <c r="KF1542" s="206"/>
      <c r="KG1542" s="206"/>
      <c r="KH1542" s="206"/>
      <c r="KI1542" s="206"/>
      <c r="KJ1542" s="206"/>
      <c r="KK1542" s="206"/>
      <c r="KL1542" s="206"/>
      <c r="KM1542" s="206"/>
      <c r="KN1542" s="206"/>
      <c r="KO1542" s="206"/>
      <c r="KP1542" s="206"/>
      <c r="KQ1542" s="206"/>
      <c r="KR1542" s="206"/>
      <c r="KS1542" s="206"/>
      <c r="KT1542" s="206"/>
      <c r="KU1542" s="206"/>
      <c r="KV1542" s="206"/>
      <c r="KW1542" s="206"/>
      <c r="KX1542" s="206"/>
      <c r="KY1542" s="206"/>
      <c r="KZ1542" s="206"/>
      <c r="LA1542" s="206"/>
      <c r="LB1542" s="206"/>
      <c r="LC1542" s="206"/>
      <c r="LD1542" s="206"/>
      <c r="LE1542" s="206"/>
      <c r="LF1542" s="206"/>
      <c r="LG1542" s="206"/>
      <c r="LH1542" s="206"/>
      <c r="LI1542" s="206"/>
      <c r="LJ1542" s="206"/>
      <c r="LK1542" s="206"/>
      <c r="LL1542" s="206"/>
      <c r="LM1542" s="206"/>
      <c r="LN1542" s="206"/>
      <c r="LO1542" s="206"/>
      <c r="LP1542" s="206"/>
      <c r="LQ1542" s="206"/>
      <c r="LR1542" s="206"/>
      <c r="LS1542" s="206"/>
      <c r="LT1542" s="206"/>
      <c r="LU1542" s="206"/>
      <c r="LV1542" s="206"/>
      <c r="LW1542" s="206"/>
      <c r="LX1542" s="206"/>
      <c r="LY1542" s="206"/>
      <c r="LZ1542" s="206"/>
      <c r="MA1542" s="206"/>
      <c r="MB1542" s="206"/>
      <c r="MC1542" s="206"/>
      <c r="MD1542" s="206"/>
      <c r="ME1542" s="206"/>
      <c r="MF1542" s="206"/>
      <c r="MG1542" s="206"/>
      <c r="MH1542" s="206"/>
      <c r="MI1542" s="206"/>
      <c r="MJ1542" s="206"/>
      <c r="MK1542" s="206"/>
      <c r="ML1542" s="206"/>
      <c r="MM1542" s="206"/>
      <c r="MN1542" s="206"/>
      <c r="MO1542" s="206"/>
      <c r="MP1542" s="206"/>
      <c r="MQ1542" s="206"/>
      <c r="MR1542" s="206"/>
      <c r="MS1542" s="206"/>
      <c r="MT1542" s="206"/>
      <c r="MU1542" s="206"/>
      <c r="MV1542" s="206"/>
      <c r="MW1542" s="206"/>
      <c r="MX1542" s="206"/>
      <c r="MY1542" s="206"/>
      <c r="MZ1542" s="206"/>
      <c r="NA1542" s="206"/>
      <c r="NB1542" s="206"/>
      <c r="NC1542" s="206"/>
      <c r="ND1542" s="206"/>
      <c r="NE1542" s="206"/>
      <c r="NF1542" s="206"/>
      <c r="NG1542" s="206"/>
      <c r="NH1542" s="206"/>
      <c r="NI1542" s="206"/>
      <c r="NJ1542" s="206"/>
      <c r="NK1542" s="206"/>
      <c r="NL1542" s="206"/>
      <c r="NM1542" s="206"/>
      <c r="NN1542" s="206"/>
      <c r="NO1542" s="206"/>
      <c r="NP1542" s="206"/>
      <c r="NQ1542" s="206"/>
      <c r="NR1542" s="206"/>
      <c r="NS1542" s="206"/>
      <c r="NT1542" s="206"/>
      <c r="NU1542" s="206"/>
      <c r="NV1542" s="206"/>
      <c r="NW1542" s="206"/>
      <c r="NX1542" s="206"/>
      <c r="NY1542" s="206"/>
      <c r="NZ1542" s="206"/>
      <c r="OA1542" s="206"/>
      <c r="OB1542" s="206"/>
      <c r="OC1542" s="206"/>
      <c r="OD1542" s="206"/>
      <c r="OE1542" s="206"/>
      <c r="OF1542" s="206"/>
      <c r="OG1542" s="206"/>
      <c r="OH1542" s="206"/>
      <c r="OI1542" s="206"/>
      <c r="OJ1542" s="206"/>
      <c r="OK1542" s="206"/>
      <c r="OL1542" s="206"/>
      <c r="OM1542" s="206"/>
      <c r="ON1542" s="206"/>
      <c r="OO1542" s="206"/>
      <c r="OP1542" s="206"/>
      <c r="OQ1542" s="206"/>
      <c r="OR1542" s="206"/>
      <c r="OS1542" s="206"/>
      <c r="OT1542" s="206"/>
      <c r="OU1542" s="206"/>
      <c r="OV1542" s="206"/>
      <c r="OW1542" s="206"/>
      <c r="OX1542" s="206"/>
      <c r="OY1542" s="206"/>
      <c r="OZ1542" s="206"/>
      <c r="PA1542" s="206"/>
      <c r="PB1542" s="206"/>
      <c r="PC1542" s="206"/>
      <c r="PD1542" s="206"/>
      <c r="PE1542" s="206"/>
      <c r="PF1542" s="206"/>
      <c r="PG1542" s="206"/>
      <c r="PH1542" s="206"/>
      <c r="PI1542" s="206"/>
      <c r="PJ1542" s="206"/>
      <c r="PK1542" s="206"/>
      <c r="PL1542" s="206"/>
      <c r="PM1542" s="206"/>
      <c r="PN1542" s="206"/>
      <c r="PO1542" s="206"/>
      <c r="PP1542" s="206"/>
      <c r="PQ1542" s="206"/>
      <c r="PR1542" s="206"/>
      <c r="PS1542" s="206"/>
      <c r="PT1542" s="206"/>
      <c r="PU1542" s="206"/>
      <c r="PV1542" s="206"/>
      <c r="PW1542" s="206"/>
      <c r="PX1542" s="206"/>
      <c r="PY1542" s="206"/>
      <c r="PZ1542" s="206"/>
      <c r="QA1542" s="206"/>
      <c r="QB1542" s="206"/>
      <c r="QC1542" s="206"/>
      <c r="QD1542" s="206"/>
      <c r="QE1542" s="206"/>
      <c r="QF1542" s="206"/>
      <c r="QG1542" s="206"/>
      <c r="QH1542" s="206"/>
      <c r="QI1542" s="206"/>
      <c r="QJ1542" s="206"/>
      <c r="QK1542" s="206"/>
      <c r="QL1542" s="206"/>
      <c r="QM1542" s="206"/>
      <c r="QN1542" s="206"/>
      <c r="QO1542" s="206"/>
      <c r="QP1542" s="206"/>
      <c r="QQ1542" s="206"/>
      <c r="QR1542" s="206"/>
      <c r="QS1542" s="206"/>
      <c r="QT1542" s="206"/>
      <c r="QU1542" s="206"/>
      <c r="QV1542" s="206"/>
      <c r="QW1542" s="206"/>
      <c r="QX1542" s="206"/>
      <c r="QY1542" s="206"/>
      <c r="QZ1542" s="206"/>
      <c r="RA1542" s="206"/>
      <c r="RB1542" s="206"/>
      <c r="RC1542" s="206"/>
      <c r="RD1542" s="206"/>
      <c r="RE1542" s="206"/>
      <c r="RF1542" s="206"/>
      <c r="RG1542" s="206"/>
      <c r="RH1542" s="206"/>
      <c r="RI1542" s="206"/>
      <c r="RJ1542" s="206"/>
      <c r="RK1542" s="206"/>
      <c r="RL1542" s="206"/>
      <c r="RM1542" s="206"/>
      <c r="RN1542" s="206"/>
      <c r="RO1542" s="206"/>
      <c r="RP1542" s="206"/>
      <c r="RQ1542" s="206"/>
      <c r="RR1542" s="206"/>
      <c r="RS1542" s="206"/>
      <c r="RT1542" s="206"/>
      <c r="RU1542" s="206"/>
      <c r="RV1542" s="206"/>
      <c r="RW1542" s="206"/>
      <c r="RX1542" s="206"/>
      <c r="RY1542" s="206"/>
      <c r="RZ1542" s="206"/>
      <c r="SA1542" s="206"/>
      <c r="SB1542" s="206"/>
      <c r="SC1542" s="206"/>
      <c r="SD1542" s="206"/>
      <c r="SE1542" s="206"/>
      <c r="SF1542" s="206"/>
      <c r="SG1542" s="206"/>
      <c r="SH1542" s="206"/>
      <c r="SI1542" s="206"/>
      <c r="SJ1542" s="206"/>
      <c r="SK1542" s="206"/>
      <c r="SL1542" s="206"/>
      <c r="SM1542" s="206"/>
      <c r="SN1542" s="206"/>
      <c r="SO1542" s="206"/>
      <c r="SP1542" s="206"/>
      <c r="SQ1542" s="206"/>
      <c r="SR1542" s="206"/>
      <c r="SS1542" s="206"/>
      <c r="ST1542" s="206"/>
      <c r="SU1542" s="206"/>
      <c r="SV1542" s="206"/>
      <c r="SW1542" s="206"/>
      <c r="SX1542" s="206"/>
      <c r="SY1542" s="206"/>
      <c r="SZ1542" s="206"/>
      <c r="TA1542" s="206"/>
      <c r="TB1542" s="206"/>
      <c r="TC1542" s="206"/>
      <c r="TD1542" s="206"/>
      <c r="TE1542" s="206"/>
      <c r="TF1542" s="206"/>
      <c r="TG1542" s="206"/>
      <c r="TH1542" s="206"/>
      <c r="TI1542" s="206"/>
      <c r="TJ1542" s="206"/>
      <c r="TK1542" s="206"/>
      <c r="TL1542" s="206"/>
      <c r="TM1542" s="206"/>
      <c r="TN1542" s="206"/>
      <c r="TO1542" s="206"/>
      <c r="TP1542" s="206"/>
      <c r="TQ1542" s="206"/>
      <c r="TR1542" s="206"/>
      <c r="TS1542" s="206"/>
      <c r="TT1542" s="206"/>
      <c r="TU1542" s="206"/>
      <c r="TV1542" s="206"/>
      <c r="TW1542" s="206"/>
      <c r="TX1542" s="206"/>
      <c r="TY1542" s="206"/>
      <c r="TZ1542" s="206"/>
      <c r="UA1542" s="206"/>
      <c r="UB1542" s="206"/>
      <c r="UC1542" s="206"/>
      <c r="UD1542" s="206"/>
    </row>
    <row r="1543" spans="1:550" s="874" customFormat="1" ht="39" customHeight="1">
      <c r="A1543" s="924" t="s">
        <v>15</v>
      </c>
      <c r="B1543" s="940"/>
      <c r="C1543" s="942" t="str">
        <f t="shared" si="232"/>
        <v>Đất trồng lúa còn lại (LUK)</v>
      </c>
      <c r="D1543" s="942" t="str">
        <f t="shared" si="232"/>
        <v>1</v>
      </c>
      <c r="E1543" s="940" t="str">
        <f t="shared" si="232"/>
        <v>439</v>
      </c>
      <c r="F1543" s="940"/>
      <c r="G1543" s="943" t="s">
        <v>1357</v>
      </c>
      <c r="H1543" s="954"/>
      <c r="I1543" s="945">
        <f t="shared" si="233"/>
        <v>705.8</v>
      </c>
      <c r="J1543" s="1003">
        <v>62000</v>
      </c>
      <c r="K1543" s="957">
        <v>2.5</v>
      </c>
      <c r="L1543" s="949">
        <f t="shared" si="234"/>
        <v>109399000</v>
      </c>
      <c r="M1543" s="949"/>
      <c r="N1543" s="949"/>
      <c r="O1543" s="949"/>
      <c r="P1543" s="949"/>
      <c r="Q1543" s="1178"/>
      <c r="R1543" s="1447"/>
      <c r="S1543" s="486"/>
      <c r="T1543" s="486"/>
      <c r="U1543" s="486"/>
      <c r="V1543" s="486"/>
      <c r="W1543" s="486"/>
      <c r="X1543" s="486"/>
      <c r="Y1543" s="486"/>
      <c r="Z1543" s="486"/>
      <c r="AA1543" s="486"/>
      <c r="AB1543" s="486"/>
      <c r="AC1543" s="486"/>
      <c r="AD1543" s="486"/>
      <c r="AE1543" s="486"/>
      <c r="AF1543" s="486"/>
      <c r="AG1543" s="486"/>
      <c r="AH1543" s="486"/>
      <c r="AI1543" s="486"/>
      <c r="AJ1543" s="486"/>
      <c r="AK1543" s="486"/>
      <c r="AL1543" s="206"/>
      <c r="AM1543" s="206"/>
      <c r="AN1543" s="206"/>
      <c r="AO1543" s="206"/>
      <c r="AP1543" s="206"/>
      <c r="AQ1543" s="206"/>
      <c r="AR1543" s="206"/>
      <c r="AS1543" s="206"/>
      <c r="AT1543" s="206"/>
      <c r="AU1543" s="206"/>
      <c r="AV1543" s="206"/>
      <c r="AW1543" s="206"/>
      <c r="AX1543" s="206"/>
      <c r="AY1543" s="206"/>
      <c r="AZ1543" s="206"/>
      <c r="BA1543" s="206"/>
      <c r="BB1543" s="206"/>
      <c r="BC1543" s="206"/>
      <c r="BD1543" s="206"/>
      <c r="BE1543" s="206"/>
      <c r="BF1543" s="206"/>
      <c r="BG1543" s="206"/>
      <c r="BH1543" s="206"/>
      <c r="BI1543" s="206"/>
      <c r="BJ1543" s="206"/>
      <c r="BK1543" s="206"/>
      <c r="BL1543" s="206"/>
      <c r="BM1543" s="206"/>
      <c r="BN1543" s="206"/>
      <c r="BO1543" s="206"/>
      <c r="BP1543" s="206"/>
      <c r="BQ1543" s="206"/>
      <c r="BR1543" s="206"/>
      <c r="BS1543" s="206"/>
      <c r="BT1543" s="206"/>
      <c r="BU1543" s="206"/>
      <c r="BV1543" s="206"/>
      <c r="BW1543" s="206"/>
      <c r="BX1543" s="206"/>
      <c r="BY1543" s="206"/>
      <c r="BZ1543" s="206"/>
      <c r="CA1543" s="206"/>
      <c r="CB1543" s="206"/>
      <c r="CC1543" s="206"/>
      <c r="CD1543" s="206"/>
      <c r="CE1543" s="206"/>
      <c r="CF1543" s="206"/>
      <c r="CG1543" s="206"/>
      <c r="CH1543" s="206"/>
      <c r="CI1543" s="206"/>
      <c r="CJ1543" s="206"/>
      <c r="CK1543" s="206"/>
      <c r="CL1543" s="206"/>
      <c r="CM1543" s="206"/>
      <c r="CN1543" s="206"/>
      <c r="CO1543" s="206"/>
      <c r="CP1543" s="206"/>
      <c r="CQ1543" s="206"/>
      <c r="CR1543" s="206"/>
      <c r="CS1543" s="206"/>
      <c r="CT1543" s="206"/>
      <c r="CU1543" s="206"/>
      <c r="CV1543" s="206"/>
      <c r="CW1543" s="206"/>
      <c r="CX1543" s="206"/>
      <c r="CY1543" s="206"/>
      <c r="CZ1543" s="206"/>
      <c r="DA1543" s="206"/>
      <c r="DB1543" s="206"/>
      <c r="DC1543" s="206"/>
      <c r="DD1543" s="206"/>
      <c r="DE1543" s="206"/>
      <c r="DF1543" s="206"/>
      <c r="DG1543" s="206"/>
      <c r="DH1543" s="206"/>
      <c r="DI1543" s="206"/>
      <c r="DJ1543" s="206"/>
      <c r="DK1543" s="206"/>
      <c r="DL1543" s="206"/>
      <c r="DM1543" s="206"/>
      <c r="DN1543" s="206"/>
      <c r="DO1543" s="206"/>
      <c r="DP1543" s="206"/>
      <c r="DQ1543" s="206"/>
      <c r="DR1543" s="206"/>
      <c r="DS1543" s="206"/>
      <c r="DT1543" s="206"/>
      <c r="DU1543" s="206"/>
      <c r="DV1543" s="206"/>
      <c r="DW1543" s="206"/>
      <c r="DX1543" s="206"/>
      <c r="DY1543" s="206"/>
      <c r="DZ1543" s="206"/>
      <c r="EA1543" s="206"/>
      <c r="EB1543" s="206"/>
      <c r="EC1543" s="206"/>
      <c r="ED1543" s="206"/>
      <c r="EE1543" s="206"/>
      <c r="EF1543" s="206"/>
      <c r="EG1543" s="206"/>
      <c r="EH1543" s="206"/>
      <c r="EI1543" s="206"/>
      <c r="EJ1543" s="206"/>
      <c r="EK1543" s="206"/>
      <c r="EL1543" s="206"/>
      <c r="EM1543" s="206"/>
      <c r="EN1543" s="206"/>
      <c r="EO1543" s="206"/>
      <c r="EP1543" s="206"/>
      <c r="EQ1543" s="206"/>
      <c r="ER1543" s="206"/>
      <c r="ES1543" s="206"/>
      <c r="ET1543" s="206"/>
      <c r="EU1543" s="206"/>
      <c r="EV1543" s="206"/>
      <c r="EW1543" s="206"/>
      <c r="EX1543" s="206"/>
      <c r="EY1543" s="206"/>
      <c r="EZ1543" s="206"/>
      <c r="FA1543" s="206"/>
      <c r="FB1543" s="206"/>
      <c r="FC1543" s="206"/>
      <c r="FD1543" s="206"/>
      <c r="FE1543" s="206"/>
      <c r="FF1543" s="206"/>
      <c r="FG1543" s="206"/>
      <c r="FH1543" s="206"/>
      <c r="FI1543" s="206"/>
      <c r="FJ1543" s="206"/>
      <c r="FK1543" s="206"/>
      <c r="FL1543" s="206"/>
      <c r="FM1543" s="206"/>
      <c r="FN1543" s="206"/>
      <c r="FO1543" s="206"/>
      <c r="FP1543" s="206"/>
      <c r="FQ1543" s="206"/>
      <c r="FR1543" s="206"/>
      <c r="FS1543" s="206"/>
      <c r="FT1543" s="206"/>
      <c r="FU1543" s="206"/>
      <c r="FV1543" s="206"/>
      <c r="FW1543" s="206"/>
      <c r="FX1543" s="206"/>
      <c r="FY1543" s="206"/>
      <c r="FZ1543" s="206"/>
      <c r="GA1543" s="206"/>
      <c r="GB1543" s="206"/>
      <c r="GC1543" s="206"/>
      <c r="GD1543" s="206"/>
      <c r="GE1543" s="206"/>
      <c r="GF1543" s="206"/>
      <c r="GG1543" s="206"/>
      <c r="GH1543" s="206"/>
      <c r="GI1543" s="206"/>
      <c r="GJ1543" s="206"/>
      <c r="GK1543" s="206"/>
      <c r="GL1543" s="206"/>
      <c r="GM1543" s="206"/>
      <c r="GN1543" s="206"/>
      <c r="GO1543" s="206"/>
      <c r="GP1543" s="206"/>
      <c r="GQ1543" s="206"/>
      <c r="GR1543" s="206"/>
      <c r="GS1543" s="206"/>
      <c r="GT1543" s="206"/>
      <c r="GU1543" s="206"/>
      <c r="GV1543" s="206"/>
      <c r="GW1543" s="206"/>
      <c r="GX1543" s="206"/>
      <c r="GY1543" s="206"/>
      <c r="GZ1543" s="206"/>
      <c r="HA1543" s="206"/>
      <c r="HB1543" s="206"/>
      <c r="HC1543" s="206"/>
      <c r="HD1543" s="206"/>
      <c r="HE1543" s="206"/>
      <c r="HF1543" s="206"/>
      <c r="HG1543" s="206"/>
      <c r="HH1543" s="206"/>
      <c r="HI1543" s="206"/>
      <c r="HJ1543" s="206"/>
      <c r="HK1543" s="206"/>
      <c r="HL1543" s="206"/>
      <c r="HM1543" s="206"/>
      <c r="HN1543" s="206"/>
      <c r="HO1543" s="206"/>
      <c r="HP1543" s="206"/>
      <c r="HQ1543" s="206"/>
      <c r="HR1543" s="206"/>
      <c r="HS1543" s="206"/>
      <c r="HT1543" s="206"/>
      <c r="HU1543" s="206"/>
      <c r="HV1543" s="206"/>
      <c r="HW1543" s="206"/>
      <c r="HX1543" s="206"/>
      <c r="HY1543" s="206"/>
      <c r="HZ1543" s="206"/>
      <c r="IA1543" s="206"/>
      <c r="IB1543" s="206"/>
      <c r="IC1543" s="206"/>
      <c r="ID1543" s="206"/>
      <c r="IE1543" s="206"/>
      <c r="IF1543" s="206"/>
      <c r="IG1543" s="206"/>
      <c r="IH1543" s="206"/>
      <c r="II1543" s="206"/>
      <c r="IJ1543" s="206"/>
      <c r="IK1543" s="206"/>
      <c r="IL1543" s="206"/>
      <c r="IM1543" s="206"/>
      <c r="IN1543" s="206"/>
      <c r="IO1543" s="206"/>
      <c r="IP1543" s="206"/>
      <c r="IQ1543" s="206"/>
      <c r="IR1543" s="206"/>
      <c r="IS1543" s="206"/>
      <c r="IT1543" s="206"/>
      <c r="IU1543" s="206"/>
      <c r="IV1543" s="206"/>
      <c r="IW1543" s="206"/>
      <c r="IX1543" s="206"/>
      <c r="IY1543" s="206"/>
      <c r="IZ1543" s="206"/>
      <c r="JA1543" s="206"/>
      <c r="JB1543" s="206"/>
      <c r="JC1543" s="206"/>
      <c r="JD1543" s="206"/>
      <c r="JE1543" s="206"/>
      <c r="JF1543" s="206"/>
      <c r="JG1543" s="206"/>
      <c r="JH1543" s="206"/>
      <c r="JI1543" s="206"/>
      <c r="JJ1543" s="206"/>
      <c r="JK1543" s="206"/>
      <c r="JL1543" s="206"/>
      <c r="JM1543" s="206"/>
      <c r="JN1543" s="206"/>
      <c r="JO1543" s="206"/>
      <c r="JP1543" s="206"/>
      <c r="JQ1543" s="206"/>
      <c r="JR1543" s="206"/>
      <c r="JS1543" s="206"/>
      <c r="JT1543" s="206"/>
      <c r="JU1543" s="206"/>
      <c r="JV1543" s="206"/>
      <c r="JW1543" s="206"/>
      <c r="JX1543" s="206"/>
      <c r="JY1543" s="206"/>
      <c r="JZ1543" s="206"/>
      <c r="KA1543" s="206"/>
      <c r="KB1543" s="206"/>
      <c r="KC1543" s="206"/>
      <c r="KD1543" s="206"/>
      <c r="KE1543" s="206"/>
      <c r="KF1543" s="206"/>
      <c r="KG1543" s="206"/>
      <c r="KH1543" s="206"/>
      <c r="KI1543" s="206"/>
      <c r="KJ1543" s="206"/>
      <c r="KK1543" s="206"/>
      <c r="KL1543" s="206"/>
      <c r="KM1543" s="206"/>
      <c r="KN1543" s="206"/>
      <c r="KO1543" s="206"/>
      <c r="KP1543" s="206"/>
      <c r="KQ1543" s="206"/>
      <c r="KR1543" s="206"/>
      <c r="KS1543" s="206"/>
      <c r="KT1543" s="206"/>
      <c r="KU1543" s="206"/>
      <c r="KV1543" s="206"/>
      <c r="KW1543" s="206"/>
      <c r="KX1543" s="206"/>
      <c r="KY1543" s="206"/>
      <c r="KZ1543" s="206"/>
      <c r="LA1543" s="206"/>
      <c r="LB1543" s="206"/>
      <c r="LC1543" s="206"/>
      <c r="LD1543" s="206"/>
      <c r="LE1543" s="206"/>
      <c r="LF1543" s="206"/>
      <c r="LG1543" s="206"/>
      <c r="LH1543" s="206"/>
      <c r="LI1543" s="206"/>
      <c r="LJ1543" s="206"/>
      <c r="LK1543" s="206"/>
      <c r="LL1543" s="206"/>
      <c r="LM1543" s="206"/>
      <c r="LN1543" s="206"/>
      <c r="LO1543" s="206"/>
      <c r="LP1543" s="206"/>
      <c r="LQ1543" s="206"/>
      <c r="LR1543" s="206"/>
      <c r="LS1543" s="206"/>
      <c r="LT1543" s="206"/>
      <c r="LU1543" s="206"/>
      <c r="LV1543" s="206"/>
      <c r="LW1543" s="206"/>
      <c r="LX1543" s="206"/>
      <c r="LY1543" s="206"/>
      <c r="LZ1543" s="206"/>
      <c r="MA1543" s="206"/>
      <c r="MB1543" s="206"/>
      <c r="MC1543" s="206"/>
      <c r="MD1543" s="206"/>
      <c r="ME1543" s="206"/>
      <c r="MF1543" s="206"/>
      <c r="MG1543" s="206"/>
      <c r="MH1543" s="206"/>
      <c r="MI1543" s="206"/>
      <c r="MJ1543" s="206"/>
      <c r="MK1543" s="206"/>
      <c r="ML1543" s="206"/>
      <c r="MM1543" s="206"/>
      <c r="MN1543" s="206"/>
      <c r="MO1543" s="206"/>
      <c r="MP1543" s="206"/>
      <c r="MQ1543" s="206"/>
      <c r="MR1543" s="206"/>
      <c r="MS1543" s="206"/>
      <c r="MT1543" s="206"/>
      <c r="MU1543" s="206"/>
      <c r="MV1543" s="206"/>
      <c r="MW1543" s="206"/>
      <c r="MX1543" s="206"/>
      <c r="MY1543" s="206"/>
      <c r="MZ1543" s="206"/>
      <c r="NA1543" s="206"/>
      <c r="NB1543" s="206"/>
      <c r="NC1543" s="206"/>
      <c r="ND1543" s="206"/>
      <c r="NE1543" s="206"/>
      <c r="NF1543" s="206"/>
      <c r="NG1543" s="206"/>
      <c r="NH1543" s="206"/>
      <c r="NI1543" s="206"/>
      <c r="NJ1543" s="206"/>
      <c r="NK1543" s="206"/>
      <c r="NL1543" s="206"/>
      <c r="NM1543" s="206"/>
      <c r="NN1543" s="206"/>
      <c r="NO1543" s="206"/>
      <c r="NP1543" s="206"/>
      <c r="NQ1543" s="206"/>
      <c r="NR1543" s="206"/>
      <c r="NS1543" s="206"/>
      <c r="NT1543" s="206"/>
      <c r="NU1543" s="206"/>
      <c r="NV1543" s="206"/>
      <c r="NW1543" s="206"/>
      <c r="NX1543" s="206"/>
      <c r="NY1543" s="206"/>
      <c r="NZ1543" s="206"/>
      <c r="OA1543" s="206"/>
      <c r="OB1543" s="206"/>
      <c r="OC1543" s="206"/>
      <c r="OD1543" s="206"/>
      <c r="OE1543" s="206"/>
      <c r="OF1543" s="206"/>
      <c r="OG1543" s="206"/>
      <c r="OH1543" s="206"/>
      <c r="OI1543" s="206"/>
      <c r="OJ1543" s="206"/>
      <c r="OK1543" s="206"/>
      <c r="OL1543" s="206"/>
      <c r="OM1543" s="206"/>
      <c r="ON1543" s="206"/>
      <c r="OO1543" s="206"/>
      <c r="OP1543" s="206"/>
      <c r="OQ1543" s="206"/>
      <c r="OR1543" s="206"/>
      <c r="OS1543" s="206"/>
      <c r="OT1543" s="206"/>
      <c r="OU1543" s="206"/>
      <c r="OV1543" s="206"/>
      <c r="OW1543" s="206"/>
      <c r="OX1543" s="206"/>
      <c r="OY1543" s="206"/>
      <c r="OZ1543" s="206"/>
      <c r="PA1543" s="206"/>
      <c r="PB1543" s="206"/>
      <c r="PC1543" s="206"/>
      <c r="PD1543" s="206"/>
      <c r="PE1543" s="206"/>
      <c r="PF1543" s="206"/>
      <c r="PG1543" s="206"/>
      <c r="PH1543" s="206"/>
      <c r="PI1543" s="206"/>
      <c r="PJ1543" s="206"/>
      <c r="PK1543" s="206"/>
      <c r="PL1543" s="206"/>
      <c r="PM1543" s="206"/>
      <c r="PN1543" s="206"/>
      <c r="PO1543" s="206"/>
      <c r="PP1543" s="206"/>
      <c r="PQ1543" s="206"/>
      <c r="PR1543" s="206"/>
      <c r="PS1543" s="206"/>
      <c r="PT1543" s="206"/>
      <c r="PU1543" s="206"/>
      <c r="PV1543" s="206"/>
      <c r="PW1543" s="206"/>
      <c r="PX1543" s="206"/>
      <c r="PY1543" s="206"/>
      <c r="PZ1543" s="206"/>
      <c r="QA1543" s="206"/>
      <c r="QB1543" s="206"/>
      <c r="QC1543" s="206"/>
      <c r="QD1543" s="206"/>
      <c r="QE1543" s="206"/>
      <c r="QF1543" s="206"/>
      <c r="QG1543" s="206"/>
      <c r="QH1543" s="206"/>
      <c r="QI1543" s="206"/>
      <c r="QJ1543" s="206"/>
      <c r="QK1543" s="206"/>
      <c r="QL1543" s="206"/>
      <c r="QM1543" s="206"/>
      <c r="QN1543" s="206"/>
      <c r="QO1543" s="206"/>
      <c r="QP1543" s="206"/>
      <c r="QQ1543" s="206"/>
      <c r="QR1543" s="206"/>
      <c r="QS1543" s="206"/>
      <c r="QT1543" s="206"/>
      <c r="QU1543" s="206"/>
      <c r="QV1543" s="206"/>
      <c r="QW1543" s="206"/>
      <c r="QX1543" s="206"/>
      <c r="QY1543" s="206"/>
      <c r="QZ1543" s="206"/>
      <c r="RA1543" s="206"/>
      <c r="RB1543" s="206"/>
      <c r="RC1543" s="206"/>
      <c r="RD1543" s="206"/>
      <c r="RE1543" s="206"/>
      <c r="RF1543" s="206"/>
      <c r="RG1543" s="206"/>
      <c r="RH1543" s="206"/>
      <c r="RI1543" s="206"/>
      <c r="RJ1543" s="206"/>
      <c r="RK1543" s="206"/>
      <c r="RL1543" s="206"/>
      <c r="RM1543" s="206"/>
      <c r="RN1543" s="206"/>
      <c r="RO1543" s="206"/>
      <c r="RP1543" s="206"/>
      <c r="RQ1543" s="206"/>
      <c r="RR1543" s="206"/>
      <c r="RS1543" s="206"/>
      <c r="RT1543" s="206"/>
      <c r="RU1543" s="206"/>
      <c r="RV1543" s="206"/>
      <c r="RW1543" s="206"/>
      <c r="RX1543" s="206"/>
      <c r="RY1543" s="206"/>
      <c r="RZ1543" s="206"/>
      <c r="SA1543" s="206"/>
      <c r="SB1543" s="206"/>
      <c r="SC1543" s="206"/>
      <c r="SD1543" s="206"/>
      <c r="SE1543" s="206"/>
      <c r="SF1543" s="206"/>
      <c r="SG1543" s="206"/>
      <c r="SH1543" s="206"/>
      <c r="SI1543" s="206"/>
      <c r="SJ1543" s="206"/>
      <c r="SK1543" s="206"/>
      <c r="SL1543" s="206"/>
      <c r="SM1543" s="206"/>
      <c r="SN1543" s="206"/>
      <c r="SO1543" s="206"/>
      <c r="SP1543" s="206"/>
      <c r="SQ1543" s="206"/>
      <c r="SR1543" s="206"/>
      <c r="SS1543" s="206"/>
      <c r="ST1543" s="206"/>
      <c r="SU1543" s="206"/>
      <c r="SV1543" s="206"/>
      <c r="SW1543" s="206"/>
      <c r="SX1543" s="206"/>
      <c r="SY1543" s="206"/>
      <c r="SZ1543" s="206"/>
      <c r="TA1543" s="206"/>
      <c r="TB1543" s="206"/>
      <c r="TC1543" s="206"/>
      <c r="TD1543" s="206"/>
      <c r="TE1543" s="206"/>
      <c r="TF1543" s="206"/>
      <c r="TG1543" s="206"/>
      <c r="TH1543" s="206"/>
      <c r="TI1543" s="206"/>
      <c r="TJ1543" s="206"/>
      <c r="TK1543" s="206"/>
      <c r="TL1543" s="206"/>
      <c r="TM1543" s="206"/>
      <c r="TN1543" s="206"/>
      <c r="TO1543" s="206"/>
      <c r="TP1543" s="206"/>
      <c r="TQ1543" s="206"/>
      <c r="TR1543" s="206"/>
      <c r="TS1543" s="206"/>
      <c r="TT1543" s="206"/>
      <c r="TU1543" s="206"/>
      <c r="TV1543" s="206"/>
      <c r="TW1543" s="206"/>
      <c r="TX1543" s="206"/>
      <c r="TY1543" s="206"/>
      <c r="TZ1543" s="206"/>
      <c r="UA1543" s="206"/>
      <c r="UB1543" s="206"/>
      <c r="UC1543" s="206"/>
      <c r="UD1543" s="206"/>
    </row>
    <row r="1544" spans="1:550" s="874" customFormat="1" ht="39" customHeight="1">
      <c r="A1544" s="924" t="s">
        <v>15</v>
      </c>
      <c r="B1544" s="940"/>
      <c r="C1544" s="942" t="str">
        <f t="shared" si="232"/>
        <v>Đất trồng lúa còn lại (LUK)</v>
      </c>
      <c r="D1544" s="942" t="str">
        <f t="shared" si="232"/>
        <v>1</v>
      </c>
      <c r="E1544" s="940" t="str">
        <f t="shared" si="232"/>
        <v>442</v>
      </c>
      <c r="F1544" s="940"/>
      <c r="G1544" s="943" t="s">
        <v>1357</v>
      </c>
      <c r="H1544" s="954"/>
      <c r="I1544" s="945">
        <f t="shared" si="233"/>
        <v>564.9</v>
      </c>
      <c r="J1544" s="1003">
        <v>62000</v>
      </c>
      <c r="K1544" s="957">
        <v>2.5</v>
      </c>
      <c r="L1544" s="949">
        <f t="shared" si="234"/>
        <v>87559500</v>
      </c>
      <c r="M1544" s="949"/>
      <c r="N1544" s="949"/>
      <c r="O1544" s="949"/>
      <c r="P1544" s="949"/>
      <c r="Q1544" s="1178"/>
      <c r="R1544" s="1447"/>
      <c r="S1544" s="486"/>
      <c r="T1544" s="486"/>
      <c r="U1544" s="486"/>
      <c r="V1544" s="486"/>
      <c r="W1544" s="486"/>
      <c r="X1544" s="486"/>
      <c r="Y1544" s="486"/>
      <c r="Z1544" s="486"/>
      <c r="AA1544" s="486"/>
      <c r="AB1544" s="486"/>
      <c r="AC1544" s="486"/>
      <c r="AD1544" s="486"/>
      <c r="AE1544" s="486"/>
      <c r="AF1544" s="486"/>
      <c r="AG1544" s="486"/>
      <c r="AH1544" s="486"/>
      <c r="AI1544" s="486"/>
      <c r="AJ1544" s="486"/>
      <c r="AK1544" s="486"/>
      <c r="AL1544" s="206"/>
      <c r="AM1544" s="206"/>
      <c r="AN1544" s="206"/>
      <c r="AO1544" s="206"/>
      <c r="AP1544" s="206"/>
      <c r="AQ1544" s="206"/>
      <c r="AR1544" s="206"/>
      <c r="AS1544" s="206"/>
      <c r="AT1544" s="206"/>
      <c r="AU1544" s="206"/>
      <c r="AV1544" s="206"/>
      <c r="AW1544" s="206"/>
      <c r="AX1544" s="206"/>
      <c r="AY1544" s="206"/>
      <c r="AZ1544" s="206"/>
      <c r="BA1544" s="206"/>
      <c r="BB1544" s="206"/>
      <c r="BC1544" s="206"/>
      <c r="BD1544" s="206"/>
      <c r="BE1544" s="206"/>
      <c r="BF1544" s="206"/>
      <c r="BG1544" s="206"/>
      <c r="BH1544" s="206"/>
      <c r="BI1544" s="206"/>
      <c r="BJ1544" s="206"/>
      <c r="BK1544" s="206"/>
      <c r="BL1544" s="206"/>
      <c r="BM1544" s="206"/>
      <c r="BN1544" s="206"/>
      <c r="BO1544" s="206"/>
      <c r="BP1544" s="206"/>
      <c r="BQ1544" s="206"/>
      <c r="BR1544" s="206"/>
      <c r="BS1544" s="206"/>
      <c r="BT1544" s="206"/>
      <c r="BU1544" s="206"/>
      <c r="BV1544" s="206"/>
      <c r="BW1544" s="206"/>
      <c r="BX1544" s="206"/>
      <c r="BY1544" s="206"/>
      <c r="BZ1544" s="206"/>
      <c r="CA1544" s="206"/>
      <c r="CB1544" s="206"/>
      <c r="CC1544" s="206"/>
      <c r="CD1544" s="206"/>
      <c r="CE1544" s="206"/>
      <c r="CF1544" s="206"/>
      <c r="CG1544" s="206"/>
      <c r="CH1544" s="206"/>
      <c r="CI1544" s="206"/>
      <c r="CJ1544" s="206"/>
      <c r="CK1544" s="206"/>
      <c r="CL1544" s="206"/>
      <c r="CM1544" s="206"/>
      <c r="CN1544" s="206"/>
      <c r="CO1544" s="206"/>
      <c r="CP1544" s="206"/>
      <c r="CQ1544" s="206"/>
      <c r="CR1544" s="206"/>
      <c r="CS1544" s="206"/>
      <c r="CT1544" s="206"/>
      <c r="CU1544" s="206"/>
      <c r="CV1544" s="206"/>
      <c r="CW1544" s="206"/>
      <c r="CX1544" s="206"/>
      <c r="CY1544" s="206"/>
      <c r="CZ1544" s="206"/>
      <c r="DA1544" s="206"/>
      <c r="DB1544" s="206"/>
      <c r="DC1544" s="206"/>
      <c r="DD1544" s="206"/>
      <c r="DE1544" s="206"/>
      <c r="DF1544" s="206"/>
      <c r="DG1544" s="206"/>
      <c r="DH1544" s="206"/>
      <c r="DI1544" s="206"/>
      <c r="DJ1544" s="206"/>
      <c r="DK1544" s="206"/>
      <c r="DL1544" s="206"/>
      <c r="DM1544" s="206"/>
      <c r="DN1544" s="206"/>
      <c r="DO1544" s="206"/>
      <c r="DP1544" s="206"/>
      <c r="DQ1544" s="206"/>
      <c r="DR1544" s="206"/>
      <c r="DS1544" s="206"/>
      <c r="DT1544" s="206"/>
      <c r="DU1544" s="206"/>
      <c r="DV1544" s="206"/>
      <c r="DW1544" s="206"/>
      <c r="DX1544" s="206"/>
      <c r="DY1544" s="206"/>
      <c r="DZ1544" s="206"/>
      <c r="EA1544" s="206"/>
      <c r="EB1544" s="206"/>
      <c r="EC1544" s="206"/>
      <c r="ED1544" s="206"/>
      <c r="EE1544" s="206"/>
      <c r="EF1544" s="206"/>
      <c r="EG1544" s="206"/>
      <c r="EH1544" s="206"/>
      <c r="EI1544" s="206"/>
      <c r="EJ1544" s="206"/>
      <c r="EK1544" s="206"/>
      <c r="EL1544" s="206"/>
      <c r="EM1544" s="206"/>
      <c r="EN1544" s="206"/>
      <c r="EO1544" s="206"/>
      <c r="EP1544" s="206"/>
      <c r="EQ1544" s="206"/>
      <c r="ER1544" s="206"/>
      <c r="ES1544" s="206"/>
      <c r="ET1544" s="206"/>
      <c r="EU1544" s="206"/>
      <c r="EV1544" s="206"/>
      <c r="EW1544" s="206"/>
      <c r="EX1544" s="206"/>
      <c r="EY1544" s="206"/>
      <c r="EZ1544" s="206"/>
      <c r="FA1544" s="206"/>
      <c r="FB1544" s="206"/>
      <c r="FC1544" s="206"/>
      <c r="FD1544" s="206"/>
      <c r="FE1544" s="206"/>
      <c r="FF1544" s="206"/>
      <c r="FG1544" s="206"/>
      <c r="FH1544" s="206"/>
      <c r="FI1544" s="206"/>
      <c r="FJ1544" s="206"/>
      <c r="FK1544" s="206"/>
      <c r="FL1544" s="206"/>
      <c r="FM1544" s="206"/>
      <c r="FN1544" s="206"/>
      <c r="FO1544" s="206"/>
      <c r="FP1544" s="206"/>
      <c r="FQ1544" s="206"/>
      <c r="FR1544" s="206"/>
      <c r="FS1544" s="206"/>
      <c r="FT1544" s="206"/>
      <c r="FU1544" s="206"/>
      <c r="FV1544" s="206"/>
      <c r="FW1544" s="206"/>
      <c r="FX1544" s="206"/>
      <c r="FY1544" s="206"/>
      <c r="FZ1544" s="206"/>
      <c r="GA1544" s="206"/>
      <c r="GB1544" s="206"/>
      <c r="GC1544" s="206"/>
      <c r="GD1544" s="206"/>
      <c r="GE1544" s="206"/>
      <c r="GF1544" s="206"/>
      <c r="GG1544" s="206"/>
      <c r="GH1544" s="206"/>
      <c r="GI1544" s="206"/>
      <c r="GJ1544" s="206"/>
      <c r="GK1544" s="206"/>
      <c r="GL1544" s="206"/>
      <c r="GM1544" s="206"/>
      <c r="GN1544" s="206"/>
      <c r="GO1544" s="206"/>
      <c r="GP1544" s="206"/>
      <c r="GQ1544" s="206"/>
      <c r="GR1544" s="206"/>
      <c r="GS1544" s="206"/>
      <c r="GT1544" s="206"/>
      <c r="GU1544" s="206"/>
      <c r="GV1544" s="206"/>
      <c r="GW1544" s="206"/>
      <c r="GX1544" s="206"/>
      <c r="GY1544" s="206"/>
      <c r="GZ1544" s="206"/>
      <c r="HA1544" s="206"/>
      <c r="HB1544" s="206"/>
      <c r="HC1544" s="206"/>
      <c r="HD1544" s="206"/>
      <c r="HE1544" s="206"/>
      <c r="HF1544" s="206"/>
      <c r="HG1544" s="206"/>
      <c r="HH1544" s="206"/>
      <c r="HI1544" s="206"/>
      <c r="HJ1544" s="206"/>
      <c r="HK1544" s="206"/>
      <c r="HL1544" s="206"/>
      <c r="HM1544" s="206"/>
      <c r="HN1544" s="206"/>
      <c r="HO1544" s="206"/>
      <c r="HP1544" s="206"/>
      <c r="HQ1544" s="206"/>
      <c r="HR1544" s="206"/>
      <c r="HS1544" s="206"/>
      <c r="HT1544" s="206"/>
      <c r="HU1544" s="206"/>
      <c r="HV1544" s="206"/>
      <c r="HW1544" s="206"/>
      <c r="HX1544" s="206"/>
      <c r="HY1544" s="206"/>
      <c r="HZ1544" s="206"/>
      <c r="IA1544" s="206"/>
      <c r="IB1544" s="206"/>
      <c r="IC1544" s="206"/>
      <c r="ID1544" s="206"/>
      <c r="IE1544" s="206"/>
      <c r="IF1544" s="206"/>
      <c r="IG1544" s="206"/>
      <c r="IH1544" s="206"/>
      <c r="II1544" s="206"/>
      <c r="IJ1544" s="206"/>
      <c r="IK1544" s="206"/>
      <c r="IL1544" s="206"/>
      <c r="IM1544" s="206"/>
      <c r="IN1544" s="206"/>
      <c r="IO1544" s="206"/>
      <c r="IP1544" s="206"/>
      <c r="IQ1544" s="206"/>
      <c r="IR1544" s="206"/>
      <c r="IS1544" s="206"/>
      <c r="IT1544" s="206"/>
      <c r="IU1544" s="206"/>
      <c r="IV1544" s="206"/>
      <c r="IW1544" s="206"/>
      <c r="IX1544" s="206"/>
      <c r="IY1544" s="206"/>
      <c r="IZ1544" s="206"/>
      <c r="JA1544" s="206"/>
      <c r="JB1544" s="206"/>
      <c r="JC1544" s="206"/>
      <c r="JD1544" s="206"/>
      <c r="JE1544" s="206"/>
      <c r="JF1544" s="206"/>
      <c r="JG1544" s="206"/>
      <c r="JH1544" s="206"/>
      <c r="JI1544" s="206"/>
      <c r="JJ1544" s="206"/>
      <c r="JK1544" s="206"/>
      <c r="JL1544" s="206"/>
      <c r="JM1544" s="206"/>
      <c r="JN1544" s="206"/>
      <c r="JO1544" s="206"/>
      <c r="JP1544" s="206"/>
      <c r="JQ1544" s="206"/>
      <c r="JR1544" s="206"/>
      <c r="JS1544" s="206"/>
      <c r="JT1544" s="206"/>
      <c r="JU1544" s="206"/>
      <c r="JV1544" s="206"/>
      <c r="JW1544" s="206"/>
      <c r="JX1544" s="206"/>
      <c r="JY1544" s="206"/>
      <c r="JZ1544" s="206"/>
      <c r="KA1544" s="206"/>
      <c r="KB1544" s="206"/>
      <c r="KC1544" s="206"/>
      <c r="KD1544" s="206"/>
      <c r="KE1544" s="206"/>
      <c r="KF1544" s="206"/>
      <c r="KG1544" s="206"/>
      <c r="KH1544" s="206"/>
      <c r="KI1544" s="206"/>
      <c r="KJ1544" s="206"/>
      <c r="KK1544" s="206"/>
      <c r="KL1544" s="206"/>
      <c r="KM1544" s="206"/>
      <c r="KN1544" s="206"/>
      <c r="KO1544" s="206"/>
      <c r="KP1544" s="206"/>
      <c r="KQ1544" s="206"/>
      <c r="KR1544" s="206"/>
      <c r="KS1544" s="206"/>
      <c r="KT1544" s="206"/>
      <c r="KU1544" s="206"/>
      <c r="KV1544" s="206"/>
      <c r="KW1544" s="206"/>
      <c r="KX1544" s="206"/>
      <c r="KY1544" s="206"/>
      <c r="KZ1544" s="206"/>
      <c r="LA1544" s="206"/>
      <c r="LB1544" s="206"/>
      <c r="LC1544" s="206"/>
      <c r="LD1544" s="206"/>
      <c r="LE1544" s="206"/>
      <c r="LF1544" s="206"/>
      <c r="LG1544" s="206"/>
      <c r="LH1544" s="206"/>
      <c r="LI1544" s="206"/>
      <c r="LJ1544" s="206"/>
      <c r="LK1544" s="206"/>
      <c r="LL1544" s="206"/>
      <c r="LM1544" s="206"/>
      <c r="LN1544" s="206"/>
      <c r="LO1544" s="206"/>
      <c r="LP1544" s="206"/>
      <c r="LQ1544" s="206"/>
      <c r="LR1544" s="206"/>
      <c r="LS1544" s="206"/>
      <c r="LT1544" s="206"/>
      <c r="LU1544" s="206"/>
      <c r="LV1544" s="206"/>
      <c r="LW1544" s="206"/>
      <c r="LX1544" s="206"/>
      <c r="LY1544" s="206"/>
      <c r="LZ1544" s="206"/>
      <c r="MA1544" s="206"/>
      <c r="MB1544" s="206"/>
      <c r="MC1544" s="206"/>
      <c r="MD1544" s="206"/>
      <c r="ME1544" s="206"/>
      <c r="MF1544" s="206"/>
      <c r="MG1544" s="206"/>
      <c r="MH1544" s="206"/>
      <c r="MI1544" s="206"/>
      <c r="MJ1544" s="206"/>
      <c r="MK1544" s="206"/>
      <c r="ML1544" s="206"/>
      <c r="MM1544" s="206"/>
      <c r="MN1544" s="206"/>
      <c r="MO1544" s="206"/>
      <c r="MP1544" s="206"/>
      <c r="MQ1544" s="206"/>
      <c r="MR1544" s="206"/>
      <c r="MS1544" s="206"/>
      <c r="MT1544" s="206"/>
      <c r="MU1544" s="206"/>
      <c r="MV1544" s="206"/>
      <c r="MW1544" s="206"/>
      <c r="MX1544" s="206"/>
      <c r="MY1544" s="206"/>
      <c r="MZ1544" s="206"/>
      <c r="NA1544" s="206"/>
      <c r="NB1544" s="206"/>
      <c r="NC1544" s="206"/>
      <c r="ND1544" s="206"/>
      <c r="NE1544" s="206"/>
      <c r="NF1544" s="206"/>
      <c r="NG1544" s="206"/>
      <c r="NH1544" s="206"/>
      <c r="NI1544" s="206"/>
      <c r="NJ1544" s="206"/>
      <c r="NK1544" s="206"/>
      <c r="NL1544" s="206"/>
      <c r="NM1544" s="206"/>
      <c r="NN1544" s="206"/>
      <c r="NO1544" s="206"/>
      <c r="NP1544" s="206"/>
      <c r="NQ1544" s="206"/>
      <c r="NR1544" s="206"/>
      <c r="NS1544" s="206"/>
      <c r="NT1544" s="206"/>
      <c r="NU1544" s="206"/>
      <c r="NV1544" s="206"/>
      <c r="NW1544" s="206"/>
      <c r="NX1544" s="206"/>
      <c r="NY1544" s="206"/>
      <c r="NZ1544" s="206"/>
      <c r="OA1544" s="206"/>
      <c r="OB1544" s="206"/>
      <c r="OC1544" s="206"/>
      <c r="OD1544" s="206"/>
      <c r="OE1544" s="206"/>
      <c r="OF1544" s="206"/>
      <c r="OG1544" s="206"/>
      <c r="OH1544" s="206"/>
      <c r="OI1544" s="206"/>
      <c r="OJ1544" s="206"/>
      <c r="OK1544" s="206"/>
      <c r="OL1544" s="206"/>
      <c r="OM1544" s="206"/>
      <c r="ON1544" s="206"/>
      <c r="OO1544" s="206"/>
      <c r="OP1544" s="206"/>
      <c r="OQ1544" s="206"/>
      <c r="OR1544" s="206"/>
      <c r="OS1544" s="206"/>
      <c r="OT1544" s="206"/>
      <c r="OU1544" s="206"/>
      <c r="OV1544" s="206"/>
      <c r="OW1544" s="206"/>
      <c r="OX1544" s="206"/>
      <c r="OY1544" s="206"/>
      <c r="OZ1544" s="206"/>
      <c r="PA1544" s="206"/>
      <c r="PB1544" s="206"/>
      <c r="PC1544" s="206"/>
      <c r="PD1544" s="206"/>
      <c r="PE1544" s="206"/>
      <c r="PF1544" s="206"/>
      <c r="PG1544" s="206"/>
      <c r="PH1544" s="206"/>
      <c r="PI1544" s="206"/>
      <c r="PJ1544" s="206"/>
      <c r="PK1544" s="206"/>
      <c r="PL1544" s="206"/>
      <c r="PM1544" s="206"/>
      <c r="PN1544" s="206"/>
      <c r="PO1544" s="206"/>
      <c r="PP1544" s="206"/>
      <c r="PQ1544" s="206"/>
      <c r="PR1544" s="206"/>
      <c r="PS1544" s="206"/>
      <c r="PT1544" s="206"/>
      <c r="PU1544" s="206"/>
      <c r="PV1544" s="206"/>
      <c r="PW1544" s="206"/>
      <c r="PX1544" s="206"/>
      <c r="PY1544" s="206"/>
      <c r="PZ1544" s="206"/>
      <c r="QA1544" s="206"/>
      <c r="QB1544" s="206"/>
      <c r="QC1544" s="206"/>
      <c r="QD1544" s="206"/>
      <c r="QE1544" s="206"/>
      <c r="QF1544" s="206"/>
      <c r="QG1544" s="206"/>
      <c r="QH1544" s="206"/>
      <c r="QI1544" s="206"/>
      <c r="QJ1544" s="206"/>
      <c r="QK1544" s="206"/>
      <c r="QL1544" s="206"/>
      <c r="QM1544" s="206"/>
      <c r="QN1544" s="206"/>
      <c r="QO1544" s="206"/>
      <c r="QP1544" s="206"/>
      <c r="QQ1544" s="206"/>
      <c r="QR1544" s="206"/>
      <c r="QS1544" s="206"/>
      <c r="QT1544" s="206"/>
      <c r="QU1544" s="206"/>
      <c r="QV1544" s="206"/>
      <c r="QW1544" s="206"/>
      <c r="QX1544" s="206"/>
      <c r="QY1544" s="206"/>
      <c r="QZ1544" s="206"/>
      <c r="RA1544" s="206"/>
      <c r="RB1544" s="206"/>
      <c r="RC1544" s="206"/>
      <c r="RD1544" s="206"/>
      <c r="RE1544" s="206"/>
      <c r="RF1544" s="206"/>
      <c r="RG1544" s="206"/>
      <c r="RH1544" s="206"/>
      <c r="RI1544" s="206"/>
      <c r="RJ1544" s="206"/>
      <c r="RK1544" s="206"/>
      <c r="RL1544" s="206"/>
      <c r="RM1544" s="206"/>
      <c r="RN1544" s="206"/>
      <c r="RO1544" s="206"/>
      <c r="RP1544" s="206"/>
      <c r="RQ1544" s="206"/>
      <c r="RR1544" s="206"/>
      <c r="RS1544" s="206"/>
      <c r="RT1544" s="206"/>
      <c r="RU1544" s="206"/>
      <c r="RV1544" s="206"/>
      <c r="RW1544" s="206"/>
      <c r="RX1544" s="206"/>
      <c r="RY1544" s="206"/>
      <c r="RZ1544" s="206"/>
      <c r="SA1544" s="206"/>
      <c r="SB1544" s="206"/>
      <c r="SC1544" s="206"/>
      <c r="SD1544" s="206"/>
      <c r="SE1544" s="206"/>
      <c r="SF1544" s="206"/>
      <c r="SG1544" s="206"/>
      <c r="SH1544" s="206"/>
      <c r="SI1544" s="206"/>
      <c r="SJ1544" s="206"/>
      <c r="SK1544" s="206"/>
      <c r="SL1544" s="206"/>
      <c r="SM1544" s="206"/>
      <c r="SN1544" s="206"/>
      <c r="SO1544" s="206"/>
      <c r="SP1544" s="206"/>
      <c r="SQ1544" s="206"/>
      <c r="SR1544" s="206"/>
      <c r="SS1544" s="206"/>
      <c r="ST1544" s="206"/>
      <c r="SU1544" s="206"/>
      <c r="SV1544" s="206"/>
      <c r="SW1544" s="206"/>
      <c r="SX1544" s="206"/>
      <c r="SY1544" s="206"/>
      <c r="SZ1544" s="206"/>
      <c r="TA1544" s="206"/>
      <c r="TB1544" s="206"/>
      <c r="TC1544" s="206"/>
      <c r="TD1544" s="206"/>
      <c r="TE1544" s="206"/>
      <c r="TF1544" s="206"/>
      <c r="TG1544" s="206"/>
      <c r="TH1544" s="206"/>
      <c r="TI1544" s="206"/>
      <c r="TJ1544" s="206"/>
      <c r="TK1544" s="206"/>
      <c r="TL1544" s="206"/>
      <c r="TM1544" s="206"/>
      <c r="TN1544" s="206"/>
      <c r="TO1544" s="206"/>
      <c r="TP1544" s="206"/>
      <c r="TQ1544" s="206"/>
      <c r="TR1544" s="206"/>
      <c r="TS1544" s="206"/>
      <c r="TT1544" s="206"/>
      <c r="TU1544" s="206"/>
      <c r="TV1544" s="206"/>
      <c r="TW1544" s="206"/>
      <c r="TX1544" s="206"/>
      <c r="TY1544" s="206"/>
      <c r="TZ1544" s="206"/>
      <c r="UA1544" s="206"/>
      <c r="UB1544" s="206"/>
      <c r="UC1544" s="206"/>
      <c r="UD1544" s="206"/>
    </row>
    <row r="1545" spans="1:550" s="874" customFormat="1" ht="39" customHeight="1">
      <c r="A1545" s="924" t="s">
        <v>15</v>
      </c>
      <c r="B1545" s="940"/>
      <c r="C1545" s="942" t="s">
        <v>26</v>
      </c>
      <c r="D1545" s="942">
        <f t="shared" si="232"/>
        <v>1</v>
      </c>
      <c r="E1545" s="940">
        <f t="shared" si="232"/>
        <v>513</v>
      </c>
      <c r="F1545" s="940"/>
      <c r="G1545" s="943" t="s">
        <v>1357</v>
      </c>
      <c r="H1545" s="954"/>
      <c r="I1545" s="945">
        <f t="shared" si="233"/>
        <v>230.5</v>
      </c>
      <c r="J1545" s="1003">
        <v>53000</v>
      </c>
      <c r="K1545" s="957">
        <v>1</v>
      </c>
      <c r="L1545" s="949">
        <f>I1545*J1545*K1545</f>
        <v>12216500</v>
      </c>
      <c r="M1545" s="949"/>
      <c r="N1545" s="949"/>
      <c r="O1545" s="949"/>
      <c r="P1545" s="949"/>
      <c r="Q1545" s="1178"/>
      <c r="R1545" s="1447"/>
      <c r="S1545" s="486"/>
      <c r="T1545" s="486"/>
      <c r="U1545" s="486"/>
      <c r="V1545" s="486"/>
      <c r="W1545" s="486"/>
      <c r="X1545" s="486"/>
      <c r="Y1545" s="486"/>
      <c r="Z1545" s="486"/>
      <c r="AA1545" s="486"/>
      <c r="AB1545" s="486"/>
      <c r="AC1545" s="486"/>
      <c r="AD1545" s="486"/>
      <c r="AE1545" s="486"/>
      <c r="AF1545" s="486"/>
      <c r="AG1545" s="486"/>
      <c r="AH1545" s="486"/>
      <c r="AI1545" s="486"/>
      <c r="AJ1545" s="486"/>
      <c r="AK1545" s="486"/>
      <c r="AL1545" s="206"/>
      <c r="AM1545" s="206"/>
      <c r="AN1545" s="206"/>
      <c r="AO1545" s="206"/>
      <c r="AP1545" s="206"/>
      <c r="AQ1545" s="206"/>
      <c r="AR1545" s="206"/>
      <c r="AS1545" s="206"/>
      <c r="AT1545" s="206"/>
      <c r="AU1545" s="206"/>
      <c r="AV1545" s="206"/>
      <c r="AW1545" s="206"/>
      <c r="AX1545" s="206"/>
      <c r="AY1545" s="206"/>
      <c r="AZ1545" s="206"/>
      <c r="BA1545" s="206"/>
      <c r="BB1545" s="206"/>
      <c r="BC1545" s="206"/>
      <c r="BD1545" s="206"/>
      <c r="BE1545" s="206"/>
      <c r="BF1545" s="206"/>
      <c r="BG1545" s="206"/>
      <c r="BH1545" s="206"/>
      <c r="BI1545" s="206"/>
      <c r="BJ1545" s="206"/>
      <c r="BK1545" s="206"/>
      <c r="BL1545" s="206"/>
      <c r="BM1545" s="206"/>
      <c r="BN1545" s="206"/>
      <c r="BO1545" s="206"/>
      <c r="BP1545" s="206"/>
      <c r="BQ1545" s="206"/>
      <c r="BR1545" s="206"/>
      <c r="BS1545" s="206"/>
      <c r="BT1545" s="206"/>
      <c r="BU1545" s="206"/>
      <c r="BV1545" s="206"/>
      <c r="BW1545" s="206"/>
      <c r="BX1545" s="206"/>
      <c r="BY1545" s="206"/>
      <c r="BZ1545" s="206"/>
      <c r="CA1545" s="206"/>
      <c r="CB1545" s="206"/>
      <c r="CC1545" s="206"/>
      <c r="CD1545" s="206"/>
      <c r="CE1545" s="206"/>
      <c r="CF1545" s="206"/>
      <c r="CG1545" s="206"/>
      <c r="CH1545" s="206"/>
      <c r="CI1545" s="206"/>
      <c r="CJ1545" s="206"/>
      <c r="CK1545" s="206"/>
      <c r="CL1545" s="206"/>
      <c r="CM1545" s="206"/>
      <c r="CN1545" s="206"/>
      <c r="CO1545" s="206"/>
      <c r="CP1545" s="206"/>
      <c r="CQ1545" s="206"/>
      <c r="CR1545" s="206"/>
      <c r="CS1545" s="206"/>
      <c r="CT1545" s="206"/>
      <c r="CU1545" s="206"/>
      <c r="CV1545" s="206"/>
      <c r="CW1545" s="206"/>
      <c r="CX1545" s="206"/>
      <c r="CY1545" s="206"/>
      <c r="CZ1545" s="206"/>
      <c r="DA1545" s="206"/>
      <c r="DB1545" s="206"/>
      <c r="DC1545" s="206"/>
      <c r="DD1545" s="206"/>
      <c r="DE1545" s="206"/>
      <c r="DF1545" s="206"/>
      <c r="DG1545" s="206"/>
      <c r="DH1545" s="206"/>
      <c r="DI1545" s="206"/>
      <c r="DJ1545" s="206"/>
      <c r="DK1545" s="206"/>
      <c r="DL1545" s="206"/>
      <c r="DM1545" s="206"/>
      <c r="DN1545" s="206"/>
      <c r="DO1545" s="206"/>
      <c r="DP1545" s="206"/>
      <c r="DQ1545" s="206"/>
      <c r="DR1545" s="206"/>
      <c r="DS1545" s="206"/>
      <c r="DT1545" s="206"/>
      <c r="DU1545" s="206"/>
      <c r="DV1545" s="206"/>
      <c r="DW1545" s="206"/>
      <c r="DX1545" s="206"/>
      <c r="DY1545" s="206"/>
      <c r="DZ1545" s="206"/>
      <c r="EA1545" s="206"/>
      <c r="EB1545" s="206"/>
      <c r="EC1545" s="206"/>
      <c r="ED1545" s="206"/>
      <c r="EE1545" s="206"/>
      <c r="EF1545" s="206"/>
      <c r="EG1545" s="206"/>
      <c r="EH1545" s="206"/>
      <c r="EI1545" s="206"/>
      <c r="EJ1545" s="206"/>
      <c r="EK1545" s="206"/>
      <c r="EL1545" s="206"/>
      <c r="EM1545" s="206"/>
      <c r="EN1545" s="206"/>
      <c r="EO1545" s="206"/>
      <c r="EP1545" s="206"/>
      <c r="EQ1545" s="206"/>
      <c r="ER1545" s="206"/>
      <c r="ES1545" s="206"/>
      <c r="ET1545" s="206"/>
      <c r="EU1545" s="206"/>
      <c r="EV1545" s="206"/>
      <c r="EW1545" s="206"/>
      <c r="EX1545" s="206"/>
      <c r="EY1545" s="206"/>
      <c r="EZ1545" s="206"/>
      <c r="FA1545" s="206"/>
      <c r="FB1545" s="206"/>
      <c r="FC1545" s="206"/>
      <c r="FD1545" s="206"/>
      <c r="FE1545" s="206"/>
      <c r="FF1545" s="206"/>
      <c r="FG1545" s="206"/>
      <c r="FH1545" s="206"/>
      <c r="FI1545" s="206"/>
      <c r="FJ1545" s="206"/>
      <c r="FK1545" s="206"/>
      <c r="FL1545" s="206"/>
      <c r="FM1545" s="206"/>
      <c r="FN1545" s="206"/>
      <c r="FO1545" s="206"/>
      <c r="FP1545" s="206"/>
      <c r="FQ1545" s="206"/>
      <c r="FR1545" s="206"/>
      <c r="FS1545" s="206"/>
      <c r="FT1545" s="206"/>
      <c r="FU1545" s="206"/>
      <c r="FV1545" s="206"/>
      <c r="FW1545" s="206"/>
      <c r="FX1545" s="206"/>
      <c r="FY1545" s="206"/>
      <c r="FZ1545" s="206"/>
      <c r="GA1545" s="206"/>
      <c r="GB1545" s="206"/>
      <c r="GC1545" s="206"/>
      <c r="GD1545" s="206"/>
      <c r="GE1545" s="206"/>
      <c r="GF1545" s="206"/>
      <c r="GG1545" s="206"/>
      <c r="GH1545" s="206"/>
      <c r="GI1545" s="206"/>
      <c r="GJ1545" s="206"/>
      <c r="GK1545" s="206"/>
      <c r="GL1545" s="206"/>
      <c r="GM1545" s="206"/>
      <c r="GN1545" s="206"/>
      <c r="GO1545" s="206"/>
      <c r="GP1545" s="206"/>
      <c r="GQ1545" s="206"/>
      <c r="GR1545" s="206"/>
      <c r="GS1545" s="206"/>
      <c r="GT1545" s="206"/>
      <c r="GU1545" s="206"/>
      <c r="GV1545" s="206"/>
      <c r="GW1545" s="206"/>
      <c r="GX1545" s="206"/>
      <c r="GY1545" s="206"/>
      <c r="GZ1545" s="206"/>
      <c r="HA1545" s="206"/>
      <c r="HB1545" s="206"/>
      <c r="HC1545" s="206"/>
      <c r="HD1545" s="206"/>
      <c r="HE1545" s="206"/>
      <c r="HF1545" s="206"/>
      <c r="HG1545" s="206"/>
      <c r="HH1545" s="206"/>
      <c r="HI1545" s="206"/>
      <c r="HJ1545" s="206"/>
      <c r="HK1545" s="206"/>
      <c r="HL1545" s="206"/>
      <c r="HM1545" s="206"/>
      <c r="HN1545" s="206"/>
      <c r="HO1545" s="206"/>
      <c r="HP1545" s="206"/>
      <c r="HQ1545" s="206"/>
      <c r="HR1545" s="206"/>
      <c r="HS1545" s="206"/>
      <c r="HT1545" s="206"/>
      <c r="HU1545" s="206"/>
      <c r="HV1545" s="206"/>
      <c r="HW1545" s="206"/>
      <c r="HX1545" s="206"/>
      <c r="HY1545" s="206"/>
      <c r="HZ1545" s="206"/>
      <c r="IA1545" s="206"/>
      <c r="IB1545" s="206"/>
      <c r="IC1545" s="206"/>
      <c r="ID1545" s="206"/>
      <c r="IE1545" s="206"/>
      <c r="IF1545" s="206"/>
      <c r="IG1545" s="206"/>
      <c r="IH1545" s="206"/>
      <c r="II1545" s="206"/>
      <c r="IJ1545" s="206"/>
      <c r="IK1545" s="206"/>
      <c r="IL1545" s="206"/>
      <c r="IM1545" s="206"/>
      <c r="IN1545" s="206"/>
      <c r="IO1545" s="206"/>
      <c r="IP1545" s="206"/>
      <c r="IQ1545" s="206"/>
      <c r="IR1545" s="206"/>
      <c r="IS1545" s="206"/>
      <c r="IT1545" s="206"/>
      <c r="IU1545" s="206"/>
      <c r="IV1545" s="206"/>
      <c r="IW1545" s="206"/>
      <c r="IX1545" s="206"/>
      <c r="IY1545" s="206"/>
      <c r="IZ1545" s="206"/>
      <c r="JA1545" s="206"/>
      <c r="JB1545" s="206"/>
      <c r="JC1545" s="206"/>
      <c r="JD1545" s="206"/>
      <c r="JE1545" s="206"/>
      <c r="JF1545" s="206"/>
      <c r="JG1545" s="206"/>
      <c r="JH1545" s="206"/>
      <c r="JI1545" s="206"/>
      <c r="JJ1545" s="206"/>
      <c r="JK1545" s="206"/>
      <c r="JL1545" s="206"/>
      <c r="JM1545" s="206"/>
      <c r="JN1545" s="206"/>
      <c r="JO1545" s="206"/>
      <c r="JP1545" s="206"/>
      <c r="JQ1545" s="206"/>
      <c r="JR1545" s="206"/>
      <c r="JS1545" s="206"/>
      <c r="JT1545" s="206"/>
      <c r="JU1545" s="206"/>
      <c r="JV1545" s="206"/>
      <c r="JW1545" s="206"/>
      <c r="JX1545" s="206"/>
      <c r="JY1545" s="206"/>
      <c r="JZ1545" s="206"/>
      <c r="KA1545" s="206"/>
      <c r="KB1545" s="206"/>
      <c r="KC1545" s="206"/>
      <c r="KD1545" s="206"/>
      <c r="KE1545" s="206"/>
      <c r="KF1545" s="206"/>
      <c r="KG1545" s="206"/>
      <c r="KH1545" s="206"/>
      <c r="KI1545" s="206"/>
      <c r="KJ1545" s="206"/>
      <c r="KK1545" s="206"/>
      <c r="KL1545" s="206"/>
      <c r="KM1545" s="206"/>
      <c r="KN1545" s="206"/>
      <c r="KO1545" s="206"/>
      <c r="KP1545" s="206"/>
      <c r="KQ1545" s="206"/>
      <c r="KR1545" s="206"/>
      <c r="KS1545" s="206"/>
      <c r="KT1545" s="206"/>
      <c r="KU1545" s="206"/>
      <c r="KV1545" s="206"/>
      <c r="KW1545" s="206"/>
      <c r="KX1545" s="206"/>
      <c r="KY1545" s="206"/>
      <c r="KZ1545" s="206"/>
      <c r="LA1545" s="206"/>
      <c r="LB1545" s="206"/>
      <c r="LC1545" s="206"/>
      <c r="LD1545" s="206"/>
      <c r="LE1545" s="206"/>
      <c r="LF1545" s="206"/>
      <c r="LG1545" s="206"/>
      <c r="LH1545" s="206"/>
      <c r="LI1545" s="206"/>
      <c r="LJ1545" s="206"/>
      <c r="LK1545" s="206"/>
      <c r="LL1545" s="206"/>
      <c r="LM1545" s="206"/>
      <c r="LN1545" s="206"/>
      <c r="LO1545" s="206"/>
      <c r="LP1545" s="206"/>
      <c r="LQ1545" s="206"/>
      <c r="LR1545" s="206"/>
      <c r="LS1545" s="206"/>
      <c r="LT1545" s="206"/>
      <c r="LU1545" s="206"/>
      <c r="LV1545" s="206"/>
      <c r="LW1545" s="206"/>
      <c r="LX1545" s="206"/>
      <c r="LY1545" s="206"/>
      <c r="LZ1545" s="206"/>
      <c r="MA1545" s="206"/>
      <c r="MB1545" s="206"/>
      <c r="MC1545" s="206"/>
      <c r="MD1545" s="206"/>
      <c r="ME1545" s="206"/>
      <c r="MF1545" s="206"/>
      <c r="MG1545" s="206"/>
      <c r="MH1545" s="206"/>
      <c r="MI1545" s="206"/>
      <c r="MJ1545" s="206"/>
      <c r="MK1545" s="206"/>
      <c r="ML1545" s="206"/>
      <c r="MM1545" s="206"/>
      <c r="MN1545" s="206"/>
      <c r="MO1545" s="206"/>
      <c r="MP1545" s="206"/>
      <c r="MQ1545" s="206"/>
      <c r="MR1545" s="206"/>
      <c r="MS1545" s="206"/>
      <c r="MT1545" s="206"/>
      <c r="MU1545" s="206"/>
      <c r="MV1545" s="206"/>
      <c r="MW1545" s="206"/>
      <c r="MX1545" s="206"/>
      <c r="MY1545" s="206"/>
      <c r="MZ1545" s="206"/>
      <c r="NA1545" s="206"/>
      <c r="NB1545" s="206"/>
      <c r="NC1545" s="206"/>
      <c r="ND1545" s="206"/>
      <c r="NE1545" s="206"/>
      <c r="NF1545" s="206"/>
      <c r="NG1545" s="206"/>
      <c r="NH1545" s="206"/>
      <c r="NI1545" s="206"/>
      <c r="NJ1545" s="206"/>
      <c r="NK1545" s="206"/>
      <c r="NL1545" s="206"/>
      <c r="NM1545" s="206"/>
      <c r="NN1545" s="206"/>
      <c r="NO1545" s="206"/>
      <c r="NP1545" s="206"/>
      <c r="NQ1545" s="206"/>
      <c r="NR1545" s="206"/>
      <c r="NS1545" s="206"/>
      <c r="NT1545" s="206"/>
      <c r="NU1545" s="206"/>
      <c r="NV1545" s="206"/>
      <c r="NW1545" s="206"/>
      <c r="NX1545" s="206"/>
      <c r="NY1545" s="206"/>
      <c r="NZ1545" s="206"/>
      <c r="OA1545" s="206"/>
      <c r="OB1545" s="206"/>
      <c r="OC1545" s="206"/>
      <c r="OD1545" s="206"/>
      <c r="OE1545" s="206"/>
      <c r="OF1545" s="206"/>
      <c r="OG1545" s="206"/>
      <c r="OH1545" s="206"/>
      <c r="OI1545" s="206"/>
      <c r="OJ1545" s="206"/>
      <c r="OK1545" s="206"/>
      <c r="OL1545" s="206"/>
      <c r="OM1545" s="206"/>
      <c r="ON1545" s="206"/>
      <c r="OO1545" s="206"/>
      <c r="OP1545" s="206"/>
      <c r="OQ1545" s="206"/>
      <c r="OR1545" s="206"/>
      <c r="OS1545" s="206"/>
      <c r="OT1545" s="206"/>
      <c r="OU1545" s="206"/>
      <c r="OV1545" s="206"/>
      <c r="OW1545" s="206"/>
      <c r="OX1545" s="206"/>
      <c r="OY1545" s="206"/>
      <c r="OZ1545" s="206"/>
      <c r="PA1545" s="206"/>
      <c r="PB1545" s="206"/>
      <c r="PC1545" s="206"/>
      <c r="PD1545" s="206"/>
      <c r="PE1545" s="206"/>
      <c r="PF1545" s="206"/>
      <c r="PG1545" s="206"/>
      <c r="PH1545" s="206"/>
      <c r="PI1545" s="206"/>
      <c r="PJ1545" s="206"/>
      <c r="PK1545" s="206"/>
      <c r="PL1545" s="206"/>
      <c r="PM1545" s="206"/>
      <c r="PN1545" s="206"/>
      <c r="PO1545" s="206"/>
      <c r="PP1545" s="206"/>
      <c r="PQ1545" s="206"/>
      <c r="PR1545" s="206"/>
      <c r="PS1545" s="206"/>
      <c r="PT1545" s="206"/>
      <c r="PU1545" s="206"/>
      <c r="PV1545" s="206"/>
      <c r="PW1545" s="206"/>
      <c r="PX1545" s="206"/>
      <c r="PY1545" s="206"/>
      <c r="PZ1545" s="206"/>
      <c r="QA1545" s="206"/>
      <c r="QB1545" s="206"/>
      <c r="QC1545" s="206"/>
      <c r="QD1545" s="206"/>
      <c r="QE1545" s="206"/>
      <c r="QF1545" s="206"/>
      <c r="QG1545" s="206"/>
      <c r="QH1545" s="206"/>
      <c r="QI1545" s="206"/>
      <c r="QJ1545" s="206"/>
      <c r="QK1545" s="206"/>
      <c r="QL1545" s="206"/>
      <c r="QM1545" s="206"/>
      <c r="QN1545" s="206"/>
      <c r="QO1545" s="206"/>
      <c r="QP1545" s="206"/>
      <c r="QQ1545" s="206"/>
      <c r="QR1545" s="206"/>
      <c r="QS1545" s="206"/>
      <c r="QT1545" s="206"/>
      <c r="QU1545" s="206"/>
      <c r="QV1545" s="206"/>
      <c r="QW1545" s="206"/>
      <c r="QX1545" s="206"/>
      <c r="QY1545" s="206"/>
      <c r="QZ1545" s="206"/>
      <c r="RA1545" s="206"/>
      <c r="RB1545" s="206"/>
      <c r="RC1545" s="206"/>
      <c r="RD1545" s="206"/>
      <c r="RE1545" s="206"/>
      <c r="RF1545" s="206"/>
      <c r="RG1545" s="206"/>
      <c r="RH1545" s="206"/>
      <c r="RI1545" s="206"/>
      <c r="RJ1545" s="206"/>
      <c r="RK1545" s="206"/>
      <c r="RL1545" s="206"/>
      <c r="RM1545" s="206"/>
      <c r="RN1545" s="206"/>
      <c r="RO1545" s="206"/>
      <c r="RP1545" s="206"/>
      <c r="RQ1545" s="206"/>
      <c r="RR1545" s="206"/>
      <c r="RS1545" s="206"/>
      <c r="RT1545" s="206"/>
      <c r="RU1545" s="206"/>
      <c r="RV1545" s="206"/>
      <c r="RW1545" s="206"/>
      <c r="RX1545" s="206"/>
      <c r="RY1545" s="206"/>
      <c r="RZ1545" s="206"/>
      <c r="SA1545" s="206"/>
      <c r="SB1545" s="206"/>
      <c r="SC1545" s="206"/>
      <c r="SD1545" s="206"/>
      <c r="SE1545" s="206"/>
      <c r="SF1545" s="206"/>
      <c r="SG1545" s="206"/>
      <c r="SH1545" s="206"/>
      <c r="SI1545" s="206"/>
      <c r="SJ1545" s="206"/>
      <c r="SK1545" s="206"/>
      <c r="SL1545" s="206"/>
      <c r="SM1545" s="206"/>
      <c r="SN1545" s="206"/>
      <c r="SO1545" s="206"/>
      <c r="SP1545" s="206"/>
      <c r="SQ1545" s="206"/>
      <c r="SR1545" s="206"/>
      <c r="SS1545" s="206"/>
      <c r="ST1545" s="206"/>
      <c r="SU1545" s="206"/>
      <c r="SV1545" s="206"/>
      <c r="SW1545" s="206"/>
      <c r="SX1545" s="206"/>
      <c r="SY1545" s="206"/>
      <c r="SZ1545" s="206"/>
      <c r="TA1545" s="206"/>
      <c r="TB1545" s="206"/>
      <c r="TC1545" s="206"/>
      <c r="TD1545" s="206"/>
      <c r="TE1545" s="206"/>
      <c r="TF1545" s="206"/>
      <c r="TG1545" s="206"/>
      <c r="TH1545" s="206"/>
      <c r="TI1545" s="206"/>
      <c r="TJ1545" s="206"/>
      <c r="TK1545" s="206"/>
      <c r="TL1545" s="206"/>
      <c r="TM1545" s="206"/>
      <c r="TN1545" s="206"/>
      <c r="TO1545" s="206"/>
      <c r="TP1545" s="206"/>
      <c r="TQ1545" s="206"/>
      <c r="TR1545" s="206"/>
      <c r="TS1545" s="206"/>
      <c r="TT1545" s="206"/>
      <c r="TU1545" s="206"/>
      <c r="TV1545" s="206"/>
      <c r="TW1545" s="206"/>
      <c r="TX1545" s="206"/>
      <c r="TY1545" s="206"/>
      <c r="TZ1545" s="206"/>
      <c r="UA1545" s="206"/>
      <c r="UB1545" s="206"/>
      <c r="UC1545" s="206"/>
      <c r="UD1545" s="206"/>
    </row>
    <row r="1546" spans="1:550" s="874" customFormat="1" ht="39" customHeight="1">
      <c r="A1546" s="924" t="s">
        <v>15</v>
      </c>
      <c r="B1546" s="940"/>
      <c r="C1546" s="942" t="str">
        <f t="shared" ref="C1546:E1548" si="235">C1534</f>
        <v>Đất trồng lúa còn lại (LUK)</v>
      </c>
      <c r="D1546" s="942" t="str">
        <f t="shared" si="235"/>
        <v>1</v>
      </c>
      <c r="E1546" s="940" t="str">
        <f t="shared" si="235"/>
        <v>65</v>
      </c>
      <c r="F1546" s="940"/>
      <c r="G1546" s="943" t="s">
        <v>1357</v>
      </c>
      <c r="H1546" s="954"/>
      <c r="I1546" s="945">
        <f t="shared" si="233"/>
        <v>134.69999999999999</v>
      </c>
      <c r="J1546" s="1003">
        <v>62000</v>
      </c>
      <c r="K1546" s="957">
        <v>2.5</v>
      </c>
      <c r="L1546" s="949">
        <f t="shared" si="234"/>
        <v>20878499.999999996</v>
      </c>
      <c r="M1546" s="949"/>
      <c r="N1546" s="949"/>
      <c r="O1546" s="949"/>
      <c r="P1546" s="949"/>
      <c r="Q1546" s="1178"/>
      <c r="R1546" s="1447"/>
      <c r="S1546" s="486"/>
      <c r="T1546" s="486"/>
      <c r="U1546" s="486"/>
      <c r="V1546" s="486"/>
      <c r="W1546" s="486"/>
      <c r="X1546" s="486"/>
      <c r="Y1546" s="486"/>
      <c r="Z1546" s="486"/>
      <c r="AA1546" s="486"/>
      <c r="AB1546" s="486"/>
      <c r="AC1546" s="486"/>
      <c r="AD1546" s="486"/>
      <c r="AE1546" s="486"/>
      <c r="AF1546" s="486"/>
      <c r="AG1546" s="486"/>
      <c r="AH1546" s="486"/>
      <c r="AI1546" s="486"/>
      <c r="AJ1546" s="486"/>
      <c r="AK1546" s="486"/>
      <c r="AL1546" s="206"/>
      <c r="AM1546" s="206"/>
      <c r="AN1546" s="206"/>
      <c r="AO1546" s="206"/>
      <c r="AP1546" s="206"/>
      <c r="AQ1546" s="206"/>
      <c r="AR1546" s="206"/>
      <c r="AS1546" s="206"/>
      <c r="AT1546" s="206"/>
      <c r="AU1546" s="206"/>
      <c r="AV1546" s="206"/>
      <c r="AW1546" s="206"/>
      <c r="AX1546" s="206"/>
      <c r="AY1546" s="206"/>
      <c r="AZ1546" s="206"/>
      <c r="BA1546" s="206"/>
      <c r="BB1546" s="206"/>
      <c r="BC1546" s="206"/>
      <c r="BD1546" s="206"/>
      <c r="BE1546" s="206"/>
      <c r="BF1546" s="206"/>
      <c r="BG1546" s="206"/>
      <c r="BH1546" s="206"/>
      <c r="BI1546" s="206"/>
      <c r="BJ1546" s="206"/>
      <c r="BK1546" s="206"/>
      <c r="BL1546" s="206"/>
      <c r="BM1546" s="206"/>
      <c r="BN1546" s="206"/>
      <c r="BO1546" s="206"/>
      <c r="BP1546" s="206"/>
      <c r="BQ1546" s="206"/>
      <c r="BR1546" s="206"/>
      <c r="BS1546" s="206"/>
      <c r="BT1546" s="206"/>
      <c r="BU1546" s="206"/>
      <c r="BV1546" s="206"/>
      <c r="BW1546" s="206"/>
      <c r="BX1546" s="206"/>
      <c r="BY1546" s="206"/>
      <c r="BZ1546" s="206"/>
      <c r="CA1546" s="206"/>
      <c r="CB1546" s="206"/>
      <c r="CC1546" s="206"/>
      <c r="CD1546" s="206"/>
      <c r="CE1546" s="206"/>
      <c r="CF1546" s="206"/>
      <c r="CG1546" s="206"/>
      <c r="CH1546" s="206"/>
      <c r="CI1546" s="206"/>
      <c r="CJ1546" s="206"/>
      <c r="CK1546" s="206"/>
      <c r="CL1546" s="206"/>
      <c r="CM1546" s="206"/>
      <c r="CN1546" s="206"/>
      <c r="CO1546" s="206"/>
      <c r="CP1546" s="206"/>
      <c r="CQ1546" s="206"/>
      <c r="CR1546" s="206"/>
      <c r="CS1546" s="206"/>
      <c r="CT1546" s="206"/>
      <c r="CU1546" s="206"/>
      <c r="CV1546" s="206"/>
      <c r="CW1546" s="206"/>
      <c r="CX1546" s="206"/>
      <c r="CY1546" s="206"/>
      <c r="CZ1546" s="206"/>
      <c r="DA1546" s="206"/>
      <c r="DB1546" s="206"/>
      <c r="DC1546" s="206"/>
      <c r="DD1546" s="206"/>
      <c r="DE1546" s="206"/>
      <c r="DF1546" s="206"/>
      <c r="DG1546" s="206"/>
      <c r="DH1546" s="206"/>
      <c r="DI1546" s="206"/>
      <c r="DJ1546" s="206"/>
      <c r="DK1546" s="206"/>
      <c r="DL1546" s="206"/>
      <c r="DM1546" s="206"/>
      <c r="DN1546" s="206"/>
      <c r="DO1546" s="206"/>
      <c r="DP1546" s="206"/>
      <c r="DQ1546" s="206"/>
      <c r="DR1546" s="206"/>
      <c r="DS1546" s="206"/>
      <c r="DT1546" s="206"/>
      <c r="DU1546" s="206"/>
      <c r="DV1546" s="206"/>
      <c r="DW1546" s="206"/>
      <c r="DX1546" s="206"/>
      <c r="DY1546" s="206"/>
      <c r="DZ1546" s="206"/>
      <c r="EA1546" s="206"/>
      <c r="EB1546" s="206"/>
      <c r="EC1546" s="206"/>
      <c r="ED1546" s="206"/>
      <c r="EE1546" s="206"/>
      <c r="EF1546" s="206"/>
      <c r="EG1546" s="206"/>
      <c r="EH1546" s="206"/>
      <c r="EI1546" s="206"/>
      <c r="EJ1546" s="206"/>
      <c r="EK1546" s="206"/>
      <c r="EL1546" s="206"/>
      <c r="EM1546" s="206"/>
      <c r="EN1546" s="206"/>
      <c r="EO1546" s="206"/>
      <c r="EP1546" s="206"/>
      <c r="EQ1546" s="206"/>
      <c r="ER1546" s="206"/>
      <c r="ES1546" s="206"/>
      <c r="ET1546" s="206"/>
      <c r="EU1546" s="206"/>
      <c r="EV1546" s="206"/>
      <c r="EW1546" s="206"/>
      <c r="EX1546" s="206"/>
      <c r="EY1546" s="206"/>
      <c r="EZ1546" s="206"/>
      <c r="FA1546" s="206"/>
      <c r="FB1546" s="206"/>
      <c r="FC1546" s="206"/>
      <c r="FD1546" s="206"/>
      <c r="FE1546" s="206"/>
      <c r="FF1546" s="206"/>
      <c r="FG1546" s="206"/>
      <c r="FH1546" s="206"/>
      <c r="FI1546" s="206"/>
      <c r="FJ1546" s="206"/>
      <c r="FK1546" s="206"/>
      <c r="FL1546" s="206"/>
      <c r="FM1546" s="206"/>
      <c r="FN1546" s="206"/>
      <c r="FO1546" s="206"/>
      <c r="FP1546" s="206"/>
      <c r="FQ1546" s="206"/>
      <c r="FR1546" s="206"/>
      <c r="FS1546" s="206"/>
      <c r="FT1546" s="206"/>
      <c r="FU1546" s="206"/>
      <c r="FV1546" s="206"/>
      <c r="FW1546" s="206"/>
      <c r="FX1546" s="206"/>
      <c r="FY1546" s="206"/>
      <c r="FZ1546" s="206"/>
      <c r="GA1546" s="206"/>
      <c r="GB1546" s="206"/>
      <c r="GC1546" s="206"/>
      <c r="GD1546" s="206"/>
      <c r="GE1546" s="206"/>
      <c r="GF1546" s="206"/>
      <c r="GG1546" s="206"/>
      <c r="GH1546" s="206"/>
      <c r="GI1546" s="206"/>
      <c r="GJ1546" s="206"/>
      <c r="GK1546" s="206"/>
      <c r="GL1546" s="206"/>
      <c r="GM1546" s="206"/>
      <c r="GN1546" s="206"/>
      <c r="GO1546" s="206"/>
      <c r="GP1546" s="206"/>
      <c r="GQ1546" s="206"/>
      <c r="GR1546" s="206"/>
      <c r="GS1546" s="206"/>
      <c r="GT1546" s="206"/>
      <c r="GU1546" s="206"/>
      <c r="GV1546" s="206"/>
      <c r="GW1546" s="206"/>
      <c r="GX1546" s="206"/>
      <c r="GY1546" s="206"/>
      <c r="GZ1546" s="206"/>
      <c r="HA1546" s="206"/>
      <c r="HB1546" s="206"/>
      <c r="HC1546" s="206"/>
      <c r="HD1546" s="206"/>
      <c r="HE1546" s="206"/>
      <c r="HF1546" s="206"/>
      <c r="HG1546" s="206"/>
      <c r="HH1546" s="206"/>
      <c r="HI1546" s="206"/>
      <c r="HJ1546" s="206"/>
      <c r="HK1546" s="206"/>
      <c r="HL1546" s="206"/>
      <c r="HM1546" s="206"/>
      <c r="HN1546" s="206"/>
      <c r="HO1546" s="206"/>
      <c r="HP1546" s="206"/>
      <c r="HQ1546" s="206"/>
      <c r="HR1546" s="206"/>
      <c r="HS1546" s="206"/>
      <c r="HT1546" s="206"/>
      <c r="HU1546" s="206"/>
      <c r="HV1546" s="206"/>
      <c r="HW1546" s="206"/>
      <c r="HX1546" s="206"/>
      <c r="HY1546" s="206"/>
      <c r="HZ1546" s="206"/>
      <c r="IA1546" s="206"/>
      <c r="IB1546" s="206"/>
      <c r="IC1546" s="206"/>
      <c r="ID1546" s="206"/>
      <c r="IE1546" s="206"/>
      <c r="IF1546" s="206"/>
      <c r="IG1546" s="206"/>
      <c r="IH1546" s="206"/>
      <c r="II1546" s="206"/>
      <c r="IJ1546" s="206"/>
      <c r="IK1546" s="206"/>
      <c r="IL1546" s="206"/>
      <c r="IM1546" s="206"/>
      <c r="IN1546" s="206"/>
      <c r="IO1546" s="206"/>
      <c r="IP1546" s="206"/>
      <c r="IQ1546" s="206"/>
      <c r="IR1546" s="206"/>
      <c r="IS1546" s="206"/>
      <c r="IT1546" s="206"/>
      <c r="IU1546" s="206"/>
      <c r="IV1546" s="206"/>
      <c r="IW1546" s="206"/>
      <c r="IX1546" s="206"/>
      <c r="IY1546" s="206"/>
      <c r="IZ1546" s="206"/>
      <c r="JA1546" s="206"/>
      <c r="JB1546" s="206"/>
      <c r="JC1546" s="206"/>
      <c r="JD1546" s="206"/>
      <c r="JE1546" s="206"/>
      <c r="JF1546" s="206"/>
      <c r="JG1546" s="206"/>
      <c r="JH1546" s="206"/>
      <c r="JI1546" s="206"/>
      <c r="JJ1546" s="206"/>
      <c r="JK1546" s="206"/>
      <c r="JL1546" s="206"/>
      <c r="JM1546" s="206"/>
      <c r="JN1546" s="206"/>
      <c r="JO1546" s="206"/>
      <c r="JP1546" s="206"/>
      <c r="JQ1546" s="206"/>
      <c r="JR1546" s="206"/>
      <c r="JS1546" s="206"/>
      <c r="JT1546" s="206"/>
      <c r="JU1546" s="206"/>
      <c r="JV1546" s="206"/>
      <c r="JW1546" s="206"/>
      <c r="JX1546" s="206"/>
      <c r="JY1546" s="206"/>
      <c r="JZ1546" s="206"/>
      <c r="KA1546" s="206"/>
      <c r="KB1546" s="206"/>
      <c r="KC1546" s="206"/>
      <c r="KD1546" s="206"/>
      <c r="KE1546" s="206"/>
      <c r="KF1546" s="206"/>
      <c r="KG1546" s="206"/>
      <c r="KH1546" s="206"/>
      <c r="KI1546" s="206"/>
      <c r="KJ1546" s="206"/>
      <c r="KK1546" s="206"/>
      <c r="KL1546" s="206"/>
      <c r="KM1546" s="206"/>
      <c r="KN1546" s="206"/>
      <c r="KO1546" s="206"/>
      <c r="KP1546" s="206"/>
      <c r="KQ1546" s="206"/>
      <c r="KR1546" s="206"/>
      <c r="KS1546" s="206"/>
      <c r="KT1546" s="206"/>
      <c r="KU1546" s="206"/>
      <c r="KV1546" s="206"/>
      <c r="KW1546" s="206"/>
      <c r="KX1546" s="206"/>
      <c r="KY1546" s="206"/>
      <c r="KZ1546" s="206"/>
      <c r="LA1546" s="206"/>
      <c r="LB1546" s="206"/>
      <c r="LC1546" s="206"/>
      <c r="LD1546" s="206"/>
      <c r="LE1546" s="206"/>
      <c r="LF1546" s="206"/>
      <c r="LG1546" s="206"/>
      <c r="LH1546" s="206"/>
      <c r="LI1546" s="206"/>
      <c r="LJ1546" s="206"/>
      <c r="LK1546" s="206"/>
      <c r="LL1546" s="206"/>
      <c r="LM1546" s="206"/>
      <c r="LN1546" s="206"/>
      <c r="LO1546" s="206"/>
      <c r="LP1546" s="206"/>
      <c r="LQ1546" s="206"/>
      <c r="LR1546" s="206"/>
      <c r="LS1546" s="206"/>
      <c r="LT1546" s="206"/>
      <c r="LU1546" s="206"/>
      <c r="LV1546" s="206"/>
      <c r="LW1546" s="206"/>
      <c r="LX1546" s="206"/>
      <c r="LY1546" s="206"/>
      <c r="LZ1546" s="206"/>
      <c r="MA1546" s="206"/>
      <c r="MB1546" s="206"/>
      <c r="MC1546" s="206"/>
      <c r="MD1546" s="206"/>
      <c r="ME1546" s="206"/>
      <c r="MF1546" s="206"/>
      <c r="MG1546" s="206"/>
      <c r="MH1546" s="206"/>
      <c r="MI1546" s="206"/>
      <c r="MJ1546" s="206"/>
      <c r="MK1546" s="206"/>
      <c r="ML1546" s="206"/>
      <c r="MM1546" s="206"/>
      <c r="MN1546" s="206"/>
      <c r="MO1546" s="206"/>
      <c r="MP1546" s="206"/>
      <c r="MQ1546" s="206"/>
      <c r="MR1546" s="206"/>
      <c r="MS1546" s="206"/>
      <c r="MT1546" s="206"/>
      <c r="MU1546" s="206"/>
      <c r="MV1546" s="206"/>
      <c r="MW1546" s="206"/>
      <c r="MX1546" s="206"/>
      <c r="MY1546" s="206"/>
      <c r="MZ1546" s="206"/>
      <c r="NA1546" s="206"/>
      <c r="NB1546" s="206"/>
      <c r="NC1546" s="206"/>
      <c r="ND1546" s="206"/>
      <c r="NE1546" s="206"/>
      <c r="NF1546" s="206"/>
      <c r="NG1546" s="206"/>
      <c r="NH1546" s="206"/>
      <c r="NI1546" s="206"/>
      <c r="NJ1546" s="206"/>
      <c r="NK1546" s="206"/>
      <c r="NL1546" s="206"/>
      <c r="NM1546" s="206"/>
      <c r="NN1546" s="206"/>
      <c r="NO1546" s="206"/>
      <c r="NP1546" s="206"/>
      <c r="NQ1546" s="206"/>
      <c r="NR1546" s="206"/>
      <c r="NS1546" s="206"/>
      <c r="NT1546" s="206"/>
      <c r="NU1546" s="206"/>
      <c r="NV1546" s="206"/>
      <c r="NW1546" s="206"/>
      <c r="NX1546" s="206"/>
      <c r="NY1546" s="206"/>
      <c r="NZ1546" s="206"/>
      <c r="OA1546" s="206"/>
      <c r="OB1546" s="206"/>
      <c r="OC1546" s="206"/>
      <c r="OD1546" s="206"/>
      <c r="OE1546" s="206"/>
      <c r="OF1546" s="206"/>
      <c r="OG1546" s="206"/>
      <c r="OH1546" s="206"/>
      <c r="OI1546" s="206"/>
      <c r="OJ1546" s="206"/>
      <c r="OK1546" s="206"/>
      <c r="OL1546" s="206"/>
      <c r="OM1546" s="206"/>
      <c r="ON1546" s="206"/>
      <c r="OO1546" s="206"/>
      <c r="OP1546" s="206"/>
      <c r="OQ1546" s="206"/>
      <c r="OR1546" s="206"/>
      <c r="OS1546" s="206"/>
      <c r="OT1546" s="206"/>
      <c r="OU1546" s="206"/>
      <c r="OV1546" s="206"/>
      <c r="OW1546" s="206"/>
      <c r="OX1546" s="206"/>
      <c r="OY1546" s="206"/>
      <c r="OZ1546" s="206"/>
      <c r="PA1546" s="206"/>
      <c r="PB1546" s="206"/>
      <c r="PC1546" s="206"/>
      <c r="PD1546" s="206"/>
      <c r="PE1546" s="206"/>
      <c r="PF1546" s="206"/>
      <c r="PG1546" s="206"/>
      <c r="PH1546" s="206"/>
      <c r="PI1546" s="206"/>
      <c r="PJ1546" s="206"/>
      <c r="PK1546" s="206"/>
      <c r="PL1546" s="206"/>
      <c r="PM1546" s="206"/>
      <c r="PN1546" s="206"/>
      <c r="PO1546" s="206"/>
      <c r="PP1546" s="206"/>
      <c r="PQ1546" s="206"/>
      <c r="PR1546" s="206"/>
      <c r="PS1546" s="206"/>
      <c r="PT1546" s="206"/>
      <c r="PU1546" s="206"/>
      <c r="PV1546" s="206"/>
      <c r="PW1546" s="206"/>
      <c r="PX1546" s="206"/>
      <c r="PY1546" s="206"/>
      <c r="PZ1546" s="206"/>
      <c r="QA1546" s="206"/>
      <c r="QB1546" s="206"/>
      <c r="QC1546" s="206"/>
      <c r="QD1546" s="206"/>
      <c r="QE1546" s="206"/>
      <c r="QF1546" s="206"/>
      <c r="QG1546" s="206"/>
      <c r="QH1546" s="206"/>
      <c r="QI1546" s="206"/>
      <c r="QJ1546" s="206"/>
      <c r="QK1546" s="206"/>
      <c r="QL1546" s="206"/>
      <c r="QM1546" s="206"/>
      <c r="QN1546" s="206"/>
      <c r="QO1546" s="206"/>
      <c r="QP1546" s="206"/>
      <c r="QQ1546" s="206"/>
      <c r="QR1546" s="206"/>
      <c r="QS1546" s="206"/>
      <c r="QT1546" s="206"/>
      <c r="QU1546" s="206"/>
      <c r="QV1546" s="206"/>
      <c r="QW1546" s="206"/>
      <c r="QX1546" s="206"/>
      <c r="QY1546" s="206"/>
      <c r="QZ1546" s="206"/>
      <c r="RA1546" s="206"/>
      <c r="RB1546" s="206"/>
      <c r="RC1546" s="206"/>
      <c r="RD1546" s="206"/>
      <c r="RE1546" s="206"/>
      <c r="RF1546" s="206"/>
      <c r="RG1546" s="206"/>
      <c r="RH1546" s="206"/>
      <c r="RI1546" s="206"/>
      <c r="RJ1546" s="206"/>
      <c r="RK1546" s="206"/>
      <c r="RL1546" s="206"/>
      <c r="RM1546" s="206"/>
      <c r="RN1546" s="206"/>
      <c r="RO1546" s="206"/>
      <c r="RP1546" s="206"/>
      <c r="RQ1546" s="206"/>
      <c r="RR1546" s="206"/>
      <c r="RS1546" s="206"/>
      <c r="RT1546" s="206"/>
      <c r="RU1546" s="206"/>
      <c r="RV1546" s="206"/>
      <c r="RW1546" s="206"/>
      <c r="RX1546" s="206"/>
      <c r="RY1546" s="206"/>
      <c r="RZ1546" s="206"/>
      <c r="SA1546" s="206"/>
      <c r="SB1546" s="206"/>
      <c r="SC1546" s="206"/>
      <c r="SD1546" s="206"/>
      <c r="SE1546" s="206"/>
      <c r="SF1546" s="206"/>
      <c r="SG1546" s="206"/>
      <c r="SH1546" s="206"/>
      <c r="SI1546" s="206"/>
      <c r="SJ1546" s="206"/>
      <c r="SK1546" s="206"/>
      <c r="SL1546" s="206"/>
      <c r="SM1546" s="206"/>
      <c r="SN1546" s="206"/>
      <c r="SO1546" s="206"/>
      <c r="SP1546" s="206"/>
      <c r="SQ1546" s="206"/>
      <c r="SR1546" s="206"/>
      <c r="SS1546" s="206"/>
      <c r="ST1546" s="206"/>
      <c r="SU1546" s="206"/>
      <c r="SV1546" s="206"/>
      <c r="SW1546" s="206"/>
      <c r="SX1546" s="206"/>
      <c r="SY1546" s="206"/>
      <c r="SZ1546" s="206"/>
      <c r="TA1546" s="206"/>
      <c r="TB1546" s="206"/>
      <c r="TC1546" s="206"/>
      <c r="TD1546" s="206"/>
      <c r="TE1546" s="206"/>
      <c r="TF1546" s="206"/>
      <c r="TG1546" s="206"/>
      <c r="TH1546" s="206"/>
      <c r="TI1546" s="206"/>
      <c r="TJ1546" s="206"/>
      <c r="TK1546" s="206"/>
      <c r="TL1546" s="206"/>
      <c r="TM1546" s="206"/>
      <c r="TN1546" s="206"/>
      <c r="TO1546" s="206"/>
      <c r="TP1546" s="206"/>
      <c r="TQ1546" s="206"/>
      <c r="TR1546" s="206"/>
      <c r="TS1546" s="206"/>
      <c r="TT1546" s="206"/>
      <c r="TU1546" s="206"/>
      <c r="TV1546" s="206"/>
      <c r="TW1546" s="206"/>
      <c r="TX1546" s="206"/>
      <c r="TY1546" s="206"/>
      <c r="TZ1546" s="206"/>
      <c r="UA1546" s="206"/>
      <c r="UB1546" s="206"/>
      <c r="UC1546" s="206"/>
      <c r="UD1546" s="206"/>
    </row>
    <row r="1547" spans="1:550" s="874" customFormat="1" ht="39" customHeight="1">
      <c r="A1547" s="924" t="s">
        <v>15</v>
      </c>
      <c r="B1547" s="940"/>
      <c r="C1547" s="942" t="str">
        <f t="shared" si="235"/>
        <v>Đất trồng lúa còn lại (LUK)</v>
      </c>
      <c r="D1547" s="942" t="str">
        <f t="shared" si="235"/>
        <v>1</v>
      </c>
      <c r="E1547" s="940" t="str">
        <f t="shared" si="235"/>
        <v>433</v>
      </c>
      <c r="F1547" s="940"/>
      <c r="G1547" s="943" t="s">
        <v>1357</v>
      </c>
      <c r="H1547" s="954"/>
      <c r="I1547" s="945">
        <f t="shared" si="233"/>
        <v>206.6</v>
      </c>
      <c r="J1547" s="1003">
        <v>62000</v>
      </c>
      <c r="K1547" s="957">
        <v>2.5</v>
      </c>
      <c r="L1547" s="949">
        <f t="shared" si="234"/>
        <v>32023000</v>
      </c>
      <c r="M1547" s="949"/>
      <c r="N1547" s="949"/>
      <c r="O1547" s="949"/>
      <c r="P1547" s="949"/>
      <c r="Q1547" s="1178"/>
      <c r="R1547" s="1447"/>
      <c r="S1547" s="486"/>
      <c r="T1547" s="486"/>
      <c r="U1547" s="486"/>
      <c r="V1547" s="486"/>
      <c r="W1547" s="486"/>
      <c r="X1547" s="486"/>
      <c r="Y1547" s="486"/>
      <c r="Z1547" s="486"/>
      <c r="AA1547" s="486"/>
      <c r="AB1547" s="486"/>
      <c r="AC1547" s="486"/>
      <c r="AD1547" s="486"/>
      <c r="AE1547" s="486"/>
      <c r="AF1547" s="486"/>
      <c r="AG1547" s="486"/>
      <c r="AH1547" s="486"/>
      <c r="AI1547" s="486"/>
      <c r="AJ1547" s="486"/>
      <c r="AK1547" s="486"/>
      <c r="AL1547" s="206"/>
      <c r="AM1547" s="206"/>
      <c r="AN1547" s="206"/>
      <c r="AO1547" s="206"/>
      <c r="AP1547" s="206"/>
      <c r="AQ1547" s="206"/>
      <c r="AR1547" s="206"/>
      <c r="AS1547" s="206"/>
      <c r="AT1547" s="206"/>
      <c r="AU1547" s="206"/>
      <c r="AV1547" s="206"/>
      <c r="AW1547" s="206"/>
      <c r="AX1547" s="206"/>
      <c r="AY1547" s="206"/>
      <c r="AZ1547" s="206"/>
      <c r="BA1547" s="206"/>
      <c r="BB1547" s="206"/>
      <c r="BC1547" s="206"/>
      <c r="BD1547" s="206"/>
      <c r="BE1547" s="206"/>
      <c r="BF1547" s="206"/>
      <c r="BG1547" s="206"/>
      <c r="BH1547" s="206"/>
      <c r="BI1547" s="206"/>
      <c r="BJ1547" s="206"/>
      <c r="BK1547" s="206"/>
      <c r="BL1547" s="206"/>
      <c r="BM1547" s="206"/>
      <c r="BN1547" s="206"/>
      <c r="BO1547" s="206"/>
      <c r="BP1547" s="206"/>
      <c r="BQ1547" s="206"/>
      <c r="BR1547" s="206"/>
      <c r="BS1547" s="206"/>
      <c r="BT1547" s="206"/>
      <c r="BU1547" s="206"/>
      <c r="BV1547" s="206"/>
      <c r="BW1547" s="206"/>
      <c r="BX1547" s="206"/>
      <c r="BY1547" s="206"/>
      <c r="BZ1547" s="206"/>
      <c r="CA1547" s="206"/>
      <c r="CB1547" s="206"/>
      <c r="CC1547" s="206"/>
      <c r="CD1547" s="206"/>
      <c r="CE1547" s="206"/>
      <c r="CF1547" s="206"/>
      <c r="CG1547" s="206"/>
      <c r="CH1547" s="206"/>
      <c r="CI1547" s="206"/>
      <c r="CJ1547" s="206"/>
      <c r="CK1547" s="206"/>
      <c r="CL1547" s="206"/>
      <c r="CM1547" s="206"/>
      <c r="CN1547" s="206"/>
      <c r="CO1547" s="206"/>
      <c r="CP1547" s="206"/>
      <c r="CQ1547" s="206"/>
      <c r="CR1547" s="206"/>
      <c r="CS1547" s="206"/>
      <c r="CT1547" s="206"/>
      <c r="CU1547" s="206"/>
      <c r="CV1547" s="206"/>
      <c r="CW1547" s="206"/>
      <c r="CX1547" s="206"/>
      <c r="CY1547" s="206"/>
      <c r="CZ1547" s="206"/>
      <c r="DA1547" s="206"/>
      <c r="DB1547" s="206"/>
      <c r="DC1547" s="206"/>
      <c r="DD1547" s="206"/>
      <c r="DE1547" s="206"/>
      <c r="DF1547" s="206"/>
      <c r="DG1547" s="206"/>
      <c r="DH1547" s="206"/>
      <c r="DI1547" s="206"/>
      <c r="DJ1547" s="206"/>
      <c r="DK1547" s="206"/>
      <c r="DL1547" s="206"/>
      <c r="DM1547" s="206"/>
      <c r="DN1547" s="206"/>
      <c r="DO1547" s="206"/>
      <c r="DP1547" s="206"/>
      <c r="DQ1547" s="206"/>
      <c r="DR1547" s="206"/>
      <c r="DS1547" s="206"/>
      <c r="DT1547" s="206"/>
      <c r="DU1547" s="206"/>
      <c r="DV1547" s="206"/>
      <c r="DW1547" s="206"/>
      <c r="DX1547" s="206"/>
      <c r="DY1547" s="206"/>
      <c r="DZ1547" s="206"/>
      <c r="EA1547" s="206"/>
      <c r="EB1547" s="206"/>
      <c r="EC1547" s="206"/>
      <c r="ED1547" s="206"/>
      <c r="EE1547" s="206"/>
      <c r="EF1547" s="206"/>
      <c r="EG1547" s="206"/>
      <c r="EH1547" s="206"/>
      <c r="EI1547" s="206"/>
      <c r="EJ1547" s="206"/>
      <c r="EK1547" s="206"/>
      <c r="EL1547" s="206"/>
      <c r="EM1547" s="206"/>
      <c r="EN1547" s="206"/>
      <c r="EO1547" s="206"/>
      <c r="EP1547" s="206"/>
      <c r="EQ1547" s="206"/>
      <c r="ER1547" s="206"/>
      <c r="ES1547" s="206"/>
      <c r="ET1547" s="206"/>
      <c r="EU1547" s="206"/>
      <c r="EV1547" s="206"/>
      <c r="EW1547" s="206"/>
      <c r="EX1547" s="206"/>
      <c r="EY1547" s="206"/>
      <c r="EZ1547" s="206"/>
      <c r="FA1547" s="206"/>
      <c r="FB1547" s="206"/>
      <c r="FC1547" s="206"/>
      <c r="FD1547" s="206"/>
      <c r="FE1547" s="206"/>
      <c r="FF1547" s="206"/>
      <c r="FG1547" s="206"/>
      <c r="FH1547" s="206"/>
      <c r="FI1547" s="206"/>
      <c r="FJ1547" s="206"/>
      <c r="FK1547" s="206"/>
      <c r="FL1547" s="206"/>
      <c r="FM1547" s="206"/>
      <c r="FN1547" s="206"/>
      <c r="FO1547" s="206"/>
      <c r="FP1547" s="206"/>
      <c r="FQ1547" s="206"/>
      <c r="FR1547" s="206"/>
      <c r="FS1547" s="206"/>
      <c r="FT1547" s="206"/>
      <c r="FU1547" s="206"/>
      <c r="FV1547" s="206"/>
      <c r="FW1547" s="206"/>
      <c r="FX1547" s="206"/>
      <c r="FY1547" s="206"/>
      <c r="FZ1547" s="206"/>
      <c r="GA1547" s="206"/>
      <c r="GB1547" s="206"/>
      <c r="GC1547" s="206"/>
      <c r="GD1547" s="206"/>
      <c r="GE1547" s="206"/>
      <c r="GF1547" s="206"/>
      <c r="GG1547" s="206"/>
      <c r="GH1547" s="206"/>
      <c r="GI1547" s="206"/>
      <c r="GJ1547" s="206"/>
      <c r="GK1547" s="206"/>
      <c r="GL1547" s="206"/>
      <c r="GM1547" s="206"/>
      <c r="GN1547" s="206"/>
      <c r="GO1547" s="206"/>
      <c r="GP1547" s="206"/>
      <c r="GQ1547" s="206"/>
      <c r="GR1547" s="206"/>
      <c r="GS1547" s="206"/>
      <c r="GT1547" s="206"/>
      <c r="GU1547" s="206"/>
      <c r="GV1547" s="206"/>
      <c r="GW1547" s="206"/>
      <c r="GX1547" s="206"/>
      <c r="GY1547" s="206"/>
      <c r="GZ1547" s="206"/>
      <c r="HA1547" s="206"/>
      <c r="HB1547" s="206"/>
      <c r="HC1547" s="206"/>
      <c r="HD1547" s="206"/>
      <c r="HE1547" s="206"/>
      <c r="HF1547" s="206"/>
      <c r="HG1547" s="206"/>
      <c r="HH1547" s="206"/>
      <c r="HI1547" s="206"/>
      <c r="HJ1547" s="206"/>
      <c r="HK1547" s="206"/>
      <c r="HL1547" s="206"/>
      <c r="HM1547" s="206"/>
      <c r="HN1547" s="206"/>
      <c r="HO1547" s="206"/>
      <c r="HP1547" s="206"/>
      <c r="HQ1547" s="206"/>
      <c r="HR1547" s="206"/>
      <c r="HS1547" s="206"/>
      <c r="HT1547" s="206"/>
      <c r="HU1547" s="206"/>
      <c r="HV1547" s="206"/>
      <c r="HW1547" s="206"/>
      <c r="HX1547" s="206"/>
      <c r="HY1547" s="206"/>
      <c r="HZ1547" s="206"/>
      <c r="IA1547" s="206"/>
      <c r="IB1547" s="206"/>
      <c r="IC1547" s="206"/>
      <c r="ID1547" s="206"/>
      <c r="IE1547" s="206"/>
      <c r="IF1547" s="206"/>
      <c r="IG1547" s="206"/>
      <c r="IH1547" s="206"/>
      <c r="II1547" s="206"/>
      <c r="IJ1547" s="206"/>
      <c r="IK1547" s="206"/>
      <c r="IL1547" s="206"/>
      <c r="IM1547" s="206"/>
      <c r="IN1547" s="206"/>
      <c r="IO1547" s="206"/>
      <c r="IP1547" s="206"/>
      <c r="IQ1547" s="206"/>
      <c r="IR1547" s="206"/>
      <c r="IS1547" s="206"/>
      <c r="IT1547" s="206"/>
      <c r="IU1547" s="206"/>
      <c r="IV1547" s="206"/>
      <c r="IW1547" s="206"/>
      <c r="IX1547" s="206"/>
      <c r="IY1547" s="206"/>
      <c r="IZ1547" s="206"/>
      <c r="JA1547" s="206"/>
      <c r="JB1547" s="206"/>
      <c r="JC1547" s="206"/>
      <c r="JD1547" s="206"/>
      <c r="JE1547" s="206"/>
      <c r="JF1547" s="206"/>
      <c r="JG1547" s="206"/>
      <c r="JH1547" s="206"/>
      <c r="JI1547" s="206"/>
      <c r="JJ1547" s="206"/>
      <c r="JK1547" s="206"/>
      <c r="JL1547" s="206"/>
      <c r="JM1547" s="206"/>
      <c r="JN1547" s="206"/>
      <c r="JO1547" s="206"/>
      <c r="JP1547" s="206"/>
      <c r="JQ1547" s="206"/>
      <c r="JR1547" s="206"/>
      <c r="JS1547" s="206"/>
      <c r="JT1547" s="206"/>
      <c r="JU1547" s="206"/>
      <c r="JV1547" s="206"/>
      <c r="JW1547" s="206"/>
      <c r="JX1547" s="206"/>
      <c r="JY1547" s="206"/>
      <c r="JZ1547" s="206"/>
      <c r="KA1547" s="206"/>
      <c r="KB1547" s="206"/>
      <c r="KC1547" s="206"/>
      <c r="KD1547" s="206"/>
      <c r="KE1547" s="206"/>
      <c r="KF1547" s="206"/>
      <c r="KG1547" s="206"/>
      <c r="KH1547" s="206"/>
      <c r="KI1547" s="206"/>
      <c r="KJ1547" s="206"/>
      <c r="KK1547" s="206"/>
      <c r="KL1547" s="206"/>
      <c r="KM1547" s="206"/>
      <c r="KN1547" s="206"/>
      <c r="KO1547" s="206"/>
      <c r="KP1547" s="206"/>
      <c r="KQ1547" s="206"/>
      <c r="KR1547" s="206"/>
      <c r="KS1547" s="206"/>
      <c r="KT1547" s="206"/>
      <c r="KU1547" s="206"/>
      <c r="KV1547" s="206"/>
      <c r="KW1547" s="206"/>
      <c r="KX1547" s="206"/>
      <c r="KY1547" s="206"/>
      <c r="KZ1547" s="206"/>
      <c r="LA1547" s="206"/>
      <c r="LB1547" s="206"/>
      <c r="LC1547" s="206"/>
      <c r="LD1547" s="206"/>
      <c r="LE1547" s="206"/>
      <c r="LF1547" s="206"/>
      <c r="LG1547" s="206"/>
      <c r="LH1547" s="206"/>
      <c r="LI1547" s="206"/>
      <c r="LJ1547" s="206"/>
      <c r="LK1547" s="206"/>
      <c r="LL1547" s="206"/>
      <c r="LM1547" s="206"/>
      <c r="LN1547" s="206"/>
      <c r="LO1547" s="206"/>
      <c r="LP1547" s="206"/>
      <c r="LQ1547" s="206"/>
      <c r="LR1547" s="206"/>
      <c r="LS1547" s="206"/>
      <c r="LT1547" s="206"/>
      <c r="LU1547" s="206"/>
      <c r="LV1547" s="206"/>
      <c r="LW1547" s="206"/>
      <c r="LX1547" s="206"/>
      <c r="LY1547" s="206"/>
      <c r="LZ1547" s="206"/>
      <c r="MA1547" s="206"/>
      <c r="MB1547" s="206"/>
      <c r="MC1547" s="206"/>
      <c r="MD1547" s="206"/>
      <c r="ME1547" s="206"/>
      <c r="MF1547" s="206"/>
      <c r="MG1547" s="206"/>
      <c r="MH1547" s="206"/>
      <c r="MI1547" s="206"/>
      <c r="MJ1547" s="206"/>
      <c r="MK1547" s="206"/>
      <c r="ML1547" s="206"/>
      <c r="MM1547" s="206"/>
      <c r="MN1547" s="206"/>
      <c r="MO1547" s="206"/>
      <c r="MP1547" s="206"/>
      <c r="MQ1547" s="206"/>
      <c r="MR1547" s="206"/>
      <c r="MS1547" s="206"/>
      <c r="MT1547" s="206"/>
      <c r="MU1547" s="206"/>
      <c r="MV1547" s="206"/>
      <c r="MW1547" s="206"/>
      <c r="MX1547" s="206"/>
      <c r="MY1547" s="206"/>
      <c r="MZ1547" s="206"/>
      <c r="NA1547" s="206"/>
      <c r="NB1547" s="206"/>
      <c r="NC1547" s="206"/>
      <c r="ND1547" s="206"/>
      <c r="NE1547" s="206"/>
      <c r="NF1547" s="206"/>
      <c r="NG1547" s="206"/>
      <c r="NH1547" s="206"/>
      <c r="NI1547" s="206"/>
      <c r="NJ1547" s="206"/>
      <c r="NK1547" s="206"/>
      <c r="NL1547" s="206"/>
      <c r="NM1547" s="206"/>
      <c r="NN1547" s="206"/>
      <c r="NO1547" s="206"/>
      <c r="NP1547" s="206"/>
      <c r="NQ1547" s="206"/>
      <c r="NR1547" s="206"/>
      <c r="NS1547" s="206"/>
      <c r="NT1547" s="206"/>
      <c r="NU1547" s="206"/>
      <c r="NV1547" s="206"/>
      <c r="NW1547" s="206"/>
      <c r="NX1547" s="206"/>
      <c r="NY1547" s="206"/>
      <c r="NZ1547" s="206"/>
      <c r="OA1547" s="206"/>
      <c r="OB1547" s="206"/>
      <c r="OC1547" s="206"/>
      <c r="OD1547" s="206"/>
      <c r="OE1547" s="206"/>
      <c r="OF1547" s="206"/>
      <c r="OG1547" s="206"/>
      <c r="OH1547" s="206"/>
      <c r="OI1547" s="206"/>
      <c r="OJ1547" s="206"/>
      <c r="OK1547" s="206"/>
      <c r="OL1547" s="206"/>
      <c r="OM1547" s="206"/>
      <c r="ON1547" s="206"/>
      <c r="OO1547" s="206"/>
      <c r="OP1547" s="206"/>
      <c r="OQ1547" s="206"/>
      <c r="OR1547" s="206"/>
      <c r="OS1547" s="206"/>
      <c r="OT1547" s="206"/>
      <c r="OU1547" s="206"/>
      <c r="OV1547" s="206"/>
      <c r="OW1547" s="206"/>
      <c r="OX1547" s="206"/>
      <c r="OY1547" s="206"/>
      <c r="OZ1547" s="206"/>
      <c r="PA1547" s="206"/>
      <c r="PB1547" s="206"/>
      <c r="PC1547" s="206"/>
      <c r="PD1547" s="206"/>
      <c r="PE1547" s="206"/>
      <c r="PF1547" s="206"/>
      <c r="PG1547" s="206"/>
      <c r="PH1547" s="206"/>
      <c r="PI1547" s="206"/>
      <c r="PJ1547" s="206"/>
      <c r="PK1547" s="206"/>
      <c r="PL1547" s="206"/>
      <c r="PM1547" s="206"/>
      <c r="PN1547" s="206"/>
      <c r="PO1547" s="206"/>
      <c r="PP1547" s="206"/>
      <c r="PQ1547" s="206"/>
      <c r="PR1547" s="206"/>
      <c r="PS1547" s="206"/>
      <c r="PT1547" s="206"/>
      <c r="PU1547" s="206"/>
      <c r="PV1547" s="206"/>
      <c r="PW1547" s="206"/>
      <c r="PX1547" s="206"/>
      <c r="PY1547" s="206"/>
      <c r="PZ1547" s="206"/>
      <c r="QA1547" s="206"/>
      <c r="QB1547" s="206"/>
      <c r="QC1547" s="206"/>
      <c r="QD1547" s="206"/>
      <c r="QE1547" s="206"/>
      <c r="QF1547" s="206"/>
      <c r="QG1547" s="206"/>
      <c r="QH1547" s="206"/>
      <c r="QI1547" s="206"/>
      <c r="QJ1547" s="206"/>
      <c r="QK1547" s="206"/>
      <c r="QL1547" s="206"/>
      <c r="QM1547" s="206"/>
      <c r="QN1547" s="206"/>
      <c r="QO1547" s="206"/>
      <c r="QP1547" s="206"/>
      <c r="QQ1547" s="206"/>
      <c r="QR1547" s="206"/>
      <c r="QS1547" s="206"/>
      <c r="QT1547" s="206"/>
      <c r="QU1547" s="206"/>
      <c r="QV1547" s="206"/>
      <c r="QW1547" s="206"/>
      <c r="QX1547" s="206"/>
      <c r="QY1547" s="206"/>
      <c r="QZ1547" s="206"/>
      <c r="RA1547" s="206"/>
      <c r="RB1547" s="206"/>
      <c r="RC1547" s="206"/>
      <c r="RD1547" s="206"/>
      <c r="RE1547" s="206"/>
      <c r="RF1547" s="206"/>
      <c r="RG1547" s="206"/>
      <c r="RH1547" s="206"/>
      <c r="RI1547" s="206"/>
      <c r="RJ1547" s="206"/>
      <c r="RK1547" s="206"/>
      <c r="RL1547" s="206"/>
      <c r="RM1547" s="206"/>
      <c r="RN1547" s="206"/>
      <c r="RO1547" s="206"/>
      <c r="RP1547" s="206"/>
      <c r="RQ1547" s="206"/>
      <c r="RR1547" s="206"/>
      <c r="RS1547" s="206"/>
      <c r="RT1547" s="206"/>
      <c r="RU1547" s="206"/>
      <c r="RV1547" s="206"/>
      <c r="RW1547" s="206"/>
      <c r="RX1547" s="206"/>
      <c r="RY1547" s="206"/>
      <c r="RZ1547" s="206"/>
      <c r="SA1547" s="206"/>
      <c r="SB1547" s="206"/>
      <c r="SC1547" s="206"/>
      <c r="SD1547" s="206"/>
      <c r="SE1547" s="206"/>
      <c r="SF1547" s="206"/>
      <c r="SG1547" s="206"/>
      <c r="SH1547" s="206"/>
      <c r="SI1547" s="206"/>
      <c r="SJ1547" s="206"/>
      <c r="SK1547" s="206"/>
      <c r="SL1547" s="206"/>
      <c r="SM1547" s="206"/>
      <c r="SN1547" s="206"/>
      <c r="SO1547" s="206"/>
      <c r="SP1547" s="206"/>
      <c r="SQ1547" s="206"/>
      <c r="SR1547" s="206"/>
      <c r="SS1547" s="206"/>
      <c r="ST1547" s="206"/>
      <c r="SU1547" s="206"/>
      <c r="SV1547" s="206"/>
      <c r="SW1547" s="206"/>
      <c r="SX1547" s="206"/>
      <c r="SY1547" s="206"/>
      <c r="SZ1547" s="206"/>
      <c r="TA1547" s="206"/>
      <c r="TB1547" s="206"/>
      <c r="TC1547" s="206"/>
      <c r="TD1547" s="206"/>
      <c r="TE1547" s="206"/>
      <c r="TF1547" s="206"/>
      <c r="TG1547" s="206"/>
      <c r="TH1547" s="206"/>
      <c r="TI1547" s="206"/>
      <c r="TJ1547" s="206"/>
      <c r="TK1547" s="206"/>
      <c r="TL1547" s="206"/>
      <c r="TM1547" s="206"/>
      <c r="TN1547" s="206"/>
      <c r="TO1547" s="206"/>
      <c r="TP1547" s="206"/>
      <c r="TQ1547" s="206"/>
      <c r="TR1547" s="206"/>
      <c r="TS1547" s="206"/>
      <c r="TT1547" s="206"/>
      <c r="TU1547" s="206"/>
      <c r="TV1547" s="206"/>
      <c r="TW1547" s="206"/>
      <c r="TX1547" s="206"/>
      <c r="TY1547" s="206"/>
      <c r="TZ1547" s="206"/>
      <c r="UA1547" s="206"/>
      <c r="UB1547" s="206"/>
      <c r="UC1547" s="206"/>
      <c r="UD1547" s="206"/>
    </row>
    <row r="1548" spans="1:550" s="874" customFormat="1" ht="39" customHeight="1">
      <c r="A1548" s="924" t="s">
        <v>15</v>
      </c>
      <c r="B1548" s="940"/>
      <c r="C1548" s="942" t="str">
        <f t="shared" si="235"/>
        <v>Đất nuôi trồng thuỷ sản (NTS)</v>
      </c>
      <c r="D1548" s="942" t="str">
        <f t="shared" si="235"/>
        <v>2</v>
      </c>
      <c r="E1548" s="940" t="str">
        <f t="shared" si="235"/>
        <v>246</v>
      </c>
      <c r="F1548" s="940"/>
      <c r="G1548" s="943" t="s">
        <v>1357</v>
      </c>
      <c r="H1548" s="954"/>
      <c r="I1548" s="945">
        <f t="shared" si="233"/>
        <v>204.4</v>
      </c>
      <c r="J1548" s="1003">
        <v>66000</v>
      </c>
      <c r="K1548" s="957">
        <v>2.5</v>
      </c>
      <c r="L1548" s="949">
        <f t="shared" si="234"/>
        <v>33726000</v>
      </c>
      <c r="M1548" s="949"/>
      <c r="N1548" s="949"/>
      <c r="O1548" s="949"/>
      <c r="P1548" s="949"/>
      <c r="Q1548" s="1178"/>
      <c r="R1548" s="1447"/>
      <c r="S1548" s="486"/>
      <c r="T1548" s="486"/>
      <c r="U1548" s="486"/>
      <c r="V1548" s="486"/>
      <c r="W1548" s="486"/>
      <c r="X1548" s="486"/>
      <c r="Y1548" s="486"/>
      <c r="Z1548" s="486"/>
      <c r="AA1548" s="486"/>
      <c r="AB1548" s="486"/>
      <c r="AC1548" s="486"/>
      <c r="AD1548" s="486"/>
      <c r="AE1548" s="486"/>
      <c r="AF1548" s="486"/>
      <c r="AG1548" s="486"/>
      <c r="AH1548" s="486"/>
      <c r="AI1548" s="486"/>
      <c r="AJ1548" s="486"/>
      <c r="AK1548" s="486"/>
      <c r="AL1548" s="206"/>
      <c r="AM1548" s="206"/>
      <c r="AN1548" s="206"/>
      <c r="AO1548" s="206"/>
      <c r="AP1548" s="206"/>
      <c r="AQ1548" s="206"/>
      <c r="AR1548" s="206"/>
      <c r="AS1548" s="206"/>
      <c r="AT1548" s="206"/>
      <c r="AU1548" s="206"/>
      <c r="AV1548" s="206"/>
      <c r="AW1548" s="206"/>
      <c r="AX1548" s="206"/>
      <c r="AY1548" s="206"/>
      <c r="AZ1548" s="206"/>
      <c r="BA1548" s="206"/>
      <c r="BB1548" s="206"/>
      <c r="BC1548" s="206"/>
      <c r="BD1548" s="206"/>
      <c r="BE1548" s="206"/>
      <c r="BF1548" s="206"/>
      <c r="BG1548" s="206"/>
      <c r="BH1548" s="206"/>
      <c r="BI1548" s="206"/>
      <c r="BJ1548" s="206"/>
      <c r="BK1548" s="206"/>
      <c r="BL1548" s="206"/>
      <c r="BM1548" s="206"/>
      <c r="BN1548" s="206"/>
      <c r="BO1548" s="206"/>
      <c r="BP1548" s="206"/>
      <c r="BQ1548" s="206"/>
      <c r="BR1548" s="206"/>
      <c r="BS1548" s="206"/>
      <c r="BT1548" s="206"/>
      <c r="BU1548" s="206"/>
      <c r="BV1548" s="206"/>
      <c r="BW1548" s="206"/>
      <c r="BX1548" s="206"/>
      <c r="BY1548" s="206"/>
      <c r="BZ1548" s="206"/>
      <c r="CA1548" s="206"/>
      <c r="CB1548" s="206"/>
      <c r="CC1548" s="206"/>
      <c r="CD1548" s="206"/>
      <c r="CE1548" s="206"/>
      <c r="CF1548" s="206"/>
      <c r="CG1548" s="206"/>
      <c r="CH1548" s="206"/>
      <c r="CI1548" s="206"/>
      <c r="CJ1548" s="206"/>
      <c r="CK1548" s="206"/>
      <c r="CL1548" s="206"/>
      <c r="CM1548" s="206"/>
      <c r="CN1548" s="206"/>
      <c r="CO1548" s="206"/>
      <c r="CP1548" s="206"/>
      <c r="CQ1548" s="206"/>
      <c r="CR1548" s="206"/>
      <c r="CS1548" s="206"/>
      <c r="CT1548" s="206"/>
      <c r="CU1548" s="206"/>
      <c r="CV1548" s="206"/>
      <c r="CW1548" s="206"/>
      <c r="CX1548" s="206"/>
      <c r="CY1548" s="206"/>
      <c r="CZ1548" s="206"/>
      <c r="DA1548" s="206"/>
      <c r="DB1548" s="206"/>
      <c r="DC1548" s="206"/>
      <c r="DD1548" s="206"/>
      <c r="DE1548" s="206"/>
      <c r="DF1548" s="206"/>
      <c r="DG1548" s="206"/>
      <c r="DH1548" s="206"/>
      <c r="DI1548" s="206"/>
      <c r="DJ1548" s="206"/>
      <c r="DK1548" s="206"/>
      <c r="DL1548" s="206"/>
      <c r="DM1548" s="206"/>
      <c r="DN1548" s="206"/>
      <c r="DO1548" s="206"/>
      <c r="DP1548" s="206"/>
      <c r="DQ1548" s="206"/>
      <c r="DR1548" s="206"/>
      <c r="DS1548" s="206"/>
      <c r="DT1548" s="206"/>
      <c r="DU1548" s="206"/>
      <c r="DV1548" s="206"/>
      <c r="DW1548" s="206"/>
      <c r="DX1548" s="206"/>
      <c r="DY1548" s="206"/>
      <c r="DZ1548" s="206"/>
      <c r="EA1548" s="206"/>
      <c r="EB1548" s="206"/>
      <c r="EC1548" s="206"/>
      <c r="ED1548" s="206"/>
      <c r="EE1548" s="206"/>
      <c r="EF1548" s="206"/>
      <c r="EG1548" s="206"/>
      <c r="EH1548" s="206"/>
      <c r="EI1548" s="206"/>
      <c r="EJ1548" s="206"/>
      <c r="EK1548" s="206"/>
      <c r="EL1548" s="206"/>
      <c r="EM1548" s="206"/>
      <c r="EN1548" s="206"/>
      <c r="EO1548" s="206"/>
      <c r="EP1548" s="206"/>
      <c r="EQ1548" s="206"/>
      <c r="ER1548" s="206"/>
      <c r="ES1548" s="206"/>
      <c r="ET1548" s="206"/>
      <c r="EU1548" s="206"/>
      <c r="EV1548" s="206"/>
      <c r="EW1548" s="206"/>
      <c r="EX1548" s="206"/>
      <c r="EY1548" s="206"/>
      <c r="EZ1548" s="206"/>
      <c r="FA1548" s="206"/>
      <c r="FB1548" s="206"/>
      <c r="FC1548" s="206"/>
      <c r="FD1548" s="206"/>
      <c r="FE1548" s="206"/>
      <c r="FF1548" s="206"/>
      <c r="FG1548" s="206"/>
      <c r="FH1548" s="206"/>
      <c r="FI1548" s="206"/>
      <c r="FJ1548" s="206"/>
      <c r="FK1548" s="206"/>
      <c r="FL1548" s="206"/>
      <c r="FM1548" s="206"/>
      <c r="FN1548" s="206"/>
      <c r="FO1548" s="206"/>
      <c r="FP1548" s="206"/>
      <c r="FQ1548" s="206"/>
      <c r="FR1548" s="206"/>
      <c r="FS1548" s="206"/>
      <c r="FT1548" s="206"/>
      <c r="FU1548" s="206"/>
      <c r="FV1548" s="206"/>
      <c r="FW1548" s="206"/>
      <c r="FX1548" s="206"/>
      <c r="FY1548" s="206"/>
      <c r="FZ1548" s="206"/>
      <c r="GA1548" s="206"/>
      <c r="GB1548" s="206"/>
      <c r="GC1548" s="206"/>
      <c r="GD1548" s="206"/>
      <c r="GE1548" s="206"/>
      <c r="GF1548" s="206"/>
      <c r="GG1548" s="206"/>
      <c r="GH1548" s="206"/>
      <c r="GI1548" s="206"/>
      <c r="GJ1548" s="206"/>
      <c r="GK1548" s="206"/>
      <c r="GL1548" s="206"/>
      <c r="GM1548" s="206"/>
      <c r="GN1548" s="206"/>
      <c r="GO1548" s="206"/>
      <c r="GP1548" s="206"/>
      <c r="GQ1548" s="206"/>
      <c r="GR1548" s="206"/>
      <c r="GS1548" s="206"/>
      <c r="GT1548" s="206"/>
      <c r="GU1548" s="206"/>
      <c r="GV1548" s="206"/>
      <c r="GW1548" s="206"/>
      <c r="GX1548" s="206"/>
      <c r="GY1548" s="206"/>
      <c r="GZ1548" s="206"/>
      <c r="HA1548" s="206"/>
      <c r="HB1548" s="206"/>
      <c r="HC1548" s="206"/>
      <c r="HD1548" s="206"/>
      <c r="HE1548" s="206"/>
      <c r="HF1548" s="206"/>
      <c r="HG1548" s="206"/>
      <c r="HH1548" s="206"/>
      <c r="HI1548" s="206"/>
      <c r="HJ1548" s="206"/>
      <c r="HK1548" s="206"/>
      <c r="HL1548" s="206"/>
      <c r="HM1548" s="206"/>
      <c r="HN1548" s="206"/>
      <c r="HO1548" s="206"/>
      <c r="HP1548" s="206"/>
      <c r="HQ1548" s="206"/>
      <c r="HR1548" s="206"/>
      <c r="HS1548" s="206"/>
      <c r="HT1548" s="206"/>
      <c r="HU1548" s="206"/>
      <c r="HV1548" s="206"/>
      <c r="HW1548" s="206"/>
      <c r="HX1548" s="206"/>
      <c r="HY1548" s="206"/>
      <c r="HZ1548" s="206"/>
      <c r="IA1548" s="206"/>
      <c r="IB1548" s="206"/>
      <c r="IC1548" s="206"/>
      <c r="ID1548" s="206"/>
      <c r="IE1548" s="206"/>
      <c r="IF1548" s="206"/>
      <c r="IG1548" s="206"/>
      <c r="IH1548" s="206"/>
      <c r="II1548" s="206"/>
      <c r="IJ1548" s="206"/>
      <c r="IK1548" s="206"/>
      <c r="IL1548" s="206"/>
      <c r="IM1548" s="206"/>
      <c r="IN1548" s="206"/>
      <c r="IO1548" s="206"/>
      <c r="IP1548" s="206"/>
      <c r="IQ1548" s="206"/>
      <c r="IR1548" s="206"/>
      <c r="IS1548" s="206"/>
      <c r="IT1548" s="206"/>
      <c r="IU1548" s="206"/>
      <c r="IV1548" s="206"/>
      <c r="IW1548" s="206"/>
      <c r="IX1548" s="206"/>
      <c r="IY1548" s="206"/>
      <c r="IZ1548" s="206"/>
      <c r="JA1548" s="206"/>
      <c r="JB1548" s="206"/>
      <c r="JC1548" s="206"/>
      <c r="JD1548" s="206"/>
      <c r="JE1548" s="206"/>
      <c r="JF1548" s="206"/>
      <c r="JG1548" s="206"/>
      <c r="JH1548" s="206"/>
      <c r="JI1548" s="206"/>
      <c r="JJ1548" s="206"/>
      <c r="JK1548" s="206"/>
      <c r="JL1548" s="206"/>
      <c r="JM1548" s="206"/>
      <c r="JN1548" s="206"/>
      <c r="JO1548" s="206"/>
      <c r="JP1548" s="206"/>
      <c r="JQ1548" s="206"/>
      <c r="JR1548" s="206"/>
      <c r="JS1548" s="206"/>
      <c r="JT1548" s="206"/>
      <c r="JU1548" s="206"/>
      <c r="JV1548" s="206"/>
      <c r="JW1548" s="206"/>
      <c r="JX1548" s="206"/>
      <c r="JY1548" s="206"/>
      <c r="JZ1548" s="206"/>
      <c r="KA1548" s="206"/>
      <c r="KB1548" s="206"/>
      <c r="KC1548" s="206"/>
      <c r="KD1548" s="206"/>
      <c r="KE1548" s="206"/>
      <c r="KF1548" s="206"/>
      <c r="KG1548" s="206"/>
      <c r="KH1548" s="206"/>
      <c r="KI1548" s="206"/>
      <c r="KJ1548" s="206"/>
      <c r="KK1548" s="206"/>
      <c r="KL1548" s="206"/>
      <c r="KM1548" s="206"/>
      <c r="KN1548" s="206"/>
      <c r="KO1548" s="206"/>
      <c r="KP1548" s="206"/>
      <c r="KQ1548" s="206"/>
      <c r="KR1548" s="206"/>
      <c r="KS1548" s="206"/>
      <c r="KT1548" s="206"/>
      <c r="KU1548" s="206"/>
      <c r="KV1548" s="206"/>
      <c r="KW1548" s="206"/>
      <c r="KX1548" s="206"/>
      <c r="KY1548" s="206"/>
      <c r="KZ1548" s="206"/>
      <c r="LA1548" s="206"/>
      <c r="LB1548" s="206"/>
      <c r="LC1548" s="206"/>
      <c r="LD1548" s="206"/>
      <c r="LE1548" s="206"/>
      <c r="LF1548" s="206"/>
      <c r="LG1548" s="206"/>
      <c r="LH1548" s="206"/>
      <c r="LI1548" s="206"/>
      <c r="LJ1548" s="206"/>
      <c r="LK1548" s="206"/>
      <c r="LL1548" s="206"/>
      <c r="LM1548" s="206"/>
      <c r="LN1548" s="206"/>
      <c r="LO1548" s="206"/>
      <c r="LP1548" s="206"/>
      <c r="LQ1548" s="206"/>
      <c r="LR1548" s="206"/>
      <c r="LS1548" s="206"/>
      <c r="LT1548" s="206"/>
      <c r="LU1548" s="206"/>
      <c r="LV1548" s="206"/>
      <c r="LW1548" s="206"/>
      <c r="LX1548" s="206"/>
      <c r="LY1548" s="206"/>
      <c r="LZ1548" s="206"/>
      <c r="MA1548" s="206"/>
      <c r="MB1548" s="206"/>
      <c r="MC1548" s="206"/>
      <c r="MD1548" s="206"/>
      <c r="ME1548" s="206"/>
      <c r="MF1548" s="206"/>
      <c r="MG1548" s="206"/>
      <c r="MH1548" s="206"/>
      <c r="MI1548" s="206"/>
      <c r="MJ1548" s="206"/>
      <c r="MK1548" s="206"/>
      <c r="ML1548" s="206"/>
      <c r="MM1548" s="206"/>
      <c r="MN1548" s="206"/>
      <c r="MO1548" s="206"/>
      <c r="MP1548" s="206"/>
      <c r="MQ1548" s="206"/>
      <c r="MR1548" s="206"/>
      <c r="MS1548" s="206"/>
      <c r="MT1548" s="206"/>
      <c r="MU1548" s="206"/>
      <c r="MV1548" s="206"/>
      <c r="MW1548" s="206"/>
      <c r="MX1548" s="206"/>
      <c r="MY1548" s="206"/>
      <c r="MZ1548" s="206"/>
      <c r="NA1548" s="206"/>
      <c r="NB1548" s="206"/>
      <c r="NC1548" s="206"/>
      <c r="ND1548" s="206"/>
      <c r="NE1548" s="206"/>
      <c r="NF1548" s="206"/>
      <c r="NG1548" s="206"/>
      <c r="NH1548" s="206"/>
      <c r="NI1548" s="206"/>
      <c r="NJ1548" s="206"/>
      <c r="NK1548" s="206"/>
      <c r="NL1548" s="206"/>
      <c r="NM1548" s="206"/>
      <c r="NN1548" s="206"/>
      <c r="NO1548" s="206"/>
      <c r="NP1548" s="206"/>
      <c r="NQ1548" s="206"/>
      <c r="NR1548" s="206"/>
      <c r="NS1548" s="206"/>
      <c r="NT1548" s="206"/>
      <c r="NU1548" s="206"/>
      <c r="NV1548" s="206"/>
      <c r="NW1548" s="206"/>
      <c r="NX1548" s="206"/>
      <c r="NY1548" s="206"/>
      <c r="NZ1548" s="206"/>
      <c r="OA1548" s="206"/>
      <c r="OB1548" s="206"/>
      <c r="OC1548" s="206"/>
      <c r="OD1548" s="206"/>
      <c r="OE1548" s="206"/>
      <c r="OF1548" s="206"/>
      <c r="OG1548" s="206"/>
      <c r="OH1548" s="206"/>
      <c r="OI1548" s="206"/>
      <c r="OJ1548" s="206"/>
      <c r="OK1548" s="206"/>
      <c r="OL1548" s="206"/>
      <c r="OM1548" s="206"/>
      <c r="ON1548" s="206"/>
      <c r="OO1548" s="206"/>
      <c r="OP1548" s="206"/>
      <c r="OQ1548" s="206"/>
      <c r="OR1548" s="206"/>
      <c r="OS1548" s="206"/>
      <c r="OT1548" s="206"/>
      <c r="OU1548" s="206"/>
      <c r="OV1548" s="206"/>
      <c r="OW1548" s="206"/>
      <c r="OX1548" s="206"/>
      <c r="OY1548" s="206"/>
      <c r="OZ1548" s="206"/>
      <c r="PA1548" s="206"/>
      <c r="PB1548" s="206"/>
      <c r="PC1548" s="206"/>
      <c r="PD1548" s="206"/>
      <c r="PE1548" s="206"/>
      <c r="PF1548" s="206"/>
      <c r="PG1548" s="206"/>
      <c r="PH1548" s="206"/>
      <c r="PI1548" s="206"/>
      <c r="PJ1548" s="206"/>
      <c r="PK1548" s="206"/>
      <c r="PL1548" s="206"/>
      <c r="PM1548" s="206"/>
      <c r="PN1548" s="206"/>
      <c r="PO1548" s="206"/>
      <c r="PP1548" s="206"/>
      <c r="PQ1548" s="206"/>
      <c r="PR1548" s="206"/>
      <c r="PS1548" s="206"/>
      <c r="PT1548" s="206"/>
      <c r="PU1548" s="206"/>
      <c r="PV1548" s="206"/>
      <c r="PW1548" s="206"/>
      <c r="PX1548" s="206"/>
      <c r="PY1548" s="206"/>
      <c r="PZ1548" s="206"/>
      <c r="QA1548" s="206"/>
      <c r="QB1548" s="206"/>
      <c r="QC1548" s="206"/>
      <c r="QD1548" s="206"/>
      <c r="QE1548" s="206"/>
      <c r="QF1548" s="206"/>
      <c r="QG1548" s="206"/>
      <c r="QH1548" s="206"/>
      <c r="QI1548" s="206"/>
      <c r="QJ1548" s="206"/>
      <c r="QK1548" s="206"/>
      <c r="QL1548" s="206"/>
      <c r="QM1548" s="206"/>
      <c r="QN1548" s="206"/>
      <c r="QO1548" s="206"/>
      <c r="QP1548" s="206"/>
      <c r="QQ1548" s="206"/>
      <c r="QR1548" s="206"/>
      <c r="QS1548" s="206"/>
      <c r="QT1548" s="206"/>
      <c r="QU1548" s="206"/>
      <c r="QV1548" s="206"/>
      <c r="QW1548" s="206"/>
      <c r="QX1548" s="206"/>
      <c r="QY1548" s="206"/>
      <c r="QZ1548" s="206"/>
      <c r="RA1548" s="206"/>
      <c r="RB1548" s="206"/>
      <c r="RC1548" s="206"/>
      <c r="RD1548" s="206"/>
      <c r="RE1548" s="206"/>
      <c r="RF1548" s="206"/>
      <c r="RG1548" s="206"/>
      <c r="RH1548" s="206"/>
      <c r="RI1548" s="206"/>
      <c r="RJ1548" s="206"/>
      <c r="RK1548" s="206"/>
      <c r="RL1548" s="206"/>
      <c r="RM1548" s="206"/>
      <c r="RN1548" s="206"/>
      <c r="RO1548" s="206"/>
      <c r="RP1548" s="206"/>
      <c r="RQ1548" s="206"/>
      <c r="RR1548" s="206"/>
      <c r="RS1548" s="206"/>
      <c r="RT1548" s="206"/>
      <c r="RU1548" s="206"/>
      <c r="RV1548" s="206"/>
      <c r="RW1548" s="206"/>
      <c r="RX1548" s="206"/>
      <c r="RY1548" s="206"/>
      <c r="RZ1548" s="206"/>
      <c r="SA1548" s="206"/>
      <c r="SB1548" s="206"/>
      <c r="SC1548" s="206"/>
      <c r="SD1548" s="206"/>
      <c r="SE1548" s="206"/>
      <c r="SF1548" s="206"/>
      <c r="SG1548" s="206"/>
      <c r="SH1548" s="206"/>
      <c r="SI1548" s="206"/>
      <c r="SJ1548" s="206"/>
      <c r="SK1548" s="206"/>
      <c r="SL1548" s="206"/>
      <c r="SM1548" s="206"/>
      <c r="SN1548" s="206"/>
      <c r="SO1548" s="206"/>
      <c r="SP1548" s="206"/>
      <c r="SQ1548" s="206"/>
      <c r="SR1548" s="206"/>
      <c r="SS1548" s="206"/>
      <c r="ST1548" s="206"/>
      <c r="SU1548" s="206"/>
      <c r="SV1548" s="206"/>
      <c r="SW1548" s="206"/>
      <c r="SX1548" s="206"/>
      <c r="SY1548" s="206"/>
      <c r="SZ1548" s="206"/>
      <c r="TA1548" s="206"/>
      <c r="TB1548" s="206"/>
      <c r="TC1548" s="206"/>
      <c r="TD1548" s="206"/>
      <c r="TE1548" s="206"/>
      <c r="TF1548" s="206"/>
      <c r="TG1548" s="206"/>
      <c r="TH1548" s="206"/>
      <c r="TI1548" s="206"/>
      <c r="TJ1548" s="206"/>
      <c r="TK1548" s="206"/>
      <c r="TL1548" s="206"/>
      <c r="TM1548" s="206"/>
      <c r="TN1548" s="206"/>
      <c r="TO1548" s="206"/>
      <c r="TP1548" s="206"/>
      <c r="TQ1548" s="206"/>
      <c r="TR1548" s="206"/>
      <c r="TS1548" s="206"/>
      <c r="TT1548" s="206"/>
      <c r="TU1548" s="206"/>
      <c r="TV1548" s="206"/>
      <c r="TW1548" s="206"/>
      <c r="TX1548" s="206"/>
      <c r="TY1548" s="206"/>
      <c r="TZ1548" s="206"/>
      <c r="UA1548" s="206"/>
      <c r="UB1548" s="206"/>
      <c r="UC1548" s="206"/>
      <c r="UD1548" s="206"/>
    </row>
    <row r="1549" spans="1:550" s="877" customFormat="1" ht="39" customHeight="1">
      <c r="A1549" s="924" t="s">
        <v>15</v>
      </c>
      <c r="B1549" s="940"/>
      <c r="C1549" s="958" t="s">
        <v>1362</v>
      </c>
      <c r="D1549" s="942"/>
      <c r="E1549" s="940"/>
      <c r="F1549" s="940"/>
      <c r="G1549" s="943"/>
      <c r="H1549" s="954"/>
      <c r="I1549" s="945"/>
      <c r="J1549" s="1003"/>
      <c r="K1549" s="959"/>
      <c r="L1549" s="953">
        <f>L1550</f>
        <v>23511000</v>
      </c>
      <c r="M1549" s="949"/>
      <c r="N1549" s="949"/>
      <c r="O1549" s="949"/>
      <c r="P1549" s="953">
        <f>L1549</f>
        <v>23511000</v>
      </c>
      <c r="Q1549" s="1178"/>
      <c r="R1549" s="1226"/>
      <c r="S1549" s="486"/>
      <c r="T1549" s="486"/>
      <c r="U1549" s="486"/>
      <c r="V1549" s="486"/>
      <c r="W1549" s="486"/>
      <c r="X1549" s="486"/>
      <c r="Y1549" s="486"/>
      <c r="Z1549" s="486"/>
      <c r="AA1549" s="486"/>
      <c r="AB1549" s="486"/>
      <c r="AC1549" s="486"/>
      <c r="AD1549" s="486"/>
      <c r="AE1549" s="486"/>
      <c r="AF1549" s="486"/>
      <c r="AG1549" s="486"/>
      <c r="AH1549" s="486"/>
      <c r="AI1549" s="486"/>
      <c r="AJ1549" s="486"/>
      <c r="AK1549" s="486"/>
      <c r="AL1549" s="329"/>
      <c r="AM1549" s="329"/>
      <c r="AN1549" s="329"/>
      <c r="AO1549" s="329"/>
      <c r="AP1549" s="329"/>
      <c r="AQ1549" s="329"/>
      <c r="AR1549" s="329"/>
      <c r="AS1549" s="329"/>
      <c r="AT1549" s="329"/>
      <c r="AU1549" s="329"/>
      <c r="AV1549" s="329"/>
      <c r="AW1549" s="329"/>
      <c r="AX1549" s="329"/>
      <c r="AY1549" s="329"/>
      <c r="AZ1549" s="329"/>
      <c r="BA1549" s="329"/>
      <c r="BB1549" s="329"/>
      <c r="BC1549" s="329"/>
      <c r="BD1549" s="329"/>
      <c r="BE1549" s="329"/>
      <c r="BF1549" s="329"/>
      <c r="BG1549" s="329"/>
      <c r="BH1549" s="329"/>
      <c r="BI1549" s="329"/>
      <c r="BJ1549" s="329"/>
      <c r="BK1549" s="329"/>
      <c r="BL1549" s="329"/>
      <c r="BM1549" s="329"/>
      <c r="BN1549" s="329"/>
      <c r="BO1549" s="329"/>
      <c r="BP1549" s="329"/>
      <c r="BQ1549" s="329"/>
      <c r="BR1549" s="329"/>
      <c r="BS1549" s="329"/>
      <c r="BT1549" s="329"/>
      <c r="BU1549" s="329"/>
      <c r="BV1549" s="329"/>
      <c r="BW1549" s="329"/>
      <c r="BX1549" s="329"/>
      <c r="BY1549" s="329"/>
      <c r="BZ1549" s="329"/>
      <c r="CA1549" s="329"/>
      <c r="CB1549" s="329"/>
      <c r="CC1549" s="329"/>
      <c r="CD1549" s="329"/>
      <c r="CE1549" s="329"/>
      <c r="CF1549" s="329"/>
      <c r="CG1549" s="329"/>
      <c r="CH1549" s="329"/>
      <c r="CI1549" s="329"/>
      <c r="CJ1549" s="329"/>
      <c r="CK1549" s="329"/>
      <c r="CL1549" s="329"/>
      <c r="CM1549" s="329"/>
      <c r="CN1549" s="329"/>
      <c r="CO1549" s="329"/>
      <c r="CP1549" s="329"/>
      <c r="CQ1549" s="329"/>
      <c r="CR1549" s="329"/>
      <c r="CS1549" s="329"/>
      <c r="CT1549" s="329"/>
      <c r="CU1549" s="329"/>
      <c r="CV1549" s="329"/>
      <c r="CW1549" s="329"/>
      <c r="CX1549" s="329"/>
      <c r="CY1549" s="329"/>
      <c r="CZ1549" s="329"/>
      <c r="DA1549" s="329"/>
      <c r="DB1549" s="329"/>
      <c r="DC1549" s="329"/>
      <c r="DD1549" s="329"/>
      <c r="DE1549" s="329"/>
      <c r="DF1549" s="329"/>
      <c r="DG1549" s="329"/>
      <c r="DH1549" s="329"/>
      <c r="DI1549" s="329"/>
      <c r="DJ1549" s="329"/>
      <c r="DK1549" s="329"/>
      <c r="DL1549" s="329"/>
      <c r="DM1549" s="329"/>
      <c r="DN1549" s="329"/>
      <c r="DO1549" s="329"/>
      <c r="DP1549" s="329"/>
      <c r="DQ1549" s="329"/>
      <c r="DR1549" s="329"/>
      <c r="DS1549" s="329"/>
      <c r="DT1549" s="329"/>
      <c r="DU1549" s="329"/>
      <c r="DV1549" s="329"/>
      <c r="DW1549" s="329"/>
      <c r="DX1549" s="329"/>
      <c r="DY1549" s="329"/>
      <c r="DZ1549" s="329"/>
      <c r="EA1549" s="329"/>
      <c r="EB1549" s="329"/>
      <c r="EC1549" s="329"/>
      <c r="ED1549" s="329"/>
      <c r="EE1549" s="329"/>
      <c r="EF1549" s="329"/>
      <c r="EG1549" s="329"/>
      <c r="EH1549" s="329"/>
      <c r="EI1549" s="329"/>
      <c r="EJ1549" s="329"/>
      <c r="EK1549" s="329"/>
      <c r="EL1549" s="329"/>
      <c r="EM1549" s="329"/>
      <c r="EN1549" s="329"/>
      <c r="EO1549" s="329"/>
      <c r="EP1549" s="329"/>
      <c r="EQ1549" s="329"/>
      <c r="ER1549" s="329"/>
      <c r="ES1549" s="329"/>
      <c r="ET1549" s="329"/>
      <c r="EU1549" s="329"/>
      <c r="EV1549" s="329"/>
      <c r="EW1549" s="329"/>
      <c r="EX1549" s="329"/>
      <c r="EY1549" s="329"/>
      <c r="EZ1549" s="329"/>
      <c r="FA1549" s="329"/>
      <c r="FB1549" s="329"/>
      <c r="FC1549" s="329"/>
      <c r="FD1549" s="329"/>
      <c r="FE1549" s="329"/>
      <c r="FF1549" s="329"/>
      <c r="FG1549" s="329"/>
      <c r="FH1549" s="329"/>
      <c r="FI1549" s="329"/>
      <c r="FJ1549" s="329"/>
      <c r="FK1549" s="329"/>
      <c r="FL1549" s="329"/>
      <c r="FM1549" s="329"/>
      <c r="FN1549" s="329"/>
      <c r="FO1549" s="329"/>
      <c r="FP1549" s="329"/>
      <c r="FQ1549" s="329"/>
      <c r="FR1549" s="329"/>
      <c r="FS1549" s="329"/>
      <c r="FT1549" s="329"/>
      <c r="FU1549" s="329"/>
      <c r="FV1549" s="329"/>
      <c r="FW1549" s="329"/>
      <c r="FX1549" s="329"/>
      <c r="FY1549" s="329"/>
      <c r="FZ1549" s="329"/>
      <c r="GA1549" s="329"/>
      <c r="GB1549" s="329"/>
      <c r="GC1549" s="329"/>
      <c r="GD1549" s="329"/>
      <c r="GE1549" s="329"/>
      <c r="GF1549" s="329"/>
      <c r="GG1549" s="329"/>
      <c r="GH1549" s="329"/>
      <c r="GI1549" s="329"/>
      <c r="GJ1549" s="329"/>
      <c r="GK1549" s="329"/>
      <c r="GL1549" s="329"/>
      <c r="GM1549" s="329"/>
      <c r="GN1549" s="329"/>
      <c r="GO1549" s="329"/>
      <c r="GP1549" s="329"/>
      <c r="GQ1549" s="329"/>
      <c r="GR1549" s="329"/>
      <c r="GS1549" s="329"/>
      <c r="GT1549" s="329"/>
      <c r="GU1549" s="329"/>
      <c r="GV1549" s="329"/>
      <c r="GW1549" s="329"/>
      <c r="GX1549" s="329"/>
      <c r="GY1549" s="329"/>
      <c r="GZ1549" s="329"/>
      <c r="HA1549" s="329"/>
      <c r="HB1549" s="329"/>
      <c r="HC1549" s="329"/>
      <c r="HD1549" s="329"/>
      <c r="HE1549" s="329"/>
      <c r="HF1549" s="329"/>
      <c r="HG1549" s="329"/>
      <c r="HH1549" s="329"/>
      <c r="HI1549" s="329"/>
      <c r="HJ1549" s="329"/>
      <c r="HK1549" s="329"/>
      <c r="HL1549" s="329"/>
      <c r="HM1549" s="329"/>
      <c r="HN1549" s="329"/>
      <c r="HO1549" s="329"/>
      <c r="HP1549" s="329"/>
      <c r="HQ1549" s="329"/>
      <c r="HR1549" s="329"/>
      <c r="HS1549" s="329"/>
      <c r="HT1549" s="329"/>
      <c r="HU1549" s="329"/>
      <c r="HV1549" s="329"/>
      <c r="HW1549" s="329"/>
      <c r="HX1549" s="329"/>
      <c r="HY1549" s="329"/>
      <c r="HZ1549" s="329"/>
      <c r="IA1549" s="329"/>
      <c r="IB1549" s="329"/>
      <c r="IC1549" s="329"/>
      <c r="ID1549" s="329"/>
      <c r="IE1549" s="329"/>
      <c r="IF1549" s="329"/>
      <c r="IG1549" s="329"/>
      <c r="IH1549" s="329"/>
      <c r="II1549" s="329"/>
      <c r="IJ1549" s="329"/>
      <c r="IK1549" s="329"/>
      <c r="IL1549" s="329"/>
      <c r="IM1549" s="329"/>
      <c r="IN1549" s="329"/>
      <c r="IO1549" s="329"/>
      <c r="IP1549" s="329"/>
      <c r="IQ1549" s="329"/>
      <c r="IR1549" s="329"/>
      <c r="IS1549" s="329"/>
      <c r="IT1549" s="329"/>
      <c r="IU1549" s="329"/>
      <c r="IV1549" s="329"/>
      <c r="IW1549" s="329"/>
      <c r="IX1549" s="329"/>
      <c r="IY1549" s="329"/>
      <c r="IZ1549" s="329"/>
      <c r="JA1549" s="329"/>
      <c r="JB1549" s="329"/>
      <c r="JC1549" s="329"/>
      <c r="JD1549" s="329"/>
      <c r="JE1549" s="329"/>
      <c r="JF1549" s="329"/>
      <c r="JG1549" s="329"/>
      <c r="JH1549" s="329"/>
      <c r="JI1549" s="329"/>
      <c r="JJ1549" s="329"/>
      <c r="JK1549" s="329"/>
      <c r="JL1549" s="329"/>
      <c r="JM1549" s="329"/>
      <c r="JN1549" s="329"/>
      <c r="JO1549" s="329"/>
      <c r="JP1549" s="329"/>
      <c r="JQ1549" s="329"/>
      <c r="JR1549" s="329"/>
      <c r="JS1549" s="329"/>
      <c r="JT1549" s="329"/>
      <c r="JU1549" s="329"/>
      <c r="JV1549" s="329"/>
      <c r="JW1549" s="329"/>
      <c r="JX1549" s="329"/>
      <c r="JY1549" s="329"/>
      <c r="JZ1549" s="329"/>
      <c r="KA1549" s="329"/>
      <c r="KB1549" s="329"/>
      <c r="KC1549" s="329"/>
      <c r="KD1549" s="329"/>
      <c r="KE1549" s="329"/>
      <c r="KF1549" s="329"/>
      <c r="KG1549" s="329"/>
      <c r="KH1549" s="329"/>
      <c r="KI1549" s="329"/>
      <c r="KJ1549" s="329"/>
      <c r="KK1549" s="329"/>
      <c r="KL1549" s="329"/>
      <c r="KM1549" s="329"/>
      <c r="KN1549" s="329"/>
      <c r="KO1549" s="329"/>
      <c r="KP1549" s="329"/>
      <c r="KQ1549" s="329"/>
      <c r="KR1549" s="329"/>
      <c r="KS1549" s="329"/>
      <c r="KT1549" s="329"/>
      <c r="KU1549" s="329"/>
      <c r="KV1549" s="329"/>
      <c r="KW1549" s="329"/>
      <c r="KX1549" s="329"/>
      <c r="KY1549" s="329"/>
      <c r="KZ1549" s="329"/>
      <c r="LA1549" s="329"/>
      <c r="LB1549" s="329"/>
      <c r="LC1549" s="329"/>
      <c r="LD1549" s="329"/>
      <c r="LE1549" s="329"/>
      <c r="LF1549" s="329"/>
      <c r="LG1549" s="329"/>
      <c r="LH1549" s="329"/>
      <c r="LI1549" s="329"/>
      <c r="LJ1549" s="329"/>
      <c r="LK1549" s="329"/>
      <c r="LL1549" s="329"/>
      <c r="LM1549" s="329"/>
      <c r="LN1549" s="329"/>
      <c r="LO1549" s="329"/>
      <c r="LP1549" s="329"/>
      <c r="LQ1549" s="329"/>
      <c r="LR1549" s="329"/>
      <c r="LS1549" s="329"/>
      <c r="LT1549" s="329"/>
      <c r="LU1549" s="329"/>
      <c r="LV1549" s="329"/>
      <c r="LW1549" s="329"/>
      <c r="LX1549" s="329"/>
      <c r="LY1549" s="329"/>
      <c r="LZ1549" s="329"/>
      <c r="MA1549" s="329"/>
      <c r="MB1549" s="329"/>
      <c r="MC1549" s="329"/>
      <c r="MD1549" s="329"/>
      <c r="ME1549" s="329"/>
      <c r="MF1549" s="329"/>
      <c r="MG1549" s="329"/>
      <c r="MH1549" s="329"/>
      <c r="MI1549" s="329"/>
      <c r="MJ1549" s="329"/>
      <c r="MK1549" s="329"/>
      <c r="ML1549" s="329"/>
      <c r="MM1549" s="329"/>
      <c r="MN1549" s="329"/>
      <c r="MO1549" s="329"/>
      <c r="MP1549" s="329"/>
      <c r="MQ1549" s="329"/>
      <c r="MR1549" s="329"/>
      <c r="MS1549" s="329"/>
      <c r="MT1549" s="329"/>
      <c r="MU1549" s="329"/>
      <c r="MV1549" s="329"/>
      <c r="MW1549" s="329"/>
      <c r="MX1549" s="329"/>
      <c r="MY1549" s="329"/>
      <c r="MZ1549" s="329"/>
      <c r="NA1549" s="329"/>
      <c r="NB1549" s="329"/>
      <c r="NC1549" s="329"/>
      <c r="ND1549" s="329"/>
      <c r="NE1549" s="329"/>
      <c r="NF1549" s="329"/>
      <c r="NG1549" s="329"/>
      <c r="NH1549" s="329"/>
      <c r="NI1549" s="329"/>
      <c r="NJ1549" s="329"/>
      <c r="NK1549" s="329"/>
      <c r="NL1549" s="329"/>
      <c r="NM1549" s="329"/>
      <c r="NN1549" s="329"/>
      <c r="NO1549" s="329"/>
      <c r="NP1549" s="329"/>
      <c r="NQ1549" s="329"/>
      <c r="NR1549" s="329"/>
      <c r="NS1549" s="329"/>
      <c r="NT1549" s="329"/>
      <c r="NU1549" s="329"/>
      <c r="NV1549" s="329"/>
      <c r="NW1549" s="329"/>
      <c r="NX1549" s="329"/>
      <c r="NY1549" s="329"/>
      <c r="NZ1549" s="329"/>
      <c r="OA1549" s="329"/>
      <c r="OB1549" s="329"/>
      <c r="OC1549" s="329"/>
      <c r="OD1549" s="329"/>
      <c r="OE1549" s="329"/>
      <c r="OF1549" s="329"/>
      <c r="OG1549" s="329"/>
      <c r="OH1549" s="329"/>
      <c r="OI1549" s="329"/>
      <c r="OJ1549" s="329"/>
      <c r="OK1549" s="329"/>
      <c r="OL1549" s="329"/>
      <c r="OM1549" s="329"/>
      <c r="ON1549" s="329"/>
      <c r="OO1549" s="329"/>
      <c r="OP1549" s="329"/>
      <c r="OQ1549" s="329"/>
      <c r="OR1549" s="329"/>
      <c r="OS1549" s="329"/>
      <c r="OT1549" s="329"/>
      <c r="OU1549" s="329"/>
      <c r="OV1549" s="329"/>
      <c r="OW1549" s="329"/>
      <c r="OX1549" s="329"/>
      <c r="OY1549" s="329"/>
      <c r="OZ1549" s="329"/>
      <c r="PA1549" s="329"/>
      <c r="PB1549" s="329"/>
      <c r="PC1549" s="329"/>
      <c r="PD1549" s="329"/>
      <c r="PE1549" s="329"/>
      <c r="PF1549" s="329"/>
      <c r="PG1549" s="329"/>
      <c r="PH1549" s="329"/>
      <c r="PI1549" s="329"/>
      <c r="PJ1549" s="329"/>
      <c r="PK1549" s="329"/>
      <c r="PL1549" s="329"/>
      <c r="PM1549" s="329"/>
      <c r="PN1549" s="329"/>
      <c r="PO1549" s="329"/>
      <c r="PP1549" s="329"/>
      <c r="PQ1549" s="329"/>
      <c r="PR1549" s="329"/>
      <c r="PS1549" s="329"/>
      <c r="PT1549" s="329"/>
      <c r="PU1549" s="329"/>
      <c r="PV1549" s="329"/>
      <c r="PW1549" s="329"/>
      <c r="PX1549" s="329"/>
      <c r="PY1549" s="329"/>
      <c r="PZ1549" s="329"/>
      <c r="QA1549" s="329"/>
      <c r="QB1549" s="329"/>
      <c r="QC1549" s="329"/>
      <c r="QD1549" s="329"/>
      <c r="QE1549" s="329"/>
      <c r="QF1549" s="329"/>
      <c r="QG1549" s="329"/>
      <c r="QH1549" s="329"/>
      <c r="QI1549" s="329"/>
      <c r="QJ1549" s="329"/>
      <c r="QK1549" s="329"/>
      <c r="QL1549" s="329"/>
      <c r="QM1549" s="329"/>
      <c r="QN1549" s="329"/>
      <c r="QO1549" s="329"/>
      <c r="QP1549" s="329"/>
      <c r="QQ1549" s="329"/>
      <c r="QR1549" s="329"/>
      <c r="QS1549" s="329"/>
      <c r="QT1549" s="329"/>
      <c r="QU1549" s="329"/>
      <c r="QV1549" s="329"/>
      <c r="QW1549" s="329"/>
      <c r="QX1549" s="329"/>
      <c r="QY1549" s="329"/>
      <c r="QZ1549" s="329"/>
      <c r="RA1549" s="329"/>
      <c r="RB1549" s="329"/>
      <c r="RC1549" s="329"/>
      <c r="RD1549" s="329"/>
      <c r="RE1549" s="329"/>
      <c r="RF1549" s="329"/>
      <c r="RG1549" s="329"/>
      <c r="RH1549" s="329"/>
      <c r="RI1549" s="329"/>
      <c r="RJ1549" s="329"/>
      <c r="RK1549" s="329"/>
      <c r="RL1549" s="329"/>
      <c r="RM1549" s="329"/>
      <c r="RN1549" s="329"/>
      <c r="RO1549" s="329"/>
      <c r="RP1549" s="329"/>
      <c r="RQ1549" s="329"/>
      <c r="RR1549" s="329"/>
      <c r="RS1549" s="329"/>
      <c r="RT1549" s="329"/>
      <c r="RU1549" s="329"/>
      <c r="RV1549" s="329"/>
      <c r="RW1549" s="329"/>
      <c r="RX1549" s="329"/>
      <c r="RY1549" s="329"/>
      <c r="RZ1549" s="329"/>
      <c r="SA1549" s="329"/>
      <c r="SB1549" s="329"/>
      <c r="SC1549" s="329"/>
      <c r="SD1549" s="329"/>
      <c r="SE1549" s="329"/>
      <c r="SF1549" s="329"/>
      <c r="SG1549" s="329"/>
      <c r="SH1549" s="329"/>
      <c r="SI1549" s="329"/>
      <c r="SJ1549" s="329"/>
      <c r="SK1549" s="329"/>
      <c r="SL1549" s="329"/>
      <c r="SM1549" s="329"/>
      <c r="SN1549" s="329"/>
      <c r="SO1549" s="329"/>
      <c r="SP1549" s="329"/>
      <c r="SQ1549" s="329"/>
      <c r="SR1549" s="329"/>
      <c r="SS1549" s="329"/>
      <c r="ST1549" s="329"/>
      <c r="SU1549" s="329"/>
      <c r="SV1549" s="329"/>
      <c r="SW1549" s="329"/>
      <c r="SX1549" s="329"/>
      <c r="SY1549" s="329"/>
      <c r="SZ1549" s="329"/>
      <c r="TA1549" s="329"/>
      <c r="TB1549" s="329"/>
      <c r="TC1549" s="329"/>
      <c r="TD1549" s="329"/>
      <c r="TE1549" s="329"/>
      <c r="TF1549" s="329"/>
      <c r="TG1549" s="329"/>
      <c r="TH1549" s="329"/>
      <c r="TI1549" s="329"/>
      <c r="TJ1549" s="329"/>
      <c r="TK1549" s="329"/>
      <c r="TL1549" s="329"/>
      <c r="TM1549" s="329"/>
      <c r="TN1549" s="329"/>
      <c r="TO1549" s="329"/>
      <c r="TP1549" s="329"/>
      <c r="TQ1549" s="329"/>
      <c r="TR1549" s="329"/>
      <c r="TS1549" s="329"/>
      <c r="TT1549" s="329"/>
      <c r="TU1549" s="329"/>
      <c r="TV1549" s="329"/>
      <c r="TW1549" s="329"/>
      <c r="TX1549" s="329"/>
      <c r="TY1549" s="329"/>
      <c r="TZ1549" s="329"/>
      <c r="UA1549" s="329"/>
      <c r="UB1549" s="329"/>
      <c r="UC1549" s="329"/>
      <c r="UD1549" s="329"/>
    </row>
    <row r="1550" spans="1:550" s="877" customFormat="1" ht="165.75" customHeight="1">
      <c r="A1550" s="924" t="s">
        <v>15</v>
      </c>
      <c r="B1550" s="953"/>
      <c r="C1550" s="942" t="s">
        <v>1363</v>
      </c>
      <c r="D1550" s="940">
        <v>1</v>
      </c>
      <c r="E1550" s="940">
        <v>513</v>
      </c>
      <c r="F1550" s="940"/>
      <c r="G1550" s="943" t="s">
        <v>1357</v>
      </c>
      <c r="H1550" s="954"/>
      <c r="I1550" s="945">
        <f>I1545</f>
        <v>230.5</v>
      </c>
      <c r="J1550" s="1004">
        <f>(62000*2.5)-(53000*1)</f>
        <v>102000</v>
      </c>
      <c r="K1550" s="1122"/>
      <c r="L1550" s="960">
        <f>I1550*J1550</f>
        <v>23511000</v>
      </c>
      <c r="M1550" s="953"/>
      <c r="N1550" s="953"/>
      <c r="O1550" s="953"/>
      <c r="P1550" s="953"/>
      <c r="Q1550" s="1177"/>
      <c r="R1550" s="1226" t="s">
        <v>1364</v>
      </c>
      <c r="S1550" s="1226"/>
      <c r="T1550" s="449"/>
      <c r="U1550" s="463"/>
      <c r="V1550" s="449"/>
      <c r="W1550" s="449"/>
      <c r="X1550" s="449"/>
      <c r="Y1550" s="449"/>
      <c r="Z1550" s="449"/>
      <c r="AA1550" s="449"/>
      <c r="AB1550" s="449"/>
      <c r="AC1550" s="449"/>
      <c r="AD1550" s="449"/>
      <c r="AE1550" s="449"/>
      <c r="AF1550" s="449"/>
      <c r="AG1550" s="449"/>
      <c r="AH1550" s="452"/>
      <c r="AI1550" s="452"/>
      <c r="AJ1550" s="452"/>
      <c r="AK1550" s="452"/>
      <c r="AL1550" s="116"/>
      <c r="AM1550" s="116"/>
      <c r="AN1550" s="116"/>
      <c r="AO1550" s="116"/>
      <c r="AP1550" s="117"/>
      <c r="AQ1550" s="117"/>
      <c r="AR1550" s="117"/>
      <c r="AS1550" s="117"/>
      <c r="AT1550" s="117"/>
      <c r="AU1550" s="117"/>
      <c r="AV1550" s="117"/>
      <c r="AW1550" s="117"/>
      <c r="AX1550" s="117"/>
      <c r="AY1550" s="117"/>
      <c r="AZ1550" s="117"/>
      <c r="BA1550" s="117"/>
      <c r="BB1550" s="117"/>
      <c r="BC1550" s="117"/>
      <c r="BD1550" s="117"/>
      <c r="BE1550" s="117"/>
      <c r="BF1550" s="117"/>
      <c r="BG1550" s="117"/>
      <c r="BH1550" s="117"/>
      <c r="BI1550" s="117"/>
      <c r="BJ1550" s="117"/>
      <c r="BK1550" s="117"/>
      <c r="BL1550" s="117"/>
      <c r="BM1550" s="118"/>
      <c r="BN1550" s="118"/>
      <c r="BO1550" s="118"/>
      <c r="BP1550" s="118"/>
      <c r="BQ1550" s="118"/>
      <c r="BR1550" s="118"/>
      <c r="BS1550" s="118"/>
      <c r="BT1550" s="118"/>
      <c r="BU1550" s="118"/>
      <c r="BV1550" s="118"/>
      <c r="BW1550" s="118"/>
      <c r="BX1550" s="118"/>
      <c r="BY1550" s="118"/>
      <c r="BZ1550" s="118"/>
      <c r="CA1550" s="118"/>
      <c r="CB1550" s="118"/>
      <c r="CC1550" s="118"/>
      <c r="CD1550" s="118"/>
      <c r="CE1550" s="118"/>
      <c r="CF1550" s="118"/>
      <c r="CG1550" s="118"/>
      <c r="CH1550" s="118"/>
      <c r="CI1550" s="118"/>
      <c r="CJ1550" s="118"/>
      <c r="CK1550" s="118"/>
      <c r="CL1550" s="118"/>
      <c r="CM1550" s="118"/>
      <c r="CN1550" s="118"/>
      <c r="CO1550" s="118"/>
      <c r="CP1550" s="118"/>
      <c r="CQ1550" s="118"/>
      <c r="CR1550" s="118"/>
      <c r="CS1550" s="118"/>
      <c r="CT1550" s="118"/>
      <c r="CU1550" s="118"/>
      <c r="CV1550" s="118"/>
      <c r="CW1550" s="118"/>
      <c r="CX1550" s="118"/>
      <c r="CY1550" s="118"/>
      <c r="CZ1550" s="118"/>
      <c r="DA1550" s="118"/>
      <c r="DB1550" s="118"/>
      <c r="DC1550" s="118"/>
      <c r="DD1550" s="118"/>
      <c r="DE1550" s="118"/>
      <c r="DF1550" s="118"/>
      <c r="DG1550" s="118"/>
      <c r="DH1550" s="118"/>
      <c r="DI1550" s="118"/>
      <c r="DJ1550" s="118"/>
      <c r="DK1550" s="118"/>
      <c r="DL1550" s="118"/>
      <c r="DM1550" s="118"/>
      <c r="DN1550" s="118"/>
      <c r="DO1550" s="118"/>
      <c r="DP1550" s="118"/>
      <c r="DQ1550" s="118"/>
      <c r="DR1550" s="118"/>
      <c r="DS1550" s="118"/>
      <c r="DT1550" s="118"/>
      <c r="DU1550" s="118"/>
      <c r="DV1550" s="118"/>
      <c r="DW1550" s="118"/>
      <c r="DX1550" s="118"/>
      <c r="DY1550" s="118"/>
      <c r="DZ1550" s="118"/>
      <c r="EA1550" s="118"/>
      <c r="EB1550" s="118"/>
      <c r="EC1550" s="118"/>
      <c r="ED1550" s="118"/>
      <c r="EE1550" s="118"/>
      <c r="EF1550" s="118"/>
      <c r="EG1550" s="118"/>
      <c r="EH1550" s="118"/>
      <c r="EI1550" s="118"/>
      <c r="EJ1550" s="118"/>
      <c r="EK1550" s="118"/>
      <c r="EL1550" s="118"/>
      <c r="EM1550" s="118"/>
      <c r="EN1550" s="118"/>
      <c r="EO1550" s="118"/>
      <c r="EP1550" s="118"/>
      <c r="EQ1550" s="118"/>
      <c r="ER1550" s="118"/>
      <c r="ES1550" s="118"/>
      <c r="ET1550" s="118"/>
      <c r="EU1550" s="118"/>
      <c r="EV1550" s="118"/>
      <c r="EW1550" s="118"/>
      <c r="EX1550" s="118"/>
      <c r="EY1550" s="118"/>
      <c r="EZ1550" s="118"/>
      <c r="FA1550" s="118"/>
      <c r="FB1550" s="118"/>
      <c r="FC1550" s="118"/>
      <c r="FD1550" s="118"/>
      <c r="FE1550" s="118"/>
      <c r="FF1550" s="118"/>
      <c r="FG1550" s="118"/>
      <c r="FH1550" s="118"/>
      <c r="FI1550" s="118"/>
      <c r="FJ1550" s="118"/>
      <c r="FK1550" s="118"/>
      <c r="FL1550" s="118"/>
      <c r="FM1550" s="118"/>
      <c r="FN1550" s="118"/>
      <c r="FO1550" s="118"/>
      <c r="FP1550" s="118"/>
      <c r="FQ1550" s="118"/>
      <c r="FR1550" s="118"/>
      <c r="FS1550" s="118"/>
      <c r="FT1550" s="118"/>
      <c r="FU1550" s="118"/>
      <c r="FV1550" s="118"/>
      <c r="FW1550" s="118"/>
      <c r="FX1550" s="118"/>
      <c r="FY1550" s="118"/>
      <c r="FZ1550" s="118"/>
      <c r="GA1550" s="118"/>
      <c r="GB1550" s="118"/>
      <c r="GC1550" s="118"/>
      <c r="GD1550" s="118"/>
      <c r="GE1550" s="118"/>
      <c r="GF1550" s="118"/>
      <c r="GG1550" s="118"/>
      <c r="GH1550" s="118"/>
      <c r="GI1550" s="118"/>
      <c r="GJ1550" s="118"/>
      <c r="GK1550" s="118"/>
      <c r="GL1550" s="118"/>
      <c r="GM1550" s="118"/>
      <c r="GN1550" s="118"/>
      <c r="GO1550" s="118"/>
      <c r="GP1550" s="118"/>
      <c r="GQ1550" s="118"/>
      <c r="GR1550" s="118"/>
      <c r="GS1550" s="118"/>
      <c r="GT1550" s="118"/>
      <c r="GU1550" s="118"/>
      <c r="GV1550" s="118"/>
      <c r="GW1550" s="118"/>
      <c r="GX1550" s="118"/>
      <c r="GY1550" s="118"/>
      <c r="GZ1550" s="118"/>
      <c r="HA1550" s="118"/>
      <c r="HB1550" s="118"/>
      <c r="HC1550" s="118"/>
      <c r="HD1550" s="118"/>
      <c r="HE1550" s="118"/>
      <c r="HF1550" s="118"/>
      <c r="HG1550" s="118"/>
      <c r="HH1550" s="118"/>
      <c r="HI1550" s="118"/>
      <c r="HJ1550" s="118"/>
      <c r="HK1550" s="118"/>
      <c r="HL1550" s="118"/>
      <c r="HM1550" s="118"/>
      <c r="HN1550" s="118"/>
      <c r="HO1550" s="118"/>
      <c r="HP1550" s="118"/>
      <c r="HQ1550" s="118"/>
      <c r="HR1550" s="118"/>
      <c r="HS1550" s="118"/>
      <c r="HT1550" s="118"/>
      <c r="HU1550" s="118"/>
      <c r="HV1550" s="118"/>
      <c r="HW1550" s="118"/>
      <c r="HX1550" s="118"/>
      <c r="HY1550" s="118"/>
      <c r="HZ1550" s="118"/>
      <c r="IA1550" s="118"/>
      <c r="IB1550" s="118"/>
      <c r="IC1550" s="118"/>
      <c r="ID1550" s="118"/>
      <c r="IE1550" s="118"/>
      <c r="IF1550" s="118"/>
      <c r="IG1550" s="118"/>
      <c r="IH1550" s="118"/>
      <c r="II1550" s="118"/>
      <c r="IJ1550" s="118"/>
      <c r="IK1550" s="118"/>
      <c r="IL1550" s="118"/>
      <c r="IM1550" s="118"/>
      <c r="IN1550" s="118"/>
      <c r="IO1550" s="118"/>
      <c r="IP1550" s="118"/>
      <c r="IQ1550" s="118"/>
      <c r="IR1550" s="118"/>
      <c r="IS1550" s="118"/>
      <c r="IT1550" s="118"/>
      <c r="IU1550" s="118"/>
      <c r="IV1550" s="118"/>
      <c r="IW1550" s="118"/>
      <c r="IX1550" s="118"/>
      <c r="IY1550" s="118"/>
      <c r="IZ1550" s="118"/>
      <c r="JA1550" s="118"/>
      <c r="JB1550" s="118"/>
      <c r="JC1550" s="118"/>
      <c r="JD1550" s="118"/>
      <c r="JE1550" s="118"/>
      <c r="JF1550" s="118"/>
      <c r="JG1550" s="118"/>
      <c r="JH1550" s="118"/>
      <c r="JI1550" s="118"/>
      <c r="JJ1550" s="118"/>
      <c r="JK1550" s="118"/>
      <c r="JL1550" s="118"/>
      <c r="JM1550" s="118"/>
      <c r="JN1550" s="118"/>
      <c r="JO1550" s="118"/>
      <c r="JP1550" s="118"/>
      <c r="JQ1550" s="118"/>
      <c r="JR1550" s="118"/>
      <c r="JS1550" s="118"/>
      <c r="JT1550" s="118"/>
      <c r="JU1550" s="118"/>
      <c r="JV1550" s="118"/>
      <c r="JW1550" s="118"/>
      <c r="JX1550" s="118"/>
      <c r="JY1550" s="118"/>
      <c r="JZ1550" s="118"/>
      <c r="KA1550" s="118"/>
      <c r="KB1550" s="118"/>
      <c r="KC1550" s="118"/>
      <c r="KD1550" s="118"/>
      <c r="KE1550" s="118"/>
      <c r="KF1550" s="118"/>
      <c r="KG1550" s="118"/>
      <c r="KH1550" s="118"/>
      <c r="KI1550" s="118"/>
      <c r="KJ1550" s="118"/>
      <c r="KK1550" s="118"/>
      <c r="KL1550" s="118"/>
      <c r="KM1550" s="118"/>
      <c r="KN1550" s="118"/>
      <c r="KO1550" s="118"/>
      <c r="KP1550" s="118"/>
      <c r="KQ1550" s="118"/>
      <c r="KR1550" s="118"/>
      <c r="KS1550" s="118"/>
      <c r="KT1550" s="118"/>
      <c r="KU1550" s="118"/>
      <c r="KV1550" s="118"/>
      <c r="KW1550" s="118"/>
      <c r="KX1550" s="118"/>
      <c r="KY1550" s="118"/>
      <c r="KZ1550" s="118"/>
      <c r="LA1550" s="118"/>
      <c r="LB1550" s="118"/>
      <c r="LC1550" s="118"/>
      <c r="LD1550" s="118"/>
      <c r="LE1550" s="118"/>
      <c r="LF1550" s="118"/>
      <c r="LG1550" s="118"/>
      <c r="LH1550" s="118"/>
      <c r="LI1550" s="118"/>
      <c r="LJ1550" s="118"/>
      <c r="LK1550" s="118"/>
      <c r="LL1550" s="118"/>
      <c r="LM1550" s="118"/>
      <c r="LN1550" s="118"/>
      <c r="LO1550" s="118"/>
      <c r="LP1550" s="118"/>
      <c r="LQ1550" s="118"/>
      <c r="LR1550" s="118"/>
      <c r="LS1550" s="118"/>
      <c r="LT1550" s="118"/>
      <c r="LU1550" s="118"/>
      <c r="LV1550" s="118"/>
      <c r="LW1550" s="118"/>
      <c r="LX1550" s="118"/>
      <c r="LY1550" s="118"/>
      <c r="LZ1550" s="118"/>
      <c r="MA1550" s="118"/>
      <c r="MB1550" s="118"/>
      <c r="MC1550" s="118"/>
      <c r="MD1550" s="118"/>
      <c r="ME1550" s="118"/>
      <c r="MF1550" s="118"/>
      <c r="MG1550" s="118"/>
      <c r="MH1550" s="118"/>
      <c r="MI1550" s="118"/>
      <c r="MJ1550" s="118"/>
      <c r="MK1550" s="118"/>
      <c r="ML1550" s="118"/>
      <c r="MM1550" s="118"/>
      <c r="MN1550" s="118"/>
      <c r="MO1550" s="118"/>
      <c r="MP1550" s="118"/>
      <c r="MQ1550" s="118"/>
      <c r="MR1550" s="118"/>
      <c r="MS1550" s="118"/>
      <c r="MT1550" s="118"/>
      <c r="MU1550" s="118"/>
      <c r="MV1550" s="118"/>
      <c r="MW1550" s="118"/>
      <c r="MX1550" s="118"/>
      <c r="MY1550" s="118"/>
      <c r="MZ1550" s="118"/>
      <c r="NA1550" s="118"/>
      <c r="NB1550" s="118"/>
      <c r="NC1550" s="118"/>
      <c r="ND1550" s="118"/>
      <c r="NE1550" s="118"/>
      <c r="NF1550" s="118"/>
      <c r="NG1550" s="118"/>
      <c r="NH1550" s="118"/>
      <c r="NI1550" s="118"/>
      <c r="NJ1550" s="118"/>
      <c r="NK1550" s="118"/>
      <c r="NL1550" s="118"/>
      <c r="NM1550" s="118"/>
      <c r="NN1550" s="118"/>
      <c r="NO1550" s="118"/>
      <c r="NP1550" s="118"/>
      <c r="NQ1550" s="118"/>
      <c r="NR1550" s="118"/>
      <c r="NS1550" s="118"/>
      <c r="NT1550" s="118"/>
      <c r="NU1550" s="118"/>
      <c r="NV1550" s="118"/>
      <c r="NW1550" s="118"/>
      <c r="NX1550" s="118"/>
      <c r="NY1550" s="118"/>
      <c r="NZ1550" s="118"/>
      <c r="OA1550" s="118"/>
      <c r="OB1550" s="118"/>
      <c r="OC1550" s="118"/>
      <c r="OD1550" s="118"/>
      <c r="OE1550" s="118"/>
      <c r="OF1550" s="118"/>
      <c r="OG1550" s="118"/>
      <c r="OH1550" s="118"/>
      <c r="OI1550" s="118"/>
      <c r="OJ1550" s="118"/>
      <c r="OK1550" s="118"/>
      <c r="OL1550" s="118"/>
      <c r="OM1550" s="118"/>
      <c r="ON1550" s="118"/>
      <c r="OO1550" s="118"/>
      <c r="OP1550" s="118"/>
      <c r="OQ1550" s="118"/>
      <c r="OR1550" s="118"/>
      <c r="OS1550" s="118"/>
      <c r="OT1550" s="118"/>
      <c r="OU1550" s="118"/>
      <c r="OV1550" s="118"/>
      <c r="OW1550" s="118"/>
      <c r="OX1550" s="118"/>
      <c r="OY1550" s="118"/>
      <c r="OZ1550" s="118"/>
      <c r="PA1550" s="118"/>
      <c r="PB1550" s="118"/>
      <c r="PC1550" s="118"/>
      <c r="PD1550" s="118"/>
      <c r="PE1550" s="118"/>
      <c r="PF1550" s="118"/>
      <c r="PG1550" s="118"/>
      <c r="PH1550" s="118"/>
      <c r="PI1550" s="118"/>
      <c r="PJ1550" s="118"/>
      <c r="PK1550" s="118"/>
      <c r="PL1550" s="118"/>
      <c r="PM1550" s="118"/>
      <c r="PN1550" s="118"/>
      <c r="PO1550" s="118"/>
      <c r="PP1550" s="118"/>
      <c r="PQ1550" s="118"/>
      <c r="PR1550" s="118"/>
      <c r="PS1550" s="118"/>
      <c r="PT1550" s="118"/>
      <c r="PU1550" s="118"/>
      <c r="PV1550" s="118"/>
      <c r="PW1550" s="118"/>
      <c r="PX1550" s="118"/>
      <c r="PY1550" s="118"/>
      <c r="PZ1550" s="118"/>
      <c r="QA1550" s="118"/>
      <c r="QB1550" s="118"/>
      <c r="QC1550" s="118"/>
      <c r="QD1550" s="118"/>
      <c r="QE1550" s="118"/>
      <c r="QF1550" s="118"/>
      <c r="QG1550" s="118"/>
      <c r="QH1550" s="118"/>
      <c r="QI1550" s="118"/>
      <c r="QJ1550" s="118"/>
      <c r="QK1550" s="118"/>
      <c r="QL1550" s="118"/>
      <c r="QM1550" s="118"/>
      <c r="QN1550" s="118"/>
      <c r="QO1550" s="118"/>
      <c r="QP1550" s="118"/>
      <c r="QQ1550" s="118"/>
      <c r="QR1550" s="118"/>
      <c r="QS1550" s="118"/>
      <c r="QT1550" s="118"/>
      <c r="QU1550" s="118"/>
      <c r="QV1550" s="118"/>
      <c r="QW1550" s="118"/>
      <c r="QX1550" s="118"/>
      <c r="QY1550" s="118"/>
      <c r="QZ1550" s="118"/>
      <c r="RA1550" s="118"/>
      <c r="RB1550" s="118"/>
      <c r="RC1550" s="118"/>
      <c r="RD1550" s="118"/>
      <c r="RE1550" s="118"/>
      <c r="RF1550" s="118"/>
      <c r="RG1550" s="118"/>
      <c r="RH1550" s="118"/>
      <c r="RI1550" s="118"/>
      <c r="RJ1550" s="118"/>
      <c r="RK1550" s="118"/>
      <c r="RL1550" s="118"/>
      <c r="RM1550" s="118"/>
      <c r="RN1550" s="118"/>
      <c r="RO1550" s="118"/>
      <c r="RP1550" s="118"/>
      <c r="RQ1550" s="118"/>
      <c r="RR1550" s="118"/>
      <c r="RS1550" s="118"/>
      <c r="RT1550" s="118"/>
      <c r="RU1550" s="118"/>
      <c r="RV1550" s="118"/>
      <c r="RW1550" s="118"/>
      <c r="RX1550" s="118"/>
      <c r="RY1550" s="118"/>
      <c r="RZ1550" s="118"/>
      <c r="SA1550" s="118"/>
      <c r="SB1550" s="118"/>
      <c r="SC1550" s="118"/>
      <c r="SD1550" s="118"/>
      <c r="SE1550" s="118"/>
      <c r="SF1550" s="118"/>
      <c r="SG1550" s="118"/>
      <c r="SH1550" s="118"/>
      <c r="SI1550" s="118"/>
      <c r="SJ1550" s="118"/>
      <c r="SK1550" s="118"/>
      <c r="SL1550" s="118"/>
      <c r="SM1550" s="118"/>
      <c r="SN1550" s="118"/>
      <c r="SO1550" s="118"/>
      <c r="SP1550" s="118"/>
      <c r="SQ1550" s="118"/>
      <c r="SR1550" s="118"/>
      <c r="SS1550" s="118"/>
      <c r="ST1550" s="118"/>
      <c r="SU1550" s="118"/>
      <c r="SV1550" s="118"/>
      <c r="SW1550" s="118"/>
      <c r="SX1550" s="118"/>
      <c r="SY1550" s="118"/>
      <c r="SZ1550" s="118"/>
      <c r="TA1550" s="118"/>
      <c r="TB1550" s="118"/>
      <c r="TC1550" s="118"/>
      <c r="TD1550" s="118"/>
      <c r="TE1550" s="118"/>
      <c r="TF1550" s="118"/>
      <c r="TG1550" s="118"/>
      <c r="TH1550" s="118"/>
      <c r="TI1550" s="118"/>
      <c r="TJ1550" s="118"/>
      <c r="TK1550" s="118"/>
      <c r="TL1550" s="118"/>
      <c r="TM1550" s="118"/>
      <c r="TN1550" s="118"/>
      <c r="TO1550" s="118"/>
      <c r="TP1550" s="118"/>
      <c r="TQ1550" s="118"/>
      <c r="TR1550" s="118"/>
      <c r="TS1550" s="118"/>
      <c r="TT1550" s="118"/>
      <c r="TU1550" s="118"/>
      <c r="TV1550" s="118"/>
      <c r="TW1550" s="118"/>
      <c r="TX1550" s="118"/>
      <c r="TY1550" s="118"/>
      <c r="TZ1550" s="118"/>
      <c r="UA1550" s="118"/>
      <c r="UB1550" s="118"/>
      <c r="UC1550" s="118"/>
      <c r="UD1550" s="118"/>
    </row>
    <row r="1551" spans="1:550" s="873" customFormat="1" ht="42" customHeight="1">
      <c r="A1551" s="913">
        <v>19</v>
      </c>
      <c r="B1551" s="961"/>
      <c r="C1551" s="962" t="s">
        <v>1365</v>
      </c>
      <c r="D1551" s="1123"/>
      <c r="E1551" s="1123"/>
      <c r="F1551" s="1124"/>
      <c r="G1551" s="961"/>
      <c r="H1551" s="963"/>
      <c r="I1551" s="964"/>
      <c r="J1551" s="1005"/>
      <c r="K1551" s="965"/>
      <c r="L1551" s="961">
        <f>SUM(L1555:L1563)/2</f>
        <v>63981000</v>
      </c>
      <c r="M1551" s="961"/>
      <c r="N1551" s="961"/>
      <c r="O1551" s="961"/>
      <c r="P1551" s="961">
        <f>SUM(P1552:P1563)</f>
        <v>63981000</v>
      </c>
      <c r="Q1551" s="1179"/>
      <c r="R1551" s="1241"/>
      <c r="S1551" s="820">
        <v>2</v>
      </c>
      <c r="T1551" s="820" t="s">
        <v>1387</v>
      </c>
      <c r="U1551" s="923">
        <f>H1555</f>
        <v>307</v>
      </c>
      <c r="V1551" s="817">
        <f>I1555</f>
        <v>307</v>
      </c>
      <c r="W1551" s="820">
        <f>SUM(W1553:W1557)</f>
        <v>0</v>
      </c>
      <c r="X1551" s="820">
        <f t="shared" ref="X1551:AC1551" si="236">SUM(X1553:X1557)</f>
        <v>0</v>
      </c>
      <c r="Y1551" s="820">
        <f t="shared" si="236"/>
        <v>70.8</v>
      </c>
      <c r="Z1551" s="820">
        <f t="shared" si="236"/>
        <v>0</v>
      </c>
      <c r="AA1551" s="820">
        <f t="shared" si="236"/>
        <v>236.2</v>
      </c>
      <c r="AB1551" s="820">
        <f t="shared" si="236"/>
        <v>0</v>
      </c>
      <c r="AC1551" s="820">
        <f t="shared" si="236"/>
        <v>0</v>
      </c>
      <c r="AD1551" s="817">
        <f>L1555</f>
        <v>17476400</v>
      </c>
      <c r="AE1551" s="818">
        <f>L1558</f>
        <v>0</v>
      </c>
      <c r="AF1551" s="819">
        <f>L1559</f>
        <v>3779200</v>
      </c>
      <c r="AG1551" s="819"/>
      <c r="AH1551" s="819">
        <f>L1561</f>
        <v>42725400</v>
      </c>
      <c r="AI1551" s="820"/>
      <c r="AJ1551" s="820"/>
      <c r="AK1551" s="817">
        <f>SUM(AD1551:AJ1551)</f>
        <v>63981000</v>
      </c>
      <c r="AL1551" s="872"/>
      <c r="AM1551" s="872"/>
      <c r="AN1551" s="872"/>
      <c r="AO1551" s="872"/>
      <c r="AP1551" s="872"/>
      <c r="AQ1551" s="872"/>
      <c r="AR1551" s="872"/>
      <c r="AS1551" s="872"/>
      <c r="AT1551" s="872"/>
      <c r="AU1551" s="872"/>
      <c r="AV1551" s="872"/>
      <c r="AW1551" s="872"/>
      <c r="AX1551" s="872"/>
      <c r="AY1551" s="872"/>
      <c r="AZ1551" s="872"/>
      <c r="BA1551" s="872"/>
      <c r="BB1551" s="872"/>
      <c r="BC1551" s="872"/>
      <c r="BD1551" s="872"/>
      <c r="BE1551" s="872"/>
      <c r="BF1551" s="872"/>
      <c r="BG1551" s="872"/>
      <c r="BH1551" s="872"/>
      <c r="BI1551" s="872"/>
      <c r="BJ1551" s="872"/>
      <c r="BK1551" s="872"/>
      <c r="BL1551" s="872"/>
      <c r="BM1551" s="872"/>
      <c r="BN1551" s="872"/>
      <c r="BO1551" s="872"/>
      <c r="BP1551" s="872"/>
      <c r="BQ1551" s="872"/>
      <c r="BR1551" s="872"/>
      <c r="BS1551" s="872"/>
      <c r="BT1551" s="872"/>
      <c r="BU1551" s="872"/>
      <c r="BV1551" s="872"/>
      <c r="BW1551" s="872"/>
      <c r="BX1551" s="872"/>
      <c r="BY1551" s="872"/>
      <c r="BZ1551" s="872"/>
      <c r="CA1551" s="872"/>
      <c r="CB1551" s="872"/>
      <c r="CC1551" s="872"/>
      <c r="CD1551" s="872"/>
      <c r="CE1551" s="872"/>
      <c r="CF1551" s="872"/>
      <c r="CG1551" s="872"/>
      <c r="CH1551" s="872"/>
      <c r="CI1551" s="872"/>
      <c r="CJ1551" s="872"/>
      <c r="CK1551" s="872"/>
      <c r="CL1551" s="872"/>
      <c r="CM1551" s="872"/>
      <c r="CN1551" s="872"/>
      <c r="CO1551" s="872"/>
      <c r="CP1551" s="872"/>
      <c r="CQ1551" s="872"/>
      <c r="CR1551" s="872"/>
      <c r="CS1551" s="872"/>
      <c r="CT1551" s="872"/>
      <c r="CU1551" s="872"/>
      <c r="CV1551" s="872"/>
      <c r="CW1551" s="872"/>
      <c r="CX1551" s="872"/>
      <c r="CY1551" s="872"/>
      <c r="CZ1551" s="872"/>
      <c r="DA1551" s="872"/>
      <c r="DB1551" s="872"/>
      <c r="DC1551" s="872"/>
      <c r="DD1551" s="872"/>
      <c r="DE1551" s="872"/>
      <c r="DF1551" s="872"/>
      <c r="DG1551" s="872"/>
      <c r="DH1551" s="872"/>
      <c r="DI1551" s="872"/>
      <c r="DJ1551" s="872"/>
      <c r="DK1551" s="872"/>
      <c r="DL1551" s="872"/>
      <c r="DM1551" s="872"/>
      <c r="DN1551" s="872"/>
      <c r="DO1551" s="872"/>
      <c r="DP1551" s="872"/>
      <c r="DQ1551" s="872"/>
      <c r="DR1551" s="872"/>
      <c r="DS1551" s="872"/>
      <c r="DT1551" s="872"/>
      <c r="DU1551" s="872"/>
      <c r="DV1551" s="872"/>
      <c r="DW1551" s="872"/>
      <c r="DX1551" s="872"/>
      <c r="DY1551" s="872"/>
      <c r="DZ1551" s="872"/>
      <c r="EA1551" s="872"/>
      <c r="EB1551" s="872"/>
      <c r="EC1551" s="872"/>
      <c r="ED1551" s="872"/>
      <c r="EE1551" s="872"/>
      <c r="EF1551" s="872"/>
      <c r="EG1551" s="872"/>
      <c r="EH1551" s="872"/>
      <c r="EI1551" s="872"/>
      <c r="EJ1551" s="872"/>
      <c r="EK1551" s="872"/>
      <c r="EL1551" s="872"/>
      <c r="EM1551" s="872"/>
      <c r="EN1551" s="872"/>
      <c r="EO1551" s="872"/>
      <c r="EP1551" s="872"/>
      <c r="EQ1551" s="872"/>
      <c r="ER1551" s="872"/>
      <c r="ES1551" s="872"/>
      <c r="ET1551" s="872"/>
      <c r="EU1551" s="872"/>
      <c r="EV1551" s="872"/>
      <c r="EW1551" s="872"/>
      <c r="EX1551" s="872"/>
      <c r="EY1551" s="872"/>
      <c r="EZ1551" s="872"/>
      <c r="FA1551" s="872"/>
      <c r="FB1551" s="872"/>
      <c r="FC1551" s="872"/>
      <c r="FD1551" s="872"/>
      <c r="FE1551" s="872"/>
      <c r="FF1551" s="872"/>
      <c r="FG1551" s="872"/>
      <c r="FH1551" s="872"/>
      <c r="FI1551" s="872"/>
      <c r="FJ1551" s="872"/>
      <c r="FK1551" s="872"/>
      <c r="FL1551" s="872"/>
      <c r="FM1551" s="872"/>
      <c r="FN1551" s="872"/>
      <c r="FO1551" s="872"/>
      <c r="FP1551" s="872"/>
      <c r="FQ1551" s="872"/>
      <c r="FR1551" s="872"/>
      <c r="FS1551" s="872"/>
      <c r="FT1551" s="872"/>
      <c r="FU1551" s="872"/>
      <c r="FV1551" s="872"/>
      <c r="FW1551" s="872"/>
      <c r="FX1551" s="872"/>
      <c r="FY1551" s="872"/>
      <c r="FZ1551" s="872"/>
      <c r="GA1551" s="872"/>
      <c r="GB1551" s="872"/>
      <c r="GC1551" s="872"/>
      <c r="GD1551" s="872"/>
      <c r="GE1551" s="872"/>
      <c r="GF1551" s="872"/>
      <c r="GG1551" s="872"/>
      <c r="GH1551" s="872"/>
      <c r="GI1551" s="872"/>
      <c r="GJ1551" s="872"/>
      <c r="GK1551" s="872"/>
      <c r="GL1551" s="872"/>
      <c r="GM1551" s="872"/>
      <c r="GN1551" s="872"/>
      <c r="GO1551" s="872"/>
      <c r="GP1551" s="872"/>
      <c r="GQ1551" s="872"/>
      <c r="GR1551" s="872"/>
      <c r="GS1551" s="872"/>
      <c r="GT1551" s="872"/>
      <c r="GU1551" s="872"/>
      <c r="GV1551" s="872"/>
      <c r="GW1551" s="872"/>
      <c r="GX1551" s="872"/>
      <c r="GY1551" s="872"/>
      <c r="GZ1551" s="872"/>
      <c r="HA1551" s="872"/>
      <c r="HB1551" s="872"/>
      <c r="HC1551" s="872"/>
      <c r="HD1551" s="872"/>
      <c r="HE1551" s="872"/>
      <c r="HF1551" s="872"/>
      <c r="HG1551" s="872"/>
      <c r="HH1551" s="872"/>
      <c r="HI1551" s="872"/>
      <c r="HJ1551" s="872"/>
      <c r="HK1551" s="872"/>
      <c r="HL1551" s="872"/>
      <c r="HM1551" s="872"/>
      <c r="HN1551" s="872"/>
      <c r="HO1551" s="872"/>
      <c r="HP1551" s="872"/>
      <c r="HQ1551" s="872"/>
      <c r="HR1551" s="872"/>
      <c r="HS1551" s="872"/>
      <c r="HT1551" s="872"/>
      <c r="HU1551" s="872"/>
      <c r="HV1551" s="872"/>
      <c r="HW1551" s="872"/>
      <c r="HX1551" s="872"/>
      <c r="HY1551" s="872"/>
      <c r="HZ1551" s="872"/>
      <c r="IA1551" s="872"/>
      <c r="IB1551" s="872"/>
      <c r="IC1551" s="872"/>
      <c r="ID1551" s="872"/>
      <c r="IE1551" s="872"/>
      <c r="IF1551" s="872"/>
      <c r="IG1551" s="872"/>
      <c r="IH1551" s="872"/>
      <c r="II1551" s="872"/>
      <c r="IJ1551" s="872"/>
      <c r="IK1551" s="872"/>
      <c r="IL1551" s="872"/>
      <c r="IM1551" s="872"/>
      <c r="IN1551" s="872"/>
      <c r="IO1551" s="872"/>
      <c r="IP1551" s="872"/>
      <c r="IQ1551" s="872"/>
      <c r="IR1551" s="872"/>
      <c r="IS1551" s="872"/>
      <c r="IT1551" s="872"/>
      <c r="IU1551" s="872"/>
      <c r="IV1551" s="872"/>
      <c r="IW1551" s="872"/>
      <c r="IX1551" s="872"/>
      <c r="IY1551" s="872"/>
      <c r="IZ1551" s="872"/>
      <c r="JA1551" s="872"/>
      <c r="JB1551" s="872"/>
      <c r="JC1551" s="872"/>
      <c r="JD1551" s="872"/>
      <c r="JE1551" s="872"/>
      <c r="JF1551" s="872"/>
      <c r="JG1551" s="872"/>
      <c r="JH1551" s="872"/>
      <c r="JI1551" s="872"/>
      <c r="JJ1551" s="872"/>
      <c r="JK1551" s="872"/>
      <c r="JL1551" s="872"/>
      <c r="JM1551" s="872"/>
      <c r="JN1551" s="872"/>
      <c r="JO1551" s="872"/>
      <c r="JP1551" s="872"/>
      <c r="JQ1551" s="872"/>
      <c r="JR1551" s="872"/>
      <c r="JS1551" s="872"/>
      <c r="JT1551" s="872"/>
      <c r="JU1551" s="872"/>
      <c r="JV1551" s="872"/>
      <c r="JW1551" s="872"/>
      <c r="JX1551" s="872"/>
      <c r="JY1551" s="872"/>
      <c r="JZ1551" s="872"/>
      <c r="KA1551" s="872"/>
      <c r="KB1551" s="872"/>
      <c r="KC1551" s="872"/>
      <c r="KD1551" s="872"/>
      <c r="KE1551" s="872"/>
      <c r="KF1551" s="872"/>
      <c r="KG1551" s="872"/>
      <c r="KH1551" s="872"/>
      <c r="KI1551" s="872"/>
      <c r="KJ1551" s="872"/>
      <c r="KK1551" s="872"/>
      <c r="KL1551" s="872"/>
      <c r="KM1551" s="872"/>
      <c r="KN1551" s="872"/>
      <c r="KO1551" s="872"/>
      <c r="KP1551" s="872"/>
      <c r="KQ1551" s="872"/>
      <c r="KR1551" s="872"/>
      <c r="KS1551" s="872"/>
      <c r="KT1551" s="872"/>
      <c r="KU1551" s="872"/>
      <c r="KV1551" s="872"/>
      <c r="KW1551" s="872"/>
      <c r="KX1551" s="872"/>
      <c r="KY1551" s="872"/>
      <c r="KZ1551" s="872"/>
      <c r="LA1551" s="872"/>
      <c r="LB1551" s="872"/>
      <c r="LC1551" s="872"/>
      <c r="LD1551" s="872"/>
      <c r="LE1551" s="872"/>
      <c r="LF1551" s="872"/>
      <c r="LG1551" s="872"/>
      <c r="LH1551" s="872"/>
      <c r="LI1551" s="872"/>
      <c r="LJ1551" s="872"/>
      <c r="LK1551" s="872"/>
      <c r="LL1551" s="872"/>
      <c r="LM1551" s="872"/>
      <c r="LN1551" s="872"/>
      <c r="LO1551" s="872"/>
      <c r="LP1551" s="872"/>
      <c r="LQ1551" s="872"/>
      <c r="LR1551" s="872"/>
      <c r="LS1551" s="872"/>
      <c r="LT1551" s="872"/>
      <c r="LU1551" s="872"/>
      <c r="LV1551" s="872"/>
      <c r="LW1551" s="872"/>
      <c r="LX1551" s="872"/>
      <c r="LY1551" s="872"/>
      <c r="LZ1551" s="872"/>
      <c r="MA1551" s="872"/>
      <c r="MB1551" s="872"/>
      <c r="MC1551" s="872"/>
      <c r="MD1551" s="872"/>
      <c r="ME1551" s="872"/>
      <c r="MF1551" s="872"/>
      <c r="MG1551" s="872"/>
      <c r="MH1551" s="872"/>
      <c r="MI1551" s="872"/>
      <c r="MJ1551" s="872"/>
      <c r="MK1551" s="872"/>
      <c r="ML1551" s="872"/>
      <c r="MM1551" s="872"/>
      <c r="MN1551" s="872"/>
      <c r="MO1551" s="872"/>
      <c r="MP1551" s="872"/>
      <c r="MQ1551" s="872"/>
      <c r="MR1551" s="872"/>
      <c r="MS1551" s="872"/>
      <c r="MT1551" s="872"/>
      <c r="MU1551" s="872"/>
      <c r="MV1551" s="872"/>
      <c r="MW1551" s="872"/>
      <c r="MX1551" s="872"/>
      <c r="MY1551" s="872"/>
      <c r="MZ1551" s="872"/>
      <c r="NA1551" s="872"/>
      <c r="NB1551" s="872"/>
      <c r="NC1551" s="872"/>
      <c r="ND1551" s="872"/>
      <c r="NE1551" s="872"/>
      <c r="NF1551" s="872"/>
      <c r="NG1551" s="872"/>
      <c r="NH1551" s="872"/>
      <c r="NI1551" s="872"/>
      <c r="NJ1551" s="872"/>
      <c r="NK1551" s="872"/>
      <c r="NL1551" s="872"/>
      <c r="NM1551" s="872"/>
      <c r="NN1551" s="872"/>
      <c r="NO1551" s="872"/>
      <c r="NP1551" s="872"/>
      <c r="NQ1551" s="872"/>
      <c r="NR1551" s="872"/>
      <c r="NS1551" s="872"/>
      <c r="NT1551" s="872"/>
      <c r="NU1551" s="872"/>
      <c r="NV1551" s="872"/>
      <c r="NW1551" s="872"/>
      <c r="NX1551" s="872"/>
      <c r="NY1551" s="872"/>
      <c r="NZ1551" s="872"/>
      <c r="OA1551" s="872"/>
      <c r="OB1551" s="872"/>
      <c r="OC1551" s="872"/>
      <c r="OD1551" s="872"/>
      <c r="OE1551" s="872"/>
      <c r="OF1551" s="872"/>
      <c r="OG1551" s="872"/>
      <c r="OH1551" s="872"/>
      <c r="OI1551" s="872"/>
      <c r="OJ1551" s="872"/>
      <c r="OK1551" s="872"/>
      <c r="OL1551" s="872"/>
      <c r="OM1551" s="872"/>
      <c r="ON1551" s="872"/>
      <c r="OO1551" s="872"/>
      <c r="OP1551" s="872"/>
      <c r="OQ1551" s="872"/>
      <c r="OR1551" s="872"/>
      <c r="OS1551" s="872"/>
      <c r="OT1551" s="872"/>
      <c r="OU1551" s="872"/>
      <c r="OV1551" s="872"/>
      <c r="OW1551" s="872"/>
      <c r="OX1551" s="872"/>
      <c r="OY1551" s="872"/>
      <c r="OZ1551" s="872"/>
      <c r="PA1551" s="872"/>
      <c r="PB1551" s="872"/>
      <c r="PC1551" s="872"/>
      <c r="PD1551" s="872"/>
      <c r="PE1551" s="872"/>
      <c r="PF1551" s="872"/>
      <c r="PG1551" s="872"/>
      <c r="PH1551" s="872"/>
      <c r="PI1551" s="872"/>
      <c r="PJ1551" s="872"/>
      <c r="PK1551" s="872"/>
      <c r="PL1551" s="872"/>
      <c r="PM1551" s="872"/>
      <c r="PN1551" s="872"/>
      <c r="PO1551" s="872"/>
      <c r="PP1551" s="872"/>
      <c r="PQ1551" s="872"/>
      <c r="PR1551" s="872"/>
      <c r="PS1551" s="872"/>
      <c r="PT1551" s="872"/>
      <c r="PU1551" s="872"/>
      <c r="PV1551" s="872"/>
      <c r="PW1551" s="872"/>
      <c r="PX1551" s="872"/>
      <c r="PY1551" s="872"/>
      <c r="PZ1551" s="872"/>
      <c r="QA1551" s="872"/>
      <c r="QB1551" s="872"/>
      <c r="QC1551" s="872"/>
      <c r="QD1551" s="872"/>
      <c r="QE1551" s="872"/>
      <c r="QF1551" s="872"/>
      <c r="QG1551" s="872"/>
      <c r="QH1551" s="872"/>
      <c r="QI1551" s="872"/>
      <c r="QJ1551" s="872"/>
      <c r="QK1551" s="872"/>
      <c r="QL1551" s="872"/>
      <c r="QM1551" s="872"/>
      <c r="QN1551" s="872"/>
      <c r="QO1551" s="872"/>
      <c r="QP1551" s="872"/>
      <c r="QQ1551" s="872"/>
      <c r="QR1551" s="872"/>
      <c r="QS1551" s="872"/>
      <c r="QT1551" s="872"/>
      <c r="QU1551" s="872"/>
      <c r="QV1551" s="872"/>
      <c r="QW1551" s="872"/>
      <c r="QX1551" s="872"/>
      <c r="QY1551" s="872"/>
      <c r="QZ1551" s="872"/>
      <c r="RA1551" s="872"/>
      <c r="RB1551" s="872"/>
      <c r="RC1551" s="872"/>
      <c r="RD1551" s="872"/>
      <c r="RE1551" s="872"/>
      <c r="RF1551" s="872"/>
      <c r="RG1551" s="872"/>
      <c r="RH1551" s="872"/>
      <c r="RI1551" s="872"/>
      <c r="RJ1551" s="872"/>
      <c r="RK1551" s="872"/>
      <c r="RL1551" s="872"/>
      <c r="RM1551" s="872"/>
      <c r="RN1551" s="872"/>
      <c r="RO1551" s="872"/>
      <c r="RP1551" s="872"/>
      <c r="RQ1551" s="872"/>
      <c r="RR1551" s="872"/>
      <c r="RS1551" s="872"/>
      <c r="RT1551" s="872"/>
      <c r="RU1551" s="872"/>
      <c r="RV1551" s="872"/>
      <c r="RW1551" s="872"/>
      <c r="RX1551" s="872"/>
      <c r="RY1551" s="872"/>
      <c r="RZ1551" s="872"/>
      <c r="SA1551" s="872"/>
      <c r="SB1551" s="872"/>
      <c r="SC1551" s="872"/>
      <c r="SD1551" s="872"/>
      <c r="SE1551" s="872"/>
      <c r="SF1551" s="872"/>
      <c r="SG1551" s="872"/>
      <c r="SH1551" s="872"/>
      <c r="SI1551" s="872"/>
      <c r="SJ1551" s="872"/>
      <c r="SK1551" s="872"/>
      <c r="SL1551" s="872"/>
      <c r="SM1551" s="872"/>
      <c r="SN1551" s="872"/>
      <c r="SO1551" s="872"/>
      <c r="SP1551" s="872"/>
      <c r="SQ1551" s="872"/>
      <c r="SR1551" s="872"/>
      <c r="SS1551" s="872"/>
      <c r="ST1551" s="872"/>
      <c r="SU1551" s="872"/>
      <c r="SV1551" s="872"/>
      <c r="SW1551" s="872"/>
      <c r="SX1551" s="872"/>
      <c r="SY1551" s="872"/>
      <c r="SZ1551" s="872"/>
      <c r="TA1551" s="872"/>
      <c r="TB1551" s="872"/>
      <c r="TC1551" s="872"/>
      <c r="TD1551" s="872"/>
      <c r="TE1551" s="872"/>
      <c r="TF1551" s="872"/>
      <c r="TG1551" s="872"/>
      <c r="TH1551" s="872"/>
      <c r="TI1551" s="872"/>
      <c r="TJ1551" s="872"/>
      <c r="TK1551" s="872"/>
      <c r="TL1551" s="872"/>
      <c r="TM1551" s="872"/>
      <c r="TN1551" s="872"/>
      <c r="TO1551" s="872"/>
      <c r="TP1551" s="872"/>
      <c r="TQ1551" s="872"/>
      <c r="TR1551" s="872"/>
      <c r="TS1551" s="872"/>
      <c r="TT1551" s="872"/>
      <c r="TU1551" s="872"/>
      <c r="TV1551" s="872"/>
      <c r="TW1551" s="872"/>
      <c r="TX1551" s="872"/>
      <c r="TY1551" s="872"/>
      <c r="TZ1551" s="872"/>
      <c r="UA1551" s="872"/>
      <c r="UB1551" s="872"/>
      <c r="UC1551" s="872"/>
      <c r="UD1551" s="872"/>
    </row>
    <row r="1552" spans="1:550" s="874" customFormat="1" ht="21.75" customHeight="1">
      <c r="A1552" s="924" t="s">
        <v>15</v>
      </c>
      <c r="B1552" s="949"/>
      <c r="C1552" s="1595" t="s">
        <v>1366</v>
      </c>
      <c r="D1552" s="1596"/>
      <c r="E1552" s="1596"/>
      <c r="F1552" s="1596"/>
      <c r="G1552" s="949"/>
      <c r="H1552" s="954"/>
      <c r="I1552" s="966"/>
      <c r="J1552" s="1003"/>
      <c r="K1552" s="952"/>
      <c r="L1552" s="949"/>
      <c r="M1552" s="949"/>
      <c r="N1552" s="949"/>
      <c r="O1552" s="949"/>
      <c r="P1552" s="949"/>
      <c r="Q1552" s="1178"/>
      <c r="R1552" s="1226"/>
      <c r="S1552" s="486"/>
      <c r="T1552" s="486"/>
      <c r="U1552" s="486"/>
      <c r="V1552" s="486"/>
      <c r="W1552" s="486"/>
      <c r="X1552" s="486"/>
      <c r="Y1552" s="486"/>
      <c r="Z1552" s="486"/>
      <c r="AA1552" s="486"/>
      <c r="AB1552" s="486"/>
      <c r="AC1552" s="486"/>
      <c r="AD1552" s="486"/>
      <c r="AE1552" s="486"/>
      <c r="AF1552" s="486"/>
      <c r="AG1552" s="486"/>
      <c r="AH1552" s="486"/>
      <c r="AI1552" s="486"/>
      <c r="AJ1552" s="486"/>
      <c r="AK1552" s="486"/>
      <c r="AL1552" s="206"/>
      <c r="AM1552" s="206"/>
      <c r="AN1552" s="206"/>
      <c r="AO1552" s="206"/>
      <c r="AP1552" s="206"/>
      <c r="AQ1552" s="206"/>
      <c r="AR1552" s="206"/>
      <c r="AS1552" s="206"/>
      <c r="AT1552" s="206"/>
      <c r="AU1552" s="206"/>
      <c r="AV1552" s="206"/>
      <c r="AW1552" s="206"/>
      <c r="AX1552" s="206"/>
      <c r="AY1552" s="206"/>
      <c r="AZ1552" s="206"/>
      <c r="BA1552" s="206"/>
      <c r="BB1552" s="206"/>
      <c r="BC1552" s="206"/>
      <c r="BD1552" s="206"/>
      <c r="BE1552" s="206"/>
      <c r="BF1552" s="206"/>
      <c r="BG1552" s="206"/>
      <c r="BH1552" s="206"/>
      <c r="BI1552" s="206"/>
      <c r="BJ1552" s="206"/>
      <c r="BK1552" s="206"/>
      <c r="BL1552" s="206"/>
      <c r="BM1552" s="206"/>
      <c r="BN1552" s="206"/>
      <c r="BO1552" s="206"/>
      <c r="BP1552" s="206"/>
      <c r="BQ1552" s="206"/>
      <c r="BR1552" s="206"/>
      <c r="BS1552" s="206"/>
      <c r="BT1552" s="206"/>
      <c r="BU1552" s="206"/>
      <c r="BV1552" s="206"/>
      <c r="BW1552" s="206"/>
      <c r="BX1552" s="206"/>
      <c r="BY1552" s="206"/>
      <c r="BZ1552" s="206"/>
      <c r="CA1552" s="206"/>
      <c r="CB1552" s="206"/>
      <c r="CC1552" s="206"/>
      <c r="CD1552" s="206"/>
      <c r="CE1552" s="206"/>
      <c r="CF1552" s="206"/>
      <c r="CG1552" s="206"/>
      <c r="CH1552" s="206"/>
      <c r="CI1552" s="206"/>
      <c r="CJ1552" s="206"/>
      <c r="CK1552" s="206"/>
      <c r="CL1552" s="206"/>
      <c r="CM1552" s="206"/>
      <c r="CN1552" s="206"/>
      <c r="CO1552" s="206"/>
      <c r="CP1552" s="206"/>
      <c r="CQ1552" s="206"/>
      <c r="CR1552" s="206"/>
      <c r="CS1552" s="206"/>
      <c r="CT1552" s="206"/>
      <c r="CU1552" s="206"/>
      <c r="CV1552" s="206"/>
      <c r="CW1552" s="206"/>
      <c r="CX1552" s="206"/>
      <c r="CY1552" s="206"/>
      <c r="CZ1552" s="206"/>
      <c r="DA1552" s="206"/>
      <c r="DB1552" s="206"/>
      <c r="DC1552" s="206"/>
      <c r="DD1552" s="206"/>
      <c r="DE1552" s="206"/>
      <c r="DF1552" s="206"/>
      <c r="DG1552" s="206"/>
      <c r="DH1552" s="206"/>
      <c r="DI1552" s="206"/>
      <c r="DJ1552" s="206"/>
      <c r="DK1552" s="206"/>
      <c r="DL1552" s="206"/>
      <c r="DM1552" s="206"/>
      <c r="DN1552" s="206"/>
      <c r="DO1552" s="206"/>
      <c r="DP1552" s="206"/>
      <c r="DQ1552" s="206"/>
      <c r="DR1552" s="206"/>
      <c r="DS1552" s="206"/>
      <c r="DT1552" s="206"/>
      <c r="DU1552" s="206"/>
      <c r="DV1552" s="206"/>
      <c r="DW1552" s="206"/>
      <c r="DX1552" s="206"/>
      <c r="DY1552" s="206"/>
      <c r="DZ1552" s="206"/>
      <c r="EA1552" s="206"/>
      <c r="EB1552" s="206"/>
      <c r="EC1552" s="206"/>
      <c r="ED1552" s="206"/>
      <c r="EE1552" s="206"/>
      <c r="EF1552" s="206"/>
      <c r="EG1552" s="206"/>
      <c r="EH1552" s="206"/>
      <c r="EI1552" s="206"/>
      <c r="EJ1552" s="206"/>
      <c r="EK1552" s="206"/>
      <c r="EL1552" s="206"/>
      <c r="EM1552" s="206"/>
      <c r="EN1552" s="206"/>
      <c r="EO1552" s="206"/>
      <c r="EP1552" s="206"/>
      <c r="EQ1552" s="206"/>
      <c r="ER1552" s="206"/>
      <c r="ES1552" s="206"/>
      <c r="ET1552" s="206"/>
      <c r="EU1552" s="206"/>
      <c r="EV1552" s="206"/>
      <c r="EW1552" s="206"/>
      <c r="EX1552" s="206"/>
      <c r="EY1552" s="206"/>
      <c r="EZ1552" s="206"/>
      <c r="FA1552" s="206"/>
      <c r="FB1552" s="206"/>
      <c r="FC1552" s="206"/>
      <c r="FD1552" s="206"/>
      <c r="FE1552" s="206"/>
      <c r="FF1552" s="206"/>
      <c r="FG1552" s="206"/>
      <c r="FH1552" s="206"/>
      <c r="FI1552" s="206"/>
      <c r="FJ1552" s="206"/>
      <c r="FK1552" s="206"/>
      <c r="FL1552" s="206"/>
      <c r="FM1552" s="206"/>
      <c r="FN1552" s="206"/>
      <c r="FO1552" s="206"/>
      <c r="FP1552" s="206"/>
      <c r="FQ1552" s="206"/>
      <c r="FR1552" s="206"/>
      <c r="FS1552" s="206"/>
      <c r="FT1552" s="206"/>
      <c r="FU1552" s="206"/>
      <c r="FV1552" s="206"/>
      <c r="FW1552" s="206"/>
      <c r="FX1552" s="206"/>
      <c r="FY1552" s="206"/>
      <c r="FZ1552" s="206"/>
      <c r="GA1552" s="206"/>
      <c r="GB1552" s="206"/>
      <c r="GC1552" s="206"/>
      <c r="GD1552" s="206"/>
      <c r="GE1552" s="206"/>
      <c r="GF1552" s="206"/>
      <c r="GG1552" s="206"/>
      <c r="GH1552" s="206"/>
      <c r="GI1552" s="206"/>
      <c r="GJ1552" s="206"/>
      <c r="GK1552" s="206"/>
      <c r="GL1552" s="206"/>
      <c r="GM1552" s="206"/>
      <c r="GN1552" s="206"/>
      <c r="GO1552" s="206"/>
      <c r="GP1552" s="206"/>
      <c r="GQ1552" s="206"/>
      <c r="GR1552" s="206"/>
      <c r="GS1552" s="206"/>
      <c r="GT1552" s="206"/>
      <c r="GU1552" s="206"/>
      <c r="GV1552" s="206"/>
      <c r="GW1552" s="206"/>
      <c r="GX1552" s="206"/>
      <c r="GY1552" s="206"/>
      <c r="GZ1552" s="206"/>
      <c r="HA1552" s="206"/>
      <c r="HB1552" s="206"/>
      <c r="HC1552" s="206"/>
      <c r="HD1552" s="206"/>
      <c r="HE1552" s="206"/>
      <c r="HF1552" s="206"/>
      <c r="HG1552" s="206"/>
      <c r="HH1552" s="206"/>
      <c r="HI1552" s="206"/>
      <c r="HJ1552" s="206"/>
      <c r="HK1552" s="206"/>
      <c r="HL1552" s="206"/>
      <c r="HM1552" s="206"/>
      <c r="HN1552" s="206"/>
      <c r="HO1552" s="206"/>
      <c r="HP1552" s="206"/>
      <c r="HQ1552" s="206"/>
      <c r="HR1552" s="206"/>
      <c r="HS1552" s="206"/>
      <c r="HT1552" s="206"/>
      <c r="HU1552" s="206"/>
      <c r="HV1552" s="206"/>
      <c r="HW1552" s="206"/>
      <c r="HX1552" s="206"/>
      <c r="HY1552" s="206"/>
      <c r="HZ1552" s="206"/>
      <c r="IA1552" s="206"/>
      <c r="IB1552" s="206"/>
      <c r="IC1552" s="206"/>
      <c r="ID1552" s="206"/>
      <c r="IE1552" s="206"/>
      <c r="IF1552" s="206"/>
      <c r="IG1552" s="206"/>
      <c r="IH1552" s="206"/>
      <c r="II1552" s="206"/>
      <c r="IJ1552" s="206"/>
      <c r="IK1552" s="206"/>
      <c r="IL1552" s="206"/>
      <c r="IM1552" s="206"/>
      <c r="IN1552" s="206"/>
      <c r="IO1552" s="206"/>
      <c r="IP1552" s="206"/>
      <c r="IQ1552" s="206"/>
      <c r="IR1552" s="206"/>
      <c r="IS1552" s="206"/>
      <c r="IT1552" s="206"/>
      <c r="IU1552" s="206"/>
      <c r="IV1552" s="206"/>
      <c r="IW1552" s="206"/>
      <c r="IX1552" s="206"/>
      <c r="IY1552" s="206"/>
      <c r="IZ1552" s="206"/>
      <c r="JA1552" s="206"/>
      <c r="JB1552" s="206"/>
      <c r="JC1552" s="206"/>
      <c r="JD1552" s="206"/>
      <c r="JE1552" s="206"/>
      <c r="JF1552" s="206"/>
      <c r="JG1552" s="206"/>
      <c r="JH1552" s="206"/>
      <c r="JI1552" s="206"/>
      <c r="JJ1552" s="206"/>
      <c r="JK1552" s="206"/>
      <c r="JL1552" s="206"/>
      <c r="JM1552" s="206"/>
      <c r="JN1552" s="206"/>
      <c r="JO1552" s="206"/>
      <c r="JP1552" s="206"/>
      <c r="JQ1552" s="206"/>
      <c r="JR1552" s="206"/>
      <c r="JS1552" s="206"/>
      <c r="JT1552" s="206"/>
      <c r="JU1552" s="206"/>
      <c r="JV1552" s="206"/>
      <c r="JW1552" s="206"/>
      <c r="JX1552" s="206"/>
      <c r="JY1552" s="206"/>
      <c r="JZ1552" s="206"/>
      <c r="KA1552" s="206"/>
      <c r="KB1552" s="206"/>
      <c r="KC1552" s="206"/>
      <c r="KD1552" s="206"/>
      <c r="KE1552" s="206"/>
      <c r="KF1552" s="206"/>
      <c r="KG1552" s="206"/>
      <c r="KH1552" s="206"/>
      <c r="KI1552" s="206"/>
      <c r="KJ1552" s="206"/>
      <c r="KK1552" s="206"/>
      <c r="KL1552" s="206"/>
      <c r="KM1552" s="206"/>
      <c r="KN1552" s="206"/>
      <c r="KO1552" s="206"/>
      <c r="KP1552" s="206"/>
      <c r="KQ1552" s="206"/>
      <c r="KR1552" s="206"/>
      <c r="KS1552" s="206"/>
      <c r="KT1552" s="206"/>
      <c r="KU1552" s="206"/>
      <c r="KV1552" s="206"/>
      <c r="KW1552" s="206"/>
      <c r="KX1552" s="206"/>
      <c r="KY1552" s="206"/>
      <c r="KZ1552" s="206"/>
      <c r="LA1552" s="206"/>
      <c r="LB1552" s="206"/>
      <c r="LC1552" s="206"/>
      <c r="LD1552" s="206"/>
      <c r="LE1552" s="206"/>
      <c r="LF1552" s="206"/>
      <c r="LG1552" s="206"/>
      <c r="LH1552" s="206"/>
      <c r="LI1552" s="206"/>
      <c r="LJ1552" s="206"/>
      <c r="LK1552" s="206"/>
      <c r="LL1552" s="206"/>
      <c r="LM1552" s="206"/>
      <c r="LN1552" s="206"/>
      <c r="LO1552" s="206"/>
      <c r="LP1552" s="206"/>
      <c r="LQ1552" s="206"/>
      <c r="LR1552" s="206"/>
      <c r="LS1552" s="206"/>
      <c r="LT1552" s="206"/>
      <c r="LU1552" s="206"/>
      <c r="LV1552" s="206"/>
      <c r="LW1552" s="206"/>
      <c r="LX1552" s="206"/>
      <c r="LY1552" s="206"/>
      <c r="LZ1552" s="206"/>
      <c r="MA1552" s="206"/>
      <c r="MB1552" s="206"/>
      <c r="MC1552" s="206"/>
      <c r="MD1552" s="206"/>
      <c r="ME1552" s="206"/>
      <c r="MF1552" s="206"/>
      <c r="MG1552" s="206"/>
      <c r="MH1552" s="206"/>
      <c r="MI1552" s="206"/>
      <c r="MJ1552" s="206"/>
      <c r="MK1552" s="206"/>
      <c r="ML1552" s="206"/>
      <c r="MM1552" s="206"/>
      <c r="MN1552" s="206"/>
      <c r="MO1552" s="206"/>
      <c r="MP1552" s="206"/>
      <c r="MQ1552" s="206"/>
      <c r="MR1552" s="206"/>
      <c r="MS1552" s="206"/>
      <c r="MT1552" s="206"/>
      <c r="MU1552" s="206"/>
      <c r="MV1552" s="206"/>
      <c r="MW1552" s="206"/>
      <c r="MX1552" s="206"/>
      <c r="MY1552" s="206"/>
      <c r="MZ1552" s="206"/>
      <c r="NA1552" s="206"/>
      <c r="NB1552" s="206"/>
      <c r="NC1552" s="206"/>
      <c r="ND1552" s="206"/>
      <c r="NE1552" s="206"/>
      <c r="NF1552" s="206"/>
      <c r="NG1552" s="206"/>
      <c r="NH1552" s="206"/>
      <c r="NI1552" s="206"/>
      <c r="NJ1552" s="206"/>
      <c r="NK1552" s="206"/>
      <c r="NL1552" s="206"/>
      <c r="NM1552" s="206"/>
      <c r="NN1552" s="206"/>
      <c r="NO1552" s="206"/>
      <c r="NP1552" s="206"/>
      <c r="NQ1552" s="206"/>
      <c r="NR1552" s="206"/>
      <c r="NS1552" s="206"/>
      <c r="NT1552" s="206"/>
      <c r="NU1552" s="206"/>
      <c r="NV1552" s="206"/>
      <c r="NW1552" s="206"/>
      <c r="NX1552" s="206"/>
      <c r="NY1552" s="206"/>
      <c r="NZ1552" s="206"/>
      <c r="OA1552" s="206"/>
      <c r="OB1552" s="206"/>
      <c r="OC1552" s="206"/>
      <c r="OD1552" s="206"/>
      <c r="OE1552" s="206"/>
      <c r="OF1552" s="206"/>
      <c r="OG1552" s="206"/>
      <c r="OH1552" s="206"/>
      <c r="OI1552" s="206"/>
      <c r="OJ1552" s="206"/>
      <c r="OK1552" s="206"/>
      <c r="OL1552" s="206"/>
      <c r="OM1552" s="206"/>
      <c r="ON1552" s="206"/>
      <c r="OO1552" s="206"/>
      <c r="OP1552" s="206"/>
      <c r="OQ1552" s="206"/>
      <c r="OR1552" s="206"/>
      <c r="OS1552" s="206"/>
      <c r="OT1552" s="206"/>
      <c r="OU1552" s="206"/>
      <c r="OV1552" s="206"/>
      <c r="OW1552" s="206"/>
      <c r="OX1552" s="206"/>
      <c r="OY1552" s="206"/>
      <c r="OZ1552" s="206"/>
      <c r="PA1552" s="206"/>
      <c r="PB1552" s="206"/>
      <c r="PC1552" s="206"/>
      <c r="PD1552" s="206"/>
      <c r="PE1552" s="206"/>
      <c r="PF1552" s="206"/>
      <c r="PG1552" s="206"/>
      <c r="PH1552" s="206"/>
      <c r="PI1552" s="206"/>
      <c r="PJ1552" s="206"/>
      <c r="PK1552" s="206"/>
      <c r="PL1552" s="206"/>
      <c r="PM1552" s="206"/>
      <c r="PN1552" s="206"/>
      <c r="PO1552" s="206"/>
      <c r="PP1552" s="206"/>
      <c r="PQ1552" s="206"/>
      <c r="PR1552" s="206"/>
      <c r="PS1552" s="206"/>
      <c r="PT1552" s="206"/>
      <c r="PU1552" s="206"/>
      <c r="PV1552" s="206"/>
      <c r="PW1552" s="206"/>
      <c r="PX1552" s="206"/>
      <c r="PY1552" s="206"/>
      <c r="PZ1552" s="206"/>
      <c r="QA1552" s="206"/>
      <c r="QB1552" s="206"/>
      <c r="QC1552" s="206"/>
      <c r="QD1552" s="206"/>
      <c r="QE1552" s="206"/>
      <c r="QF1552" s="206"/>
      <c r="QG1552" s="206"/>
      <c r="QH1552" s="206"/>
      <c r="QI1552" s="206"/>
      <c r="QJ1552" s="206"/>
      <c r="QK1552" s="206"/>
      <c r="QL1552" s="206"/>
      <c r="QM1552" s="206"/>
      <c r="QN1552" s="206"/>
      <c r="QO1552" s="206"/>
      <c r="QP1552" s="206"/>
      <c r="QQ1552" s="206"/>
      <c r="QR1552" s="206"/>
      <c r="QS1552" s="206"/>
      <c r="QT1552" s="206"/>
      <c r="QU1552" s="206"/>
      <c r="QV1552" s="206"/>
      <c r="QW1552" s="206"/>
      <c r="QX1552" s="206"/>
      <c r="QY1552" s="206"/>
      <c r="QZ1552" s="206"/>
      <c r="RA1552" s="206"/>
      <c r="RB1552" s="206"/>
      <c r="RC1552" s="206"/>
      <c r="RD1552" s="206"/>
      <c r="RE1552" s="206"/>
      <c r="RF1552" s="206"/>
      <c r="RG1552" s="206"/>
      <c r="RH1552" s="206"/>
      <c r="RI1552" s="206"/>
      <c r="RJ1552" s="206"/>
      <c r="RK1552" s="206"/>
      <c r="RL1552" s="206"/>
      <c r="RM1552" s="206"/>
      <c r="RN1552" s="206"/>
      <c r="RO1552" s="206"/>
      <c r="RP1552" s="206"/>
      <c r="RQ1552" s="206"/>
      <c r="RR1552" s="206"/>
      <c r="RS1552" s="206"/>
      <c r="RT1552" s="206"/>
      <c r="RU1552" s="206"/>
      <c r="RV1552" s="206"/>
      <c r="RW1552" s="206"/>
      <c r="RX1552" s="206"/>
      <c r="RY1552" s="206"/>
      <c r="RZ1552" s="206"/>
      <c r="SA1552" s="206"/>
      <c r="SB1552" s="206"/>
      <c r="SC1552" s="206"/>
      <c r="SD1552" s="206"/>
      <c r="SE1552" s="206"/>
      <c r="SF1552" s="206"/>
      <c r="SG1552" s="206"/>
      <c r="SH1552" s="206"/>
      <c r="SI1552" s="206"/>
      <c r="SJ1552" s="206"/>
      <c r="SK1552" s="206"/>
      <c r="SL1552" s="206"/>
      <c r="SM1552" s="206"/>
      <c r="SN1552" s="206"/>
      <c r="SO1552" s="206"/>
      <c r="SP1552" s="206"/>
      <c r="SQ1552" s="206"/>
      <c r="SR1552" s="206"/>
      <c r="SS1552" s="206"/>
      <c r="ST1552" s="206"/>
      <c r="SU1552" s="206"/>
      <c r="SV1552" s="206"/>
      <c r="SW1552" s="206"/>
      <c r="SX1552" s="206"/>
      <c r="SY1552" s="206"/>
      <c r="SZ1552" s="206"/>
      <c r="TA1552" s="206"/>
      <c r="TB1552" s="206"/>
      <c r="TC1552" s="206"/>
      <c r="TD1552" s="206"/>
      <c r="TE1552" s="206"/>
      <c r="TF1552" s="206"/>
      <c r="TG1552" s="206"/>
      <c r="TH1552" s="206"/>
      <c r="TI1552" s="206"/>
      <c r="TJ1552" s="206"/>
      <c r="TK1552" s="206"/>
      <c r="TL1552" s="206"/>
      <c r="TM1552" s="206"/>
      <c r="TN1552" s="206"/>
      <c r="TO1552" s="206"/>
      <c r="TP1552" s="206"/>
      <c r="TQ1552" s="206"/>
      <c r="TR1552" s="206"/>
      <c r="TS1552" s="206"/>
      <c r="TT1552" s="206"/>
      <c r="TU1552" s="206"/>
      <c r="TV1552" s="206"/>
      <c r="TW1552" s="206"/>
      <c r="TX1552" s="206"/>
      <c r="TY1552" s="206"/>
      <c r="TZ1552" s="206"/>
      <c r="UA1552" s="206"/>
      <c r="UB1552" s="206"/>
      <c r="UC1552" s="206"/>
      <c r="UD1552" s="206"/>
    </row>
    <row r="1553" spans="1:550" s="874" customFormat="1" ht="21.75" customHeight="1">
      <c r="A1553" s="924" t="s">
        <v>15</v>
      </c>
      <c r="B1553" s="949"/>
      <c r="C1553" s="1595" t="s">
        <v>16</v>
      </c>
      <c r="D1553" s="1596"/>
      <c r="E1553" s="1596"/>
      <c r="F1553" s="1596"/>
      <c r="G1553" s="949"/>
      <c r="H1553" s="954"/>
      <c r="I1553" s="955"/>
      <c r="J1553" s="1003"/>
      <c r="K1553" s="952"/>
      <c r="L1553" s="949"/>
      <c r="M1553" s="949"/>
      <c r="N1553" s="949"/>
      <c r="O1553" s="949"/>
      <c r="P1553" s="949"/>
      <c r="Q1553" s="1180"/>
      <c r="R1553" s="1226"/>
      <c r="S1553" s="486"/>
      <c r="T1553" s="486"/>
      <c r="U1553" s="486"/>
      <c r="V1553" s="486"/>
      <c r="W1553" s="486"/>
      <c r="X1553" s="486"/>
      <c r="Y1553" s="486"/>
      <c r="Z1553" s="486"/>
      <c r="AA1553" s="486"/>
      <c r="AB1553" s="486"/>
      <c r="AC1553" s="486"/>
      <c r="AD1553" s="486"/>
      <c r="AE1553" s="486"/>
      <c r="AF1553" s="486"/>
      <c r="AG1553" s="486"/>
      <c r="AH1553" s="486"/>
      <c r="AI1553" s="486"/>
      <c r="AJ1553" s="486"/>
      <c r="AK1553" s="486"/>
      <c r="AL1553" s="206"/>
      <c r="AM1553" s="206"/>
      <c r="AN1553" s="206"/>
      <c r="AO1553" s="206"/>
      <c r="AP1553" s="206"/>
      <c r="AQ1553" s="206"/>
      <c r="AR1553" s="206"/>
      <c r="AS1553" s="206"/>
      <c r="AT1553" s="206"/>
      <c r="AU1553" s="206"/>
      <c r="AV1553" s="206"/>
      <c r="AW1553" s="206"/>
      <c r="AX1553" s="206"/>
      <c r="AY1553" s="206"/>
      <c r="AZ1553" s="206"/>
      <c r="BA1553" s="206"/>
      <c r="BB1553" s="206"/>
      <c r="BC1553" s="206"/>
      <c r="BD1553" s="206"/>
      <c r="BE1553" s="206"/>
      <c r="BF1553" s="206"/>
      <c r="BG1553" s="206"/>
      <c r="BH1553" s="206"/>
      <c r="BI1553" s="206"/>
      <c r="BJ1553" s="206"/>
      <c r="BK1553" s="206"/>
      <c r="BL1553" s="206"/>
      <c r="BM1553" s="206"/>
      <c r="BN1553" s="206"/>
      <c r="BO1553" s="206"/>
      <c r="BP1553" s="206"/>
      <c r="BQ1553" s="206"/>
      <c r="BR1553" s="206"/>
      <c r="BS1553" s="206"/>
      <c r="BT1553" s="206"/>
      <c r="BU1553" s="206"/>
      <c r="BV1553" s="206"/>
      <c r="BW1553" s="206"/>
      <c r="BX1553" s="206"/>
      <c r="BY1553" s="206"/>
      <c r="BZ1553" s="206"/>
      <c r="CA1553" s="206"/>
      <c r="CB1553" s="206"/>
      <c r="CC1553" s="206"/>
      <c r="CD1553" s="206"/>
      <c r="CE1553" s="206"/>
      <c r="CF1553" s="206"/>
      <c r="CG1553" s="206"/>
      <c r="CH1553" s="206"/>
      <c r="CI1553" s="206"/>
      <c r="CJ1553" s="206"/>
      <c r="CK1553" s="206"/>
      <c r="CL1553" s="206"/>
      <c r="CM1553" s="206"/>
      <c r="CN1553" s="206"/>
      <c r="CO1553" s="206"/>
      <c r="CP1553" s="206"/>
      <c r="CQ1553" s="206"/>
      <c r="CR1553" s="206"/>
      <c r="CS1553" s="206"/>
      <c r="CT1553" s="206"/>
      <c r="CU1553" s="206"/>
      <c r="CV1553" s="206"/>
      <c r="CW1553" s="206"/>
      <c r="CX1553" s="206"/>
      <c r="CY1553" s="206"/>
      <c r="CZ1553" s="206"/>
      <c r="DA1553" s="206"/>
      <c r="DB1553" s="206"/>
      <c r="DC1553" s="206"/>
      <c r="DD1553" s="206"/>
      <c r="DE1553" s="206"/>
      <c r="DF1553" s="206"/>
      <c r="DG1553" s="206"/>
      <c r="DH1553" s="206"/>
      <c r="DI1553" s="206"/>
      <c r="DJ1553" s="206"/>
      <c r="DK1553" s="206"/>
      <c r="DL1553" s="206"/>
      <c r="DM1553" s="206"/>
      <c r="DN1553" s="206"/>
      <c r="DO1553" s="206"/>
      <c r="DP1553" s="206"/>
      <c r="DQ1553" s="206"/>
      <c r="DR1553" s="206"/>
      <c r="DS1553" s="206"/>
      <c r="DT1553" s="206"/>
      <c r="DU1553" s="206"/>
      <c r="DV1553" s="206"/>
      <c r="DW1553" s="206"/>
      <c r="DX1553" s="206"/>
      <c r="DY1553" s="206"/>
      <c r="DZ1553" s="206"/>
      <c r="EA1553" s="206"/>
      <c r="EB1553" s="206"/>
      <c r="EC1553" s="206"/>
      <c r="ED1553" s="206"/>
      <c r="EE1553" s="206"/>
      <c r="EF1553" s="206"/>
      <c r="EG1553" s="206"/>
      <c r="EH1553" s="206"/>
      <c r="EI1553" s="206"/>
      <c r="EJ1553" s="206"/>
      <c r="EK1553" s="206"/>
      <c r="EL1553" s="206"/>
      <c r="EM1553" s="206"/>
      <c r="EN1553" s="206"/>
      <c r="EO1553" s="206"/>
      <c r="EP1553" s="206"/>
      <c r="EQ1553" s="206"/>
      <c r="ER1553" s="206"/>
      <c r="ES1553" s="206"/>
      <c r="ET1553" s="206"/>
      <c r="EU1553" s="206"/>
      <c r="EV1553" s="206"/>
      <c r="EW1553" s="206"/>
      <c r="EX1553" s="206"/>
      <c r="EY1553" s="206"/>
      <c r="EZ1553" s="206"/>
      <c r="FA1553" s="206"/>
      <c r="FB1553" s="206"/>
      <c r="FC1553" s="206"/>
      <c r="FD1553" s="206"/>
      <c r="FE1553" s="206"/>
      <c r="FF1553" s="206"/>
      <c r="FG1553" s="206"/>
      <c r="FH1553" s="206"/>
      <c r="FI1553" s="206"/>
      <c r="FJ1553" s="206"/>
      <c r="FK1553" s="206"/>
      <c r="FL1553" s="206"/>
      <c r="FM1553" s="206"/>
      <c r="FN1553" s="206"/>
      <c r="FO1553" s="206"/>
      <c r="FP1553" s="206"/>
      <c r="FQ1553" s="206"/>
      <c r="FR1553" s="206"/>
      <c r="FS1553" s="206"/>
      <c r="FT1553" s="206"/>
      <c r="FU1553" s="206"/>
      <c r="FV1553" s="206"/>
      <c r="FW1553" s="206"/>
      <c r="FX1553" s="206"/>
      <c r="FY1553" s="206"/>
      <c r="FZ1553" s="206"/>
      <c r="GA1553" s="206"/>
      <c r="GB1553" s="206"/>
      <c r="GC1553" s="206"/>
      <c r="GD1553" s="206"/>
      <c r="GE1553" s="206"/>
      <c r="GF1553" s="206"/>
      <c r="GG1553" s="206"/>
      <c r="GH1553" s="206"/>
      <c r="GI1553" s="206"/>
      <c r="GJ1553" s="206"/>
      <c r="GK1553" s="206"/>
      <c r="GL1553" s="206"/>
      <c r="GM1553" s="206"/>
      <c r="GN1553" s="206"/>
      <c r="GO1553" s="206"/>
      <c r="GP1553" s="206"/>
      <c r="GQ1553" s="206"/>
      <c r="GR1553" s="206"/>
      <c r="GS1553" s="206"/>
      <c r="GT1553" s="206"/>
      <c r="GU1553" s="206"/>
      <c r="GV1553" s="206"/>
      <c r="GW1553" s="206"/>
      <c r="GX1553" s="206"/>
      <c r="GY1553" s="206"/>
      <c r="GZ1553" s="206"/>
      <c r="HA1553" s="206"/>
      <c r="HB1553" s="206"/>
      <c r="HC1553" s="206"/>
      <c r="HD1553" s="206"/>
      <c r="HE1553" s="206"/>
      <c r="HF1553" s="206"/>
      <c r="HG1553" s="206"/>
      <c r="HH1553" s="206"/>
      <c r="HI1553" s="206"/>
      <c r="HJ1553" s="206"/>
      <c r="HK1553" s="206"/>
      <c r="HL1553" s="206"/>
      <c r="HM1553" s="206"/>
      <c r="HN1553" s="206"/>
      <c r="HO1553" s="206"/>
      <c r="HP1553" s="206"/>
      <c r="HQ1553" s="206"/>
      <c r="HR1553" s="206"/>
      <c r="HS1553" s="206"/>
      <c r="HT1553" s="206"/>
      <c r="HU1553" s="206"/>
      <c r="HV1553" s="206"/>
      <c r="HW1553" s="206"/>
      <c r="HX1553" s="206"/>
      <c r="HY1553" s="206"/>
      <c r="HZ1553" s="206"/>
      <c r="IA1553" s="206"/>
      <c r="IB1553" s="206"/>
      <c r="IC1553" s="206"/>
      <c r="ID1553" s="206"/>
      <c r="IE1553" s="206"/>
      <c r="IF1553" s="206"/>
      <c r="IG1553" s="206"/>
      <c r="IH1553" s="206"/>
      <c r="II1553" s="206"/>
      <c r="IJ1553" s="206"/>
      <c r="IK1553" s="206"/>
      <c r="IL1553" s="206"/>
      <c r="IM1553" s="206"/>
      <c r="IN1553" s="206"/>
      <c r="IO1553" s="206"/>
      <c r="IP1553" s="206"/>
      <c r="IQ1553" s="206"/>
      <c r="IR1553" s="206"/>
      <c r="IS1553" s="206"/>
      <c r="IT1553" s="206"/>
      <c r="IU1553" s="206"/>
      <c r="IV1553" s="206"/>
      <c r="IW1553" s="206"/>
      <c r="IX1553" s="206"/>
      <c r="IY1553" s="206"/>
      <c r="IZ1553" s="206"/>
      <c r="JA1553" s="206"/>
      <c r="JB1553" s="206"/>
      <c r="JC1553" s="206"/>
      <c r="JD1553" s="206"/>
      <c r="JE1553" s="206"/>
      <c r="JF1553" s="206"/>
      <c r="JG1553" s="206"/>
      <c r="JH1553" s="206"/>
      <c r="JI1553" s="206"/>
      <c r="JJ1553" s="206"/>
      <c r="JK1553" s="206"/>
      <c r="JL1553" s="206"/>
      <c r="JM1553" s="206"/>
      <c r="JN1553" s="206"/>
      <c r="JO1553" s="206"/>
      <c r="JP1553" s="206"/>
      <c r="JQ1553" s="206"/>
      <c r="JR1553" s="206"/>
      <c r="JS1553" s="206"/>
      <c r="JT1553" s="206"/>
      <c r="JU1553" s="206"/>
      <c r="JV1553" s="206"/>
      <c r="JW1553" s="206"/>
      <c r="JX1553" s="206"/>
      <c r="JY1553" s="206"/>
      <c r="JZ1553" s="206"/>
      <c r="KA1553" s="206"/>
      <c r="KB1553" s="206"/>
      <c r="KC1553" s="206"/>
      <c r="KD1553" s="206"/>
      <c r="KE1553" s="206"/>
      <c r="KF1553" s="206"/>
      <c r="KG1553" s="206"/>
      <c r="KH1553" s="206"/>
      <c r="KI1553" s="206"/>
      <c r="KJ1553" s="206"/>
      <c r="KK1553" s="206"/>
      <c r="KL1553" s="206"/>
      <c r="KM1553" s="206"/>
      <c r="KN1553" s="206"/>
      <c r="KO1553" s="206"/>
      <c r="KP1553" s="206"/>
      <c r="KQ1553" s="206"/>
      <c r="KR1553" s="206"/>
      <c r="KS1553" s="206"/>
      <c r="KT1553" s="206"/>
      <c r="KU1553" s="206"/>
      <c r="KV1553" s="206"/>
      <c r="KW1553" s="206"/>
      <c r="KX1553" s="206"/>
      <c r="KY1553" s="206"/>
      <c r="KZ1553" s="206"/>
      <c r="LA1553" s="206"/>
      <c r="LB1553" s="206"/>
      <c r="LC1553" s="206"/>
      <c r="LD1553" s="206"/>
      <c r="LE1553" s="206"/>
      <c r="LF1553" s="206"/>
      <c r="LG1553" s="206"/>
      <c r="LH1553" s="206"/>
      <c r="LI1553" s="206"/>
      <c r="LJ1553" s="206"/>
      <c r="LK1553" s="206"/>
      <c r="LL1553" s="206"/>
      <c r="LM1553" s="206"/>
      <c r="LN1553" s="206"/>
      <c r="LO1553" s="206"/>
      <c r="LP1553" s="206"/>
      <c r="LQ1553" s="206"/>
      <c r="LR1553" s="206"/>
      <c r="LS1553" s="206"/>
      <c r="LT1553" s="206"/>
      <c r="LU1553" s="206"/>
      <c r="LV1553" s="206"/>
      <c r="LW1553" s="206"/>
      <c r="LX1553" s="206"/>
      <c r="LY1553" s="206"/>
      <c r="LZ1553" s="206"/>
      <c r="MA1553" s="206"/>
      <c r="MB1553" s="206"/>
      <c r="MC1553" s="206"/>
      <c r="MD1553" s="206"/>
      <c r="ME1553" s="206"/>
      <c r="MF1553" s="206"/>
      <c r="MG1553" s="206"/>
      <c r="MH1553" s="206"/>
      <c r="MI1553" s="206"/>
      <c r="MJ1553" s="206"/>
      <c r="MK1553" s="206"/>
      <c r="ML1553" s="206"/>
      <c r="MM1553" s="206"/>
      <c r="MN1553" s="206"/>
      <c r="MO1553" s="206"/>
      <c r="MP1553" s="206"/>
      <c r="MQ1553" s="206"/>
      <c r="MR1553" s="206"/>
      <c r="MS1553" s="206"/>
      <c r="MT1553" s="206"/>
      <c r="MU1553" s="206"/>
      <c r="MV1553" s="206"/>
      <c r="MW1553" s="206"/>
      <c r="MX1553" s="206"/>
      <c r="MY1553" s="206"/>
      <c r="MZ1553" s="206"/>
      <c r="NA1553" s="206"/>
      <c r="NB1553" s="206"/>
      <c r="NC1553" s="206"/>
      <c r="ND1553" s="206"/>
      <c r="NE1553" s="206"/>
      <c r="NF1553" s="206"/>
      <c r="NG1553" s="206"/>
      <c r="NH1553" s="206"/>
      <c r="NI1553" s="206"/>
      <c r="NJ1553" s="206"/>
      <c r="NK1553" s="206"/>
      <c r="NL1553" s="206"/>
      <c r="NM1553" s="206"/>
      <c r="NN1553" s="206"/>
      <c r="NO1553" s="206"/>
      <c r="NP1553" s="206"/>
      <c r="NQ1553" s="206"/>
      <c r="NR1553" s="206"/>
      <c r="NS1553" s="206"/>
      <c r="NT1553" s="206"/>
      <c r="NU1553" s="206"/>
      <c r="NV1553" s="206"/>
      <c r="NW1553" s="206"/>
      <c r="NX1553" s="206"/>
      <c r="NY1553" s="206"/>
      <c r="NZ1553" s="206"/>
      <c r="OA1553" s="206"/>
      <c r="OB1553" s="206"/>
      <c r="OC1553" s="206"/>
      <c r="OD1553" s="206"/>
      <c r="OE1553" s="206"/>
      <c r="OF1553" s="206"/>
      <c r="OG1553" s="206"/>
      <c r="OH1553" s="206"/>
      <c r="OI1553" s="206"/>
      <c r="OJ1553" s="206"/>
      <c r="OK1553" s="206"/>
      <c r="OL1553" s="206"/>
      <c r="OM1553" s="206"/>
      <c r="ON1553" s="206"/>
      <c r="OO1553" s="206"/>
      <c r="OP1553" s="206"/>
      <c r="OQ1553" s="206"/>
      <c r="OR1553" s="206"/>
      <c r="OS1553" s="206"/>
      <c r="OT1553" s="206"/>
      <c r="OU1553" s="206"/>
      <c r="OV1553" s="206"/>
      <c r="OW1553" s="206"/>
      <c r="OX1553" s="206"/>
      <c r="OY1553" s="206"/>
      <c r="OZ1553" s="206"/>
      <c r="PA1553" s="206"/>
      <c r="PB1553" s="206"/>
      <c r="PC1553" s="206"/>
      <c r="PD1553" s="206"/>
      <c r="PE1553" s="206"/>
      <c r="PF1553" s="206"/>
      <c r="PG1553" s="206"/>
      <c r="PH1553" s="206"/>
      <c r="PI1553" s="206"/>
      <c r="PJ1553" s="206"/>
      <c r="PK1553" s="206"/>
      <c r="PL1553" s="206"/>
      <c r="PM1553" s="206"/>
      <c r="PN1553" s="206"/>
      <c r="PO1553" s="206"/>
      <c r="PP1553" s="206"/>
      <c r="PQ1553" s="206"/>
      <c r="PR1553" s="206"/>
      <c r="PS1553" s="206"/>
      <c r="PT1553" s="206"/>
      <c r="PU1553" s="206"/>
      <c r="PV1553" s="206"/>
      <c r="PW1553" s="206"/>
      <c r="PX1553" s="206"/>
      <c r="PY1553" s="206"/>
      <c r="PZ1553" s="206"/>
      <c r="QA1553" s="206"/>
      <c r="QB1553" s="206"/>
      <c r="QC1553" s="206"/>
      <c r="QD1553" s="206"/>
      <c r="QE1553" s="206"/>
      <c r="QF1553" s="206"/>
      <c r="QG1553" s="206"/>
      <c r="QH1553" s="206"/>
      <c r="QI1553" s="206"/>
      <c r="QJ1553" s="206"/>
      <c r="QK1553" s="206"/>
      <c r="QL1553" s="206"/>
      <c r="QM1553" s="206"/>
      <c r="QN1553" s="206"/>
      <c r="QO1553" s="206"/>
      <c r="QP1553" s="206"/>
      <c r="QQ1553" s="206"/>
      <c r="QR1553" s="206"/>
      <c r="QS1553" s="206"/>
      <c r="QT1553" s="206"/>
      <c r="QU1553" s="206"/>
      <c r="QV1553" s="206"/>
      <c r="QW1553" s="206"/>
      <c r="QX1553" s="206"/>
      <c r="QY1553" s="206"/>
      <c r="QZ1553" s="206"/>
      <c r="RA1553" s="206"/>
      <c r="RB1553" s="206"/>
      <c r="RC1553" s="206"/>
      <c r="RD1553" s="206"/>
      <c r="RE1553" s="206"/>
      <c r="RF1553" s="206"/>
      <c r="RG1553" s="206"/>
      <c r="RH1553" s="206"/>
      <c r="RI1553" s="206"/>
      <c r="RJ1553" s="206"/>
      <c r="RK1553" s="206"/>
      <c r="RL1553" s="206"/>
      <c r="RM1553" s="206"/>
      <c r="RN1553" s="206"/>
      <c r="RO1553" s="206"/>
      <c r="RP1553" s="206"/>
      <c r="RQ1553" s="206"/>
      <c r="RR1553" s="206"/>
      <c r="RS1553" s="206"/>
      <c r="RT1553" s="206"/>
      <c r="RU1553" s="206"/>
      <c r="RV1553" s="206"/>
      <c r="RW1553" s="206"/>
      <c r="RX1553" s="206"/>
      <c r="RY1553" s="206"/>
      <c r="RZ1553" s="206"/>
      <c r="SA1553" s="206"/>
      <c r="SB1553" s="206"/>
      <c r="SC1553" s="206"/>
      <c r="SD1553" s="206"/>
      <c r="SE1553" s="206"/>
      <c r="SF1553" s="206"/>
      <c r="SG1553" s="206"/>
      <c r="SH1553" s="206"/>
      <c r="SI1553" s="206"/>
      <c r="SJ1553" s="206"/>
      <c r="SK1553" s="206"/>
      <c r="SL1553" s="206"/>
      <c r="SM1553" s="206"/>
      <c r="SN1553" s="206"/>
      <c r="SO1553" s="206"/>
      <c r="SP1553" s="206"/>
      <c r="SQ1553" s="206"/>
      <c r="SR1553" s="206"/>
      <c r="SS1553" s="206"/>
      <c r="ST1553" s="206"/>
      <c r="SU1553" s="206"/>
      <c r="SV1553" s="206"/>
      <c r="SW1553" s="206"/>
      <c r="SX1553" s="206"/>
      <c r="SY1553" s="206"/>
      <c r="SZ1553" s="206"/>
      <c r="TA1553" s="206"/>
      <c r="TB1553" s="206"/>
      <c r="TC1553" s="206"/>
      <c r="TD1553" s="206"/>
      <c r="TE1553" s="206"/>
      <c r="TF1553" s="206"/>
      <c r="TG1553" s="206"/>
      <c r="TH1553" s="206"/>
      <c r="TI1553" s="206"/>
      <c r="TJ1553" s="206"/>
      <c r="TK1553" s="206"/>
      <c r="TL1553" s="206"/>
      <c r="TM1553" s="206"/>
      <c r="TN1553" s="206"/>
      <c r="TO1553" s="206"/>
      <c r="TP1553" s="206"/>
      <c r="TQ1553" s="206"/>
      <c r="TR1553" s="206"/>
      <c r="TS1553" s="206"/>
      <c r="TT1553" s="206"/>
      <c r="TU1553" s="206"/>
      <c r="TV1553" s="206"/>
      <c r="TW1553" s="206"/>
      <c r="TX1553" s="206"/>
      <c r="TY1553" s="206"/>
      <c r="TZ1553" s="206"/>
      <c r="UA1553" s="206"/>
      <c r="UB1553" s="206"/>
      <c r="UC1553" s="206"/>
      <c r="UD1553" s="206"/>
    </row>
    <row r="1554" spans="1:550" s="874" customFormat="1" ht="21.75" customHeight="1">
      <c r="A1554" s="924" t="s">
        <v>15</v>
      </c>
      <c r="B1554" s="949"/>
      <c r="C1554" s="1595" t="s">
        <v>1331</v>
      </c>
      <c r="D1554" s="1596"/>
      <c r="E1554" s="1596"/>
      <c r="F1554" s="1596"/>
      <c r="G1554" s="949"/>
      <c r="H1554" s="954"/>
      <c r="I1554" s="955"/>
      <c r="J1554" s="1003"/>
      <c r="K1554" s="952"/>
      <c r="L1554" s="949"/>
      <c r="M1554" s="949"/>
      <c r="N1554" s="949"/>
      <c r="O1554" s="949"/>
      <c r="P1554" s="949"/>
      <c r="Q1554" s="1180"/>
      <c r="R1554" s="1226"/>
      <c r="S1554" s="486"/>
      <c r="T1554" s="486"/>
      <c r="U1554" s="486"/>
      <c r="V1554" s="486"/>
      <c r="W1554" s="486"/>
      <c r="X1554" s="486"/>
      <c r="Y1554" s="486"/>
      <c r="Z1554" s="486"/>
      <c r="AA1554" s="486"/>
      <c r="AB1554" s="486"/>
      <c r="AC1554" s="486"/>
      <c r="AD1554" s="486"/>
      <c r="AE1554" s="486"/>
      <c r="AF1554" s="486"/>
      <c r="AG1554" s="486"/>
      <c r="AH1554" s="486"/>
      <c r="AI1554" s="486"/>
      <c r="AJ1554" s="486"/>
      <c r="AK1554" s="486"/>
      <c r="AL1554" s="206"/>
      <c r="AM1554" s="206"/>
      <c r="AN1554" s="206"/>
      <c r="AO1554" s="206"/>
      <c r="AP1554" s="206"/>
      <c r="AQ1554" s="206"/>
      <c r="AR1554" s="206"/>
      <c r="AS1554" s="206"/>
      <c r="AT1554" s="206"/>
      <c r="AU1554" s="206"/>
      <c r="AV1554" s="206"/>
      <c r="AW1554" s="206"/>
      <c r="AX1554" s="206"/>
      <c r="AY1554" s="206"/>
      <c r="AZ1554" s="206"/>
      <c r="BA1554" s="206"/>
      <c r="BB1554" s="206"/>
      <c r="BC1554" s="206"/>
      <c r="BD1554" s="206"/>
      <c r="BE1554" s="206"/>
      <c r="BF1554" s="206"/>
      <c r="BG1554" s="206"/>
      <c r="BH1554" s="206"/>
      <c r="BI1554" s="206"/>
      <c r="BJ1554" s="206"/>
      <c r="BK1554" s="206"/>
      <c r="BL1554" s="206"/>
      <c r="BM1554" s="206"/>
      <c r="BN1554" s="206"/>
      <c r="BO1554" s="206"/>
      <c r="BP1554" s="206"/>
      <c r="BQ1554" s="206"/>
      <c r="BR1554" s="206"/>
      <c r="BS1554" s="206"/>
      <c r="BT1554" s="206"/>
      <c r="BU1554" s="206"/>
      <c r="BV1554" s="206"/>
      <c r="BW1554" s="206"/>
      <c r="BX1554" s="206"/>
      <c r="BY1554" s="206"/>
      <c r="BZ1554" s="206"/>
      <c r="CA1554" s="206"/>
      <c r="CB1554" s="206"/>
      <c r="CC1554" s="206"/>
      <c r="CD1554" s="206"/>
      <c r="CE1554" s="206"/>
      <c r="CF1554" s="206"/>
      <c r="CG1554" s="206"/>
      <c r="CH1554" s="206"/>
      <c r="CI1554" s="206"/>
      <c r="CJ1554" s="206"/>
      <c r="CK1554" s="206"/>
      <c r="CL1554" s="206"/>
      <c r="CM1554" s="206"/>
      <c r="CN1554" s="206"/>
      <c r="CO1554" s="206"/>
      <c r="CP1554" s="206"/>
      <c r="CQ1554" s="206"/>
      <c r="CR1554" s="206"/>
      <c r="CS1554" s="206"/>
      <c r="CT1554" s="206"/>
      <c r="CU1554" s="206"/>
      <c r="CV1554" s="206"/>
      <c r="CW1554" s="206"/>
      <c r="CX1554" s="206"/>
      <c r="CY1554" s="206"/>
      <c r="CZ1554" s="206"/>
      <c r="DA1554" s="206"/>
      <c r="DB1554" s="206"/>
      <c r="DC1554" s="206"/>
      <c r="DD1554" s="206"/>
      <c r="DE1554" s="206"/>
      <c r="DF1554" s="206"/>
      <c r="DG1554" s="206"/>
      <c r="DH1554" s="206"/>
      <c r="DI1554" s="206"/>
      <c r="DJ1554" s="206"/>
      <c r="DK1554" s="206"/>
      <c r="DL1554" s="206"/>
      <c r="DM1554" s="206"/>
      <c r="DN1554" s="206"/>
      <c r="DO1554" s="206"/>
      <c r="DP1554" s="206"/>
      <c r="DQ1554" s="206"/>
      <c r="DR1554" s="206"/>
      <c r="DS1554" s="206"/>
      <c r="DT1554" s="206"/>
      <c r="DU1554" s="206"/>
      <c r="DV1554" s="206"/>
      <c r="DW1554" s="206"/>
      <c r="DX1554" s="206"/>
      <c r="DY1554" s="206"/>
      <c r="DZ1554" s="206"/>
      <c r="EA1554" s="206"/>
      <c r="EB1554" s="206"/>
      <c r="EC1554" s="206"/>
      <c r="ED1554" s="206"/>
      <c r="EE1554" s="206"/>
      <c r="EF1554" s="206"/>
      <c r="EG1554" s="206"/>
      <c r="EH1554" s="206"/>
      <c r="EI1554" s="206"/>
      <c r="EJ1554" s="206"/>
      <c r="EK1554" s="206"/>
      <c r="EL1554" s="206"/>
      <c r="EM1554" s="206"/>
      <c r="EN1554" s="206"/>
      <c r="EO1554" s="206"/>
      <c r="EP1554" s="206"/>
      <c r="EQ1554" s="206"/>
      <c r="ER1554" s="206"/>
      <c r="ES1554" s="206"/>
      <c r="ET1554" s="206"/>
      <c r="EU1554" s="206"/>
      <c r="EV1554" s="206"/>
      <c r="EW1554" s="206"/>
      <c r="EX1554" s="206"/>
      <c r="EY1554" s="206"/>
      <c r="EZ1554" s="206"/>
      <c r="FA1554" s="206"/>
      <c r="FB1554" s="206"/>
      <c r="FC1554" s="206"/>
      <c r="FD1554" s="206"/>
      <c r="FE1554" s="206"/>
      <c r="FF1554" s="206"/>
      <c r="FG1554" s="206"/>
      <c r="FH1554" s="206"/>
      <c r="FI1554" s="206"/>
      <c r="FJ1554" s="206"/>
      <c r="FK1554" s="206"/>
      <c r="FL1554" s="206"/>
      <c r="FM1554" s="206"/>
      <c r="FN1554" s="206"/>
      <c r="FO1554" s="206"/>
      <c r="FP1554" s="206"/>
      <c r="FQ1554" s="206"/>
      <c r="FR1554" s="206"/>
      <c r="FS1554" s="206"/>
      <c r="FT1554" s="206"/>
      <c r="FU1554" s="206"/>
      <c r="FV1554" s="206"/>
      <c r="FW1554" s="206"/>
      <c r="FX1554" s="206"/>
      <c r="FY1554" s="206"/>
      <c r="FZ1554" s="206"/>
      <c r="GA1554" s="206"/>
      <c r="GB1554" s="206"/>
      <c r="GC1554" s="206"/>
      <c r="GD1554" s="206"/>
      <c r="GE1554" s="206"/>
      <c r="GF1554" s="206"/>
      <c r="GG1554" s="206"/>
      <c r="GH1554" s="206"/>
      <c r="GI1554" s="206"/>
      <c r="GJ1554" s="206"/>
      <c r="GK1554" s="206"/>
      <c r="GL1554" s="206"/>
      <c r="GM1554" s="206"/>
      <c r="GN1554" s="206"/>
      <c r="GO1554" s="206"/>
      <c r="GP1554" s="206"/>
      <c r="GQ1554" s="206"/>
      <c r="GR1554" s="206"/>
      <c r="GS1554" s="206"/>
      <c r="GT1554" s="206"/>
      <c r="GU1554" s="206"/>
      <c r="GV1554" s="206"/>
      <c r="GW1554" s="206"/>
      <c r="GX1554" s="206"/>
      <c r="GY1554" s="206"/>
      <c r="GZ1554" s="206"/>
      <c r="HA1554" s="206"/>
      <c r="HB1554" s="206"/>
      <c r="HC1554" s="206"/>
      <c r="HD1554" s="206"/>
      <c r="HE1554" s="206"/>
      <c r="HF1554" s="206"/>
      <c r="HG1554" s="206"/>
      <c r="HH1554" s="206"/>
      <c r="HI1554" s="206"/>
      <c r="HJ1554" s="206"/>
      <c r="HK1554" s="206"/>
      <c r="HL1554" s="206"/>
      <c r="HM1554" s="206"/>
      <c r="HN1554" s="206"/>
      <c r="HO1554" s="206"/>
      <c r="HP1554" s="206"/>
      <c r="HQ1554" s="206"/>
      <c r="HR1554" s="206"/>
      <c r="HS1554" s="206"/>
      <c r="HT1554" s="206"/>
      <c r="HU1554" s="206"/>
      <c r="HV1554" s="206"/>
      <c r="HW1554" s="206"/>
      <c r="HX1554" s="206"/>
      <c r="HY1554" s="206"/>
      <c r="HZ1554" s="206"/>
      <c r="IA1554" s="206"/>
      <c r="IB1554" s="206"/>
      <c r="IC1554" s="206"/>
      <c r="ID1554" s="206"/>
      <c r="IE1554" s="206"/>
      <c r="IF1554" s="206"/>
      <c r="IG1554" s="206"/>
      <c r="IH1554" s="206"/>
      <c r="II1554" s="206"/>
      <c r="IJ1554" s="206"/>
      <c r="IK1554" s="206"/>
      <c r="IL1554" s="206"/>
      <c r="IM1554" s="206"/>
      <c r="IN1554" s="206"/>
      <c r="IO1554" s="206"/>
      <c r="IP1554" s="206"/>
      <c r="IQ1554" s="206"/>
      <c r="IR1554" s="206"/>
      <c r="IS1554" s="206"/>
      <c r="IT1554" s="206"/>
      <c r="IU1554" s="206"/>
      <c r="IV1554" s="206"/>
      <c r="IW1554" s="206"/>
      <c r="IX1554" s="206"/>
      <c r="IY1554" s="206"/>
      <c r="IZ1554" s="206"/>
      <c r="JA1554" s="206"/>
      <c r="JB1554" s="206"/>
      <c r="JC1554" s="206"/>
      <c r="JD1554" s="206"/>
      <c r="JE1554" s="206"/>
      <c r="JF1554" s="206"/>
      <c r="JG1554" s="206"/>
      <c r="JH1554" s="206"/>
      <c r="JI1554" s="206"/>
      <c r="JJ1554" s="206"/>
      <c r="JK1554" s="206"/>
      <c r="JL1554" s="206"/>
      <c r="JM1554" s="206"/>
      <c r="JN1554" s="206"/>
      <c r="JO1554" s="206"/>
      <c r="JP1554" s="206"/>
      <c r="JQ1554" s="206"/>
      <c r="JR1554" s="206"/>
      <c r="JS1554" s="206"/>
      <c r="JT1554" s="206"/>
      <c r="JU1554" s="206"/>
      <c r="JV1554" s="206"/>
      <c r="JW1554" s="206"/>
      <c r="JX1554" s="206"/>
      <c r="JY1554" s="206"/>
      <c r="JZ1554" s="206"/>
      <c r="KA1554" s="206"/>
      <c r="KB1554" s="206"/>
      <c r="KC1554" s="206"/>
      <c r="KD1554" s="206"/>
      <c r="KE1554" s="206"/>
      <c r="KF1554" s="206"/>
      <c r="KG1554" s="206"/>
      <c r="KH1554" s="206"/>
      <c r="KI1554" s="206"/>
      <c r="KJ1554" s="206"/>
      <c r="KK1554" s="206"/>
      <c r="KL1554" s="206"/>
      <c r="KM1554" s="206"/>
      <c r="KN1554" s="206"/>
      <c r="KO1554" s="206"/>
      <c r="KP1554" s="206"/>
      <c r="KQ1554" s="206"/>
      <c r="KR1554" s="206"/>
      <c r="KS1554" s="206"/>
      <c r="KT1554" s="206"/>
      <c r="KU1554" s="206"/>
      <c r="KV1554" s="206"/>
      <c r="KW1554" s="206"/>
      <c r="KX1554" s="206"/>
      <c r="KY1554" s="206"/>
      <c r="KZ1554" s="206"/>
      <c r="LA1554" s="206"/>
      <c r="LB1554" s="206"/>
      <c r="LC1554" s="206"/>
      <c r="LD1554" s="206"/>
      <c r="LE1554" s="206"/>
      <c r="LF1554" s="206"/>
      <c r="LG1554" s="206"/>
      <c r="LH1554" s="206"/>
      <c r="LI1554" s="206"/>
      <c r="LJ1554" s="206"/>
      <c r="LK1554" s="206"/>
      <c r="LL1554" s="206"/>
      <c r="LM1554" s="206"/>
      <c r="LN1554" s="206"/>
      <c r="LO1554" s="206"/>
      <c r="LP1554" s="206"/>
      <c r="LQ1554" s="206"/>
      <c r="LR1554" s="206"/>
      <c r="LS1554" s="206"/>
      <c r="LT1554" s="206"/>
      <c r="LU1554" s="206"/>
      <c r="LV1554" s="206"/>
      <c r="LW1554" s="206"/>
      <c r="LX1554" s="206"/>
      <c r="LY1554" s="206"/>
      <c r="LZ1554" s="206"/>
      <c r="MA1554" s="206"/>
      <c r="MB1554" s="206"/>
      <c r="MC1554" s="206"/>
      <c r="MD1554" s="206"/>
      <c r="ME1554" s="206"/>
      <c r="MF1554" s="206"/>
      <c r="MG1554" s="206"/>
      <c r="MH1554" s="206"/>
      <c r="MI1554" s="206"/>
      <c r="MJ1554" s="206"/>
      <c r="MK1554" s="206"/>
      <c r="ML1554" s="206"/>
      <c r="MM1554" s="206"/>
      <c r="MN1554" s="206"/>
      <c r="MO1554" s="206"/>
      <c r="MP1554" s="206"/>
      <c r="MQ1554" s="206"/>
      <c r="MR1554" s="206"/>
      <c r="MS1554" s="206"/>
      <c r="MT1554" s="206"/>
      <c r="MU1554" s="206"/>
      <c r="MV1554" s="206"/>
      <c r="MW1554" s="206"/>
      <c r="MX1554" s="206"/>
      <c r="MY1554" s="206"/>
      <c r="MZ1554" s="206"/>
      <c r="NA1554" s="206"/>
      <c r="NB1554" s="206"/>
      <c r="NC1554" s="206"/>
      <c r="ND1554" s="206"/>
      <c r="NE1554" s="206"/>
      <c r="NF1554" s="206"/>
      <c r="NG1554" s="206"/>
      <c r="NH1554" s="206"/>
      <c r="NI1554" s="206"/>
      <c r="NJ1554" s="206"/>
      <c r="NK1554" s="206"/>
      <c r="NL1554" s="206"/>
      <c r="NM1554" s="206"/>
      <c r="NN1554" s="206"/>
      <c r="NO1554" s="206"/>
      <c r="NP1554" s="206"/>
      <c r="NQ1554" s="206"/>
      <c r="NR1554" s="206"/>
      <c r="NS1554" s="206"/>
      <c r="NT1554" s="206"/>
      <c r="NU1554" s="206"/>
      <c r="NV1554" s="206"/>
      <c r="NW1554" s="206"/>
      <c r="NX1554" s="206"/>
      <c r="NY1554" s="206"/>
      <c r="NZ1554" s="206"/>
      <c r="OA1554" s="206"/>
      <c r="OB1554" s="206"/>
      <c r="OC1554" s="206"/>
      <c r="OD1554" s="206"/>
      <c r="OE1554" s="206"/>
      <c r="OF1554" s="206"/>
      <c r="OG1554" s="206"/>
      <c r="OH1554" s="206"/>
      <c r="OI1554" s="206"/>
      <c r="OJ1554" s="206"/>
      <c r="OK1554" s="206"/>
      <c r="OL1554" s="206"/>
      <c r="OM1554" s="206"/>
      <c r="ON1554" s="206"/>
      <c r="OO1554" s="206"/>
      <c r="OP1554" s="206"/>
      <c r="OQ1554" s="206"/>
      <c r="OR1554" s="206"/>
      <c r="OS1554" s="206"/>
      <c r="OT1554" s="206"/>
      <c r="OU1554" s="206"/>
      <c r="OV1554" s="206"/>
      <c r="OW1554" s="206"/>
      <c r="OX1554" s="206"/>
      <c r="OY1554" s="206"/>
      <c r="OZ1554" s="206"/>
      <c r="PA1554" s="206"/>
      <c r="PB1554" s="206"/>
      <c r="PC1554" s="206"/>
      <c r="PD1554" s="206"/>
      <c r="PE1554" s="206"/>
      <c r="PF1554" s="206"/>
      <c r="PG1554" s="206"/>
      <c r="PH1554" s="206"/>
      <c r="PI1554" s="206"/>
      <c r="PJ1554" s="206"/>
      <c r="PK1554" s="206"/>
      <c r="PL1554" s="206"/>
      <c r="PM1554" s="206"/>
      <c r="PN1554" s="206"/>
      <c r="PO1554" s="206"/>
      <c r="PP1554" s="206"/>
      <c r="PQ1554" s="206"/>
      <c r="PR1554" s="206"/>
      <c r="PS1554" s="206"/>
      <c r="PT1554" s="206"/>
      <c r="PU1554" s="206"/>
      <c r="PV1554" s="206"/>
      <c r="PW1554" s="206"/>
      <c r="PX1554" s="206"/>
      <c r="PY1554" s="206"/>
      <c r="PZ1554" s="206"/>
      <c r="QA1554" s="206"/>
      <c r="QB1554" s="206"/>
      <c r="QC1554" s="206"/>
      <c r="QD1554" s="206"/>
      <c r="QE1554" s="206"/>
      <c r="QF1554" s="206"/>
      <c r="QG1554" s="206"/>
      <c r="QH1554" s="206"/>
      <c r="QI1554" s="206"/>
      <c r="QJ1554" s="206"/>
      <c r="QK1554" s="206"/>
      <c r="QL1554" s="206"/>
      <c r="QM1554" s="206"/>
      <c r="QN1554" s="206"/>
      <c r="QO1554" s="206"/>
      <c r="QP1554" s="206"/>
      <c r="QQ1554" s="206"/>
      <c r="QR1554" s="206"/>
      <c r="QS1554" s="206"/>
      <c r="QT1554" s="206"/>
      <c r="QU1554" s="206"/>
      <c r="QV1554" s="206"/>
      <c r="QW1554" s="206"/>
      <c r="QX1554" s="206"/>
      <c r="QY1554" s="206"/>
      <c r="QZ1554" s="206"/>
      <c r="RA1554" s="206"/>
      <c r="RB1554" s="206"/>
      <c r="RC1554" s="206"/>
      <c r="RD1554" s="206"/>
      <c r="RE1554" s="206"/>
      <c r="RF1554" s="206"/>
      <c r="RG1554" s="206"/>
      <c r="RH1554" s="206"/>
      <c r="RI1554" s="206"/>
      <c r="RJ1554" s="206"/>
      <c r="RK1554" s="206"/>
      <c r="RL1554" s="206"/>
      <c r="RM1554" s="206"/>
      <c r="RN1554" s="206"/>
      <c r="RO1554" s="206"/>
      <c r="RP1554" s="206"/>
      <c r="RQ1554" s="206"/>
      <c r="RR1554" s="206"/>
      <c r="RS1554" s="206"/>
      <c r="RT1554" s="206"/>
      <c r="RU1554" s="206"/>
      <c r="RV1554" s="206"/>
      <c r="RW1554" s="206"/>
      <c r="RX1554" s="206"/>
      <c r="RY1554" s="206"/>
      <c r="RZ1554" s="206"/>
      <c r="SA1554" s="206"/>
      <c r="SB1554" s="206"/>
      <c r="SC1554" s="206"/>
      <c r="SD1554" s="206"/>
      <c r="SE1554" s="206"/>
      <c r="SF1554" s="206"/>
      <c r="SG1554" s="206"/>
      <c r="SH1554" s="206"/>
      <c r="SI1554" s="206"/>
      <c r="SJ1554" s="206"/>
      <c r="SK1554" s="206"/>
      <c r="SL1554" s="206"/>
      <c r="SM1554" s="206"/>
      <c r="SN1554" s="206"/>
      <c r="SO1554" s="206"/>
      <c r="SP1554" s="206"/>
      <c r="SQ1554" s="206"/>
      <c r="SR1554" s="206"/>
      <c r="SS1554" s="206"/>
      <c r="ST1554" s="206"/>
      <c r="SU1554" s="206"/>
      <c r="SV1554" s="206"/>
      <c r="SW1554" s="206"/>
      <c r="SX1554" s="206"/>
      <c r="SY1554" s="206"/>
      <c r="SZ1554" s="206"/>
      <c r="TA1554" s="206"/>
      <c r="TB1554" s="206"/>
      <c r="TC1554" s="206"/>
      <c r="TD1554" s="206"/>
      <c r="TE1554" s="206"/>
      <c r="TF1554" s="206"/>
      <c r="TG1554" s="206"/>
      <c r="TH1554" s="206"/>
      <c r="TI1554" s="206"/>
      <c r="TJ1554" s="206"/>
      <c r="TK1554" s="206"/>
      <c r="TL1554" s="206"/>
      <c r="TM1554" s="206"/>
      <c r="TN1554" s="206"/>
      <c r="TO1554" s="206"/>
      <c r="TP1554" s="206"/>
      <c r="TQ1554" s="206"/>
      <c r="TR1554" s="206"/>
      <c r="TS1554" s="206"/>
      <c r="TT1554" s="206"/>
      <c r="TU1554" s="206"/>
      <c r="TV1554" s="206"/>
      <c r="TW1554" s="206"/>
      <c r="TX1554" s="206"/>
      <c r="TY1554" s="206"/>
      <c r="TZ1554" s="206"/>
      <c r="UA1554" s="206"/>
      <c r="UB1554" s="206"/>
      <c r="UC1554" s="206"/>
      <c r="UD1554" s="206"/>
    </row>
    <row r="1555" spans="1:550" s="874" customFormat="1" ht="21.75" customHeight="1">
      <c r="A1555" s="924" t="s">
        <v>17</v>
      </c>
      <c r="B1555" s="953"/>
      <c r="C1555" s="1595" t="s">
        <v>18</v>
      </c>
      <c r="D1555" s="1596"/>
      <c r="E1555" s="1596"/>
      <c r="F1555" s="1596"/>
      <c r="G1555" s="953" t="s">
        <v>1367</v>
      </c>
      <c r="H1555" s="967">
        <f>SUM(H1556:H1557)</f>
        <v>307</v>
      </c>
      <c r="I1555" s="968">
        <f>SUM(I1556:I1557)</f>
        <v>307</v>
      </c>
      <c r="J1555" s="1003"/>
      <c r="K1555" s="952"/>
      <c r="L1555" s="968">
        <f>SUM(L1556:L1557)</f>
        <v>17476400</v>
      </c>
      <c r="M1555" s="953"/>
      <c r="N1555" s="953"/>
      <c r="O1555" s="953"/>
      <c r="P1555" s="953">
        <f>L1555</f>
        <v>17476400</v>
      </c>
      <c r="Q1555" s="1181"/>
      <c r="R1555" s="486"/>
      <c r="S1555" s="486"/>
      <c r="T1555" s="486"/>
      <c r="U1555" s="486"/>
      <c r="V1555" s="486"/>
      <c r="W1555" s="486"/>
      <c r="X1555" s="486"/>
      <c r="Y1555" s="486"/>
      <c r="Z1555" s="486"/>
      <c r="AA1555" s="486"/>
      <c r="AB1555" s="486"/>
      <c r="AC1555" s="486"/>
      <c r="AD1555" s="486"/>
      <c r="AE1555" s="486"/>
      <c r="AF1555" s="486"/>
      <c r="AG1555" s="486"/>
      <c r="AH1555" s="486"/>
      <c r="AI1555" s="486"/>
      <c r="AJ1555" s="486"/>
      <c r="AK1555" s="486"/>
      <c r="AL1555" s="206"/>
      <c r="AM1555" s="206"/>
      <c r="AN1555" s="206"/>
      <c r="AO1555" s="206"/>
      <c r="AP1555" s="206"/>
      <c r="AQ1555" s="206"/>
      <c r="AR1555" s="206"/>
      <c r="AS1555" s="206"/>
      <c r="AT1555" s="206"/>
      <c r="AU1555" s="206"/>
      <c r="AV1555" s="206"/>
      <c r="AW1555" s="206"/>
      <c r="AX1555" s="206"/>
      <c r="AY1555" s="206"/>
      <c r="AZ1555" s="206"/>
      <c r="BA1555" s="206"/>
      <c r="BB1555" s="206"/>
      <c r="BC1555" s="206"/>
      <c r="BD1555" s="206"/>
      <c r="BE1555" s="206"/>
      <c r="BF1555" s="206"/>
      <c r="BG1555" s="206"/>
      <c r="BH1555" s="206"/>
      <c r="BI1555" s="206"/>
      <c r="BJ1555" s="206"/>
      <c r="BK1555" s="206"/>
      <c r="BL1555" s="206"/>
      <c r="BM1555" s="206"/>
      <c r="BN1555" s="206"/>
      <c r="BO1555" s="206"/>
      <c r="BP1555" s="206"/>
      <c r="BQ1555" s="206"/>
      <c r="BR1555" s="206"/>
      <c r="BS1555" s="206"/>
      <c r="BT1555" s="206"/>
      <c r="BU1555" s="206"/>
      <c r="BV1555" s="206"/>
      <c r="BW1555" s="206"/>
      <c r="BX1555" s="206"/>
      <c r="BY1555" s="206"/>
      <c r="BZ1555" s="206"/>
      <c r="CA1555" s="206"/>
      <c r="CB1555" s="206"/>
      <c r="CC1555" s="206"/>
      <c r="CD1555" s="206"/>
      <c r="CE1555" s="206"/>
      <c r="CF1555" s="206"/>
      <c r="CG1555" s="206"/>
      <c r="CH1555" s="206"/>
      <c r="CI1555" s="206"/>
      <c r="CJ1555" s="206"/>
      <c r="CK1555" s="206"/>
      <c r="CL1555" s="206"/>
      <c r="CM1555" s="206"/>
      <c r="CN1555" s="206"/>
      <c r="CO1555" s="206"/>
      <c r="CP1555" s="206"/>
      <c r="CQ1555" s="206"/>
      <c r="CR1555" s="206"/>
      <c r="CS1555" s="206"/>
      <c r="CT1555" s="206"/>
      <c r="CU1555" s="206"/>
      <c r="CV1555" s="206"/>
      <c r="CW1555" s="206"/>
      <c r="CX1555" s="206"/>
      <c r="CY1555" s="206"/>
      <c r="CZ1555" s="206"/>
      <c r="DA1555" s="206"/>
      <c r="DB1555" s="206"/>
      <c r="DC1555" s="206"/>
      <c r="DD1555" s="206"/>
      <c r="DE1555" s="206"/>
      <c r="DF1555" s="206"/>
      <c r="DG1555" s="206"/>
      <c r="DH1555" s="206"/>
      <c r="DI1555" s="206"/>
      <c r="DJ1555" s="206"/>
      <c r="DK1555" s="206"/>
      <c r="DL1555" s="206"/>
      <c r="DM1555" s="206"/>
      <c r="DN1555" s="206"/>
      <c r="DO1555" s="206"/>
      <c r="DP1555" s="206"/>
      <c r="DQ1555" s="206"/>
      <c r="DR1555" s="206"/>
      <c r="DS1555" s="206"/>
      <c r="DT1555" s="206"/>
      <c r="DU1555" s="206"/>
      <c r="DV1555" s="206"/>
      <c r="DW1555" s="206"/>
      <c r="DX1555" s="206"/>
      <c r="DY1555" s="206"/>
      <c r="DZ1555" s="206"/>
      <c r="EA1555" s="206"/>
      <c r="EB1555" s="206"/>
      <c r="EC1555" s="206"/>
      <c r="ED1555" s="206"/>
      <c r="EE1555" s="206"/>
      <c r="EF1555" s="206"/>
      <c r="EG1555" s="206"/>
      <c r="EH1555" s="206"/>
      <c r="EI1555" s="206"/>
      <c r="EJ1555" s="206"/>
      <c r="EK1555" s="206"/>
      <c r="EL1555" s="206"/>
      <c r="EM1555" s="206"/>
      <c r="EN1555" s="206"/>
      <c r="EO1555" s="206"/>
      <c r="EP1555" s="206"/>
      <c r="EQ1555" s="206"/>
      <c r="ER1555" s="206"/>
      <c r="ES1555" s="206"/>
      <c r="ET1555" s="206"/>
      <c r="EU1555" s="206"/>
      <c r="EV1555" s="206"/>
      <c r="EW1555" s="206"/>
      <c r="EX1555" s="206"/>
      <c r="EY1555" s="206"/>
      <c r="EZ1555" s="206"/>
      <c r="FA1555" s="206"/>
      <c r="FB1555" s="206"/>
      <c r="FC1555" s="206"/>
      <c r="FD1555" s="206"/>
      <c r="FE1555" s="206"/>
      <c r="FF1555" s="206"/>
      <c r="FG1555" s="206"/>
      <c r="FH1555" s="206"/>
      <c r="FI1555" s="206"/>
      <c r="FJ1555" s="206"/>
      <c r="FK1555" s="206"/>
      <c r="FL1555" s="206"/>
      <c r="FM1555" s="206"/>
      <c r="FN1555" s="206"/>
      <c r="FO1555" s="206"/>
      <c r="FP1555" s="206"/>
      <c r="FQ1555" s="206"/>
      <c r="FR1555" s="206"/>
      <c r="FS1555" s="206"/>
      <c r="FT1555" s="206"/>
      <c r="FU1555" s="206"/>
      <c r="FV1555" s="206"/>
      <c r="FW1555" s="206"/>
      <c r="FX1555" s="206"/>
      <c r="FY1555" s="206"/>
      <c r="FZ1555" s="206"/>
      <c r="GA1555" s="206"/>
      <c r="GB1555" s="206"/>
      <c r="GC1555" s="206"/>
      <c r="GD1555" s="206"/>
      <c r="GE1555" s="206"/>
      <c r="GF1555" s="206"/>
      <c r="GG1555" s="206"/>
      <c r="GH1555" s="206"/>
      <c r="GI1555" s="206"/>
      <c r="GJ1555" s="206"/>
      <c r="GK1555" s="206"/>
      <c r="GL1555" s="206"/>
      <c r="GM1555" s="206"/>
      <c r="GN1555" s="206"/>
      <c r="GO1555" s="206"/>
      <c r="GP1555" s="206"/>
      <c r="GQ1555" s="206"/>
      <c r="GR1555" s="206"/>
      <c r="GS1555" s="206"/>
      <c r="GT1555" s="206"/>
      <c r="GU1555" s="206"/>
      <c r="GV1555" s="206"/>
      <c r="GW1555" s="206"/>
      <c r="GX1555" s="206"/>
      <c r="GY1555" s="206"/>
      <c r="GZ1555" s="206"/>
      <c r="HA1555" s="206"/>
      <c r="HB1555" s="206"/>
      <c r="HC1555" s="206"/>
      <c r="HD1555" s="206"/>
      <c r="HE1555" s="206"/>
      <c r="HF1555" s="206"/>
      <c r="HG1555" s="206"/>
      <c r="HH1555" s="206"/>
      <c r="HI1555" s="206"/>
      <c r="HJ1555" s="206"/>
      <c r="HK1555" s="206"/>
      <c r="HL1555" s="206"/>
      <c r="HM1555" s="206"/>
      <c r="HN1555" s="206"/>
      <c r="HO1555" s="206"/>
      <c r="HP1555" s="206"/>
      <c r="HQ1555" s="206"/>
      <c r="HR1555" s="206"/>
      <c r="HS1555" s="206"/>
      <c r="HT1555" s="206"/>
      <c r="HU1555" s="206"/>
      <c r="HV1555" s="206"/>
      <c r="HW1555" s="206"/>
      <c r="HX1555" s="206"/>
      <c r="HY1555" s="206"/>
      <c r="HZ1555" s="206"/>
      <c r="IA1555" s="206"/>
      <c r="IB1555" s="206"/>
      <c r="IC1555" s="206"/>
      <c r="ID1555" s="206"/>
      <c r="IE1555" s="206"/>
      <c r="IF1555" s="206"/>
      <c r="IG1555" s="206"/>
      <c r="IH1555" s="206"/>
      <c r="II1555" s="206"/>
      <c r="IJ1555" s="206"/>
      <c r="IK1555" s="206"/>
      <c r="IL1555" s="206"/>
      <c r="IM1555" s="206"/>
      <c r="IN1555" s="206"/>
      <c r="IO1555" s="206"/>
      <c r="IP1555" s="206"/>
      <c r="IQ1555" s="206"/>
      <c r="IR1555" s="206"/>
      <c r="IS1555" s="206"/>
      <c r="IT1555" s="206"/>
      <c r="IU1555" s="206"/>
      <c r="IV1555" s="206"/>
      <c r="IW1555" s="206"/>
      <c r="IX1555" s="206"/>
      <c r="IY1555" s="206"/>
      <c r="IZ1555" s="206"/>
      <c r="JA1555" s="206"/>
      <c r="JB1555" s="206"/>
      <c r="JC1555" s="206"/>
      <c r="JD1555" s="206"/>
      <c r="JE1555" s="206"/>
      <c r="JF1555" s="206"/>
      <c r="JG1555" s="206"/>
      <c r="JH1555" s="206"/>
      <c r="JI1555" s="206"/>
      <c r="JJ1555" s="206"/>
      <c r="JK1555" s="206"/>
      <c r="JL1555" s="206"/>
      <c r="JM1555" s="206"/>
      <c r="JN1555" s="206"/>
      <c r="JO1555" s="206"/>
      <c r="JP1555" s="206"/>
      <c r="JQ1555" s="206"/>
      <c r="JR1555" s="206"/>
      <c r="JS1555" s="206"/>
      <c r="JT1555" s="206"/>
      <c r="JU1555" s="206"/>
      <c r="JV1555" s="206"/>
      <c r="JW1555" s="206"/>
      <c r="JX1555" s="206"/>
      <c r="JY1555" s="206"/>
      <c r="JZ1555" s="206"/>
      <c r="KA1555" s="206"/>
      <c r="KB1555" s="206"/>
      <c r="KC1555" s="206"/>
      <c r="KD1555" s="206"/>
      <c r="KE1555" s="206"/>
      <c r="KF1555" s="206"/>
      <c r="KG1555" s="206"/>
      <c r="KH1555" s="206"/>
      <c r="KI1555" s="206"/>
      <c r="KJ1555" s="206"/>
      <c r="KK1555" s="206"/>
      <c r="KL1555" s="206"/>
      <c r="KM1555" s="206"/>
      <c r="KN1555" s="206"/>
      <c r="KO1555" s="206"/>
      <c r="KP1555" s="206"/>
      <c r="KQ1555" s="206"/>
      <c r="KR1555" s="206"/>
      <c r="KS1555" s="206"/>
      <c r="KT1555" s="206"/>
      <c r="KU1555" s="206"/>
      <c r="KV1555" s="206"/>
      <c r="KW1555" s="206"/>
      <c r="KX1555" s="206"/>
      <c r="KY1555" s="206"/>
      <c r="KZ1555" s="206"/>
      <c r="LA1555" s="206"/>
      <c r="LB1555" s="206"/>
      <c r="LC1555" s="206"/>
      <c r="LD1555" s="206"/>
      <c r="LE1555" s="206"/>
      <c r="LF1555" s="206"/>
      <c r="LG1555" s="206"/>
      <c r="LH1555" s="206"/>
      <c r="LI1555" s="206"/>
      <c r="LJ1555" s="206"/>
      <c r="LK1555" s="206"/>
      <c r="LL1555" s="206"/>
      <c r="LM1555" s="206"/>
      <c r="LN1555" s="206"/>
      <c r="LO1555" s="206"/>
      <c r="LP1555" s="206"/>
      <c r="LQ1555" s="206"/>
      <c r="LR1555" s="206"/>
      <c r="LS1555" s="206"/>
      <c r="LT1555" s="206"/>
      <c r="LU1555" s="206"/>
      <c r="LV1555" s="206"/>
      <c r="LW1555" s="206"/>
      <c r="LX1555" s="206"/>
      <c r="LY1555" s="206"/>
      <c r="LZ1555" s="206"/>
      <c r="MA1555" s="206"/>
      <c r="MB1555" s="206"/>
      <c r="MC1555" s="206"/>
      <c r="MD1555" s="206"/>
      <c r="ME1555" s="206"/>
      <c r="MF1555" s="206"/>
      <c r="MG1555" s="206"/>
      <c r="MH1555" s="206"/>
      <c r="MI1555" s="206"/>
      <c r="MJ1555" s="206"/>
      <c r="MK1555" s="206"/>
      <c r="ML1555" s="206"/>
      <c r="MM1555" s="206"/>
      <c r="MN1555" s="206"/>
      <c r="MO1555" s="206"/>
      <c r="MP1555" s="206"/>
      <c r="MQ1555" s="206"/>
      <c r="MR1555" s="206"/>
      <c r="MS1555" s="206"/>
      <c r="MT1555" s="206"/>
      <c r="MU1555" s="206"/>
      <c r="MV1555" s="206"/>
      <c r="MW1555" s="206"/>
      <c r="MX1555" s="206"/>
      <c r="MY1555" s="206"/>
      <c r="MZ1555" s="206"/>
      <c r="NA1555" s="206"/>
      <c r="NB1555" s="206"/>
      <c r="NC1555" s="206"/>
      <c r="ND1555" s="206"/>
      <c r="NE1555" s="206"/>
      <c r="NF1555" s="206"/>
      <c r="NG1555" s="206"/>
      <c r="NH1555" s="206"/>
      <c r="NI1555" s="206"/>
      <c r="NJ1555" s="206"/>
      <c r="NK1555" s="206"/>
      <c r="NL1555" s="206"/>
      <c r="NM1555" s="206"/>
      <c r="NN1555" s="206"/>
      <c r="NO1555" s="206"/>
      <c r="NP1555" s="206"/>
      <c r="NQ1555" s="206"/>
      <c r="NR1555" s="206"/>
      <c r="NS1555" s="206"/>
      <c r="NT1555" s="206"/>
      <c r="NU1555" s="206"/>
      <c r="NV1555" s="206"/>
      <c r="NW1555" s="206"/>
      <c r="NX1555" s="206"/>
      <c r="NY1555" s="206"/>
      <c r="NZ1555" s="206"/>
      <c r="OA1555" s="206"/>
      <c r="OB1555" s="206"/>
      <c r="OC1555" s="206"/>
      <c r="OD1555" s="206"/>
      <c r="OE1555" s="206"/>
      <c r="OF1555" s="206"/>
      <c r="OG1555" s="206"/>
      <c r="OH1555" s="206"/>
      <c r="OI1555" s="206"/>
      <c r="OJ1555" s="206"/>
      <c r="OK1555" s="206"/>
      <c r="OL1555" s="206"/>
      <c r="OM1555" s="206"/>
      <c r="ON1555" s="206"/>
      <c r="OO1555" s="206"/>
      <c r="OP1555" s="206"/>
      <c r="OQ1555" s="206"/>
      <c r="OR1555" s="206"/>
      <c r="OS1555" s="206"/>
      <c r="OT1555" s="206"/>
      <c r="OU1555" s="206"/>
      <c r="OV1555" s="206"/>
      <c r="OW1555" s="206"/>
      <c r="OX1555" s="206"/>
      <c r="OY1555" s="206"/>
      <c r="OZ1555" s="206"/>
      <c r="PA1555" s="206"/>
      <c r="PB1555" s="206"/>
      <c r="PC1555" s="206"/>
      <c r="PD1555" s="206"/>
      <c r="PE1555" s="206"/>
      <c r="PF1555" s="206"/>
      <c r="PG1555" s="206"/>
      <c r="PH1555" s="206"/>
      <c r="PI1555" s="206"/>
      <c r="PJ1555" s="206"/>
      <c r="PK1555" s="206"/>
      <c r="PL1555" s="206"/>
      <c r="PM1555" s="206"/>
      <c r="PN1555" s="206"/>
      <c r="PO1555" s="206"/>
      <c r="PP1555" s="206"/>
      <c r="PQ1555" s="206"/>
      <c r="PR1555" s="206"/>
      <c r="PS1555" s="206"/>
      <c r="PT1555" s="206"/>
      <c r="PU1555" s="206"/>
      <c r="PV1555" s="206"/>
      <c r="PW1555" s="206"/>
      <c r="PX1555" s="206"/>
      <c r="PY1555" s="206"/>
      <c r="PZ1555" s="206"/>
      <c r="QA1555" s="206"/>
      <c r="QB1555" s="206"/>
      <c r="QC1555" s="206"/>
      <c r="QD1555" s="206"/>
      <c r="QE1555" s="206"/>
      <c r="QF1555" s="206"/>
      <c r="QG1555" s="206"/>
      <c r="QH1555" s="206"/>
      <c r="QI1555" s="206"/>
      <c r="QJ1555" s="206"/>
      <c r="QK1555" s="206"/>
      <c r="QL1555" s="206"/>
      <c r="QM1555" s="206"/>
      <c r="QN1555" s="206"/>
      <c r="QO1555" s="206"/>
      <c r="QP1555" s="206"/>
      <c r="QQ1555" s="206"/>
      <c r="QR1555" s="206"/>
      <c r="QS1555" s="206"/>
      <c r="QT1555" s="206"/>
      <c r="QU1555" s="206"/>
      <c r="QV1555" s="206"/>
      <c r="QW1555" s="206"/>
      <c r="QX1555" s="206"/>
      <c r="QY1555" s="206"/>
      <c r="QZ1555" s="206"/>
      <c r="RA1555" s="206"/>
      <c r="RB1555" s="206"/>
      <c r="RC1555" s="206"/>
      <c r="RD1555" s="206"/>
      <c r="RE1555" s="206"/>
      <c r="RF1555" s="206"/>
      <c r="RG1555" s="206"/>
      <c r="RH1555" s="206"/>
      <c r="RI1555" s="206"/>
      <c r="RJ1555" s="206"/>
      <c r="RK1555" s="206"/>
      <c r="RL1555" s="206"/>
      <c r="RM1555" s="206"/>
      <c r="RN1555" s="206"/>
      <c r="RO1555" s="206"/>
      <c r="RP1555" s="206"/>
      <c r="RQ1555" s="206"/>
      <c r="RR1555" s="206"/>
      <c r="RS1555" s="206"/>
      <c r="RT1555" s="206"/>
      <c r="RU1555" s="206"/>
      <c r="RV1555" s="206"/>
      <c r="RW1555" s="206"/>
      <c r="RX1555" s="206"/>
      <c r="RY1555" s="206"/>
      <c r="RZ1555" s="206"/>
      <c r="SA1555" s="206"/>
      <c r="SB1555" s="206"/>
      <c r="SC1555" s="206"/>
      <c r="SD1555" s="206"/>
      <c r="SE1555" s="206"/>
      <c r="SF1555" s="206"/>
      <c r="SG1555" s="206"/>
      <c r="SH1555" s="206"/>
      <c r="SI1555" s="206"/>
      <c r="SJ1555" s="206"/>
      <c r="SK1555" s="206"/>
      <c r="SL1555" s="206"/>
      <c r="SM1555" s="206"/>
      <c r="SN1555" s="206"/>
      <c r="SO1555" s="206"/>
      <c r="SP1555" s="206"/>
      <c r="SQ1555" s="206"/>
      <c r="SR1555" s="206"/>
      <c r="SS1555" s="206"/>
      <c r="ST1555" s="206"/>
      <c r="SU1555" s="206"/>
      <c r="SV1555" s="206"/>
      <c r="SW1555" s="206"/>
      <c r="SX1555" s="206"/>
      <c r="SY1555" s="206"/>
      <c r="SZ1555" s="206"/>
      <c r="TA1555" s="206"/>
      <c r="TB1555" s="206"/>
      <c r="TC1555" s="206"/>
      <c r="TD1555" s="206"/>
      <c r="TE1555" s="206"/>
      <c r="TF1555" s="206"/>
      <c r="TG1555" s="206"/>
      <c r="TH1555" s="206"/>
      <c r="TI1555" s="206"/>
      <c r="TJ1555" s="206"/>
      <c r="TK1555" s="206"/>
      <c r="TL1555" s="206"/>
      <c r="TM1555" s="206"/>
      <c r="TN1555" s="206"/>
      <c r="TO1555" s="206"/>
      <c r="TP1555" s="206"/>
      <c r="TQ1555" s="206"/>
      <c r="TR1555" s="206"/>
      <c r="TS1555" s="206"/>
      <c r="TT1555" s="206"/>
      <c r="TU1555" s="206"/>
      <c r="TV1555" s="206"/>
      <c r="TW1555" s="206"/>
      <c r="TX1555" s="206"/>
      <c r="TY1555" s="206"/>
      <c r="TZ1555" s="206"/>
      <c r="UA1555" s="206"/>
      <c r="UB1555" s="206"/>
      <c r="UC1555" s="206"/>
      <c r="UD1555" s="206"/>
    </row>
    <row r="1556" spans="1:550" s="874" customFormat="1" ht="207.75" customHeight="1">
      <c r="A1556" s="924"/>
      <c r="B1556" s="940"/>
      <c r="C1556" s="942" t="s">
        <v>25</v>
      </c>
      <c r="D1556" s="940">
        <v>2</v>
      </c>
      <c r="E1556" s="940">
        <v>304</v>
      </c>
      <c r="F1556" s="940"/>
      <c r="G1556" s="943" t="s">
        <v>1357</v>
      </c>
      <c r="H1556" s="950">
        <v>236.2</v>
      </c>
      <c r="I1556" s="951">
        <v>236.2</v>
      </c>
      <c r="J1556" s="1003">
        <v>62000</v>
      </c>
      <c r="K1556" s="952"/>
      <c r="L1556" s="947">
        <f t="shared" ref="L1556:L1557" si="237">ROUND(PRODUCT(I1556:K1556),0)</f>
        <v>14644400</v>
      </c>
      <c r="M1556" s="948"/>
      <c r="N1556" s="948"/>
      <c r="O1556" s="949"/>
      <c r="P1556" s="949"/>
      <c r="Q1556" s="1173" t="s">
        <v>1368</v>
      </c>
      <c r="R1556" s="1447" t="s">
        <v>865</v>
      </c>
      <c r="S1556" s="486"/>
      <c r="T1556" s="486"/>
      <c r="U1556" s="486"/>
      <c r="V1556" s="486"/>
      <c r="W1556" s="486"/>
      <c r="X1556" s="486"/>
      <c r="Y1556" s="486"/>
      <c r="Z1556" s="486"/>
      <c r="AA1556" s="1117">
        <f>I1556</f>
        <v>236.2</v>
      </c>
      <c r="AB1556" s="486"/>
      <c r="AC1556" s="486"/>
      <c r="AD1556" s="486"/>
      <c r="AE1556" s="486"/>
      <c r="AF1556" s="486"/>
      <c r="AG1556" s="486"/>
      <c r="AH1556" s="486"/>
      <c r="AI1556" s="486"/>
      <c r="AJ1556" s="486"/>
      <c r="AK1556" s="486"/>
      <c r="AL1556" s="206"/>
      <c r="AM1556" s="206"/>
      <c r="AN1556" s="206"/>
      <c r="AO1556" s="206"/>
      <c r="AP1556" s="206"/>
      <c r="AQ1556" s="206"/>
      <c r="AR1556" s="206"/>
      <c r="AS1556" s="206"/>
      <c r="AT1556" s="206"/>
      <c r="AU1556" s="206"/>
      <c r="AV1556" s="206"/>
      <c r="AW1556" s="206"/>
      <c r="AX1556" s="206"/>
      <c r="AY1556" s="206"/>
      <c r="AZ1556" s="206"/>
      <c r="BA1556" s="206"/>
      <c r="BB1556" s="206"/>
      <c r="BC1556" s="206"/>
      <c r="BD1556" s="206"/>
      <c r="BE1556" s="206"/>
      <c r="BF1556" s="206"/>
      <c r="BG1556" s="206"/>
      <c r="BH1556" s="206"/>
      <c r="BI1556" s="206"/>
      <c r="BJ1556" s="206"/>
      <c r="BK1556" s="206"/>
      <c r="BL1556" s="206"/>
      <c r="BM1556" s="206"/>
      <c r="BN1556" s="206"/>
      <c r="BO1556" s="206"/>
      <c r="BP1556" s="206"/>
      <c r="BQ1556" s="206"/>
      <c r="BR1556" s="206"/>
      <c r="BS1556" s="206"/>
      <c r="BT1556" s="206"/>
      <c r="BU1556" s="206"/>
      <c r="BV1556" s="206"/>
      <c r="BW1556" s="206"/>
      <c r="BX1556" s="206"/>
      <c r="BY1556" s="206"/>
      <c r="BZ1556" s="206"/>
      <c r="CA1556" s="206"/>
      <c r="CB1556" s="206"/>
      <c r="CC1556" s="206"/>
      <c r="CD1556" s="206"/>
      <c r="CE1556" s="206"/>
      <c r="CF1556" s="206"/>
      <c r="CG1556" s="206"/>
      <c r="CH1556" s="206"/>
      <c r="CI1556" s="206"/>
      <c r="CJ1556" s="206"/>
      <c r="CK1556" s="206"/>
      <c r="CL1556" s="206"/>
      <c r="CM1556" s="206"/>
      <c r="CN1556" s="206"/>
      <c r="CO1556" s="206"/>
      <c r="CP1556" s="206"/>
      <c r="CQ1556" s="206"/>
      <c r="CR1556" s="206"/>
      <c r="CS1556" s="206"/>
      <c r="CT1556" s="206"/>
      <c r="CU1556" s="206"/>
      <c r="CV1556" s="206"/>
      <c r="CW1556" s="206"/>
      <c r="CX1556" s="206"/>
      <c r="CY1556" s="206"/>
      <c r="CZ1556" s="206"/>
      <c r="DA1556" s="206"/>
      <c r="DB1556" s="206"/>
      <c r="DC1556" s="206"/>
      <c r="DD1556" s="206"/>
      <c r="DE1556" s="206"/>
      <c r="DF1556" s="206"/>
      <c r="DG1556" s="206"/>
      <c r="DH1556" s="206"/>
      <c r="DI1556" s="206"/>
      <c r="DJ1556" s="206"/>
      <c r="DK1556" s="206"/>
      <c r="DL1556" s="206"/>
      <c r="DM1556" s="206"/>
      <c r="DN1556" s="206"/>
      <c r="DO1556" s="206"/>
      <c r="DP1556" s="206"/>
      <c r="DQ1556" s="206"/>
      <c r="DR1556" s="206"/>
      <c r="DS1556" s="206"/>
      <c r="DT1556" s="206"/>
      <c r="DU1556" s="206"/>
      <c r="DV1556" s="206"/>
      <c r="DW1556" s="206"/>
      <c r="DX1556" s="206"/>
      <c r="DY1556" s="206"/>
      <c r="DZ1556" s="206"/>
      <c r="EA1556" s="206"/>
      <c r="EB1556" s="206"/>
      <c r="EC1556" s="206"/>
      <c r="ED1556" s="206"/>
      <c r="EE1556" s="206"/>
      <c r="EF1556" s="206"/>
      <c r="EG1556" s="206"/>
      <c r="EH1556" s="206"/>
      <c r="EI1556" s="206"/>
      <c r="EJ1556" s="206"/>
      <c r="EK1556" s="206"/>
      <c r="EL1556" s="206"/>
      <c r="EM1556" s="206"/>
      <c r="EN1556" s="206"/>
      <c r="EO1556" s="206"/>
      <c r="EP1556" s="206"/>
      <c r="EQ1556" s="206"/>
      <c r="ER1556" s="206"/>
      <c r="ES1556" s="206"/>
      <c r="ET1556" s="206"/>
      <c r="EU1556" s="206"/>
      <c r="EV1556" s="206"/>
      <c r="EW1556" s="206"/>
      <c r="EX1556" s="206"/>
      <c r="EY1556" s="206"/>
      <c r="EZ1556" s="206"/>
      <c r="FA1556" s="206"/>
      <c r="FB1556" s="206"/>
      <c r="FC1556" s="206"/>
      <c r="FD1556" s="206"/>
      <c r="FE1556" s="206"/>
      <c r="FF1556" s="206"/>
      <c r="FG1556" s="206"/>
      <c r="FH1556" s="206"/>
      <c r="FI1556" s="206"/>
      <c r="FJ1556" s="206"/>
      <c r="FK1556" s="206"/>
      <c r="FL1556" s="206"/>
      <c r="FM1556" s="206"/>
      <c r="FN1556" s="206"/>
      <c r="FO1556" s="206"/>
      <c r="FP1556" s="206"/>
      <c r="FQ1556" s="206"/>
      <c r="FR1556" s="206"/>
      <c r="FS1556" s="206"/>
      <c r="FT1556" s="206"/>
      <c r="FU1556" s="206"/>
      <c r="FV1556" s="206"/>
      <c r="FW1556" s="206"/>
      <c r="FX1556" s="206"/>
      <c r="FY1556" s="206"/>
      <c r="FZ1556" s="206"/>
      <c r="GA1556" s="206"/>
      <c r="GB1556" s="206"/>
      <c r="GC1556" s="206"/>
      <c r="GD1556" s="206"/>
      <c r="GE1556" s="206"/>
      <c r="GF1556" s="206"/>
      <c r="GG1556" s="206"/>
      <c r="GH1556" s="206"/>
      <c r="GI1556" s="206"/>
      <c r="GJ1556" s="206"/>
      <c r="GK1556" s="206"/>
      <c r="GL1556" s="206"/>
      <c r="GM1556" s="206"/>
      <c r="GN1556" s="206"/>
      <c r="GO1556" s="206"/>
      <c r="GP1556" s="206"/>
      <c r="GQ1556" s="206"/>
      <c r="GR1556" s="206"/>
      <c r="GS1556" s="206"/>
      <c r="GT1556" s="206"/>
      <c r="GU1556" s="206"/>
      <c r="GV1556" s="206"/>
      <c r="GW1556" s="206"/>
      <c r="GX1556" s="206"/>
      <c r="GY1556" s="206"/>
      <c r="GZ1556" s="206"/>
      <c r="HA1556" s="206"/>
      <c r="HB1556" s="206"/>
      <c r="HC1556" s="206"/>
      <c r="HD1556" s="206"/>
      <c r="HE1556" s="206"/>
      <c r="HF1556" s="206"/>
      <c r="HG1556" s="206"/>
      <c r="HH1556" s="206"/>
      <c r="HI1556" s="206"/>
      <c r="HJ1556" s="206"/>
      <c r="HK1556" s="206"/>
      <c r="HL1556" s="206"/>
      <c r="HM1556" s="206"/>
      <c r="HN1556" s="206"/>
      <c r="HO1556" s="206"/>
      <c r="HP1556" s="206"/>
      <c r="HQ1556" s="206"/>
      <c r="HR1556" s="206"/>
      <c r="HS1556" s="206"/>
      <c r="HT1556" s="206"/>
      <c r="HU1556" s="206"/>
      <c r="HV1556" s="206"/>
      <c r="HW1556" s="206"/>
      <c r="HX1556" s="206"/>
      <c r="HY1556" s="206"/>
      <c r="HZ1556" s="206"/>
      <c r="IA1556" s="206"/>
      <c r="IB1556" s="206"/>
      <c r="IC1556" s="206"/>
      <c r="ID1556" s="206"/>
      <c r="IE1556" s="206"/>
      <c r="IF1556" s="206"/>
      <c r="IG1556" s="206"/>
      <c r="IH1556" s="206"/>
      <c r="II1556" s="206"/>
      <c r="IJ1556" s="206"/>
      <c r="IK1556" s="206"/>
      <c r="IL1556" s="206"/>
      <c r="IM1556" s="206"/>
      <c r="IN1556" s="206"/>
      <c r="IO1556" s="206"/>
      <c r="IP1556" s="206"/>
      <c r="IQ1556" s="206"/>
      <c r="IR1556" s="206"/>
      <c r="IS1556" s="206"/>
      <c r="IT1556" s="206"/>
      <c r="IU1556" s="206"/>
      <c r="IV1556" s="206"/>
      <c r="IW1556" s="206"/>
      <c r="IX1556" s="206"/>
      <c r="IY1556" s="206"/>
      <c r="IZ1556" s="206"/>
      <c r="JA1556" s="206"/>
      <c r="JB1556" s="206"/>
      <c r="JC1556" s="206"/>
      <c r="JD1556" s="206"/>
      <c r="JE1556" s="206"/>
      <c r="JF1556" s="206"/>
      <c r="JG1556" s="206"/>
      <c r="JH1556" s="206"/>
      <c r="JI1556" s="206"/>
      <c r="JJ1556" s="206"/>
      <c r="JK1556" s="206"/>
      <c r="JL1556" s="206"/>
      <c r="JM1556" s="206"/>
      <c r="JN1556" s="206"/>
      <c r="JO1556" s="206"/>
      <c r="JP1556" s="206"/>
      <c r="JQ1556" s="206"/>
      <c r="JR1556" s="206"/>
      <c r="JS1556" s="206"/>
      <c r="JT1556" s="206"/>
      <c r="JU1556" s="206"/>
      <c r="JV1556" s="206"/>
      <c r="JW1556" s="206"/>
      <c r="JX1556" s="206"/>
      <c r="JY1556" s="206"/>
      <c r="JZ1556" s="206"/>
      <c r="KA1556" s="206"/>
      <c r="KB1556" s="206"/>
      <c r="KC1556" s="206"/>
      <c r="KD1556" s="206"/>
      <c r="KE1556" s="206"/>
      <c r="KF1556" s="206"/>
      <c r="KG1556" s="206"/>
      <c r="KH1556" s="206"/>
      <c r="KI1556" s="206"/>
      <c r="KJ1556" s="206"/>
      <c r="KK1556" s="206"/>
      <c r="KL1556" s="206"/>
      <c r="KM1556" s="206"/>
      <c r="KN1556" s="206"/>
      <c r="KO1556" s="206"/>
      <c r="KP1556" s="206"/>
      <c r="KQ1556" s="206"/>
      <c r="KR1556" s="206"/>
      <c r="KS1556" s="206"/>
      <c r="KT1556" s="206"/>
      <c r="KU1556" s="206"/>
      <c r="KV1556" s="206"/>
      <c r="KW1556" s="206"/>
      <c r="KX1556" s="206"/>
      <c r="KY1556" s="206"/>
      <c r="KZ1556" s="206"/>
      <c r="LA1556" s="206"/>
      <c r="LB1556" s="206"/>
      <c r="LC1556" s="206"/>
      <c r="LD1556" s="206"/>
      <c r="LE1556" s="206"/>
      <c r="LF1556" s="206"/>
      <c r="LG1556" s="206"/>
      <c r="LH1556" s="206"/>
      <c r="LI1556" s="206"/>
      <c r="LJ1556" s="206"/>
      <c r="LK1556" s="206"/>
      <c r="LL1556" s="206"/>
      <c r="LM1556" s="206"/>
      <c r="LN1556" s="206"/>
      <c r="LO1556" s="206"/>
      <c r="LP1556" s="206"/>
      <c r="LQ1556" s="206"/>
      <c r="LR1556" s="206"/>
      <c r="LS1556" s="206"/>
      <c r="LT1556" s="206"/>
      <c r="LU1556" s="206"/>
      <c r="LV1556" s="206"/>
      <c r="LW1556" s="206"/>
      <c r="LX1556" s="206"/>
      <c r="LY1556" s="206"/>
      <c r="LZ1556" s="206"/>
      <c r="MA1556" s="206"/>
      <c r="MB1556" s="206"/>
      <c r="MC1556" s="206"/>
      <c r="MD1556" s="206"/>
      <c r="ME1556" s="206"/>
      <c r="MF1556" s="206"/>
      <c r="MG1556" s="206"/>
      <c r="MH1556" s="206"/>
      <c r="MI1556" s="206"/>
      <c r="MJ1556" s="206"/>
      <c r="MK1556" s="206"/>
      <c r="ML1556" s="206"/>
      <c r="MM1556" s="206"/>
      <c r="MN1556" s="206"/>
      <c r="MO1556" s="206"/>
      <c r="MP1556" s="206"/>
      <c r="MQ1556" s="206"/>
      <c r="MR1556" s="206"/>
      <c r="MS1556" s="206"/>
      <c r="MT1556" s="206"/>
      <c r="MU1556" s="206"/>
      <c r="MV1556" s="206"/>
      <c r="MW1556" s="206"/>
      <c r="MX1556" s="206"/>
      <c r="MY1556" s="206"/>
      <c r="MZ1556" s="206"/>
      <c r="NA1556" s="206"/>
      <c r="NB1556" s="206"/>
      <c r="NC1556" s="206"/>
      <c r="ND1556" s="206"/>
      <c r="NE1556" s="206"/>
      <c r="NF1556" s="206"/>
      <c r="NG1556" s="206"/>
      <c r="NH1556" s="206"/>
      <c r="NI1556" s="206"/>
      <c r="NJ1556" s="206"/>
      <c r="NK1556" s="206"/>
      <c r="NL1556" s="206"/>
      <c r="NM1556" s="206"/>
      <c r="NN1556" s="206"/>
      <c r="NO1556" s="206"/>
      <c r="NP1556" s="206"/>
      <c r="NQ1556" s="206"/>
      <c r="NR1556" s="206"/>
      <c r="NS1556" s="206"/>
      <c r="NT1556" s="206"/>
      <c r="NU1556" s="206"/>
      <c r="NV1556" s="206"/>
      <c r="NW1556" s="206"/>
      <c r="NX1556" s="206"/>
      <c r="NY1556" s="206"/>
      <c r="NZ1556" s="206"/>
      <c r="OA1556" s="206"/>
      <c r="OB1556" s="206"/>
      <c r="OC1556" s="206"/>
      <c r="OD1556" s="206"/>
      <c r="OE1556" s="206"/>
      <c r="OF1556" s="206"/>
      <c r="OG1556" s="206"/>
      <c r="OH1556" s="206"/>
      <c r="OI1556" s="206"/>
      <c r="OJ1556" s="206"/>
      <c r="OK1556" s="206"/>
      <c r="OL1556" s="206"/>
      <c r="OM1556" s="206"/>
      <c r="ON1556" s="206"/>
      <c r="OO1556" s="206"/>
      <c r="OP1556" s="206"/>
      <c r="OQ1556" s="206"/>
      <c r="OR1556" s="206"/>
      <c r="OS1556" s="206"/>
      <c r="OT1556" s="206"/>
      <c r="OU1556" s="206"/>
      <c r="OV1556" s="206"/>
      <c r="OW1556" s="206"/>
      <c r="OX1556" s="206"/>
      <c r="OY1556" s="206"/>
      <c r="OZ1556" s="206"/>
      <c r="PA1556" s="206"/>
      <c r="PB1556" s="206"/>
      <c r="PC1556" s="206"/>
      <c r="PD1556" s="206"/>
      <c r="PE1556" s="206"/>
      <c r="PF1556" s="206"/>
      <c r="PG1556" s="206"/>
      <c r="PH1556" s="206"/>
      <c r="PI1556" s="206"/>
      <c r="PJ1556" s="206"/>
      <c r="PK1556" s="206"/>
      <c r="PL1556" s="206"/>
      <c r="PM1556" s="206"/>
      <c r="PN1556" s="206"/>
      <c r="PO1556" s="206"/>
      <c r="PP1556" s="206"/>
      <c r="PQ1556" s="206"/>
      <c r="PR1556" s="206"/>
      <c r="PS1556" s="206"/>
      <c r="PT1556" s="206"/>
      <c r="PU1556" s="206"/>
      <c r="PV1556" s="206"/>
      <c r="PW1556" s="206"/>
      <c r="PX1556" s="206"/>
      <c r="PY1556" s="206"/>
      <c r="PZ1556" s="206"/>
      <c r="QA1556" s="206"/>
      <c r="QB1556" s="206"/>
      <c r="QC1556" s="206"/>
      <c r="QD1556" s="206"/>
      <c r="QE1556" s="206"/>
      <c r="QF1556" s="206"/>
      <c r="QG1556" s="206"/>
      <c r="QH1556" s="206"/>
      <c r="QI1556" s="206"/>
      <c r="QJ1556" s="206"/>
      <c r="QK1556" s="206"/>
      <c r="QL1556" s="206"/>
      <c r="QM1556" s="206"/>
      <c r="QN1556" s="206"/>
      <c r="QO1556" s="206"/>
      <c r="QP1556" s="206"/>
      <c r="QQ1556" s="206"/>
      <c r="QR1556" s="206"/>
      <c r="QS1556" s="206"/>
      <c r="QT1556" s="206"/>
      <c r="QU1556" s="206"/>
      <c r="QV1556" s="206"/>
      <c r="QW1556" s="206"/>
      <c r="QX1556" s="206"/>
      <c r="QY1556" s="206"/>
      <c r="QZ1556" s="206"/>
      <c r="RA1556" s="206"/>
      <c r="RB1556" s="206"/>
      <c r="RC1556" s="206"/>
      <c r="RD1556" s="206"/>
      <c r="RE1556" s="206"/>
      <c r="RF1556" s="206"/>
      <c r="RG1556" s="206"/>
      <c r="RH1556" s="206"/>
      <c r="RI1556" s="206"/>
      <c r="RJ1556" s="206"/>
      <c r="RK1556" s="206"/>
      <c r="RL1556" s="206"/>
      <c r="RM1556" s="206"/>
      <c r="RN1556" s="206"/>
      <c r="RO1556" s="206"/>
      <c r="RP1556" s="206"/>
      <c r="RQ1556" s="206"/>
      <c r="RR1556" s="206"/>
      <c r="RS1556" s="206"/>
      <c r="RT1556" s="206"/>
      <c r="RU1556" s="206"/>
      <c r="RV1556" s="206"/>
      <c r="RW1556" s="206"/>
      <c r="RX1556" s="206"/>
      <c r="RY1556" s="206"/>
      <c r="RZ1556" s="206"/>
      <c r="SA1556" s="206"/>
      <c r="SB1556" s="206"/>
      <c r="SC1556" s="206"/>
      <c r="SD1556" s="206"/>
      <c r="SE1556" s="206"/>
      <c r="SF1556" s="206"/>
      <c r="SG1556" s="206"/>
      <c r="SH1556" s="206"/>
      <c r="SI1556" s="206"/>
      <c r="SJ1556" s="206"/>
      <c r="SK1556" s="206"/>
      <c r="SL1556" s="206"/>
      <c r="SM1556" s="206"/>
      <c r="SN1556" s="206"/>
      <c r="SO1556" s="206"/>
      <c r="SP1556" s="206"/>
      <c r="SQ1556" s="206"/>
      <c r="SR1556" s="206"/>
      <c r="SS1556" s="206"/>
      <c r="ST1556" s="206"/>
      <c r="SU1556" s="206"/>
      <c r="SV1556" s="206"/>
      <c r="SW1556" s="206"/>
      <c r="SX1556" s="206"/>
      <c r="SY1556" s="206"/>
      <c r="SZ1556" s="206"/>
      <c r="TA1556" s="206"/>
      <c r="TB1556" s="206"/>
      <c r="TC1556" s="206"/>
      <c r="TD1556" s="206"/>
      <c r="TE1556" s="206"/>
      <c r="TF1556" s="206"/>
      <c r="TG1556" s="206"/>
      <c r="TH1556" s="206"/>
      <c r="TI1556" s="206"/>
      <c r="TJ1556" s="206"/>
      <c r="TK1556" s="206"/>
      <c r="TL1556" s="206"/>
      <c r="TM1556" s="206"/>
      <c r="TN1556" s="206"/>
      <c r="TO1556" s="206"/>
      <c r="TP1556" s="206"/>
      <c r="TQ1556" s="206"/>
      <c r="TR1556" s="206"/>
      <c r="TS1556" s="206"/>
      <c r="TT1556" s="206"/>
      <c r="TU1556" s="206"/>
      <c r="TV1556" s="206"/>
      <c r="TW1556" s="206"/>
      <c r="TX1556" s="206"/>
      <c r="TY1556" s="206"/>
      <c r="TZ1556" s="206"/>
      <c r="UA1556" s="206"/>
      <c r="UB1556" s="206"/>
      <c r="UC1556" s="206"/>
      <c r="UD1556" s="206"/>
    </row>
    <row r="1557" spans="1:550" s="874" customFormat="1" ht="207.75" customHeight="1">
      <c r="A1557" s="924"/>
      <c r="B1557" s="940"/>
      <c r="C1557" s="942" t="s">
        <v>26</v>
      </c>
      <c r="D1557" s="940">
        <v>2</v>
      </c>
      <c r="E1557" s="940">
        <v>499</v>
      </c>
      <c r="F1557" s="940"/>
      <c r="G1557" s="943" t="s">
        <v>1357</v>
      </c>
      <c r="H1557" s="950">
        <v>70.8</v>
      </c>
      <c r="I1557" s="951">
        <v>70.8</v>
      </c>
      <c r="J1557" s="1003">
        <v>40000</v>
      </c>
      <c r="K1557" s="952"/>
      <c r="L1557" s="947">
        <f t="shared" si="237"/>
        <v>2832000</v>
      </c>
      <c r="M1557" s="948"/>
      <c r="N1557" s="948"/>
      <c r="O1557" s="949"/>
      <c r="P1557" s="949"/>
      <c r="Q1557" s="765" t="s">
        <v>1369</v>
      </c>
      <c r="R1557" s="1452"/>
      <c r="S1557" s="486"/>
      <c r="T1557" s="486"/>
      <c r="U1557" s="486"/>
      <c r="V1557" s="486"/>
      <c r="W1557" s="486"/>
      <c r="X1557" s="486"/>
      <c r="Y1557" s="1117">
        <f>I1557</f>
        <v>70.8</v>
      </c>
      <c r="Z1557" s="486"/>
      <c r="AA1557" s="486"/>
      <c r="AB1557" s="486"/>
      <c r="AC1557" s="486"/>
      <c r="AD1557" s="486"/>
      <c r="AE1557" s="486"/>
      <c r="AF1557" s="486"/>
      <c r="AG1557" s="486"/>
      <c r="AH1557" s="486"/>
      <c r="AI1557" s="486"/>
      <c r="AJ1557" s="486"/>
      <c r="AK1557" s="486"/>
      <c r="AL1557" s="206"/>
      <c r="AM1557" s="206"/>
      <c r="AN1557" s="206"/>
      <c r="AO1557" s="206"/>
      <c r="AP1557" s="206"/>
      <c r="AQ1557" s="206"/>
      <c r="AR1557" s="206"/>
      <c r="AS1557" s="206"/>
      <c r="AT1557" s="206"/>
      <c r="AU1557" s="206"/>
      <c r="AV1557" s="206"/>
      <c r="AW1557" s="206"/>
      <c r="AX1557" s="206"/>
      <c r="AY1557" s="206"/>
      <c r="AZ1557" s="206"/>
      <c r="BA1557" s="206"/>
      <c r="BB1557" s="206"/>
      <c r="BC1557" s="206"/>
      <c r="BD1557" s="206"/>
      <c r="BE1557" s="206"/>
      <c r="BF1557" s="206"/>
      <c r="BG1557" s="206"/>
      <c r="BH1557" s="206"/>
      <c r="BI1557" s="206"/>
      <c r="BJ1557" s="206"/>
      <c r="BK1557" s="206"/>
      <c r="BL1557" s="206"/>
      <c r="BM1557" s="206"/>
      <c r="BN1557" s="206"/>
      <c r="BO1557" s="206"/>
      <c r="BP1557" s="206"/>
      <c r="BQ1557" s="206"/>
      <c r="BR1557" s="206"/>
      <c r="BS1557" s="206"/>
      <c r="BT1557" s="206"/>
      <c r="BU1557" s="206"/>
      <c r="BV1557" s="206"/>
      <c r="BW1557" s="206"/>
      <c r="BX1557" s="206"/>
      <c r="BY1557" s="206"/>
      <c r="BZ1557" s="206"/>
      <c r="CA1557" s="206"/>
      <c r="CB1557" s="206"/>
      <c r="CC1557" s="206"/>
      <c r="CD1557" s="206"/>
      <c r="CE1557" s="206"/>
      <c r="CF1557" s="206"/>
      <c r="CG1557" s="206"/>
      <c r="CH1557" s="206"/>
      <c r="CI1557" s="206"/>
      <c r="CJ1557" s="206"/>
      <c r="CK1557" s="206"/>
      <c r="CL1557" s="206"/>
      <c r="CM1557" s="206"/>
      <c r="CN1557" s="206"/>
      <c r="CO1557" s="206"/>
      <c r="CP1557" s="206"/>
      <c r="CQ1557" s="206"/>
      <c r="CR1557" s="206"/>
      <c r="CS1557" s="206"/>
      <c r="CT1557" s="206"/>
      <c r="CU1557" s="206"/>
      <c r="CV1557" s="206"/>
      <c r="CW1557" s="206"/>
      <c r="CX1557" s="206"/>
      <c r="CY1557" s="206"/>
      <c r="CZ1557" s="206"/>
      <c r="DA1557" s="206"/>
      <c r="DB1557" s="206"/>
      <c r="DC1557" s="206"/>
      <c r="DD1557" s="206"/>
      <c r="DE1557" s="206"/>
      <c r="DF1557" s="206"/>
      <c r="DG1557" s="206"/>
      <c r="DH1557" s="206"/>
      <c r="DI1557" s="206"/>
      <c r="DJ1557" s="206"/>
      <c r="DK1557" s="206"/>
      <c r="DL1557" s="206"/>
      <c r="DM1557" s="206"/>
      <c r="DN1557" s="206"/>
      <c r="DO1557" s="206"/>
      <c r="DP1557" s="206"/>
      <c r="DQ1557" s="206"/>
      <c r="DR1557" s="206"/>
      <c r="DS1557" s="206"/>
      <c r="DT1557" s="206"/>
      <c r="DU1557" s="206"/>
      <c r="DV1557" s="206"/>
      <c r="DW1557" s="206"/>
      <c r="DX1557" s="206"/>
      <c r="DY1557" s="206"/>
      <c r="DZ1557" s="206"/>
      <c r="EA1557" s="206"/>
      <c r="EB1557" s="206"/>
      <c r="EC1557" s="206"/>
      <c r="ED1557" s="206"/>
      <c r="EE1557" s="206"/>
      <c r="EF1557" s="206"/>
      <c r="EG1557" s="206"/>
      <c r="EH1557" s="206"/>
      <c r="EI1557" s="206"/>
      <c r="EJ1557" s="206"/>
      <c r="EK1557" s="206"/>
      <c r="EL1557" s="206"/>
      <c r="EM1557" s="206"/>
      <c r="EN1557" s="206"/>
      <c r="EO1557" s="206"/>
      <c r="EP1557" s="206"/>
      <c r="EQ1557" s="206"/>
      <c r="ER1557" s="206"/>
      <c r="ES1557" s="206"/>
      <c r="ET1557" s="206"/>
      <c r="EU1557" s="206"/>
      <c r="EV1557" s="206"/>
      <c r="EW1557" s="206"/>
      <c r="EX1557" s="206"/>
      <c r="EY1557" s="206"/>
      <c r="EZ1557" s="206"/>
      <c r="FA1557" s="206"/>
      <c r="FB1557" s="206"/>
      <c r="FC1557" s="206"/>
      <c r="FD1557" s="206"/>
      <c r="FE1557" s="206"/>
      <c r="FF1557" s="206"/>
      <c r="FG1557" s="206"/>
      <c r="FH1557" s="206"/>
      <c r="FI1557" s="206"/>
      <c r="FJ1557" s="206"/>
      <c r="FK1557" s="206"/>
      <c r="FL1557" s="206"/>
      <c r="FM1557" s="206"/>
      <c r="FN1557" s="206"/>
      <c r="FO1557" s="206"/>
      <c r="FP1557" s="206"/>
      <c r="FQ1557" s="206"/>
      <c r="FR1557" s="206"/>
      <c r="FS1557" s="206"/>
      <c r="FT1557" s="206"/>
      <c r="FU1557" s="206"/>
      <c r="FV1557" s="206"/>
      <c r="FW1557" s="206"/>
      <c r="FX1557" s="206"/>
      <c r="FY1557" s="206"/>
      <c r="FZ1557" s="206"/>
      <c r="GA1557" s="206"/>
      <c r="GB1557" s="206"/>
      <c r="GC1557" s="206"/>
      <c r="GD1557" s="206"/>
      <c r="GE1557" s="206"/>
      <c r="GF1557" s="206"/>
      <c r="GG1557" s="206"/>
      <c r="GH1557" s="206"/>
      <c r="GI1557" s="206"/>
      <c r="GJ1557" s="206"/>
      <c r="GK1557" s="206"/>
      <c r="GL1557" s="206"/>
      <c r="GM1557" s="206"/>
      <c r="GN1557" s="206"/>
      <c r="GO1557" s="206"/>
      <c r="GP1557" s="206"/>
      <c r="GQ1557" s="206"/>
      <c r="GR1557" s="206"/>
      <c r="GS1557" s="206"/>
      <c r="GT1557" s="206"/>
      <c r="GU1557" s="206"/>
      <c r="GV1557" s="206"/>
      <c r="GW1557" s="206"/>
      <c r="GX1557" s="206"/>
      <c r="GY1557" s="206"/>
      <c r="GZ1557" s="206"/>
      <c r="HA1557" s="206"/>
      <c r="HB1557" s="206"/>
      <c r="HC1557" s="206"/>
      <c r="HD1557" s="206"/>
      <c r="HE1557" s="206"/>
      <c r="HF1557" s="206"/>
      <c r="HG1557" s="206"/>
      <c r="HH1557" s="206"/>
      <c r="HI1557" s="206"/>
      <c r="HJ1557" s="206"/>
      <c r="HK1557" s="206"/>
      <c r="HL1557" s="206"/>
      <c r="HM1557" s="206"/>
      <c r="HN1557" s="206"/>
      <c r="HO1557" s="206"/>
      <c r="HP1557" s="206"/>
      <c r="HQ1557" s="206"/>
      <c r="HR1557" s="206"/>
      <c r="HS1557" s="206"/>
      <c r="HT1557" s="206"/>
      <c r="HU1557" s="206"/>
      <c r="HV1557" s="206"/>
      <c r="HW1557" s="206"/>
      <c r="HX1557" s="206"/>
      <c r="HY1557" s="206"/>
      <c r="HZ1557" s="206"/>
      <c r="IA1557" s="206"/>
      <c r="IB1557" s="206"/>
      <c r="IC1557" s="206"/>
      <c r="ID1557" s="206"/>
      <c r="IE1557" s="206"/>
      <c r="IF1557" s="206"/>
      <c r="IG1557" s="206"/>
      <c r="IH1557" s="206"/>
      <c r="II1557" s="206"/>
      <c r="IJ1557" s="206"/>
      <c r="IK1557" s="206"/>
      <c r="IL1557" s="206"/>
      <c r="IM1557" s="206"/>
      <c r="IN1557" s="206"/>
      <c r="IO1557" s="206"/>
      <c r="IP1557" s="206"/>
      <c r="IQ1557" s="206"/>
      <c r="IR1557" s="206"/>
      <c r="IS1557" s="206"/>
      <c r="IT1557" s="206"/>
      <c r="IU1557" s="206"/>
      <c r="IV1557" s="206"/>
      <c r="IW1557" s="206"/>
      <c r="IX1557" s="206"/>
      <c r="IY1557" s="206"/>
      <c r="IZ1557" s="206"/>
      <c r="JA1557" s="206"/>
      <c r="JB1557" s="206"/>
      <c r="JC1557" s="206"/>
      <c r="JD1557" s="206"/>
      <c r="JE1557" s="206"/>
      <c r="JF1557" s="206"/>
      <c r="JG1557" s="206"/>
      <c r="JH1557" s="206"/>
      <c r="JI1557" s="206"/>
      <c r="JJ1557" s="206"/>
      <c r="JK1557" s="206"/>
      <c r="JL1557" s="206"/>
      <c r="JM1557" s="206"/>
      <c r="JN1557" s="206"/>
      <c r="JO1557" s="206"/>
      <c r="JP1557" s="206"/>
      <c r="JQ1557" s="206"/>
      <c r="JR1557" s="206"/>
      <c r="JS1557" s="206"/>
      <c r="JT1557" s="206"/>
      <c r="JU1557" s="206"/>
      <c r="JV1557" s="206"/>
      <c r="JW1557" s="206"/>
      <c r="JX1557" s="206"/>
      <c r="JY1557" s="206"/>
      <c r="JZ1557" s="206"/>
      <c r="KA1557" s="206"/>
      <c r="KB1557" s="206"/>
      <c r="KC1557" s="206"/>
      <c r="KD1557" s="206"/>
      <c r="KE1557" s="206"/>
      <c r="KF1557" s="206"/>
      <c r="KG1557" s="206"/>
      <c r="KH1557" s="206"/>
      <c r="KI1557" s="206"/>
      <c r="KJ1557" s="206"/>
      <c r="KK1557" s="206"/>
      <c r="KL1557" s="206"/>
      <c r="KM1557" s="206"/>
      <c r="KN1557" s="206"/>
      <c r="KO1557" s="206"/>
      <c r="KP1557" s="206"/>
      <c r="KQ1557" s="206"/>
      <c r="KR1557" s="206"/>
      <c r="KS1557" s="206"/>
      <c r="KT1557" s="206"/>
      <c r="KU1557" s="206"/>
      <c r="KV1557" s="206"/>
      <c r="KW1557" s="206"/>
      <c r="KX1557" s="206"/>
      <c r="KY1557" s="206"/>
      <c r="KZ1557" s="206"/>
      <c r="LA1557" s="206"/>
      <c r="LB1557" s="206"/>
      <c r="LC1557" s="206"/>
      <c r="LD1557" s="206"/>
      <c r="LE1557" s="206"/>
      <c r="LF1557" s="206"/>
      <c r="LG1557" s="206"/>
      <c r="LH1557" s="206"/>
      <c r="LI1557" s="206"/>
      <c r="LJ1557" s="206"/>
      <c r="LK1557" s="206"/>
      <c r="LL1557" s="206"/>
      <c r="LM1557" s="206"/>
      <c r="LN1557" s="206"/>
      <c r="LO1557" s="206"/>
      <c r="LP1557" s="206"/>
      <c r="LQ1557" s="206"/>
      <c r="LR1557" s="206"/>
      <c r="LS1557" s="206"/>
      <c r="LT1557" s="206"/>
      <c r="LU1557" s="206"/>
      <c r="LV1557" s="206"/>
      <c r="LW1557" s="206"/>
      <c r="LX1557" s="206"/>
      <c r="LY1557" s="206"/>
      <c r="LZ1557" s="206"/>
      <c r="MA1557" s="206"/>
      <c r="MB1557" s="206"/>
      <c r="MC1557" s="206"/>
      <c r="MD1557" s="206"/>
      <c r="ME1557" s="206"/>
      <c r="MF1557" s="206"/>
      <c r="MG1557" s="206"/>
      <c r="MH1557" s="206"/>
      <c r="MI1557" s="206"/>
      <c r="MJ1557" s="206"/>
      <c r="MK1557" s="206"/>
      <c r="ML1557" s="206"/>
      <c r="MM1557" s="206"/>
      <c r="MN1557" s="206"/>
      <c r="MO1557" s="206"/>
      <c r="MP1557" s="206"/>
      <c r="MQ1557" s="206"/>
      <c r="MR1557" s="206"/>
      <c r="MS1557" s="206"/>
      <c r="MT1557" s="206"/>
      <c r="MU1557" s="206"/>
      <c r="MV1557" s="206"/>
      <c r="MW1557" s="206"/>
      <c r="MX1557" s="206"/>
      <c r="MY1557" s="206"/>
      <c r="MZ1557" s="206"/>
      <c r="NA1557" s="206"/>
      <c r="NB1557" s="206"/>
      <c r="NC1557" s="206"/>
      <c r="ND1557" s="206"/>
      <c r="NE1557" s="206"/>
      <c r="NF1557" s="206"/>
      <c r="NG1557" s="206"/>
      <c r="NH1557" s="206"/>
      <c r="NI1557" s="206"/>
      <c r="NJ1557" s="206"/>
      <c r="NK1557" s="206"/>
      <c r="NL1557" s="206"/>
      <c r="NM1557" s="206"/>
      <c r="NN1557" s="206"/>
      <c r="NO1557" s="206"/>
      <c r="NP1557" s="206"/>
      <c r="NQ1557" s="206"/>
      <c r="NR1557" s="206"/>
      <c r="NS1557" s="206"/>
      <c r="NT1557" s="206"/>
      <c r="NU1557" s="206"/>
      <c r="NV1557" s="206"/>
      <c r="NW1557" s="206"/>
      <c r="NX1557" s="206"/>
      <c r="NY1557" s="206"/>
      <c r="NZ1557" s="206"/>
      <c r="OA1557" s="206"/>
      <c r="OB1557" s="206"/>
      <c r="OC1557" s="206"/>
      <c r="OD1557" s="206"/>
      <c r="OE1557" s="206"/>
      <c r="OF1557" s="206"/>
      <c r="OG1557" s="206"/>
      <c r="OH1557" s="206"/>
      <c r="OI1557" s="206"/>
      <c r="OJ1557" s="206"/>
      <c r="OK1557" s="206"/>
      <c r="OL1557" s="206"/>
      <c r="OM1557" s="206"/>
      <c r="ON1557" s="206"/>
      <c r="OO1557" s="206"/>
      <c r="OP1557" s="206"/>
      <c r="OQ1557" s="206"/>
      <c r="OR1557" s="206"/>
      <c r="OS1557" s="206"/>
      <c r="OT1557" s="206"/>
      <c r="OU1557" s="206"/>
      <c r="OV1557" s="206"/>
      <c r="OW1557" s="206"/>
      <c r="OX1557" s="206"/>
      <c r="OY1557" s="206"/>
      <c r="OZ1557" s="206"/>
      <c r="PA1557" s="206"/>
      <c r="PB1557" s="206"/>
      <c r="PC1557" s="206"/>
      <c r="PD1557" s="206"/>
      <c r="PE1557" s="206"/>
      <c r="PF1557" s="206"/>
      <c r="PG1557" s="206"/>
      <c r="PH1557" s="206"/>
      <c r="PI1557" s="206"/>
      <c r="PJ1557" s="206"/>
      <c r="PK1557" s="206"/>
      <c r="PL1557" s="206"/>
      <c r="PM1557" s="206"/>
      <c r="PN1557" s="206"/>
      <c r="PO1557" s="206"/>
      <c r="PP1557" s="206"/>
      <c r="PQ1557" s="206"/>
      <c r="PR1557" s="206"/>
      <c r="PS1557" s="206"/>
      <c r="PT1557" s="206"/>
      <c r="PU1557" s="206"/>
      <c r="PV1557" s="206"/>
      <c r="PW1557" s="206"/>
      <c r="PX1557" s="206"/>
      <c r="PY1557" s="206"/>
      <c r="PZ1557" s="206"/>
      <c r="QA1557" s="206"/>
      <c r="QB1557" s="206"/>
      <c r="QC1557" s="206"/>
      <c r="QD1557" s="206"/>
      <c r="QE1557" s="206"/>
      <c r="QF1557" s="206"/>
      <c r="QG1557" s="206"/>
      <c r="QH1557" s="206"/>
      <c r="QI1557" s="206"/>
      <c r="QJ1557" s="206"/>
      <c r="QK1557" s="206"/>
      <c r="QL1557" s="206"/>
      <c r="QM1557" s="206"/>
      <c r="QN1557" s="206"/>
      <c r="QO1557" s="206"/>
      <c r="QP1557" s="206"/>
      <c r="QQ1557" s="206"/>
      <c r="QR1557" s="206"/>
      <c r="QS1557" s="206"/>
      <c r="QT1557" s="206"/>
      <c r="QU1557" s="206"/>
      <c r="QV1557" s="206"/>
      <c r="QW1557" s="206"/>
      <c r="QX1557" s="206"/>
      <c r="QY1557" s="206"/>
      <c r="QZ1557" s="206"/>
      <c r="RA1557" s="206"/>
      <c r="RB1557" s="206"/>
      <c r="RC1557" s="206"/>
      <c r="RD1557" s="206"/>
      <c r="RE1557" s="206"/>
      <c r="RF1557" s="206"/>
      <c r="RG1557" s="206"/>
      <c r="RH1557" s="206"/>
      <c r="RI1557" s="206"/>
      <c r="RJ1557" s="206"/>
      <c r="RK1557" s="206"/>
      <c r="RL1557" s="206"/>
      <c r="RM1557" s="206"/>
      <c r="RN1557" s="206"/>
      <c r="RO1557" s="206"/>
      <c r="RP1557" s="206"/>
      <c r="RQ1557" s="206"/>
      <c r="RR1557" s="206"/>
      <c r="RS1557" s="206"/>
      <c r="RT1557" s="206"/>
      <c r="RU1557" s="206"/>
      <c r="RV1557" s="206"/>
      <c r="RW1557" s="206"/>
      <c r="RX1557" s="206"/>
      <c r="RY1557" s="206"/>
      <c r="RZ1557" s="206"/>
      <c r="SA1557" s="206"/>
      <c r="SB1557" s="206"/>
      <c r="SC1557" s="206"/>
      <c r="SD1557" s="206"/>
      <c r="SE1557" s="206"/>
      <c r="SF1557" s="206"/>
      <c r="SG1557" s="206"/>
      <c r="SH1557" s="206"/>
      <c r="SI1557" s="206"/>
      <c r="SJ1557" s="206"/>
      <c r="SK1557" s="206"/>
      <c r="SL1557" s="206"/>
      <c r="SM1557" s="206"/>
      <c r="SN1557" s="206"/>
      <c r="SO1557" s="206"/>
      <c r="SP1557" s="206"/>
      <c r="SQ1557" s="206"/>
      <c r="SR1557" s="206"/>
      <c r="SS1557" s="206"/>
      <c r="ST1557" s="206"/>
      <c r="SU1557" s="206"/>
      <c r="SV1557" s="206"/>
      <c r="SW1557" s="206"/>
      <c r="SX1557" s="206"/>
      <c r="SY1557" s="206"/>
      <c r="SZ1557" s="206"/>
      <c r="TA1557" s="206"/>
      <c r="TB1557" s="206"/>
      <c r="TC1557" s="206"/>
      <c r="TD1557" s="206"/>
      <c r="TE1557" s="206"/>
      <c r="TF1557" s="206"/>
      <c r="TG1557" s="206"/>
      <c r="TH1557" s="206"/>
      <c r="TI1557" s="206"/>
      <c r="TJ1557" s="206"/>
      <c r="TK1557" s="206"/>
      <c r="TL1557" s="206"/>
      <c r="TM1557" s="206"/>
      <c r="TN1557" s="206"/>
      <c r="TO1557" s="206"/>
      <c r="TP1557" s="206"/>
      <c r="TQ1557" s="206"/>
      <c r="TR1557" s="206"/>
      <c r="TS1557" s="206"/>
      <c r="TT1557" s="206"/>
      <c r="TU1557" s="206"/>
      <c r="TV1557" s="206"/>
      <c r="TW1557" s="206"/>
      <c r="TX1557" s="206"/>
      <c r="TY1557" s="206"/>
      <c r="TZ1557" s="206"/>
      <c r="UA1557" s="206"/>
      <c r="UB1557" s="206"/>
      <c r="UC1557" s="206"/>
      <c r="UD1557" s="206"/>
    </row>
    <row r="1558" spans="1:550" s="874" customFormat="1" ht="30.75" customHeight="1">
      <c r="A1558" s="924" t="s">
        <v>27</v>
      </c>
      <c r="B1558" s="940"/>
      <c r="C1558" s="942" t="s">
        <v>1342</v>
      </c>
      <c r="D1558" s="940"/>
      <c r="E1558" s="940"/>
      <c r="F1558" s="940"/>
      <c r="G1558" s="943"/>
      <c r="H1558" s="950"/>
      <c r="I1558" s="951"/>
      <c r="J1558" s="1003"/>
      <c r="K1558" s="952"/>
      <c r="L1558" s="947"/>
      <c r="M1558" s="948"/>
      <c r="N1558" s="948"/>
      <c r="O1558" s="949"/>
      <c r="P1558" s="949"/>
      <c r="Q1558" s="1176"/>
      <c r="R1558" s="1226"/>
      <c r="S1558" s="486"/>
      <c r="T1558" s="486"/>
      <c r="U1558" s="486"/>
      <c r="V1558" s="486"/>
      <c r="W1558" s="486"/>
      <c r="X1558" s="486"/>
      <c r="Y1558" s="486"/>
      <c r="Z1558" s="486"/>
      <c r="AA1558" s="486"/>
      <c r="AB1558" s="486"/>
      <c r="AC1558" s="486"/>
      <c r="AD1558" s="486"/>
      <c r="AE1558" s="486"/>
      <c r="AF1558" s="486"/>
      <c r="AG1558" s="486"/>
      <c r="AH1558" s="486"/>
      <c r="AI1558" s="486"/>
      <c r="AJ1558" s="486"/>
      <c r="AK1558" s="486"/>
      <c r="AL1558" s="206"/>
      <c r="AM1558" s="206"/>
      <c r="AN1558" s="206"/>
      <c r="AO1558" s="206"/>
      <c r="AP1558" s="206"/>
      <c r="AQ1558" s="206"/>
      <c r="AR1558" s="206"/>
      <c r="AS1558" s="206"/>
      <c r="AT1558" s="206"/>
      <c r="AU1558" s="206"/>
      <c r="AV1558" s="206"/>
      <c r="AW1558" s="206"/>
      <c r="AX1558" s="206"/>
      <c r="AY1558" s="206"/>
      <c r="AZ1558" s="206"/>
      <c r="BA1558" s="206"/>
      <c r="BB1558" s="206"/>
      <c r="BC1558" s="206"/>
      <c r="BD1558" s="206"/>
      <c r="BE1558" s="206"/>
      <c r="BF1558" s="206"/>
      <c r="BG1558" s="206"/>
      <c r="BH1558" s="206"/>
      <c r="BI1558" s="206"/>
      <c r="BJ1558" s="206"/>
      <c r="BK1558" s="206"/>
      <c r="BL1558" s="206"/>
      <c r="BM1558" s="206"/>
      <c r="BN1558" s="206"/>
      <c r="BO1558" s="206"/>
      <c r="BP1558" s="206"/>
      <c r="BQ1558" s="206"/>
      <c r="BR1558" s="206"/>
      <c r="BS1558" s="206"/>
      <c r="BT1558" s="206"/>
      <c r="BU1558" s="206"/>
      <c r="BV1558" s="206"/>
      <c r="BW1558" s="206"/>
      <c r="BX1558" s="206"/>
      <c r="BY1558" s="206"/>
      <c r="BZ1558" s="206"/>
      <c r="CA1558" s="206"/>
      <c r="CB1558" s="206"/>
      <c r="CC1558" s="206"/>
      <c r="CD1558" s="206"/>
      <c r="CE1558" s="206"/>
      <c r="CF1558" s="206"/>
      <c r="CG1558" s="206"/>
      <c r="CH1558" s="206"/>
      <c r="CI1558" s="206"/>
      <c r="CJ1558" s="206"/>
      <c r="CK1558" s="206"/>
      <c r="CL1558" s="206"/>
      <c r="CM1558" s="206"/>
      <c r="CN1558" s="206"/>
      <c r="CO1558" s="206"/>
      <c r="CP1558" s="206"/>
      <c r="CQ1558" s="206"/>
      <c r="CR1558" s="206"/>
      <c r="CS1558" s="206"/>
      <c r="CT1558" s="206"/>
      <c r="CU1558" s="206"/>
      <c r="CV1558" s="206"/>
      <c r="CW1558" s="206"/>
      <c r="CX1558" s="206"/>
      <c r="CY1558" s="206"/>
      <c r="CZ1558" s="206"/>
      <c r="DA1558" s="206"/>
      <c r="DB1558" s="206"/>
      <c r="DC1558" s="206"/>
      <c r="DD1558" s="206"/>
      <c r="DE1558" s="206"/>
      <c r="DF1558" s="206"/>
      <c r="DG1558" s="206"/>
      <c r="DH1558" s="206"/>
      <c r="DI1558" s="206"/>
      <c r="DJ1558" s="206"/>
      <c r="DK1558" s="206"/>
      <c r="DL1558" s="206"/>
      <c r="DM1558" s="206"/>
      <c r="DN1558" s="206"/>
      <c r="DO1558" s="206"/>
      <c r="DP1558" s="206"/>
      <c r="DQ1558" s="206"/>
      <c r="DR1558" s="206"/>
      <c r="DS1558" s="206"/>
      <c r="DT1558" s="206"/>
      <c r="DU1558" s="206"/>
      <c r="DV1558" s="206"/>
      <c r="DW1558" s="206"/>
      <c r="DX1558" s="206"/>
      <c r="DY1558" s="206"/>
      <c r="DZ1558" s="206"/>
      <c r="EA1558" s="206"/>
      <c r="EB1558" s="206"/>
      <c r="EC1558" s="206"/>
      <c r="ED1558" s="206"/>
      <c r="EE1558" s="206"/>
      <c r="EF1558" s="206"/>
      <c r="EG1558" s="206"/>
      <c r="EH1558" s="206"/>
      <c r="EI1558" s="206"/>
      <c r="EJ1558" s="206"/>
      <c r="EK1558" s="206"/>
      <c r="EL1558" s="206"/>
      <c r="EM1558" s="206"/>
      <c r="EN1558" s="206"/>
      <c r="EO1558" s="206"/>
      <c r="EP1558" s="206"/>
      <c r="EQ1558" s="206"/>
      <c r="ER1558" s="206"/>
      <c r="ES1558" s="206"/>
      <c r="ET1558" s="206"/>
      <c r="EU1558" s="206"/>
      <c r="EV1558" s="206"/>
      <c r="EW1558" s="206"/>
      <c r="EX1558" s="206"/>
      <c r="EY1558" s="206"/>
      <c r="EZ1558" s="206"/>
      <c r="FA1558" s="206"/>
      <c r="FB1558" s="206"/>
      <c r="FC1558" s="206"/>
      <c r="FD1558" s="206"/>
      <c r="FE1558" s="206"/>
      <c r="FF1558" s="206"/>
      <c r="FG1558" s="206"/>
      <c r="FH1558" s="206"/>
      <c r="FI1558" s="206"/>
      <c r="FJ1558" s="206"/>
      <c r="FK1558" s="206"/>
      <c r="FL1558" s="206"/>
      <c r="FM1558" s="206"/>
      <c r="FN1558" s="206"/>
      <c r="FO1558" s="206"/>
      <c r="FP1558" s="206"/>
      <c r="FQ1558" s="206"/>
      <c r="FR1558" s="206"/>
      <c r="FS1558" s="206"/>
      <c r="FT1558" s="206"/>
      <c r="FU1558" s="206"/>
      <c r="FV1558" s="206"/>
      <c r="FW1558" s="206"/>
      <c r="FX1558" s="206"/>
      <c r="FY1558" s="206"/>
      <c r="FZ1558" s="206"/>
      <c r="GA1558" s="206"/>
      <c r="GB1558" s="206"/>
      <c r="GC1558" s="206"/>
      <c r="GD1558" s="206"/>
      <c r="GE1558" s="206"/>
      <c r="GF1558" s="206"/>
      <c r="GG1558" s="206"/>
      <c r="GH1558" s="206"/>
      <c r="GI1558" s="206"/>
      <c r="GJ1558" s="206"/>
      <c r="GK1558" s="206"/>
      <c r="GL1558" s="206"/>
      <c r="GM1558" s="206"/>
      <c r="GN1558" s="206"/>
      <c r="GO1558" s="206"/>
      <c r="GP1558" s="206"/>
      <c r="GQ1558" s="206"/>
      <c r="GR1558" s="206"/>
      <c r="GS1558" s="206"/>
      <c r="GT1558" s="206"/>
      <c r="GU1558" s="206"/>
      <c r="GV1558" s="206"/>
      <c r="GW1558" s="206"/>
      <c r="GX1558" s="206"/>
      <c r="GY1558" s="206"/>
      <c r="GZ1558" s="206"/>
      <c r="HA1558" s="206"/>
      <c r="HB1558" s="206"/>
      <c r="HC1558" s="206"/>
      <c r="HD1558" s="206"/>
      <c r="HE1558" s="206"/>
      <c r="HF1558" s="206"/>
      <c r="HG1558" s="206"/>
      <c r="HH1558" s="206"/>
      <c r="HI1558" s="206"/>
      <c r="HJ1558" s="206"/>
      <c r="HK1558" s="206"/>
      <c r="HL1558" s="206"/>
      <c r="HM1558" s="206"/>
      <c r="HN1558" s="206"/>
      <c r="HO1558" s="206"/>
      <c r="HP1558" s="206"/>
      <c r="HQ1558" s="206"/>
      <c r="HR1558" s="206"/>
      <c r="HS1558" s="206"/>
      <c r="HT1558" s="206"/>
      <c r="HU1558" s="206"/>
      <c r="HV1558" s="206"/>
      <c r="HW1558" s="206"/>
      <c r="HX1558" s="206"/>
      <c r="HY1558" s="206"/>
      <c r="HZ1558" s="206"/>
      <c r="IA1558" s="206"/>
      <c r="IB1558" s="206"/>
      <c r="IC1558" s="206"/>
      <c r="ID1558" s="206"/>
      <c r="IE1558" s="206"/>
      <c r="IF1558" s="206"/>
      <c r="IG1558" s="206"/>
      <c r="IH1558" s="206"/>
      <c r="II1558" s="206"/>
      <c r="IJ1558" s="206"/>
      <c r="IK1558" s="206"/>
      <c r="IL1558" s="206"/>
      <c r="IM1558" s="206"/>
      <c r="IN1558" s="206"/>
      <c r="IO1558" s="206"/>
      <c r="IP1558" s="206"/>
      <c r="IQ1558" s="206"/>
      <c r="IR1558" s="206"/>
      <c r="IS1558" s="206"/>
      <c r="IT1558" s="206"/>
      <c r="IU1558" s="206"/>
      <c r="IV1558" s="206"/>
      <c r="IW1558" s="206"/>
      <c r="IX1558" s="206"/>
      <c r="IY1558" s="206"/>
      <c r="IZ1558" s="206"/>
      <c r="JA1558" s="206"/>
      <c r="JB1558" s="206"/>
      <c r="JC1558" s="206"/>
      <c r="JD1558" s="206"/>
      <c r="JE1558" s="206"/>
      <c r="JF1558" s="206"/>
      <c r="JG1558" s="206"/>
      <c r="JH1558" s="206"/>
      <c r="JI1558" s="206"/>
      <c r="JJ1558" s="206"/>
      <c r="JK1558" s="206"/>
      <c r="JL1558" s="206"/>
      <c r="JM1558" s="206"/>
      <c r="JN1558" s="206"/>
      <c r="JO1558" s="206"/>
      <c r="JP1558" s="206"/>
      <c r="JQ1558" s="206"/>
      <c r="JR1558" s="206"/>
      <c r="JS1558" s="206"/>
      <c r="JT1558" s="206"/>
      <c r="JU1558" s="206"/>
      <c r="JV1558" s="206"/>
      <c r="JW1558" s="206"/>
      <c r="JX1558" s="206"/>
      <c r="JY1558" s="206"/>
      <c r="JZ1558" s="206"/>
      <c r="KA1558" s="206"/>
      <c r="KB1558" s="206"/>
      <c r="KC1558" s="206"/>
      <c r="KD1558" s="206"/>
      <c r="KE1558" s="206"/>
      <c r="KF1558" s="206"/>
      <c r="KG1558" s="206"/>
      <c r="KH1558" s="206"/>
      <c r="KI1558" s="206"/>
      <c r="KJ1558" s="206"/>
      <c r="KK1558" s="206"/>
      <c r="KL1558" s="206"/>
      <c r="KM1558" s="206"/>
      <c r="KN1558" s="206"/>
      <c r="KO1558" s="206"/>
      <c r="KP1558" s="206"/>
      <c r="KQ1558" s="206"/>
      <c r="KR1558" s="206"/>
      <c r="KS1558" s="206"/>
      <c r="KT1558" s="206"/>
      <c r="KU1558" s="206"/>
      <c r="KV1558" s="206"/>
      <c r="KW1558" s="206"/>
      <c r="KX1558" s="206"/>
      <c r="KY1558" s="206"/>
      <c r="KZ1558" s="206"/>
      <c r="LA1558" s="206"/>
      <c r="LB1558" s="206"/>
      <c r="LC1558" s="206"/>
      <c r="LD1558" s="206"/>
      <c r="LE1558" s="206"/>
      <c r="LF1558" s="206"/>
      <c r="LG1558" s="206"/>
      <c r="LH1558" s="206"/>
      <c r="LI1558" s="206"/>
      <c r="LJ1558" s="206"/>
      <c r="LK1558" s="206"/>
      <c r="LL1558" s="206"/>
      <c r="LM1558" s="206"/>
      <c r="LN1558" s="206"/>
      <c r="LO1558" s="206"/>
      <c r="LP1558" s="206"/>
      <c r="LQ1558" s="206"/>
      <c r="LR1558" s="206"/>
      <c r="LS1558" s="206"/>
      <c r="LT1558" s="206"/>
      <c r="LU1558" s="206"/>
      <c r="LV1558" s="206"/>
      <c r="LW1558" s="206"/>
      <c r="LX1558" s="206"/>
      <c r="LY1558" s="206"/>
      <c r="LZ1558" s="206"/>
      <c r="MA1558" s="206"/>
      <c r="MB1558" s="206"/>
      <c r="MC1558" s="206"/>
      <c r="MD1558" s="206"/>
      <c r="ME1558" s="206"/>
      <c r="MF1558" s="206"/>
      <c r="MG1558" s="206"/>
      <c r="MH1558" s="206"/>
      <c r="MI1558" s="206"/>
      <c r="MJ1558" s="206"/>
      <c r="MK1558" s="206"/>
      <c r="ML1558" s="206"/>
      <c r="MM1558" s="206"/>
      <c r="MN1558" s="206"/>
      <c r="MO1558" s="206"/>
      <c r="MP1558" s="206"/>
      <c r="MQ1558" s="206"/>
      <c r="MR1558" s="206"/>
      <c r="MS1558" s="206"/>
      <c r="MT1558" s="206"/>
      <c r="MU1558" s="206"/>
      <c r="MV1558" s="206"/>
      <c r="MW1558" s="206"/>
      <c r="MX1558" s="206"/>
      <c r="MY1558" s="206"/>
      <c r="MZ1558" s="206"/>
      <c r="NA1558" s="206"/>
      <c r="NB1558" s="206"/>
      <c r="NC1558" s="206"/>
      <c r="ND1558" s="206"/>
      <c r="NE1558" s="206"/>
      <c r="NF1558" s="206"/>
      <c r="NG1558" s="206"/>
      <c r="NH1558" s="206"/>
      <c r="NI1558" s="206"/>
      <c r="NJ1558" s="206"/>
      <c r="NK1558" s="206"/>
      <c r="NL1558" s="206"/>
      <c r="NM1558" s="206"/>
      <c r="NN1558" s="206"/>
      <c r="NO1558" s="206"/>
      <c r="NP1558" s="206"/>
      <c r="NQ1558" s="206"/>
      <c r="NR1558" s="206"/>
      <c r="NS1558" s="206"/>
      <c r="NT1558" s="206"/>
      <c r="NU1558" s="206"/>
      <c r="NV1558" s="206"/>
      <c r="NW1558" s="206"/>
      <c r="NX1558" s="206"/>
      <c r="NY1558" s="206"/>
      <c r="NZ1558" s="206"/>
      <c r="OA1558" s="206"/>
      <c r="OB1558" s="206"/>
      <c r="OC1558" s="206"/>
      <c r="OD1558" s="206"/>
      <c r="OE1558" s="206"/>
      <c r="OF1558" s="206"/>
      <c r="OG1558" s="206"/>
      <c r="OH1558" s="206"/>
      <c r="OI1558" s="206"/>
      <c r="OJ1558" s="206"/>
      <c r="OK1558" s="206"/>
      <c r="OL1558" s="206"/>
      <c r="OM1558" s="206"/>
      <c r="ON1558" s="206"/>
      <c r="OO1558" s="206"/>
      <c r="OP1558" s="206"/>
      <c r="OQ1558" s="206"/>
      <c r="OR1558" s="206"/>
      <c r="OS1558" s="206"/>
      <c r="OT1558" s="206"/>
      <c r="OU1558" s="206"/>
      <c r="OV1558" s="206"/>
      <c r="OW1558" s="206"/>
      <c r="OX1558" s="206"/>
      <c r="OY1558" s="206"/>
      <c r="OZ1558" s="206"/>
      <c r="PA1558" s="206"/>
      <c r="PB1558" s="206"/>
      <c r="PC1558" s="206"/>
      <c r="PD1558" s="206"/>
      <c r="PE1558" s="206"/>
      <c r="PF1558" s="206"/>
      <c r="PG1558" s="206"/>
      <c r="PH1558" s="206"/>
      <c r="PI1558" s="206"/>
      <c r="PJ1558" s="206"/>
      <c r="PK1558" s="206"/>
      <c r="PL1558" s="206"/>
      <c r="PM1558" s="206"/>
      <c r="PN1558" s="206"/>
      <c r="PO1558" s="206"/>
      <c r="PP1558" s="206"/>
      <c r="PQ1558" s="206"/>
      <c r="PR1558" s="206"/>
      <c r="PS1558" s="206"/>
      <c r="PT1558" s="206"/>
      <c r="PU1558" s="206"/>
      <c r="PV1558" s="206"/>
      <c r="PW1558" s="206"/>
      <c r="PX1558" s="206"/>
      <c r="PY1558" s="206"/>
      <c r="PZ1558" s="206"/>
      <c r="QA1558" s="206"/>
      <c r="QB1558" s="206"/>
      <c r="QC1558" s="206"/>
      <c r="QD1558" s="206"/>
      <c r="QE1558" s="206"/>
      <c r="QF1558" s="206"/>
      <c r="QG1558" s="206"/>
      <c r="QH1558" s="206"/>
      <c r="QI1558" s="206"/>
      <c r="QJ1558" s="206"/>
      <c r="QK1558" s="206"/>
      <c r="QL1558" s="206"/>
      <c r="QM1558" s="206"/>
      <c r="QN1558" s="206"/>
      <c r="QO1558" s="206"/>
      <c r="QP1558" s="206"/>
      <c r="QQ1558" s="206"/>
      <c r="QR1558" s="206"/>
      <c r="QS1558" s="206"/>
      <c r="QT1558" s="206"/>
      <c r="QU1558" s="206"/>
      <c r="QV1558" s="206"/>
      <c r="QW1558" s="206"/>
      <c r="QX1558" s="206"/>
      <c r="QY1558" s="206"/>
      <c r="QZ1558" s="206"/>
      <c r="RA1558" s="206"/>
      <c r="RB1558" s="206"/>
      <c r="RC1558" s="206"/>
      <c r="RD1558" s="206"/>
      <c r="RE1558" s="206"/>
      <c r="RF1558" s="206"/>
      <c r="RG1558" s="206"/>
      <c r="RH1558" s="206"/>
      <c r="RI1558" s="206"/>
      <c r="RJ1558" s="206"/>
      <c r="RK1558" s="206"/>
      <c r="RL1558" s="206"/>
      <c r="RM1558" s="206"/>
      <c r="RN1558" s="206"/>
      <c r="RO1558" s="206"/>
      <c r="RP1558" s="206"/>
      <c r="RQ1558" s="206"/>
      <c r="RR1558" s="206"/>
      <c r="RS1558" s="206"/>
      <c r="RT1558" s="206"/>
      <c r="RU1558" s="206"/>
      <c r="RV1558" s="206"/>
      <c r="RW1558" s="206"/>
      <c r="RX1558" s="206"/>
      <c r="RY1558" s="206"/>
      <c r="RZ1558" s="206"/>
      <c r="SA1558" s="206"/>
      <c r="SB1558" s="206"/>
      <c r="SC1558" s="206"/>
      <c r="SD1558" s="206"/>
      <c r="SE1558" s="206"/>
      <c r="SF1558" s="206"/>
      <c r="SG1558" s="206"/>
      <c r="SH1558" s="206"/>
      <c r="SI1558" s="206"/>
      <c r="SJ1558" s="206"/>
      <c r="SK1558" s="206"/>
      <c r="SL1558" s="206"/>
      <c r="SM1558" s="206"/>
      <c r="SN1558" s="206"/>
      <c r="SO1558" s="206"/>
      <c r="SP1558" s="206"/>
      <c r="SQ1558" s="206"/>
      <c r="SR1558" s="206"/>
      <c r="SS1558" s="206"/>
      <c r="ST1558" s="206"/>
      <c r="SU1558" s="206"/>
      <c r="SV1558" s="206"/>
      <c r="SW1558" s="206"/>
      <c r="SX1558" s="206"/>
      <c r="SY1558" s="206"/>
      <c r="SZ1558" s="206"/>
      <c r="TA1558" s="206"/>
      <c r="TB1558" s="206"/>
      <c r="TC1558" s="206"/>
      <c r="TD1558" s="206"/>
      <c r="TE1558" s="206"/>
      <c r="TF1558" s="206"/>
      <c r="TG1558" s="206"/>
      <c r="TH1558" s="206"/>
      <c r="TI1558" s="206"/>
      <c r="TJ1558" s="206"/>
      <c r="TK1558" s="206"/>
      <c r="TL1558" s="206"/>
      <c r="TM1558" s="206"/>
      <c r="TN1558" s="206"/>
      <c r="TO1558" s="206"/>
      <c r="TP1558" s="206"/>
      <c r="TQ1558" s="206"/>
      <c r="TR1558" s="206"/>
      <c r="TS1558" s="206"/>
      <c r="TT1558" s="206"/>
      <c r="TU1558" s="206"/>
      <c r="TV1558" s="206"/>
      <c r="TW1558" s="206"/>
      <c r="TX1558" s="206"/>
      <c r="TY1558" s="206"/>
      <c r="TZ1558" s="206"/>
      <c r="UA1558" s="206"/>
      <c r="UB1558" s="206"/>
      <c r="UC1558" s="206"/>
      <c r="UD1558" s="206"/>
    </row>
    <row r="1559" spans="1:550" s="874" customFormat="1" ht="48.75" customHeight="1">
      <c r="A1559" s="924" t="s">
        <v>43</v>
      </c>
      <c r="B1559" s="953"/>
      <c r="C1559" s="1630" t="s">
        <v>44</v>
      </c>
      <c r="D1559" s="1596"/>
      <c r="E1559" s="1596"/>
      <c r="F1559" s="1596"/>
      <c r="G1559" s="949"/>
      <c r="H1559" s="954"/>
      <c r="I1559" s="955"/>
      <c r="J1559" s="1003"/>
      <c r="K1559" s="952"/>
      <c r="L1559" s="953">
        <f>L1560</f>
        <v>3779200</v>
      </c>
      <c r="M1559" s="953"/>
      <c r="N1559" s="953"/>
      <c r="O1559" s="953"/>
      <c r="P1559" s="953">
        <f>L1559</f>
        <v>3779200</v>
      </c>
      <c r="Q1559" s="1177"/>
      <c r="R1559" s="1226" t="s">
        <v>45</v>
      </c>
      <c r="S1559" s="486"/>
      <c r="T1559" s="486"/>
      <c r="U1559" s="486"/>
      <c r="V1559" s="486"/>
      <c r="W1559" s="486"/>
      <c r="X1559" s="486"/>
      <c r="Y1559" s="486"/>
      <c r="Z1559" s="486"/>
      <c r="AA1559" s="486"/>
      <c r="AB1559" s="486"/>
      <c r="AC1559" s="486"/>
      <c r="AD1559" s="486"/>
      <c r="AE1559" s="486"/>
      <c r="AF1559" s="486"/>
      <c r="AG1559" s="486"/>
      <c r="AH1559" s="486"/>
      <c r="AI1559" s="486"/>
      <c r="AJ1559" s="486"/>
      <c r="AK1559" s="486"/>
      <c r="AL1559" s="206"/>
      <c r="AM1559" s="206"/>
      <c r="AN1559" s="206"/>
      <c r="AO1559" s="206"/>
      <c r="AP1559" s="206"/>
      <c r="AQ1559" s="206"/>
      <c r="AR1559" s="206"/>
      <c r="AS1559" s="206"/>
      <c r="AT1559" s="206"/>
      <c r="AU1559" s="206"/>
      <c r="AV1559" s="206"/>
      <c r="AW1559" s="206"/>
      <c r="AX1559" s="206"/>
      <c r="AY1559" s="206"/>
      <c r="AZ1559" s="206"/>
      <c r="BA1559" s="206"/>
      <c r="BB1559" s="206"/>
      <c r="BC1559" s="206"/>
      <c r="BD1559" s="206"/>
      <c r="BE1559" s="206"/>
      <c r="BF1559" s="206"/>
      <c r="BG1559" s="206"/>
      <c r="BH1559" s="206"/>
      <c r="BI1559" s="206"/>
      <c r="BJ1559" s="206"/>
      <c r="BK1559" s="206"/>
      <c r="BL1559" s="206"/>
      <c r="BM1559" s="206"/>
      <c r="BN1559" s="206"/>
      <c r="BO1559" s="206"/>
      <c r="BP1559" s="206"/>
      <c r="BQ1559" s="206"/>
      <c r="BR1559" s="206"/>
      <c r="BS1559" s="206"/>
      <c r="BT1559" s="206"/>
      <c r="BU1559" s="206"/>
      <c r="BV1559" s="206"/>
      <c r="BW1559" s="206"/>
      <c r="BX1559" s="206"/>
      <c r="BY1559" s="206"/>
      <c r="BZ1559" s="206"/>
      <c r="CA1559" s="206"/>
      <c r="CB1559" s="206"/>
      <c r="CC1559" s="206"/>
      <c r="CD1559" s="206"/>
      <c r="CE1559" s="206"/>
      <c r="CF1559" s="206"/>
      <c r="CG1559" s="206"/>
      <c r="CH1559" s="206"/>
      <c r="CI1559" s="206"/>
      <c r="CJ1559" s="206"/>
      <c r="CK1559" s="206"/>
      <c r="CL1559" s="206"/>
      <c r="CM1559" s="206"/>
      <c r="CN1559" s="206"/>
      <c r="CO1559" s="206"/>
      <c r="CP1559" s="206"/>
      <c r="CQ1559" s="206"/>
      <c r="CR1559" s="206"/>
      <c r="CS1559" s="206"/>
      <c r="CT1559" s="206"/>
      <c r="CU1559" s="206"/>
      <c r="CV1559" s="206"/>
      <c r="CW1559" s="206"/>
      <c r="CX1559" s="206"/>
      <c r="CY1559" s="206"/>
      <c r="CZ1559" s="206"/>
      <c r="DA1559" s="206"/>
      <c r="DB1559" s="206"/>
      <c r="DC1559" s="206"/>
      <c r="DD1559" s="206"/>
      <c r="DE1559" s="206"/>
      <c r="DF1559" s="206"/>
      <c r="DG1559" s="206"/>
      <c r="DH1559" s="206"/>
      <c r="DI1559" s="206"/>
      <c r="DJ1559" s="206"/>
      <c r="DK1559" s="206"/>
      <c r="DL1559" s="206"/>
      <c r="DM1559" s="206"/>
      <c r="DN1559" s="206"/>
      <c r="DO1559" s="206"/>
      <c r="DP1559" s="206"/>
      <c r="DQ1559" s="206"/>
      <c r="DR1559" s="206"/>
      <c r="DS1559" s="206"/>
      <c r="DT1559" s="206"/>
      <c r="DU1559" s="206"/>
      <c r="DV1559" s="206"/>
      <c r="DW1559" s="206"/>
      <c r="DX1559" s="206"/>
      <c r="DY1559" s="206"/>
      <c r="DZ1559" s="206"/>
      <c r="EA1559" s="206"/>
      <c r="EB1559" s="206"/>
      <c r="EC1559" s="206"/>
      <c r="ED1559" s="206"/>
      <c r="EE1559" s="206"/>
      <c r="EF1559" s="206"/>
      <c r="EG1559" s="206"/>
      <c r="EH1559" s="206"/>
      <c r="EI1559" s="206"/>
      <c r="EJ1559" s="206"/>
      <c r="EK1559" s="206"/>
      <c r="EL1559" s="206"/>
      <c r="EM1559" s="206"/>
      <c r="EN1559" s="206"/>
      <c r="EO1559" s="206"/>
      <c r="EP1559" s="206"/>
      <c r="EQ1559" s="206"/>
      <c r="ER1559" s="206"/>
      <c r="ES1559" s="206"/>
      <c r="ET1559" s="206"/>
      <c r="EU1559" s="206"/>
      <c r="EV1559" s="206"/>
      <c r="EW1559" s="206"/>
      <c r="EX1559" s="206"/>
      <c r="EY1559" s="206"/>
      <c r="EZ1559" s="206"/>
      <c r="FA1559" s="206"/>
      <c r="FB1559" s="206"/>
      <c r="FC1559" s="206"/>
      <c r="FD1559" s="206"/>
      <c r="FE1559" s="206"/>
      <c r="FF1559" s="206"/>
      <c r="FG1559" s="206"/>
      <c r="FH1559" s="206"/>
      <c r="FI1559" s="206"/>
      <c r="FJ1559" s="206"/>
      <c r="FK1559" s="206"/>
      <c r="FL1559" s="206"/>
      <c r="FM1559" s="206"/>
      <c r="FN1559" s="206"/>
      <c r="FO1559" s="206"/>
      <c r="FP1559" s="206"/>
      <c r="FQ1559" s="206"/>
      <c r="FR1559" s="206"/>
      <c r="FS1559" s="206"/>
      <c r="FT1559" s="206"/>
      <c r="FU1559" s="206"/>
      <c r="FV1559" s="206"/>
      <c r="FW1559" s="206"/>
      <c r="FX1559" s="206"/>
      <c r="FY1559" s="206"/>
      <c r="FZ1559" s="206"/>
      <c r="GA1559" s="206"/>
      <c r="GB1559" s="206"/>
      <c r="GC1559" s="206"/>
      <c r="GD1559" s="206"/>
      <c r="GE1559" s="206"/>
      <c r="GF1559" s="206"/>
      <c r="GG1559" s="206"/>
      <c r="GH1559" s="206"/>
      <c r="GI1559" s="206"/>
      <c r="GJ1559" s="206"/>
      <c r="GK1559" s="206"/>
      <c r="GL1559" s="206"/>
      <c r="GM1559" s="206"/>
      <c r="GN1559" s="206"/>
      <c r="GO1559" s="206"/>
      <c r="GP1559" s="206"/>
      <c r="GQ1559" s="206"/>
      <c r="GR1559" s="206"/>
      <c r="GS1559" s="206"/>
      <c r="GT1559" s="206"/>
      <c r="GU1559" s="206"/>
      <c r="GV1559" s="206"/>
      <c r="GW1559" s="206"/>
      <c r="GX1559" s="206"/>
      <c r="GY1559" s="206"/>
      <c r="GZ1559" s="206"/>
      <c r="HA1559" s="206"/>
      <c r="HB1559" s="206"/>
      <c r="HC1559" s="206"/>
      <c r="HD1559" s="206"/>
      <c r="HE1559" s="206"/>
      <c r="HF1559" s="206"/>
      <c r="HG1559" s="206"/>
      <c r="HH1559" s="206"/>
      <c r="HI1559" s="206"/>
      <c r="HJ1559" s="206"/>
      <c r="HK1559" s="206"/>
      <c r="HL1559" s="206"/>
      <c r="HM1559" s="206"/>
      <c r="HN1559" s="206"/>
      <c r="HO1559" s="206"/>
      <c r="HP1559" s="206"/>
      <c r="HQ1559" s="206"/>
      <c r="HR1559" s="206"/>
      <c r="HS1559" s="206"/>
      <c r="HT1559" s="206"/>
      <c r="HU1559" s="206"/>
      <c r="HV1559" s="206"/>
      <c r="HW1559" s="206"/>
      <c r="HX1559" s="206"/>
      <c r="HY1559" s="206"/>
      <c r="HZ1559" s="206"/>
      <c r="IA1559" s="206"/>
      <c r="IB1559" s="206"/>
      <c r="IC1559" s="206"/>
      <c r="ID1559" s="206"/>
      <c r="IE1559" s="206"/>
      <c r="IF1559" s="206"/>
      <c r="IG1559" s="206"/>
      <c r="IH1559" s="206"/>
      <c r="II1559" s="206"/>
      <c r="IJ1559" s="206"/>
      <c r="IK1559" s="206"/>
      <c r="IL1559" s="206"/>
      <c r="IM1559" s="206"/>
      <c r="IN1559" s="206"/>
      <c r="IO1559" s="206"/>
      <c r="IP1559" s="206"/>
      <c r="IQ1559" s="206"/>
      <c r="IR1559" s="206"/>
      <c r="IS1559" s="206"/>
      <c r="IT1559" s="206"/>
      <c r="IU1559" s="206"/>
      <c r="IV1559" s="206"/>
      <c r="IW1559" s="206"/>
      <c r="IX1559" s="206"/>
      <c r="IY1559" s="206"/>
      <c r="IZ1559" s="206"/>
      <c r="JA1559" s="206"/>
      <c r="JB1559" s="206"/>
      <c r="JC1559" s="206"/>
      <c r="JD1559" s="206"/>
      <c r="JE1559" s="206"/>
      <c r="JF1559" s="206"/>
      <c r="JG1559" s="206"/>
      <c r="JH1559" s="206"/>
      <c r="JI1559" s="206"/>
      <c r="JJ1559" s="206"/>
      <c r="JK1559" s="206"/>
      <c r="JL1559" s="206"/>
      <c r="JM1559" s="206"/>
      <c r="JN1559" s="206"/>
      <c r="JO1559" s="206"/>
      <c r="JP1559" s="206"/>
      <c r="JQ1559" s="206"/>
      <c r="JR1559" s="206"/>
      <c r="JS1559" s="206"/>
      <c r="JT1559" s="206"/>
      <c r="JU1559" s="206"/>
      <c r="JV1559" s="206"/>
      <c r="JW1559" s="206"/>
      <c r="JX1559" s="206"/>
      <c r="JY1559" s="206"/>
      <c r="JZ1559" s="206"/>
      <c r="KA1559" s="206"/>
      <c r="KB1559" s="206"/>
      <c r="KC1559" s="206"/>
      <c r="KD1559" s="206"/>
      <c r="KE1559" s="206"/>
      <c r="KF1559" s="206"/>
      <c r="KG1559" s="206"/>
      <c r="KH1559" s="206"/>
      <c r="KI1559" s="206"/>
      <c r="KJ1559" s="206"/>
      <c r="KK1559" s="206"/>
      <c r="KL1559" s="206"/>
      <c r="KM1559" s="206"/>
      <c r="KN1559" s="206"/>
      <c r="KO1559" s="206"/>
      <c r="KP1559" s="206"/>
      <c r="KQ1559" s="206"/>
      <c r="KR1559" s="206"/>
      <c r="KS1559" s="206"/>
      <c r="KT1559" s="206"/>
      <c r="KU1559" s="206"/>
      <c r="KV1559" s="206"/>
      <c r="KW1559" s="206"/>
      <c r="KX1559" s="206"/>
      <c r="KY1559" s="206"/>
      <c r="KZ1559" s="206"/>
      <c r="LA1559" s="206"/>
      <c r="LB1559" s="206"/>
      <c r="LC1559" s="206"/>
      <c r="LD1559" s="206"/>
      <c r="LE1559" s="206"/>
      <c r="LF1559" s="206"/>
      <c r="LG1559" s="206"/>
      <c r="LH1559" s="206"/>
      <c r="LI1559" s="206"/>
      <c r="LJ1559" s="206"/>
      <c r="LK1559" s="206"/>
      <c r="LL1559" s="206"/>
      <c r="LM1559" s="206"/>
      <c r="LN1559" s="206"/>
      <c r="LO1559" s="206"/>
      <c r="LP1559" s="206"/>
      <c r="LQ1559" s="206"/>
      <c r="LR1559" s="206"/>
      <c r="LS1559" s="206"/>
      <c r="LT1559" s="206"/>
      <c r="LU1559" s="206"/>
      <c r="LV1559" s="206"/>
      <c r="LW1559" s="206"/>
      <c r="LX1559" s="206"/>
      <c r="LY1559" s="206"/>
      <c r="LZ1559" s="206"/>
      <c r="MA1559" s="206"/>
      <c r="MB1559" s="206"/>
      <c r="MC1559" s="206"/>
      <c r="MD1559" s="206"/>
      <c r="ME1559" s="206"/>
      <c r="MF1559" s="206"/>
      <c r="MG1559" s="206"/>
      <c r="MH1559" s="206"/>
      <c r="MI1559" s="206"/>
      <c r="MJ1559" s="206"/>
      <c r="MK1559" s="206"/>
      <c r="ML1559" s="206"/>
      <c r="MM1559" s="206"/>
      <c r="MN1559" s="206"/>
      <c r="MO1559" s="206"/>
      <c r="MP1559" s="206"/>
      <c r="MQ1559" s="206"/>
      <c r="MR1559" s="206"/>
      <c r="MS1559" s="206"/>
      <c r="MT1559" s="206"/>
      <c r="MU1559" s="206"/>
      <c r="MV1559" s="206"/>
      <c r="MW1559" s="206"/>
      <c r="MX1559" s="206"/>
      <c r="MY1559" s="206"/>
      <c r="MZ1559" s="206"/>
      <c r="NA1559" s="206"/>
      <c r="NB1559" s="206"/>
      <c r="NC1559" s="206"/>
      <c r="ND1559" s="206"/>
      <c r="NE1559" s="206"/>
      <c r="NF1559" s="206"/>
      <c r="NG1559" s="206"/>
      <c r="NH1559" s="206"/>
      <c r="NI1559" s="206"/>
      <c r="NJ1559" s="206"/>
      <c r="NK1559" s="206"/>
      <c r="NL1559" s="206"/>
      <c r="NM1559" s="206"/>
      <c r="NN1559" s="206"/>
      <c r="NO1559" s="206"/>
      <c r="NP1559" s="206"/>
      <c r="NQ1559" s="206"/>
      <c r="NR1559" s="206"/>
      <c r="NS1559" s="206"/>
      <c r="NT1559" s="206"/>
      <c r="NU1559" s="206"/>
      <c r="NV1559" s="206"/>
      <c r="NW1559" s="206"/>
      <c r="NX1559" s="206"/>
      <c r="NY1559" s="206"/>
      <c r="NZ1559" s="206"/>
      <c r="OA1559" s="206"/>
      <c r="OB1559" s="206"/>
      <c r="OC1559" s="206"/>
      <c r="OD1559" s="206"/>
      <c r="OE1559" s="206"/>
      <c r="OF1559" s="206"/>
      <c r="OG1559" s="206"/>
      <c r="OH1559" s="206"/>
      <c r="OI1559" s="206"/>
      <c r="OJ1559" s="206"/>
      <c r="OK1559" s="206"/>
      <c r="OL1559" s="206"/>
      <c r="OM1559" s="206"/>
      <c r="ON1559" s="206"/>
      <c r="OO1559" s="206"/>
      <c r="OP1559" s="206"/>
      <c r="OQ1559" s="206"/>
      <c r="OR1559" s="206"/>
      <c r="OS1559" s="206"/>
      <c r="OT1559" s="206"/>
      <c r="OU1559" s="206"/>
      <c r="OV1559" s="206"/>
      <c r="OW1559" s="206"/>
      <c r="OX1559" s="206"/>
      <c r="OY1559" s="206"/>
      <c r="OZ1559" s="206"/>
      <c r="PA1559" s="206"/>
      <c r="PB1559" s="206"/>
      <c r="PC1559" s="206"/>
      <c r="PD1559" s="206"/>
      <c r="PE1559" s="206"/>
      <c r="PF1559" s="206"/>
      <c r="PG1559" s="206"/>
      <c r="PH1559" s="206"/>
      <c r="PI1559" s="206"/>
      <c r="PJ1559" s="206"/>
      <c r="PK1559" s="206"/>
      <c r="PL1559" s="206"/>
      <c r="PM1559" s="206"/>
      <c r="PN1559" s="206"/>
      <c r="PO1559" s="206"/>
      <c r="PP1559" s="206"/>
      <c r="PQ1559" s="206"/>
      <c r="PR1559" s="206"/>
      <c r="PS1559" s="206"/>
      <c r="PT1559" s="206"/>
      <c r="PU1559" s="206"/>
      <c r="PV1559" s="206"/>
      <c r="PW1559" s="206"/>
      <c r="PX1559" s="206"/>
      <c r="PY1559" s="206"/>
      <c r="PZ1559" s="206"/>
      <c r="QA1559" s="206"/>
      <c r="QB1559" s="206"/>
      <c r="QC1559" s="206"/>
      <c r="QD1559" s="206"/>
      <c r="QE1559" s="206"/>
      <c r="QF1559" s="206"/>
      <c r="QG1559" s="206"/>
      <c r="QH1559" s="206"/>
      <c r="QI1559" s="206"/>
      <c r="QJ1559" s="206"/>
      <c r="QK1559" s="206"/>
      <c r="QL1559" s="206"/>
      <c r="QM1559" s="206"/>
      <c r="QN1559" s="206"/>
      <c r="QO1559" s="206"/>
      <c r="QP1559" s="206"/>
      <c r="QQ1559" s="206"/>
      <c r="QR1559" s="206"/>
      <c r="QS1559" s="206"/>
      <c r="QT1559" s="206"/>
      <c r="QU1559" s="206"/>
      <c r="QV1559" s="206"/>
      <c r="QW1559" s="206"/>
      <c r="QX1559" s="206"/>
      <c r="QY1559" s="206"/>
      <c r="QZ1559" s="206"/>
      <c r="RA1559" s="206"/>
      <c r="RB1559" s="206"/>
      <c r="RC1559" s="206"/>
      <c r="RD1559" s="206"/>
      <c r="RE1559" s="206"/>
      <c r="RF1559" s="206"/>
      <c r="RG1559" s="206"/>
      <c r="RH1559" s="206"/>
      <c r="RI1559" s="206"/>
      <c r="RJ1559" s="206"/>
      <c r="RK1559" s="206"/>
      <c r="RL1559" s="206"/>
      <c r="RM1559" s="206"/>
      <c r="RN1559" s="206"/>
      <c r="RO1559" s="206"/>
      <c r="RP1559" s="206"/>
      <c r="RQ1559" s="206"/>
      <c r="RR1559" s="206"/>
      <c r="RS1559" s="206"/>
      <c r="RT1559" s="206"/>
      <c r="RU1559" s="206"/>
      <c r="RV1559" s="206"/>
      <c r="RW1559" s="206"/>
      <c r="RX1559" s="206"/>
      <c r="RY1559" s="206"/>
      <c r="RZ1559" s="206"/>
      <c r="SA1559" s="206"/>
      <c r="SB1559" s="206"/>
      <c r="SC1559" s="206"/>
      <c r="SD1559" s="206"/>
      <c r="SE1559" s="206"/>
      <c r="SF1559" s="206"/>
      <c r="SG1559" s="206"/>
      <c r="SH1559" s="206"/>
      <c r="SI1559" s="206"/>
      <c r="SJ1559" s="206"/>
      <c r="SK1559" s="206"/>
      <c r="SL1559" s="206"/>
      <c r="SM1559" s="206"/>
      <c r="SN1559" s="206"/>
      <c r="SO1559" s="206"/>
      <c r="SP1559" s="206"/>
      <c r="SQ1559" s="206"/>
      <c r="SR1559" s="206"/>
      <c r="SS1559" s="206"/>
      <c r="ST1559" s="206"/>
      <c r="SU1559" s="206"/>
      <c r="SV1559" s="206"/>
      <c r="SW1559" s="206"/>
      <c r="SX1559" s="206"/>
      <c r="SY1559" s="206"/>
      <c r="SZ1559" s="206"/>
      <c r="TA1559" s="206"/>
      <c r="TB1559" s="206"/>
      <c r="TC1559" s="206"/>
      <c r="TD1559" s="206"/>
      <c r="TE1559" s="206"/>
      <c r="TF1559" s="206"/>
      <c r="TG1559" s="206"/>
      <c r="TH1559" s="206"/>
      <c r="TI1559" s="206"/>
      <c r="TJ1559" s="206"/>
      <c r="TK1559" s="206"/>
      <c r="TL1559" s="206"/>
      <c r="TM1559" s="206"/>
      <c r="TN1559" s="206"/>
      <c r="TO1559" s="206"/>
      <c r="TP1559" s="206"/>
      <c r="TQ1559" s="206"/>
      <c r="TR1559" s="206"/>
      <c r="TS1559" s="206"/>
      <c r="TT1559" s="206"/>
      <c r="TU1559" s="206"/>
      <c r="TV1559" s="206"/>
      <c r="TW1559" s="206"/>
      <c r="TX1559" s="206"/>
      <c r="TY1559" s="206"/>
      <c r="TZ1559" s="206"/>
      <c r="UA1559" s="206"/>
      <c r="UB1559" s="206"/>
      <c r="UC1559" s="206"/>
      <c r="UD1559" s="206"/>
    </row>
    <row r="1560" spans="1:550" s="874" customFormat="1" ht="47.25" customHeight="1">
      <c r="A1560" s="924"/>
      <c r="B1560" s="953"/>
      <c r="C1560" s="1249" t="s">
        <v>52</v>
      </c>
      <c r="D1560" s="1249">
        <f t="shared" ref="D1560:E1560" si="238">D1556</f>
        <v>2</v>
      </c>
      <c r="E1560" s="949">
        <f t="shared" si="238"/>
        <v>304</v>
      </c>
      <c r="F1560" s="1249"/>
      <c r="G1560" s="949" t="str">
        <f>G1556</f>
        <v>m2</v>
      </c>
      <c r="H1560" s="954"/>
      <c r="I1560" s="955">
        <f>I1556</f>
        <v>236.2</v>
      </c>
      <c r="J1560" s="1003">
        <v>16000</v>
      </c>
      <c r="K1560" s="952"/>
      <c r="L1560" s="949">
        <f>I1560*J1560</f>
        <v>3779200</v>
      </c>
      <c r="M1560" s="953"/>
      <c r="N1560" s="953"/>
      <c r="O1560" s="953"/>
      <c r="P1560" s="953"/>
      <c r="Q1560" s="1177"/>
      <c r="R1560" s="1226"/>
      <c r="S1560" s="486"/>
      <c r="T1560" s="486"/>
      <c r="U1560" s="486"/>
      <c r="V1560" s="486"/>
      <c r="W1560" s="486"/>
      <c r="X1560" s="486"/>
      <c r="Y1560" s="486"/>
      <c r="Z1560" s="486"/>
      <c r="AA1560" s="486"/>
      <c r="AB1560" s="486"/>
      <c r="AC1560" s="486"/>
      <c r="AD1560" s="486"/>
      <c r="AE1560" s="486"/>
      <c r="AF1560" s="486"/>
      <c r="AG1560" s="486"/>
      <c r="AH1560" s="486"/>
      <c r="AI1560" s="486"/>
      <c r="AJ1560" s="486"/>
      <c r="AK1560" s="486"/>
      <c r="AL1560" s="206"/>
      <c r="AM1560" s="206"/>
      <c r="AN1560" s="206"/>
      <c r="AO1560" s="206"/>
      <c r="AP1560" s="206"/>
      <c r="AQ1560" s="206"/>
      <c r="AR1560" s="206"/>
      <c r="AS1560" s="206"/>
      <c r="AT1560" s="206"/>
      <c r="AU1560" s="206"/>
      <c r="AV1560" s="206"/>
      <c r="AW1560" s="206"/>
      <c r="AX1560" s="206"/>
      <c r="AY1560" s="206"/>
      <c r="AZ1560" s="206"/>
      <c r="BA1560" s="206"/>
      <c r="BB1560" s="206"/>
      <c r="BC1560" s="206"/>
      <c r="BD1560" s="206"/>
      <c r="BE1560" s="206"/>
      <c r="BF1560" s="206"/>
      <c r="BG1560" s="206"/>
      <c r="BH1560" s="206"/>
      <c r="BI1560" s="206"/>
      <c r="BJ1560" s="206"/>
      <c r="BK1560" s="206"/>
      <c r="BL1560" s="206"/>
      <c r="BM1560" s="206"/>
      <c r="BN1560" s="206"/>
      <c r="BO1560" s="206"/>
      <c r="BP1560" s="206"/>
      <c r="BQ1560" s="206"/>
      <c r="BR1560" s="206"/>
      <c r="BS1560" s="206"/>
      <c r="BT1560" s="206"/>
      <c r="BU1560" s="206"/>
      <c r="BV1560" s="206"/>
      <c r="BW1560" s="206"/>
      <c r="BX1560" s="206"/>
      <c r="BY1560" s="206"/>
      <c r="BZ1560" s="206"/>
      <c r="CA1560" s="206"/>
      <c r="CB1560" s="206"/>
      <c r="CC1560" s="206"/>
      <c r="CD1560" s="206"/>
      <c r="CE1560" s="206"/>
      <c r="CF1560" s="206"/>
      <c r="CG1560" s="206"/>
      <c r="CH1560" s="206"/>
      <c r="CI1560" s="206"/>
      <c r="CJ1560" s="206"/>
      <c r="CK1560" s="206"/>
      <c r="CL1560" s="206"/>
      <c r="CM1560" s="206"/>
      <c r="CN1560" s="206"/>
      <c r="CO1560" s="206"/>
      <c r="CP1560" s="206"/>
      <c r="CQ1560" s="206"/>
      <c r="CR1560" s="206"/>
      <c r="CS1560" s="206"/>
      <c r="CT1560" s="206"/>
      <c r="CU1560" s="206"/>
      <c r="CV1560" s="206"/>
      <c r="CW1560" s="206"/>
      <c r="CX1560" s="206"/>
      <c r="CY1560" s="206"/>
      <c r="CZ1560" s="206"/>
      <c r="DA1560" s="206"/>
      <c r="DB1560" s="206"/>
      <c r="DC1560" s="206"/>
      <c r="DD1560" s="206"/>
      <c r="DE1560" s="206"/>
      <c r="DF1560" s="206"/>
      <c r="DG1560" s="206"/>
      <c r="DH1560" s="206"/>
      <c r="DI1560" s="206"/>
      <c r="DJ1560" s="206"/>
      <c r="DK1560" s="206"/>
      <c r="DL1560" s="206"/>
      <c r="DM1560" s="206"/>
      <c r="DN1560" s="206"/>
      <c r="DO1560" s="206"/>
      <c r="DP1560" s="206"/>
      <c r="DQ1560" s="206"/>
      <c r="DR1560" s="206"/>
      <c r="DS1560" s="206"/>
      <c r="DT1560" s="206"/>
      <c r="DU1560" s="206"/>
      <c r="DV1560" s="206"/>
      <c r="DW1560" s="206"/>
      <c r="DX1560" s="206"/>
      <c r="DY1560" s="206"/>
      <c r="DZ1560" s="206"/>
      <c r="EA1560" s="206"/>
      <c r="EB1560" s="206"/>
      <c r="EC1560" s="206"/>
      <c r="ED1560" s="206"/>
      <c r="EE1560" s="206"/>
      <c r="EF1560" s="206"/>
      <c r="EG1560" s="206"/>
      <c r="EH1560" s="206"/>
      <c r="EI1560" s="206"/>
      <c r="EJ1560" s="206"/>
      <c r="EK1560" s="206"/>
      <c r="EL1560" s="206"/>
      <c r="EM1560" s="206"/>
      <c r="EN1560" s="206"/>
      <c r="EO1560" s="206"/>
      <c r="EP1560" s="206"/>
      <c r="EQ1560" s="206"/>
      <c r="ER1560" s="206"/>
      <c r="ES1560" s="206"/>
      <c r="ET1560" s="206"/>
      <c r="EU1560" s="206"/>
      <c r="EV1560" s="206"/>
      <c r="EW1560" s="206"/>
      <c r="EX1560" s="206"/>
      <c r="EY1560" s="206"/>
      <c r="EZ1560" s="206"/>
      <c r="FA1560" s="206"/>
      <c r="FB1560" s="206"/>
      <c r="FC1560" s="206"/>
      <c r="FD1560" s="206"/>
      <c r="FE1560" s="206"/>
      <c r="FF1560" s="206"/>
      <c r="FG1560" s="206"/>
      <c r="FH1560" s="206"/>
      <c r="FI1560" s="206"/>
      <c r="FJ1560" s="206"/>
      <c r="FK1560" s="206"/>
      <c r="FL1560" s="206"/>
      <c r="FM1560" s="206"/>
      <c r="FN1560" s="206"/>
      <c r="FO1560" s="206"/>
      <c r="FP1560" s="206"/>
      <c r="FQ1560" s="206"/>
      <c r="FR1560" s="206"/>
      <c r="FS1560" s="206"/>
      <c r="FT1560" s="206"/>
      <c r="FU1560" s="206"/>
      <c r="FV1560" s="206"/>
      <c r="FW1560" s="206"/>
      <c r="FX1560" s="206"/>
      <c r="FY1560" s="206"/>
      <c r="FZ1560" s="206"/>
      <c r="GA1560" s="206"/>
      <c r="GB1560" s="206"/>
      <c r="GC1560" s="206"/>
      <c r="GD1560" s="206"/>
      <c r="GE1560" s="206"/>
      <c r="GF1560" s="206"/>
      <c r="GG1560" s="206"/>
      <c r="GH1560" s="206"/>
      <c r="GI1560" s="206"/>
      <c r="GJ1560" s="206"/>
      <c r="GK1560" s="206"/>
      <c r="GL1560" s="206"/>
      <c r="GM1560" s="206"/>
      <c r="GN1560" s="206"/>
      <c r="GO1560" s="206"/>
      <c r="GP1560" s="206"/>
      <c r="GQ1560" s="206"/>
      <c r="GR1560" s="206"/>
      <c r="GS1560" s="206"/>
      <c r="GT1560" s="206"/>
      <c r="GU1560" s="206"/>
      <c r="GV1560" s="206"/>
      <c r="GW1560" s="206"/>
      <c r="GX1560" s="206"/>
      <c r="GY1560" s="206"/>
      <c r="GZ1560" s="206"/>
      <c r="HA1560" s="206"/>
      <c r="HB1560" s="206"/>
      <c r="HC1560" s="206"/>
      <c r="HD1560" s="206"/>
      <c r="HE1560" s="206"/>
      <c r="HF1560" s="206"/>
      <c r="HG1560" s="206"/>
      <c r="HH1560" s="206"/>
      <c r="HI1560" s="206"/>
      <c r="HJ1560" s="206"/>
      <c r="HK1560" s="206"/>
      <c r="HL1560" s="206"/>
      <c r="HM1560" s="206"/>
      <c r="HN1560" s="206"/>
      <c r="HO1560" s="206"/>
      <c r="HP1560" s="206"/>
      <c r="HQ1560" s="206"/>
      <c r="HR1560" s="206"/>
      <c r="HS1560" s="206"/>
      <c r="HT1560" s="206"/>
      <c r="HU1560" s="206"/>
      <c r="HV1560" s="206"/>
      <c r="HW1560" s="206"/>
      <c r="HX1560" s="206"/>
      <c r="HY1560" s="206"/>
      <c r="HZ1560" s="206"/>
      <c r="IA1560" s="206"/>
      <c r="IB1560" s="206"/>
      <c r="IC1560" s="206"/>
      <c r="ID1560" s="206"/>
      <c r="IE1560" s="206"/>
      <c r="IF1560" s="206"/>
      <c r="IG1560" s="206"/>
      <c r="IH1560" s="206"/>
      <c r="II1560" s="206"/>
      <c r="IJ1560" s="206"/>
      <c r="IK1560" s="206"/>
      <c r="IL1560" s="206"/>
      <c r="IM1560" s="206"/>
      <c r="IN1560" s="206"/>
      <c r="IO1560" s="206"/>
      <c r="IP1560" s="206"/>
      <c r="IQ1560" s="206"/>
      <c r="IR1560" s="206"/>
      <c r="IS1560" s="206"/>
      <c r="IT1560" s="206"/>
      <c r="IU1560" s="206"/>
      <c r="IV1560" s="206"/>
      <c r="IW1560" s="206"/>
      <c r="IX1560" s="206"/>
      <c r="IY1560" s="206"/>
      <c r="IZ1560" s="206"/>
      <c r="JA1560" s="206"/>
      <c r="JB1560" s="206"/>
      <c r="JC1560" s="206"/>
      <c r="JD1560" s="206"/>
      <c r="JE1560" s="206"/>
      <c r="JF1560" s="206"/>
      <c r="JG1560" s="206"/>
      <c r="JH1560" s="206"/>
      <c r="JI1560" s="206"/>
      <c r="JJ1560" s="206"/>
      <c r="JK1560" s="206"/>
      <c r="JL1560" s="206"/>
      <c r="JM1560" s="206"/>
      <c r="JN1560" s="206"/>
      <c r="JO1560" s="206"/>
      <c r="JP1560" s="206"/>
      <c r="JQ1560" s="206"/>
      <c r="JR1560" s="206"/>
      <c r="JS1560" s="206"/>
      <c r="JT1560" s="206"/>
      <c r="JU1560" s="206"/>
      <c r="JV1560" s="206"/>
      <c r="JW1560" s="206"/>
      <c r="JX1560" s="206"/>
      <c r="JY1560" s="206"/>
      <c r="JZ1560" s="206"/>
      <c r="KA1560" s="206"/>
      <c r="KB1560" s="206"/>
      <c r="KC1560" s="206"/>
      <c r="KD1560" s="206"/>
      <c r="KE1560" s="206"/>
      <c r="KF1560" s="206"/>
      <c r="KG1560" s="206"/>
      <c r="KH1560" s="206"/>
      <c r="KI1560" s="206"/>
      <c r="KJ1560" s="206"/>
      <c r="KK1560" s="206"/>
      <c r="KL1560" s="206"/>
      <c r="KM1560" s="206"/>
      <c r="KN1560" s="206"/>
      <c r="KO1560" s="206"/>
      <c r="KP1560" s="206"/>
      <c r="KQ1560" s="206"/>
      <c r="KR1560" s="206"/>
      <c r="KS1560" s="206"/>
      <c r="KT1560" s="206"/>
      <c r="KU1560" s="206"/>
      <c r="KV1560" s="206"/>
      <c r="KW1560" s="206"/>
      <c r="KX1560" s="206"/>
      <c r="KY1560" s="206"/>
      <c r="KZ1560" s="206"/>
      <c r="LA1560" s="206"/>
      <c r="LB1560" s="206"/>
      <c r="LC1560" s="206"/>
      <c r="LD1560" s="206"/>
      <c r="LE1560" s="206"/>
      <c r="LF1560" s="206"/>
      <c r="LG1560" s="206"/>
      <c r="LH1560" s="206"/>
      <c r="LI1560" s="206"/>
      <c r="LJ1560" s="206"/>
      <c r="LK1560" s="206"/>
      <c r="LL1560" s="206"/>
      <c r="LM1560" s="206"/>
      <c r="LN1560" s="206"/>
      <c r="LO1560" s="206"/>
      <c r="LP1560" s="206"/>
      <c r="LQ1560" s="206"/>
      <c r="LR1560" s="206"/>
      <c r="LS1560" s="206"/>
      <c r="LT1560" s="206"/>
      <c r="LU1560" s="206"/>
      <c r="LV1560" s="206"/>
      <c r="LW1560" s="206"/>
      <c r="LX1560" s="206"/>
      <c r="LY1560" s="206"/>
      <c r="LZ1560" s="206"/>
      <c r="MA1560" s="206"/>
      <c r="MB1560" s="206"/>
      <c r="MC1560" s="206"/>
      <c r="MD1560" s="206"/>
      <c r="ME1560" s="206"/>
      <c r="MF1560" s="206"/>
      <c r="MG1560" s="206"/>
      <c r="MH1560" s="206"/>
      <c r="MI1560" s="206"/>
      <c r="MJ1560" s="206"/>
      <c r="MK1560" s="206"/>
      <c r="ML1560" s="206"/>
      <c r="MM1560" s="206"/>
      <c r="MN1560" s="206"/>
      <c r="MO1560" s="206"/>
      <c r="MP1560" s="206"/>
      <c r="MQ1560" s="206"/>
      <c r="MR1560" s="206"/>
      <c r="MS1560" s="206"/>
      <c r="MT1560" s="206"/>
      <c r="MU1560" s="206"/>
      <c r="MV1560" s="206"/>
      <c r="MW1560" s="206"/>
      <c r="MX1560" s="206"/>
      <c r="MY1560" s="206"/>
      <c r="MZ1560" s="206"/>
      <c r="NA1560" s="206"/>
      <c r="NB1560" s="206"/>
      <c r="NC1560" s="206"/>
      <c r="ND1560" s="206"/>
      <c r="NE1560" s="206"/>
      <c r="NF1560" s="206"/>
      <c r="NG1560" s="206"/>
      <c r="NH1560" s="206"/>
      <c r="NI1560" s="206"/>
      <c r="NJ1560" s="206"/>
      <c r="NK1560" s="206"/>
      <c r="NL1560" s="206"/>
      <c r="NM1560" s="206"/>
      <c r="NN1560" s="206"/>
      <c r="NO1560" s="206"/>
      <c r="NP1560" s="206"/>
      <c r="NQ1560" s="206"/>
      <c r="NR1560" s="206"/>
      <c r="NS1560" s="206"/>
      <c r="NT1560" s="206"/>
      <c r="NU1560" s="206"/>
      <c r="NV1560" s="206"/>
      <c r="NW1560" s="206"/>
      <c r="NX1560" s="206"/>
      <c r="NY1560" s="206"/>
      <c r="NZ1560" s="206"/>
      <c r="OA1560" s="206"/>
      <c r="OB1560" s="206"/>
      <c r="OC1560" s="206"/>
      <c r="OD1560" s="206"/>
      <c r="OE1560" s="206"/>
      <c r="OF1560" s="206"/>
      <c r="OG1560" s="206"/>
      <c r="OH1560" s="206"/>
      <c r="OI1560" s="206"/>
      <c r="OJ1560" s="206"/>
      <c r="OK1560" s="206"/>
      <c r="OL1560" s="206"/>
      <c r="OM1560" s="206"/>
      <c r="ON1560" s="206"/>
      <c r="OO1560" s="206"/>
      <c r="OP1560" s="206"/>
      <c r="OQ1560" s="206"/>
      <c r="OR1560" s="206"/>
      <c r="OS1560" s="206"/>
      <c r="OT1560" s="206"/>
      <c r="OU1560" s="206"/>
      <c r="OV1560" s="206"/>
      <c r="OW1560" s="206"/>
      <c r="OX1560" s="206"/>
      <c r="OY1560" s="206"/>
      <c r="OZ1560" s="206"/>
      <c r="PA1560" s="206"/>
      <c r="PB1560" s="206"/>
      <c r="PC1560" s="206"/>
      <c r="PD1560" s="206"/>
      <c r="PE1560" s="206"/>
      <c r="PF1560" s="206"/>
      <c r="PG1560" s="206"/>
      <c r="PH1560" s="206"/>
      <c r="PI1560" s="206"/>
      <c r="PJ1560" s="206"/>
      <c r="PK1560" s="206"/>
      <c r="PL1560" s="206"/>
      <c r="PM1560" s="206"/>
      <c r="PN1560" s="206"/>
      <c r="PO1560" s="206"/>
      <c r="PP1560" s="206"/>
      <c r="PQ1560" s="206"/>
      <c r="PR1560" s="206"/>
      <c r="PS1560" s="206"/>
      <c r="PT1560" s="206"/>
      <c r="PU1560" s="206"/>
      <c r="PV1560" s="206"/>
      <c r="PW1560" s="206"/>
      <c r="PX1560" s="206"/>
      <c r="PY1560" s="206"/>
      <c r="PZ1560" s="206"/>
      <c r="QA1560" s="206"/>
      <c r="QB1560" s="206"/>
      <c r="QC1560" s="206"/>
      <c r="QD1560" s="206"/>
      <c r="QE1560" s="206"/>
      <c r="QF1560" s="206"/>
      <c r="QG1560" s="206"/>
      <c r="QH1560" s="206"/>
      <c r="QI1560" s="206"/>
      <c r="QJ1560" s="206"/>
      <c r="QK1560" s="206"/>
      <c r="QL1560" s="206"/>
      <c r="QM1560" s="206"/>
      <c r="QN1560" s="206"/>
      <c r="QO1560" s="206"/>
      <c r="QP1560" s="206"/>
      <c r="QQ1560" s="206"/>
      <c r="QR1560" s="206"/>
      <c r="QS1560" s="206"/>
      <c r="QT1560" s="206"/>
      <c r="QU1560" s="206"/>
      <c r="QV1560" s="206"/>
      <c r="QW1560" s="206"/>
      <c r="QX1560" s="206"/>
      <c r="QY1560" s="206"/>
      <c r="QZ1560" s="206"/>
      <c r="RA1560" s="206"/>
      <c r="RB1560" s="206"/>
      <c r="RC1560" s="206"/>
      <c r="RD1560" s="206"/>
      <c r="RE1560" s="206"/>
      <c r="RF1560" s="206"/>
      <c r="RG1560" s="206"/>
      <c r="RH1560" s="206"/>
      <c r="RI1560" s="206"/>
      <c r="RJ1560" s="206"/>
      <c r="RK1560" s="206"/>
      <c r="RL1560" s="206"/>
      <c r="RM1560" s="206"/>
      <c r="RN1560" s="206"/>
      <c r="RO1560" s="206"/>
      <c r="RP1560" s="206"/>
      <c r="RQ1560" s="206"/>
      <c r="RR1560" s="206"/>
      <c r="RS1560" s="206"/>
      <c r="RT1560" s="206"/>
      <c r="RU1560" s="206"/>
      <c r="RV1560" s="206"/>
      <c r="RW1560" s="206"/>
      <c r="RX1560" s="206"/>
      <c r="RY1560" s="206"/>
      <c r="RZ1560" s="206"/>
      <c r="SA1560" s="206"/>
      <c r="SB1560" s="206"/>
      <c r="SC1560" s="206"/>
      <c r="SD1560" s="206"/>
      <c r="SE1560" s="206"/>
      <c r="SF1560" s="206"/>
      <c r="SG1560" s="206"/>
      <c r="SH1560" s="206"/>
      <c r="SI1560" s="206"/>
      <c r="SJ1560" s="206"/>
      <c r="SK1560" s="206"/>
      <c r="SL1560" s="206"/>
      <c r="SM1560" s="206"/>
      <c r="SN1560" s="206"/>
      <c r="SO1560" s="206"/>
      <c r="SP1560" s="206"/>
      <c r="SQ1560" s="206"/>
      <c r="SR1560" s="206"/>
      <c r="SS1560" s="206"/>
      <c r="ST1560" s="206"/>
      <c r="SU1560" s="206"/>
      <c r="SV1560" s="206"/>
      <c r="SW1560" s="206"/>
      <c r="SX1560" s="206"/>
      <c r="SY1560" s="206"/>
      <c r="SZ1560" s="206"/>
      <c r="TA1560" s="206"/>
      <c r="TB1560" s="206"/>
      <c r="TC1560" s="206"/>
      <c r="TD1560" s="206"/>
      <c r="TE1560" s="206"/>
      <c r="TF1560" s="206"/>
      <c r="TG1560" s="206"/>
      <c r="TH1560" s="206"/>
      <c r="TI1560" s="206"/>
      <c r="TJ1560" s="206"/>
      <c r="TK1560" s="206"/>
      <c r="TL1560" s="206"/>
      <c r="TM1560" s="206"/>
      <c r="TN1560" s="206"/>
      <c r="TO1560" s="206"/>
      <c r="TP1560" s="206"/>
      <c r="TQ1560" s="206"/>
      <c r="TR1560" s="206"/>
      <c r="TS1560" s="206"/>
      <c r="TT1560" s="206"/>
      <c r="TU1560" s="206"/>
      <c r="TV1560" s="206"/>
      <c r="TW1560" s="206"/>
      <c r="TX1560" s="206"/>
      <c r="TY1560" s="206"/>
      <c r="TZ1560" s="206"/>
      <c r="UA1560" s="206"/>
      <c r="UB1560" s="206"/>
      <c r="UC1560" s="206"/>
      <c r="UD1560" s="206"/>
    </row>
    <row r="1561" spans="1:550" s="874" customFormat="1" ht="47.25" customHeight="1">
      <c r="A1561" s="924" t="s">
        <v>53</v>
      </c>
      <c r="B1561" s="953"/>
      <c r="C1561" s="1630" t="s">
        <v>59</v>
      </c>
      <c r="D1561" s="1596"/>
      <c r="E1561" s="1596"/>
      <c r="F1561" s="1596"/>
      <c r="G1561" s="949"/>
      <c r="H1561" s="954"/>
      <c r="I1561" s="955"/>
      <c r="J1561" s="1003"/>
      <c r="K1561" s="952"/>
      <c r="L1561" s="953">
        <f>L1562+L1563</f>
        <v>42725400</v>
      </c>
      <c r="M1561" s="953"/>
      <c r="N1561" s="953"/>
      <c r="O1561" s="953"/>
      <c r="P1561" s="953">
        <f>L1561</f>
        <v>42725400</v>
      </c>
      <c r="Q1561" s="1177"/>
      <c r="R1561" s="1447" t="s">
        <v>60</v>
      </c>
      <c r="S1561" s="486"/>
      <c r="T1561" s="486"/>
      <c r="U1561" s="486"/>
      <c r="V1561" s="486"/>
      <c r="W1561" s="486"/>
      <c r="X1561" s="486"/>
      <c r="Y1561" s="486"/>
      <c r="Z1561" s="486"/>
      <c r="AA1561" s="486"/>
      <c r="AB1561" s="486"/>
      <c r="AC1561" s="486"/>
      <c r="AD1561" s="486"/>
      <c r="AE1561" s="486"/>
      <c r="AF1561" s="486"/>
      <c r="AG1561" s="486"/>
      <c r="AH1561" s="486"/>
      <c r="AI1561" s="486"/>
      <c r="AJ1561" s="486"/>
      <c r="AK1561" s="486"/>
      <c r="AL1561" s="206"/>
      <c r="AM1561" s="206"/>
      <c r="AN1561" s="206"/>
      <c r="AO1561" s="206"/>
      <c r="AP1561" s="206"/>
      <c r="AQ1561" s="206"/>
      <c r="AR1561" s="206"/>
      <c r="AS1561" s="206"/>
      <c r="AT1561" s="206"/>
      <c r="AU1561" s="206"/>
      <c r="AV1561" s="206"/>
      <c r="AW1561" s="206"/>
      <c r="AX1561" s="206"/>
      <c r="AY1561" s="206"/>
      <c r="AZ1561" s="206"/>
      <c r="BA1561" s="206"/>
      <c r="BB1561" s="206"/>
      <c r="BC1561" s="206"/>
      <c r="BD1561" s="206"/>
      <c r="BE1561" s="206"/>
      <c r="BF1561" s="206"/>
      <c r="BG1561" s="206"/>
      <c r="BH1561" s="206"/>
      <c r="BI1561" s="206"/>
      <c r="BJ1561" s="206"/>
      <c r="BK1561" s="206"/>
      <c r="BL1561" s="206"/>
      <c r="BM1561" s="206"/>
      <c r="BN1561" s="206"/>
      <c r="BO1561" s="206"/>
      <c r="BP1561" s="206"/>
      <c r="BQ1561" s="206"/>
      <c r="BR1561" s="206"/>
      <c r="BS1561" s="206"/>
      <c r="BT1561" s="206"/>
      <c r="BU1561" s="206"/>
      <c r="BV1561" s="206"/>
      <c r="BW1561" s="206"/>
      <c r="BX1561" s="206"/>
      <c r="BY1561" s="206"/>
      <c r="BZ1561" s="206"/>
      <c r="CA1561" s="206"/>
      <c r="CB1561" s="206"/>
      <c r="CC1561" s="206"/>
      <c r="CD1561" s="206"/>
      <c r="CE1561" s="206"/>
      <c r="CF1561" s="206"/>
      <c r="CG1561" s="206"/>
      <c r="CH1561" s="206"/>
      <c r="CI1561" s="206"/>
      <c r="CJ1561" s="206"/>
      <c r="CK1561" s="206"/>
      <c r="CL1561" s="206"/>
      <c r="CM1561" s="206"/>
      <c r="CN1561" s="206"/>
      <c r="CO1561" s="206"/>
      <c r="CP1561" s="206"/>
      <c r="CQ1561" s="206"/>
      <c r="CR1561" s="206"/>
      <c r="CS1561" s="206"/>
      <c r="CT1561" s="206"/>
      <c r="CU1561" s="206"/>
      <c r="CV1561" s="206"/>
      <c r="CW1561" s="206"/>
      <c r="CX1561" s="206"/>
      <c r="CY1561" s="206"/>
      <c r="CZ1561" s="206"/>
      <c r="DA1561" s="206"/>
      <c r="DB1561" s="206"/>
      <c r="DC1561" s="206"/>
      <c r="DD1561" s="206"/>
      <c r="DE1561" s="206"/>
      <c r="DF1561" s="206"/>
      <c r="DG1561" s="206"/>
      <c r="DH1561" s="206"/>
      <c r="DI1561" s="206"/>
      <c r="DJ1561" s="206"/>
      <c r="DK1561" s="206"/>
      <c r="DL1561" s="206"/>
      <c r="DM1561" s="206"/>
      <c r="DN1561" s="206"/>
      <c r="DO1561" s="206"/>
      <c r="DP1561" s="206"/>
      <c r="DQ1561" s="206"/>
      <c r="DR1561" s="206"/>
      <c r="DS1561" s="206"/>
      <c r="DT1561" s="206"/>
      <c r="DU1561" s="206"/>
      <c r="DV1561" s="206"/>
      <c r="DW1561" s="206"/>
      <c r="DX1561" s="206"/>
      <c r="DY1561" s="206"/>
      <c r="DZ1561" s="206"/>
      <c r="EA1561" s="206"/>
      <c r="EB1561" s="206"/>
      <c r="EC1561" s="206"/>
      <c r="ED1561" s="206"/>
      <c r="EE1561" s="206"/>
      <c r="EF1561" s="206"/>
      <c r="EG1561" s="206"/>
      <c r="EH1561" s="206"/>
      <c r="EI1561" s="206"/>
      <c r="EJ1561" s="206"/>
      <c r="EK1561" s="206"/>
      <c r="EL1561" s="206"/>
      <c r="EM1561" s="206"/>
      <c r="EN1561" s="206"/>
      <c r="EO1561" s="206"/>
      <c r="EP1561" s="206"/>
      <c r="EQ1561" s="206"/>
      <c r="ER1561" s="206"/>
      <c r="ES1561" s="206"/>
      <c r="ET1561" s="206"/>
      <c r="EU1561" s="206"/>
      <c r="EV1561" s="206"/>
      <c r="EW1561" s="206"/>
      <c r="EX1561" s="206"/>
      <c r="EY1561" s="206"/>
      <c r="EZ1561" s="206"/>
      <c r="FA1561" s="206"/>
      <c r="FB1561" s="206"/>
      <c r="FC1561" s="206"/>
      <c r="FD1561" s="206"/>
      <c r="FE1561" s="206"/>
      <c r="FF1561" s="206"/>
      <c r="FG1561" s="206"/>
      <c r="FH1561" s="206"/>
      <c r="FI1561" s="206"/>
      <c r="FJ1561" s="206"/>
      <c r="FK1561" s="206"/>
      <c r="FL1561" s="206"/>
      <c r="FM1561" s="206"/>
      <c r="FN1561" s="206"/>
      <c r="FO1561" s="206"/>
      <c r="FP1561" s="206"/>
      <c r="FQ1561" s="206"/>
      <c r="FR1561" s="206"/>
      <c r="FS1561" s="206"/>
      <c r="FT1561" s="206"/>
      <c r="FU1561" s="206"/>
      <c r="FV1561" s="206"/>
      <c r="FW1561" s="206"/>
      <c r="FX1561" s="206"/>
      <c r="FY1561" s="206"/>
      <c r="FZ1561" s="206"/>
      <c r="GA1561" s="206"/>
      <c r="GB1561" s="206"/>
      <c r="GC1561" s="206"/>
      <c r="GD1561" s="206"/>
      <c r="GE1561" s="206"/>
      <c r="GF1561" s="206"/>
      <c r="GG1561" s="206"/>
      <c r="GH1561" s="206"/>
      <c r="GI1561" s="206"/>
      <c r="GJ1561" s="206"/>
      <c r="GK1561" s="206"/>
      <c r="GL1561" s="206"/>
      <c r="GM1561" s="206"/>
      <c r="GN1561" s="206"/>
      <c r="GO1561" s="206"/>
      <c r="GP1561" s="206"/>
      <c r="GQ1561" s="206"/>
      <c r="GR1561" s="206"/>
      <c r="GS1561" s="206"/>
      <c r="GT1561" s="206"/>
      <c r="GU1561" s="206"/>
      <c r="GV1561" s="206"/>
      <c r="GW1561" s="206"/>
      <c r="GX1561" s="206"/>
      <c r="GY1561" s="206"/>
      <c r="GZ1561" s="206"/>
      <c r="HA1561" s="206"/>
      <c r="HB1561" s="206"/>
      <c r="HC1561" s="206"/>
      <c r="HD1561" s="206"/>
      <c r="HE1561" s="206"/>
      <c r="HF1561" s="206"/>
      <c r="HG1561" s="206"/>
      <c r="HH1561" s="206"/>
      <c r="HI1561" s="206"/>
      <c r="HJ1561" s="206"/>
      <c r="HK1561" s="206"/>
      <c r="HL1561" s="206"/>
      <c r="HM1561" s="206"/>
      <c r="HN1561" s="206"/>
      <c r="HO1561" s="206"/>
      <c r="HP1561" s="206"/>
      <c r="HQ1561" s="206"/>
      <c r="HR1561" s="206"/>
      <c r="HS1561" s="206"/>
      <c r="HT1561" s="206"/>
      <c r="HU1561" s="206"/>
      <c r="HV1561" s="206"/>
      <c r="HW1561" s="206"/>
      <c r="HX1561" s="206"/>
      <c r="HY1561" s="206"/>
      <c r="HZ1561" s="206"/>
      <c r="IA1561" s="206"/>
      <c r="IB1561" s="206"/>
      <c r="IC1561" s="206"/>
      <c r="ID1561" s="206"/>
      <c r="IE1561" s="206"/>
      <c r="IF1561" s="206"/>
      <c r="IG1561" s="206"/>
      <c r="IH1561" s="206"/>
      <c r="II1561" s="206"/>
      <c r="IJ1561" s="206"/>
      <c r="IK1561" s="206"/>
      <c r="IL1561" s="206"/>
      <c r="IM1561" s="206"/>
      <c r="IN1561" s="206"/>
      <c r="IO1561" s="206"/>
      <c r="IP1561" s="206"/>
      <c r="IQ1561" s="206"/>
      <c r="IR1561" s="206"/>
      <c r="IS1561" s="206"/>
      <c r="IT1561" s="206"/>
      <c r="IU1561" s="206"/>
      <c r="IV1561" s="206"/>
      <c r="IW1561" s="206"/>
      <c r="IX1561" s="206"/>
      <c r="IY1561" s="206"/>
      <c r="IZ1561" s="206"/>
      <c r="JA1561" s="206"/>
      <c r="JB1561" s="206"/>
      <c r="JC1561" s="206"/>
      <c r="JD1561" s="206"/>
      <c r="JE1561" s="206"/>
      <c r="JF1561" s="206"/>
      <c r="JG1561" s="206"/>
      <c r="JH1561" s="206"/>
      <c r="JI1561" s="206"/>
      <c r="JJ1561" s="206"/>
      <c r="JK1561" s="206"/>
      <c r="JL1561" s="206"/>
      <c r="JM1561" s="206"/>
      <c r="JN1561" s="206"/>
      <c r="JO1561" s="206"/>
      <c r="JP1561" s="206"/>
      <c r="JQ1561" s="206"/>
      <c r="JR1561" s="206"/>
      <c r="JS1561" s="206"/>
      <c r="JT1561" s="206"/>
      <c r="JU1561" s="206"/>
      <c r="JV1561" s="206"/>
      <c r="JW1561" s="206"/>
      <c r="JX1561" s="206"/>
      <c r="JY1561" s="206"/>
      <c r="JZ1561" s="206"/>
      <c r="KA1561" s="206"/>
      <c r="KB1561" s="206"/>
      <c r="KC1561" s="206"/>
      <c r="KD1561" s="206"/>
      <c r="KE1561" s="206"/>
      <c r="KF1561" s="206"/>
      <c r="KG1561" s="206"/>
      <c r="KH1561" s="206"/>
      <c r="KI1561" s="206"/>
      <c r="KJ1561" s="206"/>
      <c r="KK1561" s="206"/>
      <c r="KL1561" s="206"/>
      <c r="KM1561" s="206"/>
      <c r="KN1561" s="206"/>
      <c r="KO1561" s="206"/>
      <c r="KP1561" s="206"/>
      <c r="KQ1561" s="206"/>
      <c r="KR1561" s="206"/>
      <c r="KS1561" s="206"/>
      <c r="KT1561" s="206"/>
      <c r="KU1561" s="206"/>
      <c r="KV1561" s="206"/>
      <c r="KW1561" s="206"/>
      <c r="KX1561" s="206"/>
      <c r="KY1561" s="206"/>
      <c r="KZ1561" s="206"/>
      <c r="LA1561" s="206"/>
      <c r="LB1561" s="206"/>
      <c r="LC1561" s="206"/>
      <c r="LD1561" s="206"/>
      <c r="LE1561" s="206"/>
      <c r="LF1561" s="206"/>
      <c r="LG1561" s="206"/>
      <c r="LH1561" s="206"/>
      <c r="LI1561" s="206"/>
      <c r="LJ1561" s="206"/>
      <c r="LK1561" s="206"/>
      <c r="LL1561" s="206"/>
      <c r="LM1561" s="206"/>
      <c r="LN1561" s="206"/>
      <c r="LO1561" s="206"/>
      <c r="LP1561" s="206"/>
      <c r="LQ1561" s="206"/>
      <c r="LR1561" s="206"/>
      <c r="LS1561" s="206"/>
      <c r="LT1561" s="206"/>
      <c r="LU1561" s="206"/>
      <c r="LV1561" s="206"/>
      <c r="LW1561" s="206"/>
      <c r="LX1561" s="206"/>
      <c r="LY1561" s="206"/>
      <c r="LZ1561" s="206"/>
      <c r="MA1561" s="206"/>
      <c r="MB1561" s="206"/>
      <c r="MC1561" s="206"/>
      <c r="MD1561" s="206"/>
      <c r="ME1561" s="206"/>
      <c r="MF1561" s="206"/>
      <c r="MG1561" s="206"/>
      <c r="MH1561" s="206"/>
      <c r="MI1561" s="206"/>
      <c r="MJ1561" s="206"/>
      <c r="MK1561" s="206"/>
      <c r="ML1561" s="206"/>
      <c r="MM1561" s="206"/>
      <c r="MN1561" s="206"/>
      <c r="MO1561" s="206"/>
      <c r="MP1561" s="206"/>
      <c r="MQ1561" s="206"/>
      <c r="MR1561" s="206"/>
      <c r="MS1561" s="206"/>
      <c r="MT1561" s="206"/>
      <c r="MU1561" s="206"/>
      <c r="MV1561" s="206"/>
      <c r="MW1561" s="206"/>
      <c r="MX1561" s="206"/>
      <c r="MY1561" s="206"/>
      <c r="MZ1561" s="206"/>
      <c r="NA1561" s="206"/>
      <c r="NB1561" s="206"/>
      <c r="NC1561" s="206"/>
      <c r="ND1561" s="206"/>
      <c r="NE1561" s="206"/>
      <c r="NF1561" s="206"/>
      <c r="NG1561" s="206"/>
      <c r="NH1561" s="206"/>
      <c r="NI1561" s="206"/>
      <c r="NJ1561" s="206"/>
      <c r="NK1561" s="206"/>
      <c r="NL1561" s="206"/>
      <c r="NM1561" s="206"/>
      <c r="NN1561" s="206"/>
      <c r="NO1561" s="206"/>
      <c r="NP1561" s="206"/>
      <c r="NQ1561" s="206"/>
      <c r="NR1561" s="206"/>
      <c r="NS1561" s="206"/>
      <c r="NT1561" s="206"/>
      <c r="NU1561" s="206"/>
      <c r="NV1561" s="206"/>
      <c r="NW1561" s="206"/>
      <c r="NX1561" s="206"/>
      <c r="NY1561" s="206"/>
      <c r="NZ1561" s="206"/>
      <c r="OA1561" s="206"/>
      <c r="OB1561" s="206"/>
      <c r="OC1561" s="206"/>
      <c r="OD1561" s="206"/>
      <c r="OE1561" s="206"/>
      <c r="OF1561" s="206"/>
      <c r="OG1561" s="206"/>
      <c r="OH1561" s="206"/>
      <c r="OI1561" s="206"/>
      <c r="OJ1561" s="206"/>
      <c r="OK1561" s="206"/>
      <c r="OL1561" s="206"/>
      <c r="OM1561" s="206"/>
      <c r="ON1561" s="206"/>
      <c r="OO1561" s="206"/>
      <c r="OP1561" s="206"/>
      <c r="OQ1561" s="206"/>
      <c r="OR1561" s="206"/>
      <c r="OS1561" s="206"/>
      <c r="OT1561" s="206"/>
      <c r="OU1561" s="206"/>
      <c r="OV1561" s="206"/>
      <c r="OW1561" s="206"/>
      <c r="OX1561" s="206"/>
      <c r="OY1561" s="206"/>
      <c r="OZ1561" s="206"/>
      <c r="PA1561" s="206"/>
      <c r="PB1561" s="206"/>
      <c r="PC1561" s="206"/>
      <c r="PD1561" s="206"/>
      <c r="PE1561" s="206"/>
      <c r="PF1561" s="206"/>
      <c r="PG1561" s="206"/>
      <c r="PH1561" s="206"/>
      <c r="PI1561" s="206"/>
      <c r="PJ1561" s="206"/>
      <c r="PK1561" s="206"/>
      <c r="PL1561" s="206"/>
      <c r="PM1561" s="206"/>
      <c r="PN1561" s="206"/>
      <c r="PO1561" s="206"/>
      <c r="PP1561" s="206"/>
      <c r="PQ1561" s="206"/>
      <c r="PR1561" s="206"/>
      <c r="PS1561" s="206"/>
      <c r="PT1561" s="206"/>
      <c r="PU1561" s="206"/>
      <c r="PV1561" s="206"/>
      <c r="PW1561" s="206"/>
      <c r="PX1561" s="206"/>
      <c r="PY1561" s="206"/>
      <c r="PZ1561" s="206"/>
      <c r="QA1561" s="206"/>
      <c r="QB1561" s="206"/>
      <c r="QC1561" s="206"/>
      <c r="QD1561" s="206"/>
      <c r="QE1561" s="206"/>
      <c r="QF1561" s="206"/>
      <c r="QG1561" s="206"/>
      <c r="QH1561" s="206"/>
      <c r="QI1561" s="206"/>
      <c r="QJ1561" s="206"/>
      <c r="QK1561" s="206"/>
      <c r="QL1561" s="206"/>
      <c r="QM1561" s="206"/>
      <c r="QN1561" s="206"/>
      <c r="QO1561" s="206"/>
      <c r="QP1561" s="206"/>
      <c r="QQ1561" s="206"/>
      <c r="QR1561" s="206"/>
      <c r="QS1561" s="206"/>
      <c r="QT1561" s="206"/>
      <c r="QU1561" s="206"/>
      <c r="QV1561" s="206"/>
      <c r="QW1561" s="206"/>
      <c r="QX1561" s="206"/>
      <c r="QY1561" s="206"/>
      <c r="QZ1561" s="206"/>
      <c r="RA1561" s="206"/>
      <c r="RB1561" s="206"/>
      <c r="RC1561" s="206"/>
      <c r="RD1561" s="206"/>
      <c r="RE1561" s="206"/>
      <c r="RF1561" s="206"/>
      <c r="RG1561" s="206"/>
      <c r="RH1561" s="206"/>
      <c r="RI1561" s="206"/>
      <c r="RJ1561" s="206"/>
      <c r="RK1561" s="206"/>
      <c r="RL1561" s="206"/>
      <c r="RM1561" s="206"/>
      <c r="RN1561" s="206"/>
      <c r="RO1561" s="206"/>
      <c r="RP1561" s="206"/>
      <c r="RQ1561" s="206"/>
      <c r="RR1561" s="206"/>
      <c r="RS1561" s="206"/>
      <c r="RT1561" s="206"/>
      <c r="RU1561" s="206"/>
      <c r="RV1561" s="206"/>
      <c r="RW1561" s="206"/>
      <c r="RX1561" s="206"/>
      <c r="RY1561" s="206"/>
      <c r="RZ1561" s="206"/>
      <c r="SA1561" s="206"/>
      <c r="SB1561" s="206"/>
      <c r="SC1561" s="206"/>
      <c r="SD1561" s="206"/>
      <c r="SE1561" s="206"/>
      <c r="SF1561" s="206"/>
      <c r="SG1561" s="206"/>
      <c r="SH1561" s="206"/>
      <c r="SI1561" s="206"/>
      <c r="SJ1561" s="206"/>
      <c r="SK1561" s="206"/>
      <c r="SL1561" s="206"/>
      <c r="SM1561" s="206"/>
      <c r="SN1561" s="206"/>
      <c r="SO1561" s="206"/>
      <c r="SP1561" s="206"/>
      <c r="SQ1561" s="206"/>
      <c r="SR1561" s="206"/>
      <c r="SS1561" s="206"/>
      <c r="ST1561" s="206"/>
      <c r="SU1561" s="206"/>
      <c r="SV1561" s="206"/>
      <c r="SW1561" s="206"/>
      <c r="SX1561" s="206"/>
      <c r="SY1561" s="206"/>
      <c r="SZ1561" s="206"/>
      <c r="TA1561" s="206"/>
      <c r="TB1561" s="206"/>
      <c r="TC1561" s="206"/>
      <c r="TD1561" s="206"/>
      <c r="TE1561" s="206"/>
      <c r="TF1561" s="206"/>
      <c r="TG1561" s="206"/>
      <c r="TH1561" s="206"/>
      <c r="TI1561" s="206"/>
      <c r="TJ1561" s="206"/>
      <c r="TK1561" s="206"/>
      <c r="TL1561" s="206"/>
      <c r="TM1561" s="206"/>
      <c r="TN1561" s="206"/>
      <c r="TO1561" s="206"/>
      <c r="TP1561" s="206"/>
      <c r="TQ1561" s="206"/>
      <c r="TR1561" s="206"/>
      <c r="TS1561" s="206"/>
      <c r="TT1561" s="206"/>
      <c r="TU1561" s="206"/>
      <c r="TV1561" s="206"/>
      <c r="TW1561" s="206"/>
      <c r="TX1561" s="206"/>
      <c r="TY1561" s="206"/>
      <c r="TZ1561" s="206"/>
      <c r="UA1561" s="206"/>
      <c r="UB1561" s="206"/>
      <c r="UC1561" s="206"/>
      <c r="UD1561" s="206"/>
    </row>
    <row r="1562" spans="1:550" s="874" customFormat="1" ht="47.25" customHeight="1">
      <c r="A1562" s="924" t="s">
        <v>15</v>
      </c>
      <c r="B1562" s="940"/>
      <c r="C1562" s="942" t="str">
        <f t="shared" ref="C1562:E1563" si="239">C1556</f>
        <v>Đất nuôi trồng thủy sản (NTS)</v>
      </c>
      <c r="D1562" s="942">
        <f t="shared" si="239"/>
        <v>2</v>
      </c>
      <c r="E1562" s="940">
        <f t="shared" si="239"/>
        <v>304</v>
      </c>
      <c r="F1562" s="940"/>
      <c r="G1562" s="943" t="s">
        <v>1357</v>
      </c>
      <c r="H1562" s="954"/>
      <c r="I1562" s="945">
        <f t="shared" ref="I1562:I1563" si="240">I1556</f>
        <v>236.2</v>
      </c>
      <c r="J1562" s="1003">
        <v>66000</v>
      </c>
      <c r="K1562" s="957">
        <v>2.5</v>
      </c>
      <c r="L1562" s="949">
        <f t="shared" ref="L1562:L1563" si="241">I1562*J1562*K1562</f>
        <v>38973000</v>
      </c>
      <c r="M1562" s="949"/>
      <c r="N1562" s="949"/>
      <c r="O1562" s="949"/>
      <c r="P1562" s="949"/>
      <c r="Q1562" s="1178"/>
      <c r="R1562" s="1452"/>
      <c r="S1562" s="486"/>
      <c r="T1562" s="486"/>
      <c r="U1562" s="486"/>
      <c r="V1562" s="486"/>
      <c r="W1562" s="486"/>
      <c r="X1562" s="486"/>
      <c r="Y1562" s="486"/>
      <c r="Z1562" s="486"/>
      <c r="AA1562" s="486"/>
      <c r="AB1562" s="486"/>
      <c r="AC1562" s="486"/>
      <c r="AD1562" s="486"/>
      <c r="AE1562" s="486"/>
      <c r="AF1562" s="486"/>
      <c r="AG1562" s="486"/>
      <c r="AH1562" s="486"/>
      <c r="AI1562" s="486"/>
      <c r="AJ1562" s="486"/>
      <c r="AK1562" s="486"/>
      <c r="AL1562" s="206"/>
      <c r="AM1562" s="206"/>
      <c r="AN1562" s="206"/>
      <c r="AO1562" s="206"/>
      <c r="AP1562" s="206"/>
      <c r="AQ1562" s="206"/>
      <c r="AR1562" s="206"/>
      <c r="AS1562" s="206"/>
      <c r="AT1562" s="206"/>
      <c r="AU1562" s="206"/>
      <c r="AV1562" s="206"/>
      <c r="AW1562" s="206"/>
      <c r="AX1562" s="206"/>
      <c r="AY1562" s="206"/>
      <c r="AZ1562" s="206"/>
      <c r="BA1562" s="206"/>
      <c r="BB1562" s="206"/>
      <c r="BC1562" s="206"/>
      <c r="BD1562" s="206"/>
      <c r="BE1562" s="206"/>
      <c r="BF1562" s="206"/>
      <c r="BG1562" s="206"/>
      <c r="BH1562" s="206"/>
      <c r="BI1562" s="206"/>
      <c r="BJ1562" s="206"/>
      <c r="BK1562" s="206"/>
      <c r="BL1562" s="206"/>
      <c r="BM1562" s="206"/>
      <c r="BN1562" s="206"/>
      <c r="BO1562" s="206"/>
      <c r="BP1562" s="206"/>
      <c r="BQ1562" s="206"/>
      <c r="BR1562" s="206"/>
      <c r="BS1562" s="206"/>
      <c r="BT1562" s="206"/>
      <c r="BU1562" s="206"/>
      <c r="BV1562" s="206"/>
      <c r="BW1562" s="206"/>
      <c r="BX1562" s="206"/>
      <c r="BY1562" s="206"/>
      <c r="BZ1562" s="206"/>
      <c r="CA1562" s="206"/>
      <c r="CB1562" s="206"/>
      <c r="CC1562" s="206"/>
      <c r="CD1562" s="206"/>
      <c r="CE1562" s="206"/>
      <c r="CF1562" s="206"/>
      <c r="CG1562" s="206"/>
      <c r="CH1562" s="206"/>
      <c r="CI1562" s="206"/>
      <c r="CJ1562" s="206"/>
      <c r="CK1562" s="206"/>
      <c r="CL1562" s="206"/>
      <c r="CM1562" s="206"/>
      <c r="CN1562" s="206"/>
      <c r="CO1562" s="206"/>
      <c r="CP1562" s="206"/>
      <c r="CQ1562" s="206"/>
      <c r="CR1562" s="206"/>
      <c r="CS1562" s="206"/>
      <c r="CT1562" s="206"/>
      <c r="CU1562" s="206"/>
      <c r="CV1562" s="206"/>
      <c r="CW1562" s="206"/>
      <c r="CX1562" s="206"/>
      <c r="CY1562" s="206"/>
      <c r="CZ1562" s="206"/>
      <c r="DA1562" s="206"/>
      <c r="DB1562" s="206"/>
      <c r="DC1562" s="206"/>
      <c r="DD1562" s="206"/>
      <c r="DE1562" s="206"/>
      <c r="DF1562" s="206"/>
      <c r="DG1562" s="206"/>
      <c r="DH1562" s="206"/>
      <c r="DI1562" s="206"/>
      <c r="DJ1562" s="206"/>
      <c r="DK1562" s="206"/>
      <c r="DL1562" s="206"/>
      <c r="DM1562" s="206"/>
      <c r="DN1562" s="206"/>
      <c r="DO1562" s="206"/>
      <c r="DP1562" s="206"/>
      <c r="DQ1562" s="206"/>
      <c r="DR1562" s="206"/>
      <c r="DS1562" s="206"/>
      <c r="DT1562" s="206"/>
      <c r="DU1562" s="206"/>
      <c r="DV1562" s="206"/>
      <c r="DW1562" s="206"/>
      <c r="DX1562" s="206"/>
      <c r="DY1562" s="206"/>
      <c r="DZ1562" s="206"/>
      <c r="EA1562" s="206"/>
      <c r="EB1562" s="206"/>
      <c r="EC1562" s="206"/>
      <c r="ED1562" s="206"/>
      <c r="EE1562" s="206"/>
      <c r="EF1562" s="206"/>
      <c r="EG1562" s="206"/>
      <c r="EH1562" s="206"/>
      <c r="EI1562" s="206"/>
      <c r="EJ1562" s="206"/>
      <c r="EK1562" s="206"/>
      <c r="EL1562" s="206"/>
      <c r="EM1562" s="206"/>
      <c r="EN1562" s="206"/>
      <c r="EO1562" s="206"/>
      <c r="EP1562" s="206"/>
      <c r="EQ1562" s="206"/>
      <c r="ER1562" s="206"/>
      <c r="ES1562" s="206"/>
      <c r="ET1562" s="206"/>
      <c r="EU1562" s="206"/>
      <c r="EV1562" s="206"/>
      <c r="EW1562" s="206"/>
      <c r="EX1562" s="206"/>
      <c r="EY1562" s="206"/>
      <c r="EZ1562" s="206"/>
      <c r="FA1562" s="206"/>
      <c r="FB1562" s="206"/>
      <c r="FC1562" s="206"/>
      <c r="FD1562" s="206"/>
      <c r="FE1562" s="206"/>
      <c r="FF1562" s="206"/>
      <c r="FG1562" s="206"/>
      <c r="FH1562" s="206"/>
      <c r="FI1562" s="206"/>
      <c r="FJ1562" s="206"/>
      <c r="FK1562" s="206"/>
      <c r="FL1562" s="206"/>
      <c r="FM1562" s="206"/>
      <c r="FN1562" s="206"/>
      <c r="FO1562" s="206"/>
      <c r="FP1562" s="206"/>
      <c r="FQ1562" s="206"/>
      <c r="FR1562" s="206"/>
      <c r="FS1562" s="206"/>
      <c r="FT1562" s="206"/>
      <c r="FU1562" s="206"/>
      <c r="FV1562" s="206"/>
      <c r="FW1562" s="206"/>
      <c r="FX1562" s="206"/>
      <c r="FY1562" s="206"/>
      <c r="FZ1562" s="206"/>
      <c r="GA1562" s="206"/>
      <c r="GB1562" s="206"/>
      <c r="GC1562" s="206"/>
      <c r="GD1562" s="206"/>
      <c r="GE1562" s="206"/>
      <c r="GF1562" s="206"/>
      <c r="GG1562" s="206"/>
      <c r="GH1562" s="206"/>
      <c r="GI1562" s="206"/>
      <c r="GJ1562" s="206"/>
      <c r="GK1562" s="206"/>
      <c r="GL1562" s="206"/>
      <c r="GM1562" s="206"/>
      <c r="GN1562" s="206"/>
      <c r="GO1562" s="206"/>
      <c r="GP1562" s="206"/>
      <c r="GQ1562" s="206"/>
      <c r="GR1562" s="206"/>
      <c r="GS1562" s="206"/>
      <c r="GT1562" s="206"/>
      <c r="GU1562" s="206"/>
      <c r="GV1562" s="206"/>
      <c r="GW1562" s="206"/>
      <c r="GX1562" s="206"/>
      <c r="GY1562" s="206"/>
      <c r="GZ1562" s="206"/>
      <c r="HA1562" s="206"/>
      <c r="HB1562" s="206"/>
      <c r="HC1562" s="206"/>
      <c r="HD1562" s="206"/>
      <c r="HE1562" s="206"/>
      <c r="HF1562" s="206"/>
      <c r="HG1562" s="206"/>
      <c r="HH1562" s="206"/>
      <c r="HI1562" s="206"/>
      <c r="HJ1562" s="206"/>
      <c r="HK1562" s="206"/>
      <c r="HL1562" s="206"/>
      <c r="HM1562" s="206"/>
      <c r="HN1562" s="206"/>
      <c r="HO1562" s="206"/>
      <c r="HP1562" s="206"/>
      <c r="HQ1562" s="206"/>
      <c r="HR1562" s="206"/>
      <c r="HS1562" s="206"/>
      <c r="HT1562" s="206"/>
      <c r="HU1562" s="206"/>
      <c r="HV1562" s="206"/>
      <c r="HW1562" s="206"/>
      <c r="HX1562" s="206"/>
      <c r="HY1562" s="206"/>
      <c r="HZ1562" s="206"/>
      <c r="IA1562" s="206"/>
      <c r="IB1562" s="206"/>
      <c r="IC1562" s="206"/>
      <c r="ID1562" s="206"/>
      <c r="IE1562" s="206"/>
      <c r="IF1562" s="206"/>
      <c r="IG1562" s="206"/>
      <c r="IH1562" s="206"/>
      <c r="II1562" s="206"/>
      <c r="IJ1562" s="206"/>
      <c r="IK1562" s="206"/>
      <c r="IL1562" s="206"/>
      <c r="IM1562" s="206"/>
      <c r="IN1562" s="206"/>
      <c r="IO1562" s="206"/>
      <c r="IP1562" s="206"/>
      <c r="IQ1562" s="206"/>
      <c r="IR1562" s="206"/>
      <c r="IS1562" s="206"/>
      <c r="IT1562" s="206"/>
      <c r="IU1562" s="206"/>
      <c r="IV1562" s="206"/>
      <c r="IW1562" s="206"/>
      <c r="IX1562" s="206"/>
      <c r="IY1562" s="206"/>
      <c r="IZ1562" s="206"/>
      <c r="JA1562" s="206"/>
      <c r="JB1562" s="206"/>
      <c r="JC1562" s="206"/>
      <c r="JD1562" s="206"/>
      <c r="JE1562" s="206"/>
      <c r="JF1562" s="206"/>
      <c r="JG1562" s="206"/>
      <c r="JH1562" s="206"/>
      <c r="JI1562" s="206"/>
      <c r="JJ1562" s="206"/>
      <c r="JK1562" s="206"/>
      <c r="JL1562" s="206"/>
      <c r="JM1562" s="206"/>
      <c r="JN1562" s="206"/>
      <c r="JO1562" s="206"/>
      <c r="JP1562" s="206"/>
      <c r="JQ1562" s="206"/>
      <c r="JR1562" s="206"/>
      <c r="JS1562" s="206"/>
      <c r="JT1562" s="206"/>
      <c r="JU1562" s="206"/>
      <c r="JV1562" s="206"/>
      <c r="JW1562" s="206"/>
      <c r="JX1562" s="206"/>
      <c r="JY1562" s="206"/>
      <c r="JZ1562" s="206"/>
      <c r="KA1562" s="206"/>
      <c r="KB1562" s="206"/>
      <c r="KC1562" s="206"/>
      <c r="KD1562" s="206"/>
      <c r="KE1562" s="206"/>
      <c r="KF1562" s="206"/>
      <c r="KG1562" s="206"/>
      <c r="KH1562" s="206"/>
      <c r="KI1562" s="206"/>
      <c r="KJ1562" s="206"/>
      <c r="KK1562" s="206"/>
      <c r="KL1562" s="206"/>
      <c r="KM1562" s="206"/>
      <c r="KN1562" s="206"/>
      <c r="KO1562" s="206"/>
      <c r="KP1562" s="206"/>
      <c r="KQ1562" s="206"/>
      <c r="KR1562" s="206"/>
      <c r="KS1562" s="206"/>
      <c r="KT1562" s="206"/>
      <c r="KU1562" s="206"/>
      <c r="KV1562" s="206"/>
      <c r="KW1562" s="206"/>
      <c r="KX1562" s="206"/>
      <c r="KY1562" s="206"/>
      <c r="KZ1562" s="206"/>
      <c r="LA1562" s="206"/>
      <c r="LB1562" s="206"/>
      <c r="LC1562" s="206"/>
      <c r="LD1562" s="206"/>
      <c r="LE1562" s="206"/>
      <c r="LF1562" s="206"/>
      <c r="LG1562" s="206"/>
      <c r="LH1562" s="206"/>
      <c r="LI1562" s="206"/>
      <c r="LJ1562" s="206"/>
      <c r="LK1562" s="206"/>
      <c r="LL1562" s="206"/>
      <c r="LM1562" s="206"/>
      <c r="LN1562" s="206"/>
      <c r="LO1562" s="206"/>
      <c r="LP1562" s="206"/>
      <c r="LQ1562" s="206"/>
      <c r="LR1562" s="206"/>
      <c r="LS1562" s="206"/>
      <c r="LT1562" s="206"/>
      <c r="LU1562" s="206"/>
      <c r="LV1562" s="206"/>
      <c r="LW1562" s="206"/>
      <c r="LX1562" s="206"/>
      <c r="LY1562" s="206"/>
      <c r="LZ1562" s="206"/>
      <c r="MA1562" s="206"/>
      <c r="MB1562" s="206"/>
      <c r="MC1562" s="206"/>
      <c r="MD1562" s="206"/>
      <c r="ME1562" s="206"/>
      <c r="MF1562" s="206"/>
      <c r="MG1562" s="206"/>
      <c r="MH1562" s="206"/>
      <c r="MI1562" s="206"/>
      <c r="MJ1562" s="206"/>
      <c r="MK1562" s="206"/>
      <c r="ML1562" s="206"/>
      <c r="MM1562" s="206"/>
      <c r="MN1562" s="206"/>
      <c r="MO1562" s="206"/>
      <c r="MP1562" s="206"/>
      <c r="MQ1562" s="206"/>
      <c r="MR1562" s="206"/>
      <c r="MS1562" s="206"/>
      <c r="MT1562" s="206"/>
      <c r="MU1562" s="206"/>
      <c r="MV1562" s="206"/>
      <c r="MW1562" s="206"/>
      <c r="MX1562" s="206"/>
      <c r="MY1562" s="206"/>
      <c r="MZ1562" s="206"/>
      <c r="NA1562" s="206"/>
      <c r="NB1562" s="206"/>
      <c r="NC1562" s="206"/>
      <c r="ND1562" s="206"/>
      <c r="NE1562" s="206"/>
      <c r="NF1562" s="206"/>
      <c r="NG1562" s="206"/>
      <c r="NH1562" s="206"/>
      <c r="NI1562" s="206"/>
      <c r="NJ1562" s="206"/>
      <c r="NK1562" s="206"/>
      <c r="NL1562" s="206"/>
      <c r="NM1562" s="206"/>
      <c r="NN1562" s="206"/>
      <c r="NO1562" s="206"/>
      <c r="NP1562" s="206"/>
      <c r="NQ1562" s="206"/>
      <c r="NR1562" s="206"/>
      <c r="NS1562" s="206"/>
      <c r="NT1562" s="206"/>
      <c r="NU1562" s="206"/>
      <c r="NV1562" s="206"/>
      <c r="NW1562" s="206"/>
      <c r="NX1562" s="206"/>
      <c r="NY1562" s="206"/>
      <c r="NZ1562" s="206"/>
      <c r="OA1562" s="206"/>
      <c r="OB1562" s="206"/>
      <c r="OC1562" s="206"/>
      <c r="OD1562" s="206"/>
      <c r="OE1562" s="206"/>
      <c r="OF1562" s="206"/>
      <c r="OG1562" s="206"/>
      <c r="OH1562" s="206"/>
      <c r="OI1562" s="206"/>
      <c r="OJ1562" s="206"/>
      <c r="OK1562" s="206"/>
      <c r="OL1562" s="206"/>
      <c r="OM1562" s="206"/>
      <c r="ON1562" s="206"/>
      <c r="OO1562" s="206"/>
      <c r="OP1562" s="206"/>
      <c r="OQ1562" s="206"/>
      <c r="OR1562" s="206"/>
      <c r="OS1562" s="206"/>
      <c r="OT1562" s="206"/>
      <c r="OU1562" s="206"/>
      <c r="OV1562" s="206"/>
      <c r="OW1562" s="206"/>
      <c r="OX1562" s="206"/>
      <c r="OY1562" s="206"/>
      <c r="OZ1562" s="206"/>
      <c r="PA1562" s="206"/>
      <c r="PB1562" s="206"/>
      <c r="PC1562" s="206"/>
      <c r="PD1562" s="206"/>
      <c r="PE1562" s="206"/>
      <c r="PF1562" s="206"/>
      <c r="PG1562" s="206"/>
      <c r="PH1562" s="206"/>
      <c r="PI1562" s="206"/>
      <c r="PJ1562" s="206"/>
      <c r="PK1562" s="206"/>
      <c r="PL1562" s="206"/>
      <c r="PM1562" s="206"/>
      <c r="PN1562" s="206"/>
      <c r="PO1562" s="206"/>
      <c r="PP1562" s="206"/>
      <c r="PQ1562" s="206"/>
      <c r="PR1562" s="206"/>
      <c r="PS1562" s="206"/>
      <c r="PT1562" s="206"/>
      <c r="PU1562" s="206"/>
      <c r="PV1562" s="206"/>
      <c r="PW1562" s="206"/>
      <c r="PX1562" s="206"/>
      <c r="PY1562" s="206"/>
      <c r="PZ1562" s="206"/>
      <c r="QA1562" s="206"/>
      <c r="QB1562" s="206"/>
      <c r="QC1562" s="206"/>
      <c r="QD1562" s="206"/>
      <c r="QE1562" s="206"/>
      <c r="QF1562" s="206"/>
      <c r="QG1562" s="206"/>
      <c r="QH1562" s="206"/>
      <c r="QI1562" s="206"/>
      <c r="QJ1562" s="206"/>
      <c r="QK1562" s="206"/>
      <c r="QL1562" s="206"/>
      <c r="QM1562" s="206"/>
      <c r="QN1562" s="206"/>
      <c r="QO1562" s="206"/>
      <c r="QP1562" s="206"/>
      <c r="QQ1562" s="206"/>
      <c r="QR1562" s="206"/>
      <c r="QS1562" s="206"/>
      <c r="QT1562" s="206"/>
      <c r="QU1562" s="206"/>
      <c r="QV1562" s="206"/>
      <c r="QW1562" s="206"/>
      <c r="QX1562" s="206"/>
      <c r="QY1562" s="206"/>
      <c r="QZ1562" s="206"/>
      <c r="RA1562" s="206"/>
      <c r="RB1562" s="206"/>
      <c r="RC1562" s="206"/>
      <c r="RD1562" s="206"/>
      <c r="RE1562" s="206"/>
      <c r="RF1562" s="206"/>
      <c r="RG1562" s="206"/>
      <c r="RH1562" s="206"/>
      <c r="RI1562" s="206"/>
      <c r="RJ1562" s="206"/>
      <c r="RK1562" s="206"/>
      <c r="RL1562" s="206"/>
      <c r="RM1562" s="206"/>
      <c r="RN1562" s="206"/>
      <c r="RO1562" s="206"/>
      <c r="RP1562" s="206"/>
      <c r="RQ1562" s="206"/>
      <c r="RR1562" s="206"/>
      <c r="RS1562" s="206"/>
      <c r="RT1562" s="206"/>
      <c r="RU1562" s="206"/>
      <c r="RV1562" s="206"/>
      <c r="RW1562" s="206"/>
      <c r="RX1562" s="206"/>
      <c r="RY1562" s="206"/>
      <c r="RZ1562" s="206"/>
      <c r="SA1562" s="206"/>
      <c r="SB1562" s="206"/>
      <c r="SC1562" s="206"/>
      <c r="SD1562" s="206"/>
      <c r="SE1562" s="206"/>
      <c r="SF1562" s="206"/>
      <c r="SG1562" s="206"/>
      <c r="SH1562" s="206"/>
      <c r="SI1562" s="206"/>
      <c r="SJ1562" s="206"/>
      <c r="SK1562" s="206"/>
      <c r="SL1562" s="206"/>
      <c r="SM1562" s="206"/>
      <c r="SN1562" s="206"/>
      <c r="SO1562" s="206"/>
      <c r="SP1562" s="206"/>
      <c r="SQ1562" s="206"/>
      <c r="SR1562" s="206"/>
      <c r="SS1562" s="206"/>
      <c r="ST1562" s="206"/>
      <c r="SU1562" s="206"/>
      <c r="SV1562" s="206"/>
      <c r="SW1562" s="206"/>
      <c r="SX1562" s="206"/>
      <c r="SY1562" s="206"/>
      <c r="SZ1562" s="206"/>
      <c r="TA1562" s="206"/>
      <c r="TB1562" s="206"/>
      <c r="TC1562" s="206"/>
      <c r="TD1562" s="206"/>
      <c r="TE1562" s="206"/>
      <c r="TF1562" s="206"/>
      <c r="TG1562" s="206"/>
      <c r="TH1562" s="206"/>
      <c r="TI1562" s="206"/>
      <c r="TJ1562" s="206"/>
      <c r="TK1562" s="206"/>
      <c r="TL1562" s="206"/>
      <c r="TM1562" s="206"/>
      <c r="TN1562" s="206"/>
      <c r="TO1562" s="206"/>
      <c r="TP1562" s="206"/>
      <c r="TQ1562" s="206"/>
      <c r="TR1562" s="206"/>
      <c r="TS1562" s="206"/>
      <c r="TT1562" s="206"/>
      <c r="TU1562" s="206"/>
      <c r="TV1562" s="206"/>
      <c r="TW1562" s="206"/>
      <c r="TX1562" s="206"/>
      <c r="TY1562" s="206"/>
      <c r="TZ1562" s="206"/>
      <c r="UA1562" s="206"/>
      <c r="UB1562" s="206"/>
      <c r="UC1562" s="206"/>
      <c r="UD1562" s="206"/>
    </row>
    <row r="1563" spans="1:550" s="874" customFormat="1" ht="47.25" customHeight="1">
      <c r="A1563" s="924" t="s">
        <v>15</v>
      </c>
      <c r="B1563" s="953"/>
      <c r="C1563" s="942" t="str">
        <f t="shared" si="239"/>
        <v>Đất trồng cây hàng năm khác (HNK)</v>
      </c>
      <c r="D1563" s="942">
        <f t="shared" si="239"/>
        <v>2</v>
      </c>
      <c r="E1563" s="940">
        <f t="shared" si="239"/>
        <v>499</v>
      </c>
      <c r="F1563" s="940"/>
      <c r="G1563" s="943" t="s">
        <v>1357</v>
      </c>
      <c r="H1563" s="969"/>
      <c r="I1563" s="945">
        <f t="shared" si="240"/>
        <v>70.8</v>
      </c>
      <c r="J1563" s="1003">
        <v>53000</v>
      </c>
      <c r="K1563" s="959">
        <v>1</v>
      </c>
      <c r="L1563" s="949">
        <f t="shared" si="241"/>
        <v>3752400</v>
      </c>
      <c r="M1563" s="949"/>
      <c r="N1563" s="949"/>
      <c r="O1563" s="949"/>
      <c r="P1563" s="949"/>
      <c r="Q1563" s="1182"/>
      <c r="R1563" s="1452"/>
      <c r="S1563" s="486"/>
      <c r="T1563" s="486"/>
      <c r="U1563" s="486"/>
      <c r="V1563" s="486"/>
      <c r="W1563" s="486"/>
      <c r="X1563" s="486"/>
      <c r="Y1563" s="486"/>
      <c r="Z1563" s="486"/>
      <c r="AA1563" s="486"/>
      <c r="AB1563" s="486"/>
      <c r="AC1563" s="486"/>
      <c r="AD1563" s="486"/>
      <c r="AE1563" s="486"/>
      <c r="AF1563" s="486"/>
      <c r="AG1563" s="486"/>
      <c r="AH1563" s="486"/>
      <c r="AI1563" s="486"/>
      <c r="AJ1563" s="486"/>
      <c r="AK1563" s="486"/>
      <c r="AL1563" s="206"/>
      <c r="AM1563" s="206"/>
      <c r="AN1563" s="206"/>
      <c r="AO1563" s="206"/>
      <c r="AP1563" s="206"/>
      <c r="AQ1563" s="206"/>
      <c r="AR1563" s="206"/>
      <c r="AS1563" s="206"/>
      <c r="AT1563" s="206"/>
      <c r="AU1563" s="206"/>
      <c r="AV1563" s="206"/>
      <c r="AW1563" s="206"/>
      <c r="AX1563" s="206"/>
      <c r="AY1563" s="206"/>
      <c r="AZ1563" s="206"/>
      <c r="BA1563" s="206"/>
      <c r="BB1563" s="206"/>
      <c r="BC1563" s="206"/>
      <c r="BD1563" s="206"/>
      <c r="BE1563" s="206"/>
      <c r="BF1563" s="206"/>
      <c r="BG1563" s="206"/>
      <c r="BH1563" s="206"/>
      <c r="BI1563" s="206"/>
      <c r="BJ1563" s="206"/>
      <c r="BK1563" s="206"/>
      <c r="BL1563" s="206"/>
      <c r="BM1563" s="206"/>
      <c r="BN1563" s="206"/>
      <c r="BO1563" s="206"/>
      <c r="BP1563" s="206"/>
      <c r="BQ1563" s="206"/>
      <c r="BR1563" s="206"/>
      <c r="BS1563" s="206"/>
      <c r="BT1563" s="206"/>
      <c r="BU1563" s="206"/>
      <c r="BV1563" s="206"/>
      <c r="BW1563" s="206"/>
      <c r="BX1563" s="206"/>
      <c r="BY1563" s="206"/>
      <c r="BZ1563" s="206"/>
      <c r="CA1563" s="206"/>
      <c r="CB1563" s="206"/>
      <c r="CC1563" s="206"/>
      <c r="CD1563" s="206"/>
      <c r="CE1563" s="206"/>
      <c r="CF1563" s="206"/>
      <c r="CG1563" s="206"/>
      <c r="CH1563" s="206"/>
      <c r="CI1563" s="206"/>
      <c r="CJ1563" s="206"/>
      <c r="CK1563" s="206"/>
      <c r="CL1563" s="206"/>
      <c r="CM1563" s="206"/>
      <c r="CN1563" s="206"/>
      <c r="CO1563" s="206"/>
      <c r="CP1563" s="206"/>
      <c r="CQ1563" s="206"/>
      <c r="CR1563" s="206"/>
      <c r="CS1563" s="206"/>
      <c r="CT1563" s="206"/>
      <c r="CU1563" s="206"/>
      <c r="CV1563" s="206"/>
      <c r="CW1563" s="206"/>
      <c r="CX1563" s="206"/>
      <c r="CY1563" s="206"/>
      <c r="CZ1563" s="206"/>
      <c r="DA1563" s="206"/>
      <c r="DB1563" s="206"/>
      <c r="DC1563" s="206"/>
      <c r="DD1563" s="206"/>
      <c r="DE1563" s="206"/>
      <c r="DF1563" s="206"/>
      <c r="DG1563" s="206"/>
      <c r="DH1563" s="206"/>
      <c r="DI1563" s="206"/>
      <c r="DJ1563" s="206"/>
      <c r="DK1563" s="206"/>
      <c r="DL1563" s="206"/>
      <c r="DM1563" s="206"/>
      <c r="DN1563" s="206"/>
      <c r="DO1563" s="206"/>
      <c r="DP1563" s="206"/>
      <c r="DQ1563" s="206"/>
      <c r="DR1563" s="206"/>
      <c r="DS1563" s="206"/>
      <c r="DT1563" s="206"/>
      <c r="DU1563" s="206"/>
      <c r="DV1563" s="206"/>
      <c r="DW1563" s="206"/>
      <c r="DX1563" s="206"/>
      <c r="DY1563" s="206"/>
      <c r="DZ1563" s="206"/>
      <c r="EA1563" s="206"/>
      <c r="EB1563" s="206"/>
      <c r="EC1563" s="206"/>
      <c r="ED1563" s="206"/>
      <c r="EE1563" s="206"/>
      <c r="EF1563" s="206"/>
      <c r="EG1563" s="206"/>
      <c r="EH1563" s="206"/>
      <c r="EI1563" s="206"/>
      <c r="EJ1563" s="206"/>
      <c r="EK1563" s="206"/>
      <c r="EL1563" s="206"/>
      <c r="EM1563" s="206"/>
      <c r="EN1563" s="206"/>
      <c r="EO1563" s="206"/>
      <c r="EP1563" s="206"/>
      <c r="EQ1563" s="206"/>
      <c r="ER1563" s="206"/>
      <c r="ES1563" s="206"/>
      <c r="ET1563" s="206"/>
      <c r="EU1563" s="206"/>
      <c r="EV1563" s="206"/>
      <c r="EW1563" s="206"/>
      <c r="EX1563" s="206"/>
      <c r="EY1563" s="206"/>
      <c r="EZ1563" s="206"/>
      <c r="FA1563" s="206"/>
      <c r="FB1563" s="206"/>
      <c r="FC1563" s="206"/>
      <c r="FD1563" s="206"/>
      <c r="FE1563" s="206"/>
      <c r="FF1563" s="206"/>
      <c r="FG1563" s="206"/>
      <c r="FH1563" s="206"/>
      <c r="FI1563" s="206"/>
      <c r="FJ1563" s="206"/>
      <c r="FK1563" s="206"/>
      <c r="FL1563" s="206"/>
      <c r="FM1563" s="206"/>
      <c r="FN1563" s="206"/>
      <c r="FO1563" s="206"/>
      <c r="FP1563" s="206"/>
      <c r="FQ1563" s="206"/>
      <c r="FR1563" s="206"/>
      <c r="FS1563" s="206"/>
      <c r="FT1563" s="206"/>
      <c r="FU1563" s="206"/>
      <c r="FV1563" s="206"/>
      <c r="FW1563" s="206"/>
      <c r="FX1563" s="206"/>
      <c r="FY1563" s="206"/>
      <c r="FZ1563" s="206"/>
      <c r="GA1563" s="206"/>
      <c r="GB1563" s="206"/>
      <c r="GC1563" s="206"/>
      <c r="GD1563" s="206"/>
      <c r="GE1563" s="206"/>
      <c r="GF1563" s="206"/>
      <c r="GG1563" s="206"/>
      <c r="GH1563" s="206"/>
      <c r="GI1563" s="206"/>
      <c r="GJ1563" s="206"/>
      <c r="GK1563" s="206"/>
      <c r="GL1563" s="206"/>
      <c r="GM1563" s="206"/>
      <c r="GN1563" s="206"/>
      <c r="GO1563" s="206"/>
      <c r="GP1563" s="206"/>
      <c r="GQ1563" s="206"/>
      <c r="GR1563" s="206"/>
      <c r="GS1563" s="206"/>
      <c r="GT1563" s="206"/>
      <c r="GU1563" s="206"/>
      <c r="GV1563" s="206"/>
      <c r="GW1563" s="206"/>
      <c r="GX1563" s="206"/>
      <c r="GY1563" s="206"/>
      <c r="GZ1563" s="206"/>
      <c r="HA1563" s="206"/>
      <c r="HB1563" s="206"/>
      <c r="HC1563" s="206"/>
      <c r="HD1563" s="206"/>
      <c r="HE1563" s="206"/>
      <c r="HF1563" s="206"/>
      <c r="HG1563" s="206"/>
      <c r="HH1563" s="206"/>
      <c r="HI1563" s="206"/>
      <c r="HJ1563" s="206"/>
      <c r="HK1563" s="206"/>
      <c r="HL1563" s="206"/>
      <c r="HM1563" s="206"/>
      <c r="HN1563" s="206"/>
      <c r="HO1563" s="206"/>
      <c r="HP1563" s="206"/>
      <c r="HQ1563" s="206"/>
      <c r="HR1563" s="206"/>
      <c r="HS1563" s="206"/>
      <c r="HT1563" s="206"/>
      <c r="HU1563" s="206"/>
      <c r="HV1563" s="206"/>
      <c r="HW1563" s="206"/>
      <c r="HX1563" s="206"/>
      <c r="HY1563" s="206"/>
      <c r="HZ1563" s="206"/>
      <c r="IA1563" s="206"/>
      <c r="IB1563" s="206"/>
      <c r="IC1563" s="206"/>
      <c r="ID1563" s="206"/>
      <c r="IE1563" s="206"/>
      <c r="IF1563" s="206"/>
      <c r="IG1563" s="206"/>
      <c r="IH1563" s="206"/>
      <c r="II1563" s="206"/>
      <c r="IJ1563" s="206"/>
      <c r="IK1563" s="206"/>
      <c r="IL1563" s="206"/>
      <c r="IM1563" s="206"/>
      <c r="IN1563" s="206"/>
      <c r="IO1563" s="206"/>
      <c r="IP1563" s="206"/>
      <c r="IQ1563" s="206"/>
      <c r="IR1563" s="206"/>
      <c r="IS1563" s="206"/>
      <c r="IT1563" s="206"/>
      <c r="IU1563" s="206"/>
      <c r="IV1563" s="206"/>
      <c r="IW1563" s="206"/>
      <c r="IX1563" s="206"/>
      <c r="IY1563" s="206"/>
      <c r="IZ1563" s="206"/>
      <c r="JA1563" s="206"/>
      <c r="JB1563" s="206"/>
      <c r="JC1563" s="206"/>
      <c r="JD1563" s="206"/>
      <c r="JE1563" s="206"/>
      <c r="JF1563" s="206"/>
      <c r="JG1563" s="206"/>
      <c r="JH1563" s="206"/>
      <c r="JI1563" s="206"/>
      <c r="JJ1563" s="206"/>
      <c r="JK1563" s="206"/>
      <c r="JL1563" s="206"/>
      <c r="JM1563" s="206"/>
      <c r="JN1563" s="206"/>
      <c r="JO1563" s="206"/>
      <c r="JP1563" s="206"/>
      <c r="JQ1563" s="206"/>
      <c r="JR1563" s="206"/>
      <c r="JS1563" s="206"/>
      <c r="JT1563" s="206"/>
      <c r="JU1563" s="206"/>
      <c r="JV1563" s="206"/>
      <c r="JW1563" s="206"/>
      <c r="JX1563" s="206"/>
      <c r="JY1563" s="206"/>
      <c r="JZ1563" s="206"/>
      <c r="KA1563" s="206"/>
      <c r="KB1563" s="206"/>
      <c r="KC1563" s="206"/>
      <c r="KD1563" s="206"/>
      <c r="KE1563" s="206"/>
      <c r="KF1563" s="206"/>
      <c r="KG1563" s="206"/>
      <c r="KH1563" s="206"/>
      <c r="KI1563" s="206"/>
      <c r="KJ1563" s="206"/>
      <c r="KK1563" s="206"/>
      <c r="KL1563" s="206"/>
      <c r="KM1563" s="206"/>
      <c r="KN1563" s="206"/>
      <c r="KO1563" s="206"/>
      <c r="KP1563" s="206"/>
      <c r="KQ1563" s="206"/>
      <c r="KR1563" s="206"/>
      <c r="KS1563" s="206"/>
      <c r="KT1563" s="206"/>
      <c r="KU1563" s="206"/>
      <c r="KV1563" s="206"/>
      <c r="KW1563" s="206"/>
      <c r="KX1563" s="206"/>
      <c r="KY1563" s="206"/>
      <c r="KZ1563" s="206"/>
      <c r="LA1563" s="206"/>
      <c r="LB1563" s="206"/>
      <c r="LC1563" s="206"/>
      <c r="LD1563" s="206"/>
      <c r="LE1563" s="206"/>
      <c r="LF1563" s="206"/>
      <c r="LG1563" s="206"/>
      <c r="LH1563" s="206"/>
      <c r="LI1563" s="206"/>
      <c r="LJ1563" s="206"/>
      <c r="LK1563" s="206"/>
      <c r="LL1563" s="206"/>
      <c r="LM1563" s="206"/>
      <c r="LN1563" s="206"/>
      <c r="LO1563" s="206"/>
      <c r="LP1563" s="206"/>
      <c r="LQ1563" s="206"/>
      <c r="LR1563" s="206"/>
      <c r="LS1563" s="206"/>
      <c r="LT1563" s="206"/>
      <c r="LU1563" s="206"/>
      <c r="LV1563" s="206"/>
      <c r="LW1563" s="206"/>
      <c r="LX1563" s="206"/>
      <c r="LY1563" s="206"/>
      <c r="LZ1563" s="206"/>
      <c r="MA1563" s="206"/>
      <c r="MB1563" s="206"/>
      <c r="MC1563" s="206"/>
      <c r="MD1563" s="206"/>
      <c r="ME1563" s="206"/>
      <c r="MF1563" s="206"/>
      <c r="MG1563" s="206"/>
      <c r="MH1563" s="206"/>
      <c r="MI1563" s="206"/>
      <c r="MJ1563" s="206"/>
      <c r="MK1563" s="206"/>
      <c r="ML1563" s="206"/>
      <c r="MM1563" s="206"/>
      <c r="MN1563" s="206"/>
      <c r="MO1563" s="206"/>
      <c r="MP1563" s="206"/>
      <c r="MQ1563" s="206"/>
      <c r="MR1563" s="206"/>
      <c r="MS1563" s="206"/>
      <c r="MT1563" s="206"/>
      <c r="MU1563" s="206"/>
      <c r="MV1563" s="206"/>
      <c r="MW1563" s="206"/>
      <c r="MX1563" s="206"/>
      <c r="MY1563" s="206"/>
      <c r="MZ1563" s="206"/>
      <c r="NA1563" s="206"/>
      <c r="NB1563" s="206"/>
      <c r="NC1563" s="206"/>
      <c r="ND1563" s="206"/>
      <c r="NE1563" s="206"/>
      <c r="NF1563" s="206"/>
      <c r="NG1563" s="206"/>
      <c r="NH1563" s="206"/>
      <c r="NI1563" s="206"/>
      <c r="NJ1563" s="206"/>
      <c r="NK1563" s="206"/>
      <c r="NL1563" s="206"/>
      <c r="NM1563" s="206"/>
      <c r="NN1563" s="206"/>
      <c r="NO1563" s="206"/>
      <c r="NP1563" s="206"/>
      <c r="NQ1563" s="206"/>
      <c r="NR1563" s="206"/>
      <c r="NS1563" s="206"/>
      <c r="NT1563" s="206"/>
      <c r="NU1563" s="206"/>
      <c r="NV1563" s="206"/>
      <c r="NW1563" s="206"/>
      <c r="NX1563" s="206"/>
      <c r="NY1563" s="206"/>
      <c r="NZ1563" s="206"/>
      <c r="OA1563" s="206"/>
      <c r="OB1563" s="206"/>
      <c r="OC1563" s="206"/>
      <c r="OD1563" s="206"/>
      <c r="OE1563" s="206"/>
      <c r="OF1563" s="206"/>
      <c r="OG1563" s="206"/>
      <c r="OH1563" s="206"/>
      <c r="OI1563" s="206"/>
      <c r="OJ1563" s="206"/>
      <c r="OK1563" s="206"/>
      <c r="OL1563" s="206"/>
      <c r="OM1563" s="206"/>
      <c r="ON1563" s="206"/>
      <c r="OO1563" s="206"/>
      <c r="OP1563" s="206"/>
      <c r="OQ1563" s="206"/>
      <c r="OR1563" s="206"/>
      <c r="OS1563" s="206"/>
      <c r="OT1563" s="206"/>
      <c r="OU1563" s="206"/>
      <c r="OV1563" s="206"/>
      <c r="OW1563" s="206"/>
      <c r="OX1563" s="206"/>
      <c r="OY1563" s="206"/>
      <c r="OZ1563" s="206"/>
      <c r="PA1563" s="206"/>
      <c r="PB1563" s="206"/>
      <c r="PC1563" s="206"/>
      <c r="PD1563" s="206"/>
      <c r="PE1563" s="206"/>
      <c r="PF1563" s="206"/>
      <c r="PG1563" s="206"/>
      <c r="PH1563" s="206"/>
      <c r="PI1563" s="206"/>
      <c r="PJ1563" s="206"/>
      <c r="PK1563" s="206"/>
      <c r="PL1563" s="206"/>
      <c r="PM1563" s="206"/>
      <c r="PN1563" s="206"/>
      <c r="PO1563" s="206"/>
      <c r="PP1563" s="206"/>
      <c r="PQ1563" s="206"/>
      <c r="PR1563" s="206"/>
      <c r="PS1563" s="206"/>
      <c r="PT1563" s="206"/>
      <c r="PU1563" s="206"/>
      <c r="PV1563" s="206"/>
      <c r="PW1563" s="206"/>
      <c r="PX1563" s="206"/>
      <c r="PY1563" s="206"/>
      <c r="PZ1563" s="206"/>
      <c r="QA1563" s="206"/>
      <c r="QB1563" s="206"/>
      <c r="QC1563" s="206"/>
      <c r="QD1563" s="206"/>
      <c r="QE1563" s="206"/>
      <c r="QF1563" s="206"/>
      <c r="QG1563" s="206"/>
      <c r="QH1563" s="206"/>
      <c r="QI1563" s="206"/>
      <c r="QJ1563" s="206"/>
      <c r="QK1563" s="206"/>
      <c r="QL1563" s="206"/>
      <c r="QM1563" s="206"/>
      <c r="QN1563" s="206"/>
      <c r="QO1563" s="206"/>
      <c r="QP1563" s="206"/>
      <c r="QQ1563" s="206"/>
      <c r="QR1563" s="206"/>
      <c r="QS1563" s="206"/>
      <c r="QT1563" s="206"/>
      <c r="QU1563" s="206"/>
      <c r="QV1563" s="206"/>
      <c r="QW1563" s="206"/>
      <c r="QX1563" s="206"/>
      <c r="QY1563" s="206"/>
      <c r="QZ1563" s="206"/>
      <c r="RA1563" s="206"/>
      <c r="RB1563" s="206"/>
      <c r="RC1563" s="206"/>
      <c r="RD1563" s="206"/>
      <c r="RE1563" s="206"/>
      <c r="RF1563" s="206"/>
      <c r="RG1563" s="206"/>
      <c r="RH1563" s="206"/>
      <c r="RI1563" s="206"/>
      <c r="RJ1563" s="206"/>
      <c r="RK1563" s="206"/>
      <c r="RL1563" s="206"/>
      <c r="RM1563" s="206"/>
      <c r="RN1563" s="206"/>
      <c r="RO1563" s="206"/>
      <c r="RP1563" s="206"/>
      <c r="RQ1563" s="206"/>
      <c r="RR1563" s="206"/>
      <c r="RS1563" s="206"/>
      <c r="RT1563" s="206"/>
      <c r="RU1563" s="206"/>
      <c r="RV1563" s="206"/>
      <c r="RW1563" s="206"/>
      <c r="RX1563" s="206"/>
      <c r="RY1563" s="206"/>
      <c r="RZ1563" s="206"/>
      <c r="SA1563" s="206"/>
      <c r="SB1563" s="206"/>
      <c r="SC1563" s="206"/>
      <c r="SD1563" s="206"/>
      <c r="SE1563" s="206"/>
      <c r="SF1563" s="206"/>
      <c r="SG1563" s="206"/>
      <c r="SH1563" s="206"/>
      <c r="SI1563" s="206"/>
      <c r="SJ1563" s="206"/>
      <c r="SK1563" s="206"/>
      <c r="SL1563" s="206"/>
      <c r="SM1563" s="206"/>
      <c r="SN1563" s="206"/>
      <c r="SO1563" s="206"/>
      <c r="SP1563" s="206"/>
      <c r="SQ1563" s="206"/>
      <c r="SR1563" s="206"/>
      <c r="SS1563" s="206"/>
      <c r="ST1563" s="206"/>
      <c r="SU1563" s="206"/>
      <c r="SV1563" s="206"/>
      <c r="SW1563" s="206"/>
      <c r="SX1563" s="206"/>
      <c r="SY1563" s="206"/>
      <c r="SZ1563" s="206"/>
      <c r="TA1563" s="206"/>
      <c r="TB1563" s="206"/>
      <c r="TC1563" s="206"/>
      <c r="TD1563" s="206"/>
      <c r="TE1563" s="206"/>
      <c r="TF1563" s="206"/>
      <c r="TG1563" s="206"/>
      <c r="TH1563" s="206"/>
      <c r="TI1563" s="206"/>
      <c r="TJ1563" s="206"/>
      <c r="TK1563" s="206"/>
      <c r="TL1563" s="206"/>
      <c r="TM1563" s="206"/>
      <c r="TN1563" s="206"/>
      <c r="TO1563" s="206"/>
      <c r="TP1563" s="206"/>
      <c r="TQ1563" s="206"/>
      <c r="TR1563" s="206"/>
      <c r="TS1563" s="206"/>
      <c r="TT1563" s="206"/>
      <c r="TU1563" s="206"/>
      <c r="TV1563" s="206"/>
      <c r="TW1563" s="206"/>
      <c r="TX1563" s="206"/>
      <c r="TY1563" s="206"/>
      <c r="TZ1563" s="206"/>
      <c r="UA1563" s="206"/>
      <c r="UB1563" s="206"/>
      <c r="UC1563" s="206"/>
      <c r="UD1563" s="206"/>
    </row>
    <row r="1564" spans="1:550" s="873" customFormat="1" ht="42" customHeight="1">
      <c r="A1564" s="913">
        <v>20</v>
      </c>
      <c r="B1564" s="914"/>
      <c r="C1564" s="935" t="s">
        <v>1370</v>
      </c>
      <c r="D1564" s="1119"/>
      <c r="E1564" s="1119"/>
      <c r="F1564" s="1120"/>
      <c r="G1564" s="914"/>
      <c r="H1564" s="918"/>
      <c r="I1564" s="919"/>
      <c r="J1564" s="1001"/>
      <c r="K1564" s="920"/>
      <c r="L1564" s="914">
        <f>SUM(L1568:L1588)/2</f>
        <v>675544100</v>
      </c>
      <c r="M1564" s="914"/>
      <c r="N1564" s="914"/>
      <c r="O1564" s="914"/>
      <c r="P1564" s="914">
        <f>SUM(P1565:P1588)</f>
        <v>675544100</v>
      </c>
      <c r="Q1564" s="1170"/>
      <c r="R1564" s="1241"/>
      <c r="S1564" s="970" t="s">
        <v>845</v>
      </c>
      <c r="T1564" s="921" t="s">
        <v>1388</v>
      </c>
      <c r="U1564" s="971">
        <f>H1568</f>
        <v>2709.7</v>
      </c>
      <c r="V1564" s="817">
        <f>I1568</f>
        <v>2709.7</v>
      </c>
      <c r="W1564" s="820">
        <f>SUM(W1567:W1574)</f>
        <v>932.9</v>
      </c>
      <c r="X1564" s="820">
        <f t="shared" ref="X1564:AC1564" si="242">SUM(X1567:X1574)</f>
        <v>353.3</v>
      </c>
      <c r="Y1564" s="820">
        <f t="shared" si="242"/>
        <v>186.2</v>
      </c>
      <c r="Z1564" s="820">
        <f t="shared" si="242"/>
        <v>0</v>
      </c>
      <c r="AA1564" s="820">
        <f t="shared" si="242"/>
        <v>1237.3</v>
      </c>
      <c r="AB1564" s="820">
        <f t="shared" si="242"/>
        <v>0</v>
      </c>
      <c r="AC1564" s="820">
        <f t="shared" si="242"/>
        <v>0</v>
      </c>
      <c r="AD1564" s="819">
        <f>P1568</f>
        <v>161431900</v>
      </c>
      <c r="AE1564" s="819" t="str">
        <f>L1575</f>
        <v xml:space="preserve">     </v>
      </c>
      <c r="AF1564" s="819">
        <f>L1576</f>
        <v>19796800</v>
      </c>
      <c r="AG1564" s="820"/>
      <c r="AH1564" s="819">
        <f>L1579</f>
        <v>470291000</v>
      </c>
      <c r="AI1564" s="820"/>
      <c r="AJ1564" s="819">
        <f>L1586</f>
        <v>24024400</v>
      </c>
      <c r="AK1564" s="819">
        <f>SUM(AD1564:AJ1564)</f>
        <v>675544100</v>
      </c>
      <c r="AL1564" s="872"/>
      <c r="AM1564" s="872"/>
      <c r="AN1564" s="872"/>
      <c r="AO1564" s="872"/>
      <c r="AP1564" s="872"/>
      <c r="AQ1564" s="872"/>
      <c r="AR1564" s="872"/>
      <c r="AS1564" s="872"/>
      <c r="AT1564" s="872"/>
      <c r="AU1564" s="872"/>
      <c r="AV1564" s="872"/>
      <c r="AW1564" s="872"/>
      <c r="AX1564" s="872"/>
      <c r="AY1564" s="872"/>
      <c r="AZ1564" s="872"/>
      <c r="BA1564" s="872"/>
      <c r="BB1564" s="872"/>
      <c r="BC1564" s="872"/>
      <c r="BD1564" s="872"/>
      <c r="BE1564" s="872"/>
      <c r="BF1564" s="872"/>
      <c r="BG1564" s="872"/>
      <c r="BH1564" s="872"/>
      <c r="BI1564" s="872"/>
      <c r="BJ1564" s="872"/>
      <c r="BK1564" s="872"/>
      <c r="BL1564" s="872"/>
      <c r="BM1564" s="872"/>
      <c r="BN1564" s="872"/>
      <c r="BO1564" s="872"/>
      <c r="BP1564" s="872"/>
      <c r="BQ1564" s="872"/>
      <c r="BR1564" s="872"/>
      <c r="BS1564" s="872"/>
      <c r="BT1564" s="872"/>
      <c r="BU1564" s="872"/>
      <c r="BV1564" s="872"/>
      <c r="BW1564" s="872"/>
      <c r="BX1564" s="872"/>
      <c r="BY1564" s="872"/>
      <c r="BZ1564" s="872"/>
      <c r="CA1564" s="872"/>
      <c r="CB1564" s="872"/>
      <c r="CC1564" s="872"/>
      <c r="CD1564" s="872"/>
      <c r="CE1564" s="872"/>
      <c r="CF1564" s="872"/>
      <c r="CG1564" s="872"/>
      <c r="CH1564" s="872"/>
      <c r="CI1564" s="872"/>
      <c r="CJ1564" s="872"/>
      <c r="CK1564" s="872"/>
      <c r="CL1564" s="872"/>
      <c r="CM1564" s="872"/>
      <c r="CN1564" s="872"/>
      <c r="CO1564" s="872"/>
      <c r="CP1564" s="872"/>
      <c r="CQ1564" s="872"/>
      <c r="CR1564" s="872"/>
      <c r="CS1564" s="872"/>
      <c r="CT1564" s="872"/>
      <c r="CU1564" s="872"/>
      <c r="CV1564" s="872"/>
      <c r="CW1564" s="872"/>
      <c r="CX1564" s="872"/>
      <c r="CY1564" s="872"/>
      <c r="CZ1564" s="872"/>
      <c r="DA1564" s="872"/>
      <c r="DB1564" s="872"/>
      <c r="DC1564" s="872"/>
      <c r="DD1564" s="872"/>
      <c r="DE1564" s="872"/>
      <c r="DF1564" s="872"/>
      <c r="DG1564" s="872"/>
      <c r="DH1564" s="872"/>
      <c r="DI1564" s="872"/>
      <c r="DJ1564" s="872"/>
      <c r="DK1564" s="872"/>
      <c r="DL1564" s="872"/>
      <c r="DM1564" s="872"/>
      <c r="DN1564" s="872"/>
      <c r="DO1564" s="872"/>
      <c r="DP1564" s="872"/>
      <c r="DQ1564" s="872"/>
      <c r="DR1564" s="872"/>
      <c r="DS1564" s="872"/>
      <c r="DT1564" s="872"/>
      <c r="DU1564" s="872"/>
      <c r="DV1564" s="872"/>
      <c r="DW1564" s="872"/>
      <c r="DX1564" s="872"/>
      <c r="DY1564" s="872"/>
      <c r="DZ1564" s="872"/>
      <c r="EA1564" s="872"/>
      <c r="EB1564" s="872"/>
      <c r="EC1564" s="872"/>
      <c r="ED1564" s="872"/>
      <c r="EE1564" s="872"/>
      <c r="EF1564" s="872"/>
      <c r="EG1564" s="872"/>
      <c r="EH1564" s="872"/>
      <c r="EI1564" s="872"/>
      <c r="EJ1564" s="872"/>
      <c r="EK1564" s="872"/>
      <c r="EL1564" s="872"/>
      <c r="EM1564" s="872"/>
      <c r="EN1564" s="872"/>
      <c r="EO1564" s="872"/>
      <c r="EP1564" s="872"/>
      <c r="EQ1564" s="872"/>
      <c r="ER1564" s="872"/>
      <c r="ES1564" s="872"/>
      <c r="ET1564" s="872"/>
      <c r="EU1564" s="872"/>
      <c r="EV1564" s="872"/>
      <c r="EW1564" s="872"/>
      <c r="EX1564" s="872"/>
      <c r="EY1564" s="872"/>
      <c r="EZ1564" s="872"/>
      <c r="FA1564" s="872"/>
      <c r="FB1564" s="872"/>
      <c r="FC1564" s="872"/>
      <c r="FD1564" s="872"/>
      <c r="FE1564" s="872"/>
      <c r="FF1564" s="872"/>
      <c r="FG1564" s="872"/>
      <c r="FH1564" s="872"/>
      <c r="FI1564" s="872"/>
      <c r="FJ1564" s="872"/>
      <c r="FK1564" s="872"/>
      <c r="FL1564" s="872"/>
      <c r="FM1564" s="872"/>
      <c r="FN1564" s="872"/>
      <c r="FO1564" s="872"/>
      <c r="FP1564" s="872"/>
      <c r="FQ1564" s="872"/>
      <c r="FR1564" s="872"/>
      <c r="FS1564" s="872"/>
      <c r="FT1564" s="872"/>
      <c r="FU1564" s="872"/>
      <c r="FV1564" s="872"/>
      <c r="FW1564" s="872"/>
      <c r="FX1564" s="872"/>
      <c r="FY1564" s="872"/>
      <c r="FZ1564" s="872"/>
      <c r="GA1564" s="872"/>
      <c r="GB1564" s="872"/>
      <c r="GC1564" s="872"/>
      <c r="GD1564" s="872"/>
      <c r="GE1564" s="872"/>
      <c r="GF1564" s="872"/>
      <c r="GG1564" s="872"/>
      <c r="GH1564" s="872"/>
      <c r="GI1564" s="872"/>
      <c r="GJ1564" s="872"/>
      <c r="GK1564" s="872"/>
      <c r="GL1564" s="872"/>
      <c r="GM1564" s="872"/>
      <c r="GN1564" s="872"/>
      <c r="GO1564" s="872"/>
      <c r="GP1564" s="872"/>
      <c r="GQ1564" s="872"/>
      <c r="GR1564" s="872"/>
      <c r="GS1564" s="872"/>
      <c r="GT1564" s="872"/>
      <c r="GU1564" s="872"/>
      <c r="GV1564" s="872"/>
      <c r="GW1564" s="872"/>
      <c r="GX1564" s="872"/>
      <c r="GY1564" s="872"/>
      <c r="GZ1564" s="872"/>
      <c r="HA1564" s="872"/>
      <c r="HB1564" s="872"/>
      <c r="HC1564" s="872"/>
      <c r="HD1564" s="872"/>
      <c r="HE1564" s="872"/>
      <c r="HF1564" s="872"/>
      <c r="HG1564" s="872"/>
      <c r="HH1564" s="872"/>
      <c r="HI1564" s="872"/>
      <c r="HJ1564" s="872"/>
      <c r="HK1564" s="872"/>
      <c r="HL1564" s="872"/>
      <c r="HM1564" s="872"/>
      <c r="HN1564" s="872"/>
      <c r="HO1564" s="872"/>
      <c r="HP1564" s="872"/>
      <c r="HQ1564" s="872"/>
      <c r="HR1564" s="872"/>
      <c r="HS1564" s="872"/>
      <c r="HT1564" s="872"/>
      <c r="HU1564" s="872"/>
      <c r="HV1564" s="872"/>
      <c r="HW1564" s="872"/>
      <c r="HX1564" s="872"/>
      <c r="HY1564" s="872"/>
      <c r="HZ1564" s="872"/>
      <c r="IA1564" s="872"/>
      <c r="IB1564" s="872"/>
      <c r="IC1564" s="872"/>
      <c r="ID1564" s="872"/>
      <c r="IE1564" s="872"/>
      <c r="IF1564" s="872"/>
      <c r="IG1564" s="872"/>
      <c r="IH1564" s="872"/>
      <c r="II1564" s="872"/>
      <c r="IJ1564" s="872"/>
      <c r="IK1564" s="872"/>
      <c r="IL1564" s="872"/>
      <c r="IM1564" s="872"/>
      <c r="IN1564" s="872"/>
      <c r="IO1564" s="872"/>
      <c r="IP1564" s="872"/>
      <c r="IQ1564" s="872"/>
      <c r="IR1564" s="872"/>
      <c r="IS1564" s="872"/>
      <c r="IT1564" s="872"/>
      <c r="IU1564" s="872"/>
      <c r="IV1564" s="872"/>
      <c r="IW1564" s="872"/>
      <c r="IX1564" s="872"/>
      <c r="IY1564" s="872"/>
      <c r="IZ1564" s="872"/>
      <c r="JA1564" s="872"/>
      <c r="JB1564" s="872"/>
      <c r="JC1564" s="872"/>
      <c r="JD1564" s="872"/>
      <c r="JE1564" s="872"/>
      <c r="JF1564" s="872"/>
      <c r="JG1564" s="872"/>
      <c r="JH1564" s="872"/>
      <c r="JI1564" s="872"/>
      <c r="JJ1564" s="872"/>
      <c r="JK1564" s="872"/>
      <c r="JL1564" s="872"/>
      <c r="JM1564" s="872"/>
      <c r="JN1564" s="872"/>
      <c r="JO1564" s="872"/>
      <c r="JP1564" s="872"/>
      <c r="JQ1564" s="872"/>
      <c r="JR1564" s="872"/>
      <c r="JS1564" s="872"/>
      <c r="JT1564" s="872"/>
      <c r="JU1564" s="872"/>
      <c r="JV1564" s="872"/>
      <c r="JW1564" s="872"/>
      <c r="JX1564" s="872"/>
      <c r="JY1564" s="872"/>
      <c r="JZ1564" s="872"/>
      <c r="KA1564" s="872"/>
      <c r="KB1564" s="872"/>
      <c r="KC1564" s="872"/>
      <c r="KD1564" s="872"/>
      <c r="KE1564" s="872"/>
      <c r="KF1564" s="872"/>
      <c r="KG1564" s="872"/>
      <c r="KH1564" s="872"/>
      <c r="KI1564" s="872"/>
      <c r="KJ1564" s="872"/>
      <c r="KK1564" s="872"/>
      <c r="KL1564" s="872"/>
      <c r="KM1564" s="872"/>
      <c r="KN1564" s="872"/>
      <c r="KO1564" s="872"/>
      <c r="KP1564" s="872"/>
      <c r="KQ1564" s="872"/>
      <c r="KR1564" s="872"/>
      <c r="KS1564" s="872"/>
      <c r="KT1564" s="872"/>
      <c r="KU1564" s="872"/>
      <c r="KV1564" s="872"/>
      <c r="KW1564" s="872"/>
      <c r="KX1564" s="872"/>
      <c r="KY1564" s="872"/>
      <c r="KZ1564" s="872"/>
      <c r="LA1564" s="872"/>
      <c r="LB1564" s="872"/>
      <c r="LC1564" s="872"/>
      <c r="LD1564" s="872"/>
      <c r="LE1564" s="872"/>
      <c r="LF1564" s="872"/>
      <c r="LG1564" s="872"/>
      <c r="LH1564" s="872"/>
      <c r="LI1564" s="872"/>
      <c r="LJ1564" s="872"/>
      <c r="LK1564" s="872"/>
      <c r="LL1564" s="872"/>
      <c r="LM1564" s="872"/>
      <c r="LN1564" s="872"/>
      <c r="LO1564" s="872"/>
      <c r="LP1564" s="872"/>
      <c r="LQ1564" s="872"/>
      <c r="LR1564" s="872"/>
      <c r="LS1564" s="872"/>
      <c r="LT1564" s="872"/>
      <c r="LU1564" s="872"/>
      <c r="LV1564" s="872"/>
      <c r="LW1564" s="872"/>
      <c r="LX1564" s="872"/>
      <c r="LY1564" s="872"/>
      <c r="LZ1564" s="872"/>
      <c r="MA1564" s="872"/>
      <c r="MB1564" s="872"/>
      <c r="MC1564" s="872"/>
      <c r="MD1564" s="872"/>
      <c r="ME1564" s="872"/>
      <c r="MF1564" s="872"/>
      <c r="MG1564" s="872"/>
      <c r="MH1564" s="872"/>
      <c r="MI1564" s="872"/>
      <c r="MJ1564" s="872"/>
      <c r="MK1564" s="872"/>
      <c r="ML1564" s="872"/>
      <c r="MM1564" s="872"/>
      <c r="MN1564" s="872"/>
      <c r="MO1564" s="872"/>
      <c r="MP1564" s="872"/>
      <c r="MQ1564" s="872"/>
      <c r="MR1564" s="872"/>
      <c r="MS1564" s="872"/>
      <c r="MT1564" s="872"/>
      <c r="MU1564" s="872"/>
      <c r="MV1564" s="872"/>
      <c r="MW1564" s="872"/>
      <c r="MX1564" s="872"/>
      <c r="MY1564" s="872"/>
      <c r="MZ1564" s="872"/>
      <c r="NA1564" s="872"/>
      <c r="NB1564" s="872"/>
      <c r="NC1564" s="872"/>
      <c r="ND1564" s="872"/>
      <c r="NE1564" s="872"/>
      <c r="NF1564" s="872"/>
      <c r="NG1564" s="872"/>
      <c r="NH1564" s="872"/>
      <c r="NI1564" s="872"/>
      <c r="NJ1564" s="872"/>
      <c r="NK1564" s="872"/>
      <c r="NL1564" s="872"/>
      <c r="NM1564" s="872"/>
      <c r="NN1564" s="872"/>
      <c r="NO1564" s="872"/>
      <c r="NP1564" s="872"/>
      <c r="NQ1564" s="872"/>
      <c r="NR1564" s="872"/>
      <c r="NS1564" s="872"/>
      <c r="NT1564" s="872"/>
      <c r="NU1564" s="872"/>
      <c r="NV1564" s="872"/>
      <c r="NW1564" s="872"/>
      <c r="NX1564" s="872"/>
      <c r="NY1564" s="872"/>
      <c r="NZ1564" s="872"/>
      <c r="OA1564" s="872"/>
      <c r="OB1564" s="872"/>
      <c r="OC1564" s="872"/>
      <c r="OD1564" s="872"/>
      <c r="OE1564" s="872"/>
      <c r="OF1564" s="872"/>
      <c r="OG1564" s="872"/>
      <c r="OH1564" s="872"/>
      <c r="OI1564" s="872"/>
      <c r="OJ1564" s="872"/>
      <c r="OK1564" s="872"/>
      <c r="OL1564" s="872"/>
      <c r="OM1564" s="872"/>
      <c r="ON1564" s="872"/>
      <c r="OO1564" s="872"/>
      <c r="OP1564" s="872"/>
      <c r="OQ1564" s="872"/>
      <c r="OR1564" s="872"/>
      <c r="OS1564" s="872"/>
      <c r="OT1564" s="872"/>
      <c r="OU1564" s="872"/>
      <c r="OV1564" s="872"/>
      <c r="OW1564" s="872"/>
      <c r="OX1564" s="872"/>
      <c r="OY1564" s="872"/>
      <c r="OZ1564" s="872"/>
      <c r="PA1564" s="872"/>
      <c r="PB1564" s="872"/>
      <c r="PC1564" s="872"/>
      <c r="PD1564" s="872"/>
      <c r="PE1564" s="872"/>
      <c r="PF1564" s="872"/>
      <c r="PG1564" s="872"/>
      <c r="PH1564" s="872"/>
      <c r="PI1564" s="872"/>
      <c r="PJ1564" s="872"/>
      <c r="PK1564" s="872"/>
      <c r="PL1564" s="872"/>
      <c r="PM1564" s="872"/>
      <c r="PN1564" s="872"/>
      <c r="PO1564" s="872"/>
      <c r="PP1564" s="872"/>
      <c r="PQ1564" s="872"/>
      <c r="PR1564" s="872"/>
      <c r="PS1564" s="872"/>
      <c r="PT1564" s="872"/>
      <c r="PU1564" s="872"/>
      <c r="PV1564" s="872"/>
      <c r="PW1564" s="872"/>
      <c r="PX1564" s="872"/>
      <c r="PY1564" s="872"/>
      <c r="PZ1564" s="872"/>
      <c r="QA1564" s="872"/>
      <c r="QB1564" s="872"/>
      <c r="QC1564" s="872"/>
      <c r="QD1564" s="872"/>
      <c r="QE1564" s="872"/>
      <c r="QF1564" s="872"/>
      <c r="QG1564" s="872"/>
      <c r="QH1564" s="872"/>
      <c r="QI1564" s="872"/>
      <c r="QJ1564" s="872"/>
      <c r="QK1564" s="872"/>
      <c r="QL1564" s="872"/>
      <c r="QM1564" s="872"/>
      <c r="QN1564" s="872"/>
      <c r="QO1564" s="872"/>
      <c r="QP1564" s="872"/>
      <c r="QQ1564" s="872"/>
      <c r="QR1564" s="872"/>
      <c r="QS1564" s="872"/>
      <c r="QT1564" s="872"/>
      <c r="QU1564" s="872"/>
      <c r="QV1564" s="872"/>
      <c r="QW1564" s="872"/>
      <c r="QX1564" s="872"/>
      <c r="QY1564" s="872"/>
      <c r="QZ1564" s="872"/>
      <c r="RA1564" s="872"/>
      <c r="RB1564" s="872"/>
      <c r="RC1564" s="872"/>
      <c r="RD1564" s="872"/>
      <c r="RE1564" s="872"/>
      <c r="RF1564" s="872"/>
      <c r="RG1564" s="872"/>
      <c r="RH1564" s="872"/>
      <c r="RI1564" s="872"/>
      <c r="RJ1564" s="872"/>
      <c r="RK1564" s="872"/>
      <c r="RL1564" s="872"/>
      <c r="RM1564" s="872"/>
      <c r="RN1564" s="872"/>
      <c r="RO1564" s="872"/>
      <c r="RP1564" s="872"/>
      <c r="RQ1564" s="872"/>
      <c r="RR1564" s="872"/>
      <c r="RS1564" s="872"/>
      <c r="RT1564" s="872"/>
      <c r="RU1564" s="872"/>
      <c r="RV1564" s="872"/>
      <c r="RW1564" s="872"/>
      <c r="RX1564" s="872"/>
      <c r="RY1564" s="872"/>
      <c r="RZ1564" s="872"/>
      <c r="SA1564" s="872"/>
      <c r="SB1564" s="872"/>
      <c r="SC1564" s="872"/>
      <c r="SD1564" s="872"/>
      <c r="SE1564" s="872"/>
      <c r="SF1564" s="872"/>
      <c r="SG1564" s="872"/>
      <c r="SH1564" s="872"/>
      <c r="SI1564" s="872"/>
      <c r="SJ1564" s="872"/>
      <c r="SK1564" s="872"/>
      <c r="SL1564" s="872"/>
      <c r="SM1564" s="872"/>
      <c r="SN1564" s="872"/>
      <c r="SO1564" s="872"/>
      <c r="SP1564" s="872"/>
      <c r="SQ1564" s="872"/>
      <c r="SR1564" s="872"/>
      <c r="SS1564" s="872"/>
      <c r="ST1564" s="872"/>
      <c r="SU1564" s="872"/>
      <c r="SV1564" s="872"/>
      <c r="SW1564" s="872"/>
      <c r="SX1564" s="872"/>
      <c r="SY1564" s="872"/>
      <c r="SZ1564" s="872"/>
      <c r="TA1564" s="872"/>
      <c r="TB1564" s="872"/>
      <c r="TC1564" s="872"/>
      <c r="TD1564" s="872"/>
      <c r="TE1564" s="872"/>
      <c r="TF1564" s="872"/>
      <c r="TG1564" s="872"/>
      <c r="TH1564" s="872"/>
      <c r="TI1564" s="872"/>
      <c r="TJ1564" s="872"/>
      <c r="TK1564" s="872"/>
      <c r="TL1564" s="872"/>
      <c r="TM1564" s="872"/>
      <c r="TN1564" s="872"/>
      <c r="TO1564" s="872"/>
      <c r="TP1564" s="872"/>
      <c r="TQ1564" s="872"/>
      <c r="TR1564" s="872"/>
      <c r="TS1564" s="872"/>
      <c r="TT1564" s="872"/>
      <c r="TU1564" s="872"/>
      <c r="TV1564" s="872"/>
      <c r="TW1564" s="872"/>
      <c r="TX1564" s="872"/>
      <c r="TY1564" s="872"/>
      <c r="TZ1564" s="872"/>
      <c r="UA1564" s="872"/>
      <c r="UB1564" s="872"/>
      <c r="UC1564" s="872"/>
      <c r="UD1564" s="872"/>
    </row>
    <row r="1565" spans="1:550" s="874" customFormat="1" ht="21.75" customHeight="1">
      <c r="A1565" s="924" t="s">
        <v>15</v>
      </c>
      <c r="B1565" s="1226"/>
      <c r="C1565" s="1632" t="s">
        <v>1371</v>
      </c>
      <c r="D1565" s="1452"/>
      <c r="E1565" s="1452"/>
      <c r="F1565" s="1452"/>
      <c r="G1565" s="1226"/>
      <c r="H1565" s="925"/>
      <c r="I1565" s="926"/>
      <c r="J1565" s="1243"/>
      <c r="K1565" s="809"/>
      <c r="L1565" s="1226"/>
      <c r="M1565" s="1226"/>
      <c r="N1565" s="1226"/>
      <c r="O1565" s="1226"/>
      <c r="P1565" s="1226"/>
      <c r="Q1565" s="1134"/>
      <c r="R1565" s="1226"/>
      <c r="S1565" s="486"/>
      <c r="T1565" s="486"/>
      <c r="U1565" s="486"/>
      <c r="V1565" s="486"/>
      <c r="W1565" s="486"/>
      <c r="X1565" s="486"/>
      <c r="Y1565" s="486"/>
      <c r="Z1565" s="486"/>
      <c r="AA1565" s="486"/>
      <c r="AB1565" s="486"/>
      <c r="AC1565" s="486"/>
      <c r="AD1565" s="486"/>
      <c r="AE1565" s="486"/>
      <c r="AF1565" s="486"/>
      <c r="AG1565" s="486"/>
      <c r="AH1565" s="486"/>
      <c r="AI1565" s="486"/>
      <c r="AJ1565" s="486"/>
      <c r="AK1565" s="486"/>
      <c r="AL1565" s="206"/>
      <c r="AM1565" s="206"/>
      <c r="AN1565" s="206"/>
      <c r="AO1565" s="206"/>
      <c r="AP1565" s="206"/>
      <c r="AQ1565" s="206"/>
      <c r="AR1565" s="206"/>
      <c r="AS1565" s="206"/>
      <c r="AT1565" s="206"/>
      <c r="AU1565" s="206"/>
      <c r="AV1565" s="206"/>
      <c r="AW1565" s="206"/>
      <c r="AX1565" s="206"/>
      <c r="AY1565" s="206"/>
      <c r="AZ1565" s="206"/>
      <c r="BA1565" s="206"/>
      <c r="BB1565" s="206"/>
      <c r="BC1565" s="206"/>
      <c r="BD1565" s="206"/>
      <c r="BE1565" s="206"/>
      <c r="BF1565" s="206"/>
      <c r="BG1565" s="206"/>
      <c r="BH1565" s="206"/>
      <c r="BI1565" s="206"/>
      <c r="BJ1565" s="206"/>
      <c r="BK1565" s="206"/>
      <c r="BL1565" s="206"/>
      <c r="BM1565" s="206"/>
      <c r="BN1565" s="206"/>
      <c r="BO1565" s="206"/>
      <c r="BP1565" s="206"/>
      <c r="BQ1565" s="206"/>
      <c r="BR1565" s="206"/>
      <c r="BS1565" s="206"/>
      <c r="BT1565" s="206"/>
      <c r="BU1565" s="206"/>
      <c r="BV1565" s="206"/>
      <c r="BW1565" s="206"/>
      <c r="BX1565" s="206"/>
      <c r="BY1565" s="206"/>
      <c r="BZ1565" s="206"/>
      <c r="CA1565" s="206"/>
      <c r="CB1565" s="206"/>
      <c r="CC1565" s="206"/>
      <c r="CD1565" s="206"/>
      <c r="CE1565" s="206"/>
      <c r="CF1565" s="206"/>
      <c r="CG1565" s="206"/>
      <c r="CH1565" s="206"/>
      <c r="CI1565" s="206"/>
      <c r="CJ1565" s="206"/>
      <c r="CK1565" s="206"/>
      <c r="CL1565" s="206"/>
      <c r="CM1565" s="206"/>
      <c r="CN1565" s="206"/>
      <c r="CO1565" s="206"/>
      <c r="CP1565" s="206"/>
      <c r="CQ1565" s="206"/>
      <c r="CR1565" s="206"/>
      <c r="CS1565" s="206"/>
      <c r="CT1565" s="206"/>
      <c r="CU1565" s="206"/>
      <c r="CV1565" s="206"/>
      <c r="CW1565" s="206"/>
      <c r="CX1565" s="206"/>
      <c r="CY1565" s="206"/>
      <c r="CZ1565" s="206"/>
      <c r="DA1565" s="206"/>
      <c r="DB1565" s="206"/>
      <c r="DC1565" s="206"/>
      <c r="DD1565" s="206"/>
      <c r="DE1565" s="206"/>
      <c r="DF1565" s="206"/>
      <c r="DG1565" s="206"/>
      <c r="DH1565" s="206"/>
      <c r="DI1565" s="206"/>
      <c r="DJ1565" s="206"/>
      <c r="DK1565" s="206"/>
      <c r="DL1565" s="206"/>
      <c r="DM1565" s="206"/>
      <c r="DN1565" s="206"/>
      <c r="DO1565" s="206"/>
      <c r="DP1565" s="206"/>
      <c r="DQ1565" s="206"/>
      <c r="DR1565" s="206"/>
      <c r="DS1565" s="206"/>
      <c r="DT1565" s="206"/>
      <c r="DU1565" s="206"/>
      <c r="DV1565" s="206"/>
      <c r="DW1565" s="206"/>
      <c r="DX1565" s="206"/>
      <c r="DY1565" s="206"/>
      <c r="DZ1565" s="206"/>
      <c r="EA1565" s="206"/>
      <c r="EB1565" s="206"/>
      <c r="EC1565" s="206"/>
      <c r="ED1565" s="206"/>
      <c r="EE1565" s="206"/>
      <c r="EF1565" s="206"/>
      <c r="EG1565" s="206"/>
      <c r="EH1565" s="206"/>
      <c r="EI1565" s="206"/>
      <c r="EJ1565" s="206"/>
      <c r="EK1565" s="206"/>
      <c r="EL1565" s="206"/>
      <c r="EM1565" s="206"/>
      <c r="EN1565" s="206"/>
      <c r="EO1565" s="206"/>
      <c r="EP1565" s="206"/>
      <c r="EQ1565" s="206"/>
      <c r="ER1565" s="206"/>
      <c r="ES1565" s="206"/>
      <c r="ET1565" s="206"/>
      <c r="EU1565" s="206"/>
      <c r="EV1565" s="206"/>
      <c r="EW1565" s="206"/>
      <c r="EX1565" s="206"/>
      <c r="EY1565" s="206"/>
      <c r="EZ1565" s="206"/>
      <c r="FA1565" s="206"/>
      <c r="FB1565" s="206"/>
      <c r="FC1565" s="206"/>
      <c r="FD1565" s="206"/>
      <c r="FE1565" s="206"/>
      <c r="FF1565" s="206"/>
      <c r="FG1565" s="206"/>
      <c r="FH1565" s="206"/>
      <c r="FI1565" s="206"/>
      <c r="FJ1565" s="206"/>
      <c r="FK1565" s="206"/>
      <c r="FL1565" s="206"/>
      <c r="FM1565" s="206"/>
      <c r="FN1565" s="206"/>
      <c r="FO1565" s="206"/>
      <c r="FP1565" s="206"/>
      <c r="FQ1565" s="206"/>
      <c r="FR1565" s="206"/>
      <c r="FS1565" s="206"/>
      <c r="FT1565" s="206"/>
      <c r="FU1565" s="206"/>
      <c r="FV1565" s="206"/>
      <c r="FW1565" s="206"/>
      <c r="FX1565" s="206"/>
      <c r="FY1565" s="206"/>
      <c r="FZ1565" s="206"/>
      <c r="GA1565" s="206"/>
      <c r="GB1565" s="206"/>
      <c r="GC1565" s="206"/>
      <c r="GD1565" s="206"/>
      <c r="GE1565" s="206"/>
      <c r="GF1565" s="206"/>
      <c r="GG1565" s="206"/>
      <c r="GH1565" s="206"/>
      <c r="GI1565" s="206"/>
      <c r="GJ1565" s="206"/>
      <c r="GK1565" s="206"/>
      <c r="GL1565" s="206"/>
      <c r="GM1565" s="206"/>
      <c r="GN1565" s="206"/>
      <c r="GO1565" s="206"/>
      <c r="GP1565" s="206"/>
      <c r="GQ1565" s="206"/>
      <c r="GR1565" s="206"/>
      <c r="GS1565" s="206"/>
      <c r="GT1565" s="206"/>
      <c r="GU1565" s="206"/>
      <c r="GV1565" s="206"/>
      <c r="GW1565" s="206"/>
      <c r="GX1565" s="206"/>
      <c r="GY1565" s="206"/>
      <c r="GZ1565" s="206"/>
      <c r="HA1565" s="206"/>
      <c r="HB1565" s="206"/>
      <c r="HC1565" s="206"/>
      <c r="HD1565" s="206"/>
      <c r="HE1565" s="206"/>
      <c r="HF1565" s="206"/>
      <c r="HG1565" s="206"/>
      <c r="HH1565" s="206"/>
      <c r="HI1565" s="206"/>
      <c r="HJ1565" s="206"/>
      <c r="HK1565" s="206"/>
      <c r="HL1565" s="206"/>
      <c r="HM1565" s="206"/>
      <c r="HN1565" s="206"/>
      <c r="HO1565" s="206"/>
      <c r="HP1565" s="206"/>
      <c r="HQ1565" s="206"/>
      <c r="HR1565" s="206"/>
      <c r="HS1565" s="206"/>
      <c r="HT1565" s="206"/>
      <c r="HU1565" s="206"/>
      <c r="HV1565" s="206"/>
      <c r="HW1565" s="206"/>
      <c r="HX1565" s="206"/>
      <c r="HY1565" s="206"/>
      <c r="HZ1565" s="206"/>
      <c r="IA1565" s="206"/>
      <c r="IB1565" s="206"/>
      <c r="IC1565" s="206"/>
      <c r="ID1565" s="206"/>
      <c r="IE1565" s="206"/>
      <c r="IF1565" s="206"/>
      <c r="IG1565" s="206"/>
      <c r="IH1565" s="206"/>
      <c r="II1565" s="206"/>
      <c r="IJ1565" s="206"/>
      <c r="IK1565" s="206"/>
      <c r="IL1565" s="206"/>
      <c r="IM1565" s="206"/>
      <c r="IN1565" s="206"/>
      <c r="IO1565" s="206"/>
      <c r="IP1565" s="206"/>
      <c r="IQ1565" s="206"/>
      <c r="IR1565" s="206"/>
      <c r="IS1565" s="206"/>
      <c r="IT1565" s="206"/>
      <c r="IU1565" s="206"/>
      <c r="IV1565" s="206"/>
      <c r="IW1565" s="206"/>
      <c r="IX1565" s="206"/>
      <c r="IY1565" s="206"/>
      <c r="IZ1565" s="206"/>
      <c r="JA1565" s="206"/>
      <c r="JB1565" s="206"/>
      <c r="JC1565" s="206"/>
      <c r="JD1565" s="206"/>
      <c r="JE1565" s="206"/>
      <c r="JF1565" s="206"/>
      <c r="JG1565" s="206"/>
      <c r="JH1565" s="206"/>
      <c r="JI1565" s="206"/>
      <c r="JJ1565" s="206"/>
      <c r="JK1565" s="206"/>
      <c r="JL1565" s="206"/>
      <c r="JM1565" s="206"/>
      <c r="JN1565" s="206"/>
      <c r="JO1565" s="206"/>
      <c r="JP1565" s="206"/>
      <c r="JQ1565" s="206"/>
      <c r="JR1565" s="206"/>
      <c r="JS1565" s="206"/>
      <c r="JT1565" s="206"/>
      <c r="JU1565" s="206"/>
      <c r="JV1565" s="206"/>
      <c r="JW1565" s="206"/>
      <c r="JX1565" s="206"/>
      <c r="JY1565" s="206"/>
      <c r="JZ1565" s="206"/>
      <c r="KA1565" s="206"/>
      <c r="KB1565" s="206"/>
      <c r="KC1565" s="206"/>
      <c r="KD1565" s="206"/>
      <c r="KE1565" s="206"/>
      <c r="KF1565" s="206"/>
      <c r="KG1565" s="206"/>
      <c r="KH1565" s="206"/>
      <c r="KI1565" s="206"/>
      <c r="KJ1565" s="206"/>
      <c r="KK1565" s="206"/>
      <c r="KL1565" s="206"/>
      <c r="KM1565" s="206"/>
      <c r="KN1565" s="206"/>
      <c r="KO1565" s="206"/>
      <c r="KP1565" s="206"/>
      <c r="KQ1565" s="206"/>
      <c r="KR1565" s="206"/>
      <c r="KS1565" s="206"/>
      <c r="KT1565" s="206"/>
      <c r="KU1565" s="206"/>
      <c r="KV1565" s="206"/>
      <c r="KW1565" s="206"/>
      <c r="KX1565" s="206"/>
      <c r="KY1565" s="206"/>
      <c r="KZ1565" s="206"/>
      <c r="LA1565" s="206"/>
      <c r="LB1565" s="206"/>
      <c r="LC1565" s="206"/>
      <c r="LD1565" s="206"/>
      <c r="LE1565" s="206"/>
      <c r="LF1565" s="206"/>
      <c r="LG1565" s="206"/>
      <c r="LH1565" s="206"/>
      <c r="LI1565" s="206"/>
      <c r="LJ1565" s="206"/>
      <c r="LK1565" s="206"/>
      <c r="LL1565" s="206"/>
      <c r="LM1565" s="206"/>
      <c r="LN1565" s="206"/>
      <c r="LO1565" s="206"/>
      <c r="LP1565" s="206"/>
      <c r="LQ1565" s="206"/>
      <c r="LR1565" s="206"/>
      <c r="LS1565" s="206"/>
      <c r="LT1565" s="206"/>
      <c r="LU1565" s="206"/>
      <c r="LV1565" s="206"/>
      <c r="LW1565" s="206"/>
      <c r="LX1565" s="206"/>
      <c r="LY1565" s="206"/>
      <c r="LZ1565" s="206"/>
      <c r="MA1565" s="206"/>
      <c r="MB1565" s="206"/>
      <c r="MC1565" s="206"/>
      <c r="MD1565" s="206"/>
      <c r="ME1565" s="206"/>
      <c r="MF1565" s="206"/>
      <c r="MG1565" s="206"/>
      <c r="MH1565" s="206"/>
      <c r="MI1565" s="206"/>
      <c r="MJ1565" s="206"/>
      <c r="MK1565" s="206"/>
      <c r="ML1565" s="206"/>
      <c r="MM1565" s="206"/>
      <c r="MN1565" s="206"/>
      <c r="MO1565" s="206"/>
      <c r="MP1565" s="206"/>
      <c r="MQ1565" s="206"/>
      <c r="MR1565" s="206"/>
      <c r="MS1565" s="206"/>
      <c r="MT1565" s="206"/>
      <c r="MU1565" s="206"/>
      <c r="MV1565" s="206"/>
      <c r="MW1565" s="206"/>
      <c r="MX1565" s="206"/>
      <c r="MY1565" s="206"/>
      <c r="MZ1565" s="206"/>
      <c r="NA1565" s="206"/>
      <c r="NB1565" s="206"/>
      <c r="NC1565" s="206"/>
      <c r="ND1565" s="206"/>
      <c r="NE1565" s="206"/>
      <c r="NF1565" s="206"/>
      <c r="NG1565" s="206"/>
      <c r="NH1565" s="206"/>
      <c r="NI1565" s="206"/>
      <c r="NJ1565" s="206"/>
      <c r="NK1565" s="206"/>
      <c r="NL1565" s="206"/>
      <c r="NM1565" s="206"/>
      <c r="NN1565" s="206"/>
      <c r="NO1565" s="206"/>
      <c r="NP1565" s="206"/>
      <c r="NQ1565" s="206"/>
      <c r="NR1565" s="206"/>
      <c r="NS1565" s="206"/>
      <c r="NT1565" s="206"/>
      <c r="NU1565" s="206"/>
      <c r="NV1565" s="206"/>
      <c r="NW1565" s="206"/>
      <c r="NX1565" s="206"/>
      <c r="NY1565" s="206"/>
      <c r="NZ1565" s="206"/>
      <c r="OA1565" s="206"/>
      <c r="OB1565" s="206"/>
      <c r="OC1565" s="206"/>
      <c r="OD1565" s="206"/>
      <c r="OE1565" s="206"/>
      <c r="OF1565" s="206"/>
      <c r="OG1565" s="206"/>
      <c r="OH1565" s="206"/>
      <c r="OI1565" s="206"/>
      <c r="OJ1565" s="206"/>
      <c r="OK1565" s="206"/>
      <c r="OL1565" s="206"/>
      <c r="OM1565" s="206"/>
      <c r="ON1565" s="206"/>
      <c r="OO1565" s="206"/>
      <c r="OP1565" s="206"/>
      <c r="OQ1565" s="206"/>
      <c r="OR1565" s="206"/>
      <c r="OS1565" s="206"/>
      <c r="OT1565" s="206"/>
      <c r="OU1565" s="206"/>
      <c r="OV1565" s="206"/>
      <c r="OW1565" s="206"/>
      <c r="OX1565" s="206"/>
      <c r="OY1565" s="206"/>
      <c r="OZ1565" s="206"/>
      <c r="PA1565" s="206"/>
      <c r="PB1565" s="206"/>
      <c r="PC1565" s="206"/>
      <c r="PD1565" s="206"/>
      <c r="PE1565" s="206"/>
      <c r="PF1565" s="206"/>
      <c r="PG1565" s="206"/>
      <c r="PH1565" s="206"/>
      <c r="PI1565" s="206"/>
      <c r="PJ1565" s="206"/>
      <c r="PK1565" s="206"/>
      <c r="PL1565" s="206"/>
      <c r="PM1565" s="206"/>
      <c r="PN1565" s="206"/>
      <c r="PO1565" s="206"/>
      <c r="PP1565" s="206"/>
      <c r="PQ1565" s="206"/>
      <c r="PR1565" s="206"/>
      <c r="PS1565" s="206"/>
      <c r="PT1565" s="206"/>
      <c r="PU1565" s="206"/>
      <c r="PV1565" s="206"/>
      <c r="PW1565" s="206"/>
      <c r="PX1565" s="206"/>
      <c r="PY1565" s="206"/>
      <c r="PZ1565" s="206"/>
      <c r="QA1565" s="206"/>
      <c r="QB1565" s="206"/>
      <c r="QC1565" s="206"/>
      <c r="QD1565" s="206"/>
      <c r="QE1565" s="206"/>
      <c r="QF1565" s="206"/>
      <c r="QG1565" s="206"/>
      <c r="QH1565" s="206"/>
      <c r="QI1565" s="206"/>
      <c r="QJ1565" s="206"/>
      <c r="QK1565" s="206"/>
      <c r="QL1565" s="206"/>
      <c r="QM1565" s="206"/>
      <c r="QN1565" s="206"/>
      <c r="QO1565" s="206"/>
      <c r="QP1565" s="206"/>
      <c r="QQ1565" s="206"/>
      <c r="QR1565" s="206"/>
      <c r="QS1565" s="206"/>
      <c r="QT1565" s="206"/>
      <c r="QU1565" s="206"/>
      <c r="QV1565" s="206"/>
      <c r="QW1565" s="206"/>
      <c r="QX1565" s="206"/>
      <c r="QY1565" s="206"/>
      <c r="QZ1565" s="206"/>
      <c r="RA1565" s="206"/>
      <c r="RB1565" s="206"/>
      <c r="RC1565" s="206"/>
      <c r="RD1565" s="206"/>
      <c r="RE1565" s="206"/>
      <c r="RF1565" s="206"/>
      <c r="RG1565" s="206"/>
      <c r="RH1565" s="206"/>
      <c r="RI1565" s="206"/>
      <c r="RJ1565" s="206"/>
      <c r="RK1565" s="206"/>
      <c r="RL1565" s="206"/>
      <c r="RM1565" s="206"/>
      <c r="RN1565" s="206"/>
      <c r="RO1565" s="206"/>
      <c r="RP1565" s="206"/>
      <c r="RQ1565" s="206"/>
      <c r="RR1565" s="206"/>
      <c r="RS1565" s="206"/>
      <c r="RT1565" s="206"/>
      <c r="RU1565" s="206"/>
      <c r="RV1565" s="206"/>
      <c r="RW1565" s="206"/>
      <c r="RX1565" s="206"/>
      <c r="RY1565" s="206"/>
      <c r="RZ1565" s="206"/>
      <c r="SA1565" s="206"/>
      <c r="SB1565" s="206"/>
      <c r="SC1565" s="206"/>
      <c r="SD1565" s="206"/>
      <c r="SE1565" s="206"/>
      <c r="SF1565" s="206"/>
      <c r="SG1565" s="206"/>
      <c r="SH1565" s="206"/>
      <c r="SI1565" s="206"/>
      <c r="SJ1565" s="206"/>
      <c r="SK1565" s="206"/>
      <c r="SL1565" s="206"/>
      <c r="SM1565" s="206"/>
      <c r="SN1565" s="206"/>
      <c r="SO1565" s="206"/>
      <c r="SP1565" s="206"/>
      <c r="SQ1565" s="206"/>
      <c r="SR1565" s="206"/>
      <c r="SS1565" s="206"/>
      <c r="ST1565" s="206"/>
      <c r="SU1565" s="206"/>
      <c r="SV1565" s="206"/>
      <c r="SW1565" s="206"/>
      <c r="SX1565" s="206"/>
      <c r="SY1565" s="206"/>
      <c r="SZ1565" s="206"/>
      <c r="TA1565" s="206"/>
      <c r="TB1565" s="206"/>
      <c r="TC1565" s="206"/>
      <c r="TD1565" s="206"/>
      <c r="TE1565" s="206"/>
      <c r="TF1565" s="206"/>
      <c r="TG1565" s="206"/>
      <c r="TH1565" s="206"/>
      <c r="TI1565" s="206"/>
      <c r="TJ1565" s="206"/>
      <c r="TK1565" s="206"/>
      <c r="TL1565" s="206"/>
      <c r="TM1565" s="206"/>
      <c r="TN1565" s="206"/>
      <c r="TO1565" s="206"/>
      <c r="TP1565" s="206"/>
      <c r="TQ1565" s="206"/>
      <c r="TR1565" s="206"/>
      <c r="TS1565" s="206"/>
      <c r="TT1565" s="206"/>
      <c r="TU1565" s="206"/>
      <c r="TV1565" s="206"/>
      <c r="TW1565" s="206"/>
      <c r="TX1565" s="206"/>
      <c r="TY1565" s="206"/>
      <c r="TZ1565" s="206"/>
      <c r="UA1565" s="206"/>
      <c r="UB1565" s="206"/>
      <c r="UC1565" s="206"/>
      <c r="UD1565" s="206"/>
    </row>
    <row r="1566" spans="1:550" s="874" customFormat="1" ht="21.75" customHeight="1">
      <c r="A1566" s="924" t="s">
        <v>15</v>
      </c>
      <c r="B1566" s="1226"/>
      <c r="C1566" s="1632" t="s">
        <v>16</v>
      </c>
      <c r="D1566" s="1452"/>
      <c r="E1566" s="1452"/>
      <c r="F1566" s="1452"/>
      <c r="G1566" s="1226"/>
      <c r="H1566" s="925"/>
      <c r="I1566" s="502"/>
      <c r="J1566" s="1243"/>
      <c r="K1566" s="809"/>
      <c r="L1566" s="1226"/>
      <c r="M1566" s="1226"/>
      <c r="N1566" s="1226"/>
      <c r="O1566" s="1226"/>
      <c r="P1566" s="1226"/>
      <c r="Q1566" s="1171"/>
      <c r="R1566" s="1226"/>
      <c r="S1566" s="486"/>
      <c r="T1566" s="486"/>
      <c r="U1566" s="486"/>
      <c r="V1566" s="486"/>
      <c r="W1566" s="486"/>
      <c r="X1566" s="486"/>
      <c r="Y1566" s="486"/>
      <c r="Z1566" s="486"/>
      <c r="AA1566" s="486"/>
      <c r="AB1566" s="486"/>
      <c r="AC1566" s="486"/>
      <c r="AD1566" s="486"/>
      <c r="AE1566" s="486"/>
      <c r="AF1566" s="486"/>
      <c r="AG1566" s="486"/>
      <c r="AH1566" s="486"/>
      <c r="AI1566" s="486"/>
      <c r="AJ1566" s="486"/>
      <c r="AK1566" s="486"/>
      <c r="AL1566" s="206"/>
      <c r="AM1566" s="206"/>
      <c r="AN1566" s="206"/>
      <c r="AO1566" s="206"/>
      <c r="AP1566" s="206"/>
      <c r="AQ1566" s="206"/>
      <c r="AR1566" s="206"/>
      <c r="AS1566" s="206"/>
      <c r="AT1566" s="206"/>
      <c r="AU1566" s="206"/>
      <c r="AV1566" s="206"/>
      <c r="AW1566" s="206"/>
      <c r="AX1566" s="206"/>
      <c r="AY1566" s="206"/>
      <c r="AZ1566" s="206"/>
      <c r="BA1566" s="206"/>
      <c r="BB1566" s="206"/>
      <c r="BC1566" s="206"/>
      <c r="BD1566" s="206"/>
      <c r="BE1566" s="206"/>
      <c r="BF1566" s="206"/>
      <c r="BG1566" s="206"/>
      <c r="BH1566" s="206"/>
      <c r="BI1566" s="206"/>
      <c r="BJ1566" s="206"/>
      <c r="BK1566" s="206"/>
      <c r="BL1566" s="206"/>
      <c r="BM1566" s="206"/>
      <c r="BN1566" s="206"/>
      <c r="BO1566" s="206"/>
      <c r="BP1566" s="206"/>
      <c r="BQ1566" s="206"/>
      <c r="BR1566" s="206"/>
      <c r="BS1566" s="206"/>
      <c r="BT1566" s="206"/>
      <c r="BU1566" s="206"/>
      <c r="BV1566" s="206"/>
      <c r="BW1566" s="206"/>
      <c r="BX1566" s="206"/>
      <c r="BY1566" s="206"/>
      <c r="BZ1566" s="206"/>
      <c r="CA1566" s="206"/>
      <c r="CB1566" s="206"/>
      <c r="CC1566" s="206"/>
      <c r="CD1566" s="206"/>
      <c r="CE1566" s="206"/>
      <c r="CF1566" s="206"/>
      <c r="CG1566" s="206"/>
      <c r="CH1566" s="206"/>
      <c r="CI1566" s="206"/>
      <c r="CJ1566" s="206"/>
      <c r="CK1566" s="206"/>
      <c r="CL1566" s="206"/>
      <c r="CM1566" s="206"/>
      <c r="CN1566" s="206"/>
      <c r="CO1566" s="206"/>
      <c r="CP1566" s="206"/>
      <c r="CQ1566" s="206"/>
      <c r="CR1566" s="206"/>
      <c r="CS1566" s="206"/>
      <c r="CT1566" s="206"/>
      <c r="CU1566" s="206"/>
      <c r="CV1566" s="206"/>
      <c r="CW1566" s="206"/>
      <c r="CX1566" s="206"/>
      <c r="CY1566" s="206"/>
      <c r="CZ1566" s="206"/>
      <c r="DA1566" s="206"/>
      <c r="DB1566" s="206"/>
      <c r="DC1566" s="206"/>
      <c r="DD1566" s="206"/>
      <c r="DE1566" s="206"/>
      <c r="DF1566" s="206"/>
      <c r="DG1566" s="206"/>
      <c r="DH1566" s="206"/>
      <c r="DI1566" s="206"/>
      <c r="DJ1566" s="206"/>
      <c r="DK1566" s="206"/>
      <c r="DL1566" s="206"/>
      <c r="DM1566" s="206"/>
      <c r="DN1566" s="206"/>
      <c r="DO1566" s="206"/>
      <c r="DP1566" s="206"/>
      <c r="DQ1566" s="206"/>
      <c r="DR1566" s="206"/>
      <c r="DS1566" s="206"/>
      <c r="DT1566" s="206"/>
      <c r="DU1566" s="206"/>
      <c r="DV1566" s="206"/>
      <c r="DW1566" s="206"/>
      <c r="DX1566" s="206"/>
      <c r="DY1566" s="206"/>
      <c r="DZ1566" s="206"/>
      <c r="EA1566" s="206"/>
      <c r="EB1566" s="206"/>
      <c r="EC1566" s="206"/>
      <c r="ED1566" s="206"/>
      <c r="EE1566" s="206"/>
      <c r="EF1566" s="206"/>
      <c r="EG1566" s="206"/>
      <c r="EH1566" s="206"/>
      <c r="EI1566" s="206"/>
      <c r="EJ1566" s="206"/>
      <c r="EK1566" s="206"/>
      <c r="EL1566" s="206"/>
      <c r="EM1566" s="206"/>
      <c r="EN1566" s="206"/>
      <c r="EO1566" s="206"/>
      <c r="EP1566" s="206"/>
      <c r="EQ1566" s="206"/>
      <c r="ER1566" s="206"/>
      <c r="ES1566" s="206"/>
      <c r="ET1566" s="206"/>
      <c r="EU1566" s="206"/>
      <c r="EV1566" s="206"/>
      <c r="EW1566" s="206"/>
      <c r="EX1566" s="206"/>
      <c r="EY1566" s="206"/>
      <c r="EZ1566" s="206"/>
      <c r="FA1566" s="206"/>
      <c r="FB1566" s="206"/>
      <c r="FC1566" s="206"/>
      <c r="FD1566" s="206"/>
      <c r="FE1566" s="206"/>
      <c r="FF1566" s="206"/>
      <c r="FG1566" s="206"/>
      <c r="FH1566" s="206"/>
      <c r="FI1566" s="206"/>
      <c r="FJ1566" s="206"/>
      <c r="FK1566" s="206"/>
      <c r="FL1566" s="206"/>
      <c r="FM1566" s="206"/>
      <c r="FN1566" s="206"/>
      <c r="FO1566" s="206"/>
      <c r="FP1566" s="206"/>
      <c r="FQ1566" s="206"/>
      <c r="FR1566" s="206"/>
      <c r="FS1566" s="206"/>
      <c r="FT1566" s="206"/>
      <c r="FU1566" s="206"/>
      <c r="FV1566" s="206"/>
      <c r="FW1566" s="206"/>
      <c r="FX1566" s="206"/>
      <c r="FY1566" s="206"/>
      <c r="FZ1566" s="206"/>
      <c r="GA1566" s="206"/>
      <c r="GB1566" s="206"/>
      <c r="GC1566" s="206"/>
      <c r="GD1566" s="206"/>
      <c r="GE1566" s="206"/>
      <c r="GF1566" s="206"/>
      <c r="GG1566" s="206"/>
      <c r="GH1566" s="206"/>
      <c r="GI1566" s="206"/>
      <c r="GJ1566" s="206"/>
      <c r="GK1566" s="206"/>
      <c r="GL1566" s="206"/>
      <c r="GM1566" s="206"/>
      <c r="GN1566" s="206"/>
      <c r="GO1566" s="206"/>
      <c r="GP1566" s="206"/>
      <c r="GQ1566" s="206"/>
      <c r="GR1566" s="206"/>
      <c r="GS1566" s="206"/>
      <c r="GT1566" s="206"/>
      <c r="GU1566" s="206"/>
      <c r="GV1566" s="206"/>
      <c r="GW1566" s="206"/>
      <c r="GX1566" s="206"/>
      <c r="GY1566" s="206"/>
      <c r="GZ1566" s="206"/>
      <c r="HA1566" s="206"/>
      <c r="HB1566" s="206"/>
      <c r="HC1566" s="206"/>
      <c r="HD1566" s="206"/>
      <c r="HE1566" s="206"/>
      <c r="HF1566" s="206"/>
      <c r="HG1566" s="206"/>
      <c r="HH1566" s="206"/>
      <c r="HI1566" s="206"/>
      <c r="HJ1566" s="206"/>
      <c r="HK1566" s="206"/>
      <c r="HL1566" s="206"/>
      <c r="HM1566" s="206"/>
      <c r="HN1566" s="206"/>
      <c r="HO1566" s="206"/>
      <c r="HP1566" s="206"/>
      <c r="HQ1566" s="206"/>
      <c r="HR1566" s="206"/>
      <c r="HS1566" s="206"/>
      <c r="HT1566" s="206"/>
      <c r="HU1566" s="206"/>
      <c r="HV1566" s="206"/>
      <c r="HW1566" s="206"/>
      <c r="HX1566" s="206"/>
      <c r="HY1566" s="206"/>
      <c r="HZ1566" s="206"/>
      <c r="IA1566" s="206"/>
      <c r="IB1566" s="206"/>
      <c r="IC1566" s="206"/>
      <c r="ID1566" s="206"/>
      <c r="IE1566" s="206"/>
      <c r="IF1566" s="206"/>
      <c r="IG1566" s="206"/>
      <c r="IH1566" s="206"/>
      <c r="II1566" s="206"/>
      <c r="IJ1566" s="206"/>
      <c r="IK1566" s="206"/>
      <c r="IL1566" s="206"/>
      <c r="IM1566" s="206"/>
      <c r="IN1566" s="206"/>
      <c r="IO1566" s="206"/>
      <c r="IP1566" s="206"/>
      <c r="IQ1566" s="206"/>
      <c r="IR1566" s="206"/>
      <c r="IS1566" s="206"/>
      <c r="IT1566" s="206"/>
      <c r="IU1566" s="206"/>
      <c r="IV1566" s="206"/>
      <c r="IW1566" s="206"/>
      <c r="IX1566" s="206"/>
      <c r="IY1566" s="206"/>
      <c r="IZ1566" s="206"/>
      <c r="JA1566" s="206"/>
      <c r="JB1566" s="206"/>
      <c r="JC1566" s="206"/>
      <c r="JD1566" s="206"/>
      <c r="JE1566" s="206"/>
      <c r="JF1566" s="206"/>
      <c r="JG1566" s="206"/>
      <c r="JH1566" s="206"/>
      <c r="JI1566" s="206"/>
      <c r="JJ1566" s="206"/>
      <c r="JK1566" s="206"/>
      <c r="JL1566" s="206"/>
      <c r="JM1566" s="206"/>
      <c r="JN1566" s="206"/>
      <c r="JO1566" s="206"/>
      <c r="JP1566" s="206"/>
      <c r="JQ1566" s="206"/>
      <c r="JR1566" s="206"/>
      <c r="JS1566" s="206"/>
      <c r="JT1566" s="206"/>
      <c r="JU1566" s="206"/>
      <c r="JV1566" s="206"/>
      <c r="JW1566" s="206"/>
      <c r="JX1566" s="206"/>
      <c r="JY1566" s="206"/>
      <c r="JZ1566" s="206"/>
      <c r="KA1566" s="206"/>
      <c r="KB1566" s="206"/>
      <c r="KC1566" s="206"/>
      <c r="KD1566" s="206"/>
      <c r="KE1566" s="206"/>
      <c r="KF1566" s="206"/>
      <c r="KG1566" s="206"/>
      <c r="KH1566" s="206"/>
      <c r="KI1566" s="206"/>
      <c r="KJ1566" s="206"/>
      <c r="KK1566" s="206"/>
      <c r="KL1566" s="206"/>
      <c r="KM1566" s="206"/>
      <c r="KN1566" s="206"/>
      <c r="KO1566" s="206"/>
      <c r="KP1566" s="206"/>
      <c r="KQ1566" s="206"/>
      <c r="KR1566" s="206"/>
      <c r="KS1566" s="206"/>
      <c r="KT1566" s="206"/>
      <c r="KU1566" s="206"/>
      <c r="KV1566" s="206"/>
      <c r="KW1566" s="206"/>
      <c r="KX1566" s="206"/>
      <c r="KY1566" s="206"/>
      <c r="KZ1566" s="206"/>
      <c r="LA1566" s="206"/>
      <c r="LB1566" s="206"/>
      <c r="LC1566" s="206"/>
      <c r="LD1566" s="206"/>
      <c r="LE1566" s="206"/>
      <c r="LF1566" s="206"/>
      <c r="LG1566" s="206"/>
      <c r="LH1566" s="206"/>
      <c r="LI1566" s="206"/>
      <c r="LJ1566" s="206"/>
      <c r="LK1566" s="206"/>
      <c r="LL1566" s="206"/>
      <c r="LM1566" s="206"/>
      <c r="LN1566" s="206"/>
      <c r="LO1566" s="206"/>
      <c r="LP1566" s="206"/>
      <c r="LQ1566" s="206"/>
      <c r="LR1566" s="206"/>
      <c r="LS1566" s="206"/>
      <c r="LT1566" s="206"/>
      <c r="LU1566" s="206"/>
      <c r="LV1566" s="206"/>
      <c r="LW1566" s="206"/>
      <c r="LX1566" s="206"/>
      <c r="LY1566" s="206"/>
      <c r="LZ1566" s="206"/>
      <c r="MA1566" s="206"/>
      <c r="MB1566" s="206"/>
      <c r="MC1566" s="206"/>
      <c r="MD1566" s="206"/>
      <c r="ME1566" s="206"/>
      <c r="MF1566" s="206"/>
      <c r="MG1566" s="206"/>
      <c r="MH1566" s="206"/>
      <c r="MI1566" s="206"/>
      <c r="MJ1566" s="206"/>
      <c r="MK1566" s="206"/>
      <c r="ML1566" s="206"/>
      <c r="MM1566" s="206"/>
      <c r="MN1566" s="206"/>
      <c r="MO1566" s="206"/>
      <c r="MP1566" s="206"/>
      <c r="MQ1566" s="206"/>
      <c r="MR1566" s="206"/>
      <c r="MS1566" s="206"/>
      <c r="MT1566" s="206"/>
      <c r="MU1566" s="206"/>
      <c r="MV1566" s="206"/>
      <c r="MW1566" s="206"/>
      <c r="MX1566" s="206"/>
      <c r="MY1566" s="206"/>
      <c r="MZ1566" s="206"/>
      <c r="NA1566" s="206"/>
      <c r="NB1566" s="206"/>
      <c r="NC1566" s="206"/>
      <c r="ND1566" s="206"/>
      <c r="NE1566" s="206"/>
      <c r="NF1566" s="206"/>
      <c r="NG1566" s="206"/>
      <c r="NH1566" s="206"/>
      <c r="NI1566" s="206"/>
      <c r="NJ1566" s="206"/>
      <c r="NK1566" s="206"/>
      <c r="NL1566" s="206"/>
      <c r="NM1566" s="206"/>
      <c r="NN1566" s="206"/>
      <c r="NO1566" s="206"/>
      <c r="NP1566" s="206"/>
      <c r="NQ1566" s="206"/>
      <c r="NR1566" s="206"/>
      <c r="NS1566" s="206"/>
      <c r="NT1566" s="206"/>
      <c r="NU1566" s="206"/>
      <c r="NV1566" s="206"/>
      <c r="NW1566" s="206"/>
      <c r="NX1566" s="206"/>
      <c r="NY1566" s="206"/>
      <c r="NZ1566" s="206"/>
      <c r="OA1566" s="206"/>
      <c r="OB1566" s="206"/>
      <c r="OC1566" s="206"/>
      <c r="OD1566" s="206"/>
      <c r="OE1566" s="206"/>
      <c r="OF1566" s="206"/>
      <c r="OG1566" s="206"/>
      <c r="OH1566" s="206"/>
      <c r="OI1566" s="206"/>
      <c r="OJ1566" s="206"/>
      <c r="OK1566" s="206"/>
      <c r="OL1566" s="206"/>
      <c r="OM1566" s="206"/>
      <c r="ON1566" s="206"/>
      <c r="OO1566" s="206"/>
      <c r="OP1566" s="206"/>
      <c r="OQ1566" s="206"/>
      <c r="OR1566" s="206"/>
      <c r="OS1566" s="206"/>
      <c r="OT1566" s="206"/>
      <c r="OU1566" s="206"/>
      <c r="OV1566" s="206"/>
      <c r="OW1566" s="206"/>
      <c r="OX1566" s="206"/>
      <c r="OY1566" s="206"/>
      <c r="OZ1566" s="206"/>
      <c r="PA1566" s="206"/>
      <c r="PB1566" s="206"/>
      <c r="PC1566" s="206"/>
      <c r="PD1566" s="206"/>
      <c r="PE1566" s="206"/>
      <c r="PF1566" s="206"/>
      <c r="PG1566" s="206"/>
      <c r="PH1566" s="206"/>
      <c r="PI1566" s="206"/>
      <c r="PJ1566" s="206"/>
      <c r="PK1566" s="206"/>
      <c r="PL1566" s="206"/>
      <c r="PM1566" s="206"/>
      <c r="PN1566" s="206"/>
      <c r="PO1566" s="206"/>
      <c r="PP1566" s="206"/>
      <c r="PQ1566" s="206"/>
      <c r="PR1566" s="206"/>
      <c r="PS1566" s="206"/>
      <c r="PT1566" s="206"/>
      <c r="PU1566" s="206"/>
      <c r="PV1566" s="206"/>
      <c r="PW1566" s="206"/>
      <c r="PX1566" s="206"/>
      <c r="PY1566" s="206"/>
      <c r="PZ1566" s="206"/>
      <c r="QA1566" s="206"/>
      <c r="QB1566" s="206"/>
      <c r="QC1566" s="206"/>
      <c r="QD1566" s="206"/>
      <c r="QE1566" s="206"/>
      <c r="QF1566" s="206"/>
      <c r="QG1566" s="206"/>
      <c r="QH1566" s="206"/>
      <c r="QI1566" s="206"/>
      <c r="QJ1566" s="206"/>
      <c r="QK1566" s="206"/>
      <c r="QL1566" s="206"/>
      <c r="QM1566" s="206"/>
      <c r="QN1566" s="206"/>
      <c r="QO1566" s="206"/>
      <c r="QP1566" s="206"/>
      <c r="QQ1566" s="206"/>
      <c r="QR1566" s="206"/>
      <c r="QS1566" s="206"/>
      <c r="QT1566" s="206"/>
      <c r="QU1566" s="206"/>
      <c r="QV1566" s="206"/>
      <c r="QW1566" s="206"/>
      <c r="QX1566" s="206"/>
      <c r="QY1566" s="206"/>
      <c r="QZ1566" s="206"/>
      <c r="RA1566" s="206"/>
      <c r="RB1566" s="206"/>
      <c r="RC1566" s="206"/>
      <c r="RD1566" s="206"/>
      <c r="RE1566" s="206"/>
      <c r="RF1566" s="206"/>
      <c r="RG1566" s="206"/>
      <c r="RH1566" s="206"/>
      <c r="RI1566" s="206"/>
      <c r="RJ1566" s="206"/>
      <c r="RK1566" s="206"/>
      <c r="RL1566" s="206"/>
      <c r="RM1566" s="206"/>
      <c r="RN1566" s="206"/>
      <c r="RO1566" s="206"/>
      <c r="RP1566" s="206"/>
      <c r="RQ1566" s="206"/>
      <c r="RR1566" s="206"/>
      <c r="RS1566" s="206"/>
      <c r="RT1566" s="206"/>
      <c r="RU1566" s="206"/>
      <c r="RV1566" s="206"/>
      <c r="RW1566" s="206"/>
      <c r="RX1566" s="206"/>
      <c r="RY1566" s="206"/>
      <c r="RZ1566" s="206"/>
      <c r="SA1566" s="206"/>
      <c r="SB1566" s="206"/>
      <c r="SC1566" s="206"/>
      <c r="SD1566" s="206"/>
      <c r="SE1566" s="206"/>
      <c r="SF1566" s="206"/>
      <c r="SG1566" s="206"/>
      <c r="SH1566" s="206"/>
      <c r="SI1566" s="206"/>
      <c r="SJ1566" s="206"/>
      <c r="SK1566" s="206"/>
      <c r="SL1566" s="206"/>
      <c r="SM1566" s="206"/>
      <c r="SN1566" s="206"/>
      <c r="SO1566" s="206"/>
      <c r="SP1566" s="206"/>
      <c r="SQ1566" s="206"/>
      <c r="SR1566" s="206"/>
      <c r="SS1566" s="206"/>
      <c r="ST1566" s="206"/>
      <c r="SU1566" s="206"/>
      <c r="SV1566" s="206"/>
      <c r="SW1566" s="206"/>
      <c r="SX1566" s="206"/>
      <c r="SY1566" s="206"/>
      <c r="SZ1566" s="206"/>
      <c r="TA1566" s="206"/>
      <c r="TB1566" s="206"/>
      <c r="TC1566" s="206"/>
      <c r="TD1566" s="206"/>
      <c r="TE1566" s="206"/>
      <c r="TF1566" s="206"/>
      <c r="TG1566" s="206"/>
      <c r="TH1566" s="206"/>
      <c r="TI1566" s="206"/>
      <c r="TJ1566" s="206"/>
      <c r="TK1566" s="206"/>
      <c r="TL1566" s="206"/>
      <c r="TM1566" s="206"/>
      <c r="TN1566" s="206"/>
      <c r="TO1566" s="206"/>
      <c r="TP1566" s="206"/>
      <c r="TQ1566" s="206"/>
      <c r="TR1566" s="206"/>
      <c r="TS1566" s="206"/>
      <c r="TT1566" s="206"/>
      <c r="TU1566" s="206"/>
      <c r="TV1566" s="206"/>
      <c r="TW1566" s="206"/>
      <c r="TX1566" s="206"/>
      <c r="TY1566" s="206"/>
      <c r="TZ1566" s="206"/>
      <c r="UA1566" s="206"/>
      <c r="UB1566" s="206"/>
      <c r="UC1566" s="206"/>
      <c r="UD1566" s="206"/>
    </row>
    <row r="1567" spans="1:550" s="874" customFormat="1" ht="21.75" customHeight="1">
      <c r="A1567" s="924" t="s">
        <v>15</v>
      </c>
      <c r="B1567" s="1226"/>
      <c r="C1567" s="1632" t="s">
        <v>1331</v>
      </c>
      <c r="D1567" s="1452"/>
      <c r="E1567" s="1452"/>
      <c r="F1567" s="1452"/>
      <c r="G1567" s="1226"/>
      <c r="H1567" s="925"/>
      <c r="I1567" s="502"/>
      <c r="J1567" s="1243"/>
      <c r="K1567" s="809"/>
      <c r="L1567" s="1226"/>
      <c r="M1567" s="1226"/>
      <c r="N1567" s="1226"/>
      <c r="O1567" s="1226"/>
      <c r="P1567" s="1226"/>
      <c r="Q1567" s="1171"/>
      <c r="R1567" s="1226"/>
      <c r="S1567" s="486"/>
      <c r="T1567" s="486"/>
      <c r="U1567" s="486"/>
      <c r="V1567" s="486"/>
      <c r="W1567" s="486"/>
      <c r="X1567" s="486"/>
      <c r="Y1567" s="486"/>
      <c r="Z1567" s="486"/>
      <c r="AA1567" s="486"/>
      <c r="AB1567" s="486"/>
      <c r="AC1567" s="486"/>
      <c r="AD1567" s="486"/>
      <c r="AE1567" s="486"/>
      <c r="AF1567" s="486"/>
      <c r="AG1567" s="486"/>
      <c r="AH1567" s="486"/>
      <c r="AI1567" s="486"/>
      <c r="AJ1567" s="486"/>
      <c r="AK1567" s="486"/>
      <c r="AL1567" s="206"/>
      <c r="AM1567" s="206"/>
      <c r="AN1567" s="206"/>
      <c r="AO1567" s="206"/>
      <c r="AP1567" s="206"/>
      <c r="AQ1567" s="206"/>
      <c r="AR1567" s="206"/>
      <c r="AS1567" s="206"/>
      <c r="AT1567" s="206"/>
      <c r="AU1567" s="206"/>
      <c r="AV1567" s="206"/>
      <c r="AW1567" s="206"/>
      <c r="AX1567" s="206"/>
      <c r="AY1567" s="206"/>
      <c r="AZ1567" s="206"/>
      <c r="BA1567" s="206"/>
      <c r="BB1567" s="206"/>
      <c r="BC1567" s="206"/>
      <c r="BD1567" s="206"/>
      <c r="BE1567" s="206"/>
      <c r="BF1567" s="206"/>
      <c r="BG1567" s="206"/>
      <c r="BH1567" s="206"/>
      <c r="BI1567" s="206"/>
      <c r="BJ1567" s="206"/>
      <c r="BK1567" s="206"/>
      <c r="BL1567" s="206"/>
      <c r="BM1567" s="206"/>
      <c r="BN1567" s="206"/>
      <c r="BO1567" s="206"/>
      <c r="BP1567" s="206"/>
      <c r="BQ1567" s="206"/>
      <c r="BR1567" s="206"/>
      <c r="BS1567" s="206"/>
      <c r="BT1567" s="206"/>
      <c r="BU1567" s="206"/>
      <c r="BV1567" s="206"/>
      <c r="BW1567" s="206"/>
      <c r="BX1567" s="206"/>
      <c r="BY1567" s="206"/>
      <c r="BZ1567" s="206"/>
      <c r="CA1567" s="206"/>
      <c r="CB1567" s="206"/>
      <c r="CC1567" s="206"/>
      <c r="CD1567" s="206"/>
      <c r="CE1567" s="206"/>
      <c r="CF1567" s="206"/>
      <c r="CG1567" s="206"/>
      <c r="CH1567" s="206"/>
      <c r="CI1567" s="206"/>
      <c r="CJ1567" s="206"/>
      <c r="CK1567" s="206"/>
      <c r="CL1567" s="206"/>
      <c r="CM1567" s="206"/>
      <c r="CN1567" s="206"/>
      <c r="CO1567" s="206"/>
      <c r="CP1567" s="206"/>
      <c r="CQ1567" s="206"/>
      <c r="CR1567" s="206"/>
      <c r="CS1567" s="206"/>
      <c r="CT1567" s="206"/>
      <c r="CU1567" s="206"/>
      <c r="CV1567" s="206"/>
      <c r="CW1567" s="206"/>
      <c r="CX1567" s="206"/>
      <c r="CY1567" s="206"/>
      <c r="CZ1567" s="206"/>
      <c r="DA1567" s="206"/>
      <c r="DB1567" s="206"/>
      <c r="DC1567" s="206"/>
      <c r="DD1567" s="206"/>
      <c r="DE1567" s="206"/>
      <c r="DF1567" s="206"/>
      <c r="DG1567" s="206"/>
      <c r="DH1567" s="206"/>
      <c r="DI1567" s="206"/>
      <c r="DJ1567" s="206"/>
      <c r="DK1567" s="206"/>
      <c r="DL1567" s="206"/>
      <c r="DM1567" s="206"/>
      <c r="DN1567" s="206"/>
      <c r="DO1567" s="206"/>
      <c r="DP1567" s="206"/>
      <c r="DQ1567" s="206"/>
      <c r="DR1567" s="206"/>
      <c r="DS1567" s="206"/>
      <c r="DT1567" s="206"/>
      <c r="DU1567" s="206"/>
      <c r="DV1567" s="206"/>
      <c r="DW1567" s="206"/>
      <c r="DX1567" s="206"/>
      <c r="DY1567" s="206"/>
      <c r="DZ1567" s="206"/>
      <c r="EA1567" s="206"/>
      <c r="EB1567" s="206"/>
      <c r="EC1567" s="206"/>
      <c r="ED1567" s="206"/>
      <c r="EE1567" s="206"/>
      <c r="EF1567" s="206"/>
      <c r="EG1567" s="206"/>
      <c r="EH1567" s="206"/>
      <c r="EI1567" s="206"/>
      <c r="EJ1567" s="206"/>
      <c r="EK1567" s="206"/>
      <c r="EL1567" s="206"/>
      <c r="EM1567" s="206"/>
      <c r="EN1567" s="206"/>
      <c r="EO1567" s="206"/>
      <c r="EP1567" s="206"/>
      <c r="EQ1567" s="206"/>
      <c r="ER1567" s="206"/>
      <c r="ES1567" s="206"/>
      <c r="ET1567" s="206"/>
      <c r="EU1567" s="206"/>
      <c r="EV1567" s="206"/>
      <c r="EW1567" s="206"/>
      <c r="EX1567" s="206"/>
      <c r="EY1567" s="206"/>
      <c r="EZ1567" s="206"/>
      <c r="FA1567" s="206"/>
      <c r="FB1567" s="206"/>
      <c r="FC1567" s="206"/>
      <c r="FD1567" s="206"/>
      <c r="FE1567" s="206"/>
      <c r="FF1567" s="206"/>
      <c r="FG1567" s="206"/>
      <c r="FH1567" s="206"/>
      <c r="FI1567" s="206"/>
      <c r="FJ1567" s="206"/>
      <c r="FK1567" s="206"/>
      <c r="FL1567" s="206"/>
      <c r="FM1567" s="206"/>
      <c r="FN1567" s="206"/>
      <c r="FO1567" s="206"/>
      <c r="FP1567" s="206"/>
      <c r="FQ1567" s="206"/>
      <c r="FR1567" s="206"/>
      <c r="FS1567" s="206"/>
      <c r="FT1567" s="206"/>
      <c r="FU1567" s="206"/>
      <c r="FV1567" s="206"/>
      <c r="FW1567" s="206"/>
      <c r="FX1567" s="206"/>
      <c r="FY1567" s="206"/>
      <c r="FZ1567" s="206"/>
      <c r="GA1567" s="206"/>
      <c r="GB1567" s="206"/>
      <c r="GC1567" s="206"/>
      <c r="GD1567" s="206"/>
      <c r="GE1567" s="206"/>
      <c r="GF1567" s="206"/>
      <c r="GG1567" s="206"/>
      <c r="GH1567" s="206"/>
      <c r="GI1567" s="206"/>
      <c r="GJ1567" s="206"/>
      <c r="GK1567" s="206"/>
      <c r="GL1567" s="206"/>
      <c r="GM1567" s="206"/>
      <c r="GN1567" s="206"/>
      <c r="GO1567" s="206"/>
      <c r="GP1567" s="206"/>
      <c r="GQ1567" s="206"/>
      <c r="GR1567" s="206"/>
      <c r="GS1567" s="206"/>
      <c r="GT1567" s="206"/>
      <c r="GU1567" s="206"/>
      <c r="GV1567" s="206"/>
      <c r="GW1567" s="206"/>
      <c r="GX1567" s="206"/>
      <c r="GY1567" s="206"/>
      <c r="GZ1567" s="206"/>
      <c r="HA1567" s="206"/>
      <c r="HB1567" s="206"/>
      <c r="HC1567" s="206"/>
      <c r="HD1567" s="206"/>
      <c r="HE1567" s="206"/>
      <c r="HF1567" s="206"/>
      <c r="HG1567" s="206"/>
      <c r="HH1567" s="206"/>
      <c r="HI1567" s="206"/>
      <c r="HJ1567" s="206"/>
      <c r="HK1567" s="206"/>
      <c r="HL1567" s="206"/>
      <c r="HM1567" s="206"/>
      <c r="HN1567" s="206"/>
      <c r="HO1567" s="206"/>
      <c r="HP1567" s="206"/>
      <c r="HQ1567" s="206"/>
      <c r="HR1567" s="206"/>
      <c r="HS1567" s="206"/>
      <c r="HT1567" s="206"/>
      <c r="HU1567" s="206"/>
      <c r="HV1567" s="206"/>
      <c r="HW1567" s="206"/>
      <c r="HX1567" s="206"/>
      <c r="HY1567" s="206"/>
      <c r="HZ1567" s="206"/>
      <c r="IA1567" s="206"/>
      <c r="IB1567" s="206"/>
      <c r="IC1567" s="206"/>
      <c r="ID1567" s="206"/>
      <c r="IE1567" s="206"/>
      <c r="IF1567" s="206"/>
      <c r="IG1567" s="206"/>
      <c r="IH1567" s="206"/>
      <c r="II1567" s="206"/>
      <c r="IJ1567" s="206"/>
      <c r="IK1567" s="206"/>
      <c r="IL1567" s="206"/>
      <c r="IM1567" s="206"/>
      <c r="IN1567" s="206"/>
      <c r="IO1567" s="206"/>
      <c r="IP1567" s="206"/>
      <c r="IQ1567" s="206"/>
      <c r="IR1567" s="206"/>
      <c r="IS1567" s="206"/>
      <c r="IT1567" s="206"/>
      <c r="IU1567" s="206"/>
      <c r="IV1567" s="206"/>
      <c r="IW1567" s="206"/>
      <c r="IX1567" s="206"/>
      <c r="IY1567" s="206"/>
      <c r="IZ1567" s="206"/>
      <c r="JA1567" s="206"/>
      <c r="JB1567" s="206"/>
      <c r="JC1567" s="206"/>
      <c r="JD1567" s="206"/>
      <c r="JE1567" s="206"/>
      <c r="JF1567" s="206"/>
      <c r="JG1567" s="206"/>
      <c r="JH1567" s="206"/>
      <c r="JI1567" s="206"/>
      <c r="JJ1567" s="206"/>
      <c r="JK1567" s="206"/>
      <c r="JL1567" s="206"/>
      <c r="JM1567" s="206"/>
      <c r="JN1567" s="206"/>
      <c r="JO1567" s="206"/>
      <c r="JP1567" s="206"/>
      <c r="JQ1567" s="206"/>
      <c r="JR1567" s="206"/>
      <c r="JS1567" s="206"/>
      <c r="JT1567" s="206"/>
      <c r="JU1567" s="206"/>
      <c r="JV1567" s="206"/>
      <c r="JW1567" s="206"/>
      <c r="JX1567" s="206"/>
      <c r="JY1567" s="206"/>
      <c r="JZ1567" s="206"/>
      <c r="KA1567" s="206"/>
      <c r="KB1567" s="206"/>
      <c r="KC1567" s="206"/>
      <c r="KD1567" s="206"/>
      <c r="KE1567" s="206"/>
      <c r="KF1567" s="206"/>
      <c r="KG1567" s="206"/>
      <c r="KH1567" s="206"/>
      <c r="KI1567" s="206"/>
      <c r="KJ1567" s="206"/>
      <c r="KK1567" s="206"/>
      <c r="KL1567" s="206"/>
      <c r="KM1567" s="206"/>
      <c r="KN1567" s="206"/>
      <c r="KO1567" s="206"/>
      <c r="KP1567" s="206"/>
      <c r="KQ1567" s="206"/>
      <c r="KR1567" s="206"/>
      <c r="KS1567" s="206"/>
      <c r="KT1567" s="206"/>
      <c r="KU1567" s="206"/>
      <c r="KV1567" s="206"/>
      <c r="KW1567" s="206"/>
      <c r="KX1567" s="206"/>
      <c r="KY1567" s="206"/>
      <c r="KZ1567" s="206"/>
      <c r="LA1567" s="206"/>
      <c r="LB1567" s="206"/>
      <c r="LC1567" s="206"/>
      <c r="LD1567" s="206"/>
      <c r="LE1567" s="206"/>
      <c r="LF1567" s="206"/>
      <c r="LG1567" s="206"/>
      <c r="LH1567" s="206"/>
      <c r="LI1567" s="206"/>
      <c r="LJ1567" s="206"/>
      <c r="LK1567" s="206"/>
      <c r="LL1567" s="206"/>
      <c r="LM1567" s="206"/>
      <c r="LN1567" s="206"/>
      <c r="LO1567" s="206"/>
      <c r="LP1567" s="206"/>
      <c r="LQ1567" s="206"/>
      <c r="LR1567" s="206"/>
      <c r="LS1567" s="206"/>
      <c r="LT1567" s="206"/>
      <c r="LU1567" s="206"/>
      <c r="LV1567" s="206"/>
      <c r="LW1567" s="206"/>
      <c r="LX1567" s="206"/>
      <c r="LY1567" s="206"/>
      <c r="LZ1567" s="206"/>
      <c r="MA1567" s="206"/>
      <c r="MB1567" s="206"/>
      <c r="MC1567" s="206"/>
      <c r="MD1567" s="206"/>
      <c r="ME1567" s="206"/>
      <c r="MF1567" s="206"/>
      <c r="MG1567" s="206"/>
      <c r="MH1567" s="206"/>
      <c r="MI1567" s="206"/>
      <c r="MJ1567" s="206"/>
      <c r="MK1567" s="206"/>
      <c r="ML1567" s="206"/>
      <c r="MM1567" s="206"/>
      <c r="MN1567" s="206"/>
      <c r="MO1567" s="206"/>
      <c r="MP1567" s="206"/>
      <c r="MQ1567" s="206"/>
      <c r="MR1567" s="206"/>
      <c r="MS1567" s="206"/>
      <c r="MT1567" s="206"/>
      <c r="MU1567" s="206"/>
      <c r="MV1567" s="206"/>
      <c r="MW1567" s="206"/>
      <c r="MX1567" s="206"/>
      <c r="MY1567" s="206"/>
      <c r="MZ1567" s="206"/>
      <c r="NA1567" s="206"/>
      <c r="NB1567" s="206"/>
      <c r="NC1567" s="206"/>
      <c r="ND1567" s="206"/>
      <c r="NE1567" s="206"/>
      <c r="NF1567" s="206"/>
      <c r="NG1567" s="206"/>
      <c r="NH1567" s="206"/>
      <c r="NI1567" s="206"/>
      <c r="NJ1567" s="206"/>
      <c r="NK1567" s="206"/>
      <c r="NL1567" s="206"/>
      <c r="NM1567" s="206"/>
      <c r="NN1567" s="206"/>
      <c r="NO1567" s="206"/>
      <c r="NP1567" s="206"/>
      <c r="NQ1567" s="206"/>
      <c r="NR1567" s="206"/>
      <c r="NS1567" s="206"/>
      <c r="NT1567" s="206"/>
      <c r="NU1567" s="206"/>
      <c r="NV1567" s="206"/>
      <c r="NW1567" s="206"/>
      <c r="NX1567" s="206"/>
      <c r="NY1567" s="206"/>
      <c r="NZ1567" s="206"/>
      <c r="OA1567" s="206"/>
      <c r="OB1567" s="206"/>
      <c r="OC1567" s="206"/>
      <c r="OD1567" s="206"/>
      <c r="OE1567" s="206"/>
      <c r="OF1567" s="206"/>
      <c r="OG1567" s="206"/>
      <c r="OH1567" s="206"/>
      <c r="OI1567" s="206"/>
      <c r="OJ1567" s="206"/>
      <c r="OK1567" s="206"/>
      <c r="OL1567" s="206"/>
      <c r="OM1567" s="206"/>
      <c r="ON1567" s="206"/>
      <c r="OO1567" s="206"/>
      <c r="OP1567" s="206"/>
      <c r="OQ1567" s="206"/>
      <c r="OR1567" s="206"/>
      <c r="OS1567" s="206"/>
      <c r="OT1567" s="206"/>
      <c r="OU1567" s="206"/>
      <c r="OV1567" s="206"/>
      <c r="OW1567" s="206"/>
      <c r="OX1567" s="206"/>
      <c r="OY1567" s="206"/>
      <c r="OZ1567" s="206"/>
      <c r="PA1567" s="206"/>
      <c r="PB1567" s="206"/>
      <c r="PC1567" s="206"/>
      <c r="PD1567" s="206"/>
      <c r="PE1567" s="206"/>
      <c r="PF1567" s="206"/>
      <c r="PG1567" s="206"/>
      <c r="PH1567" s="206"/>
      <c r="PI1567" s="206"/>
      <c r="PJ1567" s="206"/>
      <c r="PK1567" s="206"/>
      <c r="PL1567" s="206"/>
      <c r="PM1567" s="206"/>
      <c r="PN1567" s="206"/>
      <c r="PO1567" s="206"/>
      <c r="PP1567" s="206"/>
      <c r="PQ1567" s="206"/>
      <c r="PR1567" s="206"/>
      <c r="PS1567" s="206"/>
      <c r="PT1567" s="206"/>
      <c r="PU1567" s="206"/>
      <c r="PV1567" s="206"/>
      <c r="PW1567" s="206"/>
      <c r="PX1567" s="206"/>
      <c r="PY1567" s="206"/>
      <c r="PZ1567" s="206"/>
      <c r="QA1567" s="206"/>
      <c r="QB1567" s="206"/>
      <c r="QC1567" s="206"/>
      <c r="QD1567" s="206"/>
      <c r="QE1567" s="206"/>
      <c r="QF1567" s="206"/>
      <c r="QG1567" s="206"/>
      <c r="QH1567" s="206"/>
      <c r="QI1567" s="206"/>
      <c r="QJ1567" s="206"/>
      <c r="QK1567" s="206"/>
      <c r="QL1567" s="206"/>
      <c r="QM1567" s="206"/>
      <c r="QN1567" s="206"/>
      <c r="QO1567" s="206"/>
      <c r="QP1567" s="206"/>
      <c r="QQ1567" s="206"/>
      <c r="QR1567" s="206"/>
      <c r="QS1567" s="206"/>
      <c r="QT1567" s="206"/>
      <c r="QU1567" s="206"/>
      <c r="QV1567" s="206"/>
      <c r="QW1567" s="206"/>
      <c r="QX1567" s="206"/>
      <c r="QY1567" s="206"/>
      <c r="QZ1567" s="206"/>
      <c r="RA1567" s="206"/>
      <c r="RB1567" s="206"/>
      <c r="RC1567" s="206"/>
      <c r="RD1567" s="206"/>
      <c r="RE1567" s="206"/>
      <c r="RF1567" s="206"/>
      <c r="RG1567" s="206"/>
      <c r="RH1567" s="206"/>
      <c r="RI1567" s="206"/>
      <c r="RJ1567" s="206"/>
      <c r="RK1567" s="206"/>
      <c r="RL1567" s="206"/>
      <c r="RM1567" s="206"/>
      <c r="RN1567" s="206"/>
      <c r="RO1567" s="206"/>
      <c r="RP1567" s="206"/>
      <c r="RQ1567" s="206"/>
      <c r="RR1567" s="206"/>
      <c r="RS1567" s="206"/>
      <c r="RT1567" s="206"/>
      <c r="RU1567" s="206"/>
      <c r="RV1567" s="206"/>
      <c r="RW1567" s="206"/>
      <c r="RX1567" s="206"/>
      <c r="RY1567" s="206"/>
      <c r="RZ1567" s="206"/>
      <c r="SA1567" s="206"/>
      <c r="SB1567" s="206"/>
      <c r="SC1567" s="206"/>
      <c r="SD1567" s="206"/>
      <c r="SE1567" s="206"/>
      <c r="SF1567" s="206"/>
      <c r="SG1567" s="206"/>
      <c r="SH1567" s="206"/>
      <c r="SI1567" s="206"/>
      <c r="SJ1567" s="206"/>
      <c r="SK1567" s="206"/>
      <c r="SL1567" s="206"/>
      <c r="SM1567" s="206"/>
      <c r="SN1567" s="206"/>
      <c r="SO1567" s="206"/>
      <c r="SP1567" s="206"/>
      <c r="SQ1567" s="206"/>
      <c r="SR1567" s="206"/>
      <c r="SS1567" s="206"/>
      <c r="ST1567" s="206"/>
      <c r="SU1567" s="206"/>
      <c r="SV1567" s="206"/>
      <c r="SW1567" s="206"/>
      <c r="SX1567" s="206"/>
      <c r="SY1567" s="206"/>
      <c r="SZ1567" s="206"/>
      <c r="TA1567" s="206"/>
      <c r="TB1567" s="206"/>
      <c r="TC1567" s="206"/>
      <c r="TD1567" s="206"/>
      <c r="TE1567" s="206"/>
      <c r="TF1567" s="206"/>
      <c r="TG1567" s="206"/>
      <c r="TH1567" s="206"/>
      <c r="TI1567" s="206"/>
      <c r="TJ1567" s="206"/>
      <c r="TK1567" s="206"/>
      <c r="TL1567" s="206"/>
      <c r="TM1567" s="206"/>
      <c r="TN1567" s="206"/>
      <c r="TO1567" s="206"/>
      <c r="TP1567" s="206"/>
      <c r="TQ1567" s="206"/>
      <c r="TR1567" s="206"/>
      <c r="TS1567" s="206"/>
      <c r="TT1567" s="206"/>
      <c r="TU1567" s="206"/>
      <c r="TV1567" s="206"/>
      <c r="TW1567" s="206"/>
      <c r="TX1567" s="206"/>
      <c r="TY1567" s="206"/>
      <c r="TZ1567" s="206"/>
      <c r="UA1567" s="206"/>
      <c r="UB1567" s="206"/>
      <c r="UC1567" s="206"/>
      <c r="UD1567" s="206"/>
    </row>
    <row r="1568" spans="1:550" s="874" customFormat="1" ht="21.75" customHeight="1">
      <c r="A1568" s="924" t="s">
        <v>17</v>
      </c>
      <c r="B1568" s="411"/>
      <c r="C1568" s="1632" t="s">
        <v>18</v>
      </c>
      <c r="D1568" s="1452"/>
      <c r="E1568" s="1452"/>
      <c r="F1568" s="1452"/>
      <c r="G1568" s="411" t="s">
        <v>1393</v>
      </c>
      <c r="H1568" s="927">
        <f>SUM(H1569:H1574)</f>
        <v>2709.7</v>
      </c>
      <c r="I1568" s="652">
        <f>SUM(I1569:I1574)</f>
        <v>2709.7</v>
      </c>
      <c r="J1568" s="1243"/>
      <c r="K1568" s="809"/>
      <c r="L1568" s="928">
        <f>SUM(L1569:L1574)</f>
        <v>161431900</v>
      </c>
      <c r="M1568" s="411"/>
      <c r="N1568" s="411"/>
      <c r="O1568" s="411"/>
      <c r="P1568" s="411">
        <f>L1568</f>
        <v>161431900</v>
      </c>
      <c r="Q1568" s="1172"/>
      <c r="R1568" s="486"/>
      <c r="S1568" s="486"/>
      <c r="T1568" s="486"/>
      <c r="U1568" s="486"/>
      <c r="V1568" s="486"/>
      <c r="W1568" s="486"/>
      <c r="X1568" s="486"/>
      <c r="Y1568" s="486"/>
      <c r="Z1568" s="486"/>
      <c r="AA1568" s="486"/>
      <c r="AB1568" s="486"/>
      <c r="AC1568" s="486"/>
      <c r="AD1568" s="486"/>
      <c r="AE1568" s="486"/>
      <c r="AF1568" s="486"/>
      <c r="AG1568" s="486"/>
      <c r="AH1568" s="486"/>
      <c r="AI1568" s="486"/>
      <c r="AJ1568" s="486"/>
      <c r="AK1568" s="486"/>
      <c r="AL1568" s="206"/>
      <c r="AM1568" s="206"/>
      <c r="AN1568" s="206"/>
      <c r="AO1568" s="206"/>
      <c r="AP1568" s="206"/>
      <c r="AQ1568" s="206"/>
      <c r="AR1568" s="206"/>
      <c r="AS1568" s="206"/>
      <c r="AT1568" s="206"/>
      <c r="AU1568" s="206"/>
      <c r="AV1568" s="206"/>
      <c r="AW1568" s="206"/>
      <c r="AX1568" s="206"/>
      <c r="AY1568" s="206"/>
      <c r="AZ1568" s="206"/>
      <c r="BA1568" s="206"/>
      <c r="BB1568" s="206"/>
      <c r="BC1568" s="206"/>
      <c r="BD1568" s="206"/>
      <c r="BE1568" s="206"/>
      <c r="BF1568" s="206"/>
      <c r="BG1568" s="206"/>
      <c r="BH1568" s="206"/>
      <c r="BI1568" s="206"/>
      <c r="BJ1568" s="206"/>
      <c r="BK1568" s="206"/>
      <c r="BL1568" s="206"/>
      <c r="BM1568" s="206"/>
      <c r="BN1568" s="206"/>
      <c r="BO1568" s="206"/>
      <c r="BP1568" s="206"/>
      <c r="BQ1568" s="206"/>
      <c r="BR1568" s="206"/>
      <c r="BS1568" s="206"/>
      <c r="BT1568" s="206"/>
      <c r="BU1568" s="206"/>
      <c r="BV1568" s="206"/>
      <c r="BW1568" s="206"/>
      <c r="BX1568" s="206"/>
      <c r="BY1568" s="206"/>
      <c r="BZ1568" s="206"/>
      <c r="CA1568" s="206"/>
      <c r="CB1568" s="206"/>
      <c r="CC1568" s="206"/>
      <c r="CD1568" s="206"/>
      <c r="CE1568" s="206"/>
      <c r="CF1568" s="206"/>
      <c r="CG1568" s="206"/>
      <c r="CH1568" s="206"/>
      <c r="CI1568" s="206"/>
      <c r="CJ1568" s="206"/>
      <c r="CK1568" s="206"/>
      <c r="CL1568" s="206"/>
      <c r="CM1568" s="206"/>
      <c r="CN1568" s="206"/>
      <c r="CO1568" s="206"/>
      <c r="CP1568" s="206"/>
      <c r="CQ1568" s="206"/>
      <c r="CR1568" s="206"/>
      <c r="CS1568" s="206"/>
      <c r="CT1568" s="206"/>
      <c r="CU1568" s="206"/>
      <c r="CV1568" s="206"/>
      <c r="CW1568" s="206"/>
      <c r="CX1568" s="206"/>
      <c r="CY1568" s="206"/>
      <c r="CZ1568" s="206"/>
      <c r="DA1568" s="206"/>
      <c r="DB1568" s="206"/>
      <c r="DC1568" s="206"/>
      <c r="DD1568" s="206"/>
      <c r="DE1568" s="206"/>
      <c r="DF1568" s="206"/>
      <c r="DG1568" s="206"/>
      <c r="DH1568" s="206"/>
      <c r="DI1568" s="206"/>
      <c r="DJ1568" s="206"/>
      <c r="DK1568" s="206"/>
      <c r="DL1568" s="206"/>
      <c r="DM1568" s="206"/>
      <c r="DN1568" s="206"/>
      <c r="DO1568" s="206"/>
      <c r="DP1568" s="206"/>
      <c r="DQ1568" s="206"/>
      <c r="DR1568" s="206"/>
      <c r="DS1568" s="206"/>
      <c r="DT1568" s="206"/>
      <c r="DU1568" s="206"/>
      <c r="DV1568" s="206"/>
      <c r="DW1568" s="206"/>
      <c r="DX1568" s="206"/>
      <c r="DY1568" s="206"/>
      <c r="DZ1568" s="206"/>
      <c r="EA1568" s="206"/>
      <c r="EB1568" s="206"/>
      <c r="EC1568" s="206"/>
      <c r="ED1568" s="206"/>
      <c r="EE1568" s="206"/>
      <c r="EF1568" s="206"/>
      <c r="EG1568" s="206"/>
      <c r="EH1568" s="206"/>
      <c r="EI1568" s="206"/>
      <c r="EJ1568" s="206"/>
      <c r="EK1568" s="206"/>
      <c r="EL1568" s="206"/>
      <c r="EM1568" s="206"/>
      <c r="EN1568" s="206"/>
      <c r="EO1568" s="206"/>
      <c r="EP1568" s="206"/>
      <c r="EQ1568" s="206"/>
      <c r="ER1568" s="206"/>
      <c r="ES1568" s="206"/>
      <c r="ET1568" s="206"/>
      <c r="EU1568" s="206"/>
      <c r="EV1568" s="206"/>
      <c r="EW1568" s="206"/>
      <c r="EX1568" s="206"/>
      <c r="EY1568" s="206"/>
      <c r="EZ1568" s="206"/>
      <c r="FA1568" s="206"/>
      <c r="FB1568" s="206"/>
      <c r="FC1568" s="206"/>
      <c r="FD1568" s="206"/>
      <c r="FE1568" s="206"/>
      <c r="FF1568" s="206"/>
      <c r="FG1568" s="206"/>
      <c r="FH1568" s="206"/>
      <c r="FI1568" s="206"/>
      <c r="FJ1568" s="206"/>
      <c r="FK1568" s="206"/>
      <c r="FL1568" s="206"/>
      <c r="FM1568" s="206"/>
      <c r="FN1568" s="206"/>
      <c r="FO1568" s="206"/>
      <c r="FP1568" s="206"/>
      <c r="FQ1568" s="206"/>
      <c r="FR1568" s="206"/>
      <c r="FS1568" s="206"/>
      <c r="FT1568" s="206"/>
      <c r="FU1568" s="206"/>
      <c r="FV1568" s="206"/>
      <c r="FW1568" s="206"/>
      <c r="FX1568" s="206"/>
      <c r="FY1568" s="206"/>
      <c r="FZ1568" s="206"/>
      <c r="GA1568" s="206"/>
      <c r="GB1568" s="206"/>
      <c r="GC1568" s="206"/>
      <c r="GD1568" s="206"/>
      <c r="GE1568" s="206"/>
      <c r="GF1568" s="206"/>
      <c r="GG1568" s="206"/>
      <c r="GH1568" s="206"/>
      <c r="GI1568" s="206"/>
      <c r="GJ1568" s="206"/>
      <c r="GK1568" s="206"/>
      <c r="GL1568" s="206"/>
      <c r="GM1568" s="206"/>
      <c r="GN1568" s="206"/>
      <c r="GO1568" s="206"/>
      <c r="GP1568" s="206"/>
      <c r="GQ1568" s="206"/>
      <c r="GR1568" s="206"/>
      <c r="GS1568" s="206"/>
      <c r="GT1568" s="206"/>
      <c r="GU1568" s="206"/>
      <c r="GV1568" s="206"/>
      <c r="GW1568" s="206"/>
      <c r="GX1568" s="206"/>
      <c r="GY1568" s="206"/>
      <c r="GZ1568" s="206"/>
      <c r="HA1568" s="206"/>
      <c r="HB1568" s="206"/>
      <c r="HC1568" s="206"/>
      <c r="HD1568" s="206"/>
      <c r="HE1568" s="206"/>
      <c r="HF1568" s="206"/>
      <c r="HG1568" s="206"/>
      <c r="HH1568" s="206"/>
      <c r="HI1568" s="206"/>
      <c r="HJ1568" s="206"/>
      <c r="HK1568" s="206"/>
      <c r="HL1568" s="206"/>
      <c r="HM1568" s="206"/>
      <c r="HN1568" s="206"/>
      <c r="HO1568" s="206"/>
      <c r="HP1568" s="206"/>
      <c r="HQ1568" s="206"/>
      <c r="HR1568" s="206"/>
      <c r="HS1568" s="206"/>
      <c r="HT1568" s="206"/>
      <c r="HU1568" s="206"/>
      <c r="HV1568" s="206"/>
      <c r="HW1568" s="206"/>
      <c r="HX1568" s="206"/>
      <c r="HY1568" s="206"/>
      <c r="HZ1568" s="206"/>
      <c r="IA1568" s="206"/>
      <c r="IB1568" s="206"/>
      <c r="IC1568" s="206"/>
      <c r="ID1568" s="206"/>
      <c r="IE1568" s="206"/>
      <c r="IF1568" s="206"/>
      <c r="IG1568" s="206"/>
      <c r="IH1568" s="206"/>
      <c r="II1568" s="206"/>
      <c r="IJ1568" s="206"/>
      <c r="IK1568" s="206"/>
      <c r="IL1568" s="206"/>
      <c r="IM1568" s="206"/>
      <c r="IN1568" s="206"/>
      <c r="IO1568" s="206"/>
      <c r="IP1568" s="206"/>
      <c r="IQ1568" s="206"/>
      <c r="IR1568" s="206"/>
      <c r="IS1568" s="206"/>
      <c r="IT1568" s="206"/>
      <c r="IU1568" s="206"/>
      <c r="IV1568" s="206"/>
      <c r="IW1568" s="206"/>
      <c r="IX1568" s="206"/>
      <c r="IY1568" s="206"/>
      <c r="IZ1568" s="206"/>
      <c r="JA1568" s="206"/>
      <c r="JB1568" s="206"/>
      <c r="JC1568" s="206"/>
      <c r="JD1568" s="206"/>
      <c r="JE1568" s="206"/>
      <c r="JF1568" s="206"/>
      <c r="JG1568" s="206"/>
      <c r="JH1568" s="206"/>
      <c r="JI1568" s="206"/>
      <c r="JJ1568" s="206"/>
      <c r="JK1568" s="206"/>
      <c r="JL1568" s="206"/>
      <c r="JM1568" s="206"/>
      <c r="JN1568" s="206"/>
      <c r="JO1568" s="206"/>
      <c r="JP1568" s="206"/>
      <c r="JQ1568" s="206"/>
      <c r="JR1568" s="206"/>
      <c r="JS1568" s="206"/>
      <c r="JT1568" s="206"/>
      <c r="JU1568" s="206"/>
      <c r="JV1568" s="206"/>
      <c r="JW1568" s="206"/>
      <c r="JX1568" s="206"/>
      <c r="JY1568" s="206"/>
      <c r="JZ1568" s="206"/>
      <c r="KA1568" s="206"/>
      <c r="KB1568" s="206"/>
      <c r="KC1568" s="206"/>
      <c r="KD1568" s="206"/>
      <c r="KE1568" s="206"/>
      <c r="KF1568" s="206"/>
      <c r="KG1568" s="206"/>
      <c r="KH1568" s="206"/>
      <c r="KI1568" s="206"/>
      <c r="KJ1568" s="206"/>
      <c r="KK1568" s="206"/>
      <c r="KL1568" s="206"/>
      <c r="KM1568" s="206"/>
      <c r="KN1568" s="206"/>
      <c r="KO1568" s="206"/>
      <c r="KP1568" s="206"/>
      <c r="KQ1568" s="206"/>
      <c r="KR1568" s="206"/>
      <c r="KS1568" s="206"/>
      <c r="KT1568" s="206"/>
      <c r="KU1568" s="206"/>
      <c r="KV1568" s="206"/>
      <c r="KW1568" s="206"/>
      <c r="KX1568" s="206"/>
      <c r="KY1568" s="206"/>
      <c r="KZ1568" s="206"/>
      <c r="LA1568" s="206"/>
      <c r="LB1568" s="206"/>
      <c r="LC1568" s="206"/>
      <c r="LD1568" s="206"/>
      <c r="LE1568" s="206"/>
      <c r="LF1568" s="206"/>
      <c r="LG1568" s="206"/>
      <c r="LH1568" s="206"/>
      <c r="LI1568" s="206"/>
      <c r="LJ1568" s="206"/>
      <c r="LK1568" s="206"/>
      <c r="LL1568" s="206"/>
      <c r="LM1568" s="206"/>
      <c r="LN1568" s="206"/>
      <c r="LO1568" s="206"/>
      <c r="LP1568" s="206"/>
      <c r="LQ1568" s="206"/>
      <c r="LR1568" s="206"/>
      <c r="LS1568" s="206"/>
      <c r="LT1568" s="206"/>
      <c r="LU1568" s="206"/>
      <c r="LV1568" s="206"/>
      <c r="LW1568" s="206"/>
      <c r="LX1568" s="206"/>
      <c r="LY1568" s="206"/>
      <c r="LZ1568" s="206"/>
      <c r="MA1568" s="206"/>
      <c r="MB1568" s="206"/>
      <c r="MC1568" s="206"/>
      <c r="MD1568" s="206"/>
      <c r="ME1568" s="206"/>
      <c r="MF1568" s="206"/>
      <c r="MG1568" s="206"/>
      <c r="MH1568" s="206"/>
      <c r="MI1568" s="206"/>
      <c r="MJ1568" s="206"/>
      <c r="MK1568" s="206"/>
      <c r="ML1568" s="206"/>
      <c r="MM1568" s="206"/>
      <c r="MN1568" s="206"/>
      <c r="MO1568" s="206"/>
      <c r="MP1568" s="206"/>
      <c r="MQ1568" s="206"/>
      <c r="MR1568" s="206"/>
      <c r="MS1568" s="206"/>
      <c r="MT1568" s="206"/>
      <c r="MU1568" s="206"/>
      <c r="MV1568" s="206"/>
      <c r="MW1568" s="206"/>
      <c r="MX1568" s="206"/>
      <c r="MY1568" s="206"/>
      <c r="MZ1568" s="206"/>
      <c r="NA1568" s="206"/>
      <c r="NB1568" s="206"/>
      <c r="NC1568" s="206"/>
      <c r="ND1568" s="206"/>
      <c r="NE1568" s="206"/>
      <c r="NF1568" s="206"/>
      <c r="NG1568" s="206"/>
      <c r="NH1568" s="206"/>
      <c r="NI1568" s="206"/>
      <c r="NJ1568" s="206"/>
      <c r="NK1568" s="206"/>
      <c r="NL1568" s="206"/>
      <c r="NM1568" s="206"/>
      <c r="NN1568" s="206"/>
      <c r="NO1568" s="206"/>
      <c r="NP1568" s="206"/>
      <c r="NQ1568" s="206"/>
      <c r="NR1568" s="206"/>
      <c r="NS1568" s="206"/>
      <c r="NT1568" s="206"/>
      <c r="NU1568" s="206"/>
      <c r="NV1568" s="206"/>
      <c r="NW1568" s="206"/>
      <c r="NX1568" s="206"/>
      <c r="NY1568" s="206"/>
      <c r="NZ1568" s="206"/>
      <c r="OA1568" s="206"/>
      <c r="OB1568" s="206"/>
      <c r="OC1568" s="206"/>
      <c r="OD1568" s="206"/>
      <c r="OE1568" s="206"/>
      <c r="OF1568" s="206"/>
      <c r="OG1568" s="206"/>
      <c r="OH1568" s="206"/>
      <c r="OI1568" s="206"/>
      <c r="OJ1568" s="206"/>
      <c r="OK1568" s="206"/>
      <c r="OL1568" s="206"/>
      <c r="OM1568" s="206"/>
      <c r="ON1568" s="206"/>
      <c r="OO1568" s="206"/>
      <c r="OP1568" s="206"/>
      <c r="OQ1568" s="206"/>
      <c r="OR1568" s="206"/>
      <c r="OS1568" s="206"/>
      <c r="OT1568" s="206"/>
      <c r="OU1568" s="206"/>
      <c r="OV1568" s="206"/>
      <c r="OW1568" s="206"/>
      <c r="OX1568" s="206"/>
      <c r="OY1568" s="206"/>
      <c r="OZ1568" s="206"/>
      <c r="PA1568" s="206"/>
      <c r="PB1568" s="206"/>
      <c r="PC1568" s="206"/>
      <c r="PD1568" s="206"/>
      <c r="PE1568" s="206"/>
      <c r="PF1568" s="206"/>
      <c r="PG1568" s="206"/>
      <c r="PH1568" s="206"/>
      <c r="PI1568" s="206"/>
      <c r="PJ1568" s="206"/>
      <c r="PK1568" s="206"/>
      <c r="PL1568" s="206"/>
      <c r="PM1568" s="206"/>
      <c r="PN1568" s="206"/>
      <c r="PO1568" s="206"/>
      <c r="PP1568" s="206"/>
      <c r="PQ1568" s="206"/>
      <c r="PR1568" s="206"/>
      <c r="PS1568" s="206"/>
      <c r="PT1568" s="206"/>
      <c r="PU1568" s="206"/>
      <c r="PV1568" s="206"/>
      <c r="PW1568" s="206"/>
      <c r="PX1568" s="206"/>
      <c r="PY1568" s="206"/>
      <c r="PZ1568" s="206"/>
      <c r="QA1568" s="206"/>
      <c r="QB1568" s="206"/>
      <c r="QC1568" s="206"/>
      <c r="QD1568" s="206"/>
      <c r="QE1568" s="206"/>
      <c r="QF1568" s="206"/>
      <c r="QG1568" s="206"/>
      <c r="QH1568" s="206"/>
      <c r="QI1568" s="206"/>
      <c r="QJ1568" s="206"/>
      <c r="QK1568" s="206"/>
      <c r="QL1568" s="206"/>
      <c r="QM1568" s="206"/>
      <c r="QN1568" s="206"/>
      <c r="QO1568" s="206"/>
      <c r="QP1568" s="206"/>
      <c r="QQ1568" s="206"/>
      <c r="QR1568" s="206"/>
      <c r="QS1568" s="206"/>
      <c r="QT1568" s="206"/>
      <c r="QU1568" s="206"/>
      <c r="QV1568" s="206"/>
      <c r="QW1568" s="206"/>
      <c r="QX1568" s="206"/>
      <c r="QY1568" s="206"/>
      <c r="QZ1568" s="206"/>
      <c r="RA1568" s="206"/>
      <c r="RB1568" s="206"/>
      <c r="RC1568" s="206"/>
      <c r="RD1568" s="206"/>
      <c r="RE1568" s="206"/>
      <c r="RF1568" s="206"/>
      <c r="RG1568" s="206"/>
      <c r="RH1568" s="206"/>
      <c r="RI1568" s="206"/>
      <c r="RJ1568" s="206"/>
      <c r="RK1568" s="206"/>
      <c r="RL1568" s="206"/>
      <c r="RM1568" s="206"/>
      <c r="RN1568" s="206"/>
      <c r="RO1568" s="206"/>
      <c r="RP1568" s="206"/>
      <c r="RQ1568" s="206"/>
      <c r="RR1568" s="206"/>
      <c r="RS1568" s="206"/>
      <c r="RT1568" s="206"/>
      <c r="RU1568" s="206"/>
      <c r="RV1568" s="206"/>
      <c r="RW1568" s="206"/>
      <c r="RX1568" s="206"/>
      <c r="RY1568" s="206"/>
      <c r="RZ1568" s="206"/>
      <c r="SA1568" s="206"/>
      <c r="SB1568" s="206"/>
      <c r="SC1568" s="206"/>
      <c r="SD1568" s="206"/>
      <c r="SE1568" s="206"/>
      <c r="SF1568" s="206"/>
      <c r="SG1568" s="206"/>
      <c r="SH1568" s="206"/>
      <c r="SI1568" s="206"/>
      <c r="SJ1568" s="206"/>
      <c r="SK1568" s="206"/>
      <c r="SL1568" s="206"/>
      <c r="SM1568" s="206"/>
      <c r="SN1568" s="206"/>
      <c r="SO1568" s="206"/>
      <c r="SP1568" s="206"/>
      <c r="SQ1568" s="206"/>
      <c r="SR1568" s="206"/>
      <c r="SS1568" s="206"/>
      <c r="ST1568" s="206"/>
      <c r="SU1568" s="206"/>
      <c r="SV1568" s="206"/>
      <c r="SW1568" s="206"/>
      <c r="SX1568" s="206"/>
      <c r="SY1568" s="206"/>
      <c r="SZ1568" s="206"/>
      <c r="TA1568" s="206"/>
      <c r="TB1568" s="206"/>
      <c r="TC1568" s="206"/>
      <c r="TD1568" s="206"/>
      <c r="TE1568" s="206"/>
      <c r="TF1568" s="206"/>
      <c r="TG1568" s="206"/>
      <c r="TH1568" s="206"/>
      <c r="TI1568" s="206"/>
      <c r="TJ1568" s="206"/>
      <c r="TK1568" s="206"/>
      <c r="TL1568" s="206"/>
      <c r="TM1568" s="206"/>
      <c r="TN1568" s="206"/>
      <c r="TO1568" s="206"/>
      <c r="TP1568" s="206"/>
      <c r="TQ1568" s="206"/>
      <c r="TR1568" s="206"/>
      <c r="TS1568" s="206"/>
      <c r="TT1568" s="206"/>
      <c r="TU1568" s="206"/>
      <c r="TV1568" s="206"/>
      <c r="TW1568" s="206"/>
      <c r="TX1568" s="206"/>
      <c r="TY1568" s="206"/>
      <c r="TZ1568" s="206"/>
      <c r="UA1568" s="206"/>
      <c r="UB1568" s="206"/>
      <c r="UC1568" s="206"/>
      <c r="UD1568" s="206"/>
    </row>
    <row r="1569" spans="1:550" s="874" customFormat="1" ht="334.5" customHeight="1">
      <c r="A1569" s="924"/>
      <c r="B1569" s="1230"/>
      <c r="C1569" s="1227" t="s">
        <v>69</v>
      </c>
      <c r="D1569" s="470" t="s">
        <v>20</v>
      </c>
      <c r="E1569" s="470" t="s">
        <v>1340</v>
      </c>
      <c r="F1569" s="1230"/>
      <c r="G1569" s="501" t="s">
        <v>935</v>
      </c>
      <c r="H1569" s="930">
        <v>353.3</v>
      </c>
      <c r="I1569" s="931">
        <v>353.3</v>
      </c>
      <c r="J1569" s="1243">
        <v>55000</v>
      </c>
      <c r="K1569" s="809"/>
      <c r="L1569" s="932">
        <f t="shared" ref="L1569:L1574" si="243">ROUND(PRODUCT(I1569:K1569),0)</f>
        <v>19431500</v>
      </c>
      <c r="M1569" s="933"/>
      <c r="N1569" s="933"/>
      <c r="O1569" s="1226"/>
      <c r="P1569" s="1226"/>
      <c r="Q1569" s="1318" t="s">
        <v>1372</v>
      </c>
      <c r="R1569" s="486"/>
      <c r="S1569" s="486"/>
      <c r="T1569" s="486"/>
      <c r="U1569" s="486"/>
      <c r="V1569" s="486"/>
      <c r="W1569" s="486"/>
      <c r="X1569" s="1117">
        <f>I1569</f>
        <v>353.3</v>
      </c>
      <c r="Y1569" s="486"/>
      <c r="Z1569" s="486"/>
      <c r="AA1569" s="486"/>
      <c r="AB1569" s="486"/>
      <c r="AC1569" s="486"/>
      <c r="AD1569" s="486"/>
      <c r="AE1569" s="486"/>
      <c r="AF1569" s="486"/>
      <c r="AG1569" s="486"/>
      <c r="AH1569" s="486"/>
      <c r="AI1569" s="486"/>
      <c r="AJ1569" s="486"/>
      <c r="AK1569" s="486"/>
      <c r="AL1569" s="206"/>
      <c r="AM1569" s="206"/>
      <c r="AN1569" s="206"/>
      <c r="AO1569" s="206"/>
      <c r="AP1569" s="206"/>
      <c r="AQ1569" s="206"/>
      <c r="AR1569" s="206"/>
      <c r="AS1569" s="206"/>
      <c r="AT1569" s="206"/>
      <c r="AU1569" s="206"/>
      <c r="AV1569" s="206"/>
      <c r="AW1569" s="206"/>
      <c r="AX1569" s="206"/>
      <c r="AY1569" s="206"/>
      <c r="AZ1569" s="206"/>
      <c r="BA1569" s="206"/>
      <c r="BB1569" s="206"/>
      <c r="BC1569" s="206"/>
      <c r="BD1569" s="206"/>
      <c r="BE1569" s="206"/>
      <c r="BF1569" s="206"/>
      <c r="BG1569" s="206"/>
      <c r="BH1569" s="206"/>
      <c r="BI1569" s="206"/>
      <c r="BJ1569" s="206"/>
      <c r="BK1569" s="206"/>
      <c r="BL1569" s="206"/>
      <c r="BM1569" s="206"/>
      <c r="BN1569" s="206"/>
      <c r="BO1569" s="206"/>
      <c r="BP1569" s="206"/>
      <c r="BQ1569" s="206"/>
      <c r="BR1569" s="206"/>
      <c r="BS1569" s="206"/>
      <c r="BT1569" s="206"/>
      <c r="BU1569" s="206"/>
      <c r="BV1569" s="206"/>
      <c r="BW1569" s="206"/>
      <c r="BX1569" s="206"/>
      <c r="BY1569" s="206"/>
      <c r="BZ1569" s="206"/>
      <c r="CA1569" s="206"/>
      <c r="CB1569" s="206"/>
      <c r="CC1569" s="206"/>
      <c r="CD1569" s="206"/>
      <c r="CE1569" s="206"/>
      <c r="CF1569" s="206"/>
      <c r="CG1569" s="206"/>
      <c r="CH1569" s="206"/>
      <c r="CI1569" s="206"/>
      <c r="CJ1569" s="206"/>
      <c r="CK1569" s="206"/>
      <c r="CL1569" s="206"/>
      <c r="CM1569" s="206"/>
      <c r="CN1569" s="206"/>
      <c r="CO1569" s="206"/>
      <c r="CP1569" s="206"/>
      <c r="CQ1569" s="206"/>
      <c r="CR1569" s="206"/>
      <c r="CS1569" s="206"/>
      <c r="CT1569" s="206"/>
      <c r="CU1569" s="206"/>
      <c r="CV1569" s="206"/>
      <c r="CW1569" s="206"/>
      <c r="CX1569" s="206"/>
      <c r="CY1569" s="206"/>
      <c r="CZ1569" s="206"/>
      <c r="DA1569" s="206"/>
      <c r="DB1569" s="206"/>
      <c r="DC1569" s="206"/>
      <c r="DD1569" s="206"/>
      <c r="DE1569" s="206"/>
      <c r="DF1569" s="206"/>
      <c r="DG1569" s="206"/>
      <c r="DH1569" s="206"/>
      <c r="DI1569" s="206"/>
      <c r="DJ1569" s="206"/>
      <c r="DK1569" s="206"/>
      <c r="DL1569" s="206"/>
      <c r="DM1569" s="206"/>
      <c r="DN1569" s="206"/>
      <c r="DO1569" s="206"/>
      <c r="DP1569" s="206"/>
      <c r="DQ1569" s="206"/>
      <c r="DR1569" s="206"/>
      <c r="DS1569" s="206"/>
      <c r="DT1569" s="206"/>
      <c r="DU1569" s="206"/>
      <c r="DV1569" s="206"/>
      <c r="DW1569" s="206"/>
      <c r="DX1569" s="206"/>
      <c r="DY1569" s="206"/>
      <c r="DZ1569" s="206"/>
      <c r="EA1569" s="206"/>
      <c r="EB1569" s="206"/>
      <c r="EC1569" s="206"/>
      <c r="ED1569" s="206"/>
      <c r="EE1569" s="206"/>
      <c r="EF1569" s="206"/>
      <c r="EG1569" s="206"/>
      <c r="EH1569" s="206"/>
      <c r="EI1569" s="206"/>
      <c r="EJ1569" s="206"/>
      <c r="EK1569" s="206"/>
      <c r="EL1569" s="206"/>
      <c r="EM1569" s="206"/>
      <c r="EN1569" s="206"/>
      <c r="EO1569" s="206"/>
      <c r="EP1569" s="206"/>
      <c r="EQ1569" s="206"/>
      <c r="ER1569" s="206"/>
      <c r="ES1569" s="206"/>
      <c r="ET1569" s="206"/>
      <c r="EU1569" s="206"/>
      <c r="EV1569" s="206"/>
      <c r="EW1569" s="206"/>
      <c r="EX1569" s="206"/>
      <c r="EY1569" s="206"/>
      <c r="EZ1569" s="206"/>
      <c r="FA1569" s="206"/>
      <c r="FB1569" s="206"/>
      <c r="FC1569" s="206"/>
      <c r="FD1569" s="206"/>
      <c r="FE1569" s="206"/>
      <c r="FF1569" s="206"/>
      <c r="FG1569" s="206"/>
      <c r="FH1569" s="206"/>
      <c r="FI1569" s="206"/>
      <c r="FJ1569" s="206"/>
      <c r="FK1569" s="206"/>
      <c r="FL1569" s="206"/>
      <c r="FM1569" s="206"/>
      <c r="FN1569" s="206"/>
      <c r="FO1569" s="206"/>
      <c r="FP1569" s="206"/>
      <c r="FQ1569" s="206"/>
      <c r="FR1569" s="206"/>
      <c r="FS1569" s="206"/>
      <c r="FT1569" s="206"/>
      <c r="FU1569" s="206"/>
      <c r="FV1569" s="206"/>
      <c r="FW1569" s="206"/>
      <c r="FX1569" s="206"/>
      <c r="FY1569" s="206"/>
      <c r="FZ1569" s="206"/>
      <c r="GA1569" s="206"/>
      <c r="GB1569" s="206"/>
      <c r="GC1569" s="206"/>
      <c r="GD1569" s="206"/>
      <c r="GE1569" s="206"/>
      <c r="GF1569" s="206"/>
      <c r="GG1569" s="206"/>
      <c r="GH1569" s="206"/>
      <c r="GI1569" s="206"/>
      <c r="GJ1569" s="206"/>
      <c r="GK1569" s="206"/>
      <c r="GL1569" s="206"/>
      <c r="GM1569" s="206"/>
      <c r="GN1569" s="206"/>
      <c r="GO1569" s="206"/>
      <c r="GP1569" s="206"/>
      <c r="GQ1569" s="206"/>
      <c r="GR1569" s="206"/>
      <c r="GS1569" s="206"/>
      <c r="GT1569" s="206"/>
      <c r="GU1569" s="206"/>
      <c r="GV1569" s="206"/>
      <c r="GW1569" s="206"/>
      <c r="GX1569" s="206"/>
      <c r="GY1569" s="206"/>
      <c r="GZ1569" s="206"/>
      <c r="HA1569" s="206"/>
      <c r="HB1569" s="206"/>
      <c r="HC1569" s="206"/>
      <c r="HD1569" s="206"/>
      <c r="HE1569" s="206"/>
      <c r="HF1569" s="206"/>
      <c r="HG1569" s="206"/>
      <c r="HH1569" s="206"/>
      <c r="HI1569" s="206"/>
      <c r="HJ1569" s="206"/>
      <c r="HK1569" s="206"/>
      <c r="HL1569" s="206"/>
      <c r="HM1569" s="206"/>
      <c r="HN1569" s="206"/>
      <c r="HO1569" s="206"/>
      <c r="HP1569" s="206"/>
      <c r="HQ1569" s="206"/>
      <c r="HR1569" s="206"/>
      <c r="HS1569" s="206"/>
      <c r="HT1569" s="206"/>
      <c r="HU1569" s="206"/>
      <c r="HV1569" s="206"/>
      <c r="HW1569" s="206"/>
      <c r="HX1569" s="206"/>
      <c r="HY1569" s="206"/>
      <c r="HZ1569" s="206"/>
      <c r="IA1569" s="206"/>
      <c r="IB1569" s="206"/>
      <c r="IC1569" s="206"/>
      <c r="ID1569" s="206"/>
      <c r="IE1569" s="206"/>
      <c r="IF1569" s="206"/>
      <c r="IG1569" s="206"/>
      <c r="IH1569" s="206"/>
      <c r="II1569" s="206"/>
      <c r="IJ1569" s="206"/>
      <c r="IK1569" s="206"/>
      <c r="IL1569" s="206"/>
      <c r="IM1569" s="206"/>
      <c r="IN1569" s="206"/>
      <c r="IO1569" s="206"/>
      <c r="IP1569" s="206"/>
      <c r="IQ1569" s="206"/>
      <c r="IR1569" s="206"/>
      <c r="IS1569" s="206"/>
      <c r="IT1569" s="206"/>
      <c r="IU1569" s="206"/>
      <c r="IV1569" s="206"/>
      <c r="IW1569" s="206"/>
      <c r="IX1569" s="206"/>
      <c r="IY1569" s="206"/>
      <c r="IZ1569" s="206"/>
      <c r="JA1569" s="206"/>
      <c r="JB1569" s="206"/>
      <c r="JC1569" s="206"/>
      <c r="JD1569" s="206"/>
      <c r="JE1569" s="206"/>
      <c r="JF1569" s="206"/>
      <c r="JG1569" s="206"/>
      <c r="JH1569" s="206"/>
      <c r="JI1569" s="206"/>
      <c r="JJ1569" s="206"/>
      <c r="JK1569" s="206"/>
      <c r="JL1569" s="206"/>
      <c r="JM1569" s="206"/>
      <c r="JN1569" s="206"/>
      <c r="JO1569" s="206"/>
      <c r="JP1569" s="206"/>
      <c r="JQ1569" s="206"/>
      <c r="JR1569" s="206"/>
      <c r="JS1569" s="206"/>
      <c r="JT1569" s="206"/>
      <c r="JU1569" s="206"/>
      <c r="JV1569" s="206"/>
      <c r="JW1569" s="206"/>
      <c r="JX1569" s="206"/>
      <c r="JY1569" s="206"/>
      <c r="JZ1569" s="206"/>
      <c r="KA1569" s="206"/>
      <c r="KB1569" s="206"/>
      <c r="KC1569" s="206"/>
      <c r="KD1569" s="206"/>
      <c r="KE1569" s="206"/>
      <c r="KF1569" s="206"/>
      <c r="KG1569" s="206"/>
      <c r="KH1569" s="206"/>
      <c r="KI1569" s="206"/>
      <c r="KJ1569" s="206"/>
      <c r="KK1569" s="206"/>
      <c r="KL1569" s="206"/>
      <c r="KM1569" s="206"/>
      <c r="KN1569" s="206"/>
      <c r="KO1569" s="206"/>
      <c r="KP1569" s="206"/>
      <c r="KQ1569" s="206"/>
      <c r="KR1569" s="206"/>
      <c r="KS1569" s="206"/>
      <c r="KT1569" s="206"/>
      <c r="KU1569" s="206"/>
      <c r="KV1569" s="206"/>
      <c r="KW1569" s="206"/>
      <c r="KX1569" s="206"/>
      <c r="KY1569" s="206"/>
      <c r="KZ1569" s="206"/>
      <c r="LA1569" s="206"/>
      <c r="LB1569" s="206"/>
      <c r="LC1569" s="206"/>
      <c r="LD1569" s="206"/>
      <c r="LE1569" s="206"/>
      <c r="LF1569" s="206"/>
      <c r="LG1569" s="206"/>
      <c r="LH1569" s="206"/>
      <c r="LI1569" s="206"/>
      <c r="LJ1569" s="206"/>
      <c r="LK1569" s="206"/>
      <c r="LL1569" s="206"/>
      <c r="LM1569" s="206"/>
      <c r="LN1569" s="206"/>
      <c r="LO1569" s="206"/>
      <c r="LP1569" s="206"/>
      <c r="LQ1569" s="206"/>
      <c r="LR1569" s="206"/>
      <c r="LS1569" s="206"/>
      <c r="LT1569" s="206"/>
      <c r="LU1569" s="206"/>
      <c r="LV1569" s="206"/>
      <c r="LW1569" s="206"/>
      <c r="LX1569" s="206"/>
      <c r="LY1569" s="206"/>
      <c r="LZ1569" s="206"/>
      <c r="MA1569" s="206"/>
      <c r="MB1569" s="206"/>
      <c r="MC1569" s="206"/>
      <c r="MD1569" s="206"/>
      <c r="ME1569" s="206"/>
      <c r="MF1569" s="206"/>
      <c r="MG1569" s="206"/>
      <c r="MH1569" s="206"/>
      <c r="MI1569" s="206"/>
      <c r="MJ1569" s="206"/>
      <c r="MK1569" s="206"/>
      <c r="ML1569" s="206"/>
      <c r="MM1569" s="206"/>
      <c r="MN1569" s="206"/>
      <c r="MO1569" s="206"/>
      <c r="MP1569" s="206"/>
      <c r="MQ1569" s="206"/>
      <c r="MR1569" s="206"/>
      <c r="MS1569" s="206"/>
      <c r="MT1569" s="206"/>
      <c r="MU1569" s="206"/>
      <c r="MV1569" s="206"/>
      <c r="MW1569" s="206"/>
      <c r="MX1569" s="206"/>
      <c r="MY1569" s="206"/>
      <c r="MZ1569" s="206"/>
      <c r="NA1569" s="206"/>
      <c r="NB1569" s="206"/>
      <c r="NC1569" s="206"/>
      <c r="ND1569" s="206"/>
      <c r="NE1569" s="206"/>
      <c r="NF1569" s="206"/>
      <c r="NG1569" s="206"/>
      <c r="NH1569" s="206"/>
      <c r="NI1569" s="206"/>
      <c r="NJ1569" s="206"/>
      <c r="NK1569" s="206"/>
      <c r="NL1569" s="206"/>
      <c r="NM1569" s="206"/>
      <c r="NN1569" s="206"/>
      <c r="NO1569" s="206"/>
      <c r="NP1569" s="206"/>
      <c r="NQ1569" s="206"/>
      <c r="NR1569" s="206"/>
      <c r="NS1569" s="206"/>
      <c r="NT1569" s="206"/>
      <c r="NU1569" s="206"/>
      <c r="NV1569" s="206"/>
      <c r="NW1569" s="206"/>
      <c r="NX1569" s="206"/>
      <c r="NY1569" s="206"/>
      <c r="NZ1569" s="206"/>
      <c r="OA1569" s="206"/>
      <c r="OB1569" s="206"/>
      <c r="OC1569" s="206"/>
      <c r="OD1569" s="206"/>
      <c r="OE1569" s="206"/>
      <c r="OF1569" s="206"/>
      <c r="OG1569" s="206"/>
      <c r="OH1569" s="206"/>
      <c r="OI1569" s="206"/>
      <c r="OJ1569" s="206"/>
      <c r="OK1569" s="206"/>
      <c r="OL1569" s="206"/>
      <c r="OM1569" s="206"/>
      <c r="ON1569" s="206"/>
      <c r="OO1569" s="206"/>
      <c r="OP1569" s="206"/>
      <c r="OQ1569" s="206"/>
      <c r="OR1569" s="206"/>
      <c r="OS1569" s="206"/>
      <c r="OT1569" s="206"/>
      <c r="OU1569" s="206"/>
      <c r="OV1569" s="206"/>
      <c r="OW1569" s="206"/>
      <c r="OX1569" s="206"/>
      <c r="OY1569" s="206"/>
      <c r="OZ1569" s="206"/>
      <c r="PA1569" s="206"/>
      <c r="PB1569" s="206"/>
      <c r="PC1569" s="206"/>
      <c r="PD1569" s="206"/>
      <c r="PE1569" s="206"/>
      <c r="PF1569" s="206"/>
      <c r="PG1569" s="206"/>
      <c r="PH1569" s="206"/>
      <c r="PI1569" s="206"/>
      <c r="PJ1569" s="206"/>
      <c r="PK1569" s="206"/>
      <c r="PL1569" s="206"/>
      <c r="PM1569" s="206"/>
      <c r="PN1569" s="206"/>
      <c r="PO1569" s="206"/>
      <c r="PP1569" s="206"/>
      <c r="PQ1569" s="206"/>
      <c r="PR1569" s="206"/>
      <c r="PS1569" s="206"/>
      <c r="PT1569" s="206"/>
      <c r="PU1569" s="206"/>
      <c r="PV1569" s="206"/>
      <c r="PW1569" s="206"/>
      <c r="PX1569" s="206"/>
      <c r="PY1569" s="206"/>
      <c r="PZ1569" s="206"/>
      <c r="QA1569" s="206"/>
      <c r="QB1569" s="206"/>
      <c r="QC1569" s="206"/>
      <c r="QD1569" s="206"/>
      <c r="QE1569" s="206"/>
      <c r="QF1569" s="206"/>
      <c r="QG1569" s="206"/>
      <c r="QH1569" s="206"/>
      <c r="QI1569" s="206"/>
      <c r="QJ1569" s="206"/>
      <c r="QK1569" s="206"/>
      <c r="QL1569" s="206"/>
      <c r="QM1569" s="206"/>
      <c r="QN1569" s="206"/>
      <c r="QO1569" s="206"/>
      <c r="QP1569" s="206"/>
      <c r="QQ1569" s="206"/>
      <c r="QR1569" s="206"/>
      <c r="QS1569" s="206"/>
      <c r="QT1569" s="206"/>
      <c r="QU1569" s="206"/>
      <c r="QV1569" s="206"/>
      <c r="QW1569" s="206"/>
      <c r="QX1569" s="206"/>
      <c r="QY1569" s="206"/>
      <c r="QZ1569" s="206"/>
      <c r="RA1569" s="206"/>
      <c r="RB1569" s="206"/>
      <c r="RC1569" s="206"/>
      <c r="RD1569" s="206"/>
      <c r="RE1569" s="206"/>
      <c r="RF1569" s="206"/>
      <c r="RG1569" s="206"/>
      <c r="RH1569" s="206"/>
      <c r="RI1569" s="206"/>
      <c r="RJ1569" s="206"/>
      <c r="RK1569" s="206"/>
      <c r="RL1569" s="206"/>
      <c r="RM1569" s="206"/>
      <c r="RN1569" s="206"/>
      <c r="RO1569" s="206"/>
      <c r="RP1569" s="206"/>
      <c r="RQ1569" s="206"/>
      <c r="RR1569" s="206"/>
      <c r="RS1569" s="206"/>
      <c r="RT1569" s="206"/>
      <c r="RU1569" s="206"/>
      <c r="RV1569" s="206"/>
      <c r="RW1569" s="206"/>
      <c r="RX1569" s="206"/>
      <c r="RY1569" s="206"/>
      <c r="RZ1569" s="206"/>
      <c r="SA1569" s="206"/>
      <c r="SB1569" s="206"/>
      <c r="SC1569" s="206"/>
      <c r="SD1569" s="206"/>
      <c r="SE1569" s="206"/>
      <c r="SF1569" s="206"/>
      <c r="SG1569" s="206"/>
      <c r="SH1569" s="206"/>
      <c r="SI1569" s="206"/>
      <c r="SJ1569" s="206"/>
      <c r="SK1569" s="206"/>
      <c r="SL1569" s="206"/>
      <c r="SM1569" s="206"/>
      <c r="SN1569" s="206"/>
      <c r="SO1569" s="206"/>
      <c r="SP1569" s="206"/>
      <c r="SQ1569" s="206"/>
      <c r="SR1569" s="206"/>
      <c r="SS1569" s="206"/>
      <c r="ST1569" s="206"/>
      <c r="SU1569" s="206"/>
      <c r="SV1569" s="206"/>
      <c r="SW1569" s="206"/>
      <c r="SX1569" s="206"/>
      <c r="SY1569" s="206"/>
      <c r="SZ1569" s="206"/>
      <c r="TA1569" s="206"/>
      <c r="TB1569" s="206"/>
      <c r="TC1569" s="206"/>
      <c r="TD1569" s="206"/>
      <c r="TE1569" s="206"/>
      <c r="TF1569" s="206"/>
      <c r="TG1569" s="206"/>
      <c r="TH1569" s="206"/>
      <c r="TI1569" s="206"/>
      <c r="TJ1569" s="206"/>
      <c r="TK1569" s="206"/>
      <c r="TL1569" s="206"/>
      <c r="TM1569" s="206"/>
      <c r="TN1569" s="206"/>
      <c r="TO1569" s="206"/>
      <c r="TP1569" s="206"/>
      <c r="TQ1569" s="206"/>
      <c r="TR1569" s="206"/>
      <c r="TS1569" s="206"/>
      <c r="TT1569" s="206"/>
      <c r="TU1569" s="206"/>
      <c r="TV1569" s="206"/>
      <c r="TW1569" s="206"/>
      <c r="TX1569" s="206"/>
      <c r="TY1569" s="206"/>
      <c r="TZ1569" s="206"/>
      <c r="UA1569" s="206"/>
      <c r="UB1569" s="206"/>
      <c r="UC1569" s="206"/>
      <c r="UD1569" s="206"/>
    </row>
    <row r="1570" spans="1:550" s="874" customFormat="1" ht="180" customHeight="1">
      <c r="A1570" s="924"/>
      <c r="B1570" s="1230"/>
      <c r="C1570" s="1227" t="s">
        <v>26</v>
      </c>
      <c r="D1570" s="470" t="s">
        <v>20</v>
      </c>
      <c r="E1570" s="470" t="s">
        <v>1373</v>
      </c>
      <c r="F1570" s="1230"/>
      <c r="G1570" s="501" t="s">
        <v>935</v>
      </c>
      <c r="H1570" s="930">
        <v>186.2</v>
      </c>
      <c r="I1570" s="931">
        <v>186.2</v>
      </c>
      <c r="J1570" s="1243">
        <v>40000</v>
      </c>
      <c r="K1570" s="809"/>
      <c r="L1570" s="932">
        <f t="shared" si="243"/>
        <v>7448000</v>
      </c>
      <c r="M1570" s="933"/>
      <c r="N1570" s="933"/>
      <c r="O1570" s="1226"/>
      <c r="P1570" s="1226"/>
      <c r="Q1570" s="1258" t="s">
        <v>1374</v>
      </c>
      <c r="R1570" s="1447" t="s">
        <v>1375</v>
      </c>
      <c r="S1570" s="486"/>
      <c r="T1570" s="486"/>
      <c r="U1570" s="486"/>
      <c r="V1570" s="486"/>
      <c r="W1570" s="486"/>
      <c r="X1570" s="486"/>
      <c r="Y1570" s="1117">
        <f>I1570</f>
        <v>186.2</v>
      </c>
      <c r="Z1570" s="486"/>
      <c r="AA1570" s="486"/>
      <c r="AB1570" s="486"/>
      <c r="AC1570" s="486"/>
      <c r="AD1570" s="486"/>
      <c r="AE1570" s="486"/>
      <c r="AF1570" s="486"/>
      <c r="AG1570" s="486"/>
      <c r="AH1570" s="486"/>
      <c r="AI1570" s="486"/>
      <c r="AJ1570" s="486"/>
      <c r="AK1570" s="486"/>
      <c r="AL1570" s="206"/>
      <c r="AM1570" s="206"/>
      <c r="AN1570" s="206"/>
      <c r="AO1570" s="206"/>
      <c r="AP1570" s="206"/>
      <c r="AQ1570" s="206"/>
      <c r="AR1570" s="206"/>
      <c r="AS1570" s="206"/>
      <c r="AT1570" s="206"/>
      <c r="AU1570" s="206"/>
      <c r="AV1570" s="206"/>
      <c r="AW1570" s="206"/>
      <c r="AX1570" s="206"/>
      <c r="AY1570" s="206"/>
      <c r="AZ1570" s="206"/>
      <c r="BA1570" s="206"/>
      <c r="BB1570" s="206"/>
      <c r="BC1570" s="206"/>
      <c r="BD1570" s="206"/>
      <c r="BE1570" s="206"/>
      <c r="BF1570" s="206"/>
      <c r="BG1570" s="206"/>
      <c r="BH1570" s="206"/>
      <c r="BI1570" s="206"/>
      <c r="BJ1570" s="206"/>
      <c r="BK1570" s="206"/>
      <c r="BL1570" s="206"/>
      <c r="BM1570" s="206"/>
      <c r="BN1570" s="206"/>
      <c r="BO1570" s="206"/>
      <c r="BP1570" s="206"/>
      <c r="BQ1570" s="206"/>
      <c r="BR1570" s="206"/>
      <c r="BS1570" s="206"/>
      <c r="BT1570" s="206"/>
      <c r="BU1570" s="206"/>
      <c r="BV1570" s="206"/>
      <c r="BW1570" s="206"/>
      <c r="BX1570" s="206"/>
      <c r="BY1570" s="206"/>
      <c r="BZ1570" s="206"/>
      <c r="CA1570" s="206"/>
      <c r="CB1570" s="206"/>
      <c r="CC1570" s="206"/>
      <c r="CD1570" s="206"/>
      <c r="CE1570" s="206"/>
      <c r="CF1570" s="206"/>
      <c r="CG1570" s="206"/>
      <c r="CH1570" s="206"/>
      <c r="CI1570" s="206"/>
      <c r="CJ1570" s="206"/>
      <c r="CK1570" s="206"/>
      <c r="CL1570" s="206"/>
      <c r="CM1570" s="206"/>
      <c r="CN1570" s="206"/>
      <c r="CO1570" s="206"/>
      <c r="CP1570" s="206"/>
      <c r="CQ1570" s="206"/>
      <c r="CR1570" s="206"/>
      <c r="CS1570" s="206"/>
      <c r="CT1570" s="206"/>
      <c r="CU1570" s="206"/>
      <c r="CV1570" s="206"/>
      <c r="CW1570" s="206"/>
      <c r="CX1570" s="206"/>
      <c r="CY1570" s="206"/>
      <c r="CZ1570" s="206"/>
      <c r="DA1570" s="206"/>
      <c r="DB1570" s="206"/>
      <c r="DC1570" s="206"/>
      <c r="DD1570" s="206"/>
      <c r="DE1570" s="206"/>
      <c r="DF1570" s="206"/>
      <c r="DG1570" s="206"/>
      <c r="DH1570" s="206"/>
      <c r="DI1570" s="206"/>
      <c r="DJ1570" s="206"/>
      <c r="DK1570" s="206"/>
      <c r="DL1570" s="206"/>
      <c r="DM1570" s="206"/>
      <c r="DN1570" s="206"/>
      <c r="DO1570" s="206"/>
      <c r="DP1570" s="206"/>
      <c r="DQ1570" s="206"/>
      <c r="DR1570" s="206"/>
      <c r="DS1570" s="206"/>
      <c r="DT1570" s="206"/>
      <c r="DU1570" s="206"/>
      <c r="DV1570" s="206"/>
      <c r="DW1570" s="206"/>
      <c r="DX1570" s="206"/>
      <c r="DY1570" s="206"/>
      <c r="DZ1570" s="206"/>
      <c r="EA1570" s="206"/>
      <c r="EB1570" s="206"/>
      <c r="EC1570" s="206"/>
      <c r="ED1570" s="206"/>
      <c r="EE1570" s="206"/>
      <c r="EF1570" s="206"/>
      <c r="EG1570" s="206"/>
      <c r="EH1570" s="206"/>
      <c r="EI1570" s="206"/>
      <c r="EJ1570" s="206"/>
      <c r="EK1570" s="206"/>
      <c r="EL1570" s="206"/>
      <c r="EM1570" s="206"/>
      <c r="EN1570" s="206"/>
      <c r="EO1570" s="206"/>
      <c r="EP1570" s="206"/>
      <c r="EQ1570" s="206"/>
      <c r="ER1570" s="206"/>
      <c r="ES1570" s="206"/>
      <c r="ET1570" s="206"/>
      <c r="EU1570" s="206"/>
      <c r="EV1570" s="206"/>
      <c r="EW1570" s="206"/>
      <c r="EX1570" s="206"/>
      <c r="EY1570" s="206"/>
      <c r="EZ1570" s="206"/>
      <c r="FA1570" s="206"/>
      <c r="FB1570" s="206"/>
      <c r="FC1570" s="206"/>
      <c r="FD1570" s="206"/>
      <c r="FE1570" s="206"/>
      <c r="FF1570" s="206"/>
      <c r="FG1570" s="206"/>
      <c r="FH1570" s="206"/>
      <c r="FI1570" s="206"/>
      <c r="FJ1570" s="206"/>
      <c r="FK1570" s="206"/>
      <c r="FL1570" s="206"/>
      <c r="FM1570" s="206"/>
      <c r="FN1570" s="206"/>
      <c r="FO1570" s="206"/>
      <c r="FP1570" s="206"/>
      <c r="FQ1570" s="206"/>
      <c r="FR1570" s="206"/>
      <c r="FS1570" s="206"/>
      <c r="FT1570" s="206"/>
      <c r="FU1570" s="206"/>
      <c r="FV1570" s="206"/>
      <c r="FW1570" s="206"/>
      <c r="FX1570" s="206"/>
      <c r="FY1570" s="206"/>
      <c r="FZ1570" s="206"/>
      <c r="GA1570" s="206"/>
      <c r="GB1570" s="206"/>
      <c r="GC1570" s="206"/>
      <c r="GD1570" s="206"/>
      <c r="GE1570" s="206"/>
      <c r="GF1570" s="206"/>
      <c r="GG1570" s="206"/>
      <c r="GH1570" s="206"/>
      <c r="GI1570" s="206"/>
      <c r="GJ1570" s="206"/>
      <c r="GK1570" s="206"/>
      <c r="GL1570" s="206"/>
      <c r="GM1570" s="206"/>
      <c r="GN1570" s="206"/>
      <c r="GO1570" s="206"/>
      <c r="GP1570" s="206"/>
      <c r="GQ1570" s="206"/>
      <c r="GR1570" s="206"/>
      <c r="GS1570" s="206"/>
      <c r="GT1570" s="206"/>
      <c r="GU1570" s="206"/>
      <c r="GV1570" s="206"/>
      <c r="GW1570" s="206"/>
      <c r="GX1570" s="206"/>
      <c r="GY1570" s="206"/>
      <c r="GZ1570" s="206"/>
      <c r="HA1570" s="206"/>
      <c r="HB1570" s="206"/>
      <c r="HC1570" s="206"/>
      <c r="HD1570" s="206"/>
      <c r="HE1570" s="206"/>
      <c r="HF1570" s="206"/>
      <c r="HG1570" s="206"/>
      <c r="HH1570" s="206"/>
      <c r="HI1570" s="206"/>
      <c r="HJ1570" s="206"/>
      <c r="HK1570" s="206"/>
      <c r="HL1570" s="206"/>
      <c r="HM1570" s="206"/>
      <c r="HN1570" s="206"/>
      <c r="HO1570" s="206"/>
      <c r="HP1570" s="206"/>
      <c r="HQ1570" s="206"/>
      <c r="HR1570" s="206"/>
      <c r="HS1570" s="206"/>
      <c r="HT1570" s="206"/>
      <c r="HU1570" s="206"/>
      <c r="HV1570" s="206"/>
      <c r="HW1570" s="206"/>
      <c r="HX1570" s="206"/>
      <c r="HY1570" s="206"/>
      <c r="HZ1570" s="206"/>
      <c r="IA1570" s="206"/>
      <c r="IB1570" s="206"/>
      <c r="IC1570" s="206"/>
      <c r="ID1570" s="206"/>
      <c r="IE1570" s="206"/>
      <c r="IF1570" s="206"/>
      <c r="IG1570" s="206"/>
      <c r="IH1570" s="206"/>
      <c r="II1570" s="206"/>
      <c r="IJ1570" s="206"/>
      <c r="IK1570" s="206"/>
      <c r="IL1570" s="206"/>
      <c r="IM1570" s="206"/>
      <c r="IN1570" s="206"/>
      <c r="IO1570" s="206"/>
      <c r="IP1570" s="206"/>
      <c r="IQ1570" s="206"/>
      <c r="IR1570" s="206"/>
      <c r="IS1570" s="206"/>
      <c r="IT1570" s="206"/>
      <c r="IU1570" s="206"/>
      <c r="IV1570" s="206"/>
      <c r="IW1570" s="206"/>
      <c r="IX1570" s="206"/>
      <c r="IY1570" s="206"/>
      <c r="IZ1570" s="206"/>
      <c r="JA1570" s="206"/>
      <c r="JB1570" s="206"/>
      <c r="JC1570" s="206"/>
      <c r="JD1570" s="206"/>
      <c r="JE1570" s="206"/>
      <c r="JF1570" s="206"/>
      <c r="JG1570" s="206"/>
      <c r="JH1570" s="206"/>
      <c r="JI1570" s="206"/>
      <c r="JJ1570" s="206"/>
      <c r="JK1570" s="206"/>
      <c r="JL1570" s="206"/>
      <c r="JM1570" s="206"/>
      <c r="JN1570" s="206"/>
      <c r="JO1570" s="206"/>
      <c r="JP1570" s="206"/>
      <c r="JQ1570" s="206"/>
      <c r="JR1570" s="206"/>
      <c r="JS1570" s="206"/>
      <c r="JT1570" s="206"/>
      <c r="JU1570" s="206"/>
      <c r="JV1570" s="206"/>
      <c r="JW1570" s="206"/>
      <c r="JX1570" s="206"/>
      <c r="JY1570" s="206"/>
      <c r="JZ1570" s="206"/>
      <c r="KA1570" s="206"/>
      <c r="KB1570" s="206"/>
      <c r="KC1570" s="206"/>
      <c r="KD1570" s="206"/>
      <c r="KE1570" s="206"/>
      <c r="KF1570" s="206"/>
      <c r="KG1570" s="206"/>
      <c r="KH1570" s="206"/>
      <c r="KI1570" s="206"/>
      <c r="KJ1570" s="206"/>
      <c r="KK1570" s="206"/>
      <c r="KL1570" s="206"/>
      <c r="KM1570" s="206"/>
      <c r="KN1570" s="206"/>
      <c r="KO1570" s="206"/>
      <c r="KP1570" s="206"/>
      <c r="KQ1570" s="206"/>
      <c r="KR1570" s="206"/>
      <c r="KS1570" s="206"/>
      <c r="KT1570" s="206"/>
      <c r="KU1570" s="206"/>
      <c r="KV1570" s="206"/>
      <c r="KW1570" s="206"/>
      <c r="KX1570" s="206"/>
      <c r="KY1570" s="206"/>
      <c r="KZ1570" s="206"/>
      <c r="LA1570" s="206"/>
      <c r="LB1570" s="206"/>
      <c r="LC1570" s="206"/>
      <c r="LD1570" s="206"/>
      <c r="LE1570" s="206"/>
      <c r="LF1570" s="206"/>
      <c r="LG1570" s="206"/>
      <c r="LH1570" s="206"/>
      <c r="LI1570" s="206"/>
      <c r="LJ1570" s="206"/>
      <c r="LK1570" s="206"/>
      <c r="LL1570" s="206"/>
      <c r="LM1570" s="206"/>
      <c r="LN1570" s="206"/>
      <c r="LO1570" s="206"/>
      <c r="LP1570" s="206"/>
      <c r="LQ1570" s="206"/>
      <c r="LR1570" s="206"/>
      <c r="LS1570" s="206"/>
      <c r="LT1570" s="206"/>
      <c r="LU1570" s="206"/>
      <c r="LV1570" s="206"/>
      <c r="LW1570" s="206"/>
      <c r="LX1570" s="206"/>
      <c r="LY1570" s="206"/>
      <c r="LZ1570" s="206"/>
      <c r="MA1570" s="206"/>
      <c r="MB1570" s="206"/>
      <c r="MC1570" s="206"/>
      <c r="MD1570" s="206"/>
      <c r="ME1570" s="206"/>
      <c r="MF1570" s="206"/>
      <c r="MG1570" s="206"/>
      <c r="MH1570" s="206"/>
      <c r="MI1570" s="206"/>
      <c r="MJ1570" s="206"/>
      <c r="MK1570" s="206"/>
      <c r="ML1570" s="206"/>
      <c r="MM1570" s="206"/>
      <c r="MN1570" s="206"/>
      <c r="MO1570" s="206"/>
      <c r="MP1570" s="206"/>
      <c r="MQ1570" s="206"/>
      <c r="MR1570" s="206"/>
      <c r="MS1570" s="206"/>
      <c r="MT1570" s="206"/>
      <c r="MU1570" s="206"/>
      <c r="MV1570" s="206"/>
      <c r="MW1570" s="206"/>
      <c r="MX1570" s="206"/>
      <c r="MY1570" s="206"/>
      <c r="MZ1570" s="206"/>
      <c r="NA1570" s="206"/>
      <c r="NB1570" s="206"/>
      <c r="NC1570" s="206"/>
      <c r="ND1570" s="206"/>
      <c r="NE1570" s="206"/>
      <c r="NF1570" s="206"/>
      <c r="NG1570" s="206"/>
      <c r="NH1570" s="206"/>
      <c r="NI1570" s="206"/>
      <c r="NJ1570" s="206"/>
      <c r="NK1570" s="206"/>
      <c r="NL1570" s="206"/>
      <c r="NM1570" s="206"/>
      <c r="NN1570" s="206"/>
      <c r="NO1570" s="206"/>
      <c r="NP1570" s="206"/>
      <c r="NQ1570" s="206"/>
      <c r="NR1570" s="206"/>
      <c r="NS1570" s="206"/>
      <c r="NT1570" s="206"/>
      <c r="NU1570" s="206"/>
      <c r="NV1570" s="206"/>
      <c r="NW1570" s="206"/>
      <c r="NX1570" s="206"/>
      <c r="NY1570" s="206"/>
      <c r="NZ1570" s="206"/>
      <c r="OA1570" s="206"/>
      <c r="OB1570" s="206"/>
      <c r="OC1570" s="206"/>
      <c r="OD1570" s="206"/>
      <c r="OE1570" s="206"/>
      <c r="OF1570" s="206"/>
      <c r="OG1570" s="206"/>
      <c r="OH1570" s="206"/>
      <c r="OI1570" s="206"/>
      <c r="OJ1570" s="206"/>
      <c r="OK1570" s="206"/>
      <c r="OL1570" s="206"/>
      <c r="OM1570" s="206"/>
      <c r="ON1570" s="206"/>
      <c r="OO1570" s="206"/>
      <c r="OP1570" s="206"/>
      <c r="OQ1570" s="206"/>
      <c r="OR1570" s="206"/>
      <c r="OS1570" s="206"/>
      <c r="OT1570" s="206"/>
      <c r="OU1570" s="206"/>
      <c r="OV1570" s="206"/>
      <c r="OW1570" s="206"/>
      <c r="OX1570" s="206"/>
      <c r="OY1570" s="206"/>
      <c r="OZ1570" s="206"/>
      <c r="PA1570" s="206"/>
      <c r="PB1570" s="206"/>
      <c r="PC1570" s="206"/>
      <c r="PD1570" s="206"/>
      <c r="PE1570" s="206"/>
      <c r="PF1570" s="206"/>
      <c r="PG1570" s="206"/>
      <c r="PH1570" s="206"/>
      <c r="PI1570" s="206"/>
      <c r="PJ1570" s="206"/>
      <c r="PK1570" s="206"/>
      <c r="PL1570" s="206"/>
      <c r="PM1570" s="206"/>
      <c r="PN1570" s="206"/>
      <c r="PO1570" s="206"/>
      <c r="PP1570" s="206"/>
      <c r="PQ1570" s="206"/>
      <c r="PR1570" s="206"/>
      <c r="PS1570" s="206"/>
      <c r="PT1570" s="206"/>
      <c r="PU1570" s="206"/>
      <c r="PV1570" s="206"/>
      <c r="PW1570" s="206"/>
      <c r="PX1570" s="206"/>
      <c r="PY1570" s="206"/>
      <c r="PZ1570" s="206"/>
      <c r="QA1570" s="206"/>
      <c r="QB1570" s="206"/>
      <c r="QC1570" s="206"/>
      <c r="QD1570" s="206"/>
      <c r="QE1570" s="206"/>
      <c r="QF1570" s="206"/>
      <c r="QG1570" s="206"/>
      <c r="QH1570" s="206"/>
      <c r="QI1570" s="206"/>
      <c r="QJ1570" s="206"/>
      <c r="QK1570" s="206"/>
      <c r="QL1570" s="206"/>
      <c r="QM1570" s="206"/>
      <c r="QN1570" s="206"/>
      <c r="QO1570" s="206"/>
      <c r="QP1570" s="206"/>
      <c r="QQ1570" s="206"/>
      <c r="QR1570" s="206"/>
      <c r="QS1570" s="206"/>
      <c r="QT1570" s="206"/>
      <c r="QU1570" s="206"/>
      <c r="QV1570" s="206"/>
      <c r="QW1570" s="206"/>
      <c r="QX1570" s="206"/>
      <c r="QY1570" s="206"/>
      <c r="QZ1570" s="206"/>
      <c r="RA1570" s="206"/>
      <c r="RB1570" s="206"/>
      <c r="RC1570" s="206"/>
      <c r="RD1570" s="206"/>
      <c r="RE1570" s="206"/>
      <c r="RF1570" s="206"/>
      <c r="RG1570" s="206"/>
      <c r="RH1570" s="206"/>
      <c r="RI1570" s="206"/>
      <c r="RJ1570" s="206"/>
      <c r="RK1570" s="206"/>
      <c r="RL1570" s="206"/>
      <c r="RM1570" s="206"/>
      <c r="RN1570" s="206"/>
      <c r="RO1570" s="206"/>
      <c r="RP1570" s="206"/>
      <c r="RQ1570" s="206"/>
      <c r="RR1570" s="206"/>
      <c r="RS1570" s="206"/>
      <c r="RT1570" s="206"/>
      <c r="RU1570" s="206"/>
      <c r="RV1570" s="206"/>
      <c r="RW1570" s="206"/>
      <c r="RX1570" s="206"/>
      <c r="RY1570" s="206"/>
      <c r="RZ1570" s="206"/>
      <c r="SA1570" s="206"/>
      <c r="SB1570" s="206"/>
      <c r="SC1570" s="206"/>
      <c r="SD1570" s="206"/>
      <c r="SE1570" s="206"/>
      <c r="SF1570" s="206"/>
      <c r="SG1570" s="206"/>
      <c r="SH1570" s="206"/>
      <c r="SI1570" s="206"/>
      <c r="SJ1570" s="206"/>
      <c r="SK1570" s="206"/>
      <c r="SL1570" s="206"/>
      <c r="SM1570" s="206"/>
      <c r="SN1570" s="206"/>
      <c r="SO1570" s="206"/>
      <c r="SP1570" s="206"/>
      <c r="SQ1570" s="206"/>
      <c r="SR1570" s="206"/>
      <c r="SS1570" s="206"/>
      <c r="ST1570" s="206"/>
      <c r="SU1570" s="206"/>
      <c r="SV1570" s="206"/>
      <c r="SW1570" s="206"/>
      <c r="SX1570" s="206"/>
      <c r="SY1570" s="206"/>
      <c r="SZ1570" s="206"/>
      <c r="TA1570" s="206"/>
      <c r="TB1570" s="206"/>
      <c r="TC1570" s="206"/>
      <c r="TD1570" s="206"/>
      <c r="TE1570" s="206"/>
      <c r="TF1570" s="206"/>
      <c r="TG1570" s="206"/>
      <c r="TH1570" s="206"/>
      <c r="TI1570" s="206"/>
      <c r="TJ1570" s="206"/>
      <c r="TK1570" s="206"/>
      <c r="TL1570" s="206"/>
      <c r="TM1570" s="206"/>
      <c r="TN1570" s="206"/>
      <c r="TO1570" s="206"/>
      <c r="TP1570" s="206"/>
      <c r="TQ1570" s="206"/>
      <c r="TR1570" s="206"/>
      <c r="TS1570" s="206"/>
      <c r="TT1570" s="206"/>
      <c r="TU1570" s="206"/>
      <c r="TV1570" s="206"/>
      <c r="TW1570" s="206"/>
      <c r="TX1570" s="206"/>
      <c r="TY1570" s="206"/>
      <c r="TZ1570" s="206"/>
      <c r="UA1570" s="206"/>
      <c r="UB1570" s="206"/>
      <c r="UC1570" s="206"/>
      <c r="UD1570" s="206"/>
    </row>
    <row r="1571" spans="1:550" s="874" customFormat="1" ht="180" customHeight="1">
      <c r="A1571" s="924"/>
      <c r="B1571" s="1230"/>
      <c r="C1571" s="1216" t="s">
        <v>25</v>
      </c>
      <c r="D1571" s="470" t="s">
        <v>20</v>
      </c>
      <c r="E1571" s="470" t="s">
        <v>1376</v>
      </c>
      <c r="F1571" s="1230"/>
      <c r="G1571" s="501" t="s">
        <v>935</v>
      </c>
      <c r="H1571" s="930">
        <v>1014.1</v>
      </c>
      <c r="I1571" s="931">
        <v>1014.1</v>
      </c>
      <c r="J1571" s="1243">
        <v>62000</v>
      </c>
      <c r="K1571" s="809"/>
      <c r="L1571" s="932">
        <f t="shared" si="243"/>
        <v>62874200</v>
      </c>
      <c r="M1571" s="933"/>
      <c r="N1571" s="933"/>
      <c r="O1571" s="1226"/>
      <c r="P1571" s="1226"/>
      <c r="Q1571" s="1258" t="s">
        <v>1377</v>
      </c>
      <c r="R1571" s="1452"/>
      <c r="S1571" s="486"/>
      <c r="T1571" s="486"/>
      <c r="U1571" s="486"/>
      <c r="V1571" s="486"/>
      <c r="W1571" s="486"/>
      <c r="X1571" s="486"/>
      <c r="Y1571" s="486"/>
      <c r="Z1571" s="486"/>
      <c r="AA1571" s="1117">
        <f>I1571</f>
        <v>1014.1</v>
      </c>
      <c r="AB1571" s="486"/>
      <c r="AC1571" s="486"/>
      <c r="AD1571" s="486"/>
      <c r="AE1571" s="486"/>
      <c r="AF1571" s="486"/>
      <c r="AG1571" s="486"/>
      <c r="AH1571" s="486"/>
      <c r="AI1571" s="486"/>
      <c r="AJ1571" s="486"/>
      <c r="AK1571" s="486"/>
      <c r="AL1571" s="206"/>
      <c r="AM1571" s="206"/>
      <c r="AN1571" s="206"/>
      <c r="AO1571" s="206"/>
      <c r="AP1571" s="206"/>
      <c r="AQ1571" s="206"/>
      <c r="AR1571" s="206"/>
      <c r="AS1571" s="206"/>
      <c r="AT1571" s="206"/>
      <c r="AU1571" s="206"/>
      <c r="AV1571" s="206"/>
      <c r="AW1571" s="206"/>
      <c r="AX1571" s="206"/>
      <c r="AY1571" s="206"/>
      <c r="AZ1571" s="206"/>
      <c r="BA1571" s="206"/>
      <c r="BB1571" s="206"/>
      <c r="BC1571" s="206"/>
      <c r="BD1571" s="206"/>
      <c r="BE1571" s="206"/>
      <c r="BF1571" s="206"/>
      <c r="BG1571" s="206"/>
      <c r="BH1571" s="206"/>
      <c r="BI1571" s="206"/>
      <c r="BJ1571" s="206"/>
      <c r="BK1571" s="206"/>
      <c r="BL1571" s="206"/>
      <c r="BM1571" s="206"/>
      <c r="BN1571" s="206"/>
      <c r="BO1571" s="206"/>
      <c r="BP1571" s="206"/>
      <c r="BQ1571" s="206"/>
      <c r="BR1571" s="206"/>
      <c r="BS1571" s="206"/>
      <c r="BT1571" s="206"/>
      <c r="BU1571" s="206"/>
      <c r="BV1571" s="206"/>
      <c r="BW1571" s="206"/>
      <c r="BX1571" s="206"/>
      <c r="BY1571" s="206"/>
      <c r="BZ1571" s="206"/>
      <c r="CA1571" s="206"/>
      <c r="CB1571" s="206"/>
      <c r="CC1571" s="206"/>
      <c r="CD1571" s="206"/>
      <c r="CE1571" s="206"/>
      <c r="CF1571" s="206"/>
      <c r="CG1571" s="206"/>
      <c r="CH1571" s="206"/>
      <c r="CI1571" s="206"/>
      <c r="CJ1571" s="206"/>
      <c r="CK1571" s="206"/>
      <c r="CL1571" s="206"/>
      <c r="CM1571" s="206"/>
      <c r="CN1571" s="206"/>
      <c r="CO1571" s="206"/>
      <c r="CP1571" s="206"/>
      <c r="CQ1571" s="206"/>
      <c r="CR1571" s="206"/>
      <c r="CS1571" s="206"/>
      <c r="CT1571" s="206"/>
      <c r="CU1571" s="206"/>
      <c r="CV1571" s="206"/>
      <c r="CW1571" s="206"/>
      <c r="CX1571" s="206"/>
      <c r="CY1571" s="206"/>
      <c r="CZ1571" s="206"/>
      <c r="DA1571" s="206"/>
      <c r="DB1571" s="206"/>
      <c r="DC1571" s="206"/>
      <c r="DD1571" s="206"/>
      <c r="DE1571" s="206"/>
      <c r="DF1571" s="206"/>
      <c r="DG1571" s="206"/>
      <c r="DH1571" s="206"/>
      <c r="DI1571" s="206"/>
      <c r="DJ1571" s="206"/>
      <c r="DK1571" s="206"/>
      <c r="DL1571" s="206"/>
      <c r="DM1571" s="206"/>
      <c r="DN1571" s="206"/>
      <c r="DO1571" s="206"/>
      <c r="DP1571" s="206"/>
      <c r="DQ1571" s="206"/>
      <c r="DR1571" s="206"/>
      <c r="DS1571" s="206"/>
      <c r="DT1571" s="206"/>
      <c r="DU1571" s="206"/>
      <c r="DV1571" s="206"/>
      <c r="DW1571" s="206"/>
      <c r="DX1571" s="206"/>
      <c r="DY1571" s="206"/>
      <c r="DZ1571" s="206"/>
      <c r="EA1571" s="206"/>
      <c r="EB1571" s="206"/>
      <c r="EC1571" s="206"/>
      <c r="ED1571" s="206"/>
      <c r="EE1571" s="206"/>
      <c r="EF1571" s="206"/>
      <c r="EG1571" s="206"/>
      <c r="EH1571" s="206"/>
      <c r="EI1571" s="206"/>
      <c r="EJ1571" s="206"/>
      <c r="EK1571" s="206"/>
      <c r="EL1571" s="206"/>
      <c r="EM1571" s="206"/>
      <c r="EN1571" s="206"/>
      <c r="EO1571" s="206"/>
      <c r="EP1571" s="206"/>
      <c r="EQ1571" s="206"/>
      <c r="ER1571" s="206"/>
      <c r="ES1571" s="206"/>
      <c r="ET1571" s="206"/>
      <c r="EU1571" s="206"/>
      <c r="EV1571" s="206"/>
      <c r="EW1571" s="206"/>
      <c r="EX1571" s="206"/>
      <c r="EY1571" s="206"/>
      <c r="EZ1571" s="206"/>
      <c r="FA1571" s="206"/>
      <c r="FB1571" s="206"/>
      <c r="FC1571" s="206"/>
      <c r="FD1571" s="206"/>
      <c r="FE1571" s="206"/>
      <c r="FF1571" s="206"/>
      <c r="FG1571" s="206"/>
      <c r="FH1571" s="206"/>
      <c r="FI1571" s="206"/>
      <c r="FJ1571" s="206"/>
      <c r="FK1571" s="206"/>
      <c r="FL1571" s="206"/>
      <c r="FM1571" s="206"/>
      <c r="FN1571" s="206"/>
      <c r="FO1571" s="206"/>
      <c r="FP1571" s="206"/>
      <c r="FQ1571" s="206"/>
      <c r="FR1571" s="206"/>
      <c r="FS1571" s="206"/>
      <c r="FT1571" s="206"/>
      <c r="FU1571" s="206"/>
      <c r="FV1571" s="206"/>
      <c r="FW1571" s="206"/>
      <c r="FX1571" s="206"/>
      <c r="FY1571" s="206"/>
      <c r="FZ1571" s="206"/>
      <c r="GA1571" s="206"/>
      <c r="GB1571" s="206"/>
      <c r="GC1571" s="206"/>
      <c r="GD1571" s="206"/>
      <c r="GE1571" s="206"/>
      <c r="GF1571" s="206"/>
      <c r="GG1571" s="206"/>
      <c r="GH1571" s="206"/>
      <c r="GI1571" s="206"/>
      <c r="GJ1571" s="206"/>
      <c r="GK1571" s="206"/>
      <c r="GL1571" s="206"/>
      <c r="GM1571" s="206"/>
      <c r="GN1571" s="206"/>
      <c r="GO1571" s="206"/>
      <c r="GP1571" s="206"/>
      <c r="GQ1571" s="206"/>
      <c r="GR1571" s="206"/>
      <c r="GS1571" s="206"/>
      <c r="GT1571" s="206"/>
      <c r="GU1571" s="206"/>
      <c r="GV1571" s="206"/>
      <c r="GW1571" s="206"/>
      <c r="GX1571" s="206"/>
      <c r="GY1571" s="206"/>
      <c r="GZ1571" s="206"/>
      <c r="HA1571" s="206"/>
      <c r="HB1571" s="206"/>
      <c r="HC1571" s="206"/>
      <c r="HD1571" s="206"/>
      <c r="HE1571" s="206"/>
      <c r="HF1571" s="206"/>
      <c r="HG1571" s="206"/>
      <c r="HH1571" s="206"/>
      <c r="HI1571" s="206"/>
      <c r="HJ1571" s="206"/>
      <c r="HK1571" s="206"/>
      <c r="HL1571" s="206"/>
      <c r="HM1571" s="206"/>
      <c r="HN1571" s="206"/>
      <c r="HO1571" s="206"/>
      <c r="HP1571" s="206"/>
      <c r="HQ1571" s="206"/>
      <c r="HR1571" s="206"/>
      <c r="HS1571" s="206"/>
      <c r="HT1571" s="206"/>
      <c r="HU1571" s="206"/>
      <c r="HV1571" s="206"/>
      <c r="HW1571" s="206"/>
      <c r="HX1571" s="206"/>
      <c r="HY1571" s="206"/>
      <c r="HZ1571" s="206"/>
      <c r="IA1571" s="206"/>
      <c r="IB1571" s="206"/>
      <c r="IC1571" s="206"/>
      <c r="ID1571" s="206"/>
      <c r="IE1571" s="206"/>
      <c r="IF1571" s="206"/>
      <c r="IG1571" s="206"/>
      <c r="IH1571" s="206"/>
      <c r="II1571" s="206"/>
      <c r="IJ1571" s="206"/>
      <c r="IK1571" s="206"/>
      <c r="IL1571" s="206"/>
      <c r="IM1571" s="206"/>
      <c r="IN1571" s="206"/>
      <c r="IO1571" s="206"/>
      <c r="IP1571" s="206"/>
      <c r="IQ1571" s="206"/>
      <c r="IR1571" s="206"/>
      <c r="IS1571" s="206"/>
      <c r="IT1571" s="206"/>
      <c r="IU1571" s="206"/>
      <c r="IV1571" s="206"/>
      <c r="IW1571" s="206"/>
      <c r="IX1571" s="206"/>
      <c r="IY1571" s="206"/>
      <c r="IZ1571" s="206"/>
      <c r="JA1571" s="206"/>
      <c r="JB1571" s="206"/>
      <c r="JC1571" s="206"/>
      <c r="JD1571" s="206"/>
      <c r="JE1571" s="206"/>
      <c r="JF1571" s="206"/>
      <c r="JG1571" s="206"/>
      <c r="JH1571" s="206"/>
      <c r="JI1571" s="206"/>
      <c r="JJ1571" s="206"/>
      <c r="JK1571" s="206"/>
      <c r="JL1571" s="206"/>
      <c r="JM1571" s="206"/>
      <c r="JN1571" s="206"/>
      <c r="JO1571" s="206"/>
      <c r="JP1571" s="206"/>
      <c r="JQ1571" s="206"/>
      <c r="JR1571" s="206"/>
      <c r="JS1571" s="206"/>
      <c r="JT1571" s="206"/>
      <c r="JU1571" s="206"/>
      <c r="JV1571" s="206"/>
      <c r="JW1571" s="206"/>
      <c r="JX1571" s="206"/>
      <c r="JY1571" s="206"/>
      <c r="JZ1571" s="206"/>
      <c r="KA1571" s="206"/>
      <c r="KB1571" s="206"/>
      <c r="KC1571" s="206"/>
      <c r="KD1571" s="206"/>
      <c r="KE1571" s="206"/>
      <c r="KF1571" s="206"/>
      <c r="KG1571" s="206"/>
      <c r="KH1571" s="206"/>
      <c r="KI1571" s="206"/>
      <c r="KJ1571" s="206"/>
      <c r="KK1571" s="206"/>
      <c r="KL1571" s="206"/>
      <c r="KM1571" s="206"/>
      <c r="KN1571" s="206"/>
      <c r="KO1571" s="206"/>
      <c r="KP1571" s="206"/>
      <c r="KQ1571" s="206"/>
      <c r="KR1571" s="206"/>
      <c r="KS1571" s="206"/>
      <c r="KT1571" s="206"/>
      <c r="KU1571" s="206"/>
      <c r="KV1571" s="206"/>
      <c r="KW1571" s="206"/>
      <c r="KX1571" s="206"/>
      <c r="KY1571" s="206"/>
      <c r="KZ1571" s="206"/>
      <c r="LA1571" s="206"/>
      <c r="LB1571" s="206"/>
      <c r="LC1571" s="206"/>
      <c r="LD1571" s="206"/>
      <c r="LE1571" s="206"/>
      <c r="LF1571" s="206"/>
      <c r="LG1571" s="206"/>
      <c r="LH1571" s="206"/>
      <c r="LI1571" s="206"/>
      <c r="LJ1571" s="206"/>
      <c r="LK1571" s="206"/>
      <c r="LL1571" s="206"/>
      <c r="LM1571" s="206"/>
      <c r="LN1571" s="206"/>
      <c r="LO1571" s="206"/>
      <c r="LP1571" s="206"/>
      <c r="LQ1571" s="206"/>
      <c r="LR1571" s="206"/>
      <c r="LS1571" s="206"/>
      <c r="LT1571" s="206"/>
      <c r="LU1571" s="206"/>
      <c r="LV1571" s="206"/>
      <c r="LW1571" s="206"/>
      <c r="LX1571" s="206"/>
      <c r="LY1571" s="206"/>
      <c r="LZ1571" s="206"/>
      <c r="MA1571" s="206"/>
      <c r="MB1571" s="206"/>
      <c r="MC1571" s="206"/>
      <c r="MD1571" s="206"/>
      <c r="ME1571" s="206"/>
      <c r="MF1571" s="206"/>
      <c r="MG1571" s="206"/>
      <c r="MH1571" s="206"/>
      <c r="MI1571" s="206"/>
      <c r="MJ1571" s="206"/>
      <c r="MK1571" s="206"/>
      <c r="ML1571" s="206"/>
      <c r="MM1571" s="206"/>
      <c r="MN1571" s="206"/>
      <c r="MO1571" s="206"/>
      <c r="MP1571" s="206"/>
      <c r="MQ1571" s="206"/>
      <c r="MR1571" s="206"/>
      <c r="MS1571" s="206"/>
      <c r="MT1571" s="206"/>
      <c r="MU1571" s="206"/>
      <c r="MV1571" s="206"/>
      <c r="MW1571" s="206"/>
      <c r="MX1571" s="206"/>
      <c r="MY1571" s="206"/>
      <c r="MZ1571" s="206"/>
      <c r="NA1571" s="206"/>
      <c r="NB1571" s="206"/>
      <c r="NC1571" s="206"/>
      <c r="ND1571" s="206"/>
      <c r="NE1571" s="206"/>
      <c r="NF1571" s="206"/>
      <c r="NG1571" s="206"/>
      <c r="NH1571" s="206"/>
      <c r="NI1571" s="206"/>
      <c r="NJ1571" s="206"/>
      <c r="NK1571" s="206"/>
      <c r="NL1571" s="206"/>
      <c r="NM1571" s="206"/>
      <c r="NN1571" s="206"/>
      <c r="NO1571" s="206"/>
      <c r="NP1571" s="206"/>
      <c r="NQ1571" s="206"/>
      <c r="NR1571" s="206"/>
      <c r="NS1571" s="206"/>
      <c r="NT1571" s="206"/>
      <c r="NU1571" s="206"/>
      <c r="NV1571" s="206"/>
      <c r="NW1571" s="206"/>
      <c r="NX1571" s="206"/>
      <c r="NY1571" s="206"/>
      <c r="NZ1571" s="206"/>
      <c r="OA1571" s="206"/>
      <c r="OB1571" s="206"/>
      <c r="OC1571" s="206"/>
      <c r="OD1571" s="206"/>
      <c r="OE1571" s="206"/>
      <c r="OF1571" s="206"/>
      <c r="OG1571" s="206"/>
      <c r="OH1571" s="206"/>
      <c r="OI1571" s="206"/>
      <c r="OJ1571" s="206"/>
      <c r="OK1571" s="206"/>
      <c r="OL1571" s="206"/>
      <c r="OM1571" s="206"/>
      <c r="ON1571" s="206"/>
      <c r="OO1571" s="206"/>
      <c r="OP1571" s="206"/>
      <c r="OQ1571" s="206"/>
      <c r="OR1571" s="206"/>
      <c r="OS1571" s="206"/>
      <c r="OT1571" s="206"/>
      <c r="OU1571" s="206"/>
      <c r="OV1571" s="206"/>
      <c r="OW1571" s="206"/>
      <c r="OX1571" s="206"/>
      <c r="OY1571" s="206"/>
      <c r="OZ1571" s="206"/>
      <c r="PA1571" s="206"/>
      <c r="PB1571" s="206"/>
      <c r="PC1571" s="206"/>
      <c r="PD1571" s="206"/>
      <c r="PE1571" s="206"/>
      <c r="PF1571" s="206"/>
      <c r="PG1571" s="206"/>
      <c r="PH1571" s="206"/>
      <c r="PI1571" s="206"/>
      <c r="PJ1571" s="206"/>
      <c r="PK1571" s="206"/>
      <c r="PL1571" s="206"/>
      <c r="PM1571" s="206"/>
      <c r="PN1571" s="206"/>
      <c r="PO1571" s="206"/>
      <c r="PP1571" s="206"/>
      <c r="PQ1571" s="206"/>
      <c r="PR1571" s="206"/>
      <c r="PS1571" s="206"/>
      <c r="PT1571" s="206"/>
      <c r="PU1571" s="206"/>
      <c r="PV1571" s="206"/>
      <c r="PW1571" s="206"/>
      <c r="PX1571" s="206"/>
      <c r="PY1571" s="206"/>
      <c r="PZ1571" s="206"/>
      <c r="QA1571" s="206"/>
      <c r="QB1571" s="206"/>
      <c r="QC1571" s="206"/>
      <c r="QD1571" s="206"/>
      <c r="QE1571" s="206"/>
      <c r="QF1571" s="206"/>
      <c r="QG1571" s="206"/>
      <c r="QH1571" s="206"/>
      <c r="QI1571" s="206"/>
      <c r="QJ1571" s="206"/>
      <c r="QK1571" s="206"/>
      <c r="QL1571" s="206"/>
      <c r="QM1571" s="206"/>
      <c r="QN1571" s="206"/>
      <c r="QO1571" s="206"/>
      <c r="QP1571" s="206"/>
      <c r="QQ1571" s="206"/>
      <c r="QR1571" s="206"/>
      <c r="QS1571" s="206"/>
      <c r="QT1571" s="206"/>
      <c r="QU1571" s="206"/>
      <c r="QV1571" s="206"/>
      <c r="QW1571" s="206"/>
      <c r="QX1571" s="206"/>
      <c r="QY1571" s="206"/>
      <c r="QZ1571" s="206"/>
      <c r="RA1571" s="206"/>
      <c r="RB1571" s="206"/>
      <c r="RC1571" s="206"/>
      <c r="RD1571" s="206"/>
      <c r="RE1571" s="206"/>
      <c r="RF1571" s="206"/>
      <c r="RG1571" s="206"/>
      <c r="RH1571" s="206"/>
      <c r="RI1571" s="206"/>
      <c r="RJ1571" s="206"/>
      <c r="RK1571" s="206"/>
      <c r="RL1571" s="206"/>
      <c r="RM1571" s="206"/>
      <c r="RN1571" s="206"/>
      <c r="RO1571" s="206"/>
      <c r="RP1571" s="206"/>
      <c r="RQ1571" s="206"/>
      <c r="RR1571" s="206"/>
      <c r="RS1571" s="206"/>
      <c r="RT1571" s="206"/>
      <c r="RU1571" s="206"/>
      <c r="RV1571" s="206"/>
      <c r="RW1571" s="206"/>
      <c r="RX1571" s="206"/>
      <c r="RY1571" s="206"/>
      <c r="RZ1571" s="206"/>
      <c r="SA1571" s="206"/>
      <c r="SB1571" s="206"/>
      <c r="SC1571" s="206"/>
      <c r="SD1571" s="206"/>
      <c r="SE1571" s="206"/>
      <c r="SF1571" s="206"/>
      <c r="SG1571" s="206"/>
      <c r="SH1571" s="206"/>
      <c r="SI1571" s="206"/>
      <c r="SJ1571" s="206"/>
      <c r="SK1571" s="206"/>
      <c r="SL1571" s="206"/>
      <c r="SM1571" s="206"/>
      <c r="SN1571" s="206"/>
      <c r="SO1571" s="206"/>
      <c r="SP1571" s="206"/>
      <c r="SQ1571" s="206"/>
      <c r="SR1571" s="206"/>
      <c r="SS1571" s="206"/>
      <c r="ST1571" s="206"/>
      <c r="SU1571" s="206"/>
      <c r="SV1571" s="206"/>
      <c r="SW1571" s="206"/>
      <c r="SX1571" s="206"/>
      <c r="SY1571" s="206"/>
      <c r="SZ1571" s="206"/>
      <c r="TA1571" s="206"/>
      <c r="TB1571" s="206"/>
      <c r="TC1571" s="206"/>
      <c r="TD1571" s="206"/>
      <c r="TE1571" s="206"/>
      <c r="TF1571" s="206"/>
      <c r="TG1571" s="206"/>
      <c r="TH1571" s="206"/>
      <c r="TI1571" s="206"/>
      <c r="TJ1571" s="206"/>
      <c r="TK1571" s="206"/>
      <c r="TL1571" s="206"/>
      <c r="TM1571" s="206"/>
      <c r="TN1571" s="206"/>
      <c r="TO1571" s="206"/>
      <c r="TP1571" s="206"/>
      <c r="TQ1571" s="206"/>
      <c r="TR1571" s="206"/>
      <c r="TS1571" s="206"/>
      <c r="TT1571" s="206"/>
      <c r="TU1571" s="206"/>
      <c r="TV1571" s="206"/>
      <c r="TW1571" s="206"/>
      <c r="TX1571" s="206"/>
      <c r="TY1571" s="206"/>
      <c r="TZ1571" s="206"/>
      <c r="UA1571" s="206"/>
      <c r="UB1571" s="206"/>
      <c r="UC1571" s="206"/>
      <c r="UD1571" s="206"/>
    </row>
    <row r="1572" spans="1:550" s="874" customFormat="1" ht="409.5" customHeight="1">
      <c r="A1572" s="924"/>
      <c r="B1572" s="1230"/>
      <c r="C1572" s="1227" t="s">
        <v>23</v>
      </c>
      <c r="D1572" s="470" t="s">
        <v>70</v>
      </c>
      <c r="E1572" s="470" t="s">
        <v>1378</v>
      </c>
      <c r="F1572" s="1230"/>
      <c r="G1572" s="501" t="s">
        <v>935</v>
      </c>
      <c r="H1572" s="930">
        <v>213</v>
      </c>
      <c r="I1572" s="931">
        <v>213</v>
      </c>
      <c r="J1572" s="1243">
        <v>62000</v>
      </c>
      <c r="K1572" s="809"/>
      <c r="L1572" s="932">
        <f t="shared" si="243"/>
        <v>13206000</v>
      </c>
      <c r="M1572" s="933"/>
      <c r="N1572" s="933"/>
      <c r="O1572" s="1226"/>
      <c r="P1572" s="1226"/>
      <c r="Q1572" s="1258" t="s">
        <v>1379</v>
      </c>
      <c r="R1572" s="1447" t="s">
        <v>866</v>
      </c>
      <c r="S1572" s="486"/>
      <c r="T1572" s="486"/>
      <c r="U1572" s="486"/>
      <c r="V1572" s="486"/>
      <c r="W1572" s="1117">
        <f>I1572</f>
        <v>213</v>
      </c>
      <c r="X1572" s="486"/>
      <c r="Y1572" s="486"/>
      <c r="Z1572" s="486"/>
      <c r="AA1572" s="486"/>
      <c r="AB1572" s="486"/>
      <c r="AC1572" s="486"/>
      <c r="AD1572" s="486"/>
      <c r="AE1572" s="486"/>
      <c r="AF1572" s="486"/>
      <c r="AG1572" s="486"/>
      <c r="AH1572" s="486"/>
      <c r="AI1572" s="486"/>
      <c r="AJ1572" s="486"/>
      <c r="AK1572" s="486"/>
      <c r="AL1572" s="206"/>
      <c r="AM1572" s="206"/>
      <c r="AN1572" s="206"/>
      <c r="AO1572" s="206"/>
      <c r="AP1572" s="206"/>
      <c r="AQ1572" s="206"/>
      <c r="AR1572" s="206"/>
      <c r="AS1572" s="206"/>
      <c r="AT1572" s="206"/>
      <c r="AU1572" s="206"/>
      <c r="AV1572" s="206"/>
      <c r="AW1572" s="206"/>
      <c r="AX1572" s="206"/>
      <c r="AY1572" s="206"/>
      <c r="AZ1572" s="206"/>
      <c r="BA1572" s="206"/>
      <c r="BB1572" s="206"/>
      <c r="BC1572" s="206"/>
      <c r="BD1572" s="206"/>
      <c r="BE1572" s="206"/>
      <c r="BF1572" s="206"/>
      <c r="BG1572" s="206"/>
      <c r="BH1572" s="206"/>
      <c r="BI1572" s="206"/>
      <c r="BJ1572" s="206"/>
      <c r="BK1572" s="206"/>
      <c r="BL1572" s="206"/>
      <c r="BM1572" s="206"/>
      <c r="BN1572" s="206"/>
      <c r="BO1572" s="206"/>
      <c r="BP1572" s="206"/>
      <c r="BQ1572" s="206"/>
      <c r="BR1572" s="206"/>
      <c r="BS1572" s="206"/>
      <c r="BT1572" s="206"/>
      <c r="BU1572" s="206"/>
      <c r="BV1572" s="206"/>
      <c r="BW1572" s="206"/>
      <c r="BX1572" s="206"/>
      <c r="BY1572" s="206"/>
      <c r="BZ1572" s="206"/>
      <c r="CA1572" s="206"/>
      <c r="CB1572" s="206"/>
      <c r="CC1572" s="206"/>
      <c r="CD1572" s="206"/>
      <c r="CE1572" s="206"/>
      <c r="CF1572" s="206"/>
      <c r="CG1572" s="206"/>
      <c r="CH1572" s="206"/>
      <c r="CI1572" s="206"/>
      <c r="CJ1572" s="206"/>
      <c r="CK1572" s="206"/>
      <c r="CL1572" s="206"/>
      <c r="CM1572" s="206"/>
      <c r="CN1572" s="206"/>
      <c r="CO1572" s="206"/>
      <c r="CP1572" s="206"/>
      <c r="CQ1572" s="206"/>
      <c r="CR1572" s="206"/>
      <c r="CS1572" s="206"/>
      <c r="CT1572" s="206"/>
      <c r="CU1572" s="206"/>
      <c r="CV1572" s="206"/>
      <c r="CW1572" s="206"/>
      <c r="CX1572" s="206"/>
      <c r="CY1572" s="206"/>
      <c r="CZ1572" s="206"/>
      <c r="DA1572" s="206"/>
      <c r="DB1572" s="206"/>
      <c r="DC1572" s="206"/>
      <c r="DD1572" s="206"/>
      <c r="DE1572" s="206"/>
      <c r="DF1572" s="206"/>
      <c r="DG1572" s="206"/>
      <c r="DH1572" s="206"/>
      <c r="DI1572" s="206"/>
      <c r="DJ1572" s="206"/>
      <c r="DK1572" s="206"/>
      <c r="DL1572" s="206"/>
      <c r="DM1572" s="206"/>
      <c r="DN1572" s="206"/>
      <c r="DO1572" s="206"/>
      <c r="DP1572" s="206"/>
      <c r="DQ1572" s="206"/>
      <c r="DR1572" s="206"/>
      <c r="DS1572" s="206"/>
      <c r="DT1572" s="206"/>
      <c r="DU1572" s="206"/>
      <c r="DV1572" s="206"/>
      <c r="DW1572" s="206"/>
      <c r="DX1572" s="206"/>
      <c r="DY1572" s="206"/>
      <c r="DZ1572" s="206"/>
      <c r="EA1572" s="206"/>
      <c r="EB1572" s="206"/>
      <c r="EC1572" s="206"/>
      <c r="ED1572" s="206"/>
      <c r="EE1572" s="206"/>
      <c r="EF1572" s="206"/>
      <c r="EG1572" s="206"/>
      <c r="EH1572" s="206"/>
      <c r="EI1572" s="206"/>
      <c r="EJ1572" s="206"/>
      <c r="EK1572" s="206"/>
      <c r="EL1572" s="206"/>
      <c r="EM1572" s="206"/>
      <c r="EN1572" s="206"/>
      <c r="EO1572" s="206"/>
      <c r="EP1572" s="206"/>
      <c r="EQ1572" s="206"/>
      <c r="ER1572" s="206"/>
      <c r="ES1572" s="206"/>
      <c r="ET1572" s="206"/>
      <c r="EU1572" s="206"/>
      <c r="EV1572" s="206"/>
      <c r="EW1572" s="206"/>
      <c r="EX1572" s="206"/>
      <c r="EY1572" s="206"/>
      <c r="EZ1572" s="206"/>
      <c r="FA1572" s="206"/>
      <c r="FB1572" s="206"/>
      <c r="FC1572" s="206"/>
      <c r="FD1572" s="206"/>
      <c r="FE1572" s="206"/>
      <c r="FF1572" s="206"/>
      <c r="FG1572" s="206"/>
      <c r="FH1572" s="206"/>
      <c r="FI1572" s="206"/>
      <c r="FJ1572" s="206"/>
      <c r="FK1572" s="206"/>
      <c r="FL1572" s="206"/>
      <c r="FM1572" s="206"/>
      <c r="FN1572" s="206"/>
      <c r="FO1572" s="206"/>
      <c r="FP1572" s="206"/>
      <c r="FQ1572" s="206"/>
      <c r="FR1572" s="206"/>
      <c r="FS1572" s="206"/>
      <c r="FT1572" s="206"/>
      <c r="FU1572" s="206"/>
      <c r="FV1572" s="206"/>
      <c r="FW1572" s="206"/>
      <c r="FX1572" s="206"/>
      <c r="FY1572" s="206"/>
      <c r="FZ1572" s="206"/>
      <c r="GA1572" s="206"/>
      <c r="GB1572" s="206"/>
      <c r="GC1572" s="206"/>
      <c r="GD1572" s="206"/>
      <c r="GE1572" s="206"/>
      <c r="GF1572" s="206"/>
      <c r="GG1572" s="206"/>
      <c r="GH1572" s="206"/>
      <c r="GI1572" s="206"/>
      <c r="GJ1572" s="206"/>
      <c r="GK1572" s="206"/>
      <c r="GL1572" s="206"/>
      <c r="GM1572" s="206"/>
      <c r="GN1572" s="206"/>
      <c r="GO1572" s="206"/>
      <c r="GP1572" s="206"/>
      <c r="GQ1572" s="206"/>
      <c r="GR1572" s="206"/>
      <c r="GS1572" s="206"/>
      <c r="GT1572" s="206"/>
      <c r="GU1572" s="206"/>
      <c r="GV1572" s="206"/>
      <c r="GW1572" s="206"/>
      <c r="GX1572" s="206"/>
      <c r="GY1572" s="206"/>
      <c r="GZ1572" s="206"/>
      <c r="HA1572" s="206"/>
      <c r="HB1572" s="206"/>
      <c r="HC1572" s="206"/>
      <c r="HD1572" s="206"/>
      <c r="HE1572" s="206"/>
      <c r="HF1572" s="206"/>
      <c r="HG1572" s="206"/>
      <c r="HH1572" s="206"/>
      <c r="HI1572" s="206"/>
      <c r="HJ1572" s="206"/>
      <c r="HK1572" s="206"/>
      <c r="HL1572" s="206"/>
      <c r="HM1572" s="206"/>
      <c r="HN1572" s="206"/>
      <c r="HO1572" s="206"/>
      <c r="HP1572" s="206"/>
      <c r="HQ1572" s="206"/>
      <c r="HR1572" s="206"/>
      <c r="HS1572" s="206"/>
      <c r="HT1572" s="206"/>
      <c r="HU1572" s="206"/>
      <c r="HV1572" s="206"/>
      <c r="HW1572" s="206"/>
      <c r="HX1572" s="206"/>
      <c r="HY1572" s="206"/>
      <c r="HZ1572" s="206"/>
      <c r="IA1572" s="206"/>
      <c r="IB1572" s="206"/>
      <c r="IC1572" s="206"/>
      <c r="ID1572" s="206"/>
      <c r="IE1572" s="206"/>
      <c r="IF1572" s="206"/>
      <c r="IG1572" s="206"/>
      <c r="IH1572" s="206"/>
      <c r="II1572" s="206"/>
      <c r="IJ1572" s="206"/>
      <c r="IK1572" s="206"/>
      <c r="IL1572" s="206"/>
      <c r="IM1572" s="206"/>
      <c r="IN1572" s="206"/>
      <c r="IO1572" s="206"/>
      <c r="IP1572" s="206"/>
      <c r="IQ1572" s="206"/>
      <c r="IR1572" s="206"/>
      <c r="IS1572" s="206"/>
      <c r="IT1572" s="206"/>
      <c r="IU1572" s="206"/>
      <c r="IV1572" s="206"/>
      <c r="IW1572" s="206"/>
      <c r="IX1572" s="206"/>
      <c r="IY1572" s="206"/>
      <c r="IZ1572" s="206"/>
      <c r="JA1572" s="206"/>
      <c r="JB1572" s="206"/>
      <c r="JC1572" s="206"/>
      <c r="JD1572" s="206"/>
      <c r="JE1572" s="206"/>
      <c r="JF1572" s="206"/>
      <c r="JG1572" s="206"/>
      <c r="JH1572" s="206"/>
      <c r="JI1572" s="206"/>
      <c r="JJ1572" s="206"/>
      <c r="JK1572" s="206"/>
      <c r="JL1572" s="206"/>
      <c r="JM1572" s="206"/>
      <c r="JN1572" s="206"/>
      <c r="JO1572" s="206"/>
      <c r="JP1572" s="206"/>
      <c r="JQ1572" s="206"/>
      <c r="JR1572" s="206"/>
      <c r="JS1572" s="206"/>
      <c r="JT1572" s="206"/>
      <c r="JU1572" s="206"/>
      <c r="JV1572" s="206"/>
      <c r="JW1572" s="206"/>
      <c r="JX1572" s="206"/>
      <c r="JY1572" s="206"/>
      <c r="JZ1572" s="206"/>
      <c r="KA1572" s="206"/>
      <c r="KB1572" s="206"/>
      <c r="KC1572" s="206"/>
      <c r="KD1572" s="206"/>
      <c r="KE1572" s="206"/>
      <c r="KF1572" s="206"/>
      <c r="KG1572" s="206"/>
      <c r="KH1572" s="206"/>
      <c r="KI1572" s="206"/>
      <c r="KJ1572" s="206"/>
      <c r="KK1572" s="206"/>
      <c r="KL1572" s="206"/>
      <c r="KM1572" s="206"/>
      <c r="KN1572" s="206"/>
      <c r="KO1572" s="206"/>
      <c r="KP1572" s="206"/>
      <c r="KQ1572" s="206"/>
      <c r="KR1572" s="206"/>
      <c r="KS1572" s="206"/>
      <c r="KT1572" s="206"/>
      <c r="KU1572" s="206"/>
      <c r="KV1572" s="206"/>
      <c r="KW1572" s="206"/>
      <c r="KX1572" s="206"/>
      <c r="KY1572" s="206"/>
      <c r="KZ1572" s="206"/>
      <c r="LA1572" s="206"/>
      <c r="LB1572" s="206"/>
      <c r="LC1572" s="206"/>
      <c r="LD1572" s="206"/>
      <c r="LE1572" s="206"/>
      <c r="LF1572" s="206"/>
      <c r="LG1572" s="206"/>
      <c r="LH1572" s="206"/>
      <c r="LI1572" s="206"/>
      <c r="LJ1572" s="206"/>
      <c r="LK1572" s="206"/>
      <c r="LL1572" s="206"/>
      <c r="LM1572" s="206"/>
      <c r="LN1572" s="206"/>
      <c r="LO1572" s="206"/>
      <c r="LP1572" s="206"/>
      <c r="LQ1572" s="206"/>
      <c r="LR1572" s="206"/>
      <c r="LS1572" s="206"/>
      <c r="LT1572" s="206"/>
      <c r="LU1572" s="206"/>
      <c r="LV1572" s="206"/>
      <c r="LW1572" s="206"/>
      <c r="LX1572" s="206"/>
      <c r="LY1572" s="206"/>
      <c r="LZ1572" s="206"/>
      <c r="MA1572" s="206"/>
      <c r="MB1572" s="206"/>
      <c r="MC1572" s="206"/>
      <c r="MD1572" s="206"/>
      <c r="ME1572" s="206"/>
      <c r="MF1572" s="206"/>
      <c r="MG1572" s="206"/>
      <c r="MH1572" s="206"/>
      <c r="MI1572" s="206"/>
      <c r="MJ1572" s="206"/>
      <c r="MK1572" s="206"/>
      <c r="ML1572" s="206"/>
      <c r="MM1572" s="206"/>
      <c r="MN1572" s="206"/>
      <c r="MO1572" s="206"/>
      <c r="MP1572" s="206"/>
      <c r="MQ1572" s="206"/>
      <c r="MR1572" s="206"/>
      <c r="MS1572" s="206"/>
      <c r="MT1572" s="206"/>
      <c r="MU1572" s="206"/>
      <c r="MV1572" s="206"/>
      <c r="MW1572" s="206"/>
      <c r="MX1572" s="206"/>
      <c r="MY1572" s="206"/>
      <c r="MZ1572" s="206"/>
      <c r="NA1572" s="206"/>
      <c r="NB1572" s="206"/>
      <c r="NC1572" s="206"/>
      <c r="ND1572" s="206"/>
      <c r="NE1572" s="206"/>
      <c r="NF1572" s="206"/>
      <c r="NG1572" s="206"/>
      <c r="NH1572" s="206"/>
      <c r="NI1572" s="206"/>
      <c r="NJ1572" s="206"/>
      <c r="NK1572" s="206"/>
      <c r="NL1572" s="206"/>
      <c r="NM1572" s="206"/>
      <c r="NN1572" s="206"/>
      <c r="NO1572" s="206"/>
      <c r="NP1572" s="206"/>
      <c r="NQ1572" s="206"/>
      <c r="NR1572" s="206"/>
      <c r="NS1572" s="206"/>
      <c r="NT1572" s="206"/>
      <c r="NU1572" s="206"/>
      <c r="NV1572" s="206"/>
      <c r="NW1572" s="206"/>
      <c r="NX1572" s="206"/>
      <c r="NY1572" s="206"/>
      <c r="NZ1572" s="206"/>
      <c r="OA1572" s="206"/>
      <c r="OB1572" s="206"/>
      <c r="OC1572" s="206"/>
      <c r="OD1572" s="206"/>
      <c r="OE1572" s="206"/>
      <c r="OF1572" s="206"/>
      <c r="OG1572" s="206"/>
      <c r="OH1572" s="206"/>
      <c r="OI1572" s="206"/>
      <c r="OJ1572" s="206"/>
      <c r="OK1572" s="206"/>
      <c r="OL1572" s="206"/>
      <c r="OM1572" s="206"/>
      <c r="ON1572" s="206"/>
      <c r="OO1572" s="206"/>
      <c r="OP1572" s="206"/>
      <c r="OQ1572" s="206"/>
      <c r="OR1572" s="206"/>
      <c r="OS1572" s="206"/>
      <c r="OT1572" s="206"/>
      <c r="OU1572" s="206"/>
      <c r="OV1572" s="206"/>
      <c r="OW1572" s="206"/>
      <c r="OX1572" s="206"/>
      <c r="OY1572" s="206"/>
      <c r="OZ1572" s="206"/>
      <c r="PA1572" s="206"/>
      <c r="PB1572" s="206"/>
      <c r="PC1572" s="206"/>
      <c r="PD1572" s="206"/>
      <c r="PE1572" s="206"/>
      <c r="PF1572" s="206"/>
      <c r="PG1572" s="206"/>
      <c r="PH1572" s="206"/>
      <c r="PI1572" s="206"/>
      <c r="PJ1572" s="206"/>
      <c r="PK1572" s="206"/>
      <c r="PL1572" s="206"/>
      <c r="PM1572" s="206"/>
      <c r="PN1572" s="206"/>
      <c r="PO1572" s="206"/>
      <c r="PP1572" s="206"/>
      <c r="PQ1572" s="206"/>
      <c r="PR1572" s="206"/>
      <c r="PS1572" s="206"/>
      <c r="PT1572" s="206"/>
      <c r="PU1572" s="206"/>
      <c r="PV1572" s="206"/>
      <c r="PW1572" s="206"/>
      <c r="PX1572" s="206"/>
      <c r="PY1572" s="206"/>
      <c r="PZ1572" s="206"/>
      <c r="QA1572" s="206"/>
      <c r="QB1572" s="206"/>
      <c r="QC1572" s="206"/>
      <c r="QD1572" s="206"/>
      <c r="QE1572" s="206"/>
      <c r="QF1572" s="206"/>
      <c r="QG1572" s="206"/>
      <c r="QH1572" s="206"/>
      <c r="QI1572" s="206"/>
      <c r="QJ1572" s="206"/>
      <c r="QK1572" s="206"/>
      <c r="QL1572" s="206"/>
      <c r="QM1572" s="206"/>
      <c r="QN1572" s="206"/>
      <c r="QO1572" s="206"/>
      <c r="QP1572" s="206"/>
      <c r="QQ1572" s="206"/>
      <c r="QR1572" s="206"/>
      <c r="QS1572" s="206"/>
      <c r="QT1572" s="206"/>
      <c r="QU1572" s="206"/>
      <c r="QV1572" s="206"/>
      <c r="QW1572" s="206"/>
      <c r="QX1572" s="206"/>
      <c r="QY1572" s="206"/>
      <c r="QZ1572" s="206"/>
      <c r="RA1572" s="206"/>
      <c r="RB1572" s="206"/>
      <c r="RC1572" s="206"/>
      <c r="RD1572" s="206"/>
      <c r="RE1572" s="206"/>
      <c r="RF1572" s="206"/>
      <c r="RG1572" s="206"/>
      <c r="RH1572" s="206"/>
      <c r="RI1572" s="206"/>
      <c r="RJ1572" s="206"/>
      <c r="RK1572" s="206"/>
      <c r="RL1572" s="206"/>
      <c r="RM1572" s="206"/>
      <c r="RN1572" s="206"/>
      <c r="RO1572" s="206"/>
      <c r="RP1572" s="206"/>
      <c r="RQ1572" s="206"/>
      <c r="RR1572" s="206"/>
      <c r="RS1572" s="206"/>
      <c r="RT1572" s="206"/>
      <c r="RU1572" s="206"/>
      <c r="RV1572" s="206"/>
      <c r="RW1572" s="206"/>
      <c r="RX1572" s="206"/>
      <c r="RY1572" s="206"/>
      <c r="RZ1572" s="206"/>
      <c r="SA1572" s="206"/>
      <c r="SB1572" s="206"/>
      <c r="SC1572" s="206"/>
      <c r="SD1572" s="206"/>
      <c r="SE1572" s="206"/>
      <c r="SF1572" s="206"/>
      <c r="SG1572" s="206"/>
      <c r="SH1572" s="206"/>
      <c r="SI1572" s="206"/>
      <c r="SJ1572" s="206"/>
      <c r="SK1572" s="206"/>
      <c r="SL1572" s="206"/>
      <c r="SM1572" s="206"/>
      <c r="SN1572" s="206"/>
      <c r="SO1572" s="206"/>
      <c r="SP1572" s="206"/>
      <c r="SQ1572" s="206"/>
      <c r="SR1572" s="206"/>
      <c r="SS1572" s="206"/>
      <c r="ST1572" s="206"/>
      <c r="SU1572" s="206"/>
      <c r="SV1572" s="206"/>
      <c r="SW1572" s="206"/>
      <c r="SX1572" s="206"/>
      <c r="SY1572" s="206"/>
      <c r="SZ1572" s="206"/>
      <c r="TA1572" s="206"/>
      <c r="TB1572" s="206"/>
      <c r="TC1572" s="206"/>
      <c r="TD1572" s="206"/>
      <c r="TE1572" s="206"/>
      <c r="TF1572" s="206"/>
      <c r="TG1572" s="206"/>
      <c r="TH1572" s="206"/>
      <c r="TI1572" s="206"/>
      <c r="TJ1572" s="206"/>
      <c r="TK1572" s="206"/>
      <c r="TL1572" s="206"/>
      <c r="TM1572" s="206"/>
      <c r="TN1572" s="206"/>
      <c r="TO1572" s="206"/>
      <c r="TP1572" s="206"/>
      <c r="TQ1572" s="206"/>
      <c r="TR1572" s="206"/>
      <c r="TS1572" s="206"/>
      <c r="TT1572" s="206"/>
      <c r="TU1572" s="206"/>
      <c r="TV1572" s="206"/>
      <c r="TW1572" s="206"/>
      <c r="TX1572" s="206"/>
      <c r="TY1572" s="206"/>
      <c r="TZ1572" s="206"/>
      <c r="UA1572" s="206"/>
      <c r="UB1572" s="206"/>
      <c r="UC1572" s="206"/>
      <c r="UD1572" s="206"/>
    </row>
    <row r="1573" spans="1:550" s="874" customFormat="1" ht="393" customHeight="1">
      <c r="A1573" s="924"/>
      <c r="B1573" s="1230"/>
      <c r="C1573" s="1227" t="s">
        <v>23</v>
      </c>
      <c r="D1573" s="470" t="s">
        <v>70</v>
      </c>
      <c r="E1573" s="470">
        <v>240</v>
      </c>
      <c r="F1573" s="1230"/>
      <c r="G1573" s="501"/>
      <c r="H1573" s="930">
        <v>719.9</v>
      </c>
      <c r="I1573" s="931">
        <v>719.9</v>
      </c>
      <c r="J1573" s="1243">
        <v>62000</v>
      </c>
      <c r="K1573" s="809"/>
      <c r="L1573" s="932">
        <f t="shared" si="243"/>
        <v>44633800</v>
      </c>
      <c r="M1573" s="933"/>
      <c r="N1573" s="933"/>
      <c r="O1573" s="1226"/>
      <c r="P1573" s="1226"/>
      <c r="Q1573" s="1258" t="s">
        <v>1379</v>
      </c>
      <c r="R1573" s="1452"/>
      <c r="S1573" s="486"/>
      <c r="T1573" s="486"/>
      <c r="U1573" s="486"/>
      <c r="V1573" s="486"/>
      <c r="W1573" s="1117">
        <f>I1573</f>
        <v>719.9</v>
      </c>
      <c r="X1573" s="486"/>
      <c r="Y1573" s="486"/>
      <c r="Z1573" s="486"/>
      <c r="AA1573" s="486"/>
      <c r="AB1573" s="486"/>
      <c r="AC1573" s="486"/>
      <c r="AD1573" s="486"/>
      <c r="AE1573" s="486"/>
      <c r="AF1573" s="486"/>
      <c r="AG1573" s="486"/>
      <c r="AH1573" s="486"/>
      <c r="AI1573" s="486"/>
      <c r="AJ1573" s="486"/>
      <c r="AK1573" s="486"/>
      <c r="AL1573" s="206"/>
      <c r="AM1573" s="206"/>
      <c r="AN1573" s="206"/>
      <c r="AO1573" s="206"/>
      <c r="AP1573" s="206"/>
      <c r="AQ1573" s="206"/>
      <c r="AR1573" s="206"/>
      <c r="AS1573" s="206"/>
      <c r="AT1573" s="206"/>
      <c r="AU1573" s="206"/>
      <c r="AV1573" s="206"/>
      <c r="AW1573" s="206"/>
      <c r="AX1573" s="206"/>
      <c r="AY1573" s="206"/>
      <c r="AZ1573" s="206"/>
      <c r="BA1573" s="206"/>
      <c r="BB1573" s="206"/>
      <c r="BC1573" s="206"/>
      <c r="BD1573" s="206"/>
      <c r="BE1573" s="206"/>
      <c r="BF1573" s="206"/>
      <c r="BG1573" s="206"/>
      <c r="BH1573" s="206"/>
      <c r="BI1573" s="206"/>
      <c r="BJ1573" s="206"/>
      <c r="BK1573" s="206"/>
      <c r="BL1573" s="206"/>
      <c r="BM1573" s="206"/>
      <c r="BN1573" s="206"/>
      <c r="BO1573" s="206"/>
      <c r="BP1573" s="206"/>
      <c r="BQ1573" s="206"/>
      <c r="BR1573" s="206"/>
      <c r="BS1573" s="206"/>
      <c r="BT1573" s="206"/>
      <c r="BU1573" s="206"/>
      <c r="BV1573" s="206"/>
      <c r="BW1573" s="206"/>
      <c r="BX1573" s="206"/>
      <c r="BY1573" s="206"/>
      <c r="BZ1573" s="206"/>
      <c r="CA1573" s="206"/>
      <c r="CB1573" s="206"/>
      <c r="CC1573" s="206"/>
      <c r="CD1573" s="206"/>
      <c r="CE1573" s="206"/>
      <c r="CF1573" s="206"/>
      <c r="CG1573" s="206"/>
      <c r="CH1573" s="206"/>
      <c r="CI1573" s="206"/>
      <c r="CJ1573" s="206"/>
      <c r="CK1573" s="206"/>
      <c r="CL1573" s="206"/>
      <c r="CM1573" s="206"/>
      <c r="CN1573" s="206"/>
      <c r="CO1573" s="206"/>
      <c r="CP1573" s="206"/>
      <c r="CQ1573" s="206"/>
      <c r="CR1573" s="206"/>
      <c r="CS1573" s="206"/>
      <c r="CT1573" s="206"/>
      <c r="CU1573" s="206"/>
      <c r="CV1573" s="206"/>
      <c r="CW1573" s="206"/>
      <c r="CX1573" s="206"/>
      <c r="CY1573" s="206"/>
      <c r="CZ1573" s="206"/>
      <c r="DA1573" s="206"/>
      <c r="DB1573" s="206"/>
      <c r="DC1573" s="206"/>
      <c r="DD1573" s="206"/>
      <c r="DE1573" s="206"/>
      <c r="DF1573" s="206"/>
      <c r="DG1573" s="206"/>
      <c r="DH1573" s="206"/>
      <c r="DI1573" s="206"/>
      <c r="DJ1573" s="206"/>
      <c r="DK1573" s="206"/>
      <c r="DL1573" s="206"/>
      <c r="DM1573" s="206"/>
      <c r="DN1573" s="206"/>
      <c r="DO1573" s="206"/>
      <c r="DP1573" s="206"/>
      <c r="DQ1573" s="206"/>
      <c r="DR1573" s="206"/>
      <c r="DS1573" s="206"/>
      <c r="DT1573" s="206"/>
      <c r="DU1573" s="206"/>
      <c r="DV1573" s="206"/>
      <c r="DW1573" s="206"/>
      <c r="DX1573" s="206"/>
      <c r="DY1573" s="206"/>
      <c r="DZ1573" s="206"/>
      <c r="EA1573" s="206"/>
      <c r="EB1573" s="206"/>
      <c r="EC1573" s="206"/>
      <c r="ED1573" s="206"/>
      <c r="EE1573" s="206"/>
      <c r="EF1573" s="206"/>
      <c r="EG1573" s="206"/>
      <c r="EH1573" s="206"/>
      <c r="EI1573" s="206"/>
      <c r="EJ1573" s="206"/>
      <c r="EK1573" s="206"/>
      <c r="EL1573" s="206"/>
      <c r="EM1573" s="206"/>
      <c r="EN1573" s="206"/>
      <c r="EO1573" s="206"/>
      <c r="EP1573" s="206"/>
      <c r="EQ1573" s="206"/>
      <c r="ER1573" s="206"/>
      <c r="ES1573" s="206"/>
      <c r="ET1573" s="206"/>
      <c r="EU1573" s="206"/>
      <c r="EV1573" s="206"/>
      <c r="EW1573" s="206"/>
      <c r="EX1573" s="206"/>
      <c r="EY1573" s="206"/>
      <c r="EZ1573" s="206"/>
      <c r="FA1573" s="206"/>
      <c r="FB1573" s="206"/>
      <c r="FC1573" s="206"/>
      <c r="FD1573" s="206"/>
      <c r="FE1573" s="206"/>
      <c r="FF1573" s="206"/>
      <c r="FG1573" s="206"/>
      <c r="FH1573" s="206"/>
      <c r="FI1573" s="206"/>
      <c r="FJ1573" s="206"/>
      <c r="FK1573" s="206"/>
      <c r="FL1573" s="206"/>
      <c r="FM1573" s="206"/>
      <c r="FN1573" s="206"/>
      <c r="FO1573" s="206"/>
      <c r="FP1573" s="206"/>
      <c r="FQ1573" s="206"/>
      <c r="FR1573" s="206"/>
      <c r="FS1573" s="206"/>
      <c r="FT1573" s="206"/>
      <c r="FU1573" s="206"/>
      <c r="FV1573" s="206"/>
      <c r="FW1573" s="206"/>
      <c r="FX1573" s="206"/>
      <c r="FY1573" s="206"/>
      <c r="FZ1573" s="206"/>
      <c r="GA1573" s="206"/>
      <c r="GB1573" s="206"/>
      <c r="GC1573" s="206"/>
      <c r="GD1573" s="206"/>
      <c r="GE1573" s="206"/>
      <c r="GF1573" s="206"/>
      <c r="GG1573" s="206"/>
      <c r="GH1573" s="206"/>
      <c r="GI1573" s="206"/>
      <c r="GJ1573" s="206"/>
      <c r="GK1573" s="206"/>
      <c r="GL1573" s="206"/>
      <c r="GM1573" s="206"/>
      <c r="GN1573" s="206"/>
      <c r="GO1573" s="206"/>
      <c r="GP1573" s="206"/>
      <c r="GQ1573" s="206"/>
      <c r="GR1573" s="206"/>
      <c r="GS1573" s="206"/>
      <c r="GT1573" s="206"/>
      <c r="GU1573" s="206"/>
      <c r="GV1573" s="206"/>
      <c r="GW1573" s="206"/>
      <c r="GX1573" s="206"/>
      <c r="GY1573" s="206"/>
      <c r="GZ1573" s="206"/>
      <c r="HA1573" s="206"/>
      <c r="HB1573" s="206"/>
      <c r="HC1573" s="206"/>
      <c r="HD1573" s="206"/>
      <c r="HE1573" s="206"/>
      <c r="HF1573" s="206"/>
      <c r="HG1573" s="206"/>
      <c r="HH1573" s="206"/>
      <c r="HI1573" s="206"/>
      <c r="HJ1573" s="206"/>
      <c r="HK1573" s="206"/>
      <c r="HL1573" s="206"/>
      <c r="HM1573" s="206"/>
      <c r="HN1573" s="206"/>
      <c r="HO1573" s="206"/>
      <c r="HP1573" s="206"/>
      <c r="HQ1573" s="206"/>
      <c r="HR1573" s="206"/>
      <c r="HS1573" s="206"/>
      <c r="HT1573" s="206"/>
      <c r="HU1573" s="206"/>
      <c r="HV1573" s="206"/>
      <c r="HW1573" s="206"/>
      <c r="HX1573" s="206"/>
      <c r="HY1573" s="206"/>
      <c r="HZ1573" s="206"/>
      <c r="IA1573" s="206"/>
      <c r="IB1573" s="206"/>
      <c r="IC1573" s="206"/>
      <c r="ID1573" s="206"/>
      <c r="IE1573" s="206"/>
      <c r="IF1573" s="206"/>
      <c r="IG1573" s="206"/>
      <c r="IH1573" s="206"/>
      <c r="II1573" s="206"/>
      <c r="IJ1573" s="206"/>
      <c r="IK1573" s="206"/>
      <c r="IL1573" s="206"/>
      <c r="IM1573" s="206"/>
      <c r="IN1573" s="206"/>
      <c r="IO1573" s="206"/>
      <c r="IP1573" s="206"/>
      <c r="IQ1573" s="206"/>
      <c r="IR1573" s="206"/>
      <c r="IS1573" s="206"/>
      <c r="IT1573" s="206"/>
      <c r="IU1573" s="206"/>
      <c r="IV1573" s="206"/>
      <c r="IW1573" s="206"/>
      <c r="IX1573" s="206"/>
      <c r="IY1573" s="206"/>
      <c r="IZ1573" s="206"/>
      <c r="JA1573" s="206"/>
      <c r="JB1573" s="206"/>
      <c r="JC1573" s="206"/>
      <c r="JD1573" s="206"/>
      <c r="JE1573" s="206"/>
      <c r="JF1573" s="206"/>
      <c r="JG1573" s="206"/>
      <c r="JH1573" s="206"/>
      <c r="JI1573" s="206"/>
      <c r="JJ1573" s="206"/>
      <c r="JK1573" s="206"/>
      <c r="JL1573" s="206"/>
      <c r="JM1573" s="206"/>
      <c r="JN1573" s="206"/>
      <c r="JO1573" s="206"/>
      <c r="JP1573" s="206"/>
      <c r="JQ1573" s="206"/>
      <c r="JR1573" s="206"/>
      <c r="JS1573" s="206"/>
      <c r="JT1573" s="206"/>
      <c r="JU1573" s="206"/>
      <c r="JV1573" s="206"/>
      <c r="JW1573" s="206"/>
      <c r="JX1573" s="206"/>
      <c r="JY1573" s="206"/>
      <c r="JZ1573" s="206"/>
      <c r="KA1573" s="206"/>
      <c r="KB1573" s="206"/>
      <c r="KC1573" s="206"/>
      <c r="KD1573" s="206"/>
      <c r="KE1573" s="206"/>
      <c r="KF1573" s="206"/>
      <c r="KG1573" s="206"/>
      <c r="KH1573" s="206"/>
      <c r="KI1573" s="206"/>
      <c r="KJ1573" s="206"/>
      <c r="KK1573" s="206"/>
      <c r="KL1573" s="206"/>
      <c r="KM1573" s="206"/>
      <c r="KN1573" s="206"/>
      <c r="KO1573" s="206"/>
      <c r="KP1573" s="206"/>
      <c r="KQ1573" s="206"/>
      <c r="KR1573" s="206"/>
      <c r="KS1573" s="206"/>
      <c r="KT1573" s="206"/>
      <c r="KU1573" s="206"/>
      <c r="KV1573" s="206"/>
      <c r="KW1573" s="206"/>
      <c r="KX1573" s="206"/>
      <c r="KY1573" s="206"/>
      <c r="KZ1573" s="206"/>
      <c r="LA1573" s="206"/>
      <c r="LB1573" s="206"/>
      <c r="LC1573" s="206"/>
      <c r="LD1573" s="206"/>
      <c r="LE1573" s="206"/>
      <c r="LF1573" s="206"/>
      <c r="LG1573" s="206"/>
      <c r="LH1573" s="206"/>
      <c r="LI1573" s="206"/>
      <c r="LJ1573" s="206"/>
      <c r="LK1573" s="206"/>
      <c r="LL1573" s="206"/>
      <c r="LM1573" s="206"/>
      <c r="LN1573" s="206"/>
      <c r="LO1573" s="206"/>
      <c r="LP1573" s="206"/>
      <c r="LQ1573" s="206"/>
      <c r="LR1573" s="206"/>
      <c r="LS1573" s="206"/>
      <c r="LT1573" s="206"/>
      <c r="LU1573" s="206"/>
      <c r="LV1573" s="206"/>
      <c r="LW1573" s="206"/>
      <c r="LX1573" s="206"/>
      <c r="LY1573" s="206"/>
      <c r="LZ1573" s="206"/>
      <c r="MA1573" s="206"/>
      <c r="MB1573" s="206"/>
      <c r="MC1573" s="206"/>
      <c r="MD1573" s="206"/>
      <c r="ME1573" s="206"/>
      <c r="MF1573" s="206"/>
      <c r="MG1573" s="206"/>
      <c r="MH1573" s="206"/>
      <c r="MI1573" s="206"/>
      <c r="MJ1573" s="206"/>
      <c r="MK1573" s="206"/>
      <c r="ML1573" s="206"/>
      <c r="MM1573" s="206"/>
      <c r="MN1573" s="206"/>
      <c r="MO1573" s="206"/>
      <c r="MP1573" s="206"/>
      <c r="MQ1573" s="206"/>
      <c r="MR1573" s="206"/>
      <c r="MS1573" s="206"/>
      <c r="MT1573" s="206"/>
      <c r="MU1573" s="206"/>
      <c r="MV1573" s="206"/>
      <c r="MW1573" s="206"/>
      <c r="MX1573" s="206"/>
      <c r="MY1573" s="206"/>
      <c r="MZ1573" s="206"/>
      <c r="NA1573" s="206"/>
      <c r="NB1573" s="206"/>
      <c r="NC1573" s="206"/>
      <c r="ND1573" s="206"/>
      <c r="NE1573" s="206"/>
      <c r="NF1573" s="206"/>
      <c r="NG1573" s="206"/>
      <c r="NH1573" s="206"/>
      <c r="NI1573" s="206"/>
      <c r="NJ1573" s="206"/>
      <c r="NK1573" s="206"/>
      <c r="NL1573" s="206"/>
      <c r="NM1573" s="206"/>
      <c r="NN1573" s="206"/>
      <c r="NO1573" s="206"/>
      <c r="NP1573" s="206"/>
      <c r="NQ1573" s="206"/>
      <c r="NR1573" s="206"/>
      <c r="NS1573" s="206"/>
      <c r="NT1573" s="206"/>
      <c r="NU1573" s="206"/>
      <c r="NV1573" s="206"/>
      <c r="NW1573" s="206"/>
      <c r="NX1573" s="206"/>
      <c r="NY1573" s="206"/>
      <c r="NZ1573" s="206"/>
      <c r="OA1573" s="206"/>
      <c r="OB1573" s="206"/>
      <c r="OC1573" s="206"/>
      <c r="OD1573" s="206"/>
      <c r="OE1573" s="206"/>
      <c r="OF1573" s="206"/>
      <c r="OG1573" s="206"/>
      <c r="OH1573" s="206"/>
      <c r="OI1573" s="206"/>
      <c r="OJ1573" s="206"/>
      <c r="OK1573" s="206"/>
      <c r="OL1573" s="206"/>
      <c r="OM1573" s="206"/>
      <c r="ON1573" s="206"/>
      <c r="OO1573" s="206"/>
      <c r="OP1573" s="206"/>
      <c r="OQ1573" s="206"/>
      <c r="OR1573" s="206"/>
      <c r="OS1573" s="206"/>
      <c r="OT1573" s="206"/>
      <c r="OU1573" s="206"/>
      <c r="OV1573" s="206"/>
      <c r="OW1573" s="206"/>
      <c r="OX1573" s="206"/>
      <c r="OY1573" s="206"/>
      <c r="OZ1573" s="206"/>
      <c r="PA1573" s="206"/>
      <c r="PB1573" s="206"/>
      <c r="PC1573" s="206"/>
      <c r="PD1573" s="206"/>
      <c r="PE1573" s="206"/>
      <c r="PF1573" s="206"/>
      <c r="PG1573" s="206"/>
      <c r="PH1573" s="206"/>
      <c r="PI1573" s="206"/>
      <c r="PJ1573" s="206"/>
      <c r="PK1573" s="206"/>
      <c r="PL1573" s="206"/>
      <c r="PM1573" s="206"/>
      <c r="PN1573" s="206"/>
      <c r="PO1573" s="206"/>
      <c r="PP1573" s="206"/>
      <c r="PQ1573" s="206"/>
      <c r="PR1573" s="206"/>
      <c r="PS1573" s="206"/>
      <c r="PT1573" s="206"/>
      <c r="PU1573" s="206"/>
      <c r="PV1573" s="206"/>
      <c r="PW1573" s="206"/>
      <c r="PX1573" s="206"/>
      <c r="PY1573" s="206"/>
      <c r="PZ1573" s="206"/>
      <c r="QA1573" s="206"/>
      <c r="QB1573" s="206"/>
      <c r="QC1573" s="206"/>
      <c r="QD1573" s="206"/>
      <c r="QE1573" s="206"/>
      <c r="QF1573" s="206"/>
      <c r="QG1573" s="206"/>
      <c r="QH1573" s="206"/>
      <c r="QI1573" s="206"/>
      <c r="QJ1573" s="206"/>
      <c r="QK1573" s="206"/>
      <c r="QL1573" s="206"/>
      <c r="QM1573" s="206"/>
      <c r="QN1573" s="206"/>
      <c r="QO1573" s="206"/>
      <c r="QP1573" s="206"/>
      <c r="QQ1573" s="206"/>
      <c r="QR1573" s="206"/>
      <c r="QS1573" s="206"/>
      <c r="QT1573" s="206"/>
      <c r="QU1573" s="206"/>
      <c r="QV1573" s="206"/>
      <c r="QW1573" s="206"/>
      <c r="QX1573" s="206"/>
      <c r="QY1573" s="206"/>
      <c r="QZ1573" s="206"/>
      <c r="RA1573" s="206"/>
      <c r="RB1573" s="206"/>
      <c r="RC1573" s="206"/>
      <c r="RD1573" s="206"/>
      <c r="RE1573" s="206"/>
      <c r="RF1573" s="206"/>
      <c r="RG1573" s="206"/>
      <c r="RH1573" s="206"/>
      <c r="RI1573" s="206"/>
      <c r="RJ1573" s="206"/>
      <c r="RK1573" s="206"/>
      <c r="RL1573" s="206"/>
      <c r="RM1573" s="206"/>
      <c r="RN1573" s="206"/>
      <c r="RO1573" s="206"/>
      <c r="RP1573" s="206"/>
      <c r="RQ1573" s="206"/>
      <c r="RR1573" s="206"/>
      <c r="RS1573" s="206"/>
      <c r="RT1573" s="206"/>
      <c r="RU1573" s="206"/>
      <c r="RV1573" s="206"/>
      <c r="RW1573" s="206"/>
      <c r="RX1573" s="206"/>
      <c r="RY1573" s="206"/>
      <c r="RZ1573" s="206"/>
      <c r="SA1573" s="206"/>
      <c r="SB1573" s="206"/>
      <c r="SC1573" s="206"/>
      <c r="SD1573" s="206"/>
      <c r="SE1573" s="206"/>
      <c r="SF1573" s="206"/>
      <c r="SG1573" s="206"/>
      <c r="SH1573" s="206"/>
      <c r="SI1573" s="206"/>
      <c r="SJ1573" s="206"/>
      <c r="SK1573" s="206"/>
      <c r="SL1573" s="206"/>
      <c r="SM1573" s="206"/>
      <c r="SN1573" s="206"/>
      <c r="SO1573" s="206"/>
      <c r="SP1573" s="206"/>
      <c r="SQ1573" s="206"/>
      <c r="SR1573" s="206"/>
      <c r="SS1573" s="206"/>
      <c r="ST1573" s="206"/>
      <c r="SU1573" s="206"/>
      <c r="SV1573" s="206"/>
      <c r="SW1573" s="206"/>
      <c r="SX1573" s="206"/>
      <c r="SY1573" s="206"/>
      <c r="SZ1573" s="206"/>
      <c r="TA1573" s="206"/>
      <c r="TB1573" s="206"/>
      <c r="TC1573" s="206"/>
      <c r="TD1573" s="206"/>
      <c r="TE1573" s="206"/>
      <c r="TF1573" s="206"/>
      <c r="TG1573" s="206"/>
      <c r="TH1573" s="206"/>
      <c r="TI1573" s="206"/>
      <c r="TJ1573" s="206"/>
      <c r="TK1573" s="206"/>
      <c r="TL1573" s="206"/>
      <c r="TM1573" s="206"/>
      <c r="TN1573" s="206"/>
      <c r="TO1573" s="206"/>
      <c r="TP1573" s="206"/>
      <c r="TQ1573" s="206"/>
      <c r="TR1573" s="206"/>
      <c r="TS1573" s="206"/>
      <c r="TT1573" s="206"/>
      <c r="TU1573" s="206"/>
      <c r="TV1573" s="206"/>
      <c r="TW1573" s="206"/>
      <c r="TX1573" s="206"/>
      <c r="TY1573" s="206"/>
      <c r="TZ1573" s="206"/>
      <c r="UA1573" s="206"/>
      <c r="UB1573" s="206"/>
      <c r="UC1573" s="206"/>
      <c r="UD1573" s="206"/>
    </row>
    <row r="1574" spans="1:550" s="874" customFormat="1" ht="408.75" customHeight="1">
      <c r="A1574" s="924"/>
      <c r="B1574" s="1230"/>
      <c r="C1574" s="1216" t="s">
        <v>25</v>
      </c>
      <c r="D1574" s="470" t="s">
        <v>20</v>
      </c>
      <c r="E1574" s="470" t="s">
        <v>1380</v>
      </c>
      <c r="F1574" s="1230"/>
      <c r="G1574" s="501" t="s">
        <v>935</v>
      </c>
      <c r="H1574" s="930">
        <v>223.2</v>
      </c>
      <c r="I1574" s="931">
        <v>223.2</v>
      </c>
      <c r="J1574" s="1243">
        <v>62000</v>
      </c>
      <c r="K1574" s="809"/>
      <c r="L1574" s="932">
        <f t="shared" si="243"/>
        <v>13838400</v>
      </c>
      <c r="M1574" s="933"/>
      <c r="N1574" s="933"/>
      <c r="O1574" s="1226"/>
      <c r="P1574" s="1226"/>
      <c r="Q1574" s="1173" t="s">
        <v>1381</v>
      </c>
      <c r="R1574" s="1226"/>
      <c r="S1574" s="486"/>
      <c r="T1574" s="486"/>
      <c r="U1574" s="486"/>
      <c r="V1574" s="486"/>
      <c r="W1574" s="486"/>
      <c r="X1574" s="486"/>
      <c r="Y1574" s="486"/>
      <c r="Z1574" s="486"/>
      <c r="AA1574" s="1117">
        <f>I1574</f>
        <v>223.2</v>
      </c>
      <c r="AB1574" s="486"/>
      <c r="AC1574" s="486"/>
      <c r="AD1574" s="486"/>
      <c r="AE1574" s="486"/>
      <c r="AF1574" s="486"/>
      <c r="AG1574" s="486"/>
      <c r="AH1574" s="486"/>
      <c r="AI1574" s="486"/>
      <c r="AJ1574" s="486"/>
      <c r="AK1574" s="486"/>
      <c r="AL1574" s="206"/>
      <c r="AM1574" s="206"/>
      <c r="AN1574" s="206"/>
      <c r="AO1574" s="206"/>
      <c r="AP1574" s="206"/>
      <c r="AQ1574" s="206"/>
      <c r="AR1574" s="206"/>
      <c r="AS1574" s="206"/>
      <c r="AT1574" s="206"/>
      <c r="AU1574" s="206"/>
      <c r="AV1574" s="206"/>
      <c r="AW1574" s="206"/>
      <c r="AX1574" s="206"/>
      <c r="AY1574" s="206"/>
      <c r="AZ1574" s="206"/>
      <c r="BA1574" s="206"/>
      <c r="BB1574" s="206"/>
      <c r="BC1574" s="206"/>
      <c r="BD1574" s="206"/>
      <c r="BE1574" s="206"/>
      <c r="BF1574" s="206"/>
      <c r="BG1574" s="206"/>
      <c r="BH1574" s="206"/>
      <c r="BI1574" s="206"/>
      <c r="BJ1574" s="206"/>
      <c r="BK1574" s="206"/>
      <c r="BL1574" s="206"/>
      <c r="BM1574" s="206"/>
      <c r="BN1574" s="206"/>
      <c r="BO1574" s="206"/>
      <c r="BP1574" s="206"/>
      <c r="BQ1574" s="206"/>
      <c r="BR1574" s="206"/>
      <c r="BS1574" s="206"/>
      <c r="BT1574" s="206"/>
      <c r="BU1574" s="206"/>
      <c r="BV1574" s="206"/>
      <c r="BW1574" s="206"/>
      <c r="BX1574" s="206"/>
      <c r="BY1574" s="206"/>
      <c r="BZ1574" s="206"/>
      <c r="CA1574" s="206"/>
      <c r="CB1574" s="206"/>
      <c r="CC1574" s="206"/>
      <c r="CD1574" s="206"/>
      <c r="CE1574" s="206"/>
      <c r="CF1574" s="206"/>
      <c r="CG1574" s="206"/>
      <c r="CH1574" s="206"/>
      <c r="CI1574" s="206"/>
      <c r="CJ1574" s="206"/>
      <c r="CK1574" s="206"/>
      <c r="CL1574" s="206"/>
      <c r="CM1574" s="206"/>
      <c r="CN1574" s="206"/>
      <c r="CO1574" s="206"/>
      <c r="CP1574" s="206"/>
      <c r="CQ1574" s="206"/>
      <c r="CR1574" s="206"/>
      <c r="CS1574" s="206"/>
      <c r="CT1574" s="206"/>
      <c r="CU1574" s="206"/>
      <c r="CV1574" s="206"/>
      <c r="CW1574" s="206"/>
      <c r="CX1574" s="206"/>
      <c r="CY1574" s="206"/>
      <c r="CZ1574" s="206"/>
      <c r="DA1574" s="206"/>
      <c r="DB1574" s="206"/>
      <c r="DC1574" s="206"/>
      <c r="DD1574" s="206"/>
      <c r="DE1574" s="206"/>
      <c r="DF1574" s="206"/>
      <c r="DG1574" s="206"/>
      <c r="DH1574" s="206"/>
      <c r="DI1574" s="206"/>
      <c r="DJ1574" s="206"/>
      <c r="DK1574" s="206"/>
      <c r="DL1574" s="206"/>
      <c r="DM1574" s="206"/>
      <c r="DN1574" s="206"/>
      <c r="DO1574" s="206"/>
      <c r="DP1574" s="206"/>
      <c r="DQ1574" s="206"/>
      <c r="DR1574" s="206"/>
      <c r="DS1574" s="206"/>
      <c r="DT1574" s="206"/>
      <c r="DU1574" s="206"/>
      <c r="DV1574" s="206"/>
      <c r="DW1574" s="206"/>
      <c r="DX1574" s="206"/>
      <c r="DY1574" s="206"/>
      <c r="DZ1574" s="206"/>
      <c r="EA1574" s="206"/>
      <c r="EB1574" s="206"/>
      <c r="EC1574" s="206"/>
      <c r="ED1574" s="206"/>
      <c r="EE1574" s="206"/>
      <c r="EF1574" s="206"/>
      <c r="EG1574" s="206"/>
      <c r="EH1574" s="206"/>
      <c r="EI1574" s="206"/>
      <c r="EJ1574" s="206"/>
      <c r="EK1574" s="206"/>
      <c r="EL1574" s="206"/>
      <c r="EM1574" s="206"/>
      <c r="EN1574" s="206"/>
      <c r="EO1574" s="206"/>
      <c r="EP1574" s="206"/>
      <c r="EQ1574" s="206"/>
      <c r="ER1574" s="206"/>
      <c r="ES1574" s="206"/>
      <c r="ET1574" s="206"/>
      <c r="EU1574" s="206"/>
      <c r="EV1574" s="206"/>
      <c r="EW1574" s="206"/>
      <c r="EX1574" s="206"/>
      <c r="EY1574" s="206"/>
      <c r="EZ1574" s="206"/>
      <c r="FA1574" s="206"/>
      <c r="FB1574" s="206"/>
      <c r="FC1574" s="206"/>
      <c r="FD1574" s="206"/>
      <c r="FE1574" s="206"/>
      <c r="FF1574" s="206"/>
      <c r="FG1574" s="206"/>
      <c r="FH1574" s="206"/>
      <c r="FI1574" s="206"/>
      <c r="FJ1574" s="206"/>
      <c r="FK1574" s="206"/>
      <c r="FL1574" s="206"/>
      <c r="FM1574" s="206"/>
      <c r="FN1574" s="206"/>
      <c r="FO1574" s="206"/>
      <c r="FP1574" s="206"/>
      <c r="FQ1574" s="206"/>
      <c r="FR1574" s="206"/>
      <c r="FS1574" s="206"/>
      <c r="FT1574" s="206"/>
      <c r="FU1574" s="206"/>
      <c r="FV1574" s="206"/>
      <c r="FW1574" s="206"/>
      <c r="FX1574" s="206"/>
      <c r="FY1574" s="206"/>
      <c r="FZ1574" s="206"/>
      <c r="GA1574" s="206"/>
      <c r="GB1574" s="206"/>
      <c r="GC1574" s="206"/>
      <c r="GD1574" s="206"/>
      <c r="GE1574" s="206"/>
      <c r="GF1574" s="206"/>
      <c r="GG1574" s="206"/>
      <c r="GH1574" s="206"/>
      <c r="GI1574" s="206"/>
      <c r="GJ1574" s="206"/>
      <c r="GK1574" s="206"/>
      <c r="GL1574" s="206"/>
      <c r="GM1574" s="206"/>
      <c r="GN1574" s="206"/>
      <c r="GO1574" s="206"/>
      <c r="GP1574" s="206"/>
      <c r="GQ1574" s="206"/>
      <c r="GR1574" s="206"/>
      <c r="GS1574" s="206"/>
      <c r="GT1574" s="206"/>
      <c r="GU1574" s="206"/>
      <c r="GV1574" s="206"/>
      <c r="GW1574" s="206"/>
      <c r="GX1574" s="206"/>
      <c r="GY1574" s="206"/>
      <c r="GZ1574" s="206"/>
      <c r="HA1574" s="206"/>
      <c r="HB1574" s="206"/>
      <c r="HC1574" s="206"/>
      <c r="HD1574" s="206"/>
      <c r="HE1574" s="206"/>
      <c r="HF1574" s="206"/>
      <c r="HG1574" s="206"/>
      <c r="HH1574" s="206"/>
      <c r="HI1574" s="206"/>
      <c r="HJ1574" s="206"/>
      <c r="HK1574" s="206"/>
      <c r="HL1574" s="206"/>
      <c r="HM1574" s="206"/>
      <c r="HN1574" s="206"/>
      <c r="HO1574" s="206"/>
      <c r="HP1574" s="206"/>
      <c r="HQ1574" s="206"/>
      <c r="HR1574" s="206"/>
      <c r="HS1574" s="206"/>
      <c r="HT1574" s="206"/>
      <c r="HU1574" s="206"/>
      <c r="HV1574" s="206"/>
      <c r="HW1574" s="206"/>
      <c r="HX1574" s="206"/>
      <c r="HY1574" s="206"/>
      <c r="HZ1574" s="206"/>
      <c r="IA1574" s="206"/>
      <c r="IB1574" s="206"/>
      <c r="IC1574" s="206"/>
      <c r="ID1574" s="206"/>
      <c r="IE1574" s="206"/>
      <c r="IF1574" s="206"/>
      <c r="IG1574" s="206"/>
      <c r="IH1574" s="206"/>
      <c r="II1574" s="206"/>
      <c r="IJ1574" s="206"/>
      <c r="IK1574" s="206"/>
      <c r="IL1574" s="206"/>
      <c r="IM1574" s="206"/>
      <c r="IN1574" s="206"/>
      <c r="IO1574" s="206"/>
      <c r="IP1574" s="206"/>
      <c r="IQ1574" s="206"/>
      <c r="IR1574" s="206"/>
      <c r="IS1574" s="206"/>
      <c r="IT1574" s="206"/>
      <c r="IU1574" s="206"/>
      <c r="IV1574" s="206"/>
      <c r="IW1574" s="206"/>
      <c r="IX1574" s="206"/>
      <c r="IY1574" s="206"/>
      <c r="IZ1574" s="206"/>
      <c r="JA1574" s="206"/>
      <c r="JB1574" s="206"/>
      <c r="JC1574" s="206"/>
      <c r="JD1574" s="206"/>
      <c r="JE1574" s="206"/>
      <c r="JF1574" s="206"/>
      <c r="JG1574" s="206"/>
      <c r="JH1574" s="206"/>
      <c r="JI1574" s="206"/>
      <c r="JJ1574" s="206"/>
      <c r="JK1574" s="206"/>
      <c r="JL1574" s="206"/>
      <c r="JM1574" s="206"/>
      <c r="JN1574" s="206"/>
      <c r="JO1574" s="206"/>
      <c r="JP1574" s="206"/>
      <c r="JQ1574" s="206"/>
      <c r="JR1574" s="206"/>
      <c r="JS1574" s="206"/>
      <c r="JT1574" s="206"/>
      <c r="JU1574" s="206"/>
      <c r="JV1574" s="206"/>
      <c r="JW1574" s="206"/>
      <c r="JX1574" s="206"/>
      <c r="JY1574" s="206"/>
      <c r="JZ1574" s="206"/>
      <c r="KA1574" s="206"/>
      <c r="KB1574" s="206"/>
      <c r="KC1574" s="206"/>
      <c r="KD1574" s="206"/>
      <c r="KE1574" s="206"/>
      <c r="KF1574" s="206"/>
      <c r="KG1574" s="206"/>
      <c r="KH1574" s="206"/>
      <c r="KI1574" s="206"/>
      <c r="KJ1574" s="206"/>
      <c r="KK1574" s="206"/>
      <c r="KL1574" s="206"/>
      <c r="KM1574" s="206"/>
      <c r="KN1574" s="206"/>
      <c r="KO1574" s="206"/>
      <c r="KP1574" s="206"/>
      <c r="KQ1574" s="206"/>
      <c r="KR1574" s="206"/>
      <c r="KS1574" s="206"/>
      <c r="KT1574" s="206"/>
      <c r="KU1574" s="206"/>
      <c r="KV1574" s="206"/>
      <c r="KW1574" s="206"/>
      <c r="KX1574" s="206"/>
      <c r="KY1574" s="206"/>
      <c r="KZ1574" s="206"/>
      <c r="LA1574" s="206"/>
      <c r="LB1574" s="206"/>
      <c r="LC1574" s="206"/>
      <c r="LD1574" s="206"/>
      <c r="LE1574" s="206"/>
      <c r="LF1574" s="206"/>
      <c r="LG1574" s="206"/>
      <c r="LH1574" s="206"/>
      <c r="LI1574" s="206"/>
      <c r="LJ1574" s="206"/>
      <c r="LK1574" s="206"/>
      <c r="LL1574" s="206"/>
      <c r="LM1574" s="206"/>
      <c r="LN1574" s="206"/>
      <c r="LO1574" s="206"/>
      <c r="LP1574" s="206"/>
      <c r="LQ1574" s="206"/>
      <c r="LR1574" s="206"/>
      <c r="LS1574" s="206"/>
      <c r="LT1574" s="206"/>
      <c r="LU1574" s="206"/>
      <c r="LV1574" s="206"/>
      <c r="LW1574" s="206"/>
      <c r="LX1574" s="206"/>
      <c r="LY1574" s="206"/>
      <c r="LZ1574" s="206"/>
      <c r="MA1574" s="206"/>
      <c r="MB1574" s="206"/>
      <c r="MC1574" s="206"/>
      <c r="MD1574" s="206"/>
      <c r="ME1574" s="206"/>
      <c r="MF1574" s="206"/>
      <c r="MG1574" s="206"/>
      <c r="MH1574" s="206"/>
      <c r="MI1574" s="206"/>
      <c r="MJ1574" s="206"/>
      <c r="MK1574" s="206"/>
      <c r="ML1574" s="206"/>
      <c r="MM1574" s="206"/>
      <c r="MN1574" s="206"/>
      <c r="MO1574" s="206"/>
      <c r="MP1574" s="206"/>
      <c r="MQ1574" s="206"/>
      <c r="MR1574" s="206"/>
      <c r="MS1574" s="206"/>
      <c r="MT1574" s="206"/>
      <c r="MU1574" s="206"/>
      <c r="MV1574" s="206"/>
      <c r="MW1574" s="206"/>
      <c r="MX1574" s="206"/>
      <c r="MY1574" s="206"/>
      <c r="MZ1574" s="206"/>
      <c r="NA1574" s="206"/>
      <c r="NB1574" s="206"/>
      <c r="NC1574" s="206"/>
      <c r="ND1574" s="206"/>
      <c r="NE1574" s="206"/>
      <c r="NF1574" s="206"/>
      <c r="NG1574" s="206"/>
      <c r="NH1574" s="206"/>
      <c r="NI1574" s="206"/>
      <c r="NJ1574" s="206"/>
      <c r="NK1574" s="206"/>
      <c r="NL1574" s="206"/>
      <c r="NM1574" s="206"/>
      <c r="NN1574" s="206"/>
      <c r="NO1574" s="206"/>
      <c r="NP1574" s="206"/>
      <c r="NQ1574" s="206"/>
      <c r="NR1574" s="206"/>
      <c r="NS1574" s="206"/>
      <c r="NT1574" s="206"/>
      <c r="NU1574" s="206"/>
      <c r="NV1574" s="206"/>
      <c r="NW1574" s="206"/>
      <c r="NX1574" s="206"/>
      <c r="NY1574" s="206"/>
      <c r="NZ1574" s="206"/>
      <c r="OA1574" s="206"/>
      <c r="OB1574" s="206"/>
      <c r="OC1574" s="206"/>
      <c r="OD1574" s="206"/>
      <c r="OE1574" s="206"/>
      <c r="OF1574" s="206"/>
      <c r="OG1574" s="206"/>
      <c r="OH1574" s="206"/>
      <c r="OI1574" s="206"/>
      <c r="OJ1574" s="206"/>
      <c r="OK1574" s="206"/>
      <c r="OL1574" s="206"/>
      <c r="OM1574" s="206"/>
      <c r="ON1574" s="206"/>
      <c r="OO1574" s="206"/>
      <c r="OP1574" s="206"/>
      <c r="OQ1574" s="206"/>
      <c r="OR1574" s="206"/>
      <c r="OS1574" s="206"/>
      <c r="OT1574" s="206"/>
      <c r="OU1574" s="206"/>
      <c r="OV1574" s="206"/>
      <c r="OW1574" s="206"/>
      <c r="OX1574" s="206"/>
      <c r="OY1574" s="206"/>
      <c r="OZ1574" s="206"/>
      <c r="PA1574" s="206"/>
      <c r="PB1574" s="206"/>
      <c r="PC1574" s="206"/>
      <c r="PD1574" s="206"/>
      <c r="PE1574" s="206"/>
      <c r="PF1574" s="206"/>
      <c r="PG1574" s="206"/>
      <c r="PH1574" s="206"/>
      <c r="PI1574" s="206"/>
      <c r="PJ1574" s="206"/>
      <c r="PK1574" s="206"/>
      <c r="PL1574" s="206"/>
      <c r="PM1574" s="206"/>
      <c r="PN1574" s="206"/>
      <c r="PO1574" s="206"/>
      <c r="PP1574" s="206"/>
      <c r="PQ1574" s="206"/>
      <c r="PR1574" s="206"/>
      <c r="PS1574" s="206"/>
      <c r="PT1574" s="206"/>
      <c r="PU1574" s="206"/>
      <c r="PV1574" s="206"/>
      <c r="PW1574" s="206"/>
      <c r="PX1574" s="206"/>
      <c r="PY1574" s="206"/>
      <c r="PZ1574" s="206"/>
      <c r="QA1574" s="206"/>
      <c r="QB1574" s="206"/>
      <c r="QC1574" s="206"/>
      <c r="QD1574" s="206"/>
      <c r="QE1574" s="206"/>
      <c r="QF1574" s="206"/>
      <c r="QG1574" s="206"/>
      <c r="QH1574" s="206"/>
      <c r="QI1574" s="206"/>
      <c r="QJ1574" s="206"/>
      <c r="QK1574" s="206"/>
      <c r="QL1574" s="206"/>
      <c r="QM1574" s="206"/>
      <c r="QN1574" s="206"/>
      <c r="QO1574" s="206"/>
      <c r="QP1574" s="206"/>
      <c r="QQ1574" s="206"/>
      <c r="QR1574" s="206"/>
      <c r="QS1574" s="206"/>
      <c r="QT1574" s="206"/>
      <c r="QU1574" s="206"/>
      <c r="QV1574" s="206"/>
      <c r="QW1574" s="206"/>
      <c r="QX1574" s="206"/>
      <c r="QY1574" s="206"/>
      <c r="QZ1574" s="206"/>
      <c r="RA1574" s="206"/>
      <c r="RB1574" s="206"/>
      <c r="RC1574" s="206"/>
      <c r="RD1574" s="206"/>
      <c r="RE1574" s="206"/>
      <c r="RF1574" s="206"/>
      <c r="RG1574" s="206"/>
      <c r="RH1574" s="206"/>
      <c r="RI1574" s="206"/>
      <c r="RJ1574" s="206"/>
      <c r="RK1574" s="206"/>
      <c r="RL1574" s="206"/>
      <c r="RM1574" s="206"/>
      <c r="RN1574" s="206"/>
      <c r="RO1574" s="206"/>
      <c r="RP1574" s="206"/>
      <c r="RQ1574" s="206"/>
      <c r="RR1574" s="206"/>
      <c r="RS1574" s="206"/>
      <c r="RT1574" s="206"/>
      <c r="RU1574" s="206"/>
      <c r="RV1574" s="206"/>
      <c r="RW1574" s="206"/>
      <c r="RX1574" s="206"/>
      <c r="RY1574" s="206"/>
      <c r="RZ1574" s="206"/>
      <c r="SA1574" s="206"/>
      <c r="SB1574" s="206"/>
      <c r="SC1574" s="206"/>
      <c r="SD1574" s="206"/>
      <c r="SE1574" s="206"/>
      <c r="SF1574" s="206"/>
      <c r="SG1574" s="206"/>
      <c r="SH1574" s="206"/>
      <c r="SI1574" s="206"/>
      <c r="SJ1574" s="206"/>
      <c r="SK1574" s="206"/>
      <c r="SL1574" s="206"/>
      <c r="SM1574" s="206"/>
      <c r="SN1574" s="206"/>
      <c r="SO1574" s="206"/>
      <c r="SP1574" s="206"/>
      <c r="SQ1574" s="206"/>
      <c r="SR1574" s="206"/>
      <c r="SS1574" s="206"/>
      <c r="ST1574" s="206"/>
      <c r="SU1574" s="206"/>
      <c r="SV1574" s="206"/>
      <c r="SW1574" s="206"/>
      <c r="SX1574" s="206"/>
      <c r="SY1574" s="206"/>
      <c r="SZ1574" s="206"/>
      <c r="TA1574" s="206"/>
      <c r="TB1574" s="206"/>
      <c r="TC1574" s="206"/>
      <c r="TD1574" s="206"/>
      <c r="TE1574" s="206"/>
      <c r="TF1574" s="206"/>
      <c r="TG1574" s="206"/>
      <c r="TH1574" s="206"/>
      <c r="TI1574" s="206"/>
      <c r="TJ1574" s="206"/>
      <c r="TK1574" s="206"/>
      <c r="TL1574" s="206"/>
      <c r="TM1574" s="206"/>
      <c r="TN1574" s="206"/>
      <c r="TO1574" s="206"/>
      <c r="TP1574" s="206"/>
      <c r="TQ1574" s="206"/>
      <c r="TR1574" s="206"/>
      <c r="TS1574" s="206"/>
      <c r="TT1574" s="206"/>
      <c r="TU1574" s="206"/>
      <c r="TV1574" s="206"/>
      <c r="TW1574" s="206"/>
      <c r="TX1574" s="206"/>
      <c r="TY1574" s="206"/>
      <c r="TZ1574" s="206"/>
      <c r="UA1574" s="206"/>
      <c r="UB1574" s="206"/>
      <c r="UC1574" s="206"/>
      <c r="UD1574" s="206"/>
    </row>
    <row r="1575" spans="1:550" s="874" customFormat="1" ht="30.75" customHeight="1">
      <c r="A1575" s="924" t="s">
        <v>27</v>
      </c>
      <c r="B1575" s="1230"/>
      <c r="C1575" s="1227" t="s">
        <v>1342</v>
      </c>
      <c r="D1575" s="470"/>
      <c r="E1575" s="470"/>
      <c r="F1575" s="1230"/>
      <c r="G1575" s="501"/>
      <c r="H1575" s="930"/>
      <c r="I1575" s="931"/>
      <c r="J1575" s="1243"/>
      <c r="K1575" s="809"/>
      <c r="L1575" s="972" t="s">
        <v>1382</v>
      </c>
      <c r="M1575" s="933"/>
      <c r="N1575" s="933"/>
      <c r="O1575" s="1226"/>
      <c r="P1575" s="1226"/>
      <c r="Q1575" s="765"/>
      <c r="R1575" s="1226"/>
      <c r="S1575" s="486"/>
      <c r="T1575" s="486"/>
      <c r="U1575" s="486"/>
      <c r="V1575" s="486"/>
      <c r="W1575" s="486"/>
      <c r="X1575" s="486"/>
      <c r="Y1575" s="486"/>
      <c r="Z1575" s="486"/>
      <c r="AA1575" s="486"/>
      <c r="AB1575" s="486"/>
      <c r="AC1575" s="486"/>
      <c r="AD1575" s="486"/>
      <c r="AE1575" s="486"/>
      <c r="AF1575" s="486"/>
      <c r="AG1575" s="486"/>
      <c r="AH1575" s="486"/>
      <c r="AI1575" s="486"/>
      <c r="AJ1575" s="486"/>
      <c r="AK1575" s="486"/>
      <c r="AL1575" s="206"/>
      <c r="AM1575" s="206"/>
      <c r="AN1575" s="206"/>
      <c r="AO1575" s="206"/>
      <c r="AP1575" s="206"/>
      <c r="AQ1575" s="206"/>
      <c r="AR1575" s="206"/>
      <c r="AS1575" s="206"/>
      <c r="AT1575" s="206"/>
      <c r="AU1575" s="206"/>
      <c r="AV1575" s="206"/>
      <c r="AW1575" s="206"/>
      <c r="AX1575" s="206"/>
      <c r="AY1575" s="206"/>
      <c r="AZ1575" s="206"/>
      <c r="BA1575" s="206"/>
      <c r="BB1575" s="206"/>
      <c r="BC1575" s="206"/>
      <c r="BD1575" s="206"/>
      <c r="BE1575" s="206"/>
      <c r="BF1575" s="206"/>
      <c r="BG1575" s="206"/>
      <c r="BH1575" s="206"/>
      <c r="BI1575" s="206"/>
      <c r="BJ1575" s="206"/>
      <c r="BK1575" s="206"/>
      <c r="BL1575" s="206"/>
      <c r="BM1575" s="206"/>
      <c r="BN1575" s="206"/>
      <c r="BO1575" s="206"/>
      <c r="BP1575" s="206"/>
      <c r="BQ1575" s="206"/>
      <c r="BR1575" s="206"/>
      <c r="BS1575" s="206"/>
      <c r="BT1575" s="206"/>
      <c r="BU1575" s="206"/>
      <c r="BV1575" s="206"/>
      <c r="BW1575" s="206"/>
      <c r="BX1575" s="206"/>
      <c r="BY1575" s="206"/>
      <c r="BZ1575" s="206"/>
      <c r="CA1575" s="206"/>
      <c r="CB1575" s="206"/>
      <c r="CC1575" s="206"/>
      <c r="CD1575" s="206"/>
      <c r="CE1575" s="206"/>
      <c r="CF1575" s="206"/>
      <c r="CG1575" s="206"/>
      <c r="CH1575" s="206"/>
      <c r="CI1575" s="206"/>
      <c r="CJ1575" s="206"/>
      <c r="CK1575" s="206"/>
      <c r="CL1575" s="206"/>
      <c r="CM1575" s="206"/>
      <c r="CN1575" s="206"/>
      <c r="CO1575" s="206"/>
      <c r="CP1575" s="206"/>
      <c r="CQ1575" s="206"/>
      <c r="CR1575" s="206"/>
      <c r="CS1575" s="206"/>
      <c r="CT1575" s="206"/>
      <c r="CU1575" s="206"/>
      <c r="CV1575" s="206"/>
      <c r="CW1575" s="206"/>
      <c r="CX1575" s="206"/>
      <c r="CY1575" s="206"/>
      <c r="CZ1575" s="206"/>
      <c r="DA1575" s="206"/>
      <c r="DB1575" s="206"/>
      <c r="DC1575" s="206"/>
      <c r="DD1575" s="206"/>
      <c r="DE1575" s="206"/>
      <c r="DF1575" s="206"/>
      <c r="DG1575" s="206"/>
      <c r="DH1575" s="206"/>
      <c r="DI1575" s="206"/>
      <c r="DJ1575" s="206"/>
      <c r="DK1575" s="206"/>
      <c r="DL1575" s="206"/>
      <c r="DM1575" s="206"/>
      <c r="DN1575" s="206"/>
      <c r="DO1575" s="206"/>
      <c r="DP1575" s="206"/>
      <c r="DQ1575" s="206"/>
      <c r="DR1575" s="206"/>
      <c r="DS1575" s="206"/>
      <c r="DT1575" s="206"/>
      <c r="DU1575" s="206"/>
      <c r="DV1575" s="206"/>
      <c r="DW1575" s="206"/>
      <c r="DX1575" s="206"/>
      <c r="DY1575" s="206"/>
      <c r="DZ1575" s="206"/>
      <c r="EA1575" s="206"/>
      <c r="EB1575" s="206"/>
      <c r="EC1575" s="206"/>
      <c r="ED1575" s="206"/>
      <c r="EE1575" s="206"/>
      <c r="EF1575" s="206"/>
      <c r="EG1575" s="206"/>
      <c r="EH1575" s="206"/>
      <c r="EI1575" s="206"/>
      <c r="EJ1575" s="206"/>
      <c r="EK1575" s="206"/>
      <c r="EL1575" s="206"/>
      <c r="EM1575" s="206"/>
      <c r="EN1575" s="206"/>
      <c r="EO1575" s="206"/>
      <c r="EP1575" s="206"/>
      <c r="EQ1575" s="206"/>
      <c r="ER1575" s="206"/>
      <c r="ES1575" s="206"/>
      <c r="ET1575" s="206"/>
      <c r="EU1575" s="206"/>
      <c r="EV1575" s="206"/>
      <c r="EW1575" s="206"/>
      <c r="EX1575" s="206"/>
      <c r="EY1575" s="206"/>
      <c r="EZ1575" s="206"/>
      <c r="FA1575" s="206"/>
      <c r="FB1575" s="206"/>
      <c r="FC1575" s="206"/>
      <c r="FD1575" s="206"/>
      <c r="FE1575" s="206"/>
      <c r="FF1575" s="206"/>
      <c r="FG1575" s="206"/>
      <c r="FH1575" s="206"/>
      <c r="FI1575" s="206"/>
      <c r="FJ1575" s="206"/>
      <c r="FK1575" s="206"/>
      <c r="FL1575" s="206"/>
      <c r="FM1575" s="206"/>
      <c r="FN1575" s="206"/>
      <c r="FO1575" s="206"/>
      <c r="FP1575" s="206"/>
      <c r="FQ1575" s="206"/>
      <c r="FR1575" s="206"/>
      <c r="FS1575" s="206"/>
      <c r="FT1575" s="206"/>
      <c r="FU1575" s="206"/>
      <c r="FV1575" s="206"/>
      <c r="FW1575" s="206"/>
      <c r="FX1575" s="206"/>
      <c r="FY1575" s="206"/>
      <c r="FZ1575" s="206"/>
      <c r="GA1575" s="206"/>
      <c r="GB1575" s="206"/>
      <c r="GC1575" s="206"/>
      <c r="GD1575" s="206"/>
      <c r="GE1575" s="206"/>
      <c r="GF1575" s="206"/>
      <c r="GG1575" s="206"/>
      <c r="GH1575" s="206"/>
      <c r="GI1575" s="206"/>
      <c r="GJ1575" s="206"/>
      <c r="GK1575" s="206"/>
      <c r="GL1575" s="206"/>
      <c r="GM1575" s="206"/>
      <c r="GN1575" s="206"/>
      <c r="GO1575" s="206"/>
      <c r="GP1575" s="206"/>
      <c r="GQ1575" s="206"/>
      <c r="GR1575" s="206"/>
      <c r="GS1575" s="206"/>
      <c r="GT1575" s="206"/>
      <c r="GU1575" s="206"/>
      <c r="GV1575" s="206"/>
      <c r="GW1575" s="206"/>
      <c r="GX1575" s="206"/>
      <c r="GY1575" s="206"/>
      <c r="GZ1575" s="206"/>
      <c r="HA1575" s="206"/>
      <c r="HB1575" s="206"/>
      <c r="HC1575" s="206"/>
      <c r="HD1575" s="206"/>
      <c r="HE1575" s="206"/>
      <c r="HF1575" s="206"/>
      <c r="HG1575" s="206"/>
      <c r="HH1575" s="206"/>
      <c r="HI1575" s="206"/>
      <c r="HJ1575" s="206"/>
      <c r="HK1575" s="206"/>
      <c r="HL1575" s="206"/>
      <c r="HM1575" s="206"/>
      <c r="HN1575" s="206"/>
      <c r="HO1575" s="206"/>
      <c r="HP1575" s="206"/>
      <c r="HQ1575" s="206"/>
      <c r="HR1575" s="206"/>
      <c r="HS1575" s="206"/>
      <c r="HT1575" s="206"/>
      <c r="HU1575" s="206"/>
      <c r="HV1575" s="206"/>
      <c r="HW1575" s="206"/>
      <c r="HX1575" s="206"/>
      <c r="HY1575" s="206"/>
      <c r="HZ1575" s="206"/>
      <c r="IA1575" s="206"/>
      <c r="IB1575" s="206"/>
      <c r="IC1575" s="206"/>
      <c r="ID1575" s="206"/>
      <c r="IE1575" s="206"/>
      <c r="IF1575" s="206"/>
      <c r="IG1575" s="206"/>
      <c r="IH1575" s="206"/>
      <c r="II1575" s="206"/>
      <c r="IJ1575" s="206"/>
      <c r="IK1575" s="206"/>
      <c r="IL1575" s="206"/>
      <c r="IM1575" s="206"/>
      <c r="IN1575" s="206"/>
      <c r="IO1575" s="206"/>
      <c r="IP1575" s="206"/>
      <c r="IQ1575" s="206"/>
      <c r="IR1575" s="206"/>
      <c r="IS1575" s="206"/>
      <c r="IT1575" s="206"/>
      <c r="IU1575" s="206"/>
      <c r="IV1575" s="206"/>
      <c r="IW1575" s="206"/>
      <c r="IX1575" s="206"/>
      <c r="IY1575" s="206"/>
      <c r="IZ1575" s="206"/>
      <c r="JA1575" s="206"/>
      <c r="JB1575" s="206"/>
      <c r="JC1575" s="206"/>
      <c r="JD1575" s="206"/>
      <c r="JE1575" s="206"/>
      <c r="JF1575" s="206"/>
      <c r="JG1575" s="206"/>
      <c r="JH1575" s="206"/>
      <c r="JI1575" s="206"/>
      <c r="JJ1575" s="206"/>
      <c r="JK1575" s="206"/>
      <c r="JL1575" s="206"/>
      <c r="JM1575" s="206"/>
      <c r="JN1575" s="206"/>
      <c r="JO1575" s="206"/>
      <c r="JP1575" s="206"/>
      <c r="JQ1575" s="206"/>
      <c r="JR1575" s="206"/>
      <c r="JS1575" s="206"/>
      <c r="JT1575" s="206"/>
      <c r="JU1575" s="206"/>
      <c r="JV1575" s="206"/>
      <c r="JW1575" s="206"/>
      <c r="JX1575" s="206"/>
      <c r="JY1575" s="206"/>
      <c r="JZ1575" s="206"/>
      <c r="KA1575" s="206"/>
      <c r="KB1575" s="206"/>
      <c r="KC1575" s="206"/>
      <c r="KD1575" s="206"/>
      <c r="KE1575" s="206"/>
      <c r="KF1575" s="206"/>
      <c r="KG1575" s="206"/>
      <c r="KH1575" s="206"/>
      <c r="KI1575" s="206"/>
      <c r="KJ1575" s="206"/>
      <c r="KK1575" s="206"/>
      <c r="KL1575" s="206"/>
      <c r="KM1575" s="206"/>
      <c r="KN1575" s="206"/>
      <c r="KO1575" s="206"/>
      <c r="KP1575" s="206"/>
      <c r="KQ1575" s="206"/>
      <c r="KR1575" s="206"/>
      <c r="KS1575" s="206"/>
      <c r="KT1575" s="206"/>
      <c r="KU1575" s="206"/>
      <c r="KV1575" s="206"/>
      <c r="KW1575" s="206"/>
      <c r="KX1575" s="206"/>
      <c r="KY1575" s="206"/>
      <c r="KZ1575" s="206"/>
      <c r="LA1575" s="206"/>
      <c r="LB1575" s="206"/>
      <c r="LC1575" s="206"/>
      <c r="LD1575" s="206"/>
      <c r="LE1575" s="206"/>
      <c r="LF1575" s="206"/>
      <c r="LG1575" s="206"/>
      <c r="LH1575" s="206"/>
      <c r="LI1575" s="206"/>
      <c r="LJ1575" s="206"/>
      <c r="LK1575" s="206"/>
      <c r="LL1575" s="206"/>
      <c r="LM1575" s="206"/>
      <c r="LN1575" s="206"/>
      <c r="LO1575" s="206"/>
      <c r="LP1575" s="206"/>
      <c r="LQ1575" s="206"/>
      <c r="LR1575" s="206"/>
      <c r="LS1575" s="206"/>
      <c r="LT1575" s="206"/>
      <c r="LU1575" s="206"/>
      <c r="LV1575" s="206"/>
      <c r="LW1575" s="206"/>
      <c r="LX1575" s="206"/>
      <c r="LY1575" s="206"/>
      <c r="LZ1575" s="206"/>
      <c r="MA1575" s="206"/>
      <c r="MB1575" s="206"/>
      <c r="MC1575" s="206"/>
      <c r="MD1575" s="206"/>
      <c r="ME1575" s="206"/>
      <c r="MF1575" s="206"/>
      <c r="MG1575" s="206"/>
      <c r="MH1575" s="206"/>
      <c r="MI1575" s="206"/>
      <c r="MJ1575" s="206"/>
      <c r="MK1575" s="206"/>
      <c r="ML1575" s="206"/>
      <c r="MM1575" s="206"/>
      <c r="MN1575" s="206"/>
      <c r="MO1575" s="206"/>
      <c r="MP1575" s="206"/>
      <c r="MQ1575" s="206"/>
      <c r="MR1575" s="206"/>
      <c r="MS1575" s="206"/>
      <c r="MT1575" s="206"/>
      <c r="MU1575" s="206"/>
      <c r="MV1575" s="206"/>
      <c r="MW1575" s="206"/>
      <c r="MX1575" s="206"/>
      <c r="MY1575" s="206"/>
      <c r="MZ1575" s="206"/>
      <c r="NA1575" s="206"/>
      <c r="NB1575" s="206"/>
      <c r="NC1575" s="206"/>
      <c r="ND1575" s="206"/>
      <c r="NE1575" s="206"/>
      <c r="NF1575" s="206"/>
      <c r="NG1575" s="206"/>
      <c r="NH1575" s="206"/>
      <c r="NI1575" s="206"/>
      <c r="NJ1575" s="206"/>
      <c r="NK1575" s="206"/>
      <c r="NL1575" s="206"/>
      <c r="NM1575" s="206"/>
      <c r="NN1575" s="206"/>
      <c r="NO1575" s="206"/>
      <c r="NP1575" s="206"/>
      <c r="NQ1575" s="206"/>
      <c r="NR1575" s="206"/>
      <c r="NS1575" s="206"/>
      <c r="NT1575" s="206"/>
      <c r="NU1575" s="206"/>
      <c r="NV1575" s="206"/>
      <c r="NW1575" s="206"/>
      <c r="NX1575" s="206"/>
      <c r="NY1575" s="206"/>
      <c r="NZ1575" s="206"/>
      <c r="OA1575" s="206"/>
      <c r="OB1575" s="206"/>
      <c r="OC1575" s="206"/>
      <c r="OD1575" s="206"/>
      <c r="OE1575" s="206"/>
      <c r="OF1575" s="206"/>
      <c r="OG1575" s="206"/>
      <c r="OH1575" s="206"/>
      <c r="OI1575" s="206"/>
      <c r="OJ1575" s="206"/>
      <c r="OK1575" s="206"/>
      <c r="OL1575" s="206"/>
      <c r="OM1575" s="206"/>
      <c r="ON1575" s="206"/>
      <c r="OO1575" s="206"/>
      <c r="OP1575" s="206"/>
      <c r="OQ1575" s="206"/>
      <c r="OR1575" s="206"/>
      <c r="OS1575" s="206"/>
      <c r="OT1575" s="206"/>
      <c r="OU1575" s="206"/>
      <c r="OV1575" s="206"/>
      <c r="OW1575" s="206"/>
      <c r="OX1575" s="206"/>
      <c r="OY1575" s="206"/>
      <c r="OZ1575" s="206"/>
      <c r="PA1575" s="206"/>
      <c r="PB1575" s="206"/>
      <c r="PC1575" s="206"/>
      <c r="PD1575" s="206"/>
      <c r="PE1575" s="206"/>
      <c r="PF1575" s="206"/>
      <c r="PG1575" s="206"/>
      <c r="PH1575" s="206"/>
      <c r="PI1575" s="206"/>
      <c r="PJ1575" s="206"/>
      <c r="PK1575" s="206"/>
      <c r="PL1575" s="206"/>
      <c r="PM1575" s="206"/>
      <c r="PN1575" s="206"/>
      <c r="PO1575" s="206"/>
      <c r="PP1575" s="206"/>
      <c r="PQ1575" s="206"/>
      <c r="PR1575" s="206"/>
      <c r="PS1575" s="206"/>
      <c r="PT1575" s="206"/>
      <c r="PU1575" s="206"/>
      <c r="PV1575" s="206"/>
      <c r="PW1575" s="206"/>
      <c r="PX1575" s="206"/>
      <c r="PY1575" s="206"/>
      <c r="PZ1575" s="206"/>
      <c r="QA1575" s="206"/>
      <c r="QB1575" s="206"/>
      <c r="QC1575" s="206"/>
      <c r="QD1575" s="206"/>
      <c r="QE1575" s="206"/>
      <c r="QF1575" s="206"/>
      <c r="QG1575" s="206"/>
      <c r="QH1575" s="206"/>
      <c r="QI1575" s="206"/>
      <c r="QJ1575" s="206"/>
      <c r="QK1575" s="206"/>
      <c r="QL1575" s="206"/>
      <c r="QM1575" s="206"/>
      <c r="QN1575" s="206"/>
      <c r="QO1575" s="206"/>
      <c r="QP1575" s="206"/>
      <c r="QQ1575" s="206"/>
      <c r="QR1575" s="206"/>
      <c r="QS1575" s="206"/>
      <c r="QT1575" s="206"/>
      <c r="QU1575" s="206"/>
      <c r="QV1575" s="206"/>
      <c r="QW1575" s="206"/>
      <c r="QX1575" s="206"/>
      <c r="QY1575" s="206"/>
      <c r="QZ1575" s="206"/>
      <c r="RA1575" s="206"/>
      <c r="RB1575" s="206"/>
      <c r="RC1575" s="206"/>
      <c r="RD1575" s="206"/>
      <c r="RE1575" s="206"/>
      <c r="RF1575" s="206"/>
      <c r="RG1575" s="206"/>
      <c r="RH1575" s="206"/>
      <c r="RI1575" s="206"/>
      <c r="RJ1575" s="206"/>
      <c r="RK1575" s="206"/>
      <c r="RL1575" s="206"/>
      <c r="RM1575" s="206"/>
      <c r="RN1575" s="206"/>
      <c r="RO1575" s="206"/>
      <c r="RP1575" s="206"/>
      <c r="RQ1575" s="206"/>
      <c r="RR1575" s="206"/>
      <c r="RS1575" s="206"/>
      <c r="RT1575" s="206"/>
      <c r="RU1575" s="206"/>
      <c r="RV1575" s="206"/>
      <c r="RW1575" s="206"/>
      <c r="RX1575" s="206"/>
      <c r="RY1575" s="206"/>
      <c r="RZ1575" s="206"/>
      <c r="SA1575" s="206"/>
      <c r="SB1575" s="206"/>
      <c r="SC1575" s="206"/>
      <c r="SD1575" s="206"/>
      <c r="SE1575" s="206"/>
      <c r="SF1575" s="206"/>
      <c r="SG1575" s="206"/>
      <c r="SH1575" s="206"/>
      <c r="SI1575" s="206"/>
      <c r="SJ1575" s="206"/>
      <c r="SK1575" s="206"/>
      <c r="SL1575" s="206"/>
      <c r="SM1575" s="206"/>
      <c r="SN1575" s="206"/>
      <c r="SO1575" s="206"/>
      <c r="SP1575" s="206"/>
      <c r="SQ1575" s="206"/>
      <c r="SR1575" s="206"/>
      <c r="SS1575" s="206"/>
      <c r="ST1575" s="206"/>
      <c r="SU1575" s="206"/>
      <c r="SV1575" s="206"/>
      <c r="SW1575" s="206"/>
      <c r="SX1575" s="206"/>
      <c r="SY1575" s="206"/>
      <c r="SZ1575" s="206"/>
      <c r="TA1575" s="206"/>
      <c r="TB1575" s="206"/>
      <c r="TC1575" s="206"/>
      <c r="TD1575" s="206"/>
      <c r="TE1575" s="206"/>
      <c r="TF1575" s="206"/>
      <c r="TG1575" s="206"/>
      <c r="TH1575" s="206"/>
      <c r="TI1575" s="206"/>
      <c r="TJ1575" s="206"/>
      <c r="TK1575" s="206"/>
      <c r="TL1575" s="206"/>
      <c r="TM1575" s="206"/>
      <c r="TN1575" s="206"/>
      <c r="TO1575" s="206"/>
      <c r="TP1575" s="206"/>
      <c r="TQ1575" s="206"/>
      <c r="TR1575" s="206"/>
      <c r="TS1575" s="206"/>
      <c r="TT1575" s="206"/>
      <c r="TU1575" s="206"/>
      <c r="TV1575" s="206"/>
      <c r="TW1575" s="206"/>
      <c r="TX1575" s="206"/>
      <c r="TY1575" s="206"/>
      <c r="TZ1575" s="206"/>
      <c r="UA1575" s="206"/>
      <c r="UB1575" s="206"/>
      <c r="UC1575" s="206"/>
      <c r="UD1575" s="206"/>
    </row>
    <row r="1576" spans="1:550" s="874" customFormat="1" ht="64.150000000000006" customHeight="1">
      <c r="A1576" s="924" t="s">
        <v>43</v>
      </c>
      <c r="B1576" s="411"/>
      <c r="C1576" s="1636" t="s">
        <v>44</v>
      </c>
      <c r="D1576" s="1452"/>
      <c r="E1576" s="1452"/>
      <c r="F1576" s="1452"/>
      <c r="G1576" s="1226"/>
      <c r="H1576" s="925"/>
      <c r="I1576" s="502"/>
      <c r="J1576" s="1243"/>
      <c r="K1576" s="809"/>
      <c r="L1576" s="411">
        <f>SUM(L1577:L1578)</f>
        <v>19796800</v>
      </c>
      <c r="M1576" s="411"/>
      <c r="N1576" s="411"/>
      <c r="O1576" s="411"/>
      <c r="P1576" s="411">
        <f>L1576</f>
        <v>19796800</v>
      </c>
      <c r="Q1576" s="1174"/>
      <c r="R1576" s="1226" t="s">
        <v>45</v>
      </c>
      <c r="S1576" s="486"/>
      <c r="T1576" s="486"/>
      <c r="U1576" s="486"/>
      <c r="V1576" s="486"/>
      <c r="W1576" s="486"/>
      <c r="X1576" s="486"/>
      <c r="Y1576" s="486"/>
      <c r="Z1576" s="486"/>
      <c r="AA1576" s="486"/>
      <c r="AB1576" s="486"/>
      <c r="AC1576" s="486"/>
      <c r="AD1576" s="486"/>
      <c r="AE1576" s="486"/>
      <c r="AF1576" s="486"/>
      <c r="AG1576" s="486"/>
      <c r="AH1576" s="486"/>
      <c r="AI1576" s="486"/>
      <c r="AJ1576" s="486"/>
      <c r="AK1576" s="486"/>
      <c r="AL1576" s="206"/>
      <c r="AM1576" s="206"/>
      <c r="AN1576" s="206"/>
      <c r="AO1576" s="206"/>
      <c r="AP1576" s="206"/>
      <c r="AQ1576" s="206"/>
      <c r="AR1576" s="206"/>
      <c r="AS1576" s="206"/>
      <c r="AT1576" s="206"/>
      <c r="AU1576" s="206"/>
      <c r="AV1576" s="206"/>
      <c r="AW1576" s="206"/>
      <c r="AX1576" s="206"/>
      <c r="AY1576" s="206"/>
      <c r="AZ1576" s="206"/>
      <c r="BA1576" s="206"/>
      <c r="BB1576" s="206"/>
      <c r="BC1576" s="206"/>
      <c r="BD1576" s="206"/>
      <c r="BE1576" s="206"/>
      <c r="BF1576" s="206"/>
      <c r="BG1576" s="206"/>
      <c r="BH1576" s="206"/>
      <c r="BI1576" s="206"/>
      <c r="BJ1576" s="206"/>
      <c r="BK1576" s="206"/>
      <c r="BL1576" s="206"/>
      <c r="BM1576" s="206"/>
      <c r="BN1576" s="206"/>
      <c r="BO1576" s="206"/>
      <c r="BP1576" s="206"/>
      <c r="BQ1576" s="206"/>
      <c r="BR1576" s="206"/>
      <c r="BS1576" s="206"/>
      <c r="BT1576" s="206"/>
      <c r="BU1576" s="206"/>
      <c r="BV1576" s="206"/>
      <c r="BW1576" s="206"/>
      <c r="BX1576" s="206"/>
      <c r="BY1576" s="206"/>
      <c r="BZ1576" s="206"/>
      <c r="CA1576" s="206"/>
      <c r="CB1576" s="206"/>
      <c r="CC1576" s="206"/>
      <c r="CD1576" s="206"/>
      <c r="CE1576" s="206"/>
      <c r="CF1576" s="206"/>
      <c r="CG1576" s="206"/>
      <c r="CH1576" s="206"/>
      <c r="CI1576" s="206"/>
      <c r="CJ1576" s="206"/>
      <c r="CK1576" s="206"/>
      <c r="CL1576" s="206"/>
      <c r="CM1576" s="206"/>
      <c r="CN1576" s="206"/>
      <c r="CO1576" s="206"/>
      <c r="CP1576" s="206"/>
      <c r="CQ1576" s="206"/>
      <c r="CR1576" s="206"/>
      <c r="CS1576" s="206"/>
      <c r="CT1576" s="206"/>
      <c r="CU1576" s="206"/>
      <c r="CV1576" s="206"/>
      <c r="CW1576" s="206"/>
      <c r="CX1576" s="206"/>
      <c r="CY1576" s="206"/>
      <c r="CZ1576" s="206"/>
      <c r="DA1576" s="206"/>
      <c r="DB1576" s="206"/>
      <c r="DC1576" s="206"/>
      <c r="DD1576" s="206"/>
      <c r="DE1576" s="206"/>
      <c r="DF1576" s="206"/>
      <c r="DG1576" s="206"/>
      <c r="DH1576" s="206"/>
      <c r="DI1576" s="206"/>
      <c r="DJ1576" s="206"/>
      <c r="DK1576" s="206"/>
      <c r="DL1576" s="206"/>
      <c r="DM1576" s="206"/>
      <c r="DN1576" s="206"/>
      <c r="DO1576" s="206"/>
      <c r="DP1576" s="206"/>
      <c r="DQ1576" s="206"/>
      <c r="DR1576" s="206"/>
      <c r="DS1576" s="206"/>
      <c r="DT1576" s="206"/>
      <c r="DU1576" s="206"/>
      <c r="DV1576" s="206"/>
      <c r="DW1576" s="206"/>
      <c r="DX1576" s="206"/>
      <c r="DY1576" s="206"/>
      <c r="DZ1576" s="206"/>
      <c r="EA1576" s="206"/>
      <c r="EB1576" s="206"/>
      <c r="EC1576" s="206"/>
      <c r="ED1576" s="206"/>
      <c r="EE1576" s="206"/>
      <c r="EF1576" s="206"/>
      <c r="EG1576" s="206"/>
      <c r="EH1576" s="206"/>
      <c r="EI1576" s="206"/>
      <c r="EJ1576" s="206"/>
      <c r="EK1576" s="206"/>
      <c r="EL1576" s="206"/>
      <c r="EM1576" s="206"/>
      <c r="EN1576" s="206"/>
      <c r="EO1576" s="206"/>
      <c r="EP1576" s="206"/>
      <c r="EQ1576" s="206"/>
      <c r="ER1576" s="206"/>
      <c r="ES1576" s="206"/>
      <c r="ET1576" s="206"/>
      <c r="EU1576" s="206"/>
      <c r="EV1576" s="206"/>
      <c r="EW1576" s="206"/>
      <c r="EX1576" s="206"/>
      <c r="EY1576" s="206"/>
      <c r="EZ1576" s="206"/>
      <c r="FA1576" s="206"/>
      <c r="FB1576" s="206"/>
      <c r="FC1576" s="206"/>
      <c r="FD1576" s="206"/>
      <c r="FE1576" s="206"/>
      <c r="FF1576" s="206"/>
      <c r="FG1576" s="206"/>
      <c r="FH1576" s="206"/>
      <c r="FI1576" s="206"/>
      <c r="FJ1576" s="206"/>
      <c r="FK1576" s="206"/>
      <c r="FL1576" s="206"/>
      <c r="FM1576" s="206"/>
      <c r="FN1576" s="206"/>
      <c r="FO1576" s="206"/>
      <c r="FP1576" s="206"/>
      <c r="FQ1576" s="206"/>
      <c r="FR1576" s="206"/>
      <c r="FS1576" s="206"/>
      <c r="FT1576" s="206"/>
      <c r="FU1576" s="206"/>
      <c r="FV1576" s="206"/>
      <c r="FW1576" s="206"/>
      <c r="FX1576" s="206"/>
      <c r="FY1576" s="206"/>
      <c r="FZ1576" s="206"/>
      <c r="GA1576" s="206"/>
      <c r="GB1576" s="206"/>
      <c r="GC1576" s="206"/>
      <c r="GD1576" s="206"/>
      <c r="GE1576" s="206"/>
      <c r="GF1576" s="206"/>
      <c r="GG1576" s="206"/>
      <c r="GH1576" s="206"/>
      <c r="GI1576" s="206"/>
      <c r="GJ1576" s="206"/>
      <c r="GK1576" s="206"/>
      <c r="GL1576" s="206"/>
      <c r="GM1576" s="206"/>
      <c r="GN1576" s="206"/>
      <c r="GO1576" s="206"/>
      <c r="GP1576" s="206"/>
      <c r="GQ1576" s="206"/>
      <c r="GR1576" s="206"/>
      <c r="GS1576" s="206"/>
      <c r="GT1576" s="206"/>
      <c r="GU1576" s="206"/>
      <c r="GV1576" s="206"/>
      <c r="GW1576" s="206"/>
      <c r="GX1576" s="206"/>
      <c r="GY1576" s="206"/>
      <c r="GZ1576" s="206"/>
      <c r="HA1576" s="206"/>
      <c r="HB1576" s="206"/>
      <c r="HC1576" s="206"/>
      <c r="HD1576" s="206"/>
      <c r="HE1576" s="206"/>
      <c r="HF1576" s="206"/>
      <c r="HG1576" s="206"/>
      <c r="HH1576" s="206"/>
      <c r="HI1576" s="206"/>
      <c r="HJ1576" s="206"/>
      <c r="HK1576" s="206"/>
      <c r="HL1576" s="206"/>
      <c r="HM1576" s="206"/>
      <c r="HN1576" s="206"/>
      <c r="HO1576" s="206"/>
      <c r="HP1576" s="206"/>
      <c r="HQ1576" s="206"/>
      <c r="HR1576" s="206"/>
      <c r="HS1576" s="206"/>
      <c r="HT1576" s="206"/>
      <c r="HU1576" s="206"/>
      <c r="HV1576" s="206"/>
      <c r="HW1576" s="206"/>
      <c r="HX1576" s="206"/>
      <c r="HY1576" s="206"/>
      <c r="HZ1576" s="206"/>
      <c r="IA1576" s="206"/>
      <c r="IB1576" s="206"/>
      <c r="IC1576" s="206"/>
      <c r="ID1576" s="206"/>
      <c r="IE1576" s="206"/>
      <c r="IF1576" s="206"/>
      <c r="IG1576" s="206"/>
      <c r="IH1576" s="206"/>
      <c r="II1576" s="206"/>
      <c r="IJ1576" s="206"/>
      <c r="IK1576" s="206"/>
      <c r="IL1576" s="206"/>
      <c r="IM1576" s="206"/>
      <c r="IN1576" s="206"/>
      <c r="IO1576" s="206"/>
      <c r="IP1576" s="206"/>
      <c r="IQ1576" s="206"/>
      <c r="IR1576" s="206"/>
      <c r="IS1576" s="206"/>
      <c r="IT1576" s="206"/>
      <c r="IU1576" s="206"/>
      <c r="IV1576" s="206"/>
      <c r="IW1576" s="206"/>
      <c r="IX1576" s="206"/>
      <c r="IY1576" s="206"/>
      <c r="IZ1576" s="206"/>
      <c r="JA1576" s="206"/>
      <c r="JB1576" s="206"/>
      <c r="JC1576" s="206"/>
      <c r="JD1576" s="206"/>
      <c r="JE1576" s="206"/>
      <c r="JF1576" s="206"/>
      <c r="JG1576" s="206"/>
      <c r="JH1576" s="206"/>
      <c r="JI1576" s="206"/>
      <c r="JJ1576" s="206"/>
      <c r="JK1576" s="206"/>
      <c r="JL1576" s="206"/>
      <c r="JM1576" s="206"/>
      <c r="JN1576" s="206"/>
      <c r="JO1576" s="206"/>
      <c r="JP1576" s="206"/>
      <c r="JQ1576" s="206"/>
      <c r="JR1576" s="206"/>
      <c r="JS1576" s="206"/>
      <c r="JT1576" s="206"/>
      <c r="JU1576" s="206"/>
      <c r="JV1576" s="206"/>
      <c r="JW1576" s="206"/>
      <c r="JX1576" s="206"/>
      <c r="JY1576" s="206"/>
      <c r="JZ1576" s="206"/>
      <c r="KA1576" s="206"/>
      <c r="KB1576" s="206"/>
      <c r="KC1576" s="206"/>
      <c r="KD1576" s="206"/>
      <c r="KE1576" s="206"/>
      <c r="KF1576" s="206"/>
      <c r="KG1576" s="206"/>
      <c r="KH1576" s="206"/>
      <c r="KI1576" s="206"/>
      <c r="KJ1576" s="206"/>
      <c r="KK1576" s="206"/>
      <c r="KL1576" s="206"/>
      <c r="KM1576" s="206"/>
      <c r="KN1576" s="206"/>
      <c r="KO1576" s="206"/>
      <c r="KP1576" s="206"/>
      <c r="KQ1576" s="206"/>
      <c r="KR1576" s="206"/>
      <c r="KS1576" s="206"/>
      <c r="KT1576" s="206"/>
      <c r="KU1576" s="206"/>
      <c r="KV1576" s="206"/>
      <c r="KW1576" s="206"/>
      <c r="KX1576" s="206"/>
      <c r="KY1576" s="206"/>
      <c r="KZ1576" s="206"/>
      <c r="LA1576" s="206"/>
      <c r="LB1576" s="206"/>
      <c r="LC1576" s="206"/>
      <c r="LD1576" s="206"/>
      <c r="LE1576" s="206"/>
      <c r="LF1576" s="206"/>
      <c r="LG1576" s="206"/>
      <c r="LH1576" s="206"/>
      <c r="LI1576" s="206"/>
      <c r="LJ1576" s="206"/>
      <c r="LK1576" s="206"/>
      <c r="LL1576" s="206"/>
      <c r="LM1576" s="206"/>
      <c r="LN1576" s="206"/>
      <c r="LO1576" s="206"/>
      <c r="LP1576" s="206"/>
      <c r="LQ1576" s="206"/>
      <c r="LR1576" s="206"/>
      <c r="LS1576" s="206"/>
      <c r="LT1576" s="206"/>
      <c r="LU1576" s="206"/>
      <c r="LV1576" s="206"/>
      <c r="LW1576" s="206"/>
      <c r="LX1576" s="206"/>
      <c r="LY1576" s="206"/>
      <c r="LZ1576" s="206"/>
      <c r="MA1576" s="206"/>
      <c r="MB1576" s="206"/>
      <c r="MC1576" s="206"/>
      <c r="MD1576" s="206"/>
      <c r="ME1576" s="206"/>
      <c r="MF1576" s="206"/>
      <c r="MG1576" s="206"/>
      <c r="MH1576" s="206"/>
      <c r="MI1576" s="206"/>
      <c r="MJ1576" s="206"/>
      <c r="MK1576" s="206"/>
      <c r="ML1576" s="206"/>
      <c r="MM1576" s="206"/>
      <c r="MN1576" s="206"/>
      <c r="MO1576" s="206"/>
      <c r="MP1576" s="206"/>
      <c r="MQ1576" s="206"/>
      <c r="MR1576" s="206"/>
      <c r="MS1576" s="206"/>
      <c r="MT1576" s="206"/>
      <c r="MU1576" s="206"/>
      <c r="MV1576" s="206"/>
      <c r="MW1576" s="206"/>
      <c r="MX1576" s="206"/>
      <c r="MY1576" s="206"/>
      <c r="MZ1576" s="206"/>
      <c r="NA1576" s="206"/>
      <c r="NB1576" s="206"/>
      <c r="NC1576" s="206"/>
      <c r="ND1576" s="206"/>
      <c r="NE1576" s="206"/>
      <c r="NF1576" s="206"/>
      <c r="NG1576" s="206"/>
      <c r="NH1576" s="206"/>
      <c r="NI1576" s="206"/>
      <c r="NJ1576" s="206"/>
      <c r="NK1576" s="206"/>
      <c r="NL1576" s="206"/>
      <c r="NM1576" s="206"/>
      <c r="NN1576" s="206"/>
      <c r="NO1576" s="206"/>
      <c r="NP1576" s="206"/>
      <c r="NQ1576" s="206"/>
      <c r="NR1576" s="206"/>
      <c r="NS1576" s="206"/>
      <c r="NT1576" s="206"/>
      <c r="NU1576" s="206"/>
      <c r="NV1576" s="206"/>
      <c r="NW1576" s="206"/>
      <c r="NX1576" s="206"/>
      <c r="NY1576" s="206"/>
      <c r="NZ1576" s="206"/>
      <c r="OA1576" s="206"/>
      <c r="OB1576" s="206"/>
      <c r="OC1576" s="206"/>
      <c r="OD1576" s="206"/>
      <c r="OE1576" s="206"/>
      <c r="OF1576" s="206"/>
      <c r="OG1576" s="206"/>
      <c r="OH1576" s="206"/>
      <c r="OI1576" s="206"/>
      <c r="OJ1576" s="206"/>
      <c r="OK1576" s="206"/>
      <c r="OL1576" s="206"/>
      <c r="OM1576" s="206"/>
      <c r="ON1576" s="206"/>
      <c r="OO1576" s="206"/>
      <c r="OP1576" s="206"/>
      <c r="OQ1576" s="206"/>
      <c r="OR1576" s="206"/>
      <c r="OS1576" s="206"/>
      <c r="OT1576" s="206"/>
      <c r="OU1576" s="206"/>
      <c r="OV1576" s="206"/>
      <c r="OW1576" s="206"/>
      <c r="OX1576" s="206"/>
      <c r="OY1576" s="206"/>
      <c r="OZ1576" s="206"/>
      <c r="PA1576" s="206"/>
      <c r="PB1576" s="206"/>
      <c r="PC1576" s="206"/>
      <c r="PD1576" s="206"/>
      <c r="PE1576" s="206"/>
      <c r="PF1576" s="206"/>
      <c r="PG1576" s="206"/>
      <c r="PH1576" s="206"/>
      <c r="PI1576" s="206"/>
      <c r="PJ1576" s="206"/>
      <c r="PK1576" s="206"/>
      <c r="PL1576" s="206"/>
      <c r="PM1576" s="206"/>
      <c r="PN1576" s="206"/>
      <c r="PO1576" s="206"/>
      <c r="PP1576" s="206"/>
      <c r="PQ1576" s="206"/>
      <c r="PR1576" s="206"/>
      <c r="PS1576" s="206"/>
      <c r="PT1576" s="206"/>
      <c r="PU1576" s="206"/>
      <c r="PV1576" s="206"/>
      <c r="PW1576" s="206"/>
      <c r="PX1576" s="206"/>
      <c r="PY1576" s="206"/>
      <c r="PZ1576" s="206"/>
      <c r="QA1576" s="206"/>
      <c r="QB1576" s="206"/>
      <c r="QC1576" s="206"/>
      <c r="QD1576" s="206"/>
      <c r="QE1576" s="206"/>
      <c r="QF1576" s="206"/>
      <c r="QG1576" s="206"/>
      <c r="QH1576" s="206"/>
      <c r="QI1576" s="206"/>
      <c r="QJ1576" s="206"/>
      <c r="QK1576" s="206"/>
      <c r="QL1576" s="206"/>
      <c r="QM1576" s="206"/>
      <c r="QN1576" s="206"/>
      <c r="QO1576" s="206"/>
      <c r="QP1576" s="206"/>
      <c r="QQ1576" s="206"/>
      <c r="QR1576" s="206"/>
      <c r="QS1576" s="206"/>
      <c r="QT1576" s="206"/>
      <c r="QU1576" s="206"/>
      <c r="QV1576" s="206"/>
      <c r="QW1576" s="206"/>
      <c r="QX1576" s="206"/>
      <c r="QY1576" s="206"/>
      <c r="QZ1576" s="206"/>
      <c r="RA1576" s="206"/>
      <c r="RB1576" s="206"/>
      <c r="RC1576" s="206"/>
      <c r="RD1576" s="206"/>
      <c r="RE1576" s="206"/>
      <c r="RF1576" s="206"/>
      <c r="RG1576" s="206"/>
      <c r="RH1576" s="206"/>
      <c r="RI1576" s="206"/>
      <c r="RJ1576" s="206"/>
      <c r="RK1576" s="206"/>
      <c r="RL1576" s="206"/>
      <c r="RM1576" s="206"/>
      <c r="RN1576" s="206"/>
      <c r="RO1576" s="206"/>
      <c r="RP1576" s="206"/>
      <c r="RQ1576" s="206"/>
      <c r="RR1576" s="206"/>
      <c r="RS1576" s="206"/>
      <c r="RT1576" s="206"/>
      <c r="RU1576" s="206"/>
      <c r="RV1576" s="206"/>
      <c r="RW1576" s="206"/>
      <c r="RX1576" s="206"/>
      <c r="RY1576" s="206"/>
      <c r="RZ1576" s="206"/>
      <c r="SA1576" s="206"/>
      <c r="SB1576" s="206"/>
      <c r="SC1576" s="206"/>
      <c r="SD1576" s="206"/>
      <c r="SE1576" s="206"/>
      <c r="SF1576" s="206"/>
      <c r="SG1576" s="206"/>
      <c r="SH1576" s="206"/>
      <c r="SI1576" s="206"/>
      <c r="SJ1576" s="206"/>
      <c r="SK1576" s="206"/>
      <c r="SL1576" s="206"/>
      <c r="SM1576" s="206"/>
      <c r="SN1576" s="206"/>
      <c r="SO1576" s="206"/>
      <c r="SP1576" s="206"/>
      <c r="SQ1576" s="206"/>
      <c r="SR1576" s="206"/>
      <c r="SS1576" s="206"/>
      <c r="ST1576" s="206"/>
      <c r="SU1576" s="206"/>
      <c r="SV1576" s="206"/>
      <c r="SW1576" s="206"/>
      <c r="SX1576" s="206"/>
      <c r="SY1576" s="206"/>
      <c r="SZ1576" s="206"/>
      <c r="TA1576" s="206"/>
      <c r="TB1576" s="206"/>
      <c r="TC1576" s="206"/>
      <c r="TD1576" s="206"/>
      <c r="TE1576" s="206"/>
      <c r="TF1576" s="206"/>
      <c r="TG1576" s="206"/>
      <c r="TH1576" s="206"/>
      <c r="TI1576" s="206"/>
      <c r="TJ1576" s="206"/>
      <c r="TK1576" s="206"/>
      <c r="TL1576" s="206"/>
      <c r="TM1576" s="206"/>
      <c r="TN1576" s="206"/>
      <c r="TO1576" s="206"/>
      <c r="TP1576" s="206"/>
      <c r="TQ1576" s="206"/>
      <c r="TR1576" s="206"/>
      <c r="TS1576" s="206"/>
      <c r="TT1576" s="206"/>
      <c r="TU1576" s="206"/>
      <c r="TV1576" s="206"/>
      <c r="TW1576" s="206"/>
      <c r="TX1576" s="206"/>
      <c r="TY1576" s="206"/>
      <c r="TZ1576" s="206"/>
      <c r="UA1576" s="206"/>
      <c r="UB1576" s="206"/>
      <c r="UC1576" s="206"/>
      <c r="UD1576" s="206"/>
    </row>
    <row r="1577" spans="1:550" s="874" customFormat="1" ht="36.75" customHeight="1">
      <c r="A1577" s="924"/>
      <c r="B1577" s="411"/>
      <c r="C1577" s="1219" t="s">
        <v>52</v>
      </c>
      <c r="D1577" s="303" t="str">
        <f t="shared" ref="D1577:E1577" si="244">D1571</f>
        <v>2</v>
      </c>
      <c r="E1577" s="303" t="str">
        <f t="shared" si="244"/>
        <v>365</v>
      </c>
      <c r="F1577" s="1254"/>
      <c r="G1577" s="1226" t="str">
        <f t="shared" ref="G1577:G1578" si="245">G1570</f>
        <v>m2</v>
      </c>
      <c r="H1577" s="925"/>
      <c r="I1577" s="502">
        <f>I1571</f>
        <v>1014.1</v>
      </c>
      <c r="J1577" s="1243">
        <v>16000</v>
      </c>
      <c r="K1577" s="809"/>
      <c r="L1577" s="1226">
        <f t="shared" ref="L1577:L1578" si="246">I1577*J1577</f>
        <v>16225600</v>
      </c>
      <c r="M1577" s="411"/>
      <c r="N1577" s="411"/>
      <c r="O1577" s="411"/>
      <c r="P1577" s="411"/>
      <c r="Q1577" s="1174"/>
      <c r="R1577" s="1226"/>
      <c r="S1577" s="486"/>
      <c r="T1577" s="486"/>
      <c r="U1577" s="486"/>
      <c r="V1577" s="486"/>
      <c r="W1577" s="486"/>
      <c r="X1577" s="486"/>
      <c r="Y1577" s="486"/>
      <c r="Z1577" s="486"/>
      <c r="AA1577" s="486"/>
      <c r="AB1577" s="486"/>
      <c r="AC1577" s="486"/>
      <c r="AD1577" s="486"/>
      <c r="AE1577" s="486"/>
      <c r="AF1577" s="486"/>
      <c r="AG1577" s="486"/>
      <c r="AH1577" s="486"/>
      <c r="AI1577" s="486"/>
      <c r="AJ1577" s="486"/>
      <c r="AK1577" s="486"/>
      <c r="AL1577" s="206"/>
      <c r="AM1577" s="206"/>
      <c r="AN1577" s="206"/>
      <c r="AO1577" s="206"/>
      <c r="AP1577" s="206"/>
      <c r="AQ1577" s="206"/>
      <c r="AR1577" s="206"/>
      <c r="AS1577" s="206"/>
      <c r="AT1577" s="206"/>
      <c r="AU1577" s="206"/>
      <c r="AV1577" s="206"/>
      <c r="AW1577" s="206"/>
      <c r="AX1577" s="206"/>
      <c r="AY1577" s="206"/>
      <c r="AZ1577" s="206"/>
      <c r="BA1577" s="206"/>
      <c r="BB1577" s="206"/>
      <c r="BC1577" s="206"/>
      <c r="BD1577" s="206"/>
      <c r="BE1577" s="206"/>
      <c r="BF1577" s="206"/>
      <c r="BG1577" s="206"/>
      <c r="BH1577" s="206"/>
      <c r="BI1577" s="206"/>
      <c r="BJ1577" s="206"/>
      <c r="BK1577" s="206"/>
      <c r="BL1577" s="206"/>
      <c r="BM1577" s="206"/>
      <c r="BN1577" s="206"/>
      <c r="BO1577" s="206"/>
      <c r="BP1577" s="206"/>
      <c r="BQ1577" s="206"/>
      <c r="BR1577" s="206"/>
      <c r="BS1577" s="206"/>
      <c r="BT1577" s="206"/>
      <c r="BU1577" s="206"/>
      <c r="BV1577" s="206"/>
      <c r="BW1577" s="206"/>
      <c r="BX1577" s="206"/>
      <c r="BY1577" s="206"/>
      <c r="BZ1577" s="206"/>
      <c r="CA1577" s="206"/>
      <c r="CB1577" s="206"/>
      <c r="CC1577" s="206"/>
      <c r="CD1577" s="206"/>
      <c r="CE1577" s="206"/>
      <c r="CF1577" s="206"/>
      <c r="CG1577" s="206"/>
      <c r="CH1577" s="206"/>
      <c r="CI1577" s="206"/>
      <c r="CJ1577" s="206"/>
      <c r="CK1577" s="206"/>
      <c r="CL1577" s="206"/>
      <c r="CM1577" s="206"/>
      <c r="CN1577" s="206"/>
      <c r="CO1577" s="206"/>
      <c r="CP1577" s="206"/>
      <c r="CQ1577" s="206"/>
      <c r="CR1577" s="206"/>
      <c r="CS1577" s="206"/>
      <c r="CT1577" s="206"/>
      <c r="CU1577" s="206"/>
      <c r="CV1577" s="206"/>
      <c r="CW1577" s="206"/>
      <c r="CX1577" s="206"/>
      <c r="CY1577" s="206"/>
      <c r="CZ1577" s="206"/>
      <c r="DA1577" s="206"/>
      <c r="DB1577" s="206"/>
      <c r="DC1577" s="206"/>
      <c r="DD1577" s="206"/>
      <c r="DE1577" s="206"/>
      <c r="DF1577" s="206"/>
      <c r="DG1577" s="206"/>
      <c r="DH1577" s="206"/>
      <c r="DI1577" s="206"/>
      <c r="DJ1577" s="206"/>
      <c r="DK1577" s="206"/>
      <c r="DL1577" s="206"/>
      <c r="DM1577" s="206"/>
      <c r="DN1577" s="206"/>
      <c r="DO1577" s="206"/>
      <c r="DP1577" s="206"/>
      <c r="DQ1577" s="206"/>
      <c r="DR1577" s="206"/>
      <c r="DS1577" s="206"/>
      <c r="DT1577" s="206"/>
      <c r="DU1577" s="206"/>
      <c r="DV1577" s="206"/>
      <c r="DW1577" s="206"/>
      <c r="DX1577" s="206"/>
      <c r="DY1577" s="206"/>
      <c r="DZ1577" s="206"/>
      <c r="EA1577" s="206"/>
      <c r="EB1577" s="206"/>
      <c r="EC1577" s="206"/>
      <c r="ED1577" s="206"/>
      <c r="EE1577" s="206"/>
      <c r="EF1577" s="206"/>
      <c r="EG1577" s="206"/>
      <c r="EH1577" s="206"/>
      <c r="EI1577" s="206"/>
      <c r="EJ1577" s="206"/>
      <c r="EK1577" s="206"/>
      <c r="EL1577" s="206"/>
      <c r="EM1577" s="206"/>
      <c r="EN1577" s="206"/>
      <c r="EO1577" s="206"/>
      <c r="EP1577" s="206"/>
      <c r="EQ1577" s="206"/>
      <c r="ER1577" s="206"/>
      <c r="ES1577" s="206"/>
      <c r="ET1577" s="206"/>
      <c r="EU1577" s="206"/>
      <c r="EV1577" s="206"/>
      <c r="EW1577" s="206"/>
      <c r="EX1577" s="206"/>
      <c r="EY1577" s="206"/>
      <c r="EZ1577" s="206"/>
      <c r="FA1577" s="206"/>
      <c r="FB1577" s="206"/>
      <c r="FC1577" s="206"/>
      <c r="FD1577" s="206"/>
      <c r="FE1577" s="206"/>
      <c r="FF1577" s="206"/>
      <c r="FG1577" s="206"/>
      <c r="FH1577" s="206"/>
      <c r="FI1577" s="206"/>
      <c r="FJ1577" s="206"/>
      <c r="FK1577" s="206"/>
      <c r="FL1577" s="206"/>
      <c r="FM1577" s="206"/>
      <c r="FN1577" s="206"/>
      <c r="FO1577" s="206"/>
      <c r="FP1577" s="206"/>
      <c r="FQ1577" s="206"/>
      <c r="FR1577" s="206"/>
      <c r="FS1577" s="206"/>
      <c r="FT1577" s="206"/>
      <c r="FU1577" s="206"/>
      <c r="FV1577" s="206"/>
      <c r="FW1577" s="206"/>
      <c r="FX1577" s="206"/>
      <c r="FY1577" s="206"/>
      <c r="FZ1577" s="206"/>
      <c r="GA1577" s="206"/>
      <c r="GB1577" s="206"/>
      <c r="GC1577" s="206"/>
      <c r="GD1577" s="206"/>
      <c r="GE1577" s="206"/>
      <c r="GF1577" s="206"/>
      <c r="GG1577" s="206"/>
      <c r="GH1577" s="206"/>
      <c r="GI1577" s="206"/>
      <c r="GJ1577" s="206"/>
      <c r="GK1577" s="206"/>
      <c r="GL1577" s="206"/>
      <c r="GM1577" s="206"/>
      <c r="GN1577" s="206"/>
      <c r="GO1577" s="206"/>
      <c r="GP1577" s="206"/>
      <c r="GQ1577" s="206"/>
      <c r="GR1577" s="206"/>
      <c r="GS1577" s="206"/>
      <c r="GT1577" s="206"/>
      <c r="GU1577" s="206"/>
      <c r="GV1577" s="206"/>
      <c r="GW1577" s="206"/>
      <c r="GX1577" s="206"/>
      <c r="GY1577" s="206"/>
      <c r="GZ1577" s="206"/>
      <c r="HA1577" s="206"/>
      <c r="HB1577" s="206"/>
      <c r="HC1577" s="206"/>
      <c r="HD1577" s="206"/>
      <c r="HE1577" s="206"/>
      <c r="HF1577" s="206"/>
      <c r="HG1577" s="206"/>
      <c r="HH1577" s="206"/>
      <c r="HI1577" s="206"/>
      <c r="HJ1577" s="206"/>
      <c r="HK1577" s="206"/>
      <c r="HL1577" s="206"/>
      <c r="HM1577" s="206"/>
      <c r="HN1577" s="206"/>
      <c r="HO1577" s="206"/>
      <c r="HP1577" s="206"/>
      <c r="HQ1577" s="206"/>
      <c r="HR1577" s="206"/>
      <c r="HS1577" s="206"/>
      <c r="HT1577" s="206"/>
      <c r="HU1577" s="206"/>
      <c r="HV1577" s="206"/>
      <c r="HW1577" s="206"/>
      <c r="HX1577" s="206"/>
      <c r="HY1577" s="206"/>
      <c r="HZ1577" s="206"/>
      <c r="IA1577" s="206"/>
      <c r="IB1577" s="206"/>
      <c r="IC1577" s="206"/>
      <c r="ID1577" s="206"/>
      <c r="IE1577" s="206"/>
      <c r="IF1577" s="206"/>
      <c r="IG1577" s="206"/>
      <c r="IH1577" s="206"/>
      <c r="II1577" s="206"/>
      <c r="IJ1577" s="206"/>
      <c r="IK1577" s="206"/>
      <c r="IL1577" s="206"/>
      <c r="IM1577" s="206"/>
      <c r="IN1577" s="206"/>
      <c r="IO1577" s="206"/>
      <c r="IP1577" s="206"/>
      <c r="IQ1577" s="206"/>
      <c r="IR1577" s="206"/>
      <c r="IS1577" s="206"/>
      <c r="IT1577" s="206"/>
      <c r="IU1577" s="206"/>
      <c r="IV1577" s="206"/>
      <c r="IW1577" s="206"/>
      <c r="IX1577" s="206"/>
      <c r="IY1577" s="206"/>
      <c r="IZ1577" s="206"/>
      <c r="JA1577" s="206"/>
      <c r="JB1577" s="206"/>
      <c r="JC1577" s="206"/>
      <c r="JD1577" s="206"/>
      <c r="JE1577" s="206"/>
      <c r="JF1577" s="206"/>
      <c r="JG1577" s="206"/>
      <c r="JH1577" s="206"/>
      <c r="JI1577" s="206"/>
      <c r="JJ1577" s="206"/>
      <c r="JK1577" s="206"/>
      <c r="JL1577" s="206"/>
      <c r="JM1577" s="206"/>
      <c r="JN1577" s="206"/>
      <c r="JO1577" s="206"/>
      <c r="JP1577" s="206"/>
      <c r="JQ1577" s="206"/>
      <c r="JR1577" s="206"/>
      <c r="JS1577" s="206"/>
      <c r="JT1577" s="206"/>
      <c r="JU1577" s="206"/>
      <c r="JV1577" s="206"/>
      <c r="JW1577" s="206"/>
      <c r="JX1577" s="206"/>
      <c r="JY1577" s="206"/>
      <c r="JZ1577" s="206"/>
      <c r="KA1577" s="206"/>
      <c r="KB1577" s="206"/>
      <c r="KC1577" s="206"/>
      <c r="KD1577" s="206"/>
      <c r="KE1577" s="206"/>
      <c r="KF1577" s="206"/>
      <c r="KG1577" s="206"/>
      <c r="KH1577" s="206"/>
      <c r="KI1577" s="206"/>
      <c r="KJ1577" s="206"/>
      <c r="KK1577" s="206"/>
      <c r="KL1577" s="206"/>
      <c r="KM1577" s="206"/>
      <c r="KN1577" s="206"/>
      <c r="KO1577" s="206"/>
      <c r="KP1577" s="206"/>
      <c r="KQ1577" s="206"/>
      <c r="KR1577" s="206"/>
      <c r="KS1577" s="206"/>
      <c r="KT1577" s="206"/>
      <c r="KU1577" s="206"/>
      <c r="KV1577" s="206"/>
      <c r="KW1577" s="206"/>
      <c r="KX1577" s="206"/>
      <c r="KY1577" s="206"/>
      <c r="KZ1577" s="206"/>
      <c r="LA1577" s="206"/>
      <c r="LB1577" s="206"/>
      <c r="LC1577" s="206"/>
      <c r="LD1577" s="206"/>
      <c r="LE1577" s="206"/>
      <c r="LF1577" s="206"/>
      <c r="LG1577" s="206"/>
      <c r="LH1577" s="206"/>
      <c r="LI1577" s="206"/>
      <c r="LJ1577" s="206"/>
      <c r="LK1577" s="206"/>
      <c r="LL1577" s="206"/>
      <c r="LM1577" s="206"/>
      <c r="LN1577" s="206"/>
      <c r="LO1577" s="206"/>
      <c r="LP1577" s="206"/>
      <c r="LQ1577" s="206"/>
      <c r="LR1577" s="206"/>
      <c r="LS1577" s="206"/>
      <c r="LT1577" s="206"/>
      <c r="LU1577" s="206"/>
      <c r="LV1577" s="206"/>
      <c r="LW1577" s="206"/>
      <c r="LX1577" s="206"/>
      <c r="LY1577" s="206"/>
      <c r="LZ1577" s="206"/>
      <c r="MA1577" s="206"/>
      <c r="MB1577" s="206"/>
      <c r="MC1577" s="206"/>
      <c r="MD1577" s="206"/>
      <c r="ME1577" s="206"/>
      <c r="MF1577" s="206"/>
      <c r="MG1577" s="206"/>
      <c r="MH1577" s="206"/>
      <c r="MI1577" s="206"/>
      <c r="MJ1577" s="206"/>
      <c r="MK1577" s="206"/>
      <c r="ML1577" s="206"/>
      <c r="MM1577" s="206"/>
      <c r="MN1577" s="206"/>
      <c r="MO1577" s="206"/>
      <c r="MP1577" s="206"/>
      <c r="MQ1577" s="206"/>
      <c r="MR1577" s="206"/>
      <c r="MS1577" s="206"/>
      <c r="MT1577" s="206"/>
      <c r="MU1577" s="206"/>
      <c r="MV1577" s="206"/>
      <c r="MW1577" s="206"/>
      <c r="MX1577" s="206"/>
      <c r="MY1577" s="206"/>
      <c r="MZ1577" s="206"/>
      <c r="NA1577" s="206"/>
      <c r="NB1577" s="206"/>
      <c r="NC1577" s="206"/>
      <c r="ND1577" s="206"/>
      <c r="NE1577" s="206"/>
      <c r="NF1577" s="206"/>
      <c r="NG1577" s="206"/>
      <c r="NH1577" s="206"/>
      <c r="NI1577" s="206"/>
      <c r="NJ1577" s="206"/>
      <c r="NK1577" s="206"/>
      <c r="NL1577" s="206"/>
      <c r="NM1577" s="206"/>
      <c r="NN1577" s="206"/>
      <c r="NO1577" s="206"/>
      <c r="NP1577" s="206"/>
      <c r="NQ1577" s="206"/>
      <c r="NR1577" s="206"/>
      <c r="NS1577" s="206"/>
      <c r="NT1577" s="206"/>
      <c r="NU1577" s="206"/>
      <c r="NV1577" s="206"/>
      <c r="NW1577" s="206"/>
      <c r="NX1577" s="206"/>
      <c r="NY1577" s="206"/>
      <c r="NZ1577" s="206"/>
      <c r="OA1577" s="206"/>
      <c r="OB1577" s="206"/>
      <c r="OC1577" s="206"/>
      <c r="OD1577" s="206"/>
      <c r="OE1577" s="206"/>
      <c r="OF1577" s="206"/>
      <c r="OG1577" s="206"/>
      <c r="OH1577" s="206"/>
      <c r="OI1577" s="206"/>
      <c r="OJ1577" s="206"/>
      <c r="OK1577" s="206"/>
      <c r="OL1577" s="206"/>
      <c r="OM1577" s="206"/>
      <c r="ON1577" s="206"/>
      <c r="OO1577" s="206"/>
      <c r="OP1577" s="206"/>
      <c r="OQ1577" s="206"/>
      <c r="OR1577" s="206"/>
      <c r="OS1577" s="206"/>
      <c r="OT1577" s="206"/>
      <c r="OU1577" s="206"/>
      <c r="OV1577" s="206"/>
      <c r="OW1577" s="206"/>
      <c r="OX1577" s="206"/>
      <c r="OY1577" s="206"/>
      <c r="OZ1577" s="206"/>
      <c r="PA1577" s="206"/>
      <c r="PB1577" s="206"/>
      <c r="PC1577" s="206"/>
      <c r="PD1577" s="206"/>
      <c r="PE1577" s="206"/>
      <c r="PF1577" s="206"/>
      <c r="PG1577" s="206"/>
      <c r="PH1577" s="206"/>
      <c r="PI1577" s="206"/>
      <c r="PJ1577" s="206"/>
      <c r="PK1577" s="206"/>
      <c r="PL1577" s="206"/>
      <c r="PM1577" s="206"/>
      <c r="PN1577" s="206"/>
      <c r="PO1577" s="206"/>
      <c r="PP1577" s="206"/>
      <c r="PQ1577" s="206"/>
      <c r="PR1577" s="206"/>
      <c r="PS1577" s="206"/>
      <c r="PT1577" s="206"/>
      <c r="PU1577" s="206"/>
      <c r="PV1577" s="206"/>
      <c r="PW1577" s="206"/>
      <c r="PX1577" s="206"/>
      <c r="PY1577" s="206"/>
      <c r="PZ1577" s="206"/>
      <c r="QA1577" s="206"/>
      <c r="QB1577" s="206"/>
      <c r="QC1577" s="206"/>
      <c r="QD1577" s="206"/>
      <c r="QE1577" s="206"/>
      <c r="QF1577" s="206"/>
      <c r="QG1577" s="206"/>
      <c r="QH1577" s="206"/>
      <c r="QI1577" s="206"/>
      <c r="QJ1577" s="206"/>
      <c r="QK1577" s="206"/>
      <c r="QL1577" s="206"/>
      <c r="QM1577" s="206"/>
      <c r="QN1577" s="206"/>
      <c r="QO1577" s="206"/>
      <c r="QP1577" s="206"/>
      <c r="QQ1577" s="206"/>
      <c r="QR1577" s="206"/>
      <c r="QS1577" s="206"/>
      <c r="QT1577" s="206"/>
      <c r="QU1577" s="206"/>
      <c r="QV1577" s="206"/>
      <c r="QW1577" s="206"/>
      <c r="QX1577" s="206"/>
      <c r="QY1577" s="206"/>
      <c r="QZ1577" s="206"/>
      <c r="RA1577" s="206"/>
      <c r="RB1577" s="206"/>
      <c r="RC1577" s="206"/>
      <c r="RD1577" s="206"/>
      <c r="RE1577" s="206"/>
      <c r="RF1577" s="206"/>
      <c r="RG1577" s="206"/>
      <c r="RH1577" s="206"/>
      <c r="RI1577" s="206"/>
      <c r="RJ1577" s="206"/>
      <c r="RK1577" s="206"/>
      <c r="RL1577" s="206"/>
      <c r="RM1577" s="206"/>
      <c r="RN1577" s="206"/>
      <c r="RO1577" s="206"/>
      <c r="RP1577" s="206"/>
      <c r="RQ1577" s="206"/>
      <c r="RR1577" s="206"/>
      <c r="RS1577" s="206"/>
      <c r="RT1577" s="206"/>
      <c r="RU1577" s="206"/>
      <c r="RV1577" s="206"/>
      <c r="RW1577" s="206"/>
      <c r="RX1577" s="206"/>
      <c r="RY1577" s="206"/>
      <c r="RZ1577" s="206"/>
      <c r="SA1577" s="206"/>
      <c r="SB1577" s="206"/>
      <c r="SC1577" s="206"/>
      <c r="SD1577" s="206"/>
      <c r="SE1577" s="206"/>
      <c r="SF1577" s="206"/>
      <c r="SG1577" s="206"/>
      <c r="SH1577" s="206"/>
      <c r="SI1577" s="206"/>
      <c r="SJ1577" s="206"/>
      <c r="SK1577" s="206"/>
      <c r="SL1577" s="206"/>
      <c r="SM1577" s="206"/>
      <c r="SN1577" s="206"/>
      <c r="SO1577" s="206"/>
      <c r="SP1577" s="206"/>
      <c r="SQ1577" s="206"/>
      <c r="SR1577" s="206"/>
      <c r="SS1577" s="206"/>
      <c r="ST1577" s="206"/>
      <c r="SU1577" s="206"/>
      <c r="SV1577" s="206"/>
      <c r="SW1577" s="206"/>
      <c r="SX1577" s="206"/>
      <c r="SY1577" s="206"/>
      <c r="SZ1577" s="206"/>
      <c r="TA1577" s="206"/>
      <c r="TB1577" s="206"/>
      <c r="TC1577" s="206"/>
      <c r="TD1577" s="206"/>
      <c r="TE1577" s="206"/>
      <c r="TF1577" s="206"/>
      <c r="TG1577" s="206"/>
      <c r="TH1577" s="206"/>
      <c r="TI1577" s="206"/>
      <c r="TJ1577" s="206"/>
      <c r="TK1577" s="206"/>
      <c r="TL1577" s="206"/>
      <c r="TM1577" s="206"/>
      <c r="TN1577" s="206"/>
      <c r="TO1577" s="206"/>
      <c r="TP1577" s="206"/>
      <c r="TQ1577" s="206"/>
      <c r="TR1577" s="206"/>
      <c r="TS1577" s="206"/>
      <c r="TT1577" s="206"/>
      <c r="TU1577" s="206"/>
      <c r="TV1577" s="206"/>
      <c r="TW1577" s="206"/>
      <c r="TX1577" s="206"/>
      <c r="TY1577" s="206"/>
      <c r="TZ1577" s="206"/>
      <c r="UA1577" s="206"/>
      <c r="UB1577" s="206"/>
      <c r="UC1577" s="206"/>
      <c r="UD1577" s="206"/>
    </row>
    <row r="1578" spans="1:550" s="874" customFormat="1" ht="36.75" customHeight="1">
      <c r="A1578" s="924"/>
      <c r="B1578" s="411"/>
      <c r="C1578" s="1219" t="s">
        <v>52</v>
      </c>
      <c r="D1578" s="303">
        <v>2</v>
      </c>
      <c r="E1578" s="303">
        <v>356</v>
      </c>
      <c r="F1578" s="1254"/>
      <c r="G1578" s="1226" t="str">
        <f t="shared" si="245"/>
        <v>m2</v>
      </c>
      <c r="H1578" s="925"/>
      <c r="I1578" s="502">
        <v>223.2</v>
      </c>
      <c r="J1578" s="1243">
        <v>16000</v>
      </c>
      <c r="K1578" s="809"/>
      <c r="L1578" s="1226">
        <f t="shared" si="246"/>
        <v>3571200</v>
      </c>
      <c r="M1578" s="411"/>
      <c r="N1578" s="411"/>
      <c r="O1578" s="411"/>
      <c r="P1578" s="411"/>
      <c r="Q1578" s="1174"/>
      <c r="R1578" s="1226"/>
      <c r="S1578" s="486"/>
      <c r="T1578" s="486"/>
      <c r="U1578" s="486"/>
      <c r="V1578" s="486"/>
      <c r="W1578" s="486"/>
      <c r="X1578" s="486"/>
      <c r="Y1578" s="486"/>
      <c r="Z1578" s="486"/>
      <c r="AA1578" s="486"/>
      <c r="AB1578" s="486"/>
      <c r="AC1578" s="486"/>
      <c r="AD1578" s="486"/>
      <c r="AE1578" s="486"/>
      <c r="AF1578" s="486"/>
      <c r="AG1578" s="486"/>
      <c r="AH1578" s="486"/>
      <c r="AI1578" s="486"/>
      <c r="AJ1578" s="486"/>
      <c r="AK1578" s="486"/>
      <c r="AL1578" s="206"/>
      <c r="AM1578" s="206"/>
      <c r="AN1578" s="206"/>
      <c r="AO1578" s="206"/>
      <c r="AP1578" s="206"/>
      <c r="AQ1578" s="206"/>
      <c r="AR1578" s="206"/>
      <c r="AS1578" s="206"/>
      <c r="AT1578" s="206"/>
      <c r="AU1578" s="206"/>
      <c r="AV1578" s="206"/>
      <c r="AW1578" s="206"/>
      <c r="AX1578" s="206"/>
      <c r="AY1578" s="206"/>
      <c r="AZ1578" s="206"/>
      <c r="BA1578" s="206"/>
      <c r="BB1578" s="206"/>
      <c r="BC1578" s="206"/>
      <c r="BD1578" s="206"/>
      <c r="BE1578" s="206"/>
      <c r="BF1578" s="206"/>
      <c r="BG1578" s="206"/>
      <c r="BH1578" s="206"/>
      <c r="BI1578" s="206"/>
      <c r="BJ1578" s="206"/>
      <c r="BK1578" s="206"/>
      <c r="BL1578" s="206"/>
      <c r="BM1578" s="206"/>
      <c r="BN1578" s="206"/>
      <c r="BO1578" s="206"/>
      <c r="BP1578" s="206"/>
      <c r="BQ1578" s="206"/>
      <c r="BR1578" s="206"/>
      <c r="BS1578" s="206"/>
      <c r="BT1578" s="206"/>
      <c r="BU1578" s="206"/>
      <c r="BV1578" s="206"/>
      <c r="BW1578" s="206"/>
      <c r="BX1578" s="206"/>
      <c r="BY1578" s="206"/>
      <c r="BZ1578" s="206"/>
      <c r="CA1578" s="206"/>
      <c r="CB1578" s="206"/>
      <c r="CC1578" s="206"/>
      <c r="CD1578" s="206"/>
      <c r="CE1578" s="206"/>
      <c r="CF1578" s="206"/>
      <c r="CG1578" s="206"/>
      <c r="CH1578" s="206"/>
      <c r="CI1578" s="206"/>
      <c r="CJ1578" s="206"/>
      <c r="CK1578" s="206"/>
      <c r="CL1578" s="206"/>
      <c r="CM1578" s="206"/>
      <c r="CN1578" s="206"/>
      <c r="CO1578" s="206"/>
      <c r="CP1578" s="206"/>
      <c r="CQ1578" s="206"/>
      <c r="CR1578" s="206"/>
      <c r="CS1578" s="206"/>
      <c r="CT1578" s="206"/>
      <c r="CU1578" s="206"/>
      <c r="CV1578" s="206"/>
      <c r="CW1578" s="206"/>
      <c r="CX1578" s="206"/>
      <c r="CY1578" s="206"/>
      <c r="CZ1578" s="206"/>
      <c r="DA1578" s="206"/>
      <c r="DB1578" s="206"/>
      <c r="DC1578" s="206"/>
      <c r="DD1578" s="206"/>
      <c r="DE1578" s="206"/>
      <c r="DF1578" s="206"/>
      <c r="DG1578" s="206"/>
      <c r="DH1578" s="206"/>
      <c r="DI1578" s="206"/>
      <c r="DJ1578" s="206"/>
      <c r="DK1578" s="206"/>
      <c r="DL1578" s="206"/>
      <c r="DM1578" s="206"/>
      <c r="DN1578" s="206"/>
      <c r="DO1578" s="206"/>
      <c r="DP1578" s="206"/>
      <c r="DQ1578" s="206"/>
      <c r="DR1578" s="206"/>
      <c r="DS1578" s="206"/>
      <c r="DT1578" s="206"/>
      <c r="DU1578" s="206"/>
      <c r="DV1578" s="206"/>
      <c r="DW1578" s="206"/>
      <c r="DX1578" s="206"/>
      <c r="DY1578" s="206"/>
      <c r="DZ1578" s="206"/>
      <c r="EA1578" s="206"/>
      <c r="EB1578" s="206"/>
      <c r="EC1578" s="206"/>
      <c r="ED1578" s="206"/>
      <c r="EE1578" s="206"/>
      <c r="EF1578" s="206"/>
      <c r="EG1578" s="206"/>
      <c r="EH1578" s="206"/>
      <c r="EI1578" s="206"/>
      <c r="EJ1578" s="206"/>
      <c r="EK1578" s="206"/>
      <c r="EL1578" s="206"/>
      <c r="EM1578" s="206"/>
      <c r="EN1578" s="206"/>
      <c r="EO1578" s="206"/>
      <c r="EP1578" s="206"/>
      <c r="EQ1578" s="206"/>
      <c r="ER1578" s="206"/>
      <c r="ES1578" s="206"/>
      <c r="ET1578" s="206"/>
      <c r="EU1578" s="206"/>
      <c r="EV1578" s="206"/>
      <c r="EW1578" s="206"/>
      <c r="EX1578" s="206"/>
      <c r="EY1578" s="206"/>
      <c r="EZ1578" s="206"/>
      <c r="FA1578" s="206"/>
      <c r="FB1578" s="206"/>
      <c r="FC1578" s="206"/>
      <c r="FD1578" s="206"/>
      <c r="FE1578" s="206"/>
      <c r="FF1578" s="206"/>
      <c r="FG1578" s="206"/>
      <c r="FH1578" s="206"/>
      <c r="FI1578" s="206"/>
      <c r="FJ1578" s="206"/>
      <c r="FK1578" s="206"/>
      <c r="FL1578" s="206"/>
      <c r="FM1578" s="206"/>
      <c r="FN1578" s="206"/>
      <c r="FO1578" s="206"/>
      <c r="FP1578" s="206"/>
      <c r="FQ1578" s="206"/>
      <c r="FR1578" s="206"/>
      <c r="FS1578" s="206"/>
      <c r="FT1578" s="206"/>
      <c r="FU1578" s="206"/>
      <c r="FV1578" s="206"/>
      <c r="FW1578" s="206"/>
      <c r="FX1578" s="206"/>
      <c r="FY1578" s="206"/>
      <c r="FZ1578" s="206"/>
      <c r="GA1578" s="206"/>
      <c r="GB1578" s="206"/>
      <c r="GC1578" s="206"/>
      <c r="GD1578" s="206"/>
      <c r="GE1578" s="206"/>
      <c r="GF1578" s="206"/>
      <c r="GG1578" s="206"/>
      <c r="GH1578" s="206"/>
      <c r="GI1578" s="206"/>
      <c r="GJ1578" s="206"/>
      <c r="GK1578" s="206"/>
      <c r="GL1578" s="206"/>
      <c r="GM1578" s="206"/>
      <c r="GN1578" s="206"/>
      <c r="GO1578" s="206"/>
      <c r="GP1578" s="206"/>
      <c r="GQ1578" s="206"/>
      <c r="GR1578" s="206"/>
      <c r="GS1578" s="206"/>
      <c r="GT1578" s="206"/>
      <c r="GU1578" s="206"/>
      <c r="GV1578" s="206"/>
      <c r="GW1578" s="206"/>
      <c r="GX1578" s="206"/>
      <c r="GY1578" s="206"/>
      <c r="GZ1578" s="206"/>
      <c r="HA1578" s="206"/>
      <c r="HB1578" s="206"/>
      <c r="HC1578" s="206"/>
      <c r="HD1578" s="206"/>
      <c r="HE1578" s="206"/>
      <c r="HF1578" s="206"/>
      <c r="HG1578" s="206"/>
      <c r="HH1578" s="206"/>
      <c r="HI1578" s="206"/>
      <c r="HJ1578" s="206"/>
      <c r="HK1578" s="206"/>
      <c r="HL1578" s="206"/>
      <c r="HM1578" s="206"/>
      <c r="HN1578" s="206"/>
      <c r="HO1578" s="206"/>
      <c r="HP1578" s="206"/>
      <c r="HQ1578" s="206"/>
      <c r="HR1578" s="206"/>
      <c r="HS1578" s="206"/>
      <c r="HT1578" s="206"/>
      <c r="HU1578" s="206"/>
      <c r="HV1578" s="206"/>
      <c r="HW1578" s="206"/>
      <c r="HX1578" s="206"/>
      <c r="HY1578" s="206"/>
      <c r="HZ1578" s="206"/>
      <c r="IA1578" s="206"/>
      <c r="IB1578" s="206"/>
      <c r="IC1578" s="206"/>
      <c r="ID1578" s="206"/>
      <c r="IE1578" s="206"/>
      <c r="IF1578" s="206"/>
      <c r="IG1578" s="206"/>
      <c r="IH1578" s="206"/>
      <c r="II1578" s="206"/>
      <c r="IJ1578" s="206"/>
      <c r="IK1578" s="206"/>
      <c r="IL1578" s="206"/>
      <c r="IM1578" s="206"/>
      <c r="IN1578" s="206"/>
      <c r="IO1578" s="206"/>
      <c r="IP1578" s="206"/>
      <c r="IQ1578" s="206"/>
      <c r="IR1578" s="206"/>
      <c r="IS1578" s="206"/>
      <c r="IT1578" s="206"/>
      <c r="IU1578" s="206"/>
      <c r="IV1578" s="206"/>
      <c r="IW1578" s="206"/>
      <c r="IX1578" s="206"/>
      <c r="IY1578" s="206"/>
      <c r="IZ1578" s="206"/>
      <c r="JA1578" s="206"/>
      <c r="JB1578" s="206"/>
      <c r="JC1578" s="206"/>
      <c r="JD1578" s="206"/>
      <c r="JE1578" s="206"/>
      <c r="JF1578" s="206"/>
      <c r="JG1578" s="206"/>
      <c r="JH1578" s="206"/>
      <c r="JI1578" s="206"/>
      <c r="JJ1578" s="206"/>
      <c r="JK1578" s="206"/>
      <c r="JL1578" s="206"/>
      <c r="JM1578" s="206"/>
      <c r="JN1578" s="206"/>
      <c r="JO1578" s="206"/>
      <c r="JP1578" s="206"/>
      <c r="JQ1578" s="206"/>
      <c r="JR1578" s="206"/>
      <c r="JS1578" s="206"/>
      <c r="JT1578" s="206"/>
      <c r="JU1578" s="206"/>
      <c r="JV1578" s="206"/>
      <c r="JW1578" s="206"/>
      <c r="JX1578" s="206"/>
      <c r="JY1578" s="206"/>
      <c r="JZ1578" s="206"/>
      <c r="KA1578" s="206"/>
      <c r="KB1578" s="206"/>
      <c r="KC1578" s="206"/>
      <c r="KD1578" s="206"/>
      <c r="KE1578" s="206"/>
      <c r="KF1578" s="206"/>
      <c r="KG1578" s="206"/>
      <c r="KH1578" s="206"/>
      <c r="KI1578" s="206"/>
      <c r="KJ1578" s="206"/>
      <c r="KK1578" s="206"/>
      <c r="KL1578" s="206"/>
      <c r="KM1578" s="206"/>
      <c r="KN1578" s="206"/>
      <c r="KO1578" s="206"/>
      <c r="KP1578" s="206"/>
      <c r="KQ1578" s="206"/>
      <c r="KR1578" s="206"/>
      <c r="KS1578" s="206"/>
      <c r="KT1578" s="206"/>
      <c r="KU1578" s="206"/>
      <c r="KV1578" s="206"/>
      <c r="KW1578" s="206"/>
      <c r="KX1578" s="206"/>
      <c r="KY1578" s="206"/>
      <c r="KZ1578" s="206"/>
      <c r="LA1578" s="206"/>
      <c r="LB1578" s="206"/>
      <c r="LC1578" s="206"/>
      <c r="LD1578" s="206"/>
      <c r="LE1578" s="206"/>
      <c r="LF1578" s="206"/>
      <c r="LG1578" s="206"/>
      <c r="LH1578" s="206"/>
      <c r="LI1578" s="206"/>
      <c r="LJ1578" s="206"/>
      <c r="LK1578" s="206"/>
      <c r="LL1578" s="206"/>
      <c r="LM1578" s="206"/>
      <c r="LN1578" s="206"/>
      <c r="LO1578" s="206"/>
      <c r="LP1578" s="206"/>
      <c r="LQ1578" s="206"/>
      <c r="LR1578" s="206"/>
      <c r="LS1578" s="206"/>
      <c r="LT1578" s="206"/>
      <c r="LU1578" s="206"/>
      <c r="LV1578" s="206"/>
      <c r="LW1578" s="206"/>
      <c r="LX1578" s="206"/>
      <c r="LY1578" s="206"/>
      <c r="LZ1578" s="206"/>
      <c r="MA1578" s="206"/>
      <c r="MB1578" s="206"/>
      <c r="MC1578" s="206"/>
      <c r="MD1578" s="206"/>
      <c r="ME1578" s="206"/>
      <c r="MF1578" s="206"/>
      <c r="MG1578" s="206"/>
      <c r="MH1578" s="206"/>
      <c r="MI1578" s="206"/>
      <c r="MJ1578" s="206"/>
      <c r="MK1578" s="206"/>
      <c r="ML1578" s="206"/>
      <c r="MM1578" s="206"/>
      <c r="MN1578" s="206"/>
      <c r="MO1578" s="206"/>
      <c r="MP1578" s="206"/>
      <c r="MQ1578" s="206"/>
      <c r="MR1578" s="206"/>
      <c r="MS1578" s="206"/>
      <c r="MT1578" s="206"/>
      <c r="MU1578" s="206"/>
      <c r="MV1578" s="206"/>
      <c r="MW1578" s="206"/>
      <c r="MX1578" s="206"/>
      <c r="MY1578" s="206"/>
      <c r="MZ1578" s="206"/>
      <c r="NA1578" s="206"/>
      <c r="NB1578" s="206"/>
      <c r="NC1578" s="206"/>
      <c r="ND1578" s="206"/>
      <c r="NE1578" s="206"/>
      <c r="NF1578" s="206"/>
      <c r="NG1578" s="206"/>
      <c r="NH1578" s="206"/>
      <c r="NI1578" s="206"/>
      <c r="NJ1578" s="206"/>
      <c r="NK1578" s="206"/>
      <c r="NL1578" s="206"/>
      <c r="NM1578" s="206"/>
      <c r="NN1578" s="206"/>
      <c r="NO1578" s="206"/>
      <c r="NP1578" s="206"/>
      <c r="NQ1578" s="206"/>
      <c r="NR1578" s="206"/>
      <c r="NS1578" s="206"/>
      <c r="NT1578" s="206"/>
      <c r="NU1578" s="206"/>
      <c r="NV1578" s="206"/>
      <c r="NW1578" s="206"/>
      <c r="NX1578" s="206"/>
      <c r="NY1578" s="206"/>
      <c r="NZ1578" s="206"/>
      <c r="OA1578" s="206"/>
      <c r="OB1578" s="206"/>
      <c r="OC1578" s="206"/>
      <c r="OD1578" s="206"/>
      <c r="OE1578" s="206"/>
      <c r="OF1578" s="206"/>
      <c r="OG1578" s="206"/>
      <c r="OH1578" s="206"/>
      <c r="OI1578" s="206"/>
      <c r="OJ1578" s="206"/>
      <c r="OK1578" s="206"/>
      <c r="OL1578" s="206"/>
      <c r="OM1578" s="206"/>
      <c r="ON1578" s="206"/>
      <c r="OO1578" s="206"/>
      <c r="OP1578" s="206"/>
      <c r="OQ1578" s="206"/>
      <c r="OR1578" s="206"/>
      <c r="OS1578" s="206"/>
      <c r="OT1578" s="206"/>
      <c r="OU1578" s="206"/>
      <c r="OV1578" s="206"/>
      <c r="OW1578" s="206"/>
      <c r="OX1578" s="206"/>
      <c r="OY1578" s="206"/>
      <c r="OZ1578" s="206"/>
      <c r="PA1578" s="206"/>
      <c r="PB1578" s="206"/>
      <c r="PC1578" s="206"/>
      <c r="PD1578" s="206"/>
      <c r="PE1578" s="206"/>
      <c r="PF1578" s="206"/>
      <c r="PG1578" s="206"/>
      <c r="PH1578" s="206"/>
      <c r="PI1578" s="206"/>
      <c r="PJ1578" s="206"/>
      <c r="PK1578" s="206"/>
      <c r="PL1578" s="206"/>
      <c r="PM1578" s="206"/>
      <c r="PN1578" s="206"/>
      <c r="PO1578" s="206"/>
      <c r="PP1578" s="206"/>
      <c r="PQ1578" s="206"/>
      <c r="PR1578" s="206"/>
      <c r="PS1578" s="206"/>
      <c r="PT1578" s="206"/>
      <c r="PU1578" s="206"/>
      <c r="PV1578" s="206"/>
      <c r="PW1578" s="206"/>
      <c r="PX1578" s="206"/>
      <c r="PY1578" s="206"/>
      <c r="PZ1578" s="206"/>
      <c r="QA1578" s="206"/>
      <c r="QB1578" s="206"/>
      <c r="QC1578" s="206"/>
      <c r="QD1578" s="206"/>
      <c r="QE1578" s="206"/>
      <c r="QF1578" s="206"/>
      <c r="QG1578" s="206"/>
      <c r="QH1578" s="206"/>
      <c r="QI1578" s="206"/>
      <c r="QJ1578" s="206"/>
      <c r="QK1578" s="206"/>
      <c r="QL1578" s="206"/>
      <c r="QM1578" s="206"/>
      <c r="QN1578" s="206"/>
      <c r="QO1578" s="206"/>
      <c r="QP1578" s="206"/>
      <c r="QQ1578" s="206"/>
      <c r="QR1578" s="206"/>
      <c r="QS1578" s="206"/>
      <c r="QT1578" s="206"/>
      <c r="QU1578" s="206"/>
      <c r="QV1578" s="206"/>
      <c r="QW1578" s="206"/>
      <c r="QX1578" s="206"/>
      <c r="QY1578" s="206"/>
      <c r="QZ1578" s="206"/>
      <c r="RA1578" s="206"/>
      <c r="RB1578" s="206"/>
      <c r="RC1578" s="206"/>
      <c r="RD1578" s="206"/>
      <c r="RE1578" s="206"/>
      <c r="RF1578" s="206"/>
      <c r="RG1578" s="206"/>
      <c r="RH1578" s="206"/>
      <c r="RI1578" s="206"/>
      <c r="RJ1578" s="206"/>
      <c r="RK1578" s="206"/>
      <c r="RL1578" s="206"/>
      <c r="RM1578" s="206"/>
      <c r="RN1578" s="206"/>
      <c r="RO1578" s="206"/>
      <c r="RP1578" s="206"/>
      <c r="RQ1578" s="206"/>
      <c r="RR1578" s="206"/>
      <c r="RS1578" s="206"/>
      <c r="RT1578" s="206"/>
      <c r="RU1578" s="206"/>
      <c r="RV1578" s="206"/>
      <c r="RW1578" s="206"/>
      <c r="RX1578" s="206"/>
      <c r="RY1578" s="206"/>
      <c r="RZ1578" s="206"/>
      <c r="SA1578" s="206"/>
      <c r="SB1578" s="206"/>
      <c r="SC1578" s="206"/>
      <c r="SD1578" s="206"/>
      <c r="SE1578" s="206"/>
      <c r="SF1578" s="206"/>
      <c r="SG1578" s="206"/>
      <c r="SH1578" s="206"/>
      <c r="SI1578" s="206"/>
      <c r="SJ1578" s="206"/>
      <c r="SK1578" s="206"/>
      <c r="SL1578" s="206"/>
      <c r="SM1578" s="206"/>
      <c r="SN1578" s="206"/>
      <c r="SO1578" s="206"/>
      <c r="SP1578" s="206"/>
      <c r="SQ1578" s="206"/>
      <c r="SR1578" s="206"/>
      <c r="SS1578" s="206"/>
      <c r="ST1578" s="206"/>
      <c r="SU1578" s="206"/>
      <c r="SV1578" s="206"/>
      <c r="SW1578" s="206"/>
      <c r="SX1578" s="206"/>
      <c r="SY1578" s="206"/>
      <c r="SZ1578" s="206"/>
      <c r="TA1578" s="206"/>
      <c r="TB1578" s="206"/>
      <c r="TC1578" s="206"/>
      <c r="TD1578" s="206"/>
      <c r="TE1578" s="206"/>
      <c r="TF1578" s="206"/>
      <c r="TG1578" s="206"/>
      <c r="TH1578" s="206"/>
      <c r="TI1578" s="206"/>
      <c r="TJ1578" s="206"/>
      <c r="TK1578" s="206"/>
      <c r="TL1578" s="206"/>
      <c r="TM1578" s="206"/>
      <c r="TN1578" s="206"/>
      <c r="TO1578" s="206"/>
      <c r="TP1578" s="206"/>
      <c r="TQ1578" s="206"/>
      <c r="TR1578" s="206"/>
      <c r="TS1578" s="206"/>
      <c r="TT1578" s="206"/>
      <c r="TU1578" s="206"/>
      <c r="TV1578" s="206"/>
      <c r="TW1578" s="206"/>
      <c r="TX1578" s="206"/>
      <c r="TY1578" s="206"/>
      <c r="TZ1578" s="206"/>
      <c r="UA1578" s="206"/>
      <c r="UB1578" s="206"/>
      <c r="UC1578" s="206"/>
      <c r="UD1578" s="206"/>
    </row>
    <row r="1579" spans="1:550" s="874" customFormat="1" ht="51" customHeight="1">
      <c r="A1579" s="924" t="s">
        <v>53</v>
      </c>
      <c r="B1579" s="411"/>
      <c r="C1579" s="1636" t="s">
        <v>59</v>
      </c>
      <c r="D1579" s="1452"/>
      <c r="E1579" s="1452"/>
      <c r="F1579" s="1452"/>
      <c r="G1579" s="1226"/>
      <c r="H1579" s="925"/>
      <c r="I1579" s="502"/>
      <c r="J1579" s="1243"/>
      <c r="K1579" s="809"/>
      <c r="L1579" s="411">
        <f>SUM(L1580:L1585)</f>
        <v>470291000</v>
      </c>
      <c r="M1579" s="411"/>
      <c r="N1579" s="411"/>
      <c r="O1579" s="411"/>
      <c r="P1579" s="411">
        <f>L1579</f>
        <v>470291000</v>
      </c>
      <c r="Q1579" s="1174"/>
      <c r="R1579" s="1447" t="s">
        <v>60</v>
      </c>
      <c r="S1579" s="486"/>
      <c r="T1579" s="486"/>
      <c r="U1579" s="486"/>
      <c r="V1579" s="486"/>
      <c r="W1579" s="486"/>
      <c r="X1579" s="486"/>
      <c r="Y1579" s="486"/>
      <c r="Z1579" s="486"/>
      <c r="AA1579" s="486"/>
      <c r="AB1579" s="486"/>
      <c r="AC1579" s="486"/>
      <c r="AD1579" s="486"/>
      <c r="AE1579" s="486"/>
      <c r="AF1579" s="486"/>
      <c r="AG1579" s="486"/>
      <c r="AH1579" s="486"/>
      <c r="AI1579" s="486"/>
      <c r="AJ1579" s="486"/>
      <c r="AK1579" s="486"/>
      <c r="AL1579" s="206"/>
      <c r="AM1579" s="206"/>
      <c r="AN1579" s="206"/>
      <c r="AO1579" s="206"/>
      <c r="AP1579" s="206"/>
      <c r="AQ1579" s="206"/>
      <c r="AR1579" s="206"/>
      <c r="AS1579" s="206"/>
      <c r="AT1579" s="206"/>
      <c r="AU1579" s="206"/>
      <c r="AV1579" s="206"/>
      <c r="AW1579" s="206"/>
      <c r="AX1579" s="206"/>
      <c r="AY1579" s="206"/>
      <c r="AZ1579" s="206"/>
      <c r="BA1579" s="206"/>
      <c r="BB1579" s="206"/>
      <c r="BC1579" s="206"/>
      <c r="BD1579" s="206"/>
      <c r="BE1579" s="206"/>
      <c r="BF1579" s="206"/>
      <c r="BG1579" s="206"/>
      <c r="BH1579" s="206"/>
      <c r="BI1579" s="206"/>
      <c r="BJ1579" s="206"/>
      <c r="BK1579" s="206"/>
      <c r="BL1579" s="206"/>
      <c r="BM1579" s="206"/>
      <c r="BN1579" s="206"/>
      <c r="BO1579" s="206"/>
      <c r="BP1579" s="206"/>
      <c r="BQ1579" s="206"/>
      <c r="BR1579" s="206"/>
      <c r="BS1579" s="206"/>
      <c r="BT1579" s="206"/>
      <c r="BU1579" s="206"/>
      <c r="BV1579" s="206"/>
      <c r="BW1579" s="206"/>
      <c r="BX1579" s="206"/>
      <c r="BY1579" s="206"/>
      <c r="BZ1579" s="206"/>
      <c r="CA1579" s="206"/>
      <c r="CB1579" s="206"/>
      <c r="CC1579" s="206"/>
      <c r="CD1579" s="206"/>
      <c r="CE1579" s="206"/>
      <c r="CF1579" s="206"/>
      <c r="CG1579" s="206"/>
      <c r="CH1579" s="206"/>
      <c r="CI1579" s="206"/>
      <c r="CJ1579" s="206"/>
      <c r="CK1579" s="206"/>
      <c r="CL1579" s="206"/>
      <c r="CM1579" s="206"/>
      <c r="CN1579" s="206"/>
      <c r="CO1579" s="206"/>
      <c r="CP1579" s="206"/>
      <c r="CQ1579" s="206"/>
      <c r="CR1579" s="206"/>
      <c r="CS1579" s="206"/>
      <c r="CT1579" s="206"/>
      <c r="CU1579" s="206"/>
      <c r="CV1579" s="206"/>
      <c r="CW1579" s="206"/>
      <c r="CX1579" s="206"/>
      <c r="CY1579" s="206"/>
      <c r="CZ1579" s="206"/>
      <c r="DA1579" s="206"/>
      <c r="DB1579" s="206"/>
      <c r="DC1579" s="206"/>
      <c r="DD1579" s="206"/>
      <c r="DE1579" s="206"/>
      <c r="DF1579" s="206"/>
      <c r="DG1579" s="206"/>
      <c r="DH1579" s="206"/>
      <c r="DI1579" s="206"/>
      <c r="DJ1579" s="206"/>
      <c r="DK1579" s="206"/>
      <c r="DL1579" s="206"/>
      <c r="DM1579" s="206"/>
      <c r="DN1579" s="206"/>
      <c r="DO1579" s="206"/>
      <c r="DP1579" s="206"/>
      <c r="DQ1579" s="206"/>
      <c r="DR1579" s="206"/>
      <c r="DS1579" s="206"/>
      <c r="DT1579" s="206"/>
      <c r="DU1579" s="206"/>
      <c r="DV1579" s="206"/>
      <c r="DW1579" s="206"/>
      <c r="DX1579" s="206"/>
      <c r="DY1579" s="206"/>
      <c r="DZ1579" s="206"/>
      <c r="EA1579" s="206"/>
      <c r="EB1579" s="206"/>
      <c r="EC1579" s="206"/>
      <c r="ED1579" s="206"/>
      <c r="EE1579" s="206"/>
      <c r="EF1579" s="206"/>
      <c r="EG1579" s="206"/>
      <c r="EH1579" s="206"/>
      <c r="EI1579" s="206"/>
      <c r="EJ1579" s="206"/>
      <c r="EK1579" s="206"/>
      <c r="EL1579" s="206"/>
      <c r="EM1579" s="206"/>
      <c r="EN1579" s="206"/>
      <c r="EO1579" s="206"/>
      <c r="EP1579" s="206"/>
      <c r="EQ1579" s="206"/>
      <c r="ER1579" s="206"/>
      <c r="ES1579" s="206"/>
      <c r="ET1579" s="206"/>
      <c r="EU1579" s="206"/>
      <c r="EV1579" s="206"/>
      <c r="EW1579" s="206"/>
      <c r="EX1579" s="206"/>
      <c r="EY1579" s="206"/>
      <c r="EZ1579" s="206"/>
      <c r="FA1579" s="206"/>
      <c r="FB1579" s="206"/>
      <c r="FC1579" s="206"/>
      <c r="FD1579" s="206"/>
      <c r="FE1579" s="206"/>
      <c r="FF1579" s="206"/>
      <c r="FG1579" s="206"/>
      <c r="FH1579" s="206"/>
      <c r="FI1579" s="206"/>
      <c r="FJ1579" s="206"/>
      <c r="FK1579" s="206"/>
      <c r="FL1579" s="206"/>
      <c r="FM1579" s="206"/>
      <c r="FN1579" s="206"/>
      <c r="FO1579" s="206"/>
      <c r="FP1579" s="206"/>
      <c r="FQ1579" s="206"/>
      <c r="FR1579" s="206"/>
      <c r="FS1579" s="206"/>
      <c r="FT1579" s="206"/>
      <c r="FU1579" s="206"/>
      <c r="FV1579" s="206"/>
      <c r="FW1579" s="206"/>
      <c r="FX1579" s="206"/>
      <c r="FY1579" s="206"/>
      <c r="FZ1579" s="206"/>
      <c r="GA1579" s="206"/>
      <c r="GB1579" s="206"/>
      <c r="GC1579" s="206"/>
      <c r="GD1579" s="206"/>
      <c r="GE1579" s="206"/>
      <c r="GF1579" s="206"/>
      <c r="GG1579" s="206"/>
      <c r="GH1579" s="206"/>
      <c r="GI1579" s="206"/>
      <c r="GJ1579" s="206"/>
      <c r="GK1579" s="206"/>
      <c r="GL1579" s="206"/>
      <c r="GM1579" s="206"/>
      <c r="GN1579" s="206"/>
      <c r="GO1579" s="206"/>
      <c r="GP1579" s="206"/>
      <c r="GQ1579" s="206"/>
      <c r="GR1579" s="206"/>
      <c r="GS1579" s="206"/>
      <c r="GT1579" s="206"/>
      <c r="GU1579" s="206"/>
      <c r="GV1579" s="206"/>
      <c r="GW1579" s="206"/>
      <c r="GX1579" s="206"/>
      <c r="GY1579" s="206"/>
      <c r="GZ1579" s="206"/>
      <c r="HA1579" s="206"/>
      <c r="HB1579" s="206"/>
      <c r="HC1579" s="206"/>
      <c r="HD1579" s="206"/>
      <c r="HE1579" s="206"/>
      <c r="HF1579" s="206"/>
      <c r="HG1579" s="206"/>
      <c r="HH1579" s="206"/>
      <c r="HI1579" s="206"/>
      <c r="HJ1579" s="206"/>
      <c r="HK1579" s="206"/>
      <c r="HL1579" s="206"/>
      <c r="HM1579" s="206"/>
      <c r="HN1579" s="206"/>
      <c r="HO1579" s="206"/>
      <c r="HP1579" s="206"/>
      <c r="HQ1579" s="206"/>
      <c r="HR1579" s="206"/>
      <c r="HS1579" s="206"/>
      <c r="HT1579" s="206"/>
      <c r="HU1579" s="206"/>
      <c r="HV1579" s="206"/>
      <c r="HW1579" s="206"/>
      <c r="HX1579" s="206"/>
      <c r="HY1579" s="206"/>
      <c r="HZ1579" s="206"/>
      <c r="IA1579" s="206"/>
      <c r="IB1579" s="206"/>
      <c r="IC1579" s="206"/>
      <c r="ID1579" s="206"/>
      <c r="IE1579" s="206"/>
      <c r="IF1579" s="206"/>
      <c r="IG1579" s="206"/>
      <c r="IH1579" s="206"/>
      <c r="II1579" s="206"/>
      <c r="IJ1579" s="206"/>
      <c r="IK1579" s="206"/>
      <c r="IL1579" s="206"/>
      <c r="IM1579" s="206"/>
      <c r="IN1579" s="206"/>
      <c r="IO1579" s="206"/>
      <c r="IP1579" s="206"/>
      <c r="IQ1579" s="206"/>
      <c r="IR1579" s="206"/>
      <c r="IS1579" s="206"/>
      <c r="IT1579" s="206"/>
      <c r="IU1579" s="206"/>
      <c r="IV1579" s="206"/>
      <c r="IW1579" s="206"/>
      <c r="IX1579" s="206"/>
      <c r="IY1579" s="206"/>
      <c r="IZ1579" s="206"/>
      <c r="JA1579" s="206"/>
      <c r="JB1579" s="206"/>
      <c r="JC1579" s="206"/>
      <c r="JD1579" s="206"/>
      <c r="JE1579" s="206"/>
      <c r="JF1579" s="206"/>
      <c r="JG1579" s="206"/>
      <c r="JH1579" s="206"/>
      <c r="JI1579" s="206"/>
      <c r="JJ1579" s="206"/>
      <c r="JK1579" s="206"/>
      <c r="JL1579" s="206"/>
      <c r="JM1579" s="206"/>
      <c r="JN1579" s="206"/>
      <c r="JO1579" s="206"/>
      <c r="JP1579" s="206"/>
      <c r="JQ1579" s="206"/>
      <c r="JR1579" s="206"/>
      <c r="JS1579" s="206"/>
      <c r="JT1579" s="206"/>
      <c r="JU1579" s="206"/>
      <c r="JV1579" s="206"/>
      <c r="JW1579" s="206"/>
      <c r="JX1579" s="206"/>
      <c r="JY1579" s="206"/>
      <c r="JZ1579" s="206"/>
      <c r="KA1579" s="206"/>
      <c r="KB1579" s="206"/>
      <c r="KC1579" s="206"/>
      <c r="KD1579" s="206"/>
      <c r="KE1579" s="206"/>
      <c r="KF1579" s="206"/>
      <c r="KG1579" s="206"/>
      <c r="KH1579" s="206"/>
      <c r="KI1579" s="206"/>
      <c r="KJ1579" s="206"/>
      <c r="KK1579" s="206"/>
      <c r="KL1579" s="206"/>
      <c r="KM1579" s="206"/>
      <c r="KN1579" s="206"/>
      <c r="KO1579" s="206"/>
      <c r="KP1579" s="206"/>
      <c r="KQ1579" s="206"/>
      <c r="KR1579" s="206"/>
      <c r="KS1579" s="206"/>
      <c r="KT1579" s="206"/>
      <c r="KU1579" s="206"/>
      <c r="KV1579" s="206"/>
      <c r="KW1579" s="206"/>
      <c r="KX1579" s="206"/>
      <c r="KY1579" s="206"/>
      <c r="KZ1579" s="206"/>
      <c r="LA1579" s="206"/>
      <c r="LB1579" s="206"/>
      <c r="LC1579" s="206"/>
      <c r="LD1579" s="206"/>
      <c r="LE1579" s="206"/>
      <c r="LF1579" s="206"/>
      <c r="LG1579" s="206"/>
      <c r="LH1579" s="206"/>
      <c r="LI1579" s="206"/>
      <c r="LJ1579" s="206"/>
      <c r="LK1579" s="206"/>
      <c r="LL1579" s="206"/>
      <c r="LM1579" s="206"/>
      <c r="LN1579" s="206"/>
      <c r="LO1579" s="206"/>
      <c r="LP1579" s="206"/>
      <c r="LQ1579" s="206"/>
      <c r="LR1579" s="206"/>
      <c r="LS1579" s="206"/>
      <c r="LT1579" s="206"/>
      <c r="LU1579" s="206"/>
      <c r="LV1579" s="206"/>
      <c r="LW1579" s="206"/>
      <c r="LX1579" s="206"/>
      <c r="LY1579" s="206"/>
      <c r="LZ1579" s="206"/>
      <c r="MA1579" s="206"/>
      <c r="MB1579" s="206"/>
      <c r="MC1579" s="206"/>
      <c r="MD1579" s="206"/>
      <c r="ME1579" s="206"/>
      <c r="MF1579" s="206"/>
      <c r="MG1579" s="206"/>
      <c r="MH1579" s="206"/>
      <c r="MI1579" s="206"/>
      <c r="MJ1579" s="206"/>
      <c r="MK1579" s="206"/>
      <c r="ML1579" s="206"/>
      <c r="MM1579" s="206"/>
      <c r="MN1579" s="206"/>
      <c r="MO1579" s="206"/>
      <c r="MP1579" s="206"/>
      <c r="MQ1579" s="206"/>
      <c r="MR1579" s="206"/>
      <c r="MS1579" s="206"/>
      <c r="MT1579" s="206"/>
      <c r="MU1579" s="206"/>
      <c r="MV1579" s="206"/>
      <c r="MW1579" s="206"/>
      <c r="MX1579" s="206"/>
      <c r="MY1579" s="206"/>
      <c r="MZ1579" s="206"/>
      <c r="NA1579" s="206"/>
      <c r="NB1579" s="206"/>
      <c r="NC1579" s="206"/>
      <c r="ND1579" s="206"/>
      <c r="NE1579" s="206"/>
      <c r="NF1579" s="206"/>
      <c r="NG1579" s="206"/>
      <c r="NH1579" s="206"/>
      <c r="NI1579" s="206"/>
      <c r="NJ1579" s="206"/>
      <c r="NK1579" s="206"/>
      <c r="NL1579" s="206"/>
      <c r="NM1579" s="206"/>
      <c r="NN1579" s="206"/>
      <c r="NO1579" s="206"/>
      <c r="NP1579" s="206"/>
      <c r="NQ1579" s="206"/>
      <c r="NR1579" s="206"/>
      <c r="NS1579" s="206"/>
      <c r="NT1579" s="206"/>
      <c r="NU1579" s="206"/>
      <c r="NV1579" s="206"/>
      <c r="NW1579" s="206"/>
      <c r="NX1579" s="206"/>
      <c r="NY1579" s="206"/>
      <c r="NZ1579" s="206"/>
      <c r="OA1579" s="206"/>
      <c r="OB1579" s="206"/>
      <c r="OC1579" s="206"/>
      <c r="OD1579" s="206"/>
      <c r="OE1579" s="206"/>
      <c r="OF1579" s="206"/>
      <c r="OG1579" s="206"/>
      <c r="OH1579" s="206"/>
      <c r="OI1579" s="206"/>
      <c r="OJ1579" s="206"/>
      <c r="OK1579" s="206"/>
      <c r="OL1579" s="206"/>
      <c r="OM1579" s="206"/>
      <c r="ON1579" s="206"/>
      <c r="OO1579" s="206"/>
      <c r="OP1579" s="206"/>
      <c r="OQ1579" s="206"/>
      <c r="OR1579" s="206"/>
      <c r="OS1579" s="206"/>
      <c r="OT1579" s="206"/>
      <c r="OU1579" s="206"/>
      <c r="OV1579" s="206"/>
      <c r="OW1579" s="206"/>
      <c r="OX1579" s="206"/>
      <c r="OY1579" s="206"/>
      <c r="OZ1579" s="206"/>
      <c r="PA1579" s="206"/>
      <c r="PB1579" s="206"/>
      <c r="PC1579" s="206"/>
      <c r="PD1579" s="206"/>
      <c r="PE1579" s="206"/>
      <c r="PF1579" s="206"/>
      <c r="PG1579" s="206"/>
      <c r="PH1579" s="206"/>
      <c r="PI1579" s="206"/>
      <c r="PJ1579" s="206"/>
      <c r="PK1579" s="206"/>
      <c r="PL1579" s="206"/>
      <c r="PM1579" s="206"/>
      <c r="PN1579" s="206"/>
      <c r="PO1579" s="206"/>
      <c r="PP1579" s="206"/>
      <c r="PQ1579" s="206"/>
      <c r="PR1579" s="206"/>
      <c r="PS1579" s="206"/>
      <c r="PT1579" s="206"/>
      <c r="PU1579" s="206"/>
      <c r="PV1579" s="206"/>
      <c r="PW1579" s="206"/>
      <c r="PX1579" s="206"/>
      <c r="PY1579" s="206"/>
      <c r="PZ1579" s="206"/>
      <c r="QA1579" s="206"/>
      <c r="QB1579" s="206"/>
      <c r="QC1579" s="206"/>
      <c r="QD1579" s="206"/>
      <c r="QE1579" s="206"/>
      <c r="QF1579" s="206"/>
      <c r="QG1579" s="206"/>
      <c r="QH1579" s="206"/>
      <c r="QI1579" s="206"/>
      <c r="QJ1579" s="206"/>
      <c r="QK1579" s="206"/>
      <c r="QL1579" s="206"/>
      <c r="QM1579" s="206"/>
      <c r="QN1579" s="206"/>
      <c r="QO1579" s="206"/>
      <c r="QP1579" s="206"/>
      <c r="QQ1579" s="206"/>
      <c r="QR1579" s="206"/>
      <c r="QS1579" s="206"/>
      <c r="QT1579" s="206"/>
      <c r="QU1579" s="206"/>
      <c r="QV1579" s="206"/>
      <c r="QW1579" s="206"/>
      <c r="QX1579" s="206"/>
      <c r="QY1579" s="206"/>
      <c r="QZ1579" s="206"/>
      <c r="RA1579" s="206"/>
      <c r="RB1579" s="206"/>
      <c r="RC1579" s="206"/>
      <c r="RD1579" s="206"/>
      <c r="RE1579" s="206"/>
      <c r="RF1579" s="206"/>
      <c r="RG1579" s="206"/>
      <c r="RH1579" s="206"/>
      <c r="RI1579" s="206"/>
      <c r="RJ1579" s="206"/>
      <c r="RK1579" s="206"/>
      <c r="RL1579" s="206"/>
      <c r="RM1579" s="206"/>
      <c r="RN1579" s="206"/>
      <c r="RO1579" s="206"/>
      <c r="RP1579" s="206"/>
      <c r="RQ1579" s="206"/>
      <c r="RR1579" s="206"/>
      <c r="RS1579" s="206"/>
      <c r="RT1579" s="206"/>
      <c r="RU1579" s="206"/>
      <c r="RV1579" s="206"/>
      <c r="RW1579" s="206"/>
      <c r="RX1579" s="206"/>
      <c r="RY1579" s="206"/>
      <c r="RZ1579" s="206"/>
      <c r="SA1579" s="206"/>
      <c r="SB1579" s="206"/>
      <c r="SC1579" s="206"/>
      <c r="SD1579" s="206"/>
      <c r="SE1579" s="206"/>
      <c r="SF1579" s="206"/>
      <c r="SG1579" s="206"/>
      <c r="SH1579" s="206"/>
      <c r="SI1579" s="206"/>
      <c r="SJ1579" s="206"/>
      <c r="SK1579" s="206"/>
      <c r="SL1579" s="206"/>
      <c r="SM1579" s="206"/>
      <c r="SN1579" s="206"/>
      <c r="SO1579" s="206"/>
      <c r="SP1579" s="206"/>
      <c r="SQ1579" s="206"/>
      <c r="SR1579" s="206"/>
      <c r="SS1579" s="206"/>
      <c r="ST1579" s="206"/>
      <c r="SU1579" s="206"/>
      <c r="SV1579" s="206"/>
      <c r="SW1579" s="206"/>
      <c r="SX1579" s="206"/>
      <c r="SY1579" s="206"/>
      <c r="SZ1579" s="206"/>
      <c r="TA1579" s="206"/>
      <c r="TB1579" s="206"/>
      <c r="TC1579" s="206"/>
      <c r="TD1579" s="206"/>
      <c r="TE1579" s="206"/>
      <c r="TF1579" s="206"/>
      <c r="TG1579" s="206"/>
      <c r="TH1579" s="206"/>
      <c r="TI1579" s="206"/>
      <c r="TJ1579" s="206"/>
      <c r="TK1579" s="206"/>
      <c r="TL1579" s="206"/>
      <c r="TM1579" s="206"/>
      <c r="TN1579" s="206"/>
      <c r="TO1579" s="206"/>
      <c r="TP1579" s="206"/>
      <c r="TQ1579" s="206"/>
      <c r="TR1579" s="206"/>
      <c r="TS1579" s="206"/>
      <c r="TT1579" s="206"/>
      <c r="TU1579" s="206"/>
      <c r="TV1579" s="206"/>
      <c r="TW1579" s="206"/>
      <c r="TX1579" s="206"/>
      <c r="TY1579" s="206"/>
      <c r="TZ1579" s="206"/>
      <c r="UA1579" s="206"/>
      <c r="UB1579" s="206"/>
      <c r="UC1579" s="206"/>
      <c r="UD1579" s="206"/>
    </row>
    <row r="1580" spans="1:550" s="874" customFormat="1" ht="53.25" customHeight="1">
      <c r="A1580" s="924" t="s">
        <v>15</v>
      </c>
      <c r="B1580" s="1230"/>
      <c r="C1580" s="1227" t="str">
        <f t="shared" ref="C1580:C1585" si="247">C1569</f>
        <v>Đất trồng lúa còn lại (LUK)</v>
      </c>
      <c r="D1580" s="470" t="str">
        <f t="shared" ref="D1580:D1585" si="248">D1541</f>
        <v>1</v>
      </c>
      <c r="E1580" s="470" t="str">
        <f t="shared" ref="E1580:E1585" si="249">E1569</f>
        <v>196</v>
      </c>
      <c r="F1580" s="1230"/>
      <c r="G1580" s="501"/>
      <c r="H1580" s="925"/>
      <c r="I1580" s="423">
        <f>I1569</f>
        <v>353.3</v>
      </c>
      <c r="J1580" s="1243">
        <v>62000</v>
      </c>
      <c r="K1580" s="973">
        <v>2.5</v>
      </c>
      <c r="L1580" s="1226">
        <f>I1580*J1580*K1580</f>
        <v>54761500</v>
      </c>
      <c r="M1580" s="1226"/>
      <c r="N1580" s="1226"/>
      <c r="O1580" s="1226"/>
      <c r="P1580" s="1226"/>
      <c r="Q1580" s="1134"/>
      <c r="R1580" s="1452"/>
      <c r="S1580" s="486"/>
      <c r="T1580" s="486"/>
      <c r="U1580" s="486"/>
      <c r="V1580" s="486"/>
      <c r="W1580" s="486"/>
      <c r="X1580" s="486"/>
      <c r="Y1580" s="486"/>
      <c r="Z1580" s="486"/>
      <c r="AA1580" s="486"/>
      <c r="AB1580" s="486"/>
      <c r="AC1580" s="486"/>
      <c r="AD1580" s="486"/>
      <c r="AE1580" s="486"/>
      <c r="AF1580" s="486"/>
      <c r="AG1580" s="486"/>
      <c r="AH1580" s="486"/>
      <c r="AI1580" s="486"/>
      <c r="AJ1580" s="486"/>
      <c r="AK1580" s="486"/>
      <c r="AL1580" s="206"/>
      <c r="AM1580" s="206"/>
      <c r="AN1580" s="206"/>
      <c r="AO1580" s="206"/>
      <c r="AP1580" s="206"/>
      <c r="AQ1580" s="206"/>
      <c r="AR1580" s="206"/>
      <c r="AS1580" s="206"/>
      <c r="AT1580" s="206"/>
      <c r="AU1580" s="206"/>
      <c r="AV1580" s="206"/>
      <c r="AW1580" s="206"/>
      <c r="AX1580" s="206"/>
      <c r="AY1580" s="206"/>
      <c r="AZ1580" s="206"/>
      <c r="BA1580" s="206"/>
      <c r="BB1580" s="206"/>
      <c r="BC1580" s="206"/>
      <c r="BD1580" s="206"/>
      <c r="BE1580" s="206"/>
      <c r="BF1580" s="206"/>
      <c r="BG1580" s="206"/>
      <c r="BH1580" s="206"/>
      <c r="BI1580" s="206"/>
      <c r="BJ1580" s="206"/>
      <c r="BK1580" s="206"/>
      <c r="BL1580" s="206"/>
      <c r="BM1580" s="206"/>
      <c r="BN1580" s="206"/>
      <c r="BO1580" s="206"/>
      <c r="BP1580" s="206"/>
      <c r="BQ1580" s="206"/>
      <c r="BR1580" s="206"/>
      <c r="BS1580" s="206"/>
      <c r="BT1580" s="206"/>
      <c r="BU1580" s="206"/>
      <c r="BV1580" s="206"/>
      <c r="BW1580" s="206"/>
      <c r="BX1580" s="206"/>
      <c r="BY1580" s="206"/>
      <c r="BZ1580" s="206"/>
      <c r="CA1580" s="206"/>
      <c r="CB1580" s="206"/>
      <c r="CC1580" s="206"/>
      <c r="CD1580" s="206"/>
      <c r="CE1580" s="206"/>
      <c r="CF1580" s="206"/>
      <c r="CG1580" s="206"/>
      <c r="CH1580" s="206"/>
      <c r="CI1580" s="206"/>
      <c r="CJ1580" s="206"/>
      <c r="CK1580" s="206"/>
      <c r="CL1580" s="206"/>
      <c r="CM1580" s="206"/>
      <c r="CN1580" s="206"/>
      <c r="CO1580" s="206"/>
      <c r="CP1580" s="206"/>
      <c r="CQ1580" s="206"/>
      <c r="CR1580" s="206"/>
      <c r="CS1580" s="206"/>
      <c r="CT1580" s="206"/>
      <c r="CU1580" s="206"/>
      <c r="CV1580" s="206"/>
      <c r="CW1580" s="206"/>
      <c r="CX1580" s="206"/>
      <c r="CY1580" s="206"/>
      <c r="CZ1580" s="206"/>
      <c r="DA1580" s="206"/>
      <c r="DB1580" s="206"/>
      <c r="DC1580" s="206"/>
      <c r="DD1580" s="206"/>
      <c r="DE1580" s="206"/>
      <c r="DF1580" s="206"/>
      <c r="DG1580" s="206"/>
      <c r="DH1580" s="206"/>
      <c r="DI1580" s="206"/>
      <c r="DJ1580" s="206"/>
      <c r="DK1580" s="206"/>
      <c r="DL1580" s="206"/>
      <c r="DM1580" s="206"/>
      <c r="DN1580" s="206"/>
      <c r="DO1580" s="206"/>
      <c r="DP1580" s="206"/>
      <c r="DQ1580" s="206"/>
      <c r="DR1580" s="206"/>
      <c r="DS1580" s="206"/>
      <c r="DT1580" s="206"/>
      <c r="DU1580" s="206"/>
      <c r="DV1580" s="206"/>
      <c r="DW1580" s="206"/>
      <c r="DX1580" s="206"/>
      <c r="DY1580" s="206"/>
      <c r="DZ1580" s="206"/>
      <c r="EA1580" s="206"/>
      <c r="EB1580" s="206"/>
      <c r="EC1580" s="206"/>
      <c r="ED1580" s="206"/>
      <c r="EE1580" s="206"/>
      <c r="EF1580" s="206"/>
      <c r="EG1580" s="206"/>
      <c r="EH1580" s="206"/>
      <c r="EI1580" s="206"/>
      <c r="EJ1580" s="206"/>
      <c r="EK1580" s="206"/>
      <c r="EL1580" s="206"/>
      <c r="EM1580" s="206"/>
      <c r="EN1580" s="206"/>
      <c r="EO1580" s="206"/>
      <c r="EP1580" s="206"/>
      <c r="EQ1580" s="206"/>
      <c r="ER1580" s="206"/>
      <c r="ES1580" s="206"/>
      <c r="ET1580" s="206"/>
      <c r="EU1580" s="206"/>
      <c r="EV1580" s="206"/>
      <c r="EW1580" s="206"/>
      <c r="EX1580" s="206"/>
      <c r="EY1580" s="206"/>
      <c r="EZ1580" s="206"/>
      <c r="FA1580" s="206"/>
      <c r="FB1580" s="206"/>
      <c r="FC1580" s="206"/>
      <c r="FD1580" s="206"/>
      <c r="FE1580" s="206"/>
      <c r="FF1580" s="206"/>
      <c r="FG1580" s="206"/>
      <c r="FH1580" s="206"/>
      <c r="FI1580" s="206"/>
      <c r="FJ1580" s="206"/>
      <c r="FK1580" s="206"/>
      <c r="FL1580" s="206"/>
      <c r="FM1580" s="206"/>
      <c r="FN1580" s="206"/>
      <c r="FO1580" s="206"/>
      <c r="FP1580" s="206"/>
      <c r="FQ1580" s="206"/>
      <c r="FR1580" s="206"/>
      <c r="FS1580" s="206"/>
      <c r="FT1580" s="206"/>
      <c r="FU1580" s="206"/>
      <c r="FV1580" s="206"/>
      <c r="FW1580" s="206"/>
      <c r="FX1580" s="206"/>
      <c r="FY1580" s="206"/>
      <c r="FZ1580" s="206"/>
      <c r="GA1580" s="206"/>
      <c r="GB1580" s="206"/>
      <c r="GC1580" s="206"/>
      <c r="GD1580" s="206"/>
      <c r="GE1580" s="206"/>
      <c r="GF1580" s="206"/>
      <c r="GG1580" s="206"/>
      <c r="GH1580" s="206"/>
      <c r="GI1580" s="206"/>
      <c r="GJ1580" s="206"/>
      <c r="GK1580" s="206"/>
      <c r="GL1580" s="206"/>
      <c r="GM1580" s="206"/>
      <c r="GN1580" s="206"/>
      <c r="GO1580" s="206"/>
      <c r="GP1580" s="206"/>
      <c r="GQ1580" s="206"/>
      <c r="GR1580" s="206"/>
      <c r="GS1580" s="206"/>
      <c r="GT1580" s="206"/>
      <c r="GU1580" s="206"/>
      <c r="GV1580" s="206"/>
      <c r="GW1580" s="206"/>
      <c r="GX1580" s="206"/>
      <c r="GY1580" s="206"/>
      <c r="GZ1580" s="206"/>
      <c r="HA1580" s="206"/>
      <c r="HB1580" s="206"/>
      <c r="HC1580" s="206"/>
      <c r="HD1580" s="206"/>
      <c r="HE1580" s="206"/>
      <c r="HF1580" s="206"/>
      <c r="HG1580" s="206"/>
      <c r="HH1580" s="206"/>
      <c r="HI1580" s="206"/>
      <c r="HJ1580" s="206"/>
      <c r="HK1580" s="206"/>
      <c r="HL1580" s="206"/>
      <c r="HM1580" s="206"/>
      <c r="HN1580" s="206"/>
      <c r="HO1580" s="206"/>
      <c r="HP1580" s="206"/>
      <c r="HQ1580" s="206"/>
      <c r="HR1580" s="206"/>
      <c r="HS1580" s="206"/>
      <c r="HT1580" s="206"/>
      <c r="HU1580" s="206"/>
      <c r="HV1580" s="206"/>
      <c r="HW1580" s="206"/>
      <c r="HX1580" s="206"/>
      <c r="HY1580" s="206"/>
      <c r="HZ1580" s="206"/>
      <c r="IA1580" s="206"/>
      <c r="IB1580" s="206"/>
      <c r="IC1580" s="206"/>
      <c r="ID1580" s="206"/>
      <c r="IE1580" s="206"/>
      <c r="IF1580" s="206"/>
      <c r="IG1580" s="206"/>
      <c r="IH1580" s="206"/>
      <c r="II1580" s="206"/>
      <c r="IJ1580" s="206"/>
      <c r="IK1580" s="206"/>
      <c r="IL1580" s="206"/>
      <c r="IM1580" s="206"/>
      <c r="IN1580" s="206"/>
      <c r="IO1580" s="206"/>
      <c r="IP1580" s="206"/>
      <c r="IQ1580" s="206"/>
      <c r="IR1580" s="206"/>
      <c r="IS1580" s="206"/>
      <c r="IT1580" s="206"/>
      <c r="IU1580" s="206"/>
      <c r="IV1580" s="206"/>
      <c r="IW1580" s="206"/>
      <c r="IX1580" s="206"/>
      <c r="IY1580" s="206"/>
      <c r="IZ1580" s="206"/>
      <c r="JA1580" s="206"/>
      <c r="JB1580" s="206"/>
      <c r="JC1580" s="206"/>
      <c r="JD1580" s="206"/>
      <c r="JE1580" s="206"/>
      <c r="JF1580" s="206"/>
      <c r="JG1580" s="206"/>
      <c r="JH1580" s="206"/>
      <c r="JI1580" s="206"/>
      <c r="JJ1580" s="206"/>
      <c r="JK1580" s="206"/>
      <c r="JL1580" s="206"/>
      <c r="JM1580" s="206"/>
      <c r="JN1580" s="206"/>
      <c r="JO1580" s="206"/>
      <c r="JP1580" s="206"/>
      <c r="JQ1580" s="206"/>
      <c r="JR1580" s="206"/>
      <c r="JS1580" s="206"/>
      <c r="JT1580" s="206"/>
      <c r="JU1580" s="206"/>
      <c r="JV1580" s="206"/>
      <c r="JW1580" s="206"/>
      <c r="JX1580" s="206"/>
      <c r="JY1580" s="206"/>
      <c r="JZ1580" s="206"/>
      <c r="KA1580" s="206"/>
      <c r="KB1580" s="206"/>
      <c r="KC1580" s="206"/>
      <c r="KD1580" s="206"/>
      <c r="KE1580" s="206"/>
      <c r="KF1580" s="206"/>
      <c r="KG1580" s="206"/>
      <c r="KH1580" s="206"/>
      <c r="KI1580" s="206"/>
      <c r="KJ1580" s="206"/>
      <c r="KK1580" s="206"/>
      <c r="KL1580" s="206"/>
      <c r="KM1580" s="206"/>
      <c r="KN1580" s="206"/>
      <c r="KO1580" s="206"/>
      <c r="KP1580" s="206"/>
      <c r="KQ1580" s="206"/>
      <c r="KR1580" s="206"/>
      <c r="KS1580" s="206"/>
      <c r="KT1580" s="206"/>
      <c r="KU1580" s="206"/>
      <c r="KV1580" s="206"/>
      <c r="KW1580" s="206"/>
      <c r="KX1580" s="206"/>
      <c r="KY1580" s="206"/>
      <c r="KZ1580" s="206"/>
      <c r="LA1580" s="206"/>
      <c r="LB1580" s="206"/>
      <c r="LC1580" s="206"/>
      <c r="LD1580" s="206"/>
      <c r="LE1580" s="206"/>
      <c r="LF1580" s="206"/>
      <c r="LG1580" s="206"/>
      <c r="LH1580" s="206"/>
      <c r="LI1580" s="206"/>
      <c r="LJ1580" s="206"/>
      <c r="LK1580" s="206"/>
      <c r="LL1580" s="206"/>
      <c r="LM1580" s="206"/>
      <c r="LN1580" s="206"/>
      <c r="LO1580" s="206"/>
      <c r="LP1580" s="206"/>
      <c r="LQ1580" s="206"/>
      <c r="LR1580" s="206"/>
      <c r="LS1580" s="206"/>
      <c r="LT1580" s="206"/>
      <c r="LU1580" s="206"/>
      <c r="LV1580" s="206"/>
      <c r="LW1580" s="206"/>
      <c r="LX1580" s="206"/>
      <c r="LY1580" s="206"/>
      <c r="LZ1580" s="206"/>
      <c r="MA1580" s="206"/>
      <c r="MB1580" s="206"/>
      <c r="MC1580" s="206"/>
      <c r="MD1580" s="206"/>
      <c r="ME1580" s="206"/>
      <c r="MF1580" s="206"/>
      <c r="MG1580" s="206"/>
      <c r="MH1580" s="206"/>
      <c r="MI1580" s="206"/>
      <c r="MJ1580" s="206"/>
      <c r="MK1580" s="206"/>
      <c r="ML1580" s="206"/>
      <c r="MM1580" s="206"/>
      <c r="MN1580" s="206"/>
      <c r="MO1580" s="206"/>
      <c r="MP1580" s="206"/>
      <c r="MQ1580" s="206"/>
      <c r="MR1580" s="206"/>
      <c r="MS1580" s="206"/>
      <c r="MT1580" s="206"/>
      <c r="MU1580" s="206"/>
      <c r="MV1580" s="206"/>
      <c r="MW1580" s="206"/>
      <c r="MX1580" s="206"/>
      <c r="MY1580" s="206"/>
      <c r="MZ1580" s="206"/>
      <c r="NA1580" s="206"/>
      <c r="NB1580" s="206"/>
      <c r="NC1580" s="206"/>
      <c r="ND1580" s="206"/>
      <c r="NE1580" s="206"/>
      <c r="NF1580" s="206"/>
      <c r="NG1580" s="206"/>
      <c r="NH1580" s="206"/>
      <c r="NI1580" s="206"/>
      <c r="NJ1580" s="206"/>
      <c r="NK1580" s="206"/>
      <c r="NL1580" s="206"/>
      <c r="NM1580" s="206"/>
      <c r="NN1580" s="206"/>
      <c r="NO1580" s="206"/>
      <c r="NP1580" s="206"/>
      <c r="NQ1580" s="206"/>
      <c r="NR1580" s="206"/>
      <c r="NS1580" s="206"/>
      <c r="NT1580" s="206"/>
      <c r="NU1580" s="206"/>
      <c r="NV1580" s="206"/>
      <c r="NW1580" s="206"/>
      <c r="NX1580" s="206"/>
      <c r="NY1580" s="206"/>
      <c r="NZ1580" s="206"/>
      <c r="OA1580" s="206"/>
      <c r="OB1580" s="206"/>
      <c r="OC1580" s="206"/>
      <c r="OD1580" s="206"/>
      <c r="OE1580" s="206"/>
      <c r="OF1580" s="206"/>
      <c r="OG1580" s="206"/>
      <c r="OH1580" s="206"/>
      <c r="OI1580" s="206"/>
      <c r="OJ1580" s="206"/>
      <c r="OK1580" s="206"/>
      <c r="OL1580" s="206"/>
      <c r="OM1580" s="206"/>
      <c r="ON1580" s="206"/>
      <c r="OO1580" s="206"/>
      <c r="OP1580" s="206"/>
      <c r="OQ1580" s="206"/>
      <c r="OR1580" s="206"/>
      <c r="OS1580" s="206"/>
      <c r="OT1580" s="206"/>
      <c r="OU1580" s="206"/>
      <c r="OV1580" s="206"/>
      <c r="OW1580" s="206"/>
      <c r="OX1580" s="206"/>
      <c r="OY1580" s="206"/>
      <c r="OZ1580" s="206"/>
      <c r="PA1580" s="206"/>
      <c r="PB1580" s="206"/>
      <c r="PC1580" s="206"/>
      <c r="PD1580" s="206"/>
      <c r="PE1580" s="206"/>
      <c r="PF1580" s="206"/>
      <c r="PG1580" s="206"/>
      <c r="PH1580" s="206"/>
      <c r="PI1580" s="206"/>
      <c r="PJ1580" s="206"/>
      <c r="PK1580" s="206"/>
      <c r="PL1580" s="206"/>
      <c r="PM1580" s="206"/>
      <c r="PN1580" s="206"/>
      <c r="PO1580" s="206"/>
      <c r="PP1580" s="206"/>
      <c r="PQ1580" s="206"/>
      <c r="PR1580" s="206"/>
      <c r="PS1580" s="206"/>
      <c r="PT1580" s="206"/>
      <c r="PU1580" s="206"/>
      <c r="PV1580" s="206"/>
      <c r="PW1580" s="206"/>
      <c r="PX1580" s="206"/>
      <c r="PY1580" s="206"/>
      <c r="PZ1580" s="206"/>
      <c r="QA1580" s="206"/>
      <c r="QB1580" s="206"/>
      <c r="QC1580" s="206"/>
      <c r="QD1580" s="206"/>
      <c r="QE1580" s="206"/>
      <c r="QF1580" s="206"/>
      <c r="QG1580" s="206"/>
      <c r="QH1580" s="206"/>
      <c r="QI1580" s="206"/>
      <c r="QJ1580" s="206"/>
      <c r="QK1580" s="206"/>
      <c r="QL1580" s="206"/>
      <c r="QM1580" s="206"/>
      <c r="QN1580" s="206"/>
      <c r="QO1580" s="206"/>
      <c r="QP1580" s="206"/>
      <c r="QQ1580" s="206"/>
      <c r="QR1580" s="206"/>
      <c r="QS1580" s="206"/>
      <c r="QT1580" s="206"/>
      <c r="QU1580" s="206"/>
      <c r="QV1580" s="206"/>
      <c r="QW1580" s="206"/>
      <c r="QX1580" s="206"/>
      <c r="QY1580" s="206"/>
      <c r="QZ1580" s="206"/>
      <c r="RA1580" s="206"/>
      <c r="RB1580" s="206"/>
      <c r="RC1580" s="206"/>
      <c r="RD1580" s="206"/>
      <c r="RE1580" s="206"/>
      <c r="RF1580" s="206"/>
      <c r="RG1580" s="206"/>
      <c r="RH1580" s="206"/>
      <c r="RI1580" s="206"/>
      <c r="RJ1580" s="206"/>
      <c r="RK1580" s="206"/>
      <c r="RL1580" s="206"/>
      <c r="RM1580" s="206"/>
      <c r="RN1580" s="206"/>
      <c r="RO1580" s="206"/>
      <c r="RP1580" s="206"/>
      <c r="RQ1580" s="206"/>
      <c r="RR1580" s="206"/>
      <c r="RS1580" s="206"/>
      <c r="RT1580" s="206"/>
      <c r="RU1580" s="206"/>
      <c r="RV1580" s="206"/>
      <c r="RW1580" s="206"/>
      <c r="RX1580" s="206"/>
      <c r="RY1580" s="206"/>
      <c r="RZ1580" s="206"/>
      <c r="SA1580" s="206"/>
      <c r="SB1580" s="206"/>
      <c r="SC1580" s="206"/>
      <c r="SD1580" s="206"/>
      <c r="SE1580" s="206"/>
      <c r="SF1580" s="206"/>
      <c r="SG1580" s="206"/>
      <c r="SH1580" s="206"/>
      <c r="SI1580" s="206"/>
      <c r="SJ1580" s="206"/>
      <c r="SK1580" s="206"/>
      <c r="SL1580" s="206"/>
      <c r="SM1580" s="206"/>
      <c r="SN1580" s="206"/>
      <c r="SO1580" s="206"/>
      <c r="SP1580" s="206"/>
      <c r="SQ1580" s="206"/>
      <c r="SR1580" s="206"/>
      <c r="SS1580" s="206"/>
      <c r="ST1580" s="206"/>
      <c r="SU1580" s="206"/>
      <c r="SV1580" s="206"/>
      <c r="SW1580" s="206"/>
      <c r="SX1580" s="206"/>
      <c r="SY1580" s="206"/>
      <c r="SZ1580" s="206"/>
      <c r="TA1580" s="206"/>
      <c r="TB1580" s="206"/>
      <c r="TC1580" s="206"/>
      <c r="TD1580" s="206"/>
      <c r="TE1580" s="206"/>
      <c r="TF1580" s="206"/>
      <c r="TG1580" s="206"/>
      <c r="TH1580" s="206"/>
      <c r="TI1580" s="206"/>
      <c r="TJ1580" s="206"/>
      <c r="TK1580" s="206"/>
      <c r="TL1580" s="206"/>
      <c r="TM1580" s="206"/>
      <c r="TN1580" s="206"/>
      <c r="TO1580" s="206"/>
      <c r="TP1580" s="206"/>
      <c r="TQ1580" s="206"/>
      <c r="TR1580" s="206"/>
      <c r="TS1580" s="206"/>
      <c r="TT1580" s="206"/>
      <c r="TU1580" s="206"/>
      <c r="TV1580" s="206"/>
      <c r="TW1580" s="206"/>
      <c r="TX1580" s="206"/>
      <c r="TY1580" s="206"/>
      <c r="TZ1580" s="206"/>
      <c r="UA1580" s="206"/>
      <c r="UB1580" s="206"/>
      <c r="UC1580" s="206"/>
      <c r="UD1580" s="206"/>
    </row>
    <row r="1581" spans="1:550" s="874" customFormat="1" ht="53.25" customHeight="1">
      <c r="A1581" s="924" t="s">
        <v>15</v>
      </c>
      <c r="B1581" s="1230"/>
      <c r="C1581" s="1227" t="str">
        <f t="shared" si="247"/>
        <v>Đất trồng cây hàng năm khác (HNK)</v>
      </c>
      <c r="D1581" s="470" t="str">
        <f t="shared" si="248"/>
        <v>1</v>
      </c>
      <c r="E1581" s="470" t="str">
        <f t="shared" si="249"/>
        <v>11</v>
      </c>
      <c r="F1581" s="1230"/>
      <c r="G1581" s="501"/>
      <c r="H1581" s="925"/>
      <c r="I1581" s="423">
        <f t="shared" ref="I1581:I1585" si="250">I1570</f>
        <v>186.2</v>
      </c>
      <c r="J1581" s="1243">
        <v>53000</v>
      </c>
      <c r="K1581" s="973">
        <v>1</v>
      </c>
      <c r="L1581" s="1226">
        <f>I1581*J1581*K1581</f>
        <v>9868600</v>
      </c>
      <c r="M1581" s="1226"/>
      <c r="N1581" s="1226"/>
      <c r="O1581" s="1226"/>
      <c r="P1581" s="1226"/>
      <c r="Q1581" s="1134"/>
      <c r="R1581" s="1452"/>
      <c r="S1581" s="486"/>
      <c r="T1581" s="486"/>
      <c r="U1581" s="486"/>
      <c r="V1581" s="486"/>
      <c r="W1581" s="486"/>
      <c r="X1581" s="486"/>
      <c r="Y1581" s="486"/>
      <c r="Z1581" s="486"/>
      <c r="AA1581" s="486"/>
      <c r="AB1581" s="486"/>
      <c r="AC1581" s="486"/>
      <c r="AD1581" s="486"/>
      <c r="AE1581" s="486"/>
      <c r="AF1581" s="486"/>
      <c r="AG1581" s="486"/>
      <c r="AH1581" s="486"/>
      <c r="AI1581" s="486"/>
      <c r="AJ1581" s="486"/>
      <c r="AK1581" s="486"/>
      <c r="AL1581" s="206"/>
      <c r="AM1581" s="206"/>
      <c r="AN1581" s="206"/>
      <c r="AO1581" s="206"/>
      <c r="AP1581" s="206"/>
      <c r="AQ1581" s="206"/>
      <c r="AR1581" s="206"/>
      <c r="AS1581" s="206"/>
      <c r="AT1581" s="206"/>
      <c r="AU1581" s="206"/>
      <c r="AV1581" s="206"/>
      <c r="AW1581" s="206"/>
      <c r="AX1581" s="206"/>
      <c r="AY1581" s="206"/>
      <c r="AZ1581" s="206"/>
      <c r="BA1581" s="206"/>
      <c r="BB1581" s="206"/>
      <c r="BC1581" s="206"/>
      <c r="BD1581" s="206"/>
      <c r="BE1581" s="206"/>
      <c r="BF1581" s="206"/>
      <c r="BG1581" s="206"/>
      <c r="BH1581" s="206"/>
      <c r="BI1581" s="206"/>
      <c r="BJ1581" s="206"/>
      <c r="BK1581" s="206"/>
      <c r="BL1581" s="206"/>
      <c r="BM1581" s="206"/>
      <c r="BN1581" s="206"/>
      <c r="BO1581" s="206"/>
      <c r="BP1581" s="206"/>
      <c r="BQ1581" s="206"/>
      <c r="BR1581" s="206"/>
      <c r="BS1581" s="206"/>
      <c r="BT1581" s="206"/>
      <c r="BU1581" s="206"/>
      <c r="BV1581" s="206"/>
      <c r="BW1581" s="206"/>
      <c r="BX1581" s="206"/>
      <c r="BY1581" s="206"/>
      <c r="BZ1581" s="206"/>
      <c r="CA1581" s="206"/>
      <c r="CB1581" s="206"/>
      <c r="CC1581" s="206"/>
      <c r="CD1581" s="206"/>
      <c r="CE1581" s="206"/>
      <c r="CF1581" s="206"/>
      <c r="CG1581" s="206"/>
      <c r="CH1581" s="206"/>
      <c r="CI1581" s="206"/>
      <c r="CJ1581" s="206"/>
      <c r="CK1581" s="206"/>
      <c r="CL1581" s="206"/>
      <c r="CM1581" s="206"/>
      <c r="CN1581" s="206"/>
      <c r="CO1581" s="206"/>
      <c r="CP1581" s="206"/>
      <c r="CQ1581" s="206"/>
      <c r="CR1581" s="206"/>
      <c r="CS1581" s="206"/>
      <c r="CT1581" s="206"/>
      <c r="CU1581" s="206"/>
      <c r="CV1581" s="206"/>
      <c r="CW1581" s="206"/>
      <c r="CX1581" s="206"/>
      <c r="CY1581" s="206"/>
      <c r="CZ1581" s="206"/>
      <c r="DA1581" s="206"/>
      <c r="DB1581" s="206"/>
      <c r="DC1581" s="206"/>
      <c r="DD1581" s="206"/>
      <c r="DE1581" s="206"/>
      <c r="DF1581" s="206"/>
      <c r="DG1581" s="206"/>
      <c r="DH1581" s="206"/>
      <c r="DI1581" s="206"/>
      <c r="DJ1581" s="206"/>
      <c r="DK1581" s="206"/>
      <c r="DL1581" s="206"/>
      <c r="DM1581" s="206"/>
      <c r="DN1581" s="206"/>
      <c r="DO1581" s="206"/>
      <c r="DP1581" s="206"/>
      <c r="DQ1581" s="206"/>
      <c r="DR1581" s="206"/>
      <c r="DS1581" s="206"/>
      <c r="DT1581" s="206"/>
      <c r="DU1581" s="206"/>
      <c r="DV1581" s="206"/>
      <c r="DW1581" s="206"/>
      <c r="DX1581" s="206"/>
      <c r="DY1581" s="206"/>
      <c r="DZ1581" s="206"/>
      <c r="EA1581" s="206"/>
      <c r="EB1581" s="206"/>
      <c r="EC1581" s="206"/>
      <c r="ED1581" s="206"/>
      <c r="EE1581" s="206"/>
      <c r="EF1581" s="206"/>
      <c r="EG1581" s="206"/>
      <c r="EH1581" s="206"/>
      <c r="EI1581" s="206"/>
      <c r="EJ1581" s="206"/>
      <c r="EK1581" s="206"/>
      <c r="EL1581" s="206"/>
      <c r="EM1581" s="206"/>
      <c r="EN1581" s="206"/>
      <c r="EO1581" s="206"/>
      <c r="EP1581" s="206"/>
      <c r="EQ1581" s="206"/>
      <c r="ER1581" s="206"/>
      <c r="ES1581" s="206"/>
      <c r="ET1581" s="206"/>
      <c r="EU1581" s="206"/>
      <c r="EV1581" s="206"/>
      <c r="EW1581" s="206"/>
      <c r="EX1581" s="206"/>
      <c r="EY1581" s="206"/>
      <c r="EZ1581" s="206"/>
      <c r="FA1581" s="206"/>
      <c r="FB1581" s="206"/>
      <c r="FC1581" s="206"/>
      <c r="FD1581" s="206"/>
      <c r="FE1581" s="206"/>
      <c r="FF1581" s="206"/>
      <c r="FG1581" s="206"/>
      <c r="FH1581" s="206"/>
      <c r="FI1581" s="206"/>
      <c r="FJ1581" s="206"/>
      <c r="FK1581" s="206"/>
      <c r="FL1581" s="206"/>
      <c r="FM1581" s="206"/>
      <c r="FN1581" s="206"/>
      <c r="FO1581" s="206"/>
      <c r="FP1581" s="206"/>
      <c r="FQ1581" s="206"/>
      <c r="FR1581" s="206"/>
      <c r="FS1581" s="206"/>
      <c r="FT1581" s="206"/>
      <c r="FU1581" s="206"/>
      <c r="FV1581" s="206"/>
      <c r="FW1581" s="206"/>
      <c r="FX1581" s="206"/>
      <c r="FY1581" s="206"/>
      <c r="FZ1581" s="206"/>
      <c r="GA1581" s="206"/>
      <c r="GB1581" s="206"/>
      <c r="GC1581" s="206"/>
      <c r="GD1581" s="206"/>
      <c r="GE1581" s="206"/>
      <c r="GF1581" s="206"/>
      <c r="GG1581" s="206"/>
      <c r="GH1581" s="206"/>
      <c r="GI1581" s="206"/>
      <c r="GJ1581" s="206"/>
      <c r="GK1581" s="206"/>
      <c r="GL1581" s="206"/>
      <c r="GM1581" s="206"/>
      <c r="GN1581" s="206"/>
      <c r="GO1581" s="206"/>
      <c r="GP1581" s="206"/>
      <c r="GQ1581" s="206"/>
      <c r="GR1581" s="206"/>
      <c r="GS1581" s="206"/>
      <c r="GT1581" s="206"/>
      <c r="GU1581" s="206"/>
      <c r="GV1581" s="206"/>
      <c r="GW1581" s="206"/>
      <c r="GX1581" s="206"/>
      <c r="GY1581" s="206"/>
      <c r="GZ1581" s="206"/>
      <c r="HA1581" s="206"/>
      <c r="HB1581" s="206"/>
      <c r="HC1581" s="206"/>
      <c r="HD1581" s="206"/>
      <c r="HE1581" s="206"/>
      <c r="HF1581" s="206"/>
      <c r="HG1581" s="206"/>
      <c r="HH1581" s="206"/>
      <c r="HI1581" s="206"/>
      <c r="HJ1581" s="206"/>
      <c r="HK1581" s="206"/>
      <c r="HL1581" s="206"/>
      <c r="HM1581" s="206"/>
      <c r="HN1581" s="206"/>
      <c r="HO1581" s="206"/>
      <c r="HP1581" s="206"/>
      <c r="HQ1581" s="206"/>
      <c r="HR1581" s="206"/>
      <c r="HS1581" s="206"/>
      <c r="HT1581" s="206"/>
      <c r="HU1581" s="206"/>
      <c r="HV1581" s="206"/>
      <c r="HW1581" s="206"/>
      <c r="HX1581" s="206"/>
      <c r="HY1581" s="206"/>
      <c r="HZ1581" s="206"/>
      <c r="IA1581" s="206"/>
      <c r="IB1581" s="206"/>
      <c r="IC1581" s="206"/>
      <c r="ID1581" s="206"/>
      <c r="IE1581" s="206"/>
      <c r="IF1581" s="206"/>
      <c r="IG1581" s="206"/>
      <c r="IH1581" s="206"/>
      <c r="II1581" s="206"/>
      <c r="IJ1581" s="206"/>
      <c r="IK1581" s="206"/>
      <c r="IL1581" s="206"/>
      <c r="IM1581" s="206"/>
      <c r="IN1581" s="206"/>
      <c r="IO1581" s="206"/>
      <c r="IP1581" s="206"/>
      <c r="IQ1581" s="206"/>
      <c r="IR1581" s="206"/>
      <c r="IS1581" s="206"/>
      <c r="IT1581" s="206"/>
      <c r="IU1581" s="206"/>
      <c r="IV1581" s="206"/>
      <c r="IW1581" s="206"/>
      <c r="IX1581" s="206"/>
      <c r="IY1581" s="206"/>
      <c r="IZ1581" s="206"/>
      <c r="JA1581" s="206"/>
      <c r="JB1581" s="206"/>
      <c r="JC1581" s="206"/>
      <c r="JD1581" s="206"/>
      <c r="JE1581" s="206"/>
      <c r="JF1581" s="206"/>
      <c r="JG1581" s="206"/>
      <c r="JH1581" s="206"/>
      <c r="JI1581" s="206"/>
      <c r="JJ1581" s="206"/>
      <c r="JK1581" s="206"/>
      <c r="JL1581" s="206"/>
      <c r="JM1581" s="206"/>
      <c r="JN1581" s="206"/>
      <c r="JO1581" s="206"/>
      <c r="JP1581" s="206"/>
      <c r="JQ1581" s="206"/>
      <c r="JR1581" s="206"/>
      <c r="JS1581" s="206"/>
      <c r="JT1581" s="206"/>
      <c r="JU1581" s="206"/>
      <c r="JV1581" s="206"/>
      <c r="JW1581" s="206"/>
      <c r="JX1581" s="206"/>
      <c r="JY1581" s="206"/>
      <c r="JZ1581" s="206"/>
      <c r="KA1581" s="206"/>
      <c r="KB1581" s="206"/>
      <c r="KC1581" s="206"/>
      <c r="KD1581" s="206"/>
      <c r="KE1581" s="206"/>
      <c r="KF1581" s="206"/>
      <c r="KG1581" s="206"/>
      <c r="KH1581" s="206"/>
      <c r="KI1581" s="206"/>
      <c r="KJ1581" s="206"/>
      <c r="KK1581" s="206"/>
      <c r="KL1581" s="206"/>
      <c r="KM1581" s="206"/>
      <c r="KN1581" s="206"/>
      <c r="KO1581" s="206"/>
      <c r="KP1581" s="206"/>
      <c r="KQ1581" s="206"/>
      <c r="KR1581" s="206"/>
      <c r="KS1581" s="206"/>
      <c r="KT1581" s="206"/>
      <c r="KU1581" s="206"/>
      <c r="KV1581" s="206"/>
      <c r="KW1581" s="206"/>
      <c r="KX1581" s="206"/>
      <c r="KY1581" s="206"/>
      <c r="KZ1581" s="206"/>
      <c r="LA1581" s="206"/>
      <c r="LB1581" s="206"/>
      <c r="LC1581" s="206"/>
      <c r="LD1581" s="206"/>
      <c r="LE1581" s="206"/>
      <c r="LF1581" s="206"/>
      <c r="LG1581" s="206"/>
      <c r="LH1581" s="206"/>
      <c r="LI1581" s="206"/>
      <c r="LJ1581" s="206"/>
      <c r="LK1581" s="206"/>
      <c r="LL1581" s="206"/>
      <c r="LM1581" s="206"/>
      <c r="LN1581" s="206"/>
      <c r="LO1581" s="206"/>
      <c r="LP1581" s="206"/>
      <c r="LQ1581" s="206"/>
      <c r="LR1581" s="206"/>
      <c r="LS1581" s="206"/>
      <c r="LT1581" s="206"/>
      <c r="LU1581" s="206"/>
      <c r="LV1581" s="206"/>
      <c r="LW1581" s="206"/>
      <c r="LX1581" s="206"/>
      <c r="LY1581" s="206"/>
      <c r="LZ1581" s="206"/>
      <c r="MA1581" s="206"/>
      <c r="MB1581" s="206"/>
      <c r="MC1581" s="206"/>
      <c r="MD1581" s="206"/>
      <c r="ME1581" s="206"/>
      <c r="MF1581" s="206"/>
      <c r="MG1581" s="206"/>
      <c r="MH1581" s="206"/>
      <c r="MI1581" s="206"/>
      <c r="MJ1581" s="206"/>
      <c r="MK1581" s="206"/>
      <c r="ML1581" s="206"/>
      <c r="MM1581" s="206"/>
      <c r="MN1581" s="206"/>
      <c r="MO1581" s="206"/>
      <c r="MP1581" s="206"/>
      <c r="MQ1581" s="206"/>
      <c r="MR1581" s="206"/>
      <c r="MS1581" s="206"/>
      <c r="MT1581" s="206"/>
      <c r="MU1581" s="206"/>
      <c r="MV1581" s="206"/>
      <c r="MW1581" s="206"/>
      <c r="MX1581" s="206"/>
      <c r="MY1581" s="206"/>
      <c r="MZ1581" s="206"/>
      <c r="NA1581" s="206"/>
      <c r="NB1581" s="206"/>
      <c r="NC1581" s="206"/>
      <c r="ND1581" s="206"/>
      <c r="NE1581" s="206"/>
      <c r="NF1581" s="206"/>
      <c r="NG1581" s="206"/>
      <c r="NH1581" s="206"/>
      <c r="NI1581" s="206"/>
      <c r="NJ1581" s="206"/>
      <c r="NK1581" s="206"/>
      <c r="NL1581" s="206"/>
      <c r="NM1581" s="206"/>
      <c r="NN1581" s="206"/>
      <c r="NO1581" s="206"/>
      <c r="NP1581" s="206"/>
      <c r="NQ1581" s="206"/>
      <c r="NR1581" s="206"/>
      <c r="NS1581" s="206"/>
      <c r="NT1581" s="206"/>
      <c r="NU1581" s="206"/>
      <c r="NV1581" s="206"/>
      <c r="NW1581" s="206"/>
      <c r="NX1581" s="206"/>
      <c r="NY1581" s="206"/>
      <c r="NZ1581" s="206"/>
      <c r="OA1581" s="206"/>
      <c r="OB1581" s="206"/>
      <c r="OC1581" s="206"/>
      <c r="OD1581" s="206"/>
      <c r="OE1581" s="206"/>
      <c r="OF1581" s="206"/>
      <c r="OG1581" s="206"/>
      <c r="OH1581" s="206"/>
      <c r="OI1581" s="206"/>
      <c r="OJ1581" s="206"/>
      <c r="OK1581" s="206"/>
      <c r="OL1581" s="206"/>
      <c r="OM1581" s="206"/>
      <c r="ON1581" s="206"/>
      <c r="OO1581" s="206"/>
      <c r="OP1581" s="206"/>
      <c r="OQ1581" s="206"/>
      <c r="OR1581" s="206"/>
      <c r="OS1581" s="206"/>
      <c r="OT1581" s="206"/>
      <c r="OU1581" s="206"/>
      <c r="OV1581" s="206"/>
      <c r="OW1581" s="206"/>
      <c r="OX1581" s="206"/>
      <c r="OY1581" s="206"/>
      <c r="OZ1581" s="206"/>
      <c r="PA1581" s="206"/>
      <c r="PB1581" s="206"/>
      <c r="PC1581" s="206"/>
      <c r="PD1581" s="206"/>
      <c r="PE1581" s="206"/>
      <c r="PF1581" s="206"/>
      <c r="PG1581" s="206"/>
      <c r="PH1581" s="206"/>
      <c r="PI1581" s="206"/>
      <c r="PJ1581" s="206"/>
      <c r="PK1581" s="206"/>
      <c r="PL1581" s="206"/>
      <c r="PM1581" s="206"/>
      <c r="PN1581" s="206"/>
      <c r="PO1581" s="206"/>
      <c r="PP1581" s="206"/>
      <c r="PQ1581" s="206"/>
      <c r="PR1581" s="206"/>
      <c r="PS1581" s="206"/>
      <c r="PT1581" s="206"/>
      <c r="PU1581" s="206"/>
      <c r="PV1581" s="206"/>
      <c r="PW1581" s="206"/>
      <c r="PX1581" s="206"/>
      <c r="PY1581" s="206"/>
      <c r="PZ1581" s="206"/>
      <c r="QA1581" s="206"/>
      <c r="QB1581" s="206"/>
      <c r="QC1581" s="206"/>
      <c r="QD1581" s="206"/>
      <c r="QE1581" s="206"/>
      <c r="QF1581" s="206"/>
      <c r="QG1581" s="206"/>
      <c r="QH1581" s="206"/>
      <c r="QI1581" s="206"/>
      <c r="QJ1581" s="206"/>
      <c r="QK1581" s="206"/>
      <c r="QL1581" s="206"/>
      <c r="QM1581" s="206"/>
      <c r="QN1581" s="206"/>
      <c r="QO1581" s="206"/>
      <c r="QP1581" s="206"/>
      <c r="QQ1581" s="206"/>
      <c r="QR1581" s="206"/>
      <c r="QS1581" s="206"/>
      <c r="QT1581" s="206"/>
      <c r="QU1581" s="206"/>
      <c r="QV1581" s="206"/>
      <c r="QW1581" s="206"/>
      <c r="QX1581" s="206"/>
      <c r="QY1581" s="206"/>
      <c r="QZ1581" s="206"/>
      <c r="RA1581" s="206"/>
      <c r="RB1581" s="206"/>
      <c r="RC1581" s="206"/>
      <c r="RD1581" s="206"/>
      <c r="RE1581" s="206"/>
      <c r="RF1581" s="206"/>
      <c r="RG1581" s="206"/>
      <c r="RH1581" s="206"/>
      <c r="RI1581" s="206"/>
      <c r="RJ1581" s="206"/>
      <c r="RK1581" s="206"/>
      <c r="RL1581" s="206"/>
      <c r="RM1581" s="206"/>
      <c r="RN1581" s="206"/>
      <c r="RO1581" s="206"/>
      <c r="RP1581" s="206"/>
      <c r="RQ1581" s="206"/>
      <c r="RR1581" s="206"/>
      <c r="RS1581" s="206"/>
      <c r="RT1581" s="206"/>
      <c r="RU1581" s="206"/>
      <c r="RV1581" s="206"/>
      <c r="RW1581" s="206"/>
      <c r="RX1581" s="206"/>
      <c r="RY1581" s="206"/>
      <c r="RZ1581" s="206"/>
      <c r="SA1581" s="206"/>
      <c r="SB1581" s="206"/>
      <c r="SC1581" s="206"/>
      <c r="SD1581" s="206"/>
      <c r="SE1581" s="206"/>
      <c r="SF1581" s="206"/>
      <c r="SG1581" s="206"/>
      <c r="SH1581" s="206"/>
      <c r="SI1581" s="206"/>
      <c r="SJ1581" s="206"/>
      <c r="SK1581" s="206"/>
      <c r="SL1581" s="206"/>
      <c r="SM1581" s="206"/>
      <c r="SN1581" s="206"/>
      <c r="SO1581" s="206"/>
      <c r="SP1581" s="206"/>
      <c r="SQ1581" s="206"/>
      <c r="SR1581" s="206"/>
      <c r="SS1581" s="206"/>
      <c r="ST1581" s="206"/>
      <c r="SU1581" s="206"/>
      <c r="SV1581" s="206"/>
      <c r="SW1581" s="206"/>
      <c r="SX1581" s="206"/>
      <c r="SY1581" s="206"/>
      <c r="SZ1581" s="206"/>
      <c r="TA1581" s="206"/>
      <c r="TB1581" s="206"/>
      <c r="TC1581" s="206"/>
      <c r="TD1581" s="206"/>
      <c r="TE1581" s="206"/>
      <c r="TF1581" s="206"/>
      <c r="TG1581" s="206"/>
      <c r="TH1581" s="206"/>
      <c r="TI1581" s="206"/>
      <c r="TJ1581" s="206"/>
      <c r="TK1581" s="206"/>
      <c r="TL1581" s="206"/>
      <c r="TM1581" s="206"/>
      <c r="TN1581" s="206"/>
      <c r="TO1581" s="206"/>
      <c r="TP1581" s="206"/>
      <c r="TQ1581" s="206"/>
      <c r="TR1581" s="206"/>
      <c r="TS1581" s="206"/>
      <c r="TT1581" s="206"/>
      <c r="TU1581" s="206"/>
      <c r="TV1581" s="206"/>
      <c r="TW1581" s="206"/>
      <c r="TX1581" s="206"/>
      <c r="TY1581" s="206"/>
      <c r="TZ1581" s="206"/>
      <c r="UA1581" s="206"/>
      <c r="UB1581" s="206"/>
      <c r="UC1581" s="206"/>
      <c r="UD1581" s="206"/>
    </row>
    <row r="1582" spans="1:550" s="874" customFormat="1" ht="53.25" customHeight="1">
      <c r="A1582" s="924" t="s">
        <v>15</v>
      </c>
      <c r="B1582" s="1230"/>
      <c r="C1582" s="1227" t="str">
        <f t="shared" si="247"/>
        <v>Đất nuôi trồng thủy sản (NTS)</v>
      </c>
      <c r="D1582" s="470" t="str">
        <f t="shared" si="248"/>
        <v>1</v>
      </c>
      <c r="E1582" s="470" t="str">
        <f t="shared" si="249"/>
        <v>365</v>
      </c>
      <c r="F1582" s="1230"/>
      <c r="G1582" s="501"/>
      <c r="H1582" s="925"/>
      <c r="I1582" s="423">
        <f t="shared" si="250"/>
        <v>1014.1</v>
      </c>
      <c r="J1582" s="1243">
        <v>66000</v>
      </c>
      <c r="K1582" s="973">
        <v>2.5</v>
      </c>
      <c r="L1582" s="1226">
        <f t="shared" ref="L1582:L1585" si="251">I1582*J1582*K1582</f>
        <v>167326500</v>
      </c>
      <c r="M1582" s="1226"/>
      <c r="N1582" s="1226"/>
      <c r="O1582" s="1226"/>
      <c r="P1582" s="1226"/>
      <c r="Q1582" s="1134"/>
      <c r="R1582" s="1226"/>
      <c r="S1582" s="486"/>
      <c r="T1582" s="486"/>
      <c r="U1582" s="486"/>
      <c r="V1582" s="486"/>
      <c r="W1582" s="486"/>
      <c r="X1582" s="486"/>
      <c r="Y1582" s="486"/>
      <c r="Z1582" s="486"/>
      <c r="AA1582" s="486"/>
      <c r="AB1582" s="486"/>
      <c r="AC1582" s="486"/>
      <c r="AD1582" s="486"/>
      <c r="AE1582" s="486"/>
      <c r="AF1582" s="486"/>
      <c r="AG1582" s="486"/>
      <c r="AH1582" s="486"/>
      <c r="AI1582" s="486"/>
      <c r="AJ1582" s="486"/>
      <c r="AK1582" s="486"/>
      <c r="AL1582" s="206"/>
      <c r="AM1582" s="206"/>
      <c r="AN1582" s="206"/>
      <c r="AO1582" s="206"/>
      <c r="AP1582" s="206"/>
      <c r="AQ1582" s="206"/>
      <c r="AR1582" s="206"/>
      <c r="AS1582" s="206"/>
      <c r="AT1582" s="206"/>
      <c r="AU1582" s="206"/>
      <c r="AV1582" s="206"/>
      <c r="AW1582" s="206"/>
      <c r="AX1582" s="206"/>
      <c r="AY1582" s="206"/>
      <c r="AZ1582" s="206"/>
      <c r="BA1582" s="206"/>
      <c r="BB1582" s="206"/>
      <c r="BC1582" s="206"/>
      <c r="BD1582" s="206"/>
      <c r="BE1582" s="206"/>
      <c r="BF1582" s="206"/>
      <c r="BG1582" s="206"/>
      <c r="BH1582" s="206"/>
      <c r="BI1582" s="206"/>
      <c r="BJ1582" s="206"/>
      <c r="BK1582" s="206"/>
      <c r="BL1582" s="206"/>
      <c r="BM1582" s="206"/>
      <c r="BN1582" s="206"/>
      <c r="BO1582" s="206"/>
      <c r="BP1582" s="206"/>
      <c r="BQ1582" s="206"/>
      <c r="BR1582" s="206"/>
      <c r="BS1582" s="206"/>
      <c r="BT1582" s="206"/>
      <c r="BU1582" s="206"/>
      <c r="BV1582" s="206"/>
      <c r="BW1582" s="206"/>
      <c r="BX1582" s="206"/>
      <c r="BY1582" s="206"/>
      <c r="BZ1582" s="206"/>
      <c r="CA1582" s="206"/>
      <c r="CB1582" s="206"/>
      <c r="CC1582" s="206"/>
      <c r="CD1582" s="206"/>
      <c r="CE1582" s="206"/>
      <c r="CF1582" s="206"/>
      <c r="CG1582" s="206"/>
      <c r="CH1582" s="206"/>
      <c r="CI1582" s="206"/>
      <c r="CJ1582" s="206"/>
      <c r="CK1582" s="206"/>
      <c r="CL1582" s="206"/>
      <c r="CM1582" s="206"/>
      <c r="CN1582" s="206"/>
      <c r="CO1582" s="206"/>
      <c r="CP1582" s="206"/>
      <c r="CQ1582" s="206"/>
      <c r="CR1582" s="206"/>
      <c r="CS1582" s="206"/>
      <c r="CT1582" s="206"/>
      <c r="CU1582" s="206"/>
      <c r="CV1582" s="206"/>
      <c r="CW1582" s="206"/>
      <c r="CX1582" s="206"/>
      <c r="CY1582" s="206"/>
      <c r="CZ1582" s="206"/>
      <c r="DA1582" s="206"/>
      <c r="DB1582" s="206"/>
      <c r="DC1582" s="206"/>
      <c r="DD1582" s="206"/>
      <c r="DE1582" s="206"/>
      <c r="DF1582" s="206"/>
      <c r="DG1582" s="206"/>
      <c r="DH1582" s="206"/>
      <c r="DI1582" s="206"/>
      <c r="DJ1582" s="206"/>
      <c r="DK1582" s="206"/>
      <c r="DL1582" s="206"/>
      <c r="DM1582" s="206"/>
      <c r="DN1582" s="206"/>
      <c r="DO1582" s="206"/>
      <c r="DP1582" s="206"/>
      <c r="DQ1582" s="206"/>
      <c r="DR1582" s="206"/>
      <c r="DS1582" s="206"/>
      <c r="DT1582" s="206"/>
      <c r="DU1582" s="206"/>
      <c r="DV1582" s="206"/>
      <c r="DW1582" s="206"/>
      <c r="DX1582" s="206"/>
      <c r="DY1582" s="206"/>
      <c r="DZ1582" s="206"/>
      <c r="EA1582" s="206"/>
      <c r="EB1582" s="206"/>
      <c r="EC1582" s="206"/>
      <c r="ED1582" s="206"/>
      <c r="EE1582" s="206"/>
      <c r="EF1582" s="206"/>
      <c r="EG1582" s="206"/>
      <c r="EH1582" s="206"/>
      <c r="EI1582" s="206"/>
      <c r="EJ1582" s="206"/>
      <c r="EK1582" s="206"/>
      <c r="EL1582" s="206"/>
      <c r="EM1582" s="206"/>
      <c r="EN1582" s="206"/>
      <c r="EO1582" s="206"/>
      <c r="EP1582" s="206"/>
      <c r="EQ1582" s="206"/>
      <c r="ER1582" s="206"/>
      <c r="ES1582" s="206"/>
      <c r="ET1582" s="206"/>
      <c r="EU1582" s="206"/>
      <c r="EV1582" s="206"/>
      <c r="EW1582" s="206"/>
      <c r="EX1582" s="206"/>
      <c r="EY1582" s="206"/>
      <c r="EZ1582" s="206"/>
      <c r="FA1582" s="206"/>
      <c r="FB1582" s="206"/>
      <c r="FC1582" s="206"/>
      <c r="FD1582" s="206"/>
      <c r="FE1582" s="206"/>
      <c r="FF1582" s="206"/>
      <c r="FG1582" s="206"/>
      <c r="FH1582" s="206"/>
      <c r="FI1582" s="206"/>
      <c r="FJ1582" s="206"/>
      <c r="FK1582" s="206"/>
      <c r="FL1582" s="206"/>
      <c r="FM1582" s="206"/>
      <c r="FN1582" s="206"/>
      <c r="FO1582" s="206"/>
      <c r="FP1582" s="206"/>
      <c r="FQ1582" s="206"/>
      <c r="FR1582" s="206"/>
      <c r="FS1582" s="206"/>
      <c r="FT1582" s="206"/>
      <c r="FU1582" s="206"/>
      <c r="FV1582" s="206"/>
      <c r="FW1582" s="206"/>
      <c r="FX1582" s="206"/>
      <c r="FY1582" s="206"/>
      <c r="FZ1582" s="206"/>
      <c r="GA1582" s="206"/>
      <c r="GB1582" s="206"/>
      <c r="GC1582" s="206"/>
      <c r="GD1582" s="206"/>
      <c r="GE1582" s="206"/>
      <c r="GF1582" s="206"/>
      <c r="GG1582" s="206"/>
      <c r="GH1582" s="206"/>
      <c r="GI1582" s="206"/>
      <c r="GJ1582" s="206"/>
      <c r="GK1582" s="206"/>
      <c r="GL1582" s="206"/>
      <c r="GM1582" s="206"/>
      <c r="GN1582" s="206"/>
      <c r="GO1582" s="206"/>
      <c r="GP1582" s="206"/>
      <c r="GQ1582" s="206"/>
      <c r="GR1582" s="206"/>
      <c r="GS1582" s="206"/>
      <c r="GT1582" s="206"/>
      <c r="GU1582" s="206"/>
      <c r="GV1582" s="206"/>
      <c r="GW1582" s="206"/>
      <c r="GX1582" s="206"/>
      <c r="GY1582" s="206"/>
      <c r="GZ1582" s="206"/>
      <c r="HA1582" s="206"/>
      <c r="HB1582" s="206"/>
      <c r="HC1582" s="206"/>
      <c r="HD1582" s="206"/>
      <c r="HE1582" s="206"/>
      <c r="HF1582" s="206"/>
      <c r="HG1582" s="206"/>
      <c r="HH1582" s="206"/>
      <c r="HI1582" s="206"/>
      <c r="HJ1582" s="206"/>
      <c r="HK1582" s="206"/>
      <c r="HL1582" s="206"/>
      <c r="HM1582" s="206"/>
      <c r="HN1582" s="206"/>
      <c r="HO1582" s="206"/>
      <c r="HP1582" s="206"/>
      <c r="HQ1582" s="206"/>
      <c r="HR1582" s="206"/>
      <c r="HS1582" s="206"/>
      <c r="HT1582" s="206"/>
      <c r="HU1582" s="206"/>
      <c r="HV1582" s="206"/>
      <c r="HW1582" s="206"/>
      <c r="HX1582" s="206"/>
      <c r="HY1582" s="206"/>
      <c r="HZ1582" s="206"/>
      <c r="IA1582" s="206"/>
      <c r="IB1582" s="206"/>
      <c r="IC1582" s="206"/>
      <c r="ID1582" s="206"/>
      <c r="IE1582" s="206"/>
      <c r="IF1582" s="206"/>
      <c r="IG1582" s="206"/>
      <c r="IH1582" s="206"/>
      <c r="II1582" s="206"/>
      <c r="IJ1582" s="206"/>
      <c r="IK1582" s="206"/>
      <c r="IL1582" s="206"/>
      <c r="IM1582" s="206"/>
      <c r="IN1582" s="206"/>
      <c r="IO1582" s="206"/>
      <c r="IP1582" s="206"/>
      <c r="IQ1582" s="206"/>
      <c r="IR1582" s="206"/>
      <c r="IS1582" s="206"/>
      <c r="IT1582" s="206"/>
      <c r="IU1582" s="206"/>
      <c r="IV1582" s="206"/>
      <c r="IW1582" s="206"/>
      <c r="IX1582" s="206"/>
      <c r="IY1582" s="206"/>
      <c r="IZ1582" s="206"/>
      <c r="JA1582" s="206"/>
      <c r="JB1582" s="206"/>
      <c r="JC1582" s="206"/>
      <c r="JD1582" s="206"/>
      <c r="JE1582" s="206"/>
      <c r="JF1582" s="206"/>
      <c r="JG1582" s="206"/>
      <c r="JH1582" s="206"/>
      <c r="JI1582" s="206"/>
      <c r="JJ1582" s="206"/>
      <c r="JK1582" s="206"/>
      <c r="JL1582" s="206"/>
      <c r="JM1582" s="206"/>
      <c r="JN1582" s="206"/>
      <c r="JO1582" s="206"/>
      <c r="JP1582" s="206"/>
      <c r="JQ1582" s="206"/>
      <c r="JR1582" s="206"/>
      <c r="JS1582" s="206"/>
      <c r="JT1582" s="206"/>
      <c r="JU1582" s="206"/>
      <c r="JV1582" s="206"/>
      <c r="JW1582" s="206"/>
      <c r="JX1582" s="206"/>
      <c r="JY1582" s="206"/>
      <c r="JZ1582" s="206"/>
      <c r="KA1582" s="206"/>
      <c r="KB1582" s="206"/>
      <c r="KC1582" s="206"/>
      <c r="KD1582" s="206"/>
      <c r="KE1582" s="206"/>
      <c r="KF1582" s="206"/>
      <c r="KG1582" s="206"/>
      <c r="KH1582" s="206"/>
      <c r="KI1582" s="206"/>
      <c r="KJ1582" s="206"/>
      <c r="KK1582" s="206"/>
      <c r="KL1582" s="206"/>
      <c r="KM1582" s="206"/>
      <c r="KN1582" s="206"/>
      <c r="KO1582" s="206"/>
      <c r="KP1582" s="206"/>
      <c r="KQ1582" s="206"/>
      <c r="KR1582" s="206"/>
      <c r="KS1582" s="206"/>
      <c r="KT1582" s="206"/>
      <c r="KU1582" s="206"/>
      <c r="KV1582" s="206"/>
      <c r="KW1582" s="206"/>
      <c r="KX1582" s="206"/>
      <c r="KY1582" s="206"/>
      <c r="KZ1582" s="206"/>
      <c r="LA1582" s="206"/>
      <c r="LB1582" s="206"/>
      <c r="LC1582" s="206"/>
      <c r="LD1582" s="206"/>
      <c r="LE1582" s="206"/>
      <c r="LF1582" s="206"/>
      <c r="LG1582" s="206"/>
      <c r="LH1582" s="206"/>
      <c r="LI1582" s="206"/>
      <c r="LJ1582" s="206"/>
      <c r="LK1582" s="206"/>
      <c r="LL1582" s="206"/>
      <c r="LM1582" s="206"/>
      <c r="LN1582" s="206"/>
      <c r="LO1582" s="206"/>
      <c r="LP1582" s="206"/>
      <c r="LQ1582" s="206"/>
      <c r="LR1582" s="206"/>
      <c r="LS1582" s="206"/>
      <c r="LT1582" s="206"/>
      <c r="LU1582" s="206"/>
      <c r="LV1582" s="206"/>
      <c r="LW1582" s="206"/>
      <c r="LX1582" s="206"/>
      <c r="LY1582" s="206"/>
      <c r="LZ1582" s="206"/>
      <c r="MA1582" s="206"/>
      <c r="MB1582" s="206"/>
      <c r="MC1582" s="206"/>
      <c r="MD1582" s="206"/>
      <c r="ME1582" s="206"/>
      <c r="MF1582" s="206"/>
      <c r="MG1582" s="206"/>
      <c r="MH1582" s="206"/>
      <c r="MI1582" s="206"/>
      <c r="MJ1582" s="206"/>
      <c r="MK1582" s="206"/>
      <c r="ML1582" s="206"/>
      <c r="MM1582" s="206"/>
      <c r="MN1582" s="206"/>
      <c r="MO1582" s="206"/>
      <c r="MP1582" s="206"/>
      <c r="MQ1582" s="206"/>
      <c r="MR1582" s="206"/>
      <c r="MS1582" s="206"/>
      <c r="MT1582" s="206"/>
      <c r="MU1582" s="206"/>
      <c r="MV1582" s="206"/>
      <c r="MW1582" s="206"/>
      <c r="MX1582" s="206"/>
      <c r="MY1582" s="206"/>
      <c r="MZ1582" s="206"/>
      <c r="NA1582" s="206"/>
      <c r="NB1582" s="206"/>
      <c r="NC1582" s="206"/>
      <c r="ND1582" s="206"/>
      <c r="NE1582" s="206"/>
      <c r="NF1582" s="206"/>
      <c r="NG1582" s="206"/>
      <c r="NH1582" s="206"/>
      <c r="NI1582" s="206"/>
      <c r="NJ1582" s="206"/>
      <c r="NK1582" s="206"/>
      <c r="NL1582" s="206"/>
      <c r="NM1582" s="206"/>
      <c r="NN1582" s="206"/>
      <c r="NO1582" s="206"/>
      <c r="NP1582" s="206"/>
      <c r="NQ1582" s="206"/>
      <c r="NR1582" s="206"/>
      <c r="NS1582" s="206"/>
      <c r="NT1582" s="206"/>
      <c r="NU1582" s="206"/>
      <c r="NV1582" s="206"/>
      <c r="NW1582" s="206"/>
      <c r="NX1582" s="206"/>
      <c r="NY1582" s="206"/>
      <c r="NZ1582" s="206"/>
      <c r="OA1582" s="206"/>
      <c r="OB1582" s="206"/>
      <c r="OC1582" s="206"/>
      <c r="OD1582" s="206"/>
      <c r="OE1582" s="206"/>
      <c r="OF1582" s="206"/>
      <c r="OG1582" s="206"/>
      <c r="OH1582" s="206"/>
      <c r="OI1582" s="206"/>
      <c r="OJ1582" s="206"/>
      <c r="OK1582" s="206"/>
      <c r="OL1582" s="206"/>
      <c r="OM1582" s="206"/>
      <c r="ON1582" s="206"/>
      <c r="OO1582" s="206"/>
      <c r="OP1582" s="206"/>
      <c r="OQ1582" s="206"/>
      <c r="OR1582" s="206"/>
      <c r="OS1582" s="206"/>
      <c r="OT1582" s="206"/>
      <c r="OU1582" s="206"/>
      <c r="OV1582" s="206"/>
      <c r="OW1582" s="206"/>
      <c r="OX1582" s="206"/>
      <c r="OY1582" s="206"/>
      <c r="OZ1582" s="206"/>
      <c r="PA1582" s="206"/>
      <c r="PB1582" s="206"/>
      <c r="PC1582" s="206"/>
      <c r="PD1582" s="206"/>
      <c r="PE1582" s="206"/>
      <c r="PF1582" s="206"/>
      <c r="PG1582" s="206"/>
      <c r="PH1582" s="206"/>
      <c r="PI1582" s="206"/>
      <c r="PJ1582" s="206"/>
      <c r="PK1582" s="206"/>
      <c r="PL1582" s="206"/>
      <c r="PM1582" s="206"/>
      <c r="PN1582" s="206"/>
      <c r="PO1582" s="206"/>
      <c r="PP1582" s="206"/>
      <c r="PQ1582" s="206"/>
      <c r="PR1582" s="206"/>
      <c r="PS1582" s="206"/>
      <c r="PT1582" s="206"/>
      <c r="PU1582" s="206"/>
      <c r="PV1582" s="206"/>
      <c r="PW1582" s="206"/>
      <c r="PX1582" s="206"/>
      <c r="PY1582" s="206"/>
      <c r="PZ1582" s="206"/>
      <c r="QA1582" s="206"/>
      <c r="QB1582" s="206"/>
      <c r="QC1582" s="206"/>
      <c r="QD1582" s="206"/>
      <c r="QE1582" s="206"/>
      <c r="QF1582" s="206"/>
      <c r="QG1582" s="206"/>
      <c r="QH1582" s="206"/>
      <c r="QI1582" s="206"/>
      <c r="QJ1582" s="206"/>
      <c r="QK1582" s="206"/>
      <c r="QL1582" s="206"/>
      <c r="QM1582" s="206"/>
      <c r="QN1582" s="206"/>
      <c r="QO1582" s="206"/>
      <c r="QP1582" s="206"/>
      <c r="QQ1582" s="206"/>
      <c r="QR1582" s="206"/>
      <c r="QS1582" s="206"/>
      <c r="QT1582" s="206"/>
      <c r="QU1582" s="206"/>
      <c r="QV1582" s="206"/>
      <c r="QW1582" s="206"/>
      <c r="QX1582" s="206"/>
      <c r="QY1582" s="206"/>
      <c r="QZ1582" s="206"/>
      <c r="RA1582" s="206"/>
      <c r="RB1582" s="206"/>
      <c r="RC1582" s="206"/>
      <c r="RD1582" s="206"/>
      <c r="RE1582" s="206"/>
      <c r="RF1582" s="206"/>
      <c r="RG1582" s="206"/>
      <c r="RH1582" s="206"/>
      <c r="RI1582" s="206"/>
      <c r="RJ1582" s="206"/>
      <c r="RK1582" s="206"/>
      <c r="RL1582" s="206"/>
      <c r="RM1582" s="206"/>
      <c r="RN1582" s="206"/>
      <c r="RO1582" s="206"/>
      <c r="RP1582" s="206"/>
      <c r="RQ1582" s="206"/>
      <c r="RR1582" s="206"/>
      <c r="RS1582" s="206"/>
      <c r="RT1582" s="206"/>
      <c r="RU1582" s="206"/>
      <c r="RV1582" s="206"/>
      <c r="RW1582" s="206"/>
      <c r="RX1582" s="206"/>
      <c r="RY1582" s="206"/>
      <c r="RZ1582" s="206"/>
      <c r="SA1582" s="206"/>
      <c r="SB1582" s="206"/>
      <c r="SC1582" s="206"/>
      <c r="SD1582" s="206"/>
      <c r="SE1582" s="206"/>
      <c r="SF1582" s="206"/>
      <c r="SG1582" s="206"/>
      <c r="SH1582" s="206"/>
      <c r="SI1582" s="206"/>
      <c r="SJ1582" s="206"/>
      <c r="SK1582" s="206"/>
      <c r="SL1582" s="206"/>
      <c r="SM1582" s="206"/>
      <c r="SN1582" s="206"/>
      <c r="SO1582" s="206"/>
      <c r="SP1582" s="206"/>
      <c r="SQ1582" s="206"/>
      <c r="SR1582" s="206"/>
      <c r="SS1582" s="206"/>
      <c r="ST1582" s="206"/>
      <c r="SU1582" s="206"/>
      <c r="SV1582" s="206"/>
      <c r="SW1582" s="206"/>
      <c r="SX1582" s="206"/>
      <c r="SY1582" s="206"/>
      <c r="SZ1582" s="206"/>
      <c r="TA1582" s="206"/>
      <c r="TB1582" s="206"/>
      <c r="TC1582" s="206"/>
      <c r="TD1582" s="206"/>
      <c r="TE1582" s="206"/>
      <c r="TF1582" s="206"/>
      <c r="TG1582" s="206"/>
      <c r="TH1582" s="206"/>
      <c r="TI1582" s="206"/>
      <c r="TJ1582" s="206"/>
      <c r="TK1582" s="206"/>
      <c r="TL1582" s="206"/>
      <c r="TM1582" s="206"/>
      <c r="TN1582" s="206"/>
      <c r="TO1582" s="206"/>
      <c r="TP1582" s="206"/>
      <c r="TQ1582" s="206"/>
      <c r="TR1582" s="206"/>
      <c r="TS1582" s="206"/>
      <c r="TT1582" s="206"/>
      <c r="TU1582" s="206"/>
      <c r="TV1582" s="206"/>
      <c r="TW1582" s="206"/>
      <c r="TX1582" s="206"/>
      <c r="TY1582" s="206"/>
      <c r="TZ1582" s="206"/>
      <c r="UA1582" s="206"/>
      <c r="UB1582" s="206"/>
      <c r="UC1582" s="206"/>
      <c r="UD1582" s="206"/>
    </row>
    <row r="1583" spans="1:550" s="874" customFormat="1" ht="53.25" customHeight="1">
      <c r="A1583" s="924" t="s">
        <v>15</v>
      </c>
      <c r="B1583" s="1230"/>
      <c r="C1583" s="1227" t="str">
        <f t="shared" si="247"/>
        <v>Đất chuyên trồng lúa nước (LUC)</v>
      </c>
      <c r="D1583" s="470" t="str">
        <f t="shared" si="248"/>
        <v>1</v>
      </c>
      <c r="E1583" s="470" t="str">
        <f t="shared" si="249"/>
        <v>257</v>
      </c>
      <c r="F1583" s="1230"/>
      <c r="G1583" s="501"/>
      <c r="H1583" s="925"/>
      <c r="I1583" s="423">
        <f t="shared" si="250"/>
        <v>213</v>
      </c>
      <c r="J1583" s="1243">
        <v>72000</v>
      </c>
      <c r="K1583" s="973">
        <v>3</v>
      </c>
      <c r="L1583" s="1226">
        <f t="shared" si="251"/>
        <v>46008000</v>
      </c>
      <c r="M1583" s="1226"/>
      <c r="N1583" s="1226"/>
      <c r="O1583" s="1226"/>
      <c r="P1583" s="1226"/>
      <c r="Q1583" s="1134"/>
      <c r="R1583" s="1226"/>
      <c r="S1583" s="486"/>
      <c r="T1583" s="486"/>
      <c r="U1583" s="486"/>
      <c r="V1583" s="486"/>
      <c r="W1583" s="486"/>
      <c r="X1583" s="486"/>
      <c r="Y1583" s="486"/>
      <c r="Z1583" s="486"/>
      <c r="AA1583" s="486"/>
      <c r="AB1583" s="486"/>
      <c r="AC1583" s="486"/>
      <c r="AD1583" s="486"/>
      <c r="AE1583" s="486"/>
      <c r="AF1583" s="486"/>
      <c r="AG1583" s="486"/>
      <c r="AH1583" s="486"/>
      <c r="AI1583" s="486"/>
      <c r="AJ1583" s="486"/>
      <c r="AK1583" s="486"/>
      <c r="AL1583" s="206"/>
      <c r="AM1583" s="206"/>
      <c r="AN1583" s="206"/>
      <c r="AO1583" s="206"/>
      <c r="AP1583" s="206"/>
      <c r="AQ1583" s="206"/>
      <c r="AR1583" s="206"/>
      <c r="AS1583" s="206"/>
      <c r="AT1583" s="206"/>
      <c r="AU1583" s="206"/>
      <c r="AV1583" s="206"/>
      <c r="AW1583" s="206"/>
      <c r="AX1583" s="206"/>
      <c r="AY1583" s="206"/>
      <c r="AZ1583" s="206"/>
      <c r="BA1583" s="206"/>
      <c r="BB1583" s="206"/>
      <c r="BC1583" s="206"/>
      <c r="BD1583" s="206"/>
      <c r="BE1583" s="206"/>
      <c r="BF1583" s="206"/>
      <c r="BG1583" s="206"/>
      <c r="BH1583" s="206"/>
      <c r="BI1583" s="206"/>
      <c r="BJ1583" s="206"/>
      <c r="BK1583" s="206"/>
      <c r="BL1583" s="206"/>
      <c r="BM1583" s="206"/>
      <c r="BN1583" s="206"/>
      <c r="BO1583" s="206"/>
      <c r="BP1583" s="206"/>
      <c r="BQ1583" s="206"/>
      <c r="BR1583" s="206"/>
      <c r="BS1583" s="206"/>
      <c r="BT1583" s="206"/>
      <c r="BU1583" s="206"/>
      <c r="BV1583" s="206"/>
      <c r="BW1583" s="206"/>
      <c r="BX1583" s="206"/>
      <c r="BY1583" s="206"/>
      <c r="BZ1583" s="206"/>
      <c r="CA1583" s="206"/>
      <c r="CB1583" s="206"/>
      <c r="CC1583" s="206"/>
      <c r="CD1583" s="206"/>
      <c r="CE1583" s="206"/>
      <c r="CF1583" s="206"/>
      <c r="CG1583" s="206"/>
      <c r="CH1583" s="206"/>
      <c r="CI1583" s="206"/>
      <c r="CJ1583" s="206"/>
      <c r="CK1583" s="206"/>
      <c r="CL1583" s="206"/>
      <c r="CM1583" s="206"/>
      <c r="CN1583" s="206"/>
      <c r="CO1583" s="206"/>
      <c r="CP1583" s="206"/>
      <c r="CQ1583" s="206"/>
      <c r="CR1583" s="206"/>
      <c r="CS1583" s="206"/>
      <c r="CT1583" s="206"/>
      <c r="CU1583" s="206"/>
      <c r="CV1583" s="206"/>
      <c r="CW1583" s="206"/>
      <c r="CX1583" s="206"/>
      <c r="CY1583" s="206"/>
      <c r="CZ1583" s="206"/>
      <c r="DA1583" s="206"/>
      <c r="DB1583" s="206"/>
      <c r="DC1583" s="206"/>
      <c r="DD1583" s="206"/>
      <c r="DE1583" s="206"/>
      <c r="DF1583" s="206"/>
      <c r="DG1583" s="206"/>
      <c r="DH1583" s="206"/>
      <c r="DI1583" s="206"/>
      <c r="DJ1583" s="206"/>
      <c r="DK1583" s="206"/>
      <c r="DL1583" s="206"/>
      <c r="DM1583" s="206"/>
      <c r="DN1583" s="206"/>
      <c r="DO1583" s="206"/>
      <c r="DP1583" s="206"/>
      <c r="DQ1583" s="206"/>
      <c r="DR1583" s="206"/>
      <c r="DS1583" s="206"/>
      <c r="DT1583" s="206"/>
      <c r="DU1583" s="206"/>
      <c r="DV1583" s="206"/>
      <c r="DW1583" s="206"/>
      <c r="DX1583" s="206"/>
      <c r="DY1583" s="206"/>
      <c r="DZ1583" s="206"/>
      <c r="EA1583" s="206"/>
      <c r="EB1583" s="206"/>
      <c r="EC1583" s="206"/>
      <c r="ED1583" s="206"/>
      <c r="EE1583" s="206"/>
      <c r="EF1583" s="206"/>
      <c r="EG1583" s="206"/>
      <c r="EH1583" s="206"/>
      <c r="EI1583" s="206"/>
      <c r="EJ1583" s="206"/>
      <c r="EK1583" s="206"/>
      <c r="EL1583" s="206"/>
      <c r="EM1583" s="206"/>
      <c r="EN1583" s="206"/>
      <c r="EO1583" s="206"/>
      <c r="EP1583" s="206"/>
      <c r="EQ1583" s="206"/>
      <c r="ER1583" s="206"/>
      <c r="ES1583" s="206"/>
      <c r="ET1583" s="206"/>
      <c r="EU1583" s="206"/>
      <c r="EV1583" s="206"/>
      <c r="EW1583" s="206"/>
      <c r="EX1583" s="206"/>
      <c r="EY1583" s="206"/>
      <c r="EZ1583" s="206"/>
      <c r="FA1583" s="206"/>
      <c r="FB1583" s="206"/>
      <c r="FC1583" s="206"/>
      <c r="FD1583" s="206"/>
      <c r="FE1583" s="206"/>
      <c r="FF1583" s="206"/>
      <c r="FG1583" s="206"/>
      <c r="FH1583" s="206"/>
      <c r="FI1583" s="206"/>
      <c r="FJ1583" s="206"/>
      <c r="FK1583" s="206"/>
      <c r="FL1583" s="206"/>
      <c r="FM1583" s="206"/>
      <c r="FN1583" s="206"/>
      <c r="FO1583" s="206"/>
      <c r="FP1583" s="206"/>
      <c r="FQ1583" s="206"/>
      <c r="FR1583" s="206"/>
      <c r="FS1583" s="206"/>
      <c r="FT1583" s="206"/>
      <c r="FU1583" s="206"/>
      <c r="FV1583" s="206"/>
      <c r="FW1583" s="206"/>
      <c r="FX1583" s="206"/>
      <c r="FY1583" s="206"/>
      <c r="FZ1583" s="206"/>
      <c r="GA1583" s="206"/>
      <c r="GB1583" s="206"/>
      <c r="GC1583" s="206"/>
      <c r="GD1583" s="206"/>
      <c r="GE1583" s="206"/>
      <c r="GF1583" s="206"/>
      <c r="GG1583" s="206"/>
      <c r="GH1583" s="206"/>
      <c r="GI1583" s="206"/>
      <c r="GJ1583" s="206"/>
      <c r="GK1583" s="206"/>
      <c r="GL1583" s="206"/>
      <c r="GM1583" s="206"/>
      <c r="GN1583" s="206"/>
      <c r="GO1583" s="206"/>
      <c r="GP1583" s="206"/>
      <c r="GQ1583" s="206"/>
      <c r="GR1583" s="206"/>
      <c r="GS1583" s="206"/>
      <c r="GT1583" s="206"/>
      <c r="GU1583" s="206"/>
      <c r="GV1583" s="206"/>
      <c r="GW1583" s="206"/>
      <c r="GX1583" s="206"/>
      <c r="GY1583" s="206"/>
      <c r="GZ1583" s="206"/>
      <c r="HA1583" s="206"/>
      <c r="HB1583" s="206"/>
      <c r="HC1583" s="206"/>
      <c r="HD1583" s="206"/>
      <c r="HE1583" s="206"/>
      <c r="HF1583" s="206"/>
      <c r="HG1583" s="206"/>
      <c r="HH1583" s="206"/>
      <c r="HI1583" s="206"/>
      <c r="HJ1583" s="206"/>
      <c r="HK1583" s="206"/>
      <c r="HL1583" s="206"/>
      <c r="HM1583" s="206"/>
      <c r="HN1583" s="206"/>
      <c r="HO1583" s="206"/>
      <c r="HP1583" s="206"/>
      <c r="HQ1583" s="206"/>
      <c r="HR1583" s="206"/>
      <c r="HS1583" s="206"/>
      <c r="HT1583" s="206"/>
      <c r="HU1583" s="206"/>
      <c r="HV1583" s="206"/>
      <c r="HW1583" s="206"/>
      <c r="HX1583" s="206"/>
      <c r="HY1583" s="206"/>
      <c r="HZ1583" s="206"/>
      <c r="IA1583" s="206"/>
      <c r="IB1583" s="206"/>
      <c r="IC1583" s="206"/>
      <c r="ID1583" s="206"/>
      <c r="IE1583" s="206"/>
      <c r="IF1583" s="206"/>
      <c r="IG1583" s="206"/>
      <c r="IH1583" s="206"/>
      <c r="II1583" s="206"/>
      <c r="IJ1583" s="206"/>
      <c r="IK1583" s="206"/>
      <c r="IL1583" s="206"/>
      <c r="IM1583" s="206"/>
      <c r="IN1583" s="206"/>
      <c r="IO1583" s="206"/>
      <c r="IP1583" s="206"/>
      <c r="IQ1583" s="206"/>
      <c r="IR1583" s="206"/>
      <c r="IS1583" s="206"/>
      <c r="IT1583" s="206"/>
      <c r="IU1583" s="206"/>
      <c r="IV1583" s="206"/>
      <c r="IW1583" s="206"/>
      <c r="IX1583" s="206"/>
      <c r="IY1583" s="206"/>
      <c r="IZ1583" s="206"/>
      <c r="JA1583" s="206"/>
      <c r="JB1583" s="206"/>
      <c r="JC1583" s="206"/>
      <c r="JD1583" s="206"/>
      <c r="JE1583" s="206"/>
      <c r="JF1583" s="206"/>
      <c r="JG1583" s="206"/>
      <c r="JH1583" s="206"/>
      <c r="JI1583" s="206"/>
      <c r="JJ1583" s="206"/>
      <c r="JK1583" s="206"/>
      <c r="JL1583" s="206"/>
      <c r="JM1583" s="206"/>
      <c r="JN1583" s="206"/>
      <c r="JO1583" s="206"/>
      <c r="JP1583" s="206"/>
      <c r="JQ1583" s="206"/>
      <c r="JR1583" s="206"/>
      <c r="JS1583" s="206"/>
      <c r="JT1583" s="206"/>
      <c r="JU1583" s="206"/>
      <c r="JV1583" s="206"/>
      <c r="JW1583" s="206"/>
      <c r="JX1583" s="206"/>
      <c r="JY1583" s="206"/>
      <c r="JZ1583" s="206"/>
      <c r="KA1583" s="206"/>
      <c r="KB1583" s="206"/>
      <c r="KC1583" s="206"/>
      <c r="KD1583" s="206"/>
      <c r="KE1583" s="206"/>
      <c r="KF1583" s="206"/>
      <c r="KG1583" s="206"/>
      <c r="KH1583" s="206"/>
      <c r="KI1583" s="206"/>
      <c r="KJ1583" s="206"/>
      <c r="KK1583" s="206"/>
      <c r="KL1583" s="206"/>
      <c r="KM1583" s="206"/>
      <c r="KN1583" s="206"/>
      <c r="KO1583" s="206"/>
      <c r="KP1583" s="206"/>
      <c r="KQ1583" s="206"/>
      <c r="KR1583" s="206"/>
      <c r="KS1583" s="206"/>
      <c r="KT1583" s="206"/>
      <c r="KU1583" s="206"/>
      <c r="KV1583" s="206"/>
      <c r="KW1583" s="206"/>
      <c r="KX1583" s="206"/>
      <c r="KY1583" s="206"/>
      <c r="KZ1583" s="206"/>
      <c r="LA1583" s="206"/>
      <c r="LB1583" s="206"/>
      <c r="LC1583" s="206"/>
      <c r="LD1583" s="206"/>
      <c r="LE1583" s="206"/>
      <c r="LF1583" s="206"/>
      <c r="LG1583" s="206"/>
      <c r="LH1583" s="206"/>
      <c r="LI1583" s="206"/>
      <c r="LJ1583" s="206"/>
      <c r="LK1583" s="206"/>
      <c r="LL1583" s="206"/>
      <c r="LM1583" s="206"/>
      <c r="LN1583" s="206"/>
      <c r="LO1583" s="206"/>
      <c r="LP1583" s="206"/>
      <c r="LQ1583" s="206"/>
      <c r="LR1583" s="206"/>
      <c r="LS1583" s="206"/>
      <c r="LT1583" s="206"/>
      <c r="LU1583" s="206"/>
      <c r="LV1583" s="206"/>
      <c r="LW1583" s="206"/>
      <c r="LX1583" s="206"/>
      <c r="LY1583" s="206"/>
      <c r="LZ1583" s="206"/>
      <c r="MA1583" s="206"/>
      <c r="MB1583" s="206"/>
      <c r="MC1583" s="206"/>
      <c r="MD1583" s="206"/>
      <c r="ME1583" s="206"/>
      <c r="MF1583" s="206"/>
      <c r="MG1583" s="206"/>
      <c r="MH1583" s="206"/>
      <c r="MI1583" s="206"/>
      <c r="MJ1583" s="206"/>
      <c r="MK1583" s="206"/>
      <c r="ML1583" s="206"/>
      <c r="MM1583" s="206"/>
      <c r="MN1583" s="206"/>
      <c r="MO1583" s="206"/>
      <c r="MP1583" s="206"/>
      <c r="MQ1583" s="206"/>
      <c r="MR1583" s="206"/>
      <c r="MS1583" s="206"/>
      <c r="MT1583" s="206"/>
      <c r="MU1583" s="206"/>
      <c r="MV1583" s="206"/>
      <c r="MW1583" s="206"/>
      <c r="MX1583" s="206"/>
      <c r="MY1583" s="206"/>
      <c r="MZ1583" s="206"/>
      <c r="NA1583" s="206"/>
      <c r="NB1583" s="206"/>
      <c r="NC1583" s="206"/>
      <c r="ND1583" s="206"/>
      <c r="NE1583" s="206"/>
      <c r="NF1583" s="206"/>
      <c r="NG1583" s="206"/>
      <c r="NH1583" s="206"/>
      <c r="NI1583" s="206"/>
      <c r="NJ1583" s="206"/>
      <c r="NK1583" s="206"/>
      <c r="NL1583" s="206"/>
      <c r="NM1583" s="206"/>
      <c r="NN1583" s="206"/>
      <c r="NO1583" s="206"/>
      <c r="NP1583" s="206"/>
      <c r="NQ1583" s="206"/>
      <c r="NR1583" s="206"/>
      <c r="NS1583" s="206"/>
      <c r="NT1583" s="206"/>
      <c r="NU1583" s="206"/>
      <c r="NV1583" s="206"/>
      <c r="NW1583" s="206"/>
      <c r="NX1583" s="206"/>
      <c r="NY1583" s="206"/>
      <c r="NZ1583" s="206"/>
      <c r="OA1583" s="206"/>
      <c r="OB1583" s="206"/>
      <c r="OC1583" s="206"/>
      <c r="OD1583" s="206"/>
      <c r="OE1583" s="206"/>
      <c r="OF1583" s="206"/>
      <c r="OG1583" s="206"/>
      <c r="OH1583" s="206"/>
      <c r="OI1583" s="206"/>
      <c r="OJ1583" s="206"/>
      <c r="OK1583" s="206"/>
      <c r="OL1583" s="206"/>
      <c r="OM1583" s="206"/>
      <c r="ON1583" s="206"/>
      <c r="OO1583" s="206"/>
      <c r="OP1583" s="206"/>
      <c r="OQ1583" s="206"/>
      <c r="OR1583" s="206"/>
      <c r="OS1583" s="206"/>
      <c r="OT1583" s="206"/>
      <c r="OU1583" s="206"/>
      <c r="OV1583" s="206"/>
      <c r="OW1583" s="206"/>
      <c r="OX1583" s="206"/>
      <c r="OY1583" s="206"/>
      <c r="OZ1583" s="206"/>
      <c r="PA1583" s="206"/>
      <c r="PB1583" s="206"/>
      <c r="PC1583" s="206"/>
      <c r="PD1583" s="206"/>
      <c r="PE1583" s="206"/>
      <c r="PF1583" s="206"/>
      <c r="PG1583" s="206"/>
      <c r="PH1583" s="206"/>
      <c r="PI1583" s="206"/>
      <c r="PJ1583" s="206"/>
      <c r="PK1583" s="206"/>
      <c r="PL1583" s="206"/>
      <c r="PM1583" s="206"/>
      <c r="PN1583" s="206"/>
      <c r="PO1583" s="206"/>
      <c r="PP1583" s="206"/>
      <c r="PQ1583" s="206"/>
      <c r="PR1583" s="206"/>
      <c r="PS1583" s="206"/>
      <c r="PT1583" s="206"/>
      <c r="PU1583" s="206"/>
      <c r="PV1583" s="206"/>
      <c r="PW1583" s="206"/>
      <c r="PX1583" s="206"/>
      <c r="PY1583" s="206"/>
      <c r="PZ1583" s="206"/>
      <c r="QA1583" s="206"/>
      <c r="QB1583" s="206"/>
      <c r="QC1583" s="206"/>
      <c r="QD1583" s="206"/>
      <c r="QE1583" s="206"/>
      <c r="QF1583" s="206"/>
      <c r="QG1583" s="206"/>
      <c r="QH1583" s="206"/>
      <c r="QI1583" s="206"/>
      <c r="QJ1583" s="206"/>
      <c r="QK1583" s="206"/>
      <c r="QL1583" s="206"/>
      <c r="QM1583" s="206"/>
      <c r="QN1583" s="206"/>
      <c r="QO1583" s="206"/>
      <c r="QP1583" s="206"/>
      <c r="QQ1583" s="206"/>
      <c r="QR1583" s="206"/>
      <c r="QS1583" s="206"/>
      <c r="QT1583" s="206"/>
      <c r="QU1583" s="206"/>
      <c r="QV1583" s="206"/>
      <c r="QW1583" s="206"/>
      <c r="QX1583" s="206"/>
      <c r="QY1583" s="206"/>
      <c r="QZ1583" s="206"/>
      <c r="RA1583" s="206"/>
      <c r="RB1583" s="206"/>
      <c r="RC1583" s="206"/>
      <c r="RD1583" s="206"/>
      <c r="RE1583" s="206"/>
      <c r="RF1583" s="206"/>
      <c r="RG1583" s="206"/>
      <c r="RH1583" s="206"/>
      <c r="RI1583" s="206"/>
      <c r="RJ1583" s="206"/>
      <c r="RK1583" s="206"/>
      <c r="RL1583" s="206"/>
      <c r="RM1583" s="206"/>
      <c r="RN1583" s="206"/>
      <c r="RO1583" s="206"/>
      <c r="RP1583" s="206"/>
      <c r="RQ1583" s="206"/>
      <c r="RR1583" s="206"/>
      <c r="RS1583" s="206"/>
      <c r="RT1583" s="206"/>
      <c r="RU1583" s="206"/>
      <c r="RV1583" s="206"/>
      <c r="RW1583" s="206"/>
      <c r="RX1583" s="206"/>
      <c r="RY1583" s="206"/>
      <c r="RZ1583" s="206"/>
      <c r="SA1583" s="206"/>
      <c r="SB1583" s="206"/>
      <c r="SC1583" s="206"/>
      <c r="SD1583" s="206"/>
      <c r="SE1583" s="206"/>
      <c r="SF1583" s="206"/>
      <c r="SG1583" s="206"/>
      <c r="SH1583" s="206"/>
      <c r="SI1583" s="206"/>
      <c r="SJ1583" s="206"/>
      <c r="SK1583" s="206"/>
      <c r="SL1583" s="206"/>
      <c r="SM1583" s="206"/>
      <c r="SN1583" s="206"/>
      <c r="SO1583" s="206"/>
      <c r="SP1583" s="206"/>
      <c r="SQ1583" s="206"/>
      <c r="SR1583" s="206"/>
      <c r="SS1583" s="206"/>
      <c r="ST1583" s="206"/>
      <c r="SU1583" s="206"/>
      <c r="SV1583" s="206"/>
      <c r="SW1583" s="206"/>
      <c r="SX1583" s="206"/>
      <c r="SY1583" s="206"/>
      <c r="SZ1583" s="206"/>
      <c r="TA1583" s="206"/>
      <c r="TB1583" s="206"/>
      <c r="TC1583" s="206"/>
      <c r="TD1583" s="206"/>
      <c r="TE1583" s="206"/>
      <c r="TF1583" s="206"/>
      <c r="TG1583" s="206"/>
      <c r="TH1583" s="206"/>
      <c r="TI1583" s="206"/>
      <c r="TJ1583" s="206"/>
      <c r="TK1583" s="206"/>
      <c r="TL1583" s="206"/>
      <c r="TM1583" s="206"/>
      <c r="TN1583" s="206"/>
      <c r="TO1583" s="206"/>
      <c r="TP1583" s="206"/>
      <c r="TQ1583" s="206"/>
      <c r="TR1583" s="206"/>
      <c r="TS1583" s="206"/>
      <c r="TT1583" s="206"/>
      <c r="TU1583" s="206"/>
      <c r="TV1583" s="206"/>
      <c r="TW1583" s="206"/>
      <c r="TX1583" s="206"/>
      <c r="TY1583" s="206"/>
      <c r="TZ1583" s="206"/>
      <c r="UA1583" s="206"/>
      <c r="UB1583" s="206"/>
      <c r="UC1583" s="206"/>
      <c r="UD1583" s="206"/>
    </row>
    <row r="1584" spans="1:550" s="874" customFormat="1" ht="53.25" customHeight="1">
      <c r="A1584" s="924" t="s">
        <v>15</v>
      </c>
      <c r="B1584" s="1230"/>
      <c r="C1584" s="1227" t="str">
        <f t="shared" si="247"/>
        <v>Đất chuyên trồng lúa nước (LUC)</v>
      </c>
      <c r="D1584" s="470">
        <f t="shared" si="248"/>
        <v>1</v>
      </c>
      <c r="E1584" s="470">
        <f t="shared" si="249"/>
        <v>240</v>
      </c>
      <c r="F1584" s="1230"/>
      <c r="G1584" s="501"/>
      <c r="H1584" s="925"/>
      <c r="I1584" s="423">
        <f t="shared" si="250"/>
        <v>719.9</v>
      </c>
      <c r="J1584" s="1243">
        <v>72000</v>
      </c>
      <c r="K1584" s="973">
        <v>3</v>
      </c>
      <c r="L1584" s="1226">
        <f t="shared" si="251"/>
        <v>155498400</v>
      </c>
      <c r="M1584" s="1226"/>
      <c r="N1584" s="1226"/>
      <c r="O1584" s="1226"/>
      <c r="P1584" s="1226"/>
      <c r="Q1584" s="1134"/>
      <c r="R1584" s="1226"/>
      <c r="S1584" s="486"/>
      <c r="T1584" s="486"/>
      <c r="U1584" s="486"/>
      <c r="V1584" s="486"/>
      <c r="W1584" s="486"/>
      <c r="X1584" s="486"/>
      <c r="Y1584" s="486"/>
      <c r="Z1584" s="486"/>
      <c r="AA1584" s="486"/>
      <c r="AB1584" s="486"/>
      <c r="AC1584" s="486"/>
      <c r="AD1584" s="486"/>
      <c r="AE1584" s="486"/>
      <c r="AF1584" s="486"/>
      <c r="AG1584" s="486"/>
      <c r="AH1584" s="486"/>
      <c r="AI1584" s="486"/>
      <c r="AJ1584" s="486"/>
      <c r="AK1584" s="486"/>
      <c r="AL1584" s="206"/>
      <c r="AM1584" s="206"/>
      <c r="AN1584" s="206"/>
      <c r="AO1584" s="206"/>
      <c r="AP1584" s="206"/>
      <c r="AQ1584" s="206"/>
      <c r="AR1584" s="206"/>
      <c r="AS1584" s="206"/>
      <c r="AT1584" s="206"/>
      <c r="AU1584" s="206"/>
      <c r="AV1584" s="206"/>
      <c r="AW1584" s="206"/>
      <c r="AX1584" s="206"/>
      <c r="AY1584" s="206"/>
      <c r="AZ1584" s="206"/>
      <c r="BA1584" s="206"/>
      <c r="BB1584" s="206"/>
      <c r="BC1584" s="206"/>
      <c r="BD1584" s="206"/>
      <c r="BE1584" s="206"/>
      <c r="BF1584" s="206"/>
      <c r="BG1584" s="206"/>
      <c r="BH1584" s="206"/>
      <c r="BI1584" s="206"/>
      <c r="BJ1584" s="206"/>
      <c r="BK1584" s="206"/>
      <c r="BL1584" s="206"/>
      <c r="BM1584" s="206"/>
      <c r="BN1584" s="206"/>
      <c r="BO1584" s="206"/>
      <c r="BP1584" s="206"/>
      <c r="BQ1584" s="206"/>
      <c r="BR1584" s="206"/>
      <c r="BS1584" s="206"/>
      <c r="BT1584" s="206"/>
      <c r="BU1584" s="206"/>
      <c r="BV1584" s="206"/>
      <c r="BW1584" s="206"/>
      <c r="BX1584" s="206"/>
      <c r="BY1584" s="206"/>
      <c r="BZ1584" s="206"/>
      <c r="CA1584" s="206"/>
      <c r="CB1584" s="206"/>
      <c r="CC1584" s="206"/>
      <c r="CD1584" s="206"/>
      <c r="CE1584" s="206"/>
      <c r="CF1584" s="206"/>
      <c r="CG1584" s="206"/>
      <c r="CH1584" s="206"/>
      <c r="CI1584" s="206"/>
      <c r="CJ1584" s="206"/>
      <c r="CK1584" s="206"/>
      <c r="CL1584" s="206"/>
      <c r="CM1584" s="206"/>
      <c r="CN1584" s="206"/>
      <c r="CO1584" s="206"/>
      <c r="CP1584" s="206"/>
      <c r="CQ1584" s="206"/>
      <c r="CR1584" s="206"/>
      <c r="CS1584" s="206"/>
      <c r="CT1584" s="206"/>
      <c r="CU1584" s="206"/>
      <c r="CV1584" s="206"/>
      <c r="CW1584" s="206"/>
      <c r="CX1584" s="206"/>
      <c r="CY1584" s="206"/>
      <c r="CZ1584" s="206"/>
      <c r="DA1584" s="206"/>
      <c r="DB1584" s="206"/>
      <c r="DC1584" s="206"/>
      <c r="DD1584" s="206"/>
      <c r="DE1584" s="206"/>
      <c r="DF1584" s="206"/>
      <c r="DG1584" s="206"/>
      <c r="DH1584" s="206"/>
      <c r="DI1584" s="206"/>
      <c r="DJ1584" s="206"/>
      <c r="DK1584" s="206"/>
      <c r="DL1584" s="206"/>
      <c r="DM1584" s="206"/>
      <c r="DN1584" s="206"/>
      <c r="DO1584" s="206"/>
      <c r="DP1584" s="206"/>
      <c r="DQ1584" s="206"/>
      <c r="DR1584" s="206"/>
      <c r="DS1584" s="206"/>
      <c r="DT1584" s="206"/>
      <c r="DU1584" s="206"/>
      <c r="DV1584" s="206"/>
      <c r="DW1584" s="206"/>
      <c r="DX1584" s="206"/>
      <c r="DY1584" s="206"/>
      <c r="DZ1584" s="206"/>
      <c r="EA1584" s="206"/>
      <c r="EB1584" s="206"/>
      <c r="EC1584" s="206"/>
      <c r="ED1584" s="206"/>
      <c r="EE1584" s="206"/>
      <c r="EF1584" s="206"/>
      <c r="EG1584" s="206"/>
      <c r="EH1584" s="206"/>
      <c r="EI1584" s="206"/>
      <c r="EJ1584" s="206"/>
      <c r="EK1584" s="206"/>
      <c r="EL1584" s="206"/>
      <c r="EM1584" s="206"/>
      <c r="EN1584" s="206"/>
      <c r="EO1584" s="206"/>
      <c r="EP1584" s="206"/>
      <c r="EQ1584" s="206"/>
      <c r="ER1584" s="206"/>
      <c r="ES1584" s="206"/>
      <c r="ET1584" s="206"/>
      <c r="EU1584" s="206"/>
      <c r="EV1584" s="206"/>
      <c r="EW1584" s="206"/>
      <c r="EX1584" s="206"/>
      <c r="EY1584" s="206"/>
      <c r="EZ1584" s="206"/>
      <c r="FA1584" s="206"/>
      <c r="FB1584" s="206"/>
      <c r="FC1584" s="206"/>
      <c r="FD1584" s="206"/>
      <c r="FE1584" s="206"/>
      <c r="FF1584" s="206"/>
      <c r="FG1584" s="206"/>
      <c r="FH1584" s="206"/>
      <c r="FI1584" s="206"/>
      <c r="FJ1584" s="206"/>
      <c r="FK1584" s="206"/>
      <c r="FL1584" s="206"/>
      <c r="FM1584" s="206"/>
      <c r="FN1584" s="206"/>
      <c r="FO1584" s="206"/>
      <c r="FP1584" s="206"/>
      <c r="FQ1584" s="206"/>
      <c r="FR1584" s="206"/>
      <c r="FS1584" s="206"/>
      <c r="FT1584" s="206"/>
      <c r="FU1584" s="206"/>
      <c r="FV1584" s="206"/>
      <c r="FW1584" s="206"/>
      <c r="FX1584" s="206"/>
      <c r="FY1584" s="206"/>
      <c r="FZ1584" s="206"/>
      <c r="GA1584" s="206"/>
      <c r="GB1584" s="206"/>
      <c r="GC1584" s="206"/>
      <c r="GD1584" s="206"/>
      <c r="GE1584" s="206"/>
      <c r="GF1584" s="206"/>
      <c r="GG1584" s="206"/>
      <c r="GH1584" s="206"/>
      <c r="GI1584" s="206"/>
      <c r="GJ1584" s="206"/>
      <c r="GK1584" s="206"/>
      <c r="GL1584" s="206"/>
      <c r="GM1584" s="206"/>
      <c r="GN1584" s="206"/>
      <c r="GO1584" s="206"/>
      <c r="GP1584" s="206"/>
      <c r="GQ1584" s="206"/>
      <c r="GR1584" s="206"/>
      <c r="GS1584" s="206"/>
      <c r="GT1584" s="206"/>
      <c r="GU1584" s="206"/>
      <c r="GV1584" s="206"/>
      <c r="GW1584" s="206"/>
      <c r="GX1584" s="206"/>
      <c r="GY1584" s="206"/>
      <c r="GZ1584" s="206"/>
      <c r="HA1584" s="206"/>
      <c r="HB1584" s="206"/>
      <c r="HC1584" s="206"/>
      <c r="HD1584" s="206"/>
      <c r="HE1584" s="206"/>
      <c r="HF1584" s="206"/>
      <c r="HG1584" s="206"/>
      <c r="HH1584" s="206"/>
      <c r="HI1584" s="206"/>
      <c r="HJ1584" s="206"/>
      <c r="HK1584" s="206"/>
      <c r="HL1584" s="206"/>
      <c r="HM1584" s="206"/>
      <c r="HN1584" s="206"/>
      <c r="HO1584" s="206"/>
      <c r="HP1584" s="206"/>
      <c r="HQ1584" s="206"/>
      <c r="HR1584" s="206"/>
      <c r="HS1584" s="206"/>
      <c r="HT1584" s="206"/>
      <c r="HU1584" s="206"/>
      <c r="HV1584" s="206"/>
      <c r="HW1584" s="206"/>
      <c r="HX1584" s="206"/>
      <c r="HY1584" s="206"/>
      <c r="HZ1584" s="206"/>
      <c r="IA1584" s="206"/>
      <c r="IB1584" s="206"/>
      <c r="IC1584" s="206"/>
      <c r="ID1584" s="206"/>
      <c r="IE1584" s="206"/>
      <c r="IF1584" s="206"/>
      <c r="IG1584" s="206"/>
      <c r="IH1584" s="206"/>
      <c r="II1584" s="206"/>
      <c r="IJ1584" s="206"/>
      <c r="IK1584" s="206"/>
      <c r="IL1584" s="206"/>
      <c r="IM1584" s="206"/>
      <c r="IN1584" s="206"/>
      <c r="IO1584" s="206"/>
      <c r="IP1584" s="206"/>
      <c r="IQ1584" s="206"/>
      <c r="IR1584" s="206"/>
      <c r="IS1584" s="206"/>
      <c r="IT1584" s="206"/>
      <c r="IU1584" s="206"/>
      <c r="IV1584" s="206"/>
      <c r="IW1584" s="206"/>
      <c r="IX1584" s="206"/>
      <c r="IY1584" s="206"/>
      <c r="IZ1584" s="206"/>
      <c r="JA1584" s="206"/>
      <c r="JB1584" s="206"/>
      <c r="JC1584" s="206"/>
      <c r="JD1584" s="206"/>
      <c r="JE1584" s="206"/>
      <c r="JF1584" s="206"/>
      <c r="JG1584" s="206"/>
      <c r="JH1584" s="206"/>
      <c r="JI1584" s="206"/>
      <c r="JJ1584" s="206"/>
      <c r="JK1584" s="206"/>
      <c r="JL1584" s="206"/>
      <c r="JM1584" s="206"/>
      <c r="JN1584" s="206"/>
      <c r="JO1584" s="206"/>
      <c r="JP1584" s="206"/>
      <c r="JQ1584" s="206"/>
      <c r="JR1584" s="206"/>
      <c r="JS1584" s="206"/>
      <c r="JT1584" s="206"/>
      <c r="JU1584" s="206"/>
      <c r="JV1584" s="206"/>
      <c r="JW1584" s="206"/>
      <c r="JX1584" s="206"/>
      <c r="JY1584" s="206"/>
      <c r="JZ1584" s="206"/>
      <c r="KA1584" s="206"/>
      <c r="KB1584" s="206"/>
      <c r="KC1584" s="206"/>
      <c r="KD1584" s="206"/>
      <c r="KE1584" s="206"/>
      <c r="KF1584" s="206"/>
      <c r="KG1584" s="206"/>
      <c r="KH1584" s="206"/>
      <c r="KI1584" s="206"/>
      <c r="KJ1584" s="206"/>
      <c r="KK1584" s="206"/>
      <c r="KL1584" s="206"/>
      <c r="KM1584" s="206"/>
      <c r="KN1584" s="206"/>
      <c r="KO1584" s="206"/>
      <c r="KP1584" s="206"/>
      <c r="KQ1584" s="206"/>
      <c r="KR1584" s="206"/>
      <c r="KS1584" s="206"/>
      <c r="KT1584" s="206"/>
      <c r="KU1584" s="206"/>
      <c r="KV1584" s="206"/>
      <c r="KW1584" s="206"/>
      <c r="KX1584" s="206"/>
      <c r="KY1584" s="206"/>
      <c r="KZ1584" s="206"/>
      <c r="LA1584" s="206"/>
      <c r="LB1584" s="206"/>
      <c r="LC1584" s="206"/>
      <c r="LD1584" s="206"/>
      <c r="LE1584" s="206"/>
      <c r="LF1584" s="206"/>
      <c r="LG1584" s="206"/>
      <c r="LH1584" s="206"/>
      <c r="LI1584" s="206"/>
      <c r="LJ1584" s="206"/>
      <c r="LK1584" s="206"/>
      <c r="LL1584" s="206"/>
      <c r="LM1584" s="206"/>
      <c r="LN1584" s="206"/>
      <c r="LO1584" s="206"/>
      <c r="LP1584" s="206"/>
      <c r="LQ1584" s="206"/>
      <c r="LR1584" s="206"/>
      <c r="LS1584" s="206"/>
      <c r="LT1584" s="206"/>
      <c r="LU1584" s="206"/>
      <c r="LV1584" s="206"/>
      <c r="LW1584" s="206"/>
      <c r="LX1584" s="206"/>
      <c r="LY1584" s="206"/>
      <c r="LZ1584" s="206"/>
      <c r="MA1584" s="206"/>
      <c r="MB1584" s="206"/>
      <c r="MC1584" s="206"/>
      <c r="MD1584" s="206"/>
      <c r="ME1584" s="206"/>
      <c r="MF1584" s="206"/>
      <c r="MG1584" s="206"/>
      <c r="MH1584" s="206"/>
      <c r="MI1584" s="206"/>
      <c r="MJ1584" s="206"/>
      <c r="MK1584" s="206"/>
      <c r="ML1584" s="206"/>
      <c r="MM1584" s="206"/>
      <c r="MN1584" s="206"/>
      <c r="MO1584" s="206"/>
      <c r="MP1584" s="206"/>
      <c r="MQ1584" s="206"/>
      <c r="MR1584" s="206"/>
      <c r="MS1584" s="206"/>
      <c r="MT1584" s="206"/>
      <c r="MU1584" s="206"/>
      <c r="MV1584" s="206"/>
      <c r="MW1584" s="206"/>
      <c r="MX1584" s="206"/>
      <c r="MY1584" s="206"/>
      <c r="MZ1584" s="206"/>
      <c r="NA1584" s="206"/>
      <c r="NB1584" s="206"/>
      <c r="NC1584" s="206"/>
      <c r="ND1584" s="206"/>
      <c r="NE1584" s="206"/>
      <c r="NF1584" s="206"/>
      <c r="NG1584" s="206"/>
      <c r="NH1584" s="206"/>
      <c r="NI1584" s="206"/>
      <c r="NJ1584" s="206"/>
      <c r="NK1584" s="206"/>
      <c r="NL1584" s="206"/>
      <c r="NM1584" s="206"/>
      <c r="NN1584" s="206"/>
      <c r="NO1584" s="206"/>
      <c r="NP1584" s="206"/>
      <c r="NQ1584" s="206"/>
      <c r="NR1584" s="206"/>
      <c r="NS1584" s="206"/>
      <c r="NT1584" s="206"/>
      <c r="NU1584" s="206"/>
      <c r="NV1584" s="206"/>
      <c r="NW1584" s="206"/>
      <c r="NX1584" s="206"/>
      <c r="NY1584" s="206"/>
      <c r="NZ1584" s="206"/>
      <c r="OA1584" s="206"/>
      <c r="OB1584" s="206"/>
      <c r="OC1584" s="206"/>
      <c r="OD1584" s="206"/>
      <c r="OE1584" s="206"/>
      <c r="OF1584" s="206"/>
      <c r="OG1584" s="206"/>
      <c r="OH1584" s="206"/>
      <c r="OI1584" s="206"/>
      <c r="OJ1584" s="206"/>
      <c r="OK1584" s="206"/>
      <c r="OL1584" s="206"/>
      <c r="OM1584" s="206"/>
      <c r="ON1584" s="206"/>
      <c r="OO1584" s="206"/>
      <c r="OP1584" s="206"/>
      <c r="OQ1584" s="206"/>
      <c r="OR1584" s="206"/>
      <c r="OS1584" s="206"/>
      <c r="OT1584" s="206"/>
      <c r="OU1584" s="206"/>
      <c r="OV1584" s="206"/>
      <c r="OW1584" s="206"/>
      <c r="OX1584" s="206"/>
      <c r="OY1584" s="206"/>
      <c r="OZ1584" s="206"/>
      <c r="PA1584" s="206"/>
      <c r="PB1584" s="206"/>
      <c r="PC1584" s="206"/>
      <c r="PD1584" s="206"/>
      <c r="PE1584" s="206"/>
      <c r="PF1584" s="206"/>
      <c r="PG1584" s="206"/>
      <c r="PH1584" s="206"/>
      <c r="PI1584" s="206"/>
      <c r="PJ1584" s="206"/>
      <c r="PK1584" s="206"/>
      <c r="PL1584" s="206"/>
      <c r="PM1584" s="206"/>
      <c r="PN1584" s="206"/>
      <c r="PO1584" s="206"/>
      <c r="PP1584" s="206"/>
      <c r="PQ1584" s="206"/>
      <c r="PR1584" s="206"/>
      <c r="PS1584" s="206"/>
      <c r="PT1584" s="206"/>
      <c r="PU1584" s="206"/>
      <c r="PV1584" s="206"/>
      <c r="PW1584" s="206"/>
      <c r="PX1584" s="206"/>
      <c r="PY1584" s="206"/>
      <c r="PZ1584" s="206"/>
      <c r="QA1584" s="206"/>
      <c r="QB1584" s="206"/>
      <c r="QC1584" s="206"/>
      <c r="QD1584" s="206"/>
      <c r="QE1584" s="206"/>
      <c r="QF1584" s="206"/>
      <c r="QG1584" s="206"/>
      <c r="QH1584" s="206"/>
      <c r="QI1584" s="206"/>
      <c r="QJ1584" s="206"/>
      <c r="QK1584" s="206"/>
      <c r="QL1584" s="206"/>
      <c r="QM1584" s="206"/>
      <c r="QN1584" s="206"/>
      <c r="QO1584" s="206"/>
      <c r="QP1584" s="206"/>
      <c r="QQ1584" s="206"/>
      <c r="QR1584" s="206"/>
      <c r="QS1584" s="206"/>
      <c r="QT1584" s="206"/>
      <c r="QU1584" s="206"/>
      <c r="QV1584" s="206"/>
      <c r="QW1584" s="206"/>
      <c r="QX1584" s="206"/>
      <c r="QY1584" s="206"/>
      <c r="QZ1584" s="206"/>
      <c r="RA1584" s="206"/>
      <c r="RB1584" s="206"/>
      <c r="RC1584" s="206"/>
      <c r="RD1584" s="206"/>
      <c r="RE1584" s="206"/>
      <c r="RF1584" s="206"/>
      <c r="RG1584" s="206"/>
      <c r="RH1584" s="206"/>
      <c r="RI1584" s="206"/>
      <c r="RJ1584" s="206"/>
      <c r="RK1584" s="206"/>
      <c r="RL1584" s="206"/>
      <c r="RM1584" s="206"/>
      <c r="RN1584" s="206"/>
      <c r="RO1584" s="206"/>
      <c r="RP1584" s="206"/>
      <c r="RQ1584" s="206"/>
      <c r="RR1584" s="206"/>
      <c r="RS1584" s="206"/>
      <c r="RT1584" s="206"/>
      <c r="RU1584" s="206"/>
      <c r="RV1584" s="206"/>
      <c r="RW1584" s="206"/>
      <c r="RX1584" s="206"/>
      <c r="RY1584" s="206"/>
      <c r="RZ1584" s="206"/>
      <c r="SA1584" s="206"/>
      <c r="SB1584" s="206"/>
      <c r="SC1584" s="206"/>
      <c r="SD1584" s="206"/>
      <c r="SE1584" s="206"/>
      <c r="SF1584" s="206"/>
      <c r="SG1584" s="206"/>
      <c r="SH1584" s="206"/>
      <c r="SI1584" s="206"/>
      <c r="SJ1584" s="206"/>
      <c r="SK1584" s="206"/>
      <c r="SL1584" s="206"/>
      <c r="SM1584" s="206"/>
      <c r="SN1584" s="206"/>
      <c r="SO1584" s="206"/>
      <c r="SP1584" s="206"/>
      <c r="SQ1584" s="206"/>
      <c r="SR1584" s="206"/>
      <c r="SS1584" s="206"/>
      <c r="ST1584" s="206"/>
      <c r="SU1584" s="206"/>
      <c r="SV1584" s="206"/>
      <c r="SW1584" s="206"/>
      <c r="SX1584" s="206"/>
      <c r="SY1584" s="206"/>
      <c r="SZ1584" s="206"/>
      <c r="TA1584" s="206"/>
      <c r="TB1584" s="206"/>
      <c r="TC1584" s="206"/>
      <c r="TD1584" s="206"/>
      <c r="TE1584" s="206"/>
      <c r="TF1584" s="206"/>
      <c r="TG1584" s="206"/>
      <c r="TH1584" s="206"/>
      <c r="TI1584" s="206"/>
      <c r="TJ1584" s="206"/>
      <c r="TK1584" s="206"/>
      <c r="TL1584" s="206"/>
      <c r="TM1584" s="206"/>
      <c r="TN1584" s="206"/>
      <c r="TO1584" s="206"/>
      <c r="TP1584" s="206"/>
      <c r="TQ1584" s="206"/>
      <c r="TR1584" s="206"/>
      <c r="TS1584" s="206"/>
      <c r="TT1584" s="206"/>
      <c r="TU1584" s="206"/>
      <c r="TV1584" s="206"/>
      <c r="TW1584" s="206"/>
      <c r="TX1584" s="206"/>
      <c r="TY1584" s="206"/>
      <c r="TZ1584" s="206"/>
      <c r="UA1584" s="206"/>
      <c r="UB1584" s="206"/>
      <c r="UC1584" s="206"/>
      <c r="UD1584" s="206"/>
    </row>
    <row r="1585" spans="1:550" s="874" customFormat="1" ht="53.25" customHeight="1">
      <c r="A1585" s="924" t="s">
        <v>15</v>
      </c>
      <c r="B1585" s="1230"/>
      <c r="C1585" s="1227" t="str">
        <f t="shared" si="247"/>
        <v>Đất nuôi trồng thủy sản (NTS)</v>
      </c>
      <c r="D1585" s="470" t="str">
        <f t="shared" si="248"/>
        <v>1</v>
      </c>
      <c r="E1585" s="470" t="str">
        <f t="shared" si="249"/>
        <v>356</v>
      </c>
      <c r="F1585" s="1230"/>
      <c r="G1585" s="501"/>
      <c r="H1585" s="925"/>
      <c r="I1585" s="423">
        <f t="shared" si="250"/>
        <v>223.2</v>
      </c>
      <c r="J1585" s="1243">
        <v>66000</v>
      </c>
      <c r="K1585" s="973">
        <v>2.5</v>
      </c>
      <c r="L1585" s="1226">
        <f t="shared" si="251"/>
        <v>36828000</v>
      </c>
      <c r="M1585" s="1226"/>
      <c r="N1585" s="1226"/>
      <c r="O1585" s="1226"/>
      <c r="P1585" s="1226"/>
      <c r="Q1585" s="1134"/>
      <c r="R1585" s="1226"/>
      <c r="S1585" s="486"/>
      <c r="T1585" s="486"/>
      <c r="U1585" s="486"/>
      <c r="V1585" s="486"/>
      <c r="W1585" s="486"/>
      <c r="X1585" s="486"/>
      <c r="Y1585" s="486"/>
      <c r="Z1585" s="486"/>
      <c r="AA1585" s="486"/>
      <c r="AB1585" s="486"/>
      <c r="AC1585" s="486"/>
      <c r="AD1585" s="486"/>
      <c r="AE1585" s="486"/>
      <c r="AF1585" s="486"/>
      <c r="AG1585" s="486"/>
      <c r="AH1585" s="486"/>
      <c r="AI1585" s="486"/>
      <c r="AJ1585" s="486"/>
      <c r="AK1585" s="486"/>
      <c r="AL1585" s="206"/>
      <c r="AM1585" s="206"/>
      <c r="AN1585" s="206"/>
      <c r="AO1585" s="206"/>
      <c r="AP1585" s="206"/>
      <c r="AQ1585" s="206"/>
      <c r="AR1585" s="206"/>
      <c r="AS1585" s="206"/>
      <c r="AT1585" s="206"/>
      <c r="AU1585" s="206"/>
      <c r="AV1585" s="206"/>
      <c r="AW1585" s="206"/>
      <c r="AX1585" s="206"/>
      <c r="AY1585" s="206"/>
      <c r="AZ1585" s="206"/>
      <c r="BA1585" s="206"/>
      <c r="BB1585" s="206"/>
      <c r="BC1585" s="206"/>
      <c r="BD1585" s="206"/>
      <c r="BE1585" s="206"/>
      <c r="BF1585" s="206"/>
      <c r="BG1585" s="206"/>
      <c r="BH1585" s="206"/>
      <c r="BI1585" s="206"/>
      <c r="BJ1585" s="206"/>
      <c r="BK1585" s="206"/>
      <c r="BL1585" s="206"/>
      <c r="BM1585" s="206"/>
      <c r="BN1585" s="206"/>
      <c r="BO1585" s="206"/>
      <c r="BP1585" s="206"/>
      <c r="BQ1585" s="206"/>
      <c r="BR1585" s="206"/>
      <c r="BS1585" s="206"/>
      <c r="BT1585" s="206"/>
      <c r="BU1585" s="206"/>
      <c r="BV1585" s="206"/>
      <c r="BW1585" s="206"/>
      <c r="BX1585" s="206"/>
      <c r="BY1585" s="206"/>
      <c r="BZ1585" s="206"/>
      <c r="CA1585" s="206"/>
      <c r="CB1585" s="206"/>
      <c r="CC1585" s="206"/>
      <c r="CD1585" s="206"/>
      <c r="CE1585" s="206"/>
      <c r="CF1585" s="206"/>
      <c r="CG1585" s="206"/>
      <c r="CH1585" s="206"/>
      <c r="CI1585" s="206"/>
      <c r="CJ1585" s="206"/>
      <c r="CK1585" s="206"/>
      <c r="CL1585" s="206"/>
      <c r="CM1585" s="206"/>
      <c r="CN1585" s="206"/>
      <c r="CO1585" s="206"/>
      <c r="CP1585" s="206"/>
      <c r="CQ1585" s="206"/>
      <c r="CR1585" s="206"/>
      <c r="CS1585" s="206"/>
      <c r="CT1585" s="206"/>
      <c r="CU1585" s="206"/>
      <c r="CV1585" s="206"/>
      <c r="CW1585" s="206"/>
      <c r="CX1585" s="206"/>
      <c r="CY1585" s="206"/>
      <c r="CZ1585" s="206"/>
      <c r="DA1585" s="206"/>
      <c r="DB1585" s="206"/>
      <c r="DC1585" s="206"/>
      <c r="DD1585" s="206"/>
      <c r="DE1585" s="206"/>
      <c r="DF1585" s="206"/>
      <c r="DG1585" s="206"/>
      <c r="DH1585" s="206"/>
      <c r="DI1585" s="206"/>
      <c r="DJ1585" s="206"/>
      <c r="DK1585" s="206"/>
      <c r="DL1585" s="206"/>
      <c r="DM1585" s="206"/>
      <c r="DN1585" s="206"/>
      <c r="DO1585" s="206"/>
      <c r="DP1585" s="206"/>
      <c r="DQ1585" s="206"/>
      <c r="DR1585" s="206"/>
      <c r="DS1585" s="206"/>
      <c r="DT1585" s="206"/>
      <c r="DU1585" s="206"/>
      <c r="DV1585" s="206"/>
      <c r="DW1585" s="206"/>
      <c r="DX1585" s="206"/>
      <c r="DY1585" s="206"/>
      <c r="DZ1585" s="206"/>
      <c r="EA1585" s="206"/>
      <c r="EB1585" s="206"/>
      <c r="EC1585" s="206"/>
      <c r="ED1585" s="206"/>
      <c r="EE1585" s="206"/>
      <c r="EF1585" s="206"/>
      <c r="EG1585" s="206"/>
      <c r="EH1585" s="206"/>
      <c r="EI1585" s="206"/>
      <c r="EJ1585" s="206"/>
      <c r="EK1585" s="206"/>
      <c r="EL1585" s="206"/>
      <c r="EM1585" s="206"/>
      <c r="EN1585" s="206"/>
      <c r="EO1585" s="206"/>
      <c r="EP1585" s="206"/>
      <c r="EQ1585" s="206"/>
      <c r="ER1585" s="206"/>
      <c r="ES1585" s="206"/>
      <c r="ET1585" s="206"/>
      <c r="EU1585" s="206"/>
      <c r="EV1585" s="206"/>
      <c r="EW1585" s="206"/>
      <c r="EX1585" s="206"/>
      <c r="EY1585" s="206"/>
      <c r="EZ1585" s="206"/>
      <c r="FA1585" s="206"/>
      <c r="FB1585" s="206"/>
      <c r="FC1585" s="206"/>
      <c r="FD1585" s="206"/>
      <c r="FE1585" s="206"/>
      <c r="FF1585" s="206"/>
      <c r="FG1585" s="206"/>
      <c r="FH1585" s="206"/>
      <c r="FI1585" s="206"/>
      <c r="FJ1585" s="206"/>
      <c r="FK1585" s="206"/>
      <c r="FL1585" s="206"/>
      <c r="FM1585" s="206"/>
      <c r="FN1585" s="206"/>
      <c r="FO1585" s="206"/>
      <c r="FP1585" s="206"/>
      <c r="FQ1585" s="206"/>
      <c r="FR1585" s="206"/>
      <c r="FS1585" s="206"/>
      <c r="FT1585" s="206"/>
      <c r="FU1585" s="206"/>
      <c r="FV1585" s="206"/>
      <c r="FW1585" s="206"/>
      <c r="FX1585" s="206"/>
      <c r="FY1585" s="206"/>
      <c r="FZ1585" s="206"/>
      <c r="GA1585" s="206"/>
      <c r="GB1585" s="206"/>
      <c r="GC1585" s="206"/>
      <c r="GD1585" s="206"/>
      <c r="GE1585" s="206"/>
      <c r="GF1585" s="206"/>
      <c r="GG1585" s="206"/>
      <c r="GH1585" s="206"/>
      <c r="GI1585" s="206"/>
      <c r="GJ1585" s="206"/>
      <c r="GK1585" s="206"/>
      <c r="GL1585" s="206"/>
      <c r="GM1585" s="206"/>
      <c r="GN1585" s="206"/>
      <c r="GO1585" s="206"/>
      <c r="GP1585" s="206"/>
      <c r="GQ1585" s="206"/>
      <c r="GR1585" s="206"/>
      <c r="GS1585" s="206"/>
      <c r="GT1585" s="206"/>
      <c r="GU1585" s="206"/>
      <c r="GV1585" s="206"/>
      <c r="GW1585" s="206"/>
      <c r="GX1585" s="206"/>
      <c r="GY1585" s="206"/>
      <c r="GZ1585" s="206"/>
      <c r="HA1585" s="206"/>
      <c r="HB1585" s="206"/>
      <c r="HC1585" s="206"/>
      <c r="HD1585" s="206"/>
      <c r="HE1585" s="206"/>
      <c r="HF1585" s="206"/>
      <c r="HG1585" s="206"/>
      <c r="HH1585" s="206"/>
      <c r="HI1585" s="206"/>
      <c r="HJ1585" s="206"/>
      <c r="HK1585" s="206"/>
      <c r="HL1585" s="206"/>
      <c r="HM1585" s="206"/>
      <c r="HN1585" s="206"/>
      <c r="HO1585" s="206"/>
      <c r="HP1585" s="206"/>
      <c r="HQ1585" s="206"/>
      <c r="HR1585" s="206"/>
      <c r="HS1585" s="206"/>
      <c r="HT1585" s="206"/>
      <c r="HU1585" s="206"/>
      <c r="HV1585" s="206"/>
      <c r="HW1585" s="206"/>
      <c r="HX1585" s="206"/>
      <c r="HY1585" s="206"/>
      <c r="HZ1585" s="206"/>
      <c r="IA1585" s="206"/>
      <c r="IB1585" s="206"/>
      <c r="IC1585" s="206"/>
      <c r="ID1585" s="206"/>
      <c r="IE1585" s="206"/>
      <c r="IF1585" s="206"/>
      <c r="IG1585" s="206"/>
      <c r="IH1585" s="206"/>
      <c r="II1585" s="206"/>
      <c r="IJ1585" s="206"/>
      <c r="IK1585" s="206"/>
      <c r="IL1585" s="206"/>
      <c r="IM1585" s="206"/>
      <c r="IN1585" s="206"/>
      <c r="IO1585" s="206"/>
      <c r="IP1585" s="206"/>
      <c r="IQ1585" s="206"/>
      <c r="IR1585" s="206"/>
      <c r="IS1585" s="206"/>
      <c r="IT1585" s="206"/>
      <c r="IU1585" s="206"/>
      <c r="IV1585" s="206"/>
      <c r="IW1585" s="206"/>
      <c r="IX1585" s="206"/>
      <c r="IY1585" s="206"/>
      <c r="IZ1585" s="206"/>
      <c r="JA1585" s="206"/>
      <c r="JB1585" s="206"/>
      <c r="JC1585" s="206"/>
      <c r="JD1585" s="206"/>
      <c r="JE1585" s="206"/>
      <c r="JF1585" s="206"/>
      <c r="JG1585" s="206"/>
      <c r="JH1585" s="206"/>
      <c r="JI1585" s="206"/>
      <c r="JJ1585" s="206"/>
      <c r="JK1585" s="206"/>
      <c r="JL1585" s="206"/>
      <c r="JM1585" s="206"/>
      <c r="JN1585" s="206"/>
      <c r="JO1585" s="206"/>
      <c r="JP1585" s="206"/>
      <c r="JQ1585" s="206"/>
      <c r="JR1585" s="206"/>
      <c r="JS1585" s="206"/>
      <c r="JT1585" s="206"/>
      <c r="JU1585" s="206"/>
      <c r="JV1585" s="206"/>
      <c r="JW1585" s="206"/>
      <c r="JX1585" s="206"/>
      <c r="JY1585" s="206"/>
      <c r="JZ1585" s="206"/>
      <c r="KA1585" s="206"/>
      <c r="KB1585" s="206"/>
      <c r="KC1585" s="206"/>
      <c r="KD1585" s="206"/>
      <c r="KE1585" s="206"/>
      <c r="KF1585" s="206"/>
      <c r="KG1585" s="206"/>
      <c r="KH1585" s="206"/>
      <c r="KI1585" s="206"/>
      <c r="KJ1585" s="206"/>
      <c r="KK1585" s="206"/>
      <c r="KL1585" s="206"/>
      <c r="KM1585" s="206"/>
      <c r="KN1585" s="206"/>
      <c r="KO1585" s="206"/>
      <c r="KP1585" s="206"/>
      <c r="KQ1585" s="206"/>
      <c r="KR1585" s="206"/>
      <c r="KS1585" s="206"/>
      <c r="KT1585" s="206"/>
      <c r="KU1585" s="206"/>
      <c r="KV1585" s="206"/>
      <c r="KW1585" s="206"/>
      <c r="KX1585" s="206"/>
      <c r="KY1585" s="206"/>
      <c r="KZ1585" s="206"/>
      <c r="LA1585" s="206"/>
      <c r="LB1585" s="206"/>
      <c r="LC1585" s="206"/>
      <c r="LD1585" s="206"/>
      <c r="LE1585" s="206"/>
      <c r="LF1585" s="206"/>
      <c r="LG1585" s="206"/>
      <c r="LH1585" s="206"/>
      <c r="LI1585" s="206"/>
      <c r="LJ1585" s="206"/>
      <c r="LK1585" s="206"/>
      <c r="LL1585" s="206"/>
      <c r="LM1585" s="206"/>
      <c r="LN1585" s="206"/>
      <c r="LO1585" s="206"/>
      <c r="LP1585" s="206"/>
      <c r="LQ1585" s="206"/>
      <c r="LR1585" s="206"/>
      <c r="LS1585" s="206"/>
      <c r="LT1585" s="206"/>
      <c r="LU1585" s="206"/>
      <c r="LV1585" s="206"/>
      <c r="LW1585" s="206"/>
      <c r="LX1585" s="206"/>
      <c r="LY1585" s="206"/>
      <c r="LZ1585" s="206"/>
      <c r="MA1585" s="206"/>
      <c r="MB1585" s="206"/>
      <c r="MC1585" s="206"/>
      <c r="MD1585" s="206"/>
      <c r="ME1585" s="206"/>
      <c r="MF1585" s="206"/>
      <c r="MG1585" s="206"/>
      <c r="MH1585" s="206"/>
      <c r="MI1585" s="206"/>
      <c r="MJ1585" s="206"/>
      <c r="MK1585" s="206"/>
      <c r="ML1585" s="206"/>
      <c r="MM1585" s="206"/>
      <c r="MN1585" s="206"/>
      <c r="MO1585" s="206"/>
      <c r="MP1585" s="206"/>
      <c r="MQ1585" s="206"/>
      <c r="MR1585" s="206"/>
      <c r="MS1585" s="206"/>
      <c r="MT1585" s="206"/>
      <c r="MU1585" s="206"/>
      <c r="MV1585" s="206"/>
      <c r="MW1585" s="206"/>
      <c r="MX1585" s="206"/>
      <c r="MY1585" s="206"/>
      <c r="MZ1585" s="206"/>
      <c r="NA1585" s="206"/>
      <c r="NB1585" s="206"/>
      <c r="NC1585" s="206"/>
      <c r="ND1585" s="206"/>
      <c r="NE1585" s="206"/>
      <c r="NF1585" s="206"/>
      <c r="NG1585" s="206"/>
      <c r="NH1585" s="206"/>
      <c r="NI1585" s="206"/>
      <c r="NJ1585" s="206"/>
      <c r="NK1585" s="206"/>
      <c r="NL1585" s="206"/>
      <c r="NM1585" s="206"/>
      <c r="NN1585" s="206"/>
      <c r="NO1585" s="206"/>
      <c r="NP1585" s="206"/>
      <c r="NQ1585" s="206"/>
      <c r="NR1585" s="206"/>
      <c r="NS1585" s="206"/>
      <c r="NT1585" s="206"/>
      <c r="NU1585" s="206"/>
      <c r="NV1585" s="206"/>
      <c r="NW1585" s="206"/>
      <c r="NX1585" s="206"/>
      <c r="NY1585" s="206"/>
      <c r="NZ1585" s="206"/>
      <c r="OA1585" s="206"/>
      <c r="OB1585" s="206"/>
      <c r="OC1585" s="206"/>
      <c r="OD1585" s="206"/>
      <c r="OE1585" s="206"/>
      <c r="OF1585" s="206"/>
      <c r="OG1585" s="206"/>
      <c r="OH1585" s="206"/>
      <c r="OI1585" s="206"/>
      <c r="OJ1585" s="206"/>
      <c r="OK1585" s="206"/>
      <c r="OL1585" s="206"/>
      <c r="OM1585" s="206"/>
      <c r="ON1585" s="206"/>
      <c r="OO1585" s="206"/>
      <c r="OP1585" s="206"/>
      <c r="OQ1585" s="206"/>
      <c r="OR1585" s="206"/>
      <c r="OS1585" s="206"/>
      <c r="OT1585" s="206"/>
      <c r="OU1585" s="206"/>
      <c r="OV1585" s="206"/>
      <c r="OW1585" s="206"/>
      <c r="OX1585" s="206"/>
      <c r="OY1585" s="206"/>
      <c r="OZ1585" s="206"/>
      <c r="PA1585" s="206"/>
      <c r="PB1585" s="206"/>
      <c r="PC1585" s="206"/>
      <c r="PD1585" s="206"/>
      <c r="PE1585" s="206"/>
      <c r="PF1585" s="206"/>
      <c r="PG1585" s="206"/>
      <c r="PH1585" s="206"/>
      <c r="PI1585" s="206"/>
      <c r="PJ1585" s="206"/>
      <c r="PK1585" s="206"/>
      <c r="PL1585" s="206"/>
      <c r="PM1585" s="206"/>
      <c r="PN1585" s="206"/>
      <c r="PO1585" s="206"/>
      <c r="PP1585" s="206"/>
      <c r="PQ1585" s="206"/>
      <c r="PR1585" s="206"/>
      <c r="PS1585" s="206"/>
      <c r="PT1585" s="206"/>
      <c r="PU1585" s="206"/>
      <c r="PV1585" s="206"/>
      <c r="PW1585" s="206"/>
      <c r="PX1585" s="206"/>
      <c r="PY1585" s="206"/>
      <c r="PZ1585" s="206"/>
      <c r="QA1585" s="206"/>
      <c r="QB1585" s="206"/>
      <c r="QC1585" s="206"/>
      <c r="QD1585" s="206"/>
      <c r="QE1585" s="206"/>
      <c r="QF1585" s="206"/>
      <c r="QG1585" s="206"/>
      <c r="QH1585" s="206"/>
      <c r="QI1585" s="206"/>
      <c r="QJ1585" s="206"/>
      <c r="QK1585" s="206"/>
      <c r="QL1585" s="206"/>
      <c r="QM1585" s="206"/>
      <c r="QN1585" s="206"/>
      <c r="QO1585" s="206"/>
      <c r="QP1585" s="206"/>
      <c r="QQ1585" s="206"/>
      <c r="QR1585" s="206"/>
      <c r="QS1585" s="206"/>
      <c r="QT1585" s="206"/>
      <c r="QU1585" s="206"/>
      <c r="QV1585" s="206"/>
      <c r="QW1585" s="206"/>
      <c r="QX1585" s="206"/>
      <c r="QY1585" s="206"/>
      <c r="QZ1585" s="206"/>
      <c r="RA1585" s="206"/>
      <c r="RB1585" s="206"/>
      <c r="RC1585" s="206"/>
      <c r="RD1585" s="206"/>
      <c r="RE1585" s="206"/>
      <c r="RF1585" s="206"/>
      <c r="RG1585" s="206"/>
      <c r="RH1585" s="206"/>
      <c r="RI1585" s="206"/>
      <c r="RJ1585" s="206"/>
      <c r="RK1585" s="206"/>
      <c r="RL1585" s="206"/>
      <c r="RM1585" s="206"/>
      <c r="RN1585" s="206"/>
      <c r="RO1585" s="206"/>
      <c r="RP1585" s="206"/>
      <c r="RQ1585" s="206"/>
      <c r="RR1585" s="206"/>
      <c r="RS1585" s="206"/>
      <c r="RT1585" s="206"/>
      <c r="RU1585" s="206"/>
      <c r="RV1585" s="206"/>
      <c r="RW1585" s="206"/>
      <c r="RX1585" s="206"/>
      <c r="RY1585" s="206"/>
      <c r="RZ1585" s="206"/>
      <c r="SA1585" s="206"/>
      <c r="SB1585" s="206"/>
      <c r="SC1585" s="206"/>
      <c r="SD1585" s="206"/>
      <c r="SE1585" s="206"/>
      <c r="SF1585" s="206"/>
      <c r="SG1585" s="206"/>
      <c r="SH1585" s="206"/>
      <c r="SI1585" s="206"/>
      <c r="SJ1585" s="206"/>
      <c r="SK1585" s="206"/>
      <c r="SL1585" s="206"/>
      <c r="SM1585" s="206"/>
      <c r="SN1585" s="206"/>
      <c r="SO1585" s="206"/>
      <c r="SP1585" s="206"/>
      <c r="SQ1585" s="206"/>
      <c r="SR1585" s="206"/>
      <c r="SS1585" s="206"/>
      <c r="ST1585" s="206"/>
      <c r="SU1585" s="206"/>
      <c r="SV1585" s="206"/>
      <c r="SW1585" s="206"/>
      <c r="SX1585" s="206"/>
      <c r="SY1585" s="206"/>
      <c r="SZ1585" s="206"/>
      <c r="TA1585" s="206"/>
      <c r="TB1585" s="206"/>
      <c r="TC1585" s="206"/>
      <c r="TD1585" s="206"/>
      <c r="TE1585" s="206"/>
      <c r="TF1585" s="206"/>
      <c r="TG1585" s="206"/>
      <c r="TH1585" s="206"/>
      <c r="TI1585" s="206"/>
      <c r="TJ1585" s="206"/>
      <c r="TK1585" s="206"/>
      <c r="TL1585" s="206"/>
      <c r="TM1585" s="206"/>
      <c r="TN1585" s="206"/>
      <c r="TO1585" s="206"/>
      <c r="TP1585" s="206"/>
      <c r="TQ1585" s="206"/>
      <c r="TR1585" s="206"/>
      <c r="TS1585" s="206"/>
      <c r="TT1585" s="206"/>
      <c r="TU1585" s="206"/>
      <c r="TV1585" s="206"/>
      <c r="TW1585" s="206"/>
      <c r="TX1585" s="206"/>
      <c r="TY1585" s="206"/>
      <c r="TZ1585" s="206"/>
      <c r="UA1585" s="206"/>
      <c r="UB1585" s="206"/>
      <c r="UC1585" s="206"/>
      <c r="UD1585" s="206"/>
    </row>
    <row r="1586" spans="1:550" s="874" customFormat="1" ht="39" customHeight="1">
      <c r="A1586" s="924" t="s">
        <v>58</v>
      </c>
      <c r="B1586" s="1230"/>
      <c r="C1586" s="730" t="s">
        <v>1362</v>
      </c>
      <c r="D1586" s="1216"/>
      <c r="E1586" s="470"/>
      <c r="F1586" s="1230"/>
      <c r="G1586" s="501"/>
      <c r="H1586" s="925"/>
      <c r="I1586" s="423"/>
      <c r="J1586" s="1243"/>
      <c r="K1586" s="509"/>
      <c r="L1586" s="411">
        <f>SUM(L1587:L1588)</f>
        <v>24024400</v>
      </c>
      <c r="M1586" s="1226"/>
      <c r="N1586" s="1226"/>
      <c r="O1586" s="1226"/>
      <c r="P1586" s="411">
        <f>L1586</f>
        <v>24024400</v>
      </c>
      <c r="Q1586" s="1134"/>
      <c r="R1586" s="1226"/>
      <c r="S1586" s="486"/>
      <c r="T1586" s="486"/>
      <c r="U1586" s="486"/>
      <c r="V1586" s="486"/>
      <c r="W1586" s="486"/>
      <c r="X1586" s="486"/>
      <c r="Y1586" s="486"/>
      <c r="Z1586" s="486"/>
      <c r="AA1586" s="486"/>
      <c r="AB1586" s="486"/>
      <c r="AC1586" s="486"/>
      <c r="AD1586" s="486"/>
      <c r="AE1586" s="486"/>
      <c r="AF1586" s="486"/>
      <c r="AG1586" s="486"/>
      <c r="AH1586" s="486"/>
      <c r="AI1586" s="486"/>
      <c r="AJ1586" s="486"/>
      <c r="AK1586" s="486"/>
      <c r="AL1586" s="206"/>
      <c r="AM1586" s="206"/>
      <c r="AN1586" s="206"/>
      <c r="AO1586" s="206"/>
      <c r="AP1586" s="206"/>
      <c r="AQ1586" s="206"/>
      <c r="AR1586" s="206"/>
      <c r="AS1586" s="206"/>
      <c r="AT1586" s="206"/>
      <c r="AU1586" s="206"/>
      <c r="AV1586" s="206"/>
      <c r="AW1586" s="206"/>
      <c r="AX1586" s="206"/>
      <c r="AY1586" s="206"/>
      <c r="AZ1586" s="206"/>
      <c r="BA1586" s="206"/>
      <c r="BB1586" s="206"/>
      <c r="BC1586" s="206"/>
      <c r="BD1586" s="206"/>
      <c r="BE1586" s="206"/>
      <c r="BF1586" s="206"/>
      <c r="BG1586" s="206"/>
      <c r="BH1586" s="206"/>
      <c r="BI1586" s="206"/>
      <c r="BJ1586" s="206"/>
      <c r="BK1586" s="206"/>
      <c r="BL1586" s="206"/>
      <c r="BM1586" s="206"/>
      <c r="BN1586" s="206"/>
      <c r="BO1586" s="206"/>
      <c r="BP1586" s="206"/>
      <c r="BQ1586" s="206"/>
      <c r="BR1586" s="206"/>
      <c r="BS1586" s="206"/>
      <c r="BT1586" s="206"/>
      <c r="BU1586" s="206"/>
      <c r="BV1586" s="206"/>
      <c r="BW1586" s="206"/>
      <c r="BX1586" s="206"/>
      <c r="BY1586" s="206"/>
      <c r="BZ1586" s="206"/>
      <c r="CA1586" s="206"/>
      <c r="CB1586" s="206"/>
      <c r="CC1586" s="206"/>
      <c r="CD1586" s="206"/>
      <c r="CE1586" s="206"/>
      <c r="CF1586" s="206"/>
      <c r="CG1586" s="206"/>
      <c r="CH1586" s="206"/>
      <c r="CI1586" s="206"/>
      <c r="CJ1586" s="206"/>
      <c r="CK1586" s="206"/>
      <c r="CL1586" s="206"/>
      <c r="CM1586" s="206"/>
      <c r="CN1586" s="206"/>
      <c r="CO1586" s="206"/>
      <c r="CP1586" s="206"/>
      <c r="CQ1586" s="206"/>
      <c r="CR1586" s="206"/>
      <c r="CS1586" s="206"/>
      <c r="CT1586" s="206"/>
      <c r="CU1586" s="206"/>
      <c r="CV1586" s="206"/>
      <c r="CW1586" s="206"/>
      <c r="CX1586" s="206"/>
      <c r="CY1586" s="206"/>
      <c r="CZ1586" s="206"/>
      <c r="DA1586" s="206"/>
      <c r="DB1586" s="206"/>
      <c r="DC1586" s="206"/>
      <c r="DD1586" s="206"/>
      <c r="DE1586" s="206"/>
      <c r="DF1586" s="206"/>
      <c r="DG1586" s="206"/>
      <c r="DH1586" s="206"/>
      <c r="DI1586" s="206"/>
      <c r="DJ1586" s="206"/>
      <c r="DK1586" s="206"/>
      <c r="DL1586" s="206"/>
      <c r="DM1586" s="206"/>
      <c r="DN1586" s="206"/>
      <c r="DO1586" s="206"/>
      <c r="DP1586" s="206"/>
      <c r="DQ1586" s="206"/>
      <c r="DR1586" s="206"/>
      <c r="DS1586" s="206"/>
      <c r="DT1586" s="206"/>
      <c r="DU1586" s="206"/>
      <c r="DV1586" s="206"/>
      <c r="DW1586" s="206"/>
      <c r="DX1586" s="206"/>
      <c r="DY1586" s="206"/>
      <c r="DZ1586" s="206"/>
      <c r="EA1586" s="206"/>
      <c r="EB1586" s="206"/>
      <c r="EC1586" s="206"/>
      <c r="ED1586" s="206"/>
      <c r="EE1586" s="206"/>
      <c r="EF1586" s="206"/>
      <c r="EG1586" s="206"/>
      <c r="EH1586" s="206"/>
      <c r="EI1586" s="206"/>
      <c r="EJ1586" s="206"/>
      <c r="EK1586" s="206"/>
      <c r="EL1586" s="206"/>
      <c r="EM1586" s="206"/>
      <c r="EN1586" s="206"/>
      <c r="EO1586" s="206"/>
      <c r="EP1586" s="206"/>
      <c r="EQ1586" s="206"/>
      <c r="ER1586" s="206"/>
      <c r="ES1586" s="206"/>
      <c r="ET1586" s="206"/>
      <c r="EU1586" s="206"/>
      <c r="EV1586" s="206"/>
      <c r="EW1586" s="206"/>
      <c r="EX1586" s="206"/>
      <c r="EY1586" s="206"/>
      <c r="EZ1586" s="206"/>
      <c r="FA1586" s="206"/>
      <c r="FB1586" s="206"/>
      <c r="FC1586" s="206"/>
      <c r="FD1586" s="206"/>
      <c r="FE1586" s="206"/>
      <c r="FF1586" s="206"/>
      <c r="FG1586" s="206"/>
      <c r="FH1586" s="206"/>
      <c r="FI1586" s="206"/>
      <c r="FJ1586" s="206"/>
      <c r="FK1586" s="206"/>
      <c r="FL1586" s="206"/>
      <c r="FM1586" s="206"/>
      <c r="FN1586" s="206"/>
      <c r="FO1586" s="206"/>
      <c r="FP1586" s="206"/>
      <c r="FQ1586" s="206"/>
      <c r="FR1586" s="206"/>
      <c r="FS1586" s="206"/>
      <c r="FT1586" s="206"/>
      <c r="FU1586" s="206"/>
      <c r="FV1586" s="206"/>
      <c r="FW1586" s="206"/>
      <c r="FX1586" s="206"/>
      <c r="FY1586" s="206"/>
      <c r="FZ1586" s="206"/>
      <c r="GA1586" s="206"/>
      <c r="GB1586" s="206"/>
      <c r="GC1586" s="206"/>
      <c r="GD1586" s="206"/>
      <c r="GE1586" s="206"/>
      <c r="GF1586" s="206"/>
      <c r="GG1586" s="206"/>
      <c r="GH1586" s="206"/>
      <c r="GI1586" s="206"/>
      <c r="GJ1586" s="206"/>
      <c r="GK1586" s="206"/>
      <c r="GL1586" s="206"/>
      <c r="GM1586" s="206"/>
      <c r="GN1586" s="206"/>
      <c r="GO1586" s="206"/>
      <c r="GP1586" s="206"/>
      <c r="GQ1586" s="206"/>
      <c r="GR1586" s="206"/>
      <c r="GS1586" s="206"/>
      <c r="GT1586" s="206"/>
      <c r="GU1586" s="206"/>
      <c r="GV1586" s="206"/>
      <c r="GW1586" s="206"/>
      <c r="GX1586" s="206"/>
      <c r="GY1586" s="206"/>
      <c r="GZ1586" s="206"/>
      <c r="HA1586" s="206"/>
      <c r="HB1586" s="206"/>
      <c r="HC1586" s="206"/>
      <c r="HD1586" s="206"/>
      <c r="HE1586" s="206"/>
      <c r="HF1586" s="206"/>
      <c r="HG1586" s="206"/>
      <c r="HH1586" s="206"/>
      <c r="HI1586" s="206"/>
      <c r="HJ1586" s="206"/>
      <c r="HK1586" s="206"/>
      <c r="HL1586" s="206"/>
      <c r="HM1586" s="206"/>
      <c r="HN1586" s="206"/>
      <c r="HO1586" s="206"/>
      <c r="HP1586" s="206"/>
      <c r="HQ1586" s="206"/>
      <c r="HR1586" s="206"/>
      <c r="HS1586" s="206"/>
      <c r="HT1586" s="206"/>
      <c r="HU1586" s="206"/>
      <c r="HV1586" s="206"/>
      <c r="HW1586" s="206"/>
      <c r="HX1586" s="206"/>
      <c r="HY1586" s="206"/>
      <c r="HZ1586" s="206"/>
      <c r="IA1586" s="206"/>
      <c r="IB1586" s="206"/>
      <c r="IC1586" s="206"/>
      <c r="ID1586" s="206"/>
      <c r="IE1586" s="206"/>
      <c r="IF1586" s="206"/>
      <c r="IG1586" s="206"/>
      <c r="IH1586" s="206"/>
      <c r="II1586" s="206"/>
      <c r="IJ1586" s="206"/>
      <c r="IK1586" s="206"/>
      <c r="IL1586" s="206"/>
      <c r="IM1586" s="206"/>
      <c r="IN1586" s="206"/>
      <c r="IO1586" s="206"/>
      <c r="IP1586" s="206"/>
      <c r="IQ1586" s="206"/>
      <c r="IR1586" s="206"/>
      <c r="IS1586" s="206"/>
      <c r="IT1586" s="206"/>
      <c r="IU1586" s="206"/>
      <c r="IV1586" s="206"/>
      <c r="IW1586" s="206"/>
      <c r="IX1586" s="206"/>
      <c r="IY1586" s="206"/>
      <c r="IZ1586" s="206"/>
      <c r="JA1586" s="206"/>
      <c r="JB1586" s="206"/>
      <c r="JC1586" s="206"/>
      <c r="JD1586" s="206"/>
      <c r="JE1586" s="206"/>
      <c r="JF1586" s="206"/>
      <c r="JG1586" s="206"/>
      <c r="JH1586" s="206"/>
      <c r="JI1586" s="206"/>
      <c r="JJ1586" s="206"/>
      <c r="JK1586" s="206"/>
      <c r="JL1586" s="206"/>
      <c r="JM1586" s="206"/>
      <c r="JN1586" s="206"/>
      <c r="JO1586" s="206"/>
      <c r="JP1586" s="206"/>
      <c r="JQ1586" s="206"/>
      <c r="JR1586" s="206"/>
      <c r="JS1586" s="206"/>
      <c r="JT1586" s="206"/>
      <c r="JU1586" s="206"/>
      <c r="JV1586" s="206"/>
      <c r="JW1586" s="206"/>
      <c r="JX1586" s="206"/>
      <c r="JY1586" s="206"/>
      <c r="JZ1586" s="206"/>
      <c r="KA1586" s="206"/>
      <c r="KB1586" s="206"/>
      <c r="KC1586" s="206"/>
      <c r="KD1586" s="206"/>
      <c r="KE1586" s="206"/>
      <c r="KF1586" s="206"/>
      <c r="KG1586" s="206"/>
      <c r="KH1586" s="206"/>
      <c r="KI1586" s="206"/>
      <c r="KJ1586" s="206"/>
      <c r="KK1586" s="206"/>
      <c r="KL1586" s="206"/>
      <c r="KM1586" s="206"/>
      <c r="KN1586" s="206"/>
      <c r="KO1586" s="206"/>
      <c r="KP1586" s="206"/>
      <c r="KQ1586" s="206"/>
      <c r="KR1586" s="206"/>
      <c r="KS1586" s="206"/>
      <c r="KT1586" s="206"/>
      <c r="KU1586" s="206"/>
      <c r="KV1586" s="206"/>
      <c r="KW1586" s="206"/>
      <c r="KX1586" s="206"/>
      <c r="KY1586" s="206"/>
      <c r="KZ1586" s="206"/>
      <c r="LA1586" s="206"/>
      <c r="LB1586" s="206"/>
      <c r="LC1586" s="206"/>
      <c r="LD1586" s="206"/>
      <c r="LE1586" s="206"/>
      <c r="LF1586" s="206"/>
      <c r="LG1586" s="206"/>
      <c r="LH1586" s="206"/>
      <c r="LI1586" s="206"/>
      <c r="LJ1586" s="206"/>
      <c r="LK1586" s="206"/>
      <c r="LL1586" s="206"/>
      <c r="LM1586" s="206"/>
      <c r="LN1586" s="206"/>
      <c r="LO1586" s="206"/>
      <c r="LP1586" s="206"/>
      <c r="LQ1586" s="206"/>
      <c r="LR1586" s="206"/>
      <c r="LS1586" s="206"/>
      <c r="LT1586" s="206"/>
      <c r="LU1586" s="206"/>
      <c r="LV1586" s="206"/>
      <c r="LW1586" s="206"/>
      <c r="LX1586" s="206"/>
      <c r="LY1586" s="206"/>
      <c r="LZ1586" s="206"/>
      <c r="MA1586" s="206"/>
      <c r="MB1586" s="206"/>
      <c r="MC1586" s="206"/>
      <c r="MD1586" s="206"/>
      <c r="ME1586" s="206"/>
      <c r="MF1586" s="206"/>
      <c r="MG1586" s="206"/>
      <c r="MH1586" s="206"/>
      <c r="MI1586" s="206"/>
      <c r="MJ1586" s="206"/>
      <c r="MK1586" s="206"/>
      <c r="ML1586" s="206"/>
      <c r="MM1586" s="206"/>
      <c r="MN1586" s="206"/>
      <c r="MO1586" s="206"/>
      <c r="MP1586" s="206"/>
      <c r="MQ1586" s="206"/>
      <c r="MR1586" s="206"/>
      <c r="MS1586" s="206"/>
      <c r="MT1586" s="206"/>
      <c r="MU1586" s="206"/>
      <c r="MV1586" s="206"/>
      <c r="MW1586" s="206"/>
      <c r="MX1586" s="206"/>
      <c r="MY1586" s="206"/>
      <c r="MZ1586" s="206"/>
      <c r="NA1586" s="206"/>
      <c r="NB1586" s="206"/>
      <c r="NC1586" s="206"/>
      <c r="ND1586" s="206"/>
      <c r="NE1586" s="206"/>
      <c r="NF1586" s="206"/>
      <c r="NG1586" s="206"/>
      <c r="NH1586" s="206"/>
      <c r="NI1586" s="206"/>
      <c r="NJ1586" s="206"/>
      <c r="NK1586" s="206"/>
      <c r="NL1586" s="206"/>
      <c r="NM1586" s="206"/>
      <c r="NN1586" s="206"/>
      <c r="NO1586" s="206"/>
      <c r="NP1586" s="206"/>
      <c r="NQ1586" s="206"/>
      <c r="NR1586" s="206"/>
      <c r="NS1586" s="206"/>
      <c r="NT1586" s="206"/>
      <c r="NU1586" s="206"/>
      <c r="NV1586" s="206"/>
      <c r="NW1586" s="206"/>
      <c r="NX1586" s="206"/>
      <c r="NY1586" s="206"/>
      <c r="NZ1586" s="206"/>
      <c r="OA1586" s="206"/>
      <c r="OB1586" s="206"/>
      <c r="OC1586" s="206"/>
      <c r="OD1586" s="206"/>
      <c r="OE1586" s="206"/>
      <c r="OF1586" s="206"/>
      <c r="OG1586" s="206"/>
      <c r="OH1586" s="206"/>
      <c r="OI1586" s="206"/>
      <c r="OJ1586" s="206"/>
      <c r="OK1586" s="206"/>
      <c r="OL1586" s="206"/>
      <c r="OM1586" s="206"/>
      <c r="ON1586" s="206"/>
      <c r="OO1586" s="206"/>
      <c r="OP1586" s="206"/>
      <c r="OQ1586" s="206"/>
      <c r="OR1586" s="206"/>
      <c r="OS1586" s="206"/>
      <c r="OT1586" s="206"/>
      <c r="OU1586" s="206"/>
      <c r="OV1586" s="206"/>
      <c r="OW1586" s="206"/>
      <c r="OX1586" s="206"/>
      <c r="OY1586" s="206"/>
      <c r="OZ1586" s="206"/>
      <c r="PA1586" s="206"/>
      <c r="PB1586" s="206"/>
      <c r="PC1586" s="206"/>
      <c r="PD1586" s="206"/>
      <c r="PE1586" s="206"/>
      <c r="PF1586" s="206"/>
      <c r="PG1586" s="206"/>
      <c r="PH1586" s="206"/>
      <c r="PI1586" s="206"/>
      <c r="PJ1586" s="206"/>
      <c r="PK1586" s="206"/>
      <c r="PL1586" s="206"/>
      <c r="PM1586" s="206"/>
      <c r="PN1586" s="206"/>
      <c r="PO1586" s="206"/>
      <c r="PP1586" s="206"/>
      <c r="PQ1586" s="206"/>
      <c r="PR1586" s="206"/>
      <c r="PS1586" s="206"/>
      <c r="PT1586" s="206"/>
      <c r="PU1586" s="206"/>
      <c r="PV1586" s="206"/>
      <c r="PW1586" s="206"/>
      <c r="PX1586" s="206"/>
      <c r="PY1586" s="206"/>
      <c r="PZ1586" s="206"/>
      <c r="QA1586" s="206"/>
      <c r="QB1586" s="206"/>
      <c r="QC1586" s="206"/>
      <c r="QD1586" s="206"/>
      <c r="QE1586" s="206"/>
      <c r="QF1586" s="206"/>
      <c r="QG1586" s="206"/>
      <c r="QH1586" s="206"/>
      <c r="QI1586" s="206"/>
      <c r="QJ1586" s="206"/>
      <c r="QK1586" s="206"/>
      <c r="QL1586" s="206"/>
      <c r="QM1586" s="206"/>
      <c r="QN1586" s="206"/>
      <c r="QO1586" s="206"/>
      <c r="QP1586" s="206"/>
      <c r="QQ1586" s="206"/>
      <c r="QR1586" s="206"/>
      <c r="QS1586" s="206"/>
      <c r="QT1586" s="206"/>
      <c r="QU1586" s="206"/>
      <c r="QV1586" s="206"/>
      <c r="QW1586" s="206"/>
      <c r="QX1586" s="206"/>
      <c r="QY1586" s="206"/>
      <c r="QZ1586" s="206"/>
      <c r="RA1586" s="206"/>
      <c r="RB1586" s="206"/>
      <c r="RC1586" s="206"/>
      <c r="RD1586" s="206"/>
      <c r="RE1586" s="206"/>
      <c r="RF1586" s="206"/>
      <c r="RG1586" s="206"/>
      <c r="RH1586" s="206"/>
      <c r="RI1586" s="206"/>
      <c r="RJ1586" s="206"/>
      <c r="RK1586" s="206"/>
      <c r="RL1586" s="206"/>
      <c r="RM1586" s="206"/>
      <c r="RN1586" s="206"/>
      <c r="RO1586" s="206"/>
      <c r="RP1586" s="206"/>
      <c r="RQ1586" s="206"/>
      <c r="RR1586" s="206"/>
      <c r="RS1586" s="206"/>
      <c r="RT1586" s="206"/>
      <c r="RU1586" s="206"/>
      <c r="RV1586" s="206"/>
      <c r="RW1586" s="206"/>
      <c r="RX1586" s="206"/>
      <c r="RY1586" s="206"/>
      <c r="RZ1586" s="206"/>
      <c r="SA1586" s="206"/>
      <c r="SB1586" s="206"/>
      <c r="SC1586" s="206"/>
      <c r="SD1586" s="206"/>
      <c r="SE1586" s="206"/>
      <c r="SF1586" s="206"/>
      <c r="SG1586" s="206"/>
      <c r="SH1586" s="206"/>
      <c r="SI1586" s="206"/>
      <c r="SJ1586" s="206"/>
      <c r="SK1586" s="206"/>
      <c r="SL1586" s="206"/>
      <c r="SM1586" s="206"/>
      <c r="SN1586" s="206"/>
      <c r="SO1586" s="206"/>
      <c r="SP1586" s="206"/>
      <c r="SQ1586" s="206"/>
      <c r="SR1586" s="206"/>
      <c r="SS1586" s="206"/>
      <c r="ST1586" s="206"/>
      <c r="SU1586" s="206"/>
      <c r="SV1586" s="206"/>
      <c r="SW1586" s="206"/>
      <c r="SX1586" s="206"/>
      <c r="SY1586" s="206"/>
      <c r="SZ1586" s="206"/>
      <c r="TA1586" s="206"/>
      <c r="TB1586" s="206"/>
      <c r="TC1586" s="206"/>
      <c r="TD1586" s="206"/>
      <c r="TE1586" s="206"/>
      <c r="TF1586" s="206"/>
      <c r="TG1586" s="206"/>
      <c r="TH1586" s="206"/>
      <c r="TI1586" s="206"/>
      <c r="TJ1586" s="206"/>
      <c r="TK1586" s="206"/>
      <c r="TL1586" s="206"/>
      <c r="TM1586" s="206"/>
      <c r="TN1586" s="206"/>
      <c r="TO1586" s="206"/>
      <c r="TP1586" s="206"/>
      <c r="TQ1586" s="206"/>
      <c r="TR1586" s="206"/>
      <c r="TS1586" s="206"/>
      <c r="TT1586" s="206"/>
      <c r="TU1586" s="206"/>
      <c r="TV1586" s="206"/>
      <c r="TW1586" s="206"/>
      <c r="TX1586" s="206"/>
      <c r="TY1586" s="206"/>
      <c r="TZ1586" s="206"/>
      <c r="UA1586" s="206"/>
      <c r="UB1586" s="206"/>
      <c r="UC1586" s="206"/>
      <c r="UD1586" s="206"/>
    </row>
    <row r="1587" spans="1:550" s="874" customFormat="1" ht="125.25" customHeight="1">
      <c r="A1587" s="924" t="s">
        <v>15</v>
      </c>
      <c r="B1587" s="411"/>
      <c r="C1587" s="1227" t="s">
        <v>1383</v>
      </c>
      <c r="D1587" s="470" t="str">
        <f t="shared" ref="D1587:E1587" si="252">D1580</f>
        <v>1</v>
      </c>
      <c r="E1587" s="470" t="str">
        <f t="shared" si="252"/>
        <v>196</v>
      </c>
      <c r="F1587" s="1230"/>
      <c r="G1587" s="501" t="s">
        <v>935</v>
      </c>
      <c r="H1587" s="925"/>
      <c r="I1587" s="423">
        <f>I1580</f>
        <v>353.3</v>
      </c>
      <c r="J1587" s="993">
        <f>62000-55000</f>
        <v>7000</v>
      </c>
      <c r="K1587" s="435"/>
      <c r="L1587" s="1226">
        <f>I1587*J1587</f>
        <v>2473100</v>
      </c>
      <c r="M1587" s="411"/>
      <c r="N1587" s="411"/>
      <c r="O1587" s="411"/>
      <c r="P1587" s="411"/>
      <c r="Q1587" s="1174"/>
      <c r="R1587" s="1226"/>
      <c r="S1587" s="1226"/>
      <c r="T1587" s="449"/>
      <c r="U1587" s="463"/>
      <c r="V1587" s="449"/>
      <c r="W1587" s="449"/>
      <c r="X1587" s="449"/>
      <c r="Y1587" s="449"/>
      <c r="Z1587" s="449"/>
      <c r="AA1587" s="449"/>
      <c r="AB1587" s="449"/>
      <c r="AC1587" s="449"/>
      <c r="AD1587" s="449"/>
      <c r="AE1587" s="449"/>
      <c r="AF1587" s="449"/>
      <c r="AG1587" s="449"/>
      <c r="AH1587" s="452"/>
      <c r="AI1587" s="452"/>
      <c r="AJ1587" s="452"/>
      <c r="AK1587" s="452"/>
      <c r="AL1587" s="104"/>
      <c r="AM1587" s="104"/>
      <c r="AN1587" s="104"/>
      <c r="AO1587" s="104"/>
      <c r="AP1587" s="106"/>
      <c r="AQ1587" s="106"/>
      <c r="AR1587" s="106"/>
      <c r="AS1587" s="106"/>
      <c r="AT1587" s="106"/>
      <c r="AU1587" s="106"/>
      <c r="AV1587" s="106"/>
      <c r="AW1587" s="106"/>
      <c r="AX1587" s="106"/>
      <c r="AY1587" s="106"/>
      <c r="AZ1587" s="106"/>
      <c r="BA1587" s="106"/>
      <c r="BB1587" s="106"/>
      <c r="BC1587" s="106"/>
      <c r="BD1587" s="106"/>
      <c r="BE1587" s="106"/>
      <c r="BF1587" s="106"/>
      <c r="BG1587" s="106"/>
      <c r="BH1587" s="106"/>
      <c r="BI1587" s="106"/>
      <c r="BJ1587" s="106"/>
      <c r="BK1587" s="106"/>
      <c r="BL1587" s="106"/>
      <c r="BM1587" s="107"/>
      <c r="BN1587" s="107"/>
      <c r="BO1587" s="107"/>
      <c r="BP1587" s="107"/>
      <c r="BQ1587" s="107"/>
      <c r="BR1587" s="107"/>
      <c r="BS1587" s="107"/>
      <c r="BT1587" s="107"/>
      <c r="BU1587" s="107"/>
      <c r="BV1587" s="107"/>
      <c r="BW1587" s="107"/>
      <c r="BX1587" s="107"/>
      <c r="BY1587" s="107"/>
      <c r="BZ1587" s="107"/>
      <c r="CA1587" s="107"/>
      <c r="CB1587" s="107"/>
      <c r="CC1587" s="107"/>
      <c r="CD1587" s="107"/>
      <c r="CE1587" s="107"/>
      <c r="CF1587" s="107"/>
      <c r="CG1587" s="107"/>
      <c r="CH1587" s="107"/>
      <c r="CI1587" s="107"/>
      <c r="CJ1587" s="107"/>
      <c r="CK1587" s="107"/>
      <c r="CL1587" s="107"/>
      <c r="CM1587" s="107"/>
      <c r="CN1587" s="107"/>
      <c r="CO1587" s="107"/>
      <c r="CP1587" s="107"/>
      <c r="CQ1587" s="107"/>
      <c r="CR1587" s="107"/>
      <c r="CS1587" s="107"/>
      <c r="CT1587" s="107"/>
      <c r="CU1587" s="107"/>
      <c r="CV1587" s="107"/>
      <c r="CW1587" s="107"/>
      <c r="CX1587" s="107"/>
      <c r="CY1587" s="107"/>
      <c r="CZ1587" s="107"/>
      <c r="DA1587" s="107"/>
      <c r="DB1587" s="107"/>
      <c r="DC1587" s="107"/>
      <c r="DD1587" s="107"/>
      <c r="DE1587" s="107"/>
      <c r="DF1587" s="107"/>
      <c r="DG1587" s="107"/>
      <c r="DH1587" s="107"/>
      <c r="DI1587" s="107"/>
      <c r="DJ1587" s="107"/>
      <c r="DK1587" s="107"/>
      <c r="DL1587" s="107"/>
      <c r="DM1587" s="107"/>
      <c r="DN1587" s="107"/>
      <c r="DO1587" s="107"/>
      <c r="DP1587" s="107"/>
      <c r="DQ1587" s="107"/>
      <c r="DR1587" s="107"/>
      <c r="DS1587" s="107"/>
      <c r="DT1587" s="107"/>
      <c r="DU1587" s="107"/>
      <c r="DV1587" s="107"/>
      <c r="DW1587" s="107"/>
      <c r="DX1587" s="107"/>
      <c r="DY1587" s="107"/>
      <c r="DZ1587" s="107"/>
      <c r="EA1587" s="107"/>
      <c r="EB1587" s="107"/>
      <c r="EC1587" s="107"/>
      <c r="ED1587" s="107"/>
      <c r="EE1587" s="107"/>
      <c r="EF1587" s="107"/>
      <c r="EG1587" s="107"/>
      <c r="EH1587" s="107"/>
      <c r="EI1587" s="107"/>
      <c r="EJ1587" s="107"/>
      <c r="EK1587" s="107"/>
      <c r="EL1587" s="107"/>
      <c r="EM1587" s="107"/>
      <c r="EN1587" s="107"/>
      <c r="EO1587" s="107"/>
      <c r="EP1587" s="107"/>
      <c r="EQ1587" s="107"/>
      <c r="ER1587" s="107"/>
      <c r="ES1587" s="107"/>
      <c r="ET1587" s="107"/>
      <c r="EU1587" s="107"/>
      <c r="EV1587" s="107"/>
      <c r="EW1587" s="107"/>
      <c r="EX1587" s="107"/>
      <c r="EY1587" s="107"/>
      <c r="EZ1587" s="107"/>
      <c r="FA1587" s="107"/>
      <c r="FB1587" s="107"/>
      <c r="FC1587" s="107"/>
      <c r="FD1587" s="107"/>
      <c r="FE1587" s="107"/>
      <c r="FF1587" s="107"/>
      <c r="FG1587" s="107"/>
      <c r="FH1587" s="107"/>
      <c r="FI1587" s="107"/>
      <c r="FJ1587" s="107"/>
      <c r="FK1587" s="107"/>
      <c r="FL1587" s="107"/>
      <c r="FM1587" s="107"/>
      <c r="FN1587" s="107"/>
      <c r="FO1587" s="107"/>
      <c r="FP1587" s="107"/>
      <c r="FQ1587" s="107"/>
      <c r="FR1587" s="107"/>
      <c r="FS1587" s="107"/>
      <c r="FT1587" s="107"/>
      <c r="FU1587" s="107"/>
      <c r="FV1587" s="107"/>
      <c r="FW1587" s="107"/>
      <c r="FX1587" s="107"/>
      <c r="FY1587" s="107"/>
      <c r="FZ1587" s="107"/>
      <c r="GA1587" s="107"/>
      <c r="GB1587" s="107"/>
      <c r="GC1587" s="107"/>
      <c r="GD1587" s="107"/>
      <c r="GE1587" s="107"/>
      <c r="GF1587" s="107"/>
      <c r="GG1587" s="107"/>
      <c r="GH1587" s="107"/>
      <c r="GI1587" s="107"/>
      <c r="GJ1587" s="107"/>
      <c r="GK1587" s="107"/>
      <c r="GL1587" s="107"/>
      <c r="GM1587" s="107"/>
      <c r="GN1587" s="107"/>
      <c r="GO1587" s="107"/>
      <c r="GP1587" s="107"/>
      <c r="GQ1587" s="107"/>
      <c r="GR1587" s="107"/>
      <c r="GS1587" s="107"/>
      <c r="GT1587" s="107"/>
      <c r="GU1587" s="107"/>
      <c r="GV1587" s="107"/>
      <c r="GW1587" s="107"/>
      <c r="GX1587" s="107"/>
      <c r="GY1587" s="107"/>
      <c r="GZ1587" s="107"/>
      <c r="HA1587" s="107"/>
      <c r="HB1587" s="107"/>
      <c r="HC1587" s="107"/>
      <c r="HD1587" s="107"/>
      <c r="HE1587" s="107"/>
      <c r="HF1587" s="107"/>
      <c r="HG1587" s="107"/>
      <c r="HH1587" s="107"/>
      <c r="HI1587" s="107"/>
      <c r="HJ1587" s="107"/>
      <c r="HK1587" s="107"/>
      <c r="HL1587" s="107"/>
      <c r="HM1587" s="107"/>
      <c r="HN1587" s="107"/>
      <c r="HO1587" s="107"/>
      <c r="HP1587" s="107"/>
      <c r="HQ1587" s="107"/>
      <c r="HR1587" s="107"/>
      <c r="HS1587" s="107"/>
      <c r="HT1587" s="107"/>
      <c r="HU1587" s="107"/>
      <c r="HV1587" s="107"/>
      <c r="HW1587" s="107"/>
      <c r="HX1587" s="107"/>
      <c r="HY1587" s="107"/>
      <c r="HZ1587" s="107"/>
      <c r="IA1587" s="107"/>
      <c r="IB1587" s="107"/>
      <c r="IC1587" s="107"/>
      <c r="ID1587" s="107"/>
      <c r="IE1587" s="107"/>
      <c r="IF1587" s="107"/>
      <c r="IG1587" s="107"/>
      <c r="IH1587" s="107"/>
      <c r="II1587" s="107"/>
      <c r="IJ1587" s="107"/>
      <c r="IK1587" s="107"/>
      <c r="IL1587" s="107"/>
      <c r="IM1587" s="107"/>
      <c r="IN1587" s="107"/>
      <c r="IO1587" s="107"/>
      <c r="IP1587" s="107"/>
      <c r="IQ1587" s="107"/>
      <c r="IR1587" s="107"/>
      <c r="IS1587" s="107"/>
      <c r="IT1587" s="107"/>
      <c r="IU1587" s="107"/>
      <c r="IV1587" s="107"/>
      <c r="IW1587" s="107"/>
      <c r="IX1587" s="107"/>
      <c r="IY1587" s="107"/>
      <c r="IZ1587" s="107"/>
      <c r="JA1587" s="107"/>
      <c r="JB1587" s="107"/>
      <c r="JC1587" s="107"/>
      <c r="JD1587" s="107"/>
      <c r="JE1587" s="107"/>
      <c r="JF1587" s="107"/>
      <c r="JG1587" s="107"/>
      <c r="JH1587" s="107"/>
      <c r="JI1587" s="107"/>
      <c r="JJ1587" s="107"/>
      <c r="JK1587" s="107"/>
      <c r="JL1587" s="107"/>
      <c r="JM1587" s="107"/>
      <c r="JN1587" s="107"/>
      <c r="JO1587" s="107"/>
      <c r="JP1587" s="107"/>
      <c r="JQ1587" s="107"/>
      <c r="JR1587" s="107"/>
      <c r="JS1587" s="107"/>
      <c r="JT1587" s="107"/>
      <c r="JU1587" s="107"/>
      <c r="JV1587" s="107"/>
      <c r="JW1587" s="107"/>
      <c r="JX1587" s="107"/>
      <c r="JY1587" s="107"/>
      <c r="JZ1587" s="107"/>
      <c r="KA1587" s="107"/>
      <c r="KB1587" s="107"/>
      <c r="KC1587" s="107"/>
      <c r="KD1587" s="107"/>
      <c r="KE1587" s="107"/>
      <c r="KF1587" s="107"/>
      <c r="KG1587" s="107"/>
      <c r="KH1587" s="107"/>
      <c r="KI1587" s="107"/>
      <c r="KJ1587" s="107"/>
      <c r="KK1587" s="107"/>
      <c r="KL1587" s="107"/>
      <c r="KM1587" s="107"/>
      <c r="KN1587" s="107"/>
      <c r="KO1587" s="107"/>
      <c r="KP1587" s="107"/>
      <c r="KQ1587" s="107"/>
      <c r="KR1587" s="107"/>
      <c r="KS1587" s="107"/>
      <c r="KT1587" s="107"/>
      <c r="KU1587" s="107"/>
      <c r="KV1587" s="107"/>
      <c r="KW1587" s="107"/>
      <c r="KX1587" s="107"/>
      <c r="KY1587" s="107"/>
      <c r="KZ1587" s="107"/>
      <c r="LA1587" s="107"/>
      <c r="LB1587" s="107"/>
      <c r="LC1587" s="107"/>
      <c r="LD1587" s="107"/>
      <c r="LE1587" s="107"/>
      <c r="LF1587" s="107"/>
      <c r="LG1587" s="107"/>
      <c r="LH1587" s="107"/>
      <c r="LI1587" s="107"/>
      <c r="LJ1587" s="107"/>
      <c r="LK1587" s="107"/>
      <c r="LL1587" s="107"/>
      <c r="LM1587" s="107"/>
      <c r="LN1587" s="107"/>
      <c r="LO1587" s="107"/>
      <c r="LP1587" s="107"/>
      <c r="LQ1587" s="107"/>
      <c r="LR1587" s="107"/>
      <c r="LS1587" s="107"/>
      <c r="LT1587" s="107"/>
      <c r="LU1587" s="107"/>
      <c r="LV1587" s="107"/>
      <c r="LW1587" s="107"/>
      <c r="LX1587" s="107"/>
      <c r="LY1587" s="107"/>
      <c r="LZ1587" s="107"/>
      <c r="MA1587" s="107"/>
      <c r="MB1587" s="107"/>
      <c r="MC1587" s="107"/>
      <c r="MD1587" s="107"/>
      <c r="ME1587" s="107"/>
      <c r="MF1587" s="107"/>
      <c r="MG1587" s="107"/>
      <c r="MH1587" s="107"/>
      <c r="MI1587" s="107"/>
      <c r="MJ1587" s="107"/>
      <c r="MK1587" s="107"/>
      <c r="ML1587" s="107"/>
      <c r="MM1587" s="107"/>
      <c r="MN1587" s="107"/>
      <c r="MO1587" s="107"/>
      <c r="MP1587" s="107"/>
      <c r="MQ1587" s="107"/>
      <c r="MR1587" s="107"/>
      <c r="MS1587" s="107"/>
      <c r="MT1587" s="107"/>
      <c r="MU1587" s="107"/>
      <c r="MV1587" s="107"/>
      <c r="MW1587" s="107"/>
      <c r="MX1587" s="107"/>
      <c r="MY1587" s="107"/>
      <c r="MZ1587" s="107"/>
      <c r="NA1587" s="107"/>
      <c r="NB1587" s="107"/>
      <c r="NC1587" s="107"/>
      <c r="ND1587" s="107"/>
      <c r="NE1587" s="107"/>
      <c r="NF1587" s="107"/>
      <c r="NG1587" s="107"/>
      <c r="NH1587" s="107"/>
      <c r="NI1587" s="107"/>
      <c r="NJ1587" s="107"/>
      <c r="NK1587" s="107"/>
      <c r="NL1587" s="107"/>
      <c r="NM1587" s="107"/>
      <c r="NN1587" s="107"/>
      <c r="NO1587" s="107"/>
      <c r="NP1587" s="107"/>
      <c r="NQ1587" s="107"/>
      <c r="NR1587" s="107"/>
      <c r="NS1587" s="107"/>
      <c r="NT1587" s="107"/>
      <c r="NU1587" s="107"/>
      <c r="NV1587" s="107"/>
      <c r="NW1587" s="107"/>
      <c r="NX1587" s="107"/>
      <c r="NY1587" s="107"/>
      <c r="NZ1587" s="107"/>
      <c r="OA1587" s="107"/>
      <c r="OB1587" s="107"/>
      <c r="OC1587" s="107"/>
      <c r="OD1587" s="107"/>
      <c r="OE1587" s="107"/>
      <c r="OF1587" s="107"/>
      <c r="OG1587" s="107"/>
      <c r="OH1587" s="107"/>
      <c r="OI1587" s="107"/>
      <c r="OJ1587" s="107"/>
      <c r="OK1587" s="107"/>
      <c r="OL1587" s="107"/>
      <c r="OM1587" s="107"/>
      <c r="ON1587" s="107"/>
      <c r="OO1587" s="107"/>
      <c r="OP1587" s="107"/>
      <c r="OQ1587" s="107"/>
      <c r="OR1587" s="107"/>
      <c r="OS1587" s="107"/>
      <c r="OT1587" s="107"/>
      <c r="OU1587" s="107"/>
      <c r="OV1587" s="107"/>
      <c r="OW1587" s="107"/>
      <c r="OX1587" s="107"/>
      <c r="OY1587" s="107"/>
      <c r="OZ1587" s="107"/>
      <c r="PA1587" s="107"/>
      <c r="PB1587" s="107"/>
      <c r="PC1587" s="107"/>
      <c r="PD1587" s="107"/>
      <c r="PE1587" s="107"/>
      <c r="PF1587" s="107"/>
      <c r="PG1587" s="107"/>
      <c r="PH1587" s="107"/>
      <c r="PI1587" s="107"/>
      <c r="PJ1587" s="107"/>
      <c r="PK1587" s="107"/>
      <c r="PL1587" s="107"/>
      <c r="PM1587" s="107"/>
      <c r="PN1587" s="107"/>
      <c r="PO1587" s="107"/>
      <c r="PP1587" s="107"/>
      <c r="PQ1587" s="107"/>
      <c r="PR1587" s="107"/>
      <c r="PS1587" s="107"/>
      <c r="PT1587" s="107"/>
      <c r="PU1587" s="107"/>
      <c r="PV1587" s="107"/>
      <c r="PW1587" s="107"/>
      <c r="PX1587" s="107"/>
      <c r="PY1587" s="107"/>
      <c r="PZ1587" s="107"/>
      <c r="QA1587" s="107"/>
      <c r="QB1587" s="107"/>
      <c r="QC1587" s="107"/>
      <c r="QD1587" s="107"/>
      <c r="QE1587" s="107"/>
      <c r="QF1587" s="107"/>
      <c r="QG1587" s="107"/>
      <c r="QH1587" s="107"/>
      <c r="QI1587" s="107"/>
      <c r="QJ1587" s="107"/>
      <c r="QK1587" s="107"/>
      <c r="QL1587" s="107"/>
      <c r="QM1587" s="107"/>
      <c r="QN1587" s="107"/>
      <c r="QO1587" s="107"/>
      <c r="QP1587" s="107"/>
      <c r="QQ1587" s="107"/>
      <c r="QR1587" s="107"/>
      <c r="QS1587" s="107"/>
      <c r="QT1587" s="107"/>
      <c r="QU1587" s="107"/>
      <c r="QV1587" s="107"/>
      <c r="QW1587" s="107"/>
      <c r="QX1587" s="107"/>
      <c r="QY1587" s="107"/>
      <c r="QZ1587" s="107"/>
      <c r="RA1587" s="107"/>
      <c r="RB1587" s="107"/>
      <c r="RC1587" s="107"/>
      <c r="RD1587" s="107"/>
      <c r="RE1587" s="107"/>
      <c r="RF1587" s="107"/>
      <c r="RG1587" s="107"/>
      <c r="RH1587" s="107"/>
      <c r="RI1587" s="107"/>
      <c r="RJ1587" s="107"/>
      <c r="RK1587" s="107"/>
      <c r="RL1587" s="107"/>
      <c r="RM1587" s="107"/>
      <c r="RN1587" s="107"/>
      <c r="RO1587" s="107"/>
      <c r="RP1587" s="107"/>
      <c r="RQ1587" s="107"/>
      <c r="RR1587" s="107"/>
      <c r="RS1587" s="107"/>
      <c r="RT1587" s="107"/>
      <c r="RU1587" s="107"/>
      <c r="RV1587" s="107"/>
      <c r="RW1587" s="107"/>
      <c r="RX1587" s="107"/>
      <c r="RY1587" s="107"/>
      <c r="RZ1587" s="107"/>
      <c r="SA1587" s="107"/>
      <c r="SB1587" s="107"/>
      <c r="SC1587" s="107"/>
      <c r="SD1587" s="107"/>
      <c r="SE1587" s="107"/>
      <c r="SF1587" s="107"/>
      <c r="SG1587" s="107"/>
      <c r="SH1587" s="107"/>
      <c r="SI1587" s="107"/>
      <c r="SJ1587" s="107"/>
      <c r="SK1587" s="107"/>
      <c r="SL1587" s="107"/>
      <c r="SM1587" s="107"/>
      <c r="SN1587" s="107"/>
      <c r="SO1587" s="107"/>
      <c r="SP1587" s="107"/>
      <c r="SQ1587" s="107"/>
      <c r="SR1587" s="107"/>
      <c r="SS1587" s="107"/>
      <c r="ST1587" s="107"/>
      <c r="SU1587" s="107"/>
      <c r="SV1587" s="107"/>
      <c r="SW1587" s="107"/>
      <c r="SX1587" s="107"/>
      <c r="SY1587" s="107"/>
      <c r="SZ1587" s="107"/>
      <c r="TA1587" s="107"/>
      <c r="TB1587" s="107"/>
      <c r="TC1587" s="107"/>
      <c r="TD1587" s="107"/>
      <c r="TE1587" s="107"/>
      <c r="TF1587" s="107"/>
      <c r="TG1587" s="107"/>
      <c r="TH1587" s="107"/>
      <c r="TI1587" s="107"/>
      <c r="TJ1587" s="107"/>
      <c r="TK1587" s="107"/>
      <c r="TL1587" s="107"/>
      <c r="TM1587" s="107"/>
      <c r="TN1587" s="107"/>
      <c r="TO1587" s="107"/>
      <c r="TP1587" s="107"/>
      <c r="TQ1587" s="107"/>
      <c r="TR1587" s="107"/>
      <c r="TS1587" s="107"/>
      <c r="TT1587" s="107"/>
      <c r="TU1587" s="107"/>
      <c r="TV1587" s="107"/>
      <c r="TW1587" s="107"/>
      <c r="TX1587" s="107"/>
      <c r="TY1587" s="107"/>
      <c r="TZ1587" s="107"/>
      <c r="UA1587" s="107"/>
      <c r="UB1587" s="107"/>
      <c r="UC1587" s="107"/>
      <c r="UD1587" s="107"/>
    </row>
    <row r="1588" spans="1:550" s="874" customFormat="1" ht="125.25" customHeight="1">
      <c r="A1588" s="924" t="s">
        <v>15</v>
      </c>
      <c r="B1588" s="411"/>
      <c r="C1588" s="1227" t="s">
        <v>1384</v>
      </c>
      <c r="D1588" s="470" t="str">
        <f t="shared" ref="D1588:E1588" si="253">D1587</f>
        <v>1</v>
      </c>
      <c r="E1588" s="470" t="str">
        <f t="shared" si="253"/>
        <v>196</v>
      </c>
      <c r="F1588" s="1230"/>
      <c r="G1588" s="501" t="s">
        <v>935</v>
      </c>
      <c r="H1588" s="925"/>
      <c r="I1588" s="423">
        <f>I1587</f>
        <v>353.3</v>
      </c>
      <c r="J1588" s="993">
        <f>(72000*3)-(62000*2.5)</f>
        <v>61000</v>
      </c>
      <c r="K1588" s="435"/>
      <c r="L1588" s="1226">
        <f>I1588*J1588</f>
        <v>21551300</v>
      </c>
      <c r="M1588" s="411"/>
      <c r="N1588" s="411"/>
      <c r="O1588" s="411"/>
      <c r="P1588" s="411"/>
      <c r="Q1588" s="1174"/>
      <c r="R1588" s="1226"/>
      <c r="S1588" s="1226"/>
      <c r="T1588" s="449"/>
      <c r="U1588" s="463"/>
      <c r="V1588" s="449"/>
      <c r="W1588" s="449"/>
      <c r="X1588" s="449"/>
      <c r="Y1588" s="449"/>
      <c r="Z1588" s="449"/>
      <c r="AA1588" s="449"/>
      <c r="AB1588" s="449"/>
      <c r="AC1588" s="449"/>
      <c r="AD1588" s="449"/>
      <c r="AE1588" s="449"/>
      <c r="AF1588" s="449"/>
      <c r="AG1588" s="449"/>
      <c r="AH1588" s="452"/>
      <c r="AI1588" s="452"/>
      <c r="AJ1588" s="452"/>
      <c r="AK1588" s="452"/>
      <c r="AL1588" s="104"/>
      <c r="AM1588" s="104"/>
      <c r="AN1588" s="104"/>
      <c r="AO1588" s="104"/>
      <c r="AP1588" s="106"/>
      <c r="AQ1588" s="106"/>
      <c r="AR1588" s="106"/>
      <c r="AS1588" s="106"/>
      <c r="AT1588" s="106"/>
      <c r="AU1588" s="106"/>
      <c r="AV1588" s="106"/>
      <c r="AW1588" s="106"/>
      <c r="AX1588" s="106"/>
      <c r="AY1588" s="106"/>
      <c r="AZ1588" s="106"/>
      <c r="BA1588" s="106"/>
      <c r="BB1588" s="106"/>
      <c r="BC1588" s="106"/>
      <c r="BD1588" s="106"/>
      <c r="BE1588" s="106"/>
      <c r="BF1588" s="106"/>
      <c r="BG1588" s="106"/>
      <c r="BH1588" s="106"/>
      <c r="BI1588" s="106"/>
      <c r="BJ1588" s="106"/>
      <c r="BK1588" s="106"/>
      <c r="BL1588" s="106"/>
      <c r="BM1588" s="107"/>
      <c r="BN1588" s="107"/>
      <c r="BO1588" s="107"/>
      <c r="BP1588" s="107"/>
      <c r="BQ1588" s="107"/>
      <c r="BR1588" s="107"/>
      <c r="BS1588" s="107"/>
      <c r="BT1588" s="107"/>
      <c r="BU1588" s="107"/>
      <c r="BV1588" s="107"/>
      <c r="BW1588" s="107"/>
      <c r="BX1588" s="107"/>
      <c r="BY1588" s="107"/>
      <c r="BZ1588" s="107"/>
      <c r="CA1588" s="107"/>
      <c r="CB1588" s="107"/>
      <c r="CC1588" s="107"/>
      <c r="CD1588" s="107"/>
      <c r="CE1588" s="107"/>
      <c r="CF1588" s="107"/>
      <c r="CG1588" s="107"/>
      <c r="CH1588" s="107"/>
      <c r="CI1588" s="107"/>
      <c r="CJ1588" s="107"/>
      <c r="CK1588" s="107"/>
      <c r="CL1588" s="107"/>
      <c r="CM1588" s="107"/>
      <c r="CN1588" s="107"/>
      <c r="CO1588" s="107"/>
      <c r="CP1588" s="107"/>
      <c r="CQ1588" s="107"/>
      <c r="CR1588" s="107"/>
      <c r="CS1588" s="107"/>
      <c r="CT1588" s="107"/>
      <c r="CU1588" s="107"/>
      <c r="CV1588" s="107"/>
      <c r="CW1588" s="107"/>
      <c r="CX1588" s="107"/>
      <c r="CY1588" s="107"/>
      <c r="CZ1588" s="107"/>
      <c r="DA1588" s="107"/>
      <c r="DB1588" s="107"/>
      <c r="DC1588" s="107"/>
      <c r="DD1588" s="107"/>
      <c r="DE1588" s="107"/>
      <c r="DF1588" s="107"/>
      <c r="DG1588" s="107"/>
      <c r="DH1588" s="107"/>
      <c r="DI1588" s="107"/>
      <c r="DJ1588" s="107"/>
      <c r="DK1588" s="107"/>
      <c r="DL1588" s="107"/>
      <c r="DM1588" s="107"/>
      <c r="DN1588" s="107"/>
      <c r="DO1588" s="107"/>
      <c r="DP1588" s="107"/>
      <c r="DQ1588" s="107"/>
      <c r="DR1588" s="107"/>
      <c r="DS1588" s="107"/>
      <c r="DT1588" s="107"/>
      <c r="DU1588" s="107"/>
      <c r="DV1588" s="107"/>
      <c r="DW1588" s="107"/>
      <c r="DX1588" s="107"/>
      <c r="DY1588" s="107"/>
      <c r="DZ1588" s="107"/>
      <c r="EA1588" s="107"/>
      <c r="EB1588" s="107"/>
      <c r="EC1588" s="107"/>
      <c r="ED1588" s="107"/>
      <c r="EE1588" s="107"/>
      <c r="EF1588" s="107"/>
      <c r="EG1588" s="107"/>
      <c r="EH1588" s="107"/>
      <c r="EI1588" s="107"/>
      <c r="EJ1588" s="107"/>
      <c r="EK1588" s="107"/>
      <c r="EL1588" s="107"/>
      <c r="EM1588" s="107"/>
      <c r="EN1588" s="107"/>
      <c r="EO1588" s="107"/>
      <c r="EP1588" s="107"/>
      <c r="EQ1588" s="107"/>
      <c r="ER1588" s="107"/>
      <c r="ES1588" s="107"/>
      <c r="ET1588" s="107"/>
      <c r="EU1588" s="107"/>
      <c r="EV1588" s="107"/>
      <c r="EW1588" s="107"/>
      <c r="EX1588" s="107"/>
      <c r="EY1588" s="107"/>
      <c r="EZ1588" s="107"/>
      <c r="FA1588" s="107"/>
      <c r="FB1588" s="107"/>
      <c r="FC1588" s="107"/>
      <c r="FD1588" s="107"/>
      <c r="FE1588" s="107"/>
      <c r="FF1588" s="107"/>
      <c r="FG1588" s="107"/>
      <c r="FH1588" s="107"/>
      <c r="FI1588" s="107"/>
      <c r="FJ1588" s="107"/>
      <c r="FK1588" s="107"/>
      <c r="FL1588" s="107"/>
      <c r="FM1588" s="107"/>
      <c r="FN1588" s="107"/>
      <c r="FO1588" s="107"/>
      <c r="FP1588" s="107"/>
      <c r="FQ1588" s="107"/>
      <c r="FR1588" s="107"/>
      <c r="FS1588" s="107"/>
      <c r="FT1588" s="107"/>
      <c r="FU1588" s="107"/>
      <c r="FV1588" s="107"/>
      <c r="FW1588" s="107"/>
      <c r="FX1588" s="107"/>
      <c r="FY1588" s="107"/>
      <c r="FZ1588" s="107"/>
      <c r="GA1588" s="107"/>
      <c r="GB1588" s="107"/>
      <c r="GC1588" s="107"/>
      <c r="GD1588" s="107"/>
      <c r="GE1588" s="107"/>
      <c r="GF1588" s="107"/>
      <c r="GG1588" s="107"/>
      <c r="GH1588" s="107"/>
      <c r="GI1588" s="107"/>
      <c r="GJ1588" s="107"/>
      <c r="GK1588" s="107"/>
      <c r="GL1588" s="107"/>
      <c r="GM1588" s="107"/>
      <c r="GN1588" s="107"/>
      <c r="GO1588" s="107"/>
      <c r="GP1588" s="107"/>
      <c r="GQ1588" s="107"/>
      <c r="GR1588" s="107"/>
      <c r="GS1588" s="107"/>
      <c r="GT1588" s="107"/>
      <c r="GU1588" s="107"/>
      <c r="GV1588" s="107"/>
      <c r="GW1588" s="107"/>
      <c r="GX1588" s="107"/>
      <c r="GY1588" s="107"/>
      <c r="GZ1588" s="107"/>
      <c r="HA1588" s="107"/>
      <c r="HB1588" s="107"/>
      <c r="HC1588" s="107"/>
      <c r="HD1588" s="107"/>
      <c r="HE1588" s="107"/>
      <c r="HF1588" s="107"/>
      <c r="HG1588" s="107"/>
      <c r="HH1588" s="107"/>
      <c r="HI1588" s="107"/>
      <c r="HJ1588" s="107"/>
      <c r="HK1588" s="107"/>
      <c r="HL1588" s="107"/>
      <c r="HM1588" s="107"/>
      <c r="HN1588" s="107"/>
      <c r="HO1588" s="107"/>
      <c r="HP1588" s="107"/>
      <c r="HQ1588" s="107"/>
      <c r="HR1588" s="107"/>
      <c r="HS1588" s="107"/>
      <c r="HT1588" s="107"/>
      <c r="HU1588" s="107"/>
      <c r="HV1588" s="107"/>
      <c r="HW1588" s="107"/>
      <c r="HX1588" s="107"/>
      <c r="HY1588" s="107"/>
      <c r="HZ1588" s="107"/>
      <c r="IA1588" s="107"/>
      <c r="IB1588" s="107"/>
      <c r="IC1588" s="107"/>
      <c r="ID1588" s="107"/>
      <c r="IE1588" s="107"/>
      <c r="IF1588" s="107"/>
      <c r="IG1588" s="107"/>
      <c r="IH1588" s="107"/>
      <c r="II1588" s="107"/>
      <c r="IJ1588" s="107"/>
      <c r="IK1588" s="107"/>
      <c r="IL1588" s="107"/>
      <c r="IM1588" s="107"/>
      <c r="IN1588" s="107"/>
      <c r="IO1588" s="107"/>
      <c r="IP1588" s="107"/>
      <c r="IQ1588" s="107"/>
      <c r="IR1588" s="107"/>
      <c r="IS1588" s="107"/>
      <c r="IT1588" s="107"/>
      <c r="IU1588" s="107"/>
      <c r="IV1588" s="107"/>
      <c r="IW1588" s="107"/>
      <c r="IX1588" s="107"/>
      <c r="IY1588" s="107"/>
      <c r="IZ1588" s="107"/>
      <c r="JA1588" s="107"/>
      <c r="JB1588" s="107"/>
      <c r="JC1588" s="107"/>
      <c r="JD1588" s="107"/>
      <c r="JE1588" s="107"/>
      <c r="JF1588" s="107"/>
      <c r="JG1588" s="107"/>
      <c r="JH1588" s="107"/>
      <c r="JI1588" s="107"/>
      <c r="JJ1588" s="107"/>
      <c r="JK1588" s="107"/>
      <c r="JL1588" s="107"/>
      <c r="JM1588" s="107"/>
      <c r="JN1588" s="107"/>
      <c r="JO1588" s="107"/>
      <c r="JP1588" s="107"/>
      <c r="JQ1588" s="107"/>
      <c r="JR1588" s="107"/>
      <c r="JS1588" s="107"/>
      <c r="JT1588" s="107"/>
      <c r="JU1588" s="107"/>
      <c r="JV1588" s="107"/>
      <c r="JW1588" s="107"/>
      <c r="JX1588" s="107"/>
      <c r="JY1588" s="107"/>
      <c r="JZ1588" s="107"/>
      <c r="KA1588" s="107"/>
      <c r="KB1588" s="107"/>
      <c r="KC1588" s="107"/>
      <c r="KD1588" s="107"/>
      <c r="KE1588" s="107"/>
      <c r="KF1588" s="107"/>
      <c r="KG1588" s="107"/>
      <c r="KH1588" s="107"/>
      <c r="KI1588" s="107"/>
      <c r="KJ1588" s="107"/>
      <c r="KK1588" s="107"/>
      <c r="KL1588" s="107"/>
      <c r="KM1588" s="107"/>
      <c r="KN1588" s="107"/>
      <c r="KO1588" s="107"/>
      <c r="KP1588" s="107"/>
      <c r="KQ1588" s="107"/>
      <c r="KR1588" s="107"/>
      <c r="KS1588" s="107"/>
      <c r="KT1588" s="107"/>
      <c r="KU1588" s="107"/>
      <c r="KV1588" s="107"/>
      <c r="KW1588" s="107"/>
      <c r="KX1588" s="107"/>
      <c r="KY1588" s="107"/>
      <c r="KZ1588" s="107"/>
      <c r="LA1588" s="107"/>
      <c r="LB1588" s="107"/>
      <c r="LC1588" s="107"/>
      <c r="LD1588" s="107"/>
      <c r="LE1588" s="107"/>
      <c r="LF1588" s="107"/>
      <c r="LG1588" s="107"/>
      <c r="LH1588" s="107"/>
      <c r="LI1588" s="107"/>
      <c r="LJ1588" s="107"/>
      <c r="LK1588" s="107"/>
      <c r="LL1588" s="107"/>
      <c r="LM1588" s="107"/>
      <c r="LN1588" s="107"/>
      <c r="LO1588" s="107"/>
      <c r="LP1588" s="107"/>
      <c r="LQ1588" s="107"/>
      <c r="LR1588" s="107"/>
      <c r="LS1588" s="107"/>
      <c r="LT1588" s="107"/>
      <c r="LU1588" s="107"/>
      <c r="LV1588" s="107"/>
      <c r="LW1588" s="107"/>
      <c r="LX1588" s="107"/>
      <c r="LY1588" s="107"/>
      <c r="LZ1588" s="107"/>
      <c r="MA1588" s="107"/>
      <c r="MB1588" s="107"/>
      <c r="MC1588" s="107"/>
      <c r="MD1588" s="107"/>
      <c r="ME1588" s="107"/>
      <c r="MF1588" s="107"/>
      <c r="MG1588" s="107"/>
      <c r="MH1588" s="107"/>
      <c r="MI1588" s="107"/>
      <c r="MJ1588" s="107"/>
      <c r="MK1588" s="107"/>
      <c r="ML1588" s="107"/>
      <c r="MM1588" s="107"/>
      <c r="MN1588" s="107"/>
      <c r="MO1588" s="107"/>
      <c r="MP1588" s="107"/>
      <c r="MQ1588" s="107"/>
      <c r="MR1588" s="107"/>
      <c r="MS1588" s="107"/>
      <c r="MT1588" s="107"/>
      <c r="MU1588" s="107"/>
      <c r="MV1588" s="107"/>
      <c r="MW1588" s="107"/>
      <c r="MX1588" s="107"/>
      <c r="MY1588" s="107"/>
      <c r="MZ1588" s="107"/>
      <c r="NA1588" s="107"/>
      <c r="NB1588" s="107"/>
      <c r="NC1588" s="107"/>
      <c r="ND1588" s="107"/>
      <c r="NE1588" s="107"/>
      <c r="NF1588" s="107"/>
      <c r="NG1588" s="107"/>
      <c r="NH1588" s="107"/>
      <c r="NI1588" s="107"/>
      <c r="NJ1588" s="107"/>
      <c r="NK1588" s="107"/>
      <c r="NL1588" s="107"/>
      <c r="NM1588" s="107"/>
      <c r="NN1588" s="107"/>
      <c r="NO1588" s="107"/>
      <c r="NP1588" s="107"/>
      <c r="NQ1588" s="107"/>
      <c r="NR1588" s="107"/>
      <c r="NS1588" s="107"/>
      <c r="NT1588" s="107"/>
      <c r="NU1588" s="107"/>
      <c r="NV1588" s="107"/>
      <c r="NW1588" s="107"/>
      <c r="NX1588" s="107"/>
      <c r="NY1588" s="107"/>
      <c r="NZ1588" s="107"/>
      <c r="OA1588" s="107"/>
      <c r="OB1588" s="107"/>
      <c r="OC1588" s="107"/>
      <c r="OD1588" s="107"/>
      <c r="OE1588" s="107"/>
      <c r="OF1588" s="107"/>
      <c r="OG1588" s="107"/>
      <c r="OH1588" s="107"/>
      <c r="OI1588" s="107"/>
      <c r="OJ1588" s="107"/>
      <c r="OK1588" s="107"/>
      <c r="OL1588" s="107"/>
      <c r="OM1588" s="107"/>
      <c r="ON1588" s="107"/>
      <c r="OO1588" s="107"/>
      <c r="OP1588" s="107"/>
      <c r="OQ1588" s="107"/>
      <c r="OR1588" s="107"/>
      <c r="OS1588" s="107"/>
      <c r="OT1588" s="107"/>
      <c r="OU1588" s="107"/>
      <c r="OV1588" s="107"/>
      <c r="OW1588" s="107"/>
      <c r="OX1588" s="107"/>
      <c r="OY1588" s="107"/>
      <c r="OZ1588" s="107"/>
      <c r="PA1588" s="107"/>
      <c r="PB1588" s="107"/>
      <c r="PC1588" s="107"/>
      <c r="PD1588" s="107"/>
      <c r="PE1588" s="107"/>
      <c r="PF1588" s="107"/>
      <c r="PG1588" s="107"/>
      <c r="PH1588" s="107"/>
      <c r="PI1588" s="107"/>
      <c r="PJ1588" s="107"/>
      <c r="PK1588" s="107"/>
      <c r="PL1588" s="107"/>
      <c r="PM1588" s="107"/>
      <c r="PN1588" s="107"/>
      <c r="PO1588" s="107"/>
      <c r="PP1588" s="107"/>
      <c r="PQ1588" s="107"/>
      <c r="PR1588" s="107"/>
      <c r="PS1588" s="107"/>
      <c r="PT1588" s="107"/>
      <c r="PU1588" s="107"/>
      <c r="PV1588" s="107"/>
      <c r="PW1588" s="107"/>
      <c r="PX1588" s="107"/>
      <c r="PY1588" s="107"/>
      <c r="PZ1588" s="107"/>
      <c r="QA1588" s="107"/>
      <c r="QB1588" s="107"/>
      <c r="QC1588" s="107"/>
      <c r="QD1588" s="107"/>
      <c r="QE1588" s="107"/>
      <c r="QF1588" s="107"/>
      <c r="QG1588" s="107"/>
      <c r="QH1588" s="107"/>
      <c r="QI1588" s="107"/>
      <c r="QJ1588" s="107"/>
      <c r="QK1588" s="107"/>
      <c r="QL1588" s="107"/>
      <c r="QM1588" s="107"/>
      <c r="QN1588" s="107"/>
      <c r="QO1588" s="107"/>
      <c r="QP1588" s="107"/>
      <c r="QQ1588" s="107"/>
      <c r="QR1588" s="107"/>
      <c r="QS1588" s="107"/>
      <c r="QT1588" s="107"/>
      <c r="QU1588" s="107"/>
      <c r="QV1588" s="107"/>
      <c r="QW1588" s="107"/>
      <c r="QX1588" s="107"/>
      <c r="QY1588" s="107"/>
      <c r="QZ1588" s="107"/>
      <c r="RA1588" s="107"/>
      <c r="RB1588" s="107"/>
      <c r="RC1588" s="107"/>
      <c r="RD1588" s="107"/>
      <c r="RE1588" s="107"/>
      <c r="RF1588" s="107"/>
      <c r="RG1588" s="107"/>
      <c r="RH1588" s="107"/>
      <c r="RI1588" s="107"/>
      <c r="RJ1588" s="107"/>
      <c r="RK1588" s="107"/>
      <c r="RL1588" s="107"/>
      <c r="RM1588" s="107"/>
      <c r="RN1588" s="107"/>
      <c r="RO1588" s="107"/>
      <c r="RP1588" s="107"/>
      <c r="RQ1588" s="107"/>
      <c r="RR1588" s="107"/>
      <c r="RS1588" s="107"/>
      <c r="RT1588" s="107"/>
      <c r="RU1588" s="107"/>
      <c r="RV1588" s="107"/>
      <c r="RW1588" s="107"/>
      <c r="RX1588" s="107"/>
      <c r="RY1588" s="107"/>
      <c r="RZ1588" s="107"/>
      <c r="SA1588" s="107"/>
      <c r="SB1588" s="107"/>
      <c r="SC1588" s="107"/>
      <c r="SD1588" s="107"/>
      <c r="SE1588" s="107"/>
      <c r="SF1588" s="107"/>
      <c r="SG1588" s="107"/>
      <c r="SH1588" s="107"/>
      <c r="SI1588" s="107"/>
      <c r="SJ1588" s="107"/>
      <c r="SK1588" s="107"/>
      <c r="SL1588" s="107"/>
      <c r="SM1588" s="107"/>
      <c r="SN1588" s="107"/>
      <c r="SO1588" s="107"/>
      <c r="SP1588" s="107"/>
      <c r="SQ1588" s="107"/>
      <c r="SR1588" s="107"/>
      <c r="SS1588" s="107"/>
      <c r="ST1588" s="107"/>
      <c r="SU1588" s="107"/>
      <c r="SV1588" s="107"/>
      <c r="SW1588" s="107"/>
      <c r="SX1588" s="107"/>
      <c r="SY1588" s="107"/>
      <c r="SZ1588" s="107"/>
      <c r="TA1588" s="107"/>
      <c r="TB1588" s="107"/>
      <c r="TC1588" s="107"/>
      <c r="TD1588" s="107"/>
      <c r="TE1588" s="107"/>
      <c r="TF1588" s="107"/>
      <c r="TG1588" s="107"/>
      <c r="TH1588" s="107"/>
      <c r="TI1588" s="107"/>
      <c r="TJ1588" s="107"/>
      <c r="TK1588" s="107"/>
      <c r="TL1588" s="107"/>
      <c r="TM1588" s="107"/>
      <c r="TN1588" s="107"/>
      <c r="TO1588" s="107"/>
      <c r="TP1588" s="107"/>
      <c r="TQ1588" s="107"/>
      <c r="TR1588" s="107"/>
      <c r="TS1588" s="107"/>
      <c r="TT1588" s="107"/>
      <c r="TU1588" s="107"/>
      <c r="TV1588" s="107"/>
      <c r="TW1588" s="107"/>
      <c r="TX1588" s="107"/>
      <c r="TY1588" s="107"/>
      <c r="TZ1588" s="107"/>
      <c r="UA1588" s="107"/>
      <c r="UB1588" s="107"/>
      <c r="UC1588" s="107"/>
      <c r="UD1588" s="107"/>
    </row>
  </sheetData>
  <mergeCells count="1273">
    <mergeCell ref="C1018:F1018"/>
    <mergeCell ref="C1576:F1576"/>
    <mergeCell ref="C1579:F1579"/>
    <mergeCell ref="R1579:R1581"/>
    <mergeCell ref="R1541:R1548"/>
    <mergeCell ref="C1552:F1552"/>
    <mergeCell ref="C1553:F1553"/>
    <mergeCell ref="C1554:F1554"/>
    <mergeCell ref="C1555:F1555"/>
    <mergeCell ref="R1556:R1557"/>
    <mergeCell ref="C1559:F1559"/>
    <mergeCell ref="C1561:F1561"/>
    <mergeCell ref="R1561:R1563"/>
    <mergeCell ref="C1565:F1565"/>
    <mergeCell ref="C1566:F1566"/>
    <mergeCell ref="C1567:F1567"/>
    <mergeCell ref="C1568:F1568"/>
    <mergeCell ref="R1570:R1571"/>
    <mergeCell ref="R1572:R1573"/>
    <mergeCell ref="C1507:F1507"/>
    <mergeCell ref="C1508:F1508"/>
    <mergeCell ref="C1509:F1509"/>
    <mergeCell ref="C1510:F1510"/>
    <mergeCell ref="R1513:R1514"/>
    <mergeCell ref="C1517:F1517"/>
    <mergeCell ref="C1518:F1518"/>
    <mergeCell ref="R1518:R1523"/>
    <mergeCell ref="C1525:F1525"/>
    <mergeCell ref="C1526:F1526"/>
    <mergeCell ref="C1527:F1527"/>
    <mergeCell ref="C1528:F1528"/>
    <mergeCell ref="R1529:R1536"/>
    <mergeCell ref="C1538:F1538"/>
    <mergeCell ref="C1540:F1540"/>
    <mergeCell ref="C1403:F1403"/>
    <mergeCell ref="C943:F943"/>
    <mergeCell ref="C944:F944"/>
    <mergeCell ref="C1383:F1383"/>
    <mergeCell ref="C1384:F1384"/>
    <mergeCell ref="C1385:F1385"/>
    <mergeCell ref="C1396:F1396"/>
    <mergeCell ref="C1398:F1398"/>
    <mergeCell ref="C1399:F1399"/>
    <mergeCell ref="C1400:F1400"/>
    <mergeCell ref="C1401:F1401"/>
    <mergeCell ref="C1402:F1402"/>
    <mergeCell ref="C1408:F1408"/>
    <mergeCell ref="C1409:F1409"/>
    <mergeCell ref="R1333:R1352"/>
    <mergeCell ref="R1411:R1420"/>
    <mergeCell ref="R1386:R1395"/>
    <mergeCell ref="C1172:F1172"/>
    <mergeCell ref="C1149:F1149"/>
    <mergeCell ref="C1150:F1150"/>
    <mergeCell ref="C1151:F1151"/>
    <mergeCell ref="C1152:F1152"/>
    <mergeCell ref="C1153:F1153"/>
    <mergeCell ref="C1154:F1154"/>
    <mergeCell ref="C1155:F1155"/>
    <mergeCell ref="C1156:F1156"/>
    <mergeCell ref="C1157:F1157"/>
    <mergeCell ref="C1158:F1158"/>
    <mergeCell ref="C1159:F1159"/>
    <mergeCell ref="C1160:F1160"/>
    <mergeCell ref="AB5:AB6"/>
    <mergeCell ref="AC5:AC6"/>
    <mergeCell ref="AD5:AD6"/>
    <mergeCell ref="AE5:AE6"/>
    <mergeCell ref="AF5:AF6"/>
    <mergeCell ref="C1163:F1163"/>
    <mergeCell ref="C1165:F1165"/>
    <mergeCell ref="C1166:F1166"/>
    <mergeCell ref="C1167:F1167"/>
    <mergeCell ref="C1168:F1168"/>
    <mergeCell ref="C1169:F1169"/>
    <mergeCell ref="C1170:F1170"/>
    <mergeCell ref="C946:F946"/>
    <mergeCell ref="C947:F947"/>
    <mergeCell ref="C948:F948"/>
    <mergeCell ref="C949:F949"/>
    <mergeCell ref="C950:F950"/>
    <mergeCell ref="C994:F994"/>
    <mergeCell ref="C995:F995"/>
    <mergeCell ref="C992:F992"/>
    <mergeCell ref="C993:F993"/>
    <mergeCell ref="C735:F735"/>
    <mergeCell ref="C743:F743"/>
    <mergeCell ref="C744:F744"/>
    <mergeCell ref="C745:F745"/>
    <mergeCell ref="C664:F664"/>
    <mergeCell ref="W5:W6"/>
    <mergeCell ref="X5:X6"/>
    <mergeCell ref="Y5:Y6"/>
    <mergeCell ref="Z5:Z6"/>
    <mergeCell ref="AA5:AA6"/>
    <mergeCell ref="C1073:F1073"/>
    <mergeCell ref="C1161:F1161"/>
    <mergeCell ref="C1361:F1361"/>
    <mergeCell ref="C1362:F1362"/>
    <mergeCell ref="R1367:R1375"/>
    <mergeCell ref="C1326:F1326"/>
    <mergeCell ref="C1331:F1331"/>
    <mergeCell ref="R1319:R1320"/>
    <mergeCell ref="C1364:F1364"/>
    <mergeCell ref="C1363:F1363"/>
    <mergeCell ref="C1353:F1353"/>
    <mergeCell ref="C1354:F1354"/>
    <mergeCell ref="C1355:F1355"/>
    <mergeCell ref="C1356:F1356"/>
    <mergeCell ref="C1357:F1357"/>
    <mergeCell ref="C1358:F1358"/>
    <mergeCell ref="C1322:F1322"/>
    <mergeCell ref="C1308:F1308"/>
    <mergeCell ref="C1309:F1309"/>
    <mergeCell ref="C1310:F1310"/>
    <mergeCell ref="C1311:F1311"/>
    <mergeCell ref="C1295:F1295"/>
    <mergeCell ref="C1297:F1297"/>
    <mergeCell ref="C1298:F1298"/>
    <mergeCell ref="C1303:F1303"/>
    <mergeCell ref="C1304:F1304"/>
    <mergeCell ref="C1305:F1305"/>
    <mergeCell ref="C1328:F1328"/>
    <mergeCell ref="C1299:F1299"/>
    <mergeCell ref="C1300:F1300"/>
    <mergeCell ref="C1301:F1301"/>
    <mergeCell ref="C1302:F1302"/>
    <mergeCell ref="C1293:F1293"/>
    <mergeCell ref="C1404:F1404"/>
    <mergeCell ref="C1405:F1405"/>
    <mergeCell ref="C1406:F1406"/>
    <mergeCell ref="D1319:D1320"/>
    <mergeCell ref="E1319:E1320"/>
    <mergeCell ref="H1319:H1320"/>
    <mergeCell ref="Q1319:Q1320"/>
    <mergeCell ref="C1410:F1410"/>
    <mergeCell ref="C1382:F1382"/>
    <mergeCell ref="C1171:F1171"/>
    <mergeCell ref="R1313:R1315"/>
    <mergeCell ref="Q1314:Q1315"/>
    <mergeCell ref="C1341:F1341"/>
    <mergeCell ref="C1487:F1487"/>
    <mergeCell ref="C1488:F1488"/>
    <mergeCell ref="C1489:F1489"/>
    <mergeCell ref="C1490:F1490"/>
    <mergeCell ref="C1462:F1462"/>
    <mergeCell ref="C1463:F1463"/>
    <mergeCell ref="C1464:F1464"/>
    <mergeCell ref="C1466:F1466"/>
    <mergeCell ref="C1467:F1467"/>
    <mergeCell ref="C1468:F1468"/>
    <mergeCell ref="C1469:F1469"/>
    <mergeCell ref="C1470:F1470"/>
    <mergeCell ref="C1471:F1471"/>
    <mergeCell ref="C1472:F1472"/>
    <mergeCell ref="C1473:F1473"/>
    <mergeCell ref="C1465:F1465"/>
    <mergeCell ref="C1449:F1449"/>
    <mergeCell ref="C1450:F1450"/>
    <mergeCell ref="C1451:F1451"/>
    <mergeCell ref="C1491:F1491"/>
    <mergeCell ref="R1494:R1495"/>
    <mergeCell ref="C1495:F1495"/>
    <mergeCell ref="C1505:F1505"/>
    <mergeCell ref="C1474:F1474"/>
    <mergeCell ref="C1475:F1475"/>
    <mergeCell ref="C1478:F1478"/>
    <mergeCell ref="R1478:R1493"/>
    <mergeCell ref="C1479:F1479"/>
    <mergeCell ref="C1480:F1480"/>
    <mergeCell ref="C1481:F1481"/>
    <mergeCell ref="C1492:F1492"/>
    <mergeCell ref="C1493:F1493"/>
    <mergeCell ref="C1494:F1494"/>
    <mergeCell ref="C1496:F1496"/>
    <mergeCell ref="C1502:F1502"/>
    <mergeCell ref="C1503:F1503"/>
    <mergeCell ref="C1504:F1504"/>
    <mergeCell ref="C1476:F1476"/>
    <mergeCell ref="C1477:F1477"/>
    <mergeCell ref="R1496:R1501"/>
    <mergeCell ref="C1482:F1482"/>
    <mergeCell ref="C1483:F1483"/>
    <mergeCell ref="C1484:F1484"/>
    <mergeCell ref="C1485:F1485"/>
    <mergeCell ref="C1486:F1486"/>
    <mergeCell ref="C1452:F1452"/>
    <mergeCell ref="C1453:F1453"/>
    <mergeCell ref="C1445:F1445"/>
    <mergeCell ref="C1454:F1454"/>
    <mergeCell ref="C1455:F1455"/>
    <mergeCell ref="C1440:F1440"/>
    <mergeCell ref="C1441:F1441"/>
    <mergeCell ref="C1444:F1444"/>
    <mergeCell ref="C1456:F1456"/>
    <mergeCell ref="C1457:F1457"/>
    <mergeCell ref="C1458:F1458"/>
    <mergeCell ref="C1459:F1459"/>
    <mergeCell ref="C1460:F1460"/>
    <mergeCell ref="C1461:F1461"/>
    <mergeCell ref="C1421:F1421"/>
    <mergeCell ref="C1422:F1422"/>
    <mergeCell ref="C1425:F1425"/>
    <mergeCell ref="C1426:F1426"/>
    <mergeCell ref="C1427:F1427"/>
    <mergeCell ref="R1427:R1428"/>
    <mergeCell ref="C1424:F1424"/>
    <mergeCell ref="C1434:F1434"/>
    <mergeCell ref="C1436:F1436"/>
    <mergeCell ref="C1437:F1437"/>
    <mergeCell ref="C1438:F1438"/>
    <mergeCell ref="C1439:F1439"/>
    <mergeCell ref="C1442:F1442"/>
    <mergeCell ref="C1443:F1443"/>
    <mergeCell ref="C1446:F1446"/>
    <mergeCell ref="C1447:F1447"/>
    <mergeCell ref="C1448:F1448"/>
    <mergeCell ref="C1342:F1342"/>
    <mergeCell ref="C1343:F1343"/>
    <mergeCell ref="C1344:F1344"/>
    <mergeCell ref="C1345:F1345"/>
    <mergeCell ref="C1346:F1346"/>
    <mergeCell ref="C1347:F1347"/>
    <mergeCell ref="C1348:F1348"/>
    <mergeCell ref="C1359:F1359"/>
    <mergeCell ref="C1360:F1360"/>
    <mergeCell ref="E1374:E1375"/>
    <mergeCell ref="F1374:F1375"/>
    <mergeCell ref="G1374:G1375"/>
    <mergeCell ref="H1374:H1375"/>
    <mergeCell ref="C1349:F1349"/>
    <mergeCell ref="C1350:F1350"/>
    <mergeCell ref="C1351:F1351"/>
    <mergeCell ref="C1352:F1352"/>
    <mergeCell ref="C1365:F1365"/>
    <mergeCell ref="C1366:F1366"/>
    <mergeCell ref="D1374:D1375"/>
    <mergeCell ref="C1379:F1379"/>
    <mergeCell ref="C1380:F1380"/>
    <mergeCell ref="C1333:F1333"/>
    <mergeCell ref="C1334:F1334"/>
    <mergeCell ref="F1319:F1320"/>
    <mergeCell ref="C1321:F1321"/>
    <mergeCell ref="C1327:F1327"/>
    <mergeCell ref="C1323:F1323"/>
    <mergeCell ref="C1329:F1329"/>
    <mergeCell ref="C1330:F1330"/>
    <mergeCell ref="C1332:F1332"/>
    <mergeCell ref="C1335:F1335"/>
    <mergeCell ref="C1336:F1336"/>
    <mergeCell ref="C1337:F1337"/>
    <mergeCell ref="C1338:F1338"/>
    <mergeCell ref="C1339:F1339"/>
    <mergeCell ref="C1340:F1340"/>
    <mergeCell ref="C1325:F1325"/>
    <mergeCell ref="C1324:F1324"/>
    <mergeCell ref="C1306:F1306"/>
    <mergeCell ref="C1281:F1281"/>
    <mergeCell ref="C1272:F1272"/>
    <mergeCell ref="C1273:F1273"/>
    <mergeCell ref="C1274:F1274"/>
    <mergeCell ref="C1275:F1275"/>
    <mergeCell ref="C1276:F1276"/>
    <mergeCell ref="C1277:F1277"/>
    <mergeCell ref="C1278:F1278"/>
    <mergeCell ref="C1285:F1285"/>
    <mergeCell ref="C1286:F1286"/>
    <mergeCell ref="C1288:F1288"/>
    <mergeCell ref="C1289:F1289"/>
    <mergeCell ref="C1290:F1290"/>
    <mergeCell ref="C1291:F1291"/>
    <mergeCell ref="C1294:F1294"/>
    <mergeCell ref="C1296:F1296"/>
    <mergeCell ref="R1283:R1284"/>
    <mergeCell ref="C1284:F1284"/>
    <mergeCell ref="C1239:F1239"/>
    <mergeCell ref="C1240:F1240"/>
    <mergeCell ref="R1280:R1281"/>
    <mergeCell ref="C1241:F1241"/>
    <mergeCell ref="C1242:F1242"/>
    <mergeCell ref="C1244:F1244"/>
    <mergeCell ref="C1245:F1245"/>
    <mergeCell ref="C1249:F1249"/>
    <mergeCell ref="C1251:F1251"/>
    <mergeCell ref="C1252:F1252"/>
    <mergeCell ref="C1253:F1253"/>
    <mergeCell ref="C1254:F1254"/>
    <mergeCell ref="C1255:F1255"/>
    <mergeCell ref="C1256:F1256"/>
    <mergeCell ref="C1266:F1266"/>
    <mergeCell ref="C1267:F1267"/>
    <mergeCell ref="C1268:F1268"/>
    <mergeCell ref="C1269:F1269"/>
    <mergeCell ref="C1270:F1270"/>
    <mergeCell ref="C1271:F1271"/>
    <mergeCell ref="C1279:F1279"/>
    <mergeCell ref="C1280:F1280"/>
    <mergeCell ref="C1282:F1282"/>
    <mergeCell ref="C1283:F1283"/>
    <mergeCell ref="C1259:F1259"/>
    <mergeCell ref="C1261:F1261"/>
    <mergeCell ref="C1262:F1262"/>
    <mergeCell ref="C1263:F1263"/>
    <mergeCell ref="C1264:F1264"/>
    <mergeCell ref="C1265:F1265"/>
    <mergeCell ref="C1224:F1224"/>
    <mergeCell ref="C1225:F1225"/>
    <mergeCell ref="C1226:F1226"/>
    <mergeCell ref="C1227:F1227"/>
    <mergeCell ref="C1228:F1228"/>
    <mergeCell ref="C1229:F1229"/>
    <mergeCell ref="C1230:F1230"/>
    <mergeCell ref="C1260:F1260"/>
    <mergeCell ref="C1257:F1257"/>
    <mergeCell ref="C1258:F1258"/>
    <mergeCell ref="R1236:R1237"/>
    <mergeCell ref="C1237:F1237"/>
    <mergeCell ref="C1238:F1238"/>
    <mergeCell ref="R1239:R1240"/>
    <mergeCell ref="C1246:F1246"/>
    <mergeCell ref="C1247:F1247"/>
    <mergeCell ref="R1247:R1248"/>
    <mergeCell ref="C1231:F1231"/>
    <mergeCell ref="C1232:F1232"/>
    <mergeCell ref="C1234:F1234"/>
    <mergeCell ref="C1235:F1235"/>
    <mergeCell ref="C1236:F1236"/>
    <mergeCell ref="C1223:F1223"/>
    <mergeCell ref="C1148:F1148"/>
    <mergeCell ref="C1164:F1164"/>
    <mergeCell ref="C1173:F1173"/>
    <mergeCell ref="C1174:F1174"/>
    <mergeCell ref="C1175:F1175"/>
    <mergeCell ref="C1176:F1176"/>
    <mergeCell ref="C1203:F1203"/>
    <mergeCell ref="C1204:F1204"/>
    <mergeCell ref="C1205:F1205"/>
    <mergeCell ref="C1206:F1206"/>
    <mergeCell ref="C1207:F1207"/>
    <mergeCell ref="C1209:F1209"/>
    <mergeCell ref="C1210:F1210"/>
    <mergeCell ref="C1211:F1211"/>
    <mergeCell ref="C828:F828"/>
    <mergeCell ref="C829:F829"/>
    <mergeCell ref="C830:F830"/>
    <mergeCell ref="C831:F831"/>
    <mergeCell ref="C951:F951"/>
    <mergeCell ref="C952:F952"/>
    <mergeCell ref="C953:F953"/>
    <mergeCell ref="C954:F954"/>
    <mergeCell ref="C955:F955"/>
    <mergeCell ref="C956:F956"/>
    <mergeCell ref="C957:F957"/>
    <mergeCell ref="C1112:F1112"/>
    <mergeCell ref="C1113:F1113"/>
    <mergeCell ref="C1114:F1114"/>
    <mergeCell ref="C914:F914"/>
    <mergeCell ref="C999:F999"/>
    <mergeCell ref="C945:F945"/>
    <mergeCell ref="C1214:F1214"/>
    <mergeCell ref="C1216:F1216"/>
    <mergeCell ref="C1217:F1217"/>
    <mergeCell ref="C1219:F1219"/>
    <mergeCell ref="C1220:F1220"/>
    <mergeCell ref="C1221:F1221"/>
    <mergeCell ref="C1222:F1222"/>
    <mergeCell ref="C812:F812"/>
    <mergeCell ref="C813:F813"/>
    <mergeCell ref="C814:F814"/>
    <mergeCell ref="C815:F815"/>
    <mergeCell ref="C816:F816"/>
    <mergeCell ref="C817:F817"/>
    <mergeCell ref="C832:F832"/>
    <mergeCell ref="C833:F833"/>
    <mergeCell ref="C834:F834"/>
    <mergeCell ref="C835:F835"/>
    <mergeCell ref="C836:F836"/>
    <mergeCell ref="C972:F972"/>
    <mergeCell ref="C974:F974"/>
    <mergeCell ref="C975:F975"/>
    <mergeCell ref="C990:F990"/>
    <mergeCell ref="C970:F970"/>
    <mergeCell ref="C1145:F1145"/>
    <mergeCell ref="C1131:F1131"/>
    <mergeCell ref="C1132:F1132"/>
    <mergeCell ref="C1133:F1133"/>
    <mergeCell ref="C1134:F1134"/>
    <mergeCell ref="C1135:F1135"/>
    <mergeCell ref="C1136:F1136"/>
    <mergeCell ref="C1137:F1137"/>
    <mergeCell ref="C1162:F1162"/>
    <mergeCell ref="C1212:F1212"/>
    <mergeCell ref="C794:F794"/>
    <mergeCell ref="C520:F520"/>
    <mergeCell ref="C521:F521"/>
    <mergeCell ref="C522:F522"/>
    <mergeCell ref="C523:F523"/>
    <mergeCell ref="C524:F524"/>
    <mergeCell ref="C525:F525"/>
    <mergeCell ref="C526:F526"/>
    <mergeCell ref="C527:F527"/>
    <mergeCell ref="C528:F528"/>
    <mergeCell ref="C529:F529"/>
    <mergeCell ref="C530:F530"/>
    <mergeCell ref="C531:F531"/>
    <mergeCell ref="C675:F675"/>
    <mergeCell ref="C676:F676"/>
    <mergeCell ref="C666:F666"/>
    <mergeCell ref="C667:F667"/>
    <mergeCell ref="C668:F668"/>
    <mergeCell ref="C669:F669"/>
    <mergeCell ref="C670:F670"/>
    <mergeCell ref="C606:F606"/>
    <mergeCell ref="C608:F608"/>
    <mergeCell ref="C618:F618"/>
    <mergeCell ref="C615:F615"/>
    <mergeCell ref="C567:F567"/>
    <mergeCell ref="C1143:F1143"/>
    <mergeCell ref="C1144:F1144"/>
    <mergeCell ref="C1044:F1044"/>
    <mergeCell ref="C1045:F1045"/>
    <mergeCell ref="C1034:F1034"/>
    <mergeCell ref="C1035:F1035"/>
    <mergeCell ref="C150:F150"/>
    <mergeCell ref="C151:F151"/>
    <mergeCell ref="C152:F152"/>
    <mergeCell ref="C153:F153"/>
    <mergeCell ref="C221:F221"/>
    <mergeCell ref="C222:F222"/>
    <mergeCell ref="C223:F223"/>
    <mergeCell ref="C224:F224"/>
    <mergeCell ref="C225:F225"/>
    <mergeCell ref="C227:F227"/>
    <mergeCell ref="C228:F228"/>
    <mergeCell ref="C229:F229"/>
    <mergeCell ref="C230:F230"/>
    <mergeCell ref="C121:F121"/>
    <mergeCell ref="C122:F122"/>
    <mergeCell ref="C123:F123"/>
    <mergeCell ref="C124:F124"/>
    <mergeCell ref="C130:F130"/>
    <mergeCell ref="C131:F131"/>
    <mergeCell ref="C132:F132"/>
    <mergeCell ref="C144:F144"/>
    <mergeCell ref="C145:F145"/>
    <mergeCell ref="C146:F146"/>
    <mergeCell ref="C147:F147"/>
    <mergeCell ref="C187:F187"/>
    <mergeCell ref="C188:F188"/>
    <mergeCell ref="C189:F189"/>
    <mergeCell ref="D190:D191"/>
    <mergeCell ref="C134:F134"/>
    <mergeCell ref="C135:F135"/>
    <mergeCell ref="C136:F136"/>
    <mergeCell ref="C137:F137"/>
    <mergeCell ref="R13:R16"/>
    <mergeCell ref="Q24:Q25"/>
    <mergeCell ref="Q30:Q31"/>
    <mergeCell ref="Q33:Q34"/>
    <mergeCell ref="Q36:Q37"/>
    <mergeCell ref="Q40:Q41"/>
    <mergeCell ref="Q42:Q43"/>
    <mergeCell ref="R53:R54"/>
    <mergeCell ref="R66:R79"/>
    <mergeCell ref="C17:F17"/>
    <mergeCell ref="C18:F18"/>
    <mergeCell ref="C19:F19"/>
    <mergeCell ref="C20:F20"/>
    <mergeCell ref="C21:F21"/>
    <mergeCell ref="C24:F24"/>
    <mergeCell ref="C26:F26"/>
    <mergeCell ref="C27:F27"/>
    <mergeCell ref="C28:F28"/>
    <mergeCell ref="C29:F29"/>
    <mergeCell ref="C25:F25"/>
    <mergeCell ref="C31:F31"/>
    <mergeCell ref="C37:F37"/>
    <mergeCell ref="C41:F41"/>
    <mergeCell ref="C43:F43"/>
    <mergeCell ref="C54:F54"/>
    <mergeCell ref="C61:F61"/>
    <mergeCell ref="C44:F44"/>
    <mergeCell ref="C45:F45"/>
    <mergeCell ref="C46:F46"/>
    <mergeCell ref="C47:F47"/>
    <mergeCell ref="C58:F58"/>
    <mergeCell ref="C59:F59"/>
    <mergeCell ref="C60:F60"/>
    <mergeCell ref="C33:F33"/>
    <mergeCell ref="C35:F35"/>
    <mergeCell ref="C36:F36"/>
    <mergeCell ref="C38:F38"/>
    <mergeCell ref="C66:F66"/>
    <mergeCell ref="C48:F48"/>
    <mergeCell ref="C39:F39"/>
    <mergeCell ref="C40:F40"/>
    <mergeCell ref="C42:F42"/>
    <mergeCell ref="C133:F133"/>
    <mergeCell ref="C119:F119"/>
    <mergeCell ref="C34:F34"/>
    <mergeCell ref="C108:F108"/>
    <mergeCell ref="C109:F109"/>
    <mergeCell ref="C110:F110"/>
    <mergeCell ref="C111:F111"/>
    <mergeCell ref="C112:F112"/>
    <mergeCell ref="C114:F114"/>
    <mergeCell ref="C115:F115"/>
    <mergeCell ref="C116:F116"/>
    <mergeCell ref="C120:F120"/>
    <mergeCell ref="C117:F117"/>
    <mergeCell ref="C113:F113"/>
    <mergeCell ref="C80:F80"/>
    <mergeCell ref="C82:F82"/>
    <mergeCell ref="C84:F84"/>
    <mergeCell ref="C331:F331"/>
    <mergeCell ref="C332:F332"/>
    <mergeCell ref="C333:F333"/>
    <mergeCell ref="C334:F334"/>
    <mergeCell ref="C312:F312"/>
    <mergeCell ref="C319:F319"/>
    <mergeCell ref="C320:F320"/>
    <mergeCell ref="C341:F341"/>
    <mergeCell ref="C342:F342"/>
    <mergeCell ref="C326:F326"/>
    <mergeCell ref="C327:F327"/>
    <mergeCell ref="C335:F335"/>
    <mergeCell ref="C336:F336"/>
    <mergeCell ref="C338:F338"/>
    <mergeCell ref="C365:F365"/>
    <mergeCell ref="C366:F366"/>
    <mergeCell ref="C384:F384"/>
    <mergeCell ref="C355:F355"/>
    <mergeCell ref="C356:F356"/>
    <mergeCell ref="C367:F367"/>
    <mergeCell ref="C357:F357"/>
    <mergeCell ref="R196:R205"/>
    <mergeCell ref="R206:R208"/>
    <mergeCell ref="Q220:Q221"/>
    <mergeCell ref="Q227:Q228"/>
    <mergeCell ref="C323:F323"/>
    <mergeCell ref="C324:F324"/>
    <mergeCell ref="C337:F337"/>
    <mergeCell ref="C340:F340"/>
    <mergeCell ref="C328:F328"/>
    <mergeCell ref="H313:H314"/>
    <mergeCell ref="R342:R344"/>
    <mergeCell ref="R315:R316"/>
    <mergeCell ref="Q230:Q231"/>
    <mergeCell ref="G313:G314"/>
    <mergeCell ref="R278:R299"/>
    <mergeCell ref="R301:R302"/>
    <mergeCell ref="R243:R274"/>
    <mergeCell ref="C215:F215"/>
    <mergeCell ref="C218:F218"/>
    <mergeCell ref="C219:F219"/>
    <mergeCell ref="C220:F220"/>
    <mergeCell ref="C339:F339"/>
    <mergeCell ref="C343:F343"/>
    <mergeCell ref="C231:F231"/>
    <mergeCell ref="C276:F276"/>
    <mergeCell ref="C277:F277"/>
    <mergeCell ref="D313:D314"/>
    <mergeCell ref="E313:E314"/>
    <mergeCell ref="C213:F213"/>
    <mergeCell ref="C214:F214"/>
    <mergeCell ref="C329:F329"/>
    <mergeCell ref="C330:F330"/>
    <mergeCell ref="Q190:Q191"/>
    <mergeCell ref="R190:R191"/>
    <mergeCell ref="C321:F321"/>
    <mergeCell ref="C322:F322"/>
    <mergeCell ref="C309:F309"/>
    <mergeCell ref="C311:F311"/>
    <mergeCell ref="C325:F325"/>
    <mergeCell ref="C63:F63"/>
    <mergeCell ref="C107:F107"/>
    <mergeCell ref="E190:E191"/>
    <mergeCell ref="H190:H191"/>
    <mergeCell ref="C180:F180"/>
    <mergeCell ref="C181:F181"/>
    <mergeCell ref="C182:F182"/>
    <mergeCell ref="C183:F183"/>
    <mergeCell ref="C184:F184"/>
    <mergeCell ref="C186:F186"/>
    <mergeCell ref="C212:F212"/>
    <mergeCell ref="C216:F216"/>
    <mergeCell ref="C217:F217"/>
    <mergeCell ref="R209:R211"/>
    <mergeCell ref="R275:R277"/>
    <mergeCell ref="Q312:Q314"/>
    <mergeCell ref="R312:R314"/>
    <mergeCell ref="R147:R158"/>
    <mergeCell ref="R164:R166"/>
    <mergeCell ref="Q88:Q89"/>
    <mergeCell ref="Q94:Q95"/>
    <mergeCell ref="Q97:Q98"/>
    <mergeCell ref="Q100:Q101"/>
    <mergeCell ref="Q104:Q110"/>
    <mergeCell ref="R192:R195"/>
    <mergeCell ref="C138:F138"/>
    <mergeCell ref="C148:F148"/>
    <mergeCell ref="C437:F437"/>
    <mergeCell ref="C438:F438"/>
    <mergeCell ref="C154:F154"/>
    <mergeCell ref="C155:F155"/>
    <mergeCell ref="C156:F156"/>
    <mergeCell ref="C157:F157"/>
    <mergeCell ref="C52:F52"/>
    <mergeCell ref="C53:F53"/>
    <mergeCell ref="C55:F55"/>
    <mergeCell ref="C103:F103"/>
    <mergeCell ref="C104:F104"/>
    <mergeCell ref="C96:F96"/>
    <mergeCell ref="C97:F97"/>
    <mergeCell ref="C98:F98"/>
    <mergeCell ref="C140:F140"/>
    <mergeCell ref="C141:F141"/>
    <mergeCell ref="C81:F81"/>
    <mergeCell ref="C99:F99"/>
    <mergeCell ref="C139:F139"/>
    <mergeCell ref="C142:F142"/>
    <mergeCell ref="C143:F143"/>
    <mergeCell ref="C125:F125"/>
    <mergeCell ref="C126:F126"/>
    <mergeCell ref="C128:F128"/>
    <mergeCell ref="C127:F127"/>
    <mergeCell ref="C86:F86"/>
    <mergeCell ref="C87:F87"/>
    <mergeCell ref="C100:F100"/>
    <mergeCell ref="C149:F149"/>
    <mergeCell ref="C83:F83"/>
    <mergeCell ref="R1212:R1213"/>
    <mergeCell ref="R1074:R1076"/>
    <mergeCell ref="R1077:R1096"/>
    <mergeCell ref="R1173:R1174"/>
    <mergeCell ref="R1176:R1197"/>
    <mergeCell ref="R1203:R1205"/>
    <mergeCell ref="R1065:R1067"/>
    <mergeCell ref="C158:F158"/>
    <mergeCell ref="C164:F164"/>
    <mergeCell ref="C165:F165"/>
    <mergeCell ref="C166:F166"/>
    <mergeCell ref="C167:F167"/>
    <mergeCell ref="C275:F275"/>
    <mergeCell ref="C278:F278"/>
    <mergeCell ref="C303:F303"/>
    <mergeCell ref="C304:F304"/>
    <mergeCell ref="C305:F305"/>
    <mergeCell ref="C306:F306"/>
    <mergeCell ref="C307:F307"/>
    <mergeCell ref="C226:F226"/>
    <mergeCell ref="R774:R789"/>
    <mergeCell ref="R841:R843"/>
    <mergeCell ref="R844:R883"/>
    <mergeCell ref="Q440:Q441"/>
    <mergeCell ref="Q445:Q446"/>
    <mergeCell ref="C465:F465"/>
    <mergeCell ref="C467:F467"/>
    <mergeCell ref="C468:F468"/>
    <mergeCell ref="C469:F469"/>
    <mergeCell ref="C470:F470"/>
    <mergeCell ref="C471:F471"/>
    <mergeCell ref="C472:F472"/>
    <mergeCell ref="R533:R535"/>
    <mergeCell ref="R563:R565"/>
    <mergeCell ref="Q605:Q606"/>
    <mergeCell ref="Q607:Q608"/>
    <mergeCell ref="Q617:Q618"/>
    <mergeCell ref="R537:R553"/>
    <mergeCell ref="R708:R711"/>
    <mergeCell ref="R712:R713"/>
    <mergeCell ref="C348:F348"/>
    <mergeCell ref="C349:F349"/>
    <mergeCell ref="C350:F350"/>
    <mergeCell ref="C351:F351"/>
    <mergeCell ref="C352:F352"/>
    <mergeCell ref="C353:F353"/>
    <mergeCell ref="C354:F354"/>
    <mergeCell ref="C432:F432"/>
    <mergeCell ref="C433:F433"/>
    <mergeCell ref="C434:F434"/>
    <mergeCell ref="C435:F435"/>
    <mergeCell ref="C436:F436"/>
    <mergeCell ref="C399:F399"/>
    <mergeCell ref="C359:F359"/>
    <mergeCell ref="C360:F360"/>
    <mergeCell ref="C361:F361"/>
    <mergeCell ref="C362:F362"/>
    <mergeCell ref="C363:F363"/>
    <mergeCell ref="C364:F364"/>
    <mergeCell ref="C482:F482"/>
    <mergeCell ref="C483:F483"/>
    <mergeCell ref="R384:R386"/>
    <mergeCell ref="C631:F631"/>
    <mergeCell ref="C632:F632"/>
    <mergeCell ref="C1125:F1125"/>
    <mergeCell ref="C1126:F1126"/>
    <mergeCell ref="C1108:F1108"/>
    <mergeCell ref="C1109:F1109"/>
    <mergeCell ref="C1110:F1110"/>
    <mergeCell ref="C1111:F1111"/>
    <mergeCell ref="C1102:F1102"/>
    <mergeCell ref="C1122:F1122"/>
    <mergeCell ref="G899:G900"/>
    <mergeCell ref="R665:R666"/>
    <mergeCell ref="R676:R678"/>
    <mergeCell ref="R679:R680"/>
    <mergeCell ref="R681:R682"/>
    <mergeCell ref="R683:R697"/>
    <mergeCell ref="R699:R704"/>
    <mergeCell ref="R889:R891"/>
    <mergeCell ref="Q889:Q891"/>
    <mergeCell ref="Q898:Q900"/>
    <mergeCell ref="R898:R900"/>
    <mergeCell ref="C790:F790"/>
    <mergeCell ref="C791:F791"/>
    <mergeCell ref="C792:F792"/>
    <mergeCell ref="C1036:F1036"/>
    <mergeCell ref="C1039:F1039"/>
    <mergeCell ref="C1040:F1040"/>
    <mergeCell ref="C1041:F1041"/>
    <mergeCell ref="C809:F809"/>
    <mergeCell ref="C810:F810"/>
    <mergeCell ref="C811:F811"/>
    <mergeCell ref="C793:F793"/>
    <mergeCell ref="C1005:F1005"/>
    <mergeCell ref="C996:F996"/>
    <mergeCell ref="C969:F969"/>
    <mergeCell ref="G978:G979"/>
    <mergeCell ref="H978:H979"/>
    <mergeCell ref="C1007:F1007"/>
    <mergeCell ref="C1008:F1008"/>
    <mergeCell ref="C1009:F1009"/>
    <mergeCell ref="C1010:F1010"/>
    <mergeCell ref="C1011:F1011"/>
    <mergeCell ref="C1012:F1012"/>
    <mergeCell ref="C1013:F1013"/>
    <mergeCell ref="C1068:F1068"/>
    <mergeCell ref="C1069:F1069"/>
    <mergeCell ref="D1075:D1076"/>
    <mergeCell ref="E1075:E1076"/>
    <mergeCell ref="F1075:F1076"/>
    <mergeCell ref="G1075:G1076"/>
    <mergeCell ref="H1075:H1076"/>
    <mergeCell ref="C1066:F1066"/>
    <mergeCell ref="C1067:F1067"/>
    <mergeCell ref="C997:F997"/>
    <mergeCell ref="C1016:F1016"/>
    <mergeCell ref="C1017:F1017"/>
    <mergeCell ref="C1020:F1020"/>
    <mergeCell ref="F978:F979"/>
    <mergeCell ref="C991:F991"/>
    <mergeCell ref="C976:F976"/>
    <mergeCell ref="C977:F977"/>
    <mergeCell ref="C1014:F1014"/>
    <mergeCell ref="C1015:F1015"/>
    <mergeCell ref="C1043:F1043"/>
    <mergeCell ref="C1026:F1026"/>
    <mergeCell ref="C1046:F1046"/>
    <mergeCell ref="C782:F782"/>
    <mergeCell ref="C841:F841"/>
    <mergeCell ref="H899:H900"/>
    <mergeCell ref="Q712:Q713"/>
    <mergeCell ref="R714:R716"/>
    <mergeCell ref="Q623:Q624"/>
    <mergeCell ref="R630:R664"/>
    <mergeCell ref="C837:F837"/>
    <mergeCell ref="C838:F838"/>
    <mergeCell ref="C839:F839"/>
    <mergeCell ref="C818:F818"/>
    <mergeCell ref="C819:F819"/>
    <mergeCell ref="C820:F820"/>
    <mergeCell ref="C821:F821"/>
    <mergeCell ref="C822:F822"/>
    <mergeCell ref="C823:F823"/>
    <mergeCell ref="C824:F824"/>
    <mergeCell ref="C825:F825"/>
    <mergeCell ref="C826:F826"/>
    <mergeCell ref="C827:F827"/>
    <mergeCell ref="G677:G678"/>
    <mergeCell ref="H677:H678"/>
    <mergeCell ref="R717:R718"/>
    <mergeCell ref="C729:F729"/>
    <mergeCell ref="C730:F730"/>
    <mergeCell ref="C731:F731"/>
    <mergeCell ref="C732:F732"/>
    <mergeCell ref="C774:F774"/>
    <mergeCell ref="C717:F717"/>
    <mergeCell ref="C719:F719"/>
    <mergeCell ref="C720:F720"/>
    <mergeCell ref="C725:F725"/>
    <mergeCell ref="R901:R905"/>
    <mergeCell ref="Q977:Q979"/>
    <mergeCell ref="R977:R979"/>
    <mergeCell ref="R980:R982"/>
    <mergeCell ref="R1045:R1046"/>
    <mergeCell ref="R1048:R1052"/>
    <mergeCell ref="C971:F971"/>
    <mergeCell ref="C1071:F1071"/>
    <mergeCell ref="C1072:F1072"/>
    <mergeCell ref="C1047:F1047"/>
    <mergeCell ref="C1048:F1048"/>
    <mergeCell ref="C1065:F1065"/>
    <mergeCell ref="C1037:F1037"/>
    <mergeCell ref="C1038:F1038"/>
    <mergeCell ref="D978:D979"/>
    <mergeCell ref="E978:E979"/>
    <mergeCell ref="C1027:F1027"/>
    <mergeCell ref="C1028:F1028"/>
    <mergeCell ref="C1029:F1029"/>
    <mergeCell ref="C1042:F1042"/>
    <mergeCell ref="C1030:F1030"/>
    <mergeCell ref="C1019:F1019"/>
    <mergeCell ref="C1031:F1031"/>
    <mergeCell ref="C968:F968"/>
    <mergeCell ref="C928:F928"/>
    <mergeCell ref="C989:F989"/>
    <mergeCell ref="R962:R967"/>
    <mergeCell ref="C939:F939"/>
    <mergeCell ref="C958:F958"/>
    <mergeCell ref="C959:F959"/>
    <mergeCell ref="C960:F960"/>
    <mergeCell ref="C961:F961"/>
    <mergeCell ref="C1141:F1141"/>
    <mergeCell ref="C1142:F1142"/>
    <mergeCell ref="C988:F988"/>
    <mergeCell ref="C1032:F1032"/>
    <mergeCell ref="C1033:F1033"/>
    <mergeCell ref="C1000:F1000"/>
    <mergeCell ref="C1001:F1001"/>
    <mergeCell ref="C1104:F1104"/>
    <mergeCell ref="C1097:F1097"/>
    <mergeCell ref="C1099:F1099"/>
    <mergeCell ref="C1100:F1100"/>
    <mergeCell ref="C1103:F1103"/>
    <mergeCell ref="C1105:F1105"/>
    <mergeCell ref="C1106:F1106"/>
    <mergeCell ref="C998:F998"/>
    <mergeCell ref="C1003:F1003"/>
    <mergeCell ref="C1004:F1004"/>
    <mergeCell ref="C1006:F1006"/>
    <mergeCell ref="C1127:F1127"/>
    <mergeCell ref="C1128:F1128"/>
    <mergeCell ref="C1129:F1129"/>
    <mergeCell ref="C1130:F1130"/>
    <mergeCell ref="C1116:F1116"/>
    <mergeCell ref="C1117:F1117"/>
    <mergeCell ref="C1118:F1118"/>
    <mergeCell ref="C1074:F1074"/>
    <mergeCell ref="C1115:F1115"/>
    <mergeCell ref="C1107:F1107"/>
    <mergeCell ref="C1119:F1119"/>
    <mergeCell ref="C1120:F1120"/>
    <mergeCell ref="C1121:F1121"/>
    <mergeCell ref="C1124:F1124"/>
    <mergeCell ref="C726:F726"/>
    <mergeCell ref="C727:F727"/>
    <mergeCell ref="C728:F728"/>
    <mergeCell ref="C768:F768"/>
    <mergeCell ref="C771:F771"/>
    <mergeCell ref="C772:F772"/>
    <mergeCell ref="C773:F773"/>
    <mergeCell ref="C763:F763"/>
    <mergeCell ref="C738:F738"/>
    <mergeCell ref="C739:F739"/>
    <mergeCell ref="C740:F740"/>
    <mergeCell ref="C741:F741"/>
    <mergeCell ref="C742:F742"/>
    <mergeCell ref="C723:F723"/>
    <mergeCell ref="C724:F724"/>
    <mergeCell ref="C718:F718"/>
    <mergeCell ref="C721:F721"/>
    <mergeCell ref="C722:F722"/>
    <mergeCell ref="C757:F757"/>
    <mergeCell ref="C758:F758"/>
    <mergeCell ref="C769:F769"/>
    <mergeCell ref="C747:F747"/>
    <mergeCell ref="C766:F766"/>
    <mergeCell ref="C633:F633"/>
    <mergeCell ref="C634:F634"/>
    <mergeCell ref="C635:F635"/>
    <mergeCell ref="C636:F636"/>
    <mergeCell ref="C637:F637"/>
    <mergeCell ref="C638:F638"/>
    <mergeCell ref="C639:F639"/>
    <mergeCell ref="C640:F640"/>
    <mergeCell ref="C641:F641"/>
    <mergeCell ref="C642:F642"/>
    <mergeCell ref="C643:F643"/>
    <mergeCell ref="C644:F644"/>
    <mergeCell ref="C645:F645"/>
    <mergeCell ref="C646:F646"/>
    <mergeCell ref="E677:E678"/>
    <mergeCell ref="F677:F678"/>
    <mergeCell ref="C671:F671"/>
    <mergeCell ref="C673:F673"/>
    <mergeCell ref="C674:F674"/>
    <mergeCell ref="D677:D678"/>
    <mergeCell ref="C665:F665"/>
    <mergeCell ref="C627:F627"/>
    <mergeCell ref="C628:F628"/>
    <mergeCell ref="C629:F629"/>
    <mergeCell ref="C630:F630"/>
    <mergeCell ref="C573:F573"/>
    <mergeCell ref="C574:F574"/>
    <mergeCell ref="C575:F575"/>
    <mergeCell ref="C576:F576"/>
    <mergeCell ref="C577:F577"/>
    <mergeCell ref="C578:F578"/>
    <mergeCell ref="C579:F579"/>
    <mergeCell ref="C580:F580"/>
    <mergeCell ref="C598:F598"/>
    <mergeCell ref="C599:F599"/>
    <mergeCell ref="C600:F600"/>
    <mergeCell ref="C625:F625"/>
    <mergeCell ref="C626:F626"/>
    <mergeCell ref="C616:F616"/>
    <mergeCell ref="C617:F617"/>
    <mergeCell ref="C622:F622"/>
    <mergeCell ref="C623:F623"/>
    <mergeCell ref="C581:F581"/>
    <mergeCell ref="C582:F582"/>
    <mergeCell ref="C583:F583"/>
    <mergeCell ref="C584:F584"/>
    <mergeCell ref="C585:F585"/>
    <mergeCell ref="C586:F586"/>
    <mergeCell ref="C587:F587"/>
    <mergeCell ref="C588:F588"/>
    <mergeCell ref="C589:F589"/>
    <mergeCell ref="C590:F590"/>
    <mergeCell ref="C591:F591"/>
    <mergeCell ref="C624:F624"/>
    <mergeCell ref="C560:F560"/>
    <mergeCell ref="C561:F561"/>
    <mergeCell ref="C562:F562"/>
    <mergeCell ref="C563:F563"/>
    <mergeCell ref="D564:D565"/>
    <mergeCell ref="E564:E565"/>
    <mergeCell ref="F564:F565"/>
    <mergeCell ref="G564:G565"/>
    <mergeCell ref="H564:H565"/>
    <mergeCell ref="C566:F566"/>
    <mergeCell ref="C662:F662"/>
    <mergeCell ref="C663:F663"/>
    <mergeCell ref="C647:F647"/>
    <mergeCell ref="C648:F648"/>
    <mergeCell ref="C649:F649"/>
    <mergeCell ref="C650:F650"/>
    <mergeCell ref="C651:F651"/>
    <mergeCell ref="C652:F652"/>
    <mergeCell ref="C653:F653"/>
    <mergeCell ref="C654:F654"/>
    <mergeCell ref="C655:F655"/>
    <mergeCell ref="C656:F656"/>
    <mergeCell ref="C657:F657"/>
    <mergeCell ref="C658:F658"/>
    <mergeCell ref="C659:F659"/>
    <mergeCell ref="C660:F660"/>
    <mergeCell ref="C661:F661"/>
    <mergeCell ref="C569:F569"/>
    <mergeCell ref="C570:F570"/>
    <mergeCell ref="C571:F571"/>
    <mergeCell ref="C604:F604"/>
    <mergeCell ref="C614:F614"/>
    <mergeCell ref="C446:F446"/>
    <mergeCell ref="C449:F449"/>
    <mergeCell ref="C454:F454"/>
    <mergeCell ref="C457:F457"/>
    <mergeCell ref="C462:F462"/>
    <mergeCell ref="C448:F448"/>
    <mergeCell ref="C450:F450"/>
    <mergeCell ref="C451:F451"/>
    <mergeCell ref="C461:F461"/>
    <mergeCell ref="C463:F463"/>
    <mergeCell ref="C464:F464"/>
    <mergeCell ref="C452:F452"/>
    <mergeCell ref="C453:F453"/>
    <mergeCell ref="C455:F455"/>
    <mergeCell ref="C456:F456"/>
    <mergeCell ref="C458:F458"/>
    <mergeCell ref="C459:F459"/>
    <mergeCell ref="C505:F505"/>
    <mergeCell ref="C506:F506"/>
    <mergeCell ref="C507:F507"/>
    <mergeCell ref="C508:F508"/>
    <mergeCell ref="C509:F509"/>
    <mergeCell ref="C510:F510"/>
    <mergeCell ref="C511:F511"/>
    <mergeCell ref="C512:F512"/>
    <mergeCell ref="C473:F473"/>
    <mergeCell ref="C558:F558"/>
    <mergeCell ref="C474:F474"/>
    <mergeCell ref="C478:F478"/>
    <mergeCell ref="C479:F479"/>
    <mergeCell ref="C481:F481"/>
    <mergeCell ref="C556:F556"/>
    <mergeCell ref="C557:F557"/>
    <mergeCell ref="C568:F568"/>
    <mergeCell ref="C494:F494"/>
    <mergeCell ref="C495:F495"/>
    <mergeCell ref="C496:F496"/>
    <mergeCell ref="C497:F497"/>
    <mergeCell ref="C498:F498"/>
    <mergeCell ref="C499:F499"/>
    <mergeCell ref="C500:F500"/>
    <mergeCell ref="C501:F501"/>
    <mergeCell ref="C502:F502"/>
    <mergeCell ref="C503:F503"/>
    <mergeCell ref="C605:F605"/>
    <mergeCell ref="C607:F607"/>
    <mergeCell ref="C610:F610"/>
    <mergeCell ref="C613:F613"/>
    <mergeCell ref="C504:F504"/>
    <mergeCell ref="C555:F555"/>
    <mergeCell ref="C532:F532"/>
    <mergeCell ref="C536:F536"/>
    <mergeCell ref="C554:F554"/>
    <mergeCell ref="C534:F534"/>
    <mergeCell ref="C535:F535"/>
    <mergeCell ref="C517:F517"/>
    <mergeCell ref="C518:F518"/>
    <mergeCell ref="C533:F533"/>
    <mergeCell ref="A5:A6"/>
    <mergeCell ref="B5:B6"/>
    <mergeCell ref="C5:C6"/>
    <mergeCell ref="D5:D6"/>
    <mergeCell ref="E5:E6"/>
    <mergeCell ref="G5:G6"/>
    <mergeCell ref="B7:F7"/>
    <mergeCell ref="F5:F6"/>
    <mergeCell ref="C344:F344"/>
    <mergeCell ref="C385:F385"/>
    <mergeCell ref="C386:F386"/>
    <mergeCell ref="C391:F391"/>
    <mergeCell ref="C392:F392"/>
    <mergeCell ref="C394:F394"/>
    <mergeCell ref="C395:F395"/>
    <mergeCell ref="C397:F397"/>
    <mergeCell ref="C398:F398"/>
    <mergeCell ref="C163:F163"/>
    <mergeCell ref="C345:F345"/>
    <mergeCell ref="C310:F310"/>
    <mergeCell ref="C346:F346"/>
    <mergeCell ref="C347:F347"/>
    <mergeCell ref="C94:F94"/>
    <mergeCell ref="C95:F95"/>
    <mergeCell ref="C85:F85"/>
    <mergeCell ref="C88:F88"/>
    <mergeCell ref="C89:F89"/>
    <mergeCell ref="C90:F90"/>
    <mergeCell ref="C91:F91"/>
    <mergeCell ref="C92:F92"/>
    <mergeCell ref="C93:F93"/>
    <mergeCell ref="C317:F317"/>
    <mergeCell ref="C159:F159"/>
    <mergeCell ref="C160:F160"/>
    <mergeCell ref="C161:F161"/>
    <mergeCell ref="C162:F162"/>
    <mergeCell ref="AL5:AL7"/>
    <mergeCell ref="H5:H6"/>
    <mergeCell ref="I5:I6"/>
    <mergeCell ref="J5:J6"/>
    <mergeCell ref="K5:K6"/>
    <mergeCell ref="L5:L6"/>
    <mergeCell ref="M5:O5"/>
    <mergeCell ref="P5:P6"/>
    <mergeCell ref="AG5:AG6"/>
    <mergeCell ref="AH5:AH6"/>
    <mergeCell ref="AI5:AI6"/>
    <mergeCell ref="AK5:AK6"/>
    <mergeCell ref="AJ5:AJ6"/>
    <mergeCell ref="C105:F105"/>
    <mergeCell ref="C106:F106"/>
    <mergeCell ref="C118:F118"/>
    <mergeCell ref="C30:F30"/>
    <mergeCell ref="C32:F32"/>
    <mergeCell ref="C22:F22"/>
    <mergeCell ref="C23:F23"/>
    <mergeCell ref="C64:F64"/>
    <mergeCell ref="C65:F65"/>
    <mergeCell ref="C49:F49"/>
    <mergeCell ref="C50:F50"/>
    <mergeCell ref="C51:F51"/>
    <mergeCell ref="C101:F101"/>
    <mergeCell ref="C102:F102"/>
    <mergeCell ref="C129:F129"/>
    <mergeCell ref="Q401:Q402"/>
    <mergeCell ref="C420:F420"/>
    <mergeCell ref="R400:R402"/>
    <mergeCell ref="R403:R407"/>
    <mergeCell ref="R408:R409"/>
    <mergeCell ref="R411:R418"/>
    <mergeCell ref="Q427:Q428"/>
    <mergeCell ref="Q429:Q430"/>
    <mergeCell ref="D401:D402"/>
    <mergeCell ref="E401:E402"/>
    <mergeCell ref="F401:F402"/>
    <mergeCell ref="C425:F425"/>
    <mergeCell ref="C426:F426"/>
    <mergeCell ref="Q432:Q433"/>
    <mergeCell ref="R387:R390"/>
    <mergeCell ref="C393:F393"/>
    <mergeCell ref="G401:G402"/>
    <mergeCell ref="H401:H402"/>
    <mergeCell ref="C387:F387"/>
    <mergeCell ref="C400:F400"/>
    <mergeCell ref="C419:F419"/>
    <mergeCell ref="C421:F421"/>
    <mergeCell ref="C422:F422"/>
    <mergeCell ref="C423:F423"/>
    <mergeCell ref="C424:F424"/>
    <mergeCell ref="C427:F427"/>
    <mergeCell ref="C428:F428"/>
    <mergeCell ref="Q470:Q471"/>
    <mergeCell ref="Q473:Q474"/>
    <mergeCell ref="R478:R518"/>
    <mergeCell ref="C760:F760"/>
    <mergeCell ref="C761:F761"/>
    <mergeCell ref="C484:F484"/>
    <mergeCell ref="C485:F485"/>
    <mergeCell ref="C486:F486"/>
    <mergeCell ref="C477:D477"/>
    <mergeCell ref="C895:F895"/>
    <mergeCell ref="C447:F447"/>
    <mergeCell ref="C592:F592"/>
    <mergeCell ref="C593:F593"/>
    <mergeCell ref="C594:F594"/>
    <mergeCell ref="C595:F595"/>
    <mergeCell ref="C596:F596"/>
    <mergeCell ref="C597:F597"/>
    <mergeCell ref="C466:F466"/>
    <mergeCell ref="C842:F842"/>
    <mergeCell ref="C843:F843"/>
    <mergeCell ref="C844:F844"/>
    <mergeCell ref="C889:F889"/>
    <mergeCell ref="C890:F890"/>
    <mergeCell ref="C491:F491"/>
    <mergeCell ref="C492:F492"/>
    <mergeCell ref="C493:F493"/>
    <mergeCell ref="C602:F602"/>
    <mergeCell ref="C572:F572"/>
    <mergeCell ref="C519:F519"/>
    <mergeCell ref="C514:F514"/>
    <mergeCell ref="C515:F515"/>
    <mergeCell ref="C516:F516"/>
    <mergeCell ref="C443:F443"/>
    <mergeCell ref="C444:F444"/>
    <mergeCell ref="C445:F445"/>
    <mergeCell ref="Q437:Q438"/>
    <mergeCell ref="C429:F429"/>
    <mergeCell ref="C430:F430"/>
    <mergeCell ref="C431:F431"/>
    <mergeCell ref="C513:F513"/>
    <mergeCell ref="R959:R960"/>
    <mergeCell ref="C924:F924"/>
    <mergeCell ref="C922:F922"/>
    <mergeCell ref="C921:F921"/>
    <mergeCell ref="C920:F920"/>
    <mergeCell ref="C733:F733"/>
    <mergeCell ref="C736:F736"/>
    <mergeCell ref="C737:F737"/>
    <mergeCell ref="C460:F460"/>
    <mergeCell ref="C896:F896"/>
    <mergeCell ref="Q564:Q565"/>
    <mergeCell ref="Q448:Q449"/>
    <mergeCell ref="Q453:Q454"/>
    <mergeCell ref="Q456:Q457"/>
    <mergeCell ref="Q461:Q462"/>
    <mergeCell ref="Q464:Q465"/>
    <mergeCell ref="C475:F475"/>
    <mergeCell ref="C480:F480"/>
    <mergeCell ref="C487:F487"/>
    <mergeCell ref="C488:F488"/>
    <mergeCell ref="C489:F489"/>
    <mergeCell ref="C490:F490"/>
    <mergeCell ref="C756:F756"/>
    <mergeCell ref="C759:F759"/>
    <mergeCell ref="C801:F801"/>
    <mergeCell ref="C802:F802"/>
    <mergeCell ref="C803:F803"/>
    <mergeCell ref="C919:F919"/>
    <mergeCell ref="C918:F918"/>
    <mergeCell ref="C910:F910"/>
    <mergeCell ref="C911:F911"/>
    <mergeCell ref="C762:F762"/>
    <mergeCell ref="C751:F751"/>
    <mergeCell ref="C752:F752"/>
    <mergeCell ref="C753:F753"/>
    <mergeCell ref="C754:F754"/>
    <mergeCell ref="C755:F755"/>
    <mergeCell ref="C746:F746"/>
    <mergeCell ref="C358:F358"/>
    <mergeCell ref="C748:F748"/>
    <mergeCell ref="C749:F749"/>
    <mergeCell ref="C750:F750"/>
    <mergeCell ref="C767:F767"/>
    <mergeCell ref="C603:F603"/>
    <mergeCell ref="C368:F368"/>
    <mergeCell ref="C369:F369"/>
    <mergeCell ref="C909:F909"/>
    <mergeCell ref="C912:F912"/>
    <mergeCell ref="C897:F897"/>
    <mergeCell ref="C906:F906"/>
    <mergeCell ref="C908:F908"/>
    <mergeCell ref="C612:F612"/>
    <mergeCell ref="C913:F913"/>
    <mergeCell ref="C439:F439"/>
    <mergeCell ref="C440:F440"/>
    <mergeCell ref="C441:F441"/>
    <mergeCell ref="C442:F442"/>
    <mergeCell ref="C734:F734"/>
    <mergeCell ref="C923:F923"/>
    <mergeCell ref="Q1075:Q1076"/>
    <mergeCell ref="C1101:F1101"/>
    <mergeCell ref="C370:F370"/>
    <mergeCell ref="C382:F382"/>
    <mergeCell ref="C383:F383"/>
    <mergeCell ref="C371:F371"/>
    <mergeCell ref="C372:F372"/>
    <mergeCell ref="C373:F373"/>
    <mergeCell ref="C374:F374"/>
    <mergeCell ref="C375:F375"/>
    <mergeCell ref="C376:F376"/>
    <mergeCell ref="C377:F377"/>
    <mergeCell ref="C378:F378"/>
    <mergeCell ref="C379:F379"/>
    <mergeCell ref="C898:F898"/>
    <mergeCell ref="D899:D900"/>
    <mergeCell ref="E899:E900"/>
    <mergeCell ref="F899:F900"/>
    <mergeCell ref="C840:F840"/>
    <mergeCell ref="Q677:Q678"/>
    <mergeCell ref="C1002:F1002"/>
    <mergeCell ref="C915:F915"/>
    <mergeCell ref="C916:F916"/>
    <mergeCell ref="C795:F795"/>
    <mergeCell ref="C796:F796"/>
    <mergeCell ref="C797:F797"/>
    <mergeCell ref="C798:F798"/>
    <mergeCell ref="C799:F799"/>
    <mergeCell ref="C800:F800"/>
    <mergeCell ref="A3:R3"/>
    <mergeCell ref="A4:R4"/>
    <mergeCell ref="C476:F476"/>
    <mergeCell ref="C926:F926"/>
    <mergeCell ref="C927:F927"/>
    <mergeCell ref="C917:F917"/>
    <mergeCell ref="C380:F380"/>
    <mergeCell ref="C381:F381"/>
    <mergeCell ref="C925:F925"/>
    <mergeCell ref="C1123:F1123"/>
    <mergeCell ref="C1139:F1139"/>
    <mergeCell ref="C1140:F1140"/>
    <mergeCell ref="C1138:F1138"/>
    <mergeCell ref="C1233:F1233"/>
    <mergeCell ref="C1250:F1250"/>
    <mergeCell ref="C1218:F1218"/>
    <mergeCell ref="C764:F764"/>
    <mergeCell ref="C765:F765"/>
    <mergeCell ref="C770:F770"/>
    <mergeCell ref="C619:F619"/>
    <mergeCell ref="C620:F620"/>
    <mergeCell ref="C621:F621"/>
    <mergeCell ref="C601:F601"/>
    <mergeCell ref="C804:F804"/>
    <mergeCell ref="C805:F805"/>
    <mergeCell ref="C806:F806"/>
    <mergeCell ref="C807:F807"/>
    <mergeCell ref="C808:F808"/>
    <mergeCell ref="C891:F891"/>
    <mergeCell ref="C892:F892"/>
    <mergeCell ref="C907:F907"/>
    <mergeCell ref="C893:F893"/>
  </mergeCells>
  <pageMargins left="0.2" right="0.19685039370078741" top="0.27559055118110237" bottom="0.19685039370078741" header="0" footer="0"/>
  <pageSetup paperSize="9" scale="6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45"/>
  <sheetViews>
    <sheetView zoomScale="73" zoomScaleNormal="73" workbookViewId="0">
      <pane ySplit="4" topLeftCell="A20" activePane="bottomLeft" state="frozen"/>
      <selection pane="bottomLeft" activeCell="G34" sqref="G34:M34"/>
    </sheetView>
  </sheetViews>
  <sheetFormatPr defaultColWidth="11.25" defaultRowHeight="15" customHeight="1"/>
  <cols>
    <col min="1" max="1" width="4.58203125" customWidth="1"/>
    <col min="2" max="2" width="18.83203125" customWidth="1"/>
    <col min="3" max="3" width="7.5" style="219" customWidth="1"/>
    <col min="4" max="4" width="9.08203125" style="219" customWidth="1"/>
    <col min="5" max="5" width="10.25" customWidth="1"/>
    <col min="6" max="6" width="10.58203125" customWidth="1"/>
    <col min="7" max="7" width="9.9140625" customWidth="1"/>
    <col min="8" max="9" width="9" customWidth="1"/>
    <col min="10" max="10" width="9.08203125" customWidth="1"/>
    <col min="11" max="11" width="9.33203125" customWidth="1"/>
    <col min="12" max="12" width="7.83203125" customWidth="1"/>
    <col min="13" max="13" width="9.75" customWidth="1"/>
    <col min="14" max="14" width="12.83203125" customWidth="1"/>
    <col min="15" max="15" width="14.08203125" customWidth="1"/>
    <col min="16" max="16" width="14.33203125" customWidth="1"/>
    <col min="17" max="17" width="10.75" style="219" customWidth="1"/>
    <col min="18" max="18" width="14.33203125" style="219" customWidth="1"/>
    <col min="19" max="19" width="12.25" style="229" customWidth="1"/>
    <col min="20" max="20" width="15.25" customWidth="1"/>
    <col min="21" max="24" width="11" customWidth="1"/>
  </cols>
  <sheetData>
    <row r="1" spans="1:24" ht="45.75" customHeight="1">
      <c r="A1" s="1645" t="str">
        <f>'Phương án chi tiết'!A3:R3</f>
        <v>HƯƠNG ÁN KHÁI TOÁN BỒI THƯỜNG, HỖ TRỢ VÀ TÁI ĐỊNH CƯ CÔNG TRÌNH: HỒ BẢN PHỦ, THUỘC DỰ ÁN CỤM HỒ BẢN PHỦ - NẬM LÀ TỈNH ĐIỆN BIÊN (HẠNG MỤC HỒ CHỨA NƯỚC, ĐẬP ĐẦU MỐI, VÀ ĐƯỜNG GIAO THÔNG QUANH HỒ).</v>
      </c>
      <c r="B1" s="1642"/>
      <c r="C1" s="1642"/>
      <c r="D1" s="1642"/>
      <c r="E1" s="1642"/>
      <c r="F1" s="1642"/>
      <c r="G1" s="1642"/>
      <c r="H1" s="1642"/>
      <c r="I1" s="1642"/>
      <c r="J1" s="1642"/>
      <c r="K1" s="1642"/>
      <c r="L1" s="1642"/>
      <c r="M1" s="1642"/>
      <c r="N1" s="1642"/>
      <c r="O1" s="1642"/>
      <c r="P1" s="1642"/>
      <c r="Q1" s="1642"/>
      <c r="R1" s="1642"/>
      <c r="S1" s="1642"/>
      <c r="T1" s="1642"/>
      <c r="U1" s="49"/>
      <c r="V1" s="49"/>
      <c r="W1" s="49"/>
      <c r="X1" s="49"/>
    </row>
    <row r="2" spans="1:24" ht="39" customHeight="1">
      <c r="A2" s="1646" t="str">
        <f>'Phương án chi tiết'!A4:R4</f>
        <v>(Kèm theo Văn bản số  797.  /TTPTQĐ-CNKV2  ngày 23 tháng  7  năm 2026 của Trung tâm Phát triển quỹ đất tỉnh Điện Biên )</v>
      </c>
      <c r="B2" s="1647"/>
      <c r="C2" s="1647"/>
      <c r="D2" s="1647"/>
      <c r="E2" s="1647"/>
      <c r="F2" s="1647"/>
      <c r="G2" s="1647"/>
      <c r="H2" s="1647"/>
      <c r="I2" s="1647"/>
      <c r="J2" s="1647"/>
      <c r="K2" s="1647"/>
      <c r="L2" s="1647"/>
      <c r="M2" s="1647"/>
      <c r="N2" s="1647"/>
      <c r="O2" s="1647"/>
      <c r="P2" s="1647"/>
      <c r="Q2" s="1647"/>
      <c r="R2" s="1647"/>
      <c r="S2" s="1647"/>
      <c r="T2" s="1647"/>
      <c r="U2" s="49"/>
      <c r="V2" s="55"/>
      <c r="W2" s="49"/>
      <c r="X2" s="49"/>
    </row>
    <row r="3" spans="1:24" ht="45.75" customHeight="1">
      <c r="A3" s="1648" t="s">
        <v>0</v>
      </c>
      <c r="B3" s="1650" t="s">
        <v>847</v>
      </c>
      <c r="C3" s="1651" t="s">
        <v>3</v>
      </c>
      <c r="D3" s="1651" t="s">
        <v>1323</v>
      </c>
      <c r="E3" s="1650" t="s">
        <v>849</v>
      </c>
      <c r="F3" s="1650" t="s">
        <v>850</v>
      </c>
      <c r="G3" s="1654" t="s">
        <v>851</v>
      </c>
      <c r="H3" s="1640"/>
      <c r="I3" s="1640"/>
      <c r="J3" s="1640"/>
      <c r="K3" s="1640"/>
      <c r="L3" s="1640"/>
      <c r="M3" s="1640"/>
      <c r="N3" s="1653" t="s">
        <v>852</v>
      </c>
      <c r="O3" s="1653" t="s">
        <v>853</v>
      </c>
      <c r="P3" s="1653" t="s">
        <v>854</v>
      </c>
      <c r="Q3" s="1651" t="s">
        <v>732</v>
      </c>
      <c r="R3" s="1657" t="s">
        <v>59</v>
      </c>
      <c r="S3" s="1655" t="s">
        <v>871</v>
      </c>
      <c r="T3" s="1653" t="s">
        <v>9</v>
      </c>
      <c r="U3" s="56"/>
      <c r="V3" s="56"/>
      <c r="W3" s="56"/>
      <c r="X3" s="56"/>
    </row>
    <row r="4" spans="1:24" ht="114" customHeight="1">
      <c r="A4" s="1649"/>
      <c r="B4" s="1649"/>
      <c r="C4" s="1652"/>
      <c r="D4" s="1652"/>
      <c r="E4" s="1649"/>
      <c r="F4" s="1649"/>
      <c r="G4" s="57" t="s">
        <v>855</v>
      </c>
      <c r="H4" s="57" t="s">
        <v>856</v>
      </c>
      <c r="I4" s="57" t="s">
        <v>857</v>
      </c>
      <c r="J4" s="57" t="s">
        <v>858</v>
      </c>
      <c r="K4" s="57" t="s">
        <v>859</v>
      </c>
      <c r="L4" s="58" t="s">
        <v>860</v>
      </c>
      <c r="M4" s="57" t="s">
        <v>861</v>
      </c>
      <c r="N4" s="1649"/>
      <c r="O4" s="1649"/>
      <c r="P4" s="1649"/>
      <c r="Q4" s="1652"/>
      <c r="R4" s="1658"/>
      <c r="S4" s="1656"/>
      <c r="T4" s="1649"/>
      <c r="U4" s="56"/>
      <c r="V4" s="56"/>
      <c r="W4" s="56"/>
      <c r="X4" s="56"/>
    </row>
    <row r="5" spans="1:24" ht="38.25" customHeight="1">
      <c r="A5" s="880" t="s">
        <v>862</v>
      </c>
      <c r="B5" s="881" t="str">
        <f>'Phương án chi tiết'!C8</f>
        <v>BẢN PHUNG</v>
      </c>
      <c r="C5" s="881"/>
      <c r="D5" s="881"/>
      <c r="E5" s="882"/>
      <c r="F5" s="882"/>
      <c r="G5" s="883"/>
      <c r="H5" s="883"/>
      <c r="I5" s="883"/>
      <c r="J5" s="883"/>
      <c r="K5" s="883"/>
      <c r="L5" s="884"/>
      <c r="M5" s="883"/>
      <c r="N5" s="885"/>
      <c r="O5" s="885"/>
      <c r="P5" s="885"/>
      <c r="Q5" s="885"/>
      <c r="R5" s="885"/>
      <c r="S5" s="885"/>
      <c r="T5" s="885"/>
      <c r="U5" s="56"/>
      <c r="V5" s="56"/>
      <c r="W5" s="56"/>
      <c r="X5" s="56"/>
    </row>
    <row r="6" spans="1:24" s="889" customFormat="1" ht="44.25" customHeight="1">
      <c r="A6" s="1323">
        <f>'Phương án chi tiết'!A9</f>
        <v>1</v>
      </c>
      <c r="B6" s="1256" t="str">
        <f>'Phương án chi tiết'!C9</f>
        <v>Tòng Văn Thu</v>
      </c>
      <c r="C6" s="303" t="str">
        <f>'Phương án chi tiết'!S9</f>
        <v>2</v>
      </c>
      <c r="D6" s="1257" t="str">
        <f>'Phương án chi tiết'!T9</f>
        <v>415, 189, 223</v>
      </c>
      <c r="E6" s="502">
        <f>'Phương án chi tiết'!U9</f>
        <v>557.79999999999995</v>
      </c>
      <c r="F6" s="502">
        <f>'Phương án chi tiết'!V9</f>
        <v>557.79999999999995</v>
      </c>
      <c r="G6" s="502">
        <f>'Phương án chi tiết'!W9</f>
        <v>344.79999999999995</v>
      </c>
      <c r="H6" s="502">
        <f>'Phương án chi tiết'!X9</f>
        <v>0</v>
      </c>
      <c r="I6" s="502">
        <f>'Phương án chi tiết'!Y9</f>
        <v>0</v>
      </c>
      <c r="J6" s="502"/>
      <c r="K6" s="502"/>
      <c r="L6" s="502">
        <f>'Phương án chi tiết'!AC9</f>
        <v>213</v>
      </c>
      <c r="M6" s="502"/>
      <c r="N6" s="303">
        <f>'Phương án chi tiết'!AD9</f>
        <v>104447600</v>
      </c>
      <c r="O6" s="303">
        <f>'Phương án chi tiết'!AE9</f>
        <v>289043651.60000002</v>
      </c>
      <c r="P6" s="412">
        <f>'Phương án chi tiết'!AF9</f>
        <v>0</v>
      </c>
      <c r="Q6" s="303">
        <f>'Phương án chi tiết'!AG9</f>
        <v>5000000</v>
      </c>
      <c r="R6" s="412">
        <f>'Phương án chi tiết'!AH9</f>
        <v>74476800</v>
      </c>
      <c r="S6" s="412"/>
      <c r="T6" s="436">
        <f t="shared" ref="T6:T23" si="0">SUM(N6:S6)</f>
        <v>472968051.60000002</v>
      </c>
      <c r="U6" s="888"/>
      <c r="V6" s="888"/>
      <c r="W6" s="888"/>
      <c r="X6" s="888"/>
    </row>
    <row r="7" spans="1:24" s="182" customFormat="1" ht="139.5" customHeight="1">
      <c r="A7" s="887">
        <f>'Phương án chi tiết'!A62</f>
        <v>2</v>
      </c>
      <c r="B7" s="1325" t="str">
        <f>'Phương án chi tiết'!C62</f>
        <v>Tòng Văn Ương</v>
      </c>
      <c r="C7" s="1326">
        <f>'Phương án chi tiết'!S62</f>
        <v>2</v>
      </c>
      <c r="D7" s="1327" t="str">
        <f>'Phương án chi tiết'!T62</f>
        <v>383, 18, 23, 44, 47, 48, 49, 55, 68, 251, 271, 273, 305</v>
      </c>
      <c r="E7" s="1328">
        <f>'Phương án chi tiết'!U62</f>
        <v>3750.6000000000004</v>
      </c>
      <c r="F7" s="1328">
        <f>'Phương án chi tiết'!V62</f>
        <v>3425.0000000000005</v>
      </c>
      <c r="G7" s="1328">
        <f>'Phương án chi tiết'!W62</f>
        <v>856.59999999999991</v>
      </c>
      <c r="H7" s="1328">
        <f>'Phương án chi tiết'!X62</f>
        <v>749.7</v>
      </c>
      <c r="I7" s="1328">
        <f>'Phương án chi tiết'!Y62</f>
        <v>0</v>
      </c>
      <c r="J7" s="1328">
        <f>'Phương án chi tiết'!Z62</f>
        <v>675.3</v>
      </c>
      <c r="K7" s="1328"/>
      <c r="L7" s="1328">
        <f>'Phương án chi tiết'!AC62</f>
        <v>313.2</v>
      </c>
      <c r="M7" s="1328">
        <f>'Phương án chi tiết'!AB62</f>
        <v>830.2</v>
      </c>
      <c r="N7" s="1326">
        <f>'Phương án chi tiết'!AD62</f>
        <v>272380400</v>
      </c>
      <c r="O7" s="1326">
        <f>'Phương án chi tiết'!AE62</f>
        <v>482108336.51764703</v>
      </c>
      <c r="P7" s="1326">
        <f>'Phương án chi tiết'!AF62</f>
        <v>29310223</v>
      </c>
      <c r="Q7" s="1326">
        <f>'Phương án chi tiết'!AG62</f>
        <v>6000000</v>
      </c>
      <c r="R7" s="1326">
        <f>'Phương án chi tiết'!AH62</f>
        <v>359454500</v>
      </c>
      <c r="S7" s="1330"/>
      <c r="T7" s="436">
        <f t="shared" si="0"/>
        <v>1149253459.517647</v>
      </c>
      <c r="U7" s="253"/>
      <c r="V7" s="253"/>
      <c r="W7" s="253"/>
      <c r="X7" s="253"/>
    </row>
    <row r="8" spans="1:24" ht="190.5" customHeight="1">
      <c r="A8" s="887">
        <f>'Phương án chi tiết'!A185</f>
        <v>3</v>
      </c>
      <c r="B8" s="1325" t="str">
        <f>'Phương án chi tiết'!C185</f>
        <v>Tòng Văn Xuân</v>
      </c>
      <c r="C8" s="1327" t="str">
        <f>'Phương án chi tiết'!S185</f>
        <v>1, 2</v>
      </c>
      <c r="D8" s="1329" t="str">
        <f>'Phương án chi tiết'!T185</f>
        <v>414, 307, 338, 453, 274, 284, 335, 337, 339, 345, 353, 360, 363, 369, 424, 334, 464. 479, 292, 69, 493</v>
      </c>
      <c r="E8" s="1328">
        <f>'Phương án chi tiết'!U185</f>
        <v>5094.9000000000005</v>
      </c>
      <c r="F8" s="1328">
        <f>'Phương án chi tiết'!V185</f>
        <v>5094.9000000000005</v>
      </c>
      <c r="G8" s="1328">
        <f>'Phương án chi tiết'!W185</f>
        <v>1566.5</v>
      </c>
      <c r="H8" s="1328">
        <f>'Phương án chi tiết'!X185</f>
        <v>1946.9999999999998</v>
      </c>
      <c r="I8" s="1328">
        <f>'Phương án chi tiết'!Y185</f>
        <v>47.6</v>
      </c>
      <c r="J8" s="1328">
        <f>'Phương án chi tiết'!Z185</f>
        <v>0</v>
      </c>
      <c r="K8" s="1328">
        <f>'Phương án chi tiết'!AA185</f>
        <v>238.39999999999998</v>
      </c>
      <c r="L8" s="1328">
        <f>'Phương án chi tiết'!AC185</f>
        <v>400</v>
      </c>
      <c r="M8" s="1328">
        <f>'Phương án chi tiết'!AB185</f>
        <v>895.4</v>
      </c>
      <c r="N8" s="1326">
        <f>'Phương án chi tiết'!AD185</f>
        <v>430616800</v>
      </c>
      <c r="O8" s="1326">
        <f>'Phương án chi tiết'!AE185</f>
        <v>424793164.44909996</v>
      </c>
      <c r="P8" s="1326">
        <f>'Phương án chi tiết'!AF185</f>
        <v>57172614.479999997</v>
      </c>
      <c r="Q8" s="1326">
        <f>'Phương án chi tiết'!AG185</f>
        <v>5500000</v>
      </c>
      <c r="R8" s="1326">
        <f>'Phương án chi tiết'!AH185</f>
        <v>737522600</v>
      </c>
      <c r="S8" s="1326">
        <f>'Phương án chi tiết'!AJ185</f>
        <v>6562000</v>
      </c>
      <c r="T8" s="1330">
        <f t="shared" si="0"/>
        <v>1662167178.9291</v>
      </c>
      <c r="U8" s="60"/>
      <c r="V8" s="60"/>
      <c r="W8" s="60"/>
      <c r="X8" s="60"/>
    </row>
    <row r="9" spans="1:24" ht="113.25" customHeight="1">
      <c r="A9" s="887">
        <f>'Phương án chi tiết'!A308</f>
        <v>4</v>
      </c>
      <c r="B9" s="1325" t="str">
        <f>'Phương án chi tiết'!C308</f>
        <v>Lò Văn Thanh (T)</v>
      </c>
      <c r="C9" s="1327" t="str">
        <f>'Phương án chi tiết'!S308</f>
        <v>1, 2</v>
      </c>
      <c r="D9" s="1329" t="str">
        <f>'Phương án chi tiết'!T308</f>
        <v>380, 158, 377</v>
      </c>
      <c r="E9" s="1328">
        <f>'Phương án chi tiết'!U308</f>
        <v>2056</v>
      </c>
      <c r="F9" s="1328">
        <f>'Phương án chi tiết'!V308</f>
        <v>2056</v>
      </c>
      <c r="G9" s="1328">
        <f>'Phương án chi tiết'!W308</f>
        <v>49.7</v>
      </c>
      <c r="H9" s="1328">
        <f>'Phương án chi tiết'!X308</f>
        <v>0</v>
      </c>
      <c r="I9" s="1328">
        <f>'Phương án chi tiết'!Y308</f>
        <v>0</v>
      </c>
      <c r="J9" s="1328"/>
      <c r="K9" s="1328">
        <f>'Phương án chi tiết'!AA308</f>
        <v>1317.4</v>
      </c>
      <c r="L9" s="1328">
        <f>'Phương án chi tiết'!AC308</f>
        <v>400</v>
      </c>
      <c r="M9" s="1328">
        <f>'Phương án chi tiết'!AB308</f>
        <v>288.89999999999998</v>
      </c>
      <c r="N9" s="1326">
        <f>'Phương án chi tiết'!AD308</f>
        <v>258094200</v>
      </c>
      <c r="O9" s="1326">
        <f>'Phương án chi tiết'!AE308</f>
        <v>372651834.648</v>
      </c>
      <c r="P9" s="1326">
        <f>'Phương án chi tiết'!AF308</f>
        <v>104571529.74000001</v>
      </c>
      <c r="Q9" s="1326">
        <f>'Phương án chi tiết'!AG308</f>
        <v>5500000</v>
      </c>
      <c r="R9" s="1326">
        <f>'Phương án chi tiết'!AH308</f>
        <v>246018000</v>
      </c>
      <c r="S9" s="1326"/>
      <c r="T9" s="1330">
        <f t="shared" si="0"/>
        <v>986835564.38800001</v>
      </c>
      <c r="U9" s="59"/>
      <c r="V9" s="59"/>
      <c r="W9" s="59"/>
      <c r="X9" s="59"/>
    </row>
    <row r="10" spans="1:24" ht="152.25" customHeight="1">
      <c r="A10" s="887">
        <f>'Phương án chi tiết'!A396</f>
        <v>5</v>
      </c>
      <c r="B10" s="1325" t="str">
        <f>'Phương án chi tiết'!C396</f>
        <v>Lường Văn Hoan</v>
      </c>
      <c r="C10" s="1327" t="str">
        <f>'Phương án chi tiết'!S396</f>
        <v>1, 2</v>
      </c>
      <c r="D10" s="1329" t="str">
        <f>'Phương án chi tiết'!T396</f>
        <v>448, 206, 194, 288, 456, 237, 265, 297, 324, 386, 395, 428, 431, 436, 470, 374, 378</v>
      </c>
      <c r="E10" s="1328">
        <f>'Phương án chi tiết'!U396</f>
        <v>5781.4</v>
      </c>
      <c r="F10" s="1328">
        <f>'Phương án chi tiết'!V396</f>
        <v>4991.3999999999996</v>
      </c>
      <c r="G10" s="1328">
        <f>'Phương án chi tiết'!W396</f>
        <v>1812.2</v>
      </c>
      <c r="H10" s="1328">
        <f>'Phương án chi tiết'!X396</f>
        <v>843</v>
      </c>
      <c r="I10" s="1328">
        <f>'Phương án chi tiết'!Y396</f>
        <v>190.7</v>
      </c>
      <c r="J10" s="1328">
        <f>'Phương án chi tiết'!Z396</f>
        <v>0</v>
      </c>
      <c r="K10" s="1328">
        <f>'Phương án chi tiết'!AA396</f>
        <v>344.7</v>
      </c>
      <c r="L10" s="1328">
        <f>'Phương án chi tiết'!AC396</f>
        <v>400</v>
      </c>
      <c r="M10" s="1328">
        <f>'Phương án chi tiết'!AB396</f>
        <v>1400.8</v>
      </c>
      <c r="N10" s="1326">
        <f>'Phương án chi tiết'!AD396</f>
        <v>427768800</v>
      </c>
      <c r="O10" s="1326">
        <f>'Phương án chi tiết'!AE396</f>
        <v>552262664.66666675</v>
      </c>
      <c r="P10" s="1326">
        <f>'Phương án chi tiết'!AF396</f>
        <v>192656518.919</v>
      </c>
      <c r="Q10" s="1326">
        <f>'Phương án chi tiết'!AG396</f>
        <v>6500000</v>
      </c>
      <c r="R10" s="1326">
        <f>'Phương án chi tiết'!AH396</f>
        <v>675932400</v>
      </c>
      <c r="S10" s="1326"/>
      <c r="T10" s="1330">
        <f t="shared" si="0"/>
        <v>1855120383.5856667</v>
      </c>
      <c r="U10" s="59"/>
      <c r="V10" s="59"/>
      <c r="W10" s="59"/>
      <c r="X10" s="59"/>
    </row>
    <row r="11" spans="1:24" ht="113.25" customHeight="1">
      <c r="A11" s="887">
        <f>'Phương án chi tiết'!A559</f>
        <v>6</v>
      </c>
      <c r="B11" s="1325" t="str">
        <f>'Phương án chi tiết'!C559</f>
        <v>Giàng A Tằng (vợ: Tòng Thị Thu)</v>
      </c>
      <c r="C11" s="1326">
        <f>'Phương án chi tiết'!S559</f>
        <v>1</v>
      </c>
      <c r="D11" s="1331">
        <f>'Phương án chi tiết'!T559</f>
        <v>465</v>
      </c>
      <c r="E11" s="1328">
        <f>'Phương án chi tiết'!U559</f>
        <v>1613.5</v>
      </c>
      <c r="F11" s="1328">
        <f>'Phương án chi tiết'!V559</f>
        <v>1613.5</v>
      </c>
      <c r="G11" s="1328"/>
      <c r="H11" s="1328"/>
      <c r="I11" s="1328"/>
      <c r="J11" s="1328"/>
      <c r="K11" s="1328"/>
      <c r="L11" s="1328">
        <f>'Phương án chi tiết'!AC559</f>
        <v>400</v>
      </c>
      <c r="M11" s="1328">
        <f>'Phương án chi tiết'!AB559</f>
        <v>1213.5</v>
      </c>
      <c r="N11" s="1326">
        <f>'Phương án chi tiết'!AD559</f>
        <v>228810000</v>
      </c>
      <c r="O11" s="1326">
        <f>'Phương án chi tiết'!AE559</f>
        <v>552295932.6335932</v>
      </c>
      <c r="P11" s="1326">
        <f>'Phương án chi tiết'!AF559</f>
        <v>121232279.28399999</v>
      </c>
      <c r="Q11" s="1326">
        <f>'Phương án chi tiết'!AG559</f>
        <v>5000000</v>
      </c>
      <c r="R11" s="1326">
        <f>'Phương án chi tiết'!AH559</f>
        <v>0</v>
      </c>
      <c r="S11" s="1326"/>
      <c r="T11" s="1330">
        <f t="shared" si="0"/>
        <v>907338211.91759324</v>
      </c>
      <c r="U11" s="59"/>
      <c r="V11" s="59"/>
      <c r="W11" s="59"/>
      <c r="X11" s="59"/>
    </row>
    <row r="12" spans="1:24" ht="330" customHeight="1">
      <c r="A12" s="887">
        <f>'Phương án chi tiết'!A672</f>
        <v>7</v>
      </c>
      <c r="B12" s="1325" t="str">
        <f>'Phương án chi tiết'!C672</f>
        <v>Lò Văn Châm</v>
      </c>
      <c r="C12" s="1327" t="str">
        <f>'Phương án chi tiết'!S672</f>
        <v>1, 2</v>
      </c>
      <c r="D12" s="1329" t="str">
        <f>'Phương án chi tiết'!T672</f>
        <v>370, 236, 239, 315, 335, 5, 21, 22, 28, 35, 43, 57, 63, 71, 96, 114, 117, 120, 163, 170, 177, 193, 197, 207, 212, 231, 238, 261, 293, 298, 334, 475, 479, 482, 344, 414, 494,  498, 488</v>
      </c>
      <c r="E12" s="1328">
        <f>'Phương án chi tiết'!U672</f>
        <v>13053.799999999996</v>
      </c>
      <c r="F12" s="1328">
        <f>'Phương án chi tiết'!V672</f>
        <v>12833.499999999995</v>
      </c>
      <c r="G12" s="1328">
        <f>'Phương án chi tiết'!W672</f>
        <v>3180.9000000000005</v>
      </c>
      <c r="H12" s="1328">
        <f>'Phương án chi tiết'!X672</f>
        <v>1618.5000000000002</v>
      </c>
      <c r="I12" s="1328">
        <f>'Phương án chi tiết'!Y672</f>
        <v>3313.7000000000003</v>
      </c>
      <c r="J12" s="1328">
        <f>'Phương án chi tiết'!Z672</f>
        <v>1600.1</v>
      </c>
      <c r="K12" s="1328">
        <f>'Phương án chi tiết'!AA672</f>
        <v>826.8</v>
      </c>
      <c r="L12" s="1328">
        <f>'Phương án chi tiết'!AC672</f>
        <v>400</v>
      </c>
      <c r="M12" s="1328">
        <f>'Phương án chi tiết'!AB672</f>
        <v>1893.5</v>
      </c>
      <c r="N12" s="1326">
        <f>'Phương án chi tiết'!AD672</f>
        <v>754053800</v>
      </c>
      <c r="O12" s="1326">
        <f>'Phương án chi tiết'!AE672</f>
        <v>676575798.37888706</v>
      </c>
      <c r="P12" s="1326">
        <f>'Phương án chi tiết'!AF672</f>
        <v>181316512.96199998</v>
      </c>
      <c r="Q12" s="1326">
        <f>'Phương án chi tiết'!AG672</f>
        <v>7500000</v>
      </c>
      <c r="R12" s="1326">
        <f>'Phương án chi tiết'!AH672</f>
        <v>1383388000</v>
      </c>
      <c r="S12" s="1326">
        <f>'Phương án chi tiết'!AJ672</f>
        <v>30477600</v>
      </c>
      <c r="T12" s="1330">
        <f t="shared" si="0"/>
        <v>3033311711.3408871</v>
      </c>
      <c r="U12" s="59"/>
      <c r="V12" s="59"/>
      <c r="W12" s="59"/>
      <c r="X12" s="59"/>
    </row>
    <row r="13" spans="1:24" ht="113.25" customHeight="1">
      <c r="A13" s="887">
        <f>'Phương án chi tiết'!A894</f>
        <v>8</v>
      </c>
      <c r="B13" s="1325" t="str">
        <f>'Phương án chi tiết'!C894</f>
        <v>Lò Văn Chỉnh</v>
      </c>
      <c r="C13" s="1327" t="str">
        <f>'Phương án chi tiết'!S894</f>
        <v>1, 2</v>
      </c>
      <c r="D13" s="1329" t="str">
        <f>'Phương án chi tiết'!T894</f>
        <v xml:space="preserve">425, 482, 483, 173, 184, 282, </v>
      </c>
      <c r="E13" s="1328">
        <f>'Phương án chi tiết'!U894</f>
        <v>899.4</v>
      </c>
      <c r="F13" s="1328">
        <f>'Phương án chi tiết'!V894</f>
        <v>899.4</v>
      </c>
      <c r="G13" s="1328">
        <f>'Phương án chi tiết'!W894</f>
        <v>122.6</v>
      </c>
      <c r="H13" s="1328">
        <f>'Phương án chi tiết'!X894</f>
        <v>366.4</v>
      </c>
      <c r="I13" s="1328"/>
      <c r="J13" s="1328"/>
      <c r="K13" s="1328"/>
      <c r="L13" s="1328">
        <f>'Phương án chi tiết'!AC894</f>
        <v>400</v>
      </c>
      <c r="M13" s="1328">
        <f>'Phương án chi tiết'!AB894</f>
        <v>10.399999999999977</v>
      </c>
      <c r="N13" s="1326">
        <f>'Phương án chi tiết'!AD894</f>
        <v>184377200</v>
      </c>
      <c r="O13" s="1326">
        <f>'Phương án chi tiết'!AE894</f>
        <v>370347795.22400004</v>
      </c>
      <c r="P13" s="1326">
        <f>'Phương án chi tiết'!AF894</f>
        <v>31545027.365999997</v>
      </c>
      <c r="Q13" s="1326">
        <f>'Phương án chi tiết'!AG894</f>
        <v>5500000</v>
      </c>
      <c r="R13" s="1326">
        <f>'Phương án chi tiết'!AH894</f>
        <v>83918400</v>
      </c>
      <c r="S13" s="1326"/>
      <c r="T13" s="1330">
        <f t="shared" si="0"/>
        <v>675688422.58999991</v>
      </c>
      <c r="U13" s="60"/>
      <c r="V13" s="60"/>
      <c r="W13" s="60"/>
      <c r="X13" s="60"/>
    </row>
    <row r="14" spans="1:24" ht="113.25" customHeight="1">
      <c r="A14" s="887">
        <f>'Phương án chi tiết'!A973</f>
        <v>9</v>
      </c>
      <c r="B14" s="1325" t="str">
        <f>'Phương án chi tiết'!C973</f>
        <v>Lò Văn Định (vợ Lò Thị Nhạn)</v>
      </c>
      <c r="C14" s="1327" t="str">
        <f>'Phương án chi tiết'!S973</f>
        <v>1, 2</v>
      </c>
      <c r="D14" s="1329" t="str">
        <f>'Phương án chi tiết'!T973</f>
        <v>355, 321, 339, 202, 295, 411, 416, 344, 359</v>
      </c>
      <c r="E14" s="1328">
        <f>'Phương án chi tiết'!H977</f>
        <v>3136.9999999999995</v>
      </c>
      <c r="F14" s="1328">
        <f>'Phương án chi tiết'!I977</f>
        <v>3136.9999999999995</v>
      </c>
      <c r="G14" s="1328">
        <f>'Phương án chi tiết'!W973</f>
        <v>1134.9000000000001</v>
      </c>
      <c r="H14" s="1328">
        <f>'Phương án chi tiết'!X973</f>
        <v>1306.2</v>
      </c>
      <c r="I14" s="1328"/>
      <c r="J14" s="1328"/>
      <c r="K14" s="1328">
        <f>'Phương án chi tiết'!AA973</f>
        <v>270.8</v>
      </c>
      <c r="L14" s="1328">
        <f>'Phương án chi tiết'!AC973</f>
        <v>400</v>
      </c>
      <c r="M14" s="1328">
        <f>'Phương án chi tiết'!AB973</f>
        <v>25.100000000000023</v>
      </c>
      <c r="N14" s="1326">
        <f>'Phương án chi tiết'!AD973</f>
        <v>316500400</v>
      </c>
      <c r="O14" s="1326">
        <f>'Phương án chi tiết'!AE973</f>
        <v>303486571.17888004</v>
      </c>
      <c r="P14" s="1326">
        <f>'Phương án chi tiết'!AF973</f>
        <v>51097385.649999991</v>
      </c>
      <c r="Q14" s="1326">
        <f>'Phương án chi tiết'!AG973</f>
        <v>5500000</v>
      </c>
      <c r="R14" s="1326">
        <f>'Phương án chi tiết'!AH973</f>
        <v>493837600</v>
      </c>
      <c r="S14" s="1326">
        <f>'Phương án chi tiết'!AJ973</f>
        <v>55176900</v>
      </c>
      <c r="T14" s="1330">
        <f t="shared" si="0"/>
        <v>1225598856.8288798</v>
      </c>
      <c r="U14" s="60"/>
      <c r="V14" s="60"/>
      <c r="W14" s="60"/>
      <c r="X14" s="60"/>
    </row>
    <row r="15" spans="1:24" ht="208.5" customHeight="1">
      <c r="A15" s="887">
        <f>'Phương án chi tiết'!A1070</f>
        <v>10</v>
      </c>
      <c r="B15" s="1325" t="str">
        <f>'Phương án chi tiết'!C1070</f>
        <v>Lò Văn Đoan (vợ Lường Thị Diêu)</v>
      </c>
      <c r="C15" s="1327" t="str">
        <f>'Phương án chi tiết'!S1070</f>
        <v>1, 2</v>
      </c>
      <c r="D15" s="1329" t="str">
        <f>'Phương án chi tiết'!T1070</f>
        <v>442, 270, 180, 228, 342, 83, 326, 235, 382, 139, 151, 160, 161, 265, 271, 484, 511, 110, 132, 147, 435</v>
      </c>
      <c r="E15" s="1328">
        <f>'Phương án chi tiết'!U1070</f>
        <v>6508.5000000000009</v>
      </c>
      <c r="F15" s="1328">
        <f>'Phương án chi tiết'!V1070</f>
        <v>5770.8000000000011</v>
      </c>
      <c r="G15" s="1328">
        <f>'Phương án chi tiết'!W1070</f>
        <v>2740.2000000000003</v>
      </c>
      <c r="H15" s="1328">
        <f>'Phương án chi tiết'!X1070</f>
        <v>1242.7</v>
      </c>
      <c r="I15" s="1328">
        <f>'Phương án chi tiết'!Y1070</f>
        <v>0</v>
      </c>
      <c r="J15" s="1328">
        <f>'Phương án chi tiết'!Z1070</f>
        <v>83.6</v>
      </c>
      <c r="K15" s="1328">
        <f>'Phương án chi tiết'!AA1070</f>
        <v>0</v>
      </c>
      <c r="L15" s="1328">
        <f>'Phương án chi tiết'!AC1070</f>
        <v>400</v>
      </c>
      <c r="M15" s="1328">
        <f>'Phương án chi tiết'!AB1070</f>
        <v>1304.3</v>
      </c>
      <c r="N15" s="1326">
        <f>'Phương án chi tiết'!AD1070</f>
        <v>473251300</v>
      </c>
      <c r="O15" s="1326">
        <f>'Phương án chi tiết'!AE1070</f>
        <v>420444461.93352008</v>
      </c>
      <c r="P15" s="1326">
        <f>'Phương án chi tiết'!AF1070</f>
        <v>93089949.605999991</v>
      </c>
      <c r="Q15" s="1326">
        <f>'Phương án chi tiết'!AG1070</f>
        <v>7500000</v>
      </c>
      <c r="R15" s="1326">
        <f>'Phương án chi tiết'!AH1070</f>
        <v>866204300</v>
      </c>
      <c r="S15" s="1326">
        <f>'Phương án chi tiết'!AJ1070</f>
        <v>12192400</v>
      </c>
      <c r="T15" s="1330">
        <f t="shared" si="0"/>
        <v>1872682411.53952</v>
      </c>
      <c r="U15" s="60"/>
      <c r="V15" s="60"/>
      <c r="W15" s="60"/>
      <c r="X15" s="60"/>
    </row>
    <row r="16" spans="1:24" ht="113.25" customHeight="1">
      <c r="A16" s="887">
        <f>'Phương án chi tiết'!A1208</f>
        <v>11</v>
      </c>
      <c r="B16" s="1325" t="str">
        <f>'Phương án chi tiết'!C1208</f>
        <v>Lò Văn Lo (vợ Tòng Thị Hoa)</v>
      </c>
      <c r="C16" s="1326">
        <f>'Phương án chi tiết'!S1208</f>
        <v>2</v>
      </c>
      <c r="D16" s="1331">
        <f>'Phương án chi tiết'!T1208</f>
        <v>405</v>
      </c>
      <c r="E16" s="1328">
        <f>'Phương án chi tiết'!U1208</f>
        <v>95.7</v>
      </c>
      <c r="F16" s="1328">
        <f>'Phương án chi tiết'!V1208</f>
        <v>95.7</v>
      </c>
      <c r="G16" s="1328"/>
      <c r="H16" s="1328"/>
      <c r="I16" s="1328"/>
      <c r="J16" s="1328"/>
      <c r="K16" s="1328"/>
      <c r="L16" s="1328">
        <f>'Phương án chi tiết'!AC1208</f>
        <v>95.7</v>
      </c>
      <c r="M16" s="1328"/>
      <c r="N16" s="1326">
        <f>'Phương án chi tiết'!AD1208</f>
        <v>37323000</v>
      </c>
      <c r="O16" s="1326">
        <f>'Phương án chi tiết'!AE1208</f>
        <v>309772653.32572269</v>
      </c>
      <c r="P16" s="1326">
        <f>'Phương án chi tiết'!AF1208</f>
        <v>90400</v>
      </c>
      <c r="Q16" s="1326">
        <f>'Phương án chi tiết'!AG1208</f>
        <v>5000000</v>
      </c>
      <c r="R16" s="1326">
        <f>'Phương án chi tiết'!AH1208</f>
        <v>0</v>
      </c>
      <c r="S16" s="1326"/>
      <c r="T16" s="1330">
        <f t="shared" si="0"/>
        <v>352186053.32572269</v>
      </c>
      <c r="U16" s="59"/>
      <c r="V16" s="59"/>
      <c r="W16" s="59"/>
      <c r="X16" s="59"/>
    </row>
    <row r="17" spans="1:24" ht="113.25" customHeight="1">
      <c r="A17" s="887">
        <f>'Phương án chi tiết'!A1243</f>
        <v>12</v>
      </c>
      <c r="B17" s="1325" t="str">
        <f>'Phương án chi tiết'!C1243</f>
        <v>Lò Văn Quyền (vợ: Lò Thị Ngoan)</v>
      </c>
      <c r="C17" s="1327" t="str">
        <f>'Phương án chi tiết'!S1243</f>
        <v>2</v>
      </c>
      <c r="D17" s="1331">
        <f>'Phương án chi tiết'!T1243</f>
        <v>352</v>
      </c>
      <c r="E17" s="1328">
        <f>'Phương án chi tiết'!U1243</f>
        <v>306.10000000000002</v>
      </c>
      <c r="F17" s="1328">
        <f>'Phương án chi tiết'!V1243</f>
        <v>306.10000000000002</v>
      </c>
      <c r="G17" s="1328"/>
      <c r="H17" s="1328"/>
      <c r="I17" s="1328"/>
      <c r="J17" s="1328"/>
      <c r="K17" s="1328"/>
      <c r="L17" s="1328">
        <f>'Phương án chi tiết'!AC1243</f>
        <v>306.10000000000002</v>
      </c>
      <c r="M17" s="1328"/>
      <c r="N17" s="1326">
        <f>'Phương án chi tiết'!AD1243</f>
        <v>119379000.00000001</v>
      </c>
      <c r="O17" s="1326">
        <f>'Phương án chi tiết'!AE1243</f>
        <v>408290389.04877782</v>
      </c>
      <c r="P17" s="1326">
        <f>'Phương án chi tiết'!AF1243</f>
        <v>0</v>
      </c>
      <c r="Q17" s="1326">
        <f>'Phương án chi tiết'!AG1243</f>
        <v>5000000</v>
      </c>
      <c r="R17" s="1326">
        <f>'Phương án chi tiết'!AH1243</f>
        <v>0</v>
      </c>
      <c r="S17" s="1326"/>
      <c r="T17" s="1330">
        <f t="shared" si="0"/>
        <v>532669389.04877782</v>
      </c>
      <c r="U17" s="59"/>
      <c r="V17" s="59"/>
      <c r="W17" s="59"/>
      <c r="X17" s="59"/>
    </row>
    <row r="18" spans="1:24" ht="113.25" customHeight="1">
      <c r="A18" s="887">
        <f>'Phương án chi tiết'!A1287</f>
        <v>13</v>
      </c>
      <c r="B18" s="1325" t="str">
        <f>'Phương án chi tiết'!C1287</f>
        <v>Lường Thị Son</v>
      </c>
      <c r="C18" s="1326">
        <f>'Phương án chi tiết'!S1287</f>
        <v>1</v>
      </c>
      <c r="D18" s="1331">
        <f>'Phương án chi tiết'!T1287</f>
        <v>518</v>
      </c>
      <c r="E18" s="1328">
        <f>'Phương án chi tiết'!U1287</f>
        <v>179</v>
      </c>
      <c r="F18" s="1328">
        <f>'Phương án chi tiết'!V1287</f>
        <v>109.4</v>
      </c>
      <c r="G18" s="1328"/>
      <c r="H18" s="1328"/>
      <c r="I18" s="1328"/>
      <c r="J18" s="1328"/>
      <c r="K18" s="1328"/>
      <c r="L18" s="1328">
        <f>'Phương án chi tiết'!AC1287</f>
        <v>109.4</v>
      </c>
      <c r="M18" s="1328"/>
      <c r="N18" s="1326">
        <f>'Phương án chi tiết'!AD1287</f>
        <v>42666000</v>
      </c>
      <c r="O18" s="1326">
        <f>'Phương án chi tiết'!AE1287</f>
        <v>24689127</v>
      </c>
      <c r="P18" s="1326">
        <f>'Phương án chi tiết'!AF1287</f>
        <v>2383872</v>
      </c>
      <c r="Q18" s="1326">
        <f>'Phương án chi tiết'!AG1287</f>
        <v>0</v>
      </c>
      <c r="R18" s="1326">
        <f>'Phương án chi tiết'!AH1287</f>
        <v>0</v>
      </c>
      <c r="S18" s="1326"/>
      <c r="T18" s="1330">
        <f t="shared" si="0"/>
        <v>69738999</v>
      </c>
      <c r="U18" s="59"/>
      <c r="V18" s="59"/>
      <c r="W18" s="59"/>
      <c r="X18" s="59"/>
    </row>
    <row r="19" spans="1:24" ht="113.25" customHeight="1">
      <c r="A19" s="887">
        <f>'Phương án chi tiết'!A1307</f>
        <v>14</v>
      </c>
      <c r="B19" s="1325" t="str">
        <f>'Phương án chi tiết'!C1307</f>
        <v>Lò Văn Thiện</v>
      </c>
      <c r="C19" s="1327" t="str">
        <f>'Phương án chi tiết'!S1307</f>
        <v>1, 2</v>
      </c>
      <c r="D19" s="1329" t="str">
        <f>'Phương án chi tiết'!T1307</f>
        <v>460, 228, 247, 261, 444, 454, 485, 346</v>
      </c>
      <c r="E19" s="1328">
        <f>'Phương án chi tiết'!U1307</f>
        <v>6384.0999999999995</v>
      </c>
      <c r="F19" s="1328">
        <f>'Phương án chi tiết'!V1307</f>
        <v>3824.1000000000004</v>
      </c>
      <c r="G19" s="1328">
        <f>'Phương án chi tiết'!W1307</f>
        <v>1522.2</v>
      </c>
      <c r="H19" s="1328">
        <f>'Phương án chi tiết'!X1307</f>
        <v>326.70000000000005</v>
      </c>
      <c r="I19" s="1328">
        <f>'Phương án chi tiết'!Y1307</f>
        <v>0</v>
      </c>
      <c r="J19" s="1328">
        <f>'Phương án chi tiết'!Z1307</f>
        <v>0</v>
      </c>
      <c r="K19" s="1328">
        <f>'Phương án chi tiết'!AA1307</f>
        <v>520</v>
      </c>
      <c r="L19" s="1328"/>
      <c r="M19" s="1328">
        <f>'Phương án chi tiết'!AB1307</f>
        <v>1455.2</v>
      </c>
      <c r="N19" s="1326">
        <f>'Phương án chi tiết'!AD1307</f>
        <v>231896900</v>
      </c>
      <c r="O19" s="1326">
        <f>'Phương án chi tiết'!AE1307</f>
        <v>51952215</v>
      </c>
      <c r="P19" s="1326">
        <f>'Phương án chi tiết'!AF1307</f>
        <v>118877832.30000001</v>
      </c>
      <c r="Q19" s="1326">
        <f>'Phương án chi tiết'!AG1307</f>
        <v>0</v>
      </c>
      <c r="R19" s="1326">
        <f>'Phương án chi tiết'!AH1307</f>
        <v>551116100</v>
      </c>
      <c r="S19" s="1326">
        <f>'Phương án chi tiết'!AJ1307</f>
        <v>5553900.0000000009</v>
      </c>
      <c r="T19" s="1330">
        <f t="shared" si="0"/>
        <v>959396947.29999995</v>
      </c>
      <c r="U19" s="59"/>
      <c r="V19" s="59"/>
      <c r="W19" s="59"/>
      <c r="X19" s="59"/>
    </row>
    <row r="20" spans="1:24" s="836" customFormat="1" ht="113.25" customHeight="1">
      <c r="A20" s="887">
        <f>'Phương án chi tiết'!A1381</f>
        <v>15</v>
      </c>
      <c r="B20" s="1325" t="str">
        <f>'Phương án chi tiết'!C1381</f>
        <v>Lường Văn Quý vợ Quàng Thị Minh (và đồng thừa kế theo quy định của pháp luật)</v>
      </c>
      <c r="C20" s="1327" t="str">
        <f>'Phương án chi tiết'!S1381</f>
        <v>1, 2</v>
      </c>
      <c r="D20" s="1329" t="str">
        <f>'Phương án chi tiết'!T1381</f>
        <v>472, 182, 200, 210, 213, 276, 403, 413, 420, 439</v>
      </c>
      <c r="E20" s="1328">
        <f>'Phương án chi tiết'!U1381</f>
        <v>5918.5</v>
      </c>
      <c r="F20" s="1328">
        <f>'Phương án chi tiết'!V1381</f>
        <v>3438.9999999999995</v>
      </c>
      <c r="G20" s="1328">
        <f>'Phương án chi tiết'!W1381</f>
        <v>1929.7</v>
      </c>
      <c r="H20" s="1328">
        <f>'Phương án chi tiết'!X1381</f>
        <v>82.7</v>
      </c>
      <c r="I20" s="1328">
        <f>'Phương án chi tiết'!Y1381</f>
        <v>885.4</v>
      </c>
      <c r="J20" s="1328"/>
      <c r="K20" s="1328">
        <f>'Phương án chi tiết'!AA1381</f>
        <v>541.20000000000005</v>
      </c>
      <c r="L20" s="1328"/>
      <c r="M20" s="1328"/>
      <c r="N20" s="1326">
        <f>'Phương án chi tiết'!AD1381</f>
        <v>193160300</v>
      </c>
      <c r="O20" s="1326">
        <f>'Phương án chi tiết'!AE1381</f>
        <v>32899640</v>
      </c>
      <c r="P20" s="1326">
        <f>'Phương án chi tiết'!AF1381</f>
        <v>8659200</v>
      </c>
      <c r="Q20" s="1326">
        <f>'Phương án chi tiết'!AG1381</f>
        <v>0</v>
      </c>
      <c r="R20" s="1326">
        <f>'Phương án chi tiết'!AH1381</f>
        <v>560754000</v>
      </c>
      <c r="S20" s="1326"/>
      <c r="T20" s="1330">
        <f t="shared" si="0"/>
        <v>795473140</v>
      </c>
      <c r="U20" s="59"/>
      <c r="V20" s="59"/>
      <c r="W20" s="59"/>
      <c r="X20" s="59"/>
    </row>
    <row r="21" spans="1:24" ht="113.25" customHeight="1">
      <c r="A21" s="887">
        <f>'Phương án chi tiết'!A1423</f>
        <v>16</v>
      </c>
      <c r="B21" s="1324" t="str">
        <f>'Phương án chi tiết'!C1423</f>
        <v>Lường Văn Chỉnh ( vợ Lò Thị Thinh)</v>
      </c>
      <c r="C21" s="1327" t="str">
        <f>'Phương án chi tiết'!S1423</f>
        <v>1, 2</v>
      </c>
      <c r="D21" s="1331" t="str">
        <f>'Phương án chi tiết'!T1423</f>
        <v>487, 366, 377, 378, 381, 491</v>
      </c>
      <c r="E21" s="1328">
        <f>'Phương án chi tiết'!U1423</f>
        <v>1792.8</v>
      </c>
      <c r="F21" s="1328">
        <f>'Phương án chi tiết'!V1423</f>
        <v>1510</v>
      </c>
      <c r="G21" s="1328">
        <f>'Phương án chi tiết'!W1423</f>
        <v>1212.4000000000001</v>
      </c>
      <c r="H21" s="1328">
        <f>'Phương án chi tiết'!X1423</f>
        <v>0</v>
      </c>
      <c r="I21" s="1328">
        <f>'Phương án chi tiết'!Y1423</f>
        <v>38.700000000000003</v>
      </c>
      <c r="J21" s="1328">
        <f>'Phương án chi tiết'!Z1423</f>
        <v>0</v>
      </c>
      <c r="K21" s="1328">
        <f>'Phương án chi tiết'!Z1427</f>
        <v>0</v>
      </c>
      <c r="L21" s="1328">
        <f>'Phương án chi tiết'!AC1423</f>
        <v>258.89999999999998</v>
      </c>
      <c r="M21" s="1328"/>
      <c r="N21" s="1326">
        <f>'Phương án chi tiết'!AD1423</f>
        <v>177687800</v>
      </c>
      <c r="O21" s="1326">
        <f>'Phương án chi tiết'!AE1423</f>
        <v>554313974.7647059</v>
      </c>
      <c r="P21" s="1326">
        <f>'Phương án chi tiết'!AF1423</f>
        <v>52775943</v>
      </c>
      <c r="Q21" s="1326">
        <f>'Phương án chi tiết'!AG1423</f>
        <v>5000000</v>
      </c>
      <c r="R21" s="1326">
        <f>'Phương án chi tiết'!AH1423</f>
        <v>263929500</v>
      </c>
      <c r="S21" s="1326"/>
      <c r="T21" s="1330">
        <f t="shared" si="0"/>
        <v>1053707217.7647059</v>
      </c>
      <c r="U21" s="60"/>
      <c r="V21" s="60"/>
      <c r="W21" s="60"/>
      <c r="X21" s="60"/>
    </row>
    <row r="22" spans="1:24" ht="113.25" customHeight="1">
      <c r="A22" s="887">
        <f>'Phương án chi tiết'!A1506</f>
        <v>17</v>
      </c>
      <c r="B22" s="1324" t="str">
        <f>'Phương án chi tiết'!C1506</f>
        <v>Lò Thị Inh</v>
      </c>
      <c r="C22" s="1329">
        <f>'Phương án chi tiết'!S1506</f>
        <v>1</v>
      </c>
      <c r="D22" s="1329" t="str">
        <f>'Phương án chi tiết'!T1506</f>
        <v>441, 125, 443, 35, 196</v>
      </c>
      <c r="E22" s="1328">
        <f>'Phương án chi tiết'!U1506</f>
        <v>1889.9</v>
      </c>
      <c r="F22" s="1328">
        <f>'Phương án chi tiết'!V1506</f>
        <v>1438.9</v>
      </c>
      <c r="G22" s="1328">
        <f>'Phương án chi tiết'!W1506</f>
        <v>481.20000000000005</v>
      </c>
      <c r="H22" s="1328">
        <f>'Phương án chi tiết'!X1506</f>
        <v>0</v>
      </c>
      <c r="I22" s="1328">
        <f>'Phương án chi tiết'!Y1506</f>
        <v>728.5</v>
      </c>
      <c r="J22" s="1328">
        <f>'Phương án chi tiết'!Z1506</f>
        <v>0</v>
      </c>
      <c r="K22" s="1328">
        <f>'Phương án chi tiết'!AA1506</f>
        <v>0</v>
      </c>
      <c r="L22" s="1328"/>
      <c r="M22" s="1328">
        <f>'Phương án chi tiết'!AB1506</f>
        <v>229.2</v>
      </c>
      <c r="N22" s="1326">
        <f>'Phương án chi tiết'!AD1506</f>
        <v>72726400</v>
      </c>
      <c r="O22" s="1326"/>
      <c r="P22" s="1326"/>
      <c r="Q22" s="1326"/>
      <c r="R22" s="1326">
        <f>'Phương án chi tiết'!AH1506</f>
        <v>156760100</v>
      </c>
      <c r="S22" s="1326"/>
      <c r="T22" s="1330">
        <f t="shared" si="0"/>
        <v>229486500</v>
      </c>
      <c r="U22" s="60"/>
      <c r="V22" s="60"/>
      <c r="W22" s="60"/>
      <c r="X22" s="60"/>
    </row>
    <row r="23" spans="1:24" ht="113.25" customHeight="1">
      <c r="A23" s="887">
        <f>'Phương án chi tiết'!A1524</f>
        <v>18</v>
      </c>
      <c r="B23" s="1324" t="str">
        <f>'Phương án chi tiết'!C1524</f>
        <v>Lường Hoàng Ngân</v>
      </c>
      <c r="C23" s="1329" t="str">
        <f>'Phương án chi tiết'!S1524</f>
        <v>1, 2</v>
      </c>
      <c r="D23" s="1329" t="str">
        <f>'Phương án chi tiết'!T1524</f>
        <v>109, 135, 439, 442, 512, 65, 433, 246</v>
      </c>
      <c r="E23" s="1328">
        <f>'Phương án chi tiết'!U1524</f>
        <v>3242.2999999999997</v>
      </c>
      <c r="F23" s="1328">
        <f>'Phương án chi tiết'!V1524</f>
        <v>3242.2999999999997</v>
      </c>
      <c r="G23" s="1328">
        <f>'Phương án chi tiết'!W1524</f>
        <v>1195.4000000000001</v>
      </c>
      <c r="H23" s="1328">
        <f>'Phương án chi tiết'!X1524</f>
        <v>1842.4999999999998</v>
      </c>
      <c r="I23" s="1328"/>
      <c r="J23" s="1328"/>
      <c r="K23" s="1328">
        <f>'Phương án chi tiết'!AA1524</f>
        <v>204.4</v>
      </c>
      <c r="L23" s="1328"/>
      <c r="M23" s="1328"/>
      <c r="N23" s="1326">
        <f>'Phương án chi tiết'!AD1524</f>
        <v>188125100</v>
      </c>
      <c r="O23" s="1326"/>
      <c r="P23" s="1326">
        <f>'Phương án chi tiết'!AF1524</f>
        <v>3270400</v>
      </c>
      <c r="Q23" s="1326"/>
      <c r="R23" s="1326">
        <f>'Phương án chi tiết'!AH1524</f>
        <v>554008900</v>
      </c>
      <c r="S23" s="1326">
        <f>'Phương án chi tiết'!AJ1524</f>
        <v>23511000</v>
      </c>
      <c r="T23" s="1330">
        <f t="shared" si="0"/>
        <v>768915400</v>
      </c>
      <c r="U23" s="60"/>
      <c r="V23" s="60"/>
      <c r="W23" s="60"/>
      <c r="X23" s="60"/>
    </row>
    <row r="24" spans="1:24" ht="113.25" customHeight="1">
      <c r="A24" s="887">
        <f>'Phương án chi tiết'!A1551</f>
        <v>19</v>
      </c>
      <c r="B24" s="1324" t="str">
        <f>'Phương án chi tiết'!C1551</f>
        <v>Lò Văn Toàn</v>
      </c>
      <c r="C24" s="1329">
        <f>'Phương án chi tiết'!S1551</f>
        <v>2</v>
      </c>
      <c r="D24" s="1329" t="str">
        <f>'Phương án chi tiết'!T1551</f>
        <v>304, 499</v>
      </c>
      <c r="E24" s="1328">
        <f>'Phương án chi tiết'!U1551</f>
        <v>307</v>
      </c>
      <c r="F24" s="1328">
        <f>'Phương án chi tiết'!V1551</f>
        <v>307</v>
      </c>
      <c r="G24" s="1328"/>
      <c r="H24" s="1328"/>
      <c r="I24" s="1328">
        <f>'Phương án chi tiết'!Y1551</f>
        <v>70.8</v>
      </c>
      <c r="J24" s="1328"/>
      <c r="K24" s="1328">
        <f>'Phương án chi tiết'!AA1551</f>
        <v>236.2</v>
      </c>
      <c r="L24" s="1328"/>
      <c r="M24" s="1328"/>
      <c r="N24" s="1326">
        <f>'Phương án chi tiết'!AD1551</f>
        <v>17476400</v>
      </c>
      <c r="O24" s="1326"/>
      <c r="P24" s="1326">
        <f>'Phương án chi tiết'!AF1551</f>
        <v>3779200</v>
      </c>
      <c r="Q24" s="1326"/>
      <c r="R24" s="1326">
        <f>'Phương án chi tiết'!AH1551</f>
        <v>42725400</v>
      </c>
      <c r="S24" s="1326"/>
      <c r="T24" s="1330">
        <f>SUM(N24:S24)</f>
        <v>63981000</v>
      </c>
      <c r="U24" s="60"/>
      <c r="V24" s="60"/>
      <c r="W24" s="60"/>
      <c r="X24" s="60"/>
    </row>
    <row r="25" spans="1:24" ht="113.25" customHeight="1">
      <c r="A25" s="887">
        <f>'Phương án chi tiết'!A1564</f>
        <v>20</v>
      </c>
      <c r="B25" s="1324" t="str">
        <f>'Phương án chi tiết'!C1564</f>
        <v>Tòng Văn Đông</v>
      </c>
      <c r="C25" s="1329" t="str">
        <f>'Phương án chi tiết'!S1564</f>
        <v>1, 2</v>
      </c>
      <c r="D25" s="1329" t="str">
        <f>'Phương án chi tiết'!T1564</f>
        <v>196, 11, 365, 257, 240, 356</v>
      </c>
      <c r="E25" s="1328">
        <f>'Phương án chi tiết'!U1564</f>
        <v>2709.7</v>
      </c>
      <c r="F25" s="1328">
        <f>'Phương án chi tiết'!V1564</f>
        <v>2709.7</v>
      </c>
      <c r="G25" s="1328">
        <f>'Phương án chi tiết'!W1564</f>
        <v>932.9</v>
      </c>
      <c r="H25" s="1328">
        <f>'Phương án chi tiết'!X1564</f>
        <v>353.3</v>
      </c>
      <c r="I25" s="1328">
        <f>'Phương án chi tiết'!Y1564</f>
        <v>186.2</v>
      </c>
      <c r="J25" s="1328">
        <f>'Phương án chi tiết'!Z1564</f>
        <v>0</v>
      </c>
      <c r="K25" s="1328">
        <f>'Phương án chi tiết'!AA1564</f>
        <v>1237.3</v>
      </c>
      <c r="L25" s="1328"/>
      <c r="M25" s="1328"/>
      <c r="N25" s="1326">
        <f>'Phương án chi tiết'!AD1564</f>
        <v>161431900</v>
      </c>
      <c r="O25" s="1326"/>
      <c r="P25" s="1326">
        <f>'Phương án chi tiết'!AF1564</f>
        <v>19796800</v>
      </c>
      <c r="Q25" s="1326"/>
      <c r="R25" s="1326">
        <f>'Phương án chi tiết'!AH1564</f>
        <v>470291000</v>
      </c>
      <c r="S25" s="1326">
        <f>'Phương án chi tiết'!AJ1564</f>
        <v>24024400</v>
      </c>
      <c r="T25" s="1330">
        <f>SUM(N25:S25)</f>
        <v>675544100</v>
      </c>
      <c r="U25" s="60"/>
      <c r="V25" s="60"/>
      <c r="W25" s="60"/>
      <c r="X25" s="60"/>
    </row>
    <row r="26" spans="1:24" ht="77.25" customHeight="1">
      <c r="A26" s="1637" t="s">
        <v>13</v>
      </c>
      <c r="B26" s="1638"/>
      <c r="C26" s="886"/>
      <c r="D26" s="886"/>
      <c r="E26" s="1320">
        <f t="shared" ref="E26:M26" si="1">SUM(E6:E25)</f>
        <v>65277.999999999993</v>
      </c>
      <c r="F26" s="1320">
        <f t="shared" si="1"/>
        <v>57361.499999999993</v>
      </c>
      <c r="G26" s="1320">
        <f t="shared" si="1"/>
        <v>19082.200000000008</v>
      </c>
      <c r="H26" s="1321">
        <f t="shared" si="1"/>
        <v>10678.699999999999</v>
      </c>
      <c r="I26" s="1321">
        <f t="shared" si="1"/>
        <v>5461.6</v>
      </c>
      <c r="J26" s="1321">
        <f t="shared" si="1"/>
        <v>2358.9999999999995</v>
      </c>
      <c r="K26" s="1321">
        <f t="shared" si="1"/>
        <v>5737.2</v>
      </c>
      <c r="L26" s="1320">
        <f t="shared" si="1"/>
        <v>4496.2999999999993</v>
      </c>
      <c r="M26" s="1320">
        <f t="shared" si="1"/>
        <v>9546.5000000000018</v>
      </c>
      <c r="N26" s="1322">
        <f t="shared" ref="N26:T26" si="2">SUM(N6:N25)</f>
        <v>4692173300</v>
      </c>
      <c r="O26" s="1322">
        <f t="shared" si="2"/>
        <v>5825928210.3695002</v>
      </c>
      <c r="P26" s="1322">
        <f t="shared" si="2"/>
        <v>1071625688.3069999</v>
      </c>
      <c r="Q26" s="1322">
        <f t="shared" si="2"/>
        <v>74500000</v>
      </c>
      <c r="R26" s="1322">
        <f t="shared" si="2"/>
        <v>7520337600</v>
      </c>
      <c r="S26" s="1322">
        <f t="shared" si="2"/>
        <v>157498200</v>
      </c>
      <c r="T26" s="1322">
        <f t="shared" si="2"/>
        <v>19342062998.676502</v>
      </c>
      <c r="U26" s="52"/>
      <c r="V26" s="52"/>
      <c r="W26" s="52"/>
      <c r="X26" s="52"/>
    </row>
    <row r="27" spans="1:24" ht="15.5">
      <c r="A27" s="61"/>
      <c r="B27" s="224"/>
      <c r="C27" s="285"/>
      <c r="D27" s="285"/>
      <c r="E27" s="62"/>
      <c r="F27" s="63"/>
      <c r="G27" s="1639"/>
      <c r="H27" s="1640"/>
      <c r="I27" s="1640"/>
      <c r="J27" s="1640"/>
      <c r="K27" s="1640"/>
      <c r="L27" s="1640"/>
      <c r="M27" s="1640"/>
      <c r="N27" s="64"/>
      <c r="O27" s="65"/>
      <c r="P27" s="66"/>
      <c r="Q27" s="66"/>
      <c r="R27" s="66"/>
      <c r="S27" s="66"/>
      <c r="T27" s="67"/>
      <c r="U27" s="52"/>
      <c r="V27" s="52"/>
      <c r="W27" s="52"/>
      <c r="X27" s="52"/>
    </row>
    <row r="28" spans="1:24" ht="15.5">
      <c r="A28" s="61"/>
      <c r="B28" s="225"/>
      <c r="C28" s="285"/>
      <c r="D28" s="285"/>
      <c r="E28" s="62"/>
      <c r="F28" s="63"/>
      <c r="G28" s="1661"/>
      <c r="H28" s="1642"/>
      <c r="I28" s="1642"/>
      <c r="J28" s="1642"/>
      <c r="K28" s="1642"/>
      <c r="L28" s="1642"/>
      <c r="M28" s="1642"/>
      <c r="N28" s="64"/>
      <c r="O28" s="65"/>
      <c r="P28" s="66"/>
      <c r="Q28" s="66"/>
      <c r="R28" s="66"/>
      <c r="S28" s="66"/>
      <c r="T28" s="67"/>
      <c r="U28" s="54"/>
      <c r="V28" s="54"/>
      <c r="W28" s="54"/>
      <c r="X28" s="54"/>
    </row>
    <row r="29" spans="1:24" ht="15.5">
      <c r="A29" s="69"/>
      <c r="B29" s="226"/>
      <c r="C29" s="286"/>
      <c r="D29" s="286"/>
      <c r="E29" s="70"/>
      <c r="F29" s="63"/>
      <c r="G29" s="1662"/>
      <c r="H29" s="1642"/>
      <c r="I29" s="1642"/>
      <c r="J29" s="1642"/>
      <c r="K29" s="1642"/>
      <c r="L29" s="1642"/>
      <c r="M29" s="1642"/>
      <c r="N29" s="64"/>
      <c r="O29" s="65"/>
      <c r="P29" s="66"/>
      <c r="Q29" s="66"/>
      <c r="R29" s="66"/>
      <c r="S29" s="66"/>
      <c r="T29" s="67"/>
      <c r="U29" s="52"/>
      <c r="V29" s="52"/>
      <c r="W29" s="52"/>
      <c r="X29" s="52"/>
    </row>
    <row r="30" spans="1:24" ht="15.5">
      <c r="A30" s="69"/>
      <c r="B30" s="220"/>
      <c r="C30" s="287"/>
      <c r="D30" s="287"/>
      <c r="E30" s="72"/>
      <c r="F30" s="63"/>
      <c r="G30" s="1644"/>
      <c r="H30" s="1642"/>
      <c r="I30" s="1642"/>
      <c r="J30" s="1642"/>
      <c r="K30" s="1642"/>
      <c r="L30" s="1642"/>
      <c r="M30" s="1642"/>
      <c r="N30" s="64"/>
      <c r="O30" s="65"/>
      <c r="P30" s="66"/>
      <c r="Q30" s="66"/>
      <c r="R30" s="66"/>
      <c r="S30" s="66"/>
      <c r="T30" s="67"/>
      <c r="U30" s="52"/>
      <c r="V30" s="52"/>
      <c r="W30" s="52"/>
      <c r="X30" s="52"/>
    </row>
    <row r="31" spans="1:24" ht="15.5">
      <c r="A31" s="69"/>
      <c r="B31" s="220"/>
      <c r="C31" s="287"/>
      <c r="D31" s="287"/>
      <c r="E31" s="63"/>
      <c r="F31" s="63"/>
      <c r="G31" s="1644"/>
      <c r="H31" s="1642"/>
      <c r="I31" s="1642"/>
      <c r="J31" s="1642"/>
      <c r="K31" s="1642"/>
      <c r="L31" s="1642"/>
      <c r="M31" s="1642"/>
      <c r="N31" s="64"/>
      <c r="O31" s="65"/>
      <c r="P31" s="66"/>
      <c r="Q31" s="66"/>
      <c r="R31" s="66"/>
      <c r="S31" s="66"/>
      <c r="T31" s="67"/>
      <c r="U31" s="52"/>
      <c r="V31" s="52"/>
      <c r="W31" s="52"/>
      <c r="X31" s="52"/>
    </row>
    <row r="32" spans="1:24" ht="15.5">
      <c r="A32" s="69"/>
      <c r="B32" s="220"/>
      <c r="C32" s="287"/>
      <c r="D32" s="287"/>
      <c r="E32" s="63"/>
      <c r="F32" s="63"/>
      <c r="G32" s="1644"/>
      <c r="H32" s="1642"/>
      <c r="I32" s="1642"/>
      <c r="J32" s="1642"/>
      <c r="K32" s="1642"/>
      <c r="L32" s="1642"/>
      <c r="M32" s="1642"/>
      <c r="N32" s="64"/>
      <c r="O32" s="65"/>
      <c r="P32" s="66"/>
      <c r="Q32" s="66"/>
      <c r="R32" s="66"/>
      <c r="S32" s="66"/>
      <c r="T32" s="67"/>
      <c r="U32" s="52"/>
      <c r="V32" s="52"/>
      <c r="W32" s="52"/>
      <c r="X32" s="52"/>
    </row>
    <row r="33" spans="1:24" ht="15.5">
      <c r="A33" s="69"/>
      <c r="B33" s="220"/>
      <c r="C33" s="287"/>
      <c r="D33" s="287"/>
      <c r="E33" s="72"/>
      <c r="F33" s="63"/>
      <c r="G33" s="1644"/>
      <c r="H33" s="1642"/>
      <c r="I33" s="1642"/>
      <c r="J33" s="1642"/>
      <c r="K33" s="1642"/>
      <c r="L33" s="1642"/>
      <c r="M33" s="1642"/>
      <c r="N33" s="64"/>
      <c r="O33" s="65"/>
      <c r="P33" s="66"/>
      <c r="Q33" s="66"/>
      <c r="R33" s="66"/>
      <c r="S33" s="66"/>
      <c r="T33" s="67"/>
      <c r="U33" s="52"/>
      <c r="V33" s="52"/>
      <c r="W33" s="52"/>
      <c r="X33" s="52"/>
    </row>
    <row r="34" spans="1:24" ht="15.5">
      <c r="A34" s="69"/>
      <c r="B34" s="73"/>
      <c r="C34" s="287"/>
      <c r="D34" s="287"/>
      <c r="E34" s="72"/>
      <c r="F34" s="63"/>
      <c r="G34" s="1644"/>
      <c r="H34" s="1642"/>
      <c r="I34" s="1642"/>
      <c r="J34" s="1642"/>
      <c r="K34" s="1642"/>
      <c r="L34" s="1642"/>
      <c r="M34" s="1642"/>
      <c r="N34" s="64"/>
      <c r="O34" s="65"/>
      <c r="P34" s="66"/>
      <c r="Q34" s="66"/>
      <c r="R34" s="66"/>
      <c r="S34" s="66"/>
      <c r="T34" s="67"/>
      <c r="U34" s="52"/>
      <c r="V34" s="52"/>
      <c r="W34" s="52"/>
      <c r="X34" s="52"/>
    </row>
    <row r="35" spans="1:24" ht="15.5">
      <c r="A35" s="74"/>
      <c r="B35" s="1641"/>
      <c r="C35" s="1641"/>
      <c r="D35" s="1641"/>
      <c r="E35" s="1642"/>
      <c r="F35" s="1642"/>
      <c r="G35" s="1643"/>
      <c r="H35" s="1642"/>
      <c r="I35" s="1642"/>
      <c r="J35" s="1642"/>
      <c r="K35" s="1642"/>
      <c r="L35" s="1642"/>
      <c r="M35" s="1642"/>
      <c r="N35" s="75"/>
      <c r="O35" s="76"/>
      <c r="P35" s="77"/>
      <c r="Q35" s="77"/>
      <c r="R35" s="77"/>
      <c r="S35" s="77"/>
      <c r="T35" s="78"/>
      <c r="U35" s="79"/>
      <c r="V35" s="80"/>
      <c r="W35" s="80"/>
      <c r="X35" s="81"/>
    </row>
    <row r="36" spans="1:24" ht="15.5">
      <c r="A36" s="74"/>
      <c r="B36" s="227"/>
      <c r="C36" s="288"/>
      <c r="D36" s="288"/>
      <c r="E36" s="82"/>
      <c r="F36" s="83"/>
      <c r="G36" s="1643"/>
      <c r="H36" s="1642"/>
      <c r="I36" s="1642"/>
      <c r="J36" s="1642"/>
      <c r="K36" s="1642"/>
      <c r="L36" s="1642"/>
      <c r="M36" s="1642"/>
      <c r="N36" s="79"/>
      <c r="O36" s="84"/>
      <c r="P36" s="77"/>
      <c r="Q36" s="77"/>
      <c r="R36" s="77"/>
      <c r="S36" s="77"/>
      <c r="T36" s="78"/>
      <c r="U36" s="79"/>
      <c r="V36" s="80"/>
      <c r="W36" s="80"/>
      <c r="X36" s="81"/>
    </row>
    <row r="37" spans="1:24" ht="15.5">
      <c r="A37" s="61"/>
      <c r="B37" s="226"/>
      <c r="C37" s="286"/>
      <c r="D37" s="286"/>
      <c r="E37" s="70"/>
      <c r="F37" s="63"/>
      <c r="G37" s="1663"/>
      <c r="H37" s="1642"/>
      <c r="I37" s="1642"/>
      <c r="J37" s="1642"/>
      <c r="K37" s="1642"/>
      <c r="L37" s="1642"/>
      <c r="M37" s="1642"/>
      <c r="N37" s="85"/>
      <c r="O37" s="86"/>
      <c r="P37" s="87"/>
      <c r="Q37" s="87"/>
      <c r="R37" s="87"/>
      <c r="S37" s="87"/>
      <c r="T37" s="67"/>
      <c r="U37" s="85"/>
      <c r="V37" s="87"/>
      <c r="W37" s="87"/>
      <c r="X37" s="88"/>
    </row>
    <row r="38" spans="1:24" ht="15.5">
      <c r="A38" s="69"/>
      <c r="B38" s="220"/>
      <c r="C38" s="287"/>
      <c r="D38" s="287"/>
      <c r="E38" s="72"/>
      <c r="F38" s="63"/>
      <c r="G38" s="1660"/>
      <c r="H38" s="1642"/>
      <c r="I38" s="1642"/>
      <c r="J38" s="1642"/>
      <c r="K38" s="1642"/>
      <c r="L38" s="1642"/>
      <c r="M38" s="1642"/>
      <c r="N38" s="64"/>
      <c r="O38" s="65"/>
      <c r="P38" s="66"/>
      <c r="Q38" s="66"/>
      <c r="R38" s="66"/>
      <c r="S38" s="66"/>
      <c r="T38" s="67"/>
      <c r="U38" s="64"/>
      <c r="V38" s="66"/>
      <c r="W38" s="66"/>
      <c r="X38" s="88"/>
    </row>
    <row r="39" spans="1:24" ht="15.5">
      <c r="A39" s="69"/>
      <c r="B39" s="220"/>
      <c r="C39" s="287"/>
      <c r="D39" s="287"/>
      <c r="E39" s="63"/>
      <c r="F39" s="63"/>
      <c r="G39" s="1660"/>
      <c r="H39" s="1642"/>
      <c r="I39" s="1642"/>
      <c r="J39" s="1642"/>
      <c r="K39" s="1642"/>
      <c r="L39" s="1642"/>
      <c r="M39" s="1642"/>
      <c r="N39" s="64"/>
      <c r="O39" s="65"/>
      <c r="P39" s="66"/>
      <c r="Q39" s="66"/>
      <c r="R39" s="66"/>
      <c r="S39" s="66"/>
      <c r="T39" s="67"/>
      <c r="U39" s="64"/>
      <c r="V39" s="66"/>
      <c r="W39" s="66"/>
      <c r="X39" s="88"/>
    </row>
    <row r="40" spans="1:24" ht="15.5">
      <c r="A40" s="69"/>
      <c r="B40" s="220"/>
      <c r="C40" s="287"/>
      <c r="D40" s="287"/>
      <c r="E40" s="63"/>
      <c r="F40" s="63"/>
      <c r="G40" s="1660"/>
      <c r="H40" s="1642"/>
      <c r="I40" s="1642"/>
      <c r="J40" s="1642"/>
      <c r="K40" s="1642"/>
      <c r="L40" s="1642"/>
      <c r="M40" s="1642"/>
      <c r="N40" s="64"/>
      <c r="O40" s="65"/>
      <c r="P40" s="66"/>
      <c r="Q40" s="66"/>
      <c r="R40" s="66"/>
      <c r="S40" s="66"/>
      <c r="T40" s="67"/>
      <c r="U40" s="64"/>
      <c r="V40" s="66"/>
      <c r="W40" s="66"/>
      <c r="X40" s="88"/>
    </row>
    <row r="41" spans="1:24" ht="15.5">
      <c r="A41" s="69"/>
      <c r="B41" s="220"/>
      <c r="C41" s="287"/>
      <c r="D41" s="287"/>
      <c r="E41" s="63"/>
      <c r="F41" s="63"/>
      <c r="G41" s="1660"/>
      <c r="H41" s="1642"/>
      <c r="I41" s="1642"/>
      <c r="J41" s="1642"/>
      <c r="K41" s="1642"/>
      <c r="L41" s="1642"/>
      <c r="M41" s="1642"/>
      <c r="N41" s="64"/>
      <c r="O41" s="65"/>
      <c r="P41" s="66"/>
      <c r="Q41" s="66"/>
      <c r="R41" s="66"/>
      <c r="S41" s="66"/>
      <c r="T41" s="67"/>
      <c r="U41" s="64"/>
      <c r="V41" s="66"/>
      <c r="W41" s="66"/>
      <c r="X41" s="88"/>
    </row>
    <row r="42" spans="1:24" ht="15.75" customHeight="1">
      <c r="A42" s="69"/>
      <c r="B42" s="220"/>
      <c r="C42" s="287"/>
      <c r="D42" s="287"/>
      <c r="E42" s="63"/>
      <c r="F42" s="63"/>
      <c r="G42" s="1660"/>
      <c r="H42" s="1642"/>
      <c r="I42" s="1642"/>
      <c r="J42" s="1642"/>
      <c r="K42" s="1642"/>
      <c r="L42" s="1642"/>
      <c r="M42" s="1642"/>
      <c r="N42" s="64"/>
      <c r="O42" s="65"/>
      <c r="P42" s="66"/>
      <c r="Q42" s="66"/>
      <c r="R42" s="66"/>
      <c r="S42" s="66"/>
      <c r="T42" s="67"/>
      <c r="U42" s="64"/>
      <c r="V42" s="66"/>
      <c r="W42" s="66"/>
      <c r="X42" s="88"/>
    </row>
    <row r="43" spans="1:24" ht="15.5">
      <c r="A43" s="91"/>
      <c r="B43" s="222"/>
      <c r="C43" s="222"/>
      <c r="D43" s="222"/>
      <c r="E43" s="92"/>
      <c r="F43" s="63"/>
      <c r="G43" s="1659"/>
      <c r="H43" s="1642"/>
      <c r="I43" s="1642"/>
      <c r="J43" s="1642"/>
      <c r="K43" s="1642"/>
      <c r="L43" s="1642"/>
      <c r="M43" s="1642"/>
      <c r="N43" s="2"/>
      <c r="O43" s="52"/>
      <c r="P43" s="89"/>
      <c r="Q43" s="221"/>
      <c r="R43" s="221"/>
      <c r="S43" s="230"/>
      <c r="T43" s="67"/>
      <c r="U43" s="2"/>
      <c r="V43" s="2"/>
      <c r="W43" s="2"/>
      <c r="X43" s="2"/>
    </row>
    <row r="44" spans="1:24" ht="15.75" customHeight="1">
      <c r="A44" s="91"/>
      <c r="B44" s="223"/>
      <c r="C44" s="223"/>
      <c r="D44" s="223"/>
      <c r="E44" s="92"/>
      <c r="F44" s="63"/>
      <c r="G44" s="93"/>
      <c r="H44" s="93"/>
      <c r="I44" s="93"/>
      <c r="J44" s="93"/>
      <c r="K44" s="93"/>
      <c r="L44" s="94"/>
      <c r="M44" s="93"/>
      <c r="N44" s="2"/>
      <c r="O44" s="52"/>
      <c r="P44" s="89"/>
      <c r="Q44" s="221"/>
      <c r="R44" s="221"/>
      <c r="S44" s="230"/>
      <c r="T44" s="67"/>
      <c r="U44" s="2"/>
      <c r="V44" s="2"/>
      <c r="W44" s="2"/>
      <c r="X44" s="2"/>
    </row>
    <row r="45" spans="1:24" ht="15.5">
      <c r="A45" s="95"/>
      <c r="B45" s="84"/>
      <c r="C45" s="289"/>
      <c r="D45" s="289"/>
      <c r="E45" s="80"/>
      <c r="F45" s="68"/>
      <c r="G45" s="1659"/>
      <c r="H45" s="1642"/>
      <c r="I45" s="1642"/>
      <c r="J45" s="1642"/>
      <c r="K45" s="1642"/>
      <c r="L45" s="1642"/>
      <c r="M45" s="1642"/>
      <c r="N45" s="93"/>
      <c r="O45" s="94"/>
      <c r="P45" s="93"/>
      <c r="Q45" s="218"/>
      <c r="R45" s="218"/>
      <c r="S45" s="231"/>
      <c r="T45" s="94"/>
      <c r="U45" s="50"/>
      <c r="V45" s="50"/>
      <c r="W45" s="50"/>
      <c r="X45" s="50"/>
    </row>
    <row r="46" spans="1:24" ht="15.5">
      <c r="A46" s="91"/>
      <c r="B46" s="76"/>
      <c r="C46" s="290"/>
      <c r="D46" s="290"/>
      <c r="E46" s="77"/>
      <c r="F46" s="71"/>
      <c r="G46" s="90"/>
      <c r="H46" s="90"/>
      <c r="I46" s="90"/>
      <c r="J46" s="90"/>
      <c r="K46" s="90"/>
      <c r="L46" s="96"/>
      <c r="M46" s="90"/>
      <c r="N46" s="89"/>
      <c r="O46" s="97"/>
      <c r="P46" s="89"/>
      <c r="Q46" s="221"/>
      <c r="R46" s="221"/>
      <c r="S46" s="230"/>
      <c r="T46" s="94"/>
      <c r="U46" s="2"/>
      <c r="V46" s="2"/>
      <c r="W46" s="2"/>
      <c r="X46" s="2"/>
    </row>
    <row r="47" spans="1:24" ht="15.5">
      <c r="A47" s="91"/>
      <c r="B47" s="76"/>
      <c r="C47" s="290"/>
      <c r="D47" s="290"/>
      <c r="E47" s="77"/>
      <c r="F47" s="71"/>
      <c r="G47" s="90"/>
      <c r="H47" s="90"/>
      <c r="I47" s="90"/>
      <c r="J47" s="90"/>
      <c r="K47" s="90"/>
      <c r="L47" s="96"/>
      <c r="M47" s="90"/>
      <c r="N47" s="89"/>
      <c r="O47" s="97"/>
      <c r="P47" s="89"/>
      <c r="Q47" s="221"/>
      <c r="R47" s="221"/>
      <c r="S47" s="230"/>
      <c r="T47" s="94"/>
      <c r="U47" s="2"/>
      <c r="V47" s="2"/>
      <c r="W47" s="2"/>
      <c r="X47" s="2"/>
    </row>
    <row r="48" spans="1:24" ht="15.5">
      <c r="A48" s="91"/>
      <c r="B48" s="76"/>
      <c r="C48" s="290"/>
      <c r="D48" s="290"/>
      <c r="E48" s="77"/>
      <c r="F48" s="71"/>
      <c r="G48" s="90"/>
      <c r="H48" s="90"/>
      <c r="I48" s="90"/>
      <c r="J48" s="90"/>
      <c r="K48" s="90"/>
      <c r="L48" s="96"/>
      <c r="M48" s="90"/>
      <c r="N48" s="89"/>
      <c r="O48" s="97"/>
      <c r="P48" s="89"/>
      <c r="Q48" s="221"/>
      <c r="R48" s="221"/>
      <c r="S48" s="230"/>
      <c r="T48" s="94"/>
      <c r="U48" s="2"/>
      <c r="V48" s="2"/>
      <c r="W48" s="2"/>
      <c r="X48" s="2"/>
    </row>
    <row r="49" spans="1:24" ht="15.5">
      <c r="A49" s="91"/>
      <c r="B49" s="76"/>
      <c r="C49" s="290"/>
      <c r="D49" s="290"/>
      <c r="E49" s="77"/>
      <c r="F49" s="71"/>
      <c r="G49" s="90"/>
      <c r="H49" s="5"/>
      <c r="I49" s="5"/>
      <c r="J49" s="5"/>
      <c r="K49" s="90"/>
      <c r="L49" s="96"/>
      <c r="M49" s="90"/>
      <c r="N49" s="89"/>
      <c r="O49" s="97"/>
      <c r="P49" s="89"/>
      <c r="Q49" s="221"/>
      <c r="R49" s="221"/>
      <c r="S49" s="230"/>
      <c r="T49" s="94"/>
      <c r="U49" s="2"/>
      <c r="V49" s="2"/>
      <c r="W49" s="2"/>
      <c r="X49" s="2"/>
    </row>
    <row r="50" spans="1:24" ht="15.5">
      <c r="A50" s="91"/>
      <c r="B50" s="76"/>
      <c r="C50" s="290"/>
      <c r="D50" s="290"/>
      <c r="E50" s="77"/>
      <c r="F50" s="71"/>
      <c r="G50" s="90"/>
      <c r="H50" s="5"/>
      <c r="I50" s="5"/>
      <c r="J50" s="5"/>
      <c r="K50" s="90"/>
      <c r="L50" s="96"/>
      <c r="M50" s="90"/>
      <c r="N50" s="89"/>
      <c r="O50" s="97"/>
      <c r="P50" s="89"/>
      <c r="Q50" s="221"/>
      <c r="R50" s="221"/>
      <c r="S50" s="230"/>
      <c r="T50" s="94"/>
      <c r="U50" s="2"/>
      <c r="V50" s="2"/>
      <c r="W50" s="2"/>
      <c r="X50" s="2"/>
    </row>
    <row r="51" spans="1:24" ht="15.5">
      <c r="A51" s="91"/>
      <c r="B51" s="76"/>
      <c r="C51" s="290"/>
      <c r="D51" s="290"/>
      <c r="E51" s="77"/>
      <c r="F51" s="71"/>
      <c r="G51" s="90"/>
      <c r="H51" s="5"/>
      <c r="I51" s="5"/>
      <c r="J51" s="5"/>
      <c r="K51" s="90"/>
      <c r="L51" s="96"/>
      <c r="M51" s="90"/>
      <c r="N51" s="89"/>
      <c r="O51" s="97"/>
      <c r="P51" s="89"/>
      <c r="Q51" s="221"/>
      <c r="R51" s="221"/>
      <c r="S51" s="230"/>
      <c r="T51" s="94"/>
      <c r="U51" s="2"/>
      <c r="V51" s="2"/>
      <c r="W51" s="2"/>
      <c r="X51" s="2"/>
    </row>
    <row r="52" spans="1:24" ht="15.5">
      <c r="A52" s="91"/>
      <c r="B52" s="76"/>
      <c r="C52" s="290"/>
      <c r="D52" s="290"/>
      <c r="E52" s="77"/>
      <c r="F52" s="71"/>
      <c r="G52" s="90"/>
      <c r="H52" s="5"/>
      <c r="I52" s="5"/>
      <c r="J52" s="90"/>
      <c r="K52" s="90"/>
      <c r="L52" s="96"/>
      <c r="M52" s="90"/>
      <c r="N52" s="89"/>
      <c r="O52" s="97"/>
      <c r="P52" s="89"/>
      <c r="Q52" s="221"/>
      <c r="R52" s="221"/>
      <c r="S52" s="230"/>
      <c r="T52" s="94"/>
      <c r="U52" s="2"/>
      <c r="V52" s="2"/>
      <c r="W52" s="2"/>
      <c r="X52" s="2"/>
    </row>
    <row r="53" spans="1:24" ht="15.5">
      <c r="A53" s="91"/>
      <c r="B53" s="76"/>
      <c r="C53" s="290"/>
      <c r="D53" s="290"/>
      <c r="E53" s="77"/>
      <c r="F53" s="71"/>
      <c r="G53" s="90"/>
      <c r="H53" s="90"/>
      <c r="I53" s="5"/>
      <c r="J53" s="90"/>
      <c r="K53" s="90"/>
      <c r="L53" s="96"/>
      <c r="M53" s="90"/>
      <c r="N53" s="89"/>
      <c r="O53" s="97"/>
      <c r="P53" s="89"/>
      <c r="Q53" s="221"/>
      <c r="R53" s="221"/>
      <c r="S53" s="230"/>
      <c r="T53" s="94"/>
      <c r="U53" s="2"/>
      <c r="V53" s="2"/>
      <c r="W53" s="2"/>
      <c r="X53" s="2"/>
    </row>
    <row r="54" spans="1:24" ht="15.5">
      <c r="A54" s="91"/>
      <c r="B54" s="76"/>
      <c r="C54" s="290"/>
      <c r="D54" s="290"/>
      <c r="E54" s="77"/>
      <c r="F54" s="71"/>
      <c r="G54" s="90"/>
      <c r="H54" s="90"/>
      <c r="I54" s="5"/>
      <c r="J54" s="90"/>
      <c r="K54" s="90"/>
      <c r="L54" s="96"/>
      <c r="M54" s="90"/>
      <c r="N54" s="89"/>
      <c r="O54" s="97"/>
      <c r="P54" s="89"/>
      <c r="Q54" s="221"/>
      <c r="R54" s="221"/>
      <c r="S54" s="230"/>
      <c r="T54" s="94"/>
      <c r="U54" s="2"/>
      <c r="V54" s="2"/>
      <c r="W54" s="2"/>
      <c r="X54" s="2"/>
    </row>
    <row r="55" spans="1:24" ht="15.5">
      <c r="A55" s="91"/>
      <c r="B55" s="76"/>
      <c r="C55" s="290"/>
      <c r="D55" s="290"/>
      <c r="E55" s="77"/>
      <c r="F55" s="71"/>
      <c r="G55" s="90"/>
      <c r="H55" s="90"/>
      <c r="I55" s="90"/>
      <c r="J55" s="90"/>
      <c r="K55" s="90"/>
      <c r="L55" s="96"/>
      <c r="M55" s="90"/>
      <c r="N55" s="89"/>
      <c r="O55" s="97"/>
      <c r="P55" s="89"/>
      <c r="Q55" s="221"/>
      <c r="R55" s="221"/>
      <c r="S55" s="230"/>
      <c r="T55" s="94"/>
      <c r="U55" s="2"/>
      <c r="V55" s="2"/>
      <c r="W55" s="2"/>
      <c r="X55" s="2"/>
    </row>
    <row r="56" spans="1:24" ht="15.5">
      <c r="A56" s="91"/>
      <c r="B56" s="76"/>
      <c r="C56" s="290"/>
      <c r="D56" s="290"/>
      <c r="E56" s="77"/>
      <c r="F56" s="71"/>
      <c r="G56" s="90"/>
      <c r="H56" s="90"/>
      <c r="I56" s="90"/>
      <c r="J56" s="90"/>
      <c r="K56" s="90"/>
      <c r="L56" s="96"/>
      <c r="M56" s="90"/>
      <c r="N56" s="89"/>
      <c r="O56" s="97"/>
      <c r="P56" s="89"/>
      <c r="Q56" s="221"/>
      <c r="R56" s="221"/>
      <c r="S56" s="230"/>
      <c r="T56" s="94"/>
      <c r="U56" s="2"/>
      <c r="V56" s="2"/>
      <c r="W56" s="2"/>
      <c r="X56" s="2"/>
    </row>
    <row r="57" spans="1:24" ht="15.5">
      <c r="A57" s="91"/>
      <c r="B57" s="76"/>
      <c r="C57" s="290"/>
      <c r="D57" s="290"/>
      <c r="E57" s="77"/>
      <c r="F57" s="71"/>
      <c r="G57" s="90"/>
      <c r="H57" s="90"/>
      <c r="I57" s="90"/>
      <c r="J57" s="90"/>
      <c r="K57" s="90"/>
      <c r="L57" s="96"/>
      <c r="M57" s="90"/>
      <c r="N57" s="89"/>
      <c r="O57" s="97"/>
      <c r="P57" s="89"/>
      <c r="Q57" s="221"/>
      <c r="R57" s="221"/>
      <c r="S57" s="230"/>
      <c r="T57" s="94"/>
      <c r="U57" s="2"/>
      <c r="V57" s="2"/>
      <c r="W57" s="2"/>
      <c r="X57" s="2"/>
    </row>
    <row r="58" spans="1:24" ht="15.5">
      <c r="A58" s="91"/>
      <c r="B58" s="76"/>
      <c r="C58" s="290"/>
      <c r="D58" s="290"/>
      <c r="E58" s="77"/>
      <c r="F58" s="71"/>
      <c r="G58" s="90"/>
      <c r="H58" s="90"/>
      <c r="I58" s="90"/>
      <c r="J58" s="90"/>
      <c r="K58" s="90"/>
      <c r="L58" s="96"/>
      <c r="M58" s="90"/>
      <c r="N58" s="89"/>
      <c r="O58" s="97"/>
      <c r="P58" s="89"/>
      <c r="Q58" s="221"/>
      <c r="R58" s="221"/>
      <c r="S58" s="230"/>
      <c r="T58" s="94"/>
      <c r="U58" s="2"/>
      <c r="V58" s="2"/>
      <c r="W58" s="2"/>
      <c r="X58" s="2"/>
    </row>
    <row r="59" spans="1:24" ht="15.5">
      <c r="A59" s="91"/>
      <c r="B59" s="76"/>
      <c r="C59" s="290"/>
      <c r="D59" s="290"/>
      <c r="E59" s="77"/>
      <c r="F59" s="71"/>
      <c r="G59" s="90"/>
      <c r="H59" s="90"/>
      <c r="I59" s="90"/>
      <c r="J59" s="90"/>
      <c r="K59" s="90"/>
      <c r="L59" s="96"/>
      <c r="M59" s="90"/>
      <c r="N59" s="89"/>
      <c r="O59" s="97"/>
      <c r="P59" s="89"/>
      <c r="Q59" s="221"/>
      <c r="R59" s="221"/>
      <c r="S59" s="230"/>
      <c r="T59" s="94"/>
      <c r="U59" s="2"/>
      <c r="V59" s="2"/>
      <c r="W59" s="2"/>
      <c r="X59" s="2"/>
    </row>
    <row r="60" spans="1:24" ht="15.5">
      <c r="A60" s="91"/>
      <c r="B60" s="76"/>
      <c r="C60" s="290"/>
      <c r="D60" s="290"/>
      <c r="E60" s="77"/>
      <c r="F60" s="71"/>
      <c r="G60" s="90"/>
      <c r="H60" s="90"/>
      <c r="I60" s="90"/>
      <c r="J60" s="90"/>
      <c r="K60" s="90"/>
      <c r="L60" s="96"/>
      <c r="M60" s="90"/>
      <c r="N60" s="89"/>
      <c r="O60" s="97"/>
      <c r="P60" s="89"/>
      <c r="Q60" s="221"/>
      <c r="R60" s="221"/>
      <c r="S60" s="230"/>
      <c r="T60" s="94"/>
      <c r="U60" s="2"/>
      <c r="V60" s="2"/>
      <c r="W60" s="2"/>
      <c r="X60" s="2"/>
    </row>
    <row r="61" spans="1:24" ht="15.5">
      <c r="A61" s="91"/>
      <c r="B61" s="76"/>
      <c r="C61" s="290"/>
      <c r="D61" s="290"/>
      <c r="E61" s="77"/>
      <c r="F61" s="71"/>
      <c r="G61" s="90"/>
      <c r="H61" s="90"/>
      <c r="I61" s="90"/>
      <c r="J61" s="90"/>
      <c r="K61" s="90"/>
      <c r="L61" s="96"/>
      <c r="M61" s="90"/>
      <c r="N61" s="89"/>
      <c r="O61" s="97"/>
      <c r="P61" s="89"/>
      <c r="Q61" s="221"/>
      <c r="R61" s="221"/>
      <c r="S61" s="230"/>
      <c r="T61" s="94"/>
      <c r="U61" s="2"/>
      <c r="V61" s="2"/>
      <c r="W61" s="2"/>
      <c r="X61" s="2"/>
    </row>
    <row r="62" spans="1:24" ht="15.5">
      <c r="A62" s="91"/>
      <c r="B62" s="76"/>
      <c r="C62" s="290"/>
      <c r="D62" s="290"/>
      <c r="E62" s="77"/>
      <c r="F62" s="71"/>
      <c r="G62" s="90"/>
      <c r="H62" s="90"/>
      <c r="I62" s="90"/>
      <c r="J62" s="90"/>
      <c r="K62" s="90"/>
      <c r="L62" s="96"/>
      <c r="M62" s="90"/>
      <c r="N62" s="89"/>
      <c r="O62" s="97"/>
      <c r="P62" s="89"/>
      <c r="Q62" s="221"/>
      <c r="R62" s="221"/>
      <c r="S62" s="230"/>
      <c r="T62" s="94"/>
      <c r="U62" s="2"/>
      <c r="V62" s="2"/>
      <c r="W62" s="2"/>
      <c r="X62" s="2"/>
    </row>
    <row r="63" spans="1:24" ht="15.5">
      <c r="A63" s="91"/>
      <c r="B63" s="76"/>
      <c r="C63" s="290"/>
      <c r="D63" s="290"/>
      <c r="E63" s="77"/>
      <c r="F63" s="71"/>
      <c r="G63" s="90"/>
      <c r="H63" s="90"/>
      <c r="I63" s="90"/>
      <c r="J63" s="90"/>
      <c r="K63" s="90"/>
      <c r="L63" s="96"/>
      <c r="M63" s="90"/>
      <c r="N63" s="89"/>
      <c r="O63" s="97"/>
      <c r="P63" s="89"/>
      <c r="Q63" s="221"/>
      <c r="R63" s="221"/>
      <c r="S63" s="230"/>
      <c r="T63" s="94"/>
      <c r="U63" s="2"/>
      <c r="V63" s="2"/>
      <c r="W63" s="2"/>
      <c r="X63" s="2"/>
    </row>
    <row r="64" spans="1:24" ht="15.5">
      <c r="A64" s="91"/>
      <c r="B64" s="76"/>
      <c r="C64" s="290"/>
      <c r="D64" s="290"/>
      <c r="E64" s="77"/>
      <c r="F64" s="71"/>
      <c r="G64" s="90"/>
      <c r="H64" s="90"/>
      <c r="I64" s="90"/>
      <c r="J64" s="90"/>
      <c r="K64" s="90"/>
      <c r="L64" s="96"/>
      <c r="M64" s="90"/>
      <c r="N64" s="89"/>
      <c r="O64" s="97"/>
      <c r="P64" s="89"/>
      <c r="Q64" s="221"/>
      <c r="R64" s="221"/>
      <c r="S64" s="230"/>
      <c r="T64" s="94"/>
      <c r="U64" s="2"/>
      <c r="V64" s="2"/>
      <c r="W64" s="2"/>
      <c r="X64" s="2"/>
    </row>
    <row r="65" spans="1:24" ht="15.5">
      <c r="A65" s="91"/>
      <c r="B65" s="76"/>
      <c r="C65" s="290"/>
      <c r="D65" s="290"/>
      <c r="E65" s="77"/>
      <c r="F65" s="71"/>
      <c r="G65" s="90"/>
      <c r="H65" s="90"/>
      <c r="I65" s="90"/>
      <c r="J65" s="90"/>
      <c r="K65" s="90"/>
      <c r="L65" s="96"/>
      <c r="M65" s="90"/>
      <c r="N65" s="89"/>
      <c r="O65" s="97"/>
      <c r="P65" s="89"/>
      <c r="Q65" s="221"/>
      <c r="R65" s="221"/>
      <c r="S65" s="230"/>
      <c r="T65" s="94"/>
      <c r="U65" s="2"/>
      <c r="V65" s="2"/>
      <c r="W65" s="2"/>
      <c r="X65" s="2"/>
    </row>
    <row r="66" spans="1:24" ht="15.5">
      <c r="A66" s="91"/>
      <c r="B66" s="76"/>
      <c r="C66" s="290"/>
      <c r="D66" s="290"/>
      <c r="E66" s="77"/>
      <c r="F66" s="71"/>
      <c r="G66" s="90"/>
      <c r="H66" s="90"/>
      <c r="I66" s="90"/>
      <c r="J66" s="90"/>
      <c r="K66" s="90"/>
      <c r="L66" s="96"/>
      <c r="M66" s="90"/>
      <c r="N66" s="89"/>
      <c r="O66" s="97"/>
      <c r="P66" s="89"/>
      <c r="Q66" s="221"/>
      <c r="R66" s="221"/>
      <c r="S66" s="230"/>
      <c r="T66" s="94"/>
      <c r="U66" s="2"/>
      <c r="V66" s="2"/>
      <c r="W66" s="2"/>
      <c r="X66" s="2"/>
    </row>
    <row r="67" spans="1:24" ht="15.5">
      <c r="A67" s="91"/>
      <c r="B67" s="76"/>
      <c r="C67" s="290"/>
      <c r="D67" s="290"/>
      <c r="E67" s="77"/>
      <c r="F67" s="71"/>
      <c r="G67" s="90"/>
      <c r="H67" s="90"/>
      <c r="I67" s="90"/>
      <c r="J67" s="90"/>
      <c r="K67" s="90"/>
      <c r="L67" s="96"/>
      <c r="M67" s="90"/>
      <c r="N67" s="89"/>
      <c r="O67" s="97"/>
      <c r="P67" s="89"/>
      <c r="Q67" s="221"/>
      <c r="R67" s="221"/>
      <c r="S67" s="230"/>
      <c r="T67" s="94"/>
      <c r="U67" s="2"/>
      <c r="V67" s="2"/>
      <c r="W67" s="2"/>
      <c r="X67" s="2"/>
    </row>
    <row r="68" spans="1:24" ht="15.5">
      <c r="A68" s="91"/>
      <c r="B68" s="76"/>
      <c r="C68" s="290"/>
      <c r="D68" s="290"/>
      <c r="E68" s="77"/>
      <c r="F68" s="71"/>
      <c r="G68" s="90"/>
      <c r="H68" s="90"/>
      <c r="I68" s="90"/>
      <c r="J68" s="90"/>
      <c r="K68" s="90"/>
      <c r="L68" s="96"/>
      <c r="M68" s="90"/>
      <c r="N68" s="89"/>
      <c r="O68" s="97"/>
      <c r="P68" s="89"/>
      <c r="Q68" s="221"/>
      <c r="R68" s="221"/>
      <c r="S68" s="230"/>
      <c r="T68" s="94"/>
      <c r="U68" s="2"/>
      <c r="V68" s="2"/>
      <c r="W68" s="2"/>
      <c r="X68" s="2"/>
    </row>
    <row r="69" spans="1:24" ht="15.5">
      <c r="A69" s="91"/>
      <c r="B69" s="76"/>
      <c r="C69" s="290"/>
      <c r="D69" s="290"/>
      <c r="E69" s="77"/>
      <c r="F69" s="71"/>
      <c r="G69" s="90"/>
      <c r="H69" s="90"/>
      <c r="I69" s="90"/>
      <c r="J69" s="90"/>
      <c r="K69" s="90"/>
      <c r="L69" s="96"/>
      <c r="M69" s="90"/>
      <c r="N69" s="89"/>
      <c r="O69" s="97"/>
      <c r="P69" s="89"/>
      <c r="Q69" s="221"/>
      <c r="R69" s="221"/>
      <c r="S69" s="230"/>
      <c r="T69" s="94"/>
      <c r="U69" s="2"/>
      <c r="V69" s="2"/>
      <c r="W69" s="2"/>
      <c r="X69" s="2"/>
    </row>
    <row r="70" spans="1:24" ht="15.5">
      <c r="A70" s="91"/>
      <c r="B70" s="76"/>
      <c r="C70" s="290"/>
      <c r="D70" s="290"/>
      <c r="E70" s="77"/>
      <c r="F70" s="71"/>
      <c r="G70" s="90"/>
      <c r="H70" s="90"/>
      <c r="I70" s="90"/>
      <c r="J70" s="90"/>
      <c r="K70" s="90"/>
      <c r="L70" s="96"/>
      <c r="M70" s="90"/>
      <c r="N70" s="89"/>
      <c r="O70" s="97"/>
      <c r="P70" s="89"/>
      <c r="Q70" s="221"/>
      <c r="R70" s="221"/>
      <c r="S70" s="230"/>
      <c r="T70" s="94"/>
      <c r="U70" s="2"/>
      <c r="V70" s="2"/>
      <c r="W70" s="2"/>
      <c r="X70" s="2"/>
    </row>
    <row r="71" spans="1:24" ht="15.5">
      <c r="A71" s="91"/>
      <c r="B71" s="76"/>
      <c r="C71" s="290"/>
      <c r="D71" s="290"/>
      <c r="E71" s="77"/>
      <c r="F71" s="71"/>
      <c r="G71" s="90"/>
      <c r="H71" s="90"/>
      <c r="I71" s="90"/>
      <c r="J71" s="90"/>
      <c r="K71" s="90"/>
      <c r="L71" s="96"/>
      <c r="M71" s="90"/>
      <c r="N71" s="89"/>
      <c r="O71" s="97"/>
      <c r="P71" s="89"/>
      <c r="Q71" s="221"/>
      <c r="R71" s="221"/>
      <c r="S71" s="230"/>
      <c r="T71" s="94"/>
      <c r="U71" s="2"/>
      <c r="V71" s="2"/>
      <c r="W71" s="2"/>
      <c r="X71" s="2"/>
    </row>
    <row r="72" spans="1:24" ht="15.5">
      <c r="A72" s="91"/>
      <c r="B72" s="76"/>
      <c r="C72" s="290"/>
      <c r="D72" s="290"/>
      <c r="E72" s="77"/>
      <c r="F72" s="71"/>
      <c r="G72" s="90"/>
      <c r="H72" s="90"/>
      <c r="I72" s="90"/>
      <c r="J72" s="90"/>
      <c r="K72" s="90"/>
      <c r="L72" s="96"/>
      <c r="M72" s="90"/>
      <c r="N72" s="89"/>
      <c r="O72" s="97"/>
      <c r="P72" s="89"/>
      <c r="Q72" s="221"/>
      <c r="R72" s="221"/>
      <c r="S72" s="230"/>
      <c r="T72" s="94"/>
      <c r="U72" s="2"/>
      <c r="V72" s="2"/>
      <c r="W72" s="2"/>
      <c r="X72" s="2"/>
    </row>
    <row r="73" spans="1:24" ht="15.5">
      <c r="A73" s="91"/>
      <c r="B73" s="76"/>
      <c r="C73" s="290"/>
      <c r="D73" s="290"/>
      <c r="E73" s="77"/>
      <c r="F73" s="71"/>
      <c r="G73" s="90"/>
      <c r="H73" s="90"/>
      <c r="I73" s="90"/>
      <c r="J73" s="90"/>
      <c r="K73" s="90"/>
      <c r="L73" s="96"/>
      <c r="M73" s="90"/>
      <c r="N73" s="89"/>
      <c r="O73" s="97"/>
      <c r="P73" s="89"/>
      <c r="Q73" s="221"/>
      <c r="R73" s="221"/>
      <c r="S73" s="230"/>
      <c r="T73" s="94"/>
      <c r="U73" s="2"/>
      <c r="V73" s="2"/>
      <c r="W73" s="2"/>
      <c r="X73" s="2"/>
    </row>
    <row r="74" spans="1:24" ht="15.5">
      <c r="A74" s="91"/>
      <c r="B74" s="76"/>
      <c r="C74" s="290"/>
      <c r="D74" s="290"/>
      <c r="E74" s="77"/>
      <c r="F74" s="71"/>
      <c r="G74" s="90"/>
      <c r="H74" s="90"/>
      <c r="I74" s="90"/>
      <c r="J74" s="90"/>
      <c r="K74" s="90"/>
      <c r="L74" s="96"/>
      <c r="M74" s="90"/>
      <c r="N74" s="89"/>
      <c r="O74" s="97"/>
      <c r="P74" s="89"/>
      <c r="Q74" s="221"/>
      <c r="R74" s="221"/>
      <c r="S74" s="230"/>
      <c r="T74" s="94"/>
      <c r="U74" s="2"/>
      <c r="V74" s="2"/>
      <c r="W74" s="2"/>
      <c r="X74" s="2"/>
    </row>
    <row r="75" spans="1:24" ht="15.5">
      <c r="A75" s="91"/>
      <c r="B75" s="76"/>
      <c r="C75" s="290"/>
      <c r="D75" s="290"/>
      <c r="E75" s="77"/>
      <c r="F75" s="71"/>
      <c r="G75" s="90"/>
      <c r="H75" s="90"/>
      <c r="I75" s="90"/>
      <c r="J75" s="90"/>
      <c r="K75" s="90"/>
      <c r="L75" s="96"/>
      <c r="M75" s="90"/>
      <c r="N75" s="89"/>
      <c r="O75" s="97"/>
      <c r="P75" s="89"/>
      <c r="Q75" s="221"/>
      <c r="R75" s="221"/>
      <c r="S75" s="230"/>
      <c r="T75" s="94"/>
      <c r="U75" s="2"/>
      <c r="V75" s="2"/>
      <c r="W75" s="2"/>
      <c r="X75" s="2"/>
    </row>
    <row r="76" spans="1:24" ht="15.5">
      <c r="A76" s="91"/>
      <c r="B76" s="76"/>
      <c r="C76" s="290"/>
      <c r="D76" s="290"/>
      <c r="E76" s="77"/>
      <c r="F76" s="71"/>
      <c r="G76" s="90"/>
      <c r="H76" s="90"/>
      <c r="I76" s="90"/>
      <c r="J76" s="90"/>
      <c r="K76" s="90"/>
      <c r="L76" s="96"/>
      <c r="M76" s="90"/>
      <c r="N76" s="89"/>
      <c r="O76" s="97"/>
      <c r="P76" s="89"/>
      <c r="Q76" s="221"/>
      <c r="R76" s="221"/>
      <c r="S76" s="230"/>
      <c r="T76" s="94"/>
      <c r="U76" s="2"/>
      <c r="V76" s="2"/>
      <c r="W76" s="2"/>
      <c r="X76" s="2"/>
    </row>
    <row r="77" spans="1:24" ht="15.5">
      <c r="A77" s="91"/>
      <c r="B77" s="76"/>
      <c r="C77" s="290"/>
      <c r="D77" s="290"/>
      <c r="E77" s="77"/>
      <c r="F77" s="71"/>
      <c r="G77" s="90"/>
      <c r="H77" s="90"/>
      <c r="I77" s="90"/>
      <c r="J77" s="90"/>
      <c r="K77" s="90"/>
      <c r="L77" s="96"/>
      <c r="M77" s="90"/>
      <c r="N77" s="89"/>
      <c r="O77" s="97"/>
      <c r="P77" s="89"/>
      <c r="Q77" s="221"/>
      <c r="R77" s="221"/>
      <c r="S77" s="230"/>
      <c r="T77" s="94"/>
      <c r="U77" s="2"/>
      <c r="V77" s="2"/>
      <c r="W77" s="2"/>
      <c r="X77" s="2"/>
    </row>
    <row r="78" spans="1:24" ht="15.5">
      <c r="A78" s="91"/>
      <c r="B78" s="76"/>
      <c r="C78" s="290"/>
      <c r="D78" s="290"/>
      <c r="E78" s="77"/>
      <c r="F78" s="71"/>
      <c r="G78" s="90"/>
      <c r="H78" s="90"/>
      <c r="I78" s="90"/>
      <c r="J78" s="90"/>
      <c r="K78" s="90"/>
      <c r="L78" s="96"/>
      <c r="M78" s="90"/>
      <c r="N78" s="89"/>
      <c r="O78" s="97"/>
      <c r="P78" s="89"/>
      <c r="Q78" s="221"/>
      <c r="R78" s="221"/>
      <c r="S78" s="230"/>
      <c r="T78" s="94"/>
      <c r="U78" s="2"/>
      <c r="V78" s="2"/>
      <c r="W78" s="2"/>
      <c r="X78" s="2"/>
    </row>
    <row r="79" spans="1:24" ht="15.5">
      <c r="A79" s="91"/>
      <c r="B79" s="76"/>
      <c r="C79" s="290"/>
      <c r="D79" s="290"/>
      <c r="E79" s="77"/>
      <c r="F79" s="71"/>
      <c r="G79" s="90"/>
      <c r="H79" s="90"/>
      <c r="I79" s="90"/>
      <c r="J79" s="90"/>
      <c r="K79" s="90"/>
      <c r="L79" s="96"/>
      <c r="M79" s="90"/>
      <c r="N79" s="89"/>
      <c r="O79" s="97"/>
      <c r="P79" s="89"/>
      <c r="Q79" s="221"/>
      <c r="R79" s="221"/>
      <c r="S79" s="230"/>
      <c r="T79" s="94"/>
      <c r="U79" s="2"/>
      <c r="V79" s="2"/>
      <c r="W79" s="2"/>
      <c r="X79" s="2"/>
    </row>
    <row r="80" spans="1:24" ht="15.5">
      <c r="A80" s="91"/>
      <c r="B80" s="76"/>
      <c r="C80" s="290"/>
      <c r="D80" s="290"/>
      <c r="E80" s="77"/>
      <c r="F80" s="71"/>
      <c r="G80" s="90"/>
      <c r="H80" s="90"/>
      <c r="I80" s="90"/>
      <c r="J80" s="90"/>
      <c r="K80" s="90"/>
      <c r="L80" s="96"/>
      <c r="M80" s="90"/>
      <c r="N80" s="89"/>
      <c r="O80" s="97"/>
      <c r="P80" s="89"/>
      <c r="Q80" s="221"/>
      <c r="R80" s="221"/>
      <c r="S80" s="230"/>
      <c r="T80" s="94"/>
      <c r="U80" s="2"/>
      <c r="V80" s="2"/>
      <c r="W80" s="2"/>
      <c r="X80" s="2"/>
    </row>
    <row r="81" spans="1:24" ht="15.5">
      <c r="A81" s="91"/>
      <c r="B81" s="76"/>
      <c r="C81" s="290"/>
      <c r="D81" s="290"/>
      <c r="E81" s="77"/>
      <c r="F81" s="71"/>
      <c r="G81" s="90"/>
      <c r="H81" s="90"/>
      <c r="I81" s="90"/>
      <c r="J81" s="90"/>
      <c r="K81" s="90"/>
      <c r="L81" s="96"/>
      <c r="M81" s="90"/>
      <c r="N81" s="89"/>
      <c r="O81" s="97"/>
      <c r="P81" s="89"/>
      <c r="Q81" s="221"/>
      <c r="R81" s="221"/>
      <c r="S81" s="230"/>
      <c r="T81" s="94"/>
      <c r="U81" s="2"/>
      <c r="V81" s="2"/>
      <c r="W81" s="2"/>
      <c r="X81" s="2"/>
    </row>
    <row r="82" spans="1:24" ht="15.5">
      <c r="A82" s="91"/>
      <c r="B82" s="76"/>
      <c r="C82" s="290"/>
      <c r="D82" s="290"/>
      <c r="E82" s="77"/>
      <c r="F82" s="71"/>
      <c r="G82" s="90"/>
      <c r="H82" s="90"/>
      <c r="I82" s="90"/>
      <c r="J82" s="90"/>
      <c r="K82" s="90"/>
      <c r="L82" s="96"/>
      <c r="M82" s="90"/>
      <c r="N82" s="89"/>
      <c r="O82" s="97"/>
      <c r="P82" s="89"/>
      <c r="Q82" s="221"/>
      <c r="R82" s="221"/>
      <c r="S82" s="230"/>
      <c r="T82" s="94"/>
      <c r="U82" s="2"/>
      <c r="V82" s="2"/>
      <c r="W82" s="2"/>
      <c r="X82" s="2"/>
    </row>
    <row r="83" spans="1:24" ht="15.5">
      <c r="A83" s="91"/>
      <c r="B83" s="76"/>
      <c r="C83" s="290"/>
      <c r="D83" s="290"/>
      <c r="E83" s="77"/>
      <c r="F83" s="71"/>
      <c r="G83" s="90"/>
      <c r="H83" s="90"/>
      <c r="I83" s="90"/>
      <c r="J83" s="90"/>
      <c r="K83" s="90"/>
      <c r="L83" s="96"/>
      <c r="M83" s="90"/>
      <c r="N83" s="89"/>
      <c r="O83" s="97"/>
      <c r="P83" s="89"/>
      <c r="Q83" s="221"/>
      <c r="R83" s="221"/>
      <c r="S83" s="230"/>
      <c r="T83" s="94"/>
      <c r="U83" s="2"/>
      <c r="V83" s="2"/>
      <c r="W83" s="2"/>
      <c r="X83" s="2"/>
    </row>
    <row r="84" spans="1:24" ht="15.5">
      <c r="A84" s="91"/>
      <c r="B84" s="76"/>
      <c r="C84" s="290"/>
      <c r="D84" s="290"/>
      <c r="E84" s="77"/>
      <c r="F84" s="71"/>
      <c r="G84" s="90"/>
      <c r="H84" s="90"/>
      <c r="I84" s="90"/>
      <c r="J84" s="90"/>
      <c r="K84" s="90"/>
      <c r="L84" s="96"/>
      <c r="M84" s="90"/>
      <c r="N84" s="89"/>
      <c r="O84" s="97"/>
      <c r="P84" s="89"/>
      <c r="Q84" s="221"/>
      <c r="R84" s="221"/>
      <c r="S84" s="230"/>
      <c r="T84" s="94"/>
      <c r="U84" s="2"/>
      <c r="V84" s="2"/>
      <c r="W84" s="2"/>
      <c r="X84" s="2"/>
    </row>
    <row r="85" spans="1:24" ht="15.5">
      <c r="A85" s="91"/>
      <c r="B85" s="76"/>
      <c r="C85" s="290"/>
      <c r="D85" s="290"/>
      <c r="E85" s="77"/>
      <c r="F85" s="71"/>
      <c r="G85" s="90"/>
      <c r="H85" s="90"/>
      <c r="I85" s="90"/>
      <c r="J85" s="90"/>
      <c r="K85" s="90"/>
      <c r="L85" s="96"/>
      <c r="M85" s="90"/>
      <c r="N85" s="89"/>
      <c r="O85" s="97"/>
      <c r="P85" s="89"/>
      <c r="Q85" s="221"/>
      <c r="R85" s="221"/>
      <c r="S85" s="230"/>
      <c r="T85" s="94"/>
      <c r="U85" s="2"/>
      <c r="V85" s="2"/>
      <c r="W85" s="2"/>
      <c r="X85" s="2"/>
    </row>
    <row r="86" spans="1:24" ht="15.5">
      <c r="A86" s="91"/>
      <c r="B86" s="76"/>
      <c r="C86" s="290"/>
      <c r="D86" s="290"/>
      <c r="E86" s="77"/>
      <c r="F86" s="71"/>
      <c r="G86" s="90"/>
      <c r="H86" s="90"/>
      <c r="I86" s="90"/>
      <c r="J86" s="90"/>
      <c r="K86" s="90"/>
      <c r="L86" s="96"/>
      <c r="M86" s="90"/>
      <c r="N86" s="89"/>
      <c r="O86" s="97"/>
      <c r="P86" s="89"/>
      <c r="Q86" s="221"/>
      <c r="R86" s="221"/>
      <c r="S86" s="230"/>
      <c r="T86" s="94"/>
      <c r="U86" s="2"/>
      <c r="V86" s="2"/>
      <c r="W86" s="2"/>
      <c r="X86" s="2"/>
    </row>
    <row r="87" spans="1:24" ht="15.5">
      <c r="A87" s="91"/>
      <c r="B87" s="76"/>
      <c r="C87" s="290"/>
      <c r="D87" s="290"/>
      <c r="E87" s="77"/>
      <c r="F87" s="71"/>
      <c r="G87" s="90"/>
      <c r="H87" s="90"/>
      <c r="I87" s="90"/>
      <c r="J87" s="90"/>
      <c r="K87" s="90"/>
      <c r="L87" s="96"/>
      <c r="M87" s="90"/>
      <c r="N87" s="89"/>
      <c r="O87" s="97"/>
      <c r="P87" s="89"/>
      <c r="Q87" s="221"/>
      <c r="R87" s="221"/>
      <c r="S87" s="230"/>
      <c r="T87" s="94"/>
      <c r="U87" s="2"/>
      <c r="V87" s="2"/>
      <c r="W87" s="2"/>
      <c r="X87" s="2"/>
    </row>
    <row r="88" spans="1:24" ht="15.5">
      <c r="A88" s="91"/>
      <c r="B88" s="76"/>
      <c r="C88" s="290"/>
      <c r="D88" s="290"/>
      <c r="E88" s="77"/>
      <c r="F88" s="71"/>
      <c r="G88" s="90"/>
      <c r="H88" s="90"/>
      <c r="I88" s="90"/>
      <c r="J88" s="90"/>
      <c r="K88" s="90"/>
      <c r="L88" s="96"/>
      <c r="M88" s="90"/>
      <c r="N88" s="89"/>
      <c r="O88" s="97"/>
      <c r="P88" s="89"/>
      <c r="Q88" s="221"/>
      <c r="R88" s="221"/>
      <c r="S88" s="230"/>
      <c r="T88" s="94"/>
      <c r="U88" s="2"/>
      <c r="V88" s="2"/>
      <c r="W88" s="2"/>
      <c r="X88" s="2"/>
    </row>
    <row r="89" spans="1:24" ht="15.5">
      <c r="A89" s="91"/>
      <c r="B89" s="76"/>
      <c r="C89" s="290"/>
      <c r="D89" s="290"/>
      <c r="E89" s="77"/>
      <c r="F89" s="71"/>
      <c r="G89" s="90"/>
      <c r="H89" s="90"/>
      <c r="I89" s="90"/>
      <c r="J89" s="90"/>
      <c r="K89" s="90"/>
      <c r="L89" s="96"/>
      <c r="M89" s="90"/>
      <c r="N89" s="89"/>
      <c r="O89" s="97"/>
      <c r="P89" s="89"/>
      <c r="Q89" s="221"/>
      <c r="R89" s="221"/>
      <c r="S89" s="230"/>
      <c r="T89" s="94"/>
      <c r="U89" s="2"/>
      <c r="V89" s="2"/>
      <c r="W89" s="2"/>
      <c r="X89" s="2"/>
    </row>
    <row r="90" spans="1:24" ht="15.5">
      <c r="A90" s="91"/>
      <c r="B90" s="76"/>
      <c r="C90" s="290"/>
      <c r="D90" s="290"/>
      <c r="E90" s="77"/>
      <c r="F90" s="71"/>
      <c r="G90" s="90"/>
      <c r="H90" s="90"/>
      <c r="I90" s="90"/>
      <c r="J90" s="90"/>
      <c r="K90" s="90"/>
      <c r="L90" s="96"/>
      <c r="M90" s="90"/>
      <c r="N90" s="89"/>
      <c r="O90" s="97"/>
      <c r="P90" s="89"/>
      <c r="Q90" s="221"/>
      <c r="R90" s="221"/>
      <c r="S90" s="230"/>
      <c r="T90" s="94"/>
      <c r="U90" s="2"/>
      <c r="V90" s="2"/>
      <c r="W90" s="2"/>
      <c r="X90" s="2"/>
    </row>
    <row r="91" spans="1:24" ht="15.5">
      <c r="A91" s="91"/>
      <c r="B91" s="76"/>
      <c r="C91" s="290"/>
      <c r="D91" s="290"/>
      <c r="E91" s="77"/>
      <c r="F91" s="71"/>
      <c r="G91" s="90"/>
      <c r="H91" s="90"/>
      <c r="I91" s="90"/>
      <c r="J91" s="90"/>
      <c r="K91" s="90"/>
      <c r="L91" s="96"/>
      <c r="M91" s="90"/>
      <c r="N91" s="89"/>
      <c r="O91" s="97"/>
      <c r="P91" s="89"/>
      <c r="Q91" s="221"/>
      <c r="R91" s="221"/>
      <c r="S91" s="230"/>
      <c r="T91" s="94"/>
      <c r="U91" s="2"/>
      <c r="V91" s="2"/>
      <c r="W91" s="2"/>
      <c r="X91" s="2"/>
    </row>
    <row r="92" spans="1:24" ht="15.5">
      <c r="A92" s="91"/>
      <c r="B92" s="76"/>
      <c r="C92" s="290"/>
      <c r="D92" s="290"/>
      <c r="E92" s="77"/>
      <c r="F92" s="71"/>
      <c r="G92" s="90"/>
      <c r="H92" s="90"/>
      <c r="I92" s="90"/>
      <c r="J92" s="90"/>
      <c r="K92" s="90"/>
      <c r="L92" s="96"/>
      <c r="M92" s="90"/>
      <c r="N92" s="89"/>
      <c r="O92" s="97"/>
      <c r="P92" s="89"/>
      <c r="Q92" s="221"/>
      <c r="R92" s="221"/>
      <c r="S92" s="230"/>
      <c r="T92" s="94"/>
      <c r="U92" s="2"/>
      <c r="V92" s="2"/>
      <c r="W92" s="2"/>
      <c r="X92" s="2"/>
    </row>
    <row r="93" spans="1:24" ht="15.5">
      <c r="A93" s="91"/>
      <c r="B93" s="76"/>
      <c r="C93" s="290"/>
      <c r="D93" s="290"/>
      <c r="E93" s="77"/>
      <c r="F93" s="71"/>
      <c r="G93" s="90"/>
      <c r="H93" s="90"/>
      <c r="I93" s="90"/>
      <c r="J93" s="90"/>
      <c r="K93" s="90"/>
      <c r="L93" s="96"/>
      <c r="M93" s="90"/>
      <c r="N93" s="89"/>
      <c r="O93" s="97"/>
      <c r="P93" s="89"/>
      <c r="Q93" s="221"/>
      <c r="R93" s="221"/>
      <c r="S93" s="230"/>
      <c r="T93" s="94"/>
      <c r="U93" s="2"/>
      <c r="V93" s="2"/>
      <c r="W93" s="2"/>
      <c r="X93" s="2"/>
    </row>
    <row r="94" spans="1:24" ht="15.5">
      <c r="A94" s="91"/>
      <c r="B94" s="76"/>
      <c r="C94" s="290"/>
      <c r="D94" s="290"/>
      <c r="E94" s="77"/>
      <c r="F94" s="71"/>
      <c r="G94" s="90"/>
      <c r="H94" s="90"/>
      <c r="I94" s="90"/>
      <c r="J94" s="90"/>
      <c r="K94" s="90"/>
      <c r="L94" s="96"/>
      <c r="M94" s="90"/>
      <c r="N94" s="89"/>
      <c r="O94" s="97"/>
      <c r="P94" s="89"/>
      <c r="Q94" s="221"/>
      <c r="R94" s="221"/>
      <c r="S94" s="230"/>
      <c r="T94" s="94"/>
      <c r="U94" s="2"/>
      <c r="V94" s="2"/>
      <c r="W94" s="2"/>
      <c r="X94" s="2"/>
    </row>
    <row r="95" spans="1:24" ht="15.5">
      <c r="A95" s="91"/>
      <c r="B95" s="76"/>
      <c r="C95" s="290"/>
      <c r="D95" s="290"/>
      <c r="E95" s="77"/>
      <c r="F95" s="71"/>
      <c r="G95" s="90"/>
      <c r="H95" s="90"/>
      <c r="I95" s="90"/>
      <c r="J95" s="90"/>
      <c r="K95" s="90"/>
      <c r="L95" s="96"/>
      <c r="M95" s="90"/>
      <c r="N95" s="89"/>
      <c r="O95" s="97"/>
      <c r="P95" s="89"/>
      <c r="Q95" s="221"/>
      <c r="R95" s="221"/>
      <c r="S95" s="230"/>
      <c r="T95" s="94"/>
      <c r="U95" s="2"/>
      <c r="V95" s="2"/>
      <c r="W95" s="2"/>
      <c r="X95" s="2"/>
    </row>
    <row r="96" spans="1:24" ht="15.5">
      <c r="A96" s="91"/>
      <c r="B96" s="76"/>
      <c r="C96" s="290"/>
      <c r="D96" s="290"/>
      <c r="E96" s="77"/>
      <c r="F96" s="71"/>
      <c r="G96" s="90"/>
      <c r="H96" s="90"/>
      <c r="I96" s="90"/>
      <c r="J96" s="90"/>
      <c r="K96" s="90"/>
      <c r="L96" s="96"/>
      <c r="M96" s="90"/>
      <c r="N96" s="89"/>
      <c r="O96" s="97"/>
      <c r="P96" s="89"/>
      <c r="Q96" s="221"/>
      <c r="R96" s="221"/>
      <c r="S96" s="230"/>
      <c r="T96" s="94"/>
      <c r="U96" s="2"/>
      <c r="V96" s="2"/>
      <c r="W96" s="2"/>
      <c r="X96" s="2"/>
    </row>
    <row r="97" spans="1:24" ht="15.5">
      <c r="A97" s="91"/>
      <c r="B97" s="76"/>
      <c r="C97" s="290"/>
      <c r="D97" s="290"/>
      <c r="E97" s="77"/>
      <c r="F97" s="71"/>
      <c r="G97" s="90"/>
      <c r="H97" s="90"/>
      <c r="I97" s="90"/>
      <c r="J97" s="90"/>
      <c r="K97" s="90"/>
      <c r="L97" s="96"/>
      <c r="M97" s="90"/>
      <c r="N97" s="89"/>
      <c r="O97" s="97"/>
      <c r="P97" s="89"/>
      <c r="Q97" s="221"/>
      <c r="R97" s="221"/>
      <c r="S97" s="230"/>
      <c r="T97" s="94"/>
      <c r="U97" s="2"/>
      <c r="V97" s="2"/>
      <c r="W97" s="2"/>
      <c r="X97" s="2"/>
    </row>
    <row r="98" spans="1:24" ht="15.5">
      <c r="A98" s="91"/>
      <c r="B98" s="76"/>
      <c r="C98" s="290"/>
      <c r="D98" s="290"/>
      <c r="E98" s="77"/>
      <c r="F98" s="71"/>
      <c r="G98" s="90"/>
      <c r="H98" s="90"/>
      <c r="I98" s="90"/>
      <c r="J98" s="90"/>
      <c r="K98" s="90"/>
      <c r="L98" s="96"/>
      <c r="M98" s="90"/>
      <c r="N98" s="89"/>
      <c r="O98" s="97"/>
      <c r="P98" s="89"/>
      <c r="Q98" s="221"/>
      <c r="R98" s="221"/>
      <c r="S98" s="230"/>
      <c r="T98" s="94"/>
      <c r="U98" s="2"/>
      <c r="V98" s="2"/>
      <c r="W98" s="2"/>
      <c r="X98" s="2"/>
    </row>
    <row r="99" spans="1:24" ht="15.5">
      <c r="A99" s="91"/>
      <c r="B99" s="76"/>
      <c r="C99" s="290"/>
      <c r="D99" s="290"/>
      <c r="E99" s="77"/>
      <c r="F99" s="71"/>
      <c r="G99" s="90"/>
      <c r="H99" s="90"/>
      <c r="I99" s="90"/>
      <c r="J99" s="90"/>
      <c r="K99" s="90"/>
      <c r="L99" s="96"/>
      <c r="M99" s="90"/>
      <c r="N99" s="89"/>
      <c r="O99" s="97"/>
      <c r="P99" s="89"/>
      <c r="Q99" s="221"/>
      <c r="R99" s="221"/>
      <c r="S99" s="230"/>
      <c r="T99" s="94"/>
      <c r="U99" s="2"/>
      <c r="V99" s="2"/>
      <c r="W99" s="2"/>
      <c r="X99" s="2"/>
    </row>
    <row r="100" spans="1:24" ht="15.5">
      <c r="A100" s="91"/>
      <c r="B100" s="76"/>
      <c r="C100" s="290"/>
      <c r="D100" s="290"/>
      <c r="E100" s="77"/>
      <c r="F100" s="71"/>
      <c r="G100" s="90"/>
      <c r="H100" s="90"/>
      <c r="I100" s="90"/>
      <c r="J100" s="90"/>
      <c r="K100" s="90"/>
      <c r="L100" s="96"/>
      <c r="M100" s="90"/>
      <c r="N100" s="89"/>
      <c r="O100" s="97"/>
      <c r="P100" s="89"/>
      <c r="Q100" s="221"/>
      <c r="R100" s="221"/>
      <c r="S100" s="230"/>
      <c r="T100" s="94"/>
      <c r="U100" s="2"/>
      <c r="V100" s="2"/>
      <c r="W100" s="2"/>
      <c r="X100" s="2"/>
    </row>
    <row r="101" spans="1:24" ht="15.5">
      <c r="A101" s="91"/>
      <c r="B101" s="76"/>
      <c r="C101" s="290"/>
      <c r="D101" s="290"/>
      <c r="E101" s="77"/>
      <c r="F101" s="71"/>
      <c r="G101" s="90"/>
      <c r="H101" s="90"/>
      <c r="I101" s="90"/>
      <c r="J101" s="90"/>
      <c r="K101" s="90"/>
      <c r="L101" s="96"/>
      <c r="M101" s="90"/>
      <c r="N101" s="89"/>
      <c r="O101" s="97"/>
      <c r="P101" s="89"/>
      <c r="Q101" s="221"/>
      <c r="R101" s="221"/>
      <c r="S101" s="230"/>
      <c r="T101" s="94"/>
      <c r="U101" s="2"/>
      <c r="V101" s="2"/>
      <c r="W101" s="2"/>
      <c r="X101" s="2"/>
    </row>
    <row r="102" spans="1:24" ht="15.5">
      <c r="A102" s="91"/>
      <c r="B102" s="76"/>
      <c r="C102" s="290"/>
      <c r="D102" s="290"/>
      <c r="E102" s="77"/>
      <c r="F102" s="71"/>
      <c r="G102" s="90"/>
      <c r="H102" s="90"/>
      <c r="I102" s="90"/>
      <c r="J102" s="90"/>
      <c r="K102" s="90"/>
      <c r="L102" s="96"/>
      <c r="M102" s="90"/>
      <c r="N102" s="89"/>
      <c r="O102" s="97"/>
      <c r="P102" s="89"/>
      <c r="Q102" s="221"/>
      <c r="R102" s="221"/>
      <c r="S102" s="230"/>
      <c r="T102" s="94"/>
      <c r="U102" s="2"/>
      <c r="V102" s="2"/>
      <c r="W102" s="2"/>
      <c r="X102" s="2"/>
    </row>
    <row r="103" spans="1:24" ht="15.5">
      <c r="A103" s="91"/>
      <c r="B103" s="76"/>
      <c r="C103" s="290"/>
      <c r="D103" s="290"/>
      <c r="E103" s="77"/>
      <c r="F103" s="71"/>
      <c r="G103" s="90"/>
      <c r="H103" s="90"/>
      <c r="I103" s="90"/>
      <c r="J103" s="90"/>
      <c r="K103" s="90"/>
      <c r="L103" s="96"/>
      <c r="M103" s="90"/>
      <c r="N103" s="89"/>
      <c r="O103" s="97"/>
      <c r="P103" s="89"/>
      <c r="Q103" s="221"/>
      <c r="R103" s="221"/>
      <c r="S103" s="230"/>
      <c r="T103" s="94"/>
      <c r="U103" s="2"/>
      <c r="V103" s="2"/>
      <c r="W103" s="2"/>
      <c r="X103" s="2"/>
    </row>
    <row r="104" spans="1:24" ht="15.5">
      <c r="A104" s="91"/>
      <c r="B104" s="76"/>
      <c r="C104" s="290"/>
      <c r="D104" s="290"/>
      <c r="E104" s="77"/>
      <c r="F104" s="71"/>
      <c r="G104" s="90"/>
      <c r="H104" s="90"/>
      <c r="I104" s="90"/>
      <c r="J104" s="90"/>
      <c r="K104" s="90"/>
      <c r="L104" s="96"/>
      <c r="M104" s="90"/>
      <c r="N104" s="89"/>
      <c r="O104" s="97"/>
      <c r="P104" s="89"/>
      <c r="Q104" s="221"/>
      <c r="R104" s="221"/>
      <c r="S104" s="230"/>
      <c r="T104" s="94"/>
      <c r="U104" s="2"/>
      <c r="V104" s="2"/>
      <c r="W104" s="2"/>
      <c r="X104" s="2"/>
    </row>
    <row r="105" spans="1:24" ht="15.5">
      <c r="A105" s="91"/>
      <c r="B105" s="76"/>
      <c r="C105" s="290"/>
      <c r="D105" s="290"/>
      <c r="E105" s="77"/>
      <c r="F105" s="71"/>
      <c r="G105" s="90"/>
      <c r="H105" s="90"/>
      <c r="I105" s="90"/>
      <c r="J105" s="90"/>
      <c r="K105" s="90"/>
      <c r="L105" s="96"/>
      <c r="M105" s="90"/>
      <c r="N105" s="89"/>
      <c r="O105" s="97"/>
      <c r="P105" s="89"/>
      <c r="Q105" s="221"/>
      <c r="R105" s="221"/>
      <c r="S105" s="230"/>
      <c r="T105" s="94"/>
      <c r="U105" s="2"/>
      <c r="V105" s="2"/>
      <c r="W105" s="2"/>
      <c r="X105" s="2"/>
    </row>
    <row r="106" spans="1:24" ht="15.5">
      <c r="A106" s="91"/>
      <c r="B106" s="76"/>
      <c r="C106" s="290"/>
      <c r="D106" s="290"/>
      <c r="E106" s="77"/>
      <c r="F106" s="71"/>
      <c r="G106" s="90"/>
      <c r="H106" s="90"/>
      <c r="I106" s="90"/>
      <c r="J106" s="90"/>
      <c r="K106" s="90"/>
      <c r="L106" s="96"/>
      <c r="M106" s="90"/>
      <c r="N106" s="89"/>
      <c r="O106" s="97"/>
      <c r="P106" s="89"/>
      <c r="Q106" s="221"/>
      <c r="R106" s="221"/>
      <c r="S106" s="230"/>
      <c r="T106" s="94"/>
      <c r="U106" s="2"/>
      <c r="V106" s="2"/>
      <c r="W106" s="2"/>
      <c r="X106" s="2"/>
    </row>
    <row r="107" spans="1:24" ht="15.5">
      <c r="A107" s="91"/>
      <c r="B107" s="76"/>
      <c r="C107" s="290"/>
      <c r="D107" s="290"/>
      <c r="E107" s="77"/>
      <c r="F107" s="71"/>
      <c r="G107" s="90"/>
      <c r="H107" s="90"/>
      <c r="I107" s="90"/>
      <c r="J107" s="90"/>
      <c r="K107" s="90"/>
      <c r="L107" s="96"/>
      <c r="M107" s="90"/>
      <c r="N107" s="89"/>
      <c r="O107" s="97"/>
      <c r="P107" s="89"/>
      <c r="Q107" s="221"/>
      <c r="R107" s="221"/>
      <c r="S107" s="230"/>
      <c r="T107" s="94"/>
      <c r="U107" s="2"/>
      <c r="V107" s="2"/>
      <c r="W107" s="2"/>
      <c r="X107" s="2"/>
    </row>
    <row r="108" spans="1:24" ht="15.5">
      <c r="A108" s="91"/>
      <c r="B108" s="76"/>
      <c r="C108" s="290"/>
      <c r="D108" s="290"/>
      <c r="E108" s="77"/>
      <c r="F108" s="71"/>
      <c r="G108" s="90"/>
      <c r="H108" s="90"/>
      <c r="I108" s="90"/>
      <c r="J108" s="90"/>
      <c r="K108" s="90"/>
      <c r="L108" s="96"/>
      <c r="M108" s="90"/>
      <c r="N108" s="89"/>
      <c r="O108" s="97"/>
      <c r="P108" s="89"/>
      <c r="Q108" s="221"/>
      <c r="R108" s="221"/>
      <c r="S108" s="230"/>
      <c r="T108" s="94"/>
      <c r="U108" s="2"/>
      <c r="V108" s="2"/>
      <c r="W108" s="2"/>
      <c r="X108" s="2"/>
    </row>
    <row r="109" spans="1:24" ht="15.5">
      <c r="A109" s="91"/>
      <c r="B109" s="76"/>
      <c r="C109" s="290"/>
      <c r="D109" s="290"/>
      <c r="E109" s="77"/>
      <c r="F109" s="71"/>
      <c r="G109" s="90"/>
      <c r="H109" s="90"/>
      <c r="I109" s="90"/>
      <c r="J109" s="90"/>
      <c r="K109" s="90"/>
      <c r="L109" s="96"/>
      <c r="M109" s="90"/>
      <c r="N109" s="89"/>
      <c r="O109" s="97"/>
      <c r="P109" s="89"/>
      <c r="Q109" s="221"/>
      <c r="R109" s="221"/>
      <c r="S109" s="230"/>
      <c r="T109" s="94"/>
      <c r="U109" s="2"/>
      <c r="V109" s="2"/>
      <c r="W109" s="2"/>
      <c r="X109" s="2"/>
    </row>
    <row r="110" spans="1:24" ht="15.5">
      <c r="A110" s="91"/>
      <c r="B110" s="76"/>
      <c r="C110" s="290"/>
      <c r="D110" s="290"/>
      <c r="E110" s="77"/>
      <c r="F110" s="71"/>
      <c r="G110" s="90"/>
      <c r="H110" s="90"/>
      <c r="I110" s="90"/>
      <c r="J110" s="90"/>
      <c r="K110" s="90"/>
      <c r="L110" s="96"/>
      <c r="M110" s="90"/>
      <c r="N110" s="89"/>
      <c r="O110" s="97"/>
      <c r="P110" s="89"/>
      <c r="Q110" s="221"/>
      <c r="R110" s="221"/>
      <c r="S110" s="230"/>
      <c r="T110" s="94"/>
      <c r="U110" s="2"/>
      <c r="V110" s="2"/>
      <c r="W110" s="2"/>
      <c r="X110" s="2"/>
    </row>
    <row r="111" spans="1:24" ht="15.5">
      <c r="A111" s="91"/>
      <c r="B111" s="76"/>
      <c r="C111" s="290"/>
      <c r="D111" s="290"/>
      <c r="E111" s="77"/>
      <c r="F111" s="71"/>
      <c r="G111" s="90"/>
      <c r="H111" s="90"/>
      <c r="I111" s="90"/>
      <c r="J111" s="90"/>
      <c r="K111" s="90"/>
      <c r="L111" s="96"/>
      <c r="M111" s="90"/>
      <c r="N111" s="89"/>
      <c r="O111" s="97"/>
      <c r="P111" s="89"/>
      <c r="Q111" s="221"/>
      <c r="R111" s="221"/>
      <c r="S111" s="230"/>
      <c r="T111" s="94"/>
      <c r="U111" s="2"/>
      <c r="V111" s="2"/>
      <c r="W111" s="2"/>
      <c r="X111" s="2"/>
    </row>
    <row r="112" spans="1:24" ht="15.5">
      <c r="A112" s="91"/>
      <c r="B112" s="76"/>
      <c r="C112" s="290"/>
      <c r="D112" s="290"/>
      <c r="E112" s="77"/>
      <c r="F112" s="71"/>
      <c r="G112" s="90"/>
      <c r="H112" s="90"/>
      <c r="I112" s="90"/>
      <c r="J112" s="90"/>
      <c r="K112" s="90"/>
      <c r="L112" s="96"/>
      <c r="M112" s="90"/>
      <c r="N112" s="89"/>
      <c r="O112" s="97"/>
      <c r="P112" s="89"/>
      <c r="Q112" s="221"/>
      <c r="R112" s="221"/>
      <c r="S112" s="230"/>
      <c r="T112" s="94"/>
      <c r="U112" s="2"/>
      <c r="V112" s="2"/>
      <c r="W112" s="2"/>
      <c r="X112" s="2"/>
    </row>
    <row r="113" spans="1:24" ht="15.5">
      <c r="A113" s="91"/>
      <c r="B113" s="76"/>
      <c r="C113" s="290"/>
      <c r="D113" s="290"/>
      <c r="E113" s="77"/>
      <c r="F113" s="71"/>
      <c r="G113" s="90"/>
      <c r="H113" s="90"/>
      <c r="I113" s="90"/>
      <c r="J113" s="90"/>
      <c r="K113" s="90"/>
      <c r="L113" s="96"/>
      <c r="M113" s="90"/>
      <c r="N113" s="89"/>
      <c r="O113" s="97"/>
      <c r="P113" s="89"/>
      <c r="Q113" s="221"/>
      <c r="R113" s="221"/>
      <c r="S113" s="230"/>
      <c r="T113" s="94"/>
      <c r="U113" s="2"/>
      <c r="V113" s="2"/>
      <c r="W113" s="2"/>
      <c r="X113" s="2"/>
    </row>
    <row r="114" spans="1:24" ht="15.5">
      <c r="A114" s="91"/>
      <c r="B114" s="76"/>
      <c r="C114" s="290"/>
      <c r="D114" s="290"/>
      <c r="E114" s="77"/>
      <c r="F114" s="71"/>
      <c r="G114" s="90"/>
      <c r="H114" s="90"/>
      <c r="I114" s="90"/>
      <c r="J114" s="90"/>
      <c r="K114" s="90"/>
      <c r="L114" s="96"/>
      <c r="M114" s="90"/>
      <c r="N114" s="89"/>
      <c r="O114" s="97"/>
      <c r="P114" s="89"/>
      <c r="Q114" s="221"/>
      <c r="R114" s="221"/>
      <c r="S114" s="230"/>
      <c r="T114" s="94"/>
      <c r="U114" s="2"/>
      <c r="V114" s="2"/>
      <c r="W114" s="2"/>
      <c r="X114" s="2"/>
    </row>
    <row r="115" spans="1:24" ht="15.5">
      <c r="A115" s="91"/>
      <c r="B115" s="76"/>
      <c r="C115" s="290"/>
      <c r="D115" s="290"/>
      <c r="E115" s="77"/>
      <c r="F115" s="71"/>
      <c r="G115" s="90"/>
      <c r="H115" s="90"/>
      <c r="I115" s="90"/>
      <c r="J115" s="90"/>
      <c r="K115" s="90"/>
      <c r="L115" s="96"/>
      <c r="M115" s="90"/>
      <c r="N115" s="89"/>
      <c r="O115" s="97"/>
      <c r="P115" s="89"/>
      <c r="Q115" s="221"/>
      <c r="R115" s="221"/>
      <c r="S115" s="230"/>
      <c r="T115" s="94"/>
      <c r="U115" s="2"/>
      <c r="V115" s="2"/>
      <c r="W115" s="2"/>
      <c r="X115" s="2"/>
    </row>
    <row r="116" spans="1:24" ht="15.5">
      <c r="A116" s="91"/>
      <c r="B116" s="76"/>
      <c r="C116" s="290"/>
      <c r="D116" s="290"/>
      <c r="E116" s="77"/>
      <c r="F116" s="71"/>
      <c r="G116" s="90"/>
      <c r="H116" s="90"/>
      <c r="I116" s="90"/>
      <c r="J116" s="90"/>
      <c r="K116" s="90"/>
      <c r="L116" s="96"/>
      <c r="M116" s="90"/>
      <c r="N116" s="89"/>
      <c r="O116" s="97"/>
      <c r="P116" s="89"/>
      <c r="Q116" s="221"/>
      <c r="R116" s="221"/>
      <c r="S116" s="230"/>
      <c r="T116" s="94"/>
      <c r="U116" s="2"/>
      <c r="V116" s="2"/>
      <c r="W116" s="2"/>
      <c r="X116" s="2"/>
    </row>
    <row r="117" spans="1:24" ht="15.5">
      <c r="A117" s="91"/>
      <c r="B117" s="76"/>
      <c r="C117" s="290"/>
      <c r="D117" s="290"/>
      <c r="E117" s="77"/>
      <c r="F117" s="71"/>
      <c r="G117" s="90"/>
      <c r="H117" s="90"/>
      <c r="I117" s="90"/>
      <c r="J117" s="90"/>
      <c r="K117" s="90"/>
      <c r="L117" s="96"/>
      <c r="M117" s="90"/>
      <c r="N117" s="89"/>
      <c r="O117" s="97"/>
      <c r="P117" s="89"/>
      <c r="Q117" s="221"/>
      <c r="R117" s="221"/>
      <c r="S117" s="230"/>
      <c r="T117" s="94"/>
      <c r="U117" s="2"/>
      <c r="V117" s="2"/>
      <c r="W117" s="2"/>
      <c r="X117" s="2"/>
    </row>
    <row r="118" spans="1:24" ht="15.5">
      <c r="A118" s="91"/>
      <c r="B118" s="76"/>
      <c r="C118" s="290"/>
      <c r="D118" s="290"/>
      <c r="E118" s="77"/>
      <c r="F118" s="71"/>
      <c r="G118" s="90"/>
      <c r="H118" s="90"/>
      <c r="I118" s="90"/>
      <c r="J118" s="90"/>
      <c r="K118" s="90"/>
      <c r="L118" s="96"/>
      <c r="M118" s="90"/>
      <c r="N118" s="89"/>
      <c r="O118" s="97"/>
      <c r="P118" s="89"/>
      <c r="Q118" s="221"/>
      <c r="R118" s="221"/>
      <c r="S118" s="230"/>
      <c r="T118" s="94"/>
      <c r="U118" s="2"/>
      <c r="V118" s="2"/>
      <c r="W118" s="2"/>
      <c r="X118" s="2"/>
    </row>
    <row r="119" spans="1:24" ht="15.5">
      <c r="A119" s="91"/>
      <c r="B119" s="76"/>
      <c r="C119" s="290"/>
      <c r="D119" s="290"/>
      <c r="E119" s="77"/>
      <c r="F119" s="71"/>
      <c r="G119" s="90"/>
      <c r="H119" s="90"/>
      <c r="I119" s="90"/>
      <c r="J119" s="90"/>
      <c r="K119" s="90"/>
      <c r="L119" s="96"/>
      <c r="M119" s="90"/>
      <c r="N119" s="89"/>
      <c r="O119" s="97"/>
      <c r="P119" s="89"/>
      <c r="Q119" s="221"/>
      <c r="R119" s="221"/>
      <c r="S119" s="230"/>
      <c r="T119" s="94"/>
      <c r="U119" s="2"/>
      <c r="V119" s="2"/>
      <c r="W119" s="2"/>
      <c r="X119" s="2"/>
    </row>
    <row r="120" spans="1:24" ht="15.5">
      <c r="A120" s="91"/>
      <c r="B120" s="76"/>
      <c r="C120" s="290"/>
      <c r="D120" s="290"/>
      <c r="E120" s="77"/>
      <c r="F120" s="71"/>
      <c r="G120" s="90"/>
      <c r="H120" s="90"/>
      <c r="I120" s="90"/>
      <c r="J120" s="90"/>
      <c r="K120" s="90"/>
      <c r="L120" s="96"/>
      <c r="M120" s="90"/>
      <c r="N120" s="89"/>
      <c r="O120" s="97"/>
      <c r="P120" s="89"/>
      <c r="Q120" s="221"/>
      <c r="R120" s="221"/>
      <c r="S120" s="230"/>
      <c r="T120" s="94"/>
      <c r="U120" s="2"/>
      <c r="V120" s="2"/>
      <c r="W120" s="2"/>
      <c r="X120" s="2"/>
    </row>
    <row r="121" spans="1:24" ht="15.5">
      <c r="A121" s="91"/>
      <c r="B121" s="76"/>
      <c r="C121" s="290"/>
      <c r="D121" s="290"/>
      <c r="E121" s="77"/>
      <c r="F121" s="71"/>
      <c r="G121" s="90"/>
      <c r="H121" s="90"/>
      <c r="I121" s="90"/>
      <c r="J121" s="90"/>
      <c r="K121" s="90"/>
      <c r="L121" s="96"/>
      <c r="M121" s="90"/>
      <c r="N121" s="89"/>
      <c r="O121" s="97"/>
      <c r="P121" s="89"/>
      <c r="Q121" s="221"/>
      <c r="R121" s="221"/>
      <c r="S121" s="230"/>
      <c r="T121" s="94"/>
      <c r="U121" s="2"/>
      <c r="V121" s="2"/>
      <c r="W121" s="2"/>
      <c r="X121" s="2"/>
    </row>
    <row r="122" spans="1:24" ht="15.5">
      <c r="A122" s="91"/>
      <c r="B122" s="76"/>
      <c r="C122" s="290"/>
      <c r="D122" s="290"/>
      <c r="E122" s="77"/>
      <c r="F122" s="71"/>
      <c r="G122" s="90"/>
      <c r="H122" s="90"/>
      <c r="I122" s="90"/>
      <c r="J122" s="90"/>
      <c r="K122" s="90"/>
      <c r="L122" s="96"/>
      <c r="M122" s="90"/>
      <c r="N122" s="89"/>
      <c r="O122" s="97"/>
      <c r="P122" s="89"/>
      <c r="Q122" s="221"/>
      <c r="R122" s="221"/>
      <c r="S122" s="230"/>
      <c r="T122" s="94"/>
      <c r="U122" s="2"/>
      <c r="V122" s="2"/>
      <c r="W122" s="2"/>
      <c r="X122" s="2"/>
    </row>
    <row r="123" spans="1:24" ht="15.5">
      <c r="A123" s="91"/>
      <c r="B123" s="76"/>
      <c r="C123" s="290"/>
      <c r="D123" s="290"/>
      <c r="E123" s="77"/>
      <c r="F123" s="71"/>
      <c r="G123" s="90"/>
      <c r="H123" s="90"/>
      <c r="I123" s="90"/>
      <c r="J123" s="90"/>
      <c r="K123" s="90"/>
      <c r="L123" s="96"/>
      <c r="M123" s="90"/>
      <c r="N123" s="89"/>
      <c r="O123" s="97"/>
      <c r="P123" s="89"/>
      <c r="Q123" s="221"/>
      <c r="R123" s="221"/>
      <c r="S123" s="230"/>
      <c r="T123" s="94"/>
      <c r="U123" s="2"/>
      <c r="V123" s="2"/>
      <c r="W123" s="2"/>
      <c r="X123" s="2"/>
    </row>
    <row r="124" spans="1:24" ht="15.5">
      <c r="A124" s="91"/>
      <c r="B124" s="76"/>
      <c r="C124" s="290"/>
      <c r="D124" s="290"/>
      <c r="E124" s="77"/>
      <c r="F124" s="71"/>
      <c r="G124" s="90"/>
      <c r="H124" s="90"/>
      <c r="I124" s="90"/>
      <c r="J124" s="90"/>
      <c r="K124" s="90"/>
      <c r="L124" s="96"/>
      <c r="M124" s="90"/>
      <c r="N124" s="89"/>
      <c r="O124" s="97"/>
      <c r="P124" s="89"/>
      <c r="Q124" s="221"/>
      <c r="R124" s="221"/>
      <c r="S124" s="230"/>
      <c r="T124" s="94"/>
      <c r="U124" s="2"/>
      <c r="V124" s="2"/>
      <c r="W124" s="2"/>
      <c r="X124" s="2"/>
    </row>
    <row r="125" spans="1:24" ht="15.5">
      <c r="A125" s="91"/>
      <c r="B125" s="76"/>
      <c r="C125" s="290"/>
      <c r="D125" s="290"/>
      <c r="E125" s="77"/>
      <c r="F125" s="71"/>
      <c r="G125" s="90"/>
      <c r="H125" s="90"/>
      <c r="I125" s="90"/>
      <c r="J125" s="90"/>
      <c r="K125" s="90"/>
      <c r="L125" s="96"/>
      <c r="M125" s="90"/>
      <c r="N125" s="89"/>
      <c r="O125" s="97"/>
      <c r="P125" s="89"/>
      <c r="Q125" s="221"/>
      <c r="R125" s="221"/>
      <c r="S125" s="230"/>
      <c r="T125" s="94"/>
      <c r="U125" s="2"/>
      <c r="V125" s="2"/>
      <c r="W125" s="2"/>
      <c r="X125" s="2"/>
    </row>
    <row r="126" spans="1:24" ht="15.5">
      <c r="A126" s="91"/>
      <c r="B126" s="76"/>
      <c r="C126" s="290"/>
      <c r="D126" s="290"/>
      <c r="E126" s="77"/>
      <c r="F126" s="71"/>
      <c r="G126" s="90"/>
      <c r="H126" s="90"/>
      <c r="I126" s="90"/>
      <c r="J126" s="90"/>
      <c r="K126" s="90"/>
      <c r="L126" s="96"/>
      <c r="M126" s="90"/>
      <c r="N126" s="89"/>
      <c r="O126" s="97"/>
      <c r="P126" s="89"/>
      <c r="Q126" s="221"/>
      <c r="R126" s="221"/>
      <c r="S126" s="230"/>
      <c r="T126" s="94"/>
      <c r="U126" s="2"/>
      <c r="V126" s="2"/>
      <c r="W126" s="2"/>
      <c r="X126" s="2"/>
    </row>
    <row r="127" spans="1:24" ht="15.5">
      <c r="A127" s="91"/>
      <c r="B127" s="76"/>
      <c r="C127" s="290"/>
      <c r="D127" s="290"/>
      <c r="E127" s="77"/>
      <c r="F127" s="71"/>
      <c r="G127" s="90"/>
      <c r="H127" s="90"/>
      <c r="I127" s="90"/>
      <c r="J127" s="90"/>
      <c r="K127" s="90"/>
      <c r="L127" s="96"/>
      <c r="M127" s="90"/>
      <c r="N127" s="89"/>
      <c r="O127" s="97"/>
      <c r="P127" s="89"/>
      <c r="Q127" s="221"/>
      <c r="R127" s="221"/>
      <c r="S127" s="230"/>
      <c r="T127" s="94"/>
      <c r="U127" s="2"/>
      <c r="V127" s="2"/>
      <c r="W127" s="2"/>
      <c r="X127" s="2"/>
    </row>
    <row r="128" spans="1:24" ht="15.5">
      <c r="A128" s="91"/>
      <c r="B128" s="76"/>
      <c r="C128" s="290"/>
      <c r="D128" s="290"/>
      <c r="E128" s="77"/>
      <c r="F128" s="71"/>
      <c r="G128" s="90"/>
      <c r="H128" s="90"/>
      <c r="I128" s="90"/>
      <c r="J128" s="90"/>
      <c r="K128" s="90"/>
      <c r="L128" s="96"/>
      <c r="M128" s="90"/>
      <c r="N128" s="89"/>
      <c r="O128" s="97"/>
      <c r="P128" s="89"/>
      <c r="Q128" s="221"/>
      <c r="R128" s="221"/>
      <c r="S128" s="230"/>
      <c r="T128" s="94"/>
      <c r="U128" s="2"/>
      <c r="V128" s="2"/>
      <c r="W128" s="2"/>
      <c r="X128" s="2"/>
    </row>
    <row r="129" spans="1:24" ht="15.5">
      <c r="A129" s="91"/>
      <c r="B129" s="76"/>
      <c r="C129" s="290"/>
      <c r="D129" s="290"/>
      <c r="E129" s="77"/>
      <c r="F129" s="71"/>
      <c r="G129" s="90"/>
      <c r="H129" s="90"/>
      <c r="I129" s="90"/>
      <c r="J129" s="90"/>
      <c r="K129" s="90"/>
      <c r="L129" s="96"/>
      <c r="M129" s="90"/>
      <c r="N129" s="89"/>
      <c r="O129" s="97"/>
      <c r="P129" s="89"/>
      <c r="Q129" s="221"/>
      <c r="R129" s="221"/>
      <c r="S129" s="230"/>
      <c r="T129" s="94"/>
      <c r="U129" s="2"/>
      <c r="V129" s="2"/>
      <c r="W129" s="2"/>
      <c r="X129" s="2"/>
    </row>
    <row r="130" spans="1:24" ht="15.5">
      <c r="A130" s="91"/>
      <c r="B130" s="76"/>
      <c r="C130" s="290"/>
      <c r="D130" s="290"/>
      <c r="E130" s="77"/>
      <c r="F130" s="71"/>
      <c r="G130" s="90"/>
      <c r="H130" s="90"/>
      <c r="I130" s="90"/>
      <c r="J130" s="90"/>
      <c r="K130" s="90"/>
      <c r="L130" s="96"/>
      <c r="M130" s="90"/>
      <c r="N130" s="89"/>
      <c r="O130" s="97"/>
      <c r="P130" s="89"/>
      <c r="Q130" s="221"/>
      <c r="R130" s="221"/>
      <c r="S130" s="230"/>
      <c r="T130" s="94"/>
      <c r="U130" s="2"/>
      <c r="V130" s="2"/>
      <c r="W130" s="2"/>
      <c r="X130" s="2"/>
    </row>
    <row r="131" spans="1:24" ht="15.5">
      <c r="A131" s="91"/>
      <c r="B131" s="76"/>
      <c r="C131" s="290"/>
      <c r="D131" s="290"/>
      <c r="E131" s="77"/>
      <c r="F131" s="71"/>
      <c r="G131" s="90"/>
      <c r="H131" s="90"/>
      <c r="I131" s="90"/>
      <c r="J131" s="90"/>
      <c r="K131" s="90"/>
      <c r="L131" s="96"/>
      <c r="M131" s="90"/>
      <c r="N131" s="89"/>
      <c r="O131" s="97"/>
      <c r="P131" s="89"/>
      <c r="Q131" s="221"/>
      <c r="R131" s="221"/>
      <c r="S131" s="230"/>
      <c r="T131" s="94"/>
      <c r="U131" s="2"/>
      <c r="V131" s="2"/>
      <c r="W131" s="2"/>
      <c r="X131" s="2"/>
    </row>
    <row r="132" spans="1:24" ht="15.5">
      <c r="A132" s="91"/>
      <c r="B132" s="76"/>
      <c r="C132" s="290"/>
      <c r="D132" s="290"/>
      <c r="E132" s="77"/>
      <c r="F132" s="71"/>
      <c r="G132" s="90"/>
      <c r="H132" s="90"/>
      <c r="I132" s="90"/>
      <c r="J132" s="90"/>
      <c r="K132" s="90"/>
      <c r="L132" s="96"/>
      <c r="M132" s="90"/>
      <c r="N132" s="89"/>
      <c r="O132" s="97"/>
      <c r="P132" s="89"/>
      <c r="Q132" s="221"/>
      <c r="R132" s="221"/>
      <c r="S132" s="230"/>
      <c r="T132" s="94"/>
      <c r="U132" s="2"/>
      <c r="V132" s="2"/>
      <c r="W132" s="2"/>
      <c r="X132" s="2"/>
    </row>
    <row r="133" spans="1:24" ht="15.5">
      <c r="A133" s="91"/>
      <c r="B133" s="76"/>
      <c r="C133" s="290"/>
      <c r="D133" s="290"/>
      <c r="E133" s="77"/>
      <c r="F133" s="71"/>
      <c r="G133" s="90"/>
      <c r="H133" s="90"/>
      <c r="I133" s="90"/>
      <c r="J133" s="90"/>
      <c r="K133" s="90"/>
      <c r="L133" s="96"/>
      <c r="M133" s="90"/>
      <c r="N133" s="89"/>
      <c r="O133" s="97"/>
      <c r="P133" s="89"/>
      <c r="Q133" s="221"/>
      <c r="R133" s="221"/>
      <c r="S133" s="230"/>
      <c r="T133" s="94"/>
      <c r="U133" s="2"/>
      <c r="V133" s="2"/>
      <c r="W133" s="2"/>
      <c r="X133" s="2"/>
    </row>
    <row r="134" spans="1:24" ht="15.5">
      <c r="A134" s="91"/>
      <c r="B134" s="76"/>
      <c r="C134" s="290"/>
      <c r="D134" s="290"/>
      <c r="E134" s="77"/>
      <c r="F134" s="71"/>
      <c r="G134" s="90"/>
      <c r="H134" s="90"/>
      <c r="I134" s="90"/>
      <c r="J134" s="90"/>
      <c r="K134" s="90"/>
      <c r="L134" s="96"/>
      <c r="M134" s="90"/>
      <c r="N134" s="89"/>
      <c r="O134" s="97"/>
      <c r="P134" s="89"/>
      <c r="Q134" s="221"/>
      <c r="R134" s="221"/>
      <c r="S134" s="230"/>
      <c r="T134" s="94"/>
      <c r="U134" s="2"/>
      <c r="V134" s="2"/>
      <c r="W134" s="2"/>
      <c r="X134" s="2"/>
    </row>
    <row r="135" spans="1:24" ht="15.5">
      <c r="A135" s="91"/>
      <c r="B135" s="76"/>
      <c r="C135" s="290"/>
      <c r="D135" s="290"/>
      <c r="E135" s="77"/>
      <c r="F135" s="71"/>
      <c r="G135" s="90"/>
      <c r="H135" s="90"/>
      <c r="I135" s="90"/>
      <c r="J135" s="90"/>
      <c r="K135" s="90"/>
      <c r="L135" s="96"/>
      <c r="M135" s="90"/>
      <c r="N135" s="89"/>
      <c r="O135" s="97"/>
      <c r="P135" s="89"/>
      <c r="Q135" s="221"/>
      <c r="R135" s="221"/>
      <c r="S135" s="230"/>
      <c r="T135" s="94"/>
      <c r="U135" s="2"/>
      <c r="V135" s="2"/>
      <c r="W135" s="2"/>
      <c r="X135" s="2"/>
    </row>
    <row r="136" spans="1:24" ht="15.5">
      <c r="A136" s="91"/>
      <c r="B136" s="76"/>
      <c r="C136" s="290"/>
      <c r="D136" s="290"/>
      <c r="E136" s="77"/>
      <c r="F136" s="71"/>
      <c r="G136" s="90"/>
      <c r="H136" s="90"/>
      <c r="I136" s="90"/>
      <c r="J136" s="90"/>
      <c r="K136" s="90"/>
      <c r="L136" s="96"/>
      <c r="M136" s="90"/>
      <c r="N136" s="89"/>
      <c r="O136" s="97"/>
      <c r="P136" s="89"/>
      <c r="Q136" s="221"/>
      <c r="R136" s="221"/>
      <c r="S136" s="230"/>
      <c r="T136" s="94"/>
      <c r="U136" s="2"/>
      <c r="V136" s="2"/>
      <c r="W136" s="2"/>
      <c r="X136" s="2"/>
    </row>
    <row r="137" spans="1:24" ht="15.5">
      <c r="A137" s="91"/>
      <c r="B137" s="76"/>
      <c r="C137" s="290"/>
      <c r="D137" s="290"/>
      <c r="E137" s="77"/>
      <c r="F137" s="71"/>
      <c r="G137" s="90"/>
      <c r="H137" s="90"/>
      <c r="I137" s="90"/>
      <c r="J137" s="90"/>
      <c r="K137" s="90"/>
      <c r="L137" s="96"/>
      <c r="M137" s="90"/>
      <c r="N137" s="89"/>
      <c r="O137" s="97"/>
      <c r="P137" s="89"/>
      <c r="Q137" s="221"/>
      <c r="R137" s="221"/>
      <c r="S137" s="230"/>
      <c r="T137" s="94"/>
      <c r="U137" s="2"/>
      <c r="V137" s="2"/>
      <c r="W137" s="2"/>
      <c r="X137" s="2"/>
    </row>
    <row r="138" spans="1:24" ht="15.5">
      <c r="A138" s="91"/>
      <c r="B138" s="76"/>
      <c r="C138" s="290"/>
      <c r="D138" s="290"/>
      <c r="E138" s="77"/>
      <c r="F138" s="71"/>
      <c r="G138" s="90"/>
      <c r="H138" s="90"/>
      <c r="I138" s="90"/>
      <c r="J138" s="90"/>
      <c r="K138" s="90"/>
      <c r="L138" s="96"/>
      <c r="M138" s="90"/>
      <c r="N138" s="89"/>
      <c r="O138" s="97"/>
      <c r="P138" s="89"/>
      <c r="Q138" s="221"/>
      <c r="R138" s="221"/>
      <c r="S138" s="230"/>
      <c r="T138" s="94"/>
      <c r="U138" s="2"/>
      <c r="V138" s="2"/>
      <c r="W138" s="2"/>
      <c r="X138" s="2"/>
    </row>
    <row r="139" spans="1:24" ht="15.5">
      <c r="A139" s="91"/>
      <c r="B139" s="76"/>
      <c r="C139" s="290"/>
      <c r="D139" s="290"/>
      <c r="E139" s="77"/>
      <c r="F139" s="71"/>
      <c r="G139" s="90"/>
      <c r="H139" s="90"/>
      <c r="I139" s="90"/>
      <c r="J139" s="90"/>
      <c r="K139" s="90"/>
      <c r="L139" s="96"/>
      <c r="M139" s="90"/>
      <c r="N139" s="89"/>
      <c r="O139" s="97"/>
      <c r="P139" s="89"/>
      <c r="Q139" s="221"/>
      <c r="R139" s="221"/>
      <c r="S139" s="230"/>
      <c r="T139" s="94"/>
      <c r="U139" s="2"/>
      <c r="V139" s="2"/>
      <c r="W139" s="2"/>
      <c r="X139" s="2"/>
    </row>
    <row r="140" spans="1:24" ht="15.5">
      <c r="A140" s="91"/>
      <c r="B140" s="76"/>
      <c r="C140" s="290"/>
      <c r="D140" s="290"/>
      <c r="E140" s="77"/>
      <c r="F140" s="71"/>
      <c r="G140" s="90"/>
      <c r="H140" s="90"/>
      <c r="I140" s="90"/>
      <c r="J140" s="90"/>
      <c r="K140" s="90"/>
      <c r="L140" s="96"/>
      <c r="M140" s="90"/>
      <c r="N140" s="89"/>
      <c r="O140" s="97"/>
      <c r="P140" s="89"/>
      <c r="Q140" s="221"/>
      <c r="R140" s="221"/>
      <c r="S140" s="230"/>
      <c r="T140" s="94"/>
      <c r="U140" s="2"/>
      <c r="V140" s="2"/>
      <c r="W140" s="2"/>
      <c r="X140" s="2"/>
    </row>
    <row r="141" spans="1:24" ht="15.5">
      <c r="A141" s="91"/>
      <c r="B141" s="76"/>
      <c r="C141" s="290"/>
      <c r="D141" s="290"/>
      <c r="E141" s="77"/>
      <c r="F141" s="71"/>
      <c r="G141" s="90"/>
      <c r="H141" s="90"/>
      <c r="I141" s="90"/>
      <c r="J141" s="90"/>
      <c r="K141" s="90"/>
      <c r="L141" s="96"/>
      <c r="M141" s="90"/>
      <c r="N141" s="89"/>
      <c r="O141" s="97"/>
      <c r="P141" s="89"/>
      <c r="Q141" s="221"/>
      <c r="R141" s="221"/>
      <c r="S141" s="230"/>
      <c r="T141" s="94"/>
      <c r="U141" s="2"/>
      <c r="V141" s="2"/>
      <c r="W141" s="2"/>
      <c r="X141" s="2"/>
    </row>
    <row r="142" spans="1:24" ht="15.5">
      <c r="A142" s="91"/>
      <c r="B142" s="76"/>
      <c r="C142" s="290"/>
      <c r="D142" s="290"/>
      <c r="E142" s="77"/>
      <c r="F142" s="71"/>
      <c r="G142" s="90"/>
      <c r="H142" s="90"/>
      <c r="I142" s="90"/>
      <c r="J142" s="90"/>
      <c r="K142" s="90"/>
      <c r="L142" s="96"/>
      <c r="M142" s="90"/>
      <c r="N142" s="89"/>
      <c r="O142" s="97"/>
      <c r="P142" s="89"/>
      <c r="Q142" s="221"/>
      <c r="R142" s="221"/>
      <c r="S142" s="230"/>
      <c r="T142" s="94"/>
      <c r="U142" s="2"/>
      <c r="V142" s="2"/>
      <c r="W142" s="2"/>
      <c r="X142" s="2"/>
    </row>
    <row r="143" spans="1:24" ht="15.5">
      <c r="A143" s="91"/>
      <c r="B143" s="76"/>
      <c r="C143" s="290"/>
      <c r="D143" s="290"/>
      <c r="E143" s="77"/>
      <c r="F143" s="71"/>
      <c r="G143" s="90"/>
      <c r="H143" s="90"/>
      <c r="I143" s="90"/>
      <c r="J143" s="90"/>
      <c r="K143" s="90"/>
      <c r="L143" s="96"/>
      <c r="M143" s="90"/>
      <c r="N143" s="89"/>
      <c r="O143" s="97"/>
      <c r="P143" s="89"/>
      <c r="Q143" s="221"/>
      <c r="R143" s="221"/>
      <c r="S143" s="230"/>
      <c r="T143" s="94"/>
      <c r="U143" s="2"/>
      <c r="V143" s="2"/>
      <c r="W143" s="2"/>
      <c r="X143" s="2"/>
    </row>
    <row r="144" spans="1:24" ht="15.5">
      <c r="A144" s="91"/>
      <c r="B144" s="76"/>
      <c r="C144" s="290"/>
      <c r="D144" s="290"/>
      <c r="E144" s="77"/>
      <c r="F144" s="71"/>
      <c r="G144" s="90"/>
      <c r="H144" s="90"/>
      <c r="I144" s="90"/>
      <c r="J144" s="90"/>
      <c r="K144" s="90"/>
      <c r="L144" s="96"/>
      <c r="M144" s="90"/>
      <c r="N144" s="89"/>
      <c r="O144" s="97"/>
      <c r="P144" s="89"/>
      <c r="Q144" s="221"/>
      <c r="R144" s="221"/>
      <c r="S144" s="230"/>
      <c r="T144" s="94"/>
      <c r="U144" s="2"/>
      <c r="V144" s="2"/>
      <c r="W144" s="2"/>
      <c r="X144" s="2"/>
    </row>
    <row r="145" spans="1:24" ht="15.5">
      <c r="A145" s="91"/>
      <c r="B145" s="76"/>
      <c r="C145" s="290"/>
      <c r="D145" s="290"/>
      <c r="E145" s="77"/>
      <c r="F145" s="71"/>
      <c r="G145" s="90"/>
      <c r="H145" s="90"/>
      <c r="I145" s="90"/>
      <c r="J145" s="90"/>
      <c r="K145" s="90"/>
      <c r="L145" s="96"/>
      <c r="M145" s="90"/>
      <c r="N145" s="89"/>
      <c r="O145" s="97"/>
      <c r="P145" s="89"/>
      <c r="Q145" s="221"/>
      <c r="R145" s="221"/>
      <c r="S145" s="230"/>
      <c r="T145" s="94"/>
      <c r="U145" s="2"/>
      <c r="V145" s="2"/>
      <c r="W145" s="2"/>
      <c r="X145" s="2"/>
    </row>
    <row r="146" spans="1:24" ht="15.5">
      <c r="A146" s="91"/>
      <c r="B146" s="76"/>
      <c r="C146" s="290"/>
      <c r="D146" s="290"/>
      <c r="E146" s="77"/>
      <c r="F146" s="71"/>
      <c r="G146" s="90"/>
      <c r="H146" s="90"/>
      <c r="I146" s="90"/>
      <c r="J146" s="90"/>
      <c r="K146" s="90"/>
      <c r="L146" s="96"/>
      <c r="M146" s="90"/>
      <c r="N146" s="89"/>
      <c r="O146" s="97"/>
      <c r="P146" s="89"/>
      <c r="Q146" s="221"/>
      <c r="R146" s="221"/>
      <c r="S146" s="230"/>
      <c r="T146" s="94"/>
      <c r="U146" s="2"/>
      <c r="V146" s="2"/>
      <c r="W146" s="2"/>
      <c r="X146" s="2"/>
    </row>
    <row r="147" spans="1:24" ht="15.5">
      <c r="A147" s="91"/>
      <c r="B147" s="76"/>
      <c r="C147" s="290"/>
      <c r="D147" s="290"/>
      <c r="E147" s="77"/>
      <c r="F147" s="71"/>
      <c r="G147" s="90"/>
      <c r="H147" s="90"/>
      <c r="I147" s="90"/>
      <c r="J147" s="90"/>
      <c r="K147" s="90"/>
      <c r="L147" s="96"/>
      <c r="M147" s="90"/>
      <c r="N147" s="89"/>
      <c r="O147" s="97"/>
      <c r="P147" s="89"/>
      <c r="Q147" s="221"/>
      <c r="R147" s="221"/>
      <c r="S147" s="230"/>
      <c r="T147" s="94"/>
      <c r="U147" s="2"/>
      <c r="V147" s="2"/>
      <c r="W147" s="2"/>
      <c r="X147" s="2"/>
    </row>
    <row r="148" spans="1:24" ht="15.5">
      <c r="A148" s="91"/>
      <c r="B148" s="76"/>
      <c r="C148" s="290"/>
      <c r="D148" s="290"/>
      <c r="E148" s="77"/>
      <c r="F148" s="71"/>
      <c r="G148" s="90"/>
      <c r="H148" s="90"/>
      <c r="I148" s="90"/>
      <c r="J148" s="90"/>
      <c r="K148" s="90"/>
      <c r="L148" s="96"/>
      <c r="M148" s="90"/>
      <c r="N148" s="89"/>
      <c r="O148" s="97"/>
      <c r="P148" s="89"/>
      <c r="Q148" s="221"/>
      <c r="R148" s="221"/>
      <c r="S148" s="230"/>
      <c r="T148" s="94"/>
      <c r="U148" s="2"/>
      <c r="V148" s="2"/>
      <c r="W148" s="2"/>
      <c r="X148" s="2"/>
    </row>
    <row r="149" spans="1:24" ht="15.5">
      <c r="A149" s="91"/>
      <c r="B149" s="76"/>
      <c r="C149" s="290"/>
      <c r="D149" s="290"/>
      <c r="E149" s="77"/>
      <c r="F149" s="71"/>
      <c r="G149" s="90"/>
      <c r="H149" s="90"/>
      <c r="I149" s="90"/>
      <c r="J149" s="90"/>
      <c r="K149" s="90"/>
      <c r="L149" s="96"/>
      <c r="M149" s="90"/>
      <c r="N149" s="89"/>
      <c r="O149" s="97"/>
      <c r="P149" s="89"/>
      <c r="Q149" s="221"/>
      <c r="R149" s="221"/>
      <c r="S149" s="230"/>
      <c r="T149" s="94"/>
      <c r="U149" s="2"/>
      <c r="V149" s="2"/>
      <c r="W149" s="2"/>
      <c r="X149" s="2"/>
    </row>
    <row r="150" spans="1:24" ht="15.5">
      <c r="A150" s="91"/>
      <c r="B150" s="76"/>
      <c r="C150" s="290"/>
      <c r="D150" s="290"/>
      <c r="E150" s="77"/>
      <c r="F150" s="71"/>
      <c r="G150" s="90"/>
      <c r="H150" s="90"/>
      <c r="I150" s="90"/>
      <c r="J150" s="90"/>
      <c r="K150" s="90"/>
      <c r="L150" s="96"/>
      <c r="M150" s="90"/>
      <c r="N150" s="89"/>
      <c r="O150" s="97"/>
      <c r="P150" s="89"/>
      <c r="Q150" s="221"/>
      <c r="R150" s="221"/>
      <c r="S150" s="230"/>
      <c r="T150" s="94"/>
      <c r="U150" s="2"/>
      <c r="V150" s="2"/>
      <c r="W150" s="2"/>
      <c r="X150" s="2"/>
    </row>
    <row r="151" spans="1:24" ht="15.5">
      <c r="A151" s="91"/>
      <c r="B151" s="76"/>
      <c r="C151" s="290"/>
      <c r="D151" s="290"/>
      <c r="E151" s="77"/>
      <c r="F151" s="71"/>
      <c r="G151" s="90"/>
      <c r="H151" s="90"/>
      <c r="I151" s="90"/>
      <c r="J151" s="90"/>
      <c r="K151" s="90"/>
      <c r="L151" s="96"/>
      <c r="M151" s="90"/>
      <c r="N151" s="89"/>
      <c r="O151" s="97"/>
      <c r="P151" s="89"/>
      <c r="Q151" s="221"/>
      <c r="R151" s="221"/>
      <c r="S151" s="230"/>
      <c r="T151" s="94"/>
      <c r="U151" s="2"/>
      <c r="V151" s="2"/>
      <c r="W151" s="2"/>
      <c r="X151" s="2"/>
    </row>
    <row r="152" spans="1:24" ht="15.5">
      <c r="A152" s="91"/>
      <c r="B152" s="76"/>
      <c r="C152" s="290"/>
      <c r="D152" s="290"/>
      <c r="E152" s="77"/>
      <c r="F152" s="71"/>
      <c r="G152" s="90"/>
      <c r="H152" s="90"/>
      <c r="I152" s="90"/>
      <c r="J152" s="90"/>
      <c r="K152" s="90"/>
      <c r="L152" s="96"/>
      <c r="M152" s="90"/>
      <c r="N152" s="89"/>
      <c r="O152" s="97"/>
      <c r="P152" s="89"/>
      <c r="Q152" s="221"/>
      <c r="R152" s="221"/>
      <c r="S152" s="230"/>
      <c r="T152" s="94"/>
      <c r="U152" s="2"/>
      <c r="V152" s="2"/>
      <c r="W152" s="2"/>
      <c r="X152" s="2"/>
    </row>
    <row r="153" spans="1:24" ht="15.5">
      <c r="A153" s="91"/>
      <c r="B153" s="76"/>
      <c r="C153" s="290"/>
      <c r="D153" s="290"/>
      <c r="E153" s="77"/>
      <c r="F153" s="71"/>
      <c r="G153" s="90"/>
      <c r="H153" s="90"/>
      <c r="I153" s="90"/>
      <c r="J153" s="90"/>
      <c r="K153" s="90"/>
      <c r="L153" s="96"/>
      <c r="M153" s="90"/>
      <c r="N153" s="89"/>
      <c r="O153" s="97"/>
      <c r="P153" s="89"/>
      <c r="Q153" s="221"/>
      <c r="R153" s="221"/>
      <c r="S153" s="230"/>
      <c r="T153" s="94"/>
      <c r="U153" s="2"/>
      <c r="V153" s="2"/>
      <c r="W153" s="2"/>
      <c r="X153" s="2"/>
    </row>
    <row r="154" spans="1:24" ht="15.5">
      <c r="A154" s="91"/>
      <c r="B154" s="76"/>
      <c r="C154" s="290"/>
      <c r="D154" s="290"/>
      <c r="E154" s="77"/>
      <c r="F154" s="71"/>
      <c r="G154" s="90"/>
      <c r="H154" s="90"/>
      <c r="I154" s="90"/>
      <c r="J154" s="90"/>
      <c r="K154" s="90"/>
      <c r="L154" s="96"/>
      <c r="M154" s="90"/>
      <c r="N154" s="89"/>
      <c r="O154" s="97"/>
      <c r="P154" s="89"/>
      <c r="Q154" s="221"/>
      <c r="R154" s="221"/>
      <c r="S154" s="230"/>
      <c r="T154" s="94"/>
      <c r="U154" s="2"/>
      <c r="V154" s="2"/>
      <c r="W154" s="2"/>
      <c r="X154" s="2"/>
    </row>
    <row r="155" spans="1:24" ht="15.5">
      <c r="A155" s="91"/>
      <c r="B155" s="76"/>
      <c r="C155" s="290"/>
      <c r="D155" s="290"/>
      <c r="E155" s="77"/>
      <c r="F155" s="71"/>
      <c r="G155" s="90"/>
      <c r="H155" s="90"/>
      <c r="I155" s="90"/>
      <c r="J155" s="90"/>
      <c r="K155" s="90"/>
      <c r="L155" s="96"/>
      <c r="M155" s="90"/>
      <c r="N155" s="89"/>
      <c r="O155" s="97"/>
      <c r="P155" s="89"/>
      <c r="Q155" s="221"/>
      <c r="R155" s="221"/>
      <c r="S155" s="230"/>
      <c r="T155" s="94"/>
      <c r="U155" s="2"/>
      <c r="V155" s="2"/>
      <c r="W155" s="2"/>
      <c r="X155" s="2"/>
    </row>
    <row r="156" spans="1:24" ht="15.5">
      <c r="A156" s="91"/>
      <c r="B156" s="76"/>
      <c r="C156" s="290"/>
      <c r="D156" s="290"/>
      <c r="E156" s="77"/>
      <c r="F156" s="71"/>
      <c r="G156" s="90"/>
      <c r="H156" s="90"/>
      <c r="I156" s="90"/>
      <c r="J156" s="90"/>
      <c r="K156" s="90"/>
      <c r="L156" s="96"/>
      <c r="M156" s="90"/>
      <c r="N156" s="89"/>
      <c r="O156" s="97"/>
      <c r="P156" s="89"/>
      <c r="Q156" s="221"/>
      <c r="R156" s="221"/>
      <c r="S156" s="230"/>
      <c r="T156" s="94"/>
      <c r="U156" s="2"/>
      <c r="V156" s="2"/>
      <c r="W156" s="2"/>
      <c r="X156" s="2"/>
    </row>
    <row r="157" spans="1:24" ht="15.5">
      <c r="A157" s="91"/>
      <c r="B157" s="76"/>
      <c r="C157" s="290"/>
      <c r="D157" s="290"/>
      <c r="E157" s="77"/>
      <c r="F157" s="71"/>
      <c r="G157" s="90"/>
      <c r="H157" s="90"/>
      <c r="I157" s="90"/>
      <c r="J157" s="90"/>
      <c r="K157" s="90"/>
      <c r="L157" s="96"/>
      <c r="M157" s="90"/>
      <c r="N157" s="89"/>
      <c r="O157" s="97"/>
      <c r="P157" s="89"/>
      <c r="Q157" s="221"/>
      <c r="R157" s="221"/>
      <c r="S157" s="230"/>
      <c r="T157" s="94"/>
      <c r="U157" s="2"/>
      <c r="V157" s="2"/>
      <c r="W157" s="2"/>
      <c r="X157" s="2"/>
    </row>
    <row r="158" spans="1:24" ht="15.5">
      <c r="A158" s="91"/>
      <c r="B158" s="76"/>
      <c r="C158" s="290"/>
      <c r="D158" s="290"/>
      <c r="E158" s="77"/>
      <c r="F158" s="71"/>
      <c r="G158" s="90"/>
      <c r="H158" s="90"/>
      <c r="I158" s="90"/>
      <c r="J158" s="90"/>
      <c r="K158" s="90"/>
      <c r="L158" s="96"/>
      <c r="M158" s="90"/>
      <c r="N158" s="89"/>
      <c r="O158" s="97"/>
      <c r="P158" s="89"/>
      <c r="Q158" s="221"/>
      <c r="R158" s="221"/>
      <c r="S158" s="230"/>
      <c r="T158" s="94"/>
      <c r="U158" s="2"/>
      <c r="V158" s="2"/>
      <c r="W158" s="2"/>
      <c r="X158" s="2"/>
    </row>
    <row r="159" spans="1:24" ht="15.5">
      <c r="A159" s="91"/>
      <c r="B159" s="76"/>
      <c r="C159" s="290"/>
      <c r="D159" s="290"/>
      <c r="E159" s="77"/>
      <c r="F159" s="71"/>
      <c r="G159" s="90"/>
      <c r="H159" s="90"/>
      <c r="I159" s="90"/>
      <c r="J159" s="90"/>
      <c r="K159" s="90"/>
      <c r="L159" s="96"/>
      <c r="M159" s="90"/>
      <c r="N159" s="89"/>
      <c r="O159" s="97"/>
      <c r="P159" s="89"/>
      <c r="Q159" s="221"/>
      <c r="R159" s="221"/>
      <c r="S159" s="230"/>
      <c r="T159" s="94"/>
      <c r="U159" s="2"/>
      <c r="V159" s="2"/>
      <c r="W159" s="2"/>
      <c r="X159" s="2"/>
    </row>
    <row r="160" spans="1:24" ht="15.5">
      <c r="A160" s="91"/>
      <c r="B160" s="76"/>
      <c r="C160" s="290"/>
      <c r="D160" s="290"/>
      <c r="E160" s="77"/>
      <c r="F160" s="71"/>
      <c r="G160" s="90"/>
      <c r="H160" s="90"/>
      <c r="I160" s="90"/>
      <c r="J160" s="90"/>
      <c r="K160" s="90"/>
      <c r="L160" s="96"/>
      <c r="M160" s="90"/>
      <c r="N160" s="89"/>
      <c r="O160" s="97"/>
      <c r="P160" s="89"/>
      <c r="Q160" s="221"/>
      <c r="R160" s="221"/>
      <c r="S160" s="230"/>
      <c r="T160" s="94"/>
      <c r="U160" s="2"/>
      <c r="V160" s="2"/>
      <c r="W160" s="2"/>
      <c r="X160" s="2"/>
    </row>
    <row r="161" spans="1:24" ht="15.5">
      <c r="A161" s="91"/>
      <c r="B161" s="76"/>
      <c r="C161" s="290"/>
      <c r="D161" s="290"/>
      <c r="E161" s="77"/>
      <c r="F161" s="71"/>
      <c r="G161" s="90"/>
      <c r="H161" s="90"/>
      <c r="I161" s="90"/>
      <c r="J161" s="90"/>
      <c r="K161" s="90"/>
      <c r="L161" s="96"/>
      <c r="M161" s="90"/>
      <c r="N161" s="89"/>
      <c r="O161" s="97"/>
      <c r="P161" s="89"/>
      <c r="Q161" s="221"/>
      <c r="R161" s="221"/>
      <c r="S161" s="230"/>
      <c r="T161" s="94"/>
      <c r="U161" s="2"/>
      <c r="V161" s="2"/>
      <c r="W161" s="2"/>
      <c r="X161" s="2"/>
    </row>
    <row r="162" spans="1:24" ht="15.5">
      <c r="A162" s="91"/>
      <c r="B162" s="76"/>
      <c r="C162" s="290"/>
      <c r="D162" s="290"/>
      <c r="E162" s="77"/>
      <c r="F162" s="71"/>
      <c r="G162" s="90"/>
      <c r="H162" s="90"/>
      <c r="I162" s="90"/>
      <c r="J162" s="90"/>
      <c r="K162" s="90"/>
      <c r="L162" s="96"/>
      <c r="M162" s="90"/>
      <c r="N162" s="89"/>
      <c r="O162" s="97"/>
      <c r="P162" s="89"/>
      <c r="Q162" s="221"/>
      <c r="R162" s="221"/>
      <c r="S162" s="230"/>
      <c r="T162" s="94"/>
      <c r="U162" s="2"/>
      <c r="V162" s="2"/>
      <c r="W162" s="2"/>
      <c r="X162" s="2"/>
    </row>
    <row r="163" spans="1:24" ht="15.5">
      <c r="A163" s="91"/>
      <c r="B163" s="76"/>
      <c r="C163" s="290"/>
      <c r="D163" s="290"/>
      <c r="E163" s="77"/>
      <c r="F163" s="71"/>
      <c r="G163" s="90"/>
      <c r="H163" s="90"/>
      <c r="I163" s="90"/>
      <c r="J163" s="90"/>
      <c r="K163" s="90"/>
      <c r="L163" s="96"/>
      <c r="M163" s="90"/>
      <c r="N163" s="89"/>
      <c r="O163" s="97"/>
      <c r="P163" s="89"/>
      <c r="Q163" s="221"/>
      <c r="R163" s="221"/>
      <c r="S163" s="230"/>
      <c r="T163" s="94"/>
      <c r="U163" s="2"/>
      <c r="V163" s="2"/>
      <c r="W163" s="2"/>
      <c r="X163" s="2"/>
    </row>
    <row r="164" spans="1:24" ht="15.5">
      <c r="A164" s="91"/>
      <c r="B164" s="76"/>
      <c r="C164" s="290"/>
      <c r="D164" s="290"/>
      <c r="E164" s="77"/>
      <c r="F164" s="71"/>
      <c r="G164" s="90"/>
      <c r="H164" s="90"/>
      <c r="I164" s="90"/>
      <c r="J164" s="90"/>
      <c r="K164" s="90"/>
      <c r="L164" s="96"/>
      <c r="M164" s="90"/>
      <c r="N164" s="89"/>
      <c r="O164" s="97"/>
      <c r="P164" s="89"/>
      <c r="Q164" s="221"/>
      <c r="R164" s="221"/>
      <c r="S164" s="230"/>
      <c r="T164" s="94"/>
      <c r="U164" s="2"/>
      <c r="V164" s="2"/>
      <c r="W164" s="2"/>
      <c r="X164" s="2"/>
    </row>
    <row r="165" spans="1:24" ht="15.5">
      <c r="A165" s="91"/>
      <c r="B165" s="76"/>
      <c r="C165" s="290"/>
      <c r="D165" s="290"/>
      <c r="E165" s="77"/>
      <c r="F165" s="71"/>
      <c r="G165" s="90"/>
      <c r="H165" s="90"/>
      <c r="I165" s="90"/>
      <c r="J165" s="90"/>
      <c r="K165" s="90"/>
      <c r="L165" s="96"/>
      <c r="M165" s="90"/>
      <c r="N165" s="89"/>
      <c r="O165" s="97"/>
      <c r="P165" s="89"/>
      <c r="Q165" s="221"/>
      <c r="R165" s="221"/>
      <c r="S165" s="230"/>
      <c r="T165" s="94"/>
      <c r="U165" s="2"/>
      <c r="V165" s="2"/>
      <c r="W165" s="2"/>
      <c r="X165" s="2"/>
    </row>
    <row r="166" spans="1:24" ht="15.5">
      <c r="A166" s="91"/>
      <c r="B166" s="76"/>
      <c r="C166" s="290"/>
      <c r="D166" s="290"/>
      <c r="E166" s="77"/>
      <c r="F166" s="71"/>
      <c r="G166" s="90"/>
      <c r="H166" s="90"/>
      <c r="I166" s="90"/>
      <c r="J166" s="90"/>
      <c r="K166" s="90"/>
      <c r="L166" s="96"/>
      <c r="M166" s="90"/>
      <c r="N166" s="89"/>
      <c r="O166" s="97"/>
      <c r="P166" s="89"/>
      <c r="Q166" s="221"/>
      <c r="R166" s="221"/>
      <c r="S166" s="230"/>
      <c r="T166" s="94"/>
      <c r="U166" s="2"/>
      <c r="V166" s="2"/>
      <c r="W166" s="2"/>
      <c r="X166" s="2"/>
    </row>
    <row r="167" spans="1:24" ht="15.5">
      <c r="A167" s="91"/>
      <c r="B167" s="76"/>
      <c r="C167" s="290"/>
      <c r="D167" s="290"/>
      <c r="E167" s="77"/>
      <c r="F167" s="71"/>
      <c r="G167" s="90"/>
      <c r="H167" s="90"/>
      <c r="I167" s="90"/>
      <c r="J167" s="90"/>
      <c r="K167" s="90"/>
      <c r="L167" s="96"/>
      <c r="M167" s="90"/>
      <c r="N167" s="89"/>
      <c r="O167" s="97"/>
      <c r="P167" s="89"/>
      <c r="Q167" s="221"/>
      <c r="R167" s="221"/>
      <c r="S167" s="230"/>
      <c r="T167" s="94"/>
      <c r="U167" s="2"/>
      <c r="V167" s="2"/>
      <c r="W167" s="2"/>
      <c r="X167" s="2"/>
    </row>
    <row r="168" spans="1:24" ht="15.5">
      <c r="A168" s="91"/>
      <c r="B168" s="76"/>
      <c r="C168" s="290"/>
      <c r="D168" s="290"/>
      <c r="E168" s="77"/>
      <c r="F168" s="71"/>
      <c r="G168" s="90"/>
      <c r="H168" s="90"/>
      <c r="I168" s="90"/>
      <c r="J168" s="90"/>
      <c r="K168" s="90"/>
      <c r="L168" s="96"/>
      <c r="M168" s="90"/>
      <c r="N168" s="89"/>
      <c r="O168" s="97"/>
      <c r="P168" s="89"/>
      <c r="Q168" s="221"/>
      <c r="R168" s="221"/>
      <c r="S168" s="230"/>
      <c r="T168" s="94"/>
      <c r="U168" s="2"/>
      <c r="V168" s="2"/>
      <c r="W168" s="2"/>
      <c r="X168" s="2"/>
    </row>
    <row r="169" spans="1:24" ht="15.5">
      <c r="A169" s="91"/>
      <c r="B169" s="76"/>
      <c r="C169" s="290"/>
      <c r="D169" s="290"/>
      <c r="E169" s="77"/>
      <c r="F169" s="71"/>
      <c r="G169" s="90"/>
      <c r="H169" s="90"/>
      <c r="I169" s="90"/>
      <c r="J169" s="90"/>
      <c r="K169" s="90"/>
      <c r="L169" s="96"/>
      <c r="M169" s="90"/>
      <c r="N169" s="89"/>
      <c r="O169" s="97"/>
      <c r="P169" s="89"/>
      <c r="Q169" s="221"/>
      <c r="R169" s="221"/>
      <c r="S169" s="230"/>
      <c r="T169" s="94"/>
      <c r="U169" s="2"/>
      <c r="V169" s="2"/>
      <c r="W169" s="2"/>
      <c r="X169" s="2"/>
    </row>
    <row r="170" spans="1:24" ht="15.5">
      <c r="A170" s="91"/>
      <c r="B170" s="76"/>
      <c r="C170" s="290"/>
      <c r="D170" s="290"/>
      <c r="E170" s="77"/>
      <c r="F170" s="71"/>
      <c r="G170" s="90"/>
      <c r="H170" s="90"/>
      <c r="I170" s="90"/>
      <c r="J170" s="90"/>
      <c r="K170" s="90"/>
      <c r="L170" s="96"/>
      <c r="M170" s="90"/>
      <c r="N170" s="89"/>
      <c r="O170" s="97"/>
      <c r="P170" s="89"/>
      <c r="Q170" s="221"/>
      <c r="R170" s="221"/>
      <c r="S170" s="230"/>
      <c r="T170" s="94"/>
      <c r="U170" s="2"/>
      <c r="V170" s="2"/>
      <c r="W170" s="2"/>
      <c r="X170" s="2"/>
    </row>
    <row r="171" spans="1:24" ht="15.5">
      <c r="A171" s="91"/>
      <c r="B171" s="76"/>
      <c r="C171" s="290"/>
      <c r="D171" s="290"/>
      <c r="E171" s="77"/>
      <c r="F171" s="71"/>
      <c r="G171" s="90"/>
      <c r="H171" s="90"/>
      <c r="I171" s="90"/>
      <c r="J171" s="90"/>
      <c r="K171" s="90"/>
      <c r="L171" s="96"/>
      <c r="M171" s="90"/>
      <c r="N171" s="89"/>
      <c r="O171" s="97"/>
      <c r="P171" s="89"/>
      <c r="Q171" s="221"/>
      <c r="R171" s="221"/>
      <c r="S171" s="230"/>
      <c r="T171" s="94"/>
      <c r="U171" s="2"/>
      <c r="V171" s="2"/>
      <c r="W171" s="2"/>
      <c r="X171" s="2"/>
    </row>
    <row r="172" spans="1:24" ht="15.5">
      <c r="A172" s="91"/>
      <c r="B172" s="76"/>
      <c r="C172" s="290"/>
      <c r="D172" s="290"/>
      <c r="E172" s="77"/>
      <c r="F172" s="71"/>
      <c r="G172" s="90"/>
      <c r="H172" s="90"/>
      <c r="I172" s="90"/>
      <c r="J172" s="90"/>
      <c r="K172" s="90"/>
      <c r="L172" s="96"/>
      <c r="M172" s="90"/>
      <c r="N172" s="89"/>
      <c r="O172" s="97"/>
      <c r="P172" s="89"/>
      <c r="Q172" s="221"/>
      <c r="R172" s="221"/>
      <c r="S172" s="230"/>
      <c r="T172" s="94"/>
      <c r="U172" s="2"/>
      <c r="V172" s="2"/>
      <c r="W172" s="2"/>
      <c r="X172" s="2"/>
    </row>
    <row r="173" spans="1:24" ht="15.5">
      <c r="A173" s="91"/>
      <c r="B173" s="76"/>
      <c r="C173" s="290"/>
      <c r="D173" s="290"/>
      <c r="E173" s="77"/>
      <c r="F173" s="71"/>
      <c r="G173" s="90"/>
      <c r="H173" s="90"/>
      <c r="I173" s="90"/>
      <c r="J173" s="90"/>
      <c r="K173" s="90"/>
      <c r="L173" s="96"/>
      <c r="M173" s="90"/>
      <c r="N173" s="89"/>
      <c r="O173" s="97"/>
      <c r="P173" s="89"/>
      <c r="Q173" s="221"/>
      <c r="R173" s="221"/>
      <c r="S173" s="230"/>
      <c r="T173" s="94"/>
      <c r="U173" s="2"/>
      <c r="V173" s="2"/>
      <c r="W173" s="2"/>
      <c r="X173" s="2"/>
    </row>
    <row r="174" spans="1:24" ht="15.5">
      <c r="A174" s="91"/>
      <c r="B174" s="76"/>
      <c r="C174" s="290"/>
      <c r="D174" s="290"/>
      <c r="E174" s="77"/>
      <c r="F174" s="71"/>
      <c r="G174" s="90"/>
      <c r="H174" s="90"/>
      <c r="I174" s="90"/>
      <c r="J174" s="90"/>
      <c r="K174" s="90"/>
      <c r="L174" s="96"/>
      <c r="M174" s="90"/>
      <c r="N174" s="89"/>
      <c r="O174" s="97"/>
      <c r="P174" s="89"/>
      <c r="Q174" s="221"/>
      <c r="R174" s="221"/>
      <c r="S174" s="230"/>
      <c r="T174" s="94"/>
      <c r="U174" s="2"/>
      <c r="V174" s="2"/>
      <c r="W174" s="2"/>
      <c r="X174" s="2"/>
    </row>
    <row r="175" spans="1:24" ht="15.5">
      <c r="A175" s="91"/>
      <c r="B175" s="76"/>
      <c r="C175" s="290"/>
      <c r="D175" s="290"/>
      <c r="E175" s="77"/>
      <c r="F175" s="71"/>
      <c r="G175" s="90"/>
      <c r="H175" s="90"/>
      <c r="I175" s="90"/>
      <c r="J175" s="90"/>
      <c r="K175" s="90"/>
      <c r="L175" s="96"/>
      <c r="M175" s="90"/>
      <c r="N175" s="89"/>
      <c r="O175" s="97"/>
      <c r="P175" s="89"/>
      <c r="Q175" s="221"/>
      <c r="R175" s="221"/>
      <c r="S175" s="230"/>
      <c r="T175" s="94"/>
      <c r="U175" s="2"/>
      <c r="V175" s="2"/>
      <c r="W175" s="2"/>
      <c r="X175" s="2"/>
    </row>
    <row r="176" spans="1:24" ht="15.5">
      <c r="A176" s="91"/>
      <c r="B176" s="76"/>
      <c r="C176" s="290"/>
      <c r="D176" s="290"/>
      <c r="E176" s="77"/>
      <c r="F176" s="71"/>
      <c r="G176" s="90"/>
      <c r="H176" s="90"/>
      <c r="I176" s="90"/>
      <c r="J176" s="90"/>
      <c r="K176" s="90"/>
      <c r="L176" s="96"/>
      <c r="M176" s="90"/>
      <c r="N176" s="89"/>
      <c r="O176" s="97"/>
      <c r="P176" s="89"/>
      <c r="Q176" s="221"/>
      <c r="R176" s="221"/>
      <c r="S176" s="230"/>
      <c r="T176" s="94"/>
      <c r="U176" s="2"/>
      <c r="V176" s="2"/>
      <c r="W176" s="2"/>
      <c r="X176" s="2"/>
    </row>
    <row r="177" spans="1:24" ht="15.5">
      <c r="A177" s="91"/>
      <c r="B177" s="98"/>
      <c r="C177" s="291"/>
      <c r="D177" s="291"/>
      <c r="E177" s="99"/>
      <c r="F177" s="71"/>
      <c r="G177" s="90"/>
      <c r="H177" s="90"/>
      <c r="I177" s="90"/>
      <c r="J177" s="90"/>
      <c r="K177" s="90"/>
      <c r="L177" s="96"/>
      <c r="M177" s="90"/>
      <c r="N177" s="89"/>
      <c r="O177" s="97"/>
      <c r="P177" s="89"/>
      <c r="Q177" s="221"/>
      <c r="R177" s="221"/>
      <c r="S177" s="230"/>
      <c r="T177" s="94"/>
      <c r="U177" s="2"/>
      <c r="V177" s="2"/>
      <c r="W177" s="2"/>
      <c r="X177" s="2"/>
    </row>
    <row r="178" spans="1:24" ht="15.5">
      <c r="A178" s="91"/>
      <c r="B178" s="98"/>
      <c r="C178" s="291"/>
      <c r="D178" s="291"/>
      <c r="E178" s="99"/>
      <c r="F178" s="71"/>
      <c r="G178" s="90"/>
      <c r="H178" s="90"/>
      <c r="I178" s="90"/>
      <c r="J178" s="90"/>
      <c r="K178" s="90"/>
      <c r="L178" s="96"/>
      <c r="M178" s="90"/>
      <c r="N178" s="89"/>
      <c r="O178" s="97"/>
      <c r="P178" s="89"/>
      <c r="Q178" s="221"/>
      <c r="R178" s="221"/>
      <c r="S178" s="230"/>
      <c r="T178" s="94"/>
      <c r="U178" s="2"/>
      <c r="V178" s="2"/>
      <c r="W178" s="2"/>
      <c r="X178" s="2"/>
    </row>
    <row r="179" spans="1:24" ht="15.5">
      <c r="A179" s="91"/>
      <c r="B179" s="98"/>
      <c r="C179" s="291"/>
      <c r="D179" s="291"/>
      <c r="E179" s="99"/>
      <c r="F179" s="71"/>
      <c r="G179" s="90"/>
      <c r="H179" s="90"/>
      <c r="I179" s="90"/>
      <c r="J179" s="90"/>
      <c r="K179" s="90"/>
      <c r="L179" s="96"/>
      <c r="M179" s="90"/>
      <c r="N179" s="89"/>
      <c r="O179" s="97"/>
      <c r="P179" s="89"/>
      <c r="Q179" s="221"/>
      <c r="R179" s="221"/>
      <c r="S179" s="230"/>
      <c r="T179" s="94"/>
      <c r="U179" s="2"/>
      <c r="V179" s="2"/>
      <c r="W179" s="2"/>
      <c r="X179" s="2"/>
    </row>
    <row r="180" spans="1:24" ht="15.5">
      <c r="A180" s="91"/>
      <c r="B180" s="98"/>
      <c r="C180" s="291"/>
      <c r="D180" s="291"/>
      <c r="E180" s="99"/>
      <c r="F180" s="71"/>
      <c r="G180" s="90"/>
      <c r="H180" s="90"/>
      <c r="I180" s="90"/>
      <c r="J180" s="90"/>
      <c r="K180" s="90"/>
      <c r="L180" s="96"/>
      <c r="M180" s="90"/>
      <c r="N180" s="89"/>
      <c r="O180" s="97"/>
      <c r="P180" s="89"/>
      <c r="Q180" s="221"/>
      <c r="R180" s="221"/>
      <c r="S180" s="230"/>
      <c r="T180" s="94"/>
      <c r="U180" s="2"/>
      <c r="V180" s="2"/>
      <c r="W180" s="2"/>
      <c r="X180" s="2"/>
    </row>
    <row r="181" spans="1:24" ht="15.5">
      <c r="A181" s="91"/>
      <c r="B181" s="98"/>
      <c r="C181" s="291"/>
      <c r="D181" s="291"/>
      <c r="E181" s="99"/>
      <c r="F181" s="71"/>
      <c r="G181" s="90"/>
      <c r="H181" s="90"/>
      <c r="I181" s="90"/>
      <c r="J181" s="90"/>
      <c r="K181" s="90"/>
      <c r="L181" s="96"/>
      <c r="M181" s="90"/>
      <c r="N181" s="89"/>
      <c r="O181" s="97"/>
      <c r="P181" s="89"/>
      <c r="Q181" s="221"/>
      <c r="R181" s="221"/>
      <c r="S181" s="230"/>
      <c r="T181" s="94"/>
      <c r="U181" s="2"/>
      <c r="V181" s="2"/>
      <c r="W181" s="2"/>
      <c r="X181" s="2"/>
    </row>
    <row r="182" spans="1:24" ht="15.5">
      <c r="A182" s="91"/>
      <c r="B182" s="98"/>
      <c r="C182" s="291"/>
      <c r="D182" s="291"/>
      <c r="E182" s="99"/>
      <c r="F182" s="71"/>
      <c r="G182" s="90"/>
      <c r="H182" s="90"/>
      <c r="I182" s="90"/>
      <c r="J182" s="90"/>
      <c r="K182" s="90"/>
      <c r="L182" s="96"/>
      <c r="M182" s="90"/>
      <c r="N182" s="89"/>
      <c r="O182" s="97"/>
      <c r="P182" s="89"/>
      <c r="Q182" s="221"/>
      <c r="R182" s="221"/>
      <c r="S182" s="230"/>
      <c r="T182" s="94"/>
      <c r="U182" s="2"/>
      <c r="V182" s="2"/>
      <c r="W182" s="2"/>
      <c r="X182" s="2"/>
    </row>
    <row r="183" spans="1:24" ht="15.5">
      <c r="A183" s="91"/>
      <c r="B183" s="98"/>
      <c r="C183" s="291"/>
      <c r="D183" s="291"/>
      <c r="E183" s="99"/>
      <c r="F183" s="71"/>
      <c r="G183" s="90"/>
      <c r="H183" s="90"/>
      <c r="I183" s="90"/>
      <c r="J183" s="90"/>
      <c r="K183" s="90"/>
      <c r="L183" s="96"/>
      <c r="M183" s="90"/>
      <c r="N183" s="89"/>
      <c r="O183" s="97"/>
      <c r="P183" s="89"/>
      <c r="Q183" s="221"/>
      <c r="R183" s="221"/>
      <c r="S183" s="230"/>
      <c r="T183" s="94"/>
      <c r="U183" s="2"/>
      <c r="V183" s="2"/>
      <c r="W183" s="2"/>
      <c r="X183" s="2"/>
    </row>
    <row r="184" spans="1:24" ht="15.5">
      <c r="A184" s="91"/>
      <c r="B184" s="98"/>
      <c r="C184" s="291"/>
      <c r="D184" s="291"/>
      <c r="E184" s="99"/>
      <c r="F184" s="71"/>
      <c r="G184" s="90"/>
      <c r="H184" s="90"/>
      <c r="I184" s="90"/>
      <c r="J184" s="90"/>
      <c r="K184" s="90"/>
      <c r="L184" s="96"/>
      <c r="M184" s="90"/>
      <c r="N184" s="89"/>
      <c r="O184" s="97"/>
      <c r="P184" s="89"/>
      <c r="Q184" s="221"/>
      <c r="R184" s="221"/>
      <c r="S184" s="230"/>
      <c r="T184" s="94"/>
      <c r="U184" s="2"/>
      <c r="V184" s="2"/>
      <c r="W184" s="2"/>
      <c r="X184" s="2"/>
    </row>
    <row r="185" spans="1:24" ht="15.5">
      <c r="A185" s="91"/>
      <c r="B185" s="98"/>
      <c r="C185" s="291"/>
      <c r="D185" s="291"/>
      <c r="E185" s="99"/>
      <c r="F185" s="71"/>
      <c r="G185" s="90"/>
      <c r="H185" s="90"/>
      <c r="I185" s="90"/>
      <c r="J185" s="90"/>
      <c r="K185" s="90"/>
      <c r="L185" s="96"/>
      <c r="M185" s="90"/>
      <c r="N185" s="89"/>
      <c r="O185" s="97"/>
      <c r="P185" s="89"/>
      <c r="Q185" s="221"/>
      <c r="R185" s="221"/>
      <c r="S185" s="230"/>
      <c r="T185" s="94"/>
      <c r="U185" s="2"/>
      <c r="V185" s="2"/>
      <c r="W185" s="2"/>
      <c r="X185" s="2"/>
    </row>
    <row r="186" spans="1:24" ht="15.5">
      <c r="A186" s="91"/>
      <c r="B186" s="98"/>
      <c r="C186" s="291"/>
      <c r="D186" s="291"/>
      <c r="E186" s="99"/>
      <c r="F186" s="71"/>
      <c r="G186" s="90"/>
      <c r="H186" s="90"/>
      <c r="I186" s="90"/>
      <c r="J186" s="90"/>
      <c r="K186" s="90"/>
      <c r="L186" s="96"/>
      <c r="M186" s="90"/>
      <c r="N186" s="89"/>
      <c r="O186" s="97"/>
      <c r="P186" s="89"/>
      <c r="Q186" s="221"/>
      <c r="R186" s="221"/>
      <c r="S186" s="230"/>
      <c r="T186" s="94"/>
      <c r="U186" s="2"/>
      <c r="V186" s="2"/>
      <c r="W186" s="2"/>
      <c r="X186" s="2"/>
    </row>
    <row r="187" spans="1:24" ht="15.5">
      <c r="A187" s="91"/>
      <c r="B187" s="98"/>
      <c r="C187" s="291"/>
      <c r="D187" s="291"/>
      <c r="E187" s="99"/>
      <c r="F187" s="71"/>
      <c r="G187" s="90"/>
      <c r="H187" s="90"/>
      <c r="I187" s="90"/>
      <c r="J187" s="90"/>
      <c r="K187" s="90"/>
      <c r="L187" s="96"/>
      <c r="M187" s="90"/>
      <c r="N187" s="89"/>
      <c r="O187" s="97"/>
      <c r="P187" s="89"/>
      <c r="Q187" s="221"/>
      <c r="R187" s="221"/>
      <c r="S187" s="230"/>
      <c r="T187" s="94"/>
      <c r="U187" s="2"/>
      <c r="V187" s="2"/>
      <c r="W187" s="2"/>
      <c r="X187" s="2"/>
    </row>
    <row r="188" spans="1:24" ht="15.5">
      <c r="A188" s="91"/>
      <c r="B188" s="98"/>
      <c r="C188" s="291"/>
      <c r="D188" s="291"/>
      <c r="E188" s="99"/>
      <c r="F188" s="71"/>
      <c r="G188" s="90"/>
      <c r="H188" s="90"/>
      <c r="I188" s="90"/>
      <c r="J188" s="90"/>
      <c r="K188" s="90"/>
      <c r="L188" s="96"/>
      <c r="M188" s="90"/>
      <c r="N188" s="89"/>
      <c r="O188" s="97"/>
      <c r="P188" s="89"/>
      <c r="Q188" s="221"/>
      <c r="R188" s="221"/>
      <c r="S188" s="230"/>
      <c r="T188" s="94"/>
      <c r="U188" s="2"/>
      <c r="V188" s="2"/>
      <c r="W188" s="2"/>
      <c r="X188" s="2"/>
    </row>
    <row r="189" spans="1:24" ht="15.5">
      <c r="A189" s="91"/>
      <c r="B189" s="98"/>
      <c r="C189" s="291"/>
      <c r="D189" s="291"/>
      <c r="E189" s="99"/>
      <c r="F189" s="71"/>
      <c r="G189" s="90"/>
      <c r="H189" s="90"/>
      <c r="I189" s="90"/>
      <c r="J189" s="90"/>
      <c r="K189" s="90"/>
      <c r="L189" s="96"/>
      <c r="M189" s="90"/>
      <c r="N189" s="89"/>
      <c r="O189" s="97"/>
      <c r="P189" s="89"/>
      <c r="Q189" s="221"/>
      <c r="R189" s="221"/>
      <c r="S189" s="230"/>
      <c r="T189" s="94"/>
      <c r="U189" s="2"/>
      <c r="V189" s="2"/>
      <c r="W189" s="2"/>
      <c r="X189" s="2"/>
    </row>
    <row r="190" spans="1:24" ht="15.5">
      <c r="A190" s="91"/>
      <c r="B190" s="98"/>
      <c r="C190" s="291"/>
      <c r="D190" s="291"/>
      <c r="E190" s="99"/>
      <c r="F190" s="71"/>
      <c r="G190" s="90"/>
      <c r="H190" s="90"/>
      <c r="I190" s="90"/>
      <c r="J190" s="90"/>
      <c r="K190" s="90"/>
      <c r="L190" s="96"/>
      <c r="M190" s="90"/>
      <c r="N190" s="89"/>
      <c r="O190" s="97"/>
      <c r="P190" s="89"/>
      <c r="Q190" s="221"/>
      <c r="R190" s="221"/>
      <c r="S190" s="230"/>
      <c r="T190" s="94"/>
      <c r="U190" s="2"/>
      <c r="V190" s="2"/>
      <c r="W190" s="2"/>
      <c r="X190" s="2"/>
    </row>
    <row r="191" spans="1:24" ht="15.5">
      <c r="A191" s="91"/>
      <c r="B191" s="98"/>
      <c r="C191" s="291"/>
      <c r="D191" s="291"/>
      <c r="E191" s="99"/>
      <c r="F191" s="71"/>
      <c r="G191" s="90"/>
      <c r="H191" s="90"/>
      <c r="I191" s="90"/>
      <c r="J191" s="90"/>
      <c r="K191" s="90"/>
      <c r="L191" s="96"/>
      <c r="M191" s="90"/>
      <c r="N191" s="89"/>
      <c r="O191" s="97"/>
      <c r="P191" s="89"/>
      <c r="Q191" s="221"/>
      <c r="R191" s="221"/>
      <c r="S191" s="230"/>
      <c r="T191" s="94"/>
      <c r="U191" s="2"/>
      <c r="V191" s="2"/>
      <c r="W191" s="2"/>
      <c r="X191" s="2"/>
    </row>
    <row r="192" spans="1:24" ht="15.5">
      <c r="A192" s="91"/>
      <c r="B192" s="98"/>
      <c r="C192" s="291"/>
      <c r="D192" s="291"/>
      <c r="E192" s="99"/>
      <c r="F192" s="71"/>
      <c r="G192" s="90"/>
      <c r="H192" s="90"/>
      <c r="I192" s="90"/>
      <c r="J192" s="90"/>
      <c r="K192" s="90"/>
      <c r="L192" s="96"/>
      <c r="M192" s="90"/>
      <c r="N192" s="89"/>
      <c r="O192" s="97"/>
      <c r="P192" s="89"/>
      <c r="Q192" s="221"/>
      <c r="R192" s="221"/>
      <c r="S192" s="230"/>
      <c r="T192" s="94"/>
      <c r="U192" s="2"/>
      <c r="V192" s="2"/>
      <c r="W192" s="2"/>
      <c r="X192" s="2"/>
    </row>
    <row r="193" spans="1:24" ht="15.5">
      <c r="A193" s="91"/>
      <c r="B193" s="98"/>
      <c r="C193" s="291"/>
      <c r="D193" s="291"/>
      <c r="E193" s="99"/>
      <c r="F193" s="71"/>
      <c r="G193" s="90"/>
      <c r="H193" s="90"/>
      <c r="I193" s="90"/>
      <c r="J193" s="90"/>
      <c r="K193" s="90"/>
      <c r="L193" s="96"/>
      <c r="M193" s="90"/>
      <c r="N193" s="89"/>
      <c r="O193" s="97"/>
      <c r="P193" s="89"/>
      <c r="Q193" s="221"/>
      <c r="R193" s="221"/>
      <c r="S193" s="230"/>
      <c r="T193" s="94"/>
      <c r="U193" s="2"/>
      <c r="V193" s="2"/>
      <c r="W193" s="2"/>
      <c r="X193" s="2"/>
    </row>
    <row r="194" spans="1:24" ht="15.5">
      <c r="A194" s="91"/>
      <c r="B194" s="98"/>
      <c r="C194" s="291"/>
      <c r="D194" s="291"/>
      <c r="E194" s="99"/>
      <c r="F194" s="71"/>
      <c r="G194" s="90"/>
      <c r="H194" s="90"/>
      <c r="I194" s="90"/>
      <c r="J194" s="90"/>
      <c r="K194" s="90"/>
      <c r="L194" s="96"/>
      <c r="M194" s="90"/>
      <c r="N194" s="89"/>
      <c r="O194" s="97"/>
      <c r="P194" s="89"/>
      <c r="Q194" s="221"/>
      <c r="R194" s="221"/>
      <c r="S194" s="230"/>
      <c r="T194" s="94"/>
      <c r="U194" s="2"/>
      <c r="V194" s="2"/>
      <c r="W194" s="2"/>
      <c r="X194" s="2"/>
    </row>
    <row r="195" spans="1:24" ht="15.5">
      <c r="A195" s="91"/>
      <c r="B195" s="98"/>
      <c r="C195" s="291"/>
      <c r="D195" s="291"/>
      <c r="E195" s="99"/>
      <c r="F195" s="71"/>
      <c r="G195" s="90"/>
      <c r="H195" s="90"/>
      <c r="I195" s="90"/>
      <c r="J195" s="90"/>
      <c r="K195" s="90"/>
      <c r="L195" s="96"/>
      <c r="M195" s="90"/>
      <c r="N195" s="89"/>
      <c r="O195" s="97"/>
      <c r="P195" s="89"/>
      <c r="Q195" s="221"/>
      <c r="R195" s="221"/>
      <c r="S195" s="230"/>
      <c r="T195" s="94"/>
      <c r="U195" s="2"/>
      <c r="V195" s="2"/>
      <c r="W195" s="2"/>
      <c r="X195" s="2"/>
    </row>
    <row r="196" spans="1:24" ht="15.5">
      <c r="A196" s="91"/>
      <c r="B196" s="98"/>
      <c r="C196" s="291"/>
      <c r="D196" s="291"/>
      <c r="E196" s="99"/>
      <c r="F196" s="71"/>
      <c r="G196" s="90"/>
      <c r="H196" s="90"/>
      <c r="I196" s="90"/>
      <c r="J196" s="90"/>
      <c r="K196" s="90"/>
      <c r="L196" s="96"/>
      <c r="M196" s="90"/>
      <c r="N196" s="89"/>
      <c r="O196" s="97"/>
      <c r="P196" s="89"/>
      <c r="Q196" s="221"/>
      <c r="R196" s="221"/>
      <c r="S196" s="230"/>
      <c r="T196" s="94"/>
      <c r="U196" s="2"/>
      <c r="V196" s="2"/>
      <c r="W196" s="2"/>
      <c r="X196" s="2"/>
    </row>
    <row r="197" spans="1:24" ht="15.5">
      <c r="A197" s="91"/>
      <c r="B197" s="98"/>
      <c r="C197" s="291"/>
      <c r="D197" s="291"/>
      <c r="E197" s="99"/>
      <c r="F197" s="71"/>
      <c r="G197" s="90"/>
      <c r="H197" s="90"/>
      <c r="I197" s="90"/>
      <c r="J197" s="90"/>
      <c r="K197" s="90"/>
      <c r="L197" s="96"/>
      <c r="M197" s="90"/>
      <c r="N197" s="89"/>
      <c r="O197" s="97"/>
      <c r="P197" s="89"/>
      <c r="Q197" s="221"/>
      <c r="R197" s="221"/>
      <c r="S197" s="230"/>
      <c r="T197" s="94"/>
      <c r="U197" s="2"/>
      <c r="V197" s="2"/>
      <c r="W197" s="2"/>
      <c r="X197" s="2"/>
    </row>
    <row r="198" spans="1:24" ht="15.5">
      <c r="A198" s="91"/>
      <c r="B198" s="98"/>
      <c r="C198" s="291"/>
      <c r="D198" s="291"/>
      <c r="E198" s="99"/>
      <c r="F198" s="71"/>
      <c r="G198" s="90"/>
      <c r="H198" s="90"/>
      <c r="I198" s="90"/>
      <c r="J198" s="90"/>
      <c r="K198" s="90"/>
      <c r="L198" s="96"/>
      <c r="M198" s="90"/>
      <c r="N198" s="89"/>
      <c r="O198" s="97"/>
      <c r="P198" s="89"/>
      <c r="Q198" s="221"/>
      <c r="R198" s="221"/>
      <c r="S198" s="230"/>
      <c r="T198" s="94"/>
      <c r="U198" s="2"/>
      <c r="V198" s="2"/>
      <c r="W198" s="2"/>
      <c r="X198" s="2"/>
    </row>
    <row r="199" spans="1:24" ht="15.5">
      <c r="A199" s="91"/>
      <c r="B199" s="98"/>
      <c r="C199" s="291"/>
      <c r="D199" s="291"/>
      <c r="E199" s="99"/>
      <c r="F199" s="71"/>
      <c r="G199" s="90"/>
      <c r="H199" s="90"/>
      <c r="I199" s="90"/>
      <c r="J199" s="90"/>
      <c r="K199" s="90"/>
      <c r="L199" s="96"/>
      <c r="M199" s="90"/>
      <c r="N199" s="89"/>
      <c r="O199" s="97"/>
      <c r="P199" s="89"/>
      <c r="Q199" s="221"/>
      <c r="R199" s="221"/>
      <c r="S199" s="230"/>
      <c r="T199" s="94"/>
      <c r="U199" s="2"/>
      <c r="V199" s="2"/>
      <c r="W199" s="2"/>
      <c r="X199" s="2"/>
    </row>
    <row r="200" spans="1:24" ht="15.5">
      <c r="A200" s="91"/>
      <c r="B200" s="98"/>
      <c r="C200" s="291"/>
      <c r="D200" s="291"/>
      <c r="E200" s="99"/>
      <c r="F200" s="71"/>
      <c r="G200" s="90"/>
      <c r="H200" s="90"/>
      <c r="I200" s="90"/>
      <c r="J200" s="90"/>
      <c r="K200" s="90"/>
      <c r="L200" s="96"/>
      <c r="M200" s="90"/>
      <c r="N200" s="89"/>
      <c r="O200" s="97"/>
      <c r="P200" s="89"/>
      <c r="Q200" s="221"/>
      <c r="R200" s="221"/>
      <c r="S200" s="230"/>
      <c r="T200" s="94"/>
      <c r="U200" s="2"/>
      <c r="V200" s="2"/>
      <c r="W200" s="2"/>
      <c r="X200" s="2"/>
    </row>
    <row r="201" spans="1:24" ht="15.5">
      <c r="A201" s="91"/>
      <c r="B201" s="98"/>
      <c r="C201" s="291"/>
      <c r="D201" s="291"/>
      <c r="E201" s="99"/>
      <c r="F201" s="71"/>
      <c r="G201" s="90"/>
      <c r="H201" s="90"/>
      <c r="I201" s="90"/>
      <c r="J201" s="90"/>
      <c r="K201" s="90"/>
      <c r="L201" s="96"/>
      <c r="M201" s="90"/>
      <c r="N201" s="89"/>
      <c r="O201" s="97"/>
      <c r="P201" s="89"/>
      <c r="Q201" s="221"/>
      <c r="R201" s="221"/>
      <c r="S201" s="230"/>
      <c r="T201" s="94"/>
      <c r="U201" s="2"/>
      <c r="V201" s="2"/>
      <c r="W201" s="2"/>
      <c r="X201" s="2"/>
    </row>
    <row r="202" spans="1:24" ht="15.5">
      <c r="A202" s="91"/>
      <c r="B202" s="98"/>
      <c r="C202" s="291"/>
      <c r="D202" s="291"/>
      <c r="E202" s="99"/>
      <c r="F202" s="71"/>
      <c r="G202" s="90"/>
      <c r="H202" s="90"/>
      <c r="I202" s="90"/>
      <c r="J202" s="90"/>
      <c r="K202" s="90"/>
      <c r="L202" s="96"/>
      <c r="M202" s="90"/>
      <c r="N202" s="89"/>
      <c r="O202" s="97"/>
      <c r="P202" s="89"/>
      <c r="Q202" s="221"/>
      <c r="R202" s="221"/>
      <c r="S202" s="230"/>
      <c r="T202" s="94"/>
      <c r="U202" s="2"/>
      <c r="V202" s="2"/>
      <c r="W202" s="2"/>
      <c r="X202" s="2"/>
    </row>
    <row r="203" spans="1:24" ht="15.5">
      <c r="A203" s="91"/>
      <c r="B203" s="98"/>
      <c r="C203" s="291"/>
      <c r="D203" s="291"/>
      <c r="E203" s="99"/>
      <c r="F203" s="71"/>
      <c r="G203" s="90"/>
      <c r="H203" s="90"/>
      <c r="I203" s="90"/>
      <c r="J203" s="90"/>
      <c r="K203" s="90"/>
      <c r="L203" s="96"/>
      <c r="M203" s="90"/>
      <c r="N203" s="89"/>
      <c r="O203" s="97"/>
      <c r="P203" s="89"/>
      <c r="Q203" s="221"/>
      <c r="R203" s="221"/>
      <c r="S203" s="230"/>
      <c r="T203" s="94"/>
      <c r="U203" s="2"/>
      <c r="V203" s="2"/>
      <c r="W203" s="2"/>
      <c r="X203" s="2"/>
    </row>
    <row r="204" spans="1:24" ht="15.5">
      <c r="A204" s="91"/>
      <c r="B204" s="98"/>
      <c r="C204" s="291"/>
      <c r="D204" s="291"/>
      <c r="E204" s="99"/>
      <c r="F204" s="71"/>
      <c r="G204" s="90"/>
      <c r="H204" s="90"/>
      <c r="I204" s="90"/>
      <c r="J204" s="90"/>
      <c r="K204" s="90"/>
      <c r="L204" s="96"/>
      <c r="M204" s="90"/>
      <c r="N204" s="89"/>
      <c r="O204" s="97"/>
      <c r="P204" s="89"/>
      <c r="Q204" s="221"/>
      <c r="R204" s="221"/>
      <c r="S204" s="230"/>
      <c r="T204" s="94"/>
      <c r="U204" s="2"/>
      <c r="V204" s="2"/>
      <c r="W204" s="2"/>
      <c r="X204" s="2"/>
    </row>
    <row r="205" spans="1:24" ht="15.5">
      <c r="A205" s="91"/>
      <c r="B205" s="98"/>
      <c r="C205" s="291"/>
      <c r="D205" s="291"/>
      <c r="E205" s="99"/>
      <c r="F205" s="71"/>
      <c r="G205" s="90"/>
      <c r="H205" s="90"/>
      <c r="I205" s="90"/>
      <c r="J205" s="90"/>
      <c r="K205" s="90"/>
      <c r="L205" s="96"/>
      <c r="M205" s="90"/>
      <c r="N205" s="89"/>
      <c r="O205" s="97"/>
      <c r="P205" s="89"/>
      <c r="Q205" s="221"/>
      <c r="R205" s="221"/>
      <c r="S205" s="230"/>
      <c r="T205" s="94"/>
      <c r="U205" s="2"/>
      <c r="V205" s="2"/>
      <c r="W205" s="2"/>
      <c r="X205" s="2"/>
    </row>
    <row r="206" spans="1:24" ht="15.5">
      <c r="A206" s="91"/>
      <c r="B206" s="98"/>
      <c r="C206" s="291"/>
      <c r="D206" s="291"/>
      <c r="E206" s="99"/>
      <c r="F206" s="71"/>
      <c r="G206" s="90"/>
      <c r="H206" s="90"/>
      <c r="I206" s="90"/>
      <c r="J206" s="90"/>
      <c r="K206" s="90"/>
      <c r="L206" s="96"/>
      <c r="M206" s="90"/>
      <c r="N206" s="89"/>
      <c r="O206" s="97"/>
      <c r="P206" s="89"/>
      <c r="Q206" s="221"/>
      <c r="R206" s="221"/>
      <c r="S206" s="230"/>
      <c r="T206" s="94"/>
      <c r="U206" s="2"/>
      <c r="V206" s="2"/>
      <c r="W206" s="2"/>
      <c r="X206" s="2"/>
    </row>
    <row r="207" spans="1:24" ht="15.5">
      <c r="A207" s="91"/>
      <c r="B207" s="98"/>
      <c r="C207" s="291"/>
      <c r="D207" s="291"/>
      <c r="E207" s="99"/>
      <c r="F207" s="71"/>
      <c r="G207" s="90"/>
      <c r="H207" s="90"/>
      <c r="I207" s="90"/>
      <c r="J207" s="90"/>
      <c r="K207" s="90"/>
      <c r="L207" s="96"/>
      <c r="M207" s="90"/>
      <c r="N207" s="89"/>
      <c r="O207" s="97"/>
      <c r="P207" s="89"/>
      <c r="Q207" s="221"/>
      <c r="R207" s="221"/>
      <c r="S207" s="230"/>
      <c r="T207" s="94"/>
      <c r="U207" s="2"/>
      <c r="V207" s="2"/>
      <c r="W207" s="2"/>
      <c r="X207" s="2"/>
    </row>
    <row r="208" spans="1:24" ht="15.5">
      <c r="A208" s="91"/>
      <c r="B208" s="98"/>
      <c r="C208" s="291"/>
      <c r="D208" s="291"/>
      <c r="E208" s="99"/>
      <c r="F208" s="71"/>
      <c r="G208" s="90"/>
      <c r="H208" s="90"/>
      <c r="I208" s="90"/>
      <c r="J208" s="90"/>
      <c r="K208" s="90"/>
      <c r="L208" s="96"/>
      <c r="M208" s="90"/>
      <c r="N208" s="89"/>
      <c r="O208" s="97"/>
      <c r="P208" s="89"/>
      <c r="Q208" s="221"/>
      <c r="R208" s="221"/>
      <c r="S208" s="230"/>
      <c r="T208" s="94"/>
      <c r="U208" s="2"/>
      <c r="V208" s="2"/>
      <c r="W208" s="2"/>
      <c r="X208" s="2"/>
    </row>
    <row r="209" spans="1:24" ht="15.5">
      <c r="A209" s="91"/>
      <c r="B209" s="98"/>
      <c r="C209" s="291"/>
      <c r="D209" s="291"/>
      <c r="E209" s="99"/>
      <c r="F209" s="71"/>
      <c r="G209" s="90"/>
      <c r="H209" s="90"/>
      <c r="I209" s="90"/>
      <c r="J209" s="90"/>
      <c r="K209" s="90"/>
      <c r="L209" s="96"/>
      <c r="M209" s="90"/>
      <c r="N209" s="89"/>
      <c r="O209" s="97"/>
      <c r="P209" s="89"/>
      <c r="Q209" s="221"/>
      <c r="R209" s="221"/>
      <c r="S209" s="230"/>
      <c r="T209" s="94"/>
      <c r="U209" s="2"/>
      <c r="V209" s="2"/>
      <c r="W209" s="2"/>
      <c r="X209" s="2"/>
    </row>
    <row r="210" spans="1:24" ht="15.5">
      <c r="A210" s="91"/>
      <c r="B210" s="98"/>
      <c r="C210" s="291"/>
      <c r="D210" s="291"/>
      <c r="E210" s="99"/>
      <c r="F210" s="71"/>
      <c r="G210" s="90"/>
      <c r="H210" s="90"/>
      <c r="I210" s="90"/>
      <c r="J210" s="90"/>
      <c r="K210" s="90"/>
      <c r="L210" s="96"/>
      <c r="M210" s="90"/>
      <c r="N210" s="89"/>
      <c r="O210" s="97"/>
      <c r="P210" s="89"/>
      <c r="Q210" s="221"/>
      <c r="R210" s="221"/>
      <c r="S210" s="230"/>
      <c r="T210" s="94"/>
      <c r="U210" s="2"/>
      <c r="V210" s="2"/>
      <c r="W210" s="2"/>
      <c r="X210" s="2"/>
    </row>
    <row r="211" spans="1:24" ht="15.5">
      <c r="A211" s="91"/>
      <c r="B211" s="98"/>
      <c r="C211" s="291"/>
      <c r="D211" s="291"/>
      <c r="E211" s="99"/>
      <c r="F211" s="71"/>
      <c r="G211" s="90"/>
      <c r="H211" s="90"/>
      <c r="I211" s="90"/>
      <c r="J211" s="90"/>
      <c r="K211" s="90"/>
      <c r="L211" s="96"/>
      <c r="M211" s="90"/>
      <c r="N211" s="89"/>
      <c r="O211" s="97"/>
      <c r="P211" s="89"/>
      <c r="Q211" s="221"/>
      <c r="R211" s="221"/>
      <c r="S211" s="230"/>
      <c r="T211" s="94"/>
      <c r="U211" s="2"/>
      <c r="V211" s="2"/>
      <c r="W211" s="2"/>
      <c r="X211" s="2"/>
    </row>
    <row r="212" spans="1:24" ht="15.5">
      <c r="A212" s="91"/>
      <c r="B212" s="98"/>
      <c r="C212" s="291"/>
      <c r="D212" s="291"/>
      <c r="E212" s="99"/>
      <c r="F212" s="71"/>
      <c r="G212" s="90"/>
      <c r="H212" s="90"/>
      <c r="I212" s="90"/>
      <c r="J212" s="90"/>
      <c r="K212" s="90"/>
      <c r="L212" s="96"/>
      <c r="M212" s="90"/>
      <c r="N212" s="89"/>
      <c r="O212" s="97"/>
      <c r="P212" s="89"/>
      <c r="Q212" s="221"/>
      <c r="R212" s="221"/>
      <c r="S212" s="230"/>
      <c r="T212" s="94"/>
      <c r="U212" s="2"/>
      <c r="V212" s="2"/>
      <c r="W212" s="2"/>
      <c r="X212" s="2"/>
    </row>
    <row r="213" spans="1:24" ht="15.5">
      <c r="A213" s="91"/>
      <c r="B213" s="98"/>
      <c r="C213" s="291"/>
      <c r="D213" s="291"/>
      <c r="E213" s="99"/>
      <c r="F213" s="71"/>
      <c r="G213" s="90"/>
      <c r="H213" s="90"/>
      <c r="I213" s="90"/>
      <c r="J213" s="90"/>
      <c r="K213" s="90"/>
      <c r="L213" s="96"/>
      <c r="M213" s="90"/>
      <c r="N213" s="89"/>
      <c r="O213" s="97"/>
      <c r="P213" s="89"/>
      <c r="Q213" s="221"/>
      <c r="R213" s="221"/>
      <c r="S213" s="230"/>
      <c r="T213" s="94"/>
      <c r="U213" s="2"/>
      <c r="V213" s="2"/>
      <c r="W213" s="2"/>
      <c r="X213" s="2"/>
    </row>
    <row r="214" spans="1:24" ht="15.5">
      <c r="A214" s="91"/>
      <c r="B214" s="98"/>
      <c r="C214" s="291"/>
      <c r="D214" s="291"/>
      <c r="E214" s="99"/>
      <c r="F214" s="71"/>
      <c r="G214" s="90"/>
      <c r="H214" s="90"/>
      <c r="I214" s="90"/>
      <c r="J214" s="90"/>
      <c r="K214" s="90"/>
      <c r="L214" s="96"/>
      <c r="M214" s="90"/>
      <c r="N214" s="89"/>
      <c r="O214" s="97"/>
      <c r="P214" s="89"/>
      <c r="Q214" s="221"/>
      <c r="R214" s="221"/>
      <c r="S214" s="230"/>
      <c r="T214" s="94"/>
      <c r="U214" s="2"/>
      <c r="V214" s="2"/>
      <c r="W214" s="2"/>
      <c r="X214" s="2"/>
    </row>
    <row r="215" spans="1:24" ht="15.5">
      <c r="A215" s="91"/>
      <c r="B215" s="98"/>
      <c r="C215" s="291"/>
      <c r="D215" s="291"/>
      <c r="E215" s="99"/>
      <c r="F215" s="71"/>
      <c r="G215" s="90"/>
      <c r="H215" s="90"/>
      <c r="I215" s="90"/>
      <c r="J215" s="90"/>
      <c r="K215" s="90"/>
      <c r="L215" s="96"/>
      <c r="M215" s="90"/>
      <c r="N215" s="89"/>
      <c r="O215" s="97"/>
      <c r="P215" s="89"/>
      <c r="Q215" s="221"/>
      <c r="R215" s="221"/>
      <c r="S215" s="230"/>
      <c r="T215" s="94"/>
      <c r="U215" s="2"/>
      <c r="V215" s="2"/>
      <c r="W215" s="2"/>
      <c r="X215" s="2"/>
    </row>
    <row r="216" spans="1:24" ht="15.5">
      <c r="A216" s="91"/>
      <c r="B216" s="98"/>
      <c r="C216" s="291"/>
      <c r="D216" s="291"/>
      <c r="E216" s="99"/>
      <c r="F216" s="71"/>
      <c r="G216" s="90"/>
      <c r="H216" s="90"/>
      <c r="I216" s="90"/>
      <c r="J216" s="90"/>
      <c r="K216" s="90"/>
      <c r="L216" s="96"/>
      <c r="M216" s="90"/>
      <c r="N216" s="89"/>
      <c r="O216" s="97"/>
      <c r="P216" s="89"/>
      <c r="Q216" s="221"/>
      <c r="R216" s="221"/>
      <c r="S216" s="230"/>
      <c r="T216" s="94"/>
      <c r="U216" s="2"/>
      <c r="V216" s="2"/>
      <c r="W216" s="2"/>
      <c r="X216" s="2"/>
    </row>
    <row r="217" spans="1:24" ht="15.5">
      <c r="A217" s="91"/>
      <c r="B217" s="98"/>
      <c r="C217" s="291"/>
      <c r="D217" s="291"/>
      <c r="E217" s="99"/>
      <c r="F217" s="71"/>
      <c r="G217" s="90"/>
      <c r="H217" s="90"/>
      <c r="I217" s="90"/>
      <c r="J217" s="90"/>
      <c r="K217" s="90"/>
      <c r="L217" s="96"/>
      <c r="M217" s="90"/>
      <c r="N217" s="89"/>
      <c r="O217" s="97"/>
      <c r="P217" s="89"/>
      <c r="Q217" s="221"/>
      <c r="R217" s="221"/>
      <c r="S217" s="230"/>
      <c r="T217" s="94"/>
      <c r="U217" s="2"/>
      <c r="V217" s="2"/>
      <c r="W217" s="2"/>
      <c r="X217" s="2"/>
    </row>
    <row r="218" spans="1:24" ht="15.5">
      <c r="A218" s="91"/>
      <c r="B218" s="98"/>
      <c r="C218" s="291"/>
      <c r="D218" s="291"/>
      <c r="E218" s="99"/>
      <c r="F218" s="71"/>
      <c r="G218" s="90"/>
      <c r="H218" s="90"/>
      <c r="I218" s="90"/>
      <c r="J218" s="90"/>
      <c r="K218" s="90"/>
      <c r="L218" s="96"/>
      <c r="M218" s="90"/>
      <c r="N218" s="89"/>
      <c r="O218" s="97"/>
      <c r="P218" s="89"/>
      <c r="Q218" s="221"/>
      <c r="R218" s="221"/>
      <c r="S218" s="230"/>
      <c r="T218" s="94"/>
      <c r="U218" s="2"/>
      <c r="V218" s="2"/>
      <c r="W218" s="2"/>
      <c r="X218" s="2"/>
    </row>
    <row r="219" spans="1:24" ht="15.5">
      <c r="A219" s="91"/>
      <c r="B219" s="98"/>
      <c r="C219" s="291"/>
      <c r="D219" s="291"/>
      <c r="E219" s="99"/>
      <c r="F219" s="71"/>
      <c r="G219" s="90"/>
      <c r="H219" s="90"/>
      <c r="I219" s="90"/>
      <c r="J219" s="90"/>
      <c r="K219" s="90"/>
      <c r="L219" s="96"/>
      <c r="M219" s="90"/>
      <c r="N219" s="89"/>
      <c r="O219" s="97"/>
      <c r="P219" s="89"/>
      <c r="Q219" s="221"/>
      <c r="R219" s="221"/>
      <c r="S219" s="230"/>
      <c r="T219" s="94"/>
      <c r="U219" s="2"/>
      <c r="V219" s="2"/>
      <c r="W219" s="2"/>
      <c r="X219" s="2"/>
    </row>
    <row r="220" spans="1:24" ht="15.5">
      <c r="A220" s="91"/>
      <c r="B220" s="98"/>
      <c r="C220" s="291"/>
      <c r="D220" s="291"/>
      <c r="E220" s="99"/>
      <c r="F220" s="71"/>
      <c r="G220" s="90"/>
      <c r="H220" s="90"/>
      <c r="I220" s="90"/>
      <c r="J220" s="90"/>
      <c r="K220" s="90"/>
      <c r="L220" s="96"/>
      <c r="M220" s="90"/>
      <c r="N220" s="89"/>
      <c r="O220" s="97"/>
      <c r="P220" s="89"/>
      <c r="Q220" s="221"/>
      <c r="R220" s="221"/>
      <c r="S220" s="230"/>
      <c r="T220" s="94"/>
      <c r="U220" s="2"/>
      <c r="V220" s="2"/>
      <c r="W220" s="2"/>
      <c r="X220" s="2"/>
    </row>
    <row r="221" spans="1:24" ht="15.5">
      <c r="A221" s="91"/>
      <c r="B221" s="98"/>
      <c r="C221" s="291"/>
      <c r="D221" s="291"/>
      <c r="E221" s="99"/>
      <c r="F221" s="71"/>
      <c r="G221" s="90"/>
      <c r="H221" s="90"/>
      <c r="I221" s="90"/>
      <c r="J221" s="90"/>
      <c r="K221" s="90"/>
      <c r="L221" s="96"/>
      <c r="M221" s="90"/>
      <c r="N221" s="89"/>
      <c r="O221" s="97"/>
      <c r="P221" s="89"/>
      <c r="Q221" s="221"/>
      <c r="R221" s="221"/>
      <c r="S221" s="230"/>
      <c r="T221" s="94"/>
      <c r="U221" s="2"/>
      <c r="V221" s="2"/>
      <c r="W221" s="2"/>
      <c r="X221" s="2"/>
    </row>
    <row r="222" spans="1:24" ht="15.5">
      <c r="A222" s="91"/>
      <c r="B222" s="98"/>
      <c r="C222" s="291"/>
      <c r="D222" s="291"/>
      <c r="E222" s="99"/>
      <c r="F222" s="71"/>
      <c r="G222" s="90"/>
      <c r="H222" s="90"/>
      <c r="I222" s="90"/>
      <c r="J222" s="90"/>
      <c r="K222" s="90"/>
      <c r="L222" s="96"/>
      <c r="M222" s="90"/>
      <c r="N222" s="89"/>
      <c r="O222" s="97"/>
      <c r="P222" s="89"/>
      <c r="Q222" s="221"/>
      <c r="R222" s="221"/>
      <c r="S222" s="230"/>
      <c r="T222" s="94"/>
      <c r="U222" s="2"/>
      <c r="V222" s="2"/>
      <c r="W222" s="2"/>
      <c r="X222" s="2"/>
    </row>
    <row r="223" spans="1:24" ht="15.5">
      <c r="A223" s="91"/>
      <c r="B223" s="98"/>
      <c r="C223" s="291"/>
      <c r="D223" s="291"/>
      <c r="E223" s="99"/>
      <c r="F223" s="71"/>
      <c r="G223" s="90"/>
      <c r="H223" s="90"/>
      <c r="I223" s="90"/>
      <c r="J223" s="90"/>
      <c r="K223" s="90"/>
      <c r="L223" s="96"/>
      <c r="M223" s="90"/>
      <c r="N223" s="89"/>
      <c r="O223" s="97"/>
      <c r="P223" s="89"/>
      <c r="Q223" s="221"/>
      <c r="R223" s="221"/>
      <c r="S223" s="230"/>
      <c r="T223" s="94"/>
      <c r="U223" s="2"/>
      <c r="V223" s="2"/>
      <c r="W223" s="2"/>
      <c r="X223" s="2"/>
    </row>
    <row r="224" spans="1:24" ht="15.5">
      <c r="A224" s="91"/>
      <c r="B224" s="98"/>
      <c r="C224" s="291"/>
      <c r="D224" s="291"/>
      <c r="E224" s="99"/>
      <c r="F224" s="71"/>
      <c r="G224" s="90"/>
      <c r="H224" s="90"/>
      <c r="I224" s="90"/>
      <c r="J224" s="90"/>
      <c r="K224" s="90"/>
      <c r="L224" s="96"/>
      <c r="M224" s="90"/>
      <c r="N224" s="89"/>
      <c r="O224" s="97"/>
      <c r="P224" s="89"/>
      <c r="Q224" s="221"/>
      <c r="R224" s="221"/>
      <c r="S224" s="230"/>
      <c r="T224" s="94"/>
      <c r="U224" s="2"/>
      <c r="V224" s="2"/>
      <c r="W224" s="2"/>
      <c r="X224" s="2"/>
    </row>
    <row r="225" spans="1:24" ht="15.5">
      <c r="A225" s="91"/>
      <c r="B225" s="98"/>
      <c r="C225" s="291"/>
      <c r="D225" s="291"/>
      <c r="E225" s="99"/>
      <c r="F225" s="71"/>
      <c r="G225" s="90"/>
      <c r="H225" s="90"/>
      <c r="I225" s="90"/>
      <c r="J225" s="90"/>
      <c r="K225" s="90"/>
      <c r="L225" s="96"/>
      <c r="M225" s="90"/>
      <c r="N225" s="89"/>
      <c r="O225" s="97"/>
      <c r="P225" s="89"/>
      <c r="Q225" s="221"/>
      <c r="R225" s="221"/>
      <c r="S225" s="230"/>
      <c r="T225" s="94"/>
      <c r="U225" s="2"/>
      <c r="V225" s="2"/>
      <c r="W225" s="2"/>
      <c r="X225" s="2"/>
    </row>
    <row r="226" spans="1:24" ht="15.5">
      <c r="A226" s="91"/>
      <c r="B226" s="98"/>
      <c r="C226" s="291"/>
      <c r="D226" s="291"/>
      <c r="E226" s="99"/>
      <c r="F226" s="71"/>
      <c r="G226" s="90"/>
      <c r="H226" s="90"/>
      <c r="I226" s="90"/>
      <c r="J226" s="90"/>
      <c r="K226" s="90"/>
      <c r="L226" s="96"/>
      <c r="M226" s="90"/>
      <c r="N226" s="89"/>
      <c r="O226" s="97"/>
      <c r="P226" s="89"/>
      <c r="Q226" s="221"/>
      <c r="R226" s="221"/>
      <c r="S226" s="230"/>
      <c r="T226" s="94"/>
      <c r="U226" s="2"/>
      <c r="V226" s="2"/>
      <c r="W226" s="2"/>
      <c r="X226" s="2"/>
    </row>
    <row r="227" spans="1:24" ht="15.5">
      <c r="A227" s="91"/>
      <c r="B227" s="98"/>
      <c r="C227" s="291"/>
      <c r="D227" s="291"/>
      <c r="E227" s="99"/>
      <c r="F227" s="71"/>
      <c r="G227" s="90"/>
      <c r="H227" s="90"/>
      <c r="I227" s="90"/>
      <c r="J227" s="90"/>
      <c r="K227" s="90"/>
      <c r="L227" s="96"/>
      <c r="M227" s="90"/>
      <c r="N227" s="89"/>
      <c r="O227" s="97"/>
      <c r="P227" s="89"/>
      <c r="Q227" s="221"/>
      <c r="R227" s="221"/>
      <c r="S227" s="230"/>
      <c r="T227" s="94"/>
      <c r="U227" s="2"/>
      <c r="V227" s="2"/>
      <c r="W227" s="2"/>
      <c r="X227" s="2"/>
    </row>
    <row r="228" spans="1:24" ht="15.5">
      <c r="A228" s="91"/>
      <c r="B228" s="98"/>
      <c r="C228" s="291"/>
      <c r="D228" s="291"/>
      <c r="E228" s="99"/>
      <c r="F228" s="71"/>
      <c r="G228" s="90"/>
      <c r="H228" s="90"/>
      <c r="I228" s="90"/>
      <c r="J228" s="90"/>
      <c r="K228" s="90"/>
      <c r="L228" s="96"/>
      <c r="M228" s="90"/>
      <c r="N228" s="89"/>
      <c r="O228" s="97"/>
      <c r="P228" s="89"/>
      <c r="Q228" s="221"/>
      <c r="R228" s="221"/>
      <c r="S228" s="230"/>
      <c r="T228" s="94"/>
      <c r="U228" s="2"/>
      <c r="V228" s="2"/>
      <c r="W228" s="2"/>
      <c r="X228" s="2"/>
    </row>
    <row r="229" spans="1:24" ht="15.5">
      <c r="A229" s="91"/>
      <c r="B229" s="98"/>
      <c r="C229" s="291"/>
      <c r="D229" s="291"/>
      <c r="E229" s="99"/>
      <c r="F229" s="71"/>
      <c r="G229" s="90"/>
      <c r="H229" s="90"/>
      <c r="I229" s="90"/>
      <c r="J229" s="90"/>
      <c r="K229" s="90"/>
      <c r="L229" s="96"/>
      <c r="M229" s="90"/>
      <c r="N229" s="89"/>
      <c r="O229" s="97"/>
      <c r="P229" s="89"/>
      <c r="Q229" s="221"/>
      <c r="R229" s="221"/>
      <c r="S229" s="230"/>
      <c r="T229" s="94"/>
      <c r="U229" s="2"/>
      <c r="V229" s="2"/>
      <c r="W229" s="2"/>
      <c r="X229" s="2"/>
    </row>
    <row r="230" spans="1:24" ht="15.5">
      <c r="A230" s="91"/>
      <c r="B230" s="98"/>
      <c r="C230" s="291"/>
      <c r="D230" s="291"/>
      <c r="E230" s="99"/>
      <c r="F230" s="71"/>
      <c r="G230" s="90"/>
      <c r="H230" s="90"/>
      <c r="I230" s="90"/>
      <c r="J230" s="90"/>
      <c r="K230" s="90"/>
      <c r="L230" s="96"/>
      <c r="M230" s="90"/>
      <c r="N230" s="89"/>
      <c r="O230" s="97"/>
      <c r="P230" s="89"/>
      <c r="Q230" s="221"/>
      <c r="R230" s="221"/>
      <c r="S230" s="230"/>
      <c r="T230" s="94"/>
      <c r="U230" s="2"/>
      <c r="V230" s="2"/>
      <c r="W230" s="2"/>
      <c r="X230" s="2"/>
    </row>
    <row r="231" spans="1:24" ht="15.5">
      <c r="A231" s="91"/>
      <c r="B231" s="98"/>
      <c r="C231" s="291"/>
      <c r="D231" s="291"/>
      <c r="E231" s="99"/>
      <c r="F231" s="71"/>
      <c r="G231" s="90"/>
      <c r="H231" s="90"/>
      <c r="I231" s="90"/>
      <c r="J231" s="90"/>
      <c r="K231" s="90"/>
      <c r="L231" s="96"/>
      <c r="M231" s="90"/>
      <c r="N231" s="89"/>
      <c r="O231" s="97"/>
      <c r="P231" s="89"/>
      <c r="Q231" s="221"/>
      <c r="R231" s="221"/>
      <c r="S231" s="230"/>
      <c r="T231" s="94"/>
      <c r="U231" s="2"/>
      <c r="V231" s="2"/>
      <c r="W231" s="2"/>
      <c r="X231" s="2"/>
    </row>
    <row r="232" spans="1:24" ht="15.5">
      <c r="A232" s="91"/>
      <c r="B232" s="98"/>
      <c r="C232" s="291"/>
      <c r="D232" s="291"/>
      <c r="E232" s="99"/>
      <c r="F232" s="71"/>
      <c r="G232" s="90"/>
      <c r="H232" s="90"/>
      <c r="I232" s="90"/>
      <c r="J232" s="90"/>
      <c r="K232" s="90"/>
      <c r="L232" s="96"/>
      <c r="M232" s="90"/>
      <c r="N232" s="89"/>
      <c r="O232" s="97"/>
      <c r="P232" s="89"/>
      <c r="Q232" s="221"/>
      <c r="R232" s="221"/>
      <c r="S232" s="230"/>
      <c r="T232" s="94"/>
      <c r="U232" s="2"/>
      <c r="V232" s="2"/>
      <c r="W232" s="2"/>
      <c r="X232" s="2"/>
    </row>
    <row r="233" spans="1:24" ht="15.5">
      <c r="A233" s="91"/>
      <c r="B233" s="98"/>
      <c r="C233" s="291"/>
      <c r="D233" s="291"/>
      <c r="E233" s="99"/>
      <c r="F233" s="71"/>
      <c r="G233" s="90"/>
      <c r="H233" s="90"/>
      <c r="I233" s="90"/>
      <c r="J233" s="90"/>
      <c r="K233" s="90"/>
      <c r="L233" s="96"/>
      <c r="M233" s="90"/>
      <c r="N233" s="89"/>
      <c r="O233" s="97"/>
      <c r="P233" s="89"/>
      <c r="Q233" s="221"/>
      <c r="R233" s="221"/>
      <c r="S233" s="230"/>
      <c r="T233" s="94"/>
      <c r="U233" s="2"/>
      <c r="V233" s="2"/>
      <c r="W233" s="2"/>
      <c r="X233" s="2"/>
    </row>
    <row r="234" spans="1:24" ht="15.5">
      <c r="A234" s="91"/>
      <c r="B234" s="98"/>
      <c r="C234" s="291"/>
      <c r="D234" s="291"/>
      <c r="E234" s="99"/>
      <c r="F234" s="71"/>
      <c r="G234" s="90"/>
      <c r="H234" s="90"/>
      <c r="I234" s="90"/>
      <c r="J234" s="90"/>
      <c r="K234" s="90"/>
      <c r="L234" s="96"/>
      <c r="M234" s="90"/>
      <c r="N234" s="89"/>
      <c r="O234" s="97"/>
      <c r="P234" s="89"/>
      <c r="Q234" s="221"/>
      <c r="R234" s="221"/>
      <c r="S234" s="230"/>
      <c r="T234" s="94"/>
      <c r="U234" s="2"/>
      <c r="V234" s="2"/>
      <c r="W234" s="2"/>
      <c r="X234" s="2"/>
    </row>
    <row r="235" spans="1:24" ht="15.5">
      <c r="A235" s="91"/>
      <c r="B235" s="98"/>
      <c r="C235" s="291"/>
      <c r="D235" s="291"/>
      <c r="E235" s="99"/>
      <c r="F235" s="71"/>
      <c r="G235" s="90"/>
      <c r="H235" s="90"/>
      <c r="I235" s="90"/>
      <c r="J235" s="90"/>
      <c r="K235" s="90"/>
      <c r="L235" s="96"/>
      <c r="M235" s="90"/>
      <c r="N235" s="89"/>
      <c r="O235" s="97"/>
      <c r="P235" s="89"/>
      <c r="Q235" s="221"/>
      <c r="R235" s="221"/>
      <c r="S235" s="230"/>
      <c r="T235" s="94"/>
      <c r="U235" s="2"/>
      <c r="V235" s="2"/>
      <c r="W235" s="2"/>
      <c r="X235" s="2"/>
    </row>
    <row r="236" spans="1:24" ht="15.5">
      <c r="A236" s="91"/>
      <c r="B236" s="98"/>
      <c r="C236" s="291"/>
      <c r="D236" s="291"/>
      <c r="E236" s="99"/>
      <c r="F236" s="71"/>
      <c r="G236" s="90"/>
      <c r="H236" s="90"/>
      <c r="I236" s="90"/>
      <c r="J236" s="90"/>
      <c r="K236" s="90"/>
      <c r="L236" s="96"/>
      <c r="M236" s="90"/>
      <c r="N236" s="89"/>
      <c r="O236" s="97"/>
      <c r="P236" s="89"/>
      <c r="Q236" s="221"/>
      <c r="R236" s="221"/>
      <c r="S236" s="230"/>
      <c r="T236" s="94"/>
      <c r="U236" s="2"/>
      <c r="V236" s="2"/>
      <c r="W236" s="2"/>
      <c r="X236" s="2"/>
    </row>
    <row r="237" spans="1:24" ht="15.5">
      <c r="A237" s="91"/>
      <c r="B237" s="98"/>
      <c r="C237" s="291"/>
      <c r="D237" s="291"/>
      <c r="E237" s="99"/>
      <c r="F237" s="71"/>
      <c r="G237" s="90"/>
      <c r="H237" s="90"/>
      <c r="I237" s="90"/>
      <c r="J237" s="90"/>
      <c r="K237" s="90"/>
      <c r="L237" s="96"/>
      <c r="M237" s="90"/>
      <c r="N237" s="89"/>
      <c r="O237" s="97"/>
      <c r="P237" s="89"/>
      <c r="Q237" s="221"/>
      <c r="R237" s="221"/>
      <c r="S237" s="230"/>
      <c r="T237" s="94"/>
      <c r="U237" s="2"/>
      <c r="V237" s="2"/>
      <c r="W237" s="2"/>
      <c r="X237" s="2"/>
    </row>
    <row r="238" spans="1:24" ht="15.5">
      <c r="A238" s="91"/>
      <c r="B238" s="98"/>
      <c r="C238" s="291"/>
      <c r="D238" s="291"/>
      <c r="E238" s="99"/>
      <c r="F238" s="71"/>
      <c r="G238" s="90"/>
      <c r="H238" s="90"/>
      <c r="I238" s="90"/>
      <c r="J238" s="90"/>
      <c r="K238" s="90"/>
      <c r="L238" s="96"/>
      <c r="M238" s="90"/>
      <c r="N238" s="89"/>
      <c r="O238" s="97"/>
      <c r="P238" s="89"/>
      <c r="Q238" s="221"/>
      <c r="R238" s="221"/>
      <c r="S238" s="230"/>
      <c r="T238" s="94"/>
      <c r="U238" s="2"/>
      <c r="V238" s="2"/>
      <c r="W238" s="2"/>
      <c r="X238" s="2"/>
    </row>
    <row r="239" spans="1:24" ht="15.5">
      <c r="A239" s="91"/>
      <c r="B239" s="98"/>
      <c r="C239" s="291"/>
      <c r="D239" s="291"/>
      <c r="E239" s="99"/>
      <c r="F239" s="71"/>
      <c r="G239" s="90"/>
      <c r="H239" s="90"/>
      <c r="I239" s="90"/>
      <c r="J239" s="90"/>
      <c r="K239" s="90"/>
      <c r="L239" s="96"/>
      <c r="M239" s="90"/>
      <c r="N239" s="89"/>
      <c r="O239" s="97"/>
      <c r="P239" s="89"/>
      <c r="Q239" s="221"/>
      <c r="R239" s="221"/>
      <c r="S239" s="230"/>
      <c r="T239" s="94"/>
      <c r="U239" s="2"/>
      <c r="V239" s="2"/>
      <c r="W239" s="2"/>
      <c r="X239" s="2"/>
    </row>
    <row r="240" spans="1:24" ht="15.5">
      <c r="A240" s="91"/>
      <c r="B240" s="98"/>
      <c r="C240" s="291"/>
      <c r="D240" s="291"/>
      <c r="E240" s="99"/>
      <c r="F240" s="71"/>
      <c r="G240" s="90"/>
      <c r="H240" s="90"/>
      <c r="I240" s="90"/>
      <c r="J240" s="90"/>
      <c r="K240" s="90"/>
      <c r="L240" s="96"/>
      <c r="M240" s="90"/>
      <c r="N240" s="89"/>
      <c r="O240" s="97"/>
      <c r="P240" s="89"/>
      <c r="Q240" s="221"/>
      <c r="R240" s="221"/>
      <c r="S240" s="230"/>
      <c r="T240" s="94"/>
      <c r="U240" s="2"/>
      <c r="V240" s="2"/>
      <c r="W240" s="2"/>
      <c r="X240" s="2"/>
    </row>
    <row r="241" spans="1:24" ht="15.5">
      <c r="A241" s="91"/>
      <c r="B241" s="98"/>
      <c r="C241" s="291"/>
      <c r="D241" s="291"/>
      <c r="E241" s="99"/>
      <c r="F241" s="71"/>
      <c r="G241" s="90"/>
      <c r="H241" s="90"/>
      <c r="I241" s="90"/>
      <c r="J241" s="90"/>
      <c r="K241" s="90"/>
      <c r="L241" s="96"/>
      <c r="M241" s="90"/>
      <c r="N241" s="89"/>
      <c r="O241" s="97"/>
      <c r="P241" s="89"/>
      <c r="Q241" s="221"/>
      <c r="R241" s="221"/>
      <c r="S241" s="230"/>
      <c r="T241" s="94"/>
      <c r="U241" s="2"/>
      <c r="V241" s="2"/>
      <c r="W241" s="2"/>
      <c r="X241" s="2"/>
    </row>
    <row r="242" spans="1:24" ht="15.5">
      <c r="A242" s="91"/>
      <c r="B242" s="98"/>
      <c r="C242" s="291"/>
      <c r="D242" s="291"/>
      <c r="E242" s="99"/>
      <c r="F242" s="71"/>
      <c r="G242" s="90"/>
      <c r="H242" s="90"/>
      <c r="I242" s="90"/>
      <c r="J242" s="90"/>
      <c r="K242" s="90"/>
      <c r="L242" s="96"/>
      <c r="M242" s="90"/>
      <c r="N242" s="89"/>
      <c r="O242" s="97"/>
      <c r="P242" s="89"/>
      <c r="Q242" s="221"/>
      <c r="R242" s="221"/>
      <c r="S242" s="230"/>
      <c r="T242" s="94"/>
      <c r="U242" s="2"/>
      <c r="V242" s="2"/>
      <c r="W242" s="2"/>
      <c r="X242" s="2"/>
    </row>
    <row r="243" spans="1:24" ht="15.5">
      <c r="A243" s="91"/>
      <c r="B243" s="98"/>
      <c r="C243" s="291"/>
      <c r="D243" s="291"/>
      <c r="E243" s="99"/>
      <c r="F243" s="71"/>
      <c r="G243" s="90"/>
      <c r="H243" s="90"/>
      <c r="I243" s="90"/>
      <c r="J243" s="90"/>
      <c r="K243" s="90"/>
      <c r="L243" s="96"/>
      <c r="M243" s="90"/>
      <c r="N243" s="89"/>
      <c r="O243" s="97"/>
      <c r="P243" s="89"/>
      <c r="Q243" s="221"/>
      <c r="R243" s="221"/>
      <c r="S243" s="230"/>
      <c r="T243" s="94"/>
      <c r="U243" s="2"/>
      <c r="V243" s="2"/>
      <c r="W243" s="2"/>
      <c r="X243" s="2"/>
    </row>
    <row r="244" spans="1:24" ht="15.5">
      <c r="A244" s="91"/>
      <c r="B244" s="98"/>
      <c r="C244" s="291"/>
      <c r="D244" s="291"/>
      <c r="E244" s="99"/>
      <c r="F244" s="71"/>
      <c r="G244" s="90"/>
      <c r="H244" s="90"/>
      <c r="I244" s="90"/>
      <c r="J244" s="90"/>
      <c r="K244" s="90"/>
      <c r="L244" s="96"/>
      <c r="M244" s="90"/>
      <c r="N244" s="89"/>
      <c r="O244" s="97"/>
      <c r="P244" s="89"/>
      <c r="Q244" s="221"/>
      <c r="R244" s="221"/>
      <c r="S244" s="230"/>
      <c r="T244" s="94"/>
      <c r="U244" s="2"/>
      <c r="V244" s="2"/>
      <c r="W244" s="2"/>
      <c r="X244" s="2"/>
    </row>
    <row r="245" spans="1:24" ht="15.5">
      <c r="A245" s="91"/>
      <c r="B245" s="98"/>
      <c r="C245" s="291"/>
      <c r="D245" s="291"/>
      <c r="E245" s="99"/>
      <c r="F245" s="71"/>
      <c r="G245" s="90"/>
      <c r="H245" s="90"/>
      <c r="I245" s="90"/>
      <c r="J245" s="90"/>
      <c r="K245" s="90"/>
      <c r="L245" s="96"/>
      <c r="M245" s="90"/>
      <c r="N245" s="89"/>
      <c r="O245" s="97"/>
      <c r="P245" s="89"/>
      <c r="Q245" s="221"/>
      <c r="R245" s="221"/>
      <c r="S245" s="230"/>
      <c r="T245" s="94"/>
      <c r="U245" s="2"/>
      <c r="V245" s="2"/>
      <c r="W245" s="2"/>
      <c r="X245" s="2"/>
    </row>
  </sheetData>
  <mergeCells count="36">
    <mergeCell ref="G45:M45"/>
    <mergeCell ref="G42:M42"/>
    <mergeCell ref="G43:M43"/>
    <mergeCell ref="G28:M28"/>
    <mergeCell ref="G29:M29"/>
    <mergeCell ref="G41:M41"/>
    <mergeCell ref="G36:M36"/>
    <mergeCell ref="G37:M37"/>
    <mergeCell ref="G40:M40"/>
    <mergeCell ref="G38:M38"/>
    <mergeCell ref="G39:M39"/>
    <mergeCell ref="A1:T1"/>
    <mergeCell ref="A2:T2"/>
    <mergeCell ref="A3:A4"/>
    <mergeCell ref="B3:B4"/>
    <mergeCell ref="C3:C4"/>
    <mergeCell ref="D3:D4"/>
    <mergeCell ref="T3:T4"/>
    <mergeCell ref="G3:M3"/>
    <mergeCell ref="N3:N4"/>
    <mergeCell ref="O3:O4"/>
    <mergeCell ref="P3:P4"/>
    <mergeCell ref="Q3:Q4"/>
    <mergeCell ref="S3:S4"/>
    <mergeCell ref="R3:R4"/>
    <mergeCell ref="E3:E4"/>
    <mergeCell ref="F3:F4"/>
    <mergeCell ref="A26:B26"/>
    <mergeCell ref="G27:M27"/>
    <mergeCell ref="B35:F35"/>
    <mergeCell ref="G35:M35"/>
    <mergeCell ref="G30:M30"/>
    <mergeCell ref="G31:M31"/>
    <mergeCell ref="G32:M32"/>
    <mergeCell ref="G33:M33"/>
    <mergeCell ref="G34:M34"/>
  </mergeCells>
  <pageMargins left="0.2" right="0.2" top="0.75" bottom="0.75" header="0" footer="0"/>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Phương án chi tiết</vt:lpstr>
      <vt:lpstr>Phương án tổng hợp</vt:lpstr>
      <vt:lpstr>'Phương án chi tiết'!Print_Area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lastPrinted>2026-07-27T07:26:09Z</cp:lastPrinted>
  <dcterms:created xsi:type="dcterms:W3CDTF">2026-07-13T14:14:34Z</dcterms:created>
  <dcterms:modified xsi:type="dcterms:W3CDTF">2026-07-27T07:28:39Z</dcterms:modified>
</cp:coreProperties>
</file>